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pivotTables/pivotTable3.xml" ContentType="application/vnd.openxmlformats-officedocument.spreadsheetml.pivot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xampp\htdocs\sitm\codeigniter\microfinance\public\csv\"/>
    </mc:Choice>
  </mc:AlternateContent>
  <xr:revisionPtr revIDLastSave="0" documentId="8_{4F922AEB-28CC-4600-9F52-B0CDB7F77119}" xr6:coauthVersionLast="47" xr6:coauthVersionMax="47" xr10:uidLastSave="{00000000-0000-0000-0000-000000000000}"/>
  <bookViews>
    <workbookView xWindow="-120" yWindow="-120" windowWidth="20730" windowHeight="11310" firstSheet="2" activeTab="5" xr2:uid="{00000000-000D-0000-FFFF-FFFF00000000}"/>
  </bookViews>
  <sheets>
    <sheet name="Ref" sheetId="87" r:id="rId1"/>
    <sheet name="Menu" sheetId="92" r:id="rId2"/>
    <sheet name="Amortizer" sheetId="149" r:id="rId3"/>
    <sheet name="About-us" sheetId="91" r:id="rId4"/>
    <sheet name="Clients-Live" sheetId="89" r:id="rId5"/>
    <sheet name="Disbursements" sheetId="123" r:id="rId6"/>
    <sheet name="Live Collections" sheetId="127" r:id="rId7"/>
    <sheet name="P&amp;L" sheetId="146" r:id="rId8"/>
    <sheet name="BS" sheetId="148" r:id="rId9"/>
    <sheet name="Rent" sheetId="147" r:id="rId10"/>
    <sheet name="Expenses-Tracker" sheetId="121" r:id="rId11"/>
    <sheet name="Pricing" sheetId="124" state="hidden" r:id="rId12"/>
    <sheet name="Ageing" sheetId="135" state="hidden" r:id="rId13"/>
    <sheet name="Colln-Summary" sheetId="134" state="hidden" r:id="rId14"/>
    <sheet name="Tellers' Acct" sheetId="119" state="hidden" r:id="rId15"/>
    <sheet name="CoverPage" sheetId="90" state="hidden" r:id="rId16"/>
    <sheet name="Products+Services" sheetId="98" state="hidden" r:id="rId17"/>
    <sheet name="Start-up Costs" sheetId="95" state="hidden" r:id="rId18"/>
    <sheet name="ERROR SUMMARRY" sheetId="136" state="hidden" r:id="rId19"/>
    <sheet name="Trial-Bal" sheetId="115" state="hidden" r:id="rId20"/>
    <sheet name="Trans-Tracker" sheetId="114" state="hidden" r:id="rId21"/>
    <sheet name="Capital." sheetId="97" state="hidden" r:id="rId22"/>
    <sheet name="Loan1" sheetId="100" state="hidden" r:id="rId23"/>
    <sheet name="Loan2" sheetId="101" state="hidden" r:id="rId24"/>
    <sheet name="Recov" sheetId="112" state="hidden" r:id="rId25"/>
  </sheets>
  <externalReferences>
    <externalReference r:id="rId26"/>
  </externalReferences>
  <definedNames>
    <definedName name="_xlnm._FilterDatabase" localSheetId="12" hidden="1">Ageing!$A$4:$O$343</definedName>
    <definedName name="_xlnm._FilterDatabase" localSheetId="21" hidden="1">'Capital.'!$A$5:$L$5</definedName>
    <definedName name="_xlnm._FilterDatabase" localSheetId="4" hidden="1">'Clients-Live'!$A$6:$X$1099</definedName>
    <definedName name="_xlnm._FilterDatabase" localSheetId="13" hidden="1">'Colln-Summary'!$B$4:$M$4</definedName>
    <definedName name="_xlnm._FilterDatabase" localSheetId="5" hidden="1">Disbursements!$A$3:$AU$1999</definedName>
    <definedName name="_xlnm._FilterDatabase" localSheetId="10" hidden="1">'Expenses-Tracker'!$A$6:$L$2242</definedName>
    <definedName name="_xlnm._FilterDatabase" localSheetId="6" hidden="1">'Live Collections'!$A$7:$W$4515</definedName>
    <definedName name="_xlnm._FilterDatabase" localSheetId="22" hidden="1">Loan1!$A$8:$G$8</definedName>
    <definedName name="_xlnm._FilterDatabase" localSheetId="23" hidden="1">Loan2!$A$8:$G$8</definedName>
    <definedName name="_xlnm._FilterDatabase" localSheetId="9" hidden="1">Rent!$A$3:$I$3</definedName>
    <definedName name="_xlnm._FilterDatabase" localSheetId="17" hidden="1">'Start-up Costs'!$A$6:$N$115</definedName>
    <definedName name="_xlnm._FilterDatabase" localSheetId="14" hidden="1">'Tellers'' Acct'!$A$7:$K$168</definedName>
    <definedName name="_xlnm._FilterDatabase" localSheetId="20" hidden="1">'Trans-Tracker'!$A$7:$K$169</definedName>
    <definedName name="_xlnm._FilterDatabase" localSheetId="19" hidden="1">'Trial-Bal'!$C$7:$J$7</definedName>
    <definedName name="Actual" localSheetId="3">(PeriodInActual*('[1]Project Planner'!$E1&gt;0))*PeriodInPlan</definedName>
    <definedName name="Actual" localSheetId="8">(PeriodInActual*('[1]Project Planner'!$E1&gt;0))*PeriodInPlan</definedName>
    <definedName name="Actual" localSheetId="21">(PeriodInActual*('[1]Project Planner'!$E1&gt;0))*PeriodInPlan</definedName>
    <definedName name="Actual" localSheetId="4">(PeriodInActual*('[1]Project Planner'!$E1&gt;0))*PeriodInPlan</definedName>
    <definedName name="Actual" localSheetId="15">(PeriodInActual*('[1]Project Planner'!$E1&gt;0))*PeriodInPlan</definedName>
    <definedName name="Actual" localSheetId="10">(PeriodInActual*('[1]Project Planner'!$E1&gt;0))*PeriodInPlan</definedName>
    <definedName name="Actual" localSheetId="6">(PeriodInActual*('[1]Project Planner'!$E1&gt;0))*PeriodInPlan</definedName>
    <definedName name="Actual" localSheetId="22">(PeriodInActual*('[1]Project Planner'!$E1&gt;0))*PeriodInPlan</definedName>
    <definedName name="Actual" localSheetId="23">(PeriodInActual*('[1]Project Planner'!$E1&gt;0))*PeriodInPlan</definedName>
    <definedName name="Actual" localSheetId="1">(PeriodInActual*('[1]Project Planner'!$E1&gt;0))*PeriodInPlan</definedName>
    <definedName name="Actual" localSheetId="17">(PeriodInActual*('[1]Project Planner'!$E1&gt;0))*PeriodInPlan</definedName>
    <definedName name="Actual" localSheetId="14">(PeriodInActual*('[1]Project Planner'!$E1&gt;0))*PeriodInPlan</definedName>
    <definedName name="Actual" localSheetId="19">(PeriodInActual*('[1]Project Planner'!$E1&gt;0))*PeriodInPlan</definedName>
    <definedName name="Actual">(PeriodInActual*('[1]Project Planner'!$E1&gt;0))*PeriodInPlan</definedName>
    <definedName name="ActualBeyond" localSheetId="3">PeriodInActual*('[1]Project Planner'!$E1&gt;0)</definedName>
    <definedName name="ActualBeyond" localSheetId="8">PeriodInActual*('[1]Project Planner'!$E1&gt;0)</definedName>
    <definedName name="ActualBeyond" localSheetId="21">PeriodInActual*('[1]Project Planner'!$E1&gt;0)</definedName>
    <definedName name="ActualBeyond" localSheetId="4">PeriodInActual*('[1]Project Planner'!$E1&gt;0)</definedName>
    <definedName name="ActualBeyond" localSheetId="15">PeriodInActual*('[1]Project Planner'!$E1&gt;0)</definedName>
    <definedName name="ActualBeyond" localSheetId="10">PeriodInActual*('[1]Project Planner'!$E1&gt;0)</definedName>
    <definedName name="ActualBeyond" localSheetId="6">PeriodInActual*('[1]Project Planner'!$E1&gt;0)</definedName>
    <definedName name="ActualBeyond" localSheetId="22">PeriodInActual*('[1]Project Planner'!$E1&gt;0)</definedName>
    <definedName name="ActualBeyond" localSheetId="23">PeriodInActual*('[1]Project Planner'!$E1&gt;0)</definedName>
    <definedName name="ActualBeyond" localSheetId="1">PeriodInActual*('[1]Project Planner'!$E1&gt;0)</definedName>
    <definedName name="ActualBeyond" localSheetId="17">PeriodInActual*('[1]Project Planner'!$E1&gt;0)</definedName>
    <definedName name="ActualBeyond" localSheetId="14">PeriodInActual*('[1]Project Planner'!$E1&gt;0)</definedName>
    <definedName name="ActualBeyond" localSheetId="19">PeriodInActual*('[1]Project Planner'!$E1&gt;0)</definedName>
    <definedName name="ActualBeyond">PeriodInActual*('[1]Project Planner'!$E1&gt;0)</definedName>
    <definedName name="Batch1Table">#REF!</definedName>
    <definedName name="Batch2Table">#REF!</definedName>
    <definedName name="Batch3Table">#REF!</definedName>
    <definedName name="CASH_IN">Ref!$H$7:$H$11</definedName>
    <definedName name="CASH_OUT">Ref!$I$7:$I$11</definedName>
    <definedName name="CostDrugs">#REF!</definedName>
    <definedName name="CostFeeds">#REF!</definedName>
    <definedName name="CostVaccine">#REF!</definedName>
    <definedName name="Deliveryfee">#REF!</definedName>
    <definedName name="DeprecRate">#REF!</definedName>
    <definedName name="EggLossRate">#REF!</definedName>
    <definedName name="EggPdn_Rates">#REF!</definedName>
    <definedName name="FeedsLevel">#REF!</definedName>
    <definedName name="HseLocate">#REF!</definedName>
    <definedName name="LoanFreq">#REF!</definedName>
    <definedName name="Months">#REF!</definedName>
    <definedName name="NSSFCompany">#REF!</definedName>
    <definedName name="_xlnm.Print_Area" localSheetId="3">'About-us'!$A$1:$E$47</definedName>
    <definedName name="_xlnm.Print_Area" localSheetId="15">CoverPage!$A$1:$E$42</definedName>
    <definedName name="_xlnm.Print_Area" localSheetId="1">Menu!$A$1:$G$49</definedName>
    <definedName name="_xlnm.Print_Titles" localSheetId="13">'Colln-Summary'!$1:$4</definedName>
    <definedName name="SalaryInflation">#REF!</definedName>
    <definedName name="StaffAllowanceRate">#REF!</definedName>
    <definedName name="StageLevel">#REF!</definedName>
    <definedName name="TellerNar">Ref!$H$33:$H$49</definedName>
  </definedNames>
  <calcPr calcId="191029"/>
  <pivotCaches>
    <pivotCache cacheId="2" r:id="rId27"/>
    <pivotCache cacheId="3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149" l="1"/>
  <c r="C11" i="149" s="1"/>
  <c r="J701" i="121"/>
  <c r="J702" i="121"/>
  <c r="C6" i="148"/>
  <c r="J28" i="148"/>
  <c r="I28" i="148"/>
  <c r="H28" i="148"/>
  <c r="G28" i="148"/>
  <c r="F28" i="148"/>
  <c r="E28" i="148"/>
  <c r="D28" i="148"/>
  <c r="C28" i="148"/>
  <c r="C23" i="148"/>
  <c r="J23" i="148"/>
  <c r="I23" i="148"/>
  <c r="H23" i="148"/>
  <c r="G23" i="148"/>
  <c r="F23" i="148"/>
  <c r="E23" i="148"/>
  <c r="D23" i="148"/>
  <c r="D14" i="148"/>
  <c r="E14" i="148"/>
  <c r="F14" i="148"/>
  <c r="G14" i="148"/>
  <c r="H14" i="148"/>
  <c r="I14" i="148"/>
  <c r="J14" i="148"/>
  <c r="C14" i="148"/>
  <c r="J8" i="148"/>
  <c r="I8" i="148"/>
  <c r="H8" i="148"/>
  <c r="G8" i="148"/>
  <c r="F8" i="148"/>
  <c r="E8" i="148"/>
  <c r="D8" i="148"/>
  <c r="C7" i="148"/>
  <c r="D6" i="148" s="1"/>
  <c r="D7" i="146"/>
  <c r="I6" i="147"/>
  <c r="I10" i="147"/>
  <c r="I4" i="147"/>
  <c r="I5" i="147"/>
  <c r="H4" i="147"/>
  <c r="H5" i="147"/>
  <c r="H6" i="147"/>
  <c r="H7" i="147"/>
  <c r="I8" i="147"/>
  <c r="H8" i="147"/>
  <c r="I38" i="147"/>
  <c r="H38" i="147"/>
  <c r="I37" i="147"/>
  <c r="H37" i="147"/>
  <c r="I36" i="147"/>
  <c r="H36" i="147"/>
  <c r="I35" i="147"/>
  <c r="H35" i="147"/>
  <c r="I34" i="147"/>
  <c r="H34" i="147"/>
  <c r="I33" i="147"/>
  <c r="H33" i="147"/>
  <c r="I32" i="147"/>
  <c r="H32" i="147"/>
  <c r="I31" i="147"/>
  <c r="H31" i="147"/>
  <c r="I30" i="147"/>
  <c r="H30" i="147"/>
  <c r="I29" i="147"/>
  <c r="H29" i="147"/>
  <c r="I28" i="147"/>
  <c r="H28" i="147"/>
  <c r="I27" i="147"/>
  <c r="H27" i="147"/>
  <c r="I26" i="147"/>
  <c r="H26" i="147"/>
  <c r="I25" i="147"/>
  <c r="H25" i="147"/>
  <c r="I24" i="147"/>
  <c r="H24" i="147"/>
  <c r="I23" i="147"/>
  <c r="H23" i="147"/>
  <c r="I22" i="147"/>
  <c r="H22" i="147"/>
  <c r="H21" i="147"/>
  <c r="H20" i="147"/>
  <c r="H19" i="147"/>
  <c r="H18" i="147"/>
  <c r="H17" i="147"/>
  <c r="H16" i="147"/>
  <c r="H15" i="147"/>
  <c r="H14" i="147"/>
  <c r="H13" i="147"/>
  <c r="H12" i="147"/>
  <c r="H11" i="147"/>
  <c r="H9" i="147"/>
  <c r="H10" i="147"/>
  <c r="I19" i="147" l="1"/>
  <c r="I18" i="147"/>
  <c r="D7" i="148" l="1"/>
  <c r="I7" i="147"/>
  <c r="I9" i="147"/>
  <c r="I11" i="147"/>
  <c r="E6" i="148" l="1"/>
  <c r="E7" i="148"/>
  <c r="F6" i="148" s="1"/>
  <c r="I21" i="147"/>
  <c r="I20" i="147"/>
  <c r="I12" i="147"/>
  <c r="F7" i="148" l="1"/>
  <c r="G6" i="148" s="1"/>
  <c r="I13" i="147"/>
  <c r="G7" i="148" l="1"/>
  <c r="H6" i="148" s="1"/>
  <c r="I14" i="147"/>
  <c r="H7" i="148" l="1"/>
  <c r="I6" i="148" s="1"/>
  <c r="I15" i="147"/>
  <c r="I7" i="148" l="1"/>
  <c r="J6" i="148" s="1"/>
  <c r="I17" i="147"/>
  <c r="I16" i="147"/>
  <c r="J7" i="148" l="1"/>
  <c r="G8" i="146"/>
  <c r="H8" i="146"/>
  <c r="I8" i="146"/>
  <c r="J8" i="146"/>
  <c r="K8" i="146"/>
  <c r="F8" i="146"/>
  <c r="E8" i="146"/>
  <c r="E6" i="146"/>
  <c r="S849" i="127"/>
  <c r="T4266" i="127"/>
  <c r="T4265" i="127"/>
  <c r="T4223" i="127"/>
  <c r="T4161" i="127"/>
  <c r="T4089" i="127"/>
  <c r="T4026" i="127"/>
  <c r="T3874" i="127"/>
  <c r="E7" i="146" l="1"/>
  <c r="E21" i="146" s="1"/>
  <c r="D21" i="146"/>
  <c r="E24" i="146"/>
  <c r="D32" i="146"/>
  <c r="D31" i="146"/>
  <c r="D30" i="146"/>
  <c r="D29" i="146"/>
  <c r="D28" i="146"/>
  <c r="D27" i="146"/>
  <c r="D26" i="146"/>
  <c r="D25" i="146"/>
  <c r="D24" i="146"/>
  <c r="D23" i="146"/>
  <c r="D22" i="146"/>
  <c r="D20" i="146"/>
  <c r="D19" i="146"/>
  <c r="F6" i="146"/>
  <c r="K5" i="123"/>
  <c r="L5" i="123"/>
  <c r="M5" i="123"/>
  <c r="N5" i="123"/>
  <c r="O5" i="123"/>
  <c r="P5" i="123"/>
  <c r="R5" i="123" s="1"/>
  <c r="Q5" i="123"/>
  <c r="Y5" i="123"/>
  <c r="Z5" i="123" s="1"/>
  <c r="AB5" i="123"/>
  <c r="AD5" i="123" s="1"/>
  <c r="K6" i="123"/>
  <c r="L6" i="123"/>
  <c r="M6" i="123"/>
  <c r="N6" i="123"/>
  <c r="O6" i="123"/>
  <c r="P6" i="123"/>
  <c r="R6" i="123" s="1"/>
  <c r="Y6" i="123"/>
  <c r="AB6" i="123"/>
  <c r="AC6" i="123" s="1"/>
  <c r="K7" i="123"/>
  <c r="L7" i="123"/>
  <c r="M7" i="123"/>
  <c r="N7" i="123"/>
  <c r="O7" i="123"/>
  <c r="P7" i="123"/>
  <c r="R7" i="123" s="1"/>
  <c r="Q7" i="123"/>
  <c r="Y7" i="123"/>
  <c r="AA7" i="123" s="1"/>
  <c r="AB7" i="123"/>
  <c r="K8" i="123"/>
  <c r="L8" i="123"/>
  <c r="M8" i="123"/>
  <c r="N8" i="123"/>
  <c r="O8" i="123"/>
  <c r="P8" i="123"/>
  <c r="R8" i="123" s="1"/>
  <c r="Q8" i="123"/>
  <c r="Y8" i="123"/>
  <c r="Z8" i="123" s="1"/>
  <c r="AB8" i="123"/>
  <c r="K9" i="123"/>
  <c r="L9" i="123"/>
  <c r="M9" i="123"/>
  <c r="N9" i="123"/>
  <c r="O9" i="123"/>
  <c r="P9" i="123"/>
  <c r="R9" i="123" s="1"/>
  <c r="Q9" i="123"/>
  <c r="Y9" i="123"/>
  <c r="AA9" i="123" s="1"/>
  <c r="AB9" i="123"/>
  <c r="AD9" i="123" s="1"/>
  <c r="K10" i="123"/>
  <c r="L10" i="123"/>
  <c r="M10" i="123"/>
  <c r="N10" i="123"/>
  <c r="O10" i="123"/>
  <c r="P10" i="123"/>
  <c r="R10" i="123" s="1"/>
  <c r="Q10" i="123"/>
  <c r="Y10" i="123"/>
  <c r="AB10" i="123"/>
  <c r="AD10" i="123" s="1"/>
  <c r="K11" i="123"/>
  <c r="L11" i="123"/>
  <c r="M11" i="123"/>
  <c r="N11" i="123"/>
  <c r="O11" i="123"/>
  <c r="P11" i="123"/>
  <c r="R11" i="123" s="1"/>
  <c r="Q11" i="123"/>
  <c r="Y11" i="123"/>
  <c r="AA11" i="123" s="1"/>
  <c r="AB11" i="123"/>
  <c r="K12" i="123"/>
  <c r="L12" i="123"/>
  <c r="M12" i="123"/>
  <c r="N12" i="123"/>
  <c r="O12" i="123"/>
  <c r="P12" i="123"/>
  <c r="R12" i="123" s="1"/>
  <c r="Y12" i="123"/>
  <c r="Z12" i="123" s="1"/>
  <c r="AB12" i="123"/>
  <c r="K13" i="123"/>
  <c r="L13" i="123"/>
  <c r="M13" i="123"/>
  <c r="N13" i="123"/>
  <c r="O13" i="123"/>
  <c r="P13" i="123"/>
  <c r="R13" i="123" s="1"/>
  <c r="Q13" i="123"/>
  <c r="Y13" i="123"/>
  <c r="AA13" i="123" s="1"/>
  <c r="AB13" i="123"/>
  <c r="K14" i="123"/>
  <c r="L14" i="123"/>
  <c r="M14" i="123"/>
  <c r="N14" i="123"/>
  <c r="O14" i="123"/>
  <c r="P14" i="123"/>
  <c r="R14" i="123" s="1"/>
  <c r="Q14" i="123"/>
  <c r="Y14" i="123"/>
  <c r="AB14" i="123"/>
  <c r="K15" i="123"/>
  <c r="L15" i="123"/>
  <c r="M15" i="123"/>
  <c r="N15" i="123"/>
  <c r="O15" i="123"/>
  <c r="P15" i="123"/>
  <c r="R15" i="123" s="1"/>
  <c r="Q15" i="123"/>
  <c r="Y15" i="123"/>
  <c r="Z15" i="123" s="1"/>
  <c r="AB15" i="123"/>
  <c r="K16" i="123"/>
  <c r="L16" i="123"/>
  <c r="M16" i="123"/>
  <c r="N16" i="123"/>
  <c r="O16" i="123"/>
  <c r="P16" i="123"/>
  <c r="R16" i="123" s="1"/>
  <c r="Q16" i="123"/>
  <c r="Y16" i="123"/>
  <c r="AB16" i="123"/>
  <c r="AC16" i="123" s="1"/>
  <c r="K17" i="123"/>
  <c r="L17" i="123"/>
  <c r="M17" i="123"/>
  <c r="N17" i="123"/>
  <c r="O17" i="123"/>
  <c r="Y17" i="123"/>
  <c r="K18" i="123"/>
  <c r="L18" i="123"/>
  <c r="M18" i="123"/>
  <c r="N18" i="123"/>
  <c r="O18" i="123"/>
  <c r="P18" i="123"/>
  <c r="R18" i="123" s="1"/>
  <c r="Q18" i="123"/>
  <c r="Y18" i="123"/>
  <c r="AA18" i="123" s="1"/>
  <c r="AB18" i="123"/>
  <c r="AD18" i="123" s="1"/>
  <c r="K19" i="123"/>
  <c r="L19" i="123"/>
  <c r="M19" i="123"/>
  <c r="N19" i="123"/>
  <c r="O19" i="123"/>
  <c r="P19" i="123"/>
  <c r="R19" i="123" s="1"/>
  <c r="Q19" i="123"/>
  <c r="Y19" i="123"/>
  <c r="Z19" i="123" s="1"/>
  <c r="AB19" i="123"/>
  <c r="AD19" i="123" s="1"/>
  <c r="K20" i="123"/>
  <c r="L20" i="123"/>
  <c r="M20" i="123"/>
  <c r="N20" i="123"/>
  <c r="O20" i="123"/>
  <c r="P20" i="123"/>
  <c r="R20" i="123" s="1"/>
  <c r="Q20" i="123"/>
  <c r="Y20" i="123"/>
  <c r="AB20" i="123"/>
  <c r="AD20" i="123" s="1"/>
  <c r="K21" i="123"/>
  <c r="L21" i="123"/>
  <c r="M21" i="123"/>
  <c r="N21" i="123"/>
  <c r="O21" i="123"/>
  <c r="P21" i="123"/>
  <c r="R21" i="123" s="1"/>
  <c r="Q21" i="123"/>
  <c r="Y21" i="123"/>
  <c r="Z21" i="123" s="1"/>
  <c r="AB21" i="123"/>
  <c r="K22" i="123"/>
  <c r="L22" i="123"/>
  <c r="M22" i="123"/>
  <c r="N22" i="123"/>
  <c r="O22" i="123"/>
  <c r="P22" i="123"/>
  <c r="R22" i="123" s="1"/>
  <c r="Q22" i="123"/>
  <c r="Y22" i="123"/>
  <c r="Z22" i="123" s="1"/>
  <c r="AB22" i="123"/>
  <c r="AC22" i="123" s="1"/>
  <c r="K23" i="123"/>
  <c r="L23" i="123"/>
  <c r="M23" i="123"/>
  <c r="N23" i="123"/>
  <c r="O23" i="123"/>
  <c r="P23" i="123"/>
  <c r="R23" i="123" s="1"/>
  <c r="Q23" i="123"/>
  <c r="Y23" i="123"/>
  <c r="AA23" i="123" s="1"/>
  <c r="AB23" i="123"/>
  <c r="AD23" i="123" s="1"/>
  <c r="K24" i="123"/>
  <c r="L24" i="123"/>
  <c r="M24" i="123"/>
  <c r="N24" i="123"/>
  <c r="O24" i="123"/>
  <c r="P24" i="123"/>
  <c r="R24" i="123" s="1"/>
  <c r="Q24" i="123"/>
  <c r="Y24" i="123"/>
  <c r="Z24" i="123" s="1"/>
  <c r="AB24" i="123"/>
  <c r="K25" i="123"/>
  <c r="L25" i="123"/>
  <c r="M25" i="123"/>
  <c r="N25" i="123"/>
  <c r="O25" i="123"/>
  <c r="P25" i="123"/>
  <c r="R25" i="123" s="1"/>
  <c r="Q25" i="123"/>
  <c r="Y25" i="123"/>
  <c r="Z25" i="123" s="1"/>
  <c r="AB25" i="123"/>
  <c r="AC25" i="123" s="1"/>
  <c r="K26" i="123"/>
  <c r="L26" i="123"/>
  <c r="M26" i="123"/>
  <c r="N26" i="123"/>
  <c r="O26" i="123"/>
  <c r="P26" i="123"/>
  <c r="R26" i="123" s="1"/>
  <c r="Q26" i="123"/>
  <c r="Y26" i="123"/>
  <c r="Z26" i="123" s="1"/>
  <c r="AB26" i="123"/>
  <c r="AC26" i="123" s="1"/>
  <c r="K27" i="123"/>
  <c r="L27" i="123"/>
  <c r="M27" i="123"/>
  <c r="N27" i="123"/>
  <c r="O27" i="123"/>
  <c r="P27" i="123"/>
  <c r="R27" i="123" s="1"/>
  <c r="Q27" i="123"/>
  <c r="Y27" i="123"/>
  <c r="AA27" i="123" s="1"/>
  <c r="AB27" i="123"/>
  <c r="AD27" i="123" s="1"/>
  <c r="K28" i="123"/>
  <c r="L28" i="123"/>
  <c r="M28" i="123"/>
  <c r="N28" i="123"/>
  <c r="O28" i="123"/>
  <c r="P28" i="123"/>
  <c r="R28" i="123" s="1"/>
  <c r="Q28" i="123"/>
  <c r="Y28" i="123"/>
  <c r="AA28" i="123" s="1"/>
  <c r="AB28" i="123"/>
  <c r="AD28" i="123" s="1"/>
  <c r="K29" i="123"/>
  <c r="L29" i="123"/>
  <c r="M29" i="123"/>
  <c r="N29" i="123"/>
  <c r="O29" i="123"/>
  <c r="P29" i="123"/>
  <c r="R29" i="123" s="1"/>
  <c r="Y29" i="123"/>
  <c r="AB29" i="123"/>
  <c r="AD29" i="123" s="1"/>
  <c r="K30" i="123"/>
  <c r="L30" i="123"/>
  <c r="M30" i="123"/>
  <c r="N30" i="123"/>
  <c r="O30" i="123"/>
  <c r="P30" i="123"/>
  <c r="R30" i="123" s="1"/>
  <c r="Q30" i="123"/>
  <c r="Y30" i="123"/>
  <c r="Z30" i="123" s="1"/>
  <c r="AB30" i="123"/>
  <c r="K31" i="123"/>
  <c r="L31" i="123"/>
  <c r="M31" i="123"/>
  <c r="N31" i="123"/>
  <c r="O31" i="123"/>
  <c r="P31" i="123"/>
  <c r="R31" i="123" s="1"/>
  <c r="Q31" i="123"/>
  <c r="Y31" i="123"/>
  <c r="AB31" i="123"/>
  <c r="AC31" i="123" s="1"/>
  <c r="K32" i="123"/>
  <c r="L32" i="123"/>
  <c r="M32" i="123"/>
  <c r="N32" i="123"/>
  <c r="O32" i="123"/>
  <c r="P32" i="123"/>
  <c r="R32" i="123" s="1"/>
  <c r="Q32" i="123"/>
  <c r="Y32" i="123"/>
  <c r="AA32" i="123" s="1"/>
  <c r="AB32" i="123"/>
  <c r="AC32" i="123" s="1"/>
  <c r="K33" i="123"/>
  <c r="L33" i="123"/>
  <c r="M33" i="123"/>
  <c r="N33" i="123"/>
  <c r="O33" i="123"/>
  <c r="P33" i="123"/>
  <c r="R33" i="123" s="1"/>
  <c r="Q33" i="123"/>
  <c r="Y33" i="123"/>
  <c r="AB33" i="123"/>
  <c r="AD33" i="123" s="1"/>
  <c r="K34" i="123"/>
  <c r="L34" i="123"/>
  <c r="M34" i="123"/>
  <c r="N34" i="123"/>
  <c r="O34" i="123"/>
  <c r="P34" i="123"/>
  <c r="R34" i="123" s="1"/>
  <c r="Q34" i="123"/>
  <c r="Y34" i="123"/>
  <c r="AA34" i="123" s="1"/>
  <c r="AB34" i="123"/>
  <c r="AK34" i="123"/>
  <c r="AL34" i="123"/>
  <c r="AO34" i="123" s="1"/>
  <c r="K35" i="123"/>
  <c r="L35" i="123"/>
  <c r="M35" i="123"/>
  <c r="N35" i="123"/>
  <c r="O35" i="123"/>
  <c r="P35" i="123"/>
  <c r="R35" i="123" s="1"/>
  <c r="Q35" i="123"/>
  <c r="Y35" i="123"/>
  <c r="AA35" i="123" s="1"/>
  <c r="AB35" i="123"/>
  <c r="AC35" i="123" s="1"/>
  <c r="K36" i="123"/>
  <c r="L36" i="123"/>
  <c r="M36" i="123"/>
  <c r="N36" i="123"/>
  <c r="O36" i="123"/>
  <c r="P36" i="123"/>
  <c r="R36" i="123" s="1"/>
  <c r="Q36" i="123"/>
  <c r="Y36" i="123"/>
  <c r="AA36" i="123" s="1"/>
  <c r="AB36" i="123"/>
  <c r="AC36" i="123" s="1"/>
  <c r="K37" i="123"/>
  <c r="L37" i="123"/>
  <c r="M37" i="123"/>
  <c r="N37" i="123"/>
  <c r="O37" i="123"/>
  <c r="P37" i="123"/>
  <c r="R37" i="123" s="1"/>
  <c r="Q37" i="123"/>
  <c r="Y37" i="123"/>
  <c r="Z37" i="123" s="1"/>
  <c r="AB37" i="123"/>
  <c r="AD37" i="123" s="1"/>
  <c r="K38" i="123"/>
  <c r="L38" i="123"/>
  <c r="M38" i="123"/>
  <c r="N38" i="123"/>
  <c r="O38" i="123"/>
  <c r="P38" i="123"/>
  <c r="R38" i="123" s="1"/>
  <c r="Q38" i="123"/>
  <c r="Y38" i="123"/>
  <c r="Z38" i="123" s="1"/>
  <c r="AB38" i="123"/>
  <c r="K39" i="123"/>
  <c r="L39" i="123"/>
  <c r="M39" i="123"/>
  <c r="N39" i="123"/>
  <c r="O39" i="123"/>
  <c r="P39" i="123"/>
  <c r="R39" i="123" s="1"/>
  <c r="Q39" i="123"/>
  <c r="Y39" i="123"/>
  <c r="AA39" i="123" s="1"/>
  <c r="AB39" i="123"/>
  <c r="AC39" i="123" s="1"/>
  <c r="K40" i="123"/>
  <c r="L40" i="123"/>
  <c r="M40" i="123"/>
  <c r="N40" i="123"/>
  <c r="O40" i="123"/>
  <c r="P40" i="123"/>
  <c r="R40" i="123" s="1"/>
  <c r="Q40" i="123"/>
  <c r="Y40" i="123"/>
  <c r="AA40" i="123" s="1"/>
  <c r="AB40" i="123"/>
  <c r="K41" i="123"/>
  <c r="L41" i="123"/>
  <c r="M41" i="123"/>
  <c r="N41" i="123"/>
  <c r="O41" i="123"/>
  <c r="P41" i="123"/>
  <c r="R41" i="123" s="1"/>
  <c r="Q41" i="123"/>
  <c r="Y41" i="123"/>
  <c r="Z41" i="123" s="1"/>
  <c r="AB41" i="123"/>
  <c r="AD41" i="123" s="1"/>
  <c r="K42" i="123"/>
  <c r="L42" i="123"/>
  <c r="M42" i="123"/>
  <c r="N42" i="123"/>
  <c r="O42" i="123"/>
  <c r="P42" i="123"/>
  <c r="R42" i="123" s="1"/>
  <c r="Q42" i="123"/>
  <c r="Y42" i="123"/>
  <c r="Z42" i="123" s="1"/>
  <c r="AB42" i="123"/>
  <c r="K43" i="123"/>
  <c r="L43" i="123"/>
  <c r="M43" i="123"/>
  <c r="N43" i="123"/>
  <c r="O43" i="123"/>
  <c r="P43" i="123"/>
  <c r="R43" i="123" s="1"/>
  <c r="Q43" i="123"/>
  <c r="Y43" i="123"/>
  <c r="AA43" i="123" s="1"/>
  <c r="AB43" i="123"/>
  <c r="AC43" i="123" s="1"/>
  <c r="K44" i="123"/>
  <c r="L44" i="123"/>
  <c r="M44" i="123"/>
  <c r="N44" i="123"/>
  <c r="O44" i="123"/>
  <c r="P44" i="123"/>
  <c r="R44" i="123" s="1"/>
  <c r="Q44" i="123"/>
  <c r="Y44" i="123"/>
  <c r="AA44" i="123" s="1"/>
  <c r="AB44" i="123"/>
  <c r="K45" i="123"/>
  <c r="L45" i="123"/>
  <c r="M45" i="123"/>
  <c r="N45" i="123"/>
  <c r="O45" i="123"/>
  <c r="P45" i="123"/>
  <c r="R45" i="123" s="1"/>
  <c r="Q45" i="123"/>
  <c r="Y45" i="123"/>
  <c r="Z45" i="123" s="1"/>
  <c r="AB45" i="123"/>
  <c r="AD45" i="123" s="1"/>
  <c r="K46" i="123"/>
  <c r="L46" i="123"/>
  <c r="M46" i="123"/>
  <c r="N46" i="123"/>
  <c r="O46" i="123"/>
  <c r="P46" i="123"/>
  <c r="R46" i="123" s="1"/>
  <c r="Q46" i="123"/>
  <c r="Y46" i="123"/>
  <c r="Z46" i="123" s="1"/>
  <c r="AB46" i="123"/>
  <c r="K47" i="123"/>
  <c r="L47" i="123"/>
  <c r="M47" i="123"/>
  <c r="N47" i="123"/>
  <c r="O47" i="123"/>
  <c r="P47" i="123"/>
  <c r="R47" i="123" s="1"/>
  <c r="Q47" i="123"/>
  <c r="Y47" i="123"/>
  <c r="Z47" i="123" s="1"/>
  <c r="AB47" i="123"/>
  <c r="K48" i="123"/>
  <c r="L48" i="123"/>
  <c r="M48" i="123"/>
  <c r="N48" i="123"/>
  <c r="O48" i="123"/>
  <c r="P48" i="123"/>
  <c r="R48" i="123" s="1"/>
  <c r="Q48" i="123"/>
  <c r="Y48" i="123"/>
  <c r="AA48" i="123" s="1"/>
  <c r="AB48" i="123"/>
  <c r="AC48" i="123" s="1"/>
  <c r="K49" i="123"/>
  <c r="L49" i="123"/>
  <c r="M49" i="123"/>
  <c r="N49" i="123"/>
  <c r="O49" i="123"/>
  <c r="P49" i="123"/>
  <c r="R49" i="123" s="1"/>
  <c r="Q49" i="123"/>
  <c r="Y49" i="123"/>
  <c r="Z49" i="123" s="1"/>
  <c r="AB49" i="123"/>
  <c r="K50" i="123"/>
  <c r="L50" i="123"/>
  <c r="M50" i="123"/>
  <c r="N50" i="123"/>
  <c r="O50" i="123"/>
  <c r="P50" i="123"/>
  <c r="R50" i="123" s="1"/>
  <c r="Q50" i="123"/>
  <c r="Y50" i="123"/>
  <c r="AA50" i="123" s="1"/>
  <c r="AB50" i="123"/>
  <c r="AD50" i="123" s="1"/>
  <c r="K51" i="123"/>
  <c r="L51" i="123"/>
  <c r="M51" i="123"/>
  <c r="N51" i="123"/>
  <c r="O51" i="123"/>
  <c r="P51" i="123"/>
  <c r="R51" i="123" s="1"/>
  <c r="Q51" i="123"/>
  <c r="Y51" i="123"/>
  <c r="AB51" i="123"/>
  <c r="AD51" i="123" s="1"/>
  <c r="K52" i="123"/>
  <c r="L52" i="123"/>
  <c r="M52" i="123"/>
  <c r="N52" i="123"/>
  <c r="O52" i="123"/>
  <c r="P52" i="123"/>
  <c r="R52" i="123" s="1"/>
  <c r="Q52" i="123"/>
  <c r="Y52" i="123"/>
  <c r="Z52" i="123" s="1"/>
  <c r="AB52" i="123"/>
  <c r="K53" i="123"/>
  <c r="L53" i="123"/>
  <c r="M53" i="123"/>
  <c r="N53" i="123"/>
  <c r="O53" i="123"/>
  <c r="P53" i="123"/>
  <c r="R53" i="123" s="1"/>
  <c r="Q53" i="123"/>
  <c r="Y53" i="123"/>
  <c r="Z53" i="123" s="1"/>
  <c r="AB53" i="123"/>
  <c r="K54" i="123"/>
  <c r="L54" i="123"/>
  <c r="M54" i="123"/>
  <c r="N54" i="123"/>
  <c r="O54" i="123"/>
  <c r="P54" i="123"/>
  <c r="R54" i="123" s="1"/>
  <c r="Y54" i="123"/>
  <c r="AA54" i="123" s="1"/>
  <c r="AB54" i="123"/>
  <c r="AC54" i="123" s="1"/>
  <c r="K55" i="123"/>
  <c r="L55" i="123"/>
  <c r="M55" i="123"/>
  <c r="N55" i="123"/>
  <c r="O55" i="123"/>
  <c r="P55" i="123"/>
  <c r="R55" i="123" s="1"/>
  <c r="Q55" i="123"/>
  <c r="Y55" i="123"/>
  <c r="AB55" i="123"/>
  <c r="AD55" i="123" s="1"/>
  <c r="K56" i="123"/>
  <c r="L56" i="123"/>
  <c r="M56" i="123"/>
  <c r="N56" i="123"/>
  <c r="O56" i="123"/>
  <c r="P56" i="123"/>
  <c r="R56" i="123" s="1"/>
  <c r="Q56" i="123"/>
  <c r="Y56" i="123"/>
  <c r="Z56" i="123" s="1"/>
  <c r="AB56" i="123"/>
  <c r="K57" i="123"/>
  <c r="L57" i="123"/>
  <c r="M57" i="123"/>
  <c r="N57" i="123"/>
  <c r="O57" i="123"/>
  <c r="P57" i="123"/>
  <c r="R57" i="123" s="1"/>
  <c r="Q57" i="123"/>
  <c r="Y57" i="123"/>
  <c r="Z57" i="123" s="1"/>
  <c r="AB57" i="123"/>
  <c r="K58" i="123"/>
  <c r="L58" i="123"/>
  <c r="M58" i="123"/>
  <c r="N58" i="123"/>
  <c r="O58" i="123"/>
  <c r="P58" i="123"/>
  <c r="R58" i="123" s="1"/>
  <c r="Q58" i="123"/>
  <c r="Y58" i="123"/>
  <c r="AA58" i="123" s="1"/>
  <c r="AB58" i="123"/>
  <c r="AC58" i="123" s="1"/>
  <c r="K59" i="123"/>
  <c r="L59" i="123"/>
  <c r="M59" i="123"/>
  <c r="N59" i="123"/>
  <c r="O59" i="123"/>
  <c r="P59" i="123"/>
  <c r="R59" i="123" s="1"/>
  <c r="Q59" i="123"/>
  <c r="Y59" i="123"/>
  <c r="AB59" i="123"/>
  <c r="AD59" i="123" s="1"/>
  <c r="K60" i="123"/>
  <c r="L60" i="123"/>
  <c r="M60" i="123"/>
  <c r="N60" i="123"/>
  <c r="O60" i="123"/>
  <c r="P60" i="123"/>
  <c r="R60" i="123" s="1"/>
  <c r="Q60" i="123"/>
  <c r="Y60" i="123"/>
  <c r="Z60" i="123" s="1"/>
  <c r="AB60" i="123"/>
  <c r="AC60" i="123" s="1"/>
  <c r="K61" i="123"/>
  <c r="L61" i="123"/>
  <c r="M61" i="123"/>
  <c r="N61" i="123"/>
  <c r="O61" i="123"/>
  <c r="P61" i="123"/>
  <c r="R61" i="123" s="1"/>
  <c r="Q61" i="123"/>
  <c r="Y61" i="123"/>
  <c r="Z61" i="123" s="1"/>
  <c r="AB61" i="123"/>
  <c r="K62" i="123"/>
  <c r="L62" i="123"/>
  <c r="M62" i="123"/>
  <c r="N62" i="123"/>
  <c r="O62" i="123"/>
  <c r="P62" i="123"/>
  <c r="R62" i="123" s="1"/>
  <c r="Q62" i="123"/>
  <c r="Y62" i="123"/>
  <c r="AA62" i="123" s="1"/>
  <c r="AB62" i="123"/>
  <c r="AC62" i="123" s="1"/>
  <c r="K63" i="123"/>
  <c r="L63" i="123"/>
  <c r="M63" i="123"/>
  <c r="N63" i="123"/>
  <c r="O63" i="123"/>
  <c r="P63" i="123"/>
  <c r="R63" i="123" s="1"/>
  <c r="Q63" i="123"/>
  <c r="Y63" i="123"/>
  <c r="Z63" i="123" s="1"/>
  <c r="AB63" i="123"/>
  <c r="AD63" i="123" s="1"/>
  <c r="K64" i="123"/>
  <c r="L64" i="123"/>
  <c r="M64" i="123"/>
  <c r="N64" i="123"/>
  <c r="O64" i="123"/>
  <c r="P64" i="123"/>
  <c r="R64" i="123" s="1"/>
  <c r="Q64" i="123"/>
  <c r="Y64" i="123"/>
  <c r="AA64" i="123" s="1"/>
  <c r="AB64" i="123"/>
  <c r="K65" i="123"/>
  <c r="L65" i="123"/>
  <c r="M65" i="123"/>
  <c r="N65" i="123"/>
  <c r="O65" i="123"/>
  <c r="P65" i="123"/>
  <c r="R65" i="123" s="1"/>
  <c r="Q65" i="123"/>
  <c r="Y65" i="123"/>
  <c r="Z65" i="123" s="1"/>
  <c r="AB65" i="123"/>
  <c r="AD65" i="123" s="1"/>
  <c r="K66" i="123"/>
  <c r="L66" i="123"/>
  <c r="M66" i="123"/>
  <c r="N66" i="123"/>
  <c r="O66" i="123"/>
  <c r="P66" i="123"/>
  <c r="R66" i="123" s="1"/>
  <c r="Q66" i="123"/>
  <c r="Y66" i="123"/>
  <c r="AA66" i="123" s="1"/>
  <c r="AB66" i="123"/>
  <c r="AD66" i="123" s="1"/>
  <c r="K67" i="123"/>
  <c r="L67" i="123"/>
  <c r="M67" i="123"/>
  <c r="N67" i="123"/>
  <c r="O67" i="123"/>
  <c r="P67" i="123"/>
  <c r="R67" i="123" s="1"/>
  <c r="Q67" i="123"/>
  <c r="Y67" i="123"/>
  <c r="Z67" i="123" s="1"/>
  <c r="AB67" i="123"/>
  <c r="AD67" i="123" s="1"/>
  <c r="K68" i="123"/>
  <c r="L68" i="123"/>
  <c r="M68" i="123"/>
  <c r="N68" i="123"/>
  <c r="O68" i="123"/>
  <c r="P68" i="123"/>
  <c r="R68" i="123" s="1"/>
  <c r="Y68" i="123"/>
  <c r="AA68" i="123" s="1"/>
  <c r="AB68" i="123"/>
  <c r="AC68" i="123" s="1"/>
  <c r="K69" i="123"/>
  <c r="L69" i="123"/>
  <c r="M69" i="123"/>
  <c r="N69" i="123"/>
  <c r="O69" i="123"/>
  <c r="P69" i="123"/>
  <c r="R69" i="123" s="1"/>
  <c r="Q69" i="123"/>
  <c r="Y69" i="123"/>
  <c r="Z69" i="123" s="1"/>
  <c r="AB69" i="123"/>
  <c r="K70" i="123"/>
  <c r="L70" i="123"/>
  <c r="M70" i="123"/>
  <c r="N70" i="123"/>
  <c r="O70" i="123"/>
  <c r="P70" i="123"/>
  <c r="R70" i="123" s="1"/>
  <c r="Q70" i="123"/>
  <c r="Y70" i="123"/>
  <c r="AA70" i="123" s="1"/>
  <c r="AB70" i="123"/>
  <c r="AD70" i="123" s="1"/>
  <c r="K71" i="123"/>
  <c r="L71" i="123"/>
  <c r="M71" i="123"/>
  <c r="N71" i="123"/>
  <c r="O71" i="123"/>
  <c r="P71" i="123"/>
  <c r="R71" i="123" s="1"/>
  <c r="Q71" i="123"/>
  <c r="Y71" i="123"/>
  <c r="AB71" i="123"/>
  <c r="AD71" i="123" s="1"/>
  <c r="AK71" i="123"/>
  <c r="K72" i="123"/>
  <c r="L72" i="123"/>
  <c r="M72" i="123"/>
  <c r="N72" i="123"/>
  <c r="O72" i="123"/>
  <c r="P72" i="123"/>
  <c r="R72" i="123" s="1"/>
  <c r="Q72" i="123"/>
  <c r="Y72" i="123"/>
  <c r="Z72" i="123" s="1"/>
  <c r="AB72" i="123"/>
  <c r="AD72" i="123" s="1"/>
  <c r="K73" i="123"/>
  <c r="L73" i="123"/>
  <c r="M73" i="123"/>
  <c r="N73" i="123"/>
  <c r="O73" i="123"/>
  <c r="P73" i="123"/>
  <c r="R73" i="123" s="1"/>
  <c r="Q73" i="123"/>
  <c r="Y73" i="123"/>
  <c r="AA73" i="123" s="1"/>
  <c r="AB73" i="123"/>
  <c r="AC73" i="123" s="1"/>
  <c r="K74" i="123"/>
  <c r="L74" i="123"/>
  <c r="M74" i="123"/>
  <c r="N74" i="123"/>
  <c r="O74" i="123"/>
  <c r="P74" i="123"/>
  <c r="R74" i="123" s="1"/>
  <c r="Q74" i="123"/>
  <c r="Y74" i="123"/>
  <c r="AB74" i="123"/>
  <c r="K75" i="123"/>
  <c r="L75" i="123"/>
  <c r="M75" i="123"/>
  <c r="N75" i="123"/>
  <c r="O75" i="123"/>
  <c r="P75" i="123"/>
  <c r="R75" i="123" s="1"/>
  <c r="Q75" i="123"/>
  <c r="Y75" i="123"/>
  <c r="AA75" i="123" s="1"/>
  <c r="AB75" i="123"/>
  <c r="AD75" i="123" s="1"/>
  <c r="K76" i="123"/>
  <c r="L76" i="123"/>
  <c r="M76" i="123"/>
  <c r="N76" i="123"/>
  <c r="O76" i="123"/>
  <c r="P76" i="123"/>
  <c r="R76" i="123" s="1"/>
  <c r="Q76" i="123"/>
  <c r="Y76" i="123"/>
  <c r="Z76" i="123" s="1"/>
  <c r="AB76" i="123"/>
  <c r="AD76" i="123" s="1"/>
  <c r="K77" i="123"/>
  <c r="L77" i="123"/>
  <c r="M77" i="123"/>
  <c r="N77" i="123"/>
  <c r="O77" i="123"/>
  <c r="P77" i="123"/>
  <c r="R77" i="123" s="1"/>
  <c r="Q77" i="123"/>
  <c r="Y77" i="123"/>
  <c r="AB77" i="123"/>
  <c r="AC77" i="123" s="1"/>
  <c r="AK77" i="123"/>
  <c r="K78" i="123"/>
  <c r="L78" i="123"/>
  <c r="M78" i="123"/>
  <c r="N78" i="123"/>
  <c r="O78" i="123"/>
  <c r="P78" i="123"/>
  <c r="R78" i="123" s="1"/>
  <c r="Q78" i="123"/>
  <c r="Y78" i="123"/>
  <c r="Z78" i="123" s="1"/>
  <c r="AB78" i="123"/>
  <c r="AD78" i="123" s="1"/>
  <c r="K79" i="123"/>
  <c r="L79" i="123"/>
  <c r="M79" i="123"/>
  <c r="N79" i="123"/>
  <c r="O79" i="123"/>
  <c r="P79" i="123"/>
  <c r="R79" i="123" s="1"/>
  <c r="Q79" i="123"/>
  <c r="Y79" i="123"/>
  <c r="AB79" i="123"/>
  <c r="AD79" i="123" s="1"/>
  <c r="K80" i="123"/>
  <c r="L80" i="123"/>
  <c r="M80" i="123"/>
  <c r="N80" i="123"/>
  <c r="O80" i="123"/>
  <c r="P80" i="123"/>
  <c r="R80" i="123" s="1"/>
  <c r="Q80" i="123"/>
  <c r="Y80" i="123"/>
  <c r="AB80" i="123"/>
  <c r="K81" i="123"/>
  <c r="L81" i="123"/>
  <c r="M81" i="123"/>
  <c r="N81" i="123"/>
  <c r="O81" i="123"/>
  <c r="P81" i="123"/>
  <c r="R81" i="123" s="1"/>
  <c r="Q81" i="123"/>
  <c r="Y81" i="123"/>
  <c r="AB81" i="123"/>
  <c r="AC81" i="123" s="1"/>
  <c r="K82" i="123"/>
  <c r="L82" i="123"/>
  <c r="M82" i="123"/>
  <c r="N82" i="123"/>
  <c r="O82" i="123"/>
  <c r="P82" i="123"/>
  <c r="R82" i="123" s="1"/>
  <c r="Q82" i="123"/>
  <c r="Y82" i="123"/>
  <c r="AA82" i="123" s="1"/>
  <c r="AB82" i="123"/>
  <c r="AC82" i="123" s="1"/>
  <c r="K83" i="123"/>
  <c r="L83" i="123"/>
  <c r="M83" i="123"/>
  <c r="N83" i="123"/>
  <c r="O83" i="123"/>
  <c r="P83" i="123"/>
  <c r="R83" i="123" s="1"/>
  <c r="Q83" i="123"/>
  <c r="Y83" i="123"/>
  <c r="AB83" i="123"/>
  <c r="AD83" i="123" s="1"/>
  <c r="K84" i="123"/>
  <c r="L84" i="123"/>
  <c r="M84" i="123"/>
  <c r="N84" i="123"/>
  <c r="O84" i="123"/>
  <c r="P84" i="123"/>
  <c r="R84" i="123" s="1"/>
  <c r="Q84" i="123"/>
  <c r="Y84" i="123"/>
  <c r="Z84" i="123" s="1"/>
  <c r="AB84" i="123"/>
  <c r="K85" i="123"/>
  <c r="L85" i="123"/>
  <c r="M85" i="123"/>
  <c r="N85" i="123"/>
  <c r="O85" i="123"/>
  <c r="P85" i="123"/>
  <c r="R85" i="123" s="1"/>
  <c r="Q85" i="123"/>
  <c r="Y85" i="123"/>
  <c r="Z85" i="123" s="1"/>
  <c r="AB85" i="123"/>
  <c r="K86" i="123"/>
  <c r="L86" i="123"/>
  <c r="M86" i="123"/>
  <c r="N86" i="123"/>
  <c r="O86" i="123"/>
  <c r="P86" i="123"/>
  <c r="R86" i="123" s="1"/>
  <c r="Q86" i="123"/>
  <c r="Y86" i="123"/>
  <c r="AA86" i="123" s="1"/>
  <c r="AB86" i="123"/>
  <c r="K87" i="123"/>
  <c r="L87" i="123"/>
  <c r="M87" i="123"/>
  <c r="N87" i="123"/>
  <c r="O87" i="123"/>
  <c r="P87" i="123"/>
  <c r="R87" i="123" s="1"/>
  <c r="Q87" i="123"/>
  <c r="Y87" i="123"/>
  <c r="AB87" i="123"/>
  <c r="AD87" i="123" s="1"/>
  <c r="K88" i="123"/>
  <c r="L88" i="123"/>
  <c r="M88" i="123"/>
  <c r="N88" i="123"/>
  <c r="O88" i="123"/>
  <c r="P88" i="123"/>
  <c r="R88" i="123" s="1"/>
  <c r="Q88" i="123"/>
  <c r="Y88" i="123"/>
  <c r="AA88" i="123" s="1"/>
  <c r="AB88" i="123"/>
  <c r="K89" i="123"/>
  <c r="L89" i="123"/>
  <c r="M89" i="123"/>
  <c r="N89" i="123"/>
  <c r="O89" i="123"/>
  <c r="P89" i="123"/>
  <c r="R89" i="123" s="1"/>
  <c r="Q89" i="123"/>
  <c r="Y89" i="123"/>
  <c r="Z89" i="123" s="1"/>
  <c r="AB89" i="123"/>
  <c r="AC89" i="123" s="1"/>
  <c r="K90" i="123"/>
  <c r="L90" i="123"/>
  <c r="M90" i="123"/>
  <c r="N90" i="123"/>
  <c r="O90" i="123"/>
  <c r="P90" i="123"/>
  <c r="R90" i="123" s="1"/>
  <c r="Q90" i="123"/>
  <c r="Y90" i="123"/>
  <c r="AA90" i="123" s="1"/>
  <c r="AB90" i="123"/>
  <c r="AC90" i="123" s="1"/>
  <c r="K91" i="123"/>
  <c r="L91" i="123"/>
  <c r="M91" i="123"/>
  <c r="N91" i="123"/>
  <c r="O91" i="123"/>
  <c r="P91" i="123"/>
  <c r="R91" i="123" s="1"/>
  <c r="Q91" i="123"/>
  <c r="Y91" i="123"/>
  <c r="AB91" i="123"/>
  <c r="AD91" i="123" s="1"/>
  <c r="K92" i="123"/>
  <c r="L92" i="123"/>
  <c r="M92" i="123"/>
  <c r="N92" i="123"/>
  <c r="O92" i="123"/>
  <c r="P92" i="123"/>
  <c r="R92" i="123" s="1"/>
  <c r="Y92" i="123"/>
  <c r="AB92" i="123"/>
  <c r="K93" i="123"/>
  <c r="L93" i="123"/>
  <c r="M93" i="123"/>
  <c r="N93" i="123"/>
  <c r="O93" i="123"/>
  <c r="P93" i="123"/>
  <c r="R93" i="123" s="1"/>
  <c r="Q93" i="123"/>
  <c r="Y93" i="123"/>
  <c r="Z93" i="123" s="1"/>
  <c r="AB93" i="123"/>
  <c r="K94" i="123"/>
  <c r="L94" i="123"/>
  <c r="M94" i="123"/>
  <c r="N94" i="123"/>
  <c r="O94" i="123"/>
  <c r="P94" i="123"/>
  <c r="R94" i="123" s="1"/>
  <c r="Q94" i="123"/>
  <c r="Y94" i="123"/>
  <c r="AB94" i="123"/>
  <c r="K95" i="123"/>
  <c r="L95" i="123"/>
  <c r="M95" i="123"/>
  <c r="N95" i="123"/>
  <c r="O95" i="123"/>
  <c r="P95" i="123"/>
  <c r="R95" i="123" s="1"/>
  <c r="Q95" i="123"/>
  <c r="Y95" i="123"/>
  <c r="AB95" i="123"/>
  <c r="K96" i="123"/>
  <c r="L96" i="123"/>
  <c r="M96" i="123"/>
  <c r="N96" i="123"/>
  <c r="O96" i="123"/>
  <c r="P96" i="123"/>
  <c r="R96" i="123" s="1"/>
  <c r="Q96" i="123"/>
  <c r="Y96" i="123"/>
  <c r="AB96" i="123"/>
  <c r="K97" i="123"/>
  <c r="L97" i="123"/>
  <c r="M97" i="123"/>
  <c r="N97" i="123"/>
  <c r="O97" i="123"/>
  <c r="P97" i="123"/>
  <c r="R97" i="123" s="1"/>
  <c r="Q97" i="123"/>
  <c r="Y97" i="123"/>
  <c r="AB97" i="123"/>
  <c r="K98" i="123"/>
  <c r="L98" i="123"/>
  <c r="M98" i="123"/>
  <c r="N98" i="123"/>
  <c r="O98" i="123"/>
  <c r="P98" i="123"/>
  <c r="R98" i="123" s="1"/>
  <c r="Q98" i="123"/>
  <c r="Y98" i="123"/>
  <c r="AA98" i="123" s="1"/>
  <c r="AB98" i="123"/>
  <c r="K99" i="123"/>
  <c r="L99" i="123"/>
  <c r="M99" i="123"/>
  <c r="N99" i="123"/>
  <c r="O99" i="123"/>
  <c r="P99" i="123"/>
  <c r="R99" i="123" s="1"/>
  <c r="Y99" i="123"/>
  <c r="AB99" i="123"/>
  <c r="AD99" i="123" s="1"/>
  <c r="K100" i="123"/>
  <c r="L100" i="123"/>
  <c r="M100" i="123"/>
  <c r="N100" i="123"/>
  <c r="O100" i="123"/>
  <c r="P100" i="123"/>
  <c r="R100" i="123" s="1"/>
  <c r="Q100" i="123"/>
  <c r="Y100" i="123"/>
  <c r="AB100" i="123"/>
  <c r="K101" i="123"/>
  <c r="L101" i="123"/>
  <c r="M101" i="123"/>
  <c r="N101" i="123"/>
  <c r="O101" i="123"/>
  <c r="P101" i="123"/>
  <c r="R101" i="123" s="1"/>
  <c r="Q101" i="123"/>
  <c r="Y101" i="123"/>
  <c r="AB101" i="123"/>
  <c r="K102" i="123"/>
  <c r="L102" i="123"/>
  <c r="M102" i="123"/>
  <c r="N102" i="123"/>
  <c r="O102" i="123"/>
  <c r="P102" i="123"/>
  <c r="R102" i="123" s="1"/>
  <c r="Y102" i="123"/>
  <c r="AB102" i="123"/>
  <c r="K103" i="123"/>
  <c r="L103" i="123"/>
  <c r="M103" i="123"/>
  <c r="N103" i="123"/>
  <c r="O103" i="123"/>
  <c r="P103" i="123"/>
  <c r="R103" i="123" s="1"/>
  <c r="Q103" i="123"/>
  <c r="Y103" i="123"/>
  <c r="AB103" i="123"/>
  <c r="K104" i="123"/>
  <c r="L104" i="123"/>
  <c r="M104" i="123"/>
  <c r="N104" i="123"/>
  <c r="O104" i="123"/>
  <c r="P104" i="123"/>
  <c r="R104" i="123" s="1"/>
  <c r="Q104" i="123"/>
  <c r="Y104" i="123"/>
  <c r="Z104" i="123" s="1"/>
  <c r="AB104" i="123"/>
  <c r="K105" i="123"/>
  <c r="L105" i="123"/>
  <c r="M105" i="123"/>
  <c r="N105" i="123"/>
  <c r="O105" i="123"/>
  <c r="P105" i="123"/>
  <c r="R105" i="123" s="1"/>
  <c r="Q105" i="123"/>
  <c r="Y105" i="123"/>
  <c r="AB105" i="123"/>
  <c r="AC105" i="123" s="1"/>
  <c r="K106" i="123"/>
  <c r="L106" i="123"/>
  <c r="M106" i="123"/>
  <c r="N106" i="123"/>
  <c r="O106" i="123"/>
  <c r="P106" i="123"/>
  <c r="R106" i="123" s="1"/>
  <c r="Q106" i="123"/>
  <c r="Y106" i="123"/>
  <c r="AA106" i="123" s="1"/>
  <c r="AB106" i="123"/>
  <c r="AC106" i="123" s="1"/>
  <c r="K107" i="123"/>
  <c r="L107" i="123"/>
  <c r="M107" i="123"/>
  <c r="N107" i="123"/>
  <c r="O107" i="123"/>
  <c r="P107" i="123"/>
  <c r="R107" i="123" s="1"/>
  <c r="Q107" i="123"/>
  <c r="Y107" i="123"/>
  <c r="AB107" i="123"/>
  <c r="AD107" i="123" s="1"/>
  <c r="K108" i="123"/>
  <c r="L108" i="123"/>
  <c r="M108" i="123"/>
  <c r="N108" i="123"/>
  <c r="O108" i="123"/>
  <c r="P108" i="123"/>
  <c r="R108" i="123" s="1"/>
  <c r="Q108" i="123"/>
  <c r="Y108" i="123"/>
  <c r="Z108" i="123" s="1"/>
  <c r="AB108" i="123"/>
  <c r="K109" i="123"/>
  <c r="L109" i="123"/>
  <c r="M109" i="123"/>
  <c r="N109" i="123"/>
  <c r="O109" i="123"/>
  <c r="P109" i="123"/>
  <c r="R109" i="123" s="1"/>
  <c r="Q109" i="123"/>
  <c r="Y109" i="123"/>
  <c r="AB109" i="123"/>
  <c r="AC109" i="123" s="1"/>
  <c r="K110" i="123"/>
  <c r="L110" i="123"/>
  <c r="M110" i="123"/>
  <c r="N110" i="123"/>
  <c r="O110" i="123"/>
  <c r="P110" i="123"/>
  <c r="R110" i="123" s="1"/>
  <c r="Q110" i="123"/>
  <c r="Y110" i="123"/>
  <c r="AB110" i="123"/>
  <c r="AC110" i="123" s="1"/>
  <c r="K111" i="123"/>
  <c r="L111" i="123"/>
  <c r="M111" i="123"/>
  <c r="N111" i="123"/>
  <c r="O111" i="123"/>
  <c r="P111" i="123"/>
  <c r="R111" i="123" s="1"/>
  <c r="Q111" i="123"/>
  <c r="Y111" i="123"/>
  <c r="AB111" i="123"/>
  <c r="K112" i="123"/>
  <c r="L112" i="123"/>
  <c r="M112" i="123"/>
  <c r="N112" i="123"/>
  <c r="O112" i="123"/>
  <c r="P112" i="123"/>
  <c r="R112" i="123" s="1"/>
  <c r="Q112" i="123"/>
  <c r="Y112" i="123"/>
  <c r="AB112" i="123"/>
  <c r="K113" i="123"/>
  <c r="L113" i="123"/>
  <c r="M113" i="123"/>
  <c r="N113" i="123"/>
  <c r="O113" i="123"/>
  <c r="P113" i="123"/>
  <c r="R113" i="123" s="1"/>
  <c r="Q113" i="123"/>
  <c r="Y113" i="123"/>
  <c r="AB113" i="123"/>
  <c r="K114" i="123"/>
  <c r="L114" i="123"/>
  <c r="M114" i="123"/>
  <c r="N114" i="123"/>
  <c r="O114" i="123"/>
  <c r="P114" i="123"/>
  <c r="R114" i="123" s="1"/>
  <c r="Q114" i="123"/>
  <c r="Y114" i="123"/>
  <c r="AA114" i="123" s="1"/>
  <c r="AB114" i="123"/>
  <c r="AD114" i="123" s="1"/>
  <c r="K115" i="123"/>
  <c r="L115" i="123"/>
  <c r="M115" i="123"/>
  <c r="N115" i="123"/>
  <c r="O115" i="123"/>
  <c r="P115" i="123"/>
  <c r="R115" i="123" s="1"/>
  <c r="Q115" i="123"/>
  <c r="Y115" i="123"/>
  <c r="AB115" i="123"/>
  <c r="AD115" i="123" s="1"/>
  <c r="K116" i="123"/>
  <c r="L116" i="123"/>
  <c r="M116" i="123"/>
  <c r="N116" i="123"/>
  <c r="O116" i="123"/>
  <c r="P116" i="123"/>
  <c r="R116" i="123" s="1"/>
  <c r="Q116" i="123"/>
  <c r="Y116" i="123"/>
  <c r="AB116" i="123"/>
  <c r="K117" i="123"/>
  <c r="L117" i="123"/>
  <c r="M117" i="123"/>
  <c r="N117" i="123"/>
  <c r="O117" i="123"/>
  <c r="P117" i="123"/>
  <c r="R117" i="123" s="1"/>
  <c r="Q117" i="123"/>
  <c r="Y117" i="123"/>
  <c r="Z117" i="123" s="1"/>
  <c r="AB117" i="123"/>
  <c r="K118" i="123"/>
  <c r="L118" i="123"/>
  <c r="M118" i="123"/>
  <c r="N118" i="123"/>
  <c r="O118" i="123"/>
  <c r="P118" i="123"/>
  <c r="R118" i="123" s="1"/>
  <c r="Q118" i="123"/>
  <c r="Y118" i="123"/>
  <c r="AB118" i="123"/>
  <c r="AC118" i="123" s="1"/>
  <c r="K119" i="123"/>
  <c r="L119" i="123"/>
  <c r="M119" i="123"/>
  <c r="N119" i="123"/>
  <c r="O119" i="123"/>
  <c r="P119" i="123"/>
  <c r="R119" i="123" s="1"/>
  <c r="Q119" i="123"/>
  <c r="Y119" i="123"/>
  <c r="Z119" i="123" s="1"/>
  <c r="AB119" i="123"/>
  <c r="AD119" i="123" s="1"/>
  <c r="K120" i="123"/>
  <c r="L120" i="123"/>
  <c r="M120" i="123"/>
  <c r="N120" i="123"/>
  <c r="O120" i="123"/>
  <c r="P120" i="123"/>
  <c r="R120" i="123" s="1"/>
  <c r="Q120" i="123"/>
  <c r="Y120" i="123"/>
  <c r="AB120" i="123"/>
  <c r="AC120" i="123" s="1"/>
  <c r="K121" i="123"/>
  <c r="L121" i="123"/>
  <c r="M121" i="123"/>
  <c r="N121" i="123"/>
  <c r="O121" i="123"/>
  <c r="P121" i="123"/>
  <c r="R121" i="123" s="1"/>
  <c r="Q121" i="123"/>
  <c r="Y121" i="123"/>
  <c r="AB121" i="123"/>
  <c r="K122" i="123"/>
  <c r="L122" i="123"/>
  <c r="M122" i="123"/>
  <c r="N122" i="123"/>
  <c r="O122" i="123"/>
  <c r="P122" i="123"/>
  <c r="R122" i="123" s="1"/>
  <c r="Q122" i="123"/>
  <c r="Y122" i="123"/>
  <c r="Z122" i="123" s="1"/>
  <c r="AB122" i="123"/>
  <c r="K123" i="123"/>
  <c r="L123" i="123"/>
  <c r="M123" i="123"/>
  <c r="N123" i="123"/>
  <c r="O123" i="123"/>
  <c r="P123" i="123"/>
  <c r="R123" i="123" s="1"/>
  <c r="Q123" i="123"/>
  <c r="Y123" i="123"/>
  <c r="Z123" i="123" s="1"/>
  <c r="AB123" i="123"/>
  <c r="AC123" i="123" s="1"/>
  <c r="K124" i="123"/>
  <c r="L124" i="123"/>
  <c r="M124" i="123"/>
  <c r="N124" i="123"/>
  <c r="O124" i="123"/>
  <c r="P124" i="123"/>
  <c r="R124" i="123" s="1"/>
  <c r="Q124" i="123"/>
  <c r="Y124" i="123"/>
  <c r="AB124" i="123"/>
  <c r="AC124" i="123" s="1"/>
  <c r="K125" i="123"/>
  <c r="L125" i="123"/>
  <c r="M125" i="123"/>
  <c r="N125" i="123"/>
  <c r="O125" i="123"/>
  <c r="P125" i="123"/>
  <c r="R125" i="123" s="1"/>
  <c r="Q125" i="123"/>
  <c r="Y125" i="123"/>
  <c r="AA125" i="123" s="1"/>
  <c r="AB125" i="123"/>
  <c r="AD125" i="123" s="1"/>
  <c r="K126" i="123"/>
  <c r="L126" i="123"/>
  <c r="M126" i="123"/>
  <c r="N126" i="123"/>
  <c r="O126" i="123"/>
  <c r="P126" i="123"/>
  <c r="R126" i="123" s="1"/>
  <c r="Q126" i="123"/>
  <c r="Y126" i="123"/>
  <c r="AB126" i="123"/>
  <c r="AD126" i="123" s="1"/>
  <c r="K127" i="123"/>
  <c r="L127" i="123"/>
  <c r="M127" i="123"/>
  <c r="N127" i="123"/>
  <c r="O127" i="123"/>
  <c r="P127" i="123"/>
  <c r="R127" i="123" s="1"/>
  <c r="Q127" i="123"/>
  <c r="Y127" i="123"/>
  <c r="AB127" i="123"/>
  <c r="K128" i="123"/>
  <c r="L128" i="123"/>
  <c r="M128" i="123"/>
  <c r="N128" i="123"/>
  <c r="O128" i="123"/>
  <c r="P128" i="123"/>
  <c r="R128" i="123" s="1"/>
  <c r="Q128" i="123"/>
  <c r="Y128" i="123"/>
  <c r="Z128" i="123" s="1"/>
  <c r="AB128" i="123"/>
  <c r="K129" i="123"/>
  <c r="L129" i="123"/>
  <c r="M129" i="123"/>
  <c r="N129" i="123"/>
  <c r="O129" i="123"/>
  <c r="P129" i="123"/>
  <c r="R129" i="123" s="1"/>
  <c r="Q129" i="123"/>
  <c r="Y129" i="123"/>
  <c r="AA129" i="123" s="1"/>
  <c r="AB129" i="123"/>
  <c r="AD129" i="123" s="1"/>
  <c r="K130" i="123"/>
  <c r="L130" i="123"/>
  <c r="M130" i="123"/>
  <c r="N130" i="123"/>
  <c r="O130" i="123"/>
  <c r="P130" i="123"/>
  <c r="R130" i="123" s="1"/>
  <c r="Q130" i="123"/>
  <c r="Y130" i="123"/>
  <c r="AB130" i="123"/>
  <c r="AD130" i="123" s="1"/>
  <c r="K131" i="123"/>
  <c r="L131" i="123"/>
  <c r="M131" i="123"/>
  <c r="N131" i="123"/>
  <c r="O131" i="123"/>
  <c r="P131" i="123"/>
  <c r="R131" i="123" s="1"/>
  <c r="Q131" i="123"/>
  <c r="Y131" i="123"/>
  <c r="AB131" i="123"/>
  <c r="K132" i="123"/>
  <c r="L132" i="123"/>
  <c r="M132" i="123"/>
  <c r="N132" i="123"/>
  <c r="O132" i="123"/>
  <c r="P132" i="123"/>
  <c r="R132" i="123" s="1"/>
  <c r="Q132" i="123"/>
  <c r="Y132" i="123"/>
  <c r="AA132" i="123" s="1"/>
  <c r="AB132" i="123"/>
  <c r="AC132" i="123" s="1"/>
  <c r="K133" i="123"/>
  <c r="L133" i="123"/>
  <c r="M133" i="123"/>
  <c r="N133" i="123"/>
  <c r="O133" i="123"/>
  <c r="P133" i="123"/>
  <c r="R133" i="123" s="1"/>
  <c r="Q133" i="123"/>
  <c r="Y133" i="123"/>
  <c r="AA133" i="123" s="1"/>
  <c r="AB133" i="123"/>
  <c r="K134" i="123"/>
  <c r="L134" i="123"/>
  <c r="M134" i="123"/>
  <c r="N134" i="123"/>
  <c r="O134" i="123"/>
  <c r="P134" i="123"/>
  <c r="R134" i="123" s="1"/>
  <c r="Q134" i="123"/>
  <c r="Y134" i="123"/>
  <c r="AB134" i="123"/>
  <c r="AD134" i="123" s="1"/>
  <c r="K135" i="123"/>
  <c r="L135" i="123"/>
  <c r="M135" i="123"/>
  <c r="N135" i="123"/>
  <c r="O135" i="123"/>
  <c r="P135" i="123"/>
  <c r="R135" i="123" s="1"/>
  <c r="Q135" i="123"/>
  <c r="Y135" i="123"/>
  <c r="AB135" i="123"/>
  <c r="K136" i="123"/>
  <c r="L136" i="123"/>
  <c r="M136" i="123"/>
  <c r="N136" i="123"/>
  <c r="O136" i="123"/>
  <c r="P136" i="123"/>
  <c r="R136" i="123" s="1"/>
  <c r="Q136" i="123"/>
  <c r="Y136" i="123"/>
  <c r="AA136" i="123" s="1"/>
  <c r="AB136" i="123"/>
  <c r="AC136" i="123" s="1"/>
  <c r="K137" i="123"/>
  <c r="L137" i="123"/>
  <c r="M137" i="123"/>
  <c r="N137" i="123"/>
  <c r="O137" i="123"/>
  <c r="P137" i="123"/>
  <c r="R137" i="123" s="1"/>
  <c r="Q137" i="123"/>
  <c r="Y137" i="123"/>
  <c r="AB137" i="123"/>
  <c r="AD137" i="123" s="1"/>
  <c r="K138" i="123"/>
  <c r="L138" i="123"/>
  <c r="M138" i="123"/>
  <c r="N138" i="123"/>
  <c r="O138" i="123"/>
  <c r="P138" i="123"/>
  <c r="R138" i="123" s="1"/>
  <c r="Q138" i="123"/>
  <c r="Y138" i="123"/>
  <c r="AA138" i="123" s="1"/>
  <c r="AB138" i="123"/>
  <c r="AD138" i="123" s="1"/>
  <c r="K139" i="123"/>
  <c r="L139" i="123"/>
  <c r="M139" i="123"/>
  <c r="N139" i="123"/>
  <c r="O139" i="123"/>
  <c r="P139" i="123"/>
  <c r="R139" i="123" s="1"/>
  <c r="Q139" i="123"/>
  <c r="Y139" i="123"/>
  <c r="AB139" i="123"/>
  <c r="AD139" i="123" s="1"/>
  <c r="K140" i="123"/>
  <c r="L140" i="123"/>
  <c r="M140" i="123"/>
  <c r="N140" i="123"/>
  <c r="O140" i="123"/>
  <c r="P140" i="123"/>
  <c r="R140" i="123" s="1"/>
  <c r="Q140" i="123"/>
  <c r="Y140" i="123"/>
  <c r="AA140" i="123" s="1"/>
  <c r="AB140" i="123"/>
  <c r="AC140" i="123" s="1"/>
  <c r="K141" i="123"/>
  <c r="L141" i="123"/>
  <c r="M141" i="123"/>
  <c r="N141" i="123"/>
  <c r="O141" i="123"/>
  <c r="P141" i="123"/>
  <c r="R141" i="123" s="1"/>
  <c r="Q141" i="123"/>
  <c r="Y141" i="123"/>
  <c r="AB141" i="123"/>
  <c r="K142" i="123"/>
  <c r="L142" i="123"/>
  <c r="M142" i="123"/>
  <c r="N142" i="123"/>
  <c r="O142" i="123"/>
  <c r="P142" i="123"/>
  <c r="R142" i="123" s="1"/>
  <c r="Q142" i="123"/>
  <c r="Y142" i="123"/>
  <c r="AA142" i="123" s="1"/>
  <c r="AB142" i="123"/>
  <c r="K143" i="123"/>
  <c r="L143" i="123"/>
  <c r="M143" i="123"/>
  <c r="N143" i="123"/>
  <c r="O143" i="123"/>
  <c r="P143" i="123"/>
  <c r="R143" i="123" s="1"/>
  <c r="Y143" i="123"/>
  <c r="AB143" i="123"/>
  <c r="AD143" i="123" s="1"/>
  <c r="K144" i="123"/>
  <c r="L144" i="123"/>
  <c r="M144" i="123"/>
  <c r="N144" i="123"/>
  <c r="O144" i="123"/>
  <c r="P144" i="123"/>
  <c r="R144" i="123" s="1"/>
  <c r="Q144" i="123"/>
  <c r="Y144" i="123"/>
  <c r="AB144" i="123"/>
  <c r="AK144" i="123"/>
  <c r="K145" i="123"/>
  <c r="L145" i="123"/>
  <c r="M145" i="123"/>
  <c r="N145" i="123"/>
  <c r="O145" i="123"/>
  <c r="P145" i="123"/>
  <c r="R145" i="123" s="1"/>
  <c r="Q145" i="123"/>
  <c r="Y145" i="123"/>
  <c r="AB145" i="123"/>
  <c r="K146" i="123"/>
  <c r="L146" i="123"/>
  <c r="M146" i="123"/>
  <c r="N146" i="123"/>
  <c r="O146" i="123"/>
  <c r="P146" i="123"/>
  <c r="R146" i="123" s="1"/>
  <c r="Q146" i="123"/>
  <c r="Y146" i="123"/>
  <c r="Z146" i="123" s="1"/>
  <c r="AB146" i="123"/>
  <c r="K147" i="123"/>
  <c r="L147" i="123"/>
  <c r="M147" i="123"/>
  <c r="N147" i="123"/>
  <c r="O147" i="123"/>
  <c r="P147" i="123"/>
  <c r="R147" i="123" s="1"/>
  <c r="Q147" i="123"/>
  <c r="Y147" i="123"/>
  <c r="AA147" i="123" s="1"/>
  <c r="AB147" i="123"/>
  <c r="AC147" i="123" s="1"/>
  <c r="K148" i="123"/>
  <c r="L148" i="123"/>
  <c r="M148" i="123"/>
  <c r="N148" i="123"/>
  <c r="O148" i="123"/>
  <c r="P148" i="123"/>
  <c r="R148" i="123" s="1"/>
  <c r="Q148" i="123"/>
  <c r="Y148" i="123"/>
  <c r="AB148" i="123"/>
  <c r="AD148" i="123" s="1"/>
  <c r="K149" i="123"/>
  <c r="M149" i="123"/>
  <c r="N149" i="123"/>
  <c r="O149" i="123"/>
  <c r="P149" i="123"/>
  <c r="R149" i="123" s="1"/>
  <c r="Q149" i="123"/>
  <c r="Y149" i="123"/>
  <c r="AB149" i="123"/>
  <c r="K150" i="123"/>
  <c r="M150" i="123"/>
  <c r="N150" i="123"/>
  <c r="O150" i="123"/>
  <c r="P150" i="123"/>
  <c r="R150" i="123" s="1"/>
  <c r="Q150" i="123"/>
  <c r="Y150" i="123"/>
  <c r="Z150" i="123" s="1"/>
  <c r="AB150" i="123"/>
  <c r="K151" i="123"/>
  <c r="M151" i="123"/>
  <c r="N151" i="123"/>
  <c r="O151" i="123"/>
  <c r="P151" i="123"/>
  <c r="R151" i="123" s="1"/>
  <c r="Q151" i="123"/>
  <c r="Y151" i="123"/>
  <c r="Z151" i="123" s="1"/>
  <c r="AB151" i="123"/>
  <c r="AC151" i="123" s="1"/>
  <c r="K152" i="123"/>
  <c r="M152" i="123"/>
  <c r="N152" i="123"/>
  <c r="O152" i="123"/>
  <c r="P152" i="123"/>
  <c r="R152" i="123" s="1"/>
  <c r="Q152" i="123"/>
  <c r="Y152" i="123"/>
  <c r="AB152" i="123"/>
  <c r="AC152" i="123" s="1"/>
  <c r="K153" i="123"/>
  <c r="M153" i="123"/>
  <c r="N153" i="123"/>
  <c r="O153" i="123"/>
  <c r="P153" i="123"/>
  <c r="R153" i="123" s="1"/>
  <c r="Q153" i="123"/>
  <c r="Y153" i="123"/>
  <c r="AB153" i="123"/>
  <c r="AD153" i="123" s="1"/>
  <c r="K154" i="123"/>
  <c r="M154" i="123"/>
  <c r="N154" i="123"/>
  <c r="O154" i="123"/>
  <c r="P154" i="123"/>
  <c r="R154" i="123" s="1"/>
  <c r="Q154" i="123"/>
  <c r="Y154" i="123"/>
  <c r="Z154" i="123" s="1"/>
  <c r="AB154" i="123"/>
  <c r="K155" i="123"/>
  <c r="M155" i="123"/>
  <c r="N155" i="123"/>
  <c r="O155" i="123"/>
  <c r="P155" i="123"/>
  <c r="R155" i="123" s="1"/>
  <c r="Q155" i="123"/>
  <c r="Y155" i="123"/>
  <c r="AA155" i="123" s="1"/>
  <c r="AB155" i="123"/>
  <c r="AC155" i="123" s="1"/>
  <c r="K156" i="123"/>
  <c r="M156" i="123"/>
  <c r="N156" i="123"/>
  <c r="O156" i="123"/>
  <c r="P156" i="123"/>
  <c r="R156" i="123" s="1"/>
  <c r="Q156" i="123"/>
  <c r="Y156" i="123"/>
  <c r="AA156" i="123" s="1"/>
  <c r="AB156" i="123"/>
  <c r="AC156" i="123" s="1"/>
  <c r="K157" i="123"/>
  <c r="M157" i="123"/>
  <c r="N157" i="123"/>
  <c r="O157" i="123"/>
  <c r="P157" i="123"/>
  <c r="R157" i="123" s="1"/>
  <c r="Q157" i="123"/>
  <c r="Y157" i="123"/>
  <c r="AB157" i="123"/>
  <c r="AD157" i="123" s="1"/>
  <c r="K158" i="123"/>
  <c r="M158" i="123"/>
  <c r="N158" i="123"/>
  <c r="O158" i="123"/>
  <c r="P158" i="123"/>
  <c r="R158" i="123" s="1"/>
  <c r="Q158" i="123"/>
  <c r="Y158" i="123"/>
  <c r="Z158" i="123" s="1"/>
  <c r="AB158" i="123"/>
  <c r="K159" i="123"/>
  <c r="M159" i="123"/>
  <c r="N159" i="123"/>
  <c r="O159" i="123"/>
  <c r="P159" i="123"/>
  <c r="R159" i="123" s="1"/>
  <c r="Q159" i="123"/>
  <c r="Y159" i="123"/>
  <c r="Z159" i="123" s="1"/>
  <c r="AB159" i="123"/>
  <c r="AC159" i="123" s="1"/>
  <c r="K160" i="123"/>
  <c r="M160" i="123"/>
  <c r="N160" i="123"/>
  <c r="O160" i="123"/>
  <c r="P160" i="123"/>
  <c r="R160" i="123" s="1"/>
  <c r="Y160" i="123"/>
  <c r="AA160" i="123" s="1"/>
  <c r="AB160" i="123"/>
  <c r="AD160" i="123" s="1"/>
  <c r="K161" i="123"/>
  <c r="M161" i="123"/>
  <c r="N161" i="123"/>
  <c r="O161" i="123"/>
  <c r="P161" i="123"/>
  <c r="R161" i="123" s="1"/>
  <c r="Q161" i="123"/>
  <c r="Y161" i="123"/>
  <c r="AB161" i="123"/>
  <c r="AD161" i="123" s="1"/>
  <c r="K162" i="123"/>
  <c r="M162" i="123"/>
  <c r="N162" i="123"/>
  <c r="O162" i="123"/>
  <c r="P162" i="123"/>
  <c r="R162" i="123" s="1"/>
  <c r="Q162" i="123"/>
  <c r="Y162" i="123"/>
  <c r="Z162" i="123" s="1"/>
  <c r="AB162" i="123"/>
  <c r="K163" i="123"/>
  <c r="M163" i="123"/>
  <c r="N163" i="123"/>
  <c r="O163" i="123"/>
  <c r="P163" i="123"/>
  <c r="R163" i="123" s="1"/>
  <c r="Q163" i="123"/>
  <c r="Y163" i="123"/>
  <c r="Z163" i="123" s="1"/>
  <c r="AB163" i="123"/>
  <c r="AD163" i="123" s="1"/>
  <c r="K164" i="123"/>
  <c r="M164" i="123"/>
  <c r="N164" i="123"/>
  <c r="O164" i="123"/>
  <c r="P164" i="123"/>
  <c r="R164" i="123" s="1"/>
  <c r="Y164" i="123"/>
  <c r="AA164" i="123" s="1"/>
  <c r="AB164" i="123"/>
  <c r="AC164" i="123" s="1"/>
  <c r="K165" i="123"/>
  <c r="M165" i="123"/>
  <c r="N165" i="123"/>
  <c r="O165" i="123"/>
  <c r="P165" i="123"/>
  <c r="R165" i="123" s="1"/>
  <c r="Q165" i="123"/>
  <c r="Y165" i="123"/>
  <c r="AB165" i="123"/>
  <c r="AD165" i="123" s="1"/>
  <c r="K166" i="123"/>
  <c r="M166" i="123"/>
  <c r="N166" i="123"/>
  <c r="O166" i="123"/>
  <c r="P166" i="123"/>
  <c r="R166" i="123" s="1"/>
  <c r="Q166" i="123"/>
  <c r="Y166" i="123"/>
  <c r="Z166" i="123" s="1"/>
  <c r="AB166" i="123"/>
  <c r="AC166" i="123" s="1"/>
  <c r="K167" i="123"/>
  <c r="M167" i="123"/>
  <c r="N167" i="123"/>
  <c r="O167" i="123"/>
  <c r="P167" i="123"/>
  <c r="R167" i="123" s="1"/>
  <c r="Q167" i="123"/>
  <c r="Y167" i="123"/>
  <c r="AA167" i="123" s="1"/>
  <c r="AB167" i="123"/>
  <c r="AD167" i="123" s="1"/>
  <c r="K168" i="123"/>
  <c r="M168" i="123"/>
  <c r="N168" i="123"/>
  <c r="O168" i="123"/>
  <c r="P168" i="123"/>
  <c r="R168" i="123" s="1"/>
  <c r="Y168" i="123"/>
  <c r="AA168" i="123" s="1"/>
  <c r="AB168" i="123"/>
  <c r="AC168" i="123" s="1"/>
  <c r="K169" i="123"/>
  <c r="M169" i="123"/>
  <c r="N169" i="123"/>
  <c r="O169" i="123"/>
  <c r="P169" i="123"/>
  <c r="R169" i="123" s="1"/>
  <c r="Q169" i="123"/>
  <c r="Y169" i="123"/>
  <c r="Z169" i="123" s="1"/>
  <c r="AB169" i="123"/>
  <c r="K170" i="123"/>
  <c r="M170" i="123"/>
  <c r="N170" i="123"/>
  <c r="O170" i="123"/>
  <c r="P170" i="123"/>
  <c r="R170" i="123" s="1"/>
  <c r="Q170" i="123"/>
  <c r="Y170" i="123"/>
  <c r="Z170" i="123" s="1"/>
  <c r="AB170" i="123"/>
  <c r="AC170" i="123" s="1"/>
  <c r="K171" i="123"/>
  <c r="M171" i="123"/>
  <c r="N171" i="123"/>
  <c r="O171" i="123"/>
  <c r="P171" i="123"/>
  <c r="R171" i="123" s="1"/>
  <c r="Q171" i="123"/>
  <c r="Y171" i="123"/>
  <c r="AA171" i="123" s="1"/>
  <c r="AB171" i="123"/>
  <c r="AC171" i="123" s="1"/>
  <c r="K172" i="123"/>
  <c r="M172" i="123"/>
  <c r="N172" i="123"/>
  <c r="O172" i="123"/>
  <c r="P172" i="123"/>
  <c r="R172" i="123" s="1"/>
  <c r="Y172" i="123"/>
  <c r="AA172" i="123" s="1"/>
  <c r="AB172" i="123"/>
  <c r="AC172" i="123" s="1"/>
  <c r="K173" i="123"/>
  <c r="M173" i="123"/>
  <c r="N173" i="123"/>
  <c r="O173" i="123"/>
  <c r="P173" i="123"/>
  <c r="R173" i="123" s="1"/>
  <c r="Q173" i="123"/>
  <c r="Y173" i="123"/>
  <c r="Z173" i="123" s="1"/>
  <c r="AB173" i="123"/>
  <c r="AD173" i="123" s="1"/>
  <c r="K174" i="123"/>
  <c r="M174" i="123"/>
  <c r="N174" i="123"/>
  <c r="O174" i="123"/>
  <c r="P174" i="123"/>
  <c r="R174" i="123" s="1"/>
  <c r="Q174" i="123"/>
  <c r="Y174" i="123"/>
  <c r="Z174" i="123" s="1"/>
  <c r="AB174" i="123"/>
  <c r="AC174" i="123" s="1"/>
  <c r="K175" i="123"/>
  <c r="M175" i="123"/>
  <c r="N175" i="123"/>
  <c r="O175" i="123"/>
  <c r="P175" i="123"/>
  <c r="R175" i="123" s="1"/>
  <c r="Q175" i="123"/>
  <c r="Y175" i="123"/>
  <c r="AA175" i="123" s="1"/>
  <c r="AB175" i="123"/>
  <c r="K176" i="123"/>
  <c r="M176" i="123"/>
  <c r="N176" i="123"/>
  <c r="O176" i="123"/>
  <c r="P176" i="123"/>
  <c r="R176" i="123" s="1"/>
  <c r="Q176" i="123"/>
  <c r="Y176" i="123"/>
  <c r="AB176" i="123"/>
  <c r="AC176" i="123" s="1"/>
  <c r="K177" i="123"/>
  <c r="M177" i="123"/>
  <c r="N177" i="123"/>
  <c r="O177" i="123"/>
  <c r="P177" i="123"/>
  <c r="R177" i="123" s="1"/>
  <c r="Q177" i="123"/>
  <c r="Y177" i="123"/>
  <c r="Z177" i="123" s="1"/>
  <c r="AB177" i="123"/>
  <c r="AD177" i="123" s="1"/>
  <c r="K178" i="123"/>
  <c r="M178" i="123"/>
  <c r="N178" i="123"/>
  <c r="O178" i="123"/>
  <c r="P178" i="123"/>
  <c r="R178" i="123" s="1"/>
  <c r="Q178" i="123"/>
  <c r="Y178" i="123"/>
  <c r="AB178" i="123"/>
  <c r="AC178" i="123" s="1"/>
  <c r="K179" i="123"/>
  <c r="M179" i="123"/>
  <c r="N179" i="123"/>
  <c r="O179" i="123"/>
  <c r="P179" i="123"/>
  <c r="R179" i="123" s="1"/>
  <c r="Q179" i="123"/>
  <c r="Y179" i="123"/>
  <c r="Z179" i="123" s="1"/>
  <c r="AB179" i="123"/>
  <c r="K180" i="123"/>
  <c r="M180" i="123"/>
  <c r="N180" i="123"/>
  <c r="O180" i="123"/>
  <c r="P180" i="123"/>
  <c r="R180" i="123" s="1"/>
  <c r="Q180" i="123"/>
  <c r="Y180" i="123"/>
  <c r="Z180" i="123" s="1"/>
  <c r="AB180" i="123"/>
  <c r="K181" i="123"/>
  <c r="M181" i="123"/>
  <c r="N181" i="123"/>
  <c r="O181" i="123"/>
  <c r="P181" i="123"/>
  <c r="R181" i="123" s="1"/>
  <c r="Q181" i="123"/>
  <c r="Y181" i="123"/>
  <c r="Z181" i="123" s="1"/>
  <c r="AB181" i="123"/>
  <c r="AD181" i="123" s="1"/>
  <c r="K182" i="123"/>
  <c r="M182" i="123"/>
  <c r="N182" i="123"/>
  <c r="O182" i="123"/>
  <c r="P182" i="123"/>
  <c r="R182" i="123" s="1"/>
  <c r="Q182" i="123"/>
  <c r="Y182" i="123"/>
  <c r="AB182" i="123"/>
  <c r="AC182" i="123" s="1"/>
  <c r="K183" i="123"/>
  <c r="M183" i="123"/>
  <c r="N183" i="123"/>
  <c r="O183" i="123"/>
  <c r="P183" i="123"/>
  <c r="R183" i="123" s="1"/>
  <c r="Q183" i="123"/>
  <c r="Y183" i="123"/>
  <c r="AB183" i="123"/>
  <c r="K184" i="123"/>
  <c r="M184" i="123"/>
  <c r="N184" i="123"/>
  <c r="O184" i="123"/>
  <c r="P184" i="123"/>
  <c r="R184" i="123" s="1"/>
  <c r="Q184" i="123"/>
  <c r="Y184" i="123"/>
  <c r="AB184" i="123"/>
  <c r="K185" i="123"/>
  <c r="M185" i="123"/>
  <c r="N185" i="123"/>
  <c r="O185" i="123"/>
  <c r="P185" i="123"/>
  <c r="R185" i="123" s="1"/>
  <c r="Q185" i="123"/>
  <c r="Y185" i="123"/>
  <c r="Z185" i="123" s="1"/>
  <c r="AB185" i="123"/>
  <c r="AC185" i="123" s="1"/>
  <c r="K186" i="123"/>
  <c r="M186" i="123"/>
  <c r="N186" i="123"/>
  <c r="O186" i="123"/>
  <c r="P186" i="123"/>
  <c r="R186" i="123" s="1"/>
  <c r="Y186" i="123"/>
  <c r="AA186" i="123" s="1"/>
  <c r="AB186" i="123"/>
  <c r="K187" i="123"/>
  <c r="M187" i="123"/>
  <c r="N187" i="123"/>
  <c r="O187" i="123"/>
  <c r="P187" i="123"/>
  <c r="R187" i="123" s="1"/>
  <c r="Q187" i="123"/>
  <c r="Y187" i="123"/>
  <c r="AB187" i="123"/>
  <c r="AD187" i="123" s="1"/>
  <c r="K188" i="123"/>
  <c r="M188" i="123"/>
  <c r="N188" i="123"/>
  <c r="O188" i="123"/>
  <c r="P188" i="123"/>
  <c r="R188" i="123" s="1"/>
  <c r="Q188" i="123"/>
  <c r="Y188" i="123"/>
  <c r="Z188" i="123" s="1"/>
  <c r="AB188" i="123"/>
  <c r="K189" i="123"/>
  <c r="M189" i="123"/>
  <c r="N189" i="123"/>
  <c r="O189" i="123"/>
  <c r="P189" i="123"/>
  <c r="R189" i="123" s="1"/>
  <c r="Q189" i="123"/>
  <c r="Y189" i="123"/>
  <c r="Z189" i="123" s="1"/>
  <c r="AB189" i="123"/>
  <c r="K190" i="123"/>
  <c r="M190" i="123"/>
  <c r="N190" i="123"/>
  <c r="O190" i="123"/>
  <c r="P190" i="123"/>
  <c r="R190" i="123" s="1"/>
  <c r="Q190" i="123"/>
  <c r="Y190" i="123"/>
  <c r="AA190" i="123" s="1"/>
  <c r="AB190" i="123"/>
  <c r="K191" i="123"/>
  <c r="M191" i="123"/>
  <c r="N191" i="123"/>
  <c r="O191" i="123"/>
  <c r="P191" i="123"/>
  <c r="R191" i="123" s="1"/>
  <c r="Q191" i="123"/>
  <c r="Y191" i="123"/>
  <c r="AB191" i="123"/>
  <c r="AD191" i="123" s="1"/>
  <c r="K192" i="123"/>
  <c r="M192" i="123"/>
  <c r="N192" i="123"/>
  <c r="O192" i="123"/>
  <c r="P192" i="123"/>
  <c r="R192" i="123" s="1"/>
  <c r="Q192" i="123"/>
  <c r="Y192" i="123"/>
  <c r="AA192" i="123" s="1"/>
  <c r="AB192" i="123"/>
  <c r="K193" i="123"/>
  <c r="M193" i="123"/>
  <c r="N193" i="123"/>
  <c r="O193" i="123"/>
  <c r="P193" i="123"/>
  <c r="R193" i="123" s="1"/>
  <c r="Q193" i="123"/>
  <c r="Y193" i="123"/>
  <c r="AB193" i="123"/>
  <c r="AD193" i="123" s="1"/>
  <c r="K194" i="123"/>
  <c r="M194" i="123"/>
  <c r="N194" i="123"/>
  <c r="O194" i="123"/>
  <c r="P194" i="123"/>
  <c r="R194" i="123" s="1"/>
  <c r="Q194" i="123"/>
  <c r="Y194" i="123"/>
  <c r="AB194" i="123"/>
  <c r="AC194" i="123" s="1"/>
  <c r="K195" i="123"/>
  <c r="M195" i="123"/>
  <c r="N195" i="123"/>
  <c r="O195" i="123"/>
  <c r="P195" i="123"/>
  <c r="R195" i="123" s="1"/>
  <c r="Q195" i="123"/>
  <c r="Y195" i="123"/>
  <c r="AB195" i="123"/>
  <c r="AD195" i="123" s="1"/>
  <c r="K196" i="123"/>
  <c r="M196" i="123"/>
  <c r="N196" i="123"/>
  <c r="O196" i="123"/>
  <c r="P196" i="123"/>
  <c r="R196" i="123" s="1"/>
  <c r="Q196" i="123"/>
  <c r="Y196" i="123"/>
  <c r="AB196" i="123"/>
  <c r="K197" i="123"/>
  <c r="M197" i="123"/>
  <c r="N197" i="123"/>
  <c r="O197" i="123"/>
  <c r="P197" i="123"/>
  <c r="R197" i="123" s="1"/>
  <c r="Q197" i="123"/>
  <c r="Y197" i="123"/>
  <c r="AB197" i="123"/>
  <c r="AD197" i="123" s="1"/>
  <c r="K198" i="123"/>
  <c r="M198" i="123"/>
  <c r="N198" i="123"/>
  <c r="O198" i="123"/>
  <c r="P198" i="123"/>
  <c r="R198" i="123" s="1"/>
  <c r="Q198" i="123"/>
  <c r="Y198" i="123"/>
  <c r="AB198" i="123"/>
  <c r="AC198" i="123" s="1"/>
  <c r="K199" i="123"/>
  <c r="M199" i="123"/>
  <c r="N199" i="123"/>
  <c r="O199" i="123"/>
  <c r="P199" i="123"/>
  <c r="R199" i="123" s="1"/>
  <c r="Q199" i="123"/>
  <c r="Y199" i="123"/>
  <c r="AB199" i="123"/>
  <c r="K200" i="123"/>
  <c r="M200" i="123"/>
  <c r="N200" i="123"/>
  <c r="O200" i="123"/>
  <c r="P200" i="123"/>
  <c r="R200" i="123" s="1"/>
  <c r="Q200" i="123"/>
  <c r="Y200" i="123"/>
  <c r="Z200" i="123" s="1"/>
  <c r="AB200" i="123"/>
  <c r="K201" i="123"/>
  <c r="M201" i="123"/>
  <c r="N201" i="123"/>
  <c r="O201" i="123"/>
  <c r="P201" i="123"/>
  <c r="R201" i="123" s="1"/>
  <c r="Q201" i="123"/>
  <c r="Y201" i="123"/>
  <c r="Z201" i="123" s="1"/>
  <c r="AB201" i="123"/>
  <c r="AC201" i="123" s="1"/>
  <c r="K202" i="123"/>
  <c r="M202" i="123"/>
  <c r="N202" i="123"/>
  <c r="O202" i="123"/>
  <c r="P202" i="123"/>
  <c r="R202" i="123" s="1"/>
  <c r="Y202" i="123"/>
  <c r="AA202" i="123" s="1"/>
  <c r="AB202" i="123"/>
  <c r="AC202" i="123" s="1"/>
  <c r="K203" i="123"/>
  <c r="M203" i="123"/>
  <c r="N203" i="123"/>
  <c r="O203" i="123"/>
  <c r="P203" i="123"/>
  <c r="R203" i="123" s="1"/>
  <c r="Q203" i="123"/>
  <c r="Y203" i="123"/>
  <c r="AB203" i="123"/>
  <c r="AD203" i="123" s="1"/>
  <c r="K204" i="123"/>
  <c r="M204" i="123"/>
  <c r="N204" i="123"/>
  <c r="O204" i="123"/>
  <c r="P204" i="123"/>
  <c r="R204" i="123" s="1"/>
  <c r="Q204" i="123"/>
  <c r="Y204" i="123"/>
  <c r="Z204" i="123" s="1"/>
  <c r="AB204" i="123"/>
  <c r="K205" i="123"/>
  <c r="M205" i="123"/>
  <c r="N205" i="123"/>
  <c r="O205" i="123"/>
  <c r="P205" i="123"/>
  <c r="R205" i="123" s="1"/>
  <c r="Q205" i="123"/>
  <c r="Y205" i="123"/>
  <c r="AB205" i="123"/>
  <c r="AC205" i="123" s="1"/>
  <c r="K206" i="123"/>
  <c r="M206" i="123"/>
  <c r="N206" i="123"/>
  <c r="O206" i="123"/>
  <c r="P206" i="123"/>
  <c r="R206" i="123" s="1"/>
  <c r="Q206" i="123"/>
  <c r="Y206" i="123"/>
  <c r="AA206" i="123" s="1"/>
  <c r="AB206" i="123"/>
  <c r="AC206" i="123" s="1"/>
  <c r="K207" i="123"/>
  <c r="M207" i="123"/>
  <c r="N207" i="123"/>
  <c r="O207" i="123"/>
  <c r="P207" i="123"/>
  <c r="R207" i="123" s="1"/>
  <c r="Q207" i="123"/>
  <c r="Y207" i="123"/>
  <c r="AB207" i="123"/>
  <c r="AD207" i="123" s="1"/>
  <c r="K208" i="123"/>
  <c r="M208" i="123"/>
  <c r="N208" i="123"/>
  <c r="O208" i="123"/>
  <c r="P208" i="123"/>
  <c r="R208" i="123" s="1"/>
  <c r="Q208" i="123"/>
  <c r="Y208" i="123"/>
  <c r="Z208" i="123" s="1"/>
  <c r="AB208" i="123"/>
  <c r="K209" i="123"/>
  <c r="M209" i="123"/>
  <c r="N209" i="123"/>
  <c r="O209" i="123"/>
  <c r="P209" i="123"/>
  <c r="R209" i="123" s="1"/>
  <c r="Q209" i="123"/>
  <c r="Y209" i="123"/>
  <c r="AB209" i="123"/>
  <c r="AC209" i="123" s="1"/>
  <c r="K210" i="123"/>
  <c r="M210" i="123"/>
  <c r="N210" i="123"/>
  <c r="O210" i="123"/>
  <c r="P210" i="123"/>
  <c r="R210" i="123" s="1"/>
  <c r="Q210" i="123"/>
  <c r="Y210" i="123"/>
  <c r="AA210" i="123" s="1"/>
  <c r="AB210" i="123"/>
  <c r="AC210" i="123" s="1"/>
  <c r="K211" i="123"/>
  <c r="M211" i="123"/>
  <c r="N211" i="123"/>
  <c r="O211" i="123"/>
  <c r="P211" i="123"/>
  <c r="R211" i="123" s="1"/>
  <c r="Q211" i="123"/>
  <c r="Y211" i="123"/>
  <c r="Z211" i="123" s="1"/>
  <c r="AB211" i="123"/>
  <c r="AD211" i="123" s="1"/>
  <c r="K212" i="123"/>
  <c r="M212" i="123"/>
  <c r="N212" i="123"/>
  <c r="O212" i="123"/>
  <c r="P212" i="123"/>
  <c r="R212" i="123" s="1"/>
  <c r="Q212" i="123"/>
  <c r="Y212" i="123"/>
  <c r="AB212" i="123"/>
  <c r="AC212" i="123" s="1"/>
  <c r="K213" i="123"/>
  <c r="M213" i="123"/>
  <c r="N213" i="123"/>
  <c r="O213" i="123"/>
  <c r="P213" i="123"/>
  <c r="R213" i="123" s="1"/>
  <c r="Q213" i="123"/>
  <c r="Y213" i="123"/>
  <c r="Z213" i="123" s="1"/>
  <c r="AB213" i="123"/>
  <c r="AC213" i="123" s="1"/>
  <c r="K214" i="123"/>
  <c r="M214" i="123"/>
  <c r="N214" i="123"/>
  <c r="O214" i="123"/>
  <c r="P214" i="123"/>
  <c r="R214" i="123" s="1"/>
  <c r="Y214" i="123"/>
  <c r="AA214" i="123" s="1"/>
  <c r="AB214" i="123"/>
  <c r="AC214" i="123" s="1"/>
  <c r="K215" i="123"/>
  <c r="M215" i="123"/>
  <c r="N215" i="123"/>
  <c r="O215" i="123"/>
  <c r="P215" i="123"/>
  <c r="R215" i="123" s="1"/>
  <c r="Q215" i="123"/>
  <c r="Y215" i="123"/>
  <c r="Z215" i="123" s="1"/>
  <c r="AB215" i="123"/>
  <c r="AD215" i="123" s="1"/>
  <c r="K216" i="123"/>
  <c r="M216" i="123"/>
  <c r="N216" i="123"/>
  <c r="O216" i="123"/>
  <c r="P216" i="123"/>
  <c r="R216" i="123" s="1"/>
  <c r="Q216" i="123"/>
  <c r="Y216" i="123"/>
  <c r="AB216" i="123"/>
  <c r="K217" i="123"/>
  <c r="M217" i="123"/>
  <c r="N217" i="123"/>
  <c r="O217" i="123"/>
  <c r="P217" i="123"/>
  <c r="R217" i="123" s="1"/>
  <c r="Q217" i="123"/>
  <c r="Y217" i="123"/>
  <c r="Z217" i="123" s="1"/>
  <c r="AB217" i="123"/>
  <c r="K218" i="123"/>
  <c r="M218" i="123"/>
  <c r="N218" i="123"/>
  <c r="O218" i="123"/>
  <c r="P218" i="123"/>
  <c r="R218" i="123" s="1"/>
  <c r="Y218" i="123"/>
  <c r="AA218" i="123" s="1"/>
  <c r="AB218" i="123"/>
  <c r="K219" i="123"/>
  <c r="M219" i="123"/>
  <c r="N219" i="123"/>
  <c r="O219" i="123"/>
  <c r="P219" i="123"/>
  <c r="R219" i="123" s="1"/>
  <c r="Q219" i="123"/>
  <c r="Y219" i="123"/>
  <c r="AB219" i="123"/>
  <c r="AD219" i="123" s="1"/>
  <c r="K220" i="123"/>
  <c r="M220" i="123"/>
  <c r="N220" i="123"/>
  <c r="O220" i="123"/>
  <c r="P220" i="123"/>
  <c r="R220" i="123" s="1"/>
  <c r="Q220" i="123"/>
  <c r="Y220" i="123"/>
  <c r="AB220" i="123"/>
  <c r="K221" i="123"/>
  <c r="M221" i="123"/>
  <c r="N221" i="123"/>
  <c r="O221" i="123"/>
  <c r="P221" i="123"/>
  <c r="R221" i="123" s="1"/>
  <c r="Q221" i="123"/>
  <c r="Y221" i="123"/>
  <c r="AB221" i="123"/>
  <c r="AC221" i="123" s="1"/>
  <c r="K222" i="123"/>
  <c r="M222" i="123"/>
  <c r="N222" i="123"/>
  <c r="O222" i="123"/>
  <c r="P222" i="123"/>
  <c r="R222" i="123" s="1"/>
  <c r="Q222" i="123"/>
  <c r="Y222" i="123"/>
  <c r="AB222" i="123"/>
  <c r="K223" i="123"/>
  <c r="M223" i="123"/>
  <c r="N223" i="123"/>
  <c r="O223" i="123"/>
  <c r="P223" i="123"/>
  <c r="R223" i="123" s="1"/>
  <c r="Q223" i="123"/>
  <c r="Y223" i="123"/>
  <c r="Z223" i="123" s="1"/>
  <c r="AB223" i="123"/>
  <c r="K224" i="123"/>
  <c r="M224" i="123"/>
  <c r="N224" i="123"/>
  <c r="O224" i="123"/>
  <c r="P224" i="123"/>
  <c r="R224" i="123" s="1"/>
  <c r="Q224" i="123"/>
  <c r="Y224" i="123"/>
  <c r="Z224" i="123" s="1"/>
  <c r="AB224" i="123"/>
  <c r="AD224" i="123" s="1"/>
  <c r="K225" i="123"/>
  <c r="M225" i="123"/>
  <c r="N225" i="123"/>
  <c r="O225" i="123"/>
  <c r="P225" i="123"/>
  <c r="R225" i="123" s="1"/>
  <c r="Q225" i="123"/>
  <c r="Y225" i="123"/>
  <c r="Z225" i="123" s="1"/>
  <c r="AB225" i="123"/>
  <c r="AC225" i="123" s="1"/>
  <c r="K226" i="123"/>
  <c r="M226" i="123"/>
  <c r="N226" i="123"/>
  <c r="O226" i="123"/>
  <c r="P226" i="123"/>
  <c r="R226" i="123" s="1"/>
  <c r="Q226" i="123"/>
  <c r="Y226" i="123"/>
  <c r="AB226" i="123"/>
  <c r="K227" i="123"/>
  <c r="M227" i="123"/>
  <c r="N227" i="123"/>
  <c r="O227" i="123"/>
  <c r="P227" i="123"/>
  <c r="R227" i="123" s="1"/>
  <c r="Q227" i="123"/>
  <c r="Y227" i="123"/>
  <c r="Z227" i="123" s="1"/>
  <c r="AB227" i="123"/>
  <c r="K228" i="123"/>
  <c r="M228" i="123"/>
  <c r="N228" i="123"/>
  <c r="O228" i="123"/>
  <c r="P228" i="123"/>
  <c r="R228" i="123" s="1"/>
  <c r="Q228" i="123"/>
  <c r="Y228" i="123"/>
  <c r="Z228" i="123" s="1"/>
  <c r="AB228" i="123"/>
  <c r="AC228" i="123" s="1"/>
  <c r="AK228" i="123"/>
  <c r="K229" i="123"/>
  <c r="M229" i="123"/>
  <c r="N229" i="123"/>
  <c r="O229" i="123"/>
  <c r="P229" i="123"/>
  <c r="R229" i="123" s="1"/>
  <c r="Q229" i="123"/>
  <c r="Y229" i="123"/>
  <c r="AA229" i="123" s="1"/>
  <c r="AB229" i="123"/>
  <c r="AC229" i="123" s="1"/>
  <c r="K230" i="123"/>
  <c r="M230" i="123"/>
  <c r="N230" i="123"/>
  <c r="O230" i="123"/>
  <c r="P230" i="123"/>
  <c r="R230" i="123" s="1"/>
  <c r="Q230" i="123"/>
  <c r="Y230" i="123"/>
  <c r="Z230" i="123" s="1"/>
  <c r="AB230" i="123"/>
  <c r="AD230" i="123" s="1"/>
  <c r="K231" i="123"/>
  <c r="M231" i="123"/>
  <c r="N231" i="123"/>
  <c r="O231" i="123"/>
  <c r="P231" i="123"/>
  <c r="R231" i="123" s="1"/>
  <c r="Q231" i="123"/>
  <c r="Y231" i="123"/>
  <c r="AB231" i="123"/>
  <c r="AC231" i="123" s="1"/>
  <c r="K232" i="123"/>
  <c r="M232" i="123"/>
  <c r="N232" i="123"/>
  <c r="O232" i="123"/>
  <c r="P232" i="123"/>
  <c r="R232" i="123" s="1"/>
  <c r="Y232" i="123"/>
  <c r="Z232" i="123" s="1"/>
  <c r="AB232" i="123"/>
  <c r="AC232" i="123" s="1"/>
  <c r="K233" i="123"/>
  <c r="M233" i="123"/>
  <c r="N233" i="123"/>
  <c r="O233" i="123"/>
  <c r="P233" i="123"/>
  <c r="R233" i="123" s="1"/>
  <c r="Q233" i="123"/>
  <c r="Y233" i="123"/>
  <c r="AA233" i="123" s="1"/>
  <c r="AB233" i="123"/>
  <c r="AC233" i="123" s="1"/>
  <c r="K234" i="123"/>
  <c r="M234" i="123"/>
  <c r="N234" i="123"/>
  <c r="O234" i="123"/>
  <c r="P234" i="123"/>
  <c r="R234" i="123" s="1"/>
  <c r="Q234" i="123"/>
  <c r="Y234" i="123"/>
  <c r="Z234" i="123" s="1"/>
  <c r="AB234" i="123"/>
  <c r="AD234" i="123" s="1"/>
  <c r="K235" i="123"/>
  <c r="M235" i="123"/>
  <c r="N235" i="123"/>
  <c r="O235" i="123"/>
  <c r="P235" i="123"/>
  <c r="R235" i="123" s="1"/>
  <c r="Q235" i="123"/>
  <c r="Y235" i="123"/>
  <c r="AB235" i="123"/>
  <c r="AC235" i="123" s="1"/>
  <c r="K236" i="123"/>
  <c r="M236" i="123"/>
  <c r="N236" i="123"/>
  <c r="O236" i="123"/>
  <c r="P236" i="123"/>
  <c r="R236" i="123" s="1"/>
  <c r="Q236" i="123"/>
  <c r="Y236" i="123"/>
  <c r="Z236" i="123" s="1"/>
  <c r="AB236" i="123"/>
  <c r="K237" i="123"/>
  <c r="M237" i="123"/>
  <c r="N237" i="123"/>
  <c r="O237" i="123"/>
  <c r="P237" i="123"/>
  <c r="R237" i="123" s="1"/>
  <c r="Q237" i="123"/>
  <c r="Y237" i="123"/>
  <c r="AA237" i="123" s="1"/>
  <c r="AB237" i="123"/>
  <c r="K238" i="123"/>
  <c r="M238" i="123"/>
  <c r="N238" i="123"/>
  <c r="O238" i="123"/>
  <c r="P238" i="123"/>
  <c r="R238" i="123" s="1"/>
  <c r="Q238" i="123"/>
  <c r="Y238" i="123"/>
  <c r="Z238" i="123" s="1"/>
  <c r="AB238" i="123"/>
  <c r="AD238" i="123" s="1"/>
  <c r="K239" i="123"/>
  <c r="M239" i="123"/>
  <c r="N239" i="123"/>
  <c r="O239" i="123"/>
  <c r="P239" i="123"/>
  <c r="R239" i="123" s="1"/>
  <c r="Q239" i="123"/>
  <c r="Y239" i="123"/>
  <c r="Z239" i="123" s="1"/>
  <c r="AB239" i="123"/>
  <c r="AC239" i="123" s="1"/>
  <c r="K240" i="123"/>
  <c r="M240" i="123"/>
  <c r="N240" i="123"/>
  <c r="O240" i="123"/>
  <c r="P240" i="123"/>
  <c r="R240" i="123" s="1"/>
  <c r="Q240" i="123"/>
  <c r="Y240" i="123"/>
  <c r="Z240" i="123" s="1"/>
  <c r="AB240" i="123"/>
  <c r="K241" i="123"/>
  <c r="M241" i="123"/>
  <c r="N241" i="123"/>
  <c r="O241" i="123"/>
  <c r="P241" i="123"/>
  <c r="R241" i="123" s="1"/>
  <c r="Q241" i="123"/>
  <c r="Y241" i="123"/>
  <c r="AA241" i="123" s="1"/>
  <c r="AB241" i="123"/>
  <c r="AD241" i="123" s="1"/>
  <c r="K242" i="123"/>
  <c r="M242" i="123"/>
  <c r="N242" i="123"/>
  <c r="O242" i="123"/>
  <c r="P242" i="123"/>
  <c r="R242" i="123" s="1"/>
  <c r="Q242" i="123"/>
  <c r="Y242" i="123"/>
  <c r="Z242" i="123" s="1"/>
  <c r="AB242" i="123"/>
  <c r="AD242" i="123" s="1"/>
  <c r="K243" i="123"/>
  <c r="M243" i="123"/>
  <c r="N243" i="123"/>
  <c r="O243" i="123"/>
  <c r="P243" i="123"/>
  <c r="R243" i="123" s="1"/>
  <c r="Q243" i="123"/>
  <c r="Y243" i="123"/>
  <c r="AB243" i="123"/>
  <c r="AC243" i="123" s="1"/>
  <c r="K244" i="123"/>
  <c r="M244" i="123"/>
  <c r="N244" i="123"/>
  <c r="O244" i="123"/>
  <c r="P244" i="123"/>
  <c r="R244" i="123" s="1"/>
  <c r="Q244" i="123"/>
  <c r="Y244" i="123"/>
  <c r="AB244" i="123"/>
  <c r="AC244" i="123" s="1"/>
  <c r="K245" i="123"/>
  <c r="M245" i="123"/>
  <c r="N245" i="123"/>
  <c r="O245" i="123"/>
  <c r="P245" i="123"/>
  <c r="R245" i="123" s="1"/>
  <c r="Q245" i="123"/>
  <c r="Y245" i="123"/>
  <c r="AA245" i="123" s="1"/>
  <c r="AB245" i="123"/>
  <c r="AC245" i="123" s="1"/>
  <c r="K246" i="123"/>
  <c r="M246" i="123"/>
  <c r="N246" i="123"/>
  <c r="O246" i="123"/>
  <c r="P246" i="123"/>
  <c r="R246" i="123" s="1"/>
  <c r="Q246" i="123"/>
  <c r="Y246" i="123"/>
  <c r="Z246" i="123" s="1"/>
  <c r="AB246" i="123"/>
  <c r="AD246" i="123" s="1"/>
  <c r="AK246" i="123"/>
  <c r="K247" i="123"/>
  <c r="M247" i="123"/>
  <c r="N247" i="123"/>
  <c r="O247" i="123"/>
  <c r="P247" i="123"/>
  <c r="R247" i="123" s="1"/>
  <c r="Q247" i="123"/>
  <c r="Y247" i="123"/>
  <c r="Z247" i="123" s="1"/>
  <c r="AB247" i="123"/>
  <c r="AC247" i="123" s="1"/>
  <c r="AK247" i="123"/>
  <c r="K248" i="123"/>
  <c r="M248" i="123"/>
  <c r="N248" i="123"/>
  <c r="O248" i="123"/>
  <c r="P248" i="123"/>
  <c r="R248" i="123" s="1"/>
  <c r="Q248" i="123"/>
  <c r="Y248" i="123"/>
  <c r="Z248" i="123" s="1"/>
  <c r="AB248" i="123"/>
  <c r="AC248" i="123" s="1"/>
  <c r="K249" i="123"/>
  <c r="M249" i="123"/>
  <c r="N249" i="123"/>
  <c r="O249" i="123"/>
  <c r="P249" i="123"/>
  <c r="R249" i="123" s="1"/>
  <c r="Q249" i="123"/>
  <c r="Y249" i="123"/>
  <c r="AB249" i="123"/>
  <c r="AD249" i="123" s="1"/>
  <c r="K250" i="123"/>
  <c r="M250" i="123"/>
  <c r="N250" i="123"/>
  <c r="O250" i="123"/>
  <c r="P250" i="123"/>
  <c r="R250" i="123" s="1"/>
  <c r="Q250" i="123"/>
  <c r="Y250" i="123"/>
  <c r="Z250" i="123" s="1"/>
  <c r="AB250" i="123"/>
  <c r="K251" i="123"/>
  <c r="M251" i="123"/>
  <c r="N251" i="123"/>
  <c r="O251" i="123"/>
  <c r="P251" i="123"/>
  <c r="R251" i="123" s="1"/>
  <c r="Q251" i="123"/>
  <c r="Y251" i="123"/>
  <c r="AB251" i="123"/>
  <c r="AC251" i="123" s="1"/>
  <c r="K252" i="123"/>
  <c r="M252" i="123"/>
  <c r="N252" i="123"/>
  <c r="O252" i="123"/>
  <c r="P252" i="123"/>
  <c r="R252" i="123" s="1"/>
  <c r="Q252" i="123"/>
  <c r="Y252" i="123"/>
  <c r="AA252" i="123" s="1"/>
  <c r="AB252" i="123"/>
  <c r="K253" i="123"/>
  <c r="M253" i="123"/>
  <c r="N253" i="123"/>
  <c r="O253" i="123"/>
  <c r="P253" i="123"/>
  <c r="R253" i="123" s="1"/>
  <c r="Q253" i="123"/>
  <c r="Y253" i="123"/>
  <c r="AA253" i="123" s="1"/>
  <c r="AB253" i="123"/>
  <c r="K254" i="123"/>
  <c r="M254" i="123"/>
  <c r="N254" i="123"/>
  <c r="O254" i="123"/>
  <c r="P254" i="123"/>
  <c r="R254" i="123" s="1"/>
  <c r="Q254" i="123"/>
  <c r="Y254" i="123"/>
  <c r="Z254" i="123" s="1"/>
  <c r="AB254" i="123"/>
  <c r="K255" i="123"/>
  <c r="M255" i="123"/>
  <c r="N255" i="123"/>
  <c r="O255" i="123"/>
  <c r="P255" i="123"/>
  <c r="R255" i="123" s="1"/>
  <c r="Q255" i="123"/>
  <c r="Y255" i="123"/>
  <c r="AB255" i="123"/>
  <c r="AC255" i="123" s="1"/>
  <c r="K256" i="123"/>
  <c r="M256" i="123"/>
  <c r="N256" i="123"/>
  <c r="O256" i="123"/>
  <c r="P256" i="123"/>
  <c r="R256" i="123" s="1"/>
  <c r="Q256" i="123"/>
  <c r="Y256" i="123"/>
  <c r="AB256" i="123"/>
  <c r="AC256" i="123" s="1"/>
  <c r="K257" i="123"/>
  <c r="M257" i="123"/>
  <c r="N257" i="123"/>
  <c r="O257" i="123"/>
  <c r="P257" i="123"/>
  <c r="R257" i="123" s="1"/>
  <c r="Q257" i="123"/>
  <c r="Y257" i="123"/>
  <c r="AA257" i="123" s="1"/>
  <c r="AB257" i="123"/>
  <c r="AD257" i="123" s="1"/>
  <c r="K258" i="123"/>
  <c r="M258" i="123"/>
  <c r="N258" i="123"/>
  <c r="O258" i="123"/>
  <c r="P258" i="123"/>
  <c r="R258" i="123" s="1"/>
  <c r="Q258" i="123"/>
  <c r="Y258" i="123"/>
  <c r="Z258" i="123" s="1"/>
  <c r="AB258" i="123"/>
  <c r="AD258" i="123" s="1"/>
  <c r="K259" i="123"/>
  <c r="M259" i="123"/>
  <c r="N259" i="123"/>
  <c r="O259" i="123"/>
  <c r="P259" i="123"/>
  <c r="R259" i="123" s="1"/>
  <c r="Q259" i="123"/>
  <c r="Y259" i="123"/>
  <c r="Z259" i="123" s="1"/>
  <c r="AB259" i="123"/>
  <c r="AC259" i="123" s="1"/>
  <c r="K260" i="123"/>
  <c r="M260" i="123"/>
  <c r="N260" i="123"/>
  <c r="O260" i="123"/>
  <c r="P260" i="123"/>
  <c r="R260" i="123" s="1"/>
  <c r="Q260" i="123"/>
  <c r="Y260" i="123"/>
  <c r="Z260" i="123" s="1"/>
  <c r="AB260" i="123"/>
  <c r="AC260" i="123" s="1"/>
  <c r="K261" i="123"/>
  <c r="M261" i="123"/>
  <c r="N261" i="123"/>
  <c r="O261" i="123"/>
  <c r="P261" i="123"/>
  <c r="R261" i="123" s="1"/>
  <c r="Q261" i="123"/>
  <c r="Y261" i="123"/>
  <c r="AB261" i="123"/>
  <c r="AC261" i="123" s="1"/>
  <c r="K262" i="123"/>
  <c r="M262" i="123"/>
  <c r="N262" i="123"/>
  <c r="O262" i="123"/>
  <c r="P262" i="123"/>
  <c r="R262" i="123" s="1"/>
  <c r="Q262" i="123"/>
  <c r="Y262" i="123"/>
  <c r="Z262" i="123" s="1"/>
  <c r="AB262" i="123"/>
  <c r="AD262" i="123" s="1"/>
  <c r="K263" i="123"/>
  <c r="M263" i="123"/>
  <c r="N263" i="123"/>
  <c r="O263" i="123"/>
  <c r="P263" i="123"/>
  <c r="R263" i="123" s="1"/>
  <c r="Q263" i="123"/>
  <c r="Y263" i="123"/>
  <c r="Z263" i="123" s="1"/>
  <c r="AB263" i="123"/>
  <c r="AC263" i="123" s="1"/>
  <c r="K264" i="123"/>
  <c r="M264" i="123"/>
  <c r="N264" i="123"/>
  <c r="O264" i="123"/>
  <c r="P264" i="123"/>
  <c r="R264" i="123" s="1"/>
  <c r="Q264" i="123"/>
  <c r="Y264" i="123"/>
  <c r="Z264" i="123" s="1"/>
  <c r="AB264" i="123"/>
  <c r="K265" i="123"/>
  <c r="M265" i="123"/>
  <c r="N265" i="123"/>
  <c r="O265" i="123"/>
  <c r="P265" i="123"/>
  <c r="R265" i="123" s="1"/>
  <c r="Q265" i="123"/>
  <c r="Y265" i="123"/>
  <c r="AA265" i="123" s="1"/>
  <c r="AB265" i="123"/>
  <c r="AD265" i="123" s="1"/>
  <c r="K266" i="123"/>
  <c r="M266" i="123"/>
  <c r="N266" i="123"/>
  <c r="O266" i="123"/>
  <c r="P266" i="123"/>
  <c r="R266" i="123" s="1"/>
  <c r="Q266" i="123"/>
  <c r="Y266" i="123"/>
  <c r="Z266" i="123" s="1"/>
  <c r="AB266" i="123"/>
  <c r="K267" i="123"/>
  <c r="M267" i="123"/>
  <c r="N267" i="123"/>
  <c r="O267" i="123"/>
  <c r="P267" i="123"/>
  <c r="R267" i="123" s="1"/>
  <c r="Q267" i="123"/>
  <c r="Y267" i="123"/>
  <c r="Z267" i="123" s="1"/>
  <c r="AB267" i="123"/>
  <c r="AC267" i="123" s="1"/>
  <c r="K268" i="123"/>
  <c r="M268" i="123"/>
  <c r="N268" i="123"/>
  <c r="O268" i="123"/>
  <c r="P268" i="123"/>
  <c r="R268" i="123" s="1"/>
  <c r="Q268" i="123"/>
  <c r="Y268" i="123"/>
  <c r="AA268" i="123" s="1"/>
  <c r="AB268" i="123"/>
  <c r="K269" i="123"/>
  <c r="M269" i="123"/>
  <c r="N269" i="123"/>
  <c r="O269" i="123"/>
  <c r="P269" i="123"/>
  <c r="R269" i="123" s="1"/>
  <c r="Q269" i="123"/>
  <c r="Y269" i="123"/>
  <c r="AA269" i="123" s="1"/>
  <c r="AB269" i="123"/>
  <c r="K270" i="123"/>
  <c r="M270" i="123"/>
  <c r="N270" i="123"/>
  <c r="O270" i="123"/>
  <c r="P270" i="123"/>
  <c r="R270" i="123" s="1"/>
  <c r="Q270" i="123"/>
  <c r="Y270" i="123"/>
  <c r="Z270" i="123" s="1"/>
  <c r="AB270" i="123"/>
  <c r="K271" i="123"/>
  <c r="M271" i="123"/>
  <c r="N271" i="123"/>
  <c r="O271" i="123"/>
  <c r="P271" i="123"/>
  <c r="R271" i="123" s="1"/>
  <c r="Q271" i="123"/>
  <c r="Y271" i="123"/>
  <c r="AB271" i="123"/>
  <c r="AC271" i="123" s="1"/>
  <c r="K272" i="123"/>
  <c r="M272" i="123"/>
  <c r="N272" i="123"/>
  <c r="O272" i="123"/>
  <c r="P272" i="123"/>
  <c r="R272" i="123" s="1"/>
  <c r="Q272" i="123"/>
  <c r="Y272" i="123"/>
  <c r="AB272" i="123"/>
  <c r="AC272" i="123" s="1"/>
  <c r="AK272" i="123"/>
  <c r="AL272" i="123"/>
  <c r="AO272" i="123" s="1"/>
  <c r="K273" i="123"/>
  <c r="M273" i="123"/>
  <c r="N273" i="123"/>
  <c r="O273" i="123"/>
  <c r="P273" i="123"/>
  <c r="R273" i="123" s="1"/>
  <c r="Q273" i="123"/>
  <c r="Y273" i="123"/>
  <c r="AB273" i="123"/>
  <c r="AC273" i="123" s="1"/>
  <c r="K274" i="123"/>
  <c r="M274" i="123"/>
  <c r="N274" i="123"/>
  <c r="O274" i="123"/>
  <c r="P274" i="123"/>
  <c r="R274" i="123" s="1"/>
  <c r="Q274" i="123"/>
  <c r="Y274" i="123"/>
  <c r="Z274" i="123" s="1"/>
  <c r="AB274" i="123"/>
  <c r="AD274" i="123" s="1"/>
  <c r="K275" i="123"/>
  <c r="M275" i="123"/>
  <c r="N275" i="123"/>
  <c r="O275" i="123"/>
  <c r="P275" i="123"/>
  <c r="R275" i="123" s="1"/>
  <c r="Q275" i="123"/>
  <c r="Y275" i="123"/>
  <c r="AB275" i="123"/>
  <c r="K276" i="123"/>
  <c r="M276" i="123"/>
  <c r="N276" i="123"/>
  <c r="O276" i="123"/>
  <c r="P276" i="123"/>
  <c r="R276" i="123" s="1"/>
  <c r="Q276" i="123"/>
  <c r="Y276" i="123"/>
  <c r="AB276" i="123"/>
  <c r="K277" i="123"/>
  <c r="M277" i="123"/>
  <c r="N277" i="123"/>
  <c r="O277" i="123"/>
  <c r="P277" i="123"/>
  <c r="R277" i="123" s="1"/>
  <c r="Q277" i="123"/>
  <c r="Y277" i="123"/>
  <c r="AB277" i="123"/>
  <c r="AD277" i="123" s="1"/>
  <c r="K278" i="123"/>
  <c r="M278" i="123"/>
  <c r="N278" i="123"/>
  <c r="O278" i="123"/>
  <c r="P278" i="123"/>
  <c r="R278" i="123" s="1"/>
  <c r="Q278" i="123"/>
  <c r="Y278" i="123"/>
  <c r="AB278" i="123"/>
  <c r="K279" i="123"/>
  <c r="M279" i="123"/>
  <c r="N279" i="123"/>
  <c r="O279" i="123"/>
  <c r="P279" i="123"/>
  <c r="R279" i="123" s="1"/>
  <c r="Q279" i="123"/>
  <c r="Y279" i="123"/>
  <c r="AB279" i="123"/>
  <c r="K280" i="123"/>
  <c r="M280" i="123"/>
  <c r="N280" i="123"/>
  <c r="O280" i="123"/>
  <c r="P280" i="123"/>
  <c r="R280" i="123" s="1"/>
  <c r="Q280" i="123"/>
  <c r="Y280" i="123"/>
  <c r="Z280" i="123" s="1"/>
  <c r="AB280" i="123"/>
  <c r="AD280" i="123" s="1"/>
  <c r="K281" i="123"/>
  <c r="M281" i="123"/>
  <c r="N281" i="123"/>
  <c r="O281" i="123"/>
  <c r="P281" i="123"/>
  <c r="R281" i="123" s="1"/>
  <c r="Q281" i="123"/>
  <c r="Y281" i="123"/>
  <c r="AA281" i="123" s="1"/>
  <c r="AB281" i="123"/>
  <c r="AC281" i="123" s="1"/>
  <c r="K282" i="123"/>
  <c r="M282" i="123"/>
  <c r="N282" i="123"/>
  <c r="O282" i="123"/>
  <c r="P282" i="123"/>
  <c r="R282" i="123" s="1"/>
  <c r="Q282" i="123"/>
  <c r="Y282" i="123"/>
  <c r="AB282" i="123"/>
  <c r="AD282" i="123" s="1"/>
  <c r="K283" i="123"/>
  <c r="M283" i="123"/>
  <c r="N283" i="123"/>
  <c r="O283" i="123"/>
  <c r="P283" i="123"/>
  <c r="R283" i="123" s="1"/>
  <c r="Q283" i="123"/>
  <c r="Y283" i="123"/>
  <c r="Z283" i="123" s="1"/>
  <c r="AB283" i="123"/>
  <c r="K284" i="123"/>
  <c r="M284" i="123"/>
  <c r="N284" i="123"/>
  <c r="O284" i="123"/>
  <c r="P284" i="123"/>
  <c r="R284" i="123" s="1"/>
  <c r="Q284" i="123"/>
  <c r="Y284" i="123"/>
  <c r="AB284" i="123"/>
  <c r="AC284" i="123" s="1"/>
  <c r="K285" i="123"/>
  <c r="M285" i="123"/>
  <c r="N285" i="123"/>
  <c r="O285" i="123"/>
  <c r="P285" i="123"/>
  <c r="R285" i="123" s="1"/>
  <c r="Q285" i="123"/>
  <c r="Y285" i="123"/>
  <c r="AA285" i="123" s="1"/>
  <c r="AB285" i="123"/>
  <c r="K286" i="123"/>
  <c r="M286" i="123"/>
  <c r="N286" i="123"/>
  <c r="O286" i="123"/>
  <c r="P286" i="123"/>
  <c r="R286" i="123" s="1"/>
  <c r="Q286" i="123"/>
  <c r="Y286" i="123"/>
  <c r="AB286" i="123"/>
  <c r="K287" i="123"/>
  <c r="M287" i="123"/>
  <c r="N287" i="123"/>
  <c r="O287" i="123"/>
  <c r="P287" i="123"/>
  <c r="R287" i="123" s="1"/>
  <c r="Q287" i="123"/>
  <c r="Y287" i="123"/>
  <c r="Z287" i="123" s="1"/>
  <c r="AB287" i="123"/>
  <c r="K288" i="123"/>
  <c r="M288" i="123"/>
  <c r="N288" i="123"/>
  <c r="O288" i="123"/>
  <c r="P288" i="123"/>
  <c r="R288" i="123" s="1"/>
  <c r="Q288" i="123"/>
  <c r="Y288" i="123"/>
  <c r="AA288" i="123" s="1"/>
  <c r="AB288" i="123"/>
  <c r="K289" i="123"/>
  <c r="M289" i="123"/>
  <c r="N289" i="123"/>
  <c r="O289" i="123"/>
  <c r="P289" i="123"/>
  <c r="R289" i="123" s="1"/>
  <c r="Q289" i="123"/>
  <c r="Y289" i="123"/>
  <c r="AA289" i="123" s="1"/>
  <c r="AB289" i="123"/>
  <c r="AC289" i="123" s="1"/>
  <c r="AK289" i="123"/>
  <c r="K290" i="123"/>
  <c r="M290" i="123"/>
  <c r="N290" i="123"/>
  <c r="O290" i="123"/>
  <c r="P290" i="123"/>
  <c r="R290" i="123" s="1"/>
  <c r="Q290" i="123"/>
  <c r="Y290" i="123"/>
  <c r="AB290" i="123"/>
  <c r="K291" i="123"/>
  <c r="M291" i="123"/>
  <c r="N291" i="123"/>
  <c r="O291" i="123"/>
  <c r="P291" i="123"/>
  <c r="R291" i="123" s="1"/>
  <c r="Q291" i="123"/>
  <c r="Y291" i="123"/>
  <c r="Z291" i="123" s="1"/>
  <c r="AB291" i="123"/>
  <c r="K292" i="123"/>
  <c r="M292" i="123"/>
  <c r="N292" i="123"/>
  <c r="O292" i="123"/>
  <c r="P292" i="123"/>
  <c r="R292" i="123" s="1"/>
  <c r="Q292" i="123"/>
  <c r="Y292" i="123"/>
  <c r="Z292" i="123" s="1"/>
  <c r="AB292" i="123"/>
  <c r="K293" i="123"/>
  <c r="M293" i="123"/>
  <c r="N293" i="123"/>
  <c r="O293" i="123"/>
  <c r="P293" i="123"/>
  <c r="R293" i="123" s="1"/>
  <c r="Q293" i="123"/>
  <c r="Y293" i="123"/>
  <c r="AB293" i="123"/>
  <c r="AC293" i="123" s="1"/>
  <c r="K294" i="123"/>
  <c r="M294" i="123"/>
  <c r="N294" i="123"/>
  <c r="O294" i="123"/>
  <c r="P294" i="123"/>
  <c r="R294" i="123" s="1"/>
  <c r="Q294" i="123"/>
  <c r="Y294" i="123"/>
  <c r="AB294" i="123"/>
  <c r="K295" i="123"/>
  <c r="M295" i="123"/>
  <c r="N295" i="123"/>
  <c r="O295" i="123"/>
  <c r="P295" i="123"/>
  <c r="R295" i="123" s="1"/>
  <c r="Q295" i="123"/>
  <c r="Y295" i="123"/>
  <c r="AA295" i="123" s="1"/>
  <c r="AB295" i="123"/>
  <c r="K296" i="123"/>
  <c r="M296" i="123"/>
  <c r="N296" i="123"/>
  <c r="O296" i="123"/>
  <c r="P296" i="123"/>
  <c r="R296" i="123" s="1"/>
  <c r="Q296" i="123"/>
  <c r="Y296" i="123"/>
  <c r="AB296" i="123"/>
  <c r="AK296" i="123"/>
  <c r="K297" i="123"/>
  <c r="M297" i="123"/>
  <c r="N297" i="123"/>
  <c r="O297" i="123"/>
  <c r="P297" i="123"/>
  <c r="R297" i="123" s="1"/>
  <c r="Y297" i="123"/>
  <c r="AA297" i="123" s="1"/>
  <c r="AB297" i="123"/>
  <c r="K298" i="123"/>
  <c r="M298" i="123"/>
  <c r="N298" i="123"/>
  <c r="O298" i="123"/>
  <c r="P298" i="123"/>
  <c r="R298" i="123" s="1"/>
  <c r="Q298" i="123"/>
  <c r="Y298" i="123"/>
  <c r="AB298" i="123"/>
  <c r="K299" i="123"/>
  <c r="M299" i="123"/>
  <c r="N299" i="123"/>
  <c r="O299" i="123"/>
  <c r="P299" i="123"/>
  <c r="R299" i="123" s="1"/>
  <c r="Q299" i="123"/>
  <c r="Y299" i="123"/>
  <c r="AB299" i="123"/>
  <c r="K300" i="123"/>
  <c r="M300" i="123"/>
  <c r="N300" i="123"/>
  <c r="O300" i="123"/>
  <c r="P300" i="123"/>
  <c r="R300" i="123" s="1"/>
  <c r="Q300" i="123"/>
  <c r="Y300" i="123"/>
  <c r="AB300" i="123"/>
  <c r="K301" i="123"/>
  <c r="M301" i="123"/>
  <c r="N301" i="123"/>
  <c r="O301" i="123"/>
  <c r="P301" i="123"/>
  <c r="R301" i="123" s="1"/>
  <c r="Q301" i="123"/>
  <c r="Y301" i="123"/>
  <c r="AA301" i="123" s="1"/>
  <c r="AB301" i="123"/>
  <c r="AC301" i="123" s="1"/>
  <c r="K302" i="123"/>
  <c r="M302" i="123"/>
  <c r="N302" i="123"/>
  <c r="O302" i="123"/>
  <c r="P302" i="123"/>
  <c r="R302" i="123" s="1"/>
  <c r="Q302" i="123"/>
  <c r="Y302" i="123"/>
  <c r="AB302" i="123"/>
  <c r="AD302" i="123" s="1"/>
  <c r="K303" i="123"/>
  <c r="M303" i="123"/>
  <c r="N303" i="123"/>
  <c r="O303" i="123"/>
  <c r="P303" i="123"/>
  <c r="R303" i="123" s="1"/>
  <c r="Y303" i="123"/>
  <c r="AB303" i="123"/>
  <c r="K304" i="123"/>
  <c r="M304" i="123"/>
  <c r="N304" i="123"/>
  <c r="O304" i="123"/>
  <c r="P304" i="123"/>
  <c r="R304" i="123" s="1"/>
  <c r="Q304" i="123"/>
  <c r="Y304" i="123"/>
  <c r="Z304" i="123" s="1"/>
  <c r="AB304" i="123"/>
  <c r="K305" i="123"/>
  <c r="M305" i="123"/>
  <c r="N305" i="123"/>
  <c r="O305" i="123"/>
  <c r="P305" i="123"/>
  <c r="R305" i="123" s="1"/>
  <c r="Q305" i="123"/>
  <c r="Y305" i="123"/>
  <c r="AA305" i="123" s="1"/>
  <c r="AB305" i="123"/>
  <c r="K306" i="123"/>
  <c r="M306" i="123"/>
  <c r="N306" i="123"/>
  <c r="O306" i="123"/>
  <c r="P306" i="123"/>
  <c r="R306" i="123" s="1"/>
  <c r="Q306" i="123"/>
  <c r="Y306" i="123"/>
  <c r="Z306" i="123" s="1"/>
  <c r="AB306" i="123"/>
  <c r="K307" i="123"/>
  <c r="M307" i="123"/>
  <c r="N307" i="123"/>
  <c r="O307" i="123"/>
  <c r="P307" i="123"/>
  <c r="R307" i="123" s="1"/>
  <c r="Q307" i="123"/>
  <c r="Y307" i="123"/>
  <c r="AA307" i="123" s="1"/>
  <c r="AB307" i="123"/>
  <c r="AC307" i="123" s="1"/>
  <c r="K308" i="123"/>
  <c r="M308" i="123"/>
  <c r="N308" i="123"/>
  <c r="O308" i="123"/>
  <c r="P308" i="123"/>
  <c r="R308" i="123" s="1"/>
  <c r="Y308" i="123"/>
  <c r="Z308" i="123" s="1"/>
  <c r="AB308" i="123"/>
  <c r="K309" i="123"/>
  <c r="M309" i="123"/>
  <c r="N309" i="123"/>
  <c r="O309" i="123"/>
  <c r="P309" i="123"/>
  <c r="R309" i="123" s="1"/>
  <c r="Q309" i="123"/>
  <c r="Y309" i="123"/>
  <c r="AA309" i="123" s="1"/>
  <c r="AB309" i="123"/>
  <c r="AC309" i="123" s="1"/>
  <c r="K310" i="123"/>
  <c r="M310" i="123"/>
  <c r="N310" i="123"/>
  <c r="O310" i="123"/>
  <c r="P310" i="123"/>
  <c r="R310" i="123" s="1"/>
  <c r="Q310" i="123"/>
  <c r="Y310" i="123"/>
  <c r="AB310" i="123"/>
  <c r="AD310" i="123" s="1"/>
  <c r="K311" i="123"/>
  <c r="M311" i="123"/>
  <c r="N311" i="123"/>
  <c r="O311" i="123"/>
  <c r="P311" i="123"/>
  <c r="R311" i="123" s="1"/>
  <c r="Q311" i="123"/>
  <c r="Y311" i="123"/>
  <c r="AB311" i="123"/>
  <c r="AC311" i="123" s="1"/>
  <c r="K312" i="123"/>
  <c r="M312" i="123"/>
  <c r="N312" i="123"/>
  <c r="O312" i="123"/>
  <c r="P312" i="123"/>
  <c r="R312" i="123" s="1"/>
  <c r="Q312" i="123"/>
  <c r="Y312" i="123"/>
  <c r="AB312" i="123"/>
  <c r="K313" i="123"/>
  <c r="M313" i="123"/>
  <c r="N313" i="123"/>
  <c r="O313" i="123"/>
  <c r="P313" i="123"/>
  <c r="R313" i="123" s="1"/>
  <c r="Q313" i="123"/>
  <c r="Y313" i="123"/>
  <c r="AA313" i="123" s="1"/>
  <c r="AB313" i="123"/>
  <c r="K314" i="123"/>
  <c r="M314" i="123"/>
  <c r="N314" i="123"/>
  <c r="O314" i="123"/>
  <c r="P314" i="123"/>
  <c r="R314" i="123" s="1"/>
  <c r="Q314" i="123"/>
  <c r="Y314" i="123"/>
  <c r="Z314" i="123" s="1"/>
  <c r="AB314" i="123"/>
  <c r="K315" i="123"/>
  <c r="M315" i="123"/>
  <c r="N315" i="123"/>
  <c r="O315" i="123"/>
  <c r="P315" i="123"/>
  <c r="R315" i="123" s="1"/>
  <c r="Q315" i="123"/>
  <c r="Y315" i="123"/>
  <c r="Z315" i="123" s="1"/>
  <c r="AB315" i="123"/>
  <c r="K316" i="123"/>
  <c r="M316" i="123"/>
  <c r="N316" i="123"/>
  <c r="O316" i="123"/>
  <c r="P316" i="123"/>
  <c r="R316" i="123" s="1"/>
  <c r="Q316" i="123"/>
  <c r="Y316" i="123"/>
  <c r="AA316" i="123" s="1"/>
  <c r="AB316" i="123"/>
  <c r="AC316" i="123" s="1"/>
  <c r="K317" i="123"/>
  <c r="M317" i="123"/>
  <c r="N317" i="123"/>
  <c r="O317" i="123"/>
  <c r="P317" i="123"/>
  <c r="R317" i="123" s="1"/>
  <c r="Q317" i="123"/>
  <c r="Y317" i="123"/>
  <c r="AA317" i="123" s="1"/>
  <c r="AB317" i="123"/>
  <c r="K318" i="123"/>
  <c r="M318" i="123"/>
  <c r="N318" i="123"/>
  <c r="O318" i="123"/>
  <c r="P318" i="123"/>
  <c r="R318" i="123" s="1"/>
  <c r="Q318" i="123"/>
  <c r="Y318" i="123"/>
  <c r="AB318" i="123"/>
  <c r="AD318" i="123" s="1"/>
  <c r="K319" i="123"/>
  <c r="M319" i="123"/>
  <c r="N319" i="123"/>
  <c r="O319" i="123"/>
  <c r="P319" i="123"/>
  <c r="R319" i="123" s="1"/>
  <c r="Q319" i="123"/>
  <c r="Y319" i="123"/>
  <c r="Z319" i="123" s="1"/>
  <c r="AB319" i="123"/>
  <c r="K320" i="123"/>
  <c r="M320" i="123"/>
  <c r="N320" i="123"/>
  <c r="O320" i="123"/>
  <c r="P320" i="123"/>
  <c r="R320" i="123" s="1"/>
  <c r="Q320" i="123"/>
  <c r="Y320" i="123"/>
  <c r="AA320" i="123" s="1"/>
  <c r="AB320" i="123"/>
  <c r="AC320" i="123" s="1"/>
  <c r="K321" i="123"/>
  <c r="M321" i="123"/>
  <c r="N321" i="123"/>
  <c r="O321" i="123"/>
  <c r="P321" i="123"/>
  <c r="R321" i="123" s="1"/>
  <c r="Q321" i="123"/>
  <c r="Y321" i="123"/>
  <c r="AA321" i="123" s="1"/>
  <c r="AB321" i="123"/>
  <c r="AD321" i="123" s="1"/>
  <c r="K322" i="123"/>
  <c r="M322" i="123"/>
  <c r="N322" i="123"/>
  <c r="O322" i="123"/>
  <c r="P322" i="123"/>
  <c r="R322" i="123" s="1"/>
  <c r="Q322" i="123"/>
  <c r="Y322" i="123"/>
  <c r="Z322" i="123" s="1"/>
  <c r="AB322" i="123"/>
  <c r="AD322" i="123" s="1"/>
  <c r="K323" i="123"/>
  <c r="M323" i="123"/>
  <c r="N323" i="123"/>
  <c r="O323" i="123"/>
  <c r="P323" i="123"/>
  <c r="R323" i="123" s="1"/>
  <c r="Q323" i="123"/>
  <c r="Y323" i="123"/>
  <c r="AB323" i="123"/>
  <c r="AC323" i="123" s="1"/>
  <c r="K324" i="123"/>
  <c r="M324" i="123"/>
  <c r="N324" i="123"/>
  <c r="O324" i="123"/>
  <c r="P324" i="123"/>
  <c r="R324" i="123" s="1"/>
  <c r="Q324" i="123"/>
  <c r="Y324" i="123"/>
  <c r="AB324" i="123"/>
  <c r="AC324" i="123" s="1"/>
  <c r="K325" i="123"/>
  <c r="M325" i="123"/>
  <c r="N325" i="123"/>
  <c r="O325" i="123"/>
  <c r="P325" i="123"/>
  <c r="R325" i="123" s="1"/>
  <c r="Q325" i="123"/>
  <c r="Y325" i="123"/>
  <c r="AB325" i="123"/>
  <c r="AD325" i="123" s="1"/>
  <c r="K326" i="123"/>
  <c r="M326" i="123"/>
  <c r="N326" i="123"/>
  <c r="O326" i="123"/>
  <c r="P326" i="123"/>
  <c r="R326" i="123" s="1"/>
  <c r="Q326" i="123"/>
  <c r="Y326" i="123"/>
  <c r="Z326" i="123" s="1"/>
  <c r="AB326" i="123"/>
  <c r="K327" i="123"/>
  <c r="M327" i="123"/>
  <c r="N327" i="123"/>
  <c r="O327" i="123"/>
  <c r="P327" i="123"/>
  <c r="R327" i="123" s="1"/>
  <c r="Q327" i="123"/>
  <c r="Y327" i="123"/>
  <c r="Z327" i="123" s="1"/>
  <c r="AB327" i="123"/>
  <c r="AC327" i="123" s="1"/>
  <c r="K328" i="123"/>
  <c r="M328" i="123"/>
  <c r="N328" i="123"/>
  <c r="O328" i="123"/>
  <c r="P328" i="123"/>
  <c r="R328" i="123" s="1"/>
  <c r="Q328" i="123"/>
  <c r="Y328" i="123"/>
  <c r="AB328" i="123"/>
  <c r="AC328" i="123" s="1"/>
  <c r="K329" i="123"/>
  <c r="M329" i="123"/>
  <c r="N329" i="123"/>
  <c r="O329" i="123"/>
  <c r="P329" i="123"/>
  <c r="R329" i="123" s="1"/>
  <c r="Q329" i="123"/>
  <c r="Y329" i="123"/>
  <c r="AB329" i="123"/>
  <c r="AD329" i="123" s="1"/>
  <c r="K330" i="123"/>
  <c r="M330" i="123"/>
  <c r="N330" i="123"/>
  <c r="O330" i="123"/>
  <c r="P330" i="123"/>
  <c r="R330" i="123" s="1"/>
  <c r="Q330" i="123"/>
  <c r="Y330" i="123"/>
  <c r="AB330" i="123"/>
  <c r="AD330" i="123" s="1"/>
  <c r="K331" i="123"/>
  <c r="M331" i="123"/>
  <c r="N331" i="123"/>
  <c r="O331" i="123"/>
  <c r="P331" i="123"/>
  <c r="R331" i="123" s="1"/>
  <c r="Q331" i="123"/>
  <c r="Y331" i="123"/>
  <c r="Z331" i="123" s="1"/>
  <c r="AB331" i="123"/>
  <c r="K332" i="123"/>
  <c r="M332" i="123"/>
  <c r="N332" i="123"/>
  <c r="O332" i="123"/>
  <c r="P332" i="123"/>
  <c r="R332" i="123" s="1"/>
  <c r="Q332" i="123"/>
  <c r="Y332" i="123"/>
  <c r="AB332" i="123"/>
  <c r="AC332" i="123" s="1"/>
  <c r="K333" i="123"/>
  <c r="M333" i="123"/>
  <c r="N333" i="123"/>
  <c r="O333" i="123"/>
  <c r="P333" i="123"/>
  <c r="R333" i="123" s="1"/>
  <c r="Q333" i="123"/>
  <c r="Y333" i="123"/>
  <c r="Z333" i="123" s="1"/>
  <c r="AB333" i="123"/>
  <c r="K334" i="123"/>
  <c r="M334" i="123"/>
  <c r="N334" i="123"/>
  <c r="O334" i="123"/>
  <c r="P334" i="123"/>
  <c r="R334" i="123" s="1"/>
  <c r="Q334" i="123"/>
  <c r="Y334" i="123"/>
  <c r="AB334" i="123"/>
  <c r="K335" i="123"/>
  <c r="M335" i="123"/>
  <c r="N335" i="123"/>
  <c r="O335" i="123"/>
  <c r="P335" i="123"/>
  <c r="R335" i="123" s="1"/>
  <c r="Q335" i="123"/>
  <c r="Y335" i="123"/>
  <c r="Z335" i="123" s="1"/>
  <c r="AB335" i="123"/>
  <c r="K336" i="123"/>
  <c r="M336" i="123"/>
  <c r="N336" i="123"/>
  <c r="O336" i="123"/>
  <c r="P336" i="123"/>
  <c r="R336" i="123" s="1"/>
  <c r="Q336" i="123"/>
  <c r="Y336" i="123"/>
  <c r="AB336" i="123"/>
  <c r="AC336" i="123" s="1"/>
  <c r="K337" i="123"/>
  <c r="M337" i="123"/>
  <c r="N337" i="123"/>
  <c r="O337" i="123"/>
  <c r="P337" i="123"/>
  <c r="R337" i="123" s="1"/>
  <c r="Q337" i="123"/>
  <c r="Y337" i="123"/>
  <c r="AA337" i="123" s="1"/>
  <c r="AB337" i="123"/>
  <c r="K338" i="123"/>
  <c r="M338" i="123"/>
  <c r="N338" i="123"/>
  <c r="O338" i="123"/>
  <c r="P338" i="123"/>
  <c r="R338" i="123" s="1"/>
  <c r="Q338" i="123"/>
  <c r="Y338" i="123"/>
  <c r="AB338" i="123"/>
  <c r="K339" i="123"/>
  <c r="M339" i="123"/>
  <c r="N339" i="123"/>
  <c r="O339" i="123"/>
  <c r="P339" i="123"/>
  <c r="R339" i="123" s="1"/>
  <c r="Q339" i="123"/>
  <c r="Y339" i="123"/>
  <c r="Z339" i="123" s="1"/>
  <c r="AB339" i="123"/>
  <c r="K340" i="123"/>
  <c r="M340" i="123"/>
  <c r="N340" i="123"/>
  <c r="O340" i="123"/>
  <c r="P340" i="123"/>
  <c r="R340" i="123" s="1"/>
  <c r="Q340" i="123"/>
  <c r="Y340" i="123"/>
  <c r="AB340" i="123"/>
  <c r="AC340" i="123" s="1"/>
  <c r="K341" i="123"/>
  <c r="M341" i="123"/>
  <c r="N341" i="123"/>
  <c r="O341" i="123"/>
  <c r="P341" i="123"/>
  <c r="R341" i="123" s="1"/>
  <c r="Q341" i="123"/>
  <c r="Y341" i="123"/>
  <c r="AB341" i="123"/>
  <c r="K342" i="123"/>
  <c r="M342" i="123"/>
  <c r="N342" i="123"/>
  <c r="O342" i="123"/>
  <c r="P342" i="123"/>
  <c r="R342" i="123" s="1"/>
  <c r="Q342" i="123"/>
  <c r="Y342" i="123"/>
  <c r="AB342" i="123"/>
  <c r="K343" i="123"/>
  <c r="M343" i="123"/>
  <c r="N343" i="123"/>
  <c r="O343" i="123"/>
  <c r="P343" i="123"/>
  <c r="R343" i="123" s="1"/>
  <c r="Q343" i="123"/>
  <c r="Y343" i="123"/>
  <c r="Z343" i="123" s="1"/>
  <c r="AB343" i="123"/>
  <c r="K344" i="123"/>
  <c r="M344" i="123"/>
  <c r="N344" i="123"/>
  <c r="O344" i="123"/>
  <c r="P344" i="123"/>
  <c r="R344" i="123" s="1"/>
  <c r="Q344" i="123"/>
  <c r="Y344" i="123"/>
  <c r="Z344" i="123" s="1"/>
  <c r="AB344" i="123"/>
  <c r="AC344" i="123" s="1"/>
  <c r="K345" i="123"/>
  <c r="M345" i="123"/>
  <c r="N345" i="123"/>
  <c r="O345" i="123"/>
  <c r="P345" i="123"/>
  <c r="R345" i="123" s="1"/>
  <c r="Q345" i="123"/>
  <c r="Y345" i="123"/>
  <c r="AB345" i="123"/>
  <c r="AC345" i="123" s="1"/>
  <c r="K346" i="123"/>
  <c r="M346" i="123"/>
  <c r="N346" i="123"/>
  <c r="O346" i="123"/>
  <c r="P346" i="123"/>
  <c r="R346" i="123" s="1"/>
  <c r="Q346" i="123"/>
  <c r="Y346" i="123"/>
  <c r="AB346" i="123"/>
  <c r="K347" i="123"/>
  <c r="M347" i="123"/>
  <c r="N347" i="123"/>
  <c r="O347" i="123"/>
  <c r="P347" i="123"/>
  <c r="R347" i="123" s="1"/>
  <c r="Q347" i="123"/>
  <c r="Y347" i="123"/>
  <c r="Z347" i="123" s="1"/>
  <c r="AB347" i="123"/>
  <c r="K348" i="123"/>
  <c r="M348" i="123"/>
  <c r="N348" i="123"/>
  <c r="O348" i="123"/>
  <c r="P348" i="123"/>
  <c r="R348" i="123" s="1"/>
  <c r="Q348" i="123"/>
  <c r="Y348" i="123"/>
  <c r="AB348" i="123"/>
  <c r="AC348" i="123" s="1"/>
  <c r="K349" i="123"/>
  <c r="M349" i="123"/>
  <c r="N349" i="123"/>
  <c r="O349" i="123"/>
  <c r="P349" i="123"/>
  <c r="R349" i="123" s="1"/>
  <c r="Q349" i="123"/>
  <c r="Y349" i="123"/>
  <c r="Z349" i="123" s="1"/>
  <c r="AB349" i="123"/>
  <c r="K350" i="123"/>
  <c r="M350" i="123"/>
  <c r="N350" i="123"/>
  <c r="O350" i="123"/>
  <c r="P350" i="123"/>
  <c r="R350" i="123" s="1"/>
  <c r="Q350" i="123"/>
  <c r="Y350" i="123"/>
  <c r="AB350" i="123"/>
  <c r="K351" i="123"/>
  <c r="M351" i="123"/>
  <c r="N351" i="123"/>
  <c r="O351" i="123"/>
  <c r="P351" i="123"/>
  <c r="R351" i="123" s="1"/>
  <c r="Q351" i="123"/>
  <c r="Y351" i="123"/>
  <c r="Z351" i="123" s="1"/>
  <c r="AB351" i="123"/>
  <c r="K352" i="123"/>
  <c r="M352" i="123"/>
  <c r="N352" i="123"/>
  <c r="O352" i="123"/>
  <c r="P352" i="123"/>
  <c r="R352" i="123" s="1"/>
  <c r="Q352" i="123"/>
  <c r="Y352" i="123"/>
  <c r="AB352" i="123"/>
  <c r="AC352" i="123" s="1"/>
  <c r="K353" i="123"/>
  <c r="M353" i="123"/>
  <c r="N353" i="123"/>
  <c r="O353" i="123"/>
  <c r="P353" i="123"/>
  <c r="R353" i="123" s="1"/>
  <c r="Q353" i="123"/>
  <c r="Y353" i="123"/>
  <c r="AB353" i="123"/>
  <c r="K354" i="123"/>
  <c r="M354" i="123"/>
  <c r="N354" i="123"/>
  <c r="O354" i="123"/>
  <c r="P354" i="123"/>
  <c r="R354" i="123" s="1"/>
  <c r="Q354" i="123"/>
  <c r="Y354" i="123"/>
  <c r="AB354" i="123"/>
  <c r="K355" i="123"/>
  <c r="M355" i="123"/>
  <c r="N355" i="123"/>
  <c r="O355" i="123"/>
  <c r="P355" i="123"/>
  <c r="R355" i="123" s="1"/>
  <c r="Q355" i="123"/>
  <c r="Y355" i="123"/>
  <c r="AB355" i="123"/>
  <c r="AD355" i="123" s="1"/>
  <c r="K356" i="123"/>
  <c r="M356" i="123"/>
  <c r="N356" i="123"/>
  <c r="O356" i="123"/>
  <c r="P356" i="123"/>
  <c r="R356" i="123" s="1"/>
  <c r="Q356" i="123"/>
  <c r="Y356" i="123"/>
  <c r="AB356" i="123"/>
  <c r="K357" i="123"/>
  <c r="M357" i="123"/>
  <c r="N357" i="123"/>
  <c r="O357" i="123"/>
  <c r="P357" i="123"/>
  <c r="R357" i="123" s="1"/>
  <c r="Q357" i="123"/>
  <c r="Y357" i="123"/>
  <c r="Z357" i="123" s="1"/>
  <c r="AB357" i="123"/>
  <c r="AD357" i="123" s="1"/>
  <c r="K358" i="123"/>
  <c r="M358" i="123"/>
  <c r="N358" i="123"/>
  <c r="O358" i="123"/>
  <c r="P358" i="123"/>
  <c r="R358" i="123" s="1"/>
  <c r="Q358" i="123"/>
  <c r="Y358" i="123"/>
  <c r="AA358" i="123" s="1"/>
  <c r="AB358" i="123"/>
  <c r="AC358" i="123" s="1"/>
  <c r="K359" i="123"/>
  <c r="M359" i="123"/>
  <c r="N359" i="123"/>
  <c r="O359" i="123"/>
  <c r="P359" i="123"/>
  <c r="R359" i="123" s="1"/>
  <c r="Q359" i="123"/>
  <c r="Y359" i="123"/>
  <c r="Z359" i="123" s="1"/>
  <c r="AB359" i="123"/>
  <c r="AD359" i="123" s="1"/>
  <c r="K360" i="123"/>
  <c r="M360" i="123"/>
  <c r="N360" i="123"/>
  <c r="O360" i="123"/>
  <c r="P360" i="123"/>
  <c r="R360" i="123" s="1"/>
  <c r="Q360" i="123"/>
  <c r="Y360" i="123"/>
  <c r="AA360" i="123" s="1"/>
  <c r="AB360" i="123"/>
  <c r="K361" i="123"/>
  <c r="M361" i="123"/>
  <c r="N361" i="123"/>
  <c r="O361" i="123"/>
  <c r="P361" i="123"/>
  <c r="R361" i="123" s="1"/>
  <c r="Q361" i="123"/>
  <c r="Y361" i="123"/>
  <c r="Z361" i="123" s="1"/>
  <c r="AB361" i="123"/>
  <c r="K362" i="123"/>
  <c r="M362" i="123"/>
  <c r="N362" i="123"/>
  <c r="O362" i="123"/>
  <c r="P362" i="123"/>
  <c r="R362" i="123" s="1"/>
  <c r="Q362" i="123"/>
  <c r="Y362" i="123"/>
  <c r="AA362" i="123" s="1"/>
  <c r="AB362" i="123"/>
  <c r="K363" i="123"/>
  <c r="M363" i="123"/>
  <c r="N363" i="123"/>
  <c r="O363" i="123"/>
  <c r="P363" i="123"/>
  <c r="R363" i="123" s="1"/>
  <c r="Q363" i="123"/>
  <c r="Y363" i="123"/>
  <c r="Z363" i="123" s="1"/>
  <c r="AB363" i="123"/>
  <c r="AD363" i="123" s="1"/>
  <c r="K364" i="123"/>
  <c r="M364" i="123"/>
  <c r="N364" i="123"/>
  <c r="O364" i="123"/>
  <c r="P364" i="123"/>
  <c r="R364" i="123" s="1"/>
  <c r="Q364" i="123"/>
  <c r="Y364" i="123"/>
  <c r="AA364" i="123" s="1"/>
  <c r="AB364" i="123"/>
  <c r="AC364" i="123" s="1"/>
  <c r="K365" i="123"/>
  <c r="M365" i="123"/>
  <c r="N365" i="123"/>
  <c r="O365" i="123"/>
  <c r="P365" i="123"/>
  <c r="R365" i="123" s="1"/>
  <c r="Q365" i="123"/>
  <c r="Y365" i="123"/>
  <c r="AB365" i="123"/>
  <c r="AD365" i="123" s="1"/>
  <c r="K366" i="123"/>
  <c r="M366" i="123"/>
  <c r="N366" i="123"/>
  <c r="O366" i="123"/>
  <c r="P366" i="123"/>
  <c r="R366" i="123" s="1"/>
  <c r="Q366" i="123"/>
  <c r="Y366" i="123"/>
  <c r="AA366" i="123" s="1"/>
  <c r="AB366" i="123"/>
  <c r="K367" i="123"/>
  <c r="M367" i="123"/>
  <c r="N367" i="123"/>
  <c r="O367" i="123"/>
  <c r="P367" i="123"/>
  <c r="R367" i="123" s="1"/>
  <c r="Q367" i="123"/>
  <c r="Y367" i="123"/>
  <c r="AB367" i="123"/>
  <c r="AD367" i="123" s="1"/>
  <c r="K368" i="123"/>
  <c r="M368" i="123"/>
  <c r="N368" i="123"/>
  <c r="O368" i="123"/>
  <c r="P368" i="123"/>
  <c r="R368" i="123" s="1"/>
  <c r="Q368" i="123"/>
  <c r="Y368" i="123"/>
  <c r="AA368" i="123" s="1"/>
  <c r="AB368" i="123"/>
  <c r="AC368" i="123" s="1"/>
  <c r="K369" i="123"/>
  <c r="M369" i="123"/>
  <c r="N369" i="123"/>
  <c r="O369" i="123"/>
  <c r="P369" i="123"/>
  <c r="R369" i="123" s="1"/>
  <c r="Q369" i="123"/>
  <c r="Y369" i="123"/>
  <c r="AB369" i="123"/>
  <c r="AC369" i="123" s="1"/>
  <c r="K370" i="123"/>
  <c r="M370" i="123"/>
  <c r="N370" i="123"/>
  <c r="O370" i="123"/>
  <c r="P370" i="123"/>
  <c r="R370" i="123" s="1"/>
  <c r="Q370" i="123"/>
  <c r="Y370" i="123"/>
  <c r="AA370" i="123" s="1"/>
  <c r="AB370" i="123"/>
  <c r="AD370" i="123" s="1"/>
  <c r="K371" i="123"/>
  <c r="M371" i="123"/>
  <c r="N371" i="123"/>
  <c r="O371" i="123"/>
  <c r="P371" i="123"/>
  <c r="R371" i="123" s="1"/>
  <c r="Q371" i="123"/>
  <c r="Y371" i="123"/>
  <c r="Z371" i="123" s="1"/>
  <c r="AB371" i="123"/>
  <c r="AD371" i="123" s="1"/>
  <c r="K372" i="123"/>
  <c r="M372" i="123"/>
  <c r="N372" i="123"/>
  <c r="O372" i="123"/>
  <c r="P372" i="123"/>
  <c r="R372" i="123" s="1"/>
  <c r="Q372" i="123"/>
  <c r="Y372" i="123"/>
  <c r="AB372" i="123"/>
  <c r="AC372" i="123" s="1"/>
  <c r="K373" i="123"/>
  <c r="M373" i="123"/>
  <c r="N373" i="123"/>
  <c r="O373" i="123"/>
  <c r="P373" i="123"/>
  <c r="R373" i="123" s="1"/>
  <c r="Q373" i="123"/>
  <c r="Y373" i="123"/>
  <c r="Z373" i="123" s="1"/>
  <c r="AB373" i="123"/>
  <c r="AC373" i="123" s="1"/>
  <c r="K374" i="123"/>
  <c r="M374" i="123"/>
  <c r="N374" i="123"/>
  <c r="O374" i="123"/>
  <c r="P374" i="123"/>
  <c r="R374" i="123" s="1"/>
  <c r="Q374" i="123"/>
  <c r="Y374" i="123"/>
  <c r="AA374" i="123" s="1"/>
  <c r="AB374" i="123"/>
  <c r="AC374" i="123" s="1"/>
  <c r="K375" i="123"/>
  <c r="M375" i="123"/>
  <c r="N375" i="123"/>
  <c r="O375" i="123"/>
  <c r="P375" i="123"/>
  <c r="R375" i="123" s="1"/>
  <c r="Q375" i="123"/>
  <c r="Y375" i="123"/>
  <c r="Z375" i="123" s="1"/>
  <c r="AB375" i="123"/>
  <c r="AD375" i="123" s="1"/>
  <c r="K376" i="123"/>
  <c r="M376" i="123"/>
  <c r="N376" i="123"/>
  <c r="O376" i="123"/>
  <c r="P376" i="123"/>
  <c r="R376" i="123" s="1"/>
  <c r="Q376" i="123"/>
  <c r="Y376" i="123"/>
  <c r="Z376" i="123" s="1"/>
  <c r="AB376" i="123"/>
  <c r="AC376" i="123" s="1"/>
  <c r="K377" i="123"/>
  <c r="M377" i="123"/>
  <c r="N377" i="123"/>
  <c r="O377" i="123"/>
  <c r="P377" i="123"/>
  <c r="R377" i="123" s="1"/>
  <c r="Q377" i="123"/>
  <c r="Y377" i="123"/>
  <c r="AB377" i="123"/>
  <c r="AC377" i="123" s="1"/>
  <c r="K378" i="123"/>
  <c r="M378" i="123"/>
  <c r="N378" i="123"/>
  <c r="O378" i="123"/>
  <c r="P378" i="123"/>
  <c r="R378" i="123" s="1"/>
  <c r="Q378" i="123"/>
  <c r="Y378" i="123"/>
  <c r="AB378" i="123"/>
  <c r="AC378" i="123" s="1"/>
  <c r="K379" i="123"/>
  <c r="M379" i="123"/>
  <c r="N379" i="123"/>
  <c r="O379" i="123"/>
  <c r="P379" i="123"/>
  <c r="R379" i="123" s="1"/>
  <c r="Q379" i="123"/>
  <c r="Y379" i="123"/>
  <c r="Z379" i="123" s="1"/>
  <c r="AB379" i="123"/>
  <c r="AD379" i="123" s="1"/>
  <c r="K380" i="123"/>
  <c r="M380" i="123"/>
  <c r="N380" i="123"/>
  <c r="O380" i="123"/>
  <c r="P380" i="123"/>
  <c r="R380" i="123" s="1"/>
  <c r="Q380" i="123"/>
  <c r="Y380" i="123"/>
  <c r="Z380" i="123" s="1"/>
  <c r="AB380" i="123"/>
  <c r="K381" i="123"/>
  <c r="M381" i="123"/>
  <c r="N381" i="123"/>
  <c r="O381" i="123"/>
  <c r="P381" i="123"/>
  <c r="R381" i="123" s="1"/>
  <c r="Q381" i="123"/>
  <c r="Y381" i="123"/>
  <c r="AB381" i="123"/>
  <c r="AC381" i="123" s="1"/>
  <c r="K382" i="123"/>
  <c r="M382" i="123"/>
  <c r="N382" i="123"/>
  <c r="O382" i="123"/>
  <c r="P382" i="123"/>
  <c r="R382" i="123" s="1"/>
  <c r="Q382" i="123"/>
  <c r="Y382" i="123"/>
  <c r="AB382" i="123"/>
  <c r="AC382" i="123" s="1"/>
  <c r="K383" i="123"/>
  <c r="M383" i="123"/>
  <c r="N383" i="123"/>
  <c r="O383" i="123"/>
  <c r="P383" i="123"/>
  <c r="R383" i="123" s="1"/>
  <c r="Q383" i="123"/>
  <c r="Y383" i="123"/>
  <c r="Z383" i="123" s="1"/>
  <c r="AB383" i="123"/>
  <c r="AD383" i="123" s="1"/>
  <c r="K384" i="123"/>
  <c r="M384" i="123"/>
  <c r="N384" i="123"/>
  <c r="O384" i="123"/>
  <c r="P384" i="123"/>
  <c r="R384" i="123" s="1"/>
  <c r="Q384" i="123"/>
  <c r="Y384" i="123"/>
  <c r="Z384" i="123" s="1"/>
  <c r="AB384" i="123"/>
  <c r="AC384" i="123" s="1"/>
  <c r="K385" i="123"/>
  <c r="M385" i="123"/>
  <c r="N385" i="123"/>
  <c r="O385" i="123"/>
  <c r="P385" i="123"/>
  <c r="R385" i="123" s="1"/>
  <c r="Q385" i="123"/>
  <c r="Y385" i="123"/>
  <c r="Z385" i="123" s="1"/>
  <c r="AB385" i="123"/>
  <c r="AC385" i="123" s="1"/>
  <c r="K386" i="123"/>
  <c r="M386" i="123"/>
  <c r="N386" i="123"/>
  <c r="O386" i="123"/>
  <c r="P386" i="123"/>
  <c r="R386" i="123" s="1"/>
  <c r="Q386" i="123"/>
  <c r="Y386" i="123"/>
  <c r="AB386" i="123"/>
  <c r="AD386" i="123" s="1"/>
  <c r="K387" i="123"/>
  <c r="L387" i="123"/>
  <c r="M387" i="123"/>
  <c r="N387" i="123"/>
  <c r="O387" i="123"/>
  <c r="P387" i="123"/>
  <c r="R387" i="123" s="1"/>
  <c r="Q387" i="123"/>
  <c r="Y387" i="123"/>
  <c r="AB387" i="123"/>
  <c r="AC387" i="123" s="1"/>
  <c r="K388" i="123"/>
  <c r="L388" i="123"/>
  <c r="M388" i="123"/>
  <c r="N388" i="123"/>
  <c r="O388" i="123"/>
  <c r="P388" i="123"/>
  <c r="R388" i="123" s="1"/>
  <c r="Q388" i="123"/>
  <c r="Y388" i="123"/>
  <c r="Z388" i="123" s="1"/>
  <c r="AB388" i="123"/>
  <c r="K389" i="123"/>
  <c r="M389" i="123"/>
  <c r="N389" i="123"/>
  <c r="O389" i="123"/>
  <c r="P389" i="123"/>
  <c r="R389" i="123" s="1"/>
  <c r="Q389" i="123"/>
  <c r="Y389" i="123"/>
  <c r="Z389" i="123" s="1"/>
  <c r="AB389" i="123"/>
  <c r="AC389" i="123" s="1"/>
  <c r="K390" i="123"/>
  <c r="L390" i="123"/>
  <c r="M390" i="123"/>
  <c r="N390" i="123"/>
  <c r="O390" i="123"/>
  <c r="P390" i="123"/>
  <c r="R390" i="123" s="1"/>
  <c r="Q390" i="123"/>
  <c r="Y390" i="123"/>
  <c r="Z390" i="123" s="1"/>
  <c r="AB390" i="123"/>
  <c r="AD390" i="123" s="1"/>
  <c r="AK390" i="123"/>
  <c r="K391" i="123"/>
  <c r="L391" i="123"/>
  <c r="M391" i="123"/>
  <c r="N391" i="123"/>
  <c r="O391" i="123"/>
  <c r="P391" i="123"/>
  <c r="R391" i="123" s="1"/>
  <c r="Q391" i="123"/>
  <c r="Y391" i="123"/>
  <c r="Z391" i="123" s="1"/>
  <c r="AB391" i="123"/>
  <c r="AD391" i="123" s="1"/>
  <c r="K392" i="123"/>
  <c r="M392" i="123"/>
  <c r="N392" i="123"/>
  <c r="O392" i="123"/>
  <c r="P392" i="123"/>
  <c r="R392" i="123" s="1"/>
  <c r="Q392" i="123"/>
  <c r="Y392" i="123"/>
  <c r="AB392" i="123"/>
  <c r="AC392" i="123" s="1"/>
  <c r="K393" i="123"/>
  <c r="M393" i="123"/>
  <c r="N393" i="123"/>
  <c r="O393" i="123"/>
  <c r="P393" i="123"/>
  <c r="R393" i="123" s="1"/>
  <c r="Y393" i="123"/>
  <c r="Z393" i="123" s="1"/>
  <c r="AB393" i="123"/>
  <c r="AC393" i="123" s="1"/>
  <c r="K394" i="123"/>
  <c r="M394" i="123"/>
  <c r="N394" i="123"/>
  <c r="O394" i="123"/>
  <c r="P394" i="123"/>
  <c r="R394" i="123" s="1"/>
  <c r="Q394" i="123"/>
  <c r="Y394" i="123"/>
  <c r="AA394" i="123" s="1"/>
  <c r="AB394" i="123"/>
  <c r="K395" i="123"/>
  <c r="M395" i="123"/>
  <c r="N395" i="123"/>
  <c r="O395" i="123"/>
  <c r="P395" i="123"/>
  <c r="R395" i="123" s="1"/>
  <c r="Y395" i="123"/>
  <c r="Z395" i="123" s="1"/>
  <c r="AB395" i="123"/>
  <c r="AD395" i="123" s="1"/>
  <c r="K396" i="123"/>
  <c r="M396" i="123"/>
  <c r="N396" i="123"/>
  <c r="O396" i="123"/>
  <c r="P396" i="123"/>
  <c r="R396" i="123" s="1"/>
  <c r="Y396" i="123"/>
  <c r="AB396" i="123"/>
  <c r="AC396" i="123" s="1"/>
  <c r="K397" i="123"/>
  <c r="M397" i="123"/>
  <c r="N397" i="123"/>
  <c r="O397" i="123"/>
  <c r="P397" i="123"/>
  <c r="R397" i="123" s="1"/>
  <c r="Y397" i="123"/>
  <c r="AB397" i="123"/>
  <c r="AC397" i="123" s="1"/>
  <c r="K398" i="123"/>
  <c r="M398" i="123"/>
  <c r="N398" i="123"/>
  <c r="O398" i="123"/>
  <c r="P398" i="123"/>
  <c r="R398" i="123" s="1"/>
  <c r="Y398" i="123"/>
  <c r="AB398" i="123"/>
  <c r="AC398" i="123" s="1"/>
  <c r="K399" i="123"/>
  <c r="M399" i="123"/>
  <c r="N399" i="123"/>
  <c r="O399" i="123"/>
  <c r="P399" i="123"/>
  <c r="R399" i="123" s="1"/>
  <c r="Y399" i="123"/>
  <c r="AB399" i="123"/>
  <c r="AD399" i="123" s="1"/>
  <c r="K400" i="123"/>
  <c r="M400" i="123"/>
  <c r="N400" i="123"/>
  <c r="O400" i="123"/>
  <c r="P400" i="123"/>
  <c r="R400" i="123" s="1"/>
  <c r="Q400" i="123"/>
  <c r="Y400" i="123"/>
  <c r="Z400" i="123" s="1"/>
  <c r="AB400" i="123"/>
  <c r="AD400" i="123" s="1"/>
  <c r="K401" i="123"/>
  <c r="M401" i="123"/>
  <c r="N401" i="123"/>
  <c r="O401" i="123"/>
  <c r="P401" i="123"/>
  <c r="R401" i="123" s="1"/>
  <c r="Q401" i="123"/>
  <c r="Y401" i="123"/>
  <c r="Z401" i="123" s="1"/>
  <c r="AB401" i="123"/>
  <c r="AC401" i="123" s="1"/>
  <c r="K402" i="123"/>
  <c r="M402" i="123"/>
  <c r="N402" i="123"/>
  <c r="O402" i="123"/>
  <c r="P402" i="123"/>
  <c r="R402" i="123" s="1"/>
  <c r="Y402" i="123"/>
  <c r="AB402" i="123"/>
  <c r="AC402" i="123" s="1"/>
  <c r="K403" i="123"/>
  <c r="M403" i="123"/>
  <c r="N403" i="123"/>
  <c r="O403" i="123"/>
  <c r="P403" i="123"/>
  <c r="R403" i="123" s="1"/>
  <c r="Y403" i="123"/>
  <c r="Z403" i="123" s="1"/>
  <c r="AB403" i="123"/>
  <c r="K404" i="123"/>
  <c r="M404" i="123"/>
  <c r="N404" i="123"/>
  <c r="O404" i="123"/>
  <c r="P404" i="123"/>
  <c r="R404" i="123" s="1"/>
  <c r="Y404" i="123"/>
  <c r="Z404" i="123" s="1"/>
  <c r="AB404" i="123"/>
  <c r="K405" i="123"/>
  <c r="M405" i="123"/>
  <c r="N405" i="123"/>
  <c r="O405" i="123"/>
  <c r="P405" i="123"/>
  <c r="R405" i="123" s="1"/>
  <c r="Y405" i="123"/>
  <c r="Z405" i="123" s="1"/>
  <c r="AB405" i="123"/>
  <c r="AC405" i="123" s="1"/>
  <c r="K406" i="123"/>
  <c r="M406" i="123"/>
  <c r="N406" i="123"/>
  <c r="O406" i="123"/>
  <c r="P406" i="123"/>
  <c r="R406" i="123" s="1"/>
  <c r="Y406" i="123"/>
  <c r="AB406" i="123"/>
  <c r="AC406" i="123" s="1"/>
  <c r="K407" i="123"/>
  <c r="M407" i="123"/>
  <c r="N407" i="123"/>
  <c r="O407" i="123"/>
  <c r="P407" i="123"/>
  <c r="R407" i="123" s="1"/>
  <c r="Y407" i="123"/>
  <c r="AB407" i="123"/>
  <c r="AC407" i="123" s="1"/>
  <c r="K408" i="123"/>
  <c r="M408" i="123"/>
  <c r="N408" i="123"/>
  <c r="O408" i="123"/>
  <c r="P408" i="123"/>
  <c r="R408" i="123" s="1"/>
  <c r="Q408" i="123"/>
  <c r="Y408" i="123"/>
  <c r="Z408" i="123" s="1"/>
  <c r="AB408" i="123"/>
  <c r="AC408" i="123" s="1"/>
  <c r="K409" i="123"/>
  <c r="M409" i="123"/>
  <c r="N409" i="123"/>
  <c r="O409" i="123"/>
  <c r="P409" i="123"/>
  <c r="R409" i="123" s="1"/>
  <c r="Y409" i="123"/>
  <c r="Z409" i="123" s="1"/>
  <c r="AB409" i="123"/>
  <c r="AC409" i="123" s="1"/>
  <c r="K410" i="123"/>
  <c r="M410" i="123"/>
  <c r="N410" i="123"/>
  <c r="O410" i="123"/>
  <c r="P410" i="123"/>
  <c r="R410" i="123" s="1"/>
  <c r="Q410" i="123"/>
  <c r="Y410" i="123"/>
  <c r="Z410" i="123" s="1"/>
  <c r="AB410" i="123"/>
  <c r="AC410" i="123" s="1"/>
  <c r="K411" i="123"/>
  <c r="M411" i="123"/>
  <c r="N411" i="123"/>
  <c r="O411" i="123"/>
  <c r="P411" i="123"/>
  <c r="R411" i="123" s="1"/>
  <c r="Y411" i="123"/>
  <c r="Z411" i="123" s="1"/>
  <c r="AB411" i="123"/>
  <c r="AD411" i="123" s="1"/>
  <c r="K412" i="123"/>
  <c r="M412" i="123"/>
  <c r="N412" i="123"/>
  <c r="O412" i="123"/>
  <c r="P412" i="123"/>
  <c r="R412" i="123" s="1"/>
  <c r="Y412" i="123"/>
  <c r="AB412" i="123"/>
  <c r="AD412" i="123" s="1"/>
  <c r="K413" i="123"/>
  <c r="M413" i="123"/>
  <c r="N413" i="123"/>
  <c r="O413" i="123"/>
  <c r="P413" i="123"/>
  <c r="R413" i="123" s="1"/>
  <c r="Q413" i="123"/>
  <c r="Y413" i="123"/>
  <c r="Z413" i="123" s="1"/>
  <c r="AB413" i="123"/>
  <c r="K414" i="123"/>
  <c r="M414" i="123"/>
  <c r="N414" i="123"/>
  <c r="O414" i="123"/>
  <c r="P414" i="123"/>
  <c r="R414" i="123" s="1"/>
  <c r="Y414" i="123"/>
  <c r="AB414" i="123"/>
  <c r="AC414" i="123" s="1"/>
  <c r="K415" i="123"/>
  <c r="M415" i="123"/>
  <c r="N415" i="123"/>
  <c r="O415" i="123"/>
  <c r="P415" i="123"/>
  <c r="R415" i="123" s="1"/>
  <c r="Q415" i="123"/>
  <c r="Y415" i="123"/>
  <c r="AA415" i="123" s="1"/>
  <c r="AB415" i="123"/>
  <c r="AD415" i="123" s="1"/>
  <c r="K416" i="123"/>
  <c r="L416" i="123"/>
  <c r="M416" i="123"/>
  <c r="N416" i="123"/>
  <c r="O416" i="123"/>
  <c r="P416" i="123"/>
  <c r="R416" i="123" s="1"/>
  <c r="Q416" i="123"/>
  <c r="Y416" i="123"/>
  <c r="AB416" i="123"/>
  <c r="AD416" i="123" s="1"/>
  <c r="K417" i="123"/>
  <c r="M417" i="123"/>
  <c r="N417" i="123"/>
  <c r="O417" i="123"/>
  <c r="P417" i="123"/>
  <c r="R417" i="123" s="1"/>
  <c r="Y417" i="123"/>
  <c r="Z417" i="123" s="1"/>
  <c r="AB417" i="123"/>
  <c r="K418" i="123"/>
  <c r="M418" i="123"/>
  <c r="N418" i="123"/>
  <c r="O418" i="123"/>
  <c r="P418" i="123"/>
  <c r="R418" i="123" s="1"/>
  <c r="Y418" i="123"/>
  <c r="AA418" i="123" s="1"/>
  <c r="AB418" i="123"/>
  <c r="AC418" i="123" s="1"/>
  <c r="K419" i="123"/>
  <c r="M419" i="123"/>
  <c r="N419" i="123"/>
  <c r="O419" i="123"/>
  <c r="P419" i="123"/>
  <c r="R419" i="123" s="1"/>
  <c r="Q419" i="123"/>
  <c r="Y419" i="123"/>
  <c r="Z419" i="123" s="1"/>
  <c r="AB419" i="123"/>
  <c r="AD419" i="123" s="1"/>
  <c r="K420" i="123"/>
  <c r="M420" i="123"/>
  <c r="N420" i="123"/>
  <c r="O420" i="123"/>
  <c r="P420" i="123"/>
  <c r="R420" i="123" s="1"/>
  <c r="Y420" i="123"/>
  <c r="AA420" i="123" s="1"/>
  <c r="AB420" i="123"/>
  <c r="AC420" i="123" s="1"/>
  <c r="K421" i="123"/>
  <c r="M421" i="123"/>
  <c r="N421" i="123"/>
  <c r="O421" i="123"/>
  <c r="P421" i="123"/>
  <c r="R421" i="123" s="1"/>
  <c r="Q421" i="123"/>
  <c r="Y421" i="123"/>
  <c r="Z421" i="123" s="1"/>
  <c r="AB421" i="123"/>
  <c r="K422" i="123"/>
  <c r="M422" i="123"/>
  <c r="N422" i="123"/>
  <c r="O422" i="123"/>
  <c r="P422" i="123"/>
  <c r="R422" i="123" s="1"/>
  <c r="Q422" i="123"/>
  <c r="Y422" i="123"/>
  <c r="Z422" i="123" s="1"/>
  <c r="AB422" i="123"/>
  <c r="AC422" i="123" s="1"/>
  <c r="K423" i="123"/>
  <c r="M423" i="123"/>
  <c r="N423" i="123"/>
  <c r="O423" i="123"/>
  <c r="P423" i="123"/>
  <c r="R423" i="123" s="1"/>
  <c r="Q423" i="123"/>
  <c r="Y423" i="123"/>
  <c r="AA423" i="123" s="1"/>
  <c r="AB423" i="123"/>
  <c r="K424" i="123"/>
  <c r="M424" i="123"/>
  <c r="N424" i="123"/>
  <c r="O424" i="123"/>
  <c r="P424" i="123"/>
  <c r="R424" i="123" s="1"/>
  <c r="Q424" i="123"/>
  <c r="Y424" i="123"/>
  <c r="AB424" i="123"/>
  <c r="K425" i="123"/>
  <c r="M425" i="123"/>
  <c r="N425" i="123"/>
  <c r="O425" i="123"/>
  <c r="P425" i="123"/>
  <c r="R425" i="123" s="1"/>
  <c r="Q425" i="123"/>
  <c r="Y425" i="123"/>
  <c r="Z425" i="123" s="1"/>
  <c r="AB425" i="123"/>
  <c r="AD425" i="123" s="1"/>
  <c r="K426" i="123"/>
  <c r="M426" i="123"/>
  <c r="N426" i="123"/>
  <c r="O426" i="123"/>
  <c r="P426" i="123"/>
  <c r="R426" i="123" s="1"/>
  <c r="Y426" i="123"/>
  <c r="AB426" i="123"/>
  <c r="AC426" i="123" s="1"/>
  <c r="K427" i="123"/>
  <c r="M427" i="123"/>
  <c r="N427" i="123"/>
  <c r="O427" i="123"/>
  <c r="P427" i="123"/>
  <c r="R427" i="123" s="1"/>
  <c r="Q427" i="123"/>
  <c r="Y427" i="123"/>
  <c r="AB427" i="123"/>
  <c r="AD427" i="123" s="1"/>
  <c r="K428" i="123"/>
  <c r="M428" i="123"/>
  <c r="N428" i="123"/>
  <c r="O428" i="123"/>
  <c r="P428" i="123"/>
  <c r="R428" i="123" s="1"/>
  <c r="Q428" i="123"/>
  <c r="Y428" i="123"/>
  <c r="AB428" i="123"/>
  <c r="AC428" i="123" s="1"/>
  <c r="K429" i="123"/>
  <c r="L429" i="123"/>
  <c r="M429" i="123"/>
  <c r="N429" i="123"/>
  <c r="O429" i="123"/>
  <c r="P429" i="123"/>
  <c r="R429" i="123" s="1"/>
  <c r="Q429" i="123"/>
  <c r="Y429" i="123"/>
  <c r="Z429" i="123" s="1"/>
  <c r="AB429" i="123"/>
  <c r="AK429" i="123"/>
  <c r="K430" i="123"/>
  <c r="M430" i="123"/>
  <c r="N430" i="123"/>
  <c r="O430" i="123"/>
  <c r="P430" i="123"/>
  <c r="R430" i="123" s="1"/>
  <c r="Y430" i="123"/>
  <c r="Z430" i="123" s="1"/>
  <c r="AB430" i="123"/>
  <c r="AC430" i="123" s="1"/>
  <c r="K431" i="123"/>
  <c r="M431" i="123"/>
  <c r="N431" i="123"/>
  <c r="O431" i="123"/>
  <c r="P431" i="123"/>
  <c r="R431" i="123" s="1"/>
  <c r="Q431" i="123"/>
  <c r="Y431" i="123"/>
  <c r="Z431" i="123" s="1"/>
  <c r="AB431" i="123"/>
  <c r="K432" i="123"/>
  <c r="M432" i="123"/>
  <c r="N432" i="123"/>
  <c r="O432" i="123"/>
  <c r="P432" i="123"/>
  <c r="R432" i="123" s="1"/>
  <c r="Q432" i="123"/>
  <c r="Y432" i="123"/>
  <c r="AA432" i="123" s="1"/>
  <c r="AB432" i="123"/>
  <c r="AC432" i="123" s="1"/>
  <c r="K433" i="123"/>
  <c r="M433" i="123"/>
  <c r="N433" i="123"/>
  <c r="O433" i="123"/>
  <c r="P433" i="123"/>
  <c r="R433" i="123" s="1"/>
  <c r="Q433" i="123"/>
  <c r="Y433" i="123"/>
  <c r="Z433" i="123" s="1"/>
  <c r="AB433" i="123"/>
  <c r="AD433" i="123" s="1"/>
  <c r="K434" i="123"/>
  <c r="M434" i="123"/>
  <c r="N434" i="123"/>
  <c r="O434" i="123"/>
  <c r="P434" i="123"/>
  <c r="R434" i="123" s="1"/>
  <c r="Y434" i="123"/>
  <c r="Z434" i="123" s="1"/>
  <c r="AB434" i="123"/>
  <c r="AC434" i="123" s="1"/>
  <c r="K435" i="123"/>
  <c r="L435" i="123"/>
  <c r="M435" i="123"/>
  <c r="N435" i="123"/>
  <c r="O435" i="123"/>
  <c r="P435" i="123"/>
  <c r="R435" i="123" s="1"/>
  <c r="Q435" i="123"/>
  <c r="Y435" i="123"/>
  <c r="Z435" i="123" s="1"/>
  <c r="AB435" i="123"/>
  <c r="AD435" i="123" s="1"/>
  <c r="K436" i="123"/>
  <c r="M436" i="123"/>
  <c r="N436" i="123"/>
  <c r="O436" i="123"/>
  <c r="P436" i="123"/>
  <c r="R436" i="123" s="1"/>
  <c r="Q436" i="123"/>
  <c r="Y436" i="123"/>
  <c r="AA436" i="123" s="1"/>
  <c r="AB436" i="123"/>
  <c r="K437" i="123"/>
  <c r="M437" i="123"/>
  <c r="N437" i="123"/>
  <c r="O437" i="123"/>
  <c r="P437" i="123"/>
  <c r="R437" i="123" s="1"/>
  <c r="Y437" i="123"/>
  <c r="Z437" i="123" s="1"/>
  <c r="AB437" i="123"/>
  <c r="K438" i="123"/>
  <c r="M438" i="123"/>
  <c r="N438" i="123"/>
  <c r="O438" i="123"/>
  <c r="P438" i="123"/>
  <c r="R438" i="123" s="1"/>
  <c r="Q438" i="123"/>
  <c r="Y438" i="123"/>
  <c r="Z438" i="123" s="1"/>
  <c r="AB438" i="123"/>
  <c r="AC438" i="123" s="1"/>
  <c r="K439" i="123"/>
  <c r="M439" i="123"/>
  <c r="N439" i="123"/>
  <c r="O439" i="123"/>
  <c r="P439" i="123"/>
  <c r="R439" i="123" s="1"/>
  <c r="Q439" i="123"/>
  <c r="Y439" i="123"/>
  <c r="AA439" i="123" s="1"/>
  <c r="AB439" i="123"/>
  <c r="AC439" i="123" s="1"/>
  <c r="K440" i="123"/>
  <c r="M440" i="123"/>
  <c r="N440" i="123"/>
  <c r="O440" i="123"/>
  <c r="P440" i="123"/>
  <c r="R440" i="123" s="1"/>
  <c r="Q440" i="123"/>
  <c r="Y440" i="123"/>
  <c r="AB440" i="123"/>
  <c r="AC440" i="123" s="1"/>
  <c r="K441" i="123"/>
  <c r="M441" i="123"/>
  <c r="N441" i="123"/>
  <c r="O441" i="123"/>
  <c r="P441" i="123"/>
  <c r="R441" i="123" s="1"/>
  <c r="Q441" i="123"/>
  <c r="Y441" i="123"/>
  <c r="Z441" i="123" s="1"/>
  <c r="AB441" i="123"/>
  <c r="AD441" i="123" s="1"/>
  <c r="K442" i="123"/>
  <c r="M442" i="123"/>
  <c r="N442" i="123"/>
  <c r="O442" i="123"/>
  <c r="P442" i="123"/>
  <c r="R442" i="123" s="1"/>
  <c r="Y442" i="123"/>
  <c r="Z442" i="123" s="1"/>
  <c r="AB442" i="123"/>
  <c r="K443" i="123"/>
  <c r="M443" i="123"/>
  <c r="N443" i="123"/>
  <c r="O443" i="123"/>
  <c r="P443" i="123"/>
  <c r="R443" i="123" s="1"/>
  <c r="Y443" i="123"/>
  <c r="Z443" i="123" s="1"/>
  <c r="AB443" i="123"/>
  <c r="AD443" i="123" s="1"/>
  <c r="K444" i="123"/>
  <c r="M444" i="123"/>
  <c r="N444" i="123"/>
  <c r="O444" i="123"/>
  <c r="P444" i="123"/>
  <c r="R444" i="123" s="1"/>
  <c r="Q444" i="123"/>
  <c r="Y444" i="123"/>
  <c r="AA444" i="123" s="1"/>
  <c r="AB444" i="123"/>
  <c r="AC444" i="123" s="1"/>
  <c r="K445" i="123"/>
  <c r="M445" i="123"/>
  <c r="N445" i="123"/>
  <c r="O445" i="123"/>
  <c r="P445" i="123"/>
  <c r="R445" i="123" s="1"/>
  <c r="Y445" i="123"/>
  <c r="AB445" i="123"/>
  <c r="AD445" i="123" s="1"/>
  <c r="K446" i="123"/>
  <c r="M446" i="123"/>
  <c r="N446" i="123"/>
  <c r="O446" i="123"/>
  <c r="P446" i="123"/>
  <c r="R446" i="123" s="1"/>
  <c r="Y446" i="123"/>
  <c r="AB446" i="123"/>
  <c r="K447" i="123"/>
  <c r="M447" i="123"/>
  <c r="N447" i="123"/>
  <c r="O447" i="123"/>
  <c r="P447" i="123"/>
  <c r="R447" i="123" s="1"/>
  <c r="Q447" i="123"/>
  <c r="Y447" i="123"/>
  <c r="Z447" i="123" s="1"/>
  <c r="AB447" i="123"/>
  <c r="AD447" i="123" s="1"/>
  <c r="K448" i="123"/>
  <c r="M448" i="123"/>
  <c r="N448" i="123"/>
  <c r="O448" i="123"/>
  <c r="P448" i="123"/>
  <c r="R448" i="123" s="1"/>
  <c r="Q448" i="123"/>
  <c r="Y448" i="123"/>
  <c r="AA448" i="123" s="1"/>
  <c r="AB448" i="123"/>
  <c r="AC448" i="123" s="1"/>
  <c r="K449" i="123"/>
  <c r="M449" i="123"/>
  <c r="N449" i="123"/>
  <c r="O449" i="123"/>
  <c r="P449" i="123"/>
  <c r="R449" i="123" s="1"/>
  <c r="Y449" i="123"/>
  <c r="AB449" i="123"/>
  <c r="AD449" i="123" s="1"/>
  <c r="K450" i="123"/>
  <c r="M450" i="123"/>
  <c r="N450" i="123"/>
  <c r="O450" i="123"/>
  <c r="P450" i="123"/>
  <c r="R450" i="123" s="1"/>
  <c r="Y450" i="123"/>
  <c r="Z450" i="123" s="1"/>
  <c r="AB450" i="123"/>
  <c r="K451" i="123"/>
  <c r="M451" i="123"/>
  <c r="N451" i="123"/>
  <c r="O451" i="123"/>
  <c r="P451" i="123"/>
  <c r="R451" i="123" s="1"/>
  <c r="Q451" i="123"/>
  <c r="Y451" i="123"/>
  <c r="AA451" i="123" s="1"/>
  <c r="AB451" i="123"/>
  <c r="AC451" i="123" s="1"/>
  <c r="K452" i="123"/>
  <c r="M452" i="123"/>
  <c r="N452" i="123"/>
  <c r="O452" i="123"/>
  <c r="P452" i="123"/>
  <c r="R452" i="123" s="1"/>
  <c r="Y452" i="123"/>
  <c r="Z452" i="123" s="1"/>
  <c r="AB452" i="123"/>
  <c r="AD452" i="123" s="1"/>
  <c r="K453" i="123"/>
  <c r="M453" i="123"/>
  <c r="N453" i="123"/>
  <c r="O453" i="123"/>
  <c r="P453" i="123"/>
  <c r="R453" i="123" s="1"/>
  <c r="Y453" i="123"/>
  <c r="Z453" i="123" s="1"/>
  <c r="AB453" i="123"/>
  <c r="AC453" i="123" s="1"/>
  <c r="K454" i="123"/>
  <c r="M454" i="123"/>
  <c r="N454" i="123"/>
  <c r="O454" i="123"/>
  <c r="P454" i="123"/>
  <c r="R454" i="123" s="1"/>
  <c r="Q454" i="123"/>
  <c r="Y454" i="123"/>
  <c r="Z454" i="123" s="1"/>
  <c r="AB454" i="123"/>
  <c r="AC454" i="123" s="1"/>
  <c r="K455" i="123"/>
  <c r="M455" i="123"/>
  <c r="N455" i="123"/>
  <c r="O455" i="123"/>
  <c r="P455" i="123"/>
  <c r="R455" i="123" s="1"/>
  <c r="Q455" i="123"/>
  <c r="Y455" i="123"/>
  <c r="Z455" i="123" s="1"/>
  <c r="AB455" i="123"/>
  <c r="AD455" i="123" s="1"/>
  <c r="K456" i="123"/>
  <c r="M456" i="123"/>
  <c r="N456" i="123"/>
  <c r="O456" i="123"/>
  <c r="P456" i="123"/>
  <c r="R456" i="123" s="1"/>
  <c r="Q456" i="123"/>
  <c r="Y456" i="123"/>
  <c r="Z456" i="123" s="1"/>
  <c r="AB456" i="123"/>
  <c r="AD456" i="123" s="1"/>
  <c r="K457" i="123"/>
  <c r="M457" i="123"/>
  <c r="N457" i="123"/>
  <c r="O457" i="123"/>
  <c r="P457" i="123"/>
  <c r="R457" i="123" s="1"/>
  <c r="Q457" i="123"/>
  <c r="Y457" i="123"/>
  <c r="Z457" i="123" s="1"/>
  <c r="AB457" i="123"/>
  <c r="AC457" i="123" s="1"/>
  <c r="K458" i="123"/>
  <c r="M458" i="123"/>
  <c r="N458" i="123"/>
  <c r="O458" i="123"/>
  <c r="P458" i="123"/>
  <c r="R458" i="123" s="1"/>
  <c r="Y458" i="123"/>
  <c r="Z458" i="123" s="1"/>
  <c r="AB458" i="123"/>
  <c r="AC458" i="123" s="1"/>
  <c r="K459" i="123"/>
  <c r="M459" i="123"/>
  <c r="N459" i="123"/>
  <c r="O459" i="123"/>
  <c r="P459" i="123"/>
  <c r="R459" i="123" s="1"/>
  <c r="Q459" i="123"/>
  <c r="Y459" i="123"/>
  <c r="Z459" i="123" s="1"/>
  <c r="AB459" i="123"/>
  <c r="AC459" i="123" s="1"/>
  <c r="K460" i="123"/>
  <c r="M460" i="123"/>
  <c r="N460" i="123"/>
  <c r="O460" i="123"/>
  <c r="P460" i="123"/>
  <c r="R460" i="123" s="1"/>
  <c r="Q460" i="123"/>
  <c r="Y460" i="123"/>
  <c r="Z460" i="123" s="1"/>
  <c r="AB460" i="123"/>
  <c r="AD460" i="123" s="1"/>
  <c r="K461" i="123"/>
  <c r="M461" i="123"/>
  <c r="N461" i="123"/>
  <c r="O461" i="123"/>
  <c r="P461" i="123"/>
  <c r="R461" i="123" s="1"/>
  <c r="Q461" i="123"/>
  <c r="Y461" i="123"/>
  <c r="AA461" i="123" s="1"/>
  <c r="AB461" i="123"/>
  <c r="AC461" i="123" s="1"/>
  <c r="K462" i="123"/>
  <c r="M462" i="123"/>
  <c r="N462" i="123"/>
  <c r="O462" i="123"/>
  <c r="P462" i="123"/>
  <c r="R462" i="123" s="1"/>
  <c r="Q462" i="123"/>
  <c r="Y462" i="123"/>
  <c r="Z462" i="123" s="1"/>
  <c r="AB462" i="123"/>
  <c r="AD462" i="123" s="1"/>
  <c r="K463" i="123"/>
  <c r="M463" i="123"/>
  <c r="N463" i="123"/>
  <c r="O463" i="123"/>
  <c r="P463" i="123"/>
  <c r="R463" i="123" s="1"/>
  <c r="Q463" i="123"/>
  <c r="Y463" i="123"/>
  <c r="Z463" i="123" s="1"/>
  <c r="AB463" i="123"/>
  <c r="AC463" i="123" s="1"/>
  <c r="K464" i="123"/>
  <c r="M464" i="123"/>
  <c r="N464" i="123"/>
  <c r="O464" i="123"/>
  <c r="P464" i="123"/>
  <c r="R464" i="123" s="1"/>
  <c r="Q464" i="123"/>
  <c r="Y464" i="123"/>
  <c r="Z464" i="123" s="1"/>
  <c r="AB464" i="123"/>
  <c r="AC464" i="123" s="1"/>
  <c r="K465" i="123"/>
  <c r="M465" i="123"/>
  <c r="N465" i="123"/>
  <c r="O465" i="123"/>
  <c r="P465" i="123"/>
  <c r="R465" i="123" s="1"/>
  <c r="Y465" i="123"/>
  <c r="Z465" i="123" s="1"/>
  <c r="AB465" i="123"/>
  <c r="AC465" i="123" s="1"/>
  <c r="K466" i="123"/>
  <c r="M466" i="123"/>
  <c r="N466" i="123"/>
  <c r="O466" i="123"/>
  <c r="P466" i="123"/>
  <c r="R466" i="123" s="1"/>
  <c r="Q466" i="123"/>
  <c r="Y466" i="123"/>
  <c r="Z466" i="123" s="1"/>
  <c r="AB466" i="123"/>
  <c r="AC466" i="123" s="1"/>
  <c r="K467" i="123"/>
  <c r="M467" i="123"/>
  <c r="N467" i="123"/>
  <c r="O467" i="123"/>
  <c r="P467" i="123"/>
  <c r="R467" i="123" s="1"/>
  <c r="Q467" i="123"/>
  <c r="Y467" i="123"/>
  <c r="AA467" i="123" s="1"/>
  <c r="AB467" i="123"/>
  <c r="AD467" i="123" s="1"/>
  <c r="K468" i="123"/>
  <c r="M468" i="123"/>
  <c r="N468" i="123"/>
  <c r="O468" i="123"/>
  <c r="P468" i="123"/>
  <c r="R468" i="123" s="1"/>
  <c r="Y468" i="123"/>
  <c r="Z468" i="123" s="1"/>
  <c r="AB468" i="123"/>
  <c r="AC468" i="123" s="1"/>
  <c r="K469" i="123"/>
  <c r="M469" i="123"/>
  <c r="N469" i="123"/>
  <c r="O469" i="123"/>
  <c r="P469" i="123"/>
  <c r="R469" i="123" s="1"/>
  <c r="Q469" i="123"/>
  <c r="Y469" i="123"/>
  <c r="Z469" i="123" s="1"/>
  <c r="AB469" i="123"/>
  <c r="AC469" i="123" s="1"/>
  <c r="K470" i="123"/>
  <c r="M470" i="123"/>
  <c r="N470" i="123"/>
  <c r="O470" i="123"/>
  <c r="P470" i="123"/>
  <c r="R470" i="123" s="1"/>
  <c r="Q470" i="123"/>
  <c r="Y470" i="123"/>
  <c r="Z470" i="123" s="1"/>
  <c r="AB470" i="123"/>
  <c r="AC470" i="123" s="1"/>
  <c r="K471" i="123"/>
  <c r="M471" i="123"/>
  <c r="N471" i="123"/>
  <c r="O471" i="123"/>
  <c r="P471" i="123"/>
  <c r="R471" i="123" s="1"/>
  <c r="Q471" i="123"/>
  <c r="Y471" i="123"/>
  <c r="AA471" i="123" s="1"/>
  <c r="AB471" i="123"/>
  <c r="AD471" i="123" s="1"/>
  <c r="K472" i="123"/>
  <c r="M472" i="123"/>
  <c r="N472" i="123"/>
  <c r="O472" i="123"/>
  <c r="P472" i="123"/>
  <c r="R472" i="123" s="1"/>
  <c r="Q472" i="123"/>
  <c r="Y472" i="123"/>
  <c r="Z472" i="123" s="1"/>
  <c r="AB472" i="123"/>
  <c r="AD472" i="123" s="1"/>
  <c r="K473" i="123"/>
  <c r="M473" i="123"/>
  <c r="N473" i="123"/>
  <c r="O473" i="123"/>
  <c r="P473" i="123"/>
  <c r="R473" i="123" s="1"/>
  <c r="Q473" i="123"/>
  <c r="Y473" i="123"/>
  <c r="Z473" i="123" s="1"/>
  <c r="AB473" i="123"/>
  <c r="AC473" i="123" s="1"/>
  <c r="K474" i="123"/>
  <c r="M474" i="123"/>
  <c r="N474" i="123"/>
  <c r="O474" i="123"/>
  <c r="P474" i="123"/>
  <c r="R474" i="123" s="1"/>
  <c r="Y474" i="123"/>
  <c r="Z474" i="123" s="1"/>
  <c r="AB474" i="123"/>
  <c r="AC474" i="123" s="1"/>
  <c r="K475" i="123"/>
  <c r="M475" i="123"/>
  <c r="N475" i="123"/>
  <c r="O475" i="123"/>
  <c r="P475" i="123"/>
  <c r="R475" i="123" s="1"/>
  <c r="Q475" i="123"/>
  <c r="Y475" i="123"/>
  <c r="Z475" i="123" s="1"/>
  <c r="AB475" i="123"/>
  <c r="AC475" i="123" s="1"/>
  <c r="K476" i="123"/>
  <c r="M476" i="123"/>
  <c r="N476" i="123"/>
  <c r="O476" i="123"/>
  <c r="P476" i="123"/>
  <c r="R476" i="123" s="1"/>
  <c r="Q476" i="123"/>
  <c r="Y476" i="123"/>
  <c r="Z476" i="123" s="1"/>
  <c r="AB476" i="123"/>
  <c r="AC476" i="123" s="1"/>
  <c r="K477" i="123"/>
  <c r="M477" i="123"/>
  <c r="N477" i="123"/>
  <c r="O477" i="123"/>
  <c r="P477" i="123"/>
  <c r="R477" i="123" s="1"/>
  <c r="Q477" i="123"/>
  <c r="Y477" i="123"/>
  <c r="AA477" i="123" s="1"/>
  <c r="AB477" i="123"/>
  <c r="AC477" i="123" s="1"/>
  <c r="K478" i="123"/>
  <c r="M478" i="123"/>
  <c r="N478" i="123"/>
  <c r="O478" i="123"/>
  <c r="P478" i="123"/>
  <c r="R478" i="123" s="1"/>
  <c r="Q478" i="123"/>
  <c r="Y478" i="123"/>
  <c r="Z478" i="123" s="1"/>
  <c r="AB478" i="123"/>
  <c r="AD478" i="123" s="1"/>
  <c r="K479" i="123"/>
  <c r="M479" i="123"/>
  <c r="N479" i="123"/>
  <c r="O479" i="123"/>
  <c r="P479" i="123"/>
  <c r="R479" i="123" s="1"/>
  <c r="Q479" i="123"/>
  <c r="Y479" i="123"/>
  <c r="Z479" i="123" s="1"/>
  <c r="AB479" i="123"/>
  <c r="AC479" i="123" s="1"/>
  <c r="K480" i="123"/>
  <c r="M480" i="123"/>
  <c r="N480" i="123"/>
  <c r="O480" i="123"/>
  <c r="P480" i="123"/>
  <c r="R480" i="123" s="1"/>
  <c r="Q480" i="123"/>
  <c r="Y480" i="123"/>
  <c r="Z480" i="123" s="1"/>
  <c r="AB480" i="123"/>
  <c r="AD480" i="123" s="1"/>
  <c r="K481" i="123"/>
  <c r="M481" i="123"/>
  <c r="N481" i="123"/>
  <c r="O481" i="123"/>
  <c r="P481" i="123"/>
  <c r="R481" i="123" s="1"/>
  <c r="Q481" i="123"/>
  <c r="Y481" i="123"/>
  <c r="Z481" i="123" s="1"/>
  <c r="AB481" i="123"/>
  <c r="AC481" i="123" s="1"/>
  <c r="K482" i="123"/>
  <c r="M482" i="123"/>
  <c r="N482" i="123"/>
  <c r="O482" i="123"/>
  <c r="P482" i="123"/>
  <c r="R482" i="123" s="1"/>
  <c r="Y482" i="123"/>
  <c r="Z482" i="123" s="1"/>
  <c r="AB482" i="123"/>
  <c r="AC482" i="123" s="1"/>
  <c r="K483" i="123"/>
  <c r="M483" i="123"/>
  <c r="N483" i="123"/>
  <c r="O483" i="123"/>
  <c r="P483" i="123"/>
  <c r="R483" i="123" s="1"/>
  <c r="Y483" i="123"/>
  <c r="Z483" i="123" s="1"/>
  <c r="AB483" i="123"/>
  <c r="AC483" i="123" s="1"/>
  <c r="K484" i="123"/>
  <c r="M484" i="123"/>
  <c r="N484" i="123"/>
  <c r="O484" i="123"/>
  <c r="P484" i="123"/>
  <c r="R484" i="123" s="1"/>
  <c r="Q484" i="123"/>
  <c r="Y484" i="123"/>
  <c r="Z484" i="123" s="1"/>
  <c r="AB484" i="123"/>
  <c r="AD484" i="123" s="1"/>
  <c r="K485" i="123"/>
  <c r="L485" i="123"/>
  <c r="M485" i="123"/>
  <c r="N485" i="123"/>
  <c r="O485" i="123"/>
  <c r="P485" i="123"/>
  <c r="R485" i="123" s="1"/>
  <c r="Q485" i="123"/>
  <c r="Y485" i="123"/>
  <c r="Z485" i="123" s="1"/>
  <c r="AB485" i="123"/>
  <c r="AC485" i="123" s="1"/>
  <c r="AK485" i="123"/>
  <c r="AL485" i="123"/>
  <c r="AO485" i="123" s="1"/>
  <c r="K486" i="123"/>
  <c r="M486" i="123"/>
  <c r="N486" i="123"/>
  <c r="O486" i="123"/>
  <c r="P486" i="123"/>
  <c r="R486" i="123" s="1"/>
  <c r="Q486" i="123"/>
  <c r="Y486" i="123"/>
  <c r="Z486" i="123" s="1"/>
  <c r="AB486" i="123"/>
  <c r="AC486" i="123" s="1"/>
  <c r="K487" i="123"/>
  <c r="M487" i="123"/>
  <c r="N487" i="123"/>
  <c r="O487" i="123"/>
  <c r="P487" i="123"/>
  <c r="R487" i="123" s="1"/>
  <c r="Q487" i="123"/>
  <c r="Y487" i="123"/>
  <c r="AA487" i="123" s="1"/>
  <c r="AB487" i="123"/>
  <c r="AC487" i="123" s="1"/>
  <c r="K488" i="123"/>
  <c r="M488" i="123"/>
  <c r="N488" i="123"/>
  <c r="O488" i="123"/>
  <c r="P488" i="123"/>
  <c r="R488" i="123" s="1"/>
  <c r="Q488" i="123"/>
  <c r="Y488" i="123"/>
  <c r="Z488" i="123" s="1"/>
  <c r="AB488" i="123"/>
  <c r="AD488" i="123" s="1"/>
  <c r="K489" i="123"/>
  <c r="M489" i="123"/>
  <c r="N489" i="123"/>
  <c r="O489" i="123"/>
  <c r="P489" i="123"/>
  <c r="R489" i="123" s="1"/>
  <c r="Q489" i="123"/>
  <c r="Y489" i="123"/>
  <c r="Z489" i="123" s="1"/>
  <c r="AB489" i="123"/>
  <c r="AC489" i="123" s="1"/>
  <c r="K490" i="123"/>
  <c r="M490" i="123"/>
  <c r="N490" i="123"/>
  <c r="O490" i="123"/>
  <c r="P490" i="123"/>
  <c r="R490" i="123" s="1"/>
  <c r="Q490" i="123"/>
  <c r="Y490" i="123"/>
  <c r="Z490" i="123" s="1"/>
  <c r="AB490" i="123"/>
  <c r="AC490" i="123" s="1"/>
  <c r="K491" i="123"/>
  <c r="M491" i="123"/>
  <c r="N491" i="123"/>
  <c r="O491" i="123"/>
  <c r="P491" i="123"/>
  <c r="R491" i="123" s="1"/>
  <c r="Q491" i="123"/>
  <c r="Y491" i="123"/>
  <c r="AA491" i="123" s="1"/>
  <c r="AB491" i="123"/>
  <c r="AC491" i="123" s="1"/>
  <c r="K492" i="123"/>
  <c r="M492" i="123"/>
  <c r="N492" i="123"/>
  <c r="O492" i="123"/>
  <c r="P492" i="123"/>
  <c r="R492" i="123" s="1"/>
  <c r="Q492" i="123"/>
  <c r="Y492" i="123"/>
  <c r="Z492" i="123" s="1"/>
  <c r="AB492" i="123"/>
  <c r="AD492" i="123" s="1"/>
  <c r="K493" i="123"/>
  <c r="M493" i="123"/>
  <c r="N493" i="123"/>
  <c r="O493" i="123"/>
  <c r="P493" i="123"/>
  <c r="R493" i="123" s="1"/>
  <c r="Q493" i="123"/>
  <c r="Y493" i="123"/>
  <c r="Z493" i="123" s="1"/>
  <c r="AB493" i="123"/>
  <c r="AC493" i="123" s="1"/>
  <c r="K494" i="123"/>
  <c r="M494" i="123"/>
  <c r="N494" i="123"/>
  <c r="O494" i="123"/>
  <c r="P494" i="123"/>
  <c r="R494" i="123" s="1"/>
  <c r="Q494" i="123"/>
  <c r="Y494" i="123"/>
  <c r="Z494" i="123" s="1"/>
  <c r="AB494" i="123"/>
  <c r="AC494" i="123" s="1"/>
  <c r="K495" i="123"/>
  <c r="M495" i="123"/>
  <c r="N495" i="123"/>
  <c r="O495" i="123"/>
  <c r="P495" i="123"/>
  <c r="R495" i="123" s="1"/>
  <c r="Q495" i="123"/>
  <c r="Y495" i="123"/>
  <c r="AA495" i="123" s="1"/>
  <c r="AB495" i="123"/>
  <c r="AC495" i="123" s="1"/>
  <c r="K496" i="123"/>
  <c r="M496" i="123"/>
  <c r="N496" i="123"/>
  <c r="O496" i="123"/>
  <c r="P496" i="123"/>
  <c r="R496" i="123" s="1"/>
  <c r="Q496" i="123"/>
  <c r="Y496" i="123"/>
  <c r="Z496" i="123" s="1"/>
  <c r="AB496" i="123"/>
  <c r="AD496" i="123" s="1"/>
  <c r="K497" i="123"/>
  <c r="M497" i="123"/>
  <c r="N497" i="123"/>
  <c r="O497" i="123"/>
  <c r="P497" i="123"/>
  <c r="R497" i="123" s="1"/>
  <c r="Y497" i="123"/>
  <c r="Z497" i="123" s="1"/>
  <c r="AB497" i="123"/>
  <c r="AC497" i="123" s="1"/>
  <c r="K498" i="123"/>
  <c r="M498" i="123"/>
  <c r="N498" i="123"/>
  <c r="O498" i="123"/>
  <c r="P498" i="123"/>
  <c r="R498" i="123" s="1"/>
  <c r="Q498" i="123"/>
  <c r="Y498" i="123"/>
  <c r="Z498" i="123" s="1"/>
  <c r="AB498" i="123"/>
  <c r="AC498" i="123" s="1"/>
  <c r="K499" i="123"/>
  <c r="M499" i="123"/>
  <c r="N499" i="123"/>
  <c r="O499" i="123"/>
  <c r="P499" i="123"/>
  <c r="R499" i="123" s="1"/>
  <c r="Q499" i="123"/>
  <c r="Y499" i="123"/>
  <c r="Z499" i="123" s="1"/>
  <c r="AB499" i="123"/>
  <c r="AC499" i="123" s="1"/>
  <c r="K500" i="123"/>
  <c r="M500" i="123"/>
  <c r="N500" i="123"/>
  <c r="O500" i="123"/>
  <c r="P500" i="123"/>
  <c r="R500" i="123" s="1"/>
  <c r="Q500" i="123"/>
  <c r="Y500" i="123"/>
  <c r="Z500" i="123" s="1"/>
  <c r="AB500" i="123"/>
  <c r="AD500" i="123" s="1"/>
  <c r="K501" i="123"/>
  <c r="M501" i="123"/>
  <c r="N501" i="123"/>
  <c r="O501" i="123"/>
  <c r="P501" i="123"/>
  <c r="R501" i="123" s="1"/>
  <c r="Q501" i="123"/>
  <c r="Y501" i="123"/>
  <c r="Z501" i="123" s="1"/>
  <c r="AB501" i="123"/>
  <c r="AC501" i="123" s="1"/>
  <c r="K502" i="123"/>
  <c r="M502" i="123"/>
  <c r="N502" i="123"/>
  <c r="O502" i="123"/>
  <c r="P502" i="123"/>
  <c r="R502" i="123" s="1"/>
  <c r="Q502" i="123"/>
  <c r="Y502" i="123"/>
  <c r="Z502" i="123" s="1"/>
  <c r="AB502" i="123"/>
  <c r="AC502" i="123" s="1"/>
  <c r="K503" i="123"/>
  <c r="M503" i="123"/>
  <c r="N503" i="123"/>
  <c r="O503" i="123"/>
  <c r="P503" i="123"/>
  <c r="R503" i="123" s="1"/>
  <c r="Q503" i="123"/>
  <c r="Y503" i="123"/>
  <c r="Z503" i="123" s="1"/>
  <c r="AB503" i="123"/>
  <c r="AC503" i="123" s="1"/>
  <c r="K504" i="123"/>
  <c r="M504" i="123"/>
  <c r="N504" i="123"/>
  <c r="O504" i="123"/>
  <c r="P504" i="123"/>
  <c r="R504" i="123" s="1"/>
  <c r="Q504" i="123"/>
  <c r="Y504" i="123"/>
  <c r="Z504" i="123" s="1"/>
  <c r="AB504" i="123"/>
  <c r="AD504" i="123" s="1"/>
  <c r="K505" i="123"/>
  <c r="M505" i="123"/>
  <c r="N505" i="123"/>
  <c r="O505" i="123"/>
  <c r="P505" i="123"/>
  <c r="R505" i="123" s="1"/>
  <c r="Q505" i="123"/>
  <c r="Y505" i="123"/>
  <c r="Z505" i="123" s="1"/>
  <c r="AB505" i="123"/>
  <c r="AC505" i="123" s="1"/>
  <c r="K506" i="123"/>
  <c r="M506" i="123"/>
  <c r="N506" i="123"/>
  <c r="O506" i="123"/>
  <c r="P506" i="123"/>
  <c r="R506" i="123" s="1"/>
  <c r="Q506" i="123"/>
  <c r="Y506" i="123"/>
  <c r="Z506" i="123" s="1"/>
  <c r="AB506" i="123"/>
  <c r="AC506" i="123" s="1"/>
  <c r="K507" i="123"/>
  <c r="L507" i="123"/>
  <c r="M507" i="123"/>
  <c r="N507" i="123"/>
  <c r="O507" i="123"/>
  <c r="P507" i="123"/>
  <c r="R507" i="123" s="1"/>
  <c r="Q507" i="123"/>
  <c r="Y507" i="123"/>
  <c r="AA507" i="123" s="1"/>
  <c r="AB507" i="123"/>
  <c r="AC507" i="123" s="1"/>
  <c r="K508" i="123"/>
  <c r="M508" i="123"/>
  <c r="N508" i="123"/>
  <c r="O508" i="123"/>
  <c r="P508" i="123"/>
  <c r="R508" i="123" s="1"/>
  <c r="Q508" i="123"/>
  <c r="Y508" i="123"/>
  <c r="Z508" i="123" s="1"/>
  <c r="AB508" i="123"/>
  <c r="AD508" i="123" s="1"/>
  <c r="K509" i="123"/>
  <c r="M509" i="123"/>
  <c r="N509" i="123"/>
  <c r="O509" i="123"/>
  <c r="P509" i="123"/>
  <c r="R509" i="123" s="1"/>
  <c r="Q509" i="123"/>
  <c r="Y509" i="123"/>
  <c r="Z509" i="123" s="1"/>
  <c r="AB509" i="123"/>
  <c r="AC509" i="123" s="1"/>
  <c r="K510" i="123"/>
  <c r="M510" i="123"/>
  <c r="N510" i="123"/>
  <c r="O510" i="123"/>
  <c r="P510" i="123"/>
  <c r="R510" i="123" s="1"/>
  <c r="Y510" i="123"/>
  <c r="Z510" i="123" s="1"/>
  <c r="AB510" i="123"/>
  <c r="AC510" i="123" s="1"/>
  <c r="K511" i="123"/>
  <c r="M511" i="123"/>
  <c r="N511" i="123"/>
  <c r="O511" i="123"/>
  <c r="P511" i="123"/>
  <c r="R511" i="123" s="1"/>
  <c r="Q511" i="123"/>
  <c r="Y511" i="123"/>
  <c r="AA511" i="123" s="1"/>
  <c r="AB511" i="123"/>
  <c r="AC511" i="123" s="1"/>
  <c r="K512" i="123"/>
  <c r="M512" i="123"/>
  <c r="N512" i="123"/>
  <c r="O512" i="123"/>
  <c r="P512" i="123"/>
  <c r="R512" i="123" s="1"/>
  <c r="Q512" i="123"/>
  <c r="Y512" i="123"/>
  <c r="Z512" i="123" s="1"/>
  <c r="AB512" i="123"/>
  <c r="AD512" i="123" s="1"/>
  <c r="K513" i="123"/>
  <c r="M513" i="123"/>
  <c r="N513" i="123"/>
  <c r="O513" i="123"/>
  <c r="P513" i="123"/>
  <c r="R513" i="123" s="1"/>
  <c r="Q513" i="123"/>
  <c r="Y513" i="123"/>
  <c r="Z513" i="123" s="1"/>
  <c r="AB513" i="123"/>
  <c r="AC513" i="123" s="1"/>
  <c r="K514" i="123"/>
  <c r="M514" i="123"/>
  <c r="N514" i="123"/>
  <c r="O514" i="123"/>
  <c r="P514" i="123"/>
  <c r="R514" i="123" s="1"/>
  <c r="Q514" i="123"/>
  <c r="Y514" i="123"/>
  <c r="Z514" i="123" s="1"/>
  <c r="AB514" i="123"/>
  <c r="AC514" i="123" s="1"/>
  <c r="K515" i="123"/>
  <c r="M515" i="123"/>
  <c r="N515" i="123"/>
  <c r="O515" i="123"/>
  <c r="P515" i="123"/>
  <c r="R515" i="123" s="1"/>
  <c r="Q515" i="123"/>
  <c r="Y515" i="123"/>
  <c r="AA515" i="123" s="1"/>
  <c r="AB515" i="123"/>
  <c r="AC515" i="123" s="1"/>
  <c r="K516" i="123"/>
  <c r="M516" i="123"/>
  <c r="N516" i="123"/>
  <c r="O516" i="123"/>
  <c r="P516" i="123"/>
  <c r="R516" i="123" s="1"/>
  <c r="Q516" i="123"/>
  <c r="Y516" i="123"/>
  <c r="Z516" i="123" s="1"/>
  <c r="AB516" i="123"/>
  <c r="AD516" i="123" s="1"/>
  <c r="K517" i="123"/>
  <c r="M517" i="123"/>
  <c r="N517" i="123"/>
  <c r="O517" i="123"/>
  <c r="P517" i="123"/>
  <c r="R517" i="123" s="1"/>
  <c r="Q517" i="123"/>
  <c r="Y517" i="123"/>
  <c r="Z517" i="123" s="1"/>
  <c r="AB517" i="123"/>
  <c r="AC517" i="123" s="1"/>
  <c r="K518" i="123"/>
  <c r="M518" i="123"/>
  <c r="N518" i="123"/>
  <c r="O518" i="123"/>
  <c r="P518" i="123"/>
  <c r="R518" i="123" s="1"/>
  <c r="Q518" i="123"/>
  <c r="Y518" i="123"/>
  <c r="Z518" i="123" s="1"/>
  <c r="AB518" i="123"/>
  <c r="AC518" i="123" s="1"/>
  <c r="K519" i="123"/>
  <c r="M519" i="123"/>
  <c r="N519" i="123"/>
  <c r="O519" i="123"/>
  <c r="P519" i="123"/>
  <c r="R519" i="123" s="1"/>
  <c r="Q519" i="123"/>
  <c r="Y519" i="123"/>
  <c r="Z519" i="123" s="1"/>
  <c r="AB519" i="123"/>
  <c r="AC519" i="123" s="1"/>
  <c r="K520" i="123"/>
  <c r="M520" i="123"/>
  <c r="N520" i="123"/>
  <c r="O520" i="123"/>
  <c r="P520" i="123"/>
  <c r="R520" i="123" s="1"/>
  <c r="Q520" i="123"/>
  <c r="Y520" i="123"/>
  <c r="Z520" i="123" s="1"/>
  <c r="AB520" i="123"/>
  <c r="AD520" i="123" s="1"/>
  <c r="K521" i="123"/>
  <c r="M521" i="123"/>
  <c r="N521" i="123"/>
  <c r="O521" i="123"/>
  <c r="P521" i="123"/>
  <c r="R521" i="123" s="1"/>
  <c r="Q521" i="123"/>
  <c r="Y521" i="123"/>
  <c r="Z521" i="123" s="1"/>
  <c r="AB521" i="123"/>
  <c r="AC521" i="123" s="1"/>
  <c r="K522" i="123"/>
  <c r="M522" i="123"/>
  <c r="N522" i="123"/>
  <c r="O522" i="123"/>
  <c r="P522" i="123"/>
  <c r="R522" i="123" s="1"/>
  <c r="Q522" i="123"/>
  <c r="Y522" i="123"/>
  <c r="Z522" i="123" s="1"/>
  <c r="AB522" i="123"/>
  <c r="AC522" i="123" s="1"/>
  <c r="K523" i="123"/>
  <c r="M523" i="123"/>
  <c r="N523" i="123"/>
  <c r="O523" i="123"/>
  <c r="P523" i="123"/>
  <c r="R523" i="123" s="1"/>
  <c r="Q523" i="123"/>
  <c r="Y523" i="123"/>
  <c r="AA523" i="123" s="1"/>
  <c r="AB523" i="123"/>
  <c r="AC523" i="123" s="1"/>
  <c r="K524" i="123"/>
  <c r="M524" i="123"/>
  <c r="N524" i="123"/>
  <c r="O524" i="123"/>
  <c r="P524" i="123"/>
  <c r="R524" i="123" s="1"/>
  <c r="Q524" i="123"/>
  <c r="Y524" i="123"/>
  <c r="Z524" i="123" s="1"/>
  <c r="AB524" i="123"/>
  <c r="AC524" i="123" s="1"/>
  <c r="K525" i="123"/>
  <c r="M525" i="123"/>
  <c r="N525" i="123"/>
  <c r="O525" i="123"/>
  <c r="P525" i="123"/>
  <c r="R525" i="123" s="1"/>
  <c r="Q525" i="123"/>
  <c r="Y525" i="123"/>
  <c r="Z525" i="123" s="1"/>
  <c r="AB525" i="123"/>
  <c r="AC525" i="123" s="1"/>
  <c r="K526" i="123"/>
  <c r="M526" i="123"/>
  <c r="N526" i="123"/>
  <c r="O526" i="123"/>
  <c r="P526" i="123"/>
  <c r="R526" i="123" s="1"/>
  <c r="Q526" i="123"/>
  <c r="Y526" i="123"/>
  <c r="Z526" i="123" s="1"/>
  <c r="AB526" i="123"/>
  <c r="AC526" i="123" s="1"/>
  <c r="AK526" i="123"/>
  <c r="AL526" i="123"/>
  <c r="AO526" i="123" s="1"/>
  <c r="K527" i="123"/>
  <c r="M527" i="123"/>
  <c r="N527" i="123"/>
  <c r="O527" i="123"/>
  <c r="P527" i="123"/>
  <c r="R527" i="123" s="1"/>
  <c r="Q527" i="123"/>
  <c r="Y527" i="123"/>
  <c r="AA527" i="123" s="1"/>
  <c r="AB527" i="123"/>
  <c r="AC527" i="123" s="1"/>
  <c r="K528" i="123"/>
  <c r="M528" i="123"/>
  <c r="N528" i="123"/>
  <c r="O528" i="123"/>
  <c r="P528" i="123"/>
  <c r="R528" i="123" s="1"/>
  <c r="Q528" i="123"/>
  <c r="Y528" i="123"/>
  <c r="Z528" i="123" s="1"/>
  <c r="AB528" i="123"/>
  <c r="AD528" i="123" s="1"/>
  <c r="AK528" i="123"/>
  <c r="AL528" i="123"/>
  <c r="AO528" i="123" s="1"/>
  <c r="K529" i="123"/>
  <c r="M529" i="123"/>
  <c r="N529" i="123"/>
  <c r="O529" i="123"/>
  <c r="P529" i="123"/>
  <c r="R529" i="123" s="1"/>
  <c r="Q529" i="123"/>
  <c r="Y529" i="123"/>
  <c r="AA529" i="123" s="1"/>
  <c r="AB529" i="123"/>
  <c r="AC529" i="123" s="1"/>
  <c r="K530" i="123"/>
  <c r="M530" i="123"/>
  <c r="N530" i="123"/>
  <c r="O530" i="123"/>
  <c r="P530" i="123"/>
  <c r="R530" i="123" s="1"/>
  <c r="Q530" i="123"/>
  <c r="Y530" i="123"/>
  <c r="Z530" i="123" s="1"/>
  <c r="AB530" i="123"/>
  <c r="AD530" i="123" s="1"/>
  <c r="K531" i="123"/>
  <c r="M531" i="123"/>
  <c r="N531" i="123"/>
  <c r="O531" i="123"/>
  <c r="P531" i="123"/>
  <c r="R531" i="123" s="1"/>
  <c r="Q531" i="123"/>
  <c r="Y531" i="123"/>
  <c r="Z531" i="123" s="1"/>
  <c r="AB531" i="123"/>
  <c r="K532" i="123"/>
  <c r="M532" i="123"/>
  <c r="N532" i="123"/>
  <c r="O532" i="123"/>
  <c r="P532" i="123"/>
  <c r="R532" i="123" s="1"/>
  <c r="Q532" i="123"/>
  <c r="Y532" i="123"/>
  <c r="Z532" i="123" s="1"/>
  <c r="AB532" i="123"/>
  <c r="AD532" i="123" s="1"/>
  <c r="K533" i="123"/>
  <c r="M533" i="123"/>
  <c r="N533" i="123"/>
  <c r="O533" i="123"/>
  <c r="P533" i="123"/>
  <c r="R533" i="123" s="1"/>
  <c r="Q533" i="123"/>
  <c r="Y533" i="123"/>
  <c r="Z533" i="123" s="1"/>
  <c r="AB533" i="123"/>
  <c r="AC533" i="123" s="1"/>
  <c r="K534" i="123"/>
  <c r="M534" i="123"/>
  <c r="N534" i="123"/>
  <c r="O534" i="123"/>
  <c r="P534" i="123"/>
  <c r="R534" i="123" s="1"/>
  <c r="Q534" i="123"/>
  <c r="Y534" i="123"/>
  <c r="Z534" i="123" s="1"/>
  <c r="AB534" i="123"/>
  <c r="AD534" i="123" s="1"/>
  <c r="AK534" i="123"/>
  <c r="AL534" i="123"/>
  <c r="AO534" i="123" s="1"/>
  <c r="K535" i="123"/>
  <c r="M535" i="123"/>
  <c r="N535" i="123"/>
  <c r="O535" i="123"/>
  <c r="P535" i="123"/>
  <c r="R535" i="123" s="1"/>
  <c r="Q535" i="123"/>
  <c r="Y535" i="123"/>
  <c r="AA535" i="123" s="1"/>
  <c r="AB535" i="123"/>
  <c r="AC535" i="123" s="1"/>
  <c r="AK535" i="123"/>
  <c r="AL535" i="123"/>
  <c r="AO535" i="123" s="1"/>
  <c r="K536" i="123"/>
  <c r="M536" i="123"/>
  <c r="N536" i="123"/>
  <c r="O536" i="123"/>
  <c r="P536" i="123"/>
  <c r="R536" i="123" s="1"/>
  <c r="Q536" i="123"/>
  <c r="Y536" i="123"/>
  <c r="Z536" i="123" s="1"/>
  <c r="AB536" i="123"/>
  <c r="AD536" i="123" s="1"/>
  <c r="AK536" i="123"/>
  <c r="AL536" i="123"/>
  <c r="AO536" i="123" s="1"/>
  <c r="K537" i="123"/>
  <c r="M537" i="123"/>
  <c r="N537" i="123"/>
  <c r="O537" i="123"/>
  <c r="P537" i="123"/>
  <c r="R537" i="123" s="1"/>
  <c r="Q537" i="123"/>
  <c r="Y537" i="123"/>
  <c r="AA537" i="123" s="1"/>
  <c r="AB537" i="123"/>
  <c r="AC537" i="123" s="1"/>
  <c r="AK537" i="123"/>
  <c r="AL537" i="123"/>
  <c r="AO537" i="123" s="1"/>
  <c r="K538" i="123"/>
  <c r="M538" i="123"/>
  <c r="N538" i="123"/>
  <c r="O538" i="123"/>
  <c r="P538" i="123"/>
  <c r="R538" i="123" s="1"/>
  <c r="Q538" i="123"/>
  <c r="Y538" i="123"/>
  <c r="Z538" i="123" s="1"/>
  <c r="AB538" i="123"/>
  <c r="AD538" i="123" s="1"/>
  <c r="AK538" i="123"/>
  <c r="AL538" i="123"/>
  <c r="AO538" i="123" s="1"/>
  <c r="K539" i="123"/>
  <c r="M539" i="123"/>
  <c r="N539" i="123"/>
  <c r="O539" i="123"/>
  <c r="P539" i="123"/>
  <c r="R539" i="123" s="1"/>
  <c r="Q539" i="123"/>
  <c r="Y539" i="123"/>
  <c r="AA539" i="123" s="1"/>
  <c r="AB539" i="123"/>
  <c r="AC539" i="123" s="1"/>
  <c r="AK539" i="123"/>
  <c r="AL539" i="123"/>
  <c r="AO539" i="123" s="1"/>
  <c r="K540" i="123"/>
  <c r="M540" i="123"/>
  <c r="N540" i="123"/>
  <c r="O540" i="123"/>
  <c r="P540" i="123"/>
  <c r="R540" i="123" s="1"/>
  <c r="Q540" i="123"/>
  <c r="Y540" i="123"/>
  <c r="Z540" i="123" s="1"/>
  <c r="AB540" i="123"/>
  <c r="AD540" i="123" s="1"/>
  <c r="AK540" i="123"/>
  <c r="AL540" i="123"/>
  <c r="AO540" i="123" s="1"/>
  <c r="K541" i="123"/>
  <c r="M541" i="123"/>
  <c r="N541" i="123"/>
  <c r="O541" i="123"/>
  <c r="P541" i="123"/>
  <c r="R541" i="123" s="1"/>
  <c r="Q541" i="123"/>
  <c r="Y541" i="123"/>
  <c r="AA541" i="123" s="1"/>
  <c r="AB541" i="123"/>
  <c r="AK541" i="123"/>
  <c r="AL541" i="123"/>
  <c r="AO541" i="123" s="1"/>
  <c r="K542" i="123"/>
  <c r="M542" i="123"/>
  <c r="N542" i="123"/>
  <c r="O542" i="123"/>
  <c r="P542" i="123"/>
  <c r="R542" i="123" s="1"/>
  <c r="Q542" i="123"/>
  <c r="Y542" i="123"/>
  <c r="Z542" i="123" s="1"/>
  <c r="AB542" i="123"/>
  <c r="AD542" i="123" s="1"/>
  <c r="AK542" i="123"/>
  <c r="AL542" i="123"/>
  <c r="AO542" i="123" s="1"/>
  <c r="K543" i="123"/>
  <c r="M543" i="123"/>
  <c r="N543" i="123"/>
  <c r="O543" i="123"/>
  <c r="P543" i="123"/>
  <c r="R543" i="123" s="1"/>
  <c r="Q543" i="123"/>
  <c r="Y543" i="123"/>
  <c r="AA543" i="123" s="1"/>
  <c r="AB543" i="123"/>
  <c r="AC543" i="123" s="1"/>
  <c r="AK543" i="123"/>
  <c r="AL543" i="123"/>
  <c r="AO543" i="123" s="1"/>
  <c r="K544" i="123"/>
  <c r="M544" i="123"/>
  <c r="N544" i="123"/>
  <c r="O544" i="123"/>
  <c r="P544" i="123"/>
  <c r="R544" i="123" s="1"/>
  <c r="Q544" i="123"/>
  <c r="Y544" i="123"/>
  <c r="AB544" i="123"/>
  <c r="AD544" i="123" s="1"/>
  <c r="AK544" i="123"/>
  <c r="AL544" i="123"/>
  <c r="AO544" i="123" s="1"/>
  <c r="K545" i="123"/>
  <c r="M545" i="123"/>
  <c r="N545" i="123"/>
  <c r="O545" i="123"/>
  <c r="P545" i="123"/>
  <c r="R545" i="123" s="1"/>
  <c r="Q545" i="123"/>
  <c r="Y545" i="123"/>
  <c r="AA545" i="123" s="1"/>
  <c r="AB545" i="123"/>
  <c r="AK545" i="123"/>
  <c r="AL545" i="123"/>
  <c r="AO545" i="123" s="1"/>
  <c r="K546" i="123"/>
  <c r="L546" i="123"/>
  <c r="M546" i="123"/>
  <c r="N546" i="123"/>
  <c r="O546" i="123"/>
  <c r="P546" i="123"/>
  <c r="Q546" i="123"/>
  <c r="R546" i="123"/>
  <c r="T546" i="123" s="1"/>
  <c r="S546" i="123"/>
  <c r="X546" i="123"/>
  <c r="Y546" i="123"/>
  <c r="Z546" i="123" s="1"/>
  <c r="AB546" i="123"/>
  <c r="AC546" i="123" s="1"/>
  <c r="AJ546" i="123"/>
  <c r="AK546" i="123"/>
  <c r="AL546" i="123"/>
  <c r="AO546" i="123"/>
  <c r="AP546" i="123"/>
  <c r="AQ546" i="123" s="1"/>
  <c r="AT546" i="123"/>
  <c r="AU546" i="123"/>
  <c r="K547" i="123"/>
  <c r="L547" i="123"/>
  <c r="M547" i="123"/>
  <c r="N547" i="123"/>
  <c r="O547" i="123"/>
  <c r="P547" i="123"/>
  <c r="Q547" i="123"/>
  <c r="R547" i="123"/>
  <c r="T547" i="123" s="1"/>
  <c r="S547" i="123"/>
  <c r="X547" i="123"/>
  <c r="Y547" i="123"/>
  <c r="Z547" i="123" s="1"/>
  <c r="AB547" i="123"/>
  <c r="AC547" i="123" s="1"/>
  <c r="AJ547" i="123"/>
  <c r="AK547" i="123"/>
  <c r="AL547" i="123"/>
  <c r="AO547" i="123"/>
  <c r="AP547" i="123"/>
  <c r="AQ547" i="123" s="1"/>
  <c r="AT547" i="123"/>
  <c r="AU547" i="123"/>
  <c r="K548" i="123"/>
  <c r="L548" i="123"/>
  <c r="M548" i="123"/>
  <c r="N548" i="123"/>
  <c r="O548" i="123"/>
  <c r="P548" i="123"/>
  <c r="Q548" i="123"/>
  <c r="R548" i="123"/>
  <c r="T548" i="123" s="1"/>
  <c r="S548" i="123"/>
  <c r="X548" i="123"/>
  <c r="Y548" i="123"/>
  <c r="Z548" i="123" s="1"/>
  <c r="AB548" i="123"/>
  <c r="AD548" i="123" s="1"/>
  <c r="AJ548" i="123"/>
  <c r="AK548" i="123"/>
  <c r="AL548" i="123"/>
  <c r="AO548" i="123"/>
  <c r="AP548" i="123"/>
  <c r="AQ548" i="123" s="1"/>
  <c r="AT548" i="123"/>
  <c r="AU548" i="123"/>
  <c r="K549" i="123"/>
  <c r="L549" i="123"/>
  <c r="M549" i="123"/>
  <c r="N549" i="123"/>
  <c r="O549" i="123"/>
  <c r="P549" i="123"/>
  <c r="Q549" i="123"/>
  <c r="R549" i="123"/>
  <c r="T549" i="123" s="1"/>
  <c r="S549" i="123"/>
  <c r="X549" i="123"/>
  <c r="Y549" i="123"/>
  <c r="AB549" i="123"/>
  <c r="AC549" i="123" s="1"/>
  <c r="AJ549" i="123"/>
  <c r="AK549" i="123"/>
  <c r="AL549" i="123"/>
  <c r="AO549" i="123"/>
  <c r="AP549" i="123"/>
  <c r="AQ549" i="123" s="1"/>
  <c r="AT549" i="123"/>
  <c r="AU549" i="123"/>
  <c r="K550" i="123"/>
  <c r="L550" i="123"/>
  <c r="M550" i="123"/>
  <c r="N550" i="123"/>
  <c r="O550" i="123"/>
  <c r="P550" i="123"/>
  <c r="Q550" i="123"/>
  <c r="R550" i="123"/>
  <c r="T550" i="123" s="1"/>
  <c r="S550" i="123"/>
  <c r="X550" i="123"/>
  <c r="Y550" i="123"/>
  <c r="Z550" i="123" s="1"/>
  <c r="AB550" i="123"/>
  <c r="AC550" i="123" s="1"/>
  <c r="AJ550" i="123"/>
  <c r="AK550" i="123"/>
  <c r="AL550" i="123"/>
  <c r="AO550" i="123"/>
  <c r="AP550" i="123"/>
  <c r="AQ550" i="123" s="1"/>
  <c r="AT550" i="123"/>
  <c r="AU550" i="123"/>
  <c r="K551" i="123"/>
  <c r="L551" i="123"/>
  <c r="M551" i="123"/>
  <c r="N551" i="123"/>
  <c r="O551" i="123"/>
  <c r="P551" i="123"/>
  <c r="Q551" i="123"/>
  <c r="R551" i="123"/>
  <c r="T551" i="123" s="1"/>
  <c r="S551" i="123"/>
  <c r="X551" i="123"/>
  <c r="Y551" i="123"/>
  <c r="AA551" i="123" s="1"/>
  <c r="AB551" i="123"/>
  <c r="AC551" i="123" s="1"/>
  <c r="AJ551" i="123"/>
  <c r="AK551" i="123"/>
  <c r="AL551" i="123"/>
  <c r="AO551" i="123"/>
  <c r="AP551" i="123"/>
  <c r="AQ551" i="123" s="1"/>
  <c r="AT551" i="123"/>
  <c r="AU551" i="123"/>
  <c r="K552" i="123"/>
  <c r="L552" i="123"/>
  <c r="M552" i="123"/>
  <c r="N552" i="123"/>
  <c r="O552" i="123"/>
  <c r="P552" i="123"/>
  <c r="Q552" i="123"/>
  <c r="R552" i="123"/>
  <c r="T552" i="123" s="1"/>
  <c r="V552" i="123" s="1"/>
  <c r="S552" i="123"/>
  <c r="X552" i="123"/>
  <c r="Y552" i="123"/>
  <c r="Z552" i="123" s="1"/>
  <c r="AB552" i="123"/>
  <c r="AD552" i="123" s="1"/>
  <c r="AJ552" i="123"/>
  <c r="AK552" i="123"/>
  <c r="AL552" i="123"/>
  <c r="AO552" i="123"/>
  <c r="AP552" i="123"/>
  <c r="AQ552" i="123" s="1"/>
  <c r="AT552" i="123"/>
  <c r="AU552" i="123"/>
  <c r="K553" i="123"/>
  <c r="L553" i="123"/>
  <c r="M553" i="123"/>
  <c r="N553" i="123"/>
  <c r="O553" i="123"/>
  <c r="P553" i="123"/>
  <c r="Q553" i="123"/>
  <c r="R553" i="123"/>
  <c r="T553" i="123" s="1"/>
  <c r="S553" i="123"/>
  <c r="X553" i="123"/>
  <c r="Y553" i="123"/>
  <c r="Z553" i="123" s="1"/>
  <c r="AB553" i="123"/>
  <c r="AC553" i="123" s="1"/>
  <c r="AJ553" i="123"/>
  <c r="AK553" i="123"/>
  <c r="AL553" i="123"/>
  <c r="AO553" i="123"/>
  <c r="AP553" i="123"/>
  <c r="AQ553" i="123" s="1"/>
  <c r="AT553" i="123"/>
  <c r="AU553" i="123"/>
  <c r="K554" i="123"/>
  <c r="L554" i="123"/>
  <c r="M554" i="123"/>
  <c r="N554" i="123"/>
  <c r="O554" i="123"/>
  <c r="P554" i="123"/>
  <c r="Q554" i="123"/>
  <c r="R554" i="123"/>
  <c r="T554" i="123" s="1"/>
  <c r="S554" i="123"/>
  <c r="X554" i="123"/>
  <c r="Y554" i="123"/>
  <c r="Z554" i="123" s="1"/>
  <c r="AB554" i="123"/>
  <c r="AC554" i="123" s="1"/>
  <c r="AJ554" i="123"/>
  <c r="AK554" i="123"/>
  <c r="AL554" i="123"/>
  <c r="AO554" i="123"/>
  <c r="AP554" i="123"/>
  <c r="AT554" i="123"/>
  <c r="AU554" i="123"/>
  <c r="K555" i="123"/>
  <c r="L555" i="123"/>
  <c r="M555" i="123"/>
  <c r="N555" i="123"/>
  <c r="O555" i="123"/>
  <c r="P555" i="123"/>
  <c r="Q555" i="123"/>
  <c r="R555" i="123"/>
  <c r="T555" i="123" s="1"/>
  <c r="S555" i="123"/>
  <c r="X555" i="123"/>
  <c r="Y555" i="123"/>
  <c r="AA555" i="123" s="1"/>
  <c r="AB555" i="123"/>
  <c r="AC555" i="123" s="1"/>
  <c r="AJ555" i="123"/>
  <c r="AK555" i="123"/>
  <c r="AL555" i="123"/>
  <c r="AO555" i="123"/>
  <c r="AP555" i="123"/>
  <c r="AQ555" i="123" s="1"/>
  <c r="AT555" i="123"/>
  <c r="AU555" i="123"/>
  <c r="K556" i="123"/>
  <c r="L556" i="123"/>
  <c r="M556" i="123"/>
  <c r="N556" i="123"/>
  <c r="O556" i="123"/>
  <c r="P556" i="123"/>
  <c r="Q556" i="123"/>
  <c r="R556" i="123"/>
  <c r="T556" i="123" s="1"/>
  <c r="S556" i="123"/>
  <c r="X556" i="123"/>
  <c r="Y556" i="123"/>
  <c r="Z556" i="123" s="1"/>
  <c r="AB556" i="123"/>
  <c r="AD556" i="123" s="1"/>
  <c r="AJ556" i="123"/>
  <c r="AK556" i="123"/>
  <c r="AL556" i="123"/>
  <c r="AO556" i="123"/>
  <c r="AP556" i="123"/>
  <c r="AQ556" i="123" s="1"/>
  <c r="AT556" i="123"/>
  <c r="AU556" i="123"/>
  <c r="K557" i="123"/>
  <c r="L557" i="123"/>
  <c r="M557" i="123"/>
  <c r="N557" i="123"/>
  <c r="O557" i="123"/>
  <c r="P557" i="123"/>
  <c r="Q557" i="123"/>
  <c r="R557" i="123"/>
  <c r="T557" i="123" s="1"/>
  <c r="S557" i="123"/>
  <c r="X557" i="123"/>
  <c r="Y557" i="123"/>
  <c r="AB557" i="123"/>
  <c r="AC557" i="123" s="1"/>
  <c r="AJ557" i="123"/>
  <c r="AK557" i="123"/>
  <c r="AL557" i="123"/>
  <c r="AO557" i="123"/>
  <c r="AP557" i="123"/>
  <c r="AQ557" i="123" s="1"/>
  <c r="AT557" i="123"/>
  <c r="AU557" i="123"/>
  <c r="K558" i="123"/>
  <c r="L558" i="123"/>
  <c r="M558" i="123"/>
  <c r="N558" i="123"/>
  <c r="O558" i="123"/>
  <c r="P558" i="123"/>
  <c r="Q558" i="123"/>
  <c r="R558" i="123"/>
  <c r="T558" i="123" s="1"/>
  <c r="S558" i="123"/>
  <c r="X558" i="123"/>
  <c r="Y558" i="123"/>
  <c r="Z558" i="123" s="1"/>
  <c r="AB558" i="123"/>
  <c r="AC558" i="123" s="1"/>
  <c r="AJ558" i="123"/>
  <c r="AK558" i="123"/>
  <c r="AL558" i="123"/>
  <c r="AO558" i="123"/>
  <c r="AP558" i="123"/>
  <c r="AQ558" i="123" s="1"/>
  <c r="AT558" i="123"/>
  <c r="AU558" i="123"/>
  <c r="K559" i="123"/>
  <c r="L559" i="123"/>
  <c r="M559" i="123"/>
  <c r="N559" i="123"/>
  <c r="O559" i="123"/>
  <c r="P559" i="123"/>
  <c r="Q559" i="123"/>
  <c r="R559" i="123"/>
  <c r="T559" i="123" s="1"/>
  <c r="S559" i="123"/>
  <c r="X559" i="123"/>
  <c r="Y559" i="123"/>
  <c r="AA559" i="123" s="1"/>
  <c r="AB559" i="123"/>
  <c r="AC559" i="123" s="1"/>
  <c r="AJ559" i="123"/>
  <c r="AK559" i="123"/>
  <c r="AL559" i="123"/>
  <c r="AO559" i="123"/>
  <c r="AP559" i="123"/>
  <c r="AQ559" i="123" s="1"/>
  <c r="AT559" i="123"/>
  <c r="AU559" i="123"/>
  <c r="K560" i="123"/>
  <c r="L560" i="123"/>
  <c r="M560" i="123"/>
  <c r="N560" i="123"/>
  <c r="O560" i="123"/>
  <c r="P560" i="123"/>
  <c r="Q560" i="123"/>
  <c r="R560" i="123"/>
  <c r="T560" i="123" s="1"/>
  <c r="S560" i="123"/>
  <c r="X560" i="123"/>
  <c r="Y560" i="123"/>
  <c r="Z560" i="123" s="1"/>
  <c r="AB560" i="123"/>
  <c r="AD560" i="123" s="1"/>
  <c r="AJ560" i="123"/>
  <c r="AK560" i="123"/>
  <c r="AL560" i="123"/>
  <c r="AO560" i="123"/>
  <c r="AP560" i="123"/>
  <c r="AQ560" i="123" s="1"/>
  <c r="AT560" i="123"/>
  <c r="AU560" i="123"/>
  <c r="K561" i="123"/>
  <c r="L561" i="123"/>
  <c r="M561" i="123"/>
  <c r="N561" i="123"/>
  <c r="O561" i="123"/>
  <c r="P561" i="123"/>
  <c r="Q561" i="123"/>
  <c r="R561" i="123"/>
  <c r="T561" i="123" s="1"/>
  <c r="S561" i="123"/>
  <c r="X561" i="123"/>
  <c r="Y561" i="123"/>
  <c r="Z561" i="123" s="1"/>
  <c r="AB561" i="123"/>
  <c r="AD561" i="123" s="1"/>
  <c r="AJ561" i="123"/>
  <c r="AK561" i="123"/>
  <c r="AL561" i="123"/>
  <c r="AO561" i="123"/>
  <c r="AP561" i="123"/>
  <c r="AT561" i="123"/>
  <c r="AU561" i="123"/>
  <c r="K562" i="123"/>
  <c r="L562" i="123"/>
  <c r="M562" i="123"/>
  <c r="N562" i="123"/>
  <c r="O562" i="123"/>
  <c r="P562" i="123"/>
  <c r="Q562" i="123"/>
  <c r="R562" i="123"/>
  <c r="T562" i="123" s="1"/>
  <c r="W562" i="123" s="1"/>
  <c r="S562" i="123"/>
  <c r="X562" i="123"/>
  <c r="Y562" i="123"/>
  <c r="Z562" i="123" s="1"/>
  <c r="AB562" i="123"/>
  <c r="AC562" i="123" s="1"/>
  <c r="AJ562" i="123"/>
  <c r="AK562" i="123"/>
  <c r="AL562" i="123"/>
  <c r="AO562" i="123"/>
  <c r="AP562" i="123"/>
  <c r="AT562" i="123"/>
  <c r="AU562" i="123"/>
  <c r="K563" i="123"/>
  <c r="L563" i="123"/>
  <c r="M563" i="123"/>
  <c r="N563" i="123"/>
  <c r="O563" i="123"/>
  <c r="P563" i="123"/>
  <c r="Q563" i="123"/>
  <c r="R563" i="123"/>
  <c r="T563" i="123" s="1"/>
  <c r="S563" i="123"/>
  <c r="X563" i="123"/>
  <c r="Y563" i="123"/>
  <c r="AB563" i="123"/>
  <c r="AJ563" i="123"/>
  <c r="AK563" i="123"/>
  <c r="AL563" i="123"/>
  <c r="AO563" i="123"/>
  <c r="AP563" i="123"/>
  <c r="AQ563" i="123" s="1"/>
  <c r="AT563" i="123"/>
  <c r="AU563" i="123"/>
  <c r="K564" i="123"/>
  <c r="L564" i="123"/>
  <c r="M564" i="123"/>
  <c r="N564" i="123"/>
  <c r="O564" i="123"/>
  <c r="P564" i="123"/>
  <c r="Q564" i="123"/>
  <c r="R564" i="123"/>
  <c r="T564" i="123" s="1"/>
  <c r="S564" i="123"/>
  <c r="X564" i="123"/>
  <c r="Y564" i="123"/>
  <c r="AB564" i="123"/>
  <c r="AC564" i="123" s="1"/>
  <c r="AJ564" i="123"/>
  <c r="AK564" i="123"/>
  <c r="AL564" i="123"/>
  <c r="AO564" i="123"/>
  <c r="AP564" i="123"/>
  <c r="AQ564" i="123" s="1"/>
  <c r="AT564" i="123"/>
  <c r="AU564" i="123"/>
  <c r="K565" i="123"/>
  <c r="L565" i="123"/>
  <c r="M565" i="123"/>
  <c r="N565" i="123"/>
  <c r="O565" i="123"/>
  <c r="P565" i="123"/>
  <c r="Q565" i="123"/>
  <c r="R565" i="123"/>
  <c r="T565" i="123" s="1"/>
  <c r="S565" i="123"/>
  <c r="X565" i="123"/>
  <c r="Y565" i="123"/>
  <c r="Z565" i="123" s="1"/>
  <c r="AB565" i="123"/>
  <c r="AD565" i="123" s="1"/>
  <c r="AJ565" i="123"/>
  <c r="AK565" i="123"/>
  <c r="AL565" i="123"/>
  <c r="AO565" i="123"/>
  <c r="AP565" i="123"/>
  <c r="AT565" i="123"/>
  <c r="AU565" i="123"/>
  <c r="K566" i="123"/>
  <c r="L566" i="123"/>
  <c r="M566" i="123"/>
  <c r="N566" i="123"/>
  <c r="O566" i="123"/>
  <c r="P566" i="123"/>
  <c r="Q566" i="123"/>
  <c r="R566" i="123"/>
  <c r="T566" i="123" s="1"/>
  <c r="W566" i="123" s="1"/>
  <c r="S566" i="123"/>
  <c r="X566" i="123"/>
  <c r="Y566" i="123"/>
  <c r="Z566" i="123" s="1"/>
  <c r="AB566" i="123"/>
  <c r="AC566" i="123" s="1"/>
  <c r="AJ566" i="123"/>
  <c r="AK566" i="123"/>
  <c r="AL566" i="123"/>
  <c r="AO566" i="123"/>
  <c r="AP566" i="123"/>
  <c r="AT566" i="123"/>
  <c r="AU566" i="123"/>
  <c r="K567" i="123"/>
  <c r="L567" i="123"/>
  <c r="M567" i="123"/>
  <c r="N567" i="123"/>
  <c r="O567" i="123"/>
  <c r="P567" i="123"/>
  <c r="Q567" i="123"/>
  <c r="R567" i="123"/>
  <c r="T567" i="123" s="1"/>
  <c r="S567" i="123"/>
  <c r="X567" i="123"/>
  <c r="Y567" i="123"/>
  <c r="AA567" i="123" s="1"/>
  <c r="AB567" i="123"/>
  <c r="AJ567" i="123"/>
  <c r="AK567" i="123"/>
  <c r="AL567" i="123"/>
  <c r="AO567" i="123"/>
  <c r="AP567" i="123"/>
  <c r="AQ567" i="123" s="1"/>
  <c r="AT567" i="123"/>
  <c r="AU567" i="123"/>
  <c r="K568" i="123"/>
  <c r="L568" i="123"/>
  <c r="M568" i="123"/>
  <c r="N568" i="123"/>
  <c r="O568" i="123"/>
  <c r="P568" i="123"/>
  <c r="Q568" i="123"/>
  <c r="R568" i="123"/>
  <c r="T568" i="123" s="1"/>
  <c r="S568" i="123"/>
  <c r="X568" i="123"/>
  <c r="Y568" i="123"/>
  <c r="AA568" i="123" s="1"/>
  <c r="AB568" i="123"/>
  <c r="AD568" i="123" s="1"/>
  <c r="AJ568" i="123"/>
  <c r="AK568" i="123"/>
  <c r="AL568" i="123"/>
  <c r="AO568" i="123"/>
  <c r="AP568" i="123"/>
  <c r="AQ568" i="123" s="1"/>
  <c r="AT568" i="123"/>
  <c r="AU568" i="123"/>
  <c r="K569" i="123"/>
  <c r="L569" i="123"/>
  <c r="M569" i="123"/>
  <c r="N569" i="123"/>
  <c r="O569" i="123"/>
  <c r="P569" i="123"/>
  <c r="Q569" i="123"/>
  <c r="R569" i="123"/>
  <c r="T569" i="123" s="1"/>
  <c r="V569" i="123" s="1"/>
  <c r="S569" i="123"/>
  <c r="X569" i="123"/>
  <c r="Y569" i="123"/>
  <c r="Z569" i="123" s="1"/>
  <c r="AB569" i="123"/>
  <c r="AJ569" i="123"/>
  <c r="AK569" i="123"/>
  <c r="AL569" i="123"/>
  <c r="AO569" i="123"/>
  <c r="AP569" i="123"/>
  <c r="AT569" i="123"/>
  <c r="AU569" i="123"/>
  <c r="K570" i="123"/>
  <c r="L570" i="123"/>
  <c r="M570" i="123"/>
  <c r="N570" i="123"/>
  <c r="O570" i="123"/>
  <c r="P570" i="123"/>
  <c r="Q570" i="123"/>
  <c r="R570" i="123"/>
  <c r="T570" i="123" s="1"/>
  <c r="W570" i="123" s="1"/>
  <c r="S570" i="123"/>
  <c r="X570" i="123"/>
  <c r="Y570" i="123"/>
  <c r="AB570" i="123"/>
  <c r="AC570" i="123" s="1"/>
  <c r="AJ570" i="123"/>
  <c r="AK570" i="123"/>
  <c r="AL570" i="123"/>
  <c r="AO570" i="123"/>
  <c r="AP570" i="123"/>
  <c r="AT570" i="123"/>
  <c r="AU570" i="123"/>
  <c r="K571" i="123"/>
  <c r="L571" i="123"/>
  <c r="M571" i="123"/>
  <c r="N571" i="123"/>
  <c r="O571" i="123"/>
  <c r="P571" i="123"/>
  <c r="Q571" i="123"/>
  <c r="R571" i="123"/>
  <c r="T571" i="123" s="1"/>
  <c r="S571" i="123"/>
  <c r="X571" i="123"/>
  <c r="Y571" i="123"/>
  <c r="AB571" i="123"/>
  <c r="AD571" i="123" s="1"/>
  <c r="AJ571" i="123"/>
  <c r="AK571" i="123"/>
  <c r="AL571" i="123"/>
  <c r="AO571" i="123"/>
  <c r="AP571" i="123"/>
  <c r="AQ571" i="123" s="1"/>
  <c r="AT571" i="123"/>
  <c r="AU571" i="123"/>
  <c r="K572" i="123"/>
  <c r="L572" i="123"/>
  <c r="M572" i="123"/>
  <c r="N572" i="123"/>
  <c r="O572" i="123"/>
  <c r="P572" i="123"/>
  <c r="Q572" i="123"/>
  <c r="R572" i="123"/>
  <c r="T572" i="123" s="1"/>
  <c r="S572" i="123"/>
  <c r="X572" i="123"/>
  <c r="Y572" i="123"/>
  <c r="AB572" i="123"/>
  <c r="AC572" i="123" s="1"/>
  <c r="AJ572" i="123"/>
  <c r="AK572" i="123"/>
  <c r="AL572" i="123"/>
  <c r="AO572" i="123"/>
  <c r="AP572" i="123"/>
  <c r="AQ572" i="123" s="1"/>
  <c r="AT572" i="123"/>
  <c r="AU572" i="123"/>
  <c r="K573" i="123"/>
  <c r="L573" i="123"/>
  <c r="M573" i="123"/>
  <c r="N573" i="123"/>
  <c r="O573" i="123"/>
  <c r="P573" i="123"/>
  <c r="Q573" i="123"/>
  <c r="R573" i="123"/>
  <c r="T573" i="123" s="1"/>
  <c r="V573" i="123" s="1"/>
  <c r="S573" i="123"/>
  <c r="X573" i="123"/>
  <c r="Y573" i="123"/>
  <c r="Z573" i="123" s="1"/>
  <c r="AB573" i="123"/>
  <c r="AD573" i="123" s="1"/>
  <c r="AJ573" i="123"/>
  <c r="AK573" i="123"/>
  <c r="AL573" i="123"/>
  <c r="AO573" i="123"/>
  <c r="AP573" i="123"/>
  <c r="AT573" i="123"/>
  <c r="AU573" i="123"/>
  <c r="K574" i="123"/>
  <c r="L574" i="123"/>
  <c r="M574" i="123"/>
  <c r="N574" i="123"/>
  <c r="O574" i="123"/>
  <c r="P574" i="123"/>
  <c r="Q574" i="123"/>
  <c r="R574" i="123"/>
  <c r="T574" i="123" s="1"/>
  <c r="W574" i="123" s="1"/>
  <c r="S574" i="123"/>
  <c r="X574" i="123"/>
  <c r="Y574" i="123"/>
  <c r="AA574" i="123" s="1"/>
  <c r="AB574" i="123"/>
  <c r="AC574" i="123" s="1"/>
  <c r="AJ574" i="123"/>
  <c r="AK574" i="123"/>
  <c r="AL574" i="123"/>
  <c r="AO574" i="123"/>
  <c r="AP574" i="123"/>
  <c r="AT574" i="123"/>
  <c r="AU574" i="123"/>
  <c r="K575" i="123"/>
  <c r="L575" i="123"/>
  <c r="M575" i="123"/>
  <c r="N575" i="123"/>
  <c r="O575" i="123"/>
  <c r="P575" i="123"/>
  <c r="Q575" i="123"/>
  <c r="R575" i="123"/>
  <c r="T575" i="123" s="1"/>
  <c r="S575" i="123"/>
  <c r="X575" i="123"/>
  <c r="Y575" i="123"/>
  <c r="AB575" i="123"/>
  <c r="AC575" i="123" s="1"/>
  <c r="AJ575" i="123"/>
  <c r="AK575" i="123"/>
  <c r="AL575" i="123"/>
  <c r="AO575" i="123"/>
  <c r="AP575" i="123"/>
  <c r="AQ575" i="123" s="1"/>
  <c r="AT575" i="123"/>
  <c r="AU575" i="123"/>
  <c r="K576" i="123"/>
  <c r="L576" i="123"/>
  <c r="M576" i="123"/>
  <c r="N576" i="123"/>
  <c r="O576" i="123"/>
  <c r="P576" i="123"/>
  <c r="Q576" i="123"/>
  <c r="R576" i="123"/>
  <c r="T576" i="123" s="1"/>
  <c r="S576" i="123"/>
  <c r="X576" i="123"/>
  <c r="Y576" i="123"/>
  <c r="AA576" i="123" s="1"/>
  <c r="AB576" i="123"/>
  <c r="AD576" i="123" s="1"/>
  <c r="AJ576" i="123"/>
  <c r="AK576" i="123"/>
  <c r="AL576" i="123"/>
  <c r="AO576" i="123"/>
  <c r="AP576" i="123"/>
  <c r="AQ576" i="123" s="1"/>
  <c r="AT576" i="123"/>
  <c r="AU576" i="123"/>
  <c r="K577" i="123"/>
  <c r="L577" i="123"/>
  <c r="M577" i="123"/>
  <c r="N577" i="123"/>
  <c r="O577" i="123"/>
  <c r="P577" i="123"/>
  <c r="Q577" i="123"/>
  <c r="R577" i="123"/>
  <c r="T577" i="123" s="1"/>
  <c r="S577" i="123"/>
  <c r="X577" i="123"/>
  <c r="Y577" i="123"/>
  <c r="Z577" i="123" s="1"/>
  <c r="AB577" i="123"/>
  <c r="AD577" i="123" s="1"/>
  <c r="AJ577" i="123"/>
  <c r="AK577" i="123"/>
  <c r="AL577" i="123"/>
  <c r="AO577" i="123"/>
  <c r="AP577" i="123"/>
  <c r="AT577" i="123"/>
  <c r="AU577" i="123"/>
  <c r="K578" i="123"/>
  <c r="L578" i="123"/>
  <c r="M578" i="123"/>
  <c r="N578" i="123"/>
  <c r="O578" i="123"/>
  <c r="P578" i="123"/>
  <c r="Q578" i="123"/>
  <c r="R578" i="123"/>
  <c r="T578" i="123" s="1"/>
  <c r="W578" i="123" s="1"/>
  <c r="S578" i="123"/>
  <c r="X578" i="123"/>
  <c r="Y578" i="123"/>
  <c r="Z578" i="123" s="1"/>
  <c r="AB578" i="123"/>
  <c r="AC578" i="123" s="1"/>
  <c r="AJ578" i="123"/>
  <c r="AK578" i="123"/>
  <c r="AL578" i="123"/>
  <c r="AO578" i="123"/>
  <c r="AP578" i="123"/>
  <c r="AT578" i="123"/>
  <c r="AU578" i="123"/>
  <c r="K579" i="123"/>
  <c r="L579" i="123"/>
  <c r="M579" i="123"/>
  <c r="N579" i="123"/>
  <c r="O579" i="123"/>
  <c r="P579" i="123"/>
  <c r="Q579" i="123"/>
  <c r="R579" i="123"/>
  <c r="T579" i="123" s="1"/>
  <c r="S579" i="123"/>
  <c r="X579" i="123"/>
  <c r="Y579" i="123"/>
  <c r="AB579" i="123"/>
  <c r="AD579" i="123" s="1"/>
  <c r="AJ579" i="123"/>
  <c r="AK579" i="123"/>
  <c r="AL579" i="123"/>
  <c r="AO579" i="123"/>
  <c r="AP579" i="123"/>
  <c r="AQ579" i="123" s="1"/>
  <c r="AT579" i="123"/>
  <c r="AU579" i="123"/>
  <c r="K580" i="123"/>
  <c r="L580" i="123"/>
  <c r="M580" i="123"/>
  <c r="N580" i="123"/>
  <c r="O580" i="123"/>
  <c r="P580" i="123"/>
  <c r="Q580" i="123"/>
  <c r="R580" i="123"/>
  <c r="T580" i="123" s="1"/>
  <c r="S580" i="123"/>
  <c r="X580" i="123"/>
  <c r="Y580" i="123"/>
  <c r="AB580" i="123"/>
  <c r="AD580" i="123" s="1"/>
  <c r="AJ580" i="123"/>
  <c r="AK580" i="123"/>
  <c r="AL580" i="123"/>
  <c r="AO580" i="123"/>
  <c r="AP580" i="123"/>
  <c r="AQ580" i="123" s="1"/>
  <c r="AT580" i="123"/>
  <c r="AU580" i="123"/>
  <c r="K581" i="123"/>
  <c r="L581" i="123"/>
  <c r="M581" i="123"/>
  <c r="N581" i="123"/>
  <c r="O581" i="123"/>
  <c r="P581" i="123"/>
  <c r="Q581" i="123"/>
  <c r="R581" i="123"/>
  <c r="T581" i="123" s="1"/>
  <c r="S581" i="123"/>
  <c r="X581" i="123"/>
  <c r="Y581" i="123"/>
  <c r="Z581" i="123" s="1"/>
  <c r="AB581" i="123"/>
  <c r="AD581" i="123" s="1"/>
  <c r="AJ581" i="123"/>
  <c r="AK581" i="123"/>
  <c r="AL581" i="123"/>
  <c r="AO581" i="123"/>
  <c r="AP581" i="123"/>
  <c r="AT581" i="123"/>
  <c r="AU581" i="123"/>
  <c r="K582" i="123"/>
  <c r="L582" i="123"/>
  <c r="M582" i="123"/>
  <c r="N582" i="123"/>
  <c r="O582" i="123"/>
  <c r="P582" i="123"/>
  <c r="Q582" i="123"/>
  <c r="R582" i="123"/>
  <c r="T582" i="123" s="1"/>
  <c r="W582" i="123" s="1"/>
  <c r="S582" i="123"/>
  <c r="X582" i="123"/>
  <c r="Y582" i="123"/>
  <c r="Z582" i="123" s="1"/>
  <c r="AB582" i="123"/>
  <c r="AC582" i="123" s="1"/>
  <c r="AJ582" i="123"/>
  <c r="AK582" i="123"/>
  <c r="AL582" i="123"/>
  <c r="AO582" i="123"/>
  <c r="AP582" i="123"/>
  <c r="AT582" i="123"/>
  <c r="AU582" i="123"/>
  <c r="K583" i="123"/>
  <c r="L583" i="123"/>
  <c r="M583" i="123"/>
  <c r="N583" i="123"/>
  <c r="O583" i="123"/>
  <c r="P583" i="123"/>
  <c r="Q583" i="123"/>
  <c r="R583" i="123"/>
  <c r="T583" i="123" s="1"/>
  <c r="S583" i="123"/>
  <c r="X583" i="123"/>
  <c r="Y583" i="123"/>
  <c r="Z583" i="123" s="1"/>
  <c r="AB583" i="123"/>
  <c r="AD583" i="123" s="1"/>
  <c r="AJ583" i="123"/>
  <c r="AK583" i="123"/>
  <c r="AL583" i="123"/>
  <c r="AO583" i="123"/>
  <c r="AP583" i="123"/>
  <c r="AQ583" i="123" s="1"/>
  <c r="AT583" i="123"/>
  <c r="AU583" i="123"/>
  <c r="K584" i="123"/>
  <c r="L584" i="123"/>
  <c r="M584" i="123"/>
  <c r="N584" i="123"/>
  <c r="O584" i="123"/>
  <c r="P584" i="123"/>
  <c r="Q584" i="123"/>
  <c r="R584" i="123"/>
  <c r="T584" i="123" s="1"/>
  <c r="S584" i="123"/>
  <c r="X584" i="123"/>
  <c r="Y584" i="123"/>
  <c r="AA584" i="123" s="1"/>
  <c r="AB584" i="123"/>
  <c r="AC584" i="123" s="1"/>
  <c r="AJ584" i="123"/>
  <c r="AK584" i="123"/>
  <c r="AL584" i="123"/>
  <c r="AO584" i="123"/>
  <c r="AP584" i="123"/>
  <c r="AQ584" i="123" s="1"/>
  <c r="AT584" i="123"/>
  <c r="AU584" i="123"/>
  <c r="K585" i="123"/>
  <c r="L585" i="123"/>
  <c r="M585" i="123"/>
  <c r="N585" i="123"/>
  <c r="O585" i="123"/>
  <c r="P585" i="123"/>
  <c r="Q585" i="123"/>
  <c r="R585" i="123"/>
  <c r="T585" i="123" s="1"/>
  <c r="V585" i="123" s="1"/>
  <c r="S585" i="123"/>
  <c r="X585" i="123"/>
  <c r="Y585" i="123"/>
  <c r="Z585" i="123" s="1"/>
  <c r="AB585" i="123"/>
  <c r="AD585" i="123" s="1"/>
  <c r="AJ585" i="123"/>
  <c r="AK585" i="123"/>
  <c r="AL585" i="123"/>
  <c r="AO585" i="123"/>
  <c r="AP585" i="123"/>
  <c r="AT585" i="123"/>
  <c r="AU585" i="123"/>
  <c r="K586" i="123"/>
  <c r="L586" i="123"/>
  <c r="M586" i="123"/>
  <c r="N586" i="123"/>
  <c r="O586" i="123"/>
  <c r="P586" i="123"/>
  <c r="Q586" i="123"/>
  <c r="R586" i="123"/>
  <c r="T586" i="123" s="1"/>
  <c r="W586" i="123" s="1"/>
  <c r="S586" i="123"/>
  <c r="X586" i="123"/>
  <c r="Y586" i="123"/>
  <c r="AA586" i="123" s="1"/>
  <c r="AB586" i="123"/>
  <c r="AC586" i="123" s="1"/>
  <c r="AJ586" i="123"/>
  <c r="AK586" i="123"/>
  <c r="AL586" i="123"/>
  <c r="AO586" i="123"/>
  <c r="AP586" i="123"/>
  <c r="AT586" i="123"/>
  <c r="AU586" i="123"/>
  <c r="K587" i="123"/>
  <c r="L587" i="123"/>
  <c r="M587" i="123"/>
  <c r="N587" i="123"/>
  <c r="O587" i="123"/>
  <c r="P587" i="123"/>
  <c r="Q587" i="123"/>
  <c r="R587" i="123"/>
  <c r="T587" i="123" s="1"/>
  <c r="S587" i="123"/>
  <c r="X587" i="123"/>
  <c r="Y587" i="123"/>
  <c r="Z587" i="123" s="1"/>
  <c r="AB587" i="123"/>
  <c r="AC587" i="123" s="1"/>
  <c r="AJ587" i="123"/>
  <c r="AK587" i="123"/>
  <c r="AL587" i="123"/>
  <c r="AO587" i="123"/>
  <c r="AP587" i="123"/>
  <c r="AQ587" i="123" s="1"/>
  <c r="AT587" i="123"/>
  <c r="AU587" i="123"/>
  <c r="K588" i="123"/>
  <c r="L588" i="123"/>
  <c r="M588" i="123"/>
  <c r="N588" i="123"/>
  <c r="O588" i="123"/>
  <c r="P588" i="123"/>
  <c r="Q588" i="123"/>
  <c r="R588" i="123"/>
  <c r="T588" i="123" s="1"/>
  <c r="S588" i="123"/>
  <c r="X588" i="123"/>
  <c r="Y588" i="123"/>
  <c r="AA588" i="123" s="1"/>
  <c r="AB588" i="123"/>
  <c r="AJ588" i="123"/>
  <c r="AK588" i="123"/>
  <c r="AL588" i="123"/>
  <c r="AO588" i="123"/>
  <c r="AP588" i="123"/>
  <c r="AQ588" i="123" s="1"/>
  <c r="AT588" i="123"/>
  <c r="AU588" i="123"/>
  <c r="K589" i="123"/>
  <c r="L589" i="123"/>
  <c r="M589" i="123"/>
  <c r="N589" i="123"/>
  <c r="O589" i="123"/>
  <c r="P589" i="123"/>
  <c r="Q589" i="123"/>
  <c r="R589" i="123"/>
  <c r="T589" i="123" s="1"/>
  <c r="V589" i="123" s="1"/>
  <c r="S589" i="123"/>
  <c r="X589" i="123"/>
  <c r="Y589" i="123"/>
  <c r="Z589" i="123" s="1"/>
  <c r="AB589" i="123"/>
  <c r="AD589" i="123" s="1"/>
  <c r="AJ589" i="123"/>
  <c r="AK589" i="123"/>
  <c r="AL589" i="123"/>
  <c r="AO589" i="123"/>
  <c r="AP589" i="123"/>
  <c r="AT589" i="123"/>
  <c r="AU589" i="123"/>
  <c r="K590" i="123"/>
  <c r="L590" i="123"/>
  <c r="M590" i="123"/>
  <c r="N590" i="123"/>
  <c r="O590" i="123"/>
  <c r="P590" i="123"/>
  <c r="Q590" i="123"/>
  <c r="R590" i="123"/>
  <c r="T590" i="123" s="1"/>
  <c r="W590" i="123" s="1"/>
  <c r="S590" i="123"/>
  <c r="X590" i="123"/>
  <c r="Y590" i="123"/>
  <c r="AA590" i="123" s="1"/>
  <c r="AB590" i="123"/>
  <c r="AC590" i="123" s="1"/>
  <c r="AJ590" i="123"/>
  <c r="AK590" i="123"/>
  <c r="AL590" i="123"/>
  <c r="AO590" i="123"/>
  <c r="AP590" i="123"/>
  <c r="AT590" i="123"/>
  <c r="AU590" i="123"/>
  <c r="K591" i="123"/>
  <c r="L591" i="123"/>
  <c r="M591" i="123"/>
  <c r="N591" i="123"/>
  <c r="O591" i="123"/>
  <c r="P591" i="123"/>
  <c r="Q591" i="123"/>
  <c r="R591" i="123"/>
  <c r="T591" i="123" s="1"/>
  <c r="S591" i="123"/>
  <c r="X591" i="123"/>
  <c r="Y591" i="123"/>
  <c r="AA591" i="123" s="1"/>
  <c r="AB591" i="123"/>
  <c r="AC591" i="123" s="1"/>
  <c r="AJ591" i="123"/>
  <c r="AK591" i="123"/>
  <c r="AL591" i="123"/>
  <c r="AO591" i="123"/>
  <c r="AP591" i="123"/>
  <c r="AT591" i="123"/>
  <c r="AU591" i="123"/>
  <c r="K592" i="123"/>
  <c r="L592" i="123"/>
  <c r="M592" i="123"/>
  <c r="N592" i="123"/>
  <c r="O592" i="123"/>
  <c r="P592" i="123"/>
  <c r="Q592" i="123"/>
  <c r="R592" i="123"/>
  <c r="T592" i="123" s="1"/>
  <c r="S592" i="123"/>
  <c r="X592" i="123"/>
  <c r="Y592" i="123"/>
  <c r="AA592" i="123" s="1"/>
  <c r="AB592" i="123"/>
  <c r="AC592" i="123" s="1"/>
  <c r="AJ592" i="123"/>
  <c r="AK592" i="123"/>
  <c r="AL592" i="123"/>
  <c r="AO592" i="123"/>
  <c r="AP592" i="123"/>
  <c r="AQ592" i="123" s="1"/>
  <c r="AT592" i="123"/>
  <c r="AU592" i="123"/>
  <c r="K593" i="123"/>
  <c r="L593" i="123"/>
  <c r="M593" i="123"/>
  <c r="N593" i="123"/>
  <c r="O593" i="123"/>
  <c r="P593" i="123"/>
  <c r="Q593" i="123"/>
  <c r="R593" i="123"/>
  <c r="T593" i="123" s="1"/>
  <c r="V593" i="123" s="1"/>
  <c r="S593" i="123"/>
  <c r="X593" i="123"/>
  <c r="Y593" i="123"/>
  <c r="Z593" i="123" s="1"/>
  <c r="AB593" i="123"/>
  <c r="AD593" i="123" s="1"/>
  <c r="AJ593" i="123"/>
  <c r="AK593" i="123"/>
  <c r="AL593" i="123"/>
  <c r="AO593" i="123"/>
  <c r="AP593" i="123"/>
  <c r="AT593" i="123"/>
  <c r="AU593" i="123"/>
  <c r="K594" i="123"/>
  <c r="L594" i="123"/>
  <c r="M594" i="123"/>
  <c r="N594" i="123"/>
  <c r="O594" i="123"/>
  <c r="P594" i="123"/>
  <c r="Q594" i="123"/>
  <c r="R594" i="123"/>
  <c r="T594" i="123" s="1"/>
  <c r="W594" i="123" s="1"/>
  <c r="S594" i="123"/>
  <c r="X594" i="123"/>
  <c r="Y594" i="123"/>
  <c r="AA594" i="123" s="1"/>
  <c r="AB594" i="123"/>
  <c r="AC594" i="123" s="1"/>
  <c r="AJ594" i="123"/>
  <c r="AK594" i="123"/>
  <c r="AL594" i="123"/>
  <c r="AO594" i="123"/>
  <c r="AP594" i="123"/>
  <c r="AT594" i="123"/>
  <c r="AU594" i="123"/>
  <c r="K595" i="123"/>
  <c r="L595" i="123"/>
  <c r="M595" i="123"/>
  <c r="N595" i="123"/>
  <c r="O595" i="123"/>
  <c r="P595" i="123"/>
  <c r="Q595" i="123"/>
  <c r="R595" i="123"/>
  <c r="T595" i="123" s="1"/>
  <c r="S595" i="123"/>
  <c r="X595" i="123"/>
  <c r="Y595" i="123"/>
  <c r="Z595" i="123" s="1"/>
  <c r="AB595" i="123"/>
  <c r="AD595" i="123" s="1"/>
  <c r="AJ595" i="123"/>
  <c r="AK595" i="123"/>
  <c r="AL595" i="123"/>
  <c r="AO595" i="123"/>
  <c r="AP595" i="123"/>
  <c r="AQ595" i="123" s="1"/>
  <c r="AT595" i="123"/>
  <c r="AU595" i="123"/>
  <c r="K596" i="123"/>
  <c r="L596" i="123"/>
  <c r="M596" i="123"/>
  <c r="N596" i="123"/>
  <c r="O596" i="123"/>
  <c r="P596" i="123"/>
  <c r="Q596" i="123"/>
  <c r="R596" i="123"/>
  <c r="T596" i="123" s="1"/>
  <c r="S596" i="123"/>
  <c r="X596" i="123"/>
  <c r="Y596" i="123"/>
  <c r="AA596" i="123" s="1"/>
  <c r="AB596" i="123"/>
  <c r="AD596" i="123" s="1"/>
  <c r="AJ596" i="123"/>
  <c r="AK596" i="123"/>
  <c r="AL596" i="123"/>
  <c r="AO596" i="123"/>
  <c r="AP596" i="123"/>
  <c r="AQ596" i="123" s="1"/>
  <c r="AT596" i="123"/>
  <c r="AU596" i="123"/>
  <c r="K597" i="123"/>
  <c r="L597" i="123"/>
  <c r="M597" i="123"/>
  <c r="N597" i="123"/>
  <c r="O597" i="123"/>
  <c r="P597" i="123"/>
  <c r="Q597" i="123"/>
  <c r="R597" i="123"/>
  <c r="T597" i="123" s="1"/>
  <c r="S597" i="123"/>
  <c r="X597" i="123"/>
  <c r="Y597" i="123"/>
  <c r="Z597" i="123" s="1"/>
  <c r="AB597" i="123"/>
  <c r="AD597" i="123" s="1"/>
  <c r="AJ597" i="123"/>
  <c r="AK597" i="123"/>
  <c r="AL597" i="123"/>
  <c r="AO597" i="123"/>
  <c r="AP597" i="123"/>
  <c r="AT597" i="123"/>
  <c r="AU597" i="123"/>
  <c r="K598" i="123"/>
  <c r="L598" i="123"/>
  <c r="M598" i="123"/>
  <c r="N598" i="123"/>
  <c r="O598" i="123"/>
  <c r="P598" i="123"/>
  <c r="Q598" i="123"/>
  <c r="R598" i="123"/>
  <c r="T598" i="123" s="1"/>
  <c r="W598" i="123" s="1"/>
  <c r="S598" i="123"/>
  <c r="X598" i="123"/>
  <c r="Y598" i="123"/>
  <c r="AA598" i="123" s="1"/>
  <c r="AB598" i="123"/>
  <c r="AC598" i="123" s="1"/>
  <c r="AJ598" i="123"/>
  <c r="AK598" i="123"/>
  <c r="AL598" i="123"/>
  <c r="AO598" i="123"/>
  <c r="AP598" i="123"/>
  <c r="AT598" i="123"/>
  <c r="AU598" i="123"/>
  <c r="K599" i="123"/>
  <c r="L599" i="123"/>
  <c r="M599" i="123"/>
  <c r="N599" i="123"/>
  <c r="O599" i="123"/>
  <c r="P599" i="123"/>
  <c r="Q599" i="123"/>
  <c r="R599" i="123"/>
  <c r="T599" i="123" s="1"/>
  <c r="S599" i="123"/>
  <c r="X599" i="123"/>
  <c r="Y599" i="123"/>
  <c r="Z599" i="123" s="1"/>
  <c r="AB599" i="123"/>
  <c r="AD599" i="123" s="1"/>
  <c r="AJ599" i="123"/>
  <c r="AK599" i="123"/>
  <c r="AL599" i="123"/>
  <c r="AO599" i="123"/>
  <c r="AP599" i="123"/>
  <c r="AQ599" i="123" s="1"/>
  <c r="AT599" i="123"/>
  <c r="AU599" i="123"/>
  <c r="K600" i="123"/>
  <c r="L600" i="123"/>
  <c r="M600" i="123"/>
  <c r="N600" i="123"/>
  <c r="O600" i="123"/>
  <c r="P600" i="123"/>
  <c r="Q600" i="123"/>
  <c r="R600" i="123"/>
  <c r="T600" i="123" s="1"/>
  <c r="S600" i="123"/>
  <c r="X600" i="123"/>
  <c r="Y600" i="123"/>
  <c r="AA600" i="123" s="1"/>
  <c r="AB600" i="123"/>
  <c r="AD600" i="123" s="1"/>
  <c r="AJ600" i="123"/>
  <c r="AK600" i="123"/>
  <c r="AL600" i="123"/>
  <c r="AO600" i="123"/>
  <c r="AP600" i="123"/>
  <c r="AQ600" i="123" s="1"/>
  <c r="AT600" i="123"/>
  <c r="AU600" i="123"/>
  <c r="K601" i="123"/>
  <c r="L601" i="123"/>
  <c r="M601" i="123"/>
  <c r="N601" i="123"/>
  <c r="O601" i="123"/>
  <c r="P601" i="123"/>
  <c r="Q601" i="123"/>
  <c r="R601" i="123"/>
  <c r="T601" i="123" s="1"/>
  <c r="S601" i="123"/>
  <c r="X601" i="123"/>
  <c r="Y601" i="123"/>
  <c r="Z601" i="123" s="1"/>
  <c r="AB601" i="123"/>
  <c r="AD601" i="123" s="1"/>
  <c r="AJ601" i="123"/>
  <c r="AK601" i="123"/>
  <c r="AL601" i="123"/>
  <c r="AO601" i="123"/>
  <c r="AP601" i="123"/>
  <c r="AT601" i="123"/>
  <c r="AU601" i="123"/>
  <c r="K602" i="123"/>
  <c r="L602" i="123"/>
  <c r="M602" i="123"/>
  <c r="N602" i="123"/>
  <c r="O602" i="123"/>
  <c r="P602" i="123"/>
  <c r="Q602" i="123"/>
  <c r="R602" i="123"/>
  <c r="T602" i="123" s="1"/>
  <c r="W602" i="123" s="1"/>
  <c r="S602" i="123"/>
  <c r="X602" i="123"/>
  <c r="Y602" i="123"/>
  <c r="Z602" i="123" s="1"/>
  <c r="AB602" i="123"/>
  <c r="AC602" i="123" s="1"/>
  <c r="AJ602" i="123"/>
  <c r="AK602" i="123"/>
  <c r="AL602" i="123"/>
  <c r="AO602" i="123"/>
  <c r="AP602" i="123"/>
  <c r="AT602" i="123"/>
  <c r="AU602" i="123"/>
  <c r="K603" i="123"/>
  <c r="L603" i="123"/>
  <c r="M603" i="123"/>
  <c r="N603" i="123"/>
  <c r="O603" i="123"/>
  <c r="P603" i="123"/>
  <c r="Q603" i="123"/>
  <c r="R603" i="123"/>
  <c r="T603" i="123" s="1"/>
  <c r="S603" i="123"/>
  <c r="X603" i="123"/>
  <c r="Y603" i="123"/>
  <c r="Z603" i="123" s="1"/>
  <c r="AB603" i="123"/>
  <c r="AD603" i="123" s="1"/>
  <c r="AJ603" i="123"/>
  <c r="AK603" i="123"/>
  <c r="AL603" i="123"/>
  <c r="AO603" i="123"/>
  <c r="AP603" i="123"/>
  <c r="AQ603" i="123" s="1"/>
  <c r="AT603" i="123"/>
  <c r="AU603" i="123"/>
  <c r="K604" i="123"/>
  <c r="L604" i="123"/>
  <c r="M604" i="123"/>
  <c r="N604" i="123"/>
  <c r="O604" i="123"/>
  <c r="P604" i="123"/>
  <c r="Q604" i="123"/>
  <c r="R604" i="123"/>
  <c r="T604" i="123" s="1"/>
  <c r="S604" i="123"/>
  <c r="X604" i="123"/>
  <c r="Y604" i="123"/>
  <c r="AA604" i="123" s="1"/>
  <c r="AB604" i="123"/>
  <c r="AD604" i="123" s="1"/>
  <c r="AJ604" i="123"/>
  <c r="AK604" i="123"/>
  <c r="AL604" i="123"/>
  <c r="AO604" i="123"/>
  <c r="AP604" i="123"/>
  <c r="AQ604" i="123" s="1"/>
  <c r="AT604" i="123"/>
  <c r="AU604" i="123"/>
  <c r="K605" i="123"/>
  <c r="L605" i="123"/>
  <c r="M605" i="123"/>
  <c r="N605" i="123"/>
  <c r="O605" i="123"/>
  <c r="P605" i="123"/>
  <c r="Q605" i="123"/>
  <c r="R605" i="123"/>
  <c r="T605" i="123" s="1"/>
  <c r="S605" i="123"/>
  <c r="X605" i="123"/>
  <c r="Y605" i="123"/>
  <c r="Z605" i="123" s="1"/>
  <c r="AB605" i="123"/>
  <c r="AD605" i="123" s="1"/>
  <c r="AJ605" i="123"/>
  <c r="AK605" i="123"/>
  <c r="AL605" i="123"/>
  <c r="AO605" i="123"/>
  <c r="AP605" i="123"/>
  <c r="AT605" i="123"/>
  <c r="AU605" i="123"/>
  <c r="K606" i="123"/>
  <c r="L606" i="123"/>
  <c r="M606" i="123"/>
  <c r="N606" i="123"/>
  <c r="O606" i="123"/>
  <c r="P606" i="123"/>
  <c r="Q606" i="123"/>
  <c r="R606" i="123"/>
  <c r="T606" i="123" s="1"/>
  <c r="W606" i="123" s="1"/>
  <c r="S606" i="123"/>
  <c r="X606" i="123"/>
  <c r="Y606" i="123"/>
  <c r="Z606" i="123" s="1"/>
  <c r="AB606" i="123"/>
  <c r="AC606" i="123" s="1"/>
  <c r="AJ606" i="123"/>
  <c r="AK606" i="123"/>
  <c r="AL606" i="123"/>
  <c r="AO606" i="123"/>
  <c r="AP606" i="123"/>
  <c r="AT606" i="123"/>
  <c r="AU606" i="123"/>
  <c r="K607" i="123"/>
  <c r="L607" i="123"/>
  <c r="M607" i="123"/>
  <c r="N607" i="123"/>
  <c r="O607" i="123"/>
  <c r="P607" i="123"/>
  <c r="Q607" i="123"/>
  <c r="R607" i="123"/>
  <c r="T607" i="123" s="1"/>
  <c r="S607" i="123"/>
  <c r="X607" i="123"/>
  <c r="Y607" i="123"/>
  <c r="Z607" i="123" s="1"/>
  <c r="AB607" i="123"/>
  <c r="AD607" i="123" s="1"/>
  <c r="AJ607" i="123"/>
  <c r="AK607" i="123"/>
  <c r="AL607" i="123"/>
  <c r="AO607" i="123"/>
  <c r="AP607" i="123"/>
  <c r="AQ607" i="123" s="1"/>
  <c r="AT607" i="123"/>
  <c r="AU607" i="123"/>
  <c r="K608" i="123"/>
  <c r="L608" i="123"/>
  <c r="M608" i="123"/>
  <c r="N608" i="123"/>
  <c r="O608" i="123"/>
  <c r="P608" i="123"/>
  <c r="Q608" i="123"/>
  <c r="R608" i="123"/>
  <c r="T608" i="123" s="1"/>
  <c r="S608" i="123"/>
  <c r="X608" i="123"/>
  <c r="Y608" i="123"/>
  <c r="AA608" i="123" s="1"/>
  <c r="AB608" i="123"/>
  <c r="AC608" i="123" s="1"/>
  <c r="AJ608" i="123"/>
  <c r="AK608" i="123"/>
  <c r="AL608" i="123"/>
  <c r="AO608" i="123"/>
  <c r="AP608" i="123"/>
  <c r="AQ608" i="123" s="1"/>
  <c r="AT608" i="123"/>
  <c r="AU608" i="123"/>
  <c r="K609" i="123"/>
  <c r="L609" i="123"/>
  <c r="M609" i="123"/>
  <c r="N609" i="123"/>
  <c r="O609" i="123"/>
  <c r="P609" i="123"/>
  <c r="Q609" i="123"/>
  <c r="R609" i="123"/>
  <c r="T609" i="123" s="1"/>
  <c r="V609" i="123" s="1"/>
  <c r="S609" i="123"/>
  <c r="X609" i="123"/>
  <c r="Y609" i="123"/>
  <c r="Z609" i="123" s="1"/>
  <c r="AB609" i="123"/>
  <c r="AD609" i="123" s="1"/>
  <c r="AJ609" i="123"/>
  <c r="AK609" i="123"/>
  <c r="AL609" i="123"/>
  <c r="AO609" i="123"/>
  <c r="AP609" i="123"/>
  <c r="AT609" i="123"/>
  <c r="AU609" i="123"/>
  <c r="K610" i="123"/>
  <c r="L610" i="123"/>
  <c r="M610" i="123"/>
  <c r="N610" i="123"/>
  <c r="O610" i="123"/>
  <c r="P610" i="123"/>
  <c r="Q610" i="123"/>
  <c r="R610" i="123"/>
  <c r="T610" i="123" s="1"/>
  <c r="W610" i="123" s="1"/>
  <c r="S610" i="123"/>
  <c r="X610" i="123"/>
  <c r="Y610" i="123"/>
  <c r="AA610" i="123" s="1"/>
  <c r="AB610" i="123"/>
  <c r="AC610" i="123" s="1"/>
  <c r="AJ610" i="123"/>
  <c r="AK610" i="123"/>
  <c r="AL610" i="123"/>
  <c r="AO610" i="123"/>
  <c r="AP610" i="123"/>
  <c r="AT610" i="123"/>
  <c r="AU610" i="123"/>
  <c r="K611" i="123"/>
  <c r="L611" i="123"/>
  <c r="M611" i="123"/>
  <c r="N611" i="123"/>
  <c r="O611" i="123"/>
  <c r="P611" i="123"/>
  <c r="Q611" i="123"/>
  <c r="R611" i="123"/>
  <c r="T611" i="123" s="1"/>
  <c r="S611" i="123"/>
  <c r="X611" i="123"/>
  <c r="Y611" i="123"/>
  <c r="Z611" i="123" s="1"/>
  <c r="AB611" i="123"/>
  <c r="AC611" i="123" s="1"/>
  <c r="AJ611" i="123"/>
  <c r="AK611" i="123"/>
  <c r="AL611" i="123"/>
  <c r="AO611" i="123"/>
  <c r="AP611" i="123"/>
  <c r="AQ611" i="123" s="1"/>
  <c r="AT611" i="123"/>
  <c r="AU611" i="123"/>
  <c r="K612" i="123"/>
  <c r="L612" i="123"/>
  <c r="M612" i="123"/>
  <c r="N612" i="123"/>
  <c r="O612" i="123"/>
  <c r="P612" i="123"/>
  <c r="Q612" i="123"/>
  <c r="R612" i="123"/>
  <c r="T612" i="123" s="1"/>
  <c r="S612" i="123"/>
  <c r="X612" i="123"/>
  <c r="Y612" i="123"/>
  <c r="AA612" i="123" s="1"/>
  <c r="AB612" i="123"/>
  <c r="AC612" i="123" s="1"/>
  <c r="AJ612" i="123"/>
  <c r="AK612" i="123"/>
  <c r="AL612" i="123"/>
  <c r="AO612" i="123"/>
  <c r="AP612" i="123"/>
  <c r="AQ612" i="123" s="1"/>
  <c r="AT612" i="123"/>
  <c r="AU612" i="123"/>
  <c r="K613" i="123"/>
  <c r="L613" i="123"/>
  <c r="M613" i="123"/>
  <c r="N613" i="123"/>
  <c r="O613" i="123"/>
  <c r="P613" i="123"/>
  <c r="Q613" i="123"/>
  <c r="R613" i="123"/>
  <c r="T613" i="123" s="1"/>
  <c r="V613" i="123" s="1"/>
  <c r="S613" i="123"/>
  <c r="X613" i="123"/>
  <c r="Y613" i="123"/>
  <c r="Z613" i="123" s="1"/>
  <c r="AB613" i="123"/>
  <c r="AD613" i="123" s="1"/>
  <c r="AJ613" i="123"/>
  <c r="AK613" i="123"/>
  <c r="AL613" i="123"/>
  <c r="AO613" i="123"/>
  <c r="AP613" i="123"/>
  <c r="AT613" i="123"/>
  <c r="AU613" i="123"/>
  <c r="K614" i="123"/>
  <c r="L614" i="123"/>
  <c r="M614" i="123"/>
  <c r="N614" i="123"/>
  <c r="O614" i="123"/>
  <c r="P614" i="123"/>
  <c r="Q614" i="123"/>
  <c r="R614" i="123"/>
  <c r="T614" i="123" s="1"/>
  <c r="W614" i="123" s="1"/>
  <c r="S614" i="123"/>
  <c r="X614" i="123"/>
  <c r="Y614" i="123"/>
  <c r="AA614" i="123" s="1"/>
  <c r="AB614" i="123"/>
  <c r="AC614" i="123" s="1"/>
  <c r="AJ614" i="123"/>
  <c r="AK614" i="123"/>
  <c r="AL614" i="123"/>
  <c r="AO614" i="123"/>
  <c r="AP614" i="123"/>
  <c r="AT614" i="123"/>
  <c r="AU614" i="123"/>
  <c r="K615" i="123"/>
  <c r="L615" i="123"/>
  <c r="M615" i="123"/>
  <c r="N615" i="123"/>
  <c r="O615" i="123"/>
  <c r="P615" i="123"/>
  <c r="Q615" i="123"/>
  <c r="R615" i="123"/>
  <c r="T615" i="123" s="1"/>
  <c r="S615" i="123"/>
  <c r="X615" i="123"/>
  <c r="Y615" i="123"/>
  <c r="Z615" i="123" s="1"/>
  <c r="AB615" i="123"/>
  <c r="AC615" i="123" s="1"/>
  <c r="AJ615" i="123"/>
  <c r="AK615" i="123"/>
  <c r="AL615" i="123"/>
  <c r="AO615" i="123"/>
  <c r="AP615" i="123"/>
  <c r="AT615" i="123"/>
  <c r="AU615" i="123"/>
  <c r="K616" i="123"/>
  <c r="L616" i="123"/>
  <c r="M616" i="123"/>
  <c r="N616" i="123"/>
  <c r="O616" i="123"/>
  <c r="P616" i="123"/>
  <c r="Q616" i="123"/>
  <c r="R616" i="123"/>
  <c r="T616" i="123" s="1"/>
  <c r="S616" i="123"/>
  <c r="X616" i="123"/>
  <c r="Y616" i="123"/>
  <c r="AA616" i="123" s="1"/>
  <c r="AB616" i="123"/>
  <c r="AC616" i="123" s="1"/>
  <c r="AJ616" i="123"/>
  <c r="AK616" i="123"/>
  <c r="AL616" i="123"/>
  <c r="AO616" i="123"/>
  <c r="AP616" i="123"/>
  <c r="AQ616" i="123" s="1"/>
  <c r="AT616" i="123"/>
  <c r="AU616" i="123"/>
  <c r="K617" i="123"/>
  <c r="L617" i="123"/>
  <c r="M617" i="123"/>
  <c r="N617" i="123"/>
  <c r="O617" i="123"/>
  <c r="P617" i="123"/>
  <c r="Q617" i="123"/>
  <c r="R617" i="123"/>
  <c r="T617" i="123" s="1"/>
  <c r="V617" i="123" s="1"/>
  <c r="S617" i="123"/>
  <c r="X617" i="123"/>
  <c r="Y617" i="123"/>
  <c r="Z617" i="123" s="1"/>
  <c r="AB617" i="123"/>
  <c r="AD617" i="123" s="1"/>
  <c r="AJ617" i="123"/>
  <c r="AK617" i="123"/>
  <c r="AL617" i="123"/>
  <c r="AO617" i="123"/>
  <c r="AP617" i="123"/>
  <c r="AT617" i="123"/>
  <c r="AU617" i="123"/>
  <c r="K618" i="123"/>
  <c r="L618" i="123"/>
  <c r="M618" i="123"/>
  <c r="N618" i="123"/>
  <c r="O618" i="123"/>
  <c r="P618" i="123"/>
  <c r="Q618" i="123"/>
  <c r="R618" i="123"/>
  <c r="T618" i="123" s="1"/>
  <c r="W618" i="123" s="1"/>
  <c r="S618" i="123"/>
  <c r="X618" i="123"/>
  <c r="Y618" i="123"/>
  <c r="Z618" i="123" s="1"/>
  <c r="AB618" i="123"/>
  <c r="AC618" i="123" s="1"/>
  <c r="AJ618" i="123"/>
  <c r="AK618" i="123"/>
  <c r="AL618" i="123"/>
  <c r="AO618" i="123"/>
  <c r="AP618" i="123"/>
  <c r="AT618" i="123"/>
  <c r="AU618" i="123"/>
  <c r="K619" i="123"/>
  <c r="L619" i="123"/>
  <c r="M619" i="123"/>
  <c r="N619" i="123"/>
  <c r="O619" i="123"/>
  <c r="P619" i="123"/>
  <c r="Q619" i="123"/>
  <c r="R619" i="123"/>
  <c r="T619" i="123" s="1"/>
  <c r="S619" i="123"/>
  <c r="X619" i="123"/>
  <c r="Y619" i="123"/>
  <c r="Z619" i="123" s="1"/>
  <c r="AB619" i="123"/>
  <c r="AC619" i="123" s="1"/>
  <c r="AJ619" i="123"/>
  <c r="AK619" i="123"/>
  <c r="AL619" i="123"/>
  <c r="AO619" i="123"/>
  <c r="AP619" i="123"/>
  <c r="AQ619" i="123" s="1"/>
  <c r="AT619" i="123"/>
  <c r="AU619" i="123"/>
  <c r="K620" i="123"/>
  <c r="L620" i="123"/>
  <c r="M620" i="123"/>
  <c r="N620" i="123"/>
  <c r="O620" i="123"/>
  <c r="P620" i="123"/>
  <c r="Q620" i="123"/>
  <c r="R620" i="123"/>
  <c r="T620" i="123" s="1"/>
  <c r="S620" i="123"/>
  <c r="X620" i="123"/>
  <c r="Y620" i="123"/>
  <c r="AA620" i="123" s="1"/>
  <c r="AB620" i="123"/>
  <c r="AC620" i="123" s="1"/>
  <c r="AJ620" i="123"/>
  <c r="AK620" i="123"/>
  <c r="AL620" i="123"/>
  <c r="AO620" i="123"/>
  <c r="AP620" i="123"/>
  <c r="AQ620" i="123" s="1"/>
  <c r="AT620" i="123"/>
  <c r="AU620" i="123"/>
  <c r="K621" i="123"/>
  <c r="L621" i="123"/>
  <c r="M621" i="123"/>
  <c r="N621" i="123"/>
  <c r="O621" i="123"/>
  <c r="P621" i="123"/>
  <c r="Q621" i="123"/>
  <c r="R621" i="123"/>
  <c r="T621" i="123" s="1"/>
  <c r="S621" i="123"/>
  <c r="X621" i="123"/>
  <c r="Y621" i="123"/>
  <c r="Z621" i="123" s="1"/>
  <c r="AB621" i="123"/>
  <c r="AD621" i="123" s="1"/>
  <c r="AJ621" i="123"/>
  <c r="AK621" i="123"/>
  <c r="AL621" i="123"/>
  <c r="AO621" i="123"/>
  <c r="AP621" i="123"/>
  <c r="AT621" i="123"/>
  <c r="AU621" i="123"/>
  <c r="K622" i="123"/>
  <c r="L622" i="123"/>
  <c r="M622" i="123"/>
  <c r="N622" i="123"/>
  <c r="O622" i="123"/>
  <c r="P622" i="123"/>
  <c r="Q622" i="123"/>
  <c r="R622" i="123"/>
  <c r="T622" i="123" s="1"/>
  <c r="W622" i="123" s="1"/>
  <c r="S622" i="123"/>
  <c r="X622" i="123"/>
  <c r="Y622" i="123"/>
  <c r="Z622" i="123" s="1"/>
  <c r="AB622" i="123"/>
  <c r="AC622" i="123" s="1"/>
  <c r="AJ622" i="123"/>
  <c r="AK622" i="123"/>
  <c r="AL622" i="123"/>
  <c r="AO622" i="123"/>
  <c r="AP622" i="123"/>
  <c r="AT622" i="123"/>
  <c r="AU622" i="123"/>
  <c r="K623" i="123"/>
  <c r="L623" i="123"/>
  <c r="M623" i="123"/>
  <c r="N623" i="123"/>
  <c r="O623" i="123"/>
  <c r="P623" i="123"/>
  <c r="Q623" i="123"/>
  <c r="R623" i="123"/>
  <c r="T623" i="123" s="1"/>
  <c r="S623" i="123"/>
  <c r="X623" i="123"/>
  <c r="Y623" i="123"/>
  <c r="AA623" i="123" s="1"/>
  <c r="AB623" i="123"/>
  <c r="AD623" i="123" s="1"/>
  <c r="AJ623" i="123"/>
  <c r="AK623" i="123"/>
  <c r="AL623" i="123"/>
  <c r="AO623" i="123"/>
  <c r="AP623" i="123"/>
  <c r="AQ623" i="123" s="1"/>
  <c r="AT623" i="123"/>
  <c r="AU623" i="123"/>
  <c r="K624" i="123"/>
  <c r="L624" i="123"/>
  <c r="M624" i="123"/>
  <c r="N624" i="123"/>
  <c r="O624" i="123"/>
  <c r="P624" i="123"/>
  <c r="Q624" i="123"/>
  <c r="R624" i="123"/>
  <c r="T624" i="123" s="1"/>
  <c r="S624" i="123"/>
  <c r="X624" i="123"/>
  <c r="Y624" i="123"/>
  <c r="AA624" i="123" s="1"/>
  <c r="AB624" i="123"/>
  <c r="AC624" i="123" s="1"/>
  <c r="AJ624" i="123"/>
  <c r="AK624" i="123"/>
  <c r="AL624" i="123"/>
  <c r="AO624" i="123"/>
  <c r="AP624" i="123"/>
  <c r="AQ624" i="123" s="1"/>
  <c r="AT624" i="123"/>
  <c r="AU624" i="123"/>
  <c r="K625" i="123"/>
  <c r="L625" i="123"/>
  <c r="M625" i="123"/>
  <c r="N625" i="123"/>
  <c r="O625" i="123"/>
  <c r="P625" i="123"/>
  <c r="Q625" i="123"/>
  <c r="R625" i="123"/>
  <c r="T625" i="123" s="1"/>
  <c r="S625" i="123"/>
  <c r="X625" i="123"/>
  <c r="Y625" i="123"/>
  <c r="Z625" i="123" s="1"/>
  <c r="AB625" i="123"/>
  <c r="AD625" i="123" s="1"/>
  <c r="AJ625" i="123"/>
  <c r="AK625" i="123"/>
  <c r="AL625" i="123"/>
  <c r="AO625" i="123"/>
  <c r="AP625" i="123"/>
  <c r="AT625" i="123"/>
  <c r="AU625" i="123"/>
  <c r="K626" i="123"/>
  <c r="L626" i="123"/>
  <c r="M626" i="123"/>
  <c r="N626" i="123"/>
  <c r="O626" i="123"/>
  <c r="P626" i="123"/>
  <c r="Q626" i="123"/>
  <c r="R626" i="123"/>
  <c r="T626" i="123" s="1"/>
  <c r="W626" i="123" s="1"/>
  <c r="S626" i="123"/>
  <c r="X626" i="123"/>
  <c r="Y626" i="123"/>
  <c r="Z626" i="123" s="1"/>
  <c r="AB626" i="123"/>
  <c r="AC626" i="123" s="1"/>
  <c r="AJ626" i="123"/>
  <c r="AK626" i="123"/>
  <c r="AL626" i="123"/>
  <c r="AO626" i="123"/>
  <c r="AP626" i="123"/>
  <c r="AT626" i="123"/>
  <c r="AU626" i="123"/>
  <c r="K627" i="123"/>
  <c r="L627" i="123"/>
  <c r="M627" i="123"/>
  <c r="N627" i="123"/>
  <c r="O627" i="123"/>
  <c r="P627" i="123"/>
  <c r="Q627" i="123"/>
  <c r="R627" i="123"/>
  <c r="T627" i="123" s="1"/>
  <c r="S627" i="123"/>
  <c r="X627" i="123"/>
  <c r="Y627" i="123"/>
  <c r="AA627" i="123" s="1"/>
  <c r="AB627" i="123"/>
  <c r="AC627" i="123" s="1"/>
  <c r="AJ627" i="123"/>
  <c r="AK627" i="123"/>
  <c r="AL627" i="123"/>
  <c r="AO627" i="123"/>
  <c r="AP627" i="123"/>
  <c r="AQ627" i="123" s="1"/>
  <c r="AT627" i="123"/>
  <c r="AU627" i="123"/>
  <c r="K628" i="123"/>
  <c r="L628" i="123"/>
  <c r="M628" i="123"/>
  <c r="N628" i="123"/>
  <c r="O628" i="123"/>
  <c r="P628" i="123"/>
  <c r="Q628" i="123"/>
  <c r="R628" i="123"/>
  <c r="T628" i="123" s="1"/>
  <c r="S628" i="123"/>
  <c r="X628" i="123"/>
  <c r="Y628" i="123"/>
  <c r="AA628" i="123" s="1"/>
  <c r="AB628" i="123"/>
  <c r="AC628" i="123" s="1"/>
  <c r="AJ628" i="123"/>
  <c r="AK628" i="123"/>
  <c r="AL628" i="123"/>
  <c r="AO628" i="123"/>
  <c r="AP628" i="123"/>
  <c r="AQ628" i="123" s="1"/>
  <c r="AT628" i="123"/>
  <c r="AU628" i="123"/>
  <c r="K629" i="123"/>
  <c r="L629" i="123"/>
  <c r="M629" i="123"/>
  <c r="N629" i="123"/>
  <c r="O629" i="123"/>
  <c r="P629" i="123"/>
  <c r="Q629" i="123"/>
  <c r="R629" i="123"/>
  <c r="T629" i="123" s="1"/>
  <c r="S629" i="123"/>
  <c r="X629" i="123"/>
  <c r="Y629" i="123"/>
  <c r="Z629" i="123" s="1"/>
  <c r="AB629" i="123"/>
  <c r="AD629" i="123" s="1"/>
  <c r="AJ629" i="123"/>
  <c r="AK629" i="123"/>
  <c r="AL629" i="123"/>
  <c r="AO629" i="123"/>
  <c r="AP629" i="123"/>
  <c r="AT629" i="123"/>
  <c r="AU629" i="123"/>
  <c r="K630" i="123"/>
  <c r="L630" i="123"/>
  <c r="M630" i="123"/>
  <c r="N630" i="123"/>
  <c r="O630" i="123"/>
  <c r="P630" i="123"/>
  <c r="Q630" i="123"/>
  <c r="R630" i="123"/>
  <c r="T630" i="123" s="1"/>
  <c r="W630" i="123" s="1"/>
  <c r="S630" i="123"/>
  <c r="X630" i="123"/>
  <c r="Y630" i="123"/>
  <c r="AA630" i="123" s="1"/>
  <c r="AB630" i="123"/>
  <c r="AC630" i="123" s="1"/>
  <c r="AJ630" i="123"/>
  <c r="AK630" i="123"/>
  <c r="AL630" i="123"/>
  <c r="AO630" i="123"/>
  <c r="AP630" i="123"/>
  <c r="AT630" i="123"/>
  <c r="AU630" i="123"/>
  <c r="K631" i="123"/>
  <c r="L631" i="123"/>
  <c r="M631" i="123"/>
  <c r="N631" i="123"/>
  <c r="O631" i="123"/>
  <c r="P631" i="123"/>
  <c r="Q631" i="123"/>
  <c r="R631" i="123"/>
  <c r="T631" i="123" s="1"/>
  <c r="S631" i="123"/>
  <c r="X631" i="123"/>
  <c r="Y631" i="123"/>
  <c r="AA631" i="123" s="1"/>
  <c r="AB631" i="123"/>
  <c r="AD631" i="123" s="1"/>
  <c r="AJ631" i="123"/>
  <c r="AK631" i="123"/>
  <c r="AL631" i="123"/>
  <c r="AO631" i="123"/>
  <c r="AP631" i="123"/>
  <c r="AQ631" i="123" s="1"/>
  <c r="AT631" i="123"/>
  <c r="AU631" i="123"/>
  <c r="K632" i="123"/>
  <c r="L632" i="123"/>
  <c r="M632" i="123"/>
  <c r="N632" i="123"/>
  <c r="O632" i="123"/>
  <c r="P632" i="123"/>
  <c r="Q632" i="123"/>
  <c r="R632" i="123"/>
  <c r="T632" i="123" s="1"/>
  <c r="S632" i="123"/>
  <c r="X632" i="123"/>
  <c r="Y632" i="123"/>
  <c r="AA632" i="123" s="1"/>
  <c r="AB632" i="123"/>
  <c r="AD632" i="123" s="1"/>
  <c r="AJ632" i="123"/>
  <c r="AK632" i="123"/>
  <c r="AL632" i="123"/>
  <c r="AO632" i="123"/>
  <c r="AP632" i="123"/>
  <c r="AQ632" i="123" s="1"/>
  <c r="AT632" i="123"/>
  <c r="AU632" i="123"/>
  <c r="K633" i="123"/>
  <c r="L633" i="123"/>
  <c r="M633" i="123"/>
  <c r="N633" i="123"/>
  <c r="O633" i="123"/>
  <c r="P633" i="123"/>
  <c r="Q633" i="123"/>
  <c r="R633" i="123"/>
  <c r="T633" i="123" s="1"/>
  <c r="S633" i="123"/>
  <c r="X633" i="123"/>
  <c r="Y633" i="123"/>
  <c r="Z633" i="123" s="1"/>
  <c r="AB633" i="123"/>
  <c r="AD633" i="123" s="1"/>
  <c r="AJ633" i="123"/>
  <c r="AK633" i="123"/>
  <c r="AL633" i="123"/>
  <c r="AO633" i="123"/>
  <c r="AP633" i="123"/>
  <c r="AT633" i="123"/>
  <c r="AU633" i="123"/>
  <c r="K634" i="123"/>
  <c r="L634" i="123"/>
  <c r="M634" i="123"/>
  <c r="N634" i="123"/>
  <c r="O634" i="123"/>
  <c r="P634" i="123"/>
  <c r="Q634" i="123"/>
  <c r="R634" i="123"/>
  <c r="T634" i="123" s="1"/>
  <c r="W634" i="123" s="1"/>
  <c r="S634" i="123"/>
  <c r="X634" i="123"/>
  <c r="Y634" i="123"/>
  <c r="Z634" i="123" s="1"/>
  <c r="AB634" i="123"/>
  <c r="AC634" i="123" s="1"/>
  <c r="AJ634" i="123"/>
  <c r="AK634" i="123"/>
  <c r="AL634" i="123"/>
  <c r="AO634" i="123"/>
  <c r="AP634" i="123"/>
  <c r="AT634" i="123"/>
  <c r="AU634" i="123"/>
  <c r="K635" i="123"/>
  <c r="L635" i="123"/>
  <c r="M635" i="123"/>
  <c r="N635" i="123"/>
  <c r="O635" i="123"/>
  <c r="P635" i="123"/>
  <c r="Q635" i="123"/>
  <c r="R635" i="123"/>
  <c r="T635" i="123" s="1"/>
  <c r="S635" i="123"/>
  <c r="X635" i="123"/>
  <c r="Y635" i="123"/>
  <c r="AA635" i="123" s="1"/>
  <c r="AB635" i="123"/>
  <c r="AD635" i="123" s="1"/>
  <c r="AJ635" i="123"/>
  <c r="AK635" i="123"/>
  <c r="AL635" i="123"/>
  <c r="AO635" i="123"/>
  <c r="AP635" i="123"/>
  <c r="AQ635" i="123" s="1"/>
  <c r="AT635" i="123"/>
  <c r="AU635" i="123"/>
  <c r="K636" i="123"/>
  <c r="L636" i="123"/>
  <c r="M636" i="123"/>
  <c r="N636" i="123"/>
  <c r="O636" i="123"/>
  <c r="P636" i="123"/>
  <c r="Q636" i="123"/>
  <c r="R636" i="123"/>
  <c r="T636" i="123" s="1"/>
  <c r="S636" i="123"/>
  <c r="X636" i="123"/>
  <c r="Y636" i="123"/>
  <c r="AA636" i="123" s="1"/>
  <c r="AB636" i="123"/>
  <c r="AD636" i="123" s="1"/>
  <c r="AJ636" i="123"/>
  <c r="AK636" i="123"/>
  <c r="AL636" i="123"/>
  <c r="AO636" i="123"/>
  <c r="AP636" i="123"/>
  <c r="AQ636" i="123" s="1"/>
  <c r="AT636" i="123"/>
  <c r="AU636" i="123"/>
  <c r="K637" i="123"/>
  <c r="L637" i="123"/>
  <c r="M637" i="123"/>
  <c r="N637" i="123"/>
  <c r="O637" i="123"/>
  <c r="P637" i="123"/>
  <c r="Q637" i="123"/>
  <c r="R637" i="123"/>
  <c r="T637" i="123" s="1"/>
  <c r="S637" i="123"/>
  <c r="X637" i="123"/>
  <c r="Y637" i="123"/>
  <c r="Z637" i="123" s="1"/>
  <c r="AB637" i="123"/>
  <c r="AD637" i="123" s="1"/>
  <c r="AJ637" i="123"/>
  <c r="AK637" i="123"/>
  <c r="AL637" i="123"/>
  <c r="AO637" i="123"/>
  <c r="AP637" i="123"/>
  <c r="AT637" i="123"/>
  <c r="AU637" i="123"/>
  <c r="K638" i="123"/>
  <c r="L638" i="123"/>
  <c r="M638" i="123"/>
  <c r="N638" i="123"/>
  <c r="O638" i="123"/>
  <c r="P638" i="123"/>
  <c r="Q638" i="123"/>
  <c r="R638" i="123"/>
  <c r="T638" i="123" s="1"/>
  <c r="W638" i="123" s="1"/>
  <c r="S638" i="123"/>
  <c r="X638" i="123"/>
  <c r="Y638" i="123"/>
  <c r="Z638" i="123" s="1"/>
  <c r="AB638" i="123"/>
  <c r="AC638" i="123" s="1"/>
  <c r="AJ638" i="123"/>
  <c r="AK638" i="123"/>
  <c r="AL638" i="123"/>
  <c r="AO638" i="123"/>
  <c r="AP638" i="123"/>
  <c r="AT638" i="123"/>
  <c r="AU638" i="123"/>
  <c r="K639" i="123"/>
  <c r="L639" i="123"/>
  <c r="M639" i="123"/>
  <c r="N639" i="123"/>
  <c r="O639" i="123"/>
  <c r="P639" i="123"/>
  <c r="Q639" i="123"/>
  <c r="R639" i="123"/>
  <c r="T639" i="123" s="1"/>
  <c r="S639" i="123"/>
  <c r="X639" i="123"/>
  <c r="Y639" i="123"/>
  <c r="AA639" i="123" s="1"/>
  <c r="AB639" i="123"/>
  <c r="AD639" i="123" s="1"/>
  <c r="AJ639" i="123"/>
  <c r="AK639" i="123"/>
  <c r="AL639" i="123"/>
  <c r="AO639" i="123"/>
  <c r="AP639" i="123"/>
  <c r="AQ639" i="123" s="1"/>
  <c r="AT639" i="123"/>
  <c r="AU639" i="123"/>
  <c r="K640" i="123"/>
  <c r="L640" i="123"/>
  <c r="M640" i="123"/>
  <c r="N640" i="123"/>
  <c r="O640" i="123"/>
  <c r="P640" i="123"/>
  <c r="Q640" i="123"/>
  <c r="R640" i="123"/>
  <c r="T640" i="123" s="1"/>
  <c r="S640" i="123"/>
  <c r="X640" i="123"/>
  <c r="Y640" i="123"/>
  <c r="AA640" i="123" s="1"/>
  <c r="AB640" i="123"/>
  <c r="AD640" i="123" s="1"/>
  <c r="AJ640" i="123"/>
  <c r="AK640" i="123"/>
  <c r="AL640" i="123"/>
  <c r="AO640" i="123"/>
  <c r="AP640" i="123"/>
  <c r="AQ640" i="123" s="1"/>
  <c r="AT640" i="123"/>
  <c r="AU640" i="123"/>
  <c r="K641" i="123"/>
  <c r="L641" i="123"/>
  <c r="M641" i="123"/>
  <c r="N641" i="123"/>
  <c r="O641" i="123"/>
  <c r="P641" i="123"/>
  <c r="Q641" i="123"/>
  <c r="R641" i="123"/>
  <c r="T641" i="123" s="1"/>
  <c r="V641" i="123" s="1"/>
  <c r="S641" i="123"/>
  <c r="X641" i="123"/>
  <c r="Y641" i="123"/>
  <c r="Z641" i="123" s="1"/>
  <c r="AB641" i="123"/>
  <c r="AD641" i="123" s="1"/>
  <c r="AJ641" i="123"/>
  <c r="AK641" i="123"/>
  <c r="AL641" i="123"/>
  <c r="AO641" i="123"/>
  <c r="AP641" i="123"/>
  <c r="AT641" i="123"/>
  <c r="AU641" i="123"/>
  <c r="K642" i="123"/>
  <c r="L642" i="123"/>
  <c r="M642" i="123"/>
  <c r="N642" i="123"/>
  <c r="O642" i="123"/>
  <c r="P642" i="123"/>
  <c r="Q642" i="123"/>
  <c r="R642" i="123"/>
  <c r="T642" i="123" s="1"/>
  <c r="W642" i="123" s="1"/>
  <c r="S642" i="123"/>
  <c r="X642" i="123"/>
  <c r="Y642" i="123"/>
  <c r="AA642" i="123" s="1"/>
  <c r="AB642" i="123"/>
  <c r="AC642" i="123" s="1"/>
  <c r="AJ642" i="123"/>
  <c r="AK642" i="123"/>
  <c r="AL642" i="123"/>
  <c r="AO642" i="123"/>
  <c r="AP642" i="123"/>
  <c r="AT642" i="123"/>
  <c r="AU642" i="123"/>
  <c r="K643" i="123"/>
  <c r="L643" i="123"/>
  <c r="M643" i="123"/>
  <c r="N643" i="123"/>
  <c r="O643" i="123"/>
  <c r="P643" i="123"/>
  <c r="Q643" i="123"/>
  <c r="R643" i="123"/>
  <c r="T643" i="123" s="1"/>
  <c r="S643" i="123"/>
  <c r="X643" i="123"/>
  <c r="Y643" i="123"/>
  <c r="Z643" i="123" s="1"/>
  <c r="AB643" i="123"/>
  <c r="AD643" i="123" s="1"/>
  <c r="AJ643" i="123"/>
  <c r="AK643" i="123"/>
  <c r="AL643" i="123"/>
  <c r="AO643" i="123"/>
  <c r="AP643" i="123"/>
  <c r="AQ643" i="123" s="1"/>
  <c r="AT643" i="123"/>
  <c r="AU643" i="123"/>
  <c r="K644" i="123"/>
  <c r="L644" i="123"/>
  <c r="M644" i="123"/>
  <c r="N644" i="123"/>
  <c r="O644" i="123"/>
  <c r="P644" i="123"/>
  <c r="Q644" i="123"/>
  <c r="R644" i="123"/>
  <c r="T644" i="123" s="1"/>
  <c r="S644" i="123"/>
  <c r="X644" i="123"/>
  <c r="Y644" i="123"/>
  <c r="AA644" i="123" s="1"/>
  <c r="AB644" i="123"/>
  <c r="AD644" i="123" s="1"/>
  <c r="AJ644" i="123"/>
  <c r="AK644" i="123"/>
  <c r="AL644" i="123"/>
  <c r="AO644" i="123"/>
  <c r="AP644" i="123"/>
  <c r="AQ644" i="123" s="1"/>
  <c r="AT644" i="123"/>
  <c r="AU644" i="123"/>
  <c r="K645" i="123"/>
  <c r="L645" i="123"/>
  <c r="M645" i="123"/>
  <c r="N645" i="123"/>
  <c r="O645" i="123"/>
  <c r="P645" i="123"/>
  <c r="Q645" i="123"/>
  <c r="R645" i="123"/>
  <c r="T645" i="123" s="1"/>
  <c r="S645" i="123"/>
  <c r="X645" i="123"/>
  <c r="Y645" i="123"/>
  <c r="Z645" i="123" s="1"/>
  <c r="AB645" i="123"/>
  <c r="AD645" i="123" s="1"/>
  <c r="AJ645" i="123"/>
  <c r="AK645" i="123"/>
  <c r="AL645" i="123"/>
  <c r="AO645" i="123"/>
  <c r="AP645" i="123"/>
  <c r="AT645" i="123"/>
  <c r="AU645" i="123"/>
  <c r="K646" i="123"/>
  <c r="L646" i="123"/>
  <c r="M646" i="123"/>
  <c r="N646" i="123"/>
  <c r="O646" i="123"/>
  <c r="P646" i="123"/>
  <c r="Q646" i="123"/>
  <c r="R646" i="123"/>
  <c r="T646" i="123" s="1"/>
  <c r="W646" i="123" s="1"/>
  <c r="S646" i="123"/>
  <c r="X646" i="123"/>
  <c r="Y646" i="123"/>
  <c r="AA646" i="123" s="1"/>
  <c r="AB646" i="123"/>
  <c r="AC646" i="123" s="1"/>
  <c r="AJ646" i="123"/>
  <c r="AK646" i="123"/>
  <c r="AL646" i="123"/>
  <c r="AO646" i="123"/>
  <c r="AP646" i="123"/>
  <c r="AT646" i="123"/>
  <c r="AU646" i="123"/>
  <c r="K647" i="123"/>
  <c r="L647" i="123"/>
  <c r="M647" i="123"/>
  <c r="N647" i="123"/>
  <c r="O647" i="123"/>
  <c r="P647" i="123"/>
  <c r="Q647" i="123"/>
  <c r="R647" i="123"/>
  <c r="T647" i="123" s="1"/>
  <c r="S647" i="123"/>
  <c r="X647" i="123"/>
  <c r="Y647" i="123"/>
  <c r="Z647" i="123" s="1"/>
  <c r="AB647" i="123"/>
  <c r="AD647" i="123" s="1"/>
  <c r="AJ647" i="123"/>
  <c r="AK647" i="123"/>
  <c r="AL647" i="123"/>
  <c r="AO647" i="123"/>
  <c r="AP647" i="123"/>
  <c r="AT647" i="123"/>
  <c r="AU647" i="123"/>
  <c r="K648" i="123"/>
  <c r="L648" i="123"/>
  <c r="M648" i="123"/>
  <c r="N648" i="123"/>
  <c r="O648" i="123"/>
  <c r="P648" i="123"/>
  <c r="Q648" i="123"/>
  <c r="R648" i="123"/>
  <c r="T648" i="123" s="1"/>
  <c r="S648" i="123"/>
  <c r="X648" i="123"/>
  <c r="Y648" i="123"/>
  <c r="AA648" i="123" s="1"/>
  <c r="AB648" i="123"/>
  <c r="AC648" i="123" s="1"/>
  <c r="AJ648" i="123"/>
  <c r="AK648" i="123"/>
  <c r="AL648" i="123"/>
  <c r="AO648" i="123"/>
  <c r="AP648" i="123"/>
  <c r="AQ648" i="123" s="1"/>
  <c r="AT648" i="123"/>
  <c r="AU648" i="123"/>
  <c r="K649" i="123"/>
  <c r="L649" i="123"/>
  <c r="M649" i="123"/>
  <c r="N649" i="123"/>
  <c r="O649" i="123"/>
  <c r="P649" i="123"/>
  <c r="Q649" i="123"/>
  <c r="R649" i="123"/>
  <c r="T649" i="123" s="1"/>
  <c r="V649" i="123" s="1"/>
  <c r="S649" i="123"/>
  <c r="X649" i="123"/>
  <c r="Y649" i="123"/>
  <c r="Z649" i="123" s="1"/>
  <c r="AB649" i="123"/>
  <c r="AD649" i="123" s="1"/>
  <c r="AJ649" i="123"/>
  <c r="AK649" i="123"/>
  <c r="AL649" i="123"/>
  <c r="AO649" i="123"/>
  <c r="AP649" i="123"/>
  <c r="AT649" i="123"/>
  <c r="AU649" i="123"/>
  <c r="K650" i="123"/>
  <c r="L650" i="123"/>
  <c r="M650" i="123"/>
  <c r="N650" i="123"/>
  <c r="O650" i="123"/>
  <c r="P650" i="123"/>
  <c r="Q650" i="123"/>
  <c r="R650" i="123"/>
  <c r="T650" i="123" s="1"/>
  <c r="W650" i="123" s="1"/>
  <c r="S650" i="123"/>
  <c r="X650" i="123"/>
  <c r="Y650" i="123"/>
  <c r="AA650" i="123" s="1"/>
  <c r="AB650" i="123"/>
  <c r="AC650" i="123" s="1"/>
  <c r="AJ650" i="123"/>
  <c r="AK650" i="123"/>
  <c r="AL650" i="123"/>
  <c r="AO650" i="123"/>
  <c r="AP650" i="123"/>
  <c r="AT650" i="123"/>
  <c r="AU650" i="123"/>
  <c r="K651" i="123"/>
  <c r="L651" i="123"/>
  <c r="M651" i="123"/>
  <c r="N651" i="123"/>
  <c r="O651" i="123"/>
  <c r="P651" i="123"/>
  <c r="Q651" i="123"/>
  <c r="R651" i="123"/>
  <c r="T651" i="123" s="1"/>
  <c r="S651" i="123"/>
  <c r="X651" i="123"/>
  <c r="Y651" i="123"/>
  <c r="Z651" i="123" s="1"/>
  <c r="AB651" i="123"/>
  <c r="AC651" i="123" s="1"/>
  <c r="AJ651" i="123"/>
  <c r="AK651" i="123"/>
  <c r="AL651" i="123"/>
  <c r="AO651" i="123"/>
  <c r="AP651" i="123"/>
  <c r="AT651" i="123"/>
  <c r="AU651" i="123"/>
  <c r="K652" i="123"/>
  <c r="L652" i="123"/>
  <c r="M652" i="123"/>
  <c r="N652" i="123"/>
  <c r="O652" i="123"/>
  <c r="P652" i="123"/>
  <c r="Q652" i="123"/>
  <c r="R652" i="123"/>
  <c r="T652" i="123" s="1"/>
  <c r="S652" i="123"/>
  <c r="X652" i="123"/>
  <c r="Y652" i="123"/>
  <c r="AA652" i="123" s="1"/>
  <c r="AB652" i="123"/>
  <c r="AC652" i="123" s="1"/>
  <c r="AJ652" i="123"/>
  <c r="AK652" i="123"/>
  <c r="AL652" i="123"/>
  <c r="AO652" i="123"/>
  <c r="AP652" i="123"/>
  <c r="AQ652" i="123" s="1"/>
  <c r="AT652" i="123"/>
  <c r="AU652" i="123"/>
  <c r="K653" i="123"/>
  <c r="L653" i="123"/>
  <c r="M653" i="123"/>
  <c r="N653" i="123"/>
  <c r="O653" i="123"/>
  <c r="P653" i="123"/>
  <c r="Q653" i="123"/>
  <c r="R653" i="123"/>
  <c r="T653" i="123" s="1"/>
  <c r="V653" i="123" s="1"/>
  <c r="S653" i="123"/>
  <c r="X653" i="123"/>
  <c r="Y653" i="123"/>
  <c r="Z653" i="123" s="1"/>
  <c r="AB653" i="123"/>
  <c r="AD653" i="123" s="1"/>
  <c r="AJ653" i="123"/>
  <c r="AK653" i="123"/>
  <c r="AL653" i="123"/>
  <c r="AO653" i="123"/>
  <c r="AP653" i="123"/>
  <c r="AT653" i="123"/>
  <c r="AU653" i="123"/>
  <c r="K654" i="123"/>
  <c r="L654" i="123"/>
  <c r="M654" i="123"/>
  <c r="N654" i="123"/>
  <c r="O654" i="123"/>
  <c r="P654" i="123"/>
  <c r="Q654" i="123"/>
  <c r="R654" i="123"/>
  <c r="T654" i="123" s="1"/>
  <c r="W654" i="123" s="1"/>
  <c r="S654" i="123"/>
  <c r="X654" i="123"/>
  <c r="Y654" i="123"/>
  <c r="Z654" i="123" s="1"/>
  <c r="AB654" i="123"/>
  <c r="AC654" i="123" s="1"/>
  <c r="AJ654" i="123"/>
  <c r="AK654" i="123"/>
  <c r="AL654" i="123"/>
  <c r="AO654" i="123"/>
  <c r="AP654" i="123"/>
  <c r="AT654" i="123"/>
  <c r="AU654" i="123"/>
  <c r="K655" i="123"/>
  <c r="L655" i="123"/>
  <c r="M655" i="123"/>
  <c r="N655" i="123"/>
  <c r="O655" i="123"/>
  <c r="P655" i="123"/>
  <c r="Q655" i="123"/>
  <c r="R655" i="123"/>
  <c r="T655" i="123" s="1"/>
  <c r="S655" i="123"/>
  <c r="X655" i="123"/>
  <c r="Y655" i="123"/>
  <c r="Z655" i="123" s="1"/>
  <c r="AB655" i="123"/>
  <c r="AC655" i="123" s="1"/>
  <c r="AJ655" i="123"/>
  <c r="AK655" i="123"/>
  <c r="AL655" i="123"/>
  <c r="AO655" i="123"/>
  <c r="AP655" i="123"/>
  <c r="AT655" i="123"/>
  <c r="AU655" i="123"/>
  <c r="K656" i="123"/>
  <c r="L656" i="123"/>
  <c r="M656" i="123"/>
  <c r="N656" i="123"/>
  <c r="O656" i="123"/>
  <c r="P656" i="123"/>
  <c r="Q656" i="123"/>
  <c r="R656" i="123"/>
  <c r="T656" i="123" s="1"/>
  <c r="S656" i="123"/>
  <c r="X656" i="123"/>
  <c r="Y656" i="123"/>
  <c r="AA656" i="123" s="1"/>
  <c r="AB656" i="123"/>
  <c r="AC656" i="123" s="1"/>
  <c r="AJ656" i="123"/>
  <c r="AK656" i="123"/>
  <c r="AL656" i="123"/>
  <c r="AO656" i="123"/>
  <c r="AP656" i="123"/>
  <c r="AQ656" i="123" s="1"/>
  <c r="AT656" i="123"/>
  <c r="AU656" i="123"/>
  <c r="K657" i="123"/>
  <c r="L657" i="123"/>
  <c r="M657" i="123"/>
  <c r="N657" i="123"/>
  <c r="O657" i="123"/>
  <c r="P657" i="123"/>
  <c r="Q657" i="123"/>
  <c r="R657" i="123"/>
  <c r="T657" i="123" s="1"/>
  <c r="V657" i="123" s="1"/>
  <c r="S657" i="123"/>
  <c r="X657" i="123"/>
  <c r="Y657" i="123"/>
  <c r="Z657" i="123" s="1"/>
  <c r="AB657" i="123"/>
  <c r="AD657" i="123" s="1"/>
  <c r="AJ657" i="123"/>
  <c r="AK657" i="123"/>
  <c r="AL657" i="123"/>
  <c r="AO657" i="123"/>
  <c r="AP657" i="123"/>
  <c r="AT657" i="123"/>
  <c r="AU657" i="123"/>
  <c r="K658" i="123"/>
  <c r="L658" i="123"/>
  <c r="M658" i="123"/>
  <c r="N658" i="123"/>
  <c r="O658" i="123"/>
  <c r="P658" i="123"/>
  <c r="Q658" i="123"/>
  <c r="R658" i="123"/>
  <c r="T658" i="123" s="1"/>
  <c r="W658" i="123" s="1"/>
  <c r="S658" i="123"/>
  <c r="X658" i="123"/>
  <c r="Y658" i="123"/>
  <c r="Z658" i="123" s="1"/>
  <c r="AB658" i="123"/>
  <c r="AC658" i="123" s="1"/>
  <c r="AJ658" i="123"/>
  <c r="AK658" i="123"/>
  <c r="AL658" i="123"/>
  <c r="AO658" i="123"/>
  <c r="AP658" i="123"/>
  <c r="AT658" i="123"/>
  <c r="AU658" i="123"/>
  <c r="K659" i="123"/>
  <c r="L659" i="123"/>
  <c r="M659" i="123"/>
  <c r="N659" i="123"/>
  <c r="O659" i="123"/>
  <c r="P659" i="123"/>
  <c r="Q659" i="123"/>
  <c r="R659" i="123"/>
  <c r="T659" i="123" s="1"/>
  <c r="S659" i="123"/>
  <c r="X659" i="123"/>
  <c r="Y659" i="123"/>
  <c r="Z659" i="123" s="1"/>
  <c r="AB659" i="123"/>
  <c r="AC659" i="123" s="1"/>
  <c r="AJ659" i="123"/>
  <c r="AK659" i="123"/>
  <c r="AL659" i="123"/>
  <c r="AO659" i="123"/>
  <c r="AP659" i="123"/>
  <c r="AT659" i="123"/>
  <c r="AU659" i="123"/>
  <c r="K660" i="123"/>
  <c r="L660" i="123"/>
  <c r="M660" i="123"/>
  <c r="N660" i="123"/>
  <c r="O660" i="123"/>
  <c r="P660" i="123"/>
  <c r="Q660" i="123"/>
  <c r="R660" i="123"/>
  <c r="T660" i="123" s="1"/>
  <c r="S660" i="123"/>
  <c r="X660" i="123"/>
  <c r="Y660" i="123"/>
  <c r="AA660" i="123" s="1"/>
  <c r="AB660" i="123"/>
  <c r="AC660" i="123" s="1"/>
  <c r="AJ660" i="123"/>
  <c r="AK660" i="123"/>
  <c r="AL660" i="123"/>
  <c r="AO660" i="123"/>
  <c r="AP660" i="123"/>
  <c r="AQ660" i="123" s="1"/>
  <c r="AT660" i="123"/>
  <c r="AU660" i="123"/>
  <c r="K661" i="123"/>
  <c r="L661" i="123"/>
  <c r="M661" i="123"/>
  <c r="N661" i="123"/>
  <c r="O661" i="123"/>
  <c r="P661" i="123"/>
  <c r="Q661" i="123"/>
  <c r="R661" i="123"/>
  <c r="T661" i="123" s="1"/>
  <c r="V661" i="123" s="1"/>
  <c r="S661" i="123"/>
  <c r="X661" i="123"/>
  <c r="Y661" i="123"/>
  <c r="Z661" i="123" s="1"/>
  <c r="AB661" i="123"/>
  <c r="AD661" i="123" s="1"/>
  <c r="AJ661" i="123"/>
  <c r="AK661" i="123"/>
  <c r="AL661" i="123"/>
  <c r="AO661" i="123"/>
  <c r="AP661" i="123"/>
  <c r="AT661" i="123"/>
  <c r="AU661" i="123"/>
  <c r="K662" i="123"/>
  <c r="L662" i="123"/>
  <c r="M662" i="123"/>
  <c r="N662" i="123"/>
  <c r="O662" i="123"/>
  <c r="P662" i="123"/>
  <c r="Q662" i="123"/>
  <c r="R662" i="123"/>
  <c r="T662" i="123" s="1"/>
  <c r="W662" i="123" s="1"/>
  <c r="S662" i="123"/>
  <c r="X662" i="123"/>
  <c r="Y662" i="123"/>
  <c r="Z662" i="123" s="1"/>
  <c r="AB662" i="123"/>
  <c r="AC662" i="123" s="1"/>
  <c r="AJ662" i="123"/>
  <c r="AK662" i="123"/>
  <c r="AL662" i="123"/>
  <c r="AO662" i="123"/>
  <c r="AP662" i="123"/>
  <c r="AT662" i="123"/>
  <c r="AU662" i="123"/>
  <c r="K663" i="123"/>
  <c r="L663" i="123"/>
  <c r="M663" i="123"/>
  <c r="N663" i="123"/>
  <c r="O663" i="123"/>
  <c r="P663" i="123"/>
  <c r="Q663" i="123"/>
  <c r="R663" i="123"/>
  <c r="T663" i="123" s="1"/>
  <c r="S663" i="123"/>
  <c r="X663" i="123"/>
  <c r="Y663" i="123"/>
  <c r="Z663" i="123" s="1"/>
  <c r="AB663" i="123"/>
  <c r="AC663" i="123" s="1"/>
  <c r="AJ663" i="123"/>
  <c r="AK663" i="123"/>
  <c r="AL663" i="123"/>
  <c r="AO663" i="123"/>
  <c r="AP663" i="123"/>
  <c r="AQ663" i="123" s="1"/>
  <c r="AT663" i="123"/>
  <c r="AU663" i="123"/>
  <c r="K664" i="123"/>
  <c r="L664" i="123"/>
  <c r="M664" i="123"/>
  <c r="N664" i="123"/>
  <c r="O664" i="123"/>
  <c r="P664" i="123"/>
  <c r="Q664" i="123"/>
  <c r="R664" i="123"/>
  <c r="T664" i="123" s="1"/>
  <c r="S664" i="123"/>
  <c r="X664" i="123"/>
  <c r="Y664" i="123"/>
  <c r="AA664" i="123" s="1"/>
  <c r="AB664" i="123"/>
  <c r="AJ664" i="123"/>
  <c r="AK664" i="123"/>
  <c r="AL664" i="123"/>
  <c r="AO664" i="123"/>
  <c r="AP664" i="123"/>
  <c r="AQ664" i="123" s="1"/>
  <c r="AT664" i="123"/>
  <c r="AU664" i="123"/>
  <c r="K665" i="123"/>
  <c r="L665" i="123"/>
  <c r="M665" i="123"/>
  <c r="N665" i="123"/>
  <c r="O665" i="123"/>
  <c r="P665" i="123"/>
  <c r="Q665" i="123"/>
  <c r="R665" i="123"/>
  <c r="T665" i="123" s="1"/>
  <c r="S665" i="123"/>
  <c r="X665" i="123"/>
  <c r="Y665" i="123"/>
  <c r="Z665" i="123" s="1"/>
  <c r="AB665" i="123"/>
  <c r="AD665" i="123" s="1"/>
  <c r="AJ665" i="123"/>
  <c r="AK665" i="123"/>
  <c r="AL665" i="123"/>
  <c r="AO665" i="123"/>
  <c r="AP665" i="123"/>
  <c r="AT665" i="123"/>
  <c r="AU665" i="123"/>
  <c r="K666" i="123"/>
  <c r="L666" i="123"/>
  <c r="M666" i="123"/>
  <c r="N666" i="123"/>
  <c r="O666" i="123"/>
  <c r="P666" i="123"/>
  <c r="Q666" i="123"/>
  <c r="R666" i="123"/>
  <c r="T666" i="123" s="1"/>
  <c r="W666" i="123" s="1"/>
  <c r="S666" i="123"/>
  <c r="X666" i="123"/>
  <c r="Y666" i="123"/>
  <c r="Z666" i="123" s="1"/>
  <c r="AB666" i="123"/>
  <c r="AC666" i="123" s="1"/>
  <c r="AJ666" i="123"/>
  <c r="AK666" i="123"/>
  <c r="AL666" i="123"/>
  <c r="AO666" i="123"/>
  <c r="AP666" i="123"/>
  <c r="AT666" i="123"/>
  <c r="AU666" i="123"/>
  <c r="K667" i="123"/>
  <c r="L667" i="123"/>
  <c r="M667" i="123"/>
  <c r="N667" i="123"/>
  <c r="O667" i="123"/>
  <c r="P667" i="123"/>
  <c r="Q667" i="123"/>
  <c r="R667" i="123"/>
  <c r="T667" i="123" s="1"/>
  <c r="S667" i="123"/>
  <c r="X667" i="123"/>
  <c r="Y667" i="123"/>
  <c r="AA667" i="123" s="1"/>
  <c r="AB667" i="123"/>
  <c r="AC667" i="123" s="1"/>
  <c r="AJ667" i="123"/>
  <c r="AK667" i="123"/>
  <c r="AL667" i="123"/>
  <c r="AO667" i="123"/>
  <c r="AP667" i="123"/>
  <c r="AQ667" i="123" s="1"/>
  <c r="AT667" i="123"/>
  <c r="AU667" i="123"/>
  <c r="K668" i="123"/>
  <c r="L668" i="123"/>
  <c r="M668" i="123"/>
  <c r="N668" i="123"/>
  <c r="O668" i="123"/>
  <c r="P668" i="123"/>
  <c r="Q668" i="123"/>
  <c r="R668" i="123"/>
  <c r="T668" i="123" s="1"/>
  <c r="S668" i="123"/>
  <c r="X668" i="123"/>
  <c r="Y668" i="123"/>
  <c r="AA668" i="123" s="1"/>
  <c r="AB668" i="123"/>
  <c r="AJ668" i="123"/>
  <c r="AK668" i="123"/>
  <c r="AL668" i="123"/>
  <c r="AO668" i="123"/>
  <c r="AP668" i="123"/>
  <c r="AQ668" i="123" s="1"/>
  <c r="AT668" i="123"/>
  <c r="AU668" i="123"/>
  <c r="K669" i="123"/>
  <c r="L669" i="123"/>
  <c r="M669" i="123"/>
  <c r="N669" i="123"/>
  <c r="O669" i="123"/>
  <c r="P669" i="123"/>
  <c r="Q669" i="123"/>
  <c r="R669" i="123"/>
  <c r="T669" i="123" s="1"/>
  <c r="S669" i="123"/>
  <c r="X669" i="123"/>
  <c r="Y669" i="123"/>
  <c r="Z669" i="123" s="1"/>
  <c r="AB669" i="123"/>
  <c r="AD669" i="123" s="1"/>
  <c r="AJ669" i="123"/>
  <c r="AK669" i="123"/>
  <c r="AL669" i="123"/>
  <c r="AO669" i="123"/>
  <c r="AP669" i="123"/>
  <c r="AT669" i="123"/>
  <c r="AU669" i="123"/>
  <c r="K670" i="123"/>
  <c r="L670" i="123"/>
  <c r="M670" i="123"/>
  <c r="N670" i="123"/>
  <c r="O670" i="123"/>
  <c r="P670" i="123"/>
  <c r="Q670" i="123"/>
  <c r="R670" i="123"/>
  <c r="T670" i="123" s="1"/>
  <c r="W670" i="123" s="1"/>
  <c r="S670" i="123"/>
  <c r="X670" i="123"/>
  <c r="Y670" i="123"/>
  <c r="AB670" i="123"/>
  <c r="AC670" i="123" s="1"/>
  <c r="AJ670" i="123"/>
  <c r="AK670" i="123"/>
  <c r="AL670" i="123"/>
  <c r="AO670" i="123"/>
  <c r="AP670" i="123"/>
  <c r="AT670" i="123"/>
  <c r="AU670" i="123"/>
  <c r="K671" i="123"/>
  <c r="L671" i="123"/>
  <c r="M671" i="123"/>
  <c r="N671" i="123"/>
  <c r="O671" i="123"/>
  <c r="P671" i="123"/>
  <c r="Q671" i="123"/>
  <c r="R671" i="123"/>
  <c r="T671" i="123" s="1"/>
  <c r="S671" i="123"/>
  <c r="X671" i="123"/>
  <c r="Y671" i="123"/>
  <c r="AA671" i="123" s="1"/>
  <c r="AB671" i="123"/>
  <c r="AC671" i="123" s="1"/>
  <c r="AJ671" i="123"/>
  <c r="AK671" i="123"/>
  <c r="AL671" i="123"/>
  <c r="AO671" i="123"/>
  <c r="AP671" i="123"/>
  <c r="AQ671" i="123" s="1"/>
  <c r="AT671" i="123"/>
  <c r="AU671" i="123"/>
  <c r="K672" i="123"/>
  <c r="L672" i="123"/>
  <c r="M672" i="123"/>
  <c r="N672" i="123"/>
  <c r="O672" i="123"/>
  <c r="P672" i="123"/>
  <c r="Q672" i="123"/>
  <c r="R672" i="123"/>
  <c r="T672" i="123" s="1"/>
  <c r="S672" i="123"/>
  <c r="X672" i="123"/>
  <c r="Y672" i="123"/>
  <c r="AA672" i="123" s="1"/>
  <c r="AB672" i="123"/>
  <c r="AD672" i="123" s="1"/>
  <c r="AJ672" i="123"/>
  <c r="AK672" i="123"/>
  <c r="AL672" i="123"/>
  <c r="AO672" i="123"/>
  <c r="AP672" i="123"/>
  <c r="AQ672" i="123" s="1"/>
  <c r="AT672" i="123"/>
  <c r="AU672" i="123"/>
  <c r="K673" i="123"/>
  <c r="L673" i="123"/>
  <c r="M673" i="123"/>
  <c r="N673" i="123"/>
  <c r="O673" i="123"/>
  <c r="P673" i="123"/>
  <c r="Q673" i="123"/>
  <c r="R673" i="123"/>
  <c r="T673" i="123" s="1"/>
  <c r="S673" i="123"/>
  <c r="X673" i="123"/>
  <c r="Y673" i="123"/>
  <c r="Z673" i="123" s="1"/>
  <c r="AB673" i="123"/>
  <c r="AD673" i="123" s="1"/>
  <c r="AJ673" i="123"/>
  <c r="AK673" i="123"/>
  <c r="AL673" i="123"/>
  <c r="AO673" i="123"/>
  <c r="AP673" i="123"/>
  <c r="AT673" i="123"/>
  <c r="AU673" i="123"/>
  <c r="K674" i="123"/>
  <c r="L674" i="123"/>
  <c r="M674" i="123"/>
  <c r="N674" i="123"/>
  <c r="O674" i="123"/>
  <c r="P674" i="123"/>
  <c r="Q674" i="123"/>
  <c r="R674" i="123"/>
  <c r="T674" i="123" s="1"/>
  <c r="W674" i="123" s="1"/>
  <c r="S674" i="123"/>
  <c r="X674" i="123"/>
  <c r="Y674" i="123"/>
  <c r="Z674" i="123" s="1"/>
  <c r="AB674" i="123"/>
  <c r="AC674" i="123" s="1"/>
  <c r="AJ674" i="123"/>
  <c r="AK674" i="123"/>
  <c r="AL674" i="123"/>
  <c r="AO674" i="123"/>
  <c r="AP674" i="123"/>
  <c r="AT674" i="123"/>
  <c r="AU674" i="123"/>
  <c r="K675" i="123"/>
  <c r="L675" i="123"/>
  <c r="M675" i="123"/>
  <c r="N675" i="123"/>
  <c r="O675" i="123"/>
  <c r="P675" i="123"/>
  <c r="Q675" i="123"/>
  <c r="R675" i="123"/>
  <c r="T675" i="123" s="1"/>
  <c r="S675" i="123"/>
  <c r="X675" i="123"/>
  <c r="Y675" i="123"/>
  <c r="AA675" i="123" s="1"/>
  <c r="AB675" i="123"/>
  <c r="AD675" i="123" s="1"/>
  <c r="AJ675" i="123"/>
  <c r="AK675" i="123"/>
  <c r="AL675" i="123"/>
  <c r="AO675" i="123"/>
  <c r="AP675" i="123"/>
  <c r="AQ675" i="123" s="1"/>
  <c r="AT675" i="123"/>
  <c r="AU675" i="123"/>
  <c r="K676" i="123"/>
  <c r="L676" i="123"/>
  <c r="M676" i="123"/>
  <c r="N676" i="123"/>
  <c r="O676" i="123"/>
  <c r="P676" i="123"/>
  <c r="Q676" i="123"/>
  <c r="R676" i="123"/>
  <c r="T676" i="123" s="1"/>
  <c r="S676" i="123"/>
  <c r="X676" i="123"/>
  <c r="Y676" i="123"/>
  <c r="AA676" i="123" s="1"/>
  <c r="AB676" i="123"/>
  <c r="AJ676" i="123"/>
  <c r="AK676" i="123"/>
  <c r="AL676" i="123"/>
  <c r="AO676" i="123"/>
  <c r="AP676" i="123"/>
  <c r="AQ676" i="123" s="1"/>
  <c r="AT676" i="123"/>
  <c r="AU676" i="123"/>
  <c r="K677" i="123"/>
  <c r="L677" i="123"/>
  <c r="M677" i="123"/>
  <c r="N677" i="123"/>
  <c r="O677" i="123"/>
  <c r="P677" i="123"/>
  <c r="Q677" i="123"/>
  <c r="R677" i="123"/>
  <c r="T677" i="123" s="1"/>
  <c r="S677" i="123"/>
  <c r="X677" i="123"/>
  <c r="Y677" i="123"/>
  <c r="Z677" i="123" s="1"/>
  <c r="AB677" i="123"/>
  <c r="AJ677" i="123"/>
  <c r="AK677" i="123"/>
  <c r="AL677" i="123"/>
  <c r="AO677" i="123"/>
  <c r="AP677" i="123"/>
  <c r="AT677" i="123"/>
  <c r="AU677" i="123"/>
  <c r="K678" i="123"/>
  <c r="L678" i="123"/>
  <c r="M678" i="123"/>
  <c r="N678" i="123"/>
  <c r="O678" i="123"/>
  <c r="P678" i="123"/>
  <c r="Q678" i="123"/>
  <c r="R678" i="123"/>
  <c r="T678" i="123" s="1"/>
  <c r="W678" i="123" s="1"/>
  <c r="S678" i="123"/>
  <c r="X678" i="123"/>
  <c r="Y678" i="123"/>
  <c r="AB678" i="123"/>
  <c r="AC678" i="123" s="1"/>
  <c r="AJ678" i="123"/>
  <c r="AK678" i="123"/>
  <c r="AL678" i="123"/>
  <c r="AO678" i="123"/>
  <c r="AP678" i="123"/>
  <c r="AT678" i="123"/>
  <c r="AU678" i="123"/>
  <c r="K679" i="123"/>
  <c r="L679" i="123"/>
  <c r="M679" i="123"/>
  <c r="N679" i="123"/>
  <c r="O679" i="123"/>
  <c r="P679" i="123"/>
  <c r="Q679" i="123"/>
  <c r="R679" i="123"/>
  <c r="T679" i="123" s="1"/>
  <c r="S679" i="123"/>
  <c r="X679" i="123"/>
  <c r="Y679" i="123"/>
  <c r="AB679" i="123"/>
  <c r="AD679" i="123" s="1"/>
  <c r="AJ679" i="123"/>
  <c r="AK679" i="123"/>
  <c r="AL679" i="123"/>
  <c r="AO679" i="123"/>
  <c r="AP679" i="123"/>
  <c r="AQ679" i="123" s="1"/>
  <c r="AT679" i="123"/>
  <c r="AU679" i="123"/>
  <c r="K680" i="123"/>
  <c r="L680" i="123"/>
  <c r="M680" i="123"/>
  <c r="N680" i="123"/>
  <c r="O680" i="123"/>
  <c r="P680" i="123"/>
  <c r="Q680" i="123"/>
  <c r="R680" i="123"/>
  <c r="T680" i="123" s="1"/>
  <c r="S680" i="123"/>
  <c r="X680" i="123"/>
  <c r="Y680" i="123"/>
  <c r="AA680" i="123" s="1"/>
  <c r="AB680" i="123"/>
  <c r="AJ680" i="123"/>
  <c r="AK680" i="123"/>
  <c r="AL680" i="123"/>
  <c r="AO680" i="123"/>
  <c r="AP680" i="123"/>
  <c r="AQ680" i="123" s="1"/>
  <c r="AT680" i="123"/>
  <c r="AU680" i="123"/>
  <c r="K681" i="123"/>
  <c r="L681" i="123"/>
  <c r="M681" i="123"/>
  <c r="N681" i="123"/>
  <c r="O681" i="123"/>
  <c r="P681" i="123"/>
  <c r="Q681" i="123"/>
  <c r="R681" i="123"/>
  <c r="T681" i="123" s="1"/>
  <c r="S681" i="123"/>
  <c r="X681" i="123"/>
  <c r="Y681" i="123"/>
  <c r="Z681" i="123" s="1"/>
  <c r="AB681" i="123"/>
  <c r="AJ681" i="123"/>
  <c r="AK681" i="123"/>
  <c r="AL681" i="123"/>
  <c r="AO681" i="123"/>
  <c r="AP681" i="123"/>
  <c r="AT681" i="123"/>
  <c r="AU681" i="123"/>
  <c r="K682" i="123"/>
  <c r="L682" i="123"/>
  <c r="M682" i="123"/>
  <c r="N682" i="123"/>
  <c r="O682" i="123"/>
  <c r="P682" i="123"/>
  <c r="Q682" i="123"/>
  <c r="R682" i="123"/>
  <c r="T682" i="123" s="1"/>
  <c r="W682" i="123" s="1"/>
  <c r="S682" i="123"/>
  <c r="X682" i="123"/>
  <c r="Y682" i="123"/>
  <c r="AA682" i="123" s="1"/>
  <c r="AB682" i="123"/>
  <c r="AC682" i="123" s="1"/>
  <c r="AJ682" i="123"/>
  <c r="AK682" i="123"/>
  <c r="AL682" i="123"/>
  <c r="AO682" i="123"/>
  <c r="AP682" i="123"/>
  <c r="AT682" i="123"/>
  <c r="AU682" i="123"/>
  <c r="K683" i="123"/>
  <c r="L683" i="123"/>
  <c r="M683" i="123"/>
  <c r="N683" i="123"/>
  <c r="O683" i="123"/>
  <c r="P683" i="123"/>
  <c r="Q683" i="123"/>
  <c r="R683" i="123"/>
  <c r="T683" i="123" s="1"/>
  <c r="S683" i="123"/>
  <c r="X683" i="123"/>
  <c r="Y683" i="123"/>
  <c r="Z683" i="123" s="1"/>
  <c r="AB683" i="123"/>
  <c r="AJ683" i="123"/>
  <c r="AK683" i="123"/>
  <c r="AL683" i="123"/>
  <c r="AO683" i="123"/>
  <c r="AP683" i="123"/>
  <c r="AQ683" i="123" s="1"/>
  <c r="AT683" i="123"/>
  <c r="AU683" i="123"/>
  <c r="K684" i="123"/>
  <c r="L684" i="123"/>
  <c r="M684" i="123"/>
  <c r="N684" i="123"/>
  <c r="O684" i="123"/>
  <c r="P684" i="123"/>
  <c r="Q684" i="123"/>
  <c r="R684" i="123"/>
  <c r="T684" i="123" s="1"/>
  <c r="S684" i="123"/>
  <c r="X684" i="123"/>
  <c r="Y684" i="123"/>
  <c r="AA684" i="123" s="1"/>
  <c r="AB684" i="123"/>
  <c r="AJ684" i="123"/>
  <c r="AK684" i="123"/>
  <c r="AL684" i="123"/>
  <c r="AO684" i="123"/>
  <c r="AP684" i="123"/>
  <c r="AQ684" i="123" s="1"/>
  <c r="AT684" i="123"/>
  <c r="AU684" i="123"/>
  <c r="K685" i="123"/>
  <c r="L685" i="123"/>
  <c r="M685" i="123"/>
  <c r="N685" i="123"/>
  <c r="O685" i="123"/>
  <c r="P685" i="123"/>
  <c r="Q685" i="123"/>
  <c r="R685" i="123"/>
  <c r="T685" i="123" s="1"/>
  <c r="S685" i="123"/>
  <c r="X685" i="123"/>
  <c r="Y685" i="123"/>
  <c r="Z685" i="123" s="1"/>
  <c r="AB685" i="123"/>
  <c r="AD685" i="123" s="1"/>
  <c r="AJ685" i="123"/>
  <c r="AK685" i="123"/>
  <c r="AL685" i="123"/>
  <c r="AO685" i="123"/>
  <c r="AP685" i="123"/>
  <c r="AT685" i="123"/>
  <c r="AU685" i="123"/>
  <c r="K686" i="123"/>
  <c r="L686" i="123"/>
  <c r="M686" i="123"/>
  <c r="N686" i="123"/>
  <c r="O686" i="123"/>
  <c r="P686" i="123"/>
  <c r="Q686" i="123"/>
  <c r="R686" i="123"/>
  <c r="T686" i="123" s="1"/>
  <c r="W686" i="123" s="1"/>
  <c r="S686" i="123"/>
  <c r="X686" i="123"/>
  <c r="Y686" i="123"/>
  <c r="AA686" i="123" s="1"/>
  <c r="AB686" i="123"/>
  <c r="AC686" i="123" s="1"/>
  <c r="AJ686" i="123"/>
  <c r="AK686" i="123"/>
  <c r="AL686" i="123"/>
  <c r="AO686" i="123"/>
  <c r="AP686" i="123"/>
  <c r="AT686" i="123"/>
  <c r="AU686" i="123"/>
  <c r="K687" i="123"/>
  <c r="L687" i="123"/>
  <c r="M687" i="123"/>
  <c r="N687" i="123"/>
  <c r="O687" i="123"/>
  <c r="P687" i="123"/>
  <c r="Q687" i="123"/>
  <c r="R687" i="123"/>
  <c r="T687" i="123" s="1"/>
  <c r="S687" i="123"/>
  <c r="X687" i="123"/>
  <c r="Y687" i="123"/>
  <c r="AA687" i="123" s="1"/>
  <c r="AB687" i="123"/>
  <c r="AC687" i="123" s="1"/>
  <c r="AJ687" i="123"/>
  <c r="AK687" i="123"/>
  <c r="AL687" i="123"/>
  <c r="AO687" i="123"/>
  <c r="AP687" i="123"/>
  <c r="AQ687" i="123" s="1"/>
  <c r="AT687" i="123"/>
  <c r="AU687" i="123"/>
  <c r="K688" i="123"/>
  <c r="L688" i="123"/>
  <c r="M688" i="123"/>
  <c r="N688" i="123"/>
  <c r="O688" i="123"/>
  <c r="P688" i="123"/>
  <c r="Q688" i="123"/>
  <c r="R688" i="123"/>
  <c r="T688" i="123" s="1"/>
  <c r="S688" i="123"/>
  <c r="X688" i="123"/>
  <c r="Y688" i="123"/>
  <c r="AA688" i="123" s="1"/>
  <c r="AB688" i="123"/>
  <c r="AC688" i="123" s="1"/>
  <c r="AJ688" i="123"/>
  <c r="AK688" i="123"/>
  <c r="AL688" i="123"/>
  <c r="AO688" i="123"/>
  <c r="AP688" i="123"/>
  <c r="AQ688" i="123" s="1"/>
  <c r="AT688" i="123"/>
  <c r="AU688" i="123"/>
  <c r="K689" i="123"/>
  <c r="L689" i="123"/>
  <c r="M689" i="123"/>
  <c r="N689" i="123"/>
  <c r="O689" i="123"/>
  <c r="P689" i="123"/>
  <c r="Q689" i="123"/>
  <c r="R689" i="123"/>
  <c r="T689" i="123" s="1"/>
  <c r="S689" i="123"/>
  <c r="X689" i="123"/>
  <c r="Y689" i="123"/>
  <c r="Z689" i="123" s="1"/>
  <c r="AB689" i="123"/>
  <c r="AD689" i="123" s="1"/>
  <c r="AJ689" i="123"/>
  <c r="AK689" i="123"/>
  <c r="AL689" i="123"/>
  <c r="AO689" i="123"/>
  <c r="AP689" i="123"/>
  <c r="AT689" i="123"/>
  <c r="AU689" i="123"/>
  <c r="K690" i="123"/>
  <c r="L690" i="123"/>
  <c r="M690" i="123"/>
  <c r="N690" i="123"/>
  <c r="O690" i="123"/>
  <c r="P690" i="123"/>
  <c r="Q690" i="123"/>
  <c r="R690" i="123"/>
  <c r="T690" i="123" s="1"/>
  <c r="W690" i="123" s="1"/>
  <c r="S690" i="123"/>
  <c r="X690" i="123"/>
  <c r="Y690" i="123"/>
  <c r="AA690" i="123" s="1"/>
  <c r="AB690" i="123"/>
  <c r="AC690" i="123" s="1"/>
  <c r="AJ690" i="123"/>
  <c r="AK690" i="123"/>
  <c r="AL690" i="123"/>
  <c r="AO690" i="123"/>
  <c r="AP690" i="123"/>
  <c r="AT690" i="123"/>
  <c r="AU690" i="123"/>
  <c r="K691" i="123"/>
  <c r="L691" i="123"/>
  <c r="M691" i="123"/>
  <c r="N691" i="123"/>
  <c r="O691" i="123"/>
  <c r="P691" i="123"/>
  <c r="Q691" i="123"/>
  <c r="R691" i="123"/>
  <c r="T691" i="123" s="1"/>
  <c r="S691" i="123"/>
  <c r="X691" i="123"/>
  <c r="Y691" i="123"/>
  <c r="AB691" i="123"/>
  <c r="AC691" i="123" s="1"/>
  <c r="AJ691" i="123"/>
  <c r="AK691" i="123"/>
  <c r="AL691" i="123"/>
  <c r="AO691" i="123"/>
  <c r="AP691" i="123"/>
  <c r="AQ691" i="123" s="1"/>
  <c r="AT691" i="123"/>
  <c r="AU691" i="123"/>
  <c r="K692" i="123"/>
  <c r="L692" i="123"/>
  <c r="M692" i="123"/>
  <c r="N692" i="123"/>
  <c r="O692" i="123"/>
  <c r="P692" i="123"/>
  <c r="Q692" i="123"/>
  <c r="R692" i="123"/>
  <c r="T692" i="123" s="1"/>
  <c r="S692" i="123"/>
  <c r="X692" i="123"/>
  <c r="Y692" i="123"/>
  <c r="AA692" i="123" s="1"/>
  <c r="AB692" i="123"/>
  <c r="AJ692" i="123"/>
  <c r="AK692" i="123"/>
  <c r="AL692" i="123"/>
  <c r="AO692" i="123"/>
  <c r="AP692" i="123"/>
  <c r="AQ692" i="123" s="1"/>
  <c r="AT692" i="123"/>
  <c r="AU692" i="123"/>
  <c r="K693" i="123"/>
  <c r="L693" i="123"/>
  <c r="M693" i="123"/>
  <c r="N693" i="123"/>
  <c r="O693" i="123"/>
  <c r="P693" i="123"/>
  <c r="Q693" i="123"/>
  <c r="R693" i="123"/>
  <c r="T693" i="123" s="1"/>
  <c r="S693" i="123"/>
  <c r="X693" i="123"/>
  <c r="Y693" i="123"/>
  <c r="Z693" i="123" s="1"/>
  <c r="AB693" i="123"/>
  <c r="AD693" i="123" s="1"/>
  <c r="AJ693" i="123"/>
  <c r="AK693" i="123"/>
  <c r="AL693" i="123"/>
  <c r="AO693" i="123"/>
  <c r="AP693" i="123"/>
  <c r="AT693" i="123"/>
  <c r="AU693" i="123"/>
  <c r="K694" i="123"/>
  <c r="L694" i="123"/>
  <c r="M694" i="123"/>
  <c r="N694" i="123"/>
  <c r="O694" i="123"/>
  <c r="P694" i="123"/>
  <c r="Q694" i="123"/>
  <c r="R694" i="123"/>
  <c r="T694" i="123" s="1"/>
  <c r="W694" i="123" s="1"/>
  <c r="S694" i="123"/>
  <c r="X694" i="123"/>
  <c r="Y694" i="123"/>
  <c r="Z694" i="123" s="1"/>
  <c r="AB694" i="123"/>
  <c r="AC694" i="123" s="1"/>
  <c r="AJ694" i="123"/>
  <c r="AK694" i="123"/>
  <c r="AL694" i="123"/>
  <c r="AO694" i="123"/>
  <c r="AP694" i="123"/>
  <c r="AT694" i="123"/>
  <c r="AU694" i="123"/>
  <c r="K695" i="123"/>
  <c r="L695" i="123"/>
  <c r="M695" i="123"/>
  <c r="N695" i="123"/>
  <c r="O695" i="123"/>
  <c r="P695" i="123"/>
  <c r="Q695" i="123"/>
  <c r="R695" i="123"/>
  <c r="T695" i="123" s="1"/>
  <c r="S695" i="123"/>
  <c r="X695" i="123"/>
  <c r="Y695" i="123"/>
  <c r="Z695" i="123" s="1"/>
  <c r="AB695" i="123"/>
  <c r="AD695" i="123" s="1"/>
  <c r="AJ695" i="123"/>
  <c r="AK695" i="123"/>
  <c r="AL695" i="123"/>
  <c r="AO695" i="123"/>
  <c r="AP695" i="123"/>
  <c r="AQ695" i="123" s="1"/>
  <c r="AT695" i="123"/>
  <c r="AU695" i="123"/>
  <c r="K696" i="123"/>
  <c r="L696" i="123"/>
  <c r="M696" i="123"/>
  <c r="N696" i="123"/>
  <c r="O696" i="123"/>
  <c r="P696" i="123"/>
  <c r="Q696" i="123"/>
  <c r="R696" i="123"/>
  <c r="T696" i="123" s="1"/>
  <c r="S696" i="123"/>
  <c r="X696" i="123"/>
  <c r="Y696" i="123"/>
  <c r="AA696" i="123" s="1"/>
  <c r="AB696" i="123"/>
  <c r="AJ696" i="123"/>
  <c r="AK696" i="123"/>
  <c r="AL696" i="123"/>
  <c r="AO696" i="123"/>
  <c r="AP696" i="123"/>
  <c r="AQ696" i="123" s="1"/>
  <c r="AT696" i="123"/>
  <c r="AU696" i="123"/>
  <c r="K697" i="123"/>
  <c r="L697" i="123"/>
  <c r="M697" i="123"/>
  <c r="N697" i="123"/>
  <c r="O697" i="123"/>
  <c r="P697" i="123"/>
  <c r="Q697" i="123"/>
  <c r="R697" i="123"/>
  <c r="T697" i="123" s="1"/>
  <c r="S697" i="123"/>
  <c r="X697" i="123"/>
  <c r="Y697" i="123"/>
  <c r="Z697" i="123" s="1"/>
  <c r="AB697" i="123"/>
  <c r="AJ697" i="123"/>
  <c r="AK697" i="123"/>
  <c r="AL697" i="123"/>
  <c r="AO697" i="123"/>
  <c r="AP697" i="123"/>
  <c r="AT697" i="123"/>
  <c r="AU697" i="123"/>
  <c r="K698" i="123"/>
  <c r="L698" i="123"/>
  <c r="M698" i="123"/>
  <c r="N698" i="123"/>
  <c r="O698" i="123"/>
  <c r="P698" i="123"/>
  <c r="Q698" i="123"/>
  <c r="R698" i="123"/>
  <c r="T698" i="123" s="1"/>
  <c r="W698" i="123" s="1"/>
  <c r="S698" i="123"/>
  <c r="X698" i="123"/>
  <c r="Y698" i="123"/>
  <c r="AB698" i="123"/>
  <c r="AC698" i="123" s="1"/>
  <c r="AJ698" i="123"/>
  <c r="AK698" i="123"/>
  <c r="AL698" i="123"/>
  <c r="AO698" i="123"/>
  <c r="AP698" i="123"/>
  <c r="AT698" i="123"/>
  <c r="AU698" i="123"/>
  <c r="K699" i="123"/>
  <c r="L699" i="123"/>
  <c r="M699" i="123"/>
  <c r="N699" i="123"/>
  <c r="O699" i="123"/>
  <c r="P699" i="123"/>
  <c r="Q699" i="123"/>
  <c r="R699" i="123"/>
  <c r="T699" i="123" s="1"/>
  <c r="S699" i="123"/>
  <c r="X699" i="123"/>
  <c r="Y699" i="123"/>
  <c r="Z699" i="123" s="1"/>
  <c r="AB699" i="123"/>
  <c r="AD699" i="123" s="1"/>
  <c r="AJ699" i="123"/>
  <c r="AK699" i="123"/>
  <c r="AL699" i="123"/>
  <c r="AO699" i="123"/>
  <c r="AP699" i="123"/>
  <c r="AQ699" i="123" s="1"/>
  <c r="AT699" i="123"/>
  <c r="AU699" i="123"/>
  <c r="K700" i="123"/>
  <c r="L700" i="123"/>
  <c r="M700" i="123"/>
  <c r="N700" i="123"/>
  <c r="O700" i="123"/>
  <c r="P700" i="123"/>
  <c r="Q700" i="123"/>
  <c r="R700" i="123"/>
  <c r="T700" i="123" s="1"/>
  <c r="S700" i="123"/>
  <c r="X700" i="123"/>
  <c r="Y700" i="123"/>
  <c r="AA700" i="123" s="1"/>
  <c r="AB700" i="123"/>
  <c r="AD700" i="123" s="1"/>
  <c r="AJ700" i="123"/>
  <c r="AK700" i="123"/>
  <c r="AL700" i="123"/>
  <c r="AO700" i="123"/>
  <c r="AP700" i="123"/>
  <c r="AQ700" i="123" s="1"/>
  <c r="AT700" i="123"/>
  <c r="AU700" i="123"/>
  <c r="K701" i="123"/>
  <c r="L701" i="123"/>
  <c r="M701" i="123"/>
  <c r="N701" i="123"/>
  <c r="O701" i="123"/>
  <c r="P701" i="123"/>
  <c r="Q701" i="123"/>
  <c r="R701" i="123"/>
  <c r="T701" i="123" s="1"/>
  <c r="S701" i="123"/>
  <c r="X701" i="123"/>
  <c r="Y701" i="123"/>
  <c r="Z701" i="123" s="1"/>
  <c r="AB701" i="123"/>
  <c r="AD701" i="123" s="1"/>
  <c r="AJ701" i="123"/>
  <c r="AK701" i="123"/>
  <c r="AL701" i="123"/>
  <c r="AO701" i="123"/>
  <c r="AP701" i="123"/>
  <c r="AT701" i="123"/>
  <c r="AU701" i="123"/>
  <c r="K702" i="123"/>
  <c r="L702" i="123"/>
  <c r="M702" i="123"/>
  <c r="N702" i="123"/>
  <c r="O702" i="123"/>
  <c r="P702" i="123"/>
  <c r="Q702" i="123"/>
  <c r="R702" i="123"/>
  <c r="T702" i="123" s="1"/>
  <c r="W702" i="123" s="1"/>
  <c r="S702" i="123"/>
  <c r="X702" i="123"/>
  <c r="Y702" i="123"/>
  <c r="AA702" i="123" s="1"/>
  <c r="AB702" i="123"/>
  <c r="AC702" i="123" s="1"/>
  <c r="AJ702" i="123"/>
  <c r="AK702" i="123"/>
  <c r="AL702" i="123"/>
  <c r="AO702" i="123"/>
  <c r="AP702" i="123"/>
  <c r="AT702" i="123"/>
  <c r="AU702" i="123"/>
  <c r="K703" i="123"/>
  <c r="L703" i="123"/>
  <c r="M703" i="123"/>
  <c r="N703" i="123"/>
  <c r="O703" i="123"/>
  <c r="P703" i="123"/>
  <c r="Q703" i="123"/>
  <c r="R703" i="123"/>
  <c r="T703" i="123" s="1"/>
  <c r="S703" i="123"/>
  <c r="X703" i="123"/>
  <c r="Y703" i="123"/>
  <c r="Z703" i="123" s="1"/>
  <c r="AB703" i="123"/>
  <c r="AD703" i="123" s="1"/>
  <c r="AJ703" i="123"/>
  <c r="AK703" i="123"/>
  <c r="AL703" i="123"/>
  <c r="AO703" i="123"/>
  <c r="AP703" i="123"/>
  <c r="AQ703" i="123" s="1"/>
  <c r="AT703" i="123"/>
  <c r="AU703" i="123"/>
  <c r="K704" i="123"/>
  <c r="L704" i="123"/>
  <c r="M704" i="123"/>
  <c r="N704" i="123"/>
  <c r="O704" i="123"/>
  <c r="P704" i="123"/>
  <c r="Q704" i="123"/>
  <c r="R704" i="123"/>
  <c r="T704" i="123" s="1"/>
  <c r="S704" i="123"/>
  <c r="X704" i="123"/>
  <c r="Y704" i="123"/>
  <c r="AB704" i="123"/>
  <c r="AC704" i="123" s="1"/>
  <c r="AJ704" i="123"/>
  <c r="AK704" i="123"/>
  <c r="AL704" i="123"/>
  <c r="AO704" i="123"/>
  <c r="AP704" i="123"/>
  <c r="AQ704" i="123" s="1"/>
  <c r="AT704" i="123"/>
  <c r="AU704" i="123"/>
  <c r="K705" i="123"/>
  <c r="L705" i="123"/>
  <c r="M705" i="123"/>
  <c r="N705" i="123"/>
  <c r="O705" i="123"/>
  <c r="P705" i="123"/>
  <c r="Q705" i="123"/>
  <c r="R705" i="123"/>
  <c r="T705" i="123" s="1"/>
  <c r="V705" i="123" s="1"/>
  <c r="S705" i="123"/>
  <c r="X705" i="123"/>
  <c r="Y705" i="123"/>
  <c r="Z705" i="123" s="1"/>
  <c r="AB705" i="123"/>
  <c r="AD705" i="123" s="1"/>
  <c r="AJ705" i="123"/>
  <c r="AK705" i="123"/>
  <c r="AL705" i="123"/>
  <c r="AO705" i="123"/>
  <c r="AP705" i="123"/>
  <c r="AT705" i="123"/>
  <c r="AU705" i="123"/>
  <c r="K706" i="123"/>
  <c r="L706" i="123"/>
  <c r="M706" i="123"/>
  <c r="N706" i="123"/>
  <c r="O706" i="123"/>
  <c r="P706" i="123"/>
  <c r="Q706" i="123"/>
  <c r="R706" i="123"/>
  <c r="T706" i="123" s="1"/>
  <c r="W706" i="123" s="1"/>
  <c r="S706" i="123"/>
  <c r="X706" i="123"/>
  <c r="Y706" i="123"/>
  <c r="AA706" i="123" s="1"/>
  <c r="AB706" i="123"/>
  <c r="AC706" i="123" s="1"/>
  <c r="AJ706" i="123"/>
  <c r="AK706" i="123"/>
  <c r="AL706" i="123"/>
  <c r="AO706" i="123"/>
  <c r="AP706" i="123"/>
  <c r="AT706" i="123"/>
  <c r="AU706" i="123"/>
  <c r="K707" i="123"/>
  <c r="L707" i="123"/>
  <c r="M707" i="123"/>
  <c r="N707" i="123"/>
  <c r="O707" i="123"/>
  <c r="P707" i="123"/>
  <c r="Q707" i="123"/>
  <c r="R707" i="123"/>
  <c r="T707" i="123" s="1"/>
  <c r="S707" i="123"/>
  <c r="X707" i="123"/>
  <c r="Y707" i="123"/>
  <c r="Z707" i="123" s="1"/>
  <c r="AB707" i="123"/>
  <c r="AC707" i="123" s="1"/>
  <c r="AJ707" i="123"/>
  <c r="AK707" i="123"/>
  <c r="AL707" i="123"/>
  <c r="AO707" i="123"/>
  <c r="AP707" i="123"/>
  <c r="AQ707" i="123" s="1"/>
  <c r="AT707" i="123"/>
  <c r="AU707" i="123"/>
  <c r="K708" i="123"/>
  <c r="L708" i="123"/>
  <c r="M708" i="123"/>
  <c r="N708" i="123"/>
  <c r="O708" i="123"/>
  <c r="P708" i="123"/>
  <c r="Q708" i="123"/>
  <c r="R708" i="123"/>
  <c r="T708" i="123" s="1"/>
  <c r="S708" i="123"/>
  <c r="X708" i="123"/>
  <c r="Y708" i="123"/>
  <c r="AA708" i="123" s="1"/>
  <c r="AB708" i="123"/>
  <c r="AC708" i="123" s="1"/>
  <c r="AJ708" i="123"/>
  <c r="AK708" i="123"/>
  <c r="AL708" i="123"/>
  <c r="AO708" i="123"/>
  <c r="AP708" i="123"/>
  <c r="AQ708" i="123" s="1"/>
  <c r="AT708" i="123"/>
  <c r="AU708" i="123"/>
  <c r="K709" i="123"/>
  <c r="L709" i="123"/>
  <c r="M709" i="123"/>
  <c r="N709" i="123"/>
  <c r="O709" i="123"/>
  <c r="P709" i="123"/>
  <c r="Q709" i="123"/>
  <c r="R709" i="123"/>
  <c r="T709" i="123" s="1"/>
  <c r="S709" i="123"/>
  <c r="X709" i="123"/>
  <c r="Y709" i="123"/>
  <c r="Z709" i="123" s="1"/>
  <c r="AB709" i="123"/>
  <c r="AD709" i="123" s="1"/>
  <c r="AJ709" i="123"/>
  <c r="AK709" i="123"/>
  <c r="AL709" i="123"/>
  <c r="AO709" i="123"/>
  <c r="AP709" i="123"/>
  <c r="AT709" i="123"/>
  <c r="AU709" i="123"/>
  <c r="K710" i="123"/>
  <c r="L710" i="123"/>
  <c r="M710" i="123"/>
  <c r="N710" i="123"/>
  <c r="O710" i="123"/>
  <c r="P710" i="123"/>
  <c r="Q710" i="123"/>
  <c r="R710" i="123"/>
  <c r="T710" i="123" s="1"/>
  <c r="W710" i="123" s="1"/>
  <c r="S710" i="123"/>
  <c r="X710" i="123"/>
  <c r="Y710" i="123"/>
  <c r="AB710" i="123"/>
  <c r="AC710" i="123" s="1"/>
  <c r="AJ710" i="123"/>
  <c r="AK710" i="123"/>
  <c r="AL710" i="123"/>
  <c r="AO710" i="123"/>
  <c r="AP710" i="123"/>
  <c r="AT710" i="123"/>
  <c r="AU710" i="123"/>
  <c r="K711" i="123"/>
  <c r="L711" i="123"/>
  <c r="M711" i="123"/>
  <c r="N711" i="123"/>
  <c r="O711" i="123"/>
  <c r="P711" i="123"/>
  <c r="Q711" i="123"/>
  <c r="R711" i="123"/>
  <c r="T711" i="123" s="1"/>
  <c r="S711" i="123"/>
  <c r="X711" i="123"/>
  <c r="Y711" i="123"/>
  <c r="AB711" i="123"/>
  <c r="AC711" i="123" s="1"/>
  <c r="AJ711" i="123"/>
  <c r="AK711" i="123"/>
  <c r="AL711" i="123"/>
  <c r="AO711" i="123"/>
  <c r="AP711" i="123"/>
  <c r="AQ711" i="123" s="1"/>
  <c r="AT711" i="123"/>
  <c r="AU711" i="123"/>
  <c r="K712" i="123"/>
  <c r="L712" i="123"/>
  <c r="M712" i="123"/>
  <c r="N712" i="123"/>
  <c r="O712" i="123"/>
  <c r="P712" i="123"/>
  <c r="Q712" i="123"/>
  <c r="R712" i="123"/>
  <c r="T712" i="123" s="1"/>
  <c r="S712" i="123"/>
  <c r="X712" i="123"/>
  <c r="Y712" i="123"/>
  <c r="AA712" i="123" s="1"/>
  <c r="AB712" i="123"/>
  <c r="AC712" i="123" s="1"/>
  <c r="AJ712" i="123"/>
  <c r="AK712" i="123"/>
  <c r="AL712" i="123"/>
  <c r="AO712" i="123"/>
  <c r="AP712" i="123"/>
  <c r="AQ712" i="123" s="1"/>
  <c r="AT712" i="123"/>
  <c r="AU712" i="123"/>
  <c r="K713" i="123"/>
  <c r="L713" i="123"/>
  <c r="M713" i="123"/>
  <c r="N713" i="123"/>
  <c r="O713" i="123"/>
  <c r="P713" i="123"/>
  <c r="Q713" i="123"/>
  <c r="R713" i="123"/>
  <c r="T713" i="123" s="1"/>
  <c r="V713" i="123" s="1"/>
  <c r="S713" i="123"/>
  <c r="X713" i="123"/>
  <c r="Y713" i="123"/>
  <c r="Z713" i="123" s="1"/>
  <c r="AB713" i="123"/>
  <c r="AD713" i="123" s="1"/>
  <c r="AJ713" i="123"/>
  <c r="AK713" i="123"/>
  <c r="AL713" i="123"/>
  <c r="AO713" i="123"/>
  <c r="AP713" i="123"/>
  <c r="AT713" i="123"/>
  <c r="AU713" i="123"/>
  <c r="K714" i="123"/>
  <c r="L714" i="123"/>
  <c r="M714" i="123"/>
  <c r="N714" i="123"/>
  <c r="O714" i="123"/>
  <c r="P714" i="123"/>
  <c r="Q714" i="123"/>
  <c r="R714" i="123"/>
  <c r="T714" i="123" s="1"/>
  <c r="W714" i="123" s="1"/>
  <c r="S714" i="123"/>
  <c r="X714" i="123"/>
  <c r="Y714" i="123"/>
  <c r="Z714" i="123" s="1"/>
  <c r="AB714" i="123"/>
  <c r="AC714" i="123" s="1"/>
  <c r="AJ714" i="123"/>
  <c r="AK714" i="123"/>
  <c r="AL714" i="123"/>
  <c r="AO714" i="123"/>
  <c r="AP714" i="123"/>
  <c r="AT714" i="123"/>
  <c r="AU714" i="123"/>
  <c r="K715" i="123"/>
  <c r="L715" i="123"/>
  <c r="M715" i="123"/>
  <c r="N715" i="123"/>
  <c r="O715" i="123"/>
  <c r="P715" i="123"/>
  <c r="Q715" i="123"/>
  <c r="R715" i="123"/>
  <c r="T715" i="123" s="1"/>
  <c r="S715" i="123"/>
  <c r="X715" i="123"/>
  <c r="Y715" i="123"/>
  <c r="AA715" i="123" s="1"/>
  <c r="AB715" i="123"/>
  <c r="AC715" i="123" s="1"/>
  <c r="AJ715" i="123"/>
  <c r="AK715" i="123"/>
  <c r="AL715" i="123"/>
  <c r="AO715" i="123"/>
  <c r="AP715" i="123"/>
  <c r="AQ715" i="123" s="1"/>
  <c r="AT715" i="123"/>
  <c r="AU715" i="123"/>
  <c r="K716" i="123"/>
  <c r="L716" i="123"/>
  <c r="M716" i="123"/>
  <c r="N716" i="123"/>
  <c r="O716" i="123"/>
  <c r="P716" i="123"/>
  <c r="Q716" i="123"/>
  <c r="R716" i="123"/>
  <c r="T716" i="123" s="1"/>
  <c r="S716" i="123"/>
  <c r="X716" i="123"/>
  <c r="Y716" i="123"/>
  <c r="AA716" i="123" s="1"/>
  <c r="AB716" i="123"/>
  <c r="AC716" i="123" s="1"/>
  <c r="AJ716" i="123"/>
  <c r="AK716" i="123"/>
  <c r="AL716" i="123"/>
  <c r="AO716" i="123"/>
  <c r="AP716" i="123"/>
  <c r="AQ716" i="123" s="1"/>
  <c r="AT716" i="123"/>
  <c r="AU716" i="123"/>
  <c r="K717" i="123"/>
  <c r="L717" i="123"/>
  <c r="M717" i="123"/>
  <c r="N717" i="123"/>
  <c r="O717" i="123"/>
  <c r="P717" i="123"/>
  <c r="Q717" i="123"/>
  <c r="R717" i="123"/>
  <c r="T717" i="123" s="1"/>
  <c r="V717" i="123" s="1"/>
  <c r="S717" i="123"/>
  <c r="X717" i="123"/>
  <c r="Y717" i="123"/>
  <c r="Z717" i="123" s="1"/>
  <c r="AB717" i="123"/>
  <c r="AD717" i="123" s="1"/>
  <c r="AJ717" i="123"/>
  <c r="AK717" i="123"/>
  <c r="AL717" i="123"/>
  <c r="AO717" i="123"/>
  <c r="AP717" i="123"/>
  <c r="AT717" i="123"/>
  <c r="AU717" i="123"/>
  <c r="K718" i="123"/>
  <c r="L718" i="123"/>
  <c r="M718" i="123"/>
  <c r="N718" i="123"/>
  <c r="O718" i="123"/>
  <c r="P718" i="123"/>
  <c r="Q718" i="123"/>
  <c r="R718" i="123"/>
  <c r="T718" i="123" s="1"/>
  <c r="W718" i="123" s="1"/>
  <c r="S718" i="123"/>
  <c r="X718" i="123"/>
  <c r="Y718" i="123"/>
  <c r="Z718" i="123" s="1"/>
  <c r="AB718" i="123"/>
  <c r="AC718" i="123" s="1"/>
  <c r="AJ718" i="123"/>
  <c r="AK718" i="123"/>
  <c r="AL718" i="123"/>
  <c r="AO718" i="123"/>
  <c r="AP718" i="123"/>
  <c r="AT718" i="123"/>
  <c r="AU718" i="123"/>
  <c r="K719" i="123"/>
  <c r="L719" i="123"/>
  <c r="M719" i="123"/>
  <c r="N719" i="123"/>
  <c r="O719" i="123"/>
  <c r="P719" i="123"/>
  <c r="Q719" i="123"/>
  <c r="R719" i="123"/>
  <c r="T719" i="123" s="1"/>
  <c r="S719" i="123"/>
  <c r="X719" i="123"/>
  <c r="Y719" i="123"/>
  <c r="Z719" i="123" s="1"/>
  <c r="AB719" i="123"/>
  <c r="AC719" i="123" s="1"/>
  <c r="AJ719" i="123"/>
  <c r="AK719" i="123"/>
  <c r="AL719" i="123"/>
  <c r="AO719" i="123"/>
  <c r="AP719" i="123"/>
  <c r="AQ719" i="123" s="1"/>
  <c r="AT719" i="123"/>
  <c r="AU719" i="123"/>
  <c r="K720" i="123"/>
  <c r="L720" i="123"/>
  <c r="M720" i="123"/>
  <c r="N720" i="123"/>
  <c r="O720" i="123"/>
  <c r="P720" i="123"/>
  <c r="Q720" i="123"/>
  <c r="R720" i="123"/>
  <c r="T720" i="123" s="1"/>
  <c r="S720" i="123"/>
  <c r="X720" i="123"/>
  <c r="Y720" i="123"/>
  <c r="AA720" i="123" s="1"/>
  <c r="AB720" i="123"/>
  <c r="AC720" i="123" s="1"/>
  <c r="AJ720" i="123"/>
  <c r="AK720" i="123"/>
  <c r="AL720" i="123"/>
  <c r="AO720" i="123"/>
  <c r="AP720" i="123"/>
  <c r="AQ720" i="123" s="1"/>
  <c r="AT720" i="123"/>
  <c r="AU720" i="123"/>
  <c r="K721" i="123"/>
  <c r="L721" i="123"/>
  <c r="M721" i="123"/>
  <c r="N721" i="123"/>
  <c r="O721" i="123"/>
  <c r="P721" i="123"/>
  <c r="Q721" i="123"/>
  <c r="R721" i="123"/>
  <c r="T721" i="123" s="1"/>
  <c r="V721" i="123" s="1"/>
  <c r="S721" i="123"/>
  <c r="X721" i="123"/>
  <c r="Y721" i="123"/>
  <c r="Z721" i="123" s="1"/>
  <c r="AB721" i="123"/>
  <c r="AD721" i="123" s="1"/>
  <c r="AJ721" i="123"/>
  <c r="AK721" i="123"/>
  <c r="AL721" i="123"/>
  <c r="AO721" i="123"/>
  <c r="AP721" i="123"/>
  <c r="AT721" i="123"/>
  <c r="AU721" i="123"/>
  <c r="K722" i="123"/>
  <c r="L722" i="123"/>
  <c r="M722" i="123"/>
  <c r="N722" i="123"/>
  <c r="O722" i="123"/>
  <c r="P722" i="123"/>
  <c r="Q722" i="123"/>
  <c r="R722" i="123"/>
  <c r="T722" i="123" s="1"/>
  <c r="W722" i="123" s="1"/>
  <c r="S722" i="123"/>
  <c r="X722" i="123"/>
  <c r="Y722" i="123"/>
  <c r="Z722" i="123" s="1"/>
  <c r="AB722" i="123"/>
  <c r="AC722" i="123" s="1"/>
  <c r="AJ722" i="123"/>
  <c r="AK722" i="123"/>
  <c r="AL722" i="123"/>
  <c r="AO722" i="123"/>
  <c r="AP722" i="123"/>
  <c r="AT722" i="123"/>
  <c r="AU722" i="123"/>
  <c r="K723" i="123"/>
  <c r="L723" i="123"/>
  <c r="M723" i="123"/>
  <c r="N723" i="123"/>
  <c r="O723" i="123"/>
  <c r="P723" i="123"/>
  <c r="Q723" i="123"/>
  <c r="R723" i="123"/>
  <c r="T723" i="123" s="1"/>
  <c r="S723" i="123"/>
  <c r="X723" i="123"/>
  <c r="Y723" i="123"/>
  <c r="Z723" i="123" s="1"/>
  <c r="AB723" i="123"/>
  <c r="AC723" i="123" s="1"/>
  <c r="AJ723" i="123"/>
  <c r="AK723" i="123"/>
  <c r="AL723" i="123"/>
  <c r="AO723" i="123"/>
  <c r="AP723" i="123"/>
  <c r="AQ723" i="123" s="1"/>
  <c r="AT723" i="123"/>
  <c r="AU723" i="123"/>
  <c r="K724" i="123"/>
  <c r="L724" i="123"/>
  <c r="M724" i="123"/>
  <c r="N724" i="123"/>
  <c r="O724" i="123"/>
  <c r="P724" i="123"/>
  <c r="Q724" i="123"/>
  <c r="R724" i="123"/>
  <c r="T724" i="123" s="1"/>
  <c r="S724" i="123"/>
  <c r="X724" i="123"/>
  <c r="Y724" i="123"/>
  <c r="AA724" i="123" s="1"/>
  <c r="AB724" i="123"/>
  <c r="AC724" i="123" s="1"/>
  <c r="AJ724" i="123"/>
  <c r="AK724" i="123"/>
  <c r="AL724" i="123"/>
  <c r="AO724" i="123"/>
  <c r="AP724" i="123"/>
  <c r="AQ724" i="123" s="1"/>
  <c r="AT724" i="123"/>
  <c r="AU724" i="123"/>
  <c r="K725" i="123"/>
  <c r="L725" i="123"/>
  <c r="M725" i="123"/>
  <c r="N725" i="123"/>
  <c r="O725" i="123"/>
  <c r="P725" i="123"/>
  <c r="Q725" i="123"/>
  <c r="R725" i="123"/>
  <c r="T725" i="123" s="1"/>
  <c r="V725" i="123" s="1"/>
  <c r="S725" i="123"/>
  <c r="X725" i="123"/>
  <c r="Y725" i="123"/>
  <c r="Z725" i="123" s="1"/>
  <c r="AB725" i="123"/>
  <c r="AD725" i="123" s="1"/>
  <c r="AJ725" i="123"/>
  <c r="AK725" i="123"/>
  <c r="AL725" i="123"/>
  <c r="AO725" i="123"/>
  <c r="AP725" i="123"/>
  <c r="AT725" i="123"/>
  <c r="AU725" i="123"/>
  <c r="K726" i="123"/>
  <c r="L726" i="123"/>
  <c r="M726" i="123"/>
  <c r="N726" i="123"/>
  <c r="O726" i="123"/>
  <c r="P726" i="123"/>
  <c r="Q726" i="123"/>
  <c r="R726" i="123"/>
  <c r="T726" i="123" s="1"/>
  <c r="W726" i="123" s="1"/>
  <c r="S726" i="123"/>
  <c r="X726" i="123"/>
  <c r="Y726" i="123"/>
  <c r="Z726" i="123" s="1"/>
  <c r="AB726" i="123"/>
  <c r="AC726" i="123" s="1"/>
  <c r="AJ726" i="123"/>
  <c r="AK726" i="123"/>
  <c r="AL726" i="123"/>
  <c r="AO726" i="123"/>
  <c r="AP726" i="123"/>
  <c r="AT726" i="123"/>
  <c r="AU726" i="123"/>
  <c r="K727" i="123"/>
  <c r="L727" i="123"/>
  <c r="M727" i="123"/>
  <c r="N727" i="123"/>
  <c r="O727" i="123"/>
  <c r="P727" i="123"/>
  <c r="Q727" i="123"/>
  <c r="R727" i="123"/>
  <c r="T727" i="123" s="1"/>
  <c r="S727" i="123"/>
  <c r="X727" i="123"/>
  <c r="Y727" i="123"/>
  <c r="Z727" i="123" s="1"/>
  <c r="AB727" i="123"/>
  <c r="AC727" i="123" s="1"/>
  <c r="AJ727" i="123"/>
  <c r="AK727" i="123"/>
  <c r="AL727" i="123"/>
  <c r="AO727" i="123"/>
  <c r="AP727" i="123"/>
  <c r="AQ727" i="123" s="1"/>
  <c r="AT727" i="123"/>
  <c r="AU727" i="123"/>
  <c r="K728" i="123"/>
  <c r="L728" i="123"/>
  <c r="M728" i="123"/>
  <c r="N728" i="123"/>
  <c r="O728" i="123"/>
  <c r="P728" i="123"/>
  <c r="Q728" i="123"/>
  <c r="R728" i="123"/>
  <c r="T728" i="123" s="1"/>
  <c r="S728" i="123"/>
  <c r="X728" i="123"/>
  <c r="Y728" i="123"/>
  <c r="AA728" i="123" s="1"/>
  <c r="AB728" i="123"/>
  <c r="AC728" i="123" s="1"/>
  <c r="AJ728" i="123"/>
  <c r="AK728" i="123"/>
  <c r="AL728" i="123"/>
  <c r="AO728" i="123"/>
  <c r="AP728" i="123"/>
  <c r="AQ728" i="123" s="1"/>
  <c r="AT728" i="123"/>
  <c r="AU728" i="123"/>
  <c r="K729" i="123"/>
  <c r="L729" i="123"/>
  <c r="M729" i="123"/>
  <c r="N729" i="123"/>
  <c r="O729" i="123"/>
  <c r="P729" i="123"/>
  <c r="Q729" i="123"/>
  <c r="R729" i="123"/>
  <c r="T729" i="123" s="1"/>
  <c r="V729" i="123" s="1"/>
  <c r="S729" i="123"/>
  <c r="X729" i="123"/>
  <c r="Y729" i="123"/>
  <c r="Z729" i="123" s="1"/>
  <c r="AB729" i="123"/>
  <c r="AD729" i="123" s="1"/>
  <c r="AJ729" i="123"/>
  <c r="AK729" i="123"/>
  <c r="AL729" i="123"/>
  <c r="AO729" i="123"/>
  <c r="AP729" i="123"/>
  <c r="AT729" i="123"/>
  <c r="AU729" i="123"/>
  <c r="K730" i="123"/>
  <c r="L730" i="123"/>
  <c r="M730" i="123"/>
  <c r="N730" i="123"/>
  <c r="O730" i="123"/>
  <c r="P730" i="123"/>
  <c r="Q730" i="123"/>
  <c r="R730" i="123"/>
  <c r="T730" i="123" s="1"/>
  <c r="W730" i="123" s="1"/>
  <c r="S730" i="123"/>
  <c r="X730" i="123"/>
  <c r="Y730" i="123"/>
  <c r="AA730" i="123" s="1"/>
  <c r="AB730" i="123"/>
  <c r="AC730" i="123" s="1"/>
  <c r="AJ730" i="123"/>
  <c r="AK730" i="123"/>
  <c r="AL730" i="123"/>
  <c r="AO730" i="123"/>
  <c r="AP730" i="123"/>
  <c r="AT730" i="123"/>
  <c r="AU730" i="123"/>
  <c r="K731" i="123"/>
  <c r="L731" i="123"/>
  <c r="M731" i="123"/>
  <c r="N731" i="123"/>
  <c r="O731" i="123"/>
  <c r="P731" i="123"/>
  <c r="Q731" i="123"/>
  <c r="R731" i="123"/>
  <c r="T731" i="123" s="1"/>
  <c r="S731" i="123"/>
  <c r="X731" i="123"/>
  <c r="Y731" i="123"/>
  <c r="Z731" i="123" s="1"/>
  <c r="AB731" i="123"/>
  <c r="AC731" i="123" s="1"/>
  <c r="AJ731" i="123"/>
  <c r="AK731" i="123"/>
  <c r="AL731" i="123"/>
  <c r="AO731" i="123"/>
  <c r="AP731" i="123"/>
  <c r="AQ731" i="123" s="1"/>
  <c r="AT731" i="123"/>
  <c r="AU731" i="123"/>
  <c r="K732" i="123"/>
  <c r="L732" i="123"/>
  <c r="M732" i="123"/>
  <c r="N732" i="123"/>
  <c r="O732" i="123"/>
  <c r="P732" i="123"/>
  <c r="Q732" i="123"/>
  <c r="R732" i="123"/>
  <c r="T732" i="123" s="1"/>
  <c r="S732" i="123"/>
  <c r="X732" i="123"/>
  <c r="Y732" i="123"/>
  <c r="AA732" i="123" s="1"/>
  <c r="AB732" i="123"/>
  <c r="AC732" i="123" s="1"/>
  <c r="AJ732" i="123"/>
  <c r="AK732" i="123"/>
  <c r="AL732" i="123"/>
  <c r="AO732" i="123"/>
  <c r="AP732" i="123"/>
  <c r="AQ732" i="123" s="1"/>
  <c r="AT732" i="123"/>
  <c r="AU732" i="123"/>
  <c r="K733" i="123"/>
  <c r="L733" i="123"/>
  <c r="M733" i="123"/>
  <c r="N733" i="123"/>
  <c r="O733" i="123"/>
  <c r="P733" i="123"/>
  <c r="Q733" i="123"/>
  <c r="R733" i="123"/>
  <c r="T733" i="123" s="1"/>
  <c r="S733" i="123"/>
  <c r="X733" i="123"/>
  <c r="Y733" i="123"/>
  <c r="Z733" i="123" s="1"/>
  <c r="AB733" i="123"/>
  <c r="AD733" i="123" s="1"/>
  <c r="AJ733" i="123"/>
  <c r="AK733" i="123"/>
  <c r="AL733" i="123"/>
  <c r="AO733" i="123"/>
  <c r="AP733" i="123"/>
  <c r="AT733" i="123"/>
  <c r="AU733" i="123"/>
  <c r="K734" i="123"/>
  <c r="L734" i="123"/>
  <c r="M734" i="123"/>
  <c r="N734" i="123"/>
  <c r="O734" i="123"/>
  <c r="P734" i="123"/>
  <c r="Q734" i="123"/>
  <c r="R734" i="123"/>
  <c r="T734" i="123" s="1"/>
  <c r="W734" i="123" s="1"/>
  <c r="S734" i="123"/>
  <c r="X734" i="123"/>
  <c r="Y734" i="123"/>
  <c r="AA734" i="123" s="1"/>
  <c r="AB734" i="123"/>
  <c r="AC734" i="123" s="1"/>
  <c r="AJ734" i="123"/>
  <c r="AK734" i="123"/>
  <c r="AL734" i="123"/>
  <c r="AO734" i="123"/>
  <c r="AP734" i="123"/>
  <c r="AT734" i="123"/>
  <c r="AU734" i="123"/>
  <c r="K735" i="123"/>
  <c r="L735" i="123"/>
  <c r="M735" i="123"/>
  <c r="N735" i="123"/>
  <c r="O735" i="123"/>
  <c r="P735" i="123"/>
  <c r="Q735" i="123"/>
  <c r="R735" i="123"/>
  <c r="T735" i="123" s="1"/>
  <c r="S735" i="123"/>
  <c r="X735" i="123"/>
  <c r="Y735" i="123"/>
  <c r="Z735" i="123" s="1"/>
  <c r="AB735" i="123"/>
  <c r="AC735" i="123" s="1"/>
  <c r="AJ735" i="123"/>
  <c r="AK735" i="123"/>
  <c r="AL735" i="123"/>
  <c r="AO735" i="123"/>
  <c r="AP735" i="123"/>
  <c r="AQ735" i="123" s="1"/>
  <c r="AT735" i="123"/>
  <c r="AU735" i="123"/>
  <c r="K736" i="123"/>
  <c r="L736" i="123"/>
  <c r="M736" i="123"/>
  <c r="N736" i="123"/>
  <c r="O736" i="123"/>
  <c r="P736" i="123"/>
  <c r="Q736" i="123"/>
  <c r="R736" i="123"/>
  <c r="T736" i="123" s="1"/>
  <c r="S736" i="123"/>
  <c r="X736" i="123"/>
  <c r="Y736" i="123"/>
  <c r="AB736" i="123"/>
  <c r="AC736" i="123" s="1"/>
  <c r="AJ736" i="123"/>
  <c r="AK736" i="123"/>
  <c r="AL736" i="123"/>
  <c r="AO736" i="123"/>
  <c r="AP736" i="123"/>
  <c r="AQ736" i="123" s="1"/>
  <c r="AT736" i="123"/>
  <c r="AU736" i="123"/>
  <c r="K737" i="123"/>
  <c r="L737" i="123"/>
  <c r="M737" i="123"/>
  <c r="N737" i="123"/>
  <c r="O737" i="123"/>
  <c r="P737" i="123"/>
  <c r="Q737" i="123"/>
  <c r="R737" i="123"/>
  <c r="T737" i="123" s="1"/>
  <c r="S737" i="123"/>
  <c r="X737" i="123"/>
  <c r="Y737" i="123"/>
  <c r="Z737" i="123" s="1"/>
  <c r="AB737" i="123"/>
  <c r="AD737" i="123" s="1"/>
  <c r="AJ737" i="123"/>
  <c r="AK737" i="123"/>
  <c r="AL737" i="123"/>
  <c r="AO737" i="123"/>
  <c r="AP737" i="123"/>
  <c r="AT737" i="123"/>
  <c r="AU737" i="123"/>
  <c r="K738" i="123"/>
  <c r="L738" i="123"/>
  <c r="M738" i="123"/>
  <c r="N738" i="123"/>
  <c r="O738" i="123"/>
  <c r="P738" i="123"/>
  <c r="Q738" i="123"/>
  <c r="R738" i="123"/>
  <c r="T738" i="123" s="1"/>
  <c r="W738" i="123" s="1"/>
  <c r="S738" i="123"/>
  <c r="X738" i="123"/>
  <c r="Y738" i="123"/>
  <c r="Z738" i="123" s="1"/>
  <c r="AB738" i="123"/>
  <c r="AC738" i="123" s="1"/>
  <c r="AJ738" i="123"/>
  <c r="AK738" i="123"/>
  <c r="AL738" i="123"/>
  <c r="AO738" i="123"/>
  <c r="AP738" i="123"/>
  <c r="AT738" i="123"/>
  <c r="AU738" i="123"/>
  <c r="K739" i="123"/>
  <c r="L739" i="123"/>
  <c r="M739" i="123"/>
  <c r="N739" i="123"/>
  <c r="O739" i="123"/>
  <c r="P739" i="123"/>
  <c r="Q739" i="123"/>
  <c r="R739" i="123"/>
  <c r="T739" i="123" s="1"/>
  <c r="S739" i="123"/>
  <c r="X739" i="123"/>
  <c r="Y739" i="123"/>
  <c r="Z739" i="123" s="1"/>
  <c r="AB739" i="123"/>
  <c r="AC739" i="123" s="1"/>
  <c r="AJ739" i="123"/>
  <c r="AK739" i="123"/>
  <c r="AL739" i="123"/>
  <c r="AO739" i="123"/>
  <c r="AP739" i="123"/>
  <c r="AQ739" i="123" s="1"/>
  <c r="AT739" i="123"/>
  <c r="AU739" i="123"/>
  <c r="K740" i="123"/>
  <c r="L740" i="123"/>
  <c r="M740" i="123"/>
  <c r="N740" i="123"/>
  <c r="O740" i="123"/>
  <c r="P740" i="123"/>
  <c r="Q740" i="123"/>
  <c r="R740" i="123"/>
  <c r="T740" i="123" s="1"/>
  <c r="S740" i="123"/>
  <c r="X740" i="123"/>
  <c r="Y740" i="123"/>
  <c r="AA740" i="123" s="1"/>
  <c r="AB740" i="123"/>
  <c r="AC740" i="123" s="1"/>
  <c r="AJ740" i="123"/>
  <c r="AK740" i="123"/>
  <c r="AL740" i="123"/>
  <c r="AO740" i="123"/>
  <c r="AP740" i="123"/>
  <c r="AQ740" i="123" s="1"/>
  <c r="AT740" i="123"/>
  <c r="AU740" i="123"/>
  <c r="K741" i="123"/>
  <c r="L741" i="123"/>
  <c r="M741" i="123"/>
  <c r="N741" i="123"/>
  <c r="O741" i="123"/>
  <c r="P741" i="123"/>
  <c r="Q741" i="123"/>
  <c r="R741" i="123"/>
  <c r="T741" i="123" s="1"/>
  <c r="S741" i="123"/>
  <c r="X741" i="123"/>
  <c r="Y741" i="123"/>
  <c r="Z741" i="123" s="1"/>
  <c r="AB741" i="123"/>
  <c r="AD741" i="123" s="1"/>
  <c r="AJ741" i="123"/>
  <c r="AK741" i="123"/>
  <c r="AL741" i="123"/>
  <c r="AO741" i="123"/>
  <c r="AP741" i="123"/>
  <c r="AT741" i="123"/>
  <c r="AU741" i="123"/>
  <c r="K742" i="123"/>
  <c r="L742" i="123"/>
  <c r="M742" i="123"/>
  <c r="N742" i="123"/>
  <c r="O742" i="123"/>
  <c r="P742" i="123"/>
  <c r="Q742" i="123"/>
  <c r="R742" i="123"/>
  <c r="T742" i="123" s="1"/>
  <c r="W742" i="123" s="1"/>
  <c r="S742" i="123"/>
  <c r="X742" i="123"/>
  <c r="Y742" i="123"/>
  <c r="AA742" i="123" s="1"/>
  <c r="AB742" i="123"/>
  <c r="AC742" i="123" s="1"/>
  <c r="AJ742" i="123"/>
  <c r="AK742" i="123"/>
  <c r="AL742" i="123"/>
  <c r="AO742" i="123"/>
  <c r="AP742" i="123"/>
  <c r="AT742" i="123"/>
  <c r="AU742" i="123"/>
  <c r="K743" i="123"/>
  <c r="L743" i="123"/>
  <c r="M743" i="123"/>
  <c r="N743" i="123"/>
  <c r="O743" i="123"/>
  <c r="P743" i="123"/>
  <c r="Q743" i="123"/>
  <c r="R743" i="123"/>
  <c r="T743" i="123" s="1"/>
  <c r="S743" i="123"/>
  <c r="X743" i="123"/>
  <c r="Y743" i="123"/>
  <c r="Z743" i="123" s="1"/>
  <c r="AB743" i="123"/>
  <c r="AC743" i="123" s="1"/>
  <c r="AJ743" i="123"/>
  <c r="AK743" i="123"/>
  <c r="AL743" i="123"/>
  <c r="AO743" i="123"/>
  <c r="AP743" i="123"/>
  <c r="AQ743" i="123" s="1"/>
  <c r="AT743" i="123"/>
  <c r="AU743" i="123"/>
  <c r="K744" i="123"/>
  <c r="L744" i="123"/>
  <c r="M744" i="123"/>
  <c r="N744" i="123"/>
  <c r="O744" i="123"/>
  <c r="P744" i="123"/>
  <c r="Q744" i="123"/>
  <c r="R744" i="123"/>
  <c r="T744" i="123" s="1"/>
  <c r="S744" i="123"/>
  <c r="X744" i="123"/>
  <c r="Y744" i="123"/>
  <c r="AA744" i="123" s="1"/>
  <c r="AB744" i="123"/>
  <c r="AC744" i="123" s="1"/>
  <c r="AJ744" i="123"/>
  <c r="AK744" i="123"/>
  <c r="AL744" i="123"/>
  <c r="AO744" i="123"/>
  <c r="AP744" i="123"/>
  <c r="AQ744" i="123" s="1"/>
  <c r="AT744" i="123"/>
  <c r="AU744" i="123"/>
  <c r="K745" i="123"/>
  <c r="L745" i="123"/>
  <c r="M745" i="123"/>
  <c r="N745" i="123"/>
  <c r="O745" i="123"/>
  <c r="P745" i="123"/>
  <c r="Q745" i="123"/>
  <c r="R745" i="123"/>
  <c r="T745" i="123" s="1"/>
  <c r="S745" i="123"/>
  <c r="X745" i="123"/>
  <c r="Y745" i="123"/>
  <c r="Z745" i="123" s="1"/>
  <c r="AB745" i="123"/>
  <c r="AD745" i="123" s="1"/>
  <c r="AJ745" i="123"/>
  <c r="AK745" i="123"/>
  <c r="AL745" i="123"/>
  <c r="AO745" i="123"/>
  <c r="AP745" i="123"/>
  <c r="AT745" i="123"/>
  <c r="AU745" i="123"/>
  <c r="K746" i="123"/>
  <c r="L746" i="123"/>
  <c r="M746" i="123"/>
  <c r="N746" i="123"/>
  <c r="O746" i="123"/>
  <c r="P746" i="123"/>
  <c r="Q746" i="123"/>
  <c r="R746" i="123"/>
  <c r="T746" i="123" s="1"/>
  <c r="W746" i="123" s="1"/>
  <c r="S746" i="123"/>
  <c r="X746" i="123"/>
  <c r="Y746" i="123"/>
  <c r="AA746" i="123" s="1"/>
  <c r="AB746" i="123"/>
  <c r="AC746" i="123" s="1"/>
  <c r="AJ746" i="123"/>
  <c r="AK746" i="123"/>
  <c r="AL746" i="123"/>
  <c r="AO746" i="123"/>
  <c r="AP746" i="123"/>
  <c r="AQ746" i="123" s="1"/>
  <c r="AT746" i="123"/>
  <c r="AU746" i="123"/>
  <c r="K747" i="123"/>
  <c r="L747" i="123"/>
  <c r="M747" i="123"/>
  <c r="N747" i="123"/>
  <c r="O747" i="123"/>
  <c r="P747" i="123"/>
  <c r="Q747" i="123"/>
  <c r="R747" i="123"/>
  <c r="T747" i="123" s="1"/>
  <c r="S747" i="123"/>
  <c r="X747" i="123"/>
  <c r="Y747" i="123"/>
  <c r="Z747" i="123" s="1"/>
  <c r="AB747" i="123"/>
  <c r="AC747" i="123" s="1"/>
  <c r="AJ747" i="123"/>
  <c r="AK747" i="123"/>
  <c r="AL747" i="123"/>
  <c r="AO747" i="123"/>
  <c r="AP747" i="123"/>
  <c r="AQ747" i="123" s="1"/>
  <c r="AT747" i="123"/>
  <c r="AU747" i="123"/>
  <c r="K748" i="123"/>
  <c r="L748" i="123"/>
  <c r="M748" i="123"/>
  <c r="N748" i="123"/>
  <c r="O748" i="123"/>
  <c r="P748" i="123"/>
  <c r="Q748" i="123"/>
  <c r="R748" i="123"/>
  <c r="T748" i="123" s="1"/>
  <c r="S748" i="123"/>
  <c r="X748" i="123"/>
  <c r="Y748" i="123"/>
  <c r="AA748" i="123" s="1"/>
  <c r="AB748" i="123"/>
  <c r="AC748" i="123" s="1"/>
  <c r="AJ748" i="123"/>
  <c r="AK748" i="123"/>
  <c r="AL748" i="123"/>
  <c r="AO748" i="123"/>
  <c r="AP748" i="123"/>
  <c r="AQ748" i="123" s="1"/>
  <c r="AT748" i="123"/>
  <c r="AU748" i="123"/>
  <c r="K749" i="123"/>
  <c r="L749" i="123"/>
  <c r="M749" i="123"/>
  <c r="N749" i="123"/>
  <c r="O749" i="123"/>
  <c r="P749" i="123"/>
  <c r="Q749" i="123"/>
  <c r="R749" i="123"/>
  <c r="T749" i="123" s="1"/>
  <c r="V749" i="123" s="1"/>
  <c r="S749" i="123"/>
  <c r="X749" i="123"/>
  <c r="Y749" i="123"/>
  <c r="Z749" i="123" s="1"/>
  <c r="AB749" i="123"/>
  <c r="AD749" i="123" s="1"/>
  <c r="AJ749" i="123"/>
  <c r="AK749" i="123"/>
  <c r="AL749" i="123"/>
  <c r="AO749" i="123"/>
  <c r="AP749" i="123"/>
  <c r="AT749" i="123"/>
  <c r="AU749" i="123"/>
  <c r="K750" i="123"/>
  <c r="L750" i="123"/>
  <c r="M750" i="123"/>
  <c r="N750" i="123"/>
  <c r="O750" i="123"/>
  <c r="P750" i="123"/>
  <c r="Q750" i="123"/>
  <c r="R750" i="123"/>
  <c r="T750" i="123" s="1"/>
  <c r="W750" i="123" s="1"/>
  <c r="S750" i="123"/>
  <c r="X750" i="123"/>
  <c r="Y750" i="123"/>
  <c r="Z750" i="123" s="1"/>
  <c r="AB750" i="123"/>
  <c r="AC750" i="123" s="1"/>
  <c r="AJ750" i="123"/>
  <c r="AK750" i="123"/>
  <c r="AL750" i="123"/>
  <c r="AO750" i="123"/>
  <c r="AP750" i="123"/>
  <c r="AT750" i="123"/>
  <c r="AU750" i="123"/>
  <c r="K751" i="123"/>
  <c r="L751" i="123"/>
  <c r="M751" i="123"/>
  <c r="N751" i="123"/>
  <c r="O751" i="123"/>
  <c r="P751" i="123"/>
  <c r="Q751" i="123"/>
  <c r="R751" i="123"/>
  <c r="T751" i="123" s="1"/>
  <c r="S751" i="123"/>
  <c r="X751" i="123"/>
  <c r="Y751" i="123"/>
  <c r="AA751" i="123" s="1"/>
  <c r="AB751" i="123"/>
  <c r="AC751" i="123" s="1"/>
  <c r="AJ751" i="123"/>
  <c r="AK751" i="123"/>
  <c r="AL751" i="123"/>
  <c r="AO751" i="123"/>
  <c r="AP751" i="123"/>
  <c r="AT751" i="123"/>
  <c r="AU751" i="123"/>
  <c r="K752" i="123"/>
  <c r="L752" i="123"/>
  <c r="M752" i="123"/>
  <c r="N752" i="123"/>
  <c r="O752" i="123"/>
  <c r="P752" i="123"/>
  <c r="Q752" i="123"/>
  <c r="R752" i="123"/>
  <c r="T752" i="123" s="1"/>
  <c r="S752" i="123"/>
  <c r="X752" i="123"/>
  <c r="Y752" i="123"/>
  <c r="AA752" i="123" s="1"/>
  <c r="AB752" i="123"/>
  <c r="AC752" i="123" s="1"/>
  <c r="AJ752" i="123"/>
  <c r="AK752" i="123"/>
  <c r="AL752" i="123"/>
  <c r="AO752" i="123"/>
  <c r="AP752" i="123"/>
  <c r="AQ752" i="123" s="1"/>
  <c r="AT752" i="123"/>
  <c r="AU752" i="123"/>
  <c r="K753" i="123"/>
  <c r="L753" i="123"/>
  <c r="M753" i="123"/>
  <c r="N753" i="123"/>
  <c r="O753" i="123"/>
  <c r="P753" i="123"/>
  <c r="Q753" i="123"/>
  <c r="R753" i="123"/>
  <c r="T753" i="123" s="1"/>
  <c r="V753" i="123" s="1"/>
  <c r="S753" i="123"/>
  <c r="X753" i="123"/>
  <c r="Y753" i="123"/>
  <c r="Z753" i="123" s="1"/>
  <c r="AB753" i="123"/>
  <c r="AD753" i="123" s="1"/>
  <c r="AJ753" i="123"/>
  <c r="AK753" i="123"/>
  <c r="AL753" i="123"/>
  <c r="AO753" i="123"/>
  <c r="AP753" i="123"/>
  <c r="AT753" i="123"/>
  <c r="AU753" i="123"/>
  <c r="K754" i="123"/>
  <c r="L754" i="123"/>
  <c r="M754" i="123"/>
  <c r="N754" i="123"/>
  <c r="O754" i="123"/>
  <c r="P754" i="123"/>
  <c r="Q754" i="123"/>
  <c r="R754" i="123"/>
  <c r="T754" i="123" s="1"/>
  <c r="W754" i="123" s="1"/>
  <c r="S754" i="123"/>
  <c r="X754" i="123"/>
  <c r="Y754" i="123"/>
  <c r="Z754" i="123" s="1"/>
  <c r="AB754" i="123"/>
  <c r="AC754" i="123" s="1"/>
  <c r="AJ754" i="123"/>
  <c r="AK754" i="123"/>
  <c r="AL754" i="123"/>
  <c r="AO754" i="123"/>
  <c r="AP754" i="123"/>
  <c r="AT754" i="123"/>
  <c r="AU754" i="123"/>
  <c r="K755" i="123"/>
  <c r="L755" i="123"/>
  <c r="M755" i="123"/>
  <c r="N755" i="123"/>
  <c r="O755" i="123"/>
  <c r="P755" i="123"/>
  <c r="Q755" i="123"/>
  <c r="R755" i="123"/>
  <c r="T755" i="123" s="1"/>
  <c r="S755" i="123"/>
  <c r="X755" i="123"/>
  <c r="Y755" i="123"/>
  <c r="Z755" i="123" s="1"/>
  <c r="AB755" i="123"/>
  <c r="AC755" i="123" s="1"/>
  <c r="AJ755" i="123"/>
  <c r="AK755" i="123"/>
  <c r="AL755" i="123"/>
  <c r="AO755" i="123"/>
  <c r="AP755" i="123"/>
  <c r="AQ755" i="123" s="1"/>
  <c r="AT755" i="123"/>
  <c r="AU755" i="123"/>
  <c r="K756" i="123"/>
  <c r="L756" i="123"/>
  <c r="M756" i="123"/>
  <c r="N756" i="123"/>
  <c r="O756" i="123"/>
  <c r="P756" i="123"/>
  <c r="Q756" i="123"/>
  <c r="R756" i="123"/>
  <c r="T756" i="123" s="1"/>
  <c r="S756" i="123"/>
  <c r="X756" i="123"/>
  <c r="Y756" i="123"/>
  <c r="AA756" i="123" s="1"/>
  <c r="AB756" i="123"/>
  <c r="AC756" i="123" s="1"/>
  <c r="AJ756" i="123"/>
  <c r="AK756" i="123"/>
  <c r="AL756" i="123"/>
  <c r="AO756" i="123"/>
  <c r="AP756" i="123"/>
  <c r="AQ756" i="123" s="1"/>
  <c r="AT756" i="123"/>
  <c r="AU756" i="123"/>
  <c r="K757" i="123"/>
  <c r="L757" i="123"/>
  <c r="M757" i="123"/>
  <c r="N757" i="123"/>
  <c r="O757" i="123"/>
  <c r="P757" i="123"/>
  <c r="Q757" i="123"/>
  <c r="R757" i="123"/>
  <c r="T757" i="123" s="1"/>
  <c r="S757" i="123"/>
  <c r="X757" i="123"/>
  <c r="Y757" i="123"/>
  <c r="Z757" i="123" s="1"/>
  <c r="AB757" i="123"/>
  <c r="AJ757" i="123"/>
  <c r="AK757" i="123"/>
  <c r="AL757" i="123"/>
  <c r="AO757" i="123"/>
  <c r="AP757" i="123"/>
  <c r="AT757" i="123"/>
  <c r="AU757" i="123"/>
  <c r="K758" i="123"/>
  <c r="L758" i="123"/>
  <c r="M758" i="123"/>
  <c r="N758" i="123"/>
  <c r="O758" i="123"/>
  <c r="P758" i="123"/>
  <c r="Q758" i="123"/>
  <c r="R758" i="123"/>
  <c r="T758" i="123" s="1"/>
  <c r="W758" i="123" s="1"/>
  <c r="S758" i="123"/>
  <c r="X758" i="123"/>
  <c r="Y758" i="123"/>
  <c r="AA758" i="123" s="1"/>
  <c r="AB758" i="123"/>
  <c r="AC758" i="123" s="1"/>
  <c r="AJ758" i="123"/>
  <c r="AK758" i="123"/>
  <c r="AL758" i="123"/>
  <c r="AO758" i="123"/>
  <c r="AP758" i="123"/>
  <c r="AT758" i="123"/>
  <c r="AU758" i="123"/>
  <c r="K759" i="123"/>
  <c r="L759" i="123"/>
  <c r="M759" i="123"/>
  <c r="N759" i="123"/>
  <c r="O759" i="123"/>
  <c r="P759" i="123"/>
  <c r="Q759" i="123"/>
  <c r="R759" i="123"/>
  <c r="T759" i="123" s="1"/>
  <c r="S759" i="123"/>
  <c r="X759" i="123"/>
  <c r="Y759" i="123"/>
  <c r="Z759" i="123" s="1"/>
  <c r="AB759" i="123"/>
  <c r="AJ759" i="123"/>
  <c r="AK759" i="123"/>
  <c r="AL759" i="123"/>
  <c r="AO759" i="123"/>
  <c r="AP759" i="123"/>
  <c r="AQ759" i="123" s="1"/>
  <c r="AT759" i="123"/>
  <c r="AU759" i="123"/>
  <c r="K760" i="123"/>
  <c r="L760" i="123"/>
  <c r="M760" i="123"/>
  <c r="N760" i="123"/>
  <c r="O760" i="123"/>
  <c r="P760" i="123"/>
  <c r="Q760" i="123"/>
  <c r="R760" i="123"/>
  <c r="T760" i="123" s="1"/>
  <c r="S760" i="123"/>
  <c r="X760" i="123"/>
  <c r="Y760" i="123"/>
  <c r="AB760" i="123"/>
  <c r="AC760" i="123" s="1"/>
  <c r="AJ760" i="123"/>
  <c r="AK760" i="123"/>
  <c r="AL760" i="123"/>
  <c r="AO760" i="123"/>
  <c r="AP760" i="123"/>
  <c r="AQ760" i="123" s="1"/>
  <c r="AT760" i="123"/>
  <c r="AU760" i="123"/>
  <c r="K761" i="123"/>
  <c r="L761" i="123"/>
  <c r="M761" i="123"/>
  <c r="N761" i="123"/>
  <c r="O761" i="123"/>
  <c r="P761" i="123"/>
  <c r="Q761" i="123"/>
  <c r="R761" i="123"/>
  <c r="T761" i="123" s="1"/>
  <c r="S761" i="123"/>
  <c r="X761" i="123"/>
  <c r="Y761" i="123"/>
  <c r="Z761" i="123" s="1"/>
  <c r="AB761" i="123"/>
  <c r="AD761" i="123" s="1"/>
  <c r="AJ761" i="123"/>
  <c r="AK761" i="123"/>
  <c r="AL761" i="123"/>
  <c r="AO761" i="123"/>
  <c r="AP761" i="123"/>
  <c r="AT761" i="123"/>
  <c r="AU761" i="123"/>
  <c r="K762" i="123"/>
  <c r="L762" i="123"/>
  <c r="M762" i="123"/>
  <c r="N762" i="123"/>
  <c r="O762" i="123"/>
  <c r="P762" i="123"/>
  <c r="Q762" i="123"/>
  <c r="R762" i="123"/>
  <c r="T762" i="123" s="1"/>
  <c r="W762" i="123" s="1"/>
  <c r="S762" i="123"/>
  <c r="X762" i="123"/>
  <c r="Y762" i="123"/>
  <c r="AA762" i="123" s="1"/>
  <c r="AB762" i="123"/>
  <c r="AC762" i="123" s="1"/>
  <c r="AJ762" i="123"/>
  <c r="AK762" i="123"/>
  <c r="AL762" i="123"/>
  <c r="AO762" i="123"/>
  <c r="AP762" i="123"/>
  <c r="AT762" i="123"/>
  <c r="AU762" i="123"/>
  <c r="K763" i="123"/>
  <c r="L763" i="123"/>
  <c r="M763" i="123"/>
  <c r="N763" i="123"/>
  <c r="O763" i="123"/>
  <c r="P763" i="123"/>
  <c r="Q763" i="123"/>
  <c r="R763" i="123"/>
  <c r="T763" i="123" s="1"/>
  <c r="S763" i="123"/>
  <c r="X763" i="123"/>
  <c r="Y763" i="123"/>
  <c r="Z763" i="123" s="1"/>
  <c r="AB763" i="123"/>
  <c r="AC763" i="123" s="1"/>
  <c r="AJ763" i="123"/>
  <c r="AK763" i="123"/>
  <c r="AL763" i="123"/>
  <c r="AO763" i="123"/>
  <c r="AP763" i="123"/>
  <c r="AQ763" i="123" s="1"/>
  <c r="AT763" i="123"/>
  <c r="AU763" i="123"/>
  <c r="K764" i="123"/>
  <c r="L764" i="123"/>
  <c r="M764" i="123"/>
  <c r="N764" i="123"/>
  <c r="O764" i="123"/>
  <c r="P764" i="123"/>
  <c r="Q764" i="123"/>
  <c r="R764" i="123"/>
  <c r="T764" i="123" s="1"/>
  <c r="S764" i="123"/>
  <c r="X764" i="123"/>
  <c r="Y764" i="123"/>
  <c r="AA764" i="123" s="1"/>
  <c r="AB764" i="123"/>
  <c r="AC764" i="123" s="1"/>
  <c r="AJ764" i="123"/>
  <c r="AK764" i="123"/>
  <c r="AL764" i="123"/>
  <c r="AO764" i="123"/>
  <c r="AP764" i="123"/>
  <c r="AQ764" i="123" s="1"/>
  <c r="AT764" i="123"/>
  <c r="AU764" i="123"/>
  <c r="K765" i="123"/>
  <c r="L765" i="123"/>
  <c r="M765" i="123"/>
  <c r="N765" i="123"/>
  <c r="O765" i="123"/>
  <c r="P765" i="123"/>
  <c r="Q765" i="123"/>
  <c r="R765" i="123"/>
  <c r="T765" i="123" s="1"/>
  <c r="V765" i="123" s="1"/>
  <c r="S765" i="123"/>
  <c r="X765" i="123"/>
  <c r="Y765" i="123"/>
  <c r="Z765" i="123" s="1"/>
  <c r="AB765" i="123"/>
  <c r="AD765" i="123" s="1"/>
  <c r="AJ765" i="123"/>
  <c r="AK765" i="123"/>
  <c r="AL765" i="123"/>
  <c r="AO765" i="123"/>
  <c r="AP765" i="123"/>
  <c r="AT765" i="123"/>
  <c r="AU765" i="123"/>
  <c r="K766" i="123"/>
  <c r="L766" i="123"/>
  <c r="M766" i="123"/>
  <c r="N766" i="123"/>
  <c r="O766" i="123"/>
  <c r="P766" i="123"/>
  <c r="Q766" i="123"/>
  <c r="R766" i="123"/>
  <c r="T766" i="123" s="1"/>
  <c r="W766" i="123" s="1"/>
  <c r="S766" i="123"/>
  <c r="X766" i="123"/>
  <c r="Y766" i="123"/>
  <c r="Z766" i="123" s="1"/>
  <c r="AB766" i="123"/>
  <c r="AC766" i="123" s="1"/>
  <c r="AJ766" i="123"/>
  <c r="AK766" i="123"/>
  <c r="AL766" i="123"/>
  <c r="AO766" i="123"/>
  <c r="AP766" i="123"/>
  <c r="AT766" i="123"/>
  <c r="AU766" i="123"/>
  <c r="K767" i="123"/>
  <c r="L767" i="123"/>
  <c r="M767" i="123"/>
  <c r="N767" i="123"/>
  <c r="O767" i="123"/>
  <c r="P767" i="123"/>
  <c r="Q767" i="123"/>
  <c r="R767" i="123"/>
  <c r="T767" i="123" s="1"/>
  <c r="S767" i="123"/>
  <c r="X767" i="123"/>
  <c r="Y767" i="123"/>
  <c r="Z767" i="123" s="1"/>
  <c r="AB767" i="123"/>
  <c r="AJ767" i="123"/>
  <c r="AK767" i="123"/>
  <c r="AL767" i="123"/>
  <c r="AO767" i="123"/>
  <c r="AP767" i="123"/>
  <c r="AT767" i="123"/>
  <c r="AU767" i="123"/>
  <c r="K768" i="123"/>
  <c r="L768" i="123"/>
  <c r="M768" i="123"/>
  <c r="N768" i="123"/>
  <c r="O768" i="123"/>
  <c r="P768" i="123"/>
  <c r="Q768" i="123"/>
  <c r="R768" i="123"/>
  <c r="T768" i="123" s="1"/>
  <c r="S768" i="123"/>
  <c r="X768" i="123"/>
  <c r="Y768" i="123"/>
  <c r="AA768" i="123" s="1"/>
  <c r="AB768" i="123"/>
  <c r="AD768" i="123" s="1"/>
  <c r="AJ768" i="123"/>
  <c r="AK768" i="123"/>
  <c r="AL768" i="123"/>
  <c r="AO768" i="123"/>
  <c r="AP768" i="123"/>
  <c r="AQ768" i="123" s="1"/>
  <c r="AT768" i="123"/>
  <c r="AU768" i="123"/>
  <c r="K769" i="123"/>
  <c r="L769" i="123"/>
  <c r="M769" i="123"/>
  <c r="N769" i="123"/>
  <c r="O769" i="123"/>
  <c r="P769" i="123"/>
  <c r="Q769" i="123"/>
  <c r="R769" i="123"/>
  <c r="T769" i="123" s="1"/>
  <c r="V769" i="123" s="1"/>
  <c r="S769" i="123"/>
  <c r="X769" i="123"/>
  <c r="Y769" i="123"/>
  <c r="Z769" i="123" s="1"/>
  <c r="AB769" i="123"/>
  <c r="AD769" i="123" s="1"/>
  <c r="AJ769" i="123"/>
  <c r="AK769" i="123"/>
  <c r="AL769" i="123"/>
  <c r="AO769" i="123"/>
  <c r="AP769" i="123"/>
  <c r="AT769" i="123"/>
  <c r="AU769" i="123"/>
  <c r="K770" i="123"/>
  <c r="L770" i="123"/>
  <c r="M770" i="123"/>
  <c r="N770" i="123"/>
  <c r="O770" i="123"/>
  <c r="P770" i="123"/>
  <c r="Q770" i="123"/>
  <c r="R770" i="123"/>
  <c r="T770" i="123" s="1"/>
  <c r="W770" i="123" s="1"/>
  <c r="S770" i="123"/>
  <c r="X770" i="123"/>
  <c r="Y770" i="123"/>
  <c r="Z770" i="123" s="1"/>
  <c r="AB770" i="123"/>
  <c r="AC770" i="123" s="1"/>
  <c r="AJ770" i="123"/>
  <c r="AK770" i="123"/>
  <c r="AL770" i="123"/>
  <c r="AO770" i="123"/>
  <c r="AP770" i="123"/>
  <c r="AT770" i="123"/>
  <c r="AU770" i="123"/>
  <c r="K771" i="123"/>
  <c r="L771" i="123"/>
  <c r="M771" i="123"/>
  <c r="N771" i="123"/>
  <c r="O771" i="123"/>
  <c r="P771" i="123"/>
  <c r="Q771" i="123"/>
  <c r="R771" i="123"/>
  <c r="T771" i="123" s="1"/>
  <c r="S771" i="123"/>
  <c r="X771" i="123"/>
  <c r="Y771" i="123"/>
  <c r="AA771" i="123" s="1"/>
  <c r="AB771" i="123"/>
  <c r="AJ771" i="123"/>
  <c r="AK771" i="123"/>
  <c r="AL771" i="123"/>
  <c r="AO771" i="123"/>
  <c r="AP771" i="123"/>
  <c r="AT771" i="123"/>
  <c r="AU771" i="123"/>
  <c r="K772" i="123"/>
  <c r="L772" i="123"/>
  <c r="M772" i="123"/>
  <c r="N772" i="123"/>
  <c r="O772" i="123"/>
  <c r="P772" i="123"/>
  <c r="Q772" i="123"/>
  <c r="R772" i="123"/>
  <c r="T772" i="123" s="1"/>
  <c r="S772" i="123"/>
  <c r="X772" i="123"/>
  <c r="Y772" i="123"/>
  <c r="AA772" i="123" s="1"/>
  <c r="AB772" i="123"/>
  <c r="AJ772" i="123"/>
  <c r="AK772" i="123"/>
  <c r="AL772" i="123"/>
  <c r="AO772" i="123"/>
  <c r="AP772" i="123"/>
  <c r="AQ772" i="123" s="1"/>
  <c r="AT772" i="123"/>
  <c r="AU772" i="123"/>
  <c r="K773" i="123"/>
  <c r="L773" i="123"/>
  <c r="M773" i="123"/>
  <c r="N773" i="123"/>
  <c r="O773" i="123"/>
  <c r="P773" i="123"/>
  <c r="Q773" i="123"/>
  <c r="R773" i="123"/>
  <c r="T773" i="123" s="1"/>
  <c r="V773" i="123" s="1"/>
  <c r="S773" i="123"/>
  <c r="X773" i="123"/>
  <c r="Y773" i="123"/>
  <c r="Z773" i="123" s="1"/>
  <c r="AB773" i="123"/>
  <c r="AD773" i="123" s="1"/>
  <c r="AJ773" i="123"/>
  <c r="AK773" i="123"/>
  <c r="AL773" i="123"/>
  <c r="AO773" i="123"/>
  <c r="AP773" i="123"/>
  <c r="AT773" i="123"/>
  <c r="AU773" i="123"/>
  <c r="K774" i="123"/>
  <c r="L774" i="123"/>
  <c r="M774" i="123"/>
  <c r="N774" i="123"/>
  <c r="O774" i="123"/>
  <c r="P774" i="123"/>
  <c r="Q774" i="123"/>
  <c r="R774" i="123"/>
  <c r="T774" i="123" s="1"/>
  <c r="W774" i="123" s="1"/>
  <c r="S774" i="123"/>
  <c r="X774" i="123"/>
  <c r="Y774" i="123"/>
  <c r="Z774" i="123" s="1"/>
  <c r="AB774" i="123"/>
  <c r="AC774" i="123" s="1"/>
  <c r="AJ774" i="123"/>
  <c r="AK774" i="123"/>
  <c r="AL774" i="123"/>
  <c r="AO774" i="123"/>
  <c r="AP774" i="123"/>
  <c r="AQ774" i="123" s="1"/>
  <c r="AT774" i="123"/>
  <c r="AU774" i="123"/>
  <c r="K775" i="123"/>
  <c r="L775" i="123"/>
  <c r="M775" i="123"/>
  <c r="N775" i="123"/>
  <c r="O775" i="123"/>
  <c r="P775" i="123"/>
  <c r="Q775" i="123"/>
  <c r="R775" i="123"/>
  <c r="T775" i="123" s="1"/>
  <c r="S775" i="123"/>
  <c r="X775" i="123"/>
  <c r="Y775" i="123"/>
  <c r="Z775" i="123" s="1"/>
  <c r="AB775" i="123"/>
  <c r="AD775" i="123" s="1"/>
  <c r="AJ775" i="123"/>
  <c r="AK775" i="123"/>
  <c r="AL775" i="123"/>
  <c r="AO775" i="123"/>
  <c r="AP775" i="123"/>
  <c r="AQ775" i="123" s="1"/>
  <c r="AT775" i="123"/>
  <c r="AU775" i="123"/>
  <c r="K776" i="123"/>
  <c r="L776" i="123"/>
  <c r="M776" i="123"/>
  <c r="N776" i="123"/>
  <c r="O776" i="123"/>
  <c r="P776" i="123"/>
  <c r="Q776" i="123"/>
  <c r="R776" i="123"/>
  <c r="T776" i="123" s="1"/>
  <c r="S776" i="123"/>
  <c r="X776" i="123"/>
  <c r="Y776" i="123"/>
  <c r="AA776" i="123" s="1"/>
  <c r="AB776" i="123"/>
  <c r="AJ776" i="123"/>
  <c r="AK776" i="123"/>
  <c r="AL776" i="123"/>
  <c r="AO776" i="123"/>
  <c r="AP776" i="123"/>
  <c r="AQ776" i="123" s="1"/>
  <c r="AT776" i="123"/>
  <c r="AU776" i="123"/>
  <c r="K777" i="123"/>
  <c r="L777" i="123"/>
  <c r="M777" i="123"/>
  <c r="N777" i="123"/>
  <c r="O777" i="123"/>
  <c r="P777" i="123"/>
  <c r="Q777" i="123"/>
  <c r="R777" i="123"/>
  <c r="T777" i="123" s="1"/>
  <c r="S777" i="123"/>
  <c r="X777" i="123"/>
  <c r="Y777" i="123"/>
  <c r="Z777" i="123" s="1"/>
  <c r="AB777" i="123"/>
  <c r="AD777" i="123" s="1"/>
  <c r="AJ777" i="123"/>
  <c r="AK777" i="123"/>
  <c r="AL777" i="123"/>
  <c r="AO777" i="123"/>
  <c r="AP777" i="123"/>
  <c r="AT777" i="123"/>
  <c r="AU777" i="123"/>
  <c r="K778" i="123"/>
  <c r="L778" i="123"/>
  <c r="M778" i="123"/>
  <c r="N778" i="123"/>
  <c r="O778" i="123"/>
  <c r="P778" i="123"/>
  <c r="Q778" i="123"/>
  <c r="R778" i="123"/>
  <c r="T778" i="123" s="1"/>
  <c r="W778" i="123" s="1"/>
  <c r="S778" i="123"/>
  <c r="X778" i="123"/>
  <c r="Y778" i="123"/>
  <c r="AB778" i="123"/>
  <c r="AC778" i="123" s="1"/>
  <c r="AJ778" i="123"/>
  <c r="AK778" i="123"/>
  <c r="AL778" i="123"/>
  <c r="AO778" i="123"/>
  <c r="AP778" i="123"/>
  <c r="AQ778" i="123" s="1"/>
  <c r="AT778" i="123"/>
  <c r="AU778" i="123"/>
  <c r="K779" i="123"/>
  <c r="L779" i="123"/>
  <c r="M779" i="123"/>
  <c r="N779" i="123"/>
  <c r="O779" i="123"/>
  <c r="P779" i="123"/>
  <c r="Q779" i="123"/>
  <c r="R779" i="123"/>
  <c r="T779" i="123" s="1"/>
  <c r="S779" i="123"/>
  <c r="X779" i="123"/>
  <c r="Y779" i="123"/>
  <c r="AB779" i="123"/>
  <c r="AC779" i="123" s="1"/>
  <c r="AJ779" i="123"/>
  <c r="AK779" i="123"/>
  <c r="AL779" i="123"/>
  <c r="AO779" i="123"/>
  <c r="AP779" i="123"/>
  <c r="AQ779" i="123" s="1"/>
  <c r="AT779" i="123"/>
  <c r="AU779" i="123"/>
  <c r="K780" i="123"/>
  <c r="L780" i="123"/>
  <c r="M780" i="123"/>
  <c r="N780" i="123"/>
  <c r="O780" i="123"/>
  <c r="P780" i="123"/>
  <c r="Q780" i="123"/>
  <c r="R780" i="123"/>
  <c r="T780" i="123" s="1"/>
  <c r="S780" i="123"/>
  <c r="X780" i="123"/>
  <c r="Y780" i="123"/>
  <c r="AB780" i="123"/>
  <c r="AC780" i="123" s="1"/>
  <c r="AJ780" i="123"/>
  <c r="AK780" i="123"/>
  <c r="AL780" i="123"/>
  <c r="AO780" i="123"/>
  <c r="AP780" i="123"/>
  <c r="AQ780" i="123" s="1"/>
  <c r="AT780" i="123"/>
  <c r="AU780" i="123"/>
  <c r="K781" i="123"/>
  <c r="L781" i="123"/>
  <c r="M781" i="123"/>
  <c r="N781" i="123"/>
  <c r="O781" i="123"/>
  <c r="P781" i="123"/>
  <c r="Q781" i="123"/>
  <c r="R781" i="123"/>
  <c r="T781" i="123" s="1"/>
  <c r="S781" i="123"/>
  <c r="X781" i="123"/>
  <c r="Y781" i="123"/>
  <c r="Z781" i="123" s="1"/>
  <c r="AB781" i="123"/>
  <c r="AD781" i="123" s="1"/>
  <c r="AJ781" i="123"/>
  <c r="AK781" i="123"/>
  <c r="AL781" i="123"/>
  <c r="AO781" i="123"/>
  <c r="AP781" i="123"/>
  <c r="AT781" i="123"/>
  <c r="AU781" i="123"/>
  <c r="K782" i="123"/>
  <c r="L782" i="123"/>
  <c r="M782" i="123"/>
  <c r="N782" i="123"/>
  <c r="O782" i="123"/>
  <c r="P782" i="123"/>
  <c r="Q782" i="123"/>
  <c r="R782" i="123"/>
  <c r="T782" i="123" s="1"/>
  <c r="W782" i="123" s="1"/>
  <c r="S782" i="123"/>
  <c r="X782" i="123"/>
  <c r="Y782" i="123"/>
  <c r="AA782" i="123" s="1"/>
  <c r="AB782" i="123"/>
  <c r="AC782" i="123" s="1"/>
  <c r="AJ782" i="123"/>
  <c r="AK782" i="123"/>
  <c r="AL782" i="123"/>
  <c r="AO782" i="123"/>
  <c r="AP782" i="123"/>
  <c r="AQ782" i="123" s="1"/>
  <c r="AT782" i="123"/>
  <c r="AU782" i="123"/>
  <c r="K783" i="123"/>
  <c r="L783" i="123"/>
  <c r="M783" i="123"/>
  <c r="N783" i="123"/>
  <c r="O783" i="123"/>
  <c r="P783" i="123"/>
  <c r="Q783" i="123"/>
  <c r="R783" i="123"/>
  <c r="T783" i="123" s="1"/>
  <c r="S783" i="123"/>
  <c r="X783" i="123"/>
  <c r="Y783" i="123"/>
  <c r="Z783" i="123" s="1"/>
  <c r="AB783" i="123"/>
  <c r="AJ783" i="123"/>
  <c r="AK783" i="123"/>
  <c r="AL783" i="123"/>
  <c r="AO783" i="123"/>
  <c r="AP783" i="123"/>
  <c r="AQ783" i="123" s="1"/>
  <c r="AT783" i="123"/>
  <c r="AU783" i="123"/>
  <c r="K784" i="123"/>
  <c r="L784" i="123"/>
  <c r="M784" i="123"/>
  <c r="N784" i="123"/>
  <c r="O784" i="123"/>
  <c r="P784" i="123"/>
  <c r="Q784" i="123"/>
  <c r="R784" i="123"/>
  <c r="T784" i="123" s="1"/>
  <c r="S784" i="123"/>
  <c r="X784" i="123"/>
  <c r="Y784" i="123"/>
  <c r="AA784" i="123" s="1"/>
  <c r="AB784" i="123"/>
  <c r="AC784" i="123" s="1"/>
  <c r="AJ784" i="123"/>
  <c r="AK784" i="123"/>
  <c r="AL784" i="123"/>
  <c r="AO784" i="123"/>
  <c r="AP784" i="123"/>
  <c r="AQ784" i="123" s="1"/>
  <c r="AT784" i="123"/>
  <c r="AU784" i="123"/>
  <c r="K785" i="123"/>
  <c r="L785" i="123"/>
  <c r="M785" i="123"/>
  <c r="N785" i="123"/>
  <c r="O785" i="123"/>
  <c r="P785" i="123"/>
  <c r="Q785" i="123"/>
  <c r="R785" i="123"/>
  <c r="T785" i="123" s="1"/>
  <c r="S785" i="123"/>
  <c r="X785" i="123"/>
  <c r="Y785" i="123"/>
  <c r="Z785" i="123" s="1"/>
  <c r="AB785" i="123"/>
  <c r="AD785" i="123" s="1"/>
  <c r="AJ785" i="123"/>
  <c r="AK785" i="123"/>
  <c r="AL785" i="123"/>
  <c r="AO785" i="123"/>
  <c r="AP785" i="123"/>
  <c r="AT785" i="123"/>
  <c r="AU785" i="123"/>
  <c r="K786" i="123"/>
  <c r="L786" i="123"/>
  <c r="M786" i="123"/>
  <c r="N786" i="123"/>
  <c r="O786" i="123"/>
  <c r="P786" i="123"/>
  <c r="Q786" i="123"/>
  <c r="R786" i="123"/>
  <c r="T786" i="123" s="1"/>
  <c r="W786" i="123" s="1"/>
  <c r="S786" i="123"/>
  <c r="X786" i="123"/>
  <c r="Y786" i="123"/>
  <c r="Z786" i="123" s="1"/>
  <c r="AB786" i="123"/>
  <c r="AC786" i="123" s="1"/>
  <c r="AJ786" i="123"/>
  <c r="AK786" i="123"/>
  <c r="AL786" i="123"/>
  <c r="AO786" i="123"/>
  <c r="AP786" i="123"/>
  <c r="AQ786" i="123" s="1"/>
  <c r="AT786" i="123"/>
  <c r="AU786" i="123"/>
  <c r="K787" i="123"/>
  <c r="L787" i="123"/>
  <c r="M787" i="123"/>
  <c r="N787" i="123"/>
  <c r="O787" i="123"/>
  <c r="P787" i="123"/>
  <c r="Q787" i="123"/>
  <c r="R787" i="123"/>
  <c r="T787" i="123" s="1"/>
  <c r="S787" i="123"/>
  <c r="X787" i="123"/>
  <c r="Y787" i="123"/>
  <c r="Z787" i="123" s="1"/>
  <c r="AB787" i="123"/>
  <c r="AC787" i="123" s="1"/>
  <c r="AJ787" i="123"/>
  <c r="AK787" i="123"/>
  <c r="AL787" i="123"/>
  <c r="AO787" i="123"/>
  <c r="AP787" i="123"/>
  <c r="AT787" i="123"/>
  <c r="AU787" i="123"/>
  <c r="K788" i="123"/>
  <c r="L788" i="123"/>
  <c r="M788" i="123"/>
  <c r="N788" i="123"/>
  <c r="O788" i="123"/>
  <c r="P788" i="123"/>
  <c r="Q788" i="123"/>
  <c r="R788" i="123"/>
  <c r="T788" i="123" s="1"/>
  <c r="S788" i="123"/>
  <c r="X788" i="123"/>
  <c r="Y788" i="123"/>
  <c r="AA788" i="123" s="1"/>
  <c r="AB788" i="123"/>
  <c r="AC788" i="123" s="1"/>
  <c r="AJ788" i="123"/>
  <c r="AK788" i="123"/>
  <c r="AL788" i="123"/>
  <c r="AO788" i="123"/>
  <c r="AP788" i="123"/>
  <c r="AQ788" i="123" s="1"/>
  <c r="AT788" i="123"/>
  <c r="AU788" i="123"/>
  <c r="K789" i="123"/>
  <c r="L789" i="123"/>
  <c r="M789" i="123"/>
  <c r="N789" i="123"/>
  <c r="O789" i="123"/>
  <c r="P789" i="123"/>
  <c r="Q789" i="123"/>
  <c r="R789" i="123"/>
  <c r="T789" i="123" s="1"/>
  <c r="V789" i="123" s="1"/>
  <c r="S789" i="123"/>
  <c r="X789" i="123"/>
  <c r="Y789" i="123"/>
  <c r="Z789" i="123" s="1"/>
  <c r="AB789" i="123"/>
  <c r="AD789" i="123" s="1"/>
  <c r="AJ789" i="123"/>
  <c r="AK789" i="123"/>
  <c r="AL789" i="123"/>
  <c r="AO789" i="123"/>
  <c r="AP789" i="123"/>
  <c r="AT789" i="123"/>
  <c r="AU789" i="123"/>
  <c r="K790" i="123"/>
  <c r="L790" i="123"/>
  <c r="M790" i="123"/>
  <c r="N790" i="123"/>
  <c r="O790" i="123"/>
  <c r="P790" i="123"/>
  <c r="Q790" i="123"/>
  <c r="R790" i="123"/>
  <c r="T790" i="123" s="1"/>
  <c r="W790" i="123" s="1"/>
  <c r="S790" i="123"/>
  <c r="X790" i="123"/>
  <c r="Y790" i="123"/>
  <c r="Z790" i="123" s="1"/>
  <c r="AB790" i="123"/>
  <c r="AC790" i="123" s="1"/>
  <c r="AJ790" i="123"/>
  <c r="AK790" i="123"/>
  <c r="AL790" i="123"/>
  <c r="AO790" i="123"/>
  <c r="AP790" i="123"/>
  <c r="AQ790" i="123" s="1"/>
  <c r="AT790" i="123"/>
  <c r="AU790" i="123"/>
  <c r="K791" i="123"/>
  <c r="L791" i="123"/>
  <c r="M791" i="123"/>
  <c r="N791" i="123"/>
  <c r="O791" i="123"/>
  <c r="P791" i="123"/>
  <c r="Q791" i="123"/>
  <c r="R791" i="123"/>
  <c r="T791" i="123" s="1"/>
  <c r="S791" i="123"/>
  <c r="X791" i="123"/>
  <c r="Y791" i="123"/>
  <c r="Z791" i="123" s="1"/>
  <c r="AB791" i="123"/>
  <c r="AJ791" i="123"/>
  <c r="AK791" i="123"/>
  <c r="AL791" i="123"/>
  <c r="AO791" i="123"/>
  <c r="AP791" i="123"/>
  <c r="AQ791" i="123" s="1"/>
  <c r="AT791" i="123"/>
  <c r="AU791" i="123"/>
  <c r="K792" i="123"/>
  <c r="L792" i="123"/>
  <c r="M792" i="123"/>
  <c r="N792" i="123"/>
  <c r="O792" i="123"/>
  <c r="P792" i="123"/>
  <c r="Q792" i="123"/>
  <c r="R792" i="123"/>
  <c r="T792" i="123" s="1"/>
  <c r="S792" i="123"/>
  <c r="X792" i="123"/>
  <c r="Y792" i="123"/>
  <c r="AA792" i="123" s="1"/>
  <c r="AB792" i="123"/>
  <c r="AJ792" i="123"/>
  <c r="AK792" i="123"/>
  <c r="AL792" i="123"/>
  <c r="AO792" i="123"/>
  <c r="AP792" i="123"/>
  <c r="AQ792" i="123" s="1"/>
  <c r="AT792" i="123"/>
  <c r="AU792" i="123"/>
  <c r="K793" i="123"/>
  <c r="L793" i="123"/>
  <c r="M793" i="123"/>
  <c r="N793" i="123"/>
  <c r="O793" i="123"/>
  <c r="P793" i="123"/>
  <c r="Q793" i="123"/>
  <c r="R793" i="123"/>
  <c r="T793" i="123" s="1"/>
  <c r="S793" i="123"/>
  <c r="X793" i="123"/>
  <c r="Y793" i="123"/>
  <c r="Z793" i="123" s="1"/>
  <c r="AB793" i="123"/>
  <c r="AD793" i="123" s="1"/>
  <c r="AJ793" i="123"/>
  <c r="AK793" i="123"/>
  <c r="AL793" i="123"/>
  <c r="AO793" i="123"/>
  <c r="AP793" i="123"/>
  <c r="AT793" i="123"/>
  <c r="AU793" i="123"/>
  <c r="K794" i="123"/>
  <c r="L794" i="123"/>
  <c r="M794" i="123"/>
  <c r="N794" i="123"/>
  <c r="O794" i="123"/>
  <c r="P794" i="123"/>
  <c r="Q794" i="123"/>
  <c r="R794" i="123"/>
  <c r="T794" i="123" s="1"/>
  <c r="W794" i="123" s="1"/>
  <c r="S794" i="123"/>
  <c r="X794" i="123"/>
  <c r="Y794" i="123"/>
  <c r="Z794" i="123" s="1"/>
  <c r="AB794" i="123"/>
  <c r="AC794" i="123" s="1"/>
  <c r="AJ794" i="123"/>
  <c r="AK794" i="123"/>
  <c r="AL794" i="123"/>
  <c r="AO794" i="123"/>
  <c r="AP794" i="123"/>
  <c r="AQ794" i="123" s="1"/>
  <c r="AT794" i="123"/>
  <c r="AU794" i="123"/>
  <c r="K795" i="123"/>
  <c r="L795" i="123"/>
  <c r="M795" i="123"/>
  <c r="N795" i="123"/>
  <c r="O795" i="123"/>
  <c r="P795" i="123"/>
  <c r="Q795" i="123"/>
  <c r="R795" i="123"/>
  <c r="T795" i="123" s="1"/>
  <c r="S795" i="123"/>
  <c r="X795" i="123"/>
  <c r="Y795" i="123"/>
  <c r="Z795" i="123" s="1"/>
  <c r="AB795" i="123"/>
  <c r="AC795" i="123" s="1"/>
  <c r="AJ795" i="123"/>
  <c r="AK795" i="123"/>
  <c r="AL795" i="123"/>
  <c r="AO795" i="123"/>
  <c r="AP795" i="123"/>
  <c r="AQ795" i="123" s="1"/>
  <c r="AT795" i="123"/>
  <c r="AU795" i="123"/>
  <c r="K796" i="123"/>
  <c r="L796" i="123"/>
  <c r="M796" i="123"/>
  <c r="N796" i="123"/>
  <c r="O796" i="123"/>
  <c r="P796" i="123"/>
  <c r="Q796" i="123"/>
  <c r="R796" i="123"/>
  <c r="T796" i="123" s="1"/>
  <c r="S796" i="123"/>
  <c r="X796" i="123"/>
  <c r="Y796" i="123"/>
  <c r="AA796" i="123" s="1"/>
  <c r="AB796" i="123"/>
  <c r="AC796" i="123" s="1"/>
  <c r="AJ796" i="123"/>
  <c r="AK796" i="123"/>
  <c r="AL796" i="123"/>
  <c r="AO796" i="123"/>
  <c r="AP796" i="123"/>
  <c r="AQ796" i="123" s="1"/>
  <c r="AT796" i="123"/>
  <c r="AU796" i="123"/>
  <c r="K797" i="123"/>
  <c r="L797" i="123"/>
  <c r="M797" i="123"/>
  <c r="N797" i="123"/>
  <c r="O797" i="123"/>
  <c r="P797" i="123"/>
  <c r="Q797" i="123"/>
  <c r="R797" i="123"/>
  <c r="T797" i="123" s="1"/>
  <c r="S797" i="123"/>
  <c r="X797" i="123"/>
  <c r="Y797" i="123"/>
  <c r="Z797" i="123" s="1"/>
  <c r="AB797" i="123"/>
  <c r="AJ797" i="123"/>
  <c r="AK797" i="123"/>
  <c r="AL797" i="123"/>
  <c r="AO797" i="123"/>
  <c r="AP797" i="123"/>
  <c r="AT797" i="123"/>
  <c r="AU797" i="123"/>
  <c r="K798" i="123"/>
  <c r="L798" i="123"/>
  <c r="M798" i="123"/>
  <c r="N798" i="123"/>
  <c r="O798" i="123"/>
  <c r="P798" i="123"/>
  <c r="Q798" i="123"/>
  <c r="R798" i="123"/>
  <c r="T798" i="123" s="1"/>
  <c r="W798" i="123" s="1"/>
  <c r="S798" i="123"/>
  <c r="X798" i="123"/>
  <c r="Y798" i="123"/>
  <c r="AA798" i="123" s="1"/>
  <c r="AB798" i="123"/>
  <c r="AC798" i="123" s="1"/>
  <c r="AJ798" i="123"/>
  <c r="AK798" i="123"/>
  <c r="AL798" i="123"/>
  <c r="AO798" i="123"/>
  <c r="AP798" i="123"/>
  <c r="AQ798" i="123" s="1"/>
  <c r="AT798" i="123"/>
  <c r="AU798" i="123"/>
  <c r="K799" i="123"/>
  <c r="L799" i="123"/>
  <c r="M799" i="123"/>
  <c r="N799" i="123"/>
  <c r="O799" i="123"/>
  <c r="P799" i="123"/>
  <c r="Q799" i="123"/>
  <c r="R799" i="123"/>
  <c r="T799" i="123" s="1"/>
  <c r="S799" i="123"/>
  <c r="X799" i="123"/>
  <c r="Y799" i="123"/>
  <c r="Z799" i="123" s="1"/>
  <c r="AB799" i="123"/>
  <c r="AC799" i="123" s="1"/>
  <c r="AJ799" i="123"/>
  <c r="AK799" i="123"/>
  <c r="AL799" i="123"/>
  <c r="AO799" i="123"/>
  <c r="AP799" i="123"/>
  <c r="AQ799" i="123" s="1"/>
  <c r="AT799" i="123"/>
  <c r="AU799" i="123"/>
  <c r="K800" i="123"/>
  <c r="L800" i="123"/>
  <c r="M800" i="123"/>
  <c r="N800" i="123"/>
  <c r="O800" i="123"/>
  <c r="P800" i="123"/>
  <c r="Q800" i="123"/>
  <c r="R800" i="123"/>
  <c r="T800" i="123" s="1"/>
  <c r="S800" i="123"/>
  <c r="X800" i="123"/>
  <c r="Y800" i="123"/>
  <c r="AA800" i="123" s="1"/>
  <c r="AB800" i="123"/>
  <c r="AC800" i="123" s="1"/>
  <c r="AJ800" i="123"/>
  <c r="AK800" i="123"/>
  <c r="AL800" i="123"/>
  <c r="AO800" i="123"/>
  <c r="AP800" i="123"/>
  <c r="AQ800" i="123" s="1"/>
  <c r="AT800" i="123"/>
  <c r="AU800" i="123"/>
  <c r="K801" i="123"/>
  <c r="L801" i="123"/>
  <c r="M801" i="123"/>
  <c r="N801" i="123"/>
  <c r="O801" i="123"/>
  <c r="P801" i="123"/>
  <c r="Q801" i="123"/>
  <c r="R801" i="123"/>
  <c r="T801" i="123" s="1"/>
  <c r="S801" i="123"/>
  <c r="X801" i="123"/>
  <c r="Y801" i="123"/>
  <c r="Z801" i="123" s="1"/>
  <c r="AB801" i="123"/>
  <c r="AD801" i="123" s="1"/>
  <c r="AJ801" i="123"/>
  <c r="AK801" i="123"/>
  <c r="AL801" i="123"/>
  <c r="AO801" i="123"/>
  <c r="AP801" i="123"/>
  <c r="AT801" i="123"/>
  <c r="AU801" i="123"/>
  <c r="K802" i="123"/>
  <c r="L802" i="123"/>
  <c r="M802" i="123"/>
  <c r="N802" i="123"/>
  <c r="O802" i="123"/>
  <c r="P802" i="123"/>
  <c r="Q802" i="123"/>
  <c r="R802" i="123"/>
  <c r="T802" i="123" s="1"/>
  <c r="W802" i="123" s="1"/>
  <c r="S802" i="123"/>
  <c r="X802" i="123"/>
  <c r="Y802" i="123"/>
  <c r="Z802" i="123" s="1"/>
  <c r="AB802" i="123"/>
  <c r="AC802" i="123" s="1"/>
  <c r="AJ802" i="123"/>
  <c r="AK802" i="123"/>
  <c r="AL802" i="123"/>
  <c r="AO802" i="123"/>
  <c r="AP802" i="123"/>
  <c r="AQ802" i="123" s="1"/>
  <c r="AT802" i="123"/>
  <c r="AU802" i="123"/>
  <c r="K803" i="123"/>
  <c r="L803" i="123"/>
  <c r="M803" i="123"/>
  <c r="N803" i="123"/>
  <c r="O803" i="123"/>
  <c r="P803" i="123"/>
  <c r="Q803" i="123"/>
  <c r="R803" i="123"/>
  <c r="T803" i="123" s="1"/>
  <c r="S803" i="123"/>
  <c r="X803" i="123"/>
  <c r="Y803" i="123"/>
  <c r="Z803" i="123" s="1"/>
  <c r="AB803" i="123"/>
  <c r="AC803" i="123" s="1"/>
  <c r="AJ803" i="123"/>
  <c r="AK803" i="123"/>
  <c r="AL803" i="123"/>
  <c r="AO803" i="123"/>
  <c r="AP803" i="123"/>
  <c r="AT803" i="123"/>
  <c r="AU803" i="123"/>
  <c r="K804" i="123"/>
  <c r="L804" i="123"/>
  <c r="M804" i="123"/>
  <c r="N804" i="123"/>
  <c r="O804" i="123"/>
  <c r="P804" i="123"/>
  <c r="Q804" i="123"/>
  <c r="R804" i="123"/>
  <c r="T804" i="123" s="1"/>
  <c r="S804" i="123"/>
  <c r="X804" i="123"/>
  <c r="Y804" i="123"/>
  <c r="AA804" i="123" s="1"/>
  <c r="AB804" i="123"/>
  <c r="AC804" i="123" s="1"/>
  <c r="AJ804" i="123"/>
  <c r="AK804" i="123"/>
  <c r="AL804" i="123"/>
  <c r="AO804" i="123"/>
  <c r="AP804" i="123"/>
  <c r="AQ804" i="123" s="1"/>
  <c r="AT804" i="123"/>
  <c r="AU804" i="123"/>
  <c r="K805" i="123"/>
  <c r="L805" i="123"/>
  <c r="M805" i="123"/>
  <c r="N805" i="123"/>
  <c r="O805" i="123"/>
  <c r="P805" i="123"/>
  <c r="Q805" i="123"/>
  <c r="R805" i="123"/>
  <c r="T805" i="123" s="1"/>
  <c r="V805" i="123" s="1"/>
  <c r="S805" i="123"/>
  <c r="X805" i="123"/>
  <c r="Y805" i="123"/>
  <c r="Z805" i="123" s="1"/>
  <c r="AB805" i="123"/>
  <c r="AD805" i="123" s="1"/>
  <c r="AJ805" i="123"/>
  <c r="AK805" i="123"/>
  <c r="AL805" i="123"/>
  <c r="AO805" i="123"/>
  <c r="AP805" i="123"/>
  <c r="AT805" i="123"/>
  <c r="AU805" i="123"/>
  <c r="K806" i="123"/>
  <c r="L806" i="123"/>
  <c r="M806" i="123"/>
  <c r="N806" i="123"/>
  <c r="O806" i="123"/>
  <c r="P806" i="123"/>
  <c r="Q806" i="123"/>
  <c r="R806" i="123"/>
  <c r="T806" i="123" s="1"/>
  <c r="W806" i="123" s="1"/>
  <c r="S806" i="123"/>
  <c r="X806" i="123"/>
  <c r="Y806" i="123"/>
  <c r="Z806" i="123" s="1"/>
  <c r="AB806" i="123"/>
  <c r="AC806" i="123" s="1"/>
  <c r="AJ806" i="123"/>
  <c r="AK806" i="123"/>
  <c r="AL806" i="123"/>
  <c r="AO806" i="123"/>
  <c r="AP806" i="123"/>
  <c r="AQ806" i="123" s="1"/>
  <c r="AT806" i="123"/>
  <c r="AU806" i="123"/>
  <c r="K807" i="123"/>
  <c r="L807" i="123"/>
  <c r="M807" i="123"/>
  <c r="N807" i="123"/>
  <c r="O807" i="123"/>
  <c r="P807" i="123"/>
  <c r="Q807" i="123"/>
  <c r="R807" i="123"/>
  <c r="T807" i="123" s="1"/>
  <c r="S807" i="123"/>
  <c r="X807" i="123"/>
  <c r="Y807" i="123"/>
  <c r="Z807" i="123" s="1"/>
  <c r="AB807" i="123"/>
  <c r="AJ807" i="123"/>
  <c r="AK807" i="123"/>
  <c r="AL807" i="123"/>
  <c r="AO807" i="123"/>
  <c r="AP807" i="123"/>
  <c r="AQ807" i="123" s="1"/>
  <c r="AT807" i="123"/>
  <c r="AU807" i="123"/>
  <c r="K808" i="123"/>
  <c r="L808" i="123"/>
  <c r="M808" i="123"/>
  <c r="N808" i="123"/>
  <c r="O808" i="123"/>
  <c r="P808" i="123"/>
  <c r="Q808" i="123"/>
  <c r="R808" i="123"/>
  <c r="T808" i="123" s="1"/>
  <c r="S808" i="123"/>
  <c r="X808" i="123"/>
  <c r="Y808" i="123"/>
  <c r="AA808" i="123" s="1"/>
  <c r="AB808" i="123"/>
  <c r="AJ808" i="123"/>
  <c r="AK808" i="123"/>
  <c r="AL808" i="123"/>
  <c r="AO808" i="123"/>
  <c r="AP808" i="123"/>
  <c r="AQ808" i="123" s="1"/>
  <c r="AT808" i="123"/>
  <c r="AU808" i="123"/>
  <c r="K809" i="123"/>
  <c r="L809" i="123"/>
  <c r="M809" i="123"/>
  <c r="N809" i="123"/>
  <c r="O809" i="123"/>
  <c r="P809" i="123"/>
  <c r="Q809" i="123"/>
  <c r="R809" i="123"/>
  <c r="T809" i="123" s="1"/>
  <c r="S809" i="123"/>
  <c r="X809" i="123"/>
  <c r="Y809" i="123"/>
  <c r="Z809" i="123" s="1"/>
  <c r="AB809" i="123"/>
  <c r="AD809" i="123" s="1"/>
  <c r="AJ809" i="123"/>
  <c r="AK809" i="123"/>
  <c r="AL809" i="123"/>
  <c r="AO809" i="123"/>
  <c r="AP809" i="123"/>
  <c r="AT809" i="123"/>
  <c r="AU809" i="123"/>
  <c r="K810" i="123"/>
  <c r="L810" i="123"/>
  <c r="M810" i="123"/>
  <c r="N810" i="123"/>
  <c r="O810" i="123"/>
  <c r="P810" i="123"/>
  <c r="Q810" i="123"/>
  <c r="R810" i="123"/>
  <c r="T810" i="123" s="1"/>
  <c r="W810" i="123" s="1"/>
  <c r="S810" i="123"/>
  <c r="X810" i="123"/>
  <c r="Y810" i="123"/>
  <c r="Z810" i="123" s="1"/>
  <c r="AB810" i="123"/>
  <c r="AC810" i="123" s="1"/>
  <c r="AJ810" i="123"/>
  <c r="AK810" i="123"/>
  <c r="AL810" i="123"/>
  <c r="AO810" i="123"/>
  <c r="AP810" i="123"/>
  <c r="AQ810" i="123" s="1"/>
  <c r="AT810" i="123"/>
  <c r="AU810" i="123"/>
  <c r="K811" i="123"/>
  <c r="L811" i="123"/>
  <c r="M811" i="123"/>
  <c r="N811" i="123"/>
  <c r="O811" i="123"/>
  <c r="P811" i="123"/>
  <c r="Q811" i="123"/>
  <c r="R811" i="123"/>
  <c r="T811" i="123" s="1"/>
  <c r="S811" i="123"/>
  <c r="X811" i="123"/>
  <c r="Y811" i="123"/>
  <c r="Z811" i="123" s="1"/>
  <c r="AB811" i="123"/>
  <c r="AC811" i="123" s="1"/>
  <c r="AJ811" i="123"/>
  <c r="AK811" i="123"/>
  <c r="AL811" i="123"/>
  <c r="AO811" i="123"/>
  <c r="AP811" i="123"/>
  <c r="AQ811" i="123" s="1"/>
  <c r="AT811" i="123"/>
  <c r="AU811" i="123"/>
  <c r="K812" i="123"/>
  <c r="L812" i="123"/>
  <c r="M812" i="123"/>
  <c r="N812" i="123"/>
  <c r="O812" i="123"/>
  <c r="P812" i="123"/>
  <c r="Q812" i="123"/>
  <c r="R812" i="123"/>
  <c r="T812" i="123" s="1"/>
  <c r="S812" i="123"/>
  <c r="X812" i="123"/>
  <c r="Y812" i="123"/>
  <c r="AA812" i="123" s="1"/>
  <c r="AB812" i="123"/>
  <c r="AC812" i="123" s="1"/>
  <c r="AJ812" i="123"/>
  <c r="AK812" i="123"/>
  <c r="AL812" i="123"/>
  <c r="AO812" i="123"/>
  <c r="AP812" i="123"/>
  <c r="AQ812" i="123" s="1"/>
  <c r="AT812" i="123"/>
  <c r="AU812" i="123"/>
  <c r="K813" i="123"/>
  <c r="L813" i="123"/>
  <c r="M813" i="123"/>
  <c r="N813" i="123"/>
  <c r="O813" i="123"/>
  <c r="P813" i="123"/>
  <c r="Q813" i="123"/>
  <c r="R813" i="123"/>
  <c r="T813" i="123" s="1"/>
  <c r="S813" i="123"/>
  <c r="X813" i="123"/>
  <c r="Y813" i="123"/>
  <c r="Z813" i="123" s="1"/>
  <c r="AB813" i="123"/>
  <c r="AJ813" i="123"/>
  <c r="AK813" i="123"/>
  <c r="AL813" i="123"/>
  <c r="AO813" i="123"/>
  <c r="AP813" i="123"/>
  <c r="AT813" i="123"/>
  <c r="AU813" i="123"/>
  <c r="K814" i="123"/>
  <c r="L814" i="123"/>
  <c r="M814" i="123"/>
  <c r="N814" i="123"/>
  <c r="O814" i="123"/>
  <c r="P814" i="123"/>
  <c r="Q814" i="123"/>
  <c r="R814" i="123"/>
  <c r="T814" i="123" s="1"/>
  <c r="W814" i="123" s="1"/>
  <c r="S814" i="123"/>
  <c r="X814" i="123"/>
  <c r="Y814" i="123"/>
  <c r="AA814" i="123" s="1"/>
  <c r="AB814" i="123"/>
  <c r="AC814" i="123" s="1"/>
  <c r="AJ814" i="123"/>
  <c r="AK814" i="123"/>
  <c r="AL814" i="123"/>
  <c r="AO814" i="123"/>
  <c r="AP814" i="123"/>
  <c r="AQ814" i="123" s="1"/>
  <c r="AT814" i="123"/>
  <c r="AU814" i="123"/>
  <c r="K815" i="123"/>
  <c r="L815" i="123"/>
  <c r="M815" i="123"/>
  <c r="N815" i="123"/>
  <c r="O815" i="123"/>
  <c r="P815" i="123"/>
  <c r="Q815" i="123"/>
  <c r="R815" i="123"/>
  <c r="T815" i="123" s="1"/>
  <c r="W815" i="123" s="1"/>
  <c r="S815" i="123"/>
  <c r="X815" i="123"/>
  <c r="Y815" i="123"/>
  <c r="Z815" i="123" s="1"/>
  <c r="AB815" i="123"/>
  <c r="AC815" i="123" s="1"/>
  <c r="AJ815" i="123"/>
  <c r="AK815" i="123"/>
  <c r="AL815" i="123"/>
  <c r="AO815" i="123"/>
  <c r="AP815" i="123"/>
  <c r="AQ815" i="123" s="1"/>
  <c r="AT815" i="123"/>
  <c r="AU815" i="123"/>
  <c r="K816" i="123"/>
  <c r="L816" i="123"/>
  <c r="M816" i="123"/>
  <c r="N816" i="123"/>
  <c r="O816" i="123"/>
  <c r="P816" i="123"/>
  <c r="Q816" i="123"/>
  <c r="R816" i="123"/>
  <c r="T816" i="123" s="1"/>
  <c r="V816" i="123" s="1"/>
  <c r="S816" i="123"/>
  <c r="X816" i="123"/>
  <c r="Y816" i="123"/>
  <c r="AA816" i="123" s="1"/>
  <c r="AB816" i="123"/>
  <c r="AC816" i="123" s="1"/>
  <c r="AJ816" i="123"/>
  <c r="AK816" i="123"/>
  <c r="AL816" i="123"/>
  <c r="AO816" i="123"/>
  <c r="AP816" i="123"/>
  <c r="AQ816" i="123" s="1"/>
  <c r="AT816" i="123"/>
  <c r="AU816" i="123"/>
  <c r="K817" i="123"/>
  <c r="L817" i="123"/>
  <c r="M817" i="123"/>
  <c r="N817" i="123"/>
  <c r="O817" i="123"/>
  <c r="P817" i="123"/>
  <c r="Q817" i="123"/>
  <c r="R817" i="123"/>
  <c r="T817" i="123" s="1"/>
  <c r="V817" i="123" s="1"/>
  <c r="S817" i="123"/>
  <c r="X817" i="123"/>
  <c r="Y817" i="123"/>
  <c r="AB817" i="123"/>
  <c r="AD817" i="123" s="1"/>
  <c r="AJ817" i="123"/>
  <c r="AK817" i="123"/>
  <c r="AL817" i="123"/>
  <c r="AO817" i="123"/>
  <c r="AP817" i="123"/>
  <c r="AT817" i="123"/>
  <c r="AU817" i="123"/>
  <c r="K818" i="123"/>
  <c r="L818" i="123"/>
  <c r="M818" i="123"/>
  <c r="N818" i="123"/>
  <c r="O818" i="123"/>
  <c r="P818" i="123"/>
  <c r="Q818" i="123"/>
  <c r="R818" i="123"/>
  <c r="T818" i="123" s="1"/>
  <c r="S818" i="123"/>
  <c r="X818" i="123"/>
  <c r="Y818" i="123"/>
  <c r="Z818" i="123" s="1"/>
  <c r="AB818" i="123"/>
  <c r="AJ818" i="123"/>
  <c r="AK818" i="123"/>
  <c r="AL818" i="123"/>
  <c r="AO818" i="123"/>
  <c r="AP818" i="123"/>
  <c r="AQ818" i="123" s="1"/>
  <c r="AT818" i="123"/>
  <c r="AU818" i="123"/>
  <c r="K819" i="123"/>
  <c r="L819" i="123"/>
  <c r="M819" i="123"/>
  <c r="N819" i="123"/>
  <c r="O819" i="123"/>
  <c r="P819" i="123"/>
  <c r="Q819" i="123"/>
  <c r="R819" i="123"/>
  <c r="T819" i="123" s="1"/>
  <c r="W819" i="123" s="1"/>
  <c r="S819" i="123"/>
  <c r="X819" i="123"/>
  <c r="Y819" i="123"/>
  <c r="Z819" i="123" s="1"/>
  <c r="AB819" i="123"/>
  <c r="AC819" i="123" s="1"/>
  <c r="AJ819" i="123"/>
  <c r="AK819" i="123"/>
  <c r="AL819" i="123"/>
  <c r="AO819" i="123"/>
  <c r="AP819" i="123"/>
  <c r="AT819" i="123"/>
  <c r="AU819" i="123"/>
  <c r="K820" i="123"/>
  <c r="L820" i="123"/>
  <c r="M820" i="123"/>
  <c r="N820" i="123"/>
  <c r="O820" i="123"/>
  <c r="P820" i="123"/>
  <c r="Q820" i="123"/>
  <c r="R820" i="123"/>
  <c r="T820" i="123" s="1"/>
  <c r="V820" i="123" s="1"/>
  <c r="S820" i="123"/>
  <c r="X820" i="123"/>
  <c r="Y820" i="123"/>
  <c r="AA820" i="123" s="1"/>
  <c r="AB820" i="123"/>
  <c r="AD820" i="123" s="1"/>
  <c r="AJ820" i="123"/>
  <c r="AK820" i="123"/>
  <c r="AL820" i="123"/>
  <c r="AO820" i="123"/>
  <c r="AP820" i="123"/>
  <c r="AQ820" i="123" s="1"/>
  <c r="AT820" i="123"/>
  <c r="AU820" i="123"/>
  <c r="K821" i="123"/>
  <c r="L821" i="123"/>
  <c r="M821" i="123"/>
  <c r="N821" i="123"/>
  <c r="O821" i="123"/>
  <c r="P821" i="123"/>
  <c r="Q821" i="123"/>
  <c r="R821" i="123"/>
  <c r="T821" i="123" s="1"/>
  <c r="S821" i="123"/>
  <c r="X821" i="123"/>
  <c r="Y821" i="123"/>
  <c r="AB821" i="123"/>
  <c r="AD821" i="123" s="1"/>
  <c r="AJ821" i="123"/>
  <c r="AK821" i="123"/>
  <c r="AL821" i="123"/>
  <c r="AO821" i="123"/>
  <c r="AP821" i="123"/>
  <c r="AT821" i="123"/>
  <c r="AU821" i="123"/>
  <c r="K822" i="123"/>
  <c r="L822" i="123"/>
  <c r="M822" i="123"/>
  <c r="N822" i="123"/>
  <c r="O822" i="123"/>
  <c r="P822" i="123"/>
  <c r="Q822" i="123"/>
  <c r="R822" i="123"/>
  <c r="T822" i="123" s="1"/>
  <c r="S822" i="123"/>
  <c r="X822" i="123"/>
  <c r="Y822" i="123"/>
  <c r="AA822" i="123" s="1"/>
  <c r="AB822" i="123"/>
  <c r="AJ822" i="123"/>
  <c r="AK822" i="123"/>
  <c r="AL822" i="123"/>
  <c r="AO822" i="123"/>
  <c r="AP822" i="123"/>
  <c r="AT822" i="123"/>
  <c r="AU822" i="123"/>
  <c r="K823" i="123"/>
  <c r="L823" i="123"/>
  <c r="M823" i="123"/>
  <c r="N823" i="123"/>
  <c r="O823" i="123"/>
  <c r="P823" i="123"/>
  <c r="Q823" i="123"/>
  <c r="R823" i="123"/>
  <c r="T823" i="123" s="1"/>
  <c r="W823" i="123" s="1"/>
  <c r="S823" i="123"/>
  <c r="X823" i="123"/>
  <c r="Y823" i="123"/>
  <c r="AB823" i="123"/>
  <c r="AD823" i="123" s="1"/>
  <c r="AJ823" i="123"/>
  <c r="AK823" i="123"/>
  <c r="AL823" i="123"/>
  <c r="AO823" i="123"/>
  <c r="AP823" i="123"/>
  <c r="AQ823" i="123" s="1"/>
  <c r="AT823" i="123"/>
  <c r="AU823" i="123"/>
  <c r="K824" i="123"/>
  <c r="L824" i="123"/>
  <c r="M824" i="123"/>
  <c r="N824" i="123"/>
  <c r="O824" i="123"/>
  <c r="P824" i="123"/>
  <c r="Q824" i="123"/>
  <c r="R824" i="123"/>
  <c r="T824" i="123" s="1"/>
  <c r="V824" i="123" s="1"/>
  <c r="S824" i="123"/>
  <c r="X824" i="123"/>
  <c r="Y824" i="123"/>
  <c r="AA824" i="123" s="1"/>
  <c r="AB824" i="123"/>
  <c r="AJ824" i="123"/>
  <c r="AK824" i="123"/>
  <c r="AL824" i="123"/>
  <c r="AO824" i="123"/>
  <c r="AP824" i="123"/>
  <c r="AQ824" i="123" s="1"/>
  <c r="AT824" i="123"/>
  <c r="AU824" i="123"/>
  <c r="K825" i="123"/>
  <c r="L825" i="123"/>
  <c r="M825" i="123"/>
  <c r="N825" i="123"/>
  <c r="O825" i="123"/>
  <c r="P825" i="123"/>
  <c r="Q825" i="123"/>
  <c r="R825" i="123"/>
  <c r="T825" i="123" s="1"/>
  <c r="V825" i="123" s="1"/>
  <c r="S825" i="123"/>
  <c r="X825" i="123"/>
  <c r="Y825" i="123"/>
  <c r="AB825" i="123"/>
  <c r="AD825" i="123" s="1"/>
  <c r="AJ825" i="123"/>
  <c r="AK825" i="123"/>
  <c r="AL825" i="123"/>
  <c r="AO825" i="123"/>
  <c r="AP825" i="123"/>
  <c r="AT825" i="123"/>
  <c r="AU825" i="123"/>
  <c r="K826" i="123"/>
  <c r="L826" i="123"/>
  <c r="M826" i="123"/>
  <c r="N826" i="123"/>
  <c r="O826" i="123"/>
  <c r="P826" i="123"/>
  <c r="Q826" i="123"/>
  <c r="R826" i="123"/>
  <c r="T826" i="123" s="1"/>
  <c r="S826" i="123"/>
  <c r="X826" i="123"/>
  <c r="Y826" i="123"/>
  <c r="AA826" i="123" s="1"/>
  <c r="AB826" i="123"/>
  <c r="AJ826" i="123"/>
  <c r="AK826" i="123"/>
  <c r="AL826" i="123"/>
  <c r="AO826" i="123"/>
  <c r="AP826" i="123"/>
  <c r="AT826" i="123"/>
  <c r="AU826" i="123"/>
  <c r="K827" i="123"/>
  <c r="L827" i="123"/>
  <c r="M827" i="123"/>
  <c r="N827" i="123"/>
  <c r="O827" i="123"/>
  <c r="P827" i="123"/>
  <c r="Q827" i="123"/>
  <c r="R827" i="123"/>
  <c r="T827" i="123" s="1"/>
  <c r="S827" i="123"/>
  <c r="X827" i="123"/>
  <c r="Y827" i="123"/>
  <c r="Z827" i="123" s="1"/>
  <c r="AB827" i="123"/>
  <c r="AC827" i="123" s="1"/>
  <c r="AJ827" i="123"/>
  <c r="AK827" i="123"/>
  <c r="AL827" i="123"/>
  <c r="AO827" i="123"/>
  <c r="AP827" i="123"/>
  <c r="AQ827" i="123" s="1"/>
  <c r="AT827" i="123"/>
  <c r="AU827" i="123"/>
  <c r="K828" i="123"/>
  <c r="L828" i="123"/>
  <c r="M828" i="123"/>
  <c r="N828" i="123"/>
  <c r="O828" i="123"/>
  <c r="P828" i="123"/>
  <c r="Q828" i="123"/>
  <c r="R828" i="123"/>
  <c r="T828" i="123" s="1"/>
  <c r="S828" i="123"/>
  <c r="X828" i="123"/>
  <c r="Y828" i="123"/>
  <c r="AA828" i="123" s="1"/>
  <c r="AB828" i="123"/>
  <c r="AC828" i="123" s="1"/>
  <c r="AJ828" i="123"/>
  <c r="AK828" i="123"/>
  <c r="AL828" i="123"/>
  <c r="AO828" i="123"/>
  <c r="AP828" i="123"/>
  <c r="AQ828" i="123" s="1"/>
  <c r="AT828" i="123"/>
  <c r="AU828" i="123"/>
  <c r="K829" i="123"/>
  <c r="L829" i="123"/>
  <c r="M829" i="123"/>
  <c r="N829" i="123"/>
  <c r="O829" i="123"/>
  <c r="P829" i="123"/>
  <c r="Q829" i="123"/>
  <c r="R829" i="123"/>
  <c r="T829" i="123" s="1"/>
  <c r="V829" i="123" s="1"/>
  <c r="S829" i="123"/>
  <c r="X829" i="123"/>
  <c r="Y829" i="123"/>
  <c r="AB829" i="123"/>
  <c r="AD829" i="123" s="1"/>
  <c r="AJ829" i="123"/>
  <c r="AK829" i="123"/>
  <c r="AL829" i="123"/>
  <c r="AO829" i="123"/>
  <c r="AP829" i="123"/>
  <c r="AT829" i="123"/>
  <c r="AU829" i="123"/>
  <c r="K830" i="123"/>
  <c r="L830" i="123"/>
  <c r="M830" i="123"/>
  <c r="N830" i="123"/>
  <c r="O830" i="123"/>
  <c r="P830" i="123"/>
  <c r="Q830" i="123"/>
  <c r="R830" i="123"/>
  <c r="T830" i="123" s="1"/>
  <c r="S830" i="123"/>
  <c r="X830" i="123"/>
  <c r="Y830" i="123"/>
  <c r="Z830" i="123" s="1"/>
  <c r="AB830" i="123"/>
  <c r="AJ830" i="123"/>
  <c r="AK830" i="123"/>
  <c r="AL830" i="123"/>
  <c r="AO830" i="123"/>
  <c r="AP830" i="123"/>
  <c r="AT830" i="123"/>
  <c r="AU830" i="123"/>
  <c r="K831" i="123"/>
  <c r="L831" i="123"/>
  <c r="M831" i="123"/>
  <c r="N831" i="123"/>
  <c r="O831" i="123"/>
  <c r="P831" i="123"/>
  <c r="Q831" i="123"/>
  <c r="R831" i="123"/>
  <c r="T831" i="123" s="1"/>
  <c r="W831" i="123" s="1"/>
  <c r="S831" i="123"/>
  <c r="X831" i="123"/>
  <c r="Y831" i="123"/>
  <c r="Z831" i="123" s="1"/>
  <c r="AB831" i="123"/>
  <c r="AC831" i="123" s="1"/>
  <c r="AJ831" i="123"/>
  <c r="AK831" i="123"/>
  <c r="AL831" i="123"/>
  <c r="AO831" i="123"/>
  <c r="AP831" i="123"/>
  <c r="AQ831" i="123" s="1"/>
  <c r="AT831" i="123"/>
  <c r="AU831" i="123"/>
  <c r="K832" i="123"/>
  <c r="L832" i="123"/>
  <c r="M832" i="123"/>
  <c r="N832" i="123"/>
  <c r="O832" i="123"/>
  <c r="P832" i="123"/>
  <c r="Q832" i="123"/>
  <c r="R832" i="123"/>
  <c r="T832" i="123" s="1"/>
  <c r="V832" i="123" s="1"/>
  <c r="S832" i="123"/>
  <c r="X832" i="123"/>
  <c r="Y832" i="123"/>
  <c r="AB832" i="123"/>
  <c r="AC832" i="123" s="1"/>
  <c r="AJ832" i="123"/>
  <c r="AK832" i="123"/>
  <c r="AL832" i="123"/>
  <c r="AO832" i="123"/>
  <c r="AP832" i="123"/>
  <c r="AQ832" i="123" s="1"/>
  <c r="AT832" i="123"/>
  <c r="AU832" i="123"/>
  <c r="K833" i="123"/>
  <c r="L833" i="123"/>
  <c r="M833" i="123"/>
  <c r="N833" i="123"/>
  <c r="O833" i="123"/>
  <c r="P833" i="123"/>
  <c r="Q833" i="123"/>
  <c r="R833" i="123"/>
  <c r="T833" i="123" s="1"/>
  <c r="V833" i="123" s="1"/>
  <c r="S833" i="123"/>
  <c r="X833" i="123"/>
  <c r="Y833" i="123"/>
  <c r="AB833" i="123"/>
  <c r="AD833" i="123" s="1"/>
  <c r="AJ833" i="123"/>
  <c r="AK833" i="123"/>
  <c r="AL833" i="123"/>
  <c r="AO833" i="123"/>
  <c r="AP833" i="123"/>
  <c r="AT833" i="123"/>
  <c r="AU833" i="123"/>
  <c r="K834" i="123"/>
  <c r="L834" i="123"/>
  <c r="M834" i="123"/>
  <c r="N834" i="123"/>
  <c r="O834" i="123"/>
  <c r="P834" i="123"/>
  <c r="Q834" i="123"/>
  <c r="R834" i="123"/>
  <c r="T834" i="123" s="1"/>
  <c r="S834" i="123"/>
  <c r="X834" i="123"/>
  <c r="Y834" i="123"/>
  <c r="AA834" i="123" s="1"/>
  <c r="AB834" i="123"/>
  <c r="AJ834" i="123"/>
  <c r="AK834" i="123"/>
  <c r="AL834" i="123"/>
  <c r="AO834" i="123"/>
  <c r="AP834" i="123"/>
  <c r="AQ834" i="123" s="1"/>
  <c r="AT834" i="123"/>
  <c r="AU834" i="123"/>
  <c r="K835" i="123"/>
  <c r="L835" i="123"/>
  <c r="M835" i="123"/>
  <c r="N835" i="123"/>
  <c r="O835" i="123"/>
  <c r="P835" i="123"/>
  <c r="Q835" i="123"/>
  <c r="R835" i="123"/>
  <c r="T835" i="123" s="1"/>
  <c r="W835" i="123" s="1"/>
  <c r="S835" i="123"/>
  <c r="X835" i="123"/>
  <c r="Y835" i="123"/>
  <c r="Z835" i="123" s="1"/>
  <c r="AB835" i="123"/>
  <c r="AD835" i="123" s="1"/>
  <c r="AJ835" i="123"/>
  <c r="AK835" i="123"/>
  <c r="AL835" i="123"/>
  <c r="AO835" i="123"/>
  <c r="AP835" i="123"/>
  <c r="AT835" i="123"/>
  <c r="AU835" i="123"/>
  <c r="K836" i="123"/>
  <c r="L836" i="123"/>
  <c r="M836" i="123"/>
  <c r="N836" i="123"/>
  <c r="O836" i="123"/>
  <c r="P836" i="123"/>
  <c r="Q836" i="123"/>
  <c r="R836" i="123"/>
  <c r="T836" i="123" s="1"/>
  <c r="W836" i="123" s="1"/>
  <c r="S836" i="123"/>
  <c r="X836" i="123"/>
  <c r="Y836" i="123"/>
  <c r="AA836" i="123" s="1"/>
  <c r="AB836" i="123"/>
  <c r="AC836" i="123" s="1"/>
  <c r="AJ836" i="123"/>
  <c r="AK836" i="123"/>
  <c r="AL836" i="123"/>
  <c r="AO836" i="123"/>
  <c r="AP836" i="123"/>
  <c r="AQ836" i="123" s="1"/>
  <c r="AT836" i="123"/>
  <c r="AU836" i="123"/>
  <c r="K837" i="123"/>
  <c r="L837" i="123"/>
  <c r="M837" i="123"/>
  <c r="N837" i="123"/>
  <c r="O837" i="123"/>
  <c r="P837" i="123"/>
  <c r="Q837" i="123"/>
  <c r="R837" i="123"/>
  <c r="T837" i="123" s="1"/>
  <c r="V837" i="123" s="1"/>
  <c r="S837" i="123"/>
  <c r="X837" i="123"/>
  <c r="Y837" i="123"/>
  <c r="Z837" i="123" s="1"/>
  <c r="AB837" i="123"/>
  <c r="AD837" i="123" s="1"/>
  <c r="AJ837" i="123"/>
  <c r="AK837" i="123"/>
  <c r="AL837" i="123"/>
  <c r="AO837" i="123"/>
  <c r="AP837" i="123"/>
  <c r="AT837" i="123"/>
  <c r="AU837" i="123"/>
  <c r="K838" i="123"/>
  <c r="L838" i="123"/>
  <c r="M838" i="123"/>
  <c r="N838" i="123"/>
  <c r="O838" i="123"/>
  <c r="P838" i="123"/>
  <c r="Q838" i="123"/>
  <c r="R838" i="123"/>
  <c r="T838" i="123" s="1"/>
  <c r="S838" i="123"/>
  <c r="X838" i="123"/>
  <c r="Y838" i="123"/>
  <c r="Z838" i="123" s="1"/>
  <c r="AB838" i="123"/>
  <c r="AC838" i="123" s="1"/>
  <c r="AJ838" i="123"/>
  <c r="AK838" i="123"/>
  <c r="AL838" i="123"/>
  <c r="AO838" i="123"/>
  <c r="AP838" i="123"/>
  <c r="AQ838" i="123" s="1"/>
  <c r="AT838" i="123"/>
  <c r="AU838" i="123"/>
  <c r="K839" i="123"/>
  <c r="L839" i="123"/>
  <c r="M839" i="123"/>
  <c r="N839" i="123"/>
  <c r="O839" i="123"/>
  <c r="P839" i="123"/>
  <c r="Q839" i="123"/>
  <c r="R839" i="123"/>
  <c r="T839" i="123" s="1"/>
  <c r="S839" i="123"/>
  <c r="X839" i="123"/>
  <c r="Y839" i="123"/>
  <c r="Z839" i="123" s="1"/>
  <c r="AB839" i="123"/>
  <c r="AC839" i="123" s="1"/>
  <c r="AJ839" i="123"/>
  <c r="AK839" i="123"/>
  <c r="AL839" i="123"/>
  <c r="AO839" i="123"/>
  <c r="AP839" i="123"/>
  <c r="AQ839" i="123" s="1"/>
  <c r="AT839" i="123"/>
  <c r="AU839" i="123"/>
  <c r="K840" i="123"/>
  <c r="L840" i="123"/>
  <c r="M840" i="123"/>
  <c r="N840" i="123"/>
  <c r="O840" i="123"/>
  <c r="P840" i="123"/>
  <c r="Q840" i="123"/>
  <c r="R840" i="123"/>
  <c r="T840" i="123" s="1"/>
  <c r="S840" i="123"/>
  <c r="X840" i="123"/>
  <c r="Y840" i="123"/>
  <c r="AA840" i="123" s="1"/>
  <c r="AB840" i="123"/>
  <c r="AD840" i="123" s="1"/>
  <c r="AJ840" i="123"/>
  <c r="AK840" i="123"/>
  <c r="AL840" i="123"/>
  <c r="AO840" i="123"/>
  <c r="AP840" i="123"/>
  <c r="AQ840" i="123" s="1"/>
  <c r="AT840" i="123"/>
  <c r="AU840" i="123"/>
  <c r="K841" i="123"/>
  <c r="L841" i="123"/>
  <c r="M841" i="123"/>
  <c r="N841" i="123"/>
  <c r="O841" i="123"/>
  <c r="P841" i="123"/>
  <c r="Q841" i="123"/>
  <c r="R841" i="123"/>
  <c r="T841" i="123" s="1"/>
  <c r="S841" i="123"/>
  <c r="X841" i="123"/>
  <c r="Y841" i="123"/>
  <c r="Z841" i="123" s="1"/>
  <c r="AB841" i="123"/>
  <c r="AD841" i="123" s="1"/>
  <c r="AJ841" i="123"/>
  <c r="AK841" i="123"/>
  <c r="AL841" i="123"/>
  <c r="AO841" i="123"/>
  <c r="AP841" i="123"/>
  <c r="AQ841" i="123" s="1"/>
  <c r="AT841" i="123"/>
  <c r="AU841" i="123"/>
  <c r="K842" i="123"/>
  <c r="L842" i="123"/>
  <c r="M842" i="123"/>
  <c r="N842" i="123"/>
  <c r="O842" i="123"/>
  <c r="P842" i="123"/>
  <c r="Q842" i="123"/>
  <c r="R842" i="123"/>
  <c r="T842" i="123" s="1"/>
  <c r="V842" i="123" s="1"/>
  <c r="S842" i="123"/>
  <c r="X842" i="123"/>
  <c r="Y842" i="123"/>
  <c r="Z842" i="123" s="1"/>
  <c r="AB842" i="123"/>
  <c r="AD842" i="123" s="1"/>
  <c r="AJ842" i="123"/>
  <c r="AK842" i="123"/>
  <c r="AL842" i="123"/>
  <c r="AO842" i="123"/>
  <c r="AP842" i="123"/>
  <c r="AQ842" i="123" s="1"/>
  <c r="AT842" i="123"/>
  <c r="AU842" i="123"/>
  <c r="K843" i="123"/>
  <c r="L843" i="123"/>
  <c r="M843" i="123"/>
  <c r="N843" i="123"/>
  <c r="O843" i="123"/>
  <c r="P843" i="123"/>
  <c r="Q843" i="123"/>
  <c r="R843" i="123"/>
  <c r="T843" i="123" s="1"/>
  <c r="S843" i="123"/>
  <c r="X843" i="123"/>
  <c r="Y843" i="123"/>
  <c r="Z843" i="123" s="1"/>
  <c r="AB843" i="123"/>
  <c r="AC843" i="123" s="1"/>
  <c r="AJ843" i="123"/>
  <c r="AK843" i="123"/>
  <c r="AL843" i="123"/>
  <c r="AO843" i="123"/>
  <c r="AP843" i="123"/>
  <c r="AQ843" i="123" s="1"/>
  <c r="AT843" i="123"/>
  <c r="AU843" i="123"/>
  <c r="K844" i="123"/>
  <c r="L844" i="123"/>
  <c r="M844" i="123"/>
  <c r="N844" i="123"/>
  <c r="O844" i="123"/>
  <c r="P844" i="123"/>
  <c r="Q844" i="123"/>
  <c r="R844" i="123"/>
  <c r="T844" i="123" s="1"/>
  <c r="S844" i="123"/>
  <c r="X844" i="123"/>
  <c r="Y844" i="123"/>
  <c r="AA844" i="123" s="1"/>
  <c r="AB844" i="123"/>
  <c r="AC844" i="123" s="1"/>
  <c r="AJ844" i="123"/>
  <c r="AK844" i="123"/>
  <c r="AL844" i="123"/>
  <c r="AO844" i="123"/>
  <c r="AP844" i="123"/>
  <c r="AQ844" i="123" s="1"/>
  <c r="AT844" i="123"/>
  <c r="AU844" i="123"/>
  <c r="K845" i="123"/>
  <c r="L845" i="123"/>
  <c r="M845" i="123"/>
  <c r="N845" i="123"/>
  <c r="O845" i="123"/>
  <c r="P845" i="123"/>
  <c r="Q845" i="123"/>
  <c r="R845" i="123"/>
  <c r="T845" i="123" s="1"/>
  <c r="S845" i="123"/>
  <c r="X845" i="123"/>
  <c r="Y845" i="123"/>
  <c r="Z845" i="123" s="1"/>
  <c r="AB845" i="123"/>
  <c r="AD845" i="123" s="1"/>
  <c r="AJ845" i="123"/>
  <c r="AK845" i="123"/>
  <c r="AL845" i="123"/>
  <c r="AO845" i="123"/>
  <c r="AP845" i="123"/>
  <c r="AQ845" i="123" s="1"/>
  <c r="AT845" i="123"/>
  <c r="AU845" i="123"/>
  <c r="K846" i="123"/>
  <c r="L846" i="123"/>
  <c r="M846" i="123"/>
  <c r="N846" i="123"/>
  <c r="O846" i="123"/>
  <c r="P846" i="123"/>
  <c r="Q846" i="123"/>
  <c r="R846" i="123"/>
  <c r="T846" i="123" s="1"/>
  <c r="V846" i="123" s="1"/>
  <c r="S846" i="123"/>
  <c r="X846" i="123"/>
  <c r="Y846" i="123"/>
  <c r="AA846" i="123" s="1"/>
  <c r="AB846" i="123"/>
  <c r="AD846" i="123" s="1"/>
  <c r="AJ846" i="123"/>
  <c r="AK846" i="123"/>
  <c r="AL846" i="123"/>
  <c r="AO846" i="123"/>
  <c r="AP846" i="123"/>
  <c r="AQ846" i="123" s="1"/>
  <c r="AT846" i="123"/>
  <c r="AU846" i="123"/>
  <c r="K847" i="123"/>
  <c r="L847" i="123"/>
  <c r="M847" i="123"/>
  <c r="N847" i="123"/>
  <c r="O847" i="123"/>
  <c r="P847" i="123"/>
  <c r="Q847" i="123"/>
  <c r="R847" i="123"/>
  <c r="T847" i="123" s="1"/>
  <c r="S847" i="123"/>
  <c r="X847" i="123"/>
  <c r="Y847" i="123"/>
  <c r="Z847" i="123" s="1"/>
  <c r="AB847" i="123"/>
  <c r="AD847" i="123" s="1"/>
  <c r="AJ847" i="123"/>
  <c r="AK847" i="123"/>
  <c r="AL847" i="123"/>
  <c r="AO847" i="123"/>
  <c r="AP847" i="123"/>
  <c r="AQ847" i="123" s="1"/>
  <c r="AT847" i="123"/>
  <c r="AU847" i="123"/>
  <c r="K848" i="123"/>
  <c r="L848" i="123"/>
  <c r="M848" i="123"/>
  <c r="N848" i="123"/>
  <c r="O848" i="123"/>
  <c r="P848" i="123"/>
  <c r="Q848" i="123"/>
  <c r="R848" i="123"/>
  <c r="T848" i="123" s="1"/>
  <c r="S848" i="123"/>
  <c r="X848" i="123"/>
  <c r="Y848" i="123"/>
  <c r="AA848" i="123" s="1"/>
  <c r="AB848" i="123"/>
  <c r="AC848" i="123" s="1"/>
  <c r="AJ848" i="123"/>
  <c r="AK848" i="123"/>
  <c r="AL848" i="123"/>
  <c r="AO848" i="123"/>
  <c r="AP848" i="123"/>
  <c r="AQ848" i="123" s="1"/>
  <c r="AT848" i="123"/>
  <c r="AU848" i="123"/>
  <c r="K849" i="123"/>
  <c r="L849" i="123"/>
  <c r="M849" i="123"/>
  <c r="N849" i="123"/>
  <c r="O849" i="123"/>
  <c r="P849" i="123"/>
  <c r="Q849" i="123"/>
  <c r="R849" i="123"/>
  <c r="T849" i="123" s="1"/>
  <c r="V849" i="123" s="1"/>
  <c r="S849" i="123"/>
  <c r="X849" i="123"/>
  <c r="Y849" i="123"/>
  <c r="Z849" i="123" s="1"/>
  <c r="AB849" i="123"/>
  <c r="AD849" i="123" s="1"/>
  <c r="AJ849" i="123"/>
  <c r="AK849" i="123"/>
  <c r="AL849" i="123"/>
  <c r="AO849" i="123"/>
  <c r="AP849" i="123"/>
  <c r="AQ849" i="123" s="1"/>
  <c r="AT849" i="123"/>
  <c r="AU849" i="123"/>
  <c r="K850" i="123"/>
  <c r="L850" i="123"/>
  <c r="M850" i="123"/>
  <c r="N850" i="123"/>
  <c r="O850" i="123"/>
  <c r="P850" i="123"/>
  <c r="Q850" i="123"/>
  <c r="R850" i="123"/>
  <c r="T850" i="123" s="1"/>
  <c r="V850" i="123" s="1"/>
  <c r="S850" i="123"/>
  <c r="X850" i="123"/>
  <c r="Y850" i="123"/>
  <c r="AA850" i="123" s="1"/>
  <c r="AB850" i="123"/>
  <c r="AD850" i="123" s="1"/>
  <c r="AJ850" i="123"/>
  <c r="AK850" i="123"/>
  <c r="AL850" i="123"/>
  <c r="AO850" i="123"/>
  <c r="AP850" i="123"/>
  <c r="AQ850" i="123" s="1"/>
  <c r="AT850" i="123"/>
  <c r="AU850" i="123"/>
  <c r="K851" i="123"/>
  <c r="L851" i="123"/>
  <c r="M851" i="123"/>
  <c r="N851" i="123"/>
  <c r="O851" i="123"/>
  <c r="P851" i="123"/>
  <c r="Q851" i="123"/>
  <c r="R851" i="123"/>
  <c r="T851" i="123" s="1"/>
  <c r="S851" i="123"/>
  <c r="X851" i="123"/>
  <c r="Y851" i="123"/>
  <c r="Z851" i="123" s="1"/>
  <c r="AB851" i="123"/>
  <c r="AD851" i="123" s="1"/>
  <c r="AJ851" i="123"/>
  <c r="AK851" i="123"/>
  <c r="AL851" i="123"/>
  <c r="AO851" i="123"/>
  <c r="AP851" i="123"/>
  <c r="AQ851" i="123" s="1"/>
  <c r="AT851" i="123"/>
  <c r="AU851" i="123"/>
  <c r="K852" i="123"/>
  <c r="L852" i="123"/>
  <c r="M852" i="123"/>
  <c r="N852" i="123"/>
  <c r="O852" i="123"/>
  <c r="P852" i="123"/>
  <c r="Q852" i="123"/>
  <c r="R852" i="123"/>
  <c r="T852" i="123" s="1"/>
  <c r="S852" i="123"/>
  <c r="X852" i="123"/>
  <c r="Y852" i="123"/>
  <c r="AA852" i="123" s="1"/>
  <c r="AB852" i="123"/>
  <c r="AC852" i="123" s="1"/>
  <c r="AJ852" i="123"/>
  <c r="AK852" i="123"/>
  <c r="AL852" i="123"/>
  <c r="AO852" i="123"/>
  <c r="AP852" i="123"/>
  <c r="AQ852" i="123" s="1"/>
  <c r="AT852" i="123"/>
  <c r="AU852" i="123"/>
  <c r="K853" i="123"/>
  <c r="L853" i="123"/>
  <c r="M853" i="123"/>
  <c r="N853" i="123"/>
  <c r="O853" i="123"/>
  <c r="P853" i="123"/>
  <c r="Q853" i="123"/>
  <c r="R853" i="123"/>
  <c r="T853" i="123" s="1"/>
  <c r="S853" i="123"/>
  <c r="X853" i="123"/>
  <c r="Y853" i="123"/>
  <c r="Z853" i="123" s="1"/>
  <c r="AB853" i="123"/>
  <c r="AD853" i="123" s="1"/>
  <c r="AJ853" i="123"/>
  <c r="AK853" i="123"/>
  <c r="AL853" i="123"/>
  <c r="AO853" i="123"/>
  <c r="AP853" i="123"/>
  <c r="AQ853" i="123" s="1"/>
  <c r="AT853" i="123"/>
  <c r="AU853" i="123"/>
  <c r="K854" i="123"/>
  <c r="L854" i="123"/>
  <c r="M854" i="123"/>
  <c r="N854" i="123"/>
  <c r="O854" i="123"/>
  <c r="P854" i="123"/>
  <c r="Q854" i="123"/>
  <c r="R854" i="123"/>
  <c r="T854" i="123" s="1"/>
  <c r="V854" i="123" s="1"/>
  <c r="S854" i="123"/>
  <c r="X854" i="123"/>
  <c r="Y854" i="123"/>
  <c r="AA854" i="123" s="1"/>
  <c r="AB854" i="123"/>
  <c r="AD854" i="123" s="1"/>
  <c r="AJ854" i="123"/>
  <c r="AK854" i="123"/>
  <c r="AL854" i="123"/>
  <c r="AO854" i="123"/>
  <c r="AP854" i="123"/>
  <c r="AQ854" i="123" s="1"/>
  <c r="AT854" i="123"/>
  <c r="AU854" i="123"/>
  <c r="K855" i="123"/>
  <c r="L855" i="123"/>
  <c r="M855" i="123"/>
  <c r="N855" i="123"/>
  <c r="O855" i="123"/>
  <c r="P855" i="123"/>
  <c r="Q855" i="123"/>
  <c r="R855" i="123"/>
  <c r="T855" i="123" s="1"/>
  <c r="S855" i="123"/>
  <c r="X855" i="123"/>
  <c r="Y855" i="123"/>
  <c r="Z855" i="123" s="1"/>
  <c r="AB855" i="123"/>
  <c r="AD855" i="123" s="1"/>
  <c r="AJ855" i="123"/>
  <c r="AK855" i="123"/>
  <c r="AL855" i="123"/>
  <c r="AO855" i="123"/>
  <c r="AP855" i="123"/>
  <c r="AQ855" i="123" s="1"/>
  <c r="AT855" i="123"/>
  <c r="AU855" i="123"/>
  <c r="K856" i="123"/>
  <c r="L856" i="123"/>
  <c r="M856" i="123"/>
  <c r="N856" i="123"/>
  <c r="O856" i="123"/>
  <c r="P856" i="123"/>
  <c r="Q856" i="123"/>
  <c r="R856" i="123"/>
  <c r="T856" i="123" s="1"/>
  <c r="S856" i="123"/>
  <c r="X856" i="123"/>
  <c r="Y856" i="123"/>
  <c r="AA856" i="123" s="1"/>
  <c r="AB856" i="123"/>
  <c r="AC856" i="123" s="1"/>
  <c r="AJ856" i="123"/>
  <c r="AK856" i="123"/>
  <c r="AL856" i="123"/>
  <c r="AO856" i="123"/>
  <c r="AP856" i="123"/>
  <c r="AQ856" i="123" s="1"/>
  <c r="AT856" i="123"/>
  <c r="AU856" i="123"/>
  <c r="K857" i="123"/>
  <c r="L857" i="123"/>
  <c r="M857" i="123"/>
  <c r="N857" i="123"/>
  <c r="O857" i="123"/>
  <c r="P857" i="123"/>
  <c r="Q857" i="123"/>
  <c r="R857" i="123"/>
  <c r="T857" i="123" s="1"/>
  <c r="V857" i="123" s="1"/>
  <c r="S857" i="123"/>
  <c r="X857" i="123"/>
  <c r="Y857" i="123"/>
  <c r="Z857" i="123" s="1"/>
  <c r="AB857" i="123"/>
  <c r="AD857" i="123" s="1"/>
  <c r="AJ857" i="123"/>
  <c r="AK857" i="123"/>
  <c r="AL857" i="123"/>
  <c r="AO857" i="123"/>
  <c r="AP857" i="123"/>
  <c r="AQ857" i="123" s="1"/>
  <c r="AT857" i="123"/>
  <c r="AU857" i="123"/>
  <c r="K858" i="123"/>
  <c r="L858" i="123"/>
  <c r="M858" i="123"/>
  <c r="N858" i="123"/>
  <c r="O858" i="123"/>
  <c r="P858" i="123"/>
  <c r="Q858" i="123"/>
  <c r="R858" i="123"/>
  <c r="T858" i="123" s="1"/>
  <c r="V858" i="123" s="1"/>
  <c r="S858" i="123"/>
  <c r="X858" i="123"/>
  <c r="Y858" i="123"/>
  <c r="AA858" i="123" s="1"/>
  <c r="AB858" i="123"/>
  <c r="AD858" i="123" s="1"/>
  <c r="AJ858" i="123"/>
  <c r="AK858" i="123"/>
  <c r="AL858" i="123"/>
  <c r="AO858" i="123"/>
  <c r="AP858" i="123"/>
  <c r="AQ858" i="123" s="1"/>
  <c r="AT858" i="123"/>
  <c r="AU858" i="123"/>
  <c r="K859" i="123"/>
  <c r="L859" i="123"/>
  <c r="M859" i="123"/>
  <c r="N859" i="123"/>
  <c r="O859" i="123"/>
  <c r="P859" i="123"/>
  <c r="Q859" i="123"/>
  <c r="R859" i="123"/>
  <c r="T859" i="123" s="1"/>
  <c r="S859" i="123"/>
  <c r="X859" i="123"/>
  <c r="Y859" i="123"/>
  <c r="Z859" i="123" s="1"/>
  <c r="AB859" i="123"/>
  <c r="AC859" i="123" s="1"/>
  <c r="AJ859" i="123"/>
  <c r="AK859" i="123"/>
  <c r="AL859" i="123"/>
  <c r="AO859" i="123"/>
  <c r="AP859" i="123"/>
  <c r="AQ859" i="123" s="1"/>
  <c r="AT859" i="123"/>
  <c r="AU859" i="123"/>
  <c r="K860" i="123"/>
  <c r="L860" i="123"/>
  <c r="M860" i="123"/>
  <c r="N860" i="123"/>
  <c r="O860" i="123"/>
  <c r="P860" i="123"/>
  <c r="Q860" i="123"/>
  <c r="R860" i="123"/>
  <c r="T860" i="123" s="1"/>
  <c r="S860" i="123"/>
  <c r="X860" i="123"/>
  <c r="Y860" i="123"/>
  <c r="AA860" i="123" s="1"/>
  <c r="AB860" i="123"/>
  <c r="AC860" i="123" s="1"/>
  <c r="AJ860" i="123"/>
  <c r="AK860" i="123"/>
  <c r="AL860" i="123"/>
  <c r="AO860" i="123"/>
  <c r="AP860" i="123"/>
  <c r="AQ860" i="123" s="1"/>
  <c r="AT860" i="123"/>
  <c r="AU860" i="123"/>
  <c r="K861" i="123"/>
  <c r="L861" i="123"/>
  <c r="M861" i="123"/>
  <c r="N861" i="123"/>
  <c r="O861" i="123"/>
  <c r="P861" i="123"/>
  <c r="Q861" i="123"/>
  <c r="R861" i="123"/>
  <c r="T861" i="123" s="1"/>
  <c r="S861" i="123"/>
  <c r="X861" i="123"/>
  <c r="Y861" i="123"/>
  <c r="Z861" i="123" s="1"/>
  <c r="AB861" i="123"/>
  <c r="AD861" i="123" s="1"/>
  <c r="AJ861" i="123"/>
  <c r="AK861" i="123"/>
  <c r="AL861" i="123"/>
  <c r="AO861" i="123"/>
  <c r="AP861" i="123"/>
  <c r="AQ861" i="123" s="1"/>
  <c r="AT861" i="123"/>
  <c r="AU861" i="123"/>
  <c r="K862" i="123"/>
  <c r="L862" i="123"/>
  <c r="M862" i="123"/>
  <c r="N862" i="123"/>
  <c r="O862" i="123"/>
  <c r="P862" i="123"/>
  <c r="Q862" i="123"/>
  <c r="R862" i="123"/>
  <c r="T862" i="123" s="1"/>
  <c r="V862" i="123" s="1"/>
  <c r="S862" i="123"/>
  <c r="X862" i="123"/>
  <c r="Y862" i="123"/>
  <c r="Z862" i="123" s="1"/>
  <c r="AB862" i="123"/>
  <c r="AD862" i="123" s="1"/>
  <c r="AJ862" i="123"/>
  <c r="AK862" i="123"/>
  <c r="AL862" i="123"/>
  <c r="AO862" i="123"/>
  <c r="AP862" i="123"/>
  <c r="AQ862" i="123" s="1"/>
  <c r="AT862" i="123"/>
  <c r="AU862" i="123"/>
  <c r="K863" i="123"/>
  <c r="L863" i="123"/>
  <c r="M863" i="123"/>
  <c r="N863" i="123"/>
  <c r="O863" i="123"/>
  <c r="P863" i="123"/>
  <c r="Q863" i="123"/>
  <c r="R863" i="123"/>
  <c r="T863" i="123" s="1"/>
  <c r="S863" i="123"/>
  <c r="X863" i="123"/>
  <c r="Y863" i="123"/>
  <c r="Z863" i="123" s="1"/>
  <c r="AB863" i="123"/>
  <c r="AD863" i="123" s="1"/>
  <c r="AJ863" i="123"/>
  <c r="AK863" i="123"/>
  <c r="AL863" i="123"/>
  <c r="AO863" i="123"/>
  <c r="AP863" i="123"/>
  <c r="AQ863" i="123" s="1"/>
  <c r="AT863" i="123"/>
  <c r="AU863" i="123"/>
  <c r="K864" i="123"/>
  <c r="L864" i="123"/>
  <c r="M864" i="123"/>
  <c r="N864" i="123"/>
  <c r="O864" i="123"/>
  <c r="P864" i="123"/>
  <c r="Q864" i="123"/>
  <c r="R864" i="123"/>
  <c r="T864" i="123" s="1"/>
  <c r="S864" i="123"/>
  <c r="X864" i="123"/>
  <c r="Y864" i="123"/>
  <c r="AA864" i="123" s="1"/>
  <c r="AB864" i="123"/>
  <c r="AC864" i="123" s="1"/>
  <c r="AJ864" i="123"/>
  <c r="AK864" i="123"/>
  <c r="AL864" i="123"/>
  <c r="AO864" i="123"/>
  <c r="AP864" i="123"/>
  <c r="AQ864" i="123" s="1"/>
  <c r="AT864" i="123"/>
  <c r="AU864" i="123"/>
  <c r="K865" i="123"/>
  <c r="L865" i="123"/>
  <c r="M865" i="123"/>
  <c r="N865" i="123"/>
  <c r="O865" i="123"/>
  <c r="P865" i="123"/>
  <c r="Q865" i="123"/>
  <c r="R865" i="123"/>
  <c r="T865" i="123" s="1"/>
  <c r="V865" i="123" s="1"/>
  <c r="S865" i="123"/>
  <c r="X865" i="123"/>
  <c r="Y865" i="123"/>
  <c r="Z865" i="123" s="1"/>
  <c r="AB865" i="123"/>
  <c r="AD865" i="123" s="1"/>
  <c r="AJ865" i="123"/>
  <c r="AK865" i="123"/>
  <c r="AL865" i="123"/>
  <c r="AO865" i="123"/>
  <c r="AP865" i="123"/>
  <c r="AQ865" i="123" s="1"/>
  <c r="AT865" i="123"/>
  <c r="AU865" i="123"/>
  <c r="K866" i="123"/>
  <c r="L866" i="123"/>
  <c r="M866" i="123"/>
  <c r="N866" i="123"/>
  <c r="O866" i="123"/>
  <c r="P866" i="123"/>
  <c r="Q866" i="123"/>
  <c r="R866" i="123"/>
  <c r="T866" i="123" s="1"/>
  <c r="V866" i="123" s="1"/>
  <c r="S866" i="123"/>
  <c r="X866" i="123"/>
  <c r="Y866" i="123"/>
  <c r="AA866" i="123" s="1"/>
  <c r="AB866" i="123"/>
  <c r="AD866" i="123" s="1"/>
  <c r="AJ866" i="123"/>
  <c r="AK866" i="123"/>
  <c r="AL866" i="123"/>
  <c r="AO866" i="123"/>
  <c r="AP866" i="123"/>
  <c r="AQ866" i="123" s="1"/>
  <c r="AT866" i="123"/>
  <c r="AU866" i="123"/>
  <c r="K867" i="123"/>
  <c r="L867" i="123"/>
  <c r="M867" i="123"/>
  <c r="N867" i="123"/>
  <c r="O867" i="123"/>
  <c r="P867" i="123"/>
  <c r="Q867" i="123"/>
  <c r="R867" i="123"/>
  <c r="T867" i="123" s="1"/>
  <c r="S867" i="123"/>
  <c r="X867" i="123"/>
  <c r="Y867" i="123"/>
  <c r="Z867" i="123" s="1"/>
  <c r="AB867" i="123"/>
  <c r="AD867" i="123" s="1"/>
  <c r="AJ867" i="123"/>
  <c r="AK867" i="123"/>
  <c r="AL867" i="123"/>
  <c r="AO867" i="123"/>
  <c r="AP867" i="123"/>
  <c r="AQ867" i="123" s="1"/>
  <c r="AT867" i="123"/>
  <c r="AU867" i="123"/>
  <c r="K868" i="123"/>
  <c r="L868" i="123"/>
  <c r="M868" i="123"/>
  <c r="N868" i="123"/>
  <c r="O868" i="123"/>
  <c r="P868" i="123"/>
  <c r="Q868" i="123"/>
  <c r="R868" i="123"/>
  <c r="T868" i="123" s="1"/>
  <c r="S868" i="123"/>
  <c r="X868" i="123"/>
  <c r="Y868" i="123"/>
  <c r="AA868" i="123" s="1"/>
  <c r="AB868" i="123"/>
  <c r="AC868" i="123" s="1"/>
  <c r="AJ868" i="123"/>
  <c r="AK868" i="123"/>
  <c r="AL868" i="123"/>
  <c r="AO868" i="123"/>
  <c r="AP868" i="123"/>
  <c r="AQ868" i="123" s="1"/>
  <c r="AT868" i="123"/>
  <c r="AU868" i="123"/>
  <c r="K869" i="123"/>
  <c r="L869" i="123"/>
  <c r="M869" i="123"/>
  <c r="N869" i="123"/>
  <c r="O869" i="123"/>
  <c r="P869" i="123"/>
  <c r="Q869" i="123"/>
  <c r="R869" i="123"/>
  <c r="T869" i="123" s="1"/>
  <c r="S869" i="123"/>
  <c r="X869" i="123"/>
  <c r="Y869" i="123"/>
  <c r="Z869" i="123" s="1"/>
  <c r="AB869" i="123"/>
  <c r="AD869" i="123" s="1"/>
  <c r="AJ869" i="123"/>
  <c r="AK869" i="123"/>
  <c r="AL869" i="123"/>
  <c r="AO869" i="123"/>
  <c r="AP869" i="123"/>
  <c r="AQ869" i="123" s="1"/>
  <c r="AT869" i="123"/>
  <c r="AU869" i="123"/>
  <c r="K870" i="123"/>
  <c r="L870" i="123"/>
  <c r="M870" i="123"/>
  <c r="N870" i="123"/>
  <c r="O870" i="123"/>
  <c r="P870" i="123"/>
  <c r="Q870" i="123"/>
  <c r="R870" i="123"/>
  <c r="T870" i="123" s="1"/>
  <c r="V870" i="123" s="1"/>
  <c r="S870" i="123"/>
  <c r="X870" i="123"/>
  <c r="Y870" i="123"/>
  <c r="AA870" i="123" s="1"/>
  <c r="AB870" i="123"/>
  <c r="AD870" i="123" s="1"/>
  <c r="AJ870" i="123"/>
  <c r="AK870" i="123"/>
  <c r="AL870" i="123"/>
  <c r="AO870" i="123"/>
  <c r="AP870" i="123"/>
  <c r="AQ870" i="123" s="1"/>
  <c r="AT870" i="123"/>
  <c r="AU870" i="123"/>
  <c r="K871" i="123"/>
  <c r="L871" i="123"/>
  <c r="M871" i="123"/>
  <c r="N871" i="123"/>
  <c r="O871" i="123"/>
  <c r="P871" i="123"/>
  <c r="Q871" i="123"/>
  <c r="R871" i="123"/>
  <c r="T871" i="123" s="1"/>
  <c r="S871" i="123"/>
  <c r="X871" i="123"/>
  <c r="Y871" i="123"/>
  <c r="Z871" i="123" s="1"/>
  <c r="AB871" i="123"/>
  <c r="AD871" i="123" s="1"/>
  <c r="AJ871" i="123"/>
  <c r="AK871" i="123"/>
  <c r="AL871" i="123"/>
  <c r="AO871" i="123"/>
  <c r="AP871" i="123"/>
  <c r="AQ871" i="123" s="1"/>
  <c r="AT871" i="123"/>
  <c r="AU871" i="123"/>
  <c r="K872" i="123"/>
  <c r="L872" i="123"/>
  <c r="M872" i="123"/>
  <c r="N872" i="123"/>
  <c r="O872" i="123"/>
  <c r="P872" i="123"/>
  <c r="Q872" i="123"/>
  <c r="R872" i="123"/>
  <c r="T872" i="123" s="1"/>
  <c r="S872" i="123"/>
  <c r="X872" i="123"/>
  <c r="Y872" i="123"/>
  <c r="AA872" i="123" s="1"/>
  <c r="AB872" i="123"/>
  <c r="AC872" i="123" s="1"/>
  <c r="AJ872" i="123"/>
  <c r="AK872" i="123"/>
  <c r="AL872" i="123"/>
  <c r="AO872" i="123"/>
  <c r="AP872" i="123"/>
  <c r="AQ872" i="123" s="1"/>
  <c r="AT872" i="123"/>
  <c r="AU872" i="123"/>
  <c r="K873" i="123"/>
  <c r="L873" i="123"/>
  <c r="M873" i="123"/>
  <c r="N873" i="123"/>
  <c r="O873" i="123"/>
  <c r="P873" i="123"/>
  <c r="Q873" i="123"/>
  <c r="R873" i="123"/>
  <c r="T873" i="123" s="1"/>
  <c r="V873" i="123" s="1"/>
  <c r="S873" i="123"/>
  <c r="X873" i="123"/>
  <c r="Y873" i="123"/>
  <c r="Z873" i="123" s="1"/>
  <c r="AB873" i="123"/>
  <c r="AD873" i="123" s="1"/>
  <c r="AJ873" i="123"/>
  <c r="AK873" i="123"/>
  <c r="AL873" i="123"/>
  <c r="AO873" i="123"/>
  <c r="AP873" i="123"/>
  <c r="AQ873" i="123" s="1"/>
  <c r="AT873" i="123"/>
  <c r="AU873" i="123"/>
  <c r="K874" i="123"/>
  <c r="L874" i="123"/>
  <c r="M874" i="123"/>
  <c r="N874" i="123"/>
  <c r="O874" i="123"/>
  <c r="P874" i="123"/>
  <c r="Q874" i="123"/>
  <c r="R874" i="123"/>
  <c r="T874" i="123" s="1"/>
  <c r="V874" i="123" s="1"/>
  <c r="S874" i="123"/>
  <c r="X874" i="123"/>
  <c r="Y874" i="123"/>
  <c r="AA874" i="123" s="1"/>
  <c r="AB874" i="123"/>
  <c r="AD874" i="123" s="1"/>
  <c r="AJ874" i="123"/>
  <c r="AK874" i="123"/>
  <c r="AL874" i="123"/>
  <c r="AO874" i="123"/>
  <c r="AP874" i="123"/>
  <c r="AQ874" i="123" s="1"/>
  <c r="AT874" i="123"/>
  <c r="AU874" i="123"/>
  <c r="K875" i="123"/>
  <c r="L875" i="123"/>
  <c r="M875" i="123"/>
  <c r="N875" i="123"/>
  <c r="O875" i="123"/>
  <c r="P875" i="123"/>
  <c r="Q875" i="123"/>
  <c r="R875" i="123"/>
  <c r="T875" i="123" s="1"/>
  <c r="S875" i="123"/>
  <c r="X875" i="123"/>
  <c r="Y875" i="123"/>
  <c r="Z875" i="123" s="1"/>
  <c r="AB875" i="123"/>
  <c r="AD875" i="123" s="1"/>
  <c r="AJ875" i="123"/>
  <c r="AK875" i="123"/>
  <c r="AL875" i="123"/>
  <c r="AO875" i="123"/>
  <c r="AP875" i="123"/>
  <c r="AQ875" i="123" s="1"/>
  <c r="AT875" i="123"/>
  <c r="AU875" i="123"/>
  <c r="K876" i="123"/>
  <c r="L876" i="123"/>
  <c r="M876" i="123"/>
  <c r="N876" i="123"/>
  <c r="O876" i="123"/>
  <c r="P876" i="123"/>
  <c r="Q876" i="123"/>
  <c r="R876" i="123"/>
  <c r="T876" i="123" s="1"/>
  <c r="S876" i="123"/>
  <c r="X876" i="123"/>
  <c r="Y876" i="123"/>
  <c r="AA876" i="123" s="1"/>
  <c r="AB876" i="123"/>
  <c r="AC876" i="123" s="1"/>
  <c r="AJ876" i="123"/>
  <c r="AK876" i="123"/>
  <c r="AL876" i="123"/>
  <c r="AO876" i="123"/>
  <c r="AP876" i="123"/>
  <c r="AQ876" i="123" s="1"/>
  <c r="AT876" i="123"/>
  <c r="AU876" i="123"/>
  <c r="K877" i="123"/>
  <c r="L877" i="123"/>
  <c r="M877" i="123"/>
  <c r="N877" i="123"/>
  <c r="O877" i="123"/>
  <c r="P877" i="123"/>
  <c r="Q877" i="123"/>
  <c r="R877" i="123"/>
  <c r="T877" i="123" s="1"/>
  <c r="S877" i="123"/>
  <c r="X877" i="123"/>
  <c r="Y877" i="123"/>
  <c r="AA877" i="123" s="1"/>
  <c r="AB877" i="123"/>
  <c r="AD877" i="123" s="1"/>
  <c r="AJ877" i="123"/>
  <c r="AK877" i="123"/>
  <c r="AL877" i="123"/>
  <c r="AO877" i="123"/>
  <c r="AP877" i="123"/>
  <c r="AQ877" i="123" s="1"/>
  <c r="AT877" i="123"/>
  <c r="AU877" i="123"/>
  <c r="K878" i="123"/>
  <c r="L878" i="123"/>
  <c r="M878" i="123"/>
  <c r="N878" i="123"/>
  <c r="O878" i="123"/>
  <c r="P878" i="123"/>
  <c r="Q878" i="123"/>
  <c r="R878" i="123"/>
  <c r="T878" i="123" s="1"/>
  <c r="V878" i="123" s="1"/>
  <c r="S878" i="123"/>
  <c r="X878" i="123"/>
  <c r="Y878" i="123"/>
  <c r="Z878" i="123" s="1"/>
  <c r="AB878" i="123"/>
  <c r="AD878" i="123" s="1"/>
  <c r="AJ878" i="123"/>
  <c r="AK878" i="123"/>
  <c r="AL878" i="123"/>
  <c r="AO878" i="123"/>
  <c r="AP878" i="123"/>
  <c r="AQ878" i="123" s="1"/>
  <c r="AT878" i="123"/>
  <c r="AU878" i="123"/>
  <c r="K879" i="123"/>
  <c r="L879" i="123"/>
  <c r="M879" i="123"/>
  <c r="N879" i="123"/>
  <c r="O879" i="123"/>
  <c r="P879" i="123"/>
  <c r="Q879" i="123"/>
  <c r="R879" i="123"/>
  <c r="T879" i="123" s="1"/>
  <c r="S879" i="123"/>
  <c r="X879" i="123"/>
  <c r="Y879" i="123"/>
  <c r="Z879" i="123" s="1"/>
  <c r="AB879" i="123"/>
  <c r="AD879" i="123" s="1"/>
  <c r="AJ879" i="123"/>
  <c r="AK879" i="123"/>
  <c r="AL879" i="123"/>
  <c r="AO879" i="123"/>
  <c r="AP879" i="123"/>
  <c r="AQ879" i="123" s="1"/>
  <c r="AT879" i="123"/>
  <c r="AU879" i="123"/>
  <c r="K880" i="123"/>
  <c r="L880" i="123"/>
  <c r="M880" i="123"/>
  <c r="N880" i="123"/>
  <c r="O880" i="123"/>
  <c r="P880" i="123"/>
  <c r="Q880" i="123"/>
  <c r="R880" i="123"/>
  <c r="T880" i="123" s="1"/>
  <c r="S880" i="123"/>
  <c r="X880" i="123"/>
  <c r="Y880" i="123"/>
  <c r="AA880" i="123" s="1"/>
  <c r="AB880" i="123"/>
  <c r="AC880" i="123" s="1"/>
  <c r="AJ880" i="123"/>
  <c r="AK880" i="123"/>
  <c r="AL880" i="123"/>
  <c r="AO880" i="123"/>
  <c r="AP880" i="123"/>
  <c r="AQ880" i="123" s="1"/>
  <c r="AT880" i="123"/>
  <c r="AU880" i="123"/>
  <c r="K881" i="123"/>
  <c r="L881" i="123"/>
  <c r="M881" i="123"/>
  <c r="N881" i="123"/>
  <c r="O881" i="123"/>
  <c r="P881" i="123"/>
  <c r="Q881" i="123"/>
  <c r="R881" i="123"/>
  <c r="T881" i="123" s="1"/>
  <c r="S881" i="123"/>
  <c r="X881" i="123"/>
  <c r="Y881" i="123"/>
  <c r="AA881" i="123" s="1"/>
  <c r="AB881" i="123"/>
  <c r="AD881" i="123" s="1"/>
  <c r="AJ881" i="123"/>
  <c r="AK881" i="123"/>
  <c r="AL881" i="123"/>
  <c r="AO881" i="123"/>
  <c r="AP881" i="123"/>
  <c r="AT881" i="123"/>
  <c r="AU881" i="123"/>
  <c r="K882" i="123"/>
  <c r="L882" i="123"/>
  <c r="M882" i="123"/>
  <c r="N882" i="123"/>
  <c r="O882" i="123"/>
  <c r="P882" i="123"/>
  <c r="Q882" i="123"/>
  <c r="R882" i="123"/>
  <c r="T882" i="123" s="1"/>
  <c r="V882" i="123" s="1"/>
  <c r="S882" i="123"/>
  <c r="X882" i="123"/>
  <c r="Y882" i="123"/>
  <c r="Z882" i="123" s="1"/>
  <c r="AB882" i="123"/>
  <c r="AD882" i="123" s="1"/>
  <c r="AJ882" i="123"/>
  <c r="AK882" i="123"/>
  <c r="AL882" i="123"/>
  <c r="AO882" i="123"/>
  <c r="AP882" i="123"/>
  <c r="AQ882" i="123" s="1"/>
  <c r="AT882" i="123"/>
  <c r="AU882" i="123"/>
  <c r="K883" i="123"/>
  <c r="L883" i="123"/>
  <c r="M883" i="123"/>
  <c r="N883" i="123"/>
  <c r="O883" i="123"/>
  <c r="P883" i="123"/>
  <c r="Q883" i="123"/>
  <c r="R883" i="123"/>
  <c r="T883" i="123" s="1"/>
  <c r="S883" i="123"/>
  <c r="X883" i="123"/>
  <c r="Y883" i="123"/>
  <c r="Z883" i="123" s="1"/>
  <c r="AB883" i="123"/>
  <c r="AD883" i="123" s="1"/>
  <c r="AJ883" i="123"/>
  <c r="AK883" i="123"/>
  <c r="AL883" i="123"/>
  <c r="AO883" i="123"/>
  <c r="AP883" i="123"/>
  <c r="AQ883" i="123" s="1"/>
  <c r="AT883" i="123"/>
  <c r="AU883" i="123"/>
  <c r="K884" i="123"/>
  <c r="L884" i="123"/>
  <c r="M884" i="123"/>
  <c r="N884" i="123"/>
  <c r="O884" i="123"/>
  <c r="P884" i="123"/>
  <c r="Q884" i="123"/>
  <c r="R884" i="123"/>
  <c r="T884" i="123" s="1"/>
  <c r="S884" i="123"/>
  <c r="X884" i="123"/>
  <c r="Y884" i="123"/>
  <c r="AA884" i="123" s="1"/>
  <c r="AB884" i="123"/>
  <c r="AC884" i="123" s="1"/>
  <c r="AJ884" i="123"/>
  <c r="AK884" i="123"/>
  <c r="AL884" i="123"/>
  <c r="AO884" i="123"/>
  <c r="AP884" i="123"/>
  <c r="AQ884" i="123" s="1"/>
  <c r="AT884" i="123"/>
  <c r="AU884" i="123"/>
  <c r="K885" i="123"/>
  <c r="L885" i="123"/>
  <c r="M885" i="123"/>
  <c r="N885" i="123"/>
  <c r="O885" i="123"/>
  <c r="P885" i="123"/>
  <c r="Q885" i="123"/>
  <c r="R885" i="123"/>
  <c r="T885" i="123" s="1"/>
  <c r="S885" i="123"/>
  <c r="X885" i="123"/>
  <c r="Y885" i="123"/>
  <c r="AA885" i="123" s="1"/>
  <c r="AB885" i="123"/>
  <c r="AD885" i="123" s="1"/>
  <c r="AJ885" i="123"/>
  <c r="AK885" i="123"/>
  <c r="AL885" i="123"/>
  <c r="AO885" i="123"/>
  <c r="AP885" i="123"/>
  <c r="AT885" i="123"/>
  <c r="AU885" i="123"/>
  <c r="K886" i="123"/>
  <c r="L886" i="123"/>
  <c r="M886" i="123"/>
  <c r="N886" i="123"/>
  <c r="O886" i="123"/>
  <c r="P886" i="123"/>
  <c r="Q886" i="123"/>
  <c r="R886" i="123"/>
  <c r="T886" i="123" s="1"/>
  <c r="V886" i="123" s="1"/>
  <c r="S886" i="123"/>
  <c r="X886" i="123"/>
  <c r="Y886" i="123"/>
  <c r="AA886" i="123" s="1"/>
  <c r="AB886" i="123"/>
  <c r="AD886" i="123" s="1"/>
  <c r="AJ886" i="123"/>
  <c r="AK886" i="123"/>
  <c r="AL886" i="123"/>
  <c r="AO886" i="123"/>
  <c r="AP886" i="123"/>
  <c r="AQ886" i="123" s="1"/>
  <c r="AT886" i="123"/>
  <c r="AU886" i="123"/>
  <c r="K887" i="123"/>
  <c r="L887" i="123"/>
  <c r="M887" i="123"/>
  <c r="N887" i="123"/>
  <c r="O887" i="123"/>
  <c r="P887" i="123"/>
  <c r="Q887" i="123"/>
  <c r="R887" i="123"/>
  <c r="T887" i="123" s="1"/>
  <c r="S887" i="123"/>
  <c r="X887" i="123"/>
  <c r="Y887" i="123"/>
  <c r="Z887" i="123" s="1"/>
  <c r="AB887" i="123"/>
  <c r="AC887" i="123" s="1"/>
  <c r="AJ887" i="123"/>
  <c r="AK887" i="123"/>
  <c r="AL887" i="123"/>
  <c r="AO887" i="123"/>
  <c r="AP887" i="123"/>
  <c r="AQ887" i="123" s="1"/>
  <c r="AT887" i="123"/>
  <c r="AU887" i="123"/>
  <c r="K888" i="123"/>
  <c r="L888" i="123"/>
  <c r="M888" i="123"/>
  <c r="N888" i="123"/>
  <c r="O888" i="123"/>
  <c r="P888" i="123"/>
  <c r="Q888" i="123"/>
  <c r="R888" i="123"/>
  <c r="T888" i="123" s="1"/>
  <c r="S888" i="123"/>
  <c r="X888" i="123"/>
  <c r="Y888" i="123"/>
  <c r="AA888" i="123" s="1"/>
  <c r="AB888" i="123"/>
  <c r="AC888" i="123" s="1"/>
  <c r="AJ888" i="123"/>
  <c r="AK888" i="123"/>
  <c r="AL888" i="123"/>
  <c r="AO888" i="123"/>
  <c r="AP888" i="123"/>
  <c r="AQ888" i="123" s="1"/>
  <c r="AT888" i="123"/>
  <c r="AU888" i="123"/>
  <c r="K889" i="123"/>
  <c r="L889" i="123"/>
  <c r="M889" i="123"/>
  <c r="N889" i="123"/>
  <c r="O889" i="123"/>
  <c r="P889" i="123"/>
  <c r="Q889" i="123"/>
  <c r="R889" i="123"/>
  <c r="T889" i="123" s="1"/>
  <c r="W889" i="123" s="1"/>
  <c r="S889" i="123"/>
  <c r="X889" i="123"/>
  <c r="Y889" i="123"/>
  <c r="AA889" i="123" s="1"/>
  <c r="AB889" i="123"/>
  <c r="AC889" i="123" s="1"/>
  <c r="AJ889" i="123"/>
  <c r="AK889" i="123"/>
  <c r="AL889" i="123"/>
  <c r="AO889" i="123"/>
  <c r="AP889" i="123"/>
  <c r="AT889" i="123"/>
  <c r="AU889" i="123"/>
  <c r="K890" i="123"/>
  <c r="L890" i="123"/>
  <c r="M890" i="123"/>
  <c r="N890" i="123"/>
  <c r="O890" i="123"/>
  <c r="P890" i="123"/>
  <c r="Q890" i="123"/>
  <c r="R890" i="123"/>
  <c r="T890" i="123" s="1"/>
  <c r="V890" i="123" s="1"/>
  <c r="S890" i="123"/>
  <c r="X890" i="123"/>
  <c r="Y890" i="123"/>
  <c r="AA890" i="123" s="1"/>
  <c r="AB890" i="123"/>
  <c r="AD890" i="123" s="1"/>
  <c r="AJ890" i="123"/>
  <c r="AK890" i="123"/>
  <c r="AL890" i="123"/>
  <c r="AO890" i="123"/>
  <c r="AP890" i="123"/>
  <c r="AQ890" i="123" s="1"/>
  <c r="AT890" i="123"/>
  <c r="AU890" i="123"/>
  <c r="K891" i="123"/>
  <c r="L891" i="123"/>
  <c r="M891" i="123"/>
  <c r="N891" i="123"/>
  <c r="O891" i="123"/>
  <c r="P891" i="123"/>
  <c r="Q891" i="123"/>
  <c r="R891" i="123"/>
  <c r="T891" i="123" s="1"/>
  <c r="S891" i="123"/>
  <c r="X891" i="123"/>
  <c r="Y891" i="123"/>
  <c r="Z891" i="123" s="1"/>
  <c r="AB891" i="123"/>
  <c r="AC891" i="123" s="1"/>
  <c r="AJ891" i="123"/>
  <c r="AK891" i="123"/>
  <c r="AL891" i="123"/>
  <c r="AO891" i="123"/>
  <c r="AP891" i="123"/>
  <c r="AQ891" i="123" s="1"/>
  <c r="AT891" i="123"/>
  <c r="AU891" i="123"/>
  <c r="K892" i="123"/>
  <c r="L892" i="123"/>
  <c r="M892" i="123"/>
  <c r="N892" i="123"/>
  <c r="O892" i="123"/>
  <c r="P892" i="123"/>
  <c r="Q892" i="123"/>
  <c r="R892" i="123"/>
  <c r="T892" i="123" s="1"/>
  <c r="S892" i="123"/>
  <c r="X892" i="123"/>
  <c r="Y892" i="123"/>
  <c r="AA892" i="123" s="1"/>
  <c r="AB892" i="123"/>
  <c r="AC892" i="123" s="1"/>
  <c r="AJ892" i="123"/>
  <c r="AK892" i="123"/>
  <c r="AL892" i="123"/>
  <c r="AO892" i="123"/>
  <c r="AP892" i="123"/>
  <c r="AQ892" i="123" s="1"/>
  <c r="AT892" i="123"/>
  <c r="AU892" i="123"/>
  <c r="K893" i="123"/>
  <c r="L893" i="123"/>
  <c r="M893" i="123"/>
  <c r="N893" i="123"/>
  <c r="O893" i="123"/>
  <c r="P893" i="123"/>
  <c r="Q893" i="123"/>
  <c r="R893" i="123"/>
  <c r="T893" i="123" s="1"/>
  <c r="S893" i="123"/>
  <c r="X893" i="123"/>
  <c r="Y893" i="123"/>
  <c r="AA893" i="123" s="1"/>
  <c r="AB893" i="123"/>
  <c r="AD893" i="123" s="1"/>
  <c r="AJ893" i="123"/>
  <c r="AK893" i="123"/>
  <c r="AL893" i="123"/>
  <c r="AO893" i="123"/>
  <c r="AP893" i="123"/>
  <c r="AT893" i="123"/>
  <c r="AU893" i="123"/>
  <c r="K894" i="123"/>
  <c r="L894" i="123"/>
  <c r="M894" i="123"/>
  <c r="N894" i="123"/>
  <c r="O894" i="123"/>
  <c r="P894" i="123"/>
  <c r="Q894" i="123"/>
  <c r="R894" i="123"/>
  <c r="T894" i="123" s="1"/>
  <c r="V894" i="123" s="1"/>
  <c r="S894" i="123"/>
  <c r="X894" i="123"/>
  <c r="Y894" i="123"/>
  <c r="Z894" i="123" s="1"/>
  <c r="AB894" i="123"/>
  <c r="AD894" i="123" s="1"/>
  <c r="AJ894" i="123"/>
  <c r="AK894" i="123"/>
  <c r="AL894" i="123"/>
  <c r="AO894" i="123"/>
  <c r="AP894" i="123"/>
  <c r="AT894" i="123"/>
  <c r="AU894" i="123"/>
  <c r="K895" i="123"/>
  <c r="L895" i="123"/>
  <c r="M895" i="123"/>
  <c r="N895" i="123"/>
  <c r="O895" i="123"/>
  <c r="P895" i="123"/>
  <c r="Q895" i="123"/>
  <c r="R895" i="123"/>
  <c r="T895" i="123" s="1"/>
  <c r="S895" i="123"/>
  <c r="X895" i="123"/>
  <c r="Y895" i="123"/>
  <c r="Z895" i="123" s="1"/>
  <c r="AB895" i="123"/>
  <c r="AC895" i="123" s="1"/>
  <c r="AJ895" i="123"/>
  <c r="AK895" i="123"/>
  <c r="AL895" i="123"/>
  <c r="AO895" i="123"/>
  <c r="AP895" i="123"/>
  <c r="AQ895" i="123" s="1"/>
  <c r="AT895" i="123"/>
  <c r="AU895" i="123"/>
  <c r="K896" i="123"/>
  <c r="L896" i="123"/>
  <c r="M896" i="123"/>
  <c r="N896" i="123"/>
  <c r="O896" i="123"/>
  <c r="P896" i="123"/>
  <c r="Q896" i="123"/>
  <c r="R896" i="123"/>
  <c r="T896" i="123" s="1"/>
  <c r="S896" i="123"/>
  <c r="X896" i="123"/>
  <c r="Y896" i="123"/>
  <c r="AA896" i="123" s="1"/>
  <c r="AB896" i="123"/>
  <c r="AC896" i="123" s="1"/>
  <c r="AJ896" i="123"/>
  <c r="AK896" i="123"/>
  <c r="AL896" i="123"/>
  <c r="AO896" i="123"/>
  <c r="AP896" i="123"/>
  <c r="AQ896" i="123" s="1"/>
  <c r="AT896" i="123"/>
  <c r="AU896" i="123"/>
  <c r="K897" i="123"/>
  <c r="L897" i="123"/>
  <c r="M897" i="123"/>
  <c r="N897" i="123"/>
  <c r="O897" i="123"/>
  <c r="P897" i="123"/>
  <c r="Q897" i="123"/>
  <c r="R897" i="123"/>
  <c r="T897" i="123" s="1"/>
  <c r="S897" i="123"/>
  <c r="X897" i="123"/>
  <c r="Y897" i="123"/>
  <c r="AA897" i="123" s="1"/>
  <c r="AB897" i="123"/>
  <c r="AD897" i="123" s="1"/>
  <c r="AJ897" i="123"/>
  <c r="AK897" i="123"/>
  <c r="AL897" i="123"/>
  <c r="AO897" i="123"/>
  <c r="AP897" i="123"/>
  <c r="AT897" i="123"/>
  <c r="AU897" i="123"/>
  <c r="K898" i="123"/>
  <c r="L898" i="123"/>
  <c r="M898" i="123"/>
  <c r="N898" i="123"/>
  <c r="O898" i="123"/>
  <c r="P898" i="123"/>
  <c r="Q898" i="123"/>
  <c r="R898" i="123"/>
  <c r="T898" i="123" s="1"/>
  <c r="V898" i="123" s="1"/>
  <c r="S898" i="123"/>
  <c r="X898" i="123"/>
  <c r="Y898" i="123"/>
  <c r="Z898" i="123" s="1"/>
  <c r="AB898" i="123"/>
  <c r="AD898" i="123" s="1"/>
  <c r="AJ898" i="123"/>
  <c r="AK898" i="123"/>
  <c r="AL898" i="123"/>
  <c r="AO898" i="123"/>
  <c r="AP898" i="123"/>
  <c r="AT898" i="123"/>
  <c r="AU898" i="123"/>
  <c r="K899" i="123"/>
  <c r="L899" i="123"/>
  <c r="M899" i="123"/>
  <c r="N899" i="123"/>
  <c r="O899" i="123"/>
  <c r="P899" i="123"/>
  <c r="Q899" i="123"/>
  <c r="R899" i="123"/>
  <c r="T899" i="123" s="1"/>
  <c r="S899" i="123"/>
  <c r="X899" i="123"/>
  <c r="Y899" i="123"/>
  <c r="Z899" i="123" s="1"/>
  <c r="AB899" i="123"/>
  <c r="AC899" i="123" s="1"/>
  <c r="AJ899" i="123"/>
  <c r="AK899" i="123"/>
  <c r="AL899" i="123"/>
  <c r="AO899" i="123"/>
  <c r="AP899" i="123"/>
  <c r="AQ899" i="123" s="1"/>
  <c r="AT899" i="123"/>
  <c r="AU899" i="123"/>
  <c r="K900" i="123"/>
  <c r="L900" i="123"/>
  <c r="M900" i="123"/>
  <c r="N900" i="123"/>
  <c r="O900" i="123"/>
  <c r="P900" i="123"/>
  <c r="Q900" i="123"/>
  <c r="R900" i="123"/>
  <c r="T900" i="123" s="1"/>
  <c r="S900" i="123"/>
  <c r="X900" i="123"/>
  <c r="Y900" i="123"/>
  <c r="AA900" i="123" s="1"/>
  <c r="AB900" i="123"/>
  <c r="AD900" i="123" s="1"/>
  <c r="AJ900" i="123"/>
  <c r="AK900" i="123"/>
  <c r="AL900" i="123"/>
  <c r="AO900" i="123"/>
  <c r="AP900" i="123"/>
  <c r="AQ900" i="123" s="1"/>
  <c r="AT900" i="123"/>
  <c r="AU900" i="123"/>
  <c r="K901" i="123"/>
  <c r="L901" i="123"/>
  <c r="M901" i="123"/>
  <c r="N901" i="123"/>
  <c r="O901" i="123"/>
  <c r="P901" i="123"/>
  <c r="Q901" i="123"/>
  <c r="R901" i="123"/>
  <c r="T901" i="123" s="1"/>
  <c r="S901" i="123"/>
  <c r="X901" i="123"/>
  <c r="Y901" i="123"/>
  <c r="AA901" i="123" s="1"/>
  <c r="AB901" i="123"/>
  <c r="AD901" i="123" s="1"/>
  <c r="AJ901" i="123"/>
  <c r="AK901" i="123"/>
  <c r="AL901" i="123"/>
  <c r="AO901" i="123"/>
  <c r="AP901" i="123"/>
  <c r="AT901" i="123"/>
  <c r="AU901" i="123"/>
  <c r="K902" i="123"/>
  <c r="L902" i="123"/>
  <c r="M902" i="123"/>
  <c r="N902" i="123"/>
  <c r="O902" i="123"/>
  <c r="P902" i="123"/>
  <c r="Q902" i="123"/>
  <c r="R902" i="123"/>
  <c r="T902" i="123" s="1"/>
  <c r="V902" i="123" s="1"/>
  <c r="S902" i="123"/>
  <c r="X902" i="123"/>
  <c r="Y902" i="123"/>
  <c r="AB902" i="123"/>
  <c r="AD902" i="123" s="1"/>
  <c r="AJ902" i="123"/>
  <c r="AK902" i="123"/>
  <c r="AL902" i="123"/>
  <c r="AO902" i="123"/>
  <c r="AP902" i="123"/>
  <c r="AT902" i="123"/>
  <c r="AU902" i="123"/>
  <c r="K903" i="123"/>
  <c r="L903" i="123"/>
  <c r="M903" i="123"/>
  <c r="N903" i="123"/>
  <c r="O903" i="123"/>
  <c r="P903" i="123"/>
  <c r="Q903" i="123"/>
  <c r="R903" i="123"/>
  <c r="T903" i="123" s="1"/>
  <c r="S903" i="123"/>
  <c r="X903" i="123"/>
  <c r="Y903" i="123"/>
  <c r="Z903" i="123" s="1"/>
  <c r="AB903" i="123"/>
  <c r="AD903" i="123" s="1"/>
  <c r="AJ903" i="123"/>
  <c r="AK903" i="123"/>
  <c r="AL903" i="123"/>
  <c r="AO903" i="123"/>
  <c r="AP903" i="123"/>
  <c r="AQ903" i="123" s="1"/>
  <c r="AT903" i="123"/>
  <c r="AU903" i="123"/>
  <c r="K904" i="123"/>
  <c r="L904" i="123"/>
  <c r="M904" i="123"/>
  <c r="N904" i="123"/>
  <c r="O904" i="123"/>
  <c r="P904" i="123"/>
  <c r="Q904" i="123"/>
  <c r="R904" i="123"/>
  <c r="T904" i="123" s="1"/>
  <c r="S904" i="123"/>
  <c r="X904" i="123"/>
  <c r="Y904" i="123"/>
  <c r="AA904" i="123" s="1"/>
  <c r="AB904" i="123"/>
  <c r="AC904" i="123" s="1"/>
  <c r="AJ904" i="123"/>
  <c r="AK904" i="123"/>
  <c r="AL904" i="123"/>
  <c r="AO904" i="123"/>
  <c r="AP904" i="123"/>
  <c r="AQ904" i="123" s="1"/>
  <c r="AT904" i="123"/>
  <c r="AU904" i="123"/>
  <c r="K905" i="123"/>
  <c r="L905" i="123"/>
  <c r="M905" i="123"/>
  <c r="N905" i="123"/>
  <c r="O905" i="123"/>
  <c r="P905" i="123"/>
  <c r="Q905" i="123"/>
  <c r="R905" i="123"/>
  <c r="T905" i="123" s="1"/>
  <c r="S905" i="123"/>
  <c r="X905" i="123"/>
  <c r="Y905" i="123"/>
  <c r="AA905" i="123" s="1"/>
  <c r="AB905" i="123"/>
  <c r="AD905" i="123" s="1"/>
  <c r="AJ905" i="123"/>
  <c r="AK905" i="123"/>
  <c r="AL905" i="123"/>
  <c r="AO905" i="123"/>
  <c r="AP905" i="123"/>
  <c r="AT905" i="123"/>
  <c r="AU905" i="123"/>
  <c r="K906" i="123"/>
  <c r="L906" i="123"/>
  <c r="M906" i="123"/>
  <c r="N906" i="123"/>
  <c r="O906" i="123"/>
  <c r="P906" i="123"/>
  <c r="Q906" i="123"/>
  <c r="R906" i="123"/>
  <c r="T906" i="123" s="1"/>
  <c r="V906" i="123" s="1"/>
  <c r="S906" i="123"/>
  <c r="X906" i="123"/>
  <c r="Y906" i="123"/>
  <c r="Z906" i="123" s="1"/>
  <c r="AB906" i="123"/>
  <c r="AD906" i="123" s="1"/>
  <c r="AJ906" i="123"/>
  <c r="AK906" i="123"/>
  <c r="AL906" i="123"/>
  <c r="AO906" i="123"/>
  <c r="AP906" i="123"/>
  <c r="AT906" i="123"/>
  <c r="AU906" i="123"/>
  <c r="K907" i="123"/>
  <c r="L907" i="123"/>
  <c r="M907" i="123"/>
  <c r="N907" i="123"/>
  <c r="O907" i="123"/>
  <c r="P907" i="123"/>
  <c r="Q907" i="123"/>
  <c r="R907" i="123"/>
  <c r="T907" i="123" s="1"/>
  <c r="S907" i="123"/>
  <c r="X907" i="123"/>
  <c r="Y907" i="123"/>
  <c r="AA907" i="123" s="1"/>
  <c r="AB907" i="123"/>
  <c r="AC907" i="123" s="1"/>
  <c r="AJ907" i="123"/>
  <c r="AK907" i="123"/>
  <c r="AL907" i="123"/>
  <c r="AO907" i="123"/>
  <c r="AP907" i="123"/>
  <c r="AQ907" i="123" s="1"/>
  <c r="AT907" i="123"/>
  <c r="AU907" i="123"/>
  <c r="K908" i="123"/>
  <c r="L908" i="123"/>
  <c r="M908" i="123"/>
  <c r="N908" i="123"/>
  <c r="O908" i="123"/>
  <c r="P908" i="123"/>
  <c r="Q908" i="123"/>
  <c r="R908" i="123"/>
  <c r="T908" i="123" s="1"/>
  <c r="S908" i="123"/>
  <c r="X908" i="123"/>
  <c r="Y908" i="123"/>
  <c r="AA908" i="123" s="1"/>
  <c r="AB908" i="123"/>
  <c r="AC908" i="123" s="1"/>
  <c r="AJ908" i="123"/>
  <c r="AK908" i="123"/>
  <c r="AL908" i="123"/>
  <c r="AO908" i="123"/>
  <c r="AP908" i="123"/>
  <c r="AQ908" i="123" s="1"/>
  <c r="AT908" i="123"/>
  <c r="AU908" i="123"/>
  <c r="K909" i="123"/>
  <c r="L909" i="123"/>
  <c r="M909" i="123"/>
  <c r="N909" i="123"/>
  <c r="O909" i="123"/>
  <c r="P909" i="123"/>
  <c r="Q909" i="123"/>
  <c r="R909" i="123"/>
  <c r="T909" i="123" s="1"/>
  <c r="S909" i="123"/>
  <c r="X909" i="123"/>
  <c r="Y909" i="123"/>
  <c r="AA909" i="123" s="1"/>
  <c r="AB909" i="123"/>
  <c r="AD909" i="123" s="1"/>
  <c r="AJ909" i="123"/>
  <c r="AK909" i="123"/>
  <c r="AL909" i="123"/>
  <c r="AO909" i="123"/>
  <c r="AP909" i="123"/>
  <c r="AT909" i="123"/>
  <c r="AU909" i="123"/>
  <c r="K910" i="123"/>
  <c r="L910" i="123"/>
  <c r="M910" i="123"/>
  <c r="N910" i="123"/>
  <c r="O910" i="123"/>
  <c r="P910" i="123"/>
  <c r="Q910" i="123"/>
  <c r="R910" i="123"/>
  <c r="T910" i="123" s="1"/>
  <c r="V910" i="123" s="1"/>
  <c r="S910" i="123"/>
  <c r="X910" i="123"/>
  <c r="Y910" i="123"/>
  <c r="AA910" i="123" s="1"/>
  <c r="AB910" i="123"/>
  <c r="AD910" i="123" s="1"/>
  <c r="AJ910" i="123"/>
  <c r="AK910" i="123"/>
  <c r="AL910" i="123"/>
  <c r="AO910" i="123"/>
  <c r="AP910" i="123"/>
  <c r="AT910" i="123"/>
  <c r="AU910" i="123"/>
  <c r="K911" i="123"/>
  <c r="L911" i="123"/>
  <c r="M911" i="123"/>
  <c r="N911" i="123"/>
  <c r="O911" i="123"/>
  <c r="P911" i="123"/>
  <c r="Q911" i="123"/>
  <c r="R911" i="123"/>
  <c r="T911" i="123" s="1"/>
  <c r="S911" i="123"/>
  <c r="X911" i="123"/>
  <c r="Y911" i="123"/>
  <c r="AA911" i="123" s="1"/>
  <c r="AB911" i="123"/>
  <c r="AC911" i="123" s="1"/>
  <c r="AJ911" i="123"/>
  <c r="AK911" i="123"/>
  <c r="AL911" i="123"/>
  <c r="AO911" i="123"/>
  <c r="AP911" i="123"/>
  <c r="AQ911" i="123" s="1"/>
  <c r="AT911" i="123"/>
  <c r="AU911" i="123"/>
  <c r="K912" i="123"/>
  <c r="L912" i="123"/>
  <c r="M912" i="123"/>
  <c r="N912" i="123"/>
  <c r="O912" i="123"/>
  <c r="P912" i="123"/>
  <c r="Q912" i="123"/>
  <c r="R912" i="123"/>
  <c r="T912" i="123" s="1"/>
  <c r="S912" i="123"/>
  <c r="X912" i="123"/>
  <c r="Y912" i="123"/>
  <c r="AA912" i="123" s="1"/>
  <c r="AB912" i="123"/>
  <c r="AD912" i="123" s="1"/>
  <c r="AJ912" i="123"/>
  <c r="AK912" i="123"/>
  <c r="AL912" i="123"/>
  <c r="AO912" i="123"/>
  <c r="AP912" i="123"/>
  <c r="AQ912" i="123" s="1"/>
  <c r="AT912" i="123"/>
  <c r="AU912" i="123"/>
  <c r="K913" i="123"/>
  <c r="L913" i="123"/>
  <c r="M913" i="123"/>
  <c r="N913" i="123"/>
  <c r="O913" i="123"/>
  <c r="P913" i="123"/>
  <c r="Q913" i="123"/>
  <c r="R913" i="123"/>
  <c r="T913" i="123" s="1"/>
  <c r="W913" i="123" s="1"/>
  <c r="S913" i="123"/>
  <c r="X913" i="123"/>
  <c r="Y913" i="123"/>
  <c r="AA913" i="123" s="1"/>
  <c r="AB913" i="123"/>
  <c r="AD913" i="123" s="1"/>
  <c r="AJ913" i="123"/>
  <c r="AK913" i="123"/>
  <c r="AL913" i="123"/>
  <c r="AO913" i="123"/>
  <c r="AP913" i="123"/>
  <c r="AT913" i="123"/>
  <c r="AU913" i="123"/>
  <c r="K914" i="123"/>
  <c r="L914" i="123"/>
  <c r="M914" i="123"/>
  <c r="N914" i="123"/>
  <c r="O914" i="123"/>
  <c r="P914" i="123"/>
  <c r="Q914" i="123"/>
  <c r="R914" i="123"/>
  <c r="T914" i="123" s="1"/>
  <c r="V914" i="123" s="1"/>
  <c r="S914" i="123"/>
  <c r="X914" i="123"/>
  <c r="Y914" i="123"/>
  <c r="Z914" i="123" s="1"/>
  <c r="AB914" i="123"/>
  <c r="AD914" i="123" s="1"/>
  <c r="AJ914" i="123"/>
  <c r="AK914" i="123"/>
  <c r="AL914" i="123"/>
  <c r="AO914" i="123"/>
  <c r="AP914" i="123"/>
  <c r="AT914" i="123"/>
  <c r="AU914" i="123"/>
  <c r="K915" i="123"/>
  <c r="L915" i="123"/>
  <c r="M915" i="123"/>
  <c r="N915" i="123"/>
  <c r="O915" i="123"/>
  <c r="P915" i="123"/>
  <c r="Q915" i="123"/>
  <c r="R915" i="123"/>
  <c r="T915" i="123" s="1"/>
  <c r="S915" i="123"/>
  <c r="X915" i="123"/>
  <c r="Y915" i="123"/>
  <c r="Z915" i="123" s="1"/>
  <c r="AB915" i="123"/>
  <c r="AD915" i="123" s="1"/>
  <c r="AJ915" i="123"/>
  <c r="AK915" i="123"/>
  <c r="AL915" i="123"/>
  <c r="AO915" i="123"/>
  <c r="AP915" i="123"/>
  <c r="AQ915" i="123" s="1"/>
  <c r="AT915" i="123"/>
  <c r="AU915" i="123"/>
  <c r="K916" i="123"/>
  <c r="L916" i="123"/>
  <c r="M916" i="123"/>
  <c r="N916" i="123"/>
  <c r="O916" i="123"/>
  <c r="P916" i="123"/>
  <c r="Q916" i="123"/>
  <c r="R916" i="123"/>
  <c r="T916" i="123" s="1"/>
  <c r="S916" i="123"/>
  <c r="X916" i="123"/>
  <c r="Y916" i="123"/>
  <c r="AA916" i="123" s="1"/>
  <c r="AB916" i="123"/>
  <c r="AC916" i="123" s="1"/>
  <c r="AJ916" i="123"/>
  <c r="AK916" i="123"/>
  <c r="AL916" i="123"/>
  <c r="AO916" i="123"/>
  <c r="AP916" i="123"/>
  <c r="AQ916" i="123" s="1"/>
  <c r="AT916" i="123"/>
  <c r="AU916" i="123"/>
  <c r="K917" i="123"/>
  <c r="L917" i="123"/>
  <c r="M917" i="123"/>
  <c r="N917" i="123"/>
  <c r="O917" i="123"/>
  <c r="P917" i="123"/>
  <c r="Q917" i="123"/>
  <c r="R917" i="123"/>
  <c r="T917" i="123" s="1"/>
  <c r="S917" i="123"/>
  <c r="X917" i="123"/>
  <c r="Y917" i="123"/>
  <c r="AA917" i="123" s="1"/>
  <c r="AB917" i="123"/>
  <c r="AD917" i="123" s="1"/>
  <c r="AJ917" i="123"/>
  <c r="AK917" i="123"/>
  <c r="AL917" i="123"/>
  <c r="AO917" i="123"/>
  <c r="AP917" i="123"/>
  <c r="AT917" i="123"/>
  <c r="AU917" i="123"/>
  <c r="K918" i="123"/>
  <c r="L918" i="123"/>
  <c r="M918" i="123"/>
  <c r="N918" i="123"/>
  <c r="O918" i="123"/>
  <c r="P918" i="123"/>
  <c r="Q918" i="123"/>
  <c r="R918" i="123"/>
  <c r="T918" i="123" s="1"/>
  <c r="V918" i="123" s="1"/>
  <c r="S918" i="123"/>
  <c r="X918" i="123"/>
  <c r="Y918" i="123"/>
  <c r="AA918" i="123" s="1"/>
  <c r="AB918" i="123"/>
  <c r="AD918" i="123" s="1"/>
  <c r="AJ918" i="123"/>
  <c r="AK918" i="123"/>
  <c r="AL918" i="123"/>
  <c r="AO918" i="123"/>
  <c r="AP918" i="123"/>
  <c r="AT918" i="123"/>
  <c r="AU918" i="123"/>
  <c r="K919" i="123"/>
  <c r="L919" i="123"/>
  <c r="M919" i="123"/>
  <c r="N919" i="123"/>
  <c r="O919" i="123"/>
  <c r="P919" i="123"/>
  <c r="Q919" i="123"/>
  <c r="R919" i="123"/>
  <c r="T919" i="123" s="1"/>
  <c r="S919" i="123"/>
  <c r="X919" i="123"/>
  <c r="Y919" i="123"/>
  <c r="AA919" i="123" s="1"/>
  <c r="AB919" i="123"/>
  <c r="AC919" i="123" s="1"/>
  <c r="AJ919" i="123"/>
  <c r="AK919" i="123"/>
  <c r="AL919" i="123"/>
  <c r="AO919" i="123"/>
  <c r="AP919" i="123"/>
  <c r="AQ919" i="123" s="1"/>
  <c r="AT919" i="123"/>
  <c r="AU919" i="123"/>
  <c r="K920" i="123"/>
  <c r="L920" i="123"/>
  <c r="M920" i="123"/>
  <c r="N920" i="123"/>
  <c r="O920" i="123"/>
  <c r="P920" i="123"/>
  <c r="Q920" i="123"/>
  <c r="R920" i="123"/>
  <c r="T920" i="123" s="1"/>
  <c r="S920" i="123"/>
  <c r="X920" i="123"/>
  <c r="Y920" i="123"/>
  <c r="AA920" i="123" s="1"/>
  <c r="AB920" i="123"/>
  <c r="AC920" i="123" s="1"/>
  <c r="AJ920" i="123"/>
  <c r="AK920" i="123"/>
  <c r="AL920" i="123"/>
  <c r="AO920" i="123"/>
  <c r="AP920" i="123"/>
  <c r="AQ920" i="123" s="1"/>
  <c r="AT920" i="123"/>
  <c r="AU920" i="123"/>
  <c r="K921" i="123"/>
  <c r="L921" i="123"/>
  <c r="M921" i="123"/>
  <c r="N921" i="123"/>
  <c r="O921" i="123"/>
  <c r="P921" i="123"/>
  <c r="Q921" i="123"/>
  <c r="R921" i="123"/>
  <c r="T921" i="123" s="1"/>
  <c r="S921" i="123"/>
  <c r="X921" i="123"/>
  <c r="Y921" i="123"/>
  <c r="AA921" i="123" s="1"/>
  <c r="AB921" i="123"/>
  <c r="AD921" i="123" s="1"/>
  <c r="AJ921" i="123"/>
  <c r="AK921" i="123"/>
  <c r="AL921" i="123"/>
  <c r="AO921" i="123"/>
  <c r="AP921" i="123"/>
  <c r="AT921" i="123"/>
  <c r="AU921" i="123"/>
  <c r="K922" i="123"/>
  <c r="L922" i="123"/>
  <c r="M922" i="123"/>
  <c r="N922" i="123"/>
  <c r="O922" i="123"/>
  <c r="P922" i="123"/>
  <c r="Q922" i="123"/>
  <c r="R922" i="123"/>
  <c r="T922" i="123" s="1"/>
  <c r="V922" i="123" s="1"/>
  <c r="S922" i="123"/>
  <c r="X922" i="123"/>
  <c r="Y922" i="123"/>
  <c r="Z922" i="123" s="1"/>
  <c r="AB922" i="123"/>
  <c r="AD922" i="123" s="1"/>
  <c r="AJ922" i="123"/>
  <c r="AK922" i="123"/>
  <c r="AL922" i="123"/>
  <c r="AO922" i="123"/>
  <c r="AP922" i="123"/>
  <c r="AT922" i="123"/>
  <c r="AU922" i="123"/>
  <c r="K923" i="123"/>
  <c r="L923" i="123"/>
  <c r="M923" i="123"/>
  <c r="N923" i="123"/>
  <c r="O923" i="123"/>
  <c r="P923" i="123"/>
  <c r="Q923" i="123"/>
  <c r="R923" i="123"/>
  <c r="T923" i="123" s="1"/>
  <c r="S923" i="123"/>
  <c r="X923" i="123"/>
  <c r="Y923" i="123"/>
  <c r="Z923" i="123" s="1"/>
  <c r="AB923" i="123"/>
  <c r="AD923" i="123" s="1"/>
  <c r="AJ923" i="123"/>
  <c r="AK923" i="123"/>
  <c r="AL923" i="123"/>
  <c r="AO923" i="123"/>
  <c r="AP923" i="123"/>
  <c r="AQ923" i="123" s="1"/>
  <c r="AT923" i="123"/>
  <c r="AU923" i="123"/>
  <c r="K924" i="123"/>
  <c r="L924" i="123"/>
  <c r="M924" i="123"/>
  <c r="N924" i="123"/>
  <c r="O924" i="123"/>
  <c r="P924" i="123"/>
  <c r="Q924" i="123"/>
  <c r="R924" i="123"/>
  <c r="T924" i="123" s="1"/>
  <c r="S924" i="123"/>
  <c r="X924" i="123"/>
  <c r="Y924" i="123"/>
  <c r="AA924" i="123" s="1"/>
  <c r="AB924" i="123"/>
  <c r="AC924" i="123" s="1"/>
  <c r="AJ924" i="123"/>
  <c r="AK924" i="123"/>
  <c r="AL924" i="123"/>
  <c r="AO924" i="123"/>
  <c r="AP924" i="123"/>
  <c r="AQ924" i="123" s="1"/>
  <c r="AT924" i="123"/>
  <c r="AU924" i="123"/>
  <c r="K925" i="123"/>
  <c r="L925" i="123"/>
  <c r="M925" i="123"/>
  <c r="N925" i="123"/>
  <c r="O925" i="123"/>
  <c r="P925" i="123"/>
  <c r="Q925" i="123"/>
  <c r="R925" i="123"/>
  <c r="T925" i="123" s="1"/>
  <c r="W925" i="123" s="1"/>
  <c r="S925" i="123"/>
  <c r="X925" i="123"/>
  <c r="Y925" i="123"/>
  <c r="AA925" i="123" s="1"/>
  <c r="AB925" i="123"/>
  <c r="AD925" i="123" s="1"/>
  <c r="AJ925" i="123"/>
  <c r="AK925" i="123"/>
  <c r="AL925" i="123"/>
  <c r="AO925" i="123"/>
  <c r="AP925" i="123"/>
  <c r="AT925" i="123"/>
  <c r="AU925" i="123"/>
  <c r="K926" i="123"/>
  <c r="L926" i="123"/>
  <c r="M926" i="123"/>
  <c r="N926" i="123"/>
  <c r="O926" i="123"/>
  <c r="P926" i="123"/>
  <c r="Q926" i="123"/>
  <c r="R926" i="123"/>
  <c r="T926" i="123" s="1"/>
  <c r="V926" i="123" s="1"/>
  <c r="S926" i="123"/>
  <c r="X926" i="123"/>
  <c r="Y926" i="123"/>
  <c r="AA926" i="123" s="1"/>
  <c r="AB926" i="123"/>
  <c r="AD926" i="123" s="1"/>
  <c r="AJ926" i="123"/>
  <c r="AK926" i="123"/>
  <c r="AL926" i="123"/>
  <c r="AO926" i="123"/>
  <c r="AP926" i="123"/>
  <c r="AT926" i="123"/>
  <c r="AU926" i="123"/>
  <c r="K927" i="123"/>
  <c r="L927" i="123"/>
  <c r="M927" i="123"/>
  <c r="N927" i="123"/>
  <c r="O927" i="123"/>
  <c r="P927" i="123"/>
  <c r="Q927" i="123"/>
  <c r="R927" i="123"/>
  <c r="T927" i="123" s="1"/>
  <c r="S927" i="123"/>
  <c r="X927" i="123"/>
  <c r="Y927" i="123"/>
  <c r="Z927" i="123" s="1"/>
  <c r="AB927" i="123"/>
  <c r="AC927" i="123" s="1"/>
  <c r="AJ927" i="123"/>
  <c r="AK927" i="123"/>
  <c r="AL927" i="123"/>
  <c r="AO927" i="123"/>
  <c r="AP927" i="123"/>
  <c r="AQ927" i="123" s="1"/>
  <c r="AT927" i="123"/>
  <c r="AU927" i="123"/>
  <c r="K928" i="123"/>
  <c r="L928" i="123"/>
  <c r="M928" i="123"/>
  <c r="N928" i="123"/>
  <c r="O928" i="123"/>
  <c r="P928" i="123"/>
  <c r="Q928" i="123"/>
  <c r="R928" i="123"/>
  <c r="T928" i="123" s="1"/>
  <c r="S928" i="123"/>
  <c r="X928" i="123"/>
  <c r="Y928" i="123"/>
  <c r="AA928" i="123" s="1"/>
  <c r="AB928" i="123"/>
  <c r="AC928" i="123" s="1"/>
  <c r="AJ928" i="123"/>
  <c r="AK928" i="123"/>
  <c r="AL928" i="123"/>
  <c r="AO928" i="123"/>
  <c r="AP928" i="123"/>
  <c r="AQ928" i="123" s="1"/>
  <c r="AT928" i="123"/>
  <c r="AU928" i="123"/>
  <c r="K929" i="123"/>
  <c r="L929" i="123"/>
  <c r="M929" i="123"/>
  <c r="N929" i="123"/>
  <c r="O929" i="123"/>
  <c r="P929" i="123"/>
  <c r="Q929" i="123"/>
  <c r="R929" i="123"/>
  <c r="T929" i="123" s="1"/>
  <c r="W929" i="123" s="1"/>
  <c r="S929" i="123"/>
  <c r="X929" i="123"/>
  <c r="Y929" i="123"/>
  <c r="AA929" i="123" s="1"/>
  <c r="AB929" i="123"/>
  <c r="AD929" i="123" s="1"/>
  <c r="AJ929" i="123"/>
  <c r="AK929" i="123"/>
  <c r="AL929" i="123"/>
  <c r="AO929" i="123"/>
  <c r="AP929" i="123"/>
  <c r="AT929" i="123"/>
  <c r="AU929" i="123"/>
  <c r="K930" i="123"/>
  <c r="L930" i="123"/>
  <c r="M930" i="123"/>
  <c r="N930" i="123"/>
  <c r="O930" i="123"/>
  <c r="P930" i="123"/>
  <c r="Q930" i="123"/>
  <c r="R930" i="123"/>
  <c r="T930" i="123" s="1"/>
  <c r="V930" i="123" s="1"/>
  <c r="S930" i="123"/>
  <c r="X930" i="123"/>
  <c r="Y930" i="123"/>
  <c r="AA930" i="123" s="1"/>
  <c r="AB930" i="123"/>
  <c r="AD930" i="123" s="1"/>
  <c r="AJ930" i="123"/>
  <c r="AK930" i="123"/>
  <c r="AL930" i="123"/>
  <c r="AO930" i="123"/>
  <c r="AP930" i="123"/>
  <c r="AT930" i="123"/>
  <c r="AU930" i="123"/>
  <c r="K931" i="123"/>
  <c r="L931" i="123"/>
  <c r="M931" i="123"/>
  <c r="N931" i="123"/>
  <c r="O931" i="123"/>
  <c r="P931" i="123"/>
  <c r="Q931" i="123"/>
  <c r="R931" i="123"/>
  <c r="T931" i="123" s="1"/>
  <c r="S931" i="123"/>
  <c r="X931" i="123"/>
  <c r="Y931" i="123"/>
  <c r="AA931" i="123" s="1"/>
  <c r="AB931" i="123"/>
  <c r="AC931" i="123" s="1"/>
  <c r="AJ931" i="123"/>
  <c r="AK931" i="123"/>
  <c r="AL931" i="123"/>
  <c r="AO931" i="123"/>
  <c r="AP931" i="123"/>
  <c r="AT931" i="123"/>
  <c r="AU931" i="123"/>
  <c r="K932" i="123"/>
  <c r="L932" i="123"/>
  <c r="M932" i="123"/>
  <c r="N932" i="123"/>
  <c r="O932" i="123"/>
  <c r="P932" i="123"/>
  <c r="Q932" i="123"/>
  <c r="R932" i="123"/>
  <c r="T932" i="123" s="1"/>
  <c r="S932" i="123"/>
  <c r="X932" i="123"/>
  <c r="Y932" i="123"/>
  <c r="AA932" i="123" s="1"/>
  <c r="AB932" i="123"/>
  <c r="AC932" i="123" s="1"/>
  <c r="AJ932" i="123"/>
  <c r="AK932" i="123"/>
  <c r="AL932" i="123"/>
  <c r="AO932" i="123"/>
  <c r="AP932" i="123"/>
  <c r="AQ932" i="123" s="1"/>
  <c r="AT932" i="123"/>
  <c r="AU932" i="123"/>
  <c r="K933" i="123"/>
  <c r="L933" i="123"/>
  <c r="M933" i="123"/>
  <c r="N933" i="123"/>
  <c r="O933" i="123"/>
  <c r="P933" i="123"/>
  <c r="Q933" i="123"/>
  <c r="R933" i="123"/>
  <c r="T933" i="123" s="1"/>
  <c r="W933" i="123" s="1"/>
  <c r="S933" i="123"/>
  <c r="X933" i="123"/>
  <c r="Y933" i="123"/>
  <c r="AA933" i="123" s="1"/>
  <c r="AB933" i="123"/>
  <c r="AC933" i="123" s="1"/>
  <c r="AJ933" i="123"/>
  <c r="AK933" i="123"/>
  <c r="AL933" i="123"/>
  <c r="AO933" i="123"/>
  <c r="AP933" i="123"/>
  <c r="AT933" i="123"/>
  <c r="AU933" i="123"/>
  <c r="K934" i="123"/>
  <c r="L934" i="123"/>
  <c r="M934" i="123"/>
  <c r="N934" i="123"/>
  <c r="O934" i="123"/>
  <c r="P934" i="123"/>
  <c r="Q934" i="123"/>
  <c r="R934" i="123"/>
  <c r="T934" i="123" s="1"/>
  <c r="V934" i="123" s="1"/>
  <c r="S934" i="123"/>
  <c r="X934" i="123"/>
  <c r="Y934" i="123"/>
  <c r="Z934" i="123" s="1"/>
  <c r="AB934" i="123"/>
  <c r="AD934" i="123" s="1"/>
  <c r="AJ934" i="123"/>
  <c r="AK934" i="123"/>
  <c r="AL934" i="123"/>
  <c r="AO934" i="123"/>
  <c r="AP934" i="123"/>
  <c r="AQ934" i="123" s="1"/>
  <c r="AT934" i="123"/>
  <c r="AU934" i="123"/>
  <c r="K935" i="123"/>
  <c r="L935" i="123"/>
  <c r="M935" i="123"/>
  <c r="N935" i="123"/>
  <c r="O935" i="123"/>
  <c r="P935" i="123"/>
  <c r="Q935" i="123"/>
  <c r="R935" i="123"/>
  <c r="T935" i="123" s="1"/>
  <c r="S935" i="123"/>
  <c r="X935" i="123"/>
  <c r="Y935" i="123"/>
  <c r="Z935" i="123" s="1"/>
  <c r="AB935" i="123"/>
  <c r="AD935" i="123" s="1"/>
  <c r="AJ935" i="123"/>
  <c r="AK935" i="123"/>
  <c r="AL935" i="123"/>
  <c r="AO935" i="123"/>
  <c r="AP935" i="123"/>
  <c r="AQ935" i="123" s="1"/>
  <c r="AT935" i="123"/>
  <c r="AU935" i="123"/>
  <c r="K936" i="123"/>
  <c r="L936" i="123"/>
  <c r="M936" i="123"/>
  <c r="N936" i="123"/>
  <c r="O936" i="123"/>
  <c r="P936" i="123"/>
  <c r="Q936" i="123"/>
  <c r="R936" i="123"/>
  <c r="T936" i="123" s="1"/>
  <c r="S936" i="123"/>
  <c r="X936" i="123"/>
  <c r="Y936" i="123"/>
  <c r="AA936" i="123" s="1"/>
  <c r="AB936" i="123"/>
  <c r="AC936" i="123" s="1"/>
  <c r="AJ936" i="123"/>
  <c r="AK936" i="123"/>
  <c r="AL936" i="123"/>
  <c r="AO936" i="123"/>
  <c r="AP936" i="123"/>
  <c r="AQ936" i="123" s="1"/>
  <c r="AT936" i="123"/>
  <c r="AU936" i="123"/>
  <c r="K937" i="123"/>
  <c r="L937" i="123"/>
  <c r="M937" i="123"/>
  <c r="N937" i="123"/>
  <c r="O937" i="123"/>
  <c r="P937" i="123"/>
  <c r="Q937" i="123"/>
  <c r="R937" i="123"/>
  <c r="T937" i="123" s="1"/>
  <c r="W937" i="123" s="1"/>
  <c r="S937" i="123"/>
  <c r="X937" i="123"/>
  <c r="Y937" i="123"/>
  <c r="AA937" i="123" s="1"/>
  <c r="AB937" i="123"/>
  <c r="AC937" i="123" s="1"/>
  <c r="AJ937" i="123"/>
  <c r="AK937" i="123"/>
  <c r="AL937" i="123"/>
  <c r="AO937" i="123"/>
  <c r="AP937" i="123"/>
  <c r="AT937" i="123"/>
  <c r="AU937" i="123"/>
  <c r="K938" i="123"/>
  <c r="L938" i="123"/>
  <c r="M938" i="123"/>
  <c r="N938" i="123"/>
  <c r="O938" i="123"/>
  <c r="P938" i="123"/>
  <c r="Q938" i="123"/>
  <c r="R938" i="123"/>
  <c r="T938" i="123" s="1"/>
  <c r="V938" i="123" s="1"/>
  <c r="S938" i="123"/>
  <c r="X938" i="123"/>
  <c r="Y938" i="123"/>
  <c r="Z938" i="123" s="1"/>
  <c r="AB938" i="123"/>
  <c r="AD938" i="123" s="1"/>
  <c r="AJ938" i="123"/>
  <c r="AK938" i="123"/>
  <c r="AL938" i="123"/>
  <c r="AO938" i="123"/>
  <c r="AP938" i="123"/>
  <c r="AQ938" i="123" s="1"/>
  <c r="AT938" i="123"/>
  <c r="AU938" i="123"/>
  <c r="K939" i="123"/>
  <c r="L939" i="123"/>
  <c r="M939" i="123"/>
  <c r="N939" i="123"/>
  <c r="O939" i="123"/>
  <c r="P939" i="123"/>
  <c r="Q939" i="123"/>
  <c r="R939" i="123"/>
  <c r="T939" i="123" s="1"/>
  <c r="S939" i="123"/>
  <c r="X939" i="123"/>
  <c r="Y939" i="123"/>
  <c r="Z939" i="123" s="1"/>
  <c r="AB939" i="123"/>
  <c r="AC939" i="123" s="1"/>
  <c r="AJ939" i="123"/>
  <c r="AK939" i="123"/>
  <c r="AL939" i="123"/>
  <c r="AO939" i="123"/>
  <c r="AP939" i="123"/>
  <c r="AQ939" i="123" s="1"/>
  <c r="AT939" i="123"/>
  <c r="AU939" i="123"/>
  <c r="K940" i="123"/>
  <c r="L940" i="123"/>
  <c r="M940" i="123"/>
  <c r="N940" i="123"/>
  <c r="O940" i="123"/>
  <c r="P940" i="123"/>
  <c r="Q940" i="123"/>
  <c r="R940" i="123"/>
  <c r="T940" i="123" s="1"/>
  <c r="S940" i="123"/>
  <c r="X940" i="123"/>
  <c r="Y940" i="123"/>
  <c r="AA940" i="123" s="1"/>
  <c r="AB940" i="123"/>
  <c r="AC940" i="123" s="1"/>
  <c r="AJ940" i="123"/>
  <c r="AK940" i="123"/>
  <c r="AL940" i="123"/>
  <c r="AO940" i="123"/>
  <c r="AP940" i="123"/>
  <c r="AQ940" i="123" s="1"/>
  <c r="AT940" i="123"/>
  <c r="AU940" i="123"/>
  <c r="K941" i="123"/>
  <c r="L941" i="123"/>
  <c r="M941" i="123"/>
  <c r="N941" i="123"/>
  <c r="O941" i="123"/>
  <c r="P941" i="123"/>
  <c r="Q941" i="123"/>
  <c r="R941" i="123"/>
  <c r="T941" i="123" s="1"/>
  <c r="W941" i="123" s="1"/>
  <c r="S941" i="123"/>
  <c r="X941" i="123"/>
  <c r="Y941" i="123"/>
  <c r="AA941" i="123" s="1"/>
  <c r="AB941" i="123"/>
  <c r="AC941" i="123" s="1"/>
  <c r="AJ941" i="123"/>
  <c r="AK941" i="123"/>
  <c r="AL941" i="123"/>
  <c r="AO941" i="123"/>
  <c r="AP941" i="123"/>
  <c r="AT941" i="123"/>
  <c r="AU941" i="123"/>
  <c r="K942" i="123"/>
  <c r="L942" i="123"/>
  <c r="M942" i="123"/>
  <c r="N942" i="123"/>
  <c r="O942" i="123"/>
  <c r="P942" i="123"/>
  <c r="Q942" i="123"/>
  <c r="R942" i="123"/>
  <c r="T942" i="123" s="1"/>
  <c r="V942" i="123" s="1"/>
  <c r="S942" i="123"/>
  <c r="X942" i="123"/>
  <c r="Y942" i="123"/>
  <c r="Z942" i="123" s="1"/>
  <c r="AB942" i="123"/>
  <c r="AD942" i="123" s="1"/>
  <c r="AJ942" i="123"/>
  <c r="AK942" i="123"/>
  <c r="AL942" i="123"/>
  <c r="AO942" i="123"/>
  <c r="AP942" i="123"/>
  <c r="AQ942" i="123" s="1"/>
  <c r="AT942" i="123"/>
  <c r="AU942" i="123"/>
  <c r="K943" i="123"/>
  <c r="L943" i="123"/>
  <c r="M943" i="123"/>
  <c r="N943" i="123"/>
  <c r="O943" i="123"/>
  <c r="P943" i="123"/>
  <c r="Q943" i="123"/>
  <c r="R943" i="123"/>
  <c r="T943" i="123" s="1"/>
  <c r="S943" i="123"/>
  <c r="X943" i="123"/>
  <c r="Y943" i="123"/>
  <c r="Z943" i="123" s="1"/>
  <c r="AB943" i="123"/>
  <c r="AD943" i="123" s="1"/>
  <c r="AJ943" i="123"/>
  <c r="AK943" i="123"/>
  <c r="AL943" i="123"/>
  <c r="AO943" i="123"/>
  <c r="AP943" i="123"/>
  <c r="AQ943" i="123" s="1"/>
  <c r="AT943" i="123"/>
  <c r="AU943" i="123"/>
  <c r="K944" i="123"/>
  <c r="L944" i="123"/>
  <c r="M944" i="123"/>
  <c r="N944" i="123"/>
  <c r="O944" i="123"/>
  <c r="P944" i="123"/>
  <c r="Q944" i="123"/>
  <c r="R944" i="123"/>
  <c r="T944" i="123" s="1"/>
  <c r="S944" i="123"/>
  <c r="X944" i="123"/>
  <c r="Y944" i="123"/>
  <c r="AA944" i="123" s="1"/>
  <c r="AB944" i="123"/>
  <c r="AC944" i="123" s="1"/>
  <c r="AJ944" i="123"/>
  <c r="AK944" i="123"/>
  <c r="AL944" i="123"/>
  <c r="AO944" i="123"/>
  <c r="AP944" i="123"/>
  <c r="AQ944" i="123" s="1"/>
  <c r="AT944" i="123"/>
  <c r="AU944" i="123"/>
  <c r="K945" i="123"/>
  <c r="L945" i="123"/>
  <c r="M945" i="123"/>
  <c r="N945" i="123"/>
  <c r="O945" i="123"/>
  <c r="P945" i="123"/>
  <c r="Q945" i="123"/>
  <c r="R945" i="123"/>
  <c r="T945" i="123" s="1"/>
  <c r="W945" i="123" s="1"/>
  <c r="S945" i="123"/>
  <c r="X945" i="123"/>
  <c r="Y945" i="123"/>
  <c r="AA945" i="123" s="1"/>
  <c r="AB945" i="123"/>
  <c r="AC945" i="123" s="1"/>
  <c r="AJ945" i="123"/>
  <c r="AK945" i="123"/>
  <c r="AL945" i="123"/>
  <c r="AO945" i="123"/>
  <c r="AP945" i="123"/>
  <c r="AT945" i="123"/>
  <c r="AU945" i="123"/>
  <c r="K946" i="123"/>
  <c r="L946" i="123"/>
  <c r="M946" i="123"/>
  <c r="N946" i="123"/>
  <c r="O946" i="123"/>
  <c r="P946" i="123"/>
  <c r="Q946" i="123"/>
  <c r="R946" i="123"/>
  <c r="T946" i="123" s="1"/>
  <c r="V946" i="123" s="1"/>
  <c r="S946" i="123"/>
  <c r="X946" i="123"/>
  <c r="Y946" i="123"/>
  <c r="AA946" i="123" s="1"/>
  <c r="AB946" i="123"/>
  <c r="AD946" i="123" s="1"/>
  <c r="AJ946" i="123"/>
  <c r="AK946" i="123"/>
  <c r="AL946" i="123"/>
  <c r="AO946" i="123"/>
  <c r="AP946" i="123"/>
  <c r="AQ946" i="123" s="1"/>
  <c r="AT946" i="123"/>
  <c r="AU946" i="123"/>
  <c r="K947" i="123"/>
  <c r="L947" i="123"/>
  <c r="M947" i="123"/>
  <c r="N947" i="123"/>
  <c r="O947" i="123"/>
  <c r="P947" i="123"/>
  <c r="Q947" i="123"/>
  <c r="R947" i="123"/>
  <c r="T947" i="123" s="1"/>
  <c r="S947" i="123"/>
  <c r="X947" i="123"/>
  <c r="Y947" i="123"/>
  <c r="Z947" i="123" s="1"/>
  <c r="AB947" i="123"/>
  <c r="AC947" i="123" s="1"/>
  <c r="AJ947" i="123"/>
  <c r="AK947" i="123"/>
  <c r="AL947" i="123"/>
  <c r="AO947" i="123"/>
  <c r="AP947" i="123"/>
  <c r="AQ947" i="123" s="1"/>
  <c r="AT947" i="123"/>
  <c r="AU947" i="123"/>
  <c r="K948" i="123"/>
  <c r="L948" i="123"/>
  <c r="M948" i="123"/>
  <c r="N948" i="123"/>
  <c r="O948" i="123"/>
  <c r="P948" i="123"/>
  <c r="Q948" i="123"/>
  <c r="R948" i="123"/>
  <c r="T948" i="123" s="1"/>
  <c r="S948" i="123"/>
  <c r="X948" i="123"/>
  <c r="Y948" i="123"/>
  <c r="AA948" i="123" s="1"/>
  <c r="AB948" i="123"/>
  <c r="AC948" i="123" s="1"/>
  <c r="AJ948" i="123"/>
  <c r="AK948" i="123"/>
  <c r="AL948" i="123"/>
  <c r="AO948" i="123"/>
  <c r="AP948" i="123"/>
  <c r="AQ948" i="123" s="1"/>
  <c r="AT948" i="123"/>
  <c r="AU948" i="123"/>
  <c r="K949" i="123"/>
  <c r="L949" i="123"/>
  <c r="M949" i="123"/>
  <c r="N949" i="123"/>
  <c r="O949" i="123"/>
  <c r="P949" i="123"/>
  <c r="Q949" i="123"/>
  <c r="R949" i="123"/>
  <c r="T949" i="123" s="1"/>
  <c r="S949" i="123"/>
  <c r="X949" i="123"/>
  <c r="Y949" i="123"/>
  <c r="Z949" i="123" s="1"/>
  <c r="AB949" i="123"/>
  <c r="AC949" i="123" s="1"/>
  <c r="AJ949" i="123"/>
  <c r="AK949" i="123"/>
  <c r="AL949" i="123"/>
  <c r="AO949" i="123"/>
  <c r="AP949" i="123"/>
  <c r="AQ949" i="123" s="1"/>
  <c r="AT949" i="123"/>
  <c r="AU949" i="123"/>
  <c r="K950" i="123"/>
  <c r="L950" i="123"/>
  <c r="M950" i="123"/>
  <c r="N950" i="123"/>
  <c r="O950" i="123"/>
  <c r="P950" i="123"/>
  <c r="Q950" i="123"/>
  <c r="R950" i="123"/>
  <c r="T950" i="123" s="1"/>
  <c r="V950" i="123" s="1"/>
  <c r="S950" i="123"/>
  <c r="X950" i="123"/>
  <c r="Y950" i="123"/>
  <c r="AA950" i="123" s="1"/>
  <c r="AB950" i="123"/>
  <c r="AD950" i="123" s="1"/>
  <c r="AJ950" i="123"/>
  <c r="AK950" i="123"/>
  <c r="AL950" i="123"/>
  <c r="AO950" i="123"/>
  <c r="AP950" i="123"/>
  <c r="AQ950" i="123" s="1"/>
  <c r="AT950" i="123"/>
  <c r="AU950" i="123"/>
  <c r="K951" i="123"/>
  <c r="L951" i="123"/>
  <c r="M951" i="123"/>
  <c r="N951" i="123"/>
  <c r="O951" i="123"/>
  <c r="P951" i="123"/>
  <c r="Q951" i="123"/>
  <c r="R951" i="123"/>
  <c r="T951" i="123" s="1"/>
  <c r="S951" i="123"/>
  <c r="X951" i="123"/>
  <c r="Y951" i="123"/>
  <c r="Z951" i="123" s="1"/>
  <c r="AB951" i="123"/>
  <c r="AD951" i="123" s="1"/>
  <c r="AJ951" i="123"/>
  <c r="AK951" i="123"/>
  <c r="AL951" i="123"/>
  <c r="AO951" i="123"/>
  <c r="AP951" i="123"/>
  <c r="AQ951" i="123" s="1"/>
  <c r="AT951" i="123"/>
  <c r="AU951" i="123"/>
  <c r="K952" i="123"/>
  <c r="L952" i="123"/>
  <c r="M952" i="123"/>
  <c r="N952" i="123"/>
  <c r="O952" i="123"/>
  <c r="P952" i="123"/>
  <c r="Q952" i="123"/>
  <c r="R952" i="123"/>
  <c r="T952" i="123" s="1"/>
  <c r="S952" i="123"/>
  <c r="X952" i="123"/>
  <c r="Y952" i="123"/>
  <c r="AA952" i="123" s="1"/>
  <c r="AB952" i="123"/>
  <c r="AC952" i="123" s="1"/>
  <c r="AJ952" i="123"/>
  <c r="AK952" i="123"/>
  <c r="AL952" i="123"/>
  <c r="AO952" i="123"/>
  <c r="AP952" i="123"/>
  <c r="AQ952" i="123" s="1"/>
  <c r="AT952" i="123"/>
  <c r="AU952" i="123"/>
  <c r="K953" i="123"/>
  <c r="L953" i="123"/>
  <c r="M953" i="123"/>
  <c r="N953" i="123"/>
  <c r="O953" i="123"/>
  <c r="P953" i="123"/>
  <c r="Q953" i="123"/>
  <c r="R953" i="123"/>
  <c r="T953" i="123" s="1"/>
  <c r="S953" i="123"/>
  <c r="X953" i="123"/>
  <c r="Y953" i="123"/>
  <c r="Z953" i="123" s="1"/>
  <c r="AB953" i="123"/>
  <c r="AC953" i="123" s="1"/>
  <c r="AJ953" i="123"/>
  <c r="AK953" i="123"/>
  <c r="AL953" i="123"/>
  <c r="AO953" i="123"/>
  <c r="AP953" i="123"/>
  <c r="AQ953" i="123" s="1"/>
  <c r="AT953" i="123"/>
  <c r="AU953" i="123"/>
  <c r="K954" i="123"/>
  <c r="L954" i="123"/>
  <c r="M954" i="123"/>
  <c r="N954" i="123"/>
  <c r="O954" i="123"/>
  <c r="P954" i="123"/>
  <c r="Q954" i="123"/>
  <c r="R954" i="123"/>
  <c r="T954" i="123" s="1"/>
  <c r="V954" i="123" s="1"/>
  <c r="S954" i="123"/>
  <c r="X954" i="123"/>
  <c r="Y954" i="123"/>
  <c r="AA954" i="123" s="1"/>
  <c r="AB954" i="123"/>
  <c r="AD954" i="123" s="1"/>
  <c r="AJ954" i="123"/>
  <c r="AK954" i="123"/>
  <c r="AL954" i="123"/>
  <c r="AO954" i="123"/>
  <c r="AP954" i="123"/>
  <c r="AQ954" i="123" s="1"/>
  <c r="AT954" i="123"/>
  <c r="AU954" i="123"/>
  <c r="K955" i="123"/>
  <c r="L955" i="123"/>
  <c r="M955" i="123"/>
  <c r="N955" i="123"/>
  <c r="O955" i="123"/>
  <c r="P955" i="123"/>
  <c r="Q955" i="123"/>
  <c r="R955" i="123"/>
  <c r="T955" i="123" s="1"/>
  <c r="S955" i="123"/>
  <c r="X955" i="123"/>
  <c r="Y955" i="123"/>
  <c r="Z955" i="123" s="1"/>
  <c r="AB955" i="123"/>
  <c r="AD955" i="123" s="1"/>
  <c r="AJ955" i="123"/>
  <c r="AK955" i="123"/>
  <c r="AL955" i="123"/>
  <c r="AO955" i="123"/>
  <c r="AP955" i="123"/>
  <c r="AQ955" i="123" s="1"/>
  <c r="AT955" i="123"/>
  <c r="AU955" i="123"/>
  <c r="K956" i="123"/>
  <c r="L956" i="123"/>
  <c r="M956" i="123"/>
  <c r="N956" i="123"/>
  <c r="O956" i="123"/>
  <c r="P956" i="123"/>
  <c r="Q956" i="123"/>
  <c r="R956" i="123"/>
  <c r="T956" i="123" s="1"/>
  <c r="S956" i="123"/>
  <c r="X956" i="123"/>
  <c r="Y956" i="123"/>
  <c r="AA956" i="123" s="1"/>
  <c r="AB956" i="123"/>
  <c r="AC956" i="123" s="1"/>
  <c r="AJ956" i="123"/>
  <c r="AK956" i="123"/>
  <c r="AL956" i="123"/>
  <c r="AO956" i="123"/>
  <c r="AP956" i="123"/>
  <c r="AQ956" i="123" s="1"/>
  <c r="AT956" i="123"/>
  <c r="AU956" i="123"/>
  <c r="K957" i="123"/>
  <c r="L957" i="123"/>
  <c r="M957" i="123"/>
  <c r="N957" i="123"/>
  <c r="O957" i="123"/>
  <c r="P957" i="123"/>
  <c r="Q957" i="123"/>
  <c r="R957" i="123"/>
  <c r="T957" i="123" s="1"/>
  <c r="S957" i="123"/>
  <c r="X957" i="123"/>
  <c r="Y957" i="123"/>
  <c r="Z957" i="123" s="1"/>
  <c r="AB957" i="123"/>
  <c r="AC957" i="123" s="1"/>
  <c r="AJ957" i="123"/>
  <c r="AK957" i="123"/>
  <c r="AL957" i="123"/>
  <c r="AO957" i="123"/>
  <c r="AP957" i="123"/>
  <c r="AQ957" i="123" s="1"/>
  <c r="AT957" i="123"/>
  <c r="AU957" i="123"/>
  <c r="K958" i="123"/>
  <c r="L958" i="123"/>
  <c r="M958" i="123"/>
  <c r="N958" i="123"/>
  <c r="O958" i="123"/>
  <c r="P958" i="123"/>
  <c r="Q958" i="123"/>
  <c r="R958" i="123"/>
  <c r="T958" i="123" s="1"/>
  <c r="V958" i="123" s="1"/>
  <c r="S958" i="123"/>
  <c r="X958" i="123"/>
  <c r="Y958" i="123"/>
  <c r="AA958" i="123" s="1"/>
  <c r="AB958" i="123"/>
  <c r="AD958" i="123" s="1"/>
  <c r="AJ958" i="123"/>
  <c r="AK958" i="123"/>
  <c r="AL958" i="123"/>
  <c r="AO958" i="123"/>
  <c r="AP958" i="123"/>
  <c r="AQ958" i="123" s="1"/>
  <c r="AT958" i="123"/>
  <c r="AU958" i="123"/>
  <c r="K959" i="123"/>
  <c r="L959" i="123"/>
  <c r="M959" i="123"/>
  <c r="N959" i="123"/>
  <c r="O959" i="123"/>
  <c r="P959" i="123"/>
  <c r="Q959" i="123"/>
  <c r="R959" i="123"/>
  <c r="T959" i="123" s="1"/>
  <c r="S959" i="123"/>
  <c r="X959" i="123"/>
  <c r="Y959" i="123"/>
  <c r="Z959" i="123" s="1"/>
  <c r="AB959" i="123"/>
  <c r="AD959" i="123" s="1"/>
  <c r="AJ959" i="123"/>
  <c r="AK959" i="123"/>
  <c r="AL959" i="123"/>
  <c r="AO959" i="123"/>
  <c r="AP959" i="123"/>
  <c r="AQ959" i="123" s="1"/>
  <c r="AT959" i="123"/>
  <c r="AU959" i="123"/>
  <c r="K960" i="123"/>
  <c r="L960" i="123"/>
  <c r="M960" i="123"/>
  <c r="N960" i="123"/>
  <c r="O960" i="123"/>
  <c r="P960" i="123"/>
  <c r="Q960" i="123"/>
  <c r="R960" i="123"/>
  <c r="T960" i="123" s="1"/>
  <c r="S960" i="123"/>
  <c r="X960" i="123"/>
  <c r="Y960" i="123"/>
  <c r="AA960" i="123" s="1"/>
  <c r="AB960" i="123"/>
  <c r="AC960" i="123" s="1"/>
  <c r="AJ960" i="123"/>
  <c r="AK960" i="123"/>
  <c r="AL960" i="123"/>
  <c r="AO960" i="123"/>
  <c r="AP960" i="123"/>
  <c r="AQ960" i="123" s="1"/>
  <c r="AT960" i="123"/>
  <c r="AU960" i="123"/>
  <c r="K961" i="123"/>
  <c r="L961" i="123"/>
  <c r="M961" i="123"/>
  <c r="N961" i="123"/>
  <c r="O961" i="123"/>
  <c r="P961" i="123"/>
  <c r="Q961" i="123"/>
  <c r="R961" i="123"/>
  <c r="T961" i="123" s="1"/>
  <c r="S961" i="123"/>
  <c r="X961" i="123"/>
  <c r="Y961" i="123"/>
  <c r="Z961" i="123" s="1"/>
  <c r="AB961" i="123"/>
  <c r="AC961" i="123" s="1"/>
  <c r="AJ961" i="123"/>
  <c r="AK961" i="123"/>
  <c r="AL961" i="123"/>
  <c r="AO961" i="123"/>
  <c r="AP961" i="123"/>
  <c r="AQ961" i="123" s="1"/>
  <c r="AT961" i="123"/>
  <c r="AU961" i="123"/>
  <c r="K962" i="123"/>
  <c r="L962" i="123"/>
  <c r="M962" i="123"/>
  <c r="N962" i="123"/>
  <c r="O962" i="123"/>
  <c r="P962" i="123"/>
  <c r="Q962" i="123"/>
  <c r="R962" i="123"/>
  <c r="T962" i="123" s="1"/>
  <c r="V962" i="123" s="1"/>
  <c r="S962" i="123"/>
  <c r="X962" i="123"/>
  <c r="Y962" i="123"/>
  <c r="Z962" i="123" s="1"/>
  <c r="AB962" i="123"/>
  <c r="AD962" i="123" s="1"/>
  <c r="AJ962" i="123"/>
  <c r="AK962" i="123"/>
  <c r="AL962" i="123"/>
  <c r="AO962" i="123"/>
  <c r="AP962" i="123"/>
  <c r="AQ962" i="123" s="1"/>
  <c r="AT962" i="123"/>
  <c r="AU962" i="123"/>
  <c r="K963" i="123"/>
  <c r="L963" i="123"/>
  <c r="M963" i="123"/>
  <c r="N963" i="123"/>
  <c r="O963" i="123"/>
  <c r="P963" i="123"/>
  <c r="Q963" i="123"/>
  <c r="R963" i="123"/>
  <c r="T963" i="123" s="1"/>
  <c r="S963" i="123"/>
  <c r="X963" i="123"/>
  <c r="Y963" i="123"/>
  <c r="Z963" i="123" s="1"/>
  <c r="AB963" i="123"/>
  <c r="AD963" i="123" s="1"/>
  <c r="AJ963" i="123"/>
  <c r="AK963" i="123"/>
  <c r="AL963" i="123"/>
  <c r="AO963" i="123"/>
  <c r="AP963" i="123"/>
  <c r="AQ963" i="123" s="1"/>
  <c r="AT963" i="123"/>
  <c r="AU963" i="123"/>
  <c r="K964" i="123"/>
  <c r="L964" i="123"/>
  <c r="M964" i="123"/>
  <c r="N964" i="123"/>
  <c r="O964" i="123"/>
  <c r="P964" i="123"/>
  <c r="Q964" i="123"/>
  <c r="R964" i="123"/>
  <c r="T964" i="123" s="1"/>
  <c r="S964" i="123"/>
  <c r="X964" i="123"/>
  <c r="Y964" i="123"/>
  <c r="AA964" i="123" s="1"/>
  <c r="AB964" i="123"/>
  <c r="AC964" i="123" s="1"/>
  <c r="AJ964" i="123"/>
  <c r="AK964" i="123"/>
  <c r="AL964" i="123"/>
  <c r="AO964" i="123"/>
  <c r="AP964" i="123"/>
  <c r="AQ964" i="123" s="1"/>
  <c r="AT964" i="123"/>
  <c r="AU964" i="123"/>
  <c r="K965" i="123"/>
  <c r="L965" i="123"/>
  <c r="M965" i="123"/>
  <c r="N965" i="123"/>
  <c r="O965" i="123"/>
  <c r="P965" i="123"/>
  <c r="Q965" i="123"/>
  <c r="R965" i="123"/>
  <c r="T965" i="123" s="1"/>
  <c r="S965" i="123"/>
  <c r="X965" i="123"/>
  <c r="Y965" i="123"/>
  <c r="Z965" i="123" s="1"/>
  <c r="AB965" i="123"/>
  <c r="AC965" i="123" s="1"/>
  <c r="AJ965" i="123"/>
  <c r="AK965" i="123"/>
  <c r="AL965" i="123"/>
  <c r="AO965" i="123"/>
  <c r="AP965" i="123"/>
  <c r="AQ965" i="123" s="1"/>
  <c r="AT965" i="123"/>
  <c r="AU965" i="123"/>
  <c r="K966" i="123"/>
  <c r="L966" i="123"/>
  <c r="M966" i="123"/>
  <c r="N966" i="123"/>
  <c r="O966" i="123"/>
  <c r="P966" i="123"/>
  <c r="Q966" i="123"/>
  <c r="R966" i="123"/>
  <c r="T966" i="123" s="1"/>
  <c r="V966" i="123" s="1"/>
  <c r="S966" i="123"/>
  <c r="X966" i="123"/>
  <c r="Y966" i="123"/>
  <c r="AA966" i="123" s="1"/>
  <c r="AB966" i="123"/>
  <c r="AD966" i="123" s="1"/>
  <c r="AJ966" i="123"/>
  <c r="AK966" i="123"/>
  <c r="AL966" i="123"/>
  <c r="AO966" i="123"/>
  <c r="AP966" i="123"/>
  <c r="AQ966" i="123" s="1"/>
  <c r="AT966" i="123"/>
  <c r="AU966" i="123"/>
  <c r="K967" i="123"/>
  <c r="L967" i="123"/>
  <c r="M967" i="123"/>
  <c r="N967" i="123"/>
  <c r="O967" i="123"/>
  <c r="P967" i="123"/>
  <c r="Q967" i="123"/>
  <c r="R967" i="123"/>
  <c r="T967" i="123" s="1"/>
  <c r="S967" i="123"/>
  <c r="X967" i="123"/>
  <c r="Y967" i="123"/>
  <c r="Z967" i="123" s="1"/>
  <c r="AB967" i="123"/>
  <c r="AD967" i="123" s="1"/>
  <c r="AJ967" i="123"/>
  <c r="AK967" i="123"/>
  <c r="AL967" i="123"/>
  <c r="AO967" i="123"/>
  <c r="AP967" i="123"/>
  <c r="AQ967" i="123" s="1"/>
  <c r="AT967" i="123"/>
  <c r="AU967" i="123"/>
  <c r="K968" i="123"/>
  <c r="L968" i="123"/>
  <c r="M968" i="123"/>
  <c r="N968" i="123"/>
  <c r="O968" i="123"/>
  <c r="P968" i="123"/>
  <c r="Q968" i="123"/>
  <c r="R968" i="123"/>
  <c r="T968" i="123" s="1"/>
  <c r="S968" i="123"/>
  <c r="X968" i="123"/>
  <c r="Y968" i="123"/>
  <c r="AA968" i="123" s="1"/>
  <c r="AB968" i="123"/>
  <c r="AC968" i="123" s="1"/>
  <c r="AJ968" i="123"/>
  <c r="AK968" i="123"/>
  <c r="AL968" i="123"/>
  <c r="AO968" i="123"/>
  <c r="AP968" i="123"/>
  <c r="AQ968" i="123" s="1"/>
  <c r="AT968" i="123"/>
  <c r="AU968" i="123"/>
  <c r="K969" i="123"/>
  <c r="L969" i="123"/>
  <c r="M969" i="123"/>
  <c r="N969" i="123"/>
  <c r="O969" i="123"/>
  <c r="P969" i="123"/>
  <c r="Q969" i="123"/>
  <c r="R969" i="123"/>
  <c r="T969" i="123" s="1"/>
  <c r="S969" i="123"/>
  <c r="X969" i="123"/>
  <c r="Y969" i="123"/>
  <c r="Z969" i="123" s="1"/>
  <c r="AB969" i="123"/>
  <c r="AC969" i="123" s="1"/>
  <c r="AJ969" i="123"/>
  <c r="AK969" i="123"/>
  <c r="AL969" i="123"/>
  <c r="AO969" i="123"/>
  <c r="AP969" i="123"/>
  <c r="AQ969" i="123" s="1"/>
  <c r="AT969" i="123"/>
  <c r="AU969" i="123"/>
  <c r="K970" i="123"/>
  <c r="L970" i="123"/>
  <c r="M970" i="123"/>
  <c r="N970" i="123"/>
  <c r="O970" i="123"/>
  <c r="P970" i="123"/>
  <c r="Q970" i="123"/>
  <c r="R970" i="123"/>
  <c r="T970" i="123" s="1"/>
  <c r="V970" i="123" s="1"/>
  <c r="S970" i="123"/>
  <c r="X970" i="123"/>
  <c r="Y970" i="123"/>
  <c r="Z970" i="123" s="1"/>
  <c r="AB970" i="123"/>
  <c r="AD970" i="123" s="1"/>
  <c r="AJ970" i="123"/>
  <c r="AK970" i="123"/>
  <c r="AL970" i="123"/>
  <c r="AO970" i="123"/>
  <c r="AP970" i="123"/>
  <c r="AQ970" i="123" s="1"/>
  <c r="AT970" i="123"/>
  <c r="AU970" i="123"/>
  <c r="K971" i="123"/>
  <c r="L971" i="123"/>
  <c r="M971" i="123"/>
  <c r="N971" i="123"/>
  <c r="O971" i="123"/>
  <c r="P971" i="123"/>
  <c r="Q971" i="123"/>
  <c r="R971" i="123"/>
  <c r="T971" i="123" s="1"/>
  <c r="S971" i="123"/>
  <c r="X971" i="123"/>
  <c r="Y971" i="123"/>
  <c r="Z971" i="123" s="1"/>
  <c r="AB971" i="123"/>
  <c r="AD971" i="123" s="1"/>
  <c r="AJ971" i="123"/>
  <c r="AK971" i="123"/>
  <c r="AL971" i="123"/>
  <c r="AO971" i="123"/>
  <c r="AP971" i="123"/>
  <c r="AQ971" i="123" s="1"/>
  <c r="AT971" i="123"/>
  <c r="AU971" i="123"/>
  <c r="K972" i="123"/>
  <c r="L972" i="123"/>
  <c r="M972" i="123"/>
  <c r="N972" i="123"/>
  <c r="O972" i="123"/>
  <c r="P972" i="123"/>
  <c r="Q972" i="123"/>
  <c r="R972" i="123"/>
  <c r="T972" i="123" s="1"/>
  <c r="S972" i="123"/>
  <c r="X972" i="123"/>
  <c r="Y972" i="123"/>
  <c r="AA972" i="123" s="1"/>
  <c r="AB972" i="123"/>
  <c r="AC972" i="123" s="1"/>
  <c r="AJ972" i="123"/>
  <c r="AK972" i="123"/>
  <c r="AL972" i="123"/>
  <c r="AO972" i="123"/>
  <c r="AP972" i="123"/>
  <c r="AQ972" i="123" s="1"/>
  <c r="AT972" i="123"/>
  <c r="AU972" i="123"/>
  <c r="K973" i="123"/>
  <c r="L973" i="123"/>
  <c r="M973" i="123"/>
  <c r="N973" i="123"/>
  <c r="O973" i="123"/>
  <c r="P973" i="123"/>
  <c r="Q973" i="123"/>
  <c r="R973" i="123"/>
  <c r="T973" i="123" s="1"/>
  <c r="S973" i="123"/>
  <c r="X973" i="123"/>
  <c r="Y973" i="123"/>
  <c r="Z973" i="123" s="1"/>
  <c r="AB973" i="123"/>
  <c r="AC973" i="123" s="1"/>
  <c r="AJ973" i="123"/>
  <c r="AK973" i="123"/>
  <c r="AL973" i="123"/>
  <c r="AO973" i="123"/>
  <c r="AP973" i="123"/>
  <c r="AQ973" i="123" s="1"/>
  <c r="AT973" i="123"/>
  <c r="AU973" i="123"/>
  <c r="K974" i="123"/>
  <c r="L974" i="123"/>
  <c r="M974" i="123"/>
  <c r="N974" i="123"/>
  <c r="O974" i="123"/>
  <c r="P974" i="123"/>
  <c r="Q974" i="123"/>
  <c r="R974" i="123"/>
  <c r="T974" i="123" s="1"/>
  <c r="V974" i="123" s="1"/>
  <c r="S974" i="123"/>
  <c r="X974" i="123"/>
  <c r="Y974" i="123"/>
  <c r="AA974" i="123" s="1"/>
  <c r="AB974" i="123"/>
  <c r="AD974" i="123" s="1"/>
  <c r="AJ974" i="123"/>
  <c r="AK974" i="123"/>
  <c r="AL974" i="123"/>
  <c r="AO974" i="123"/>
  <c r="AP974" i="123"/>
  <c r="AQ974" i="123" s="1"/>
  <c r="AT974" i="123"/>
  <c r="AU974" i="123"/>
  <c r="K975" i="123"/>
  <c r="L975" i="123"/>
  <c r="M975" i="123"/>
  <c r="N975" i="123"/>
  <c r="O975" i="123"/>
  <c r="P975" i="123"/>
  <c r="Q975" i="123"/>
  <c r="R975" i="123"/>
  <c r="T975" i="123" s="1"/>
  <c r="S975" i="123"/>
  <c r="X975" i="123"/>
  <c r="Y975" i="123"/>
  <c r="Z975" i="123" s="1"/>
  <c r="AB975" i="123"/>
  <c r="AD975" i="123" s="1"/>
  <c r="AJ975" i="123"/>
  <c r="AK975" i="123"/>
  <c r="AL975" i="123"/>
  <c r="AO975" i="123"/>
  <c r="AP975" i="123"/>
  <c r="AQ975" i="123" s="1"/>
  <c r="AT975" i="123"/>
  <c r="AU975" i="123"/>
  <c r="K976" i="123"/>
  <c r="L976" i="123"/>
  <c r="M976" i="123"/>
  <c r="N976" i="123"/>
  <c r="O976" i="123"/>
  <c r="P976" i="123"/>
  <c r="Q976" i="123"/>
  <c r="R976" i="123"/>
  <c r="T976" i="123" s="1"/>
  <c r="S976" i="123"/>
  <c r="X976" i="123"/>
  <c r="Y976" i="123"/>
  <c r="AA976" i="123" s="1"/>
  <c r="AB976" i="123"/>
  <c r="AC976" i="123" s="1"/>
  <c r="AJ976" i="123"/>
  <c r="AK976" i="123"/>
  <c r="AL976" i="123"/>
  <c r="AO976" i="123"/>
  <c r="AP976" i="123"/>
  <c r="AQ976" i="123" s="1"/>
  <c r="AT976" i="123"/>
  <c r="AU976" i="123"/>
  <c r="K977" i="123"/>
  <c r="L977" i="123"/>
  <c r="M977" i="123"/>
  <c r="N977" i="123"/>
  <c r="O977" i="123"/>
  <c r="P977" i="123"/>
  <c r="Q977" i="123"/>
  <c r="R977" i="123"/>
  <c r="T977" i="123" s="1"/>
  <c r="S977" i="123"/>
  <c r="X977" i="123"/>
  <c r="Y977" i="123"/>
  <c r="Z977" i="123" s="1"/>
  <c r="AB977" i="123"/>
  <c r="AC977" i="123" s="1"/>
  <c r="AJ977" i="123"/>
  <c r="AK977" i="123"/>
  <c r="AL977" i="123"/>
  <c r="AO977" i="123"/>
  <c r="AP977" i="123"/>
  <c r="AQ977" i="123" s="1"/>
  <c r="AT977" i="123"/>
  <c r="AU977" i="123"/>
  <c r="K978" i="123"/>
  <c r="L978" i="123"/>
  <c r="M978" i="123"/>
  <c r="N978" i="123"/>
  <c r="O978" i="123"/>
  <c r="P978" i="123"/>
  <c r="Q978" i="123"/>
  <c r="R978" i="123"/>
  <c r="T978" i="123" s="1"/>
  <c r="S978" i="123"/>
  <c r="X978" i="123"/>
  <c r="Y978" i="123"/>
  <c r="Z978" i="123" s="1"/>
  <c r="AB978" i="123"/>
  <c r="AC978" i="123" s="1"/>
  <c r="AJ978" i="123"/>
  <c r="AK978" i="123"/>
  <c r="AL978" i="123"/>
  <c r="AO978" i="123"/>
  <c r="AP978" i="123"/>
  <c r="AQ978" i="123" s="1"/>
  <c r="AT978" i="123"/>
  <c r="AU978" i="123"/>
  <c r="K979" i="123"/>
  <c r="L979" i="123"/>
  <c r="M979" i="123"/>
  <c r="N979" i="123"/>
  <c r="O979" i="123"/>
  <c r="P979" i="123"/>
  <c r="Q979" i="123"/>
  <c r="R979" i="123"/>
  <c r="T979" i="123" s="1"/>
  <c r="S979" i="123"/>
  <c r="X979" i="123"/>
  <c r="Y979" i="123"/>
  <c r="Z979" i="123" s="1"/>
  <c r="AB979" i="123"/>
  <c r="AC979" i="123" s="1"/>
  <c r="AJ979" i="123"/>
  <c r="AK979" i="123"/>
  <c r="AL979" i="123"/>
  <c r="AO979" i="123"/>
  <c r="AP979" i="123"/>
  <c r="AQ979" i="123" s="1"/>
  <c r="AT979" i="123"/>
  <c r="AU979" i="123"/>
  <c r="K980" i="123"/>
  <c r="L980" i="123"/>
  <c r="M980" i="123"/>
  <c r="N980" i="123"/>
  <c r="O980" i="123"/>
  <c r="P980" i="123"/>
  <c r="Q980" i="123"/>
  <c r="R980" i="123"/>
  <c r="T980" i="123" s="1"/>
  <c r="S980" i="123"/>
  <c r="X980" i="123"/>
  <c r="Y980" i="123"/>
  <c r="AA980" i="123" s="1"/>
  <c r="AB980" i="123"/>
  <c r="AC980" i="123" s="1"/>
  <c r="AJ980" i="123"/>
  <c r="AK980" i="123"/>
  <c r="AL980" i="123"/>
  <c r="AO980" i="123"/>
  <c r="AP980" i="123"/>
  <c r="AQ980" i="123" s="1"/>
  <c r="AT980" i="123"/>
  <c r="AU980" i="123"/>
  <c r="K981" i="123"/>
  <c r="L981" i="123"/>
  <c r="M981" i="123"/>
  <c r="N981" i="123"/>
  <c r="O981" i="123"/>
  <c r="P981" i="123"/>
  <c r="Q981" i="123"/>
  <c r="R981" i="123"/>
  <c r="T981" i="123" s="1"/>
  <c r="S981" i="123"/>
  <c r="X981" i="123"/>
  <c r="Y981" i="123"/>
  <c r="Z981" i="123" s="1"/>
  <c r="AB981" i="123"/>
  <c r="AD981" i="123" s="1"/>
  <c r="AJ981" i="123"/>
  <c r="AK981" i="123"/>
  <c r="AL981" i="123"/>
  <c r="AO981" i="123"/>
  <c r="AP981" i="123"/>
  <c r="AQ981" i="123" s="1"/>
  <c r="AT981" i="123"/>
  <c r="AU981" i="123"/>
  <c r="K982" i="123"/>
  <c r="L982" i="123"/>
  <c r="M982" i="123"/>
  <c r="N982" i="123"/>
  <c r="O982" i="123"/>
  <c r="P982" i="123"/>
  <c r="Q982" i="123"/>
  <c r="R982" i="123"/>
  <c r="T982" i="123" s="1"/>
  <c r="S982" i="123"/>
  <c r="X982" i="123"/>
  <c r="Y982" i="123"/>
  <c r="Z982" i="123" s="1"/>
  <c r="AB982" i="123"/>
  <c r="AC982" i="123" s="1"/>
  <c r="AJ982" i="123"/>
  <c r="AK982" i="123"/>
  <c r="AL982" i="123"/>
  <c r="AO982" i="123"/>
  <c r="AP982" i="123"/>
  <c r="AQ982" i="123" s="1"/>
  <c r="AT982" i="123"/>
  <c r="AU982" i="123"/>
  <c r="K983" i="123"/>
  <c r="L983" i="123"/>
  <c r="M983" i="123"/>
  <c r="N983" i="123"/>
  <c r="O983" i="123"/>
  <c r="P983" i="123"/>
  <c r="Q983" i="123"/>
  <c r="R983" i="123"/>
  <c r="T983" i="123" s="1"/>
  <c r="S983" i="123"/>
  <c r="X983" i="123"/>
  <c r="Y983" i="123"/>
  <c r="Z983" i="123" s="1"/>
  <c r="AB983" i="123"/>
  <c r="AD983" i="123" s="1"/>
  <c r="AJ983" i="123"/>
  <c r="AK983" i="123"/>
  <c r="AL983" i="123"/>
  <c r="AO983" i="123"/>
  <c r="AP983" i="123"/>
  <c r="AQ983" i="123" s="1"/>
  <c r="AT983" i="123"/>
  <c r="AU983" i="123"/>
  <c r="K984" i="123"/>
  <c r="L984" i="123"/>
  <c r="M984" i="123"/>
  <c r="N984" i="123"/>
  <c r="O984" i="123"/>
  <c r="P984" i="123"/>
  <c r="Q984" i="123"/>
  <c r="R984" i="123"/>
  <c r="T984" i="123" s="1"/>
  <c r="S984" i="123"/>
  <c r="X984" i="123"/>
  <c r="Y984" i="123"/>
  <c r="AB984" i="123"/>
  <c r="AC984" i="123" s="1"/>
  <c r="AJ984" i="123"/>
  <c r="AK984" i="123"/>
  <c r="AL984" i="123"/>
  <c r="AO984" i="123"/>
  <c r="AP984" i="123"/>
  <c r="AQ984" i="123" s="1"/>
  <c r="AT984" i="123"/>
  <c r="AU984" i="123"/>
  <c r="K985" i="123"/>
  <c r="L985" i="123"/>
  <c r="M985" i="123"/>
  <c r="N985" i="123"/>
  <c r="O985" i="123"/>
  <c r="P985" i="123"/>
  <c r="Q985" i="123"/>
  <c r="R985" i="123"/>
  <c r="T985" i="123" s="1"/>
  <c r="V985" i="123" s="1"/>
  <c r="S985" i="123"/>
  <c r="X985" i="123"/>
  <c r="Y985" i="123"/>
  <c r="Z985" i="123" s="1"/>
  <c r="AB985" i="123"/>
  <c r="AD985" i="123" s="1"/>
  <c r="AJ985" i="123"/>
  <c r="AK985" i="123"/>
  <c r="AL985" i="123"/>
  <c r="AO985" i="123"/>
  <c r="AP985" i="123"/>
  <c r="AT985" i="123"/>
  <c r="AU985" i="123"/>
  <c r="K986" i="123"/>
  <c r="L986" i="123"/>
  <c r="M986" i="123"/>
  <c r="N986" i="123"/>
  <c r="O986" i="123"/>
  <c r="P986" i="123"/>
  <c r="Q986" i="123"/>
  <c r="R986" i="123"/>
  <c r="T986" i="123" s="1"/>
  <c r="S986" i="123"/>
  <c r="X986" i="123"/>
  <c r="Y986" i="123"/>
  <c r="AA986" i="123" s="1"/>
  <c r="AB986" i="123"/>
  <c r="AC986" i="123" s="1"/>
  <c r="AJ986" i="123"/>
  <c r="AK986" i="123"/>
  <c r="AL986" i="123"/>
  <c r="AO986" i="123"/>
  <c r="AP986" i="123"/>
  <c r="AQ986" i="123" s="1"/>
  <c r="AT986" i="123"/>
  <c r="AU986" i="123"/>
  <c r="K987" i="123"/>
  <c r="L987" i="123"/>
  <c r="M987" i="123"/>
  <c r="N987" i="123"/>
  <c r="O987" i="123"/>
  <c r="P987" i="123"/>
  <c r="Q987" i="123"/>
  <c r="R987" i="123"/>
  <c r="T987" i="123" s="1"/>
  <c r="S987" i="123"/>
  <c r="X987" i="123"/>
  <c r="Y987" i="123"/>
  <c r="Z987" i="123" s="1"/>
  <c r="AB987" i="123"/>
  <c r="AD987" i="123" s="1"/>
  <c r="AJ987" i="123"/>
  <c r="AK987" i="123"/>
  <c r="AL987" i="123"/>
  <c r="AO987" i="123"/>
  <c r="AP987" i="123"/>
  <c r="AQ987" i="123" s="1"/>
  <c r="AT987" i="123"/>
  <c r="AU987" i="123"/>
  <c r="K988" i="123"/>
  <c r="L988" i="123"/>
  <c r="M988" i="123"/>
  <c r="N988" i="123"/>
  <c r="O988" i="123"/>
  <c r="P988" i="123"/>
  <c r="Q988" i="123"/>
  <c r="R988" i="123"/>
  <c r="T988" i="123" s="1"/>
  <c r="S988" i="123"/>
  <c r="X988" i="123"/>
  <c r="Y988" i="123"/>
  <c r="AA988" i="123" s="1"/>
  <c r="AB988" i="123"/>
  <c r="AC988" i="123" s="1"/>
  <c r="AJ988" i="123"/>
  <c r="AK988" i="123"/>
  <c r="AL988" i="123"/>
  <c r="AO988" i="123"/>
  <c r="AP988" i="123"/>
  <c r="AQ988" i="123" s="1"/>
  <c r="AT988" i="123"/>
  <c r="AU988" i="123"/>
  <c r="K989" i="123"/>
  <c r="L989" i="123"/>
  <c r="M989" i="123"/>
  <c r="N989" i="123"/>
  <c r="O989" i="123"/>
  <c r="P989" i="123"/>
  <c r="Q989" i="123"/>
  <c r="R989" i="123"/>
  <c r="T989" i="123" s="1"/>
  <c r="S989" i="123"/>
  <c r="X989" i="123"/>
  <c r="Y989" i="123"/>
  <c r="Z989" i="123" s="1"/>
  <c r="AB989" i="123"/>
  <c r="AD989" i="123" s="1"/>
  <c r="AJ989" i="123"/>
  <c r="AK989" i="123"/>
  <c r="AL989" i="123"/>
  <c r="AO989" i="123"/>
  <c r="AP989" i="123"/>
  <c r="AQ989" i="123" s="1"/>
  <c r="AT989" i="123"/>
  <c r="AU989" i="123"/>
  <c r="K990" i="123"/>
  <c r="L990" i="123"/>
  <c r="M990" i="123"/>
  <c r="N990" i="123"/>
  <c r="O990" i="123"/>
  <c r="P990" i="123"/>
  <c r="Q990" i="123"/>
  <c r="R990" i="123"/>
  <c r="T990" i="123" s="1"/>
  <c r="S990" i="123"/>
  <c r="X990" i="123"/>
  <c r="Y990" i="123"/>
  <c r="Z990" i="123" s="1"/>
  <c r="AB990" i="123"/>
  <c r="AC990" i="123" s="1"/>
  <c r="AJ990" i="123"/>
  <c r="AK990" i="123"/>
  <c r="AL990" i="123"/>
  <c r="AO990" i="123"/>
  <c r="AP990" i="123"/>
  <c r="AQ990" i="123" s="1"/>
  <c r="AT990" i="123"/>
  <c r="AU990" i="123"/>
  <c r="K991" i="123"/>
  <c r="L991" i="123"/>
  <c r="M991" i="123"/>
  <c r="N991" i="123"/>
  <c r="O991" i="123"/>
  <c r="P991" i="123"/>
  <c r="Q991" i="123"/>
  <c r="R991" i="123"/>
  <c r="T991" i="123" s="1"/>
  <c r="S991" i="123"/>
  <c r="X991" i="123"/>
  <c r="Y991" i="123"/>
  <c r="Z991" i="123" s="1"/>
  <c r="AB991" i="123"/>
  <c r="AD991" i="123" s="1"/>
  <c r="AJ991" i="123"/>
  <c r="AK991" i="123"/>
  <c r="AL991" i="123"/>
  <c r="AO991" i="123"/>
  <c r="AP991" i="123"/>
  <c r="AQ991" i="123" s="1"/>
  <c r="AT991" i="123"/>
  <c r="AU991" i="123"/>
  <c r="K992" i="123"/>
  <c r="L992" i="123"/>
  <c r="M992" i="123"/>
  <c r="N992" i="123"/>
  <c r="O992" i="123"/>
  <c r="P992" i="123"/>
  <c r="Q992" i="123"/>
  <c r="R992" i="123"/>
  <c r="T992" i="123" s="1"/>
  <c r="S992" i="123"/>
  <c r="X992" i="123"/>
  <c r="Y992" i="123"/>
  <c r="AA992" i="123" s="1"/>
  <c r="AB992" i="123"/>
  <c r="AC992" i="123" s="1"/>
  <c r="AJ992" i="123"/>
  <c r="AK992" i="123"/>
  <c r="AL992" i="123"/>
  <c r="AO992" i="123"/>
  <c r="AP992" i="123"/>
  <c r="AQ992" i="123" s="1"/>
  <c r="AT992" i="123"/>
  <c r="AU992" i="123"/>
  <c r="K993" i="123"/>
  <c r="L993" i="123"/>
  <c r="M993" i="123"/>
  <c r="N993" i="123"/>
  <c r="O993" i="123"/>
  <c r="P993" i="123"/>
  <c r="Q993" i="123"/>
  <c r="R993" i="123"/>
  <c r="T993" i="123" s="1"/>
  <c r="S993" i="123"/>
  <c r="X993" i="123"/>
  <c r="Y993" i="123"/>
  <c r="Z993" i="123" s="1"/>
  <c r="AB993" i="123"/>
  <c r="AD993" i="123" s="1"/>
  <c r="AJ993" i="123"/>
  <c r="AK993" i="123"/>
  <c r="AL993" i="123"/>
  <c r="AO993" i="123"/>
  <c r="AP993" i="123"/>
  <c r="AQ993" i="123" s="1"/>
  <c r="AT993" i="123"/>
  <c r="AU993" i="123"/>
  <c r="K994" i="123"/>
  <c r="L994" i="123"/>
  <c r="M994" i="123"/>
  <c r="N994" i="123"/>
  <c r="O994" i="123"/>
  <c r="P994" i="123"/>
  <c r="Q994" i="123"/>
  <c r="R994" i="123"/>
  <c r="T994" i="123" s="1"/>
  <c r="S994" i="123"/>
  <c r="X994" i="123"/>
  <c r="Y994" i="123"/>
  <c r="Z994" i="123" s="1"/>
  <c r="AB994" i="123"/>
  <c r="AC994" i="123" s="1"/>
  <c r="AJ994" i="123"/>
  <c r="AK994" i="123"/>
  <c r="AL994" i="123"/>
  <c r="AO994" i="123"/>
  <c r="AP994" i="123"/>
  <c r="AQ994" i="123" s="1"/>
  <c r="AT994" i="123"/>
  <c r="AU994" i="123"/>
  <c r="K995" i="123"/>
  <c r="L995" i="123"/>
  <c r="M995" i="123"/>
  <c r="N995" i="123"/>
  <c r="O995" i="123"/>
  <c r="P995" i="123"/>
  <c r="Q995" i="123"/>
  <c r="R995" i="123"/>
  <c r="T995" i="123" s="1"/>
  <c r="S995" i="123"/>
  <c r="X995" i="123"/>
  <c r="Y995" i="123"/>
  <c r="Z995" i="123" s="1"/>
  <c r="AB995" i="123"/>
  <c r="AC995" i="123" s="1"/>
  <c r="AJ995" i="123"/>
  <c r="AK995" i="123"/>
  <c r="AL995" i="123"/>
  <c r="AO995" i="123"/>
  <c r="AP995" i="123"/>
  <c r="AQ995" i="123" s="1"/>
  <c r="AT995" i="123"/>
  <c r="AU995" i="123"/>
  <c r="K996" i="123"/>
  <c r="L996" i="123"/>
  <c r="M996" i="123"/>
  <c r="N996" i="123"/>
  <c r="O996" i="123"/>
  <c r="P996" i="123"/>
  <c r="Q996" i="123"/>
  <c r="R996" i="123"/>
  <c r="T996" i="123" s="1"/>
  <c r="S996" i="123"/>
  <c r="X996" i="123"/>
  <c r="Y996" i="123"/>
  <c r="AA996" i="123" s="1"/>
  <c r="AB996" i="123"/>
  <c r="AC996" i="123" s="1"/>
  <c r="AJ996" i="123"/>
  <c r="AK996" i="123"/>
  <c r="AL996" i="123"/>
  <c r="AO996" i="123"/>
  <c r="AP996" i="123"/>
  <c r="AQ996" i="123" s="1"/>
  <c r="AT996" i="123"/>
  <c r="AU996" i="123"/>
  <c r="K997" i="123"/>
  <c r="L997" i="123"/>
  <c r="M997" i="123"/>
  <c r="N997" i="123"/>
  <c r="O997" i="123"/>
  <c r="P997" i="123"/>
  <c r="Q997" i="123"/>
  <c r="R997" i="123"/>
  <c r="T997" i="123" s="1"/>
  <c r="S997" i="123"/>
  <c r="X997" i="123"/>
  <c r="Y997" i="123"/>
  <c r="Z997" i="123" s="1"/>
  <c r="AB997" i="123"/>
  <c r="AD997" i="123" s="1"/>
  <c r="AJ997" i="123"/>
  <c r="AK997" i="123"/>
  <c r="AL997" i="123"/>
  <c r="AO997" i="123"/>
  <c r="AP997" i="123"/>
  <c r="AT997" i="123"/>
  <c r="AU997" i="123"/>
  <c r="K998" i="123"/>
  <c r="L998" i="123"/>
  <c r="M998" i="123"/>
  <c r="N998" i="123"/>
  <c r="O998" i="123"/>
  <c r="P998" i="123"/>
  <c r="Q998" i="123"/>
  <c r="R998" i="123"/>
  <c r="T998" i="123" s="1"/>
  <c r="S998" i="123"/>
  <c r="X998" i="123"/>
  <c r="Y998" i="123"/>
  <c r="Z998" i="123" s="1"/>
  <c r="AB998" i="123"/>
  <c r="AC998" i="123" s="1"/>
  <c r="AJ998" i="123"/>
  <c r="AK998" i="123"/>
  <c r="AL998" i="123"/>
  <c r="AO998" i="123"/>
  <c r="AP998" i="123"/>
  <c r="AQ998" i="123" s="1"/>
  <c r="AT998" i="123"/>
  <c r="AU998" i="123"/>
  <c r="K999" i="123"/>
  <c r="L999" i="123"/>
  <c r="M999" i="123"/>
  <c r="N999" i="123"/>
  <c r="O999" i="123"/>
  <c r="P999" i="123"/>
  <c r="Q999" i="123"/>
  <c r="R999" i="123"/>
  <c r="T999" i="123" s="1"/>
  <c r="S999" i="123"/>
  <c r="X999" i="123"/>
  <c r="Y999" i="123"/>
  <c r="AB999" i="123"/>
  <c r="AD999" i="123" s="1"/>
  <c r="AJ999" i="123"/>
  <c r="AK999" i="123"/>
  <c r="AL999" i="123"/>
  <c r="AO999" i="123"/>
  <c r="AP999" i="123"/>
  <c r="AQ999" i="123" s="1"/>
  <c r="AT999" i="123"/>
  <c r="AU999" i="123"/>
  <c r="K1000" i="123"/>
  <c r="L1000" i="123"/>
  <c r="M1000" i="123"/>
  <c r="N1000" i="123"/>
  <c r="O1000" i="123"/>
  <c r="P1000" i="123"/>
  <c r="Q1000" i="123"/>
  <c r="R1000" i="123"/>
  <c r="T1000" i="123" s="1"/>
  <c r="S1000" i="123"/>
  <c r="X1000" i="123"/>
  <c r="Y1000" i="123"/>
  <c r="AA1000" i="123" s="1"/>
  <c r="AB1000" i="123"/>
  <c r="AC1000" i="123" s="1"/>
  <c r="AJ1000" i="123"/>
  <c r="AK1000" i="123"/>
  <c r="AL1000" i="123"/>
  <c r="AO1000" i="123"/>
  <c r="AP1000" i="123"/>
  <c r="AQ1000" i="123" s="1"/>
  <c r="AT1000" i="123"/>
  <c r="AU1000" i="123"/>
  <c r="K1001" i="123"/>
  <c r="L1001" i="123"/>
  <c r="M1001" i="123"/>
  <c r="N1001" i="123"/>
  <c r="O1001" i="123"/>
  <c r="P1001" i="123"/>
  <c r="Q1001" i="123"/>
  <c r="R1001" i="123"/>
  <c r="T1001" i="123" s="1"/>
  <c r="S1001" i="123"/>
  <c r="X1001" i="123"/>
  <c r="Y1001" i="123"/>
  <c r="Z1001" i="123" s="1"/>
  <c r="AB1001" i="123"/>
  <c r="AD1001" i="123" s="1"/>
  <c r="AJ1001" i="123"/>
  <c r="AK1001" i="123"/>
  <c r="AL1001" i="123"/>
  <c r="AO1001" i="123"/>
  <c r="AP1001" i="123"/>
  <c r="AQ1001" i="123" s="1"/>
  <c r="AT1001" i="123"/>
  <c r="AU1001" i="123"/>
  <c r="K1002" i="123"/>
  <c r="L1002" i="123"/>
  <c r="M1002" i="123"/>
  <c r="N1002" i="123"/>
  <c r="O1002" i="123"/>
  <c r="P1002" i="123"/>
  <c r="Q1002" i="123"/>
  <c r="R1002" i="123"/>
  <c r="T1002" i="123" s="1"/>
  <c r="S1002" i="123"/>
  <c r="X1002" i="123"/>
  <c r="Y1002" i="123"/>
  <c r="AA1002" i="123" s="1"/>
  <c r="AB1002" i="123"/>
  <c r="AC1002" i="123" s="1"/>
  <c r="AJ1002" i="123"/>
  <c r="AK1002" i="123"/>
  <c r="AL1002" i="123"/>
  <c r="AO1002" i="123"/>
  <c r="AP1002" i="123"/>
  <c r="AQ1002" i="123" s="1"/>
  <c r="AT1002" i="123"/>
  <c r="AU1002" i="123"/>
  <c r="K1003" i="123"/>
  <c r="L1003" i="123"/>
  <c r="M1003" i="123"/>
  <c r="N1003" i="123"/>
  <c r="O1003" i="123"/>
  <c r="P1003" i="123"/>
  <c r="Q1003" i="123"/>
  <c r="R1003" i="123"/>
  <c r="T1003" i="123" s="1"/>
  <c r="V1003" i="123" s="1"/>
  <c r="S1003" i="123"/>
  <c r="X1003" i="123"/>
  <c r="Y1003" i="123"/>
  <c r="AA1003" i="123" s="1"/>
  <c r="AB1003" i="123"/>
  <c r="AD1003" i="123" s="1"/>
  <c r="AJ1003" i="123"/>
  <c r="AK1003" i="123"/>
  <c r="AL1003" i="123"/>
  <c r="AO1003" i="123"/>
  <c r="AP1003" i="123"/>
  <c r="AQ1003" i="123" s="1"/>
  <c r="AT1003" i="123"/>
  <c r="AU1003" i="123"/>
  <c r="K1004" i="123"/>
  <c r="L1004" i="123"/>
  <c r="M1004" i="123"/>
  <c r="N1004" i="123"/>
  <c r="O1004" i="123"/>
  <c r="P1004" i="123"/>
  <c r="Q1004" i="123"/>
  <c r="R1004" i="123"/>
  <c r="T1004" i="123" s="1"/>
  <c r="S1004" i="123"/>
  <c r="X1004" i="123"/>
  <c r="Y1004" i="123"/>
  <c r="AA1004" i="123" s="1"/>
  <c r="AB1004" i="123"/>
  <c r="AD1004" i="123" s="1"/>
  <c r="AJ1004" i="123"/>
  <c r="AK1004" i="123"/>
  <c r="AL1004" i="123"/>
  <c r="AO1004" i="123"/>
  <c r="AP1004" i="123"/>
  <c r="AQ1004" i="123" s="1"/>
  <c r="AT1004" i="123"/>
  <c r="AU1004" i="123"/>
  <c r="K1005" i="123"/>
  <c r="L1005" i="123"/>
  <c r="M1005" i="123"/>
  <c r="N1005" i="123"/>
  <c r="O1005" i="123"/>
  <c r="P1005" i="123"/>
  <c r="Q1005" i="123"/>
  <c r="R1005" i="123"/>
  <c r="T1005" i="123" s="1"/>
  <c r="V1005" i="123" s="1"/>
  <c r="S1005" i="123"/>
  <c r="X1005" i="123"/>
  <c r="Y1005" i="123"/>
  <c r="Z1005" i="123" s="1"/>
  <c r="AB1005" i="123"/>
  <c r="AD1005" i="123" s="1"/>
  <c r="AJ1005" i="123"/>
  <c r="AK1005" i="123"/>
  <c r="AL1005" i="123"/>
  <c r="AO1005" i="123"/>
  <c r="AP1005" i="123"/>
  <c r="AT1005" i="123"/>
  <c r="AU1005" i="123"/>
  <c r="K1006" i="123"/>
  <c r="L1006" i="123"/>
  <c r="M1006" i="123"/>
  <c r="N1006" i="123"/>
  <c r="O1006" i="123"/>
  <c r="P1006" i="123"/>
  <c r="Q1006" i="123"/>
  <c r="R1006" i="123"/>
  <c r="T1006" i="123" s="1"/>
  <c r="S1006" i="123"/>
  <c r="X1006" i="123"/>
  <c r="Y1006" i="123"/>
  <c r="Z1006" i="123" s="1"/>
  <c r="AB1006" i="123"/>
  <c r="AC1006" i="123" s="1"/>
  <c r="AJ1006" i="123"/>
  <c r="AK1006" i="123"/>
  <c r="AL1006" i="123"/>
  <c r="AO1006" i="123"/>
  <c r="AP1006" i="123"/>
  <c r="AQ1006" i="123" s="1"/>
  <c r="AT1006" i="123"/>
  <c r="AU1006" i="123"/>
  <c r="K1007" i="123"/>
  <c r="L1007" i="123"/>
  <c r="M1007" i="123"/>
  <c r="N1007" i="123"/>
  <c r="O1007" i="123"/>
  <c r="P1007" i="123"/>
  <c r="Q1007" i="123"/>
  <c r="R1007" i="123"/>
  <c r="T1007" i="123" s="1"/>
  <c r="S1007" i="123"/>
  <c r="X1007" i="123"/>
  <c r="Y1007" i="123"/>
  <c r="AA1007" i="123" s="1"/>
  <c r="AB1007" i="123"/>
  <c r="AD1007" i="123" s="1"/>
  <c r="AJ1007" i="123"/>
  <c r="AK1007" i="123"/>
  <c r="AL1007" i="123"/>
  <c r="AO1007" i="123"/>
  <c r="AP1007" i="123"/>
  <c r="AQ1007" i="123" s="1"/>
  <c r="AT1007" i="123"/>
  <c r="AU1007" i="123"/>
  <c r="K1008" i="123"/>
  <c r="L1008" i="123"/>
  <c r="M1008" i="123"/>
  <c r="N1008" i="123"/>
  <c r="O1008" i="123"/>
  <c r="P1008" i="123"/>
  <c r="Q1008" i="123"/>
  <c r="R1008" i="123"/>
  <c r="T1008" i="123" s="1"/>
  <c r="S1008" i="123"/>
  <c r="X1008" i="123"/>
  <c r="Y1008" i="123"/>
  <c r="AA1008" i="123" s="1"/>
  <c r="AB1008" i="123"/>
  <c r="AD1008" i="123" s="1"/>
  <c r="AJ1008" i="123"/>
  <c r="AK1008" i="123"/>
  <c r="AL1008" i="123"/>
  <c r="AO1008" i="123"/>
  <c r="AP1008" i="123"/>
  <c r="AQ1008" i="123" s="1"/>
  <c r="AT1008" i="123"/>
  <c r="AU1008" i="123"/>
  <c r="K1009" i="123"/>
  <c r="L1009" i="123"/>
  <c r="M1009" i="123"/>
  <c r="N1009" i="123"/>
  <c r="O1009" i="123"/>
  <c r="P1009" i="123"/>
  <c r="Q1009" i="123"/>
  <c r="R1009" i="123"/>
  <c r="T1009" i="123" s="1"/>
  <c r="V1009" i="123" s="1"/>
  <c r="S1009" i="123"/>
  <c r="X1009" i="123"/>
  <c r="Y1009" i="123"/>
  <c r="Z1009" i="123" s="1"/>
  <c r="AB1009" i="123"/>
  <c r="AD1009" i="123" s="1"/>
  <c r="AJ1009" i="123"/>
  <c r="AK1009" i="123"/>
  <c r="AL1009" i="123"/>
  <c r="AO1009" i="123"/>
  <c r="AP1009" i="123"/>
  <c r="AT1009" i="123"/>
  <c r="AU1009" i="123"/>
  <c r="K1010" i="123"/>
  <c r="L1010" i="123"/>
  <c r="M1010" i="123"/>
  <c r="N1010" i="123"/>
  <c r="O1010" i="123"/>
  <c r="P1010" i="123"/>
  <c r="Q1010" i="123"/>
  <c r="R1010" i="123"/>
  <c r="T1010" i="123" s="1"/>
  <c r="S1010" i="123"/>
  <c r="X1010" i="123"/>
  <c r="Y1010" i="123"/>
  <c r="AA1010" i="123" s="1"/>
  <c r="AB1010" i="123"/>
  <c r="AC1010" i="123" s="1"/>
  <c r="AJ1010" i="123"/>
  <c r="AK1010" i="123"/>
  <c r="AL1010" i="123"/>
  <c r="AO1010" i="123"/>
  <c r="AP1010" i="123"/>
  <c r="AQ1010" i="123" s="1"/>
  <c r="AT1010" i="123"/>
  <c r="AU1010" i="123"/>
  <c r="K1011" i="123"/>
  <c r="L1011" i="123"/>
  <c r="M1011" i="123"/>
  <c r="N1011" i="123"/>
  <c r="O1011" i="123"/>
  <c r="P1011" i="123"/>
  <c r="Q1011" i="123"/>
  <c r="R1011" i="123"/>
  <c r="T1011" i="123" s="1"/>
  <c r="V1011" i="123" s="1"/>
  <c r="S1011" i="123"/>
  <c r="X1011" i="123"/>
  <c r="Y1011" i="123"/>
  <c r="AA1011" i="123" s="1"/>
  <c r="AB1011" i="123"/>
  <c r="AD1011" i="123" s="1"/>
  <c r="AJ1011" i="123"/>
  <c r="AK1011" i="123"/>
  <c r="AL1011" i="123"/>
  <c r="AO1011" i="123"/>
  <c r="AP1011" i="123"/>
  <c r="AQ1011" i="123" s="1"/>
  <c r="AT1011" i="123"/>
  <c r="AU1011" i="123"/>
  <c r="K1012" i="123"/>
  <c r="L1012" i="123"/>
  <c r="M1012" i="123"/>
  <c r="N1012" i="123"/>
  <c r="O1012" i="123"/>
  <c r="P1012" i="123"/>
  <c r="Q1012" i="123"/>
  <c r="R1012" i="123"/>
  <c r="T1012" i="123" s="1"/>
  <c r="S1012" i="123"/>
  <c r="X1012" i="123"/>
  <c r="Y1012" i="123"/>
  <c r="AA1012" i="123" s="1"/>
  <c r="AB1012" i="123"/>
  <c r="AD1012" i="123" s="1"/>
  <c r="AJ1012" i="123"/>
  <c r="AK1012" i="123"/>
  <c r="AL1012" i="123"/>
  <c r="AO1012" i="123"/>
  <c r="AP1012" i="123"/>
  <c r="AQ1012" i="123" s="1"/>
  <c r="AT1012" i="123"/>
  <c r="AU1012" i="123"/>
  <c r="K1013" i="123"/>
  <c r="L1013" i="123"/>
  <c r="M1013" i="123"/>
  <c r="N1013" i="123"/>
  <c r="O1013" i="123"/>
  <c r="P1013" i="123"/>
  <c r="Q1013" i="123"/>
  <c r="R1013" i="123"/>
  <c r="T1013" i="123" s="1"/>
  <c r="V1013" i="123" s="1"/>
  <c r="S1013" i="123"/>
  <c r="X1013" i="123"/>
  <c r="Y1013" i="123"/>
  <c r="Z1013" i="123" s="1"/>
  <c r="AB1013" i="123"/>
  <c r="AJ1013" i="123"/>
  <c r="AK1013" i="123"/>
  <c r="AL1013" i="123"/>
  <c r="AO1013" i="123"/>
  <c r="AP1013" i="123"/>
  <c r="AT1013" i="123"/>
  <c r="AU1013" i="123"/>
  <c r="K1014" i="123"/>
  <c r="L1014" i="123"/>
  <c r="M1014" i="123"/>
  <c r="N1014" i="123"/>
  <c r="O1014" i="123"/>
  <c r="P1014" i="123"/>
  <c r="Q1014" i="123"/>
  <c r="R1014" i="123"/>
  <c r="T1014" i="123" s="1"/>
  <c r="S1014" i="123"/>
  <c r="X1014" i="123"/>
  <c r="Y1014" i="123"/>
  <c r="AA1014" i="123" s="1"/>
  <c r="AB1014" i="123"/>
  <c r="AC1014" i="123" s="1"/>
  <c r="AJ1014" i="123"/>
  <c r="AK1014" i="123"/>
  <c r="AL1014" i="123"/>
  <c r="AO1014" i="123"/>
  <c r="AP1014" i="123"/>
  <c r="AQ1014" i="123" s="1"/>
  <c r="AT1014" i="123"/>
  <c r="AU1014" i="123"/>
  <c r="K1015" i="123"/>
  <c r="L1015" i="123"/>
  <c r="M1015" i="123"/>
  <c r="N1015" i="123"/>
  <c r="O1015" i="123"/>
  <c r="P1015" i="123"/>
  <c r="Q1015" i="123"/>
  <c r="R1015" i="123"/>
  <c r="T1015" i="123" s="1"/>
  <c r="S1015" i="123"/>
  <c r="X1015" i="123"/>
  <c r="Y1015" i="123"/>
  <c r="Z1015" i="123" s="1"/>
  <c r="AB1015" i="123"/>
  <c r="AJ1015" i="123"/>
  <c r="AK1015" i="123"/>
  <c r="AL1015" i="123"/>
  <c r="AO1015" i="123"/>
  <c r="AP1015" i="123"/>
  <c r="AQ1015" i="123" s="1"/>
  <c r="AT1015" i="123"/>
  <c r="AU1015" i="123"/>
  <c r="K1016" i="123"/>
  <c r="L1016" i="123"/>
  <c r="M1016" i="123"/>
  <c r="N1016" i="123"/>
  <c r="O1016" i="123"/>
  <c r="P1016" i="123"/>
  <c r="Q1016" i="123"/>
  <c r="R1016" i="123"/>
  <c r="T1016" i="123" s="1"/>
  <c r="S1016" i="123"/>
  <c r="X1016" i="123"/>
  <c r="Y1016" i="123"/>
  <c r="AA1016" i="123" s="1"/>
  <c r="AB1016" i="123"/>
  <c r="AC1016" i="123" s="1"/>
  <c r="AJ1016" i="123"/>
  <c r="AK1016" i="123"/>
  <c r="AL1016" i="123"/>
  <c r="AO1016" i="123"/>
  <c r="AP1016" i="123"/>
  <c r="AQ1016" i="123" s="1"/>
  <c r="AT1016" i="123"/>
  <c r="AU1016" i="123"/>
  <c r="K1017" i="123"/>
  <c r="L1017" i="123"/>
  <c r="M1017" i="123"/>
  <c r="N1017" i="123"/>
  <c r="O1017" i="123"/>
  <c r="P1017" i="123"/>
  <c r="Q1017" i="123"/>
  <c r="R1017" i="123"/>
  <c r="T1017" i="123" s="1"/>
  <c r="S1017" i="123"/>
  <c r="X1017" i="123"/>
  <c r="Y1017" i="123"/>
  <c r="Z1017" i="123" s="1"/>
  <c r="AB1017" i="123"/>
  <c r="AD1017" i="123" s="1"/>
  <c r="AJ1017" i="123"/>
  <c r="AK1017" i="123"/>
  <c r="AL1017" i="123"/>
  <c r="AO1017" i="123"/>
  <c r="AP1017" i="123"/>
  <c r="AT1017" i="123"/>
  <c r="AU1017" i="123"/>
  <c r="K1018" i="123"/>
  <c r="L1018" i="123"/>
  <c r="M1018" i="123"/>
  <c r="N1018" i="123"/>
  <c r="O1018" i="123"/>
  <c r="P1018" i="123"/>
  <c r="Q1018" i="123"/>
  <c r="R1018" i="123"/>
  <c r="T1018" i="123" s="1"/>
  <c r="S1018" i="123"/>
  <c r="X1018" i="123"/>
  <c r="Y1018" i="123"/>
  <c r="AA1018" i="123" s="1"/>
  <c r="AB1018" i="123"/>
  <c r="AC1018" i="123" s="1"/>
  <c r="AJ1018" i="123"/>
  <c r="AK1018" i="123"/>
  <c r="AL1018" i="123"/>
  <c r="AO1018" i="123"/>
  <c r="AP1018" i="123"/>
  <c r="AQ1018" i="123" s="1"/>
  <c r="AT1018" i="123"/>
  <c r="AU1018" i="123"/>
  <c r="K1019" i="123"/>
  <c r="L1019" i="123"/>
  <c r="M1019" i="123"/>
  <c r="N1019" i="123"/>
  <c r="O1019" i="123"/>
  <c r="P1019" i="123"/>
  <c r="Q1019" i="123"/>
  <c r="R1019" i="123"/>
  <c r="T1019" i="123" s="1"/>
  <c r="S1019" i="123"/>
  <c r="X1019" i="123"/>
  <c r="Y1019" i="123"/>
  <c r="Z1019" i="123" s="1"/>
  <c r="AB1019" i="123"/>
  <c r="AC1019" i="123" s="1"/>
  <c r="AJ1019" i="123"/>
  <c r="AK1019" i="123"/>
  <c r="AL1019" i="123"/>
  <c r="AO1019" i="123"/>
  <c r="AP1019" i="123"/>
  <c r="AQ1019" i="123" s="1"/>
  <c r="AT1019" i="123"/>
  <c r="AU1019" i="123"/>
  <c r="K1020" i="123"/>
  <c r="L1020" i="123"/>
  <c r="M1020" i="123"/>
  <c r="N1020" i="123"/>
  <c r="O1020" i="123"/>
  <c r="P1020" i="123"/>
  <c r="Q1020" i="123"/>
  <c r="R1020" i="123"/>
  <c r="T1020" i="123" s="1"/>
  <c r="S1020" i="123"/>
  <c r="X1020" i="123"/>
  <c r="Y1020" i="123"/>
  <c r="Z1020" i="123" s="1"/>
  <c r="AB1020" i="123"/>
  <c r="AC1020" i="123" s="1"/>
  <c r="AJ1020" i="123"/>
  <c r="AK1020" i="123"/>
  <c r="AL1020" i="123"/>
  <c r="AO1020" i="123"/>
  <c r="AP1020" i="123"/>
  <c r="AQ1020" i="123" s="1"/>
  <c r="AT1020" i="123"/>
  <c r="AU1020" i="123"/>
  <c r="K1021" i="123"/>
  <c r="L1021" i="123"/>
  <c r="M1021" i="123"/>
  <c r="N1021" i="123"/>
  <c r="O1021" i="123"/>
  <c r="P1021" i="123"/>
  <c r="Q1021" i="123"/>
  <c r="R1021" i="123"/>
  <c r="T1021" i="123" s="1"/>
  <c r="W1021" i="123" s="1"/>
  <c r="S1021" i="123"/>
  <c r="X1021" i="123"/>
  <c r="Y1021" i="123"/>
  <c r="Z1021" i="123" s="1"/>
  <c r="AB1021" i="123"/>
  <c r="AC1021" i="123" s="1"/>
  <c r="AJ1021" i="123"/>
  <c r="AK1021" i="123"/>
  <c r="AL1021" i="123"/>
  <c r="AO1021" i="123"/>
  <c r="AP1021" i="123"/>
  <c r="AQ1021" i="123" s="1"/>
  <c r="AT1021" i="123"/>
  <c r="AU1021" i="123"/>
  <c r="K1022" i="123"/>
  <c r="L1022" i="123"/>
  <c r="M1022" i="123"/>
  <c r="N1022" i="123"/>
  <c r="O1022" i="123"/>
  <c r="P1022" i="123"/>
  <c r="Q1022" i="123"/>
  <c r="R1022" i="123"/>
  <c r="T1022" i="123" s="1"/>
  <c r="V1022" i="123" s="1"/>
  <c r="S1022" i="123"/>
  <c r="X1022" i="123"/>
  <c r="Y1022" i="123"/>
  <c r="Z1022" i="123" s="1"/>
  <c r="AB1022" i="123"/>
  <c r="AD1022" i="123" s="1"/>
  <c r="AJ1022" i="123"/>
  <c r="AK1022" i="123"/>
  <c r="AL1022" i="123"/>
  <c r="AO1022" i="123"/>
  <c r="AP1022" i="123"/>
  <c r="AQ1022" i="123" s="1"/>
  <c r="AT1022" i="123"/>
  <c r="AU1022" i="123"/>
  <c r="K1023" i="123"/>
  <c r="L1023" i="123"/>
  <c r="M1023" i="123"/>
  <c r="N1023" i="123"/>
  <c r="O1023" i="123"/>
  <c r="P1023" i="123"/>
  <c r="Q1023" i="123"/>
  <c r="R1023" i="123"/>
  <c r="T1023" i="123" s="1"/>
  <c r="S1023" i="123"/>
  <c r="X1023" i="123"/>
  <c r="Y1023" i="123"/>
  <c r="AB1023" i="123"/>
  <c r="AC1023" i="123" s="1"/>
  <c r="AJ1023" i="123"/>
  <c r="AK1023" i="123"/>
  <c r="AL1023" i="123"/>
  <c r="AO1023" i="123"/>
  <c r="AP1023" i="123"/>
  <c r="AQ1023" i="123" s="1"/>
  <c r="AT1023" i="123"/>
  <c r="AU1023" i="123"/>
  <c r="K1024" i="123"/>
  <c r="L1024" i="123"/>
  <c r="M1024" i="123"/>
  <c r="N1024" i="123"/>
  <c r="O1024" i="123"/>
  <c r="P1024" i="123"/>
  <c r="Q1024" i="123"/>
  <c r="R1024" i="123"/>
  <c r="T1024" i="123" s="1"/>
  <c r="S1024" i="123"/>
  <c r="X1024" i="123"/>
  <c r="Y1024" i="123"/>
  <c r="AB1024" i="123"/>
  <c r="AC1024" i="123" s="1"/>
  <c r="AJ1024" i="123"/>
  <c r="AK1024" i="123"/>
  <c r="AL1024" i="123"/>
  <c r="AO1024" i="123"/>
  <c r="AP1024" i="123"/>
  <c r="AQ1024" i="123" s="1"/>
  <c r="AT1024" i="123"/>
  <c r="AU1024" i="123"/>
  <c r="K1025" i="123"/>
  <c r="L1025" i="123"/>
  <c r="M1025" i="123"/>
  <c r="N1025" i="123"/>
  <c r="O1025" i="123"/>
  <c r="P1025" i="123"/>
  <c r="Q1025" i="123"/>
  <c r="R1025" i="123"/>
  <c r="T1025" i="123" s="1"/>
  <c r="W1025" i="123" s="1"/>
  <c r="S1025" i="123"/>
  <c r="X1025" i="123"/>
  <c r="Y1025" i="123"/>
  <c r="Z1025" i="123" s="1"/>
  <c r="AB1025" i="123"/>
  <c r="AC1025" i="123" s="1"/>
  <c r="AJ1025" i="123"/>
  <c r="AK1025" i="123"/>
  <c r="AL1025" i="123"/>
  <c r="AO1025" i="123"/>
  <c r="AP1025" i="123"/>
  <c r="AQ1025" i="123" s="1"/>
  <c r="AT1025" i="123"/>
  <c r="AU1025" i="123"/>
  <c r="K1026" i="123"/>
  <c r="L1026" i="123"/>
  <c r="M1026" i="123"/>
  <c r="N1026" i="123"/>
  <c r="O1026" i="123"/>
  <c r="P1026" i="123"/>
  <c r="Q1026" i="123"/>
  <c r="R1026" i="123"/>
  <c r="T1026" i="123" s="1"/>
  <c r="S1026" i="123"/>
  <c r="X1026" i="123"/>
  <c r="Y1026" i="123"/>
  <c r="Z1026" i="123" s="1"/>
  <c r="AB1026" i="123"/>
  <c r="AJ1026" i="123"/>
  <c r="AK1026" i="123"/>
  <c r="AL1026" i="123"/>
  <c r="AO1026" i="123"/>
  <c r="AP1026" i="123"/>
  <c r="AQ1026" i="123" s="1"/>
  <c r="AT1026" i="123"/>
  <c r="AU1026" i="123"/>
  <c r="K1027" i="123"/>
  <c r="L1027" i="123"/>
  <c r="M1027" i="123"/>
  <c r="N1027" i="123"/>
  <c r="O1027" i="123"/>
  <c r="P1027" i="123"/>
  <c r="Q1027" i="123"/>
  <c r="R1027" i="123"/>
  <c r="T1027" i="123" s="1"/>
  <c r="S1027" i="123"/>
  <c r="X1027" i="123"/>
  <c r="Y1027" i="123"/>
  <c r="Z1027" i="123" s="1"/>
  <c r="AB1027" i="123"/>
  <c r="AC1027" i="123" s="1"/>
  <c r="AJ1027" i="123"/>
  <c r="AK1027" i="123"/>
  <c r="AL1027" i="123"/>
  <c r="AO1027" i="123"/>
  <c r="AP1027" i="123"/>
  <c r="AQ1027" i="123" s="1"/>
  <c r="AT1027" i="123"/>
  <c r="AU1027" i="123"/>
  <c r="K1028" i="123"/>
  <c r="L1028" i="123"/>
  <c r="M1028" i="123"/>
  <c r="N1028" i="123"/>
  <c r="O1028" i="123"/>
  <c r="P1028" i="123"/>
  <c r="Q1028" i="123"/>
  <c r="R1028" i="123"/>
  <c r="T1028" i="123" s="1"/>
  <c r="S1028" i="123"/>
  <c r="X1028" i="123"/>
  <c r="Y1028" i="123"/>
  <c r="Z1028" i="123" s="1"/>
  <c r="AB1028" i="123"/>
  <c r="AC1028" i="123" s="1"/>
  <c r="AJ1028" i="123"/>
  <c r="AK1028" i="123"/>
  <c r="AL1028" i="123"/>
  <c r="AO1028" i="123"/>
  <c r="AP1028" i="123"/>
  <c r="AQ1028" i="123" s="1"/>
  <c r="AT1028" i="123"/>
  <c r="AU1028" i="123"/>
  <c r="K1029" i="123"/>
  <c r="L1029" i="123"/>
  <c r="M1029" i="123"/>
  <c r="N1029" i="123"/>
  <c r="O1029" i="123"/>
  <c r="P1029" i="123"/>
  <c r="Q1029" i="123"/>
  <c r="R1029" i="123"/>
  <c r="T1029" i="123" s="1"/>
  <c r="W1029" i="123" s="1"/>
  <c r="S1029" i="123"/>
  <c r="X1029" i="123"/>
  <c r="Y1029" i="123"/>
  <c r="AA1029" i="123" s="1"/>
  <c r="AB1029" i="123"/>
  <c r="AC1029" i="123" s="1"/>
  <c r="AJ1029" i="123"/>
  <c r="AK1029" i="123"/>
  <c r="AL1029" i="123"/>
  <c r="AO1029" i="123"/>
  <c r="AP1029" i="123"/>
  <c r="AQ1029" i="123" s="1"/>
  <c r="AT1029" i="123"/>
  <c r="AU1029" i="123"/>
  <c r="K1030" i="123"/>
  <c r="L1030" i="123"/>
  <c r="M1030" i="123"/>
  <c r="N1030" i="123"/>
  <c r="O1030" i="123"/>
  <c r="P1030" i="123"/>
  <c r="Q1030" i="123"/>
  <c r="R1030" i="123"/>
  <c r="T1030" i="123" s="1"/>
  <c r="S1030" i="123"/>
  <c r="X1030" i="123"/>
  <c r="Y1030" i="123"/>
  <c r="Z1030" i="123" s="1"/>
  <c r="AB1030" i="123"/>
  <c r="AJ1030" i="123"/>
  <c r="AK1030" i="123"/>
  <c r="AL1030" i="123"/>
  <c r="AO1030" i="123"/>
  <c r="AP1030" i="123"/>
  <c r="AQ1030" i="123" s="1"/>
  <c r="AT1030" i="123"/>
  <c r="AU1030" i="123"/>
  <c r="K1031" i="123"/>
  <c r="L1031" i="123"/>
  <c r="M1031" i="123"/>
  <c r="N1031" i="123"/>
  <c r="O1031" i="123"/>
  <c r="P1031" i="123"/>
  <c r="Q1031" i="123"/>
  <c r="R1031" i="123"/>
  <c r="T1031" i="123" s="1"/>
  <c r="S1031" i="123"/>
  <c r="X1031" i="123"/>
  <c r="Y1031" i="123"/>
  <c r="Z1031" i="123" s="1"/>
  <c r="AB1031" i="123"/>
  <c r="AC1031" i="123" s="1"/>
  <c r="AJ1031" i="123"/>
  <c r="AK1031" i="123"/>
  <c r="AL1031" i="123"/>
  <c r="AO1031" i="123"/>
  <c r="AP1031" i="123"/>
  <c r="AQ1031" i="123" s="1"/>
  <c r="AT1031" i="123"/>
  <c r="AU1031" i="123"/>
  <c r="K1032" i="123"/>
  <c r="L1032" i="123"/>
  <c r="M1032" i="123"/>
  <c r="N1032" i="123"/>
  <c r="O1032" i="123"/>
  <c r="P1032" i="123"/>
  <c r="Q1032" i="123"/>
  <c r="R1032" i="123"/>
  <c r="T1032" i="123" s="1"/>
  <c r="S1032" i="123"/>
  <c r="X1032" i="123"/>
  <c r="Y1032" i="123"/>
  <c r="Z1032" i="123" s="1"/>
  <c r="AB1032" i="123"/>
  <c r="AC1032" i="123" s="1"/>
  <c r="AJ1032" i="123"/>
  <c r="AK1032" i="123"/>
  <c r="AL1032" i="123"/>
  <c r="AO1032" i="123"/>
  <c r="AP1032" i="123"/>
  <c r="AQ1032" i="123" s="1"/>
  <c r="AT1032" i="123"/>
  <c r="AU1032" i="123"/>
  <c r="K1033" i="123"/>
  <c r="L1033" i="123"/>
  <c r="M1033" i="123"/>
  <c r="N1033" i="123"/>
  <c r="O1033" i="123"/>
  <c r="P1033" i="123"/>
  <c r="Q1033" i="123"/>
  <c r="R1033" i="123"/>
  <c r="T1033" i="123" s="1"/>
  <c r="W1033" i="123" s="1"/>
  <c r="S1033" i="123"/>
  <c r="X1033" i="123"/>
  <c r="Y1033" i="123"/>
  <c r="AA1033" i="123" s="1"/>
  <c r="AB1033" i="123"/>
  <c r="AC1033" i="123" s="1"/>
  <c r="AJ1033" i="123"/>
  <c r="AK1033" i="123"/>
  <c r="AL1033" i="123"/>
  <c r="AO1033" i="123"/>
  <c r="AP1033" i="123"/>
  <c r="AQ1033" i="123" s="1"/>
  <c r="AT1033" i="123"/>
  <c r="AU1033" i="123"/>
  <c r="K1034" i="123"/>
  <c r="L1034" i="123"/>
  <c r="M1034" i="123"/>
  <c r="N1034" i="123"/>
  <c r="O1034" i="123"/>
  <c r="P1034" i="123"/>
  <c r="Q1034" i="123"/>
  <c r="R1034" i="123"/>
  <c r="T1034" i="123" s="1"/>
  <c r="S1034" i="123"/>
  <c r="X1034" i="123"/>
  <c r="Y1034" i="123"/>
  <c r="Z1034" i="123" s="1"/>
  <c r="AB1034" i="123"/>
  <c r="AD1034" i="123" s="1"/>
  <c r="AJ1034" i="123"/>
  <c r="AK1034" i="123"/>
  <c r="AL1034" i="123"/>
  <c r="AO1034" i="123"/>
  <c r="AP1034" i="123"/>
  <c r="AQ1034" i="123" s="1"/>
  <c r="AT1034" i="123"/>
  <c r="AU1034" i="123"/>
  <c r="K1035" i="123"/>
  <c r="L1035" i="123"/>
  <c r="M1035" i="123"/>
  <c r="N1035" i="123"/>
  <c r="O1035" i="123"/>
  <c r="P1035" i="123"/>
  <c r="Q1035" i="123"/>
  <c r="R1035" i="123"/>
  <c r="T1035" i="123" s="1"/>
  <c r="S1035" i="123"/>
  <c r="X1035" i="123"/>
  <c r="Y1035" i="123"/>
  <c r="Z1035" i="123" s="1"/>
  <c r="AB1035" i="123"/>
  <c r="AC1035" i="123" s="1"/>
  <c r="AJ1035" i="123"/>
  <c r="AK1035" i="123"/>
  <c r="AL1035" i="123"/>
  <c r="AO1035" i="123"/>
  <c r="AP1035" i="123"/>
  <c r="AQ1035" i="123" s="1"/>
  <c r="AT1035" i="123"/>
  <c r="AU1035" i="123"/>
  <c r="K1036" i="123"/>
  <c r="L1036" i="123"/>
  <c r="M1036" i="123"/>
  <c r="N1036" i="123"/>
  <c r="O1036" i="123"/>
  <c r="P1036" i="123"/>
  <c r="Q1036" i="123"/>
  <c r="R1036" i="123"/>
  <c r="T1036" i="123" s="1"/>
  <c r="S1036" i="123"/>
  <c r="X1036" i="123"/>
  <c r="Y1036" i="123"/>
  <c r="Z1036" i="123" s="1"/>
  <c r="AB1036" i="123"/>
  <c r="AC1036" i="123" s="1"/>
  <c r="AJ1036" i="123"/>
  <c r="AK1036" i="123"/>
  <c r="AL1036" i="123"/>
  <c r="AO1036" i="123"/>
  <c r="AP1036" i="123"/>
  <c r="AT1036" i="123"/>
  <c r="AU1036" i="123"/>
  <c r="K1037" i="123"/>
  <c r="L1037" i="123"/>
  <c r="M1037" i="123"/>
  <c r="N1037" i="123"/>
  <c r="O1037" i="123"/>
  <c r="P1037" i="123"/>
  <c r="Q1037" i="123"/>
  <c r="R1037" i="123"/>
  <c r="T1037" i="123" s="1"/>
  <c r="S1037" i="123"/>
  <c r="X1037" i="123"/>
  <c r="Y1037" i="123"/>
  <c r="AB1037" i="123"/>
  <c r="AC1037" i="123" s="1"/>
  <c r="AJ1037" i="123"/>
  <c r="AK1037" i="123"/>
  <c r="AL1037" i="123"/>
  <c r="AO1037" i="123"/>
  <c r="AP1037" i="123"/>
  <c r="AQ1037" i="123" s="1"/>
  <c r="AT1037" i="123"/>
  <c r="AU1037" i="123"/>
  <c r="K1038" i="123"/>
  <c r="L1038" i="123"/>
  <c r="M1038" i="123"/>
  <c r="N1038" i="123"/>
  <c r="O1038" i="123"/>
  <c r="P1038" i="123"/>
  <c r="Q1038" i="123"/>
  <c r="R1038" i="123"/>
  <c r="T1038" i="123" s="1"/>
  <c r="V1038" i="123" s="1"/>
  <c r="S1038" i="123"/>
  <c r="X1038" i="123"/>
  <c r="Y1038" i="123"/>
  <c r="Z1038" i="123" s="1"/>
  <c r="AB1038" i="123"/>
  <c r="AD1038" i="123" s="1"/>
  <c r="AJ1038" i="123"/>
  <c r="AK1038" i="123"/>
  <c r="AL1038" i="123"/>
  <c r="AO1038" i="123"/>
  <c r="AP1038" i="123"/>
  <c r="AQ1038" i="123" s="1"/>
  <c r="AT1038" i="123"/>
  <c r="AU1038" i="123"/>
  <c r="K1039" i="123"/>
  <c r="L1039" i="123"/>
  <c r="M1039" i="123"/>
  <c r="N1039" i="123"/>
  <c r="O1039" i="123"/>
  <c r="P1039" i="123"/>
  <c r="Q1039" i="123"/>
  <c r="R1039" i="123"/>
  <c r="T1039" i="123" s="1"/>
  <c r="S1039" i="123"/>
  <c r="X1039" i="123"/>
  <c r="Y1039" i="123"/>
  <c r="Z1039" i="123" s="1"/>
  <c r="AB1039" i="123"/>
  <c r="AC1039" i="123" s="1"/>
  <c r="AJ1039" i="123"/>
  <c r="AK1039" i="123"/>
  <c r="AL1039" i="123"/>
  <c r="AO1039" i="123"/>
  <c r="AP1039" i="123"/>
  <c r="AQ1039" i="123" s="1"/>
  <c r="AT1039" i="123"/>
  <c r="AU1039" i="123"/>
  <c r="K1040" i="123"/>
  <c r="L1040" i="123"/>
  <c r="M1040" i="123"/>
  <c r="N1040" i="123"/>
  <c r="O1040" i="123"/>
  <c r="P1040" i="123"/>
  <c r="Q1040" i="123"/>
  <c r="R1040" i="123"/>
  <c r="T1040" i="123" s="1"/>
  <c r="W1040" i="123" s="1"/>
  <c r="S1040" i="123"/>
  <c r="X1040" i="123"/>
  <c r="Y1040" i="123"/>
  <c r="AB1040" i="123"/>
  <c r="AC1040" i="123" s="1"/>
  <c r="AJ1040" i="123"/>
  <c r="AK1040" i="123"/>
  <c r="AL1040" i="123"/>
  <c r="AO1040" i="123"/>
  <c r="AP1040" i="123"/>
  <c r="AQ1040" i="123" s="1"/>
  <c r="AT1040" i="123"/>
  <c r="AU1040" i="123"/>
  <c r="K1041" i="123"/>
  <c r="L1041" i="123"/>
  <c r="M1041" i="123"/>
  <c r="N1041" i="123"/>
  <c r="O1041" i="123"/>
  <c r="P1041" i="123"/>
  <c r="Q1041" i="123"/>
  <c r="R1041" i="123"/>
  <c r="T1041" i="123" s="1"/>
  <c r="S1041" i="123"/>
  <c r="X1041" i="123"/>
  <c r="Y1041" i="123"/>
  <c r="Z1041" i="123" s="1"/>
  <c r="AB1041" i="123"/>
  <c r="AC1041" i="123" s="1"/>
  <c r="AJ1041" i="123"/>
  <c r="AK1041" i="123"/>
  <c r="AL1041" i="123"/>
  <c r="AO1041" i="123"/>
  <c r="AP1041" i="123"/>
  <c r="AQ1041" i="123" s="1"/>
  <c r="AT1041" i="123"/>
  <c r="AU1041" i="123"/>
  <c r="K1042" i="123"/>
  <c r="L1042" i="123"/>
  <c r="M1042" i="123"/>
  <c r="N1042" i="123"/>
  <c r="O1042" i="123"/>
  <c r="P1042" i="123"/>
  <c r="Q1042" i="123"/>
  <c r="R1042" i="123"/>
  <c r="T1042" i="123" s="1"/>
  <c r="S1042" i="123"/>
  <c r="X1042" i="123"/>
  <c r="Y1042" i="123"/>
  <c r="Z1042" i="123" s="1"/>
  <c r="AB1042" i="123"/>
  <c r="AD1042" i="123" s="1"/>
  <c r="AJ1042" i="123"/>
  <c r="AK1042" i="123"/>
  <c r="AL1042" i="123"/>
  <c r="AO1042" i="123"/>
  <c r="AP1042" i="123"/>
  <c r="AQ1042" i="123" s="1"/>
  <c r="AT1042" i="123"/>
  <c r="AU1042" i="123"/>
  <c r="K1043" i="123"/>
  <c r="L1043" i="123"/>
  <c r="M1043" i="123"/>
  <c r="N1043" i="123"/>
  <c r="O1043" i="123"/>
  <c r="P1043" i="123"/>
  <c r="Q1043" i="123"/>
  <c r="R1043" i="123"/>
  <c r="T1043" i="123" s="1"/>
  <c r="S1043" i="123"/>
  <c r="X1043" i="123"/>
  <c r="Y1043" i="123"/>
  <c r="Z1043" i="123" s="1"/>
  <c r="AB1043" i="123"/>
  <c r="AC1043" i="123" s="1"/>
  <c r="AJ1043" i="123"/>
  <c r="AK1043" i="123"/>
  <c r="AL1043" i="123"/>
  <c r="AO1043" i="123"/>
  <c r="AP1043" i="123"/>
  <c r="AQ1043" i="123" s="1"/>
  <c r="AT1043" i="123"/>
  <c r="AU1043" i="123"/>
  <c r="K1044" i="123"/>
  <c r="L1044" i="123"/>
  <c r="M1044" i="123"/>
  <c r="N1044" i="123"/>
  <c r="O1044" i="123"/>
  <c r="P1044" i="123"/>
  <c r="Q1044" i="123"/>
  <c r="R1044" i="123"/>
  <c r="T1044" i="123" s="1"/>
  <c r="S1044" i="123"/>
  <c r="X1044" i="123"/>
  <c r="Y1044" i="123"/>
  <c r="Z1044" i="123" s="1"/>
  <c r="AB1044" i="123"/>
  <c r="AC1044" i="123" s="1"/>
  <c r="AJ1044" i="123"/>
  <c r="AK1044" i="123"/>
  <c r="AL1044" i="123"/>
  <c r="AO1044" i="123"/>
  <c r="AP1044" i="123"/>
  <c r="AQ1044" i="123" s="1"/>
  <c r="AT1044" i="123"/>
  <c r="AU1044" i="123"/>
  <c r="K1045" i="123"/>
  <c r="L1045" i="123"/>
  <c r="M1045" i="123"/>
  <c r="N1045" i="123"/>
  <c r="O1045" i="123"/>
  <c r="P1045" i="123"/>
  <c r="Q1045" i="123"/>
  <c r="R1045" i="123"/>
  <c r="T1045" i="123" s="1"/>
  <c r="S1045" i="123"/>
  <c r="X1045" i="123"/>
  <c r="Y1045" i="123"/>
  <c r="Z1045" i="123" s="1"/>
  <c r="AB1045" i="123"/>
  <c r="AC1045" i="123" s="1"/>
  <c r="AJ1045" i="123"/>
  <c r="AK1045" i="123"/>
  <c r="AL1045" i="123"/>
  <c r="AO1045" i="123"/>
  <c r="AP1045" i="123"/>
  <c r="AQ1045" i="123" s="1"/>
  <c r="AT1045" i="123"/>
  <c r="AU1045" i="123"/>
  <c r="K1046" i="123"/>
  <c r="L1046" i="123"/>
  <c r="M1046" i="123"/>
  <c r="N1046" i="123"/>
  <c r="O1046" i="123"/>
  <c r="P1046" i="123"/>
  <c r="Q1046" i="123"/>
  <c r="R1046" i="123"/>
  <c r="T1046" i="123" s="1"/>
  <c r="S1046" i="123"/>
  <c r="X1046" i="123"/>
  <c r="Y1046" i="123"/>
  <c r="Z1046" i="123" s="1"/>
  <c r="AB1046" i="123"/>
  <c r="AD1046" i="123" s="1"/>
  <c r="AJ1046" i="123"/>
  <c r="AK1046" i="123"/>
  <c r="AL1046" i="123"/>
  <c r="AO1046" i="123"/>
  <c r="AP1046" i="123"/>
  <c r="AQ1046" i="123" s="1"/>
  <c r="AT1046" i="123"/>
  <c r="AU1046" i="123"/>
  <c r="K1047" i="123"/>
  <c r="L1047" i="123"/>
  <c r="M1047" i="123"/>
  <c r="N1047" i="123"/>
  <c r="O1047" i="123"/>
  <c r="P1047" i="123"/>
  <c r="Q1047" i="123"/>
  <c r="R1047" i="123"/>
  <c r="T1047" i="123" s="1"/>
  <c r="S1047" i="123"/>
  <c r="X1047" i="123"/>
  <c r="Y1047" i="123"/>
  <c r="Z1047" i="123" s="1"/>
  <c r="AB1047" i="123"/>
  <c r="AC1047" i="123" s="1"/>
  <c r="AJ1047" i="123"/>
  <c r="AK1047" i="123"/>
  <c r="AL1047" i="123"/>
  <c r="AO1047" i="123"/>
  <c r="AP1047" i="123"/>
  <c r="AQ1047" i="123" s="1"/>
  <c r="AT1047" i="123"/>
  <c r="AU1047" i="123"/>
  <c r="K1048" i="123"/>
  <c r="L1048" i="123"/>
  <c r="M1048" i="123"/>
  <c r="N1048" i="123"/>
  <c r="O1048" i="123"/>
  <c r="P1048" i="123"/>
  <c r="Q1048" i="123"/>
  <c r="R1048" i="123"/>
  <c r="T1048" i="123" s="1"/>
  <c r="S1048" i="123"/>
  <c r="X1048" i="123"/>
  <c r="Y1048" i="123"/>
  <c r="Z1048" i="123" s="1"/>
  <c r="AB1048" i="123"/>
  <c r="AC1048" i="123" s="1"/>
  <c r="AJ1048" i="123"/>
  <c r="AK1048" i="123"/>
  <c r="AL1048" i="123"/>
  <c r="AO1048" i="123"/>
  <c r="AP1048" i="123"/>
  <c r="AQ1048" i="123" s="1"/>
  <c r="AT1048" i="123"/>
  <c r="AU1048" i="123"/>
  <c r="K1049" i="123"/>
  <c r="L1049" i="123"/>
  <c r="M1049" i="123"/>
  <c r="N1049" i="123"/>
  <c r="O1049" i="123"/>
  <c r="P1049" i="123"/>
  <c r="Q1049" i="123"/>
  <c r="R1049" i="123"/>
  <c r="T1049" i="123" s="1"/>
  <c r="S1049" i="123"/>
  <c r="X1049" i="123"/>
  <c r="Y1049" i="123"/>
  <c r="AA1049" i="123" s="1"/>
  <c r="AB1049" i="123"/>
  <c r="AC1049" i="123" s="1"/>
  <c r="AJ1049" i="123"/>
  <c r="AK1049" i="123"/>
  <c r="AL1049" i="123"/>
  <c r="AO1049" i="123"/>
  <c r="AP1049" i="123"/>
  <c r="AQ1049" i="123" s="1"/>
  <c r="AT1049" i="123"/>
  <c r="AU1049" i="123"/>
  <c r="K1050" i="123"/>
  <c r="L1050" i="123"/>
  <c r="M1050" i="123"/>
  <c r="N1050" i="123"/>
  <c r="O1050" i="123"/>
  <c r="P1050" i="123"/>
  <c r="Q1050" i="123"/>
  <c r="R1050" i="123"/>
  <c r="T1050" i="123" s="1"/>
  <c r="S1050" i="123"/>
  <c r="X1050" i="123"/>
  <c r="Y1050" i="123"/>
  <c r="Z1050" i="123" s="1"/>
  <c r="AB1050" i="123"/>
  <c r="AD1050" i="123" s="1"/>
  <c r="AJ1050" i="123"/>
  <c r="AK1050" i="123"/>
  <c r="AL1050" i="123"/>
  <c r="AO1050" i="123"/>
  <c r="AP1050" i="123"/>
  <c r="AQ1050" i="123" s="1"/>
  <c r="AT1050" i="123"/>
  <c r="AU1050" i="123"/>
  <c r="K1051" i="123"/>
  <c r="L1051" i="123"/>
  <c r="M1051" i="123"/>
  <c r="N1051" i="123"/>
  <c r="O1051" i="123"/>
  <c r="P1051" i="123"/>
  <c r="Q1051" i="123"/>
  <c r="R1051" i="123"/>
  <c r="T1051" i="123" s="1"/>
  <c r="S1051" i="123"/>
  <c r="X1051" i="123"/>
  <c r="Y1051" i="123"/>
  <c r="Z1051" i="123" s="1"/>
  <c r="AB1051" i="123"/>
  <c r="AC1051" i="123" s="1"/>
  <c r="AJ1051" i="123"/>
  <c r="AK1051" i="123"/>
  <c r="AL1051" i="123"/>
  <c r="AO1051" i="123"/>
  <c r="AP1051" i="123"/>
  <c r="AQ1051" i="123" s="1"/>
  <c r="AT1051" i="123"/>
  <c r="AU1051" i="123"/>
  <c r="K1052" i="123"/>
  <c r="L1052" i="123"/>
  <c r="M1052" i="123"/>
  <c r="N1052" i="123"/>
  <c r="O1052" i="123"/>
  <c r="P1052" i="123"/>
  <c r="Q1052" i="123"/>
  <c r="R1052" i="123"/>
  <c r="T1052" i="123" s="1"/>
  <c r="S1052" i="123"/>
  <c r="X1052" i="123"/>
  <c r="Y1052" i="123"/>
  <c r="Z1052" i="123" s="1"/>
  <c r="AB1052" i="123"/>
  <c r="AC1052" i="123" s="1"/>
  <c r="AJ1052" i="123"/>
  <c r="AK1052" i="123"/>
  <c r="AL1052" i="123"/>
  <c r="AO1052" i="123"/>
  <c r="AP1052" i="123"/>
  <c r="AT1052" i="123"/>
  <c r="AU1052" i="123"/>
  <c r="K1053" i="123"/>
  <c r="L1053" i="123"/>
  <c r="M1053" i="123"/>
  <c r="N1053" i="123"/>
  <c r="O1053" i="123"/>
  <c r="P1053" i="123"/>
  <c r="Q1053" i="123"/>
  <c r="R1053" i="123"/>
  <c r="T1053" i="123" s="1"/>
  <c r="S1053" i="123"/>
  <c r="X1053" i="123"/>
  <c r="Y1053" i="123"/>
  <c r="AA1053" i="123" s="1"/>
  <c r="AB1053" i="123"/>
  <c r="AC1053" i="123" s="1"/>
  <c r="AJ1053" i="123"/>
  <c r="AK1053" i="123"/>
  <c r="AL1053" i="123"/>
  <c r="AO1053" i="123"/>
  <c r="AP1053" i="123"/>
  <c r="AQ1053" i="123" s="1"/>
  <c r="AT1053" i="123"/>
  <c r="AU1053" i="123"/>
  <c r="K1054" i="123"/>
  <c r="L1054" i="123"/>
  <c r="M1054" i="123"/>
  <c r="N1054" i="123"/>
  <c r="O1054" i="123"/>
  <c r="P1054" i="123"/>
  <c r="Q1054" i="123"/>
  <c r="R1054" i="123"/>
  <c r="T1054" i="123" s="1"/>
  <c r="V1054" i="123" s="1"/>
  <c r="S1054" i="123"/>
  <c r="X1054" i="123"/>
  <c r="Y1054" i="123"/>
  <c r="Z1054" i="123" s="1"/>
  <c r="AB1054" i="123"/>
  <c r="AD1054" i="123" s="1"/>
  <c r="AJ1054" i="123"/>
  <c r="AK1054" i="123"/>
  <c r="AL1054" i="123"/>
  <c r="AO1054" i="123"/>
  <c r="AP1054" i="123"/>
  <c r="AQ1054" i="123" s="1"/>
  <c r="AT1054" i="123"/>
  <c r="AU1054" i="123"/>
  <c r="K1055" i="123"/>
  <c r="L1055" i="123"/>
  <c r="M1055" i="123"/>
  <c r="N1055" i="123"/>
  <c r="O1055" i="123"/>
  <c r="P1055" i="123"/>
  <c r="Q1055" i="123"/>
  <c r="R1055" i="123"/>
  <c r="T1055" i="123" s="1"/>
  <c r="S1055" i="123"/>
  <c r="X1055" i="123"/>
  <c r="Y1055" i="123"/>
  <c r="Z1055" i="123" s="1"/>
  <c r="AB1055" i="123"/>
  <c r="AC1055" i="123" s="1"/>
  <c r="AJ1055" i="123"/>
  <c r="AK1055" i="123"/>
  <c r="AL1055" i="123"/>
  <c r="AO1055" i="123"/>
  <c r="AP1055" i="123"/>
  <c r="AQ1055" i="123" s="1"/>
  <c r="AT1055" i="123"/>
  <c r="AU1055" i="123"/>
  <c r="K1056" i="123"/>
  <c r="L1056" i="123"/>
  <c r="M1056" i="123"/>
  <c r="N1056" i="123"/>
  <c r="O1056" i="123"/>
  <c r="P1056" i="123"/>
  <c r="Q1056" i="123"/>
  <c r="R1056" i="123"/>
  <c r="T1056" i="123" s="1"/>
  <c r="W1056" i="123" s="1"/>
  <c r="S1056" i="123"/>
  <c r="X1056" i="123"/>
  <c r="Y1056" i="123"/>
  <c r="Z1056" i="123" s="1"/>
  <c r="AB1056" i="123"/>
  <c r="AC1056" i="123" s="1"/>
  <c r="AJ1056" i="123"/>
  <c r="AK1056" i="123"/>
  <c r="AL1056" i="123"/>
  <c r="AO1056" i="123"/>
  <c r="AP1056" i="123"/>
  <c r="AQ1056" i="123" s="1"/>
  <c r="AT1056" i="123"/>
  <c r="AU1056" i="123"/>
  <c r="K1057" i="123"/>
  <c r="L1057" i="123"/>
  <c r="M1057" i="123"/>
  <c r="N1057" i="123"/>
  <c r="O1057" i="123"/>
  <c r="P1057" i="123"/>
  <c r="Q1057" i="123"/>
  <c r="R1057" i="123"/>
  <c r="T1057" i="123" s="1"/>
  <c r="S1057" i="123"/>
  <c r="X1057" i="123"/>
  <c r="Y1057" i="123"/>
  <c r="Z1057" i="123" s="1"/>
  <c r="AB1057" i="123"/>
  <c r="AC1057" i="123" s="1"/>
  <c r="AJ1057" i="123"/>
  <c r="AK1057" i="123"/>
  <c r="AL1057" i="123"/>
  <c r="AO1057" i="123"/>
  <c r="AP1057" i="123"/>
  <c r="AQ1057" i="123" s="1"/>
  <c r="AT1057" i="123"/>
  <c r="AU1057" i="123"/>
  <c r="K1058" i="123"/>
  <c r="L1058" i="123"/>
  <c r="M1058" i="123"/>
  <c r="N1058" i="123"/>
  <c r="O1058" i="123"/>
  <c r="P1058" i="123"/>
  <c r="Q1058" i="123"/>
  <c r="R1058" i="123"/>
  <c r="T1058" i="123" s="1"/>
  <c r="S1058" i="123"/>
  <c r="X1058" i="123"/>
  <c r="Y1058" i="123"/>
  <c r="Z1058" i="123" s="1"/>
  <c r="AB1058" i="123"/>
  <c r="AD1058" i="123" s="1"/>
  <c r="AJ1058" i="123"/>
  <c r="AK1058" i="123"/>
  <c r="AL1058" i="123"/>
  <c r="AO1058" i="123"/>
  <c r="AP1058" i="123"/>
  <c r="AQ1058" i="123" s="1"/>
  <c r="AT1058" i="123"/>
  <c r="AU1058" i="123"/>
  <c r="K1059" i="123"/>
  <c r="L1059" i="123"/>
  <c r="M1059" i="123"/>
  <c r="N1059" i="123"/>
  <c r="O1059" i="123"/>
  <c r="P1059" i="123"/>
  <c r="Q1059" i="123"/>
  <c r="R1059" i="123"/>
  <c r="T1059" i="123" s="1"/>
  <c r="S1059" i="123"/>
  <c r="X1059" i="123"/>
  <c r="Y1059" i="123"/>
  <c r="Z1059" i="123" s="1"/>
  <c r="AB1059" i="123"/>
  <c r="AC1059" i="123" s="1"/>
  <c r="AJ1059" i="123"/>
  <c r="AK1059" i="123"/>
  <c r="AL1059" i="123"/>
  <c r="AO1059" i="123"/>
  <c r="AP1059" i="123"/>
  <c r="AQ1059" i="123" s="1"/>
  <c r="AT1059" i="123"/>
  <c r="AU1059" i="123"/>
  <c r="K1060" i="123"/>
  <c r="L1060" i="123"/>
  <c r="M1060" i="123"/>
  <c r="N1060" i="123"/>
  <c r="O1060" i="123"/>
  <c r="P1060" i="123"/>
  <c r="Q1060" i="123"/>
  <c r="R1060" i="123"/>
  <c r="T1060" i="123" s="1"/>
  <c r="S1060" i="123"/>
  <c r="X1060" i="123"/>
  <c r="Y1060" i="123"/>
  <c r="Z1060" i="123" s="1"/>
  <c r="AB1060" i="123"/>
  <c r="AC1060" i="123" s="1"/>
  <c r="AJ1060" i="123"/>
  <c r="AK1060" i="123"/>
  <c r="AL1060" i="123"/>
  <c r="AO1060" i="123"/>
  <c r="AP1060" i="123"/>
  <c r="AQ1060" i="123" s="1"/>
  <c r="AT1060" i="123"/>
  <c r="AU1060" i="123"/>
  <c r="K1061" i="123"/>
  <c r="L1061" i="123"/>
  <c r="M1061" i="123"/>
  <c r="N1061" i="123"/>
  <c r="O1061" i="123"/>
  <c r="P1061" i="123"/>
  <c r="Q1061" i="123"/>
  <c r="R1061" i="123"/>
  <c r="T1061" i="123" s="1"/>
  <c r="S1061" i="123"/>
  <c r="X1061" i="123"/>
  <c r="Y1061" i="123"/>
  <c r="AA1061" i="123" s="1"/>
  <c r="AB1061" i="123"/>
  <c r="AJ1061" i="123"/>
  <c r="AK1061" i="123"/>
  <c r="AL1061" i="123"/>
  <c r="AO1061" i="123"/>
  <c r="AP1061" i="123"/>
  <c r="AQ1061" i="123" s="1"/>
  <c r="AT1061" i="123"/>
  <c r="AU1061" i="123"/>
  <c r="K1062" i="123"/>
  <c r="L1062" i="123"/>
  <c r="M1062" i="123"/>
  <c r="N1062" i="123"/>
  <c r="O1062" i="123"/>
  <c r="P1062" i="123"/>
  <c r="Q1062" i="123"/>
  <c r="R1062" i="123"/>
  <c r="T1062" i="123" s="1"/>
  <c r="S1062" i="123"/>
  <c r="X1062" i="123"/>
  <c r="Y1062" i="123"/>
  <c r="Z1062" i="123" s="1"/>
  <c r="AB1062" i="123"/>
  <c r="AD1062" i="123" s="1"/>
  <c r="AJ1062" i="123"/>
  <c r="AK1062" i="123"/>
  <c r="AL1062" i="123"/>
  <c r="AO1062" i="123"/>
  <c r="AP1062" i="123"/>
  <c r="AQ1062" i="123" s="1"/>
  <c r="AT1062" i="123"/>
  <c r="AU1062" i="123"/>
  <c r="K1063" i="123"/>
  <c r="L1063" i="123"/>
  <c r="M1063" i="123"/>
  <c r="N1063" i="123"/>
  <c r="O1063" i="123"/>
  <c r="P1063" i="123"/>
  <c r="Q1063" i="123"/>
  <c r="R1063" i="123"/>
  <c r="T1063" i="123" s="1"/>
  <c r="S1063" i="123"/>
  <c r="X1063" i="123"/>
  <c r="Y1063" i="123"/>
  <c r="AB1063" i="123"/>
  <c r="AC1063" i="123" s="1"/>
  <c r="AJ1063" i="123"/>
  <c r="AK1063" i="123"/>
  <c r="AL1063" i="123"/>
  <c r="AO1063" i="123"/>
  <c r="AP1063" i="123"/>
  <c r="AQ1063" i="123" s="1"/>
  <c r="AT1063" i="123"/>
  <c r="AU1063" i="123"/>
  <c r="K1064" i="123"/>
  <c r="L1064" i="123"/>
  <c r="M1064" i="123"/>
  <c r="N1064" i="123"/>
  <c r="O1064" i="123"/>
  <c r="P1064" i="123"/>
  <c r="Q1064" i="123"/>
  <c r="R1064" i="123"/>
  <c r="T1064" i="123" s="1"/>
  <c r="S1064" i="123"/>
  <c r="X1064" i="123"/>
  <c r="Y1064" i="123"/>
  <c r="AB1064" i="123"/>
  <c r="AD1064" i="123" s="1"/>
  <c r="AJ1064" i="123"/>
  <c r="AK1064" i="123"/>
  <c r="AL1064" i="123"/>
  <c r="AO1064" i="123"/>
  <c r="AP1064" i="123"/>
  <c r="AT1064" i="123"/>
  <c r="AU1064" i="123"/>
  <c r="K1065" i="123"/>
  <c r="L1065" i="123"/>
  <c r="M1065" i="123"/>
  <c r="N1065" i="123"/>
  <c r="O1065" i="123"/>
  <c r="P1065" i="123"/>
  <c r="Q1065" i="123"/>
  <c r="R1065" i="123"/>
  <c r="T1065" i="123" s="1"/>
  <c r="S1065" i="123"/>
  <c r="X1065" i="123"/>
  <c r="Y1065" i="123"/>
  <c r="AA1065" i="123" s="1"/>
  <c r="AB1065" i="123"/>
  <c r="AC1065" i="123" s="1"/>
  <c r="AJ1065" i="123"/>
  <c r="AK1065" i="123"/>
  <c r="AL1065" i="123"/>
  <c r="AO1065" i="123"/>
  <c r="AP1065" i="123"/>
  <c r="AQ1065" i="123" s="1"/>
  <c r="AT1065" i="123"/>
  <c r="AU1065" i="123"/>
  <c r="K1066" i="123"/>
  <c r="L1066" i="123"/>
  <c r="M1066" i="123"/>
  <c r="N1066" i="123"/>
  <c r="O1066" i="123"/>
  <c r="P1066" i="123"/>
  <c r="Q1066" i="123"/>
  <c r="R1066" i="123"/>
  <c r="T1066" i="123" s="1"/>
  <c r="S1066" i="123"/>
  <c r="X1066" i="123"/>
  <c r="Y1066" i="123"/>
  <c r="Z1066" i="123" s="1"/>
  <c r="AB1066" i="123"/>
  <c r="AD1066" i="123" s="1"/>
  <c r="AJ1066" i="123"/>
  <c r="AK1066" i="123"/>
  <c r="AL1066" i="123"/>
  <c r="AO1066" i="123"/>
  <c r="AP1066" i="123"/>
  <c r="AQ1066" i="123" s="1"/>
  <c r="AT1066" i="123"/>
  <c r="AU1066" i="123"/>
  <c r="K1067" i="123"/>
  <c r="L1067" i="123"/>
  <c r="M1067" i="123"/>
  <c r="N1067" i="123"/>
  <c r="O1067" i="123"/>
  <c r="P1067" i="123"/>
  <c r="Q1067" i="123"/>
  <c r="R1067" i="123"/>
  <c r="T1067" i="123" s="1"/>
  <c r="S1067" i="123"/>
  <c r="X1067" i="123"/>
  <c r="Y1067" i="123"/>
  <c r="Z1067" i="123" s="1"/>
  <c r="AB1067" i="123"/>
  <c r="AC1067" i="123" s="1"/>
  <c r="AJ1067" i="123"/>
  <c r="AK1067" i="123"/>
  <c r="AL1067" i="123"/>
  <c r="AO1067" i="123"/>
  <c r="AP1067" i="123"/>
  <c r="AQ1067" i="123" s="1"/>
  <c r="AT1067" i="123"/>
  <c r="AU1067" i="123"/>
  <c r="K1068" i="123"/>
  <c r="L1068" i="123"/>
  <c r="M1068" i="123"/>
  <c r="N1068" i="123"/>
  <c r="O1068" i="123"/>
  <c r="P1068" i="123"/>
  <c r="Q1068" i="123"/>
  <c r="R1068" i="123"/>
  <c r="T1068" i="123" s="1"/>
  <c r="S1068" i="123"/>
  <c r="X1068" i="123"/>
  <c r="Y1068" i="123"/>
  <c r="Z1068" i="123" s="1"/>
  <c r="AB1068" i="123"/>
  <c r="AJ1068" i="123"/>
  <c r="AK1068" i="123"/>
  <c r="AL1068" i="123"/>
  <c r="AO1068" i="123"/>
  <c r="AP1068" i="123"/>
  <c r="AQ1068" i="123" s="1"/>
  <c r="AT1068" i="123"/>
  <c r="AU1068" i="123"/>
  <c r="K1069" i="123"/>
  <c r="L1069" i="123"/>
  <c r="M1069" i="123"/>
  <c r="N1069" i="123"/>
  <c r="O1069" i="123"/>
  <c r="P1069" i="123"/>
  <c r="Q1069" i="123"/>
  <c r="R1069" i="123"/>
  <c r="T1069" i="123" s="1"/>
  <c r="S1069" i="123"/>
  <c r="X1069" i="123"/>
  <c r="Y1069" i="123"/>
  <c r="Z1069" i="123" s="1"/>
  <c r="AB1069" i="123"/>
  <c r="AJ1069" i="123"/>
  <c r="AK1069" i="123"/>
  <c r="AL1069" i="123"/>
  <c r="AO1069" i="123"/>
  <c r="AP1069" i="123"/>
  <c r="AQ1069" i="123" s="1"/>
  <c r="AT1069" i="123"/>
  <c r="AU1069" i="123"/>
  <c r="K1070" i="123"/>
  <c r="L1070" i="123"/>
  <c r="M1070" i="123"/>
  <c r="N1070" i="123"/>
  <c r="O1070" i="123"/>
  <c r="P1070" i="123"/>
  <c r="Q1070" i="123"/>
  <c r="R1070" i="123"/>
  <c r="T1070" i="123" s="1"/>
  <c r="V1070" i="123" s="1"/>
  <c r="S1070" i="123"/>
  <c r="X1070" i="123"/>
  <c r="Y1070" i="123"/>
  <c r="Z1070" i="123" s="1"/>
  <c r="AB1070" i="123"/>
  <c r="AD1070" i="123" s="1"/>
  <c r="AJ1070" i="123"/>
  <c r="AK1070" i="123"/>
  <c r="AL1070" i="123"/>
  <c r="AO1070" i="123"/>
  <c r="AP1070" i="123"/>
  <c r="AQ1070" i="123" s="1"/>
  <c r="AT1070" i="123"/>
  <c r="AU1070" i="123"/>
  <c r="K1071" i="123"/>
  <c r="L1071" i="123"/>
  <c r="M1071" i="123"/>
  <c r="N1071" i="123"/>
  <c r="O1071" i="123"/>
  <c r="P1071" i="123"/>
  <c r="Q1071" i="123"/>
  <c r="R1071" i="123"/>
  <c r="T1071" i="123" s="1"/>
  <c r="S1071" i="123"/>
  <c r="X1071" i="123"/>
  <c r="Y1071" i="123"/>
  <c r="AB1071" i="123"/>
  <c r="AC1071" i="123" s="1"/>
  <c r="AJ1071" i="123"/>
  <c r="AK1071" i="123"/>
  <c r="AL1071" i="123"/>
  <c r="AO1071" i="123"/>
  <c r="AP1071" i="123"/>
  <c r="AQ1071" i="123" s="1"/>
  <c r="AT1071" i="123"/>
  <c r="AU1071" i="123"/>
  <c r="K1072" i="123"/>
  <c r="L1072" i="123"/>
  <c r="M1072" i="123"/>
  <c r="N1072" i="123"/>
  <c r="O1072" i="123"/>
  <c r="P1072" i="123"/>
  <c r="Q1072" i="123"/>
  <c r="R1072" i="123"/>
  <c r="T1072" i="123" s="1"/>
  <c r="S1072" i="123"/>
  <c r="X1072" i="123"/>
  <c r="Y1072" i="123"/>
  <c r="AB1072" i="123"/>
  <c r="AD1072" i="123" s="1"/>
  <c r="AJ1072" i="123"/>
  <c r="AK1072" i="123"/>
  <c r="AL1072" i="123"/>
  <c r="AO1072" i="123"/>
  <c r="AP1072" i="123"/>
  <c r="AT1072" i="123"/>
  <c r="AU1072" i="123"/>
  <c r="K1073" i="123"/>
  <c r="L1073" i="123"/>
  <c r="M1073" i="123"/>
  <c r="N1073" i="123"/>
  <c r="O1073" i="123"/>
  <c r="P1073" i="123"/>
  <c r="Q1073" i="123"/>
  <c r="R1073" i="123"/>
  <c r="T1073" i="123" s="1"/>
  <c r="S1073" i="123"/>
  <c r="X1073" i="123"/>
  <c r="Y1073" i="123"/>
  <c r="AA1073" i="123" s="1"/>
  <c r="AB1073" i="123"/>
  <c r="AC1073" i="123" s="1"/>
  <c r="AJ1073" i="123"/>
  <c r="AK1073" i="123"/>
  <c r="AL1073" i="123"/>
  <c r="AO1073" i="123"/>
  <c r="AP1073" i="123"/>
  <c r="AQ1073" i="123" s="1"/>
  <c r="AT1073" i="123"/>
  <c r="AU1073" i="123"/>
  <c r="K1074" i="123"/>
  <c r="L1074" i="123"/>
  <c r="M1074" i="123"/>
  <c r="N1074" i="123"/>
  <c r="O1074" i="123"/>
  <c r="P1074" i="123"/>
  <c r="Q1074" i="123"/>
  <c r="R1074" i="123"/>
  <c r="T1074" i="123" s="1"/>
  <c r="S1074" i="123"/>
  <c r="X1074" i="123"/>
  <c r="Y1074" i="123"/>
  <c r="Z1074" i="123" s="1"/>
  <c r="AB1074" i="123"/>
  <c r="AD1074" i="123" s="1"/>
  <c r="AJ1074" i="123"/>
  <c r="AK1074" i="123"/>
  <c r="AL1074" i="123"/>
  <c r="AO1074" i="123"/>
  <c r="AP1074" i="123"/>
  <c r="AQ1074" i="123" s="1"/>
  <c r="AT1074" i="123"/>
  <c r="AU1074" i="123"/>
  <c r="K1075" i="123"/>
  <c r="L1075" i="123"/>
  <c r="M1075" i="123"/>
  <c r="N1075" i="123"/>
  <c r="O1075" i="123"/>
  <c r="P1075" i="123"/>
  <c r="Q1075" i="123"/>
  <c r="R1075" i="123"/>
  <c r="T1075" i="123" s="1"/>
  <c r="S1075" i="123"/>
  <c r="X1075" i="123"/>
  <c r="Y1075" i="123"/>
  <c r="Z1075" i="123" s="1"/>
  <c r="AB1075" i="123"/>
  <c r="AC1075" i="123" s="1"/>
  <c r="AJ1075" i="123"/>
  <c r="AK1075" i="123"/>
  <c r="AL1075" i="123"/>
  <c r="AO1075" i="123"/>
  <c r="AP1075" i="123"/>
  <c r="AQ1075" i="123" s="1"/>
  <c r="AT1075" i="123"/>
  <c r="AU1075" i="123"/>
  <c r="K1076" i="123"/>
  <c r="L1076" i="123"/>
  <c r="M1076" i="123"/>
  <c r="N1076" i="123"/>
  <c r="O1076" i="123"/>
  <c r="P1076" i="123"/>
  <c r="Q1076" i="123"/>
  <c r="R1076" i="123"/>
  <c r="T1076" i="123" s="1"/>
  <c r="V1076" i="123" s="1"/>
  <c r="S1076" i="123"/>
  <c r="X1076" i="123"/>
  <c r="Y1076" i="123"/>
  <c r="Z1076" i="123" s="1"/>
  <c r="AB1076" i="123"/>
  <c r="AJ1076" i="123"/>
  <c r="AK1076" i="123"/>
  <c r="AL1076" i="123"/>
  <c r="AO1076" i="123"/>
  <c r="AP1076" i="123"/>
  <c r="AQ1076" i="123" s="1"/>
  <c r="AT1076" i="123"/>
  <c r="AU1076" i="123"/>
  <c r="K1077" i="123"/>
  <c r="L1077" i="123"/>
  <c r="M1077" i="123"/>
  <c r="N1077" i="123"/>
  <c r="O1077" i="123"/>
  <c r="P1077" i="123"/>
  <c r="Q1077" i="123"/>
  <c r="R1077" i="123"/>
  <c r="T1077" i="123" s="1"/>
  <c r="S1077" i="123"/>
  <c r="X1077" i="123"/>
  <c r="Y1077" i="123"/>
  <c r="Z1077" i="123" s="1"/>
  <c r="AB1077" i="123"/>
  <c r="AJ1077" i="123"/>
  <c r="AK1077" i="123"/>
  <c r="AL1077" i="123"/>
  <c r="AO1077" i="123"/>
  <c r="AP1077" i="123"/>
  <c r="AQ1077" i="123" s="1"/>
  <c r="AT1077" i="123"/>
  <c r="AU1077" i="123"/>
  <c r="K1078" i="123"/>
  <c r="L1078" i="123"/>
  <c r="M1078" i="123"/>
  <c r="N1078" i="123"/>
  <c r="O1078" i="123"/>
  <c r="P1078" i="123"/>
  <c r="Q1078" i="123"/>
  <c r="R1078" i="123"/>
  <c r="T1078" i="123" s="1"/>
  <c r="V1078" i="123" s="1"/>
  <c r="S1078" i="123"/>
  <c r="X1078" i="123"/>
  <c r="Y1078" i="123"/>
  <c r="Z1078" i="123" s="1"/>
  <c r="AB1078" i="123"/>
  <c r="AD1078" i="123" s="1"/>
  <c r="AJ1078" i="123"/>
  <c r="AK1078" i="123"/>
  <c r="AL1078" i="123"/>
  <c r="AO1078" i="123"/>
  <c r="AP1078" i="123"/>
  <c r="AQ1078" i="123" s="1"/>
  <c r="AT1078" i="123"/>
  <c r="AU1078" i="123"/>
  <c r="K1079" i="123"/>
  <c r="L1079" i="123"/>
  <c r="M1079" i="123"/>
  <c r="N1079" i="123"/>
  <c r="O1079" i="123"/>
  <c r="P1079" i="123"/>
  <c r="Q1079" i="123"/>
  <c r="R1079" i="123"/>
  <c r="T1079" i="123" s="1"/>
  <c r="S1079" i="123"/>
  <c r="X1079" i="123"/>
  <c r="Y1079" i="123"/>
  <c r="Z1079" i="123" s="1"/>
  <c r="AB1079" i="123"/>
  <c r="AC1079" i="123" s="1"/>
  <c r="AJ1079" i="123"/>
  <c r="AK1079" i="123"/>
  <c r="AL1079" i="123"/>
  <c r="AO1079" i="123"/>
  <c r="AP1079" i="123"/>
  <c r="AQ1079" i="123" s="1"/>
  <c r="AT1079" i="123"/>
  <c r="AU1079" i="123"/>
  <c r="K1080" i="123"/>
  <c r="L1080" i="123"/>
  <c r="M1080" i="123"/>
  <c r="N1080" i="123"/>
  <c r="O1080" i="123"/>
  <c r="P1080" i="123"/>
  <c r="Q1080" i="123"/>
  <c r="R1080" i="123"/>
  <c r="T1080" i="123" s="1"/>
  <c r="S1080" i="123"/>
  <c r="X1080" i="123"/>
  <c r="Y1080" i="123"/>
  <c r="AB1080" i="123"/>
  <c r="AD1080" i="123" s="1"/>
  <c r="AJ1080" i="123"/>
  <c r="AK1080" i="123"/>
  <c r="AL1080" i="123"/>
  <c r="AO1080" i="123"/>
  <c r="AP1080" i="123"/>
  <c r="AT1080" i="123"/>
  <c r="AU1080" i="123"/>
  <c r="K1081" i="123"/>
  <c r="L1081" i="123"/>
  <c r="M1081" i="123"/>
  <c r="N1081" i="123"/>
  <c r="O1081" i="123"/>
  <c r="P1081" i="123"/>
  <c r="Q1081" i="123"/>
  <c r="R1081" i="123"/>
  <c r="T1081" i="123" s="1"/>
  <c r="S1081" i="123"/>
  <c r="X1081" i="123"/>
  <c r="Y1081" i="123"/>
  <c r="AA1081" i="123" s="1"/>
  <c r="AB1081" i="123"/>
  <c r="AC1081" i="123" s="1"/>
  <c r="AJ1081" i="123"/>
  <c r="AK1081" i="123"/>
  <c r="AL1081" i="123"/>
  <c r="AO1081" i="123"/>
  <c r="AP1081" i="123"/>
  <c r="AQ1081" i="123" s="1"/>
  <c r="AT1081" i="123"/>
  <c r="AU1081" i="123"/>
  <c r="K1082" i="123"/>
  <c r="L1082" i="123"/>
  <c r="M1082" i="123"/>
  <c r="N1082" i="123"/>
  <c r="O1082" i="123"/>
  <c r="P1082" i="123"/>
  <c r="Q1082" i="123"/>
  <c r="R1082" i="123"/>
  <c r="T1082" i="123" s="1"/>
  <c r="S1082" i="123"/>
  <c r="X1082" i="123"/>
  <c r="Y1082" i="123"/>
  <c r="Z1082" i="123" s="1"/>
  <c r="AB1082" i="123"/>
  <c r="AD1082" i="123" s="1"/>
  <c r="AJ1082" i="123"/>
  <c r="AK1082" i="123"/>
  <c r="AL1082" i="123"/>
  <c r="AO1082" i="123"/>
  <c r="AP1082" i="123"/>
  <c r="AQ1082" i="123" s="1"/>
  <c r="AT1082" i="123"/>
  <c r="AU1082" i="123"/>
  <c r="K1083" i="123"/>
  <c r="L1083" i="123"/>
  <c r="M1083" i="123"/>
  <c r="N1083" i="123"/>
  <c r="O1083" i="123"/>
  <c r="P1083" i="123"/>
  <c r="Q1083" i="123"/>
  <c r="R1083" i="123"/>
  <c r="T1083" i="123" s="1"/>
  <c r="S1083" i="123"/>
  <c r="X1083" i="123"/>
  <c r="Y1083" i="123"/>
  <c r="Z1083" i="123" s="1"/>
  <c r="AB1083" i="123"/>
  <c r="AC1083" i="123" s="1"/>
  <c r="AJ1083" i="123"/>
  <c r="AK1083" i="123"/>
  <c r="AL1083" i="123"/>
  <c r="AO1083" i="123"/>
  <c r="AP1083" i="123"/>
  <c r="AQ1083" i="123" s="1"/>
  <c r="AT1083" i="123"/>
  <c r="AU1083" i="123"/>
  <c r="K1084" i="123"/>
  <c r="L1084" i="123"/>
  <c r="M1084" i="123"/>
  <c r="N1084" i="123"/>
  <c r="O1084" i="123"/>
  <c r="P1084" i="123"/>
  <c r="Q1084" i="123"/>
  <c r="R1084" i="123"/>
  <c r="T1084" i="123" s="1"/>
  <c r="V1084" i="123" s="1"/>
  <c r="S1084" i="123"/>
  <c r="X1084" i="123"/>
  <c r="Y1084" i="123"/>
  <c r="Z1084" i="123" s="1"/>
  <c r="AB1084" i="123"/>
  <c r="AJ1084" i="123"/>
  <c r="AK1084" i="123"/>
  <c r="AL1084" i="123"/>
  <c r="AO1084" i="123"/>
  <c r="AP1084" i="123"/>
  <c r="AQ1084" i="123" s="1"/>
  <c r="AT1084" i="123"/>
  <c r="AU1084" i="123"/>
  <c r="K1085" i="123"/>
  <c r="L1085" i="123"/>
  <c r="M1085" i="123"/>
  <c r="N1085" i="123"/>
  <c r="O1085" i="123"/>
  <c r="P1085" i="123"/>
  <c r="Q1085" i="123"/>
  <c r="R1085" i="123"/>
  <c r="T1085" i="123" s="1"/>
  <c r="S1085" i="123"/>
  <c r="X1085" i="123"/>
  <c r="Y1085" i="123"/>
  <c r="AA1085" i="123" s="1"/>
  <c r="AB1085" i="123"/>
  <c r="AJ1085" i="123"/>
  <c r="AK1085" i="123"/>
  <c r="AL1085" i="123"/>
  <c r="AO1085" i="123"/>
  <c r="AP1085" i="123"/>
  <c r="AQ1085" i="123" s="1"/>
  <c r="AT1085" i="123"/>
  <c r="AU1085" i="123"/>
  <c r="K1086" i="123"/>
  <c r="L1086" i="123"/>
  <c r="M1086" i="123"/>
  <c r="N1086" i="123"/>
  <c r="O1086" i="123"/>
  <c r="P1086" i="123"/>
  <c r="Q1086" i="123"/>
  <c r="R1086" i="123"/>
  <c r="T1086" i="123" s="1"/>
  <c r="S1086" i="123"/>
  <c r="X1086" i="123"/>
  <c r="Y1086" i="123"/>
  <c r="Z1086" i="123" s="1"/>
  <c r="AB1086" i="123"/>
  <c r="AD1086" i="123" s="1"/>
  <c r="AJ1086" i="123"/>
  <c r="AK1086" i="123"/>
  <c r="AL1086" i="123"/>
  <c r="AO1086" i="123"/>
  <c r="AP1086" i="123"/>
  <c r="AQ1086" i="123" s="1"/>
  <c r="AT1086" i="123"/>
  <c r="AU1086" i="123"/>
  <c r="K1087" i="123"/>
  <c r="L1087" i="123"/>
  <c r="M1087" i="123"/>
  <c r="N1087" i="123"/>
  <c r="O1087" i="123"/>
  <c r="P1087" i="123"/>
  <c r="Q1087" i="123"/>
  <c r="R1087" i="123"/>
  <c r="T1087" i="123" s="1"/>
  <c r="S1087" i="123"/>
  <c r="X1087" i="123"/>
  <c r="Y1087" i="123"/>
  <c r="Z1087" i="123" s="1"/>
  <c r="AB1087" i="123"/>
  <c r="AC1087" i="123" s="1"/>
  <c r="AJ1087" i="123"/>
  <c r="AK1087" i="123"/>
  <c r="AL1087" i="123"/>
  <c r="AO1087" i="123"/>
  <c r="AP1087" i="123"/>
  <c r="AQ1087" i="123" s="1"/>
  <c r="AT1087" i="123"/>
  <c r="AU1087" i="123"/>
  <c r="K1088" i="123"/>
  <c r="L1088" i="123"/>
  <c r="M1088" i="123"/>
  <c r="N1088" i="123"/>
  <c r="O1088" i="123"/>
  <c r="P1088" i="123"/>
  <c r="Q1088" i="123"/>
  <c r="R1088" i="123"/>
  <c r="T1088" i="123" s="1"/>
  <c r="S1088" i="123"/>
  <c r="X1088" i="123"/>
  <c r="Y1088" i="123"/>
  <c r="AB1088" i="123"/>
  <c r="AD1088" i="123" s="1"/>
  <c r="AJ1088" i="123"/>
  <c r="AK1088" i="123"/>
  <c r="AL1088" i="123"/>
  <c r="AO1088" i="123"/>
  <c r="AP1088" i="123"/>
  <c r="AT1088" i="123"/>
  <c r="AU1088" i="123"/>
  <c r="K1089" i="123"/>
  <c r="L1089" i="123"/>
  <c r="M1089" i="123"/>
  <c r="N1089" i="123"/>
  <c r="O1089" i="123"/>
  <c r="P1089" i="123"/>
  <c r="Q1089" i="123"/>
  <c r="R1089" i="123"/>
  <c r="T1089" i="123" s="1"/>
  <c r="S1089" i="123"/>
  <c r="X1089" i="123"/>
  <c r="Y1089" i="123"/>
  <c r="AA1089" i="123" s="1"/>
  <c r="AB1089" i="123"/>
  <c r="AC1089" i="123" s="1"/>
  <c r="AJ1089" i="123"/>
  <c r="AK1089" i="123"/>
  <c r="AL1089" i="123"/>
  <c r="AO1089" i="123"/>
  <c r="AP1089" i="123"/>
  <c r="AQ1089" i="123" s="1"/>
  <c r="AT1089" i="123"/>
  <c r="AU1089" i="123"/>
  <c r="K1090" i="123"/>
  <c r="L1090" i="123"/>
  <c r="M1090" i="123"/>
  <c r="N1090" i="123"/>
  <c r="O1090" i="123"/>
  <c r="P1090" i="123"/>
  <c r="Q1090" i="123"/>
  <c r="R1090" i="123"/>
  <c r="T1090" i="123" s="1"/>
  <c r="S1090" i="123"/>
  <c r="X1090" i="123"/>
  <c r="Y1090" i="123"/>
  <c r="Z1090" i="123" s="1"/>
  <c r="AB1090" i="123"/>
  <c r="AD1090" i="123" s="1"/>
  <c r="AJ1090" i="123"/>
  <c r="AK1090" i="123"/>
  <c r="AL1090" i="123"/>
  <c r="AO1090" i="123"/>
  <c r="AP1090" i="123"/>
  <c r="AQ1090" i="123" s="1"/>
  <c r="AT1090" i="123"/>
  <c r="AU1090" i="123"/>
  <c r="K1091" i="123"/>
  <c r="L1091" i="123"/>
  <c r="M1091" i="123"/>
  <c r="N1091" i="123"/>
  <c r="O1091" i="123"/>
  <c r="P1091" i="123"/>
  <c r="Q1091" i="123"/>
  <c r="R1091" i="123"/>
  <c r="T1091" i="123" s="1"/>
  <c r="S1091" i="123"/>
  <c r="X1091" i="123"/>
  <c r="Y1091" i="123"/>
  <c r="Z1091" i="123" s="1"/>
  <c r="AB1091" i="123"/>
  <c r="AC1091" i="123" s="1"/>
  <c r="AJ1091" i="123"/>
  <c r="AK1091" i="123"/>
  <c r="AL1091" i="123"/>
  <c r="AO1091" i="123"/>
  <c r="AP1091" i="123"/>
  <c r="AQ1091" i="123" s="1"/>
  <c r="AT1091" i="123"/>
  <c r="AU1091" i="123"/>
  <c r="K1092" i="123"/>
  <c r="L1092" i="123"/>
  <c r="M1092" i="123"/>
  <c r="N1092" i="123"/>
  <c r="O1092" i="123"/>
  <c r="P1092" i="123"/>
  <c r="Q1092" i="123"/>
  <c r="R1092" i="123"/>
  <c r="T1092" i="123" s="1"/>
  <c r="S1092" i="123"/>
  <c r="X1092" i="123"/>
  <c r="Y1092" i="123"/>
  <c r="Z1092" i="123" s="1"/>
  <c r="AB1092" i="123"/>
  <c r="AJ1092" i="123"/>
  <c r="AK1092" i="123"/>
  <c r="AL1092" i="123"/>
  <c r="AO1092" i="123"/>
  <c r="AP1092" i="123"/>
  <c r="AQ1092" i="123" s="1"/>
  <c r="AT1092" i="123"/>
  <c r="AU1092" i="123"/>
  <c r="K1093" i="123"/>
  <c r="L1093" i="123"/>
  <c r="M1093" i="123"/>
  <c r="N1093" i="123"/>
  <c r="O1093" i="123"/>
  <c r="P1093" i="123"/>
  <c r="Q1093" i="123"/>
  <c r="R1093" i="123"/>
  <c r="T1093" i="123" s="1"/>
  <c r="S1093" i="123"/>
  <c r="X1093" i="123"/>
  <c r="Y1093" i="123"/>
  <c r="AA1093" i="123" s="1"/>
  <c r="AB1093" i="123"/>
  <c r="AJ1093" i="123"/>
  <c r="AK1093" i="123"/>
  <c r="AL1093" i="123"/>
  <c r="AO1093" i="123"/>
  <c r="AP1093" i="123"/>
  <c r="AQ1093" i="123" s="1"/>
  <c r="AT1093" i="123"/>
  <c r="AU1093" i="123"/>
  <c r="K1094" i="123"/>
  <c r="L1094" i="123"/>
  <c r="M1094" i="123"/>
  <c r="N1094" i="123"/>
  <c r="O1094" i="123"/>
  <c r="P1094" i="123"/>
  <c r="Q1094" i="123"/>
  <c r="R1094" i="123"/>
  <c r="T1094" i="123" s="1"/>
  <c r="S1094" i="123"/>
  <c r="X1094" i="123"/>
  <c r="Y1094" i="123"/>
  <c r="Z1094" i="123" s="1"/>
  <c r="AB1094" i="123"/>
  <c r="AD1094" i="123" s="1"/>
  <c r="AJ1094" i="123"/>
  <c r="AK1094" i="123"/>
  <c r="AL1094" i="123"/>
  <c r="AO1094" i="123"/>
  <c r="AP1094" i="123"/>
  <c r="AQ1094" i="123" s="1"/>
  <c r="AT1094" i="123"/>
  <c r="AU1094" i="123"/>
  <c r="K1095" i="123"/>
  <c r="L1095" i="123"/>
  <c r="M1095" i="123"/>
  <c r="N1095" i="123"/>
  <c r="O1095" i="123"/>
  <c r="P1095" i="123"/>
  <c r="Q1095" i="123"/>
  <c r="R1095" i="123"/>
  <c r="T1095" i="123" s="1"/>
  <c r="S1095" i="123"/>
  <c r="X1095" i="123"/>
  <c r="Y1095" i="123"/>
  <c r="Z1095" i="123" s="1"/>
  <c r="AB1095" i="123"/>
  <c r="AC1095" i="123" s="1"/>
  <c r="AJ1095" i="123"/>
  <c r="AK1095" i="123"/>
  <c r="AL1095" i="123"/>
  <c r="AO1095" i="123"/>
  <c r="AP1095" i="123"/>
  <c r="AQ1095" i="123" s="1"/>
  <c r="AT1095" i="123"/>
  <c r="AU1095" i="123"/>
  <c r="K1096" i="123"/>
  <c r="L1096" i="123"/>
  <c r="M1096" i="123"/>
  <c r="N1096" i="123"/>
  <c r="O1096" i="123"/>
  <c r="P1096" i="123"/>
  <c r="Q1096" i="123"/>
  <c r="R1096" i="123"/>
  <c r="T1096" i="123" s="1"/>
  <c r="W1096" i="123" s="1"/>
  <c r="S1096" i="123"/>
  <c r="X1096" i="123"/>
  <c r="Y1096" i="123"/>
  <c r="AB1096" i="123"/>
  <c r="AD1096" i="123" s="1"/>
  <c r="AJ1096" i="123"/>
  <c r="AK1096" i="123"/>
  <c r="AL1096" i="123"/>
  <c r="AO1096" i="123"/>
  <c r="AP1096" i="123"/>
  <c r="AQ1096" i="123" s="1"/>
  <c r="AT1096" i="123"/>
  <c r="AU1096" i="123"/>
  <c r="K1097" i="123"/>
  <c r="L1097" i="123"/>
  <c r="M1097" i="123"/>
  <c r="N1097" i="123"/>
  <c r="O1097" i="123"/>
  <c r="P1097" i="123"/>
  <c r="Q1097" i="123"/>
  <c r="R1097" i="123"/>
  <c r="T1097" i="123" s="1"/>
  <c r="S1097" i="123"/>
  <c r="X1097" i="123"/>
  <c r="Y1097" i="123"/>
  <c r="AA1097" i="123" s="1"/>
  <c r="AB1097" i="123"/>
  <c r="AC1097" i="123" s="1"/>
  <c r="AJ1097" i="123"/>
  <c r="AK1097" i="123"/>
  <c r="AL1097" i="123"/>
  <c r="AO1097" i="123"/>
  <c r="AP1097" i="123"/>
  <c r="AQ1097" i="123" s="1"/>
  <c r="AT1097" i="123"/>
  <c r="AU1097" i="123"/>
  <c r="K1098" i="123"/>
  <c r="L1098" i="123"/>
  <c r="M1098" i="123"/>
  <c r="N1098" i="123"/>
  <c r="O1098" i="123"/>
  <c r="P1098" i="123"/>
  <c r="Q1098" i="123"/>
  <c r="R1098" i="123"/>
  <c r="T1098" i="123" s="1"/>
  <c r="S1098" i="123"/>
  <c r="X1098" i="123"/>
  <c r="Y1098" i="123"/>
  <c r="Z1098" i="123" s="1"/>
  <c r="AB1098" i="123"/>
  <c r="AD1098" i="123" s="1"/>
  <c r="AJ1098" i="123"/>
  <c r="AK1098" i="123"/>
  <c r="AL1098" i="123"/>
  <c r="AO1098" i="123"/>
  <c r="AP1098" i="123"/>
  <c r="AQ1098" i="123" s="1"/>
  <c r="AT1098" i="123"/>
  <c r="AU1098" i="123"/>
  <c r="K1099" i="123"/>
  <c r="L1099" i="123"/>
  <c r="M1099" i="123"/>
  <c r="N1099" i="123"/>
  <c r="O1099" i="123"/>
  <c r="P1099" i="123"/>
  <c r="Q1099" i="123"/>
  <c r="R1099" i="123"/>
  <c r="T1099" i="123" s="1"/>
  <c r="S1099" i="123"/>
  <c r="X1099" i="123"/>
  <c r="Y1099" i="123"/>
  <c r="AA1099" i="123" s="1"/>
  <c r="AB1099" i="123"/>
  <c r="AC1099" i="123" s="1"/>
  <c r="AJ1099" i="123"/>
  <c r="AK1099" i="123"/>
  <c r="AL1099" i="123"/>
  <c r="AO1099" i="123"/>
  <c r="AP1099" i="123"/>
  <c r="AQ1099" i="123" s="1"/>
  <c r="AT1099" i="123"/>
  <c r="AU1099" i="123"/>
  <c r="K1100" i="123"/>
  <c r="L1100" i="123"/>
  <c r="M1100" i="123"/>
  <c r="N1100" i="123"/>
  <c r="O1100" i="123"/>
  <c r="P1100" i="123"/>
  <c r="Q1100" i="123"/>
  <c r="R1100" i="123"/>
  <c r="T1100" i="123" s="1"/>
  <c r="S1100" i="123"/>
  <c r="X1100" i="123"/>
  <c r="Y1100" i="123"/>
  <c r="Z1100" i="123" s="1"/>
  <c r="AB1100" i="123"/>
  <c r="AJ1100" i="123"/>
  <c r="AK1100" i="123"/>
  <c r="AL1100" i="123"/>
  <c r="AO1100" i="123"/>
  <c r="AP1100" i="123"/>
  <c r="AQ1100" i="123" s="1"/>
  <c r="AT1100" i="123"/>
  <c r="AU1100" i="123"/>
  <c r="K1101" i="123"/>
  <c r="L1101" i="123"/>
  <c r="M1101" i="123"/>
  <c r="N1101" i="123"/>
  <c r="O1101" i="123"/>
  <c r="P1101" i="123"/>
  <c r="Q1101" i="123"/>
  <c r="R1101" i="123"/>
  <c r="T1101" i="123" s="1"/>
  <c r="S1101" i="123"/>
  <c r="X1101" i="123"/>
  <c r="Y1101" i="123"/>
  <c r="AA1101" i="123" s="1"/>
  <c r="AB1101" i="123"/>
  <c r="AJ1101" i="123"/>
  <c r="AK1101" i="123"/>
  <c r="AL1101" i="123"/>
  <c r="AO1101" i="123"/>
  <c r="AP1101" i="123"/>
  <c r="AQ1101" i="123" s="1"/>
  <c r="AT1101" i="123"/>
  <c r="AU1101" i="123"/>
  <c r="K1102" i="123"/>
  <c r="L1102" i="123"/>
  <c r="M1102" i="123"/>
  <c r="N1102" i="123"/>
  <c r="O1102" i="123"/>
  <c r="P1102" i="123"/>
  <c r="Q1102" i="123"/>
  <c r="R1102" i="123"/>
  <c r="T1102" i="123" s="1"/>
  <c r="S1102" i="123"/>
  <c r="X1102" i="123"/>
  <c r="Y1102" i="123"/>
  <c r="Z1102" i="123" s="1"/>
  <c r="AB1102" i="123"/>
  <c r="AD1102" i="123" s="1"/>
  <c r="AJ1102" i="123"/>
  <c r="AK1102" i="123"/>
  <c r="AL1102" i="123"/>
  <c r="AO1102" i="123"/>
  <c r="AP1102" i="123"/>
  <c r="AQ1102" i="123" s="1"/>
  <c r="AT1102" i="123"/>
  <c r="AU1102" i="123"/>
  <c r="K1103" i="123"/>
  <c r="L1103" i="123"/>
  <c r="M1103" i="123"/>
  <c r="N1103" i="123"/>
  <c r="O1103" i="123"/>
  <c r="P1103" i="123"/>
  <c r="Q1103" i="123"/>
  <c r="R1103" i="123"/>
  <c r="T1103" i="123" s="1"/>
  <c r="S1103" i="123"/>
  <c r="X1103" i="123"/>
  <c r="Y1103" i="123"/>
  <c r="Z1103" i="123" s="1"/>
  <c r="AB1103" i="123"/>
  <c r="AC1103" i="123" s="1"/>
  <c r="AJ1103" i="123"/>
  <c r="AK1103" i="123"/>
  <c r="AL1103" i="123"/>
  <c r="AO1103" i="123"/>
  <c r="AP1103" i="123"/>
  <c r="AQ1103" i="123" s="1"/>
  <c r="AT1103" i="123"/>
  <c r="AU1103" i="123"/>
  <c r="K1104" i="123"/>
  <c r="L1104" i="123"/>
  <c r="M1104" i="123"/>
  <c r="N1104" i="123"/>
  <c r="O1104" i="123"/>
  <c r="P1104" i="123"/>
  <c r="Q1104" i="123"/>
  <c r="R1104" i="123"/>
  <c r="T1104" i="123" s="1"/>
  <c r="V1104" i="123" s="1"/>
  <c r="S1104" i="123"/>
  <c r="X1104" i="123"/>
  <c r="Y1104" i="123"/>
  <c r="Z1104" i="123" s="1"/>
  <c r="AB1104" i="123"/>
  <c r="AD1104" i="123" s="1"/>
  <c r="AJ1104" i="123"/>
  <c r="AK1104" i="123"/>
  <c r="AL1104" i="123"/>
  <c r="AO1104" i="123"/>
  <c r="AP1104" i="123"/>
  <c r="AT1104" i="123"/>
  <c r="AU1104" i="123"/>
  <c r="K1105" i="123"/>
  <c r="L1105" i="123"/>
  <c r="M1105" i="123"/>
  <c r="N1105" i="123"/>
  <c r="O1105" i="123"/>
  <c r="P1105" i="123"/>
  <c r="Q1105" i="123"/>
  <c r="R1105" i="123"/>
  <c r="T1105" i="123" s="1"/>
  <c r="S1105" i="123"/>
  <c r="X1105" i="123"/>
  <c r="Y1105" i="123"/>
  <c r="AA1105" i="123" s="1"/>
  <c r="AB1105" i="123"/>
  <c r="AC1105" i="123" s="1"/>
  <c r="AJ1105" i="123"/>
  <c r="AK1105" i="123"/>
  <c r="AL1105" i="123"/>
  <c r="AO1105" i="123"/>
  <c r="AP1105" i="123"/>
  <c r="AQ1105" i="123" s="1"/>
  <c r="AT1105" i="123"/>
  <c r="AU1105" i="123"/>
  <c r="K1106" i="123"/>
  <c r="L1106" i="123"/>
  <c r="M1106" i="123"/>
  <c r="N1106" i="123"/>
  <c r="O1106" i="123"/>
  <c r="P1106" i="123"/>
  <c r="Q1106" i="123"/>
  <c r="R1106" i="123"/>
  <c r="T1106" i="123" s="1"/>
  <c r="V1106" i="123" s="1"/>
  <c r="S1106" i="123"/>
  <c r="X1106" i="123"/>
  <c r="Y1106" i="123"/>
  <c r="Z1106" i="123" s="1"/>
  <c r="AB1106" i="123"/>
  <c r="AJ1106" i="123"/>
  <c r="AK1106" i="123"/>
  <c r="AL1106" i="123"/>
  <c r="AO1106" i="123"/>
  <c r="AP1106" i="123"/>
  <c r="AQ1106" i="123" s="1"/>
  <c r="AT1106" i="123"/>
  <c r="AU1106" i="123"/>
  <c r="K1107" i="123"/>
  <c r="L1107" i="123"/>
  <c r="M1107" i="123"/>
  <c r="N1107" i="123"/>
  <c r="O1107" i="123"/>
  <c r="P1107" i="123"/>
  <c r="Q1107" i="123"/>
  <c r="R1107" i="123"/>
  <c r="T1107" i="123" s="1"/>
  <c r="S1107" i="123"/>
  <c r="X1107" i="123"/>
  <c r="Y1107" i="123"/>
  <c r="Z1107" i="123" s="1"/>
  <c r="AB1107" i="123"/>
  <c r="AC1107" i="123" s="1"/>
  <c r="AJ1107" i="123"/>
  <c r="AK1107" i="123"/>
  <c r="AL1107" i="123"/>
  <c r="AO1107" i="123"/>
  <c r="AP1107" i="123"/>
  <c r="AQ1107" i="123" s="1"/>
  <c r="AT1107" i="123"/>
  <c r="AU1107" i="123"/>
  <c r="K1108" i="123"/>
  <c r="L1108" i="123"/>
  <c r="M1108" i="123"/>
  <c r="N1108" i="123"/>
  <c r="O1108" i="123"/>
  <c r="P1108" i="123"/>
  <c r="Q1108" i="123"/>
  <c r="R1108" i="123"/>
  <c r="T1108" i="123" s="1"/>
  <c r="S1108" i="123"/>
  <c r="X1108" i="123"/>
  <c r="Y1108" i="123"/>
  <c r="Z1108" i="123" s="1"/>
  <c r="AB1108" i="123"/>
  <c r="AD1108" i="123" s="1"/>
  <c r="AJ1108" i="123"/>
  <c r="AK1108" i="123"/>
  <c r="AL1108" i="123"/>
  <c r="AO1108" i="123"/>
  <c r="AP1108" i="123"/>
  <c r="AQ1108" i="123" s="1"/>
  <c r="AT1108" i="123"/>
  <c r="AU1108" i="123"/>
  <c r="K1109" i="123"/>
  <c r="L1109" i="123"/>
  <c r="M1109" i="123"/>
  <c r="N1109" i="123"/>
  <c r="O1109" i="123"/>
  <c r="P1109" i="123"/>
  <c r="Q1109" i="123"/>
  <c r="R1109" i="123"/>
  <c r="T1109" i="123" s="1"/>
  <c r="S1109" i="123"/>
  <c r="X1109" i="123"/>
  <c r="Y1109" i="123"/>
  <c r="Z1109" i="123" s="1"/>
  <c r="AB1109" i="123"/>
  <c r="AC1109" i="123" s="1"/>
  <c r="AJ1109" i="123"/>
  <c r="AK1109" i="123"/>
  <c r="AL1109" i="123"/>
  <c r="AO1109" i="123"/>
  <c r="AP1109" i="123"/>
  <c r="AQ1109" i="123" s="1"/>
  <c r="AT1109" i="123"/>
  <c r="AU1109" i="123"/>
  <c r="K1110" i="123"/>
  <c r="L1110" i="123"/>
  <c r="M1110" i="123"/>
  <c r="N1110" i="123"/>
  <c r="O1110" i="123"/>
  <c r="P1110" i="123"/>
  <c r="Q1110" i="123"/>
  <c r="R1110" i="123"/>
  <c r="T1110" i="123" s="1"/>
  <c r="S1110" i="123"/>
  <c r="X1110" i="123"/>
  <c r="Y1110" i="123"/>
  <c r="Z1110" i="123" s="1"/>
  <c r="AB1110" i="123"/>
  <c r="AJ1110" i="123"/>
  <c r="AK1110" i="123"/>
  <c r="AL1110" i="123"/>
  <c r="AO1110" i="123"/>
  <c r="AP1110" i="123"/>
  <c r="AQ1110" i="123" s="1"/>
  <c r="AT1110" i="123"/>
  <c r="AU1110" i="123"/>
  <c r="K1111" i="123"/>
  <c r="L1111" i="123"/>
  <c r="M1111" i="123"/>
  <c r="N1111" i="123"/>
  <c r="O1111" i="123"/>
  <c r="P1111" i="123"/>
  <c r="Q1111" i="123"/>
  <c r="R1111" i="123"/>
  <c r="T1111" i="123" s="1"/>
  <c r="S1111" i="123"/>
  <c r="X1111" i="123"/>
  <c r="Y1111" i="123"/>
  <c r="Z1111" i="123" s="1"/>
  <c r="AB1111" i="123"/>
  <c r="AC1111" i="123" s="1"/>
  <c r="AJ1111" i="123"/>
  <c r="AK1111" i="123"/>
  <c r="AL1111" i="123"/>
  <c r="AO1111" i="123"/>
  <c r="AP1111" i="123"/>
  <c r="AQ1111" i="123" s="1"/>
  <c r="AT1111" i="123"/>
  <c r="AU1111" i="123"/>
  <c r="K1112" i="123"/>
  <c r="L1112" i="123"/>
  <c r="M1112" i="123"/>
  <c r="N1112" i="123"/>
  <c r="O1112" i="123"/>
  <c r="P1112" i="123"/>
  <c r="Q1112" i="123"/>
  <c r="R1112" i="123"/>
  <c r="T1112" i="123" s="1"/>
  <c r="V1112" i="123" s="1"/>
  <c r="S1112" i="123"/>
  <c r="X1112" i="123"/>
  <c r="Y1112" i="123"/>
  <c r="Z1112" i="123" s="1"/>
  <c r="AB1112" i="123"/>
  <c r="AD1112" i="123" s="1"/>
  <c r="AJ1112" i="123"/>
  <c r="AK1112" i="123"/>
  <c r="AL1112" i="123"/>
  <c r="AO1112" i="123"/>
  <c r="AP1112" i="123"/>
  <c r="AT1112" i="123"/>
  <c r="AU1112" i="123"/>
  <c r="K1113" i="123"/>
  <c r="L1113" i="123"/>
  <c r="M1113" i="123"/>
  <c r="N1113" i="123"/>
  <c r="O1113" i="123"/>
  <c r="P1113" i="123"/>
  <c r="Q1113" i="123"/>
  <c r="R1113" i="123"/>
  <c r="T1113" i="123" s="1"/>
  <c r="S1113" i="123"/>
  <c r="X1113" i="123"/>
  <c r="Y1113" i="123"/>
  <c r="AA1113" i="123" s="1"/>
  <c r="AB1113" i="123"/>
  <c r="AC1113" i="123" s="1"/>
  <c r="AJ1113" i="123"/>
  <c r="AK1113" i="123"/>
  <c r="AL1113" i="123"/>
  <c r="AO1113" i="123"/>
  <c r="AP1113" i="123"/>
  <c r="AQ1113" i="123" s="1"/>
  <c r="AT1113" i="123"/>
  <c r="AU1113" i="123"/>
  <c r="K1114" i="123"/>
  <c r="L1114" i="123"/>
  <c r="M1114" i="123"/>
  <c r="N1114" i="123"/>
  <c r="O1114" i="123"/>
  <c r="P1114" i="123"/>
  <c r="Q1114" i="123"/>
  <c r="R1114" i="123"/>
  <c r="T1114" i="123" s="1"/>
  <c r="V1114" i="123" s="1"/>
  <c r="S1114" i="123"/>
  <c r="X1114" i="123"/>
  <c r="Y1114" i="123"/>
  <c r="Z1114" i="123" s="1"/>
  <c r="AB1114" i="123"/>
  <c r="AD1114" i="123" s="1"/>
  <c r="AJ1114" i="123"/>
  <c r="AK1114" i="123"/>
  <c r="AL1114" i="123"/>
  <c r="AO1114" i="123"/>
  <c r="AP1114" i="123"/>
  <c r="AQ1114" i="123" s="1"/>
  <c r="AT1114" i="123"/>
  <c r="AU1114" i="123"/>
  <c r="K1115" i="123"/>
  <c r="L1115" i="123"/>
  <c r="M1115" i="123"/>
  <c r="N1115" i="123"/>
  <c r="O1115" i="123"/>
  <c r="P1115" i="123"/>
  <c r="Q1115" i="123"/>
  <c r="R1115" i="123"/>
  <c r="T1115" i="123" s="1"/>
  <c r="S1115" i="123"/>
  <c r="X1115" i="123"/>
  <c r="Y1115" i="123"/>
  <c r="Z1115" i="123" s="1"/>
  <c r="AB1115" i="123"/>
  <c r="AC1115" i="123" s="1"/>
  <c r="AJ1115" i="123"/>
  <c r="AK1115" i="123"/>
  <c r="AL1115" i="123"/>
  <c r="AO1115" i="123"/>
  <c r="AP1115" i="123"/>
  <c r="AQ1115" i="123" s="1"/>
  <c r="AT1115" i="123"/>
  <c r="AU1115" i="123"/>
  <c r="K1116" i="123"/>
  <c r="L1116" i="123"/>
  <c r="M1116" i="123"/>
  <c r="N1116" i="123"/>
  <c r="O1116" i="123"/>
  <c r="P1116" i="123"/>
  <c r="Q1116" i="123"/>
  <c r="R1116" i="123"/>
  <c r="T1116" i="123" s="1"/>
  <c r="S1116" i="123"/>
  <c r="X1116" i="123"/>
  <c r="Y1116" i="123"/>
  <c r="Z1116" i="123" s="1"/>
  <c r="AB1116" i="123"/>
  <c r="AD1116" i="123" s="1"/>
  <c r="AJ1116" i="123"/>
  <c r="AK1116" i="123"/>
  <c r="AL1116" i="123"/>
  <c r="AO1116" i="123"/>
  <c r="AP1116" i="123"/>
  <c r="AQ1116" i="123" s="1"/>
  <c r="AT1116" i="123"/>
  <c r="AU1116" i="123"/>
  <c r="K1117" i="123"/>
  <c r="L1117" i="123"/>
  <c r="M1117" i="123"/>
  <c r="N1117" i="123"/>
  <c r="O1117" i="123"/>
  <c r="P1117" i="123"/>
  <c r="Q1117" i="123"/>
  <c r="R1117" i="123"/>
  <c r="T1117" i="123" s="1"/>
  <c r="S1117" i="123"/>
  <c r="X1117" i="123"/>
  <c r="Y1117" i="123"/>
  <c r="Z1117" i="123" s="1"/>
  <c r="AB1117" i="123"/>
  <c r="AC1117" i="123" s="1"/>
  <c r="AJ1117" i="123"/>
  <c r="AK1117" i="123"/>
  <c r="AL1117" i="123"/>
  <c r="AO1117" i="123"/>
  <c r="AP1117" i="123"/>
  <c r="AQ1117" i="123" s="1"/>
  <c r="AT1117" i="123"/>
  <c r="AU1117" i="123"/>
  <c r="K1118" i="123"/>
  <c r="L1118" i="123"/>
  <c r="M1118" i="123"/>
  <c r="N1118" i="123"/>
  <c r="O1118" i="123"/>
  <c r="P1118" i="123"/>
  <c r="Q1118" i="123"/>
  <c r="R1118" i="123"/>
  <c r="T1118" i="123" s="1"/>
  <c r="S1118" i="123"/>
  <c r="X1118" i="123"/>
  <c r="Y1118" i="123"/>
  <c r="Z1118" i="123" s="1"/>
  <c r="AB1118" i="123"/>
  <c r="AD1118" i="123" s="1"/>
  <c r="AJ1118" i="123"/>
  <c r="AK1118" i="123"/>
  <c r="AL1118" i="123"/>
  <c r="AO1118" i="123"/>
  <c r="AP1118" i="123"/>
  <c r="AQ1118" i="123" s="1"/>
  <c r="AT1118" i="123"/>
  <c r="AU1118" i="123"/>
  <c r="K1119" i="123"/>
  <c r="L1119" i="123"/>
  <c r="M1119" i="123"/>
  <c r="N1119" i="123"/>
  <c r="O1119" i="123"/>
  <c r="P1119" i="123"/>
  <c r="Q1119" i="123"/>
  <c r="R1119" i="123"/>
  <c r="T1119" i="123" s="1"/>
  <c r="S1119" i="123"/>
  <c r="X1119" i="123"/>
  <c r="Y1119" i="123"/>
  <c r="Z1119" i="123" s="1"/>
  <c r="AB1119" i="123"/>
  <c r="AC1119" i="123" s="1"/>
  <c r="AJ1119" i="123"/>
  <c r="AK1119" i="123"/>
  <c r="AL1119" i="123"/>
  <c r="AO1119" i="123"/>
  <c r="AP1119" i="123"/>
  <c r="AQ1119" i="123" s="1"/>
  <c r="AT1119" i="123"/>
  <c r="AU1119" i="123"/>
  <c r="K1120" i="123"/>
  <c r="L1120" i="123"/>
  <c r="M1120" i="123"/>
  <c r="N1120" i="123"/>
  <c r="O1120" i="123"/>
  <c r="P1120" i="123"/>
  <c r="Q1120" i="123"/>
  <c r="R1120" i="123"/>
  <c r="T1120" i="123" s="1"/>
  <c r="V1120" i="123" s="1"/>
  <c r="S1120" i="123"/>
  <c r="X1120" i="123"/>
  <c r="Y1120" i="123"/>
  <c r="Z1120" i="123" s="1"/>
  <c r="AB1120" i="123"/>
  <c r="AD1120" i="123" s="1"/>
  <c r="AJ1120" i="123"/>
  <c r="AK1120" i="123"/>
  <c r="AL1120" i="123"/>
  <c r="AO1120" i="123"/>
  <c r="AP1120" i="123"/>
  <c r="AT1120" i="123"/>
  <c r="AU1120" i="123"/>
  <c r="K1121" i="123"/>
  <c r="L1121" i="123"/>
  <c r="M1121" i="123"/>
  <c r="N1121" i="123"/>
  <c r="O1121" i="123"/>
  <c r="P1121" i="123"/>
  <c r="Q1121" i="123"/>
  <c r="R1121" i="123"/>
  <c r="T1121" i="123" s="1"/>
  <c r="S1121" i="123"/>
  <c r="X1121" i="123"/>
  <c r="Y1121" i="123"/>
  <c r="AA1121" i="123" s="1"/>
  <c r="AB1121" i="123"/>
  <c r="AC1121" i="123" s="1"/>
  <c r="AJ1121" i="123"/>
  <c r="AK1121" i="123"/>
  <c r="AL1121" i="123"/>
  <c r="AO1121" i="123"/>
  <c r="AP1121" i="123"/>
  <c r="AQ1121" i="123" s="1"/>
  <c r="AT1121" i="123"/>
  <c r="AU1121" i="123"/>
  <c r="K1122" i="123"/>
  <c r="L1122" i="123"/>
  <c r="M1122" i="123"/>
  <c r="N1122" i="123"/>
  <c r="O1122" i="123"/>
  <c r="P1122" i="123"/>
  <c r="Q1122" i="123"/>
  <c r="R1122" i="123"/>
  <c r="T1122" i="123" s="1"/>
  <c r="V1122" i="123" s="1"/>
  <c r="S1122" i="123"/>
  <c r="X1122" i="123"/>
  <c r="Y1122" i="123"/>
  <c r="Z1122" i="123" s="1"/>
  <c r="AB1122" i="123"/>
  <c r="AD1122" i="123" s="1"/>
  <c r="AJ1122" i="123"/>
  <c r="AK1122" i="123"/>
  <c r="AL1122" i="123"/>
  <c r="AO1122" i="123"/>
  <c r="AP1122" i="123"/>
  <c r="AQ1122" i="123" s="1"/>
  <c r="AT1122" i="123"/>
  <c r="AU1122" i="123"/>
  <c r="K1123" i="123"/>
  <c r="L1123" i="123"/>
  <c r="M1123" i="123"/>
  <c r="N1123" i="123"/>
  <c r="O1123" i="123"/>
  <c r="P1123" i="123"/>
  <c r="Q1123" i="123"/>
  <c r="R1123" i="123"/>
  <c r="T1123" i="123" s="1"/>
  <c r="S1123" i="123"/>
  <c r="X1123" i="123"/>
  <c r="Y1123" i="123"/>
  <c r="Z1123" i="123" s="1"/>
  <c r="AB1123" i="123"/>
  <c r="AC1123" i="123" s="1"/>
  <c r="AJ1123" i="123"/>
  <c r="AK1123" i="123"/>
  <c r="AL1123" i="123"/>
  <c r="AO1123" i="123"/>
  <c r="AP1123" i="123"/>
  <c r="AQ1123" i="123" s="1"/>
  <c r="AT1123" i="123"/>
  <c r="AU1123" i="123"/>
  <c r="K1124" i="123"/>
  <c r="L1124" i="123"/>
  <c r="M1124" i="123"/>
  <c r="N1124" i="123"/>
  <c r="O1124" i="123"/>
  <c r="P1124" i="123"/>
  <c r="Q1124" i="123"/>
  <c r="R1124" i="123"/>
  <c r="T1124" i="123" s="1"/>
  <c r="S1124" i="123"/>
  <c r="X1124" i="123"/>
  <c r="Y1124" i="123"/>
  <c r="Z1124" i="123" s="1"/>
  <c r="AB1124" i="123"/>
  <c r="AD1124" i="123" s="1"/>
  <c r="AJ1124" i="123"/>
  <c r="AK1124" i="123"/>
  <c r="AL1124" i="123"/>
  <c r="AO1124" i="123"/>
  <c r="AP1124" i="123"/>
  <c r="AQ1124" i="123" s="1"/>
  <c r="AT1124" i="123"/>
  <c r="AU1124" i="123"/>
  <c r="K1125" i="123"/>
  <c r="L1125" i="123"/>
  <c r="M1125" i="123"/>
  <c r="N1125" i="123"/>
  <c r="O1125" i="123"/>
  <c r="P1125" i="123"/>
  <c r="Q1125" i="123"/>
  <c r="R1125" i="123"/>
  <c r="T1125" i="123" s="1"/>
  <c r="S1125" i="123"/>
  <c r="X1125" i="123"/>
  <c r="Y1125" i="123"/>
  <c r="AA1125" i="123" s="1"/>
  <c r="AB1125" i="123"/>
  <c r="AC1125" i="123" s="1"/>
  <c r="AJ1125" i="123"/>
  <c r="AK1125" i="123"/>
  <c r="AL1125" i="123"/>
  <c r="AO1125" i="123"/>
  <c r="AP1125" i="123"/>
  <c r="AQ1125" i="123" s="1"/>
  <c r="AT1125" i="123"/>
  <c r="AU1125" i="123"/>
  <c r="K1126" i="123"/>
  <c r="L1126" i="123"/>
  <c r="M1126" i="123"/>
  <c r="N1126" i="123"/>
  <c r="O1126" i="123"/>
  <c r="P1126" i="123"/>
  <c r="Q1126" i="123"/>
  <c r="R1126" i="123"/>
  <c r="T1126" i="123" s="1"/>
  <c r="S1126" i="123"/>
  <c r="X1126" i="123"/>
  <c r="Y1126" i="123"/>
  <c r="Z1126" i="123" s="1"/>
  <c r="AB1126" i="123"/>
  <c r="AD1126" i="123" s="1"/>
  <c r="AJ1126" i="123"/>
  <c r="AK1126" i="123"/>
  <c r="AL1126" i="123"/>
  <c r="AO1126" i="123"/>
  <c r="AP1126" i="123"/>
  <c r="AQ1126" i="123" s="1"/>
  <c r="AT1126" i="123"/>
  <c r="AU1126" i="123"/>
  <c r="K1127" i="123"/>
  <c r="L1127" i="123"/>
  <c r="M1127" i="123"/>
  <c r="N1127" i="123"/>
  <c r="O1127" i="123"/>
  <c r="P1127" i="123"/>
  <c r="Q1127" i="123"/>
  <c r="R1127" i="123"/>
  <c r="T1127" i="123" s="1"/>
  <c r="S1127" i="123"/>
  <c r="X1127" i="123"/>
  <c r="Y1127" i="123"/>
  <c r="Z1127" i="123" s="1"/>
  <c r="AB1127" i="123"/>
  <c r="AC1127" i="123" s="1"/>
  <c r="AJ1127" i="123"/>
  <c r="AK1127" i="123"/>
  <c r="AL1127" i="123"/>
  <c r="AO1127" i="123"/>
  <c r="AP1127" i="123"/>
  <c r="AQ1127" i="123" s="1"/>
  <c r="AT1127" i="123"/>
  <c r="AU1127" i="123"/>
  <c r="K1128" i="123"/>
  <c r="L1128" i="123"/>
  <c r="M1128" i="123"/>
  <c r="N1128" i="123"/>
  <c r="O1128" i="123"/>
  <c r="P1128" i="123"/>
  <c r="Q1128" i="123"/>
  <c r="R1128" i="123"/>
  <c r="T1128" i="123" s="1"/>
  <c r="V1128" i="123" s="1"/>
  <c r="S1128" i="123"/>
  <c r="X1128" i="123"/>
  <c r="Y1128" i="123"/>
  <c r="Z1128" i="123" s="1"/>
  <c r="AB1128" i="123"/>
  <c r="AD1128" i="123" s="1"/>
  <c r="AJ1128" i="123"/>
  <c r="AK1128" i="123"/>
  <c r="AL1128" i="123"/>
  <c r="AO1128" i="123"/>
  <c r="AP1128" i="123"/>
  <c r="AT1128" i="123"/>
  <c r="AU1128" i="123"/>
  <c r="K1129" i="123"/>
  <c r="L1129" i="123"/>
  <c r="M1129" i="123"/>
  <c r="N1129" i="123"/>
  <c r="O1129" i="123"/>
  <c r="P1129" i="123"/>
  <c r="Q1129" i="123"/>
  <c r="R1129" i="123"/>
  <c r="T1129" i="123" s="1"/>
  <c r="S1129" i="123"/>
  <c r="X1129" i="123"/>
  <c r="Y1129" i="123"/>
  <c r="AA1129" i="123" s="1"/>
  <c r="AB1129" i="123"/>
  <c r="AC1129" i="123" s="1"/>
  <c r="AJ1129" i="123"/>
  <c r="AK1129" i="123"/>
  <c r="AL1129" i="123"/>
  <c r="AO1129" i="123"/>
  <c r="AP1129" i="123"/>
  <c r="AQ1129" i="123" s="1"/>
  <c r="AT1129" i="123"/>
  <c r="AU1129" i="123"/>
  <c r="K1130" i="123"/>
  <c r="L1130" i="123"/>
  <c r="M1130" i="123"/>
  <c r="N1130" i="123"/>
  <c r="O1130" i="123"/>
  <c r="P1130" i="123"/>
  <c r="Q1130" i="123"/>
  <c r="R1130" i="123"/>
  <c r="T1130" i="123" s="1"/>
  <c r="V1130" i="123" s="1"/>
  <c r="S1130" i="123"/>
  <c r="X1130" i="123"/>
  <c r="Y1130" i="123"/>
  <c r="Z1130" i="123" s="1"/>
  <c r="AB1130" i="123"/>
  <c r="AD1130" i="123" s="1"/>
  <c r="AJ1130" i="123"/>
  <c r="AK1130" i="123"/>
  <c r="AL1130" i="123"/>
  <c r="AO1130" i="123"/>
  <c r="AP1130" i="123"/>
  <c r="AQ1130" i="123" s="1"/>
  <c r="AT1130" i="123"/>
  <c r="AU1130" i="123"/>
  <c r="K1131" i="123"/>
  <c r="L1131" i="123"/>
  <c r="M1131" i="123"/>
  <c r="N1131" i="123"/>
  <c r="O1131" i="123"/>
  <c r="P1131" i="123"/>
  <c r="Q1131" i="123"/>
  <c r="R1131" i="123"/>
  <c r="T1131" i="123" s="1"/>
  <c r="S1131" i="123"/>
  <c r="X1131" i="123"/>
  <c r="Y1131" i="123"/>
  <c r="Z1131" i="123" s="1"/>
  <c r="AB1131" i="123"/>
  <c r="AC1131" i="123" s="1"/>
  <c r="AJ1131" i="123"/>
  <c r="AK1131" i="123"/>
  <c r="AL1131" i="123"/>
  <c r="AO1131" i="123"/>
  <c r="AP1131" i="123"/>
  <c r="AQ1131" i="123" s="1"/>
  <c r="AT1131" i="123"/>
  <c r="AU1131" i="123"/>
  <c r="K1132" i="123"/>
  <c r="L1132" i="123"/>
  <c r="M1132" i="123"/>
  <c r="N1132" i="123"/>
  <c r="O1132" i="123"/>
  <c r="P1132" i="123"/>
  <c r="Q1132" i="123"/>
  <c r="R1132" i="123"/>
  <c r="T1132" i="123" s="1"/>
  <c r="S1132" i="123"/>
  <c r="X1132" i="123"/>
  <c r="Y1132" i="123"/>
  <c r="Z1132" i="123" s="1"/>
  <c r="AB1132" i="123"/>
  <c r="AD1132" i="123" s="1"/>
  <c r="AJ1132" i="123"/>
  <c r="AK1132" i="123"/>
  <c r="AL1132" i="123"/>
  <c r="AO1132" i="123"/>
  <c r="AP1132" i="123"/>
  <c r="AQ1132" i="123" s="1"/>
  <c r="AT1132" i="123"/>
  <c r="AU1132" i="123"/>
  <c r="K1133" i="123"/>
  <c r="L1133" i="123"/>
  <c r="M1133" i="123"/>
  <c r="N1133" i="123"/>
  <c r="O1133" i="123"/>
  <c r="P1133" i="123"/>
  <c r="Q1133" i="123"/>
  <c r="R1133" i="123"/>
  <c r="T1133" i="123" s="1"/>
  <c r="S1133" i="123"/>
  <c r="X1133" i="123"/>
  <c r="Y1133" i="123"/>
  <c r="AA1133" i="123" s="1"/>
  <c r="AB1133" i="123"/>
  <c r="AC1133" i="123" s="1"/>
  <c r="AJ1133" i="123"/>
  <c r="AK1133" i="123"/>
  <c r="AL1133" i="123"/>
  <c r="AO1133" i="123"/>
  <c r="AP1133" i="123"/>
  <c r="AQ1133" i="123" s="1"/>
  <c r="AT1133" i="123"/>
  <c r="AU1133" i="123"/>
  <c r="K1134" i="123"/>
  <c r="L1134" i="123"/>
  <c r="M1134" i="123"/>
  <c r="N1134" i="123"/>
  <c r="O1134" i="123"/>
  <c r="P1134" i="123"/>
  <c r="Q1134" i="123"/>
  <c r="R1134" i="123"/>
  <c r="T1134" i="123" s="1"/>
  <c r="S1134" i="123"/>
  <c r="X1134" i="123"/>
  <c r="Y1134" i="123"/>
  <c r="Z1134" i="123" s="1"/>
  <c r="AB1134" i="123"/>
  <c r="AD1134" i="123" s="1"/>
  <c r="AJ1134" i="123"/>
  <c r="AK1134" i="123"/>
  <c r="AL1134" i="123"/>
  <c r="AO1134" i="123"/>
  <c r="AP1134" i="123"/>
  <c r="AQ1134" i="123" s="1"/>
  <c r="AT1134" i="123"/>
  <c r="AU1134" i="123"/>
  <c r="K1135" i="123"/>
  <c r="L1135" i="123"/>
  <c r="M1135" i="123"/>
  <c r="N1135" i="123"/>
  <c r="O1135" i="123"/>
  <c r="P1135" i="123"/>
  <c r="Q1135" i="123"/>
  <c r="R1135" i="123"/>
  <c r="T1135" i="123" s="1"/>
  <c r="S1135" i="123"/>
  <c r="X1135" i="123"/>
  <c r="Y1135" i="123"/>
  <c r="Z1135" i="123" s="1"/>
  <c r="AB1135" i="123"/>
  <c r="AC1135" i="123" s="1"/>
  <c r="AJ1135" i="123"/>
  <c r="AK1135" i="123"/>
  <c r="AL1135" i="123"/>
  <c r="AO1135" i="123"/>
  <c r="AP1135" i="123"/>
  <c r="AQ1135" i="123" s="1"/>
  <c r="AT1135" i="123"/>
  <c r="AU1135" i="123"/>
  <c r="K1136" i="123"/>
  <c r="L1136" i="123"/>
  <c r="M1136" i="123"/>
  <c r="N1136" i="123"/>
  <c r="O1136" i="123"/>
  <c r="P1136" i="123"/>
  <c r="Q1136" i="123"/>
  <c r="R1136" i="123"/>
  <c r="T1136" i="123" s="1"/>
  <c r="V1136" i="123" s="1"/>
  <c r="S1136" i="123"/>
  <c r="X1136" i="123"/>
  <c r="Y1136" i="123"/>
  <c r="Z1136" i="123" s="1"/>
  <c r="AB1136" i="123"/>
  <c r="AD1136" i="123" s="1"/>
  <c r="AJ1136" i="123"/>
  <c r="AK1136" i="123"/>
  <c r="AL1136" i="123"/>
  <c r="AO1136" i="123"/>
  <c r="AP1136" i="123"/>
  <c r="AT1136" i="123"/>
  <c r="AU1136" i="123"/>
  <c r="K1137" i="123"/>
  <c r="L1137" i="123"/>
  <c r="M1137" i="123"/>
  <c r="N1137" i="123"/>
  <c r="O1137" i="123"/>
  <c r="P1137" i="123"/>
  <c r="Q1137" i="123"/>
  <c r="R1137" i="123"/>
  <c r="T1137" i="123" s="1"/>
  <c r="S1137" i="123"/>
  <c r="X1137" i="123"/>
  <c r="Y1137" i="123"/>
  <c r="AA1137" i="123" s="1"/>
  <c r="AB1137" i="123"/>
  <c r="AC1137" i="123" s="1"/>
  <c r="AJ1137" i="123"/>
  <c r="AK1137" i="123"/>
  <c r="AL1137" i="123"/>
  <c r="AO1137" i="123"/>
  <c r="AP1137" i="123"/>
  <c r="AQ1137" i="123" s="1"/>
  <c r="AT1137" i="123"/>
  <c r="AU1137" i="123"/>
  <c r="K1138" i="123"/>
  <c r="L1138" i="123"/>
  <c r="M1138" i="123"/>
  <c r="N1138" i="123"/>
  <c r="O1138" i="123"/>
  <c r="P1138" i="123"/>
  <c r="Q1138" i="123"/>
  <c r="R1138" i="123"/>
  <c r="T1138" i="123" s="1"/>
  <c r="V1138" i="123" s="1"/>
  <c r="S1138" i="123"/>
  <c r="X1138" i="123"/>
  <c r="Y1138" i="123"/>
  <c r="Z1138" i="123" s="1"/>
  <c r="AB1138" i="123"/>
  <c r="AJ1138" i="123"/>
  <c r="AK1138" i="123"/>
  <c r="AL1138" i="123"/>
  <c r="AO1138" i="123"/>
  <c r="AP1138" i="123"/>
  <c r="AQ1138" i="123" s="1"/>
  <c r="AT1138" i="123"/>
  <c r="AU1138" i="123"/>
  <c r="K1139" i="123"/>
  <c r="L1139" i="123"/>
  <c r="M1139" i="123"/>
  <c r="N1139" i="123"/>
  <c r="O1139" i="123"/>
  <c r="P1139" i="123"/>
  <c r="Q1139" i="123"/>
  <c r="R1139" i="123"/>
  <c r="T1139" i="123" s="1"/>
  <c r="S1139" i="123"/>
  <c r="X1139" i="123"/>
  <c r="Y1139" i="123"/>
  <c r="Z1139" i="123" s="1"/>
  <c r="AB1139" i="123"/>
  <c r="AC1139" i="123" s="1"/>
  <c r="AJ1139" i="123"/>
  <c r="AK1139" i="123"/>
  <c r="AL1139" i="123"/>
  <c r="AO1139" i="123"/>
  <c r="AP1139" i="123"/>
  <c r="AQ1139" i="123" s="1"/>
  <c r="AT1139" i="123"/>
  <c r="AU1139" i="123"/>
  <c r="K1140" i="123"/>
  <c r="L1140" i="123"/>
  <c r="M1140" i="123"/>
  <c r="N1140" i="123"/>
  <c r="O1140" i="123"/>
  <c r="P1140" i="123"/>
  <c r="Q1140" i="123"/>
  <c r="R1140" i="123"/>
  <c r="T1140" i="123" s="1"/>
  <c r="S1140" i="123"/>
  <c r="X1140" i="123"/>
  <c r="Y1140" i="123"/>
  <c r="Z1140" i="123" s="1"/>
  <c r="AB1140" i="123"/>
  <c r="AD1140" i="123" s="1"/>
  <c r="AJ1140" i="123"/>
  <c r="AK1140" i="123"/>
  <c r="AL1140" i="123"/>
  <c r="AO1140" i="123"/>
  <c r="AP1140" i="123"/>
  <c r="AQ1140" i="123" s="1"/>
  <c r="AT1140" i="123"/>
  <c r="AU1140" i="123"/>
  <c r="K1141" i="123"/>
  <c r="L1141" i="123"/>
  <c r="M1141" i="123"/>
  <c r="N1141" i="123"/>
  <c r="O1141" i="123"/>
  <c r="P1141" i="123"/>
  <c r="Q1141" i="123"/>
  <c r="R1141" i="123"/>
  <c r="T1141" i="123" s="1"/>
  <c r="S1141" i="123"/>
  <c r="X1141" i="123"/>
  <c r="Y1141" i="123"/>
  <c r="Z1141" i="123" s="1"/>
  <c r="AB1141" i="123"/>
  <c r="AC1141" i="123" s="1"/>
  <c r="AJ1141" i="123"/>
  <c r="AK1141" i="123"/>
  <c r="AL1141" i="123"/>
  <c r="AO1141" i="123"/>
  <c r="AP1141" i="123"/>
  <c r="AQ1141" i="123" s="1"/>
  <c r="AT1141" i="123"/>
  <c r="AU1141" i="123"/>
  <c r="K1142" i="123"/>
  <c r="L1142" i="123"/>
  <c r="M1142" i="123"/>
  <c r="N1142" i="123"/>
  <c r="O1142" i="123"/>
  <c r="P1142" i="123"/>
  <c r="Q1142" i="123"/>
  <c r="R1142" i="123"/>
  <c r="T1142" i="123" s="1"/>
  <c r="S1142" i="123"/>
  <c r="X1142" i="123"/>
  <c r="Y1142" i="123"/>
  <c r="Z1142" i="123" s="1"/>
  <c r="AB1142" i="123"/>
  <c r="AD1142" i="123" s="1"/>
  <c r="AJ1142" i="123"/>
  <c r="AK1142" i="123"/>
  <c r="AL1142" i="123"/>
  <c r="AO1142" i="123"/>
  <c r="AP1142" i="123"/>
  <c r="AQ1142" i="123" s="1"/>
  <c r="AT1142" i="123"/>
  <c r="AU1142" i="123"/>
  <c r="K1143" i="123"/>
  <c r="L1143" i="123"/>
  <c r="M1143" i="123"/>
  <c r="N1143" i="123"/>
  <c r="O1143" i="123"/>
  <c r="P1143" i="123"/>
  <c r="Q1143" i="123"/>
  <c r="R1143" i="123"/>
  <c r="T1143" i="123" s="1"/>
  <c r="S1143" i="123"/>
  <c r="X1143" i="123"/>
  <c r="Y1143" i="123"/>
  <c r="Z1143" i="123" s="1"/>
  <c r="AB1143" i="123"/>
  <c r="AC1143" i="123" s="1"/>
  <c r="AJ1143" i="123"/>
  <c r="AK1143" i="123"/>
  <c r="AL1143" i="123"/>
  <c r="AO1143" i="123"/>
  <c r="AP1143" i="123"/>
  <c r="AQ1143" i="123" s="1"/>
  <c r="AT1143" i="123"/>
  <c r="AU1143" i="123"/>
  <c r="K1144" i="123"/>
  <c r="L1144" i="123"/>
  <c r="M1144" i="123"/>
  <c r="N1144" i="123"/>
  <c r="O1144" i="123"/>
  <c r="P1144" i="123"/>
  <c r="Q1144" i="123"/>
  <c r="R1144" i="123"/>
  <c r="T1144" i="123" s="1"/>
  <c r="V1144" i="123" s="1"/>
  <c r="S1144" i="123"/>
  <c r="X1144" i="123"/>
  <c r="Y1144" i="123"/>
  <c r="Z1144" i="123" s="1"/>
  <c r="AB1144" i="123"/>
  <c r="AD1144" i="123" s="1"/>
  <c r="AJ1144" i="123"/>
  <c r="AK1144" i="123"/>
  <c r="AL1144" i="123"/>
  <c r="AO1144" i="123"/>
  <c r="AP1144" i="123"/>
  <c r="AT1144" i="123"/>
  <c r="AU1144" i="123"/>
  <c r="K1145" i="123"/>
  <c r="L1145" i="123"/>
  <c r="M1145" i="123"/>
  <c r="N1145" i="123"/>
  <c r="O1145" i="123"/>
  <c r="P1145" i="123"/>
  <c r="Q1145" i="123"/>
  <c r="R1145" i="123"/>
  <c r="T1145" i="123" s="1"/>
  <c r="S1145" i="123"/>
  <c r="X1145" i="123"/>
  <c r="Y1145" i="123"/>
  <c r="AA1145" i="123" s="1"/>
  <c r="AB1145" i="123"/>
  <c r="AC1145" i="123" s="1"/>
  <c r="AJ1145" i="123"/>
  <c r="AK1145" i="123"/>
  <c r="AL1145" i="123"/>
  <c r="AO1145" i="123"/>
  <c r="AP1145" i="123"/>
  <c r="AQ1145" i="123" s="1"/>
  <c r="AT1145" i="123"/>
  <c r="AU1145" i="123"/>
  <c r="K1146" i="123"/>
  <c r="L1146" i="123"/>
  <c r="M1146" i="123"/>
  <c r="N1146" i="123"/>
  <c r="O1146" i="123"/>
  <c r="P1146" i="123"/>
  <c r="Q1146" i="123"/>
  <c r="R1146" i="123"/>
  <c r="T1146" i="123" s="1"/>
  <c r="V1146" i="123" s="1"/>
  <c r="S1146" i="123"/>
  <c r="X1146" i="123"/>
  <c r="Y1146" i="123"/>
  <c r="Z1146" i="123" s="1"/>
  <c r="AB1146" i="123"/>
  <c r="AD1146" i="123" s="1"/>
  <c r="AJ1146" i="123"/>
  <c r="AK1146" i="123"/>
  <c r="AL1146" i="123"/>
  <c r="AO1146" i="123"/>
  <c r="AP1146" i="123"/>
  <c r="AQ1146" i="123" s="1"/>
  <c r="AT1146" i="123"/>
  <c r="AU1146" i="123"/>
  <c r="K1147" i="123"/>
  <c r="L1147" i="123"/>
  <c r="M1147" i="123"/>
  <c r="N1147" i="123"/>
  <c r="O1147" i="123"/>
  <c r="P1147" i="123"/>
  <c r="Q1147" i="123"/>
  <c r="R1147" i="123"/>
  <c r="T1147" i="123" s="1"/>
  <c r="S1147" i="123"/>
  <c r="X1147" i="123"/>
  <c r="Y1147" i="123"/>
  <c r="Z1147" i="123" s="1"/>
  <c r="AB1147" i="123"/>
  <c r="AC1147" i="123" s="1"/>
  <c r="AJ1147" i="123"/>
  <c r="AK1147" i="123"/>
  <c r="AL1147" i="123"/>
  <c r="AO1147" i="123"/>
  <c r="AP1147" i="123"/>
  <c r="AQ1147" i="123" s="1"/>
  <c r="AT1147" i="123"/>
  <c r="AU1147" i="123"/>
  <c r="K1148" i="123"/>
  <c r="L1148" i="123"/>
  <c r="M1148" i="123"/>
  <c r="N1148" i="123"/>
  <c r="O1148" i="123"/>
  <c r="P1148" i="123"/>
  <c r="Q1148" i="123"/>
  <c r="R1148" i="123"/>
  <c r="T1148" i="123" s="1"/>
  <c r="S1148" i="123"/>
  <c r="X1148" i="123"/>
  <c r="Y1148" i="123"/>
  <c r="Z1148" i="123" s="1"/>
  <c r="AB1148" i="123"/>
  <c r="AD1148" i="123" s="1"/>
  <c r="AJ1148" i="123"/>
  <c r="AK1148" i="123"/>
  <c r="AL1148" i="123"/>
  <c r="AO1148" i="123"/>
  <c r="AP1148" i="123"/>
  <c r="AQ1148" i="123" s="1"/>
  <c r="AT1148" i="123"/>
  <c r="AU1148" i="123"/>
  <c r="K1149" i="123"/>
  <c r="L1149" i="123"/>
  <c r="M1149" i="123"/>
  <c r="N1149" i="123"/>
  <c r="O1149" i="123"/>
  <c r="P1149" i="123"/>
  <c r="Q1149" i="123"/>
  <c r="R1149" i="123"/>
  <c r="T1149" i="123" s="1"/>
  <c r="S1149" i="123"/>
  <c r="X1149" i="123"/>
  <c r="Y1149" i="123"/>
  <c r="Z1149" i="123" s="1"/>
  <c r="AB1149" i="123"/>
  <c r="AC1149" i="123" s="1"/>
  <c r="AJ1149" i="123"/>
  <c r="AK1149" i="123"/>
  <c r="AL1149" i="123"/>
  <c r="AO1149" i="123"/>
  <c r="AP1149" i="123"/>
  <c r="AQ1149" i="123" s="1"/>
  <c r="AT1149" i="123"/>
  <c r="AU1149" i="123"/>
  <c r="K1150" i="123"/>
  <c r="L1150" i="123"/>
  <c r="M1150" i="123"/>
  <c r="N1150" i="123"/>
  <c r="O1150" i="123"/>
  <c r="P1150" i="123"/>
  <c r="Q1150" i="123"/>
  <c r="R1150" i="123"/>
  <c r="T1150" i="123" s="1"/>
  <c r="S1150" i="123"/>
  <c r="X1150" i="123"/>
  <c r="Y1150" i="123"/>
  <c r="Z1150" i="123" s="1"/>
  <c r="AB1150" i="123"/>
  <c r="AD1150" i="123" s="1"/>
  <c r="AJ1150" i="123"/>
  <c r="AK1150" i="123"/>
  <c r="AL1150" i="123"/>
  <c r="AO1150" i="123"/>
  <c r="AP1150" i="123"/>
  <c r="AQ1150" i="123" s="1"/>
  <c r="AT1150" i="123"/>
  <c r="AU1150" i="123"/>
  <c r="K1151" i="123"/>
  <c r="L1151" i="123"/>
  <c r="M1151" i="123"/>
  <c r="N1151" i="123"/>
  <c r="O1151" i="123"/>
  <c r="P1151" i="123"/>
  <c r="Q1151" i="123"/>
  <c r="R1151" i="123"/>
  <c r="T1151" i="123" s="1"/>
  <c r="S1151" i="123"/>
  <c r="X1151" i="123"/>
  <c r="Y1151" i="123"/>
  <c r="Z1151" i="123" s="1"/>
  <c r="AB1151" i="123"/>
  <c r="AC1151" i="123" s="1"/>
  <c r="AJ1151" i="123"/>
  <c r="AK1151" i="123"/>
  <c r="AL1151" i="123"/>
  <c r="AO1151" i="123"/>
  <c r="AP1151" i="123"/>
  <c r="AQ1151" i="123" s="1"/>
  <c r="AT1151" i="123"/>
  <c r="AU1151" i="123"/>
  <c r="K1152" i="123"/>
  <c r="L1152" i="123"/>
  <c r="M1152" i="123"/>
  <c r="N1152" i="123"/>
  <c r="O1152" i="123"/>
  <c r="P1152" i="123"/>
  <c r="Q1152" i="123"/>
  <c r="R1152" i="123"/>
  <c r="T1152" i="123" s="1"/>
  <c r="V1152" i="123" s="1"/>
  <c r="S1152" i="123"/>
  <c r="X1152" i="123"/>
  <c r="Y1152" i="123"/>
  <c r="Z1152" i="123" s="1"/>
  <c r="AB1152" i="123"/>
  <c r="AD1152" i="123" s="1"/>
  <c r="AJ1152" i="123"/>
  <c r="AK1152" i="123"/>
  <c r="AL1152" i="123"/>
  <c r="AO1152" i="123"/>
  <c r="AP1152" i="123"/>
  <c r="AT1152" i="123"/>
  <c r="AU1152" i="123"/>
  <c r="K1153" i="123"/>
  <c r="L1153" i="123"/>
  <c r="M1153" i="123"/>
  <c r="N1153" i="123"/>
  <c r="O1153" i="123"/>
  <c r="P1153" i="123"/>
  <c r="Q1153" i="123"/>
  <c r="R1153" i="123"/>
  <c r="T1153" i="123" s="1"/>
  <c r="S1153" i="123"/>
  <c r="X1153" i="123"/>
  <c r="Y1153" i="123"/>
  <c r="AA1153" i="123" s="1"/>
  <c r="AB1153" i="123"/>
  <c r="AC1153" i="123" s="1"/>
  <c r="AJ1153" i="123"/>
  <c r="AK1153" i="123"/>
  <c r="AL1153" i="123"/>
  <c r="AO1153" i="123"/>
  <c r="AP1153" i="123"/>
  <c r="AQ1153" i="123" s="1"/>
  <c r="AT1153" i="123"/>
  <c r="AU1153" i="123"/>
  <c r="K1154" i="123"/>
  <c r="L1154" i="123"/>
  <c r="M1154" i="123"/>
  <c r="N1154" i="123"/>
  <c r="O1154" i="123"/>
  <c r="P1154" i="123"/>
  <c r="Q1154" i="123"/>
  <c r="R1154" i="123"/>
  <c r="T1154" i="123" s="1"/>
  <c r="V1154" i="123" s="1"/>
  <c r="S1154" i="123"/>
  <c r="X1154" i="123"/>
  <c r="Y1154" i="123"/>
  <c r="Z1154" i="123" s="1"/>
  <c r="AB1154" i="123"/>
  <c r="AD1154" i="123" s="1"/>
  <c r="AJ1154" i="123"/>
  <c r="AK1154" i="123"/>
  <c r="AL1154" i="123"/>
  <c r="AO1154" i="123"/>
  <c r="AP1154" i="123"/>
  <c r="AQ1154" i="123" s="1"/>
  <c r="AT1154" i="123"/>
  <c r="AU1154" i="123"/>
  <c r="K1155" i="123"/>
  <c r="L1155" i="123"/>
  <c r="M1155" i="123"/>
  <c r="N1155" i="123"/>
  <c r="O1155" i="123"/>
  <c r="P1155" i="123"/>
  <c r="Q1155" i="123"/>
  <c r="R1155" i="123"/>
  <c r="T1155" i="123" s="1"/>
  <c r="S1155" i="123"/>
  <c r="X1155" i="123"/>
  <c r="Y1155" i="123"/>
  <c r="Z1155" i="123" s="1"/>
  <c r="AB1155" i="123"/>
  <c r="AC1155" i="123" s="1"/>
  <c r="AJ1155" i="123"/>
  <c r="AK1155" i="123"/>
  <c r="AL1155" i="123"/>
  <c r="AO1155" i="123"/>
  <c r="AP1155" i="123"/>
  <c r="AQ1155" i="123" s="1"/>
  <c r="AT1155" i="123"/>
  <c r="AU1155" i="123"/>
  <c r="K1156" i="123"/>
  <c r="L1156" i="123"/>
  <c r="M1156" i="123"/>
  <c r="N1156" i="123"/>
  <c r="O1156" i="123"/>
  <c r="P1156" i="123"/>
  <c r="Q1156" i="123"/>
  <c r="R1156" i="123"/>
  <c r="T1156" i="123" s="1"/>
  <c r="S1156" i="123"/>
  <c r="X1156" i="123"/>
  <c r="Y1156" i="123"/>
  <c r="Z1156" i="123" s="1"/>
  <c r="AB1156" i="123"/>
  <c r="AD1156" i="123" s="1"/>
  <c r="AJ1156" i="123"/>
  <c r="AK1156" i="123"/>
  <c r="AL1156" i="123"/>
  <c r="AO1156" i="123"/>
  <c r="AP1156" i="123"/>
  <c r="AQ1156" i="123" s="1"/>
  <c r="AT1156" i="123"/>
  <c r="AU1156" i="123"/>
  <c r="K1157" i="123"/>
  <c r="L1157" i="123"/>
  <c r="M1157" i="123"/>
  <c r="N1157" i="123"/>
  <c r="O1157" i="123"/>
  <c r="P1157" i="123"/>
  <c r="Q1157" i="123"/>
  <c r="R1157" i="123"/>
  <c r="T1157" i="123" s="1"/>
  <c r="S1157" i="123"/>
  <c r="X1157" i="123"/>
  <c r="Y1157" i="123"/>
  <c r="AA1157" i="123" s="1"/>
  <c r="AB1157" i="123"/>
  <c r="AC1157" i="123" s="1"/>
  <c r="AJ1157" i="123"/>
  <c r="AK1157" i="123"/>
  <c r="AL1157" i="123"/>
  <c r="AO1157" i="123"/>
  <c r="AP1157" i="123"/>
  <c r="AQ1157" i="123" s="1"/>
  <c r="AT1157" i="123"/>
  <c r="AU1157" i="123"/>
  <c r="K1158" i="123"/>
  <c r="L1158" i="123"/>
  <c r="M1158" i="123"/>
  <c r="N1158" i="123"/>
  <c r="O1158" i="123"/>
  <c r="P1158" i="123"/>
  <c r="Q1158" i="123"/>
  <c r="R1158" i="123"/>
  <c r="T1158" i="123" s="1"/>
  <c r="S1158" i="123"/>
  <c r="X1158" i="123"/>
  <c r="Y1158" i="123"/>
  <c r="Z1158" i="123" s="1"/>
  <c r="AB1158" i="123"/>
  <c r="AD1158" i="123" s="1"/>
  <c r="AJ1158" i="123"/>
  <c r="AK1158" i="123"/>
  <c r="AL1158" i="123"/>
  <c r="AO1158" i="123"/>
  <c r="AP1158" i="123"/>
  <c r="AQ1158" i="123" s="1"/>
  <c r="AT1158" i="123"/>
  <c r="AU1158" i="123"/>
  <c r="K1159" i="123"/>
  <c r="L1159" i="123"/>
  <c r="M1159" i="123"/>
  <c r="N1159" i="123"/>
  <c r="O1159" i="123"/>
  <c r="P1159" i="123"/>
  <c r="Q1159" i="123"/>
  <c r="R1159" i="123"/>
  <c r="T1159" i="123" s="1"/>
  <c r="S1159" i="123"/>
  <c r="X1159" i="123"/>
  <c r="Y1159" i="123"/>
  <c r="AA1159" i="123" s="1"/>
  <c r="AB1159" i="123"/>
  <c r="AC1159" i="123" s="1"/>
  <c r="AJ1159" i="123"/>
  <c r="AK1159" i="123"/>
  <c r="AL1159" i="123"/>
  <c r="AO1159" i="123"/>
  <c r="AP1159" i="123"/>
  <c r="AQ1159" i="123" s="1"/>
  <c r="AT1159" i="123"/>
  <c r="AU1159" i="123"/>
  <c r="K1160" i="123"/>
  <c r="L1160" i="123"/>
  <c r="M1160" i="123"/>
  <c r="N1160" i="123"/>
  <c r="O1160" i="123"/>
  <c r="P1160" i="123"/>
  <c r="Q1160" i="123"/>
  <c r="R1160" i="123"/>
  <c r="T1160" i="123" s="1"/>
  <c r="S1160" i="123"/>
  <c r="X1160" i="123"/>
  <c r="Y1160" i="123"/>
  <c r="Z1160" i="123" s="1"/>
  <c r="AB1160" i="123"/>
  <c r="AD1160" i="123" s="1"/>
  <c r="AJ1160" i="123"/>
  <c r="AK1160" i="123"/>
  <c r="AL1160" i="123"/>
  <c r="AO1160" i="123"/>
  <c r="AP1160" i="123"/>
  <c r="AQ1160" i="123" s="1"/>
  <c r="AT1160" i="123"/>
  <c r="AU1160" i="123"/>
  <c r="K1161" i="123"/>
  <c r="L1161" i="123"/>
  <c r="M1161" i="123"/>
  <c r="N1161" i="123"/>
  <c r="O1161" i="123"/>
  <c r="P1161" i="123"/>
  <c r="Q1161" i="123"/>
  <c r="R1161" i="123"/>
  <c r="T1161" i="123" s="1"/>
  <c r="S1161" i="123"/>
  <c r="X1161" i="123"/>
  <c r="Y1161" i="123"/>
  <c r="AA1161" i="123" s="1"/>
  <c r="AB1161" i="123"/>
  <c r="AC1161" i="123" s="1"/>
  <c r="AJ1161" i="123"/>
  <c r="AK1161" i="123"/>
  <c r="AL1161" i="123"/>
  <c r="AO1161" i="123"/>
  <c r="AP1161" i="123"/>
  <c r="AQ1161" i="123" s="1"/>
  <c r="AT1161" i="123"/>
  <c r="AU1161" i="123"/>
  <c r="K1162" i="123"/>
  <c r="L1162" i="123"/>
  <c r="M1162" i="123"/>
  <c r="N1162" i="123"/>
  <c r="O1162" i="123"/>
  <c r="P1162" i="123"/>
  <c r="Q1162" i="123"/>
  <c r="R1162" i="123"/>
  <c r="T1162" i="123" s="1"/>
  <c r="S1162" i="123"/>
  <c r="X1162" i="123"/>
  <c r="Y1162" i="123"/>
  <c r="Z1162" i="123" s="1"/>
  <c r="AB1162" i="123"/>
  <c r="AD1162" i="123" s="1"/>
  <c r="AJ1162" i="123"/>
  <c r="AK1162" i="123"/>
  <c r="AL1162" i="123"/>
  <c r="AO1162" i="123"/>
  <c r="AP1162" i="123"/>
  <c r="AQ1162" i="123" s="1"/>
  <c r="AT1162" i="123"/>
  <c r="AU1162" i="123"/>
  <c r="K1163" i="123"/>
  <c r="L1163" i="123"/>
  <c r="M1163" i="123"/>
  <c r="N1163" i="123"/>
  <c r="O1163" i="123"/>
  <c r="P1163" i="123"/>
  <c r="Q1163" i="123"/>
  <c r="R1163" i="123"/>
  <c r="T1163" i="123" s="1"/>
  <c r="S1163" i="123"/>
  <c r="X1163" i="123"/>
  <c r="Y1163" i="123"/>
  <c r="Z1163" i="123" s="1"/>
  <c r="AB1163" i="123"/>
  <c r="AC1163" i="123" s="1"/>
  <c r="AJ1163" i="123"/>
  <c r="AK1163" i="123"/>
  <c r="AL1163" i="123"/>
  <c r="AO1163" i="123"/>
  <c r="AP1163" i="123"/>
  <c r="AQ1163" i="123" s="1"/>
  <c r="AT1163" i="123"/>
  <c r="AU1163" i="123"/>
  <c r="K1164" i="123"/>
  <c r="L1164" i="123"/>
  <c r="M1164" i="123"/>
  <c r="N1164" i="123"/>
  <c r="O1164" i="123"/>
  <c r="P1164" i="123"/>
  <c r="Q1164" i="123"/>
  <c r="R1164" i="123"/>
  <c r="T1164" i="123" s="1"/>
  <c r="S1164" i="123"/>
  <c r="X1164" i="123"/>
  <c r="Y1164" i="123"/>
  <c r="Z1164" i="123" s="1"/>
  <c r="AB1164" i="123"/>
  <c r="AJ1164" i="123"/>
  <c r="AK1164" i="123"/>
  <c r="AL1164" i="123"/>
  <c r="AO1164" i="123"/>
  <c r="AP1164" i="123"/>
  <c r="AQ1164" i="123" s="1"/>
  <c r="AT1164" i="123"/>
  <c r="AU1164" i="123"/>
  <c r="K1165" i="123"/>
  <c r="L1165" i="123"/>
  <c r="M1165" i="123"/>
  <c r="N1165" i="123"/>
  <c r="O1165" i="123"/>
  <c r="P1165" i="123"/>
  <c r="Q1165" i="123"/>
  <c r="R1165" i="123"/>
  <c r="T1165" i="123" s="1"/>
  <c r="S1165" i="123"/>
  <c r="X1165" i="123"/>
  <c r="Y1165" i="123"/>
  <c r="AA1165" i="123" s="1"/>
  <c r="AB1165" i="123"/>
  <c r="AC1165" i="123" s="1"/>
  <c r="AJ1165" i="123"/>
  <c r="AK1165" i="123"/>
  <c r="AL1165" i="123"/>
  <c r="AO1165" i="123"/>
  <c r="AP1165" i="123"/>
  <c r="AQ1165" i="123" s="1"/>
  <c r="AT1165" i="123"/>
  <c r="AU1165" i="123"/>
  <c r="K1166" i="123"/>
  <c r="L1166" i="123"/>
  <c r="M1166" i="123"/>
  <c r="N1166" i="123"/>
  <c r="O1166" i="123"/>
  <c r="P1166" i="123"/>
  <c r="Q1166" i="123"/>
  <c r="R1166" i="123"/>
  <c r="T1166" i="123" s="1"/>
  <c r="S1166" i="123"/>
  <c r="X1166" i="123"/>
  <c r="Y1166" i="123"/>
  <c r="Z1166" i="123" s="1"/>
  <c r="AB1166" i="123"/>
  <c r="AD1166" i="123" s="1"/>
  <c r="AJ1166" i="123"/>
  <c r="AK1166" i="123"/>
  <c r="AL1166" i="123"/>
  <c r="AO1166" i="123"/>
  <c r="AP1166" i="123"/>
  <c r="AT1166" i="123"/>
  <c r="AU1166" i="123"/>
  <c r="K1167" i="123"/>
  <c r="L1167" i="123"/>
  <c r="M1167" i="123"/>
  <c r="N1167" i="123"/>
  <c r="O1167" i="123"/>
  <c r="P1167" i="123"/>
  <c r="Q1167" i="123"/>
  <c r="R1167" i="123"/>
  <c r="T1167" i="123" s="1"/>
  <c r="S1167" i="123"/>
  <c r="X1167" i="123"/>
  <c r="Y1167" i="123"/>
  <c r="AA1167" i="123" s="1"/>
  <c r="AB1167" i="123"/>
  <c r="AC1167" i="123" s="1"/>
  <c r="AJ1167" i="123"/>
  <c r="AK1167" i="123"/>
  <c r="AL1167" i="123"/>
  <c r="AO1167" i="123"/>
  <c r="AP1167" i="123"/>
  <c r="AQ1167" i="123" s="1"/>
  <c r="AT1167" i="123"/>
  <c r="AU1167" i="123"/>
  <c r="K1168" i="123"/>
  <c r="L1168" i="123"/>
  <c r="M1168" i="123"/>
  <c r="N1168" i="123"/>
  <c r="O1168" i="123"/>
  <c r="P1168" i="123"/>
  <c r="Q1168" i="123"/>
  <c r="R1168" i="123"/>
  <c r="T1168" i="123" s="1"/>
  <c r="S1168" i="123"/>
  <c r="X1168" i="123"/>
  <c r="Y1168" i="123"/>
  <c r="Z1168" i="123" s="1"/>
  <c r="AB1168" i="123"/>
  <c r="AC1168" i="123" s="1"/>
  <c r="AJ1168" i="123"/>
  <c r="AK1168" i="123"/>
  <c r="AL1168" i="123"/>
  <c r="AO1168" i="123"/>
  <c r="AP1168" i="123"/>
  <c r="AQ1168" i="123" s="1"/>
  <c r="AT1168" i="123"/>
  <c r="AU1168" i="123"/>
  <c r="K1169" i="123"/>
  <c r="L1169" i="123"/>
  <c r="M1169" i="123"/>
  <c r="N1169" i="123"/>
  <c r="O1169" i="123"/>
  <c r="P1169" i="123"/>
  <c r="Q1169" i="123"/>
  <c r="R1169" i="123"/>
  <c r="T1169" i="123" s="1"/>
  <c r="S1169" i="123"/>
  <c r="X1169" i="123"/>
  <c r="Y1169" i="123"/>
  <c r="AA1169" i="123" s="1"/>
  <c r="AB1169" i="123"/>
  <c r="AC1169" i="123" s="1"/>
  <c r="AJ1169" i="123"/>
  <c r="AK1169" i="123"/>
  <c r="AL1169" i="123"/>
  <c r="AO1169" i="123"/>
  <c r="AP1169" i="123"/>
  <c r="AQ1169" i="123" s="1"/>
  <c r="AT1169" i="123"/>
  <c r="AU1169" i="123"/>
  <c r="K1170" i="123"/>
  <c r="L1170" i="123"/>
  <c r="M1170" i="123"/>
  <c r="N1170" i="123"/>
  <c r="O1170" i="123"/>
  <c r="P1170" i="123"/>
  <c r="Q1170" i="123"/>
  <c r="R1170" i="123"/>
  <c r="T1170" i="123" s="1"/>
  <c r="S1170" i="123"/>
  <c r="X1170" i="123"/>
  <c r="Y1170" i="123"/>
  <c r="Z1170" i="123" s="1"/>
  <c r="AB1170" i="123"/>
  <c r="AD1170" i="123" s="1"/>
  <c r="AJ1170" i="123"/>
  <c r="AK1170" i="123"/>
  <c r="AL1170" i="123"/>
  <c r="AO1170" i="123"/>
  <c r="AP1170" i="123"/>
  <c r="AT1170" i="123"/>
  <c r="AU1170" i="123"/>
  <c r="K1171" i="123"/>
  <c r="L1171" i="123"/>
  <c r="M1171" i="123"/>
  <c r="N1171" i="123"/>
  <c r="O1171" i="123"/>
  <c r="P1171" i="123"/>
  <c r="Q1171" i="123"/>
  <c r="R1171" i="123"/>
  <c r="T1171" i="123" s="1"/>
  <c r="S1171" i="123"/>
  <c r="X1171" i="123"/>
  <c r="Y1171" i="123"/>
  <c r="Z1171" i="123" s="1"/>
  <c r="AB1171" i="123"/>
  <c r="AC1171" i="123" s="1"/>
  <c r="AJ1171" i="123"/>
  <c r="AK1171" i="123"/>
  <c r="AL1171" i="123"/>
  <c r="AO1171" i="123"/>
  <c r="AP1171" i="123"/>
  <c r="AQ1171" i="123" s="1"/>
  <c r="AT1171" i="123"/>
  <c r="AU1171" i="123"/>
  <c r="K1172" i="123"/>
  <c r="L1172" i="123"/>
  <c r="M1172" i="123"/>
  <c r="N1172" i="123"/>
  <c r="O1172" i="123"/>
  <c r="P1172" i="123"/>
  <c r="Q1172" i="123"/>
  <c r="R1172" i="123"/>
  <c r="T1172" i="123" s="1"/>
  <c r="S1172" i="123"/>
  <c r="X1172" i="123"/>
  <c r="Y1172" i="123"/>
  <c r="Z1172" i="123" s="1"/>
  <c r="AB1172" i="123"/>
  <c r="AC1172" i="123" s="1"/>
  <c r="AJ1172" i="123"/>
  <c r="AK1172" i="123"/>
  <c r="AL1172" i="123"/>
  <c r="AO1172" i="123"/>
  <c r="AP1172" i="123"/>
  <c r="AT1172" i="123"/>
  <c r="AU1172" i="123"/>
  <c r="K1173" i="123"/>
  <c r="L1173" i="123"/>
  <c r="M1173" i="123"/>
  <c r="N1173" i="123"/>
  <c r="O1173" i="123"/>
  <c r="P1173" i="123"/>
  <c r="Q1173" i="123"/>
  <c r="R1173" i="123"/>
  <c r="T1173" i="123" s="1"/>
  <c r="S1173" i="123"/>
  <c r="X1173" i="123"/>
  <c r="Y1173" i="123"/>
  <c r="AA1173" i="123" s="1"/>
  <c r="AB1173" i="123"/>
  <c r="AC1173" i="123" s="1"/>
  <c r="AJ1173" i="123"/>
  <c r="AK1173" i="123"/>
  <c r="AL1173" i="123"/>
  <c r="AO1173" i="123"/>
  <c r="AP1173" i="123"/>
  <c r="AQ1173" i="123" s="1"/>
  <c r="AT1173" i="123"/>
  <c r="AU1173" i="123"/>
  <c r="K1174" i="123"/>
  <c r="L1174" i="123"/>
  <c r="M1174" i="123"/>
  <c r="N1174" i="123"/>
  <c r="O1174" i="123"/>
  <c r="P1174" i="123"/>
  <c r="Q1174" i="123"/>
  <c r="R1174" i="123"/>
  <c r="T1174" i="123" s="1"/>
  <c r="S1174" i="123"/>
  <c r="X1174" i="123"/>
  <c r="Y1174" i="123"/>
  <c r="Z1174" i="123" s="1"/>
  <c r="AB1174" i="123"/>
  <c r="AD1174" i="123" s="1"/>
  <c r="AJ1174" i="123"/>
  <c r="AK1174" i="123"/>
  <c r="AL1174" i="123"/>
  <c r="AO1174" i="123"/>
  <c r="AP1174" i="123"/>
  <c r="AT1174" i="123"/>
  <c r="AU1174" i="123"/>
  <c r="K1175" i="123"/>
  <c r="L1175" i="123"/>
  <c r="M1175" i="123"/>
  <c r="N1175" i="123"/>
  <c r="O1175" i="123"/>
  <c r="P1175" i="123"/>
  <c r="Q1175" i="123"/>
  <c r="R1175" i="123"/>
  <c r="T1175" i="123" s="1"/>
  <c r="S1175" i="123"/>
  <c r="X1175" i="123"/>
  <c r="Y1175" i="123"/>
  <c r="AA1175" i="123" s="1"/>
  <c r="AB1175" i="123"/>
  <c r="AC1175" i="123" s="1"/>
  <c r="AJ1175" i="123"/>
  <c r="AK1175" i="123"/>
  <c r="AL1175" i="123"/>
  <c r="AO1175" i="123"/>
  <c r="AP1175" i="123"/>
  <c r="AQ1175" i="123" s="1"/>
  <c r="AT1175" i="123"/>
  <c r="AU1175" i="123"/>
  <c r="K1176" i="123"/>
  <c r="L1176" i="123"/>
  <c r="M1176" i="123"/>
  <c r="N1176" i="123"/>
  <c r="O1176" i="123"/>
  <c r="P1176" i="123"/>
  <c r="Q1176" i="123"/>
  <c r="R1176" i="123"/>
  <c r="T1176" i="123" s="1"/>
  <c r="S1176" i="123"/>
  <c r="X1176" i="123"/>
  <c r="Y1176" i="123"/>
  <c r="Z1176" i="123" s="1"/>
  <c r="AB1176" i="123"/>
  <c r="AC1176" i="123" s="1"/>
  <c r="AJ1176" i="123"/>
  <c r="AK1176" i="123"/>
  <c r="AL1176" i="123"/>
  <c r="AO1176" i="123"/>
  <c r="AP1176" i="123"/>
  <c r="AT1176" i="123"/>
  <c r="AU1176" i="123"/>
  <c r="K1177" i="123"/>
  <c r="L1177" i="123"/>
  <c r="M1177" i="123"/>
  <c r="N1177" i="123"/>
  <c r="O1177" i="123"/>
  <c r="P1177" i="123"/>
  <c r="Q1177" i="123"/>
  <c r="R1177" i="123"/>
  <c r="T1177" i="123" s="1"/>
  <c r="S1177" i="123"/>
  <c r="X1177" i="123"/>
  <c r="Y1177" i="123"/>
  <c r="AA1177" i="123" s="1"/>
  <c r="AB1177" i="123"/>
  <c r="AC1177" i="123" s="1"/>
  <c r="AJ1177" i="123"/>
  <c r="AK1177" i="123"/>
  <c r="AL1177" i="123"/>
  <c r="AO1177" i="123"/>
  <c r="AP1177" i="123"/>
  <c r="AQ1177" i="123" s="1"/>
  <c r="AT1177" i="123"/>
  <c r="AU1177" i="123"/>
  <c r="K1178" i="123"/>
  <c r="L1178" i="123"/>
  <c r="M1178" i="123"/>
  <c r="N1178" i="123"/>
  <c r="O1178" i="123"/>
  <c r="P1178" i="123"/>
  <c r="Q1178" i="123"/>
  <c r="R1178" i="123"/>
  <c r="T1178" i="123" s="1"/>
  <c r="V1178" i="123" s="1"/>
  <c r="S1178" i="123"/>
  <c r="X1178" i="123"/>
  <c r="Y1178" i="123"/>
  <c r="Z1178" i="123" s="1"/>
  <c r="AB1178" i="123"/>
  <c r="AD1178" i="123" s="1"/>
  <c r="AJ1178" i="123"/>
  <c r="AK1178" i="123"/>
  <c r="AL1178" i="123"/>
  <c r="AO1178" i="123"/>
  <c r="AP1178" i="123"/>
  <c r="AT1178" i="123"/>
  <c r="AU1178" i="123"/>
  <c r="K1179" i="123"/>
  <c r="L1179" i="123"/>
  <c r="M1179" i="123"/>
  <c r="N1179" i="123"/>
  <c r="O1179" i="123"/>
  <c r="P1179" i="123"/>
  <c r="Q1179" i="123"/>
  <c r="R1179" i="123"/>
  <c r="T1179" i="123" s="1"/>
  <c r="S1179" i="123"/>
  <c r="X1179" i="123"/>
  <c r="Y1179" i="123"/>
  <c r="Z1179" i="123" s="1"/>
  <c r="AB1179" i="123"/>
  <c r="AC1179" i="123" s="1"/>
  <c r="AJ1179" i="123"/>
  <c r="AK1179" i="123"/>
  <c r="AL1179" i="123"/>
  <c r="AO1179" i="123"/>
  <c r="AP1179" i="123"/>
  <c r="AQ1179" i="123" s="1"/>
  <c r="AT1179" i="123"/>
  <c r="AU1179" i="123"/>
  <c r="K1180" i="123"/>
  <c r="L1180" i="123"/>
  <c r="M1180" i="123"/>
  <c r="N1180" i="123"/>
  <c r="O1180" i="123"/>
  <c r="P1180" i="123"/>
  <c r="Q1180" i="123"/>
  <c r="R1180" i="123"/>
  <c r="T1180" i="123" s="1"/>
  <c r="S1180" i="123"/>
  <c r="X1180" i="123"/>
  <c r="Y1180" i="123"/>
  <c r="Z1180" i="123" s="1"/>
  <c r="AB1180" i="123"/>
  <c r="AD1180" i="123" s="1"/>
  <c r="AJ1180" i="123"/>
  <c r="AK1180" i="123"/>
  <c r="AL1180" i="123"/>
  <c r="AO1180" i="123"/>
  <c r="AP1180" i="123"/>
  <c r="AQ1180" i="123" s="1"/>
  <c r="AT1180" i="123"/>
  <c r="AU1180" i="123"/>
  <c r="K1181" i="123"/>
  <c r="L1181" i="123"/>
  <c r="M1181" i="123"/>
  <c r="N1181" i="123"/>
  <c r="O1181" i="123"/>
  <c r="P1181" i="123"/>
  <c r="Q1181" i="123"/>
  <c r="R1181" i="123"/>
  <c r="T1181" i="123" s="1"/>
  <c r="S1181" i="123"/>
  <c r="X1181" i="123"/>
  <c r="Y1181" i="123"/>
  <c r="AA1181" i="123" s="1"/>
  <c r="AB1181" i="123"/>
  <c r="AC1181" i="123" s="1"/>
  <c r="AJ1181" i="123"/>
  <c r="AK1181" i="123"/>
  <c r="AL1181" i="123"/>
  <c r="AO1181" i="123"/>
  <c r="AP1181" i="123"/>
  <c r="AQ1181" i="123" s="1"/>
  <c r="AT1181" i="123"/>
  <c r="AU1181" i="123"/>
  <c r="K1182" i="123"/>
  <c r="L1182" i="123"/>
  <c r="M1182" i="123"/>
  <c r="N1182" i="123"/>
  <c r="O1182" i="123"/>
  <c r="P1182" i="123"/>
  <c r="Q1182" i="123"/>
  <c r="R1182" i="123"/>
  <c r="T1182" i="123" s="1"/>
  <c r="S1182" i="123"/>
  <c r="X1182" i="123"/>
  <c r="Y1182" i="123"/>
  <c r="Z1182" i="123" s="1"/>
  <c r="AB1182" i="123"/>
  <c r="AD1182" i="123" s="1"/>
  <c r="AJ1182" i="123"/>
  <c r="AK1182" i="123"/>
  <c r="AL1182" i="123"/>
  <c r="AO1182" i="123"/>
  <c r="AP1182" i="123"/>
  <c r="AT1182" i="123"/>
  <c r="AU1182" i="123"/>
  <c r="K1183" i="123"/>
  <c r="L1183" i="123"/>
  <c r="M1183" i="123"/>
  <c r="N1183" i="123"/>
  <c r="O1183" i="123"/>
  <c r="P1183" i="123"/>
  <c r="Q1183" i="123"/>
  <c r="R1183" i="123"/>
  <c r="T1183" i="123" s="1"/>
  <c r="S1183" i="123"/>
  <c r="X1183" i="123"/>
  <c r="Y1183" i="123"/>
  <c r="Z1183" i="123" s="1"/>
  <c r="AB1183" i="123"/>
  <c r="AC1183" i="123" s="1"/>
  <c r="AJ1183" i="123"/>
  <c r="AK1183" i="123"/>
  <c r="AL1183" i="123"/>
  <c r="AO1183" i="123"/>
  <c r="AP1183" i="123"/>
  <c r="AQ1183" i="123" s="1"/>
  <c r="AT1183" i="123"/>
  <c r="AU1183" i="123"/>
  <c r="K1184" i="123"/>
  <c r="L1184" i="123"/>
  <c r="M1184" i="123"/>
  <c r="N1184" i="123"/>
  <c r="O1184" i="123"/>
  <c r="P1184" i="123"/>
  <c r="Q1184" i="123"/>
  <c r="R1184" i="123"/>
  <c r="T1184" i="123" s="1"/>
  <c r="S1184" i="123"/>
  <c r="X1184" i="123"/>
  <c r="Y1184" i="123"/>
  <c r="Z1184" i="123" s="1"/>
  <c r="AB1184" i="123"/>
  <c r="AD1184" i="123" s="1"/>
  <c r="AJ1184" i="123"/>
  <c r="AK1184" i="123"/>
  <c r="AL1184" i="123"/>
  <c r="AO1184" i="123"/>
  <c r="AP1184" i="123"/>
  <c r="AT1184" i="123"/>
  <c r="AU1184" i="123"/>
  <c r="K1185" i="123"/>
  <c r="L1185" i="123"/>
  <c r="M1185" i="123"/>
  <c r="N1185" i="123"/>
  <c r="O1185" i="123"/>
  <c r="P1185" i="123"/>
  <c r="Q1185" i="123"/>
  <c r="R1185" i="123"/>
  <c r="T1185" i="123" s="1"/>
  <c r="S1185" i="123"/>
  <c r="X1185" i="123"/>
  <c r="Y1185" i="123"/>
  <c r="AA1185" i="123" s="1"/>
  <c r="AB1185" i="123"/>
  <c r="AC1185" i="123" s="1"/>
  <c r="AJ1185" i="123"/>
  <c r="AK1185" i="123"/>
  <c r="AL1185" i="123"/>
  <c r="AO1185" i="123"/>
  <c r="AP1185" i="123"/>
  <c r="AQ1185" i="123" s="1"/>
  <c r="AT1185" i="123"/>
  <c r="AU1185" i="123"/>
  <c r="K1186" i="123"/>
  <c r="L1186" i="123"/>
  <c r="M1186" i="123"/>
  <c r="N1186" i="123"/>
  <c r="O1186" i="123"/>
  <c r="P1186" i="123"/>
  <c r="Q1186" i="123"/>
  <c r="R1186" i="123"/>
  <c r="T1186" i="123" s="1"/>
  <c r="S1186" i="123"/>
  <c r="X1186" i="123"/>
  <c r="Y1186" i="123"/>
  <c r="Z1186" i="123" s="1"/>
  <c r="AB1186" i="123"/>
  <c r="AD1186" i="123" s="1"/>
  <c r="AJ1186" i="123"/>
  <c r="AK1186" i="123"/>
  <c r="AL1186" i="123"/>
  <c r="AO1186" i="123"/>
  <c r="AP1186" i="123"/>
  <c r="AT1186" i="123"/>
  <c r="AU1186" i="123"/>
  <c r="K1187" i="123"/>
  <c r="L1187" i="123"/>
  <c r="M1187" i="123"/>
  <c r="N1187" i="123"/>
  <c r="O1187" i="123"/>
  <c r="P1187" i="123"/>
  <c r="Q1187" i="123"/>
  <c r="R1187" i="123"/>
  <c r="T1187" i="123" s="1"/>
  <c r="S1187" i="123"/>
  <c r="X1187" i="123"/>
  <c r="Y1187" i="123"/>
  <c r="AA1187" i="123" s="1"/>
  <c r="AB1187" i="123"/>
  <c r="AC1187" i="123" s="1"/>
  <c r="AJ1187" i="123"/>
  <c r="AK1187" i="123"/>
  <c r="AL1187" i="123"/>
  <c r="AO1187" i="123"/>
  <c r="AP1187" i="123"/>
  <c r="AQ1187" i="123" s="1"/>
  <c r="AT1187" i="123"/>
  <c r="AU1187" i="123"/>
  <c r="K1188" i="123"/>
  <c r="L1188" i="123"/>
  <c r="M1188" i="123"/>
  <c r="N1188" i="123"/>
  <c r="O1188" i="123"/>
  <c r="P1188" i="123"/>
  <c r="Q1188" i="123"/>
  <c r="R1188" i="123"/>
  <c r="T1188" i="123" s="1"/>
  <c r="S1188" i="123"/>
  <c r="X1188" i="123"/>
  <c r="Y1188" i="123"/>
  <c r="Z1188" i="123" s="1"/>
  <c r="AB1188" i="123"/>
  <c r="AC1188" i="123" s="1"/>
  <c r="AJ1188" i="123"/>
  <c r="AK1188" i="123"/>
  <c r="AL1188" i="123"/>
  <c r="AO1188" i="123"/>
  <c r="AP1188" i="123"/>
  <c r="AQ1188" i="123" s="1"/>
  <c r="AT1188" i="123"/>
  <c r="AU1188" i="123"/>
  <c r="K1189" i="123"/>
  <c r="L1189" i="123"/>
  <c r="M1189" i="123"/>
  <c r="N1189" i="123"/>
  <c r="O1189" i="123"/>
  <c r="P1189" i="123"/>
  <c r="Q1189" i="123"/>
  <c r="R1189" i="123"/>
  <c r="T1189" i="123" s="1"/>
  <c r="S1189" i="123"/>
  <c r="X1189" i="123"/>
  <c r="Y1189" i="123"/>
  <c r="AA1189" i="123" s="1"/>
  <c r="AB1189" i="123"/>
  <c r="AC1189" i="123" s="1"/>
  <c r="AJ1189" i="123"/>
  <c r="AK1189" i="123"/>
  <c r="AL1189" i="123"/>
  <c r="AO1189" i="123"/>
  <c r="AP1189" i="123"/>
  <c r="AQ1189" i="123" s="1"/>
  <c r="AT1189" i="123"/>
  <c r="AU1189" i="123"/>
  <c r="K1190" i="123"/>
  <c r="L1190" i="123"/>
  <c r="M1190" i="123"/>
  <c r="N1190" i="123"/>
  <c r="O1190" i="123"/>
  <c r="P1190" i="123"/>
  <c r="Q1190" i="123"/>
  <c r="R1190" i="123"/>
  <c r="T1190" i="123" s="1"/>
  <c r="V1190" i="123" s="1"/>
  <c r="S1190" i="123"/>
  <c r="X1190" i="123"/>
  <c r="Y1190" i="123"/>
  <c r="Z1190" i="123" s="1"/>
  <c r="AB1190" i="123"/>
  <c r="AD1190" i="123" s="1"/>
  <c r="AJ1190" i="123"/>
  <c r="AK1190" i="123"/>
  <c r="AL1190" i="123"/>
  <c r="AO1190" i="123"/>
  <c r="AP1190" i="123"/>
  <c r="AT1190" i="123"/>
  <c r="AU1190" i="123"/>
  <c r="K1191" i="123"/>
  <c r="L1191" i="123"/>
  <c r="M1191" i="123"/>
  <c r="N1191" i="123"/>
  <c r="O1191" i="123"/>
  <c r="P1191" i="123"/>
  <c r="Q1191" i="123"/>
  <c r="R1191" i="123"/>
  <c r="T1191" i="123" s="1"/>
  <c r="S1191" i="123"/>
  <c r="X1191" i="123"/>
  <c r="Y1191" i="123"/>
  <c r="Z1191" i="123" s="1"/>
  <c r="AB1191" i="123"/>
  <c r="AC1191" i="123" s="1"/>
  <c r="AJ1191" i="123"/>
  <c r="AK1191" i="123"/>
  <c r="AL1191" i="123"/>
  <c r="AO1191" i="123"/>
  <c r="AP1191" i="123"/>
  <c r="AQ1191" i="123" s="1"/>
  <c r="AT1191" i="123"/>
  <c r="AU1191" i="123"/>
  <c r="K1192" i="123"/>
  <c r="L1192" i="123"/>
  <c r="M1192" i="123"/>
  <c r="N1192" i="123"/>
  <c r="O1192" i="123"/>
  <c r="P1192" i="123"/>
  <c r="Q1192" i="123"/>
  <c r="R1192" i="123"/>
  <c r="T1192" i="123" s="1"/>
  <c r="S1192" i="123"/>
  <c r="X1192" i="123"/>
  <c r="Y1192" i="123"/>
  <c r="Z1192" i="123" s="1"/>
  <c r="AB1192" i="123"/>
  <c r="AD1192" i="123" s="1"/>
  <c r="AJ1192" i="123"/>
  <c r="AK1192" i="123"/>
  <c r="AL1192" i="123"/>
  <c r="AO1192" i="123"/>
  <c r="AP1192" i="123"/>
  <c r="AQ1192" i="123" s="1"/>
  <c r="AT1192" i="123"/>
  <c r="AU1192" i="123"/>
  <c r="K1193" i="123"/>
  <c r="L1193" i="123"/>
  <c r="M1193" i="123"/>
  <c r="N1193" i="123"/>
  <c r="O1193" i="123"/>
  <c r="P1193" i="123"/>
  <c r="Q1193" i="123"/>
  <c r="R1193" i="123"/>
  <c r="T1193" i="123" s="1"/>
  <c r="S1193" i="123"/>
  <c r="X1193" i="123"/>
  <c r="Y1193" i="123"/>
  <c r="AA1193" i="123" s="1"/>
  <c r="AB1193" i="123"/>
  <c r="AC1193" i="123" s="1"/>
  <c r="AJ1193" i="123"/>
  <c r="AK1193" i="123"/>
  <c r="AL1193" i="123"/>
  <c r="AO1193" i="123"/>
  <c r="AP1193" i="123"/>
  <c r="AQ1193" i="123" s="1"/>
  <c r="AT1193" i="123"/>
  <c r="AU1193" i="123"/>
  <c r="K1194" i="123"/>
  <c r="L1194" i="123"/>
  <c r="M1194" i="123"/>
  <c r="N1194" i="123"/>
  <c r="O1194" i="123"/>
  <c r="P1194" i="123"/>
  <c r="Q1194" i="123"/>
  <c r="R1194" i="123"/>
  <c r="T1194" i="123" s="1"/>
  <c r="S1194" i="123"/>
  <c r="X1194" i="123"/>
  <c r="Y1194" i="123"/>
  <c r="Z1194" i="123" s="1"/>
  <c r="AB1194" i="123"/>
  <c r="AD1194" i="123" s="1"/>
  <c r="AJ1194" i="123"/>
  <c r="AK1194" i="123"/>
  <c r="AL1194" i="123"/>
  <c r="AO1194" i="123"/>
  <c r="AP1194" i="123"/>
  <c r="AQ1194" i="123" s="1"/>
  <c r="AT1194" i="123"/>
  <c r="AU1194" i="123"/>
  <c r="K1195" i="123"/>
  <c r="L1195" i="123"/>
  <c r="M1195" i="123"/>
  <c r="N1195" i="123"/>
  <c r="O1195" i="123"/>
  <c r="P1195" i="123"/>
  <c r="Q1195" i="123"/>
  <c r="R1195" i="123"/>
  <c r="T1195" i="123" s="1"/>
  <c r="S1195" i="123"/>
  <c r="X1195" i="123"/>
  <c r="Y1195" i="123"/>
  <c r="AA1195" i="123" s="1"/>
  <c r="AB1195" i="123"/>
  <c r="AC1195" i="123" s="1"/>
  <c r="AJ1195" i="123"/>
  <c r="AK1195" i="123"/>
  <c r="AL1195" i="123"/>
  <c r="AO1195" i="123"/>
  <c r="AP1195" i="123"/>
  <c r="AQ1195" i="123" s="1"/>
  <c r="AT1195" i="123"/>
  <c r="AU1195" i="123"/>
  <c r="K1196" i="123"/>
  <c r="L1196" i="123"/>
  <c r="M1196" i="123"/>
  <c r="N1196" i="123"/>
  <c r="O1196" i="123"/>
  <c r="P1196" i="123"/>
  <c r="Q1196" i="123"/>
  <c r="R1196" i="123"/>
  <c r="T1196" i="123" s="1"/>
  <c r="S1196" i="123"/>
  <c r="X1196" i="123"/>
  <c r="Y1196" i="123"/>
  <c r="Z1196" i="123" s="1"/>
  <c r="AB1196" i="123"/>
  <c r="AC1196" i="123" s="1"/>
  <c r="AJ1196" i="123"/>
  <c r="AK1196" i="123"/>
  <c r="AL1196" i="123"/>
  <c r="AO1196" i="123"/>
  <c r="AP1196" i="123"/>
  <c r="AT1196" i="123"/>
  <c r="AU1196" i="123"/>
  <c r="K1197" i="123"/>
  <c r="L1197" i="123"/>
  <c r="M1197" i="123"/>
  <c r="N1197" i="123"/>
  <c r="O1197" i="123"/>
  <c r="P1197" i="123"/>
  <c r="Q1197" i="123"/>
  <c r="R1197" i="123"/>
  <c r="T1197" i="123" s="1"/>
  <c r="S1197" i="123"/>
  <c r="X1197" i="123"/>
  <c r="Y1197" i="123"/>
  <c r="AA1197" i="123" s="1"/>
  <c r="AB1197" i="123"/>
  <c r="AC1197" i="123" s="1"/>
  <c r="AJ1197" i="123"/>
  <c r="AK1197" i="123"/>
  <c r="AL1197" i="123"/>
  <c r="AO1197" i="123"/>
  <c r="AP1197" i="123"/>
  <c r="AQ1197" i="123" s="1"/>
  <c r="AT1197" i="123"/>
  <c r="AU1197" i="123"/>
  <c r="K1198" i="123"/>
  <c r="L1198" i="123"/>
  <c r="M1198" i="123"/>
  <c r="N1198" i="123"/>
  <c r="O1198" i="123"/>
  <c r="P1198" i="123"/>
  <c r="Q1198" i="123"/>
  <c r="R1198" i="123"/>
  <c r="T1198" i="123" s="1"/>
  <c r="V1198" i="123" s="1"/>
  <c r="S1198" i="123"/>
  <c r="X1198" i="123"/>
  <c r="Y1198" i="123"/>
  <c r="Z1198" i="123" s="1"/>
  <c r="AB1198" i="123"/>
  <c r="AD1198" i="123" s="1"/>
  <c r="AJ1198" i="123"/>
  <c r="AK1198" i="123"/>
  <c r="AL1198" i="123"/>
  <c r="AO1198" i="123"/>
  <c r="AP1198" i="123"/>
  <c r="AQ1198" i="123" s="1"/>
  <c r="AT1198" i="123"/>
  <c r="AU1198" i="123"/>
  <c r="K1199" i="123"/>
  <c r="L1199" i="123"/>
  <c r="M1199" i="123"/>
  <c r="N1199" i="123"/>
  <c r="O1199" i="123"/>
  <c r="P1199" i="123"/>
  <c r="Q1199" i="123"/>
  <c r="R1199" i="123"/>
  <c r="T1199" i="123" s="1"/>
  <c r="S1199" i="123"/>
  <c r="X1199" i="123"/>
  <c r="Y1199" i="123"/>
  <c r="Z1199" i="123" s="1"/>
  <c r="AB1199" i="123"/>
  <c r="AC1199" i="123" s="1"/>
  <c r="AJ1199" i="123"/>
  <c r="AK1199" i="123"/>
  <c r="AL1199" i="123"/>
  <c r="AO1199" i="123"/>
  <c r="AP1199" i="123"/>
  <c r="AQ1199" i="123" s="1"/>
  <c r="AT1199" i="123"/>
  <c r="AU1199" i="123"/>
  <c r="K1200" i="123"/>
  <c r="L1200" i="123"/>
  <c r="M1200" i="123"/>
  <c r="N1200" i="123"/>
  <c r="O1200" i="123"/>
  <c r="P1200" i="123"/>
  <c r="Q1200" i="123"/>
  <c r="R1200" i="123"/>
  <c r="T1200" i="123" s="1"/>
  <c r="S1200" i="123"/>
  <c r="X1200" i="123"/>
  <c r="Y1200" i="123"/>
  <c r="Z1200" i="123" s="1"/>
  <c r="AB1200" i="123"/>
  <c r="AD1200" i="123" s="1"/>
  <c r="AJ1200" i="123"/>
  <c r="AK1200" i="123"/>
  <c r="AL1200" i="123"/>
  <c r="AO1200" i="123"/>
  <c r="AP1200" i="123"/>
  <c r="AT1200" i="123"/>
  <c r="AU1200" i="123"/>
  <c r="K1201" i="123"/>
  <c r="L1201" i="123"/>
  <c r="M1201" i="123"/>
  <c r="N1201" i="123"/>
  <c r="O1201" i="123"/>
  <c r="P1201" i="123"/>
  <c r="Q1201" i="123"/>
  <c r="R1201" i="123"/>
  <c r="T1201" i="123" s="1"/>
  <c r="S1201" i="123"/>
  <c r="X1201" i="123"/>
  <c r="Y1201" i="123"/>
  <c r="AA1201" i="123" s="1"/>
  <c r="AB1201" i="123"/>
  <c r="AC1201" i="123" s="1"/>
  <c r="AJ1201" i="123"/>
  <c r="AK1201" i="123"/>
  <c r="AL1201" i="123"/>
  <c r="AO1201" i="123"/>
  <c r="AP1201" i="123"/>
  <c r="AQ1201" i="123" s="1"/>
  <c r="AT1201" i="123"/>
  <c r="AU1201" i="123"/>
  <c r="K1202" i="123"/>
  <c r="L1202" i="123"/>
  <c r="M1202" i="123"/>
  <c r="N1202" i="123"/>
  <c r="O1202" i="123"/>
  <c r="P1202" i="123"/>
  <c r="Q1202" i="123"/>
  <c r="R1202" i="123"/>
  <c r="T1202" i="123" s="1"/>
  <c r="S1202" i="123"/>
  <c r="X1202" i="123"/>
  <c r="Y1202" i="123"/>
  <c r="Z1202" i="123" s="1"/>
  <c r="AB1202" i="123"/>
  <c r="AD1202" i="123" s="1"/>
  <c r="AJ1202" i="123"/>
  <c r="AK1202" i="123"/>
  <c r="AL1202" i="123"/>
  <c r="AO1202" i="123"/>
  <c r="AP1202" i="123"/>
  <c r="AQ1202" i="123" s="1"/>
  <c r="AT1202" i="123"/>
  <c r="AU1202" i="123"/>
  <c r="K1203" i="123"/>
  <c r="L1203" i="123"/>
  <c r="M1203" i="123"/>
  <c r="N1203" i="123"/>
  <c r="O1203" i="123"/>
  <c r="P1203" i="123"/>
  <c r="Q1203" i="123"/>
  <c r="R1203" i="123"/>
  <c r="T1203" i="123" s="1"/>
  <c r="S1203" i="123"/>
  <c r="X1203" i="123"/>
  <c r="Y1203" i="123"/>
  <c r="AA1203" i="123" s="1"/>
  <c r="AB1203" i="123"/>
  <c r="AC1203" i="123" s="1"/>
  <c r="AJ1203" i="123"/>
  <c r="AK1203" i="123"/>
  <c r="AL1203" i="123"/>
  <c r="AO1203" i="123"/>
  <c r="AP1203" i="123"/>
  <c r="AQ1203" i="123" s="1"/>
  <c r="AT1203" i="123"/>
  <c r="AU1203" i="123"/>
  <c r="K1204" i="123"/>
  <c r="L1204" i="123"/>
  <c r="M1204" i="123"/>
  <c r="N1204" i="123"/>
  <c r="O1204" i="123"/>
  <c r="P1204" i="123"/>
  <c r="Q1204" i="123"/>
  <c r="R1204" i="123"/>
  <c r="T1204" i="123" s="1"/>
  <c r="S1204" i="123"/>
  <c r="X1204" i="123"/>
  <c r="Y1204" i="123"/>
  <c r="Z1204" i="123" s="1"/>
  <c r="AB1204" i="123"/>
  <c r="AC1204" i="123" s="1"/>
  <c r="AJ1204" i="123"/>
  <c r="AK1204" i="123"/>
  <c r="AL1204" i="123"/>
  <c r="AO1204" i="123"/>
  <c r="AP1204" i="123"/>
  <c r="AQ1204" i="123" s="1"/>
  <c r="AT1204" i="123"/>
  <c r="AU1204" i="123"/>
  <c r="K1205" i="123"/>
  <c r="L1205" i="123"/>
  <c r="M1205" i="123"/>
  <c r="N1205" i="123"/>
  <c r="O1205" i="123"/>
  <c r="P1205" i="123"/>
  <c r="Q1205" i="123"/>
  <c r="R1205" i="123"/>
  <c r="T1205" i="123" s="1"/>
  <c r="S1205" i="123"/>
  <c r="X1205" i="123"/>
  <c r="Y1205" i="123"/>
  <c r="AA1205" i="123" s="1"/>
  <c r="AB1205" i="123"/>
  <c r="AC1205" i="123" s="1"/>
  <c r="AJ1205" i="123"/>
  <c r="AK1205" i="123"/>
  <c r="AL1205" i="123"/>
  <c r="AO1205" i="123"/>
  <c r="AP1205" i="123"/>
  <c r="AQ1205" i="123" s="1"/>
  <c r="AT1205" i="123"/>
  <c r="AU1205" i="123"/>
  <c r="K1206" i="123"/>
  <c r="L1206" i="123"/>
  <c r="M1206" i="123"/>
  <c r="N1206" i="123"/>
  <c r="O1206" i="123"/>
  <c r="P1206" i="123"/>
  <c r="Q1206" i="123"/>
  <c r="R1206" i="123"/>
  <c r="T1206" i="123" s="1"/>
  <c r="S1206" i="123"/>
  <c r="X1206" i="123"/>
  <c r="Y1206" i="123"/>
  <c r="Z1206" i="123" s="1"/>
  <c r="AB1206" i="123"/>
  <c r="AD1206" i="123" s="1"/>
  <c r="AJ1206" i="123"/>
  <c r="AK1206" i="123"/>
  <c r="AL1206" i="123"/>
  <c r="AO1206" i="123"/>
  <c r="AP1206" i="123"/>
  <c r="AQ1206" i="123" s="1"/>
  <c r="AT1206" i="123"/>
  <c r="AU1206" i="123"/>
  <c r="K1207" i="123"/>
  <c r="L1207" i="123"/>
  <c r="M1207" i="123"/>
  <c r="N1207" i="123"/>
  <c r="O1207" i="123"/>
  <c r="P1207" i="123"/>
  <c r="Q1207" i="123"/>
  <c r="R1207" i="123"/>
  <c r="T1207" i="123" s="1"/>
  <c r="S1207" i="123"/>
  <c r="X1207" i="123"/>
  <c r="Y1207" i="123"/>
  <c r="Z1207" i="123" s="1"/>
  <c r="AB1207" i="123"/>
  <c r="AC1207" i="123" s="1"/>
  <c r="AJ1207" i="123"/>
  <c r="AK1207" i="123"/>
  <c r="AL1207" i="123"/>
  <c r="AO1207" i="123"/>
  <c r="AP1207" i="123"/>
  <c r="AQ1207" i="123" s="1"/>
  <c r="AT1207" i="123"/>
  <c r="AU1207" i="123"/>
  <c r="K1208" i="123"/>
  <c r="L1208" i="123"/>
  <c r="M1208" i="123"/>
  <c r="N1208" i="123"/>
  <c r="O1208" i="123"/>
  <c r="P1208" i="123"/>
  <c r="Q1208" i="123"/>
  <c r="R1208" i="123"/>
  <c r="T1208" i="123" s="1"/>
  <c r="S1208" i="123"/>
  <c r="X1208" i="123"/>
  <c r="Y1208" i="123"/>
  <c r="Z1208" i="123" s="1"/>
  <c r="AB1208" i="123"/>
  <c r="AD1208" i="123" s="1"/>
  <c r="AJ1208" i="123"/>
  <c r="AK1208" i="123"/>
  <c r="AL1208" i="123"/>
  <c r="AO1208" i="123"/>
  <c r="AP1208" i="123"/>
  <c r="AQ1208" i="123" s="1"/>
  <c r="AT1208" i="123"/>
  <c r="AU1208" i="123"/>
  <c r="K1209" i="123"/>
  <c r="L1209" i="123"/>
  <c r="M1209" i="123"/>
  <c r="N1209" i="123"/>
  <c r="O1209" i="123"/>
  <c r="P1209" i="123"/>
  <c r="Q1209" i="123"/>
  <c r="R1209" i="123"/>
  <c r="T1209" i="123" s="1"/>
  <c r="S1209" i="123"/>
  <c r="X1209" i="123"/>
  <c r="Y1209" i="123"/>
  <c r="AA1209" i="123" s="1"/>
  <c r="AB1209" i="123"/>
  <c r="AC1209" i="123" s="1"/>
  <c r="AJ1209" i="123"/>
  <c r="AK1209" i="123"/>
  <c r="AL1209" i="123"/>
  <c r="AO1209" i="123"/>
  <c r="AP1209" i="123"/>
  <c r="AQ1209" i="123" s="1"/>
  <c r="AT1209" i="123"/>
  <c r="AU1209" i="123"/>
  <c r="K1210" i="123"/>
  <c r="L1210" i="123"/>
  <c r="M1210" i="123"/>
  <c r="N1210" i="123"/>
  <c r="O1210" i="123"/>
  <c r="P1210" i="123"/>
  <c r="Q1210" i="123"/>
  <c r="R1210" i="123"/>
  <c r="T1210" i="123" s="1"/>
  <c r="S1210" i="123"/>
  <c r="X1210" i="123"/>
  <c r="Y1210" i="123"/>
  <c r="Z1210" i="123" s="1"/>
  <c r="AB1210" i="123"/>
  <c r="AD1210" i="123" s="1"/>
  <c r="AJ1210" i="123"/>
  <c r="AK1210" i="123"/>
  <c r="AL1210" i="123"/>
  <c r="AO1210" i="123"/>
  <c r="AP1210" i="123"/>
  <c r="AQ1210" i="123" s="1"/>
  <c r="AT1210" i="123"/>
  <c r="AU1210" i="123"/>
  <c r="K1211" i="123"/>
  <c r="L1211" i="123"/>
  <c r="M1211" i="123"/>
  <c r="N1211" i="123"/>
  <c r="O1211" i="123"/>
  <c r="P1211" i="123"/>
  <c r="Q1211" i="123"/>
  <c r="R1211" i="123"/>
  <c r="T1211" i="123" s="1"/>
  <c r="S1211" i="123"/>
  <c r="X1211" i="123"/>
  <c r="Y1211" i="123"/>
  <c r="AA1211" i="123" s="1"/>
  <c r="AB1211" i="123"/>
  <c r="AC1211" i="123" s="1"/>
  <c r="AJ1211" i="123"/>
  <c r="AK1211" i="123"/>
  <c r="AL1211" i="123"/>
  <c r="AO1211" i="123"/>
  <c r="AP1211" i="123"/>
  <c r="AQ1211" i="123" s="1"/>
  <c r="AT1211" i="123"/>
  <c r="AU1211" i="123"/>
  <c r="K1212" i="123"/>
  <c r="L1212" i="123"/>
  <c r="M1212" i="123"/>
  <c r="N1212" i="123"/>
  <c r="O1212" i="123"/>
  <c r="P1212" i="123"/>
  <c r="Q1212" i="123"/>
  <c r="R1212" i="123"/>
  <c r="T1212" i="123" s="1"/>
  <c r="S1212" i="123"/>
  <c r="X1212" i="123"/>
  <c r="Y1212" i="123"/>
  <c r="Z1212" i="123" s="1"/>
  <c r="AB1212" i="123"/>
  <c r="AC1212" i="123" s="1"/>
  <c r="AJ1212" i="123"/>
  <c r="AK1212" i="123"/>
  <c r="AL1212" i="123"/>
  <c r="AO1212" i="123"/>
  <c r="AP1212" i="123"/>
  <c r="AQ1212" i="123" s="1"/>
  <c r="AT1212" i="123"/>
  <c r="AU1212" i="123"/>
  <c r="K1213" i="123"/>
  <c r="L1213" i="123"/>
  <c r="M1213" i="123"/>
  <c r="N1213" i="123"/>
  <c r="O1213" i="123"/>
  <c r="P1213" i="123"/>
  <c r="Q1213" i="123"/>
  <c r="R1213" i="123"/>
  <c r="T1213" i="123" s="1"/>
  <c r="S1213" i="123"/>
  <c r="X1213" i="123"/>
  <c r="Y1213" i="123"/>
  <c r="AA1213" i="123" s="1"/>
  <c r="AB1213" i="123"/>
  <c r="AC1213" i="123" s="1"/>
  <c r="AJ1213" i="123"/>
  <c r="AK1213" i="123"/>
  <c r="AL1213" i="123"/>
  <c r="AO1213" i="123"/>
  <c r="AP1213" i="123"/>
  <c r="AQ1213" i="123" s="1"/>
  <c r="AT1213" i="123"/>
  <c r="AU1213" i="123"/>
  <c r="K1214" i="123"/>
  <c r="L1214" i="123"/>
  <c r="M1214" i="123"/>
  <c r="N1214" i="123"/>
  <c r="O1214" i="123"/>
  <c r="P1214" i="123"/>
  <c r="Q1214" i="123"/>
  <c r="R1214" i="123"/>
  <c r="T1214" i="123" s="1"/>
  <c r="V1214" i="123" s="1"/>
  <c r="S1214" i="123"/>
  <c r="X1214" i="123"/>
  <c r="Y1214" i="123"/>
  <c r="Z1214" i="123" s="1"/>
  <c r="AB1214" i="123"/>
  <c r="AD1214" i="123" s="1"/>
  <c r="AJ1214" i="123"/>
  <c r="AK1214" i="123"/>
  <c r="AL1214" i="123"/>
  <c r="AO1214" i="123"/>
  <c r="AP1214" i="123"/>
  <c r="AQ1214" i="123" s="1"/>
  <c r="AT1214" i="123"/>
  <c r="AU1214" i="123"/>
  <c r="K1215" i="123"/>
  <c r="L1215" i="123"/>
  <c r="M1215" i="123"/>
  <c r="N1215" i="123"/>
  <c r="O1215" i="123"/>
  <c r="P1215" i="123"/>
  <c r="Q1215" i="123"/>
  <c r="R1215" i="123"/>
  <c r="T1215" i="123" s="1"/>
  <c r="S1215" i="123"/>
  <c r="X1215" i="123"/>
  <c r="Y1215" i="123"/>
  <c r="Z1215" i="123" s="1"/>
  <c r="AB1215" i="123"/>
  <c r="AC1215" i="123" s="1"/>
  <c r="AJ1215" i="123"/>
  <c r="AK1215" i="123"/>
  <c r="AL1215" i="123"/>
  <c r="AO1215" i="123"/>
  <c r="AP1215" i="123"/>
  <c r="AQ1215" i="123" s="1"/>
  <c r="AT1215" i="123"/>
  <c r="AU1215" i="123"/>
  <c r="K1216" i="123"/>
  <c r="L1216" i="123"/>
  <c r="M1216" i="123"/>
  <c r="N1216" i="123"/>
  <c r="O1216" i="123"/>
  <c r="P1216" i="123"/>
  <c r="Q1216" i="123"/>
  <c r="R1216" i="123"/>
  <c r="T1216" i="123" s="1"/>
  <c r="S1216" i="123"/>
  <c r="X1216" i="123"/>
  <c r="Y1216" i="123"/>
  <c r="Z1216" i="123" s="1"/>
  <c r="AB1216" i="123"/>
  <c r="AD1216" i="123" s="1"/>
  <c r="AJ1216" i="123"/>
  <c r="AK1216" i="123"/>
  <c r="AL1216" i="123"/>
  <c r="AO1216" i="123"/>
  <c r="AP1216" i="123"/>
  <c r="AT1216" i="123"/>
  <c r="AU1216" i="123"/>
  <c r="K1217" i="123"/>
  <c r="L1217" i="123"/>
  <c r="M1217" i="123"/>
  <c r="N1217" i="123"/>
  <c r="O1217" i="123"/>
  <c r="P1217" i="123"/>
  <c r="Q1217" i="123"/>
  <c r="R1217" i="123"/>
  <c r="T1217" i="123" s="1"/>
  <c r="S1217" i="123"/>
  <c r="X1217" i="123"/>
  <c r="Y1217" i="123"/>
  <c r="AA1217" i="123" s="1"/>
  <c r="AB1217" i="123"/>
  <c r="AC1217" i="123" s="1"/>
  <c r="AJ1217" i="123"/>
  <c r="AK1217" i="123"/>
  <c r="AL1217" i="123"/>
  <c r="AO1217" i="123"/>
  <c r="AP1217" i="123"/>
  <c r="AQ1217" i="123" s="1"/>
  <c r="AT1217" i="123"/>
  <c r="AU1217" i="123"/>
  <c r="K1218" i="123"/>
  <c r="L1218" i="123"/>
  <c r="M1218" i="123"/>
  <c r="N1218" i="123"/>
  <c r="O1218" i="123"/>
  <c r="P1218" i="123"/>
  <c r="Q1218" i="123"/>
  <c r="R1218" i="123"/>
  <c r="T1218" i="123" s="1"/>
  <c r="S1218" i="123"/>
  <c r="X1218" i="123"/>
  <c r="Y1218" i="123"/>
  <c r="Z1218" i="123" s="1"/>
  <c r="AB1218" i="123"/>
  <c r="AD1218" i="123" s="1"/>
  <c r="AJ1218" i="123"/>
  <c r="AK1218" i="123"/>
  <c r="AL1218" i="123"/>
  <c r="AO1218" i="123"/>
  <c r="AP1218" i="123"/>
  <c r="AQ1218" i="123" s="1"/>
  <c r="AT1218" i="123"/>
  <c r="AU1218" i="123"/>
  <c r="K1219" i="123"/>
  <c r="L1219" i="123"/>
  <c r="M1219" i="123"/>
  <c r="N1219" i="123"/>
  <c r="O1219" i="123"/>
  <c r="P1219" i="123"/>
  <c r="Q1219" i="123"/>
  <c r="R1219" i="123"/>
  <c r="T1219" i="123" s="1"/>
  <c r="S1219" i="123"/>
  <c r="X1219" i="123"/>
  <c r="Y1219" i="123"/>
  <c r="AA1219" i="123" s="1"/>
  <c r="AB1219" i="123"/>
  <c r="AC1219" i="123" s="1"/>
  <c r="AJ1219" i="123"/>
  <c r="AK1219" i="123"/>
  <c r="AL1219" i="123"/>
  <c r="AO1219" i="123"/>
  <c r="AP1219" i="123"/>
  <c r="AQ1219" i="123" s="1"/>
  <c r="AT1219" i="123"/>
  <c r="AU1219" i="123"/>
  <c r="K1220" i="123"/>
  <c r="L1220" i="123"/>
  <c r="M1220" i="123"/>
  <c r="N1220" i="123"/>
  <c r="O1220" i="123"/>
  <c r="P1220" i="123"/>
  <c r="Q1220" i="123"/>
  <c r="R1220" i="123"/>
  <c r="T1220" i="123" s="1"/>
  <c r="S1220" i="123"/>
  <c r="X1220" i="123"/>
  <c r="Y1220" i="123"/>
  <c r="Z1220" i="123" s="1"/>
  <c r="AB1220" i="123"/>
  <c r="AC1220" i="123" s="1"/>
  <c r="AJ1220" i="123"/>
  <c r="AK1220" i="123"/>
  <c r="AL1220" i="123"/>
  <c r="AO1220" i="123"/>
  <c r="AP1220" i="123"/>
  <c r="AQ1220" i="123" s="1"/>
  <c r="AT1220" i="123"/>
  <c r="AU1220" i="123"/>
  <c r="K1221" i="123"/>
  <c r="L1221" i="123"/>
  <c r="M1221" i="123"/>
  <c r="N1221" i="123"/>
  <c r="O1221" i="123"/>
  <c r="P1221" i="123"/>
  <c r="Q1221" i="123"/>
  <c r="R1221" i="123"/>
  <c r="T1221" i="123" s="1"/>
  <c r="S1221" i="123"/>
  <c r="X1221" i="123"/>
  <c r="Y1221" i="123"/>
  <c r="AA1221" i="123" s="1"/>
  <c r="AB1221" i="123"/>
  <c r="AC1221" i="123" s="1"/>
  <c r="AJ1221" i="123"/>
  <c r="AK1221" i="123"/>
  <c r="AL1221" i="123"/>
  <c r="AO1221" i="123"/>
  <c r="AP1221" i="123"/>
  <c r="AQ1221" i="123" s="1"/>
  <c r="AT1221" i="123"/>
  <c r="AU1221" i="123"/>
  <c r="K1222" i="123"/>
  <c r="L1222" i="123"/>
  <c r="M1222" i="123"/>
  <c r="N1222" i="123"/>
  <c r="O1222" i="123"/>
  <c r="P1222" i="123"/>
  <c r="Q1222" i="123"/>
  <c r="R1222" i="123"/>
  <c r="T1222" i="123" s="1"/>
  <c r="S1222" i="123"/>
  <c r="X1222" i="123"/>
  <c r="Y1222" i="123"/>
  <c r="Z1222" i="123" s="1"/>
  <c r="AB1222" i="123"/>
  <c r="AD1222" i="123" s="1"/>
  <c r="AJ1222" i="123"/>
  <c r="AK1222" i="123"/>
  <c r="AL1222" i="123"/>
  <c r="AO1222" i="123"/>
  <c r="AP1222" i="123"/>
  <c r="AQ1222" i="123" s="1"/>
  <c r="AT1222" i="123"/>
  <c r="AU1222" i="123"/>
  <c r="K1223" i="123"/>
  <c r="L1223" i="123"/>
  <c r="M1223" i="123"/>
  <c r="N1223" i="123"/>
  <c r="O1223" i="123"/>
  <c r="P1223" i="123"/>
  <c r="Q1223" i="123"/>
  <c r="R1223" i="123"/>
  <c r="T1223" i="123" s="1"/>
  <c r="S1223" i="123"/>
  <c r="X1223" i="123"/>
  <c r="Y1223" i="123"/>
  <c r="Z1223" i="123" s="1"/>
  <c r="AB1223" i="123"/>
  <c r="AC1223" i="123" s="1"/>
  <c r="AJ1223" i="123"/>
  <c r="AK1223" i="123"/>
  <c r="AL1223" i="123"/>
  <c r="AO1223" i="123"/>
  <c r="AP1223" i="123"/>
  <c r="AQ1223" i="123" s="1"/>
  <c r="AT1223" i="123"/>
  <c r="AU1223" i="123"/>
  <c r="K1224" i="123"/>
  <c r="L1224" i="123"/>
  <c r="M1224" i="123"/>
  <c r="N1224" i="123"/>
  <c r="O1224" i="123"/>
  <c r="P1224" i="123"/>
  <c r="Q1224" i="123"/>
  <c r="R1224" i="123"/>
  <c r="T1224" i="123" s="1"/>
  <c r="S1224" i="123"/>
  <c r="X1224" i="123"/>
  <c r="Y1224" i="123"/>
  <c r="Z1224" i="123" s="1"/>
  <c r="AB1224" i="123"/>
  <c r="AD1224" i="123" s="1"/>
  <c r="AJ1224" i="123"/>
  <c r="AK1224" i="123"/>
  <c r="AL1224" i="123"/>
  <c r="AO1224" i="123"/>
  <c r="AP1224" i="123"/>
  <c r="AQ1224" i="123" s="1"/>
  <c r="AT1224" i="123"/>
  <c r="AU1224" i="123"/>
  <c r="K1225" i="123"/>
  <c r="L1225" i="123"/>
  <c r="M1225" i="123"/>
  <c r="N1225" i="123"/>
  <c r="O1225" i="123"/>
  <c r="P1225" i="123"/>
  <c r="Q1225" i="123"/>
  <c r="R1225" i="123"/>
  <c r="T1225" i="123" s="1"/>
  <c r="S1225" i="123"/>
  <c r="X1225" i="123"/>
  <c r="Y1225" i="123"/>
  <c r="AA1225" i="123" s="1"/>
  <c r="AB1225" i="123"/>
  <c r="AC1225" i="123" s="1"/>
  <c r="AJ1225" i="123"/>
  <c r="AK1225" i="123"/>
  <c r="AL1225" i="123"/>
  <c r="AO1225" i="123"/>
  <c r="AP1225" i="123"/>
  <c r="AQ1225" i="123" s="1"/>
  <c r="AT1225" i="123"/>
  <c r="AU1225" i="123"/>
  <c r="K1226" i="123"/>
  <c r="L1226" i="123"/>
  <c r="M1226" i="123"/>
  <c r="N1226" i="123"/>
  <c r="O1226" i="123"/>
  <c r="P1226" i="123"/>
  <c r="Q1226" i="123"/>
  <c r="R1226" i="123"/>
  <c r="T1226" i="123" s="1"/>
  <c r="S1226" i="123"/>
  <c r="X1226" i="123"/>
  <c r="Y1226" i="123"/>
  <c r="Z1226" i="123" s="1"/>
  <c r="AB1226" i="123"/>
  <c r="AD1226" i="123" s="1"/>
  <c r="AJ1226" i="123"/>
  <c r="AK1226" i="123"/>
  <c r="AL1226" i="123"/>
  <c r="AO1226" i="123"/>
  <c r="AP1226" i="123"/>
  <c r="AQ1226" i="123" s="1"/>
  <c r="AT1226" i="123"/>
  <c r="AU1226" i="123"/>
  <c r="K1227" i="123"/>
  <c r="L1227" i="123"/>
  <c r="M1227" i="123"/>
  <c r="N1227" i="123"/>
  <c r="O1227" i="123"/>
  <c r="P1227" i="123"/>
  <c r="Q1227" i="123"/>
  <c r="R1227" i="123"/>
  <c r="T1227" i="123" s="1"/>
  <c r="S1227" i="123"/>
  <c r="X1227" i="123"/>
  <c r="Y1227" i="123"/>
  <c r="AA1227" i="123" s="1"/>
  <c r="AB1227" i="123"/>
  <c r="AC1227" i="123" s="1"/>
  <c r="AJ1227" i="123"/>
  <c r="AK1227" i="123"/>
  <c r="AL1227" i="123"/>
  <c r="AO1227" i="123"/>
  <c r="AP1227" i="123"/>
  <c r="AQ1227" i="123" s="1"/>
  <c r="AT1227" i="123"/>
  <c r="AU1227" i="123"/>
  <c r="K1228" i="123"/>
  <c r="L1228" i="123"/>
  <c r="M1228" i="123"/>
  <c r="N1228" i="123"/>
  <c r="O1228" i="123"/>
  <c r="P1228" i="123"/>
  <c r="Q1228" i="123"/>
  <c r="R1228" i="123"/>
  <c r="T1228" i="123" s="1"/>
  <c r="S1228" i="123"/>
  <c r="X1228" i="123"/>
  <c r="Y1228" i="123"/>
  <c r="Z1228" i="123" s="1"/>
  <c r="AB1228" i="123"/>
  <c r="AC1228" i="123" s="1"/>
  <c r="AJ1228" i="123"/>
  <c r="AK1228" i="123"/>
  <c r="AL1228" i="123"/>
  <c r="AO1228" i="123"/>
  <c r="AP1228" i="123"/>
  <c r="AQ1228" i="123" s="1"/>
  <c r="AT1228" i="123"/>
  <c r="AU1228" i="123"/>
  <c r="K1229" i="123"/>
  <c r="L1229" i="123"/>
  <c r="M1229" i="123"/>
  <c r="N1229" i="123"/>
  <c r="O1229" i="123"/>
  <c r="P1229" i="123"/>
  <c r="Q1229" i="123"/>
  <c r="R1229" i="123"/>
  <c r="T1229" i="123" s="1"/>
  <c r="S1229" i="123"/>
  <c r="X1229" i="123"/>
  <c r="Y1229" i="123"/>
  <c r="AA1229" i="123" s="1"/>
  <c r="AB1229" i="123"/>
  <c r="AC1229" i="123" s="1"/>
  <c r="AJ1229" i="123"/>
  <c r="AK1229" i="123"/>
  <c r="AL1229" i="123"/>
  <c r="AO1229" i="123"/>
  <c r="AP1229" i="123"/>
  <c r="AQ1229" i="123" s="1"/>
  <c r="AT1229" i="123"/>
  <c r="AU1229" i="123"/>
  <c r="K1230" i="123"/>
  <c r="L1230" i="123"/>
  <c r="M1230" i="123"/>
  <c r="N1230" i="123"/>
  <c r="O1230" i="123"/>
  <c r="P1230" i="123"/>
  <c r="Q1230" i="123"/>
  <c r="R1230" i="123"/>
  <c r="T1230" i="123" s="1"/>
  <c r="V1230" i="123" s="1"/>
  <c r="S1230" i="123"/>
  <c r="X1230" i="123"/>
  <c r="Y1230" i="123"/>
  <c r="Z1230" i="123" s="1"/>
  <c r="AB1230" i="123"/>
  <c r="AD1230" i="123" s="1"/>
  <c r="AJ1230" i="123"/>
  <c r="AK1230" i="123"/>
  <c r="AL1230" i="123"/>
  <c r="AO1230" i="123"/>
  <c r="AP1230" i="123"/>
  <c r="AQ1230" i="123" s="1"/>
  <c r="AT1230" i="123"/>
  <c r="AU1230" i="123"/>
  <c r="K1231" i="123"/>
  <c r="L1231" i="123"/>
  <c r="M1231" i="123"/>
  <c r="N1231" i="123"/>
  <c r="O1231" i="123"/>
  <c r="P1231" i="123"/>
  <c r="Q1231" i="123"/>
  <c r="R1231" i="123"/>
  <c r="T1231" i="123" s="1"/>
  <c r="S1231" i="123"/>
  <c r="X1231" i="123"/>
  <c r="Y1231" i="123"/>
  <c r="Z1231" i="123" s="1"/>
  <c r="AB1231" i="123"/>
  <c r="AC1231" i="123" s="1"/>
  <c r="AJ1231" i="123"/>
  <c r="AK1231" i="123"/>
  <c r="AL1231" i="123"/>
  <c r="AO1231" i="123"/>
  <c r="AP1231" i="123"/>
  <c r="AQ1231" i="123" s="1"/>
  <c r="AT1231" i="123"/>
  <c r="AU1231" i="123"/>
  <c r="K1232" i="123"/>
  <c r="L1232" i="123"/>
  <c r="M1232" i="123"/>
  <c r="N1232" i="123"/>
  <c r="O1232" i="123"/>
  <c r="P1232" i="123"/>
  <c r="Q1232" i="123"/>
  <c r="R1232" i="123"/>
  <c r="T1232" i="123" s="1"/>
  <c r="S1232" i="123"/>
  <c r="X1232" i="123"/>
  <c r="Y1232" i="123"/>
  <c r="Z1232" i="123" s="1"/>
  <c r="AB1232" i="123"/>
  <c r="AD1232" i="123" s="1"/>
  <c r="AJ1232" i="123"/>
  <c r="AK1232" i="123"/>
  <c r="AL1232" i="123"/>
  <c r="AO1232" i="123"/>
  <c r="AP1232" i="123"/>
  <c r="AT1232" i="123"/>
  <c r="AU1232" i="123"/>
  <c r="K1233" i="123"/>
  <c r="L1233" i="123"/>
  <c r="M1233" i="123"/>
  <c r="N1233" i="123"/>
  <c r="O1233" i="123"/>
  <c r="P1233" i="123"/>
  <c r="Q1233" i="123"/>
  <c r="R1233" i="123"/>
  <c r="T1233" i="123" s="1"/>
  <c r="S1233" i="123"/>
  <c r="X1233" i="123"/>
  <c r="Y1233" i="123"/>
  <c r="AA1233" i="123" s="1"/>
  <c r="AB1233" i="123"/>
  <c r="AC1233" i="123" s="1"/>
  <c r="AJ1233" i="123"/>
  <c r="AK1233" i="123"/>
  <c r="AL1233" i="123"/>
  <c r="AO1233" i="123"/>
  <c r="AP1233" i="123"/>
  <c r="AQ1233" i="123" s="1"/>
  <c r="AT1233" i="123"/>
  <c r="AU1233" i="123"/>
  <c r="K1234" i="123"/>
  <c r="L1234" i="123"/>
  <c r="M1234" i="123"/>
  <c r="N1234" i="123"/>
  <c r="O1234" i="123"/>
  <c r="P1234" i="123"/>
  <c r="Q1234" i="123"/>
  <c r="R1234" i="123"/>
  <c r="T1234" i="123" s="1"/>
  <c r="S1234" i="123"/>
  <c r="X1234" i="123"/>
  <c r="Y1234" i="123"/>
  <c r="Z1234" i="123" s="1"/>
  <c r="AB1234" i="123"/>
  <c r="AD1234" i="123" s="1"/>
  <c r="AJ1234" i="123"/>
  <c r="AK1234" i="123"/>
  <c r="AL1234" i="123"/>
  <c r="AO1234" i="123"/>
  <c r="AP1234" i="123"/>
  <c r="AT1234" i="123"/>
  <c r="AU1234" i="123"/>
  <c r="K1235" i="123"/>
  <c r="L1235" i="123"/>
  <c r="M1235" i="123"/>
  <c r="N1235" i="123"/>
  <c r="O1235" i="123"/>
  <c r="P1235" i="123"/>
  <c r="Q1235" i="123"/>
  <c r="R1235" i="123"/>
  <c r="T1235" i="123" s="1"/>
  <c r="S1235" i="123"/>
  <c r="X1235" i="123"/>
  <c r="Y1235" i="123"/>
  <c r="Z1235" i="123" s="1"/>
  <c r="AB1235" i="123"/>
  <c r="AC1235" i="123" s="1"/>
  <c r="AJ1235" i="123"/>
  <c r="AK1235" i="123"/>
  <c r="AL1235" i="123"/>
  <c r="AO1235" i="123"/>
  <c r="AP1235" i="123"/>
  <c r="AT1235" i="123"/>
  <c r="AU1235" i="123"/>
  <c r="K1236" i="123"/>
  <c r="L1236" i="123"/>
  <c r="M1236" i="123"/>
  <c r="N1236" i="123"/>
  <c r="O1236" i="123"/>
  <c r="P1236" i="123"/>
  <c r="Q1236" i="123"/>
  <c r="R1236" i="123"/>
  <c r="T1236" i="123" s="1"/>
  <c r="S1236" i="123"/>
  <c r="X1236" i="123"/>
  <c r="Y1236" i="123"/>
  <c r="AA1236" i="123" s="1"/>
  <c r="AB1236" i="123"/>
  <c r="AC1236" i="123" s="1"/>
  <c r="AJ1236" i="123"/>
  <c r="AK1236" i="123"/>
  <c r="AL1236" i="123"/>
  <c r="AO1236" i="123"/>
  <c r="AP1236" i="123"/>
  <c r="AQ1236" i="123" s="1"/>
  <c r="AT1236" i="123"/>
  <c r="AU1236" i="123"/>
  <c r="K1237" i="123"/>
  <c r="L1237" i="123"/>
  <c r="M1237" i="123"/>
  <c r="N1237" i="123"/>
  <c r="O1237" i="123"/>
  <c r="P1237" i="123"/>
  <c r="Q1237" i="123"/>
  <c r="R1237" i="123"/>
  <c r="T1237" i="123" s="1"/>
  <c r="S1237" i="123"/>
  <c r="X1237" i="123"/>
  <c r="Y1237" i="123"/>
  <c r="AA1237" i="123" s="1"/>
  <c r="AB1237" i="123"/>
  <c r="AC1237" i="123" s="1"/>
  <c r="AJ1237" i="123"/>
  <c r="AK1237" i="123"/>
  <c r="AL1237" i="123"/>
  <c r="AO1237" i="123"/>
  <c r="AP1237" i="123"/>
  <c r="AQ1237" i="123" s="1"/>
  <c r="AT1237" i="123"/>
  <c r="AU1237" i="123"/>
  <c r="K1238" i="123"/>
  <c r="L1238" i="123"/>
  <c r="M1238" i="123"/>
  <c r="N1238" i="123"/>
  <c r="O1238" i="123"/>
  <c r="P1238" i="123"/>
  <c r="Q1238" i="123"/>
  <c r="R1238" i="123"/>
  <c r="T1238" i="123" s="1"/>
  <c r="S1238" i="123"/>
  <c r="X1238" i="123"/>
  <c r="Y1238" i="123"/>
  <c r="Z1238" i="123" s="1"/>
  <c r="AB1238" i="123"/>
  <c r="AD1238" i="123" s="1"/>
  <c r="AJ1238" i="123"/>
  <c r="AK1238" i="123"/>
  <c r="AL1238" i="123"/>
  <c r="AO1238" i="123"/>
  <c r="AP1238" i="123"/>
  <c r="AT1238" i="123"/>
  <c r="AU1238" i="123"/>
  <c r="K1239" i="123"/>
  <c r="L1239" i="123"/>
  <c r="M1239" i="123"/>
  <c r="N1239" i="123"/>
  <c r="O1239" i="123"/>
  <c r="P1239" i="123"/>
  <c r="Q1239" i="123"/>
  <c r="R1239" i="123"/>
  <c r="T1239" i="123" s="1"/>
  <c r="S1239" i="123"/>
  <c r="X1239" i="123"/>
  <c r="Y1239" i="123"/>
  <c r="AA1239" i="123" s="1"/>
  <c r="AB1239" i="123"/>
  <c r="AC1239" i="123" s="1"/>
  <c r="AJ1239" i="123"/>
  <c r="AK1239" i="123"/>
  <c r="AL1239" i="123"/>
  <c r="AO1239" i="123"/>
  <c r="AP1239" i="123"/>
  <c r="AT1239" i="123"/>
  <c r="AU1239" i="123"/>
  <c r="K1240" i="123"/>
  <c r="L1240" i="123"/>
  <c r="M1240" i="123"/>
  <c r="N1240" i="123"/>
  <c r="O1240" i="123"/>
  <c r="P1240" i="123"/>
  <c r="Q1240" i="123"/>
  <c r="R1240" i="123"/>
  <c r="T1240" i="123" s="1"/>
  <c r="S1240" i="123"/>
  <c r="X1240" i="123"/>
  <c r="Y1240" i="123"/>
  <c r="AA1240" i="123" s="1"/>
  <c r="AB1240" i="123"/>
  <c r="AC1240" i="123" s="1"/>
  <c r="AJ1240" i="123"/>
  <c r="AK1240" i="123"/>
  <c r="AL1240" i="123"/>
  <c r="AO1240" i="123"/>
  <c r="AP1240" i="123"/>
  <c r="AQ1240" i="123" s="1"/>
  <c r="AT1240" i="123"/>
  <c r="AU1240" i="123"/>
  <c r="K1241" i="123"/>
  <c r="L1241" i="123"/>
  <c r="M1241" i="123"/>
  <c r="N1241" i="123"/>
  <c r="O1241" i="123"/>
  <c r="P1241" i="123"/>
  <c r="Q1241" i="123"/>
  <c r="R1241" i="123"/>
  <c r="T1241" i="123" s="1"/>
  <c r="S1241" i="123"/>
  <c r="X1241" i="123"/>
  <c r="Y1241" i="123"/>
  <c r="AA1241" i="123" s="1"/>
  <c r="AB1241" i="123"/>
  <c r="AC1241" i="123" s="1"/>
  <c r="AJ1241" i="123"/>
  <c r="AK1241" i="123"/>
  <c r="AL1241" i="123"/>
  <c r="AO1241" i="123"/>
  <c r="AP1241" i="123"/>
  <c r="AQ1241" i="123" s="1"/>
  <c r="AT1241" i="123"/>
  <c r="AU1241" i="123"/>
  <c r="K1242" i="123"/>
  <c r="L1242" i="123"/>
  <c r="M1242" i="123"/>
  <c r="N1242" i="123"/>
  <c r="O1242" i="123"/>
  <c r="P1242" i="123"/>
  <c r="Q1242" i="123"/>
  <c r="R1242" i="123"/>
  <c r="T1242" i="123" s="1"/>
  <c r="S1242" i="123"/>
  <c r="X1242" i="123"/>
  <c r="Y1242" i="123"/>
  <c r="Z1242" i="123" s="1"/>
  <c r="AB1242" i="123"/>
  <c r="AD1242" i="123" s="1"/>
  <c r="AJ1242" i="123"/>
  <c r="AK1242" i="123"/>
  <c r="AL1242" i="123"/>
  <c r="AO1242" i="123"/>
  <c r="AP1242" i="123"/>
  <c r="AT1242" i="123"/>
  <c r="AU1242" i="123"/>
  <c r="K1243" i="123"/>
  <c r="L1243" i="123"/>
  <c r="M1243" i="123"/>
  <c r="N1243" i="123"/>
  <c r="O1243" i="123"/>
  <c r="P1243" i="123"/>
  <c r="Q1243" i="123"/>
  <c r="R1243" i="123"/>
  <c r="T1243" i="123" s="1"/>
  <c r="S1243" i="123"/>
  <c r="X1243" i="123"/>
  <c r="Y1243" i="123"/>
  <c r="AA1243" i="123" s="1"/>
  <c r="AB1243" i="123"/>
  <c r="AC1243" i="123" s="1"/>
  <c r="AJ1243" i="123"/>
  <c r="AK1243" i="123"/>
  <c r="AL1243" i="123"/>
  <c r="AO1243" i="123"/>
  <c r="AP1243" i="123"/>
  <c r="AT1243" i="123"/>
  <c r="AU1243" i="123"/>
  <c r="K1244" i="123"/>
  <c r="L1244" i="123"/>
  <c r="M1244" i="123"/>
  <c r="N1244" i="123"/>
  <c r="O1244" i="123"/>
  <c r="P1244" i="123"/>
  <c r="Q1244" i="123"/>
  <c r="R1244" i="123"/>
  <c r="T1244" i="123" s="1"/>
  <c r="S1244" i="123"/>
  <c r="X1244" i="123"/>
  <c r="Y1244" i="123"/>
  <c r="AA1244" i="123" s="1"/>
  <c r="AB1244" i="123"/>
  <c r="AC1244" i="123" s="1"/>
  <c r="AJ1244" i="123"/>
  <c r="AK1244" i="123"/>
  <c r="AL1244" i="123"/>
  <c r="AO1244" i="123"/>
  <c r="AP1244" i="123"/>
  <c r="AQ1244" i="123" s="1"/>
  <c r="AT1244" i="123"/>
  <c r="AU1244" i="123"/>
  <c r="K1245" i="123"/>
  <c r="L1245" i="123"/>
  <c r="M1245" i="123"/>
  <c r="N1245" i="123"/>
  <c r="O1245" i="123"/>
  <c r="P1245" i="123"/>
  <c r="Q1245" i="123"/>
  <c r="R1245" i="123"/>
  <c r="T1245" i="123" s="1"/>
  <c r="S1245" i="123"/>
  <c r="X1245" i="123"/>
  <c r="Y1245" i="123"/>
  <c r="AA1245" i="123" s="1"/>
  <c r="AB1245" i="123"/>
  <c r="AD1245" i="123" s="1"/>
  <c r="AJ1245" i="123"/>
  <c r="AK1245" i="123"/>
  <c r="AL1245" i="123"/>
  <c r="AO1245" i="123"/>
  <c r="AP1245" i="123"/>
  <c r="AQ1245" i="123" s="1"/>
  <c r="AT1245" i="123"/>
  <c r="AU1245" i="123"/>
  <c r="K1246" i="123"/>
  <c r="L1246" i="123"/>
  <c r="M1246" i="123"/>
  <c r="N1246" i="123"/>
  <c r="O1246" i="123"/>
  <c r="P1246" i="123"/>
  <c r="Q1246" i="123"/>
  <c r="R1246" i="123"/>
  <c r="T1246" i="123" s="1"/>
  <c r="V1246" i="123" s="1"/>
  <c r="S1246" i="123"/>
  <c r="X1246" i="123"/>
  <c r="Y1246" i="123"/>
  <c r="Z1246" i="123" s="1"/>
  <c r="AB1246" i="123"/>
  <c r="AD1246" i="123" s="1"/>
  <c r="AJ1246" i="123"/>
  <c r="AK1246" i="123"/>
  <c r="AL1246" i="123"/>
  <c r="AO1246" i="123"/>
  <c r="AP1246" i="123"/>
  <c r="AT1246" i="123"/>
  <c r="AU1246" i="123"/>
  <c r="K1247" i="123"/>
  <c r="L1247" i="123"/>
  <c r="M1247" i="123"/>
  <c r="N1247" i="123"/>
  <c r="O1247" i="123"/>
  <c r="P1247" i="123"/>
  <c r="Q1247" i="123"/>
  <c r="R1247" i="123"/>
  <c r="T1247" i="123" s="1"/>
  <c r="S1247" i="123"/>
  <c r="X1247" i="123"/>
  <c r="Y1247" i="123"/>
  <c r="Z1247" i="123" s="1"/>
  <c r="AB1247" i="123"/>
  <c r="AC1247" i="123" s="1"/>
  <c r="AJ1247" i="123"/>
  <c r="AK1247" i="123"/>
  <c r="AL1247" i="123"/>
  <c r="AO1247" i="123"/>
  <c r="AP1247" i="123"/>
  <c r="AT1247" i="123"/>
  <c r="AU1247" i="123"/>
  <c r="K1248" i="123"/>
  <c r="L1248" i="123"/>
  <c r="M1248" i="123"/>
  <c r="N1248" i="123"/>
  <c r="O1248" i="123"/>
  <c r="P1248" i="123"/>
  <c r="Q1248" i="123"/>
  <c r="R1248" i="123"/>
  <c r="T1248" i="123" s="1"/>
  <c r="S1248" i="123"/>
  <c r="X1248" i="123"/>
  <c r="Y1248" i="123"/>
  <c r="Z1248" i="123" s="1"/>
  <c r="AB1248" i="123"/>
  <c r="AD1248" i="123" s="1"/>
  <c r="AJ1248" i="123"/>
  <c r="AK1248" i="123"/>
  <c r="AL1248" i="123"/>
  <c r="AO1248" i="123"/>
  <c r="AP1248" i="123"/>
  <c r="AQ1248" i="123" s="1"/>
  <c r="AT1248" i="123"/>
  <c r="AU1248" i="123"/>
  <c r="K1249" i="123"/>
  <c r="L1249" i="123"/>
  <c r="M1249" i="123"/>
  <c r="N1249" i="123"/>
  <c r="O1249" i="123"/>
  <c r="P1249" i="123"/>
  <c r="Q1249" i="123"/>
  <c r="R1249" i="123"/>
  <c r="T1249" i="123" s="1"/>
  <c r="S1249" i="123"/>
  <c r="X1249" i="123"/>
  <c r="Y1249" i="123"/>
  <c r="AA1249" i="123" s="1"/>
  <c r="AB1249" i="123"/>
  <c r="AD1249" i="123" s="1"/>
  <c r="AJ1249" i="123"/>
  <c r="AK1249" i="123"/>
  <c r="AL1249" i="123"/>
  <c r="AO1249" i="123"/>
  <c r="AP1249" i="123"/>
  <c r="AQ1249" i="123" s="1"/>
  <c r="AT1249" i="123"/>
  <c r="AU1249" i="123"/>
  <c r="K1250" i="123"/>
  <c r="L1250" i="123"/>
  <c r="M1250" i="123"/>
  <c r="N1250" i="123"/>
  <c r="O1250" i="123"/>
  <c r="P1250" i="123"/>
  <c r="Q1250" i="123"/>
  <c r="R1250" i="123"/>
  <c r="T1250" i="123" s="1"/>
  <c r="V1250" i="123" s="1"/>
  <c r="S1250" i="123"/>
  <c r="X1250" i="123"/>
  <c r="Y1250" i="123"/>
  <c r="Z1250" i="123" s="1"/>
  <c r="AB1250" i="123"/>
  <c r="AD1250" i="123" s="1"/>
  <c r="AJ1250" i="123"/>
  <c r="AK1250" i="123"/>
  <c r="AL1250" i="123"/>
  <c r="AO1250" i="123"/>
  <c r="AP1250" i="123"/>
  <c r="AT1250" i="123"/>
  <c r="AU1250" i="123"/>
  <c r="K1251" i="123"/>
  <c r="L1251" i="123"/>
  <c r="M1251" i="123"/>
  <c r="N1251" i="123"/>
  <c r="O1251" i="123"/>
  <c r="P1251" i="123"/>
  <c r="Q1251" i="123"/>
  <c r="R1251" i="123"/>
  <c r="T1251" i="123" s="1"/>
  <c r="S1251" i="123"/>
  <c r="X1251" i="123"/>
  <c r="Y1251" i="123"/>
  <c r="Z1251" i="123" s="1"/>
  <c r="AB1251" i="123"/>
  <c r="AC1251" i="123" s="1"/>
  <c r="AJ1251" i="123"/>
  <c r="AK1251" i="123"/>
  <c r="AL1251" i="123"/>
  <c r="AO1251" i="123"/>
  <c r="AP1251" i="123"/>
  <c r="AT1251" i="123"/>
  <c r="AU1251" i="123"/>
  <c r="K1252" i="123"/>
  <c r="L1252" i="123"/>
  <c r="M1252" i="123"/>
  <c r="N1252" i="123"/>
  <c r="O1252" i="123"/>
  <c r="P1252" i="123"/>
  <c r="Q1252" i="123"/>
  <c r="R1252" i="123"/>
  <c r="T1252" i="123" s="1"/>
  <c r="S1252" i="123"/>
  <c r="X1252" i="123"/>
  <c r="Y1252" i="123"/>
  <c r="Z1252" i="123" s="1"/>
  <c r="AB1252" i="123"/>
  <c r="AD1252" i="123" s="1"/>
  <c r="AJ1252" i="123"/>
  <c r="AK1252" i="123"/>
  <c r="AL1252" i="123"/>
  <c r="AO1252" i="123"/>
  <c r="AP1252" i="123"/>
  <c r="AQ1252" i="123" s="1"/>
  <c r="AT1252" i="123"/>
  <c r="AU1252" i="123"/>
  <c r="K1253" i="123"/>
  <c r="L1253" i="123"/>
  <c r="M1253" i="123"/>
  <c r="N1253" i="123"/>
  <c r="O1253" i="123"/>
  <c r="P1253" i="123"/>
  <c r="Q1253" i="123"/>
  <c r="R1253" i="123"/>
  <c r="T1253" i="123" s="1"/>
  <c r="S1253" i="123"/>
  <c r="X1253" i="123"/>
  <c r="Y1253" i="123"/>
  <c r="AA1253" i="123" s="1"/>
  <c r="AB1253" i="123"/>
  <c r="AD1253" i="123" s="1"/>
  <c r="AJ1253" i="123"/>
  <c r="AK1253" i="123"/>
  <c r="AL1253" i="123"/>
  <c r="AO1253" i="123"/>
  <c r="AP1253" i="123"/>
  <c r="AQ1253" i="123" s="1"/>
  <c r="AT1253" i="123"/>
  <c r="AU1253" i="123"/>
  <c r="K1254" i="123"/>
  <c r="L1254" i="123"/>
  <c r="M1254" i="123"/>
  <c r="N1254" i="123"/>
  <c r="O1254" i="123"/>
  <c r="P1254" i="123"/>
  <c r="Q1254" i="123"/>
  <c r="R1254" i="123"/>
  <c r="T1254" i="123" s="1"/>
  <c r="V1254" i="123" s="1"/>
  <c r="S1254" i="123"/>
  <c r="X1254" i="123"/>
  <c r="Y1254" i="123"/>
  <c r="Z1254" i="123" s="1"/>
  <c r="AB1254" i="123"/>
  <c r="AD1254" i="123" s="1"/>
  <c r="AJ1254" i="123"/>
  <c r="AK1254" i="123"/>
  <c r="AL1254" i="123"/>
  <c r="AO1254" i="123"/>
  <c r="AP1254" i="123"/>
  <c r="AT1254" i="123"/>
  <c r="AU1254" i="123"/>
  <c r="K1255" i="123"/>
  <c r="L1255" i="123"/>
  <c r="M1255" i="123"/>
  <c r="N1255" i="123"/>
  <c r="O1255" i="123"/>
  <c r="P1255" i="123"/>
  <c r="Q1255" i="123"/>
  <c r="R1255" i="123"/>
  <c r="T1255" i="123" s="1"/>
  <c r="S1255" i="123"/>
  <c r="X1255" i="123"/>
  <c r="Y1255" i="123"/>
  <c r="Z1255" i="123" s="1"/>
  <c r="AB1255" i="123"/>
  <c r="AC1255" i="123" s="1"/>
  <c r="AJ1255" i="123"/>
  <c r="AK1255" i="123"/>
  <c r="AL1255" i="123"/>
  <c r="AO1255" i="123"/>
  <c r="AP1255" i="123"/>
  <c r="AT1255" i="123"/>
  <c r="AU1255" i="123"/>
  <c r="K1256" i="123"/>
  <c r="L1256" i="123"/>
  <c r="M1256" i="123"/>
  <c r="N1256" i="123"/>
  <c r="O1256" i="123"/>
  <c r="P1256" i="123"/>
  <c r="Q1256" i="123"/>
  <c r="R1256" i="123"/>
  <c r="T1256" i="123" s="1"/>
  <c r="S1256" i="123"/>
  <c r="X1256" i="123"/>
  <c r="Y1256" i="123"/>
  <c r="Z1256" i="123" s="1"/>
  <c r="AB1256" i="123"/>
  <c r="AD1256" i="123" s="1"/>
  <c r="AJ1256" i="123"/>
  <c r="AK1256" i="123"/>
  <c r="AL1256" i="123"/>
  <c r="AO1256" i="123"/>
  <c r="AP1256" i="123"/>
  <c r="AQ1256" i="123" s="1"/>
  <c r="AT1256" i="123"/>
  <c r="AU1256" i="123"/>
  <c r="K1257" i="123"/>
  <c r="L1257" i="123"/>
  <c r="M1257" i="123"/>
  <c r="N1257" i="123"/>
  <c r="O1257" i="123"/>
  <c r="P1257" i="123"/>
  <c r="Q1257" i="123"/>
  <c r="R1257" i="123"/>
  <c r="T1257" i="123" s="1"/>
  <c r="S1257" i="123"/>
  <c r="X1257" i="123"/>
  <c r="Y1257" i="123"/>
  <c r="AA1257" i="123" s="1"/>
  <c r="AB1257" i="123"/>
  <c r="AD1257" i="123" s="1"/>
  <c r="AJ1257" i="123"/>
  <c r="AK1257" i="123"/>
  <c r="AL1257" i="123"/>
  <c r="AO1257" i="123"/>
  <c r="AP1257" i="123"/>
  <c r="AQ1257" i="123" s="1"/>
  <c r="AT1257" i="123"/>
  <c r="AU1257" i="123"/>
  <c r="K1258" i="123"/>
  <c r="L1258" i="123"/>
  <c r="M1258" i="123"/>
  <c r="N1258" i="123"/>
  <c r="O1258" i="123"/>
  <c r="P1258" i="123"/>
  <c r="Q1258" i="123"/>
  <c r="R1258" i="123"/>
  <c r="T1258" i="123" s="1"/>
  <c r="V1258" i="123" s="1"/>
  <c r="S1258" i="123"/>
  <c r="X1258" i="123"/>
  <c r="Y1258" i="123"/>
  <c r="Z1258" i="123" s="1"/>
  <c r="AB1258" i="123"/>
  <c r="AD1258" i="123" s="1"/>
  <c r="AJ1258" i="123"/>
  <c r="AK1258" i="123"/>
  <c r="AL1258" i="123"/>
  <c r="AO1258" i="123"/>
  <c r="AP1258" i="123"/>
  <c r="AT1258" i="123"/>
  <c r="AU1258" i="123"/>
  <c r="K1259" i="123"/>
  <c r="L1259" i="123"/>
  <c r="M1259" i="123"/>
  <c r="N1259" i="123"/>
  <c r="O1259" i="123"/>
  <c r="P1259" i="123"/>
  <c r="Q1259" i="123"/>
  <c r="R1259" i="123"/>
  <c r="T1259" i="123" s="1"/>
  <c r="S1259" i="123"/>
  <c r="X1259" i="123"/>
  <c r="Y1259" i="123"/>
  <c r="Z1259" i="123" s="1"/>
  <c r="AB1259" i="123"/>
  <c r="AC1259" i="123" s="1"/>
  <c r="AJ1259" i="123"/>
  <c r="AK1259" i="123"/>
  <c r="AL1259" i="123"/>
  <c r="AO1259" i="123"/>
  <c r="AP1259" i="123"/>
  <c r="AT1259" i="123"/>
  <c r="AU1259" i="123"/>
  <c r="K1260" i="123"/>
  <c r="L1260" i="123"/>
  <c r="M1260" i="123"/>
  <c r="N1260" i="123"/>
  <c r="O1260" i="123"/>
  <c r="P1260" i="123"/>
  <c r="Q1260" i="123"/>
  <c r="R1260" i="123"/>
  <c r="T1260" i="123" s="1"/>
  <c r="S1260" i="123"/>
  <c r="X1260" i="123"/>
  <c r="Y1260" i="123"/>
  <c r="Z1260" i="123" s="1"/>
  <c r="AB1260" i="123"/>
  <c r="AD1260" i="123" s="1"/>
  <c r="AJ1260" i="123"/>
  <c r="AK1260" i="123"/>
  <c r="AL1260" i="123"/>
  <c r="AO1260" i="123"/>
  <c r="AP1260" i="123"/>
  <c r="AT1260" i="123"/>
  <c r="AU1260" i="123"/>
  <c r="K1261" i="123"/>
  <c r="L1261" i="123"/>
  <c r="M1261" i="123"/>
  <c r="N1261" i="123"/>
  <c r="O1261" i="123"/>
  <c r="P1261" i="123"/>
  <c r="Q1261" i="123"/>
  <c r="R1261" i="123"/>
  <c r="T1261" i="123" s="1"/>
  <c r="S1261" i="123"/>
  <c r="X1261" i="123"/>
  <c r="Y1261" i="123"/>
  <c r="AA1261" i="123" s="1"/>
  <c r="AB1261" i="123"/>
  <c r="AC1261" i="123" s="1"/>
  <c r="AJ1261" i="123"/>
  <c r="AK1261" i="123"/>
  <c r="AL1261" i="123"/>
  <c r="AO1261" i="123"/>
  <c r="AP1261" i="123"/>
  <c r="AQ1261" i="123" s="1"/>
  <c r="AT1261" i="123"/>
  <c r="AU1261" i="123"/>
  <c r="K1262" i="123"/>
  <c r="L1262" i="123"/>
  <c r="M1262" i="123"/>
  <c r="N1262" i="123"/>
  <c r="O1262" i="123"/>
  <c r="P1262" i="123"/>
  <c r="Q1262" i="123"/>
  <c r="R1262" i="123"/>
  <c r="T1262" i="123" s="1"/>
  <c r="V1262" i="123" s="1"/>
  <c r="S1262" i="123"/>
  <c r="X1262" i="123"/>
  <c r="Y1262" i="123"/>
  <c r="Z1262" i="123" s="1"/>
  <c r="AB1262" i="123"/>
  <c r="AD1262" i="123" s="1"/>
  <c r="AJ1262" i="123"/>
  <c r="AK1262" i="123"/>
  <c r="AL1262" i="123"/>
  <c r="AO1262" i="123"/>
  <c r="AP1262" i="123"/>
  <c r="AT1262" i="123"/>
  <c r="AU1262" i="123"/>
  <c r="K1263" i="123"/>
  <c r="L1263" i="123"/>
  <c r="M1263" i="123"/>
  <c r="N1263" i="123"/>
  <c r="O1263" i="123"/>
  <c r="P1263" i="123"/>
  <c r="Q1263" i="123"/>
  <c r="R1263" i="123"/>
  <c r="T1263" i="123" s="1"/>
  <c r="S1263" i="123"/>
  <c r="X1263" i="123"/>
  <c r="Y1263" i="123"/>
  <c r="AA1263" i="123" s="1"/>
  <c r="AB1263" i="123"/>
  <c r="AC1263" i="123" s="1"/>
  <c r="AJ1263" i="123"/>
  <c r="AK1263" i="123"/>
  <c r="AL1263" i="123"/>
  <c r="AO1263" i="123"/>
  <c r="AP1263" i="123"/>
  <c r="AT1263" i="123"/>
  <c r="AU1263" i="123"/>
  <c r="K1264" i="123"/>
  <c r="L1264" i="123"/>
  <c r="M1264" i="123"/>
  <c r="N1264" i="123"/>
  <c r="O1264" i="123"/>
  <c r="P1264" i="123"/>
  <c r="Q1264" i="123"/>
  <c r="R1264" i="123"/>
  <c r="T1264" i="123" s="1"/>
  <c r="S1264" i="123"/>
  <c r="X1264" i="123"/>
  <c r="Y1264" i="123"/>
  <c r="Z1264" i="123" s="1"/>
  <c r="AB1264" i="123"/>
  <c r="AC1264" i="123" s="1"/>
  <c r="AJ1264" i="123"/>
  <c r="AK1264" i="123"/>
  <c r="AL1264" i="123"/>
  <c r="AO1264" i="123"/>
  <c r="AP1264" i="123"/>
  <c r="AT1264" i="123"/>
  <c r="AU1264" i="123"/>
  <c r="K1265" i="123"/>
  <c r="L1265" i="123"/>
  <c r="M1265" i="123"/>
  <c r="N1265" i="123"/>
  <c r="O1265" i="123"/>
  <c r="P1265" i="123"/>
  <c r="Q1265" i="123"/>
  <c r="R1265" i="123"/>
  <c r="T1265" i="123" s="1"/>
  <c r="S1265" i="123"/>
  <c r="X1265" i="123"/>
  <c r="Y1265" i="123"/>
  <c r="AA1265" i="123" s="1"/>
  <c r="AB1265" i="123"/>
  <c r="AC1265" i="123" s="1"/>
  <c r="AJ1265" i="123"/>
  <c r="AK1265" i="123"/>
  <c r="AL1265" i="123"/>
  <c r="AO1265" i="123"/>
  <c r="AP1265" i="123"/>
  <c r="AQ1265" i="123" s="1"/>
  <c r="AT1265" i="123"/>
  <c r="AU1265" i="123"/>
  <c r="K1266" i="123"/>
  <c r="L1266" i="123"/>
  <c r="M1266" i="123"/>
  <c r="N1266" i="123"/>
  <c r="O1266" i="123"/>
  <c r="P1266" i="123"/>
  <c r="Q1266" i="123"/>
  <c r="R1266" i="123"/>
  <c r="T1266" i="123" s="1"/>
  <c r="V1266" i="123" s="1"/>
  <c r="S1266" i="123"/>
  <c r="X1266" i="123"/>
  <c r="Y1266" i="123"/>
  <c r="Z1266" i="123" s="1"/>
  <c r="AB1266" i="123"/>
  <c r="AD1266" i="123" s="1"/>
  <c r="AJ1266" i="123"/>
  <c r="AK1266" i="123"/>
  <c r="AL1266" i="123"/>
  <c r="AO1266" i="123"/>
  <c r="AP1266" i="123"/>
  <c r="AT1266" i="123"/>
  <c r="AU1266" i="123"/>
  <c r="K1267" i="123"/>
  <c r="L1267" i="123"/>
  <c r="M1267" i="123"/>
  <c r="N1267" i="123"/>
  <c r="O1267" i="123"/>
  <c r="P1267" i="123"/>
  <c r="Q1267" i="123"/>
  <c r="R1267" i="123"/>
  <c r="T1267" i="123" s="1"/>
  <c r="S1267" i="123"/>
  <c r="X1267" i="123"/>
  <c r="Y1267" i="123"/>
  <c r="Z1267" i="123" s="1"/>
  <c r="AB1267" i="123"/>
  <c r="AC1267" i="123" s="1"/>
  <c r="AJ1267" i="123"/>
  <c r="AK1267" i="123"/>
  <c r="AL1267" i="123"/>
  <c r="AO1267" i="123"/>
  <c r="AP1267" i="123"/>
  <c r="AT1267" i="123"/>
  <c r="AU1267" i="123"/>
  <c r="K1268" i="123"/>
  <c r="L1268" i="123"/>
  <c r="M1268" i="123"/>
  <c r="N1268" i="123"/>
  <c r="O1268" i="123"/>
  <c r="P1268" i="123"/>
  <c r="Q1268" i="123"/>
  <c r="R1268" i="123"/>
  <c r="T1268" i="123" s="1"/>
  <c r="S1268" i="123"/>
  <c r="X1268" i="123"/>
  <c r="Y1268" i="123"/>
  <c r="Z1268" i="123" s="1"/>
  <c r="AB1268" i="123"/>
  <c r="AC1268" i="123" s="1"/>
  <c r="AJ1268" i="123"/>
  <c r="AK1268" i="123"/>
  <c r="AL1268" i="123"/>
  <c r="AO1268" i="123"/>
  <c r="AP1268" i="123"/>
  <c r="AQ1268" i="123" s="1"/>
  <c r="AT1268" i="123"/>
  <c r="AU1268" i="123"/>
  <c r="K1269" i="123"/>
  <c r="L1269" i="123"/>
  <c r="M1269" i="123"/>
  <c r="N1269" i="123"/>
  <c r="O1269" i="123"/>
  <c r="P1269" i="123"/>
  <c r="Q1269" i="123"/>
  <c r="R1269" i="123"/>
  <c r="T1269" i="123" s="1"/>
  <c r="S1269" i="123"/>
  <c r="X1269" i="123"/>
  <c r="Y1269" i="123"/>
  <c r="AA1269" i="123" s="1"/>
  <c r="AB1269" i="123"/>
  <c r="AC1269" i="123" s="1"/>
  <c r="AJ1269" i="123"/>
  <c r="AK1269" i="123"/>
  <c r="AL1269" i="123"/>
  <c r="AO1269" i="123"/>
  <c r="AP1269" i="123"/>
  <c r="AQ1269" i="123" s="1"/>
  <c r="AT1269" i="123"/>
  <c r="AU1269" i="123"/>
  <c r="K1270" i="123"/>
  <c r="L1270" i="123"/>
  <c r="M1270" i="123"/>
  <c r="N1270" i="123"/>
  <c r="O1270" i="123"/>
  <c r="P1270" i="123"/>
  <c r="Q1270" i="123"/>
  <c r="R1270" i="123"/>
  <c r="T1270" i="123" s="1"/>
  <c r="S1270" i="123"/>
  <c r="X1270" i="123"/>
  <c r="Y1270" i="123"/>
  <c r="Z1270" i="123" s="1"/>
  <c r="AB1270" i="123"/>
  <c r="AD1270" i="123" s="1"/>
  <c r="AJ1270" i="123"/>
  <c r="AK1270" i="123"/>
  <c r="AL1270" i="123"/>
  <c r="AO1270" i="123"/>
  <c r="AP1270" i="123"/>
  <c r="AQ1270" i="123" s="1"/>
  <c r="AT1270" i="123"/>
  <c r="AU1270" i="123"/>
  <c r="K1271" i="123"/>
  <c r="L1271" i="123"/>
  <c r="M1271" i="123"/>
  <c r="N1271" i="123"/>
  <c r="O1271" i="123"/>
  <c r="P1271" i="123"/>
  <c r="Q1271" i="123"/>
  <c r="R1271" i="123"/>
  <c r="T1271" i="123" s="1"/>
  <c r="S1271" i="123"/>
  <c r="X1271" i="123"/>
  <c r="Y1271" i="123"/>
  <c r="Z1271" i="123" s="1"/>
  <c r="AB1271" i="123"/>
  <c r="AC1271" i="123" s="1"/>
  <c r="AJ1271" i="123"/>
  <c r="AK1271" i="123"/>
  <c r="AL1271" i="123"/>
  <c r="AO1271" i="123"/>
  <c r="AP1271" i="123"/>
  <c r="AT1271" i="123"/>
  <c r="AU1271" i="123"/>
  <c r="K1272" i="123"/>
  <c r="L1272" i="123"/>
  <c r="M1272" i="123"/>
  <c r="N1272" i="123"/>
  <c r="O1272" i="123"/>
  <c r="P1272" i="123"/>
  <c r="Q1272" i="123"/>
  <c r="R1272" i="123"/>
  <c r="T1272" i="123" s="1"/>
  <c r="S1272" i="123"/>
  <c r="X1272" i="123"/>
  <c r="Y1272" i="123"/>
  <c r="Z1272" i="123" s="1"/>
  <c r="AB1272" i="123"/>
  <c r="AC1272" i="123" s="1"/>
  <c r="AJ1272" i="123"/>
  <c r="AK1272" i="123"/>
  <c r="AL1272" i="123"/>
  <c r="AO1272" i="123"/>
  <c r="AP1272" i="123"/>
  <c r="AQ1272" i="123" s="1"/>
  <c r="AT1272" i="123"/>
  <c r="AU1272" i="123"/>
  <c r="K1273" i="123"/>
  <c r="L1273" i="123"/>
  <c r="M1273" i="123"/>
  <c r="N1273" i="123"/>
  <c r="O1273" i="123"/>
  <c r="P1273" i="123"/>
  <c r="Q1273" i="123"/>
  <c r="R1273" i="123"/>
  <c r="T1273" i="123" s="1"/>
  <c r="S1273" i="123"/>
  <c r="X1273" i="123"/>
  <c r="Y1273" i="123"/>
  <c r="AA1273" i="123" s="1"/>
  <c r="AB1273" i="123"/>
  <c r="AC1273" i="123" s="1"/>
  <c r="AJ1273" i="123"/>
  <c r="AK1273" i="123"/>
  <c r="AL1273" i="123"/>
  <c r="AO1273" i="123"/>
  <c r="AP1273" i="123"/>
  <c r="AQ1273" i="123" s="1"/>
  <c r="AT1273" i="123"/>
  <c r="AU1273" i="123"/>
  <c r="K1274" i="123"/>
  <c r="L1274" i="123"/>
  <c r="M1274" i="123"/>
  <c r="N1274" i="123"/>
  <c r="O1274" i="123"/>
  <c r="P1274" i="123"/>
  <c r="Q1274" i="123"/>
  <c r="R1274" i="123"/>
  <c r="T1274" i="123" s="1"/>
  <c r="S1274" i="123"/>
  <c r="X1274" i="123"/>
  <c r="Y1274" i="123"/>
  <c r="Z1274" i="123" s="1"/>
  <c r="AB1274" i="123"/>
  <c r="AD1274" i="123" s="1"/>
  <c r="AJ1274" i="123"/>
  <c r="AK1274" i="123"/>
  <c r="AL1274" i="123"/>
  <c r="AO1274" i="123"/>
  <c r="AP1274" i="123"/>
  <c r="AQ1274" i="123" s="1"/>
  <c r="AT1274" i="123"/>
  <c r="AU1274" i="123"/>
  <c r="K1275" i="123"/>
  <c r="L1275" i="123"/>
  <c r="M1275" i="123"/>
  <c r="N1275" i="123"/>
  <c r="O1275" i="123"/>
  <c r="P1275" i="123"/>
  <c r="Q1275" i="123"/>
  <c r="R1275" i="123"/>
  <c r="T1275" i="123" s="1"/>
  <c r="S1275" i="123"/>
  <c r="X1275" i="123"/>
  <c r="Y1275" i="123"/>
  <c r="Z1275" i="123" s="1"/>
  <c r="AB1275" i="123"/>
  <c r="AC1275" i="123" s="1"/>
  <c r="AJ1275" i="123"/>
  <c r="AK1275" i="123"/>
  <c r="AL1275" i="123"/>
  <c r="AO1275" i="123"/>
  <c r="AP1275" i="123"/>
  <c r="AT1275" i="123"/>
  <c r="AU1275" i="123"/>
  <c r="K1276" i="123"/>
  <c r="L1276" i="123"/>
  <c r="M1276" i="123"/>
  <c r="N1276" i="123"/>
  <c r="O1276" i="123"/>
  <c r="P1276" i="123"/>
  <c r="Q1276" i="123"/>
  <c r="R1276" i="123"/>
  <c r="T1276" i="123" s="1"/>
  <c r="S1276" i="123"/>
  <c r="X1276" i="123"/>
  <c r="Y1276" i="123"/>
  <c r="AA1276" i="123" s="1"/>
  <c r="AB1276" i="123"/>
  <c r="AC1276" i="123" s="1"/>
  <c r="AJ1276" i="123"/>
  <c r="AK1276" i="123"/>
  <c r="AL1276" i="123"/>
  <c r="AO1276" i="123"/>
  <c r="AP1276" i="123"/>
  <c r="AQ1276" i="123" s="1"/>
  <c r="AT1276" i="123"/>
  <c r="AU1276" i="123"/>
  <c r="K1277" i="123"/>
  <c r="L1277" i="123"/>
  <c r="M1277" i="123"/>
  <c r="N1277" i="123"/>
  <c r="O1277" i="123"/>
  <c r="P1277" i="123"/>
  <c r="Q1277" i="123"/>
  <c r="R1277" i="123"/>
  <c r="T1277" i="123" s="1"/>
  <c r="S1277" i="123"/>
  <c r="X1277" i="123"/>
  <c r="Y1277" i="123"/>
  <c r="AA1277" i="123" s="1"/>
  <c r="AB1277" i="123"/>
  <c r="AC1277" i="123" s="1"/>
  <c r="AJ1277" i="123"/>
  <c r="AK1277" i="123"/>
  <c r="AL1277" i="123"/>
  <c r="AO1277" i="123"/>
  <c r="AP1277" i="123"/>
  <c r="AQ1277" i="123" s="1"/>
  <c r="AT1277" i="123"/>
  <c r="AU1277" i="123"/>
  <c r="K1278" i="123"/>
  <c r="L1278" i="123"/>
  <c r="M1278" i="123"/>
  <c r="N1278" i="123"/>
  <c r="O1278" i="123"/>
  <c r="P1278" i="123"/>
  <c r="Q1278" i="123"/>
  <c r="R1278" i="123"/>
  <c r="T1278" i="123" s="1"/>
  <c r="V1278" i="123" s="1"/>
  <c r="S1278" i="123"/>
  <c r="X1278" i="123"/>
  <c r="Y1278" i="123"/>
  <c r="Z1278" i="123" s="1"/>
  <c r="AB1278" i="123"/>
  <c r="AD1278" i="123" s="1"/>
  <c r="AJ1278" i="123"/>
  <c r="AK1278" i="123"/>
  <c r="AL1278" i="123"/>
  <c r="AO1278" i="123"/>
  <c r="AP1278" i="123"/>
  <c r="AQ1278" i="123" s="1"/>
  <c r="AT1278" i="123"/>
  <c r="AU1278" i="123"/>
  <c r="K1279" i="123"/>
  <c r="L1279" i="123"/>
  <c r="M1279" i="123"/>
  <c r="N1279" i="123"/>
  <c r="O1279" i="123"/>
  <c r="P1279" i="123"/>
  <c r="Q1279" i="123"/>
  <c r="R1279" i="123"/>
  <c r="T1279" i="123" s="1"/>
  <c r="S1279" i="123"/>
  <c r="X1279" i="123"/>
  <c r="Y1279" i="123"/>
  <c r="Z1279" i="123" s="1"/>
  <c r="AB1279" i="123"/>
  <c r="AC1279" i="123" s="1"/>
  <c r="AJ1279" i="123"/>
  <c r="AK1279" i="123"/>
  <c r="AL1279" i="123"/>
  <c r="AO1279" i="123"/>
  <c r="AP1279" i="123"/>
  <c r="AT1279" i="123"/>
  <c r="AU1279" i="123"/>
  <c r="K1280" i="123"/>
  <c r="L1280" i="123"/>
  <c r="M1280" i="123"/>
  <c r="N1280" i="123"/>
  <c r="O1280" i="123"/>
  <c r="P1280" i="123"/>
  <c r="Q1280" i="123"/>
  <c r="R1280" i="123"/>
  <c r="T1280" i="123" s="1"/>
  <c r="S1280" i="123"/>
  <c r="X1280" i="123"/>
  <c r="Y1280" i="123"/>
  <c r="Z1280" i="123" s="1"/>
  <c r="AB1280" i="123"/>
  <c r="AC1280" i="123" s="1"/>
  <c r="AJ1280" i="123"/>
  <c r="AK1280" i="123"/>
  <c r="AL1280" i="123"/>
  <c r="AO1280" i="123"/>
  <c r="AP1280" i="123"/>
  <c r="AQ1280" i="123" s="1"/>
  <c r="AT1280" i="123"/>
  <c r="AU1280" i="123"/>
  <c r="K1281" i="123"/>
  <c r="L1281" i="123"/>
  <c r="M1281" i="123"/>
  <c r="N1281" i="123"/>
  <c r="O1281" i="123"/>
  <c r="P1281" i="123"/>
  <c r="Q1281" i="123"/>
  <c r="R1281" i="123"/>
  <c r="T1281" i="123" s="1"/>
  <c r="S1281" i="123"/>
  <c r="X1281" i="123"/>
  <c r="Y1281" i="123"/>
  <c r="AA1281" i="123" s="1"/>
  <c r="AB1281" i="123"/>
  <c r="AC1281" i="123" s="1"/>
  <c r="AJ1281" i="123"/>
  <c r="AK1281" i="123"/>
  <c r="AL1281" i="123"/>
  <c r="AO1281" i="123"/>
  <c r="AP1281" i="123"/>
  <c r="AQ1281" i="123" s="1"/>
  <c r="AT1281" i="123"/>
  <c r="AU1281" i="123"/>
  <c r="K1282" i="123"/>
  <c r="L1282" i="123"/>
  <c r="M1282" i="123"/>
  <c r="N1282" i="123"/>
  <c r="O1282" i="123"/>
  <c r="P1282" i="123"/>
  <c r="Q1282" i="123"/>
  <c r="R1282" i="123"/>
  <c r="T1282" i="123" s="1"/>
  <c r="S1282" i="123"/>
  <c r="X1282" i="123"/>
  <c r="Y1282" i="123"/>
  <c r="Z1282" i="123" s="1"/>
  <c r="AB1282" i="123"/>
  <c r="AD1282" i="123" s="1"/>
  <c r="AJ1282" i="123"/>
  <c r="AK1282" i="123"/>
  <c r="AL1282" i="123"/>
  <c r="AO1282" i="123"/>
  <c r="AP1282" i="123"/>
  <c r="AQ1282" i="123" s="1"/>
  <c r="AT1282" i="123"/>
  <c r="AU1282" i="123"/>
  <c r="K1283" i="123"/>
  <c r="L1283" i="123"/>
  <c r="M1283" i="123"/>
  <c r="N1283" i="123"/>
  <c r="O1283" i="123"/>
  <c r="P1283" i="123"/>
  <c r="Q1283" i="123"/>
  <c r="R1283" i="123"/>
  <c r="T1283" i="123" s="1"/>
  <c r="S1283" i="123"/>
  <c r="X1283" i="123"/>
  <c r="Y1283" i="123"/>
  <c r="Z1283" i="123" s="1"/>
  <c r="AB1283" i="123"/>
  <c r="AC1283" i="123" s="1"/>
  <c r="AJ1283" i="123"/>
  <c r="AK1283" i="123"/>
  <c r="AL1283" i="123"/>
  <c r="AO1283" i="123"/>
  <c r="AP1283" i="123"/>
  <c r="AT1283" i="123"/>
  <c r="AU1283" i="123"/>
  <c r="K1284" i="123"/>
  <c r="L1284" i="123"/>
  <c r="M1284" i="123"/>
  <c r="N1284" i="123"/>
  <c r="O1284" i="123"/>
  <c r="P1284" i="123"/>
  <c r="Q1284" i="123"/>
  <c r="R1284" i="123"/>
  <c r="T1284" i="123" s="1"/>
  <c r="S1284" i="123"/>
  <c r="X1284" i="123"/>
  <c r="Y1284" i="123"/>
  <c r="Z1284" i="123" s="1"/>
  <c r="AB1284" i="123"/>
  <c r="AC1284" i="123" s="1"/>
  <c r="AJ1284" i="123"/>
  <c r="AK1284" i="123"/>
  <c r="AL1284" i="123"/>
  <c r="AO1284" i="123"/>
  <c r="AP1284" i="123"/>
  <c r="AQ1284" i="123" s="1"/>
  <c r="AT1284" i="123"/>
  <c r="AU1284" i="123"/>
  <c r="K1285" i="123"/>
  <c r="L1285" i="123"/>
  <c r="M1285" i="123"/>
  <c r="N1285" i="123"/>
  <c r="O1285" i="123"/>
  <c r="P1285" i="123"/>
  <c r="Q1285" i="123"/>
  <c r="R1285" i="123"/>
  <c r="T1285" i="123" s="1"/>
  <c r="S1285" i="123"/>
  <c r="X1285" i="123"/>
  <c r="Y1285" i="123"/>
  <c r="AA1285" i="123" s="1"/>
  <c r="AB1285" i="123"/>
  <c r="AC1285" i="123" s="1"/>
  <c r="AJ1285" i="123"/>
  <c r="AK1285" i="123"/>
  <c r="AL1285" i="123"/>
  <c r="AO1285" i="123"/>
  <c r="AP1285" i="123"/>
  <c r="AQ1285" i="123" s="1"/>
  <c r="AT1285" i="123"/>
  <c r="AU1285" i="123"/>
  <c r="K1286" i="123"/>
  <c r="L1286" i="123"/>
  <c r="M1286" i="123"/>
  <c r="N1286" i="123"/>
  <c r="O1286" i="123"/>
  <c r="P1286" i="123"/>
  <c r="Q1286" i="123"/>
  <c r="R1286" i="123"/>
  <c r="T1286" i="123" s="1"/>
  <c r="V1286" i="123" s="1"/>
  <c r="S1286" i="123"/>
  <c r="X1286" i="123"/>
  <c r="Y1286" i="123"/>
  <c r="Z1286" i="123" s="1"/>
  <c r="AB1286" i="123"/>
  <c r="AD1286" i="123" s="1"/>
  <c r="AJ1286" i="123"/>
  <c r="AK1286" i="123"/>
  <c r="AL1286" i="123"/>
  <c r="AO1286" i="123"/>
  <c r="AP1286" i="123"/>
  <c r="AQ1286" i="123" s="1"/>
  <c r="AT1286" i="123"/>
  <c r="AU1286" i="123"/>
  <c r="K1287" i="123"/>
  <c r="L1287" i="123"/>
  <c r="M1287" i="123"/>
  <c r="N1287" i="123"/>
  <c r="O1287" i="123"/>
  <c r="P1287" i="123"/>
  <c r="Q1287" i="123"/>
  <c r="R1287" i="123"/>
  <c r="T1287" i="123" s="1"/>
  <c r="S1287" i="123"/>
  <c r="X1287" i="123"/>
  <c r="Y1287" i="123"/>
  <c r="Z1287" i="123" s="1"/>
  <c r="AB1287" i="123"/>
  <c r="AC1287" i="123" s="1"/>
  <c r="AJ1287" i="123"/>
  <c r="AK1287" i="123"/>
  <c r="AL1287" i="123"/>
  <c r="AO1287" i="123"/>
  <c r="AP1287" i="123"/>
  <c r="AT1287" i="123"/>
  <c r="AU1287" i="123"/>
  <c r="K1288" i="123"/>
  <c r="L1288" i="123"/>
  <c r="M1288" i="123"/>
  <c r="N1288" i="123"/>
  <c r="O1288" i="123"/>
  <c r="P1288" i="123"/>
  <c r="Q1288" i="123"/>
  <c r="R1288" i="123"/>
  <c r="T1288" i="123" s="1"/>
  <c r="S1288" i="123"/>
  <c r="X1288" i="123"/>
  <c r="Y1288" i="123"/>
  <c r="Z1288" i="123" s="1"/>
  <c r="AB1288" i="123"/>
  <c r="AC1288" i="123" s="1"/>
  <c r="AJ1288" i="123"/>
  <c r="AK1288" i="123"/>
  <c r="AL1288" i="123"/>
  <c r="AO1288" i="123"/>
  <c r="AP1288" i="123"/>
  <c r="AQ1288" i="123" s="1"/>
  <c r="AT1288" i="123"/>
  <c r="AU1288" i="123"/>
  <c r="K1289" i="123"/>
  <c r="L1289" i="123"/>
  <c r="M1289" i="123"/>
  <c r="N1289" i="123"/>
  <c r="O1289" i="123"/>
  <c r="P1289" i="123"/>
  <c r="Q1289" i="123"/>
  <c r="R1289" i="123"/>
  <c r="T1289" i="123" s="1"/>
  <c r="S1289" i="123"/>
  <c r="X1289" i="123"/>
  <c r="Y1289" i="123"/>
  <c r="AA1289" i="123" s="1"/>
  <c r="AB1289" i="123"/>
  <c r="AC1289" i="123" s="1"/>
  <c r="AJ1289" i="123"/>
  <c r="AK1289" i="123"/>
  <c r="AL1289" i="123"/>
  <c r="AO1289" i="123"/>
  <c r="AP1289" i="123"/>
  <c r="AQ1289" i="123" s="1"/>
  <c r="AT1289" i="123"/>
  <c r="AU1289" i="123"/>
  <c r="K1290" i="123"/>
  <c r="L1290" i="123"/>
  <c r="M1290" i="123"/>
  <c r="N1290" i="123"/>
  <c r="O1290" i="123"/>
  <c r="P1290" i="123"/>
  <c r="Q1290" i="123"/>
  <c r="R1290" i="123"/>
  <c r="T1290" i="123" s="1"/>
  <c r="S1290" i="123"/>
  <c r="X1290" i="123"/>
  <c r="Y1290" i="123"/>
  <c r="Z1290" i="123" s="1"/>
  <c r="AB1290" i="123"/>
  <c r="AD1290" i="123" s="1"/>
  <c r="AJ1290" i="123"/>
  <c r="AK1290" i="123"/>
  <c r="AL1290" i="123"/>
  <c r="AO1290" i="123"/>
  <c r="AP1290" i="123"/>
  <c r="AQ1290" i="123" s="1"/>
  <c r="AT1290" i="123"/>
  <c r="AU1290" i="123"/>
  <c r="K1291" i="123"/>
  <c r="L1291" i="123"/>
  <c r="M1291" i="123"/>
  <c r="N1291" i="123"/>
  <c r="O1291" i="123"/>
  <c r="P1291" i="123"/>
  <c r="Q1291" i="123"/>
  <c r="R1291" i="123"/>
  <c r="T1291" i="123" s="1"/>
  <c r="S1291" i="123"/>
  <c r="X1291" i="123"/>
  <c r="Y1291" i="123"/>
  <c r="Z1291" i="123" s="1"/>
  <c r="AB1291" i="123"/>
  <c r="AC1291" i="123" s="1"/>
  <c r="AJ1291" i="123"/>
  <c r="AK1291" i="123"/>
  <c r="AL1291" i="123"/>
  <c r="AO1291" i="123"/>
  <c r="AP1291" i="123"/>
  <c r="AT1291" i="123"/>
  <c r="AU1291" i="123"/>
  <c r="K1292" i="123"/>
  <c r="L1292" i="123"/>
  <c r="M1292" i="123"/>
  <c r="N1292" i="123"/>
  <c r="O1292" i="123"/>
  <c r="P1292" i="123"/>
  <c r="Q1292" i="123"/>
  <c r="R1292" i="123"/>
  <c r="T1292" i="123" s="1"/>
  <c r="S1292" i="123"/>
  <c r="X1292" i="123"/>
  <c r="Y1292" i="123"/>
  <c r="Z1292" i="123" s="1"/>
  <c r="AB1292" i="123"/>
  <c r="AC1292" i="123" s="1"/>
  <c r="AJ1292" i="123"/>
  <c r="AK1292" i="123"/>
  <c r="AL1292" i="123"/>
  <c r="AO1292" i="123"/>
  <c r="AP1292" i="123"/>
  <c r="AQ1292" i="123" s="1"/>
  <c r="AT1292" i="123"/>
  <c r="AU1292" i="123"/>
  <c r="K1293" i="123"/>
  <c r="L1293" i="123"/>
  <c r="M1293" i="123"/>
  <c r="N1293" i="123"/>
  <c r="O1293" i="123"/>
  <c r="P1293" i="123"/>
  <c r="Q1293" i="123"/>
  <c r="R1293" i="123"/>
  <c r="T1293" i="123" s="1"/>
  <c r="S1293" i="123"/>
  <c r="X1293" i="123"/>
  <c r="Y1293" i="123"/>
  <c r="AA1293" i="123" s="1"/>
  <c r="AB1293" i="123"/>
  <c r="AC1293" i="123" s="1"/>
  <c r="AJ1293" i="123"/>
  <c r="AK1293" i="123"/>
  <c r="AL1293" i="123"/>
  <c r="AO1293" i="123"/>
  <c r="AP1293" i="123"/>
  <c r="AQ1293" i="123" s="1"/>
  <c r="AT1293" i="123"/>
  <c r="AU1293" i="123"/>
  <c r="K1294" i="123"/>
  <c r="L1294" i="123"/>
  <c r="M1294" i="123"/>
  <c r="N1294" i="123"/>
  <c r="O1294" i="123"/>
  <c r="P1294" i="123"/>
  <c r="Q1294" i="123"/>
  <c r="R1294" i="123"/>
  <c r="T1294" i="123" s="1"/>
  <c r="V1294" i="123" s="1"/>
  <c r="S1294" i="123"/>
  <c r="X1294" i="123"/>
  <c r="Y1294" i="123"/>
  <c r="Z1294" i="123" s="1"/>
  <c r="AB1294" i="123"/>
  <c r="AD1294" i="123" s="1"/>
  <c r="AJ1294" i="123"/>
  <c r="AK1294" i="123"/>
  <c r="AL1294" i="123"/>
  <c r="AO1294" i="123"/>
  <c r="AP1294" i="123"/>
  <c r="AQ1294" i="123" s="1"/>
  <c r="AT1294" i="123"/>
  <c r="AU1294" i="123"/>
  <c r="K1295" i="123"/>
  <c r="L1295" i="123"/>
  <c r="M1295" i="123"/>
  <c r="N1295" i="123"/>
  <c r="O1295" i="123"/>
  <c r="P1295" i="123"/>
  <c r="Q1295" i="123"/>
  <c r="R1295" i="123"/>
  <c r="T1295" i="123" s="1"/>
  <c r="S1295" i="123"/>
  <c r="X1295" i="123"/>
  <c r="Y1295" i="123"/>
  <c r="Z1295" i="123" s="1"/>
  <c r="AB1295" i="123"/>
  <c r="AC1295" i="123" s="1"/>
  <c r="AJ1295" i="123"/>
  <c r="AK1295" i="123"/>
  <c r="AL1295" i="123"/>
  <c r="AO1295" i="123"/>
  <c r="AP1295" i="123"/>
  <c r="AT1295" i="123"/>
  <c r="AU1295" i="123"/>
  <c r="K1296" i="123"/>
  <c r="L1296" i="123"/>
  <c r="M1296" i="123"/>
  <c r="N1296" i="123"/>
  <c r="O1296" i="123"/>
  <c r="P1296" i="123"/>
  <c r="Q1296" i="123"/>
  <c r="R1296" i="123"/>
  <c r="T1296" i="123" s="1"/>
  <c r="S1296" i="123"/>
  <c r="X1296" i="123"/>
  <c r="Y1296" i="123"/>
  <c r="Z1296" i="123" s="1"/>
  <c r="AB1296" i="123"/>
  <c r="AC1296" i="123" s="1"/>
  <c r="AJ1296" i="123"/>
  <c r="AK1296" i="123"/>
  <c r="AL1296" i="123"/>
  <c r="AO1296" i="123"/>
  <c r="AP1296" i="123"/>
  <c r="AQ1296" i="123" s="1"/>
  <c r="AT1296" i="123"/>
  <c r="AU1296" i="123"/>
  <c r="K1297" i="123"/>
  <c r="L1297" i="123"/>
  <c r="M1297" i="123"/>
  <c r="N1297" i="123"/>
  <c r="O1297" i="123"/>
  <c r="P1297" i="123"/>
  <c r="Q1297" i="123"/>
  <c r="R1297" i="123"/>
  <c r="T1297" i="123" s="1"/>
  <c r="S1297" i="123"/>
  <c r="X1297" i="123"/>
  <c r="Y1297" i="123"/>
  <c r="AA1297" i="123" s="1"/>
  <c r="AB1297" i="123"/>
  <c r="AC1297" i="123" s="1"/>
  <c r="AJ1297" i="123"/>
  <c r="AK1297" i="123"/>
  <c r="AL1297" i="123"/>
  <c r="AO1297" i="123"/>
  <c r="AP1297" i="123"/>
  <c r="AQ1297" i="123" s="1"/>
  <c r="AT1297" i="123"/>
  <c r="AU1297" i="123"/>
  <c r="K1298" i="123"/>
  <c r="L1298" i="123"/>
  <c r="M1298" i="123"/>
  <c r="N1298" i="123"/>
  <c r="O1298" i="123"/>
  <c r="P1298" i="123"/>
  <c r="Q1298" i="123"/>
  <c r="R1298" i="123"/>
  <c r="T1298" i="123" s="1"/>
  <c r="S1298" i="123"/>
  <c r="X1298" i="123"/>
  <c r="Y1298" i="123"/>
  <c r="Z1298" i="123" s="1"/>
  <c r="AB1298" i="123"/>
  <c r="AD1298" i="123" s="1"/>
  <c r="AJ1298" i="123"/>
  <c r="AK1298" i="123"/>
  <c r="AL1298" i="123"/>
  <c r="AO1298" i="123"/>
  <c r="AP1298" i="123"/>
  <c r="AQ1298" i="123" s="1"/>
  <c r="AT1298" i="123"/>
  <c r="AU1298" i="123"/>
  <c r="K1299" i="123"/>
  <c r="L1299" i="123"/>
  <c r="M1299" i="123"/>
  <c r="N1299" i="123"/>
  <c r="O1299" i="123"/>
  <c r="P1299" i="123"/>
  <c r="Q1299" i="123"/>
  <c r="R1299" i="123"/>
  <c r="T1299" i="123" s="1"/>
  <c r="S1299" i="123"/>
  <c r="X1299" i="123"/>
  <c r="Y1299" i="123"/>
  <c r="Z1299" i="123" s="1"/>
  <c r="AB1299" i="123"/>
  <c r="AC1299" i="123" s="1"/>
  <c r="AJ1299" i="123"/>
  <c r="AK1299" i="123"/>
  <c r="AL1299" i="123"/>
  <c r="AO1299" i="123"/>
  <c r="AP1299" i="123"/>
  <c r="AT1299" i="123"/>
  <c r="AU1299" i="123"/>
  <c r="K1300" i="123"/>
  <c r="L1300" i="123"/>
  <c r="M1300" i="123"/>
  <c r="N1300" i="123"/>
  <c r="O1300" i="123"/>
  <c r="P1300" i="123"/>
  <c r="Q1300" i="123"/>
  <c r="R1300" i="123"/>
  <c r="T1300" i="123" s="1"/>
  <c r="S1300" i="123"/>
  <c r="X1300" i="123"/>
  <c r="Y1300" i="123"/>
  <c r="Z1300" i="123" s="1"/>
  <c r="AB1300" i="123"/>
  <c r="AC1300" i="123" s="1"/>
  <c r="AJ1300" i="123"/>
  <c r="AK1300" i="123"/>
  <c r="AL1300" i="123"/>
  <c r="AO1300" i="123"/>
  <c r="AP1300" i="123"/>
  <c r="AT1300" i="123"/>
  <c r="AU1300" i="123"/>
  <c r="K1301" i="123"/>
  <c r="L1301" i="123"/>
  <c r="M1301" i="123"/>
  <c r="N1301" i="123"/>
  <c r="O1301" i="123"/>
  <c r="P1301" i="123"/>
  <c r="Q1301" i="123"/>
  <c r="R1301" i="123"/>
  <c r="T1301" i="123" s="1"/>
  <c r="S1301" i="123"/>
  <c r="X1301" i="123"/>
  <c r="Y1301" i="123"/>
  <c r="AA1301" i="123" s="1"/>
  <c r="AB1301" i="123"/>
  <c r="AC1301" i="123" s="1"/>
  <c r="AJ1301" i="123"/>
  <c r="AK1301" i="123"/>
  <c r="AL1301" i="123"/>
  <c r="AO1301" i="123"/>
  <c r="AP1301" i="123"/>
  <c r="AQ1301" i="123" s="1"/>
  <c r="AT1301" i="123"/>
  <c r="AU1301" i="123"/>
  <c r="K1302" i="123"/>
  <c r="L1302" i="123"/>
  <c r="M1302" i="123"/>
  <c r="N1302" i="123"/>
  <c r="O1302" i="123"/>
  <c r="P1302" i="123"/>
  <c r="Q1302" i="123"/>
  <c r="R1302" i="123"/>
  <c r="T1302" i="123" s="1"/>
  <c r="S1302" i="123"/>
  <c r="X1302" i="123"/>
  <c r="Y1302" i="123"/>
  <c r="Z1302" i="123" s="1"/>
  <c r="AB1302" i="123"/>
  <c r="AD1302" i="123" s="1"/>
  <c r="AJ1302" i="123"/>
  <c r="AK1302" i="123"/>
  <c r="AL1302" i="123"/>
  <c r="AO1302" i="123"/>
  <c r="AP1302" i="123"/>
  <c r="AQ1302" i="123" s="1"/>
  <c r="AT1302" i="123"/>
  <c r="AU1302" i="123"/>
  <c r="K1303" i="123"/>
  <c r="L1303" i="123"/>
  <c r="M1303" i="123"/>
  <c r="N1303" i="123"/>
  <c r="O1303" i="123"/>
  <c r="P1303" i="123"/>
  <c r="Q1303" i="123"/>
  <c r="R1303" i="123"/>
  <c r="T1303" i="123" s="1"/>
  <c r="S1303" i="123"/>
  <c r="X1303" i="123"/>
  <c r="Y1303" i="123"/>
  <c r="Z1303" i="123" s="1"/>
  <c r="AB1303" i="123"/>
  <c r="AJ1303" i="123"/>
  <c r="AK1303" i="123"/>
  <c r="AL1303" i="123"/>
  <c r="AO1303" i="123"/>
  <c r="AP1303" i="123"/>
  <c r="AQ1303" i="123" s="1"/>
  <c r="AT1303" i="123"/>
  <c r="AU1303" i="123"/>
  <c r="K1304" i="123"/>
  <c r="L1304" i="123"/>
  <c r="M1304" i="123"/>
  <c r="N1304" i="123"/>
  <c r="O1304" i="123"/>
  <c r="P1304" i="123"/>
  <c r="Q1304" i="123"/>
  <c r="R1304" i="123"/>
  <c r="T1304" i="123" s="1"/>
  <c r="W1304" i="123" s="1"/>
  <c r="S1304" i="123"/>
  <c r="X1304" i="123"/>
  <c r="Y1304" i="123"/>
  <c r="Z1304" i="123" s="1"/>
  <c r="AB1304" i="123"/>
  <c r="AC1304" i="123" s="1"/>
  <c r="AJ1304" i="123"/>
  <c r="AK1304" i="123"/>
  <c r="AL1304" i="123"/>
  <c r="AO1304" i="123"/>
  <c r="AP1304" i="123"/>
  <c r="AQ1304" i="123" s="1"/>
  <c r="AT1304" i="123"/>
  <c r="AU1304" i="123"/>
  <c r="K1305" i="123"/>
  <c r="L1305" i="123"/>
  <c r="M1305" i="123"/>
  <c r="N1305" i="123"/>
  <c r="O1305" i="123"/>
  <c r="P1305" i="123"/>
  <c r="Q1305" i="123"/>
  <c r="R1305" i="123"/>
  <c r="T1305" i="123" s="1"/>
  <c r="V1305" i="123" s="1"/>
  <c r="S1305" i="123"/>
  <c r="X1305" i="123"/>
  <c r="Y1305" i="123"/>
  <c r="AA1305" i="123" s="1"/>
  <c r="AB1305" i="123"/>
  <c r="AC1305" i="123" s="1"/>
  <c r="AJ1305" i="123"/>
  <c r="AK1305" i="123"/>
  <c r="AL1305" i="123"/>
  <c r="AO1305" i="123"/>
  <c r="AP1305" i="123"/>
  <c r="AQ1305" i="123" s="1"/>
  <c r="AT1305" i="123"/>
  <c r="AU1305" i="123"/>
  <c r="K1306" i="123"/>
  <c r="L1306" i="123"/>
  <c r="M1306" i="123"/>
  <c r="N1306" i="123"/>
  <c r="O1306" i="123"/>
  <c r="P1306" i="123"/>
  <c r="Q1306" i="123"/>
  <c r="R1306" i="123"/>
  <c r="T1306" i="123" s="1"/>
  <c r="S1306" i="123"/>
  <c r="X1306" i="123"/>
  <c r="Y1306" i="123"/>
  <c r="AB1306" i="123"/>
  <c r="AD1306" i="123" s="1"/>
  <c r="AJ1306" i="123"/>
  <c r="AK1306" i="123"/>
  <c r="AL1306" i="123"/>
  <c r="AO1306" i="123"/>
  <c r="AP1306" i="123"/>
  <c r="AT1306" i="123"/>
  <c r="AU1306" i="123"/>
  <c r="K1307" i="123"/>
  <c r="L1307" i="123"/>
  <c r="M1307" i="123"/>
  <c r="N1307" i="123"/>
  <c r="O1307" i="123"/>
  <c r="P1307" i="123"/>
  <c r="Q1307" i="123"/>
  <c r="R1307" i="123"/>
  <c r="T1307" i="123" s="1"/>
  <c r="S1307" i="123"/>
  <c r="X1307" i="123"/>
  <c r="Y1307" i="123"/>
  <c r="Z1307" i="123" s="1"/>
  <c r="AB1307" i="123"/>
  <c r="AJ1307" i="123"/>
  <c r="AK1307" i="123"/>
  <c r="AL1307" i="123"/>
  <c r="AO1307" i="123"/>
  <c r="AP1307" i="123"/>
  <c r="AQ1307" i="123" s="1"/>
  <c r="AT1307" i="123"/>
  <c r="AU1307" i="123"/>
  <c r="K1308" i="123"/>
  <c r="L1308" i="123"/>
  <c r="M1308" i="123"/>
  <c r="N1308" i="123"/>
  <c r="O1308" i="123"/>
  <c r="P1308" i="123"/>
  <c r="Q1308" i="123"/>
  <c r="R1308" i="123"/>
  <c r="T1308" i="123" s="1"/>
  <c r="W1308" i="123" s="1"/>
  <c r="S1308" i="123"/>
  <c r="X1308" i="123"/>
  <c r="Y1308" i="123"/>
  <c r="Z1308" i="123" s="1"/>
  <c r="AB1308" i="123"/>
  <c r="AD1308" i="123" s="1"/>
  <c r="AJ1308" i="123"/>
  <c r="AK1308" i="123"/>
  <c r="AL1308" i="123"/>
  <c r="AO1308" i="123"/>
  <c r="AP1308" i="123"/>
  <c r="AQ1308" i="123" s="1"/>
  <c r="AT1308" i="123"/>
  <c r="AU1308" i="123"/>
  <c r="K1309" i="123"/>
  <c r="L1309" i="123"/>
  <c r="M1309" i="123"/>
  <c r="N1309" i="123"/>
  <c r="O1309" i="123"/>
  <c r="P1309" i="123"/>
  <c r="Q1309" i="123"/>
  <c r="R1309" i="123"/>
  <c r="T1309" i="123" s="1"/>
  <c r="V1309" i="123" s="1"/>
  <c r="S1309" i="123"/>
  <c r="X1309" i="123"/>
  <c r="Y1309" i="123"/>
  <c r="AA1309" i="123" s="1"/>
  <c r="AB1309" i="123"/>
  <c r="AC1309" i="123" s="1"/>
  <c r="AJ1309" i="123"/>
  <c r="AK1309" i="123"/>
  <c r="AL1309" i="123"/>
  <c r="AO1309" i="123"/>
  <c r="AP1309" i="123"/>
  <c r="AQ1309" i="123" s="1"/>
  <c r="AT1309" i="123"/>
  <c r="AU1309" i="123"/>
  <c r="K1310" i="123"/>
  <c r="L1310" i="123"/>
  <c r="M1310" i="123"/>
  <c r="N1310" i="123"/>
  <c r="O1310" i="123"/>
  <c r="P1310" i="123"/>
  <c r="Q1310" i="123"/>
  <c r="R1310" i="123"/>
  <c r="T1310" i="123" s="1"/>
  <c r="S1310" i="123"/>
  <c r="X1310" i="123"/>
  <c r="Y1310" i="123"/>
  <c r="AB1310" i="123"/>
  <c r="AD1310" i="123" s="1"/>
  <c r="AJ1310" i="123"/>
  <c r="AK1310" i="123"/>
  <c r="AL1310" i="123"/>
  <c r="AO1310" i="123"/>
  <c r="AP1310" i="123"/>
  <c r="AT1310" i="123"/>
  <c r="AU1310" i="123"/>
  <c r="K1311" i="123"/>
  <c r="L1311" i="123"/>
  <c r="M1311" i="123"/>
  <c r="N1311" i="123"/>
  <c r="O1311" i="123"/>
  <c r="P1311" i="123"/>
  <c r="Q1311" i="123"/>
  <c r="R1311" i="123"/>
  <c r="T1311" i="123" s="1"/>
  <c r="S1311" i="123"/>
  <c r="X1311" i="123"/>
  <c r="Y1311" i="123"/>
  <c r="Z1311" i="123" s="1"/>
  <c r="AB1311" i="123"/>
  <c r="AJ1311" i="123"/>
  <c r="AK1311" i="123"/>
  <c r="AL1311" i="123"/>
  <c r="AO1311" i="123"/>
  <c r="AP1311" i="123"/>
  <c r="AQ1311" i="123" s="1"/>
  <c r="AT1311" i="123"/>
  <c r="AU1311" i="123"/>
  <c r="K1312" i="123"/>
  <c r="L1312" i="123"/>
  <c r="M1312" i="123"/>
  <c r="N1312" i="123"/>
  <c r="O1312" i="123"/>
  <c r="P1312" i="123"/>
  <c r="Q1312" i="123"/>
  <c r="R1312" i="123"/>
  <c r="T1312" i="123" s="1"/>
  <c r="W1312" i="123" s="1"/>
  <c r="S1312" i="123"/>
  <c r="X1312" i="123"/>
  <c r="Y1312" i="123"/>
  <c r="Z1312" i="123" s="1"/>
  <c r="AB1312" i="123"/>
  <c r="AJ1312" i="123"/>
  <c r="AK1312" i="123"/>
  <c r="AL1312" i="123"/>
  <c r="AO1312" i="123"/>
  <c r="AP1312" i="123"/>
  <c r="AQ1312" i="123" s="1"/>
  <c r="AT1312" i="123"/>
  <c r="AU1312" i="123"/>
  <c r="K1313" i="123"/>
  <c r="L1313" i="123"/>
  <c r="M1313" i="123"/>
  <c r="N1313" i="123"/>
  <c r="O1313" i="123"/>
  <c r="P1313" i="123"/>
  <c r="Q1313" i="123"/>
  <c r="R1313" i="123"/>
  <c r="T1313" i="123" s="1"/>
  <c r="V1313" i="123" s="1"/>
  <c r="S1313" i="123"/>
  <c r="X1313" i="123"/>
  <c r="Y1313" i="123"/>
  <c r="AA1313" i="123" s="1"/>
  <c r="AB1313" i="123"/>
  <c r="AC1313" i="123" s="1"/>
  <c r="AJ1313" i="123"/>
  <c r="AK1313" i="123"/>
  <c r="AL1313" i="123"/>
  <c r="AO1313" i="123"/>
  <c r="AP1313" i="123"/>
  <c r="AQ1313" i="123" s="1"/>
  <c r="AT1313" i="123"/>
  <c r="AU1313" i="123"/>
  <c r="K1314" i="123"/>
  <c r="L1314" i="123"/>
  <c r="M1314" i="123"/>
  <c r="N1314" i="123"/>
  <c r="O1314" i="123"/>
  <c r="P1314" i="123"/>
  <c r="Q1314" i="123"/>
  <c r="R1314" i="123"/>
  <c r="T1314" i="123" s="1"/>
  <c r="V1314" i="123" s="1"/>
  <c r="S1314" i="123"/>
  <c r="X1314" i="123"/>
  <c r="Y1314" i="123"/>
  <c r="AB1314" i="123"/>
  <c r="AD1314" i="123" s="1"/>
  <c r="AJ1314" i="123"/>
  <c r="AK1314" i="123"/>
  <c r="AL1314" i="123"/>
  <c r="AO1314" i="123"/>
  <c r="AP1314" i="123"/>
  <c r="AT1314" i="123"/>
  <c r="AU1314" i="123"/>
  <c r="K1315" i="123"/>
  <c r="L1315" i="123"/>
  <c r="M1315" i="123"/>
  <c r="N1315" i="123"/>
  <c r="O1315" i="123"/>
  <c r="P1315" i="123"/>
  <c r="Q1315" i="123"/>
  <c r="R1315" i="123"/>
  <c r="T1315" i="123" s="1"/>
  <c r="S1315" i="123"/>
  <c r="X1315" i="123"/>
  <c r="Y1315" i="123"/>
  <c r="AB1315" i="123"/>
  <c r="AJ1315" i="123"/>
  <c r="AK1315" i="123"/>
  <c r="AL1315" i="123"/>
  <c r="AO1315" i="123"/>
  <c r="AP1315" i="123"/>
  <c r="AQ1315" i="123" s="1"/>
  <c r="AT1315" i="123"/>
  <c r="AU1315" i="123"/>
  <c r="K1316" i="123"/>
  <c r="L1316" i="123"/>
  <c r="M1316" i="123"/>
  <c r="N1316" i="123"/>
  <c r="O1316" i="123"/>
  <c r="P1316" i="123"/>
  <c r="Q1316" i="123"/>
  <c r="R1316" i="123"/>
  <c r="T1316" i="123" s="1"/>
  <c r="W1316" i="123" s="1"/>
  <c r="S1316" i="123"/>
  <c r="X1316" i="123"/>
  <c r="Y1316" i="123"/>
  <c r="AA1316" i="123" s="1"/>
  <c r="AB1316" i="123"/>
  <c r="AJ1316" i="123"/>
  <c r="AK1316" i="123"/>
  <c r="AL1316" i="123"/>
  <c r="AO1316" i="123"/>
  <c r="AP1316" i="123"/>
  <c r="AQ1316" i="123" s="1"/>
  <c r="AT1316" i="123"/>
  <c r="AU1316" i="123"/>
  <c r="K1317" i="123"/>
  <c r="L1317" i="123"/>
  <c r="M1317" i="123"/>
  <c r="N1317" i="123"/>
  <c r="O1317" i="123"/>
  <c r="P1317" i="123"/>
  <c r="Q1317" i="123"/>
  <c r="R1317" i="123"/>
  <c r="T1317" i="123" s="1"/>
  <c r="S1317" i="123"/>
  <c r="X1317" i="123"/>
  <c r="Y1317" i="123"/>
  <c r="AA1317" i="123" s="1"/>
  <c r="AB1317" i="123"/>
  <c r="AD1317" i="123" s="1"/>
  <c r="AJ1317" i="123"/>
  <c r="AK1317" i="123"/>
  <c r="AL1317" i="123"/>
  <c r="AO1317" i="123"/>
  <c r="AP1317" i="123"/>
  <c r="AT1317" i="123"/>
  <c r="AU1317" i="123"/>
  <c r="K1318" i="123"/>
  <c r="L1318" i="123"/>
  <c r="M1318" i="123"/>
  <c r="N1318" i="123"/>
  <c r="O1318" i="123"/>
  <c r="P1318" i="123"/>
  <c r="Q1318" i="123"/>
  <c r="R1318" i="123"/>
  <c r="T1318" i="123" s="1"/>
  <c r="S1318" i="123"/>
  <c r="X1318" i="123"/>
  <c r="Y1318" i="123"/>
  <c r="Z1318" i="123" s="1"/>
  <c r="AB1318" i="123"/>
  <c r="AD1318" i="123" s="1"/>
  <c r="AJ1318" i="123"/>
  <c r="AK1318" i="123"/>
  <c r="AL1318" i="123"/>
  <c r="AO1318" i="123"/>
  <c r="AP1318" i="123"/>
  <c r="AQ1318" i="123" s="1"/>
  <c r="AT1318" i="123"/>
  <c r="AU1318" i="123"/>
  <c r="K1319" i="123"/>
  <c r="L1319" i="123"/>
  <c r="M1319" i="123"/>
  <c r="N1319" i="123"/>
  <c r="O1319" i="123"/>
  <c r="P1319" i="123"/>
  <c r="Q1319" i="123"/>
  <c r="R1319" i="123"/>
  <c r="T1319" i="123" s="1"/>
  <c r="S1319" i="123"/>
  <c r="X1319" i="123"/>
  <c r="Y1319" i="123"/>
  <c r="AB1319" i="123"/>
  <c r="AC1319" i="123" s="1"/>
  <c r="AJ1319" i="123"/>
  <c r="AK1319" i="123"/>
  <c r="AL1319" i="123"/>
  <c r="AO1319" i="123"/>
  <c r="AP1319" i="123"/>
  <c r="AQ1319" i="123" s="1"/>
  <c r="AT1319" i="123"/>
  <c r="AU1319" i="123"/>
  <c r="K1320" i="123"/>
  <c r="L1320" i="123"/>
  <c r="M1320" i="123"/>
  <c r="N1320" i="123"/>
  <c r="O1320" i="123"/>
  <c r="P1320" i="123"/>
  <c r="Q1320" i="123"/>
  <c r="R1320" i="123"/>
  <c r="T1320" i="123" s="1"/>
  <c r="W1320" i="123" s="1"/>
  <c r="S1320" i="123"/>
  <c r="X1320" i="123"/>
  <c r="Y1320" i="123"/>
  <c r="Z1320" i="123" s="1"/>
  <c r="AB1320" i="123"/>
  <c r="AJ1320" i="123"/>
  <c r="AK1320" i="123"/>
  <c r="AL1320" i="123"/>
  <c r="AO1320" i="123"/>
  <c r="AP1320" i="123"/>
  <c r="AT1320" i="123"/>
  <c r="AU1320" i="123"/>
  <c r="K1321" i="123"/>
  <c r="L1321" i="123"/>
  <c r="M1321" i="123"/>
  <c r="N1321" i="123"/>
  <c r="O1321" i="123"/>
  <c r="P1321" i="123"/>
  <c r="Q1321" i="123"/>
  <c r="R1321" i="123"/>
  <c r="T1321" i="123" s="1"/>
  <c r="S1321" i="123"/>
  <c r="X1321" i="123"/>
  <c r="Y1321" i="123"/>
  <c r="AA1321" i="123" s="1"/>
  <c r="AB1321" i="123"/>
  <c r="AC1321" i="123" s="1"/>
  <c r="AJ1321" i="123"/>
  <c r="AK1321" i="123"/>
  <c r="AL1321" i="123"/>
  <c r="AO1321" i="123"/>
  <c r="AP1321" i="123"/>
  <c r="AQ1321" i="123" s="1"/>
  <c r="AT1321" i="123"/>
  <c r="AU1321" i="123"/>
  <c r="K1322" i="123"/>
  <c r="L1322" i="123"/>
  <c r="M1322" i="123"/>
  <c r="N1322" i="123"/>
  <c r="O1322" i="123"/>
  <c r="P1322" i="123"/>
  <c r="Q1322" i="123"/>
  <c r="R1322" i="123"/>
  <c r="T1322" i="123" s="1"/>
  <c r="V1322" i="123" s="1"/>
  <c r="S1322" i="123"/>
  <c r="X1322" i="123"/>
  <c r="Y1322" i="123"/>
  <c r="Z1322" i="123" s="1"/>
  <c r="AB1322" i="123"/>
  <c r="AD1322" i="123" s="1"/>
  <c r="AJ1322" i="123"/>
  <c r="AK1322" i="123"/>
  <c r="AL1322" i="123"/>
  <c r="AO1322" i="123"/>
  <c r="AP1322" i="123"/>
  <c r="AQ1322" i="123" s="1"/>
  <c r="AT1322" i="123"/>
  <c r="AU1322" i="123"/>
  <c r="K1323" i="123"/>
  <c r="L1323" i="123"/>
  <c r="M1323" i="123"/>
  <c r="N1323" i="123"/>
  <c r="O1323" i="123"/>
  <c r="P1323" i="123"/>
  <c r="Q1323" i="123"/>
  <c r="R1323" i="123"/>
  <c r="T1323" i="123" s="1"/>
  <c r="V1323" i="123" s="1"/>
  <c r="S1323" i="123"/>
  <c r="X1323" i="123"/>
  <c r="Y1323" i="123"/>
  <c r="Z1323" i="123" s="1"/>
  <c r="AB1323" i="123"/>
  <c r="AC1323" i="123" s="1"/>
  <c r="AJ1323" i="123"/>
  <c r="AK1323" i="123"/>
  <c r="AL1323" i="123"/>
  <c r="AO1323" i="123"/>
  <c r="AP1323" i="123"/>
  <c r="AQ1323" i="123" s="1"/>
  <c r="AT1323" i="123"/>
  <c r="AU1323" i="123"/>
  <c r="K1324" i="123"/>
  <c r="L1324" i="123"/>
  <c r="M1324" i="123"/>
  <c r="N1324" i="123"/>
  <c r="O1324" i="123"/>
  <c r="P1324" i="123"/>
  <c r="Q1324" i="123"/>
  <c r="R1324" i="123"/>
  <c r="T1324" i="123" s="1"/>
  <c r="W1324" i="123" s="1"/>
  <c r="S1324" i="123"/>
  <c r="X1324" i="123"/>
  <c r="Y1324" i="123"/>
  <c r="AA1324" i="123" s="1"/>
  <c r="AB1324" i="123"/>
  <c r="AD1324" i="123" s="1"/>
  <c r="AJ1324" i="123"/>
  <c r="AK1324" i="123"/>
  <c r="AL1324" i="123"/>
  <c r="AO1324" i="123"/>
  <c r="AP1324" i="123"/>
  <c r="AQ1324" i="123" s="1"/>
  <c r="AT1324" i="123"/>
  <c r="AU1324" i="123"/>
  <c r="K1325" i="123"/>
  <c r="L1325" i="123"/>
  <c r="M1325" i="123"/>
  <c r="N1325" i="123"/>
  <c r="O1325" i="123"/>
  <c r="P1325" i="123"/>
  <c r="Q1325" i="123"/>
  <c r="R1325" i="123"/>
  <c r="T1325" i="123" s="1"/>
  <c r="V1325" i="123" s="1"/>
  <c r="S1325" i="123"/>
  <c r="X1325" i="123"/>
  <c r="Y1325" i="123"/>
  <c r="AA1325" i="123" s="1"/>
  <c r="AB1325" i="123"/>
  <c r="AC1325" i="123" s="1"/>
  <c r="AJ1325" i="123"/>
  <c r="AK1325" i="123"/>
  <c r="AL1325" i="123"/>
  <c r="AO1325" i="123"/>
  <c r="AP1325" i="123"/>
  <c r="AQ1325" i="123" s="1"/>
  <c r="AT1325" i="123"/>
  <c r="AU1325" i="123"/>
  <c r="K1326" i="123"/>
  <c r="L1326" i="123"/>
  <c r="M1326" i="123"/>
  <c r="N1326" i="123"/>
  <c r="O1326" i="123"/>
  <c r="P1326" i="123"/>
  <c r="Q1326" i="123"/>
  <c r="R1326" i="123"/>
  <c r="T1326" i="123" s="1"/>
  <c r="S1326" i="123"/>
  <c r="X1326" i="123"/>
  <c r="Y1326" i="123"/>
  <c r="Z1326" i="123" s="1"/>
  <c r="AB1326" i="123"/>
  <c r="AC1326" i="123" s="1"/>
  <c r="AJ1326" i="123"/>
  <c r="AK1326" i="123"/>
  <c r="AL1326" i="123"/>
  <c r="AO1326" i="123"/>
  <c r="AP1326" i="123"/>
  <c r="AQ1326" i="123" s="1"/>
  <c r="AT1326" i="123"/>
  <c r="AU1326" i="123"/>
  <c r="K1327" i="123"/>
  <c r="L1327" i="123"/>
  <c r="M1327" i="123"/>
  <c r="N1327" i="123"/>
  <c r="O1327" i="123"/>
  <c r="P1327" i="123"/>
  <c r="Q1327" i="123"/>
  <c r="R1327" i="123"/>
  <c r="T1327" i="123" s="1"/>
  <c r="S1327" i="123"/>
  <c r="X1327" i="123"/>
  <c r="Y1327" i="123"/>
  <c r="AA1327" i="123" s="1"/>
  <c r="AB1327" i="123"/>
  <c r="AD1327" i="123" s="1"/>
  <c r="AJ1327" i="123"/>
  <c r="AK1327" i="123"/>
  <c r="AL1327" i="123"/>
  <c r="AO1327" i="123"/>
  <c r="AP1327" i="123"/>
  <c r="AQ1327" i="123" s="1"/>
  <c r="AT1327" i="123"/>
  <c r="AU1327" i="123"/>
  <c r="K1328" i="123"/>
  <c r="L1328" i="123"/>
  <c r="M1328" i="123"/>
  <c r="N1328" i="123"/>
  <c r="O1328" i="123"/>
  <c r="P1328" i="123"/>
  <c r="Q1328" i="123"/>
  <c r="R1328" i="123"/>
  <c r="T1328" i="123" s="1"/>
  <c r="V1328" i="123" s="1"/>
  <c r="S1328" i="123"/>
  <c r="X1328" i="123"/>
  <c r="Y1328" i="123"/>
  <c r="Z1328" i="123" s="1"/>
  <c r="AB1328" i="123"/>
  <c r="AJ1328" i="123"/>
  <c r="AK1328" i="123"/>
  <c r="AL1328" i="123"/>
  <c r="AO1328" i="123"/>
  <c r="AP1328" i="123"/>
  <c r="AQ1328" i="123" s="1"/>
  <c r="AT1328" i="123"/>
  <c r="AU1328" i="123"/>
  <c r="K1329" i="123"/>
  <c r="L1329" i="123"/>
  <c r="M1329" i="123"/>
  <c r="N1329" i="123"/>
  <c r="O1329" i="123"/>
  <c r="P1329" i="123"/>
  <c r="Q1329" i="123"/>
  <c r="R1329" i="123"/>
  <c r="T1329" i="123" s="1"/>
  <c r="W1329" i="123" s="1"/>
  <c r="S1329" i="123"/>
  <c r="X1329" i="123"/>
  <c r="Y1329" i="123"/>
  <c r="Z1329" i="123" s="1"/>
  <c r="AB1329" i="123"/>
  <c r="AJ1329" i="123"/>
  <c r="AK1329" i="123"/>
  <c r="AL1329" i="123"/>
  <c r="AO1329" i="123"/>
  <c r="AP1329" i="123"/>
  <c r="AQ1329" i="123" s="1"/>
  <c r="AT1329" i="123"/>
  <c r="AU1329" i="123"/>
  <c r="K1330" i="123"/>
  <c r="L1330" i="123"/>
  <c r="M1330" i="123"/>
  <c r="N1330" i="123"/>
  <c r="O1330" i="123"/>
  <c r="P1330" i="123"/>
  <c r="Q1330" i="123"/>
  <c r="R1330" i="123"/>
  <c r="T1330" i="123" s="1"/>
  <c r="S1330" i="123"/>
  <c r="X1330" i="123"/>
  <c r="Y1330" i="123"/>
  <c r="AA1330" i="123" s="1"/>
  <c r="AB1330" i="123"/>
  <c r="AC1330" i="123" s="1"/>
  <c r="AJ1330" i="123"/>
  <c r="AK1330" i="123"/>
  <c r="AL1330" i="123"/>
  <c r="AO1330" i="123"/>
  <c r="AP1330" i="123"/>
  <c r="AQ1330" i="123" s="1"/>
  <c r="AT1330" i="123"/>
  <c r="AU1330" i="123"/>
  <c r="K1331" i="123"/>
  <c r="L1331" i="123"/>
  <c r="M1331" i="123"/>
  <c r="N1331" i="123"/>
  <c r="O1331" i="123"/>
  <c r="P1331" i="123"/>
  <c r="Q1331" i="123"/>
  <c r="R1331" i="123"/>
  <c r="T1331" i="123" s="1"/>
  <c r="V1331" i="123" s="1"/>
  <c r="S1331" i="123"/>
  <c r="X1331" i="123"/>
  <c r="Y1331" i="123"/>
  <c r="Z1331" i="123" s="1"/>
  <c r="AB1331" i="123"/>
  <c r="AJ1331" i="123"/>
  <c r="AK1331" i="123"/>
  <c r="AL1331" i="123"/>
  <c r="AO1331" i="123"/>
  <c r="AP1331" i="123"/>
  <c r="AQ1331" i="123" s="1"/>
  <c r="AT1331" i="123"/>
  <c r="AU1331" i="123"/>
  <c r="K1332" i="123"/>
  <c r="L1332" i="123"/>
  <c r="M1332" i="123"/>
  <c r="N1332" i="123"/>
  <c r="O1332" i="123"/>
  <c r="P1332" i="123"/>
  <c r="Q1332" i="123"/>
  <c r="R1332" i="123"/>
  <c r="T1332" i="123" s="1"/>
  <c r="S1332" i="123"/>
  <c r="X1332" i="123"/>
  <c r="Y1332" i="123"/>
  <c r="Z1332" i="123" s="1"/>
  <c r="AB1332" i="123"/>
  <c r="AD1332" i="123" s="1"/>
  <c r="AJ1332" i="123"/>
  <c r="AK1332" i="123"/>
  <c r="AL1332" i="123"/>
  <c r="AO1332" i="123"/>
  <c r="AP1332" i="123"/>
  <c r="AQ1332" i="123" s="1"/>
  <c r="AT1332" i="123"/>
  <c r="AU1332" i="123"/>
  <c r="K1333" i="123"/>
  <c r="L1333" i="123"/>
  <c r="M1333" i="123"/>
  <c r="N1333" i="123"/>
  <c r="O1333" i="123"/>
  <c r="P1333" i="123"/>
  <c r="Q1333" i="123"/>
  <c r="R1333" i="123"/>
  <c r="T1333" i="123" s="1"/>
  <c r="S1333" i="123"/>
  <c r="X1333" i="123"/>
  <c r="Y1333" i="123"/>
  <c r="AA1333" i="123" s="1"/>
  <c r="AB1333" i="123"/>
  <c r="AC1333" i="123" s="1"/>
  <c r="AJ1333" i="123"/>
  <c r="AK1333" i="123"/>
  <c r="AL1333" i="123"/>
  <c r="AO1333" i="123"/>
  <c r="AP1333" i="123"/>
  <c r="AQ1333" i="123" s="1"/>
  <c r="AT1333" i="123"/>
  <c r="AU1333" i="123"/>
  <c r="K1334" i="123"/>
  <c r="L1334" i="123"/>
  <c r="M1334" i="123"/>
  <c r="N1334" i="123"/>
  <c r="O1334" i="123"/>
  <c r="P1334" i="123"/>
  <c r="Q1334" i="123"/>
  <c r="R1334" i="123"/>
  <c r="T1334" i="123" s="1"/>
  <c r="V1334" i="123" s="1"/>
  <c r="S1334" i="123"/>
  <c r="X1334" i="123"/>
  <c r="Y1334" i="123"/>
  <c r="Z1334" i="123" s="1"/>
  <c r="AB1334" i="123"/>
  <c r="AD1334" i="123" s="1"/>
  <c r="AJ1334" i="123"/>
  <c r="AK1334" i="123"/>
  <c r="AL1334" i="123"/>
  <c r="AO1334" i="123"/>
  <c r="AP1334" i="123"/>
  <c r="AQ1334" i="123" s="1"/>
  <c r="AT1334" i="123"/>
  <c r="AU1334" i="123"/>
  <c r="K1335" i="123"/>
  <c r="L1335" i="123"/>
  <c r="M1335" i="123"/>
  <c r="N1335" i="123"/>
  <c r="O1335" i="123"/>
  <c r="P1335" i="123"/>
  <c r="Q1335" i="123"/>
  <c r="R1335" i="123"/>
  <c r="T1335" i="123" s="1"/>
  <c r="V1335" i="123" s="1"/>
  <c r="S1335" i="123"/>
  <c r="X1335" i="123"/>
  <c r="Y1335" i="123"/>
  <c r="AA1335" i="123" s="1"/>
  <c r="AB1335" i="123"/>
  <c r="AJ1335" i="123"/>
  <c r="AK1335" i="123"/>
  <c r="AL1335" i="123"/>
  <c r="AO1335" i="123"/>
  <c r="AP1335" i="123"/>
  <c r="AQ1335" i="123" s="1"/>
  <c r="AT1335" i="123"/>
  <c r="AU1335" i="123"/>
  <c r="K1336" i="123"/>
  <c r="L1336" i="123"/>
  <c r="M1336" i="123"/>
  <c r="N1336" i="123"/>
  <c r="O1336" i="123"/>
  <c r="P1336" i="123"/>
  <c r="Q1336" i="123"/>
  <c r="R1336" i="123"/>
  <c r="T1336" i="123" s="1"/>
  <c r="W1336" i="123" s="1"/>
  <c r="S1336" i="123"/>
  <c r="X1336" i="123"/>
  <c r="Y1336" i="123"/>
  <c r="AA1336" i="123" s="1"/>
  <c r="AB1336" i="123"/>
  <c r="AD1336" i="123" s="1"/>
  <c r="AJ1336" i="123"/>
  <c r="AK1336" i="123"/>
  <c r="AL1336" i="123"/>
  <c r="AO1336" i="123"/>
  <c r="AP1336" i="123"/>
  <c r="AQ1336" i="123" s="1"/>
  <c r="AT1336" i="123"/>
  <c r="AU1336" i="123"/>
  <c r="K1337" i="123"/>
  <c r="L1337" i="123"/>
  <c r="M1337" i="123"/>
  <c r="N1337" i="123"/>
  <c r="O1337" i="123"/>
  <c r="P1337" i="123"/>
  <c r="Q1337" i="123"/>
  <c r="R1337" i="123"/>
  <c r="T1337" i="123" s="1"/>
  <c r="V1337" i="123" s="1"/>
  <c r="S1337" i="123"/>
  <c r="X1337" i="123"/>
  <c r="Y1337" i="123"/>
  <c r="Z1337" i="123" s="1"/>
  <c r="AB1337" i="123"/>
  <c r="AC1337" i="123" s="1"/>
  <c r="AJ1337" i="123"/>
  <c r="AK1337" i="123"/>
  <c r="AL1337" i="123"/>
  <c r="AO1337" i="123"/>
  <c r="AP1337" i="123"/>
  <c r="AT1337" i="123"/>
  <c r="AU1337" i="123"/>
  <c r="K1338" i="123"/>
  <c r="L1338" i="123"/>
  <c r="M1338" i="123"/>
  <c r="N1338" i="123"/>
  <c r="O1338" i="123"/>
  <c r="P1338" i="123"/>
  <c r="Q1338" i="123"/>
  <c r="R1338" i="123"/>
  <c r="T1338" i="123" s="1"/>
  <c r="V1338" i="123" s="1"/>
  <c r="S1338" i="123"/>
  <c r="X1338" i="123"/>
  <c r="Y1338" i="123"/>
  <c r="AB1338" i="123"/>
  <c r="AC1338" i="123" s="1"/>
  <c r="AJ1338" i="123"/>
  <c r="AK1338" i="123"/>
  <c r="AL1338" i="123"/>
  <c r="AO1338" i="123"/>
  <c r="AP1338" i="123"/>
  <c r="AT1338" i="123"/>
  <c r="AU1338" i="123"/>
  <c r="K1339" i="123"/>
  <c r="L1339" i="123"/>
  <c r="M1339" i="123"/>
  <c r="N1339" i="123"/>
  <c r="O1339" i="123"/>
  <c r="P1339" i="123"/>
  <c r="Q1339" i="123"/>
  <c r="R1339" i="123"/>
  <c r="T1339" i="123" s="1"/>
  <c r="W1339" i="123" s="1"/>
  <c r="S1339" i="123"/>
  <c r="X1339" i="123"/>
  <c r="Y1339" i="123"/>
  <c r="AA1339" i="123" s="1"/>
  <c r="AB1339" i="123"/>
  <c r="AJ1339" i="123"/>
  <c r="AK1339" i="123"/>
  <c r="AL1339" i="123"/>
  <c r="AO1339" i="123"/>
  <c r="AP1339" i="123"/>
  <c r="AQ1339" i="123" s="1"/>
  <c r="AT1339" i="123"/>
  <c r="AU1339" i="123"/>
  <c r="K1340" i="123"/>
  <c r="L1340" i="123"/>
  <c r="M1340" i="123"/>
  <c r="N1340" i="123"/>
  <c r="O1340" i="123"/>
  <c r="P1340" i="123"/>
  <c r="Q1340" i="123"/>
  <c r="R1340" i="123"/>
  <c r="T1340" i="123" s="1"/>
  <c r="S1340" i="123"/>
  <c r="X1340" i="123"/>
  <c r="Y1340" i="123"/>
  <c r="Z1340" i="123" s="1"/>
  <c r="AB1340" i="123"/>
  <c r="AD1340" i="123" s="1"/>
  <c r="AJ1340" i="123"/>
  <c r="AK1340" i="123"/>
  <c r="AL1340" i="123"/>
  <c r="AO1340" i="123"/>
  <c r="AP1340" i="123"/>
  <c r="AQ1340" i="123" s="1"/>
  <c r="AT1340" i="123"/>
  <c r="AU1340" i="123"/>
  <c r="K1341" i="123"/>
  <c r="L1341" i="123"/>
  <c r="M1341" i="123"/>
  <c r="N1341" i="123"/>
  <c r="O1341" i="123"/>
  <c r="P1341" i="123"/>
  <c r="Q1341" i="123"/>
  <c r="R1341" i="123"/>
  <c r="T1341" i="123" s="1"/>
  <c r="S1341" i="123"/>
  <c r="X1341" i="123"/>
  <c r="Y1341" i="123"/>
  <c r="AA1341" i="123" s="1"/>
  <c r="AB1341" i="123"/>
  <c r="AC1341" i="123" s="1"/>
  <c r="AJ1341" i="123"/>
  <c r="AK1341" i="123"/>
  <c r="AL1341" i="123"/>
  <c r="AO1341" i="123"/>
  <c r="AP1341" i="123"/>
  <c r="AQ1341" i="123" s="1"/>
  <c r="AT1341" i="123"/>
  <c r="AU1341" i="123"/>
  <c r="K1342" i="123"/>
  <c r="L1342" i="123"/>
  <c r="M1342" i="123"/>
  <c r="N1342" i="123"/>
  <c r="O1342" i="123"/>
  <c r="P1342" i="123"/>
  <c r="Q1342" i="123"/>
  <c r="R1342" i="123"/>
  <c r="T1342" i="123" s="1"/>
  <c r="S1342" i="123"/>
  <c r="X1342" i="123"/>
  <c r="Y1342" i="123"/>
  <c r="Z1342" i="123" s="1"/>
  <c r="AB1342" i="123"/>
  <c r="AD1342" i="123" s="1"/>
  <c r="AJ1342" i="123"/>
  <c r="AK1342" i="123"/>
  <c r="AL1342" i="123"/>
  <c r="AO1342" i="123"/>
  <c r="AP1342" i="123"/>
  <c r="AQ1342" i="123" s="1"/>
  <c r="AT1342" i="123"/>
  <c r="AU1342" i="123"/>
  <c r="K1343" i="123"/>
  <c r="L1343" i="123"/>
  <c r="M1343" i="123"/>
  <c r="N1343" i="123"/>
  <c r="O1343" i="123"/>
  <c r="P1343" i="123"/>
  <c r="Q1343" i="123"/>
  <c r="R1343" i="123"/>
  <c r="T1343" i="123" s="1"/>
  <c r="V1343" i="123" s="1"/>
  <c r="S1343" i="123"/>
  <c r="X1343" i="123"/>
  <c r="Y1343" i="123"/>
  <c r="Z1343" i="123" s="1"/>
  <c r="AB1343" i="123"/>
  <c r="AD1343" i="123" s="1"/>
  <c r="AJ1343" i="123"/>
  <c r="AK1343" i="123"/>
  <c r="AL1343" i="123"/>
  <c r="AO1343" i="123"/>
  <c r="AP1343" i="123"/>
  <c r="AT1343" i="123"/>
  <c r="AU1343" i="123"/>
  <c r="K1344" i="123"/>
  <c r="L1344" i="123"/>
  <c r="M1344" i="123"/>
  <c r="N1344" i="123"/>
  <c r="O1344" i="123"/>
  <c r="P1344" i="123"/>
  <c r="Q1344" i="123"/>
  <c r="R1344" i="123"/>
  <c r="T1344" i="123" s="1"/>
  <c r="S1344" i="123"/>
  <c r="X1344" i="123"/>
  <c r="Y1344" i="123"/>
  <c r="Z1344" i="123" s="1"/>
  <c r="AB1344" i="123"/>
  <c r="AC1344" i="123" s="1"/>
  <c r="AJ1344" i="123"/>
  <c r="AK1344" i="123"/>
  <c r="AL1344" i="123"/>
  <c r="AO1344" i="123"/>
  <c r="AP1344" i="123"/>
  <c r="AQ1344" i="123" s="1"/>
  <c r="AT1344" i="123"/>
  <c r="AU1344" i="123"/>
  <c r="K1345" i="123"/>
  <c r="L1345" i="123"/>
  <c r="M1345" i="123"/>
  <c r="N1345" i="123"/>
  <c r="O1345" i="123"/>
  <c r="P1345" i="123"/>
  <c r="Q1345" i="123"/>
  <c r="R1345" i="123"/>
  <c r="T1345" i="123" s="1"/>
  <c r="S1345" i="123"/>
  <c r="X1345" i="123"/>
  <c r="Y1345" i="123"/>
  <c r="Z1345" i="123" s="1"/>
  <c r="AB1345" i="123"/>
  <c r="AJ1345" i="123"/>
  <c r="AK1345" i="123"/>
  <c r="AL1345" i="123"/>
  <c r="AO1345" i="123"/>
  <c r="AP1345" i="123"/>
  <c r="AQ1345" i="123" s="1"/>
  <c r="AT1345" i="123"/>
  <c r="AU1345" i="123"/>
  <c r="K1346" i="123"/>
  <c r="L1346" i="123"/>
  <c r="M1346" i="123"/>
  <c r="N1346" i="123"/>
  <c r="O1346" i="123"/>
  <c r="P1346" i="123"/>
  <c r="Q1346" i="123"/>
  <c r="R1346" i="123"/>
  <c r="T1346" i="123" s="1"/>
  <c r="V1346" i="123" s="1"/>
  <c r="S1346" i="123"/>
  <c r="X1346" i="123"/>
  <c r="Y1346" i="123"/>
  <c r="Z1346" i="123" s="1"/>
  <c r="AB1346" i="123"/>
  <c r="AD1346" i="123" s="1"/>
  <c r="AJ1346" i="123"/>
  <c r="AK1346" i="123"/>
  <c r="AL1346" i="123"/>
  <c r="AO1346" i="123"/>
  <c r="AP1346" i="123"/>
  <c r="AQ1346" i="123" s="1"/>
  <c r="AT1346" i="123"/>
  <c r="AU1346" i="123"/>
  <c r="K1347" i="123"/>
  <c r="L1347" i="123"/>
  <c r="M1347" i="123"/>
  <c r="N1347" i="123"/>
  <c r="O1347" i="123"/>
  <c r="P1347" i="123"/>
  <c r="Q1347" i="123"/>
  <c r="R1347" i="123"/>
  <c r="T1347" i="123" s="1"/>
  <c r="W1347" i="123" s="1"/>
  <c r="S1347" i="123"/>
  <c r="X1347" i="123"/>
  <c r="Y1347" i="123"/>
  <c r="Z1347" i="123" s="1"/>
  <c r="AB1347" i="123"/>
  <c r="AC1347" i="123" s="1"/>
  <c r="AJ1347" i="123"/>
  <c r="AK1347" i="123"/>
  <c r="AL1347" i="123"/>
  <c r="AO1347" i="123"/>
  <c r="AP1347" i="123"/>
  <c r="AT1347" i="123"/>
  <c r="AU1347" i="123"/>
  <c r="K1348" i="123"/>
  <c r="L1348" i="123"/>
  <c r="M1348" i="123"/>
  <c r="N1348" i="123"/>
  <c r="O1348" i="123"/>
  <c r="P1348" i="123"/>
  <c r="Q1348" i="123"/>
  <c r="R1348" i="123"/>
  <c r="T1348" i="123" s="1"/>
  <c r="S1348" i="123"/>
  <c r="X1348" i="123"/>
  <c r="Y1348" i="123"/>
  <c r="AA1348" i="123" s="1"/>
  <c r="AB1348" i="123"/>
  <c r="AC1348" i="123" s="1"/>
  <c r="AJ1348" i="123"/>
  <c r="AK1348" i="123"/>
  <c r="AL1348" i="123"/>
  <c r="AO1348" i="123"/>
  <c r="AP1348" i="123"/>
  <c r="AT1348" i="123"/>
  <c r="AU1348" i="123"/>
  <c r="K1349" i="123"/>
  <c r="L1349" i="123"/>
  <c r="M1349" i="123"/>
  <c r="N1349" i="123"/>
  <c r="O1349" i="123"/>
  <c r="P1349" i="123"/>
  <c r="Q1349" i="123"/>
  <c r="R1349" i="123"/>
  <c r="T1349" i="123" s="1"/>
  <c r="S1349" i="123"/>
  <c r="X1349" i="123"/>
  <c r="Y1349" i="123"/>
  <c r="Z1349" i="123" s="1"/>
  <c r="AB1349" i="123"/>
  <c r="AJ1349" i="123"/>
  <c r="AK1349" i="123"/>
  <c r="AL1349" i="123"/>
  <c r="AO1349" i="123"/>
  <c r="AP1349" i="123"/>
  <c r="AQ1349" i="123" s="1"/>
  <c r="AT1349" i="123"/>
  <c r="AU1349" i="123"/>
  <c r="K1350" i="123"/>
  <c r="L1350" i="123"/>
  <c r="M1350" i="123"/>
  <c r="N1350" i="123"/>
  <c r="O1350" i="123"/>
  <c r="P1350" i="123"/>
  <c r="Q1350" i="123"/>
  <c r="R1350" i="123"/>
  <c r="T1350" i="123" s="1"/>
  <c r="S1350" i="123"/>
  <c r="X1350" i="123"/>
  <c r="Y1350" i="123"/>
  <c r="AB1350" i="123"/>
  <c r="AC1350" i="123" s="1"/>
  <c r="AJ1350" i="123"/>
  <c r="AK1350" i="123"/>
  <c r="AL1350" i="123"/>
  <c r="AO1350" i="123"/>
  <c r="AP1350" i="123"/>
  <c r="AT1350" i="123"/>
  <c r="AU1350" i="123"/>
  <c r="K1351" i="123"/>
  <c r="L1351" i="123"/>
  <c r="M1351" i="123"/>
  <c r="N1351" i="123"/>
  <c r="O1351" i="123"/>
  <c r="P1351" i="123"/>
  <c r="Q1351" i="123"/>
  <c r="R1351" i="123"/>
  <c r="T1351" i="123" s="1"/>
  <c r="V1351" i="123" s="1"/>
  <c r="S1351" i="123"/>
  <c r="X1351" i="123"/>
  <c r="Y1351" i="123"/>
  <c r="Z1351" i="123" s="1"/>
  <c r="AB1351" i="123"/>
  <c r="AD1351" i="123" s="1"/>
  <c r="AJ1351" i="123"/>
  <c r="AK1351" i="123"/>
  <c r="AL1351" i="123"/>
  <c r="AO1351" i="123"/>
  <c r="AP1351" i="123"/>
  <c r="AQ1351" i="123" s="1"/>
  <c r="AT1351" i="123"/>
  <c r="AU1351" i="123"/>
  <c r="K1352" i="123"/>
  <c r="L1352" i="123"/>
  <c r="M1352" i="123"/>
  <c r="N1352" i="123"/>
  <c r="O1352" i="123"/>
  <c r="P1352" i="123"/>
  <c r="Q1352" i="123"/>
  <c r="R1352" i="123"/>
  <c r="T1352" i="123" s="1"/>
  <c r="W1352" i="123" s="1"/>
  <c r="S1352" i="123"/>
  <c r="X1352" i="123"/>
  <c r="Y1352" i="123"/>
  <c r="Z1352" i="123" s="1"/>
  <c r="AB1352" i="123"/>
  <c r="AC1352" i="123" s="1"/>
  <c r="AJ1352" i="123"/>
  <c r="AK1352" i="123"/>
  <c r="AL1352" i="123"/>
  <c r="AO1352" i="123"/>
  <c r="AP1352" i="123"/>
  <c r="AQ1352" i="123" s="1"/>
  <c r="AT1352" i="123"/>
  <c r="AU1352" i="123"/>
  <c r="K1353" i="123"/>
  <c r="L1353" i="123"/>
  <c r="M1353" i="123"/>
  <c r="N1353" i="123"/>
  <c r="O1353" i="123"/>
  <c r="P1353" i="123"/>
  <c r="Q1353" i="123"/>
  <c r="R1353" i="123"/>
  <c r="T1353" i="123" s="1"/>
  <c r="W1353" i="123" s="1"/>
  <c r="S1353" i="123"/>
  <c r="X1353" i="123"/>
  <c r="Y1353" i="123"/>
  <c r="AB1353" i="123"/>
  <c r="AC1353" i="123" s="1"/>
  <c r="AJ1353" i="123"/>
  <c r="AK1353" i="123"/>
  <c r="AL1353" i="123"/>
  <c r="AO1353" i="123"/>
  <c r="AP1353" i="123"/>
  <c r="AQ1353" i="123" s="1"/>
  <c r="AT1353" i="123"/>
  <c r="AU1353" i="123"/>
  <c r="K1354" i="123"/>
  <c r="L1354" i="123"/>
  <c r="M1354" i="123"/>
  <c r="N1354" i="123"/>
  <c r="O1354" i="123"/>
  <c r="P1354" i="123"/>
  <c r="Q1354" i="123"/>
  <c r="R1354" i="123"/>
  <c r="T1354" i="123" s="1"/>
  <c r="V1354" i="123" s="1"/>
  <c r="S1354" i="123"/>
  <c r="X1354" i="123"/>
  <c r="Y1354" i="123"/>
  <c r="AB1354" i="123"/>
  <c r="AC1354" i="123" s="1"/>
  <c r="AJ1354" i="123"/>
  <c r="AK1354" i="123"/>
  <c r="AL1354" i="123"/>
  <c r="AO1354" i="123"/>
  <c r="AP1354" i="123"/>
  <c r="AT1354" i="123"/>
  <c r="AU1354" i="123"/>
  <c r="K1355" i="123"/>
  <c r="L1355" i="123"/>
  <c r="M1355" i="123"/>
  <c r="N1355" i="123"/>
  <c r="O1355" i="123"/>
  <c r="P1355" i="123"/>
  <c r="Q1355" i="123"/>
  <c r="R1355" i="123"/>
  <c r="T1355" i="123" s="1"/>
  <c r="S1355" i="123"/>
  <c r="X1355" i="123"/>
  <c r="Y1355" i="123"/>
  <c r="Z1355" i="123" s="1"/>
  <c r="AB1355" i="123"/>
  <c r="AD1355" i="123" s="1"/>
  <c r="AJ1355" i="123"/>
  <c r="AK1355" i="123"/>
  <c r="AL1355" i="123"/>
  <c r="AO1355" i="123"/>
  <c r="AP1355" i="123"/>
  <c r="AQ1355" i="123" s="1"/>
  <c r="AT1355" i="123"/>
  <c r="AU1355" i="123"/>
  <c r="K1356" i="123"/>
  <c r="L1356" i="123"/>
  <c r="M1356" i="123"/>
  <c r="N1356" i="123"/>
  <c r="O1356" i="123"/>
  <c r="P1356" i="123"/>
  <c r="Q1356" i="123"/>
  <c r="R1356" i="123"/>
  <c r="T1356" i="123" s="1"/>
  <c r="W1356" i="123" s="1"/>
  <c r="S1356" i="123"/>
  <c r="X1356" i="123"/>
  <c r="Y1356" i="123"/>
  <c r="AA1356" i="123" s="1"/>
  <c r="AB1356" i="123"/>
  <c r="AC1356" i="123" s="1"/>
  <c r="AJ1356" i="123"/>
  <c r="AK1356" i="123"/>
  <c r="AL1356" i="123"/>
  <c r="AO1356" i="123"/>
  <c r="AP1356" i="123"/>
  <c r="AQ1356" i="123" s="1"/>
  <c r="AT1356" i="123"/>
  <c r="AU1356" i="123"/>
  <c r="K1357" i="123"/>
  <c r="L1357" i="123"/>
  <c r="M1357" i="123"/>
  <c r="N1357" i="123"/>
  <c r="O1357" i="123"/>
  <c r="P1357" i="123"/>
  <c r="Q1357" i="123"/>
  <c r="R1357" i="123"/>
  <c r="T1357" i="123" s="1"/>
  <c r="S1357" i="123"/>
  <c r="X1357" i="123"/>
  <c r="Y1357" i="123"/>
  <c r="Z1357" i="123" s="1"/>
  <c r="AB1357" i="123"/>
  <c r="AC1357" i="123" s="1"/>
  <c r="AJ1357" i="123"/>
  <c r="AK1357" i="123"/>
  <c r="AL1357" i="123"/>
  <c r="AO1357" i="123"/>
  <c r="AP1357" i="123"/>
  <c r="AQ1357" i="123" s="1"/>
  <c r="AT1357" i="123"/>
  <c r="AU1357" i="123"/>
  <c r="K1358" i="123"/>
  <c r="L1358" i="123"/>
  <c r="M1358" i="123"/>
  <c r="N1358" i="123"/>
  <c r="O1358" i="123"/>
  <c r="P1358" i="123"/>
  <c r="Q1358" i="123"/>
  <c r="R1358" i="123"/>
  <c r="T1358" i="123" s="1"/>
  <c r="S1358" i="123"/>
  <c r="X1358" i="123"/>
  <c r="Y1358" i="123"/>
  <c r="Z1358" i="123" s="1"/>
  <c r="AB1358" i="123"/>
  <c r="AC1358" i="123" s="1"/>
  <c r="AJ1358" i="123"/>
  <c r="AK1358" i="123"/>
  <c r="AL1358" i="123"/>
  <c r="AO1358" i="123"/>
  <c r="AP1358" i="123"/>
  <c r="AT1358" i="123"/>
  <c r="AU1358" i="123"/>
  <c r="K1359" i="123"/>
  <c r="L1359" i="123"/>
  <c r="M1359" i="123"/>
  <c r="N1359" i="123"/>
  <c r="O1359" i="123"/>
  <c r="P1359" i="123"/>
  <c r="Q1359" i="123"/>
  <c r="R1359" i="123"/>
  <c r="T1359" i="123" s="1"/>
  <c r="W1359" i="123" s="1"/>
  <c r="S1359" i="123"/>
  <c r="X1359" i="123"/>
  <c r="Y1359" i="123"/>
  <c r="Z1359" i="123" s="1"/>
  <c r="AB1359" i="123"/>
  <c r="AC1359" i="123" s="1"/>
  <c r="AJ1359" i="123"/>
  <c r="AK1359" i="123"/>
  <c r="AL1359" i="123"/>
  <c r="AO1359" i="123"/>
  <c r="AP1359" i="123"/>
  <c r="AQ1359" i="123" s="1"/>
  <c r="AT1359" i="123"/>
  <c r="AU1359" i="123"/>
  <c r="K1360" i="123"/>
  <c r="L1360" i="123"/>
  <c r="M1360" i="123"/>
  <c r="N1360" i="123"/>
  <c r="O1360" i="123"/>
  <c r="P1360" i="123"/>
  <c r="Q1360" i="123"/>
  <c r="R1360" i="123"/>
  <c r="T1360" i="123" s="1"/>
  <c r="S1360" i="123"/>
  <c r="X1360" i="123"/>
  <c r="Y1360" i="123"/>
  <c r="AA1360" i="123" s="1"/>
  <c r="AB1360" i="123"/>
  <c r="AD1360" i="123" s="1"/>
  <c r="AJ1360" i="123"/>
  <c r="AK1360" i="123"/>
  <c r="AL1360" i="123"/>
  <c r="AO1360" i="123"/>
  <c r="AP1360" i="123"/>
  <c r="AT1360" i="123"/>
  <c r="AU1360" i="123"/>
  <c r="K1361" i="123"/>
  <c r="L1361" i="123"/>
  <c r="M1361" i="123"/>
  <c r="N1361" i="123"/>
  <c r="O1361" i="123"/>
  <c r="P1361" i="123"/>
  <c r="Q1361" i="123"/>
  <c r="R1361" i="123"/>
  <c r="T1361" i="123" s="1"/>
  <c r="W1361" i="123" s="1"/>
  <c r="S1361" i="123"/>
  <c r="X1361" i="123"/>
  <c r="Y1361" i="123"/>
  <c r="AA1361" i="123" s="1"/>
  <c r="AB1361" i="123"/>
  <c r="AD1361" i="123" s="1"/>
  <c r="AJ1361" i="123"/>
  <c r="AK1361" i="123"/>
  <c r="AL1361" i="123"/>
  <c r="AO1361" i="123"/>
  <c r="AP1361" i="123"/>
  <c r="AT1361" i="123"/>
  <c r="AU1361" i="123"/>
  <c r="K1362" i="123"/>
  <c r="L1362" i="123"/>
  <c r="M1362" i="123"/>
  <c r="N1362" i="123"/>
  <c r="O1362" i="123"/>
  <c r="P1362" i="123"/>
  <c r="Q1362" i="123"/>
  <c r="R1362" i="123"/>
  <c r="T1362" i="123" s="1"/>
  <c r="V1362" i="123" s="1"/>
  <c r="S1362" i="123"/>
  <c r="X1362" i="123"/>
  <c r="Y1362" i="123"/>
  <c r="Z1362" i="123" s="1"/>
  <c r="AB1362" i="123"/>
  <c r="AD1362" i="123" s="1"/>
  <c r="AJ1362" i="123"/>
  <c r="AK1362" i="123"/>
  <c r="AL1362" i="123"/>
  <c r="AO1362" i="123"/>
  <c r="AP1362" i="123"/>
  <c r="AQ1362" i="123" s="1"/>
  <c r="AT1362" i="123"/>
  <c r="AU1362" i="123"/>
  <c r="K1363" i="123"/>
  <c r="L1363" i="123"/>
  <c r="M1363" i="123"/>
  <c r="N1363" i="123"/>
  <c r="O1363" i="123"/>
  <c r="P1363" i="123"/>
  <c r="Q1363" i="123"/>
  <c r="R1363" i="123"/>
  <c r="T1363" i="123" s="1"/>
  <c r="W1363" i="123" s="1"/>
  <c r="S1363" i="123"/>
  <c r="X1363" i="123"/>
  <c r="Y1363" i="123"/>
  <c r="Z1363" i="123" s="1"/>
  <c r="AB1363" i="123"/>
  <c r="AC1363" i="123" s="1"/>
  <c r="AJ1363" i="123"/>
  <c r="AK1363" i="123"/>
  <c r="AL1363" i="123"/>
  <c r="AO1363" i="123"/>
  <c r="AP1363" i="123"/>
  <c r="AQ1363" i="123" s="1"/>
  <c r="AT1363" i="123"/>
  <c r="AU1363" i="123"/>
  <c r="K1364" i="123"/>
  <c r="L1364" i="123"/>
  <c r="M1364" i="123"/>
  <c r="N1364" i="123"/>
  <c r="O1364" i="123"/>
  <c r="P1364" i="123"/>
  <c r="Q1364" i="123"/>
  <c r="R1364" i="123"/>
  <c r="T1364" i="123" s="1"/>
  <c r="V1364" i="123" s="1"/>
  <c r="S1364" i="123"/>
  <c r="X1364" i="123"/>
  <c r="Y1364" i="123"/>
  <c r="AA1364" i="123" s="1"/>
  <c r="AB1364" i="123"/>
  <c r="AD1364" i="123" s="1"/>
  <c r="AJ1364" i="123"/>
  <c r="AK1364" i="123"/>
  <c r="AL1364" i="123"/>
  <c r="AO1364" i="123"/>
  <c r="AP1364" i="123"/>
  <c r="AQ1364" i="123" s="1"/>
  <c r="AT1364" i="123"/>
  <c r="AU1364" i="123"/>
  <c r="K1365" i="123"/>
  <c r="L1365" i="123"/>
  <c r="M1365" i="123"/>
  <c r="N1365" i="123"/>
  <c r="O1365" i="123"/>
  <c r="P1365" i="123"/>
  <c r="Q1365" i="123"/>
  <c r="R1365" i="123"/>
  <c r="T1365" i="123" s="1"/>
  <c r="S1365" i="123"/>
  <c r="X1365" i="123"/>
  <c r="Y1365" i="123"/>
  <c r="Z1365" i="123" s="1"/>
  <c r="AB1365" i="123"/>
  <c r="AD1365" i="123" s="1"/>
  <c r="AJ1365" i="123"/>
  <c r="AK1365" i="123"/>
  <c r="AL1365" i="123"/>
  <c r="AO1365" i="123"/>
  <c r="AP1365" i="123"/>
  <c r="AQ1365" i="123" s="1"/>
  <c r="AT1365" i="123"/>
  <c r="AU1365" i="123"/>
  <c r="K1366" i="123"/>
  <c r="L1366" i="123"/>
  <c r="M1366" i="123"/>
  <c r="N1366" i="123"/>
  <c r="O1366" i="123"/>
  <c r="P1366" i="123"/>
  <c r="Q1366" i="123"/>
  <c r="R1366" i="123"/>
  <c r="T1366" i="123" s="1"/>
  <c r="S1366" i="123"/>
  <c r="X1366" i="123"/>
  <c r="Y1366" i="123"/>
  <c r="AA1366" i="123" s="1"/>
  <c r="AB1366" i="123"/>
  <c r="AC1366" i="123" s="1"/>
  <c r="AJ1366" i="123"/>
  <c r="AK1366" i="123"/>
  <c r="AL1366" i="123"/>
  <c r="AO1366" i="123"/>
  <c r="AP1366" i="123"/>
  <c r="AQ1366" i="123" s="1"/>
  <c r="AT1366" i="123"/>
  <c r="AU1366" i="123"/>
  <c r="K1367" i="123"/>
  <c r="L1367" i="123"/>
  <c r="M1367" i="123"/>
  <c r="N1367" i="123"/>
  <c r="O1367" i="123"/>
  <c r="P1367" i="123"/>
  <c r="Q1367" i="123"/>
  <c r="R1367" i="123"/>
  <c r="T1367" i="123" s="1"/>
  <c r="S1367" i="123"/>
  <c r="X1367" i="123"/>
  <c r="Y1367" i="123"/>
  <c r="Z1367" i="123" s="1"/>
  <c r="AB1367" i="123"/>
  <c r="AD1367" i="123" s="1"/>
  <c r="AJ1367" i="123"/>
  <c r="AK1367" i="123"/>
  <c r="AL1367" i="123"/>
  <c r="AO1367" i="123"/>
  <c r="AP1367" i="123"/>
  <c r="AQ1367" i="123" s="1"/>
  <c r="AT1367" i="123"/>
  <c r="AU1367" i="123"/>
  <c r="K1368" i="123"/>
  <c r="L1368" i="123"/>
  <c r="M1368" i="123"/>
  <c r="N1368" i="123"/>
  <c r="O1368" i="123"/>
  <c r="P1368" i="123"/>
  <c r="Q1368" i="123"/>
  <c r="R1368" i="123"/>
  <c r="T1368" i="123" s="1"/>
  <c r="S1368" i="123"/>
  <c r="X1368" i="123"/>
  <c r="Y1368" i="123"/>
  <c r="AA1368" i="123" s="1"/>
  <c r="AB1368" i="123"/>
  <c r="AD1368" i="123" s="1"/>
  <c r="AJ1368" i="123"/>
  <c r="AK1368" i="123"/>
  <c r="AL1368" i="123"/>
  <c r="AO1368" i="123"/>
  <c r="AP1368" i="123"/>
  <c r="AT1368" i="123"/>
  <c r="AU1368" i="123"/>
  <c r="K1369" i="123"/>
  <c r="L1369" i="123"/>
  <c r="M1369" i="123"/>
  <c r="N1369" i="123"/>
  <c r="O1369" i="123"/>
  <c r="P1369" i="123"/>
  <c r="Q1369" i="123"/>
  <c r="R1369" i="123"/>
  <c r="T1369" i="123" s="1"/>
  <c r="S1369" i="123"/>
  <c r="X1369" i="123"/>
  <c r="Y1369" i="123"/>
  <c r="Z1369" i="123" s="1"/>
  <c r="AB1369" i="123"/>
  <c r="AC1369" i="123" s="1"/>
  <c r="AJ1369" i="123"/>
  <c r="AK1369" i="123"/>
  <c r="AL1369" i="123"/>
  <c r="AO1369" i="123"/>
  <c r="AP1369" i="123"/>
  <c r="AQ1369" i="123" s="1"/>
  <c r="AT1369" i="123"/>
  <c r="AU1369" i="123"/>
  <c r="K1370" i="123"/>
  <c r="L1370" i="123"/>
  <c r="M1370" i="123"/>
  <c r="N1370" i="123"/>
  <c r="O1370" i="123"/>
  <c r="P1370" i="123"/>
  <c r="Q1370" i="123"/>
  <c r="R1370" i="123"/>
  <c r="T1370" i="123" s="1"/>
  <c r="S1370" i="123"/>
  <c r="X1370" i="123"/>
  <c r="Y1370" i="123"/>
  <c r="Z1370" i="123" s="1"/>
  <c r="AB1370" i="123"/>
  <c r="AC1370" i="123" s="1"/>
  <c r="AJ1370" i="123"/>
  <c r="AK1370" i="123"/>
  <c r="AL1370" i="123"/>
  <c r="AO1370" i="123"/>
  <c r="AP1370" i="123"/>
  <c r="AQ1370" i="123" s="1"/>
  <c r="AT1370" i="123"/>
  <c r="AU1370" i="123"/>
  <c r="K1371" i="123"/>
  <c r="L1371" i="123"/>
  <c r="M1371" i="123"/>
  <c r="N1371" i="123"/>
  <c r="O1371" i="123"/>
  <c r="P1371" i="123"/>
  <c r="Q1371" i="123"/>
  <c r="R1371" i="123"/>
  <c r="T1371" i="123" s="1"/>
  <c r="S1371" i="123"/>
  <c r="X1371" i="123"/>
  <c r="Y1371" i="123"/>
  <c r="Z1371" i="123" s="1"/>
  <c r="AB1371" i="123"/>
  <c r="AD1371" i="123" s="1"/>
  <c r="AJ1371" i="123"/>
  <c r="AK1371" i="123"/>
  <c r="AL1371" i="123"/>
  <c r="AO1371" i="123"/>
  <c r="AP1371" i="123"/>
  <c r="AQ1371" i="123" s="1"/>
  <c r="AT1371" i="123"/>
  <c r="AU1371" i="123"/>
  <c r="K1372" i="123"/>
  <c r="L1372" i="123"/>
  <c r="M1372" i="123"/>
  <c r="N1372" i="123"/>
  <c r="O1372" i="123"/>
  <c r="P1372" i="123"/>
  <c r="Q1372" i="123"/>
  <c r="R1372" i="123"/>
  <c r="T1372" i="123" s="1"/>
  <c r="S1372" i="123"/>
  <c r="X1372" i="123"/>
  <c r="Y1372" i="123"/>
  <c r="Z1372" i="123" s="1"/>
  <c r="AB1372" i="123"/>
  <c r="AC1372" i="123" s="1"/>
  <c r="AJ1372" i="123"/>
  <c r="AK1372" i="123"/>
  <c r="AL1372" i="123"/>
  <c r="AO1372" i="123"/>
  <c r="AP1372" i="123"/>
  <c r="AQ1372" i="123" s="1"/>
  <c r="AT1372" i="123"/>
  <c r="AU1372" i="123"/>
  <c r="K1373" i="123"/>
  <c r="L1373" i="123"/>
  <c r="M1373" i="123"/>
  <c r="N1373" i="123"/>
  <c r="O1373" i="123"/>
  <c r="P1373" i="123"/>
  <c r="Q1373" i="123"/>
  <c r="R1373" i="123"/>
  <c r="T1373" i="123" s="1"/>
  <c r="S1373" i="123"/>
  <c r="X1373" i="123"/>
  <c r="Y1373" i="123"/>
  <c r="AA1373" i="123" s="1"/>
  <c r="AB1373" i="123"/>
  <c r="AC1373" i="123" s="1"/>
  <c r="AJ1373" i="123"/>
  <c r="AK1373" i="123"/>
  <c r="AL1373" i="123"/>
  <c r="AO1373" i="123"/>
  <c r="AP1373" i="123"/>
  <c r="AQ1373" i="123" s="1"/>
  <c r="AT1373" i="123"/>
  <c r="AU1373" i="123"/>
  <c r="K1374" i="123"/>
  <c r="L1374" i="123"/>
  <c r="M1374" i="123"/>
  <c r="N1374" i="123"/>
  <c r="O1374" i="123"/>
  <c r="P1374" i="123"/>
  <c r="Q1374" i="123"/>
  <c r="R1374" i="123"/>
  <c r="T1374" i="123" s="1"/>
  <c r="S1374" i="123"/>
  <c r="X1374" i="123"/>
  <c r="Y1374" i="123"/>
  <c r="Z1374" i="123" s="1"/>
  <c r="AB1374" i="123"/>
  <c r="AD1374" i="123" s="1"/>
  <c r="AJ1374" i="123"/>
  <c r="AK1374" i="123"/>
  <c r="AL1374" i="123"/>
  <c r="AO1374" i="123"/>
  <c r="AP1374" i="123"/>
  <c r="AQ1374" i="123" s="1"/>
  <c r="AT1374" i="123"/>
  <c r="AU1374" i="123"/>
  <c r="K1375" i="123"/>
  <c r="L1375" i="123"/>
  <c r="M1375" i="123"/>
  <c r="N1375" i="123"/>
  <c r="O1375" i="123"/>
  <c r="P1375" i="123"/>
  <c r="Q1375" i="123"/>
  <c r="R1375" i="123"/>
  <c r="T1375" i="123" s="1"/>
  <c r="S1375" i="123"/>
  <c r="X1375" i="123"/>
  <c r="Y1375" i="123"/>
  <c r="Z1375" i="123" s="1"/>
  <c r="AB1375" i="123"/>
  <c r="AD1375" i="123" s="1"/>
  <c r="AJ1375" i="123"/>
  <c r="AK1375" i="123"/>
  <c r="AL1375" i="123"/>
  <c r="AO1375" i="123"/>
  <c r="AP1375" i="123"/>
  <c r="AQ1375" i="123" s="1"/>
  <c r="AT1375" i="123"/>
  <c r="AU1375" i="123"/>
  <c r="K1376" i="123"/>
  <c r="L1376" i="123"/>
  <c r="M1376" i="123"/>
  <c r="N1376" i="123"/>
  <c r="O1376" i="123"/>
  <c r="P1376" i="123"/>
  <c r="Q1376" i="123"/>
  <c r="R1376" i="123"/>
  <c r="T1376" i="123" s="1"/>
  <c r="W1376" i="123" s="1"/>
  <c r="S1376" i="123"/>
  <c r="X1376" i="123"/>
  <c r="Y1376" i="123"/>
  <c r="AA1376" i="123" s="1"/>
  <c r="AB1376" i="123"/>
  <c r="AC1376" i="123" s="1"/>
  <c r="AJ1376" i="123"/>
  <c r="AK1376" i="123"/>
  <c r="AL1376" i="123"/>
  <c r="AO1376" i="123"/>
  <c r="AP1376" i="123"/>
  <c r="AQ1376" i="123" s="1"/>
  <c r="AT1376" i="123"/>
  <c r="AU1376" i="123"/>
  <c r="K1377" i="123"/>
  <c r="L1377" i="123"/>
  <c r="M1377" i="123"/>
  <c r="N1377" i="123"/>
  <c r="O1377" i="123"/>
  <c r="P1377" i="123"/>
  <c r="Q1377" i="123"/>
  <c r="R1377" i="123"/>
  <c r="T1377" i="123" s="1"/>
  <c r="S1377" i="123"/>
  <c r="X1377" i="123"/>
  <c r="Y1377" i="123"/>
  <c r="Z1377" i="123" s="1"/>
  <c r="AB1377" i="123"/>
  <c r="AC1377" i="123" s="1"/>
  <c r="AJ1377" i="123"/>
  <c r="AK1377" i="123"/>
  <c r="AL1377" i="123"/>
  <c r="AO1377" i="123"/>
  <c r="AP1377" i="123"/>
  <c r="AQ1377" i="123" s="1"/>
  <c r="AT1377" i="123"/>
  <c r="AU1377" i="123"/>
  <c r="K1378" i="123"/>
  <c r="L1378" i="123"/>
  <c r="M1378" i="123"/>
  <c r="N1378" i="123"/>
  <c r="O1378" i="123"/>
  <c r="P1378" i="123"/>
  <c r="Q1378" i="123"/>
  <c r="R1378" i="123"/>
  <c r="T1378" i="123" s="1"/>
  <c r="S1378" i="123"/>
  <c r="X1378" i="123"/>
  <c r="Y1378" i="123"/>
  <c r="AA1378" i="123" s="1"/>
  <c r="AB1378" i="123"/>
  <c r="AC1378" i="123" s="1"/>
  <c r="AJ1378" i="123"/>
  <c r="AK1378" i="123"/>
  <c r="AL1378" i="123"/>
  <c r="AO1378" i="123"/>
  <c r="AP1378" i="123"/>
  <c r="AQ1378" i="123" s="1"/>
  <c r="AT1378" i="123"/>
  <c r="AU1378" i="123"/>
  <c r="K1379" i="123"/>
  <c r="L1379" i="123"/>
  <c r="M1379" i="123"/>
  <c r="N1379" i="123"/>
  <c r="O1379" i="123"/>
  <c r="P1379" i="123"/>
  <c r="Q1379" i="123"/>
  <c r="R1379" i="123"/>
  <c r="T1379" i="123" s="1"/>
  <c r="W1379" i="123" s="1"/>
  <c r="S1379" i="123"/>
  <c r="X1379" i="123"/>
  <c r="Y1379" i="123"/>
  <c r="AA1379" i="123" s="1"/>
  <c r="AB1379" i="123"/>
  <c r="AC1379" i="123" s="1"/>
  <c r="AJ1379" i="123"/>
  <c r="AK1379" i="123"/>
  <c r="AL1379" i="123"/>
  <c r="AO1379" i="123"/>
  <c r="AP1379" i="123"/>
  <c r="AQ1379" i="123" s="1"/>
  <c r="AT1379" i="123"/>
  <c r="AU1379" i="123"/>
  <c r="K1380" i="123"/>
  <c r="L1380" i="123"/>
  <c r="M1380" i="123"/>
  <c r="N1380" i="123"/>
  <c r="O1380" i="123"/>
  <c r="P1380" i="123"/>
  <c r="Q1380" i="123"/>
  <c r="R1380" i="123"/>
  <c r="T1380" i="123" s="1"/>
  <c r="S1380" i="123"/>
  <c r="X1380" i="123"/>
  <c r="Y1380" i="123"/>
  <c r="Z1380" i="123" s="1"/>
  <c r="AB1380" i="123"/>
  <c r="AC1380" i="123" s="1"/>
  <c r="AJ1380" i="123"/>
  <c r="AK1380" i="123"/>
  <c r="AL1380" i="123"/>
  <c r="AO1380" i="123"/>
  <c r="AP1380" i="123"/>
  <c r="AQ1380" i="123" s="1"/>
  <c r="AT1380" i="123"/>
  <c r="AU1380" i="123"/>
  <c r="K1381" i="123"/>
  <c r="L1381" i="123"/>
  <c r="M1381" i="123"/>
  <c r="N1381" i="123"/>
  <c r="O1381" i="123"/>
  <c r="P1381" i="123"/>
  <c r="Q1381" i="123"/>
  <c r="R1381" i="123"/>
  <c r="T1381" i="123" s="1"/>
  <c r="S1381" i="123"/>
  <c r="X1381" i="123"/>
  <c r="Y1381" i="123"/>
  <c r="Z1381" i="123" s="1"/>
  <c r="AB1381" i="123"/>
  <c r="AC1381" i="123" s="1"/>
  <c r="AJ1381" i="123"/>
  <c r="AK1381" i="123"/>
  <c r="AL1381" i="123"/>
  <c r="AO1381" i="123"/>
  <c r="AP1381" i="123"/>
  <c r="AQ1381" i="123" s="1"/>
  <c r="AT1381" i="123"/>
  <c r="AU1381" i="123"/>
  <c r="K1382" i="123"/>
  <c r="L1382" i="123"/>
  <c r="M1382" i="123"/>
  <c r="N1382" i="123"/>
  <c r="O1382" i="123"/>
  <c r="P1382" i="123"/>
  <c r="Q1382" i="123"/>
  <c r="R1382" i="123"/>
  <c r="T1382" i="123" s="1"/>
  <c r="W1382" i="123" s="1"/>
  <c r="S1382" i="123"/>
  <c r="X1382" i="123"/>
  <c r="Y1382" i="123"/>
  <c r="Z1382" i="123" s="1"/>
  <c r="AB1382" i="123"/>
  <c r="AC1382" i="123" s="1"/>
  <c r="AJ1382" i="123"/>
  <c r="AK1382" i="123"/>
  <c r="AL1382" i="123"/>
  <c r="AO1382" i="123"/>
  <c r="AP1382" i="123"/>
  <c r="AT1382" i="123"/>
  <c r="AU1382" i="123"/>
  <c r="K1383" i="123"/>
  <c r="L1383" i="123"/>
  <c r="M1383" i="123"/>
  <c r="N1383" i="123"/>
  <c r="O1383" i="123"/>
  <c r="P1383" i="123"/>
  <c r="Q1383" i="123"/>
  <c r="R1383" i="123"/>
  <c r="T1383" i="123" s="1"/>
  <c r="S1383" i="123"/>
  <c r="X1383" i="123"/>
  <c r="Y1383" i="123"/>
  <c r="Z1383" i="123" s="1"/>
  <c r="AB1383" i="123"/>
  <c r="AC1383" i="123" s="1"/>
  <c r="AJ1383" i="123"/>
  <c r="AK1383" i="123"/>
  <c r="AL1383" i="123"/>
  <c r="AO1383" i="123"/>
  <c r="AP1383" i="123"/>
  <c r="AQ1383" i="123" s="1"/>
  <c r="AT1383" i="123"/>
  <c r="AU1383" i="123"/>
  <c r="K1384" i="123"/>
  <c r="L1384" i="123"/>
  <c r="M1384" i="123"/>
  <c r="N1384" i="123"/>
  <c r="O1384" i="123"/>
  <c r="P1384" i="123"/>
  <c r="Q1384" i="123"/>
  <c r="R1384" i="123"/>
  <c r="T1384" i="123" s="1"/>
  <c r="W1384" i="123" s="1"/>
  <c r="S1384" i="123"/>
  <c r="X1384" i="123"/>
  <c r="Y1384" i="123"/>
  <c r="AA1384" i="123" s="1"/>
  <c r="AB1384" i="123"/>
  <c r="AC1384" i="123" s="1"/>
  <c r="AJ1384" i="123"/>
  <c r="AK1384" i="123"/>
  <c r="AL1384" i="123"/>
  <c r="AO1384" i="123"/>
  <c r="AP1384" i="123"/>
  <c r="AQ1384" i="123" s="1"/>
  <c r="AT1384" i="123"/>
  <c r="AU1384" i="123"/>
  <c r="K1385" i="123"/>
  <c r="L1385" i="123"/>
  <c r="M1385" i="123"/>
  <c r="N1385" i="123"/>
  <c r="O1385" i="123"/>
  <c r="P1385" i="123"/>
  <c r="Q1385" i="123"/>
  <c r="R1385" i="123"/>
  <c r="T1385" i="123" s="1"/>
  <c r="S1385" i="123"/>
  <c r="X1385" i="123"/>
  <c r="Y1385" i="123"/>
  <c r="Z1385" i="123" s="1"/>
  <c r="AB1385" i="123"/>
  <c r="AD1385" i="123" s="1"/>
  <c r="AJ1385" i="123"/>
  <c r="AK1385" i="123"/>
  <c r="AL1385" i="123"/>
  <c r="AO1385" i="123"/>
  <c r="AP1385" i="123"/>
  <c r="AT1385" i="123"/>
  <c r="AU1385" i="123"/>
  <c r="K1386" i="123"/>
  <c r="L1386" i="123"/>
  <c r="M1386" i="123"/>
  <c r="N1386" i="123"/>
  <c r="O1386" i="123"/>
  <c r="P1386" i="123"/>
  <c r="Q1386" i="123"/>
  <c r="R1386" i="123"/>
  <c r="T1386" i="123" s="1"/>
  <c r="S1386" i="123"/>
  <c r="X1386" i="123"/>
  <c r="Y1386" i="123"/>
  <c r="Z1386" i="123" s="1"/>
  <c r="AB1386" i="123"/>
  <c r="AC1386" i="123" s="1"/>
  <c r="AJ1386" i="123"/>
  <c r="AK1386" i="123"/>
  <c r="AL1386" i="123"/>
  <c r="AO1386" i="123"/>
  <c r="AP1386" i="123"/>
  <c r="AT1386" i="123"/>
  <c r="AU1386" i="123"/>
  <c r="K1387" i="123"/>
  <c r="L1387" i="123"/>
  <c r="M1387" i="123"/>
  <c r="N1387" i="123"/>
  <c r="O1387" i="123"/>
  <c r="P1387" i="123"/>
  <c r="Q1387" i="123"/>
  <c r="R1387" i="123"/>
  <c r="T1387" i="123" s="1"/>
  <c r="W1387" i="123" s="1"/>
  <c r="S1387" i="123"/>
  <c r="X1387" i="123"/>
  <c r="Y1387" i="123"/>
  <c r="AA1387" i="123" s="1"/>
  <c r="AB1387" i="123"/>
  <c r="AC1387" i="123" s="1"/>
  <c r="AJ1387" i="123"/>
  <c r="AK1387" i="123"/>
  <c r="AL1387" i="123"/>
  <c r="AO1387" i="123"/>
  <c r="AP1387" i="123"/>
  <c r="AQ1387" i="123" s="1"/>
  <c r="AT1387" i="123"/>
  <c r="AU1387" i="123"/>
  <c r="K1388" i="123"/>
  <c r="L1388" i="123"/>
  <c r="M1388" i="123"/>
  <c r="N1388" i="123"/>
  <c r="O1388" i="123"/>
  <c r="P1388" i="123"/>
  <c r="Q1388" i="123"/>
  <c r="R1388" i="123"/>
  <c r="T1388" i="123" s="1"/>
  <c r="S1388" i="123"/>
  <c r="X1388" i="123"/>
  <c r="Y1388" i="123"/>
  <c r="Z1388" i="123" s="1"/>
  <c r="AB1388" i="123"/>
  <c r="AD1388" i="123" s="1"/>
  <c r="AJ1388" i="123"/>
  <c r="AK1388" i="123"/>
  <c r="AL1388" i="123"/>
  <c r="AO1388" i="123"/>
  <c r="AP1388" i="123"/>
  <c r="AT1388" i="123"/>
  <c r="AU1388" i="123"/>
  <c r="K1389" i="123"/>
  <c r="L1389" i="123"/>
  <c r="M1389" i="123"/>
  <c r="N1389" i="123"/>
  <c r="O1389" i="123"/>
  <c r="P1389" i="123"/>
  <c r="Q1389" i="123"/>
  <c r="R1389" i="123"/>
  <c r="T1389" i="123" s="1"/>
  <c r="S1389" i="123"/>
  <c r="X1389" i="123"/>
  <c r="Y1389" i="123"/>
  <c r="AA1389" i="123" s="1"/>
  <c r="AB1389" i="123"/>
  <c r="AC1389" i="123" s="1"/>
  <c r="AJ1389" i="123"/>
  <c r="AK1389" i="123"/>
  <c r="AL1389" i="123"/>
  <c r="AO1389" i="123"/>
  <c r="AP1389" i="123"/>
  <c r="AQ1389" i="123" s="1"/>
  <c r="AT1389" i="123"/>
  <c r="AU1389" i="123"/>
  <c r="K1390" i="123"/>
  <c r="L1390" i="123"/>
  <c r="M1390" i="123"/>
  <c r="N1390" i="123"/>
  <c r="O1390" i="123"/>
  <c r="P1390" i="123"/>
  <c r="Q1390" i="123"/>
  <c r="R1390" i="123"/>
  <c r="T1390" i="123" s="1"/>
  <c r="W1390" i="123" s="1"/>
  <c r="S1390" i="123"/>
  <c r="X1390" i="123"/>
  <c r="Y1390" i="123"/>
  <c r="AA1390" i="123" s="1"/>
  <c r="AB1390" i="123"/>
  <c r="AC1390" i="123" s="1"/>
  <c r="AJ1390" i="123"/>
  <c r="AK1390" i="123"/>
  <c r="AL1390" i="123"/>
  <c r="AO1390" i="123"/>
  <c r="AP1390" i="123"/>
  <c r="AQ1390" i="123" s="1"/>
  <c r="AT1390" i="123"/>
  <c r="AU1390" i="123"/>
  <c r="K1391" i="123"/>
  <c r="L1391" i="123"/>
  <c r="M1391" i="123"/>
  <c r="N1391" i="123"/>
  <c r="O1391" i="123"/>
  <c r="P1391" i="123"/>
  <c r="Q1391" i="123"/>
  <c r="R1391" i="123"/>
  <c r="T1391" i="123" s="1"/>
  <c r="V1391" i="123" s="1"/>
  <c r="S1391" i="123"/>
  <c r="X1391" i="123"/>
  <c r="Y1391" i="123"/>
  <c r="Z1391" i="123" s="1"/>
  <c r="AB1391" i="123"/>
  <c r="AD1391" i="123" s="1"/>
  <c r="AJ1391" i="123"/>
  <c r="AK1391" i="123"/>
  <c r="AL1391" i="123"/>
  <c r="AO1391" i="123"/>
  <c r="AP1391" i="123"/>
  <c r="AQ1391" i="123" s="1"/>
  <c r="AT1391" i="123"/>
  <c r="AU1391" i="123"/>
  <c r="K1392" i="123"/>
  <c r="L1392" i="123"/>
  <c r="M1392" i="123"/>
  <c r="N1392" i="123"/>
  <c r="O1392" i="123"/>
  <c r="P1392" i="123"/>
  <c r="Q1392" i="123"/>
  <c r="R1392" i="123"/>
  <c r="T1392" i="123" s="1"/>
  <c r="S1392" i="123"/>
  <c r="X1392" i="123"/>
  <c r="Y1392" i="123"/>
  <c r="AA1392" i="123" s="1"/>
  <c r="AB1392" i="123"/>
  <c r="AC1392" i="123" s="1"/>
  <c r="AJ1392" i="123"/>
  <c r="AK1392" i="123"/>
  <c r="AL1392" i="123"/>
  <c r="AO1392" i="123"/>
  <c r="AP1392" i="123"/>
  <c r="AQ1392" i="123" s="1"/>
  <c r="AT1392" i="123"/>
  <c r="AU1392" i="123"/>
  <c r="K1393" i="123"/>
  <c r="L1393" i="123"/>
  <c r="M1393" i="123"/>
  <c r="N1393" i="123"/>
  <c r="O1393" i="123"/>
  <c r="P1393" i="123"/>
  <c r="Q1393" i="123"/>
  <c r="R1393" i="123"/>
  <c r="T1393" i="123" s="1"/>
  <c r="S1393" i="123"/>
  <c r="X1393" i="123"/>
  <c r="Y1393" i="123"/>
  <c r="AA1393" i="123" s="1"/>
  <c r="AB1393" i="123"/>
  <c r="AC1393" i="123" s="1"/>
  <c r="AJ1393" i="123"/>
  <c r="AK1393" i="123"/>
  <c r="AL1393" i="123"/>
  <c r="AO1393" i="123"/>
  <c r="AP1393" i="123"/>
  <c r="AQ1393" i="123" s="1"/>
  <c r="AT1393" i="123"/>
  <c r="AU1393" i="123"/>
  <c r="K1394" i="123"/>
  <c r="L1394" i="123"/>
  <c r="M1394" i="123"/>
  <c r="N1394" i="123"/>
  <c r="O1394" i="123"/>
  <c r="P1394" i="123"/>
  <c r="Q1394" i="123"/>
  <c r="R1394" i="123"/>
  <c r="T1394" i="123" s="1"/>
  <c r="S1394" i="123"/>
  <c r="X1394" i="123"/>
  <c r="Y1394" i="123"/>
  <c r="Z1394" i="123" s="1"/>
  <c r="AB1394" i="123"/>
  <c r="AC1394" i="123" s="1"/>
  <c r="AJ1394" i="123"/>
  <c r="AK1394" i="123"/>
  <c r="AL1394" i="123"/>
  <c r="AO1394" i="123"/>
  <c r="AP1394" i="123"/>
  <c r="AQ1394" i="123" s="1"/>
  <c r="AT1394" i="123"/>
  <c r="AU1394" i="123"/>
  <c r="K1395" i="123"/>
  <c r="L1395" i="123"/>
  <c r="M1395" i="123"/>
  <c r="N1395" i="123"/>
  <c r="O1395" i="123"/>
  <c r="P1395" i="123"/>
  <c r="Q1395" i="123"/>
  <c r="R1395" i="123"/>
  <c r="T1395" i="123" s="1"/>
  <c r="S1395" i="123"/>
  <c r="X1395" i="123"/>
  <c r="Y1395" i="123"/>
  <c r="Z1395" i="123" s="1"/>
  <c r="AB1395" i="123"/>
  <c r="AD1395" i="123" s="1"/>
  <c r="AJ1395" i="123"/>
  <c r="AK1395" i="123"/>
  <c r="AL1395" i="123"/>
  <c r="AO1395" i="123"/>
  <c r="AP1395" i="123"/>
  <c r="AQ1395" i="123" s="1"/>
  <c r="AT1395" i="123"/>
  <c r="AU1395" i="123"/>
  <c r="K1396" i="123"/>
  <c r="L1396" i="123"/>
  <c r="M1396" i="123"/>
  <c r="N1396" i="123"/>
  <c r="O1396" i="123"/>
  <c r="P1396" i="123"/>
  <c r="Q1396" i="123"/>
  <c r="R1396" i="123"/>
  <c r="T1396" i="123" s="1"/>
  <c r="V1396" i="123" s="1"/>
  <c r="S1396" i="123"/>
  <c r="X1396" i="123"/>
  <c r="Y1396" i="123"/>
  <c r="Z1396" i="123" s="1"/>
  <c r="AB1396" i="123"/>
  <c r="AD1396" i="123" s="1"/>
  <c r="AJ1396" i="123"/>
  <c r="AK1396" i="123"/>
  <c r="AL1396" i="123"/>
  <c r="AO1396" i="123"/>
  <c r="AP1396" i="123"/>
  <c r="AQ1396" i="123" s="1"/>
  <c r="AT1396" i="123"/>
  <c r="AU1396" i="123"/>
  <c r="K1397" i="123"/>
  <c r="L1397" i="123"/>
  <c r="M1397" i="123"/>
  <c r="N1397" i="123"/>
  <c r="O1397" i="123"/>
  <c r="P1397" i="123"/>
  <c r="Q1397" i="123"/>
  <c r="R1397" i="123"/>
  <c r="T1397" i="123" s="1"/>
  <c r="S1397" i="123"/>
  <c r="X1397" i="123"/>
  <c r="Y1397" i="123"/>
  <c r="AB1397" i="123"/>
  <c r="AC1397" i="123" s="1"/>
  <c r="AJ1397" i="123"/>
  <c r="AK1397" i="123"/>
  <c r="AL1397" i="123"/>
  <c r="AO1397" i="123"/>
  <c r="AP1397" i="123"/>
  <c r="AQ1397" i="123" s="1"/>
  <c r="AT1397" i="123"/>
  <c r="AU1397" i="123"/>
  <c r="K1398" i="123"/>
  <c r="L1398" i="123"/>
  <c r="M1398" i="123"/>
  <c r="N1398" i="123"/>
  <c r="O1398" i="123"/>
  <c r="P1398" i="123"/>
  <c r="Q1398" i="123"/>
  <c r="R1398" i="123"/>
  <c r="T1398" i="123" s="1"/>
  <c r="W1398" i="123" s="1"/>
  <c r="S1398" i="123"/>
  <c r="X1398" i="123"/>
  <c r="Y1398" i="123"/>
  <c r="Z1398" i="123" s="1"/>
  <c r="AB1398" i="123"/>
  <c r="AD1398" i="123" s="1"/>
  <c r="AJ1398" i="123"/>
  <c r="AK1398" i="123"/>
  <c r="AL1398" i="123"/>
  <c r="AO1398" i="123"/>
  <c r="AP1398" i="123"/>
  <c r="AT1398" i="123"/>
  <c r="AU1398" i="123"/>
  <c r="K1399" i="123"/>
  <c r="L1399" i="123"/>
  <c r="M1399" i="123"/>
  <c r="N1399" i="123"/>
  <c r="O1399" i="123"/>
  <c r="P1399" i="123"/>
  <c r="Q1399" i="123"/>
  <c r="R1399" i="123"/>
  <c r="T1399" i="123" s="1"/>
  <c r="S1399" i="123"/>
  <c r="X1399" i="123"/>
  <c r="Y1399" i="123"/>
  <c r="Z1399" i="123" s="1"/>
  <c r="AB1399" i="123"/>
  <c r="AC1399" i="123" s="1"/>
  <c r="AJ1399" i="123"/>
  <c r="AK1399" i="123"/>
  <c r="AL1399" i="123"/>
  <c r="AO1399" i="123"/>
  <c r="AP1399" i="123"/>
  <c r="AQ1399" i="123" s="1"/>
  <c r="AT1399" i="123"/>
  <c r="AU1399" i="123"/>
  <c r="K1400" i="123"/>
  <c r="L1400" i="123"/>
  <c r="M1400" i="123"/>
  <c r="N1400" i="123"/>
  <c r="O1400" i="123"/>
  <c r="P1400" i="123"/>
  <c r="Q1400" i="123"/>
  <c r="R1400" i="123"/>
  <c r="T1400" i="123" s="1"/>
  <c r="W1400" i="123" s="1"/>
  <c r="S1400" i="123"/>
  <c r="X1400" i="123"/>
  <c r="Y1400" i="123"/>
  <c r="AA1400" i="123" s="1"/>
  <c r="AB1400" i="123"/>
  <c r="AC1400" i="123" s="1"/>
  <c r="AJ1400" i="123"/>
  <c r="AK1400" i="123"/>
  <c r="AL1400" i="123"/>
  <c r="AO1400" i="123"/>
  <c r="AP1400" i="123"/>
  <c r="AQ1400" i="123" s="1"/>
  <c r="AT1400" i="123"/>
  <c r="AU1400" i="123"/>
  <c r="K1401" i="123"/>
  <c r="L1401" i="123"/>
  <c r="M1401" i="123"/>
  <c r="N1401" i="123"/>
  <c r="O1401" i="123"/>
  <c r="P1401" i="123"/>
  <c r="Q1401" i="123"/>
  <c r="R1401" i="123"/>
  <c r="T1401" i="123" s="1"/>
  <c r="S1401" i="123"/>
  <c r="X1401" i="123"/>
  <c r="Y1401" i="123"/>
  <c r="Z1401" i="123" s="1"/>
  <c r="AB1401" i="123"/>
  <c r="AD1401" i="123" s="1"/>
  <c r="AJ1401" i="123"/>
  <c r="AK1401" i="123"/>
  <c r="AL1401" i="123"/>
  <c r="AO1401" i="123"/>
  <c r="AP1401" i="123"/>
  <c r="AQ1401" i="123" s="1"/>
  <c r="AT1401" i="123"/>
  <c r="AU1401" i="123"/>
  <c r="K1402" i="123"/>
  <c r="L1402" i="123"/>
  <c r="M1402" i="123"/>
  <c r="N1402" i="123"/>
  <c r="O1402" i="123"/>
  <c r="P1402" i="123"/>
  <c r="Q1402" i="123"/>
  <c r="R1402" i="123"/>
  <c r="T1402" i="123" s="1"/>
  <c r="S1402" i="123"/>
  <c r="X1402" i="123"/>
  <c r="Y1402" i="123"/>
  <c r="Z1402" i="123" s="1"/>
  <c r="AB1402" i="123"/>
  <c r="AD1402" i="123" s="1"/>
  <c r="AJ1402" i="123"/>
  <c r="AK1402" i="123"/>
  <c r="AL1402" i="123"/>
  <c r="AO1402" i="123"/>
  <c r="AP1402" i="123"/>
  <c r="AQ1402" i="123" s="1"/>
  <c r="AT1402" i="123"/>
  <c r="AU1402" i="123"/>
  <c r="K1403" i="123"/>
  <c r="L1403" i="123"/>
  <c r="M1403" i="123"/>
  <c r="N1403" i="123"/>
  <c r="O1403" i="123"/>
  <c r="P1403" i="123"/>
  <c r="Q1403" i="123"/>
  <c r="R1403" i="123"/>
  <c r="T1403" i="123" s="1"/>
  <c r="W1403" i="123" s="1"/>
  <c r="S1403" i="123"/>
  <c r="X1403" i="123"/>
  <c r="Y1403" i="123"/>
  <c r="AA1403" i="123" s="1"/>
  <c r="AB1403" i="123"/>
  <c r="AC1403" i="123" s="1"/>
  <c r="AJ1403" i="123"/>
  <c r="AK1403" i="123"/>
  <c r="AL1403" i="123"/>
  <c r="AO1403" i="123"/>
  <c r="AP1403" i="123"/>
  <c r="AQ1403" i="123" s="1"/>
  <c r="AT1403" i="123"/>
  <c r="AU1403" i="123"/>
  <c r="K1404" i="123"/>
  <c r="L1404" i="123"/>
  <c r="M1404" i="123"/>
  <c r="N1404" i="123"/>
  <c r="O1404" i="123"/>
  <c r="P1404" i="123"/>
  <c r="Q1404" i="123"/>
  <c r="R1404" i="123"/>
  <c r="T1404" i="123" s="1"/>
  <c r="S1404" i="123"/>
  <c r="X1404" i="123"/>
  <c r="Y1404" i="123"/>
  <c r="Z1404" i="123" s="1"/>
  <c r="AB1404" i="123"/>
  <c r="AC1404" i="123" s="1"/>
  <c r="AJ1404" i="123"/>
  <c r="AK1404" i="123"/>
  <c r="AL1404" i="123"/>
  <c r="AO1404" i="123"/>
  <c r="AP1404" i="123"/>
  <c r="AQ1404" i="123" s="1"/>
  <c r="AT1404" i="123"/>
  <c r="AU1404" i="123"/>
  <c r="K1405" i="123"/>
  <c r="L1405" i="123"/>
  <c r="M1405" i="123"/>
  <c r="N1405" i="123"/>
  <c r="O1405" i="123"/>
  <c r="P1405" i="123"/>
  <c r="Q1405" i="123"/>
  <c r="R1405" i="123"/>
  <c r="T1405" i="123" s="1"/>
  <c r="S1405" i="123"/>
  <c r="X1405" i="123"/>
  <c r="Y1405" i="123"/>
  <c r="Z1405" i="123" s="1"/>
  <c r="AB1405" i="123"/>
  <c r="AC1405" i="123" s="1"/>
  <c r="AJ1405" i="123"/>
  <c r="AK1405" i="123"/>
  <c r="AL1405" i="123"/>
  <c r="AO1405" i="123"/>
  <c r="AP1405" i="123"/>
  <c r="AQ1405" i="123" s="1"/>
  <c r="AT1405" i="123"/>
  <c r="AU1405" i="123"/>
  <c r="K1406" i="123"/>
  <c r="L1406" i="123"/>
  <c r="M1406" i="123"/>
  <c r="N1406" i="123"/>
  <c r="O1406" i="123"/>
  <c r="P1406" i="123"/>
  <c r="Q1406" i="123"/>
  <c r="R1406" i="123"/>
  <c r="T1406" i="123" s="1"/>
  <c r="S1406" i="123"/>
  <c r="X1406" i="123"/>
  <c r="Y1406" i="123"/>
  <c r="Z1406" i="123" s="1"/>
  <c r="AB1406" i="123"/>
  <c r="AC1406" i="123" s="1"/>
  <c r="AJ1406" i="123"/>
  <c r="AK1406" i="123"/>
  <c r="AL1406" i="123"/>
  <c r="AO1406" i="123"/>
  <c r="AP1406" i="123"/>
  <c r="AQ1406" i="123" s="1"/>
  <c r="AT1406" i="123"/>
  <c r="AU1406" i="123"/>
  <c r="K1407" i="123"/>
  <c r="L1407" i="123"/>
  <c r="M1407" i="123"/>
  <c r="N1407" i="123"/>
  <c r="O1407" i="123"/>
  <c r="P1407" i="123"/>
  <c r="Q1407" i="123"/>
  <c r="R1407" i="123"/>
  <c r="T1407" i="123" s="1"/>
  <c r="W1407" i="123" s="1"/>
  <c r="S1407" i="123"/>
  <c r="X1407" i="123"/>
  <c r="Y1407" i="123"/>
  <c r="AA1407" i="123" s="1"/>
  <c r="AB1407" i="123"/>
  <c r="AC1407" i="123" s="1"/>
  <c r="AJ1407" i="123"/>
  <c r="AK1407" i="123"/>
  <c r="AL1407" i="123"/>
  <c r="AO1407" i="123"/>
  <c r="AP1407" i="123"/>
  <c r="AQ1407" i="123" s="1"/>
  <c r="AT1407" i="123"/>
  <c r="AU1407" i="123"/>
  <c r="K1408" i="123"/>
  <c r="L1408" i="123"/>
  <c r="M1408" i="123"/>
  <c r="N1408" i="123"/>
  <c r="O1408" i="123"/>
  <c r="P1408" i="123"/>
  <c r="Q1408" i="123"/>
  <c r="R1408" i="123"/>
  <c r="T1408" i="123" s="1"/>
  <c r="S1408" i="123"/>
  <c r="X1408" i="123"/>
  <c r="Y1408" i="123"/>
  <c r="AA1408" i="123" s="1"/>
  <c r="AB1408" i="123"/>
  <c r="AC1408" i="123" s="1"/>
  <c r="AJ1408" i="123"/>
  <c r="AK1408" i="123"/>
  <c r="AL1408" i="123"/>
  <c r="AO1408" i="123"/>
  <c r="AP1408" i="123"/>
  <c r="AQ1408" i="123" s="1"/>
  <c r="AT1408" i="123"/>
  <c r="AU1408" i="123"/>
  <c r="K1409" i="123"/>
  <c r="L1409" i="123"/>
  <c r="M1409" i="123"/>
  <c r="N1409" i="123"/>
  <c r="O1409" i="123"/>
  <c r="P1409" i="123"/>
  <c r="Q1409" i="123"/>
  <c r="R1409" i="123"/>
  <c r="T1409" i="123" s="1"/>
  <c r="S1409" i="123"/>
  <c r="X1409" i="123"/>
  <c r="Y1409" i="123"/>
  <c r="AA1409" i="123" s="1"/>
  <c r="AB1409" i="123"/>
  <c r="AC1409" i="123" s="1"/>
  <c r="AJ1409" i="123"/>
  <c r="AK1409" i="123"/>
  <c r="AL1409" i="123"/>
  <c r="AO1409" i="123"/>
  <c r="AP1409" i="123"/>
  <c r="AQ1409" i="123" s="1"/>
  <c r="AT1409" i="123"/>
  <c r="AU1409" i="123"/>
  <c r="K1410" i="123"/>
  <c r="L1410" i="123"/>
  <c r="M1410" i="123"/>
  <c r="N1410" i="123"/>
  <c r="O1410" i="123"/>
  <c r="P1410" i="123"/>
  <c r="Q1410" i="123"/>
  <c r="R1410" i="123"/>
  <c r="T1410" i="123" s="1"/>
  <c r="S1410" i="123"/>
  <c r="X1410" i="123"/>
  <c r="Y1410" i="123"/>
  <c r="AA1410" i="123" s="1"/>
  <c r="AB1410" i="123"/>
  <c r="AC1410" i="123" s="1"/>
  <c r="AJ1410" i="123"/>
  <c r="AK1410" i="123"/>
  <c r="AL1410" i="123"/>
  <c r="AO1410" i="123"/>
  <c r="AP1410" i="123"/>
  <c r="AQ1410" i="123" s="1"/>
  <c r="AT1410" i="123"/>
  <c r="AU1410" i="123"/>
  <c r="K1411" i="123"/>
  <c r="L1411" i="123"/>
  <c r="M1411" i="123"/>
  <c r="N1411" i="123"/>
  <c r="O1411" i="123"/>
  <c r="P1411" i="123"/>
  <c r="Q1411" i="123"/>
  <c r="R1411" i="123"/>
  <c r="T1411" i="123" s="1"/>
  <c r="S1411" i="123"/>
  <c r="X1411" i="123"/>
  <c r="Y1411" i="123"/>
  <c r="Z1411" i="123" s="1"/>
  <c r="AB1411" i="123"/>
  <c r="AJ1411" i="123"/>
  <c r="AK1411" i="123"/>
  <c r="AL1411" i="123"/>
  <c r="AO1411" i="123"/>
  <c r="AP1411" i="123"/>
  <c r="AQ1411" i="123" s="1"/>
  <c r="AT1411" i="123"/>
  <c r="AU1411" i="123"/>
  <c r="K1412" i="123"/>
  <c r="L1412" i="123"/>
  <c r="M1412" i="123"/>
  <c r="N1412" i="123"/>
  <c r="O1412" i="123"/>
  <c r="P1412" i="123"/>
  <c r="Q1412" i="123"/>
  <c r="R1412" i="123"/>
  <c r="T1412" i="123" s="1"/>
  <c r="S1412" i="123"/>
  <c r="X1412" i="123"/>
  <c r="Y1412" i="123"/>
  <c r="Z1412" i="123" s="1"/>
  <c r="AB1412" i="123"/>
  <c r="AD1412" i="123" s="1"/>
  <c r="AJ1412" i="123"/>
  <c r="AK1412" i="123"/>
  <c r="AL1412" i="123"/>
  <c r="AO1412" i="123"/>
  <c r="AP1412" i="123"/>
  <c r="AT1412" i="123"/>
  <c r="AU1412" i="123"/>
  <c r="K1413" i="123"/>
  <c r="L1413" i="123"/>
  <c r="M1413" i="123"/>
  <c r="N1413" i="123"/>
  <c r="O1413" i="123"/>
  <c r="P1413" i="123"/>
  <c r="Q1413" i="123"/>
  <c r="R1413" i="123"/>
  <c r="T1413" i="123" s="1"/>
  <c r="V1413" i="123" s="1"/>
  <c r="S1413" i="123"/>
  <c r="X1413" i="123"/>
  <c r="Y1413" i="123"/>
  <c r="AA1413" i="123" s="1"/>
  <c r="AB1413" i="123"/>
  <c r="AC1413" i="123" s="1"/>
  <c r="AJ1413" i="123"/>
  <c r="AK1413" i="123"/>
  <c r="AL1413" i="123"/>
  <c r="AO1413" i="123"/>
  <c r="AP1413" i="123"/>
  <c r="AQ1413" i="123" s="1"/>
  <c r="AT1413" i="123"/>
  <c r="AU1413" i="123"/>
  <c r="K1414" i="123"/>
  <c r="L1414" i="123"/>
  <c r="M1414" i="123"/>
  <c r="N1414" i="123"/>
  <c r="O1414" i="123"/>
  <c r="P1414" i="123"/>
  <c r="Q1414" i="123"/>
  <c r="R1414" i="123"/>
  <c r="T1414" i="123" s="1"/>
  <c r="W1414" i="123" s="1"/>
  <c r="S1414" i="123"/>
  <c r="X1414" i="123"/>
  <c r="Y1414" i="123"/>
  <c r="AA1414" i="123" s="1"/>
  <c r="AB1414" i="123"/>
  <c r="AC1414" i="123" s="1"/>
  <c r="AJ1414" i="123"/>
  <c r="AK1414" i="123"/>
  <c r="AL1414" i="123"/>
  <c r="AO1414" i="123"/>
  <c r="AP1414" i="123"/>
  <c r="AQ1414" i="123" s="1"/>
  <c r="AT1414" i="123"/>
  <c r="AU1414" i="123"/>
  <c r="K1415" i="123"/>
  <c r="L1415" i="123"/>
  <c r="M1415" i="123"/>
  <c r="N1415" i="123"/>
  <c r="O1415" i="123"/>
  <c r="P1415" i="123"/>
  <c r="Q1415" i="123"/>
  <c r="R1415" i="123"/>
  <c r="T1415" i="123" s="1"/>
  <c r="S1415" i="123"/>
  <c r="X1415" i="123"/>
  <c r="Y1415" i="123"/>
  <c r="Z1415" i="123" s="1"/>
  <c r="AB1415" i="123"/>
  <c r="AC1415" i="123" s="1"/>
  <c r="AJ1415" i="123"/>
  <c r="AK1415" i="123"/>
  <c r="AL1415" i="123"/>
  <c r="AO1415" i="123"/>
  <c r="AP1415" i="123"/>
  <c r="AQ1415" i="123" s="1"/>
  <c r="AT1415" i="123"/>
  <c r="AU1415" i="123"/>
  <c r="K1416" i="123"/>
  <c r="L1416" i="123"/>
  <c r="M1416" i="123"/>
  <c r="N1416" i="123"/>
  <c r="O1416" i="123"/>
  <c r="P1416" i="123"/>
  <c r="Q1416" i="123"/>
  <c r="R1416" i="123"/>
  <c r="T1416" i="123" s="1"/>
  <c r="V1416" i="123" s="1"/>
  <c r="S1416" i="123"/>
  <c r="X1416" i="123"/>
  <c r="Y1416" i="123"/>
  <c r="Z1416" i="123" s="1"/>
  <c r="AB1416" i="123"/>
  <c r="AD1416" i="123" s="1"/>
  <c r="AJ1416" i="123"/>
  <c r="AK1416" i="123"/>
  <c r="AL1416" i="123"/>
  <c r="AO1416" i="123"/>
  <c r="AP1416" i="123"/>
  <c r="AQ1416" i="123" s="1"/>
  <c r="AT1416" i="123"/>
  <c r="AU1416" i="123"/>
  <c r="K1417" i="123"/>
  <c r="L1417" i="123"/>
  <c r="M1417" i="123"/>
  <c r="N1417" i="123"/>
  <c r="O1417" i="123"/>
  <c r="P1417" i="123"/>
  <c r="Q1417" i="123"/>
  <c r="R1417" i="123"/>
  <c r="T1417" i="123" s="1"/>
  <c r="S1417" i="123"/>
  <c r="X1417" i="123"/>
  <c r="Y1417" i="123"/>
  <c r="Z1417" i="123" s="1"/>
  <c r="AB1417" i="123"/>
  <c r="AJ1417" i="123"/>
  <c r="AK1417" i="123"/>
  <c r="AL1417" i="123"/>
  <c r="AO1417" i="123"/>
  <c r="AP1417" i="123"/>
  <c r="AQ1417" i="123" s="1"/>
  <c r="AT1417" i="123"/>
  <c r="AU1417" i="123"/>
  <c r="K1418" i="123"/>
  <c r="L1418" i="123"/>
  <c r="M1418" i="123"/>
  <c r="N1418" i="123"/>
  <c r="O1418" i="123"/>
  <c r="P1418" i="123"/>
  <c r="Q1418" i="123"/>
  <c r="R1418" i="123"/>
  <c r="T1418" i="123" s="1"/>
  <c r="S1418" i="123"/>
  <c r="X1418" i="123"/>
  <c r="Y1418" i="123"/>
  <c r="Z1418" i="123" s="1"/>
  <c r="AB1418" i="123"/>
  <c r="AC1418" i="123" s="1"/>
  <c r="AJ1418" i="123"/>
  <c r="AK1418" i="123"/>
  <c r="AL1418" i="123"/>
  <c r="AO1418" i="123"/>
  <c r="AP1418" i="123"/>
  <c r="AT1418" i="123"/>
  <c r="AU1418" i="123"/>
  <c r="K1419" i="123"/>
  <c r="L1419" i="123"/>
  <c r="M1419" i="123"/>
  <c r="N1419" i="123"/>
  <c r="O1419" i="123"/>
  <c r="P1419" i="123"/>
  <c r="Q1419" i="123"/>
  <c r="R1419" i="123"/>
  <c r="T1419" i="123" s="1"/>
  <c r="S1419" i="123"/>
  <c r="X1419" i="123"/>
  <c r="Y1419" i="123"/>
  <c r="Z1419" i="123" s="1"/>
  <c r="AB1419" i="123"/>
  <c r="AC1419" i="123" s="1"/>
  <c r="AJ1419" i="123"/>
  <c r="AK1419" i="123"/>
  <c r="AL1419" i="123"/>
  <c r="AO1419" i="123"/>
  <c r="AP1419" i="123"/>
  <c r="AQ1419" i="123" s="1"/>
  <c r="AT1419" i="123"/>
  <c r="AU1419" i="123"/>
  <c r="K1420" i="123"/>
  <c r="L1420" i="123"/>
  <c r="M1420" i="123"/>
  <c r="N1420" i="123"/>
  <c r="O1420" i="123"/>
  <c r="P1420" i="123"/>
  <c r="Q1420" i="123"/>
  <c r="R1420" i="123"/>
  <c r="T1420" i="123" s="1"/>
  <c r="V1420" i="123" s="1"/>
  <c r="S1420" i="123"/>
  <c r="X1420" i="123"/>
  <c r="Y1420" i="123"/>
  <c r="Z1420" i="123" s="1"/>
  <c r="AB1420" i="123"/>
  <c r="AD1420" i="123" s="1"/>
  <c r="AJ1420" i="123"/>
  <c r="AK1420" i="123"/>
  <c r="AL1420" i="123"/>
  <c r="AO1420" i="123"/>
  <c r="AP1420" i="123"/>
  <c r="AQ1420" i="123" s="1"/>
  <c r="AT1420" i="123"/>
  <c r="AU1420" i="123"/>
  <c r="K1421" i="123"/>
  <c r="L1421" i="123"/>
  <c r="M1421" i="123"/>
  <c r="N1421" i="123"/>
  <c r="O1421" i="123"/>
  <c r="P1421" i="123"/>
  <c r="Q1421" i="123"/>
  <c r="R1421" i="123"/>
  <c r="T1421" i="123" s="1"/>
  <c r="V1421" i="123" s="1"/>
  <c r="S1421" i="123"/>
  <c r="X1421" i="123"/>
  <c r="Y1421" i="123"/>
  <c r="Z1421" i="123" s="1"/>
  <c r="AB1421" i="123"/>
  <c r="AJ1421" i="123"/>
  <c r="AK1421" i="123"/>
  <c r="AL1421" i="123"/>
  <c r="AO1421" i="123"/>
  <c r="AP1421" i="123"/>
  <c r="AQ1421" i="123" s="1"/>
  <c r="AT1421" i="123"/>
  <c r="AU1421" i="123"/>
  <c r="K1422" i="123"/>
  <c r="L1422" i="123"/>
  <c r="M1422" i="123"/>
  <c r="N1422" i="123"/>
  <c r="O1422" i="123"/>
  <c r="P1422" i="123"/>
  <c r="Q1422" i="123"/>
  <c r="R1422" i="123"/>
  <c r="T1422" i="123" s="1"/>
  <c r="W1422" i="123" s="1"/>
  <c r="S1422" i="123"/>
  <c r="X1422" i="123"/>
  <c r="Y1422" i="123"/>
  <c r="AB1422" i="123"/>
  <c r="AD1422" i="123" s="1"/>
  <c r="AJ1422" i="123"/>
  <c r="AK1422" i="123"/>
  <c r="AL1422" i="123"/>
  <c r="AO1422" i="123"/>
  <c r="AP1422" i="123"/>
  <c r="AQ1422" i="123" s="1"/>
  <c r="AT1422" i="123"/>
  <c r="AU1422" i="123"/>
  <c r="K1423" i="123"/>
  <c r="L1423" i="123"/>
  <c r="M1423" i="123"/>
  <c r="N1423" i="123"/>
  <c r="O1423" i="123"/>
  <c r="P1423" i="123"/>
  <c r="Q1423" i="123"/>
  <c r="R1423" i="123"/>
  <c r="T1423" i="123" s="1"/>
  <c r="S1423" i="123"/>
  <c r="X1423" i="123"/>
  <c r="Y1423" i="123"/>
  <c r="AB1423" i="123"/>
  <c r="AC1423" i="123" s="1"/>
  <c r="AJ1423" i="123"/>
  <c r="AK1423" i="123"/>
  <c r="AL1423" i="123"/>
  <c r="AO1423" i="123"/>
  <c r="AP1423" i="123"/>
  <c r="AQ1423" i="123" s="1"/>
  <c r="AT1423" i="123"/>
  <c r="AU1423" i="123"/>
  <c r="K1424" i="123"/>
  <c r="L1424" i="123"/>
  <c r="M1424" i="123"/>
  <c r="N1424" i="123"/>
  <c r="O1424" i="123"/>
  <c r="P1424" i="123"/>
  <c r="Q1424" i="123"/>
  <c r="R1424" i="123"/>
  <c r="T1424" i="123" s="1"/>
  <c r="W1424" i="123" s="1"/>
  <c r="S1424" i="123"/>
  <c r="X1424" i="123"/>
  <c r="Y1424" i="123"/>
  <c r="AA1424" i="123" s="1"/>
  <c r="AB1424" i="123"/>
  <c r="AC1424" i="123" s="1"/>
  <c r="AJ1424" i="123"/>
  <c r="AK1424" i="123"/>
  <c r="AL1424" i="123"/>
  <c r="AO1424" i="123"/>
  <c r="AP1424" i="123"/>
  <c r="AQ1424" i="123" s="1"/>
  <c r="AT1424" i="123"/>
  <c r="AU1424" i="123"/>
  <c r="K1425" i="123"/>
  <c r="L1425" i="123"/>
  <c r="M1425" i="123"/>
  <c r="N1425" i="123"/>
  <c r="O1425" i="123"/>
  <c r="P1425" i="123"/>
  <c r="Q1425" i="123"/>
  <c r="R1425" i="123"/>
  <c r="T1425" i="123" s="1"/>
  <c r="S1425" i="123"/>
  <c r="X1425" i="123"/>
  <c r="Y1425" i="123"/>
  <c r="Z1425" i="123" s="1"/>
  <c r="AB1425" i="123"/>
  <c r="AD1425" i="123" s="1"/>
  <c r="AJ1425" i="123"/>
  <c r="AK1425" i="123"/>
  <c r="AL1425" i="123"/>
  <c r="AO1425" i="123"/>
  <c r="AP1425" i="123"/>
  <c r="AQ1425" i="123" s="1"/>
  <c r="AT1425" i="123"/>
  <c r="AU1425" i="123"/>
  <c r="K1426" i="123"/>
  <c r="L1426" i="123"/>
  <c r="M1426" i="123"/>
  <c r="N1426" i="123"/>
  <c r="O1426" i="123"/>
  <c r="P1426" i="123"/>
  <c r="Q1426" i="123"/>
  <c r="R1426" i="123"/>
  <c r="T1426" i="123" s="1"/>
  <c r="S1426" i="123"/>
  <c r="X1426" i="123"/>
  <c r="Y1426" i="123"/>
  <c r="Z1426" i="123" s="1"/>
  <c r="AB1426" i="123"/>
  <c r="AD1426" i="123" s="1"/>
  <c r="AJ1426" i="123"/>
  <c r="AK1426" i="123"/>
  <c r="AL1426" i="123"/>
  <c r="AO1426" i="123"/>
  <c r="AP1426" i="123"/>
  <c r="AQ1426" i="123" s="1"/>
  <c r="AT1426" i="123"/>
  <c r="AU1426" i="123"/>
  <c r="K1427" i="123"/>
  <c r="L1427" i="123"/>
  <c r="M1427" i="123"/>
  <c r="N1427" i="123"/>
  <c r="O1427" i="123"/>
  <c r="P1427" i="123"/>
  <c r="Q1427" i="123"/>
  <c r="R1427" i="123"/>
  <c r="T1427" i="123" s="1"/>
  <c r="W1427" i="123" s="1"/>
  <c r="S1427" i="123"/>
  <c r="X1427" i="123"/>
  <c r="Y1427" i="123"/>
  <c r="AA1427" i="123" s="1"/>
  <c r="AB1427" i="123"/>
  <c r="AC1427" i="123" s="1"/>
  <c r="AJ1427" i="123"/>
  <c r="AK1427" i="123"/>
  <c r="AL1427" i="123"/>
  <c r="AO1427" i="123"/>
  <c r="AP1427" i="123"/>
  <c r="AQ1427" i="123" s="1"/>
  <c r="AT1427" i="123"/>
  <c r="AU1427" i="123"/>
  <c r="K1428" i="123"/>
  <c r="L1428" i="123"/>
  <c r="M1428" i="123"/>
  <c r="N1428" i="123"/>
  <c r="O1428" i="123"/>
  <c r="P1428" i="123"/>
  <c r="Q1428" i="123"/>
  <c r="R1428" i="123"/>
  <c r="T1428" i="123" s="1"/>
  <c r="S1428" i="123"/>
  <c r="X1428" i="123"/>
  <c r="Y1428" i="123"/>
  <c r="Z1428" i="123" s="1"/>
  <c r="AB1428" i="123"/>
  <c r="AJ1428" i="123"/>
  <c r="AK1428" i="123"/>
  <c r="AL1428" i="123"/>
  <c r="AO1428" i="123"/>
  <c r="AP1428" i="123"/>
  <c r="AQ1428" i="123" s="1"/>
  <c r="AT1428" i="123"/>
  <c r="AU1428" i="123"/>
  <c r="K1429" i="123"/>
  <c r="L1429" i="123"/>
  <c r="M1429" i="123"/>
  <c r="N1429" i="123"/>
  <c r="O1429" i="123"/>
  <c r="P1429" i="123"/>
  <c r="Q1429" i="123"/>
  <c r="R1429" i="123"/>
  <c r="T1429" i="123" s="1"/>
  <c r="V1429" i="123" s="1"/>
  <c r="S1429" i="123"/>
  <c r="X1429" i="123"/>
  <c r="Y1429" i="123"/>
  <c r="AA1429" i="123" s="1"/>
  <c r="AB1429" i="123"/>
  <c r="AC1429" i="123" s="1"/>
  <c r="AJ1429" i="123"/>
  <c r="AK1429" i="123"/>
  <c r="AL1429" i="123"/>
  <c r="AO1429" i="123"/>
  <c r="AP1429" i="123"/>
  <c r="AQ1429" i="123" s="1"/>
  <c r="AT1429" i="123"/>
  <c r="AU1429" i="123"/>
  <c r="K1430" i="123"/>
  <c r="L1430" i="123"/>
  <c r="M1430" i="123"/>
  <c r="N1430" i="123"/>
  <c r="O1430" i="123"/>
  <c r="P1430" i="123"/>
  <c r="Q1430" i="123"/>
  <c r="R1430" i="123"/>
  <c r="T1430" i="123" s="1"/>
  <c r="S1430" i="123"/>
  <c r="X1430" i="123"/>
  <c r="Y1430" i="123"/>
  <c r="Z1430" i="123" s="1"/>
  <c r="AB1430" i="123"/>
  <c r="AD1430" i="123" s="1"/>
  <c r="AJ1430" i="123"/>
  <c r="AK1430" i="123"/>
  <c r="AL1430" i="123"/>
  <c r="AO1430" i="123"/>
  <c r="AP1430" i="123"/>
  <c r="AQ1430" i="123" s="1"/>
  <c r="AT1430" i="123"/>
  <c r="AU1430" i="123"/>
  <c r="K1431" i="123"/>
  <c r="L1431" i="123"/>
  <c r="M1431" i="123"/>
  <c r="N1431" i="123"/>
  <c r="O1431" i="123"/>
  <c r="P1431" i="123"/>
  <c r="Q1431" i="123"/>
  <c r="R1431" i="123"/>
  <c r="T1431" i="123" s="1"/>
  <c r="W1431" i="123" s="1"/>
  <c r="S1431" i="123"/>
  <c r="X1431" i="123"/>
  <c r="Y1431" i="123"/>
  <c r="AA1431" i="123" s="1"/>
  <c r="AB1431" i="123"/>
  <c r="AC1431" i="123" s="1"/>
  <c r="AJ1431" i="123"/>
  <c r="AK1431" i="123"/>
  <c r="AL1431" i="123"/>
  <c r="AO1431" i="123"/>
  <c r="AP1431" i="123"/>
  <c r="AQ1431" i="123" s="1"/>
  <c r="AT1431" i="123"/>
  <c r="AU1431" i="123"/>
  <c r="K1432" i="123"/>
  <c r="L1432" i="123"/>
  <c r="M1432" i="123"/>
  <c r="N1432" i="123"/>
  <c r="O1432" i="123"/>
  <c r="P1432" i="123"/>
  <c r="Q1432" i="123"/>
  <c r="R1432" i="123"/>
  <c r="T1432" i="123" s="1"/>
  <c r="S1432" i="123"/>
  <c r="X1432" i="123"/>
  <c r="Y1432" i="123"/>
  <c r="Z1432" i="123" s="1"/>
  <c r="AB1432" i="123"/>
  <c r="AD1432" i="123" s="1"/>
  <c r="AJ1432" i="123"/>
  <c r="AK1432" i="123"/>
  <c r="AL1432" i="123"/>
  <c r="AO1432" i="123"/>
  <c r="AP1432" i="123"/>
  <c r="AQ1432" i="123" s="1"/>
  <c r="AT1432" i="123"/>
  <c r="AU1432" i="123"/>
  <c r="K1433" i="123"/>
  <c r="L1433" i="123"/>
  <c r="M1433" i="123"/>
  <c r="N1433" i="123"/>
  <c r="O1433" i="123"/>
  <c r="P1433" i="123"/>
  <c r="Q1433" i="123"/>
  <c r="R1433" i="123"/>
  <c r="T1433" i="123" s="1"/>
  <c r="S1433" i="123"/>
  <c r="X1433" i="123"/>
  <c r="Y1433" i="123"/>
  <c r="AB1433" i="123"/>
  <c r="AD1433" i="123" s="1"/>
  <c r="AJ1433" i="123"/>
  <c r="AK1433" i="123"/>
  <c r="AL1433" i="123"/>
  <c r="AO1433" i="123"/>
  <c r="AP1433" i="123"/>
  <c r="AQ1433" i="123" s="1"/>
  <c r="AT1433" i="123"/>
  <c r="AU1433" i="123"/>
  <c r="K1434" i="123"/>
  <c r="L1434" i="123"/>
  <c r="M1434" i="123"/>
  <c r="N1434" i="123"/>
  <c r="O1434" i="123"/>
  <c r="P1434" i="123"/>
  <c r="Q1434" i="123"/>
  <c r="R1434" i="123"/>
  <c r="T1434" i="123" s="1"/>
  <c r="S1434" i="123"/>
  <c r="X1434" i="123"/>
  <c r="Y1434" i="123"/>
  <c r="AB1434" i="123"/>
  <c r="AD1434" i="123" s="1"/>
  <c r="AJ1434" i="123"/>
  <c r="AK1434" i="123"/>
  <c r="AL1434" i="123"/>
  <c r="AO1434" i="123"/>
  <c r="AP1434" i="123"/>
  <c r="AQ1434" i="123" s="1"/>
  <c r="AT1434" i="123"/>
  <c r="AU1434" i="123"/>
  <c r="K1435" i="123"/>
  <c r="L1435" i="123"/>
  <c r="M1435" i="123"/>
  <c r="N1435" i="123"/>
  <c r="O1435" i="123"/>
  <c r="P1435" i="123"/>
  <c r="Q1435" i="123"/>
  <c r="R1435" i="123"/>
  <c r="T1435" i="123" s="1"/>
  <c r="W1435" i="123" s="1"/>
  <c r="S1435" i="123"/>
  <c r="X1435" i="123"/>
  <c r="Y1435" i="123"/>
  <c r="AA1435" i="123" s="1"/>
  <c r="AB1435" i="123"/>
  <c r="AC1435" i="123" s="1"/>
  <c r="AJ1435" i="123"/>
  <c r="AK1435" i="123"/>
  <c r="AL1435" i="123"/>
  <c r="AO1435" i="123"/>
  <c r="AP1435" i="123"/>
  <c r="AQ1435" i="123" s="1"/>
  <c r="AT1435" i="123"/>
  <c r="AU1435" i="123"/>
  <c r="K1436" i="123"/>
  <c r="L1436" i="123"/>
  <c r="M1436" i="123"/>
  <c r="N1436" i="123"/>
  <c r="O1436" i="123"/>
  <c r="P1436" i="123"/>
  <c r="Q1436" i="123"/>
  <c r="R1436" i="123"/>
  <c r="T1436" i="123" s="1"/>
  <c r="S1436" i="123"/>
  <c r="X1436" i="123"/>
  <c r="Y1436" i="123"/>
  <c r="AA1436" i="123" s="1"/>
  <c r="AB1436" i="123"/>
  <c r="AC1436" i="123" s="1"/>
  <c r="AJ1436" i="123"/>
  <c r="AK1436" i="123"/>
  <c r="AL1436" i="123"/>
  <c r="AO1436" i="123"/>
  <c r="AP1436" i="123"/>
  <c r="AQ1436" i="123" s="1"/>
  <c r="AT1436" i="123"/>
  <c r="AU1436" i="123"/>
  <c r="K1437" i="123"/>
  <c r="L1437" i="123"/>
  <c r="M1437" i="123"/>
  <c r="N1437" i="123"/>
  <c r="O1437" i="123"/>
  <c r="P1437" i="123"/>
  <c r="Q1437" i="123"/>
  <c r="R1437" i="123"/>
  <c r="T1437" i="123" s="1"/>
  <c r="S1437" i="123"/>
  <c r="X1437" i="123"/>
  <c r="Y1437" i="123"/>
  <c r="Z1437" i="123" s="1"/>
  <c r="AB1437" i="123"/>
  <c r="AD1437" i="123" s="1"/>
  <c r="AJ1437" i="123"/>
  <c r="AK1437" i="123"/>
  <c r="AL1437" i="123"/>
  <c r="AO1437" i="123"/>
  <c r="AP1437" i="123"/>
  <c r="AT1437" i="123"/>
  <c r="AU1437" i="123"/>
  <c r="K1438" i="123"/>
  <c r="L1438" i="123"/>
  <c r="M1438" i="123"/>
  <c r="N1438" i="123"/>
  <c r="O1438" i="123"/>
  <c r="P1438" i="123"/>
  <c r="Q1438" i="123"/>
  <c r="R1438" i="123"/>
  <c r="T1438" i="123" s="1"/>
  <c r="S1438" i="123"/>
  <c r="X1438" i="123"/>
  <c r="Y1438" i="123"/>
  <c r="Z1438" i="123" s="1"/>
  <c r="AB1438" i="123"/>
  <c r="AC1438" i="123" s="1"/>
  <c r="AJ1438" i="123"/>
  <c r="AK1438" i="123"/>
  <c r="AL1438" i="123"/>
  <c r="AO1438" i="123"/>
  <c r="AP1438" i="123"/>
  <c r="AT1438" i="123"/>
  <c r="AU1438" i="123"/>
  <c r="K1439" i="123"/>
  <c r="L1439" i="123"/>
  <c r="M1439" i="123"/>
  <c r="N1439" i="123"/>
  <c r="O1439" i="123"/>
  <c r="P1439" i="123"/>
  <c r="Q1439" i="123"/>
  <c r="R1439" i="123"/>
  <c r="T1439" i="123" s="1"/>
  <c r="S1439" i="123"/>
  <c r="X1439" i="123"/>
  <c r="Y1439" i="123"/>
  <c r="AB1439" i="123"/>
  <c r="AC1439" i="123" s="1"/>
  <c r="AJ1439" i="123"/>
  <c r="AK1439" i="123"/>
  <c r="AL1439" i="123"/>
  <c r="AO1439" i="123"/>
  <c r="AP1439" i="123"/>
  <c r="AQ1439" i="123" s="1"/>
  <c r="AT1439" i="123"/>
  <c r="AU1439" i="123"/>
  <c r="K1440" i="123"/>
  <c r="L1440" i="123"/>
  <c r="M1440" i="123"/>
  <c r="N1440" i="123"/>
  <c r="O1440" i="123"/>
  <c r="P1440" i="123"/>
  <c r="Q1440" i="123"/>
  <c r="R1440" i="123"/>
  <c r="T1440" i="123" s="1"/>
  <c r="V1440" i="123" s="1"/>
  <c r="S1440" i="123"/>
  <c r="X1440" i="123"/>
  <c r="Y1440" i="123"/>
  <c r="Z1440" i="123" s="1"/>
  <c r="AB1440" i="123"/>
  <c r="AD1440" i="123" s="1"/>
  <c r="AJ1440" i="123"/>
  <c r="AK1440" i="123"/>
  <c r="AL1440" i="123"/>
  <c r="AO1440" i="123"/>
  <c r="AP1440" i="123"/>
  <c r="AT1440" i="123"/>
  <c r="AU1440" i="123"/>
  <c r="K1441" i="123"/>
  <c r="L1441" i="123"/>
  <c r="M1441" i="123"/>
  <c r="N1441" i="123"/>
  <c r="O1441" i="123"/>
  <c r="P1441" i="123"/>
  <c r="Q1441" i="123"/>
  <c r="R1441" i="123"/>
  <c r="T1441" i="123" s="1"/>
  <c r="S1441" i="123"/>
  <c r="X1441" i="123"/>
  <c r="Y1441" i="123"/>
  <c r="Z1441" i="123" s="1"/>
  <c r="AB1441" i="123"/>
  <c r="AC1441" i="123" s="1"/>
  <c r="AJ1441" i="123"/>
  <c r="AK1441" i="123"/>
  <c r="AL1441" i="123"/>
  <c r="AO1441" i="123"/>
  <c r="AP1441" i="123"/>
  <c r="AQ1441" i="123" s="1"/>
  <c r="AT1441" i="123"/>
  <c r="AU1441" i="123"/>
  <c r="K1442" i="123"/>
  <c r="L1442" i="123"/>
  <c r="M1442" i="123"/>
  <c r="N1442" i="123"/>
  <c r="O1442" i="123"/>
  <c r="P1442" i="123"/>
  <c r="Q1442" i="123"/>
  <c r="R1442" i="123"/>
  <c r="T1442" i="123" s="1"/>
  <c r="V1442" i="123" s="1"/>
  <c r="S1442" i="123"/>
  <c r="X1442" i="123"/>
  <c r="Y1442" i="123"/>
  <c r="AB1442" i="123"/>
  <c r="AC1442" i="123" s="1"/>
  <c r="AJ1442" i="123"/>
  <c r="AK1442" i="123"/>
  <c r="AL1442" i="123"/>
  <c r="AO1442" i="123"/>
  <c r="AP1442" i="123"/>
  <c r="AQ1442" i="123" s="1"/>
  <c r="AT1442" i="123"/>
  <c r="AU1442" i="123"/>
  <c r="K1443" i="123"/>
  <c r="L1443" i="123"/>
  <c r="M1443" i="123"/>
  <c r="N1443" i="123"/>
  <c r="O1443" i="123"/>
  <c r="P1443" i="123"/>
  <c r="Q1443" i="123"/>
  <c r="R1443" i="123"/>
  <c r="T1443" i="123" s="1"/>
  <c r="S1443" i="123"/>
  <c r="X1443" i="123"/>
  <c r="Y1443" i="123"/>
  <c r="AA1443" i="123" s="1"/>
  <c r="AB1443" i="123"/>
  <c r="AJ1443" i="123"/>
  <c r="AK1443" i="123"/>
  <c r="AL1443" i="123"/>
  <c r="AO1443" i="123"/>
  <c r="AP1443" i="123"/>
  <c r="AQ1443" i="123" s="1"/>
  <c r="AT1443" i="123"/>
  <c r="AU1443" i="123"/>
  <c r="K1444" i="123"/>
  <c r="L1444" i="123"/>
  <c r="M1444" i="123"/>
  <c r="N1444" i="123"/>
  <c r="O1444" i="123"/>
  <c r="P1444" i="123"/>
  <c r="Q1444" i="123"/>
  <c r="R1444" i="123"/>
  <c r="T1444" i="123" s="1"/>
  <c r="S1444" i="123"/>
  <c r="X1444" i="123"/>
  <c r="Y1444" i="123"/>
  <c r="AB1444" i="123"/>
  <c r="AJ1444" i="123"/>
  <c r="AK1444" i="123"/>
  <c r="AL1444" i="123"/>
  <c r="AO1444" i="123"/>
  <c r="AP1444" i="123"/>
  <c r="AQ1444" i="123" s="1"/>
  <c r="AT1444" i="123"/>
  <c r="AU1444" i="123"/>
  <c r="K1445" i="123"/>
  <c r="L1445" i="123"/>
  <c r="M1445" i="123"/>
  <c r="N1445" i="123"/>
  <c r="O1445" i="123"/>
  <c r="P1445" i="123"/>
  <c r="Q1445" i="123"/>
  <c r="R1445" i="123"/>
  <c r="T1445" i="123" s="1"/>
  <c r="W1445" i="123" s="1"/>
  <c r="S1445" i="123"/>
  <c r="X1445" i="123"/>
  <c r="Y1445" i="123"/>
  <c r="AB1445" i="123"/>
  <c r="AD1445" i="123" s="1"/>
  <c r="AJ1445" i="123"/>
  <c r="AK1445" i="123"/>
  <c r="AL1445" i="123"/>
  <c r="AO1445" i="123"/>
  <c r="AP1445" i="123"/>
  <c r="AQ1445" i="123" s="1"/>
  <c r="AT1445" i="123"/>
  <c r="AU1445" i="123"/>
  <c r="K1446" i="123"/>
  <c r="L1446" i="123"/>
  <c r="M1446" i="123"/>
  <c r="N1446" i="123"/>
  <c r="O1446" i="123"/>
  <c r="P1446" i="123"/>
  <c r="Q1446" i="123"/>
  <c r="R1446" i="123"/>
  <c r="T1446" i="123" s="1"/>
  <c r="S1446" i="123"/>
  <c r="X1446" i="123"/>
  <c r="Y1446" i="123"/>
  <c r="AB1446" i="123"/>
  <c r="AD1446" i="123" s="1"/>
  <c r="AJ1446" i="123"/>
  <c r="AK1446" i="123"/>
  <c r="AL1446" i="123"/>
  <c r="AO1446" i="123"/>
  <c r="AP1446" i="123"/>
  <c r="AQ1446" i="123" s="1"/>
  <c r="AT1446" i="123"/>
  <c r="AU1446" i="123"/>
  <c r="K1447" i="123"/>
  <c r="L1447" i="123"/>
  <c r="M1447" i="123"/>
  <c r="N1447" i="123"/>
  <c r="O1447" i="123"/>
  <c r="P1447" i="123"/>
  <c r="Q1447" i="123"/>
  <c r="R1447" i="123"/>
  <c r="T1447" i="123" s="1"/>
  <c r="S1447" i="123"/>
  <c r="X1447" i="123"/>
  <c r="Y1447" i="123"/>
  <c r="AA1447" i="123" s="1"/>
  <c r="AB1447" i="123"/>
  <c r="AJ1447" i="123"/>
  <c r="AK1447" i="123"/>
  <c r="AL1447" i="123"/>
  <c r="AO1447" i="123"/>
  <c r="AP1447" i="123"/>
  <c r="AQ1447" i="123" s="1"/>
  <c r="AT1447" i="123"/>
  <c r="AU1447" i="123"/>
  <c r="K1448" i="123"/>
  <c r="L1448" i="123"/>
  <c r="M1448" i="123"/>
  <c r="N1448" i="123"/>
  <c r="O1448" i="123"/>
  <c r="P1448" i="123"/>
  <c r="Q1448" i="123"/>
  <c r="R1448" i="123"/>
  <c r="T1448" i="123" s="1"/>
  <c r="S1448" i="123"/>
  <c r="X1448" i="123"/>
  <c r="Y1448" i="123"/>
  <c r="AB1448" i="123"/>
  <c r="AC1448" i="123" s="1"/>
  <c r="AJ1448" i="123"/>
  <c r="AK1448" i="123"/>
  <c r="AL1448" i="123"/>
  <c r="AO1448" i="123"/>
  <c r="AP1448" i="123"/>
  <c r="AT1448" i="123"/>
  <c r="AU1448" i="123"/>
  <c r="K1449" i="123"/>
  <c r="L1449" i="123"/>
  <c r="M1449" i="123"/>
  <c r="N1449" i="123"/>
  <c r="O1449" i="123"/>
  <c r="P1449" i="123"/>
  <c r="Q1449" i="123"/>
  <c r="R1449" i="123"/>
  <c r="T1449" i="123" s="1"/>
  <c r="S1449" i="123"/>
  <c r="X1449" i="123"/>
  <c r="Y1449" i="123"/>
  <c r="AB1449" i="123"/>
  <c r="AD1449" i="123" s="1"/>
  <c r="AJ1449" i="123"/>
  <c r="AK1449" i="123"/>
  <c r="AL1449" i="123"/>
  <c r="AO1449" i="123"/>
  <c r="AP1449" i="123"/>
  <c r="AQ1449" i="123" s="1"/>
  <c r="AT1449" i="123"/>
  <c r="AU1449" i="123"/>
  <c r="K1450" i="123"/>
  <c r="L1450" i="123"/>
  <c r="M1450" i="123"/>
  <c r="N1450" i="123"/>
  <c r="O1450" i="123"/>
  <c r="P1450" i="123"/>
  <c r="Q1450" i="123"/>
  <c r="R1450" i="123"/>
  <c r="T1450" i="123" s="1"/>
  <c r="W1450" i="123" s="1"/>
  <c r="S1450" i="123"/>
  <c r="X1450" i="123"/>
  <c r="Y1450" i="123"/>
  <c r="Z1450" i="123" s="1"/>
  <c r="AB1450" i="123"/>
  <c r="AJ1450" i="123"/>
  <c r="AK1450" i="123"/>
  <c r="AL1450" i="123"/>
  <c r="AO1450" i="123"/>
  <c r="AP1450" i="123"/>
  <c r="AT1450" i="123"/>
  <c r="AU1450" i="123"/>
  <c r="K1451" i="123"/>
  <c r="L1451" i="123"/>
  <c r="M1451" i="123"/>
  <c r="N1451" i="123"/>
  <c r="O1451" i="123"/>
  <c r="P1451" i="123"/>
  <c r="Q1451" i="123"/>
  <c r="R1451" i="123"/>
  <c r="T1451" i="123" s="1"/>
  <c r="S1451" i="123"/>
  <c r="X1451" i="123"/>
  <c r="Y1451" i="123"/>
  <c r="AB1451" i="123"/>
  <c r="AD1451" i="123" s="1"/>
  <c r="AJ1451" i="123"/>
  <c r="AK1451" i="123"/>
  <c r="AL1451" i="123"/>
  <c r="AO1451" i="123"/>
  <c r="AP1451" i="123"/>
  <c r="AQ1451" i="123" s="1"/>
  <c r="AT1451" i="123"/>
  <c r="AU1451" i="123"/>
  <c r="K1452" i="123"/>
  <c r="L1452" i="123"/>
  <c r="M1452" i="123"/>
  <c r="N1452" i="123"/>
  <c r="O1452" i="123"/>
  <c r="P1452" i="123"/>
  <c r="Q1452" i="123"/>
  <c r="R1452" i="123"/>
  <c r="T1452" i="123" s="1"/>
  <c r="S1452" i="123"/>
  <c r="X1452" i="123"/>
  <c r="Y1452" i="123"/>
  <c r="AA1452" i="123" s="1"/>
  <c r="AB1452" i="123"/>
  <c r="AC1452" i="123" s="1"/>
  <c r="AJ1452" i="123"/>
  <c r="AK1452" i="123"/>
  <c r="AL1452" i="123"/>
  <c r="AO1452" i="123"/>
  <c r="AP1452" i="123"/>
  <c r="AQ1452" i="123" s="1"/>
  <c r="AT1452" i="123"/>
  <c r="AU1452" i="123"/>
  <c r="K1453" i="123"/>
  <c r="L1453" i="123"/>
  <c r="M1453" i="123"/>
  <c r="N1453" i="123"/>
  <c r="O1453" i="123"/>
  <c r="P1453" i="123"/>
  <c r="Q1453" i="123"/>
  <c r="R1453" i="123"/>
  <c r="T1453" i="123" s="1"/>
  <c r="W1453" i="123" s="1"/>
  <c r="S1453" i="123"/>
  <c r="X1453" i="123"/>
  <c r="Y1453" i="123"/>
  <c r="Z1453" i="123" s="1"/>
  <c r="AB1453" i="123"/>
  <c r="AJ1453" i="123"/>
  <c r="AK1453" i="123"/>
  <c r="AL1453" i="123"/>
  <c r="AO1453" i="123"/>
  <c r="AP1453" i="123"/>
  <c r="AQ1453" i="123" s="1"/>
  <c r="AT1453" i="123"/>
  <c r="AU1453" i="123"/>
  <c r="K1454" i="123"/>
  <c r="L1454" i="123"/>
  <c r="M1454" i="123"/>
  <c r="N1454" i="123"/>
  <c r="O1454" i="123"/>
  <c r="P1454" i="123"/>
  <c r="Q1454" i="123"/>
  <c r="R1454" i="123"/>
  <c r="T1454" i="123" s="1"/>
  <c r="S1454" i="123"/>
  <c r="X1454" i="123"/>
  <c r="Y1454" i="123"/>
  <c r="Z1454" i="123" s="1"/>
  <c r="AB1454" i="123"/>
  <c r="AJ1454" i="123"/>
  <c r="AK1454" i="123"/>
  <c r="AL1454" i="123"/>
  <c r="AO1454" i="123"/>
  <c r="AP1454" i="123"/>
  <c r="AQ1454" i="123" s="1"/>
  <c r="AT1454" i="123"/>
  <c r="AU1454" i="123"/>
  <c r="K1455" i="123"/>
  <c r="L1455" i="123"/>
  <c r="M1455" i="123"/>
  <c r="N1455" i="123"/>
  <c r="O1455" i="123"/>
  <c r="P1455" i="123"/>
  <c r="Q1455" i="123"/>
  <c r="R1455" i="123"/>
  <c r="T1455" i="123" s="1"/>
  <c r="S1455" i="123"/>
  <c r="X1455" i="123"/>
  <c r="Y1455" i="123"/>
  <c r="AA1455" i="123" s="1"/>
  <c r="AB1455" i="123"/>
  <c r="AC1455" i="123" s="1"/>
  <c r="AJ1455" i="123"/>
  <c r="AK1455" i="123"/>
  <c r="AL1455" i="123"/>
  <c r="AO1455" i="123"/>
  <c r="AP1455" i="123"/>
  <c r="AQ1455" i="123" s="1"/>
  <c r="AT1455" i="123"/>
  <c r="AU1455" i="123"/>
  <c r="K1456" i="123"/>
  <c r="L1456" i="123"/>
  <c r="M1456" i="123"/>
  <c r="N1456" i="123"/>
  <c r="O1456" i="123"/>
  <c r="P1456" i="123"/>
  <c r="Q1456" i="123"/>
  <c r="R1456" i="123"/>
  <c r="T1456" i="123" s="1"/>
  <c r="S1456" i="123"/>
  <c r="X1456" i="123"/>
  <c r="Y1456" i="123"/>
  <c r="AA1456" i="123" s="1"/>
  <c r="AB1456" i="123"/>
  <c r="AC1456" i="123" s="1"/>
  <c r="AJ1456" i="123"/>
  <c r="AK1456" i="123"/>
  <c r="AL1456" i="123"/>
  <c r="AO1456" i="123"/>
  <c r="AP1456" i="123"/>
  <c r="AT1456" i="123"/>
  <c r="AU1456" i="123"/>
  <c r="K1457" i="123"/>
  <c r="L1457" i="123"/>
  <c r="M1457" i="123"/>
  <c r="N1457" i="123"/>
  <c r="O1457" i="123"/>
  <c r="P1457" i="123"/>
  <c r="Q1457" i="123"/>
  <c r="R1457" i="123"/>
  <c r="T1457" i="123" s="1"/>
  <c r="S1457" i="123"/>
  <c r="X1457" i="123"/>
  <c r="Y1457" i="123"/>
  <c r="Z1457" i="123" s="1"/>
  <c r="AB1457" i="123"/>
  <c r="AC1457" i="123" s="1"/>
  <c r="AJ1457" i="123"/>
  <c r="AK1457" i="123"/>
  <c r="AL1457" i="123"/>
  <c r="AO1457" i="123"/>
  <c r="AP1457" i="123"/>
  <c r="AQ1457" i="123" s="1"/>
  <c r="AT1457" i="123"/>
  <c r="AU1457" i="123"/>
  <c r="K1458" i="123"/>
  <c r="L1458" i="123"/>
  <c r="M1458" i="123"/>
  <c r="N1458" i="123"/>
  <c r="O1458" i="123"/>
  <c r="P1458" i="123"/>
  <c r="Q1458" i="123"/>
  <c r="R1458" i="123"/>
  <c r="T1458" i="123" s="1"/>
  <c r="S1458" i="123"/>
  <c r="X1458" i="123"/>
  <c r="Y1458" i="123"/>
  <c r="Z1458" i="123" s="1"/>
  <c r="AB1458" i="123"/>
  <c r="AD1458" i="123" s="1"/>
  <c r="AJ1458" i="123"/>
  <c r="AK1458" i="123"/>
  <c r="AL1458" i="123"/>
  <c r="AO1458" i="123"/>
  <c r="AP1458" i="123"/>
  <c r="AQ1458" i="123" s="1"/>
  <c r="AT1458" i="123"/>
  <c r="AU1458" i="123"/>
  <c r="K1459" i="123"/>
  <c r="L1459" i="123"/>
  <c r="M1459" i="123"/>
  <c r="N1459" i="123"/>
  <c r="O1459" i="123"/>
  <c r="P1459" i="123"/>
  <c r="Q1459" i="123"/>
  <c r="R1459" i="123"/>
  <c r="T1459" i="123" s="1"/>
  <c r="S1459" i="123"/>
  <c r="X1459" i="123"/>
  <c r="Y1459" i="123"/>
  <c r="AA1459" i="123" s="1"/>
  <c r="AB1459" i="123"/>
  <c r="AC1459" i="123" s="1"/>
  <c r="AJ1459" i="123"/>
  <c r="AK1459" i="123"/>
  <c r="AL1459" i="123"/>
  <c r="AO1459" i="123"/>
  <c r="AP1459" i="123"/>
  <c r="AQ1459" i="123" s="1"/>
  <c r="AT1459" i="123"/>
  <c r="AU1459" i="123"/>
  <c r="K1460" i="123"/>
  <c r="L1460" i="123"/>
  <c r="M1460" i="123"/>
  <c r="N1460" i="123"/>
  <c r="O1460" i="123"/>
  <c r="P1460" i="123"/>
  <c r="Q1460" i="123"/>
  <c r="R1460" i="123"/>
  <c r="T1460" i="123" s="1"/>
  <c r="W1460" i="123" s="1"/>
  <c r="S1460" i="123"/>
  <c r="X1460" i="123"/>
  <c r="Y1460" i="123"/>
  <c r="AA1460" i="123" s="1"/>
  <c r="AB1460" i="123"/>
  <c r="AC1460" i="123" s="1"/>
  <c r="AJ1460" i="123"/>
  <c r="AK1460" i="123"/>
  <c r="AL1460" i="123"/>
  <c r="AO1460" i="123"/>
  <c r="AP1460" i="123"/>
  <c r="AQ1460" i="123" s="1"/>
  <c r="AT1460" i="123"/>
  <c r="AU1460" i="123"/>
  <c r="K1461" i="123"/>
  <c r="L1461" i="123"/>
  <c r="M1461" i="123"/>
  <c r="N1461" i="123"/>
  <c r="O1461" i="123"/>
  <c r="P1461" i="123"/>
  <c r="Q1461" i="123"/>
  <c r="R1461" i="123"/>
  <c r="T1461" i="123" s="1"/>
  <c r="W1461" i="123" s="1"/>
  <c r="S1461" i="123"/>
  <c r="X1461" i="123"/>
  <c r="Y1461" i="123"/>
  <c r="Z1461" i="123" s="1"/>
  <c r="AB1461" i="123"/>
  <c r="AD1461" i="123" s="1"/>
  <c r="AJ1461" i="123"/>
  <c r="AK1461" i="123"/>
  <c r="AL1461" i="123"/>
  <c r="AO1461" i="123"/>
  <c r="AP1461" i="123"/>
  <c r="AQ1461" i="123" s="1"/>
  <c r="AT1461" i="123"/>
  <c r="AU1461" i="123"/>
  <c r="K1462" i="123"/>
  <c r="L1462" i="123"/>
  <c r="M1462" i="123"/>
  <c r="N1462" i="123"/>
  <c r="O1462" i="123"/>
  <c r="P1462" i="123"/>
  <c r="Q1462" i="123"/>
  <c r="R1462" i="123"/>
  <c r="T1462" i="123" s="1"/>
  <c r="W1462" i="123" s="1"/>
  <c r="S1462" i="123"/>
  <c r="X1462" i="123"/>
  <c r="Y1462" i="123"/>
  <c r="Z1462" i="123" s="1"/>
  <c r="AB1462" i="123"/>
  <c r="AD1462" i="123" s="1"/>
  <c r="AJ1462" i="123"/>
  <c r="AK1462" i="123"/>
  <c r="AL1462" i="123"/>
  <c r="AO1462" i="123"/>
  <c r="AP1462" i="123"/>
  <c r="AQ1462" i="123" s="1"/>
  <c r="AT1462" i="123"/>
  <c r="AU1462" i="123"/>
  <c r="K1463" i="123"/>
  <c r="L1463" i="123"/>
  <c r="M1463" i="123"/>
  <c r="N1463" i="123"/>
  <c r="O1463" i="123"/>
  <c r="P1463" i="123"/>
  <c r="Q1463" i="123"/>
  <c r="R1463" i="123"/>
  <c r="T1463" i="123" s="1"/>
  <c r="S1463" i="123"/>
  <c r="X1463" i="123"/>
  <c r="Y1463" i="123"/>
  <c r="AA1463" i="123" s="1"/>
  <c r="AB1463" i="123"/>
  <c r="AC1463" i="123" s="1"/>
  <c r="AJ1463" i="123"/>
  <c r="AK1463" i="123"/>
  <c r="AL1463" i="123"/>
  <c r="AO1463" i="123"/>
  <c r="AP1463" i="123"/>
  <c r="AQ1463" i="123" s="1"/>
  <c r="AT1463" i="123"/>
  <c r="AU1463" i="123"/>
  <c r="K1464" i="123"/>
  <c r="L1464" i="123"/>
  <c r="M1464" i="123"/>
  <c r="N1464" i="123"/>
  <c r="O1464" i="123"/>
  <c r="P1464" i="123"/>
  <c r="Q1464" i="123"/>
  <c r="R1464" i="123"/>
  <c r="T1464" i="123" s="1"/>
  <c r="V1464" i="123" s="1"/>
  <c r="S1464" i="123"/>
  <c r="X1464" i="123"/>
  <c r="Y1464" i="123"/>
  <c r="Z1464" i="123" s="1"/>
  <c r="AB1464" i="123"/>
  <c r="AD1464" i="123" s="1"/>
  <c r="AJ1464" i="123"/>
  <c r="AK1464" i="123"/>
  <c r="AL1464" i="123"/>
  <c r="AO1464" i="123"/>
  <c r="AP1464" i="123"/>
  <c r="AT1464" i="123"/>
  <c r="AU1464" i="123"/>
  <c r="K1465" i="123"/>
  <c r="L1465" i="123"/>
  <c r="M1465" i="123"/>
  <c r="N1465" i="123"/>
  <c r="O1465" i="123"/>
  <c r="P1465" i="123"/>
  <c r="Q1465" i="123"/>
  <c r="R1465" i="123"/>
  <c r="T1465" i="123" s="1"/>
  <c r="S1465" i="123"/>
  <c r="X1465" i="123"/>
  <c r="Y1465" i="123"/>
  <c r="Z1465" i="123" s="1"/>
  <c r="AB1465" i="123"/>
  <c r="AC1465" i="123" s="1"/>
  <c r="AJ1465" i="123"/>
  <c r="AK1465" i="123"/>
  <c r="AL1465" i="123"/>
  <c r="AO1465" i="123"/>
  <c r="AP1465" i="123"/>
  <c r="AQ1465" i="123" s="1"/>
  <c r="AT1465" i="123"/>
  <c r="AU1465" i="123"/>
  <c r="K1466" i="123"/>
  <c r="L1466" i="123"/>
  <c r="M1466" i="123"/>
  <c r="N1466" i="123"/>
  <c r="O1466" i="123"/>
  <c r="P1466" i="123"/>
  <c r="Q1466" i="123"/>
  <c r="R1466" i="123"/>
  <c r="T1466" i="123" s="1"/>
  <c r="W1466" i="123" s="1"/>
  <c r="S1466" i="123"/>
  <c r="X1466" i="123"/>
  <c r="Y1466" i="123"/>
  <c r="Z1466" i="123" s="1"/>
  <c r="AB1466" i="123"/>
  <c r="AC1466" i="123" s="1"/>
  <c r="AJ1466" i="123"/>
  <c r="AK1466" i="123"/>
  <c r="AL1466" i="123"/>
  <c r="AO1466" i="123"/>
  <c r="AP1466" i="123"/>
  <c r="AQ1466" i="123" s="1"/>
  <c r="AT1466" i="123"/>
  <c r="AU1466" i="123"/>
  <c r="K1467" i="123"/>
  <c r="L1467" i="123"/>
  <c r="M1467" i="123"/>
  <c r="N1467" i="123"/>
  <c r="O1467" i="123"/>
  <c r="P1467" i="123"/>
  <c r="Q1467" i="123"/>
  <c r="R1467" i="123"/>
  <c r="T1467" i="123" s="1"/>
  <c r="S1467" i="123"/>
  <c r="X1467" i="123"/>
  <c r="Y1467" i="123"/>
  <c r="Z1467" i="123" s="1"/>
  <c r="AB1467" i="123"/>
  <c r="AC1467" i="123" s="1"/>
  <c r="AJ1467" i="123"/>
  <c r="AK1467" i="123"/>
  <c r="AL1467" i="123"/>
  <c r="AO1467" i="123"/>
  <c r="AP1467" i="123"/>
  <c r="AQ1467" i="123" s="1"/>
  <c r="AT1467" i="123"/>
  <c r="AU1467" i="123"/>
  <c r="K1468" i="123"/>
  <c r="L1468" i="123"/>
  <c r="M1468" i="123"/>
  <c r="N1468" i="123"/>
  <c r="O1468" i="123"/>
  <c r="P1468" i="123"/>
  <c r="Q1468" i="123"/>
  <c r="R1468" i="123"/>
  <c r="T1468" i="123" s="1"/>
  <c r="S1468" i="123"/>
  <c r="X1468" i="123"/>
  <c r="Y1468" i="123"/>
  <c r="Z1468" i="123" s="1"/>
  <c r="AB1468" i="123"/>
  <c r="AC1468" i="123" s="1"/>
  <c r="AJ1468" i="123"/>
  <c r="AK1468" i="123"/>
  <c r="AL1468" i="123"/>
  <c r="AO1468" i="123"/>
  <c r="AP1468" i="123"/>
  <c r="AQ1468" i="123" s="1"/>
  <c r="AT1468" i="123"/>
  <c r="AU1468" i="123"/>
  <c r="K1469" i="123"/>
  <c r="L1469" i="123"/>
  <c r="M1469" i="123"/>
  <c r="N1469" i="123"/>
  <c r="O1469" i="123"/>
  <c r="P1469" i="123"/>
  <c r="Q1469" i="123"/>
  <c r="R1469" i="123"/>
  <c r="T1469" i="123" s="1"/>
  <c r="S1469" i="123"/>
  <c r="X1469" i="123"/>
  <c r="Y1469" i="123"/>
  <c r="Z1469" i="123" s="1"/>
  <c r="AB1469" i="123"/>
  <c r="AC1469" i="123" s="1"/>
  <c r="AJ1469" i="123"/>
  <c r="AK1469" i="123"/>
  <c r="AL1469" i="123"/>
  <c r="AO1469" i="123"/>
  <c r="AP1469" i="123"/>
  <c r="AQ1469" i="123" s="1"/>
  <c r="AT1469" i="123"/>
  <c r="AU1469" i="123"/>
  <c r="K1470" i="123"/>
  <c r="L1470" i="123"/>
  <c r="M1470" i="123"/>
  <c r="N1470" i="123"/>
  <c r="O1470" i="123"/>
  <c r="P1470" i="123"/>
  <c r="Q1470" i="123"/>
  <c r="R1470" i="123"/>
  <c r="T1470" i="123" s="1"/>
  <c r="W1470" i="123" s="1"/>
  <c r="S1470" i="123"/>
  <c r="X1470" i="123"/>
  <c r="Y1470" i="123"/>
  <c r="Z1470" i="123" s="1"/>
  <c r="AB1470" i="123"/>
  <c r="AC1470" i="123" s="1"/>
  <c r="AJ1470" i="123"/>
  <c r="AK1470" i="123"/>
  <c r="AL1470" i="123"/>
  <c r="AO1470" i="123"/>
  <c r="AP1470" i="123"/>
  <c r="AQ1470" i="123" s="1"/>
  <c r="AT1470" i="123"/>
  <c r="AU1470" i="123"/>
  <c r="K1471" i="123"/>
  <c r="L1471" i="123"/>
  <c r="M1471" i="123"/>
  <c r="N1471" i="123"/>
  <c r="O1471" i="123"/>
  <c r="P1471" i="123"/>
  <c r="Q1471" i="123"/>
  <c r="R1471" i="123"/>
  <c r="T1471" i="123" s="1"/>
  <c r="S1471" i="123"/>
  <c r="X1471" i="123"/>
  <c r="Y1471" i="123"/>
  <c r="Z1471" i="123" s="1"/>
  <c r="AB1471" i="123"/>
  <c r="AC1471" i="123" s="1"/>
  <c r="AJ1471" i="123"/>
  <c r="AK1471" i="123"/>
  <c r="AL1471" i="123"/>
  <c r="AO1471" i="123"/>
  <c r="AP1471" i="123"/>
  <c r="AQ1471" i="123" s="1"/>
  <c r="AT1471" i="123"/>
  <c r="AU1471" i="123"/>
  <c r="K1472" i="123"/>
  <c r="L1472" i="123"/>
  <c r="M1472" i="123"/>
  <c r="N1472" i="123"/>
  <c r="O1472" i="123"/>
  <c r="P1472" i="123"/>
  <c r="Q1472" i="123"/>
  <c r="R1472" i="123"/>
  <c r="T1472" i="123" s="1"/>
  <c r="S1472" i="123"/>
  <c r="X1472" i="123"/>
  <c r="Y1472" i="123"/>
  <c r="AA1472" i="123" s="1"/>
  <c r="AB1472" i="123"/>
  <c r="AC1472" i="123" s="1"/>
  <c r="AJ1472" i="123"/>
  <c r="AK1472" i="123"/>
  <c r="AL1472" i="123"/>
  <c r="AO1472" i="123"/>
  <c r="AP1472" i="123"/>
  <c r="AQ1472" i="123" s="1"/>
  <c r="AT1472" i="123"/>
  <c r="AU1472" i="123"/>
  <c r="K1473" i="123"/>
  <c r="L1473" i="123"/>
  <c r="M1473" i="123"/>
  <c r="N1473" i="123"/>
  <c r="O1473" i="123"/>
  <c r="P1473" i="123"/>
  <c r="Q1473" i="123"/>
  <c r="R1473" i="123"/>
  <c r="T1473" i="123" s="1"/>
  <c r="S1473" i="123"/>
  <c r="X1473" i="123"/>
  <c r="Y1473" i="123"/>
  <c r="Z1473" i="123" s="1"/>
  <c r="AB1473" i="123"/>
  <c r="AD1473" i="123" s="1"/>
  <c r="AJ1473" i="123"/>
  <c r="AK1473" i="123"/>
  <c r="AL1473" i="123"/>
  <c r="AO1473" i="123"/>
  <c r="AP1473" i="123"/>
  <c r="AQ1473" i="123" s="1"/>
  <c r="AT1473" i="123"/>
  <c r="AU1473" i="123"/>
  <c r="K1474" i="123"/>
  <c r="L1474" i="123"/>
  <c r="M1474" i="123"/>
  <c r="N1474" i="123"/>
  <c r="O1474" i="123"/>
  <c r="P1474" i="123"/>
  <c r="Q1474" i="123"/>
  <c r="R1474" i="123"/>
  <c r="T1474" i="123" s="1"/>
  <c r="W1474" i="123" s="1"/>
  <c r="S1474" i="123"/>
  <c r="X1474" i="123"/>
  <c r="Y1474" i="123"/>
  <c r="Z1474" i="123" s="1"/>
  <c r="AB1474" i="123"/>
  <c r="AC1474" i="123" s="1"/>
  <c r="AJ1474" i="123"/>
  <c r="AK1474" i="123"/>
  <c r="AL1474" i="123"/>
  <c r="AO1474" i="123"/>
  <c r="AP1474" i="123"/>
  <c r="AQ1474" i="123" s="1"/>
  <c r="AT1474" i="123"/>
  <c r="AU1474" i="123"/>
  <c r="K1475" i="123"/>
  <c r="L1475" i="123"/>
  <c r="M1475" i="123"/>
  <c r="N1475" i="123"/>
  <c r="O1475" i="123"/>
  <c r="P1475" i="123"/>
  <c r="Q1475" i="123"/>
  <c r="R1475" i="123"/>
  <c r="T1475" i="123" s="1"/>
  <c r="S1475" i="123"/>
  <c r="X1475" i="123"/>
  <c r="Y1475" i="123"/>
  <c r="AA1475" i="123" s="1"/>
  <c r="AB1475" i="123"/>
  <c r="AC1475" i="123" s="1"/>
  <c r="AJ1475" i="123"/>
  <c r="AK1475" i="123"/>
  <c r="AL1475" i="123"/>
  <c r="AO1475" i="123"/>
  <c r="AP1475" i="123"/>
  <c r="AQ1475" i="123" s="1"/>
  <c r="AT1475" i="123"/>
  <c r="AU1475" i="123"/>
  <c r="K1476" i="123"/>
  <c r="L1476" i="123"/>
  <c r="M1476" i="123"/>
  <c r="N1476" i="123"/>
  <c r="O1476" i="123"/>
  <c r="P1476" i="123"/>
  <c r="Q1476" i="123"/>
  <c r="R1476" i="123"/>
  <c r="T1476" i="123" s="1"/>
  <c r="S1476" i="123"/>
  <c r="X1476" i="123"/>
  <c r="Y1476" i="123"/>
  <c r="Z1476" i="123" s="1"/>
  <c r="AB1476" i="123"/>
  <c r="AC1476" i="123" s="1"/>
  <c r="AJ1476" i="123"/>
  <c r="AK1476" i="123"/>
  <c r="AL1476" i="123"/>
  <c r="AO1476" i="123"/>
  <c r="AP1476" i="123"/>
  <c r="AT1476" i="123"/>
  <c r="AU1476" i="123"/>
  <c r="K1477" i="123"/>
  <c r="L1477" i="123"/>
  <c r="M1477" i="123"/>
  <c r="N1477" i="123"/>
  <c r="O1477" i="123"/>
  <c r="P1477" i="123"/>
  <c r="Q1477" i="123"/>
  <c r="R1477" i="123"/>
  <c r="T1477" i="123" s="1"/>
  <c r="S1477" i="123"/>
  <c r="X1477" i="123"/>
  <c r="Y1477" i="123"/>
  <c r="Z1477" i="123" s="1"/>
  <c r="AB1477" i="123"/>
  <c r="AC1477" i="123" s="1"/>
  <c r="AJ1477" i="123"/>
  <c r="AK1477" i="123"/>
  <c r="AL1477" i="123"/>
  <c r="AO1477" i="123"/>
  <c r="AP1477" i="123"/>
  <c r="AQ1477" i="123" s="1"/>
  <c r="AT1477" i="123"/>
  <c r="AU1477" i="123"/>
  <c r="K1478" i="123"/>
  <c r="L1478" i="123"/>
  <c r="M1478" i="123"/>
  <c r="N1478" i="123"/>
  <c r="O1478" i="123"/>
  <c r="P1478" i="123"/>
  <c r="Q1478" i="123"/>
  <c r="R1478" i="123"/>
  <c r="T1478" i="123" s="1"/>
  <c r="W1478" i="123" s="1"/>
  <c r="S1478" i="123"/>
  <c r="X1478" i="123"/>
  <c r="Y1478" i="123"/>
  <c r="Z1478" i="123" s="1"/>
  <c r="AB1478" i="123"/>
  <c r="AC1478" i="123" s="1"/>
  <c r="AJ1478" i="123"/>
  <c r="AK1478" i="123"/>
  <c r="AL1478" i="123"/>
  <c r="AO1478" i="123"/>
  <c r="AP1478" i="123"/>
  <c r="AQ1478" i="123" s="1"/>
  <c r="AT1478" i="123"/>
  <c r="AU1478" i="123"/>
  <c r="K1479" i="123"/>
  <c r="L1479" i="123"/>
  <c r="M1479" i="123"/>
  <c r="N1479" i="123"/>
  <c r="O1479" i="123"/>
  <c r="P1479" i="123"/>
  <c r="Q1479" i="123"/>
  <c r="R1479" i="123"/>
  <c r="T1479" i="123" s="1"/>
  <c r="S1479" i="123"/>
  <c r="X1479" i="123"/>
  <c r="Y1479" i="123"/>
  <c r="Z1479" i="123" s="1"/>
  <c r="AB1479" i="123"/>
  <c r="AD1479" i="123" s="1"/>
  <c r="AJ1479" i="123"/>
  <c r="AK1479" i="123"/>
  <c r="AL1479" i="123"/>
  <c r="AO1479" i="123"/>
  <c r="AP1479" i="123"/>
  <c r="AT1479" i="123"/>
  <c r="AU1479" i="123"/>
  <c r="K1480" i="123"/>
  <c r="L1480" i="123"/>
  <c r="M1480" i="123"/>
  <c r="N1480" i="123"/>
  <c r="O1480" i="123"/>
  <c r="P1480" i="123"/>
  <c r="Q1480" i="123"/>
  <c r="R1480" i="123"/>
  <c r="T1480" i="123" s="1"/>
  <c r="S1480" i="123"/>
  <c r="X1480" i="123"/>
  <c r="Y1480" i="123"/>
  <c r="AB1480" i="123"/>
  <c r="AC1480" i="123" s="1"/>
  <c r="AJ1480" i="123"/>
  <c r="AK1480" i="123"/>
  <c r="AL1480" i="123"/>
  <c r="AO1480" i="123"/>
  <c r="AP1480" i="123"/>
  <c r="AT1480" i="123"/>
  <c r="AU1480" i="123"/>
  <c r="K1481" i="123"/>
  <c r="L1481" i="123"/>
  <c r="M1481" i="123"/>
  <c r="N1481" i="123"/>
  <c r="O1481" i="123"/>
  <c r="P1481" i="123"/>
  <c r="Q1481" i="123"/>
  <c r="R1481" i="123"/>
  <c r="T1481" i="123" s="1"/>
  <c r="S1481" i="123"/>
  <c r="X1481" i="123"/>
  <c r="Y1481" i="123"/>
  <c r="Z1481" i="123" s="1"/>
  <c r="AB1481" i="123"/>
  <c r="AC1481" i="123" s="1"/>
  <c r="AJ1481" i="123"/>
  <c r="AK1481" i="123"/>
  <c r="AL1481" i="123"/>
  <c r="AO1481" i="123"/>
  <c r="AP1481" i="123"/>
  <c r="AQ1481" i="123" s="1"/>
  <c r="AT1481" i="123"/>
  <c r="AU1481" i="123"/>
  <c r="K1482" i="123"/>
  <c r="L1482" i="123"/>
  <c r="M1482" i="123"/>
  <c r="N1482" i="123"/>
  <c r="O1482" i="123"/>
  <c r="P1482" i="123"/>
  <c r="Q1482" i="123"/>
  <c r="R1482" i="123"/>
  <c r="T1482" i="123" s="1"/>
  <c r="W1482" i="123" s="1"/>
  <c r="S1482" i="123"/>
  <c r="X1482" i="123"/>
  <c r="Y1482" i="123"/>
  <c r="Z1482" i="123" s="1"/>
  <c r="AB1482" i="123"/>
  <c r="AC1482" i="123" s="1"/>
  <c r="AJ1482" i="123"/>
  <c r="AK1482" i="123"/>
  <c r="AL1482" i="123"/>
  <c r="AO1482" i="123"/>
  <c r="AP1482" i="123"/>
  <c r="AQ1482" i="123" s="1"/>
  <c r="AT1482" i="123"/>
  <c r="AU1482" i="123"/>
  <c r="K1483" i="123"/>
  <c r="L1483" i="123"/>
  <c r="M1483" i="123"/>
  <c r="N1483" i="123"/>
  <c r="O1483" i="123"/>
  <c r="P1483" i="123"/>
  <c r="Q1483" i="123"/>
  <c r="R1483" i="123"/>
  <c r="T1483" i="123" s="1"/>
  <c r="S1483" i="123"/>
  <c r="X1483" i="123"/>
  <c r="Y1483" i="123"/>
  <c r="Z1483" i="123" s="1"/>
  <c r="AB1483" i="123"/>
  <c r="AD1483" i="123" s="1"/>
  <c r="AJ1483" i="123"/>
  <c r="AK1483" i="123"/>
  <c r="AL1483" i="123"/>
  <c r="AO1483" i="123"/>
  <c r="AP1483" i="123"/>
  <c r="AQ1483" i="123" s="1"/>
  <c r="AT1483" i="123"/>
  <c r="AU1483" i="123"/>
  <c r="K1484" i="123"/>
  <c r="L1484" i="123"/>
  <c r="M1484" i="123"/>
  <c r="N1484" i="123"/>
  <c r="O1484" i="123"/>
  <c r="P1484" i="123"/>
  <c r="Q1484" i="123"/>
  <c r="R1484" i="123"/>
  <c r="T1484" i="123" s="1"/>
  <c r="S1484" i="123"/>
  <c r="X1484" i="123"/>
  <c r="Y1484" i="123"/>
  <c r="Z1484" i="123" s="1"/>
  <c r="AB1484" i="123"/>
  <c r="AJ1484" i="123"/>
  <c r="AK1484" i="123"/>
  <c r="AL1484" i="123"/>
  <c r="AO1484" i="123"/>
  <c r="AP1484" i="123"/>
  <c r="AT1484" i="123"/>
  <c r="AU1484" i="123"/>
  <c r="K1485" i="123"/>
  <c r="L1485" i="123"/>
  <c r="M1485" i="123"/>
  <c r="N1485" i="123"/>
  <c r="O1485" i="123"/>
  <c r="P1485" i="123"/>
  <c r="Q1485" i="123"/>
  <c r="R1485" i="123"/>
  <c r="T1485" i="123" s="1"/>
  <c r="S1485" i="123"/>
  <c r="X1485" i="123"/>
  <c r="Y1485" i="123"/>
  <c r="Z1485" i="123" s="1"/>
  <c r="AB1485" i="123"/>
  <c r="AC1485" i="123" s="1"/>
  <c r="AJ1485" i="123"/>
  <c r="AK1485" i="123"/>
  <c r="AL1485" i="123"/>
  <c r="AO1485" i="123"/>
  <c r="AP1485" i="123"/>
  <c r="AQ1485" i="123" s="1"/>
  <c r="AT1485" i="123"/>
  <c r="AU1485" i="123"/>
  <c r="K1486" i="123"/>
  <c r="L1486" i="123"/>
  <c r="M1486" i="123"/>
  <c r="N1486" i="123"/>
  <c r="O1486" i="123"/>
  <c r="P1486" i="123"/>
  <c r="Q1486" i="123"/>
  <c r="R1486" i="123"/>
  <c r="T1486" i="123" s="1"/>
  <c r="W1486" i="123" s="1"/>
  <c r="S1486" i="123"/>
  <c r="X1486" i="123"/>
  <c r="Y1486" i="123"/>
  <c r="Z1486" i="123" s="1"/>
  <c r="AB1486" i="123"/>
  <c r="AC1486" i="123" s="1"/>
  <c r="AJ1486" i="123"/>
  <c r="AK1486" i="123"/>
  <c r="AL1486" i="123"/>
  <c r="AO1486" i="123"/>
  <c r="AP1486" i="123"/>
  <c r="AQ1486" i="123" s="1"/>
  <c r="AT1486" i="123"/>
  <c r="AU1486" i="123"/>
  <c r="K1487" i="123"/>
  <c r="L1487" i="123"/>
  <c r="M1487" i="123"/>
  <c r="N1487" i="123"/>
  <c r="O1487" i="123"/>
  <c r="P1487" i="123"/>
  <c r="Q1487" i="123"/>
  <c r="R1487" i="123"/>
  <c r="T1487" i="123" s="1"/>
  <c r="S1487" i="123"/>
  <c r="X1487" i="123"/>
  <c r="Y1487" i="123"/>
  <c r="Z1487" i="123" s="1"/>
  <c r="AB1487" i="123"/>
  <c r="AC1487" i="123" s="1"/>
  <c r="AJ1487" i="123"/>
  <c r="AK1487" i="123"/>
  <c r="AL1487" i="123"/>
  <c r="AO1487" i="123"/>
  <c r="AP1487" i="123"/>
  <c r="AT1487" i="123"/>
  <c r="AU1487" i="123"/>
  <c r="K1488" i="123"/>
  <c r="L1488" i="123"/>
  <c r="M1488" i="123"/>
  <c r="N1488" i="123"/>
  <c r="O1488" i="123"/>
  <c r="P1488" i="123"/>
  <c r="Q1488" i="123"/>
  <c r="R1488" i="123"/>
  <c r="T1488" i="123" s="1"/>
  <c r="S1488" i="123"/>
  <c r="X1488" i="123"/>
  <c r="Y1488" i="123"/>
  <c r="AA1488" i="123" s="1"/>
  <c r="AB1488" i="123"/>
  <c r="AC1488" i="123" s="1"/>
  <c r="AJ1488" i="123"/>
  <c r="AK1488" i="123"/>
  <c r="AL1488" i="123"/>
  <c r="AO1488" i="123"/>
  <c r="AP1488" i="123"/>
  <c r="AT1488" i="123"/>
  <c r="AU1488" i="123"/>
  <c r="K1489" i="123"/>
  <c r="L1489" i="123"/>
  <c r="M1489" i="123"/>
  <c r="N1489" i="123"/>
  <c r="O1489" i="123"/>
  <c r="P1489" i="123"/>
  <c r="Q1489" i="123"/>
  <c r="R1489" i="123"/>
  <c r="T1489" i="123" s="1"/>
  <c r="S1489" i="123"/>
  <c r="X1489" i="123"/>
  <c r="Y1489" i="123"/>
  <c r="Z1489" i="123" s="1"/>
  <c r="AB1489" i="123"/>
  <c r="AC1489" i="123" s="1"/>
  <c r="AJ1489" i="123"/>
  <c r="AK1489" i="123"/>
  <c r="AL1489" i="123"/>
  <c r="AO1489" i="123"/>
  <c r="AP1489" i="123"/>
  <c r="AQ1489" i="123" s="1"/>
  <c r="AT1489" i="123"/>
  <c r="AU1489" i="123"/>
  <c r="K1490" i="123"/>
  <c r="L1490" i="123"/>
  <c r="M1490" i="123"/>
  <c r="N1490" i="123"/>
  <c r="O1490" i="123"/>
  <c r="P1490" i="123"/>
  <c r="Q1490" i="123"/>
  <c r="R1490" i="123"/>
  <c r="T1490" i="123" s="1"/>
  <c r="W1490" i="123" s="1"/>
  <c r="S1490" i="123"/>
  <c r="X1490" i="123"/>
  <c r="Y1490" i="123"/>
  <c r="Z1490" i="123" s="1"/>
  <c r="AB1490" i="123"/>
  <c r="AC1490" i="123" s="1"/>
  <c r="AJ1490" i="123"/>
  <c r="AK1490" i="123"/>
  <c r="AL1490" i="123"/>
  <c r="AO1490" i="123"/>
  <c r="AP1490" i="123"/>
  <c r="AQ1490" i="123" s="1"/>
  <c r="AT1490" i="123"/>
  <c r="AU1490" i="123"/>
  <c r="K1491" i="123"/>
  <c r="L1491" i="123"/>
  <c r="M1491" i="123"/>
  <c r="N1491" i="123"/>
  <c r="O1491" i="123"/>
  <c r="P1491" i="123"/>
  <c r="Q1491" i="123"/>
  <c r="R1491" i="123"/>
  <c r="T1491" i="123" s="1"/>
  <c r="S1491" i="123"/>
  <c r="X1491" i="123"/>
  <c r="Y1491" i="123"/>
  <c r="Z1491" i="123" s="1"/>
  <c r="AB1491" i="123"/>
  <c r="AC1491" i="123" s="1"/>
  <c r="AJ1491" i="123"/>
  <c r="AK1491" i="123"/>
  <c r="AL1491" i="123"/>
  <c r="AO1491" i="123"/>
  <c r="AP1491" i="123"/>
  <c r="AQ1491" i="123" s="1"/>
  <c r="AT1491" i="123"/>
  <c r="AU1491" i="123"/>
  <c r="K1492" i="123"/>
  <c r="L1492" i="123"/>
  <c r="M1492" i="123"/>
  <c r="N1492" i="123"/>
  <c r="O1492" i="123"/>
  <c r="P1492" i="123"/>
  <c r="Q1492" i="123"/>
  <c r="R1492" i="123"/>
  <c r="T1492" i="123" s="1"/>
  <c r="S1492" i="123"/>
  <c r="X1492" i="123"/>
  <c r="Y1492" i="123"/>
  <c r="Z1492" i="123" s="1"/>
  <c r="AB1492" i="123"/>
  <c r="AC1492" i="123" s="1"/>
  <c r="AJ1492" i="123"/>
  <c r="AK1492" i="123"/>
  <c r="AL1492" i="123"/>
  <c r="AO1492" i="123"/>
  <c r="AP1492" i="123"/>
  <c r="AT1492" i="123"/>
  <c r="AU1492" i="123"/>
  <c r="K1493" i="123"/>
  <c r="L1493" i="123"/>
  <c r="M1493" i="123"/>
  <c r="N1493" i="123"/>
  <c r="O1493" i="123"/>
  <c r="P1493" i="123"/>
  <c r="Q1493" i="123"/>
  <c r="R1493" i="123"/>
  <c r="T1493" i="123" s="1"/>
  <c r="S1493" i="123"/>
  <c r="X1493" i="123"/>
  <c r="Y1493" i="123"/>
  <c r="Z1493" i="123" s="1"/>
  <c r="AB1493" i="123"/>
  <c r="AC1493" i="123" s="1"/>
  <c r="AJ1493" i="123"/>
  <c r="AK1493" i="123"/>
  <c r="AL1493" i="123"/>
  <c r="AO1493" i="123"/>
  <c r="AP1493" i="123"/>
  <c r="AQ1493" i="123" s="1"/>
  <c r="AT1493" i="123"/>
  <c r="AU1493" i="123"/>
  <c r="K1494" i="123"/>
  <c r="L1494" i="123"/>
  <c r="M1494" i="123"/>
  <c r="N1494" i="123"/>
  <c r="O1494" i="123"/>
  <c r="P1494" i="123"/>
  <c r="Q1494" i="123"/>
  <c r="R1494" i="123"/>
  <c r="T1494" i="123" s="1"/>
  <c r="S1494" i="123"/>
  <c r="X1494" i="123"/>
  <c r="Y1494" i="123"/>
  <c r="Z1494" i="123" s="1"/>
  <c r="AB1494" i="123"/>
  <c r="AC1494" i="123" s="1"/>
  <c r="AJ1494" i="123"/>
  <c r="AK1494" i="123"/>
  <c r="AL1494" i="123"/>
  <c r="AO1494" i="123"/>
  <c r="AP1494" i="123"/>
  <c r="AQ1494" i="123" s="1"/>
  <c r="AT1494" i="123"/>
  <c r="AU1494" i="123"/>
  <c r="K1495" i="123"/>
  <c r="L1495" i="123"/>
  <c r="M1495" i="123"/>
  <c r="N1495" i="123"/>
  <c r="O1495" i="123"/>
  <c r="P1495" i="123"/>
  <c r="Q1495" i="123"/>
  <c r="R1495" i="123"/>
  <c r="T1495" i="123" s="1"/>
  <c r="S1495" i="123"/>
  <c r="X1495" i="123"/>
  <c r="Y1495" i="123"/>
  <c r="Z1495" i="123" s="1"/>
  <c r="AB1495" i="123"/>
  <c r="AC1495" i="123" s="1"/>
  <c r="AJ1495" i="123"/>
  <c r="AK1495" i="123"/>
  <c r="AL1495" i="123"/>
  <c r="AO1495" i="123"/>
  <c r="AP1495" i="123"/>
  <c r="AQ1495" i="123" s="1"/>
  <c r="AT1495" i="123"/>
  <c r="AU1495" i="123"/>
  <c r="K1496" i="123"/>
  <c r="L1496" i="123"/>
  <c r="M1496" i="123"/>
  <c r="N1496" i="123"/>
  <c r="O1496" i="123"/>
  <c r="P1496" i="123"/>
  <c r="Q1496" i="123"/>
  <c r="R1496" i="123"/>
  <c r="T1496" i="123" s="1"/>
  <c r="S1496" i="123"/>
  <c r="X1496" i="123"/>
  <c r="Y1496" i="123"/>
  <c r="AB1496" i="123"/>
  <c r="AC1496" i="123" s="1"/>
  <c r="AJ1496" i="123"/>
  <c r="AK1496" i="123"/>
  <c r="AL1496" i="123"/>
  <c r="AO1496" i="123"/>
  <c r="AP1496" i="123"/>
  <c r="AQ1496" i="123" s="1"/>
  <c r="AT1496" i="123"/>
  <c r="AU1496" i="123"/>
  <c r="K1497" i="123"/>
  <c r="L1497" i="123"/>
  <c r="M1497" i="123"/>
  <c r="N1497" i="123"/>
  <c r="O1497" i="123"/>
  <c r="P1497" i="123"/>
  <c r="Q1497" i="123"/>
  <c r="R1497" i="123"/>
  <c r="T1497" i="123" s="1"/>
  <c r="W1497" i="123" s="1"/>
  <c r="S1497" i="123"/>
  <c r="X1497" i="123"/>
  <c r="Y1497" i="123"/>
  <c r="AB1497" i="123"/>
  <c r="AC1497" i="123" s="1"/>
  <c r="AJ1497" i="123"/>
  <c r="AK1497" i="123"/>
  <c r="AL1497" i="123"/>
  <c r="AO1497" i="123"/>
  <c r="AP1497" i="123"/>
  <c r="AQ1497" i="123" s="1"/>
  <c r="AT1497" i="123"/>
  <c r="AU1497" i="123"/>
  <c r="K1498" i="123"/>
  <c r="L1498" i="123"/>
  <c r="M1498" i="123"/>
  <c r="N1498" i="123"/>
  <c r="O1498" i="123"/>
  <c r="P1498" i="123"/>
  <c r="Q1498" i="123"/>
  <c r="R1498" i="123"/>
  <c r="T1498" i="123" s="1"/>
  <c r="S1498" i="123"/>
  <c r="X1498" i="123"/>
  <c r="Y1498" i="123"/>
  <c r="AB1498" i="123"/>
  <c r="AC1498" i="123" s="1"/>
  <c r="AJ1498" i="123"/>
  <c r="AK1498" i="123"/>
  <c r="AL1498" i="123"/>
  <c r="AO1498" i="123"/>
  <c r="AP1498" i="123"/>
  <c r="AQ1498" i="123" s="1"/>
  <c r="AT1498" i="123"/>
  <c r="AU1498" i="123"/>
  <c r="K1499" i="123"/>
  <c r="L1499" i="123"/>
  <c r="M1499" i="123"/>
  <c r="N1499" i="123"/>
  <c r="O1499" i="123"/>
  <c r="P1499" i="123"/>
  <c r="Q1499" i="123"/>
  <c r="R1499" i="123"/>
  <c r="T1499" i="123" s="1"/>
  <c r="S1499" i="123"/>
  <c r="X1499" i="123"/>
  <c r="Y1499" i="123"/>
  <c r="Z1499" i="123" s="1"/>
  <c r="AB1499" i="123"/>
  <c r="AD1499" i="123" s="1"/>
  <c r="AJ1499" i="123"/>
  <c r="AK1499" i="123"/>
  <c r="AL1499" i="123"/>
  <c r="AO1499" i="123"/>
  <c r="AP1499" i="123"/>
  <c r="AQ1499" i="123" s="1"/>
  <c r="AT1499" i="123"/>
  <c r="AU1499" i="123"/>
  <c r="K1500" i="123"/>
  <c r="L1500" i="123"/>
  <c r="M1500" i="123"/>
  <c r="N1500" i="123"/>
  <c r="O1500" i="123"/>
  <c r="P1500" i="123"/>
  <c r="Q1500" i="123"/>
  <c r="R1500" i="123"/>
  <c r="T1500" i="123" s="1"/>
  <c r="V1500" i="123" s="1"/>
  <c r="S1500" i="123"/>
  <c r="X1500" i="123"/>
  <c r="Y1500" i="123"/>
  <c r="Z1500" i="123" s="1"/>
  <c r="AB1500" i="123"/>
  <c r="AD1500" i="123" s="1"/>
  <c r="AJ1500" i="123"/>
  <c r="AK1500" i="123"/>
  <c r="AL1500" i="123"/>
  <c r="AO1500" i="123"/>
  <c r="AP1500" i="123"/>
  <c r="AT1500" i="123"/>
  <c r="AU1500" i="123"/>
  <c r="K1501" i="123"/>
  <c r="L1501" i="123"/>
  <c r="M1501" i="123"/>
  <c r="N1501" i="123"/>
  <c r="O1501" i="123"/>
  <c r="P1501" i="123"/>
  <c r="Q1501" i="123"/>
  <c r="R1501" i="123"/>
  <c r="T1501" i="123" s="1"/>
  <c r="W1501" i="123" s="1"/>
  <c r="S1501" i="123"/>
  <c r="X1501" i="123"/>
  <c r="Y1501" i="123"/>
  <c r="Z1501" i="123" s="1"/>
  <c r="AB1501" i="123"/>
  <c r="AC1501" i="123" s="1"/>
  <c r="AJ1501" i="123"/>
  <c r="AK1501" i="123"/>
  <c r="AL1501" i="123"/>
  <c r="AO1501" i="123"/>
  <c r="AP1501" i="123"/>
  <c r="AQ1501" i="123" s="1"/>
  <c r="AT1501" i="123"/>
  <c r="AU1501" i="123"/>
  <c r="K1502" i="123"/>
  <c r="L1502" i="123"/>
  <c r="M1502" i="123"/>
  <c r="N1502" i="123"/>
  <c r="O1502" i="123"/>
  <c r="P1502" i="123"/>
  <c r="Q1502" i="123"/>
  <c r="R1502" i="123"/>
  <c r="T1502" i="123" s="1"/>
  <c r="S1502" i="123"/>
  <c r="X1502" i="123"/>
  <c r="Y1502" i="123"/>
  <c r="Z1502" i="123" s="1"/>
  <c r="AB1502" i="123"/>
  <c r="AC1502" i="123" s="1"/>
  <c r="AJ1502" i="123"/>
  <c r="AK1502" i="123"/>
  <c r="AL1502" i="123"/>
  <c r="AO1502" i="123"/>
  <c r="AP1502" i="123"/>
  <c r="AQ1502" i="123" s="1"/>
  <c r="AT1502" i="123"/>
  <c r="AU1502" i="123"/>
  <c r="K1503" i="123"/>
  <c r="L1503" i="123"/>
  <c r="M1503" i="123"/>
  <c r="N1503" i="123"/>
  <c r="O1503" i="123"/>
  <c r="P1503" i="123"/>
  <c r="Q1503" i="123"/>
  <c r="R1503" i="123"/>
  <c r="T1503" i="123" s="1"/>
  <c r="V1503" i="123" s="1"/>
  <c r="S1503" i="123"/>
  <c r="X1503" i="123"/>
  <c r="Y1503" i="123"/>
  <c r="Z1503" i="123" s="1"/>
  <c r="AB1503" i="123"/>
  <c r="AD1503" i="123" s="1"/>
  <c r="AJ1503" i="123"/>
  <c r="AK1503" i="123"/>
  <c r="AL1503" i="123"/>
  <c r="AO1503" i="123"/>
  <c r="AP1503" i="123"/>
  <c r="AT1503" i="123"/>
  <c r="AU1503" i="123"/>
  <c r="K1504" i="123"/>
  <c r="L1504" i="123"/>
  <c r="M1504" i="123"/>
  <c r="N1504" i="123"/>
  <c r="O1504" i="123"/>
  <c r="P1504" i="123"/>
  <c r="Q1504" i="123"/>
  <c r="R1504" i="123"/>
  <c r="T1504" i="123" s="1"/>
  <c r="S1504" i="123"/>
  <c r="X1504" i="123"/>
  <c r="Y1504" i="123"/>
  <c r="Z1504" i="123" s="1"/>
  <c r="AB1504" i="123"/>
  <c r="AJ1504" i="123"/>
  <c r="AK1504" i="123"/>
  <c r="AL1504" i="123"/>
  <c r="AO1504" i="123"/>
  <c r="AP1504" i="123"/>
  <c r="AT1504" i="123"/>
  <c r="AU1504" i="123"/>
  <c r="K1505" i="123"/>
  <c r="L1505" i="123"/>
  <c r="M1505" i="123"/>
  <c r="N1505" i="123"/>
  <c r="O1505" i="123"/>
  <c r="P1505" i="123"/>
  <c r="Q1505" i="123"/>
  <c r="R1505" i="123"/>
  <c r="T1505" i="123" s="1"/>
  <c r="W1505" i="123" s="1"/>
  <c r="S1505" i="123"/>
  <c r="X1505" i="123"/>
  <c r="Y1505" i="123"/>
  <c r="Z1505" i="123" s="1"/>
  <c r="AB1505" i="123"/>
  <c r="AC1505" i="123" s="1"/>
  <c r="AJ1505" i="123"/>
  <c r="AK1505" i="123"/>
  <c r="AL1505" i="123"/>
  <c r="AO1505" i="123"/>
  <c r="AP1505" i="123"/>
  <c r="AQ1505" i="123" s="1"/>
  <c r="AT1505" i="123"/>
  <c r="AU1505" i="123"/>
  <c r="K1506" i="123"/>
  <c r="L1506" i="123"/>
  <c r="M1506" i="123"/>
  <c r="N1506" i="123"/>
  <c r="O1506" i="123"/>
  <c r="P1506" i="123"/>
  <c r="Q1506" i="123"/>
  <c r="R1506" i="123"/>
  <c r="T1506" i="123" s="1"/>
  <c r="S1506" i="123"/>
  <c r="X1506" i="123"/>
  <c r="Y1506" i="123"/>
  <c r="Z1506" i="123" s="1"/>
  <c r="AB1506" i="123"/>
  <c r="AC1506" i="123" s="1"/>
  <c r="AJ1506" i="123"/>
  <c r="AK1506" i="123"/>
  <c r="AL1506" i="123"/>
  <c r="AO1506" i="123"/>
  <c r="AP1506" i="123"/>
  <c r="AQ1506" i="123" s="1"/>
  <c r="AT1506" i="123"/>
  <c r="AU1506" i="123"/>
  <c r="K1507" i="123"/>
  <c r="L1507" i="123"/>
  <c r="M1507" i="123"/>
  <c r="N1507" i="123"/>
  <c r="O1507" i="123"/>
  <c r="P1507" i="123"/>
  <c r="Q1507" i="123"/>
  <c r="R1507" i="123"/>
  <c r="T1507" i="123" s="1"/>
  <c r="S1507" i="123"/>
  <c r="X1507" i="123"/>
  <c r="Y1507" i="123"/>
  <c r="Z1507" i="123" s="1"/>
  <c r="AB1507" i="123"/>
  <c r="AD1507" i="123" s="1"/>
  <c r="AJ1507" i="123"/>
  <c r="AK1507" i="123"/>
  <c r="AL1507" i="123"/>
  <c r="AO1507" i="123"/>
  <c r="AP1507" i="123"/>
  <c r="AQ1507" i="123" s="1"/>
  <c r="AT1507" i="123"/>
  <c r="AU1507" i="123"/>
  <c r="K1508" i="123"/>
  <c r="L1508" i="123"/>
  <c r="M1508" i="123"/>
  <c r="N1508" i="123"/>
  <c r="O1508" i="123"/>
  <c r="P1508" i="123"/>
  <c r="Q1508" i="123"/>
  <c r="R1508" i="123"/>
  <c r="T1508" i="123" s="1"/>
  <c r="W1508" i="123" s="1"/>
  <c r="S1508" i="123"/>
  <c r="X1508" i="123"/>
  <c r="Y1508" i="123"/>
  <c r="Z1508" i="123" s="1"/>
  <c r="AB1508" i="123"/>
  <c r="AC1508" i="123" s="1"/>
  <c r="AJ1508" i="123"/>
  <c r="AK1508" i="123"/>
  <c r="AL1508" i="123"/>
  <c r="AO1508" i="123"/>
  <c r="AP1508" i="123"/>
  <c r="AT1508" i="123"/>
  <c r="AU1508" i="123"/>
  <c r="K1509" i="123"/>
  <c r="L1509" i="123"/>
  <c r="M1509" i="123"/>
  <c r="N1509" i="123"/>
  <c r="O1509" i="123"/>
  <c r="P1509" i="123"/>
  <c r="Q1509" i="123"/>
  <c r="R1509" i="123"/>
  <c r="T1509" i="123" s="1"/>
  <c r="S1509" i="123"/>
  <c r="X1509" i="123"/>
  <c r="Y1509" i="123"/>
  <c r="AA1509" i="123" s="1"/>
  <c r="AB1509" i="123"/>
  <c r="AC1509" i="123" s="1"/>
  <c r="AJ1509" i="123"/>
  <c r="AK1509" i="123"/>
  <c r="AL1509" i="123"/>
  <c r="AO1509" i="123"/>
  <c r="AP1509" i="123"/>
  <c r="AT1509" i="123"/>
  <c r="AU1509" i="123"/>
  <c r="K1510" i="123"/>
  <c r="L1510" i="123"/>
  <c r="M1510" i="123"/>
  <c r="N1510" i="123"/>
  <c r="O1510" i="123"/>
  <c r="P1510" i="123"/>
  <c r="Q1510" i="123"/>
  <c r="R1510" i="123"/>
  <c r="T1510" i="123" s="1"/>
  <c r="S1510" i="123"/>
  <c r="X1510" i="123"/>
  <c r="Y1510" i="123"/>
  <c r="Z1510" i="123" s="1"/>
  <c r="AB1510" i="123"/>
  <c r="AC1510" i="123" s="1"/>
  <c r="AJ1510" i="123"/>
  <c r="AK1510" i="123"/>
  <c r="AL1510" i="123"/>
  <c r="AO1510" i="123"/>
  <c r="AP1510" i="123"/>
  <c r="AQ1510" i="123" s="1"/>
  <c r="AT1510" i="123"/>
  <c r="AU1510" i="123"/>
  <c r="K1511" i="123"/>
  <c r="L1511" i="123"/>
  <c r="M1511" i="123"/>
  <c r="N1511" i="123"/>
  <c r="O1511" i="123"/>
  <c r="P1511" i="123"/>
  <c r="Q1511" i="123"/>
  <c r="R1511" i="123"/>
  <c r="T1511" i="123" s="1"/>
  <c r="W1511" i="123" s="1"/>
  <c r="S1511" i="123"/>
  <c r="X1511" i="123"/>
  <c r="Y1511" i="123"/>
  <c r="Z1511" i="123" s="1"/>
  <c r="AB1511" i="123"/>
  <c r="AC1511" i="123" s="1"/>
  <c r="AJ1511" i="123"/>
  <c r="AK1511" i="123"/>
  <c r="AL1511" i="123"/>
  <c r="AO1511" i="123"/>
  <c r="AP1511" i="123"/>
  <c r="AT1511" i="123"/>
  <c r="AU1511" i="123"/>
  <c r="K1512" i="123"/>
  <c r="L1512" i="123"/>
  <c r="M1512" i="123"/>
  <c r="N1512" i="123"/>
  <c r="O1512" i="123"/>
  <c r="P1512" i="123"/>
  <c r="Q1512" i="123"/>
  <c r="R1512" i="123"/>
  <c r="T1512" i="123" s="1"/>
  <c r="S1512" i="123"/>
  <c r="X1512" i="123"/>
  <c r="Y1512" i="123"/>
  <c r="AA1512" i="123" s="1"/>
  <c r="AB1512" i="123"/>
  <c r="AC1512" i="123" s="1"/>
  <c r="AJ1512" i="123"/>
  <c r="AK1512" i="123"/>
  <c r="AL1512" i="123"/>
  <c r="AO1512" i="123"/>
  <c r="AP1512" i="123"/>
  <c r="AT1512" i="123"/>
  <c r="AU1512" i="123"/>
  <c r="K1513" i="123"/>
  <c r="L1513" i="123"/>
  <c r="M1513" i="123"/>
  <c r="N1513" i="123"/>
  <c r="O1513" i="123"/>
  <c r="P1513" i="123"/>
  <c r="Q1513" i="123"/>
  <c r="R1513" i="123"/>
  <c r="T1513" i="123" s="1"/>
  <c r="S1513" i="123"/>
  <c r="X1513" i="123"/>
  <c r="Y1513" i="123"/>
  <c r="Z1513" i="123" s="1"/>
  <c r="AB1513" i="123"/>
  <c r="AC1513" i="123" s="1"/>
  <c r="AJ1513" i="123"/>
  <c r="AK1513" i="123"/>
  <c r="AL1513" i="123"/>
  <c r="AO1513" i="123"/>
  <c r="AP1513" i="123"/>
  <c r="AT1513" i="123"/>
  <c r="AU1513" i="123"/>
  <c r="K1514" i="123"/>
  <c r="L1514" i="123"/>
  <c r="M1514" i="123"/>
  <c r="N1514" i="123"/>
  <c r="O1514" i="123"/>
  <c r="P1514" i="123"/>
  <c r="Q1514" i="123"/>
  <c r="R1514" i="123"/>
  <c r="T1514" i="123" s="1"/>
  <c r="S1514" i="123"/>
  <c r="X1514" i="123"/>
  <c r="Y1514" i="123"/>
  <c r="Z1514" i="123" s="1"/>
  <c r="AB1514" i="123"/>
  <c r="AC1514" i="123" s="1"/>
  <c r="AJ1514" i="123"/>
  <c r="AK1514" i="123"/>
  <c r="AL1514" i="123"/>
  <c r="AO1514" i="123"/>
  <c r="AP1514" i="123"/>
  <c r="AQ1514" i="123" s="1"/>
  <c r="AT1514" i="123"/>
  <c r="AU1514" i="123"/>
  <c r="K1515" i="123"/>
  <c r="L1515" i="123"/>
  <c r="M1515" i="123"/>
  <c r="N1515" i="123"/>
  <c r="O1515" i="123"/>
  <c r="P1515" i="123"/>
  <c r="Q1515" i="123"/>
  <c r="R1515" i="123"/>
  <c r="T1515" i="123" s="1"/>
  <c r="W1515" i="123" s="1"/>
  <c r="S1515" i="123"/>
  <c r="X1515" i="123"/>
  <c r="Y1515" i="123"/>
  <c r="Z1515" i="123" s="1"/>
  <c r="AB1515" i="123"/>
  <c r="AC1515" i="123" s="1"/>
  <c r="AJ1515" i="123"/>
  <c r="AK1515" i="123"/>
  <c r="AL1515" i="123"/>
  <c r="AO1515" i="123"/>
  <c r="AP1515" i="123"/>
  <c r="AQ1515" i="123" s="1"/>
  <c r="AT1515" i="123"/>
  <c r="AU1515" i="123"/>
  <c r="K1516" i="123"/>
  <c r="L1516" i="123"/>
  <c r="M1516" i="123"/>
  <c r="N1516" i="123"/>
  <c r="O1516" i="123"/>
  <c r="P1516" i="123"/>
  <c r="Q1516" i="123"/>
  <c r="R1516" i="123"/>
  <c r="T1516" i="123" s="1"/>
  <c r="W1516" i="123" s="1"/>
  <c r="S1516" i="123"/>
  <c r="X1516" i="123"/>
  <c r="Y1516" i="123"/>
  <c r="Z1516" i="123" s="1"/>
  <c r="AB1516" i="123"/>
  <c r="AC1516" i="123" s="1"/>
  <c r="AJ1516" i="123"/>
  <c r="AK1516" i="123"/>
  <c r="AL1516" i="123"/>
  <c r="AO1516" i="123"/>
  <c r="AP1516" i="123"/>
  <c r="AQ1516" i="123" s="1"/>
  <c r="AT1516" i="123"/>
  <c r="AU1516" i="123"/>
  <c r="K1517" i="123"/>
  <c r="L1517" i="123"/>
  <c r="M1517" i="123"/>
  <c r="N1517" i="123"/>
  <c r="O1517" i="123"/>
  <c r="P1517" i="123"/>
  <c r="Q1517" i="123"/>
  <c r="R1517" i="123"/>
  <c r="T1517" i="123" s="1"/>
  <c r="S1517" i="123"/>
  <c r="X1517" i="123"/>
  <c r="Y1517" i="123"/>
  <c r="AA1517" i="123" s="1"/>
  <c r="AB1517" i="123"/>
  <c r="AC1517" i="123" s="1"/>
  <c r="AJ1517" i="123"/>
  <c r="AK1517" i="123"/>
  <c r="AL1517" i="123"/>
  <c r="AO1517" i="123"/>
  <c r="AP1517" i="123"/>
  <c r="AT1517" i="123"/>
  <c r="AU1517" i="123"/>
  <c r="K1518" i="123"/>
  <c r="L1518" i="123"/>
  <c r="M1518" i="123"/>
  <c r="N1518" i="123"/>
  <c r="O1518" i="123"/>
  <c r="P1518" i="123"/>
  <c r="Q1518" i="123"/>
  <c r="R1518" i="123"/>
  <c r="T1518" i="123" s="1"/>
  <c r="S1518" i="123"/>
  <c r="X1518" i="123"/>
  <c r="Y1518" i="123"/>
  <c r="Z1518" i="123" s="1"/>
  <c r="AB1518" i="123"/>
  <c r="AC1518" i="123" s="1"/>
  <c r="AJ1518" i="123"/>
  <c r="AK1518" i="123"/>
  <c r="AL1518" i="123"/>
  <c r="AO1518" i="123"/>
  <c r="AP1518" i="123"/>
  <c r="AQ1518" i="123" s="1"/>
  <c r="AT1518" i="123"/>
  <c r="AU1518" i="123"/>
  <c r="K1519" i="123"/>
  <c r="L1519" i="123"/>
  <c r="M1519" i="123"/>
  <c r="N1519" i="123"/>
  <c r="O1519" i="123"/>
  <c r="P1519" i="123"/>
  <c r="Q1519" i="123"/>
  <c r="R1519" i="123"/>
  <c r="T1519" i="123" s="1"/>
  <c r="W1519" i="123" s="1"/>
  <c r="S1519" i="123"/>
  <c r="X1519" i="123"/>
  <c r="Y1519" i="123"/>
  <c r="Z1519" i="123" s="1"/>
  <c r="AB1519" i="123"/>
  <c r="AC1519" i="123" s="1"/>
  <c r="AJ1519" i="123"/>
  <c r="AK1519" i="123"/>
  <c r="AL1519" i="123"/>
  <c r="AO1519" i="123"/>
  <c r="AP1519" i="123"/>
  <c r="AQ1519" i="123" s="1"/>
  <c r="AT1519" i="123"/>
  <c r="AU1519" i="123"/>
  <c r="K1520" i="123"/>
  <c r="L1520" i="123"/>
  <c r="M1520" i="123"/>
  <c r="N1520" i="123"/>
  <c r="O1520" i="123"/>
  <c r="P1520" i="123"/>
  <c r="Q1520" i="123"/>
  <c r="R1520" i="123"/>
  <c r="T1520" i="123" s="1"/>
  <c r="S1520" i="123"/>
  <c r="X1520" i="123"/>
  <c r="Y1520" i="123"/>
  <c r="AA1520" i="123" s="1"/>
  <c r="AB1520" i="123"/>
  <c r="AC1520" i="123" s="1"/>
  <c r="AJ1520" i="123"/>
  <c r="AK1520" i="123"/>
  <c r="AL1520" i="123"/>
  <c r="AO1520" i="123"/>
  <c r="AP1520" i="123"/>
  <c r="AQ1520" i="123" s="1"/>
  <c r="AT1520" i="123"/>
  <c r="AU1520" i="123"/>
  <c r="K1521" i="123"/>
  <c r="L1521" i="123"/>
  <c r="M1521" i="123"/>
  <c r="N1521" i="123"/>
  <c r="O1521" i="123"/>
  <c r="P1521" i="123"/>
  <c r="Q1521" i="123"/>
  <c r="R1521" i="123"/>
  <c r="T1521" i="123" s="1"/>
  <c r="S1521" i="123"/>
  <c r="X1521" i="123"/>
  <c r="Y1521" i="123"/>
  <c r="Z1521" i="123" s="1"/>
  <c r="AB1521" i="123"/>
  <c r="AC1521" i="123" s="1"/>
  <c r="AJ1521" i="123"/>
  <c r="AK1521" i="123"/>
  <c r="AL1521" i="123"/>
  <c r="AO1521" i="123"/>
  <c r="AP1521" i="123"/>
  <c r="AQ1521" i="123" s="1"/>
  <c r="AT1521" i="123"/>
  <c r="AU1521" i="123"/>
  <c r="K1522" i="123"/>
  <c r="L1522" i="123"/>
  <c r="M1522" i="123"/>
  <c r="N1522" i="123"/>
  <c r="O1522" i="123"/>
  <c r="P1522" i="123"/>
  <c r="Q1522" i="123"/>
  <c r="R1522" i="123"/>
  <c r="T1522" i="123" s="1"/>
  <c r="S1522" i="123"/>
  <c r="X1522" i="123"/>
  <c r="Y1522" i="123"/>
  <c r="AA1522" i="123" s="1"/>
  <c r="AB1522" i="123"/>
  <c r="AC1522" i="123" s="1"/>
  <c r="AJ1522" i="123"/>
  <c r="AK1522" i="123"/>
  <c r="AL1522" i="123"/>
  <c r="AO1522" i="123"/>
  <c r="AP1522" i="123"/>
  <c r="AT1522" i="123"/>
  <c r="AU1522" i="123"/>
  <c r="K1523" i="123"/>
  <c r="L1523" i="123"/>
  <c r="M1523" i="123"/>
  <c r="N1523" i="123"/>
  <c r="O1523" i="123"/>
  <c r="P1523" i="123"/>
  <c r="Q1523" i="123"/>
  <c r="R1523" i="123"/>
  <c r="T1523" i="123" s="1"/>
  <c r="W1523" i="123" s="1"/>
  <c r="S1523" i="123"/>
  <c r="X1523" i="123"/>
  <c r="Y1523" i="123"/>
  <c r="Z1523" i="123" s="1"/>
  <c r="AB1523" i="123"/>
  <c r="AC1523" i="123" s="1"/>
  <c r="AJ1523" i="123"/>
  <c r="AK1523" i="123"/>
  <c r="AL1523" i="123"/>
  <c r="AO1523" i="123"/>
  <c r="AP1523" i="123"/>
  <c r="AT1523" i="123"/>
  <c r="AU1523" i="123"/>
  <c r="K1524" i="123"/>
  <c r="L1524" i="123"/>
  <c r="M1524" i="123"/>
  <c r="N1524" i="123"/>
  <c r="O1524" i="123"/>
  <c r="P1524" i="123"/>
  <c r="Q1524" i="123"/>
  <c r="R1524" i="123"/>
  <c r="T1524" i="123" s="1"/>
  <c r="V1524" i="123" s="1"/>
  <c r="S1524" i="123"/>
  <c r="X1524" i="123"/>
  <c r="Y1524" i="123"/>
  <c r="Z1524" i="123" s="1"/>
  <c r="AB1524" i="123"/>
  <c r="AD1524" i="123" s="1"/>
  <c r="AJ1524" i="123"/>
  <c r="AK1524" i="123"/>
  <c r="AL1524" i="123"/>
  <c r="AO1524" i="123"/>
  <c r="AP1524" i="123"/>
  <c r="AQ1524" i="123" s="1"/>
  <c r="AT1524" i="123"/>
  <c r="AU1524" i="123"/>
  <c r="K1525" i="123"/>
  <c r="L1525" i="123"/>
  <c r="M1525" i="123"/>
  <c r="N1525" i="123"/>
  <c r="O1525" i="123"/>
  <c r="P1525" i="123"/>
  <c r="Q1525" i="123"/>
  <c r="R1525" i="123"/>
  <c r="T1525" i="123" s="1"/>
  <c r="S1525" i="123"/>
  <c r="X1525" i="123"/>
  <c r="Y1525" i="123"/>
  <c r="AA1525" i="123" s="1"/>
  <c r="AB1525" i="123"/>
  <c r="AC1525" i="123" s="1"/>
  <c r="AJ1525" i="123"/>
  <c r="AK1525" i="123"/>
  <c r="AL1525" i="123"/>
  <c r="AO1525" i="123"/>
  <c r="AP1525" i="123"/>
  <c r="AQ1525" i="123" s="1"/>
  <c r="AT1525" i="123"/>
  <c r="AU1525" i="123"/>
  <c r="K1526" i="123"/>
  <c r="L1526" i="123"/>
  <c r="M1526" i="123"/>
  <c r="N1526" i="123"/>
  <c r="O1526" i="123"/>
  <c r="P1526" i="123"/>
  <c r="Q1526" i="123"/>
  <c r="R1526" i="123"/>
  <c r="T1526" i="123" s="1"/>
  <c r="W1526" i="123" s="1"/>
  <c r="S1526" i="123"/>
  <c r="X1526" i="123"/>
  <c r="Y1526" i="123"/>
  <c r="Z1526" i="123" s="1"/>
  <c r="AB1526" i="123"/>
  <c r="AD1526" i="123" s="1"/>
  <c r="AJ1526" i="123"/>
  <c r="AK1526" i="123"/>
  <c r="AL1526" i="123"/>
  <c r="AO1526" i="123"/>
  <c r="AP1526" i="123"/>
  <c r="AQ1526" i="123" s="1"/>
  <c r="AT1526" i="123"/>
  <c r="AU1526" i="123"/>
  <c r="K1527" i="123"/>
  <c r="L1527" i="123"/>
  <c r="M1527" i="123"/>
  <c r="N1527" i="123"/>
  <c r="O1527" i="123"/>
  <c r="P1527" i="123"/>
  <c r="Q1527" i="123"/>
  <c r="R1527" i="123"/>
  <c r="T1527" i="123" s="1"/>
  <c r="S1527" i="123"/>
  <c r="X1527" i="123"/>
  <c r="Y1527" i="123"/>
  <c r="Z1527" i="123" s="1"/>
  <c r="AB1527" i="123"/>
  <c r="AC1527" i="123" s="1"/>
  <c r="AJ1527" i="123"/>
  <c r="AK1527" i="123"/>
  <c r="AL1527" i="123"/>
  <c r="AO1527" i="123"/>
  <c r="AP1527" i="123"/>
  <c r="AQ1527" i="123" s="1"/>
  <c r="AT1527" i="123"/>
  <c r="AU1527" i="123"/>
  <c r="K1528" i="123"/>
  <c r="L1528" i="123"/>
  <c r="M1528" i="123"/>
  <c r="N1528" i="123"/>
  <c r="O1528" i="123"/>
  <c r="P1528" i="123"/>
  <c r="Q1528" i="123"/>
  <c r="R1528" i="123"/>
  <c r="T1528" i="123" s="1"/>
  <c r="S1528" i="123"/>
  <c r="X1528" i="123"/>
  <c r="Y1528" i="123"/>
  <c r="AB1528" i="123"/>
  <c r="AD1528" i="123" s="1"/>
  <c r="AJ1528" i="123"/>
  <c r="AK1528" i="123"/>
  <c r="AL1528" i="123"/>
  <c r="AO1528" i="123"/>
  <c r="AP1528" i="123"/>
  <c r="AQ1528" i="123" s="1"/>
  <c r="AT1528" i="123"/>
  <c r="AU1528" i="123"/>
  <c r="K1529" i="123"/>
  <c r="L1529" i="123"/>
  <c r="M1529" i="123"/>
  <c r="N1529" i="123"/>
  <c r="O1529" i="123"/>
  <c r="P1529" i="123"/>
  <c r="Q1529" i="123"/>
  <c r="R1529" i="123"/>
  <c r="T1529" i="123" s="1"/>
  <c r="S1529" i="123"/>
  <c r="X1529" i="123"/>
  <c r="Y1529" i="123"/>
  <c r="AB1529" i="123"/>
  <c r="AC1529" i="123" s="1"/>
  <c r="AJ1529" i="123"/>
  <c r="AK1529" i="123"/>
  <c r="AL1529" i="123"/>
  <c r="AO1529" i="123"/>
  <c r="AP1529" i="123"/>
  <c r="AQ1529" i="123" s="1"/>
  <c r="AT1529" i="123"/>
  <c r="AU1529" i="123"/>
  <c r="K1530" i="123"/>
  <c r="L1530" i="123"/>
  <c r="M1530" i="123"/>
  <c r="N1530" i="123"/>
  <c r="O1530" i="123"/>
  <c r="P1530" i="123"/>
  <c r="Q1530" i="123"/>
  <c r="R1530" i="123"/>
  <c r="T1530" i="123" s="1"/>
  <c r="S1530" i="123"/>
  <c r="X1530" i="123"/>
  <c r="Y1530" i="123"/>
  <c r="AA1530" i="123" s="1"/>
  <c r="AB1530" i="123"/>
  <c r="AC1530" i="123" s="1"/>
  <c r="AJ1530" i="123"/>
  <c r="AK1530" i="123"/>
  <c r="AL1530" i="123"/>
  <c r="AO1530" i="123"/>
  <c r="AP1530" i="123"/>
  <c r="AQ1530" i="123" s="1"/>
  <c r="AT1530" i="123"/>
  <c r="AU1530" i="123"/>
  <c r="K1531" i="123"/>
  <c r="L1531" i="123"/>
  <c r="M1531" i="123"/>
  <c r="N1531" i="123"/>
  <c r="O1531" i="123"/>
  <c r="P1531" i="123"/>
  <c r="Q1531" i="123"/>
  <c r="R1531" i="123"/>
  <c r="T1531" i="123" s="1"/>
  <c r="S1531" i="123"/>
  <c r="X1531" i="123"/>
  <c r="Y1531" i="123"/>
  <c r="Z1531" i="123" s="1"/>
  <c r="AB1531" i="123"/>
  <c r="AC1531" i="123" s="1"/>
  <c r="AJ1531" i="123"/>
  <c r="AK1531" i="123"/>
  <c r="AL1531" i="123"/>
  <c r="AO1531" i="123"/>
  <c r="AP1531" i="123"/>
  <c r="AQ1531" i="123" s="1"/>
  <c r="AT1531" i="123"/>
  <c r="AU1531" i="123"/>
  <c r="K1532" i="123"/>
  <c r="L1532" i="123"/>
  <c r="M1532" i="123"/>
  <c r="N1532" i="123"/>
  <c r="O1532" i="123"/>
  <c r="P1532" i="123"/>
  <c r="Q1532" i="123"/>
  <c r="R1532" i="123"/>
  <c r="T1532" i="123" s="1"/>
  <c r="W1532" i="123" s="1"/>
  <c r="S1532" i="123"/>
  <c r="X1532" i="123"/>
  <c r="Y1532" i="123"/>
  <c r="AA1532" i="123" s="1"/>
  <c r="AB1532" i="123"/>
  <c r="AC1532" i="123" s="1"/>
  <c r="AJ1532" i="123"/>
  <c r="AK1532" i="123"/>
  <c r="AL1532" i="123"/>
  <c r="AO1532" i="123"/>
  <c r="AP1532" i="123"/>
  <c r="AQ1532" i="123" s="1"/>
  <c r="AT1532" i="123"/>
  <c r="AU1532" i="123"/>
  <c r="K1533" i="123"/>
  <c r="L1533" i="123"/>
  <c r="M1533" i="123"/>
  <c r="N1533" i="123"/>
  <c r="O1533" i="123"/>
  <c r="P1533" i="123"/>
  <c r="Q1533" i="123"/>
  <c r="R1533" i="123"/>
  <c r="T1533" i="123" s="1"/>
  <c r="W1533" i="123" s="1"/>
  <c r="S1533" i="123"/>
  <c r="X1533" i="123"/>
  <c r="Y1533" i="123"/>
  <c r="AA1533" i="123" s="1"/>
  <c r="AB1533" i="123"/>
  <c r="AC1533" i="123" s="1"/>
  <c r="AJ1533" i="123"/>
  <c r="AK1533" i="123"/>
  <c r="AL1533" i="123"/>
  <c r="AO1533" i="123"/>
  <c r="AP1533" i="123"/>
  <c r="AQ1533" i="123" s="1"/>
  <c r="AT1533" i="123"/>
  <c r="AU1533" i="123"/>
  <c r="K1534" i="123"/>
  <c r="L1534" i="123"/>
  <c r="M1534" i="123"/>
  <c r="N1534" i="123"/>
  <c r="O1534" i="123"/>
  <c r="P1534" i="123"/>
  <c r="Q1534" i="123"/>
  <c r="R1534" i="123"/>
  <c r="T1534" i="123" s="1"/>
  <c r="S1534" i="123"/>
  <c r="X1534" i="123"/>
  <c r="Y1534" i="123"/>
  <c r="AA1534" i="123" s="1"/>
  <c r="AB1534" i="123"/>
  <c r="AC1534" i="123" s="1"/>
  <c r="AJ1534" i="123"/>
  <c r="AK1534" i="123"/>
  <c r="AL1534" i="123"/>
  <c r="AO1534" i="123"/>
  <c r="AP1534" i="123"/>
  <c r="AQ1534" i="123" s="1"/>
  <c r="AT1534" i="123"/>
  <c r="AU1534" i="123"/>
  <c r="K1535" i="123"/>
  <c r="L1535" i="123"/>
  <c r="M1535" i="123"/>
  <c r="N1535" i="123"/>
  <c r="O1535" i="123"/>
  <c r="P1535" i="123"/>
  <c r="Q1535" i="123"/>
  <c r="R1535" i="123"/>
  <c r="T1535" i="123" s="1"/>
  <c r="S1535" i="123"/>
  <c r="X1535" i="123"/>
  <c r="Y1535" i="123"/>
  <c r="Z1535" i="123" s="1"/>
  <c r="AB1535" i="123"/>
  <c r="AC1535" i="123" s="1"/>
  <c r="AJ1535" i="123"/>
  <c r="AK1535" i="123"/>
  <c r="AL1535" i="123"/>
  <c r="AO1535" i="123"/>
  <c r="AP1535" i="123"/>
  <c r="AQ1535" i="123" s="1"/>
  <c r="AT1535" i="123"/>
  <c r="AU1535" i="123"/>
  <c r="K1536" i="123"/>
  <c r="L1536" i="123"/>
  <c r="M1536" i="123"/>
  <c r="N1536" i="123"/>
  <c r="O1536" i="123"/>
  <c r="P1536" i="123"/>
  <c r="Q1536" i="123"/>
  <c r="R1536" i="123"/>
  <c r="T1536" i="123" s="1"/>
  <c r="S1536" i="123"/>
  <c r="X1536" i="123"/>
  <c r="Y1536" i="123"/>
  <c r="AB1536" i="123"/>
  <c r="AD1536" i="123" s="1"/>
  <c r="AJ1536" i="123"/>
  <c r="AK1536" i="123"/>
  <c r="AL1536" i="123"/>
  <c r="AO1536" i="123"/>
  <c r="AP1536" i="123"/>
  <c r="AQ1536" i="123" s="1"/>
  <c r="AT1536" i="123"/>
  <c r="AU1536" i="123"/>
  <c r="K1537" i="123"/>
  <c r="L1537" i="123"/>
  <c r="M1537" i="123"/>
  <c r="N1537" i="123"/>
  <c r="O1537" i="123"/>
  <c r="P1537" i="123"/>
  <c r="Q1537" i="123"/>
  <c r="R1537" i="123"/>
  <c r="T1537" i="123" s="1"/>
  <c r="W1537" i="123" s="1"/>
  <c r="S1537" i="123"/>
  <c r="X1537" i="123"/>
  <c r="Y1537" i="123"/>
  <c r="AA1537" i="123" s="1"/>
  <c r="AB1537" i="123"/>
  <c r="AD1537" i="123" s="1"/>
  <c r="AJ1537" i="123"/>
  <c r="AK1537" i="123"/>
  <c r="AL1537" i="123"/>
  <c r="AO1537" i="123"/>
  <c r="AP1537" i="123"/>
  <c r="AT1537" i="123"/>
  <c r="AU1537" i="123"/>
  <c r="K1538" i="123"/>
  <c r="L1538" i="123"/>
  <c r="M1538" i="123"/>
  <c r="N1538" i="123"/>
  <c r="O1538" i="123"/>
  <c r="P1538" i="123"/>
  <c r="Q1538" i="123"/>
  <c r="R1538" i="123"/>
  <c r="T1538" i="123" s="1"/>
  <c r="S1538" i="123"/>
  <c r="X1538" i="123"/>
  <c r="Y1538" i="123"/>
  <c r="AA1538" i="123" s="1"/>
  <c r="AB1538" i="123"/>
  <c r="AD1538" i="123" s="1"/>
  <c r="AJ1538" i="123"/>
  <c r="AK1538" i="123"/>
  <c r="AL1538" i="123"/>
  <c r="AO1538" i="123"/>
  <c r="AP1538" i="123"/>
  <c r="AQ1538" i="123" s="1"/>
  <c r="AT1538" i="123"/>
  <c r="AU1538" i="123"/>
  <c r="K1539" i="123"/>
  <c r="L1539" i="123"/>
  <c r="M1539" i="123"/>
  <c r="N1539" i="123"/>
  <c r="O1539" i="123"/>
  <c r="P1539" i="123"/>
  <c r="Q1539" i="123"/>
  <c r="R1539" i="123"/>
  <c r="T1539" i="123" s="1"/>
  <c r="S1539" i="123"/>
  <c r="X1539" i="123"/>
  <c r="Y1539" i="123"/>
  <c r="AA1539" i="123" s="1"/>
  <c r="AB1539" i="123"/>
  <c r="AC1539" i="123" s="1"/>
  <c r="AJ1539" i="123"/>
  <c r="AK1539" i="123"/>
  <c r="AL1539" i="123"/>
  <c r="AO1539" i="123"/>
  <c r="AP1539" i="123"/>
  <c r="AQ1539" i="123" s="1"/>
  <c r="AT1539" i="123"/>
  <c r="AU1539" i="123"/>
  <c r="K1540" i="123"/>
  <c r="L1540" i="123"/>
  <c r="M1540" i="123"/>
  <c r="N1540" i="123"/>
  <c r="O1540" i="123"/>
  <c r="P1540" i="123"/>
  <c r="Q1540" i="123"/>
  <c r="R1540" i="123"/>
  <c r="T1540" i="123" s="1"/>
  <c r="W1540" i="123" s="1"/>
  <c r="S1540" i="123"/>
  <c r="X1540" i="123"/>
  <c r="Y1540" i="123"/>
  <c r="AA1540" i="123" s="1"/>
  <c r="AB1540" i="123"/>
  <c r="AD1540" i="123" s="1"/>
  <c r="AJ1540" i="123"/>
  <c r="AK1540" i="123"/>
  <c r="AL1540" i="123"/>
  <c r="AO1540" i="123"/>
  <c r="AP1540" i="123"/>
  <c r="AQ1540" i="123" s="1"/>
  <c r="AT1540" i="123"/>
  <c r="AU1540" i="123"/>
  <c r="K1541" i="123"/>
  <c r="L1541" i="123"/>
  <c r="M1541" i="123"/>
  <c r="N1541" i="123"/>
  <c r="O1541" i="123"/>
  <c r="P1541" i="123"/>
  <c r="Q1541" i="123"/>
  <c r="R1541" i="123"/>
  <c r="T1541" i="123" s="1"/>
  <c r="S1541" i="123"/>
  <c r="X1541" i="123"/>
  <c r="Y1541" i="123"/>
  <c r="Z1541" i="123" s="1"/>
  <c r="AB1541" i="123"/>
  <c r="AC1541" i="123" s="1"/>
  <c r="AJ1541" i="123"/>
  <c r="AK1541" i="123"/>
  <c r="AL1541" i="123"/>
  <c r="AO1541" i="123"/>
  <c r="AP1541" i="123"/>
  <c r="AQ1541" i="123" s="1"/>
  <c r="AT1541" i="123"/>
  <c r="AU1541" i="123"/>
  <c r="K1542" i="123"/>
  <c r="L1542" i="123"/>
  <c r="M1542" i="123"/>
  <c r="N1542" i="123"/>
  <c r="O1542" i="123"/>
  <c r="P1542" i="123"/>
  <c r="Q1542" i="123"/>
  <c r="R1542" i="123"/>
  <c r="T1542" i="123" s="1"/>
  <c r="W1542" i="123" s="1"/>
  <c r="S1542" i="123"/>
  <c r="X1542" i="123"/>
  <c r="Y1542" i="123"/>
  <c r="Z1542" i="123" s="1"/>
  <c r="AB1542" i="123"/>
  <c r="AD1542" i="123" s="1"/>
  <c r="AJ1542" i="123"/>
  <c r="AK1542" i="123"/>
  <c r="AL1542" i="123"/>
  <c r="AO1542" i="123"/>
  <c r="AP1542" i="123"/>
  <c r="AQ1542" i="123" s="1"/>
  <c r="AT1542" i="123"/>
  <c r="AU1542" i="123"/>
  <c r="K1543" i="123"/>
  <c r="L1543" i="123"/>
  <c r="M1543" i="123"/>
  <c r="N1543" i="123"/>
  <c r="O1543" i="123"/>
  <c r="P1543" i="123"/>
  <c r="Q1543" i="123"/>
  <c r="R1543" i="123"/>
  <c r="T1543" i="123" s="1"/>
  <c r="S1543" i="123"/>
  <c r="X1543" i="123"/>
  <c r="Y1543" i="123"/>
  <c r="AA1543" i="123" s="1"/>
  <c r="AB1543" i="123"/>
  <c r="AC1543" i="123" s="1"/>
  <c r="AJ1543" i="123"/>
  <c r="AK1543" i="123"/>
  <c r="AL1543" i="123"/>
  <c r="AO1543" i="123"/>
  <c r="AP1543" i="123"/>
  <c r="AQ1543" i="123" s="1"/>
  <c r="AT1543" i="123"/>
  <c r="AU1543" i="123"/>
  <c r="K1544" i="123"/>
  <c r="L1544" i="123"/>
  <c r="M1544" i="123"/>
  <c r="N1544" i="123"/>
  <c r="O1544" i="123"/>
  <c r="P1544" i="123"/>
  <c r="Q1544" i="123"/>
  <c r="R1544" i="123"/>
  <c r="T1544" i="123" s="1"/>
  <c r="S1544" i="123"/>
  <c r="X1544" i="123"/>
  <c r="Y1544" i="123"/>
  <c r="Z1544" i="123" s="1"/>
  <c r="AB1544" i="123"/>
  <c r="AD1544" i="123" s="1"/>
  <c r="AJ1544" i="123"/>
  <c r="AK1544" i="123"/>
  <c r="AL1544" i="123"/>
  <c r="AO1544" i="123"/>
  <c r="AP1544" i="123"/>
  <c r="AQ1544" i="123" s="1"/>
  <c r="AT1544" i="123"/>
  <c r="AU1544" i="123"/>
  <c r="K1545" i="123"/>
  <c r="L1545" i="123"/>
  <c r="M1545" i="123"/>
  <c r="N1545" i="123"/>
  <c r="O1545" i="123"/>
  <c r="P1545" i="123"/>
  <c r="Q1545" i="123"/>
  <c r="R1545" i="123"/>
  <c r="T1545" i="123" s="1"/>
  <c r="S1545" i="123"/>
  <c r="X1545" i="123"/>
  <c r="Y1545" i="123"/>
  <c r="Z1545" i="123" s="1"/>
  <c r="AB1545" i="123"/>
  <c r="AD1545" i="123" s="1"/>
  <c r="AJ1545" i="123"/>
  <c r="AK1545" i="123"/>
  <c r="AL1545" i="123"/>
  <c r="AO1545" i="123"/>
  <c r="AP1545" i="123"/>
  <c r="AQ1545" i="123" s="1"/>
  <c r="AT1545" i="123"/>
  <c r="AU1545" i="123"/>
  <c r="K1546" i="123"/>
  <c r="L1546" i="123"/>
  <c r="M1546" i="123"/>
  <c r="N1546" i="123"/>
  <c r="O1546" i="123"/>
  <c r="P1546" i="123"/>
  <c r="Q1546" i="123"/>
  <c r="R1546" i="123"/>
  <c r="T1546" i="123" s="1"/>
  <c r="W1546" i="123" s="1"/>
  <c r="S1546" i="123"/>
  <c r="X1546" i="123"/>
  <c r="Y1546" i="123"/>
  <c r="Z1546" i="123" s="1"/>
  <c r="AB1546" i="123"/>
  <c r="AD1546" i="123" s="1"/>
  <c r="AJ1546" i="123"/>
  <c r="AK1546" i="123"/>
  <c r="AL1546" i="123"/>
  <c r="AO1546" i="123"/>
  <c r="AP1546" i="123"/>
  <c r="AQ1546" i="123" s="1"/>
  <c r="AT1546" i="123"/>
  <c r="AU1546" i="123"/>
  <c r="K1547" i="123"/>
  <c r="L1547" i="123"/>
  <c r="M1547" i="123"/>
  <c r="N1547" i="123"/>
  <c r="O1547" i="123"/>
  <c r="P1547" i="123"/>
  <c r="Q1547" i="123"/>
  <c r="R1547" i="123"/>
  <c r="T1547" i="123" s="1"/>
  <c r="S1547" i="123"/>
  <c r="X1547" i="123"/>
  <c r="Y1547" i="123"/>
  <c r="Z1547" i="123" s="1"/>
  <c r="AB1547" i="123"/>
  <c r="AD1547" i="123" s="1"/>
  <c r="AJ1547" i="123"/>
  <c r="AK1547" i="123"/>
  <c r="AL1547" i="123"/>
  <c r="AO1547" i="123"/>
  <c r="AP1547" i="123"/>
  <c r="AT1547" i="123"/>
  <c r="AU1547" i="123"/>
  <c r="K1548" i="123"/>
  <c r="L1548" i="123"/>
  <c r="M1548" i="123"/>
  <c r="N1548" i="123"/>
  <c r="O1548" i="123"/>
  <c r="P1548" i="123"/>
  <c r="Q1548" i="123"/>
  <c r="R1548" i="123"/>
  <c r="T1548" i="123" s="1"/>
  <c r="S1548" i="123"/>
  <c r="X1548" i="123"/>
  <c r="Y1548" i="123"/>
  <c r="AA1548" i="123" s="1"/>
  <c r="AB1548" i="123"/>
  <c r="AC1548" i="123" s="1"/>
  <c r="AJ1548" i="123"/>
  <c r="AK1548" i="123"/>
  <c r="AL1548" i="123"/>
  <c r="AO1548" i="123"/>
  <c r="AP1548" i="123"/>
  <c r="AT1548" i="123"/>
  <c r="AU1548" i="123"/>
  <c r="K1549" i="123"/>
  <c r="L1549" i="123"/>
  <c r="M1549" i="123"/>
  <c r="N1549" i="123"/>
  <c r="O1549" i="123"/>
  <c r="P1549" i="123"/>
  <c r="Q1549" i="123"/>
  <c r="R1549" i="123"/>
  <c r="T1549" i="123" s="1"/>
  <c r="S1549" i="123"/>
  <c r="X1549" i="123"/>
  <c r="Y1549" i="123"/>
  <c r="Z1549" i="123" s="1"/>
  <c r="AB1549" i="123"/>
  <c r="AC1549" i="123" s="1"/>
  <c r="AJ1549" i="123"/>
  <c r="AK1549" i="123"/>
  <c r="AL1549" i="123"/>
  <c r="AO1549" i="123"/>
  <c r="AP1549" i="123"/>
  <c r="AQ1549" i="123" s="1"/>
  <c r="AT1549" i="123"/>
  <c r="AU1549" i="123"/>
  <c r="K1550" i="123"/>
  <c r="L1550" i="123"/>
  <c r="M1550" i="123"/>
  <c r="N1550" i="123"/>
  <c r="O1550" i="123"/>
  <c r="P1550" i="123"/>
  <c r="Q1550" i="123"/>
  <c r="R1550" i="123"/>
  <c r="T1550" i="123" s="1"/>
  <c r="S1550" i="123"/>
  <c r="X1550" i="123"/>
  <c r="Y1550" i="123"/>
  <c r="Z1550" i="123" s="1"/>
  <c r="AB1550" i="123"/>
  <c r="AC1550" i="123" s="1"/>
  <c r="AJ1550" i="123"/>
  <c r="AK1550" i="123"/>
  <c r="AL1550" i="123"/>
  <c r="AO1550" i="123"/>
  <c r="AP1550" i="123"/>
  <c r="AT1550" i="123"/>
  <c r="AU1550" i="123"/>
  <c r="K1551" i="123"/>
  <c r="L1551" i="123"/>
  <c r="M1551" i="123"/>
  <c r="N1551" i="123"/>
  <c r="O1551" i="123"/>
  <c r="P1551" i="123"/>
  <c r="Q1551" i="123"/>
  <c r="R1551" i="123"/>
  <c r="T1551" i="123" s="1"/>
  <c r="S1551" i="123"/>
  <c r="X1551" i="123"/>
  <c r="Y1551" i="123"/>
  <c r="Z1551" i="123" s="1"/>
  <c r="AB1551" i="123"/>
  <c r="AC1551" i="123" s="1"/>
  <c r="AJ1551" i="123"/>
  <c r="AK1551" i="123"/>
  <c r="AL1551" i="123"/>
  <c r="AO1551" i="123"/>
  <c r="AP1551" i="123"/>
  <c r="AQ1551" i="123" s="1"/>
  <c r="AT1551" i="123"/>
  <c r="AU1551" i="123"/>
  <c r="K1552" i="123"/>
  <c r="L1552" i="123"/>
  <c r="M1552" i="123"/>
  <c r="N1552" i="123"/>
  <c r="O1552" i="123"/>
  <c r="P1552" i="123"/>
  <c r="Q1552" i="123"/>
  <c r="R1552" i="123"/>
  <c r="T1552" i="123" s="1"/>
  <c r="S1552" i="123"/>
  <c r="X1552" i="123"/>
  <c r="Y1552" i="123"/>
  <c r="Z1552" i="123" s="1"/>
  <c r="AB1552" i="123"/>
  <c r="AD1552" i="123" s="1"/>
  <c r="AJ1552" i="123"/>
  <c r="AK1552" i="123"/>
  <c r="AL1552" i="123"/>
  <c r="AO1552" i="123"/>
  <c r="AP1552" i="123"/>
  <c r="AQ1552" i="123" s="1"/>
  <c r="AT1552" i="123"/>
  <c r="AU1552" i="123"/>
  <c r="K1553" i="123"/>
  <c r="L1553" i="123"/>
  <c r="M1553" i="123"/>
  <c r="N1553" i="123"/>
  <c r="O1553" i="123"/>
  <c r="P1553" i="123"/>
  <c r="Q1553" i="123"/>
  <c r="R1553" i="123"/>
  <c r="T1553" i="123" s="1"/>
  <c r="S1553" i="123"/>
  <c r="X1553" i="123"/>
  <c r="Y1553" i="123"/>
  <c r="AA1553" i="123" s="1"/>
  <c r="AB1553" i="123"/>
  <c r="AC1553" i="123" s="1"/>
  <c r="AJ1553" i="123"/>
  <c r="AK1553" i="123"/>
  <c r="AL1553" i="123"/>
  <c r="AO1553" i="123"/>
  <c r="AP1553" i="123"/>
  <c r="AQ1553" i="123" s="1"/>
  <c r="AT1553" i="123"/>
  <c r="AU1553" i="123"/>
  <c r="K1554" i="123"/>
  <c r="L1554" i="123"/>
  <c r="M1554" i="123"/>
  <c r="N1554" i="123"/>
  <c r="O1554" i="123"/>
  <c r="P1554" i="123"/>
  <c r="Q1554" i="123"/>
  <c r="R1554" i="123"/>
  <c r="T1554" i="123" s="1"/>
  <c r="S1554" i="123"/>
  <c r="X1554" i="123"/>
  <c r="Y1554" i="123"/>
  <c r="Z1554" i="123" s="1"/>
  <c r="AB1554" i="123"/>
  <c r="AD1554" i="123" s="1"/>
  <c r="AJ1554" i="123"/>
  <c r="AK1554" i="123"/>
  <c r="AL1554" i="123"/>
  <c r="AO1554" i="123"/>
  <c r="AP1554" i="123"/>
  <c r="AT1554" i="123"/>
  <c r="AU1554" i="123"/>
  <c r="K1555" i="123"/>
  <c r="L1555" i="123"/>
  <c r="M1555" i="123"/>
  <c r="N1555" i="123"/>
  <c r="O1555" i="123"/>
  <c r="P1555" i="123"/>
  <c r="Q1555" i="123"/>
  <c r="R1555" i="123"/>
  <c r="T1555" i="123" s="1"/>
  <c r="S1555" i="123"/>
  <c r="X1555" i="123"/>
  <c r="Y1555" i="123"/>
  <c r="AA1555" i="123" s="1"/>
  <c r="AB1555" i="123"/>
  <c r="AC1555" i="123" s="1"/>
  <c r="AJ1555" i="123"/>
  <c r="AK1555" i="123"/>
  <c r="AL1555" i="123"/>
  <c r="AO1555" i="123"/>
  <c r="AP1555" i="123"/>
  <c r="AQ1555" i="123" s="1"/>
  <c r="AT1555" i="123"/>
  <c r="AU1555" i="123"/>
  <c r="K1556" i="123"/>
  <c r="L1556" i="123"/>
  <c r="M1556" i="123"/>
  <c r="N1556" i="123"/>
  <c r="O1556" i="123"/>
  <c r="P1556" i="123"/>
  <c r="Q1556" i="123"/>
  <c r="R1556" i="123"/>
  <c r="T1556" i="123" s="1"/>
  <c r="S1556" i="123"/>
  <c r="X1556" i="123"/>
  <c r="Y1556" i="123"/>
  <c r="Z1556" i="123" s="1"/>
  <c r="AB1556" i="123"/>
  <c r="AC1556" i="123" s="1"/>
  <c r="AJ1556" i="123"/>
  <c r="AK1556" i="123"/>
  <c r="AL1556" i="123"/>
  <c r="AO1556" i="123"/>
  <c r="AP1556" i="123"/>
  <c r="AQ1556" i="123" s="1"/>
  <c r="AT1556" i="123"/>
  <c r="AU1556" i="123"/>
  <c r="K1557" i="123"/>
  <c r="L1557" i="123"/>
  <c r="M1557" i="123"/>
  <c r="N1557" i="123"/>
  <c r="O1557" i="123"/>
  <c r="P1557" i="123"/>
  <c r="Q1557" i="123"/>
  <c r="R1557" i="123"/>
  <c r="T1557" i="123" s="1"/>
  <c r="S1557" i="123"/>
  <c r="X1557" i="123"/>
  <c r="Y1557" i="123"/>
  <c r="AA1557" i="123" s="1"/>
  <c r="AB1557" i="123"/>
  <c r="AC1557" i="123" s="1"/>
  <c r="AJ1557" i="123"/>
  <c r="AK1557" i="123"/>
  <c r="AL1557" i="123"/>
  <c r="AO1557" i="123"/>
  <c r="AP1557" i="123"/>
  <c r="AQ1557" i="123" s="1"/>
  <c r="AT1557" i="123"/>
  <c r="AU1557" i="123"/>
  <c r="K1558" i="123"/>
  <c r="L1558" i="123"/>
  <c r="M1558" i="123"/>
  <c r="N1558" i="123"/>
  <c r="O1558" i="123"/>
  <c r="P1558" i="123"/>
  <c r="Q1558" i="123"/>
  <c r="R1558" i="123"/>
  <c r="T1558" i="123" s="1"/>
  <c r="W1558" i="123" s="1"/>
  <c r="S1558" i="123"/>
  <c r="X1558" i="123"/>
  <c r="Y1558" i="123"/>
  <c r="AA1558" i="123" s="1"/>
  <c r="AB1558" i="123"/>
  <c r="AC1558" i="123" s="1"/>
  <c r="AJ1558" i="123"/>
  <c r="AK1558" i="123"/>
  <c r="AL1558" i="123"/>
  <c r="AO1558" i="123"/>
  <c r="AP1558" i="123"/>
  <c r="AQ1558" i="123" s="1"/>
  <c r="AT1558" i="123"/>
  <c r="AU1558" i="123"/>
  <c r="K1559" i="123"/>
  <c r="L1559" i="123"/>
  <c r="M1559" i="123"/>
  <c r="N1559" i="123"/>
  <c r="O1559" i="123"/>
  <c r="P1559" i="123"/>
  <c r="Q1559" i="123"/>
  <c r="R1559" i="123"/>
  <c r="T1559" i="123" s="1"/>
  <c r="S1559" i="123"/>
  <c r="X1559" i="123"/>
  <c r="Y1559" i="123"/>
  <c r="Z1559" i="123" s="1"/>
  <c r="AB1559" i="123"/>
  <c r="AD1559" i="123" s="1"/>
  <c r="AJ1559" i="123"/>
  <c r="AK1559" i="123"/>
  <c r="AL1559" i="123"/>
  <c r="AO1559" i="123"/>
  <c r="AP1559" i="123"/>
  <c r="AQ1559" i="123" s="1"/>
  <c r="AT1559" i="123"/>
  <c r="AU1559" i="123"/>
  <c r="K1560" i="123"/>
  <c r="L1560" i="123"/>
  <c r="M1560" i="123"/>
  <c r="N1560" i="123"/>
  <c r="O1560" i="123"/>
  <c r="P1560" i="123"/>
  <c r="Q1560" i="123"/>
  <c r="R1560" i="123"/>
  <c r="T1560" i="123" s="1"/>
  <c r="S1560" i="123"/>
  <c r="X1560" i="123"/>
  <c r="Y1560" i="123"/>
  <c r="AA1560" i="123" s="1"/>
  <c r="AB1560" i="123"/>
  <c r="AC1560" i="123" s="1"/>
  <c r="AJ1560" i="123"/>
  <c r="AK1560" i="123"/>
  <c r="AL1560" i="123"/>
  <c r="AO1560" i="123"/>
  <c r="AP1560" i="123"/>
  <c r="AQ1560" i="123" s="1"/>
  <c r="AT1560" i="123"/>
  <c r="AU1560" i="123"/>
  <c r="K1561" i="123"/>
  <c r="L1561" i="123"/>
  <c r="M1561" i="123"/>
  <c r="N1561" i="123"/>
  <c r="O1561" i="123"/>
  <c r="P1561" i="123"/>
  <c r="Q1561" i="123"/>
  <c r="R1561" i="123"/>
  <c r="T1561" i="123" s="1"/>
  <c r="S1561" i="123"/>
  <c r="X1561" i="123"/>
  <c r="Y1561" i="123"/>
  <c r="AA1561" i="123" s="1"/>
  <c r="AB1561" i="123"/>
  <c r="AC1561" i="123" s="1"/>
  <c r="AJ1561" i="123"/>
  <c r="AK1561" i="123"/>
  <c r="AL1561" i="123"/>
  <c r="AO1561" i="123"/>
  <c r="AP1561" i="123"/>
  <c r="AT1561" i="123"/>
  <c r="AU1561" i="123"/>
  <c r="K1562" i="123"/>
  <c r="L1562" i="123"/>
  <c r="M1562" i="123"/>
  <c r="N1562" i="123"/>
  <c r="O1562" i="123"/>
  <c r="P1562" i="123"/>
  <c r="Q1562" i="123"/>
  <c r="R1562" i="123"/>
  <c r="T1562" i="123" s="1"/>
  <c r="S1562" i="123"/>
  <c r="X1562" i="123"/>
  <c r="Y1562" i="123"/>
  <c r="AB1562" i="123"/>
  <c r="AC1562" i="123" s="1"/>
  <c r="AJ1562" i="123"/>
  <c r="AK1562" i="123"/>
  <c r="AL1562" i="123"/>
  <c r="AO1562" i="123"/>
  <c r="AP1562" i="123"/>
  <c r="AQ1562" i="123" s="1"/>
  <c r="AT1562" i="123"/>
  <c r="AU1562" i="123"/>
  <c r="K1563" i="123"/>
  <c r="L1563" i="123"/>
  <c r="M1563" i="123"/>
  <c r="N1563" i="123"/>
  <c r="O1563" i="123"/>
  <c r="P1563" i="123"/>
  <c r="Q1563" i="123"/>
  <c r="R1563" i="123"/>
  <c r="T1563" i="123" s="1"/>
  <c r="S1563" i="123"/>
  <c r="X1563" i="123"/>
  <c r="Y1563" i="123"/>
  <c r="AA1563" i="123" s="1"/>
  <c r="AB1563" i="123"/>
  <c r="AJ1563" i="123"/>
  <c r="AK1563" i="123"/>
  <c r="AL1563" i="123"/>
  <c r="AO1563" i="123"/>
  <c r="AP1563" i="123"/>
  <c r="AT1563" i="123"/>
  <c r="AU1563" i="123"/>
  <c r="K1564" i="123"/>
  <c r="L1564" i="123"/>
  <c r="M1564" i="123"/>
  <c r="N1564" i="123"/>
  <c r="O1564" i="123"/>
  <c r="P1564" i="123"/>
  <c r="Q1564" i="123"/>
  <c r="R1564" i="123"/>
  <c r="T1564" i="123" s="1"/>
  <c r="V1564" i="123" s="1"/>
  <c r="S1564" i="123"/>
  <c r="X1564" i="123"/>
  <c r="Y1564" i="123"/>
  <c r="Z1564" i="123" s="1"/>
  <c r="AB1564" i="123"/>
  <c r="AD1564" i="123" s="1"/>
  <c r="AJ1564" i="123"/>
  <c r="AK1564" i="123"/>
  <c r="AL1564" i="123"/>
  <c r="AO1564" i="123"/>
  <c r="AP1564" i="123"/>
  <c r="AQ1564" i="123" s="1"/>
  <c r="AT1564" i="123"/>
  <c r="AU1564" i="123"/>
  <c r="K1565" i="123"/>
  <c r="L1565" i="123"/>
  <c r="M1565" i="123"/>
  <c r="N1565" i="123"/>
  <c r="O1565" i="123"/>
  <c r="P1565" i="123"/>
  <c r="Q1565" i="123"/>
  <c r="R1565" i="123"/>
  <c r="T1565" i="123" s="1"/>
  <c r="S1565" i="123"/>
  <c r="X1565" i="123"/>
  <c r="Y1565" i="123"/>
  <c r="Z1565" i="123" s="1"/>
  <c r="AB1565" i="123"/>
  <c r="AC1565" i="123" s="1"/>
  <c r="AJ1565" i="123"/>
  <c r="AK1565" i="123"/>
  <c r="AL1565" i="123"/>
  <c r="AO1565" i="123"/>
  <c r="AP1565" i="123"/>
  <c r="AQ1565" i="123" s="1"/>
  <c r="AT1565" i="123"/>
  <c r="AU1565" i="123"/>
  <c r="K1566" i="123"/>
  <c r="L1566" i="123"/>
  <c r="M1566" i="123"/>
  <c r="N1566" i="123"/>
  <c r="O1566" i="123"/>
  <c r="P1566" i="123"/>
  <c r="Q1566" i="123"/>
  <c r="R1566" i="123"/>
  <c r="T1566" i="123" s="1"/>
  <c r="V1566" i="123" s="1"/>
  <c r="S1566" i="123"/>
  <c r="X1566" i="123"/>
  <c r="Y1566" i="123"/>
  <c r="AB1566" i="123"/>
  <c r="AC1566" i="123" s="1"/>
  <c r="AJ1566" i="123"/>
  <c r="AK1566" i="123"/>
  <c r="AL1566" i="123"/>
  <c r="AO1566" i="123"/>
  <c r="AP1566" i="123"/>
  <c r="AQ1566" i="123" s="1"/>
  <c r="AT1566" i="123"/>
  <c r="AU1566" i="123"/>
  <c r="K1567" i="123"/>
  <c r="L1567" i="123"/>
  <c r="M1567" i="123"/>
  <c r="N1567" i="123"/>
  <c r="O1567" i="123"/>
  <c r="P1567" i="123"/>
  <c r="Q1567" i="123"/>
  <c r="R1567" i="123"/>
  <c r="T1567" i="123" s="1"/>
  <c r="S1567" i="123"/>
  <c r="X1567" i="123"/>
  <c r="Y1567" i="123"/>
  <c r="Z1567" i="123" s="1"/>
  <c r="AB1567" i="123"/>
  <c r="AJ1567" i="123"/>
  <c r="AK1567" i="123"/>
  <c r="AL1567" i="123"/>
  <c r="AO1567" i="123"/>
  <c r="AP1567" i="123"/>
  <c r="AT1567" i="123"/>
  <c r="AU1567" i="123"/>
  <c r="K1568" i="123"/>
  <c r="L1568" i="123"/>
  <c r="M1568" i="123"/>
  <c r="N1568" i="123"/>
  <c r="O1568" i="123"/>
  <c r="P1568" i="123"/>
  <c r="Q1568" i="123"/>
  <c r="R1568" i="123"/>
  <c r="T1568" i="123" s="1"/>
  <c r="S1568" i="123"/>
  <c r="X1568" i="123"/>
  <c r="Y1568" i="123"/>
  <c r="AA1568" i="123" s="1"/>
  <c r="AB1568" i="123"/>
  <c r="AC1568" i="123" s="1"/>
  <c r="AJ1568" i="123"/>
  <c r="AK1568" i="123"/>
  <c r="AL1568" i="123"/>
  <c r="AO1568" i="123"/>
  <c r="AP1568" i="123"/>
  <c r="AQ1568" i="123" s="1"/>
  <c r="AT1568" i="123"/>
  <c r="AU1568" i="123"/>
  <c r="K1569" i="123"/>
  <c r="L1569" i="123"/>
  <c r="M1569" i="123"/>
  <c r="N1569" i="123"/>
  <c r="O1569" i="123"/>
  <c r="P1569" i="123"/>
  <c r="Q1569" i="123"/>
  <c r="R1569" i="123"/>
  <c r="T1569" i="123" s="1"/>
  <c r="V1569" i="123" s="1"/>
  <c r="S1569" i="123"/>
  <c r="X1569" i="123"/>
  <c r="Y1569" i="123"/>
  <c r="AA1569" i="123" s="1"/>
  <c r="AB1569" i="123"/>
  <c r="AC1569" i="123" s="1"/>
  <c r="AJ1569" i="123"/>
  <c r="AK1569" i="123"/>
  <c r="AL1569" i="123"/>
  <c r="AO1569" i="123"/>
  <c r="AP1569" i="123"/>
  <c r="AQ1569" i="123" s="1"/>
  <c r="AT1569" i="123"/>
  <c r="AU1569" i="123"/>
  <c r="K1570" i="123"/>
  <c r="L1570" i="123"/>
  <c r="M1570" i="123"/>
  <c r="N1570" i="123"/>
  <c r="O1570" i="123"/>
  <c r="P1570" i="123"/>
  <c r="Q1570" i="123"/>
  <c r="R1570" i="123"/>
  <c r="T1570" i="123" s="1"/>
  <c r="V1570" i="123" s="1"/>
  <c r="S1570" i="123"/>
  <c r="X1570" i="123"/>
  <c r="Y1570" i="123"/>
  <c r="AB1570" i="123"/>
  <c r="AC1570" i="123" s="1"/>
  <c r="AJ1570" i="123"/>
  <c r="AK1570" i="123"/>
  <c r="AL1570" i="123"/>
  <c r="AO1570" i="123"/>
  <c r="AP1570" i="123"/>
  <c r="AQ1570" i="123" s="1"/>
  <c r="AT1570" i="123"/>
  <c r="AU1570" i="123"/>
  <c r="K1571" i="123"/>
  <c r="L1571" i="123"/>
  <c r="M1571" i="123"/>
  <c r="N1571" i="123"/>
  <c r="O1571" i="123"/>
  <c r="P1571" i="123"/>
  <c r="Q1571" i="123"/>
  <c r="R1571" i="123"/>
  <c r="T1571" i="123" s="1"/>
  <c r="S1571" i="123"/>
  <c r="X1571" i="123"/>
  <c r="Y1571" i="123"/>
  <c r="Z1571" i="123" s="1"/>
  <c r="AB1571" i="123"/>
  <c r="AJ1571" i="123"/>
  <c r="AK1571" i="123"/>
  <c r="AL1571" i="123"/>
  <c r="AO1571" i="123"/>
  <c r="AP1571" i="123"/>
  <c r="AT1571" i="123"/>
  <c r="AU1571" i="123"/>
  <c r="K1572" i="123"/>
  <c r="L1572" i="123"/>
  <c r="M1572" i="123"/>
  <c r="N1572" i="123"/>
  <c r="O1572" i="123"/>
  <c r="P1572" i="123"/>
  <c r="Q1572" i="123"/>
  <c r="R1572" i="123"/>
  <c r="T1572" i="123" s="1"/>
  <c r="S1572" i="123"/>
  <c r="X1572" i="123"/>
  <c r="Y1572" i="123"/>
  <c r="Z1572" i="123" s="1"/>
  <c r="AB1572" i="123"/>
  <c r="AC1572" i="123" s="1"/>
  <c r="AJ1572" i="123"/>
  <c r="AK1572" i="123"/>
  <c r="AL1572" i="123"/>
  <c r="AO1572" i="123"/>
  <c r="AP1572" i="123"/>
  <c r="AQ1572" i="123" s="1"/>
  <c r="AT1572" i="123"/>
  <c r="AU1572" i="123"/>
  <c r="K1573" i="123"/>
  <c r="L1573" i="123"/>
  <c r="M1573" i="123"/>
  <c r="N1573" i="123"/>
  <c r="O1573" i="123"/>
  <c r="P1573" i="123"/>
  <c r="Q1573" i="123"/>
  <c r="R1573" i="123"/>
  <c r="T1573" i="123" s="1"/>
  <c r="V1573" i="123" s="1"/>
  <c r="S1573" i="123"/>
  <c r="X1573" i="123"/>
  <c r="Y1573" i="123"/>
  <c r="Z1573" i="123" s="1"/>
  <c r="AB1573" i="123"/>
  <c r="AC1573" i="123" s="1"/>
  <c r="AJ1573" i="123"/>
  <c r="AK1573" i="123"/>
  <c r="AL1573" i="123"/>
  <c r="AO1573" i="123"/>
  <c r="AP1573" i="123"/>
  <c r="AQ1573" i="123" s="1"/>
  <c r="AT1573" i="123"/>
  <c r="AU1573" i="123"/>
  <c r="K1574" i="123"/>
  <c r="L1574" i="123"/>
  <c r="M1574" i="123"/>
  <c r="N1574" i="123"/>
  <c r="O1574" i="123"/>
  <c r="P1574" i="123"/>
  <c r="Q1574" i="123"/>
  <c r="R1574" i="123"/>
  <c r="T1574" i="123" s="1"/>
  <c r="V1574" i="123" s="1"/>
  <c r="S1574" i="123"/>
  <c r="X1574" i="123"/>
  <c r="Y1574" i="123"/>
  <c r="AB1574" i="123"/>
  <c r="AC1574" i="123" s="1"/>
  <c r="AJ1574" i="123"/>
  <c r="AK1574" i="123"/>
  <c r="AL1574" i="123"/>
  <c r="AO1574" i="123"/>
  <c r="AP1574" i="123"/>
  <c r="AQ1574" i="123" s="1"/>
  <c r="AT1574" i="123"/>
  <c r="AU1574" i="123"/>
  <c r="K1575" i="123"/>
  <c r="L1575" i="123"/>
  <c r="M1575" i="123"/>
  <c r="N1575" i="123"/>
  <c r="O1575" i="123"/>
  <c r="P1575" i="123"/>
  <c r="Q1575" i="123"/>
  <c r="R1575" i="123"/>
  <c r="T1575" i="123" s="1"/>
  <c r="S1575" i="123"/>
  <c r="X1575" i="123"/>
  <c r="Y1575" i="123"/>
  <c r="AA1575" i="123" s="1"/>
  <c r="AB1575" i="123"/>
  <c r="AJ1575" i="123"/>
  <c r="AK1575" i="123"/>
  <c r="AL1575" i="123"/>
  <c r="AO1575" i="123"/>
  <c r="AP1575" i="123"/>
  <c r="AT1575" i="123"/>
  <c r="AU1575" i="123"/>
  <c r="K1576" i="123"/>
  <c r="L1576" i="123"/>
  <c r="M1576" i="123"/>
  <c r="N1576" i="123"/>
  <c r="O1576" i="123"/>
  <c r="P1576" i="123"/>
  <c r="Q1576" i="123"/>
  <c r="R1576" i="123"/>
  <c r="T1576" i="123" s="1"/>
  <c r="S1576" i="123"/>
  <c r="X1576" i="123"/>
  <c r="Y1576" i="123"/>
  <c r="AA1576" i="123" s="1"/>
  <c r="AB1576" i="123"/>
  <c r="AC1576" i="123" s="1"/>
  <c r="AJ1576" i="123"/>
  <c r="AK1576" i="123"/>
  <c r="AL1576" i="123"/>
  <c r="AO1576" i="123"/>
  <c r="AP1576" i="123"/>
  <c r="AQ1576" i="123" s="1"/>
  <c r="AT1576" i="123"/>
  <c r="AU1576" i="123"/>
  <c r="K1577" i="123"/>
  <c r="L1577" i="123"/>
  <c r="M1577" i="123"/>
  <c r="N1577" i="123"/>
  <c r="O1577" i="123"/>
  <c r="P1577" i="123"/>
  <c r="Q1577" i="123"/>
  <c r="R1577" i="123"/>
  <c r="T1577" i="123" s="1"/>
  <c r="S1577" i="123"/>
  <c r="X1577" i="123"/>
  <c r="Y1577" i="123"/>
  <c r="Z1577" i="123" s="1"/>
  <c r="AB1577" i="123"/>
  <c r="AC1577" i="123" s="1"/>
  <c r="AJ1577" i="123"/>
  <c r="AK1577" i="123"/>
  <c r="AL1577" i="123"/>
  <c r="AO1577" i="123"/>
  <c r="AP1577" i="123"/>
  <c r="AQ1577" i="123" s="1"/>
  <c r="AT1577" i="123"/>
  <c r="AU1577" i="123"/>
  <c r="K1578" i="123"/>
  <c r="L1578" i="123"/>
  <c r="M1578" i="123"/>
  <c r="N1578" i="123"/>
  <c r="O1578" i="123"/>
  <c r="P1578" i="123"/>
  <c r="Q1578" i="123"/>
  <c r="R1578" i="123"/>
  <c r="T1578" i="123" s="1"/>
  <c r="V1578" i="123" s="1"/>
  <c r="S1578" i="123"/>
  <c r="X1578" i="123"/>
  <c r="Y1578" i="123"/>
  <c r="AB1578" i="123"/>
  <c r="AC1578" i="123" s="1"/>
  <c r="AJ1578" i="123"/>
  <c r="AK1578" i="123"/>
  <c r="AL1578" i="123"/>
  <c r="AO1578" i="123"/>
  <c r="AP1578" i="123"/>
  <c r="AQ1578" i="123" s="1"/>
  <c r="AT1578" i="123"/>
  <c r="AU1578" i="123"/>
  <c r="K1579" i="123"/>
  <c r="L1579" i="123"/>
  <c r="M1579" i="123"/>
  <c r="N1579" i="123"/>
  <c r="O1579" i="123"/>
  <c r="P1579" i="123"/>
  <c r="Q1579" i="123"/>
  <c r="R1579" i="123"/>
  <c r="T1579" i="123" s="1"/>
  <c r="S1579" i="123"/>
  <c r="X1579" i="123"/>
  <c r="Y1579" i="123"/>
  <c r="Z1579" i="123" s="1"/>
  <c r="AB1579" i="123"/>
  <c r="AJ1579" i="123"/>
  <c r="AK1579" i="123"/>
  <c r="AL1579" i="123"/>
  <c r="AO1579" i="123"/>
  <c r="AP1579" i="123"/>
  <c r="AT1579" i="123"/>
  <c r="AU1579" i="123"/>
  <c r="K1580" i="123"/>
  <c r="L1580" i="123"/>
  <c r="M1580" i="123"/>
  <c r="N1580" i="123"/>
  <c r="O1580" i="123"/>
  <c r="P1580" i="123"/>
  <c r="Q1580" i="123"/>
  <c r="R1580" i="123"/>
  <c r="T1580" i="123" s="1"/>
  <c r="S1580" i="123"/>
  <c r="X1580" i="123"/>
  <c r="Y1580" i="123"/>
  <c r="AA1580" i="123" s="1"/>
  <c r="AB1580" i="123"/>
  <c r="AC1580" i="123" s="1"/>
  <c r="AJ1580" i="123"/>
  <c r="AK1580" i="123"/>
  <c r="AL1580" i="123"/>
  <c r="AO1580" i="123"/>
  <c r="AP1580" i="123"/>
  <c r="AQ1580" i="123" s="1"/>
  <c r="AT1580" i="123"/>
  <c r="AU1580" i="123"/>
  <c r="K1581" i="123"/>
  <c r="L1581" i="123"/>
  <c r="M1581" i="123"/>
  <c r="N1581" i="123"/>
  <c r="O1581" i="123"/>
  <c r="P1581" i="123"/>
  <c r="Q1581" i="123"/>
  <c r="R1581" i="123"/>
  <c r="T1581" i="123" s="1"/>
  <c r="S1581" i="123"/>
  <c r="X1581" i="123"/>
  <c r="Y1581" i="123"/>
  <c r="Z1581" i="123" s="1"/>
  <c r="AB1581" i="123"/>
  <c r="AC1581" i="123" s="1"/>
  <c r="AJ1581" i="123"/>
  <c r="AK1581" i="123"/>
  <c r="AL1581" i="123"/>
  <c r="AO1581" i="123"/>
  <c r="AP1581" i="123"/>
  <c r="AQ1581" i="123" s="1"/>
  <c r="AT1581" i="123"/>
  <c r="AU1581" i="123"/>
  <c r="K1582" i="123"/>
  <c r="L1582" i="123"/>
  <c r="M1582" i="123"/>
  <c r="N1582" i="123"/>
  <c r="O1582" i="123"/>
  <c r="P1582" i="123"/>
  <c r="Q1582" i="123"/>
  <c r="R1582" i="123"/>
  <c r="T1582" i="123" s="1"/>
  <c r="S1582" i="123"/>
  <c r="X1582" i="123"/>
  <c r="Y1582" i="123"/>
  <c r="AB1582" i="123"/>
  <c r="AD1582" i="123" s="1"/>
  <c r="AJ1582" i="123"/>
  <c r="AK1582" i="123"/>
  <c r="AL1582" i="123"/>
  <c r="AO1582" i="123"/>
  <c r="AP1582" i="123"/>
  <c r="AQ1582" i="123" s="1"/>
  <c r="AT1582" i="123"/>
  <c r="AU1582" i="123"/>
  <c r="K1583" i="123"/>
  <c r="L1583" i="123"/>
  <c r="M1583" i="123"/>
  <c r="N1583" i="123"/>
  <c r="O1583" i="123"/>
  <c r="P1583" i="123"/>
  <c r="Q1583" i="123"/>
  <c r="R1583" i="123"/>
  <c r="T1583" i="123" s="1"/>
  <c r="S1583" i="123"/>
  <c r="X1583" i="123"/>
  <c r="Y1583" i="123"/>
  <c r="Z1583" i="123" s="1"/>
  <c r="AB1583" i="123"/>
  <c r="AJ1583" i="123"/>
  <c r="AK1583" i="123"/>
  <c r="AL1583" i="123"/>
  <c r="AO1583" i="123"/>
  <c r="AP1583" i="123"/>
  <c r="AT1583" i="123"/>
  <c r="AU1583" i="123"/>
  <c r="K1584" i="123"/>
  <c r="L1584" i="123"/>
  <c r="M1584" i="123"/>
  <c r="N1584" i="123"/>
  <c r="O1584" i="123"/>
  <c r="P1584" i="123"/>
  <c r="Q1584" i="123"/>
  <c r="R1584" i="123"/>
  <c r="T1584" i="123" s="1"/>
  <c r="S1584" i="123"/>
  <c r="X1584" i="123"/>
  <c r="Y1584" i="123"/>
  <c r="Z1584" i="123" s="1"/>
  <c r="AB1584" i="123"/>
  <c r="AC1584" i="123" s="1"/>
  <c r="AJ1584" i="123"/>
  <c r="AK1584" i="123"/>
  <c r="AL1584" i="123"/>
  <c r="AO1584" i="123"/>
  <c r="AP1584" i="123"/>
  <c r="AT1584" i="123"/>
  <c r="AU1584" i="123"/>
  <c r="K1585" i="123"/>
  <c r="L1585" i="123"/>
  <c r="M1585" i="123"/>
  <c r="N1585" i="123"/>
  <c r="O1585" i="123"/>
  <c r="P1585" i="123"/>
  <c r="Q1585" i="123"/>
  <c r="R1585" i="123"/>
  <c r="T1585" i="123" s="1"/>
  <c r="V1585" i="123" s="1"/>
  <c r="S1585" i="123"/>
  <c r="X1585" i="123"/>
  <c r="Y1585" i="123"/>
  <c r="Z1585" i="123" s="1"/>
  <c r="AB1585" i="123"/>
  <c r="AC1585" i="123" s="1"/>
  <c r="AJ1585" i="123"/>
  <c r="AK1585" i="123"/>
  <c r="AL1585" i="123"/>
  <c r="AO1585" i="123"/>
  <c r="AP1585" i="123"/>
  <c r="AQ1585" i="123" s="1"/>
  <c r="AT1585" i="123"/>
  <c r="AU1585" i="123"/>
  <c r="K1586" i="123"/>
  <c r="L1586" i="123"/>
  <c r="M1586" i="123"/>
  <c r="N1586" i="123"/>
  <c r="O1586" i="123"/>
  <c r="P1586" i="123"/>
  <c r="Q1586" i="123"/>
  <c r="R1586" i="123"/>
  <c r="T1586" i="123" s="1"/>
  <c r="S1586" i="123"/>
  <c r="X1586" i="123"/>
  <c r="Y1586" i="123"/>
  <c r="AB1586" i="123"/>
  <c r="AC1586" i="123" s="1"/>
  <c r="AJ1586" i="123"/>
  <c r="AK1586" i="123"/>
  <c r="AL1586" i="123"/>
  <c r="AO1586" i="123"/>
  <c r="AP1586" i="123"/>
  <c r="AQ1586" i="123" s="1"/>
  <c r="AT1586" i="123"/>
  <c r="AU1586" i="123"/>
  <c r="K1587" i="123"/>
  <c r="L1587" i="123"/>
  <c r="M1587" i="123"/>
  <c r="N1587" i="123"/>
  <c r="O1587" i="123"/>
  <c r="P1587" i="123"/>
  <c r="Q1587" i="123"/>
  <c r="R1587" i="123"/>
  <c r="T1587" i="123" s="1"/>
  <c r="S1587" i="123"/>
  <c r="X1587" i="123"/>
  <c r="Y1587" i="123"/>
  <c r="Z1587" i="123" s="1"/>
  <c r="AB1587" i="123"/>
  <c r="AJ1587" i="123"/>
  <c r="AK1587" i="123"/>
  <c r="AL1587" i="123"/>
  <c r="AO1587" i="123"/>
  <c r="AP1587" i="123"/>
  <c r="AT1587" i="123"/>
  <c r="AU1587" i="123"/>
  <c r="K1588" i="123"/>
  <c r="L1588" i="123"/>
  <c r="M1588" i="123"/>
  <c r="N1588" i="123"/>
  <c r="O1588" i="123"/>
  <c r="P1588" i="123"/>
  <c r="Q1588" i="123"/>
  <c r="R1588" i="123"/>
  <c r="T1588" i="123" s="1"/>
  <c r="S1588" i="123"/>
  <c r="X1588" i="123"/>
  <c r="Y1588" i="123"/>
  <c r="AA1588" i="123" s="1"/>
  <c r="AB1588" i="123"/>
  <c r="AC1588" i="123" s="1"/>
  <c r="AJ1588" i="123"/>
  <c r="AK1588" i="123"/>
  <c r="AL1588" i="123"/>
  <c r="AO1588" i="123"/>
  <c r="AP1588" i="123"/>
  <c r="AT1588" i="123"/>
  <c r="AU1588" i="123"/>
  <c r="K1589" i="123"/>
  <c r="L1589" i="123"/>
  <c r="M1589" i="123"/>
  <c r="N1589" i="123"/>
  <c r="O1589" i="123"/>
  <c r="P1589" i="123"/>
  <c r="Q1589" i="123"/>
  <c r="R1589" i="123"/>
  <c r="T1589" i="123" s="1"/>
  <c r="V1589" i="123" s="1"/>
  <c r="S1589" i="123"/>
  <c r="X1589" i="123"/>
  <c r="Y1589" i="123"/>
  <c r="Z1589" i="123" s="1"/>
  <c r="AB1589" i="123"/>
  <c r="AC1589" i="123" s="1"/>
  <c r="AJ1589" i="123"/>
  <c r="AK1589" i="123"/>
  <c r="AL1589" i="123"/>
  <c r="AO1589" i="123"/>
  <c r="AP1589" i="123"/>
  <c r="AQ1589" i="123" s="1"/>
  <c r="AT1589" i="123"/>
  <c r="AU1589" i="123"/>
  <c r="K1590" i="123"/>
  <c r="L1590" i="123"/>
  <c r="M1590" i="123"/>
  <c r="N1590" i="123"/>
  <c r="O1590" i="123"/>
  <c r="P1590" i="123"/>
  <c r="Q1590" i="123"/>
  <c r="R1590" i="123"/>
  <c r="T1590" i="123" s="1"/>
  <c r="S1590" i="123"/>
  <c r="X1590" i="123"/>
  <c r="Y1590" i="123"/>
  <c r="AB1590" i="123"/>
  <c r="AD1590" i="123" s="1"/>
  <c r="AJ1590" i="123"/>
  <c r="AK1590" i="123"/>
  <c r="AL1590" i="123"/>
  <c r="AO1590" i="123"/>
  <c r="AP1590" i="123"/>
  <c r="AQ1590" i="123" s="1"/>
  <c r="AT1590" i="123"/>
  <c r="AU1590" i="123"/>
  <c r="K1591" i="123"/>
  <c r="L1591" i="123"/>
  <c r="M1591" i="123"/>
  <c r="N1591" i="123"/>
  <c r="O1591" i="123"/>
  <c r="P1591" i="123"/>
  <c r="Q1591" i="123"/>
  <c r="R1591" i="123"/>
  <c r="T1591" i="123" s="1"/>
  <c r="S1591" i="123"/>
  <c r="X1591" i="123"/>
  <c r="Y1591" i="123"/>
  <c r="Z1591" i="123" s="1"/>
  <c r="AB1591" i="123"/>
  <c r="AJ1591" i="123"/>
  <c r="AK1591" i="123"/>
  <c r="AL1591" i="123"/>
  <c r="AO1591" i="123"/>
  <c r="AP1591" i="123"/>
  <c r="AT1591" i="123"/>
  <c r="AU1591" i="123"/>
  <c r="K1592" i="123"/>
  <c r="L1592" i="123"/>
  <c r="M1592" i="123"/>
  <c r="N1592" i="123"/>
  <c r="O1592" i="123"/>
  <c r="P1592" i="123"/>
  <c r="Q1592" i="123"/>
  <c r="R1592" i="123"/>
  <c r="T1592" i="123" s="1"/>
  <c r="S1592" i="123"/>
  <c r="X1592" i="123"/>
  <c r="Y1592" i="123"/>
  <c r="Z1592" i="123" s="1"/>
  <c r="AB1592" i="123"/>
  <c r="AC1592" i="123" s="1"/>
  <c r="AJ1592" i="123"/>
  <c r="AK1592" i="123"/>
  <c r="AL1592" i="123"/>
  <c r="AO1592" i="123"/>
  <c r="AP1592" i="123"/>
  <c r="AQ1592" i="123" s="1"/>
  <c r="AT1592" i="123"/>
  <c r="AU1592" i="123"/>
  <c r="K1593" i="123"/>
  <c r="L1593" i="123"/>
  <c r="M1593" i="123"/>
  <c r="N1593" i="123"/>
  <c r="O1593" i="123"/>
  <c r="P1593" i="123"/>
  <c r="Q1593" i="123"/>
  <c r="R1593" i="123"/>
  <c r="T1593" i="123" s="1"/>
  <c r="S1593" i="123"/>
  <c r="X1593" i="123"/>
  <c r="Y1593" i="123"/>
  <c r="Z1593" i="123" s="1"/>
  <c r="AB1593" i="123"/>
  <c r="AC1593" i="123" s="1"/>
  <c r="AJ1593" i="123"/>
  <c r="AK1593" i="123"/>
  <c r="AL1593" i="123"/>
  <c r="AO1593" i="123"/>
  <c r="AP1593" i="123"/>
  <c r="AQ1593" i="123" s="1"/>
  <c r="AT1593" i="123"/>
  <c r="AU1593" i="123"/>
  <c r="K1594" i="123"/>
  <c r="L1594" i="123"/>
  <c r="M1594" i="123"/>
  <c r="N1594" i="123"/>
  <c r="O1594" i="123"/>
  <c r="P1594" i="123"/>
  <c r="Q1594" i="123"/>
  <c r="R1594" i="123"/>
  <c r="T1594" i="123" s="1"/>
  <c r="S1594" i="123"/>
  <c r="X1594" i="123"/>
  <c r="Y1594" i="123"/>
  <c r="AB1594" i="123"/>
  <c r="AC1594" i="123" s="1"/>
  <c r="AJ1594" i="123"/>
  <c r="AK1594" i="123"/>
  <c r="AL1594" i="123"/>
  <c r="AO1594" i="123"/>
  <c r="AP1594" i="123"/>
  <c r="AQ1594" i="123" s="1"/>
  <c r="AT1594" i="123"/>
  <c r="AU1594" i="123"/>
  <c r="K1595" i="123"/>
  <c r="L1595" i="123"/>
  <c r="M1595" i="123"/>
  <c r="N1595" i="123"/>
  <c r="O1595" i="123"/>
  <c r="P1595" i="123"/>
  <c r="Q1595" i="123"/>
  <c r="R1595" i="123"/>
  <c r="T1595" i="123" s="1"/>
  <c r="S1595" i="123"/>
  <c r="X1595" i="123"/>
  <c r="Y1595" i="123"/>
  <c r="Z1595" i="123" s="1"/>
  <c r="AB1595" i="123"/>
  <c r="AJ1595" i="123"/>
  <c r="AK1595" i="123"/>
  <c r="AL1595" i="123"/>
  <c r="AO1595" i="123"/>
  <c r="AP1595" i="123"/>
  <c r="AQ1595" i="123" s="1"/>
  <c r="AT1595" i="123"/>
  <c r="AU1595" i="123"/>
  <c r="K1596" i="123"/>
  <c r="L1596" i="123"/>
  <c r="M1596" i="123"/>
  <c r="N1596" i="123"/>
  <c r="O1596" i="123"/>
  <c r="P1596" i="123"/>
  <c r="Q1596" i="123"/>
  <c r="R1596" i="123"/>
  <c r="T1596" i="123" s="1"/>
  <c r="S1596" i="123"/>
  <c r="X1596" i="123"/>
  <c r="Y1596" i="123"/>
  <c r="Z1596" i="123" s="1"/>
  <c r="AB1596" i="123"/>
  <c r="AC1596" i="123" s="1"/>
  <c r="AJ1596" i="123"/>
  <c r="AK1596" i="123"/>
  <c r="AL1596" i="123"/>
  <c r="AO1596" i="123"/>
  <c r="AP1596" i="123"/>
  <c r="AQ1596" i="123" s="1"/>
  <c r="AT1596" i="123"/>
  <c r="AU1596" i="123"/>
  <c r="K1597" i="123"/>
  <c r="L1597" i="123"/>
  <c r="M1597" i="123"/>
  <c r="N1597" i="123"/>
  <c r="O1597" i="123"/>
  <c r="P1597" i="123"/>
  <c r="Q1597" i="123"/>
  <c r="R1597" i="123"/>
  <c r="T1597" i="123" s="1"/>
  <c r="S1597" i="123"/>
  <c r="X1597" i="123"/>
  <c r="Y1597" i="123"/>
  <c r="AA1597" i="123" s="1"/>
  <c r="AB1597" i="123"/>
  <c r="AC1597" i="123" s="1"/>
  <c r="AJ1597" i="123"/>
  <c r="AK1597" i="123"/>
  <c r="AL1597" i="123"/>
  <c r="AO1597" i="123"/>
  <c r="AP1597" i="123"/>
  <c r="AQ1597" i="123" s="1"/>
  <c r="AT1597" i="123"/>
  <c r="AU1597" i="123"/>
  <c r="K1598" i="123"/>
  <c r="L1598" i="123"/>
  <c r="M1598" i="123"/>
  <c r="N1598" i="123"/>
  <c r="O1598" i="123"/>
  <c r="P1598" i="123"/>
  <c r="Q1598" i="123"/>
  <c r="R1598" i="123"/>
  <c r="T1598" i="123" s="1"/>
  <c r="S1598" i="123"/>
  <c r="X1598" i="123"/>
  <c r="Y1598" i="123"/>
  <c r="AB1598" i="123"/>
  <c r="AD1598" i="123" s="1"/>
  <c r="AJ1598" i="123"/>
  <c r="AK1598" i="123"/>
  <c r="AL1598" i="123"/>
  <c r="AO1598" i="123"/>
  <c r="AP1598" i="123"/>
  <c r="AQ1598" i="123" s="1"/>
  <c r="AT1598" i="123"/>
  <c r="AU1598" i="123"/>
  <c r="K1599" i="123"/>
  <c r="L1599" i="123"/>
  <c r="M1599" i="123"/>
  <c r="N1599" i="123"/>
  <c r="O1599" i="123"/>
  <c r="P1599" i="123"/>
  <c r="Q1599" i="123"/>
  <c r="R1599" i="123"/>
  <c r="T1599" i="123" s="1"/>
  <c r="S1599" i="123"/>
  <c r="X1599" i="123"/>
  <c r="Y1599" i="123"/>
  <c r="Z1599" i="123" s="1"/>
  <c r="AB1599" i="123"/>
  <c r="AJ1599" i="123"/>
  <c r="AK1599" i="123"/>
  <c r="AL1599" i="123"/>
  <c r="AO1599" i="123"/>
  <c r="AP1599" i="123"/>
  <c r="AT1599" i="123"/>
  <c r="AU1599" i="123"/>
  <c r="K1600" i="123"/>
  <c r="L1600" i="123"/>
  <c r="M1600" i="123"/>
  <c r="N1600" i="123"/>
  <c r="O1600" i="123"/>
  <c r="P1600" i="123"/>
  <c r="Q1600" i="123"/>
  <c r="R1600" i="123"/>
  <c r="T1600" i="123" s="1"/>
  <c r="W1600" i="123" s="1"/>
  <c r="S1600" i="123"/>
  <c r="X1600" i="123"/>
  <c r="Y1600" i="123"/>
  <c r="Z1600" i="123" s="1"/>
  <c r="AB1600" i="123"/>
  <c r="AC1600" i="123" s="1"/>
  <c r="AJ1600" i="123"/>
  <c r="AK1600" i="123"/>
  <c r="AL1600" i="123"/>
  <c r="AO1600" i="123"/>
  <c r="AP1600" i="123"/>
  <c r="AQ1600" i="123" s="1"/>
  <c r="AT1600" i="123"/>
  <c r="AU1600" i="123"/>
  <c r="K1601" i="123"/>
  <c r="L1601" i="123"/>
  <c r="M1601" i="123"/>
  <c r="N1601" i="123"/>
  <c r="O1601" i="123"/>
  <c r="P1601" i="123"/>
  <c r="Q1601" i="123"/>
  <c r="R1601" i="123"/>
  <c r="T1601" i="123" s="1"/>
  <c r="S1601" i="123"/>
  <c r="X1601" i="123"/>
  <c r="Y1601" i="123"/>
  <c r="AA1601" i="123" s="1"/>
  <c r="AB1601" i="123"/>
  <c r="AD1601" i="123" s="1"/>
  <c r="AJ1601" i="123"/>
  <c r="AK1601" i="123"/>
  <c r="AL1601" i="123"/>
  <c r="AO1601" i="123"/>
  <c r="AP1601" i="123"/>
  <c r="AQ1601" i="123" s="1"/>
  <c r="AT1601" i="123"/>
  <c r="AU1601" i="123"/>
  <c r="K1602" i="123"/>
  <c r="L1602" i="123"/>
  <c r="M1602" i="123"/>
  <c r="N1602" i="123"/>
  <c r="O1602" i="123"/>
  <c r="P1602" i="123"/>
  <c r="Q1602" i="123"/>
  <c r="R1602" i="123"/>
  <c r="T1602" i="123" s="1"/>
  <c r="S1602" i="123"/>
  <c r="X1602" i="123"/>
  <c r="Y1602" i="123"/>
  <c r="AB1602" i="123"/>
  <c r="AD1602" i="123" s="1"/>
  <c r="AJ1602" i="123"/>
  <c r="AK1602" i="123"/>
  <c r="AL1602" i="123"/>
  <c r="AO1602" i="123"/>
  <c r="AP1602" i="123"/>
  <c r="AQ1602" i="123" s="1"/>
  <c r="AT1602" i="123"/>
  <c r="AU1602" i="123"/>
  <c r="K1603" i="123"/>
  <c r="L1603" i="123"/>
  <c r="M1603" i="123"/>
  <c r="N1603" i="123"/>
  <c r="O1603" i="123"/>
  <c r="P1603" i="123"/>
  <c r="Q1603" i="123"/>
  <c r="R1603" i="123"/>
  <c r="T1603" i="123" s="1"/>
  <c r="S1603" i="123"/>
  <c r="X1603" i="123"/>
  <c r="Y1603" i="123"/>
  <c r="Z1603" i="123" s="1"/>
  <c r="AB1603" i="123"/>
  <c r="AJ1603" i="123"/>
  <c r="AK1603" i="123"/>
  <c r="AL1603" i="123"/>
  <c r="AO1603" i="123"/>
  <c r="AP1603" i="123"/>
  <c r="AT1603" i="123"/>
  <c r="AU1603" i="123"/>
  <c r="K1604" i="123"/>
  <c r="L1604" i="123"/>
  <c r="M1604" i="123"/>
  <c r="N1604" i="123"/>
  <c r="O1604" i="123"/>
  <c r="P1604" i="123"/>
  <c r="Q1604" i="123"/>
  <c r="R1604" i="123"/>
  <c r="T1604" i="123" s="1"/>
  <c r="W1604" i="123" s="1"/>
  <c r="S1604" i="123"/>
  <c r="X1604" i="123"/>
  <c r="Y1604" i="123"/>
  <c r="Z1604" i="123" s="1"/>
  <c r="AB1604" i="123"/>
  <c r="AC1604" i="123" s="1"/>
  <c r="AJ1604" i="123"/>
  <c r="AK1604" i="123"/>
  <c r="AL1604" i="123"/>
  <c r="AO1604" i="123"/>
  <c r="AP1604" i="123"/>
  <c r="AQ1604" i="123" s="1"/>
  <c r="AT1604" i="123"/>
  <c r="AU1604" i="123"/>
  <c r="K1605" i="123"/>
  <c r="L1605" i="123"/>
  <c r="M1605" i="123"/>
  <c r="N1605" i="123"/>
  <c r="O1605" i="123"/>
  <c r="P1605" i="123"/>
  <c r="Q1605" i="123"/>
  <c r="R1605" i="123"/>
  <c r="T1605" i="123" s="1"/>
  <c r="S1605" i="123"/>
  <c r="X1605" i="123"/>
  <c r="Y1605" i="123"/>
  <c r="AA1605" i="123" s="1"/>
  <c r="AB1605" i="123"/>
  <c r="AD1605" i="123" s="1"/>
  <c r="AJ1605" i="123"/>
  <c r="AK1605" i="123"/>
  <c r="AL1605" i="123"/>
  <c r="AO1605" i="123"/>
  <c r="AP1605" i="123"/>
  <c r="AQ1605" i="123" s="1"/>
  <c r="AT1605" i="123"/>
  <c r="AU1605" i="123"/>
  <c r="K1606" i="123"/>
  <c r="L1606" i="123"/>
  <c r="M1606" i="123"/>
  <c r="N1606" i="123"/>
  <c r="O1606" i="123"/>
  <c r="P1606" i="123"/>
  <c r="Q1606" i="123"/>
  <c r="R1606" i="123"/>
  <c r="T1606" i="123" s="1"/>
  <c r="S1606" i="123"/>
  <c r="X1606" i="123"/>
  <c r="Y1606" i="123"/>
  <c r="AB1606" i="123"/>
  <c r="AD1606" i="123" s="1"/>
  <c r="AJ1606" i="123"/>
  <c r="AK1606" i="123"/>
  <c r="AL1606" i="123"/>
  <c r="AO1606" i="123"/>
  <c r="AP1606" i="123"/>
  <c r="AT1606" i="123"/>
  <c r="AU1606" i="123"/>
  <c r="K1607" i="123"/>
  <c r="L1607" i="123"/>
  <c r="M1607" i="123"/>
  <c r="N1607" i="123"/>
  <c r="O1607" i="123"/>
  <c r="P1607" i="123"/>
  <c r="Q1607" i="123"/>
  <c r="R1607" i="123"/>
  <c r="T1607" i="123" s="1"/>
  <c r="S1607" i="123"/>
  <c r="X1607" i="123"/>
  <c r="Y1607" i="123"/>
  <c r="Z1607" i="123" s="1"/>
  <c r="AB1607" i="123"/>
  <c r="AJ1607" i="123"/>
  <c r="AK1607" i="123"/>
  <c r="AL1607" i="123"/>
  <c r="AO1607" i="123"/>
  <c r="AP1607" i="123"/>
  <c r="AT1607" i="123"/>
  <c r="AU1607" i="123"/>
  <c r="K1608" i="123"/>
  <c r="L1608" i="123"/>
  <c r="M1608" i="123"/>
  <c r="N1608" i="123"/>
  <c r="O1608" i="123"/>
  <c r="P1608" i="123"/>
  <c r="Q1608" i="123"/>
  <c r="R1608" i="123"/>
  <c r="T1608" i="123" s="1"/>
  <c r="W1608" i="123" s="1"/>
  <c r="S1608" i="123"/>
  <c r="X1608" i="123"/>
  <c r="Y1608" i="123"/>
  <c r="AA1608" i="123" s="1"/>
  <c r="AB1608" i="123"/>
  <c r="AC1608" i="123" s="1"/>
  <c r="AJ1608" i="123"/>
  <c r="AK1608" i="123"/>
  <c r="AL1608" i="123"/>
  <c r="AO1608" i="123"/>
  <c r="AP1608" i="123"/>
  <c r="AQ1608" i="123" s="1"/>
  <c r="AT1608" i="123"/>
  <c r="AU1608" i="123"/>
  <c r="K1609" i="123"/>
  <c r="L1609" i="123"/>
  <c r="M1609" i="123"/>
  <c r="N1609" i="123"/>
  <c r="O1609" i="123"/>
  <c r="P1609" i="123"/>
  <c r="Q1609" i="123"/>
  <c r="R1609" i="123"/>
  <c r="T1609" i="123" s="1"/>
  <c r="W1609" i="123" s="1"/>
  <c r="S1609" i="123"/>
  <c r="X1609" i="123"/>
  <c r="Y1609" i="123"/>
  <c r="AA1609" i="123" s="1"/>
  <c r="AB1609" i="123"/>
  <c r="AD1609" i="123" s="1"/>
  <c r="AJ1609" i="123"/>
  <c r="AK1609" i="123"/>
  <c r="AL1609" i="123"/>
  <c r="AO1609" i="123"/>
  <c r="AP1609" i="123"/>
  <c r="AQ1609" i="123" s="1"/>
  <c r="AT1609" i="123"/>
  <c r="AU1609" i="123"/>
  <c r="K1610" i="123"/>
  <c r="L1610" i="123"/>
  <c r="M1610" i="123"/>
  <c r="N1610" i="123"/>
  <c r="O1610" i="123"/>
  <c r="P1610" i="123"/>
  <c r="Q1610" i="123"/>
  <c r="R1610" i="123"/>
  <c r="T1610" i="123" s="1"/>
  <c r="S1610" i="123"/>
  <c r="X1610" i="123"/>
  <c r="Y1610" i="123"/>
  <c r="AB1610" i="123"/>
  <c r="AD1610" i="123" s="1"/>
  <c r="AJ1610" i="123"/>
  <c r="AK1610" i="123"/>
  <c r="AL1610" i="123"/>
  <c r="AO1610" i="123"/>
  <c r="AP1610" i="123"/>
  <c r="AT1610" i="123"/>
  <c r="AU1610" i="123"/>
  <c r="K1611" i="123"/>
  <c r="L1611" i="123"/>
  <c r="M1611" i="123"/>
  <c r="N1611" i="123"/>
  <c r="O1611" i="123"/>
  <c r="P1611" i="123"/>
  <c r="Q1611" i="123"/>
  <c r="R1611" i="123"/>
  <c r="T1611" i="123" s="1"/>
  <c r="W1611" i="123" s="1"/>
  <c r="S1611" i="123"/>
  <c r="X1611" i="123"/>
  <c r="Y1611" i="123"/>
  <c r="Z1611" i="123" s="1"/>
  <c r="AB1611" i="123"/>
  <c r="AJ1611" i="123"/>
  <c r="AK1611" i="123"/>
  <c r="AL1611" i="123"/>
  <c r="AO1611" i="123"/>
  <c r="AP1611" i="123"/>
  <c r="AQ1611" i="123" s="1"/>
  <c r="AT1611" i="123"/>
  <c r="AU1611" i="123"/>
  <c r="K1612" i="123"/>
  <c r="L1612" i="123"/>
  <c r="M1612" i="123"/>
  <c r="N1612" i="123"/>
  <c r="O1612" i="123"/>
  <c r="P1612" i="123"/>
  <c r="Q1612" i="123"/>
  <c r="R1612" i="123"/>
  <c r="T1612" i="123" s="1"/>
  <c r="V1612" i="123" s="1"/>
  <c r="S1612" i="123"/>
  <c r="X1612" i="123"/>
  <c r="Y1612" i="123"/>
  <c r="Z1612" i="123" s="1"/>
  <c r="AB1612" i="123"/>
  <c r="AD1612" i="123" s="1"/>
  <c r="AJ1612" i="123"/>
  <c r="AK1612" i="123"/>
  <c r="AL1612" i="123"/>
  <c r="AO1612" i="123"/>
  <c r="AP1612" i="123"/>
  <c r="AQ1612" i="123" s="1"/>
  <c r="AT1612" i="123"/>
  <c r="AU1612" i="123"/>
  <c r="K1613" i="123"/>
  <c r="L1613" i="123"/>
  <c r="M1613" i="123"/>
  <c r="N1613" i="123"/>
  <c r="O1613" i="123"/>
  <c r="P1613" i="123"/>
  <c r="Q1613" i="123"/>
  <c r="R1613" i="123"/>
  <c r="T1613" i="123" s="1"/>
  <c r="S1613" i="123"/>
  <c r="X1613" i="123"/>
  <c r="Y1613" i="123"/>
  <c r="AA1613" i="123" s="1"/>
  <c r="AB1613" i="123"/>
  <c r="AC1613" i="123" s="1"/>
  <c r="AJ1613" i="123"/>
  <c r="AK1613" i="123"/>
  <c r="AL1613" i="123"/>
  <c r="AO1613" i="123"/>
  <c r="AP1613" i="123"/>
  <c r="AQ1613" i="123" s="1"/>
  <c r="AT1613" i="123"/>
  <c r="AU1613" i="123"/>
  <c r="K1614" i="123"/>
  <c r="L1614" i="123"/>
  <c r="M1614" i="123"/>
  <c r="N1614" i="123"/>
  <c r="O1614" i="123"/>
  <c r="P1614" i="123"/>
  <c r="Q1614" i="123"/>
  <c r="R1614" i="123"/>
  <c r="T1614" i="123" s="1"/>
  <c r="S1614" i="123"/>
  <c r="X1614" i="123"/>
  <c r="Y1614" i="123"/>
  <c r="Z1614" i="123" s="1"/>
  <c r="AB1614" i="123"/>
  <c r="AD1614" i="123" s="1"/>
  <c r="AJ1614" i="123"/>
  <c r="AK1614" i="123"/>
  <c r="AL1614" i="123"/>
  <c r="AO1614" i="123"/>
  <c r="AP1614" i="123"/>
  <c r="AQ1614" i="123" s="1"/>
  <c r="AT1614" i="123"/>
  <c r="AU1614" i="123"/>
  <c r="K1615" i="123"/>
  <c r="L1615" i="123"/>
  <c r="M1615" i="123"/>
  <c r="N1615" i="123"/>
  <c r="O1615" i="123"/>
  <c r="P1615" i="123"/>
  <c r="Q1615" i="123"/>
  <c r="R1615" i="123"/>
  <c r="T1615" i="123" s="1"/>
  <c r="S1615" i="123"/>
  <c r="X1615" i="123"/>
  <c r="Y1615" i="123"/>
  <c r="AB1615" i="123"/>
  <c r="AD1615" i="123" s="1"/>
  <c r="AJ1615" i="123"/>
  <c r="AK1615" i="123"/>
  <c r="AL1615" i="123"/>
  <c r="AO1615" i="123"/>
  <c r="AP1615" i="123"/>
  <c r="AT1615" i="123"/>
  <c r="AU1615" i="123"/>
  <c r="K1616" i="123"/>
  <c r="L1616" i="123"/>
  <c r="M1616" i="123"/>
  <c r="N1616" i="123"/>
  <c r="O1616" i="123"/>
  <c r="P1616" i="123"/>
  <c r="Q1616" i="123"/>
  <c r="R1616" i="123"/>
  <c r="T1616" i="123" s="1"/>
  <c r="S1616" i="123"/>
  <c r="X1616" i="123"/>
  <c r="Y1616" i="123"/>
  <c r="Z1616" i="123" s="1"/>
  <c r="AB1616" i="123"/>
  <c r="AJ1616" i="123"/>
  <c r="AK1616" i="123"/>
  <c r="AL1616" i="123"/>
  <c r="AO1616" i="123"/>
  <c r="AP1616" i="123"/>
  <c r="AT1616" i="123"/>
  <c r="AU1616" i="123"/>
  <c r="K1617" i="123"/>
  <c r="L1617" i="123"/>
  <c r="M1617" i="123"/>
  <c r="N1617" i="123"/>
  <c r="O1617" i="123"/>
  <c r="P1617" i="123"/>
  <c r="Q1617" i="123"/>
  <c r="R1617" i="123"/>
  <c r="T1617" i="123" s="1"/>
  <c r="S1617" i="123"/>
  <c r="X1617" i="123"/>
  <c r="Y1617" i="123"/>
  <c r="AB1617" i="123"/>
  <c r="AD1617" i="123" s="1"/>
  <c r="AJ1617" i="123"/>
  <c r="AK1617" i="123"/>
  <c r="AL1617" i="123"/>
  <c r="AO1617" i="123"/>
  <c r="AP1617" i="123"/>
  <c r="AQ1617" i="123" s="1"/>
  <c r="AT1617" i="123"/>
  <c r="AU1617" i="123"/>
  <c r="K1618" i="123"/>
  <c r="L1618" i="123"/>
  <c r="M1618" i="123"/>
  <c r="N1618" i="123"/>
  <c r="O1618" i="123"/>
  <c r="P1618" i="123"/>
  <c r="Q1618" i="123"/>
  <c r="R1618" i="123"/>
  <c r="T1618" i="123" s="1"/>
  <c r="S1618" i="123"/>
  <c r="X1618" i="123"/>
  <c r="Y1618" i="123"/>
  <c r="AA1618" i="123" s="1"/>
  <c r="AB1618" i="123"/>
  <c r="AC1618" i="123" s="1"/>
  <c r="AJ1618" i="123"/>
  <c r="AK1618" i="123"/>
  <c r="AL1618" i="123"/>
  <c r="AO1618" i="123"/>
  <c r="AP1618" i="123"/>
  <c r="AQ1618" i="123" s="1"/>
  <c r="AT1618" i="123"/>
  <c r="AU1618" i="123"/>
  <c r="K1619" i="123"/>
  <c r="L1619" i="123"/>
  <c r="M1619" i="123"/>
  <c r="N1619" i="123"/>
  <c r="O1619" i="123"/>
  <c r="P1619" i="123"/>
  <c r="Q1619" i="123"/>
  <c r="R1619" i="123"/>
  <c r="T1619" i="123" s="1"/>
  <c r="S1619" i="123"/>
  <c r="X1619" i="123"/>
  <c r="Y1619" i="123"/>
  <c r="AB1619" i="123"/>
  <c r="AD1619" i="123" s="1"/>
  <c r="AJ1619" i="123"/>
  <c r="AK1619" i="123"/>
  <c r="AL1619" i="123"/>
  <c r="AO1619" i="123"/>
  <c r="AP1619" i="123"/>
  <c r="AT1619" i="123"/>
  <c r="AU1619" i="123"/>
  <c r="K1620" i="123"/>
  <c r="L1620" i="123"/>
  <c r="M1620" i="123"/>
  <c r="N1620" i="123"/>
  <c r="O1620" i="123"/>
  <c r="P1620" i="123"/>
  <c r="Q1620" i="123"/>
  <c r="R1620" i="123"/>
  <c r="T1620" i="123" s="1"/>
  <c r="S1620" i="123"/>
  <c r="X1620" i="123"/>
  <c r="Y1620" i="123"/>
  <c r="AA1620" i="123" s="1"/>
  <c r="AB1620" i="123"/>
  <c r="AJ1620" i="123"/>
  <c r="AK1620" i="123"/>
  <c r="AL1620" i="123"/>
  <c r="AO1620" i="123"/>
  <c r="AP1620" i="123"/>
  <c r="AT1620" i="123"/>
  <c r="AU1620" i="123"/>
  <c r="K1621" i="123"/>
  <c r="L1621" i="123"/>
  <c r="M1621" i="123"/>
  <c r="N1621" i="123"/>
  <c r="O1621" i="123"/>
  <c r="P1621" i="123"/>
  <c r="Q1621" i="123"/>
  <c r="R1621" i="123"/>
  <c r="T1621" i="123" s="1"/>
  <c r="W1621" i="123" s="1"/>
  <c r="S1621" i="123"/>
  <c r="X1621" i="123"/>
  <c r="Y1621" i="123"/>
  <c r="Z1621" i="123" s="1"/>
  <c r="AB1621" i="123"/>
  <c r="AC1621" i="123" s="1"/>
  <c r="AJ1621" i="123"/>
  <c r="AK1621" i="123"/>
  <c r="AL1621" i="123"/>
  <c r="AO1621" i="123"/>
  <c r="AP1621" i="123"/>
  <c r="AT1621" i="123"/>
  <c r="AU1621" i="123"/>
  <c r="K1622" i="123"/>
  <c r="L1622" i="123"/>
  <c r="M1622" i="123"/>
  <c r="N1622" i="123"/>
  <c r="O1622" i="123"/>
  <c r="P1622" i="123"/>
  <c r="Q1622" i="123"/>
  <c r="R1622" i="123"/>
  <c r="T1622" i="123" s="1"/>
  <c r="V1622" i="123" s="1"/>
  <c r="S1622" i="123"/>
  <c r="X1622" i="123"/>
  <c r="Y1622" i="123"/>
  <c r="AA1622" i="123" s="1"/>
  <c r="AB1622" i="123"/>
  <c r="AJ1622" i="123"/>
  <c r="AK1622" i="123"/>
  <c r="AL1622" i="123"/>
  <c r="AO1622" i="123"/>
  <c r="AP1622" i="123"/>
  <c r="AQ1622" i="123" s="1"/>
  <c r="AT1622" i="123"/>
  <c r="AU1622" i="123"/>
  <c r="K1623" i="123"/>
  <c r="L1623" i="123"/>
  <c r="M1623" i="123"/>
  <c r="N1623" i="123"/>
  <c r="O1623" i="123"/>
  <c r="P1623" i="123"/>
  <c r="Q1623" i="123"/>
  <c r="R1623" i="123"/>
  <c r="T1623" i="123" s="1"/>
  <c r="S1623" i="123"/>
  <c r="X1623" i="123"/>
  <c r="Y1623" i="123"/>
  <c r="AB1623" i="123"/>
  <c r="AD1623" i="123" s="1"/>
  <c r="AJ1623" i="123"/>
  <c r="AK1623" i="123"/>
  <c r="AL1623" i="123"/>
  <c r="AO1623" i="123"/>
  <c r="AP1623" i="123"/>
  <c r="AT1623" i="123"/>
  <c r="AU1623" i="123"/>
  <c r="K1624" i="123"/>
  <c r="L1624" i="123"/>
  <c r="M1624" i="123"/>
  <c r="N1624" i="123"/>
  <c r="O1624" i="123"/>
  <c r="P1624" i="123"/>
  <c r="Q1624" i="123"/>
  <c r="R1624" i="123"/>
  <c r="T1624" i="123" s="1"/>
  <c r="S1624" i="123"/>
  <c r="X1624" i="123"/>
  <c r="Y1624" i="123"/>
  <c r="AA1624" i="123" s="1"/>
  <c r="AB1624" i="123"/>
  <c r="AJ1624" i="123"/>
  <c r="AK1624" i="123"/>
  <c r="AL1624" i="123"/>
  <c r="AO1624" i="123"/>
  <c r="AP1624" i="123"/>
  <c r="AT1624" i="123"/>
  <c r="AU1624" i="123"/>
  <c r="K1625" i="123"/>
  <c r="L1625" i="123"/>
  <c r="M1625" i="123"/>
  <c r="N1625" i="123"/>
  <c r="O1625" i="123"/>
  <c r="P1625" i="123"/>
  <c r="Q1625" i="123"/>
  <c r="R1625" i="123"/>
  <c r="T1625" i="123" s="1"/>
  <c r="S1625" i="123"/>
  <c r="X1625" i="123"/>
  <c r="Y1625" i="123"/>
  <c r="Z1625" i="123" s="1"/>
  <c r="AB1625" i="123"/>
  <c r="AC1625" i="123" s="1"/>
  <c r="AJ1625" i="123"/>
  <c r="AK1625" i="123"/>
  <c r="AL1625" i="123"/>
  <c r="AO1625" i="123"/>
  <c r="AP1625" i="123"/>
  <c r="AQ1625" i="123" s="1"/>
  <c r="AT1625" i="123"/>
  <c r="AU1625" i="123"/>
  <c r="K1626" i="123"/>
  <c r="L1626" i="123"/>
  <c r="M1626" i="123"/>
  <c r="N1626" i="123"/>
  <c r="O1626" i="123"/>
  <c r="P1626" i="123"/>
  <c r="Q1626" i="123"/>
  <c r="R1626" i="123"/>
  <c r="T1626" i="123" s="1"/>
  <c r="S1626" i="123"/>
  <c r="X1626" i="123"/>
  <c r="Y1626" i="123"/>
  <c r="AA1626" i="123" s="1"/>
  <c r="AB1626" i="123"/>
  <c r="AC1626" i="123" s="1"/>
  <c r="AJ1626" i="123"/>
  <c r="AK1626" i="123"/>
  <c r="AL1626" i="123"/>
  <c r="AO1626" i="123"/>
  <c r="AP1626" i="123"/>
  <c r="AQ1626" i="123" s="1"/>
  <c r="AT1626" i="123"/>
  <c r="AU1626" i="123"/>
  <c r="K1627" i="123"/>
  <c r="L1627" i="123"/>
  <c r="M1627" i="123"/>
  <c r="N1627" i="123"/>
  <c r="O1627" i="123"/>
  <c r="P1627" i="123"/>
  <c r="Q1627" i="123"/>
  <c r="R1627" i="123"/>
  <c r="T1627" i="123" s="1"/>
  <c r="S1627" i="123"/>
  <c r="X1627" i="123"/>
  <c r="Y1627" i="123"/>
  <c r="AB1627" i="123"/>
  <c r="AD1627" i="123" s="1"/>
  <c r="AJ1627" i="123"/>
  <c r="AK1627" i="123"/>
  <c r="AL1627" i="123"/>
  <c r="AO1627" i="123"/>
  <c r="AP1627" i="123"/>
  <c r="AT1627" i="123"/>
  <c r="AU1627" i="123"/>
  <c r="K1628" i="123"/>
  <c r="L1628" i="123"/>
  <c r="M1628" i="123"/>
  <c r="N1628" i="123"/>
  <c r="O1628" i="123"/>
  <c r="P1628" i="123"/>
  <c r="Q1628" i="123"/>
  <c r="R1628" i="123"/>
  <c r="T1628" i="123" s="1"/>
  <c r="W1628" i="123" s="1"/>
  <c r="S1628" i="123"/>
  <c r="X1628" i="123"/>
  <c r="Y1628" i="123"/>
  <c r="Z1628" i="123" s="1"/>
  <c r="AB1628" i="123"/>
  <c r="AJ1628" i="123"/>
  <c r="AK1628" i="123"/>
  <c r="AL1628" i="123"/>
  <c r="AO1628" i="123"/>
  <c r="AP1628" i="123"/>
  <c r="AT1628" i="123"/>
  <c r="AU1628" i="123"/>
  <c r="K1629" i="123"/>
  <c r="L1629" i="123"/>
  <c r="M1629" i="123"/>
  <c r="N1629" i="123"/>
  <c r="O1629" i="123"/>
  <c r="P1629" i="123"/>
  <c r="Q1629" i="123"/>
  <c r="R1629" i="123"/>
  <c r="T1629" i="123" s="1"/>
  <c r="S1629" i="123"/>
  <c r="X1629" i="123"/>
  <c r="Y1629" i="123"/>
  <c r="AA1629" i="123" s="1"/>
  <c r="AB1629" i="123"/>
  <c r="AC1629" i="123" s="1"/>
  <c r="AJ1629" i="123"/>
  <c r="AK1629" i="123"/>
  <c r="AL1629" i="123"/>
  <c r="AO1629" i="123"/>
  <c r="AP1629" i="123"/>
  <c r="AQ1629" i="123" s="1"/>
  <c r="AT1629" i="123"/>
  <c r="AU1629" i="123"/>
  <c r="K1630" i="123"/>
  <c r="L1630" i="123"/>
  <c r="M1630" i="123"/>
  <c r="N1630" i="123"/>
  <c r="O1630" i="123"/>
  <c r="P1630" i="123"/>
  <c r="Q1630" i="123"/>
  <c r="R1630" i="123"/>
  <c r="T1630" i="123" s="1"/>
  <c r="W1630" i="123" s="1"/>
  <c r="S1630" i="123"/>
  <c r="X1630" i="123"/>
  <c r="Y1630" i="123"/>
  <c r="AA1630" i="123" s="1"/>
  <c r="AB1630" i="123"/>
  <c r="AD1630" i="123" s="1"/>
  <c r="AJ1630" i="123"/>
  <c r="AK1630" i="123"/>
  <c r="AL1630" i="123"/>
  <c r="AO1630" i="123"/>
  <c r="AP1630" i="123"/>
  <c r="AQ1630" i="123" s="1"/>
  <c r="AT1630" i="123"/>
  <c r="AU1630" i="123"/>
  <c r="K1631" i="123"/>
  <c r="L1631" i="123"/>
  <c r="M1631" i="123"/>
  <c r="N1631" i="123"/>
  <c r="O1631" i="123"/>
  <c r="P1631" i="123"/>
  <c r="Q1631" i="123"/>
  <c r="R1631" i="123"/>
  <c r="T1631" i="123" s="1"/>
  <c r="S1631" i="123"/>
  <c r="X1631" i="123"/>
  <c r="Y1631" i="123"/>
  <c r="AB1631" i="123"/>
  <c r="AD1631" i="123" s="1"/>
  <c r="AJ1631" i="123"/>
  <c r="AK1631" i="123"/>
  <c r="AL1631" i="123"/>
  <c r="AO1631" i="123"/>
  <c r="AP1631" i="123"/>
  <c r="AT1631" i="123"/>
  <c r="AU1631" i="123"/>
  <c r="K1632" i="123"/>
  <c r="L1632" i="123"/>
  <c r="M1632" i="123"/>
  <c r="N1632" i="123"/>
  <c r="O1632" i="123"/>
  <c r="P1632" i="123"/>
  <c r="Q1632" i="123"/>
  <c r="R1632" i="123"/>
  <c r="T1632" i="123" s="1"/>
  <c r="S1632" i="123"/>
  <c r="X1632" i="123"/>
  <c r="Y1632" i="123"/>
  <c r="Z1632" i="123" s="1"/>
  <c r="AB1632" i="123"/>
  <c r="AJ1632" i="123"/>
  <c r="AK1632" i="123"/>
  <c r="AL1632" i="123"/>
  <c r="AO1632" i="123"/>
  <c r="AP1632" i="123"/>
  <c r="AT1632" i="123"/>
  <c r="AU1632" i="123"/>
  <c r="K1633" i="123"/>
  <c r="L1633" i="123"/>
  <c r="M1633" i="123"/>
  <c r="N1633" i="123"/>
  <c r="O1633" i="123"/>
  <c r="P1633" i="123"/>
  <c r="Q1633" i="123"/>
  <c r="R1633" i="123"/>
  <c r="T1633" i="123" s="1"/>
  <c r="S1633" i="123"/>
  <c r="X1633" i="123"/>
  <c r="Y1633" i="123"/>
  <c r="AA1633" i="123" s="1"/>
  <c r="AB1633" i="123"/>
  <c r="AC1633" i="123" s="1"/>
  <c r="AJ1633" i="123"/>
  <c r="AK1633" i="123"/>
  <c r="AL1633" i="123"/>
  <c r="AO1633" i="123"/>
  <c r="AP1633" i="123"/>
  <c r="AQ1633" i="123" s="1"/>
  <c r="AT1633" i="123"/>
  <c r="AU1633" i="123"/>
  <c r="K1634" i="123"/>
  <c r="L1634" i="123"/>
  <c r="M1634" i="123"/>
  <c r="N1634" i="123"/>
  <c r="O1634" i="123"/>
  <c r="P1634" i="123"/>
  <c r="Q1634" i="123"/>
  <c r="R1634" i="123"/>
  <c r="T1634" i="123" s="1"/>
  <c r="W1634" i="123" s="1"/>
  <c r="S1634" i="123"/>
  <c r="X1634" i="123"/>
  <c r="Y1634" i="123"/>
  <c r="AA1634" i="123" s="1"/>
  <c r="AB1634" i="123"/>
  <c r="AC1634" i="123" s="1"/>
  <c r="AJ1634" i="123"/>
  <c r="AK1634" i="123"/>
  <c r="AL1634" i="123"/>
  <c r="AO1634" i="123"/>
  <c r="AP1634" i="123"/>
  <c r="AQ1634" i="123" s="1"/>
  <c r="AT1634" i="123"/>
  <c r="AU1634" i="123"/>
  <c r="K1635" i="123"/>
  <c r="L1635" i="123"/>
  <c r="M1635" i="123"/>
  <c r="N1635" i="123"/>
  <c r="O1635" i="123"/>
  <c r="P1635" i="123"/>
  <c r="Q1635" i="123"/>
  <c r="R1635" i="123"/>
  <c r="T1635" i="123" s="1"/>
  <c r="S1635" i="123"/>
  <c r="X1635" i="123"/>
  <c r="Y1635" i="123"/>
  <c r="AB1635" i="123"/>
  <c r="AD1635" i="123" s="1"/>
  <c r="AJ1635" i="123"/>
  <c r="AK1635" i="123"/>
  <c r="AL1635" i="123"/>
  <c r="AO1635" i="123"/>
  <c r="AP1635" i="123"/>
  <c r="AT1635" i="123"/>
  <c r="AU1635" i="123"/>
  <c r="K1636" i="123"/>
  <c r="L1636" i="123"/>
  <c r="M1636" i="123"/>
  <c r="N1636" i="123"/>
  <c r="O1636" i="123"/>
  <c r="P1636" i="123"/>
  <c r="Q1636" i="123"/>
  <c r="R1636" i="123"/>
  <c r="T1636" i="123" s="1"/>
  <c r="W1636" i="123" s="1"/>
  <c r="S1636" i="123"/>
  <c r="X1636" i="123"/>
  <c r="Y1636" i="123"/>
  <c r="Z1636" i="123" s="1"/>
  <c r="AB1636" i="123"/>
  <c r="AJ1636" i="123"/>
  <c r="AK1636" i="123"/>
  <c r="AL1636" i="123"/>
  <c r="AO1636" i="123"/>
  <c r="AP1636" i="123"/>
  <c r="AT1636" i="123"/>
  <c r="AU1636" i="123"/>
  <c r="K1637" i="123"/>
  <c r="L1637" i="123"/>
  <c r="M1637" i="123"/>
  <c r="N1637" i="123"/>
  <c r="O1637" i="123"/>
  <c r="P1637" i="123"/>
  <c r="Q1637" i="123"/>
  <c r="R1637" i="123"/>
  <c r="T1637" i="123" s="1"/>
  <c r="V1637" i="123" s="1"/>
  <c r="S1637" i="123"/>
  <c r="X1637" i="123"/>
  <c r="Y1637" i="123"/>
  <c r="Z1637" i="123" s="1"/>
  <c r="AB1637" i="123"/>
  <c r="AC1637" i="123" s="1"/>
  <c r="AJ1637" i="123"/>
  <c r="AK1637" i="123"/>
  <c r="AL1637" i="123"/>
  <c r="AO1637" i="123"/>
  <c r="AP1637" i="123"/>
  <c r="AQ1637" i="123" s="1"/>
  <c r="AT1637" i="123"/>
  <c r="AU1637" i="123"/>
  <c r="K1638" i="123"/>
  <c r="L1638" i="123"/>
  <c r="M1638" i="123"/>
  <c r="N1638" i="123"/>
  <c r="O1638" i="123"/>
  <c r="P1638" i="123"/>
  <c r="Q1638" i="123"/>
  <c r="R1638" i="123"/>
  <c r="T1638" i="123" s="1"/>
  <c r="W1638" i="123" s="1"/>
  <c r="S1638" i="123"/>
  <c r="X1638" i="123"/>
  <c r="Y1638" i="123"/>
  <c r="Z1638" i="123" s="1"/>
  <c r="AB1638" i="123"/>
  <c r="AC1638" i="123" s="1"/>
  <c r="AJ1638" i="123"/>
  <c r="AK1638" i="123"/>
  <c r="AL1638" i="123"/>
  <c r="AO1638" i="123"/>
  <c r="AP1638" i="123"/>
  <c r="AQ1638" i="123" s="1"/>
  <c r="AT1638" i="123"/>
  <c r="AU1638" i="123"/>
  <c r="K1639" i="123"/>
  <c r="L1639" i="123"/>
  <c r="M1639" i="123"/>
  <c r="N1639" i="123"/>
  <c r="O1639" i="123"/>
  <c r="P1639" i="123"/>
  <c r="Q1639" i="123"/>
  <c r="R1639" i="123"/>
  <c r="T1639" i="123" s="1"/>
  <c r="S1639" i="123"/>
  <c r="X1639" i="123"/>
  <c r="Y1639" i="123"/>
  <c r="Z1639" i="123" s="1"/>
  <c r="AB1639" i="123"/>
  <c r="AC1639" i="123" s="1"/>
  <c r="AJ1639" i="123"/>
  <c r="AK1639" i="123"/>
  <c r="AL1639" i="123"/>
  <c r="AO1639" i="123"/>
  <c r="AP1639" i="123"/>
  <c r="AQ1639" i="123" s="1"/>
  <c r="AT1639" i="123"/>
  <c r="AU1639" i="123"/>
  <c r="K1640" i="123"/>
  <c r="L1640" i="123"/>
  <c r="M1640" i="123"/>
  <c r="N1640" i="123"/>
  <c r="O1640" i="123"/>
  <c r="P1640" i="123"/>
  <c r="Q1640" i="123"/>
  <c r="R1640" i="123"/>
  <c r="T1640" i="123" s="1"/>
  <c r="S1640" i="123"/>
  <c r="X1640" i="123"/>
  <c r="Y1640" i="123"/>
  <c r="AA1640" i="123" s="1"/>
  <c r="AB1640" i="123"/>
  <c r="AC1640" i="123" s="1"/>
  <c r="AJ1640" i="123"/>
  <c r="AK1640" i="123"/>
  <c r="AL1640" i="123"/>
  <c r="AO1640" i="123"/>
  <c r="AP1640" i="123"/>
  <c r="AQ1640" i="123" s="1"/>
  <c r="AT1640" i="123"/>
  <c r="AU1640" i="123"/>
  <c r="K1641" i="123"/>
  <c r="L1641" i="123"/>
  <c r="M1641" i="123"/>
  <c r="N1641" i="123"/>
  <c r="O1641" i="123"/>
  <c r="P1641" i="123"/>
  <c r="Q1641" i="123"/>
  <c r="R1641" i="123"/>
  <c r="T1641" i="123" s="1"/>
  <c r="S1641" i="123"/>
  <c r="X1641" i="123"/>
  <c r="Y1641" i="123"/>
  <c r="Z1641" i="123" s="1"/>
  <c r="AB1641" i="123"/>
  <c r="AD1641" i="123" s="1"/>
  <c r="AJ1641" i="123"/>
  <c r="AK1641" i="123"/>
  <c r="AL1641" i="123"/>
  <c r="AO1641" i="123"/>
  <c r="AP1641" i="123"/>
  <c r="AQ1641" i="123" s="1"/>
  <c r="AT1641" i="123"/>
  <c r="AU1641" i="123"/>
  <c r="K1642" i="123"/>
  <c r="L1642" i="123"/>
  <c r="M1642" i="123"/>
  <c r="N1642" i="123"/>
  <c r="O1642" i="123"/>
  <c r="P1642" i="123"/>
  <c r="Q1642" i="123"/>
  <c r="R1642" i="123"/>
  <c r="T1642" i="123" s="1"/>
  <c r="S1642" i="123"/>
  <c r="X1642" i="123"/>
  <c r="Y1642" i="123"/>
  <c r="AA1642" i="123" s="1"/>
  <c r="AB1642" i="123"/>
  <c r="AC1642" i="123" s="1"/>
  <c r="AJ1642" i="123"/>
  <c r="AK1642" i="123"/>
  <c r="AL1642" i="123"/>
  <c r="AO1642" i="123"/>
  <c r="AP1642" i="123"/>
  <c r="AQ1642" i="123" s="1"/>
  <c r="AT1642" i="123"/>
  <c r="AU1642" i="123"/>
  <c r="K1643" i="123"/>
  <c r="L1643" i="123"/>
  <c r="M1643" i="123"/>
  <c r="N1643" i="123"/>
  <c r="O1643" i="123"/>
  <c r="P1643" i="123"/>
  <c r="Q1643" i="123"/>
  <c r="R1643" i="123"/>
  <c r="T1643" i="123" s="1"/>
  <c r="V1643" i="123" s="1"/>
  <c r="S1643" i="123"/>
  <c r="X1643" i="123"/>
  <c r="Y1643" i="123"/>
  <c r="Z1643" i="123" s="1"/>
  <c r="AB1643" i="123"/>
  <c r="AD1643" i="123" s="1"/>
  <c r="AJ1643" i="123"/>
  <c r="AK1643" i="123"/>
  <c r="AL1643" i="123"/>
  <c r="AO1643" i="123"/>
  <c r="AP1643" i="123"/>
  <c r="AQ1643" i="123" s="1"/>
  <c r="AT1643" i="123"/>
  <c r="AU1643" i="123"/>
  <c r="K1644" i="123"/>
  <c r="L1644" i="123"/>
  <c r="M1644" i="123"/>
  <c r="N1644" i="123"/>
  <c r="O1644" i="123"/>
  <c r="P1644" i="123"/>
  <c r="Q1644" i="123"/>
  <c r="R1644" i="123"/>
  <c r="T1644" i="123" s="1"/>
  <c r="S1644" i="123"/>
  <c r="X1644" i="123"/>
  <c r="Y1644" i="123"/>
  <c r="AB1644" i="123"/>
  <c r="AD1644" i="123" s="1"/>
  <c r="AJ1644" i="123"/>
  <c r="AK1644" i="123"/>
  <c r="AL1644" i="123"/>
  <c r="AO1644" i="123"/>
  <c r="AP1644" i="123"/>
  <c r="AQ1644" i="123" s="1"/>
  <c r="AT1644" i="123"/>
  <c r="AU1644" i="123"/>
  <c r="K1645" i="123"/>
  <c r="L1645" i="123"/>
  <c r="M1645" i="123"/>
  <c r="N1645" i="123"/>
  <c r="O1645" i="123"/>
  <c r="P1645" i="123"/>
  <c r="Q1645" i="123"/>
  <c r="R1645" i="123"/>
  <c r="T1645" i="123" s="1"/>
  <c r="S1645" i="123"/>
  <c r="X1645" i="123"/>
  <c r="Y1645" i="123"/>
  <c r="Z1645" i="123" s="1"/>
  <c r="AB1645" i="123"/>
  <c r="AJ1645" i="123"/>
  <c r="AK1645" i="123"/>
  <c r="AL1645" i="123"/>
  <c r="AO1645" i="123"/>
  <c r="AP1645" i="123"/>
  <c r="AT1645" i="123"/>
  <c r="AU1645" i="123"/>
  <c r="K1646" i="123"/>
  <c r="L1646" i="123"/>
  <c r="M1646" i="123"/>
  <c r="N1646" i="123"/>
  <c r="O1646" i="123"/>
  <c r="P1646" i="123"/>
  <c r="Q1646" i="123"/>
  <c r="R1646" i="123"/>
  <c r="T1646" i="123" s="1"/>
  <c r="S1646" i="123"/>
  <c r="X1646" i="123"/>
  <c r="Y1646" i="123"/>
  <c r="Z1646" i="123" s="1"/>
  <c r="AB1646" i="123"/>
  <c r="AC1646" i="123" s="1"/>
  <c r="AJ1646" i="123"/>
  <c r="AK1646" i="123"/>
  <c r="AL1646" i="123"/>
  <c r="AO1646" i="123"/>
  <c r="AP1646" i="123"/>
  <c r="AT1646" i="123"/>
  <c r="AU1646" i="123"/>
  <c r="K1647" i="123"/>
  <c r="L1647" i="123"/>
  <c r="M1647" i="123"/>
  <c r="N1647" i="123"/>
  <c r="O1647" i="123"/>
  <c r="P1647" i="123"/>
  <c r="Q1647" i="123"/>
  <c r="R1647" i="123"/>
  <c r="T1647" i="123" s="1"/>
  <c r="V1647" i="123" s="1"/>
  <c r="S1647" i="123"/>
  <c r="X1647" i="123"/>
  <c r="Y1647" i="123"/>
  <c r="Z1647" i="123" s="1"/>
  <c r="AB1647" i="123"/>
  <c r="AD1647" i="123" s="1"/>
  <c r="AJ1647" i="123"/>
  <c r="AK1647" i="123"/>
  <c r="AL1647" i="123"/>
  <c r="AO1647" i="123"/>
  <c r="AP1647" i="123"/>
  <c r="AQ1647" i="123" s="1"/>
  <c r="AT1647" i="123"/>
  <c r="AU1647" i="123"/>
  <c r="K1648" i="123"/>
  <c r="L1648" i="123"/>
  <c r="M1648" i="123"/>
  <c r="N1648" i="123"/>
  <c r="O1648" i="123"/>
  <c r="P1648" i="123"/>
  <c r="Q1648" i="123"/>
  <c r="R1648" i="123"/>
  <c r="T1648" i="123" s="1"/>
  <c r="S1648" i="123"/>
  <c r="X1648" i="123"/>
  <c r="Y1648" i="123"/>
  <c r="AB1648" i="123"/>
  <c r="AD1648" i="123" s="1"/>
  <c r="AJ1648" i="123"/>
  <c r="AK1648" i="123"/>
  <c r="AL1648" i="123"/>
  <c r="AO1648" i="123"/>
  <c r="AP1648" i="123"/>
  <c r="AQ1648" i="123" s="1"/>
  <c r="AT1648" i="123"/>
  <c r="AU1648" i="123"/>
  <c r="K1649" i="123"/>
  <c r="L1649" i="123"/>
  <c r="M1649" i="123"/>
  <c r="N1649" i="123"/>
  <c r="O1649" i="123"/>
  <c r="P1649" i="123"/>
  <c r="Q1649" i="123"/>
  <c r="R1649" i="123"/>
  <c r="T1649" i="123" s="1"/>
  <c r="S1649" i="123"/>
  <c r="X1649" i="123"/>
  <c r="Y1649" i="123"/>
  <c r="Z1649" i="123" s="1"/>
  <c r="AB1649" i="123"/>
  <c r="AJ1649" i="123"/>
  <c r="AK1649" i="123"/>
  <c r="AL1649" i="123"/>
  <c r="AO1649" i="123"/>
  <c r="AP1649" i="123"/>
  <c r="AT1649" i="123"/>
  <c r="AU1649" i="123"/>
  <c r="K1650" i="123"/>
  <c r="L1650" i="123"/>
  <c r="M1650" i="123"/>
  <c r="N1650" i="123"/>
  <c r="O1650" i="123"/>
  <c r="P1650" i="123"/>
  <c r="Q1650" i="123"/>
  <c r="R1650" i="123"/>
  <c r="T1650" i="123" s="1"/>
  <c r="S1650" i="123"/>
  <c r="X1650" i="123"/>
  <c r="Y1650" i="123"/>
  <c r="Z1650" i="123" s="1"/>
  <c r="AB1650" i="123"/>
  <c r="AC1650" i="123" s="1"/>
  <c r="AJ1650" i="123"/>
  <c r="AK1650" i="123"/>
  <c r="AL1650" i="123"/>
  <c r="AO1650" i="123"/>
  <c r="AP1650" i="123"/>
  <c r="AT1650" i="123"/>
  <c r="AU1650" i="123"/>
  <c r="K1651" i="123"/>
  <c r="L1651" i="123"/>
  <c r="M1651" i="123"/>
  <c r="N1651" i="123"/>
  <c r="O1651" i="123"/>
  <c r="P1651" i="123"/>
  <c r="Q1651" i="123"/>
  <c r="R1651" i="123"/>
  <c r="T1651" i="123" s="1"/>
  <c r="V1651" i="123" s="1"/>
  <c r="S1651" i="123"/>
  <c r="X1651" i="123"/>
  <c r="Y1651" i="123"/>
  <c r="AA1651" i="123" s="1"/>
  <c r="AB1651" i="123"/>
  <c r="AJ1651" i="123"/>
  <c r="AK1651" i="123"/>
  <c r="AL1651" i="123"/>
  <c r="AO1651" i="123"/>
  <c r="AP1651" i="123"/>
  <c r="AQ1651" i="123" s="1"/>
  <c r="AT1651" i="123"/>
  <c r="AU1651" i="123"/>
  <c r="K1652" i="123"/>
  <c r="L1652" i="123"/>
  <c r="M1652" i="123"/>
  <c r="N1652" i="123"/>
  <c r="O1652" i="123"/>
  <c r="P1652" i="123"/>
  <c r="Q1652" i="123"/>
  <c r="R1652" i="123"/>
  <c r="T1652" i="123" s="1"/>
  <c r="S1652" i="123"/>
  <c r="X1652" i="123"/>
  <c r="Y1652" i="123"/>
  <c r="AB1652" i="123"/>
  <c r="AJ1652" i="123"/>
  <c r="AK1652" i="123"/>
  <c r="AL1652" i="123"/>
  <c r="AO1652" i="123"/>
  <c r="AP1652" i="123"/>
  <c r="AQ1652" i="123" s="1"/>
  <c r="AT1652" i="123"/>
  <c r="AU1652" i="123"/>
  <c r="K1653" i="123"/>
  <c r="L1653" i="123"/>
  <c r="M1653" i="123"/>
  <c r="N1653" i="123"/>
  <c r="O1653" i="123"/>
  <c r="P1653" i="123"/>
  <c r="Q1653" i="123"/>
  <c r="R1653" i="123"/>
  <c r="T1653" i="123" s="1"/>
  <c r="S1653" i="123"/>
  <c r="X1653" i="123"/>
  <c r="Y1653" i="123"/>
  <c r="AB1653" i="123"/>
  <c r="AJ1653" i="123"/>
  <c r="AK1653" i="123"/>
  <c r="AL1653" i="123"/>
  <c r="AO1653" i="123"/>
  <c r="AP1653" i="123"/>
  <c r="AT1653" i="123"/>
  <c r="AU1653" i="123"/>
  <c r="K1654" i="123"/>
  <c r="L1654" i="123"/>
  <c r="M1654" i="123"/>
  <c r="N1654" i="123"/>
  <c r="O1654" i="123"/>
  <c r="P1654" i="123"/>
  <c r="Q1654" i="123"/>
  <c r="R1654" i="123"/>
  <c r="T1654" i="123" s="1"/>
  <c r="S1654" i="123"/>
  <c r="X1654" i="123"/>
  <c r="Y1654" i="123"/>
  <c r="AB1654" i="123"/>
  <c r="AC1654" i="123" s="1"/>
  <c r="AJ1654" i="123"/>
  <c r="AK1654" i="123"/>
  <c r="AL1654" i="123"/>
  <c r="AO1654" i="123"/>
  <c r="AP1654" i="123"/>
  <c r="AQ1654" i="123" s="1"/>
  <c r="AT1654" i="123"/>
  <c r="AU1654" i="123"/>
  <c r="K1655" i="123"/>
  <c r="L1655" i="123"/>
  <c r="M1655" i="123"/>
  <c r="N1655" i="123"/>
  <c r="O1655" i="123"/>
  <c r="P1655" i="123"/>
  <c r="Q1655" i="123"/>
  <c r="R1655" i="123"/>
  <c r="T1655" i="123" s="1"/>
  <c r="V1655" i="123" s="1"/>
  <c r="S1655" i="123"/>
  <c r="X1655" i="123"/>
  <c r="Y1655" i="123"/>
  <c r="AA1655" i="123" s="1"/>
  <c r="AB1655" i="123"/>
  <c r="AC1655" i="123" s="1"/>
  <c r="AJ1655" i="123"/>
  <c r="AK1655" i="123"/>
  <c r="AL1655" i="123"/>
  <c r="AO1655" i="123"/>
  <c r="AP1655" i="123"/>
  <c r="AQ1655" i="123" s="1"/>
  <c r="AT1655" i="123"/>
  <c r="AU1655" i="123"/>
  <c r="K1656" i="123"/>
  <c r="L1656" i="123"/>
  <c r="M1656" i="123"/>
  <c r="N1656" i="123"/>
  <c r="O1656" i="123"/>
  <c r="P1656" i="123"/>
  <c r="Q1656" i="123"/>
  <c r="R1656" i="123"/>
  <c r="T1656" i="123" s="1"/>
  <c r="S1656" i="123"/>
  <c r="X1656" i="123"/>
  <c r="Y1656" i="123"/>
  <c r="AB1656" i="123"/>
  <c r="AJ1656" i="123"/>
  <c r="AK1656" i="123"/>
  <c r="AL1656" i="123"/>
  <c r="AO1656" i="123"/>
  <c r="AP1656" i="123"/>
  <c r="AQ1656" i="123" s="1"/>
  <c r="AT1656" i="123"/>
  <c r="AU1656" i="123"/>
  <c r="K1657" i="123"/>
  <c r="L1657" i="123"/>
  <c r="M1657" i="123"/>
  <c r="N1657" i="123"/>
  <c r="O1657" i="123"/>
  <c r="P1657" i="123"/>
  <c r="Q1657" i="123"/>
  <c r="R1657" i="123"/>
  <c r="T1657" i="123" s="1"/>
  <c r="S1657" i="123"/>
  <c r="X1657" i="123"/>
  <c r="Y1657" i="123"/>
  <c r="AB1657" i="123"/>
  <c r="AJ1657" i="123"/>
  <c r="AK1657" i="123"/>
  <c r="AL1657" i="123"/>
  <c r="AO1657" i="123"/>
  <c r="AP1657" i="123"/>
  <c r="AT1657" i="123"/>
  <c r="AU1657" i="123"/>
  <c r="K1658" i="123"/>
  <c r="L1658" i="123"/>
  <c r="M1658" i="123"/>
  <c r="N1658" i="123"/>
  <c r="O1658" i="123"/>
  <c r="P1658" i="123"/>
  <c r="Q1658" i="123"/>
  <c r="R1658" i="123"/>
  <c r="T1658" i="123" s="1"/>
  <c r="S1658" i="123"/>
  <c r="X1658" i="123"/>
  <c r="Y1658" i="123"/>
  <c r="Z1658" i="123" s="1"/>
  <c r="AB1658" i="123"/>
  <c r="AC1658" i="123" s="1"/>
  <c r="AJ1658" i="123"/>
  <c r="AK1658" i="123"/>
  <c r="AL1658" i="123"/>
  <c r="AO1658" i="123"/>
  <c r="AP1658" i="123"/>
  <c r="AT1658" i="123"/>
  <c r="AU1658" i="123"/>
  <c r="K1659" i="123"/>
  <c r="L1659" i="123"/>
  <c r="M1659" i="123"/>
  <c r="N1659" i="123"/>
  <c r="O1659" i="123"/>
  <c r="P1659" i="123"/>
  <c r="Q1659" i="123"/>
  <c r="R1659" i="123"/>
  <c r="T1659" i="123" s="1"/>
  <c r="V1659" i="123" s="1"/>
  <c r="S1659" i="123"/>
  <c r="X1659" i="123"/>
  <c r="Y1659" i="123"/>
  <c r="AA1659" i="123" s="1"/>
  <c r="AB1659" i="123"/>
  <c r="AD1659" i="123" s="1"/>
  <c r="AJ1659" i="123"/>
  <c r="AK1659" i="123"/>
  <c r="AL1659" i="123"/>
  <c r="AO1659" i="123"/>
  <c r="AP1659" i="123"/>
  <c r="AQ1659" i="123" s="1"/>
  <c r="AT1659" i="123"/>
  <c r="AU1659" i="123"/>
  <c r="K1660" i="123"/>
  <c r="L1660" i="123"/>
  <c r="M1660" i="123"/>
  <c r="N1660" i="123"/>
  <c r="O1660" i="123"/>
  <c r="P1660" i="123"/>
  <c r="Q1660" i="123"/>
  <c r="R1660" i="123"/>
  <c r="T1660" i="123" s="1"/>
  <c r="S1660" i="123"/>
  <c r="X1660" i="123"/>
  <c r="Y1660" i="123"/>
  <c r="AB1660" i="123"/>
  <c r="AD1660" i="123" s="1"/>
  <c r="AJ1660" i="123"/>
  <c r="AK1660" i="123"/>
  <c r="AL1660" i="123"/>
  <c r="AO1660" i="123"/>
  <c r="AP1660" i="123"/>
  <c r="AQ1660" i="123" s="1"/>
  <c r="AT1660" i="123"/>
  <c r="AU1660" i="123"/>
  <c r="K1661" i="123"/>
  <c r="L1661" i="123"/>
  <c r="M1661" i="123"/>
  <c r="N1661" i="123"/>
  <c r="O1661" i="123"/>
  <c r="P1661" i="123"/>
  <c r="Q1661" i="123"/>
  <c r="R1661" i="123"/>
  <c r="T1661" i="123" s="1"/>
  <c r="S1661" i="123"/>
  <c r="X1661" i="123"/>
  <c r="Y1661" i="123"/>
  <c r="Z1661" i="123" s="1"/>
  <c r="AB1661" i="123"/>
  <c r="AJ1661" i="123"/>
  <c r="AK1661" i="123"/>
  <c r="AL1661" i="123"/>
  <c r="AO1661" i="123"/>
  <c r="AP1661" i="123"/>
  <c r="AT1661" i="123"/>
  <c r="AU1661" i="123"/>
  <c r="K1662" i="123"/>
  <c r="L1662" i="123"/>
  <c r="M1662" i="123"/>
  <c r="N1662" i="123"/>
  <c r="O1662" i="123"/>
  <c r="P1662" i="123"/>
  <c r="Q1662" i="123"/>
  <c r="R1662" i="123"/>
  <c r="T1662" i="123" s="1"/>
  <c r="S1662" i="123"/>
  <c r="X1662" i="123"/>
  <c r="Y1662" i="123"/>
  <c r="Z1662" i="123" s="1"/>
  <c r="AB1662" i="123"/>
  <c r="AC1662" i="123" s="1"/>
  <c r="AJ1662" i="123"/>
  <c r="AK1662" i="123"/>
  <c r="AL1662" i="123"/>
  <c r="AO1662" i="123"/>
  <c r="AP1662" i="123"/>
  <c r="AQ1662" i="123" s="1"/>
  <c r="AT1662" i="123"/>
  <c r="AU1662" i="123"/>
  <c r="K1663" i="123"/>
  <c r="L1663" i="123"/>
  <c r="M1663" i="123"/>
  <c r="N1663" i="123"/>
  <c r="O1663" i="123"/>
  <c r="P1663" i="123"/>
  <c r="Q1663" i="123"/>
  <c r="R1663" i="123"/>
  <c r="T1663" i="123" s="1"/>
  <c r="V1663" i="123" s="1"/>
  <c r="S1663" i="123"/>
  <c r="X1663" i="123"/>
  <c r="Y1663" i="123"/>
  <c r="AA1663" i="123" s="1"/>
  <c r="AB1663" i="123"/>
  <c r="AD1663" i="123" s="1"/>
  <c r="AJ1663" i="123"/>
  <c r="AK1663" i="123"/>
  <c r="AL1663" i="123"/>
  <c r="AO1663" i="123"/>
  <c r="AP1663" i="123"/>
  <c r="AQ1663" i="123" s="1"/>
  <c r="AT1663" i="123"/>
  <c r="AU1663" i="123"/>
  <c r="K1664" i="123"/>
  <c r="L1664" i="123"/>
  <c r="M1664" i="123"/>
  <c r="N1664" i="123"/>
  <c r="O1664" i="123"/>
  <c r="P1664" i="123"/>
  <c r="Q1664" i="123"/>
  <c r="R1664" i="123"/>
  <c r="T1664" i="123" s="1"/>
  <c r="S1664" i="123"/>
  <c r="X1664" i="123"/>
  <c r="Y1664" i="123"/>
  <c r="AB1664" i="123"/>
  <c r="AD1664" i="123" s="1"/>
  <c r="AJ1664" i="123"/>
  <c r="AK1664" i="123"/>
  <c r="AL1664" i="123"/>
  <c r="AO1664" i="123"/>
  <c r="AP1664" i="123"/>
  <c r="AQ1664" i="123" s="1"/>
  <c r="AT1664" i="123"/>
  <c r="AU1664" i="123"/>
  <c r="K1665" i="123"/>
  <c r="L1665" i="123"/>
  <c r="M1665" i="123"/>
  <c r="N1665" i="123"/>
  <c r="O1665" i="123"/>
  <c r="P1665" i="123"/>
  <c r="Q1665" i="123"/>
  <c r="R1665" i="123"/>
  <c r="T1665" i="123" s="1"/>
  <c r="S1665" i="123"/>
  <c r="X1665" i="123"/>
  <c r="Y1665" i="123"/>
  <c r="Z1665" i="123" s="1"/>
  <c r="AB1665" i="123"/>
  <c r="AJ1665" i="123"/>
  <c r="AK1665" i="123"/>
  <c r="AL1665" i="123"/>
  <c r="AO1665" i="123"/>
  <c r="AP1665" i="123"/>
  <c r="AT1665" i="123"/>
  <c r="AU1665" i="123"/>
  <c r="K1666" i="123"/>
  <c r="L1666" i="123"/>
  <c r="M1666" i="123"/>
  <c r="N1666" i="123"/>
  <c r="O1666" i="123"/>
  <c r="P1666" i="123"/>
  <c r="Q1666" i="123"/>
  <c r="R1666" i="123"/>
  <c r="T1666" i="123" s="1"/>
  <c r="S1666" i="123"/>
  <c r="X1666" i="123"/>
  <c r="Y1666" i="123"/>
  <c r="Z1666" i="123" s="1"/>
  <c r="AB1666" i="123"/>
  <c r="AC1666" i="123" s="1"/>
  <c r="AJ1666" i="123"/>
  <c r="AK1666" i="123"/>
  <c r="AL1666" i="123"/>
  <c r="AO1666" i="123"/>
  <c r="AP1666" i="123"/>
  <c r="AQ1666" i="123" s="1"/>
  <c r="AT1666" i="123"/>
  <c r="AU1666" i="123"/>
  <c r="K1667" i="123"/>
  <c r="L1667" i="123"/>
  <c r="M1667" i="123"/>
  <c r="N1667" i="123"/>
  <c r="O1667" i="123"/>
  <c r="P1667" i="123"/>
  <c r="Q1667" i="123"/>
  <c r="R1667" i="123"/>
  <c r="T1667" i="123" s="1"/>
  <c r="S1667" i="123"/>
  <c r="X1667" i="123"/>
  <c r="Y1667" i="123"/>
  <c r="AA1667" i="123" s="1"/>
  <c r="AB1667" i="123"/>
  <c r="AC1667" i="123" s="1"/>
  <c r="AJ1667" i="123"/>
  <c r="AK1667" i="123"/>
  <c r="AL1667" i="123"/>
  <c r="AO1667" i="123"/>
  <c r="AP1667" i="123"/>
  <c r="AQ1667" i="123" s="1"/>
  <c r="AT1667" i="123"/>
  <c r="AU1667" i="123"/>
  <c r="K1668" i="123"/>
  <c r="L1668" i="123"/>
  <c r="M1668" i="123"/>
  <c r="N1668" i="123"/>
  <c r="O1668" i="123"/>
  <c r="P1668" i="123"/>
  <c r="Q1668" i="123"/>
  <c r="R1668" i="123"/>
  <c r="T1668" i="123" s="1"/>
  <c r="V1668" i="123" s="1"/>
  <c r="S1668" i="123"/>
  <c r="X1668" i="123"/>
  <c r="Y1668" i="123"/>
  <c r="AB1668" i="123"/>
  <c r="AD1668" i="123" s="1"/>
  <c r="AJ1668" i="123"/>
  <c r="AK1668" i="123"/>
  <c r="AL1668" i="123"/>
  <c r="AO1668" i="123"/>
  <c r="AP1668" i="123"/>
  <c r="AQ1668" i="123" s="1"/>
  <c r="AT1668" i="123"/>
  <c r="AU1668" i="123"/>
  <c r="K1669" i="123"/>
  <c r="L1669" i="123"/>
  <c r="M1669" i="123"/>
  <c r="N1669" i="123"/>
  <c r="O1669" i="123"/>
  <c r="P1669" i="123"/>
  <c r="Q1669" i="123"/>
  <c r="R1669" i="123"/>
  <c r="T1669" i="123" s="1"/>
  <c r="S1669" i="123"/>
  <c r="X1669" i="123"/>
  <c r="Y1669" i="123"/>
  <c r="Z1669" i="123" s="1"/>
  <c r="AB1669" i="123"/>
  <c r="AJ1669" i="123"/>
  <c r="AK1669" i="123"/>
  <c r="AL1669" i="123"/>
  <c r="AO1669" i="123"/>
  <c r="AP1669" i="123"/>
  <c r="AT1669" i="123"/>
  <c r="AU1669" i="123"/>
  <c r="K1670" i="123"/>
  <c r="L1670" i="123"/>
  <c r="M1670" i="123"/>
  <c r="N1670" i="123"/>
  <c r="O1670" i="123"/>
  <c r="P1670" i="123"/>
  <c r="Q1670" i="123"/>
  <c r="R1670" i="123"/>
  <c r="T1670" i="123" s="1"/>
  <c r="W1670" i="123" s="1"/>
  <c r="S1670" i="123"/>
  <c r="X1670" i="123"/>
  <c r="Y1670" i="123"/>
  <c r="AA1670" i="123" s="1"/>
  <c r="AB1670" i="123"/>
  <c r="AC1670" i="123" s="1"/>
  <c r="AJ1670" i="123"/>
  <c r="AK1670" i="123"/>
  <c r="AL1670" i="123"/>
  <c r="AO1670" i="123"/>
  <c r="AP1670" i="123"/>
  <c r="AQ1670" i="123" s="1"/>
  <c r="AT1670" i="123"/>
  <c r="AU1670" i="123"/>
  <c r="K1671" i="123"/>
  <c r="L1671" i="123"/>
  <c r="M1671" i="123"/>
  <c r="N1671" i="123"/>
  <c r="O1671" i="123"/>
  <c r="P1671" i="123"/>
  <c r="Q1671" i="123"/>
  <c r="R1671" i="123"/>
  <c r="T1671" i="123" s="1"/>
  <c r="V1671" i="123" s="1"/>
  <c r="S1671" i="123"/>
  <c r="X1671" i="123"/>
  <c r="Y1671" i="123"/>
  <c r="AA1671" i="123" s="1"/>
  <c r="AB1671" i="123"/>
  <c r="AD1671" i="123" s="1"/>
  <c r="AJ1671" i="123"/>
  <c r="AK1671" i="123"/>
  <c r="AL1671" i="123"/>
  <c r="AO1671" i="123"/>
  <c r="AP1671" i="123"/>
  <c r="AQ1671" i="123" s="1"/>
  <c r="AT1671" i="123"/>
  <c r="AU1671" i="123"/>
  <c r="K1672" i="123"/>
  <c r="L1672" i="123"/>
  <c r="M1672" i="123"/>
  <c r="N1672" i="123"/>
  <c r="O1672" i="123"/>
  <c r="P1672" i="123"/>
  <c r="Q1672" i="123"/>
  <c r="R1672" i="123"/>
  <c r="T1672" i="123" s="1"/>
  <c r="S1672" i="123"/>
  <c r="X1672" i="123"/>
  <c r="Y1672" i="123"/>
  <c r="AB1672" i="123"/>
  <c r="AD1672" i="123" s="1"/>
  <c r="AJ1672" i="123"/>
  <c r="AK1672" i="123"/>
  <c r="AL1672" i="123"/>
  <c r="AO1672" i="123"/>
  <c r="AP1672" i="123"/>
  <c r="AQ1672" i="123" s="1"/>
  <c r="AT1672" i="123"/>
  <c r="AU1672" i="123"/>
  <c r="K1673" i="123"/>
  <c r="L1673" i="123"/>
  <c r="M1673" i="123"/>
  <c r="N1673" i="123"/>
  <c r="O1673" i="123"/>
  <c r="P1673" i="123"/>
  <c r="Q1673" i="123"/>
  <c r="R1673" i="123"/>
  <c r="T1673" i="123" s="1"/>
  <c r="S1673" i="123"/>
  <c r="X1673" i="123"/>
  <c r="Y1673" i="123"/>
  <c r="Z1673" i="123" s="1"/>
  <c r="AB1673" i="123"/>
  <c r="AJ1673" i="123"/>
  <c r="AK1673" i="123"/>
  <c r="AL1673" i="123"/>
  <c r="AO1673" i="123"/>
  <c r="AP1673" i="123"/>
  <c r="AT1673" i="123"/>
  <c r="AU1673" i="123"/>
  <c r="K1674" i="123"/>
  <c r="L1674" i="123"/>
  <c r="M1674" i="123"/>
  <c r="N1674" i="123"/>
  <c r="O1674" i="123"/>
  <c r="P1674" i="123"/>
  <c r="Q1674" i="123"/>
  <c r="R1674" i="123"/>
  <c r="T1674" i="123" s="1"/>
  <c r="W1674" i="123" s="1"/>
  <c r="S1674" i="123"/>
  <c r="X1674" i="123"/>
  <c r="Y1674" i="123"/>
  <c r="Z1674" i="123" s="1"/>
  <c r="AB1674" i="123"/>
  <c r="AC1674" i="123" s="1"/>
  <c r="AJ1674" i="123"/>
  <c r="AK1674" i="123"/>
  <c r="AL1674" i="123"/>
  <c r="AO1674" i="123"/>
  <c r="AP1674" i="123"/>
  <c r="AQ1674" i="123" s="1"/>
  <c r="AT1674" i="123"/>
  <c r="AU1674" i="123"/>
  <c r="K1675" i="123"/>
  <c r="L1675" i="123"/>
  <c r="M1675" i="123"/>
  <c r="N1675" i="123"/>
  <c r="O1675" i="123"/>
  <c r="P1675" i="123"/>
  <c r="Q1675" i="123"/>
  <c r="R1675" i="123"/>
  <c r="T1675" i="123" s="1"/>
  <c r="V1675" i="123" s="1"/>
  <c r="S1675" i="123"/>
  <c r="X1675" i="123"/>
  <c r="Y1675" i="123"/>
  <c r="AA1675" i="123" s="1"/>
  <c r="AB1675" i="123"/>
  <c r="AC1675" i="123" s="1"/>
  <c r="AJ1675" i="123"/>
  <c r="AK1675" i="123"/>
  <c r="AL1675" i="123"/>
  <c r="AO1675" i="123"/>
  <c r="AP1675" i="123"/>
  <c r="AQ1675" i="123" s="1"/>
  <c r="AT1675" i="123"/>
  <c r="AU1675" i="123"/>
  <c r="K1676" i="123"/>
  <c r="L1676" i="123"/>
  <c r="M1676" i="123"/>
  <c r="N1676" i="123"/>
  <c r="O1676" i="123"/>
  <c r="P1676" i="123"/>
  <c r="Q1676" i="123"/>
  <c r="R1676" i="123"/>
  <c r="T1676" i="123" s="1"/>
  <c r="V1676" i="123" s="1"/>
  <c r="S1676" i="123"/>
  <c r="X1676" i="123"/>
  <c r="Y1676" i="123"/>
  <c r="AB1676" i="123"/>
  <c r="AD1676" i="123" s="1"/>
  <c r="AJ1676" i="123"/>
  <c r="AK1676" i="123"/>
  <c r="AL1676" i="123"/>
  <c r="AO1676" i="123"/>
  <c r="AP1676" i="123"/>
  <c r="AQ1676" i="123" s="1"/>
  <c r="AT1676" i="123"/>
  <c r="AU1676" i="123"/>
  <c r="K1677" i="123"/>
  <c r="L1677" i="123"/>
  <c r="M1677" i="123"/>
  <c r="N1677" i="123"/>
  <c r="O1677" i="123"/>
  <c r="P1677" i="123"/>
  <c r="Q1677" i="123"/>
  <c r="R1677" i="123"/>
  <c r="T1677" i="123" s="1"/>
  <c r="S1677" i="123"/>
  <c r="X1677" i="123"/>
  <c r="Y1677" i="123"/>
  <c r="Z1677" i="123" s="1"/>
  <c r="AB1677" i="123"/>
  <c r="AJ1677" i="123"/>
  <c r="AK1677" i="123"/>
  <c r="AL1677" i="123"/>
  <c r="AO1677" i="123"/>
  <c r="AP1677" i="123"/>
  <c r="AT1677" i="123"/>
  <c r="AU1677" i="123"/>
  <c r="K1678" i="123"/>
  <c r="L1678" i="123"/>
  <c r="M1678" i="123"/>
  <c r="N1678" i="123"/>
  <c r="O1678" i="123"/>
  <c r="P1678" i="123"/>
  <c r="Q1678" i="123"/>
  <c r="R1678" i="123"/>
  <c r="T1678" i="123" s="1"/>
  <c r="W1678" i="123" s="1"/>
  <c r="S1678" i="123"/>
  <c r="X1678" i="123"/>
  <c r="Y1678" i="123"/>
  <c r="AA1678" i="123" s="1"/>
  <c r="AB1678" i="123"/>
  <c r="AC1678" i="123" s="1"/>
  <c r="AJ1678" i="123"/>
  <c r="AK1678" i="123"/>
  <c r="AL1678" i="123"/>
  <c r="AO1678" i="123"/>
  <c r="AP1678" i="123"/>
  <c r="AQ1678" i="123" s="1"/>
  <c r="AT1678" i="123"/>
  <c r="AU1678" i="123"/>
  <c r="K1679" i="123"/>
  <c r="L1679" i="123"/>
  <c r="M1679" i="123"/>
  <c r="N1679" i="123"/>
  <c r="O1679" i="123"/>
  <c r="P1679" i="123"/>
  <c r="Q1679" i="123"/>
  <c r="R1679" i="123"/>
  <c r="T1679" i="123" s="1"/>
  <c r="V1679" i="123" s="1"/>
  <c r="S1679" i="123"/>
  <c r="X1679" i="123"/>
  <c r="Y1679" i="123"/>
  <c r="AA1679" i="123" s="1"/>
  <c r="AB1679" i="123"/>
  <c r="AD1679" i="123" s="1"/>
  <c r="AJ1679" i="123"/>
  <c r="AK1679" i="123"/>
  <c r="AL1679" i="123"/>
  <c r="AO1679" i="123"/>
  <c r="AP1679" i="123"/>
  <c r="AQ1679" i="123" s="1"/>
  <c r="AT1679" i="123"/>
  <c r="AU1679" i="123"/>
  <c r="K1680" i="123"/>
  <c r="L1680" i="123"/>
  <c r="M1680" i="123"/>
  <c r="N1680" i="123"/>
  <c r="O1680" i="123"/>
  <c r="P1680" i="123"/>
  <c r="Q1680" i="123"/>
  <c r="R1680" i="123"/>
  <c r="T1680" i="123" s="1"/>
  <c r="S1680" i="123"/>
  <c r="X1680" i="123"/>
  <c r="Y1680" i="123"/>
  <c r="AB1680" i="123"/>
  <c r="AD1680" i="123" s="1"/>
  <c r="AJ1680" i="123"/>
  <c r="AK1680" i="123"/>
  <c r="AL1680" i="123"/>
  <c r="AO1680" i="123"/>
  <c r="AP1680" i="123"/>
  <c r="AQ1680" i="123" s="1"/>
  <c r="AT1680" i="123"/>
  <c r="AU1680" i="123"/>
  <c r="K1681" i="123"/>
  <c r="L1681" i="123"/>
  <c r="M1681" i="123"/>
  <c r="N1681" i="123"/>
  <c r="O1681" i="123"/>
  <c r="P1681" i="123"/>
  <c r="Q1681" i="123"/>
  <c r="R1681" i="123"/>
  <c r="T1681" i="123" s="1"/>
  <c r="W1681" i="123" s="1"/>
  <c r="S1681" i="123"/>
  <c r="X1681" i="123"/>
  <c r="Y1681" i="123"/>
  <c r="Z1681" i="123" s="1"/>
  <c r="AB1681" i="123"/>
  <c r="AJ1681" i="123"/>
  <c r="AK1681" i="123"/>
  <c r="AL1681" i="123"/>
  <c r="AO1681" i="123"/>
  <c r="AP1681" i="123"/>
  <c r="AQ1681" i="123" s="1"/>
  <c r="AT1681" i="123"/>
  <c r="AU1681" i="123"/>
  <c r="K1682" i="123"/>
  <c r="L1682" i="123"/>
  <c r="M1682" i="123"/>
  <c r="N1682" i="123"/>
  <c r="O1682" i="123"/>
  <c r="P1682" i="123"/>
  <c r="Q1682" i="123"/>
  <c r="R1682" i="123"/>
  <c r="T1682" i="123" s="1"/>
  <c r="V1682" i="123" s="1"/>
  <c r="S1682" i="123"/>
  <c r="X1682" i="123"/>
  <c r="Y1682" i="123"/>
  <c r="AA1682" i="123" s="1"/>
  <c r="AB1682" i="123"/>
  <c r="AC1682" i="123" s="1"/>
  <c r="AJ1682" i="123"/>
  <c r="AK1682" i="123"/>
  <c r="AL1682" i="123"/>
  <c r="AO1682" i="123"/>
  <c r="AP1682" i="123"/>
  <c r="AQ1682" i="123" s="1"/>
  <c r="AT1682" i="123"/>
  <c r="AU1682" i="123"/>
  <c r="K1683" i="123"/>
  <c r="L1683" i="123"/>
  <c r="M1683" i="123"/>
  <c r="N1683" i="123"/>
  <c r="O1683" i="123"/>
  <c r="P1683" i="123"/>
  <c r="Q1683" i="123"/>
  <c r="R1683" i="123"/>
  <c r="T1683" i="123" s="1"/>
  <c r="W1683" i="123" s="1"/>
  <c r="S1683" i="123"/>
  <c r="X1683" i="123"/>
  <c r="Y1683" i="123"/>
  <c r="AA1683" i="123" s="1"/>
  <c r="AB1683" i="123"/>
  <c r="AC1683" i="123" s="1"/>
  <c r="AJ1683" i="123"/>
  <c r="AK1683" i="123"/>
  <c r="AL1683" i="123"/>
  <c r="AO1683" i="123"/>
  <c r="AP1683" i="123"/>
  <c r="AQ1683" i="123" s="1"/>
  <c r="AT1683" i="123"/>
  <c r="AU1683" i="123"/>
  <c r="K1684" i="123"/>
  <c r="L1684" i="123"/>
  <c r="M1684" i="123"/>
  <c r="N1684" i="123"/>
  <c r="O1684" i="123"/>
  <c r="P1684" i="123"/>
  <c r="Q1684" i="123"/>
  <c r="R1684" i="123"/>
  <c r="T1684" i="123" s="1"/>
  <c r="S1684" i="123"/>
  <c r="X1684" i="123"/>
  <c r="Y1684" i="123"/>
  <c r="AB1684" i="123"/>
  <c r="AD1684" i="123" s="1"/>
  <c r="AJ1684" i="123"/>
  <c r="AK1684" i="123"/>
  <c r="AL1684" i="123"/>
  <c r="AO1684" i="123"/>
  <c r="AP1684" i="123"/>
  <c r="AQ1684" i="123" s="1"/>
  <c r="AT1684" i="123"/>
  <c r="AU1684" i="123"/>
  <c r="K1685" i="123"/>
  <c r="L1685" i="123"/>
  <c r="M1685" i="123"/>
  <c r="N1685" i="123"/>
  <c r="O1685" i="123"/>
  <c r="P1685" i="123"/>
  <c r="Q1685" i="123"/>
  <c r="R1685" i="123"/>
  <c r="T1685" i="123" s="1"/>
  <c r="W1685" i="123" s="1"/>
  <c r="S1685" i="123"/>
  <c r="X1685" i="123"/>
  <c r="Y1685" i="123"/>
  <c r="Z1685" i="123" s="1"/>
  <c r="AB1685" i="123"/>
  <c r="AJ1685" i="123"/>
  <c r="AK1685" i="123"/>
  <c r="AL1685" i="123"/>
  <c r="AO1685" i="123"/>
  <c r="AP1685" i="123"/>
  <c r="AQ1685" i="123" s="1"/>
  <c r="AT1685" i="123"/>
  <c r="AU1685" i="123"/>
  <c r="K1686" i="123"/>
  <c r="L1686" i="123"/>
  <c r="M1686" i="123"/>
  <c r="N1686" i="123"/>
  <c r="O1686" i="123"/>
  <c r="P1686" i="123"/>
  <c r="Q1686" i="123"/>
  <c r="R1686" i="123"/>
  <c r="T1686" i="123" s="1"/>
  <c r="W1686" i="123" s="1"/>
  <c r="S1686" i="123"/>
  <c r="X1686" i="123"/>
  <c r="Y1686" i="123"/>
  <c r="AA1686" i="123" s="1"/>
  <c r="AB1686" i="123"/>
  <c r="AC1686" i="123" s="1"/>
  <c r="AJ1686" i="123"/>
  <c r="AK1686" i="123"/>
  <c r="AL1686" i="123"/>
  <c r="AO1686" i="123"/>
  <c r="AP1686" i="123"/>
  <c r="AQ1686" i="123" s="1"/>
  <c r="AT1686" i="123"/>
  <c r="AU1686" i="123"/>
  <c r="K1687" i="123"/>
  <c r="L1687" i="123"/>
  <c r="M1687" i="123"/>
  <c r="N1687" i="123"/>
  <c r="O1687" i="123"/>
  <c r="P1687" i="123"/>
  <c r="Q1687" i="123"/>
  <c r="R1687" i="123"/>
  <c r="T1687" i="123" s="1"/>
  <c r="W1687" i="123" s="1"/>
  <c r="S1687" i="123"/>
  <c r="X1687" i="123"/>
  <c r="Y1687" i="123"/>
  <c r="AA1687" i="123" s="1"/>
  <c r="AB1687" i="123"/>
  <c r="AD1687" i="123" s="1"/>
  <c r="AJ1687" i="123"/>
  <c r="AK1687" i="123"/>
  <c r="AL1687" i="123"/>
  <c r="AO1687" i="123"/>
  <c r="AP1687" i="123"/>
  <c r="AQ1687" i="123" s="1"/>
  <c r="AT1687" i="123"/>
  <c r="AU1687" i="123"/>
  <c r="K1688" i="123"/>
  <c r="L1688" i="123"/>
  <c r="M1688" i="123"/>
  <c r="N1688" i="123"/>
  <c r="O1688" i="123"/>
  <c r="P1688" i="123"/>
  <c r="Q1688" i="123"/>
  <c r="R1688" i="123"/>
  <c r="T1688" i="123" s="1"/>
  <c r="S1688" i="123"/>
  <c r="X1688" i="123"/>
  <c r="Y1688" i="123"/>
  <c r="AB1688" i="123"/>
  <c r="AD1688" i="123" s="1"/>
  <c r="AJ1688" i="123"/>
  <c r="AK1688" i="123"/>
  <c r="AL1688" i="123"/>
  <c r="AO1688" i="123"/>
  <c r="AP1688" i="123"/>
  <c r="AQ1688" i="123" s="1"/>
  <c r="AT1688" i="123"/>
  <c r="AU1688" i="123"/>
  <c r="K1689" i="123"/>
  <c r="L1689" i="123"/>
  <c r="M1689" i="123"/>
  <c r="N1689" i="123"/>
  <c r="O1689" i="123"/>
  <c r="P1689" i="123"/>
  <c r="Q1689" i="123"/>
  <c r="R1689" i="123"/>
  <c r="T1689" i="123" s="1"/>
  <c r="W1689" i="123" s="1"/>
  <c r="S1689" i="123"/>
  <c r="X1689" i="123"/>
  <c r="Y1689" i="123"/>
  <c r="Z1689" i="123" s="1"/>
  <c r="AB1689" i="123"/>
  <c r="AJ1689" i="123"/>
  <c r="AK1689" i="123"/>
  <c r="AL1689" i="123"/>
  <c r="AO1689" i="123"/>
  <c r="AP1689" i="123"/>
  <c r="AQ1689" i="123" s="1"/>
  <c r="AT1689" i="123"/>
  <c r="AU1689" i="123"/>
  <c r="K1690" i="123"/>
  <c r="L1690" i="123"/>
  <c r="M1690" i="123"/>
  <c r="N1690" i="123"/>
  <c r="O1690" i="123"/>
  <c r="P1690" i="123"/>
  <c r="Q1690" i="123"/>
  <c r="R1690" i="123"/>
  <c r="T1690" i="123" s="1"/>
  <c r="S1690" i="123"/>
  <c r="X1690" i="123"/>
  <c r="Y1690" i="123"/>
  <c r="AA1690" i="123" s="1"/>
  <c r="AB1690" i="123"/>
  <c r="AC1690" i="123" s="1"/>
  <c r="AJ1690" i="123"/>
  <c r="AK1690" i="123"/>
  <c r="AL1690" i="123"/>
  <c r="AO1690" i="123"/>
  <c r="AP1690" i="123"/>
  <c r="AQ1690" i="123" s="1"/>
  <c r="AT1690" i="123"/>
  <c r="AU1690" i="123"/>
  <c r="K1691" i="123"/>
  <c r="L1691" i="123"/>
  <c r="M1691" i="123"/>
  <c r="N1691" i="123"/>
  <c r="O1691" i="123"/>
  <c r="P1691" i="123"/>
  <c r="Q1691" i="123"/>
  <c r="R1691" i="123"/>
  <c r="T1691" i="123" s="1"/>
  <c r="S1691" i="123"/>
  <c r="X1691" i="123"/>
  <c r="Y1691" i="123"/>
  <c r="Z1691" i="123" s="1"/>
  <c r="AB1691" i="123"/>
  <c r="AD1691" i="123" s="1"/>
  <c r="AJ1691" i="123"/>
  <c r="AK1691" i="123"/>
  <c r="AL1691" i="123"/>
  <c r="AO1691" i="123"/>
  <c r="AP1691" i="123"/>
  <c r="AQ1691" i="123" s="1"/>
  <c r="AT1691" i="123"/>
  <c r="AU1691" i="123"/>
  <c r="K1692" i="123"/>
  <c r="L1692" i="123"/>
  <c r="M1692" i="123"/>
  <c r="N1692" i="123"/>
  <c r="O1692" i="123"/>
  <c r="P1692" i="123"/>
  <c r="Q1692" i="123"/>
  <c r="R1692" i="123"/>
  <c r="T1692" i="123" s="1"/>
  <c r="S1692" i="123"/>
  <c r="X1692" i="123"/>
  <c r="Y1692" i="123"/>
  <c r="AA1692" i="123" s="1"/>
  <c r="AB1692" i="123"/>
  <c r="AC1692" i="123" s="1"/>
  <c r="AJ1692" i="123"/>
  <c r="AK1692" i="123"/>
  <c r="AL1692" i="123"/>
  <c r="AO1692" i="123"/>
  <c r="AP1692" i="123"/>
  <c r="AT1692" i="123"/>
  <c r="AU1692" i="123"/>
  <c r="K1693" i="123"/>
  <c r="L1693" i="123"/>
  <c r="M1693" i="123"/>
  <c r="N1693" i="123"/>
  <c r="O1693" i="123"/>
  <c r="P1693" i="123"/>
  <c r="Q1693" i="123"/>
  <c r="R1693" i="123"/>
  <c r="T1693" i="123" s="1"/>
  <c r="V1693" i="123" s="1"/>
  <c r="S1693" i="123"/>
  <c r="X1693" i="123"/>
  <c r="Y1693" i="123"/>
  <c r="Z1693" i="123" s="1"/>
  <c r="AB1693" i="123"/>
  <c r="AD1693" i="123" s="1"/>
  <c r="AJ1693" i="123"/>
  <c r="AK1693" i="123"/>
  <c r="AL1693" i="123"/>
  <c r="AO1693" i="123"/>
  <c r="AP1693" i="123"/>
  <c r="AQ1693" i="123" s="1"/>
  <c r="AT1693" i="123"/>
  <c r="AU1693" i="123"/>
  <c r="K1694" i="123"/>
  <c r="L1694" i="123"/>
  <c r="M1694" i="123"/>
  <c r="N1694" i="123"/>
  <c r="O1694" i="123"/>
  <c r="P1694" i="123"/>
  <c r="Q1694" i="123"/>
  <c r="R1694" i="123"/>
  <c r="T1694" i="123" s="1"/>
  <c r="S1694" i="123"/>
  <c r="X1694" i="123"/>
  <c r="Y1694" i="123"/>
  <c r="AA1694" i="123" s="1"/>
  <c r="AB1694" i="123"/>
  <c r="AC1694" i="123" s="1"/>
  <c r="AJ1694" i="123"/>
  <c r="AK1694" i="123"/>
  <c r="AL1694" i="123"/>
  <c r="AO1694" i="123"/>
  <c r="AP1694" i="123"/>
  <c r="AQ1694" i="123" s="1"/>
  <c r="AT1694" i="123"/>
  <c r="AU1694" i="123"/>
  <c r="K1695" i="123"/>
  <c r="L1695" i="123"/>
  <c r="M1695" i="123"/>
  <c r="N1695" i="123"/>
  <c r="O1695" i="123"/>
  <c r="P1695" i="123"/>
  <c r="Q1695" i="123"/>
  <c r="R1695" i="123"/>
  <c r="T1695" i="123" s="1"/>
  <c r="W1695" i="123" s="1"/>
  <c r="S1695" i="123"/>
  <c r="X1695" i="123"/>
  <c r="Y1695" i="123"/>
  <c r="AA1695" i="123" s="1"/>
  <c r="AB1695" i="123"/>
  <c r="AJ1695" i="123"/>
  <c r="AK1695" i="123"/>
  <c r="AL1695" i="123"/>
  <c r="AO1695" i="123"/>
  <c r="AP1695" i="123"/>
  <c r="AT1695" i="123"/>
  <c r="AU1695" i="123"/>
  <c r="K1696" i="123"/>
  <c r="L1696" i="123"/>
  <c r="M1696" i="123"/>
  <c r="N1696" i="123"/>
  <c r="O1696" i="123"/>
  <c r="P1696" i="123"/>
  <c r="Q1696" i="123"/>
  <c r="R1696" i="123"/>
  <c r="T1696" i="123" s="1"/>
  <c r="W1696" i="123" s="1"/>
  <c r="S1696" i="123"/>
  <c r="X1696" i="123"/>
  <c r="Y1696" i="123"/>
  <c r="AA1696" i="123" s="1"/>
  <c r="AB1696" i="123"/>
  <c r="AC1696" i="123" s="1"/>
  <c r="AJ1696" i="123"/>
  <c r="AK1696" i="123"/>
  <c r="AL1696" i="123"/>
  <c r="AO1696" i="123"/>
  <c r="AP1696" i="123"/>
  <c r="AT1696" i="123"/>
  <c r="AU1696" i="123"/>
  <c r="K1697" i="123"/>
  <c r="L1697" i="123"/>
  <c r="M1697" i="123"/>
  <c r="N1697" i="123"/>
  <c r="O1697" i="123"/>
  <c r="P1697" i="123"/>
  <c r="Q1697" i="123"/>
  <c r="R1697" i="123"/>
  <c r="T1697" i="123" s="1"/>
  <c r="S1697" i="123"/>
  <c r="X1697" i="123"/>
  <c r="Y1697" i="123"/>
  <c r="Z1697" i="123" s="1"/>
  <c r="AB1697" i="123"/>
  <c r="AD1697" i="123" s="1"/>
  <c r="AJ1697" i="123"/>
  <c r="AK1697" i="123"/>
  <c r="AL1697" i="123"/>
  <c r="AO1697" i="123"/>
  <c r="AP1697" i="123"/>
  <c r="AQ1697" i="123" s="1"/>
  <c r="AT1697" i="123"/>
  <c r="AU1697" i="123"/>
  <c r="K1698" i="123"/>
  <c r="L1698" i="123"/>
  <c r="M1698" i="123"/>
  <c r="N1698" i="123"/>
  <c r="O1698" i="123"/>
  <c r="P1698" i="123"/>
  <c r="Q1698" i="123"/>
  <c r="R1698" i="123"/>
  <c r="T1698" i="123" s="1"/>
  <c r="S1698" i="123"/>
  <c r="X1698" i="123"/>
  <c r="Y1698" i="123"/>
  <c r="AA1698" i="123" s="1"/>
  <c r="AB1698" i="123"/>
  <c r="AC1698" i="123" s="1"/>
  <c r="AJ1698" i="123"/>
  <c r="AK1698" i="123"/>
  <c r="AL1698" i="123"/>
  <c r="AO1698" i="123"/>
  <c r="AP1698" i="123"/>
  <c r="AQ1698" i="123" s="1"/>
  <c r="AT1698" i="123"/>
  <c r="AU1698" i="123"/>
  <c r="K1699" i="123"/>
  <c r="L1699" i="123"/>
  <c r="M1699" i="123"/>
  <c r="N1699" i="123"/>
  <c r="O1699" i="123"/>
  <c r="P1699" i="123"/>
  <c r="Q1699" i="123"/>
  <c r="R1699" i="123"/>
  <c r="T1699" i="123" s="1"/>
  <c r="V1699" i="123" s="1"/>
  <c r="S1699" i="123"/>
  <c r="X1699" i="123"/>
  <c r="Y1699" i="123"/>
  <c r="Z1699" i="123" s="1"/>
  <c r="AB1699" i="123"/>
  <c r="AD1699" i="123" s="1"/>
  <c r="AJ1699" i="123"/>
  <c r="AK1699" i="123"/>
  <c r="AL1699" i="123"/>
  <c r="AO1699" i="123"/>
  <c r="AP1699" i="123"/>
  <c r="AQ1699" i="123" s="1"/>
  <c r="AT1699" i="123"/>
  <c r="AU1699" i="123"/>
  <c r="K1700" i="123"/>
  <c r="L1700" i="123"/>
  <c r="M1700" i="123"/>
  <c r="N1700" i="123"/>
  <c r="O1700" i="123"/>
  <c r="P1700" i="123"/>
  <c r="Q1700" i="123"/>
  <c r="R1700" i="123"/>
  <c r="T1700" i="123" s="1"/>
  <c r="S1700" i="123"/>
  <c r="X1700" i="123"/>
  <c r="Y1700" i="123"/>
  <c r="AA1700" i="123" s="1"/>
  <c r="AB1700" i="123"/>
  <c r="AC1700" i="123" s="1"/>
  <c r="AJ1700" i="123"/>
  <c r="AK1700" i="123"/>
  <c r="AL1700" i="123"/>
  <c r="AO1700" i="123"/>
  <c r="AP1700" i="123"/>
  <c r="AT1700" i="123"/>
  <c r="AU1700" i="123"/>
  <c r="K1701" i="123"/>
  <c r="L1701" i="123"/>
  <c r="M1701" i="123"/>
  <c r="N1701" i="123"/>
  <c r="O1701" i="123"/>
  <c r="P1701" i="123"/>
  <c r="Q1701" i="123"/>
  <c r="R1701" i="123"/>
  <c r="T1701" i="123" s="1"/>
  <c r="S1701" i="123"/>
  <c r="X1701" i="123"/>
  <c r="Y1701" i="123"/>
  <c r="Z1701" i="123" s="1"/>
  <c r="AB1701" i="123"/>
  <c r="AD1701" i="123" s="1"/>
  <c r="AJ1701" i="123"/>
  <c r="AK1701" i="123"/>
  <c r="AL1701" i="123"/>
  <c r="AO1701" i="123"/>
  <c r="AP1701" i="123"/>
  <c r="AQ1701" i="123" s="1"/>
  <c r="AT1701" i="123"/>
  <c r="AU1701" i="123"/>
  <c r="K1702" i="123"/>
  <c r="L1702" i="123"/>
  <c r="M1702" i="123"/>
  <c r="N1702" i="123"/>
  <c r="O1702" i="123"/>
  <c r="P1702" i="123"/>
  <c r="Q1702" i="123"/>
  <c r="R1702" i="123"/>
  <c r="T1702" i="123" s="1"/>
  <c r="S1702" i="123"/>
  <c r="X1702" i="123"/>
  <c r="Y1702" i="123"/>
  <c r="Z1702" i="123" s="1"/>
  <c r="AB1702" i="123"/>
  <c r="AC1702" i="123" s="1"/>
  <c r="AJ1702" i="123"/>
  <c r="AK1702" i="123"/>
  <c r="AL1702" i="123"/>
  <c r="AO1702" i="123"/>
  <c r="AP1702" i="123"/>
  <c r="AQ1702" i="123" s="1"/>
  <c r="AT1702" i="123"/>
  <c r="AU1702" i="123"/>
  <c r="K1703" i="123"/>
  <c r="L1703" i="123"/>
  <c r="M1703" i="123"/>
  <c r="N1703" i="123"/>
  <c r="O1703" i="123"/>
  <c r="P1703" i="123"/>
  <c r="Q1703" i="123"/>
  <c r="R1703" i="123"/>
  <c r="T1703" i="123" s="1"/>
  <c r="V1703" i="123" s="1"/>
  <c r="S1703" i="123"/>
  <c r="X1703" i="123"/>
  <c r="Y1703" i="123"/>
  <c r="AA1703" i="123" s="1"/>
  <c r="AB1703" i="123"/>
  <c r="AC1703" i="123" s="1"/>
  <c r="AJ1703" i="123"/>
  <c r="AK1703" i="123"/>
  <c r="AL1703" i="123"/>
  <c r="AO1703" i="123"/>
  <c r="AP1703" i="123"/>
  <c r="AT1703" i="123"/>
  <c r="AU1703" i="123"/>
  <c r="K1704" i="123"/>
  <c r="L1704" i="123"/>
  <c r="M1704" i="123"/>
  <c r="N1704" i="123"/>
  <c r="O1704" i="123"/>
  <c r="P1704" i="123"/>
  <c r="Q1704" i="123"/>
  <c r="R1704" i="123"/>
  <c r="T1704" i="123" s="1"/>
  <c r="W1704" i="123" s="1"/>
  <c r="S1704" i="123"/>
  <c r="X1704" i="123"/>
  <c r="Y1704" i="123"/>
  <c r="AA1704" i="123" s="1"/>
  <c r="AB1704" i="123"/>
  <c r="AC1704" i="123" s="1"/>
  <c r="AJ1704" i="123"/>
  <c r="AK1704" i="123"/>
  <c r="AL1704" i="123"/>
  <c r="AO1704" i="123"/>
  <c r="AP1704" i="123"/>
  <c r="AT1704" i="123"/>
  <c r="AU1704" i="123"/>
  <c r="K1705" i="123"/>
  <c r="L1705" i="123"/>
  <c r="M1705" i="123"/>
  <c r="N1705" i="123"/>
  <c r="O1705" i="123"/>
  <c r="P1705" i="123"/>
  <c r="Q1705" i="123"/>
  <c r="R1705" i="123"/>
  <c r="T1705" i="123" s="1"/>
  <c r="S1705" i="123"/>
  <c r="X1705" i="123"/>
  <c r="Y1705" i="123"/>
  <c r="Z1705" i="123" s="1"/>
  <c r="AB1705" i="123"/>
  <c r="AC1705" i="123" s="1"/>
  <c r="AJ1705" i="123"/>
  <c r="AK1705" i="123"/>
  <c r="AL1705" i="123"/>
  <c r="AO1705" i="123"/>
  <c r="AP1705" i="123"/>
  <c r="AQ1705" i="123" s="1"/>
  <c r="AT1705" i="123"/>
  <c r="AU1705" i="123"/>
  <c r="K1706" i="123"/>
  <c r="L1706" i="123"/>
  <c r="M1706" i="123"/>
  <c r="N1706" i="123"/>
  <c r="O1706" i="123"/>
  <c r="P1706" i="123"/>
  <c r="Q1706" i="123"/>
  <c r="R1706" i="123"/>
  <c r="T1706" i="123" s="1"/>
  <c r="S1706" i="123"/>
  <c r="X1706" i="123"/>
  <c r="Y1706" i="123"/>
  <c r="AA1706" i="123" s="1"/>
  <c r="AB1706" i="123"/>
  <c r="AC1706" i="123" s="1"/>
  <c r="AJ1706" i="123"/>
  <c r="AK1706" i="123"/>
  <c r="AL1706" i="123"/>
  <c r="AO1706" i="123"/>
  <c r="AP1706" i="123"/>
  <c r="AQ1706" i="123" s="1"/>
  <c r="AT1706" i="123"/>
  <c r="AU1706" i="123"/>
  <c r="K1707" i="123"/>
  <c r="L1707" i="123"/>
  <c r="M1707" i="123"/>
  <c r="N1707" i="123"/>
  <c r="O1707" i="123"/>
  <c r="P1707" i="123"/>
  <c r="Q1707" i="123"/>
  <c r="R1707" i="123"/>
  <c r="T1707" i="123" s="1"/>
  <c r="S1707" i="123"/>
  <c r="X1707" i="123"/>
  <c r="Y1707" i="123"/>
  <c r="Z1707" i="123" s="1"/>
  <c r="AB1707" i="123"/>
  <c r="AD1707" i="123" s="1"/>
  <c r="AJ1707" i="123"/>
  <c r="AK1707" i="123"/>
  <c r="AL1707" i="123"/>
  <c r="AO1707" i="123"/>
  <c r="AP1707" i="123"/>
  <c r="AQ1707" i="123" s="1"/>
  <c r="AT1707" i="123"/>
  <c r="AU1707" i="123"/>
  <c r="K1708" i="123"/>
  <c r="L1708" i="123"/>
  <c r="M1708" i="123"/>
  <c r="N1708" i="123"/>
  <c r="O1708" i="123"/>
  <c r="P1708" i="123"/>
  <c r="Q1708" i="123"/>
  <c r="R1708" i="123"/>
  <c r="T1708" i="123" s="1"/>
  <c r="S1708" i="123"/>
  <c r="X1708" i="123"/>
  <c r="Y1708" i="123"/>
  <c r="Z1708" i="123" s="1"/>
  <c r="AB1708" i="123"/>
  <c r="AC1708" i="123" s="1"/>
  <c r="AJ1708" i="123"/>
  <c r="AK1708" i="123"/>
  <c r="AL1708" i="123"/>
  <c r="AO1708" i="123"/>
  <c r="AP1708" i="123"/>
  <c r="AQ1708" i="123" s="1"/>
  <c r="AT1708" i="123"/>
  <c r="AU1708" i="123"/>
  <c r="K1709" i="123"/>
  <c r="L1709" i="123"/>
  <c r="M1709" i="123"/>
  <c r="N1709" i="123"/>
  <c r="O1709" i="123"/>
  <c r="P1709" i="123"/>
  <c r="Q1709" i="123"/>
  <c r="R1709" i="123"/>
  <c r="T1709" i="123" s="1"/>
  <c r="S1709" i="123"/>
  <c r="X1709" i="123"/>
  <c r="Y1709" i="123"/>
  <c r="Z1709" i="123" s="1"/>
  <c r="AB1709" i="123"/>
  <c r="AC1709" i="123" s="1"/>
  <c r="AJ1709" i="123"/>
  <c r="AK1709" i="123"/>
  <c r="AL1709" i="123"/>
  <c r="AO1709" i="123"/>
  <c r="AP1709" i="123"/>
  <c r="AQ1709" i="123" s="1"/>
  <c r="AT1709" i="123"/>
  <c r="AU1709" i="123"/>
  <c r="K1710" i="123"/>
  <c r="L1710" i="123"/>
  <c r="M1710" i="123"/>
  <c r="N1710" i="123"/>
  <c r="O1710" i="123"/>
  <c r="P1710" i="123"/>
  <c r="Q1710" i="123"/>
  <c r="R1710" i="123"/>
  <c r="T1710" i="123" s="1"/>
  <c r="S1710" i="123"/>
  <c r="X1710" i="123"/>
  <c r="Y1710" i="123"/>
  <c r="AA1710" i="123" s="1"/>
  <c r="AB1710" i="123"/>
  <c r="AC1710" i="123" s="1"/>
  <c r="AJ1710" i="123"/>
  <c r="AK1710" i="123"/>
  <c r="AL1710" i="123"/>
  <c r="AO1710" i="123"/>
  <c r="AP1710" i="123"/>
  <c r="AQ1710" i="123" s="1"/>
  <c r="AT1710" i="123"/>
  <c r="AU1710" i="123"/>
  <c r="K1711" i="123"/>
  <c r="L1711" i="123"/>
  <c r="M1711" i="123"/>
  <c r="N1711" i="123"/>
  <c r="O1711" i="123"/>
  <c r="P1711" i="123"/>
  <c r="Q1711" i="123"/>
  <c r="R1711" i="123"/>
  <c r="T1711" i="123" s="1"/>
  <c r="V1711" i="123" s="1"/>
  <c r="S1711" i="123"/>
  <c r="X1711" i="123"/>
  <c r="Y1711" i="123"/>
  <c r="Z1711" i="123" s="1"/>
  <c r="AB1711" i="123"/>
  <c r="AD1711" i="123" s="1"/>
  <c r="AJ1711" i="123"/>
  <c r="AK1711" i="123"/>
  <c r="AL1711" i="123"/>
  <c r="AO1711" i="123"/>
  <c r="AP1711" i="123"/>
  <c r="AQ1711" i="123" s="1"/>
  <c r="AT1711" i="123"/>
  <c r="AU1711" i="123"/>
  <c r="K1712" i="123"/>
  <c r="L1712" i="123"/>
  <c r="M1712" i="123"/>
  <c r="N1712" i="123"/>
  <c r="O1712" i="123"/>
  <c r="P1712" i="123"/>
  <c r="Q1712" i="123"/>
  <c r="R1712" i="123"/>
  <c r="T1712" i="123" s="1"/>
  <c r="S1712" i="123"/>
  <c r="X1712" i="123"/>
  <c r="Y1712" i="123"/>
  <c r="Z1712" i="123" s="1"/>
  <c r="AB1712" i="123"/>
  <c r="AC1712" i="123" s="1"/>
  <c r="AJ1712" i="123"/>
  <c r="AK1712" i="123"/>
  <c r="AL1712" i="123"/>
  <c r="AO1712" i="123"/>
  <c r="AP1712" i="123"/>
  <c r="AQ1712" i="123" s="1"/>
  <c r="AT1712" i="123"/>
  <c r="AU1712" i="123"/>
  <c r="K1713" i="123"/>
  <c r="L1713" i="123"/>
  <c r="M1713" i="123"/>
  <c r="N1713" i="123"/>
  <c r="O1713" i="123"/>
  <c r="P1713" i="123"/>
  <c r="Q1713" i="123"/>
  <c r="R1713" i="123"/>
  <c r="T1713" i="123" s="1"/>
  <c r="S1713" i="123"/>
  <c r="X1713" i="123"/>
  <c r="Y1713" i="123"/>
  <c r="Z1713" i="123" s="1"/>
  <c r="AB1713" i="123"/>
  <c r="AC1713" i="123" s="1"/>
  <c r="AJ1713" i="123"/>
  <c r="AK1713" i="123"/>
  <c r="AL1713" i="123"/>
  <c r="AO1713" i="123"/>
  <c r="AP1713" i="123"/>
  <c r="AQ1713" i="123" s="1"/>
  <c r="AT1713" i="123"/>
  <c r="AU1713" i="123"/>
  <c r="K1714" i="123"/>
  <c r="L1714" i="123"/>
  <c r="M1714" i="123"/>
  <c r="N1714" i="123"/>
  <c r="O1714" i="123"/>
  <c r="P1714" i="123"/>
  <c r="Q1714" i="123"/>
  <c r="R1714" i="123"/>
  <c r="T1714" i="123" s="1"/>
  <c r="S1714" i="123"/>
  <c r="X1714" i="123"/>
  <c r="Y1714" i="123"/>
  <c r="AA1714" i="123" s="1"/>
  <c r="AB1714" i="123"/>
  <c r="AC1714" i="123" s="1"/>
  <c r="AJ1714" i="123"/>
  <c r="AK1714" i="123"/>
  <c r="AL1714" i="123"/>
  <c r="AO1714" i="123"/>
  <c r="AP1714" i="123"/>
  <c r="AQ1714" i="123" s="1"/>
  <c r="AT1714" i="123"/>
  <c r="AU1714" i="123"/>
  <c r="K1715" i="123"/>
  <c r="L1715" i="123"/>
  <c r="M1715" i="123"/>
  <c r="N1715" i="123"/>
  <c r="O1715" i="123"/>
  <c r="P1715" i="123"/>
  <c r="Q1715" i="123"/>
  <c r="R1715" i="123"/>
  <c r="T1715" i="123" s="1"/>
  <c r="V1715" i="123" s="1"/>
  <c r="S1715" i="123"/>
  <c r="X1715" i="123"/>
  <c r="Y1715" i="123"/>
  <c r="Z1715" i="123" s="1"/>
  <c r="AB1715" i="123"/>
  <c r="AD1715" i="123" s="1"/>
  <c r="AJ1715" i="123"/>
  <c r="AK1715" i="123"/>
  <c r="AL1715" i="123"/>
  <c r="AO1715" i="123"/>
  <c r="AP1715" i="123"/>
  <c r="AQ1715" i="123" s="1"/>
  <c r="AT1715" i="123"/>
  <c r="AU1715" i="123"/>
  <c r="K1716" i="123"/>
  <c r="L1716" i="123"/>
  <c r="M1716" i="123"/>
  <c r="N1716" i="123"/>
  <c r="O1716" i="123"/>
  <c r="P1716" i="123"/>
  <c r="Q1716" i="123"/>
  <c r="R1716" i="123"/>
  <c r="T1716" i="123" s="1"/>
  <c r="S1716" i="123"/>
  <c r="X1716" i="123"/>
  <c r="Y1716" i="123"/>
  <c r="Z1716" i="123" s="1"/>
  <c r="AB1716" i="123"/>
  <c r="AC1716" i="123" s="1"/>
  <c r="AJ1716" i="123"/>
  <c r="AK1716" i="123"/>
  <c r="AL1716" i="123"/>
  <c r="AO1716" i="123"/>
  <c r="AP1716" i="123"/>
  <c r="AQ1716" i="123" s="1"/>
  <c r="AT1716" i="123"/>
  <c r="AU1716" i="123"/>
  <c r="K1717" i="123"/>
  <c r="L1717" i="123"/>
  <c r="M1717" i="123"/>
  <c r="N1717" i="123"/>
  <c r="O1717" i="123"/>
  <c r="P1717" i="123"/>
  <c r="Q1717" i="123"/>
  <c r="R1717" i="123"/>
  <c r="T1717" i="123" s="1"/>
  <c r="S1717" i="123"/>
  <c r="X1717" i="123"/>
  <c r="Y1717" i="123"/>
  <c r="Z1717" i="123" s="1"/>
  <c r="AB1717" i="123"/>
  <c r="AC1717" i="123" s="1"/>
  <c r="AJ1717" i="123"/>
  <c r="AK1717" i="123"/>
  <c r="AL1717" i="123"/>
  <c r="AO1717" i="123"/>
  <c r="AP1717" i="123"/>
  <c r="AQ1717" i="123" s="1"/>
  <c r="AT1717" i="123"/>
  <c r="AU1717" i="123"/>
  <c r="K1718" i="123"/>
  <c r="L1718" i="123"/>
  <c r="M1718" i="123"/>
  <c r="N1718" i="123"/>
  <c r="O1718" i="123"/>
  <c r="P1718" i="123"/>
  <c r="Q1718" i="123"/>
  <c r="R1718" i="123"/>
  <c r="T1718" i="123" s="1"/>
  <c r="S1718" i="123"/>
  <c r="X1718" i="123"/>
  <c r="Y1718" i="123"/>
  <c r="AA1718" i="123" s="1"/>
  <c r="AB1718" i="123"/>
  <c r="AC1718" i="123" s="1"/>
  <c r="AJ1718" i="123"/>
  <c r="AK1718" i="123"/>
  <c r="AL1718" i="123"/>
  <c r="AO1718" i="123"/>
  <c r="AP1718" i="123"/>
  <c r="AQ1718" i="123" s="1"/>
  <c r="AT1718" i="123"/>
  <c r="AU1718" i="123"/>
  <c r="K1719" i="123"/>
  <c r="L1719" i="123"/>
  <c r="M1719" i="123"/>
  <c r="N1719" i="123"/>
  <c r="O1719" i="123"/>
  <c r="P1719" i="123"/>
  <c r="Q1719" i="123"/>
  <c r="R1719" i="123"/>
  <c r="T1719" i="123" s="1"/>
  <c r="S1719" i="123"/>
  <c r="X1719" i="123"/>
  <c r="Y1719" i="123"/>
  <c r="Z1719" i="123" s="1"/>
  <c r="AB1719" i="123"/>
  <c r="AD1719" i="123" s="1"/>
  <c r="AJ1719" i="123"/>
  <c r="AK1719" i="123"/>
  <c r="AL1719" i="123"/>
  <c r="AO1719" i="123"/>
  <c r="AP1719" i="123"/>
  <c r="AQ1719" i="123" s="1"/>
  <c r="AT1719" i="123"/>
  <c r="AU1719" i="123"/>
  <c r="K1720" i="123"/>
  <c r="L1720" i="123"/>
  <c r="M1720" i="123"/>
  <c r="N1720" i="123"/>
  <c r="O1720" i="123"/>
  <c r="P1720" i="123"/>
  <c r="Q1720" i="123"/>
  <c r="R1720" i="123"/>
  <c r="T1720" i="123" s="1"/>
  <c r="S1720" i="123"/>
  <c r="X1720" i="123"/>
  <c r="Y1720" i="123"/>
  <c r="Z1720" i="123" s="1"/>
  <c r="AB1720" i="123"/>
  <c r="AC1720" i="123" s="1"/>
  <c r="AJ1720" i="123"/>
  <c r="AK1720" i="123"/>
  <c r="AL1720" i="123"/>
  <c r="AO1720" i="123"/>
  <c r="AP1720" i="123"/>
  <c r="AQ1720" i="123" s="1"/>
  <c r="AT1720" i="123"/>
  <c r="AU1720" i="123"/>
  <c r="K1721" i="123"/>
  <c r="L1721" i="123"/>
  <c r="M1721" i="123"/>
  <c r="N1721" i="123"/>
  <c r="O1721" i="123"/>
  <c r="P1721" i="123"/>
  <c r="Q1721" i="123"/>
  <c r="R1721" i="123"/>
  <c r="T1721" i="123" s="1"/>
  <c r="S1721" i="123"/>
  <c r="X1721" i="123"/>
  <c r="Y1721" i="123"/>
  <c r="Z1721" i="123" s="1"/>
  <c r="AB1721" i="123"/>
  <c r="AD1721" i="123" s="1"/>
  <c r="AJ1721" i="123"/>
  <c r="AK1721" i="123"/>
  <c r="AL1721" i="123"/>
  <c r="AO1721" i="123"/>
  <c r="AP1721" i="123"/>
  <c r="AQ1721" i="123" s="1"/>
  <c r="AT1721" i="123"/>
  <c r="AU1721" i="123"/>
  <c r="K1722" i="123"/>
  <c r="L1722" i="123"/>
  <c r="M1722" i="123"/>
  <c r="N1722" i="123"/>
  <c r="O1722" i="123"/>
  <c r="P1722" i="123"/>
  <c r="Q1722" i="123"/>
  <c r="R1722" i="123"/>
  <c r="T1722" i="123" s="1"/>
  <c r="S1722" i="123"/>
  <c r="X1722" i="123"/>
  <c r="Y1722" i="123"/>
  <c r="AA1722" i="123" s="1"/>
  <c r="AB1722" i="123"/>
  <c r="AC1722" i="123" s="1"/>
  <c r="AJ1722" i="123"/>
  <c r="AK1722" i="123"/>
  <c r="AL1722" i="123"/>
  <c r="AO1722" i="123"/>
  <c r="AP1722" i="123"/>
  <c r="AQ1722" i="123" s="1"/>
  <c r="AT1722" i="123"/>
  <c r="AU1722" i="123"/>
  <c r="K1723" i="123"/>
  <c r="L1723" i="123"/>
  <c r="M1723" i="123"/>
  <c r="N1723" i="123"/>
  <c r="O1723" i="123"/>
  <c r="P1723" i="123"/>
  <c r="Q1723" i="123"/>
  <c r="R1723" i="123"/>
  <c r="T1723" i="123" s="1"/>
  <c r="S1723" i="123"/>
  <c r="X1723" i="123"/>
  <c r="Y1723" i="123"/>
  <c r="Z1723" i="123" s="1"/>
  <c r="AB1723" i="123"/>
  <c r="AD1723" i="123" s="1"/>
  <c r="AJ1723" i="123"/>
  <c r="AK1723" i="123"/>
  <c r="AL1723" i="123"/>
  <c r="AO1723" i="123"/>
  <c r="AP1723" i="123"/>
  <c r="AQ1723" i="123" s="1"/>
  <c r="AT1723" i="123"/>
  <c r="AU1723" i="123"/>
  <c r="K1724" i="123"/>
  <c r="L1724" i="123"/>
  <c r="M1724" i="123"/>
  <c r="N1724" i="123"/>
  <c r="O1724" i="123"/>
  <c r="P1724" i="123"/>
  <c r="Q1724" i="123"/>
  <c r="R1724" i="123"/>
  <c r="T1724" i="123" s="1"/>
  <c r="S1724" i="123"/>
  <c r="X1724" i="123"/>
  <c r="Y1724" i="123"/>
  <c r="AA1724" i="123" s="1"/>
  <c r="AB1724" i="123"/>
  <c r="AC1724" i="123" s="1"/>
  <c r="AJ1724" i="123"/>
  <c r="AK1724" i="123"/>
  <c r="AL1724" i="123"/>
  <c r="AO1724" i="123"/>
  <c r="AP1724" i="123"/>
  <c r="AQ1724" i="123" s="1"/>
  <c r="AT1724" i="123"/>
  <c r="AU1724" i="123"/>
  <c r="K1725" i="123"/>
  <c r="L1725" i="123"/>
  <c r="M1725" i="123"/>
  <c r="N1725" i="123"/>
  <c r="O1725" i="123"/>
  <c r="P1725" i="123"/>
  <c r="Q1725" i="123"/>
  <c r="R1725" i="123"/>
  <c r="T1725" i="123" s="1"/>
  <c r="S1725" i="123"/>
  <c r="X1725" i="123"/>
  <c r="Y1725" i="123"/>
  <c r="Z1725" i="123" s="1"/>
  <c r="AB1725" i="123"/>
  <c r="AD1725" i="123" s="1"/>
  <c r="AJ1725" i="123"/>
  <c r="AK1725" i="123"/>
  <c r="AL1725" i="123"/>
  <c r="AO1725" i="123"/>
  <c r="AP1725" i="123"/>
  <c r="AQ1725" i="123" s="1"/>
  <c r="AT1725" i="123"/>
  <c r="AU1725" i="123"/>
  <c r="K1726" i="123"/>
  <c r="L1726" i="123"/>
  <c r="M1726" i="123"/>
  <c r="N1726" i="123"/>
  <c r="O1726" i="123"/>
  <c r="P1726" i="123"/>
  <c r="Q1726" i="123"/>
  <c r="R1726" i="123"/>
  <c r="T1726" i="123" s="1"/>
  <c r="S1726" i="123"/>
  <c r="X1726" i="123"/>
  <c r="Y1726" i="123"/>
  <c r="AA1726" i="123" s="1"/>
  <c r="AB1726" i="123"/>
  <c r="AC1726" i="123" s="1"/>
  <c r="AJ1726" i="123"/>
  <c r="AK1726" i="123"/>
  <c r="AL1726" i="123"/>
  <c r="AO1726" i="123"/>
  <c r="AP1726" i="123"/>
  <c r="AQ1726" i="123" s="1"/>
  <c r="AT1726" i="123"/>
  <c r="AU1726" i="123"/>
  <c r="K1727" i="123"/>
  <c r="L1727" i="123"/>
  <c r="M1727" i="123"/>
  <c r="N1727" i="123"/>
  <c r="O1727" i="123"/>
  <c r="P1727" i="123"/>
  <c r="Q1727" i="123"/>
  <c r="R1727" i="123"/>
  <c r="T1727" i="123" s="1"/>
  <c r="S1727" i="123"/>
  <c r="X1727" i="123"/>
  <c r="Y1727" i="123"/>
  <c r="Z1727" i="123" s="1"/>
  <c r="AB1727" i="123"/>
  <c r="AD1727" i="123" s="1"/>
  <c r="AJ1727" i="123"/>
  <c r="AK1727" i="123"/>
  <c r="AL1727" i="123"/>
  <c r="AO1727" i="123"/>
  <c r="AP1727" i="123"/>
  <c r="AQ1727" i="123" s="1"/>
  <c r="AT1727" i="123"/>
  <c r="AU1727" i="123"/>
  <c r="K1728" i="123"/>
  <c r="L1728" i="123"/>
  <c r="M1728" i="123"/>
  <c r="N1728" i="123"/>
  <c r="O1728" i="123"/>
  <c r="P1728" i="123"/>
  <c r="Q1728" i="123"/>
  <c r="R1728" i="123"/>
  <c r="T1728" i="123" s="1"/>
  <c r="S1728" i="123"/>
  <c r="X1728" i="123"/>
  <c r="Y1728" i="123"/>
  <c r="AA1728" i="123" s="1"/>
  <c r="AB1728" i="123"/>
  <c r="AC1728" i="123" s="1"/>
  <c r="AJ1728" i="123"/>
  <c r="AK1728" i="123"/>
  <c r="AL1728" i="123"/>
  <c r="AO1728" i="123"/>
  <c r="AP1728" i="123"/>
  <c r="AQ1728" i="123" s="1"/>
  <c r="AT1728" i="123"/>
  <c r="AU1728" i="123"/>
  <c r="K1729" i="123"/>
  <c r="L1729" i="123"/>
  <c r="M1729" i="123"/>
  <c r="N1729" i="123"/>
  <c r="O1729" i="123"/>
  <c r="P1729" i="123"/>
  <c r="Q1729" i="123"/>
  <c r="R1729" i="123"/>
  <c r="T1729" i="123" s="1"/>
  <c r="S1729" i="123"/>
  <c r="X1729" i="123"/>
  <c r="Y1729" i="123"/>
  <c r="Z1729" i="123" s="1"/>
  <c r="AB1729" i="123"/>
  <c r="AC1729" i="123" s="1"/>
  <c r="AJ1729" i="123"/>
  <c r="AK1729" i="123"/>
  <c r="AL1729" i="123"/>
  <c r="AO1729" i="123"/>
  <c r="AP1729" i="123"/>
  <c r="AQ1729" i="123" s="1"/>
  <c r="AT1729" i="123"/>
  <c r="AU1729" i="123"/>
  <c r="K1730" i="123"/>
  <c r="L1730" i="123"/>
  <c r="M1730" i="123"/>
  <c r="N1730" i="123"/>
  <c r="O1730" i="123"/>
  <c r="P1730" i="123"/>
  <c r="Q1730" i="123"/>
  <c r="R1730" i="123"/>
  <c r="T1730" i="123" s="1"/>
  <c r="S1730" i="123"/>
  <c r="X1730" i="123"/>
  <c r="Y1730" i="123"/>
  <c r="AA1730" i="123" s="1"/>
  <c r="AB1730" i="123"/>
  <c r="AC1730" i="123" s="1"/>
  <c r="AJ1730" i="123"/>
  <c r="AK1730" i="123"/>
  <c r="AL1730" i="123"/>
  <c r="AO1730" i="123"/>
  <c r="AP1730" i="123"/>
  <c r="AQ1730" i="123" s="1"/>
  <c r="AT1730" i="123"/>
  <c r="AU1730" i="123"/>
  <c r="K1731" i="123"/>
  <c r="L1731" i="123"/>
  <c r="M1731" i="123"/>
  <c r="N1731" i="123"/>
  <c r="O1731" i="123"/>
  <c r="P1731" i="123"/>
  <c r="Q1731" i="123"/>
  <c r="R1731" i="123"/>
  <c r="T1731" i="123" s="1"/>
  <c r="S1731" i="123"/>
  <c r="X1731" i="123"/>
  <c r="Y1731" i="123"/>
  <c r="Z1731" i="123" s="1"/>
  <c r="AB1731" i="123"/>
  <c r="AD1731" i="123" s="1"/>
  <c r="AJ1731" i="123"/>
  <c r="AK1731" i="123"/>
  <c r="AL1731" i="123"/>
  <c r="AO1731" i="123"/>
  <c r="AP1731" i="123"/>
  <c r="AQ1731" i="123" s="1"/>
  <c r="AT1731" i="123"/>
  <c r="AU1731" i="123"/>
  <c r="K1732" i="123"/>
  <c r="L1732" i="123"/>
  <c r="M1732" i="123"/>
  <c r="N1732" i="123"/>
  <c r="O1732" i="123"/>
  <c r="P1732" i="123"/>
  <c r="Q1732" i="123"/>
  <c r="R1732" i="123"/>
  <c r="T1732" i="123" s="1"/>
  <c r="S1732" i="123"/>
  <c r="X1732" i="123"/>
  <c r="Y1732" i="123"/>
  <c r="AA1732" i="123" s="1"/>
  <c r="AB1732" i="123"/>
  <c r="AC1732" i="123" s="1"/>
  <c r="AJ1732" i="123"/>
  <c r="AK1732" i="123"/>
  <c r="AL1732" i="123"/>
  <c r="AO1732" i="123"/>
  <c r="AP1732" i="123"/>
  <c r="AQ1732" i="123" s="1"/>
  <c r="AT1732" i="123"/>
  <c r="AU1732" i="123"/>
  <c r="K1733" i="123"/>
  <c r="L1733" i="123"/>
  <c r="M1733" i="123"/>
  <c r="N1733" i="123"/>
  <c r="O1733" i="123"/>
  <c r="P1733" i="123"/>
  <c r="Q1733" i="123"/>
  <c r="R1733" i="123"/>
  <c r="T1733" i="123" s="1"/>
  <c r="S1733" i="123"/>
  <c r="X1733" i="123"/>
  <c r="Y1733" i="123"/>
  <c r="Z1733" i="123" s="1"/>
  <c r="AB1733" i="123"/>
  <c r="AD1733" i="123" s="1"/>
  <c r="AJ1733" i="123"/>
  <c r="AK1733" i="123"/>
  <c r="AL1733" i="123"/>
  <c r="AO1733" i="123"/>
  <c r="AP1733" i="123"/>
  <c r="AQ1733" i="123" s="1"/>
  <c r="AT1733" i="123"/>
  <c r="AU1733" i="123"/>
  <c r="K1734" i="123"/>
  <c r="L1734" i="123"/>
  <c r="M1734" i="123"/>
  <c r="N1734" i="123"/>
  <c r="O1734" i="123"/>
  <c r="P1734" i="123"/>
  <c r="Q1734" i="123"/>
  <c r="R1734" i="123"/>
  <c r="T1734" i="123" s="1"/>
  <c r="S1734" i="123"/>
  <c r="X1734" i="123"/>
  <c r="Y1734" i="123"/>
  <c r="AA1734" i="123" s="1"/>
  <c r="AB1734" i="123"/>
  <c r="AC1734" i="123" s="1"/>
  <c r="AJ1734" i="123"/>
  <c r="AK1734" i="123"/>
  <c r="AL1734" i="123"/>
  <c r="AO1734" i="123"/>
  <c r="AP1734" i="123"/>
  <c r="AQ1734" i="123" s="1"/>
  <c r="AT1734" i="123"/>
  <c r="AU1734" i="123"/>
  <c r="K1735" i="123"/>
  <c r="L1735" i="123"/>
  <c r="M1735" i="123"/>
  <c r="N1735" i="123"/>
  <c r="O1735" i="123"/>
  <c r="P1735" i="123"/>
  <c r="Q1735" i="123"/>
  <c r="R1735" i="123"/>
  <c r="T1735" i="123" s="1"/>
  <c r="S1735" i="123"/>
  <c r="X1735" i="123"/>
  <c r="Y1735" i="123"/>
  <c r="Z1735" i="123" s="1"/>
  <c r="AB1735" i="123"/>
  <c r="AD1735" i="123" s="1"/>
  <c r="AJ1735" i="123"/>
  <c r="AK1735" i="123"/>
  <c r="AL1735" i="123"/>
  <c r="AO1735" i="123"/>
  <c r="AP1735" i="123"/>
  <c r="AQ1735" i="123" s="1"/>
  <c r="AT1735" i="123"/>
  <c r="AU1735" i="123"/>
  <c r="K1736" i="123"/>
  <c r="L1736" i="123"/>
  <c r="M1736" i="123"/>
  <c r="N1736" i="123"/>
  <c r="O1736" i="123"/>
  <c r="P1736" i="123"/>
  <c r="Q1736" i="123"/>
  <c r="R1736" i="123"/>
  <c r="T1736" i="123" s="1"/>
  <c r="S1736" i="123"/>
  <c r="X1736" i="123"/>
  <c r="Y1736" i="123"/>
  <c r="AA1736" i="123" s="1"/>
  <c r="AB1736" i="123"/>
  <c r="AC1736" i="123" s="1"/>
  <c r="AJ1736" i="123"/>
  <c r="AK1736" i="123"/>
  <c r="AL1736" i="123"/>
  <c r="AO1736" i="123"/>
  <c r="AP1736" i="123"/>
  <c r="AQ1736" i="123" s="1"/>
  <c r="AT1736" i="123"/>
  <c r="AU1736" i="123"/>
  <c r="K1737" i="123"/>
  <c r="L1737" i="123"/>
  <c r="M1737" i="123"/>
  <c r="N1737" i="123"/>
  <c r="O1737" i="123"/>
  <c r="P1737" i="123"/>
  <c r="Q1737" i="123"/>
  <c r="R1737" i="123"/>
  <c r="T1737" i="123" s="1"/>
  <c r="S1737" i="123"/>
  <c r="X1737" i="123"/>
  <c r="Y1737" i="123"/>
  <c r="Z1737" i="123" s="1"/>
  <c r="AB1737" i="123"/>
  <c r="AC1737" i="123" s="1"/>
  <c r="AJ1737" i="123"/>
  <c r="AK1737" i="123"/>
  <c r="AL1737" i="123"/>
  <c r="AO1737" i="123"/>
  <c r="AP1737" i="123"/>
  <c r="AQ1737" i="123" s="1"/>
  <c r="AT1737" i="123"/>
  <c r="AU1737" i="123"/>
  <c r="K1738" i="123"/>
  <c r="L1738" i="123"/>
  <c r="M1738" i="123"/>
  <c r="N1738" i="123"/>
  <c r="O1738" i="123"/>
  <c r="P1738" i="123"/>
  <c r="Q1738" i="123"/>
  <c r="R1738" i="123"/>
  <c r="T1738" i="123" s="1"/>
  <c r="S1738" i="123"/>
  <c r="X1738" i="123"/>
  <c r="Y1738" i="123"/>
  <c r="AA1738" i="123" s="1"/>
  <c r="AB1738" i="123"/>
  <c r="AC1738" i="123" s="1"/>
  <c r="AJ1738" i="123"/>
  <c r="AK1738" i="123"/>
  <c r="AL1738" i="123"/>
  <c r="AO1738" i="123"/>
  <c r="AP1738" i="123"/>
  <c r="AQ1738" i="123" s="1"/>
  <c r="AT1738" i="123"/>
  <c r="AU1738" i="123"/>
  <c r="K1739" i="123"/>
  <c r="L1739" i="123"/>
  <c r="M1739" i="123"/>
  <c r="N1739" i="123"/>
  <c r="O1739" i="123"/>
  <c r="P1739" i="123"/>
  <c r="Q1739" i="123"/>
  <c r="R1739" i="123"/>
  <c r="T1739" i="123" s="1"/>
  <c r="S1739" i="123"/>
  <c r="X1739" i="123"/>
  <c r="Y1739" i="123"/>
  <c r="Z1739" i="123" s="1"/>
  <c r="AB1739" i="123"/>
  <c r="AD1739" i="123" s="1"/>
  <c r="AJ1739" i="123"/>
  <c r="AK1739" i="123"/>
  <c r="AL1739" i="123"/>
  <c r="AO1739" i="123"/>
  <c r="AP1739" i="123"/>
  <c r="AQ1739" i="123" s="1"/>
  <c r="AT1739" i="123"/>
  <c r="AU1739" i="123"/>
  <c r="K1740" i="123"/>
  <c r="L1740" i="123"/>
  <c r="M1740" i="123"/>
  <c r="N1740" i="123"/>
  <c r="O1740" i="123"/>
  <c r="P1740" i="123"/>
  <c r="Q1740" i="123"/>
  <c r="R1740" i="123"/>
  <c r="T1740" i="123" s="1"/>
  <c r="S1740" i="123"/>
  <c r="X1740" i="123"/>
  <c r="Y1740" i="123"/>
  <c r="Z1740" i="123" s="1"/>
  <c r="AB1740" i="123"/>
  <c r="AC1740" i="123" s="1"/>
  <c r="AJ1740" i="123"/>
  <c r="AK1740" i="123"/>
  <c r="AL1740" i="123"/>
  <c r="AO1740" i="123"/>
  <c r="AP1740" i="123"/>
  <c r="AQ1740" i="123" s="1"/>
  <c r="AT1740" i="123"/>
  <c r="AU1740" i="123"/>
  <c r="K1741" i="123"/>
  <c r="L1741" i="123"/>
  <c r="M1741" i="123"/>
  <c r="N1741" i="123"/>
  <c r="O1741" i="123"/>
  <c r="P1741" i="123"/>
  <c r="Q1741" i="123"/>
  <c r="R1741" i="123"/>
  <c r="T1741" i="123" s="1"/>
  <c r="S1741" i="123"/>
  <c r="X1741" i="123"/>
  <c r="Y1741" i="123"/>
  <c r="Z1741" i="123" s="1"/>
  <c r="AB1741" i="123"/>
  <c r="AC1741" i="123" s="1"/>
  <c r="AJ1741" i="123"/>
  <c r="AK1741" i="123"/>
  <c r="AL1741" i="123"/>
  <c r="AO1741" i="123"/>
  <c r="AP1741" i="123"/>
  <c r="AQ1741" i="123" s="1"/>
  <c r="AT1741" i="123"/>
  <c r="AU1741" i="123"/>
  <c r="K1742" i="123"/>
  <c r="L1742" i="123"/>
  <c r="M1742" i="123"/>
  <c r="N1742" i="123"/>
  <c r="O1742" i="123"/>
  <c r="P1742" i="123"/>
  <c r="Q1742" i="123"/>
  <c r="R1742" i="123"/>
  <c r="T1742" i="123" s="1"/>
  <c r="S1742" i="123"/>
  <c r="X1742" i="123"/>
  <c r="Y1742" i="123"/>
  <c r="AA1742" i="123" s="1"/>
  <c r="AB1742" i="123"/>
  <c r="AC1742" i="123" s="1"/>
  <c r="AJ1742" i="123"/>
  <c r="AK1742" i="123"/>
  <c r="AL1742" i="123"/>
  <c r="AO1742" i="123"/>
  <c r="AP1742" i="123"/>
  <c r="AQ1742" i="123" s="1"/>
  <c r="AT1742" i="123"/>
  <c r="AU1742" i="123"/>
  <c r="K1743" i="123"/>
  <c r="L1743" i="123"/>
  <c r="M1743" i="123"/>
  <c r="N1743" i="123"/>
  <c r="O1743" i="123"/>
  <c r="P1743" i="123"/>
  <c r="Q1743" i="123"/>
  <c r="R1743" i="123"/>
  <c r="T1743" i="123" s="1"/>
  <c r="S1743" i="123"/>
  <c r="X1743" i="123"/>
  <c r="Y1743" i="123"/>
  <c r="Z1743" i="123" s="1"/>
  <c r="AB1743" i="123"/>
  <c r="AD1743" i="123" s="1"/>
  <c r="AJ1743" i="123"/>
  <c r="AK1743" i="123"/>
  <c r="AL1743" i="123"/>
  <c r="AO1743" i="123"/>
  <c r="AP1743" i="123"/>
  <c r="AQ1743" i="123" s="1"/>
  <c r="AT1743" i="123"/>
  <c r="AU1743" i="123"/>
  <c r="K1744" i="123"/>
  <c r="L1744" i="123"/>
  <c r="M1744" i="123"/>
  <c r="N1744" i="123"/>
  <c r="O1744" i="123"/>
  <c r="P1744" i="123"/>
  <c r="Q1744" i="123"/>
  <c r="R1744" i="123"/>
  <c r="T1744" i="123" s="1"/>
  <c r="S1744" i="123"/>
  <c r="X1744" i="123"/>
  <c r="Y1744" i="123"/>
  <c r="Z1744" i="123" s="1"/>
  <c r="AB1744" i="123"/>
  <c r="AC1744" i="123" s="1"/>
  <c r="AJ1744" i="123"/>
  <c r="AK1744" i="123"/>
  <c r="AL1744" i="123"/>
  <c r="AO1744" i="123"/>
  <c r="AP1744" i="123"/>
  <c r="AQ1744" i="123" s="1"/>
  <c r="AT1744" i="123"/>
  <c r="AU1744" i="123"/>
  <c r="K1745" i="123"/>
  <c r="L1745" i="123"/>
  <c r="M1745" i="123"/>
  <c r="N1745" i="123"/>
  <c r="O1745" i="123"/>
  <c r="P1745" i="123"/>
  <c r="Q1745" i="123"/>
  <c r="R1745" i="123"/>
  <c r="T1745" i="123" s="1"/>
  <c r="S1745" i="123"/>
  <c r="X1745" i="123"/>
  <c r="Y1745" i="123"/>
  <c r="Z1745" i="123" s="1"/>
  <c r="AB1745" i="123"/>
  <c r="AD1745" i="123" s="1"/>
  <c r="AJ1745" i="123"/>
  <c r="AK1745" i="123"/>
  <c r="AL1745" i="123"/>
  <c r="AO1745" i="123"/>
  <c r="AP1745" i="123"/>
  <c r="AQ1745" i="123" s="1"/>
  <c r="AT1745" i="123"/>
  <c r="AU1745" i="123"/>
  <c r="K1746" i="123"/>
  <c r="L1746" i="123"/>
  <c r="M1746" i="123"/>
  <c r="N1746" i="123"/>
  <c r="O1746" i="123"/>
  <c r="P1746" i="123"/>
  <c r="Q1746" i="123"/>
  <c r="R1746" i="123"/>
  <c r="T1746" i="123" s="1"/>
  <c r="S1746" i="123"/>
  <c r="X1746" i="123"/>
  <c r="Y1746" i="123"/>
  <c r="AA1746" i="123" s="1"/>
  <c r="AB1746" i="123"/>
  <c r="AC1746" i="123" s="1"/>
  <c r="AJ1746" i="123"/>
  <c r="AK1746" i="123"/>
  <c r="AL1746" i="123"/>
  <c r="AO1746" i="123"/>
  <c r="AP1746" i="123"/>
  <c r="AQ1746" i="123" s="1"/>
  <c r="AT1746" i="123"/>
  <c r="AU1746" i="123"/>
  <c r="K1747" i="123"/>
  <c r="L1747" i="123"/>
  <c r="M1747" i="123"/>
  <c r="N1747" i="123"/>
  <c r="O1747" i="123"/>
  <c r="P1747" i="123"/>
  <c r="Q1747" i="123"/>
  <c r="R1747" i="123"/>
  <c r="T1747" i="123" s="1"/>
  <c r="S1747" i="123"/>
  <c r="X1747" i="123"/>
  <c r="Y1747" i="123"/>
  <c r="Z1747" i="123" s="1"/>
  <c r="AB1747" i="123"/>
  <c r="AD1747" i="123" s="1"/>
  <c r="AJ1747" i="123"/>
  <c r="AK1747" i="123"/>
  <c r="AL1747" i="123"/>
  <c r="AO1747" i="123"/>
  <c r="AP1747" i="123"/>
  <c r="AQ1747" i="123" s="1"/>
  <c r="AT1747" i="123"/>
  <c r="AU1747" i="123"/>
  <c r="K1748" i="123"/>
  <c r="L1748" i="123"/>
  <c r="M1748" i="123"/>
  <c r="N1748" i="123"/>
  <c r="O1748" i="123"/>
  <c r="P1748" i="123"/>
  <c r="Q1748" i="123"/>
  <c r="R1748" i="123"/>
  <c r="T1748" i="123" s="1"/>
  <c r="S1748" i="123"/>
  <c r="X1748" i="123"/>
  <c r="Y1748" i="123"/>
  <c r="Z1748" i="123" s="1"/>
  <c r="AB1748" i="123"/>
  <c r="AC1748" i="123" s="1"/>
  <c r="AJ1748" i="123"/>
  <c r="AK1748" i="123"/>
  <c r="AL1748" i="123"/>
  <c r="AO1748" i="123"/>
  <c r="AP1748" i="123"/>
  <c r="AQ1748" i="123" s="1"/>
  <c r="AT1748" i="123"/>
  <c r="AU1748" i="123"/>
  <c r="K1749" i="123"/>
  <c r="L1749" i="123"/>
  <c r="M1749" i="123"/>
  <c r="N1749" i="123"/>
  <c r="O1749" i="123"/>
  <c r="P1749" i="123"/>
  <c r="Q1749" i="123"/>
  <c r="R1749" i="123"/>
  <c r="T1749" i="123" s="1"/>
  <c r="S1749" i="123"/>
  <c r="X1749" i="123"/>
  <c r="Y1749" i="123"/>
  <c r="Z1749" i="123" s="1"/>
  <c r="AB1749" i="123"/>
  <c r="AC1749" i="123" s="1"/>
  <c r="AJ1749" i="123"/>
  <c r="AK1749" i="123"/>
  <c r="AL1749" i="123"/>
  <c r="AO1749" i="123"/>
  <c r="AP1749" i="123"/>
  <c r="AQ1749" i="123" s="1"/>
  <c r="AT1749" i="123"/>
  <c r="AU1749" i="123"/>
  <c r="K1750" i="123"/>
  <c r="L1750" i="123"/>
  <c r="M1750" i="123"/>
  <c r="N1750" i="123"/>
  <c r="O1750" i="123"/>
  <c r="P1750" i="123"/>
  <c r="Q1750" i="123"/>
  <c r="R1750" i="123"/>
  <c r="T1750" i="123" s="1"/>
  <c r="S1750" i="123"/>
  <c r="X1750" i="123"/>
  <c r="Y1750" i="123"/>
  <c r="AA1750" i="123" s="1"/>
  <c r="AB1750" i="123"/>
  <c r="AC1750" i="123" s="1"/>
  <c r="AJ1750" i="123"/>
  <c r="AK1750" i="123"/>
  <c r="AL1750" i="123"/>
  <c r="AO1750" i="123"/>
  <c r="AP1750" i="123"/>
  <c r="AQ1750" i="123" s="1"/>
  <c r="AT1750" i="123"/>
  <c r="AU1750" i="123"/>
  <c r="K1751" i="123"/>
  <c r="L1751" i="123"/>
  <c r="M1751" i="123"/>
  <c r="N1751" i="123"/>
  <c r="O1751" i="123"/>
  <c r="P1751" i="123"/>
  <c r="Q1751" i="123"/>
  <c r="R1751" i="123"/>
  <c r="T1751" i="123" s="1"/>
  <c r="S1751" i="123"/>
  <c r="X1751" i="123"/>
  <c r="Y1751" i="123"/>
  <c r="Z1751" i="123" s="1"/>
  <c r="AB1751" i="123"/>
  <c r="AD1751" i="123" s="1"/>
  <c r="AJ1751" i="123"/>
  <c r="AK1751" i="123"/>
  <c r="AL1751" i="123"/>
  <c r="AO1751" i="123"/>
  <c r="AP1751" i="123"/>
  <c r="AQ1751" i="123" s="1"/>
  <c r="AT1751" i="123"/>
  <c r="AU1751" i="123"/>
  <c r="K1752" i="123"/>
  <c r="L1752" i="123"/>
  <c r="M1752" i="123"/>
  <c r="N1752" i="123"/>
  <c r="O1752" i="123"/>
  <c r="P1752" i="123"/>
  <c r="Q1752" i="123"/>
  <c r="R1752" i="123"/>
  <c r="T1752" i="123" s="1"/>
  <c r="S1752" i="123"/>
  <c r="X1752" i="123"/>
  <c r="Y1752" i="123"/>
  <c r="Z1752" i="123" s="1"/>
  <c r="AB1752" i="123"/>
  <c r="AC1752" i="123" s="1"/>
  <c r="AJ1752" i="123"/>
  <c r="AK1752" i="123"/>
  <c r="AL1752" i="123"/>
  <c r="AO1752" i="123"/>
  <c r="AP1752" i="123"/>
  <c r="AQ1752" i="123" s="1"/>
  <c r="AT1752" i="123"/>
  <c r="AU1752" i="123"/>
  <c r="K1753" i="123"/>
  <c r="L1753" i="123"/>
  <c r="M1753" i="123"/>
  <c r="N1753" i="123"/>
  <c r="O1753" i="123"/>
  <c r="P1753" i="123"/>
  <c r="Q1753" i="123"/>
  <c r="R1753" i="123"/>
  <c r="T1753" i="123" s="1"/>
  <c r="S1753" i="123"/>
  <c r="X1753" i="123"/>
  <c r="Y1753" i="123"/>
  <c r="Z1753" i="123" s="1"/>
  <c r="AB1753" i="123"/>
  <c r="AC1753" i="123" s="1"/>
  <c r="AJ1753" i="123"/>
  <c r="AK1753" i="123"/>
  <c r="AL1753" i="123"/>
  <c r="AO1753" i="123"/>
  <c r="AP1753" i="123"/>
  <c r="AQ1753" i="123" s="1"/>
  <c r="AT1753" i="123"/>
  <c r="AU1753" i="123"/>
  <c r="K1754" i="123"/>
  <c r="L1754" i="123"/>
  <c r="M1754" i="123"/>
  <c r="N1754" i="123"/>
  <c r="O1754" i="123"/>
  <c r="P1754" i="123"/>
  <c r="Q1754" i="123"/>
  <c r="R1754" i="123"/>
  <c r="T1754" i="123" s="1"/>
  <c r="S1754" i="123"/>
  <c r="X1754" i="123"/>
  <c r="Y1754" i="123"/>
  <c r="AA1754" i="123" s="1"/>
  <c r="AB1754" i="123"/>
  <c r="AC1754" i="123" s="1"/>
  <c r="AJ1754" i="123"/>
  <c r="AK1754" i="123"/>
  <c r="AL1754" i="123"/>
  <c r="AO1754" i="123"/>
  <c r="AP1754" i="123"/>
  <c r="AQ1754" i="123" s="1"/>
  <c r="AT1754" i="123"/>
  <c r="AU1754" i="123"/>
  <c r="K1755" i="123"/>
  <c r="L1755" i="123"/>
  <c r="M1755" i="123"/>
  <c r="N1755" i="123"/>
  <c r="O1755" i="123"/>
  <c r="P1755" i="123"/>
  <c r="Q1755" i="123"/>
  <c r="R1755" i="123"/>
  <c r="T1755" i="123" s="1"/>
  <c r="S1755" i="123"/>
  <c r="X1755" i="123"/>
  <c r="Y1755" i="123"/>
  <c r="Z1755" i="123" s="1"/>
  <c r="AB1755" i="123"/>
  <c r="AD1755" i="123" s="1"/>
  <c r="AJ1755" i="123"/>
  <c r="AK1755" i="123"/>
  <c r="AL1755" i="123"/>
  <c r="AO1755" i="123"/>
  <c r="AP1755" i="123"/>
  <c r="AQ1755" i="123" s="1"/>
  <c r="AT1755" i="123"/>
  <c r="AU1755" i="123"/>
  <c r="K1756" i="123"/>
  <c r="L1756" i="123"/>
  <c r="M1756" i="123"/>
  <c r="N1756" i="123"/>
  <c r="O1756" i="123"/>
  <c r="P1756" i="123"/>
  <c r="Q1756" i="123"/>
  <c r="R1756" i="123"/>
  <c r="T1756" i="123" s="1"/>
  <c r="S1756" i="123"/>
  <c r="X1756" i="123"/>
  <c r="Y1756" i="123"/>
  <c r="Z1756" i="123" s="1"/>
  <c r="AB1756" i="123"/>
  <c r="AC1756" i="123" s="1"/>
  <c r="AJ1756" i="123"/>
  <c r="AK1756" i="123"/>
  <c r="AL1756" i="123"/>
  <c r="AO1756" i="123"/>
  <c r="AP1756" i="123"/>
  <c r="AQ1756" i="123" s="1"/>
  <c r="AT1756" i="123"/>
  <c r="AU1756" i="123"/>
  <c r="K1757" i="123"/>
  <c r="L1757" i="123"/>
  <c r="M1757" i="123"/>
  <c r="N1757" i="123"/>
  <c r="O1757" i="123"/>
  <c r="P1757" i="123"/>
  <c r="Q1757" i="123"/>
  <c r="R1757" i="123"/>
  <c r="T1757" i="123" s="1"/>
  <c r="S1757" i="123"/>
  <c r="X1757" i="123"/>
  <c r="Y1757" i="123"/>
  <c r="Z1757" i="123" s="1"/>
  <c r="AB1757" i="123"/>
  <c r="AD1757" i="123" s="1"/>
  <c r="AJ1757" i="123"/>
  <c r="AK1757" i="123"/>
  <c r="AL1757" i="123"/>
  <c r="AO1757" i="123"/>
  <c r="AP1757" i="123"/>
  <c r="AQ1757" i="123" s="1"/>
  <c r="AT1757" i="123"/>
  <c r="AU1757" i="123"/>
  <c r="K1758" i="123"/>
  <c r="L1758" i="123"/>
  <c r="M1758" i="123"/>
  <c r="N1758" i="123"/>
  <c r="O1758" i="123"/>
  <c r="P1758" i="123"/>
  <c r="Q1758" i="123"/>
  <c r="R1758" i="123"/>
  <c r="T1758" i="123" s="1"/>
  <c r="V1758" i="123" s="1"/>
  <c r="S1758" i="123"/>
  <c r="X1758" i="123"/>
  <c r="Y1758" i="123"/>
  <c r="AA1758" i="123" s="1"/>
  <c r="AB1758" i="123"/>
  <c r="AC1758" i="123" s="1"/>
  <c r="AJ1758" i="123"/>
  <c r="AK1758" i="123"/>
  <c r="AL1758" i="123"/>
  <c r="AO1758" i="123"/>
  <c r="AP1758" i="123"/>
  <c r="AQ1758" i="123" s="1"/>
  <c r="AT1758" i="123"/>
  <c r="AU1758" i="123"/>
  <c r="K1759" i="123"/>
  <c r="L1759" i="123"/>
  <c r="M1759" i="123"/>
  <c r="N1759" i="123"/>
  <c r="O1759" i="123"/>
  <c r="P1759" i="123"/>
  <c r="Q1759" i="123"/>
  <c r="R1759" i="123"/>
  <c r="T1759" i="123" s="1"/>
  <c r="S1759" i="123"/>
  <c r="X1759" i="123"/>
  <c r="Y1759" i="123"/>
  <c r="AB1759" i="123"/>
  <c r="AD1759" i="123" s="1"/>
  <c r="AJ1759" i="123"/>
  <c r="AK1759" i="123"/>
  <c r="AL1759" i="123"/>
  <c r="AO1759" i="123"/>
  <c r="AP1759" i="123"/>
  <c r="AQ1759" i="123" s="1"/>
  <c r="AT1759" i="123"/>
  <c r="AU1759" i="123"/>
  <c r="K1760" i="123"/>
  <c r="L1760" i="123"/>
  <c r="M1760" i="123"/>
  <c r="N1760" i="123"/>
  <c r="O1760" i="123"/>
  <c r="P1760" i="123"/>
  <c r="Q1760" i="123"/>
  <c r="R1760" i="123"/>
  <c r="T1760" i="123" s="1"/>
  <c r="S1760" i="123"/>
  <c r="X1760" i="123"/>
  <c r="Y1760" i="123"/>
  <c r="Z1760" i="123" s="1"/>
  <c r="AB1760" i="123"/>
  <c r="AJ1760" i="123"/>
  <c r="AK1760" i="123"/>
  <c r="AL1760" i="123"/>
  <c r="AO1760" i="123"/>
  <c r="AP1760" i="123"/>
  <c r="AT1760" i="123"/>
  <c r="AU1760" i="123"/>
  <c r="K1761" i="123"/>
  <c r="L1761" i="123"/>
  <c r="M1761" i="123"/>
  <c r="N1761" i="123"/>
  <c r="O1761" i="123"/>
  <c r="P1761" i="123"/>
  <c r="Q1761" i="123"/>
  <c r="R1761" i="123"/>
  <c r="T1761" i="123" s="1"/>
  <c r="W1761" i="123" s="1"/>
  <c r="S1761" i="123"/>
  <c r="X1761" i="123"/>
  <c r="Y1761" i="123"/>
  <c r="Z1761" i="123" s="1"/>
  <c r="AB1761" i="123"/>
  <c r="AC1761" i="123" s="1"/>
  <c r="AJ1761" i="123"/>
  <c r="AK1761" i="123"/>
  <c r="AL1761" i="123"/>
  <c r="AO1761" i="123"/>
  <c r="AP1761" i="123"/>
  <c r="AQ1761" i="123" s="1"/>
  <c r="AT1761" i="123"/>
  <c r="AU1761" i="123"/>
  <c r="K1762" i="123"/>
  <c r="L1762" i="123"/>
  <c r="M1762" i="123"/>
  <c r="N1762" i="123"/>
  <c r="O1762" i="123"/>
  <c r="P1762" i="123"/>
  <c r="Q1762" i="123"/>
  <c r="R1762" i="123"/>
  <c r="T1762" i="123" s="1"/>
  <c r="V1762" i="123" s="1"/>
  <c r="S1762" i="123"/>
  <c r="X1762" i="123"/>
  <c r="Y1762" i="123"/>
  <c r="AA1762" i="123" s="1"/>
  <c r="AB1762" i="123"/>
  <c r="AC1762" i="123" s="1"/>
  <c r="AJ1762" i="123"/>
  <c r="AK1762" i="123"/>
  <c r="AL1762" i="123"/>
  <c r="AO1762" i="123"/>
  <c r="AP1762" i="123"/>
  <c r="AQ1762" i="123" s="1"/>
  <c r="AT1762" i="123"/>
  <c r="AU1762" i="123"/>
  <c r="K1763" i="123"/>
  <c r="L1763" i="123"/>
  <c r="M1763" i="123"/>
  <c r="N1763" i="123"/>
  <c r="O1763" i="123"/>
  <c r="P1763" i="123"/>
  <c r="Q1763" i="123"/>
  <c r="R1763" i="123"/>
  <c r="T1763" i="123" s="1"/>
  <c r="S1763" i="123"/>
  <c r="X1763" i="123"/>
  <c r="Y1763" i="123"/>
  <c r="AB1763" i="123"/>
  <c r="AD1763" i="123" s="1"/>
  <c r="AJ1763" i="123"/>
  <c r="AK1763" i="123"/>
  <c r="AL1763" i="123"/>
  <c r="AO1763" i="123"/>
  <c r="AP1763" i="123"/>
  <c r="AQ1763" i="123" s="1"/>
  <c r="AT1763" i="123"/>
  <c r="AU1763" i="123"/>
  <c r="K1764" i="123"/>
  <c r="L1764" i="123"/>
  <c r="M1764" i="123"/>
  <c r="N1764" i="123"/>
  <c r="O1764" i="123"/>
  <c r="P1764" i="123"/>
  <c r="Q1764" i="123"/>
  <c r="R1764" i="123"/>
  <c r="T1764" i="123" s="1"/>
  <c r="S1764" i="123"/>
  <c r="X1764" i="123"/>
  <c r="Y1764" i="123"/>
  <c r="Z1764" i="123" s="1"/>
  <c r="AB1764" i="123"/>
  <c r="AJ1764" i="123"/>
  <c r="AK1764" i="123"/>
  <c r="AL1764" i="123"/>
  <c r="AO1764" i="123"/>
  <c r="AP1764" i="123"/>
  <c r="AT1764" i="123"/>
  <c r="AU1764" i="123"/>
  <c r="K1765" i="123"/>
  <c r="L1765" i="123"/>
  <c r="M1765" i="123"/>
  <c r="N1765" i="123"/>
  <c r="O1765" i="123"/>
  <c r="P1765" i="123"/>
  <c r="Q1765" i="123"/>
  <c r="R1765" i="123"/>
  <c r="T1765" i="123" s="1"/>
  <c r="S1765" i="123"/>
  <c r="X1765" i="123"/>
  <c r="Y1765" i="123"/>
  <c r="Z1765" i="123" s="1"/>
  <c r="AB1765" i="123"/>
  <c r="AC1765" i="123" s="1"/>
  <c r="AJ1765" i="123"/>
  <c r="AK1765" i="123"/>
  <c r="AL1765" i="123"/>
  <c r="AO1765" i="123"/>
  <c r="AP1765" i="123"/>
  <c r="AQ1765" i="123" s="1"/>
  <c r="AT1765" i="123"/>
  <c r="AU1765" i="123"/>
  <c r="K1766" i="123"/>
  <c r="L1766" i="123"/>
  <c r="M1766" i="123"/>
  <c r="N1766" i="123"/>
  <c r="O1766" i="123"/>
  <c r="P1766" i="123"/>
  <c r="Q1766" i="123"/>
  <c r="R1766" i="123"/>
  <c r="T1766" i="123" s="1"/>
  <c r="S1766" i="123"/>
  <c r="X1766" i="123"/>
  <c r="Y1766" i="123"/>
  <c r="AA1766" i="123" s="1"/>
  <c r="AB1766" i="123"/>
  <c r="AC1766" i="123" s="1"/>
  <c r="AJ1766" i="123"/>
  <c r="AK1766" i="123"/>
  <c r="AL1766" i="123"/>
  <c r="AO1766" i="123"/>
  <c r="AP1766" i="123"/>
  <c r="AQ1766" i="123" s="1"/>
  <c r="AT1766" i="123"/>
  <c r="AU1766" i="123"/>
  <c r="K1767" i="123"/>
  <c r="L1767" i="123"/>
  <c r="M1767" i="123"/>
  <c r="N1767" i="123"/>
  <c r="O1767" i="123"/>
  <c r="P1767" i="123"/>
  <c r="Q1767" i="123"/>
  <c r="R1767" i="123"/>
  <c r="T1767" i="123" s="1"/>
  <c r="S1767" i="123"/>
  <c r="X1767" i="123"/>
  <c r="Y1767" i="123"/>
  <c r="Z1767" i="123" s="1"/>
  <c r="AB1767" i="123"/>
  <c r="AD1767" i="123" s="1"/>
  <c r="AJ1767" i="123"/>
  <c r="AK1767" i="123"/>
  <c r="AL1767" i="123"/>
  <c r="AO1767" i="123"/>
  <c r="AP1767" i="123"/>
  <c r="AQ1767" i="123" s="1"/>
  <c r="AT1767" i="123"/>
  <c r="AU1767" i="123"/>
  <c r="K1768" i="123"/>
  <c r="L1768" i="123"/>
  <c r="M1768" i="123"/>
  <c r="N1768" i="123"/>
  <c r="O1768" i="123"/>
  <c r="P1768" i="123"/>
  <c r="Q1768" i="123"/>
  <c r="R1768" i="123"/>
  <c r="T1768" i="123" s="1"/>
  <c r="S1768" i="123"/>
  <c r="X1768" i="123"/>
  <c r="Y1768" i="123"/>
  <c r="Z1768" i="123" s="1"/>
  <c r="AB1768" i="123"/>
  <c r="AC1768" i="123" s="1"/>
  <c r="AJ1768" i="123"/>
  <c r="AK1768" i="123"/>
  <c r="AL1768" i="123"/>
  <c r="AO1768" i="123"/>
  <c r="AP1768" i="123"/>
  <c r="AT1768" i="123"/>
  <c r="AU1768" i="123"/>
  <c r="K1769" i="123"/>
  <c r="L1769" i="123"/>
  <c r="M1769" i="123"/>
  <c r="N1769" i="123"/>
  <c r="O1769" i="123"/>
  <c r="P1769" i="123"/>
  <c r="Q1769" i="123"/>
  <c r="R1769" i="123"/>
  <c r="T1769" i="123" s="1"/>
  <c r="V1769" i="123" s="1"/>
  <c r="S1769" i="123"/>
  <c r="X1769" i="123"/>
  <c r="Y1769" i="123"/>
  <c r="Z1769" i="123" s="1"/>
  <c r="AB1769" i="123"/>
  <c r="AD1769" i="123" s="1"/>
  <c r="AJ1769" i="123"/>
  <c r="AK1769" i="123"/>
  <c r="AL1769" i="123"/>
  <c r="AO1769" i="123"/>
  <c r="AP1769" i="123"/>
  <c r="AQ1769" i="123" s="1"/>
  <c r="AT1769" i="123"/>
  <c r="AU1769" i="123"/>
  <c r="K1770" i="123"/>
  <c r="L1770" i="123"/>
  <c r="M1770" i="123"/>
  <c r="N1770" i="123"/>
  <c r="O1770" i="123"/>
  <c r="P1770" i="123"/>
  <c r="Q1770" i="123"/>
  <c r="R1770" i="123"/>
  <c r="T1770" i="123" s="1"/>
  <c r="W1770" i="123" s="1"/>
  <c r="S1770" i="123"/>
  <c r="X1770" i="123"/>
  <c r="Y1770" i="123"/>
  <c r="AA1770" i="123" s="1"/>
  <c r="AB1770" i="123"/>
  <c r="AC1770" i="123" s="1"/>
  <c r="AJ1770" i="123"/>
  <c r="AK1770" i="123"/>
  <c r="AL1770" i="123"/>
  <c r="AO1770" i="123"/>
  <c r="AP1770" i="123"/>
  <c r="AT1770" i="123"/>
  <c r="AU1770" i="123"/>
  <c r="K1771" i="123"/>
  <c r="L1771" i="123"/>
  <c r="M1771" i="123"/>
  <c r="N1771" i="123"/>
  <c r="O1771" i="123"/>
  <c r="P1771" i="123"/>
  <c r="Q1771" i="123"/>
  <c r="R1771" i="123"/>
  <c r="T1771" i="123" s="1"/>
  <c r="V1771" i="123" s="1"/>
  <c r="S1771" i="123"/>
  <c r="X1771" i="123"/>
  <c r="Y1771" i="123"/>
  <c r="Z1771" i="123" s="1"/>
  <c r="AB1771" i="123"/>
  <c r="AD1771" i="123" s="1"/>
  <c r="AJ1771" i="123"/>
  <c r="AK1771" i="123"/>
  <c r="AL1771" i="123"/>
  <c r="AO1771" i="123"/>
  <c r="AP1771" i="123"/>
  <c r="AQ1771" i="123" s="1"/>
  <c r="AT1771" i="123"/>
  <c r="AU1771" i="123"/>
  <c r="K1772" i="123"/>
  <c r="L1772" i="123"/>
  <c r="M1772" i="123"/>
  <c r="N1772" i="123"/>
  <c r="O1772" i="123"/>
  <c r="P1772" i="123"/>
  <c r="Q1772" i="123"/>
  <c r="R1772" i="123"/>
  <c r="T1772" i="123" s="1"/>
  <c r="S1772" i="123"/>
  <c r="X1772" i="123"/>
  <c r="Y1772" i="123"/>
  <c r="Z1772" i="123" s="1"/>
  <c r="AB1772" i="123"/>
  <c r="AC1772" i="123" s="1"/>
  <c r="AJ1772" i="123"/>
  <c r="AK1772" i="123"/>
  <c r="AL1772" i="123"/>
  <c r="AO1772" i="123"/>
  <c r="AP1772" i="123"/>
  <c r="AQ1772" i="123" s="1"/>
  <c r="AT1772" i="123"/>
  <c r="AU1772" i="123"/>
  <c r="K1773" i="123"/>
  <c r="L1773" i="123"/>
  <c r="M1773" i="123"/>
  <c r="N1773" i="123"/>
  <c r="O1773" i="123"/>
  <c r="P1773" i="123"/>
  <c r="Q1773" i="123"/>
  <c r="R1773" i="123"/>
  <c r="T1773" i="123" s="1"/>
  <c r="S1773" i="123"/>
  <c r="X1773" i="123"/>
  <c r="Y1773" i="123"/>
  <c r="Z1773" i="123" s="1"/>
  <c r="AB1773" i="123"/>
  <c r="AD1773" i="123" s="1"/>
  <c r="AJ1773" i="123"/>
  <c r="AK1773" i="123"/>
  <c r="AL1773" i="123"/>
  <c r="AO1773" i="123"/>
  <c r="AP1773" i="123"/>
  <c r="AQ1773" i="123" s="1"/>
  <c r="AT1773" i="123"/>
  <c r="AU1773" i="123"/>
  <c r="K1774" i="123"/>
  <c r="L1774" i="123"/>
  <c r="M1774" i="123"/>
  <c r="N1774" i="123"/>
  <c r="O1774" i="123"/>
  <c r="P1774" i="123"/>
  <c r="Q1774" i="123"/>
  <c r="R1774" i="123"/>
  <c r="T1774" i="123" s="1"/>
  <c r="S1774" i="123"/>
  <c r="X1774" i="123"/>
  <c r="Y1774" i="123"/>
  <c r="AA1774" i="123" s="1"/>
  <c r="AB1774" i="123"/>
  <c r="AC1774" i="123" s="1"/>
  <c r="AJ1774" i="123"/>
  <c r="AK1774" i="123"/>
  <c r="AL1774" i="123"/>
  <c r="AO1774" i="123"/>
  <c r="AP1774" i="123"/>
  <c r="AT1774" i="123"/>
  <c r="AU1774" i="123"/>
  <c r="K1775" i="123"/>
  <c r="L1775" i="123"/>
  <c r="M1775" i="123"/>
  <c r="N1775" i="123"/>
  <c r="O1775" i="123"/>
  <c r="P1775" i="123"/>
  <c r="Q1775" i="123"/>
  <c r="R1775" i="123"/>
  <c r="T1775" i="123" s="1"/>
  <c r="S1775" i="123"/>
  <c r="X1775" i="123"/>
  <c r="Y1775" i="123"/>
  <c r="Z1775" i="123" s="1"/>
  <c r="AB1775" i="123"/>
  <c r="AD1775" i="123" s="1"/>
  <c r="AJ1775" i="123"/>
  <c r="AK1775" i="123"/>
  <c r="AL1775" i="123"/>
  <c r="AO1775" i="123"/>
  <c r="AP1775" i="123"/>
  <c r="AQ1775" i="123" s="1"/>
  <c r="AT1775" i="123"/>
  <c r="AU1775" i="123"/>
  <c r="K1776" i="123"/>
  <c r="L1776" i="123"/>
  <c r="M1776" i="123"/>
  <c r="N1776" i="123"/>
  <c r="O1776" i="123"/>
  <c r="P1776" i="123"/>
  <c r="Q1776" i="123"/>
  <c r="R1776" i="123"/>
  <c r="T1776" i="123" s="1"/>
  <c r="S1776" i="123"/>
  <c r="X1776" i="123"/>
  <c r="Y1776" i="123"/>
  <c r="Z1776" i="123" s="1"/>
  <c r="AB1776" i="123"/>
  <c r="AC1776" i="123" s="1"/>
  <c r="AJ1776" i="123"/>
  <c r="AK1776" i="123"/>
  <c r="AL1776" i="123"/>
  <c r="AO1776" i="123"/>
  <c r="AP1776" i="123"/>
  <c r="AQ1776" i="123" s="1"/>
  <c r="AT1776" i="123"/>
  <c r="AU1776" i="123"/>
  <c r="K1777" i="123"/>
  <c r="L1777" i="123"/>
  <c r="M1777" i="123"/>
  <c r="N1777" i="123"/>
  <c r="O1777" i="123"/>
  <c r="P1777" i="123"/>
  <c r="Q1777" i="123"/>
  <c r="R1777" i="123"/>
  <c r="T1777" i="123" s="1"/>
  <c r="V1777" i="123" s="1"/>
  <c r="S1777" i="123"/>
  <c r="X1777" i="123"/>
  <c r="Y1777" i="123"/>
  <c r="AA1777" i="123" s="1"/>
  <c r="AB1777" i="123"/>
  <c r="AC1777" i="123" s="1"/>
  <c r="AJ1777" i="123"/>
  <c r="AK1777" i="123"/>
  <c r="AL1777" i="123"/>
  <c r="AO1777" i="123"/>
  <c r="AP1777" i="123"/>
  <c r="AT1777" i="123"/>
  <c r="AU1777" i="123"/>
  <c r="K1778" i="123"/>
  <c r="L1778" i="123"/>
  <c r="M1778" i="123"/>
  <c r="N1778" i="123"/>
  <c r="O1778" i="123"/>
  <c r="P1778" i="123"/>
  <c r="Q1778" i="123"/>
  <c r="R1778" i="123"/>
  <c r="T1778" i="123" s="1"/>
  <c r="W1778" i="123" s="1"/>
  <c r="S1778" i="123"/>
  <c r="X1778" i="123"/>
  <c r="Y1778" i="123"/>
  <c r="Z1778" i="123" s="1"/>
  <c r="AB1778" i="123"/>
  <c r="AD1778" i="123" s="1"/>
  <c r="AJ1778" i="123"/>
  <c r="AK1778" i="123"/>
  <c r="AL1778" i="123"/>
  <c r="AO1778" i="123"/>
  <c r="AP1778" i="123"/>
  <c r="AQ1778" i="123" s="1"/>
  <c r="AT1778" i="123"/>
  <c r="AU1778" i="123"/>
  <c r="K1779" i="123"/>
  <c r="L1779" i="123"/>
  <c r="M1779" i="123"/>
  <c r="N1779" i="123"/>
  <c r="O1779" i="123"/>
  <c r="P1779" i="123"/>
  <c r="Q1779" i="123"/>
  <c r="R1779" i="123"/>
  <c r="T1779" i="123" s="1"/>
  <c r="S1779" i="123"/>
  <c r="X1779" i="123"/>
  <c r="Y1779" i="123"/>
  <c r="Z1779" i="123" s="1"/>
  <c r="AB1779" i="123"/>
  <c r="AC1779" i="123" s="1"/>
  <c r="AJ1779" i="123"/>
  <c r="AK1779" i="123"/>
  <c r="AL1779" i="123"/>
  <c r="AO1779" i="123"/>
  <c r="AP1779" i="123"/>
  <c r="AQ1779" i="123" s="1"/>
  <c r="AT1779" i="123"/>
  <c r="AU1779" i="123"/>
  <c r="K1780" i="123"/>
  <c r="L1780" i="123"/>
  <c r="M1780" i="123"/>
  <c r="N1780" i="123"/>
  <c r="O1780" i="123"/>
  <c r="P1780" i="123"/>
  <c r="Q1780" i="123"/>
  <c r="R1780" i="123"/>
  <c r="T1780" i="123" s="1"/>
  <c r="S1780" i="123"/>
  <c r="X1780" i="123"/>
  <c r="Y1780" i="123"/>
  <c r="Z1780" i="123" s="1"/>
  <c r="AB1780" i="123"/>
  <c r="AC1780" i="123" s="1"/>
  <c r="AJ1780" i="123"/>
  <c r="AK1780" i="123"/>
  <c r="AL1780" i="123"/>
  <c r="AO1780" i="123"/>
  <c r="AP1780" i="123"/>
  <c r="AQ1780" i="123" s="1"/>
  <c r="AT1780" i="123"/>
  <c r="AU1780" i="123"/>
  <c r="K1781" i="123"/>
  <c r="L1781" i="123"/>
  <c r="M1781" i="123"/>
  <c r="N1781" i="123"/>
  <c r="O1781" i="123"/>
  <c r="P1781" i="123"/>
  <c r="Q1781" i="123"/>
  <c r="R1781" i="123"/>
  <c r="T1781" i="123" s="1"/>
  <c r="W1781" i="123" s="1"/>
  <c r="S1781" i="123"/>
  <c r="X1781" i="123"/>
  <c r="Y1781" i="123"/>
  <c r="AA1781" i="123" s="1"/>
  <c r="AB1781" i="123"/>
  <c r="AC1781" i="123" s="1"/>
  <c r="AJ1781" i="123"/>
  <c r="AK1781" i="123"/>
  <c r="AL1781" i="123"/>
  <c r="AO1781" i="123"/>
  <c r="AP1781" i="123"/>
  <c r="AQ1781" i="123" s="1"/>
  <c r="AT1781" i="123"/>
  <c r="AU1781" i="123"/>
  <c r="K1782" i="123"/>
  <c r="L1782" i="123"/>
  <c r="M1782" i="123"/>
  <c r="N1782" i="123"/>
  <c r="O1782" i="123"/>
  <c r="P1782" i="123"/>
  <c r="Q1782" i="123"/>
  <c r="R1782" i="123"/>
  <c r="T1782" i="123" s="1"/>
  <c r="S1782" i="123"/>
  <c r="X1782" i="123"/>
  <c r="Y1782" i="123"/>
  <c r="Z1782" i="123" s="1"/>
  <c r="AB1782" i="123"/>
  <c r="AD1782" i="123" s="1"/>
  <c r="AJ1782" i="123"/>
  <c r="AK1782" i="123"/>
  <c r="AL1782" i="123"/>
  <c r="AO1782" i="123"/>
  <c r="AP1782" i="123"/>
  <c r="AQ1782" i="123" s="1"/>
  <c r="AT1782" i="123"/>
  <c r="AU1782" i="123"/>
  <c r="K1783" i="123"/>
  <c r="L1783" i="123"/>
  <c r="M1783" i="123"/>
  <c r="N1783" i="123"/>
  <c r="O1783" i="123"/>
  <c r="P1783" i="123"/>
  <c r="Q1783" i="123"/>
  <c r="R1783" i="123"/>
  <c r="T1783" i="123" s="1"/>
  <c r="S1783" i="123"/>
  <c r="X1783" i="123"/>
  <c r="Y1783" i="123"/>
  <c r="Z1783" i="123" s="1"/>
  <c r="AB1783" i="123"/>
  <c r="AC1783" i="123" s="1"/>
  <c r="AJ1783" i="123"/>
  <c r="AK1783" i="123"/>
  <c r="AL1783" i="123"/>
  <c r="AO1783" i="123"/>
  <c r="AP1783" i="123"/>
  <c r="AQ1783" i="123" s="1"/>
  <c r="AT1783" i="123"/>
  <c r="AU1783" i="123"/>
  <c r="K1784" i="123"/>
  <c r="L1784" i="123"/>
  <c r="M1784" i="123"/>
  <c r="N1784" i="123"/>
  <c r="O1784" i="123"/>
  <c r="P1784" i="123"/>
  <c r="Q1784" i="123"/>
  <c r="R1784" i="123"/>
  <c r="T1784" i="123" s="1"/>
  <c r="S1784" i="123"/>
  <c r="X1784" i="123"/>
  <c r="Y1784" i="123"/>
  <c r="Z1784" i="123" s="1"/>
  <c r="AB1784" i="123"/>
  <c r="AJ1784" i="123"/>
  <c r="AK1784" i="123"/>
  <c r="AL1784" i="123"/>
  <c r="AO1784" i="123"/>
  <c r="AP1784" i="123"/>
  <c r="AQ1784" i="123" s="1"/>
  <c r="AT1784" i="123"/>
  <c r="AU1784" i="123"/>
  <c r="K1785" i="123"/>
  <c r="L1785" i="123"/>
  <c r="M1785" i="123"/>
  <c r="N1785" i="123"/>
  <c r="O1785" i="123"/>
  <c r="P1785" i="123"/>
  <c r="Q1785" i="123"/>
  <c r="R1785" i="123"/>
  <c r="T1785" i="123" s="1"/>
  <c r="W1785" i="123" s="1"/>
  <c r="S1785" i="123"/>
  <c r="X1785" i="123"/>
  <c r="Y1785" i="123"/>
  <c r="AB1785" i="123"/>
  <c r="AC1785" i="123" s="1"/>
  <c r="AJ1785" i="123"/>
  <c r="AK1785" i="123"/>
  <c r="AL1785" i="123"/>
  <c r="AO1785" i="123"/>
  <c r="AP1785" i="123"/>
  <c r="AQ1785" i="123" s="1"/>
  <c r="AT1785" i="123"/>
  <c r="AU1785" i="123"/>
  <c r="K1786" i="123"/>
  <c r="L1786" i="123"/>
  <c r="M1786" i="123"/>
  <c r="N1786" i="123"/>
  <c r="O1786" i="123"/>
  <c r="P1786" i="123"/>
  <c r="Q1786" i="123"/>
  <c r="R1786" i="123"/>
  <c r="T1786" i="123" s="1"/>
  <c r="V1786" i="123" s="1"/>
  <c r="S1786" i="123"/>
  <c r="X1786" i="123"/>
  <c r="Y1786" i="123"/>
  <c r="Z1786" i="123" s="1"/>
  <c r="AB1786" i="123"/>
  <c r="AD1786" i="123" s="1"/>
  <c r="AJ1786" i="123"/>
  <c r="AK1786" i="123"/>
  <c r="AL1786" i="123"/>
  <c r="AO1786" i="123"/>
  <c r="AP1786" i="123"/>
  <c r="AQ1786" i="123" s="1"/>
  <c r="AT1786" i="123"/>
  <c r="AU1786" i="123"/>
  <c r="K1787" i="123"/>
  <c r="L1787" i="123"/>
  <c r="M1787" i="123"/>
  <c r="N1787" i="123"/>
  <c r="O1787" i="123"/>
  <c r="P1787" i="123"/>
  <c r="Q1787" i="123"/>
  <c r="R1787" i="123"/>
  <c r="T1787" i="123" s="1"/>
  <c r="S1787" i="123"/>
  <c r="X1787" i="123"/>
  <c r="Y1787" i="123"/>
  <c r="AB1787" i="123"/>
  <c r="AC1787" i="123" s="1"/>
  <c r="AJ1787" i="123"/>
  <c r="AK1787" i="123"/>
  <c r="AL1787" i="123"/>
  <c r="AO1787" i="123"/>
  <c r="AP1787" i="123"/>
  <c r="AQ1787" i="123" s="1"/>
  <c r="AT1787" i="123"/>
  <c r="AU1787" i="123"/>
  <c r="K1788" i="123"/>
  <c r="L1788" i="123"/>
  <c r="M1788" i="123"/>
  <c r="N1788" i="123"/>
  <c r="O1788" i="123"/>
  <c r="P1788" i="123"/>
  <c r="Q1788" i="123"/>
  <c r="R1788" i="123"/>
  <c r="T1788" i="123" s="1"/>
  <c r="S1788" i="123"/>
  <c r="X1788" i="123"/>
  <c r="Y1788" i="123"/>
  <c r="Z1788" i="123" s="1"/>
  <c r="AB1788" i="123"/>
  <c r="AJ1788" i="123"/>
  <c r="AK1788" i="123"/>
  <c r="AL1788" i="123"/>
  <c r="AO1788" i="123"/>
  <c r="AP1788" i="123"/>
  <c r="AQ1788" i="123" s="1"/>
  <c r="AT1788" i="123"/>
  <c r="AU1788" i="123"/>
  <c r="K1789" i="123"/>
  <c r="L1789" i="123"/>
  <c r="M1789" i="123"/>
  <c r="N1789" i="123"/>
  <c r="O1789" i="123"/>
  <c r="P1789" i="123"/>
  <c r="Q1789" i="123"/>
  <c r="R1789" i="123"/>
  <c r="T1789" i="123" s="1"/>
  <c r="W1789" i="123" s="1"/>
  <c r="S1789" i="123"/>
  <c r="X1789" i="123"/>
  <c r="Y1789" i="123"/>
  <c r="AA1789" i="123" s="1"/>
  <c r="AB1789" i="123"/>
  <c r="AC1789" i="123" s="1"/>
  <c r="AJ1789" i="123"/>
  <c r="AK1789" i="123"/>
  <c r="AL1789" i="123"/>
  <c r="AO1789" i="123"/>
  <c r="AP1789" i="123"/>
  <c r="AQ1789" i="123" s="1"/>
  <c r="AT1789" i="123"/>
  <c r="AU1789" i="123"/>
  <c r="K1790" i="123"/>
  <c r="L1790" i="123"/>
  <c r="M1790" i="123"/>
  <c r="N1790" i="123"/>
  <c r="O1790" i="123"/>
  <c r="P1790" i="123"/>
  <c r="Q1790" i="123"/>
  <c r="R1790" i="123"/>
  <c r="T1790" i="123" s="1"/>
  <c r="S1790" i="123"/>
  <c r="X1790" i="123"/>
  <c r="Y1790" i="123"/>
  <c r="Z1790" i="123" s="1"/>
  <c r="AB1790" i="123"/>
  <c r="AD1790" i="123" s="1"/>
  <c r="AJ1790" i="123"/>
  <c r="AK1790" i="123"/>
  <c r="AL1790" i="123"/>
  <c r="AO1790" i="123"/>
  <c r="AP1790" i="123"/>
  <c r="AQ1790" i="123" s="1"/>
  <c r="AT1790" i="123"/>
  <c r="AU1790" i="123"/>
  <c r="K1791" i="123"/>
  <c r="L1791" i="123"/>
  <c r="M1791" i="123"/>
  <c r="N1791" i="123"/>
  <c r="O1791" i="123"/>
  <c r="P1791" i="123"/>
  <c r="Q1791" i="123"/>
  <c r="R1791" i="123"/>
  <c r="T1791" i="123" s="1"/>
  <c r="S1791" i="123"/>
  <c r="X1791" i="123"/>
  <c r="Y1791" i="123"/>
  <c r="Z1791" i="123" s="1"/>
  <c r="AB1791" i="123"/>
  <c r="AC1791" i="123" s="1"/>
  <c r="AJ1791" i="123"/>
  <c r="AK1791" i="123"/>
  <c r="AL1791" i="123"/>
  <c r="AO1791" i="123"/>
  <c r="AP1791" i="123"/>
  <c r="AQ1791" i="123" s="1"/>
  <c r="AT1791" i="123"/>
  <c r="AU1791" i="123"/>
  <c r="K1792" i="123"/>
  <c r="L1792" i="123"/>
  <c r="M1792" i="123"/>
  <c r="N1792" i="123"/>
  <c r="O1792" i="123"/>
  <c r="P1792" i="123"/>
  <c r="Q1792" i="123"/>
  <c r="R1792" i="123"/>
  <c r="T1792" i="123" s="1"/>
  <c r="S1792" i="123"/>
  <c r="X1792" i="123"/>
  <c r="Y1792" i="123"/>
  <c r="Z1792" i="123" s="1"/>
  <c r="AB1792" i="123"/>
  <c r="AJ1792" i="123"/>
  <c r="AK1792" i="123"/>
  <c r="AL1792" i="123"/>
  <c r="AO1792" i="123"/>
  <c r="AP1792" i="123"/>
  <c r="AQ1792" i="123" s="1"/>
  <c r="AT1792" i="123"/>
  <c r="AU1792" i="123"/>
  <c r="K1793" i="123"/>
  <c r="L1793" i="123"/>
  <c r="M1793" i="123"/>
  <c r="N1793" i="123"/>
  <c r="O1793" i="123"/>
  <c r="P1793" i="123"/>
  <c r="Q1793" i="123"/>
  <c r="R1793" i="123"/>
  <c r="T1793" i="123" s="1"/>
  <c r="W1793" i="123" s="1"/>
  <c r="S1793" i="123"/>
  <c r="X1793" i="123"/>
  <c r="Y1793" i="123"/>
  <c r="AA1793" i="123" s="1"/>
  <c r="AB1793" i="123"/>
  <c r="AC1793" i="123" s="1"/>
  <c r="AJ1793" i="123"/>
  <c r="AK1793" i="123"/>
  <c r="AL1793" i="123"/>
  <c r="AO1793" i="123"/>
  <c r="AP1793" i="123"/>
  <c r="AQ1793" i="123" s="1"/>
  <c r="AT1793" i="123"/>
  <c r="AU1793" i="123"/>
  <c r="K1794" i="123"/>
  <c r="L1794" i="123"/>
  <c r="M1794" i="123"/>
  <c r="N1794" i="123"/>
  <c r="O1794" i="123"/>
  <c r="P1794" i="123"/>
  <c r="Q1794" i="123"/>
  <c r="R1794" i="123"/>
  <c r="T1794" i="123" s="1"/>
  <c r="V1794" i="123" s="1"/>
  <c r="S1794" i="123"/>
  <c r="X1794" i="123"/>
  <c r="Y1794" i="123"/>
  <c r="Z1794" i="123" s="1"/>
  <c r="AB1794" i="123"/>
  <c r="AJ1794" i="123"/>
  <c r="AK1794" i="123"/>
  <c r="AL1794" i="123"/>
  <c r="AO1794" i="123"/>
  <c r="AP1794" i="123"/>
  <c r="AQ1794" i="123" s="1"/>
  <c r="AT1794" i="123"/>
  <c r="AU1794" i="123"/>
  <c r="K1795" i="123"/>
  <c r="L1795" i="123"/>
  <c r="M1795" i="123"/>
  <c r="N1795" i="123"/>
  <c r="O1795" i="123"/>
  <c r="P1795" i="123"/>
  <c r="Q1795" i="123"/>
  <c r="R1795" i="123"/>
  <c r="T1795" i="123" s="1"/>
  <c r="S1795" i="123"/>
  <c r="X1795" i="123"/>
  <c r="Y1795" i="123"/>
  <c r="Z1795" i="123" s="1"/>
  <c r="AB1795" i="123"/>
  <c r="AC1795" i="123" s="1"/>
  <c r="AJ1795" i="123"/>
  <c r="AK1795" i="123"/>
  <c r="AL1795" i="123"/>
  <c r="AO1795" i="123"/>
  <c r="AP1795" i="123"/>
  <c r="AQ1795" i="123" s="1"/>
  <c r="AT1795" i="123"/>
  <c r="AU1795" i="123"/>
  <c r="K1796" i="123"/>
  <c r="L1796" i="123"/>
  <c r="M1796" i="123"/>
  <c r="N1796" i="123"/>
  <c r="O1796" i="123"/>
  <c r="P1796" i="123"/>
  <c r="Q1796" i="123"/>
  <c r="R1796" i="123"/>
  <c r="T1796" i="123" s="1"/>
  <c r="S1796" i="123"/>
  <c r="X1796" i="123"/>
  <c r="Y1796" i="123"/>
  <c r="Z1796" i="123" s="1"/>
  <c r="AB1796" i="123"/>
  <c r="AJ1796" i="123"/>
  <c r="AK1796" i="123"/>
  <c r="AL1796" i="123"/>
  <c r="AO1796" i="123"/>
  <c r="AP1796" i="123"/>
  <c r="AT1796" i="123"/>
  <c r="AU1796" i="123"/>
  <c r="K1797" i="123"/>
  <c r="L1797" i="123"/>
  <c r="M1797" i="123"/>
  <c r="N1797" i="123"/>
  <c r="O1797" i="123"/>
  <c r="P1797" i="123"/>
  <c r="Q1797" i="123"/>
  <c r="R1797" i="123"/>
  <c r="T1797" i="123" s="1"/>
  <c r="W1797" i="123" s="1"/>
  <c r="S1797" i="123"/>
  <c r="X1797" i="123"/>
  <c r="Y1797" i="123"/>
  <c r="AA1797" i="123" s="1"/>
  <c r="AB1797" i="123"/>
  <c r="AC1797" i="123" s="1"/>
  <c r="AJ1797" i="123"/>
  <c r="AK1797" i="123"/>
  <c r="AL1797" i="123"/>
  <c r="AO1797" i="123"/>
  <c r="AP1797" i="123"/>
  <c r="AQ1797" i="123" s="1"/>
  <c r="AT1797" i="123"/>
  <c r="AU1797" i="123"/>
  <c r="K1798" i="123"/>
  <c r="L1798" i="123"/>
  <c r="M1798" i="123"/>
  <c r="N1798" i="123"/>
  <c r="O1798" i="123"/>
  <c r="P1798" i="123"/>
  <c r="Q1798" i="123"/>
  <c r="R1798" i="123"/>
  <c r="T1798" i="123" s="1"/>
  <c r="S1798" i="123"/>
  <c r="X1798" i="123"/>
  <c r="Y1798" i="123"/>
  <c r="AB1798" i="123"/>
  <c r="AD1798" i="123" s="1"/>
  <c r="AJ1798" i="123"/>
  <c r="AK1798" i="123"/>
  <c r="AL1798" i="123"/>
  <c r="AO1798" i="123"/>
  <c r="AP1798" i="123"/>
  <c r="AQ1798" i="123" s="1"/>
  <c r="AT1798" i="123"/>
  <c r="AU1798" i="123"/>
  <c r="K1799" i="123"/>
  <c r="L1799" i="123"/>
  <c r="M1799" i="123"/>
  <c r="N1799" i="123"/>
  <c r="O1799" i="123"/>
  <c r="P1799" i="123"/>
  <c r="Q1799" i="123"/>
  <c r="R1799" i="123"/>
  <c r="T1799" i="123" s="1"/>
  <c r="S1799" i="123"/>
  <c r="X1799" i="123"/>
  <c r="Y1799" i="123"/>
  <c r="AB1799" i="123"/>
  <c r="AC1799" i="123" s="1"/>
  <c r="AJ1799" i="123"/>
  <c r="AK1799" i="123"/>
  <c r="AL1799" i="123"/>
  <c r="AO1799" i="123"/>
  <c r="AP1799" i="123"/>
  <c r="AQ1799" i="123" s="1"/>
  <c r="AT1799" i="123"/>
  <c r="AU1799" i="123"/>
  <c r="K1800" i="123"/>
  <c r="L1800" i="123"/>
  <c r="M1800" i="123"/>
  <c r="N1800" i="123"/>
  <c r="O1800" i="123"/>
  <c r="P1800" i="123"/>
  <c r="Q1800" i="123"/>
  <c r="R1800" i="123"/>
  <c r="T1800" i="123" s="1"/>
  <c r="S1800" i="123"/>
  <c r="X1800" i="123"/>
  <c r="Y1800" i="123"/>
  <c r="AB1800" i="123"/>
  <c r="AJ1800" i="123"/>
  <c r="AK1800" i="123"/>
  <c r="AL1800" i="123"/>
  <c r="AO1800" i="123"/>
  <c r="AP1800" i="123"/>
  <c r="AQ1800" i="123" s="1"/>
  <c r="AT1800" i="123"/>
  <c r="AU1800" i="123"/>
  <c r="K1801" i="123"/>
  <c r="L1801" i="123"/>
  <c r="M1801" i="123"/>
  <c r="N1801" i="123"/>
  <c r="O1801" i="123"/>
  <c r="P1801" i="123"/>
  <c r="Q1801" i="123"/>
  <c r="R1801" i="123"/>
  <c r="T1801" i="123" s="1"/>
  <c r="W1801" i="123" s="1"/>
  <c r="S1801" i="123"/>
  <c r="X1801" i="123"/>
  <c r="Y1801" i="123"/>
  <c r="AB1801" i="123"/>
  <c r="AC1801" i="123" s="1"/>
  <c r="AJ1801" i="123"/>
  <c r="AK1801" i="123"/>
  <c r="AL1801" i="123"/>
  <c r="AO1801" i="123"/>
  <c r="AP1801" i="123"/>
  <c r="AQ1801" i="123" s="1"/>
  <c r="AT1801" i="123"/>
  <c r="AU1801" i="123"/>
  <c r="K1802" i="123"/>
  <c r="L1802" i="123"/>
  <c r="M1802" i="123"/>
  <c r="N1802" i="123"/>
  <c r="O1802" i="123"/>
  <c r="P1802" i="123"/>
  <c r="Q1802" i="123"/>
  <c r="R1802" i="123"/>
  <c r="T1802" i="123" s="1"/>
  <c r="S1802" i="123"/>
  <c r="X1802" i="123"/>
  <c r="Y1802" i="123"/>
  <c r="AB1802" i="123"/>
  <c r="AD1802" i="123" s="1"/>
  <c r="AJ1802" i="123"/>
  <c r="AK1802" i="123"/>
  <c r="AL1802" i="123"/>
  <c r="AO1802" i="123"/>
  <c r="AP1802" i="123"/>
  <c r="AQ1802" i="123" s="1"/>
  <c r="AT1802" i="123"/>
  <c r="AU1802" i="123"/>
  <c r="K1803" i="123"/>
  <c r="L1803" i="123"/>
  <c r="M1803" i="123"/>
  <c r="N1803" i="123"/>
  <c r="O1803" i="123"/>
  <c r="P1803" i="123"/>
  <c r="Q1803" i="123"/>
  <c r="R1803" i="123"/>
  <c r="T1803" i="123" s="1"/>
  <c r="S1803" i="123"/>
  <c r="X1803" i="123"/>
  <c r="Y1803" i="123"/>
  <c r="AA1803" i="123" s="1"/>
  <c r="AB1803" i="123"/>
  <c r="AC1803" i="123" s="1"/>
  <c r="AJ1803" i="123"/>
  <c r="AK1803" i="123"/>
  <c r="AL1803" i="123"/>
  <c r="AO1803" i="123"/>
  <c r="AP1803" i="123"/>
  <c r="AQ1803" i="123" s="1"/>
  <c r="AT1803" i="123"/>
  <c r="AU1803" i="123"/>
  <c r="K1804" i="123"/>
  <c r="L1804" i="123"/>
  <c r="M1804" i="123"/>
  <c r="N1804" i="123"/>
  <c r="O1804" i="123"/>
  <c r="P1804" i="123"/>
  <c r="Q1804" i="123"/>
  <c r="R1804" i="123"/>
  <c r="T1804" i="123" s="1"/>
  <c r="S1804" i="123"/>
  <c r="X1804" i="123"/>
  <c r="Y1804" i="123"/>
  <c r="Z1804" i="123" s="1"/>
  <c r="AB1804" i="123"/>
  <c r="AC1804" i="123" s="1"/>
  <c r="AJ1804" i="123"/>
  <c r="AK1804" i="123"/>
  <c r="AL1804" i="123"/>
  <c r="AO1804" i="123"/>
  <c r="AP1804" i="123"/>
  <c r="AQ1804" i="123" s="1"/>
  <c r="AT1804" i="123"/>
  <c r="AU1804" i="123"/>
  <c r="K1805" i="123"/>
  <c r="L1805" i="123"/>
  <c r="M1805" i="123"/>
  <c r="N1805" i="123"/>
  <c r="O1805" i="123"/>
  <c r="P1805" i="123"/>
  <c r="Q1805" i="123"/>
  <c r="R1805" i="123"/>
  <c r="T1805" i="123" s="1"/>
  <c r="W1805" i="123" s="1"/>
  <c r="S1805" i="123"/>
  <c r="X1805" i="123"/>
  <c r="Y1805" i="123"/>
  <c r="AB1805" i="123"/>
  <c r="AC1805" i="123" s="1"/>
  <c r="AJ1805" i="123"/>
  <c r="AK1805" i="123"/>
  <c r="AL1805" i="123"/>
  <c r="AO1805" i="123"/>
  <c r="AP1805" i="123"/>
  <c r="AQ1805" i="123" s="1"/>
  <c r="AT1805" i="123"/>
  <c r="AU1805" i="123"/>
  <c r="K1806" i="123"/>
  <c r="L1806" i="123"/>
  <c r="M1806" i="123"/>
  <c r="N1806" i="123"/>
  <c r="O1806" i="123"/>
  <c r="P1806" i="123"/>
  <c r="Q1806" i="123"/>
  <c r="R1806" i="123"/>
  <c r="T1806" i="123" s="1"/>
  <c r="S1806" i="123"/>
  <c r="X1806" i="123"/>
  <c r="Y1806" i="123"/>
  <c r="AB1806" i="123"/>
  <c r="AD1806" i="123" s="1"/>
  <c r="AJ1806" i="123"/>
  <c r="AK1806" i="123"/>
  <c r="AL1806" i="123"/>
  <c r="AO1806" i="123"/>
  <c r="AP1806" i="123"/>
  <c r="AQ1806" i="123" s="1"/>
  <c r="AT1806" i="123"/>
  <c r="AU1806" i="123"/>
  <c r="K1807" i="123"/>
  <c r="L1807" i="123"/>
  <c r="M1807" i="123"/>
  <c r="N1807" i="123"/>
  <c r="O1807" i="123"/>
  <c r="P1807" i="123"/>
  <c r="Q1807" i="123"/>
  <c r="R1807" i="123"/>
  <c r="T1807" i="123" s="1"/>
  <c r="S1807" i="123"/>
  <c r="X1807" i="123"/>
  <c r="Y1807" i="123"/>
  <c r="Z1807" i="123" s="1"/>
  <c r="AB1807" i="123"/>
  <c r="AC1807" i="123" s="1"/>
  <c r="AJ1807" i="123"/>
  <c r="AK1807" i="123"/>
  <c r="AL1807" i="123"/>
  <c r="AO1807" i="123"/>
  <c r="AP1807" i="123"/>
  <c r="AQ1807" i="123" s="1"/>
  <c r="AT1807" i="123"/>
  <c r="AU1807" i="123"/>
  <c r="K1808" i="123"/>
  <c r="L1808" i="123"/>
  <c r="M1808" i="123"/>
  <c r="N1808" i="123"/>
  <c r="O1808" i="123"/>
  <c r="P1808" i="123"/>
  <c r="Q1808" i="123"/>
  <c r="R1808" i="123"/>
  <c r="T1808" i="123" s="1"/>
  <c r="S1808" i="123"/>
  <c r="X1808" i="123"/>
  <c r="Y1808" i="123"/>
  <c r="AB1808" i="123"/>
  <c r="AD1808" i="123" s="1"/>
  <c r="AJ1808" i="123"/>
  <c r="AK1808" i="123"/>
  <c r="AL1808" i="123"/>
  <c r="AO1808" i="123"/>
  <c r="AP1808" i="123"/>
  <c r="AQ1808" i="123" s="1"/>
  <c r="AT1808" i="123"/>
  <c r="AU1808" i="123"/>
  <c r="K1809" i="123"/>
  <c r="L1809" i="123"/>
  <c r="M1809" i="123"/>
  <c r="N1809" i="123"/>
  <c r="O1809" i="123"/>
  <c r="P1809" i="123"/>
  <c r="Q1809" i="123"/>
  <c r="R1809" i="123"/>
  <c r="T1809" i="123" s="1"/>
  <c r="W1809" i="123" s="1"/>
  <c r="S1809" i="123"/>
  <c r="X1809" i="123"/>
  <c r="Y1809" i="123"/>
  <c r="AA1809" i="123" s="1"/>
  <c r="AB1809" i="123"/>
  <c r="AC1809" i="123" s="1"/>
  <c r="AJ1809" i="123"/>
  <c r="AK1809" i="123"/>
  <c r="AL1809" i="123"/>
  <c r="AO1809" i="123"/>
  <c r="AP1809" i="123"/>
  <c r="AQ1809" i="123" s="1"/>
  <c r="AT1809" i="123"/>
  <c r="AU1809" i="123"/>
  <c r="K1810" i="123"/>
  <c r="L1810" i="123"/>
  <c r="M1810" i="123"/>
  <c r="N1810" i="123"/>
  <c r="O1810" i="123"/>
  <c r="P1810" i="123"/>
  <c r="Q1810" i="123"/>
  <c r="R1810" i="123"/>
  <c r="T1810" i="123" s="1"/>
  <c r="S1810" i="123"/>
  <c r="X1810" i="123"/>
  <c r="Y1810" i="123"/>
  <c r="Z1810" i="123" s="1"/>
  <c r="AB1810" i="123"/>
  <c r="AD1810" i="123" s="1"/>
  <c r="AJ1810" i="123"/>
  <c r="AK1810" i="123"/>
  <c r="AL1810" i="123"/>
  <c r="AO1810" i="123"/>
  <c r="AP1810" i="123"/>
  <c r="AQ1810" i="123" s="1"/>
  <c r="AT1810" i="123"/>
  <c r="AU1810" i="123"/>
  <c r="K1811" i="123"/>
  <c r="L1811" i="123"/>
  <c r="M1811" i="123"/>
  <c r="N1811" i="123"/>
  <c r="O1811" i="123"/>
  <c r="P1811" i="123"/>
  <c r="Q1811" i="123"/>
  <c r="R1811" i="123"/>
  <c r="T1811" i="123" s="1"/>
  <c r="S1811" i="123"/>
  <c r="X1811" i="123"/>
  <c r="Y1811" i="123"/>
  <c r="AA1811" i="123" s="1"/>
  <c r="AB1811" i="123"/>
  <c r="AC1811" i="123" s="1"/>
  <c r="AJ1811" i="123"/>
  <c r="AK1811" i="123"/>
  <c r="AL1811" i="123"/>
  <c r="AO1811" i="123"/>
  <c r="AP1811" i="123"/>
  <c r="AQ1811" i="123" s="1"/>
  <c r="AT1811" i="123"/>
  <c r="AU1811" i="123"/>
  <c r="K1812" i="123"/>
  <c r="L1812" i="123"/>
  <c r="M1812" i="123"/>
  <c r="N1812" i="123"/>
  <c r="O1812" i="123"/>
  <c r="P1812" i="123"/>
  <c r="Q1812" i="123"/>
  <c r="R1812" i="123"/>
  <c r="T1812" i="123" s="1"/>
  <c r="S1812" i="123"/>
  <c r="X1812" i="123"/>
  <c r="Y1812" i="123"/>
  <c r="Z1812" i="123" s="1"/>
  <c r="AB1812" i="123"/>
  <c r="AD1812" i="123" s="1"/>
  <c r="AJ1812" i="123"/>
  <c r="AK1812" i="123"/>
  <c r="AL1812" i="123"/>
  <c r="AO1812" i="123"/>
  <c r="AP1812" i="123"/>
  <c r="AQ1812" i="123" s="1"/>
  <c r="AT1812" i="123"/>
  <c r="AU1812" i="123"/>
  <c r="K1813" i="123"/>
  <c r="L1813" i="123"/>
  <c r="M1813" i="123"/>
  <c r="N1813" i="123"/>
  <c r="O1813" i="123"/>
  <c r="P1813" i="123"/>
  <c r="Q1813" i="123"/>
  <c r="R1813" i="123"/>
  <c r="T1813" i="123" s="1"/>
  <c r="W1813" i="123" s="1"/>
  <c r="S1813" i="123"/>
  <c r="X1813" i="123"/>
  <c r="Y1813" i="123"/>
  <c r="AA1813" i="123" s="1"/>
  <c r="AB1813" i="123"/>
  <c r="AC1813" i="123" s="1"/>
  <c r="AJ1813" i="123"/>
  <c r="AK1813" i="123"/>
  <c r="AL1813" i="123"/>
  <c r="AO1813" i="123"/>
  <c r="AP1813" i="123"/>
  <c r="AQ1813" i="123" s="1"/>
  <c r="AT1813" i="123"/>
  <c r="AU1813" i="123"/>
  <c r="K1814" i="123"/>
  <c r="L1814" i="123"/>
  <c r="M1814" i="123"/>
  <c r="N1814" i="123"/>
  <c r="O1814" i="123"/>
  <c r="P1814" i="123"/>
  <c r="Q1814" i="123"/>
  <c r="R1814" i="123"/>
  <c r="T1814" i="123" s="1"/>
  <c r="V1814" i="123" s="1"/>
  <c r="S1814" i="123"/>
  <c r="X1814" i="123"/>
  <c r="Y1814" i="123"/>
  <c r="Z1814" i="123" s="1"/>
  <c r="AB1814" i="123"/>
  <c r="AJ1814" i="123"/>
  <c r="AK1814" i="123"/>
  <c r="AL1814" i="123"/>
  <c r="AO1814" i="123"/>
  <c r="AP1814" i="123"/>
  <c r="AQ1814" i="123" s="1"/>
  <c r="AT1814" i="123"/>
  <c r="AU1814" i="123"/>
  <c r="K1815" i="123"/>
  <c r="L1815" i="123"/>
  <c r="M1815" i="123"/>
  <c r="N1815" i="123"/>
  <c r="O1815" i="123"/>
  <c r="P1815" i="123"/>
  <c r="Q1815" i="123"/>
  <c r="R1815" i="123"/>
  <c r="T1815" i="123" s="1"/>
  <c r="S1815" i="123"/>
  <c r="X1815" i="123"/>
  <c r="Y1815" i="123"/>
  <c r="Z1815" i="123" s="1"/>
  <c r="AB1815" i="123"/>
  <c r="AC1815" i="123" s="1"/>
  <c r="AJ1815" i="123"/>
  <c r="AK1815" i="123"/>
  <c r="AL1815" i="123"/>
  <c r="AO1815" i="123"/>
  <c r="AP1815" i="123"/>
  <c r="AQ1815" i="123" s="1"/>
  <c r="AT1815" i="123"/>
  <c r="AU1815" i="123"/>
  <c r="K1816" i="123"/>
  <c r="L1816" i="123"/>
  <c r="M1816" i="123"/>
  <c r="N1816" i="123"/>
  <c r="O1816" i="123"/>
  <c r="P1816" i="123"/>
  <c r="Q1816" i="123"/>
  <c r="R1816" i="123"/>
  <c r="T1816" i="123" s="1"/>
  <c r="S1816" i="123"/>
  <c r="X1816" i="123"/>
  <c r="Y1816" i="123"/>
  <c r="Z1816" i="123" s="1"/>
  <c r="AB1816" i="123"/>
  <c r="AC1816" i="123" s="1"/>
  <c r="AJ1816" i="123"/>
  <c r="AK1816" i="123"/>
  <c r="AL1816" i="123"/>
  <c r="AO1816" i="123"/>
  <c r="AP1816" i="123"/>
  <c r="AQ1816" i="123" s="1"/>
  <c r="AT1816" i="123"/>
  <c r="AU1816" i="123"/>
  <c r="K1817" i="123"/>
  <c r="L1817" i="123"/>
  <c r="M1817" i="123"/>
  <c r="N1817" i="123"/>
  <c r="O1817" i="123"/>
  <c r="P1817" i="123"/>
  <c r="Q1817" i="123"/>
  <c r="R1817" i="123"/>
  <c r="T1817" i="123" s="1"/>
  <c r="W1817" i="123" s="1"/>
  <c r="S1817" i="123"/>
  <c r="X1817" i="123"/>
  <c r="Y1817" i="123"/>
  <c r="AA1817" i="123" s="1"/>
  <c r="AB1817" i="123"/>
  <c r="AC1817" i="123" s="1"/>
  <c r="AJ1817" i="123"/>
  <c r="AK1817" i="123"/>
  <c r="AL1817" i="123"/>
  <c r="AO1817" i="123"/>
  <c r="AP1817" i="123"/>
  <c r="AQ1817" i="123" s="1"/>
  <c r="AT1817" i="123"/>
  <c r="AU1817" i="123"/>
  <c r="K1818" i="123"/>
  <c r="L1818" i="123"/>
  <c r="M1818" i="123"/>
  <c r="N1818" i="123"/>
  <c r="O1818" i="123"/>
  <c r="P1818" i="123"/>
  <c r="Q1818" i="123"/>
  <c r="R1818" i="123"/>
  <c r="T1818" i="123" s="1"/>
  <c r="S1818" i="123"/>
  <c r="X1818" i="123"/>
  <c r="Y1818" i="123"/>
  <c r="Z1818" i="123" s="1"/>
  <c r="AB1818" i="123"/>
  <c r="AD1818" i="123" s="1"/>
  <c r="AJ1818" i="123"/>
  <c r="AK1818" i="123"/>
  <c r="AL1818" i="123"/>
  <c r="AO1818" i="123"/>
  <c r="AP1818" i="123"/>
  <c r="AQ1818" i="123" s="1"/>
  <c r="AT1818" i="123"/>
  <c r="AU1818" i="123"/>
  <c r="K1819" i="123"/>
  <c r="L1819" i="123"/>
  <c r="M1819" i="123"/>
  <c r="N1819" i="123"/>
  <c r="O1819" i="123"/>
  <c r="P1819" i="123"/>
  <c r="Q1819" i="123"/>
  <c r="R1819" i="123"/>
  <c r="T1819" i="123" s="1"/>
  <c r="S1819" i="123"/>
  <c r="X1819" i="123"/>
  <c r="Y1819" i="123"/>
  <c r="Z1819" i="123" s="1"/>
  <c r="AB1819" i="123"/>
  <c r="AC1819" i="123" s="1"/>
  <c r="AJ1819" i="123"/>
  <c r="AK1819" i="123"/>
  <c r="AL1819" i="123"/>
  <c r="AO1819" i="123"/>
  <c r="AP1819" i="123"/>
  <c r="AQ1819" i="123" s="1"/>
  <c r="AT1819" i="123"/>
  <c r="AU1819" i="123"/>
  <c r="K1820" i="123"/>
  <c r="L1820" i="123"/>
  <c r="M1820" i="123"/>
  <c r="N1820" i="123"/>
  <c r="O1820" i="123"/>
  <c r="P1820" i="123"/>
  <c r="Q1820" i="123"/>
  <c r="R1820" i="123"/>
  <c r="T1820" i="123" s="1"/>
  <c r="S1820" i="123"/>
  <c r="X1820" i="123"/>
  <c r="Y1820" i="123"/>
  <c r="Z1820" i="123" s="1"/>
  <c r="AB1820" i="123"/>
  <c r="AD1820" i="123" s="1"/>
  <c r="AJ1820" i="123"/>
  <c r="AK1820" i="123"/>
  <c r="AL1820" i="123"/>
  <c r="AO1820" i="123"/>
  <c r="AP1820" i="123"/>
  <c r="AQ1820" i="123" s="1"/>
  <c r="AT1820" i="123"/>
  <c r="AU1820" i="123"/>
  <c r="K1821" i="123"/>
  <c r="L1821" i="123"/>
  <c r="M1821" i="123"/>
  <c r="N1821" i="123"/>
  <c r="O1821" i="123"/>
  <c r="P1821" i="123"/>
  <c r="Q1821" i="123"/>
  <c r="R1821" i="123"/>
  <c r="T1821" i="123" s="1"/>
  <c r="W1821" i="123" s="1"/>
  <c r="S1821" i="123"/>
  <c r="X1821" i="123"/>
  <c r="Y1821" i="123"/>
  <c r="AA1821" i="123" s="1"/>
  <c r="AB1821" i="123"/>
  <c r="AC1821" i="123" s="1"/>
  <c r="AJ1821" i="123"/>
  <c r="AK1821" i="123"/>
  <c r="AL1821" i="123"/>
  <c r="AO1821" i="123"/>
  <c r="AP1821" i="123"/>
  <c r="AQ1821" i="123" s="1"/>
  <c r="AT1821" i="123"/>
  <c r="AU1821" i="123"/>
  <c r="K1822" i="123"/>
  <c r="L1822" i="123"/>
  <c r="M1822" i="123"/>
  <c r="N1822" i="123"/>
  <c r="O1822" i="123"/>
  <c r="P1822" i="123"/>
  <c r="Q1822" i="123"/>
  <c r="R1822" i="123"/>
  <c r="T1822" i="123" s="1"/>
  <c r="V1822" i="123" s="1"/>
  <c r="S1822" i="123"/>
  <c r="X1822" i="123"/>
  <c r="Y1822" i="123"/>
  <c r="Z1822" i="123" s="1"/>
  <c r="AB1822" i="123"/>
  <c r="AJ1822" i="123"/>
  <c r="AK1822" i="123"/>
  <c r="AL1822" i="123"/>
  <c r="AO1822" i="123"/>
  <c r="AP1822" i="123"/>
  <c r="AT1822" i="123"/>
  <c r="AU1822" i="123"/>
  <c r="K1823" i="123"/>
  <c r="L1823" i="123"/>
  <c r="M1823" i="123"/>
  <c r="N1823" i="123"/>
  <c r="O1823" i="123"/>
  <c r="P1823" i="123"/>
  <c r="Q1823" i="123"/>
  <c r="R1823" i="123"/>
  <c r="T1823" i="123" s="1"/>
  <c r="S1823" i="123"/>
  <c r="X1823" i="123"/>
  <c r="Y1823" i="123"/>
  <c r="AA1823" i="123" s="1"/>
  <c r="AB1823" i="123"/>
  <c r="AJ1823" i="123"/>
  <c r="AK1823" i="123"/>
  <c r="AL1823" i="123"/>
  <c r="AO1823" i="123"/>
  <c r="AP1823" i="123"/>
  <c r="AQ1823" i="123" s="1"/>
  <c r="AT1823" i="123"/>
  <c r="AU1823" i="123"/>
  <c r="K1824" i="123"/>
  <c r="L1824" i="123"/>
  <c r="M1824" i="123"/>
  <c r="N1824" i="123"/>
  <c r="O1824" i="123"/>
  <c r="P1824" i="123"/>
  <c r="Q1824" i="123"/>
  <c r="R1824" i="123"/>
  <c r="T1824" i="123" s="1"/>
  <c r="S1824" i="123"/>
  <c r="X1824" i="123"/>
  <c r="Y1824" i="123"/>
  <c r="Z1824" i="123" s="1"/>
  <c r="AB1824" i="123"/>
  <c r="AJ1824" i="123"/>
  <c r="AK1824" i="123"/>
  <c r="AL1824" i="123"/>
  <c r="AO1824" i="123"/>
  <c r="AP1824" i="123"/>
  <c r="AT1824" i="123"/>
  <c r="AU1824" i="123"/>
  <c r="K1825" i="123"/>
  <c r="L1825" i="123"/>
  <c r="M1825" i="123"/>
  <c r="N1825" i="123"/>
  <c r="O1825" i="123"/>
  <c r="P1825" i="123"/>
  <c r="Q1825" i="123"/>
  <c r="R1825" i="123"/>
  <c r="T1825" i="123" s="1"/>
  <c r="W1825" i="123" s="1"/>
  <c r="S1825" i="123"/>
  <c r="X1825" i="123"/>
  <c r="Y1825" i="123"/>
  <c r="AA1825" i="123" s="1"/>
  <c r="AB1825" i="123"/>
  <c r="AC1825" i="123" s="1"/>
  <c r="AJ1825" i="123"/>
  <c r="AK1825" i="123"/>
  <c r="AL1825" i="123"/>
  <c r="AO1825" i="123"/>
  <c r="AP1825" i="123"/>
  <c r="AQ1825" i="123" s="1"/>
  <c r="AT1825" i="123"/>
  <c r="AU1825" i="123"/>
  <c r="K1826" i="123"/>
  <c r="L1826" i="123"/>
  <c r="M1826" i="123"/>
  <c r="N1826" i="123"/>
  <c r="O1826" i="123"/>
  <c r="P1826" i="123"/>
  <c r="Q1826" i="123"/>
  <c r="R1826" i="123"/>
  <c r="T1826" i="123" s="1"/>
  <c r="V1826" i="123" s="1"/>
  <c r="S1826" i="123"/>
  <c r="X1826" i="123"/>
  <c r="Y1826" i="123"/>
  <c r="Z1826" i="123" s="1"/>
  <c r="AB1826" i="123"/>
  <c r="AJ1826" i="123"/>
  <c r="AK1826" i="123"/>
  <c r="AL1826" i="123"/>
  <c r="AO1826" i="123"/>
  <c r="AP1826" i="123"/>
  <c r="AQ1826" i="123" s="1"/>
  <c r="AT1826" i="123"/>
  <c r="AU1826" i="123"/>
  <c r="K1827" i="123"/>
  <c r="L1827" i="123"/>
  <c r="M1827" i="123"/>
  <c r="N1827" i="123"/>
  <c r="O1827" i="123"/>
  <c r="P1827" i="123"/>
  <c r="Q1827" i="123"/>
  <c r="R1827" i="123"/>
  <c r="T1827" i="123" s="1"/>
  <c r="S1827" i="123"/>
  <c r="X1827" i="123"/>
  <c r="Y1827" i="123"/>
  <c r="Z1827" i="123" s="1"/>
  <c r="AB1827" i="123"/>
  <c r="AC1827" i="123" s="1"/>
  <c r="AJ1827" i="123"/>
  <c r="AK1827" i="123"/>
  <c r="AL1827" i="123"/>
  <c r="AO1827" i="123"/>
  <c r="AP1827" i="123"/>
  <c r="AT1827" i="123"/>
  <c r="AU1827" i="123"/>
  <c r="K1828" i="123"/>
  <c r="L1828" i="123"/>
  <c r="M1828" i="123"/>
  <c r="N1828" i="123"/>
  <c r="O1828" i="123"/>
  <c r="P1828" i="123"/>
  <c r="Q1828" i="123"/>
  <c r="R1828" i="123"/>
  <c r="T1828" i="123" s="1"/>
  <c r="S1828" i="123"/>
  <c r="X1828" i="123"/>
  <c r="Y1828" i="123"/>
  <c r="Z1828" i="123" s="1"/>
  <c r="AB1828" i="123"/>
  <c r="AD1828" i="123" s="1"/>
  <c r="AJ1828" i="123"/>
  <c r="AK1828" i="123"/>
  <c r="AL1828" i="123"/>
  <c r="AO1828" i="123"/>
  <c r="AP1828" i="123"/>
  <c r="AQ1828" i="123" s="1"/>
  <c r="AT1828" i="123"/>
  <c r="AU1828" i="123"/>
  <c r="K1829" i="123"/>
  <c r="L1829" i="123"/>
  <c r="M1829" i="123"/>
  <c r="N1829" i="123"/>
  <c r="O1829" i="123"/>
  <c r="P1829" i="123"/>
  <c r="Q1829" i="123"/>
  <c r="R1829" i="123"/>
  <c r="T1829" i="123" s="1"/>
  <c r="W1829" i="123" s="1"/>
  <c r="S1829" i="123"/>
  <c r="X1829" i="123"/>
  <c r="Y1829" i="123"/>
  <c r="AA1829" i="123" s="1"/>
  <c r="AB1829" i="123"/>
  <c r="AC1829" i="123" s="1"/>
  <c r="AJ1829" i="123"/>
  <c r="AK1829" i="123"/>
  <c r="AL1829" i="123"/>
  <c r="AO1829" i="123"/>
  <c r="AP1829" i="123"/>
  <c r="AQ1829" i="123" s="1"/>
  <c r="AT1829" i="123"/>
  <c r="AU1829" i="123"/>
  <c r="K1830" i="123"/>
  <c r="L1830" i="123"/>
  <c r="M1830" i="123"/>
  <c r="N1830" i="123"/>
  <c r="O1830" i="123"/>
  <c r="P1830" i="123"/>
  <c r="Q1830" i="123"/>
  <c r="R1830" i="123"/>
  <c r="T1830" i="123" s="1"/>
  <c r="S1830" i="123"/>
  <c r="X1830" i="123"/>
  <c r="Y1830" i="123"/>
  <c r="Z1830" i="123" s="1"/>
  <c r="AB1830" i="123"/>
  <c r="AD1830" i="123" s="1"/>
  <c r="AJ1830" i="123"/>
  <c r="AK1830" i="123"/>
  <c r="AL1830" i="123"/>
  <c r="AO1830" i="123"/>
  <c r="AP1830" i="123"/>
  <c r="AQ1830" i="123" s="1"/>
  <c r="AT1830" i="123"/>
  <c r="AU1830" i="123"/>
  <c r="K1831" i="123"/>
  <c r="L1831" i="123"/>
  <c r="M1831" i="123"/>
  <c r="N1831" i="123"/>
  <c r="O1831" i="123"/>
  <c r="P1831" i="123"/>
  <c r="Q1831" i="123"/>
  <c r="R1831" i="123"/>
  <c r="T1831" i="123" s="1"/>
  <c r="S1831" i="123"/>
  <c r="X1831" i="123"/>
  <c r="Y1831" i="123"/>
  <c r="Z1831" i="123" s="1"/>
  <c r="AB1831" i="123"/>
  <c r="AC1831" i="123" s="1"/>
  <c r="AJ1831" i="123"/>
  <c r="AK1831" i="123"/>
  <c r="AL1831" i="123"/>
  <c r="AO1831" i="123"/>
  <c r="AP1831" i="123"/>
  <c r="AQ1831" i="123" s="1"/>
  <c r="AT1831" i="123"/>
  <c r="AU1831" i="123"/>
  <c r="K1832" i="123"/>
  <c r="L1832" i="123"/>
  <c r="M1832" i="123"/>
  <c r="N1832" i="123"/>
  <c r="O1832" i="123"/>
  <c r="P1832" i="123"/>
  <c r="Q1832" i="123"/>
  <c r="R1832" i="123"/>
  <c r="T1832" i="123" s="1"/>
  <c r="S1832" i="123"/>
  <c r="X1832" i="123"/>
  <c r="Y1832" i="123"/>
  <c r="Z1832" i="123" s="1"/>
  <c r="AB1832" i="123"/>
  <c r="AC1832" i="123" s="1"/>
  <c r="AJ1832" i="123"/>
  <c r="AK1832" i="123"/>
  <c r="AL1832" i="123"/>
  <c r="AO1832" i="123"/>
  <c r="AP1832" i="123"/>
  <c r="AQ1832" i="123" s="1"/>
  <c r="AT1832" i="123"/>
  <c r="AU1832" i="123"/>
  <c r="K1833" i="123"/>
  <c r="L1833" i="123"/>
  <c r="M1833" i="123"/>
  <c r="N1833" i="123"/>
  <c r="O1833" i="123"/>
  <c r="P1833" i="123"/>
  <c r="Q1833" i="123"/>
  <c r="R1833" i="123"/>
  <c r="T1833" i="123" s="1"/>
  <c r="W1833" i="123" s="1"/>
  <c r="S1833" i="123"/>
  <c r="X1833" i="123"/>
  <c r="Y1833" i="123"/>
  <c r="AA1833" i="123" s="1"/>
  <c r="AB1833" i="123"/>
  <c r="AC1833" i="123" s="1"/>
  <c r="AJ1833" i="123"/>
  <c r="AK1833" i="123"/>
  <c r="AL1833" i="123"/>
  <c r="AO1833" i="123"/>
  <c r="AP1833" i="123"/>
  <c r="AQ1833" i="123" s="1"/>
  <c r="AT1833" i="123"/>
  <c r="AU1833" i="123"/>
  <c r="K1834" i="123"/>
  <c r="L1834" i="123"/>
  <c r="M1834" i="123"/>
  <c r="N1834" i="123"/>
  <c r="O1834" i="123"/>
  <c r="P1834" i="123"/>
  <c r="Q1834" i="123"/>
  <c r="R1834" i="123"/>
  <c r="T1834" i="123" s="1"/>
  <c r="S1834" i="123"/>
  <c r="X1834" i="123"/>
  <c r="Y1834" i="123"/>
  <c r="Z1834" i="123" s="1"/>
  <c r="AB1834" i="123"/>
  <c r="AD1834" i="123" s="1"/>
  <c r="AJ1834" i="123"/>
  <c r="AK1834" i="123"/>
  <c r="AL1834" i="123"/>
  <c r="AO1834" i="123"/>
  <c r="AP1834" i="123"/>
  <c r="AQ1834" i="123" s="1"/>
  <c r="AT1834" i="123"/>
  <c r="AU1834" i="123"/>
  <c r="K1835" i="123"/>
  <c r="L1835" i="123"/>
  <c r="M1835" i="123"/>
  <c r="N1835" i="123"/>
  <c r="O1835" i="123"/>
  <c r="P1835" i="123"/>
  <c r="Q1835" i="123"/>
  <c r="R1835" i="123"/>
  <c r="T1835" i="123" s="1"/>
  <c r="S1835" i="123"/>
  <c r="X1835" i="123"/>
  <c r="Y1835" i="123"/>
  <c r="Z1835" i="123" s="1"/>
  <c r="AB1835" i="123"/>
  <c r="AC1835" i="123" s="1"/>
  <c r="AJ1835" i="123"/>
  <c r="AK1835" i="123"/>
  <c r="AL1835" i="123"/>
  <c r="AO1835" i="123"/>
  <c r="AP1835" i="123"/>
  <c r="AQ1835" i="123" s="1"/>
  <c r="AT1835" i="123"/>
  <c r="AU1835" i="123"/>
  <c r="K1836" i="123"/>
  <c r="L1836" i="123"/>
  <c r="M1836" i="123"/>
  <c r="N1836" i="123"/>
  <c r="O1836" i="123"/>
  <c r="P1836" i="123"/>
  <c r="Q1836" i="123"/>
  <c r="R1836" i="123"/>
  <c r="T1836" i="123" s="1"/>
  <c r="S1836" i="123"/>
  <c r="X1836" i="123"/>
  <c r="Y1836" i="123"/>
  <c r="Z1836" i="123" s="1"/>
  <c r="AB1836" i="123"/>
  <c r="AD1836" i="123" s="1"/>
  <c r="AJ1836" i="123"/>
  <c r="AK1836" i="123"/>
  <c r="AL1836" i="123"/>
  <c r="AO1836" i="123"/>
  <c r="AP1836" i="123"/>
  <c r="AQ1836" i="123" s="1"/>
  <c r="AT1836" i="123"/>
  <c r="AU1836" i="123"/>
  <c r="K1837" i="123"/>
  <c r="L1837" i="123"/>
  <c r="M1837" i="123"/>
  <c r="N1837" i="123"/>
  <c r="O1837" i="123"/>
  <c r="P1837" i="123"/>
  <c r="Q1837" i="123"/>
  <c r="R1837" i="123"/>
  <c r="T1837" i="123" s="1"/>
  <c r="W1837" i="123" s="1"/>
  <c r="S1837" i="123"/>
  <c r="X1837" i="123"/>
  <c r="Y1837" i="123"/>
  <c r="AA1837" i="123" s="1"/>
  <c r="AB1837" i="123"/>
  <c r="AC1837" i="123" s="1"/>
  <c r="AJ1837" i="123"/>
  <c r="AK1837" i="123"/>
  <c r="AL1837" i="123"/>
  <c r="AO1837" i="123"/>
  <c r="AP1837" i="123"/>
  <c r="AQ1837" i="123" s="1"/>
  <c r="AT1837" i="123"/>
  <c r="AU1837" i="123"/>
  <c r="K1838" i="123"/>
  <c r="L1838" i="123"/>
  <c r="M1838" i="123"/>
  <c r="N1838" i="123"/>
  <c r="O1838" i="123"/>
  <c r="P1838" i="123"/>
  <c r="Q1838" i="123"/>
  <c r="R1838" i="123"/>
  <c r="T1838" i="123" s="1"/>
  <c r="V1838" i="123" s="1"/>
  <c r="S1838" i="123"/>
  <c r="X1838" i="123"/>
  <c r="Y1838" i="123"/>
  <c r="Z1838" i="123" s="1"/>
  <c r="AB1838" i="123"/>
  <c r="AD1838" i="123" s="1"/>
  <c r="AJ1838" i="123"/>
  <c r="AK1838" i="123"/>
  <c r="AL1838" i="123"/>
  <c r="AO1838" i="123"/>
  <c r="AP1838" i="123"/>
  <c r="AT1838" i="123"/>
  <c r="AU1838" i="123"/>
  <c r="K1839" i="123"/>
  <c r="L1839" i="123"/>
  <c r="M1839" i="123"/>
  <c r="N1839" i="123"/>
  <c r="O1839" i="123"/>
  <c r="P1839" i="123"/>
  <c r="Q1839" i="123"/>
  <c r="R1839" i="123"/>
  <c r="T1839" i="123" s="1"/>
  <c r="S1839" i="123"/>
  <c r="X1839" i="123"/>
  <c r="Y1839" i="123"/>
  <c r="AA1839" i="123" s="1"/>
  <c r="AB1839" i="123"/>
  <c r="AC1839" i="123" s="1"/>
  <c r="AJ1839" i="123"/>
  <c r="AK1839" i="123"/>
  <c r="AL1839" i="123"/>
  <c r="AO1839" i="123"/>
  <c r="AP1839" i="123"/>
  <c r="AQ1839" i="123" s="1"/>
  <c r="AT1839" i="123"/>
  <c r="AU1839" i="123"/>
  <c r="K1840" i="123"/>
  <c r="L1840" i="123"/>
  <c r="M1840" i="123"/>
  <c r="N1840" i="123"/>
  <c r="O1840" i="123"/>
  <c r="P1840" i="123"/>
  <c r="Q1840" i="123"/>
  <c r="R1840" i="123"/>
  <c r="T1840" i="123" s="1"/>
  <c r="S1840" i="123"/>
  <c r="X1840" i="123"/>
  <c r="Y1840" i="123"/>
  <c r="Z1840" i="123" s="1"/>
  <c r="AB1840" i="123"/>
  <c r="AD1840" i="123" s="1"/>
  <c r="AJ1840" i="123"/>
  <c r="AK1840" i="123"/>
  <c r="AL1840" i="123"/>
  <c r="AO1840" i="123"/>
  <c r="AP1840" i="123"/>
  <c r="AQ1840" i="123" s="1"/>
  <c r="AT1840" i="123"/>
  <c r="AU1840" i="123"/>
  <c r="K1841" i="123"/>
  <c r="L1841" i="123"/>
  <c r="M1841" i="123"/>
  <c r="N1841" i="123"/>
  <c r="O1841" i="123"/>
  <c r="P1841" i="123"/>
  <c r="Q1841" i="123"/>
  <c r="R1841" i="123"/>
  <c r="T1841" i="123" s="1"/>
  <c r="W1841" i="123" s="1"/>
  <c r="S1841" i="123"/>
  <c r="X1841" i="123"/>
  <c r="Y1841" i="123"/>
  <c r="AA1841" i="123" s="1"/>
  <c r="AB1841" i="123"/>
  <c r="AC1841" i="123" s="1"/>
  <c r="AJ1841" i="123"/>
  <c r="AK1841" i="123"/>
  <c r="AL1841" i="123"/>
  <c r="AO1841" i="123"/>
  <c r="AP1841" i="123"/>
  <c r="AQ1841" i="123" s="1"/>
  <c r="AT1841" i="123"/>
  <c r="AU1841" i="123"/>
  <c r="K1842" i="123"/>
  <c r="L1842" i="123"/>
  <c r="M1842" i="123"/>
  <c r="N1842" i="123"/>
  <c r="O1842" i="123"/>
  <c r="P1842" i="123"/>
  <c r="Q1842" i="123"/>
  <c r="R1842" i="123"/>
  <c r="T1842" i="123" s="1"/>
  <c r="V1842" i="123" s="1"/>
  <c r="S1842" i="123"/>
  <c r="X1842" i="123"/>
  <c r="Y1842" i="123"/>
  <c r="Z1842" i="123" s="1"/>
  <c r="AB1842" i="123"/>
  <c r="AD1842" i="123" s="1"/>
  <c r="AJ1842" i="123"/>
  <c r="AK1842" i="123"/>
  <c r="AL1842" i="123"/>
  <c r="AO1842" i="123"/>
  <c r="AP1842" i="123"/>
  <c r="AQ1842" i="123" s="1"/>
  <c r="AT1842" i="123"/>
  <c r="AU1842" i="123"/>
  <c r="K1843" i="123"/>
  <c r="L1843" i="123"/>
  <c r="M1843" i="123"/>
  <c r="N1843" i="123"/>
  <c r="O1843" i="123"/>
  <c r="P1843" i="123"/>
  <c r="Q1843" i="123"/>
  <c r="R1843" i="123"/>
  <c r="T1843" i="123" s="1"/>
  <c r="S1843" i="123"/>
  <c r="X1843" i="123"/>
  <c r="Y1843" i="123"/>
  <c r="AB1843" i="123"/>
  <c r="AC1843" i="123" s="1"/>
  <c r="AJ1843" i="123"/>
  <c r="AK1843" i="123"/>
  <c r="AL1843" i="123"/>
  <c r="AO1843" i="123"/>
  <c r="AP1843" i="123"/>
  <c r="AQ1843" i="123" s="1"/>
  <c r="AT1843" i="123"/>
  <c r="AU1843" i="123"/>
  <c r="K1844" i="123"/>
  <c r="L1844" i="123"/>
  <c r="M1844" i="123"/>
  <c r="N1844" i="123"/>
  <c r="O1844" i="123"/>
  <c r="P1844" i="123"/>
  <c r="Q1844" i="123"/>
  <c r="R1844" i="123"/>
  <c r="T1844" i="123" s="1"/>
  <c r="S1844" i="123"/>
  <c r="X1844" i="123"/>
  <c r="Y1844" i="123"/>
  <c r="Z1844" i="123" s="1"/>
  <c r="AB1844" i="123"/>
  <c r="AC1844" i="123" s="1"/>
  <c r="AJ1844" i="123"/>
  <c r="AK1844" i="123"/>
  <c r="AL1844" i="123"/>
  <c r="AO1844" i="123"/>
  <c r="AP1844" i="123"/>
  <c r="AQ1844" i="123" s="1"/>
  <c r="AT1844" i="123"/>
  <c r="AU1844" i="123"/>
  <c r="K1845" i="123"/>
  <c r="L1845" i="123"/>
  <c r="M1845" i="123"/>
  <c r="N1845" i="123"/>
  <c r="O1845" i="123"/>
  <c r="P1845" i="123"/>
  <c r="Q1845" i="123"/>
  <c r="R1845" i="123"/>
  <c r="T1845" i="123" s="1"/>
  <c r="W1845" i="123" s="1"/>
  <c r="S1845" i="123"/>
  <c r="X1845" i="123"/>
  <c r="Y1845" i="123"/>
  <c r="AA1845" i="123" s="1"/>
  <c r="AB1845" i="123"/>
  <c r="AC1845" i="123" s="1"/>
  <c r="AJ1845" i="123"/>
  <c r="AK1845" i="123"/>
  <c r="AL1845" i="123"/>
  <c r="AO1845" i="123"/>
  <c r="AP1845" i="123"/>
  <c r="AQ1845" i="123" s="1"/>
  <c r="AT1845" i="123"/>
  <c r="AU1845" i="123"/>
  <c r="K1846" i="123"/>
  <c r="L1846" i="123"/>
  <c r="M1846" i="123"/>
  <c r="N1846" i="123"/>
  <c r="O1846" i="123"/>
  <c r="P1846" i="123"/>
  <c r="Q1846" i="123"/>
  <c r="R1846" i="123"/>
  <c r="T1846" i="123" s="1"/>
  <c r="S1846" i="123"/>
  <c r="X1846" i="123"/>
  <c r="Y1846" i="123"/>
  <c r="Z1846" i="123" s="1"/>
  <c r="AB1846" i="123"/>
  <c r="AD1846" i="123" s="1"/>
  <c r="AJ1846" i="123"/>
  <c r="AK1846" i="123"/>
  <c r="AL1846" i="123"/>
  <c r="AO1846" i="123"/>
  <c r="AP1846" i="123"/>
  <c r="AQ1846" i="123" s="1"/>
  <c r="AT1846" i="123"/>
  <c r="AU1846" i="123"/>
  <c r="K1847" i="123"/>
  <c r="L1847" i="123"/>
  <c r="M1847" i="123"/>
  <c r="N1847" i="123"/>
  <c r="O1847" i="123"/>
  <c r="P1847" i="123"/>
  <c r="Q1847" i="123"/>
  <c r="R1847" i="123"/>
  <c r="T1847" i="123" s="1"/>
  <c r="S1847" i="123"/>
  <c r="X1847" i="123"/>
  <c r="Y1847" i="123"/>
  <c r="Z1847" i="123" s="1"/>
  <c r="AB1847" i="123"/>
  <c r="AC1847" i="123" s="1"/>
  <c r="AJ1847" i="123"/>
  <c r="AK1847" i="123"/>
  <c r="AL1847" i="123"/>
  <c r="AO1847" i="123"/>
  <c r="AP1847" i="123"/>
  <c r="AQ1847" i="123" s="1"/>
  <c r="AT1847" i="123"/>
  <c r="AU1847" i="123"/>
  <c r="K1848" i="123"/>
  <c r="L1848" i="123"/>
  <c r="M1848" i="123"/>
  <c r="N1848" i="123"/>
  <c r="O1848" i="123"/>
  <c r="P1848" i="123"/>
  <c r="Q1848" i="123"/>
  <c r="R1848" i="123"/>
  <c r="T1848" i="123" s="1"/>
  <c r="S1848" i="123"/>
  <c r="X1848" i="123"/>
  <c r="Y1848" i="123"/>
  <c r="Z1848" i="123" s="1"/>
  <c r="AB1848" i="123"/>
  <c r="AC1848" i="123" s="1"/>
  <c r="AJ1848" i="123"/>
  <c r="AK1848" i="123"/>
  <c r="AL1848" i="123"/>
  <c r="AO1848" i="123"/>
  <c r="AP1848" i="123"/>
  <c r="AQ1848" i="123" s="1"/>
  <c r="AT1848" i="123"/>
  <c r="AU1848" i="123"/>
  <c r="K1849" i="123"/>
  <c r="L1849" i="123"/>
  <c r="M1849" i="123"/>
  <c r="N1849" i="123"/>
  <c r="O1849" i="123"/>
  <c r="P1849" i="123"/>
  <c r="Q1849" i="123"/>
  <c r="R1849" i="123"/>
  <c r="T1849" i="123" s="1"/>
  <c r="W1849" i="123" s="1"/>
  <c r="S1849" i="123"/>
  <c r="X1849" i="123"/>
  <c r="Y1849" i="123"/>
  <c r="AA1849" i="123" s="1"/>
  <c r="AB1849" i="123"/>
  <c r="AC1849" i="123" s="1"/>
  <c r="AJ1849" i="123"/>
  <c r="AK1849" i="123"/>
  <c r="AL1849" i="123"/>
  <c r="AO1849" i="123"/>
  <c r="AP1849" i="123"/>
  <c r="AQ1849" i="123" s="1"/>
  <c r="AT1849" i="123"/>
  <c r="AU1849" i="123"/>
  <c r="K1850" i="123"/>
  <c r="L1850" i="123"/>
  <c r="M1850" i="123"/>
  <c r="N1850" i="123"/>
  <c r="O1850" i="123"/>
  <c r="P1850" i="123"/>
  <c r="Q1850" i="123"/>
  <c r="R1850" i="123"/>
  <c r="T1850" i="123" s="1"/>
  <c r="S1850" i="123"/>
  <c r="X1850" i="123"/>
  <c r="Y1850" i="123"/>
  <c r="Z1850" i="123" s="1"/>
  <c r="AB1850" i="123"/>
  <c r="AD1850" i="123" s="1"/>
  <c r="AJ1850" i="123"/>
  <c r="AK1850" i="123"/>
  <c r="AL1850" i="123"/>
  <c r="AO1850" i="123"/>
  <c r="AP1850" i="123"/>
  <c r="AQ1850" i="123" s="1"/>
  <c r="AT1850" i="123"/>
  <c r="AU1850" i="123"/>
  <c r="K1851" i="123"/>
  <c r="L1851" i="123"/>
  <c r="M1851" i="123"/>
  <c r="N1851" i="123"/>
  <c r="O1851" i="123"/>
  <c r="P1851" i="123"/>
  <c r="Q1851" i="123"/>
  <c r="R1851" i="123"/>
  <c r="T1851" i="123" s="1"/>
  <c r="S1851" i="123"/>
  <c r="X1851" i="123"/>
  <c r="Y1851" i="123"/>
  <c r="Z1851" i="123" s="1"/>
  <c r="AB1851" i="123"/>
  <c r="AC1851" i="123" s="1"/>
  <c r="AJ1851" i="123"/>
  <c r="AK1851" i="123"/>
  <c r="AL1851" i="123"/>
  <c r="AO1851" i="123"/>
  <c r="AP1851" i="123"/>
  <c r="AQ1851" i="123" s="1"/>
  <c r="AT1851" i="123"/>
  <c r="AU1851" i="123"/>
  <c r="K1852" i="123"/>
  <c r="L1852" i="123"/>
  <c r="M1852" i="123"/>
  <c r="N1852" i="123"/>
  <c r="O1852" i="123"/>
  <c r="P1852" i="123"/>
  <c r="Q1852" i="123"/>
  <c r="R1852" i="123"/>
  <c r="T1852" i="123" s="1"/>
  <c r="S1852" i="123"/>
  <c r="X1852" i="123"/>
  <c r="Y1852" i="123"/>
  <c r="Z1852" i="123" s="1"/>
  <c r="AB1852" i="123"/>
  <c r="AD1852" i="123" s="1"/>
  <c r="AJ1852" i="123"/>
  <c r="AK1852" i="123"/>
  <c r="AL1852" i="123"/>
  <c r="AO1852" i="123"/>
  <c r="AP1852" i="123"/>
  <c r="AQ1852" i="123" s="1"/>
  <c r="AT1852" i="123"/>
  <c r="AU1852" i="123"/>
  <c r="K1853" i="123"/>
  <c r="L1853" i="123"/>
  <c r="M1853" i="123"/>
  <c r="N1853" i="123"/>
  <c r="O1853" i="123"/>
  <c r="P1853" i="123"/>
  <c r="Q1853" i="123"/>
  <c r="R1853" i="123"/>
  <c r="T1853" i="123" s="1"/>
  <c r="W1853" i="123" s="1"/>
  <c r="S1853" i="123"/>
  <c r="X1853" i="123"/>
  <c r="Y1853" i="123"/>
  <c r="AA1853" i="123" s="1"/>
  <c r="AB1853" i="123"/>
  <c r="AC1853" i="123" s="1"/>
  <c r="AJ1853" i="123"/>
  <c r="AK1853" i="123"/>
  <c r="AL1853" i="123"/>
  <c r="AO1853" i="123"/>
  <c r="AP1853" i="123"/>
  <c r="AQ1853" i="123" s="1"/>
  <c r="AT1853" i="123"/>
  <c r="AU1853" i="123"/>
  <c r="K1854" i="123"/>
  <c r="L1854" i="123"/>
  <c r="M1854" i="123"/>
  <c r="N1854" i="123"/>
  <c r="O1854" i="123"/>
  <c r="P1854" i="123"/>
  <c r="Q1854" i="123"/>
  <c r="R1854" i="123"/>
  <c r="T1854" i="123" s="1"/>
  <c r="V1854" i="123" s="1"/>
  <c r="S1854" i="123"/>
  <c r="X1854" i="123"/>
  <c r="Y1854" i="123"/>
  <c r="Z1854" i="123" s="1"/>
  <c r="AB1854" i="123"/>
  <c r="AD1854" i="123" s="1"/>
  <c r="AJ1854" i="123"/>
  <c r="AK1854" i="123"/>
  <c r="AL1854" i="123"/>
  <c r="AO1854" i="123"/>
  <c r="AP1854" i="123"/>
  <c r="AT1854" i="123"/>
  <c r="AU1854" i="123"/>
  <c r="K1855" i="123"/>
  <c r="L1855" i="123"/>
  <c r="M1855" i="123"/>
  <c r="N1855" i="123"/>
  <c r="O1855" i="123"/>
  <c r="P1855" i="123"/>
  <c r="Q1855" i="123"/>
  <c r="R1855" i="123"/>
  <c r="T1855" i="123" s="1"/>
  <c r="S1855" i="123"/>
  <c r="X1855" i="123"/>
  <c r="Y1855" i="123"/>
  <c r="AA1855" i="123" s="1"/>
  <c r="AB1855" i="123"/>
  <c r="AC1855" i="123" s="1"/>
  <c r="AJ1855" i="123"/>
  <c r="AK1855" i="123"/>
  <c r="AL1855" i="123"/>
  <c r="AO1855" i="123"/>
  <c r="AP1855" i="123"/>
  <c r="AQ1855" i="123" s="1"/>
  <c r="AT1855" i="123"/>
  <c r="AU1855" i="123"/>
  <c r="K1856" i="123"/>
  <c r="L1856" i="123"/>
  <c r="M1856" i="123"/>
  <c r="N1856" i="123"/>
  <c r="O1856" i="123"/>
  <c r="P1856" i="123"/>
  <c r="Q1856" i="123"/>
  <c r="R1856" i="123"/>
  <c r="T1856" i="123" s="1"/>
  <c r="S1856" i="123"/>
  <c r="X1856" i="123"/>
  <c r="Y1856" i="123"/>
  <c r="Z1856" i="123" s="1"/>
  <c r="AB1856" i="123"/>
  <c r="AC1856" i="123" s="1"/>
  <c r="AJ1856" i="123"/>
  <c r="AK1856" i="123"/>
  <c r="AL1856" i="123"/>
  <c r="AO1856" i="123"/>
  <c r="AP1856" i="123"/>
  <c r="AQ1856" i="123" s="1"/>
  <c r="AT1856" i="123"/>
  <c r="AU1856" i="123"/>
  <c r="K1857" i="123"/>
  <c r="L1857" i="123"/>
  <c r="M1857" i="123"/>
  <c r="N1857" i="123"/>
  <c r="O1857" i="123"/>
  <c r="P1857" i="123"/>
  <c r="Q1857" i="123"/>
  <c r="R1857" i="123"/>
  <c r="T1857" i="123" s="1"/>
  <c r="W1857" i="123" s="1"/>
  <c r="S1857" i="123"/>
  <c r="X1857" i="123"/>
  <c r="Y1857" i="123"/>
  <c r="AA1857" i="123" s="1"/>
  <c r="AB1857" i="123"/>
  <c r="AC1857" i="123" s="1"/>
  <c r="AJ1857" i="123"/>
  <c r="AK1857" i="123"/>
  <c r="AL1857" i="123"/>
  <c r="AO1857" i="123"/>
  <c r="AP1857" i="123"/>
  <c r="AQ1857" i="123" s="1"/>
  <c r="AT1857" i="123"/>
  <c r="AU1857" i="123"/>
  <c r="K1858" i="123"/>
  <c r="L1858" i="123"/>
  <c r="M1858" i="123"/>
  <c r="N1858" i="123"/>
  <c r="O1858" i="123"/>
  <c r="P1858" i="123"/>
  <c r="Q1858" i="123"/>
  <c r="R1858" i="123"/>
  <c r="T1858" i="123" s="1"/>
  <c r="S1858" i="123"/>
  <c r="X1858" i="123"/>
  <c r="Y1858" i="123"/>
  <c r="Z1858" i="123" s="1"/>
  <c r="AB1858" i="123"/>
  <c r="AD1858" i="123" s="1"/>
  <c r="AJ1858" i="123"/>
  <c r="AK1858" i="123"/>
  <c r="AL1858" i="123"/>
  <c r="AO1858" i="123"/>
  <c r="AP1858" i="123"/>
  <c r="AQ1858" i="123" s="1"/>
  <c r="AT1858" i="123"/>
  <c r="AU1858" i="123"/>
  <c r="K1859" i="123"/>
  <c r="L1859" i="123"/>
  <c r="M1859" i="123"/>
  <c r="N1859" i="123"/>
  <c r="O1859" i="123"/>
  <c r="P1859" i="123"/>
  <c r="Q1859" i="123"/>
  <c r="R1859" i="123"/>
  <c r="T1859" i="123" s="1"/>
  <c r="S1859" i="123"/>
  <c r="X1859" i="123"/>
  <c r="Y1859" i="123"/>
  <c r="Z1859" i="123" s="1"/>
  <c r="AB1859" i="123"/>
  <c r="AC1859" i="123" s="1"/>
  <c r="AJ1859" i="123"/>
  <c r="AK1859" i="123"/>
  <c r="AL1859" i="123"/>
  <c r="AO1859" i="123"/>
  <c r="AP1859" i="123"/>
  <c r="AQ1859" i="123" s="1"/>
  <c r="AT1859" i="123"/>
  <c r="AU1859" i="123"/>
  <c r="K1860" i="123"/>
  <c r="L1860" i="123"/>
  <c r="M1860" i="123"/>
  <c r="N1860" i="123"/>
  <c r="O1860" i="123"/>
  <c r="P1860" i="123"/>
  <c r="Q1860" i="123"/>
  <c r="R1860" i="123"/>
  <c r="T1860" i="123" s="1"/>
  <c r="S1860" i="123"/>
  <c r="X1860" i="123"/>
  <c r="Y1860" i="123"/>
  <c r="Z1860" i="123" s="1"/>
  <c r="AB1860" i="123"/>
  <c r="AC1860" i="123" s="1"/>
  <c r="AJ1860" i="123"/>
  <c r="AK1860" i="123"/>
  <c r="AL1860" i="123"/>
  <c r="AO1860" i="123"/>
  <c r="AP1860" i="123"/>
  <c r="AQ1860" i="123" s="1"/>
  <c r="AT1860" i="123"/>
  <c r="AU1860" i="123"/>
  <c r="K1861" i="123"/>
  <c r="L1861" i="123"/>
  <c r="M1861" i="123"/>
  <c r="N1861" i="123"/>
  <c r="O1861" i="123"/>
  <c r="P1861" i="123"/>
  <c r="Q1861" i="123"/>
  <c r="R1861" i="123"/>
  <c r="T1861" i="123" s="1"/>
  <c r="W1861" i="123" s="1"/>
  <c r="S1861" i="123"/>
  <c r="X1861" i="123"/>
  <c r="Y1861" i="123"/>
  <c r="AA1861" i="123" s="1"/>
  <c r="AB1861" i="123"/>
  <c r="AC1861" i="123" s="1"/>
  <c r="AJ1861" i="123"/>
  <c r="AK1861" i="123"/>
  <c r="AL1861" i="123"/>
  <c r="AO1861" i="123"/>
  <c r="AP1861" i="123"/>
  <c r="AQ1861" i="123" s="1"/>
  <c r="AT1861" i="123"/>
  <c r="AU1861" i="123"/>
  <c r="K1862" i="123"/>
  <c r="L1862" i="123"/>
  <c r="M1862" i="123"/>
  <c r="N1862" i="123"/>
  <c r="O1862" i="123"/>
  <c r="P1862" i="123"/>
  <c r="Q1862" i="123"/>
  <c r="R1862" i="123"/>
  <c r="T1862" i="123" s="1"/>
  <c r="S1862" i="123"/>
  <c r="X1862" i="123"/>
  <c r="Y1862" i="123"/>
  <c r="Z1862" i="123" s="1"/>
  <c r="AB1862" i="123"/>
  <c r="AD1862" i="123" s="1"/>
  <c r="AJ1862" i="123"/>
  <c r="AK1862" i="123"/>
  <c r="AL1862" i="123"/>
  <c r="AO1862" i="123"/>
  <c r="AP1862" i="123"/>
  <c r="AQ1862" i="123" s="1"/>
  <c r="AT1862" i="123"/>
  <c r="AU1862" i="123"/>
  <c r="K1863" i="123"/>
  <c r="L1863" i="123"/>
  <c r="M1863" i="123"/>
  <c r="N1863" i="123"/>
  <c r="O1863" i="123"/>
  <c r="P1863" i="123"/>
  <c r="Q1863" i="123"/>
  <c r="R1863" i="123"/>
  <c r="T1863" i="123" s="1"/>
  <c r="S1863" i="123"/>
  <c r="X1863" i="123"/>
  <c r="Y1863" i="123"/>
  <c r="Z1863" i="123" s="1"/>
  <c r="AB1863" i="123"/>
  <c r="AC1863" i="123" s="1"/>
  <c r="AJ1863" i="123"/>
  <c r="AK1863" i="123"/>
  <c r="AL1863" i="123"/>
  <c r="AO1863" i="123"/>
  <c r="AP1863" i="123"/>
  <c r="AQ1863" i="123" s="1"/>
  <c r="AT1863" i="123"/>
  <c r="AU1863" i="123"/>
  <c r="K1864" i="123"/>
  <c r="L1864" i="123"/>
  <c r="M1864" i="123"/>
  <c r="N1864" i="123"/>
  <c r="O1864" i="123"/>
  <c r="P1864" i="123"/>
  <c r="Q1864" i="123"/>
  <c r="R1864" i="123"/>
  <c r="T1864" i="123" s="1"/>
  <c r="S1864" i="123"/>
  <c r="X1864" i="123"/>
  <c r="Y1864" i="123"/>
  <c r="Z1864" i="123" s="1"/>
  <c r="AB1864" i="123"/>
  <c r="AC1864" i="123" s="1"/>
  <c r="AJ1864" i="123"/>
  <c r="AK1864" i="123"/>
  <c r="AL1864" i="123"/>
  <c r="AO1864" i="123"/>
  <c r="AP1864" i="123"/>
  <c r="AQ1864" i="123" s="1"/>
  <c r="AT1864" i="123"/>
  <c r="AU1864" i="123"/>
  <c r="K1865" i="123"/>
  <c r="L1865" i="123"/>
  <c r="M1865" i="123"/>
  <c r="N1865" i="123"/>
  <c r="O1865" i="123"/>
  <c r="P1865" i="123"/>
  <c r="Q1865" i="123"/>
  <c r="R1865" i="123"/>
  <c r="T1865" i="123" s="1"/>
  <c r="W1865" i="123" s="1"/>
  <c r="S1865" i="123"/>
  <c r="X1865" i="123"/>
  <c r="Y1865" i="123"/>
  <c r="AA1865" i="123" s="1"/>
  <c r="AB1865" i="123"/>
  <c r="AC1865" i="123" s="1"/>
  <c r="AJ1865" i="123"/>
  <c r="AK1865" i="123"/>
  <c r="AL1865" i="123"/>
  <c r="AO1865" i="123"/>
  <c r="AP1865" i="123"/>
  <c r="AQ1865" i="123" s="1"/>
  <c r="AT1865" i="123"/>
  <c r="AU1865" i="123"/>
  <c r="K1866" i="123"/>
  <c r="L1866" i="123"/>
  <c r="M1866" i="123"/>
  <c r="N1866" i="123"/>
  <c r="O1866" i="123"/>
  <c r="P1866" i="123"/>
  <c r="Q1866" i="123"/>
  <c r="R1866" i="123"/>
  <c r="T1866" i="123" s="1"/>
  <c r="S1866" i="123"/>
  <c r="X1866" i="123"/>
  <c r="Y1866" i="123"/>
  <c r="Z1866" i="123" s="1"/>
  <c r="AB1866" i="123"/>
  <c r="AD1866" i="123" s="1"/>
  <c r="AJ1866" i="123"/>
  <c r="AK1866" i="123"/>
  <c r="AL1866" i="123"/>
  <c r="AO1866" i="123"/>
  <c r="AP1866" i="123"/>
  <c r="AQ1866" i="123" s="1"/>
  <c r="AT1866" i="123"/>
  <c r="AU1866" i="123"/>
  <c r="K1867" i="123"/>
  <c r="L1867" i="123"/>
  <c r="M1867" i="123"/>
  <c r="N1867" i="123"/>
  <c r="O1867" i="123"/>
  <c r="P1867" i="123"/>
  <c r="Q1867" i="123"/>
  <c r="R1867" i="123"/>
  <c r="T1867" i="123" s="1"/>
  <c r="S1867" i="123"/>
  <c r="X1867" i="123"/>
  <c r="Y1867" i="123"/>
  <c r="Z1867" i="123" s="1"/>
  <c r="AB1867" i="123"/>
  <c r="AC1867" i="123" s="1"/>
  <c r="AJ1867" i="123"/>
  <c r="AK1867" i="123"/>
  <c r="AL1867" i="123"/>
  <c r="AO1867" i="123"/>
  <c r="AP1867" i="123"/>
  <c r="AQ1867" i="123" s="1"/>
  <c r="AT1867" i="123"/>
  <c r="AU1867" i="123"/>
  <c r="K1868" i="123"/>
  <c r="L1868" i="123"/>
  <c r="M1868" i="123"/>
  <c r="N1868" i="123"/>
  <c r="O1868" i="123"/>
  <c r="P1868" i="123"/>
  <c r="Q1868" i="123"/>
  <c r="R1868" i="123"/>
  <c r="T1868" i="123" s="1"/>
  <c r="S1868" i="123"/>
  <c r="X1868" i="123"/>
  <c r="Y1868" i="123"/>
  <c r="Z1868" i="123" s="1"/>
  <c r="AB1868" i="123"/>
  <c r="AD1868" i="123" s="1"/>
  <c r="AJ1868" i="123"/>
  <c r="AK1868" i="123"/>
  <c r="AL1868" i="123"/>
  <c r="AO1868" i="123"/>
  <c r="AP1868" i="123"/>
  <c r="AQ1868" i="123" s="1"/>
  <c r="AT1868" i="123"/>
  <c r="AU1868" i="123"/>
  <c r="K1869" i="123"/>
  <c r="L1869" i="123"/>
  <c r="M1869" i="123"/>
  <c r="N1869" i="123"/>
  <c r="O1869" i="123"/>
  <c r="P1869" i="123"/>
  <c r="Q1869" i="123"/>
  <c r="R1869" i="123"/>
  <c r="T1869" i="123" s="1"/>
  <c r="S1869" i="123"/>
  <c r="X1869" i="123"/>
  <c r="Y1869" i="123"/>
  <c r="AA1869" i="123" s="1"/>
  <c r="AB1869" i="123"/>
  <c r="AJ1869" i="123"/>
  <c r="AK1869" i="123"/>
  <c r="AL1869" i="123"/>
  <c r="AO1869" i="123"/>
  <c r="AP1869" i="123"/>
  <c r="AT1869" i="123"/>
  <c r="AU1869" i="123"/>
  <c r="K1870" i="123"/>
  <c r="L1870" i="123"/>
  <c r="M1870" i="123"/>
  <c r="N1870" i="123"/>
  <c r="O1870" i="123"/>
  <c r="P1870" i="123"/>
  <c r="Q1870" i="123"/>
  <c r="R1870" i="123"/>
  <c r="T1870" i="123" s="1"/>
  <c r="V1870" i="123" s="1"/>
  <c r="S1870" i="123"/>
  <c r="X1870" i="123"/>
  <c r="Y1870" i="123"/>
  <c r="Z1870" i="123" s="1"/>
  <c r="AB1870" i="123"/>
  <c r="AD1870" i="123" s="1"/>
  <c r="AJ1870" i="123"/>
  <c r="AK1870" i="123"/>
  <c r="AL1870" i="123"/>
  <c r="AO1870" i="123"/>
  <c r="AP1870" i="123"/>
  <c r="AT1870" i="123"/>
  <c r="AU1870" i="123"/>
  <c r="K1871" i="123"/>
  <c r="L1871" i="123"/>
  <c r="M1871" i="123"/>
  <c r="N1871" i="123"/>
  <c r="O1871" i="123"/>
  <c r="P1871" i="123"/>
  <c r="Q1871" i="123"/>
  <c r="R1871" i="123"/>
  <c r="T1871" i="123" s="1"/>
  <c r="V1871" i="123" s="1"/>
  <c r="S1871" i="123"/>
  <c r="X1871" i="123"/>
  <c r="Y1871" i="123"/>
  <c r="AA1871" i="123" s="1"/>
  <c r="AB1871" i="123"/>
  <c r="AC1871" i="123" s="1"/>
  <c r="AJ1871" i="123"/>
  <c r="AK1871" i="123"/>
  <c r="AL1871" i="123"/>
  <c r="AO1871" i="123"/>
  <c r="AP1871" i="123"/>
  <c r="AQ1871" i="123" s="1"/>
  <c r="AT1871" i="123"/>
  <c r="AU1871" i="123"/>
  <c r="K1872" i="123"/>
  <c r="L1872" i="123"/>
  <c r="M1872" i="123"/>
  <c r="N1872" i="123"/>
  <c r="O1872" i="123"/>
  <c r="P1872" i="123"/>
  <c r="Q1872" i="123"/>
  <c r="R1872" i="123"/>
  <c r="T1872" i="123" s="1"/>
  <c r="S1872" i="123"/>
  <c r="X1872" i="123"/>
  <c r="Y1872" i="123"/>
  <c r="AB1872" i="123"/>
  <c r="AC1872" i="123" s="1"/>
  <c r="AJ1872" i="123"/>
  <c r="AK1872" i="123"/>
  <c r="AL1872" i="123"/>
  <c r="AO1872" i="123"/>
  <c r="AP1872" i="123"/>
  <c r="AQ1872" i="123" s="1"/>
  <c r="AT1872" i="123"/>
  <c r="AU1872" i="123"/>
  <c r="K1873" i="123"/>
  <c r="L1873" i="123"/>
  <c r="M1873" i="123"/>
  <c r="N1873" i="123"/>
  <c r="O1873" i="123"/>
  <c r="P1873" i="123"/>
  <c r="Q1873" i="123"/>
  <c r="R1873" i="123"/>
  <c r="T1873" i="123" s="1"/>
  <c r="S1873" i="123"/>
  <c r="X1873" i="123"/>
  <c r="Y1873" i="123"/>
  <c r="AA1873" i="123" s="1"/>
  <c r="AB1873" i="123"/>
  <c r="AJ1873" i="123"/>
  <c r="AK1873" i="123"/>
  <c r="AL1873" i="123"/>
  <c r="AO1873" i="123"/>
  <c r="AP1873" i="123"/>
  <c r="AQ1873" i="123" s="1"/>
  <c r="AT1873" i="123"/>
  <c r="AU1873" i="123"/>
  <c r="K1874" i="123"/>
  <c r="L1874" i="123"/>
  <c r="M1874" i="123"/>
  <c r="N1874" i="123"/>
  <c r="O1874" i="123"/>
  <c r="P1874" i="123"/>
  <c r="Q1874" i="123"/>
  <c r="R1874" i="123"/>
  <c r="T1874" i="123" s="1"/>
  <c r="V1874" i="123" s="1"/>
  <c r="S1874" i="123"/>
  <c r="X1874" i="123"/>
  <c r="Y1874" i="123"/>
  <c r="Z1874" i="123" s="1"/>
  <c r="AB1874" i="123"/>
  <c r="AD1874" i="123" s="1"/>
  <c r="AJ1874" i="123"/>
  <c r="AK1874" i="123"/>
  <c r="AL1874" i="123"/>
  <c r="AO1874" i="123"/>
  <c r="AP1874" i="123"/>
  <c r="AT1874" i="123"/>
  <c r="AU1874" i="123"/>
  <c r="K1875" i="123"/>
  <c r="L1875" i="123"/>
  <c r="M1875" i="123"/>
  <c r="N1875" i="123"/>
  <c r="O1875" i="123"/>
  <c r="P1875" i="123"/>
  <c r="Q1875" i="123"/>
  <c r="R1875" i="123"/>
  <c r="T1875" i="123" s="1"/>
  <c r="S1875" i="123"/>
  <c r="X1875" i="123"/>
  <c r="Y1875" i="123"/>
  <c r="Z1875" i="123" s="1"/>
  <c r="AB1875" i="123"/>
  <c r="AC1875" i="123" s="1"/>
  <c r="AJ1875" i="123"/>
  <c r="AK1875" i="123"/>
  <c r="AL1875" i="123"/>
  <c r="AO1875" i="123"/>
  <c r="AP1875" i="123"/>
  <c r="AQ1875" i="123" s="1"/>
  <c r="AT1875" i="123"/>
  <c r="AU1875" i="123"/>
  <c r="K1876" i="123"/>
  <c r="L1876" i="123"/>
  <c r="M1876" i="123"/>
  <c r="N1876" i="123"/>
  <c r="O1876" i="123"/>
  <c r="P1876" i="123"/>
  <c r="Q1876" i="123"/>
  <c r="R1876" i="123"/>
  <c r="T1876" i="123" s="1"/>
  <c r="V1876" i="123" s="1"/>
  <c r="S1876" i="123"/>
  <c r="X1876" i="123"/>
  <c r="Y1876" i="123"/>
  <c r="Z1876" i="123" s="1"/>
  <c r="AB1876" i="123"/>
  <c r="AD1876" i="123" s="1"/>
  <c r="AJ1876" i="123"/>
  <c r="AK1876" i="123"/>
  <c r="AL1876" i="123"/>
  <c r="AO1876" i="123"/>
  <c r="AP1876" i="123"/>
  <c r="AQ1876" i="123" s="1"/>
  <c r="AT1876" i="123"/>
  <c r="AU1876" i="123"/>
  <c r="K1877" i="123"/>
  <c r="L1877" i="123"/>
  <c r="M1877" i="123"/>
  <c r="N1877" i="123"/>
  <c r="O1877" i="123"/>
  <c r="P1877" i="123"/>
  <c r="Q1877" i="123"/>
  <c r="R1877" i="123"/>
  <c r="T1877" i="123" s="1"/>
  <c r="S1877" i="123"/>
  <c r="X1877" i="123"/>
  <c r="Y1877" i="123"/>
  <c r="AA1877" i="123" s="1"/>
  <c r="AB1877" i="123"/>
  <c r="AD1877" i="123" s="1"/>
  <c r="AJ1877" i="123"/>
  <c r="AK1877" i="123"/>
  <c r="AL1877" i="123"/>
  <c r="AO1877" i="123"/>
  <c r="AP1877" i="123"/>
  <c r="AQ1877" i="123" s="1"/>
  <c r="AT1877" i="123"/>
  <c r="AU1877" i="123"/>
  <c r="K1878" i="123"/>
  <c r="L1878" i="123"/>
  <c r="M1878" i="123"/>
  <c r="N1878" i="123"/>
  <c r="O1878" i="123"/>
  <c r="P1878" i="123"/>
  <c r="Q1878" i="123"/>
  <c r="R1878" i="123"/>
  <c r="T1878" i="123" s="1"/>
  <c r="S1878" i="123"/>
  <c r="X1878" i="123"/>
  <c r="Y1878" i="123"/>
  <c r="Z1878" i="123" s="1"/>
  <c r="AB1878" i="123"/>
  <c r="AD1878" i="123" s="1"/>
  <c r="AJ1878" i="123"/>
  <c r="AK1878" i="123"/>
  <c r="AL1878" i="123"/>
  <c r="AO1878" i="123"/>
  <c r="AP1878" i="123"/>
  <c r="AT1878" i="123"/>
  <c r="AU1878" i="123"/>
  <c r="K1879" i="123"/>
  <c r="L1879" i="123"/>
  <c r="M1879" i="123"/>
  <c r="N1879" i="123"/>
  <c r="O1879" i="123"/>
  <c r="P1879" i="123"/>
  <c r="Q1879" i="123"/>
  <c r="R1879" i="123"/>
  <c r="T1879" i="123" s="1"/>
  <c r="S1879" i="123"/>
  <c r="X1879" i="123"/>
  <c r="Y1879" i="123"/>
  <c r="AA1879" i="123" s="1"/>
  <c r="AB1879" i="123"/>
  <c r="AD1879" i="123" s="1"/>
  <c r="AJ1879" i="123"/>
  <c r="AK1879" i="123"/>
  <c r="AL1879" i="123"/>
  <c r="AO1879" i="123"/>
  <c r="AP1879" i="123"/>
  <c r="AQ1879" i="123" s="1"/>
  <c r="AT1879" i="123"/>
  <c r="AU1879" i="123"/>
  <c r="K1880" i="123"/>
  <c r="L1880" i="123"/>
  <c r="M1880" i="123"/>
  <c r="N1880" i="123"/>
  <c r="O1880" i="123"/>
  <c r="P1880" i="123"/>
  <c r="Q1880" i="123"/>
  <c r="R1880" i="123"/>
  <c r="T1880" i="123" s="1"/>
  <c r="W1880" i="123" s="1"/>
  <c r="S1880" i="123"/>
  <c r="X1880" i="123"/>
  <c r="Y1880" i="123"/>
  <c r="AA1880" i="123" s="1"/>
  <c r="AB1880" i="123"/>
  <c r="AC1880" i="123" s="1"/>
  <c r="AJ1880" i="123"/>
  <c r="AK1880" i="123"/>
  <c r="AL1880" i="123"/>
  <c r="AO1880" i="123"/>
  <c r="AP1880" i="123"/>
  <c r="AQ1880" i="123" s="1"/>
  <c r="AT1880" i="123"/>
  <c r="AU1880" i="123"/>
  <c r="K1881" i="123"/>
  <c r="L1881" i="123"/>
  <c r="M1881" i="123"/>
  <c r="N1881" i="123"/>
  <c r="O1881" i="123"/>
  <c r="P1881" i="123"/>
  <c r="Q1881" i="123"/>
  <c r="R1881" i="123"/>
  <c r="T1881" i="123" s="1"/>
  <c r="V1881" i="123" s="1"/>
  <c r="S1881" i="123"/>
  <c r="X1881" i="123"/>
  <c r="Y1881" i="123"/>
  <c r="Z1881" i="123" s="1"/>
  <c r="AB1881" i="123"/>
  <c r="AD1881" i="123" s="1"/>
  <c r="AJ1881" i="123"/>
  <c r="AK1881" i="123"/>
  <c r="AL1881" i="123"/>
  <c r="AO1881" i="123"/>
  <c r="AP1881" i="123"/>
  <c r="AT1881" i="123"/>
  <c r="AU1881" i="123"/>
  <c r="K1882" i="123"/>
  <c r="L1882" i="123"/>
  <c r="M1882" i="123"/>
  <c r="N1882" i="123"/>
  <c r="O1882" i="123"/>
  <c r="P1882" i="123"/>
  <c r="Q1882" i="123"/>
  <c r="R1882" i="123"/>
  <c r="T1882" i="123" s="1"/>
  <c r="S1882" i="123"/>
  <c r="X1882" i="123"/>
  <c r="Y1882" i="123"/>
  <c r="AA1882" i="123" s="1"/>
  <c r="AB1882" i="123"/>
  <c r="AC1882" i="123" s="1"/>
  <c r="AJ1882" i="123"/>
  <c r="AK1882" i="123"/>
  <c r="AL1882" i="123"/>
  <c r="AO1882" i="123"/>
  <c r="AP1882" i="123"/>
  <c r="AQ1882" i="123" s="1"/>
  <c r="AT1882" i="123"/>
  <c r="AU1882" i="123"/>
  <c r="K1883" i="123"/>
  <c r="L1883" i="123"/>
  <c r="M1883" i="123"/>
  <c r="N1883" i="123"/>
  <c r="O1883" i="123"/>
  <c r="P1883" i="123"/>
  <c r="Q1883" i="123"/>
  <c r="R1883" i="123"/>
  <c r="T1883" i="123" s="1"/>
  <c r="S1883" i="123"/>
  <c r="X1883" i="123"/>
  <c r="Y1883" i="123"/>
  <c r="AA1883" i="123" s="1"/>
  <c r="AB1883" i="123"/>
  <c r="AD1883" i="123" s="1"/>
  <c r="AJ1883" i="123"/>
  <c r="AK1883" i="123"/>
  <c r="AL1883" i="123"/>
  <c r="AO1883" i="123"/>
  <c r="AP1883" i="123"/>
  <c r="AQ1883" i="123" s="1"/>
  <c r="AT1883" i="123"/>
  <c r="AU1883" i="123"/>
  <c r="K1884" i="123"/>
  <c r="L1884" i="123"/>
  <c r="M1884" i="123"/>
  <c r="N1884" i="123"/>
  <c r="O1884" i="123"/>
  <c r="P1884" i="123"/>
  <c r="Q1884" i="123"/>
  <c r="R1884" i="123"/>
  <c r="T1884" i="123" s="1"/>
  <c r="W1884" i="123" s="1"/>
  <c r="S1884" i="123"/>
  <c r="X1884" i="123"/>
  <c r="Y1884" i="123"/>
  <c r="AA1884" i="123" s="1"/>
  <c r="AB1884" i="123"/>
  <c r="AC1884" i="123" s="1"/>
  <c r="AJ1884" i="123"/>
  <c r="AK1884" i="123"/>
  <c r="AL1884" i="123"/>
  <c r="AO1884" i="123"/>
  <c r="AP1884" i="123"/>
  <c r="AQ1884" i="123" s="1"/>
  <c r="AT1884" i="123"/>
  <c r="AU1884" i="123"/>
  <c r="K1885" i="123"/>
  <c r="L1885" i="123"/>
  <c r="M1885" i="123"/>
  <c r="N1885" i="123"/>
  <c r="O1885" i="123"/>
  <c r="P1885" i="123"/>
  <c r="Q1885" i="123"/>
  <c r="R1885" i="123"/>
  <c r="T1885" i="123" s="1"/>
  <c r="V1885" i="123" s="1"/>
  <c r="S1885" i="123"/>
  <c r="X1885" i="123"/>
  <c r="Y1885" i="123"/>
  <c r="Z1885" i="123" s="1"/>
  <c r="AB1885" i="123"/>
  <c r="AD1885" i="123" s="1"/>
  <c r="AJ1885" i="123"/>
  <c r="AK1885" i="123"/>
  <c r="AL1885" i="123"/>
  <c r="AO1885" i="123"/>
  <c r="AP1885" i="123"/>
  <c r="AT1885" i="123"/>
  <c r="AU1885" i="123"/>
  <c r="K1886" i="123"/>
  <c r="L1886" i="123"/>
  <c r="M1886" i="123"/>
  <c r="N1886" i="123"/>
  <c r="O1886" i="123"/>
  <c r="P1886" i="123"/>
  <c r="Q1886" i="123"/>
  <c r="R1886" i="123"/>
  <c r="T1886" i="123" s="1"/>
  <c r="S1886" i="123"/>
  <c r="X1886" i="123"/>
  <c r="Y1886" i="123"/>
  <c r="AA1886" i="123" s="1"/>
  <c r="AB1886" i="123"/>
  <c r="AC1886" i="123" s="1"/>
  <c r="AJ1886" i="123"/>
  <c r="AK1886" i="123"/>
  <c r="AL1886" i="123"/>
  <c r="AO1886" i="123"/>
  <c r="AP1886" i="123"/>
  <c r="AQ1886" i="123" s="1"/>
  <c r="AT1886" i="123"/>
  <c r="AU1886" i="123"/>
  <c r="K1887" i="123"/>
  <c r="L1887" i="123"/>
  <c r="M1887" i="123"/>
  <c r="N1887" i="123"/>
  <c r="O1887" i="123"/>
  <c r="P1887" i="123"/>
  <c r="Q1887" i="123"/>
  <c r="R1887" i="123"/>
  <c r="T1887" i="123" s="1"/>
  <c r="S1887" i="123"/>
  <c r="X1887" i="123"/>
  <c r="Y1887" i="123"/>
  <c r="AA1887" i="123" s="1"/>
  <c r="AB1887" i="123"/>
  <c r="AD1887" i="123" s="1"/>
  <c r="AJ1887" i="123"/>
  <c r="AK1887" i="123"/>
  <c r="AL1887" i="123"/>
  <c r="AO1887" i="123"/>
  <c r="AP1887" i="123"/>
  <c r="AQ1887" i="123" s="1"/>
  <c r="AT1887" i="123"/>
  <c r="AU1887" i="123"/>
  <c r="K1888" i="123"/>
  <c r="L1888" i="123"/>
  <c r="M1888" i="123"/>
  <c r="N1888" i="123"/>
  <c r="O1888" i="123"/>
  <c r="P1888" i="123"/>
  <c r="Q1888" i="123"/>
  <c r="R1888" i="123"/>
  <c r="T1888" i="123" s="1"/>
  <c r="W1888" i="123" s="1"/>
  <c r="S1888" i="123"/>
  <c r="X1888" i="123"/>
  <c r="Y1888" i="123"/>
  <c r="AA1888" i="123" s="1"/>
  <c r="AB1888" i="123"/>
  <c r="AC1888" i="123" s="1"/>
  <c r="AJ1888" i="123"/>
  <c r="AK1888" i="123"/>
  <c r="AL1888" i="123"/>
  <c r="AO1888" i="123"/>
  <c r="AP1888" i="123"/>
  <c r="AQ1888" i="123" s="1"/>
  <c r="AT1888" i="123"/>
  <c r="AU1888" i="123"/>
  <c r="K1889" i="123"/>
  <c r="L1889" i="123"/>
  <c r="M1889" i="123"/>
  <c r="N1889" i="123"/>
  <c r="O1889" i="123"/>
  <c r="P1889" i="123"/>
  <c r="Q1889" i="123"/>
  <c r="R1889" i="123"/>
  <c r="T1889" i="123" s="1"/>
  <c r="V1889" i="123" s="1"/>
  <c r="S1889" i="123"/>
  <c r="X1889" i="123"/>
  <c r="Y1889" i="123"/>
  <c r="Z1889" i="123" s="1"/>
  <c r="AB1889" i="123"/>
  <c r="AD1889" i="123" s="1"/>
  <c r="AJ1889" i="123"/>
  <c r="AK1889" i="123"/>
  <c r="AL1889" i="123"/>
  <c r="AO1889" i="123"/>
  <c r="AP1889" i="123"/>
  <c r="AT1889" i="123"/>
  <c r="AU1889" i="123"/>
  <c r="K1890" i="123"/>
  <c r="L1890" i="123"/>
  <c r="M1890" i="123"/>
  <c r="N1890" i="123"/>
  <c r="O1890" i="123"/>
  <c r="P1890" i="123"/>
  <c r="Q1890" i="123"/>
  <c r="R1890" i="123"/>
  <c r="T1890" i="123" s="1"/>
  <c r="S1890" i="123"/>
  <c r="X1890" i="123"/>
  <c r="Y1890" i="123"/>
  <c r="AA1890" i="123" s="1"/>
  <c r="AB1890" i="123"/>
  <c r="AC1890" i="123" s="1"/>
  <c r="AJ1890" i="123"/>
  <c r="AK1890" i="123"/>
  <c r="AL1890" i="123"/>
  <c r="AO1890" i="123"/>
  <c r="AP1890" i="123"/>
  <c r="AQ1890" i="123" s="1"/>
  <c r="AT1890" i="123"/>
  <c r="AU1890" i="123"/>
  <c r="K1891" i="123"/>
  <c r="L1891" i="123"/>
  <c r="M1891" i="123"/>
  <c r="N1891" i="123"/>
  <c r="O1891" i="123"/>
  <c r="P1891" i="123"/>
  <c r="Q1891" i="123"/>
  <c r="R1891" i="123"/>
  <c r="T1891" i="123" s="1"/>
  <c r="S1891" i="123"/>
  <c r="X1891" i="123"/>
  <c r="Y1891" i="123"/>
  <c r="AA1891" i="123" s="1"/>
  <c r="AB1891" i="123"/>
  <c r="AC1891" i="123" s="1"/>
  <c r="AJ1891" i="123"/>
  <c r="AK1891" i="123"/>
  <c r="AL1891" i="123"/>
  <c r="AO1891" i="123"/>
  <c r="AP1891" i="123"/>
  <c r="AQ1891" i="123" s="1"/>
  <c r="AT1891" i="123"/>
  <c r="AU1891" i="123"/>
  <c r="K1892" i="123"/>
  <c r="L1892" i="123"/>
  <c r="M1892" i="123"/>
  <c r="N1892" i="123"/>
  <c r="O1892" i="123"/>
  <c r="P1892" i="123"/>
  <c r="Q1892" i="123"/>
  <c r="R1892" i="123"/>
  <c r="T1892" i="123" s="1"/>
  <c r="W1892" i="123" s="1"/>
  <c r="S1892" i="123"/>
  <c r="X1892" i="123"/>
  <c r="Y1892" i="123"/>
  <c r="AA1892" i="123" s="1"/>
  <c r="AB1892" i="123"/>
  <c r="AC1892" i="123" s="1"/>
  <c r="AJ1892" i="123"/>
  <c r="AK1892" i="123"/>
  <c r="AL1892" i="123"/>
  <c r="AO1892" i="123"/>
  <c r="AP1892" i="123"/>
  <c r="AT1892" i="123"/>
  <c r="AU1892" i="123"/>
  <c r="K1893" i="123"/>
  <c r="L1893" i="123"/>
  <c r="M1893" i="123"/>
  <c r="N1893" i="123"/>
  <c r="O1893" i="123"/>
  <c r="P1893" i="123"/>
  <c r="Q1893" i="123"/>
  <c r="R1893" i="123"/>
  <c r="T1893" i="123" s="1"/>
  <c r="V1893" i="123" s="1"/>
  <c r="S1893" i="123"/>
  <c r="X1893" i="123"/>
  <c r="Y1893" i="123"/>
  <c r="Z1893" i="123" s="1"/>
  <c r="AB1893" i="123"/>
  <c r="AD1893" i="123" s="1"/>
  <c r="AJ1893" i="123"/>
  <c r="AK1893" i="123"/>
  <c r="AL1893" i="123"/>
  <c r="AO1893" i="123"/>
  <c r="AP1893" i="123"/>
  <c r="AT1893" i="123"/>
  <c r="AU1893" i="123"/>
  <c r="K1894" i="123"/>
  <c r="L1894" i="123"/>
  <c r="M1894" i="123"/>
  <c r="N1894" i="123"/>
  <c r="O1894" i="123"/>
  <c r="P1894" i="123"/>
  <c r="Q1894" i="123"/>
  <c r="R1894" i="123"/>
  <c r="T1894" i="123" s="1"/>
  <c r="S1894" i="123"/>
  <c r="X1894" i="123"/>
  <c r="Y1894" i="123"/>
  <c r="Z1894" i="123" s="1"/>
  <c r="AB1894" i="123"/>
  <c r="AC1894" i="123" s="1"/>
  <c r="AJ1894" i="123"/>
  <c r="AK1894" i="123"/>
  <c r="AL1894" i="123"/>
  <c r="AO1894" i="123"/>
  <c r="AP1894" i="123"/>
  <c r="AQ1894" i="123" s="1"/>
  <c r="AT1894" i="123"/>
  <c r="AU1894" i="123"/>
  <c r="K1895" i="123"/>
  <c r="L1895" i="123"/>
  <c r="M1895" i="123"/>
  <c r="N1895" i="123"/>
  <c r="O1895" i="123"/>
  <c r="P1895" i="123"/>
  <c r="Q1895" i="123"/>
  <c r="R1895" i="123"/>
  <c r="T1895" i="123" s="1"/>
  <c r="S1895" i="123"/>
  <c r="X1895" i="123"/>
  <c r="Y1895" i="123"/>
  <c r="AA1895" i="123" s="1"/>
  <c r="AB1895" i="123"/>
  <c r="AD1895" i="123" s="1"/>
  <c r="AJ1895" i="123"/>
  <c r="AK1895" i="123"/>
  <c r="AL1895" i="123"/>
  <c r="AO1895" i="123"/>
  <c r="AP1895" i="123"/>
  <c r="AQ1895" i="123" s="1"/>
  <c r="AT1895" i="123"/>
  <c r="AU1895" i="123"/>
  <c r="K1896" i="123"/>
  <c r="L1896" i="123"/>
  <c r="M1896" i="123"/>
  <c r="N1896" i="123"/>
  <c r="O1896" i="123"/>
  <c r="P1896" i="123"/>
  <c r="Q1896" i="123"/>
  <c r="R1896" i="123"/>
  <c r="T1896" i="123" s="1"/>
  <c r="W1896" i="123" s="1"/>
  <c r="S1896" i="123"/>
  <c r="X1896" i="123"/>
  <c r="Y1896" i="123"/>
  <c r="AA1896" i="123" s="1"/>
  <c r="AB1896" i="123"/>
  <c r="AC1896" i="123" s="1"/>
  <c r="AJ1896" i="123"/>
  <c r="AK1896" i="123"/>
  <c r="AL1896" i="123"/>
  <c r="AO1896" i="123"/>
  <c r="AP1896" i="123"/>
  <c r="AQ1896" i="123" s="1"/>
  <c r="AT1896" i="123"/>
  <c r="AU1896" i="123"/>
  <c r="K1897" i="123"/>
  <c r="L1897" i="123"/>
  <c r="M1897" i="123"/>
  <c r="N1897" i="123"/>
  <c r="O1897" i="123"/>
  <c r="P1897" i="123"/>
  <c r="Q1897" i="123"/>
  <c r="R1897" i="123"/>
  <c r="T1897" i="123" s="1"/>
  <c r="V1897" i="123" s="1"/>
  <c r="S1897" i="123"/>
  <c r="X1897" i="123"/>
  <c r="Y1897" i="123"/>
  <c r="Z1897" i="123" s="1"/>
  <c r="AB1897" i="123"/>
  <c r="AD1897" i="123" s="1"/>
  <c r="AJ1897" i="123"/>
  <c r="AK1897" i="123"/>
  <c r="AL1897" i="123"/>
  <c r="AO1897" i="123"/>
  <c r="AP1897" i="123"/>
  <c r="AT1897" i="123"/>
  <c r="AU1897" i="123"/>
  <c r="K1898" i="123"/>
  <c r="L1898" i="123"/>
  <c r="M1898" i="123"/>
  <c r="N1898" i="123"/>
  <c r="O1898" i="123"/>
  <c r="P1898" i="123"/>
  <c r="Q1898" i="123"/>
  <c r="R1898" i="123"/>
  <c r="T1898" i="123" s="1"/>
  <c r="S1898" i="123"/>
  <c r="X1898" i="123"/>
  <c r="Y1898" i="123"/>
  <c r="Z1898" i="123" s="1"/>
  <c r="AB1898" i="123"/>
  <c r="AC1898" i="123" s="1"/>
  <c r="AJ1898" i="123"/>
  <c r="AK1898" i="123"/>
  <c r="AL1898" i="123"/>
  <c r="AO1898" i="123"/>
  <c r="AP1898" i="123"/>
  <c r="AQ1898" i="123" s="1"/>
  <c r="AT1898" i="123"/>
  <c r="AU1898" i="123"/>
  <c r="K1899" i="123"/>
  <c r="L1899" i="123"/>
  <c r="M1899" i="123"/>
  <c r="N1899" i="123"/>
  <c r="O1899" i="123"/>
  <c r="P1899" i="123"/>
  <c r="Q1899" i="123"/>
  <c r="R1899" i="123"/>
  <c r="T1899" i="123" s="1"/>
  <c r="S1899" i="123"/>
  <c r="X1899" i="123"/>
  <c r="Y1899" i="123"/>
  <c r="AA1899" i="123" s="1"/>
  <c r="AB1899" i="123"/>
  <c r="AD1899" i="123" s="1"/>
  <c r="AJ1899" i="123"/>
  <c r="AK1899" i="123"/>
  <c r="AL1899" i="123"/>
  <c r="AO1899" i="123"/>
  <c r="AP1899" i="123"/>
  <c r="AQ1899" i="123" s="1"/>
  <c r="AT1899" i="123"/>
  <c r="AU1899" i="123"/>
  <c r="K1900" i="123"/>
  <c r="L1900" i="123"/>
  <c r="M1900" i="123"/>
  <c r="N1900" i="123"/>
  <c r="O1900" i="123"/>
  <c r="P1900" i="123"/>
  <c r="Q1900" i="123"/>
  <c r="R1900" i="123"/>
  <c r="T1900" i="123" s="1"/>
  <c r="W1900" i="123" s="1"/>
  <c r="S1900" i="123"/>
  <c r="X1900" i="123"/>
  <c r="Y1900" i="123"/>
  <c r="AA1900" i="123" s="1"/>
  <c r="AB1900" i="123"/>
  <c r="AC1900" i="123" s="1"/>
  <c r="AJ1900" i="123"/>
  <c r="AK1900" i="123"/>
  <c r="AL1900" i="123"/>
  <c r="AO1900" i="123"/>
  <c r="AP1900" i="123"/>
  <c r="AQ1900" i="123" s="1"/>
  <c r="AT1900" i="123"/>
  <c r="AU1900" i="123"/>
  <c r="K1901" i="123"/>
  <c r="L1901" i="123"/>
  <c r="M1901" i="123"/>
  <c r="N1901" i="123"/>
  <c r="O1901" i="123"/>
  <c r="P1901" i="123"/>
  <c r="Q1901" i="123"/>
  <c r="R1901" i="123"/>
  <c r="T1901" i="123" s="1"/>
  <c r="V1901" i="123" s="1"/>
  <c r="S1901" i="123"/>
  <c r="X1901" i="123"/>
  <c r="Y1901" i="123"/>
  <c r="Z1901" i="123" s="1"/>
  <c r="AB1901" i="123"/>
  <c r="AD1901" i="123" s="1"/>
  <c r="AJ1901" i="123"/>
  <c r="AK1901" i="123"/>
  <c r="AL1901" i="123"/>
  <c r="AO1901" i="123"/>
  <c r="AP1901" i="123"/>
  <c r="AT1901" i="123"/>
  <c r="AU1901" i="123"/>
  <c r="K1902" i="123"/>
  <c r="L1902" i="123"/>
  <c r="M1902" i="123"/>
  <c r="N1902" i="123"/>
  <c r="O1902" i="123"/>
  <c r="P1902" i="123"/>
  <c r="Q1902" i="123"/>
  <c r="R1902" i="123"/>
  <c r="T1902" i="123" s="1"/>
  <c r="S1902" i="123"/>
  <c r="X1902" i="123"/>
  <c r="Y1902" i="123"/>
  <c r="AB1902" i="123"/>
  <c r="AC1902" i="123" s="1"/>
  <c r="AJ1902" i="123"/>
  <c r="AK1902" i="123"/>
  <c r="AL1902" i="123"/>
  <c r="AO1902" i="123"/>
  <c r="AP1902" i="123"/>
  <c r="AQ1902" i="123" s="1"/>
  <c r="AT1902" i="123"/>
  <c r="AU1902" i="123"/>
  <c r="K1903" i="123"/>
  <c r="L1903" i="123"/>
  <c r="M1903" i="123"/>
  <c r="N1903" i="123"/>
  <c r="O1903" i="123"/>
  <c r="P1903" i="123"/>
  <c r="Q1903" i="123"/>
  <c r="R1903" i="123"/>
  <c r="T1903" i="123" s="1"/>
  <c r="S1903" i="123"/>
  <c r="X1903" i="123"/>
  <c r="Y1903" i="123"/>
  <c r="AA1903" i="123" s="1"/>
  <c r="AB1903" i="123"/>
  <c r="AD1903" i="123" s="1"/>
  <c r="AJ1903" i="123"/>
  <c r="AK1903" i="123"/>
  <c r="AL1903" i="123"/>
  <c r="AO1903" i="123"/>
  <c r="AP1903" i="123"/>
  <c r="AQ1903" i="123" s="1"/>
  <c r="AT1903" i="123"/>
  <c r="AU1903" i="123"/>
  <c r="K1904" i="123"/>
  <c r="L1904" i="123"/>
  <c r="M1904" i="123"/>
  <c r="N1904" i="123"/>
  <c r="O1904" i="123"/>
  <c r="P1904" i="123"/>
  <c r="Q1904" i="123"/>
  <c r="R1904" i="123"/>
  <c r="T1904" i="123" s="1"/>
  <c r="W1904" i="123" s="1"/>
  <c r="S1904" i="123"/>
  <c r="X1904" i="123"/>
  <c r="Y1904" i="123"/>
  <c r="AA1904" i="123" s="1"/>
  <c r="AB1904" i="123"/>
  <c r="AC1904" i="123" s="1"/>
  <c r="AJ1904" i="123"/>
  <c r="AK1904" i="123"/>
  <c r="AL1904" i="123"/>
  <c r="AO1904" i="123"/>
  <c r="AP1904" i="123"/>
  <c r="AQ1904" i="123" s="1"/>
  <c r="AT1904" i="123"/>
  <c r="AU1904" i="123"/>
  <c r="K1905" i="123"/>
  <c r="L1905" i="123"/>
  <c r="M1905" i="123"/>
  <c r="N1905" i="123"/>
  <c r="O1905" i="123"/>
  <c r="P1905" i="123"/>
  <c r="Q1905" i="123"/>
  <c r="R1905" i="123"/>
  <c r="T1905" i="123" s="1"/>
  <c r="V1905" i="123" s="1"/>
  <c r="S1905" i="123"/>
  <c r="X1905" i="123"/>
  <c r="Y1905" i="123"/>
  <c r="Z1905" i="123" s="1"/>
  <c r="AB1905" i="123"/>
  <c r="AD1905" i="123" s="1"/>
  <c r="AJ1905" i="123"/>
  <c r="AK1905" i="123"/>
  <c r="AL1905" i="123"/>
  <c r="AO1905" i="123"/>
  <c r="AP1905" i="123"/>
  <c r="AT1905" i="123"/>
  <c r="AU1905" i="123"/>
  <c r="K1906" i="123"/>
  <c r="L1906" i="123"/>
  <c r="M1906" i="123"/>
  <c r="N1906" i="123"/>
  <c r="O1906" i="123"/>
  <c r="P1906" i="123"/>
  <c r="Q1906" i="123"/>
  <c r="R1906" i="123"/>
  <c r="T1906" i="123" s="1"/>
  <c r="S1906" i="123"/>
  <c r="X1906" i="123"/>
  <c r="Y1906" i="123"/>
  <c r="Z1906" i="123" s="1"/>
  <c r="AB1906" i="123"/>
  <c r="AC1906" i="123" s="1"/>
  <c r="AJ1906" i="123"/>
  <c r="AK1906" i="123"/>
  <c r="AL1906" i="123"/>
  <c r="AO1906" i="123"/>
  <c r="AP1906" i="123"/>
  <c r="AQ1906" i="123" s="1"/>
  <c r="AT1906" i="123"/>
  <c r="AU1906" i="123"/>
  <c r="K1907" i="123"/>
  <c r="L1907" i="123"/>
  <c r="M1907" i="123"/>
  <c r="N1907" i="123"/>
  <c r="O1907" i="123"/>
  <c r="P1907" i="123"/>
  <c r="Q1907" i="123"/>
  <c r="R1907" i="123"/>
  <c r="T1907" i="123" s="1"/>
  <c r="S1907" i="123"/>
  <c r="X1907" i="123"/>
  <c r="Y1907" i="123"/>
  <c r="AA1907" i="123" s="1"/>
  <c r="AB1907" i="123"/>
  <c r="AD1907" i="123" s="1"/>
  <c r="AJ1907" i="123"/>
  <c r="AK1907" i="123"/>
  <c r="AL1907" i="123"/>
  <c r="AO1907" i="123"/>
  <c r="AP1907" i="123"/>
  <c r="AQ1907" i="123" s="1"/>
  <c r="AT1907" i="123"/>
  <c r="AU1907" i="123"/>
  <c r="K1908" i="123"/>
  <c r="L1908" i="123"/>
  <c r="M1908" i="123"/>
  <c r="N1908" i="123"/>
  <c r="O1908" i="123"/>
  <c r="P1908" i="123"/>
  <c r="Q1908" i="123"/>
  <c r="R1908" i="123"/>
  <c r="T1908" i="123" s="1"/>
  <c r="W1908" i="123" s="1"/>
  <c r="S1908" i="123"/>
  <c r="X1908" i="123"/>
  <c r="Y1908" i="123"/>
  <c r="AA1908" i="123" s="1"/>
  <c r="AB1908" i="123"/>
  <c r="AC1908" i="123" s="1"/>
  <c r="AJ1908" i="123"/>
  <c r="AK1908" i="123"/>
  <c r="AL1908" i="123"/>
  <c r="AO1908" i="123"/>
  <c r="AP1908" i="123"/>
  <c r="AQ1908" i="123" s="1"/>
  <c r="AT1908" i="123"/>
  <c r="AU1908" i="123"/>
  <c r="K1909" i="123"/>
  <c r="L1909" i="123"/>
  <c r="M1909" i="123"/>
  <c r="N1909" i="123"/>
  <c r="O1909" i="123"/>
  <c r="P1909" i="123"/>
  <c r="Q1909" i="123"/>
  <c r="R1909" i="123"/>
  <c r="T1909" i="123" s="1"/>
  <c r="V1909" i="123" s="1"/>
  <c r="S1909" i="123"/>
  <c r="X1909" i="123"/>
  <c r="Y1909" i="123"/>
  <c r="Z1909" i="123" s="1"/>
  <c r="AB1909" i="123"/>
  <c r="AD1909" i="123" s="1"/>
  <c r="AJ1909" i="123"/>
  <c r="AK1909" i="123"/>
  <c r="AL1909" i="123"/>
  <c r="AO1909" i="123"/>
  <c r="AP1909" i="123"/>
  <c r="AT1909" i="123"/>
  <c r="AU1909" i="123"/>
  <c r="K1910" i="123"/>
  <c r="L1910" i="123"/>
  <c r="M1910" i="123"/>
  <c r="N1910" i="123"/>
  <c r="O1910" i="123"/>
  <c r="P1910" i="123"/>
  <c r="Q1910" i="123"/>
  <c r="R1910" i="123"/>
  <c r="T1910" i="123" s="1"/>
  <c r="S1910" i="123"/>
  <c r="X1910" i="123"/>
  <c r="Y1910" i="123"/>
  <c r="Z1910" i="123" s="1"/>
  <c r="AB1910" i="123"/>
  <c r="AC1910" i="123" s="1"/>
  <c r="AJ1910" i="123"/>
  <c r="AK1910" i="123"/>
  <c r="AL1910" i="123"/>
  <c r="AO1910" i="123"/>
  <c r="AP1910" i="123"/>
  <c r="AQ1910" i="123" s="1"/>
  <c r="AT1910" i="123"/>
  <c r="AU1910" i="123"/>
  <c r="K1911" i="123"/>
  <c r="L1911" i="123"/>
  <c r="M1911" i="123"/>
  <c r="N1911" i="123"/>
  <c r="O1911" i="123"/>
  <c r="P1911" i="123"/>
  <c r="Q1911" i="123"/>
  <c r="R1911" i="123"/>
  <c r="T1911" i="123" s="1"/>
  <c r="S1911" i="123"/>
  <c r="X1911" i="123"/>
  <c r="Y1911" i="123"/>
  <c r="AA1911" i="123" s="1"/>
  <c r="AB1911" i="123"/>
  <c r="AD1911" i="123" s="1"/>
  <c r="AJ1911" i="123"/>
  <c r="AK1911" i="123"/>
  <c r="AL1911" i="123"/>
  <c r="AO1911" i="123"/>
  <c r="AP1911" i="123"/>
  <c r="AQ1911" i="123" s="1"/>
  <c r="AT1911" i="123"/>
  <c r="AU1911" i="123"/>
  <c r="K1912" i="123"/>
  <c r="L1912" i="123"/>
  <c r="M1912" i="123"/>
  <c r="N1912" i="123"/>
  <c r="O1912" i="123"/>
  <c r="P1912" i="123"/>
  <c r="Q1912" i="123"/>
  <c r="R1912" i="123"/>
  <c r="T1912" i="123" s="1"/>
  <c r="W1912" i="123" s="1"/>
  <c r="S1912" i="123"/>
  <c r="X1912" i="123"/>
  <c r="Y1912" i="123"/>
  <c r="AA1912" i="123" s="1"/>
  <c r="AB1912" i="123"/>
  <c r="AC1912" i="123" s="1"/>
  <c r="AJ1912" i="123"/>
  <c r="AK1912" i="123"/>
  <c r="AL1912" i="123"/>
  <c r="AO1912" i="123"/>
  <c r="AP1912" i="123"/>
  <c r="AQ1912" i="123" s="1"/>
  <c r="AT1912" i="123"/>
  <c r="AU1912" i="123"/>
  <c r="K1913" i="123"/>
  <c r="L1913" i="123"/>
  <c r="M1913" i="123"/>
  <c r="N1913" i="123"/>
  <c r="O1913" i="123"/>
  <c r="P1913" i="123"/>
  <c r="Q1913" i="123"/>
  <c r="R1913" i="123"/>
  <c r="T1913" i="123" s="1"/>
  <c r="V1913" i="123" s="1"/>
  <c r="S1913" i="123"/>
  <c r="X1913" i="123"/>
  <c r="Y1913" i="123"/>
  <c r="Z1913" i="123" s="1"/>
  <c r="AB1913" i="123"/>
  <c r="AD1913" i="123" s="1"/>
  <c r="AJ1913" i="123"/>
  <c r="AK1913" i="123"/>
  <c r="AL1913" i="123"/>
  <c r="AO1913" i="123"/>
  <c r="AP1913" i="123"/>
  <c r="AT1913" i="123"/>
  <c r="AU1913" i="123"/>
  <c r="K1914" i="123"/>
  <c r="L1914" i="123"/>
  <c r="M1914" i="123"/>
  <c r="N1914" i="123"/>
  <c r="O1914" i="123"/>
  <c r="P1914" i="123"/>
  <c r="Q1914" i="123"/>
  <c r="R1914" i="123"/>
  <c r="T1914" i="123" s="1"/>
  <c r="S1914" i="123"/>
  <c r="X1914" i="123"/>
  <c r="Y1914" i="123"/>
  <c r="Z1914" i="123" s="1"/>
  <c r="AB1914" i="123"/>
  <c r="AC1914" i="123" s="1"/>
  <c r="AJ1914" i="123"/>
  <c r="AK1914" i="123"/>
  <c r="AL1914" i="123"/>
  <c r="AO1914" i="123"/>
  <c r="AP1914" i="123"/>
  <c r="AQ1914" i="123" s="1"/>
  <c r="AT1914" i="123"/>
  <c r="AU1914" i="123"/>
  <c r="K1915" i="123"/>
  <c r="L1915" i="123"/>
  <c r="M1915" i="123"/>
  <c r="N1915" i="123"/>
  <c r="O1915" i="123"/>
  <c r="P1915" i="123"/>
  <c r="Q1915" i="123"/>
  <c r="R1915" i="123"/>
  <c r="T1915" i="123" s="1"/>
  <c r="S1915" i="123"/>
  <c r="X1915" i="123"/>
  <c r="Y1915" i="123"/>
  <c r="AA1915" i="123" s="1"/>
  <c r="AB1915" i="123"/>
  <c r="AD1915" i="123" s="1"/>
  <c r="AJ1915" i="123"/>
  <c r="AK1915" i="123"/>
  <c r="AL1915" i="123"/>
  <c r="AO1915" i="123"/>
  <c r="AP1915" i="123"/>
  <c r="AQ1915" i="123" s="1"/>
  <c r="AT1915" i="123"/>
  <c r="AU1915" i="123"/>
  <c r="K1916" i="123"/>
  <c r="L1916" i="123"/>
  <c r="M1916" i="123"/>
  <c r="N1916" i="123"/>
  <c r="O1916" i="123"/>
  <c r="P1916" i="123"/>
  <c r="Q1916" i="123"/>
  <c r="R1916" i="123"/>
  <c r="T1916" i="123" s="1"/>
  <c r="W1916" i="123" s="1"/>
  <c r="S1916" i="123"/>
  <c r="X1916" i="123"/>
  <c r="Y1916" i="123"/>
  <c r="AA1916" i="123" s="1"/>
  <c r="AB1916" i="123"/>
  <c r="AC1916" i="123" s="1"/>
  <c r="AJ1916" i="123"/>
  <c r="AK1916" i="123"/>
  <c r="AL1916" i="123"/>
  <c r="AO1916" i="123"/>
  <c r="AP1916" i="123"/>
  <c r="AQ1916" i="123" s="1"/>
  <c r="AT1916" i="123"/>
  <c r="AU1916" i="123"/>
  <c r="K1917" i="123"/>
  <c r="L1917" i="123"/>
  <c r="M1917" i="123"/>
  <c r="N1917" i="123"/>
  <c r="O1917" i="123"/>
  <c r="P1917" i="123"/>
  <c r="Q1917" i="123"/>
  <c r="R1917" i="123"/>
  <c r="T1917" i="123" s="1"/>
  <c r="V1917" i="123" s="1"/>
  <c r="S1917" i="123"/>
  <c r="X1917" i="123"/>
  <c r="Y1917" i="123"/>
  <c r="Z1917" i="123" s="1"/>
  <c r="AB1917" i="123"/>
  <c r="AD1917" i="123" s="1"/>
  <c r="AJ1917" i="123"/>
  <c r="AK1917" i="123"/>
  <c r="AL1917" i="123"/>
  <c r="AO1917" i="123"/>
  <c r="AP1917" i="123"/>
  <c r="AT1917" i="123"/>
  <c r="AU1917" i="123"/>
  <c r="K1918" i="123"/>
  <c r="L1918" i="123"/>
  <c r="M1918" i="123"/>
  <c r="N1918" i="123"/>
  <c r="O1918" i="123"/>
  <c r="P1918" i="123"/>
  <c r="Q1918" i="123"/>
  <c r="R1918" i="123"/>
  <c r="T1918" i="123" s="1"/>
  <c r="S1918" i="123"/>
  <c r="X1918" i="123"/>
  <c r="Y1918" i="123"/>
  <c r="Z1918" i="123" s="1"/>
  <c r="AB1918" i="123"/>
  <c r="AC1918" i="123" s="1"/>
  <c r="AJ1918" i="123"/>
  <c r="AK1918" i="123"/>
  <c r="AL1918" i="123"/>
  <c r="AO1918" i="123"/>
  <c r="AP1918" i="123"/>
  <c r="AQ1918" i="123" s="1"/>
  <c r="AT1918" i="123"/>
  <c r="AU1918" i="123"/>
  <c r="K1919" i="123"/>
  <c r="L1919" i="123"/>
  <c r="M1919" i="123"/>
  <c r="N1919" i="123"/>
  <c r="O1919" i="123"/>
  <c r="P1919" i="123"/>
  <c r="Q1919" i="123"/>
  <c r="R1919" i="123"/>
  <c r="T1919" i="123" s="1"/>
  <c r="S1919" i="123"/>
  <c r="X1919" i="123"/>
  <c r="Y1919" i="123"/>
  <c r="AA1919" i="123" s="1"/>
  <c r="AB1919" i="123"/>
  <c r="AD1919" i="123" s="1"/>
  <c r="AJ1919" i="123"/>
  <c r="AK1919" i="123"/>
  <c r="AL1919" i="123"/>
  <c r="AO1919" i="123"/>
  <c r="AP1919" i="123"/>
  <c r="AQ1919" i="123" s="1"/>
  <c r="AT1919" i="123"/>
  <c r="AU1919" i="123"/>
  <c r="K1920" i="123"/>
  <c r="L1920" i="123"/>
  <c r="M1920" i="123"/>
  <c r="N1920" i="123"/>
  <c r="O1920" i="123"/>
  <c r="P1920" i="123"/>
  <c r="Q1920" i="123"/>
  <c r="R1920" i="123"/>
  <c r="T1920" i="123" s="1"/>
  <c r="W1920" i="123" s="1"/>
  <c r="S1920" i="123"/>
  <c r="X1920" i="123"/>
  <c r="Y1920" i="123"/>
  <c r="AA1920" i="123" s="1"/>
  <c r="AB1920" i="123"/>
  <c r="AC1920" i="123" s="1"/>
  <c r="AJ1920" i="123"/>
  <c r="AK1920" i="123"/>
  <c r="AL1920" i="123"/>
  <c r="AO1920" i="123"/>
  <c r="AP1920" i="123"/>
  <c r="AQ1920" i="123" s="1"/>
  <c r="AT1920" i="123"/>
  <c r="AU1920" i="123"/>
  <c r="K1921" i="123"/>
  <c r="L1921" i="123"/>
  <c r="M1921" i="123"/>
  <c r="N1921" i="123"/>
  <c r="O1921" i="123"/>
  <c r="P1921" i="123"/>
  <c r="Q1921" i="123"/>
  <c r="R1921" i="123"/>
  <c r="T1921" i="123" s="1"/>
  <c r="V1921" i="123" s="1"/>
  <c r="S1921" i="123"/>
  <c r="X1921" i="123"/>
  <c r="Y1921" i="123"/>
  <c r="Z1921" i="123" s="1"/>
  <c r="AB1921" i="123"/>
  <c r="AD1921" i="123" s="1"/>
  <c r="AJ1921" i="123"/>
  <c r="AK1921" i="123"/>
  <c r="AL1921" i="123"/>
  <c r="AO1921" i="123"/>
  <c r="AP1921" i="123"/>
  <c r="AT1921" i="123"/>
  <c r="AU1921" i="123"/>
  <c r="K1922" i="123"/>
  <c r="L1922" i="123"/>
  <c r="M1922" i="123"/>
  <c r="N1922" i="123"/>
  <c r="O1922" i="123"/>
  <c r="P1922" i="123"/>
  <c r="Q1922" i="123"/>
  <c r="R1922" i="123"/>
  <c r="T1922" i="123" s="1"/>
  <c r="S1922" i="123"/>
  <c r="X1922" i="123"/>
  <c r="Y1922" i="123"/>
  <c r="Z1922" i="123" s="1"/>
  <c r="AB1922" i="123"/>
  <c r="AC1922" i="123" s="1"/>
  <c r="AJ1922" i="123"/>
  <c r="AK1922" i="123"/>
  <c r="AL1922" i="123"/>
  <c r="AO1922" i="123"/>
  <c r="AP1922" i="123"/>
  <c r="AQ1922" i="123" s="1"/>
  <c r="AT1922" i="123"/>
  <c r="AU1922" i="123"/>
  <c r="K1923" i="123"/>
  <c r="L1923" i="123"/>
  <c r="M1923" i="123"/>
  <c r="N1923" i="123"/>
  <c r="O1923" i="123"/>
  <c r="P1923" i="123"/>
  <c r="Q1923" i="123"/>
  <c r="R1923" i="123"/>
  <c r="T1923" i="123" s="1"/>
  <c r="S1923" i="123"/>
  <c r="X1923" i="123"/>
  <c r="Y1923" i="123"/>
  <c r="Z1923" i="123" s="1"/>
  <c r="AB1923" i="123"/>
  <c r="AC1923" i="123" s="1"/>
  <c r="AJ1923" i="123"/>
  <c r="AK1923" i="123"/>
  <c r="AL1923" i="123"/>
  <c r="AO1923" i="123"/>
  <c r="AP1923" i="123"/>
  <c r="AQ1923" i="123" s="1"/>
  <c r="AT1923" i="123"/>
  <c r="AU1923" i="123"/>
  <c r="K1924" i="123"/>
  <c r="L1924" i="123"/>
  <c r="M1924" i="123"/>
  <c r="N1924" i="123"/>
  <c r="O1924" i="123"/>
  <c r="P1924" i="123"/>
  <c r="Q1924" i="123"/>
  <c r="R1924" i="123"/>
  <c r="T1924" i="123" s="1"/>
  <c r="W1924" i="123" s="1"/>
  <c r="S1924" i="123"/>
  <c r="X1924" i="123"/>
  <c r="Y1924" i="123"/>
  <c r="AA1924" i="123" s="1"/>
  <c r="AB1924" i="123"/>
  <c r="AC1924" i="123" s="1"/>
  <c r="AJ1924" i="123"/>
  <c r="AK1924" i="123"/>
  <c r="AL1924" i="123"/>
  <c r="AO1924" i="123"/>
  <c r="AP1924" i="123"/>
  <c r="AQ1924" i="123" s="1"/>
  <c r="AT1924" i="123"/>
  <c r="AU1924" i="123"/>
  <c r="K1925" i="123"/>
  <c r="L1925" i="123"/>
  <c r="M1925" i="123"/>
  <c r="N1925" i="123"/>
  <c r="O1925" i="123"/>
  <c r="P1925" i="123"/>
  <c r="Q1925" i="123"/>
  <c r="R1925" i="123"/>
  <c r="T1925" i="123" s="1"/>
  <c r="S1925" i="123"/>
  <c r="X1925" i="123"/>
  <c r="Y1925" i="123"/>
  <c r="Z1925" i="123" s="1"/>
  <c r="AB1925" i="123"/>
  <c r="AD1925" i="123" s="1"/>
  <c r="AJ1925" i="123"/>
  <c r="AK1925" i="123"/>
  <c r="AL1925" i="123"/>
  <c r="AO1925" i="123"/>
  <c r="AP1925" i="123"/>
  <c r="AQ1925" i="123" s="1"/>
  <c r="AT1925" i="123"/>
  <c r="AU1925" i="123"/>
  <c r="K1926" i="123"/>
  <c r="L1926" i="123"/>
  <c r="M1926" i="123"/>
  <c r="N1926" i="123"/>
  <c r="O1926" i="123"/>
  <c r="P1926" i="123"/>
  <c r="Q1926" i="123"/>
  <c r="R1926" i="123"/>
  <c r="T1926" i="123" s="1"/>
  <c r="S1926" i="123"/>
  <c r="X1926" i="123"/>
  <c r="Y1926" i="123"/>
  <c r="AA1926" i="123" s="1"/>
  <c r="AB1926" i="123"/>
  <c r="AC1926" i="123" s="1"/>
  <c r="AJ1926" i="123"/>
  <c r="AK1926" i="123"/>
  <c r="AL1926" i="123"/>
  <c r="AO1926" i="123"/>
  <c r="AP1926" i="123"/>
  <c r="AQ1926" i="123" s="1"/>
  <c r="AT1926" i="123"/>
  <c r="AU1926" i="123"/>
  <c r="K1927" i="123"/>
  <c r="L1927" i="123"/>
  <c r="M1927" i="123"/>
  <c r="N1927" i="123"/>
  <c r="O1927" i="123"/>
  <c r="P1927" i="123"/>
  <c r="Q1927" i="123"/>
  <c r="R1927" i="123"/>
  <c r="T1927" i="123" s="1"/>
  <c r="S1927" i="123"/>
  <c r="X1927" i="123"/>
  <c r="Y1927" i="123"/>
  <c r="Z1927" i="123" s="1"/>
  <c r="AB1927" i="123"/>
  <c r="AC1927" i="123" s="1"/>
  <c r="AJ1927" i="123"/>
  <c r="AK1927" i="123"/>
  <c r="AL1927" i="123"/>
  <c r="AO1927" i="123"/>
  <c r="AP1927" i="123"/>
  <c r="AQ1927" i="123" s="1"/>
  <c r="AT1927" i="123"/>
  <c r="AU1927" i="123"/>
  <c r="K1928" i="123"/>
  <c r="L1928" i="123"/>
  <c r="M1928" i="123"/>
  <c r="N1928" i="123"/>
  <c r="O1928" i="123"/>
  <c r="P1928" i="123"/>
  <c r="Q1928" i="123"/>
  <c r="R1928" i="123"/>
  <c r="T1928" i="123" s="1"/>
  <c r="W1928" i="123" s="1"/>
  <c r="S1928" i="123"/>
  <c r="X1928" i="123"/>
  <c r="Y1928" i="123"/>
  <c r="AA1928" i="123" s="1"/>
  <c r="AB1928" i="123"/>
  <c r="AC1928" i="123" s="1"/>
  <c r="AJ1928" i="123"/>
  <c r="AK1928" i="123"/>
  <c r="AL1928" i="123"/>
  <c r="AO1928" i="123"/>
  <c r="AP1928" i="123"/>
  <c r="AT1928" i="123"/>
  <c r="AU1928" i="123"/>
  <c r="K1929" i="123"/>
  <c r="L1929" i="123"/>
  <c r="M1929" i="123"/>
  <c r="N1929" i="123"/>
  <c r="O1929" i="123"/>
  <c r="P1929" i="123"/>
  <c r="Q1929" i="123"/>
  <c r="R1929" i="123"/>
  <c r="T1929" i="123" s="1"/>
  <c r="V1929" i="123" s="1"/>
  <c r="S1929" i="123"/>
  <c r="X1929" i="123"/>
  <c r="Y1929" i="123"/>
  <c r="Z1929" i="123" s="1"/>
  <c r="AB1929" i="123"/>
  <c r="AD1929" i="123" s="1"/>
  <c r="AJ1929" i="123"/>
  <c r="AK1929" i="123"/>
  <c r="AL1929" i="123"/>
  <c r="AO1929" i="123"/>
  <c r="AP1929" i="123"/>
  <c r="AT1929" i="123"/>
  <c r="AU1929" i="123"/>
  <c r="K1930" i="123"/>
  <c r="L1930" i="123"/>
  <c r="M1930" i="123"/>
  <c r="N1930" i="123"/>
  <c r="O1930" i="123"/>
  <c r="P1930" i="123"/>
  <c r="Q1930" i="123"/>
  <c r="R1930" i="123"/>
  <c r="T1930" i="123" s="1"/>
  <c r="S1930" i="123"/>
  <c r="X1930" i="123"/>
  <c r="Y1930" i="123"/>
  <c r="AA1930" i="123" s="1"/>
  <c r="AB1930" i="123"/>
  <c r="AC1930" i="123" s="1"/>
  <c r="AJ1930" i="123"/>
  <c r="AK1930" i="123"/>
  <c r="AL1930" i="123"/>
  <c r="AO1930" i="123"/>
  <c r="AP1930" i="123"/>
  <c r="AQ1930" i="123" s="1"/>
  <c r="AT1930" i="123"/>
  <c r="AU1930" i="123"/>
  <c r="K1931" i="123"/>
  <c r="L1931" i="123"/>
  <c r="M1931" i="123"/>
  <c r="N1931" i="123"/>
  <c r="O1931" i="123"/>
  <c r="P1931" i="123"/>
  <c r="Q1931" i="123"/>
  <c r="R1931" i="123"/>
  <c r="T1931" i="123" s="1"/>
  <c r="S1931" i="123"/>
  <c r="X1931" i="123"/>
  <c r="Y1931" i="123"/>
  <c r="Z1931" i="123" s="1"/>
  <c r="AB1931" i="123"/>
  <c r="AC1931" i="123" s="1"/>
  <c r="AJ1931" i="123"/>
  <c r="AK1931" i="123"/>
  <c r="AL1931" i="123"/>
  <c r="AO1931" i="123"/>
  <c r="AP1931" i="123"/>
  <c r="AQ1931" i="123" s="1"/>
  <c r="AT1931" i="123"/>
  <c r="AU1931" i="123"/>
  <c r="K1932" i="123"/>
  <c r="L1932" i="123"/>
  <c r="M1932" i="123"/>
  <c r="N1932" i="123"/>
  <c r="O1932" i="123"/>
  <c r="P1932" i="123"/>
  <c r="Q1932" i="123"/>
  <c r="R1932" i="123"/>
  <c r="T1932" i="123" s="1"/>
  <c r="W1932" i="123" s="1"/>
  <c r="S1932" i="123"/>
  <c r="X1932" i="123"/>
  <c r="Y1932" i="123"/>
  <c r="AA1932" i="123" s="1"/>
  <c r="AB1932" i="123"/>
  <c r="AC1932" i="123" s="1"/>
  <c r="AJ1932" i="123"/>
  <c r="AK1932" i="123"/>
  <c r="AL1932" i="123"/>
  <c r="AO1932" i="123"/>
  <c r="AP1932" i="123"/>
  <c r="AT1932" i="123"/>
  <c r="AU1932" i="123"/>
  <c r="K1933" i="123"/>
  <c r="L1933" i="123"/>
  <c r="M1933" i="123"/>
  <c r="N1933" i="123"/>
  <c r="O1933" i="123"/>
  <c r="P1933" i="123"/>
  <c r="Q1933" i="123"/>
  <c r="R1933" i="123"/>
  <c r="T1933" i="123" s="1"/>
  <c r="V1933" i="123" s="1"/>
  <c r="S1933" i="123"/>
  <c r="X1933" i="123"/>
  <c r="Y1933" i="123"/>
  <c r="Z1933" i="123" s="1"/>
  <c r="AB1933" i="123"/>
  <c r="AD1933" i="123" s="1"/>
  <c r="AJ1933" i="123"/>
  <c r="AK1933" i="123"/>
  <c r="AL1933" i="123"/>
  <c r="AO1933" i="123"/>
  <c r="AP1933" i="123"/>
  <c r="AT1933" i="123"/>
  <c r="AU1933" i="123"/>
  <c r="K1934" i="123"/>
  <c r="L1934" i="123"/>
  <c r="M1934" i="123"/>
  <c r="N1934" i="123"/>
  <c r="O1934" i="123"/>
  <c r="P1934" i="123"/>
  <c r="Q1934" i="123"/>
  <c r="R1934" i="123"/>
  <c r="T1934" i="123" s="1"/>
  <c r="S1934" i="123"/>
  <c r="X1934" i="123"/>
  <c r="Y1934" i="123"/>
  <c r="Z1934" i="123" s="1"/>
  <c r="AB1934" i="123"/>
  <c r="AC1934" i="123" s="1"/>
  <c r="AJ1934" i="123"/>
  <c r="AK1934" i="123"/>
  <c r="AL1934" i="123"/>
  <c r="AO1934" i="123"/>
  <c r="AP1934" i="123"/>
  <c r="AQ1934" i="123" s="1"/>
  <c r="AT1934" i="123"/>
  <c r="AU1934" i="123"/>
  <c r="K1935" i="123"/>
  <c r="L1935" i="123"/>
  <c r="M1935" i="123"/>
  <c r="N1935" i="123"/>
  <c r="O1935" i="123"/>
  <c r="P1935" i="123"/>
  <c r="Q1935" i="123"/>
  <c r="R1935" i="123"/>
  <c r="T1935" i="123" s="1"/>
  <c r="S1935" i="123"/>
  <c r="X1935" i="123"/>
  <c r="Y1935" i="123"/>
  <c r="Z1935" i="123" s="1"/>
  <c r="AB1935" i="123"/>
  <c r="AD1935" i="123" s="1"/>
  <c r="AJ1935" i="123"/>
  <c r="AK1935" i="123"/>
  <c r="AL1935" i="123"/>
  <c r="AO1935" i="123"/>
  <c r="AP1935" i="123"/>
  <c r="AQ1935" i="123" s="1"/>
  <c r="AT1935" i="123"/>
  <c r="AU1935" i="123"/>
  <c r="K1936" i="123"/>
  <c r="L1936" i="123"/>
  <c r="M1936" i="123"/>
  <c r="N1936" i="123"/>
  <c r="O1936" i="123"/>
  <c r="P1936" i="123"/>
  <c r="Q1936" i="123"/>
  <c r="R1936" i="123"/>
  <c r="T1936" i="123" s="1"/>
  <c r="W1936" i="123" s="1"/>
  <c r="S1936" i="123"/>
  <c r="X1936" i="123"/>
  <c r="Y1936" i="123"/>
  <c r="AA1936" i="123" s="1"/>
  <c r="AB1936" i="123"/>
  <c r="AC1936" i="123" s="1"/>
  <c r="AJ1936" i="123"/>
  <c r="AK1936" i="123"/>
  <c r="AL1936" i="123"/>
  <c r="AO1936" i="123"/>
  <c r="AP1936" i="123"/>
  <c r="AQ1936" i="123" s="1"/>
  <c r="AT1936" i="123"/>
  <c r="AU1936" i="123"/>
  <c r="K1937" i="123"/>
  <c r="L1937" i="123"/>
  <c r="M1937" i="123"/>
  <c r="N1937" i="123"/>
  <c r="O1937" i="123"/>
  <c r="P1937" i="123"/>
  <c r="Q1937" i="123"/>
  <c r="R1937" i="123"/>
  <c r="T1937" i="123" s="1"/>
  <c r="V1937" i="123" s="1"/>
  <c r="S1937" i="123"/>
  <c r="X1937" i="123"/>
  <c r="Y1937" i="123"/>
  <c r="Z1937" i="123" s="1"/>
  <c r="AB1937" i="123"/>
  <c r="AD1937" i="123" s="1"/>
  <c r="AJ1937" i="123"/>
  <c r="AK1937" i="123"/>
  <c r="AL1937" i="123"/>
  <c r="AO1937" i="123"/>
  <c r="AP1937" i="123"/>
  <c r="AT1937" i="123"/>
  <c r="AU1937" i="123"/>
  <c r="K1938" i="123"/>
  <c r="L1938" i="123"/>
  <c r="M1938" i="123"/>
  <c r="N1938" i="123"/>
  <c r="O1938" i="123"/>
  <c r="P1938" i="123"/>
  <c r="Q1938" i="123"/>
  <c r="R1938" i="123"/>
  <c r="T1938" i="123" s="1"/>
  <c r="S1938" i="123"/>
  <c r="X1938" i="123"/>
  <c r="Y1938" i="123"/>
  <c r="Z1938" i="123" s="1"/>
  <c r="AB1938" i="123"/>
  <c r="AC1938" i="123" s="1"/>
  <c r="AJ1938" i="123"/>
  <c r="AK1938" i="123"/>
  <c r="AL1938" i="123"/>
  <c r="AO1938" i="123"/>
  <c r="AP1938" i="123"/>
  <c r="AQ1938" i="123" s="1"/>
  <c r="AT1938" i="123"/>
  <c r="AU1938" i="123"/>
  <c r="K1939" i="123"/>
  <c r="L1939" i="123"/>
  <c r="M1939" i="123"/>
  <c r="N1939" i="123"/>
  <c r="O1939" i="123"/>
  <c r="P1939" i="123"/>
  <c r="Q1939" i="123"/>
  <c r="R1939" i="123"/>
  <c r="T1939" i="123" s="1"/>
  <c r="S1939" i="123"/>
  <c r="X1939" i="123"/>
  <c r="Y1939" i="123"/>
  <c r="Z1939" i="123" s="1"/>
  <c r="AB1939" i="123"/>
  <c r="AC1939" i="123" s="1"/>
  <c r="AJ1939" i="123"/>
  <c r="AK1939" i="123"/>
  <c r="AL1939" i="123"/>
  <c r="AO1939" i="123"/>
  <c r="AP1939" i="123"/>
  <c r="AQ1939" i="123" s="1"/>
  <c r="AT1939" i="123"/>
  <c r="AU1939" i="123"/>
  <c r="K1940" i="123"/>
  <c r="L1940" i="123"/>
  <c r="M1940" i="123"/>
  <c r="N1940" i="123"/>
  <c r="O1940" i="123"/>
  <c r="P1940" i="123"/>
  <c r="Q1940" i="123"/>
  <c r="R1940" i="123"/>
  <c r="T1940" i="123" s="1"/>
  <c r="W1940" i="123" s="1"/>
  <c r="S1940" i="123"/>
  <c r="X1940" i="123"/>
  <c r="Y1940" i="123"/>
  <c r="AA1940" i="123" s="1"/>
  <c r="AB1940" i="123"/>
  <c r="AC1940" i="123" s="1"/>
  <c r="AJ1940" i="123"/>
  <c r="AK1940" i="123"/>
  <c r="AL1940" i="123"/>
  <c r="AO1940" i="123"/>
  <c r="AP1940" i="123"/>
  <c r="AQ1940" i="123" s="1"/>
  <c r="AT1940" i="123"/>
  <c r="AU1940" i="123"/>
  <c r="K1941" i="123"/>
  <c r="L1941" i="123"/>
  <c r="M1941" i="123"/>
  <c r="N1941" i="123"/>
  <c r="O1941" i="123"/>
  <c r="P1941" i="123"/>
  <c r="Q1941" i="123"/>
  <c r="R1941" i="123"/>
  <c r="T1941" i="123" s="1"/>
  <c r="V1941" i="123" s="1"/>
  <c r="S1941" i="123"/>
  <c r="X1941" i="123"/>
  <c r="Y1941" i="123"/>
  <c r="Z1941" i="123" s="1"/>
  <c r="AB1941" i="123"/>
  <c r="AD1941" i="123" s="1"/>
  <c r="AJ1941" i="123"/>
  <c r="AK1941" i="123"/>
  <c r="AL1941" i="123"/>
  <c r="AO1941" i="123"/>
  <c r="AP1941" i="123"/>
  <c r="AT1941" i="123"/>
  <c r="AU1941" i="123"/>
  <c r="K1942" i="123"/>
  <c r="L1942" i="123"/>
  <c r="M1942" i="123"/>
  <c r="N1942" i="123"/>
  <c r="O1942" i="123"/>
  <c r="P1942" i="123"/>
  <c r="Q1942" i="123"/>
  <c r="R1942" i="123"/>
  <c r="T1942" i="123" s="1"/>
  <c r="S1942" i="123"/>
  <c r="X1942" i="123"/>
  <c r="Y1942" i="123"/>
  <c r="Z1942" i="123" s="1"/>
  <c r="AB1942" i="123"/>
  <c r="AC1942" i="123" s="1"/>
  <c r="AJ1942" i="123"/>
  <c r="AK1942" i="123"/>
  <c r="AL1942" i="123"/>
  <c r="AO1942" i="123"/>
  <c r="AP1942" i="123"/>
  <c r="AQ1942" i="123" s="1"/>
  <c r="AT1942" i="123"/>
  <c r="AU1942" i="123"/>
  <c r="K1943" i="123"/>
  <c r="L1943" i="123"/>
  <c r="M1943" i="123"/>
  <c r="N1943" i="123"/>
  <c r="O1943" i="123"/>
  <c r="P1943" i="123"/>
  <c r="Q1943" i="123"/>
  <c r="R1943" i="123"/>
  <c r="T1943" i="123" s="1"/>
  <c r="S1943" i="123"/>
  <c r="X1943" i="123"/>
  <c r="Y1943" i="123"/>
  <c r="Z1943" i="123" s="1"/>
  <c r="AB1943" i="123"/>
  <c r="AC1943" i="123" s="1"/>
  <c r="AJ1943" i="123"/>
  <c r="AK1943" i="123"/>
  <c r="AL1943" i="123"/>
  <c r="AO1943" i="123"/>
  <c r="AP1943" i="123"/>
  <c r="AQ1943" i="123" s="1"/>
  <c r="AT1943" i="123"/>
  <c r="AU1943" i="123"/>
  <c r="K1944" i="123"/>
  <c r="L1944" i="123"/>
  <c r="M1944" i="123"/>
  <c r="N1944" i="123"/>
  <c r="O1944" i="123"/>
  <c r="P1944" i="123"/>
  <c r="Q1944" i="123"/>
  <c r="R1944" i="123"/>
  <c r="T1944" i="123" s="1"/>
  <c r="W1944" i="123" s="1"/>
  <c r="S1944" i="123"/>
  <c r="X1944" i="123"/>
  <c r="Y1944" i="123"/>
  <c r="AA1944" i="123" s="1"/>
  <c r="AB1944" i="123"/>
  <c r="AC1944" i="123" s="1"/>
  <c r="AJ1944" i="123"/>
  <c r="AK1944" i="123"/>
  <c r="AL1944" i="123"/>
  <c r="AO1944" i="123"/>
  <c r="AP1944" i="123"/>
  <c r="AQ1944" i="123" s="1"/>
  <c r="AT1944" i="123"/>
  <c r="AU1944" i="123"/>
  <c r="K1945" i="123"/>
  <c r="L1945" i="123"/>
  <c r="M1945" i="123"/>
  <c r="N1945" i="123"/>
  <c r="O1945" i="123"/>
  <c r="P1945" i="123"/>
  <c r="Q1945" i="123"/>
  <c r="R1945" i="123"/>
  <c r="T1945" i="123" s="1"/>
  <c r="V1945" i="123" s="1"/>
  <c r="S1945" i="123"/>
  <c r="X1945" i="123"/>
  <c r="Y1945" i="123"/>
  <c r="Z1945" i="123" s="1"/>
  <c r="AB1945" i="123"/>
  <c r="AD1945" i="123" s="1"/>
  <c r="AJ1945" i="123"/>
  <c r="AK1945" i="123"/>
  <c r="AL1945" i="123"/>
  <c r="AO1945" i="123"/>
  <c r="AP1945" i="123"/>
  <c r="AT1945" i="123"/>
  <c r="AU1945" i="123"/>
  <c r="K1946" i="123"/>
  <c r="L1946" i="123"/>
  <c r="M1946" i="123"/>
  <c r="N1946" i="123"/>
  <c r="O1946" i="123"/>
  <c r="P1946" i="123"/>
  <c r="Q1946" i="123"/>
  <c r="R1946" i="123"/>
  <c r="T1946" i="123" s="1"/>
  <c r="S1946" i="123"/>
  <c r="X1946" i="123"/>
  <c r="Y1946" i="123"/>
  <c r="AA1946" i="123" s="1"/>
  <c r="AB1946" i="123"/>
  <c r="AC1946" i="123" s="1"/>
  <c r="AJ1946" i="123"/>
  <c r="AK1946" i="123"/>
  <c r="AL1946" i="123"/>
  <c r="AO1946" i="123"/>
  <c r="AP1946" i="123"/>
  <c r="AQ1946" i="123" s="1"/>
  <c r="AT1946" i="123"/>
  <c r="AU1946" i="123"/>
  <c r="K1947" i="123"/>
  <c r="L1947" i="123"/>
  <c r="M1947" i="123"/>
  <c r="N1947" i="123"/>
  <c r="O1947" i="123"/>
  <c r="P1947" i="123"/>
  <c r="Q1947" i="123"/>
  <c r="R1947" i="123"/>
  <c r="T1947" i="123" s="1"/>
  <c r="S1947" i="123"/>
  <c r="X1947" i="123"/>
  <c r="Y1947" i="123"/>
  <c r="Z1947" i="123" s="1"/>
  <c r="AB1947" i="123"/>
  <c r="AD1947" i="123" s="1"/>
  <c r="AJ1947" i="123"/>
  <c r="AK1947" i="123"/>
  <c r="AL1947" i="123"/>
  <c r="AO1947" i="123"/>
  <c r="AP1947" i="123"/>
  <c r="AQ1947" i="123" s="1"/>
  <c r="AT1947" i="123"/>
  <c r="AU1947" i="123"/>
  <c r="K1948" i="123"/>
  <c r="L1948" i="123"/>
  <c r="M1948" i="123"/>
  <c r="N1948" i="123"/>
  <c r="O1948" i="123"/>
  <c r="P1948" i="123"/>
  <c r="Q1948" i="123"/>
  <c r="R1948" i="123"/>
  <c r="T1948" i="123" s="1"/>
  <c r="W1948" i="123" s="1"/>
  <c r="S1948" i="123"/>
  <c r="X1948" i="123"/>
  <c r="Y1948" i="123"/>
  <c r="AA1948" i="123" s="1"/>
  <c r="AB1948" i="123"/>
  <c r="AC1948" i="123" s="1"/>
  <c r="AJ1948" i="123"/>
  <c r="AK1948" i="123"/>
  <c r="AL1948" i="123"/>
  <c r="AO1948" i="123"/>
  <c r="AP1948" i="123"/>
  <c r="AQ1948" i="123" s="1"/>
  <c r="AT1948" i="123"/>
  <c r="AU1948" i="123"/>
  <c r="K1949" i="123"/>
  <c r="L1949" i="123"/>
  <c r="M1949" i="123"/>
  <c r="N1949" i="123"/>
  <c r="O1949" i="123"/>
  <c r="P1949" i="123"/>
  <c r="Q1949" i="123"/>
  <c r="R1949" i="123"/>
  <c r="T1949" i="123" s="1"/>
  <c r="V1949" i="123" s="1"/>
  <c r="S1949" i="123"/>
  <c r="X1949" i="123"/>
  <c r="Y1949" i="123"/>
  <c r="Z1949" i="123" s="1"/>
  <c r="AB1949" i="123"/>
  <c r="AD1949" i="123" s="1"/>
  <c r="AJ1949" i="123"/>
  <c r="AK1949" i="123"/>
  <c r="AL1949" i="123"/>
  <c r="AO1949" i="123"/>
  <c r="AP1949" i="123"/>
  <c r="AT1949" i="123"/>
  <c r="AU1949" i="123"/>
  <c r="K1950" i="123"/>
  <c r="L1950" i="123"/>
  <c r="M1950" i="123"/>
  <c r="N1950" i="123"/>
  <c r="O1950" i="123"/>
  <c r="P1950" i="123"/>
  <c r="Q1950" i="123"/>
  <c r="R1950" i="123"/>
  <c r="T1950" i="123" s="1"/>
  <c r="S1950" i="123"/>
  <c r="X1950" i="123"/>
  <c r="Y1950" i="123"/>
  <c r="Z1950" i="123" s="1"/>
  <c r="AB1950" i="123"/>
  <c r="AC1950" i="123" s="1"/>
  <c r="AJ1950" i="123"/>
  <c r="AK1950" i="123"/>
  <c r="AL1950" i="123"/>
  <c r="AO1950" i="123"/>
  <c r="AP1950" i="123"/>
  <c r="AQ1950" i="123" s="1"/>
  <c r="AT1950" i="123"/>
  <c r="AU1950" i="123"/>
  <c r="K1951" i="123"/>
  <c r="L1951" i="123"/>
  <c r="M1951" i="123"/>
  <c r="N1951" i="123"/>
  <c r="O1951" i="123"/>
  <c r="P1951" i="123"/>
  <c r="Q1951" i="123"/>
  <c r="R1951" i="123"/>
  <c r="T1951" i="123" s="1"/>
  <c r="S1951" i="123"/>
  <c r="X1951" i="123"/>
  <c r="Y1951" i="123"/>
  <c r="Z1951" i="123" s="1"/>
  <c r="AB1951" i="123"/>
  <c r="AD1951" i="123" s="1"/>
  <c r="AJ1951" i="123"/>
  <c r="AK1951" i="123"/>
  <c r="AL1951" i="123"/>
  <c r="AO1951" i="123"/>
  <c r="AP1951" i="123"/>
  <c r="AQ1951" i="123" s="1"/>
  <c r="AT1951" i="123"/>
  <c r="AU1951" i="123"/>
  <c r="K1952" i="123"/>
  <c r="L1952" i="123"/>
  <c r="M1952" i="123"/>
  <c r="N1952" i="123"/>
  <c r="O1952" i="123"/>
  <c r="P1952" i="123"/>
  <c r="Q1952" i="123"/>
  <c r="R1952" i="123"/>
  <c r="T1952" i="123" s="1"/>
  <c r="W1952" i="123" s="1"/>
  <c r="S1952" i="123"/>
  <c r="X1952" i="123"/>
  <c r="Y1952" i="123"/>
  <c r="AA1952" i="123" s="1"/>
  <c r="AB1952" i="123"/>
  <c r="AC1952" i="123" s="1"/>
  <c r="AJ1952" i="123"/>
  <c r="AK1952" i="123"/>
  <c r="AL1952" i="123"/>
  <c r="AO1952" i="123"/>
  <c r="AP1952" i="123"/>
  <c r="AQ1952" i="123" s="1"/>
  <c r="AT1952" i="123"/>
  <c r="AU1952" i="123"/>
  <c r="K1953" i="123"/>
  <c r="L1953" i="123"/>
  <c r="M1953" i="123"/>
  <c r="N1953" i="123"/>
  <c r="O1953" i="123"/>
  <c r="P1953" i="123"/>
  <c r="Q1953" i="123"/>
  <c r="R1953" i="123"/>
  <c r="T1953" i="123" s="1"/>
  <c r="V1953" i="123" s="1"/>
  <c r="S1953" i="123"/>
  <c r="X1953" i="123"/>
  <c r="Y1953" i="123"/>
  <c r="Z1953" i="123" s="1"/>
  <c r="AB1953" i="123"/>
  <c r="AD1953" i="123" s="1"/>
  <c r="AJ1953" i="123"/>
  <c r="AK1953" i="123"/>
  <c r="AL1953" i="123"/>
  <c r="AO1953" i="123"/>
  <c r="AP1953" i="123"/>
  <c r="AT1953" i="123"/>
  <c r="AU1953" i="123"/>
  <c r="K1954" i="123"/>
  <c r="L1954" i="123"/>
  <c r="M1954" i="123"/>
  <c r="N1954" i="123"/>
  <c r="O1954" i="123"/>
  <c r="P1954" i="123"/>
  <c r="Q1954" i="123"/>
  <c r="R1954" i="123"/>
  <c r="T1954" i="123" s="1"/>
  <c r="S1954" i="123"/>
  <c r="X1954" i="123"/>
  <c r="Y1954" i="123"/>
  <c r="Z1954" i="123" s="1"/>
  <c r="AB1954" i="123"/>
  <c r="AC1954" i="123" s="1"/>
  <c r="AJ1954" i="123"/>
  <c r="AK1954" i="123"/>
  <c r="AL1954" i="123"/>
  <c r="AO1954" i="123"/>
  <c r="AP1954" i="123"/>
  <c r="AQ1954" i="123" s="1"/>
  <c r="AT1954" i="123"/>
  <c r="AU1954" i="123"/>
  <c r="K1955" i="123"/>
  <c r="L1955" i="123"/>
  <c r="M1955" i="123"/>
  <c r="N1955" i="123"/>
  <c r="O1955" i="123"/>
  <c r="P1955" i="123"/>
  <c r="Q1955" i="123"/>
  <c r="R1955" i="123"/>
  <c r="T1955" i="123" s="1"/>
  <c r="S1955" i="123"/>
  <c r="X1955" i="123"/>
  <c r="Y1955" i="123"/>
  <c r="Z1955" i="123" s="1"/>
  <c r="AB1955" i="123"/>
  <c r="AC1955" i="123" s="1"/>
  <c r="AJ1955" i="123"/>
  <c r="AK1955" i="123"/>
  <c r="AL1955" i="123"/>
  <c r="AO1955" i="123"/>
  <c r="AP1955" i="123"/>
  <c r="AQ1955" i="123" s="1"/>
  <c r="AT1955" i="123"/>
  <c r="AU1955" i="123"/>
  <c r="K1956" i="123"/>
  <c r="L1956" i="123"/>
  <c r="M1956" i="123"/>
  <c r="N1956" i="123"/>
  <c r="O1956" i="123"/>
  <c r="P1956" i="123"/>
  <c r="Q1956" i="123"/>
  <c r="R1956" i="123"/>
  <c r="T1956" i="123" s="1"/>
  <c r="W1956" i="123" s="1"/>
  <c r="S1956" i="123"/>
  <c r="X1956" i="123"/>
  <c r="Y1956" i="123"/>
  <c r="AA1956" i="123" s="1"/>
  <c r="AB1956" i="123"/>
  <c r="AC1956" i="123" s="1"/>
  <c r="AJ1956" i="123"/>
  <c r="AK1956" i="123"/>
  <c r="AL1956" i="123"/>
  <c r="AO1956" i="123"/>
  <c r="AP1956" i="123"/>
  <c r="AT1956" i="123"/>
  <c r="AU1956" i="123"/>
  <c r="K1957" i="123"/>
  <c r="L1957" i="123"/>
  <c r="M1957" i="123"/>
  <c r="N1957" i="123"/>
  <c r="O1957" i="123"/>
  <c r="P1957" i="123"/>
  <c r="Q1957" i="123"/>
  <c r="R1957" i="123"/>
  <c r="T1957" i="123" s="1"/>
  <c r="V1957" i="123" s="1"/>
  <c r="S1957" i="123"/>
  <c r="X1957" i="123"/>
  <c r="Y1957" i="123"/>
  <c r="Z1957" i="123" s="1"/>
  <c r="AB1957" i="123"/>
  <c r="AD1957" i="123" s="1"/>
  <c r="AJ1957" i="123"/>
  <c r="AK1957" i="123"/>
  <c r="AL1957" i="123"/>
  <c r="AO1957" i="123"/>
  <c r="AP1957" i="123"/>
  <c r="AT1957" i="123"/>
  <c r="AU1957" i="123"/>
  <c r="K1958" i="123"/>
  <c r="L1958" i="123"/>
  <c r="M1958" i="123"/>
  <c r="N1958" i="123"/>
  <c r="O1958" i="123"/>
  <c r="P1958" i="123"/>
  <c r="Q1958" i="123"/>
  <c r="R1958" i="123"/>
  <c r="T1958" i="123" s="1"/>
  <c r="S1958" i="123"/>
  <c r="X1958" i="123"/>
  <c r="Y1958" i="123"/>
  <c r="AA1958" i="123" s="1"/>
  <c r="AB1958" i="123"/>
  <c r="AC1958" i="123" s="1"/>
  <c r="AJ1958" i="123"/>
  <c r="AK1958" i="123"/>
  <c r="AL1958" i="123"/>
  <c r="AO1958" i="123"/>
  <c r="AP1958" i="123"/>
  <c r="AQ1958" i="123" s="1"/>
  <c r="AT1958" i="123"/>
  <c r="AU1958" i="123"/>
  <c r="K1959" i="123"/>
  <c r="L1959" i="123"/>
  <c r="M1959" i="123"/>
  <c r="N1959" i="123"/>
  <c r="O1959" i="123"/>
  <c r="P1959" i="123"/>
  <c r="Q1959" i="123"/>
  <c r="R1959" i="123"/>
  <c r="T1959" i="123" s="1"/>
  <c r="S1959" i="123"/>
  <c r="X1959" i="123"/>
  <c r="Y1959" i="123"/>
  <c r="Z1959" i="123" s="1"/>
  <c r="AB1959" i="123"/>
  <c r="AC1959" i="123" s="1"/>
  <c r="AJ1959" i="123"/>
  <c r="AK1959" i="123"/>
  <c r="AL1959" i="123"/>
  <c r="AO1959" i="123"/>
  <c r="AP1959" i="123"/>
  <c r="AQ1959" i="123" s="1"/>
  <c r="AT1959" i="123"/>
  <c r="AU1959" i="123"/>
  <c r="K1960" i="123"/>
  <c r="L1960" i="123"/>
  <c r="M1960" i="123"/>
  <c r="N1960" i="123"/>
  <c r="O1960" i="123"/>
  <c r="P1960" i="123"/>
  <c r="Q1960" i="123"/>
  <c r="R1960" i="123"/>
  <c r="T1960" i="123" s="1"/>
  <c r="W1960" i="123" s="1"/>
  <c r="S1960" i="123"/>
  <c r="X1960" i="123"/>
  <c r="Y1960" i="123"/>
  <c r="AA1960" i="123" s="1"/>
  <c r="AB1960" i="123"/>
  <c r="AC1960" i="123" s="1"/>
  <c r="AJ1960" i="123"/>
  <c r="AK1960" i="123"/>
  <c r="AL1960" i="123"/>
  <c r="AO1960" i="123"/>
  <c r="AP1960" i="123"/>
  <c r="AQ1960" i="123" s="1"/>
  <c r="AT1960" i="123"/>
  <c r="AU1960" i="123"/>
  <c r="K1961" i="123"/>
  <c r="L1961" i="123"/>
  <c r="M1961" i="123"/>
  <c r="N1961" i="123"/>
  <c r="O1961" i="123"/>
  <c r="P1961" i="123"/>
  <c r="Q1961" i="123"/>
  <c r="R1961" i="123"/>
  <c r="T1961" i="123" s="1"/>
  <c r="V1961" i="123" s="1"/>
  <c r="S1961" i="123"/>
  <c r="X1961" i="123"/>
  <c r="Y1961" i="123"/>
  <c r="Z1961" i="123" s="1"/>
  <c r="AB1961" i="123"/>
  <c r="AD1961" i="123" s="1"/>
  <c r="AJ1961" i="123"/>
  <c r="AK1961" i="123"/>
  <c r="AL1961" i="123"/>
  <c r="AO1961" i="123"/>
  <c r="AP1961" i="123"/>
  <c r="AT1961" i="123"/>
  <c r="AU1961" i="123"/>
  <c r="K1962" i="123"/>
  <c r="L1962" i="123"/>
  <c r="M1962" i="123"/>
  <c r="N1962" i="123"/>
  <c r="O1962" i="123"/>
  <c r="P1962" i="123"/>
  <c r="Q1962" i="123"/>
  <c r="R1962" i="123"/>
  <c r="T1962" i="123" s="1"/>
  <c r="S1962" i="123"/>
  <c r="X1962" i="123"/>
  <c r="Y1962" i="123"/>
  <c r="AA1962" i="123" s="1"/>
  <c r="AB1962" i="123"/>
  <c r="AC1962" i="123" s="1"/>
  <c r="AJ1962" i="123"/>
  <c r="AK1962" i="123"/>
  <c r="AL1962" i="123"/>
  <c r="AO1962" i="123"/>
  <c r="AP1962" i="123"/>
  <c r="AQ1962" i="123" s="1"/>
  <c r="AT1962" i="123"/>
  <c r="AU1962" i="123"/>
  <c r="K1963" i="123"/>
  <c r="L1963" i="123"/>
  <c r="M1963" i="123"/>
  <c r="N1963" i="123"/>
  <c r="O1963" i="123"/>
  <c r="P1963" i="123"/>
  <c r="Q1963" i="123"/>
  <c r="R1963" i="123"/>
  <c r="T1963" i="123" s="1"/>
  <c r="S1963" i="123"/>
  <c r="X1963" i="123"/>
  <c r="Y1963" i="123"/>
  <c r="Z1963" i="123" s="1"/>
  <c r="AB1963" i="123"/>
  <c r="AC1963" i="123" s="1"/>
  <c r="AJ1963" i="123"/>
  <c r="AK1963" i="123"/>
  <c r="AL1963" i="123"/>
  <c r="AO1963" i="123"/>
  <c r="AP1963" i="123"/>
  <c r="AT1963" i="123"/>
  <c r="AU1963" i="123"/>
  <c r="K1964" i="123"/>
  <c r="L1964" i="123"/>
  <c r="M1964" i="123"/>
  <c r="N1964" i="123"/>
  <c r="O1964" i="123"/>
  <c r="P1964" i="123"/>
  <c r="Q1964" i="123"/>
  <c r="R1964" i="123"/>
  <c r="T1964" i="123" s="1"/>
  <c r="W1964" i="123" s="1"/>
  <c r="S1964" i="123"/>
  <c r="X1964" i="123"/>
  <c r="Y1964" i="123"/>
  <c r="AA1964" i="123" s="1"/>
  <c r="AB1964" i="123"/>
  <c r="AC1964" i="123" s="1"/>
  <c r="AJ1964" i="123"/>
  <c r="AK1964" i="123"/>
  <c r="AL1964" i="123"/>
  <c r="AO1964" i="123"/>
  <c r="AP1964" i="123"/>
  <c r="AQ1964" i="123" s="1"/>
  <c r="AT1964" i="123"/>
  <c r="AU1964" i="123"/>
  <c r="K1965" i="123"/>
  <c r="L1965" i="123"/>
  <c r="M1965" i="123"/>
  <c r="N1965" i="123"/>
  <c r="O1965" i="123"/>
  <c r="P1965" i="123"/>
  <c r="Q1965" i="123"/>
  <c r="R1965" i="123"/>
  <c r="T1965" i="123" s="1"/>
  <c r="V1965" i="123" s="1"/>
  <c r="S1965" i="123"/>
  <c r="X1965" i="123"/>
  <c r="Y1965" i="123"/>
  <c r="Z1965" i="123" s="1"/>
  <c r="AB1965" i="123"/>
  <c r="AD1965" i="123" s="1"/>
  <c r="AJ1965" i="123"/>
  <c r="AK1965" i="123"/>
  <c r="AL1965" i="123"/>
  <c r="AO1965" i="123"/>
  <c r="AP1965" i="123"/>
  <c r="AT1965" i="123"/>
  <c r="AU1965" i="123"/>
  <c r="K1966" i="123"/>
  <c r="L1966" i="123"/>
  <c r="M1966" i="123"/>
  <c r="N1966" i="123"/>
  <c r="O1966" i="123"/>
  <c r="P1966" i="123"/>
  <c r="Q1966" i="123"/>
  <c r="R1966" i="123"/>
  <c r="T1966" i="123" s="1"/>
  <c r="S1966" i="123"/>
  <c r="X1966" i="123"/>
  <c r="Y1966" i="123"/>
  <c r="Z1966" i="123" s="1"/>
  <c r="AB1966" i="123"/>
  <c r="AC1966" i="123" s="1"/>
  <c r="AJ1966" i="123"/>
  <c r="AK1966" i="123"/>
  <c r="AL1966" i="123"/>
  <c r="AO1966" i="123"/>
  <c r="AP1966" i="123"/>
  <c r="AQ1966" i="123" s="1"/>
  <c r="AT1966" i="123"/>
  <c r="AU1966" i="123"/>
  <c r="K1967" i="123"/>
  <c r="L1967" i="123"/>
  <c r="M1967" i="123"/>
  <c r="N1967" i="123"/>
  <c r="O1967" i="123"/>
  <c r="P1967" i="123"/>
  <c r="Q1967" i="123"/>
  <c r="R1967" i="123"/>
  <c r="T1967" i="123" s="1"/>
  <c r="S1967" i="123"/>
  <c r="X1967" i="123"/>
  <c r="Y1967" i="123"/>
  <c r="Z1967" i="123" s="1"/>
  <c r="AB1967" i="123"/>
  <c r="AD1967" i="123" s="1"/>
  <c r="AJ1967" i="123"/>
  <c r="AK1967" i="123"/>
  <c r="AL1967" i="123"/>
  <c r="AO1967" i="123"/>
  <c r="AP1967" i="123"/>
  <c r="AQ1967" i="123" s="1"/>
  <c r="AT1967" i="123"/>
  <c r="AU1967" i="123"/>
  <c r="K1968" i="123"/>
  <c r="L1968" i="123"/>
  <c r="M1968" i="123"/>
  <c r="N1968" i="123"/>
  <c r="O1968" i="123"/>
  <c r="P1968" i="123"/>
  <c r="Q1968" i="123"/>
  <c r="R1968" i="123"/>
  <c r="T1968" i="123" s="1"/>
  <c r="W1968" i="123" s="1"/>
  <c r="S1968" i="123"/>
  <c r="X1968" i="123"/>
  <c r="Y1968" i="123"/>
  <c r="AA1968" i="123" s="1"/>
  <c r="AB1968" i="123"/>
  <c r="AC1968" i="123" s="1"/>
  <c r="AJ1968" i="123"/>
  <c r="AK1968" i="123"/>
  <c r="AL1968" i="123"/>
  <c r="AO1968" i="123"/>
  <c r="AP1968" i="123"/>
  <c r="AQ1968" i="123" s="1"/>
  <c r="AT1968" i="123"/>
  <c r="AU1968" i="123"/>
  <c r="K1969" i="123"/>
  <c r="L1969" i="123"/>
  <c r="M1969" i="123"/>
  <c r="N1969" i="123"/>
  <c r="O1969" i="123"/>
  <c r="P1969" i="123"/>
  <c r="Q1969" i="123"/>
  <c r="R1969" i="123"/>
  <c r="T1969" i="123" s="1"/>
  <c r="V1969" i="123" s="1"/>
  <c r="S1969" i="123"/>
  <c r="X1969" i="123"/>
  <c r="Y1969" i="123"/>
  <c r="Z1969" i="123" s="1"/>
  <c r="AB1969" i="123"/>
  <c r="AD1969" i="123" s="1"/>
  <c r="AJ1969" i="123"/>
  <c r="AK1969" i="123"/>
  <c r="AL1969" i="123"/>
  <c r="AO1969" i="123"/>
  <c r="AP1969" i="123"/>
  <c r="AT1969" i="123"/>
  <c r="AU1969" i="123"/>
  <c r="K1970" i="123"/>
  <c r="L1970" i="123"/>
  <c r="M1970" i="123"/>
  <c r="N1970" i="123"/>
  <c r="O1970" i="123"/>
  <c r="P1970" i="123"/>
  <c r="Q1970" i="123"/>
  <c r="R1970" i="123"/>
  <c r="T1970" i="123" s="1"/>
  <c r="S1970" i="123"/>
  <c r="X1970" i="123"/>
  <c r="Y1970" i="123"/>
  <c r="Z1970" i="123" s="1"/>
  <c r="AB1970" i="123"/>
  <c r="AC1970" i="123" s="1"/>
  <c r="AJ1970" i="123"/>
  <c r="AK1970" i="123"/>
  <c r="AL1970" i="123"/>
  <c r="AO1970" i="123"/>
  <c r="AP1970" i="123"/>
  <c r="AQ1970" i="123" s="1"/>
  <c r="AT1970" i="123"/>
  <c r="AU1970" i="123"/>
  <c r="K1971" i="123"/>
  <c r="L1971" i="123"/>
  <c r="M1971" i="123"/>
  <c r="N1971" i="123"/>
  <c r="O1971" i="123"/>
  <c r="P1971" i="123"/>
  <c r="Q1971" i="123"/>
  <c r="R1971" i="123"/>
  <c r="T1971" i="123" s="1"/>
  <c r="S1971" i="123"/>
  <c r="X1971" i="123"/>
  <c r="Y1971" i="123"/>
  <c r="Z1971" i="123" s="1"/>
  <c r="AB1971" i="123"/>
  <c r="AC1971" i="123" s="1"/>
  <c r="AJ1971" i="123"/>
  <c r="AK1971" i="123"/>
  <c r="AL1971" i="123"/>
  <c r="AO1971" i="123"/>
  <c r="AP1971" i="123"/>
  <c r="AQ1971" i="123" s="1"/>
  <c r="AT1971" i="123"/>
  <c r="AU1971" i="123"/>
  <c r="K1972" i="123"/>
  <c r="L1972" i="123"/>
  <c r="M1972" i="123"/>
  <c r="N1972" i="123"/>
  <c r="O1972" i="123"/>
  <c r="P1972" i="123"/>
  <c r="Q1972" i="123"/>
  <c r="R1972" i="123"/>
  <c r="T1972" i="123" s="1"/>
  <c r="W1972" i="123" s="1"/>
  <c r="S1972" i="123"/>
  <c r="X1972" i="123"/>
  <c r="Y1972" i="123"/>
  <c r="AA1972" i="123" s="1"/>
  <c r="AB1972" i="123"/>
  <c r="AC1972" i="123" s="1"/>
  <c r="AJ1972" i="123"/>
  <c r="AK1972" i="123"/>
  <c r="AL1972" i="123"/>
  <c r="AO1972" i="123"/>
  <c r="AP1972" i="123"/>
  <c r="AT1972" i="123"/>
  <c r="AU1972" i="123"/>
  <c r="K1973" i="123"/>
  <c r="L1973" i="123"/>
  <c r="M1973" i="123"/>
  <c r="N1973" i="123"/>
  <c r="O1973" i="123"/>
  <c r="P1973" i="123"/>
  <c r="Q1973" i="123"/>
  <c r="R1973" i="123"/>
  <c r="T1973" i="123" s="1"/>
  <c r="V1973" i="123" s="1"/>
  <c r="S1973" i="123"/>
  <c r="X1973" i="123"/>
  <c r="Y1973" i="123"/>
  <c r="Z1973" i="123" s="1"/>
  <c r="AB1973" i="123"/>
  <c r="AD1973" i="123" s="1"/>
  <c r="AJ1973" i="123"/>
  <c r="AK1973" i="123"/>
  <c r="AL1973" i="123"/>
  <c r="AO1973" i="123"/>
  <c r="AP1973" i="123"/>
  <c r="AT1973" i="123"/>
  <c r="AU1973" i="123"/>
  <c r="K1974" i="123"/>
  <c r="L1974" i="123"/>
  <c r="M1974" i="123"/>
  <c r="N1974" i="123"/>
  <c r="O1974" i="123"/>
  <c r="P1974" i="123"/>
  <c r="Q1974" i="123"/>
  <c r="R1974" i="123"/>
  <c r="T1974" i="123" s="1"/>
  <c r="S1974" i="123"/>
  <c r="X1974" i="123"/>
  <c r="Y1974" i="123"/>
  <c r="Z1974" i="123" s="1"/>
  <c r="AB1974" i="123"/>
  <c r="AC1974" i="123" s="1"/>
  <c r="AJ1974" i="123"/>
  <c r="AK1974" i="123"/>
  <c r="AL1974" i="123"/>
  <c r="AO1974" i="123"/>
  <c r="AP1974" i="123"/>
  <c r="AQ1974" i="123" s="1"/>
  <c r="AT1974" i="123"/>
  <c r="AU1974" i="123"/>
  <c r="K1975" i="123"/>
  <c r="L1975" i="123"/>
  <c r="M1975" i="123"/>
  <c r="N1975" i="123"/>
  <c r="O1975" i="123"/>
  <c r="P1975" i="123"/>
  <c r="Q1975" i="123"/>
  <c r="R1975" i="123"/>
  <c r="T1975" i="123" s="1"/>
  <c r="S1975" i="123"/>
  <c r="X1975" i="123"/>
  <c r="Y1975" i="123"/>
  <c r="Z1975" i="123" s="1"/>
  <c r="AB1975" i="123"/>
  <c r="AC1975" i="123" s="1"/>
  <c r="AJ1975" i="123"/>
  <c r="AK1975" i="123"/>
  <c r="AL1975" i="123"/>
  <c r="AO1975" i="123"/>
  <c r="AP1975" i="123"/>
  <c r="AQ1975" i="123" s="1"/>
  <c r="AT1975" i="123"/>
  <c r="AU1975" i="123"/>
  <c r="K1976" i="123"/>
  <c r="L1976" i="123"/>
  <c r="M1976" i="123"/>
  <c r="N1976" i="123"/>
  <c r="O1976" i="123"/>
  <c r="P1976" i="123"/>
  <c r="Q1976" i="123"/>
  <c r="R1976" i="123"/>
  <c r="T1976" i="123" s="1"/>
  <c r="W1976" i="123" s="1"/>
  <c r="S1976" i="123"/>
  <c r="X1976" i="123"/>
  <c r="Y1976" i="123"/>
  <c r="AA1976" i="123" s="1"/>
  <c r="AB1976" i="123"/>
  <c r="AC1976" i="123" s="1"/>
  <c r="AJ1976" i="123"/>
  <c r="AK1976" i="123"/>
  <c r="AL1976" i="123"/>
  <c r="AO1976" i="123"/>
  <c r="AP1976" i="123"/>
  <c r="AQ1976" i="123" s="1"/>
  <c r="AT1976" i="123"/>
  <c r="AU1976" i="123"/>
  <c r="K1977" i="123"/>
  <c r="L1977" i="123"/>
  <c r="M1977" i="123"/>
  <c r="N1977" i="123"/>
  <c r="O1977" i="123"/>
  <c r="P1977" i="123"/>
  <c r="Q1977" i="123"/>
  <c r="R1977" i="123"/>
  <c r="T1977" i="123" s="1"/>
  <c r="V1977" i="123" s="1"/>
  <c r="S1977" i="123"/>
  <c r="X1977" i="123"/>
  <c r="Y1977" i="123"/>
  <c r="Z1977" i="123" s="1"/>
  <c r="AB1977" i="123"/>
  <c r="AD1977" i="123" s="1"/>
  <c r="AJ1977" i="123"/>
  <c r="AK1977" i="123"/>
  <c r="AL1977" i="123"/>
  <c r="AO1977" i="123"/>
  <c r="AP1977" i="123"/>
  <c r="AT1977" i="123"/>
  <c r="AU1977" i="123"/>
  <c r="K1978" i="123"/>
  <c r="L1978" i="123"/>
  <c r="M1978" i="123"/>
  <c r="N1978" i="123"/>
  <c r="O1978" i="123"/>
  <c r="P1978" i="123"/>
  <c r="Q1978" i="123"/>
  <c r="R1978" i="123"/>
  <c r="T1978" i="123" s="1"/>
  <c r="S1978" i="123"/>
  <c r="X1978" i="123"/>
  <c r="Y1978" i="123"/>
  <c r="AA1978" i="123" s="1"/>
  <c r="AB1978" i="123"/>
  <c r="AC1978" i="123" s="1"/>
  <c r="AJ1978" i="123"/>
  <c r="AK1978" i="123"/>
  <c r="AL1978" i="123"/>
  <c r="AO1978" i="123"/>
  <c r="AP1978" i="123"/>
  <c r="AQ1978" i="123" s="1"/>
  <c r="AT1978" i="123"/>
  <c r="AU1978" i="123"/>
  <c r="K1979" i="123"/>
  <c r="L1979" i="123"/>
  <c r="M1979" i="123"/>
  <c r="N1979" i="123"/>
  <c r="O1979" i="123"/>
  <c r="P1979" i="123"/>
  <c r="Q1979" i="123"/>
  <c r="R1979" i="123"/>
  <c r="T1979" i="123" s="1"/>
  <c r="S1979" i="123"/>
  <c r="X1979" i="123"/>
  <c r="Y1979" i="123"/>
  <c r="Z1979" i="123" s="1"/>
  <c r="AB1979" i="123"/>
  <c r="AC1979" i="123" s="1"/>
  <c r="AJ1979" i="123"/>
  <c r="AK1979" i="123"/>
  <c r="AL1979" i="123"/>
  <c r="AO1979" i="123"/>
  <c r="AP1979" i="123"/>
  <c r="AQ1979" i="123" s="1"/>
  <c r="AT1979" i="123"/>
  <c r="AU1979" i="123"/>
  <c r="K1980" i="123"/>
  <c r="L1980" i="123"/>
  <c r="M1980" i="123"/>
  <c r="N1980" i="123"/>
  <c r="O1980" i="123"/>
  <c r="P1980" i="123"/>
  <c r="Q1980" i="123"/>
  <c r="R1980" i="123"/>
  <c r="T1980" i="123" s="1"/>
  <c r="W1980" i="123" s="1"/>
  <c r="S1980" i="123"/>
  <c r="X1980" i="123"/>
  <c r="Y1980" i="123"/>
  <c r="AA1980" i="123" s="1"/>
  <c r="AB1980" i="123"/>
  <c r="AC1980" i="123" s="1"/>
  <c r="AJ1980" i="123"/>
  <c r="AK1980" i="123"/>
  <c r="AL1980" i="123"/>
  <c r="AO1980" i="123"/>
  <c r="AP1980" i="123"/>
  <c r="AT1980" i="123"/>
  <c r="AU1980" i="123"/>
  <c r="K1981" i="123"/>
  <c r="L1981" i="123"/>
  <c r="M1981" i="123"/>
  <c r="N1981" i="123"/>
  <c r="O1981" i="123"/>
  <c r="P1981" i="123"/>
  <c r="Q1981" i="123"/>
  <c r="R1981" i="123"/>
  <c r="T1981" i="123" s="1"/>
  <c r="V1981" i="123" s="1"/>
  <c r="S1981" i="123"/>
  <c r="X1981" i="123"/>
  <c r="Y1981" i="123"/>
  <c r="Z1981" i="123" s="1"/>
  <c r="AB1981" i="123"/>
  <c r="AD1981" i="123" s="1"/>
  <c r="AJ1981" i="123"/>
  <c r="AK1981" i="123"/>
  <c r="AL1981" i="123"/>
  <c r="AO1981" i="123"/>
  <c r="AP1981" i="123"/>
  <c r="AT1981" i="123"/>
  <c r="AU1981" i="123"/>
  <c r="K1982" i="123"/>
  <c r="L1982" i="123"/>
  <c r="M1982" i="123"/>
  <c r="N1982" i="123"/>
  <c r="O1982" i="123"/>
  <c r="P1982" i="123"/>
  <c r="Q1982" i="123"/>
  <c r="R1982" i="123"/>
  <c r="T1982" i="123" s="1"/>
  <c r="S1982" i="123"/>
  <c r="X1982" i="123"/>
  <c r="Y1982" i="123"/>
  <c r="Z1982" i="123" s="1"/>
  <c r="AB1982" i="123"/>
  <c r="AC1982" i="123" s="1"/>
  <c r="AJ1982" i="123"/>
  <c r="AK1982" i="123"/>
  <c r="AL1982" i="123"/>
  <c r="AO1982" i="123"/>
  <c r="AP1982" i="123"/>
  <c r="AQ1982" i="123" s="1"/>
  <c r="AT1982" i="123"/>
  <c r="AU1982" i="123"/>
  <c r="K1983" i="123"/>
  <c r="L1983" i="123"/>
  <c r="M1983" i="123"/>
  <c r="N1983" i="123"/>
  <c r="O1983" i="123"/>
  <c r="P1983" i="123"/>
  <c r="Q1983" i="123"/>
  <c r="R1983" i="123"/>
  <c r="T1983" i="123" s="1"/>
  <c r="S1983" i="123"/>
  <c r="X1983" i="123"/>
  <c r="Y1983" i="123"/>
  <c r="Z1983" i="123" s="1"/>
  <c r="AB1983" i="123"/>
  <c r="AD1983" i="123" s="1"/>
  <c r="AJ1983" i="123"/>
  <c r="AK1983" i="123"/>
  <c r="AL1983" i="123"/>
  <c r="AO1983" i="123"/>
  <c r="AP1983" i="123"/>
  <c r="AQ1983" i="123" s="1"/>
  <c r="AT1983" i="123"/>
  <c r="AU1983" i="123"/>
  <c r="K1984" i="123"/>
  <c r="L1984" i="123"/>
  <c r="M1984" i="123"/>
  <c r="N1984" i="123"/>
  <c r="O1984" i="123"/>
  <c r="P1984" i="123"/>
  <c r="Q1984" i="123"/>
  <c r="R1984" i="123"/>
  <c r="T1984" i="123" s="1"/>
  <c r="W1984" i="123" s="1"/>
  <c r="S1984" i="123"/>
  <c r="X1984" i="123"/>
  <c r="Y1984" i="123"/>
  <c r="AA1984" i="123" s="1"/>
  <c r="AB1984" i="123"/>
  <c r="AC1984" i="123" s="1"/>
  <c r="AJ1984" i="123"/>
  <c r="AK1984" i="123"/>
  <c r="AL1984" i="123"/>
  <c r="AO1984" i="123"/>
  <c r="AP1984" i="123"/>
  <c r="AQ1984" i="123" s="1"/>
  <c r="AT1984" i="123"/>
  <c r="AU1984" i="123"/>
  <c r="K1985" i="123"/>
  <c r="L1985" i="123"/>
  <c r="M1985" i="123"/>
  <c r="N1985" i="123"/>
  <c r="O1985" i="123"/>
  <c r="P1985" i="123"/>
  <c r="Q1985" i="123"/>
  <c r="R1985" i="123"/>
  <c r="T1985" i="123" s="1"/>
  <c r="V1985" i="123" s="1"/>
  <c r="S1985" i="123"/>
  <c r="X1985" i="123"/>
  <c r="Y1985" i="123"/>
  <c r="Z1985" i="123" s="1"/>
  <c r="AB1985" i="123"/>
  <c r="AD1985" i="123" s="1"/>
  <c r="AJ1985" i="123"/>
  <c r="AK1985" i="123"/>
  <c r="AL1985" i="123"/>
  <c r="AO1985" i="123"/>
  <c r="AP1985" i="123"/>
  <c r="AT1985" i="123"/>
  <c r="AU1985" i="123"/>
  <c r="K1986" i="123"/>
  <c r="L1986" i="123"/>
  <c r="M1986" i="123"/>
  <c r="N1986" i="123"/>
  <c r="O1986" i="123"/>
  <c r="P1986" i="123"/>
  <c r="Q1986" i="123"/>
  <c r="R1986" i="123"/>
  <c r="T1986" i="123" s="1"/>
  <c r="S1986" i="123"/>
  <c r="X1986" i="123"/>
  <c r="Y1986" i="123"/>
  <c r="Z1986" i="123" s="1"/>
  <c r="AB1986" i="123"/>
  <c r="AC1986" i="123" s="1"/>
  <c r="AJ1986" i="123"/>
  <c r="AK1986" i="123"/>
  <c r="AL1986" i="123"/>
  <c r="AO1986" i="123"/>
  <c r="AP1986" i="123"/>
  <c r="AQ1986" i="123" s="1"/>
  <c r="AT1986" i="123"/>
  <c r="AU1986" i="123"/>
  <c r="K1987" i="123"/>
  <c r="L1987" i="123"/>
  <c r="M1987" i="123"/>
  <c r="N1987" i="123"/>
  <c r="O1987" i="123"/>
  <c r="P1987" i="123"/>
  <c r="Q1987" i="123"/>
  <c r="R1987" i="123"/>
  <c r="T1987" i="123" s="1"/>
  <c r="S1987" i="123"/>
  <c r="X1987" i="123"/>
  <c r="Y1987" i="123"/>
  <c r="Z1987" i="123" s="1"/>
  <c r="AB1987" i="123"/>
  <c r="AC1987" i="123" s="1"/>
  <c r="AJ1987" i="123"/>
  <c r="AK1987" i="123"/>
  <c r="AL1987" i="123"/>
  <c r="AO1987" i="123"/>
  <c r="AP1987" i="123"/>
  <c r="AQ1987" i="123" s="1"/>
  <c r="AT1987" i="123"/>
  <c r="AU1987" i="123"/>
  <c r="K1988" i="123"/>
  <c r="L1988" i="123"/>
  <c r="M1988" i="123"/>
  <c r="N1988" i="123"/>
  <c r="O1988" i="123"/>
  <c r="P1988" i="123"/>
  <c r="Q1988" i="123"/>
  <c r="R1988" i="123"/>
  <c r="T1988" i="123" s="1"/>
  <c r="W1988" i="123" s="1"/>
  <c r="S1988" i="123"/>
  <c r="X1988" i="123"/>
  <c r="Y1988" i="123"/>
  <c r="AA1988" i="123" s="1"/>
  <c r="AB1988" i="123"/>
  <c r="AC1988" i="123" s="1"/>
  <c r="AJ1988" i="123"/>
  <c r="AK1988" i="123"/>
  <c r="AL1988" i="123"/>
  <c r="AO1988" i="123"/>
  <c r="AP1988" i="123"/>
  <c r="AQ1988" i="123" s="1"/>
  <c r="AT1988" i="123"/>
  <c r="AU1988" i="123"/>
  <c r="K1989" i="123"/>
  <c r="L1989" i="123"/>
  <c r="M1989" i="123"/>
  <c r="N1989" i="123"/>
  <c r="O1989" i="123"/>
  <c r="P1989" i="123"/>
  <c r="Q1989" i="123"/>
  <c r="R1989" i="123"/>
  <c r="T1989" i="123" s="1"/>
  <c r="V1989" i="123" s="1"/>
  <c r="S1989" i="123"/>
  <c r="X1989" i="123"/>
  <c r="Y1989" i="123"/>
  <c r="Z1989" i="123" s="1"/>
  <c r="AB1989" i="123"/>
  <c r="AD1989" i="123" s="1"/>
  <c r="AJ1989" i="123"/>
  <c r="AK1989" i="123"/>
  <c r="AL1989" i="123"/>
  <c r="AO1989" i="123"/>
  <c r="AP1989" i="123"/>
  <c r="AT1989" i="123"/>
  <c r="AU1989" i="123"/>
  <c r="K1990" i="123"/>
  <c r="L1990" i="123"/>
  <c r="M1990" i="123"/>
  <c r="N1990" i="123"/>
  <c r="O1990" i="123"/>
  <c r="P1990" i="123"/>
  <c r="Q1990" i="123"/>
  <c r="R1990" i="123"/>
  <c r="T1990" i="123" s="1"/>
  <c r="S1990" i="123"/>
  <c r="X1990" i="123"/>
  <c r="Y1990" i="123"/>
  <c r="AA1990" i="123" s="1"/>
  <c r="AB1990" i="123"/>
  <c r="AC1990" i="123" s="1"/>
  <c r="AJ1990" i="123"/>
  <c r="AK1990" i="123"/>
  <c r="AL1990" i="123"/>
  <c r="AO1990" i="123"/>
  <c r="AP1990" i="123"/>
  <c r="AQ1990" i="123" s="1"/>
  <c r="AT1990" i="123"/>
  <c r="AU1990" i="123"/>
  <c r="K1991" i="123"/>
  <c r="L1991" i="123"/>
  <c r="M1991" i="123"/>
  <c r="N1991" i="123"/>
  <c r="O1991" i="123"/>
  <c r="P1991" i="123"/>
  <c r="Q1991" i="123"/>
  <c r="R1991" i="123"/>
  <c r="T1991" i="123" s="1"/>
  <c r="S1991" i="123"/>
  <c r="X1991" i="123"/>
  <c r="Y1991" i="123"/>
  <c r="Z1991" i="123" s="1"/>
  <c r="AB1991" i="123"/>
  <c r="AC1991" i="123" s="1"/>
  <c r="AJ1991" i="123"/>
  <c r="AK1991" i="123"/>
  <c r="AL1991" i="123"/>
  <c r="AO1991" i="123"/>
  <c r="AP1991" i="123"/>
  <c r="AQ1991" i="123" s="1"/>
  <c r="AT1991" i="123"/>
  <c r="AU1991" i="123"/>
  <c r="K1992" i="123"/>
  <c r="L1992" i="123"/>
  <c r="M1992" i="123"/>
  <c r="N1992" i="123"/>
  <c r="O1992" i="123"/>
  <c r="P1992" i="123"/>
  <c r="Q1992" i="123"/>
  <c r="R1992" i="123"/>
  <c r="T1992" i="123" s="1"/>
  <c r="W1992" i="123" s="1"/>
  <c r="S1992" i="123"/>
  <c r="X1992" i="123"/>
  <c r="Y1992" i="123"/>
  <c r="AA1992" i="123" s="1"/>
  <c r="AB1992" i="123"/>
  <c r="AC1992" i="123" s="1"/>
  <c r="AJ1992" i="123"/>
  <c r="AK1992" i="123"/>
  <c r="AL1992" i="123"/>
  <c r="AO1992" i="123"/>
  <c r="AP1992" i="123"/>
  <c r="AQ1992" i="123" s="1"/>
  <c r="AT1992" i="123"/>
  <c r="AU1992" i="123"/>
  <c r="K1993" i="123"/>
  <c r="L1993" i="123"/>
  <c r="M1993" i="123"/>
  <c r="N1993" i="123"/>
  <c r="O1993" i="123"/>
  <c r="P1993" i="123"/>
  <c r="Q1993" i="123"/>
  <c r="R1993" i="123"/>
  <c r="T1993" i="123" s="1"/>
  <c r="V1993" i="123" s="1"/>
  <c r="S1993" i="123"/>
  <c r="X1993" i="123"/>
  <c r="Y1993" i="123"/>
  <c r="Z1993" i="123" s="1"/>
  <c r="AB1993" i="123"/>
  <c r="AD1993" i="123" s="1"/>
  <c r="AJ1993" i="123"/>
  <c r="AK1993" i="123"/>
  <c r="AL1993" i="123"/>
  <c r="AO1993" i="123"/>
  <c r="AP1993" i="123"/>
  <c r="AT1993" i="123"/>
  <c r="AU1993" i="123"/>
  <c r="K1994" i="123"/>
  <c r="L1994" i="123"/>
  <c r="M1994" i="123"/>
  <c r="N1994" i="123"/>
  <c r="O1994" i="123"/>
  <c r="P1994" i="123"/>
  <c r="Q1994" i="123"/>
  <c r="R1994" i="123"/>
  <c r="T1994" i="123" s="1"/>
  <c r="S1994" i="123"/>
  <c r="X1994" i="123"/>
  <c r="Y1994" i="123"/>
  <c r="AA1994" i="123" s="1"/>
  <c r="AB1994" i="123"/>
  <c r="AC1994" i="123" s="1"/>
  <c r="AJ1994" i="123"/>
  <c r="AK1994" i="123"/>
  <c r="AL1994" i="123"/>
  <c r="AO1994" i="123"/>
  <c r="AP1994" i="123"/>
  <c r="AQ1994" i="123" s="1"/>
  <c r="AT1994" i="123"/>
  <c r="AU1994" i="123"/>
  <c r="K1995" i="123"/>
  <c r="L1995" i="123"/>
  <c r="M1995" i="123"/>
  <c r="N1995" i="123"/>
  <c r="O1995" i="123"/>
  <c r="P1995" i="123"/>
  <c r="Q1995" i="123"/>
  <c r="R1995" i="123"/>
  <c r="T1995" i="123" s="1"/>
  <c r="S1995" i="123"/>
  <c r="X1995" i="123"/>
  <c r="Y1995" i="123"/>
  <c r="Z1995" i="123" s="1"/>
  <c r="AB1995" i="123"/>
  <c r="AC1995" i="123" s="1"/>
  <c r="AJ1995" i="123"/>
  <c r="AK1995" i="123"/>
  <c r="AL1995" i="123"/>
  <c r="AO1995" i="123"/>
  <c r="AP1995" i="123"/>
  <c r="AQ1995" i="123" s="1"/>
  <c r="AT1995" i="123"/>
  <c r="AU1995" i="123"/>
  <c r="K1996" i="123"/>
  <c r="L1996" i="123"/>
  <c r="M1996" i="123"/>
  <c r="N1996" i="123"/>
  <c r="O1996" i="123"/>
  <c r="P1996" i="123"/>
  <c r="Q1996" i="123"/>
  <c r="R1996" i="123"/>
  <c r="T1996" i="123" s="1"/>
  <c r="S1996" i="123"/>
  <c r="X1996" i="123"/>
  <c r="Y1996" i="123"/>
  <c r="AA1996" i="123" s="1"/>
  <c r="AB1996" i="123"/>
  <c r="AD1996" i="123" s="1"/>
  <c r="AJ1996" i="123"/>
  <c r="AK1996" i="123"/>
  <c r="AL1996" i="123"/>
  <c r="AO1996" i="123"/>
  <c r="AP1996" i="123"/>
  <c r="AT1996" i="123"/>
  <c r="AU1996" i="123"/>
  <c r="K1997" i="123"/>
  <c r="L1997" i="123"/>
  <c r="M1997" i="123"/>
  <c r="N1997" i="123"/>
  <c r="O1997" i="123"/>
  <c r="P1997" i="123"/>
  <c r="Q1997" i="123"/>
  <c r="R1997" i="123"/>
  <c r="T1997" i="123" s="1"/>
  <c r="V1997" i="123" s="1"/>
  <c r="S1997" i="123"/>
  <c r="X1997" i="123"/>
  <c r="Y1997" i="123"/>
  <c r="Z1997" i="123" s="1"/>
  <c r="AB1997" i="123"/>
  <c r="AD1997" i="123" s="1"/>
  <c r="AJ1997" i="123"/>
  <c r="AK1997" i="123"/>
  <c r="AL1997" i="123"/>
  <c r="AO1997" i="123"/>
  <c r="AP1997" i="123"/>
  <c r="AT1997" i="123"/>
  <c r="AU1997" i="123"/>
  <c r="K1998" i="123"/>
  <c r="L1998" i="123"/>
  <c r="M1998" i="123"/>
  <c r="N1998" i="123"/>
  <c r="O1998" i="123"/>
  <c r="P1998" i="123"/>
  <c r="Q1998" i="123"/>
  <c r="R1998" i="123"/>
  <c r="T1998" i="123" s="1"/>
  <c r="S1998" i="123"/>
  <c r="X1998" i="123"/>
  <c r="Y1998" i="123"/>
  <c r="Z1998" i="123" s="1"/>
  <c r="AB1998" i="123"/>
  <c r="AC1998" i="123" s="1"/>
  <c r="AJ1998" i="123"/>
  <c r="AK1998" i="123"/>
  <c r="AL1998" i="123"/>
  <c r="AO1998" i="123"/>
  <c r="AP1998" i="123"/>
  <c r="AQ1998" i="123" s="1"/>
  <c r="AT1998" i="123"/>
  <c r="AU1998" i="123"/>
  <c r="K1999" i="123"/>
  <c r="L1999" i="123"/>
  <c r="M1999" i="123"/>
  <c r="N1999" i="123"/>
  <c r="O1999" i="123"/>
  <c r="P1999" i="123"/>
  <c r="Q1999" i="123"/>
  <c r="R1999" i="123"/>
  <c r="T1999" i="123" s="1"/>
  <c r="S1999" i="123"/>
  <c r="X1999" i="123"/>
  <c r="Y1999" i="123"/>
  <c r="AA1999" i="123" s="1"/>
  <c r="AB1999" i="123"/>
  <c r="AC1999" i="123" s="1"/>
  <c r="AJ1999" i="123"/>
  <c r="AK1999" i="123"/>
  <c r="AL1999" i="123"/>
  <c r="AO1999" i="123"/>
  <c r="AP1999" i="123"/>
  <c r="AQ1999" i="123" s="1"/>
  <c r="AT1999" i="123"/>
  <c r="AU1999" i="123"/>
  <c r="Q4" i="123"/>
  <c r="P4" i="123"/>
  <c r="R4" i="123" s="1"/>
  <c r="O4" i="123"/>
  <c r="N4" i="123"/>
  <c r="D14" i="146" s="1"/>
  <c r="M4" i="123"/>
  <c r="L4" i="123"/>
  <c r="K4" i="123"/>
  <c r="C4455" i="127"/>
  <c r="C4456" i="127"/>
  <c r="C4457" i="127"/>
  <c r="C4458" i="127"/>
  <c r="C4459" i="127"/>
  <c r="C4460" i="127"/>
  <c r="C4461" i="127"/>
  <c r="C4462" i="127"/>
  <c r="C4463" i="127"/>
  <c r="C4464" i="127"/>
  <c r="C4465" i="127"/>
  <c r="C4466" i="127"/>
  <c r="C4467" i="127"/>
  <c r="C4468" i="127"/>
  <c r="C4469" i="127"/>
  <c r="C4470" i="127"/>
  <c r="C4471" i="127"/>
  <c r="C4472" i="127"/>
  <c r="C4473" i="127"/>
  <c r="C4452" i="127"/>
  <c r="C4453" i="127"/>
  <c r="C4454" i="127"/>
  <c r="C4445" i="127"/>
  <c r="C4446" i="127"/>
  <c r="C4447" i="127"/>
  <c r="C4448" i="127"/>
  <c r="C4449" i="127"/>
  <c r="C4450" i="127"/>
  <c r="C4451" i="127"/>
  <c r="E28" i="146" l="1"/>
  <c r="E32" i="146"/>
  <c r="E14" i="146"/>
  <c r="E25" i="146"/>
  <c r="E29" i="146"/>
  <c r="E19" i="146"/>
  <c r="E20" i="146"/>
  <c r="E26" i="146"/>
  <c r="E30" i="146"/>
  <c r="E23" i="146"/>
  <c r="E22" i="146"/>
  <c r="E27" i="146"/>
  <c r="E31" i="146"/>
  <c r="F7" i="146"/>
  <c r="F21" i="146" s="1"/>
  <c r="D33" i="146"/>
  <c r="S69" i="123"/>
  <c r="S49" i="123"/>
  <c r="AQ1796" i="123"/>
  <c r="AQ1928" i="123"/>
  <c r="AR1928" i="123" s="1"/>
  <c r="AS1928" i="123" s="1"/>
  <c r="AQ1932" i="123"/>
  <c r="AR1932" i="123" s="1"/>
  <c r="AS1932" i="123" s="1"/>
  <c r="AQ1892" i="123"/>
  <c r="AR1892" i="123" s="1"/>
  <c r="AS1892" i="123" s="1"/>
  <c r="AQ1824" i="123"/>
  <c r="AR1824" i="123" s="1"/>
  <c r="AS1824" i="123" s="1"/>
  <c r="AQ1956" i="123"/>
  <c r="AR1956" i="123" s="1"/>
  <c r="AS1956" i="123" s="1"/>
  <c r="AQ1980" i="123"/>
  <c r="AR1980" i="123" s="1"/>
  <c r="AS1980" i="123" s="1"/>
  <c r="AQ1996" i="123"/>
  <c r="AR1996" i="123" s="1"/>
  <c r="AS1996" i="123" s="1"/>
  <c r="Z848" i="123"/>
  <c r="U1777" i="123"/>
  <c r="AD221" i="123"/>
  <c r="AF221" i="123" s="1"/>
  <c r="AQ1827" i="123"/>
  <c r="AR1827" i="123" s="1"/>
  <c r="AS1827" i="123" s="1"/>
  <c r="AC1395" i="123"/>
  <c r="AC1306" i="123"/>
  <c r="AD1305" i="123"/>
  <c r="AF1305" i="123" s="1"/>
  <c r="AG1305" i="123" s="1"/>
  <c r="AD1304" i="123"/>
  <c r="AA1052" i="123"/>
  <c r="AA1051" i="123"/>
  <c r="U1051" i="123"/>
  <c r="AR1040" i="123"/>
  <c r="AS1040" i="123" s="1"/>
  <c r="Z487" i="123"/>
  <c r="AC215" i="123"/>
  <c r="Z866" i="123"/>
  <c r="AR863" i="123"/>
  <c r="AS863" i="123" s="1"/>
  <c r="AC623" i="123"/>
  <c r="AA259" i="123"/>
  <c r="Z1033" i="123"/>
  <c r="AA1032" i="123"/>
  <c r="AA1031" i="123"/>
  <c r="U1031" i="123"/>
  <c r="AC629" i="123"/>
  <c r="AA1791" i="123"/>
  <c r="AD1703" i="123"/>
  <c r="AE1703" i="123" s="1"/>
  <c r="AC1302" i="123"/>
  <c r="U1020" i="123"/>
  <c r="AA1019" i="123"/>
  <c r="U1019" i="123"/>
  <c r="Z1014" i="123"/>
  <c r="Z630" i="123"/>
  <c r="AA1453" i="123"/>
  <c r="Z1408" i="123"/>
  <c r="AR1405" i="123"/>
  <c r="AS1405" i="123" s="1"/>
  <c r="AR1332" i="123"/>
  <c r="AS1332" i="123" s="1"/>
  <c r="AC991" i="123"/>
  <c r="AD990" i="123"/>
  <c r="AE990" i="123" s="1"/>
  <c r="Z732" i="123"/>
  <c r="AA731" i="123"/>
  <c r="Z730" i="123"/>
  <c r="AF265" i="123"/>
  <c r="S159" i="123"/>
  <c r="AC1697" i="123"/>
  <c r="U1688" i="123"/>
  <c r="Z1655" i="123"/>
  <c r="Z1642" i="123"/>
  <c r="AD1634" i="123"/>
  <c r="AE1634" i="123" s="1"/>
  <c r="Z1608" i="123"/>
  <c r="AC1192" i="123"/>
  <c r="Z846" i="123"/>
  <c r="AA845" i="123"/>
  <c r="Z844" i="123"/>
  <c r="U844" i="123"/>
  <c r="AA843" i="123"/>
  <c r="AA842" i="123"/>
  <c r="AC573" i="123"/>
  <c r="AD572" i="123"/>
  <c r="AE572" i="123" s="1"/>
  <c r="S542" i="123"/>
  <c r="AD524" i="123"/>
  <c r="AE524" i="123" s="1"/>
  <c r="Z418" i="123"/>
  <c r="S447" i="123"/>
  <c r="S424" i="123"/>
  <c r="AA240" i="123"/>
  <c r="AQ1972" i="123"/>
  <c r="AR1972" i="123" s="1"/>
  <c r="AS1972" i="123" s="1"/>
  <c r="AC1828" i="123"/>
  <c r="AD1827" i="123"/>
  <c r="AE1827" i="123" s="1"/>
  <c r="AR1757" i="123"/>
  <c r="AS1757" i="123" s="1"/>
  <c r="U1481" i="123"/>
  <c r="AR1334" i="123"/>
  <c r="AS1334" i="123" s="1"/>
  <c r="Z1195" i="123"/>
  <c r="U1195" i="123"/>
  <c r="AR1192" i="123"/>
  <c r="AS1192" i="123" s="1"/>
  <c r="Z1185" i="123"/>
  <c r="AA1180" i="123"/>
  <c r="AD1172" i="123"/>
  <c r="AA835" i="123"/>
  <c r="Z715" i="123"/>
  <c r="Z690" i="123"/>
  <c r="AM666" i="123"/>
  <c r="Z574" i="123"/>
  <c r="AF447" i="123"/>
  <c r="S336" i="123"/>
  <c r="AA291" i="123"/>
  <c r="AC160" i="123"/>
  <c r="S141" i="123"/>
  <c r="S137" i="123"/>
  <c r="Z1994" i="123"/>
  <c r="AR1831" i="123"/>
  <c r="AS1831" i="123" s="1"/>
  <c r="Z1829" i="123"/>
  <c r="AD1553" i="123"/>
  <c r="AE1553" i="123" s="1"/>
  <c r="AC1365" i="123"/>
  <c r="AA1363" i="123"/>
  <c r="U1323" i="123"/>
  <c r="U1259" i="123"/>
  <c r="U1255" i="123"/>
  <c r="AC1238" i="123"/>
  <c r="Z1236" i="123"/>
  <c r="AA1235" i="123"/>
  <c r="AA1131" i="123"/>
  <c r="U1131" i="123"/>
  <c r="U1075" i="123"/>
  <c r="AR1068" i="123"/>
  <c r="AS1068" i="123" s="1"/>
  <c r="U1067" i="123"/>
  <c r="AC1007" i="123"/>
  <c r="AE1007" i="123" s="1"/>
  <c r="AA1001" i="123"/>
  <c r="Z986" i="123"/>
  <c r="AA969" i="123"/>
  <c r="U969" i="123"/>
  <c r="U957" i="123"/>
  <c r="Z956" i="123"/>
  <c r="U944" i="123"/>
  <c r="Z876" i="123"/>
  <c r="U876" i="123"/>
  <c r="Z858" i="123"/>
  <c r="AD616" i="123"/>
  <c r="AF616" i="123" s="1"/>
  <c r="AG616" i="123" s="1"/>
  <c r="Z576" i="123"/>
  <c r="S523" i="123"/>
  <c r="S515" i="123"/>
  <c r="AF480" i="123"/>
  <c r="Z364" i="123"/>
  <c r="AA333" i="123"/>
  <c r="S59" i="123"/>
  <c r="AR1864" i="123"/>
  <c r="AS1864" i="123" s="1"/>
  <c r="AR1856" i="123"/>
  <c r="AS1856" i="123" s="1"/>
  <c r="AA1815" i="123"/>
  <c r="AC1773" i="123"/>
  <c r="AC1727" i="123"/>
  <c r="AD1726" i="123"/>
  <c r="AF1726" i="123" s="1"/>
  <c r="Z1724" i="123"/>
  <c r="U1724" i="123"/>
  <c r="U1720" i="123"/>
  <c r="AA1441" i="123"/>
  <c r="Z1392" i="123"/>
  <c r="AA1391" i="123"/>
  <c r="Z1390" i="123"/>
  <c r="AC1336" i="123"/>
  <c r="AR1323" i="123"/>
  <c r="AS1323" i="123" s="1"/>
  <c r="W1323" i="123"/>
  <c r="AR1304" i="123"/>
  <c r="AS1304" i="123" s="1"/>
  <c r="AR1297" i="123"/>
  <c r="AS1297" i="123" s="1"/>
  <c r="Z1243" i="123"/>
  <c r="U1243" i="123"/>
  <c r="AC1224" i="123"/>
  <c r="U1223" i="123"/>
  <c r="AC1150" i="123"/>
  <c r="AD896" i="123"/>
  <c r="AF896" i="123" s="1"/>
  <c r="AG896" i="123" s="1"/>
  <c r="Z890" i="123"/>
  <c r="Z756" i="123"/>
  <c r="Z728" i="123"/>
  <c r="AA727" i="123"/>
  <c r="AC689" i="123"/>
  <c r="Z667" i="123"/>
  <c r="AR628" i="123"/>
  <c r="AS628" i="123" s="1"/>
  <c r="Z590" i="123"/>
  <c r="AR567" i="123"/>
  <c r="AS567" i="123" s="1"/>
  <c r="AC365" i="123"/>
  <c r="AA322" i="123"/>
  <c r="S211" i="123"/>
  <c r="Z210" i="123"/>
  <c r="AD206" i="123"/>
  <c r="AE206" i="123" s="1"/>
  <c r="AA204" i="123"/>
  <c r="AA201" i="123"/>
  <c r="AC197" i="123"/>
  <c r="AM1260" i="123"/>
  <c r="AM1018" i="123"/>
  <c r="AM1009" i="123"/>
  <c r="AM1512" i="123"/>
  <c r="AM1500" i="123"/>
  <c r="AM1492" i="123"/>
  <c r="AM1889" i="123"/>
  <c r="AM1870" i="123"/>
  <c r="AN730" i="123"/>
  <c r="AM623" i="123"/>
  <c r="AM1776" i="123"/>
  <c r="AM34" i="123"/>
  <c r="AM791" i="123"/>
  <c r="AM629" i="123"/>
  <c r="AM563" i="123"/>
  <c r="AM1658" i="123"/>
  <c r="AM1428" i="123"/>
  <c r="AM1052" i="123"/>
  <c r="AN1033" i="123"/>
  <c r="AM970" i="123"/>
  <c r="AM568" i="123"/>
  <c r="AM1703" i="123"/>
  <c r="AM1448" i="123"/>
  <c r="AM1347" i="123"/>
  <c r="AM1184" i="123"/>
  <c r="AM1179" i="123"/>
  <c r="AN666" i="123"/>
  <c r="AM1096" i="123"/>
  <c r="AM842" i="123"/>
  <c r="AM1338" i="123"/>
  <c r="AQ1963" i="123"/>
  <c r="AR1963" i="123" s="1"/>
  <c r="AS1963" i="123" s="1"/>
  <c r="AM1981" i="123"/>
  <c r="AF1919" i="123"/>
  <c r="AG1919" i="123" s="1"/>
  <c r="AA1918" i="123"/>
  <c r="AR1982" i="123"/>
  <c r="AS1982" i="123" s="1"/>
  <c r="AN1976" i="123"/>
  <c r="AC1983" i="123"/>
  <c r="AD1982" i="123"/>
  <c r="S61" i="123"/>
  <c r="AA30" i="123"/>
  <c r="AR1891" i="123"/>
  <c r="AS1891" i="123" s="1"/>
  <c r="AM1856" i="123"/>
  <c r="AC1854" i="123"/>
  <c r="AN1785" i="123"/>
  <c r="AC1759" i="123"/>
  <c r="AD1729" i="123"/>
  <c r="AE1729" i="123" s="1"/>
  <c r="AF1601" i="123"/>
  <c r="AG1601" i="123" s="1"/>
  <c r="Z1576" i="123"/>
  <c r="U1576" i="123"/>
  <c r="AR1573" i="123"/>
  <c r="AS1573" i="123" s="1"/>
  <c r="AD1525" i="123"/>
  <c r="AA1523" i="123"/>
  <c r="AM1522" i="123"/>
  <c r="Z1522" i="123"/>
  <c r="AA1521" i="123"/>
  <c r="AR1518" i="123"/>
  <c r="AS1518" i="123" s="1"/>
  <c r="U1476" i="123"/>
  <c r="AM1459" i="123"/>
  <c r="AD1452" i="123"/>
  <c r="AE1452" i="123" s="1"/>
  <c r="AM1361" i="123"/>
  <c r="AR1335" i="123"/>
  <c r="AS1335" i="123" s="1"/>
  <c r="AM1148" i="123"/>
  <c r="AM1104" i="123"/>
  <c r="AM1040" i="123"/>
  <c r="AM927" i="123"/>
  <c r="AM907" i="123"/>
  <c r="AM903" i="123"/>
  <c r="AM902" i="123"/>
  <c r="AM750" i="123"/>
  <c r="AM742" i="123"/>
  <c r="AM711" i="123"/>
  <c r="AM633" i="123"/>
  <c r="AN630" i="123"/>
  <c r="AM625" i="123"/>
  <c r="S507" i="123"/>
  <c r="S408" i="123"/>
  <c r="W1699" i="123"/>
  <c r="AD1561" i="123"/>
  <c r="AE1561" i="123" s="1"/>
  <c r="AM1358" i="123"/>
  <c r="AA1337" i="123"/>
  <c r="AR1308" i="123"/>
  <c r="AS1308" i="123" s="1"/>
  <c r="AM1247" i="123"/>
  <c r="AM1154" i="123"/>
  <c r="AM1029" i="123"/>
  <c r="AM924" i="123"/>
  <c r="AM899" i="123"/>
  <c r="AM821" i="123"/>
  <c r="AM813" i="123"/>
  <c r="AM751" i="123"/>
  <c r="AR711" i="123"/>
  <c r="AS711" i="123" s="1"/>
  <c r="AM571" i="123"/>
  <c r="AM562" i="123"/>
  <c r="AM554" i="123"/>
  <c r="Z511" i="123"/>
  <c r="S491" i="123"/>
  <c r="S366" i="123"/>
  <c r="S361" i="123"/>
  <c r="AD301" i="123"/>
  <c r="AF301" i="123" s="1"/>
  <c r="S252" i="123"/>
  <c r="AN1880" i="123"/>
  <c r="AM1777" i="123"/>
  <c r="AC1711" i="123"/>
  <c r="AA1699" i="123"/>
  <c r="AF1699" i="123" s="1"/>
  <c r="U1698" i="123"/>
  <c r="AR1678" i="123"/>
  <c r="AS1678" i="123" s="1"/>
  <c r="AR1674" i="123"/>
  <c r="AS1674" i="123" s="1"/>
  <c r="AA1621" i="123"/>
  <c r="AM1614" i="123"/>
  <c r="AM1561" i="123"/>
  <c r="AM1558" i="123"/>
  <c r="U1551" i="123"/>
  <c r="AM1549" i="123"/>
  <c r="AN1474" i="123"/>
  <c r="AM1473" i="123"/>
  <c r="AC1462" i="123"/>
  <c r="AR1439" i="123"/>
  <c r="AS1439" i="123" s="1"/>
  <c r="AM1437" i="123"/>
  <c r="AC1402" i="123"/>
  <c r="AR1393" i="123"/>
  <c r="AS1393" i="123" s="1"/>
  <c r="AD1392" i="123"/>
  <c r="U1340" i="123"/>
  <c r="U1263" i="123"/>
  <c r="Z1233" i="123"/>
  <c r="AA1232" i="123"/>
  <c r="AM1231" i="123"/>
  <c r="AA1231" i="123"/>
  <c r="U1231" i="123"/>
  <c r="AR1224" i="123"/>
  <c r="AS1224" i="123" s="1"/>
  <c r="AC1222" i="123"/>
  <c r="AC1208" i="123"/>
  <c r="U1207" i="123"/>
  <c r="AD1105" i="123"/>
  <c r="AA1103" i="123"/>
  <c r="AR1041" i="123"/>
  <c r="AS1041" i="123" s="1"/>
  <c r="AD1018" i="123"/>
  <c r="AE1018" i="123" s="1"/>
  <c r="AC1017" i="123"/>
  <c r="Z958" i="123"/>
  <c r="AM931" i="123"/>
  <c r="Z931" i="123"/>
  <c r="AC903" i="123"/>
  <c r="AM885" i="123"/>
  <c r="AC879" i="123"/>
  <c r="AM797" i="123"/>
  <c r="AR788" i="123"/>
  <c r="AS788" i="123" s="1"/>
  <c r="AA786" i="123"/>
  <c r="Z784" i="123"/>
  <c r="AA783" i="123"/>
  <c r="AM782" i="123"/>
  <c r="AM781" i="123"/>
  <c r="AM766" i="123"/>
  <c r="AD712" i="123"/>
  <c r="AE712" i="123" s="1"/>
  <c r="AM693" i="123"/>
  <c r="AR688" i="123"/>
  <c r="AS688" i="123" s="1"/>
  <c r="AQ666" i="123"/>
  <c r="AM663" i="123"/>
  <c r="AF576" i="123"/>
  <c r="AG576" i="123" s="1"/>
  <c r="AR572" i="123"/>
  <c r="AS572" i="123" s="1"/>
  <c r="AR571" i="123"/>
  <c r="AS571" i="123" s="1"/>
  <c r="AN570" i="123"/>
  <c r="AF415" i="123"/>
  <c r="S265" i="123"/>
  <c r="S220" i="123"/>
  <c r="S46" i="123"/>
  <c r="AD39" i="123"/>
  <c r="AF39" i="123" s="1"/>
  <c r="AC23" i="123"/>
  <c r="Z13" i="123"/>
  <c r="AA1977" i="123"/>
  <c r="Z1962" i="123"/>
  <c r="AD1943" i="123"/>
  <c r="AE1943" i="123" s="1"/>
  <c r="AA1933" i="123"/>
  <c r="AR1925" i="123"/>
  <c r="AS1925" i="123" s="1"/>
  <c r="AA1910" i="123"/>
  <c r="AD1891" i="123"/>
  <c r="AF1891" i="123" s="1"/>
  <c r="AG1891" i="123" s="1"/>
  <c r="AM1867" i="123"/>
  <c r="AM1855" i="123"/>
  <c r="Z1855" i="123"/>
  <c r="AR1832" i="123"/>
  <c r="AS1832" i="123" s="1"/>
  <c r="AA1818" i="123"/>
  <c r="Z1817" i="123"/>
  <c r="AN1817" i="123"/>
  <c r="Z1809" i="123"/>
  <c r="AN1809" i="123"/>
  <c r="AN1805" i="123"/>
  <c r="AA1794" i="123"/>
  <c r="Z1793" i="123"/>
  <c r="AN1778" i="123"/>
  <c r="AD1777" i="123"/>
  <c r="AE1777" i="123" s="1"/>
  <c r="W1777" i="123"/>
  <c r="U1773" i="123"/>
  <c r="AA1772" i="123"/>
  <c r="AD1749" i="123"/>
  <c r="AE1749" i="123" s="1"/>
  <c r="AM1714" i="123"/>
  <c r="AM1711" i="123"/>
  <c r="Z1657" i="123"/>
  <c r="AA1657" i="123"/>
  <c r="AC1951" i="123"/>
  <c r="AD1950" i="123"/>
  <c r="AE1950" i="123" s="1"/>
  <c r="AN1916" i="123"/>
  <c r="AC1887" i="123"/>
  <c r="AR1848" i="123"/>
  <c r="AS1848" i="123" s="1"/>
  <c r="AN1841" i="123"/>
  <c r="U1811" i="123"/>
  <c r="Z1797" i="123"/>
  <c r="AR1784" i="123"/>
  <c r="AS1784" i="123" s="1"/>
  <c r="U1783" i="123"/>
  <c r="AR1780" i="123"/>
  <c r="AS1780" i="123" s="1"/>
  <c r="U1779" i="123"/>
  <c r="AR1742" i="123"/>
  <c r="AS1742" i="123" s="1"/>
  <c r="AD1741" i="123"/>
  <c r="AR1714" i="123"/>
  <c r="AS1714" i="123" s="1"/>
  <c r="AA1712" i="123"/>
  <c r="AR1710" i="123"/>
  <c r="AS1710" i="123" s="1"/>
  <c r="AC1695" i="123"/>
  <c r="AD1695" i="123"/>
  <c r="AF1671" i="123"/>
  <c r="AI1671" i="123" s="1"/>
  <c r="Z1653" i="123"/>
  <c r="AA1653" i="123"/>
  <c r="AA1617" i="123"/>
  <c r="Z1617" i="123"/>
  <c r="AD1975" i="123"/>
  <c r="AE1975" i="123" s="1"/>
  <c r="AA1965" i="123"/>
  <c r="AA1945" i="123"/>
  <c r="Z1930" i="123"/>
  <c r="AC1903" i="123"/>
  <c r="AF1879" i="123"/>
  <c r="AG1879" i="123" s="1"/>
  <c r="AM1878" i="123"/>
  <c r="AR1863" i="123"/>
  <c r="AS1863" i="123" s="1"/>
  <c r="AM1847" i="123"/>
  <c r="AA1847" i="123"/>
  <c r="AD1843" i="123"/>
  <c r="Z1837" i="123"/>
  <c r="AN1837" i="123"/>
  <c r="AR1767" i="123"/>
  <c r="AS1767" i="123" s="1"/>
  <c r="AR1743" i="123"/>
  <c r="AS1743" i="123" s="1"/>
  <c r="AD1656" i="123"/>
  <c r="AC1656" i="123"/>
  <c r="Z1654" i="123"/>
  <c r="AA1654" i="123"/>
  <c r="AC1651" i="123"/>
  <c r="AD1651" i="123"/>
  <c r="U1815" i="123"/>
  <c r="AD1652" i="123"/>
  <c r="AC1652" i="123"/>
  <c r="AD1622" i="123"/>
  <c r="AC1622" i="123"/>
  <c r="AA1357" i="123"/>
  <c r="AR1345" i="123"/>
  <c r="AS1345" i="123" s="1"/>
  <c r="AC1342" i="123"/>
  <c r="AD1341" i="123"/>
  <c r="AF1336" i="123"/>
  <c r="AH1336" i="123" s="1"/>
  <c r="AA1308" i="123"/>
  <c r="AM1307" i="123"/>
  <c r="AA1307" i="123"/>
  <c r="AM1300" i="123"/>
  <c r="AM1287" i="123"/>
  <c r="AR1285" i="123"/>
  <c r="AS1285" i="123" s="1"/>
  <c r="AR1284" i="123"/>
  <c r="AS1284" i="123" s="1"/>
  <c r="U1283" i="123"/>
  <c r="AD1030" i="123"/>
  <c r="AC1030" i="123"/>
  <c r="U1708" i="123"/>
  <c r="AR1705" i="123"/>
  <c r="AS1705" i="123" s="1"/>
  <c r="AR1699" i="123"/>
  <c r="AS1699" i="123" s="1"/>
  <c r="U1690" i="123"/>
  <c r="AM1664" i="123"/>
  <c r="AM1660" i="123"/>
  <c r="AQ1658" i="123"/>
  <c r="AR1658" i="123" s="1"/>
  <c r="AS1658" i="123" s="1"/>
  <c r="AR1655" i="123"/>
  <c r="AS1655" i="123" s="1"/>
  <c r="U1635" i="123"/>
  <c r="AM1621" i="123"/>
  <c r="AC1615" i="123"/>
  <c r="AC1605" i="123"/>
  <c r="AM1603" i="123"/>
  <c r="AA1603" i="123"/>
  <c r="AA1572" i="123"/>
  <c r="AR1558" i="123"/>
  <c r="AS1558" i="123" s="1"/>
  <c r="AM1553" i="123"/>
  <c r="AR1545" i="123"/>
  <c r="AS1545" i="123" s="1"/>
  <c r="AM1537" i="123"/>
  <c r="AD1533" i="123"/>
  <c r="AE1533" i="123" s="1"/>
  <c r="AD1518" i="123"/>
  <c r="U1477" i="123"/>
  <c r="Z1475" i="123"/>
  <c r="Z1463" i="123"/>
  <c r="AM1462" i="123"/>
  <c r="AD1460" i="123"/>
  <c r="AF1460" i="123" s="1"/>
  <c r="AH1460" i="123" s="1"/>
  <c r="AC1458" i="123"/>
  <c r="AR1452" i="123"/>
  <c r="AS1452" i="123" s="1"/>
  <c r="U1449" i="123"/>
  <c r="AD1448" i="123"/>
  <c r="AR1409" i="123"/>
  <c r="AS1409" i="123" s="1"/>
  <c r="AN1407" i="123"/>
  <c r="AM1402" i="123"/>
  <c r="AM1382" i="123"/>
  <c r="AN1379" i="123"/>
  <c r="AD1377" i="123"/>
  <c r="AE1377" i="123" s="1"/>
  <c r="AN1376" i="123"/>
  <c r="AM1371" i="123"/>
  <c r="AM1370" i="123"/>
  <c r="AM1348" i="123"/>
  <c r="AM1342" i="123"/>
  <c r="AD1326" i="123"/>
  <c r="AC1324" i="123"/>
  <c r="AC1317" i="123"/>
  <c r="AD1285" i="123"/>
  <c r="AF1285" i="123" s="1"/>
  <c r="AG1285" i="123" s="1"/>
  <c r="AM1271" i="123"/>
  <c r="Z1245" i="123"/>
  <c r="Z1239" i="123"/>
  <c r="AM1212" i="123"/>
  <c r="AM1208" i="123"/>
  <c r="AR1205" i="123"/>
  <c r="AS1205" i="123" s="1"/>
  <c r="Z1203" i="123"/>
  <c r="U1203" i="123"/>
  <c r="AM1196" i="123"/>
  <c r="AA1155" i="123"/>
  <c r="U1155" i="123"/>
  <c r="U1139" i="123"/>
  <c r="AR1117" i="123"/>
  <c r="AS1117" i="123" s="1"/>
  <c r="AM1112" i="123"/>
  <c r="AR1087" i="123"/>
  <c r="AS1087" i="123" s="1"/>
  <c r="AC1082" i="123"/>
  <c r="AD1081" i="123"/>
  <c r="AD1013" i="123"/>
  <c r="AC1013" i="123"/>
  <c r="AF1659" i="123"/>
  <c r="AI1659" i="123" s="1"/>
  <c r="AR1637" i="123"/>
  <c r="AS1637" i="123" s="1"/>
  <c r="AC1630" i="123"/>
  <c r="AN1611" i="123"/>
  <c r="AR1608" i="123"/>
  <c r="AS1608" i="123" s="1"/>
  <c r="AD1586" i="123"/>
  <c r="AE1586" i="123" s="1"/>
  <c r="AR1535" i="123"/>
  <c r="AS1535" i="123" s="1"/>
  <c r="U1534" i="123"/>
  <c r="AA1504" i="123"/>
  <c r="AA1502" i="123"/>
  <c r="AA1501" i="123"/>
  <c r="AN1501" i="123"/>
  <c r="AC1500" i="123"/>
  <c r="AC1499" i="123"/>
  <c r="AC1479" i="123"/>
  <c r="AN1424" i="123"/>
  <c r="Z1378" i="123"/>
  <c r="AD1369" i="123"/>
  <c r="Z1360" i="123"/>
  <c r="AR1351" i="123"/>
  <c r="AS1351" i="123" s="1"/>
  <c r="AA1345" i="123"/>
  <c r="AR1331" i="123"/>
  <c r="AS1331" i="123" s="1"/>
  <c r="AN1329" i="123"/>
  <c r="AA1328" i="123"/>
  <c r="Z1327" i="123"/>
  <c r="Z1325" i="123"/>
  <c r="AF1324" i="123"/>
  <c r="AG1324" i="123" s="1"/>
  <c r="AA1318" i="123"/>
  <c r="AC1308" i="123"/>
  <c r="AD1300" i="123"/>
  <c r="AE1300" i="123" s="1"/>
  <c r="U1295" i="123"/>
  <c r="AR1248" i="123"/>
  <c r="AS1248" i="123" s="1"/>
  <c r="U1247" i="123"/>
  <c r="AR1208" i="123"/>
  <c r="AS1208" i="123" s="1"/>
  <c r="AC1206" i="123"/>
  <c r="Z1165" i="123"/>
  <c r="AR1141" i="123"/>
  <c r="AS1141" i="123" s="1"/>
  <c r="Z1125" i="123"/>
  <c r="AA1091" i="123"/>
  <c r="U1091" i="123"/>
  <c r="AM1072" i="123"/>
  <c r="AA1059" i="123"/>
  <c r="U1055" i="123"/>
  <c r="AD1015" i="123"/>
  <c r="AC1015" i="123"/>
  <c r="AM1646" i="123"/>
  <c r="U1631" i="123"/>
  <c r="AF1630" i="123"/>
  <c r="AH1630" i="123" s="1"/>
  <c r="AC1601" i="123"/>
  <c r="AM1599" i="123"/>
  <c r="AA1599" i="123"/>
  <c r="AC1582" i="123"/>
  <c r="AM1580" i="123"/>
  <c r="AN1546" i="123"/>
  <c r="AR1539" i="123"/>
  <c r="AS1539" i="123" s="1"/>
  <c r="AC1537" i="123"/>
  <c r="AN1511" i="123"/>
  <c r="AA1510" i="123"/>
  <c r="AM1509" i="123"/>
  <c r="Z1509" i="123"/>
  <c r="AM1508" i="123"/>
  <c r="AA1508" i="123"/>
  <c r="AC1507" i="123"/>
  <c r="AR1496" i="123"/>
  <c r="AS1496" i="123" s="1"/>
  <c r="U1495" i="123"/>
  <c r="AA1494" i="123"/>
  <c r="U1489" i="123"/>
  <c r="Z1488" i="123"/>
  <c r="AM1483" i="123"/>
  <c r="AD1475" i="123"/>
  <c r="AF1475" i="123" s="1"/>
  <c r="AC1473" i="123"/>
  <c r="AD1472" i="123"/>
  <c r="AF1472" i="123" s="1"/>
  <c r="Z1456" i="123"/>
  <c r="Z1455" i="123"/>
  <c r="U1455" i="123"/>
  <c r="Z1436" i="123"/>
  <c r="AC1432" i="123"/>
  <c r="AD1418" i="123"/>
  <c r="AE1418" i="123" s="1"/>
  <c r="U1417" i="123"/>
  <c r="AM1416" i="123"/>
  <c r="AA1416" i="123"/>
  <c r="U1410" i="123"/>
  <c r="AM1386" i="123"/>
  <c r="AA1260" i="123"/>
  <c r="AF1260" i="123" s="1"/>
  <c r="AG1260" i="123" s="1"/>
  <c r="AC1114" i="123"/>
  <c r="AC1062" i="123"/>
  <c r="V1030" i="123"/>
  <c r="U1030" i="123"/>
  <c r="AA984" i="123"/>
  <c r="Z984" i="123"/>
  <c r="S22" i="123"/>
  <c r="AM1013" i="123"/>
  <c r="AM888" i="123"/>
  <c r="AM887" i="123"/>
  <c r="AM819" i="123"/>
  <c r="AA755" i="123"/>
  <c r="AN754" i="123"/>
  <c r="AM735" i="123"/>
  <c r="AM650" i="123"/>
  <c r="AN622" i="123"/>
  <c r="AM598" i="123"/>
  <c r="AM594" i="123"/>
  <c r="AM550" i="123"/>
  <c r="AM542" i="123"/>
  <c r="S387" i="123"/>
  <c r="S352" i="123"/>
  <c r="S317" i="123"/>
  <c r="S304" i="123"/>
  <c r="S260" i="123"/>
  <c r="S101" i="123"/>
  <c r="S97" i="123"/>
  <c r="AC28" i="123"/>
  <c r="S16" i="123"/>
  <c r="AR1077" i="123"/>
  <c r="AS1077" i="123" s="1"/>
  <c r="AR1069" i="123"/>
  <c r="AS1069" i="123" s="1"/>
  <c r="AC1042" i="123"/>
  <c r="AD1041" i="123"/>
  <c r="AE1041" i="123" s="1"/>
  <c r="AM994" i="123"/>
  <c r="AA994" i="123"/>
  <c r="AA993" i="123"/>
  <c r="Z992" i="123"/>
  <c r="U992" i="123"/>
  <c r="AA989" i="123"/>
  <c r="Z974" i="123"/>
  <c r="AA973" i="123"/>
  <c r="AC963" i="123"/>
  <c r="AR951" i="123"/>
  <c r="AS951" i="123" s="1"/>
  <c r="AM944" i="123"/>
  <c r="AM918" i="123"/>
  <c r="AM898" i="123"/>
  <c r="AA898" i="123"/>
  <c r="AF881" i="123"/>
  <c r="AG881" i="123" s="1"/>
  <c r="Z880" i="123"/>
  <c r="AC761" i="123"/>
  <c r="AD760" i="123"/>
  <c r="AE760" i="123" s="1"/>
  <c r="Z758" i="123"/>
  <c r="Z746" i="123"/>
  <c r="Z724" i="123"/>
  <c r="AN718" i="123"/>
  <c r="Z684" i="123"/>
  <c r="AA683" i="123"/>
  <c r="Z682" i="123"/>
  <c r="AR671" i="123"/>
  <c r="AS671" i="123" s="1"/>
  <c r="AM662" i="123"/>
  <c r="AM658" i="123"/>
  <c r="AD655" i="123"/>
  <c r="AE655" i="123" s="1"/>
  <c r="AM651" i="123"/>
  <c r="AM607" i="123"/>
  <c r="AM599" i="123"/>
  <c r="AM595" i="123"/>
  <c r="AM591" i="123"/>
  <c r="AM586" i="123"/>
  <c r="AA583" i="123"/>
  <c r="AA582" i="123"/>
  <c r="AN582" i="123"/>
  <c r="AR579" i="123"/>
  <c r="AS579" i="123" s="1"/>
  <c r="AM561" i="123"/>
  <c r="S535" i="123"/>
  <c r="S503" i="123"/>
  <c r="AD479" i="123"/>
  <c r="AE479" i="123" s="1"/>
  <c r="AA474" i="123"/>
  <c r="Z467" i="123"/>
  <c r="AD463" i="123"/>
  <c r="AE463" i="123" s="1"/>
  <c r="AC452" i="123"/>
  <c r="AC435" i="123"/>
  <c r="S435" i="123"/>
  <c r="S431" i="123"/>
  <c r="Z420" i="123"/>
  <c r="S416" i="123"/>
  <c r="AA410" i="123"/>
  <c r="AD407" i="123"/>
  <c r="AA349" i="123"/>
  <c r="S344" i="123"/>
  <c r="S300" i="123"/>
  <c r="Z285" i="123"/>
  <c r="S273" i="123"/>
  <c r="S257" i="123"/>
  <c r="AD244" i="123"/>
  <c r="AF244" i="123" s="1"/>
  <c r="AF234" i="123"/>
  <c r="AC193" i="123"/>
  <c r="AD178" i="123"/>
  <c r="AF178" i="123" s="1"/>
  <c r="AF59" i="123"/>
  <c r="S55" i="123"/>
  <c r="S52" i="123"/>
  <c r="T52" i="123" s="1"/>
  <c r="AR1028" i="123"/>
  <c r="AS1028" i="123" s="1"/>
  <c r="U996" i="123"/>
  <c r="U980" i="123"/>
  <c r="AC883" i="123"/>
  <c r="AC875" i="123"/>
  <c r="AD828" i="123"/>
  <c r="AR820" i="123"/>
  <c r="AS820" i="123" s="1"/>
  <c r="AR763" i="123"/>
  <c r="AS763" i="123" s="1"/>
  <c r="Z720" i="123"/>
  <c r="AA719" i="123"/>
  <c r="Z708" i="123"/>
  <c r="AA707" i="123"/>
  <c r="Z706" i="123"/>
  <c r="AN706" i="123"/>
  <c r="AR691" i="123"/>
  <c r="AS691" i="123" s="1"/>
  <c r="AM655" i="123"/>
  <c r="AC560" i="123"/>
  <c r="AA503" i="123"/>
  <c r="AC484" i="123"/>
  <c r="AA422" i="123"/>
  <c r="AC386" i="123"/>
  <c r="Z309" i="123"/>
  <c r="Z307" i="123"/>
  <c r="AF257" i="123"/>
  <c r="AD245" i="123"/>
  <c r="AE245" i="123" s="1"/>
  <c r="AD198" i="123"/>
  <c r="AF198" i="123" s="1"/>
  <c r="AD164" i="123"/>
  <c r="AA159" i="123"/>
  <c r="Z132" i="123"/>
  <c r="S123" i="123"/>
  <c r="AA104" i="123"/>
  <c r="AA89" i="123"/>
  <c r="AF55" i="123"/>
  <c r="AF45" i="123"/>
  <c r="AR1970" i="123"/>
  <c r="AS1970" i="123" s="1"/>
  <c r="AM1957" i="123"/>
  <c r="AM1954" i="123"/>
  <c r="AA1954" i="123"/>
  <c r="AR1950" i="123"/>
  <c r="AS1950" i="123" s="1"/>
  <c r="AN1948" i="123"/>
  <c r="AC1947" i="123"/>
  <c r="AD1946" i="123"/>
  <c r="AE1946" i="123" s="1"/>
  <c r="AN1944" i="123"/>
  <c r="AM1905" i="123"/>
  <c r="AD1822" i="123"/>
  <c r="AC1822" i="123"/>
  <c r="AA1799" i="123"/>
  <c r="Z1799" i="123"/>
  <c r="AD1979" i="123"/>
  <c r="AE1979" i="123" s="1"/>
  <c r="AR1978" i="123"/>
  <c r="AS1978" i="123" s="1"/>
  <c r="AN1936" i="123"/>
  <c r="AR1907" i="123"/>
  <c r="AS1907" i="123" s="1"/>
  <c r="AN1904" i="123"/>
  <c r="Z1902" i="123"/>
  <c r="AA1902" i="123"/>
  <c r="AQ1854" i="123"/>
  <c r="AR1854" i="123" s="1"/>
  <c r="AS1854" i="123" s="1"/>
  <c r="AM1850" i="123"/>
  <c r="AC1823" i="123"/>
  <c r="AD1823" i="123"/>
  <c r="AF1823" i="123" s="1"/>
  <c r="AG1823" i="123" s="1"/>
  <c r="Z1800" i="123"/>
  <c r="AA1800" i="123"/>
  <c r="AA1785" i="123"/>
  <c r="Z1785" i="123"/>
  <c r="AM1989" i="123"/>
  <c r="AM1986" i="123"/>
  <c r="AA1986" i="123"/>
  <c r="AN1980" i="123"/>
  <c r="AD1978" i="123"/>
  <c r="AE1978" i="123" s="1"/>
  <c r="AR1938" i="123"/>
  <c r="AS1938" i="123" s="1"/>
  <c r="AM1925" i="123"/>
  <c r="AC1919" i="123"/>
  <c r="AC1907" i="123"/>
  <c r="AA1894" i="123"/>
  <c r="AN1888" i="123"/>
  <c r="AF1887" i="123"/>
  <c r="AG1887" i="123" s="1"/>
  <c r="AC1879" i="123"/>
  <c r="Z1877" i="123"/>
  <c r="AM1857" i="123"/>
  <c r="AD1824" i="123"/>
  <c r="AC1824" i="123"/>
  <c r="AM1823" i="123"/>
  <c r="AA1801" i="123"/>
  <c r="Z1801" i="123"/>
  <c r="AN1968" i="123"/>
  <c r="AM1949" i="123"/>
  <c r="AR1946" i="123"/>
  <c r="AS1946" i="123" s="1"/>
  <c r="AQ1870" i="123"/>
  <c r="AR1870" i="123" s="1"/>
  <c r="AS1870" i="123" s="1"/>
  <c r="Z1843" i="123"/>
  <c r="AA1843" i="123"/>
  <c r="AD1835" i="123"/>
  <c r="AE1835" i="123" s="1"/>
  <c r="AC1834" i="123"/>
  <c r="AR1826" i="123"/>
  <c r="AS1826" i="123" s="1"/>
  <c r="Z1802" i="123"/>
  <c r="AA1802" i="123"/>
  <c r="AM1862" i="123"/>
  <c r="AM1846" i="123"/>
  <c r="AM1834" i="123"/>
  <c r="AM1825" i="123"/>
  <c r="AR1823" i="123"/>
  <c r="AS1823" i="123" s="1"/>
  <c r="AM1818" i="123"/>
  <c r="AD1753" i="123"/>
  <c r="AE1753" i="123" s="1"/>
  <c r="AR1734" i="123"/>
  <c r="AS1734" i="123" s="1"/>
  <c r="AN1704" i="123"/>
  <c r="W1703" i="123"/>
  <c r="AM1681" i="123"/>
  <c r="AF1679" i="123"/>
  <c r="AG1679" i="123" s="1"/>
  <c r="AA1637" i="123"/>
  <c r="AR1630" i="123"/>
  <c r="AS1630" i="123" s="1"/>
  <c r="AA1625" i="123"/>
  <c r="AD1621" i="123"/>
  <c r="AE1621" i="123" s="1"/>
  <c r="AR1595" i="123"/>
  <c r="AS1595" i="123" s="1"/>
  <c r="AD1577" i="123"/>
  <c r="AR1564" i="123"/>
  <c r="AS1564" i="123" s="1"/>
  <c r="AD1560" i="123"/>
  <c r="AE1560" i="123" s="1"/>
  <c r="AM1551" i="123"/>
  <c r="AM1547" i="123"/>
  <c r="AF1540" i="123"/>
  <c r="AH1540" i="123" s="1"/>
  <c r="AR1531" i="123"/>
  <c r="AS1531" i="123" s="1"/>
  <c r="AR1529" i="123"/>
  <c r="AS1529" i="123" s="1"/>
  <c r="AN1526" i="123"/>
  <c r="AR1514" i="123"/>
  <c r="AS1514" i="123" s="1"/>
  <c r="AM1498" i="123"/>
  <c r="AR1497" i="123"/>
  <c r="AS1497" i="123" s="1"/>
  <c r="AA1493" i="123"/>
  <c r="AM1489" i="123"/>
  <c r="AM1471" i="123"/>
  <c r="AR1468" i="123"/>
  <c r="AS1468" i="123" s="1"/>
  <c r="AM1447" i="123"/>
  <c r="AR1429" i="123"/>
  <c r="AS1429" i="123" s="1"/>
  <c r="AR1428" i="123"/>
  <c r="AS1428" i="123" s="1"/>
  <c r="AR1424" i="123"/>
  <c r="AS1424" i="123" s="1"/>
  <c r="AM1408" i="123"/>
  <c r="AD1399" i="123"/>
  <c r="AE1399" i="123" s="1"/>
  <c r="AM1394" i="123"/>
  <c r="AM1385" i="123"/>
  <c r="AM1380" i="123"/>
  <c r="AR1379" i="123"/>
  <c r="AS1379" i="123" s="1"/>
  <c r="AM1377" i="123"/>
  <c r="AM1364" i="123"/>
  <c r="AR1342" i="123"/>
  <c r="AS1342" i="123" s="1"/>
  <c r="AM1329" i="123"/>
  <c r="AR1328" i="123"/>
  <c r="AS1328" i="123" s="1"/>
  <c r="AM1326" i="123"/>
  <c r="AM1316" i="123"/>
  <c r="AR1309" i="123"/>
  <c r="AS1309" i="123" s="1"/>
  <c r="AM1274" i="123"/>
  <c r="AM1265" i="123"/>
  <c r="AM1230" i="123"/>
  <c r="AM1186" i="123"/>
  <c r="AF1903" i="123"/>
  <c r="AG1903" i="123" s="1"/>
  <c r="U1875" i="123"/>
  <c r="AM1854" i="123"/>
  <c r="AM1848" i="123"/>
  <c r="AR1847" i="123"/>
  <c r="AS1847" i="123" s="1"/>
  <c r="AM1830" i="123"/>
  <c r="AR1828" i="123"/>
  <c r="AS1828" i="123" s="1"/>
  <c r="AN1801" i="123"/>
  <c r="AM1799" i="123"/>
  <c r="U1799" i="123"/>
  <c r="AR1772" i="123"/>
  <c r="AS1772" i="123" s="1"/>
  <c r="AR1771" i="123"/>
  <c r="AS1771" i="123" s="1"/>
  <c r="U1752" i="123"/>
  <c r="AD1734" i="123"/>
  <c r="AF1734" i="123" s="1"/>
  <c r="Z1718" i="123"/>
  <c r="AA1717" i="123"/>
  <c r="AM1716" i="123"/>
  <c r="AA1716" i="123"/>
  <c r="AM1691" i="123"/>
  <c r="AR1686" i="123"/>
  <c r="AS1686" i="123" s="1"/>
  <c r="AN1685" i="123"/>
  <c r="AR1682" i="123"/>
  <c r="AS1682" i="123" s="1"/>
  <c r="Z1679" i="123"/>
  <c r="AD1670" i="123"/>
  <c r="AM1642" i="123"/>
  <c r="AC1641" i="123"/>
  <c r="AM1632" i="123"/>
  <c r="Z1624" i="123"/>
  <c r="W1612" i="123"/>
  <c r="U1610" i="123"/>
  <c r="Z1609" i="123"/>
  <c r="AF1605" i="123"/>
  <c r="AG1605" i="123" s="1"/>
  <c r="AC1598" i="123"/>
  <c r="AD1597" i="123"/>
  <c r="AF1597" i="123" s="1"/>
  <c r="AG1597" i="123" s="1"/>
  <c r="U1596" i="123"/>
  <c r="AM1584" i="123"/>
  <c r="AM1577" i="123"/>
  <c r="AM1554" i="123"/>
  <c r="AM1552" i="123"/>
  <c r="Z1540" i="123"/>
  <c r="AR1533" i="123"/>
  <c r="AS1533" i="123" s="1"/>
  <c r="AR1532" i="123"/>
  <c r="AS1532" i="123" s="1"/>
  <c r="AD1531" i="123"/>
  <c r="AA1527" i="123"/>
  <c r="AM1526" i="123"/>
  <c r="AM1524" i="123"/>
  <c r="AM1518" i="123"/>
  <c r="Z1517" i="123"/>
  <c r="AM1516" i="123"/>
  <c r="AA1516" i="123"/>
  <c r="AD1514" i="123"/>
  <c r="AE1514" i="123" s="1"/>
  <c r="AM1511" i="123"/>
  <c r="AM1507" i="123"/>
  <c r="AQ1500" i="123"/>
  <c r="AR1500" i="123" s="1"/>
  <c r="AS1500" i="123" s="1"/>
  <c r="AR1498" i="123"/>
  <c r="AS1498" i="123" s="1"/>
  <c r="U1493" i="123"/>
  <c r="AM1490" i="123"/>
  <c r="AR1478" i="123"/>
  <c r="AS1478" i="123" s="1"/>
  <c r="AR1477" i="123"/>
  <c r="AS1477" i="123" s="1"/>
  <c r="AR1475" i="123"/>
  <c r="AS1475" i="123" s="1"/>
  <c r="AR1472" i="123"/>
  <c r="AS1472" i="123" s="1"/>
  <c r="AD1469" i="123"/>
  <c r="AE1469" i="123" s="1"/>
  <c r="AM1461" i="123"/>
  <c r="AM1450" i="123"/>
  <c r="AQ1448" i="123"/>
  <c r="AR1448" i="123" s="1"/>
  <c r="AS1448" i="123" s="1"/>
  <c r="AR1447" i="123"/>
  <c r="AS1447" i="123" s="1"/>
  <c r="AM1438" i="123"/>
  <c r="AC1426" i="123"/>
  <c r="AM1418" i="123"/>
  <c r="AR1416" i="123"/>
  <c r="AS1416" i="123" s="1"/>
  <c r="AM1412" i="123"/>
  <c r="AA1412" i="123"/>
  <c r="AF1412" i="123" s="1"/>
  <c r="AM1405" i="123"/>
  <c r="AM1404" i="123"/>
  <c r="AM1399" i="123"/>
  <c r="AR1395" i="123"/>
  <c r="AS1395" i="123" s="1"/>
  <c r="AD1390" i="123"/>
  <c r="AF1390" i="123" s="1"/>
  <c r="AN1384" i="123"/>
  <c r="AD1382" i="123"/>
  <c r="AE1382" i="123" s="1"/>
  <c r="AD1381" i="123"/>
  <c r="AE1381" i="123" s="1"/>
  <c r="AR1372" i="123"/>
  <c r="AS1372" i="123" s="1"/>
  <c r="Z1368" i="123"/>
  <c r="Z1361" i="123"/>
  <c r="Z1356" i="123"/>
  <c r="AN1356" i="123"/>
  <c r="AM1354" i="123"/>
  <c r="AR1353" i="123"/>
  <c r="AS1353" i="123" s="1"/>
  <c r="U1351" i="123"/>
  <c r="AA1347" i="123"/>
  <c r="AN1347" i="123"/>
  <c r="AM1331" i="123"/>
  <c r="AC1327" i="123"/>
  <c r="AR1325" i="123"/>
  <c r="AS1325" i="123" s="1"/>
  <c r="AA1322" i="123"/>
  <c r="U1321" i="123"/>
  <c r="AA1320" i="123"/>
  <c r="AN1320" i="123"/>
  <c r="AD1319" i="123"/>
  <c r="AE1319" i="123" s="1"/>
  <c r="AR1316" i="123"/>
  <c r="AS1316" i="123" s="1"/>
  <c r="Z1313" i="123"/>
  <c r="Z1305" i="123"/>
  <c r="AM1299" i="123"/>
  <c r="AA1299" i="123"/>
  <c r="AC1298" i="123"/>
  <c r="AA1296" i="123"/>
  <c r="AM1286" i="123"/>
  <c r="AM1285" i="123"/>
  <c r="AM1284" i="123"/>
  <c r="AM1280" i="123"/>
  <c r="Z1253" i="123"/>
  <c r="AA1252" i="123"/>
  <c r="AC1242" i="123"/>
  <c r="AM1217" i="123"/>
  <c r="AM1206" i="123"/>
  <c r="AD1196" i="123"/>
  <c r="AE1196" i="123" s="1"/>
  <c r="AC1184" i="123"/>
  <c r="AM1176" i="123"/>
  <c r="AC1174" i="123"/>
  <c r="AD1138" i="123"/>
  <c r="AC1138" i="123"/>
  <c r="AD1164" i="123"/>
  <c r="AC1164" i="123"/>
  <c r="U1791" i="123"/>
  <c r="AM1784" i="123"/>
  <c r="AM1780" i="123"/>
  <c r="U1712" i="123"/>
  <c r="AM1705" i="123"/>
  <c r="U1703" i="123"/>
  <c r="AM1702" i="123"/>
  <c r="AM1685" i="123"/>
  <c r="AR1679" i="123"/>
  <c r="AS1679" i="123" s="1"/>
  <c r="AM1678" i="123"/>
  <c r="AM1674" i="123"/>
  <c r="AM1636" i="123"/>
  <c r="AQ1621" i="123"/>
  <c r="AR1621" i="123" s="1"/>
  <c r="AS1621" i="123" s="1"/>
  <c r="AN1621" i="123"/>
  <c r="AM1617" i="123"/>
  <c r="AM1588" i="123"/>
  <c r="AM1587" i="123"/>
  <c r="AM1576" i="123"/>
  <c r="AM1564" i="123"/>
  <c r="AM1563" i="123"/>
  <c r="AR1560" i="123"/>
  <c r="AS1560" i="123" s="1"/>
  <c r="AM1559" i="123"/>
  <c r="AM1545" i="123"/>
  <c r="U1536" i="123"/>
  <c r="AM1531" i="123"/>
  <c r="AM1528" i="123"/>
  <c r="AR1516" i="123"/>
  <c r="AS1516" i="123" s="1"/>
  <c r="AM1515" i="123"/>
  <c r="AM1514" i="123"/>
  <c r="AM1513" i="123"/>
  <c r="AM1504" i="123"/>
  <c r="AM1497" i="123"/>
  <c r="AM1496" i="123"/>
  <c r="U1492" i="123"/>
  <c r="AM1488" i="123"/>
  <c r="AM1468" i="123"/>
  <c r="AM1467" i="123"/>
  <c r="AM1463" i="123"/>
  <c r="U1458" i="123"/>
  <c r="AM1424" i="123"/>
  <c r="AM1423" i="123"/>
  <c r="AQ1412" i="123"/>
  <c r="AR1412" i="123" s="1"/>
  <c r="AS1412" i="123" s="1"/>
  <c r="AM1398" i="123"/>
  <c r="AM1390" i="123"/>
  <c r="AM1388" i="123"/>
  <c r="AM1352" i="123"/>
  <c r="AM1327" i="123"/>
  <c r="AR1319" i="123"/>
  <c r="AS1319" i="123" s="1"/>
  <c r="AM1298" i="123"/>
  <c r="AM1297" i="123"/>
  <c r="AM1273" i="123"/>
  <c r="AM1264" i="123"/>
  <c r="AM1248" i="123"/>
  <c r="AM1225" i="123"/>
  <c r="AM1174" i="123"/>
  <c r="AR869" i="123"/>
  <c r="AS869" i="123" s="1"/>
  <c r="AC863" i="123"/>
  <c r="Z854" i="123"/>
  <c r="AA831" i="123"/>
  <c r="AM830" i="123"/>
  <c r="AM829" i="123"/>
  <c r="AM827" i="123"/>
  <c r="Z820" i="123"/>
  <c r="AD819" i="123"/>
  <c r="AE819" i="123" s="1"/>
  <c r="AM795" i="123"/>
  <c r="Z782" i="123"/>
  <c r="AC781" i="123"/>
  <c r="AM771" i="123"/>
  <c r="AD764" i="123"/>
  <c r="AF764" i="123" s="1"/>
  <c r="AM761" i="123"/>
  <c r="Z751" i="123"/>
  <c r="AD747" i="123"/>
  <c r="AE747" i="123" s="1"/>
  <c r="AR728" i="123"/>
  <c r="AS728" i="123" s="1"/>
  <c r="AR727" i="123"/>
  <c r="AS727" i="123" s="1"/>
  <c r="AC709" i="123"/>
  <c r="Z687" i="123"/>
  <c r="AR660" i="123"/>
  <c r="AS660" i="123" s="1"/>
  <c r="AR648" i="123"/>
  <c r="AS648" i="123" s="1"/>
  <c r="AC639" i="123"/>
  <c r="AR627" i="123"/>
  <c r="AS627" i="123" s="1"/>
  <c r="AA619" i="123"/>
  <c r="Z591" i="123"/>
  <c r="AN590" i="123"/>
  <c r="Z579" i="123"/>
  <c r="AA579" i="123"/>
  <c r="AD437" i="123"/>
  <c r="AC437" i="123"/>
  <c r="AC424" i="123"/>
  <c r="AD424" i="123"/>
  <c r="AF424" i="123" s="1"/>
  <c r="AA416" i="123"/>
  <c r="Z416" i="123"/>
  <c r="Z312" i="123"/>
  <c r="AA312" i="123"/>
  <c r="Z300" i="123"/>
  <c r="AA300" i="123"/>
  <c r="AC276" i="123"/>
  <c r="AD276" i="123"/>
  <c r="AF276" i="123" s="1"/>
  <c r="AM1064" i="123"/>
  <c r="AM1036" i="123"/>
  <c r="AM1008" i="123"/>
  <c r="AR967" i="123"/>
  <c r="AS967" i="123" s="1"/>
  <c r="AR963" i="123"/>
  <c r="AS963" i="123" s="1"/>
  <c r="U953" i="123"/>
  <c r="AM943" i="123"/>
  <c r="AR932" i="123"/>
  <c r="AS932" i="123" s="1"/>
  <c r="AC917" i="123"/>
  <c r="AF897" i="123"/>
  <c r="AD859" i="123"/>
  <c r="AE859" i="123" s="1"/>
  <c r="AM747" i="123"/>
  <c r="Z744" i="123"/>
  <c r="AM574" i="123"/>
  <c r="AC531" i="123"/>
  <c r="AD531" i="123"/>
  <c r="Z378" i="123"/>
  <c r="AA378" i="123"/>
  <c r="AC346" i="123"/>
  <c r="AD346" i="123"/>
  <c r="AF346" i="123" s="1"/>
  <c r="AC342" i="123"/>
  <c r="AD342" i="123"/>
  <c r="AF342" i="123" s="1"/>
  <c r="AM1160" i="123"/>
  <c r="AM1156" i="123"/>
  <c r="U1151" i="123"/>
  <c r="AA1149" i="123"/>
  <c r="Z1133" i="123"/>
  <c r="AC1118" i="123"/>
  <c r="AA1116" i="123"/>
  <c r="AA1115" i="123"/>
  <c r="U1115" i="123"/>
  <c r="AD1113" i="123"/>
  <c r="AE1113" i="123" s="1"/>
  <c r="AR1109" i="123"/>
  <c r="AS1109" i="123" s="1"/>
  <c r="Z1105" i="123"/>
  <c r="AC1104" i="123"/>
  <c r="AR1103" i="123"/>
  <c r="AS1103" i="123" s="1"/>
  <c r="Z1093" i="123"/>
  <c r="AA1087" i="123"/>
  <c r="U1083" i="123"/>
  <c r="AA1075" i="123"/>
  <c r="AN1040" i="123"/>
  <c r="AQ1009" i="123"/>
  <c r="AR1009" i="123" s="1"/>
  <c r="AS1009" i="123" s="1"/>
  <c r="AR979" i="123"/>
  <c r="AS979" i="123" s="1"/>
  <c r="AR971" i="123"/>
  <c r="AS971" i="123" s="1"/>
  <c r="AC967" i="123"/>
  <c r="AF900" i="123"/>
  <c r="AG900" i="123" s="1"/>
  <c r="AR887" i="123"/>
  <c r="AS887" i="123" s="1"/>
  <c r="AR875" i="123"/>
  <c r="AS875" i="123" s="1"/>
  <c r="AR873" i="123"/>
  <c r="AS873" i="123" s="1"/>
  <c r="AQ750" i="123"/>
  <c r="AR750" i="123" s="1"/>
  <c r="AS750" i="123" s="1"/>
  <c r="AM670" i="123"/>
  <c r="AM659" i="123"/>
  <c r="AM647" i="123"/>
  <c r="AM639" i="123"/>
  <c r="AM638" i="123"/>
  <c r="AM634" i="123"/>
  <c r="AM608" i="123"/>
  <c r="AM600" i="123"/>
  <c r="AM596" i="123"/>
  <c r="AM592" i="123"/>
  <c r="AC588" i="123"/>
  <c r="AD588" i="123"/>
  <c r="Z427" i="123"/>
  <c r="AA427" i="123"/>
  <c r="AD380" i="123"/>
  <c r="AC380" i="123"/>
  <c r="AD304" i="123"/>
  <c r="AF304" i="123" s="1"/>
  <c r="AC304" i="123"/>
  <c r="Z275" i="123"/>
  <c r="AA275" i="123"/>
  <c r="AR1137" i="123"/>
  <c r="AS1137" i="123" s="1"/>
  <c r="U1123" i="123"/>
  <c r="U1119" i="123"/>
  <c r="AR1106" i="123"/>
  <c r="AS1106" i="123" s="1"/>
  <c r="AR1102" i="123"/>
  <c r="AS1102" i="123" s="1"/>
  <c r="AN1096" i="123"/>
  <c r="AA1095" i="123"/>
  <c r="Z1085" i="123"/>
  <c r="AC1070" i="123"/>
  <c r="AR1065" i="123"/>
  <c r="AS1065" i="123" s="1"/>
  <c r="AM1055" i="123"/>
  <c r="AR1053" i="123"/>
  <c r="AS1053" i="123" s="1"/>
  <c r="Z1049" i="123"/>
  <c r="AR1045" i="123"/>
  <c r="AS1045" i="123" s="1"/>
  <c r="AD1037" i="123"/>
  <c r="Z1018" i="123"/>
  <c r="AM1010" i="123"/>
  <c r="Z1010" i="123"/>
  <c r="AC1008" i="123"/>
  <c r="AD1000" i="123"/>
  <c r="AF1000" i="123" s="1"/>
  <c r="AG1000" i="123" s="1"/>
  <c r="AR990" i="123"/>
  <c r="AS990" i="123" s="1"/>
  <c r="AC985" i="123"/>
  <c r="AM982" i="123"/>
  <c r="AM978" i="123"/>
  <c r="AC971" i="123"/>
  <c r="Z966" i="123"/>
  <c r="AA965" i="123"/>
  <c r="AC943" i="123"/>
  <c r="AA927" i="123"/>
  <c r="AM925" i="123"/>
  <c r="AM917" i="123"/>
  <c r="AM916" i="123"/>
  <c r="AR911" i="123"/>
  <c r="AS911" i="123" s="1"/>
  <c r="AM908" i="123"/>
  <c r="AR907" i="123"/>
  <c r="AS907" i="123" s="1"/>
  <c r="Z900" i="123"/>
  <c r="AR896" i="123"/>
  <c r="AS896" i="123" s="1"/>
  <c r="AM884" i="123"/>
  <c r="AM883" i="123"/>
  <c r="AA883" i="123"/>
  <c r="AM882" i="123"/>
  <c r="AA882" i="123"/>
  <c r="AM835" i="123"/>
  <c r="AM826" i="123"/>
  <c r="AM822" i="123"/>
  <c r="AF820" i="123"/>
  <c r="AG820" i="123" s="1"/>
  <c r="AM811" i="123"/>
  <c r="AM769" i="123"/>
  <c r="AM765" i="123"/>
  <c r="U725" i="123"/>
  <c r="AM710" i="123"/>
  <c r="AC695" i="123"/>
  <c r="AM687" i="123"/>
  <c r="AC675" i="123"/>
  <c r="AM640" i="123"/>
  <c r="AR639" i="123"/>
  <c r="AS639" i="123" s="1"/>
  <c r="AM635" i="123"/>
  <c r="AA611" i="123"/>
  <c r="AA563" i="123"/>
  <c r="Z563" i="123"/>
  <c r="Z446" i="123"/>
  <c r="AA446" i="123"/>
  <c r="AD429" i="123"/>
  <c r="AC429" i="123"/>
  <c r="Z332" i="123"/>
  <c r="AA332" i="123"/>
  <c r="AR616" i="123"/>
  <c r="AS616" i="123" s="1"/>
  <c r="AM615" i="123"/>
  <c r="AM611" i="123"/>
  <c r="AR588" i="123"/>
  <c r="AS588" i="123" s="1"/>
  <c r="AR587" i="123"/>
  <c r="AS587" i="123" s="1"/>
  <c r="AR580" i="123"/>
  <c r="AS580" i="123" s="1"/>
  <c r="AN578" i="123"/>
  <c r="AR568" i="123"/>
  <c r="AS568" i="123" s="1"/>
  <c r="AD564" i="123"/>
  <c r="AE564" i="123" s="1"/>
  <c r="AQ562" i="123"/>
  <c r="AR562" i="123" s="1"/>
  <c r="AS562" i="123" s="1"/>
  <c r="AM549" i="123"/>
  <c r="U546" i="123"/>
  <c r="AC542" i="123"/>
  <c r="AM538" i="123"/>
  <c r="AM534" i="123"/>
  <c r="AA533" i="123"/>
  <c r="S527" i="123"/>
  <c r="AC492" i="123"/>
  <c r="AA482" i="123"/>
  <c r="AF455" i="123"/>
  <c r="AD448" i="123"/>
  <c r="AE448" i="123" s="1"/>
  <c r="AA447" i="123"/>
  <c r="AD444" i="123"/>
  <c r="AF444" i="123" s="1"/>
  <c r="Z439" i="123"/>
  <c r="AC425" i="123"/>
  <c r="S423" i="123"/>
  <c r="AC419" i="123"/>
  <c r="Z415" i="123"/>
  <c r="AC400" i="123"/>
  <c r="AA389" i="123"/>
  <c r="AC370" i="123"/>
  <c r="Z368" i="123"/>
  <c r="AA344" i="123"/>
  <c r="AA319" i="123"/>
  <c r="AD316" i="123"/>
  <c r="AE316" i="123" s="1"/>
  <c r="AC310" i="123"/>
  <c r="S310" i="123"/>
  <c r="AA283" i="123"/>
  <c r="AF280" i="123"/>
  <c r="AA260" i="123"/>
  <c r="Z252" i="123"/>
  <c r="AC153" i="123"/>
  <c r="S132" i="123"/>
  <c r="S119" i="123"/>
  <c r="AA117" i="123"/>
  <c r="AD105" i="123"/>
  <c r="AF105" i="123" s="1"/>
  <c r="AD82" i="123"/>
  <c r="AE82" i="123" s="1"/>
  <c r="AD81" i="123"/>
  <c r="AF81" i="123" s="1"/>
  <c r="S76" i="123"/>
  <c r="S64" i="123"/>
  <c r="S60" i="123"/>
  <c r="AF41" i="123"/>
  <c r="AD35" i="123"/>
  <c r="AF35" i="123" s="1"/>
  <c r="AA26" i="123"/>
  <c r="S25" i="123"/>
  <c r="T25" i="123" s="1"/>
  <c r="AC20" i="123"/>
  <c r="AA19" i="123"/>
  <c r="AC9" i="123"/>
  <c r="AR575" i="123"/>
  <c r="AS575" i="123" s="1"/>
  <c r="AM566" i="123"/>
  <c r="AA566" i="123"/>
  <c r="AA547" i="123"/>
  <c r="AC534" i="123"/>
  <c r="Z423" i="123"/>
  <c r="AD420" i="123"/>
  <c r="AF416" i="123"/>
  <c r="AC390" i="123"/>
  <c r="AA376" i="123"/>
  <c r="AA373" i="123"/>
  <c r="AD358" i="123"/>
  <c r="AF358" i="123" s="1"/>
  <c r="AC355" i="123"/>
  <c r="AD345" i="123"/>
  <c r="AE345" i="123" s="1"/>
  <c r="AC329" i="123"/>
  <c r="AD320" i="123"/>
  <c r="AE320" i="123" s="1"/>
  <c r="AF318" i="123"/>
  <c r="AF310" i="123"/>
  <c r="AF262" i="123"/>
  <c r="AA234" i="123"/>
  <c r="S189" i="123"/>
  <c r="AF134" i="123"/>
  <c r="AF119" i="123"/>
  <c r="AD106" i="123"/>
  <c r="AE106" i="123" s="1"/>
  <c r="S96" i="123"/>
  <c r="T96" i="123" s="1"/>
  <c r="AF76" i="123"/>
  <c r="AF66" i="123"/>
  <c r="AF27" i="123"/>
  <c r="AF18" i="123"/>
  <c r="S495" i="123"/>
  <c r="AF467" i="123"/>
  <c r="S309" i="123"/>
  <c r="S276" i="123"/>
  <c r="Z257" i="123"/>
  <c r="AF242" i="123"/>
  <c r="AA236" i="123"/>
  <c r="S229" i="123"/>
  <c r="S197" i="123"/>
  <c r="AC195" i="123"/>
  <c r="AC191" i="123"/>
  <c r="AA189" i="123"/>
  <c r="S151" i="123"/>
  <c r="S147" i="123"/>
  <c r="AC143" i="123"/>
  <c r="AD124" i="123"/>
  <c r="AF124" i="123" s="1"/>
  <c r="S121" i="123"/>
  <c r="AC65" i="123"/>
  <c r="AD26" i="123"/>
  <c r="AE26" i="123" s="1"/>
  <c r="AA22" i="123"/>
  <c r="AC19" i="123"/>
  <c r="AC10" i="123"/>
  <c r="Z9" i="123"/>
  <c r="V1499" i="123"/>
  <c r="U1499" i="123"/>
  <c r="V1545" i="123"/>
  <c r="U1545" i="123"/>
  <c r="V1547" i="123"/>
  <c r="U1547" i="123"/>
  <c r="AR1534" i="123"/>
  <c r="AS1534" i="123" s="1"/>
  <c r="AM1866" i="123"/>
  <c r="AD1844" i="123"/>
  <c r="AE1844" i="123" s="1"/>
  <c r="AA1834" i="123"/>
  <c r="Z1833" i="123"/>
  <c r="AN1833" i="123"/>
  <c r="AM1822" i="123"/>
  <c r="AD1819" i="123"/>
  <c r="AE1819" i="123" s="1"/>
  <c r="AC1818" i="123"/>
  <c r="AM1814" i="123"/>
  <c r="AR1808" i="123"/>
  <c r="AS1808" i="123" s="1"/>
  <c r="U1807" i="123"/>
  <c r="Z1803" i="123"/>
  <c r="AN1797" i="123"/>
  <c r="AC1751" i="123"/>
  <c r="AD1750" i="123"/>
  <c r="AF1750" i="123" s="1"/>
  <c r="AM1616" i="123"/>
  <c r="AM1608" i="123"/>
  <c r="AM1594" i="123"/>
  <c r="U1588" i="123"/>
  <c r="AQ1584" i="123"/>
  <c r="AR1584" i="123" s="1"/>
  <c r="AS1584" i="123" s="1"/>
  <c r="AM1574" i="123"/>
  <c r="AM1567" i="123"/>
  <c r="AM1566" i="123"/>
  <c r="AR1551" i="123"/>
  <c r="AS1551" i="123" s="1"/>
  <c r="AC1546" i="123"/>
  <c r="AC1544" i="123"/>
  <c r="AN1540" i="123"/>
  <c r="AM1538" i="123"/>
  <c r="AC1538" i="123"/>
  <c r="AQ1537" i="123"/>
  <c r="AR1537" i="123" s="1"/>
  <c r="AS1537" i="123" s="1"/>
  <c r="U1535" i="123"/>
  <c r="AC1526" i="123"/>
  <c r="AN1523" i="123"/>
  <c r="AN1515" i="123"/>
  <c r="AR1505" i="123"/>
  <c r="AS1505" i="123" s="1"/>
  <c r="AN1497" i="123"/>
  <c r="AQ1492" i="123"/>
  <c r="AR1492" i="123" s="1"/>
  <c r="AS1492" i="123" s="1"/>
  <c r="AM1480" i="123"/>
  <c r="AM1478" i="123"/>
  <c r="AM1477" i="123"/>
  <c r="AM1476" i="123"/>
  <c r="AM1475" i="123"/>
  <c r="AD1474" i="123"/>
  <c r="AE1474" i="123" s="1"/>
  <c r="Z1472" i="123"/>
  <c r="AA1471" i="123"/>
  <c r="AN1470" i="123"/>
  <c r="AD1463" i="123"/>
  <c r="AR1462" i="123"/>
  <c r="AS1462" i="123" s="1"/>
  <c r="AC1461" i="123"/>
  <c r="AR1460" i="123"/>
  <c r="AS1460" i="123" s="1"/>
  <c r="Z1459" i="123"/>
  <c r="AM1456" i="123"/>
  <c r="AR1453" i="123"/>
  <c r="AS1453" i="123" s="1"/>
  <c r="Z1452" i="123"/>
  <c r="U1452" i="123"/>
  <c r="V1448" i="123"/>
  <c r="W1448" i="123"/>
  <c r="AN1448" i="123" s="1"/>
  <c r="Z1445" i="123"/>
  <c r="AA1445" i="123"/>
  <c r="AC1421" i="123"/>
  <c r="AD1421" i="123"/>
  <c r="AC1417" i="123"/>
  <c r="AD1417" i="123"/>
  <c r="AM1993" i="123"/>
  <c r="AM1973" i="123"/>
  <c r="AM1972" i="123"/>
  <c r="AM1971" i="123"/>
  <c r="AM1961" i="123"/>
  <c r="AM1960" i="123"/>
  <c r="AM1959" i="123"/>
  <c r="AM1941" i="123"/>
  <c r="AM1940" i="123"/>
  <c r="AM1939" i="123"/>
  <c r="AM1929" i="123"/>
  <c r="AM1928" i="123"/>
  <c r="AM1927" i="123"/>
  <c r="AM1921" i="123"/>
  <c r="AM1906" i="123"/>
  <c r="AM1863" i="123"/>
  <c r="AA1863" i="123"/>
  <c r="AR1860" i="123"/>
  <c r="AS1860" i="123" s="1"/>
  <c r="AM1840" i="123"/>
  <c r="AM1838" i="123"/>
  <c r="AA1827" i="123"/>
  <c r="AQ1822" i="123"/>
  <c r="AR1822" i="123" s="1"/>
  <c r="AS1822" i="123" s="1"/>
  <c r="AR1814" i="123"/>
  <c r="AS1814" i="123" s="1"/>
  <c r="AM1747" i="123"/>
  <c r="AM1733" i="123"/>
  <c r="AM1676" i="123"/>
  <c r="AM1673" i="123"/>
  <c r="AM1666" i="123"/>
  <c r="AM1662" i="123"/>
  <c r="AR1643" i="123"/>
  <c r="AS1643" i="123" s="1"/>
  <c r="AR1638" i="123"/>
  <c r="AS1638" i="123" s="1"/>
  <c r="AN1636" i="123"/>
  <c r="AQ1632" i="123"/>
  <c r="AR1632" i="123" s="1"/>
  <c r="AS1632" i="123" s="1"/>
  <c r="AM1628" i="123"/>
  <c r="AM1619" i="123"/>
  <c r="AQ1616" i="123"/>
  <c r="AR1616" i="123" s="1"/>
  <c r="AS1616" i="123" s="1"/>
  <c r="AM1604" i="123"/>
  <c r="AM1600" i="123"/>
  <c r="AQ1599" i="123"/>
  <c r="AR1599" i="123" s="1"/>
  <c r="AS1599" i="123" s="1"/>
  <c r="AM1598" i="123"/>
  <c r="AM1591" i="123"/>
  <c r="Z1588" i="123"/>
  <c r="AA1583" i="123"/>
  <c r="AR1580" i="123"/>
  <c r="AS1580" i="123" s="1"/>
  <c r="AM1575" i="123"/>
  <c r="AR1574" i="123"/>
  <c r="AS1574" i="123" s="1"/>
  <c r="AD1572" i="123"/>
  <c r="AE1572" i="123" s="1"/>
  <c r="AD1568" i="123"/>
  <c r="AE1568" i="123" s="1"/>
  <c r="AM1555" i="123"/>
  <c r="AM1550" i="123"/>
  <c r="AQ1548" i="123"/>
  <c r="AR1548" i="123" s="1"/>
  <c r="AS1548" i="123" s="1"/>
  <c r="AM1521" i="123"/>
  <c r="AM1519" i="123"/>
  <c r="AM1517" i="123"/>
  <c r="AQ1512" i="123"/>
  <c r="AR1512" i="123" s="1"/>
  <c r="AS1512" i="123" s="1"/>
  <c r="AM1510" i="123"/>
  <c r="AM1503" i="123"/>
  <c r="AD1491" i="123"/>
  <c r="AE1491" i="123" s="1"/>
  <c r="AR1490" i="123"/>
  <c r="AS1490" i="123" s="1"/>
  <c r="AR1489" i="123"/>
  <c r="AS1489" i="123" s="1"/>
  <c r="AM1486" i="123"/>
  <c r="AM1485" i="123"/>
  <c r="AM1484" i="123"/>
  <c r="AR1482" i="123"/>
  <c r="AS1482" i="123" s="1"/>
  <c r="AR1481" i="123"/>
  <c r="AS1481" i="123" s="1"/>
  <c r="AQ1480" i="123"/>
  <c r="AR1480" i="123" s="1"/>
  <c r="AS1480" i="123" s="1"/>
  <c r="U1465" i="123"/>
  <c r="AA1448" i="123"/>
  <c r="Z1448" i="123"/>
  <c r="Z1446" i="123"/>
  <c r="AA1446" i="123"/>
  <c r="AR1444" i="123"/>
  <c r="AS1444" i="123" s="1"/>
  <c r="Z1442" i="123"/>
  <c r="AA1442" i="123"/>
  <c r="Z1433" i="123"/>
  <c r="AA1433" i="123"/>
  <c r="AM1992" i="123"/>
  <c r="AM1999" i="123"/>
  <c r="AR1998" i="123"/>
  <c r="AS1998" i="123" s="1"/>
  <c r="AQ1993" i="123"/>
  <c r="AR1993" i="123" s="1"/>
  <c r="AS1993" i="123" s="1"/>
  <c r="AR1992" i="123"/>
  <c r="AS1992" i="123" s="1"/>
  <c r="AR1991" i="123"/>
  <c r="AS1991" i="123" s="1"/>
  <c r="AQ1989" i="123"/>
  <c r="AR1989" i="123" s="1"/>
  <c r="AS1989" i="123" s="1"/>
  <c r="AQ1961" i="123"/>
  <c r="AR1961" i="123" s="1"/>
  <c r="AS1961" i="123" s="1"/>
  <c r="AR1960" i="123"/>
  <c r="AS1960" i="123" s="1"/>
  <c r="AR1959" i="123"/>
  <c r="AS1959" i="123" s="1"/>
  <c r="AR1940" i="123"/>
  <c r="AS1940" i="123" s="1"/>
  <c r="AQ1929" i="123"/>
  <c r="AR1929" i="123" s="1"/>
  <c r="AS1929" i="123" s="1"/>
  <c r="AR1927" i="123"/>
  <c r="AS1927" i="123" s="1"/>
  <c r="AN1920" i="123"/>
  <c r="AF1899" i="123"/>
  <c r="AG1899" i="123" s="1"/>
  <c r="AA1898" i="123"/>
  <c r="AR1895" i="123"/>
  <c r="AS1895" i="123" s="1"/>
  <c r="AR1887" i="123"/>
  <c r="AS1887" i="123" s="1"/>
  <c r="AC1883" i="123"/>
  <c r="AR1879" i="123"/>
  <c r="AS1879" i="123" s="1"/>
  <c r="AM1873" i="123"/>
  <c r="AC1866" i="123"/>
  <c r="AN1865" i="123"/>
  <c r="AA1859" i="123"/>
  <c r="AA1858" i="123"/>
  <c r="AC1852" i="123"/>
  <c r="AD1851" i="123"/>
  <c r="AE1851" i="123" s="1"/>
  <c r="AR1840" i="123"/>
  <c r="AS1840" i="123" s="1"/>
  <c r="AR1839" i="123"/>
  <c r="AS1839" i="123" s="1"/>
  <c r="AR1836" i="123"/>
  <c r="AS1836" i="123" s="1"/>
  <c r="AM1789" i="123"/>
  <c r="AR1788" i="123"/>
  <c r="AS1788" i="123" s="1"/>
  <c r="AM1765" i="123"/>
  <c r="AM1749" i="123"/>
  <c r="AR1746" i="123"/>
  <c r="AS1746" i="123" s="1"/>
  <c r="AM1745" i="123"/>
  <c r="AM1741" i="123"/>
  <c r="AR1738" i="123"/>
  <c r="AS1738" i="123" s="1"/>
  <c r="AD1737" i="123"/>
  <c r="AE1737" i="123" s="1"/>
  <c r="AC1735" i="123"/>
  <c r="AC1721" i="123"/>
  <c r="AM1713" i="123"/>
  <c r="AM1698" i="123"/>
  <c r="AM1695" i="123"/>
  <c r="AM1694" i="123"/>
  <c r="AR1693" i="123"/>
  <c r="AS1693" i="123" s="1"/>
  <c r="U1691" i="123"/>
  <c r="AM1689" i="123"/>
  <c r="AR1687" i="123"/>
  <c r="AS1687" i="123" s="1"/>
  <c r="AM1684" i="123"/>
  <c r="AN1681" i="123"/>
  <c r="AM1677" i="123"/>
  <c r="AA1674" i="123"/>
  <c r="AM1669" i="123"/>
  <c r="AM1668" i="123"/>
  <c r="AR1666" i="123"/>
  <c r="AS1666" i="123" s="1"/>
  <c r="AM1663" i="123"/>
  <c r="AM1655" i="123"/>
  <c r="AM1652" i="123"/>
  <c r="AM1650" i="123"/>
  <c r="AC1644" i="123"/>
  <c r="AC1643" i="123"/>
  <c r="AR1639" i="123"/>
  <c r="AS1639" i="123" s="1"/>
  <c r="AR1634" i="123"/>
  <c r="AS1634" i="123" s="1"/>
  <c r="Z1633" i="123"/>
  <c r="U1633" i="123"/>
  <c r="AD1629" i="123"/>
  <c r="AE1629" i="123" s="1"/>
  <c r="AC1627" i="123"/>
  <c r="AR1622" i="123"/>
  <c r="AS1622" i="123" s="1"/>
  <c r="AR1612" i="123"/>
  <c r="AS1612" i="123" s="1"/>
  <c r="U1612" i="123"/>
  <c r="AM1611" i="123"/>
  <c r="AF1609" i="123"/>
  <c r="AG1609" i="123" s="1"/>
  <c r="AM1607" i="123"/>
  <c r="AM1572" i="123"/>
  <c r="AA1565" i="123"/>
  <c r="AA1559" i="123"/>
  <c r="AD1556" i="123"/>
  <c r="AE1556" i="123" s="1"/>
  <c r="AR1555" i="123"/>
  <c r="AS1555" i="123" s="1"/>
  <c r="AA1552" i="123"/>
  <c r="AF1552" i="123" s="1"/>
  <c r="AA1551" i="123"/>
  <c r="AC1547" i="123"/>
  <c r="AM1546" i="123"/>
  <c r="AC1545" i="123"/>
  <c r="AM1544" i="123"/>
  <c r="AM1543" i="123"/>
  <c r="AR1542" i="123"/>
  <c r="AS1542" i="123" s="1"/>
  <c r="AD1541" i="123"/>
  <c r="AE1541" i="123" s="1"/>
  <c r="AR1540" i="123"/>
  <c r="AS1540" i="123" s="1"/>
  <c r="Z1538" i="123"/>
  <c r="U1538" i="123"/>
  <c r="AA1535" i="123"/>
  <c r="V1535" i="123"/>
  <c r="Z1532" i="123"/>
  <c r="U1531" i="123"/>
  <c r="AD1530" i="123"/>
  <c r="AE1530" i="123" s="1"/>
  <c r="AR1528" i="123"/>
  <c r="AS1528" i="123" s="1"/>
  <c r="AR1527" i="123"/>
  <c r="AS1527" i="123" s="1"/>
  <c r="AA1524" i="123"/>
  <c r="AF1524" i="123" s="1"/>
  <c r="AR1521" i="123"/>
  <c r="AS1521" i="123" s="1"/>
  <c r="AM1520" i="123"/>
  <c r="AA1513" i="123"/>
  <c r="AR1510" i="123"/>
  <c r="AS1510" i="123" s="1"/>
  <c r="AA1506" i="123"/>
  <c r="AA1505" i="123"/>
  <c r="U1500" i="123"/>
  <c r="AM1499" i="123"/>
  <c r="U1497" i="123"/>
  <c r="AM1495" i="123"/>
  <c r="AM1487" i="123"/>
  <c r="AR1486" i="123"/>
  <c r="AS1486" i="123" s="1"/>
  <c r="AR1485" i="123"/>
  <c r="AS1485" i="123" s="1"/>
  <c r="AC1483" i="123"/>
  <c r="U1461" i="123"/>
  <c r="AA1457" i="123"/>
  <c r="U1456" i="123"/>
  <c r="AR1455" i="123"/>
  <c r="AS1455" i="123" s="1"/>
  <c r="U1451" i="123"/>
  <c r="AC1444" i="123"/>
  <c r="AD1444" i="123"/>
  <c r="AM1442" i="123"/>
  <c r="Z1434" i="123"/>
  <c r="AA1434" i="123"/>
  <c r="Z1422" i="123"/>
  <c r="AA1422" i="123"/>
  <c r="AF1422" i="123" s="1"/>
  <c r="AH1422" i="123" s="1"/>
  <c r="AC1411" i="123"/>
  <c r="AD1411" i="123"/>
  <c r="Z1397" i="123"/>
  <c r="AA1397" i="123"/>
  <c r="V1094" i="123"/>
  <c r="U1094" i="123"/>
  <c r="AM1998" i="123"/>
  <c r="AM1991" i="123"/>
  <c r="AR1999" i="123"/>
  <c r="AS1999" i="123" s="1"/>
  <c r="AM1997" i="123"/>
  <c r="Z1990" i="123"/>
  <c r="AM1977" i="123"/>
  <c r="AR1975" i="123"/>
  <c r="AS1975" i="123" s="1"/>
  <c r="AR1974" i="123"/>
  <c r="AS1974" i="123" s="1"/>
  <c r="AM1969" i="123"/>
  <c r="AM1966" i="123"/>
  <c r="Z1958" i="123"/>
  <c r="AM1945" i="123"/>
  <c r="AR1942" i="123"/>
  <c r="AS1942" i="123" s="1"/>
  <c r="AM1937" i="123"/>
  <c r="AM1934" i="123"/>
  <c r="Z1926" i="123"/>
  <c r="AR1922" i="123"/>
  <c r="AS1922" i="123" s="1"/>
  <c r="AF1915" i="123"/>
  <c r="AG1915" i="123" s="1"/>
  <c r="AA1914" i="123"/>
  <c r="AR1911" i="123"/>
  <c r="AS1911" i="123" s="1"/>
  <c r="AN1900" i="123"/>
  <c r="AM1890" i="123"/>
  <c r="AN1884" i="123"/>
  <c r="AF1883" i="123"/>
  <c r="AG1883" i="123" s="1"/>
  <c r="AM1875" i="123"/>
  <c r="AA1875" i="123"/>
  <c r="AC1874" i="123"/>
  <c r="Z1871" i="123"/>
  <c r="AC1870" i="123"/>
  <c r="AM1851" i="123"/>
  <c r="AA1850" i="123"/>
  <c r="Z1849" i="123"/>
  <c r="AN1849" i="123"/>
  <c r="AR1844" i="123"/>
  <c r="AS1844" i="123" s="1"/>
  <c r="AC1840" i="123"/>
  <c r="AD1839" i="123"/>
  <c r="AF1839" i="123" s="1"/>
  <c r="AC1838" i="123"/>
  <c r="AM1835" i="123"/>
  <c r="AM1831" i="123"/>
  <c r="AA1831" i="123"/>
  <c r="AM1808" i="123"/>
  <c r="AA1804" i="123"/>
  <c r="AM1803" i="123"/>
  <c r="AM1796" i="123"/>
  <c r="AM1790" i="123"/>
  <c r="AR1789" i="123"/>
  <c r="AS1789" i="123" s="1"/>
  <c r="AM1771" i="123"/>
  <c r="AC1757" i="123"/>
  <c r="U1756" i="123"/>
  <c r="AC1747" i="123"/>
  <c r="AD1746" i="123"/>
  <c r="AC1739" i="123"/>
  <c r="Z1732" i="123"/>
  <c r="U1732" i="123"/>
  <c r="AR1726" i="123"/>
  <c r="AS1726" i="123" s="1"/>
  <c r="AM1725" i="123"/>
  <c r="AR1715" i="123"/>
  <c r="AS1715" i="123" s="1"/>
  <c r="U1715" i="123"/>
  <c r="AM1682" i="123"/>
  <c r="AR1670" i="123"/>
  <c r="AS1670" i="123" s="1"/>
  <c r="AR1659" i="123"/>
  <c r="AS1659" i="123" s="1"/>
  <c r="AM1629" i="123"/>
  <c r="Z1626" i="123"/>
  <c r="AC1623" i="123"/>
  <c r="AC1612" i="123"/>
  <c r="AM1557" i="123"/>
  <c r="AM1556" i="123"/>
  <c r="AA1554" i="123"/>
  <c r="AA1549" i="123"/>
  <c r="U1549" i="123"/>
  <c r="AM1548" i="123"/>
  <c r="Z1548" i="123"/>
  <c r="AR1543" i="123"/>
  <c r="AS1543" i="123" s="1"/>
  <c r="AN1542" i="123"/>
  <c r="AC1540" i="123"/>
  <c r="Z1539" i="123"/>
  <c r="U1539" i="123"/>
  <c r="U1530" i="123"/>
  <c r="AD1529" i="123"/>
  <c r="AC1528" i="123"/>
  <c r="AD1527" i="123"/>
  <c r="AR1526" i="123"/>
  <c r="AS1526" i="123" s="1"/>
  <c r="AD1521" i="123"/>
  <c r="AF1521" i="123" s="1"/>
  <c r="AN1519" i="123"/>
  <c r="Z1512" i="123"/>
  <c r="AD1510" i="123"/>
  <c r="AQ1508" i="123"/>
  <c r="AR1508" i="123" s="1"/>
  <c r="AS1508" i="123" s="1"/>
  <c r="AC1503" i="123"/>
  <c r="AR1474" i="123"/>
  <c r="AS1474" i="123" s="1"/>
  <c r="AM1472" i="123"/>
  <c r="AR1463" i="123"/>
  <c r="AS1463" i="123" s="1"/>
  <c r="AN1450" i="123"/>
  <c r="U1444" i="123"/>
  <c r="AM1443" i="123"/>
  <c r="AC1428" i="123"/>
  <c r="AD1428" i="123"/>
  <c r="Z1423" i="123"/>
  <c r="AA1423" i="123"/>
  <c r="V1360" i="123"/>
  <c r="W1360" i="123"/>
  <c r="AN1360" i="123" s="1"/>
  <c r="AR1296" i="123"/>
  <c r="AS1296" i="123" s="1"/>
  <c r="AD1293" i="123"/>
  <c r="AF1293" i="123" s="1"/>
  <c r="AG1293" i="123" s="1"/>
  <c r="AD1277" i="123"/>
  <c r="AR1272" i="123"/>
  <c r="AS1272" i="123" s="1"/>
  <c r="U1271" i="123"/>
  <c r="AR1268" i="123"/>
  <c r="AS1268" i="123" s="1"/>
  <c r="AM1263" i="123"/>
  <c r="Z1257" i="123"/>
  <c r="AA1256" i="123"/>
  <c r="AR1253" i="123"/>
  <c r="AS1253" i="123" s="1"/>
  <c r="AR1252" i="123"/>
  <c r="AS1252" i="123" s="1"/>
  <c r="AF1249" i="123"/>
  <c r="AG1249" i="123" s="1"/>
  <c r="AF1245" i="123"/>
  <c r="AG1245" i="123" s="1"/>
  <c r="AR1241" i="123"/>
  <c r="AS1241" i="123" s="1"/>
  <c r="AR1237" i="123"/>
  <c r="AS1237" i="123" s="1"/>
  <c r="Z1227" i="123"/>
  <c r="U1227" i="123"/>
  <c r="AR1221" i="123"/>
  <c r="AS1221" i="123" s="1"/>
  <c r="Z1219" i="123"/>
  <c r="U1219" i="123"/>
  <c r="Z1211" i="123"/>
  <c r="U1211" i="123"/>
  <c r="AR1204" i="123"/>
  <c r="AS1204" i="123" s="1"/>
  <c r="Z1201" i="123"/>
  <c r="AM1200" i="123"/>
  <c r="AC1200" i="123"/>
  <c r="U1199" i="123"/>
  <c r="AC1198" i="123"/>
  <c r="AR1197" i="123"/>
  <c r="AS1197" i="123" s="1"/>
  <c r="AR1194" i="123"/>
  <c r="AS1194" i="123" s="1"/>
  <c r="AD1193" i="123"/>
  <c r="AF1193" i="123" s="1"/>
  <c r="AG1193" i="123" s="1"/>
  <c r="AR1189" i="123"/>
  <c r="AS1189" i="123" s="1"/>
  <c r="AD1188" i="123"/>
  <c r="AE1188" i="123" s="1"/>
  <c r="AR1181" i="123"/>
  <c r="AS1181" i="123" s="1"/>
  <c r="AC1180" i="123"/>
  <c r="AR1164" i="123"/>
  <c r="AS1164" i="123" s="1"/>
  <c r="Z1159" i="123"/>
  <c r="U1159" i="123"/>
  <c r="Z1145" i="123"/>
  <c r="AM1144" i="123"/>
  <c r="U1143" i="123"/>
  <c r="Z1137" i="123"/>
  <c r="AM1136" i="123"/>
  <c r="U1135" i="123"/>
  <c r="AC1134" i="123"/>
  <c r="AC1130" i="123"/>
  <c r="AR1129" i="123"/>
  <c r="AS1129" i="123" s="1"/>
  <c r="AC1128" i="123"/>
  <c r="AA1123" i="123"/>
  <c r="AC1122" i="123"/>
  <c r="AR1114" i="123"/>
  <c r="AS1114" i="123" s="1"/>
  <c r="Z1113" i="123"/>
  <c r="AC1112" i="123"/>
  <c r="AA1109" i="123"/>
  <c r="AA1108" i="123"/>
  <c r="AA1107" i="123"/>
  <c r="AM1101" i="123"/>
  <c r="Z1101" i="123"/>
  <c r="Z1099" i="123"/>
  <c r="U1099" i="123"/>
  <c r="AR1096" i="123"/>
  <c r="AS1096" i="123" s="1"/>
  <c r="AM1092" i="123"/>
  <c r="AM1074" i="123"/>
  <c r="AA1068" i="123"/>
  <c r="AA1067" i="123"/>
  <c r="Z1061" i="123"/>
  <c r="AC1058" i="123"/>
  <c r="AD1057" i="123"/>
  <c r="AE1057" i="123" s="1"/>
  <c r="AA1037" i="123"/>
  <c r="Z1037" i="123"/>
  <c r="AC1034" i="123"/>
  <c r="AR1443" i="123"/>
  <c r="AS1443" i="123" s="1"/>
  <c r="AR1442" i="123"/>
  <c r="AS1442" i="123" s="1"/>
  <c r="AM1441" i="123"/>
  <c r="AA1440" i="123"/>
  <c r="AQ1437" i="123"/>
  <c r="AR1437" i="123" s="1"/>
  <c r="AS1437" i="123" s="1"/>
  <c r="AR1436" i="123"/>
  <c r="AS1436" i="123" s="1"/>
  <c r="AM1427" i="123"/>
  <c r="AM1426" i="123"/>
  <c r="AA1425" i="123"/>
  <c r="AF1425" i="123" s="1"/>
  <c r="AG1425" i="123" s="1"/>
  <c r="AA1420" i="123"/>
  <c r="AN1403" i="123"/>
  <c r="AR1401" i="123"/>
  <c r="AS1401" i="123" s="1"/>
  <c r="AN1400" i="123"/>
  <c r="AM1396" i="123"/>
  <c r="AM1393" i="123"/>
  <c r="AR1392" i="123"/>
  <c r="AS1392" i="123" s="1"/>
  <c r="AD1389" i="123"/>
  <c r="AN1387" i="123"/>
  <c r="AD1386" i="123"/>
  <c r="AE1386" i="123" s="1"/>
  <c r="AM1384" i="123"/>
  <c r="AN1382" i="123"/>
  <c r="AM1381" i="123"/>
  <c r="U1377" i="123"/>
  <c r="AM1367" i="123"/>
  <c r="AR1364" i="123"/>
  <c r="AS1364" i="123" s="1"/>
  <c r="AC1362" i="123"/>
  <c r="AE1362" i="123" s="1"/>
  <c r="AM1359" i="123"/>
  <c r="AM1357" i="123"/>
  <c r="AC1355" i="123"/>
  <c r="AQ1354" i="123"/>
  <c r="AR1354" i="123" s="1"/>
  <c r="AS1354" i="123" s="1"/>
  <c r="AM1353" i="123"/>
  <c r="AC1351" i="123"/>
  <c r="AD1348" i="123"/>
  <c r="AD1344" i="123"/>
  <c r="AE1344" i="123" s="1"/>
  <c r="W1337" i="123"/>
  <c r="W1335" i="123"/>
  <c r="U1335" i="123"/>
  <c r="AM1334" i="123"/>
  <c r="U1333" i="123"/>
  <c r="AN1324" i="123"/>
  <c r="U1299" i="123"/>
  <c r="Z1023" i="123"/>
  <c r="AA1023" i="123"/>
  <c r="AM1446" i="123"/>
  <c r="AN1445" i="123"/>
  <c r="AM1444" i="123"/>
  <c r="AD1438" i="123"/>
  <c r="AE1438" i="123" s="1"/>
  <c r="AD1436" i="123"/>
  <c r="AE1436" i="123" s="1"/>
  <c r="AN1431" i="123"/>
  <c r="AR1427" i="123"/>
  <c r="AS1427" i="123" s="1"/>
  <c r="AR1410" i="123"/>
  <c r="AS1410" i="123" s="1"/>
  <c r="AR1407" i="123"/>
  <c r="AS1407" i="123" s="1"/>
  <c r="AR1396" i="123"/>
  <c r="AS1396" i="123" s="1"/>
  <c r="AN1390" i="123"/>
  <c r="AR1384" i="123"/>
  <c r="AS1384" i="123" s="1"/>
  <c r="AA1371" i="123"/>
  <c r="AF1368" i="123"/>
  <c r="AR1363" i="123"/>
  <c r="AS1363" i="123" s="1"/>
  <c r="AF1361" i="123"/>
  <c r="AH1361" i="123" s="1"/>
  <c r="AD1354" i="123"/>
  <c r="AE1354" i="123" s="1"/>
  <c r="AA1343" i="123"/>
  <c r="AM1340" i="123"/>
  <c r="AM1337" i="123"/>
  <c r="U1337" i="123"/>
  <c r="AR1336" i="123"/>
  <c r="AS1336" i="123" s="1"/>
  <c r="AD1321" i="123"/>
  <c r="AR1307" i="123"/>
  <c r="AS1307" i="123" s="1"/>
  <c r="AM1306" i="123"/>
  <c r="AM1293" i="123"/>
  <c r="AM1292" i="123"/>
  <c r="AM1288" i="123"/>
  <c r="AM1278" i="123"/>
  <c r="AM1277" i="123"/>
  <c r="AM1276" i="123"/>
  <c r="AM1267" i="123"/>
  <c r="AQ1263" i="123"/>
  <c r="AR1263" i="123" s="1"/>
  <c r="AS1263" i="123" s="1"/>
  <c r="AM1249" i="123"/>
  <c r="AM1233" i="123"/>
  <c r="AM1228" i="123"/>
  <c r="U1215" i="123"/>
  <c r="AM1214" i="123"/>
  <c r="AM1188" i="123"/>
  <c r="AM1180" i="123"/>
  <c r="AM1168" i="123"/>
  <c r="AM1122" i="123"/>
  <c r="AM1069" i="123"/>
  <c r="AQ1064" i="123"/>
  <c r="AR1064" i="123" s="1"/>
  <c r="AS1064" i="123" s="1"/>
  <c r="AM1058" i="123"/>
  <c r="AM1056" i="123"/>
  <c r="U1047" i="123"/>
  <c r="Z1040" i="123"/>
  <c r="AA1040" i="123"/>
  <c r="Z1024" i="123"/>
  <c r="AA1024" i="123"/>
  <c r="AN1435" i="123"/>
  <c r="U1433" i="123"/>
  <c r="AM1432" i="123"/>
  <c r="AM1429" i="123"/>
  <c r="AN1422" i="123"/>
  <c r="AM1413" i="123"/>
  <c r="AM1411" i="123"/>
  <c r="U1409" i="123"/>
  <c r="AM1403" i="123"/>
  <c r="AM1400" i="123"/>
  <c r="AM1397" i="123"/>
  <c r="Z1389" i="123"/>
  <c r="AA1385" i="123"/>
  <c r="AF1385" i="123" s="1"/>
  <c r="AG1385" i="123" s="1"/>
  <c r="AM1379" i="123"/>
  <c r="AC1375" i="123"/>
  <c r="AM1372" i="123"/>
  <c r="AC1367" i="123"/>
  <c r="U1366" i="123"/>
  <c r="Z1364" i="123"/>
  <c r="AN1359" i="123"/>
  <c r="AD1358" i="123"/>
  <c r="AM1356" i="123"/>
  <c r="AM1351" i="123"/>
  <c r="AM1350" i="123"/>
  <c r="AM1349" i="123"/>
  <c r="AQ1348" i="123"/>
  <c r="AR1348" i="123" s="1"/>
  <c r="AS1348" i="123" s="1"/>
  <c r="Z1348" i="123"/>
  <c r="AM1346" i="123"/>
  <c r="AM1345" i="123"/>
  <c r="AM1344" i="123"/>
  <c r="AM1343" i="123"/>
  <c r="AR1341" i="123"/>
  <c r="AS1341" i="123" s="1"/>
  <c r="AA1331" i="123"/>
  <c r="AA1329" i="123"/>
  <c r="W1328" i="123"/>
  <c r="AN1328" i="123" s="1"/>
  <c r="W1325" i="123"/>
  <c r="AM1324" i="123"/>
  <c r="U1316" i="123"/>
  <c r="AM1308" i="123"/>
  <c r="AM1304" i="123"/>
  <c r="AM1302" i="123"/>
  <c r="AR1293" i="123"/>
  <c r="AS1293" i="123" s="1"/>
  <c r="AR1292" i="123"/>
  <c r="AS1292" i="123" s="1"/>
  <c r="U1291" i="123"/>
  <c r="AM1279" i="123"/>
  <c r="AR1277" i="123"/>
  <c r="AS1277" i="123" s="1"/>
  <c r="AM1272" i="123"/>
  <c r="AQ1271" i="123"/>
  <c r="AR1271" i="123" s="1"/>
  <c r="AS1271" i="123" s="1"/>
  <c r="AM1268" i="123"/>
  <c r="AD1264" i="123"/>
  <c r="AE1264" i="123" s="1"/>
  <c r="AF1257" i="123"/>
  <c r="AG1257" i="123" s="1"/>
  <c r="AR1249" i="123"/>
  <c r="AS1249" i="123" s="1"/>
  <c r="AM1242" i="123"/>
  <c r="AM1241" i="123"/>
  <c r="AM1238" i="123"/>
  <c r="AM1237" i="123"/>
  <c r="AM1234" i="123"/>
  <c r="Z1225" i="123"/>
  <c r="AM1222" i="123"/>
  <c r="Z1217" i="123"/>
  <c r="AA1216" i="123"/>
  <c r="AM1215" i="123"/>
  <c r="AA1215" i="123"/>
  <c r="AD1212" i="123"/>
  <c r="AE1212" i="123" s="1"/>
  <c r="Z1209" i="123"/>
  <c r="AM1192" i="123"/>
  <c r="AA1192" i="123"/>
  <c r="AM1191" i="123"/>
  <c r="AR1188" i="123"/>
  <c r="AS1188" i="123" s="1"/>
  <c r="AC1186" i="123"/>
  <c r="AD1185" i="123"/>
  <c r="AA1184" i="123"/>
  <c r="AM1183" i="123"/>
  <c r="AA1183" i="123"/>
  <c r="U1183" i="123"/>
  <c r="AR1180" i="123"/>
  <c r="AS1180" i="123" s="1"/>
  <c r="AR1177" i="123"/>
  <c r="AS1177" i="123" s="1"/>
  <c r="AD1176" i="123"/>
  <c r="AE1176" i="123" s="1"/>
  <c r="Z1173" i="123"/>
  <c r="AM1172" i="123"/>
  <c r="U1171" i="123"/>
  <c r="AR1168" i="123"/>
  <c r="AS1168" i="123" s="1"/>
  <c r="AM1164" i="123"/>
  <c r="AM1162" i="123"/>
  <c r="AR1161" i="123"/>
  <c r="AS1161" i="123" s="1"/>
  <c r="AC1160" i="123"/>
  <c r="Z1157" i="123"/>
  <c r="Z1153" i="123"/>
  <c r="AM1152" i="123"/>
  <c r="AA1147" i="123"/>
  <c r="AC1144" i="123"/>
  <c r="AC1142" i="123"/>
  <c r="AC1136" i="123"/>
  <c r="AR1130" i="123"/>
  <c r="AS1130" i="123" s="1"/>
  <c r="AR1122" i="123"/>
  <c r="AS1122" i="123" s="1"/>
  <c r="AR1094" i="123"/>
  <c r="AS1094" i="123" s="1"/>
  <c r="AM1093" i="123"/>
  <c r="AR1084" i="123"/>
  <c r="AS1084" i="123" s="1"/>
  <c r="AM1084" i="123"/>
  <c r="AM1082" i="123"/>
  <c r="AM1076" i="123"/>
  <c r="AQ1072" i="123"/>
  <c r="AR1072" i="123" s="1"/>
  <c r="AS1072" i="123" s="1"/>
  <c r="W1070" i="123"/>
  <c r="AN1070" i="123" s="1"/>
  <c r="AM1066" i="123"/>
  <c r="AR1049" i="123"/>
  <c r="AS1049" i="123" s="1"/>
  <c r="AD1026" i="123"/>
  <c r="AC1026" i="123"/>
  <c r="AR987" i="123"/>
  <c r="AS987" i="123" s="1"/>
  <c r="AR977" i="123"/>
  <c r="AS977" i="123" s="1"/>
  <c r="AR975" i="123"/>
  <c r="AS975" i="123" s="1"/>
  <c r="AA970" i="123"/>
  <c r="AF970" i="123" s="1"/>
  <c r="AG970" i="123" s="1"/>
  <c r="AR947" i="123"/>
  <c r="AS947" i="123" s="1"/>
  <c r="AR939" i="123"/>
  <c r="AS939" i="123" s="1"/>
  <c r="AR927" i="123"/>
  <c r="AS927" i="123" s="1"/>
  <c r="AM926" i="123"/>
  <c r="AR923" i="123"/>
  <c r="AS923" i="123" s="1"/>
  <c r="AM914" i="123"/>
  <c r="AM909" i="123"/>
  <c r="AA862" i="123"/>
  <c r="AF862" i="123" s="1"/>
  <c r="AR855" i="123"/>
  <c r="AS855" i="123" s="1"/>
  <c r="AD836" i="123"/>
  <c r="AF836" i="123" s="1"/>
  <c r="AD831" i="123"/>
  <c r="AE831" i="123" s="1"/>
  <c r="AR824" i="123"/>
  <c r="AS824" i="123" s="1"/>
  <c r="AC820" i="123"/>
  <c r="AQ819" i="123"/>
  <c r="AR819" i="123" s="1"/>
  <c r="AS819" i="123" s="1"/>
  <c r="AR816" i="123"/>
  <c r="AS816" i="123" s="1"/>
  <c r="Z814" i="123"/>
  <c r="AN810" i="123"/>
  <c r="AD797" i="123"/>
  <c r="AC797" i="123"/>
  <c r="AC776" i="123"/>
  <c r="AD776" i="123"/>
  <c r="AM775" i="123"/>
  <c r="AA760" i="123"/>
  <c r="Z760" i="123"/>
  <c r="AN1056" i="123"/>
  <c r="AQ1052" i="123"/>
  <c r="AR1052" i="123" s="1"/>
  <c r="AS1052" i="123" s="1"/>
  <c r="AA1044" i="123"/>
  <c r="U1044" i="123"/>
  <c r="AC1012" i="123"/>
  <c r="Z1007" i="123"/>
  <c r="U1007" i="123"/>
  <c r="AM1006" i="123"/>
  <c r="AR1003" i="123"/>
  <c r="AS1003" i="123" s="1"/>
  <c r="U1003" i="123"/>
  <c r="Z1000" i="123"/>
  <c r="AM997" i="123"/>
  <c r="AM995" i="123"/>
  <c r="AR994" i="123"/>
  <c r="AS994" i="123" s="1"/>
  <c r="AR991" i="123"/>
  <c r="AS991" i="123" s="1"/>
  <c r="AA990" i="123"/>
  <c r="AC989" i="123"/>
  <c r="AM985" i="123"/>
  <c r="AR982" i="123"/>
  <c r="AS982" i="123" s="1"/>
  <c r="AM981" i="123"/>
  <c r="AM979" i="123"/>
  <c r="AR978" i="123"/>
  <c r="AS978" i="123" s="1"/>
  <c r="AA962" i="123"/>
  <c r="AF962" i="123" s="1"/>
  <c r="AC959" i="123"/>
  <c r="AF958" i="123"/>
  <c r="AG958" i="123" s="1"/>
  <c r="AR955" i="123"/>
  <c r="AS955" i="123" s="1"/>
  <c r="AD947" i="123"/>
  <c r="AE947" i="123" s="1"/>
  <c r="AD939" i="123"/>
  <c r="AE939" i="123" s="1"/>
  <c r="AN933" i="123"/>
  <c r="AM930" i="123"/>
  <c r="AR928" i="123"/>
  <c r="AS928" i="123" s="1"/>
  <c r="AD927" i="123"/>
  <c r="AQ926" i="123"/>
  <c r="AR926" i="123" s="1"/>
  <c r="AS926" i="123" s="1"/>
  <c r="AD924" i="123"/>
  <c r="AE924" i="123" s="1"/>
  <c r="AC923" i="123"/>
  <c r="AR919" i="123"/>
  <c r="AS919" i="123" s="1"/>
  <c r="AM915" i="123"/>
  <c r="AN913" i="123"/>
  <c r="Z912" i="123"/>
  <c r="AM910" i="123"/>
  <c r="AM906" i="123"/>
  <c r="Z896" i="123"/>
  <c r="AM894" i="123"/>
  <c r="AA894" i="123"/>
  <c r="AM891" i="123"/>
  <c r="U888" i="123"/>
  <c r="AD887" i="123"/>
  <c r="AE887" i="123" s="1"/>
  <c r="AC885" i="123"/>
  <c r="U884" i="123"/>
  <c r="AR880" i="123"/>
  <c r="AS880" i="123" s="1"/>
  <c r="AA879" i="123"/>
  <c r="AM878" i="123"/>
  <c r="AA878" i="123"/>
  <c r="AR865" i="123"/>
  <c r="AS865" i="123" s="1"/>
  <c r="AC835" i="123"/>
  <c r="AE835" i="123" s="1"/>
  <c r="AQ830" i="123"/>
  <c r="AR830" i="123" s="1"/>
  <c r="AS830" i="123" s="1"/>
  <c r="AC829" i="123"/>
  <c r="U829" i="123"/>
  <c r="Z828" i="123"/>
  <c r="AD827" i="123"/>
  <c r="AC823" i="123"/>
  <c r="AE823" i="123" s="1"/>
  <c r="AD807" i="123"/>
  <c r="AC807" i="123"/>
  <c r="Z798" i="123"/>
  <c r="AN794" i="123"/>
  <c r="U1039" i="123"/>
  <c r="AN1025" i="123"/>
  <c r="U1024" i="123"/>
  <c r="U1023" i="123"/>
  <c r="AM1017" i="123"/>
  <c r="AC1011" i="123"/>
  <c r="W1009" i="123"/>
  <c r="AN1009" i="123" s="1"/>
  <c r="Z1008" i="123"/>
  <c r="AC1004" i="123"/>
  <c r="AC1003" i="123"/>
  <c r="W1003" i="123"/>
  <c r="U999" i="123"/>
  <c r="AM998" i="123"/>
  <c r="AC987" i="123"/>
  <c r="AD986" i="123"/>
  <c r="AE986" i="123" s="1"/>
  <c r="AR983" i="123"/>
  <c r="AS983" i="123" s="1"/>
  <c r="AD982" i="123"/>
  <c r="AE982" i="123" s="1"/>
  <c r="AA977" i="123"/>
  <c r="U977" i="123"/>
  <c r="AC975" i="123"/>
  <c r="U961" i="123"/>
  <c r="Z960" i="123"/>
  <c r="AC955" i="123"/>
  <c r="U949" i="123"/>
  <c r="Z948" i="123"/>
  <c r="U948" i="123"/>
  <c r="AA943" i="123"/>
  <c r="AM942" i="123"/>
  <c r="AA942" i="123"/>
  <c r="AM923" i="123"/>
  <c r="AC900" i="123"/>
  <c r="Z886" i="123"/>
  <c r="AR871" i="123"/>
  <c r="AS871" i="123" s="1"/>
  <c r="AC855" i="123"/>
  <c r="AC849" i="123"/>
  <c r="AR847" i="123"/>
  <c r="AS847" i="123" s="1"/>
  <c r="AR840" i="123"/>
  <c r="AS840" i="123" s="1"/>
  <c r="AA838" i="123"/>
  <c r="Z826" i="123"/>
  <c r="Z824" i="123"/>
  <c r="Z822" i="123"/>
  <c r="AC808" i="123"/>
  <c r="AD808" i="123"/>
  <c r="AM807" i="123"/>
  <c r="AR804" i="123"/>
  <c r="AS804" i="123" s="1"/>
  <c r="AA802" i="123"/>
  <c r="Z800" i="123"/>
  <c r="AD791" i="123"/>
  <c r="AC791" i="123"/>
  <c r="AR779" i="123"/>
  <c r="AS779" i="123" s="1"/>
  <c r="AD757" i="123"/>
  <c r="AC757" i="123"/>
  <c r="AQ997" i="123"/>
  <c r="AR997" i="123" s="1"/>
  <c r="AS997" i="123" s="1"/>
  <c r="AD813" i="123"/>
  <c r="AC813" i="123"/>
  <c r="AC792" i="123"/>
  <c r="AD792" i="123"/>
  <c r="AC771" i="123"/>
  <c r="AD771" i="123"/>
  <c r="AF771" i="123" s="1"/>
  <c r="AG771" i="123" s="1"/>
  <c r="AC767" i="123"/>
  <c r="AD767" i="123"/>
  <c r="AD759" i="123"/>
  <c r="AC759" i="123"/>
  <c r="AM679" i="123"/>
  <c r="AM673" i="123"/>
  <c r="AQ614" i="123"/>
  <c r="AR614" i="123" s="1"/>
  <c r="AS614" i="123" s="1"/>
  <c r="AA575" i="123"/>
  <c r="Z575" i="123"/>
  <c r="AA549" i="123"/>
  <c r="Z549" i="123"/>
  <c r="AN774" i="123"/>
  <c r="AM772" i="123"/>
  <c r="AM770" i="123"/>
  <c r="AR768" i="123"/>
  <c r="AS768" i="123" s="1"/>
  <c r="AQ767" i="123"/>
  <c r="AR767" i="123" s="1"/>
  <c r="AS767" i="123" s="1"/>
  <c r="AD763" i="123"/>
  <c r="AR759" i="123"/>
  <c r="AS759" i="123" s="1"/>
  <c r="AM759" i="123"/>
  <c r="AM758" i="123"/>
  <c r="AQ751" i="123"/>
  <c r="AR751" i="123" s="1"/>
  <c r="AS751" i="123" s="1"/>
  <c r="AN750" i="123"/>
  <c r="AM736" i="123"/>
  <c r="AA723" i="123"/>
  <c r="AN722" i="123"/>
  <c r="AM703" i="123"/>
  <c r="AM702" i="123"/>
  <c r="AR699" i="123"/>
  <c r="AS699" i="123" s="1"/>
  <c r="AA694" i="123"/>
  <c r="AM690" i="123"/>
  <c r="AD688" i="123"/>
  <c r="AF688" i="123" s="1"/>
  <c r="AG688" i="123" s="1"/>
  <c r="AM685" i="123"/>
  <c r="AM680" i="123"/>
  <c r="AR679" i="123"/>
  <c r="AS679" i="123" s="1"/>
  <c r="AD671" i="123"/>
  <c r="AF671" i="123" s="1"/>
  <c r="AG671" i="123" s="1"/>
  <c r="AM667" i="123"/>
  <c r="AQ662" i="123"/>
  <c r="AR662" i="123" s="1"/>
  <c r="AS662" i="123" s="1"/>
  <c r="AD660" i="123"/>
  <c r="AF660" i="123" s="1"/>
  <c r="AG660" i="123" s="1"/>
  <c r="AM654" i="123"/>
  <c r="AM653" i="123"/>
  <c r="AQ651" i="123"/>
  <c r="AR651" i="123" s="1"/>
  <c r="AS651" i="123" s="1"/>
  <c r="Z648" i="123"/>
  <c r="AM646" i="123"/>
  <c r="AR640" i="123"/>
  <c r="AS640" i="123" s="1"/>
  <c r="AN638" i="123"/>
  <c r="AR635" i="123"/>
  <c r="AS635" i="123" s="1"/>
  <c r="AD627" i="123"/>
  <c r="AF627" i="123" s="1"/>
  <c r="AG627" i="123" s="1"/>
  <c r="AR620" i="123"/>
  <c r="AS620" i="123" s="1"/>
  <c r="AM617" i="123"/>
  <c r="AA615" i="123"/>
  <c r="AM612" i="123"/>
  <c r="AM606" i="123"/>
  <c r="AF604" i="123"/>
  <c r="AA602" i="123"/>
  <c r="AR600" i="123"/>
  <c r="AS600" i="123" s="1"/>
  <c r="AR599" i="123"/>
  <c r="AS599" i="123" s="1"/>
  <c r="AA587" i="123"/>
  <c r="AA580" i="123"/>
  <c r="AF580" i="123" s="1"/>
  <c r="Z580" i="123"/>
  <c r="AA578" i="123"/>
  <c r="Z570" i="123"/>
  <c r="AA570" i="123"/>
  <c r="AM569" i="123"/>
  <c r="V560" i="123"/>
  <c r="U560" i="123"/>
  <c r="AM558" i="123"/>
  <c r="V556" i="123"/>
  <c r="U556" i="123"/>
  <c r="AR815" i="123"/>
  <c r="AS815" i="123" s="1"/>
  <c r="AN806" i="123"/>
  <c r="AM803" i="123"/>
  <c r="AN790" i="123"/>
  <c r="AM787" i="123"/>
  <c r="AM779" i="123"/>
  <c r="AC768" i="123"/>
  <c r="AQ766" i="123"/>
  <c r="AR766" i="123" s="1"/>
  <c r="AS766" i="123" s="1"/>
  <c r="AM763" i="123"/>
  <c r="AD751" i="123"/>
  <c r="AF751" i="123" s="1"/>
  <c r="AG751" i="123" s="1"/>
  <c r="AC741" i="123"/>
  <c r="AA738" i="123"/>
  <c r="Z734" i="123"/>
  <c r="AN734" i="123"/>
  <c r="AM704" i="123"/>
  <c r="AR703" i="123"/>
  <c r="AS703" i="123" s="1"/>
  <c r="AC701" i="123"/>
  <c r="AC700" i="123"/>
  <c r="AC699" i="123"/>
  <c r="AN698" i="123"/>
  <c r="AC693" i="123"/>
  <c r="AD691" i="123"/>
  <c r="AE691" i="123" s="1"/>
  <c r="AM686" i="123"/>
  <c r="AR680" i="123"/>
  <c r="AS680" i="123" s="1"/>
  <c r="AC679" i="123"/>
  <c r="AN678" i="123"/>
  <c r="AR675" i="123"/>
  <c r="AS675" i="123" s="1"/>
  <c r="AA663" i="123"/>
  <c r="AM657" i="123"/>
  <c r="AC645" i="123"/>
  <c r="AF644" i="123"/>
  <c r="AG644" i="123" s="1"/>
  <c r="AC635" i="123"/>
  <c r="AN634" i="123"/>
  <c r="AM627" i="123"/>
  <c r="AN626" i="123"/>
  <c r="AR623" i="123"/>
  <c r="AS623" i="123" s="1"/>
  <c r="AD620" i="123"/>
  <c r="AR619" i="123"/>
  <c r="AS619" i="123" s="1"/>
  <c r="AM618" i="123"/>
  <c r="AQ610" i="123"/>
  <c r="AR610" i="123" s="1"/>
  <c r="AS610" i="123" s="1"/>
  <c r="Z604" i="123"/>
  <c r="AM602" i="123"/>
  <c r="AC601" i="123"/>
  <c r="AF600" i="123"/>
  <c r="AG600" i="123" s="1"/>
  <c r="AC597" i="123"/>
  <c r="AF596" i="123"/>
  <c r="AG596" i="123" s="1"/>
  <c r="AD591" i="123"/>
  <c r="AR584" i="123"/>
  <c r="AS584" i="123" s="1"/>
  <c r="AR583" i="123"/>
  <c r="AS583" i="123" s="1"/>
  <c r="AM579" i="123"/>
  <c r="AC577" i="123"/>
  <c r="AD575" i="123"/>
  <c r="AE575" i="123" s="1"/>
  <c r="AD567" i="123"/>
  <c r="AC567" i="123"/>
  <c r="AD563" i="123"/>
  <c r="AF563" i="123" s="1"/>
  <c r="AG563" i="123" s="1"/>
  <c r="AC563" i="123"/>
  <c r="AN562" i="123"/>
  <c r="AM767" i="123"/>
  <c r="AD748" i="123"/>
  <c r="AF748" i="123" s="1"/>
  <c r="Z742" i="123"/>
  <c r="Z740" i="123"/>
  <c r="AC737" i="123"/>
  <c r="AC725" i="123"/>
  <c r="Z716" i="123"/>
  <c r="AN714" i="123"/>
  <c r="Z712" i="123"/>
  <c r="AR704" i="123"/>
  <c r="AS704" i="123" s="1"/>
  <c r="AC703" i="123"/>
  <c r="AF700" i="123"/>
  <c r="AM691" i="123"/>
  <c r="AC685" i="123"/>
  <c r="AR656" i="123"/>
  <c r="AS656" i="123" s="1"/>
  <c r="Z644" i="123"/>
  <c r="AA643" i="123"/>
  <c r="Z642" i="123"/>
  <c r="AN642" i="123"/>
  <c r="AF636" i="123"/>
  <c r="AG636" i="123" s="1"/>
  <c r="AM626" i="123"/>
  <c r="AQ618" i="123"/>
  <c r="AR618" i="123" s="1"/>
  <c r="AS618" i="123" s="1"/>
  <c r="AR607" i="123"/>
  <c r="AS607" i="123" s="1"/>
  <c r="Z600" i="123"/>
  <c r="AA599" i="123"/>
  <c r="Z598" i="123"/>
  <c r="AN598" i="123"/>
  <c r="Z596" i="123"/>
  <c r="AA595" i="123"/>
  <c r="Z594" i="123"/>
  <c r="AN594" i="123"/>
  <c r="Z592" i="123"/>
  <c r="AD584" i="123"/>
  <c r="AF584" i="123" s="1"/>
  <c r="AG584" i="123" s="1"/>
  <c r="AF583" i="123"/>
  <c r="AG583" i="123" s="1"/>
  <c r="AC580" i="123"/>
  <c r="AD569" i="123"/>
  <c r="AC569" i="123"/>
  <c r="Z557" i="123"/>
  <c r="AA557" i="123"/>
  <c r="U558" i="123"/>
  <c r="U557" i="123"/>
  <c r="AR555" i="123"/>
  <c r="AS555" i="123" s="1"/>
  <c r="U553" i="123"/>
  <c r="AC548" i="123"/>
  <c r="Z545" i="123"/>
  <c r="Z541" i="123"/>
  <c r="Z537" i="123"/>
  <c r="S492" i="123"/>
  <c r="AA403" i="123"/>
  <c r="Z402" i="123"/>
  <c r="AA402" i="123"/>
  <c r="AA390" i="123"/>
  <c r="AD387" i="123"/>
  <c r="AE387" i="123" s="1"/>
  <c r="Z386" i="123"/>
  <c r="AA386" i="123"/>
  <c r="S358" i="123"/>
  <c r="AC356" i="123"/>
  <c r="AD356" i="123"/>
  <c r="AF356" i="123" s="1"/>
  <c r="AA336" i="123"/>
  <c r="Z336" i="123"/>
  <c r="S320" i="123"/>
  <c r="Z311" i="123"/>
  <c r="AA311" i="123"/>
  <c r="AM526" i="123"/>
  <c r="S524" i="123"/>
  <c r="S511" i="123"/>
  <c r="S487" i="123"/>
  <c r="S479" i="123"/>
  <c r="AA412" i="123"/>
  <c r="Z412" i="123"/>
  <c r="AD366" i="123"/>
  <c r="AF366" i="123" s="1"/>
  <c r="AC366" i="123"/>
  <c r="S355" i="123"/>
  <c r="AA353" i="123"/>
  <c r="Z353" i="123"/>
  <c r="AD350" i="123"/>
  <c r="AC350" i="123"/>
  <c r="Z348" i="123"/>
  <c r="AA348" i="123"/>
  <c r="S334" i="123"/>
  <c r="AD312" i="123"/>
  <c r="AF312" i="123" s="1"/>
  <c r="AC312" i="123"/>
  <c r="AD298" i="123"/>
  <c r="AF298" i="123" s="1"/>
  <c r="AC298" i="123"/>
  <c r="AD296" i="123"/>
  <c r="AC296" i="123"/>
  <c r="AD292" i="123"/>
  <c r="AF292" i="123" s="1"/>
  <c r="AC292" i="123"/>
  <c r="AM559" i="123"/>
  <c r="AM553" i="123"/>
  <c r="AM546" i="123"/>
  <c r="AM545" i="123"/>
  <c r="AM544" i="123"/>
  <c r="S539" i="123"/>
  <c r="AM536" i="123"/>
  <c r="AM535" i="123"/>
  <c r="S531" i="123"/>
  <c r="AA519" i="123"/>
  <c r="S519" i="123"/>
  <c r="AA499" i="123"/>
  <c r="S499" i="123"/>
  <c r="AM485" i="123"/>
  <c r="S463" i="123"/>
  <c r="AA455" i="123"/>
  <c r="AA431" i="123"/>
  <c r="Z414" i="123"/>
  <c r="AA414" i="123"/>
  <c r="AD404" i="123"/>
  <c r="AC404" i="123"/>
  <c r="AF400" i="123"/>
  <c r="Z372" i="123"/>
  <c r="AA372" i="123"/>
  <c r="S367" i="123"/>
  <c r="AC357" i="123"/>
  <c r="AE357" i="123" s="1"/>
  <c r="AD349" i="123"/>
  <c r="AF349" i="123" s="1"/>
  <c r="AC349" i="123"/>
  <c r="AA341" i="123"/>
  <c r="Z341" i="123"/>
  <c r="Z337" i="123"/>
  <c r="AC330" i="123"/>
  <c r="AA315" i="123"/>
  <c r="AM590" i="123"/>
  <c r="AM588" i="123"/>
  <c r="AM587" i="123"/>
  <c r="AM585" i="123"/>
  <c r="AM584" i="123"/>
  <c r="AM583" i="123"/>
  <c r="AM575" i="123"/>
  <c r="AM573" i="123"/>
  <c r="AF568" i="123"/>
  <c r="AG568" i="123" s="1"/>
  <c r="AQ566" i="123"/>
  <c r="AR566" i="123" s="1"/>
  <c r="AS566" i="123" s="1"/>
  <c r="AM565" i="123"/>
  <c r="AR564" i="123"/>
  <c r="AS564" i="123" s="1"/>
  <c r="AA562" i="123"/>
  <c r="AC556" i="123"/>
  <c r="AM555" i="123"/>
  <c r="AQ554" i="123"/>
  <c r="AR554" i="123" s="1"/>
  <c r="AS554" i="123" s="1"/>
  <c r="AR548" i="123"/>
  <c r="AS548" i="123" s="1"/>
  <c r="AR547" i="123"/>
  <c r="AS547" i="123" s="1"/>
  <c r="AR546" i="123"/>
  <c r="AS546" i="123" s="1"/>
  <c r="S545" i="123"/>
  <c r="T545" i="123" s="1"/>
  <c r="AC544" i="123"/>
  <c r="AD543" i="123"/>
  <c r="AE543" i="123" s="1"/>
  <c r="Z539" i="123"/>
  <c r="AA538" i="123"/>
  <c r="AC536" i="123"/>
  <c r="AD535" i="123"/>
  <c r="AF535" i="123" s="1"/>
  <c r="AM528" i="123"/>
  <c r="AF512" i="123"/>
  <c r="S500" i="123"/>
  <c r="AF488" i="123"/>
  <c r="AA483" i="123"/>
  <c r="AA475" i="123"/>
  <c r="AA470" i="123"/>
  <c r="AD464" i="123"/>
  <c r="AD459" i="123"/>
  <c r="AF459" i="123" s="1"/>
  <c r="S459" i="123"/>
  <c r="AC456" i="123"/>
  <c r="AA450" i="123"/>
  <c r="AC441" i="123"/>
  <c r="S439" i="123"/>
  <c r="S436" i="123"/>
  <c r="AA435" i="123"/>
  <c r="AF433" i="123"/>
  <c r="S432" i="123"/>
  <c r="AA430" i="123"/>
  <c r="AA419" i="123"/>
  <c r="AC416" i="123"/>
  <c r="AC412" i="123"/>
  <c r="AA411" i="123"/>
  <c r="Z407" i="123"/>
  <c r="AA407" i="123"/>
  <c r="Z377" i="123"/>
  <c r="AA377" i="123"/>
  <c r="AD354" i="123"/>
  <c r="AF354" i="123" s="1"/>
  <c r="AC354" i="123"/>
  <c r="AA352" i="123"/>
  <c r="Z352" i="123"/>
  <c r="Z328" i="123"/>
  <c r="AA328" i="123"/>
  <c r="AD294" i="123"/>
  <c r="AC294" i="123"/>
  <c r="AF379" i="123"/>
  <c r="Z295" i="123"/>
  <c r="Z288" i="123"/>
  <c r="AD281" i="123"/>
  <c r="AF281" i="123" s="1"/>
  <c r="AF277" i="123"/>
  <c r="AC257" i="123"/>
  <c r="AD256" i="123"/>
  <c r="AF256" i="123" s="1"/>
  <c r="AC241" i="123"/>
  <c r="S241" i="123"/>
  <c r="S237" i="123"/>
  <c r="AF230" i="123"/>
  <c r="S217" i="123"/>
  <c r="S208" i="123"/>
  <c r="AD205" i="123"/>
  <c r="AE205" i="123" s="1"/>
  <c r="AD201" i="123"/>
  <c r="S200" i="123"/>
  <c r="Z138" i="123"/>
  <c r="AD136" i="123"/>
  <c r="AF136" i="123" s="1"/>
  <c r="S128" i="123"/>
  <c r="AC125" i="123"/>
  <c r="AD118" i="123"/>
  <c r="S113" i="123"/>
  <c r="AF91" i="123"/>
  <c r="AD89" i="123"/>
  <c r="AE89" i="123" s="1"/>
  <c r="S88" i="123"/>
  <c r="T88" i="123" s="1"/>
  <c r="AA84" i="123"/>
  <c r="AA76" i="123"/>
  <c r="Z73" i="123"/>
  <c r="Z68" i="123"/>
  <c r="AD62" i="123"/>
  <c r="AA41" i="123"/>
  <c r="AF37" i="123"/>
  <c r="AA25" i="123"/>
  <c r="AC18" i="123"/>
  <c r="Z11" i="123"/>
  <c r="Z7" i="123"/>
  <c r="S292" i="123"/>
  <c r="Z289" i="123"/>
  <c r="AC280" i="123"/>
  <c r="AD273" i="123"/>
  <c r="AD272" i="123"/>
  <c r="AA267" i="123"/>
  <c r="Z265" i="123"/>
  <c r="AC262" i="123"/>
  <c r="AC249" i="123"/>
  <c r="AA248" i="123"/>
  <c r="AA239" i="123"/>
  <c r="Z237" i="123"/>
  <c r="AD229" i="123"/>
  <c r="AF229" i="123" s="1"/>
  <c r="AF224" i="123"/>
  <c r="AC219" i="123"/>
  <c r="AA217" i="123"/>
  <c r="AA215" i="123"/>
  <c r="AD209" i="123"/>
  <c r="AE209" i="123" s="1"/>
  <c r="AA208" i="123"/>
  <c r="AA200" i="123"/>
  <c r="AF177" i="123"/>
  <c r="AD171" i="123"/>
  <c r="AF171" i="123" s="1"/>
  <c r="S171" i="123"/>
  <c r="AA166" i="123"/>
  <c r="AD155" i="123"/>
  <c r="AA151" i="123"/>
  <c r="Z140" i="123"/>
  <c r="AC137" i="123"/>
  <c r="AA128" i="123"/>
  <c r="AA108" i="123"/>
  <c r="S104" i="123"/>
  <c r="AA93" i="123"/>
  <c r="AD90" i="123"/>
  <c r="AF90" i="123" s="1"/>
  <c r="Z88" i="123"/>
  <c r="AA85" i="123"/>
  <c r="S63" i="123"/>
  <c r="T63" i="123" s="1"/>
  <c r="T59" i="123"/>
  <c r="AD58" i="123"/>
  <c r="AF58" i="123" s="1"/>
  <c r="T55" i="123"/>
  <c r="U55" i="123" s="1"/>
  <c r="AD54" i="123"/>
  <c r="AD43" i="123"/>
  <c r="AF43" i="123" s="1"/>
  <c r="AA42" i="123"/>
  <c r="AA37" i="123"/>
  <c r="AC238" i="123"/>
  <c r="AD231" i="123"/>
  <c r="AE231" i="123" s="1"/>
  <c r="AD225" i="123"/>
  <c r="AF225" i="123" s="1"/>
  <c r="AC207" i="123"/>
  <c r="Z206" i="123"/>
  <c r="AA188" i="123"/>
  <c r="AC181" i="123"/>
  <c r="AC173" i="123"/>
  <c r="Z168" i="123"/>
  <c r="AC148" i="123"/>
  <c r="AC129" i="123"/>
  <c r="S117" i="123"/>
  <c r="AD109" i="123"/>
  <c r="AE109" i="123" s="1"/>
  <c r="AA60" i="123"/>
  <c r="S57" i="123"/>
  <c r="S53" i="123"/>
  <c r="AA38" i="123"/>
  <c r="AC5" i="123"/>
  <c r="AF427" i="123"/>
  <c r="AF425" i="123"/>
  <c r="AF375" i="123"/>
  <c r="AF370" i="123"/>
  <c r="Z360" i="123"/>
  <c r="AA357" i="123"/>
  <c r="S348" i="123"/>
  <c r="S343" i="123"/>
  <c r="T343" i="123" s="1"/>
  <c r="S328" i="123"/>
  <c r="AC325" i="123"/>
  <c r="AC321" i="123"/>
  <c r="Z320" i="123"/>
  <c r="Z316" i="123"/>
  <c r="AD309" i="123"/>
  <c r="AF309" i="123" s="1"/>
  <c r="AA308" i="123"/>
  <c r="AA304" i="123"/>
  <c r="AC302" i="123"/>
  <c r="Z301" i="123"/>
  <c r="AD293" i="123"/>
  <c r="AF293" i="123" s="1"/>
  <c r="AA292" i="123"/>
  <c r="AD289" i="123"/>
  <c r="S288" i="123"/>
  <c r="AA287" i="123"/>
  <c r="AD284" i="123"/>
  <c r="AF284" i="123" s="1"/>
  <c r="Z281" i="123"/>
  <c r="AA280" i="123"/>
  <c r="AC277" i="123"/>
  <c r="AC274" i="123"/>
  <c r="Z268" i="123"/>
  <c r="AC265" i="123"/>
  <c r="AA264" i="123"/>
  <c r="AD261" i="123"/>
  <c r="AE261" i="123" s="1"/>
  <c r="AD248" i="123"/>
  <c r="V1925" i="123"/>
  <c r="W1925" i="123"/>
  <c r="AN1925" i="123" s="1"/>
  <c r="V1858" i="123"/>
  <c r="U1858" i="123"/>
  <c r="AN1992" i="123"/>
  <c r="AR1990" i="123"/>
  <c r="AS1990" i="123" s="1"/>
  <c r="AM1985" i="123"/>
  <c r="AA1974" i="123"/>
  <c r="AQ1973" i="123"/>
  <c r="AR1973" i="123" s="1"/>
  <c r="AS1973" i="123" s="1"/>
  <c r="AM1965" i="123"/>
  <c r="AN1960" i="123"/>
  <c r="AR1958" i="123"/>
  <c r="AS1958" i="123" s="1"/>
  <c r="AM1953" i="123"/>
  <c r="AA1942" i="123"/>
  <c r="AQ1941" i="123"/>
  <c r="AR1941" i="123" s="1"/>
  <c r="AS1941" i="123" s="1"/>
  <c r="AM1933" i="123"/>
  <c r="AN1928" i="123"/>
  <c r="AR1926" i="123"/>
  <c r="AS1926" i="123" s="1"/>
  <c r="AM1924" i="123"/>
  <c r="AM1923" i="123"/>
  <c r="AM1910" i="123"/>
  <c r="AM1909" i="123"/>
  <c r="AM1894" i="123"/>
  <c r="AM1893" i="123"/>
  <c r="AD1872" i="123"/>
  <c r="AE1872" i="123" s="1"/>
  <c r="AR1868" i="123"/>
  <c r="AS1868" i="123" s="1"/>
  <c r="AD1860" i="123"/>
  <c r="AE1860" i="123" s="1"/>
  <c r="AR1859" i="123"/>
  <c r="AS1859" i="123" s="1"/>
  <c r="AM1858" i="123"/>
  <c r="AR1853" i="123"/>
  <c r="AS1853" i="123" s="1"/>
  <c r="AR1843" i="123"/>
  <c r="AS1843" i="123" s="1"/>
  <c r="AM1842" i="123"/>
  <c r="AQ1838" i="123"/>
  <c r="AR1838" i="123" s="1"/>
  <c r="AS1838" i="123" s="1"/>
  <c r="AM1826" i="123"/>
  <c r="Z1806" i="123"/>
  <c r="AA1806" i="123"/>
  <c r="V1627" i="123"/>
  <c r="U1627" i="123"/>
  <c r="AM1996" i="123"/>
  <c r="Z1999" i="123"/>
  <c r="AA1998" i="123"/>
  <c r="AQ1997" i="123"/>
  <c r="AR1997" i="123" s="1"/>
  <c r="AS1997" i="123" s="1"/>
  <c r="AD1995" i="123"/>
  <c r="AE1995" i="123" s="1"/>
  <c r="AR1994" i="123"/>
  <c r="AS1994" i="123" s="1"/>
  <c r="AA1993" i="123"/>
  <c r="AF1993" i="123" s="1"/>
  <c r="AD1991" i="123"/>
  <c r="AE1991" i="123" s="1"/>
  <c r="AM1988" i="123"/>
  <c r="AM1987" i="123"/>
  <c r="AR1986" i="123"/>
  <c r="AS1986" i="123" s="1"/>
  <c r="AN1984" i="123"/>
  <c r="AM1982" i="123"/>
  <c r="AA1981" i="123"/>
  <c r="AQ1977" i="123"/>
  <c r="AR1977" i="123" s="1"/>
  <c r="AS1977" i="123" s="1"/>
  <c r="AM1976" i="123"/>
  <c r="AM1975" i="123"/>
  <c r="AM1970" i="123"/>
  <c r="AA1970" i="123"/>
  <c r="AR1966" i="123"/>
  <c r="AS1966" i="123" s="1"/>
  <c r="AD1963" i="123"/>
  <c r="AE1963" i="123" s="1"/>
  <c r="AR1962" i="123"/>
  <c r="AS1962" i="123" s="1"/>
  <c r="AA1961" i="123"/>
  <c r="AF1961" i="123" s="1"/>
  <c r="AD1959" i="123"/>
  <c r="AE1959" i="123" s="1"/>
  <c r="AM1956" i="123"/>
  <c r="AM1955" i="123"/>
  <c r="AR1954" i="123"/>
  <c r="AS1954" i="123" s="1"/>
  <c r="AN1952" i="123"/>
  <c r="AM1950" i="123"/>
  <c r="AA1949" i="123"/>
  <c r="AQ1945" i="123"/>
  <c r="AR1945" i="123" s="1"/>
  <c r="AS1945" i="123" s="1"/>
  <c r="AM1944" i="123"/>
  <c r="AM1943" i="123"/>
  <c r="AM1938" i="123"/>
  <c r="AA1938" i="123"/>
  <c r="AR1934" i="123"/>
  <c r="AS1934" i="123" s="1"/>
  <c r="AD1931" i="123"/>
  <c r="AE1931" i="123" s="1"/>
  <c r="AR1930" i="123"/>
  <c r="AS1930" i="123" s="1"/>
  <c r="AA1929" i="123"/>
  <c r="AF1929" i="123" s="1"/>
  <c r="AD1927" i="123"/>
  <c r="AE1927" i="123" s="1"/>
  <c r="AA1925" i="123"/>
  <c r="AF1925" i="123" s="1"/>
  <c r="AR1924" i="123"/>
  <c r="AS1924" i="123" s="1"/>
  <c r="AR1915" i="123"/>
  <c r="AS1915" i="123" s="1"/>
  <c r="AM1914" i="123"/>
  <c r="AM1913" i="123"/>
  <c r="AC1911" i="123"/>
  <c r="AN1908" i="123"/>
  <c r="AF1907" i="123"/>
  <c r="AG1907" i="123" s="1"/>
  <c r="AR1899" i="123"/>
  <c r="AS1899" i="123" s="1"/>
  <c r="AM1898" i="123"/>
  <c r="AM1897" i="123"/>
  <c r="AC1895" i="123"/>
  <c r="AN1892" i="123"/>
  <c r="AR1883" i="123"/>
  <c r="AS1883" i="123" s="1"/>
  <c r="AM1882" i="123"/>
  <c r="AM1881" i="123"/>
  <c r="AQ1878" i="123"/>
  <c r="AR1878" i="123" s="1"/>
  <c r="AS1878" i="123" s="1"/>
  <c r="AD1871" i="123"/>
  <c r="AF1871" i="123" s="1"/>
  <c r="AI1871" i="123" s="1"/>
  <c r="Z1869" i="123"/>
  <c r="AR1867" i="123"/>
  <c r="AS1867" i="123" s="1"/>
  <c r="AM1864" i="123"/>
  <c r="AA1862" i="123"/>
  <c r="Z1861" i="123"/>
  <c r="AN1861" i="123"/>
  <c r="AD1859" i="123"/>
  <c r="AR1858" i="123"/>
  <c r="AS1858" i="123" s="1"/>
  <c r="AN1857" i="123"/>
  <c r="AD1856" i="123"/>
  <c r="AE1856" i="123" s="1"/>
  <c r="AR1855" i="123"/>
  <c r="AS1855" i="123" s="1"/>
  <c r="AR1852" i="123"/>
  <c r="AS1852" i="123" s="1"/>
  <c r="AC1850" i="123"/>
  <c r="Z1845" i="123"/>
  <c r="AN1845" i="123"/>
  <c r="AR1842" i="123"/>
  <c r="AS1842" i="123" s="1"/>
  <c r="AM1841" i="123"/>
  <c r="AM1839" i="123"/>
  <c r="AN1829" i="123"/>
  <c r="AN1825" i="123"/>
  <c r="AR1820" i="123"/>
  <c r="AS1820" i="123" s="1"/>
  <c r="AD1814" i="123"/>
  <c r="AC1814" i="123"/>
  <c r="Z1808" i="123"/>
  <c r="AA1808" i="123"/>
  <c r="AF1808" i="123" s="1"/>
  <c r="AR1804" i="123"/>
  <c r="AS1804" i="123" s="1"/>
  <c r="AM1804" i="123"/>
  <c r="AR1800" i="123"/>
  <c r="AS1800" i="123" s="1"/>
  <c r="AC1792" i="123"/>
  <c r="AD1792" i="123"/>
  <c r="AR1790" i="123"/>
  <c r="AS1790" i="123" s="1"/>
  <c r="AD1788" i="123"/>
  <c r="AC1788" i="123"/>
  <c r="AD1994" i="123"/>
  <c r="AR1988" i="123"/>
  <c r="AS1988" i="123" s="1"/>
  <c r="Z1978" i="123"/>
  <c r="AF1977" i="123"/>
  <c r="AR1976" i="123"/>
  <c r="AS1976" i="123" s="1"/>
  <c r="AC1967" i="123"/>
  <c r="AD1966" i="123"/>
  <c r="AE1966" i="123" s="1"/>
  <c r="AN1964" i="123"/>
  <c r="AD1962" i="123"/>
  <c r="AF1962" i="123" s="1"/>
  <c r="AG1962" i="123" s="1"/>
  <c r="AQ1957" i="123"/>
  <c r="AR1957" i="123" s="1"/>
  <c r="AS1957" i="123" s="1"/>
  <c r="Z1946" i="123"/>
  <c r="AF1945" i="123"/>
  <c r="AG1945" i="123" s="1"/>
  <c r="AR1944" i="123"/>
  <c r="AS1944" i="123" s="1"/>
  <c r="AR1943" i="123"/>
  <c r="AS1943" i="123" s="1"/>
  <c r="AC1935" i="123"/>
  <c r="AD1934" i="123"/>
  <c r="AE1934" i="123" s="1"/>
  <c r="AN1932" i="123"/>
  <c r="AD1930" i="123"/>
  <c r="AE1930" i="123" s="1"/>
  <c r="AM1922" i="123"/>
  <c r="AA1922" i="123"/>
  <c r="AR1919" i="123"/>
  <c r="AS1919" i="123" s="1"/>
  <c r="AM1918" i="123"/>
  <c r="AM1917" i="123"/>
  <c r="AC1915" i="123"/>
  <c r="AN1912" i="123"/>
  <c r="AF1911" i="123"/>
  <c r="AA1906" i="123"/>
  <c r="AR1903" i="123"/>
  <c r="AS1903" i="123" s="1"/>
  <c r="AM1902" i="123"/>
  <c r="AM1901" i="123"/>
  <c r="AC1899" i="123"/>
  <c r="AN1896" i="123"/>
  <c r="AF1895" i="123"/>
  <c r="AG1895" i="123" s="1"/>
  <c r="AM1886" i="123"/>
  <c r="AM1885" i="123"/>
  <c r="AR1880" i="123"/>
  <c r="AS1880" i="123" s="1"/>
  <c r="Z1879" i="123"/>
  <c r="AC1878" i="123"/>
  <c r="AC1876" i="123"/>
  <c r="AE1876" i="123" s="1"/>
  <c r="U1872" i="123"/>
  <c r="AM1871" i="123"/>
  <c r="AC1868" i="123"/>
  <c r="AD1867" i="123"/>
  <c r="AE1867" i="123" s="1"/>
  <c r="AA1866" i="123"/>
  <c r="Z1865" i="123"/>
  <c r="AC1858" i="123"/>
  <c r="AD1855" i="123"/>
  <c r="AE1855" i="123" s="1"/>
  <c r="Z1853" i="123"/>
  <c r="AR1851" i="123"/>
  <c r="AS1851" i="123" s="1"/>
  <c r="AC1842" i="123"/>
  <c r="AM1836" i="123"/>
  <c r="AR1835" i="123"/>
  <c r="AS1835" i="123" s="1"/>
  <c r="AM1832" i="123"/>
  <c r="AD1826" i="123"/>
  <c r="AC1826" i="123"/>
  <c r="AM1819" i="123"/>
  <c r="AR1816" i="123"/>
  <c r="AS1816" i="123" s="1"/>
  <c r="AM1813" i="123"/>
  <c r="AR1812" i="123"/>
  <c r="AS1812" i="123" s="1"/>
  <c r="AC1810" i="123"/>
  <c r="AD1800" i="123"/>
  <c r="AF1800" i="123" s="1"/>
  <c r="AG1800" i="123" s="1"/>
  <c r="AC1800" i="123"/>
  <c r="U1584" i="123"/>
  <c r="W1584" i="123"/>
  <c r="AN1584" i="123" s="1"/>
  <c r="W1561" i="123"/>
  <c r="U1561" i="123"/>
  <c r="V1544" i="123"/>
  <c r="U1544" i="123"/>
  <c r="Z1821" i="123"/>
  <c r="AN1821" i="123"/>
  <c r="AM1815" i="123"/>
  <c r="AC1812" i="123"/>
  <c r="AA1805" i="123"/>
  <c r="Z1805" i="123"/>
  <c r="V1615" i="123"/>
  <c r="U1615" i="123"/>
  <c r="U1580" i="123"/>
  <c r="W1580" i="123"/>
  <c r="AN1580" i="123" s="1"/>
  <c r="AR1570" i="123"/>
  <c r="AS1570" i="123" s="1"/>
  <c r="AR1519" i="123"/>
  <c r="AS1519" i="123" s="1"/>
  <c r="V1507" i="123"/>
  <c r="U1507" i="123"/>
  <c r="U1787" i="123"/>
  <c r="AA1780" i="123"/>
  <c r="AM1779" i="123"/>
  <c r="AA1779" i="123"/>
  <c r="AM1775" i="123"/>
  <c r="AN1770" i="123"/>
  <c r="AM1769" i="123"/>
  <c r="AC1769" i="123"/>
  <c r="Z1762" i="123"/>
  <c r="AC1755" i="123"/>
  <c r="AD1754" i="123"/>
  <c r="AF1754" i="123" s="1"/>
  <c r="AR1750" i="123"/>
  <c r="AS1750" i="123" s="1"/>
  <c r="AC1745" i="123"/>
  <c r="AE1745" i="123" s="1"/>
  <c r="U1744" i="123"/>
  <c r="AC1733" i="123"/>
  <c r="AC1731" i="123"/>
  <c r="AE1731" i="123" s="1"/>
  <c r="AD1730" i="123"/>
  <c r="AE1730" i="123" s="1"/>
  <c r="AC1725" i="123"/>
  <c r="AC1723" i="123"/>
  <c r="AD1722" i="123"/>
  <c r="AE1722" i="123" s="1"/>
  <c r="AC1719" i="123"/>
  <c r="AE1719" i="123" s="1"/>
  <c r="AD1709" i="123"/>
  <c r="AE1709" i="123" s="1"/>
  <c r="AC1707" i="123"/>
  <c r="AC1701" i="123"/>
  <c r="AC1699" i="123"/>
  <c r="V1695" i="123"/>
  <c r="AM1693" i="123"/>
  <c r="AR1690" i="123"/>
  <c r="AS1690" i="123" s="1"/>
  <c r="Z1690" i="123"/>
  <c r="AN1689" i="123"/>
  <c r="Z1687" i="123"/>
  <c r="Z1686" i="123"/>
  <c r="V1686" i="123"/>
  <c r="AA1685" i="123"/>
  <c r="AC1684" i="123"/>
  <c r="AE1684" i="123" s="1"/>
  <c r="AD1683" i="123"/>
  <c r="AN1678" i="123"/>
  <c r="AD1675" i="123"/>
  <c r="AF1675" i="123" s="1"/>
  <c r="AI1675" i="123" s="1"/>
  <c r="AA1665" i="123"/>
  <c r="AC1664" i="123"/>
  <c r="AC1663" i="123"/>
  <c r="AA1662" i="123"/>
  <c r="AA1661" i="123"/>
  <c r="AC1659" i="123"/>
  <c r="AA1649" i="123"/>
  <c r="AC1648" i="123"/>
  <c r="AC1647" i="123"/>
  <c r="AQ1646" i="123"/>
  <c r="AR1646" i="123" s="1"/>
  <c r="AS1646" i="123" s="1"/>
  <c r="Z1640" i="123"/>
  <c r="U1640" i="123"/>
  <c r="AA1639" i="123"/>
  <c r="AA1638" i="123"/>
  <c r="AA1636" i="123"/>
  <c r="Z1634" i="123"/>
  <c r="AN1634" i="123"/>
  <c r="AD1633" i="123"/>
  <c r="Z1629" i="123"/>
  <c r="U1629" i="123"/>
  <c r="AN1628" i="123"/>
  <c r="AM1624" i="123"/>
  <c r="Z1622" i="123"/>
  <c r="AM1620" i="123"/>
  <c r="Z1620" i="123"/>
  <c r="AC1619" i="123"/>
  <c r="AD1618" i="123"/>
  <c r="AF1618" i="123" s="1"/>
  <c r="AG1618" i="123" s="1"/>
  <c r="AC1617" i="123"/>
  <c r="AE1617" i="123" s="1"/>
  <c r="AC1614" i="123"/>
  <c r="AD1613" i="123"/>
  <c r="AA1611" i="123"/>
  <c r="AR1609" i="123"/>
  <c r="AS1609" i="123" s="1"/>
  <c r="U1609" i="123"/>
  <c r="AD1608" i="123"/>
  <c r="AA1607" i="123"/>
  <c r="AD1604" i="123"/>
  <c r="AE1604" i="123" s="1"/>
  <c r="AQ1603" i="123"/>
  <c r="AR1603" i="123" s="1"/>
  <c r="AS1603" i="123" s="1"/>
  <c r="AM1602" i="123"/>
  <c r="AD1600" i="123"/>
  <c r="AE1600" i="123" s="1"/>
  <c r="AM1593" i="123"/>
  <c r="AM1592" i="123"/>
  <c r="AA1592" i="123"/>
  <c r="AC1590" i="123"/>
  <c r="AA1587" i="123"/>
  <c r="AA1584" i="123"/>
  <c r="AM1583" i="123"/>
  <c r="Z1580" i="123"/>
  <c r="AQ1579" i="123"/>
  <c r="AR1579" i="123" s="1"/>
  <c r="AS1579" i="123" s="1"/>
  <c r="AA1577" i="123"/>
  <c r="AA1573" i="123"/>
  <c r="AQ1571" i="123"/>
  <c r="AR1571" i="123" s="1"/>
  <c r="AS1571" i="123" s="1"/>
  <c r="AR1569" i="123"/>
  <c r="AS1569" i="123" s="1"/>
  <c r="Z1569" i="123"/>
  <c r="Z1568" i="123"/>
  <c r="AD1565" i="123"/>
  <c r="Z1563" i="123"/>
  <c r="AD1562" i="123"/>
  <c r="AE1562" i="123" s="1"/>
  <c r="Z1561" i="123"/>
  <c r="Z1560" i="123"/>
  <c r="AC1559" i="123"/>
  <c r="AE1559" i="123" s="1"/>
  <c r="AD1558" i="123"/>
  <c r="AF1558" i="123" s="1"/>
  <c r="Z1557" i="123"/>
  <c r="AA1556" i="123"/>
  <c r="AD1555" i="123"/>
  <c r="AF1555" i="123" s="1"/>
  <c r="AG1555" i="123" s="1"/>
  <c r="AC1554" i="123"/>
  <c r="Z1553" i="123"/>
  <c r="AC1552" i="123"/>
  <c r="AA1550" i="123"/>
  <c r="AD1543" i="123"/>
  <c r="AD1539" i="123"/>
  <c r="AF1539" i="123" s="1"/>
  <c r="V1537" i="123"/>
  <c r="AR1536" i="123"/>
  <c r="AS1536" i="123" s="1"/>
  <c r="AD1534" i="123"/>
  <c r="AE1534" i="123" s="1"/>
  <c r="AQ1523" i="123"/>
  <c r="AR1523" i="123" s="1"/>
  <c r="AS1523" i="123" s="1"/>
  <c r="AA1514" i="123"/>
  <c r="AC1504" i="123"/>
  <c r="AD1504" i="123"/>
  <c r="AF1504" i="123" s="1"/>
  <c r="Z1497" i="123"/>
  <c r="AA1497" i="123"/>
  <c r="W1493" i="123"/>
  <c r="AN1493" i="123" s="1"/>
  <c r="U1488" i="123"/>
  <c r="W1488" i="123"/>
  <c r="AN1488" i="123" s="1"/>
  <c r="AQ1487" i="123"/>
  <c r="AR1487" i="123" s="1"/>
  <c r="AS1487" i="123" s="1"/>
  <c r="AC1484" i="123"/>
  <c r="AD1484" i="123"/>
  <c r="Z1480" i="123"/>
  <c r="AA1480" i="123"/>
  <c r="V1368" i="123"/>
  <c r="W1368" i="123"/>
  <c r="AN1368" i="123" s="1"/>
  <c r="AR1355" i="123"/>
  <c r="AS1355" i="123" s="1"/>
  <c r="AA1713" i="123"/>
  <c r="AM1712" i="123"/>
  <c r="AR1711" i="123"/>
  <c r="AS1711" i="123" s="1"/>
  <c r="AM1709" i="123"/>
  <c r="AM1701" i="123"/>
  <c r="AD1698" i="123"/>
  <c r="AF1698" i="123" s="1"/>
  <c r="AG1698" i="123" s="1"/>
  <c r="Z1695" i="123"/>
  <c r="AD1690" i="123"/>
  <c r="AE1690" i="123" s="1"/>
  <c r="AD1686" i="123"/>
  <c r="AE1686" i="123" s="1"/>
  <c r="U1684" i="123"/>
  <c r="AD1682" i="123"/>
  <c r="AC1680" i="123"/>
  <c r="AN1674" i="123"/>
  <c r="AC1672" i="123"/>
  <c r="AF1663" i="123"/>
  <c r="AI1663" i="123" s="1"/>
  <c r="AM1654" i="123"/>
  <c r="U1638" i="123"/>
  <c r="AM1633" i="123"/>
  <c r="Z1630" i="123"/>
  <c r="AN1630" i="123"/>
  <c r="AC1610" i="123"/>
  <c r="AC1609" i="123"/>
  <c r="AC1606" i="123"/>
  <c r="AN1604" i="123"/>
  <c r="AN1600" i="123"/>
  <c r="AM1596" i="123"/>
  <c r="AA1596" i="123"/>
  <c r="W1588" i="123"/>
  <c r="AN1588" i="123" s="1"/>
  <c r="AD1569" i="123"/>
  <c r="AE1569" i="123" s="1"/>
  <c r="AD1557" i="123"/>
  <c r="AF1557" i="123" s="1"/>
  <c r="AQ1554" i="123"/>
  <c r="AR1554" i="123" s="1"/>
  <c r="AS1554" i="123" s="1"/>
  <c r="W1551" i="123"/>
  <c r="AN1551" i="123" s="1"/>
  <c r="AD1548" i="123"/>
  <c r="AR1546" i="123"/>
  <c r="AS1546" i="123" s="1"/>
  <c r="AR1544" i="123"/>
  <c r="AS1544" i="123" s="1"/>
  <c r="AM1542" i="123"/>
  <c r="AM1540" i="123"/>
  <c r="U1540" i="123"/>
  <c r="AM1539" i="123"/>
  <c r="AC1536" i="123"/>
  <c r="W1535" i="123"/>
  <c r="AN1535" i="123" s="1"/>
  <c r="AM1534" i="123"/>
  <c r="AM1533" i="123"/>
  <c r="U1533" i="123"/>
  <c r="AM1532" i="123"/>
  <c r="AM1530" i="123"/>
  <c r="AM1529" i="123"/>
  <c r="AM1525" i="123"/>
  <c r="AR1524" i="123"/>
  <c r="AS1524" i="123" s="1"/>
  <c r="AQ1522" i="123"/>
  <c r="AR1522" i="123" s="1"/>
  <c r="AS1522" i="123" s="1"/>
  <c r="Z1520" i="123"/>
  <c r="AQ1517" i="123"/>
  <c r="AR1517" i="123" s="1"/>
  <c r="AS1517" i="123" s="1"/>
  <c r="AA1515" i="123"/>
  <c r="AD1513" i="123"/>
  <c r="AD1512" i="123"/>
  <c r="AA1511" i="123"/>
  <c r="AD1509" i="123"/>
  <c r="AF1509" i="123" s="1"/>
  <c r="AN1508" i="123"/>
  <c r="AR1507" i="123"/>
  <c r="AS1507" i="123" s="1"/>
  <c r="AQ1503" i="123"/>
  <c r="AR1503" i="123" s="1"/>
  <c r="AS1503" i="123" s="1"/>
  <c r="AM1502" i="123"/>
  <c r="AM1501" i="123"/>
  <c r="Z1498" i="123"/>
  <c r="AA1498" i="123"/>
  <c r="Z1496" i="123"/>
  <c r="AA1496" i="123"/>
  <c r="U1496" i="123"/>
  <c r="AM1792" i="123"/>
  <c r="AR1786" i="123"/>
  <c r="AS1786" i="123" s="1"/>
  <c r="AN1781" i="123"/>
  <c r="AR1769" i="123"/>
  <c r="AS1769" i="123" s="1"/>
  <c r="AR1762" i="123"/>
  <c r="AS1762" i="123" s="1"/>
  <c r="AM1761" i="123"/>
  <c r="AM1757" i="123"/>
  <c r="AM1755" i="123"/>
  <c r="AM1717" i="123"/>
  <c r="AN1683" i="123"/>
  <c r="AQ1669" i="123"/>
  <c r="AR1669" i="123" s="1"/>
  <c r="AS1669" i="123" s="1"/>
  <c r="AN1608" i="123"/>
  <c r="AR1596" i="123"/>
  <c r="AS1596" i="123" s="1"/>
  <c r="AR1566" i="123"/>
  <c r="AS1566" i="123" s="1"/>
  <c r="AN1558" i="123"/>
  <c r="AQ1550" i="123"/>
  <c r="AR1550" i="123" s="1"/>
  <c r="AS1550" i="123" s="1"/>
  <c r="AR1549" i="123"/>
  <c r="AS1549" i="123" s="1"/>
  <c r="V1533" i="123"/>
  <c r="AA1531" i="123"/>
  <c r="W1531" i="123"/>
  <c r="AN1531" i="123" s="1"/>
  <c r="AR1530" i="123"/>
  <c r="AS1530" i="123" s="1"/>
  <c r="AD1520" i="123"/>
  <c r="AA1518" i="123"/>
  <c r="U1503" i="123"/>
  <c r="AQ1476" i="123"/>
  <c r="AR1476" i="123" s="1"/>
  <c r="AS1476" i="123" s="1"/>
  <c r="V1412" i="123"/>
  <c r="W1412" i="123"/>
  <c r="AN1412" i="123" s="1"/>
  <c r="V1388" i="123"/>
  <c r="W1388" i="123"/>
  <c r="AN1388" i="123" s="1"/>
  <c r="V1355" i="123"/>
  <c r="U1355" i="123"/>
  <c r="AM1824" i="123"/>
  <c r="AM1820" i="123"/>
  <c r="AR1819" i="123"/>
  <c r="AS1819" i="123" s="1"/>
  <c r="AM1816" i="123"/>
  <c r="AR1813" i="123"/>
  <c r="AS1813" i="123" s="1"/>
  <c r="AM1807" i="123"/>
  <c r="AA1796" i="123"/>
  <c r="AM1795" i="123"/>
  <c r="AA1795" i="123"/>
  <c r="AR1792" i="123"/>
  <c r="AS1792" i="123" s="1"/>
  <c r="AA1790" i="123"/>
  <c r="AC1786" i="123"/>
  <c r="AA1784" i="123"/>
  <c r="AM1783" i="123"/>
  <c r="AA1782" i="123"/>
  <c r="Z1781" i="123"/>
  <c r="AM1778" i="123"/>
  <c r="AM1772" i="123"/>
  <c r="AA1771" i="123"/>
  <c r="AF1771" i="123" s="1"/>
  <c r="AD1770" i="123"/>
  <c r="AF1770" i="123" s="1"/>
  <c r="AC1767" i="123"/>
  <c r="AR1763" i="123"/>
  <c r="AS1763" i="123" s="1"/>
  <c r="Z1758" i="123"/>
  <c r="AR1755" i="123"/>
  <c r="AS1755" i="123" s="1"/>
  <c r="AR1754" i="123"/>
  <c r="AS1754" i="123" s="1"/>
  <c r="AM1753" i="123"/>
  <c r="AM1751" i="123"/>
  <c r="U1748" i="123"/>
  <c r="AC1743" i="123"/>
  <c r="U1740" i="123"/>
  <c r="AM1737" i="123"/>
  <c r="Z1736" i="123"/>
  <c r="U1736" i="123"/>
  <c r="AR1731" i="123"/>
  <c r="AS1731" i="123" s="1"/>
  <c r="AR1730" i="123"/>
  <c r="AS1730" i="123" s="1"/>
  <c r="AM1729" i="123"/>
  <c r="Z1728" i="123"/>
  <c r="U1728" i="123"/>
  <c r="AR1723" i="123"/>
  <c r="AS1723" i="123" s="1"/>
  <c r="AR1722" i="123"/>
  <c r="AS1722" i="123" s="1"/>
  <c r="AM1721" i="123"/>
  <c r="AR1719" i="123"/>
  <c r="AS1719" i="123" s="1"/>
  <c r="AD1713" i="123"/>
  <c r="AD1710" i="123"/>
  <c r="AF1710" i="123" s="1"/>
  <c r="AR1707" i="123"/>
  <c r="AS1707" i="123" s="1"/>
  <c r="AR1706" i="123"/>
  <c r="AS1706" i="123" s="1"/>
  <c r="Z1694" i="123"/>
  <c r="AM1690" i="123"/>
  <c r="AR1689" i="123"/>
  <c r="AS1689" i="123" s="1"/>
  <c r="AF1687" i="123"/>
  <c r="AG1687" i="123" s="1"/>
  <c r="U1687" i="123"/>
  <c r="U1682" i="123"/>
  <c r="AD1678" i="123"/>
  <c r="AQ1677" i="123"/>
  <c r="AR1677" i="123" s="1"/>
  <c r="AS1677" i="123" s="1"/>
  <c r="AM1670" i="123"/>
  <c r="AN1670" i="123"/>
  <c r="AD1667" i="123"/>
  <c r="AQ1650" i="123"/>
  <c r="AR1650" i="123" s="1"/>
  <c r="AS1650" i="123" s="1"/>
  <c r="AN1638" i="123"/>
  <c r="AQ1628" i="123"/>
  <c r="AR1628" i="123" s="1"/>
  <c r="AS1628" i="123" s="1"/>
  <c r="AM1625" i="123"/>
  <c r="AR1613" i="123"/>
  <c r="AS1613" i="123" s="1"/>
  <c r="AM1606" i="123"/>
  <c r="AM1595" i="123"/>
  <c r="AQ1588" i="123"/>
  <c r="AR1588" i="123" s="1"/>
  <c r="AS1588" i="123" s="1"/>
  <c r="AM1579" i="123"/>
  <c r="AR1578" i="123"/>
  <c r="AS1578" i="123" s="1"/>
  <c r="AM1578" i="123"/>
  <c r="AR1576" i="123"/>
  <c r="AS1576" i="123" s="1"/>
  <c r="Z1575" i="123"/>
  <c r="AM1571" i="123"/>
  <c r="AM1570" i="123"/>
  <c r="AM1568" i="123"/>
  <c r="AQ1567" i="123"/>
  <c r="AR1567" i="123" s="1"/>
  <c r="AS1567" i="123" s="1"/>
  <c r="AM1560" i="123"/>
  <c r="Z1558" i="123"/>
  <c r="Z1555" i="123"/>
  <c r="AQ1547" i="123"/>
  <c r="AR1547" i="123" s="1"/>
  <c r="AS1547" i="123" s="1"/>
  <c r="Z1543" i="123"/>
  <c r="AC1542" i="123"/>
  <c r="AM1541" i="123"/>
  <c r="AM1536" i="123"/>
  <c r="AD1535" i="123"/>
  <c r="Z1534" i="123"/>
  <c r="Z1533" i="123"/>
  <c r="AD1532" i="123"/>
  <c r="U1532" i="123"/>
  <c r="Z1530" i="123"/>
  <c r="U1529" i="123"/>
  <c r="AM1527" i="123"/>
  <c r="Z1525" i="123"/>
  <c r="W1524" i="123"/>
  <c r="AN1524" i="123" s="1"/>
  <c r="AM1523" i="123"/>
  <c r="AD1522" i="123"/>
  <c r="AE1522" i="123" s="1"/>
  <c r="AA1519" i="123"/>
  <c r="AD1517" i="123"/>
  <c r="AE1517" i="123" s="1"/>
  <c r="AN1516" i="123"/>
  <c r="AR1515" i="123"/>
  <c r="AS1515" i="123" s="1"/>
  <c r="AQ1513" i="123"/>
  <c r="AR1513" i="123" s="1"/>
  <c r="AS1513" i="123" s="1"/>
  <c r="AQ1511" i="123"/>
  <c r="AR1511" i="123" s="1"/>
  <c r="AS1511" i="123" s="1"/>
  <c r="AQ1509" i="123"/>
  <c r="AR1509" i="123" s="1"/>
  <c r="AS1509" i="123" s="1"/>
  <c r="AN1505" i="123"/>
  <c r="AQ1504" i="123"/>
  <c r="AR1504" i="123" s="1"/>
  <c r="AS1504" i="123" s="1"/>
  <c r="W1496" i="123"/>
  <c r="AN1496" i="123" s="1"/>
  <c r="U1480" i="123"/>
  <c r="W1480" i="123"/>
  <c r="AN1480" i="123" s="1"/>
  <c r="V1374" i="123"/>
  <c r="W1374" i="123"/>
  <c r="AN1374" i="123" s="1"/>
  <c r="V1371" i="123"/>
  <c r="W1371" i="123"/>
  <c r="AN1371" i="123" s="1"/>
  <c r="AM1494" i="123"/>
  <c r="AM1493" i="123"/>
  <c r="AQ1488" i="123"/>
  <c r="AR1488" i="123" s="1"/>
  <c r="AS1488" i="123" s="1"/>
  <c r="AD1487" i="123"/>
  <c r="AE1487" i="123" s="1"/>
  <c r="U1485" i="123"/>
  <c r="AQ1484" i="123"/>
  <c r="AR1484" i="123" s="1"/>
  <c r="AS1484" i="123" s="1"/>
  <c r="U1468" i="123"/>
  <c r="AM1466" i="123"/>
  <c r="AM1465" i="123"/>
  <c r="AM1464" i="123"/>
  <c r="AN1462" i="123"/>
  <c r="AR1461" i="123"/>
  <c r="AS1461" i="123" s="1"/>
  <c r="V1461" i="123"/>
  <c r="AM1458" i="123"/>
  <c r="AQ1456" i="123"/>
  <c r="AR1456" i="123" s="1"/>
  <c r="AS1456" i="123" s="1"/>
  <c r="AM1449" i="123"/>
  <c r="AM1440" i="123"/>
  <c r="AM1435" i="123"/>
  <c r="AM1434" i="123"/>
  <c r="AM1433" i="123"/>
  <c r="AN1427" i="123"/>
  <c r="AR1420" i="123"/>
  <c r="AS1420" i="123" s="1"/>
  <c r="AM1420" i="123"/>
  <c r="AM1417" i="123"/>
  <c r="AM1414" i="123"/>
  <c r="AR1413" i="123"/>
  <c r="AS1413" i="123" s="1"/>
  <c r="AD1408" i="123"/>
  <c r="AD1406" i="123"/>
  <c r="AE1406" i="123" s="1"/>
  <c r="AA1405" i="123"/>
  <c r="AD1404" i="123"/>
  <c r="AE1404" i="123" s="1"/>
  <c r="AR1403" i="123"/>
  <c r="AS1403" i="123" s="1"/>
  <c r="AR1400" i="123"/>
  <c r="AS1400" i="123" s="1"/>
  <c r="AD1394" i="123"/>
  <c r="AE1394" i="123" s="1"/>
  <c r="AM1391" i="123"/>
  <c r="AM1387" i="123"/>
  <c r="AA1380" i="123"/>
  <c r="AM1376" i="123"/>
  <c r="AM1375" i="123"/>
  <c r="AA1374" i="123"/>
  <c r="AM1373" i="123"/>
  <c r="AA1372" i="123"/>
  <c r="AR1370" i="123"/>
  <c r="AS1370" i="123" s="1"/>
  <c r="AM1369" i="123"/>
  <c r="AM1368" i="123"/>
  <c r="AR1367" i="123"/>
  <c r="AS1367" i="123" s="1"/>
  <c r="AM1366" i="123"/>
  <c r="AM1365" i="123"/>
  <c r="AF1364" i="123"/>
  <c r="AG1364" i="123" s="1"/>
  <c r="AA1362" i="123"/>
  <c r="AQ1360" i="123"/>
  <c r="AR1360" i="123" s="1"/>
  <c r="AS1360" i="123" s="1"/>
  <c r="AA1358" i="123"/>
  <c r="AE1355" i="123"/>
  <c r="AA1352" i="123"/>
  <c r="AN1352" i="123"/>
  <c r="AC1339" i="123"/>
  <c r="AD1339" i="123"/>
  <c r="AN1339" i="123"/>
  <c r="AM1336" i="123"/>
  <c r="V1332" i="123"/>
  <c r="W1332" i="123"/>
  <c r="AN1332" i="123" s="1"/>
  <c r="AD1331" i="123"/>
  <c r="AC1331" i="123"/>
  <c r="W1331" i="123"/>
  <c r="AM1330" i="123"/>
  <c r="AR1329" i="123"/>
  <c r="AS1329" i="123" s="1"/>
  <c r="V1186" i="123"/>
  <c r="U1186" i="123"/>
  <c r="V1160" i="123"/>
  <c r="U1160" i="123"/>
  <c r="AM1506" i="123"/>
  <c r="AM1505" i="123"/>
  <c r="AR1501" i="123"/>
  <c r="AS1501" i="123" s="1"/>
  <c r="AR1499" i="123"/>
  <c r="AS1499" i="123" s="1"/>
  <c r="AR1495" i="123"/>
  <c r="AS1495" i="123" s="1"/>
  <c r="AR1493" i="123"/>
  <c r="AS1493" i="123" s="1"/>
  <c r="AM1491" i="123"/>
  <c r="AM1482" i="123"/>
  <c r="AM1481" i="123"/>
  <c r="AM1479" i="123"/>
  <c r="AM1474" i="123"/>
  <c r="AD1471" i="123"/>
  <c r="AF1471" i="123" s="1"/>
  <c r="AG1471" i="123" s="1"/>
  <c r="AD1470" i="123"/>
  <c r="AM1469" i="123"/>
  <c r="AD1467" i="123"/>
  <c r="AE1467" i="123" s="1"/>
  <c r="AR1466" i="123"/>
  <c r="AS1466" i="123" s="1"/>
  <c r="AR1465" i="123"/>
  <c r="AS1465" i="123" s="1"/>
  <c r="AQ1464" i="123"/>
  <c r="AR1464" i="123" s="1"/>
  <c r="AS1464" i="123" s="1"/>
  <c r="AM1460" i="123"/>
  <c r="AR1458" i="123"/>
  <c r="AS1458" i="123" s="1"/>
  <c r="AD1457" i="123"/>
  <c r="AD1455" i="123"/>
  <c r="AF1455" i="123" s="1"/>
  <c r="AM1453" i="123"/>
  <c r="AM1452" i="123"/>
  <c r="AR1451" i="123"/>
  <c r="AS1451" i="123" s="1"/>
  <c r="AR1449" i="123"/>
  <c r="AS1449" i="123" s="1"/>
  <c r="U1448" i="123"/>
  <c r="AM1445" i="123"/>
  <c r="AD1439" i="123"/>
  <c r="AE1439" i="123" s="1"/>
  <c r="AQ1438" i="123"/>
  <c r="AR1438" i="123" s="1"/>
  <c r="AS1438" i="123" s="1"/>
  <c r="AA1438" i="123"/>
  <c r="AA1437" i="123"/>
  <c r="AF1437" i="123" s="1"/>
  <c r="AG1437" i="123" s="1"/>
  <c r="AM1436" i="123"/>
  <c r="AR1435" i="123"/>
  <c r="AS1435" i="123" s="1"/>
  <c r="AR1434" i="123"/>
  <c r="AS1434" i="123" s="1"/>
  <c r="AR1433" i="123"/>
  <c r="AS1433" i="123" s="1"/>
  <c r="AM1431" i="123"/>
  <c r="AM1430" i="123"/>
  <c r="AA1430" i="123"/>
  <c r="AF1430" i="123" s="1"/>
  <c r="AG1430" i="123" s="1"/>
  <c r="AA1428" i="123"/>
  <c r="AM1425" i="123"/>
  <c r="AD1423" i="123"/>
  <c r="AM1422" i="123"/>
  <c r="AM1421" i="123"/>
  <c r="AD1419" i="123"/>
  <c r="AQ1418" i="123"/>
  <c r="AR1418" i="123" s="1"/>
  <c r="AS1418" i="123" s="1"/>
  <c r="AA1418" i="123"/>
  <c r="AR1417" i="123"/>
  <c r="AS1417" i="123" s="1"/>
  <c r="AD1415" i="123"/>
  <c r="AE1415" i="123" s="1"/>
  <c r="AM1410" i="123"/>
  <c r="AM1409" i="123"/>
  <c r="AM1407" i="123"/>
  <c r="AM1406" i="123"/>
  <c r="AM1401" i="123"/>
  <c r="AA1401" i="123"/>
  <c r="AF1401" i="123" s="1"/>
  <c r="AA1398" i="123"/>
  <c r="AN1398" i="123"/>
  <c r="AD1397" i="123"/>
  <c r="W1396" i="123"/>
  <c r="AN1396" i="123" s="1"/>
  <c r="AM1395" i="123"/>
  <c r="AM1392" i="123"/>
  <c r="AR1391" i="123"/>
  <c r="AS1391" i="123" s="1"/>
  <c r="AM1389" i="123"/>
  <c r="AA1388" i="123"/>
  <c r="AF1388" i="123" s="1"/>
  <c r="AR1387" i="123"/>
  <c r="AS1387" i="123" s="1"/>
  <c r="AQ1386" i="123"/>
  <c r="AR1386" i="123" s="1"/>
  <c r="AS1386" i="123" s="1"/>
  <c r="AA1386" i="123"/>
  <c r="AQ1385" i="123"/>
  <c r="AR1385" i="123" s="1"/>
  <c r="AS1385" i="123" s="1"/>
  <c r="AD1383" i="123"/>
  <c r="AQ1382" i="123"/>
  <c r="AR1382" i="123" s="1"/>
  <c r="AS1382" i="123" s="1"/>
  <c r="AA1382" i="123"/>
  <c r="AD1378" i="123"/>
  <c r="AF1378" i="123" s="1"/>
  <c r="AG1378" i="123" s="1"/>
  <c r="AR1376" i="123"/>
  <c r="AS1376" i="123" s="1"/>
  <c r="AM1374" i="123"/>
  <c r="AD1372" i="123"/>
  <c r="AE1372" i="123" s="1"/>
  <c r="AD1370" i="123"/>
  <c r="AE1370" i="123" s="1"/>
  <c r="AA1369" i="123"/>
  <c r="AQ1368" i="123"/>
  <c r="AR1368" i="123" s="1"/>
  <c r="AS1368" i="123" s="1"/>
  <c r="AR1366" i="123"/>
  <c r="AS1366" i="123" s="1"/>
  <c r="W1364" i="123"/>
  <c r="AN1364" i="123" s="1"/>
  <c r="AM1363" i="123"/>
  <c r="AQ1361" i="123"/>
  <c r="AR1361" i="123" s="1"/>
  <c r="AS1361" i="123" s="1"/>
  <c r="AF1360" i="123"/>
  <c r="AA1359" i="123"/>
  <c r="AQ1358" i="123"/>
  <c r="AR1358" i="123" s="1"/>
  <c r="AS1358" i="123" s="1"/>
  <c r="AD1357" i="123"/>
  <c r="AE1357" i="123" s="1"/>
  <c r="AM1355" i="123"/>
  <c r="Z1353" i="123"/>
  <c r="AA1353" i="123"/>
  <c r="AD1350" i="123"/>
  <c r="AE1350" i="123" s="1"/>
  <c r="AD1349" i="123"/>
  <c r="AC1349" i="123"/>
  <c r="AC1345" i="123"/>
  <c r="AD1345" i="123"/>
  <c r="AF1345" i="123" s="1"/>
  <c r="AG1345" i="123" s="1"/>
  <c r="Z1338" i="123"/>
  <c r="AA1338" i="123"/>
  <c r="AC1335" i="123"/>
  <c r="AD1335" i="123"/>
  <c r="AF1335" i="123" s="1"/>
  <c r="AI1335" i="123" s="1"/>
  <c r="AR1333" i="123"/>
  <c r="AS1333" i="123" s="1"/>
  <c r="U1331" i="123"/>
  <c r="V1306" i="123"/>
  <c r="U1306" i="123"/>
  <c r="AQ1479" i="123"/>
  <c r="AR1479" i="123" s="1"/>
  <c r="AS1479" i="123" s="1"/>
  <c r="AM1470" i="123"/>
  <c r="AC1464" i="123"/>
  <c r="U1464" i="123"/>
  <c r="AM1457" i="123"/>
  <c r="V1456" i="123"/>
  <c r="AM1455" i="123"/>
  <c r="AM1454" i="123"/>
  <c r="AA1454" i="123"/>
  <c r="AC1451" i="123"/>
  <c r="AA1450" i="123"/>
  <c r="AC1449" i="123"/>
  <c r="AF1446" i="123"/>
  <c r="AG1446" i="123" s="1"/>
  <c r="AD1442" i="123"/>
  <c r="AE1442" i="123" s="1"/>
  <c r="AD1441" i="123"/>
  <c r="W1440" i="123"/>
  <c r="AN1440" i="123" s="1"/>
  <c r="AM1439" i="123"/>
  <c r="AF1433" i="123"/>
  <c r="AG1433" i="123" s="1"/>
  <c r="AR1431" i="123"/>
  <c r="AS1431" i="123" s="1"/>
  <c r="AR1421" i="123"/>
  <c r="AS1421" i="123" s="1"/>
  <c r="AF1420" i="123"/>
  <c r="W1420" i="123"/>
  <c r="AN1420" i="123" s="1"/>
  <c r="AM1419" i="123"/>
  <c r="AF1416" i="123"/>
  <c r="AG1416" i="123" s="1"/>
  <c r="W1416" i="123"/>
  <c r="AN1416" i="123" s="1"/>
  <c r="AM1415" i="123"/>
  <c r="AN1414" i="123"/>
  <c r="AD1405" i="123"/>
  <c r="AQ1398" i="123"/>
  <c r="AR1398" i="123" s="1"/>
  <c r="AS1398" i="123" s="1"/>
  <c r="AA1396" i="123"/>
  <c r="AF1396" i="123" s="1"/>
  <c r="W1391" i="123"/>
  <c r="AN1391" i="123" s="1"/>
  <c r="AQ1388" i="123"/>
  <c r="AR1388" i="123" s="1"/>
  <c r="AS1388" i="123" s="1"/>
  <c r="AM1383" i="123"/>
  <c r="AD1380" i="123"/>
  <c r="AM1378" i="123"/>
  <c r="AR1374" i="123"/>
  <c r="AS1374" i="123" s="1"/>
  <c r="AA1354" i="123"/>
  <c r="Z1354" i="123"/>
  <c r="W1343" i="123"/>
  <c r="AN1343" i="123" s="1"/>
  <c r="AM1339" i="123"/>
  <c r="AM1332" i="123"/>
  <c r="AD1329" i="123"/>
  <c r="AF1329" i="123" s="1"/>
  <c r="AC1329" i="123"/>
  <c r="AR1311" i="123"/>
  <c r="AS1311" i="123" s="1"/>
  <c r="V1302" i="123"/>
  <c r="U1302" i="123"/>
  <c r="AR1470" i="123"/>
  <c r="AS1470" i="123" s="1"/>
  <c r="AR1371" i="123"/>
  <c r="AS1371" i="123" s="1"/>
  <c r="AN1363" i="123"/>
  <c r="AR1362" i="123"/>
  <c r="AS1362" i="123" s="1"/>
  <c r="AM1362" i="123"/>
  <c r="AN1361" i="123"/>
  <c r="AM1360" i="123"/>
  <c r="AR1359" i="123"/>
  <c r="AS1359" i="123" s="1"/>
  <c r="AR1356" i="123"/>
  <c r="AS1356" i="123" s="1"/>
  <c r="Z1350" i="123"/>
  <c r="AA1350" i="123"/>
  <c r="Z1341" i="123"/>
  <c r="AA1340" i="123"/>
  <c r="V1340" i="123"/>
  <c r="W1340" i="123"/>
  <c r="AN1340" i="123" s="1"/>
  <c r="AR1339" i="123"/>
  <c r="AS1339" i="123" s="1"/>
  <c r="AN1336" i="123"/>
  <c r="AC1328" i="123"/>
  <c r="AD1328" i="123"/>
  <c r="V1174" i="123"/>
  <c r="U1174" i="123"/>
  <c r="AD1301" i="123"/>
  <c r="AF1301" i="123" s="1"/>
  <c r="AG1301" i="123" s="1"/>
  <c r="AQ1299" i="123"/>
  <c r="AR1299" i="123" s="1"/>
  <c r="AS1299" i="123" s="1"/>
  <c r="AQ1295" i="123"/>
  <c r="AR1295" i="123" s="1"/>
  <c r="AS1295" i="123" s="1"/>
  <c r="AC1294" i="123"/>
  <c r="U1294" i="123"/>
  <c r="AM1291" i="123"/>
  <c r="AA1291" i="123"/>
  <c r="AC1290" i="123"/>
  <c r="AA1288" i="123"/>
  <c r="AM1283" i="123"/>
  <c r="AA1283" i="123"/>
  <c r="AC1282" i="123"/>
  <c r="AA1280" i="123"/>
  <c r="Z1273" i="123"/>
  <c r="AA1272" i="123"/>
  <c r="AA1268" i="123"/>
  <c r="AQ1264" i="123"/>
  <c r="AR1264" i="123" s="1"/>
  <c r="AS1264" i="123" s="1"/>
  <c r="AA1264" i="123"/>
  <c r="AD1261" i="123"/>
  <c r="AF1261" i="123" s="1"/>
  <c r="AG1261" i="123" s="1"/>
  <c r="AQ1259" i="123"/>
  <c r="AR1259" i="123" s="1"/>
  <c r="AS1259" i="123" s="1"/>
  <c r="AR1245" i="123"/>
  <c r="AS1245" i="123" s="1"/>
  <c r="AR1244" i="123"/>
  <c r="AS1244" i="123" s="1"/>
  <c r="AR1240" i="123"/>
  <c r="AS1240" i="123" s="1"/>
  <c r="AR1236" i="123"/>
  <c r="AS1236" i="123" s="1"/>
  <c r="AC1232" i="123"/>
  <c r="AD1228" i="123"/>
  <c r="AR1220" i="123"/>
  <c r="AS1220" i="123" s="1"/>
  <c r="AC1216" i="123"/>
  <c r="AQ1184" i="123"/>
  <c r="AR1184" i="123" s="1"/>
  <c r="AS1184" i="123" s="1"/>
  <c r="AQ1176" i="123"/>
  <c r="AR1176" i="123" s="1"/>
  <c r="AS1176" i="123" s="1"/>
  <c r="AD1173" i="123"/>
  <c r="AF1173" i="123" s="1"/>
  <c r="AG1173" i="123" s="1"/>
  <c r="AQ1172" i="123"/>
  <c r="AR1172" i="123" s="1"/>
  <c r="AS1172" i="123" s="1"/>
  <c r="AA1172" i="123"/>
  <c r="AM1171" i="123"/>
  <c r="AA1171" i="123"/>
  <c r="AC1170" i="123"/>
  <c r="Z1167" i="123"/>
  <c r="AC1166" i="123"/>
  <c r="AD1165" i="123"/>
  <c r="AA1164" i="123"/>
  <c r="AM1163" i="123"/>
  <c r="AA1160" i="123"/>
  <c r="AR1158" i="123"/>
  <c r="AS1158" i="123" s="1"/>
  <c r="AD1157" i="123"/>
  <c r="AF1157" i="123" s="1"/>
  <c r="AG1157" i="123" s="1"/>
  <c r="AQ1136" i="123"/>
  <c r="AR1136" i="123" s="1"/>
  <c r="AS1136" i="123" s="1"/>
  <c r="Z1121" i="123"/>
  <c r="AM1120" i="123"/>
  <c r="AD1110" i="123"/>
  <c r="AC1110" i="123"/>
  <c r="U1107" i="123"/>
  <c r="V1086" i="123"/>
  <c r="U1086" i="123"/>
  <c r="AM1325" i="123"/>
  <c r="AM1322" i="123"/>
  <c r="AF1317" i="123"/>
  <c r="AG1317" i="123" s="1"/>
  <c r="AM1314" i="123"/>
  <c r="U1314" i="123"/>
  <c r="AM1313" i="123"/>
  <c r="AR1303" i="123"/>
  <c r="AS1303" i="123" s="1"/>
  <c r="AR1265" i="123"/>
  <c r="AS1265" i="123" s="1"/>
  <c r="AM1253" i="123"/>
  <c r="AM1252" i="123"/>
  <c r="AM1251" i="123"/>
  <c r="AQ1247" i="123"/>
  <c r="AR1247" i="123" s="1"/>
  <c r="AS1247" i="123" s="1"/>
  <c r="AR1230" i="123"/>
  <c r="AS1230" i="123" s="1"/>
  <c r="AR1214" i="123"/>
  <c r="AS1214" i="123" s="1"/>
  <c r="AM1209" i="123"/>
  <c r="AM1201" i="123"/>
  <c r="AR1160" i="123"/>
  <c r="AS1160" i="123" s="1"/>
  <c r="AR1154" i="123"/>
  <c r="AS1154" i="123" s="1"/>
  <c r="U1147" i="123"/>
  <c r="AR1146" i="123"/>
  <c r="AS1146" i="123" s="1"/>
  <c r="AM1146" i="123"/>
  <c r="AM1140" i="123"/>
  <c r="AR1133" i="123"/>
  <c r="AS1133" i="123" s="1"/>
  <c r="AQ1128" i="123"/>
  <c r="AR1128" i="123" s="1"/>
  <c r="AS1128" i="123" s="1"/>
  <c r="AA1117" i="123"/>
  <c r="AR1113" i="123"/>
  <c r="AS1113" i="123" s="1"/>
  <c r="AR1074" i="123"/>
  <c r="AS1074" i="123" s="1"/>
  <c r="V1050" i="123"/>
  <c r="U1050" i="123"/>
  <c r="AR1352" i="123"/>
  <c r="AS1352" i="123" s="1"/>
  <c r="AE1351" i="123"/>
  <c r="AQ1350" i="123"/>
  <c r="AR1350" i="123" s="1"/>
  <c r="AS1350" i="123" s="1"/>
  <c r="AQ1347" i="123"/>
  <c r="AR1347" i="123" s="1"/>
  <c r="AS1347" i="123" s="1"/>
  <c r="AC1346" i="123"/>
  <c r="AE1346" i="123" s="1"/>
  <c r="AQ1343" i="123"/>
  <c r="AR1343" i="123" s="1"/>
  <c r="AS1343" i="123" s="1"/>
  <c r="AM1341" i="123"/>
  <c r="AR1340" i="123"/>
  <c r="AS1340" i="123" s="1"/>
  <c r="AR1326" i="123"/>
  <c r="AS1326" i="123" s="1"/>
  <c r="AA1326" i="123"/>
  <c r="AD1323" i="123"/>
  <c r="AR1321" i="123"/>
  <c r="AS1321" i="123" s="1"/>
  <c r="AM1321" i="123"/>
  <c r="V1316" i="123"/>
  <c r="AR1313" i="123"/>
  <c r="AS1313" i="123" s="1"/>
  <c r="AM1312" i="123"/>
  <c r="AA1311" i="123"/>
  <c r="AN1308" i="123"/>
  <c r="AM1305" i="123"/>
  <c r="AM1301" i="123"/>
  <c r="AM1294" i="123"/>
  <c r="AQ1291" i="123"/>
  <c r="AR1291" i="123" s="1"/>
  <c r="AS1291" i="123" s="1"/>
  <c r="AM1290" i="123"/>
  <c r="AM1289" i="123"/>
  <c r="AR1288" i="123"/>
  <c r="AS1288" i="123" s="1"/>
  <c r="AQ1287" i="123"/>
  <c r="AR1287" i="123" s="1"/>
  <c r="AS1287" i="123" s="1"/>
  <c r="AQ1283" i="123"/>
  <c r="AR1283" i="123" s="1"/>
  <c r="AS1283" i="123" s="1"/>
  <c r="AM1282" i="123"/>
  <c r="AM1281" i="123"/>
  <c r="AR1280" i="123"/>
  <c r="AS1280" i="123" s="1"/>
  <c r="AQ1279" i="123"/>
  <c r="AR1279" i="123" s="1"/>
  <c r="AS1279" i="123" s="1"/>
  <c r="U1275" i="123"/>
  <c r="AQ1267" i="123"/>
  <c r="AR1267" i="123" s="1"/>
  <c r="AS1267" i="123" s="1"/>
  <c r="AM1262" i="123"/>
  <c r="AM1261" i="123"/>
  <c r="AM1257" i="123"/>
  <c r="AM1256" i="123"/>
  <c r="AM1255" i="123"/>
  <c r="AQ1251" i="123"/>
  <c r="AR1251" i="123" s="1"/>
  <c r="AS1251" i="123" s="1"/>
  <c r="AM1243" i="123"/>
  <c r="AM1239" i="123"/>
  <c r="AM1232" i="123"/>
  <c r="AR1228" i="123"/>
  <c r="AS1228" i="123" s="1"/>
  <c r="AM1216" i="123"/>
  <c r="AR1212" i="123"/>
  <c r="AS1212" i="123" s="1"/>
  <c r="AR1198" i="123"/>
  <c r="AS1198" i="123" s="1"/>
  <c r="AM1198" i="123"/>
  <c r="AM1193" i="123"/>
  <c r="Z1193" i="123"/>
  <c r="AM1185" i="123"/>
  <c r="AM1173" i="123"/>
  <c r="AM1166" i="123"/>
  <c r="AM1165" i="123"/>
  <c r="AM1157" i="123"/>
  <c r="AA1141" i="123"/>
  <c r="AR1138" i="123"/>
  <c r="AS1138" i="123" s="1"/>
  <c r="AM1138" i="123"/>
  <c r="AM1132" i="123"/>
  <c r="AR1125" i="123"/>
  <c r="AS1125" i="123" s="1"/>
  <c r="AR1121" i="123"/>
  <c r="AS1121" i="123" s="1"/>
  <c r="AQ1120" i="123"/>
  <c r="AR1120" i="123" s="1"/>
  <c r="AS1120" i="123" s="1"/>
  <c r="V1026" i="123"/>
  <c r="U1026" i="123"/>
  <c r="V989" i="123"/>
  <c r="U989" i="123"/>
  <c r="AF1343" i="123"/>
  <c r="AM1335" i="123"/>
  <c r="AM1333" i="123"/>
  <c r="AM1328" i="123"/>
  <c r="AF1327" i="123"/>
  <c r="AM1323" i="123"/>
  <c r="Z1321" i="123"/>
  <c r="AM1320" i="123"/>
  <c r="U1319" i="123"/>
  <c r="AM1318" i="123"/>
  <c r="AR1315" i="123"/>
  <c r="AS1315" i="123" s="1"/>
  <c r="AC1314" i="123"/>
  <c r="AE1314" i="123" s="1"/>
  <c r="AR1312" i="123"/>
  <c r="AS1312" i="123" s="1"/>
  <c r="AR1305" i="123"/>
  <c r="AS1305" i="123" s="1"/>
  <c r="AN1304" i="123"/>
  <c r="AR1301" i="123"/>
  <c r="AS1301" i="123" s="1"/>
  <c r="AQ1300" i="123"/>
  <c r="AR1300" i="123" s="1"/>
  <c r="AS1300" i="123" s="1"/>
  <c r="AM1296" i="123"/>
  <c r="AM1295" i="123"/>
  <c r="AD1292" i="123"/>
  <c r="AE1292" i="123" s="1"/>
  <c r="AR1289" i="123"/>
  <c r="AS1289" i="123" s="1"/>
  <c r="U1287" i="123"/>
  <c r="AD1284" i="123"/>
  <c r="AE1284" i="123" s="1"/>
  <c r="AR1281" i="123"/>
  <c r="AS1281" i="123" s="1"/>
  <c r="U1279" i="123"/>
  <c r="AA1275" i="123"/>
  <c r="AC1274" i="123"/>
  <c r="AM1270" i="123"/>
  <c r="AR1269" i="123"/>
  <c r="AS1269" i="123" s="1"/>
  <c r="U1267" i="123"/>
  <c r="AR1261" i="123"/>
  <c r="AS1261" i="123" s="1"/>
  <c r="AQ1260" i="123"/>
  <c r="AR1260" i="123" s="1"/>
  <c r="AS1260" i="123" s="1"/>
  <c r="AM1259" i="123"/>
  <c r="AR1257" i="123"/>
  <c r="AS1257" i="123" s="1"/>
  <c r="AR1256" i="123"/>
  <c r="AS1256" i="123" s="1"/>
  <c r="AQ1255" i="123"/>
  <c r="AR1255" i="123" s="1"/>
  <c r="AS1255" i="123" s="1"/>
  <c r="AF1253" i="123"/>
  <c r="AG1253" i="123" s="1"/>
  <c r="U1251" i="123"/>
  <c r="Z1249" i="123"/>
  <c r="AA1248" i="123"/>
  <c r="AF1248" i="123" s="1"/>
  <c r="AG1248" i="123" s="1"/>
  <c r="AM1245" i="123"/>
  <c r="AM1244" i="123"/>
  <c r="AM1240" i="123"/>
  <c r="AM1236" i="123"/>
  <c r="AM1235" i="123"/>
  <c r="AC1234" i="123"/>
  <c r="AD1233" i="123"/>
  <c r="AQ1232" i="123"/>
  <c r="AR1232" i="123" s="1"/>
  <c r="AS1232" i="123" s="1"/>
  <c r="AC1230" i="123"/>
  <c r="AR1229" i="123"/>
  <c r="AS1229" i="123" s="1"/>
  <c r="AR1226" i="123"/>
  <c r="AS1226" i="123" s="1"/>
  <c r="AD1225" i="123"/>
  <c r="AM1224" i="123"/>
  <c r="AA1224" i="123"/>
  <c r="AM1223" i="123"/>
  <c r="AM1220" i="123"/>
  <c r="AR1218" i="123"/>
  <c r="AS1218" i="123" s="1"/>
  <c r="AD1217" i="123"/>
  <c r="AQ1216" i="123"/>
  <c r="AR1216" i="123" s="1"/>
  <c r="AS1216" i="123" s="1"/>
  <c r="AC1214" i="123"/>
  <c r="AR1213" i="123"/>
  <c r="AS1213" i="123" s="1"/>
  <c r="AD1209" i="123"/>
  <c r="AF1209" i="123" s="1"/>
  <c r="AG1209" i="123" s="1"/>
  <c r="AA1208" i="123"/>
  <c r="AM1207" i="123"/>
  <c r="AM1204" i="123"/>
  <c r="AD1201" i="123"/>
  <c r="AF1201" i="123" s="1"/>
  <c r="AG1201" i="123" s="1"/>
  <c r="AQ1200" i="123"/>
  <c r="AR1200" i="123" s="1"/>
  <c r="AS1200" i="123" s="1"/>
  <c r="AA1200" i="123"/>
  <c r="AM1199" i="123"/>
  <c r="AA1199" i="123"/>
  <c r="AQ1196" i="123"/>
  <c r="AR1196" i="123" s="1"/>
  <c r="AS1196" i="123" s="1"/>
  <c r="U1191" i="123"/>
  <c r="Z1187" i="123"/>
  <c r="U1187" i="123"/>
  <c r="AF1180" i="123"/>
  <c r="AG1180" i="123" s="1"/>
  <c r="U1179" i="123"/>
  <c r="Z1175" i="123"/>
  <c r="U1175" i="123"/>
  <c r="AR1169" i="123"/>
  <c r="AS1169" i="123" s="1"/>
  <c r="U1163" i="123"/>
  <c r="AC1162" i="123"/>
  <c r="AM1159" i="123"/>
  <c r="AC1154" i="123"/>
  <c r="AR1153" i="123"/>
  <c r="AS1153" i="123" s="1"/>
  <c r="AQ1152" i="123"/>
  <c r="AR1152" i="123" s="1"/>
  <c r="AS1152" i="123" s="1"/>
  <c r="AR1149" i="123"/>
  <c r="AS1149" i="123" s="1"/>
  <c r="AC1146" i="123"/>
  <c r="AR1145" i="123"/>
  <c r="AS1145" i="123" s="1"/>
  <c r="AQ1144" i="123"/>
  <c r="AR1144" i="123" s="1"/>
  <c r="AS1144" i="123" s="1"/>
  <c r="AA1139" i="123"/>
  <c r="AM1130" i="123"/>
  <c r="Z1129" i="123"/>
  <c r="AM1128" i="123"/>
  <c r="U1127" i="123"/>
  <c r="AC1126" i="123"/>
  <c r="AM1124" i="123"/>
  <c r="AC1120" i="123"/>
  <c r="AM1116" i="123"/>
  <c r="AD1106" i="123"/>
  <c r="AC1106" i="123"/>
  <c r="V1102" i="123"/>
  <c r="U1102" i="123"/>
  <c r="AR1056" i="123"/>
  <c r="AS1056" i="123" s="1"/>
  <c r="V1034" i="123"/>
  <c r="U1034" i="123"/>
  <c r="AR1095" i="123"/>
  <c r="AS1095" i="123" s="1"/>
  <c r="AM1085" i="123"/>
  <c r="AQ1080" i="123"/>
  <c r="AR1080" i="123" s="1"/>
  <c r="AS1080" i="123" s="1"/>
  <c r="AR1066" i="123"/>
  <c r="AS1066" i="123" s="1"/>
  <c r="AR1059" i="123"/>
  <c r="AS1059" i="123" s="1"/>
  <c r="AA1045" i="123"/>
  <c r="AM1033" i="123"/>
  <c r="AM1025" i="123"/>
  <c r="W1011" i="123"/>
  <c r="AR998" i="123"/>
  <c r="AS998" i="123" s="1"/>
  <c r="AR995" i="123"/>
  <c r="AS995" i="123" s="1"/>
  <c r="AM989" i="123"/>
  <c r="AR984" i="123"/>
  <c r="AS984" i="123" s="1"/>
  <c r="AA978" i="123"/>
  <c r="AF974" i="123"/>
  <c r="AI974" i="123" s="1"/>
  <c r="AF966" i="123"/>
  <c r="AI966" i="123" s="1"/>
  <c r="AR960" i="123"/>
  <c r="AS960" i="123" s="1"/>
  <c r="AR956" i="123"/>
  <c r="AS956" i="123" s="1"/>
  <c r="Z952" i="123"/>
  <c r="U952" i="123"/>
  <c r="AC951" i="123"/>
  <c r="AR912" i="123"/>
  <c r="AS912" i="123" s="1"/>
  <c r="AC909" i="123"/>
  <c r="Z907" i="123"/>
  <c r="AA906" i="123"/>
  <c r="AF906" i="123" s="1"/>
  <c r="AR904" i="123"/>
  <c r="AS904" i="123" s="1"/>
  <c r="AQ898" i="123"/>
  <c r="AR898" i="123" s="1"/>
  <c r="AS898" i="123" s="1"/>
  <c r="AF886" i="123"/>
  <c r="AM1114" i="123"/>
  <c r="AQ1112" i="123"/>
  <c r="AR1112" i="123" s="1"/>
  <c r="AS1112" i="123" s="1"/>
  <c r="AM1106" i="123"/>
  <c r="AQ1104" i="123"/>
  <c r="AR1104" i="123" s="1"/>
  <c r="AS1104" i="123" s="1"/>
  <c r="AA1100" i="123"/>
  <c r="AM1098" i="123"/>
  <c r="Z1097" i="123"/>
  <c r="AM1090" i="123"/>
  <c r="Z1089" i="123"/>
  <c r="AM1088" i="123"/>
  <c r="AA1079" i="123"/>
  <c r="U1079" i="123"/>
  <c r="AC1078" i="123"/>
  <c r="AR1076" i="123"/>
  <c r="AS1076" i="123" s="1"/>
  <c r="AC1074" i="123"/>
  <c r="AR1073" i="123"/>
  <c r="AS1073" i="123" s="1"/>
  <c r="AM1068" i="123"/>
  <c r="Z1065" i="123"/>
  <c r="AC1064" i="123"/>
  <c r="AR1061" i="123"/>
  <c r="AS1061" i="123" s="1"/>
  <c r="AA1060" i="123"/>
  <c r="AR1057" i="123"/>
  <c r="AS1057" i="123" s="1"/>
  <c r="AA1056" i="123"/>
  <c r="AD1053" i="123"/>
  <c r="AF1053" i="123" s="1"/>
  <c r="AG1053" i="123" s="1"/>
  <c r="AD1049" i="123"/>
  <c r="AF1049" i="123" s="1"/>
  <c r="AG1049" i="123" s="1"/>
  <c r="AM1048" i="123"/>
  <c r="AR1043" i="123"/>
  <c r="AS1043" i="123" s="1"/>
  <c r="AM1042" i="123"/>
  <c r="AM1039" i="123"/>
  <c r="AR1037" i="123"/>
  <c r="AS1037" i="123" s="1"/>
  <c r="AA1036" i="123"/>
  <c r="AA1035" i="123"/>
  <c r="U1035" i="123"/>
  <c r="Z1029" i="123"/>
  <c r="AN1029" i="123"/>
  <c r="AA1028" i="123"/>
  <c r="AA1027" i="123"/>
  <c r="U1027" i="123"/>
  <c r="AR1022" i="123"/>
  <c r="AS1022" i="123" s="1"/>
  <c r="AR1021" i="123"/>
  <c r="AS1021" i="123" s="1"/>
  <c r="AM1020" i="123"/>
  <c r="Z1016" i="123"/>
  <c r="U1015" i="123"/>
  <c r="AM1014" i="123"/>
  <c r="AQ1013" i="123"/>
  <c r="AR1013" i="123" s="1"/>
  <c r="AS1013" i="123" s="1"/>
  <c r="AD1010" i="123"/>
  <c r="AF1010" i="123" s="1"/>
  <c r="AG1010" i="123" s="1"/>
  <c r="W1007" i="123"/>
  <c r="AN1007" i="123" s="1"/>
  <c r="AR1006" i="123"/>
  <c r="AS1006" i="123" s="1"/>
  <c r="AC1005" i="123"/>
  <c r="AE1005" i="123" s="1"/>
  <c r="Z1002" i="123"/>
  <c r="AC1001" i="123"/>
  <c r="AE1001" i="123" s="1"/>
  <c r="AC999" i="123"/>
  <c r="AD998" i="123"/>
  <c r="AE998" i="123" s="1"/>
  <c r="AA997" i="123"/>
  <c r="Z996" i="123"/>
  <c r="AM993" i="123"/>
  <c r="AR989" i="123"/>
  <c r="AS989" i="123" s="1"/>
  <c r="U988" i="123"/>
  <c r="AR986" i="123"/>
  <c r="AS986" i="123" s="1"/>
  <c r="AC981" i="123"/>
  <c r="AR976" i="123"/>
  <c r="AS976" i="123" s="1"/>
  <c r="AM974" i="123"/>
  <c r="Z972" i="123"/>
  <c r="AR968" i="123"/>
  <c r="AS968" i="123" s="1"/>
  <c r="AM966" i="123"/>
  <c r="Z964" i="123"/>
  <c r="AA961" i="123"/>
  <c r="AR959" i="123"/>
  <c r="AS959" i="123" s="1"/>
  <c r="AA957" i="123"/>
  <c r="AR953" i="123"/>
  <c r="AS953" i="123" s="1"/>
  <c r="Z950" i="123"/>
  <c r="AA949" i="123"/>
  <c r="AN945" i="123"/>
  <c r="AN941" i="123"/>
  <c r="AA939" i="123"/>
  <c r="AM938" i="123"/>
  <c r="AR936" i="123"/>
  <c r="AS936" i="123" s="1"/>
  <c r="AA935" i="123"/>
  <c r="AM934" i="123"/>
  <c r="AA934" i="123"/>
  <c r="AD931" i="123"/>
  <c r="AF931" i="123" s="1"/>
  <c r="AG931" i="123" s="1"/>
  <c r="AM929" i="123"/>
  <c r="AM928" i="123"/>
  <c r="AM922" i="123"/>
  <c r="AA922" i="123"/>
  <c r="AM919" i="123"/>
  <c r="Z910" i="123"/>
  <c r="AC905" i="123"/>
  <c r="Z902" i="123"/>
  <c r="AA902" i="123"/>
  <c r="AD899" i="123"/>
  <c r="AE899" i="123" s="1"/>
  <c r="AR895" i="123"/>
  <c r="AS895" i="123" s="1"/>
  <c r="AR834" i="123"/>
  <c r="AS834" i="123" s="1"/>
  <c r="Z1081" i="123"/>
  <c r="AM1080" i="123"/>
  <c r="AA1077" i="123"/>
  <c r="AD1073" i="123"/>
  <c r="AF1073" i="123" s="1"/>
  <c r="AG1073" i="123" s="1"/>
  <c r="AA1069" i="123"/>
  <c r="AC1066" i="123"/>
  <c r="U1063" i="123"/>
  <c r="AQ894" i="123"/>
  <c r="AR894" i="123" s="1"/>
  <c r="AS894" i="123" s="1"/>
  <c r="U1111" i="123"/>
  <c r="AM1108" i="123"/>
  <c r="AR1105" i="123"/>
  <c r="AS1105" i="123" s="1"/>
  <c r="AC1098" i="123"/>
  <c r="AD1097" i="123"/>
  <c r="AF1097" i="123" s="1"/>
  <c r="AG1097" i="123" s="1"/>
  <c r="AC1090" i="123"/>
  <c r="AD1089" i="123"/>
  <c r="AF1089" i="123" s="1"/>
  <c r="AG1089" i="123" s="1"/>
  <c r="AQ1088" i="123"/>
  <c r="AR1088" i="123" s="1"/>
  <c r="AS1088" i="123" s="1"/>
  <c r="AR1086" i="123"/>
  <c r="AS1086" i="123" s="1"/>
  <c r="AA1076" i="123"/>
  <c r="AC1072" i="123"/>
  <c r="AD1065" i="123"/>
  <c r="Z1053" i="123"/>
  <c r="AC1050" i="123"/>
  <c r="AM1049" i="123"/>
  <c r="AA1047" i="123"/>
  <c r="AC1046" i="123"/>
  <c r="AR1044" i="123"/>
  <c r="AS1044" i="123" s="1"/>
  <c r="AM1044" i="123"/>
  <c r="AA1043" i="123"/>
  <c r="AQ1036" i="123"/>
  <c r="AR1036" i="123" s="1"/>
  <c r="AS1036" i="123" s="1"/>
  <c r="AA1021" i="123"/>
  <c r="AQ1017" i="123"/>
  <c r="AR1017" i="123" s="1"/>
  <c r="AS1017" i="123" s="1"/>
  <c r="AM1005" i="123"/>
  <c r="AR999" i="123"/>
  <c r="AS999" i="123" s="1"/>
  <c r="AC997" i="123"/>
  <c r="AM988" i="123"/>
  <c r="AM986" i="123"/>
  <c r="AQ985" i="123"/>
  <c r="AR985" i="123" s="1"/>
  <c r="AS985" i="123" s="1"/>
  <c r="AC983" i="123"/>
  <c r="AA981" i="123"/>
  <c r="Z980" i="123"/>
  <c r="AM977" i="123"/>
  <c r="Z976" i="123"/>
  <c r="U973" i="123"/>
  <c r="AR972" i="123"/>
  <c r="AS972" i="123" s="1"/>
  <c r="Z968" i="123"/>
  <c r="U965" i="123"/>
  <c r="AR964" i="123"/>
  <c r="AS964" i="123" s="1"/>
  <c r="AR961" i="123"/>
  <c r="AS961" i="123" s="1"/>
  <c r="AR957" i="123"/>
  <c r="AS957" i="123" s="1"/>
  <c r="Z954" i="123"/>
  <c r="AA953" i="123"/>
  <c r="AR949" i="123"/>
  <c r="AS949" i="123" s="1"/>
  <c r="AM945" i="123"/>
  <c r="Z940" i="123"/>
  <c r="U940" i="123"/>
  <c r="AN937" i="123"/>
  <c r="Z936" i="123"/>
  <c r="AC935" i="123"/>
  <c r="AQ931" i="123"/>
  <c r="AR931" i="123" s="1"/>
  <c r="AS931" i="123" s="1"/>
  <c r="AQ930" i="123"/>
  <c r="AR930" i="123" s="1"/>
  <c r="AS930" i="123" s="1"/>
  <c r="AD928" i="123"/>
  <c r="AQ922" i="123"/>
  <c r="AR922" i="123" s="1"/>
  <c r="AS922" i="123" s="1"/>
  <c r="AM921" i="123"/>
  <c r="Z918" i="123"/>
  <c r="Z916" i="123"/>
  <c r="AA915" i="123"/>
  <c r="AF915" i="123" s="1"/>
  <c r="AM912" i="123"/>
  <c r="AM911" i="123"/>
  <c r="AR899" i="123"/>
  <c r="AS899" i="123" s="1"/>
  <c r="AD895" i="123"/>
  <c r="AR915" i="123"/>
  <c r="AS915" i="123" s="1"/>
  <c r="AQ914" i="123"/>
  <c r="AR914" i="123" s="1"/>
  <c r="AS914" i="123" s="1"/>
  <c r="AF913" i="123"/>
  <c r="AG913" i="123" s="1"/>
  <c r="AF912" i="123"/>
  <c r="AG912" i="123" s="1"/>
  <c r="AR908" i="123"/>
  <c r="AS908" i="123" s="1"/>
  <c r="AM905" i="123"/>
  <c r="AM904" i="123"/>
  <c r="AR903" i="123"/>
  <c r="AS903" i="123" s="1"/>
  <c r="AQ902" i="123"/>
  <c r="AR902" i="123" s="1"/>
  <c r="AS902" i="123" s="1"/>
  <c r="AR900" i="123"/>
  <c r="AS900" i="123" s="1"/>
  <c r="AM895" i="123"/>
  <c r="AM889" i="123"/>
  <c r="AC877" i="123"/>
  <c r="AR872" i="123"/>
  <c r="AS872" i="123" s="1"/>
  <c r="Z870" i="123"/>
  <c r="Z868" i="123"/>
  <c r="U868" i="123"/>
  <c r="AC867" i="123"/>
  <c r="AC865" i="123"/>
  <c r="AR864" i="123"/>
  <c r="AS864" i="123" s="1"/>
  <c r="AM862" i="123"/>
  <c r="AR859" i="123"/>
  <c r="AS859" i="123" s="1"/>
  <c r="Z856" i="123"/>
  <c r="Z852" i="123"/>
  <c r="U852" i="123"/>
  <c r="AC851" i="123"/>
  <c r="U848" i="123"/>
  <c r="AM847" i="123"/>
  <c r="AF842" i="123"/>
  <c r="AQ835" i="123"/>
  <c r="AR835" i="123" s="1"/>
  <c r="AS835" i="123" s="1"/>
  <c r="AN835" i="123"/>
  <c r="AM834" i="123"/>
  <c r="Z834" i="123"/>
  <c r="AC833" i="123"/>
  <c r="AN819" i="123"/>
  <c r="AM818" i="123"/>
  <c r="AD816" i="123"/>
  <c r="AD815" i="123"/>
  <c r="Z812" i="123"/>
  <c r="AA811" i="123"/>
  <c r="AM810" i="123"/>
  <c r="AM809" i="123"/>
  <c r="AD804" i="123"/>
  <c r="AQ803" i="123"/>
  <c r="AR803" i="123" s="1"/>
  <c r="AS803" i="123" s="1"/>
  <c r="AC801" i="123"/>
  <c r="AD799" i="123"/>
  <c r="AE799" i="123" s="1"/>
  <c r="Z796" i="123"/>
  <c r="AA795" i="123"/>
  <c r="AM794" i="123"/>
  <c r="AM793" i="123"/>
  <c r="AD788" i="123"/>
  <c r="AF788" i="123" s="1"/>
  <c r="AG788" i="123" s="1"/>
  <c r="AQ787" i="123"/>
  <c r="AR787" i="123" s="1"/>
  <c r="AS787" i="123" s="1"/>
  <c r="AC785" i="123"/>
  <c r="AC783" i="123"/>
  <c r="AD783" i="123"/>
  <c r="AF783" i="123" s="1"/>
  <c r="AG783" i="123" s="1"/>
  <c r="AC775" i="123"/>
  <c r="AM752" i="123"/>
  <c r="AM749" i="123"/>
  <c r="AM744" i="123"/>
  <c r="AM743" i="123"/>
  <c r="AM738" i="123"/>
  <c r="AQ722" i="123"/>
  <c r="AR722" i="123" s="1"/>
  <c r="AS722" i="123" s="1"/>
  <c r="AC705" i="123"/>
  <c r="U705" i="123"/>
  <c r="AD697" i="123"/>
  <c r="AC697" i="123"/>
  <c r="AR692" i="123"/>
  <c r="AS692" i="123" s="1"/>
  <c r="AA691" i="123"/>
  <c r="Z691" i="123"/>
  <c r="AD677" i="123"/>
  <c r="AC677" i="123"/>
  <c r="AR857" i="123"/>
  <c r="AS857" i="123" s="1"/>
  <c r="AF854" i="123"/>
  <c r="AI854" i="123" s="1"/>
  <c r="AF846" i="123"/>
  <c r="AI846" i="123" s="1"/>
  <c r="AA827" i="123"/>
  <c r="AD803" i="123"/>
  <c r="AE803" i="123" s="1"/>
  <c r="AD787" i="123"/>
  <c r="AE787" i="123" s="1"/>
  <c r="Z778" i="123"/>
  <c r="AA778" i="123"/>
  <c r="AA767" i="123"/>
  <c r="AM755" i="123"/>
  <c r="AA736" i="123"/>
  <c r="Z736" i="123"/>
  <c r="AR732" i="123"/>
  <c r="AS732" i="123" s="1"/>
  <c r="AR731" i="123"/>
  <c r="AS731" i="123" s="1"/>
  <c r="V709" i="123"/>
  <c r="U709" i="123"/>
  <c r="AC692" i="123"/>
  <c r="AD692" i="123"/>
  <c r="AF692" i="123" s="1"/>
  <c r="AG692" i="123" s="1"/>
  <c r="V681" i="123"/>
  <c r="U681" i="123"/>
  <c r="AC664" i="123"/>
  <c r="AD664" i="123"/>
  <c r="AF664" i="123" s="1"/>
  <c r="AG664" i="123" s="1"/>
  <c r="AF901" i="123"/>
  <c r="AR891" i="123"/>
  <c r="AS891" i="123" s="1"/>
  <c r="AN889" i="123"/>
  <c r="AM877" i="123"/>
  <c r="Z874" i="123"/>
  <c r="Z872" i="123"/>
  <c r="AC871" i="123"/>
  <c r="AF870" i="123"/>
  <c r="AG870" i="123" s="1"/>
  <c r="AR867" i="123"/>
  <c r="AS867" i="123" s="1"/>
  <c r="Z864" i="123"/>
  <c r="Z860" i="123"/>
  <c r="U860" i="123"/>
  <c r="AC857" i="123"/>
  <c r="AR856" i="123"/>
  <c r="AS856" i="123" s="1"/>
  <c r="AM854" i="123"/>
  <c r="AR851" i="123"/>
  <c r="AS851" i="123" s="1"/>
  <c r="AR849" i="123"/>
  <c r="AS849" i="123" s="1"/>
  <c r="AM846" i="123"/>
  <c r="AM836" i="123"/>
  <c r="U835" i="123"/>
  <c r="AM833" i="123"/>
  <c r="AM831" i="123"/>
  <c r="AR823" i="123"/>
  <c r="AS823" i="123" s="1"/>
  <c r="AC817" i="123"/>
  <c r="U817" i="123"/>
  <c r="AM815" i="123"/>
  <c r="AA815" i="123"/>
  <c r="AN815" i="123"/>
  <c r="AM814" i="123"/>
  <c r="AR811" i="123"/>
  <c r="AS811" i="123" s="1"/>
  <c r="AC805" i="123"/>
  <c r="U805" i="123"/>
  <c r="AM804" i="123"/>
  <c r="AM800" i="123"/>
  <c r="AM799" i="123"/>
  <c r="AA799" i="123"/>
  <c r="AM798" i="123"/>
  <c r="AR795" i="123"/>
  <c r="AS795" i="123" s="1"/>
  <c r="AC789" i="123"/>
  <c r="U789" i="123"/>
  <c r="AM788" i="123"/>
  <c r="AM784" i="123"/>
  <c r="AM783" i="123"/>
  <c r="Z779" i="123"/>
  <c r="AA779" i="123"/>
  <c r="AM777" i="123"/>
  <c r="Z771" i="123"/>
  <c r="AN770" i="123"/>
  <c r="AF768" i="123"/>
  <c r="AG768" i="123" s="1"/>
  <c r="AN766" i="123"/>
  <c r="Z762" i="123"/>
  <c r="AD752" i="123"/>
  <c r="AF752" i="123" s="1"/>
  <c r="AC745" i="123"/>
  <c r="AR739" i="123"/>
  <c r="AS739" i="123" s="1"/>
  <c r="AR735" i="123"/>
  <c r="AS735" i="123" s="1"/>
  <c r="AC733" i="123"/>
  <c r="AC729" i="123"/>
  <c r="U729" i="123"/>
  <c r="AM728" i="123"/>
  <c r="AM727" i="123"/>
  <c r="AM726" i="123"/>
  <c r="AQ714" i="123"/>
  <c r="AR714" i="123" s="1"/>
  <c r="AS714" i="123" s="1"/>
  <c r="AA710" i="123"/>
  <c r="Z710" i="123"/>
  <c r="Z702" i="123"/>
  <c r="AN702" i="123"/>
  <c r="Z698" i="123"/>
  <c r="AA698" i="123"/>
  <c r="AM697" i="123"/>
  <c r="AD681" i="123"/>
  <c r="AC681" i="123"/>
  <c r="Z678" i="123"/>
  <c r="AA678" i="123"/>
  <c r="AN674" i="123"/>
  <c r="Z670" i="123"/>
  <c r="AA670" i="123"/>
  <c r="V645" i="123"/>
  <c r="U645" i="123"/>
  <c r="V597" i="123"/>
  <c r="U597" i="123"/>
  <c r="AR843" i="123"/>
  <c r="AS843" i="123" s="1"/>
  <c r="AA780" i="123"/>
  <c r="Z780" i="123"/>
  <c r="AC772" i="123"/>
  <c r="AD772" i="123"/>
  <c r="AQ754" i="123"/>
  <c r="AR754" i="123" s="1"/>
  <c r="AS754" i="123" s="1"/>
  <c r="AQ718" i="123"/>
  <c r="AR718" i="123" s="1"/>
  <c r="AS718" i="123" s="1"/>
  <c r="Z711" i="123"/>
  <c r="AA711" i="123"/>
  <c r="AA704" i="123"/>
  <c r="Z704" i="123"/>
  <c r="AD696" i="123"/>
  <c r="AC696" i="123"/>
  <c r="V685" i="123"/>
  <c r="U685" i="123"/>
  <c r="AD676" i="123"/>
  <c r="AF676" i="123" s="1"/>
  <c r="AG676" i="123" s="1"/>
  <c r="AC676" i="123"/>
  <c r="AC668" i="123"/>
  <c r="AD668" i="123"/>
  <c r="AF668" i="123" s="1"/>
  <c r="AG668" i="123" s="1"/>
  <c r="AQ650" i="123"/>
  <c r="AR650" i="123" s="1"/>
  <c r="AS650" i="123" s="1"/>
  <c r="AM724" i="123"/>
  <c r="AM723" i="123"/>
  <c r="AM720" i="123"/>
  <c r="AM719" i="123"/>
  <c r="AM716" i="123"/>
  <c r="AM715" i="123"/>
  <c r="AM712" i="123"/>
  <c r="AM708" i="123"/>
  <c r="AM707" i="123"/>
  <c r="AM706" i="123"/>
  <c r="AM701" i="123"/>
  <c r="AR696" i="123"/>
  <c r="AS696" i="123" s="1"/>
  <c r="AR695" i="123"/>
  <c r="AS695" i="123" s="1"/>
  <c r="AM695" i="123"/>
  <c r="AM694" i="123"/>
  <c r="AM684" i="123"/>
  <c r="AM683" i="123"/>
  <c r="AM682" i="123"/>
  <c r="AM677" i="123"/>
  <c r="AA674" i="123"/>
  <c r="AR672" i="123"/>
  <c r="AS672" i="123" s="1"/>
  <c r="AM671" i="123"/>
  <c r="AQ670" i="123"/>
  <c r="AR670" i="123" s="1"/>
  <c r="AS670" i="123" s="1"/>
  <c r="AM669" i="123"/>
  <c r="AR668" i="123"/>
  <c r="AS668" i="123" s="1"/>
  <c r="AD667" i="123"/>
  <c r="AM665" i="123"/>
  <c r="AR664" i="123"/>
  <c r="AS664" i="123" s="1"/>
  <c r="AD663" i="123"/>
  <c r="AF663" i="123" s="1"/>
  <c r="AG663" i="123" s="1"/>
  <c r="AN662" i="123"/>
  <c r="AQ659" i="123"/>
  <c r="AR659" i="123" s="1"/>
  <c r="AS659" i="123" s="1"/>
  <c r="AA659" i="123"/>
  <c r="AQ658" i="123"/>
  <c r="AR658" i="123" s="1"/>
  <c r="AS658" i="123" s="1"/>
  <c r="AD656" i="123"/>
  <c r="AR652" i="123"/>
  <c r="AS652" i="123" s="1"/>
  <c r="AA651" i="123"/>
  <c r="AN650" i="123"/>
  <c r="AM644" i="123"/>
  <c r="AM643" i="123"/>
  <c r="AM642" i="123"/>
  <c r="AF640" i="123"/>
  <c r="AG640" i="123" s="1"/>
  <c r="AM637" i="123"/>
  <c r="AA634" i="123"/>
  <c r="AR632" i="123"/>
  <c r="AS632" i="123" s="1"/>
  <c r="AR631" i="123"/>
  <c r="AS631" i="123" s="1"/>
  <c r="AM631" i="123"/>
  <c r="AM630" i="123"/>
  <c r="AD628" i="123"/>
  <c r="AF628" i="123" s="1"/>
  <c r="AG628" i="123" s="1"/>
  <c r="AA626" i="123"/>
  <c r="AR624" i="123"/>
  <c r="AS624" i="123" s="1"/>
  <c r="AM621" i="123"/>
  <c r="AD619" i="123"/>
  <c r="AN618" i="123"/>
  <c r="AQ615" i="123"/>
  <c r="AR615" i="123" s="1"/>
  <c r="AS615" i="123" s="1"/>
  <c r="AM614" i="123"/>
  <c r="AR612" i="123"/>
  <c r="AS612" i="123" s="1"/>
  <c r="AR611" i="123"/>
  <c r="AS611" i="123" s="1"/>
  <c r="AM610" i="123"/>
  <c r="AR608" i="123"/>
  <c r="AS608" i="123" s="1"/>
  <c r="AM604" i="123"/>
  <c r="AM603" i="123"/>
  <c r="AR596" i="123"/>
  <c r="AS596" i="123" s="1"/>
  <c r="AR595" i="123"/>
  <c r="AS595" i="123" s="1"/>
  <c r="AM778" i="123"/>
  <c r="AQ771" i="123"/>
  <c r="AR771" i="123" s="1"/>
  <c r="AS771" i="123" s="1"/>
  <c r="AQ770" i="123"/>
  <c r="AR770" i="123" s="1"/>
  <c r="AS770" i="123" s="1"/>
  <c r="AR764" i="123"/>
  <c r="AS764" i="123" s="1"/>
  <c r="AM762" i="123"/>
  <c r="AR755" i="123"/>
  <c r="AS755" i="123" s="1"/>
  <c r="AM754" i="123"/>
  <c r="AR752" i="123"/>
  <c r="AS752" i="123" s="1"/>
  <c r="AR748" i="123"/>
  <c r="AS748" i="123" s="1"/>
  <c r="AR743" i="123"/>
  <c r="AS743" i="123" s="1"/>
  <c r="AM740" i="123"/>
  <c r="AM739" i="123"/>
  <c r="AM734" i="123"/>
  <c r="AM732" i="123"/>
  <c r="AM731" i="123"/>
  <c r="AM730" i="123"/>
  <c r="AN726" i="123"/>
  <c r="AR724" i="123"/>
  <c r="AS724" i="123" s="1"/>
  <c r="AR723" i="123"/>
  <c r="AS723" i="123" s="1"/>
  <c r="AM722" i="123"/>
  <c r="AR720" i="123"/>
  <c r="AS720" i="123" s="1"/>
  <c r="AR719" i="123"/>
  <c r="AS719" i="123" s="1"/>
  <c r="AM718" i="123"/>
  <c r="AR716" i="123"/>
  <c r="AS716" i="123" s="1"/>
  <c r="AR715" i="123"/>
  <c r="AS715" i="123" s="1"/>
  <c r="AM714" i="123"/>
  <c r="AR712" i="123"/>
  <c r="AS712" i="123" s="1"/>
  <c r="AN710" i="123"/>
  <c r="AR708" i="123"/>
  <c r="AS708" i="123" s="1"/>
  <c r="AR707" i="123"/>
  <c r="AS707" i="123" s="1"/>
  <c r="AR700" i="123"/>
  <c r="AS700" i="123" s="1"/>
  <c r="AM699" i="123"/>
  <c r="AM698" i="123"/>
  <c r="AM689" i="123"/>
  <c r="Z686" i="123"/>
  <c r="AR684" i="123"/>
  <c r="AS684" i="123" s="1"/>
  <c r="AR683" i="123"/>
  <c r="AS683" i="123" s="1"/>
  <c r="Z680" i="123"/>
  <c r="AR676" i="123"/>
  <c r="AS676" i="123" s="1"/>
  <c r="AM674" i="123"/>
  <c r="AC673" i="123"/>
  <c r="AC672" i="123"/>
  <c r="Z671" i="123"/>
  <c r="AM661" i="123"/>
  <c r="AD659" i="123"/>
  <c r="AF659" i="123" s="1"/>
  <c r="AG659" i="123" s="1"/>
  <c r="AN658" i="123"/>
  <c r="AQ655" i="123"/>
  <c r="AR655" i="123" s="1"/>
  <c r="AS655" i="123" s="1"/>
  <c r="AA655" i="123"/>
  <c r="AQ654" i="123"/>
  <c r="AR654" i="123" s="1"/>
  <c r="AS654" i="123" s="1"/>
  <c r="AD652" i="123"/>
  <c r="AF652" i="123" s="1"/>
  <c r="AG652" i="123" s="1"/>
  <c r="AM648" i="123"/>
  <c r="AA647" i="123"/>
  <c r="AF647" i="123" s="1"/>
  <c r="AG647" i="123" s="1"/>
  <c r="Z646" i="123"/>
  <c r="AN646" i="123"/>
  <c r="AR644" i="123"/>
  <c r="AS644" i="123" s="1"/>
  <c r="AR643" i="123"/>
  <c r="AS643" i="123" s="1"/>
  <c r="Z640" i="123"/>
  <c r="AF639" i="123"/>
  <c r="AG639" i="123" s="1"/>
  <c r="AA638" i="123"/>
  <c r="AR636" i="123"/>
  <c r="AS636" i="123" s="1"/>
  <c r="AC633" i="123"/>
  <c r="AC632" i="123"/>
  <c r="AC625" i="123"/>
  <c r="AD624" i="123"/>
  <c r="AF624" i="123" s="1"/>
  <c r="AG624" i="123" s="1"/>
  <c r="AM622" i="123"/>
  <c r="AA622" i="123"/>
  <c r="AM619" i="123"/>
  <c r="AA606" i="123"/>
  <c r="AR604" i="123"/>
  <c r="AS604" i="123" s="1"/>
  <c r="AR603" i="123"/>
  <c r="AS603" i="123" s="1"/>
  <c r="AC593" i="123"/>
  <c r="U593" i="123"/>
  <c r="AF672" i="123"/>
  <c r="AG672" i="123" s="1"/>
  <c r="AN654" i="123"/>
  <c r="AQ647" i="123"/>
  <c r="AR647" i="123" s="1"/>
  <c r="AS647" i="123" s="1"/>
  <c r="AC641" i="123"/>
  <c r="U641" i="123"/>
  <c r="AC637" i="123"/>
  <c r="AC636" i="123"/>
  <c r="AE636" i="123" s="1"/>
  <c r="AF632" i="123"/>
  <c r="AG632" i="123" s="1"/>
  <c r="AC631" i="123"/>
  <c r="AC621" i="123"/>
  <c r="AN614" i="123"/>
  <c r="Z612" i="123"/>
  <c r="AN610" i="123"/>
  <c r="Z608" i="123"/>
  <c r="AC605" i="123"/>
  <c r="AD388" i="123"/>
  <c r="AC388" i="123"/>
  <c r="AA387" i="123"/>
  <c r="Z387" i="123"/>
  <c r="AA369" i="123"/>
  <c r="Z369" i="123"/>
  <c r="Z367" i="123"/>
  <c r="AA367" i="123"/>
  <c r="Z356" i="123"/>
  <c r="AA356" i="123"/>
  <c r="Z345" i="123"/>
  <c r="AA345" i="123"/>
  <c r="AC341" i="123"/>
  <c r="AD341" i="123"/>
  <c r="AF341" i="123" s="1"/>
  <c r="AA340" i="123"/>
  <c r="Z340" i="123"/>
  <c r="Z329" i="123"/>
  <c r="AA329" i="123"/>
  <c r="AD326" i="123"/>
  <c r="AC326" i="123"/>
  <c r="AA323" i="123"/>
  <c r="Z323" i="123"/>
  <c r="AC319" i="123"/>
  <c r="AD319" i="123"/>
  <c r="AF319" i="123" s="1"/>
  <c r="AC317" i="123"/>
  <c r="AD317" i="123"/>
  <c r="AF317" i="123" s="1"/>
  <c r="Z310" i="123"/>
  <c r="AA310" i="123"/>
  <c r="AD308" i="123"/>
  <c r="AC308" i="123"/>
  <c r="AD300" i="123"/>
  <c r="AC300" i="123"/>
  <c r="AC288" i="123"/>
  <c r="AD288" i="123"/>
  <c r="AF288" i="123" s="1"/>
  <c r="AD285" i="123"/>
  <c r="AC285" i="123"/>
  <c r="AA279" i="123"/>
  <c r="Z279" i="123"/>
  <c r="AA277" i="123"/>
  <c r="Z277" i="123"/>
  <c r="AD270" i="123"/>
  <c r="AF270" i="123" s="1"/>
  <c r="AC270" i="123"/>
  <c r="AC264" i="123"/>
  <c r="AD264" i="123"/>
  <c r="AD254" i="123"/>
  <c r="AF254" i="123" s="1"/>
  <c r="AC254" i="123"/>
  <c r="Z251" i="123"/>
  <c r="AA251" i="123"/>
  <c r="AA249" i="123"/>
  <c r="Z249" i="123"/>
  <c r="AD240" i="123"/>
  <c r="AF240" i="123" s="1"/>
  <c r="AC240" i="123"/>
  <c r="AC237" i="123"/>
  <c r="AD237" i="123"/>
  <c r="AF237" i="123" s="1"/>
  <c r="AD236" i="123"/>
  <c r="AC236" i="123"/>
  <c r="Z235" i="123"/>
  <c r="AA235" i="123"/>
  <c r="Z231" i="123"/>
  <c r="AA231" i="123"/>
  <c r="AC226" i="123"/>
  <c r="AD226" i="123"/>
  <c r="AD222" i="123"/>
  <c r="AF222" i="123" s="1"/>
  <c r="AC222" i="123"/>
  <c r="Z220" i="123"/>
  <c r="AA220" i="123"/>
  <c r="Z219" i="123"/>
  <c r="AA219" i="123"/>
  <c r="AC217" i="123"/>
  <c r="AD217" i="123"/>
  <c r="AF217" i="123" s="1"/>
  <c r="Z216" i="123"/>
  <c r="AA216" i="123"/>
  <c r="Z209" i="123"/>
  <c r="AA209" i="123"/>
  <c r="Z205" i="123"/>
  <c r="AA205" i="123"/>
  <c r="Z196" i="123"/>
  <c r="AA196" i="123"/>
  <c r="AD189" i="123"/>
  <c r="AF189" i="123" s="1"/>
  <c r="AC189" i="123"/>
  <c r="AC186" i="123"/>
  <c r="AD186" i="123"/>
  <c r="Z184" i="123"/>
  <c r="AA184" i="123"/>
  <c r="AA178" i="123"/>
  <c r="Z178" i="123"/>
  <c r="AD175" i="123"/>
  <c r="AF175" i="123" s="1"/>
  <c r="AC175" i="123"/>
  <c r="AA148" i="123"/>
  <c r="Z148" i="123"/>
  <c r="AD141" i="123"/>
  <c r="AC141" i="123"/>
  <c r="Z127" i="123"/>
  <c r="AA127" i="123"/>
  <c r="AA120" i="123"/>
  <c r="Z120" i="123"/>
  <c r="AD113" i="123"/>
  <c r="AF113" i="123" s="1"/>
  <c r="AC113" i="123"/>
  <c r="AC85" i="123"/>
  <c r="AD85" i="123"/>
  <c r="AF85" i="123" s="1"/>
  <c r="AC57" i="123"/>
  <c r="AD57" i="123"/>
  <c r="AF57" i="123" s="1"/>
  <c r="AC53" i="123"/>
  <c r="AD53" i="123"/>
  <c r="Z31" i="123"/>
  <c r="AA31" i="123"/>
  <c r="Z17" i="123"/>
  <c r="AA17" i="123"/>
  <c r="AC13" i="123"/>
  <c r="AD13" i="123"/>
  <c r="AF13" i="123" s="1"/>
  <c r="S111" i="123"/>
  <c r="T111" i="123" s="1"/>
  <c r="AA105" i="123"/>
  <c r="Z105" i="123"/>
  <c r="Z96" i="123"/>
  <c r="AA96" i="123"/>
  <c r="S93" i="123"/>
  <c r="AA81" i="123"/>
  <c r="Z81" i="123"/>
  <c r="S261" i="123"/>
  <c r="AF249" i="123"/>
  <c r="S249" i="123"/>
  <c r="AF241" i="123"/>
  <c r="AF238" i="123"/>
  <c r="S223" i="123"/>
  <c r="AA212" i="123"/>
  <c r="Z212" i="123"/>
  <c r="Z197" i="123"/>
  <c r="AA197" i="123"/>
  <c r="S155" i="123"/>
  <c r="AD149" i="123"/>
  <c r="AF149" i="123" s="1"/>
  <c r="AC149" i="123"/>
  <c r="Z143" i="123"/>
  <c r="AA143" i="123"/>
  <c r="Z131" i="123"/>
  <c r="AA131" i="123"/>
  <c r="S118" i="123"/>
  <c r="AA112" i="123"/>
  <c r="Z112" i="123"/>
  <c r="Z101" i="123"/>
  <c r="AA101" i="123"/>
  <c r="AD74" i="123"/>
  <c r="AF74" i="123" s="1"/>
  <c r="AC74" i="123"/>
  <c r="AD69" i="123"/>
  <c r="AC69" i="123"/>
  <c r="AC64" i="123"/>
  <c r="AD64" i="123"/>
  <c r="AD49" i="123"/>
  <c r="AC49" i="123"/>
  <c r="Z16" i="123"/>
  <c r="AA16" i="123"/>
  <c r="AD12" i="123"/>
  <c r="AC12" i="123"/>
  <c r="AD8" i="123"/>
  <c r="AF8" i="123" s="1"/>
  <c r="AC8" i="123"/>
  <c r="AF363" i="123"/>
  <c r="S362" i="123"/>
  <c r="S357" i="123"/>
  <c r="S339" i="123"/>
  <c r="S326" i="123"/>
  <c r="S322" i="123"/>
  <c r="S316" i="123"/>
  <c r="AF302" i="123"/>
  <c r="S299" i="123"/>
  <c r="S284" i="123"/>
  <c r="AF274" i="123"/>
  <c r="AM272" i="123"/>
  <c r="S268" i="123"/>
  <c r="T268" i="123" s="1"/>
  <c r="S227" i="123"/>
  <c r="AA221" i="123"/>
  <c r="Z221" i="123"/>
  <c r="AD199" i="123"/>
  <c r="AF199" i="123" s="1"/>
  <c r="AC199" i="123"/>
  <c r="AA194" i="123"/>
  <c r="Z194" i="123"/>
  <c r="S175" i="123"/>
  <c r="S173" i="123"/>
  <c r="T173" i="123" s="1"/>
  <c r="S167" i="123"/>
  <c r="Z144" i="123"/>
  <c r="AA144" i="123"/>
  <c r="AA109" i="123"/>
  <c r="Z109" i="123"/>
  <c r="S108" i="123"/>
  <c r="T108" i="123" s="1"/>
  <c r="Z97" i="123"/>
  <c r="AA97" i="123"/>
  <c r="AC86" i="123"/>
  <c r="AD86" i="123"/>
  <c r="AF86" i="123" s="1"/>
  <c r="S84" i="123"/>
  <c r="T84" i="123" s="1"/>
  <c r="AC61" i="123"/>
  <c r="AD61" i="123"/>
  <c r="AC14" i="123"/>
  <c r="AD14" i="123"/>
  <c r="AF14" i="123" s="1"/>
  <c r="S205" i="123"/>
  <c r="S196" i="123"/>
  <c r="AF191" i="123"/>
  <c r="S184" i="123"/>
  <c r="S178" i="123"/>
  <c r="AF167" i="123"/>
  <c r="AC165" i="123"/>
  <c r="AE165" i="123" s="1"/>
  <c r="S165" i="123"/>
  <c r="Z164" i="123"/>
  <c r="AA162" i="123"/>
  <c r="AA158" i="123"/>
  <c r="S154" i="123"/>
  <c r="AA150" i="123"/>
  <c r="AF148" i="123"/>
  <c r="AA146" i="123"/>
  <c r="Z142" i="123"/>
  <c r="AD140" i="123"/>
  <c r="AF140" i="123" s="1"/>
  <c r="AC138" i="123"/>
  <c r="Z136" i="123"/>
  <c r="AD132" i="123"/>
  <c r="AF132" i="123" s="1"/>
  <c r="S131" i="123"/>
  <c r="T131" i="123" s="1"/>
  <c r="AF129" i="123"/>
  <c r="S127" i="123"/>
  <c r="T127" i="123" s="1"/>
  <c r="AF125" i="123"/>
  <c r="AC119" i="123"/>
  <c r="AC114" i="123"/>
  <c r="S112" i="123"/>
  <c r="T112" i="123" s="1"/>
  <c r="AD110" i="123"/>
  <c r="AF110" i="123" s="1"/>
  <c r="S109" i="123"/>
  <c r="S105" i="123"/>
  <c r="S81" i="123"/>
  <c r="AC78" i="123"/>
  <c r="AD77" i="123"/>
  <c r="AF75" i="123"/>
  <c r="S75" i="123"/>
  <c r="AC70" i="123"/>
  <c r="Z64" i="123"/>
  <c r="AA57" i="123"/>
  <c r="AA56" i="123"/>
  <c r="AA53" i="123"/>
  <c r="AA52" i="123"/>
  <c r="AC50" i="123"/>
  <c r="S48" i="123"/>
  <c r="AA46" i="123"/>
  <c r="S43" i="123"/>
  <c r="S39" i="123"/>
  <c r="S35" i="123"/>
  <c r="S30" i="123"/>
  <c r="AF28" i="123"/>
  <c r="AA24" i="123"/>
  <c r="S7" i="123"/>
  <c r="S228" i="123"/>
  <c r="S224" i="123"/>
  <c r="AF187" i="123"/>
  <c r="S181" i="123"/>
  <c r="AF165" i="123"/>
  <c r="AF161" i="123"/>
  <c r="AF157" i="123"/>
  <c r="AF107" i="123"/>
  <c r="Z75" i="123"/>
  <c r="AD73" i="123"/>
  <c r="AD68" i="123"/>
  <c r="AC66" i="123"/>
  <c r="AF50" i="123"/>
  <c r="Z48" i="123"/>
  <c r="Z44" i="123"/>
  <c r="Z43" i="123"/>
  <c r="Z40" i="123"/>
  <c r="Z39" i="123"/>
  <c r="Z36" i="123"/>
  <c r="Z35" i="123"/>
  <c r="Z34" i="123"/>
  <c r="S65" i="123"/>
  <c r="S42" i="123"/>
  <c r="S38" i="123"/>
  <c r="AF23" i="123"/>
  <c r="AF20" i="123"/>
  <c r="S8" i="123"/>
  <c r="T8" i="123" s="1"/>
  <c r="AE1222" i="123"/>
  <c r="AE1186" i="123"/>
  <c r="AE1180" i="123"/>
  <c r="AE1174" i="123"/>
  <c r="AE1500" i="123"/>
  <c r="AE903" i="123"/>
  <c r="AE1479" i="123"/>
  <c r="AE1395" i="123"/>
  <c r="AE274" i="123"/>
  <c r="AE215" i="123"/>
  <c r="AE1238" i="123"/>
  <c r="AE1759" i="123"/>
  <c r="AE1727" i="123"/>
  <c r="AE1697" i="123"/>
  <c r="AE1449" i="123"/>
  <c r="AE262" i="123"/>
  <c r="AE173" i="123"/>
  <c r="AE1828" i="123"/>
  <c r="AE1317" i="123"/>
  <c r="AE1540" i="123"/>
  <c r="AE1367" i="123"/>
  <c r="AF130" i="123"/>
  <c r="AE1769" i="123"/>
  <c r="AE1733" i="123"/>
  <c r="AE1725" i="123"/>
  <c r="AE1723" i="123"/>
  <c r="AE1648" i="123"/>
  <c r="AE1598" i="123"/>
  <c r="AE419" i="123"/>
  <c r="AE238" i="123"/>
  <c r="AE1878" i="123"/>
  <c r="AE1547" i="123"/>
  <c r="AE1528" i="123"/>
  <c r="AF115" i="123"/>
  <c r="AE1757" i="123"/>
  <c r="AF1559" i="123"/>
  <c r="AE1483" i="123"/>
  <c r="AE1458" i="123"/>
  <c r="AE1230" i="123"/>
  <c r="AE781" i="123"/>
  <c r="AE544" i="123"/>
  <c r="AE441" i="123"/>
  <c r="AE355" i="123"/>
  <c r="V1862" i="123"/>
  <c r="U1862" i="123"/>
  <c r="W1862" i="123"/>
  <c r="AN1862" i="123" s="1"/>
  <c r="V1846" i="123"/>
  <c r="U1846" i="123"/>
  <c r="W1846" i="123"/>
  <c r="AN1846" i="123" s="1"/>
  <c r="V1830" i="123"/>
  <c r="U1830" i="123"/>
  <c r="W1830" i="123"/>
  <c r="AN1830" i="123" s="1"/>
  <c r="W1996" i="123"/>
  <c r="AN1996" i="123" s="1"/>
  <c r="U1996" i="123"/>
  <c r="V1866" i="123"/>
  <c r="U1866" i="123"/>
  <c r="W1866" i="123"/>
  <c r="AN1866" i="123" s="1"/>
  <c r="AR1810" i="123"/>
  <c r="AS1810" i="123" s="1"/>
  <c r="V1806" i="123"/>
  <c r="U1806" i="123"/>
  <c r="W1806" i="123"/>
  <c r="AN1806" i="123" s="1"/>
  <c r="V1878" i="123"/>
  <c r="W1878" i="123"/>
  <c r="AN1878" i="123" s="1"/>
  <c r="V1850" i="123"/>
  <c r="U1850" i="123"/>
  <c r="W1850" i="123"/>
  <c r="AN1850" i="123" s="1"/>
  <c r="V1834" i="123"/>
  <c r="U1834" i="123"/>
  <c r="W1834" i="123"/>
  <c r="AN1834" i="123" s="1"/>
  <c r="V1818" i="123"/>
  <c r="U1818" i="123"/>
  <c r="W1818" i="123"/>
  <c r="AN1818" i="123" s="1"/>
  <c r="V1802" i="123"/>
  <c r="U1802" i="123"/>
  <c r="W1802" i="123"/>
  <c r="AN1802" i="123" s="1"/>
  <c r="V1810" i="123"/>
  <c r="U1810" i="123"/>
  <c r="W1810" i="123"/>
  <c r="AN1810" i="123" s="1"/>
  <c r="V1798" i="123"/>
  <c r="U1798" i="123"/>
  <c r="W1798" i="123"/>
  <c r="AN1798" i="123" s="1"/>
  <c r="AN1988" i="123"/>
  <c r="AM1984" i="123"/>
  <c r="AN1972" i="123"/>
  <c r="AM1968" i="123"/>
  <c r="AN1956" i="123"/>
  <c r="AQ1953" i="123"/>
  <c r="AR1953" i="123" s="1"/>
  <c r="AS1953" i="123" s="1"/>
  <c r="AM1952" i="123"/>
  <c r="AD1999" i="123"/>
  <c r="AF1999" i="123" s="1"/>
  <c r="AG1999" i="123" s="1"/>
  <c r="AD1998" i="123"/>
  <c r="AF1998" i="123" s="1"/>
  <c r="AG1998" i="123" s="1"/>
  <c r="AA1997" i="123"/>
  <c r="AF1997" i="123" s="1"/>
  <c r="AG1997" i="123" s="1"/>
  <c r="AC1996" i="123"/>
  <c r="AE1996" i="123" s="1"/>
  <c r="AM1995" i="123"/>
  <c r="AM1994" i="123"/>
  <c r="AD1990" i="123"/>
  <c r="AA1989" i="123"/>
  <c r="AF1989" i="123" s="1"/>
  <c r="AD1987" i="123"/>
  <c r="AE1987" i="123" s="1"/>
  <c r="AR1984" i="123"/>
  <c r="AS1984" i="123" s="1"/>
  <c r="AR1983" i="123"/>
  <c r="AS1983" i="123" s="1"/>
  <c r="AA1982" i="123"/>
  <c r="AQ1981" i="123"/>
  <c r="AR1981" i="123" s="1"/>
  <c r="AS1981" i="123" s="1"/>
  <c r="AM1980" i="123"/>
  <c r="AM1979" i="123"/>
  <c r="AM1978" i="123"/>
  <c r="AD1974" i="123"/>
  <c r="AF1974" i="123" s="1"/>
  <c r="AG1974" i="123" s="1"/>
  <c r="AA1973" i="123"/>
  <c r="AF1973" i="123" s="1"/>
  <c r="AD1971" i="123"/>
  <c r="AE1971" i="123" s="1"/>
  <c r="AR1968" i="123"/>
  <c r="AS1968" i="123" s="1"/>
  <c r="AR1967" i="123"/>
  <c r="AS1967" i="123" s="1"/>
  <c r="AA1966" i="123"/>
  <c r="AQ1965" i="123"/>
  <c r="AR1965" i="123" s="1"/>
  <c r="AS1965" i="123" s="1"/>
  <c r="AM1964" i="123"/>
  <c r="AM1963" i="123"/>
  <c r="AM1962" i="123"/>
  <c r="AD1958" i="123"/>
  <c r="AF1958" i="123" s="1"/>
  <c r="AG1958" i="123" s="1"/>
  <c r="AA1957" i="123"/>
  <c r="AF1957" i="123" s="1"/>
  <c r="AD1955" i="123"/>
  <c r="AE1955" i="123" s="1"/>
  <c r="AR1952" i="123"/>
  <c r="AS1952" i="123" s="1"/>
  <c r="AR1951" i="123"/>
  <c r="AS1951" i="123" s="1"/>
  <c r="AA1950" i="123"/>
  <c r="AQ1949" i="123"/>
  <c r="AR1949" i="123" s="1"/>
  <c r="AS1949" i="123" s="1"/>
  <c r="AM1948" i="123"/>
  <c r="AM1947" i="123"/>
  <c r="AM1946" i="123"/>
  <c r="AD1942" i="123"/>
  <c r="AF1942" i="123" s="1"/>
  <c r="AG1942" i="123" s="1"/>
  <c r="AA1941" i="123"/>
  <c r="AF1941" i="123" s="1"/>
  <c r="AG1941" i="123" s="1"/>
  <c r="AD1939" i="123"/>
  <c r="AE1939" i="123" s="1"/>
  <c r="AR1936" i="123"/>
  <c r="AS1936" i="123" s="1"/>
  <c r="AR1935" i="123"/>
  <c r="AS1935" i="123" s="1"/>
  <c r="AA1934" i="123"/>
  <c r="AQ1933" i="123"/>
  <c r="AR1933" i="123" s="1"/>
  <c r="AS1933" i="123" s="1"/>
  <c r="AM1932" i="123"/>
  <c r="AM1931" i="123"/>
  <c r="AM1930" i="123"/>
  <c r="AD1926" i="123"/>
  <c r="AF1926" i="123" s="1"/>
  <c r="AG1926" i="123" s="1"/>
  <c r="AD1923" i="123"/>
  <c r="AE1923" i="123" s="1"/>
  <c r="AR1920" i="123"/>
  <c r="AS1920" i="123" s="1"/>
  <c r="Z1919" i="123"/>
  <c r="AR1916" i="123"/>
  <c r="AS1916" i="123" s="1"/>
  <c r="Z1915" i="123"/>
  <c r="AR1912" i="123"/>
  <c r="AS1912" i="123" s="1"/>
  <c r="Z1911" i="123"/>
  <c r="AR1908" i="123"/>
  <c r="AS1908" i="123" s="1"/>
  <c r="Z1907" i="123"/>
  <c r="AR1904" i="123"/>
  <c r="AS1904" i="123" s="1"/>
  <c r="Z1903" i="123"/>
  <c r="AR1900" i="123"/>
  <c r="AS1900" i="123" s="1"/>
  <c r="Z1899" i="123"/>
  <c r="AR1896" i="123"/>
  <c r="AS1896" i="123" s="1"/>
  <c r="Z1895" i="123"/>
  <c r="Z1891" i="123"/>
  <c r="Z1890" i="123"/>
  <c r="AR1888" i="123"/>
  <c r="AS1888" i="123" s="1"/>
  <c r="Z1887" i="123"/>
  <c r="Z1886" i="123"/>
  <c r="AR1884" i="123"/>
  <c r="AS1884" i="123" s="1"/>
  <c r="Z1883" i="123"/>
  <c r="Z1882" i="123"/>
  <c r="AQ1874" i="123"/>
  <c r="AR1874" i="123" s="1"/>
  <c r="AS1874" i="123" s="1"/>
  <c r="AR1862" i="123"/>
  <c r="AS1862" i="123" s="1"/>
  <c r="AR1846" i="123"/>
  <c r="AS1846" i="123" s="1"/>
  <c r="AA1842" i="123"/>
  <c r="U1842" i="123"/>
  <c r="Z1839" i="123"/>
  <c r="AR1837" i="123"/>
  <c r="AS1837" i="123" s="1"/>
  <c r="AC1836" i="123"/>
  <c r="AR1830" i="123"/>
  <c r="AS1830" i="123" s="1"/>
  <c r="AA1826" i="123"/>
  <c r="U1826" i="123"/>
  <c r="Z1823" i="123"/>
  <c r="AR1821" i="123"/>
  <c r="AS1821" i="123" s="1"/>
  <c r="AC1820" i="123"/>
  <c r="AE1820" i="123" s="1"/>
  <c r="AA1814" i="123"/>
  <c r="U1814" i="123"/>
  <c r="Z1811" i="123"/>
  <c r="AR1809" i="123"/>
  <c r="AS1809" i="123" s="1"/>
  <c r="AC1808" i="123"/>
  <c r="AR1807" i="123"/>
  <c r="AS1807" i="123" s="1"/>
  <c r="AC1806" i="123"/>
  <c r="AN1793" i="123"/>
  <c r="V1790" i="123"/>
  <c r="W1790" i="123"/>
  <c r="AN1790" i="123" s="1"/>
  <c r="AC1784" i="123"/>
  <c r="AD1784" i="123"/>
  <c r="AF1784" i="123" s="1"/>
  <c r="AG1784" i="123" s="1"/>
  <c r="V1751" i="123"/>
  <c r="W1751" i="123"/>
  <c r="AN1751" i="123" s="1"/>
  <c r="U1751" i="123"/>
  <c r="V1680" i="123"/>
  <c r="U1680" i="123"/>
  <c r="V1672" i="123"/>
  <c r="U1672" i="123"/>
  <c r="U1658" i="123"/>
  <c r="W1658" i="123"/>
  <c r="AN1658" i="123" s="1"/>
  <c r="U1654" i="123"/>
  <c r="W1654" i="123"/>
  <c r="AN1654" i="123" s="1"/>
  <c r="V1619" i="123"/>
  <c r="U1619" i="123"/>
  <c r="V1586" i="123"/>
  <c r="U1586" i="123"/>
  <c r="AR1586" i="123"/>
  <c r="AS1586" i="123" s="1"/>
  <c r="W1568" i="123"/>
  <c r="AN1568" i="123" s="1"/>
  <c r="U1568" i="123"/>
  <c r="V1568" i="123"/>
  <c r="W1560" i="123"/>
  <c r="AN1560" i="123" s="1"/>
  <c r="U1560" i="123"/>
  <c r="V1560" i="123"/>
  <c r="W1559" i="123"/>
  <c r="AN1559" i="123" s="1"/>
  <c r="U1559" i="123"/>
  <c r="V1559" i="123"/>
  <c r="V1555" i="123"/>
  <c r="W1555" i="123"/>
  <c r="AN1555" i="123" s="1"/>
  <c r="U1555" i="123"/>
  <c r="V1552" i="123"/>
  <c r="W1552" i="123"/>
  <c r="AN1552" i="123" s="1"/>
  <c r="U1552" i="123"/>
  <c r="V1543" i="123"/>
  <c r="W1543" i="123"/>
  <c r="AN1543" i="123" s="1"/>
  <c r="U1543" i="123"/>
  <c r="U1541" i="123"/>
  <c r="V1541" i="123"/>
  <c r="W1541" i="123"/>
  <c r="AN1541" i="123" s="1"/>
  <c r="AM1990" i="123"/>
  <c r="AD1986" i="123"/>
  <c r="AF1986" i="123" s="1"/>
  <c r="AG1986" i="123" s="1"/>
  <c r="AA1985" i="123"/>
  <c r="AF1985" i="123" s="1"/>
  <c r="AF1981" i="123"/>
  <c r="AG1981" i="123" s="1"/>
  <c r="AM1974" i="123"/>
  <c r="AD1970" i="123"/>
  <c r="AF1970" i="123" s="1"/>
  <c r="AA1969" i="123"/>
  <c r="AF1969" i="123" s="1"/>
  <c r="AF1965" i="123"/>
  <c r="AI1965" i="123" s="1"/>
  <c r="AR1964" i="123"/>
  <c r="AS1964" i="123" s="1"/>
  <c r="AM1958" i="123"/>
  <c r="AD1954" i="123"/>
  <c r="AF1954" i="123" s="1"/>
  <c r="AG1954" i="123" s="1"/>
  <c r="AA1953" i="123"/>
  <c r="AF1953" i="123" s="1"/>
  <c r="AF1949" i="123"/>
  <c r="AG1949" i="123" s="1"/>
  <c r="AR1948" i="123"/>
  <c r="AS1948" i="123" s="1"/>
  <c r="AM1942" i="123"/>
  <c r="AD1938" i="123"/>
  <c r="AA1937" i="123"/>
  <c r="AF1937" i="123" s="1"/>
  <c r="AF1933" i="123"/>
  <c r="AG1933" i="123" s="1"/>
  <c r="AM1926" i="123"/>
  <c r="AD1922" i="123"/>
  <c r="AF1922" i="123" s="1"/>
  <c r="AG1922" i="123" s="1"/>
  <c r="AA1921" i="123"/>
  <c r="AF1921" i="123" s="1"/>
  <c r="AD1918" i="123"/>
  <c r="AA1917" i="123"/>
  <c r="AF1917" i="123" s="1"/>
  <c r="AD1914" i="123"/>
  <c r="AF1914" i="123" s="1"/>
  <c r="AG1914" i="123" s="1"/>
  <c r="AA1913" i="123"/>
  <c r="AF1913" i="123" s="1"/>
  <c r="AD1910" i="123"/>
  <c r="AA1909" i="123"/>
  <c r="AF1909" i="123" s="1"/>
  <c r="AD1906" i="123"/>
  <c r="AF1906" i="123" s="1"/>
  <c r="AG1906" i="123" s="1"/>
  <c r="AA1905" i="123"/>
  <c r="AF1905" i="123" s="1"/>
  <c r="AD1902" i="123"/>
  <c r="AF1902" i="123" s="1"/>
  <c r="AA1901" i="123"/>
  <c r="AF1901" i="123" s="1"/>
  <c r="AD1898" i="123"/>
  <c r="AF1898" i="123" s="1"/>
  <c r="AA1897" i="123"/>
  <c r="AF1897" i="123" s="1"/>
  <c r="AD1894" i="123"/>
  <c r="AA1893" i="123"/>
  <c r="AF1893" i="123" s="1"/>
  <c r="AD1890" i="123"/>
  <c r="AF1890" i="123" s="1"/>
  <c r="AG1890" i="123" s="1"/>
  <c r="AA1889" i="123"/>
  <c r="AF1889" i="123" s="1"/>
  <c r="AD1886" i="123"/>
  <c r="AF1886" i="123" s="1"/>
  <c r="AG1886" i="123" s="1"/>
  <c r="AA1885" i="123"/>
  <c r="AF1885" i="123" s="1"/>
  <c r="AD1882" i="123"/>
  <c r="AF1882" i="123" s="1"/>
  <c r="AG1882" i="123" s="1"/>
  <c r="AA1881" i="123"/>
  <c r="AF1881" i="123" s="1"/>
  <c r="AM1877" i="123"/>
  <c r="AM1876" i="123"/>
  <c r="AR1873" i="123"/>
  <c r="AS1873" i="123" s="1"/>
  <c r="AM1868" i="123"/>
  <c r="AR1866" i="123"/>
  <c r="AS1866" i="123" s="1"/>
  <c r="AM1861" i="123"/>
  <c r="AR1857" i="123"/>
  <c r="AS1857" i="123" s="1"/>
  <c r="AN1853" i="123"/>
  <c r="AM1852" i="123"/>
  <c r="AR1850" i="123"/>
  <c r="AS1850" i="123" s="1"/>
  <c r="AA1846" i="123"/>
  <c r="AF1846" i="123" s="1"/>
  <c r="AM1845" i="123"/>
  <c r="AR1841" i="123"/>
  <c r="AS1841" i="123" s="1"/>
  <c r="AE1840" i="123"/>
  <c r="AR1834" i="123"/>
  <c r="AS1834" i="123" s="1"/>
  <c r="AA1830" i="123"/>
  <c r="AM1829" i="123"/>
  <c r="AR1825" i="123"/>
  <c r="AS1825" i="123" s="1"/>
  <c r="AR1818" i="123"/>
  <c r="AS1818" i="123" s="1"/>
  <c r="AR1811" i="123"/>
  <c r="AS1811" i="123" s="1"/>
  <c r="U1803" i="123"/>
  <c r="AR1802" i="123"/>
  <c r="AS1802" i="123" s="1"/>
  <c r="AM1802" i="123"/>
  <c r="AM1801" i="123"/>
  <c r="Z1798" i="123"/>
  <c r="AA1798" i="123"/>
  <c r="AR1796" i="123"/>
  <c r="AS1796" i="123" s="1"/>
  <c r="AD1794" i="123"/>
  <c r="AF1794" i="123" s="1"/>
  <c r="AC1794" i="123"/>
  <c r="W1794" i="123"/>
  <c r="AN1794" i="123" s="1"/>
  <c r="AM1793" i="123"/>
  <c r="AA1792" i="123"/>
  <c r="AM1791" i="123"/>
  <c r="AN1789" i="123"/>
  <c r="AR1787" i="123"/>
  <c r="AS1787" i="123" s="1"/>
  <c r="V1782" i="123"/>
  <c r="W1782" i="123"/>
  <c r="AN1782" i="123" s="1"/>
  <c r="U1782" i="123"/>
  <c r="V1775" i="123"/>
  <c r="W1775" i="123"/>
  <c r="AN1775" i="123" s="1"/>
  <c r="U1775" i="123"/>
  <c r="V1759" i="123"/>
  <c r="U1759" i="123"/>
  <c r="W1759" i="123"/>
  <c r="V1747" i="123"/>
  <c r="W1747" i="123"/>
  <c r="AN1747" i="123" s="1"/>
  <c r="U1747" i="123"/>
  <c r="V1739" i="123"/>
  <c r="W1739" i="123"/>
  <c r="AN1739" i="123" s="1"/>
  <c r="U1739" i="123"/>
  <c r="V1735" i="123"/>
  <c r="W1735" i="123"/>
  <c r="AN1735" i="123" s="1"/>
  <c r="U1735" i="123"/>
  <c r="V1727" i="123"/>
  <c r="W1727" i="123"/>
  <c r="AN1727" i="123" s="1"/>
  <c r="U1727" i="123"/>
  <c r="V1705" i="123"/>
  <c r="U1705" i="123"/>
  <c r="V1697" i="123"/>
  <c r="U1697" i="123"/>
  <c r="V1656" i="123"/>
  <c r="U1656" i="123"/>
  <c r="V1652" i="123"/>
  <c r="U1652" i="123"/>
  <c r="U1642" i="123"/>
  <c r="W1642" i="123"/>
  <c r="AN1642" i="123" s="1"/>
  <c r="V1623" i="123"/>
  <c r="U1623" i="123"/>
  <c r="V1614" i="123"/>
  <c r="U1614" i="123"/>
  <c r="U1592" i="123"/>
  <c r="W1592" i="123"/>
  <c r="AN1592" i="123" s="1"/>
  <c r="V1590" i="123"/>
  <c r="U1590" i="123"/>
  <c r="W1557" i="123"/>
  <c r="AN1557" i="123" s="1"/>
  <c r="U1557" i="123"/>
  <c r="V1557" i="123"/>
  <c r="V1553" i="123"/>
  <c r="W1553" i="123"/>
  <c r="AN1553" i="123" s="1"/>
  <c r="U1553" i="123"/>
  <c r="W1550" i="123"/>
  <c r="AN1550" i="123" s="1"/>
  <c r="U1550" i="123"/>
  <c r="V1550" i="123"/>
  <c r="W1548" i="123"/>
  <c r="AN1548" i="123" s="1"/>
  <c r="U1548" i="123"/>
  <c r="V1548" i="123"/>
  <c r="AR1876" i="123"/>
  <c r="AS1876" i="123" s="1"/>
  <c r="AA1876" i="123"/>
  <c r="W1876" i="123"/>
  <c r="AN1876" i="123" s="1"/>
  <c r="AR1875" i="123"/>
  <c r="AS1875" i="123" s="1"/>
  <c r="AE1874" i="123"/>
  <c r="AM1872" i="123"/>
  <c r="W1870" i="123"/>
  <c r="AN1870" i="123" s="1"/>
  <c r="AA1867" i="123"/>
  <c r="AM1865" i="123"/>
  <c r="AD1864" i="123"/>
  <c r="AE1864" i="123" s="1"/>
  <c r="AR1861" i="123"/>
  <c r="AS1861" i="123" s="1"/>
  <c r="W1854" i="123"/>
  <c r="AN1854" i="123" s="1"/>
  <c r="AA1851" i="123"/>
  <c r="AM1849" i="123"/>
  <c r="AD1848" i="123"/>
  <c r="AE1848" i="123" s="1"/>
  <c r="AR1845" i="123"/>
  <c r="AS1845" i="123" s="1"/>
  <c r="W1838" i="123"/>
  <c r="AN1838" i="123" s="1"/>
  <c r="AA1835" i="123"/>
  <c r="AM1833" i="123"/>
  <c r="AD1832" i="123"/>
  <c r="AE1832" i="123" s="1"/>
  <c r="AR1829" i="123"/>
  <c r="AS1829" i="123" s="1"/>
  <c r="W1822" i="123"/>
  <c r="AN1822" i="123" s="1"/>
  <c r="AA1819" i="123"/>
  <c r="AM1817" i="123"/>
  <c r="AD1816" i="123"/>
  <c r="AE1816" i="123" s="1"/>
  <c r="AR1815" i="123"/>
  <c r="AS1815" i="123" s="1"/>
  <c r="AN1813" i="123"/>
  <c r="AM1812" i="123"/>
  <c r="AA1807" i="123"/>
  <c r="AR1806" i="123"/>
  <c r="AS1806" i="123" s="1"/>
  <c r="AM1806" i="123"/>
  <c r="AM1805" i="123"/>
  <c r="AD1804" i="123"/>
  <c r="AF1804" i="123" s="1"/>
  <c r="AG1804" i="123" s="1"/>
  <c r="AR1801" i="123"/>
  <c r="AS1801" i="123" s="1"/>
  <c r="AR1799" i="123"/>
  <c r="AS1799" i="123" s="1"/>
  <c r="AR1798" i="123"/>
  <c r="AS1798" i="123" s="1"/>
  <c r="U1794" i="123"/>
  <c r="V1767" i="123"/>
  <c r="W1767" i="123"/>
  <c r="U1767" i="123"/>
  <c r="V1763" i="123"/>
  <c r="U1763" i="123"/>
  <c r="W1763" i="123"/>
  <c r="AR1751" i="123"/>
  <c r="AS1751" i="123" s="1"/>
  <c r="V1743" i="123"/>
  <c r="W1743" i="123"/>
  <c r="AN1743" i="123" s="1"/>
  <c r="U1743" i="123"/>
  <c r="U1666" i="123"/>
  <c r="W1666" i="123"/>
  <c r="AN1666" i="123" s="1"/>
  <c r="U1662" i="123"/>
  <c r="W1662" i="123"/>
  <c r="AN1662" i="123" s="1"/>
  <c r="V1660" i="123"/>
  <c r="U1660" i="123"/>
  <c r="U1650" i="123"/>
  <c r="W1650" i="123"/>
  <c r="AN1650" i="123" s="1"/>
  <c r="V1644" i="123"/>
  <c r="U1644" i="123"/>
  <c r="V1641" i="123"/>
  <c r="W1641" i="123"/>
  <c r="AN1641" i="123" s="1"/>
  <c r="U1641" i="123"/>
  <c r="V1606" i="123"/>
  <c r="U1606" i="123"/>
  <c r="V1602" i="123"/>
  <c r="U1602" i="123"/>
  <c r="W1572" i="123"/>
  <c r="AN1572" i="123" s="1"/>
  <c r="U1572" i="123"/>
  <c r="V1572" i="123"/>
  <c r="V1562" i="123"/>
  <c r="U1562" i="123"/>
  <c r="AR1559" i="123"/>
  <c r="AS1559" i="123" s="1"/>
  <c r="V1556" i="123"/>
  <c r="W1556" i="123"/>
  <c r="AN1556" i="123" s="1"/>
  <c r="U1556" i="123"/>
  <c r="AQ1985" i="123"/>
  <c r="AR1985" i="123" s="1"/>
  <c r="AS1985" i="123" s="1"/>
  <c r="AM1983" i="123"/>
  <c r="AQ1969" i="123"/>
  <c r="AR1969" i="123" s="1"/>
  <c r="AS1969" i="123" s="1"/>
  <c r="AM1967" i="123"/>
  <c r="AM1951" i="123"/>
  <c r="AE1947" i="123"/>
  <c r="AN1940" i="123"/>
  <c r="AQ1937" i="123"/>
  <c r="AR1937" i="123" s="1"/>
  <c r="AS1937" i="123" s="1"/>
  <c r="AM1936" i="123"/>
  <c r="AM1935" i="123"/>
  <c r="AN1924" i="123"/>
  <c r="AQ1921" i="123"/>
  <c r="AR1921" i="123" s="1"/>
  <c r="AS1921" i="123" s="1"/>
  <c r="AM1920" i="123"/>
  <c r="AM1919" i="123"/>
  <c r="AQ1917" i="123"/>
  <c r="AR1917" i="123" s="1"/>
  <c r="AS1917" i="123" s="1"/>
  <c r="AM1916" i="123"/>
  <c r="AM1915" i="123"/>
  <c r="AQ1913" i="123"/>
  <c r="AR1913" i="123" s="1"/>
  <c r="AS1913" i="123" s="1"/>
  <c r="AM1912" i="123"/>
  <c r="AM1911" i="123"/>
  <c r="AQ1909" i="123"/>
  <c r="AR1909" i="123" s="1"/>
  <c r="AS1909" i="123" s="1"/>
  <c r="AM1908" i="123"/>
  <c r="AM1907" i="123"/>
  <c r="AQ1905" i="123"/>
  <c r="AR1905" i="123" s="1"/>
  <c r="AS1905" i="123" s="1"/>
  <c r="AM1904" i="123"/>
  <c r="AM1903" i="123"/>
  <c r="AQ1901" i="123"/>
  <c r="AR1901" i="123" s="1"/>
  <c r="AS1901" i="123" s="1"/>
  <c r="AM1900" i="123"/>
  <c r="AM1899" i="123"/>
  <c r="AQ1897" i="123"/>
  <c r="AR1897" i="123" s="1"/>
  <c r="AS1897" i="123" s="1"/>
  <c r="AM1896" i="123"/>
  <c r="AM1895" i="123"/>
  <c r="AQ1893" i="123"/>
  <c r="AR1893" i="123" s="1"/>
  <c r="AS1893" i="123" s="1"/>
  <c r="AM1892" i="123"/>
  <c r="AM1891" i="123"/>
  <c r="AQ1889" i="123"/>
  <c r="AR1889" i="123" s="1"/>
  <c r="AS1889" i="123" s="1"/>
  <c r="AM1888" i="123"/>
  <c r="AM1887" i="123"/>
  <c r="AQ1885" i="123"/>
  <c r="AR1885" i="123" s="1"/>
  <c r="AS1885" i="123" s="1"/>
  <c r="AM1884" i="123"/>
  <c r="AM1883" i="123"/>
  <c r="AQ1881" i="123"/>
  <c r="AR1881" i="123" s="1"/>
  <c r="AS1881" i="123" s="1"/>
  <c r="AM1880" i="123"/>
  <c r="AM1879" i="123"/>
  <c r="AF1877" i="123"/>
  <c r="AG1877" i="123" s="1"/>
  <c r="AM1874" i="123"/>
  <c r="Z1873" i="123"/>
  <c r="AA1870" i="123"/>
  <c r="AF1870" i="123" s="1"/>
  <c r="U1870" i="123"/>
  <c r="AM1869" i="123"/>
  <c r="AR1865" i="123"/>
  <c r="AS1865" i="123" s="1"/>
  <c r="AD1863" i="123"/>
  <c r="AF1863" i="123" s="1"/>
  <c r="AG1863" i="123" s="1"/>
  <c r="AC1862" i="123"/>
  <c r="AM1860" i="123"/>
  <c r="AM1859" i="123"/>
  <c r="W1858" i="123"/>
  <c r="AN1858" i="123" s="1"/>
  <c r="Z1857" i="123"/>
  <c r="AA1854" i="123"/>
  <c r="U1854" i="123"/>
  <c r="AM1853" i="123"/>
  <c r="AR1849" i="123"/>
  <c r="AS1849" i="123" s="1"/>
  <c r="AD1847" i="123"/>
  <c r="AF1847" i="123" s="1"/>
  <c r="AG1847" i="123" s="1"/>
  <c r="AC1846" i="123"/>
  <c r="AM1844" i="123"/>
  <c r="AM1843" i="123"/>
  <c r="W1842" i="123"/>
  <c r="AN1842" i="123" s="1"/>
  <c r="Z1841" i="123"/>
  <c r="AA1838" i="123"/>
  <c r="U1838" i="123"/>
  <c r="AM1837" i="123"/>
  <c r="AR1833" i="123"/>
  <c r="AS1833" i="123" s="1"/>
  <c r="AD1831" i="123"/>
  <c r="AF1831" i="123" s="1"/>
  <c r="AG1831" i="123" s="1"/>
  <c r="AC1830" i="123"/>
  <c r="AM1828" i="123"/>
  <c r="AM1827" i="123"/>
  <c r="W1826" i="123"/>
  <c r="AN1826" i="123" s="1"/>
  <c r="Z1825" i="123"/>
  <c r="AA1822" i="123"/>
  <c r="U1822" i="123"/>
  <c r="AM1821" i="123"/>
  <c r="AR1817" i="123"/>
  <c r="AS1817" i="123" s="1"/>
  <c r="W1814" i="123"/>
  <c r="AN1814" i="123" s="1"/>
  <c r="Z1813" i="123"/>
  <c r="AA1812" i="123"/>
  <c r="AF1812" i="123" s="1"/>
  <c r="AM1811" i="123"/>
  <c r="AM1810" i="123"/>
  <c r="AA1810" i="123"/>
  <c r="AM1809" i="123"/>
  <c r="AR1805" i="123"/>
  <c r="AS1805" i="123" s="1"/>
  <c r="AR1803" i="123"/>
  <c r="AS1803" i="123" s="1"/>
  <c r="AC1802" i="123"/>
  <c r="AM1800" i="123"/>
  <c r="AC1798" i="123"/>
  <c r="AC1796" i="123"/>
  <c r="AD1796" i="123"/>
  <c r="U1795" i="123"/>
  <c r="AR1794" i="123"/>
  <c r="AS1794" i="123" s="1"/>
  <c r="AM1794" i="123"/>
  <c r="U1790" i="123"/>
  <c r="Z1787" i="123"/>
  <c r="AA1787" i="123"/>
  <c r="AR1759" i="123"/>
  <c r="AS1759" i="123" s="1"/>
  <c r="V1755" i="123"/>
  <c r="W1755" i="123"/>
  <c r="AN1755" i="123" s="1"/>
  <c r="U1755" i="123"/>
  <c r="AR1747" i="123"/>
  <c r="AS1747" i="123" s="1"/>
  <c r="AR1739" i="123"/>
  <c r="AS1739" i="123" s="1"/>
  <c r="AR1735" i="123"/>
  <c r="AS1735" i="123" s="1"/>
  <c r="V1731" i="123"/>
  <c r="W1731" i="123"/>
  <c r="AN1731" i="123" s="1"/>
  <c r="U1731" i="123"/>
  <c r="AR1727" i="123"/>
  <c r="AS1727" i="123" s="1"/>
  <c r="V1723" i="123"/>
  <c r="W1723" i="123"/>
  <c r="AN1723" i="123" s="1"/>
  <c r="U1723" i="123"/>
  <c r="V1719" i="123"/>
  <c r="U1719" i="123"/>
  <c r="W1719" i="123"/>
  <c r="AN1719" i="123" s="1"/>
  <c r="V1707" i="123"/>
  <c r="W1707" i="123"/>
  <c r="AN1707" i="123" s="1"/>
  <c r="U1707" i="123"/>
  <c r="V1701" i="123"/>
  <c r="W1701" i="123"/>
  <c r="AN1701" i="123" s="1"/>
  <c r="U1701" i="123"/>
  <c r="AR1681" i="123"/>
  <c r="AS1681" i="123" s="1"/>
  <c r="V1664" i="123"/>
  <c r="U1664" i="123"/>
  <c r="V1648" i="123"/>
  <c r="U1648" i="123"/>
  <c r="U1646" i="123"/>
  <c r="W1646" i="123"/>
  <c r="AN1646" i="123" s="1"/>
  <c r="V1598" i="123"/>
  <c r="U1598" i="123"/>
  <c r="V1582" i="123"/>
  <c r="U1582" i="123"/>
  <c r="AR1582" i="123"/>
  <c r="AS1582" i="123" s="1"/>
  <c r="AR1562" i="123"/>
  <c r="AS1562" i="123" s="1"/>
  <c r="AR1556" i="123"/>
  <c r="AS1556" i="123" s="1"/>
  <c r="AR1552" i="123"/>
  <c r="AS1552" i="123" s="1"/>
  <c r="AE1544" i="123"/>
  <c r="AM1798" i="123"/>
  <c r="AM1797" i="123"/>
  <c r="AR1793" i="123"/>
  <c r="AS1793" i="123" s="1"/>
  <c r="AR1791" i="123"/>
  <c r="AS1791" i="123" s="1"/>
  <c r="AC1790" i="123"/>
  <c r="AM1788" i="123"/>
  <c r="W1786" i="123"/>
  <c r="AN1786" i="123" s="1"/>
  <c r="AA1783" i="123"/>
  <c r="AR1782" i="123"/>
  <c r="AS1782" i="123" s="1"/>
  <c r="AM1782" i="123"/>
  <c r="AM1781" i="123"/>
  <c r="AD1780" i="123"/>
  <c r="AF1780" i="123" s="1"/>
  <c r="AG1780" i="123" s="1"/>
  <c r="AA1776" i="123"/>
  <c r="AA1775" i="123"/>
  <c r="AF1775" i="123" s="1"/>
  <c r="AR1773" i="123"/>
  <c r="AS1773" i="123" s="1"/>
  <c r="AA1773" i="123"/>
  <c r="AF1773" i="123" s="1"/>
  <c r="W1773" i="123"/>
  <c r="AD1772" i="123"/>
  <c r="AF1772" i="123" s="1"/>
  <c r="AG1772" i="123" s="1"/>
  <c r="AE1767" i="123"/>
  <c r="Z1766" i="123"/>
  <c r="AA1765" i="123"/>
  <c r="AM1764" i="123"/>
  <c r="AA1764" i="123"/>
  <c r="AM1763" i="123"/>
  <c r="AA1761" i="123"/>
  <c r="AN1761" i="123"/>
  <c r="AM1760" i="123"/>
  <c r="AA1760" i="123"/>
  <c r="AM1759" i="123"/>
  <c r="AM1754" i="123"/>
  <c r="Z1754" i="123"/>
  <c r="AM1750" i="123"/>
  <c r="Z1750" i="123"/>
  <c r="AM1746" i="123"/>
  <c r="Z1746" i="123"/>
  <c r="AM1742" i="123"/>
  <c r="Z1742" i="123"/>
  <c r="AM1738" i="123"/>
  <c r="Z1738" i="123"/>
  <c r="AM1734" i="123"/>
  <c r="Z1734" i="123"/>
  <c r="AM1730" i="123"/>
  <c r="Z1730" i="123"/>
  <c r="AM1726" i="123"/>
  <c r="Z1726" i="123"/>
  <c r="AM1722" i="123"/>
  <c r="Z1722" i="123"/>
  <c r="AA1721" i="123"/>
  <c r="AM1720" i="123"/>
  <c r="AA1720" i="123"/>
  <c r="AM1719" i="123"/>
  <c r="AR1718" i="123"/>
  <c r="AS1718" i="123" s="1"/>
  <c r="AD1717" i="123"/>
  <c r="AF1717" i="123" s="1"/>
  <c r="AD1714" i="123"/>
  <c r="AR1712" i="123"/>
  <c r="AS1712" i="123" s="1"/>
  <c r="W1711" i="123"/>
  <c r="AN1711" i="123" s="1"/>
  <c r="AM1706" i="123"/>
  <c r="Z1706" i="123"/>
  <c r="AA1705" i="123"/>
  <c r="AA1702" i="123"/>
  <c r="AA1701" i="123"/>
  <c r="AF1701" i="123" s="1"/>
  <c r="U1699" i="123"/>
  <c r="Z1698" i="123"/>
  <c r="AD1696" i="123"/>
  <c r="AF1696" i="123" s="1"/>
  <c r="AG1696" i="123" s="1"/>
  <c r="AN1696" i="123"/>
  <c r="AQ1695" i="123"/>
  <c r="AR1695" i="123" s="1"/>
  <c r="AS1695" i="123" s="1"/>
  <c r="U1695" i="123"/>
  <c r="AD1694" i="123"/>
  <c r="AE1694" i="123" s="1"/>
  <c r="AA1693" i="123"/>
  <c r="AF1693" i="123" s="1"/>
  <c r="AG1693" i="123" s="1"/>
  <c r="U1693" i="123"/>
  <c r="AR1691" i="123"/>
  <c r="AS1691" i="123" s="1"/>
  <c r="AC1691" i="123"/>
  <c r="AA1689" i="123"/>
  <c r="AC1688" i="123"/>
  <c r="AE1688" i="123" s="1"/>
  <c r="AC1687" i="123"/>
  <c r="AE1687" i="123" s="1"/>
  <c r="AM1686" i="123"/>
  <c r="U1686" i="123"/>
  <c r="Z1683" i="123"/>
  <c r="Z1682" i="123"/>
  <c r="AA1681" i="123"/>
  <c r="AR1680" i="123"/>
  <c r="AS1680" i="123" s="1"/>
  <c r="AC1679" i="123"/>
  <c r="Z1678" i="123"/>
  <c r="AR1675" i="123"/>
  <c r="AS1675" i="123" s="1"/>
  <c r="Z1675" i="123"/>
  <c r="AA1673" i="123"/>
  <c r="AR1672" i="123"/>
  <c r="AS1672" i="123" s="1"/>
  <c r="AC1671" i="123"/>
  <c r="Z1670" i="123"/>
  <c r="Z1667" i="123"/>
  <c r="AR1664" i="123"/>
  <c r="AS1664" i="123" s="1"/>
  <c r="AE1663" i="123"/>
  <c r="AR1654" i="123"/>
  <c r="AS1654" i="123" s="1"/>
  <c r="AR1652" i="123"/>
  <c r="AS1652" i="123" s="1"/>
  <c r="AM1647" i="123"/>
  <c r="AR1642" i="123"/>
  <c r="AS1642" i="123" s="1"/>
  <c r="AM1640" i="123"/>
  <c r="AM1635" i="123"/>
  <c r="AM1631" i="123"/>
  <c r="AQ1624" i="123"/>
  <c r="AR1624" i="123" s="1"/>
  <c r="AS1624" i="123" s="1"/>
  <c r="AQ1619" i="123"/>
  <c r="AR1619" i="123" s="1"/>
  <c r="AS1619" i="123" s="1"/>
  <c r="AF1617" i="123"/>
  <c r="AG1617" i="123" s="1"/>
  <c r="AR1614" i="123"/>
  <c r="AS1614" i="123" s="1"/>
  <c r="AM1612" i="123"/>
  <c r="AR1611" i="123"/>
  <c r="AS1611" i="123" s="1"/>
  <c r="AQ1606" i="123"/>
  <c r="AR1606" i="123" s="1"/>
  <c r="AS1606" i="123" s="1"/>
  <c r="AR1604" i="123"/>
  <c r="AS1604" i="123" s="1"/>
  <c r="AR1602" i="123"/>
  <c r="AS1602" i="123" s="1"/>
  <c r="AR1600" i="123"/>
  <c r="AS1600" i="123" s="1"/>
  <c r="AR1594" i="123"/>
  <c r="AS1594" i="123" s="1"/>
  <c r="AA1593" i="123"/>
  <c r="AQ1591" i="123"/>
  <c r="AR1591" i="123" s="1"/>
  <c r="AS1591" i="123" s="1"/>
  <c r="AM1590" i="123"/>
  <c r="AR1589" i="123"/>
  <c r="AS1589" i="123" s="1"/>
  <c r="AA1589" i="123"/>
  <c r="AD1588" i="123"/>
  <c r="V1588" i="123"/>
  <c r="AQ1587" i="123"/>
  <c r="AR1587" i="123" s="1"/>
  <c r="AS1587" i="123" s="1"/>
  <c r="AM1586" i="123"/>
  <c r="AR1585" i="123"/>
  <c r="AS1585" i="123" s="1"/>
  <c r="AA1585" i="123"/>
  <c r="AD1584" i="123"/>
  <c r="AE1584" i="123" s="1"/>
  <c r="V1584" i="123"/>
  <c r="AQ1583" i="123"/>
  <c r="AR1583" i="123" s="1"/>
  <c r="AS1583" i="123" s="1"/>
  <c r="AM1582" i="123"/>
  <c r="AA1581" i="123"/>
  <c r="AD1580" i="123"/>
  <c r="AF1580" i="123" s="1"/>
  <c r="V1580" i="123"/>
  <c r="W1576" i="123"/>
  <c r="AN1576" i="123" s="1"/>
  <c r="AQ1575" i="123"/>
  <c r="AR1575" i="123" s="1"/>
  <c r="AS1575" i="123" s="1"/>
  <c r="AR1572" i="123"/>
  <c r="AS1572" i="123" s="1"/>
  <c r="AR1568" i="123"/>
  <c r="AS1568" i="123" s="1"/>
  <c r="AC1564" i="123"/>
  <c r="AE1564" i="123" s="1"/>
  <c r="U1564" i="123"/>
  <c r="AR1557" i="123"/>
  <c r="AS1557" i="123" s="1"/>
  <c r="AR1553" i="123"/>
  <c r="AS1553" i="123" s="1"/>
  <c r="AD1551" i="123"/>
  <c r="AF1551" i="123" s="1"/>
  <c r="AH1551" i="123" s="1"/>
  <c r="V1551" i="123"/>
  <c r="W1549" i="123"/>
  <c r="AN1549" i="123" s="1"/>
  <c r="V1540" i="123"/>
  <c r="Z1537" i="123"/>
  <c r="U1537" i="123"/>
  <c r="W1527" i="123"/>
  <c r="AN1527" i="123" s="1"/>
  <c r="U1527" i="123"/>
  <c r="V1521" i="123"/>
  <c r="W1521" i="123"/>
  <c r="AN1521" i="123" s="1"/>
  <c r="U1521" i="123"/>
  <c r="U1520" i="123"/>
  <c r="V1520" i="123"/>
  <c r="W1520" i="123"/>
  <c r="AN1520" i="123" s="1"/>
  <c r="W1514" i="123"/>
  <c r="AN1514" i="123" s="1"/>
  <c r="U1514" i="123"/>
  <c r="V1514" i="123"/>
  <c r="W1510" i="123"/>
  <c r="AN1510" i="123" s="1"/>
  <c r="U1510" i="123"/>
  <c r="V1510" i="123"/>
  <c r="W1506" i="123"/>
  <c r="AN1506" i="123" s="1"/>
  <c r="V1506" i="123"/>
  <c r="U1506" i="123"/>
  <c r="V1504" i="123"/>
  <c r="W1504" i="123"/>
  <c r="AN1504" i="123" s="1"/>
  <c r="U1504" i="123"/>
  <c r="U1483" i="123"/>
  <c r="V1483" i="123"/>
  <c r="W1483" i="123"/>
  <c r="AN1483" i="123" s="1"/>
  <c r="V1475" i="123"/>
  <c r="W1475" i="123"/>
  <c r="AN1475" i="123" s="1"/>
  <c r="U1475" i="123"/>
  <c r="V1472" i="123"/>
  <c r="W1472" i="123"/>
  <c r="AN1472" i="123" s="1"/>
  <c r="U1472" i="123"/>
  <c r="AR1467" i="123"/>
  <c r="AS1467" i="123" s="1"/>
  <c r="AR1797" i="123"/>
  <c r="AS1797" i="123" s="1"/>
  <c r="AR1795" i="123"/>
  <c r="AS1795" i="123" s="1"/>
  <c r="Z1789" i="123"/>
  <c r="AA1788" i="123"/>
  <c r="AM1787" i="123"/>
  <c r="AM1786" i="123"/>
  <c r="AA1786" i="123"/>
  <c r="AF1786" i="123" s="1"/>
  <c r="U1786" i="123"/>
  <c r="AM1785" i="123"/>
  <c r="AR1781" i="123"/>
  <c r="AS1781" i="123" s="1"/>
  <c r="AR1779" i="123"/>
  <c r="AS1779" i="123" s="1"/>
  <c r="AC1778" i="123"/>
  <c r="AE1778" i="123" s="1"/>
  <c r="AQ1777" i="123"/>
  <c r="AR1777" i="123" s="1"/>
  <c r="AS1777" i="123" s="1"/>
  <c r="V1773" i="123"/>
  <c r="AC1771" i="123"/>
  <c r="AE1771" i="123" s="1"/>
  <c r="AA1769" i="123"/>
  <c r="AM1768" i="123"/>
  <c r="AA1768" i="123"/>
  <c r="AM1767" i="123"/>
  <c r="AD1765" i="123"/>
  <c r="AD1762" i="123"/>
  <c r="AD1761" i="123"/>
  <c r="AE1761" i="123" s="1"/>
  <c r="AD1758" i="123"/>
  <c r="AE1758" i="123" s="1"/>
  <c r="AA1757" i="123"/>
  <c r="AM1756" i="123"/>
  <c r="AA1756" i="123"/>
  <c r="AA1753" i="123"/>
  <c r="AM1752" i="123"/>
  <c r="AA1752" i="123"/>
  <c r="AA1749" i="123"/>
  <c r="AM1748" i="123"/>
  <c r="AA1748" i="123"/>
  <c r="AA1745" i="123"/>
  <c r="AF1745" i="123" s="1"/>
  <c r="AG1745" i="123" s="1"/>
  <c r="AM1744" i="123"/>
  <c r="AA1744" i="123"/>
  <c r="AM1743" i="123"/>
  <c r="AA1741" i="123"/>
  <c r="AM1740" i="123"/>
  <c r="AA1740" i="123"/>
  <c r="AM1739" i="123"/>
  <c r="AA1737" i="123"/>
  <c r="AM1736" i="123"/>
  <c r="AM1735" i="123"/>
  <c r="AA1733" i="123"/>
  <c r="AF1733" i="123" s="1"/>
  <c r="AM1732" i="123"/>
  <c r="AM1731" i="123"/>
  <c r="AA1729" i="123"/>
  <c r="AM1728" i="123"/>
  <c r="AM1727" i="123"/>
  <c r="AA1725" i="123"/>
  <c r="AF1725" i="123" s="1"/>
  <c r="AG1725" i="123" s="1"/>
  <c r="AM1724" i="123"/>
  <c r="AM1723" i="123"/>
  <c r="AD1718" i="123"/>
  <c r="AE1718" i="123" s="1"/>
  <c r="AR1716" i="123"/>
  <c r="AS1716" i="123" s="1"/>
  <c r="AC1715" i="123"/>
  <c r="AE1715" i="123" s="1"/>
  <c r="W1715" i="123"/>
  <c r="AN1715" i="123" s="1"/>
  <c r="U1711" i="123"/>
  <c r="AM1710" i="123"/>
  <c r="Z1710" i="123"/>
  <c r="AA1709" i="123"/>
  <c r="AM1708" i="123"/>
  <c r="AA1708" i="123"/>
  <c r="AM1707" i="123"/>
  <c r="AD1705" i="123"/>
  <c r="AE1705" i="123" s="1"/>
  <c r="AD1704" i="123"/>
  <c r="AQ1703" i="123"/>
  <c r="AR1703" i="123" s="1"/>
  <c r="AS1703" i="123" s="1"/>
  <c r="AN1686" i="123"/>
  <c r="AR1684" i="123"/>
  <c r="AS1684" i="123" s="1"/>
  <c r="AR1662" i="123"/>
  <c r="AS1662" i="123" s="1"/>
  <c r="AR1660" i="123"/>
  <c r="AS1660" i="123" s="1"/>
  <c r="AA1658" i="123"/>
  <c r="AM1657" i="123"/>
  <c r="AM1653" i="123"/>
  <c r="AA1650" i="123"/>
  <c r="AM1649" i="123"/>
  <c r="AA1647" i="123"/>
  <c r="AA1646" i="123"/>
  <c r="AM1645" i="123"/>
  <c r="AA1643" i="123"/>
  <c r="AR1641" i="123"/>
  <c r="AS1641" i="123" s="1"/>
  <c r="AM1641" i="123"/>
  <c r="AR1640" i="123"/>
  <c r="AS1640" i="123" s="1"/>
  <c r="AD1639" i="123"/>
  <c r="AF1639" i="123" s="1"/>
  <c r="AG1639" i="123" s="1"/>
  <c r="AD1638" i="123"/>
  <c r="AE1638" i="123" s="1"/>
  <c r="AD1637" i="123"/>
  <c r="AQ1636" i="123"/>
  <c r="AR1636" i="123" s="1"/>
  <c r="AS1636" i="123" s="1"/>
  <c r="AQ1635" i="123"/>
  <c r="AR1635" i="123" s="1"/>
  <c r="AS1635" i="123" s="1"/>
  <c r="AR1633" i="123"/>
  <c r="AS1633" i="123" s="1"/>
  <c r="AA1632" i="123"/>
  <c r="AQ1631" i="123"/>
  <c r="AR1631" i="123" s="1"/>
  <c r="AS1631" i="123" s="1"/>
  <c r="AR1629" i="123"/>
  <c r="AS1629" i="123" s="1"/>
  <c r="AA1628" i="123"/>
  <c r="AM1627" i="123"/>
  <c r="AD1626" i="123"/>
  <c r="AF1626" i="123" s="1"/>
  <c r="AG1626" i="123" s="1"/>
  <c r="AD1625" i="123"/>
  <c r="AQ1620" i="123"/>
  <c r="AR1620" i="123" s="1"/>
  <c r="AS1620" i="123" s="1"/>
  <c r="AA1616" i="123"/>
  <c r="AM1615" i="123"/>
  <c r="AM1613" i="123"/>
  <c r="AQ1607" i="123"/>
  <c r="AR1607" i="123" s="1"/>
  <c r="AS1607" i="123" s="1"/>
  <c r="AA1604" i="123"/>
  <c r="AC1602" i="123"/>
  <c r="AA1600" i="123"/>
  <c r="Z1597" i="123"/>
  <c r="AD1594" i="123"/>
  <c r="AE1594" i="123" s="1"/>
  <c r="AR1590" i="123"/>
  <c r="AS1590" i="123" s="1"/>
  <c r="AD1589" i="123"/>
  <c r="AE1589" i="123" s="1"/>
  <c r="AD1585" i="123"/>
  <c r="AD1581" i="123"/>
  <c r="AA1579" i="123"/>
  <c r="AD1578" i="123"/>
  <c r="AE1578" i="123" s="1"/>
  <c r="AD1576" i="123"/>
  <c r="AE1576" i="123" s="1"/>
  <c r="V1576" i="123"/>
  <c r="AD1573" i="123"/>
  <c r="AF1573" i="123" s="1"/>
  <c r="AN1561" i="123"/>
  <c r="AD1550" i="123"/>
  <c r="AD1549" i="123"/>
  <c r="AF1549" i="123" s="1"/>
  <c r="AG1549" i="123" s="1"/>
  <c r="V1549" i="123"/>
  <c r="AA1547" i="123"/>
  <c r="AF1547" i="123" s="1"/>
  <c r="W1547" i="123"/>
  <c r="AN1547" i="123" s="1"/>
  <c r="AA1546" i="123"/>
  <c r="V1546" i="123"/>
  <c r="AA1545" i="123"/>
  <c r="W1545" i="123"/>
  <c r="AN1545" i="123" s="1"/>
  <c r="AA1544" i="123"/>
  <c r="AF1544" i="123" s="1"/>
  <c r="W1544" i="123"/>
  <c r="AN1544" i="123" s="1"/>
  <c r="AA1542" i="123"/>
  <c r="V1542" i="123"/>
  <c r="AA1541" i="123"/>
  <c r="AN1532" i="123"/>
  <c r="W1530" i="123"/>
  <c r="AN1530" i="123" s="1"/>
  <c r="V1530" i="123"/>
  <c r="Z1528" i="123"/>
  <c r="AA1528" i="123"/>
  <c r="AF1528" i="123" s="1"/>
  <c r="AG1528" i="123" s="1"/>
  <c r="V1528" i="123"/>
  <c r="W1528" i="123"/>
  <c r="AN1528" i="123" s="1"/>
  <c r="W1522" i="123"/>
  <c r="AN1522" i="123" s="1"/>
  <c r="U1522" i="123"/>
  <c r="V1522" i="123"/>
  <c r="V1517" i="123"/>
  <c r="W1517" i="123"/>
  <c r="AN1517" i="123" s="1"/>
  <c r="U1517" i="123"/>
  <c r="AR1502" i="123"/>
  <c r="AS1502" i="123" s="1"/>
  <c r="W1498" i="123"/>
  <c r="AN1498" i="123" s="1"/>
  <c r="V1498" i="123"/>
  <c r="U1498" i="123"/>
  <c r="AR1494" i="123"/>
  <c r="AS1494" i="123" s="1"/>
  <c r="U1491" i="123"/>
  <c r="V1491" i="123"/>
  <c r="W1491" i="123"/>
  <c r="AN1491" i="123" s="1"/>
  <c r="AR1483" i="123"/>
  <c r="AS1483" i="123" s="1"/>
  <c r="U1479" i="123"/>
  <c r="V1479" i="123"/>
  <c r="W1479" i="123"/>
  <c r="AN1479" i="123" s="1"/>
  <c r="U1473" i="123"/>
  <c r="V1473" i="123"/>
  <c r="W1473" i="123"/>
  <c r="AN1473" i="123" s="1"/>
  <c r="V1471" i="123"/>
  <c r="W1471" i="123"/>
  <c r="AN1471" i="123" s="1"/>
  <c r="U1471" i="123"/>
  <c r="AR1785" i="123"/>
  <c r="AS1785" i="123" s="1"/>
  <c r="AR1783" i="123"/>
  <c r="AS1783" i="123" s="1"/>
  <c r="AC1782" i="123"/>
  <c r="Z1777" i="123"/>
  <c r="AD1776" i="123"/>
  <c r="AC1775" i="123"/>
  <c r="U1771" i="123"/>
  <c r="AD1766" i="123"/>
  <c r="AF1766" i="123" s="1"/>
  <c r="AG1766" i="123" s="1"/>
  <c r="AC1763" i="123"/>
  <c r="AE1763" i="123" s="1"/>
  <c r="AD1742" i="123"/>
  <c r="AF1742" i="123" s="1"/>
  <c r="AD1738" i="123"/>
  <c r="AR1720" i="123"/>
  <c r="AS1720" i="123" s="1"/>
  <c r="Z1714" i="123"/>
  <c r="AD1706" i="123"/>
  <c r="Z1703" i="123"/>
  <c r="AD1702" i="123"/>
  <c r="AR1698" i="123"/>
  <c r="AS1698" i="123" s="1"/>
  <c r="AC1693" i="123"/>
  <c r="AE1693" i="123" s="1"/>
  <c r="AA1691" i="123"/>
  <c r="AF1691" i="123" s="1"/>
  <c r="W1691" i="123"/>
  <c r="AM1688" i="123"/>
  <c r="AR1685" i="123"/>
  <c r="AS1685" i="123" s="1"/>
  <c r="AA1677" i="123"/>
  <c r="AR1676" i="123"/>
  <c r="AS1676" i="123" s="1"/>
  <c r="AQ1673" i="123"/>
  <c r="AR1673" i="123" s="1"/>
  <c r="AS1673" i="123" s="1"/>
  <c r="AR1671" i="123"/>
  <c r="AS1671" i="123" s="1"/>
  <c r="Z1671" i="123"/>
  <c r="AA1669" i="123"/>
  <c r="AR1668" i="123"/>
  <c r="AS1668" i="123" s="1"/>
  <c r="AA1666" i="123"/>
  <c r="AM1665" i="123"/>
  <c r="AR1663" i="123"/>
  <c r="AS1663" i="123" s="1"/>
  <c r="Z1663" i="123"/>
  <c r="AM1661" i="123"/>
  <c r="AC1660" i="123"/>
  <c r="AQ1657" i="123"/>
  <c r="AR1657" i="123" s="1"/>
  <c r="AS1657" i="123" s="1"/>
  <c r="AM1656" i="123"/>
  <c r="AD1655" i="123"/>
  <c r="AF1655" i="123" s="1"/>
  <c r="AQ1653" i="123"/>
  <c r="AR1653" i="123" s="1"/>
  <c r="AS1653" i="123" s="1"/>
  <c r="AR1651" i="123"/>
  <c r="AS1651" i="123" s="1"/>
  <c r="Z1651" i="123"/>
  <c r="AQ1649" i="123"/>
  <c r="AR1649" i="123" s="1"/>
  <c r="AS1649" i="123" s="1"/>
  <c r="AM1648" i="123"/>
  <c r="AQ1645" i="123"/>
  <c r="AR1645" i="123" s="1"/>
  <c r="AS1645" i="123" s="1"/>
  <c r="AM1644" i="123"/>
  <c r="AM1639" i="123"/>
  <c r="AM1638" i="123"/>
  <c r="AM1637" i="123"/>
  <c r="U1637" i="123"/>
  <c r="AC1635" i="123"/>
  <c r="AE1635" i="123" s="1"/>
  <c r="V1633" i="123"/>
  <c r="AC1631" i="123"/>
  <c r="AE1631" i="123" s="1"/>
  <c r="V1629" i="123"/>
  <c r="AQ1627" i="123"/>
  <c r="AR1627" i="123" s="1"/>
  <c r="AS1627" i="123" s="1"/>
  <c r="AM1623" i="123"/>
  <c r="Z1618" i="123"/>
  <c r="AQ1615" i="123"/>
  <c r="AR1615" i="123" s="1"/>
  <c r="AS1615" i="123" s="1"/>
  <c r="Z1613" i="123"/>
  <c r="AM1610" i="123"/>
  <c r="AN1609" i="123"/>
  <c r="Z1605" i="123"/>
  <c r="Z1601" i="123"/>
  <c r="W1596" i="123"/>
  <c r="AN1596" i="123" s="1"/>
  <c r="AD1593" i="123"/>
  <c r="AA1591" i="123"/>
  <c r="AM1589" i="123"/>
  <c r="AM1585" i="123"/>
  <c r="AM1581" i="123"/>
  <c r="U1578" i="123"/>
  <c r="AD1574" i="123"/>
  <c r="AE1574" i="123" s="1"/>
  <c r="AM1573" i="123"/>
  <c r="AA1571" i="123"/>
  <c r="AD1570" i="123"/>
  <c r="AE1570" i="123" s="1"/>
  <c r="AM1569" i="123"/>
  <c r="AA1567" i="123"/>
  <c r="AD1566" i="123"/>
  <c r="AE1566" i="123" s="1"/>
  <c r="AM1565" i="123"/>
  <c r="AA1564" i="123"/>
  <c r="W1564" i="123"/>
  <c r="AN1564" i="123" s="1"/>
  <c r="AQ1563" i="123"/>
  <c r="AR1563" i="123" s="1"/>
  <c r="AS1563" i="123" s="1"/>
  <c r="AM1562" i="123"/>
  <c r="AQ1561" i="123"/>
  <c r="AR1561" i="123" s="1"/>
  <c r="AS1561" i="123" s="1"/>
  <c r="U1558" i="123"/>
  <c r="U1546" i="123"/>
  <c r="U1542" i="123"/>
  <c r="W1539" i="123"/>
  <c r="AN1539" i="123" s="1"/>
  <c r="W1538" i="123"/>
  <c r="AN1538" i="123" s="1"/>
  <c r="V1538" i="123"/>
  <c r="AN1537" i="123"/>
  <c r="V1536" i="123"/>
  <c r="W1536" i="123"/>
  <c r="AN1536" i="123" s="1"/>
  <c r="AM1535" i="123"/>
  <c r="V1532" i="123"/>
  <c r="V1531" i="123"/>
  <c r="V1527" i="123"/>
  <c r="U1525" i="123"/>
  <c r="V1525" i="123"/>
  <c r="W1525" i="123"/>
  <c r="AN1525" i="123" s="1"/>
  <c r="AR1520" i="123"/>
  <c r="AS1520" i="123" s="1"/>
  <c r="W1518" i="123"/>
  <c r="AN1518" i="123" s="1"/>
  <c r="U1518" i="123"/>
  <c r="V1518" i="123"/>
  <c r="AR1506" i="123"/>
  <c r="AS1506" i="123" s="1"/>
  <c r="AR1491" i="123"/>
  <c r="AS1491" i="123" s="1"/>
  <c r="U1487" i="123"/>
  <c r="V1487" i="123"/>
  <c r="W1487" i="123"/>
  <c r="AN1487" i="123" s="1"/>
  <c r="AR1471" i="123"/>
  <c r="AS1471" i="123" s="1"/>
  <c r="U1469" i="123"/>
  <c r="V1469" i="123"/>
  <c r="W1469" i="123"/>
  <c r="AN1469" i="123" s="1"/>
  <c r="AE1464" i="123"/>
  <c r="AR1778" i="123"/>
  <c r="AS1778" i="123" s="1"/>
  <c r="AR1775" i="123"/>
  <c r="AS1775" i="123" s="1"/>
  <c r="AM1773" i="123"/>
  <c r="AR1756" i="123"/>
  <c r="AS1756" i="123" s="1"/>
  <c r="AR1752" i="123"/>
  <c r="AS1752" i="123" s="1"/>
  <c r="AR1748" i="123"/>
  <c r="AS1748" i="123" s="1"/>
  <c r="AR1744" i="123"/>
  <c r="AS1744" i="123" s="1"/>
  <c r="AR1740" i="123"/>
  <c r="AS1740" i="123" s="1"/>
  <c r="AR1736" i="123"/>
  <c r="AS1736" i="123" s="1"/>
  <c r="AR1732" i="123"/>
  <c r="AS1732" i="123" s="1"/>
  <c r="AR1728" i="123"/>
  <c r="AS1728" i="123" s="1"/>
  <c r="AR1724" i="123"/>
  <c r="AS1724" i="123" s="1"/>
  <c r="AM1718" i="123"/>
  <c r="U1716" i="123"/>
  <c r="AM1715" i="123"/>
  <c r="AR1708" i="123"/>
  <c r="AS1708" i="123" s="1"/>
  <c r="AR1701" i="123"/>
  <c r="AS1701" i="123" s="1"/>
  <c r="AM1699" i="123"/>
  <c r="AR1697" i="123"/>
  <c r="AS1697" i="123" s="1"/>
  <c r="AM1697" i="123"/>
  <c r="AA1697" i="123"/>
  <c r="AF1697" i="123" s="1"/>
  <c r="W1693" i="123"/>
  <c r="AN1693" i="123" s="1"/>
  <c r="V1691" i="123"/>
  <c r="AR1688" i="123"/>
  <c r="AS1688" i="123" s="1"/>
  <c r="AN1687" i="123"/>
  <c r="AR1683" i="123"/>
  <c r="AS1683" i="123" s="1"/>
  <c r="U1683" i="123"/>
  <c r="W1682" i="123"/>
  <c r="AN1682" i="123" s="1"/>
  <c r="AM1680" i="123"/>
  <c r="AC1676" i="123"/>
  <c r="U1676" i="123"/>
  <c r="AD1674" i="123"/>
  <c r="AE1674" i="123" s="1"/>
  <c r="AM1672" i="123"/>
  <c r="AC1668" i="123"/>
  <c r="U1668" i="123"/>
  <c r="AQ1665" i="123"/>
  <c r="AR1665" i="123" s="1"/>
  <c r="AS1665" i="123" s="1"/>
  <c r="AQ1661" i="123"/>
  <c r="AR1661" i="123" s="1"/>
  <c r="AS1661" i="123" s="1"/>
  <c r="Z1659" i="123"/>
  <c r="AR1656" i="123"/>
  <c r="AS1656" i="123" s="1"/>
  <c r="AR1648" i="123"/>
  <c r="AS1648" i="123" s="1"/>
  <c r="AR1644" i="123"/>
  <c r="AS1644" i="123" s="1"/>
  <c r="AQ1623" i="123"/>
  <c r="AR1623" i="123" s="1"/>
  <c r="AS1623" i="123" s="1"/>
  <c r="AE1612" i="123"/>
  <c r="AQ1610" i="123"/>
  <c r="AR1610" i="123" s="1"/>
  <c r="AS1610" i="123" s="1"/>
  <c r="AR1598" i="123"/>
  <c r="AS1598" i="123" s="1"/>
  <c r="AR1592" i="123"/>
  <c r="AS1592" i="123" s="1"/>
  <c r="U1574" i="123"/>
  <c r="U1570" i="123"/>
  <c r="U1566" i="123"/>
  <c r="V1561" i="123"/>
  <c r="AR1541" i="123"/>
  <c r="AS1541" i="123" s="1"/>
  <c r="V1539" i="123"/>
  <c r="AR1538" i="123"/>
  <c r="AS1538" i="123" s="1"/>
  <c r="Z1536" i="123"/>
  <c r="AA1536" i="123"/>
  <c r="AF1536" i="123" s="1"/>
  <c r="W1534" i="123"/>
  <c r="AN1534" i="123" s="1"/>
  <c r="V1534" i="123"/>
  <c r="AN1533" i="123"/>
  <c r="Z1529" i="123"/>
  <c r="AA1529" i="123"/>
  <c r="V1529" i="123"/>
  <c r="W1529" i="123"/>
  <c r="AN1529" i="123" s="1"/>
  <c r="U1528" i="123"/>
  <c r="V1513" i="123"/>
  <c r="W1513" i="123"/>
  <c r="AN1513" i="123" s="1"/>
  <c r="U1513" i="123"/>
  <c r="V1512" i="123"/>
  <c r="W1512" i="123"/>
  <c r="AN1512" i="123" s="1"/>
  <c r="U1512" i="123"/>
  <c r="V1509" i="123"/>
  <c r="W1509" i="123"/>
  <c r="AN1509" i="123" s="1"/>
  <c r="U1509" i="123"/>
  <c r="W1502" i="123"/>
  <c r="AN1502" i="123" s="1"/>
  <c r="V1502" i="123"/>
  <c r="U1502" i="123"/>
  <c r="W1494" i="123"/>
  <c r="AN1494" i="123" s="1"/>
  <c r="V1494" i="123"/>
  <c r="U1494" i="123"/>
  <c r="U1484" i="123"/>
  <c r="V1484" i="123"/>
  <c r="W1484" i="123"/>
  <c r="AN1484" i="123" s="1"/>
  <c r="U1467" i="123"/>
  <c r="V1467" i="123"/>
  <c r="W1467" i="123"/>
  <c r="AN1467" i="123" s="1"/>
  <c r="V1463" i="123"/>
  <c r="W1463" i="123"/>
  <c r="AN1463" i="123" s="1"/>
  <c r="U1463" i="123"/>
  <c r="U1459" i="123"/>
  <c r="W1459" i="123"/>
  <c r="AN1459" i="123" s="1"/>
  <c r="V1459" i="123"/>
  <c r="AC1524" i="123"/>
  <c r="AE1524" i="123" s="1"/>
  <c r="U1524" i="123"/>
  <c r="AD1523" i="123"/>
  <c r="AF1523" i="123" s="1"/>
  <c r="AH1523" i="123" s="1"/>
  <c r="V1523" i="123"/>
  <c r="AD1519" i="123"/>
  <c r="AF1519" i="123" s="1"/>
  <c r="AG1519" i="123" s="1"/>
  <c r="V1519" i="123"/>
  <c r="AD1516" i="123"/>
  <c r="AF1516" i="123" s="1"/>
  <c r="V1516" i="123"/>
  <c r="AD1515" i="123"/>
  <c r="AF1515" i="123" s="1"/>
  <c r="AG1515" i="123" s="1"/>
  <c r="V1515" i="123"/>
  <c r="AD1511" i="123"/>
  <c r="AF1511" i="123" s="1"/>
  <c r="AH1511" i="123" s="1"/>
  <c r="V1511" i="123"/>
  <c r="AD1508" i="123"/>
  <c r="AF1508" i="123" s="1"/>
  <c r="AG1508" i="123" s="1"/>
  <c r="V1508" i="123"/>
  <c r="AA1507" i="123"/>
  <c r="AF1507" i="123" s="1"/>
  <c r="W1507" i="123"/>
  <c r="AN1507" i="123" s="1"/>
  <c r="AD1506" i="123"/>
  <c r="AE1506" i="123" s="1"/>
  <c r="AD1505" i="123"/>
  <c r="AF1505" i="123" s="1"/>
  <c r="V1505" i="123"/>
  <c r="AA1503" i="123"/>
  <c r="AF1503" i="123" s="1"/>
  <c r="W1503" i="123"/>
  <c r="AN1503" i="123" s="1"/>
  <c r="AD1502" i="123"/>
  <c r="AF1502" i="123" s="1"/>
  <c r="AD1501" i="123"/>
  <c r="AE1501" i="123" s="1"/>
  <c r="V1501" i="123"/>
  <c r="AA1500" i="123"/>
  <c r="AF1500" i="123" s="1"/>
  <c r="W1500" i="123"/>
  <c r="AN1500" i="123" s="1"/>
  <c r="AA1499" i="123"/>
  <c r="AF1499" i="123" s="1"/>
  <c r="W1499" i="123"/>
  <c r="AN1499" i="123" s="1"/>
  <c r="AD1498" i="123"/>
  <c r="AE1498" i="123" s="1"/>
  <c r="AD1497" i="123"/>
  <c r="AF1497" i="123" s="1"/>
  <c r="V1497" i="123"/>
  <c r="AD1496" i="123"/>
  <c r="AF1496" i="123" s="1"/>
  <c r="AG1496" i="123" s="1"/>
  <c r="V1496" i="123"/>
  <c r="AA1495" i="123"/>
  <c r="W1495" i="123"/>
  <c r="AN1495" i="123" s="1"/>
  <c r="AD1494" i="123"/>
  <c r="AD1493" i="123"/>
  <c r="AF1493" i="123" s="1"/>
  <c r="V1493" i="123"/>
  <c r="AA1492" i="123"/>
  <c r="W1492" i="123"/>
  <c r="AN1492" i="123" s="1"/>
  <c r="AA1490" i="123"/>
  <c r="V1490" i="123"/>
  <c r="AA1489" i="123"/>
  <c r="W1489" i="123"/>
  <c r="AN1489" i="123" s="1"/>
  <c r="AD1488" i="123"/>
  <c r="AF1488" i="123" s="1"/>
  <c r="AH1488" i="123" s="1"/>
  <c r="V1488" i="123"/>
  <c r="AA1486" i="123"/>
  <c r="V1486" i="123"/>
  <c r="AA1485" i="123"/>
  <c r="W1485" i="123"/>
  <c r="AN1485" i="123" s="1"/>
  <c r="AA1482" i="123"/>
  <c r="V1482" i="123"/>
  <c r="AA1481" i="123"/>
  <c r="W1481" i="123"/>
  <c r="AN1481" i="123" s="1"/>
  <c r="AD1480" i="123"/>
  <c r="AE1480" i="123" s="1"/>
  <c r="V1480" i="123"/>
  <c r="AA1478" i="123"/>
  <c r="V1478" i="123"/>
  <c r="AA1477" i="123"/>
  <c r="W1477" i="123"/>
  <c r="AN1477" i="123" s="1"/>
  <c r="AA1476" i="123"/>
  <c r="W1476" i="123"/>
  <c r="AN1476" i="123" s="1"/>
  <c r="AA1468" i="123"/>
  <c r="W1468" i="123"/>
  <c r="AN1468" i="123" s="1"/>
  <c r="AA1466" i="123"/>
  <c r="V1466" i="123"/>
  <c r="AA1465" i="123"/>
  <c r="W1465" i="123"/>
  <c r="AN1465" i="123" s="1"/>
  <c r="V1460" i="123"/>
  <c r="V1453" i="123"/>
  <c r="U1453" i="123"/>
  <c r="W1452" i="123"/>
  <c r="AN1452" i="123" s="1"/>
  <c r="AE1451" i="123"/>
  <c r="W1451" i="123"/>
  <c r="AN1451" i="123" s="1"/>
  <c r="V1451" i="123"/>
  <c r="W1447" i="123"/>
  <c r="AN1447" i="123" s="1"/>
  <c r="U1447" i="123"/>
  <c r="V1447" i="123"/>
  <c r="AR1445" i="123"/>
  <c r="AS1445" i="123" s="1"/>
  <c r="AC1443" i="123"/>
  <c r="AD1443" i="123"/>
  <c r="AF1443" i="123" s="1"/>
  <c r="U1432" i="123"/>
  <c r="V1432" i="123"/>
  <c r="W1432" i="123"/>
  <c r="AN1432" i="123" s="1"/>
  <c r="U1423" i="123"/>
  <c r="V1423" i="123"/>
  <c r="W1423" i="123"/>
  <c r="AN1423" i="123" s="1"/>
  <c r="U1411" i="123"/>
  <c r="V1411" i="123"/>
  <c r="W1411" i="123"/>
  <c r="AN1411" i="123" s="1"/>
  <c r="U1408" i="123"/>
  <c r="V1408" i="123"/>
  <c r="W1408" i="123"/>
  <c r="AN1408" i="123" s="1"/>
  <c r="U1399" i="123"/>
  <c r="V1399" i="123"/>
  <c r="W1399" i="123"/>
  <c r="AN1399" i="123" s="1"/>
  <c r="AF1398" i="123"/>
  <c r="U1375" i="123"/>
  <c r="V1375" i="123"/>
  <c r="W1375" i="123"/>
  <c r="AN1375" i="123" s="1"/>
  <c r="W1327" i="123"/>
  <c r="AN1327" i="123" s="1"/>
  <c r="U1327" i="123"/>
  <c r="V1327" i="123"/>
  <c r="AA1526" i="123"/>
  <c r="V1526" i="123"/>
  <c r="U1523" i="123"/>
  <c r="U1519" i="123"/>
  <c r="U1516" i="123"/>
  <c r="U1515" i="123"/>
  <c r="U1511" i="123"/>
  <c r="U1508" i="123"/>
  <c r="U1505" i="123"/>
  <c r="U1501" i="123"/>
  <c r="AD1495" i="123"/>
  <c r="AE1495" i="123" s="1"/>
  <c r="V1495" i="123"/>
  <c r="AD1492" i="123"/>
  <c r="V1492" i="123"/>
  <c r="AA1491" i="123"/>
  <c r="AD1490" i="123"/>
  <c r="U1490" i="123"/>
  <c r="AD1489" i="123"/>
  <c r="AE1489" i="123" s="1"/>
  <c r="V1489" i="123"/>
  <c r="AA1487" i="123"/>
  <c r="AD1486" i="123"/>
  <c r="AE1486" i="123" s="1"/>
  <c r="U1486" i="123"/>
  <c r="AD1485" i="123"/>
  <c r="V1485" i="123"/>
  <c r="AA1484" i="123"/>
  <c r="AA1483" i="123"/>
  <c r="AF1483" i="123" s="1"/>
  <c r="AD1482" i="123"/>
  <c r="AE1482" i="123" s="1"/>
  <c r="U1482" i="123"/>
  <c r="AD1481" i="123"/>
  <c r="V1481" i="123"/>
  <c r="AA1479" i="123"/>
  <c r="AF1479" i="123" s="1"/>
  <c r="AD1478" i="123"/>
  <c r="U1478" i="123"/>
  <c r="AD1477" i="123"/>
  <c r="V1477" i="123"/>
  <c r="AD1476" i="123"/>
  <c r="V1476" i="123"/>
  <c r="AA1474" i="123"/>
  <c r="V1474" i="123"/>
  <c r="AA1473" i="123"/>
  <c r="AA1470" i="123"/>
  <c r="V1470" i="123"/>
  <c r="AA1469" i="123"/>
  <c r="AD1468" i="123"/>
  <c r="AE1468" i="123" s="1"/>
  <c r="V1468" i="123"/>
  <c r="AA1467" i="123"/>
  <c r="AD1466" i="123"/>
  <c r="U1466" i="123"/>
  <c r="AD1465" i="123"/>
  <c r="V1465" i="123"/>
  <c r="AA1464" i="123"/>
  <c r="AF1464" i="123" s="1"/>
  <c r="W1464" i="123"/>
  <c r="AN1464" i="123" s="1"/>
  <c r="AA1462" i="123"/>
  <c r="V1462" i="123"/>
  <c r="AA1461" i="123"/>
  <c r="AN1461" i="123"/>
  <c r="Z1460" i="123"/>
  <c r="U1460" i="123"/>
  <c r="AD1459" i="123"/>
  <c r="AA1458" i="123"/>
  <c r="W1458" i="123"/>
  <c r="AN1458" i="123" s="1"/>
  <c r="W1456" i="123"/>
  <c r="AN1456" i="123" s="1"/>
  <c r="V1452" i="123"/>
  <c r="AM1451" i="123"/>
  <c r="AA1451" i="123"/>
  <c r="Z1451" i="123"/>
  <c r="AQ1450" i="123"/>
  <c r="AR1450" i="123" s="1"/>
  <c r="AS1450" i="123" s="1"/>
  <c r="U1450" i="123"/>
  <c r="V1450" i="123"/>
  <c r="AC1447" i="123"/>
  <c r="AD1447" i="123"/>
  <c r="AF1447" i="123" s="1"/>
  <c r="AG1447" i="123" s="1"/>
  <c r="Z1444" i="123"/>
  <c r="AA1444" i="123"/>
  <c r="V1444" i="123"/>
  <c r="W1444" i="123"/>
  <c r="AN1444" i="123" s="1"/>
  <c r="AQ1440" i="123"/>
  <c r="AR1440" i="123" s="1"/>
  <c r="AS1440" i="123" s="1"/>
  <c r="Z1439" i="123"/>
  <c r="AA1439" i="123"/>
  <c r="V1439" i="123"/>
  <c r="W1439" i="123"/>
  <c r="AN1439" i="123" s="1"/>
  <c r="V1437" i="123"/>
  <c r="U1437" i="123"/>
  <c r="AR1432" i="123"/>
  <c r="AS1432" i="123" s="1"/>
  <c r="AR1414" i="123"/>
  <c r="AS1414" i="123" s="1"/>
  <c r="AR1408" i="123"/>
  <c r="AS1408" i="123" s="1"/>
  <c r="V1405" i="123"/>
  <c r="U1405" i="123"/>
  <c r="W1405" i="123"/>
  <c r="AN1405" i="123" s="1"/>
  <c r="U1395" i="123"/>
  <c r="V1395" i="123"/>
  <c r="W1395" i="123"/>
  <c r="AN1395" i="123" s="1"/>
  <c r="U1380" i="123"/>
  <c r="V1380" i="123"/>
  <c r="W1380" i="123"/>
  <c r="AN1380" i="123" s="1"/>
  <c r="AR1375" i="123"/>
  <c r="AS1375" i="123" s="1"/>
  <c r="U1372" i="123"/>
  <c r="V1372" i="123"/>
  <c r="W1372" i="123"/>
  <c r="AN1372" i="123" s="1"/>
  <c r="AR1369" i="123"/>
  <c r="AS1369" i="123" s="1"/>
  <c r="U1358" i="123"/>
  <c r="V1358" i="123"/>
  <c r="W1358" i="123"/>
  <c r="AN1358" i="123" s="1"/>
  <c r="V1345" i="123"/>
  <c r="U1345" i="123"/>
  <c r="W1345" i="123"/>
  <c r="AN1345" i="123" s="1"/>
  <c r="U1526" i="123"/>
  <c r="AE1503" i="123"/>
  <c r="AE1499" i="123"/>
  <c r="AN1490" i="123"/>
  <c r="AN1486" i="123"/>
  <c r="AN1482" i="123"/>
  <c r="AN1478" i="123"/>
  <c r="U1474" i="123"/>
  <c r="U1470" i="123"/>
  <c r="AN1466" i="123"/>
  <c r="U1462" i="123"/>
  <c r="AN1460" i="123"/>
  <c r="V1458" i="123"/>
  <c r="W1455" i="123"/>
  <c r="AN1455" i="123" s="1"/>
  <c r="V1455" i="123"/>
  <c r="AN1453" i="123"/>
  <c r="AD1453" i="123"/>
  <c r="AC1453" i="123"/>
  <c r="AA1449" i="123"/>
  <c r="AF1449" i="123" s="1"/>
  <c r="Z1449" i="123"/>
  <c r="U1442" i="123"/>
  <c r="W1442" i="123"/>
  <c r="AN1442" i="123" s="1"/>
  <c r="U1428" i="123"/>
  <c r="V1428" i="123"/>
  <c r="W1428" i="123"/>
  <c r="AN1428" i="123" s="1"/>
  <c r="AR1422" i="123"/>
  <c r="AS1422" i="123" s="1"/>
  <c r="U1404" i="123"/>
  <c r="V1404" i="123"/>
  <c r="W1404" i="123"/>
  <c r="AN1404" i="123" s="1"/>
  <c r="AF1371" i="123"/>
  <c r="AH1371" i="123" s="1"/>
  <c r="U1369" i="123"/>
  <c r="V1369" i="123"/>
  <c r="W1369" i="123"/>
  <c r="AN1369" i="123" s="1"/>
  <c r="U1350" i="123"/>
  <c r="V1350" i="123"/>
  <c r="W1350" i="123"/>
  <c r="AN1350" i="123" s="1"/>
  <c r="U1344" i="123"/>
  <c r="V1344" i="123"/>
  <c r="W1344" i="123"/>
  <c r="AN1344" i="123" s="1"/>
  <c r="AR1525" i="123"/>
  <c r="AS1525" i="123" s="1"/>
  <c r="AR1473" i="123"/>
  <c r="AS1473" i="123" s="1"/>
  <c r="AR1469" i="123"/>
  <c r="AS1469" i="123" s="1"/>
  <c r="AR1459" i="123"/>
  <c r="AS1459" i="123" s="1"/>
  <c r="AD1456" i="123"/>
  <c r="AD1454" i="123"/>
  <c r="AF1454" i="123" s="1"/>
  <c r="AG1454" i="123" s="1"/>
  <c r="AC1454" i="123"/>
  <c r="AD1450" i="123"/>
  <c r="AC1450" i="123"/>
  <c r="V1445" i="123"/>
  <c r="U1445" i="123"/>
  <c r="W1443" i="123"/>
  <c r="AN1443" i="123" s="1"/>
  <c r="U1443" i="123"/>
  <c r="V1443" i="123"/>
  <c r="AF1440" i="123"/>
  <c r="AG1440" i="123" s="1"/>
  <c r="U1439" i="123"/>
  <c r="W1437" i="123"/>
  <c r="AN1437" i="123" s="1"/>
  <c r="U1436" i="123"/>
  <c r="V1436" i="123"/>
  <c r="W1436" i="123"/>
  <c r="AN1436" i="123" s="1"/>
  <c r="U1434" i="123"/>
  <c r="V1434" i="123"/>
  <c r="W1434" i="123"/>
  <c r="AN1434" i="123" s="1"/>
  <c r="AR1423" i="123"/>
  <c r="AS1423" i="123" s="1"/>
  <c r="U1419" i="123"/>
  <c r="V1419" i="123"/>
  <c r="W1419" i="123"/>
  <c r="AN1419" i="123" s="1"/>
  <c r="U1415" i="123"/>
  <c r="V1415" i="123"/>
  <c r="W1415" i="123"/>
  <c r="AN1415" i="123" s="1"/>
  <c r="AR1404" i="123"/>
  <c r="AS1404" i="123" s="1"/>
  <c r="AR1394" i="123"/>
  <c r="AS1394" i="123" s="1"/>
  <c r="U1392" i="123"/>
  <c r="V1392" i="123"/>
  <c r="W1392" i="123"/>
  <c r="AN1392" i="123" s="1"/>
  <c r="U1383" i="123"/>
  <c r="V1383" i="123"/>
  <c r="W1383" i="123"/>
  <c r="AN1383" i="123" s="1"/>
  <c r="AR1380" i="123"/>
  <c r="AS1380" i="123" s="1"/>
  <c r="U1370" i="123"/>
  <c r="V1370" i="123"/>
  <c r="W1370" i="123"/>
  <c r="AN1370" i="123" s="1"/>
  <c r="U1367" i="123"/>
  <c r="V1367" i="123"/>
  <c r="W1367" i="123"/>
  <c r="AN1367" i="123" s="1"/>
  <c r="U1348" i="123"/>
  <c r="V1348" i="123"/>
  <c r="W1348" i="123"/>
  <c r="AN1348" i="123" s="1"/>
  <c r="AR1344" i="123"/>
  <c r="AS1344" i="123" s="1"/>
  <c r="V1341" i="123"/>
  <c r="U1341" i="123"/>
  <c r="W1341" i="123"/>
  <c r="AN1341" i="123" s="1"/>
  <c r="Z1447" i="123"/>
  <c r="AC1446" i="123"/>
  <c r="AE1446" i="123" s="1"/>
  <c r="AC1445" i="123"/>
  <c r="Z1443" i="123"/>
  <c r="AC1440" i="123"/>
  <c r="U1440" i="123"/>
  <c r="AC1437" i="123"/>
  <c r="AE1437" i="123" s="1"/>
  <c r="AD1435" i="123"/>
  <c r="AE1435" i="123" s="1"/>
  <c r="Z1435" i="123"/>
  <c r="V1435" i="123"/>
  <c r="AC1434" i="123"/>
  <c r="AE1434" i="123" s="1"/>
  <c r="AC1433" i="123"/>
  <c r="AA1432" i="123"/>
  <c r="AF1432" i="123" s="1"/>
  <c r="AD1431" i="123"/>
  <c r="Z1431" i="123"/>
  <c r="V1431" i="123"/>
  <c r="AC1430" i="123"/>
  <c r="AE1430" i="123" s="1"/>
  <c r="AD1429" i="123"/>
  <c r="AF1429" i="123" s="1"/>
  <c r="AI1429" i="123" s="1"/>
  <c r="Z1429" i="123"/>
  <c r="U1429" i="123"/>
  <c r="AD1427" i="123"/>
  <c r="Z1427" i="123"/>
  <c r="V1427" i="123"/>
  <c r="AA1426" i="123"/>
  <c r="AC1425" i="123"/>
  <c r="AD1424" i="123"/>
  <c r="Z1424" i="123"/>
  <c r="V1424" i="123"/>
  <c r="AC1422" i="123"/>
  <c r="AE1422" i="123" s="1"/>
  <c r="AA1421" i="123"/>
  <c r="W1421" i="123"/>
  <c r="AN1421" i="123" s="1"/>
  <c r="AC1420" i="123"/>
  <c r="U1420" i="123"/>
  <c r="AA1419" i="123"/>
  <c r="AA1417" i="123"/>
  <c r="AC1416" i="123"/>
  <c r="U1416" i="123"/>
  <c r="AA1415" i="123"/>
  <c r="AD1414" i="123"/>
  <c r="AF1414" i="123" s="1"/>
  <c r="AG1414" i="123" s="1"/>
  <c r="Z1414" i="123"/>
  <c r="AD1413" i="123"/>
  <c r="Z1413" i="123"/>
  <c r="U1413" i="123"/>
  <c r="AC1412" i="123"/>
  <c r="U1412" i="123"/>
  <c r="AA1411" i="123"/>
  <c r="AD1410" i="123"/>
  <c r="AE1410" i="123" s="1"/>
  <c r="Z1410" i="123"/>
  <c r="V1410" i="123"/>
  <c r="AD1409" i="123"/>
  <c r="Z1409" i="123"/>
  <c r="AD1407" i="123"/>
  <c r="AF1407" i="123" s="1"/>
  <c r="Z1407" i="123"/>
  <c r="V1407" i="123"/>
  <c r="AA1406" i="123"/>
  <c r="AA1404" i="123"/>
  <c r="AD1403" i="123"/>
  <c r="Z1403" i="123"/>
  <c r="V1403" i="123"/>
  <c r="AA1402" i="123"/>
  <c r="AC1401" i="123"/>
  <c r="AD1400" i="123"/>
  <c r="Z1400" i="123"/>
  <c r="V1400" i="123"/>
  <c r="AA1399" i="123"/>
  <c r="AC1398" i="123"/>
  <c r="AE1398" i="123" s="1"/>
  <c r="AC1396" i="123"/>
  <c r="U1396" i="123"/>
  <c r="AA1395" i="123"/>
  <c r="AA1394" i="123"/>
  <c r="AD1393" i="123"/>
  <c r="AF1393" i="123" s="1"/>
  <c r="AG1393" i="123" s="1"/>
  <c r="Z1393" i="123"/>
  <c r="AC1391" i="123"/>
  <c r="U1391" i="123"/>
  <c r="AC1388" i="123"/>
  <c r="U1388" i="123"/>
  <c r="AD1387" i="123"/>
  <c r="AE1387" i="123" s="1"/>
  <c r="Z1387" i="123"/>
  <c r="V1387" i="123"/>
  <c r="AC1385" i="123"/>
  <c r="AE1385" i="123" s="1"/>
  <c r="AD1384" i="123"/>
  <c r="AF1384" i="123" s="1"/>
  <c r="Z1384" i="123"/>
  <c r="V1384" i="123"/>
  <c r="AA1383" i="123"/>
  <c r="AA1381" i="123"/>
  <c r="AD1379" i="123"/>
  <c r="Z1379" i="123"/>
  <c r="V1379" i="123"/>
  <c r="AA1377" i="123"/>
  <c r="AD1376" i="123"/>
  <c r="AF1376" i="123" s="1"/>
  <c r="AG1376" i="123" s="1"/>
  <c r="Z1376" i="123"/>
  <c r="V1376" i="123"/>
  <c r="AA1375" i="123"/>
  <c r="AF1375" i="123" s="1"/>
  <c r="AC1374" i="123"/>
  <c r="AE1374" i="123" s="1"/>
  <c r="U1374" i="123"/>
  <c r="AD1373" i="123"/>
  <c r="AF1373" i="123" s="1"/>
  <c r="Z1373" i="123"/>
  <c r="AC1371" i="123"/>
  <c r="AE1371" i="123" s="1"/>
  <c r="U1371" i="123"/>
  <c r="AA1370" i="123"/>
  <c r="AC1368" i="123"/>
  <c r="U1368" i="123"/>
  <c r="AA1367" i="123"/>
  <c r="AD1366" i="123"/>
  <c r="AF1366" i="123" s="1"/>
  <c r="Z1366" i="123"/>
  <c r="V1366" i="123"/>
  <c r="AA1365" i="123"/>
  <c r="AF1365" i="123" s="1"/>
  <c r="AC1364" i="123"/>
  <c r="AE1364" i="123" s="1"/>
  <c r="U1364" i="123"/>
  <c r="AD1363" i="123"/>
  <c r="AE1363" i="123" s="1"/>
  <c r="V1363" i="123"/>
  <c r="AC1361" i="123"/>
  <c r="AE1361" i="123" s="1"/>
  <c r="AC1360" i="123"/>
  <c r="U1360" i="123"/>
  <c r="AD1359" i="123"/>
  <c r="AE1359" i="123" s="1"/>
  <c r="V1359" i="123"/>
  <c r="AD1356" i="123"/>
  <c r="AF1356" i="123" s="1"/>
  <c r="V1356" i="123"/>
  <c r="AA1355" i="123"/>
  <c r="W1355" i="123"/>
  <c r="AN1355" i="123" s="1"/>
  <c r="AD1353" i="123"/>
  <c r="AF1353" i="123" s="1"/>
  <c r="AD1352" i="123"/>
  <c r="AF1352" i="123" s="1"/>
  <c r="V1352" i="123"/>
  <c r="AA1351" i="123"/>
  <c r="W1351" i="123"/>
  <c r="AN1351" i="123" s="1"/>
  <c r="AA1349" i="123"/>
  <c r="AD1347" i="123"/>
  <c r="AE1347" i="123" s="1"/>
  <c r="V1347" i="123"/>
  <c r="AA1346" i="123"/>
  <c r="AA1344" i="123"/>
  <c r="AC1343" i="123"/>
  <c r="AE1343" i="123" s="1"/>
  <c r="U1343" i="123"/>
  <c r="AA1342" i="123"/>
  <c r="AC1340" i="123"/>
  <c r="V1339" i="123"/>
  <c r="Z1336" i="123"/>
  <c r="U1336" i="123"/>
  <c r="Z1335" i="123"/>
  <c r="AD1333" i="123"/>
  <c r="AE1333" i="123" s="1"/>
  <c r="AD1330" i="123"/>
  <c r="U1328" i="123"/>
  <c r="AR1327" i="123"/>
  <c r="AS1327" i="123" s="1"/>
  <c r="AE1327" i="123"/>
  <c r="AD1325" i="123"/>
  <c r="V1324" i="123"/>
  <c r="AA1323" i="123"/>
  <c r="AN1323" i="123"/>
  <c r="AC1322" i="123"/>
  <c r="AE1322" i="123" s="1"/>
  <c r="AQ1320" i="123"/>
  <c r="AR1320" i="123" s="1"/>
  <c r="AS1320" i="123" s="1"/>
  <c r="Z1319" i="123"/>
  <c r="AA1319" i="123"/>
  <c r="V1319" i="123"/>
  <c r="W1319" i="123"/>
  <c r="AN1319" i="123" s="1"/>
  <c r="Z1315" i="123"/>
  <c r="AA1315" i="123"/>
  <c r="AC1312" i="123"/>
  <c r="AD1312" i="123"/>
  <c r="V1274" i="123"/>
  <c r="U1274" i="123"/>
  <c r="V1234" i="123"/>
  <c r="U1234" i="123"/>
  <c r="V1226" i="123"/>
  <c r="W1226" i="123"/>
  <c r="AN1226" i="123" s="1"/>
  <c r="U1226" i="123"/>
  <c r="V1218" i="123"/>
  <c r="U1218" i="123"/>
  <c r="W1218" i="123"/>
  <c r="AN1218" i="123" s="1"/>
  <c r="V1210" i="123"/>
  <c r="W1210" i="123"/>
  <c r="AN1210" i="123" s="1"/>
  <c r="U1210" i="123"/>
  <c r="V1202" i="123"/>
  <c r="U1202" i="123"/>
  <c r="W1202" i="123"/>
  <c r="AN1202" i="123" s="1"/>
  <c r="V1182" i="123"/>
  <c r="U1182" i="123"/>
  <c r="V1162" i="123"/>
  <c r="U1162" i="123"/>
  <c r="W1162" i="123"/>
  <c r="AN1162" i="123" s="1"/>
  <c r="V1132" i="123"/>
  <c r="U1132" i="123"/>
  <c r="W1132" i="123"/>
  <c r="AN1132" i="123" s="1"/>
  <c r="V1126" i="123"/>
  <c r="U1126" i="123"/>
  <c r="W1126" i="123"/>
  <c r="AN1126" i="123" s="1"/>
  <c r="U1435" i="123"/>
  <c r="U1431" i="123"/>
  <c r="U1427" i="123"/>
  <c r="U1424" i="123"/>
  <c r="U1421" i="123"/>
  <c r="U1407" i="123"/>
  <c r="U1403" i="123"/>
  <c r="U1400" i="123"/>
  <c r="U1387" i="123"/>
  <c r="U1384" i="123"/>
  <c r="U1379" i="123"/>
  <c r="U1376" i="123"/>
  <c r="AE1375" i="123"/>
  <c r="U1363" i="123"/>
  <c r="AF1362" i="123"/>
  <c r="AG1362" i="123" s="1"/>
  <c r="U1359" i="123"/>
  <c r="U1356" i="123"/>
  <c r="U1352" i="123"/>
  <c r="U1347" i="123"/>
  <c r="AF1340" i="123"/>
  <c r="AI1340" i="123" s="1"/>
  <c r="Z1339" i="123"/>
  <c r="U1339" i="123"/>
  <c r="AD1338" i="123"/>
  <c r="AE1338" i="123" s="1"/>
  <c r="AQ1337" i="123"/>
  <c r="AR1337" i="123" s="1"/>
  <c r="AS1337" i="123" s="1"/>
  <c r="AN1337" i="123"/>
  <c r="AA1334" i="123"/>
  <c r="AF1334" i="123" s="1"/>
  <c r="AI1334" i="123" s="1"/>
  <c r="AC1332" i="123"/>
  <c r="AE1332" i="123" s="1"/>
  <c r="Z1324" i="123"/>
  <c r="U1324" i="123"/>
  <c r="V1318" i="123"/>
  <c r="W1318" i="123"/>
  <c r="AN1318" i="123" s="1"/>
  <c r="AC1316" i="123"/>
  <c r="AD1316" i="123"/>
  <c r="AF1316" i="123" s="1"/>
  <c r="V1290" i="123"/>
  <c r="U1290" i="123"/>
  <c r="V1282" i="123"/>
  <c r="U1282" i="123"/>
  <c r="AR1276" i="123"/>
  <c r="AS1276" i="123" s="1"/>
  <c r="V1270" i="123"/>
  <c r="U1270" i="123"/>
  <c r="V1194" i="123"/>
  <c r="W1194" i="123"/>
  <c r="AN1194" i="123" s="1"/>
  <c r="U1194" i="123"/>
  <c r="V1170" i="123"/>
  <c r="U1170" i="123"/>
  <c r="V1166" i="123"/>
  <c r="U1166" i="123"/>
  <c r="V1158" i="123"/>
  <c r="W1158" i="123"/>
  <c r="AN1158" i="123" s="1"/>
  <c r="U1158" i="123"/>
  <c r="V1150" i="123"/>
  <c r="U1150" i="123"/>
  <c r="W1150" i="123"/>
  <c r="AN1150" i="123" s="1"/>
  <c r="V1124" i="123"/>
  <c r="U1124" i="123"/>
  <c r="W1124" i="123"/>
  <c r="AN1124" i="123" s="1"/>
  <c r="V1118" i="123"/>
  <c r="U1118" i="123"/>
  <c r="W1118" i="123"/>
  <c r="AN1118" i="123" s="1"/>
  <c r="V1110" i="123"/>
  <c r="U1110" i="123"/>
  <c r="W1110" i="123"/>
  <c r="AN1110" i="123" s="1"/>
  <c r="V1098" i="123"/>
  <c r="U1098" i="123"/>
  <c r="W1098" i="123"/>
  <c r="AN1098" i="123" s="1"/>
  <c r="V1090" i="123"/>
  <c r="U1090" i="123"/>
  <c r="W1090" i="123"/>
  <c r="AN1090" i="123" s="1"/>
  <c r="V1088" i="123"/>
  <c r="U1088" i="123"/>
  <c r="W1088" i="123"/>
  <c r="AN1088" i="123" s="1"/>
  <c r="AR1419" i="123"/>
  <c r="AS1419" i="123" s="1"/>
  <c r="AR1415" i="123"/>
  <c r="AS1415" i="123" s="1"/>
  <c r="AR1411" i="123"/>
  <c r="AS1411" i="123" s="1"/>
  <c r="AR1399" i="123"/>
  <c r="AS1399" i="123" s="1"/>
  <c r="AR1383" i="123"/>
  <c r="AS1383" i="123" s="1"/>
  <c r="V1329" i="123"/>
  <c r="U1329" i="123"/>
  <c r="AN1325" i="123"/>
  <c r="AR1322" i="123"/>
  <c r="AS1322" i="123" s="1"/>
  <c r="AD1320" i="123"/>
  <c r="AF1320" i="123" s="1"/>
  <c r="AC1320" i="123"/>
  <c r="AR1318" i="123"/>
  <c r="AS1318" i="123" s="1"/>
  <c r="W1317" i="123"/>
  <c r="AN1317" i="123" s="1"/>
  <c r="U1317" i="123"/>
  <c r="V1156" i="123"/>
  <c r="U1156" i="123"/>
  <c r="W1156" i="123"/>
  <c r="AN1156" i="123" s="1"/>
  <c r="V1148" i="123"/>
  <c r="U1148" i="123"/>
  <c r="W1148" i="123"/>
  <c r="AN1148" i="123" s="1"/>
  <c r="V1142" i="123"/>
  <c r="U1142" i="123"/>
  <c r="W1142" i="123"/>
  <c r="AN1142" i="123" s="1"/>
  <c r="V1100" i="123"/>
  <c r="U1100" i="123"/>
  <c r="W1100" i="123"/>
  <c r="AN1100" i="123" s="1"/>
  <c r="V1082" i="123"/>
  <c r="U1082" i="123"/>
  <c r="W1082" i="123"/>
  <c r="AN1082" i="123" s="1"/>
  <c r="V1080" i="123"/>
  <c r="U1080" i="123"/>
  <c r="W1080" i="123"/>
  <c r="AN1080" i="123" s="1"/>
  <c r="W1429" i="123"/>
  <c r="AN1429" i="123" s="1"/>
  <c r="W1413" i="123"/>
  <c r="AN1413" i="123" s="1"/>
  <c r="W1410" i="123"/>
  <c r="AN1410" i="123" s="1"/>
  <c r="W1366" i="123"/>
  <c r="AN1366" i="123" s="1"/>
  <c r="AN1353" i="123"/>
  <c r="AQ1338" i="123"/>
  <c r="AR1338" i="123" s="1"/>
  <c r="AS1338" i="123" s="1"/>
  <c r="AD1337" i="123"/>
  <c r="AE1337" i="123" s="1"/>
  <c r="V1336" i="123"/>
  <c r="AN1335" i="123"/>
  <c r="AC1334" i="123"/>
  <c r="Z1333" i="123"/>
  <c r="V1333" i="123"/>
  <c r="W1333" i="123"/>
  <c r="AN1333" i="123" s="1"/>
  <c r="AA1332" i="123"/>
  <c r="AF1332" i="123" s="1"/>
  <c r="U1332" i="123"/>
  <c r="AN1331" i="123"/>
  <c r="Z1330" i="123"/>
  <c r="U1325" i="123"/>
  <c r="AR1324" i="123"/>
  <c r="AS1324" i="123" s="1"/>
  <c r="V1321" i="123"/>
  <c r="W1321" i="123"/>
  <c r="AN1321" i="123" s="1"/>
  <c r="V1320" i="123"/>
  <c r="U1320" i="123"/>
  <c r="AM1319" i="123"/>
  <c r="U1318" i="123"/>
  <c r="AN1312" i="123"/>
  <c r="V1310" i="123"/>
  <c r="U1310" i="123"/>
  <c r="V1298" i="123"/>
  <c r="U1298" i="123"/>
  <c r="U1276" i="123"/>
  <c r="W1276" i="123"/>
  <c r="AN1276" i="123" s="1"/>
  <c r="V1242" i="123"/>
  <c r="U1242" i="123"/>
  <c r="V1238" i="123"/>
  <c r="U1238" i="123"/>
  <c r="V1222" i="123"/>
  <c r="U1222" i="123"/>
  <c r="W1222" i="123"/>
  <c r="AN1222" i="123" s="1"/>
  <c r="AR1210" i="123"/>
  <c r="AS1210" i="123" s="1"/>
  <c r="V1206" i="123"/>
  <c r="U1206" i="123"/>
  <c r="W1206" i="123"/>
  <c r="AN1206" i="123" s="1"/>
  <c r="AR1202" i="123"/>
  <c r="AS1202" i="123" s="1"/>
  <c r="V1140" i="123"/>
  <c r="U1140" i="123"/>
  <c r="W1140" i="123"/>
  <c r="AN1140" i="123" s="1"/>
  <c r="V1134" i="123"/>
  <c r="U1134" i="123"/>
  <c r="W1134" i="123"/>
  <c r="AN1134" i="123" s="1"/>
  <c r="V1116" i="123"/>
  <c r="U1116" i="123"/>
  <c r="W1116" i="123"/>
  <c r="AN1116" i="123" s="1"/>
  <c r="V1108" i="123"/>
  <c r="U1108" i="123"/>
  <c r="W1108" i="123"/>
  <c r="AN1108" i="123" s="1"/>
  <c r="V1092" i="123"/>
  <c r="U1092" i="123"/>
  <c r="W1092" i="123"/>
  <c r="AN1092" i="123" s="1"/>
  <c r="AC1318" i="123"/>
  <c r="AE1318" i="123" s="1"/>
  <c r="Z1317" i="123"/>
  <c r="Z1316" i="123"/>
  <c r="AM1315" i="123"/>
  <c r="AD1313" i="123"/>
  <c r="AA1300" i="123"/>
  <c r="AD1297" i="123"/>
  <c r="AF1297" i="123" s="1"/>
  <c r="AG1297" i="123" s="1"/>
  <c r="AD1296" i="123"/>
  <c r="AA1295" i="123"/>
  <c r="AA1292" i="123"/>
  <c r="AD1289" i="123"/>
  <c r="AD1288" i="123"/>
  <c r="AF1288" i="123" s="1"/>
  <c r="AG1288" i="123" s="1"/>
  <c r="AA1287" i="123"/>
  <c r="AC1286" i="123"/>
  <c r="U1286" i="123"/>
  <c r="AA1284" i="123"/>
  <c r="AD1281" i="123"/>
  <c r="AF1281" i="123" s="1"/>
  <c r="AG1281" i="123" s="1"/>
  <c r="AD1280" i="123"/>
  <c r="AF1280" i="123" s="1"/>
  <c r="AG1280" i="123" s="1"/>
  <c r="AA1279" i="123"/>
  <c r="AC1278" i="123"/>
  <c r="U1278" i="123"/>
  <c r="Z1276" i="123"/>
  <c r="AQ1275" i="123"/>
  <c r="AR1275" i="123" s="1"/>
  <c r="AS1275" i="123" s="1"/>
  <c r="AD1273" i="123"/>
  <c r="AF1273" i="123" s="1"/>
  <c r="AG1273" i="123" s="1"/>
  <c r="AD1268" i="123"/>
  <c r="AA1267" i="123"/>
  <c r="AQ1266" i="123"/>
  <c r="AR1266" i="123" s="1"/>
  <c r="AS1266" i="123" s="1"/>
  <c r="Z1263" i="123"/>
  <c r="AC1262" i="123"/>
  <c r="AE1262" i="123" s="1"/>
  <c r="U1262" i="123"/>
  <c r="AC1260" i="123"/>
  <c r="AE1260" i="123" s="1"/>
  <c r="AA1259" i="123"/>
  <c r="AQ1258" i="123"/>
  <c r="AR1258" i="123" s="1"/>
  <c r="AS1258" i="123" s="1"/>
  <c r="AC1257" i="123"/>
  <c r="AE1257" i="123" s="1"/>
  <c r="AC1256" i="123"/>
  <c r="AA1255" i="123"/>
  <c r="AQ1254" i="123"/>
  <c r="AR1254" i="123" s="1"/>
  <c r="AS1254" i="123" s="1"/>
  <c r="AC1253" i="123"/>
  <c r="AC1252" i="123"/>
  <c r="AA1251" i="123"/>
  <c r="AQ1250" i="123"/>
  <c r="AR1250" i="123" s="1"/>
  <c r="AS1250" i="123" s="1"/>
  <c r="AC1249" i="123"/>
  <c r="AC1248" i="123"/>
  <c r="AA1247" i="123"/>
  <c r="AQ1246" i="123"/>
  <c r="AR1246" i="123" s="1"/>
  <c r="AS1246" i="123" s="1"/>
  <c r="AC1245" i="123"/>
  <c r="AD1244" i="123"/>
  <c r="AF1244" i="123" s="1"/>
  <c r="AG1244" i="123" s="1"/>
  <c r="Z1244" i="123"/>
  <c r="AD1241" i="123"/>
  <c r="AF1241" i="123" s="1"/>
  <c r="AG1241" i="123" s="1"/>
  <c r="AD1240" i="123"/>
  <c r="AE1240" i="123" s="1"/>
  <c r="Z1240" i="123"/>
  <c r="AD1237" i="123"/>
  <c r="AD1236" i="123"/>
  <c r="AF1236" i="123" s="1"/>
  <c r="AG1236" i="123" s="1"/>
  <c r="AR1231" i="123"/>
  <c r="AS1231" i="123" s="1"/>
  <c r="W1230" i="123"/>
  <c r="AN1230" i="123" s="1"/>
  <c r="AA1223" i="123"/>
  <c r="AR1222" i="123"/>
  <c r="AS1222" i="123" s="1"/>
  <c r="AD1220" i="123"/>
  <c r="AR1215" i="123"/>
  <c r="AS1215" i="123" s="1"/>
  <c r="W1214" i="123"/>
  <c r="AN1214" i="123" s="1"/>
  <c r="AA1207" i="123"/>
  <c r="AR1206" i="123"/>
  <c r="AS1206" i="123" s="1"/>
  <c r="AD1204" i="123"/>
  <c r="AR1199" i="123"/>
  <c r="AS1199" i="123" s="1"/>
  <c r="W1198" i="123"/>
  <c r="AN1198" i="123" s="1"/>
  <c r="AA1191" i="123"/>
  <c r="AQ1190" i="123"/>
  <c r="AR1190" i="123" s="1"/>
  <c r="AS1190" i="123" s="1"/>
  <c r="AR1183" i="123"/>
  <c r="AS1183" i="123" s="1"/>
  <c r="AA1179" i="123"/>
  <c r="AQ1178" i="123"/>
  <c r="AR1178" i="123" s="1"/>
  <c r="AS1178" i="123" s="1"/>
  <c r="AR1171" i="123"/>
  <c r="AS1171" i="123" s="1"/>
  <c r="AD1168" i="123"/>
  <c r="AA1163" i="123"/>
  <c r="AR1162" i="123"/>
  <c r="AS1162" i="123" s="1"/>
  <c r="AR1155" i="123"/>
  <c r="AS1155" i="123" s="1"/>
  <c r="W1154" i="123"/>
  <c r="AN1154" i="123" s="1"/>
  <c r="W1152" i="123"/>
  <c r="AN1152" i="123" s="1"/>
  <c r="AA1151" i="123"/>
  <c r="AR1150" i="123"/>
  <c r="AS1150" i="123" s="1"/>
  <c r="AM1150" i="123"/>
  <c r="AR1147" i="123"/>
  <c r="AS1147" i="123" s="1"/>
  <c r="W1146" i="123"/>
  <c r="AN1146" i="123" s="1"/>
  <c r="W1144" i="123"/>
  <c r="AN1144" i="123" s="1"/>
  <c r="AA1143" i="123"/>
  <c r="AR1142" i="123"/>
  <c r="AS1142" i="123" s="1"/>
  <c r="AM1142" i="123"/>
  <c r="AR1139" i="123"/>
  <c r="AS1139" i="123" s="1"/>
  <c r="W1138" i="123"/>
  <c r="AN1138" i="123" s="1"/>
  <c r="W1136" i="123"/>
  <c r="AN1136" i="123" s="1"/>
  <c r="AA1135" i="123"/>
  <c r="AR1134" i="123"/>
  <c r="AS1134" i="123" s="1"/>
  <c r="AM1134" i="123"/>
  <c r="AR1131" i="123"/>
  <c r="AS1131" i="123" s="1"/>
  <c r="W1130" i="123"/>
  <c r="AN1130" i="123" s="1"/>
  <c r="W1128" i="123"/>
  <c r="AN1128" i="123" s="1"/>
  <c r="AA1127" i="123"/>
  <c r="AR1126" i="123"/>
  <c r="AS1126" i="123" s="1"/>
  <c r="AM1126" i="123"/>
  <c r="AR1123" i="123"/>
  <c r="AS1123" i="123" s="1"/>
  <c r="W1122" i="123"/>
  <c r="AN1122" i="123" s="1"/>
  <c r="W1120" i="123"/>
  <c r="AN1120" i="123" s="1"/>
  <c r="AA1119" i="123"/>
  <c r="AR1118" i="123"/>
  <c r="AS1118" i="123" s="1"/>
  <c r="AM1118" i="123"/>
  <c r="AR1115" i="123"/>
  <c r="AS1115" i="123" s="1"/>
  <c r="W1114" i="123"/>
  <c r="AN1114" i="123" s="1"/>
  <c r="W1112" i="123"/>
  <c r="AN1112" i="123" s="1"/>
  <c r="AA1111" i="123"/>
  <c r="AR1110" i="123"/>
  <c r="AS1110" i="123" s="1"/>
  <c r="AM1110" i="123"/>
  <c r="AR1107" i="123"/>
  <c r="AS1107" i="123" s="1"/>
  <c r="W1106" i="123"/>
  <c r="AN1106" i="123" s="1"/>
  <c r="W1104" i="123"/>
  <c r="AN1104" i="123" s="1"/>
  <c r="AC1101" i="123"/>
  <c r="AD1101" i="123"/>
  <c r="AF1101" i="123" s="1"/>
  <c r="AG1101" i="123" s="1"/>
  <c r="AR1100" i="123"/>
  <c r="AS1100" i="123" s="1"/>
  <c r="AM1100" i="123"/>
  <c r="AR1099" i="123"/>
  <c r="AS1099" i="123" s="1"/>
  <c r="AC1093" i="123"/>
  <c r="AD1093" i="123"/>
  <c r="AF1093" i="123" s="1"/>
  <c r="AG1093" i="123" s="1"/>
  <c r="AR1092" i="123"/>
  <c r="AS1092" i="123" s="1"/>
  <c r="AR1091" i="123"/>
  <c r="AS1091" i="123" s="1"/>
  <c r="AC1085" i="123"/>
  <c r="AD1085" i="123"/>
  <c r="AR1083" i="123"/>
  <c r="AS1083" i="123" s="1"/>
  <c r="AC1069" i="123"/>
  <c r="AD1069" i="123"/>
  <c r="AF1069" i="123" s="1"/>
  <c r="AG1069" i="123" s="1"/>
  <c r="V1068" i="123"/>
  <c r="U1068" i="123"/>
  <c r="V1062" i="123"/>
  <c r="U1062" i="123"/>
  <c r="V1058" i="123"/>
  <c r="U1058" i="123"/>
  <c r="U1048" i="123"/>
  <c r="W1048" i="123"/>
  <c r="AN1048" i="123" s="1"/>
  <c r="U1032" i="123"/>
  <c r="W1032" i="123"/>
  <c r="AN1032" i="123" s="1"/>
  <c r="V993" i="123"/>
  <c r="U993" i="123"/>
  <c r="W993" i="123"/>
  <c r="AN993" i="123" s="1"/>
  <c r="W897" i="123"/>
  <c r="AN897" i="123" s="1"/>
  <c r="U897" i="123"/>
  <c r="W893" i="123"/>
  <c r="AN893" i="123" s="1"/>
  <c r="U893" i="123"/>
  <c r="W881" i="123"/>
  <c r="AN881" i="123" s="1"/>
  <c r="U881" i="123"/>
  <c r="V877" i="123"/>
  <c r="U877" i="123"/>
  <c r="W877" i="123"/>
  <c r="AN877" i="123" s="1"/>
  <c r="V845" i="123"/>
  <c r="U845" i="123"/>
  <c r="W845" i="123"/>
  <c r="AN845" i="123" s="1"/>
  <c r="AQ1314" i="123"/>
  <c r="AR1314" i="123" s="1"/>
  <c r="AS1314" i="123" s="1"/>
  <c r="AM1311" i="123"/>
  <c r="AM1310" i="123"/>
  <c r="AD1309" i="123"/>
  <c r="AA1304" i="123"/>
  <c r="Z1301" i="123"/>
  <c r="AR1298" i="123"/>
  <c r="AS1298" i="123" s="1"/>
  <c r="Z1293" i="123"/>
  <c r="AR1290" i="123"/>
  <c r="AS1290" i="123" s="1"/>
  <c r="Z1285" i="123"/>
  <c r="AR1282" i="123"/>
  <c r="AS1282" i="123" s="1"/>
  <c r="Z1277" i="123"/>
  <c r="AR1274" i="123"/>
  <c r="AS1274" i="123" s="1"/>
  <c r="AD1269" i="123"/>
  <c r="AC1266" i="123"/>
  <c r="U1266" i="123"/>
  <c r="Z1265" i="123"/>
  <c r="Z1261" i="123"/>
  <c r="AC1258" i="123"/>
  <c r="U1258" i="123"/>
  <c r="AC1254" i="123"/>
  <c r="U1254" i="123"/>
  <c r="AC1250" i="123"/>
  <c r="U1250" i="123"/>
  <c r="AC1246" i="123"/>
  <c r="AE1246" i="123" s="1"/>
  <c r="U1246" i="123"/>
  <c r="AQ1242" i="123"/>
  <c r="AR1242" i="123" s="1"/>
  <c r="AS1242" i="123" s="1"/>
  <c r="U1239" i="123"/>
  <c r="AQ1238" i="123"/>
  <c r="AR1238" i="123" s="1"/>
  <c r="AS1238" i="123" s="1"/>
  <c r="U1235" i="123"/>
  <c r="AQ1234" i="123"/>
  <c r="AR1234" i="123" s="1"/>
  <c r="AS1234" i="123" s="1"/>
  <c r="U1230" i="123"/>
  <c r="AM1229" i="123"/>
  <c r="Z1229" i="123"/>
  <c r="AA1228" i="123"/>
  <c r="AM1227" i="123"/>
  <c r="AM1226" i="123"/>
  <c r="AR1225" i="123"/>
  <c r="AS1225" i="123" s="1"/>
  <c r="AD1221" i="123"/>
  <c r="AF1221" i="123" s="1"/>
  <c r="AG1221" i="123" s="1"/>
  <c r="AR1219" i="123"/>
  <c r="AS1219" i="123" s="1"/>
  <c r="AC1218" i="123"/>
  <c r="AE1218" i="123" s="1"/>
  <c r="U1214" i="123"/>
  <c r="AM1213" i="123"/>
  <c r="Z1213" i="123"/>
  <c r="AA1212" i="123"/>
  <c r="AM1211" i="123"/>
  <c r="AM1210" i="123"/>
  <c r="AR1209" i="123"/>
  <c r="AS1209" i="123" s="1"/>
  <c r="AD1205" i="123"/>
  <c r="AR1203" i="123"/>
  <c r="AS1203" i="123" s="1"/>
  <c r="AC1202" i="123"/>
  <c r="AE1202" i="123" s="1"/>
  <c r="U1198" i="123"/>
  <c r="AM1197" i="123"/>
  <c r="Z1197" i="123"/>
  <c r="AA1196" i="123"/>
  <c r="AM1195" i="123"/>
  <c r="AM1194" i="123"/>
  <c r="AR1193" i="123"/>
  <c r="AS1193" i="123" s="1"/>
  <c r="AC1190" i="123"/>
  <c r="AE1190" i="123" s="1"/>
  <c r="U1190" i="123"/>
  <c r="AM1189" i="123"/>
  <c r="Z1189" i="123"/>
  <c r="AA1188" i="123"/>
  <c r="AM1187" i="123"/>
  <c r="AQ1186" i="123"/>
  <c r="AR1186" i="123" s="1"/>
  <c r="AS1186" i="123" s="1"/>
  <c r="AM1182" i="123"/>
  <c r="AD1181" i="123"/>
  <c r="AF1181" i="123" s="1"/>
  <c r="AG1181" i="123" s="1"/>
  <c r="AC1178" i="123"/>
  <c r="AE1178" i="123" s="1"/>
  <c r="U1178" i="123"/>
  <c r="AM1177" i="123"/>
  <c r="Z1177" i="123"/>
  <c r="AA1176" i="123"/>
  <c r="AM1175" i="123"/>
  <c r="AQ1174" i="123"/>
  <c r="AR1174" i="123" s="1"/>
  <c r="AS1174" i="123" s="1"/>
  <c r="AM1170" i="123"/>
  <c r="AD1169" i="123"/>
  <c r="AF1169" i="123" s="1"/>
  <c r="AG1169" i="123" s="1"/>
  <c r="AR1167" i="123"/>
  <c r="AS1167" i="123" s="1"/>
  <c r="AR1165" i="123"/>
  <c r="AS1165" i="123" s="1"/>
  <c r="AD1161" i="123"/>
  <c r="AF1161" i="123" s="1"/>
  <c r="AG1161" i="123" s="1"/>
  <c r="W1160" i="123"/>
  <c r="AN1160" i="123" s="1"/>
  <c r="AM1158" i="123"/>
  <c r="AR1157" i="123"/>
  <c r="AS1157" i="123" s="1"/>
  <c r="AC1156" i="123"/>
  <c r="U1154" i="123"/>
  <c r="AM1153" i="123"/>
  <c r="AA1152" i="123"/>
  <c r="U1152" i="123"/>
  <c r="AM1151" i="123"/>
  <c r="AD1149" i="123"/>
  <c r="AC1148" i="123"/>
  <c r="U1146" i="123"/>
  <c r="AM1145" i="123"/>
  <c r="AA1144" i="123"/>
  <c r="U1144" i="123"/>
  <c r="AM1143" i="123"/>
  <c r="AD1141" i="123"/>
  <c r="AF1141" i="123" s="1"/>
  <c r="AG1141" i="123" s="1"/>
  <c r="AC1140" i="123"/>
  <c r="U1138" i="123"/>
  <c r="AM1137" i="123"/>
  <c r="AA1136" i="123"/>
  <c r="AF1136" i="123" s="1"/>
  <c r="U1136" i="123"/>
  <c r="AM1135" i="123"/>
  <c r="AD1133" i="123"/>
  <c r="AF1133" i="123" s="1"/>
  <c r="AG1133" i="123" s="1"/>
  <c r="AC1132" i="123"/>
  <c r="U1130" i="123"/>
  <c r="AM1129" i="123"/>
  <c r="AA1128" i="123"/>
  <c r="U1128" i="123"/>
  <c r="AM1127" i="123"/>
  <c r="AD1125" i="123"/>
  <c r="AC1124" i="123"/>
  <c r="U1122" i="123"/>
  <c r="AM1121" i="123"/>
  <c r="AA1120" i="123"/>
  <c r="U1120" i="123"/>
  <c r="AM1119" i="123"/>
  <c r="AD1117" i="123"/>
  <c r="AC1116" i="123"/>
  <c r="U1114" i="123"/>
  <c r="AM1113" i="123"/>
  <c r="AA1112" i="123"/>
  <c r="U1112" i="123"/>
  <c r="AM1111" i="123"/>
  <c r="AD1109" i="123"/>
  <c r="AF1109" i="123" s="1"/>
  <c r="AG1109" i="123" s="1"/>
  <c r="AC1108" i="123"/>
  <c r="U1106" i="123"/>
  <c r="AM1105" i="123"/>
  <c r="AA1104" i="123"/>
  <c r="AF1104" i="123" s="1"/>
  <c r="U1104" i="123"/>
  <c r="AM1103" i="123"/>
  <c r="AC1102" i="123"/>
  <c r="W1102" i="123"/>
  <c r="AN1102" i="123" s="1"/>
  <c r="AR1097" i="123"/>
  <c r="AS1097" i="123" s="1"/>
  <c r="AC1096" i="123"/>
  <c r="AC1094" i="123"/>
  <c r="W1094" i="123"/>
  <c r="AN1094" i="123" s="1"/>
  <c r="AR1089" i="123"/>
  <c r="AS1089" i="123" s="1"/>
  <c r="AC1088" i="123"/>
  <c r="AC1086" i="123"/>
  <c r="W1086" i="123"/>
  <c r="AN1086" i="123" s="1"/>
  <c r="AR1081" i="123"/>
  <c r="AS1081" i="123" s="1"/>
  <c r="AC1080" i="123"/>
  <c r="W1078" i="123"/>
  <c r="AN1078" i="123" s="1"/>
  <c r="AM1077" i="123"/>
  <c r="AD1076" i="123"/>
  <c r="AC1076" i="123"/>
  <c r="W1076" i="123"/>
  <c r="AN1076" i="123" s="1"/>
  <c r="AM1075" i="123"/>
  <c r="Z1073" i="123"/>
  <c r="V1072" i="123"/>
  <c r="U1072" i="123"/>
  <c r="W1072" i="123"/>
  <c r="AN1072" i="123" s="1"/>
  <c r="AR1071" i="123"/>
  <c r="AS1071" i="123" s="1"/>
  <c r="V1064" i="123"/>
  <c r="U1064" i="123"/>
  <c r="W1064" i="123"/>
  <c r="AN1064" i="123" s="1"/>
  <c r="AR1063" i="123"/>
  <c r="AS1063" i="123" s="1"/>
  <c r="U1060" i="123"/>
  <c r="W1060" i="123"/>
  <c r="AN1060" i="123" s="1"/>
  <c r="U1052" i="123"/>
  <c r="W1052" i="123"/>
  <c r="AN1052" i="123" s="1"/>
  <c r="V1046" i="123"/>
  <c r="U1046" i="123"/>
  <c r="V1042" i="123"/>
  <c r="U1042" i="123"/>
  <c r="V997" i="123"/>
  <c r="W997" i="123"/>
  <c r="AN997" i="123" s="1"/>
  <c r="U997" i="123"/>
  <c r="AF943" i="123"/>
  <c r="AE943" i="123"/>
  <c r="W921" i="123"/>
  <c r="AN921" i="123" s="1"/>
  <c r="U921" i="123"/>
  <c r="W917" i="123"/>
  <c r="AN917" i="123" s="1"/>
  <c r="U917" i="123"/>
  <c r="W909" i="123"/>
  <c r="AN909" i="123" s="1"/>
  <c r="U909" i="123"/>
  <c r="W901" i="123"/>
  <c r="AN901" i="123" s="1"/>
  <c r="U901" i="123"/>
  <c r="V861" i="123"/>
  <c r="U861" i="123"/>
  <c r="W861" i="123"/>
  <c r="AN861" i="123" s="1"/>
  <c r="U838" i="123"/>
  <c r="V838" i="123"/>
  <c r="AQ1310" i="123"/>
  <c r="AR1310" i="123" s="1"/>
  <c r="AS1310" i="123" s="1"/>
  <c r="AR1270" i="123"/>
  <c r="AS1270" i="123" s="1"/>
  <c r="AR1223" i="123"/>
  <c r="AS1223" i="123" s="1"/>
  <c r="AR1207" i="123"/>
  <c r="AS1207" i="123" s="1"/>
  <c r="AR1191" i="123"/>
  <c r="AS1191" i="123" s="1"/>
  <c r="AQ1182" i="123"/>
  <c r="AR1182" i="123" s="1"/>
  <c r="AS1182" i="123" s="1"/>
  <c r="AR1179" i="123"/>
  <c r="AS1179" i="123" s="1"/>
  <c r="AQ1170" i="123"/>
  <c r="AR1170" i="123" s="1"/>
  <c r="AS1170" i="123" s="1"/>
  <c r="AR1163" i="123"/>
  <c r="AS1163" i="123" s="1"/>
  <c r="AR1156" i="123"/>
  <c r="AS1156" i="123" s="1"/>
  <c r="AR1151" i="123"/>
  <c r="AS1151" i="123" s="1"/>
  <c r="AR1148" i="123"/>
  <c r="AS1148" i="123" s="1"/>
  <c r="AR1143" i="123"/>
  <c r="AS1143" i="123" s="1"/>
  <c r="AR1140" i="123"/>
  <c r="AS1140" i="123" s="1"/>
  <c r="AR1135" i="123"/>
  <c r="AS1135" i="123" s="1"/>
  <c r="AR1132" i="123"/>
  <c r="AS1132" i="123" s="1"/>
  <c r="AR1127" i="123"/>
  <c r="AS1127" i="123" s="1"/>
  <c r="AR1124" i="123"/>
  <c r="AS1124" i="123" s="1"/>
  <c r="AR1119" i="123"/>
  <c r="AS1119" i="123" s="1"/>
  <c r="AR1116" i="123"/>
  <c r="AS1116" i="123" s="1"/>
  <c r="AR1111" i="123"/>
  <c r="AS1111" i="123" s="1"/>
  <c r="AR1108" i="123"/>
  <c r="AS1108" i="123" s="1"/>
  <c r="AD1100" i="123"/>
  <c r="AC1100" i="123"/>
  <c r="AR1098" i="123"/>
  <c r="AS1098" i="123" s="1"/>
  <c r="V1096" i="123"/>
  <c r="U1096" i="123"/>
  <c r="AD1092" i="123"/>
  <c r="AC1092" i="123"/>
  <c r="AR1090" i="123"/>
  <c r="AS1090" i="123" s="1"/>
  <c r="AD1084" i="123"/>
  <c r="AC1084" i="123"/>
  <c r="W1084" i="123"/>
  <c r="AN1084" i="123" s="1"/>
  <c r="AA1083" i="123"/>
  <c r="AR1082" i="123"/>
  <c r="AS1082" i="123" s="1"/>
  <c r="AR1079" i="123"/>
  <c r="AS1079" i="123" s="1"/>
  <c r="U1078" i="123"/>
  <c r="U1076" i="123"/>
  <c r="V1074" i="123"/>
  <c r="U1074" i="123"/>
  <c r="W1074" i="123"/>
  <c r="AN1074" i="123" s="1"/>
  <c r="U1071" i="123"/>
  <c r="AD1068" i="123"/>
  <c r="AF1068" i="123" s="1"/>
  <c r="AC1068" i="123"/>
  <c r="W1068" i="123"/>
  <c r="AN1068" i="123" s="1"/>
  <c r="V1066" i="123"/>
  <c r="U1066" i="123"/>
  <c r="W1066" i="123"/>
  <c r="AN1066" i="123" s="1"/>
  <c r="W1062" i="123"/>
  <c r="AN1062" i="123" s="1"/>
  <c r="U1036" i="123"/>
  <c r="W1036" i="123"/>
  <c r="AN1036" i="123" s="1"/>
  <c r="AR1032" i="123"/>
  <c r="AS1032" i="123" s="1"/>
  <c r="U1028" i="123"/>
  <c r="W1028" i="123"/>
  <c r="AN1028" i="123" s="1"/>
  <c r="W905" i="123"/>
  <c r="AN905" i="123" s="1"/>
  <c r="U905" i="123"/>
  <c r="V841" i="123"/>
  <c r="U841" i="123"/>
  <c r="W841" i="123"/>
  <c r="AN841" i="123" s="1"/>
  <c r="AQ1317" i="123"/>
  <c r="AR1317" i="123" s="1"/>
  <c r="AS1317" i="123" s="1"/>
  <c r="AM1317" i="123"/>
  <c r="AN1316" i="123"/>
  <c r="AA1312" i="123"/>
  <c r="AC1310" i="123"/>
  <c r="AM1309" i="123"/>
  <c r="Z1309" i="123"/>
  <c r="AQ1306" i="123"/>
  <c r="AR1306" i="123" s="1"/>
  <c r="AS1306" i="123" s="1"/>
  <c r="AM1303" i="123"/>
  <c r="AA1303" i="123"/>
  <c r="AR1302" i="123"/>
  <c r="AS1302" i="123" s="1"/>
  <c r="Z1297" i="123"/>
  <c r="AR1294" i="123"/>
  <c r="AS1294" i="123" s="1"/>
  <c r="Z1289" i="123"/>
  <c r="AR1286" i="123"/>
  <c r="AS1286" i="123" s="1"/>
  <c r="Z1281" i="123"/>
  <c r="AR1278" i="123"/>
  <c r="AS1278" i="123" s="1"/>
  <c r="AM1275" i="123"/>
  <c r="AR1273" i="123"/>
  <c r="AS1273" i="123" s="1"/>
  <c r="AD1272" i="123"/>
  <c r="AF1272" i="123" s="1"/>
  <c r="AG1272" i="123" s="1"/>
  <c r="AA1271" i="123"/>
  <c r="AC1270" i="123"/>
  <c r="AE1270" i="123" s="1"/>
  <c r="AM1269" i="123"/>
  <c r="Z1269" i="123"/>
  <c r="AM1266" i="123"/>
  <c r="AD1265" i="123"/>
  <c r="AQ1262" i="123"/>
  <c r="AR1262" i="123" s="1"/>
  <c r="AS1262" i="123" s="1"/>
  <c r="AM1258" i="123"/>
  <c r="AM1254" i="123"/>
  <c r="AM1250" i="123"/>
  <c r="AM1246" i="123"/>
  <c r="AQ1243" i="123"/>
  <c r="AR1243" i="123" s="1"/>
  <c r="AS1243" i="123" s="1"/>
  <c r="Z1241" i="123"/>
  <c r="AQ1239" i="123"/>
  <c r="AR1239" i="123" s="1"/>
  <c r="AS1239" i="123" s="1"/>
  <c r="Z1237" i="123"/>
  <c r="AQ1235" i="123"/>
  <c r="AR1235" i="123" s="1"/>
  <c r="AS1235" i="123" s="1"/>
  <c r="AR1233" i="123"/>
  <c r="AS1233" i="123" s="1"/>
  <c r="AD1229" i="123"/>
  <c r="AF1229" i="123" s="1"/>
  <c r="AG1229" i="123" s="1"/>
  <c r="AR1227" i="123"/>
  <c r="AS1227" i="123" s="1"/>
  <c r="AC1226" i="123"/>
  <c r="AE1226" i="123" s="1"/>
  <c r="AM1221" i="123"/>
  <c r="Z1221" i="123"/>
  <c r="AA1220" i="123"/>
  <c r="AM1219" i="123"/>
  <c r="AM1218" i="123"/>
  <c r="AR1217" i="123"/>
  <c r="AS1217" i="123" s="1"/>
  <c r="AD1213" i="123"/>
  <c r="AF1213" i="123" s="1"/>
  <c r="AG1213" i="123" s="1"/>
  <c r="AR1211" i="123"/>
  <c r="AS1211" i="123" s="1"/>
  <c r="AC1210" i="123"/>
  <c r="AM1205" i="123"/>
  <c r="Z1205" i="123"/>
  <c r="AA1204" i="123"/>
  <c r="AM1203" i="123"/>
  <c r="AM1202" i="123"/>
  <c r="AR1201" i="123"/>
  <c r="AS1201" i="123" s="1"/>
  <c r="AD1197" i="123"/>
  <c r="AF1197" i="123" s="1"/>
  <c r="AG1197" i="123" s="1"/>
  <c r="AR1195" i="123"/>
  <c r="AS1195" i="123" s="1"/>
  <c r="AC1194" i="123"/>
  <c r="AE1194" i="123" s="1"/>
  <c r="AM1190" i="123"/>
  <c r="AD1189" i="123"/>
  <c r="AF1189" i="123" s="1"/>
  <c r="AG1189" i="123" s="1"/>
  <c r="AR1187" i="123"/>
  <c r="AS1187" i="123" s="1"/>
  <c r="AR1185" i="123"/>
  <c r="AS1185" i="123" s="1"/>
  <c r="AC1182" i="123"/>
  <c r="AM1181" i="123"/>
  <c r="Z1181" i="123"/>
  <c r="AM1178" i="123"/>
  <c r="AD1177" i="123"/>
  <c r="AF1177" i="123" s="1"/>
  <c r="AG1177" i="123" s="1"/>
  <c r="AR1175" i="123"/>
  <c r="AS1175" i="123" s="1"/>
  <c r="AR1173" i="123"/>
  <c r="AS1173" i="123" s="1"/>
  <c r="AM1169" i="123"/>
  <c r="Z1169" i="123"/>
  <c r="AA1168" i="123"/>
  <c r="AM1167" i="123"/>
  <c r="U1167" i="123"/>
  <c r="AQ1166" i="123"/>
  <c r="AR1166" i="123" s="1"/>
  <c r="AS1166" i="123" s="1"/>
  <c r="AM1161" i="123"/>
  <c r="Z1161" i="123"/>
  <c r="AR1159" i="123"/>
  <c r="AS1159" i="123" s="1"/>
  <c r="AC1158" i="123"/>
  <c r="AA1156" i="123"/>
  <c r="AM1155" i="123"/>
  <c r="AD1153" i="123"/>
  <c r="AF1153" i="123" s="1"/>
  <c r="AG1153" i="123" s="1"/>
  <c r="AC1152" i="123"/>
  <c r="AM1149" i="123"/>
  <c r="AA1148" i="123"/>
  <c r="AM1147" i="123"/>
  <c r="AD1145" i="123"/>
  <c r="AF1145" i="123" s="1"/>
  <c r="AG1145" i="123" s="1"/>
  <c r="AM1141" i="123"/>
  <c r="AA1140" i="123"/>
  <c r="AM1139" i="123"/>
  <c r="AD1137" i="123"/>
  <c r="AF1137" i="123" s="1"/>
  <c r="AG1137" i="123" s="1"/>
  <c r="AM1133" i="123"/>
  <c r="AA1132" i="123"/>
  <c r="AM1131" i="123"/>
  <c r="AD1129" i="123"/>
  <c r="AF1129" i="123" s="1"/>
  <c r="AG1129" i="123" s="1"/>
  <c r="AM1125" i="123"/>
  <c r="AA1124" i="123"/>
  <c r="AM1123" i="123"/>
  <c r="AD1121" i="123"/>
  <c r="AF1121" i="123" s="1"/>
  <c r="AG1121" i="123" s="1"/>
  <c r="AM1117" i="123"/>
  <c r="AM1115" i="123"/>
  <c r="AM1109" i="123"/>
  <c r="AM1107" i="123"/>
  <c r="U1103" i="123"/>
  <c r="AM1102" i="123"/>
  <c r="AR1101" i="123"/>
  <c r="AS1101" i="123" s="1"/>
  <c r="AM1099" i="123"/>
  <c r="Z1096" i="123"/>
  <c r="AA1096" i="123"/>
  <c r="U1095" i="123"/>
  <c r="AM1094" i="123"/>
  <c r="AR1093" i="123"/>
  <c r="AS1093" i="123" s="1"/>
  <c r="AA1092" i="123"/>
  <c r="AM1091" i="123"/>
  <c r="Z1088" i="123"/>
  <c r="AA1088" i="123"/>
  <c r="U1087" i="123"/>
  <c r="AM1086" i="123"/>
  <c r="AR1085" i="123"/>
  <c r="AS1085" i="123" s="1"/>
  <c r="AA1084" i="123"/>
  <c r="U1084" i="123"/>
  <c r="AM1083" i="123"/>
  <c r="Z1080" i="123"/>
  <c r="AA1080" i="123"/>
  <c r="AC1077" i="123"/>
  <c r="AD1077" i="123"/>
  <c r="AF1077" i="123" s="1"/>
  <c r="AG1077" i="123" s="1"/>
  <c r="Z1072" i="123"/>
  <c r="AA1072" i="123"/>
  <c r="Z1071" i="123"/>
  <c r="AA1071" i="123"/>
  <c r="U1070" i="123"/>
  <c r="Z1064" i="123"/>
  <c r="AA1064" i="123"/>
  <c r="Z1063" i="123"/>
  <c r="AA1063" i="123"/>
  <c r="AC1061" i="123"/>
  <c r="AD1061" i="123"/>
  <c r="AF1061" i="123" s="1"/>
  <c r="AG1061" i="123" s="1"/>
  <c r="AR1060" i="123"/>
  <c r="AS1060" i="123" s="1"/>
  <c r="AM1060" i="123"/>
  <c r="AR1048" i="123"/>
  <c r="AS1048" i="123" s="1"/>
  <c r="V1017" i="123"/>
  <c r="W1017" i="123"/>
  <c r="AN1017" i="123" s="1"/>
  <c r="V1001" i="123"/>
  <c r="W1001" i="123"/>
  <c r="U1001" i="123"/>
  <c r="V981" i="123"/>
  <c r="W981" i="123"/>
  <c r="AN981" i="123" s="1"/>
  <c r="U981" i="123"/>
  <c r="W885" i="123"/>
  <c r="AN885" i="123" s="1"/>
  <c r="U885" i="123"/>
  <c r="AF883" i="123"/>
  <c r="AG883" i="123" s="1"/>
  <c r="AE883" i="123"/>
  <c r="V869" i="123"/>
  <c r="U869" i="123"/>
  <c r="W869" i="123"/>
  <c r="AN869" i="123" s="1"/>
  <c r="V853" i="123"/>
  <c r="U853" i="123"/>
  <c r="W853" i="123"/>
  <c r="AN853" i="123" s="1"/>
  <c r="AR1078" i="123"/>
  <c r="AS1078" i="123" s="1"/>
  <c r="AM1078" i="123"/>
  <c r="AR1075" i="123"/>
  <c r="AS1075" i="123" s="1"/>
  <c r="AR1070" i="123"/>
  <c r="AS1070" i="123" s="1"/>
  <c r="AM1070" i="123"/>
  <c r="AR1067" i="123"/>
  <c r="AS1067" i="123" s="1"/>
  <c r="AR1062" i="123"/>
  <c r="AS1062" i="123" s="1"/>
  <c r="AM1062" i="123"/>
  <c r="AM1057" i="123"/>
  <c r="AA1057" i="123"/>
  <c r="AR1054" i="123"/>
  <c r="AS1054" i="123" s="1"/>
  <c r="AR1051" i="123"/>
  <c r="AS1051" i="123" s="1"/>
  <c r="AM1050" i="123"/>
  <c r="AM1047" i="123"/>
  <c r="AM1041" i="123"/>
  <c r="AA1041" i="123"/>
  <c r="AR1038" i="123"/>
  <c r="AS1038" i="123" s="1"/>
  <c r="AR1035" i="123"/>
  <c r="AS1035" i="123" s="1"/>
  <c r="AM1034" i="123"/>
  <c r="AR1031" i="123"/>
  <c r="AS1031" i="123" s="1"/>
  <c r="AM1030" i="123"/>
  <c r="AR1027" i="123"/>
  <c r="AS1027" i="123" s="1"/>
  <c r="AM1026" i="123"/>
  <c r="AR1024" i="123"/>
  <c r="AS1024" i="123" s="1"/>
  <c r="AM1023" i="123"/>
  <c r="AR1019" i="123"/>
  <c r="AS1019" i="123" s="1"/>
  <c r="AR1015" i="123"/>
  <c r="AS1015" i="123" s="1"/>
  <c r="AA1015" i="123"/>
  <c r="W1015" i="123"/>
  <c r="AR1014" i="123"/>
  <c r="AS1014" i="123" s="1"/>
  <c r="U1011" i="123"/>
  <c r="AR1010" i="123"/>
  <c r="AS1010" i="123" s="1"/>
  <c r="AM1007" i="123"/>
  <c r="AA1006" i="123"/>
  <c r="AQ1005" i="123"/>
  <c r="AR1005" i="123" s="1"/>
  <c r="AS1005" i="123" s="1"/>
  <c r="AF1004" i="123"/>
  <c r="AG1004" i="123" s="1"/>
  <c r="AR1001" i="123"/>
  <c r="AS1001" i="123" s="1"/>
  <c r="AM1001" i="123"/>
  <c r="AM1000" i="123"/>
  <c r="AA998" i="123"/>
  <c r="AM996" i="123"/>
  <c r="AD995" i="123"/>
  <c r="AE995" i="123" s="1"/>
  <c r="AR992" i="123"/>
  <c r="AS992" i="123" s="1"/>
  <c r="AE991" i="123"/>
  <c r="AM987" i="123"/>
  <c r="W985" i="123"/>
  <c r="AN985" i="123" s="1"/>
  <c r="AA982" i="123"/>
  <c r="AM980" i="123"/>
  <c r="AD979" i="123"/>
  <c r="AE979" i="123" s="1"/>
  <c r="Z946" i="123"/>
  <c r="AR943" i="123"/>
  <c r="AS943" i="123" s="1"/>
  <c r="AR942" i="123"/>
  <c r="AS942" i="123" s="1"/>
  <c r="AA938" i="123"/>
  <c r="AF938" i="123" s="1"/>
  <c r="AI938" i="123" s="1"/>
  <c r="AQ937" i="123"/>
  <c r="AR937" i="123" s="1"/>
  <c r="AS937" i="123" s="1"/>
  <c r="AR934" i="123"/>
  <c r="AS934" i="123" s="1"/>
  <c r="Z930" i="123"/>
  <c r="AC929" i="123"/>
  <c r="U929" i="123"/>
  <c r="Z926" i="123"/>
  <c r="AC925" i="123"/>
  <c r="AE925" i="123" s="1"/>
  <c r="U925" i="123"/>
  <c r="Z924" i="123"/>
  <c r="AA923" i="123"/>
  <c r="AF923" i="123" s="1"/>
  <c r="AG923" i="123" s="1"/>
  <c r="AF921" i="123"/>
  <c r="AG921" i="123" s="1"/>
  <c r="AD919" i="123"/>
  <c r="Z919" i="123"/>
  <c r="AF918" i="123"/>
  <c r="AI918" i="123" s="1"/>
  <c r="AD916" i="123"/>
  <c r="AE916" i="123" s="1"/>
  <c r="AC915" i="123"/>
  <c r="AA914" i="123"/>
  <c r="AF914" i="123" s="1"/>
  <c r="AI914" i="123" s="1"/>
  <c r="AQ913" i="123"/>
  <c r="AR913" i="123" s="1"/>
  <c r="AS913" i="123" s="1"/>
  <c r="AC912" i="123"/>
  <c r="AD911" i="123"/>
  <c r="AF911" i="123" s="1"/>
  <c r="AG911" i="123" s="1"/>
  <c r="Z911" i="123"/>
  <c r="AF910" i="123"/>
  <c r="AI910" i="123" s="1"/>
  <c r="AD908" i="123"/>
  <c r="AF908" i="123" s="1"/>
  <c r="AD907" i="123"/>
  <c r="AD904" i="123"/>
  <c r="AF904" i="123" s="1"/>
  <c r="AG904" i="123" s="1"/>
  <c r="AA903" i="123"/>
  <c r="AF903" i="123" s="1"/>
  <c r="AG903" i="123" s="1"/>
  <c r="AA899" i="123"/>
  <c r="AA895" i="123"/>
  <c r="AD891" i="123"/>
  <c r="AR883" i="123"/>
  <c r="AS883" i="123" s="1"/>
  <c r="AR882" i="123"/>
  <c r="AS882" i="123" s="1"/>
  <c r="AR878" i="123"/>
  <c r="AS878" i="123" s="1"/>
  <c r="Z850" i="123"/>
  <c r="AR848" i="123"/>
  <c r="AS848" i="123" s="1"/>
  <c r="AC847" i="123"/>
  <c r="AF840" i="123"/>
  <c r="AG840" i="123" s="1"/>
  <c r="AQ833" i="123"/>
  <c r="AR833" i="123" s="1"/>
  <c r="AS833" i="123" s="1"/>
  <c r="V813" i="123"/>
  <c r="U813" i="123"/>
  <c r="V797" i="123"/>
  <c r="U797" i="123"/>
  <c r="V781" i="123"/>
  <c r="U781" i="123"/>
  <c r="V777" i="123"/>
  <c r="U777" i="123"/>
  <c r="V737" i="123"/>
  <c r="U737" i="123"/>
  <c r="V693" i="123"/>
  <c r="U693" i="123"/>
  <c r="AM1097" i="123"/>
  <c r="AM1095" i="123"/>
  <c r="AM1089" i="123"/>
  <c r="AM1087" i="123"/>
  <c r="AM1081" i="123"/>
  <c r="AM1079" i="123"/>
  <c r="AM1073" i="123"/>
  <c r="AM1071" i="123"/>
  <c r="AM1065" i="123"/>
  <c r="AM1063" i="123"/>
  <c r="AM1059" i="123"/>
  <c r="AA1055" i="123"/>
  <c r="AC1054" i="123"/>
  <c r="AE1054" i="123" s="1"/>
  <c r="U1054" i="123"/>
  <c r="AM1053" i="123"/>
  <c r="AR1050" i="123"/>
  <c r="AS1050" i="123" s="1"/>
  <c r="AA1048" i="123"/>
  <c r="AR1047" i="123"/>
  <c r="AS1047" i="123" s="1"/>
  <c r="AM1046" i="123"/>
  <c r="AD1045" i="123"/>
  <c r="W1044" i="123"/>
  <c r="AN1044" i="123" s="1"/>
  <c r="AM1043" i="123"/>
  <c r="AA1039" i="123"/>
  <c r="AC1038" i="123"/>
  <c r="AE1038" i="123" s="1"/>
  <c r="U1038" i="123"/>
  <c r="AM1037" i="123"/>
  <c r="AR1034" i="123"/>
  <c r="AS1034" i="123" s="1"/>
  <c r="AM1032" i="123"/>
  <c r="AR1030" i="123"/>
  <c r="AS1030" i="123" s="1"/>
  <c r="AM1028" i="123"/>
  <c r="AR1026" i="123"/>
  <c r="AS1026" i="123" s="1"/>
  <c r="AA1025" i="123"/>
  <c r="AR1023" i="123"/>
  <c r="AS1023" i="123" s="1"/>
  <c r="AM1022" i="123"/>
  <c r="AM1021" i="123"/>
  <c r="AA1020" i="123"/>
  <c r="AR1018" i="123"/>
  <c r="AS1018" i="123" s="1"/>
  <c r="AF1012" i="123"/>
  <c r="AG1012" i="123" s="1"/>
  <c r="AF1008" i="123"/>
  <c r="AG1008" i="123" s="1"/>
  <c r="Z1004" i="123"/>
  <c r="AM1002" i="123"/>
  <c r="AR1000" i="123"/>
  <c r="AS1000" i="123" s="1"/>
  <c r="AR996" i="123"/>
  <c r="AS996" i="123" s="1"/>
  <c r="AD994" i="123"/>
  <c r="AC993" i="123"/>
  <c r="AM991" i="123"/>
  <c r="AM990" i="123"/>
  <c r="W989" i="123"/>
  <c r="AN989" i="123" s="1"/>
  <c r="Z988" i="123"/>
  <c r="AA985" i="123"/>
  <c r="AF985" i="123" s="1"/>
  <c r="U985" i="123"/>
  <c r="AM984" i="123"/>
  <c r="AR980" i="123"/>
  <c r="AS980" i="123" s="1"/>
  <c r="AD978" i="123"/>
  <c r="AF978" i="123" s="1"/>
  <c r="AG978" i="123" s="1"/>
  <c r="W977" i="123"/>
  <c r="AN977" i="123" s="1"/>
  <c r="AM976" i="123"/>
  <c r="AR974" i="123"/>
  <c r="AS974" i="123" s="1"/>
  <c r="W973" i="123"/>
  <c r="AN973" i="123" s="1"/>
  <c r="AM972" i="123"/>
  <c r="AR970" i="123"/>
  <c r="AS970" i="123" s="1"/>
  <c r="W969" i="123"/>
  <c r="AN969" i="123" s="1"/>
  <c r="AM968" i="123"/>
  <c r="AR966" i="123"/>
  <c r="AS966" i="123" s="1"/>
  <c r="W965" i="123"/>
  <c r="AN965" i="123" s="1"/>
  <c r="AM964" i="123"/>
  <c r="AR962" i="123"/>
  <c r="AS962" i="123" s="1"/>
  <c r="W961" i="123"/>
  <c r="AN961" i="123" s="1"/>
  <c r="AM960" i="123"/>
  <c r="AR958" i="123"/>
  <c r="AS958" i="123" s="1"/>
  <c r="W957" i="123"/>
  <c r="AN957" i="123" s="1"/>
  <c r="AM956" i="123"/>
  <c r="AR954" i="123"/>
  <c r="AS954" i="123" s="1"/>
  <c r="W953" i="123"/>
  <c r="AN953" i="123" s="1"/>
  <c r="AM952" i="123"/>
  <c r="AR950" i="123"/>
  <c r="AS950" i="123" s="1"/>
  <c r="W949" i="123"/>
  <c r="AN949" i="123" s="1"/>
  <c r="AM948" i="123"/>
  <c r="AR946" i="123"/>
  <c r="AS946" i="123" s="1"/>
  <c r="Z944" i="123"/>
  <c r="AF942" i="123"/>
  <c r="AM941" i="123"/>
  <c r="AM940" i="123"/>
  <c r="U936" i="123"/>
  <c r="AM935" i="123"/>
  <c r="AF934" i="123"/>
  <c r="AI934" i="123" s="1"/>
  <c r="AM933" i="123"/>
  <c r="AM932" i="123"/>
  <c r="Z932" i="123"/>
  <c r="AF929" i="123"/>
  <c r="AG929" i="123" s="1"/>
  <c r="AN929" i="123"/>
  <c r="Z928" i="123"/>
  <c r="AF925" i="123"/>
  <c r="AN925" i="123"/>
  <c r="AF922" i="123"/>
  <c r="AG922" i="123" s="1"/>
  <c r="AD920" i="123"/>
  <c r="AE920" i="123" s="1"/>
  <c r="AQ917" i="123"/>
  <c r="AR917" i="123" s="1"/>
  <c r="AS917" i="123" s="1"/>
  <c r="AC913" i="123"/>
  <c r="AE913" i="123" s="1"/>
  <c r="U913" i="123"/>
  <c r="AQ909" i="123"/>
  <c r="AR909" i="123" s="1"/>
  <c r="AS909" i="123" s="1"/>
  <c r="AQ905" i="123"/>
  <c r="AR905" i="123" s="1"/>
  <c r="AS905" i="123" s="1"/>
  <c r="AF902" i="123"/>
  <c r="AM901" i="123"/>
  <c r="AF898" i="123"/>
  <c r="AG898" i="123" s="1"/>
  <c r="AM897" i="123"/>
  <c r="AF894" i="123"/>
  <c r="AM893" i="123"/>
  <c r="AD892" i="123"/>
  <c r="AF892" i="123" s="1"/>
  <c r="AG892" i="123" s="1"/>
  <c r="AR890" i="123"/>
  <c r="AS890" i="123" s="1"/>
  <c r="Z888" i="123"/>
  <c r="AA887" i="123"/>
  <c r="AM886" i="123"/>
  <c r="AQ885" i="123"/>
  <c r="AR885" i="123" s="1"/>
  <c r="AS885" i="123" s="1"/>
  <c r="Z884" i="123"/>
  <c r="AF882" i="123"/>
  <c r="AG882" i="123" s="1"/>
  <c r="AM881" i="123"/>
  <c r="U880" i="123"/>
  <c r="AM879" i="123"/>
  <c r="AF878" i="123"/>
  <c r="AI878" i="123" s="1"/>
  <c r="AM876" i="123"/>
  <c r="AR874" i="123"/>
  <c r="AS874" i="123" s="1"/>
  <c r="AC873" i="123"/>
  <c r="U872" i="123"/>
  <c r="AM871" i="123"/>
  <c r="AM870" i="123"/>
  <c r="AM869" i="123"/>
  <c r="AA869" i="123"/>
  <c r="AF869" i="123" s="1"/>
  <c r="AM868" i="123"/>
  <c r="AR866" i="123"/>
  <c r="AS866" i="123" s="1"/>
  <c r="U864" i="123"/>
  <c r="AM863" i="123"/>
  <c r="AR861" i="123"/>
  <c r="AS861" i="123" s="1"/>
  <c r="AM861" i="123"/>
  <c r="AA861" i="123"/>
  <c r="AM860" i="123"/>
  <c r="AR858" i="123"/>
  <c r="AS858" i="123" s="1"/>
  <c r="U856" i="123"/>
  <c r="AM855" i="123"/>
  <c r="AR853" i="123"/>
  <c r="AS853" i="123" s="1"/>
  <c r="AM853" i="123"/>
  <c r="AA853" i="123"/>
  <c r="AM852" i="123"/>
  <c r="AR850" i="123"/>
  <c r="AS850" i="123" s="1"/>
  <c r="AR845" i="123"/>
  <c r="AS845" i="123" s="1"/>
  <c r="AM845" i="123"/>
  <c r="AM844" i="123"/>
  <c r="AR841" i="123"/>
  <c r="AS841" i="123" s="1"/>
  <c r="AM841" i="123"/>
  <c r="AA841" i="123"/>
  <c r="AM840" i="123"/>
  <c r="Z840" i="123"/>
  <c r="AA839" i="123"/>
  <c r="U839" i="123"/>
  <c r="W839" i="123"/>
  <c r="AN839" i="123" s="1"/>
  <c r="AM838" i="123"/>
  <c r="AM837" i="123"/>
  <c r="U836" i="123"/>
  <c r="U833" i="123"/>
  <c r="AA832" i="123"/>
  <c r="Z832" i="123"/>
  <c r="AC824" i="123"/>
  <c r="AD824" i="123"/>
  <c r="AF824" i="123" s="1"/>
  <c r="AG824" i="123" s="1"/>
  <c r="AM823" i="123"/>
  <c r="Z823" i="123"/>
  <c r="AA823" i="123"/>
  <c r="V821" i="123"/>
  <c r="U821" i="123"/>
  <c r="V801" i="123"/>
  <c r="U801" i="123"/>
  <c r="V785" i="123"/>
  <c r="U785" i="123"/>
  <c r="V697" i="123"/>
  <c r="U697" i="123"/>
  <c r="AR1046" i="123"/>
  <c r="AS1046" i="123" s="1"/>
  <c r="AR993" i="123"/>
  <c r="AS993" i="123" s="1"/>
  <c r="AF954" i="123"/>
  <c r="AI954" i="123" s="1"/>
  <c r="AR952" i="123"/>
  <c r="AS952" i="123" s="1"/>
  <c r="AF950" i="123"/>
  <c r="AR948" i="123"/>
  <c r="AS948" i="123" s="1"/>
  <c r="AF946" i="123"/>
  <c r="AG946" i="123" s="1"/>
  <c r="AQ941" i="123"/>
  <c r="AR941" i="123" s="1"/>
  <c r="AS941" i="123" s="1"/>
  <c r="AR940" i="123"/>
  <c r="AS940" i="123" s="1"/>
  <c r="AR938" i="123"/>
  <c r="AS938" i="123" s="1"/>
  <c r="AQ933" i="123"/>
  <c r="AR933" i="123" s="1"/>
  <c r="AS933" i="123" s="1"/>
  <c r="AF930" i="123"/>
  <c r="AF926" i="123"/>
  <c r="AI926" i="123" s="1"/>
  <c r="AQ921" i="123"/>
  <c r="AR921" i="123" s="1"/>
  <c r="AS921" i="123" s="1"/>
  <c r="AQ901" i="123"/>
  <c r="AR901" i="123" s="1"/>
  <c r="AS901" i="123" s="1"/>
  <c r="AE900" i="123"/>
  <c r="AQ897" i="123"/>
  <c r="AR897" i="123" s="1"/>
  <c r="AS897" i="123" s="1"/>
  <c r="AQ893" i="123"/>
  <c r="AR893" i="123" s="1"/>
  <c r="AS893" i="123" s="1"/>
  <c r="AF890" i="123"/>
  <c r="AQ881" i="123"/>
  <c r="AR881" i="123" s="1"/>
  <c r="AS881" i="123" s="1"/>
  <c r="AR877" i="123"/>
  <c r="AS877" i="123" s="1"/>
  <c r="AR876" i="123"/>
  <c r="AS876" i="123" s="1"/>
  <c r="AF874" i="123"/>
  <c r="W873" i="123"/>
  <c r="AN873" i="123" s="1"/>
  <c r="AR868" i="123"/>
  <c r="AS868" i="123" s="1"/>
  <c r="AF866" i="123"/>
  <c r="AI866" i="123" s="1"/>
  <c r="W865" i="123"/>
  <c r="AN865" i="123" s="1"/>
  <c r="AR860" i="123"/>
  <c r="AS860" i="123" s="1"/>
  <c r="AF858" i="123"/>
  <c r="AI858" i="123" s="1"/>
  <c r="W857" i="123"/>
  <c r="AN857" i="123" s="1"/>
  <c r="AR852" i="123"/>
  <c r="AS852" i="123" s="1"/>
  <c r="AF850" i="123"/>
  <c r="W849" i="123"/>
  <c r="AN849" i="123" s="1"/>
  <c r="AR844" i="123"/>
  <c r="AS844" i="123" s="1"/>
  <c r="AD843" i="123"/>
  <c r="AF843" i="123" s="1"/>
  <c r="AG843" i="123" s="1"/>
  <c r="AD839" i="123"/>
  <c r="AE839" i="123" s="1"/>
  <c r="AQ837" i="123"/>
  <c r="AR837" i="123" s="1"/>
  <c r="AS837" i="123" s="1"/>
  <c r="V836" i="123"/>
  <c r="AD832" i="123"/>
  <c r="AN831" i="123"/>
  <c r="AQ826" i="123"/>
  <c r="AR826" i="123" s="1"/>
  <c r="AS826" i="123" s="1"/>
  <c r="AQ825" i="123"/>
  <c r="AR825" i="123" s="1"/>
  <c r="AS825" i="123" s="1"/>
  <c r="V809" i="123"/>
  <c r="U809" i="123"/>
  <c r="V793" i="123"/>
  <c r="U793" i="123"/>
  <c r="V761" i="123"/>
  <c r="U761" i="123"/>
  <c r="V757" i="123"/>
  <c r="U757" i="123"/>
  <c r="V745" i="123"/>
  <c r="U745" i="123"/>
  <c r="V701" i="123"/>
  <c r="U701" i="123"/>
  <c r="AM1067" i="123"/>
  <c r="AM1061" i="123"/>
  <c r="U1059" i="123"/>
  <c r="AR1058" i="123"/>
  <c r="AS1058" i="123" s="1"/>
  <c r="U1056" i="123"/>
  <c r="AR1055" i="123"/>
  <c r="AS1055" i="123" s="1"/>
  <c r="AM1054" i="123"/>
  <c r="AM1051" i="123"/>
  <c r="AM1045" i="123"/>
  <c r="U1043" i="123"/>
  <c r="AR1042" i="123"/>
  <c r="AS1042" i="123" s="1"/>
  <c r="U1040" i="123"/>
  <c r="AR1039" i="123"/>
  <c r="AS1039" i="123" s="1"/>
  <c r="AM1038" i="123"/>
  <c r="AM1035" i="123"/>
  <c r="AR1033" i="123"/>
  <c r="AS1033" i="123" s="1"/>
  <c r="AM1031" i="123"/>
  <c r="AR1029" i="123"/>
  <c r="AS1029" i="123" s="1"/>
  <c r="AM1027" i="123"/>
  <c r="AR1025" i="123"/>
  <c r="AS1025" i="123" s="1"/>
  <c r="AM1024" i="123"/>
  <c r="AN1021" i="123"/>
  <c r="AR1020" i="123"/>
  <c r="AS1020" i="123" s="1"/>
  <c r="AM1019" i="123"/>
  <c r="AM1015" i="123"/>
  <c r="AR1011" i="123"/>
  <c r="AS1011" i="123" s="1"/>
  <c r="AM1011" i="123"/>
  <c r="AR1008" i="123"/>
  <c r="AS1008" i="123" s="1"/>
  <c r="AM1003" i="123"/>
  <c r="AR1002" i="123"/>
  <c r="AS1002" i="123" s="1"/>
  <c r="AM999" i="123"/>
  <c r="AM992" i="123"/>
  <c r="AR988" i="123"/>
  <c r="AS988" i="123" s="1"/>
  <c r="U984" i="123"/>
  <c r="AM983" i="123"/>
  <c r="AR981" i="123"/>
  <c r="AS981" i="123" s="1"/>
  <c r="U976" i="123"/>
  <c r="AM975" i="123"/>
  <c r="AR973" i="123"/>
  <c r="AS973" i="123" s="1"/>
  <c r="AM973" i="123"/>
  <c r="U972" i="123"/>
  <c r="AM971" i="123"/>
  <c r="AR969" i="123"/>
  <c r="AS969" i="123" s="1"/>
  <c r="AM969" i="123"/>
  <c r="U968" i="123"/>
  <c r="AM967" i="123"/>
  <c r="AR965" i="123"/>
  <c r="AS965" i="123" s="1"/>
  <c r="AM965" i="123"/>
  <c r="U964" i="123"/>
  <c r="AM963" i="123"/>
  <c r="AM962" i="123"/>
  <c r="AM961" i="123"/>
  <c r="U960" i="123"/>
  <c r="AM959" i="123"/>
  <c r="AM958" i="123"/>
  <c r="AM957" i="123"/>
  <c r="U956" i="123"/>
  <c r="AM955" i="123"/>
  <c r="AM954" i="123"/>
  <c r="AM953" i="123"/>
  <c r="AM951" i="123"/>
  <c r="AM950" i="123"/>
  <c r="AM949" i="123"/>
  <c r="AM947" i="123"/>
  <c r="AM946" i="123"/>
  <c r="AQ945" i="123"/>
  <c r="AR945" i="123" s="1"/>
  <c r="AS945" i="123" s="1"/>
  <c r="AR944" i="123"/>
  <c r="AS944" i="123" s="1"/>
  <c r="AM939" i="123"/>
  <c r="AM937" i="123"/>
  <c r="AM936" i="123"/>
  <c r="AD932" i="123"/>
  <c r="AE932" i="123" s="1"/>
  <c r="AQ929" i="123"/>
  <c r="AR929" i="123" s="1"/>
  <c r="AS929" i="123" s="1"/>
  <c r="AQ925" i="123"/>
  <c r="AR925" i="123" s="1"/>
  <c r="AS925" i="123" s="1"/>
  <c r="AC921" i="123"/>
  <c r="AE921" i="123" s="1"/>
  <c r="AM920" i="123"/>
  <c r="Z920" i="123"/>
  <c r="AQ918" i="123"/>
  <c r="AR918" i="123" s="1"/>
  <c r="AS918" i="123" s="1"/>
  <c r="AF917" i="123"/>
  <c r="AM913" i="123"/>
  <c r="AQ910" i="123"/>
  <c r="AR910" i="123" s="1"/>
  <c r="AS910" i="123" s="1"/>
  <c r="Z908" i="123"/>
  <c r="AQ906" i="123"/>
  <c r="AR906" i="123" s="1"/>
  <c r="AS906" i="123" s="1"/>
  <c r="AF905" i="123"/>
  <c r="AG905" i="123" s="1"/>
  <c r="Z904" i="123"/>
  <c r="AC901" i="123"/>
  <c r="AM900" i="123"/>
  <c r="AC897" i="123"/>
  <c r="AE897" i="123" s="1"/>
  <c r="AM896" i="123"/>
  <c r="AC893" i="123"/>
  <c r="AM892" i="123"/>
  <c r="Z892" i="123"/>
  <c r="AA891" i="123"/>
  <c r="AM890" i="123"/>
  <c r="AQ889" i="123"/>
  <c r="AR889" i="123" s="1"/>
  <c r="AS889" i="123" s="1"/>
  <c r="AR888" i="123"/>
  <c r="AS888" i="123" s="1"/>
  <c r="AR886" i="123"/>
  <c r="AS886" i="123" s="1"/>
  <c r="AR884" i="123"/>
  <c r="AS884" i="123" s="1"/>
  <c r="AC881" i="123"/>
  <c r="AM880" i="123"/>
  <c r="AM875" i="123"/>
  <c r="AM874" i="123"/>
  <c r="AM873" i="123"/>
  <c r="AA873" i="123"/>
  <c r="U873" i="123"/>
  <c r="AM872" i="123"/>
  <c r="AR870" i="123"/>
  <c r="AS870" i="123" s="1"/>
  <c r="AC869" i="123"/>
  <c r="AM867" i="123"/>
  <c r="AM866" i="123"/>
  <c r="AM865" i="123"/>
  <c r="AA865" i="123"/>
  <c r="U865" i="123"/>
  <c r="AM864" i="123"/>
  <c r="AR862" i="123"/>
  <c r="AS862" i="123" s="1"/>
  <c r="AC861" i="123"/>
  <c r="AM859" i="123"/>
  <c r="AM858" i="123"/>
  <c r="AM857" i="123"/>
  <c r="AA857" i="123"/>
  <c r="U857" i="123"/>
  <c r="AM856" i="123"/>
  <c r="AR854" i="123"/>
  <c r="AS854" i="123" s="1"/>
  <c r="AC853" i="123"/>
  <c r="AM851" i="123"/>
  <c r="AM850" i="123"/>
  <c r="AM849" i="123"/>
  <c r="AA849" i="123"/>
  <c r="U849" i="123"/>
  <c r="AM848" i="123"/>
  <c r="AR846" i="123"/>
  <c r="AS846" i="123" s="1"/>
  <c r="AC845" i="123"/>
  <c r="AM843" i="123"/>
  <c r="AR842" i="123"/>
  <c r="AS842" i="123" s="1"/>
  <c r="AC841" i="123"/>
  <c r="AC840" i="123"/>
  <c r="AM839" i="123"/>
  <c r="AA830" i="123"/>
  <c r="AC825" i="123"/>
  <c r="U825" i="123"/>
  <c r="V741" i="123"/>
  <c r="U741" i="123"/>
  <c r="V733" i="123"/>
  <c r="U733" i="123"/>
  <c r="AE703" i="123"/>
  <c r="V689" i="123"/>
  <c r="U689" i="123"/>
  <c r="AQ821" i="123"/>
  <c r="AR821" i="123" s="1"/>
  <c r="AS821" i="123" s="1"/>
  <c r="AA818" i="123"/>
  <c r="AM817" i="123"/>
  <c r="AM812" i="123"/>
  <c r="AA810" i="123"/>
  <c r="AQ809" i="123"/>
  <c r="AR809" i="123" s="1"/>
  <c r="AS809" i="123" s="1"/>
  <c r="AM805" i="123"/>
  <c r="AR802" i="123"/>
  <c r="AS802" i="123" s="1"/>
  <c r="AM796" i="123"/>
  <c r="AA794" i="123"/>
  <c r="AQ793" i="123"/>
  <c r="AR793" i="123" s="1"/>
  <c r="AS793" i="123" s="1"/>
  <c r="AM789" i="123"/>
  <c r="AR786" i="123"/>
  <c r="AS786" i="123" s="1"/>
  <c r="AM780" i="123"/>
  <c r="AN778" i="123"/>
  <c r="AQ777" i="123"/>
  <c r="AR777" i="123" s="1"/>
  <c r="AS777" i="123" s="1"/>
  <c r="AM773" i="123"/>
  <c r="AA770" i="123"/>
  <c r="AQ769" i="123"/>
  <c r="AR769" i="123" s="1"/>
  <c r="AS769" i="123" s="1"/>
  <c r="AA766" i="123"/>
  <c r="AQ765" i="123"/>
  <c r="AR765" i="123" s="1"/>
  <c r="AS765" i="123" s="1"/>
  <c r="AM760" i="123"/>
  <c r="AA759" i="123"/>
  <c r="AQ758" i="123"/>
  <c r="AR758" i="123" s="1"/>
  <c r="AS758" i="123" s="1"/>
  <c r="AR756" i="123"/>
  <c r="AS756" i="123" s="1"/>
  <c r="AD755" i="123"/>
  <c r="AF755" i="123" s="1"/>
  <c r="AG755" i="123" s="1"/>
  <c r="AM753" i="123"/>
  <c r="AA750" i="123"/>
  <c r="AQ749" i="123"/>
  <c r="AR749" i="123" s="1"/>
  <c r="AS749" i="123" s="1"/>
  <c r="AR746" i="123"/>
  <c r="AS746" i="123" s="1"/>
  <c r="AR744" i="123"/>
  <c r="AS744" i="123" s="1"/>
  <c r="AA743" i="123"/>
  <c r="AQ742" i="123"/>
  <c r="AR742" i="123" s="1"/>
  <c r="AS742" i="123" s="1"/>
  <c r="AA739" i="123"/>
  <c r="AQ738" i="123"/>
  <c r="AR738" i="123" s="1"/>
  <c r="AS738" i="123" s="1"/>
  <c r="AA735" i="123"/>
  <c r="AQ734" i="123"/>
  <c r="AR734" i="123" s="1"/>
  <c r="AS734" i="123" s="1"/>
  <c r="AQ730" i="123"/>
  <c r="AR730" i="123" s="1"/>
  <c r="AS730" i="123" s="1"/>
  <c r="AQ726" i="123"/>
  <c r="AR726" i="123" s="1"/>
  <c r="AS726" i="123" s="1"/>
  <c r="AQ701" i="123"/>
  <c r="AR701" i="123" s="1"/>
  <c r="AS701" i="123" s="1"/>
  <c r="AE700" i="123"/>
  <c r="AQ697" i="123"/>
  <c r="AR697" i="123" s="1"/>
  <c r="AS697" i="123" s="1"/>
  <c r="AN694" i="123"/>
  <c r="AQ693" i="123"/>
  <c r="AR693" i="123" s="1"/>
  <c r="AS693" i="123" s="1"/>
  <c r="AN690" i="123"/>
  <c r="AQ689" i="123"/>
  <c r="AR689" i="123" s="1"/>
  <c r="AS689" i="123" s="1"/>
  <c r="AR687" i="123"/>
  <c r="AS687" i="123" s="1"/>
  <c r="AD687" i="123"/>
  <c r="AN686" i="123"/>
  <c r="AQ677" i="123"/>
  <c r="AR677" i="123" s="1"/>
  <c r="AS677" i="123" s="1"/>
  <c r="AM675" i="123"/>
  <c r="V629" i="123"/>
  <c r="U629" i="123"/>
  <c r="AR838" i="123"/>
  <c r="AS838" i="123" s="1"/>
  <c r="AR836" i="123"/>
  <c r="AS836" i="123" s="1"/>
  <c r="AQ829" i="123"/>
  <c r="AR829" i="123" s="1"/>
  <c r="AS829" i="123" s="1"/>
  <c r="AM825" i="123"/>
  <c r="AQ822" i="123"/>
  <c r="AR822" i="123" s="1"/>
  <c r="AS822" i="123" s="1"/>
  <c r="AC821" i="123"/>
  <c r="AQ817" i="123"/>
  <c r="AR817" i="123" s="1"/>
  <c r="AS817" i="123" s="1"/>
  <c r="AR814" i="123"/>
  <c r="AS814" i="123" s="1"/>
  <c r="AR812" i="123"/>
  <c r="AS812" i="123" s="1"/>
  <c r="AD811" i="123"/>
  <c r="AF811" i="123" s="1"/>
  <c r="AG811" i="123" s="1"/>
  <c r="AC809" i="123"/>
  <c r="AE809" i="123" s="1"/>
  <c r="AM808" i="123"/>
  <c r="Z808" i="123"/>
  <c r="AA807" i="123"/>
  <c r="AM806" i="123"/>
  <c r="AA806" i="123"/>
  <c r="AQ805" i="123"/>
  <c r="AR805" i="123" s="1"/>
  <c r="AS805" i="123" s="1"/>
  <c r="AM801" i="123"/>
  <c r="AD800" i="123"/>
  <c r="AE800" i="123" s="1"/>
  <c r="AR798" i="123"/>
  <c r="AS798" i="123" s="1"/>
  <c r="AR796" i="123"/>
  <c r="AS796" i="123" s="1"/>
  <c r="AD795" i="123"/>
  <c r="AF795" i="123" s="1"/>
  <c r="AC793" i="123"/>
  <c r="AE793" i="123" s="1"/>
  <c r="AM792" i="123"/>
  <c r="Z792" i="123"/>
  <c r="AA791" i="123"/>
  <c r="AM790" i="123"/>
  <c r="AA790" i="123"/>
  <c r="AQ789" i="123"/>
  <c r="AR789" i="123" s="1"/>
  <c r="AS789" i="123" s="1"/>
  <c r="AM785" i="123"/>
  <c r="AD784" i="123"/>
  <c r="AE784" i="123" s="1"/>
  <c r="AR782" i="123"/>
  <c r="AS782" i="123" s="1"/>
  <c r="AD779" i="123"/>
  <c r="AC777" i="123"/>
  <c r="AE777" i="123" s="1"/>
  <c r="AM776" i="123"/>
  <c r="Z776" i="123"/>
  <c r="AA775" i="123"/>
  <c r="AM774" i="123"/>
  <c r="AA774" i="123"/>
  <c r="AQ773" i="123"/>
  <c r="AR773" i="123" s="1"/>
  <c r="AS773" i="123" s="1"/>
  <c r="AC769" i="123"/>
  <c r="AE769" i="123" s="1"/>
  <c r="U769" i="123"/>
  <c r="AM768" i="123"/>
  <c r="AC765" i="123"/>
  <c r="U765" i="123"/>
  <c r="AM764" i="123"/>
  <c r="Z764" i="123"/>
  <c r="AA763" i="123"/>
  <c r="AQ762" i="123"/>
  <c r="AR762" i="123" s="1"/>
  <c r="AS762" i="123" s="1"/>
  <c r="AR760" i="123"/>
  <c r="AS760" i="123" s="1"/>
  <c r="AM757" i="123"/>
  <c r="AD756" i="123"/>
  <c r="AE756" i="123" s="1"/>
  <c r="AA754" i="123"/>
  <c r="AQ753" i="123"/>
  <c r="AR753" i="123" s="1"/>
  <c r="AS753" i="123" s="1"/>
  <c r="AC749" i="123"/>
  <c r="U749" i="123"/>
  <c r="AM748" i="123"/>
  <c r="Z748" i="123"/>
  <c r="AM745" i="123"/>
  <c r="AD744" i="123"/>
  <c r="AF744" i="123" s="1"/>
  <c r="AG744" i="123" s="1"/>
  <c r="AD743" i="123"/>
  <c r="AM741" i="123"/>
  <c r="AD740" i="123"/>
  <c r="AF740" i="123" s="1"/>
  <c r="AG740" i="123" s="1"/>
  <c r="AD739" i="123"/>
  <c r="AM737" i="123"/>
  <c r="AD736" i="123"/>
  <c r="AF736" i="123" s="1"/>
  <c r="AG736" i="123" s="1"/>
  <c r="AD735" i="123"/>
  <c r="AM733" i="123"/>
  <c r="AD732" i="123"/>
  <c r="AF732" i="123" s="1"/>
  <c r="AG732" i="123" s="1"/>
  <c r="AD731" i="123"/>
  <c r="AF731" i="123" s="1"/>
  <c r="AG731" i="123" s="1"/>
  <c r="AM729" i="123"/>
  <c r="AD728" i="123"/>
  <c r="AD727" i="123"/>
  <c r="AM725" i="123"/>
  <c r="AD724" i="123"/>
  <c r="AF724" i="123" s="1"/>
  <c r="AG724" i="123" s="1"/>
  <c r="AD723" i="123"/>
  <c r="AM721" i="123"/>
  <c r="AD720" i="123"/>
  <c r="AF720" i="123" s="1"/>
  <c r="AG720" i="123" s="1"/>
  <c r="AD719" i="123"/>
  <c r="AE719" i="123" s="1"/>
  <c r="AM717" i="123"/>
  <c r="AD716" i="123"/>
  <c r="AD715" i="123"/>
  <c r="AM713" i="123"/>
  <c r="AQ710" i="123"/>
  <c r="AR710" i="123" s="1"/>
  <c r="AS710" i="123" s="1"/>
  <c r="AQ706" i="123"/>
  <c r="AR706" i="123" s="1"/>
  <c r="AS706" i="123" s="1"/>
  <c r="AM700" i="123"/>
  <c r="AM696" i="123"/>
  <c r="AM692" i="123"/>
  <c r="AM688" i="123"/>
  <c r="AD684" i="123"/>
  <c r="AF684" i="123" s="1"/>
  <c r="AG684" i="123" s="1"/>
  <c r="AC684" i="123"/>
  <c r="AD683" i="123"/>
  <c r="AF683" i="123" s="1"/>
  <c r="AG683" i="123" s="1"/>
  <c r="AC683" i="123"/>
  <c r="AA679" i="123"/>
  <c r="AF679" i="123" s="1"/>
  <c r="AG679" i="123" s="1"/>
  <c r="Z679" i="123"/>
  <c r="AM678" i="123"/>
  <c r="V673" i="123"/>
  <c r="U673" i="123"/>
  <c r="V669" i="123"/>
  <c r="U669" i="123"/>
  <c r="V665" i="123"/>
  <c r="U665" i="123"/>
  <c r="V633" i="123"/>
  <c r="U633" i="123"/>
  <c r="V625" i="123"/>
  <c r="U625" i="123"/>
  <c r="AN823" i="123"/>
  <c r="AR818" i="123"/>
  <c r="AS818" i="123" s="1"/>
  <c r="Z816" i="123"/>
  <c r="AD812" i="123"/>
  <c r="AF812" i="123" s="1"/>
  <c r="AG812" i="123" s="1"/>
  <c r="AR810" i="123"/>
  <c r="AS810" i="123" s="1"/>
  <c r="Z804" i="123"/>
  <c r="AA803" i="123"/>
  <c r="AM802" i="123"/>
  <c r="AN802" i="123"/>
  <c r="AQ801" i="123"/>
  <c r="AR801" i="123" s="1"/>
  <c r="AS801" i="123" s="1"/>
  <c r="AD796" i="123"/>
  <c r="AF796" i="123" s="1"/>
  <c r="AG796" i="123" s="1"/>
  <c r="AR794" i="123"/>
  <c r="AS794" i="123" s="1"/>
  <c r="Z788" i="123"/>
  <c r="AA787" i="123"/>
  <c r="AM786" i="123"/>
  <c r="AN786" i="123"/>
  <c r="AQ785" i="123"/>
  <c r="AR785" i="123" s="1"/>
  <c r="AS785" i="123" s="1"/>
  <c r="AD780" i="123"/>
  <c r="AR778" i="123"/>
  <c r="AS778" i="123" s="1"/>
  <c r="AC773" i="123"/>
  <c r="AE773" i="123" s="1"/>
  <c r="U773" i="123"/>
  <c r="Z772" i="123"/>
  <c r="Z768" i="123"/>
  <c r="AN758" i="123"/>
  <c r="AQ757" i="123"/>
  <c r="AR757" i="123" s="1"/>
  <c r="AS757" i="123" s="1"/>
  <c r="AC753" i="123"/>
  <c r="U753" i="123"/>
  <c r="Z752" i="123"/>
  <c r="AA747" i="123"/>
  <c r="AM746" i="123"/>
  <c r="AN746" i="123"/>
  <c r="AQ745" i="123"/>
  <c r="AR745" i="123" s="1"/>
  <c r="AS745" i="123" s="1"/>
  <c r="AN742" i="123"/>
  <c r="AQ741" i="123"/>
  <c r="AR741" i="123" s="1"/>
  <c r="AS741" i="123" s="1"/>
  <c r="AN738" i="123"/>
  <c r="AQ737" i="123"/>
  <c r="AR737" i="123" s="1"/>
  <c r="AS737" i="123" s="1"/>
  <c r="AQ733" i="123"/>
  <c r="AR733" i="123" s="1"/>
  <c r="AS733" i="123" s="1"/>
  <c r="AQ729" i="123"/>
  <c r="AR729" i="123" s="1"/>
  <c r="AS729" i="123" s="1"/>
  <c r="AA726" i="123"/>
  <c r="AQ725" i="123"/>
  <c r="AR725" i="123" s="1"/>
  <c r="AS725" i="123" s="1"/>
  <c r="AA722" i="123"/>
  <c r="AQ721" i="123"/>
  <c r="AR721" i="123" s="1"/>
  <c r="AS721" i="123" s="1"/>
  <c r="AA718" i="123"/>
  <c r="AQ717" i="123"/>
  <c r="AR717" i="123" s="1"/>
  <c r="AS717" i="123" s="1"/>
  <c r="AA714" i="123"/>
  <c r="AQ713" i="123"/>
  <c r="AR713" i="123" s="1"/>
  <c r="AS713" i="123" s="1"/>
  <c r="AD711" i="123"/>
  <c r="AF711" i="123" s="1"/>
  <c r="AG711" i="123" s="1"/>
  <c r="AM709" i="123"/>
  <c r="AD708" i="123"/>
  <c r="AF708" i="123" s="1"/>
  <c r="AG708" i="123" s="1"/>
  <c r="AD707" i="123"/>
  <c r="AM705" i="123"/>
  <c r="AD704" i="123"/>
  <c r="AF704" i="123" s="1"/>
  <c r="AG704" i="123" s="1"/>
  <c r="AA703" i="123"/>
  <c r="AF703" i="123" s="1"/>
  <c r="AG703" i="123" s="1"/>
  <c r="AQ702" i="123"/>
  <c r="AR702" i="123" s="1"/>
  <c r="AS702" i="123" s="1"/>
  <c r="Z700" i="123"/>
  <c r="AA699" i="123"/>
  <c r="AF699" i="123" s="1"/>
  <c r="AG699" i="123" s="1"/>
  <c r="AQ698" i="123"/>
  <c r="AR698" i="123" s="1"/>
  <c r="AS698" i="123" s="1"/>
  <c r="Z696" i="123"/>
  <c r="AA695" i="123"/>
  <c r="AF695" i="123" s="1"/>
  <c r="AG695" i="123" s="1"/>
  <c r="AQ694" i="123"/>
  <c r="AR694" i="123" s="1"/>
  <c r="AS694" i="123" s="1"/>
  <c r="Z692" i="123"/>
  <c r="AQ690" i="123"/>
  <c r="AR690" i="123" s="1"/>
  <c r="AS690" i="123" s="1"/>
  <c r="Z688" i="123"/>
  <c r="AN682" i="123"/>
  <c r="V677" i="123"/>
  <c r="U677" i="123"/>
  <c r="V637" i="123"/>
  <c r="U637" i="123"/>
  <c r="V621" i="123"/>
  <c r="U621" i="123"/>
  <c r="V605" i="123"/>
  <c r="U605" i="123"/>
  <c r="V581" i="123"/>
  <c r="U581" i="123"/>
  <c r="V577" i="123"/>
  <c r="U577" i="123"/>
  <c r="AA819" i="123"/>
  <c r="AN814" i="123"/>
  <c r="AQ813" i="123"/>
  <c r="AR813" i="123" s="1"/>
  <c r="AS813" i="123" s="1"/>
  <c r="AR806" i="123"/>
  <c r="AS806" i="123" s="1"/>
  <c r="AN798" i="123"/>
  <c r="AQ797" i="123"/>
  <c r="AR797" i="123" s="1"/>
  <c r="AS797" i="123" s="1"/>
  <c r="AR790" i="123"/>
  <c r="AS790" i="123" s="1"/>
  <c r="AN782" i="123"/>
  <c r="AQ781" i="123"/>
  <c r="AR781" i="123" s="1"/>
  <c r="AS781" i="123" s="1"/>
  <c r="AR774" i="123"/>
  <c r="AS774" i="123" s="1"/>
  <c r="AN762" i="123"/>
  <c r="AQ761" i="123"/>
  <c r="AR761" i="123" s="1"/>
  <c r="AS761" i="123" s="1"/>
  <c r="AM756" i="123"/>
  <c r="AC721" i="123"/>
  <c r="U721" i="123"/>
  <c r="AC717" i="123"/>
  <c r="U717" i="123"/>
  <c r="AC713" i="123"/>
  <c r="U713" i="123"/>
  <c r="AQ709" i="123"/>
  <c r="AR709" i="123" s="1"/>
  <c r="AS709" i="123" s="1"/>
  <c r="AQ705" i="123"/>
  <c r="AR705" i="123" s="1"/>
  <c r="AS705" i="123" s="1"/>
  <c r="AD680" i="123"/>
  <c r="AC680" i="123"/>
  <c r="AE679" i="123"/>
  <c r="AE639" i="123"/>
  <c r="V601" i="123"/>
  <c r="U601" i="123"/>
  <c r="AQ685" i="123"/>
  <c r="AR685" i="123" s="1"/>
  <c r="AS685" i="123" s="1"/>
  <c r="AQ681" i="123"/>
  <c r="AR681" i="123" s="1"/>
  <c r="AS681" i="123" s="1"/>
  <c r="Z675" i="123"/>
  <c r="Z668" i="123"/>
  <c r="AR666" i="123"/>
  <c r="AS666" i="123" s="1"/>
  <c r="Z664" i="123"/>
  <c r="Z660" i="123"/>
  <c r="Z656" i="123"/>
  <c r="Z652" i="123"/>
  <c r="Z650" i="123"/>
  <c r="AC649" i="123"/>
  <c r="U649" i="123"/>
  <c r="AC647" i="123"/>
  <c r="AE647" i="123" s="1"/>
  <c r="AQ645" i="123"/>
  <c r="AR645" i="123" s="1"/>
  <c r="AS645" i="123" s="1"/>
  <c r="AC644" i="123"/>
  <c r="AE644" i="123" s="1"/>
  <c r="AC643" i="123"/>
  <c r="AE643" i="123" s="1"/>
  <c r="AQ641" i="123"/>
  <c r="AR641" i="123" s="1"/>
  <c r="AS641" i="123" s="1"/>
  <c r="AC640" i="123"/>
  <c r="Z639" i="123"/>
  <c r="Z635" i="123"/>
  <c r="Z631" i="123"/>
  <c r="Z627" i="123"/>
  <c r="AF623" i="123"/>
  <c r="AG623" i="123" s="1"/>
  <c r="Z623" i="123"/>
  <c r="Z616" i="123"/>
  <c r="Z614" i="123"/>
  <c r="AC613" i="123"/>
  <c r="U613" i="123"/>
  <c r="Z610" i="123"/>
  <c r="AC609" i="123"/>
  <c r="U609" i="123"/>
  <c r="AC607" i="123"/>
  <c r="AE607" i="123" s="1"/>
  <c r="AN606" i="123"/>
  <c r="AQ605" i="123"/>
  <c r="AR605" i="123" s="1"/>
  <c r="AS605" i="123" s="1"/>
  <c r="AC604" i="123"/>
  <c r="AE604" i="123" s="1"/>
  <c r="AC603" i="123"/>
  <c r="AE603" i="123" s="1"/>
  <c r="AN602" i="123"/>
  <c r="AQ601" i="123"/>
  <c r="AR601" i="123" s="1"/>
  <c r="AS601" i="123" s="1"/>
  <c r="AC600" i="123"/>
  <c r="AC599" i="123"/>
  <c r="AE599" i="123" s="1"/>
  <c r="AQ597" i="123"/>
  <c r="AR597" i="123" s="1"/>
  <c r="AS597" i="123" s="1"/>
  <c r="AC596" i="123"/>
  <c r="AE596" i="123" s="1"/>
  <c r="AC595" i="123"/>
  <c r="AQ593" i="123"/>
  <c r="AR593" i="123" s="1"/>
  <c r="AS593" i="123" s="1"/>
  <c r="AC589" i="123"/>
  <c r="AE589" i="123" s="1"/>
  <c r="U589" i="123"/>
  <c r="Z588" i="123"/>
  <c r="AD587" i="123"/>
  <c r="AE587" i="123" s="1"/>
  <c r="Z586" i="123"/>
  <c r="AN586" i="123"/>
  <c r="AC583" i="123"/>
  <c r="AE583" i="123" s="1"/>
  <c r="AQ582" i="123"/>
  <c r="AR582" i="123" s="1"/>
  <c r="AS582" i="123" s="1"/>
  <c r="AC576" i="123"/>
  <c r="AC571" i="123"/>
  <c r="AE571" i="123" s="1"/>
  <c r="V565" i="123"/>
  <c r="U565" i="123"/>
  <c r="Z559" i="123"/>
  <c r="U554" i="123"/>
  <c r="AA553" i="123"/>
  <c r="AQ673" i="123"/>
  <c r="AR673" i="123" s="1"/>
  <c r="AS673" i="123" s="1"/>
  <c r="AQ637" i="123"/>
  <c r="AR637" i="123" s="1"/>
  <c r="AS637" i="123" s="1"/>
  <c r="AQ633" i="123"/>
  <c r="AR633" i="123" s="1"/>
  <c r="AS633" i="123" s="1"/>
  <c r="AQ629" i="123"/>
  <c r="AR629" i="123" s="1"/>
  <c r="AS629" i="123" s="1"/>
  <c r="AQ625" i="123"/>
  <c r="AR625" i="123" s="1"/>
  <c r="AS625" i="123" s="1"/>
  <c r="AQ621" i="123"/>
  <c r="AR621" i="123" s="1"/>
  <c r="AS621" i="123" s="1"/>
  <c r="AQ577" i="123"/>
  <c r="AR577" i="123" s="1"/>
  <c r="AS577" i="123" s="1"/>
  <c r="AQ569" i="123"/>
  <c r="AR569" i="123" s="1"/>
  <c r="AS569" i="123" s="1"/>
  <c r="AQ561" i="123"/>
  <c r="AR561" i="123" s="1"/>
  <c r="AS561" i="123" s="1"/>
  <c r="AR550" i="123"/>
  <c r="AS550" i="123" s="1"/>
  <c r="S419" i="123"/>
  <c r="T419" i="123" s="1"/>
  <c r="AQ686" i="123"/>
  <c r="AR686" i="123" s="1"/>
  <c r="AS686" i="123" s="1"/>
  <c r="AQ682" i="123"/>
  <c r="AR682" i="123" s="1"/>
  <c r="AS682" i="123" s="1"/>
  <c r="AM676" i="123"/>
  <c r="AM672" i="123"/>
  <c r="AN670" i="123"/>
  <c r="AQ669" i="123"/>
  <c r="AR669" i="123" s="1"/>
  <c r="AS669" i="123" s="1"/>
  <c r="AR667" i="123"/>
  <c r="AS667" i="123" s="1"/>
  <c r="AA666" i="123"/>
  <c r="AQ665" i="123"/>
  <c r="AR665" i="123" s="1"/>
  <c r="AS665" i="123" s="1"/>
  <c r="AR663" i="123"/>
  <c r="AS663" i="123" s="1"/>
  <c r="AA662" i="123"/>
  <c r="AQ661" i="123"/>
  <c r="AR661" i="123" s="1"/>
  <c r="AS661" i="123" s="1"/>
  <c r="AA658" i="123"/>
  <c r="AQ657" i="123"/>
  <c r="AR657" i="123" s="1"/>
  <c r="AS657" i="123" s="1"/>
  <c r="AA654" i="123"/>
  <c r="AQ653" i="123"/>
  <c r="AR653" i="123" s="1"/>
  <c r="AS653" i="123" s="1"/>
  <c r="AD651" i="123"/>
  <c r="AF651" i="123" s="1"/>
  <c r="AG651" i="123" s="1"/>
  <c r="AM649" i="123"/>
  <c r="AD648" i="123"/>
  <c r="AQ646" i="123"/>
  <c r="AR646" i="123" s="1"/>
  <c r="AS646" i="123" s="1"/>
  <c r="AQ642" i="123"/>
  <c r="AR642" i="123" s="1"/>
  <c r="AS642" i="123" s="1"/>
  <c r="AM636" i="123"/>
  <c r="AM632" i="123"/>
  <c r="AM628" i="123"/>
  <c r="AM624" i="123"/>
  <c r="AM620" i="123"/>
  <c r="AA618" i="123"/>
  <c r="AQ617" i="123"/>
  <c r="AR617" i="123" s="1"/>
  <c r="AS617" i="123" s="1"/>
  <c r="AD615" i="123"/>
  <c r="AF615" i="123" s="1"/>
  <c r="AG615" i="123" s="1"/>
  <c r="AM613" i="123"/>
  <c r="AD612" i="123"/>
  <c r="AF612" i="123" s="1"/>
  <c r="AG612" i="123" s="1"/>
  <c r="AD611" i="123"/>
  <c r="AF611" i="123" s="1"/>
  <c r="AM609" i="123"/>
  <c r="AD608" i="123"/>
  <c r="AA607" i="123"/>
  <c r="AF607" i="123" s="1"/>
  <c r="AQ606" i="123"/>
  <c r="AR606" i="123" s="1"/>
  <c r="AS606" i="123" s="1"/>
  <c r="AA603" i="123"/>
  <c r="AF603" i="123" s="1"/>
  <c r="AG603" i="123" s="1"/>
  <c r="AQ602" i="123"/>
  <c r="AR602" i="123" s="1"/>
  <c r="AS602" i="123" s="1"/>
  <c r="AQ598" i="123"/>
  <c r="AR598" i="123" s="1"/>
  <c r="AS598" i="123" s="1"/>
  <c r="AQ594" i="123"/>
  <c r="AR594" i="123" s="1"/>
  <c r="AS594" i="123" s="1"/>
  <c r="AR592" i="123"/>
  <c r="AS592" i="123" s="1"/>
  <c r="AM589" i="123"/>
  <c r="AQ586" i="123"/>
  <c r="AR586" i="123" s="1"/>
  <c r="AS586" i="123" s="1"/>
  <c r="AQ581" i="123"/>
  <c r="AR581" i="123" s="1"/>
  <c r="AS581" i="123" s="1"/>
  <c r="AM578" i="123"/>
  <c r="AM576" i="123"/>
  <c r="AN574" i="123"/>
  <c r="AQ573" i="123"/>
  <c r="AR573" i="123" s="1"/>
  <c r="AS573" i="123" s="1"/>
  <c r="AM572" i="123"/>
  <c r="AA571" i="123"/>
  <c r="AF571" i="123" s="1"/>
  <c r="AG571" i="123" s="1"/>
  <c r="Z571" i="123"/>
  <c r="AM570" i="123"/>
  <c r="U569" i="123"/>
  <c r="AM567" i="123"/>
  <c r="AA564" i="123"/>
  <c r="Z564" i="123"/>
  <c r="V561" i="123"/>
  <c r="U561" i="123"/>
  <c r="AR559" i="123"/>
  <c r="AS559" i="123" s="1"/>
  <c r="AR558" i="123"/>
  <c r="AS558" i="123" s="1"/>
  <c r="AM557" i="123"/>
  <c r="W554" i="123"/>
  <c r="AN554" i="123" s="1"/>
  <c r="AM681" i="123"/>
  <c r="AQ678" i="123"/>
  <c r="AR678" i="123" s="1"/>
  <c r="AS678" i="123" s="1"/>
  <c r="Z676" i="123"/>
  <c r="AQ674" i="123"/>
  <c r="AR674" i="123" s="1"/>
  <c r="AS674" i="123" s="1"/>
  <c r="Z672" i="123"/>
  <c r="AC669" i="123"/>
  <c r="AM668" i="123"/>
  <c r="AC665" i="123"/>
  <c r="AM664" i="123"/>
  <c r="AC661" i="123"/>
  <c r="U661" i="123"/>
  <c r="AM660" i="123"/>
  <c r="AC657" i="123"/>
  <c r="U657" i="123"/>
  <c r="AM656" i="123"/>
  <c r="AC653" i="123"/>
  <c r="U653" i="123"/>
  <c r="AM652" i="123"/>
  <c r="AQ649" i="123"/>
  <c r="AR649" i="123" s="1"/>
  <c r="AS649" i="123" s="1"/>
  <c r="AM645" i="123"/>
  <c r="AM641" i="123"/>
  <c r="AQ638" i="123"/>
  <c r="AR638" i="123" s="1"/>
  <c r="AS638" i="123" s="1"/>
  <c r="Z636" i="123"/>
  <c r="AQ634" i="123"/>
  <c r="AR634" i="123" s="1"/>
  <c r="AS634" i="123" s="1"/>
  <c r="Z632" i="123"/>
  <c r="AQ630" i="123"/>
  <c r="AR630" i="123" s="1"/>
  <c r="AS630" i="123" s="1"/>
  <c r="Z628" i="123"/>
  <c r="AQ626" i="123"/>
  <c r="AR626" i="123" s="1"/>
  <c r="AS626" i="123" s="1"/>
  <c r="Z624" i="123"/>
  <c r="AQ622" i="123"/>
  <c r="AR622" i="123" s="1"/>
  <c r="AS622" i="123" s="1"/>
  <c r="Z620" i="123"/>
  <c r="AC617" i="123"/>
  <c r="AE617" i="123" s="1"/>
  <c r="U617" i="123"/>
  <c r="AM616" i="123"/>
  <c r="AQ613" i="123"/>
  <c r="AR613" i="123" s="1"/>
  <c r="AS613" i="123" s="1"/>
  <c r="AQ609" i="123"/>
  <c r="AR609" i="123" s="1"/>
  <c r="AS609" i="123" s="1"/>
  <c r="AM605" i="123"/>
  <c r="AM601" i="123"/>
  <c r="AM597" i="123"/>
  <c r="AM593" i="123"/>
  <c r="AD592" i="123"/>
  <c r="AF592" i="123" s="1"/>
  <c r="AG592" i="123" s="1"/>
  <c r="AQ591" i="123"/>
  <c r="AR591" i="123" s="1"/>
  <c r="AS591" i="123" s="1"/>
  <c r="AQ590" i="123"/>
  <c r="AR590" i="123" s="1"/>
  <c r="AS590" i="123" s="1"/>
  <c r="AC585" i="123"/>
  <c r="AE585" i="123" s="1"/>
  <c r="U585" i="123"/>
  <c r="Z584" i="123"/>
  <c r="AM582" i="123"/>
  <c r="AC581" i="123"/>
  <c r="AE581" i="123" s="1"/>
  <c r="AM580" i="123"/>
  <c r="AC579" i="123"/>
  <c r="AQ578" i="123"/>
  <c r="AR578" i="123" s="1"/>
  <c r="AS578" i="123" s="1"/>
  <c r="AR576" i="123"/>
  <c r="AS576" i="123" s="1"/>
  <c r="U573" i="123"/>
  <c r="AA572" i="123"/>
  <c r="Z572" i="123"/>
  <c r="AC568" i="123"/>
  <c r="AE568" i="123" s="1"/>
  <c r="Z567" i="123"/>
  <c r="AN566" i="123"/>
  <c r="AQ565" i="123"/>
  <c r="AR565" i="123" s="1"/>
  <c r="AS565" i="123" s="1"/>
  <c r="AR563" i="123"/>
  <c r="AS563" i="123" s="1"/>
  <c r="W558" i="123"/>
  <c r="AN558" i="123" s="1"/>
  <c r="Z555" i="123"/>
  <c r="U550" i="123"/>
  <c r="W550" i="123"/>
  <c r="AN550" i="123" s="1"/>
  <c r="AR560" i="123"/>
  <c r="AS560" i="123" s="1"/>
  <c r="AR556" i="123"/>
  <c r="AS556" i="123" s="1"/>
  <c r="AR552" i="123"/>
  <c r="AS552" i="123" s="1"/>
  <c r="AD547" i="123"/>
  <c r="AF547" i="123" s="1"/>
  <c r="AG547" i="123" s="1"/>
  <c r="W546" i="123"/>
  <c r="AN546" i="123" s="1"/>
  <c r="Z543" i="123"/>
  <c r="AA542" i="123"/>
  <c r="AF542" i="123" s="1"/>
  <c r="Z535" i="123"/>
  <c r="AA534" i="123"/>
  <c r="AC532" i="123"/>
  <c r="AA531" i="123"/>
  <c r="AF528" i="123"/>
  <c r="Z527" i="123"/>
  <c r="Z523" i="123"/>
  <c r="Z515" i="123"/>
  <c r="Z507" i="123"/>
  <c r="AC500" i="123"/>
  <c r="Z495" i="123"/>
  <c r="Z491" i="123"/>
  <c r="AD483" i="123"/>
  <c r="AC480" i="123"/>
  <c r="AE480" i="123" s="1"/>
  <c r="AA479" i="123"/>
  <c r="AD476" i="123"/>
  <c r="AE476" i="123" s="1"/>
  <c r="AD475" i="123"/>
  <c r="AC472" i="123"/>
  <c r="Z471" i="123"/>
  <c r="AD468" i="123"/>
  <c r="AE468" i="123" s="1"/>
  <c r="AA466" i="123"/>
  <c r="AA463" i="123"/>
  <c r="AC460" i="123"/>
  <c r="AA459" i="123"/>
  <c r="AA458" i="123"/>
  <c r="AA454" i="123"/>
  <c r="AD451" i="123"/>
  <c r="AF451" i="123" s="1"/>
  <c r="Z448" i="123"/>
  <c r="AC447" i="123"/>
  <c r="AE447" i="123" s="1"/>
  <c r="AC445" i="123"/>
  <c r="Z444" i="123"/>
  <c r="AD440" i="123"/>
  <c r="AF440" i="123" s="1"/>
  <c r="S440" i="123"/>
  <c r="AD439" i="123"/>
  <c r="AF439" i="123" s="1"/>
  <c r="AC436" i="123"/>
  <c r="AD436" i="123"/>
  <c r="AF436" i="123" s="1"/>
  <c r="AA434" i="123"/>
  <c r="AD413" i="123"/>
  <c r="AC413" i="123"/>
  <c r="Z396" i="123"/>
  <c r="AA396" i="123"/>
  <c r="Z381" i="123"/>
  <c r="AA381" i="123"/>
  <c r="Z365" i="123"/>
  <c r="AA365" i="123"/>
  <c r="AC362" i="123"/>
  <c r="AD362" i="123"/>
  <c r="AF362" i="123" s="1"/>
  <c r="AC334" i="123"/>
  <c r="AD334" i="123"/>
  <c r="Z325" i="123"/>
  <c r="AA325" i="123"/>
  <c r="AF321" i="123"/>
  <c r="Z318" i="123"/>
  <c r="AA318" i="123"/>
  <c r="S313" i="123"/>
  <c r="T313" i="123" s="1"/>
  <c r="AD306" i="123"/>
  <c r="AF306" i="123" s="1"/>
  <c r="AC306" i="123"/>
  <c r="Z303" i="123"/>
  <c r="AA303" i="123"/>
  <c r="S296" i="123"/>
  <c r="T296" i="123" s="1"/>
  <c r="AA293" i="123"/>
  <c r="Z293" i="123"/>
  <c r="AD286" i="123"/>
  <c r="AF286" i="123" s="1"/>
  <c r="AC286" i="123"/>
  <c r="AE280" i="123"/>
  <c r="AC269" i="123"/>
  <c r="AD269" i="123"/>
  <c r="AF269" i="123" s="1"/>
  <c r="AA261" i="123"/>
  <c r="Z261" i="123"/>
  <c r="S256" i="123"/>
  <c r="T256" i="123" s="1"/>
  <c r="T252" i="123"/>
  <c r="AD250" i="123"/>
  <c r="AF250" i="123" s="1"/>
  <c r="AC250" i="123"/>
  <c r="S248" i="123"/>
  <c r="T248" i="123" s="1"/>
  <c r="Z243" i="123"/>
  <c r="AA243" i="123"/>
  <c r="AC552" i="123"/>
  <c r="AE552" i="123" s="1"/>
  <c r="U552" i="123"/>
  <c r="AM551" i="123"/>
  <c r="Z551" i="123"/>
  <c r="U549" i="123"/>
  <c r="AM548" i="123"/>
  <c r="AM547" i="123"/>
  <c r="AA546" i="123"/>
  <c r="AA530" i="123"/>
  <c r="AD527" i="123"/>
  <c r="AF527" i="123" s="1"/>
  <c r="AD523" i="123"/>
  <c r="AF523" i="123" s="1"/>
  <c r="AC520" i="123"/>
  <c r="AA518" i="123"/>
  <c r="AD515" i="123"/>
  <c r="AF515" i="123" s="1"/>
  <c r="AC512" i="123"/>
  <c r="AA510" i="123"/>
  <c r="AD507" i="123"/>
  <c r="AF507" i="123" s="1"/>
  <c r="AC504" i="123"/>
  <c r="AA502" i="123"/>
  <c r="AA498" i="123"/>
  <c r="AD495" i="123"/>
  <c r="AF495" i="123" s="1"/>
  <c r="AF492" i="123"/>
  <c r="T492" i="123"/>
  <c r="AD491" i="123"/>
  <c r="AC488" i="123"/>
  <c r="AE488" i="123" s="1"/>
  <c r="AA486" i="123"/>
  <c r="AA478" i="123"/>
  <c r="S476" i="123"/>
  <c r="T476" i="123" s="1"/>
  <c r="S475" i="123"/>
  <c r="AA462" i="123"/>
  <c r="S451" i="123"/>
  <c r="AA442" i="123"/>
  <c r="AA438" i="123"/>
  <c r="Z436" i="123"/>
  <c r="AC433" i="123"/>
  <c r="Z432" i="123"/>
  <c r="AD428" i="123"/>
  <c r="S428" i="123"/>
  <c r="AD421" i="123"/>
  <c r="AF421" i="123" s="1"/>
  <c r="AC421" i="123"/>
  <c r="AF419" i="123"/>
  <c r="Z399" i="123"/>
  <c r="AA399" i="123"/>
  <c r="AD394" i="123"/>
  <c r="AF394" i="123" s="1"/>
  <c r="AC394" i="123"/>
  <c r="Z392" i="123"/>
  <c r="AA392" i="123"/>
  <c r="AC361" i="123"/>
  <c r="AD361" i="123"/>
  <c r="AF361" i="123" s="1"/>
  <c r="AC353" i="123"/>
  <c r="AD353" i="123"/>
  <c r="AC333" i="123"/>
  <c r="AD333" i="123"/>
  <c r="AD314" i="123"/>
  <c r="AF314" i="123" s="1"/>
  <c r="AC314" i="123"/>
  <c r="AC305" i="123"/>
  <c r="AD305" i="123"/>
  <c r="AC297" i="123"/>
  <c r="AD297" i="123"/>
  <c r="AD290" i="123"/>
  <c r="AF290" i="123" s="1"/>
  <c r="AC290" i="123"/>
  <c r="S280" i="123"/>
  <c r="T280" i="123" s="1"/>
  <c r="AA273" i="123"/>
  <c r="Z273" i="123"/>
  <c r="Z272" i="123"/>
  <c r="AA272" i="123"/>
  <c r="AC253" i="123"/>
  <c r="AD253" i="123"/>
  <c r="AF253" i="123" s="1"/>
  <c r="S209" i="123"/>
  <c r="T209" i="123" s="1"/>
  <c r="S544" i="123"/>
  <c r="S541" i="123"/>
  <c r="T541" i="123" s="1"/>
  <c r="AM540" i="123"/>
  <c r="AM539" i="123"/>
  <c r="AF471" i="123"/>
  <c r="T439" i="123"/>
  <c r="AC431" i="123"/>
  <c r="AD431" i="123"/>
  <c r="AF431" i="123" s="1"/>
  <c r="Z426" i="123"/>
  <c r="AA426" i="123"/>
  <c r="AA424" i="123"/>
  <c r="Z424" i="123"/>
  <c r="AC423" i="123"/>
  <c r="AD423" i="123"/>
  <c r="AF423" i="123" s="1"/>
  <c r="AD417" i="123"/>
  <c r="AC417" i="123"/>
  <c r="AC403" i="123"/>
  <c r="AD403" i="123"/>
  <c r="Z398" i="123"/>
  <c r="AA398" i="123"/>
  <c r="AC360" i="123"/>
  <c r="AD360" i="123"/>
  <c r="AF360" i="123" s="1"/>
  <c r="AC338" i="123"/>
  <c r="AD338" i="123"/>
  <c r="S335" i="123"/>
  <c r="T335" i="123" s="1"/>
  <c r="Z324" i="123"/>
  <c r="AA324" i="123"/>
  <c r="AC315" i="123"/>
  <c r="AD315" i="123"/>
  <c r="AF315" i="123" s="1"/>
  <c r="AC313" i="123"/>
  <c r="AD313" i="123"/>
  <c r="AF313" i="123" s="1"/>
  <c r="S307" i="123"/>
  <c r="T307" i="123" s="1"/>
  <c r="Z296" i="123"/>
  <c r="AA296" i="123"/>
  <c r="S295" i="123"/>
  <c r="T295" i="123" s="1"/>
  <c r="Z276" i="123"/>
  <c r="AA276" i="123"/>
  <c r="Z271" i="123"/>
  <c r="AA271" i="123"/>
  <c r="AC268" i="123"/>
  <c r="AD268" i="123"/>
  <c r="AF268" i="123" s="1"/>
  <c r="Z256" i="123"/>
  <c r="AA256" i="123"/>
  <c r="S193" i="123"/>
  <c r="T193" i="123" s="1"/>
  <c r="AQ589" i="123"/>
  <c r="AR589" i="123" s="1"/>
  <c r="AS589" i="123" s="1"/>
  <c r="AQ585" i="123"/>
  <c r="AR585" i="123" s="1"/>
  <c r="AS585" i="123" s="1"/>
  <c r="AM581" i="123"/>
  <c r="AM577" i="123"/>
  <c r="AQ574" i="123"/>
  <c r="AR574" i="123" s="1"/>
  <c r="AS574" i="123" s="1"/>
  <c r="AQ570" i="123"/>
  <c r="AR570" i="123" s="1"/>
  <c r="AS570" i="123" s="1"/>
  <c r="Z568" i="123"/>
  <c r="AC565" i="123"/>
  <c r="AE565" i="123" s="1"/>
  <c r="AM564" i="123"/>
  <c r="AC561" i="123"/>
  <c r="AE561" i="123" s="1"/>
  <c r="AM560" i="123"/>
  <c r="AD559" i="123"/>
  <c r="AA558" i="123"/>
  <c r="AR557" i="123"/>
  <c r="AS557" i="123" s="1"/>
  <c r="AM556" i="123"/>
  <c r="AD555" i="123"/>
  <c r="AF555" i="123" s="1"/>
  <c r="AG555" i="123" s="1"/>
  <c r="AA554" i="123"/>
  <c r="AR553" i="123"/>
  <c r="AS553" i="123" s="1"/>
  <c r="AM552" i="123"/>
  <c r="AD551" i="123"/>
  <c r="AA550" i="123"/>
  <c r="AR549" i="123"/>
  <c r="AS549" i="123" s="1"/>
  <c r="AM541" i="123"/>
  <c r="AC540" i="123"/>
  <c r="AE540" i="123" s="1"/>
  <c r="AD539" i="123"/>
  <c r="AC538" i="123"/>
  <c r="AM537" i="123"/>
  <c r="AC530" i="123"/>
  <c r="Z529" i="123"/>
  <c r="AC528" i="123"/>
  <c r="AA526" i="123"/>
  <c r="AA522" i="123"/>
  <c r="AD519" i="123"/>
  <c r="AC516" i="123"/>
  <c r="AA514" i="123"/>
  <c r="AD511" i="123"/>
  <c r="AF511" i="123" s="1"/>
  <c r="AC508" i="123"/>
  <c r="AA506" i="123"/>
  <c r="AD503" i="123"/>
  <c r="AF503" i="123" s="1"/>
  <c r="AD499" i="123"/>
  <c r="AF499" i="123" s="1"/>
  <c r="AC496" i="123"/>
  <c r="AA494" i="123"/>
  <c r="AA490" i="123"/>
  <c r="AD487" i="123"/>
  <c r="AC478" i="123"/>
  <c r="Z477" i="123"/>
  <c r="S464" i="123"/>
  <c r="AC462" i="123"/>
  <c r="Z461" i="123"/>
  <c r="Z451" i="123"/>
  <c r="AA443" i="123"/>
  <c r="AF441" i="123"/>
  <c r="AA440" i="123"/>
  <c r="Z440" i="123"/>
  <c r="T435" i="123"/>
  <c r="AD432" i="123"/>
  <c r="AF432" i="123" s="1"/>
  <c r="T431" i="123"/>
  <c r="AA428" i="123"/>
  <c r="Z428" i="123"/>
  <c r="AD408" i="123"/>
  <c r="AF408" i="123" s="1"/>
  <c r="Z406" i="123"/>
  <c r="AA406" i="123"/>
  <c r="Z397" i="123"/>
  <c r="AA397" i="123"/>
  <c r="AA393" i="123"/>
  <c r="AA385" i="123"/>
  <c r="Z382" i="123"/>
  <c r="AA382" i="123"/>
  <c r="AE365" i="123"/>
  <c r="AC337" i="123"/>
  <c r="AD337" i="123"/>
  <c r="AF337" i="123" s="1"/>
  <c r="AE325" i="123"/>
  <c r="S321" i="123"/>
  <c r="S312" i="123"/>
  <c r="S306" i="123"/>
  <c r="Z299" i="123"/>
  <c r="AA299" i="123"/>
  <c r="Z284" i="123"/>
  <c r="AA284" i="123"/>
  <c r="AD278" i="123"/>
  <c r="AF278" i="123" s="1"/>
  <c r="AC278" i="123"/>
  <c r="S275" i="123"/>
  <c r="T275" i="123" s="1"/>
  <c r="S272" i="123"/>
  <c r="T272" i="123" s="1"/>
  <c r="AD266" i="123"/>
  <c r="AF266" i="123" s="1"/>
  <c r="AC266" i="123"/>
  <c r="S264" i="123"/>
  <c r="T264" i="123" s="1"/>
  <c r="Z255" i="123"/>
  <c r="AA255" i="123"/>
  <c r="AC252" i="123"/>
  <c r="AD252" i="123"/>
  <c r="Z244" i="123"/>
  <c r="AA244" i="123"/>
  <c r="S201" i="123"/>
  <c r="T201" i="123" s="1"/>
  <c r="Z193" i="123"/>
  <c r="AA193" i="123"/>
  <c r="AD183" i="123"/>
  <c r="AF183" i="123" s="1"/>
  <c r="AC183" i="123"/>
  <c r="AD179" i="123"/>
  <c r="AF179" i="123" s="1"/>
  <c r="AC179" i="123"/>
  <c r="AD169" i="123"/>
  <c r="AC169" i="123"/>
  <c r="S146" i="123"/>
  <c r="T146" i="123" s="1"/>
  <c r="Z124" i="123"/>
  <c r="AA124" i="123"/>
  <c r="AC121" i="123"/>
  <c r="AD121" i="123"/>
  <c r="AF121" i="123" s="1"/>
  <c r="S120" i="123"/>
  <c r="T120" i="123" s="1"/>
  <c r="Z113" i="123"/>
  <c r="AA113" i="123"/>
  <c r="AA80" i="123"/>
  <c r="Z80" i="123"/>
  <c r="AD368" i="123"/>
  <c r="AE368" i="123" s="1"/>
  <c r="AF367" i="123"/>
  <c r="S365" i="123"/>
  <c r="AD364" i="123"/>
  <c r="AA361" i="123"/>
  <c r="S359" i="123"/>
  <c r="T359" i="123" s="1"/>
  <c r="S350" i="123"/>
  <c r="S346" i="123"/>
  <c r="S332" i="123"/>
  <c r="AF330" i="123"/>
  <c r="S330" i="123"/>
  <c r="S325" i="123"/>
  <c r="S324" i="123"/>
  <c r="AD323" i="123"/>
  <c r="AE323" i="123" s="1"/>
  <c r="AF322" i="123"/>
  <c r="S318" i="123"/>
  <c r="AA314" i="123"/>
  <c r="Z313" i="123"/>
  <c r="AD307" i="123"/>
  <c r="AF307" i="123" s="1"/>
  <c r="AA306" i="123"/>
  <c r="Z305" i="123"/>
  <c r="Z297" i="123"/>
  <c r="S291" i="123"/>
  <c r="S287" i="123"/>
  <c r="T287" i="123" s="1"/>
  <c r="AC282" i="123"/>
  <c r="AE282" i="123" s="1"/>
  <c r="S279" i="123"/>
  <c r="Z269" i="123"/>
  <c r="AA263" i="123"/>
  <c r="AD260" i="123"/>
  <c r="AF260" i="123" s="1"/>
  <c r="AC258" i="123"/>
  <c r="AE258" i="123" s="1"/>
  <c r="Z253" i="123"/>
  <c r="AA247" i="123"/>
  <c r="AC246" i="123"/>
  <c r="AE246" i="123" s="1"/>
  <c r="S230" i="123"/>
  <c r="T230" i="123" s="1"/>
  <c r="AA228" i="123"/>
  <c r="S226" i="123"/>
  <c r="T226" i="123" s="1"/>
  <c r="AC224" i="123"/>
  <c r="AE224" i="123" s="1"/>
  <c r="AF219" i="123"/>
  <c r="AD214" i="123"/>
  <c r="AD212" i="123"/>
  <c r="AF212" i="123" s="1"/>
  <c r="AC211" i="123"/>
  <c r="S204" i="123"/>
  <c r="T204" i="123" s="1"/>
  <c r="AD202" i="123"/>
  <c r="AD194" i="123"/>
  <c r="S188" i="123"/>
  <c r="T188" i="123" s="1"/>
  <c r="AD185" i="123"/>
  <c r="AE185" i="123" s="1"/>
  <c r="S185" i="123"/>
  <c r="AD182" i="123"/>
  <c r="AF182" i="123" s="1"/>
  <c r="AA177" i="123"/>
  <c r="AA176" i="123"/>
  <c r="Z176" i="123"/>
  <c r="Z172" i="123"/>
  <c r="AA163" i="123"/>
  <c r="S158" i="123"/>
  <c r="AD156" i="123"/>
  <c r="AF156" i="123" s="1"/>
  <c r="AA152" i="123"/>
  <c r="Z152" i="123"/>
  <c r="T151" i="123"/>
  <c r="Z147" i="123"/>
  <c r="AC144" i="123"/>
  <c r="AD144" i="123"/>
  <c r="Z135" i="123"/>
  <c r="AA135" i="123"/>
  <c r="AC128" i="123"/>
  <c r="AD128" i="123"/>
  <c r="AC117" i="123"/>
  <c r="AD117" i="123"/>
  <c r="AF117" i="123" s="1"/>
  <c r="AF114" i="123"/>
  <c r="AF282" i="123"/>
  <c r="AF258" i="123"/>
  <c r="AF246" i="123"/>
  <c r="AD232" i="123"/>
  <c r="AA225" i="123"/>
  <c r="AD213" i="123"/>
  <c r="AF213" i="123" s="1"/>
  <c r="AA198" i="123"/>
  <c r="Z198" i="123"/>
  <c r="AC190" i="123"/>
  <c r="AD190" i="123"/>
  <c r="AF190" i="123" s="1"/>
  <c r="AA180" i="123"/>
  <c r="S180" i="123"/>
  <c r="T180" i="123" s="1"/>
  <c r="AA170" i="123"/>
  <c r="AA154" i="123"/>
  <c r="AD152" i="123"/>
  <c r="AF152" i="123" s="1"/>
  <c r="AD147" i="123"/>
  <c r="AE147" i="123" s="1"/>
  <c r="AD145" i="123"/>
  <c r="AC145" i="123"/>
  <c r="S122" i="123"/>
  <c r="T122" i="123" s="1"/>
  <c r="AC98" i="123"/>
  <c r="AD98" i="123"/>
  <c r="AF98" i="123" s="1"/>
  <c r="S95" i="123"/>
  <c r="T95" i="123" s="1"/>
  <c r="T423" i="123"/>
  <c r="AF383" i="123"/>
  <c r="AF371" i="123"/>
  <c r="S363" i="123"/>
  <c r="T363" i="123" s="1"/>
  <c r="AF359" i="123"/>
  <c r="AF355" i="123"/>
  <c r="S351" i="123"/>
  <c r="T351" i="123" s="1"/>
  <c r="S347" i="123"/>
  <c r="T347" i="123" s="1"/>
  <c r="S331" i="123"/>
  <c r="T331" i="123" s="1"/>
  <c r="S314" i="123"/>
  <c r="T314" i="123" s="1"/>
  <c r="S283" i="123"/>
  <c r="S269" i="123"/>
  <c r="T260" i="123"/>
  <c r="S253" i="123"/>
  <c r="S245" i="123"/>
  <c r="AA230" i="123"/>
  <c r="AA224" i="123"/>
  <c r="AF215" i="123"/>
  <c r="Z214" i="123"/>
  <c r="S213" i="123"/>
  <c r="T213" i="123" s="1"/>
  <c r="AA211" i="123"/>
  <c r="AF207" i="123"/>
  <c r="AC203" i="123"/>
  <c r="AE203" i="123" s="1"/>
  <c r="Z202" i="123"/>
  <c r="Z192" i="123"/>
  <c r="Z190" i="123"/>
  <c r="AC187" i="123"/>
  <c r="Z186" i="123"/>
  <c r="AA185" i="123"/>
  <c r="AA182" i="123"/>
  <c r="Z182" i="123"/>
  <c r="AA181" i="123"/>
  <c r="AC177" i="123"/>
  <c r="AE177" i="123" s="1"/>
  <c r="S177" i="123"/>
  <c r="T177" i="123" s="1"/>
  <c r="AA174" i="123"/>
  <c r="AC167" i="123"/>
  <c r="AE167" i="123" s="1"/>
  <c r="AC163" i="123"/>
  <c r="AE163" i="123" s="1"/>
  <c r="S163" i="123"/>
  <c r="S162" i="123"/>
  <c r="T162" i="123" s="1"/>
  <c r="AD159" i="123"/>
  <c r="AF159" i="123" s="1"/>
  <c r="AC157" i="123"/>
  <c r="Z156" i="123"/>
  <c r="Z155" i="123"/>
  <c r="T155" i="123"/>
  <c r="AD151" i="123"/>
  <c r="AF151" i="123" s="1"/>
  <c r="AF138" i="123"/>
  <c r="AC133" i="123"/>
  <c r="AD133" i="123"/>
  <c r="AF133" i="123" s="1"/>
  <c r="Z116" i="123"/>
  <c r="AA116" i="123"/>
  <c r="T104" i="123"/>
  <c r="U104" i="123" s="1"/>
  <c r="AC101" i="123"/>
  <c r="AD101" i="123"/>
  <c r="S142" i="123"/>
  <c r="T142" i="123" s="1"/>
  <c r="S139" i="123"/>
  <c r="T139" i="123" s="1"/>
  <c r="V139" i="123" s="1"/>
  <c r="W139" i="123" s="1"/>
  <c r="S130" i="123"/>
  <c r="S126" i="123"/>
  <c r="S103" i="123"/>
  <c r="T103" i="123" s="1"/>
  <c r="AC97" i="123"/>
  <c r="AD97" i="123"/>
  <c r="AF97" i="123" s="1"/>
  <c r="Z92" i="123"/>
  <c r="AA92" i="123"/>
  <c r="S89" i="123"/>
  <c r="S78" i="123"/>
  <c r="Z74" i="123"/>
  <c r="AA74" i="123"/>
  <c r="AF139" i="123"/>
  <c r="S135" i="123"/>
  <c r="T135" i="123" s="1"/>
  <c r="AF126" i="123"/>
  <c r="Z125" i="123"/>
  <c r="AA123" i="123"/>
  <c r="AA119" i="123"/>
  <c r="Z100" i="123"/>
  <c r="AA100" i="123"/>
  <c r="AC94" i="123"/>
  <c r="AD94" i="123"/>
  <c r="AF94" i="123" s="1"/>
  <c r="S85" i="123"/>
  <c r="S80" i="123"/>
  <c r="T80" i="123" s="1"/>
  <c r="AF78" i="123"/>
  <c r="AF195" i="123"/>
  <c r="S192" i="123"/>
  <c r="AF173" i="123"/>
  <c r="AG173" i="123" s="1"/>
  <c r="S169" i="123"/>
  <c r="T169" i="123" s="1"/>
  <c r="V169" i="123" s="1"/>
  <c r="W169" i="123" s="1"/>
  <c r="AF153" i="123"/>
  <c r="S150" i="123"/>
  <c r="T150" i="123" s="1"/>
  <c r="S116" i="123"/>
  <c r="T116" i="123" s="1"/>
  <c r="AC102" i="123"/>
  <c r="AD102" i="123"/>
  <c r="AC93" i="123"/>
  <c r="AD93" i="123"/>
  <c r="AF93" i="123" s="1"/>
  <c r="Z77" i="123"/>
  <c r="AA77" i="123"/>
  <c r="S83" i="123"/>
  <c r="AF79" i="123"/>
  <c r="AF72" i="123"/>
  <c r="S72" i="123"/>
  <c r="S71" i="123"/>
  <c r="T71" i="123" s="1"/>
  <c r="Z70" i="123"/>
  <c r="AF67" i="123"/>
  <c r="Z66" i="123"/>
  <c r="AF63" i="123"/>
  <c r="AG63" i="123" s="1"/>
  <c r="AD60" i="123"/>
  <c r="AA49" i="123"/>
  <c r="AA47" i="123"/>
  <c r="AA45" i="123"/>
  <c r="AD32" i="123"/>
  <c r="AF32" i="123" s="1"/>
  <c r="AD31" i="123"/>
  <c r="AF31" i="123" s="1"/>
  <c r="AD22" i="123"/>
  <c r="AF22" i="123" s="1"/>
  <c r="AA21" i="123"/>
  <c r="S21" i="123"/>
  <c r="AA12" i="123"/>
  <c r="S100" i="123"/>
  <c r="T100" i="123" s="1"/>
  <c r="S91" i="123"/>
  <c r="AF87" i="123"/>
  <c r="S87" i="123"/>
  <c r="T87" i="123" s="1"/>
  <c r="U87" i="123" s="1"/>
  <c r="AF83" i="123"/>
  <c r="AC75" i="123"/>
  <c r="S74" i="123"/>
  <c r="AA72" i="123"/>
  <c r="AF71" i="123"/>
  <c r="Z62" i="123"/>
  <c r="S34" i="123"/>
  <c r="AF33" i="123"/>
  <c r="AD25" i="123"/>
  <c r="AF25" i="123" s="1"/>
  <c r="AG25" i="123" s="1"/>
  <c r="AF19" i="123"/>
  <c r="S15" i="123"/>
  <c r="AA8" i="123"/>
  <c r="T7" i="123"/>
  <c r="AD6" i="123"/>
  <c r="AE6" i="123" s="1"/>
  <c r="AA5" i="123"/>
  <c r="S26" i="123"/>
  <c r="T26" i="123" s="1"/>
  <c r="AF70" i="123"/>
  <c r="S67" i="123"/>
  <c r="T67" i="123" s="1"/>
  <c r="S56" i="123"/>
  <c r="T56" i="123" s="1"/>
  <c r="AF51" i="123"/>
  <c r="S51" i="123"/>
  <c r="T51" i="123" s="1"/>
  <c r="S47" i="123"/>
  <c r="T22" i="123"/>
  <c r="AF1445" i="123"/>
  <c r="AE1445" i="123"/>
  <c r="AE1609" i="123"/>
  <c r="AE1590" i="123"/>
  <c r="AE1582" i="123"/>
  <c r="AE1368" i="123"/>
  <c r="AF631" i="123"/>
  <c r="AG631" i="123" s="1"/>
  <c r="AE631" i="123"/>
  <c r="AF435" i="123"/>
  <c r="AE435" i="123"/>
  <c r="AF1721" i="123"/>
  <c r="AE1721" i="123"/>
  <c r="AE1402" i="123"/>
  <c r="AF1402" i="123"/>
  <c r="AG1402" i="123" s="1"/>
  <c r="AF163" i="123"/>
  <c r="AE1983" i="123"/>
  <c r="AE1967" i="123"/>
  <c r="AE1951" i="123"/>
  <c r="AE1935" i="123"/>
  <c r="AE1919" i="123"/>
  <c r="AE1915" i="123"/>
  <c r="AE1911" i="123"/>
  <c r="AE1907" i="123"/>
  <c r="AE1903" i="123"/>
  <c r="AE1899" i="123"/>
  <c r="AE1895" i="123"/>
  <c r="AE1887" i="123"/>
  <c r="AE1883" i="123"/>
  <c r="AE1879" i="123"/>
  <c r="AE1868" i="123"/>
  <c r="AE1852" i="123"/>
  <c r="AE1836" i="123"/>
  <c r="AE1812" i="123"/>
  <c r="AE1808" i="123"/>
  <c r="AE1755" i="123"/>
  <c r="AE1751" i="123"/>
  <c r="AE1747" i="123"/>
  <c r="AE1743" i="123"/>
  <c r="AE1739" i="123"/>
  <c r="AE1735" i="123"/>
  <c r="AE1664" i="123"/>
  <c r="AE1630" i="123"/>
  <c r="AE1610" i="123"/>
  <c r="AE1552" i="123"/>
  <c r="AE1546" i="123"/>
  <c r="AF1546" i="123"/>
  <c r="AI1546" i="123" s="1"/>
  <c r="AE1507" i="123"/>
  <c r="AE1433" i="123"/>
  <c r="AE1775" i="123"/>
  <c r="AE1554" i="123"/>
  <c r="AF1554" i="123"/>
  <c r="AG1554" i="123" s="1"/>
  <c r="AE1536" i="123"/>
  <c r="AF193" i="123"/>
  <c r="AE193" i="123"/>
  <c r="AE1701" i="123"/>
  <c r="AE1641" i="123"/>
  <c r="AE1602" i="123"/>
  <c r="AE1365" i="123"/>
  <c r="AF1318" i="123"/>
  <c r="AH1318" i="123" s="1"/>
  <c r="AF1252" i="123"/>
  <c r="AG1252" i="123" s="1"/>
  <c r="AE1252" i="123"/>
  <c r="AF1232" i="123"/>
  <c r="AG1232" i="123" s="1"/>
  <c r="AE1232" i="123"/>
  <c r="AF935" i="123"/>
  <c r="AG935" i="123" s="1"/>
  <c r="AE935" i="123"/>
  <c r="AE801" i="123"/>
  <c r="AE785" i="123"/>
  <c r="AE1306" i="123"/>
  <c r="AF1224" i="123"/>
  <c r="AG1224" i="123" s="1"/>
  <c r="AE1224" i="123"/>
  <c r="AE695" i="123"/>
  <c r="AF197" i="123"/>
  <c r="AE197" i="123"/>
  <c r="AF181" i="123"/>
  <c r="AE181" i="123"/>
  <c r="AE1425" i="123"/>
  <c r="AE1412" i="123"/>
  <c r="AE1401" i="123"/>
  <c r="AE1360" i="123"/>
  <c r="AE1334" i="123"/>
  <c r="AE917" i="123"/>
  <c r="AF599" i="123"/>
  <c r="AG599" i="123" s="1"/>
  <c r="AE577" i="123"/>
  <c r="AE1266" i="123"/>
  <c r="AE1254" i="123"/>
  <c r="AE1249" i="123"/>
  <c r="AE1210" i="123"/>
  <c r="AE1170" i="123"/>
  <c r="AE1158" i="123"/>
  <c r="AE1046" i="123"/>
  <c r="AE580" i="123"/>
  <c r="AE19" i="123"/>
  <c r="AE1011" i="123"/>
  <c r="AE1003" i="123"/>
  <c r="AE999" i="123"/>
  <c r="AE983" i="123"/>
  <c r="AE975" i="123"/>
  <c r="AE971" i="123"/>
  <c r="AE967" i="123"/>
  <c r="AE963" i="123"/>
  <c r="AE959" i="123"/>
  <c r="AE955" i="123"/>
  <c r="AE951" i="123"/>
  <c r="AE265" i="123"/>
  <c r="AE249" i="123"/>
  <c r="AE241" i="123"/>
  <c r="U1995" i="123"/>
  <c r="V1995" i="123"/>
  <c r="W1995" i="123"/>
  <c r="AN1995" i="123" s="1"/>
  <c r="U1986" i="123"/>
  <c r="V1986" i="123"/>
  <c r="W1986" i="123"/>
  <c r="AN1986" i="123" s="1"/>
  <c r="U1994" i="123"/>
  <c r="V1994" i="123"/>
  <c r="W1994" i="123"/>
  <c r="AN1994" i="123" s="1"/>
  <c r="U1987" i="123"/>
  <c r="V1987" i="123"/>
  <c r="W1987" i="123"/>
  <c r="AN1987" i="123" s="1"/>
  <c r="U1978" i="123"/>
  <c r="V1978" i="123"/>
  <c r="W1978" i="123"/>
  <c r="AN1978" i="123" s="1"/>
  <c r="U1971" i="123"/>
  <c r="V1971" i="123"/>
  <c r="W1971" i="123"/>
  <c r="AN1971" i="123" s="1"/>
  <c r="U1962" i="123"/>
  <c r="V1962" i="123"/>
  <c r="W1962" i="123"/>
  <c r="AN1962" i="123" s="1"/>
  <c r="U1955" i="123"/>
  <c r="V1955" i="123"/>
  <c r="W1955" i="123"/>
  <c r="AN1955" i="123" s="1"/>
  <c r="U1946" i="123"/>
  <c r="V1946" i="123"/>
  <c r="W1946" i="123"/>
  <c r="AN1946" i="123" s="1"/>
  <c r="U1939" i="123"/>
  <c r="V1939" i="123"/>
  <c r="W1939" i="123"/>
  <c r="AN1939" i="123" s="1"/>
  <c r="U1930" i="123"/>
  <c r="V1930" i="123"/>
  <c r="W1930" i="123"/>
  <c r="AN1930" i="123" s="1"/>
  <c r="U1923" i="123"/>
  <c r="V1923" i="123"/>
  <c r="W1923" i="123"/>
  <c r="AN1923" i="123" s="1"/>
  <c r="AR1918" i="123"/>
  <c r="AS1918" i="123" s="1"/>
  <c r="AR1914" i="123"/>
  <c r="AS1914" i="123" s="1"/>
  <c r="AR1910" i="123"/>
  <c r="AS1910" i="123" s="1"/>
  <c r="AR1906" i="123"/>
  <c r="AS1906" i="123" s="1"/>
  <c r="AR1902" i="123"/>
  <c r="AS1902" i="123" s="1"/>
  <c r="AR1898" i="123"/>
  <c r="AS1898" i="123" s="1"/>
  <c r="AR1894" i="123"/>
  <c r="AS1894" i="123" s="1"/>
  <c r="AR1890" i="123"/>
  <c r="AS1890" i="123" s="1"/>
  <c r="AR1886" i="123"/>
  <c r="AS1886" i="123" s="1"/>
  <c r="AR1882" i="123"/>
  <c r="AS1882" i="123" s="1"/>
  <c r="AR1877" i="123"/>
  <c r="AS1877" i="123" s="1"/>
  <c r="U1970" i="123"/>
  <c r="V1970" i="123"/>
  <c r="W1970" i="123"/>
  <c r="AN1970" i="123" s="1"/>
  <c r="U1999" i="123"/>
  <c r="V1999" i="123"/>
  <c r="W1999" i="123"/>
  <c r="AN1999" i="123" s="1"/>
  <c r="U1998" i="123"/>
  <c r="V1998" i="123"/>
  <c r="W1998" i="123"/>
  <c r="AN1998" i="123" s="1"/>
  <c r="U1990" i="123"/>
  <c r="V1990" i="123"/>
  <c r="W1990" i="123"/>
  <c r="AN1990" i="123" s="1"/>
  <c r="AR1987" i="123"/>
  <c r="AS1987" i="123" s="1"/>
  <c r="U1983" i="123"/>
  <c r="V1983" i="123"/>
  <c r="W1983" i="123"/>
  <c r="AN1983" i="123" s="1"/>
  <c r="U1974" i="123"/>
  <c r="V1974" i="123"/>
  <c r="W1974" i="123"/>
  <c r="AN1974" i="123" s="1"/>
  <c r="AR1971" i="123"/>
  <c r="AS1971" i="123" s="1"/>
  <c r="U1967" i="123"/>
  <c r="V1967" i="123"/>
  <c r="W1967" i="123"/>
  <c r="AN1967" i="123" s="1"/>
  <c r="U1958" i="123"/>
  <c r="V1958" i="123"/>
  <c r="W1958" i="123"/>
  <c r="AN1958" i="123" s="1"/>
  <c r="AR1955" i="123"/>
  <c r="AS1955" i="123" s="1"/>
  <c r="U1951" i="123"/>
  <c r="V1951" i="123"/>
  <c r="W1951" i="123"/>
  <c r="AN1951" i="123" s="1"/>
  <c r="U1942" i="123"/>
  <c r="V1942" i="123"/>
  <c r="W1942" i="123"/>
  <c r="AN1942" i="123" s="1"/>
  <c r="AR1939" i="123"/>
  <c r="AS1939" i="123" s="1"/>
  <c r="U1935" i="123"/>
  <c r="V1935" i="123"/>
  <c r="W1935" i="123"/>
  <c r="AN1935" i="123" s="1"/>
  <c r="U1926" i="123"/>
  <c r="V1926" i="123"/>
  <c r="W1926" i="123"/>
  <c r="AN1926" i="123" s="1"/>
  <c r="AR1923" i="123"/>
  <c r="AS1923" i="123" s="1"/>
  <c r="U1979" i="123"/>
  <c r="V1979" i="123"/>
  <c r="W1979" i="123"/>
  <c r="AN1979" i="123" s="1"/>
  <c r="U1963" i="123"/>
  <c r="V1963" i="123"/>
  <c r="W1963" i="123"/>
  <c r="AN1963" i="123" s="1"/>
  <c r="U1954" i="123"/>
  <c r="V1954" i="123"/>
  <c r="W1954" i="123"/>
  <c r="AN1954" i="123" s="1"/>
  <c r="U1947" i="123"/>
  <c r="V1947" i="123"/>
  <c r="W1947" i="123"/>
  <c r="AN1947" i="123" s="1"/>
  <c r="U1938" i="123"/>
  <c r="V1938" i="123"/>
  <c r="W1938" i="123"/>
  <c r="AN1938" i="123" s="1"/>
  <c r="U1931" i="123"/>
  <c r="V1931" i="123"/>
  <c r="W1931" i="123"/>
  <c r="AN1931" i="123" s="1"/>
  <c r="U1922" i="123"/>
  <c r="V1922" i="123"/>
  <c r="W1922" i="123"/>
  <c r="AN1922" i="123" s="1"/>
  <c r="U1919" i="123"/>
  <c r="V1919" i="123"/>
  <c r="W1919" i="123"/>
  <c r="AN1919" i="123" s="1"/>
  <c r="U1918" i="123"/>
  <c r="V1918" i="123"/>
  <c r="W1918" i="123"/>
  <c r="AN1918" i="123" s="1"/>
  <c r="U1915" i="123"/>
  <c r="V1915" i="123"/>
  <c r="W1915" i="123"/>
  <c r="AN1915" i="123" s="1"/>
  <c r="U1914" i="123"/>
  <c r="V1914" i="123"/>
  <c r="W1914" i="123"/>
  <c r="AN1914" i="123" s="1"/>
  <c r="U1911" i="123"/>
  <c r="V1911" i="123"/>
  <c r="W1911" i="123"/>
  <c r="AN1911" i="123" s="1"/>
  <c r="U1910" i="123"/>
  <c r="V1910" i="123"/>
  <c r="W1910" i="123"/>
  <c r="AN1910" i="123" s="1"/>
  <c r="U1907" i="123"/>
  <c r="V1907" i="123"/>
  <c r="W1907" i="123"/>
  <c r="AN1907" i="123" s="1"/>
  <c r="U1906" i="123"/>
  <c r="V1906" i="123"/>
  <c r="W1906" i="123"/>
  <c r="AN1906" i="123" s="1"/>
  <c r="U1903" i="123"/>
  <c r="V1903" i="123"/>
  <c r="W1903" i="123"/>
  <c r="AN1903" i="123" s="1"/>
  <c r="U1902" i="123"/>
  <c r="V1902" i="123"/>
  <c r="W1902" i="123"/>
  <c r="AN1902" i="123" s="1"/>
  <c r="U1899" i="123"/>
  <c r="V1899" i="123"/>
  <c r="W1899" i="123"/>
  <c r="AN1899" i="123" s="1"/>
  <c r="U1898" i="123"/>
  <c r="V1898" i="123"/>
  <c r="W1898" i="123"/>
  <c r="AN1898" i="123" s="1"/>
  <c r="U1895" i="123"/>
  <c r="V1895" i="123"/>
  <c r="W1895" i="123"/>
  <c r="AN1895" i="123" s="1"/>
  <c r="U1894" i="123"/>
  <c r="V1894" i="123"/>
  <c r="W1894" i="123"/>
  <c r="AN1894" i="123" s="1"/>
  <c r="U1891" i="123"/>
  <c r="V1891" i="123"/>
  <c r="W1891" i="123"/>
  <c r="AN1891" i="123" s="1"/>
  <c r="U1890" i="123"/>
  <c r="V1890" i="123"/>
  <c r="W1890" i="123"/>
  <c r="AN1890" i="123" s="1"/>
  <c r="U1887" i="123"/>
  <c r="V1887" i="123"/>
  <c r="W1887" i="123"/>
  <c r="AN1887" i="123" s="1"/>
  <c r="U1886" i="123"/>
  <c r="V1886" i="123"/>
  <c r="W1886" i="123"/>
  <c r="AN1886" i="123" s="1"/>
  <c r="U1883" i="123"/>
  <c r="V1883" i="123"/>
  <c r="W1883" i="123"/>
  <c r="AN1883" i="123" s="1"/>
  <c r="U1882" i="123"/>
  <c r="V1882" i="123"/>
  <c r="W1882" i="123"/>
  <c r="AN1882" i="123" s="1"/>
  <c r="U1879" i="123"/>
  <c r="V1879" i="123"/>
  <c r="W1879" i="123"/>
  <c r="AN1879" i="123" s="1"/>
  <c r="W1877" i="123"/>
  <c r="AN1877" i="123" s="1"/>
  <c r="U1877" i="123"/>
  <c r="V1877" i="123"/>
  <c r="AF1996" i="123"/>
  <c r="AR1995" i="123"/>
  <c r="AS1995" i="123" s="1"/>
  <c r="U1991" i="123"/>
  <c r="V1991" i="123"/>
  <c r="W1991" i="123"/>
  <c r="AN1991" i="123" s="1"/>
  <c r="U1982" i="123"/>
  <c r="V1982" i="123"/>
  <c r="W1982" i="123"/>
  <c r="AN1982" i="123" s="1"/>
  <c r="AR1979" i="123"/>
  <c r="AS1979" i="123" s="1"/>
  <c r="U1975" i="123"/>
  <c r="V1975" i="123"/>
  <c r="W1975" i="123"/>
  <c r="AN1975" i="123" s="1"/>
  <c r="U1966" i="123"/>
  <c r="V1966" i="123"/>
  <c r="W1966" i="123"/>
  <c r="AN1966" i="123" s="1"/>
  <c r="U1959" i="123"/>
  <c r="V1959" i="123"/>
  <c r="W1959" i="123"/>
  <c r="AN1959" i="123" s="1"/>
  <c r="U1950" i="123"/>
  <c r="V1950" i="123"/>
  <c r="W1950" i="123"/>
  <c r="AN1950" i="123" s="1"/>
  <c r="AR1947" i="123"/>
  <c r="AS1947" i="123" s="1"/>
  <c r="U1943" i="123"/>
  <c r="V1943" i="123"/>
  <c r="W1943" i="123"/>
  <c r="AN1943" i="123" s="1"/>
  <c r="U1934" i="123"/>
  <c r="V1934" i="123"/>
  <c r="W1934" i="123"/>
  <c r="AN1934" i="123" s="1"/>
  <c r="AR1931" i="123"/>
  <c r="AS1931" i="123" s="1"/>
  <c r="U1927" i="123"/>
  <c r="V1927" i="123"/>
  <c r="W1927" i="123"/>
  <c r="AN1927" i="123" s="1"/>
  <c r="W1997" i="123"/>
  <c r="AN1997" i="123" s="1"/>
  <c r="AC1997" i="123"/>
  <c r="AE1997" i="123" s="1"/>
  <c r="U1997" i="123"/>
  <c r="Z1996" i="123"/>
  <c r="V1996" i="123"/>
  <c r="AA1995" i="123"/>
  <c r="AC1993" i="123"/>
  <c r="AE1993" i="123" s="1"/>
  <c r="U1993" i="123"/>
  <c r="AD1992" i="123"/>
  <c r="AF1992" i="123" s="1"/>
  <c r="Z1992" i="123"/>
  <c r="V1992" i="123"/>
  <c r="AA1991" i="123"/>
  <c r="AC1989" i="123"/>
  <c r="AE1989" i="123" s="1"/>
  <c r="U1989" i="123"/>
  <c r="AD1988" i="123"/>
  <c r="AF1988" i="123" s="1"/>
  <c r="Z1988" i="123"/>
  <c r="V1988" i="123"/>
  <c r="AA1987" i="123"/>
  <c r="AC1985" i="123"/>
  <c r="AE1985" i="123" s="1"/>
  <c r="U1985" i="123"/>
  <c r="AD1984" i="123"/>
  <c r="AF1984" i="123" s="1"/>
  <c r="Z1984" i="123"/>
  <c r="V1984" i="123"/>
  <c r="AA1983" i="123"/>
  <c r="AF1983" i="123" s="1"/>
  <c r="AC1981" i="123"/>
  <c r="AE1981" i="123" s="1"/>
  <c r="U1981" i="123"/>
  <c r="AD1980" i="123"/>
  <c r="AF1980" i="123" s="1"/>
  <c r="Z1980" i="123"/>
  <c r="V1980" i="123"/>
  <c r="AA1979" i="123"/>
  <c r="AC1977" i="123"/>
  <c r="AE1977" i="123" s="1"/>
  <c r="U1977" i="123"/>
  <c r="AD1976" i="123"/>
  <c r="AF1976" i="123" s="1"/>
  <c r="Z1976" i="123"/>
  <c r="V1976" i="123"/>
  <c r="AA1975" i="123"/>
  <c r="AC1973" i="123"/>
  <c r="AE1973" i="123" s="1"/>
  <c r="U1973" i="123"/>
  <c r="AD1972" i="123"/>
  <c r="AF1972" i="123" s="1"/>
  <c r="Z1972" i="123"/>
  <c r="V1972" i="123"/>
  <c r="AA1971" i="123"/>
  <c r="AC1969" i="123"/>
  <c r="AE1969" i="123" s="1"/>
  <c r="U1969" i="123"/>
  <c r="AD1968" i="123"/>
  <c r="AF1968" i="123" s="1"/>
  <c r="Z1968" i="123"/>
  <c r="V1968" i="123"/>
  <c r="AA1967" i="123"/>
  <c r="AF1967" i="123" s="1"/>
  <c r="AC1965" i="123"/>
  <c r="AE1965" i="123" s="1"/>
  <c r="U1965" i="123"/>
  <c r="AD1964" i="123"/>
  <c r="AF1964" i="123" s="1"/>
  <c r="Z1964" i="123"/>
  <c r="V1964" i="123"/>
  <c r="AA1963" i="123"/>
  <c r="AC1961" i="123"/>
  <c r="AE1961" i="123" s="1"/>
  <c r="U1961" i="123"/>
  <c r="AD1960" i="123"/>
  <c r="AF1960" i="123" s="1"/>
  <c r="Z1960" i="123"/>
  <c r="V1960" i="123"/>
  <c r="AA1959" i="123"/>
  <c r="AC1957" i="123"/>
  <c r="AE1957" i="123" s="1"/>
  <c r="U1957" i="123"/>
  <c r="AD1956" i="123"/>
  <c r="AF1956" i="123" s="1"/>
  <c r="Z1956" i="123"/>
  <c r="V1956" i="123"/>
  <c r="AA1955" i="123"/>
  <c r="AC1953" i="123"/>
  <c r="AE1953" i="123" s="1"/>
  <c r="U1953" i="123"/>
  <c r="AD1952" i="123"/>
  <c r="AF1952" i="123" s="1"/>
  <c r="Z1952" i="123"/>
  <c r="V1952" i="123"/>
  <c r="AA1951" i="123"/>
  <c r="AF1951" i="123" s="1"/>
  <c r="AC1949" i="123"/>
  <c r="AE1949" i="123" s="1"/>
  <c r="U1949" i="123"/>
  <c r="AD1948" i="123"/>
  <c r="AF1948" i="123" s="1"/>
  <c r="Z1948" i="123"/>
  <c r="V1948" i="123"/>
  <c r="AA1947" i="123"/>
  <c r="AF1947" i="123" s="1"/>
  <c r="AC1945" i="123"/>
  <c r="AE1945" i="123" s="1"/>
  <c r="U1945" i="123"/>
  <c r="AD1944" i="123"/>
  <c r="AF1944" i="123" s="1"/>
  <c r="Z1944" i="123"/>
  <c r="V1944" i="123"/>
  <c r="AA1943" i="123"/>
  <c r="AC1941" i="123"/>
  <c r="AE1941" i="123" s="1"/>
  <c r="U1941" i="123"/>
  <c r="AD1940" i="123"/>
  <c r="AF1940" i="123" s="1"/>
  <c r="Z1940" i="123"/>
  <c r="V1940" i="123"/>
  <c r="AA1939" i="123"/>
  <c r="AC1937" i="123"/>
  <c r="AE1937" i="123" s="1"/>
  <c r="U1937" i="123"/>
  <c r="AD1936" i="123"/>
  <c r="AF1936" i="123" s="1"/>
  <c r="Z1936" i="123"/>
  <c r="V1936" i="123"/>
  <c r="AA1935" i="123"/>
  <c r="AF1935" i="123" s="1"/>
  <c r="AC1933" i="123"/>
  <c r="AE1933" i="123" s="1"/>
  <c r="U1933" i="123"/>
  <c r="AD1932" i="123"/>
  <c r="AF1932" i="123" s="1"/>
  <c r="Z1932" i="123"/>
  <c r="V1932" i="123"/>
  <c r="AA1931" i="123"/>
  <c r="AC1929" i="123"/>
  <c r="AE1929" i="123" s="1"/>
  <c r="U1929" i="123"/>
  <c r="AD1928" i="123"/>
  <c r="AF1928" i="123" s="1"/>
  <c r="Z1928" i="123"/>
  <c r="V1928" i="123"/>
  <c r="AA1927" i="123"/>
  <c r="AC1925" i="123"/>
  <c r="AE1925" i="123" s="1"/>
  <c r="U1925" i="123"/>
  <c r="AD1924" i="123"/>
  <c r="AF1924" i="123" s="1"/>
  <c r="Z1924" i="123"/>
  <c r="V1924" i="123"/>
  <c r="AA1923" i="123"/>
  <c r="AC1921" i="123"/>
  <c r="AE1921" i="123" s="1"/>
  <c r="U1921" i="123"/>
  <c r="AD1920" i="123"/>
  <c r="AF1920" i="123" s="1"/>
  <c r="Z1920" i="123"/>
  <c r="V1920" i="123"/>
  <c r="AC1917" i="123"/>
  <c r="AE1917" i="123" s="1"/>
  <c r="U1917" i="123"/>
  <c r="AD1916" i="123"/>
  <c r="AF1916" i="123" s="1"/>
  <c r="Z1916" i="123"/>
  <c r="V1916" i="123"/>
  <c r="AC1913" i="123"/>
  <c r="AE1913" i="123" s="1"/>
  <c r="U1913" i="123"/>
  <c r="AD1912" i="123"/>
  <c r="AF1912" i="123" s="1"/>
  <c r="Z1912" i="123"/>
  <c r="V1912" i="123"/>
  <c r="AC1909" i="123"/>
  <c r="AE1909" i="123" s="1"/>
  <c r="U1909" i="123"/>
  <c r="AD1908" i="123"/>
  <c r="AF1908" i="123" s="1"/>
  <c r="Z1908" i="123"/>
  <c r="V1908" i="123"/>
  <c r="AC1905" i="123"/>
  <c r="AE1905" i="123" s="1"/>
  <c r="U1905" i="123"/>
  <c r="AD1904" i="123"/>
  <c r="AF1904" i="123" s="1"/>
  <c r="Z1904" i="123"/>
  <c r="V1904" i="123"/>
  <c r="AC1901" i="123"/>
  <c r="AE1901" i="123" s="1"/>
  <c r="U1901" i="123"/>
  <c r="AD1900" i="123"/>
  <c r="AF1900" i="123" s="1"/>
  <c r="Z1900" i="123"/>
  <c r="V1900" i="123"/>
  <c r="AC1897" i="123"/>
  <c r="AE1897" i="123" s="1"/>
  <c r="U1897" i="123"/>
  <c r="AD1896" i="123"/>
  <c r="AF1896" i="123" s="1"/>
  <c r="Z1896" i="123"/>
  <c r="V1896" i="123"/>
  <c r="AC1893" i="123"/>
  <c r="AE1893" i="123" s="1"/>
  <c r="U1893" i="123"/>
  <c r="AD1892" i="123"/>
  <c r="AF1892" i="123" s="1"/>
  <c r="Z1892" i="123"/>
  <c r="V1892" i="123"/>
  <c r="AC1889" i="123"/>
  <c r="AE1889" i="123" s="1"/>
  <c r="U1889" i="123"/>
  <c r="AD1888" i="123"/>
  <c r="AF1888" i="123" s="1"/>
  <c r="Z1888" i="123"/>
  <c r="V1888" i="123"/>
  <c r="AC1885" i="123"/>
  <c r="AE1885" i="123" s="1"/>
  <c r="U1885" i="123"/>
  <c r="AD1884" i="123"/>
  <c r="AF1884" i="123" s="1"/>
  <c r="Z1884" i="123"/>
  <c r="V1884" i="123"/>
  <c r="AC1881" i="123"/>
  <c r="AE1881" i="123" s="1"/>
  <c r="U1881" i="123"/>
  <c r="AD1880" i="123"/>
  <c r="AF1880" i="123" s="1"/>
  <c r="Z1880" i="123"/>
  <c r="V1880" i="123"/>
  <c r="AC1877" i="123"/>
  <c r="AE1877" i="123" s="1"/>
  <c r="U1876" i="123"/>
  <c r="V1875" i="123"/>
  <c r="W1874" i="123"/>
  <c r="AN1874" i="123" s="1"/>
  <c r="AR1872" i="123"/>
  <c r="AS1872" i="123" s="1"/>
  <c r="AR1871" i="123"/>
  <c r="AS1871" i="123" s="1"/>
  <c r="AE1870" i="123"/>
  <c r="AC1869" i="123"/>
  <c r="AD1869" i="123"/>
  <c r="AF1869" i="123" s="1"/>
  <c r="W1869" i="123"/>
  <c r="AN1869" i="123" s="1"/>
  <c r="U1869" i="123"/>
  <c r="V1869" i="123"/>
  <c r="U1864" i="123"/>
  <c r="V1864" i="123"/>
  <c r="W1864" i="123"/>
  <c r="AN1864" i="123" s="1"/>
  <c r="AE1862" i="123"/>
  <c r="AF1862" i="123"/>
  <c r="U1855" i="123"/>
  <c r="V1855" i="123"/>
  <c r="W1855" i="123"/>
  <c r="AN1855" i="123" s="1"/>
  <c r="U1848" i="123"/>
  <c r="V1848" i="123"/>
  <c r="W1848" i="123"/>
  <c r="AN1848" i="123" s="1"/>
  <c r="AE1846" i="123"/>
  <c r="U1839" i="123"/>
  <c r="V1839" i="123"/>
  <c r="W1839" i="123"/>
  <c r="AN1839" i="123" s="1"/>
  <c r="U1832" i="123"/>
  <c r="V1832" i="123"/>
  <c r="W1832" i="123"/>
  <c r="AN1832" i="123" s="1"/>
  <c r="AE1830" i="123"/>
  <c r="AF1830" i="123"/>
  <c r="U1823" i="123"/>
  <c r="V1823" i="123"/>
  <c r="W1823" i="123"/>
  <c r="AN1823" i="123" s="1"/>
  <c r="U1816" i="123"/>
  <c r="V1816" i="123"/>
  <c r="W1816" i="123"/>
  <c r="AN1816" i="123" s="1"/>
  <c r="U1812" i="123"/>
  <c r="V1812" i="123"/>
  <c r="W1812" i="123"/>
  <c r="AN1812" i="123" s="1"/>
  <c r="U1808" i="123"/>
  <c r="V1808" i="123"/>
  <c r="W1808" i="123"/>
  <c r="AN1808" i="123" s="1"/>
  <c r="U1804" i="123"/>
  <c r="V1804" i="123"/>
  <c r="W1804" i="123"/>
  <c r="AN1804" i="123" s="1"/>
  <c r="U1800" i="123"/>
  <c r="V1800" i="123"/>
  <c r="W1800" i="123"/>
  <c r="AN1800" i="123" s="1"/>
  <c r="U1796" i="123"/>
  <c r="V1796" i="123"/>
  <c r="W1796" i="123"/>
  <c r="AN1796" i="123" s="1"/>
  <c r="U1792" i="123"/>
  <c r="V1792" i="123"/>
  <c r="W1792" i="123"/>
  <c r="AN1792" i="123" s="1"/>
  <c r="U1788" i="123"/>
  <c r="V1788" i="123"/>
  <c r="W1788" i="123"/>
  <c r="AN1788" i="123" s="1"/>
  <c r="U1784" i="123"/>
  <c r="V1784" i="123"/>
  <c r="W1784" i="123"/>
  <c r="AN1784" i="123" s="1"/>
  <c r="U1780" i="123"/>
  <c r="V1780" i="123"/>
  <c r="W1780" i="123"/>
  <c r="AN1780" i="123" s="1"/>
  <c r="U1772" i="123"/>
  <c r="V1772" i="123"/>
  <c r="W1772" i="123"/>
  <c r="AN1772" i="123" s="1"/>
  <c r="U1768" i="123"/>
  <c r="W1768" i="123"/>
  <c r="AN1768" i="123" s="1"/>
  <c r="V1768" i="123"/>
  <c r="U1992" i="123"/>
  <c r="U1988" i="123"/>
  <c r="U1984" i="123"/>
  <c r="U1980" i="123"/>
  <c r="U1976" i="123"/>
  <c r="U1972" i="123"/>
  <c r="U1968" i="123"/>
  <c r="U1964" i="123"/>
  <c r="U1960" i="123"/>
  <c r="U1956" i="123"/>
  <c r="U1952" i="123"/>
  <c r="U1948" i="123"/>
  <c r="U1944" i="123"/>
  <c r="U1940" i="123"/>
  <c r="U1936" i="123"/>
  <c r="U1932" i="123"/>
  <c r="U1928" i="123"/>
  <c r="U1924" i="123"/>
  <c r="U1920" i="123"/>
  <c r="U1916" i="123"/>
  <c r="U1912" i="123"/>
  <c r="U1908" i="123"/>
  <c r="U1904" i="123"/>
  <c r="U1900" i="123"/>
  <c r="U1896" i="123"/>
  <c r="U1892" i="123"/>
  <c r="U1888" i="123"/>
  <c r="U1884" i="123"/>
  <c r="U1880" i="123"/>
  <c r="AD1875" i="123"/>
  <c r="AF1875" i="123" s="1"/>
  <c r="AA1874" i="123"/>
  <c r="AF1874" i="123" s="1"/>
  <c r="U1874" i="123"/>
  <c r="AQ1869" i="123"/>
  <c r="AR1869" i="123" s="1"/>
  <c r="AS1869" i="123" s="1"/>
  <c r="U1868" i="123"/>
  <c r="V1868" i="123"/>
  <c r="W1868" i="123"/>
  <c r="AN1868" i="123" s="1"/>
  <c r="AE1866" i="123"/>
  <c r="AF1866" i="123"/>
  <c r="U1859" i="123"/>
  <c r="V1859" i="123"/>
  <c r="W1859" i="123"/>
  <c r="AN1859" i="123" s="1"/>
  <c r="U1852" i="123"/>
  <c r="V1852" i="123"/>
  <c r="W1852" i="123"/>
  <c r="AN1852" i="123" s="1"/>
  <c r="AE1850" i="123"/>
  <c r="AF1850" i="123"/>
  <c r="U1843" i="123"/>
  <c r="V1843" i="123"/>
  <c r="W1843" i="123"/>
  <c r="AN1843" i="123" s="1"/>
  <c r="U1836" i="123"/>
  <c r="V1836" i="123"/>
  <c r="W1836" i="123"/>
  <c r="AN1836" i="123" s="1"/>
  <c r="AE1834" i="123"/>
  <c r="AF1834" i="123"/>
  <c r="U1827" i="123"/>
  <c r="V1827" i="123"/>
  <c r="W1827" i="123"/>
  <c r="AN1827" i="123" s="1"/>
  <c r="U1820" i="123"/>
  <c r="V1820" i="123"/>
  <c r="W1820" i="123"/>
  <c r="AN1820" i="123" s="1"/>
  <c r="AE1818" i="123"/>
  <c r="AF1818" i="123"/>
  <c r="W1774" i="123"/>
  <c r="AN1774" i="123" s="1"/>
  <c r="U1774" i="123"/>
  <c r="V1774" i="123"/>
  <c r="W1993" i="123"/>
  <c r="AN1993" i="123" s="1"/>
  <c r="W1989" i="123"/>
  <c r="AN1989" i="123" s="1"/>
  <c r="W1985" i="123"/>
  <c r="AN1985" i="123" s="1"/>
  <c r="W1981" i="123"/>
  <c r="AN1981" i="123" s="1"/>
  <c r="W1977" i="123"/>
  <c r="AN1977" i="123" s="1"/>
  <c r="W1973" i="123"/>
  <c r="AN1973" i="123" s="1"/>
  <c r="W1969" i="123"/>
  <c r="AN1969" i="123" s="1"/>
  <c r="W1965" i="123"/>
  <c r="AN1965" i="123" s="1"/>
  <c r="W1961" i="123"/>
  <c r="AN1961" i="123" s="1"/>
  <c r="W1957" i="123"/>
  <c r="AN1957" i="123" s="1"/>
  <c r="W1953" i="123"/>
  <c r="AN1953" i="123" s="1"/>
  <c r="W1949" i="123"/>
  <c r="AN1949" i="123" s="1"/>
  <c r="W1945" i="123"/>
  <c r="AN1945" i="123" s="1"/>
  <c r="W1941" i="123"/>
  <c r="AN1941" i="123" s="1"/>
  <c r="W1937" i="123"/>
  <c r="AN1937" i="123" s="1"/>
  <c r="W1933" i="123"/>
  <c r="AN1933" i="123" s="1"/>
  <c r="W1929" i="123"/>
  <c r="AN1929" i="123" s="1"/>
  <c r="W1921" i="123"/>
  <c r="AN1921" i="123" s="1"/>
  <c r="W1917" i="123"/>
  <c r="AN1917" i="123" s="1"/>
  <c r="W1913" i="123"/>
  <c r="AN1913" i="123" s="1"/>
  <c r="W1909" i="123"/>
  <c r="AN1909" i="123" s="1"/>
  <c r="W1905" i="123"/>
  <c r="AN1905" i="123" s="1"/>
  <c r="W1901" i="123"/>
  <c r="AN1901" i="123" s="1"/>
  <c r="W1897" i="123"/>
  <c r="AN1897" i="123" s="1"/>
  <c r="W1893" i="123"/>
  <c r="AN1893" i="123" s="1"/>
  <c r="W1889" i="123"/>
  <c r="AN1889" i="123" s="1"/>
  <c r="W1885" i="123"/>
  <c r="AN1885" i="123" s="1"/>
  <c r="W1881" i="123"/>
  <c r="AN1881" i="123" s="1"/>
  <c r="Z1872" i="123"/>
  <c r="AA1872" i="123"/>
  <c r="V1872" i="123"/>
  <c r="W1872" i="123"/>
  <c r="AN1872" i="123" s="1"/>
  <c r="U1871" i="123"/>
  <c r="W1871" i="123"/>
  <c r="AN1871" i="123" s="1"/>
  <c r="U1863" i="123"/>
  <c r="V1863" i="123"/>
  <c r="W1863" i="123"/>
  <c r="AN1863" i="123" s="1"/>
  <c r="U1856" i="123"/>
  <c r="V1856" i="123"/>
  <c r="W1856" i="123"/>
  <c r="AN1856" i="123" s="1"/>
  <c r="AE1854" i="123"/>
  <c r="AF1854" i="123"/>
  <c r="U1847" i="123"/>
  <c r="V1847" i="123"/>
  <c r="W1847" i="123"/>
  <c r="AN1847" i="123" s="1"/>
  <c r="U1840" i="123"/>
  <c r="V1840" i="123"/>
  <c r="W1840" i="123"/>
  <c r="AN1840" i="123" s="1"/>
  <c r="AE1838" i="123"/>
  <c r="AF1838" i="123"/>
  <c r="U1831" i="123"/>
  <c r="V1831" i="123"/>
  <c r="W1831" i="123"/>
  <c r="AN1831" i="123" s="1"/>
  <c r="U1824" i="123"/>
  <c r="V1824" i="123"/>
  <c r="W1824" i="123"/>
  <c r="AN1824" i="123" s="1"/>
  <c r="U1776" i="123"/>
  <c r="V1776" i="123"/>
  <c r="W1776" i="123"/>
  <c r="AN1776" i="123" s="1"/>
  <c r="AA1878" i="123"/>
  <c r="AF1878" i="123" s="1"/>
  <c r="U1878" i="123"/>
  <c r="AF1876" i="123"/>
  <c r="W1875" i="123"/>
  <c r="AN1875" i="123" s="1"/>
  <c r="AC1873" i="123"/>
  <c r="AD1873" i="123"/>
  <c r="AF1873" i="123" s="1"/>
  <c r="W1873" i="123"/>
  <c r="AN1873" i="123" s="1"/>
  <c r="U1873" i="123"/>
  <c r="V1873" i="123"/>
  <c r="U1867" i="123"/>
  <c r="V1867" i="123"/>
  <c r="W1867" i="123"/>
  <c r="AN1867" i="123" s="1"/>
  <c r="U1860" i="123"/>
  <c r="V1860" i="123"/>
  <c r="W1860" i="123"/>
  <c r="AN1860" i="123" s="1"/>
  <c r="AE1858" i="123"/>
  <c r="AF1858" i="123"/>
  <c r="U1851" i="123"/>
  <c r="V1851" i="123"/>
  <c r="W1851" i="123"/>
  <c r="AN1851" i="123" s="1"/>
  <c r="U1844" i="123"/>
  <c r="V1844" i="123"/>
  <c r="W1844" i="123"/>
  <c r="AN1844" i="123" s="1"/>
  <c r="AE1842" i="123"/>
  <c r="AF1842" i="123"/>
  <c r="U1835" i="123"/>
  <c r="V1835" i="123"/>
  <c r="W1835" i="123"/>
  <c r="AN1835" i="123" s="1"/>
  <c r="U1828" i="123"/>
  <c r="V1828" i="123"/>
  <c r="W1828" i="123"/>
  <c r="AN1828" i="123" s="1"/>
  <c r="U1819" i="123"/>
  <c r="V1819" i="123"/>
  <c r="W1819" i="123"/>
  <c r="AN1819" i="123" s="1"/>
  <c r="AE1810" i="123"/>
  <c r="AF1810" i="123"/>
  <c r="AE1806" i="123"/>
  <c r="AF1806" i="123"/>
  <c r="AE1802" i="123"/>
  <c r="AF1802" i="123"/>
  <c r="AE1798" i="123"/>
  <c r="AF1798" i="123"/>
  <c r="AE1790" i="123"/>
  <c r="AF1790" i="123"/>
  <c r="AE1786" i="123"/>
  <c r="AE1782" i="123"/>
  <c r="AF1782" i="123"/>
  <c r="AR1776" i="123"/>
  <c r="AS1776" i="123" s="1"/>
  <c r="W1766" i="123"/>
  <c r="AN1766" i="123" s="1"/>
  <c r="U1766" i="123"/>
  <c r="V1766" i="123"/>
  <c r="AR1766" i="123"/>
  <c r="AS1766" i="123" s="1"/>
  <c r="AA1868" i="123"/>
  <c r="AF1868" i="123" s="1"/>
  <c r="AD1865" i="123"/>
  <c r="AF1865" i="123" s="1"/>
  <c r="V1865" i="123"/>
  <c r="AA1864" i="123"/>
  <c r="AD1861" i="123"/>
  <c r="AF1861" i="123" s="1"/>
  <c r="V1861" i="123"/>
  <c r="AA1860" i="123"/>
  <c r="AD1857" i="123"/>
  <c r="AF1857" i="123" s="1"/>
  <c r="V1857" i="123"/>
  <c r="AA1856" i="123"/>
  <c r="AD1853" i="123"/>
  <c r="AF1853" i="123" s="1"/>
  <c r="V1853" i="123"/>
  <c r="AA1852" i="123"/>
  <c r="AF1852" i="123" s="1"/>
  <c r="AD1849" i="123"/>
  <c r="AF1849" i="123" s="1"/>
  <c r="V1849" i="123"/>
  <c r="AA1848" i="123"/>
  <c r="AD1845" i="123"/>
  <c r="AF1845" i="123" s="1"/>
  <c r="V1845" i="123"/>
  <c r="AA1844" i="123"/>
  <c r="AD1841" i="123"/>
  <c r="AF1841" i="123" s="1"/>
  <c r="V1841" i="123"/>
  <c r="AA1840" i="123"/>
  <c r="AF1840" i="123" s="1"/>
  <c r="AD1837" i="123"/>
  <c r="AF1837" i="123" s="1"/>
  <c r="V1837" i="123"/>
  <c r="AA1836" i="123"/>
  <c r="AF1836" i="123" s="1"/>
  <c r="AD1833" i="123"/>
  <c r="AF1833" i="123" s="1"/>
  <c r="V1833" i="123"/>
  <c r="AA1832" i="123"/>
  <c r="AD1829" i="123"/>
  <c r="AF1829" i="123" s="1"/>
  <c r="V1829" i="123"/>
  <c r="AA1828" i="123"/>
  <c r="AF1828" i="123" s="1"/>
  <c r="AD1825" i="123"/>
  <c r="AF1825" i="123" s="1"/>
  <c r="V1825" i="123"/>
  <c r="AA1824" i="123"/>
  <c r="AD1821" i="123"/>
  <c r="AF1821" i="123" s="1"/>
  <c r="V1821" i="123"/>
  <c r="AA1820" i="123"/>
  <c r="AF1820" i="123" s="1"/>
  <c r="AD1817" i="123"/>
  <c r="AF1817" i="123" s="1"/>
  <c r="V1817" i="123"/>
  <c r="AA1816" i="123"/>
  <c r="AD1813" i="123"/>
  <c r="AF1813" i="123" s="1"/>
  <c r="V1813" i="123"/>
  <c r="AD1809" i="123"/>
  <c r="AF1809" i="123" s="1"/>
  <c r="V1809" i="123"/>
  <c r="AD1805" i="123"/>
  <c r="AF1805" i="123" s="1"/>
  <c r="V1805" i="123"/>
  <c r="AD1801" i="123"/>
  <c r="AF1801" i="123" s="1"/>
  <c r="V1801" i="123"/>
  <c r="AD1797" i="123"/>
  <c r="AF1797" i="123" s="1"/>
  <c r="V1797" i="123"/>
  <c r="AD1793" i="123"/>
  <c r="AF1793" i="123" s="1"/>
  <c r="V1793" i="123"/>
  <c r="AD1789" i="123"/>
  <c r="AF1789" i="123" s="1"/>
  <c r="V1789" i="123"/>
  <c r="AD1785" i="123"/>
  <c r="AF1785" i="123" s="1"/>
  <c r="V1785" i="123"/>
  <c r="AD1781" i="123"/>
  <c r="AF1781" i="123" s="1"/>
  <c r="V1781" i="123"/>
  <c r="AR1765" i="123"/>
  <c r="AS1765" i="123" s="1"/>
  <c r="AQ1764" i="123"/>
  <c r="AR1764" i="123" s="1"/>
  <c r="AS1764" i="123" s="1"/>
  <c r="U1764" i="123"/>
  <c r="V1764" i="123"/>
  <c r="W1764" i="123"/>
  <c r="AN1764" i="123" s="1"/>
  <c r="AN1763" i="123"/>
  <c r="AC1760" i="123"/>
  <c r="AD1760" i="123"/>
  <c r="AF1760" i="123" s="1"/>
  <c r="W1758" i="123"/>
  <c r="AN1758" i="123" s="1"/>
  <c r="U1758" i="123"/>
  <c r="AE1711" i="123"/>
  <c r="AE1707" i="123"/>
  <c r="AR1702" i="123"/>
  <c r="AS1702" i="123" s="1"/>
  <c r="U1865" i="123"/>
  <c r="U1861" i="123"/>
  <c r="U1857" i="123"/>
  <c r="U1853" i="123"/>
  <c r="U1849" i="123"/>
  <c r="U1845" i="123"/>
  <c r="U1841" i="123"/>
  <c r="U1837" i="123"/>
  <c r="U1833" i="123"/>
  <c r="U1829" i="123"/>
  <c r="U1825" i="123"/>
  <c r="U1821" i="123"/>
  <c r="U1817" i="123"/>
  <c r="W1815" i="123"/>
  <c r="AN1815" i="123" s="1"/>
  <c r="U1813" i="123"/>
  <c r="W1811" i="123"/>
  <c r="AN1811" i="123" s="1"/>
  <c r="U1809" i="123"/>
  <c r="W1807" i="123"/>
  <c r="AN1807" i="123" s="1"/>
  <c r="U1805" i="123"/>
  <c r="W1803" i="123"/>
  <c r="AN1803" i="123" s="1"/>
  <c r="U1801" i="123"/>
  <c r="W1799" i="123"/>
  <c r="AN1799" i="123" s="1"/>
  <c r="U1797" i="123"/>
  <c r="W1795" i="123"/>
  <c r="AN1795" i="123" s="1"/>
  <c r="U1793" i="123"/>
  <c r="W1791" i="123"/>
  <c r="AN1791" i="123" s="1"/>
  <c r="U1789" i="123"/>
  <c r="W1787" i="123"/>
  <c r="AN1787" i="123" s="1"/>
  <c r="U1785" i="123"/>
  <c r="W1783" i="123"/>
  <c r="AN1783" i="123" s="1"/>
  <c r="U1781" i="123"/>
  <c r="W1779" i="123"/>
  <c r="AN1779" i="123" s="1"/>
  <c r="AQ1774" i="123"/>
  <c r="AR1774" i="123" s="1"/>
  <c r="AS1774" i="123" s="1"/>
  <c r="AM1774" i="123"/>
  <c r="Z1774" i="123"/>
  <c r="AE1773" i="123"/>
  <c r="AN1773" i="123"/>
  <c r="W1769" i="123"/>
  <c r="AN1769" i="123" s="1"/>
  <c r="AM1766" i="123"/>
  <c r="U1765" i="123"/>
  <c r="V1765" i="123"/>
  <c r="AM1762" i="123"/>
  <c r="AR1761" i="123"/>
  <c r="AS1761" i="123" s="1"/>
  <c r="AQ1760" i="123"/>
  <c r="AR1760" i="123" s="1"/>
  <c r="AS1760" i="123" s="1"/>
  <c r="U1760" i="123"/>
  <c r="V1760" i="123"/>
  <c r="W1760" i="123"/>
  <c r="AN1760" i="123" s="1"/>
  <c r="AN1759" i="123"/>
  <c r="W1754" i="123"/>
  <c r="AN1754" i="123" s="1"/>
  <c r="U1754" i="123"/>
  <c r="V1754" i="123"/>
  <c r="W1750" i="123"/>
  <c r="AN1750" i="123" s="1"/>
  <c r="U1750" i="123"/>
  <c r="V1750" i="123"/>
  <c r="W1746" i="123"/>
  <c r="AN1746" i="123" s="1"/>
  <c r="U1746" i="123"/>
  <c r="V1746" i="123"/>
  <c r="W1742" i="123"/>
  <c r="AN1742" i="123" s="1"/>
  <c r="U1742" i="123"/>
  <c r="V1742" i="123"/>
  <c r="W1738" i="123"/>
  <c r="AN1738" i="123" s="1"/>
  <c r="U1738" i="123"/>
  <c r="V1738" i="123"/>
  <c r="W1734" i="123"/>
  <c r="AN1734" i="123" s="1"/>
  <c r="U1734" i="123"/>
  <c r="V1734" i="123"/>
  <c r="W1730" i="123"/>
  <c r="AN1730" i="123" s="1"/>
  <c r="U1730" i="123"/>
  <c r="V1730" i="123"/>
  <c r="W1726" i="123"/>
  <c r="AN1726" i="123" s="1"/>
  <c r="U1726" i="123"/>
  <c r="V1726" i="123"/>
  <c r="W1722" i="123"/>
  <c r="AN1722" i="123" s="1"/>
  <c r="U1722" i="123"/>
  <c r="V1722" i="123"/>
  <c r="W1718" i="123"/>
  <c r="AN1718" i="123" s="1"/>
  <c r="U1718" i="123"/>
  <c r="V1718" i="123"/>
  <c r="W1714" i="123"/>
  <c r="AN1714" i="123" s="1"/>
  <c r="U1714" i="123"/>
  <c r="V1714" i="123"/>
  <c r="W1710" i="123"/>
  <c r="AN1710" i="123" s="1"/>
  <c r="U1710" i="123"/>
  <c r="V1710" i="123"/>
  <c r="W1706" i="123"/>
  <c r="AN1706" i="123" s="1"/>
  <c r="U1706" i="123"/>
  <c r="V1706" i="123"/>
  <c r="W1692" i="123"/>
  <c r="AN1692" i="123" s="1"/>
  <c r="U1692" i="123"/>
  <c r="V1692" i="123"/>
  <c r="AD1815" i="123"/>
  <c r="AF1815" i="123" s="1"/>
  <c r="V1815" i="123"/>
  <c r="AD1811" i="123"/>
  <c r="AF1811" i="123" s="1"/>
  <c r="V1811" i="123"/>
  <c r="AD1807" i="123"/>
  <c r="AF1807" i="123" s="1"/>
  <c r="V1807" i="123"/>
  <c r="AD1803" i="123"/>
  <c r="AF1803" i="123" s="1"/>
  <c r="V1803" i="123"/>
  <c r="AD1799" i="123"/>
  <c r="AF1799" i="123" s="1"/>
  <c r="V1799" i="123"/>
  <c r="AD1795" i="123"/>
  <c r="AF1795" i="123" s="1"/>
  <c r="V1795" i="123"/>
  <c r="AD1791" i="123"/>
  <c r="AF1791" i="123" s="1"/>
  <c r="V1791" i="123"/>
  <c r="AD1787" i="123"/>
  <c r="AF1787" i="123" s="1"/>
  <c r="V1787" i="123"/>
  <c r="AD1783" i="123"/>
  <c r="AF1783" i="123" s="1"/>
  <c r="V1783" i="123"/>
  <c r="AD1779" i="123"/>
  <c r="AF1779" i="123" s="1"/>
  <c r="V1779" i="123"/>
  <c r="AA1778" i="123"/>
  <c r="AF1778" i="123" s="1"/>
  <c r="V1778" i="123"/>
  <c r="AD1774" i="123"/>
  <c r="AF1774" i="123" s="1"/>
  <c r="V1770" i="123"/>
  <c r="U1769" i="123"/>
  <c r="AN1767" i="123"/>
  <c r="Z1763" i="123"/>
  <c r="AA1763" i="123"/>
  <c r="AF1763" i="123" s="1"/>
  <c r="U1761" i="123"/>
  <c r="V1761" i="123"/>
  <c r="AM1758" i="123"/>
  <c r="U1757" i="123"/>
  <c r="V1757" i="123"/>
  <c r="W1757" i="123"/>
  <c r="AN1757" i="123" s="1"/>
  <c r="U1753" i="123"/>
  <c r="V1753" i="123"/>
  <c r="W1753" i="123"/>
  <c r="AN1753" i="123" s="1"/>
  <c r="U1749" i="123"/>
  <c r="V1749" i="123"/>
  <c r="W1749" i="123"/>
  <c r="AN1749" i="123" s="1"/>
  <c r="U1745" i="123"/>
  <c r="V1745" i="123"/>
  <c r="W1745" i="123"/>
  <c r="AN1745" i="123" s="1"/>
  <c r="U1741" i="123"/>
  <c r="V1741" i="123"/>
  <c r="W1741" i="123"/>
  <c r="AN1741" i="123" s="1"/>
  <c r="U1737" i="123"/>
  <c r="V1737" i="123"/>
  <c r="W1737" i="123"/>
  <c r="AN1737" i="123" s="1"/>
  <c r="U1733" i="123"/>
  <c r="V1733" i="123"/>
  <c r="W1733" i="123"/>
  <c r="AN1733" i="123" s="1"/>
  <c r="U1729" i="123"/>
  <c r="V1729" i="123"/>
  <c r="W1729" i="123"/>
  <c r="AN1729" i="123" s="1"/>
  <c r="U1725" i="123"/>
  <c r="V1725" i="123"/>
  <c r="W1725" i="123"/>
  <c r="AN1725" i="123" s="1"/>
  <c r="U1721" i="123"/>
  <c r="V1721" i="123"/>
  <c r="W1721" i="123"/>
  <c r="AN1721" i="123" s="1"/>
  <c r="U1717" i="123"/>
  <c r="V1717" i="123"/>
  <c r="W1717" i="123"/>
  <c r="AN1717" i="123" s="1"/>
  <c r="U1713" i="123"/>
  <c r="V1713" i="123"/>
  <c r="W1713" i="123"/>
  <c r="AN1713" i="123" s="1"/>
  <c r="U1709" i="123"/>
  <c r="V1709" i="123"/>
  <c r="W1709" i="123"/>
  <c r="AN1709" i="123" s="1"/>
  <c r="W1700" i="123"/>
  <c r="AN1700" i="123" s="1"/>
  <c r="U1700" i="123"/>
  <c r="V1700" i="123"/>
  <c r="U1694" i="123"/>
  <c r="V1694" i="123"/>
  <c r="W1694" i="123"/>
  <c r="AN1694" i="123" s="1"/>
  <c r="U1778" i="123"/>
  <c r="AN1777" i="123"/>
  <c r="W1771" i="123"/>
  <c r="AN1771" i="123" s="1"/>
  <c r="AQ1770" i="123"/>
  <c r="AR1770" i="123" s="1"/>
  <c r="AS1770" i="123" s="1"/>
  <c r="AM1770" i="123"/>
  <c r="Z1770" i="123"/>
  <c r="U1770" i="123"/>
  <c r="AF1769" i="123"/>
  <c r="AQ1768" i="123"/>
  <c r="AR1768" i="123" s="1"/>
  <c r="AS1768" i="123" s="1"/>
  <c r="AD1768" i="123"/>
  <c r="AF1768" i="123" s="1"/>
  <c r="AA1767" i="123"/>
  <c r="AF1767" i="123" s="1"/>
  <c r="W1765" i="123"/>
  <c r="AN1765" i="123" s="1"/>
  <c r="AC1764" i="123"/>
  <c r="AD1764" i="123"/>
  <c r="W1762" i="123"/>
  <c r="AN1762" i="123" s="1"/>
  <c r="U1762" i="123"/>
  <c r="Z1759" i="123"/>
  <c r="AA1759" i="123"/>
  <c r="AF1759" i="123" s="1"/>
  <c r="AR1758" i="123"/>
  <c r="AS1758" i="123" s="1"/>
  <c r="AF1757" i="123"/>
  <c r="AR1753" i="123"/>
  <c r="AS1753" i="123" s="1"/>
  <c r="AR1749" i="123"/>
  <c r="AS1749" i="123" s="1"/>
  <c r="AR1745" i="123"/>
  <c r="AS1745" i="123" s="1"/>
  <c r="AR1741" i="123"/>
  <c r="AS1741" i="123" s="1"/>
  <c r="AR1737" i="123"/>
  <c r="AS1737" i="123" s="1"/>
  <c r="AR1733" i="123"/>
  <c r="AS1733" i="123" s="1"/>
  <c r="AR1729" i="123"/>
  <c r="AS1729" i="123" s="1"/>
  <c r="AR1725" i="123"/>
  <c r="AS1725" i="123" s="1"/>
  <c r="AR1721" i="123"/>
  <c r="AS1721" i="123" s="1"/>
  <c r="AR1717" i="123"/>
  <c r="AS1717" i="123" s="1"/>
  <c r="AR1713" i="123"/>
  <c r="AS1713" i="123" s="1"/>
  <c r="AR1709" i="123"/>
  <c r="AS1709" i="123" s="1"/>
  <c r="U1702" i="123"/>
  <c r="V1702" i="123"/>
  <c r="W1702" i="123"/>
  <c r="AN1702" i="123" s="1"/>
  <c r="AR1694" i="123"/>
  <c r="AS1694" i="123" s="1"/>
  <c r="W1679" i="123"/>
  <c r="AN1679" i="123" s="1"/>
  <c r="U1679" i="123"/>
  <c r="W1675" i="123"/>
  <c r="AN1675" i="123" s="1"/>
  <c r="U1675" i="123"/>
  <c r="W1671" i="123"/>
  <c r="AN1671" i="123" s="1"/>
  <c r="U1671" i="123"/>
  <c r="W1667" i="123"/>
  <c r="AN1667" i="123" s="1"/>
  <c r="U1667" i="123"/>
  <c r="AC1661" i="123"/>
  <c r="AD1661" i="123"/>
  <c r="AF1661" i="123" s="1"/>
  <c r="U1661" i="123"/>
  <c r="V1661" i="123"/>
  <c r="W1661" i="123"/>
  <c r="AN1661" i="123" s="1"/>
  <c r="Z1656" i="123"/>
  <c r="AA1656" i="123"/>
  <c r="W1651" i="123"/>
  <c r="AN1651" i="123" s="1"/>
  <c r="U1651" i="123"/>
  <c r="W1647" i="123"/>
  <c r="AN1647" i="123" s="1"/>
  <c r="U1647" i="123"/>
  <c r="U1645" i="123"/>
  <c r="V1645" i="123"/>
  <c r="W1645" i="123"/>
  <c r="AN1645" i="123" s="1"/>
  <c r="W1756" i="123"/>
  <c r="AN1756" i="123" s="1"/>
  <c r="W1752" i="123"/>
  <c r="AN1752" i="123" s="1"/>
  <c r="W1748" i="123"/>
  <c r="AN1748" i="123" s="1"/>
  <c r="W1744" i="123"/>
  <c r="AN1744" i="123" s="1"/>
  <c r="W1740" i="123"/>
  <c r="AN1740" i="123" s="1"/>
  <c r="W1736" i="123"/>
  <c r="AN1736" i="123" s="1"/>
  <c r="W1732" i="123"/>
  <c r="AN1732" i="123" s="1"/>
  <c r="W1728" i="123"/>
  <c r="AN1728" i="123" s="1"/>
  <c r="W1724" i="123"/>
  <c r="AN1724" i="123" s="1"/>
  <c r="W1720" i="123"/>
  <c r="AN1720" i="123" s="1"/>
  <c r="W1716" i="123"/>
  <c r="AN1716" i="123" s="1"/>
  <c r="W1712" i="123"/>
  <c r="AN1712" i="123" s="1"/>
  <c r="W1708" i="123"/>
  <c r="AN1708" i="123" s="1"/>
  <c r="AQ1700" i="123"/>
  <c r="AR1700" i="123" s="1"/>
  <c r="AS1700" i="123" s="1"/>
  <c r="AM1700" i="123"/>
  <c r="Z1700" i="123"/>
  <c r="AE1699" i="123"/>
  <c r="AN1699" i="123"/>
  <c r="AQ1692" i="123"/>
  <c r="AR1692" i="123" s="1"/>
  <c r="AS1692" i="123" s="1"/>
  <c r="AM1692" i="123"/>
  <c r="Z1692" i="123"/>
  <c r="AE1691" i="123"/>
  <c r="AN1691" i="123"/>
  <c r="AC1689" i="123"/>
  <c r="AD1689" i="123"/>
  <c r="AF1689" i="123" s="1"/>
  <c r="V1688" i="123"/>
  <c r="W1688" i="123"/>
  <c r="AN1688" i="123" s="1"/>
  <c r="AM1687" i="123"/>
  <c r="AC1685" i="123"/>
  <c r="AD1685" i="123"/>
  <c r="AF1685" i="123" s="1"/>
  <c r="V1684" i="123"/>
  <c r="W1684" i="123"/>
  <c r="AN1684" i="123" s="1"/>
  <c r="AM1683" i="123"/>
  <c r="AC1681" i="123"/>
  <c r="AD1681" i="123"/>
  <c r="AF1681" i="123" s="1"/>
  <c r="AE1680" i="123"/>
  <c r="AM1679" i="123"/>
  <c r="AE1679" i="123"/>
  <c r="AE1676" i="123"/>
  <c r="AM1675" i="123"/>
  <c r="AE1672" i="123"/>
  <c r="AM1671" i="123"/>
  <c r="AE1671" i="123"/>
  <c r="AE1668" i="123"/>
  <c r="AM1667" i="123"/>
  <c r="AC1665" i="123"/>
  <c r="AD1665" i="123"/>
  <c r="AF1665" i="123" s="1"/>
  <c r="U1665" i="123"/>
  <c r="V1665" i="123"/>
  <c r="W1665" i="123"/>
  <c r="AN1665" i="123" s="1"/>
  <c r="Z1660" i="123"/>
  <c r="AA1660" i="123"/>
  <c r="AF1660" i="123" s="1"/>
  <c r="W1655" i="123"/>
  <c r="U1655" i="123"/>
  <c r="AM1651" i="123"/>
  <c r="AC1649" i="123"/>
  <c r="AD1649" i="123"/>
  <c r="AF1649" i="123" s="1"/>
  <c r="U1649" i="123"/>
  <c r="V1649" i="123"/>
  <c r="W1649" i="123"/>
  <c r="AN1649" i="123" s="1"/>
  <c r="AR1647" i="123"/>
  <c r="AS1647" i="123" s="1"/>
  <c r="AC1645" i="123"/>
  <c r="AD1645" i="123"/>
  <c r="Z1644" i="123"/>
  <c r="AA1644" i="123"/>
  <c r="AF1644" i="123" s="1"/>
  <c r="AD1756" i="123"/>
  <c r="AF1756" i="123" s="1"/>
  <c r="V1756" i="123"/>
  <c r="AA1755" i="123"/>
  <c r="AF1755" i="123" s="1"/>
  <c r="AD1752" i="123"/>
  <c r="AF1752" i="123" s="1"/>
  <c r="V1752" i="123"/>
  <c r="AA1751" i="123"/>
  <c r="AF1751" i="123" s="1"/>
  <c r="AD1748" i="123"/>
  <c r="AF1748" i="123" s="1"/>
  <c r="V1748" i="123"/>
  <c r="AA1747" i="123"/>
  <c r="AF1747" i="123" s="1"/>
  <c r="AD1744" i="123"/>
  <c r="AF1744" i="123" s="1"/>
  <c r="V1744" i="123"/>
  <c r="AA1743" i="123"/>
  <c r="AF1743" i="123" s="1"/>
  <c r="AD1740" i="123"/>
  <c r="AF1740" i="123" s="1"/>
  <c r="V1740" i="123"/>
  <c r="AA1739" i="123"/>
  <c r="AF1739" i="123" s="1"/>
  <c r="AD1736" i="123"/>
  <c r="AF1736" i="123" s="1"/>
  <c r="V1736" i="123"/>
  <c r="AA1735" i="123"/>
  <c r="AF1735" i="123" s="1"/>
  <c r="AD1732" i="123"/>
  <c r="AF1732" i="123" s="1"/>
  <c r="V1732" i="123"/>
  <c r="AA1731" i="123"/>
  <c r="AF1731" i="123" s="1"/>
  <c r="AD1728" i="123"/>
  <c r="AF1728" i="123" s="1"/>
  <c r="V1728" i="123"/>
  <c r="AA1727" i="123"/>
  <c r="AF1727" i="123" s="1"/>
  <c r="AD1724" i="123"/>
  <c r="AF1724" i="123" s="1"/>
  <c r="V1724" i="123"/>
  <c r="AA1723" i="123"/>
  <c r="AF1723" i="123" s="1"/>
  <c r="AD1720" i="123"/>
  <c r="AF1720" i="123" s="1"/>
  <c r="V1720" i="123"/>
  <c r="AA1719" i="123"/>
  <c r="AF1719" i="123" s="1"/>
  <c r="AD1716" i="123"/>
  <c r="AF1716" i="123" s="1"/>
  <c r="V1716" i="123"/>
  <c r="AA1715" i="123"/>
  <c r="AF1715" i="123" s="1"/>
  <c r="AD1712" i="123"/>
  <c r="AF1712" i="123" s="1"/>
  <c r="V1712" i="123"/>
  <c r="AA1711" i="123"/>
  <c r="AF1711" i="123" s="1"/>
  <c r="AD1708" i="123"/>
  <c r="AF1708" i="123" s="1"/>
  <c r="V1708" i="123"/>
  <c r="AA1707" i="123"/>
  <c r="AF1707" i="123" s="1"/>
  <c r="V1704" i="123"/>
  <c r="AD1700" i="123"/>
  <c r="AF1700" i="123" s="1"/>
  <c r="W1698" i="123"/>
  <c r="AN1698" i="123" s="1"/>
  <c r="V1696" i="123"/>
  <c r="AD1692" i="123"/>
  <c r="AF1692" i="123" s="1"/>
  <c r="W1690" i="123"/>
  <c r="AN1690" i="123" s="1"/>
  <c r="U1689" i="123"/>
  <c r="V1689" i="123"/>
  <c r="Z1688" i="123"/>
  <c r="AA1688" i="123"/>
  <c r="AF1688" i="123" s="1"/>
  <c r="U1685" i="123"/>
  <c r="V1685" i="123"/>
  <c r="Z1684" i="123"/>
  <c r="AA1684" i="123"/>
  <c r="AF1684" i="123" s="1"/>
  <c r="U1681" i="123"/>
  <c r="V1681" i="123"/>
  <c r="AC1677" i="123"/>
  <c r="AD1677" i="123"/>
  <c r="AF1677" i="123" s="1"/>
  <c r="U1677" i="123"/>
  <c r="V1677" i="123"/>
  <c r="W1677" i="123"/>
  <c r="AN1677" i="123" s="1"/>
  <c r="AC1673" i="123"/>
  <c r="AD1673" i="123"/>
  <c r="AF1673" i="123" s="1"/>
  <c r="U1673" i="123"/>
  <c r="V1673" i="123"/>
  <c r="W1673" i="123"/>
  <c r="AN1673" i="123" s="1"/>
  <c r="AC1669" i="123"/>
  <c r="AD1669" i="123"/>
  <c r="AF1669" i="123" s="1"/>
  <c r="U1669" i="123"/>
  <c r="V1669" i="123"/>
  <c r="W1669" i="123"/>
  <c r="AN1669" i="123" s="1"/>
  <c r="AR1667" i="123"/>
  <c r="AS1667" i="123" s="1"/>
  <c r="V1667" i="123"/>
  <c r="Z1664" i="123"/>
  <c r="AA1664" i="123"/>
  <c r="AF1664" i="123" s="1"/>
  <c r="W1659" i="123"/>
  <c r="AN1659" i="123" s="1"/>
  <c r="U1659" i="123"/>
  <c r="AC1653" i="123"/>
  <c r="AD1653" i="123"/>
  <c r="AF1653" i="123" s="1"/>
  <c r="U1653" i="123"/>
  <c r="V1653" i="123"/>
  <c r="W1653" i="123"/>
  <c r="AN1653" i="123" s="1"/>
  <c r="Z1648" i="123"/>
  <c r="AA1648" i="123"/>
  <c r="AF1648" i="123" s="1"/>
  <c r="AE1643" i="123"/>
  <c r="AF1643" i="123"/>
  <c r="W1705" i="123"/>
  <c r="AN1705" i="123" s="1"/>
  <c r="AQ1704" i="123"/>
  <c r="AR1704" i="123" s="1"/>
  <c r="AS1704" i="123" s="1"/>
  <c r="AM1704" i="123"/>
  <c r="Z1704" i="123"/>
  <c r="U1704" i="123"/>
  <c r="AN1703" i="123"/>
  <c r="V1698" i="123"/>
  <c r="W1697" i="123"/>
  <c r="AN1697" i="123" s="1"/>
  <c r="AQ1696" i="123"/>
  <c r="AR1696" i="123" s="1"/>
  <c r="AS1696" i="123" s="1"/>
  <c r="AM1696" i="123"/>
  <c r="Z1696" i="123"/>
  <c r="U1696" i="123"/>
  <c r="AN1695" i="123"/>
  <c r="V1690" i="123"/>
  <c r="V1687" i="123"/>
  <c r="V1683" i="123"/>
  <c r="Z1680" i="123"/>
  <c r="AA1680" i="123"/>
  <c r="AF1680" i="123" s="1"/>
  <c r="U1678" i="123"/>
  <c r="V1678" i="123"/>
  <c r="Z1676" i="123"/>
  <c r="AA1676" i="123"/>
  <c r="AF1676" i="123" s="1"/>
  <c r="U1674" i="123"/>
  <c r="V1674" i="123"/>
  <c r="Z1672" i="123"/>
  <c r="AA1672" i="123"/>
  <c r="AF1672" i="123" s="1"/>
  <c r="U1670" i="123"/>
  <c r="V1670" i="123"/>
  <c r="Z1668" i="123"/>
  <c r="AA1668" i="123"/>
  <c r="AF1668" i="123" s="1"/>
  <c r="W1663" i="123"/>
  <c r="U1663" i="123"/>
  <c r="AE1660" i="123"/>
  <c r="AM1659" i="123"/>
  <c r="AE1659" i="123"/>
  <c r="AC1657" i="123"/>
  <c r="AD1657" i="123"/>
  <c r="AF1657" i="123" s="1"/>
  <c r="U1657" i="123"/>
  <c r="V1657" i="123"/>
  <c r="W1657" i="123"/>
  <c r="AN1657" i="123" s="1"/>
  <c r="Z1652" i="123"/>
  <c r="AA1652" i="123"/>
  <c r="AE1647" i="123"/>
  <c r="AF1647" i="123"/>
  <c r="AE1644" i="123"/>
  <c r="AM1643" i="123"/>
  <c r="W1643" i="123"/>
  <c r="AN1643" i="123" s="1"/>
  <c r="U1643" i="123"/>
  <c r="V1639" i="123"/>
  <c r="W1639" i="123"/>
  <c r="AN1639" i="123" s="1"/>
  <c r="U1639" i="123"/>
  <c r="AD1666" i="123"/>
  <c r="V1666" i="123"/>
  <c r="AD1662" i="123"/>
  <c r="AF1662" i="123" s="1"/>
  <c r="V1662" i="123"/>
  <c r="AD1658" i="123"/>
  <c r="V1658" i="123"/>
  <c r="AD1654" i="123"/>
  <c r="AF1654" i="123" s="1"/>
  <c r="V1654" i="123"/>
  <c r="AD1650" i="123"/>
  <c r="V1650" i="123"/>
  <c r="AD1646" i="123"/>
  <c r="V1646" i="123"/>
  <c r="AA1645" i="123"/>
  <c r="AD1642" i="123"/>
  <c r="AF1642" i="123" s="1"/>
  <c r="V1642" i="123"/>
  <c r="AA1641" i="123"/>
  <c r="AF1641" i="123" s="1"/>
  <c r="AC1636" i="123"/>
  <c r="AD1636" i="123"/>
  <c r="AF1636" i="123" s="1"/>
  <c r="U1634" i="123"/>
  <c r="U1632" i="123"/>
  <c r="V1632" i="123"/>
  <c r="Z1631" i="123"/>
  <c r="AA1631" i="123"/>
  <c r="AF1631" i="123" s="1"/>
  <c r="AC1628" i="123"/>
  <c r="AD1628" i="123"/>
  <c r="AF1628" i="123" s="1"/>
  <c r="W1626" i="123"/>
  <c r="AN1626" i="123" s="1"/>
  <c r="U1626" i="123"/>
  <c r="U1625" i="123"/>
  <c r="V1625" i="123"/>
  <c r="U1624" i="123"/>
  <c r="V1624" i="123"/>
  <c r="W1624" i="123"/>
  <c r="AN1624" i="123" s="1"/>
  <c r="W1618" i="123"/>
  <c r="AN1618" i="123" s="1"/>
  <c r="U1618" i="123"/>
  <c r="U1617" i="123"/>
  <c r="V1617" i="123"/>
  <c r="U1616" i="123"/>
  <c r="V1616" i="123"/>
  <c r="W1616" i="123"/>
  <c r="AN1616" i="123" s="1"/>
  <c r="W1680" i="123"/>
  <c r="AN1680" i="123" s="1"/>
  <c r="W1676" i="123"/>
  <c r="AN1676" i="123" s="1"/>
  <c r="W1672" i="123"/>
  <c r="AN1672" i="123" s="1"/>
  <c r="W1668" i="123"/>
  <c r="AN1668" i="123" s="1"/>
  <c r="W1664" i="123"/>
  <c r="AN1664" i="123" s="1"/>
  <c r="W1660" i="123"/>
  <c r="AN1660" i="123" s="1"/>
  <c r="W1656" i="123"/>
  <c r="AN1656" i="123" s="1"/>
  <c r="W1652" i="123"/>
  <c r="AN1652" i="123" s="1"/>
  <c r="W1648" i="123"/>
  <c r="AN1648" i="123" s="1"/>
  <c r="W1644" i="123"/>
  <c r="AN1644" i="123" s="1"/>
  <c r="W1640" i="123"/>
  <c r="AN1640" i="123" s="1"/>
  <c r="V1638" i="123"/>
  <c r="V1635" i="123"/>
  <c r="W1635" i="123"/>
  <c r="AN1635" i="123" s="1"/>
  <c r="AM1634" i="123"/>
  <c r="W1633" i="123"/>
  <c r="AN1633" i="123" s="1"/>
  <c r="V1630" i="123"/>
  <c r="AE1627" i="123"/>
  <c r="AM1626" i="123"/>
  <c r="Z1623" i="123"/>
  <c r="AA1623" i="123"/>
  <c r="AF1623" i="123" s="1"/>
  <c r="AC1620" i="123"/>
  <c r="AD1620" i="123"/>
  <c r="AF1620" i="123" s="1"/>
  <c r="AE1619" i="123"/>
  <c r="AM1618" i="123"/>
  <c r="Z1615" i="123"/>
  <c r="AA1615" i="123"/>
  <c r="AF1615" i="123" s="1"/>
  <c r="AE1614" i="123"/>
  <c r="AD1640" i="123"/>
  <c r="AF1640" i="123" s="1"/>
  <c r="V1640" i="123"/>
  <c r="U1636" i="123"/>
  <c r="V1636" i="123"/>
  <c r="Z1635" i="123"/>
  <c r="AA1635" i="123"/>
  <c r="AF1635" i="123" s="1"/>
  <c r="AC1632" i="123"/>
  <c r="AD1632" i="123"/>
  <c r="AF1632" i="123" s="1"/>
  <c r="U1630" i="123"/>
  <c r="U1628" i="123"/>
  <c r="V1628" i="123"/>
  <c r="AR1626" i="123"/>
  <c r="AS1626" i="123" s="1"/>
  <c r="V1626" i="123"/>
  <c r="AR1625" i="123"/>
  <c r="AS1625" i="123" s="1"/>
  <c r="W1625" i="123"/>
  <c r="AN1625" i="123" s="1"/>
  <c r="W1622" i="123"/>
  <c r="AN1622" i="123" s="1"/>
  <c r="U1622" i="123"/>
  <c r="U1621" i="123"/>
  <c r="V1621" i="123"/>
  <c r="U1620" i="123"/>
  <c r="V1620" i="123"/>
  <c r="W1620" i="123"/>
  <c r="AN1620" i="123" s="1"/>
  <c r="AR1618" i="123"/>
  <c r="AS1618" i="123" s="1"/>
  <c r="V1618" i="123"/>
  <c r="AR1617" i="123"/>
  <c r="AS1617" i="123" s="1"/>
  <c r="W1617" i="123"/>
  <c r="AN1617" i="123" s="1"/>
  <c r="W1613" i="123"/>
  <c r="AN1613" i="123" s="1"/>
  <c r="U1613" i="123"/>
  <c r="V1613" i="123"/>
  <c r="W1637" i="123"/>
  <c r="AN1637" i="123" s="1"/>
  <c r="V1634" i="123"/>
  <c r="W1632" i="123"/>
  <c r="AN1632" i="123" s="1"/>
  <c r="V1631" i="123"/>
  <c r="W1631" i="123"/>
  <c r="AN1631" i="123" s="1"/>
  <c r="AM1630" i="123"/>
  <c r="W1629" i="123"/>
  <c r="AN1629" i="123" s="1"/>
  <c r="Z1627" i="123"/>
  <c r="AA1627" i="123"/>
  <c r="AF1627" i="123" s="1"/>
  <c r="AC1624" i="123"/>
  <c r="AD1624" i="123"/>
  <c r="AF1624" i="123" s="1"/>
  <c r="AE1623" i="123"/>
  <c r="AM1622" i="123"/>
  <c r="Z1619" i="123"/>
  <c r="AA1619" i="123"/>
  <c r="AF1619" i="123" s="1"/>
  <c r="AC1616" i="123"/>
  <c r="AD1616" i="123"/>
  <c r="AF1616" i="123" s="1"/>
  <c r="AE1615" i="123"/>
  <c r="AC1611" i="123"/>
  <c r="AD1611" i="123"/>
  <c r="AF1611" i="123" s="1"/>
  <c r="W1605" i="123"/>
  <c r="AN1605" i="123" s="1"/>
  <c r="U1605" i="123"/>
  <c r="W1601" i="123"/>
  <c r="AN1601" i="123" s="1"/>
  <c r="U1601" i="123"/>
  <c r="W1597" i="123"/>
  <c r="AN1597" i="123" s="1"/>
  <c r="U1597" i="123"/>
  <c r="AC1595" i="123"/>
  <c r="AD1595" i="123"/>
  <c r="Z1590" i="123"/>
  <c r="AA1590" i="123"/>
  <c r="AF1590" i="123" s="1"/>
  <c r="AC1587" i="123"/>
  <c r="AD1587" i="123"/>
  <c r="AF1587" i="123" s="1"/>
  <c r="W1581" i="123"/>
  <c r="AN1581" i="123" s="1"/>
  <c r="U1581" i="123"/>
  <c r="U1575" i="123"/>
  <c r="V1575" i="123"/>
  <c r="W1575" i="123"/>
  <c r="AN1575" i="123" s="1"/>
  <c r="Z1574" i="123"/>
  <c r="AA1574" i="123"/>
  <c r="AC1571" i="123"/>
  <c r="AD1571" i="123"/>
  <c r="AF1571" i="123" s="1"/>
  <c r="W1565" i="123"/>
  <c r="U1565" i="123"/>
  <c r="AF1545" i="123"/>
  <c r="AE1545" i="123"/>
  <c r="V1457" i="123"/>
  <c r="W1457" i="123"/>
  <c r="AN1457" i="123" s="1"/>
  <c r="U1457" i="123"/>
  <c r="AF1426" i="123"/>
  <c r="AE1426" i="123"/>
  <c r="W1627" i="123"/>
  <c r="AN1627" i="123" s="1"/>
  <c r="W1623" i="123"/>
  <c r="AN1623" i="123" s="1"/>
  <c r="W1619" i="123"/>
  <c r="AN1619" i="123" s="1"/>
  <c r="W1615" i="123"/>
  <c r="AN1615" i="123" s="1"/>
  <c r="V1610" i="123"/>
  <c r="W1610" i="123"/>
  <c r="AN1610" i="123" s="1"/>
  <c r="AM1609" i="123"/>
  <c r="AC1607" i="123"/>
  <c r="AD1607" i="123"/>
  <c r="AF1607" i="123" s="1"/>
  <c r="AE1606" i="123"/>
  <c r="AM1605" i="123"/>
  <c r="AE1605" i="123"/>
  <c r="AM1601" i="123"/>
  <c r="AE1601" i="123"/>
  <c r="AM1597" i="123"/>
  <c r="Z1594" i="123"/>
  <c r="AA1594" i="123"/>
  <c r="V1594" i="123"/>
  <c r="W1594" i="123"/>
  <c r="AN1594" i="123" s="1"/>
  <c r="W1593" i="123"/>
  <c r="U1593" i="123"/>
  <c r="U1587" i="123"/>
  <c r="V1587" i="123"/>
  <c r="W1587" i="123"/>
  <c r="AN1587" i="123" s="1"/>
  <c r="Z1586" i="123"/>
  <c r="AA1586" i="123"/>
  <c r="AC1583" i="123"/>
  <c r="AD1583" i="123"/>
  <c r="AF1583" i="123" s="1"/>
  <c r="AR1581" i="123"/>
  <c r="AS1581" i="123" s="1"/>
  <c r="W1577" i="123"/>
  <c r="AN1577" i="123" s="1"/>
  <c r="U1577" i="123"/>
  <c r="U1571" i="123"/>
  <c r="V1571" i="123"/>
  <c r="W1571" i="123"/>
  <c r="AN1571" i="123" s="1"/>
  <c r="Z1570" i="123"/>
  <c r="AA1570" i="123"/>
  <c r="AC1567" i="123"/>
  <c r="AD1567" i="123"/>
  <c r="AF1567" i="123" s="1"/>
  <c r="AR1565" i="123"/>
  <c r="AS1565" i="123" s="1"/>
  <c r="V1441" i="123"/>
  <c r="W1441" i="123"/>
  <c r="AN1441" i="123" s="1"/>
  <c r="U1441" i="123"/>
  <c r="AA1614" i="123"/>
  <c r="AF1614" i="123" s="1"/>
  <c r="W1614" i="123"/>
  <c r="AN1614" i="123" s="1"/>
  <c r="AA1612" i="123"/>
  <c r="AF1612" i="123" s="1"/>
  <c r="AN1612" i="123"/>
  <c r="U1611" i="123"/>
  <c r="V1611" i="123"/>
  <c r="Z1610" i="123"/>
  <c r="AA1610" i="123"/>
  <c r="AF1610" i="123" s="1"/>
  <c r="U1608" i="123"/>
  <c r="V1608" i="123"/>
  <c r="U1607" i="123"/>
  <c r="V1607" i="123"/>
  <c r="W1607" i="123"/>
  <c r="AN1607" i="123" s="1"/>
  <c r="AR1605" i="123"/>
  <c r="AS1605" i="123" s="1"/>
  <c r="V1605" i="123"/>
  <c r="AC1603" i="123"/>
  <c r="AD1603" i="123"/>
  <c r="AF1603" i="123" s="1"/>
  <c r="U1603" i="123"/>
  <c r="V1603" i="123"/>
  <c r="W1603" i="123"/>
  <c r="AN1603" i="123" s="1"/>
  <c r="AR1601" i="123"/>
  <c r="AS1601" i="123" s="1"/>
  <c r="V1601" i="123"/>
  <c r="AC1599" i="123"/>
  <c r="AD1599" i="123"/>
  <c r="AF1599" i="123" s="1"/>
  <c r="U1599" i="123"/>
  <c r="V1599" i="123"/>
  <c r="W1599" i="123"/>
  <c r="AN1599" i="123" s="1"/>
  <c r="AR1597" i="123"/>
  <c r="AS1597" i="123" s="1"/>
  <c r="V1597" i="123"/>
  <c r="AC1591" i="123"/>
  <c r="AD1591" i="123"/>
  <c r="AF1591" i="123" s="1"/>
  <c r="U1591" i="123"/>
  <c r="V1591" i="123"/>
  <c r="W1591" i="123"/>
  <c r="AN1591" i="123" s="1"/>
  <c r="W1589" i="123"/>
  <c r="U1589" i="123"/>
  <c r="U1583" i="123"/>
  <c r="V1583" i="123"/>
  <c r="W1583" i="123"/>
  <c r="AN1583" i="123" s="1"/>
  <c r="Z1582" i="123"/>
  <c r="AA1582" i="123"/>
  <c r="AF1582" i="123" s="1"/>
  <c r="V1581" i="123"/>
  <c r="AC1579" i="123"/>
  <c r="AD1579" i="123"/>
  <c r="AF1579" i="123" s="1"/>
  <c r="AR1577" i="123"/>
  <c r="AS1577" i="123" s="1"/>
  <c r="W1573" i="123"/>
  <c r="U1573" i="123"/>
  <c r="U1567" i="123"/>
  <c r="V1567" i="123"/>
  <c r="W1567" i="123"/>
  <c r="AN1567" i="123" s="1"/>
  <c r="Z1566" i="123"/>
  <c r="AA1566" i="123"/>
  <c r="V1565" i="123"/>
  <c r="AC1563" i="123"/>
  <c r="AD1563" i="123"/>
  <c r="AF1563" i="123" s="1"/>
  <c r="W1554" i="123"/>
  <c r="U1554" i="123"/>
  <c r="V1554" i="123"/>
  <c r="AF1537" i="123"/>
  <c r="AE1537" i="123"/>
  <c r="AF1473" i="123"/>
  <c r="AE1473" i="123"/>
  <c r="V1381" i="123"/>
  <c r="W1381" i="123"/>
  <c r="AN1381" i="123" s="1"/>
  <c r="AR1381" i="123"/>
  <c r="AS1381" i="123" s="1"/>
  <c r="U1381" i="123"/>
  <c r="V1609" i="123"/>
  <c r="Z1606" i="123"/>
  <c r="AA1606" i="123"/>
  <c r="AF1606" i="123" s="1"/>
  <c r="U1604" i="123"/>
  <c r="V1604" i="123"/>
  <c r="Z1602" i="123"/>
  <c r="AA1602" i="123"/>
  <c r="AF1602" i="123" s="1"/>
  <c r="U1600" i="123"/>
  <c r="V1600" i="123"/>
  <c r="Z1598" i="123"/>
  <c r="AA1598" i="123"/>
  <c r="AF1598" i="123" s="1"/>
  <c r="U1595" i="123"/>
  <c r="V1595" i="123"/>
  <c r="W1595" i="123"/>
  <c r="AN1595" i="123" s="1"/>
  <c r="U1594" i="123"/>
  <c r="AR1593" i="123"/>
  <c r="AS1593" i="123" s="1"/>
  <c r="V1593" i="123"/>
  <c r="W1585" i="123"/>
  <c r="U1585" i="123"/>
  <c r="U1579" i="123"/>
  <c r="V1579" i="123"/>
  <c r="W1579" i="123"/>
  <c r="AN1579" i="123" s="1"/>
  <c r="Z1578" i="123"/>
  <c r="AA1578" i="123"/>
  <c r="V1577" i="123"/>
  <c r="AC1575" i="123"/>
  <c r="AD1575" i="123"/>
  <c r="AF1575" i="123" s="1"/>
  <c r="W1569" i="123"/>
  <c r="U1569" i="123"/>
  <c r="AF1564" i="123"/>
  <c r="U1563" i="123"/>
  <c r="V1563" i="123"/>
  <c r="W1563" i="123"/>
  <c r="AN1563" i="123" s="1"/>
  <c r="Z1562" i="123"/>
  <c r="AA1562" i="123"/>
  <c r="AF1461" i="123"/>
  <c r="AE1461" i="123"/>
  <c r="U1426" i="123"/>
  <c r="W1426" i="123"/>
  <c r="AN1426" i="123" s="1"/>
  <c r="V1426" i="123"/>
  <c r="AR1426" i="123"/>
  <c r="AS1426" i="123" s="1"/>
  <c r="U1406" i="123"/>
  <c r="V1406" i="123"/>
  <c r="W1406" i="123"/>
  <c r="AN1406" i="123" s="1"/>
  <c r="AR1406" i="123"/>
  <c r="AS1406" i="123" s="1"/>
  <c r="U1402" i="123"/>
  <c r="V1402" i="123"/>
  <c r="W1402" i="123"/>
  <c r="AN1402" i="123" s="1"/>
  <c r="AR1402" i="123"/>
  <c r="AS1402" i="123" s="1"/>
  <c r="U1373" i="123"/>
  <c r="V1373" i="123"/>
  <c r="W1373" i="123"/>
  <c r="AN1373" i="123" s="1"/>
  <c r="AR1373" i="123"/>
  <c r="AS1373" i="123" s="1"/>
  <c r="AD1596" i="123"/>
  <c r="AF1596" i="123" s="1"/>
  <c r="V1596" i="123"/>
  <c r="AA1595" i="123"/>
  <c r="AD1592" i="123"/>
  <c r="AF1592" i="123" s="1"/>
  <c r="V1592" i="123"/>
  <c r="AE1542" i="123"/>
  <c r="AF1542" i="123"/>
  <c r="AE1538" i="123"/>
  <c r="AF1538" i="123"/>
  <c r="AE1526" i="123"/>
  <c r="AF1526" i="123"/>
  <c r="AE1462" i="123"/>
  <c r="AF1462" i="123"/>
  <c r="AF1458" i="123"/>
  <c r="U1446" i="123"/>
  <c r="V1446" i="123"/>
  <c r="W1446" i="123"/>
  <c r="AN1446" i="123" s="1"/>
  <c r="AR1446" i="123"/>
  <c r="AS1446" i="123" s="1"/>
  <c r="U1430" i="123"/>
  <c r="V1430" i="123"/>
  <c r="W1430" i="123"/>
  <c r="AN1430" i="123" s="1"/>
  <c r="AR1430" i="123"/>
  <c r="AS1430" i="123" s="1"/>
  <c r="V1425" i="123"/>
  <c r="W1425" i="123"/>
  <c r="AN1425" i="123" s="1"/>
  <c r="U1425" i="123"/>
  <c r="V1389" i="123"/>
  <c r="W1389" i="123"/>
  <c r="AN1389" i="123" s="1"/>
  <c r="AR1389" i="123"/>
  <c r="AS1389" i="123" s="1"/>
  <c r="U1389" i="123"/>
  <c r="U1378" i="123"/>
  <c r="V1378" i="123"/>
  <c r="W1378" i="123"/>
  <c r="AN1378" i="123" s="1"/>
  <c r="V1377" i="123"/>
  <c r="W1377" i="123"/>
  <c r="AN1377" i="123" s="1"/>
  <c r="V1357" i="123"/>
  <c r="U1357" i="123"/>
  <c r="W1357" i="123"/>
  <c r="AN1357" i="123" s="1"/>
  <c r="AR1357" i="123"/>
  <c r="AS1357" i="123" s="1"/>
  <c r="W1342" i="123"/>
  <c r="AN1342" i="123" s="1"/>
  <c r="U1342" i="123"/>
  <c r="V1342" i="123"/>
  <c r="W1606" i="123"/>
  <c r="AN1606" i="123" s="1"/>
  <c r="W1602" i="123"/>
  <c r="AN1602" i="123" s="1"/>
  <c r="W1598" i="123"/>
  <c r="AN1598" i="123" s="1"/>
  <c r="W1590" i="123"/>
  <c r="AN1590" i="123" s="1"/>
  <c r="W1586" i="123"/>
  <c r="AN1586" i="123" s="1"/>
  <c r="W1582" i="123"/>
  <c r="AN1582" i="123" s="1"/>
  <c r="W1578" i="123"/>
  <c r="AN1578" i="123" s="1"/>
  <c r="W1574" i="123"/>
  <c r="AN1574" i="123" s="1"/>
  <c r="W1570" i="123"/>
  <c r="AN1570" i="123" s="1"/>
  <c r="W1566" i="123"/>
  <c r="AN1566" i="123" s="1"/>
  <c r="W1562" i="123"/>
  <c r="AN1562" i="123" s="1"/>
  <c r="AR1457" i="123"/>
  <c r="AS1457" i="123" s="1"/>
  <c r="V1449" i="123"/>
  <c r="W1449" i="123"/>
  <c r="AN1449" i="123" s="1"/>
  <c r="AR1441" i="123"/>
  <c r="AS1441" i="123" s="1"/>
  <c r="V1433" i="123"/>
  <c r="W1433" i="123"/>
  <c r="AN1433" i="123" s="1"/>
  <c r="AE1420" i="123"/>
  <c r="V1397" i="123"/>
  <c r="W1397" i="123"/>
  <c r="AN1397" i="123" s="1"/>
  <c r="AR1397" i="123"/>
  <c r="AS1397" i="123" s="1"/>
  <c r="U1397" i="123"/>
  <c r="U1386" i="123"/>
  <c r="V1386" i="123"/>
  <c r="W1386" i="123"/>
  <c r="AN1386" i="123" s="1"/>
  <c r="AR1377" i="123"/>
  <c r="AS1377" i="123" s="1"/>
  <c r="V1558" i="123"/>
  <c r="U1454" i="123"/>
  <c r="V1454" i="123"/>
  <c r="W1454" i="123"/>
  <c r="AR1454" i="123"/>
  <c r="AS1454" i="123" s="1"/>
  <c r="U1438" i="123"/>
  <c r="V1438" i="123"/>
  <c r="W1438" i="123"/>
  <c r="AF1434" i="123"/>
  <c r="U1418" i="123"/>
  <c r="V1418" i="123"/>
  <c r="W1418" i="123"/>
  <c r="AN1418" i="123" s="1"/>
  <c r="U1394" i="123"/>
  <c r="V1394" i="123"/>
  <c r="W1394" i="123"/>
  <c r="AN1394" i="123" s="1"/>
  <c r="AF1391" i="123"/>
  <c r="AE1391" i="123"/>
  <c r="AR1378" i="123"/>
  <c r="AS1378" i="123" s="1"/>
  <c r="AF1451" i="123"/>
  <c r="AR1425" i="123"/>
  <c r="AS1425" i="123" s="1"/>
  <c r="U1414" i="123"/>
  <c r="V1414" i="123"/>
  <c r="V1409" i="123"/>
  <c r="W1409" i="123"/>
  <c r="AN1409" i="123" s="1"/>
  <c r="U1398" i="123"/>
  <c r="V1398" i="123"/>
  <c r="U1390" i="123"/>
  <c r="V1390" i="123"/>
  <c r="U1382" i="123"/>
  <c r="V1382" i="123"/>
  <c r="AE1342" i="123"/>
  <c r="AF1342" i="123"/>
  <c r="AE1440" i="123"/>
  <c r="AE1432" i="123"/>
  <c r="U1422" i="123"/>
  <c r="V1422" i="123"/>
  <c r="V1417" i="123"/>
  <c r="W1417" i="123"/>
  <c r="AN1417" i="123" s="1"/>
  <c r="V1401" i="123"/>
  <c r="W1401" i="123"/>
  <c r="AN1401" i="123" s="1"/>
  <c r="U1401" i="123"/>
  <c r="AF1395" i="123"/>
  <c r="V1393" i="123"/>
  <c r="W1393" i="123"/>
  <c r="AN1393" i="123" s="1"/>
  <c r="U1393" i="123"/>
  <c r="AR1390" i="123"/>
  <c r="AS1390" i="123" s="1"/>
  <c r="V1385" i="123"/>
  <c r="W1385" i="123"/>
  <c r="AN1385" i="123" s="1"/>
  <c r="U1385" i="123"/>
  <c r="V1365" i="123"/>
  <c r="U1365" i="123"/>
  <c r="W1365" i="123"/>
  <c r="AN1365" i="123" s="1"/>
  <c r="AR1365" i="123"/>
  <c r="AS1365" i="123" s="1"/>
  <c r="AE1416" i="123"/>
  <c r="AE1396" i="123"/>
  <c r="AE1388" i="123"/>
  <c r="AF1374" i="123"/>
  <c r="AF1346" i="123"/>
  <c r="V1349" i="123"/>
  <c r="U1349" i="123"/>
  <c r="W1349" i="123"/>
  <c r="AN1349" i="123" s="1"/>
  <c r="AR1349" i="123"/>
  <c r="AS1349" i="123" s="1"/>
  <c r="W1346" i="123"/>
  <c r="AN1346" i="123" s="1"/>
  <c r="U1346" i="123"/>
  <c r="AR1346" i="123"/>
  <c r="AS1346" i="123" s="1"/>
  <c r="W1330" i="123"/>
  <c r="AN1330" i="123" s="1"/>
  <c r="U1330" i="123"/>
  <c r="AR1330" i="123"/>
  <c r="AS1330" i="123" s="1"/>
  <c r="V1330" i="123"/>
  <c r="U1362" i="123"/>
  <c r="W1362" i="123"/>
  <c r="AF1355" i="123"/>
  <c r="U1354" i="123"/>
  <c r="W1354" i="123"/>
  <c r="AN1354" i="123" s="1"/>
  <c r="AE1336" i="123"/>
  <c r="V1361" i="123"/>
  <c r="U1361" i="123"/>
  <c r="V1353" i="123"/>
  <c r="U1353" i="123"/>
  <c r="W1326" i="123"/>
  <c r="AN1326" i="123" s="1"/>
  <c r="U1326" i="123"/>
  <c r="V1326" i="123"/>
  <c r="AF1256" i="123"/>
  <c r="AG1256" i="123" s="1"/>
  <c r="AE1256" i="123"/>
  <c r="AF1367" i="123"/>
  <c r="AF1351" i="123"/>
  <c r="AE1340" i="123"/>
  <c r="W1334" i="123"/>
  <c r="U1334" i="123"/>
  <c r="AE1324" i="123"/>
  <c r="AF1322" i="123"/>
  <c r="W1338" i="123"/>
  <c r="AN1338" i="123" s="1"/>
  <c r="U1338" i="123"/>
  <c r="W1322" i="123"/>
  <c r="AN1322" i="123" s="1"/>
  <c r="U1322" i="123"/>
  <c r="AF1308" i="123"/>
  <c r="AG1308" i="123" s="1"/>
  <c r="AE1308" i="123"/>
  <c r="AF1216" i="123"/>
  <c r="AG1216" i="123" s="1"/>
  <c r="AE1216" i="123"/>
  <c r="AF1200" i="123"/>
  <c r="AG1200" i="123" s="1"/>
  <c r="AE1200" i="123"/>
  <c r="V1317" i="123"/>
  <c r="AE1298" i="123"/>
  <c r="AE1290" i="123"/>
  <c r="AE1282" i="123"/>
  <c r="AE1274" i="123"/>
  <c r="AE1258" i="123"/>
  <c r="AE1253" i="123"/>
  <c r="AE1248" i="123"/>
  <c r="AE1242" i="123"/>
  <c r="AE1214" i="123"/>
  <c r="AE1198" i="123"/>
  <c r="AF1184" i="123"/>
  <c r="AG1184" i="123" s="1"/>
  <c r="AE1184" i="123"/>
  <c r="AE1182" i="123"/>
  <c r="AF1208" i="123"/>
  <c r="AG1208" i="123" s="1"/>
  <c r="AE1208" i="123"/>
  <c r="AF1192" i="123"/>
  <c r="AG1192" i="123" s="1"/>
  <c r="AE1192" i="123"/>
  <c r="AF675" i="123"/>
  <c r="AG675" i="123" s="1"/>
  <c r="AE675" i="123"/>
  <c r="AE1310" i="123"/>
  <c r="AE1302" i="123"/>
  <c r="AE1294" i="123"/>
  <c r="AE1286" i="123"/>
  <c r="AE1278" i="123"/>
  <c r="AE1250" i="123"/>
  <c r="AE1245" i="123"/>
  <c r="AE1234" i="123"/>
  <c r="AE1206" i="123"/>
  <c r="AE1166" i="123"/>
  <c r="AF879" i="123"/>
  <c r="AG879" i="123" s="1"/>
  <c r="AE879" i="123"/>
  <c r="AF775" i="123"/>
  <c r="AG775" i="123" s="1"/>
  <c r="AE775" i="123"/>
  <c r="AF635" i="123"/>
  <c r="AG635" i="123" s="1"/>
  <c r="AE635" i="123"/>
  <c r="AE1154" i="123"/>
  <c r="AE1146" i="123"/>
  <c r="AE1130" i="123"/>
  <c r="AE1122" i="123"/>
  <c r="AE1114" i="123"/>
  <c r="AE1098" i="123"/>
  <c r="AE1090" i="123"/>
  <c r="AE1082" i="123"/>
  <c r="AE1074" i="123"/>
  <c r="AE1066" i="123"/>
  <c r="AE1058" i="123"/>
  <c r="AE1042" i="123"/>
  <c r="AE1017" i="123"/>
  <c r="AE923" i="123"/>
  <c r="AE915" i="123"/>
  <c r="AE909" i="123"/>
  <c r="AE893" i="123"/>
  <c r="AE877" i="123"/>
  <c r="AE871" i="123"/>
  <c r="AE863" i="123"/>
  <c r="AE855" i="123"/>
  <c r="AE847" i="123"/>
  <c r="AE817" i="123"/>
  <c r="AE699" i="123"/>
  <c r="AE672" i="123"/>
  <c r="AE623" i="123"/>
  <c r="AF643" i="123"/>
  <c r="AG643" i="123" s="1"/>
  <c r="AF579" i="123"/>
  <c r="AG579" i="123" s="1"/>
  <c r="AE579" i="123"/>
  <c r="AE1162" i="123"/>
  <c r="AE1150" i="123"/>
  <c r="AE1142" i="123"/>
  <c r="AE1134" i="123"/>
  <c r="AE1126" i="123"/>
  <c r="AE1118" i="123"/>
  <c r="AE1102" i="123"/>
  <c r="AE1094" i="123"/>
  <c r="AE1086" i="123"/>
  <c r="AE1078" i="123"/>
  <c r="AE1070" i="123"/>
  <c r="AE1062" i="123"/>
  <c r="AE1050" i="123"/>
  <c r="AE1034" i="123"/>
  <c r="AE987" i="123"/>
  <c r="AE912" i="123"/>
  <c r="AE901" i="123"/>
  <c r="AE875" i="123"/>
  <c r="AE867" i="123"/>
  <c r="AE851" i="123"/>
  <c r="AE768" i="123"/>
  <c r="AE741" i="123"/>
  <c r="AE737" i="123"/>
  <c r="AE733" i="123"/>
  <c r="AE717" i="123"/>
  <c r="AE701" i="123"/>
  <c r="AE685" i="123"/>
  <c r="AE640" i="123"/>
  <c r="AF595" i="123"/>
  <c r="AG595" i="123" s="1"/>
  <c r="AE595" i="123"/>
  <c r="AE576" i="123"/>
  <c r="AE492" i="123"/>
  <c r="AE330" i="123"/>
  <c r="AE160" i="123"/>
  <c r="AE138" i="123"/>
  <c r="AE137" i="123"/>
  <c r="AE66" i="123"/>
  <c r="AE65" i="123"/>
  <c r="AE416" i="123"/>
  <c r="AE412" i="123"/>
  <c r="AE257" i="123"/>
  <c r="AE669" i="123"/>
  <c r="AE653" i="123"/>
  <c r="AE637" i="123"/>
  <c r="AE632" i="123"/>
  <c r="AE621" i="123"/>
  <c r="AE605" i="123"/>
  <c r="AE600" i="123"/>
  <c r="AE573" i="123"/>
  <c r="AE548" i="123"/>
  <c r="AE532" i="123"/>
  <c r="AE500" i="123"/>
  <c r="AE472" i="123"/>
  <c r="AE321" i="123"/>
  <c r="AE310" i="123"/>
  <c r="AE219" i="123"/>
  <c r="AE148" i="123"/>
  <c r="AE119" i="123"/>
  <c r="AE78" i="123"/>
  <c r="AE23" i="123"/>
  <c r="AE10" i="123"/>
  <c r="AC1315" i="123"/>
  <c r="AD1315" i="123"/>
  <c r="AF1315" i="123" s="1"/>
  <c r="U1315" i="123"/>
  <c r="V1315" i="123"/>
  <c r="W1315" i="123"/>
  <c r="AN1315" i="123" s="1"/>
  <c r="Z1314" i="123"/>
  <c r="AA1314" i="123"/>
  <c r="AF1314" i="123" s="1"/>
  <c r="W1313" i="123"/>
  <c r="U1313" i="123"/>
  <c r="U1312" i="123"/>
  <c r="V1312" i="123"/>
  <c r="AC1311" i="123"/>
  <c r="AD1311" i="123"/>
  <c r="AF1311" i="123" s="1"/>
  <c r="U1311" i="123"/>
  <c r="V1311" i="123"/>
  <c r="W1311" i="123"/>
  <c r="AN1311" i="123" s="1"/>
  <c r="Z1310" i="123"/>
  <c r="AA1310" i="123"/>
  <c r="AF1310" i="123" s="1"/>
  <c r="W1309" i="123"/>
  <c r="AN1309" i="123" s="1"/>
  <c r="U1309" i="123"/>
  <c r="U1308" i="123"/>
  <c r="V1308" i="123"/>
  <c r="AC1307" i="123"/>
  <c r="AD1307" i="123"/>
  <c r="AF1307" i="123" s="1"/>
  <c r="U1307" i="123"/>
  <c r="V1307" i="123"/>
  <c r="W1307" i="123"/>
  <c r="AN1307" i="123" s="1"/>
  <c r="Z1306" i="123"/>
  <c r="AA1306" i="123"/>
  <c r="AF1306" i="123" s="1"/>
  <c r="W1305" i="123"/>
  <c r="U1305" i="123"/>
  <c r="U1304" i="123"/>
  <c r="V1304" i="123"/>
  <c r="AC1303" i="123"/>
  <c r="AD1303" i="123"/>
  <c r="U1303" i="123"/>
  <c r="V1303" i="123"/>
  <c r="W1303" i="123"/>
  <c r="AN1303" i="123" s="1"/>
  <c r="W1301" i="123"/>
  <c r="AN1301" i="123" s="1"/>
  <c r="U1301" i="123"/>
  <c r="V1301" i="123"/>
  <c r="U1300" i="123"/>
  <c r="V1300" i="123"/>
  <c r="W1300" i="123"/>
  <c r="AN1300" i="123" s="1"/>
  <c r="W1297" i="123"/>
  <c r="AN1297" i="123" s="1"/>
  <c r="U1297" i="123"/>
  <c r="V1297" i="123"/>
  <c r="U1296" i="123"/>
  <c r="V1296" i="123"/>
  <c r="W1296" i="123"/>
  <c r="AN1296" i="123" s="1"/>
  <c r="W1293" i="123"/>
  <c r="AN1293" i="123" s="1"/>
  <c r="U1293" i="123"/>
  <c r="V1293" i="123"/>
  <c r="U1292" i="123"/>
  <c r="V1292" i="123"/>
  <c r="W1292" i="123"/>
  <c r="AN1292" i="123" s="1"/>
  <c r="W1289" i="123"/>
  <c r="AN1289" i="123" s="1"/>
  <c r="U1289" i="123"/>
  <c r="V1289" i="123"/>
  <c r="U1288" i="123"/>
  <c r="V1288" i="123"/>
  <c r="W1288" i="123"/>
  <c r="AN1288" i="123" s="1"/>
  <c r="W1285" i="123"/>
  <c r="AN1285" i="123" s="1"/>
  <c r="U1285" i="123"/>
  <c r="V1285" i="123"/>
  <c r="U1284" i="123"/>
  <c r="V1284" i="123"/>
  <c r="W1284" i="123"/>
  <c r="AN1284" i="123" s="1"/>
  <c r="W1281" i="123"/>
  <c r="AN1281" i="123" s="1"/>
  <c r="U1281" i="123"/>
  <c r="V1281" i="123"/>
  <c r="U1280" i="123"/>
  <c r="V1280" i="123"/>
  <c r="W1280" i="123"/>
  <c r="AN1280" i="123" s="1"/>
  <c r="W1277" i="123"/>
  <c r="AN1277" i="123" s="1"/>
  <c r="U1277" i="123"/>
  <c r="V1277" i="123"/>
  <c r="W1273" i="123"/>
  <c r="AN1273" i="123" s="1"/>
  <c r="U1273" i="123"/>
  <c r="V1273" i="123"/>
  <c r="U1272" i="123"/>
  <c r="V1272" i="123"/>
  <c r="W1272" i="123"/>
  <c r="AN1272" i="123" s="1"/>
  <c r="W1269" i="123"/>
  <c r="AN1269" i="123" s="1"/>
  <c r="U1269" i="123"/>
  <c r="V1269" i="123"/>
  <c r="U1268" i="123"/>
  <c r="V1268" i="123"/>
  <c r="W1268" i="123"/>
  <c r="AN1268" i="123" s="1"/>
  <c r="W1265" i="123"/>
  <c r="AN1265" i="123" s="1"/>
  <c r="U1265" i="123"/>
  <c r="V1265" i="123"/>
  <c r="U1264" i="123"/>
  <c r="V1264" i="123"/>
  <c r="W1264" i="123"/>
  <c r="AN1264" i="123" s="1"/>
  <c r="W1261" i="123"/>
  <c r="AN1261" i="123" s="1"/>
  <c r="U1261" i="123"/>
  <c r="V1261" i="123"/>
  <c r="U1260" i="123"/>
  <c r="V1260" i="123"/>
  <c r="W1260" i="123"/>
  <c r="AN1260" i="123" s="1"/>
  <c r="W1257" i="123"/>
  <c r="AN1257" i="123" s="1"/>
  <c r="U1257" i="123"/>
  <c r="V1257" i="123"/>
  <c r="U1256" i="123"/>
  <c r="V1256" i="123"/>
  <c r="W1256" i="123"/>
  <c r="AN1256" i="123" s="1"/>
  <c r="W1253" i="123"/>
  <c r="AN1253" i="123" s="1"/>
  <c r="U1253" i="123"/>
  <c r="V1253" i="123"/>
  <c r="U1252" i="123"/>
  <c r="V1252" i="123"/>
  <c r="W1252" i="123"/>
  <c r="AN1252" i="123" s="1"/>
  <c r="W1249" i="123"/>
  <c r="AN1249" i="123" s="1"/>
  <c r="U1249" i="123"/>
  <c r="V1249" i="123"/>
  <c r="U1248" i="123"/>
  <c r="V1248" i="123"/>
  <c r="W1248" i="123"/>
  <c r="AN1248" i="123" s="1"/>
  <c r="W1245" i="123"/>
  <c r="AN1245" i="123" s="1"/>
  <c r="U1245" i="123"/>
  <c r="V1245" i="123"/>
  <c r="U1244" i="123"/>
  <c r="V1244" i="123"/>
  <c r="W1244" i="123"/>
  <c r="AN1244" i="123" s="1"/>
  <c r="W1241" i="123"/>
  <c r="AN1241" i="123" s="1"/>
  <c r="U1241" i="123"/>
  <c r="V1241" i="123"/>
  <c r="U1240" i="123"/>
  <c r="V1240" i="123"/>
  <c r="W1240" i="123"/>
  <c r="AN1240" i="123" s="1"/>
  <c r="W1237" i="123"/>
  <c r="AN1237" i="123" s="1"/>
  <c r="U1237" i="123"/>
  <c r="V1237" i="123"/>
  <c r="U1236" i="123"/>
  <c r="V1236" i="123"/>
  <c r="W1236" i="123"/>
  <c r="AN1236" i="123" s="1"/>
  <c r="W1233" i="123"/>
  <c r="AN1233" i="123" s="1"/>
  <c r="U1233" i="123"/>
  <c r="V1233" i="123"/>
  <c r="U1232" i="123"/>
  <c r="V1232" i="123"/>
  <c r="W1232" i="123"/>
  <c r="AN1232" i="123" s="1"/>
  <c r="W1229" i="123"/>
  <c r="AN1229" i="123" s="1"/>
  <c r="U1229" i="123"/>
  <c r="V1229" i="123"/>
  <c r="U1228" i="123"/>
  <c r="V1228" i="123"/>
  <c r="W1228" i="123"/>
  <c r="AN1228" i="123" s="1"/>
  <c r="W1225" i="123"/>
  <c r="AN1225" i="123" s="1"/>
  <c r="U1225" i="123"/>
  <c r="V1225" i="123"/>
  <c r="U1224" i="123"/>
  <c r="V1224" i="123"/>
  <c r="W1224" i="123"/>
  <c r="AN1224" i="123" s="1"/>
  <c r="W1221" i="123"/>
  <c r="AN1221" i="123" s="1"/>
  <c r="U1221" i="123"/>
  <c r="V1221" i="123"/>
  <c r="U1220" i="123"/>
  <c r="V1220" i="123"/>
  <c r="W1220" i="123"/>
  <c r="AN1220" i="123" s="1"/>
  <c r="W1217" i="123"/>
  <c r="AN1217" i="123" s="1"/>
  <c r="U1217" i="123"/>
  <c r="V1217" i="123"/>
  <c r="U1216" i="123"/>
  <c r="V1216" i="123"/>
  <c r="W1216" i="123"/>
  <c r="AN1216" i="123" s="1"/>
  <c r="W1213" i="123"/>
  <c r="AN1213" i="123" s="1"/>
  <c r="U1213" i="123"/>
  <c r="V1213" i="123"/>
  <c r="U1212" i="123"/>
  <c r="V1212" i="123"/>
  <c r="W1212" i="123"/>
  <c r="AN1212" i="123" s="1"/>
  <c r="W1209" i="123"/>
  <c r="AN1209" i="123" s="1"/>
  <c r="U1209" i="123"/>
  <c r="V1209" i="123"/>
  <c r="U1208" i="123"/>
  <c r="V1208" i="123"/>
  <c r="W1208" i="123"/>
  <c r="AN1208" i="123" s="1"/>
  <c r="W1205" i="123"/>
  <c r="AN1205" i="123" s="1"/>
  <c r="U1205" i="123"/>
  <c r="V1205" i="123"/>
  <c r="U1204" i="123"/>
  <c r="V1204" i="123"/>
  <c r="W1204" i="123"/>
  <c r="AN1204" i="123" s="1"/>
  <c r="W1201" i="123"/>
  <c r="AN1201" i="123" s="1"/>
  <c r="U1201" i="123"/>
  <c r="V1201" i="123"/>
  <c r="U1200" i="123"/>
  <c r="V1200" i="123"/>
  <c r="W1200" i="123"/>
  <c r="AN1200" i="123" s="1"/>
  <c r="W1197" i="123"/>
  <c r="AN1197" i="123" s="1"/>
  <c r="U1197" i="123"/>
  <c r="V1197" i="123"/>
  <c r="U1196" i="123"/>
  <c r="V1196" i="123"/>
  <c r="W1196" i="123"/>
  <c r="AN1196" i="123" s="1"/>
  <c r="W1193" i="123"/>
  <c r="AN1193" i="123" s="1"/>
  <c r="U1193" i="123"/>
  <c r="V1193" i="123"/>
  <c r="U1192" i="123"/>
  <c r="V1192" i="123"/>
  <c r="W1192" i="123"/>
  <c r="AN1192" i="123" s="1"/>
  <c r="W1189" i="123"/>
  <c r="AN1189" i="123" s="1"/>
  <c r="U1189" i="123"/>
  <c r="V1189" i="123"/>
  <c r="U1188" i="123"/>
  <c r="V1188" i="123"/>
  <c r="W1188" i="123"/>
  <c r="AN1188" i="123" s="1"/>
  <c r="W1185" i="123"/>
  <c r="AN1185" i="123" s="1"/>
  <c r="U1185" i="123"/>
  <c r="V1185" i="123"/>
  <c r="U1184" i="123"/>
  <c r="V1184" i="123"/>
  <c r="W1184" i="123"/>
  <c r="AN1184" i="123" s="1"/>
  <c r="W1181" i="123"/>
  <c r="AN1181" i="123" s="1"/>
  <c r="U1181" i="123"/>
  <c r="V1181" i="123"/>
  <c r="U1180" i="123"/>
  <c r="V1180" i="123"/>
  <c r="W1180" i="123"/>
  <c r="AN1180" i="123" s="1"/>
  <c r="W1177" i="123"/>
  <c r="AN1177" i="123" s="1"/>
  <c r="U1177" i="123"/>
  <c r="V1177" i="123"/>
  <c r="U1176" i="123"/>
  <c r="V1176" i="123"/>
  <c r="W1176" i="123"/>
  <c r="AN1176" i="123" s="1"/>
  <c r="W1173" i="123"/>
  <c r="AN1173" i="123" s="1"/>
  <c r="U1173" i="123"/>
  <c r="V1173" i="123"/>
  <c r="U1172" i="123"/>
  <c r="V1172" i="123"/>
  <c r="W1172" i="123"/>
  <c r="AN1172" i="123" s="1"/>
  <c r="W1169" i="123"/>
  <c r="AN1169" i="123" s="1"/>
  <c r="U1169" i="123"/>
  <c r="V1169" i="123"/>
  <c r="U1168" i="123"/>
  <c r="V1168" i="123"/>
  <c r="W1168" i="123"/>
  <c r="AN1168" i="123" s="1"/>
  <c r="W1165" i="123"/>
  <c r="AN1165" i="123" s="1"/>
  <c r="U1165" i="123"/>
  <c r="V1165" i="123"/>
  <c r="U1164" i="123"/>
  <c r="V1164" i="123"/>
  <c r="W1164" i="123"/>
  <c r="AN1164" i="123" s="1"/>
  <c r="W1161" i="123"/>
  <c r="AN1161" i="123" s="1"/>
  <c r="U1161" i="123"/>
  <c r="V1161" i="123"/>
  <c r="AF1160" i="123"/>
  <c r="AE1160" i="123"/>
  <c r="W1157" i="123"/>
  <c r="AN1157" i="123" s="1"/>
  <c r="U1157" i="123"/>
  <c r="V1157" i="123"/>
  <c r="AF1156" i="123"/>
  <c r="AE1156" i="123"/>
  <c r="W1153" i="123"/>
  <c r="AN1153" i="123" s="1"/>
  <c r="U1153" i="123"/>
  <c r="V1153" i="123"/>
  <c r="AF1152" i="123"/>
  <c r="AE1152" i="123"/>
  <c r="W1149" i="123"/>
  <c r="AN1149" i="123" s="1"/>
  <c r="U1149" i="123"/>
  <c r="V1149" i="123"/>
  <c r="AF1148" i="123"/>
  <c r="AE1148" i="123"/>
  <c r="W1145" i="123"/>
  <c r="AN1145" i="123" s="1"/>
  <c r="U1145" i="123"/>
  <c r="V1145" i="123"/>
  <c r="AF1144" i="123"/>
  <c r="AE1144" i="123"/>
  <c r="W1141" i="123"/>
  <c r="AN1141" i="123" s="1"/>
  <c r="U1141" i="123"/>
  <c r="V1141" i="123"/>
  <c r="AF1140" i="123"/>
  <c r="AE1140" i="123"/>
  <c r="W1137" i="123"/>
  <c r="AN1137" i="123" s="1"/>
  <c r="U1137" i="123"/>
  <c r="V1137" i="123"/>
  <c r="AE1136" i="123"/>
  <c r="W1133" i="123"/>
  <c r="AN1133" i="123" s="1"/>
  <c r="U1133" i="123"/>
  <c r="V1133" i="123"/>
  <c r="AF1132" i="123"/>
  <c r="AE1132" i="123"/>
  <c r="W1129" i="123"/>
  <c r="AN1129" i="123" s="1"/>
  <c r="U1129" i="123"/>
  <c r="V1129" i="123"/>
  <c r="AF1128" i="123"/>
  <c r="AE1128" i="123"/>
  <c r="W1125" i="123"/>
  <c r="AN1125" i="123" s="1"/>
  <c r="U1125" i="123"/>
  <c r="V1125" i="123"/>
  <c r="AF1124" i="123"/>
  <c r="AE1124" i="123"/>
  <c r="W1121" i="123"/>
  <c r="AN1121" i="123" s="1"/>
  <c r="U1121" i="123"/>
  <c r="V1121" i="123"/>
  <c r="AF1120" i="123"/>
  <c r="AE1120" i="123"/>
  <c r="W1117" i="123"/>
  <c r="AN1117" i="123" s="1"/>
  <c r="U1117" i="123"/>
  <c r="V1117" i="123"/>
  <c r="AF1116" i="123"/>
  <c r="AE1116" i="123"/>
  <c r="W1113" i="123"/>
  <c r="AN1113" i="123" s="1"/>
  <c r="U1113" i="123"/>
  <c r="V1113" i="123"/>
  <c r="AF1112" i="123"/>
  <c r="AE1112" i="123"/>
  <c r="W1109" i="123"/>
  <c r="AN1109" i="123" s="1"/>
  <c r="U1109" i="123"/>
  <c r="V1109" i="123"/>
  <c r="AF1108" i="123"/>
  <c r="AE1108" i="123"/>
  <c r="W1105" i="123"/>
  <c r="AN1105" i="123" s="1"/>
  <c r="U1105" i="123"/>
  <c r="V1105" i="123"/>
  <c r="AE1104" i="123"/>
  <c r="W1101" i="123"/>
  <c r="AN1101" i="123" s="1"/>
  <c r="U1101" i="123"/>
  <c r="V1101" i="123"/>
  <c r="W1097" i="123"/>
  <c r="AN1097" i="123" s="1"/>
  <c r="U1097" i="123"/>
  <c r="V1097" i="123"/>
  <c r="AF1096" i="123"/>
  <c r="AE1096" i="123"/>
  <c r="W1093" i="123"/>
  <c r="AN1093" i="123" s="1"/>
  <c r="U1093" i="123"/>
  <c r="V1093" i="123"/>
  <c r="W1089" i="123"/>
  <c r="AN1089" i="123" s="1"/>
  <c r="U1089" i="123"/>
  <c r="V1089" i="123"/>
  <c r="AF1088" i="123"/>
  <c r="AE1088" i="123"/>
  <c r="W1085" i="123"/>
  <c r="AN1085" i="123" s="1"/>
  <c r="U1085" i="123"/>
  <c r="V1085" i="123"/>
  <c r="W1081" i="123"/>
  <c r="AN1081" i="123" s="1"/>
  <c r="U1081" i="123"/>
  <c r="V1081" i="123"/>
  <c r="AF1080" i="123"/>
  <c r="AE1080" i="123"/>
  <c r="W1077" i="123"/>
  <c r="AN1077" i="123" s="1"/>
  <c r="U1077" i="123"/>
  <c r="V1077" i="123"/>
  <c r="W1073" i="123"/>
  <c r="AN1073" i="123" s="1"/>
  <c r="U1073" i="123"/>
  <c r="V1073" i="123"/>
  <c r="AF1072" i="123"/>
  <c r="AE1072" i="123"/>
  <c r="W1069" i="123"/>
  <c r="AN1069" i="123" s="1"/>
  <c r="U1069" i="123"/>
  <c r="V1069" i="123"/>
  <c r="W1065" i="123"/>
  <c r="AN1065" i="123" s="1"/>
  <c r="U1065" i="123"/>
  <c r="V1065" i="123"/>
  <c r="AF1064" i="123"/>
  <c r="AE1064" i="123"/>
  <c r="W1061" i="123"/>
  <c r="AN1061" i="123" s="1"/>
  <c r="U1061" i="123"/>
  <c r="V1061" i="123"/>
  <c r="W1057" i="123"/>
  <c r="AN1057" i="123" s="1"/>
  <c r="U1057" i="123"/>
  <c r="V1057" i="123"/>
  <c r="W1053" i="123"/>
  <c r="AN1053" i="123" s="1"/>
  <c r="U1053" i="123"/>
  <c r="V1053" i="123"/>
  <c r="W1049" i="123"/>
  <c r="AN1049" i="123" s="1"/>
  <c r="U1049" i="123"/>
  <c r="V1049" i="123"/>
  <c r="W1045" i="123"/>
  <c r="AN1045" i="123" s="1"/>
  <c r="U1045" i="123"/>
  <c r="V1045" i="123"/>
  <c r="W1041" i="123"/>
  <c r="AN1041" i="123" s="1"/>
  <c r="U1041" i="123"/>
  <c r="V1041" i="123"/>
  <c r="W1037" i="123"/>
  <c r="AN1037" i="123" s="1"/>
  <c r="U1037" i="123"/>
  <c r="V1037" i="123"/>
  <c r="U1018" i="123"/>
  <c r="V1018" i="123"/>
  <c r="W1018" i="123"/>
  <c r="AN1018" i="123" s="1"/>
  <c r="W1016" i="123"/>
  <c r="AN1016" i="123" s="1"/>
  <c r="U1016" i="123"/>
  <c r="V1016" i="123"/>
  <c r="AR1016" i="123"/>
  <c r="AS1016" i="123" s="1"/>
  <c r="U1014" i="123"/>
  <c r="V1014" i="123"/>
  <c r="W1014" i="123"/>
  <c r="AN1014" i="123" s="1"/>
  <c r="W1012" i="123"/>
  <c r="AN1012" i="123" s="1"/>
  <c r="U1012" i="123"/>
  <c r="V1012" i="123"/>
  <c r="AR1012" i="123"/>
  <c r="AS1012" i="123" s="1"/>
  <c r="U1010" i="123"/>
  <c r="V1010" i="123"/>
  <c r="W1010" i="123"/>
  <c r="AN1010" i="123" s="1"/>
  <c r="W1008" i="123"/>
  <c r="AN1008" i="123" s="1"/>
  <c r="U1008" i="123"/>
  <c r="V1008" i="123"/>
  <c r="U1006" i="123"/>
  <c r="V1006" i="123"/>
  <c r="W1006" i="123"/>
  <c r="AN1006" i="123" s="1"/>
  <c r="W1004" i="123"/>
  <c r="AN1004" i="123" s="1"/>
  <c r="U1004" i="123"/>
  <c r="V1004" i="123"/>
  <c r="AR1004" i="123"/>
  <c r="AS1004" i="123" s="1"/>
  <c r="W1002" i="123"/>
  <c r="AN1002" i="123" s="1"/>
  <c r="U1002" i="123"/>
  <c r="V1002" i="123"/>
  <c r="AD1033" i="123"/>
  <c r="AF1033" i="123" s="1"/>
  <c r="V1033" i="123"/>
  <c r="AD1029" i="123"/>
  <c r="AF1029" i="123" s="1"/>
  <c r="V1029" i="123"/>
  <c r="AD1025" i="123"/>
  <c r="AF1025" i="123" s="1"/>
  <c r="V1025" i="123"/>
  <c r="W1024" i="123"/>
  <c r="AN1024" i="123" s="1"/>
  <c r="AC1022" i="123"/>
  <c r="AE1022" i="123" s="1"/>
  <c r="U1022" i="123"/>
  <c r="AD1021" i="123"/>
  <c r="AF1021" i="123" s="1"/>
  <c r="V1021" i="123"/>
  <c r="W1020" i="123"/>
  <c r="AN1020" i="123" s="1"/>
  <c r="AD1014" i="123"/>
  <c r="AF1014" i="123" s="1"/>
  <c r="AA1013" i="123"/>
  <c r="U1013" i="123"/>
  <c r="AF1011" i="123"/>
  <c r="Z1011" i="123"/>
  <c r="AC1009" i="123"/>
  <c r="AE1009" i="123" s="1"/>
  <c r="AD1006" i="123"/>
  <c r="AF1006" i="123" s="1"/>
  <c r="AA1005" i="123"/>
  <c r="AF1005" i="123" s="1"/>
  <c r="U1005" i="123"/>
  <c r="AF1003" i="123"/>
  <c r="Z1003" i="123"/>
  <c r="AD1002" i="123"/>
  <c r="AF1002" i="123" s="1"/>
  <c r="V994" i="123"/>
  <c r="W994" i="123"/>
  <c r="AN994" i="123" s="1"/>
  <c r="U994" i="123"/>
  <c r="U987" i="123"/>
  <c r="V987" i="123"/>
  <c r="W987" i="123"/>
  <c r="AN987" i="123" s="1"/>
  <c r="AE985" i="123"/>
  <c r="V978" i="123"/>
  <c r="W978" i="123"/>
  <c r="AN978" i="123" s="1"/>
  <c r="U978" i="123"/>
  <c r="U935" i="123"/>
  <c r="V935" i="123"/>
  <c r="W935" i="123"/>
  <c r="AN935" i="123" s="1"/>
  <c r="U928" i="123"/>
  <c r="V928" i="123"/>
  <c r="W928" i="123"/>
  <c r="AN928" i="123" s="1"/>
  <c r="U924" i="123"/>
  <c r="V924" i="123"/>
  <c r="W924" i="123"/>
  <c r="AN924" i="123" s="1"/>
  <c r="U920" i="123"/>
  <c r="V920" i="123"/>
  <c r="W920" i="123"/>
  <c r="AN920" i="123" s="1"/>
  <c r="U916" i="123"/>
  <c r="V916" i="123"/>
  <c r="W916" i="123"/>
  <c r="AN916" i="123" s="1"/>
  <c r="U907" i="123"/>
  <c r="V907" i="123"/>
  <c r="W907" i="123"/>
  <c r="AN907" i="123" s="1"/>
  <c r="U900" i="123"/>
  <c r="V900" i="123"/>
  <c r="W900" i="123"/>
  <c r="AN900" i="123" s="1"/>
  <c r="U875" i="123"/>
  <c r="V875" i="123"/>
  <c r="W875" i="123"/>
  <c r="AN875" i="123" s="1"/>
  <c r="U867" i="123"/>
  <c r="V867" i="123"/>
  <c r="W867" i="123"/>
  <c r="AN867" i="123" s="1"/>
  <c r="U859" i="123"/>
  <c r="V859" i="123"/>
  <c r="W859" i="123"/>
  <c r="AN859" i="123" s="1"/>
  <c r="U851" i="123"/>
  <c r="V851" i="123"/>
  <c r="W851" i="123"/>
  <c r="AN851" i="123" s="1"/>
  <c r="W1299" i="123"/>
  <c r="AN1299" i="123" s="1"/>
  <c r="W1295" i="123"/>
  <c r="AN1295" i="123" s="1"/>
  <c r="W1291" i="123"/>
  <c r="AN1291" i="123" s="1"/>
  <c r="W1287" i="123"/>
  <c r="AN1287" i="123" s="1"/>
  <c r="W1283" i="123"/>
  <c r="AN1283" i="123" s="1"/>
  <c r="W1279" i="123"/>
  <c r="AN1279" i="123" s="1"/>
  <c r="AD1276" i="123"/>
  <c r="AF1276" i="123" s="1"/>
  <c r="V1276" i="123"/>
  <c r="W1275" i="123"/>
  <c r="AN1275" i="123" s="1"/>
  <c r="W1271" i="123"/>
  <c r="AN1271" i="123" s="1"/>
  <c r="W1267" i="123"/>
  <c r="AN1267" i="123" s="1"/>
  <c r="W1263" i="123"/>
  <c r="AN1263" i="123" s="1"/>
  <c r="W1259" i="123"/>
  <c r="AN1259" i="123" s="1"/>
  <c r="W1255" i="123"/>
  <c r="AN1255" i="123" s="1"/>
  <c r="W1251" i="123"/>
  <c r="AN1251" i="123" s="1"/>
  <c r="W1247" i="123"/>
  <c r="AN1247" i="123" s="1"/>
  <c r="W1243" i="123"/>
  <c r="AN1243" i="123" s="1"/>
  <c r="W1239" i="123"/>
  <c r="AN1239" i="123" s="1"/>
  <c r="W1235" i="123"/>
  <c r="AN1235" i="123" s="1"/>
  <c r="W1231" i="123"/>
  <c r="AN1231" i="123" s="1"/>
  <c r="W1227" i="123"/>
  <c r="AN1227" i="123" s="1"/>
  <c r="W1223" i="123"/>
  <c r="AN1223" i="123" s="1"/>
  <c r="W1219" i="123"/>
  <c r="AN1219" i="123" s="1"/>
  <c r="W1215" i="123"/>
  <c r="AN1215" i="123" s="1"/>
  <c r="W1211" i="123"/>
  <c r="AN1211" i="123" s="1"/>
  <c r="W1207" i="123"/>
  <c r="AN1207" i="123" s="1"/>
  <c r="W1203" i="123"/>
  <c r="AN1203" i="123" s="1"/>
  <c r="W1199" i="123"/>
  <c r="AN1199" i="123" s="1"/>
  <c r="W1195" i="123"/>
  <c r="AN1195" i="123" s="1"/>
  <c r="W1191" i="123"/>
  <c r="AN1191" i="123" s="1"/>
  <c r="W1187" i="123"/>
  <c r="AN1187" i="123" s="1"/>
  <c r="W1183" i="123"/>
  <c r="AN1183" i="123" s="1"/>
  <c r="W1179" i="123"/>
  <c r="AN1179" i="123" s="1"/>
  <c r="W1175" i="123"/>
  <c r="AN1175" i="123" s="1"/>
  <c r="W1171" i="123"/>
  <c r="AN1171" i="123" s="1"/>
  <c r="W1167" i="123"/>
  <c r="AN1167" i="123" s="1"/>
  <c r="W1163" i="123"/>
  <c r="AN1163" i="123" s="1"/>
  <c r="W1159" i="123"/>
  <c r="AN1159" i="123" s="1"/>
  <c r="W1155" i="123"/>
  <c r="AN1155" i="123" s="1"/>
  <c r="W1151" i="123"/>
  <c r="AN1151" i="123" s="1"/>
  <c r="W1147" i="123"/>
  <c r="AN1147" i="123" s="1"/>
  <c r="W1143" i="123"/>
  <c r="AN1143" i="123" s="1"/>
  <c r="W1139" i="123"/>
  <c r="AN1139" i="123" s="1"/>
  <c r="W1135" i="123"/>
  <c r="AN1135" i="123" s="1"/>
  <c r="W1131" i="123"/>
  <c r="AN1131" i="123" s="1"/>
  <c r="W1127" i="123"/>
  <c r="AN1127" i="123" s="1"/>
  <c r="W1123" i="123"/>
  <c r="AN1123" i="123" s="1"/>
  <c r="W1119" i="123"/>
  <c r="AN1119" i="123" s="1"/>
  <c r="W1115" i="123"/>
  <c r="AN1115" i="123" s="1"/>
  <c r="W1111" i="123"/>
  <c r="AN1111" i="123" s="1"/>
  <c r="W1107" i="123"/>
  <c r="AN1107" i="123" s="1"/>
  <c r="W1103" i="123"/>
  <c r="AN1103" i="123" s="1"/>
  <c r="W1099" i="123"/>
  <c r="AN1099" i="123" s="1"/>
  <c r="W1095" i="123"/>
  <c r="AN1095" i="123" s="1"/>
  <c r="W1091" i="123"/>
  <c r="AN1091" i="123" s="1"/>
  <c r="W1087" i="123"/>
  <c r="AN1087" i="123" s="1"/>
  <c r="W1083" i="123"/>
  <c r="AN1083" i="123" s="1"/>
  <c r="W1079" i="123"/>
  <c r="AN1079" i="123" s="1"/>
  <c r="W1075" i="123"/>
  <c r="AN1075" i="123" s="1"/>
  <c r="W1071" i="123"/>
  <c r="AN1071" i="123" s="1"/>
  <c r="W1067" i="123"/>
  <c r="AN1067" i="123" s="1"/>
  <c r="W1063" i="123"/>
  <c r="AN1063" i="123" s="1"/>
  <c r="AD1060" i="123"/>
  <c r="AF1060" i="123" s="1"/>
  <c r="V1060" i="123"/>
  <c r="W1059" i="123"/>
  <c r="AN1059" i="123" s="1"/>
  <c r="AD1056" i="123"/>
  <c r="AF1056" i="123" s="1"/>
  <c r="V1056" i="123"/>
  <c r="W1055" i="123"/>
  <c r="AN1055" i="123" s="1"/>
  <c r="AD1052" i="123"/>
  <c r="AF1052" i="123" s="1"/>
  <c r="V1052" i="123"/>
  <c r="W1051" i="123"/>
  <c r="AN1051" i="123" s="1"/>
  <c r="AD1048" i="123"/>
  <c r="AF1048" i="123" s="1"/>
  <c r="V1048" i="123"/>
  <c r="W1047" i="123"/>
  <c r="AN1047" i="123" s="1"/>
  <c r="AD1044" i="123"/>
  <c r="AF1044" i="123" s="1"/>
  <c r="V1044" i="123"/>
  <c r="W1043" i="123"/>
  <c r="AN1043" i="123" s="1"/>
  <c r="AD1040" i="123"/>
  <c r="AF1040" i="123" s="1"/>
  <c r="V1040" i="123"/>
  <c r="W1039" i="123"/>
  <c r="AN1039" i="123" s="1"/>
  <c r="AD1036" i="123"/>
  <c r="AF1036" i="123" s="1"/>
  <c r="V1036" i="123"/>
  <c r="W1035" i="123"/>
  <c r="AN1035" i="123" s="1"/>
  <c r="U1033" i="123"/>
  <c r="AD1032" i="123"/>
  <c r="AF1032" i="123" s="1"/>
  <c r="V1032" i="123"/>
  <c r="W1031" i="123"/>
  <c r="AN1031" i="123" s="1"/>
  <c r="U1029" i="123"/>
  <c r="AD1028" i="123"/>
  <c r="AF1028" i="123" s="1"/>
  <c r="V1028" i="123"/>
  <c r="W1027" i="123"/>
  <c r="AN1027" i="123" s="1"/>
  <c r="U1025" i="123"/>
  <c r="AD1024" i="123"/>
  <c r="AF1024" i="123" s="1"/>
  <c r="V1024" i="123"/>
  <c r="W1023" i="123"/>
  <c r="AN1023" i="123" s="1"/>
  <c r="U1021" i="123"/>
  <c r="AD1020" i="123"/>
  <c r="AF1020" i="123" s="1"/>
  <c r="V1020" i="123"/>
  <c r="W1019" i="123"/>
  <c r="AN1019" i="123" s="1"/>
  <c r="AM1016" i="123"/>
  <c r="AN1015" i="123"/>
  <c r="AE1012" i="123"/>
  <c r="AE1004" i="123"/>
  <c r="V998" i="123"/>
  <c r="W998" i="123"/>
  <c r="AN998" i="123" s="1"/>
  <c r="U998" i="123"/>
  <c r="U991" i="123"/>
  <c r="V991" i="123"/>
  <c r="W991" i="123"/>
  <c r="AN991" i="123" s="1"/>
  <c r="AE989" i="123"/>
  <c r="AF989" i="123"/>
  <c r="V982" i="123"/>
  <c r="W982" i="123"/>
  <c r="AN982" i="123" s="1"/>
  <c r="U982" i="123"/>
  <c r="U939" i="123"/>
  <c r="V939" i="123"/>
  <c r="W939" i="123"/>
  <c r="AN939" i="123" s="1"/>
  <c r="U931" i="123"/>
  <c r="V931" i="123"/>
  <c r="W931" i="123"/>
  <c r="AN931" i="123" s="1"/>
  <c r="AR924" i="123"/>
  <c r="AS924" i="123" s="1"/>
  <c r="AR920" i="123"/>
  <c r="AS920" i="123" s="1"/>
  <c r="AR916" i="123"/>
  <c r="AS916" i="123" s="1"/>
  <c r="U912" i="123"/>
  <c r="V912" i="123"/>
  <c r="W912" i="123"/>
  <c r="AN912" i="123" s="1"/>
  <c r="U903" i="123"/>
  <c r="V903" i="123"/>
  <c r="W903" i="123"/>
  <c r="AN903" i="123" s="1"/>
  <c r="U896" i="123"/>
  <c r="V896" i="123"/>
  <c r="W896" i="123"/>
  <c r="AN896" i="123" s="1"/>
  <c r="U892" i="123"/>
  <c r="V892" i="123"/>
  <c r="W892" i="123"/>
  <c r="AN892" i="123" s="1"/>
  <c r="U887" i="123"/>
  <c r="V887" i="123"/>
  <c r="W887" i="123"/>
  <c r="AN887" i="123" s="1"/>
  <c r="AR879" i="123"/>
  <c r="AS879" i="123" s="1"/>
  <c r="AE869" i="123"/>
  <c r="AE861" i="123"/>
  <c r="AF861" i="123"/>
  <c r="AE853" i="123"/>
  <c r="AF853" i="123"/>
  <c r="AE845" i="123"/>
  <c r="AF845" i="123"/>
  <c r="AE841" i="123"/>
  <c r="AF841" i="123"/>
  <c r="W1314" i="123"/>
  <c r="AN1314" i="123" s="1"/>
  <c r="W1310" i="123"/>
  <c r="AN1310" i="123" s="1"/>
  <c r="W1306" i="123"/>
  <c r="AN1306" i="123" s="1"/>
  <c r="AA1302" i="123"/>
  <c r="AF1302" i="123" s="1"/>
  <c r="W1302" i="123"/>
  <c r="AN1302" i="123" s="1"/>
  <c r="AD1299" i="123"/>
  <c r="AF1299" i="123" s="1"/>
  <c r="V1299" i="123"/>
  <c r="AA1298" i="123"/>
  <c r="AF1298" i="123" s="1"/>
  <c r="W1298" i="123"/>
  <c r="AN1298" i="123" s="1"/>
  <c r="AD1295" i="123"/>
  <c r="AF1295" i="123" s="1"/>
  <c r="V1295" i="123"/>
  <c r="AA1294" i="123"/>
  <c r="AF1294" i="123" s="1"/>
  <c r="W1294" i="123"/>
  <c r="AN1294" i="123" s="1"/>
  <c r="AD1291" i="123"/>
  <c r="AF1291" i="123" s="1"/>
  <c r="V1291" i="123"/>
  <c r="AA1290" i="123"/>
  <c r="AF1290" i="123" s="1"/>
  <c r="W1290" i="123"/>
  <c r="AN1290" i="123" s="1"/>
  <c r="AD1287" i="123"/>
  <c r="AF1287" i="123" s="1"/>
  <c r="V1287" i="123"/>
  <c r="AA1286" i="123"/>
  <c r="AF1286" i="123" s="1"/>
  <c r="W1286" i="123"/>
  <c r="AN1286" i="123" s="1"/>
  <c r="AD1283" i="123"/>
  <c r="AF1283" i="123" s="1"/>
  <c r="V1283" i="123"/>
  <c r="AA1282" i="123"/>
  <c r="AF1282" i="123" s="1"/>
  <c r="W1282" i="123"/>
  <c r="AN1282" i="123" s="1"/>
  <c r="AD1279" i="123"/>
  <c r="AF1279" i="123" s="1"/>
  <c r="V1279" i="123"/>
  <c r="AA1278" i="123"/>
  <c r="AF1278" i="123" s="1"/>
  <c r="W1278" i="123"/>
  <c r="AN1278" i="123" s="1"/>
  <c r="AD1275" i="123"/>
  <c r="AF1275" i="123" s="1"/>
  <c r="V1275" i="123"/>
  <c r="AA1274" i="123"/>
  <c r="AF1274" i="123" s="1"/>
  <c r="W1274" i="123"/>
  <c r="AN1274" i="123" s="1"/>
  <c r="AD1271" i="123"/>
  <c r="AF1271" i="123" s="1"/>
  <c r="V1271" i="123"/>
  <c r="AA1270" i="123"/>
  <c r="AF1270" i="123" s="1"/>
  <c r="W1270" i="123"/>
  <c r="AN1270" i="123" s="1"/>
  <c r="AD1267" i="123"/>
  <c r="AF1267" i="123" s="1"/>
  <c r="V1267" i="123"/>
  <c r="AA1266" i="123"/>
  <c r="AF1266" i="123" s="1"/>
  <c r="W1266" i="123"/>
  <c r="AN1266" i="123" s="1"/>
  <c r="AD1263" i="123"/>
  <c r="AF1263" i="123" s="1"/>
  <c r="V1263" i="123"/>
  <c r="AA1262" i="123"/>
  <c r="AF1262" i="123" s="1"/>
  <c r="W1262" i="123"/>
  <c r="AN1262" i="123" s="1"/>
  <c r="AD1259" i="123"/>
  <c r="AF1259" i="123" s="1"/>
  <c r="V1259" i="123"/>
  <c r="AA1258" i="123"/>
  <c r="AF1258" i="123" s="1"/>
  <c r="W1258" i="123"/>
  <c r="AN1258" i="123" s="1"/>
  <c r="AD1255" i="123"/>
  <c r="AF1255" i="123" s="1"/>
  <c r="V1255" i="123"/>
  <c r="AA1254" i="123"/>
  <c r="AF1254" i="123" s="1"/>
  <c r="W1254" i="123"/>
  <c r="AN1254" i="123" s="1"/>
  <c r="AD1251" i="123"/>
  <c r="AF1251" i="123" s="1"/>
  <c r="V1251" i="123"/>
  <c r="AA1250" i="123"/>
  <c r="AF1250" i="123" s="1"/>
  <c r="W1250" i="123"/>
  <c r="AN1250" i="123" s="1"/>
  <c r="AD1247" i="123"/>
  <c r="AF1247" i="123" s="1"/>
  <c r="V1247" i="123"/>
  <c r="AA1246" i="123"/>
  <c r="AF1246" i="123" s="1"/>
  <c r="W1246" i="123"/>
  <c r="AN1246" i="123" s="1"/>
  <c r="AD1243" i="123"/>
  <c r="AF1243" i="123" s="1"/>
  <c r="V1243" i="123"/>
  <c r="AA1242" i="123"/>
  <c r="AF1242" i="123" s="1"/>
  <c r="W1242" i="123"/>
  <c r="AN1242" i="123" s="1"/>
  <c r="AD1239" i="123"/>
  <c r="AF1239" i="123" s="1"/>
  <c r="V1239" i="123"/>
  <c r="AA1238" i="123"/>
  <c r="AF1238" i="123" s="1"/>
  <c r="W1238" i="123"/>
  <c r="AN1238" i="123" s="1"/>
  <c r="AD1235" i="123"/>
  <c r="AF1235" i="123" s="1"/>
  <c r="V1235" i="123"/>
  <c r="AA1234" i="123"/>
  <c r="AF1234" i="123" s="1"/>
  <c r="W1234" i="123"/>
  <c r="AN1234" i="123" s="1"/>
  <c r="AD1231" i="123"/>
  <c r="AF1231" i="123" s="1"/>
  <c r="V1231" i="123"/>
  <c r="AA1230" i="123"/>
  <c r="AF1230" i="123" s="1"/>
  <c r="AD1227" i="123"/>
  <c r="AF1227" i="123" s="1"/>
  <c r="V1227" i="123"/>
  <c r="AA1226" i="123"/>
  <c r="AF1226" i="123" s="1"/>
  <c r="AD1223" i="123"/>
  <c r="AF1223" i="123" s="1"/>
  <c r="V1223" i="123"/>
  <c r="AA1222" i="123"/>
  <c r="AF1222" i="123" s="1"/>
  <c r="AD1219" i="123"/>
  <c r="AF1219" i="123" s="1"/>
  <c r="V1219" i="123"/>
  <c r="AA1218" i="123"/>
  <c r="AF1218" i="123" s="1"/>
  <c r="AD1215" i="123"/>
  <c r="AF1215" i="123" s="1"/>
  <c r="V1215" i="123"/>
  <c r="AA1214" i="123"/>
  <c r="AF1214" i="123" s="1"/>
  <c r="AD1211" i="123"/>
  <c r="AF1211" i="123" s="1"/>
  <c r="V1211" i="123"/>
  <c r="AA1210" i="123"/>
  <c r="AF1210" i="123" s="1"/>
  <c r="AD1207" i="123"/>
  <c r="AF1207" i="123" s="1"/>
  <c r="V1207" i="123"/>
  <c r="AA1206" i="123"/>
  <c r="AF1206" i="123" s="1"/>
  <c r="AD1203" i="123"/>
  <c r="AF1203" i="123" s="1"/>
  <c r="V1203" i="123"/>
  <c r="AA1202" i="123"/>
  <c r="AF1202" i="123" s="1"/>
  <c r="AD1199" i="123"/>
  <c r="AF1199" i="123" s="1"/>
  <c r="V1199" i="123"/>
  <c r="AA1198" i="123"/>
  <c r="AF1198" i="123" s="1"/>
  <c r="AD1195" i="123"/>
  <c r="AF1195" i="123" s="1"/>
  <c r="V1195" i="123"/>
  <c r="AA1194" i="123"/>
  <c r="AF1194" i="123" s="1"/>
  <c r="AD1191" i="123"/>
  <c r="AF1191" i="123" s="1"/>
  <c r="V1191" i="123"/>
  <c r="AA1190" i="123"/>
  <c r="AF1190" i="123" s="1"/>
  <c r="W1190" i="123"/>
  <c r="AN1190" i="123" s="1"/>
  <c r="AD1187" i="123"/>
  <c r="AF1187" i="123" s="1"/>
  <c r="V1187" i="123"/>
  <c r="AA1186" i="123"/>
  <c r="AF1186" i="123" s="1"/>
  <c r="W1186" i="123"/>
  <c r="AN1186" i="123" s="1"/>
  <c r="AD1183" i="123"/>
  <c r="AF1183" i="123" s="1"/>
  <c r="V1183" i="123"/>
  <c r="AA1182" i="123"/>
  <c r="AF1182" i="123" s="1"/>
  <c r="W1182" i="123"/>
  <c r="AN1182" i="123" s="1"/>
  <c r="AD1179" i="123"/>
  <c r="AF1179" i="123" s="1"/>
  <c r="V1179" i="123"/>
  <c r="AA1178" i="123"/>
  <c r="AF1178" i="123" s="1"/>
  <c r="W1178" i="123"/>
  <c r="AN1178" i="123" s="1"/>
  <c r="AD1175" i="123"/>
  <c r="AF1175" i="123" s="1"/>
  <c r="V1175" i="123"/>
  <c r="AA1174" i="123"/>
  <c r="AF1174" i="123" s="1"/>
  <c r="W1174" i="123"/>
  <c r="AN1174" i="123" s="1"/>
  <c r="AD1171" i="123"/>
  <c r="AF1171" i="123" s="1"/>
  <c r="V1171" i="123"/>
  <c r="AA1170" i="123"/>
  <c r="AF1170" i="123" s="1"/>
  <c r="W1170" i="123"/>
  <c r="AN1170" i="123" s="1"/>
  <c r="AD1167" i="123"/>
  <c r="AF1167" i="123" s="1"/>
  <c r="V1167" i="123"/>
  <c r="AA1166" i="123"/>
  <c r="AF1166" i="123" s="1"/>
  <c r="W1166" i="123"/>
  <c r="AN1166" i="123" s="1"/>
  <c r="AD1163" i="123"/>
  <c r="AF1163" i="123" s="1"/>
  <c r="V1163" i="123"/>
  <c r="AA1162" i="123"/>
  <c r="AF1162" i="123" s="1"/>
  <c r="AD1159" i="123"/>
  <c r="AF1159" i="123" s="1"/>
  <c r="V1159" i="123"/>
  <c r="AA1158" i="123"/>
  <c r="AF1158" i="123" s="1"/>
  <c r="AD1155" i="123"/>
  <c r="AF1155" i="123" s="1"/>
  <c r="V1155" i="123"/>
  <c r="AA1154" i="123"/>
  <c r="AF1154" i="123" s="1"/>
  <c r="AD1151" i="123"/>
  <c r="AF1151" i="123" s="1"/>
  <c r="V1151" i="123"/>
  <c r="AA1150" i="123"/>
  <c r="AF1150" i="123" s="1"/>
  <c r="AD1147" i="123"/>
  <c r="AF1147" i="123" s="1"/>
  <c r="V1147" i="123"/>
  <c r="AA1146" i="123"/>
  <c r="AF1146" i="123" s="1"/>
  <c r="AD1143" i="123"/>
  <c r="AF1143" i="123" s="1"/>
  <c r="V1143" i="123"/>
  <c r="AA1142" i="123"/>
  <c r="AF1142" i="123" s="1"/>
  <c r="AD1139" i="123"/>
  <c r="AF1139" i="123" s="1"/>
  <c r="V1139" i="123"/>
  <c r="AA1138" i="123"/>
  <c r="AD1135" i="123"/>
  <c r="AF1135" i="123" s="1"/>
  <c r="V1135" i="123"/>
  <c r="AA1134" i="123"/>
  <c r="AF1134" i="123" s="1"/>
  <c r="AD1131" i="123"/>
  <c r="AF1131" i="123" s="1"/>
  <c r="V1131" i="123"/>
  <c r="AA1130" i="123"/>
  <c r="AF1130" i="123" s="1"/>
  <c r="AD1127" i="123"/>
  <c r="AF1127" i="123" s="1"/>
  <c r="V1127" i="123"/>
  <c r="AA1126" i="123"/>
  <c r="AF1126" i="123" s="1"/>
  <c r="AD1123" i="123"/>
  <c r="AF1123" i="123" s="1"/>
  <c r="V1123" i="123"/>
  <c r="AA1122" i="123"/>
  <c r="AF1122" i="123" s="1"/>
  <c r="AD1119" i="123"/>
  <c r="AF1119" i="123" s="1"/>
  <c r="V1119" i="123"/>
  <c r="AA1118" i="123"/>
  <c r="AF1118" i="123" s="1"/>
  <c r="AD1115" i="123"/>
  <c r="AF1115" i="123" s="1"/>
  <c r="V1115" i="123"/>
  <c r="AA1114" i="123"/>
  <c r="AF1114" i="123" s="1"/>
  <c r="AD1111" i="123"/>
  <c r="AF1111" i="123" s="1"/>
  <c r="V1111" i="123"/>
  <c r="AA1110" i="123"/>
  <c r="AD1107" i="123"/>
  <c r="AF1107" i="123" s="1"/>
  <c r="V1107" i="123"/>
  <c r="AA1106" i="123"/>
  <c r="AD1103" i="123"/>
  <c r="AF1103" i="123" s="1"/>
  <c r="V1103" i="123"/>
  <c r="AA1102" i="123"/>
  <c r="AF1102" i="123" s="1"/>
  <c r="AD1099" i="123"/>
  <c r="AF1099" i="123" s="1"/>
  <c r="V1099" i="123"/>
  <c r="AA1098" i="123"/>
  <c r="AF1098" i="123" s="1"/>
  <c r="AD1095" i="123"/>
  <c r="AF1095" i="123" s="1"/>
  <c r="V1095" i="123"/>
  <c r="AA1094" i="123"/>
  <c r="AF1094" i="123" s="1"/>
  <c r="AD1091" i="123"/>
  <c r="AF1091" i="123" s="1"/>
  <c r="V1091" i="123"/>
  <c r="AA1090" i="123"/>
  <c r="AF1090" i="123" s="1"/>
  <c r="AD1087" i="123"/>
  <c r="AF1087" i="123" s="1"/>
  <c r="V1087" i="123"/>
  <c r="AA1086" i="123"/>
  <c r="AF1086" i="123" s="1"/>
  <c r="AD1083" i="123"/>
  <c r="AF1083" i="123" s="1"/>
  <c r="V1083" i="123"/>
  <c r="AA1082" i="123"/>
  <c r="AF1082" i="123" s="1"/>
  <c r="AD1079" i="123"/>
  <c r="AF1079" i="123" s="1"/>
  <c r="V1079" i="123"/>
  <c r="AA1078" i="123"/>
  <c r="AF1078" i="123" s="1"/>
  <c r="AD1075" i="123"/>
  <c r="AF1075" i="123" s="1"/>
  <c r="V1075" i="123"/>
  <c r="AA1074" i="123"/>
  <c r="AF1074" i="123" s="1"/>
  <c r="AD1071" i="123"/>
  <c r="AF1071" i="123" s="1"/>
  <c r="V1071" i="123"/>
  <c r="AA1070" i="123"/>
  <c r="AF1070" i="123" s="1"/>
  <c r="AD1067" i="123"/>
  <c r="AF1067" i="123" s="1"/>
  <c r="V1067" i="123"/>
  <c r="AA1066" i="123"/>
  <c r="AF1066" i="123" s="1"/>
  <c r="AD1063" i="123"/>
  <c r="AF1063" i="123" s="1"/>
  <c r="V1063" i="123"/>
  <c r="AA1062" i="123"/>
  <c r="AF1062" i="123" s="1"/>
  <c r="AD1059" i="123"/>
  <c r="AF1059" i="123" s="1"/>
  <c r="V1059" i="123"/>
  <c r="AA1058" i="123"/>
  <c r="AF1058" i="123" s="1"/>
  <c r="W1058" i="123"/>
  <c r="AN1058" i="123" s="1"/>
  <c r="AD1055" i="123"/>
  <c r="AF1055" i="123" s="1"/>
  <c r="V1055" i="123"/>
  <c r="AA1054" i="123"/>
  <c r="AF1054" i="123" s="1"/>
  <c r="W1054" i="123"/>
  <c r="AN1054" i="123" s="1"/>
  <c r="AD1051" i="123"/>
  <c r="AF1051" i="123" s="1"/>
  <c r="V1051" i="123"/>
  <c r="AA1050" i="123"/>
  <c r="AF1050" i="123" s="1"/>
  <c r="W1050" i="123"/>
  <c r="AN1050" i="123" s="1"/>
  <c r="AD1047" i="123"/>
  <c r="AF1047" i="123" s="1"/>
  <c r="V1047" i="123"/>
  <c r="AA1046" i="123"/>
  <c r="AF1046" i="123" s="1"/>
  <c r="W1046" i="123"/>
  <c r="AN1046" i="123" s="1"/>
  <c r="AD1043" i="123"/>
  <c r="AF1043" i="123" s="1"/>
  <c r="V1043" i="123"/>
  <c r="AA1042" i="123"/>
  <c r="AF1042" i="123" s="1"/>
  <c r="W1042" i="123"/>
  <c r="AN1042" i="123" s="1"/>
  <c r="AD1039" i="123"/>
  <c r="AF1039" i="123" s="1"/>
  <c r="V1039" i="123"/>
  <c r="AA1038" i="123"/>
  <c r="AF1038" i="123" s="1"/>
  <c r="W1038" i="123"/>
  <c r="AN1038" i="123" s="1"/>
  <c r="AD1035" i="123"/>
  <c r="AF1035" i="123" s="1"/>
  <c r="V1035" i="123"/>
  <c r="AA1034" i="123"/>
  <c r="AF1034" i="123" s="1"/>
  <c r="W1034" i="123"/>
  <c r="AN1034" i="123" s="1"/>
  <c r="AD1031" i="123"/>
  <c r="AF1031" i="123" s="1"/>
  <c r="V1031" i="123"/>
  <c r="AA1030" i="123"/>
  <c r="W1030" i="123"/>
  <c r="AN1030" i="123" s="1"/>
  <c r="AD1027" i="123"/>
  <c r="AF1027" i="123" s="1"/>
  <c r="V1027" i="123"/>
  <c r="AA1026" i="123"/>
  <c r="W1026" i="123"/>
  <c r="AN1026" i="123" s="1"/>
  <c r="AD1023" i="123"/>
  <c r="AF1023" i="123" s="1"/>
  <c r="V1023" i="123"/>
  <c r="AA1022" i="123"/>
  <c r="AF1022" i="123" s="1"/>
  <c r="W1022" i="123"/>
  <c r="AN1022" i="123" s="1"/>
  <c r="AD1019" i="123"/>
  <c r="AF1019" i="123" s="1"/>
  <c r="V1019" i="123"/>
  <c r="AA1017" i="123"/>
  <c r="AF1017" i="123" s="1"/>
  <c r="U1017" i="123"/>
  <c r="AD1016" i="123"/>
  <c r="AF1016" i="123" s="1"/>
  <c r="V1015" i="123"/>
  <c r="AA1009" i="123"/>
  <c r="AF1009" i="123" s="1"/>
  <c r="U1009" i="123"/>
  <c r="AF1007" i="123"/>
  <c r="V1007" i="123"/>
  <c r="Z999" i="123"/>
  <c r="AA999" i="123"/>
  <c r="AF999" i="123" s="1"/>
  <c r="V999" i="123"/>
  <c r="W999" i="123"/>
  <c r="AN999" i="123" s="1"/>
  <c r="U995" i="123"/>
  <c r="V995" i="123"/>
  <c r="W995" i="123"/>
  <c r="AN995" i="123" s="1"/>
  <c r="AE993" i="123"/>
  <c r="AF993" i="123"/>
  <c r="V986" i="123"/>
  <c r="W986" i="123"/>
  <c r="AN986" i="123" s="1"/>
  <c r="U986" i="123"/>
  <c r="U979" i="123"/>
  <c r="V979" i="123"/>
  <c r="W979" i="123"/>
  <c r="AN979" i="123" s="1"/>
  <c r="U943" i="123"/>
  <c r="V943" i="123"/>
  <c r="W943" i="123"/>
  <c r="AN943" i="123" s="1"/>
  <c r="AR935" i="123"/>
  <c r="AS935" i="123" s="1"/>
  <c r="U927" i="123"/>
  <c r="V927" i="123"/>
  <c r="W927" i="123"/>
  <c r="AN927" i="123" s="1"/>
  <c r="U923" i="123"/>
  <c r="V923" i="123"/>
  <c r="W923" i="123"/>
  <c r="AN923" i="123" s="1"/>
  <c r="U919" i="123"/>
  <c r="V919" i="123"/>
  <c r="W919" i="123"/>
  <c r="AN919" i="123" s="1"/>
  <c r="U915" i="123"/>
  <c r="V915" i="123"/>
  <c r="W915" i="123"/>
  <c r="AN915" i="123" s="1"/>
  <c r="AF909" i="123"/>
  <c r="U908" i="123"/>
  <c r="V908" i="123"/>
  <c r="W908" i="123"/>
  <c r="AN908" i="123" s="1"/>
  <c r="AE905" i="123"/>
  <c r="U899" i="123"/>
  <c r="V899" i="123"/>
  <c r="W899" i="123"/>
  <c r="AN899" i="123" s="1"/>
  <c r="AF893" i="123"/>
  <c r="AR892" i="123"/>
  <c r="AS892" i="123" s="1"/>
  <c r="U891" i="123"/>
  <c r="V891" i="123"/>
  <c r="W891" i="123"/>
  <c r="AN891" i="123" s="1"/>
  <c r="AE885" i="123"/>
  <c r="U883" i="123"/>
  <c r="V883" i="123"/>
  <c r="W883" i="123"/>
  <c r="AN883" i="123" s="1"/>
  <c r="AF877" i="123"/>
  <c r="U871" i="123"/>
  <c r="V871" i="123"/>
  <c r="W871" i="123"/>
  <c r="AN871" i="123" s="1"/>
  <c r="U863" i="123"/>
  <c r="V863" i="123"/>
  <c r="W863" i="123"/>
  <c r="AN863" i="123" s="1"/>
  <c r="U855" i="123"/>
  <c r="V855" i="123"/>
  <c r="W855" i="123"/>
  <c r="AN855" i="123" s="1"/>
  <c r="U847" i="123"/>
  <c r="V847" i="123"/>
  <c r="W847" i="123"/>
  <c r="AN847" i="123" s="1"/>
  <c r="U843" i="123"/>
  <c r="V843" i="123"/>
  <c r="W843" i="123"/>
  <c r="AN843" i="123" s="1"/>
  <c r="W840" i="123"/>
  <c r="AN840" i="123" s="1"/>
  <c r="U840" i="123"/>
  <c r="V840" i="123"/>
  <c r="W1013" i="123"/>
  <c r="AN1013" i="123" s="1"/>
  <c r="AM1012" i="123"/>
  <c r="Z1012" i="123"/>
  <c r="AN1011" i="123"/>
  <c r="AE1008" i="123"/>
  <c r="AR1007" i="123"/>
  <c r="AS1007" i="123" s="1"/>
  <c r="W1005" i="123"/>
  <c r="AN1005" i="123" s="1"/>
  <c r="AM1004" i="123"/>
  <c r="AN1003" i="123"/>
  <c r="AF1001" i="123"/>
  <c r="AN1001" i="123"/>
  <c r="U1000" i="123"/>
  <c r="V1000" i="123"/>
  <c r="W1000" i="123"/>
  <c r="AN1000" i="123" s="1"/>
  <c r="AE997" i="123"/>
  <c r="AF997" i="123"/>
  <c r="V990" i="123"/>
  <c r="W990" i="123"/>
  <c r="AN990" i="123" s="1"/>
  <c r="U990" i="123"/>
  <c r="U983" i="123"/>
  <c r="V983" i="123"/>
  <c r="W983" i="123"/>
  <c r="AN983" i="123" s="1"/>
  <c r="AE981" i="123"/>
  <c r="AF981" i="123"/>
  <c r="U975" i="123"/>
  <c r="V975" i="123"/>
  <c r="W975" i="123"/>
  <c r="AN975" i="123" s="1"/>
  <c r="U971" i="123"/>
  <c r="V971" i="123"/>
  <c r="W971" i="123"/>
  <c r="AN971" i="123" s="1"/>
  <c r="U967" i="123"/>
  <c r="V967" i="123"/>
  <c r="W967" i="123"/>
  <c r="AN967" i="123" s="1"/>
  <c r="U963" i="123"/>
  <c r="V963" i="123"/>
  <c r="W963" i="123"/>
  <c r="AN963" i="123" s="1"/>
  <c r="U959" i="123"/>
  <c r="V959" i="123"/>
  <c r="W959" i="123"/>
  <c r="AN959" i="123" s="1"/>
  <c r="U955" i="123"/>
  <c r="V955" i="123"/>
  <c r="W955" i="123"/>
  <c r="AN955" i="123" s="1"/>
  <c r="U951" i="123"/>
  <c r="V951" i="123"/>
  <c r="W951" i="123"/>
  <c r="AN951" i="123" s="1"/>
  <c r="U947" i="123"/>
  <c r="V947" i="123"/>
  <c r="W947" i="123"/>
  <c r="AN947" i="123" s="1"/>
  <c r="U932" i="123"/>
  <c r="V932" i="123"/>
  <c r="W932" i="123"/>
  <c r="AN932" i="123" s="1"/>
  <c r="AE929" i="123"/>
  <c r="U911" i="123"/>
  <c r="V911" i="123"/>
  <c r="W911" i="123"/>
  <c r="AN911" i="123" s="1"/>
  <c r="U904" i="123"/>
  <c r="V904" i="123"/>
  <c r="W904" i="123"/>
  <c r="AN904" i="123" s="1"/>
  <c r="U895" i="123"/>
  <c r="V895" i="123"/>
  <c r="W895" i="123"/>
  <c r="AN895" i="123" s="1"/>
  <c r="AF885" i="123"/>
  <c r="AE881" i="123"/>
  <c r="U879" i="123"/>
  <c r="V879" i="123"/>
  <c r="W879" i="123"/>
  <c r="AN879" i="123" s="1"/>
  <c r="AE873" i="123"/>
  <c r="AF873" i="123"/>
  <c r="AE865" i="123"/>
  <c r="AF865" i="123"/>
  <c r="AE857" i="123"/>
  <c r="AF857" i="123"/>
  <c r="AE849" i="123"/>
  <c r="AF849" i="123"/>
  <c r="W996" i="123"/>
  <c r="AN996" i="123" s="1"/>
  <c r="W992" i="123"/>
  <c r="AN992" i="123" s="1"/>
  <c r="W988" i="123"/>
  <c r="AN988" i="123" s="1"/>
  <c r="W984" i="123"/>
  <c r="AN984" i="123" s="1"/>
  <c r="W980" i="123"/>
  <c r="AN980" i="123" s="1"/>
  <c r="AD977" i="123"/>
  <c r="AF977" i="123" s="1"/>
  <c r="V977" i="123"/>
  <c r="W976" i="123"/>
  <c r="AN976" i="123" s="1"/>
  <c r="AC974" i="123"/>
  <c r="AE974" i="123" s="1"/>
  <c r="U974" i="123"/>
  <c r="AD973" i="123"/>
  <c r="AF973" i="123" s="1"/>
  <c r="V973" i="123"/>
  <c r="W972" i="123"/>
  <c r="AN972" i="123" s="1"/>
  <c r="AC970" i="123"/>
  <c r="AE970" i="123" s="1"/>
  <c r="U970" i="123"/>
  <c r="AD969" i="123"/>
  <c r="AF969" i="123" s="1"/>
  <c r="V969" i="123"/>
  <c r="W968" i="123"/>
  <c r="AN968" i="123" s="1"/>
  <c r="AC966" i="123"/>
  <c r="AE966" i="123" s="1"/>
  <c r="U966" i="123"/>
  <c r="AD965" i="123"/>
  <c r="AF965" i="123" s="1"/>
  <c r="V965" i="123"/>
  <c r="W964" i="123"/>
  <c r="AN964" i="123" s="1"/>
  <c r="AC962" i="123"/>
  <c r="AE962" i="123" s="1"/>
  <c r="U962" i="123"/>
  <c r="AD961" i="123"/>
  <c r="AF961" i="123" s="1"/>
  <c r="V961" i="123"/>
  <c r="W960" i="123"/>
  <c r="AN960" i="123" s="1"/>
  <c r="AC958" i="123"/>
  <c r="AE958" i="123" s="1"/>
  <c r="U958" i="123"/>
  <c r="AD957" i="123"/>
  <c r="AF957" i="123" s="1"/>
  <c r="V957" i="123"/>
  <c r="W956" i="123"/>
  <c r="AN956" i="123" s="1"/>
  <c r="AC954" i="123"/>
  <c r="AE954" i="123" s="1"/>
  <c r="U954" i="123"/>
  <c r="AD953" i="123"/>
  <c r="AF953" i="123" s="1"/>
  <c r="V953" i="123"/>
  <c r="W952" i="123"/>
  <c r="AN952" i="123" s="1"/>
  <c r="AC950" i="123"/>
  <c r="AE950" i="123" s="1"/>
  <c r="U950" i="123"/>
  <c r="AD949" i="123"/>
  <c r="AF949" i="123" s="1"/>
  <c r="V949" i="123"/>
  <c r="W948" i="123"/>
  <c r="AN948" i="123" s="1"/>
  <c r="AC946" i="123"/>
  <c r="AE946" i="123" s="1"/>
  <c r="U946" i="123"/>
  <c r="AD945" i="123"/>
  <c r="AF945" i="123" s="1"/>
  <c r="Z945" i="123"/>
  <c r="V945" i="123"/>
  <c r="W944" i="123"/>
  <c r="AN944" i="123" s="1"/>
  <c r="AC942" i="123"/>
  <c r="AE942" i="123" s="1"/>
  <c r="U942" i="123"/>
  <c r="AD941" i="123"/>
  <c r="AF941" i="123" s="1"/>
  <c r="Z941" i="123"/>
  <c r="V941" i="123"/>
  <c r="W940" i="123"/>
  <c r="AN940" i="123" s="1"/>
  <c r="AC938" i="123"/>
  <c r="AE938" i="123" s="1"/>
  <c r="U938" i="123"/>
  <c r="AD937" i="123"/>
  <c r="AF937" i="123" s="1"/>
  <c r="Z937" i="123"/>
  <c r="V937" i="123"/>
  <c r="W936" i="123"/>
  <c r="AN936" i="123" s="1"/>
  <c r="AC934" i="123"/>
  <c r="AE934" i="123" s="1"/>
  <c r="U934" i="123"/>
  <c r="AD933" i="123"/>
  <c r="AF933" i="123" s="1"/>
  <c r="Z933" i="123"/>
  <c r="V933" i="123"/>
  <c r="AC930" i="123"/>
  <c r="AE930" i="123" s="1"/>
  <c r="U930" i="123"/>
  <c r="Z929" i="123"/>
  <c r="V929" i="123"/>
  <c r="AC926" i="123"/>
  <c r="AE926" i="123" s="1"/>
  <c r="U926" i="123"/>
  <c r="Z925" i="123"/>
  <c r="V925" i="123"/>
  <c r="AC922" i="123"/>
  <c r="AE922" i="123" s="1"/>
  <c r="U922" i="123"/>
  <c r="Z921" i="123"/>
  <c r="V921" i="123"/>
  <c r="AC918" i="123"/>
  <c r="AE918" i="123" s="1"/>
  <c r="U918" i="123"/>
  <c r="Z917" i="123"/>
  <c r="V917" i="123"/>
  <c r="AC914" i="123"/>
  <c r="AE914" i="123" s="1"/>
  <c r="U914" i="123"/>
  <c r="Z913" i="123"/>
  <c r="V913" i="123"/>
  <c r="AC910" i="123"/>
  <c r="AE910" i="123" s="1"/>
  <c r="U910" i="123"/>
  <c r="Z909" i="123"/>
  <c r="V909" i="123"/>
  <c r="AC906" i="123"/>
  <c r="AE906" i="123" s="1"/>
  <c r="U906" i="123"/>
  <c r="Z905" i="123"/>
  <c r="V905" i="123"/>
  <c r="AC902" i="123"/>
  <c r="AE902" i="123" s="1"/>
  <c r="U902" i="123"/>
  <c r="Z901" i="123"/>
  <c r="V901" i="123"/>
  <c r="AC898" i="123"/>
  <c r="AE898" i="123" s="1"/>
  <c r="U898" i="123"/>
  <c r="Z897" i="123"/>
  <c r="V897" i="123"/>
  <c r="AC894" i="123"/>
  <c r="AE894" i="123" s="1"/>
  <c r="U894" i="123"/>
  <c r="Z893" i="123"/>
  <c r="V893" i="123"/>
  <c r="AC890" i="123"/>
  <c r="AE890" i="123" s="1"/>
  <c r="U890" i="123"/>
  <c r="AD889" i="123"/>
  <c r="AF889" i="123" s="1"/>
  <c r="Z889" i="123"/>
  <c r="V889" i="123"/>
  <c r="W888" i="123"/>
  <c r="AN888" i="123" s="1"/>
  <c r="AC886" i="123"/>
  <c r="AE886" i="123" s="1"/>
  <c r="U886" i="123"/>
  <c r="Z885" i="123"/>
  <c r="V885" i="123"/>
  <c r="W884" i="123"/>
  <c r="AN884" i="123" s="1"/>
  <c r="AC882" i="123"/>
  <c r="AE882" i="123" s="1"/>
  <c r="U882" i="123"/>
  <c r="Z881" i="123"/>
  <c r="V881" i="123"/>
  <c r="W880" i="123"/>
  <c r="AN880" i="123" s="1"/>
  <c r="AC878" i="123"/>
  <c r="AE878" i="123" s="1"/>
  <c r="U878" i="123"/>
  <c r="Z877" i="123"/>
  <c r="W876" i="123"/>
  <c r="AN876" i="123" s="1"/>
  <c r="AC874" i="123"/>
  <c r="AE874" i="123" s="1"/>
  <c r="U874" i="123"/>
  <c r="W872" i="123"/>
  <c r="AN872" i="123" s="1"/>
  <c r="AC870" i="123"/>
  <c r="AE870" i="123" s="1"/>
  <c r="U870" i="123"/>
  <c r="W868" i="123"/>
  <c r="AN868" i="123" s="1"/>
  <c r="AC866" i="123"/>
  <c r="AE866" i="123" s="1"/>
  <c r="U866" i="123"/>
  <c r="W864" i="123"/>
  <c r="AN864" i="123" s="1"/>
  <c r="AC862" i="123"/>
  <c r="AE862" i="123" s="1"/>
  <c r="U862" i="123"/>
  <c r="W860" i="123"/>
  <c r="AN860" i="123" s="1"/>
  <c r="AC858" i="123"/>
  <c r="AE858" i="123" s="1"/>
  <c r="U858" i="123"/>
  <c r="W856" i="123"/>
  <c r="AN856" i="123" s="1"/>
  <c r="AC854" i="123"/>
  <c r="AE854" i="123" s="1"/>
  <c r="U854" i="123"/>
  <c r="W852" i="123"/>
  <c r="AN852" i="123" s="1"/>
  <c r="AC850" i="123"/>
  <c r="AE850" i="123" s="1"/>
  <c r="U850" i="123"/>
  <c r="W848" i="123"/>
  <c r="AN848" i="123" s="1"/>
  <c r="AC846" i="123"/>
  <c r="AE846" i="123" s="1"/>
  <c r="U846" i="123"/>
  <c r="W844" i="123"/>
  <c r="AN844" i="123" s="1"/>
  <c r="AC842" i="123"/>
  <c r="AE842" i="123" s="1"/>
  <c r="U842" i="123"/>
  <c r="V839" i="123"/>
  <c r="W838" i="123"/>
  <c r="AN838" i="123" s="1"/>
  <c r="AC837" i="123"/>
  <c r="AE837" i="123" s="1"/>
  <c r="AN836" i="123"/>
  <c r="AF835" i="123"/>
  <c r="V835" i="123"/>
  <c r="AC834" i="123"/>
  <c r="AD834" i="123"/>
  <c r="AF834" i="123" s="1"/>
  <c r="AE833" i="123"/>
  <c r="AM832" i="123"/>
  <c r="Z829" i="123"/>
  <c r="AA829" i="123"/>
  <c r="AF829" i="123" s="1"/>
  <c r="AC826" i="123"/>
  <c r="AD826" i="123"/>
  <c r="AF826" i="123" s="1"/>
  <c r="AE825" i="123"/>
  <c r="AM824" i="123"/>
  <c r="Z821" i="123"/>
  <c r="AA821" i="123"/>
  <c r="AF821" i="123" s="1"/>
  <c r="V819" i="123"/>
  <c r="U819" i="123"/>
  <c r="Z817" i="123"/>
  <c r="AA817" i="123"/>
  <c r="AF817" i="123" s="1"/>
  <c r="U816" i="123"/>
  <c r="W816" i="123"/>
  <c r="AN816" i="123" s="1"/>
  <c r="U812" i="123"/>
  <c r="V812" i="123"/>
  <c r="W812" i="123"/>
  <c r="AN812" i="123" s="1"/>
  <c r="AR807" i="123"/>
  <c r="AS807" i="123" s="1"/>
  <c r="AE805" i="123"/>
  <c r="U804" i="123"/>
  <c r="V804" i="123"/>
  <c r="W804" i="123"/>
  <c r="AN804" i="123" s="1"/>
  <c r="AR799" i="123"/>
  <c r="AS799" i="123" s="1"/>
  <c r="U796" i="123"/>
  <c r="V796" i="123"/>
  <c r="W796" i="123"/>
  <c r="AN796" i="123" s="1"/>
  <c r="AR791" i="123"/>
  <c r="AS791" i="123" s="1"/>
  <c r="AE789" i="123"/>
  <c r="U788" i="123"/>
  <c r="V788" i="123"/>
  <c r="W788" i="123"/>
  <c r="AN788" i="123" s="1"/>
  <c r="AR783" i="123"/>
  <c r="AS783" i="123" s="1"/>
  <c r="U780" i="123"/>
  <c r="V780" i="123"/>
  <c r="W780" i="123"/>
  <c r="AN780" i="123" s="1"/>
  <c r="AR775" i="123"/>
  <c r="AS775" i="123" s="1"/>
  <c r="U772" i="123"/>
  <c r="V772" i="123"/>
  <c r="W772" i="123"/>
  <c r="AN772" i="123" s="1"/>
  <c r="AR740" i="123"/>
  <c r="AS740" i="123" s="1"/>
  <c r="AR736" i="123"/>
  <c r="AS736" i="123" s="1"/>
  <c r="U732" i="123"/>
  <c r="V732" i="123"/>
  <c r="W732" i="123"/>
  <c r="AN732" i="123" s="1"/>
  <c r="AE729" i="123"/>
  <c r="V723" i="123"/>
  <c r="W723" i="123"/>
  <c r="AN723" i="123" s="1"/>
  <c r="U723" i="123"/>
  <c r="U716" i="123"/>
  <c r="V716" i="123"/>
  <c r="W716" i="123"/>
  <c r="AN716" i="123" s="1"/>
  <c r="AE713" i="123"/>
  <c r="V707" i="123"/>
  <c r="W707" i="123"/>
  <c r="AN707" i="123" s="1"/>
  <c r="U707" i="123"/>
  <c r="U700" i="123"/>
  <c r="V700" i="123"/>
  <c r="W700" i="123"/>
  <c r="AN700" i="123" s="1"/>
  <c r="V691" i="123"/>
  <c r="W691" i="123"/>
  <c r="AN691" i="123" s="1"/>
  <c r="U691" i="123"/>
  <c r="U684" i="123"/>
  <c r="V684" i="123"/>
  <c r="W684" i="123"/>
  <c r="AN684" i="123" s="1"/>
  <c r="V675" i="123"/>
  <c r="W675" i="123"/>
  <c r="AN675" i="123" s="1"/>
  <c r="U675" i="123"/>
  <c r="U668" i="123"/>
  <c r="V668" i="123"/>
  <c r="W668" i="123"/>
  <c r="AN668" i="123" s="1"/>
  <c r="AE665" i="123"/>
  <c r="V659" i="123"/>
  <c r="W659" i="123"/>
  <c r="AN659" i="123" s="1"/>
  <c r="U659" i="123"/>
  <c r="U652" i="123"/>
  <c r="V652" i="123"/>
  <c r="W652" i="123"/>
  <c r="AN652" i="123" s="1"/>
  <c r="AE649" i="123"/>
  <c r="V643" i="123"/>
  <c r="W643" i="123"/>
  <c r="AN643" i="123" s="1"/>
  <c r="U643" i="123"/>
  <c r="U636" i="123"/>
  <c r="V636" i="123"/>
  <c r="W636" i="123"/>
  <c r="AN636" i="123" s="1"/>
  <c r="AE633" i="123"/>
  <c r="V627" i="123"/>
  <c r="W627" i="123"/>
  <c r="AN627" i="123" s="1"/>
  <c r="U627" i="123"/>
  <c r="U620" i="123"/>
  <c r="V620" i="123"/>
  <c r="W620" i="123"/>
  <c r="AN620" i="123" s="1"/>
  <c r="V611" i="123"/>
  <c r="W611" i="123"/>
  <c r="AN611" i="123" s="1"/>
  <c r="U611" i="123"/>
  <c r="U604" i="123"/>
  <c r="V604" i="123"/>
  <c r="W604" i="123"/>
  <c r="AN604" i="123" s="1"/>
  <c r="AE601" i="123"/>
  <c r="V595" i="123"/>
  <c r="W595" i="123"/>
  <c r="AN595" i="123" s="1"/>
  <c r="U595" i="123"/>
  <c r="U588" i="123"/>
  <c r="V588" i="123"/>
  <c r="W588" i="123"/>
  <c r="AN588" i="123" s="1"/>
  <c r="V579" i="123"/>
  <c r="W579" i="123"/>
  <c r="AN579" i="123" s="1"/>
  <c r="U579" i="123"/>
  <c r="U572" i="123"/>
  <c r="V572" i="123"/>
  <c r="W572" i="123"/>
  <c r="AN572" i="123" s="1"/>
  <c r="V563" i="123"/>
  <c r="W563" i="123"/>
  <c r="AN563" i="123" s="1"/>
  <c r="U563" i="123"/>
  <c r="AE560" i="123"/>
  <c r="V559" i="123"/>
  <c r="W559" i="123"/>
  <c r="AN559" i="123" s="1"/>
  <c r="U559" i="123"/>
  <c r="AE556" i="123"/>
  <c r="V555" i="123"/>
  <c r="W555" i="123"/>
  <c r="AN555" i="123" s="1"/>
  <c r="U555" i="123"/>
  <c r="V551" i="123"/>
  <c r="W551" i="123"/>
  <c r="AN551" i="123" s="1"/>
  <c r="U551" i="123"/>
  <c r="U548" i="123"/>
  <c r="V548" i="123"/>
  <c r="W548" i="123"/>
  <c r="AN548" i="123" s="1"/>
  <c r="AD996" i="123"/>
  <c r="AF996" i="123" s="1"/>
  <c r="V996" i="123"/>
  <c r="AA995" i="123"/>
  <c r="AD992" i="123"/>
  <c r="AF992" i="123" s="1"/>
  <c r="V992" i="123"/>
  <c r="AA991" i="123"/>
  <c r="AF991" i="123" s="1"/>
  <c r="AD988" i="123"/>
  <c r="AF988" i="123" s="1"/>
  <c r="V988" i="123"/>
  <c r="AA987" i="123"/>
  <c r="AF987" i="123" s="1"/>
  <c r="AD984" i="123"/>
  <c r="AF984" i="123" s="1"/>
  <c r="V984" i="123"/>
  <c r="AA983" i="123"/>
  <c r="AF983" i="123" s="1"/>
  <c r="AD980" i="123"/>
  <c r="AF980" i="123" s="1"/>
  <c r="V980" i="123"/>
  <c r="AA979" i="123"/>
  <c r="AD976" i="123"/>
  <c r="AF976" i="123" s="1"/>
  <c r="V976" i="123"/>
  <c r="AA975" i="123"/>
  <c r="AF975" i="123" s="1"/>
  <c r="AD972" i="123"/>
  <c r="AF972" i="123" s="1"/>
  <c r="V972" i="123"/>
  <c r="AA971" i="123"/>
  <c r="AF971" i="123" s="1"/>
  <c r="AD968" i="123"/>
  <c r="AF968" i="123" s="1"/>
  <c r="V968" i="123"/>
  <c r="AA967" i="123"/>
  <c r="AF967" i="123" s="1"/>
  <c r="AD964" i="123"/>
  <c r="AF964" i="123" s="1"/>
  <c r="V964" i="123"/>
  <c r="AA963" i="123"/>
  <c r="AF963" i="123" s="1"/>
  <c r="AD960" i="123"/>
  <c r="AF960" i="123" s="1"/>
  <c r="V960" i="123"/>
  <c r="AA959" i="123"/>
  <c r="AF959" i="123" s="1"/>
  <c r="AD956" i="123"/>
  <c r="AF956" i="123" s="1"/>
  <c r="V956" i="123"/>
  <c r="AA955" i="123"/>
  <c r="AF955" i="123" s="1"/>
  <c r="AD952" i="123"/>
  <c r="AF952" i="123" s="1"/>
  <c r="V952" i="123"/>
  <c r="AA951" i="123"/>
  <c r="AF951" i="123" s="1"/>
  <c r="AD948" i="123"/>
  <c r="AF948" i="123" s="1"/>
  <c r="V948" i="123"/>
  <c r="AA947" i="123"/>
  <c r="U945" i="123"/>
  <c r="AD944" i="123"/>
  <c r="AF944" i="123" s="1"/>
  <c r="V944" i="123"/>
  <c r="U941" i="123"/>
  <c r="AD940" i="123"/>
  <c r="AF940" i="123" s="1"/>
  <c r="V940" i="123"/>
  <c r="U937" i="123"/>
  <c r="AD936" i="123"/>
  <c r="AF936" i="123" s="1"/>
  <c r="V936" i="123"/>
  <c r="U933" i="123"/>
  <c r="U889" i="123"/>
  <c r="AD888" i="123"/>
  <c r="AF888" i="123" s="1"/>
  <c r="V888" i="123"/>
  <c r="AD884" i="123"/>
  <c r="AF884" i="123" s="1"/>
  <c r="V884" i="123"/>
  <c r="AD880" i="123"/>
  <c r="AF880" i="123" s="1"/>
  <c r="V880" i="123"/>
  <c r="AD876" i="123"/>
  <c r="AF876" i="123" s="1"/>
  <c r="V876" i="123"/>
  <c r="AA875" i="123"/>
  <c r="AF875" i="123" s="1"/>
  <c r="AD872" i="123"/>
  <c r="AF872" i="123" s="1"/>
  <c r="V872" i="123"/>
  <c r="AA871" i="123"/>
  <c r="AF871" i="123" s="1"/>
  <c r="AD868" i="123"/>
  <c r="AF868" i="123" s="1"/>
  <c r="V868" i="123"/>
  <c r="AA867" i="123"/>
  <c r="AF867" i="123" s="1"/>
  <c r="AD864" i="123"/>
  <c r="AF864" i="123" s="1"/>
  <c r="V864" i="123"/>
  <c r="AA863" i="123"/>
  <c r="AF863" i="123" s="1"/>
  <c r="AD860" i="123"/>
  <c r="AF860" i="123" s="1"/>
  <c r="V860" i="123"/>
  <c r="AA859" i="123"/>
  <c r="AD856" i="123"/>
  <c r="AF856" i="123" s="1"/>
  <c r="V856" i="123"/>
  <c r="AA855" i="123"/>
  <c r="AF855" i="123" s="1"/>
  <c r="AD852" i="123"/>
  <c r="AF852" i="123" s="1"/>
  <c r="V852" i="123"/>
  <c r="AA851" i="123"/>
  <c r="AF851" i="123" s="1"/>
  <c r="AD848" i="123"/>
  <c r="AF848" i="123" s="1"/>
  <c r="V848" i="123"/>
  <c r="AA847" i="123"/>
  <c r="AF847" i="123" s="1"/>
  <c r="AD844" i="123"/>
  <c r="AF844" i="123" s="1"/>
  <c r="V844" i="123"/>
  <c r="AE840" i="123"/>
  <c r="AR839" i="123"/>
  <c r="AS839" i="123" s="1"/>
  <c r="W837" i="123"/>
  <c r="AN837" i="123" s="1"/>
  <c r="W834" i="123"/>
  <c r="AN834" i="123" s="1"/>
  <c r="U834" i="123"/>
  <c r="V834" i="123"/>
  <c r="AR832" i="123"/>
  <c r="AS832" i="123" s="1"/>
  <c r="AR831" i="123"/>
  <c r="AS831" i="123" s="1"/>
  <c r="U828" i="123"/>
  <c r="W828" i="123"/>
  <c r="AN828" i="123" s="1"/>
  <c r="V827" i="123"/>
  <c r="U827" i="123"/>
  <c r="W826" i="123"/>
  <c r="AN826" i="123" s="1"/>
  <c r="U826" i="123"/>
  <c r="V826" i="123"/>
  <c r="U820" i="123"/>
  <c r="W820" i="123"/>
  <c r="AN820" i="123" s="1"/>
  <c r="V811" i="123"/>
  <c r="W811" i="123"/>
  <c r="AN811" i="123" s="1"/>
  <c r="U811" i="123"/>
  <c r="V803" i="123"/>
  <c r="W803" i="123"/>
  <c r="AN803" i="123" s="1"/>
  <c r="U803" i="123"/>
  <c r="V795" i="123"/>
  <c r="W795" i="123"/>
  <c r="AN795" i="123" s="1"/>
  <c r="U795" i="123"/>
  <c r="V787" i="123"/>
  <c r="W787" i="123"/>
  <c r="AN787" i="123" s="1"/>
  <c r="U787" i="123"/>
  <c r="AR780" i="123"/>
  <c r="AS780" i="123" s="1"/>
  <c r="V779" i="123"/>
  <c r="W779" i="123"/>
  <c r="AN779" i="123" s="1"/>
  <c r="U779" i="123"/>
  <c r="AR772" i="123"/>
  <c r="AS772" i="123" s="1"/>
  <c r="U768" i="123"/>
  <c r="V768" i="123"/>
  <c r="W768" i="123"/>
  <c r="AN768" i="123" s="1"/>
  <c r="AE765" i="123"/>
  <c r="U764" i="123"/>
  <c r="V764" i="123"/>
  <c r="W764" i="123"/>
  <c r="AN764" i="123" s="1"/>
  <c r="AE761" i="123"/>
  <c r="U760" i="123"/>
  <c r="V760" i="123"/>
  <c r="W760" i="123"/>
  <c r="AN760" i="123" s="1"/>
  <c r="U756" i="123"/>
  <c r="V756" i="123"/>
  <c r="W756" i="123"/>
  <c r="AN756" i="123" s="1"/>
  <c r="AE753" i="123"/>
  <c r="U752" i="123"/>
  <c r="V752" i="123"/>
  <c r="W752" i="123"/>
  <c r="AN752" i="123" s="1"/>
  <c r="AE749" i="123"/>
  <c r="U748" i="123"/>
  <c r="V748" i="123"/>
  <c r="W748" i="123"/>
  <c r="AN748" i="123" s="1"/>
  <c r="V743" i="123"/>
  <c r="W743" i="123"/>
  <c r="AN743" i="123" s="1"/>
  <c r="U743" i="123"/>
  <c r="V739" i="123"/>
  <c r="W739" i="123"/>
  <c r="AN739" i="123" s="1"/>
  <c r="U739" i="123"/>
  <c r="V735" i="123"/>
  <c r="W735" i="123"/>
  <c r="AN735" i="123" s="1"/>
  <c r="U735" i="123"/>
  <c r="U728" i="123"/>
  <c r="V728" i="123"/>
  <c r="W728" i="123"/>
  <c r="AN728" i="123" s="1"/>
  <c r="AE725" i="123"/>
  <c r="V719" i="123"/>
  <c r="W719" i="123"/>
  <c r="AN719" i="123" s="1"/>
  <c r="U719" i="123"/>
  <c r="U712" i="123"/>
  <c r="V712" i="123"/>
  <c r="W712" i="123"/>
  <c r="AN712" i="123" s="1"/>
  <c r="AE709" i="123"/>
  <c r="V703" i="123"/>
  <c r="W703" i="123"/>
  <c r="AN703" i="123" s="1"/>
  <c r="U703" i="123"/>
  <c r="U696" i="123"/>
  <c r="V696" i="123"/>
  <c r="W696" i="123"/>
  <c r="AN696" i="123" s="1"/>
  <c r="AE693" i="123"/>
  <c r="V687" i="123"/>
  <c r="W687" i="123"/>
  <c r="AN687" i="123" s="1"/>
  <c r="U687" i="123"/>
  <c r="U680" i="123"/>
  <c r="V680" i="123"/>
  <c r="W680" i="123"/>
  <c r="AN680" i="123" s="1"/>
  <c r="V671" i="123"/>
  <c r="W671" i="123"/>
  <c r="AN671" i="123" s="1"/>
  <c r="U671" i="123"/>
  <c r="U664" i="123"/>
  <c r="V664" i="123"/>
  <c r="W664" i="123"/>
  <c r="AN664" i="123" s="1"/>
  <c r="AE661" i="123"/>
  <c r="V655" i="123"/>
  <c r="W655" i="123"/>
  <c r="AN655" i="123" s="1"/>
  <c r="U655" i="123"/>
  <c r="U648" i="123"/>
  <c r="V648" i="123"/>
  <c r="W648" i="123"/>
  <c r="AN648" i="123" s="1"/>
  <c r="AE645" i="123"/>
  <c r="V639" i="123"/>
  <c r="W639" i="123"/>
  <c r="AN639" i="123" s="1"/>
  <c r="U639" i="123"/>
  <c r="U632" i="123"/>
  <c r="V632" i="123"/>
  <c r="W632" i="123"/>
  <c r="AN632" i="123" s="1"/>
  <c r="AE629" i="123"/>
  <c r="V623" i="123"/>
  <c r="W623" i="123"/>
  <c r="AN623" i="123" s="1"/>
  <c r="U623" i="123"/>
  <c r="U616" i="123"/>
  <c r="V616" i="123"/>
  <c r="W616" i="123"/>
  <c r="AN616" i="123" s="1"/>
  <c r="AE613" i="123"/>
  <c r="V607" i="123"/>
  <c r="W607" i="123"/>
  <c r="AN607" i="123" s="1"/>
  <c r="U607" i="123"/>
  <c r="U600" i="123"/>
  <c r="V600" i="123"/>
  <c r="W600" i="123"/>
  <c r="AN600" i="123" s="1"/>
  <c r="AE597" i="123"/>
  <c r="V591" i="123"/>
  <c r="W591" i="123"/>
  <c r="AN591" i="123" s="1"/>
  <c r="U591" i="123"/>
  <c r="U584" i="123"/>
  <c r="V584" i="123"/>
  <c r="W584" i="123"/>
  <c r="AN584" i="123" s="1"/>
  <c r="V575" i="123"/>
  <c r="W575" i="123"/>
  <c r="AN575" i="123" s="1"/>
  <c r="U575" i="123"/>
  <c r="U568" i="123"/>
  <c r="V568" i="123"/>
  <c r="W568" i="123"/>
  <c r="AN568" i="123" s="1"/>
  <c r="AR551" i="123"/>
  <c r="AS551" i="123" s="1"/>
  <c r="W974" i="123"/>
  <c r="AN974" i="123" s="1"/>
  <c r="W970" i="123"/>
  <c r="AN970" i="123" s="1"/>
  <c r="W966" i="123"/>
  <c r="AN966" i="123" s="1"/>
  <c r="W962" i="123"/>
  <c r="AN962" i="123" s="1"/>
  <c r="W958" i="123"/>
  <c r="AN958" i="123" s="1"/>
  <c r="W954" i="123"/>
  <c r="AN954" i="123" s="1"/>
  <c r="W950" i="123"/>
  <c r="AN950" i="123" s="1"/>
  <c r="W946" i="123"/>
  <c r="AN946" i="123" s="1"/>
  <c r="W942" i="123"/>
  <c r="AN942" i="123" s="1"/>
  <c r="W938" i="123"/>
  <c r="AN938" i="123" s="1"/>
  <c r="W934" i="123"/>
  <c r="AN934" i="123" s="1"/>
  <c r="W930" i="123"/>
  <c r="AN930" i="123" s="1"/>
  <c r="W926" i="123"/>
  <c r="AN926" i="123" s="1"/>
  <c r="W922" i="123"/>
  <c r="AN922" i="123" s="1"/>
  <c r="W918" i="123"/>
  <c r="AN918" i="123" s="1"/>
  <c r="W914" i="123"/>
  <c r="AN914" i="123" s="1"/>
  <c r="W910" i="123"/>
  <c r="AN910" i="123" s="1"/>
  <c r="W906" i="123"/>
  <c r="AN906" i="123" s="1"/>
  <c r="W902" i="123"/>
  <c r="AN902" i="123" s="1"/>
  <c r="W898" i="123"/>
  <c r="AN898" i="123" s="1"/>
  <c r="W894" i="123"/>
  <c r="AN894" i="123" s="1"/>
  <c r="W890" i="123"/>
  <c r="AN890" i="123" s="1"/>
  <c r="W886" i="123"/>
  <c r="AN886" i="123" s="1"/>
  <c r="W882" i="123"/>
  <c r="AN882" i="123" s="1"/>
  <c r="W878" i="123"/>
  <c r="AN878" i="123" s="1"/>
  <c r="W874" i="123"/>
  <c r="AN874" i="123" s="1"/>
  <c r="W870" i="123"/>
  <c r="AN870" i="123" s="1"/>
  <c r="W866" i="123"/>
  <c r="AN866" i="123" s="1"/>
  <c r="W862" i="123"/>
  <c r="AN862" i="123" s="1"/>
  <c r="W858" i="123"/>
  <c r="AN858" i="123" s="1"/>
  <c r="W854" i="123"/>
  <c r="AN854" i="123" s="1"/>
  <c r="W850" i="123"/>
  <c r="AN850" i="123" s="1"/>
  <c r="W846" i="123"/>
  <c r="AN846" i="123" s="1"/>
  <c r="W842" i="123"/>
  <c r="AN842" i="123" s="1"/>
  <c r="AD838" i="123"/>
  <c r="AF838" i="123" s="1"/>
  <c r="AA837" i="123"/>
  <c r="AF837" i="123" s="1"/>
  <c r="U837" i="123"/>
  <c r="Z836" i="123"/>
  <c r="Z833" i="123"/>
  <c r="AA833" i="123"/>
  <c r="AF833" i="123" s="1"/>
  <c r="AC830" i="123"/>
  <c r="AD830" i="123"/>
  <c r="AF830" i="123" s="1"/>
  <c r="AE829" i="123"/>
  <c r="AM828" i="123"/>
  <c r="Z825" i="123"/>
  <c r="AA825" i="123"/>
  <c r="AF825" i="123" s="1"/>
  <c r="AF823" i="123"/>
  <c r="AC822" i="123"/>
  <c r="AD822" i="123"/>
  <c r="AF822" i="123" s="1"/>
  <c r="AE821" i="123"/>
  <c r="AM820" i="123"/>
  <c r="AE820" i="123"/>
  <c r="AC818" i="123"/>
  <c r="AD818" i="123"/>
  <c r="AM816" i="123"/>
  <c r="U808" i="123"/>
  <c r="V808" i="123"/>
  <c r="W808" i="123"/>
  <c r="AN808" i="123" s="1"/>
  <c r="U800" i="123"/>
  <c r="V800" i="123"/>
  <c r="W800" i="123"/>
  <c r="AN800" i="123" s="1"/>
  <c r="U792" i="123"/>
  <c r="V792" i="123"/>
  <c r="W792" i="123"/>
  <c r="AN792" i="123" s="1"/>
  <c r="U784" i="123"/>
  <c r="V784" i="123"/>
  <c r="W784" i="123"/>
  <c r="AN784" i="123" s="1"/>
  <c r="U776" i="123"/>
  <c r="V776" i="123"/>
  <c r="W776" i="123"/>
  <c r="AN776" i="123" s="1"/>
  <c r="V771" i="123"/>
  <c r="W771" i="123"/>
  <c r="AN771" i="123" s="1"/>
  <c r="U771" i="123"/>
  <c r="V747" i="123"/>
  <c r="W747" i="123"/>
  <c r="AN747" i="123" s="1"/>
  <c r="U747" i="123"/>
  <c r="V731" i="123"/>
  <c r="W731" i="123"/>
  <c r="AN731" i="123" s="1"/>
  <c r="U731" i="123"/>
  <c r="U724" i="123"/>
  <c r="V724" i="123"/>
  <c r="W724" i="123"/>
  <c r="AN724" i="123" s="1"/>
  <c r="AE721" i="123"/>
  <c r="V715" i="123"/>
  <c r="W715" i="123"/>
  <c r="AN715" i="123" s="1"/>
  <c r="U715" i="123"/>
  <c r="U708" i="123"/>
  <c r="V708" i="123"/>
  <c r="W708" i="123"/>
  <c r="AN708" i="123" s="1"/>
  <c r="AE705" i="123"/>
  <c r="V699" i="123"/>
  <c r="W699" i="123"/>
  <c r="AN699" i="123" s="1"/>
  <c r="U699" i="123"/>
  <c r="U692" i="123"/>
  <c r="V692" i="123"/>
  <c r="W692" i="123"/>
  <c r="AN692" i="123" s="1"/>
  <c r="AE689" i="123"/>
  <c r="V683" i="123"/>
  <c r="W683" i="123"/>
  <c r="AN683" i="123" s="1"/>
  <c r="U683" i="123"/>
  <c r="U676" i="123"/>
  <c r="V676" i="123"/>
  <c r="W676" i="123"/>
  <c r="AN676" i="123" s="1"/>
  <c r="AE673" i="123"/>
  <c r="V667" i="123"/>
  <c r="W667" i="123"/>
  <c r="AN667" i="123" s="1"/>
  <c r="U667" i="123"/>
  <c r="U660" i="123"/>
  <c r="V660" i="123"/>
  <c r="W660" i="123"/>
  <c r="AN660" i="123" s="1"/>
  <c r="AE657" i="123"/>
  <c r="V651" i="123"/>
  <c r="W651" i="123"/>
  <c r="AN651" i="123" s="1"/>
  <c r="U651" i="123"/>
  <c r="U644" i="123"/>
  <c r="V644" i="123"/>
  <c r="W644" i="123"/>
  <c r="AN644" i="123" s="1"/>
  <c r="AE641" i="123"/>
  <c r="V635" i="123"/>
  <c r="W635" i="123"/>
  <c r="AN635" i="123" s="1"/>
  <c r="U635" i="123"/>
  <c r="U628" i="123"/>
  <c r="V628" i="123"/>
  <c r="W628" i="123"/>
  <c r="AN628" i="123" s="1"/>
  <c r="AE625" i="123"/>
  <c r="V619" i="123"/>
  <c r="W619" i="123"/>
  <c r="AN619" i="123" s="1"/>
  <c r="U619" i="123"/>
  <c r="U612" i="123"/>
  <c r="V612" i="123"/>
  <c r="W612" i="123"/>
  <c r="AN612" i="123" s="1"/>
  <c r="AE609" i="123"/>
  <c r="V603" i="123"/>
  <c r="W603" i="123"/>
  <c r="AN603" i="123" s="1"/>
  <c r="U603" i="123"/>
  <c r="U596" i="123"/>
  <c r="V596" i="123"/>
  <c r="W596" i="123"/>
  <c r="AN596" i="123" s="1"/>
  <c r="AE593" i="123"/>
  <c r="V587" i="123"/>
  <c r="W587" i="123"/>
  <c r="AN587" i="123" s="1"/>
  <c r="U587" i="123"/>
  <c r="U580" i="123"/>
  <c r="V580" i="123"/>
  <c r="W580" i="123"/>
  <c r="AN580" i="123" s="1"/>
  <c r="V571" i="123"/>
  <c r="W571" i="123"/>
  <c r="AN571" i="123" s="1"/>
  <c r="U571" i="123"/>
  <c r="U564" i="123"/>
  <c r="V564" i="123"/>
  <c r="W564" i="123"/>
  <c r="AN564" i="123" s="1"/>
  <c r="V547" i="123"/>
  <c r="W547" i="123"/>
  <c r="AN547" i="123" s="1"/>
  <c r="U547" i="123"/>
  <c r="U545" i="123"/>
  <c r="V545" i="123"/>
  <c r="W545" i="123" s="1"/>
  <c r="U832" i="123"/>
  <c r="W832" i="123"/>
  <c r="AN832" i="123" s="1"/>
  <c r="V831" i="123"/>
  <c r="U831" i="123"/>
  <c r="W830" i="123"/>
  <c r="AN830" i="123" s="1"/>
  <c r="U830" i="123"/>
  <c r="V830" i="123"/>
  <c r="AR828" i="123"/>
  <c r="AS828" i="123" s="1"/>
  <c r="V828" i="123"/>
  <c r="AR827" i="123"/>
  <c r="AS827" i="123" s="1"/>
  <c r="W827" i="123"/>
  <c r="AN827" i="123" s="1"/>
  <c r="U824" i="123"/>
  <c r="W824" i="123"/>
  <c r="AN824" i="123" s="1"/>
  <c r="V823" i="123"/>
  <c r="U823" i="123"/>
  <c r="W822" i="123"/>
  <c r="AN822" i="123" s="1"/>
  <c r="U822" i="123"/>
  <c r="V822" i="123"/>
  <c r="W818" i="123"/>
  <c r="AN818" i="123" s="1"/>
  <c r="U818" i="123"/>
  <c r="V818" i="123"/>
  <c r="V815" i="123"/>
  <c r="U815" i="123"/>
  <c r="AR808" i="123"/>
  <c r="AS808" i="123" s="1"/>
  <c r="V807" i="123"/>
  <c r="W807" i="123"/>
  <c r="AN807" i="123" s="1"/>
  <c r="U807" i="123"/>
  <c r="AR800" i="123"/>
  <c r="AS800" i="123" s="1"/>
  <c r="V799" i="123"/>
  <c r="W799" i="123"/>
  <c r="AN799" i="123" s="1"/>
  <c r="U799" i="123"/>
  <c r="AR792" i="123"/>
  <c r="AS792" i="123" s="1"/>
  <c r="V791" i="123"/>
  <c r="W791" i="123"/>
  <c r="AN791" i="123" s="1"/>
  <c r="U791" i="123"/>
  <c r="AR784" i="123"/>
  <c r="AS784" i="123" s="1"/>
  <c r="V783" i="123"/>
  <c r="W783" i="123"/>
  <c r="AN783" i="123" s="1"/>
  <c r="U783" i="123"/>
  <c r="AR776" i="123"/>
  <c r="AS776" i="123" s="1"/>
  <c r="V775" i="123"/>
  <c r="W775" i="123"/>
  <c r="AN775" i="123" s="1"/>
  <c r="U775" i="123"/>
  <c r="V767" i="123"/>
  <c r="W767" i="123"/>
  <c r="AN767" i="123" s="1"/>
  <c r="U767" i="123"/>
  <c r="V763" i="123"/>
  <c r="W763" i="123"/>
  <c r="AN763" i="123" s="1"/>
  <c r="U763" i="123"/>
  <c r="V759" i="123"/>
  <c r="W759" i="123"/>
  <c r="AN759" i="123" s="1"/>
  <c r="U759" i="123"/>
  <c r="V755" i="123"/>
  <c r="W755" i="123"/>
  <c r="AN755" i="123" s="1"/>
  <c r="U755" i="123"/>
  <c r="V751" i="123"/>
  <c r="W751" i="123"/>
  <c r="AN751" i="123" s="1"/>
  <c r="U751" i="123"/>
  <c r="AR747" i="123"/>
  <c r="AS747" i="123" s="1"/>
  <c r="AE745" i="123"/>
  <c r="U744" i="123"/>
  <c r="V744" i="123"/>
  <c r="W744" i="123"/>
  <c r="AN744" i="123" s="1"/>
  <c r="U740" i="123"/>
  <c r="V740" i="123"/>
  <c r="W740" i="123"/>
  <c r="AN740" i="123" s="1"/>
  <c r="U736" i="123"/>
  <c r="V736" i="123"/>
  <c r="W736" i="123"/>
  <c r="AN736" i="123" s="1"/>
  <c r="V727" i="123"/>
  <c r="W727" i="123"/>
  <c r="AN727" i="123" s="1"/>
  <c r="U727" i="123"/>
  <c r="U720" i="123"/>
  <c r="V720" i="123"/>
  <c r="W720" i="123"/>
  <c r="AN720" i="123" s="1"/>
  <c r="V711" i="123"/>
  <c r="W711" i="123"/>
  <c r="AN711" i="123" s="1"/>
  <c r="U711" i="123"/>
  <c r="U704" i="123"/>
  <c r="V704" i="123"/>
  <c r="W704" i="123"/>
  <c r="AN704" i="123" s="1"/>
  <c r="V695" i="123"/>
  <c r="W695" i="123"/>
  <c r="AN695" i="123" s="1"/>
  <c r="U695" i="123"/>
  <c r="U688" i="123"/>
  <c r="V688" i="123"/>
  <c r="W688" i="123"/>
  <c r="AN688" i="123" s="1"/>
  <c r="V679" i="123"/>
  <c r="W679" i="123"/>
  <c r="AN679" i="123" s="1"/>
  <c r="U679" i="123"/>
  <c r="U672" i="123"/>
  <c r="V672" i="123"/>
  <c r="W672" i="123"/>
  <c r="AN672" i="123" s="1"/>
  <c r="V663" i="123"/>
  <c r="W663" i="123"/>
  <c r="AN663" i="123" s="1"/>
  <c r="U663" i="123"/>
  <c r="U656" i="123"/>
  <c r="V656" i="123"/>
  <c r="W656" i="123"/>
  <c r="AN656" i="123" s="1"/>
  <c r="V647" i="123"/>
  <c r="W647" i="123"/>
  <c r="AN647" i="123" s="1"/>
  <c r="U647" i="123"/>
  <c r="U640" i="123"/>
  <c r="V640" i="123"/>
  <c r="W640" i="123"/>
  <c r="AN640" i="123" s="1"/>
  <c r="V631" i="123"/>
  <c r="W631" i="123"/>
  <c r="AN631" i="123" s="1"/>
  <c r="U631" i="123"/>
  <c r="U624" i="123"/>
  <c r="V624" i="123"/>
  <c r="W624" i="123"/>
  <c r="AN624" i="123" s="1"/>
  <c r="V615" i="123"/>
  <c r="W615" i="123"/>
  <c r="AN615" i="123" s="1"/>
  <c r="U615" i="123"/>
  <c r="U608" i="123"/>
  <c r="V608" i="123"/>
  <c r="W608" i="123"/>
  <c r="AN608" i="123" s="1"/>
  <c r="V599" i="123"/>
  <c r="W599" i="123"/>
  <c r="AN599" i="123" s="1"/>
  <c r="U599" i="123"/>
  <c r="U592" i="123"/>
  <c r="V592" i="123"/>
  <c r="W592" i="123"/>
  <c r="AN592" i="123" s="1"/>
  <c r="V583" i="123"/>
  <c r="W583" i="123"/>
  <c r="AN583" i="123" s="1"/>
  <c r="U583" i="123"/>
  <c r="U576" i="123"/>
  <c r="V576" i="123"/>
  <c r="W576" i="123"/>
  <c r="AN576" i="123" s="1"/>
  <c r="V567" i="123"/>
  <c r="W567" i="123"/>
  <c r="AN567" i="123" s="1"/>
  <c r="U567" i="123"/>
  <c r="W833" i="123"/>
  <c r="AN833" i="123" s="1"/>
  <c r="W829" i="123"/>
  <c r="AN829" i="123" s="1"/>
  <c r="W825" i="123"/>
  <c r="AN825" i="123" s="1"/>
  <c r="W821" i="123"/>
  <c r="AN821" i="123" s="1"/>
  <c r="W817" i="123"/>
  <c r="AN817" i="123" s="1"/>
  <c r="AD814" i="123"/>
  <c r="AF814" i="123" s="1"/>
  <c r="V814" i="123"/>
  <c r="AA813" i="123"/>
  <c r="W813" i="123"/>
  <c r="AN813" i="123" s="1"/>
  <c r="AD810" i="123"/>
  <c r="AF810" i="123" s="1"/>
  <c r="V810" i="123"/>
  <c r="AA809" i="123"/>
  <c r="AF809" i="123" s="1"/>
  <c r="W809" i="123"/>
  <c r="AN809" i="123" s="1"/>
  <c r="AD806" i="123"/>
  <c r="AF806" i="123" s="1"/>
  <c r="V806" i="123"/>
  <c r="AA805" i="123"/>
  <c r="AF805" i="123" s="1"/>
  <c r="W805" i="123"/>
  <c r="AN805" i="123" s="1"/>
  <c r="AD802" i="123"/>
  <c r="AF802" i="123" s="1"/>
  <c r="V802" i="123"/>
  <c r="AA801" i="123"/>
  <c r="AF801" i="123" s="1"/>
  <c r="W801" i="123"/>
  <c r="AN801" i="123" s="1"/>
  <c r="AD798" i="123"/>
  <c r="AF798" i="123" s="1"/>
  <c r="V798" i="123"/>
  <c r="AA797" i="123"/>
  <c r="W797" i="123"/>
  <c r="AN797" i="123" s="1"/>
  <c r="AD794" i="123"/>
  <c r="V794" i="123"/>
  <c r="AA793" i="123"/>
  <c r="AF793" i="123" s="1"/>
  <c r="W793" i="123"/>
  <c r="AN793" i="123" s="1"/>
  <c r="AD790" i="123"/>
  <c r="AF790" i="123" s="1"/>
  <c r="V790" i="123"/>
  <c r="AA789" i="123"/>
  <c r="AF789" i="123" s="1"/>
  <c r="W789" i="123"/>
  <c r="AN789" i="123" s="1"/>
  <c r="AD786" i="123"/>
  <c r="AF786" i="123" s="1"/>
  <c r="V786" i="123"/>
  <c r="AA785" i="123"/>
  <c r="AF785" i="123" s="1"/>
  <c r="W785" i="123"/>
  <c r="AN785" i="123" s="1"/>
  <c r="AD782" i="123"/>
  <c r="AF782" i="123" s="1"/>
  <c r="V782" i="123"/>
  <c r="AA781" i="123"/>
  <c r="AF781" i="123" s="1"/>
  <c r="W781" i="123"/>
  <c r="AN781" i="123" s="1"/>
  <c r="AD778" i="123"/>
  <c r="AF778" i="123" s="1"/>
  <c r="V778" i="123"/>
  <c r="AA777" i="123"/>
  <c r="AF777" i="123" s="1"/>
  <c r="W777" i="123"/>
  <c r="AN777" i="123" s="1"/>
  <c r="AD774" i="123"/>
  <c r="AF774" i="123" s="1"/>
  <c r="V774" i="123"/>
  <c r="AA773" i="123"/>
  <c r="AF773" i="123" s="1"/>
  <c r="W773" i="123"/>
  <c r="AN773" i="123" s="1"/>
  <c r="AD770" i="123"/>
  <c r="V770" i="123"/>
  <c r="AA769" i="123"/>
  <c r="AF769" i="123" s="1"/>
  <c r="W769" i="123"/>
  <c r="AN769" i="123" s="1"/>
  <c r="AD766" i="123"/>
  <c r="AF766" i="123" s="1"/>
  <c r="V766" i="123"/>
  <c r="AA765" i="123"/>
  <c r="AF765" i="123" s="1"/>
  <c r="W765" i="123"/>
  <c r="AN765" i="123" s="1"/>
  <c r="AD762" i="123"/>
  <c r="AF762" i="123" s="1"/>
  <c r="V762" i="123"/>
  <c r="AA761" i="123"/>
  <c r="AF761" i="123" s="1"/>
  <c r="W761" i="123"/>
  <c r="AN761" i="123" s="1"/>
  <c r="AD758" i="123"/>
  <c r="AF758" i="123" s="1"/>
  <c r="V758" i="123"/>
  <c r="AA757" i="123"/>
  <c r="W757" i="123"/>
  <c r="AN757" i="123" s="1"/>
  <c r="AD754" i="123"/>
  <c r="V754" i="123"/>
  <c r="AA753" i="123"/>
  <c r="AF753" i="123" s="1"/>
  <c r="W753" i="123"/>
  <c r="AN753" i="123" s="1"/>
  <c r="AD750" i="123"/>
  <c r="AF750" i="123" s="1"/>
  <c r="V750" i="123"/>
  <c r="AA749" i="123"/>
  <c r="AF749" i="123" s="1"/>
  <c r="W749" i="123"/>
  <c r="AN749" i="123" s="1"/>
  <c r="AD746" i="123"/>
  <c r="AF746" i="123" s="1"/>
  <c r="V746" i="123"/>
  <c r="AA745" i="123"/>
  <c r="AF745" i="123" s="1"/>
  <c r="W745" i="123"/>
  <c r="AN745" i="123" s="1"/>
  <c r="AD742" i="123"/>
  <c r="AF742" i="123" s="1"/>
  <c r="V742" i="123"/>
  <c r="AA741" i="123"/>
  <c r="AF741" i="123" s="1"/>
  <c r="W741" i="123"/>
  <c r="AN741" i="123" s="1"/>
  <c r="AD738" i="123"/>
  <c r="AF738" i="123" s="1"/>
  <c r="V738" i="123"/>
  <c r="AA737" i="123"/>
  <c r="AF737" i="123" s="1"/>
  <c r="W737" i="123"/>
  <c r="AN737" i="123" s="1"/>
  <c r="AD734" i="123"/>
  <c r="AF734" i="123" s="1"/>
  <c r="V734" i="123"/>
  <c r="AA733" i="123"/>
  <c r="AF733" i="123" s="1"/>
  <c r="W733" i="123"/>
  <c r="AN733" i="123" s="1"/>
  <c r="AD730" i="123"/>
  <c r="AF730" i="123" s="1"/>
  <c r="V730" i="123"/>
  <c r="AA729" i="123"/>
  <c r="AF729" i="123" s="1"/>
  <c r="W729" i="123"/>
  <c r="AN729" i="123" s="1"/>
  <c r="AD726" i="123"/>
  <c r="AF726" i="123" s="1"/>
  <c r="V726" i="123"/>
  <c r="AA725" i="123"/>
  <c r="AF725" i="123" s="1"/>
  <c r="W725" i="123"/>
  <c r="AN725" i="123" s="1"/>
  <c r="AD722" i="123"/>
  <c r="AF722" i="123" s="1"/>
  <c r="V722" i="123"/>
  <c r="AA721" i="123"/>
  <c r="AF721" i="123" s="1"/>
  <c r="W721" i="123"/>
  <c r="AN721" i="123" s="1"/>
  <c r="AD718" i="123"/>
  <c r="AF718" i="123" s="1"/>
  <c r="V718" i="123"/>
  <c r="AA717" i="123"/>
  <c r="AF717" i="123" s="1"/>
  <c r="W717" i="123"/>
  <c r="AN717" i="123" s="1"/>
  <c r="AD714" i="123"/>
  <c r="AF714" i="123" s="1"/>
  <c r="V714" i="123"/>
  <c r="AA713" i="123"/>
  <c r="AF713" i="123" s="1"/>
  <c r="W713" i="123"/>
  <c r="AN713" i="123" s="1"/>
  <c r="AD710" i="123"/>
  <c r="AF710" i="123" s="1"/>
  <c r="V710" i="123"/>
  <c r="AA709" i="123"/>
  <c r="AF709" i="123" s="1"/>
  <c r="W709" i="123"/>
  <c r="AN709" i="123" s="1"/>
  <c r="AD706" i="123"/>
  <c r="AF706" i="123" s="1"/>
  <c r="V706" i="123"/>
  <c r="AA705" i="123"/>
  <c r="AF705" i="123" s="1"/>
  <c r="W705" i="123"/>
  <c r="AN705" i="123" s="1"/>
  <c r="AD702" i="123"/>
  <c r="AF702" i="123" s="1"/>
  <c r="V702" i="123"/>
  <c r="AA701" i="123"/>
  <c r="AF701" i="123" s="1"/>
  <c r="W701" i="123"/>
  <c r="AN701" i="123" s="1"/>
  <c r="AD698" i="123"/>
  <c r="AF698" i="123" s="1"/>
  <c r="V698" i="123"/>
  <c r="AA697" i="123"/>
  <c r="W697" i="123"/>
  <c r="AN697" i="123" s="1"/>
  <c r="AD694" i="123"/>
  <c r="AF694" i="123" s="1"/>
  <c r="V694" i="123"/>
  <c r="AA693" i="123"/>
  <c r="AF693" i="123" s="1"/>
  <c r="W693" i="123"/>
  <c r="AN693" i="123" s="1"/>
  <c r="AD690" i="123"/>
  <c r="AF690" i="123" s="1"/>
  <c r="V690" i="123"/>
  <c r="AA689" i="123"/>
  <c r="AF689" i="123" s="1"/>
  <c r="W689" i="123"/>
  <c r="AN689" i="123" s="1"/>
  <c r="AD686" i="123"/>
  <c r="AF686" i="123" s="1"/>
  <c r="V686" i="123"/>
  <c r="AA685" i="123"/>
  <c r="AF685" i="123" s="1"/>
  <c r="W685" i="123"/>
  <c r="AN685" i="123" s="1"/>
  <c r="AD682" i="123"/>
  <c r="AF682" i="123" s="1"/>
  <c r="V682" i="123"/>
  <c r="AA681" i="123"/>
  <c r="W681" i="123"/>
  <c r="AN681" i="123" s="1"/>
  <c r="AD678" i="123"/>
  <c r="AF678" i="123" s="1"/>
  <c r="V678" i="123"/>
  <c r="AA677" i="123"/>
  <c r="W677" i="123"/>
  <c r="AN677" i="123" s="1"/>
  <c r="AD674" i="123"/>
  <c r="AF674" i="123" s="1"/>
  <c r="V674" i="123"/>
  <c r="AA673" i="123"/>
  <c r="AF673" i="123" s="1"/>
  <c r="W673" i="123"/>
  <c r="AN673" i="123" s="1"/>
  <c r="AD670" i="123"/>
  <c r="AF670" i="123" s="1"/>
  <c r="V670" i="123"/>
  <c r="AA669" i="123"/>
  <c r="AF669" i="123" s="1"/>
  <c r="W669" i="123"/>
  <c r="AN669" i="123" s="1"/>
  <c r="AD666" i="123"/>
  <c r="AF666" i="123" s="1"/>
  <c r="V666" i="123"/>
  <c r="AA665" i="123"/>
  <c r="AF665" i="123" s="1"/>
  <c r="W665" i="123"/>
  <c r="AN665" i="123" s="1"/>
  <c r="AD662" i="123"/>
  <c r="AF662" i="123" s="1"/>
  <c r="V662" i="123"/>
  <c r="AA661" i="123"/>
  <c r="AF661" i="123" s="1"/>
  <c r="W661" i="123"/>
  <c r="AN661" i="123" s="1"/>
  <c r="AD658" i="123"/>
  <c r="AF658" i="123" s="1"/>
  <c r="V658" i="123"/>
  <c r="AA657" i="123"/>
  <c r="AF657" i="123" s="1"/>
  <c r="W657" i="123"/>
  <c r="AN657" i="123" s="1"/>
  <c r="AD654" i="123"/>
  <c r="AF654" i="123" s="1"/>
  <c r="V654" i="123"/>
  <c r="AA653" i="123"/>
  <c r="AF653" i="123" s="1"/>
  <c r="W653" i="123"/>
  <c r="AN653" i="123" s="1"/>
  <c r="AD650" i="123"/>
  <c r="AF650" i="123" s="1"/>
  <c r="V650" i="123"/>
  <c r="AA649" i="123"/>
  <c r="AF649" i="123" s="1"/>
  <c r="W649" i="123"/>
  <c r="AN649" i="123" s="1"/>
  <c r="AD646" i="123"/>
  <c r="AF646" i="123" s="1"/>
  <c r="V646" i="123"/>
  <c r="AA645" i="123"/>
  <c r="AF645" i="123" s="1"/>
  <c r="W645" i="123"/>
  <c r="AN645" i="123" s="1"/>
  <c r="AD642" i="123"/>
  <c r="AF642" i="123" s="1"/>
  <c r="V642" i="123"/>
  <c r="AA641" i="123"/>
  <c r="AF641" i="123" s="1"/>
  <c r="W641" i="123"/>
  <c r="AN641" i="123" s="1"/>
  <c r="AD638" i="123"/>
  <c r="AF638" i="123" s="1"/>
  <c r="V638" i="123"/>
  <c r="AA637" i="123"/>
  <c r="AF637" i="123" s="1"/>
  <c r="W637" i="123"/>
  <c r="AN637" i="123" s="1"/>
  <c r="AD634" i="123"/>
  <c r="AF634" i="123" s="1"/>
  <c r="V634" i="123"/>
  <c r="AA633" i="123"/>
  <c r="AF633" i="123" s="1"/>
  <c r="W633" i="123"/>
  <c r="AN633" i="123" s="1"/>
  <c r="AD630" i="123"/>
  <c r="AF630" i="123" s="1"/>
  <c r="V630" i="123"/>
  <c r="AA629" i="123"/>
  <c r="AF629" i="123" s="1"/>
  <c r="W629" i="123"/>
  <c r="AN629" i="123" s="1"/>
  <c r="AD626" i="123"/>
  <c r="AF626" i="123" s="1"/>
  <c r="V626" i="123"/>
  <c r="AA625" i="123"/>
  <c r="AF625" i="123" s="1"/>
  <c r="W625" i="123"/>
  <c r="AN625" i="123" s="1"/>
  <c r="AD622" i="123"/>
  <c r="AF622" i="123" s="1"/>
  <c r="V622" i="123"/>
  <c r="AA621" i="123"/>
  <c r="AF621" i="123" s="1"/>
  <c r="W621" i="123"/>
  <c r="AN621" i="123" s="1"/>
  <c r="AD618" i="123"/>
  <c r="AF618" i="123" s="1"/>
  <c r="V618" i="123"/>
  <c r="AA617" i="123"/>
  <c r="AF617" i="123" s="1"/>
  <c r="W617" i="123"/>
  <c r="AN617" i="123" s="1"/>
  <c r="AD614" i="123"/>
  <c r="AF614" i="123" s="1"/>
  <c r="V614" i="123"/>
  <c r="AA613" i="123"/>
  <c r="AF613" i="123" s="1"/>
  <c r="W613" i="123"/>
  <c r="AN613" i="123" s="1"/>
  <c r="AD610" i="123"/>
  <c r="AF610" i="123" s="1"/>
  <c r="V610" i="123"/>
  <c r="AA609" i="123"/>
  <c r="AF609" i="123" s="1"/>
  <c r="W609" i="123"/>
  <c r="AN609" i="123" s="1"/>
  <c r="AD606" i="123"/>
  <c r="AF606" i="123" s="1"/>
  <c r="V606" i="123"/>
  <c r="AA605" i="123"/>
  <c r="AF605" i="123" s="1"/>
  <c r="W605" i="123"/>
  <c r="AN605" i="123" s="1"/>
  <c r="AD602" i="123"/>
  <c r="AF602" i="123" s="1"/>
  <c r="V602" i="123"/>
  <c r="AA601" i="123"/>
  <c r="AF601" i="123" s="1"/>
  <c r="W601" i="123"/>
  <c r="AN601" i="123" s="1"/>
  <c r="AD598" i="123"/>
  <c r="AF598" i="123" s="1"/>
  <c r="V598" i="123"/>
  <c r="AA597" i="123"/>
  <c r="AF597" i="123" s="1"/>
  <c r="W597" i="123"/>
  <c r="AN597" i="123" s="1"/>
  <c r="AD594" i="123"/>
  <c r="AF594" i="123" s="1"/>
  <c r="V594" i="123"/>
  <c r="AA593" i="123"/>
  <c r="AF593" i="123" s="1"/>
  <c r="W593" i="123"/>
  <c r="AN593" i="123" s="1"/>
  <c r="AD590" i="123"/>
  <c r="AF590" i="123" s="1"/>
  <c r="V590" i="123"/>
  <c r="AA589" i="123"/>
  <c r="AF589" i="123" s="1"/>
  <c r="W589" i="123"/>
  <c r="AN589" i="123" s="1"/>
  <c r="AD586" i="123"/>
  <c r="AF586" i="123" s="1"/>
  <c r="V586" i="123"/>
  <c r="AA585" i="123"/>
  <c r="AF585" i="123" s="1"/>
  <c r="W585" i="123"/>
  <c r="AN585" i="123" s="1"/>
  <c r="AD582" i="123"/>
  <c r="AF582" i="123" s="1"/>
  <c r="V582" i="123"/>
  <c r="AA581" i="123"/>
  <c r="AF581" i="123" s="1"/>
  <c r="W581" i="123"/>
  <c r="AN581" i="123" s="1"/>
  <c r="AD578" i="123"/>
  <c r="AF578" i="123" s="1"/>
  <c r="V578" i="123"/>
  <c r="AA577" i="123"/>
  <c r="AF577" i="123" s="1"/>
  <c r="W577" i="123"/>
  <c r="AN577" i="123" s="1"/>
  <c r="AD574" i="123"/>
  <c r="AF574" i="123" s="1"/>
  <c r="V574" i="123"/>
  <c r="AA573" i="123"/>
  <c r="AF573" i="123" s="1"/>
  <c r="W573" i="123"/>
  <c r="AN573" i="123" s="1"/>
  <c r="AD570" i="123"/>
  <c r="AF570" i="123" s="1"/>
  <c r="V570" i="123"/>
  <c r="AA569" i="123"/>
  <c r="W569" i="123"/>
  <c r="AN569" i="123" s="1"/>
  <c r="AD566" i="123"/>
  <c r="AF566" i="123" s="1"/>
  <c r="V566" i="123"/>
  <c r="AA565" i="123"/>
  <c r="AF565" i="123" s="1"/>
  <c r="W565" i="123"/>
  <c r="AN565" i="123" s="1"/>
  <c r="AD562" i="123"/>
  <c r="AF562" i="123" s="1"/>
  <c r="V562" i="123"/>
  <c r="AA561" i="123"/>
  <c r="AF561" i="123" s="1"/>
  <c r="W561" i="123"/>
  <c r="AN561" i="123" s="1"/>
  <c r="AD558" i="123"/>
  <c r="AF558" i="123" s="1"/>
  <c r="V558" i="123"/>
  <c r="W557" i="123"/>
  <c r="AN557" i="123" s="1"/>
  <c r="AD554" i="123"/>
  <c r="AF554" i="123" s="1"/>
  <c r="V554" i="123"/>
  <c r="W553" i="123"/>
  <c r="AN553" i="123" s="1"/>
  <c r="AD550" i="123"/>
  <c r="AF550" i="123" s="1"/>
  <c r="V550" i="123"/>
  <c r="W549" i="123"/>
  <c r="AN549" i="123" s="1"/>
  <c r="AD546" i="123"/>
  <c r="AF546" i="123" s="1"/>
  <c r="V546" i="123"/>
  <c r="T544" i="123"/>
  <c r="S537" i="123"/>
  <c r="T537" i="123" s="1"/>
  <c r="T524" i="123"/>
  <c r="AE520" i="123"/>
  <c r="S520" i="123"/>
  <c r="T520" i="123" s="1"/>
  <c r="S517" i="123"/>
  <c r="T517" i="123" s="1"/>
  <c r="AE512" i="123"/>
  <c r="S512" i="123"/>
  <c r="T512" i="123" s="1"/>
  <c r="S509" i="123"/>
  <c r="T509" i="123" s="1"/>
  <c r="AE504" i="123"/>
  <c r="S504" i="123"/>
  <c r="T504" i="123" s="1"/>
  <c r="S501" i="123"/>
  <c r="T501" i="123" s="1"/>
  <c r="U492" i="123"/>
  <c r="V492" i="123"/>
  <c r="W492" i="123" s="1"/>
  <c r="S488" i="123"/>
  <c r="T488" i="123" s="1"/>
  <c r="S470" i="123"/>
  <c r="T470" i="123" s="1"/>
  <c r="S467" i="123"/>
  <c r="T467" i="123" s="1"/>
  <c r="S455" i="123"/>
  <c r="T455" i="123" s="1"/>
  <c r="U814" i="123"/>
  <c r="U810" i="123"/>
  <c r="U806" i="123"/>
  <c r="U802" i="123"/>
  <c r="U798" i="123"/>
  <c r="U794" i="123"/>
  <c r="U790" i="123"/>
  <c r="U786" i="123"/>
  <c r="U782" i="123"/>
  <c r="U778" i="123"/>
  <c r="U774" i="123"/>
  <c r="U770" i="123"/>
  <c r="U766" i="123"/>
  <c r="U762" i="123"/>
  <c r="U758" i="123"/>
  <c r="U754" i="123"/>
  <c r="U750" i="123"/>
  <c r="U746" i="123"/>
  <c r="U742" i="123"/>
  <c r="U738" i="123"/>
  <c r="U734" i="123"/>
  <c r="U730" i="123"/>
  <c r="U726" i="123"/>
  <c r="U722" i="123"/>
  <c r="U718" i="123"/>
  <c r="U714" i="123"/>
  <c r="U710" i="123"/>
  <c r="U706" i="123"/>
  <c r="U702" i="123"/>
  <c r="U698" i="123"/>
  <c r="U694" i="123"/>
  <c r="U690" i="123"/>
  <c r="U686" i="123"/>
  <c r="U682" i="123"/>
  <c r="U678" i="123"/>
  <c r="U674" i="123"/>
  <c r="U670" i="123"/>
  <c r="U666" i="123"/>
  <c r="U662" i="123"/>
  <c r="U658" i="123"/>
  <c r="U654" i="123"/>
  <c r="U650" i="123"/>
  <c r="U646" i="123"/>
  <c r="U642" i="123"/>
  <c r="U638" i="123"/>
  <c r="U634" i="123"/>
  <c r="U630" i="123"/>
  <c r="U626" i="123"/>
  <c r="U622" i="123"/>
  <c r="U618" i="123"/>
  <c r="U614" i="123"/>
  <c r="U610" i="123"/>
  <c r="U606" i="123"/>
  <c r="U602" i="123"/>
  <c r="U598" i="123"/>
  <c r="U594" i="123"/>
  <c r="U590" i="123"/>
  <c r="U586" i="123"/>
  <c r="U582" i="123"/>
  <c r="U578" i="123"/>
  <c r="U574" i="123"/>
  <c r="U570" i="123"/>
  <c r="U566" i="123"/>
  <c r="U562" i="123"/>
  <c r="AA560" i="123"/>
  <c r="AF560" i="123" s="1"/>
  <c r="W560" i="123"/>
  <c r="AN560" i="123" s="1"/>
  <c r="AD557" i="123"/>
  <c r="AF557" i="123" s="1"/>
  <c r="V557" i="123"/>
  <c r="AA556" i="123"/>
  <c r="AF556" i="123" s="1"/>
  <c r="W556" i="123"/>
  <c r="AN556" i="123" s="1"/>
  <c r="AD553" i="123"/>
  <c r="AF553" i="123" s="1"/>
  <c r="V553" i="123"/>
  <c r="AA552" i="123"/>
  <c r="AF552" i="123" s="1"/>
  <c r="W552" i="123"/>
  <c r="AN552" i="123" s="1"/>
  <c r="AD549" i="123"/>
  <c r="AF549" i="123" s="1"/>
  <c r="V549" i="123"/>
  <c r="AA548" i="123"/>
  <c r="AF548" i="123" s="1"/>
  <c r="Z544" i="123"/>
  <c r="AA544" i="123"/>
  <c r="AF544" i="123" s="1"/>
  <c r="AE542" i="123"/>
  <c r="T542" i="123"/>
  <c r="AC541" i="123"/>
  <c r="AD541" i="123"/>
  <c r="AF541" i="123" s="1"/>
  <c r="AE536" i="123"/>
  <c r="S536" i="123"/>
  <c r="T536" i="123" s="1"/>
  <c r="S533" i="123"/>
  <c r="T533" i="123" s="1"/>
  <c r="S529" i="123"/>
  <c r="T529" i="123" s="1"/>
  <c r="S526" i="123"/>
  <c r="T526" i="123" s="1"/>
  <c r="S522" i="123"/>
  <c r="T522" i="123" s="1"/>
  <c r="S514" i="123"/>
  <c r="T514" i="123" s="1"/>
  <c r="S506" i="123"/>
  <c r="T506" i="123" s="1"/>
  <c r="S494" i="123"/>
  <c r="T494" i="123" s="1"/>
  <c r="S490" i="123"/>
  <c r="T490" i="123" s="1"/>
  <c r="AE484" i="123"/>
  <c r="S484" i="123"/>
  <c r="T484" i="123" s="1"/>
  <c r="S481" i="123"/>
  <c r="T481" i="123" s="1"/>
  <c r="S477" i="123"/>
  <c r="T477" i="123" s="1"/>
  <c r="S473" i="123"/>
  <c r="T473" i="123" s="1"/>
  <c r="S469" i="123"/>
  <c r="T469" i="123" s="1"/>
  <c r="T464" i="123"/>
  <c r="S461" i="123"/>
  <c r="T461" i="123" s="1"/>
  <c r="AE456" i="123"/>
  <c r="S456" i="123"/>
  <c r="T456" i="123" s="1"/>
  <c r="AE452" i="123"/>
  <c r="S543" i="123"/>
  <c r="T543" i="123" s="1"/>
  <c r="S540" i="123"/>
  <c r="T540" i="123" s="1"/>
  <c r="AE534" i="123"/>
  <c r="AF534" i="123"/>
  <c r="S534" i="123"/>
  <c r="T534" i="123" s="1"/>
  <c r="AE528" i="123"/>
  <c r="S528" i="123"/>
  <c r="T528" i="123" s="1"/>
  <c r="S525" i="123"/>
  <c r="T525" i="123" s="1"/>
  <c r="S521" i="123"/>
  <c r="T521" i="123" s="1"/>
  <c r="AE516" i="123"/>
  <c r="S516" i="123"/>
  <c r="T516" i="123" s="1"/>
  <c r="S513" i="123"/>
  <c r="T513" i="123" s="1"/>
  <c r="AE508" i="123"/>
  <c r="S508" i="123"/>
  <c r="T508" i="123" s="1"/>
  <c r="S505" i="123"/>
  <c r="T505" i="123" s="1"/>
  <c r="AE496" i="123"/>
  <c r="S496" i="123"/>
  <c r="T496" i="123" s="1"/>
  <c r="S493" i="123"/>
  <c r="T493" i="123" s="1"/>
  <c r="S489" i="123"/>
  <c r="T489" i="123" s="1"/>
  <c r="S471" i="123"/>
  <c r="T471" i="123" s="1"/>
  <c r="S466" i="123"/>
  <c r="T466" i="123" s="1"/>
  <c r="S454" i="123"/>
  <c r="T454" i="123" s="1"/>
  <c r="AC545" i="123"/>
  <c r="AD545" i="123"/>
  <c r="AF545" i="123" s="1"/>
  <c r="AM543" i="123"/>
  <c r="AE538" i="123"/>
  <c r="AF538" i="123"/>
  <c r="S538" i="123"/>
  <c r="T538" i="123" s="1"/>
  <c r="S532" i="123"/>
  <c r="T532" i="123" s="1"/>
  <c r="AE530" i="123"/>
  <c r="AF530" i="123"/>
  <c r="S530" i="123"/>
  <c r="T530" i="123" s="1"/>
  <c r="S518" i="123"/>
  <c r="T518" i="123" s="1"/>
  <c r="S502" i="123"/>
  <c r="T502" i="123" s="1"/>
  <c r="S498" i="123"/>
  <c r="T498" i="123" s="1"/>
  <c r="S486" i="123"/>
  <c r="T486" i="123" s="1"/>
  <c r="S485" i="123"/>
  <c r="T485" i="123" s="1"/>
  <c r="S480" i="123"/>
  <c r="T480" i="123" s="1"/>
  <c r="AE478" i="123"/>
  <c r="AF478" i="123"/>
  <c r="S478" i="123"/>
  <c r="T478" i="123" s="1"/>
  <c r="S472" i="123"/>
  <c r="T472" i="123" s="1"/>
  <c r="AE462" i="123"/>
  <c r="AF462" i="123"/>
  <c r="S462" i="123"/>
  <c r="T462" i="123" s="1"/>
  <c r="AE460" i="123"/>
  <c r="S460" i="123"/>
  <c r="T460" i="123" s="1"/>
  <c r="S457" i="123"/>
  <c r="T457" i="123" s="1"/>
  <c r="AD526" i="123"/>
  <c r="AF526" i="123" s="1"/>
  <c r="AA525" i="123"/>
  <c r="AD522" i="123"/>
  <c r="AF522" i="123" s="1"/>
  <c r="AA521" i="123"/>
  <c r="AD518" i="123"/>
  <c r="AF518" i="123" s="1"/>
  <c r="AA517" i="123"/>
  <c r="AD514" i="123"/>
  <c r="AF514" i="123" s="1"/>
  <c r="AA513" i="123"/>
  <c r="AD510" i="123"/>
  <c r="AA509" i="123"/>
  <c r="AD506" i="123"/>
  <c r="AF506" i="123" s="1"/>
  <c r="AA505" i="123"/>
  <c r="AD502" i="123"/>
  <c r="AF502" i="123" s="1"/>
  <c r="AA501" i="123"/>
  <c r="T500" i="123"/>
  <c r="AD498" i="123"/>
  <c r="AF498" i="123" s="1"/>
  <c r="AA497" i="123"/>
  <c r="AD494" i="123"/>
  <c r="AF494" i="123" s="1"/>
  <c r="AA493" i="123"/>
  <c r="AD490" i="123"/>
  <c r="AF490" i="123" s="1"/>
  <c r="AA489" i="123"/>
  <c r="AD486" i="123"/>
  <c r="AF486" i="123" s="1"/>
  <c r="AA485" i="123"/>
  <c r="AD482" i="123"/>
  <c r="AA481" i="123"/>
  <c r="AD474" i="123"/>
  <c r="AA473" i="123"/>
  <c r="AC471" i="123"/>
  <c r="AE471" i="123" s="1"/>
  <c r="AD470" i="123"/>
  <c r="AF470" i="123" s="1"/>
  <c r="AA469" i="123"/>
  <c r="AC467" i="123"/>
  <c r="AE467" i="123" s="1"/>
  <c r="AD466" i="123"/>
  <c r="AF466" i="123" s="1"/>
  <c r="AA465" i="123"/>
  <c r="AD458" i="123"/>
  <c r="AA457" i="123"/>
  <c r="AC455" i="123"/>
  <c r="AE455" i="123" s="1"/>
  <c r="AD454" i="123"/>
  <c r="AF454" i="123" s="1"/>
  <c r="AA453" i="123"/>
  <c r="Z445" i="123"/>
  <c r="AA445" i="123"/>
  <c r="AE433" i="123"/>
  <c r="S433" i="123"/>
  <c r="T433" i="123" s="1"/>
  <c r="S401" i="123"/>
  <c r="T401" i="123" s="1"/>
  <c r="S389" i="123"/>
  <c r="T389" i="123" s="1"/>
  <c r="S385" i="123"/>
  <c r="T385" i="123" s="1"/>
  <c r="S382" i="123"/>
  <c r="T382" i="123" s="1"/>
  <c r="S380" i="123"/>
  <c r="T380" i="123" s="1"/>
  <c r="S375" i="123"/>
  <c r="T375" i="123" s="1"/>
  <c r="AE370" i="123"/>
  <c r="S370" i="123"/>
  <c r="T370" i="123" s="1"/>
  <c r="S364" i="123"/>
  <c r="T364" i="123" s="1"/>
  <c r="V363" i="123"/>
  <c r="W363" i="123" s="1"/>
  <c r="U363" i="123"/>
  <c r="AA540" i="123"/>
  <c r="AF540" i="123" s="1"/>
  <c r="T539" i="123"/>
  <c r="AD537" i="123"/>
  <c r="AF537" i="123" s="1"/>
  <c r="AA536" i="123"/>
  <c r="AF536" i="123" s="1"/>
  <c r="T535" i="123"/>
  <c r="AD533" i="123"/>
  <c r="AF533" i="123" s="1"/>
  <c r="AA532" i="123"/>
  <c r="AF532" i="123" s="1"/>
  <c r="T531" i="123"/>
  <c r="AD529" i="123"/>
  <c r="AF529" i="123" s="1"/>
  <c r="AA528" i="123"/>
  <c r="T527" i="123"/>
  <c r="AD525" i="123"/>
  <c r="AE525" i="123" s="1"/>
  <c r="AA524" i="123"/>
  <c r="T523" i="123"/>
  <c r="AD521" i="123"/>
  <c r="AA520" i="123"/>
  <c r="AF520" i="123" s="1"/>
  <c r="T519" i="123"/>
  <c r="AD517" i="123"/>
  <c r="AA516" i="123"/>
  <c r="AF516" i="123" s="1"/>
  <c r="T515" i="123"/>
  <c r="AD513" i="123"/>
  <c r="AA512" i="123"/>
  <c r="T511" i="123"/>
  <c r="AD509" i="123"/>
  <c r="AA508" i="123"/>
  <c r="AF508" i="123" s="1"/>
  <c r="T507" i="123"/>
  <c r="AD505" i="123"/>
  <c r="AA504" i="123"/>
  <c r="AF504" i="123" s="1"/>
  <c r="T503" i="123"/>
  <c r="AD501" i="123"/>
  <c r="AA500" i="123"/>
  <c r="AF500" i="123" s="1"/>
  <c r="T499" i="123"/>
  <c r="AD497" i="123"/>
  <c r="AA496" i="123"/>
  <c r="AF496" i="123" s="1"/>
  <c r="T495" i="123"/>
  <c r="AD493" i="123"/>
  <c r="AF493" i="123" s="1"/>
  <c r="AA492" i="123"/>
  <c r="T491" i="123"/>
  <c r="AD489" i="123"/>
  <c r="AA488" i="123"/>
  <c r="T487" i="123"/>
  <c r="AD485" i="123"/>
  <c r="AF485" i="123" s="1"/>
  <c r="AA484" i="123"/>
  <c r="AF484" i="123" s="1"/>
  <c r="AD481" i="123"/>
  <c r="AA480" i="123"/>
  <c r="T479" i="123"/>
  <c r="AD477" i="123"/>
  <c r="AF477" i="123" s="1"/>
  <c r="AA476" i="123"/>
  <c r="T475" i="123"/>
  <c r="AD473" i="123"/>
  <c r="AA472" i="123"/>
  <c r="AF472" i="123" s="1"/>
  <c r="AD469" i="123"/>
  <c r="AF469" i="123" s="1"/>
  <c r="AA468" i="123"/>
  <c r="AD465" i="123"/>
  <c r="AA464" i="123"/>
  <c r="T463" i="123"/>
  <c r="AD461" i="123"/>
  <c r="AF461" i="123" s="1"/>
  <c r="AA460" i="123"/>
  <c r="AF460" i="123" s="1"/>
  <c r="T459" i="123"/>
  <c r="AD457" i="123"/>
  <c r="AF457" i="123" s="1"/>
  <c r="AA456" i="123"/>
  <c r="AF456" i="123" s="1"/>
  <c r="AD453" i="123"/>
  <c r="AA452" i="123"/>
  <c r="AC449" i="123"/>
  <c r="AE449" i="123" s="1"/>
  <c r="S448" i="123"/>
  <c r="T448" i="123" s="1"/>
  <c r="T447" i="123"/>
  <c r="AC446" i="123"/>
  <c r="AD446" i="123"/>
  <c r="S441" i="123"/>
  <c r="T441" i="123" s="1"/>
  <c r="V435" i="123"/>
  <c r="W435" i="123" s="1"/>
  <c r="U435" i="123"/>
  <c r="V431" i="123"/>
  <c r="W431" i="123" s="1"/>
  <c r="U431" i="123"/>
  <c r="S421" i="123"/>
  <c r="T421" i="123" s="1"/>
  <c r="S410" i="123"/>
  <c r="T410" i="123" s="1"/>
  <c r="S394" i="123"/>
  <c r="T394" i="123" s="1"/>
  <c r="AE390" i="123"/>
  <c r="AF390" i="123"/>
  <c r="S390" i="123"/>
  <c r="T390" i="123" s="1"/>
  <c r="AE386" i="123"/>
  <c r="AF386" i="123"/>
  <c r="S386" i="123"/>
  <c r="T386" i="123" s="1"/>
  <c r="S384" i="123"/>
  <c r="T384" i="123" s="1"/>
  <c r="S379" i="123"/>
  <c r="T379" i="123" s="1"/>
  <c r="S377" i="123"/>
  <c r="T377" i="123" s="1"/>
  <c r="S374" i="123"/>
  <c r="T374" i="123" s="1"/>
  <c r="S372" i="123"/>
  <c r="T372" i="123" s="1"/>
  <c r="T367" i="123"/>
  <c r="AC450" i="123"/>
  <c r="AD450" i="123"/>
  <c r="AE445" i="123"/>
  <c r="S444" i="123"/>
  <c r="T444" i="123" s="1"/>
  <c r="V439" i="123"/>
  <c r="U439" i="123"/>
  <c r="S438" i="123"/>
  <c r="T438" i="123" s="1"/>
  <c r="S429" i="123"/>
  <c r="T429" i="123" s="1"/>
  <c r="S427" i="123"/>
  <c r="T427" i="123" s="1"/>
  <c r="AE425" i="123"/>
  <c r="S425" i="123"/>
  <c r="T425" i="123" s="1"/>
  <c r="AE400" i="123"/>
  <c r="S400" i="123"/>
  <c r="T400" i="123" s="1"/>
  <c r="S392" i="123"/>
  <c r="T392" i="123" s="1"/>
  <c r="S388" i="123"/>
  <c r="T388" i="123" s="1"/>
  <c r="S383" i="123"/>
  <c r="T383" i="123" s="1"/>
  <c r="S381" i="123"/>
  <c r="T381" i="123" s="1"/>
  <c r="S371" i="123"/>
  <c r="T371" i="123" s="1"/>
  <c r="S356" i="123"/>
  <c r="T356" i="123" s="1"/>
  <c r="T451" i="123"/>
  <c r="Z449" i="123"/>
  <c r="AA449" i="123"/>
  <c r="AC442" i="123"/>
  <c r="AD442" i="123"/>
  <c r="V423" i="123"/>
  <c r="U423" i="123"/>
  <c r="S422" i="123"/>
  <c r="T422" i="123" s="1"/>
  <c r="S415" i="123"/>
  <c r="T415" i="123" s="1"/>
  <c r="S413" i="123"/>
  <c r="T413" i="123" s="1"/>
  <c r="S391" i="123"/>
  <c r="T391" i="123" s="1"/>
  <c r="S378" i="123"/>
  <c r="T378" i="123" s="1"/>
  <c r="S376" i="123"/>
  <c r="T376" i="123" s="1"/>
  <c r="S373" i="123"/>
  <c r="T373" i="123" s="1"/>
  <c r="S369" i="123"/>
  <c r="T369" i="123" s="1"/>
  <c r="S368" i="123"/>
  <c r="T368" i="123" s="1"/>
  <c r="S360" i="123"/>
  <c r="T360" i="123" s="1"/>
  <c r="V359" i="123"/>
  <c r="W359" i="123" s="1"/>
  <c r="U359" i="123"/>
  <c r="AC443" i="123"/>
  <c r="AE443" i="123" s="1"/>
  <c r="AA441" i="123"/>
  <c r="T440" i="123"/>
  <c r="AD438" i="123"/>
  <c r="AF438" i="123" s="1"/>
  <c r="AA437" i="123"/>
  <c r="T436" i="123"/>
  <c r="AD434" i="123"/>
  <c r="AA433" i="123"/>
  <c r="T432" i="123"/>
  <c r="AD430" i="123"/>
  <c r="AA429" i="123"/>
  <c r="T428" i="123"/>
  <c r="AC427" i="123"/>
  <c r="AE427" i="123" s="1"/>
  <c r="AD426" i="123"/>
  <c r="AA425" i="123"/>
  <c r="T424" i="123"/>
  <c r="AD422" i="123"/>
  <c r="AF422" i="123" s="1"/>
  <c r="AA421" i="123"/>
  <c r="AD418" i="123"/>
  <c r="AA417" i="123"/>
  <c r="T416" i="123"/>
  <c r="AC415" i="123"/>
  <c r="AE415" i="123" s="1"/>
  <c r="AD414" i="123"/>
  <c r="AA413" i="123"/>
  <c r="AC411" i="123"/>
  <c r="AE411" i="123" s="1"/>
  <c r="AD410" i="123"/>
  <c r="AF410" i="123" s="1"/>
  <c r="AA409" i="123"/>
  <c r="T408" i="123"/>
  <c r="AD406" i="123"/>
  <c r="AA405" i="123"/>
  <c r="AD402" i="123"/>
  <c r="AA401" i="123"/>
  <c r="AC399" i="123"/>
  <c r="AE399" i="123" s="1"/>
  <c r="AD398" i="123"/>
  <c r="AC395" i="123"/>
  <c r="AE395" i="123" s="1"/>
  <c r="Z394" i="123"/>
  <c r="AC391" i="123"/>
  <c r="AE391" i="123" s="1"/>
  <c r="AC383" i="123"/>
  <c r="AE383" i="123" s="1"/>
  <c r="AD382" i="123"/>
  <c r="AF382" i="123" s="1"/>
  <c r="AC379" i="123"/>
  <c r="AE379" i="123" s="1"/>
  <c r="AD378" i="123"/>
  <c r="AF378" i="123" s="1"/>
  <c r="AC375" i="123"/>
  <c r="AE375" i="123" s="1"/>
  <c r="AD374" i="123"/>
  <c r="AF374" i="123" s="1"/>
  <c r="Z374" i="123"/>
  <c r="AC371" i="123"/>
  <c r="AE371" i="123" s="1"/>
  <c r="Z370" i="123"/>
  <c r="S354" i="123"/>
  <c r="T354" i="123" s="1"/>
  <c r="AC347" i="123"/>
  <c r="AD347" i="123"/>
  <c r="AF347" i="123" s="1"/>
  <c r="U343" i="123"/>
  <c r="V343" i="123"/>
  <c r="W343" i="123" s="1"/>
  <c r="S341" i="123"/>
  <c r="T341" i="123" s="1"/>
  <c r="Z338" i="123"/>
  <c r="AA338" i="123"/>
  <c r="AC331" i="123"/>
  <c r="AD331" i="123"/>
  <c r="AF331" i="123" s="1"/>
  <c r="AE329" i="123"/>
  <c r="AF329" i="123"/>
  <c r="S327" i="123"/>
  <c r="T327" i="123" s="1"/>
  <c r="T322" i="123"/>
  <c r="S305" i="123"/>
  <c r="T305" i="123" s="1"/>
  <c r="AD409" i="123"/>
  <c r="AA408" i="123"/>
  <c r="AD405" i="123"/>
  <c r="AA404" i="123"/>
  <c r="AD401" i="123"/>
  <c r="AF401" i="123" s="1"/>
  <c r="AA400" i="123"/>
  <c r="AD397" i="123"/>
  <c r="AD393" i="123"/>
  <c r="AD389" i="123"/>
  <c r="AF389" i="123" s="1"/>
  <c r="AA388" i="123"/>
  <c r="T387" i="123"/>
  <c r="AD385" i="123"/>
  <c r="AF385" i="123" s="1"/>
  <c r="AA384" i="123"/>
  <c r="AD381" i="123"/>
  <c r="AF381" i="123" s="1"/>
  <c r="AA380" i="123"/>
  <c r="AD377" i="123"/>
  <c r="AF377" i="123" s="1"/>
  <c r="AD373" i="123"/>
  <c r="AF373" i="123" s="1"/>
  <c r="AD369" i="123"/>
  <c r="AF369" i="123" s="1"/>
  <c r="AF365" i="123"/>
  <c r="AA363" i="123"/>
  <c r="AA359" i="123"/>
  <c r="AF357" i="123"/>
  <c r="T355" i="123"/>
  <c r="Z354" i="123"/>
  <c r="AA354" i="123"/>
  <c r="S353" i="123"/>
  <c r="T353" i="123" s="1"/>
  <c r="T352" i="123"/>
  <c r="Z350" i="123"/>
  <c r="AA350" i="123"/>
  <c r="AC343" i="123"/>
  <c r="AD343" i="123"/>
  <c r="AF343" i="123" s="1"/>
  <c r="S342" i="123"/>
  <c r="T342" i="123" s="1"/>
  <c r="T339" i="123"/>
  <c r="S337" i="123"/>
  <c r="T337" i="123" s="1"/>
  <c r="T336" i="123"/>
  <c r="Z334" i="123"/>
  <c r="AA334" i="123"/>
  <c r="T318" i="123"/>
  <c r="S315" i="123"/>
  <c r="T315" i="123" s="1"/>
  <c r="S311" i="123"/>
  <c r="T311" i="123" s="1"/>
  <c r="AD396" i="123"/>
  <c r="AA395" i="123"/>
  <c r="AD392" i="123"/>
  <c r="AF392" i="123" s="1"/>
  <c r="AA391" i="123"/>
  <c r="AF391" i="123" s="1"/>
  <c r="AD384" i="123"/>
  <c r="AF384" i="123" s="1"/>
  <c r="AA383" i="123"/>
  <c r="AA379" i="123"/>
  <c r="AD376" i="123"/>
  <c r="AF376" i="123" s="1"/>
  <c r="AA375" i="123"/>
  <c r="AD372" i="123"/>
  <c r="AF372" i="123" s="1"/>
  <c r="AA371" i="123"/>
  <c r="Z366" i="123"/>
  <c r="Z362" i="123"/>
  <c r="Z358" i="123"/>
  <c r="Z355" i="123"/>
  <c r="AA355" i="123"/>
  <c r="S349" i="123"/>
  <c r="T349" i="123" s="1"/>
  <c r="T348" i="123"/>
  <c r="Z346" i="123"/>
  <c r="AA346" i="123"/>
  <c r="S340" i="123"/>
  <c r="T340" i="123" s="1"/>
  <c r="AC339" i="123"/>
  <c r="AD339" i="123"/>
  <c r="AF339" i="123" s="1"/>
  <c r="S338" i="123"/>
  <c r="T338" i="123" s="1"/>
  <c r="S333" i="123"/>
  <c r="T333" i="123" s="1"/>
  <c r="T332" i="123"/>
  <c r="Z330" i="123"/>
  <c r="AA330" i="123"/>
  <c r="S323" i="123"/>
  <c r="T323" i="123" s="1"/>
  <c r="AC367" i="123"/>
  <c r="AE367" i="123" s="1"/>
  <c r="T366" i="123"/>
  <c r="T365" i="123"/>
  <c r="AC363" i="123"/>
  <c r="AE363" i="123" s="1"/>
  <c r="T362" i="123"/>
  <c r="T361" i="123"/>
  <c r="AC359" i="123"/>
  <c r="AE359" i="123" s="1"/>
  <c r="T358" i="123"/>
  <c r="T357" i="123"/>
  <c r="AC351" i="123"/>
  <c r="AD351" i="123"/>
  <c r="AF351" i="123" s="1"/>
  <c r="U347" i="123"/>
  <c r="V347" i="123"/>
  <c r="W347" i="123" s="1"/>
  <c r="S345" i="123"/>
  <c r="T345" i="123" s="1"/>
  <c r="T344" i="123"/>
  <c r="Z342" i="123"/>
  <c r="AA342" i="123"/>
  <c r="AC335" i="123"/>
  <c r="AD335" i="123"/>
  <c r="AF335" i="123" s="1"/>
  <c r="U331" i="123"/>
  <c r="V331" i="123"/>
  <c r="W331" i="123" s="1"/>
  <c r="S329" i="123"/>
  <c r="T329" i="123" s="1"/>
  <c r="T328" i="123"/>
  <c r="S319" i="123"/>
  <c r="T319" i="123" s="1"/>
  <c r="AD352" i="123"/>
  <c r="AF352" i="123" s="1"/>
  <c r="AA351" i="123"/>
  <c r="T350" i="123"/>
  <c r="AD348" i="123"/>
  <c r="AF348" i="123" s="1"/>
  <c r="AA347" i="123"/>
  <c r="T346" i="123"/>
  <c r="AD344" i="123"/>
  <c r="AA343" i="123"/>
  <c r="AD340" i="123"/>
  <c r="AA339" i="123"/>
  <c r="AD336" i="123"/>
  <c r="AF336" i="123" s="1"/>
  <c r="AA335" i="123"/>
  <c r="T334" i="123"/>
  <c r="AD332" i="123"/>
  <c r="AF332" i="123" s="1"/>
  <c r="AA331" i="123"/>
  <c r="T330" i="123"/>
  <c r="AD328" i="123"/>
  <c r="AA327" i="123"/>
  <c r="T326" i="123"/>
  <c r="AD324" i="123"/>
  <c r="AF324" i="123" s="1"/>
  <c r="T312" i="123"/>
  <c r="AD311" i="123"/>
  <c r="AF311" i="123" s="1"/>
  <c r="T306" i="123"/>
  <c r="AE302" i="123"/>
  <c r="S301" i="123"/>
  <c r="T301" i="123" s="1"/>
  <c r="T300" i="123"/>
  <c r="AC299" i="123"/>
  <c r="AD299" i="123"/>
  <c r="AF299" i="123" s="1"/>
  <c r="Z294" i="123"/>
  <c r="AA294" i="123"/>
  <c r="T292" i="123"/>
  <c r="AC291" i="123"/>
  <c r="AD291" i="123"/>
  <c r="AF291" i="123" s="1"/>
  <c r="T288" i="123"/>
  <c r="AC287" i="123"/>
  <c r="AD287" i="123"/>
  <c r="AF287" i="123" s="1"/>
  <c r="T283" i="123"/>
  <c r="S278" i="123"/>
  <c r="T278" i="123" s="1"/>
  <c r="S277" i="123"/>
  <c r="T277" i="123" s="1"/>
  <c r="S274" i="123"/>
  <c r="T274" i="123" s="1"/>
  <c r="S271" i="123"/>
  <c r="T271" i="123" s="1"/>
  <c r="S262" i="123"/>
  <c r="T262" i="123" s="1"/>
  <c r="S255" i="123"/>
  <c r="T255" i="123" s="1"/>
  <c r="S243" i="123"/>
  <c r="T243" i="123" s="1"/>
  <c r="S238" i="123"/>
  <c r="T238" i="123" s="1"/>
  <c r="AD327" i="123"/>
  <c r="AF327" i="123" s="1"/>
  <c r="AA326" i="123"/>
  <c r="AF325" i="123"/>
  <c r="T325" i="123"/>
  <c r="Z321" i="123"/>
  <c r="Z317" i="123"/>
  <c r="T310" i="123"/>
  <c r="T309" i="123"/>
  <c r="S302" i="123"/>
  <c r="T302" i="123" s="1"/>
  <c r="T299" i="123"/>
  <c r="AC295" i="123"/>
  <c r="AD295" i="123"/>
  <c r="AF295" i="123" s="1"/>
  <c r="T291" i="123"/>
  <c r="U287" i="123"/>
  <c r="V287" i="123"/>
  <c r="W287" i="123" s="1"/>
  <c r="S282" i="123"/>
  <c r="T282" i="123" s="1"/>
  <c r="S281" i="123"/>
  <c r="T281" i="123" s="1"/>
  <c r="Z278" i="123"/>
  <c r="AA278" i="123"/>
  <c r="T276" i="123"/>
  <c r="AC275" i="123"/>
  <c r="AD275" i="123"/>
  <c r="AF275" i="123" s="1"/>
  <c r="S266" i="123"/>
  <c r="T266" i="123" s="1"/>
  <c r="U260" i="123"/>
  <c r="V260" i="123"/>
  <c r="W260" i="123" s="1"/>
  <c r="S259" i="123"/>
  <c r="T259" i="123" s="1"/>
  <c r="S250" i="123"/>
  <c r="T250" i="123" s="1"/>
  <c r="S242" i="123"/>
  <c r="T242" i="123" s="1"/>
  <c r="S234" i="123"/>
  <c r="T234" i="123" s="1"/>
  <c r="T324" i="123"/>
  <c r="AC322" i="123"/>
  <c r="AE322" i="123" s="1"/>
  <c r="T321" i="123"/>
  <c r="T320" i="123"/>
  <c r="AC318" i="123"/>
  <c r="AE318" i="123" s="1"/>
  <c r="T317" i="123"/>
  <c r="T316" i="123"/>
  <c r="Z302" i="123"/>
  <c r="AA302" i="123"/>
  <c r="S298" i="123"/>
  <c r="T298" i="123" s="1"/>
  <c r="S290" i="123"/>
  <c r="T290" i="123" s="1"/>
  <c r="S286" i="123"/>
  <c r="T286" i="123" s="1"/>
  <c r="S285" i="123"/>
  <c r="T285" i="123" s="1"/>
  <c r="Z282" i="123"/>
  <c r="AA282" i="123"/>
  <c r="AC279" i="123"/>
  <c r="AD279" i="123"/>
  <c r="AF279" i="123" s="1"/>
  <c r="S270" i="123"/>
  <c r="T270" i="123" s="1"/>
  <c r="S263" i="123"/>
  <c r="T263" i="123" s="1"/>
  <c r="S254" i="123"/>
  <c r="T254" i="123" s="1"/>
  <c r="S247" i="123"/>
  <c r="T247" i="123" s="1"/>
  <c r="S239" i="123"/>
  <c r="T239" i="123" s="1"/>
  <c r="S235" i="123"/>
  <c r="T235" i="123" s="1"/>
  <c r="S233" i="123"/>
  <c r="T233" i="123" s="1"/>
  <c r="S231" i="123"/>
  <c r="T231" i="123" s="1"/>
  <c r="T304" i="123"/>
  <c r="AC303" i="123"/>
  <c r="AD303" i="123"/>
  <c r="Z298" i="123"/>
  <c r="AA298" i="123"/>
  <c r="S294" i="123"/>
  <c r="T294" i="123" s="1"/>
  <c r="S293" i="123"/>
  <c r="T293" i="123" s="1"/>
  <c r="Z290" i="123"/>
  <c r="AA290" i="123"/>
  <c r="S289" i="123"/>
  <c r="T289" i="123" s="1"/>
  <c r="Z286" i="123"/>
  <c r="AA286" i="123"/>
  <c r="T284" i="123"/>
  <c r="AC283" i="123"/>
  <c r="AD283" i="123"/>
  <c r="AF283" i="123" s="1"/>
  <c r="T279" i="123"/>
  <c r="AE277" i="123"/>
  <c r="S267" i="123"/>
  <c r="T267" i="123" s="1"/>
  <c r="S258" i="123"/>
  <c r="T258" i="123" s="1"/>
  <c r="U252" i="123"/>
  <c r="V252" i="123"/>
  <c r="S251" i="123"/>
  <c r="T251" i="123" s="1"/>
  <c r="S246" i="123"/>
  <c r="T246" i="123" s="1"/>
  <c r="S236" i="123"/>
  <c r="T236" i="123" s="1"/>
  <c r="Z245" i="123"/>
  <c r="S244" i="123"/>
  <c r="T244" i="123" s="1"/>
  <c r="AC242" i="123"/>
  <c r="AE242" i="123" s="1"/>
  <c r="Z241" i="123"/>
  <c r="S240" i="123"/>
  <c r="T240" i="123" s="1"/>
  <c r="AC234" i="123"/>
  <c r="AE234" i="123" s="1"/>
  <c r="AD233" i="123"/>
  <c r="Z233" i="123"/>
  <c r="AA232" i="123"/>
  <c r="Z229" i="123"/>
  <c r="T227" i="123"/>
  <c r="T223" i="123"/>
  <c r="S221" i="123"/>
  <c r="T221" i="123" s="1"/>
  <c r="AC220" i="123"/>
  <c r="AD220" i="123"/>
  <c r="AF220" i="123" s="1"/>
  <c r="S216" i="123"/>
  <c r="T216" i="123" s="1"/>
  <c r="S210" i="123"/>
  <c r="T210" i="123" s="1"/>
  <c r="AC230" i="123"/>
  <c r="AE230" i="123" s="1"/>
  <c r="T229" i="123"/>
  <c r="AD227" i="123"/>
  <c r="AF227" i="123" s="1"/>
  <c r="AC227" i="123"/>
  <c r="AD223" i="123"/>
  <c r="AF223" i="123" s="1"/>
  <c r="AC223" i="123"/>
  <c r="S222" i="123"/>
  <c r="T222" i="123" s="1"/>
  <c r="AA274" i="123"/>
  <c r="T273" i="123"/>
  <c r="AD271" i="123"/>
  <c r="AA270" i="123"/>
  <c r="T269" i="123"/>
  <c r="AD267" i="123"/>
  <c r="AF267" i="123" s="1"/>
  <c r="AA266" i="123"/>
  <c r="T265" i="123"/>
  <c r="AD263" i="123"/>
  <c r="AF263" i="123" s="1"/>
  <c r="AA262" i="123"/>
  <c r="T261" i="123"/>
  <c r="AD259" i="123"/>
  <c r="AF259" i="123" s="1"/>
  <c r="AA258" i="123"/>
  <c r="T257" i="123"/>
  <c r="AD255" i="123"/>
  <c r="AA254" i="123"/>
  <c r="T253" i="123"/>
  <c r="AD251" i="123"/>
  <c r="AF251" i="123" s="1"/>
  <c r="AA250" i="123"/>
  <c r="T249" i="123"/>
  <c r="AD247" i="123"/>
  <c r="AF247" i="123" s="1"/>
  <c r="AA246" i="123"/>
  <c r="T245" i="123"/>
  <c r="AD243" i="123"/>
  <c r="AF243" i="123" s="1"/>
  <c r="AA242" i="123"/>
  <c r="T241" i="123"/>
  <c r="AD239" i="123"/>
  <c r="AA238" i="123"/>
  <c r="T237" i="123"/>
  <c r="AD235" i="123"/>
  <c r="AF235" i="123" s="1"/>
  <c r="AA222" i="123"/>
  <c r="Z222" i="123"/>
  <c r="S219" i="123"/>
  <c r="T219" i="123" s="1"/>
  <c r="AC216" i="123"/>
  <c r="AD216" i="123"/>
  <c r="AF216" i="123" s="1"/>
  <c r="S215" i="123"/>
  <c r="T215" i="123" s="1"/>
  <c r="S212" i="123"/>
  <c r="T212" i="123" s="1"/>
  <c r="T228" i="123"/>
  <c r="AA226" i="123"/>
  <c r="Z226" i="123"/>
  <c r="S225" i="123"/>
  <c r="T225" i="123" s="1"/>
  <c r="T224" i="123"/>
  <c r="T220" i="123"/>
  <c r="AD218" i="123"/>
  <c r="AC218" i="123"/>
  <c r="AF211" i="123"/>
  <c r="AE211" i="123"/>
  <c r="S207" i="123"/>
  <c r="T207" i="123" s="1"/>
  <c r="T211" i="123"/>
  <c r="T208" i="123"/>
  <c r="AE207" i="123"/>
  <c r="S206" i="123"/>
  <c r="T206" i="123" s="1"/>
  <c r="T205" i="123"/>
  <c r="AC204" i="123"/>
  <c r="AD204" i="123"/>
  <c r="AF204" i="123" s="1"/>
  <c r="Z199" i="123"/>
  <c r="AA199" i="123"/>
  <c r="S195" i="123"/>
  <c r="T195" i="123" s="1"/>
  <c r="T192" i="123"/>
  <c r="AE191" i="123"/>
  <c r="S190" i="123"/>
  <c r="T190" i="123" s="1"/>
  <c r="T189" i="123"/>
  <c r="AC188" i="123"/>
  <c r="AD188" i="123"/>
  <c r="AF188" i="123" s="1"/>
  <c r="Z183" i="123"/>
  <c r="AA183" i="123"/>
  <c r="S176" i="123"/>
  <c r="T176" i="123" s="1"/>
  <c r="U131" i="123"/>
  <c r="V131" i="123"/>
  <c r="W131" i="123" s="1"/>
  <c r="AC200" i="123"/>
  <c r="AD200" i="123"/>
  <c r="AF200" i="123" s="1"/>
  <c r="Z195" i="123"/>
  <c r="AA195" i="123"/>
  <c r="S191" i="123"/>
  <c r="T191" i="123" s="1"/>
  <c r="AE187" i="123"/>
  <c r="T185" i="123"/>
  <c r="AC184" i="123"/>
  <c r="AD184" i="123"/>
  <c r="AF184" i="123" s="1"/>
  <c r="S179" i="123"/>
  <c r="T179" i="123" s="1"/>
  <c r="V173" i="123"/>
  <c r="W173" i="123" s="1"/>
  <c r="U173" i="123"/>
  <c r="U139" i="123"/>
  <c r="AD228" i="123"/>
  <c r="AF228" i="123" s="1"/>
  <c r="AA227" i="123"/>
  <c r="AA223" i="123"/>
  <c r="Z218" i="123"/>
  <c r="AA213" i="123"/>
  <c r="AD210" i="123"/>
  <c r="AF210" i="123" s="1"/>
  <c r="Z207" i="123"/>
  <c r="AA207" i="123"/>
  <c r="AF203" i="123"/>
  <c r="S203" i="123"/>
  <c r="T203" i="123" s="1"/>
  <c r="T200" i="123"/>
  <c r="S198" i="123"/>
  <c r="T198" i="123" s="1"/>
  <c r="T197" i="123"/>
  <c r="AC196" i="123"/>
  <c r="AD196" i="123"/>
  <c r="AF196" i="123" s="1"/>
  <c r="Z191" i="123"/>
  <c r="AA191" i="123"/>
  <c r="S187" i="123"/>
  <c r="T187" i="123" s="1"/>
  <c r="T184" i="123"/>
  <c r="S182" i="123"/>
  <c r="T182" i="123" s="1"/>
  <c r="T181" i="123"/>
  <c r="AC180" i="123"/>
  <c r="AD180" i="123"/>
  <c r="AF180" i="123" s="1"/>
  <c r="T217" i="123"/>
  <c r="AC208" i="123"/>
  <c r="AD208" i="123"/>
  <c r="AF208" i="123" s="1"/>
  <c r="Z203" i="123"/>
  <c r="AA203" i="123"/>
  <c r="S199" i="123"/>
  <c r="T199" i="123" s="1"/>
  <c r="T196" i="123"/>
  <c r="AE195" i="123"/>
  <c r="S194" i="123"/>
  <c r="T194" i="123" s="1"/>
  <c r="AC192" i="123"/>
  <c r="AD192" i="123"/>
  <c r="AF192" i="123" s="1"/>
  <c r="Z187" i="123"/>
  <c r="AA187" i="123"/>
  <c r="S183" i="123"/>
  <c r="T183" i="123" s="1"/>
  <c r="U135" i="123"/>
  <c r="V135" i="123"/>
  <c r="W135" i="123" s="1"/>
  <c r="Z175" i="123"/>
  <c r="S174" i="123"/>
  <c r="T174" i="123" s="1"/>
  <c r="AA173" i="123"/>
  <c r="Z171" i="123"/>
  <c r="S170" i="123"/>
  <c r="T170" i="123" s="1"/>
  <c r="AA169" i="123"/>
  <c r="Z167" i="123"/>
  <c r="S166" i="123"/>
  <c r="T166" i="123" s="1"/>
  <c r="AC162" i="123"/>
  <c r="AD162" i="123"/>
  <c r="AF162" i="123" s="1"/>
  <c r="S157" i="123"/>
  <c r="T157" i="123" s="1"/>
  <c r="S156" i="123"/>
  <c r="T156" i="123" s="1"/>
  <c r="Z153" i="123"/>
  <c r="AA153" i="123"/>
  <c r="U151" i="123"/>
  <c r="V151" i="123"/>
  <c r="AC150" i="123"/>
  <c r="AD150" i="123"/>
  <c r="AF150" i="123" s="1"/>
  <c r="AC142" i="123"/>
  <c r="AD142" i="123"/>
  <c r="AF142" i="123" s="1"/>
  <c r="S136" i="123"/>
  <c r="T136" i="123" s="1"/>
  <c r="S134" i="123"/>
  <c r="T134" i="123" s="1"/>
  <c r="U108" i="123"/>
  <c r="V108" i="123"/>
  <c r="W108" i="123" s="1"/>
  <c r="Z161" i="123"/>
  <c r="AA161" i="123"/>
  <c r="Z157" i="123"/>
  <c r="AA157" i="123"/>
  <c r="U155" i="123"/>
  <c r="V155" i="123"/>
  <c r="AC154" i="123"/>
  <c r="AD154" i="123"/>
  <c r="AF154" i="123" s="1"/>
  <c r="U150" i="123"/>
  <c r="V150" i="123"/>
  <c r="W150" i="123" s="1"/>
  <c r="S145" i="123"/>
  <c r="T145" i="123" s="1"/>
  <c r="S140" i="123"/>
  <c r="T140" i="123" s="1"/>
  <c r="S138" i="123"/>
  <c r="T138" i="123" s="1"/>
  <c r="Z137" i="123"/>
  <c r="AA137" i="123"/>
  <c r="U127" i="123"/>
  <c r="V127" i="123"/>
  <c r="W127" i="123" s="1"/>
  <c r="AA179" i="123"/>
  <c r="T178" i="123"/>
  <c r="AD176" i="123"/>
  <c r="AF176" i="123" s="1"/>
  <c r="T175" i="123"/>
  <c r="AD172" i="123"/>
  <c r="T171" i="123"/>
  <c r="AD168" i="123"/>
  <c r="T167" i="123"/>
  <c r="T165" i="123"/>
  <c r="S161" i="123"/>
  <c r="T161" i="123" s="1"/>
  <c r="T159" i="123"/>
  <c r="AC158" i="123"/>
  <c r="AD158" i="123"/>
  <c r="AF158" i="123" s="1"/>
  <c r="T154" i="123"/>
  <c r="AE153" i="123"/>
  <c r="S149" i="123"/>
  <c r="T149" i="123" s="1"/>
  <c r="S148" i="123"/>
  <c r="T148" i="123" s="1"/>
  <c r="Z145" i="123"/>
  <c r="AA145" i="123"/>
  <c r="S144" i="123"/>
  <c r="T144" i="123" s="1"/>
  <c r="AE143" i="123"/>
  <c r="Z141" i="123"/>
  <c r="AA141" i="123"/>
  <c r="Z139" i="123"/>
  <c r="AA139" i="123"/>
  <c r="AD174" i="123"/>
  <c r="AD170" i="123"/>
  <c r="AF170" i="123" s="1"/>
  <c r="AD166" i="123"/>
  <c r="AF166" i="123" s="1"/>
  <c r="Z165" i="123"/>
  <c r="AA165" i="123"/>
  <c r="T163" i="123"/>
  <c r="AC161" i="123"/>
  <c r="AE161" i="123" s="1"/>
  <c r="Z160" i="123"/>
  <c r="T158" i="123"/>
  <c r="AE157" i="123"/>
  <c r="S153" i="123"/>
  <c r="T153" i="123" s="1"/>
  <c r="S152" i="123"/>
  <c r="T152" i="123" s="1"/>
  <c r="Z149" i="123"/>
  <c r="AA149" i="123"/>
  <c r="T147" i="123"/>
  <c r="AC146" i="123"/>
  <c r="AD146" i="123"/>
  <c r="AF146" i="123" s="1"/>
  <c r="S124" i="123"/>
  <c r="T124" i="123" s="1"/>
  <c r="AC112" i="123"/>
  <c r="AD112" i="123"/>
  <c r="AF112" i="123" s="1"/>
  <c r="AD111" i="123"/>
  <c r="AF111" i="123" s="1"/>
  <c r="AC111" i="123"/>
  <c r="U96" i="123"/>
  <c r="V96" i="123"/>
  <c r="W96" i="123" s="1"/>
  <c r="T141" i="123"/>
  <c r="AC139" i="123"/>
  <c r="AE139" i="123" s="1"/>
  <c r="T137" i="123"/>
  <c r="AC134" i="123"/>
  <c r="AE134" i="123" s="1"/>
  <c r="Z133" i="123"/>
  <c r="S133" i="123"/>
  <c r="T133" i="123" s="1"/>
  <c r="AC130" i="123"/>
  <c r="AE130" i="123" s="1"/>
  <c r="Z129" i="123"/>
  <c r="S129" i="123"/>
  <c r="T129" i="123" s="1"/>
  <c r="AC126" i="123"/>
  <c r="AE126" i="123" s="1"/>
  <c r="S125" i="123"/>
  <c r="T125" i="123" s="1"/>
  <c r="AC122" i="123"/>
  <c r="AD122" i="123"/>
  <c r="AF122" i="123" s="1"/>
  <c r="AA118" i="123"/>
  <c r="Z118" i="123"/>
  <c r="U116" i="123"/>
  <c r="V116" i="123"/>
  <c r="W116" i="123" s="1"/>
  <c r="S107" i="123"/>
  <c r="T107" i="123" s="1"/>
  <c r="AA102" i="123"/>
  <c r="Z102" i="123"/>
  <c r="U100" i="123"/>
  <c r="V100" i="123"/>
  <c r="W100" i="123" s="1"/>
  <c r="AA94" i="123"/>
  <c r="Z94" i="123"/>
  <c r="U88" i="123"/>
  <c r="V88" i="123"/>
  <c r="W88" i="123" s="1"/>
  <c r="T132" i="123"/>
  <c r="T130" i="123"/>
  <c r="T128" i="123"/>
  <c r="T126" i="123"/>
  <c r="T119" i="123"/>
  <c r="T118" i="123"/>
  <c r="AC104" i="123"/>
  <c r="AD104" i="123"/>
  <c r="AF104" i="123" s="1"/>
  <c r="AD103" i="123"/>
  <c r="AF103" i="123" s="1"/>
  <c r="AC103" i="123"/>
  <c r="AD95" i="123"/>
  <c r="AF95" i="123" s="1"/>
  <c r="AC95" i="123"/>
  <c r="AF137" i="123"/>
  <c r="AC135" i="123"/>
  <c r="AD135" i="123"/>
  <c r="AF135" i="123" s="1"/>
  <c r="Z134" i="123"/>
  <c r="AA134" i="123"/>
  <c r="AC131" i="123"/>
  <c r="AD131" i="123"/>
  <c r="AF131" i="123" s="1"/>
  <c r="Z130" i="123"/>
  <c r="AA130" i="123"/>
  <c r="AE129" i="123"/>
  <c r="AC127" i="123"/>
  <c r="AD127" i="123"/>
  <c r="AF127" i="123" s="1"/>
  <c r="Z126" i="123"/>
  <c r="AA126" i="123"/>
  <c r="AE125" i="123"/>
  <c r="T123" i="123"/>
  <c r="Z121" i="123"/>
  <c r="AA121" i="123"/>
  <c r="S115" i="123"/>
  <c r="T115" i="123" s="1"/>
  <c r="AA110" i="123"/>
  <c r="Z110" i="123"/>
  <c r="AC96" i="123"/>
  <c r="AD96" i="123"/>
  <c r="AF96" i="123" s="1"/>
  <c r="U84" i="123"/>
  <c r="V84" i="123"/>
  <c r="W84" i="123" s="1"/>
  <c r="AC88" i="123"/>
  <c r="AD88" i="123"/>
  <c r="AF88" i="123" s="1"/>
  <c r="V87" i="123"/>
  <c r="W87" i="123" s="1"/>
  <c r="AC80" i="123"/>
  <c r="AD80" i="123"/>
  <c r="AF80" i="123" s="1"/>
  <c r="AD123" i="123"/>
  <c r="AA122" i="123"/>
  <c r="T121" i="123"/>
  <c r="AD120" i="123"/>
  <c r="T117" i="123"/>
  <c r="AC115" i="123"/>
  <c r="AE115" i="123" s="1"/>
  <c r="Z114" i="123"/>
  <c r="S114" i="123"/>
  <c r="T114" i="123" s="1"/>
  <c r="Z111" i="123"/>
  <c r="AA111" i="123"/>
  <c r="T109" i="123"/>
  <c r="AC107" i="123"/>
  <c r="AE107" i="123" s="1"/>
  <c r="Z106" i="123"/>
  <c r="S106" i="123"/>
  <c r="T106" i="123" s="1"/>
  <c r="Z103" i="123"/>
  <c r="AA103" i="123"/>
  <c r="T101" i="123"/>
  <c r="AC99" i="123"/>
  <c r="AE99" i="123" s="1"/>
  <c r="Z98" i="123"/>
  <c r="S98" i="123"/>
  <c r="T98" i="123" s="1"/>
  <c r="Z95" i="123"/>
  <c r="AA95" i="123"/>
  <c r="T93" i="123"/>
  <c r="AC91" i="123"/>
  <c r="AE91" i="123" s="1"/>
  <c r="Z90" i="123"/>
  <c r="S90" i="123"/>
  <c r="T90" i="123" s="1"/>
  <c r="Z87" i="123"/>
  <c r="AA87" i="123"/>
  <c r="T85" i="123"/>
  <c r="AC83" i="123"/>
  <c r="AE83" i="123" s="1"/>
  <c r="Z82" i="123"/>
  <c r="S82" i="123"/>
  <c r="T82" i="123" s="1"/>
  <c r="Z79" i="123"/>
  <c r="AA79" i="123"/>
  <c r="V71" i="123"/>
  <c r="W71" i="123" s="1"/>
  <c r="U71" i="123"/>
  <c r="AC116" i="123"/>
  <c r="AD116" i="123"/>
  <c r="AF116" i="123" s="1"/>
  <c r="AC108" i="123"/>
  <c r="AD108" i="123"/>
  <c r="AF108" i="123" s="1"/>
  <c r="V104" i="123"/>
  <c r="W104" i="123" s="1"/>
  <c r="AC100" i="123"/>
  <c r="AD100" i="123"/>
  <c r="AF100" i="123" s="1"/>
  <c r="AC92" i="123"/>
  <c r="AD92" i="123"/>
  <c r="T91" i="123"/>
  <c r="AC84" i="123"/>
  <c r="AD84" i="123"/>
  <c r="AF84" i="123" s="1"/>
  <c r="T83" i="123"/>
  <c r="S79" i="123"/>
  <c r="T79" i="123" s="1"/>
  <c r="S77" i="123"/>
  <c r="T77" i="123" s="1"/>
  <c r="Z115" i="123"/>
  <c r="AA115" i="123"/>
  <c r="AE114" i="123"/>
  <c r="T113" i="123"/>
  <c r="S110" i="123"/>
  <c r="T110" i="123" s="1"/>
  <c r="Z107" i="123"/>
  <c r="AA107" i="123"/>
  <c r="T105" i="123"/>
  <c r="Z99" i="123"/>
  <c r="AA99" i="123"/>
  <c r="T97" i="123"/>
  <c r="S94" i="123"/>
  <c r="T94" i="123" s="1"/>
  <c r="Z91" i="123"/>
  <c r="AA91" i="123"/>
  <c r="T89" i="123"/>
  <c r="AC87" i="123"/>
  <c r="AE87" i="123" s="1"/>
  <c r="Z86" i="123"/>
  <c r="S86" i="123"/>
  <c r="T86" i="123" s="1"/>
  <c r="Z83" i="123"/>
  <c r="AA83" i="123"/>
  <c r="T81" i="123"/>
  <c r="AC79" i="123"/>
  <c r="AE79" i="123" s="1"/>
  <c r="S73" i="123"/>
  <c r="T73" i="123" s="1"/>
  <c r="T78" i="123"/>
  <c r="T76" i="123"/>
  <c r="T72" i="123"/>
  <c r="Z71" i="123"/>
  <c r="AA71" i="123"/>
  <c r="V67" i="123"/>
  <c r="U67" i="123"/>
  <c r="V63" i="123"/>
  <c r="W63" i="123" s="1"/>
  <c r="U63" i="123"/>
  <c r="AA78" i="123"/>
  <c r="AC76" i="123"/>
  <c r="AE76" i="123" s="1"/>
  <c r="T75" i="123"/>
  <c r="T74" i="123"/>
  <c r="AC72" i="123"/>
  <c r="AE72" i="123" s="1"/>
  <c r="S66" i="123"/>
  <c r="T66" i="123" s="1"/>
  <c r="U56" i="123"/>
  <c r="V56" i="123"/>
  <c r="W56" i="123" s="1"/>
  <c r="AE75" i="123"/>
  <c r="S70" i="123"/>
  <c r="T70" i="123" s="1"/>
  <c r="S62" i="123"/>
  <c r="T62" i="123" s="1"/>
  <c r="V59" i="123"/>
  <c r="W59" i="123" s="1"/>
  <c r="AC52" i="123"/>
  <c r="AD52" i="123"/>
  <c r="AF52" i="123" s="1"/>
  <c r="AC44" i="123"/>
  <c r="AD44" i="123"/>
  <c r="AF44" i="123" s="1"/>
  <c r="AC42" i="123"/>
  <c r="AD42" i="123"/>
  <c r="AF42" i="123" s="1"/>
  <c r="S40" i="123"/>
  <c r="T40" i="123" s="1"/>
  <c r="S36" i="123"/>
  <c r="T36" i="123" s="1"/>
  <c r="AC71" i="123"/>
  <c r="AE71" i="123" s="1"/>
  <c r="T69" i="123"/>
  <c r="AC67" i="123"/>
  <c r="AE67" i="123" s="1"/>
  <c r="T65" i="123"/>
  <c r="AC63" i="123"/>
  <c r="AE63" i="123" s="1"/>
  <c r="T61" i="123"/>
  <c r="Z59" i="123"/>
  <c r="AA59" i="123"/>
  <c r="T57" i="123"/>
  <c r="AC55" i="123"/>
  <c r="AE55" i="123" s="1"/>
  <c r="Z54" i="123"/>
  <c r="Z51" i="123"/>
  <c r="AA51" i="123"/>
  <c r="AE50" i="123"/>
  <c r="T49" i="123"/>
  <c r="AC47" i="123"/>
  <c r="AD47" i="123"/>
  <c r="AF47" i="123" s="1"/>
  <c r="T47" i="123"/>
  <c r="AC46" i="123"/>
  <c r="AD46" i="123"/>
  <c r="AF46" i="123" s="1"/>
  <c r="S44" i="123"/>
  <c r="T44" i="123" s="1"/>
  <c r="T38" i="123"/>
  <c r="S37" i="123"/>
  <c r="T37" i="123" s="1"/>
  <c r="U25" i="123"/>
  <c r="V25" i="123"/>
  <c r="W25" i="123" s="1"/>
  <c r="AE70" i="123"/>
  <c r="AA69" i="123"/>
  <c r="AA65" i="123"/>
  <c r="T64" i="123"/>
  <c r="AA61" i="123"/>
  <c r="T60" i="123"/>
  <c r="AC56" i="123"/>
  <c r="AD56" i="123"/>
  <c r="AF56" i="123" s="1"/>
  <c r="V55" i="123"/>
  <c r="U52" i="123"/>
  <c r="V52" i="123"/>
  <c r="W52" i="123" s="1"/>
  <c r="T42" i="123"/>
  <c r="S41" i="123"/>
  <c r="T41" i="123" s="1"/>
  <c r="AA67" i="123"/>
  <c r="AF65" i="123"/>
  <c r="AA63" i="123"/>
  <c r="AC59" i="123"/>
  <c r="AE59" i="123" s="1"/>
  <c r="U59" i="123"/>
  <c r="Z58" i="123"/>
  <c r="S58" i="123"/>
  <c r="T58" i="123" s="1"/>
  <c r="Z55" i="123"/>
  <c r="AA55" i="123"/>
  <c r="T53" i="123"/>
  <c r="AC51" i="123"/>
  <c r="AE51" i="123" s="1"/>
  <c r="Z50" i="123"/>
  <c r="S50" i="123"/>
  <c r="T50" i="123" s="1"/>
  <c r="T48" i="123"/>
  <c r="T46" i="123"/>
  <c r="S45" i="123"/>
  <c r="T45" i="123" s="1"/>
  <c r="AC40" i="123"/>
  <c r="AD40" i="123"/>
  <c r="AF40" i="123" s="1"/>
  <c r="AC38" i="123"/>
  <c r="AD38" i="123"/>
  <c r="AF38" i="123" s="1"/>
  <c r="Z33" i="123"/>
  <c r="AA33" i="123"/>
  <c r="S27" i="123"/>
  <c r="T27" i="123" s="1"/>
  <c r="S24" i="123"/>
  <c r="T24" i="123" s="1"/>
  <c r="S5" i="123"/>
  <c r="T5" i="123" s="1"/>
  <c r="AD48" i="123"/>
  <c r="AF48" i="123" s="1"/>
  <c r="T34" i="123"/>
  <c r="S33" i="123"/>
  <c r="T33" i="123" s="1"/>
  <c r="AC30" i="123"/>
  <c r="AD30" i="123"/>
  <c r="AF30" i="123" s="1"/>
  <c r="Z29" i="123"/>
  <c r="AA29" i="123"/>
  <c r="AE28" i="123"/>
  <c r="S23" i="123"/>
  <c r="T23" i="123" s="1"/>
  <c r="U22" i="123"/>
  <c r="V22" i="123"/>
  <c r="W22" i="123" s="1"/>
  <c r="AC45" i="123"/>
  <c r="AE45" i="123" s="1"/>
  <c r="T43" i="123"/>
  <c r="AC41" i="123"/>
  <c r="AE41" i="123" s="1"/>
  <c r="T39" i="123"/>
  <c r="AC37" i="123"/>
  <c r="AE37" i="123" s="1"/>
  <c r="AD36" i="123"/>
  <c r="AF36" i="123" s="1"/>
  <c r="T35" i="123"/>
  <c r="AC33" i="123"/>
  <c r="AE33" i="123" s="1"/>
  <c r="Z32" i="123"/>
  <c r="S32" i="123"/>
  <c r="T32" i="123" s="1"/>
  <c r="T30" i="123"/>
  <c r="AD24" i="123"/>
  <c r="AF24" i="123" s="1"/>
  <c r="AC24" i="123"/>
  <c r="AC21" i="123"/>
  <c r="AD21" i="123"/>
  <c r="AF21" i="123" s="1"/>
  <c r="AC34" i="123"/>
  <c r="AD34" i="123"/>
  <c r="AF34" i="123" s="1"/>
  <c r="S31" i="123"/>
  <c r="T31" i="123" s="1"/>
  <c r="AC29" i="123"/>
  <c r="AE29" i="123" s="1"/>
  <c r="Z28" i="123"/>
  <c r="S28" i="123"/>
  <c r="T28" i="123" s="1"/>
  <c r="AC27" i="123"/>
  <c r="AE27" i="123" s="1"/>
  <c r="Z27" i="123"/>
  <c r="Z23" i="123"/>
  <c r="T21" i="123"/>
  <c r="AE20" i="123"/>
  <c r="AC15" i="123"/>
  <c r="AD15" i="123"/>
  <c r="AF15" i="123" s="1"/>
  <c r="S20" i="123"/>
  <c r="T20" i="123" s="1"/>
  <c r="S19" i="123"/>
  <c r="T19" i="123" s="1"/>
  <c r="S11" i="123"/>
  <c r="T11" i="123" s="1"/>
  <c r="S10" i="123"/>
  <c r="T10" i="123" s="1"/>
  <c r="AF10" i="123"/>
  <c r="U7" i="123"/>
  <c r="V7" i="123"/>
  <c r="W7" i="123" s="1"/>
  <c r="Z20" i="123"/>
  <c r="AA20" i="123"/>
  <c r="Z18" i="123"/>
  <c r="S18" i="123"/>
  <c r="T18" i="123" s="1"/>
  <c r="S14" i="123"/>
  <c r="T14" i="123" s="1"/>
  <c r="AC11" i="123"/>
  <c r="AD11" i="123"/>
  <c r="AF11" i="123" s="1"/>
  <c r="Z10" i="123"/>
  <c r="AA10" i="123"/>
  <c r="AE5" i="123"/>
  <c r="AF5" i="123"/>
  <c r="T16" i="123"/>
  <c r="Z14" i="123"/>
  <c r="AA14" i="123"/>
  <c r="S9" i="123"/>
  <c r="T9" i="123" s="1"/>
  <c r="U8" i="123"/>
  <c r="V8" i="123"/>
  <c r="W8" i="123" s="1"/>
  <c r="AE18" i="123"/>
  <c r="T15" i="123"/>
  <c r="S13" i="123"/>
  <c r="T13" i="123" s="1"/>
  <c r="AE9" i="123"/>
  <c r="AF9" i="123"/>
  <c r="AC7" i="123"/>
  <c r="AD7" i="123"/>
  <c r="AF7" i="123" s="1"/>
  <c r="Z6" i="123"/>
  <c r="AA6" i="123"/>
  <c r="AD16" i="123"/>
  <c r="AA15" i="123"/>
  <c r="C4441" i="127"/>
  <c r="C4442" i="127"/>
  <c r="C4443" i="127"/>
  <c r="C4444" i="127"/>
  <c r="AF754" i="123" l="1"/>
  <c r="AF770" i="123"/>
  <c r="AI770" i="123" s="1"/>
  <c r="AF794" i="123"/>
  <c r="AH794" i="123" s="1"/>
  <c r="AF818" i="123"/>
  <c r="AH818" i="123" s="1"/>
  <c r="U169" i="123"/>
  <c r="F20" i="146"/>
  <c r="AF1859" i="123"/>
  <c r="AG1859" i="123" s="1"/>
  <c r="AF1513" i="123"/>
  <c r="AI1513" i="123" s="1"/>
  <c r="AF1535" i="123"/>
  <c r="AG1535" i="123" s="1"/>
  <c r="AF1565" i="123"/>
  <c r="AG1565" i="123" s="1"/>
  <c r="E33" i="146"/>
  <c r="F19" i="146"/>
  <c r="F14" i="146"/>
  <c r="F32" i="146"/>
  <c r="G6" i="146"/>
  <c r="F31" i="146"/>
  <c r="F29" i="146"/>
  <c r="F30" i="146"/>
  <c r="F28" i="146"/>
  <c r="F23" i="146"/>
  <c r="F27" i="146"/>
  <c r="F26" i="146"/>
  <c r="F22" i="146"/>
  <c r="F25" i="146"/>
  <c r="F24" i="146"/>
  <c r="U112" i="123"/>
  <c r="V112" i="123"/>
  <c r="W112" i="123" s="1"/>
  <c r="V268" i="123"/>
  <c r="W268" i="123" s="1"/>
  <c r="U268" i="123"/>
  <c r="AI1445" i="123"/>
  <c r="AF1303" i="123"/>
  <c r="AH1303" i="123" s="1"/>
  <c r="AF1764" i="123"/>
  <c r="AH1764" i="123" s="1"/>
  <c r="AH917" i="123"/>
  <c r="AF1397" i="123"/>
  <c r="AG1397" i="123" s="1"/>
  <c r="AF1423" i="123"/>
  <c r="AG1423" i="123" s="1"/>
  <c r="AI1775" i="123"/>
  <c r="AI1483" i="123"/>
  <c r="AF1593" i="123"/>
  <c r="AG1593" i="123" s="1"/>
  <c r="AE1015" i="123"/>
  <c r="AE797" i="123"/>
  <c r="AF572" i="123"/>
  <c r="AH572" i="123" s="1"/>
  <c r="AG221" i="123"/>
  <c r="AE221" i="123"/>
  <c r="AI1516" i="123"/>
  <c r="AE681" i="123"/>
  <c r="AE1084" i="123"/>
  <c r="AF1765" i="123"/>
  <c r="AG1765" i="123" s="1"/>
  <c r="AE677" i="123"/>
  <c r="AE1106" i="123"/>
  <c r="AF1304" i="123"/>
  <c r="AI1304" i="123" s="1"/>
  <c r="AE1304" i="123"/>
  <c r="AE292" i="123"/>
  <c r="AE1305" i="123"/>
  <c r="AF677" i="123"/>
  <c r="AH677" i="123" s="1"/>
  <c r="AE171" i="123"/>
  <c r="AE535" i="123"/>
  <c r="AE1824" i="123"/>
  <c r="AE333" i="123"/>
  <c r="AE1421" i="123"/>
  <c r="AE225" i="123"/>
  <c r="AG488" i="123"/>
  <c r="AE58" i="123"/>
  <c r="AE349" i="123"/>
  <c r="AE298" i="123"/>
  <c r="AE293" i="123"/>
  <c r="AE366" i="123"/>
  <c r="AF1703" i="123"/>
  <c r="AG1703" i="123" s="1"/>
  <c r="AG265" i="123"/>
  <c r="AE1726" i="123"/>
  <c r="AG846" i="123"/>
  <c r="AG8" i="123"/>
  <c r="AJ8" i="123" s="1"/>
  <c r="AE808" i="123"/>
  <c r="AF895" i="123"/>
  <c r="AG895" i="123" s="1"/>
  <c r="AF990" i="123"/>
  <c r="AG990" i="123" s="1"/>
  <c r="AI1173" i="123"/>
  <c r="AE895" i="123"/>
  <c r="AG161" i="123"/>
  <c r="AG23" i="123"/>
  <c r="AG75" i="123"/>
  <c r="AI768" i="123"/>
  <c r="AH8" i="123"/>
  <c r="AF524" i="123"/>
  <c r="AG524" i="123" s="1"/>
  <c r="AE354" i="123"/>
  <c r="AF206" i="123"/>
  <c r="AG206" i="123" s="1"/>
  <c r="AF1634" i="123"/>
  <c r="AG1634" i="123" s="1"/>
  <c r="AG359" i="123"/>
  <c r="AJ359" i="123" s="1"/>
  <c r="AE353" i="123"/>
  <c r="AF1478" i="123"/>
  <c r="AH1478" i="123" s="1"/>
  <c r="AF1490" i="123"/>
  <c r="AI1490" i="123" s="1"/>
  <c r="AE759" i="123"/>
  <c r="AE813" i="123"/>
  <c r="AE1652" i="123"/>
  <c r="AF1172" i="123"/>
  <c r="AG1172" i="123" s="1"/>
  <c r="AH912" i="123"/>
  <c r="AG435" i="123"/>
  <c r="AJ435" i="123" s="1"/>
  <c r="AE141" i="123"/>
  <c r="AE236" i="123"/>
  <c r="AE1331" i="123"/>
  <c r="AF1713" i="123"/>
  <c r="AI1713" i="123" s="1"/>
  <c r="AE757" i="123"/>
  <c r="AG171" i="123"/>
  <c r="AG224" i="123"/>
  <c r="AG281" i="123"/>
  <c r="AG366" i="123"/>
  <c r="AI1273" i="123"/>
  <c r="AF209" i="123"/>
  <c r="AG209" i="123" s="1"/>
  <c r="AF543" i="123"/>
  <c r="AG543" i="123" s="1"/>
  <c r="AF1827" i="123"/>
  <c r="AG1827" i="123" s="1"/>
  <c r="AI1679" i="123"/>
  <c r="AI1093" i="123"/>
  <c r="AG954" i="123"/>
  <c r="AF353" i="123"/>
  <c r="AG353" i="123" s="1"/>
  <c r="AG424" i="123"/>
  <c r="AI660" i="123"/>
  <c r="AE896" i="123"/>
  <c r="AE1172" i="123"/>
  <c r="AF691" i="123"/>
  <c r="AG691" i="123" s="1"/>
  <c r="AG1671" i="123"/>
  <c r="AI1998" i="123"/>
  <c r="AE764" i="123"/>
  <c r="AF82" i="123"/>
  <c r="AG82" i="123" s="1"/>
  <c r="AE13" i="123"/>
  <c r="AE659" i="123"/>
  <c r="AF1530" i="123"/>
  <c r="AH1530" i="123" s="1"/>
  <c r="AE317" i="123"/>
  <c r="AE676" i="123"/>
  <c r="AI898" i="123"/>
  <c r="AF1435" i="123"/>
  <c r="AH1435" i="123" s="1"/>
  <c r="AF1357" i="123"/>
  <c r="AG1357" i="123" s="1"/>
  <c r="AG58" i="123"/>
  <c r="AG91" i="123"/>
  <c r="AG167" i="123"/>
  <c r="AG138" i="123"/>
  <c r="AG225" i="123"/>
  <c r="AG293" i="123"/>
  <c r="AG298" i="123"/>
  <c r="AE341" i="123"/>
  <c r="AG495" i="123"/>
  <c r="AG375" i="123"/>
  <c r="AE836" i="123"/>
  <c r="AE1068" i="123"/>
  <c r="AE14" i="123"/>
  <c r="AE1970" i="123"/>
  <c r="AE1839" i="123"/>
  <c r="AF261" i="123"/>
  <c r="AG261" i="123" s="1"/>
  <c r="AE338" i="123"/>
  <c r="AG363" i="123"/>
  <c r="AJ363" i="123" s="1"/>
  <c r="AE388" i="123"/>
  <c r="AE1110" i="123"/>
  <c r="AI1455" i="123"/>
  <c r="AE1792" i="123"/>
  <c r="AE350" i="123"/>
  <c r="AE767" i="123"/>
  <c r="AE792" i="123"/>
  <c r="AE531" i="123"/>
  <c r="AG87" i="123"/>
  <c r="AJ87" i="123" s="1"/>
  <c r="AG67" i="123"/>
  <c r="AJ67" i="123" s="1"/>
  <c r="AG439" i="123"/>
  <c r="AJ439" i="123" s="1"/>
  <c r="AE1428" i="123"/>
  <c r="AF1411" i="123"/>
  <c r="AG1411" i="123" s="1"/>
  <c r="AF1369" i="123"/>
  <c r="AG1369" i="123" s="1"/>
  <c r="AF1326" i="123"/>
  <c r="AH1326" i="123" s="1"/>
  <c r="AF1448" i="123"/>
  <c r="AH1448" i="123" s="1"/>
  <c r="AF1843" i="123"/>
  <c r="AG1843" i="123" s="1"/>
  <c r="AE1695" i="123"/>
  <c r="AG260" i="123"/>
  <c r="AJ260" i="123" s="1"/>
  <c r="AE1092" i="123"/>
  <c r="AI1352" i="123"/>
  <c r="AF1492" i="123"/>
  <c r="AH1492" i="123" s="1"/>
  <c r="AI1559" i="123"/>
  <c r="AF1228" i="123"/>
  <c r="AH1228" i="123" s="1"/>
  <c r="AE1788" i="123"/>
  <c r="AF791" i="123"/>
  <c r="AG791" i="123" s="1"/>
  <c r="AE776" i="123"/>
  <c r="AF1529" i="123"/>
  <c r="AG1529" i="123" s="1"/>
  <c r="AF1417" i="123"/>
  <c r="AG1417" i="123" s="1"/>
  <c r="AH897" i="123"/>
  <c r="AG59" i="123"/>
  <c r="AJ59" i="123" s="1"/>
  <c r="AF1518" i="123"/>
  <c r="AG1518" i="123" s="1"/>
  <c r="AE697" i="123"/>
  <c r="AE1138" i="123"/>
  <c r="AG447" i="123"/>
  <c r="AE1093" i="123"/>
  <c r="AE1509" i="123"/>
  <c r="AG459" i="123"/>
  <c r="AI1245" i="123"/>
  <c r="AG277" i="123"/>
  <c r="AF350" i="123"/>
  <c r="AG350" i="123" s="1"/>
  <c r="AF387" i="123"/>
  <c r="AG917" i="123"/>
  <c r="AI1324" i="123"/>
  <c r="AE1455" i="123"/>
  <c r="AG1455" i="123"/>
  <c r="AE660" i="123"/>
  <c r="AE1201" i="123"/>
  <c r="AE751" i="123"/>
  <c r="AG379" i="123"/>
  <c r="AG480" i="123"/>
  <c r="AI616" i="123"/>
  <c r="AI596" i="123"/>
  <c r="AI584" i="123"/>
  <c r="AE616" i="123"/>
  <c r="AE404" i="123"/>
  <c r="AI1416" i="123"/>
  <c r="AF1722" i="123"/>
  <c r="AH1722" i="123" s="1"/>
  <c r="AE1209" i="123"/>
  <c r="AF767" i="123"/>
  <c r="AI767" i="123" s="1"/>
  <c r="AI1201" i="123"/>
  <c r="AF1350" i="123"/>
  <c r="AI1350" i="123" s="1"/>
  <c r="AF1541" i="123"/>
  <c r="AI1541" i="123" s="1"/>
  <c r="AI796" i="123"/>
  <c r="AE796" i="123"/>
  <c r="AI732" i="123"/>
  <c r="AE1097" i="123"/>
  <c r="AF1347" i="123"/>
  <c r="AH1347" i="123" s="1"/>
  <c r="AI1414" i="123"/>
  <c r="AG866" i="123"/>
  <c r="AI1288" i="123"/>
  <c r="AG86" i="123"/>
  <c r="AG113" i="123"/>
  <c r="AG309" i="123"/>
  <c r="AF338" i="123"/>
  <c r="AF1556" i="123"/>
  <c r="AG1556" i="123" s="1"/>
  <c r="AE1521" i="123"/>
  <c r="AE692" i="123"/>
  <c r="AI692" i="123"/>
  <c r="AE113" i="123"/>
  <c r="AG130" i="123"/>
  <c r="AE199" i="123"/>
  <c r="AE190" i="123"/>
  <c r="AG499" i="123"/>
  <c r="AH913" i="123"/>
  <c r="AG90" i="123"/>
  <c r="AE105" i="123"/>
  <c r="AG249" i="123"/>
  <c r="AF231" i="123"/>
  <c r="AG231" i="123" s="1"/>
  <c r="AG254" i="123"/>
  <c r="AF388" i="123"/>
  <c r="AG388" i="123" s="1"/>
  <c r="AH363" i="123"/>
  <c r="AI683" i="123"/>
  <c r="AF819" i="123"/>
  <c r="AG819" i="123" s="1"/>
  <c r="AG974" i="123"/>
  <c r="AG854" i="123"/>
  <c r="AE752" i="123"/>
  <c r="AG31" i="123"/>
  <c r="AG50" i="123"/>
  <c r="AE86" i="123"/>
  <c r="AG148" i="123"/>
  <c r="AG258" i="123"/>
  <c r="AI439" i="123"/>
  <c r="AG471" i="123"/>
  <c r="AH881" i="123"/>
  <c r="AI1097" i="123"/>
  <c r="AE664" i="123"/>
  <c r="AI1371" i="123"/>
  <c r="AE1518" i="123"/>
  <c r="AG511" i="123"/>
  <c r="AF697" i="123"/>
  <c r="AG697" i="123" s="1"/>
  <c r="AI744" i="123"/>
  <c r="AI664" i="123"/>
  <c r="AI1193" i="123"/>
  <c r="AE31" i="123"/>
  <c r="AG129" i="123"/>
  <c r="AG157" i="123"/>
  <c r="AG191" i="123"/>
  <c r="AG190" i="123"/>
  <c r="AF756" i="123"/>
  <c r="AH756" i="123" s="1"/>
  <c r="AI632" i="123"/>
  <c r="AI870" i="123"/>
  <c r="AI1305" i="123"/>
  <c r="AI1554" i="123"/>
  <c r="AE1871" i="123"/>
  <c r="AI1804" i="123"/>
  <c r="AI1941" i="123"/>
  <c r="AE1555" i="123"/>
  <c r="AF776" i="123"/>
  <c r="AG776" i="123" s="1"/>
  <c r="AF808" i="123"/>
  <c r="AG808" i="123" s="1"/>
  <c r="AE1000" i="123"/>
  <c r="AI843" i="123"/>
  <c r="AE688" i="123"/>
  <c r="AF1522" i="123"/>
  <c r="AI1522" i="123" s="1"/>
  <c r="AH1618" i="123"/>
  <c r="AE1193" i="123"/>
  <c r="AE1750" i="123"/>
  <c r="AE1859" i="123"/>
  <c r="AF1569" i="123"/>
  <c r="AG1569" i="123" s="1"/>
  <c r="AF1561" i="123"/>
  <c r="AE1417" i="123"/>
  <c r="AG358" i="123"/>
  <c r="AG198" i="123"/>
  <c r="AF320" i="123"/>
  <c r="AG320" i="123" s="1"/>
  <c r="AG441" i="123"/>
  <c r="AI688" i="123"/>
  <c r="AG897" i="123"/>
  <c r="AF1212" i="123"/>
  <c r="AG1212" i="123" s="1"/>
  <c r="AG1371" i="123"/>
  <c r="AI1446" i="123"/>
  <c r="AF1501" i="123"/>
  <c r="AG1501" i="123" s="1"/>
  <c r="AE1529" i="123"/>
  <c r="AF1686" i="123"/>
  <c r="AG1686" i="123" s="1"/>
  <c r="AE1285" i="123"/>
  <c r="AF1386" i="123"/>
  <c r="AG1386" i="123" s="1"/>
  <c r="AF1729" i="123"/>
  <c r="AH900" i="123"/>
  <c r="AF1943" i="123"/>
  <c r="AG1943" i="123" s="1"/>
  <c r="AF1406" i="123"/>
  <c r="AF986" i="123"/>
  <c r="AI986" i="123" s="1"/>
  <c r="AE1081" i="123"/>
  <c r="AF1081" i="123"/>
  <c r="AG1081" i="123" s="1"/>
  <c r="AE43" i="123"/>
  <c r="AE807" i="123"/>
  <c r="AF807" i="123"/>
  <c r="AG807" i="123" s="1"/>
  <c r="AF1358" i="123"/>
  <c r="AH1358" i="123" s="1"/>
  <c r="AE1358" i="123"/>
  <c r="AE1164" i="123"/>
  <c r="AF1164" i="123"/>
  <c r="AG1164" i="123" s="1"/>
  <c r="AF1525" i="123"/>
  <c r="AG1525" i="123" s="1"/>
  <c r="AE1525" i="123"/>
  <c r="AG229" i="123"/>
  <c r="AI1336" i="123"/>
  <c r="AI1535" i="123"/>
  <c r="AE1326" i="123"/>
  <c r="AI1883" i="123"/>
  <c r="AE1228" i="123"/>
  <c r="AI1573" i="123"/>
  <c r="AG1573" i="123"/>
  <c r="AF1548" i="123"/>
  <c r="AH1548" i="123" s="1"/>
  <c r="AE1548" i="123"/>
  <c r="AE1746" i="123"/>
  <c r="AF1746" i="123"/>
  <c r="AH1746" i="123" s="1"/>
  <c r="AF1463" i="123"/>
  <c r="AE1463" i="123"/>
  <c r="AF588" i="123"/>
  <c r="AI588" i="123" s="1"/>
  <c r="AE588" i="123"/>
  <c r="AE1670" i="123"/>
  <c r="AF1670" i="123"/>
  <c r="AI1670" i="123" s="1"/>
  <c r="AG43" i="123"/>
  <c r="AG27" i="123"/>
  <c r="AG45" i="123"/>
  <c r="AE90" i="123"/>
  <c r="AE102" i="123"/>
  <c r="AE198" i="123"/>
  <c r="AG195" i="123"/>
  <c r="AG234" i="123"/>
  <c r="AH260" i="123"/>
  <c r="AE301" i="123"/>
  <c r="AE309" i="123"/>
  <c r="AG416" i="123"/>
  <c r="AF448" i="123"/>
  <c r="AG448" i="123" s="1"/>
  <c r="AI958" i="123"/>
  <c r="AE358" i="123"/>
  <c r="AE424" i="123"/>
  <c r="AE563" i="123"/>
  <c r="AE627" i="123"/>
  <c r="AF1418" i="123"/>
  <c r="AG1418" i="123" s="1"/>
  <c r="AG1422" i="123"/>
  <c r="AF1474" i="123"/>
  <c r="AH1474" i="123" s="1"/>
  <c r="AF1600" i="123"/>
  <c r="AG1600" i="123" s="1"/>
  <c r="AG1460" i="123"/>
  <c r="AF1568" i="123"/>
  <c r="AI1568" i="123" s="1"/>
  <c r="AI1618" i="123"/>
  <c r="AE1618" i="123"/>
  <c r="AG1659" i="123"/>
  <c r="AF1730" i="123"/>
  <c r="AI1730" i="123" s="1"/>
  <c r="AI1945" i="123"/>
  <c r="AE748" i="123"/>
  <c r="AE1891" i="123"/>
  <c r="AH1555" i="123"/>
  <c r="AF1438" i="123"/>
  <c r="AG1438" i="123" s="1"/>
  <c r="AF106" i="123"/>
  <c r="AG106" i="123" s="1"/>
  <c r="AF1487" i="123"/>
  <c r="AI1487" i="123" s="1"/>
  <c r="AE1535" i="123"/>
  <c r="AI1655" i="123"/>
  <c r="AG1655" i="123"/>
  <c r="AF1867" i="123"/>
  <c r="AG1867" i="123" s="1"/>
  <c r="AF1855" i="123"/>
  <c r="AF1934" i="123"/>
  <c r="AG1934" i="123" s="1"/>
  <c r="AE1962" i="123"/>
  <c r="AF226" i="123"/>
  <c r="AE226" i="123"/>
  <c r="AG901" i="123"/>
  <c r="AH901" i="123"/>
  <c r="AE815" i="123"/>
  <c r="AF815" i="123"/>
  <c r="AG815" i="123" s="1"/>
  <c r="AI886" i="123"/>
  <c r="AG886" i="123"/>
  <c r="AF1217" i="123"/>
  <c r="AG1217" i="123" s="1"/>
  <c r="AE1217" i="123"/>
  <c r="AE164" i="123"/>
  <c r="AE1411" i="123"/>
  <c r="AG1675" i="123"/>
  <c r="AI1899" i="123"/>
  <c r="AF1532" i="123"/>
  <c r="AG1532" i="123" s="1"/>
  <c r="AE1532" i="123"/>
  <c r="AF591" i="123"/>
  <c r="AG591" i="123" s="1"/>
  <c r="AE591" i="123"/>
  <c r="AF1321" i="123"/>
  <c r="AI1321" i="123" s="1"/>
  <c r="AE1321" i="123"/>
  <c r="AF1277" i="123"/>
  <c r="AE1277" i="123"/>
  <c r="AF828" i="123"/>
  <c r="AG828" i="123" s="1"/>
  <c r="AE828" i="123"/>
  <c r="AE407" i="123"/>
  <c r="AF1341" i="123"/>
  <c r="AI1341" i="123" s="1"/>
  <c r="AE1341" i="123"/>
  <c r="AE1741" i="123"/>
  <c r="AF1741" i="123"/>
  <c r="AH1741" i="123" s="1"/>
  <c r="AE1982" i="123"/>
  <c r="AF1982" i="123"/>
  <c r="AG1982" i="123" s="1"/>
  <c r="AH59" i="123"/>
  <c r="AI67" i="123"/>
  <c r="AH87" i="123"/>
  <c r="AG136" i="123"/>
  <c r="AG242" i="123"/>
  <c r="AG276" i="123"/>
  <c r="AG512" i="123"/>
  <c r="AI881" i="123"/>
  <c r="AI1000" i="123"/>
  <c r="AF1106" i="123"/>
  <c r="AH1106" i="123" s="1"/>
  <c r="AI900" i="123"/>
  <c r="AE136" i="123"/>
  <c r="AI1422" i="123"/>
  <c r="AF1604" i="123"/>
  <c r="AH1364" i="123"/>
  <c r="AE1513" i="123"/>
  <c r="AF1872" i="123"/>
  <c r="AH1872" i="123" s="1"/>
  <c r="AI1879" i="123"/>
  <c r="AI1895" i="123"/>
  <c r="AE1713" i="123"/>
  <c r="AF1085" i="123"/>
  <c r="AE1085" i="123"/>
  <c r="AE1565" i="123"/>
  <c r="AF816" i="123"/>
  <c r="AG816" i="123" s="1"/>
  <c r="AE816" i="123"/>
  <c r="AF928" i="123"/>
  <c r="AI928" i="123" s="1"/>
  <c r="AE928" i="123"/>
  <c r="AF757" i="123"/>
  <c r="AH757" i="123" s="1"/>
  <c r="AF797" i="123"/>
  <c r="AI797" i="123" s="1"/>
  <c r="AF813" i="123"/>
  <c r="AG813" i="123" s="1"/>
  <c r="AI583" i="123"/>
  <c r="AI624" i="123"/>
  <c r="AI628" i="123"/>
  <c r="AI644" i="123"/>
  <c r="AI897" i="123"/>
  <c r="AI901" i="123"/>
  <c r="AI913" i="123"/>
  <c r="AI912" i="123"/>
  <c r="AI1209" i="123"/>
  <c r="AI1221" i="123"/>
  <c r="AI1281" i="123"/>
  <c r="AE253" i="123"/>
  <c r="AI1601" i="123"/>
  <c r="AF1652" i="123"/>
  <c r="AG1652" i="123" s="1"/>
  <c r="AI1687" i="123"/>
  <c r="AF1931" i="123"/>
  <c r="AG1931" i="123" s="1"/>
  <c r="AF1963" i="123"/>
  <c r="AG1963" i="123" s="1"/>
  <c r="AF1995" i="123"/>
  <c r="AI1995" i="123" s="1"/>
  <c r="AF787" i="123"/>
  <c r="AH787" i="123" s="1"/>
  <c r="AF759" i="123"/>
  <c r="AG759" i="123" s="1"/>
  <c r="AF1394" i="123"/>
  <c r="AI1394" i="123" s="1"/>
  <c r="AF479" i="123"/>
  <c r="AG479" i="123" s="1"/>
  <c r="AF1788" i="123"/>
  <c r="AG1788" i="123" s="1"/>
  <c r="AF1950" i="123"/>
  <c r="AG1950" i="123" s="1"/>
  <c r="AG18" i="123"/>
  <c r="AF26" i="123"/>
  <c r="AG26" i="123" s="1"/>
  <c r="AE98" i="123"/>
  <c r="AG98" i="123"/>
  <c r="AG304" i="123"/>
  <c r="AE337" i="123"/>
  <c r="AG318" i="123"/>
  <c r="AF413" i="123"/>
  <c r="AG507" i="123"/>
  <c r="AF920" i="123"/>
  <c r="AH920" i="123" s="1"/>
  <c r="AF924" i="123"/>
  <c r="AH924" i="123" s="1"/>
  <c r="AI946" i="123"/>
  <c r="AI896" i="123"/>
  <c r="AI1157" i="123"/>
  <c r="AE771" i="123"/>
  <c r="AE904" i="123"/>
  <c r="AE791" i="123"/>
  <c r="AE783" i="123"/>
  <c r="AF1359" i="123"/>
  <c r="AG1359" i="123" s="1"/>
  <c r="AI1361" i="123"/>
  <c r="AF1363" i="123"/>
  <c r="AH1363" i="123" s="1"/>
  <c r="AG1336" i="123"/>
  <c r="AI1362" i="123"/>
  <c r="AE1448" i="123"/>
  <c r="AG1361" i="123"/>
  <c r="AE1460" i="123"/>
  <c r="AH1352" i="123"/>
  <c r="AI1460" i="123"/>
  <c r="AF1621" i="123"/>
  <c r="AH1679" i="123"/>
  <c r="AI1696" i="123"/>
  <c r="AF1695" i="123"/>
  <c r="AF1824" i="123"/>
  <c r="AI1824" i="123" s="1"/>
  <c r="AI1981" i="123"/>
  <c r="AE1780" i="123"/>
  <c r="AE1843" i="123"/>
  <c r="AF1057" i="123"/>
  <c r="AH1057" i="123" s="1"/>
  <c r="AF1553" i="123"/>
  <c r="AG1553" i="123" s="1"/>
  <c r="AF1629" i="123"/>
  <c r="AG1629" i="123" s="1"/>
  <c r="AE1823" i="123"/>
  <c r="AF1851" i="123"/>
  <c r="AI1851" i="123" s="1"/>
  <c r="AF1428" i="123"/>
  <c r="AH1428" i="123" s="1"/>
  <c r="AE1369" i="123"/>
  <c r="AF1436" i="123"/>
  <c r="AI892" i="123"/>
  <c r="AE499" i="123"/>
  <c r="AE495" i="123"/>
  <c r="AF1338" i="123"/>
  <c r="AI1471" i="123"/>
  <c r="AG1352" i="123"/>
  <c r="AF1586" i="123"/>
  <c r="AG1586" i="123" s="1"/>
  <c r="AF1987" i="123"/>
  <c r="AG1987" i="123" s="1"/>
  <c r="AI1887" i="123"/>
  <c r="AI1903" i="123"/>
  <c r="AI1962" i="123"/>
  <c r="AF1694" i="123"/>
  <c r="AG1694" i="123" s="1"/>
  <c r="AF1300" i="123"/>
  <c r="AG1300" i="123" s="1"/>
  <c r="AF1452" i="123"/>
  <c r="AG1452" i="123" s="1"/>
  <c r="AE1475" i="123"/>
  <c r="AF1737" i="123"/>
  <c r="AG1737" i="123" s="1"/>
  <c r="AF1560" i="123"/>
  <c r="AI1560" i="123" s="1"/>
  <c r="AE276" i="123"/>
  <c r="AE1390" i="123"/>
  <c r="AE304" i="123"/>
  <c r="AI1891" i="123"/>
  <c r="AG330" i="123"/>
  <c r="AG421" i="123"/>
  <c r="AG535" i="123"/>
  <c r="AF681" i="123"/>
  <c r="AI681" i="123" s="1"/>
  <c r="AI925" i="123"/>
  <c r="AI929" i="123"/>
  <c r="AI151" i="123"/>
  <c r="AG197" i="123"/>
  <c r="AF323" i="123"/>
  <c r="AG323" i="123" s="1"/>
  <c r="AI771" i="123"/>
  <c r="AF859" i="123"/>
  <c r="AI859" i="123" s="1"/>
  <c r="AH929" i="123"/>
  <c r="AI1249" i="123"/>
  <c r="AH1696" i="123"/>
  <c r="AE1974" i="123"/>
  <c r="AF1041" i="123"/>
  <c r="AH1041" i="123" s="1"/>
  <c r="AF1819" i="123"/>
  <c r="AG1819" i="123" s="1"/>
  <c r="U80" i="123"/>
  <c r="V80" i="123"/>
  <c r="W80" i="123" s="1"/>
  <c r="AG83" i="123"/>
  <c r="AG268" i="123"/>
  <c r="AI1384" i="123"/>
  <c r="AF1323" i="123"/>
  <c r="AH1323" i="123" s="1"/>
  <c r="AF1380" i="123"/>
  <c r="AG1380" i="123" s="1"/>
  <c r="AE1484" i="123"/>
  <c r="AH1504" i="123"/>
  <c r="AH555" i="123"/>
  <c r="AI836" i="123"/>
  <c r="AH1970" i="123"/>
  <c r="AE74" i="123"/>
  <c r="AG151" i="123"/>
  <c r="AJ151" i="123" s="1"/>
  <c r="AH1902" i="123"/>
  <c r="AH1559" i="123"/>
  <c r="AF1037" i="123"/>
  <c r="AG1037" i="123" s="1"/>
  <c r="AG55" i="123"/>
  <c r="AJ55" i="123" s="1"/>
  <c r="AH1472" i="123"/>
  <c r="AH1601" i="123"/>
  <c r="AI1839" i="123"/>
  <c r="AE12" i="123"/>
  <c r="AI1010" i="123"/>
  <c r="AE294" i="123"/>
  <c r="AE569" i="123"/>
  <c r="AI700" i="123"/>
  <c r="AE1026" i="123"/>
  <c r="AE437" i="123"/>
  <c r="AE1013" i="123"/>
  <c r="AE1030" i="123"/>
  <c r="AE1656" i="123"/>
  <c r="AE278" i="123"/>
  <c r="AG427" i="123"/>
  <c r="AE175" i="123"/>
  <c r="AH1471" i="123"/>
  <c r="AF1469" i="123"/>
  <c r="AI1469" i="123" s="1"/>
  <c r="AG1663" i="123"/>
  <c r="AI1958" i="123"/>
  <c r="AI1970" i="123"/>
  <c r="AF531" i="123"/>
  <c r="AG531" i="123" s="1"/>
  <c r="AF1018" i="123"/>
  <c r="AF1113" i="123"/>
  <c r="AG1113" i="123" s="1"/>
  <c r="AF1331" i="123"/>
  <c r="AH1331" i="123" s="1"/>
  <c r="AG94" i="123"/>
  <c r="AE212" i="123"/>
  <c r="AG222" i="123"/>
  <c r="AF236" i="123"/>
  <c r="AG236" i="123" s="1"/>
  <c r="AG284" i="123"/>
  <c r="AF345" i="123"/>
  <c r="AG345" i="123" s="1"/>
  <c r="AG433" i="123"/>
  <c r="AI731" i="123"/>
  <c r="AI820" i="123"/>
  <c r="AG107" i="123"/>
  <c r="AE132" i="123"/>
  <c r="AG175" i="123"/>
  <c r="AG134" i="123"/>
  <c r="AI615" i="123"/>
  <c r="AI811" i="123"/>
  <c r="AF947" i="123"/>
  <c r="AI947" i="123" s="1"/>
  <c r="AI935" i="123"/>
  <c r="AF1013" i="123"/>
  <c r="AI1244" i="123"/>
  <c r="AI1272" i="123"/>
  <c r="AE268" i="123"/>
  <c r="AE423" i="123"/>
  <c r="AE346" i="123"/>
  <c r="AF1370" i="123"/>
  <c r="AI1370" i="123" s="1"/>
  <c r="AI1378" i="123"/>
  <c r="AI1508" i="123"/>
  <c r="AE1597" i="123"/>
  <c r="AF1264" i="123"/>
  <c r="AG1264" i="123" s="1"/>
  <c r="AF1816" i="123"/>
  <c r="AG1816" i="123" s="1"/>
  <c r="AG1970" i="123"/>
  <c r="AE1710" i="123"/>
  <c r="AE1742" i="123"/>
  <c r="AG76" i="123"/>
  <c r="AG124" i="123"/>
  <c r="AG212" i="123"/>
  <c r="AI1192" i="123"/>
  <c r="AE68" i="123"/>
  <c r="AH1324" i="123"/>
  <c r="AI1433" i="123"/>
  <c r="AF1442" i="123"/>
  <c r="AI1442" i="123" s="1"/>
  <c r="AF1517" i="123"/>
  <c r="AG1517" i="123" s="1"/>
  <c r="AF655" i="123"/>
  <c r="AG655" i="123" s="1"/>
  <c r="AF1674" i="123"/>
  <c r="AI1674" i="123" s="1"/>
  <c r="AF1777" i="123"/>
  <c r="AG1777" i="123" s="1"/>
  <c r="AI1949" i="123"/>
  <c r="AE1734" i="123"/>
  <c r="AE1804" i="123"/>
  <c r="AE1958" i="123"/>
  <c r="AE189" i="123"/>
  <c r="AF89" i="123"/>
  <c r="AG89" i="123" s="1"/>
  <c r="AF712" i="123"/>
  <c r="AG712" i="123" s="1"/>
  <c r="AE69" i="123"/>
  <c r="AF69" i="123"/>
  <c r="AG69" i="123" s="1"/>
  <c r="AF1683" i="123"/>
  <c r="AE1683" i="123"/>
  <c r="AF194" i="123"/>
  <c r="AG194" i="123" s="1"/>
  <c r="AE194" i="123"/>
  <c r="AF77" i="123"/>
  <c r="AG77" i="123" s="1"/>
  <c r="AE77" i="123"/>
  <c r="AE61" i="123"/>
  <c r="AF61" i="123"/>
  <c r="AG61" i="123" s="1"/>
  <c r="AF49" i="123"/>
  <c r="AG49" i="123" s="1"/>
  <c r="AE49" i="123"/>
  <c r="AF1633" i="123"/>
  <c r="AG1633" i="123" s="1"/>
  <c r="AE1633" i="123"/>
  <c r="AF147" i="123"/>
  <c r="AG147" i="123" s="1"/>
  <c r="AE182" i="123"/>
  <c r="AF294" i="123"/>
  <c r="AG294" i="123" s="1"/>
  <c r="AE140" i="123"/>
  <c r="AE232" i="123"/>
  <c r="AE1384" i="123"/>
  <c r="AF1387" i="123"/>
  <c r="AH1387" i="123" s="1"/>
  <c r="AF1486" i="123"/>
  <c r="AG1486" i="123" s="1"/>
  <c r="AF252" i="123"/>
  <c r="AG252" i="123" s="1"/>
  <c r="AJ252" i="123" s="1"/>
  <c r="AE252" i="123"/>
  <c r="AF305" i="123"/>
  <c r="AG305" i="123" s="1"/>
  <c r="AE305" i="123"/>
  <c r="AG874" i="123"/>
  <c r="AI874" i="123"/>
  <c r="AG890" i="123"/>
  <c r="AI890" i="123"/>
  <c r="AI894" i="123"/>
  <c r="AG894" i="123"/>
  <c r="AG902" i="123"/>
  <c r="AI902" i="123"/>
  <c r="AG908" i="123"/>
  <c r="AH908" i="123"/>
  <c r="AG700" i="123"/>
  <c r="AE93" i="123"/>
  <c r="AE133" i="123"/>
  <c r="AG133" i="123"/>
  <c r="AG140" i="123"/>
  <c r="AH1010" i="123"/>
  <c r="AI970" i="123"/>
  <c r="AE1738" i="123"/>
  <c r="AF1738" i="123"/>
  <c r="AI1738" i="123" s="1"/>
  <c r="AE81" i="123"/>
  <c r="AF141" i="123"/>
  <c r="AG141" i="123" s="1"/>
  <c r="AG179" i="123"/>
  <c r="AG257" i="123"/>
  <c r="AG240" i="123"/>
  <c r="AG286" i="123"/>
  <c r="AE290" i="123"/>
  <c r="AG310" i="123"/>
  <c r="AG444" i="123"/>
  <c r="AI555" i="123"/>
  <c r="AF1026" i="123"/>
  <c r="AH1026" i="123" s="1"/>
  <c r="AF1030" i="123"/>
  <c r="AH1030" i="123" s="1"/>
  <c r="AI1241" i="123"/>
  <c r="AE124" i="123"/>
  <c r="AE555" i="123"/>
  <c r="AE444" i="123"/>
  <c r="AE269" i="123"/>
  <c r="AF1176" i="123"/>
  <c r="AF1319" i="123"/>
  <c r="AI1319" i="123" s="1"/>
  <c r="AE1380" i="123"/>
  <c r="AE1490" i="123"/>
  <c r="AF1584" i="123"/>
  <c r="AI1584" i="123" s="1"/>
  <c r="AI1597" i="123"/>
  <c r="AI1504" i="123"/>
  <c r="AG1559" i="123"/>
  <c r="AH1671" i="123"/>
  <c r="AF1656" i="123"/>
  <c r="AG1656" i="123" s="1"/>
  <c r="AF1758" i="123"/>
  <c r="AG1758" i="123" s="1"/>
  <c r="AE931" i="123"/>
  <c r="AE1998" i="123"/>
  <c r="AE1373" i="123"/>
  <c r="AE284" i="123"/>
  <c r="AG85" i="123"/>
  <c r="AG93" i="123"/>
  <c r="AE110" i="123"/>
  <c r="AG114" i="123"/>
  <c r="AG115" i="123"/>
  <c r="AG178" i="123"/>
  <c r="AG219" i="123"/>
  <c r="AG28" i="123"/>
  <c r="AH22" i="123"/>
  <c r="AG33" i="123"/>
  <c r="AG41" i="123"/>
  <c r="AG37" i="123"/>
  <c r="AG66" i="123"/>
  <c r="AG81" i="123"/>
  <c r="AG105" i="123"/>
  <c r="AG110" i="123"/>
  <c r="AE94" i="123"/>
  <c r="AG165" i="123"/>
  <c r="AG182" i="123"/>
  <c r="AG253" i="123"/>
  <c r="AG269" i="123"/>
  <c r="AE240" i="123"/>
  <c r="AG290" i="123"/>
  <c r="AE286" i="123"/>
  <c r="AG315" i="123"/>
  <c r="AI423" i="123"/>
  <c r="AG370" i="123"/>
  <c r="AG455" i="123"/>
  <c r="AI640" i="123"/>
  <c r="AF831" i="123"/>
  <c r="AH831" i="123" s="1"/>
  <c r="AI568" i="123"/>
  <c r="AI600" i="123"/>
  <c r="AG910" i="123"/>
  <c r="AE511" i="123"/>
  <c r="AF1188" i="123"/>
  <c r="AI1188" i="123" s="1"/>
  <c r="AI1402" i="123"/>
  <c r="AE178" i="123"/>
  <c r="AF1354" i="123"/>
  <c r="AE1770" i="123"/>
  <c r="AF205" i="123"/>
  <c r="AG205" i="123" s="1"/>
  <c r="AF998" i="123"/>
  <c r="AG998" i="123" s="1"/>
  <c r="AE1323" i="123"/>
  <c r="AF1421" i="123"/>
  <c r="AH1421" i="123" s="1"/>
  <c r="AE1471" i="123"/>
  <c r="AF53" i="123"/>
  <c r="AG53" i="123" s="1"/>
  <c r="AE53" i="123"/>
  <c r="AF264" i="123"/>
  <c r="AG264" i="123" s="1"/>
  <c r="AE264" i="123"/>
  <c r="AF656" i="123"/>
  <c r="AE656" i="123"/>
  <c r="AF667" i="123"/>
  <c r="AG667" i="123" s="1"/>
  <c r="AE667" i="123"/>
  <c r="AF1065" i="123"/>
  <c r="AE1065" i="123"/>
  <c r="AG1327" i="123"/>
  <c r="AH1327" i="123"/>
  <c r="AI1327" i="123"/>
  <c r="AG1343" i="123"/>
  <c r="AI1343" i="123"/>
  <c r="AH1343" i="123"/>
  <c r="AF1328" i="123"/>
  <c r="AH1328" i="123" s="1"/>
  <c r="AE1328" i="123"/>
  <c r="AG1329" i="123"/>
  <c r="AH1329" i="123"/>
  <c r="AF1441" i="123"/>
  <c r="AH1441" i="123" s="1"/>
  <c r="AE1441" i="123"/>
  <c r="AF1383" i="123"/>
  <c r="AH1383" i="123" s="1"/>
  <c r="AE1383" i="123"/>
  <c r="AE1419" i="123"/>
  <c r="AF1419" i="123"/>
  <c r="AI1419" i="123" s="1"/>
  <c r="AF1457" i="123"/>
  <c r="AI1457" i="123" s="1"/>
  <c r="AE1457" i="123"/>
  <c r="AE1470" i="123"/>
  <c r="AF1470" i="123"/>
  <c r="AG1470" i="123" s="1"/>
  <c r="AG1390" i="123"/>
  <c r="AH1390" i="123"/>
  <c r="AG1475" i="123"/>
  <c r="AH1475" i="123"/>
  <c r="AF1667" i="123"/>
  <c r="AG1667" i="123" s="1"/>
  <c r="AE1667" i="123"/>
  <c r="AE1678" i="123"/>
  <c r="AF1678" i="123"/>
  <c r="AG1678" i="123" s="1"/>
  <c r="AH1539" i="123"/>
  <c r="AG1539" i="123"/>
  <c r="AI1539" i="123"/>
  <c r="AE1608" i="123"/>
  <c r="AF1608" i="123"/>
  <c r="AG1608" i="123" s="1"/>
  <c r="AF1613" i="123"/>
  <c r="AG1613" i="123" s="1"/>
  <c r="AE1613" i="123"/>
  <c r="AE1826" i="123"/>
  <c r="AF1826" i="123"/>
  <c r="AH1826" i="123" s="1"/>
  <c r="AI1977" i="123"/>
  <c r="AG1977" i="123"/>
  <c r="AE1994" i="123"/>
  <c r="AF1994" i="123"/>
  <c r="AF1814" i="123"/>
  <c r="AG1814" i="123" s="1"/>
  <c r="AE1814" i="123"/>
  <c r="AE54" i="123"/>
  <c r="AF273" i="123"/>
  <c r="AG273" i="123" s="1"/>
  <c r="AE273" i="123"/>
  <c r="AF118" i="123"/>
  <c r="AG118" i="123" s="1"/>
  <c r="AE118" i="123"/>
  <c r="AF201" i="123"/>
  <c r="AE201" i="123"/>
  <c r="AF567" i="123"/>
  <c r="AG567" i="123" s="1"/>
  <c r="AE567" i="123"/>
  <c r="AF620" i="123"/>
  <c r="AG620" i="123" s="1"/>
  <c r="AE620" i="123"/>
  <c r="AG604" i="123"/>
  <c r="AI604" i="123"/>
  <c r="AE827" i="123"/>
  <c r="AF827" i="123"/>
  <c r="AG827" i="123" s="1"/>
  <c r="AF927" i="123"/>
  <c r="AG927" i="123" s="1"/>
  <c r="AE927" i="123"/>
  <c r="AF1185" i="123"/>
  <c r="AE1185" i="123"/>
  <c r="AI1368" i="123"/>
  <c r="AG1368" i="123"/>
  <c r="AH1412" i="123"/>
  <c r="AG1412" i="123"/>
  <c r="AE1510" i="123"/>
  <c r="AF1510" i="123"/>
  <c r="AG1510" i="123" s="1"/>
  <c r="AF429" i="123"/>
  <c r="AG429" i="123" s="1"/>
  <c r="AE429" i="123"/>
  <c r="AF380" i="123"/>
  <c r="AG380" i="123" s="1"/>
  <c r="AE380" i="123"/>
  <c r="AF1822" i="123"/>
  <c r="AH1822" i="123" s="1"/>
  <c r="AE1822" i="123"/>
  <c r="AE85" i="123"/>
  <c r="AF1533" i="123"/>
  <c r="AH1533" i="123" s="1"/>
  <c r="AF101" i="123"/>
  <c r="AG101" i="123" s="1"/>
  <c r="AE101" i="123"/>
  <c r="AF145" i="123"/>
  <c r="AG145" i="123" s="1"/>
  <c r="AE145" i="123"/>
  <c r="AF128" i="123"/>
  <c r="AG128" i="123" s="1"/>
  <c r="AE128" i="123"/>
  <c r="AF144" i="123"/>
  <c r="AG144" i="123" s="1"/>
  <c r="AE144" i="123"/>
  <c r="AE214" i="123"/>
  <c r="AE364" i="123"/>
  <c r="AF364" i="123"/>
  <c r="AG364" i="123" s="1"/>
  <c r="AI850" i="123"/>
  <c r="AG850" i="123"/>
  <c r="AI950" i="123"/>
  <c r="AG950" i="123"/>
  <c r="AI942" i="123"/>
  <c r="AG942" i="123"/>
  <c r="AE891" i="123"/>
  <c r="AF891" i="123"/>
  <c r="AG891" i="123" s="1"/>
  <c r="AF109" i="123"/>
  <c r="AG109" i="123" s="1"/>
  <c r="AG467" i="123"/>
  <c r="AF569" i="123"/>
  <c r="AI569" i="123" s="1"/>
  <c r="AF792" i="123"/>
  <c r="AG792" i="123" s="1"/>
  <c r="AF1015" i="123"/>
  <c r="AH1015" i="123" s="1"/>
  <c r="AF1138" i="123"/>
  <c r="AI1257" i="123"/>
  <c r="AE256" i="123"/>
  <c r="AE1539" i="123"/>
  <c r="AF1690" i="123"/>
  <c r="AG1690" i="123" s="1"/>
  <c r="AE1625" i="123"/>
  <c r="AF1625" i="123"/>
  <c r="AH1625" i="123" s="1"/>
  <c r="AF1796" i="123"/>
  <c r="AG1796" i="123" s="1"/>
  <c r="AE1796" i="123"/>
  <c r="AF1918" i="123"/>
  <c r="AE1918" i="123"/>
  <c r="AF1990" i="123"/>
  <c r="AG1990" i="123" s="1"/>
  <c r="AE1990" i="123"/>
  <c r="AG163" i="123"/>
  <c r="AI1390" i="123"/>
  <c r="AI1915" i="123"/>
  <c r="AF1466" i="123"/>
  <c r="AI1466" i="123" s="1"/>
  <c r="AE1466" i="123"/>
  <c r="AF1485" i="123"/>
  <c r="AG1485" i="123" s="1"/>
  <c r="AE1485" i="123"/>
  <c r="AF300" i="123"/>
  <c r="AG300" i="123" s="1"/>
  <c r="AE300" i="123"/>
  <c r="AI842" i="123"/>
  <c r="AG842" i="123"/>
  <c r="AE222" i="123"/>
  <c r="AG238" i="123"/>
  <c r="AG346" i="123"/>
  <c r="AG355" i="123"/>
  <c r="AF476" i="123"/>
  <c r="AG476" i="123" s="1"/>
  <c r="AI751" i="123"/>
  <c r="AI623" i="123"/>
  <c r="AI639" i="123"/>
  <c r="AI1089" i="123"/>
  <c r="AI1285" i="123"/>
  <c r="AI1293" i="123"/>
  <c r="AE788" i="123"/>
  <c r="AF1482" i="123"/>
  <c r="AI1482" i="123" s="1"/>
  <c r="AF1927" i="123"/>
  <c r="AH1927" i="123" s="1"/>
  <c r="AF1959" i="123"/>
  <c r="AH1959" i="123" s="1"/>
  <c r="AF1991" i="123"/>
  <c r="AE1049" i="123"/>
  <c r="AE663" i="123"/>
  <c r="AF648" i="123"/>
  <c r="AG648" i="123" s="1"/>
  <c r="AE648" i="123"/>
  <c r="AF1076" i="123"/>
  <c r="AG1076" i="123" s="1"/>
  <c r="AE1076" i="123"/>
  <c r="AF1117" i="123"/>
  <c r="AG1117" i="123" s="1"/>
  <c r="AE1117" i="123"/>
  <c r="AF1205" i="123"/>
  <c r="AG1205" i="123" s="1"/>
  <c r="AE1205" i="123"/>
  <c r="AH1384" i="123"/>
  <c r="AG1384" i="123"/>
  <c r="AE1403" i="123"/>
  <c r="AF1403" i="123"/>
  <c r="AH1403" i="123" s="1"/>
  <c r="AE1427" i="123"/>
  <c r="AF1427" i="123"/>
  <c r="AG1427" i="123" s="1"/>
  <c r="AE1450" i="123"/>
  <c r="AF1450" i="123"/>
  <c r="AG1450" i="123" s="1"/>
  <c r="AF1439" i="123"/>
  <c r="AG1439" i="123" s="1"/>
  <c r="AG282" i="123"/>
  <c r="AG262" i="123"/>
  <c r="AF1578" i="123"/>
  <c r="AH1578" i="123" s="1"/>
  <c r="AI1907" i="123"/>
  <c r="AF428" i="123"/>
  <c r="AG428" i="123" s="1"/>
  <c r="AE428" i="123"/>
  <c r="AF564" i="123"/>
  <c r="AI564" i="123" s="1"/>
  <c r="AG1353" i="123"/>
  <c r="AH1353" i="123"/>
  <c r="AF1415" i="123"/>
  <c r="AG1415" i="123" s="1"/>
  <c r="AH1701" i="123"/>
  <c r="AG1701" i="123"/>
  <c r="AF64" i="123"/>
  <c r="AG64" i="123" s="1"/>
  <c r="AE64" i="123"/>
  <c r="AF285" i="123"/>
  <c r="AG285" i="123" s="1"/>
  <c r="AE285" i="123"/>
  <c r="AF326" i="123"/>
  <c r="AG326" i="123" s="1"/>
  <c r="AE326" i="123"/>
  <c r="AF804" i="123"/>
  <c r="AE804" i="123"/>
  <c r="AF1225" i="123"/>
  <c r="AG1225" i="123" s="1"/>
  <c r="AE1225" i="123"/>
  <c r="AG119" i="123"/>
  <c r="AG78" i="123"/>
  <c r="AG126" i="123"/>
  <c r="AG207" i="123"/>
  <c r="AG241" i="123"/>
  <c r="AG274" i="123"/>
  <c r="AG301" i="123"/>
  <c r="AG432" i="123"/>
  <c r="AG400" i="123"/>
  <c r="AG425" i="123"/>
  <c r="AI720" i="123"/>
  <c r="AI755" i="123"/>
  <c r="AI636" i="123"/>
  <c r="AI652" i="123"/>
  <c r="AE652" i="123"/>
  <c r="AE1073" i="123"/>
  <c r="AE1447" i="123"/>
  <c r="AE1157" i="123"/>
  <c r="AE1784" i="123"/>
  <c r="AE169" i="123"/>
  <c r="AF169" i="123"/>
  <c r="AG169" i="123" s="1"/>
  <c r="AJ169" i="123" s="1"/>
  <c r="AG925" i="123"/>
  <c r="AH925" i="123"/>
  <c r="AF1268" i="123"/>
  <c r="AG1268" i="123" s="1"/>
  <c r="AE1268" i="123"/>
  <c r="AF1292" i="123"/>
  <c r="AG1292" i="123" s="1"/>
  <c r="AE1588" i="123"/>
  <c r="AF1588" i="123"/>
  <c r="AG1588" i="123" s="1"/>
  <c r="AG383" i="123"/>
  <c r="AH431" i="123"/>
  <c r="AI711" i="123"/>
  <c r="AI612" i="123"/>
  <c r="AI883" i="123"/>
  <c r="AF1110" i="123"/>
  <c r="AH1110" i="123" s="1"/>
  <c r="AI1073" i="123"/>
  <c r="AI1229" i="123"/>
  <c r="AI1253" i="123"/>
  <c r="AI1301" i="123"/>
  <c r="AI1353" i="123"/>
  <c r="AI1630" i="123"/>
  <c r="AF1856" i="123"/>
  <c r="AG1856" i="123" s="1"/>
  <c r="AI1784" i="123"/>
  <c r="AF803" i="123"/>
  <c r="AH803" i="123" s="1"/>
  <c r="AE1378" i="123"/>
  <c r="AI1297" i="123"/>
  <c r="AI1609" i="123"/>
  <c r="AI1639" i="123"/>
  <c r="AF1955" i="123"/>
  <c r="AG1955" i="123" s="1"/>
  <c r="AF1749" i="123"/>
  <c r="AG1749" i="123" s="1"/>
  <c r="AF1978" i="123"/>
  <c r="AI1978" i="123" s="1"/>
  <c r="AF1792" i="123"/>
  <c r="AG1792" i="123" s="1"/>
  <c r="AF1894" i="123"/>
  <c r="AG1894" i="123" s="1"/>
  <c r="AE1894" i="123"/>
  <c r="AF619" i="123"/>
  <c r="AG619" i="123" s="1"/>
  <c r="AE619" i="123"/>
  <c r="AE772" i="123"/>
  <c r="AF772" i="123"/>
  <c r="AG772" i="123" s="1"/>
  <c r="AF1233" i="123"/>
  <c r="AE1233" i="123"/>
  <c r="AI1420" i="123"/>
  <c r="AH1420" i="123"/>
  <c r="AH1360" i="123"/>
  <c r="AI1360" i="123"/>
  <c r="AE1339" i="123"/>
  <c r="AF1339" i="123"/>
  <c r="AI1339" i="123" s="1"/>
  <c r="AE1512" i="123"/>
  <c r="AF1512" i="123"/>
  <c r="AH1512" i="123" s="1"/>
  <c r="AE1682" i="123"/>
  <c r="AF1682" i="123"/>
  <c r="AF1577" i="123"/>
  <c r="AG1577" i="123" s="1"/>
  <c r="AE1577" i="123"/>
  <c r="AF1651" i="123"/>
  <c r="AH1651" i="123" s="1"/>
  <c r="AE1651" i="123"/>
  <c r="AF1105" i="123"/>
  <c r="AG1105" i="123" s="1"/>
  <c r="AE1105" i="123"/>
  <c r="AG19" i="123"/>
  <c r="AE57" i="123"/>
  <c r="AG79" i="123"/>
  <c r="AG189" i="123"/>
  <c r="AG237" i="123"/>
  <c r="AE244" i="123"/>
  <c r="AG321" i="123"/>
  <c r="AF333" i="123"/>
  <c r="AG333" i="123" s="1"/>
  <c r="AG415" i="123"/>
  <c r="AF760" i="123"/>
  <c r="AI760" i="123" s="1"/>
  <c r="AI840" i="123"/>
  <c r="AI908" i="123"/>
  <c r="AF916" i="123"/>
  <c r="AH916" i="123" s="1"/>
  <c r="AI1077" i="123"/>
  <c r="AE35" i="123"/>
  <c r="AE237" i="123"/>
  <c r="AE403" i="123"/>
  <c r="AE1173" i="123"/>
  <c r="AE1037" i="123"/>
  <c r="AF1196" i="123"/>
  <c r="AG1196" i="123" s="1"/>
  <c r="AE1261" i="123"/>
  <c r="AI1317" i="123"/>
  <c r="AG1360" i="123"/>
  <c r="AE1478" i="123"/>
  <c r="AE1502" i="123"/>
  <c r="AI1364" i="123"/>
  <c r="AE1505" i="123"/>
  <c r="AG1504" i="123"/>
  <c r="AE1558" i="123"/>
  <c r="AG1902" i="123"/>
  <c r="AE288" i="123"/>
  <c r="AE628" i="123"/>
  <c r="AF245" i="123"/>
  <c r="AG245" i="123" s="1"/>
  <c r="AE1168" i="123"/>
  <c r="AF1168" i="123"/>
  <c r="AG1168" i="123" s="1"/>
  <c r="AF1237" i="123"/>
  <c r="AG1237" i="123" s="1"/>
  <c r="AE1237" i="123"/>
  <c r="AF1372" i="123"/>
  <c r="AI1372" i="123" s="1"/>
  <c r="AF1456" i="123"/>
  <c r="AE1456" i="123"/>
  <c r="AE1459" i="123"/>
  <c r="AF1459" i="123"/>
  <c r="AG1459" i="123" s="1"/>
  <c r="AF1520" i="123"/>
  <c r="AG1520" i="123" s="1"/>
  <c r="AE1520" i="123"/>
  <c r="AE763" i="123"/>
  <c r="AF763" i="123"/>
  <c r="AI763" i="123" s="1"/>
  <c r="AF1348" i="123"/>
  <c r="AG1348" i="123" s="1"/>
  <c r="AE1348" i="123"/>
  <c r="AE1389" i="123"/>
  <c r="AF1389" i="123"/>
  <c r="AH1389" i="123" s="1"/>
  <c r="AE1527" i="123"/>
  <c r="AF1527" i="123"/>
  <c r="AI1527" i="123" s="1"/>
  <c r="AE1444" i="123"/>
  <c r="AF1444" i="123"/>
  <c r="AG244" i="123"/>
  <c r="AF696" i="123"/>
  <c r="AG696" i="123" s="1"/>
  <c r="AE696" i="123"/>
  <c r="AF1165" i="123"/>
  <c r="AI1165" i="123" s="1"/>
  <c r="AE1165" i="123"/>
  <c r="AF1543" i="123"/>
  <c r="AE1543" i="123"/>
  <c r="AG1911" i="123"/>
  <c r="AH1911" i="123"/>
  <c r="AE420" i="123"/>
  <c r="AE1531" i="123"/>
  <c r="AF1531" i="123"/>
  <c r="AI1531" i="123" s="1"/>
  <c r="AF1622" i="123"/>
  <c r="AH1622" i="123" s="1"/>
  <c r="AE1622" i="123"/>
  <c r="AE1392" i="123"/>
  <c r="AF1392" i="123"/>
  <c r="AH1392" i="123" s="1"/>
  <c r="AE186" i="123"/>
  <c r="AE217" i="123"/>
  <c r="AG317" i="123"/>
  <c r="AF316" i="123"/>
  <c r="AG316" i="123" s="1"/>
  <c r="AG440" i="123"/>
  <c r="AI676" i="123"/>
  <c r="AG966" i="123"/>
  <c r="AH921" i="123"/>
  <c r="AI1261" i="123"/>
  <c r="AE39" i="123"/>
  <c r="AE408" i="123"/>
  <c r="AE1077" i="123"/>
  <c r="AG1420" i="123"/>
  <c r="AF1534" i="123"/>
  <c r="AI1534" i="123" s="1"/>
  <c r="AE1497" i="123"/>
  <c r="AG1630" i="123"/>
  <c r="AG1871" i="123"/>
  <c r="AI1886" i="123"/>
  <c r="AI1902" i="123"/>
  <c r="AF1382" i="123"/>
  <c r="AG1382" i="123" s="1"/>
  <c r="AE1504" i="123"/>
  <c r="AE1754" i="123"/>
  <c r="AE1886" i="123"/>
  <c r="AF487" i="123"/>
  <c r="AG487" i="123" s="1"/>
  <c r="AE487" i="123"/>
  <c r="AF551" i="123"/>
  <c r="AI551" i="123" s="1"/>
  <c r="AE551" i="123"/>
  <c r="AF559" i="123"/>
  <c r="AG559" i="123" s="1"/>
  <c r="AE559" i="123"/>
  <c r="AF463" i="123"/>
  <c r="AG463" i="123" s="1"/>
  <c r="AF1408" i="123"/>
  <c r="AE1408" i="123"/>
  <c r="AE1472" i="123"/>
  <c r="AE155" i="123"/>
  <c r="AF155" i="123"/>
  <c r="AG155" i="123" s="1"/>
  <c r="AJ155" i="123" s="1"/>
  <c r="AF272" i="123"/>
  <c r="AE272" i="123"/>
  <c r="AF62" i="123"/>
  <c r="AG62" i="123" s="1"/>
  <c r="AE62" i="123"/>
  <c r="AF464" i="123"/>
  <c r="AG464" i="123" s="1"/>
  <c r="AE464" i="123"/>
  <c r="AF1910" i="123"/>
  <c r="AG1910" i="123" s="1"/>
  <c r="AE1910" i="123"/>
  <c r="AF1938" i="123"/>
  <c r="AG1938" i="123" s="1"/>
  <c r="AE1938" i="123"/>
  <c r="AI55" i="123"/>
  <c r="AG57" i="123"/>
  <c r="AG408" i="123"/>
  <c r="AG523" i="123"/>
  <c r="AI576" i="123"/>
  <c r="AI672" i="123"/>
  <c r="AF979" i="123"/>
  <c r="AI979" i="123" s="1"/>
  <c r="AI917" i="123"/>
  <c r="AI921" i="123"/>
  <c r="AI1008" i="123"/>
  <c r="AI1180" i="123"/>
  <c r="AE432" i="123"/>
  <c r="AE1053" i="123"/>
  <c r="AF1514" i="123"/>
  <c r="AI1514" i="123" s="1"/>
  <c r="AF1832" i="123"/>
  <c r="AH1832" i="123" s="1"/>
  <c r="AG1839" i="123"/>
  <c r="AE1902" i="123"/>
  <c r="AF715" i="123"/>
  <c r="AE715" i="123"/>
  <c r="AF1265" i="123"/>
  <c r="AG1265" i="123" s="1"/>
  <c r="AE1265" i="123"/>
  <c r="AG1483" i="123"/>
  <c r="AH1483" i="123"/>
  <c r="AF73" i="123"/>
  <c r="AG73" i="123" s="1"/>
  <c r="AE73" i="123"/>
  <c r="AF248" i="123"/>
  <c r="AG248" i="123" s="1"/>
  <c r="AE248" i="123"/>
  <c r="AF289" i="123"/>
  <c r="AG289" i="123" s="1"/>
  <c r="AE289" i="123"/>
  <c r="AF1562" i="123"/>
  <c r="AF1975" i="123"/>
  <c r="AI1975" i="123" s="1"/>
  <c r="AF1377" i="123"/>
  <c r="AH1377" i="123" s="1"/>
  <c r="AF1467" i="123"/>
  <c r="AG1467" i="123" s="1"/>
  <c r="AF1491" i="123"/>
  <c r="AF887" i="123"/>
  <c r="AG887" i="123" s="1"/>
  <c r="AF982" i="123"/>
  <c r="AI982" i="123" s="1"/>
  <c r="AF1349" i="123"/>
  <c r="AH1349" i="123" s="1"/>
  <c r="AI1780" i="123"/>
  <c r="AF1979" i="123"/>
  <c r="AI1979" i="123" s="1"/>
  <c r="AI1919" i="123"/>
  <c r="AF899" i="123"/>
  <c r="AI899" i="123" s="1"/>
  <c r="AF1484" i="123"/>
  <c r="AI1484" i="123" s="1"/>
  <c r="AE1349" i="123"/>
  <c r="AI862" i="123"/>
  <c r="AG862" i="123"/>
  <c r="AI1699" i="123"/>
  <c r="AH1699" i="123"/>
  <c r="AG1699" i="123"/>
  <c r="AH1886" i="123"/>
  <c r="AI139" i="123"/>
  <c r="AH596" i="123"/>
  <c r="AH896" i="123"/>
  <c r="AH1317" i="123"/>
  <c r="AF1589" i="123"/>
  <c r="AH1589" i="123" s="1"/>
  <c r="AF1405" i="123"/>
  <c r="AE1335" i="123"/>
  <c r="AH547" i="123"/>
  <c r="AH660" i="123"/>
  <c r="AH604" i="123"/>
  <c r="AH1157" i="123"/>
  <c r="AF575" i="123"/>
  <c r="AG575" i="123" s="1"/>
  <c r="U256" i="123"/>
  <c r="V256" i="123"/>
  <c r="W256" i="123" s="1"/>
  <c r="AH256" i="123" s="1"/>
  <c r="AG256" i="123"/>
  <c r="AH1919" i="123"/>
  <c r="AE361" i="123"/>
  <c r="AI1407" i="123"/>
  <c r="AF939" i="123"/>
  <c r="AH939" i="123" s="1"/>
  <c r="AH1368" i="123"/>
  <c r="AI1412" i="123"/>
  <c r="AF1381" i="123"/>
  <c r="AH1381" i="123" s="1"/>
  <c r="AF1399" i="123"/>
  <c r="AG1399" i="123" s="1"/>
  <c r="AI1540" i="123"/>
  <c r="AF473" i="123"/>
  <c r="AG473" i="123" s="1"/>
  <c r="AI1260" i="123"/>
  <c r="AE436" i="123"/>
  <c r="AF743" i="123"/>
  <c r="AG743" i="123" s="1"/>
  <c r="AF799" i="123"/>
  <c r="AE1453" i="123"/>
  <c r="AF1476" i="123"/>
  <c r="AH1455" i="123"/>
  <c r="AF1709" i="123"/>
  <c r="AG1709" i="123" s="1"/>
  <c r="AE296" i="123"/>
  <c r="AH1903" i="123"/>
  <c r="AE413" i="123"/>
  <c r="AF1149" i="123"/>
  <c r="AG1149" i="123" s="1"/>
  <c r="AE1149" i="123"/>
  <c r="AF1269" i="123"/>
  <c r="AG1269" i="123" s="1"/>
  <c r="AE1269" i="123"/>
  <c r="AH1528" i="123"/>
  <c r="AI1528" i="123"/>
  <c r="AI1472" i="123"/>
  <c r="AG1472" i="123"/>
  <c r="AF1481" i="123"/>
  <c r="AG1481" i="123" s="1"/>
  <c r="AE1481" i="123"/>
  <c r="AG1511" i="123"/>
  <c r="AI1511" i="123"/>
  <c r="AG1516" i="123"/>
  <c r="AH1516" i="123"/>
  <c r="AG1523" i="123"/>
  <c r="AI1523" i="123"/>
  <c r="AF707" i="123"/>
  <c r="AG707" i="123" s="1"/>
  <c r="AE707" i="123"/>
  <c r="AF780" i="123"/>
  <c r="AE780" i="123"/>
  <c r="AF723" i="123"/>
  <c r="AG723" i="123" s="1"/>
  <c r="AE723" i="123"/>
  <c r="AF728" i="123"/>
  <c r="AH728" i="123" s="1"/>
  <c r="AE728" i="123"/>
  <c r="AH1340" i="123"/>
  <c r="AG1340" i="123"/>
  <c r="AH1416" i="123"/>
  <c r="AI1475" i="123"/>
  <c r="AH1605" i="123"/>
  <c r="AH1609" i="123"/>
  <c r="AG1540" i="123"/>
  <c r="AE1626" i="123"/>
  <c r="AE1766" i="123"/>
  <c r="AF1844" i="123"/>
  <c r="AG1844" i="123" s="1"/>
  <c r="AF1860" i="123"/>
  <c r="AG1860" i="123" s="1"/>
  <c r="AI1766" i="123"/>
  <c r="AF1939" i="123"/>
  <c r="AG1939" i="123" s="1"/>
  <c r="AI1911" i="123"/>
  <c r="AE1293" i="123"/>
  <c r="AE1407" i="123"/>
  <c r="AE624" i="123"/>
  <c r="AE1397" i="123"/>
  <c r="AE1557" i="123"/>
  <c r="AI1329" i="123"/>
  <c r="AE1405" i="123"/>
  <c r="AF1753" i="123"/>
  <c r="AG1753" i="123" s="1"/>
  <c r="AE1329" i="123"/>
  <c r="AE671" i="123"/>
  <c r="AE1573" i="123"/>
  <c r="AF1570" i="123"/>
  <c r="AH1570" i="123" s="1"/>
  <c r="AH1863" i="123"/>
  <c r="AI1863" i="123"/>
  <c r="AI1890" i="123"/>
  <c r="AH1974" i="123"/>
  <c r="AI1926" i="123"/>
  <c r="AI1974" i="123"/>
  <c r="AI1345" i="123"/>
  <c r="AE1800" i="123"/>
  <c r="AE1863" i="123"/>
  <c r="AF1344" i="123"/>
  <c r="AH1344" i="123" s="1"/>
  <c r="AF1930" i="123"/>
  <c r="AG1930" i="123" s="1"/>
  <c r="AF1946" i="123"/>
  <c r="AG1946" i="123" s="1"/>
  <c r="AF1835" i="123"/>
  <c r="AI1835" i="123" s="1"/>
  <c r="AF296" i="123"/>
  <c r="AG296" i="123" s="1"/>
  <c r="AI631" i="123"/>
  <c r="AI651" i="123"/>
  <c r="AI668" i="123"/>
  <c r="AI1049" i="123"/>
  <c r="AE229" i="123"/>
  <c r="AE584" i="123"/>
  <c r="AE281" i="123"/>
  <c r="AE459" i="123"/>
  <c r="AE1089" i="123"/>
  <c r="AH1345" i="123"/>
  <c r="AE1423" i="123"/>
  <c r="AI1605" i="123"/>
  <c r="AF1572" i="123"/>
  <c r="AG1572" i="123" s="1"/>
  <c r="AH1687" i="123"/>
  <c r="AE1675" i="123"/>
  <c r="AI1831" i="123"/>
  <c r="AI1933" i="123"/>
  <c r="AI1922" i="123"/>
  <c r="AI1954" i="123"/>
  <c r="AI1986" i="123"/>
  <c r="AE342" i="123"/>
  <c r="AE1301" i="123"/>
  <c r="AI1549" i="123"/>
  <c r="AE1831" i="123"/>
  <c r="AI1555" i="123"/>
  <c r="AE308" i="123"/>
  <c r="AE668" i="123"/>
  <c r="AF747" i="123"/>
  <c r="AG747" i="123" s="1"/>
  <c r="U111" i="123"/>
  <c r="V111" i="123"/>
  <c r="W111" i="123" s="1"/>
  <c r="X111" i="123" s="1"/>
  <c r="AI906" i="123"/>
  <c r="AG906" i="123"/>
  <c r="AF481" i="123"/>
  <c r="AG481" i="123" s="1"/>
  <c r="AF513" i="123"/>
  <c r="AG513" i="123" s="1"/>
  <c r="AH892" i="123"/>
  <c r="AH1378" i="123"/>
  <c r="AH1675" i="123"/>
  <c r="AH1895" i="123"/>
  <c r="AF587" i="123"/>
  <c r="AG587" i="123" s="1"/>
  <c r="AH905" i="123"/>
  <c r="AF1468" i="123"/>
  <c r="AH1557" i="123"/>
  <c r="AE319" i="123"/>
  <c r="AH632" i="123"/>
  <c r="AH636" i="123"/>
  <c r="AH1898" i="123"/>
  <c r="AH1721" i="123"/>
  <c r="AH1879" i="123"/>
  <c r="AH1887" i="123"/>
  <c r="AE417" i="123"/>
  <c r="AF739" i="123"/>
  <c r="AG739" i="123" s="1"/>
  <c r="AF1585" i="123"/>
  <c r="AI1585" i="123" s="1"/>
  <c r="AF1761" i="123"/>
  <c r="AI1761" i="123" s="1"/>
  <c r="AE8" i="123"/>
  <c r="AE254" i="123"/>
  <c r="AE270" i="123"/>
  <c r="V272" i="123"/>
  <c r="W272" i="123" s="1"/>
  <c r="U272" i="123"/>
  <c r="AG1524" i="123"/>
  <c r="AH1524" i="123"/>
  <c r="AI1524" i="123"/>
  <c r="V313" i="123"/>
  <c r="W313" i="123" s="1"/>
  <c r="U313" i="123"/>
  <c r="AG51" i="123"/>
  <c r="V51" i="123"/>
  <c r="AI51" i="123" s="1"/>
  <c r="U51" i="123"/>
  <c r="V120" i="123"/>
  <c r="W120" i="123" s="1"/>
  <c r="X120" i="123" s="1"/>
  <c r="U120" i="123"/>
  <c r="AG1733" i="123"/>
  <c r="AH1733" i="123"/>
  <c r="AG580" i="123"/>
  <c r="AI580" i="123"/>
  <c r="AG962" i="123"/>
  <c r="AI962" i="123"/>
  <c r="AG1552" i="123"/>
  <c r="AI1552" i="123"/>
  <c r="AI359" i="123"/>
  <c r="AH676" i="123"/>
  <c r="AH584" i="123"/>
  <c r="AH616" i="123"/>
  <c r="AH943" i="123"/>
  <c r="AI1425" i="123"/>
  <c r="AE356" i="123"/>
  <c r="AH568" i="123"/>
  <c r="AH600" i="123"/>
  <c r="AH664" i="123"/>
  <c r="AH732" i="123"/>
  <c r="AH1273" i="123"/>
  <c r="AH1297" i="123"/>
  <c r="AI1733" i="123"/>
  <c r="AH1626" i="123"/>
  <c r="AE149" i="123"/>
  <c r="AF1284" i="123"/>
  <c r="AG1284" i="123" s="1"/>
  <c r="AF1404" i="123"/>
  <c r="AG1404" i="123" s="1"/>
  <c r="AI1385" i="123"/>
  <c r="AG22" i="123"/>
  <c r="AJ22" i="123" s="1"/>
  <c r="AG139" i="123"/>
  <c r="AJ139" i="123" s="1"/>
  <c r="AF735" i="123"/>
  <c r="AG735" i="123" s="1"/>
  <c r="AE1316" i="123"/>
  <c r="AF1581" i="123"/>
  <c r="AG1581" i="123" s="1"/>
  <c r="AE312" i="123"/>
  <c r="AG1334" i="123"/>
  <c r="AH1775" i="123"/>
  <c r="AF1966" i="123"/>
  <c r="AG1966" i="123" s="1"/>
  <c r="AE1010" i="123"/>
  <c r="AE1345" i="123"/>
  <c r="AG39" i="123"/>
  <c r="AG97" i="123"/>
  <c r="AG152" i="123"/>
  <c r="AG159" i="123"/>
  <c r="AF368" i="123"/>
  <c r="AG368" i="123" s="1"/>
  <c r="AG528" i="123"/>
  <c r="AI708" i="123"/>
  <c r="AI922" i="123"/>
  <c r="AI882" i="123"/>
  <c r="AI1141" i="123"/>
  <c r="AG1335" i="123"/>
  <c r="AI1440" i="123"/>
  <c r="AF1566" i="123"/>
  <c r="AH1566" i="123" s="1"/>
  <c r="AG1488" i="123"/>
  <c r="AF1718" i="123"/>
  <c r="AI1745" i="123"/>
  <c r="AG1775" i="123"/>
  <c r="AE1356" i="123"/>
  <c r="AE1549" i="123"/>
  <c r="AE1698" i="123"/>
  <c r="AH63" i="123"/>
  <c r="AE97" i="123"/>
  <c r="AH139" i="123"/>
  <c r="AI547" i="123"/>
  <c r="AI740" i="123"/>
  <c r="AI788" i="123"/>
  <c r="AI627" i="123"/>
  <c r="AG1445" i="123"/>
  <c r="AH1515" i="123"/>
  <c r="AE1593" i="123"/>
  <c r="AI1626" i="123"/>
  <c r="AI1698" i="123"/>
  <c r="AE1794" i="123"/>
  <c r="AI1847" i="123"/>
  <c r="AH1549" i="123"/>
  <c r="AF1337" i="123"/>
  <c r="AG1337" i="123" s="1"/>
  <c r="AE1696" i="123"/>
  <c r="V314" i="123"/>
  <c r="AI314" i="123" s="1"/>
  <c r="U314" i="123"/>
  <c r="AG314" i="123"/>
  <c r="U204" i="123"/>
  <c r="V204" i="123"/>
  <c r="W204" i="123" s="1"/>
  <c r="U226" i="123"/>
  <c r="V226" i="123"/>
  <c r="W226" i="123" s="1"/>
  <c r="U275" i="123"/>
  <c r="V275" i="123"/>
  <c r="W275" i="123" s="1"/>
  <c r="V248" i="123"/>
  <c r="U248" i="123"/>
  <c r="AI1808" i="123"/>
  <c r="AG1808" i="123"/>
  <c r="AH1808" i="123"/>
  <c r="AI1929" i="123"/>
  <c r="AG1929" i="123"/>
  <c r="AG1961" i="123"/>
  <c r="AI1961" i="123"/>
  <c r="AI1993" i="123"/>
  <c r="AG1993" i="123"/>
  <c r="U103" i="123"/>
  <c r="V103" i="123"/>
  <c r="W103" i="123" s="1"/>
  <c r="V142" i="123"/>
  <c r="W142" i="123" s="1"/>
  <c r="X142" i="123" s="1"/>
  <c r="U142" i="123"/>
  <c r="U177" i="123"/>
  <c r="V177" i="123"/>
  <c r="W177" i="123" s="1"/>
  <c r="AG177" i="123"/>
  <c r="AI915" i="123"/>
  <c r="AG915" i="123"/>
  <c r="U146" i="123"/>
  <c r="V146" i="123"/>
  <c r="W146" i="123" s="1"/>
  <c r="X146" i="123" s="1"/>
  <c r="U264" i="123"/>
  <c r="V264" i="123"/>
  <c r="W264" i="123" s="1"/>
  <c r="V419" i="123"/>
  <c r="AI419" i="123" s="1"/>
  <c r="AG419" i="123"/>
  <c r="U419" i="123"/>
  <c r="AH1464" i="123"/>
  <c r="AI1464" i="123"/>
  <c r="AG1464" i="123"/>
  <c r="AH1396" i="123"/>
  <c r="AI1396" i="123"/>
  <c r="AG1396" i="123"/>
  <c r="AI1388" i="123"/>
  <c r="AG1388" i="123"/>
  <c r="AH1388" i="123"/>
  <c r="AG1925" i="123"/>
  <c r="AH1925" i="123"/>
  <c r="AI1925" i="123"/>
  <c r="U201" i="123"/>
  <c r="V201" i="123"/>
  <c r="W201" i="123" s="1"/>
  <c r="X201" i="123" s="1"/>
  <c r="U296" i="123"/>
  <c r="V296" i="123"/>
  <c r="AG1479" i="123"/>
  <c r="AI1479" i="123"/>
  <c r="AH1479" i="123"/>
  <c r="AG1401" i="123"/>
  <c r="AH1401" i="123"/>
  <c r="AI1771" i="123"/>
  <c r="AG1771" i="123"/>
  <c r="W67" i="123"/>
  <c r="AH67" i="123" s="1"/>
  <c r="AI647" i="123"/>
  <c r="AI1401" i="123"/>
  <c r="AI1721" i="123"/>
  <c r="AG542" i="123"/>
  <c r="AH724" i="123"/>
  <c r="AF1204" i="123"/>
  <c r="AG1204" i="123" s="1"/>
  <c r="AI1356" i="123"/>
  <c r="AI1437" i="123"/>
  <c r="AI87" i="123"/>
  <c r="AI63" i="123"/>
  <c r="W423" i="123"/>
  <c r="AH423" i="123" s="1"/>
  <c r="AH668" i="123"/>
  <c r="AH1093" i="123"/>
  <c r="AH1999" i="123"/>
  <c r="AG181" i="123"/>
  <c r="AI695" i="123"/>
  <c r="AH71" i="123"/>
  <c r="AG431" i="123"/>
  <c r="AJ431" i="123" s="1"/>
  <c r="AG492" i="123"/>
  <c r="AJ492" i="123" s="1"/>
  <c r="AH812" i="123"/>
  <c r="AI795" i="123"/>
  <c r="AF1092" i="123"/>
  <c r="AH1092" i="123" s="1"/>
  <c r="AI1280" i="123"/>
  <c r="AI1898" i="123"/>
  <c r="AH1906" i="123"/>
  <c r="AH1954" i="123"/>
  <c r="AI1248" i="123"/>
  <c r="AH796" i="123"/>
  <c r="AH843" i="123"/>
  <c r="AI911" i="123"/>
  <c r="AH883" i="123"/>
  <c r="AF1084" i="123"/>
  <c r="AI1084" i="123" s="1"/>
  <c r="W151" i="123"/>
  <c r="AH151" i="123" s="1"/>
  <c r="AH628" i="123"/>
  <c r="AH652" i="123"/>
  <c r="AH1241" i="123"/>
  <c r="AH1253" i="123"/>
  <c r="AI563" i="123"/>
  <c r="AI1430" i="123"/>
  <c r="AG423" i="123"/>
  <c r="AJ423" i="123" s="1"/>
  <c r="AE306" i="123"/>
  <c r="AI671" i="123"/>
  <c r="AF1312" i="123"/>
  <c r="AI1312" i="123" s="1"/>
  <c r="AE307" i="123"/>
  <c r="AG362" i="123"/>
  <c r="AI663" i="123"/>
  <c r="AH811" i="123"/>
  <c r="AI684" i="123"/>
  <c r="AG926" i="123"/>
  <c r="AI1153" i="123"/>
  <c r="AE1133" i="123"/>
  <c r="AE720" i="123"/>
  <c r="AE1213" i="123"/>
  <c r="AH1335" i="123"/>
  <c r="AH1445" i="123"/>
  <c r="AI1551" i="123"/>
  <c r="AF1489" i="123"/>
  <c r="AG1489" i="123" s="1"/>
  <c r="AI1772" i="123"/>
  <c r="AF1848" i="123"/>
  <c r="AH1848" i="123" s="1"/>
  <c r="AF1864" i="123"/>
  <c r="AH1864" i="123" s="1"/>
  <c r="AI1882" i="123"/>
  <c r="AH1890" i="123"/>
  <c r="AG1898" i="123"/>
  <c r="AI1914" i="123"/>
  <c r="AH1922" i="123"/>
  <c r="AG1965" i="123"/>
  <c r="AE684" i="123"/>
  <c r="AF1576" i="123"/>
  <c r="AH1576" i="123" s="1"/>
  <c r="AE1926" i="123"/>
  <c r="AF1705" i="123"/>
  <c r="AH1705" i="123" s="1"/>
  <c r="AE117" i="123"/>
  <c r="AG246" i="123"/>
  <c r="AG795" i="123"/>
  <c r="AI812" i="123"/>
  <c r="AH684" i="123"/>
  <c r="AI904" i="123"/>
  <c r="AG914" i="123"/>
  <c r="AI923" i="123"/>
  <c r="AF932" i="123"/>
  <c r="AG932" i="123" s="1"/>
  <c r="AI1133" i="123"/>
  <c r="AI1161" i="123"/>
  <c r="AI1177" i="123"/>
  <c r="AI1213" i="123"/>
  <c r="AE156" i="123"/>
  <c r="AE121" i="123"/>
  <c r="AE812" i="123"/>
  <c r="AE1161" i="123"/>
  <c r="AE1181" i="123"/>
  <c r="AE731" i="123"/>
  <c r="AE811" i="123"/>
  <c r="AE1272" i="123"/>
  <c r="AI1617" i="123"/>
  <c r="AG1721" i="123"/>
  <c r="AH1882" i="123"/>
  <c r="AI1906" i="123"/>
  <c r="AH1914" i="123"/>
  <c r="AH1986" i="123"/>
  <c r="AE755" i="123"/>
  <c r="AG1551" i="123"/>
  <c r="AE1717" i="123"/>
  <c r="AE152" i="123"/>
  <c r="AG288" i="123"/>
  <c r="AI704" i="123"/>
  <c r="AI736" i="123"/>
  <c r="AI571" i="123"/>
  <c r="AF839" i="123"/>
  <c r="AG839" i="123" s="1"/>
  <c r="AI1181" i="123"/>
  <c r="AE704" i="123"/>
  <c r="AE795" i="123"/>
  <c r="AE1153" i="123"/>
  <c r="AI1454" i="123"/>
  <c r="AF1638" i="123"/>
  <c r="AI1638" i="123" s="1"/>
  <c r="AI1877" i="123"/>
  <c r="AE1882" i="123"/>
  <c r="AE1890" i="123"/>
  <c r="AE1898" i="123"/>
  <c r="AE1906" i="123"/>
  <c r="AE1914" i="123"/>
  <c r="AE1922" i="123"/>
  <c r="AE1954" i="123"/>
  <c r="AE1986" i="123"/>
  <c r="AH1717" i="123"/>
  <c r="AG1717" i="123"/>
  <c r="AI635" i="123"/>
  <c r="AE1280" i="123"/>
  <c r="AE1221" i="123"/>
  <c r="AE612" i="123"/>
  <c r="AE1765" i="123"/>
  <c r="AE736" i="123"/>
  <c r="AI611" i="123"/>
  <c r="AG611" i="123"/>
  <c r="AE183" i="123"/>
  <c r="AG292" i="123"/>
  <c r="AG503" i="123"/>
  <c r="AI599" i="123"/>
  <c r="AH788" i="123"/>
  <c r="AF784" i="123"/>
  <c r="AG784" i="123" s="1"/>
  <c r="AF800" i="123"/>
  <c r="AG800" i="123" s="1"/>
  <c r="AE824" i="123"/>
  <c r="AG858" i="123"/>
  <c r="AG918" i="123"/>
  <c r="AI931" i="123"/>
  <c r="AG938" i="123"/>
  <c r="AI978" i="123"/>
  <c r="AI1012" i="123"/>
  <c r="AI1101" i="123"/>
  <c r="AI1109" i="123"/>
  <c r="AE503" i="123"/>
  <c r="AE1069" i="123"/>
  <c r="AE1101" i="123"/>
  <c r="AE1129" i="123"/>
  <c r="AE1145" i="123"/>
  <c r="AE611" i="123"/>
  <c r="AE1204" i="123"/>
  <c r="AH1356" i="123"/>
  <c r="AI1519" i="123"/>
  <c r="AH1437" i="123"/>
  <c r="AH1508" i="123"/>
  <c r="AI1725" i="123"/>
  <c r="AE1288" i="123"/>
  <c r="AE1847" i="123"/>
  <c r="AG70" i="123"/>
  <c r="AG121" i="123"/>
  <c r="AG35" i="123"/>
  <c r="AH173" i="123"/>
  <c r="AG371" i="123"/>
  <c r="AI592" i="123"/>
  <c r="AI824" i="123"/>
  <c r="AG934" i="123"/>
  <c r="AG878" i="123"/>
  <c r="AH1061" i="123"/>
  <c r="AI1129" i="123"/>
  <c r="AI1137" i="123"/>
  <c r="AI1145" i="123"/>
  <c r="AI1169" i="123"/>
  <c r="AH1189" i="123"/>
  <c r="AI1224" i="123"/>
  <c r="AE202" i="123"/>
  <c r="AE515" i="123"/>
  <c r="AE1141" i="123"/>
  <c r="AE1169" i="123"/>
  <c r="AG1356" i="123"/>
  <c r="AH1519" i="123"/>
  <c r="AH1414" i="123"/>
  <c r="AF1498" i="123"/>
  <c r="AF1506" i="123"/>
  <c r="AG1506" i="123" s="1"/>
  <c r="AE1493" i="123"/>
  <c r="AI1488" i="123"/>
  <c r="AF1594" i="123"/>
  <c r="AI1594" i="123" s="1"/>
  <c r="AH1725" i="123"/>
  <c r="AE1488" i="123"/>
  <c r="AI71" i="123"/>
  <c r="AE25" i="123"/>
  <c r="AG32" i="123"/>
  <c r="AG71" i="123"/>
  <c r="AJ71" i="123" s="1"/>
  <c r="AG156" i="123"/>
  <c r="AG313" i="123"/>
  <c r="AG250" i="123"/>
  <c r="AG266" i="123"/>
  <c r="AE313" i="123"/>
  <c r="AG451" i="123"/>
  <c r="AH435" i="123"/>
  <c r="AG515" i="123"/>
  <c r="AI25" i="123"/>
  <c r="AG72" i="123"/>
  <c r="AG132" i="123"/>
  <c r="AG183" i="123"/>
  <c r="AG270" i="123"/>
  <c r="AE250" i="123"/>
  <c r="AE266" i="123"/>
  <c r="AG367" i="123"/>
  <c r="AG394" i="123"/>
  <c r="AG527" i="123"/>
  <c r="AH492" i="123"/>
  <c r="AI724" i="123"/>
  <c r="AF995" i="123"/>
  <c r="AH995" i="123" s="1"/>
  <c r="AI675" i="123"/>
  <c r="AI905" i="123"/>
  <c r="AI1061" i="123"/>
  <c r="AI1069" i="123"/>
  <c r="AI1121" i="123"/>
  <c r="AI1189" i="123"/>
  <c r="AI1197" i="123"/>
  <c r="AE1061" i="123"/>
  <c r="AE1109" i="123"/>
  <c r="AE1189" i="123"/>
  <c r="AE1121" i="123"/>
  <c r="AE1137" i="123"/>
  <c r="AE1197" i="123"/>
  <c r="AI1393" i="123"/>
  <c r="AF1410" i="123"/>
  <c r="AG1410" i="123" s="1"/>
  <c r="AH1440" i="123"/>
  <c r="AI1515" i="123"/>
  <c r="AI1823" i="123"/>
  <c r="AE978" i="123"/>
  <c r="AE1999" i="123"/>
  <c r="AF1637" i="123"/>
  <c r="AH1637" i="123" s="1"/>
  <c r="AE1637" i="123"/>
  <c r="AF1704" i="123"/>
  <c r="AI1704" i="123" s="1"/>
  <c r="AE1704" i="123"/>
  <c r="AF1762" i="123"/>
  <c r="AH1762" i="123" s="1"/>
  <c r="AE1762" i="123"/>
  <c r="AI1580" i="123"/>
  <c r="AG1580" i="123"/>
  <c r="AH1580" i="123"/>
  <c r="AE1714" i="123"/>
  <c r="AF1714" i="123"/>
  <c r="AI1714" i="123" s="1"/>
  <c r="AG1770" i="123"/>
  <c r="AH1770" i="123"/>
  <c r="AF1220" i="123"/>
  <c r="AG1220" i="123" s="1"/>
  <c r="AE1220" i="123"/>
  <c r="AF1289" i="123"/>
  <c r="AG1289" i="123" s="1"/>
  <c r="AE1289" i="123"/>
  <c r="AF1296" i="123"/>
  <c r="AG1296" i="123" s="1"/>
  <c r="AE1296" i="123"/>
  <c r="AF1313" i="123"/>
  <c r="AH1313" i="123" s="1"/>
  <c r="AE1313" i="123"/>
  <c r="AH1320" i="123"/>
  <c r="AG1320" i="123"/>
  <c r="AE1325" i="123"/>
  <c r="AF1325" i="123"/>
  <c r="AH1325" i="123" s="1"/>
  <c r="AE1330" i="123"/>
  <c r="AF1330" i="123"/>
  <c r="AI1330" i="123" s="1"/>
  <c r="AH1376" i="123"/>
  <c r="AI1376" i="123"/>
  <c r="AE1379" i="123"/>
  <c r="AF1379" i="123"/>
  <c r="AG1379" i="123" s="1"/>
  <c r="AF1400" i="123"/>
  <c r="AE1400" i="123"/>
  <c r="AF1409" i="123"/>
  <c r="AG1409" i="123" s="1"/>
  <c r="AE1409" i="123"/>
  <c r="AF1424" i="123"/>
  <c r="AE1424" i="123"/>
  <c r="AH1429" i="123"/>
  <c r="AG1429" i="123"/>
  <c r="AF1431" i="123"/>
  <c r="AE1431" i="123"/>
  <c r="AF1465" i="123"/>
  <c r="AG1465" i="123" s="1"/>
  <c r="AE1465" i="123"/>
  <c r="AF1477" i="123"/>
  <c r="AG1477" i="123" s="1"/>
  <c r="AE1477" i="123"/>
  <c r="AG1398" i="123"/>
  <c r="AH1398" i="123"/>
  <c r="AE1494" i="123"/>
  <c r="AF1494" i="123"/>
  <c r="AI1494" i="123" s="1"/>
  <c r="AH1496" i="123"/>
  <c r="AI1496" i="123"/>
  <c r="AF1706" i="123"/>
  <c r="AH1706" i="123" s="1"/>
  <c r="AE1706" i="123"/>
  <c r="AF1240" i="123"/>
  <c r="AF519" i="123"/>
  <c r="AG519" i="123" s="1"/>
  <c r="AE519" i="123"/>
  <c r="AF539" i="123"/>
  <c r="AG539" i="123" s="1"/>
  <c r="AE539" i="123"/>
  <c r="AE297" i="123"/>
  <c r="AF491" i="123"/>
  <c r="AG491" i="123" s="1"/>
  <c r="AE491" i="123"/>
  <c r="AF334" i="123"/>
  <c r="AG334" i="123" s="1"/>
  <c r="AE334" i="123"/>
  <c r="AF475" i="123"/>
  <c r="AG475" i="123" s="1"/>
  <c r="AE475" i="123"/>
  <c r="AE483" i="123"/>
  <c r="AF608" i="123"/>
  <c r="AG608" i="123" s="1"/>
  <c r="AE608" i="123"/>
  <c r="AF680" i="123"/>
  <c r="AE680" i="123"/>
  <c r="AF716" i="123"/>
  <c r="AE716" i="123"/>
  <c r="AF727" i="123"/>
  <c r="AH727" i="123" s="1"/>
  <c r="AE727" i="123"/>
  <c r="AF779" i="123"/>
  <c r="AE779" i="123"/>
  <c r="AF832" i="123"/>
  <c r="AH832" i="123" s="1"/>
  <c r="AE832" i="123"/>
  <c r="AI930" i="123"/>
  <c r="AG930" i="123"/>
  <c r="AF994" i="123"/>
  <c r="AE994" i="123"/>
  <c r="AF1045" i="123"/>
  <c r="AG1045" i="123" s="1"/>
  <c r="AE1045" i="123"/>
  <c r="AF907" i="123"/>
  <c r="AG907" i="123" s="1"/>
  <c r="AE907" i="123"/>
  <c r="AF919" i="123"/>
  <c r="AG919" i="123" s="1"/>
  <c r="AE919" i="123"/>
  <c r="AF1100" i="123"/>
  <c r="AI1100" i="123" s="1"/>
  <c r="AE1100" i="123"/>
  <c r="AI943" i="123"/>
  <c r="AG943" i="123"/>
  <c r="AF1125" i="123"/>
  <c r="AI1125" i="123" s="1"/>
  <c r="AE1125" i="123"/>
  <c r="AF1309" i="123"/>
  <c r="AH1309" i="123" s="1"/>
  <c r="AE1309" i="123"/>
  <c r="AI1320" i="123"/>
  <c r="AE1366" i="123"/>
  <c r="AE547" i="123"/>
  <c r="AI1004" i="123"/>
  <c r="AI1398" i="123"/>
  <c r="AI1770" i="123"/>
  <c r="AI1053" i="123"/>
  <c r="AF1574" i="123"/>
  <c r="AH1574" i="123" s="1"/>
  <c r="AI1800" i="123"/>
  <c r="AI1999" i="123"/>
  <c r="AI1942" i="123"/>
  <c r="AI1997" i="123"/>
  <c r="AG322" i="123"/>
  <c r="AH359" i="123"/>
  <c r="AF1923" i="123"/>
  <c r="AH1923" i="123" s="1"/>
  <c r="AF1971" i="123"/>
  <c r="AG1971" i="123" s="1"/>
  <c r="AE523" i="123"/>
  <c r="AE708" i="123"/>
  <c r="AE440" i="123"/>
  <c r="AE1942" i="123"/>
  <c r="AI1373" i="123"/>
  <c r="AH1373" i="123"/>
  <c r="AG1373" i="123"/>
  <c r="AI879" i="123"/>
  <c r="AI1717" i="123"/>
  <c r="AF1453" i="123"/>
  <c r="AH1407" i="123"/>
  <c r="AI1447" i="123"/>
  <c r="AI1701" i="123"/>
  <c r="AE431" i="123"/>
  <c r="AE1312" i="123"/>
  <c r="AE1655" i="123"/>
  <c r="AG1407" i="123"/>
  <c r="AH1447" i="123"/>
  <c r="AE1772" i="123"/>
  <c r="AI579" i="123"/>
  <c r="AE527" i="123"/>
  <c r="AE1273" i="123"/>
  <c r="AF185" i="123"/>
  <c r="AG185" i="123" s="1"/>
  <c r="AE315" i="123"/>
  <c r="AI595" i="123"/>
  <c r="AI659" i="123"/>
  <c r="AI1200" i="123"/>
  <c r="AI1318" i="123"/>
  <c r="AF719" i="123"/>
  <c r="AG719" i="123" s="1"/>
  <c r="AE740" i="123"/>
  <c r="AE36" i="123"/>
  <c r="AI783" i="123"/>
  <c r="AE1002" i="123"/>
  <c r="AI1184" i="123"/>
  <c r="AG1318" i="123"/>
  <c r="AE1563" i="123"/>
  <c r="AE1579" i="123"/>
  <c r="AE451" i="123"/>
  <c r="AE314" i="123"/>
  <c r="AE439" i="123"/>
  <c r="AE507" i="123"/>
  <c r="AH1546" i="123"/>
  <c r="AE908" i="123"/>
  <c r="AE1236" i="123"/>
  <c r="AE744" i="123"/>
  <c r="AI643" i="123"/>
  <c r="AE683" i="123"/>
  <c r="AG1546" i="123"/>
  <c r="AE260" i="123"/>
  <c r="AE892" i="123"/>
  <c r="AF1480" i="123"/>
  <c r="AI1480" i="123" s="1"/>
  <c r="AE1523" i="123"/>
  <c r="AE213" i="123"/>
  <c r="AE396" i="123"/>
  <c r="AE111" i="123"/>
  <c r="AI1252" i="123"/>
  <c r="AH1402" i="123"/>
  <c r="AE1281" i="123"/>
  <c r="AE1297" i="123"/>
  <c r="AF1333" i="123"/>
  <c r="AI1333" i="123" s="1"/>
  <c r="AE1511" i="123"/>
  <c r="AE21" i="123"/>
  <c r="AE131" i="123"/>
  <c r="AE92" i="123"/>
  <c r="AE162" i="123"/>
  <c r="AE384" i="123"/>
  <c r="AE434" i="123"/>
  <c r="AE1315" i="123"/>
  <c r="AE592" i="123"/>
  <c r="AE1515" i="123"/>
  <c r="AI1315" i="123"/>
  <c r="AE1244" i="123"/>
  <c r="AE1681" i="123"/>
  <c r="AE151" i="123"/>
  <c r="AE1454" i="123"/>
  <c r="AE1352" i="123"/>
  <c r="AE1414" i="123"/>
  <c r="AE1443" i="123"/>
  <c r="U335" i="123"/>
  <c r="V335" i="123"/>
  <c r="W335" i="123" s="1"/>
  <c r="AI607" i="123"/>
  <c r="AG607" i="123"/>
  <c r="AH1332" i="123"/>
  <c r="AG1332" i="123"/>
  <c r="AI1332" i="123"/>
  <c r="AG1499" i="123"/>
  <c r="AI1499" i="123"/>
  <c r="AH1499" i="123"/>
  <c r="AG1507" i="123"/>
  <c r="AI1507" i="123"/>
  <c r="AH1507" i="123"/>
  <c r="AG1544" i="123"/>
  <c r="AH1544" i="123"/>
  <c r="AI1544" i="123"/>
  <c r="AI1973" i="123"/>
  <c r="AG1973" i="123"/>
  <c r="V180" i="123"/>
  <c r="W180" i="123" s="1"/>
  <c r="U180" i="123"/>
  <c r="U230" i="123"/>
  <c r="AG230" i="123"/>
  <c r="V230" i="123"/>
  <c r="AI230" i="123" s="1"/>
  <c r="AG193" i="123"/>
  <c r="U193" i="123"/>
  <c r="V193" i="123"/>
  <c r="V307" i="123"/>
  <c r="AI307" i="123" s="1"/>
  <c r="AG307" i="123"/>
  <c r="U307" i="123"/>
  <c r="U280" i="123"/>
  <c r="V280" i="123"/>
  <c r="AI280" i="123" s="1"/>
  <c r="AG280" i="123"/>
  <c r="AG1536" i="123"/>
  <c r="AH1536" i="123"/>
  <c r="AI1536" i="123"/>
  <c r="AI1812" i="123"/>
  <c r="AG1812" i="123"/>
  <c r="AH1812" i="123"/>
  <c r="AI1870" i="123"/>
  <c r="AH1870" i="123"/>
  <c r="AG1870" i="123"/>
  <c r="AI1885" i="123"/>
  <c r="AG1885" i="123"/>
  <c r="AI1893" i="123"/>
  <c r="AG1893" i="123"/>
  <c r="AI1901" i="123"/>
  <c r="AG1901" i="123"/>
  <c r="AI1909" i="123"/>
  <c r="AG1909" i="123"/>
  <c r="AI1917" i="123"/>
  <c r="AG1917" i="123"/>
  <c r="AI1937" i="123"/>
  <c r="AG1937" i="123"/>
  <c r="AI1969" i="123"/>
  <c r="AG1969" i="123"/>
  <c r="AI1957" i="123"/>
  <c r="AG1957" i="123"/>
  <c r="V122" i="123"/>
  <c r="W122" i="123" s="1"/>
  <c r="U122" i="123"/>
  <c r="U295" i="123"/>
  <c r="V295" i="123"/>
  <c r="W295" i="123" s="1"/>
  <c r="V209" i="123"/>
  <c r="U209" i="123"/>
  <c r="AG1365" i="123"/>
  <c r="AH1365" i="123"/>
  <c r="AG1375" i="123"/>
  <c r="AI1375" i="123"/>
  <c r="AH1375" i="123"/>
  <c r="AG1432" i="123"/>
  <c r="AI1432" i="123"/>
  <c r="AH1432" i="123"/>
  <c r="AG1449" i="123"/>
  <c r="AH1449" i="123"/>
  <c r="AG1500" i="123"/>
  <c r="AH1500" i="123"/>
  <c r="AI1500" i="123"/>
  <c r="AH1547" i="123"/>
  <c r="AG1547" i="123"/>
  <c r="AI1547" i="123"/>
  <c r="AH1773" i="123"/>
  <c r="AI1773" i="123"/>
  <c r="AG1773" i="123"/>
  <c r="V95" i="123"/>
  <c r="W95" i="123" s="1"/>
  <c r="U95" i="123"/>
  <c r="U541" i="123"/>
  <c r="V541" i="123"/>
  <c r="W541" i="123" s="1"/>
  <c r="U476" i="123"/>
  <c r="V476" i="123"/>
  <c r="W476" i="123" s="1"/>
  <c r="AG1503" i="123"/>
  <c r="AH1503" i="123"/>
  <c r="AI1503" i="123"/>
  <c r="AI1697" i="123"/>
  <c r="AG1697" i="123"/>
  <c r="AH1691" i="123"/>
  <c r="AG1691" i="123"/>
  <c r="AI1691" i="123"/>
  <c r="AI1881" i="123"/>
  <c r="AG1881" i="123"/>
  <c r="AI1889" i="123"/>
  <c r="AG1889" i="123"/>
  <c r="AI1897" i="123"/>
  <c r="AG1897" i="123"/>
  <c r="AI1905" i="123"/>
  <c r="AG1905" i="123"/>
  <c r="AI1913" i="123"/>
  <c r="AG1913" i="123"/>
  <c r="AI1921" i="123"/>
  <c r="AG1921" i="123"/>
  <c r="AG1953" i="123"/>
  <c r="AI1953" i="123"/>
  <c r="AG1985" i="123"/>
  <c r="AI1985" i="123"/>
  <c r="AI1989" i="123"/>
  <c r="AG1989" i="123"/>
  <c r="AE510" i="123"/>
  <c r="AE454" i="123"/>
  <c r="AE469" i="123"/>
  <c r="AI679" i="123"/>
  <c r="AI699" i="123"/>
  <c r="AE1636" i="123"/>
  <c r="AH1745" i="123"/>
  <c r="AE1809" i="123"/>
  <c r="AH1780" i="123"/>
  <c r="AH1823" i="123"/>
  <c r="AH1926" i="123"/>
  <c r="AE22" i="123"/>
  <c r="AE179" i="123"/>
  <c r="AE394" i="123"/>
  <c r="AE159" i="123"/>
  <c r="AE651" i="123"/>
  <c r="AE743" i="123"/>
  <c r="AG836" i="123"/>
  <c r="AH836" i="123"/>
  <c r="AE911" i="123"/>
  <c r="AE1177" i="123"/>
  <c r="AE1229" i="123"/>
  <c r="AE1353" i="123"/>
  <c r="AE1393" i="123"/>
  <c r="AE1492" i="123"/>
  <c r="AE1702" i="123"/>
  <c r="AF1702" i="123"/>
  <c r="AE1776" i="123"/>
  <c r="AF1776" i="123"/>
  <c r="AE1519" i="123"/>
  <c r="AE1550" i="123"/>
  <c r="AF1550" i="123"/>
  <c r="AE1496" i="123"/>
  <c r="AE1551" i="123"/>
  <c r="AI435" i="123"/>
  <c r="AI603" i="123"/>
  <c r="AH768" i="123"/>
  <c r="AI903" i="123"/>
  <c r="AH1173" i="123"/>
  <c r="AH1257" i="123"/>
  <c r="AI1365" i="123"/>
  <c r="AH1433" i="123"/>
  <c r="AE1603" i="123"/>
  <c r="AH1883" i="123"/>
  <c r="AH1891" i="123"/>
  <c r="AH1899" i="123"/>
  <c r="AH1907" i="123"/>
  <c r="AH1915" i="123"/>
  <c r="AH1958" i="123"/>
  <c r="AE60" i="123"/>
  <c r="AF60" i="123"/>
  <c r="AG60" i="123" s="1"/>
  <c r="AE32" i="123"/>
  <c r="AE360" i="123"/>
  <c r="AE421" i="123"/>
  <c r="AE362" i="123"/>
  <c r="AF687" i="123"/>
  <c r="AH687" i="123" s="1"/>
  <c r="AE687" i="123"/>
  <c r="AE735" i="123"/>
  <c r="AE732" i="123"/>
  <c r="AE843" i="123"/>
  <c r="AF1495" i="123"/>
  <c r="AE1516" i="123"/>
  <c r="AE1580" i="123"/>
  <c r="AH1552" i="123"/>
  <c r="AI22" i="123"/>
  <c r="AI59" i="123"/>
  <c r="AE208" i="123"/>
  <c r="AE243" i="123"/>
  <c r="W439" i="123"/>
  <c r="AH439" i="123" s="1"/>
  <c r="AF489" i="123"/>
  <c r="AG489" i="123" s="1"/>
  <c r="AF505" i="123"/>
  <c r="AG505" i="123" s="1"/>
  <c r="AF521" i="123"/>
  <c r="AG521" i="123" s="1"/>
  <c r="AI492" i="123"/>
  <c r="AH692" i="123"/>
  <c r="AH795" i="123"/>
  <c r="AE818" i="123"/>
  <c r="AH935" i="123"/>
  <c r="AH978" i="123"/>
  <c r="AH1008" i="123"/>
  <c r="AH1012" i="123"/>
  <c r="AH1077" i="123"/>
  <c r="AH1109" i="123"/>
  <c r="AH1141" i="123"/>
  <c r="AI1208" i="123"/>
  <c r="AH1221" i="123"/>
  <c r="AH1281" i="123"/>
  <c r="AH1293" i="123"/>
  <c r="AH1307" i="123"/>
  <c r="AH1315" i="123"/>
  <c r="AH1393" i="123"/>
  <c r="AH1617" i="123"/>
  <c r="AH1772" i="123"/>
  <c r="AH1962" i="123"/>
  <c r="V213" i="123"/>
  <c r="W213" i="123" s="1"/>
  <c r="AH213" i="123" s="1"/>
  <c r="U213" i="123"/>
  <c r="AE615" i="123"/>
  <c r="AE711" i="123"/>
  <c r="AE739" i="123"/>
  <c r="AE1241" i="123"/>
  <c r="AE1320" i="123"/>
  <c r="AE1376" i="123"/>
  <c r="AE1429" i="123"/>
  <c r="AE1476" i="123"/>
  <c r="AG1557" i="123"/>
  <c r="AI1557" i="123"/>
  <c r="AE1581" i="123"/>
  <c r="AE1639" i="123"/>
  <c r="AE95" i="123"/>
  <c r="AH612" i="123"/>
  <c r="AH700" i="123"/>
  <c r="AI703" i="123"/>
  <c r="AH1311" i="123"/>
  <c r="AI1256" i="123"/>
  <c r="AH1385" i="123"/>
  <c r="AI1449" i="123"/>
  <c r="AH1597" i="123"/>
  <c r="AE724" i="123"/>
  <c r="AE1413" i="123"/>
  <c r="AF1413" i="123"/>
  <c r="AE1508" i="123"/>
  <c r="AH1693" i="123"/>
  <c r="AI1693" i="123"/>
  <c r="AE1585" i="123"/>
  <c r="AI775" i="123"/>
  <c r="AE822" i="123"/>
  <c r="AH1308" i="123"/>
  <c r="AE1595" i="123"/>
  <c r="AE1873" i="123"/>
  <c r="AE1869" i="123"/>
  <c r="AE40" i="123"/>
  <c r="AE192" i="123"/>
  <c r="AE311" i="123"/>
  <c r="AE830" i="123"/>
  <c r="AE834" i="123"/>
  <c r="AE1583" i="123"/>
  <c r="AE1587" i="123"/>
  <c r="AE1645" i="123"/>
  <c r="AE122" i="123"/>
  <c r="AE172" i="123"/>
  <c r="AE218" i="123"/>
  <c r="AE216" i="123"/>
  <c r="AE295" i="123"/>
  <c r="AE291" i="123"/>
  <c r="AE343" i="123"/>
  <c r="AE393" i="123"/>
  <c r="AE409" i="123"/>
  <c r="AE392" i="123"/>
  <c r="AE438" i="123"/>
  <c r="AE450" i="123"/>
  <c r="AE410" i="123"/>
  <c r="AE493" i="123"/>
  <c r="AE481" i="123"/>
  <c r="AE506" i="123"/>
  <c r="AE529" i="123"/>
  <c r="AE470" i="123"/>
  <c r="AI1216" i="123"/>
  <c r="AI1232" i="123"/>
  <c r="AI1236" i="123"/>
  <c r="AE1307" i="123"/>
  <c r="AI1311" i="123"/>
  <c r="AE1624" i="123"/>
  <c r="AE1661" i="123"/>
  <c r="AE1760" i="123"/>
  <c r="AE135" i="123"/>
  <c r="AE180" i="123"/>
  <c r="AE259" i="123"/>
  <c r="AE826" i="123"/>
  <c r="AE1311" i="123"/>
  <c r="AE24" i="123"/>
  <c r="AE48" i="123"/>
  <c r="AE103" i="123"/>
  <c r="AE210" i="123"/>
  <c r="AE170" i="123"/>
  <c r="AE251" i="123"/>
  <c r="AE422" i="123"/>
  <c r="AE522" i="123"/>
  <c r="AE1303" i="123"/>
  <c r="AI1307" i="123"/>
  <c r="AE1793" i="123"/>
  <c r="AG213" i="123"/>
  <c r="AI8" i="123"/>
  <c r="AE11" i="123"/>
  <c r="AE47" i="123"/>
  <c r="W55" i="123"/>
  <c r="AH55" i="123" s="1"/>
  <c r="AE42" i="123"/>
  <c r="AE52" i="123"/>
  <c r="AG1066" i="123"/>
  <c r="AH1066" i="123"/>
  <c r="AI1066" i="123"/>
  <c r="AG1082" i="123"/>
  <c r="AH1082" i="123"/>
  <c r="AI1082" i="123"/>
  <c r="AG1098" i="123"/>
  <c r="AH1098" i="123"/>
  <c r="AI1098" i="123"/>
  <c r="AG1114" i="123"/>
  <c r="AH1114" i="123"/>
  <c r="AI1114" i="123"/>
  <c r="AG1130" i="123"/>
  <c r="AH1130" i="123"/>
  <c r="AI1130" i="123"/>
  <c r="AG1146" i="123"/>
  <c r="AH1146" i="123"/>
  <c r="AI1146" i="123"/>
  <c r="AG1162" i="123"/>
  <c r="AH1162" i="123"/>
  <c r="AI1162" i="123"/>
  <c r="AI1166" i="123"/>
  <c r="AG1166" i="123"/>
  <c r="AH1166" i="123"/>
  <c r="AH1170" i="123"/>
  <c r="AI1170" i="123"/>
  <c r="AG1170" i="123"/>
  <c r="AH1174" i="123"/>
  <c r="AI1174" i="123"/>
  <c r="AG1174" i="123"/>
  <c r="AG1178" i="123"/>
  <c r="AH1178" i="123"/>
  <c r="AI1178" i="123"/>
  <c r="AI1182" i="123"/>
  <c r="AG1182" i="123"/>
  <c r="AH1182" i="123"/>
  <c r="AH1186" i="123"/>
  <c r="AI1186" i="123"/>
  <c r="AG1186" i="123"/>
  <c r="AH1190" i="123"/>
  <c r="AI1190" i="123"/>
  <c r="AG1190" i="123"/>
  <c r="AH1206" i="123"/>
  <c r="AI1206" i="123"/>
  <c r="AG1206" i="123"/>
  <c r="AH1222" i="123"/>
  <c r="AI1222" i="123"/>
  <c r="AG1222" i="123"/>
  <c r="AI1612" i="123"/>
  <c r="AG1612" i="123"/>
  <c r="AH1612" i="123"/>
  <c r="AH1627" i="123"/>
  <c r="AI1627" i="123"/>
  <c r="AG1627" i="123"/>
  <c r="AH1684" i="123"/>
  <c r="AI1684" i="123"/>
  <c r="AG1684" i="123"/>
  <c r="AH1715" i="123"/>
  <c r="AI1715" i="123"/>
  <c r="AG1715" i="123"/>
  <c r="AH1731" i="123"/>
  <c r="AI1731" i="123"/>
  <c r="AG1731" i="123"/>
  <c r="AH1747" i="123"/>
  <c r="AI1747" i="123"/>
  <c r="AG1747" i="123"/>
  <c r="AH1878" i="123"/>
  <c r="AG1878" i="123"/>
  <c r="AI1878" i="123"/>
  <c r="AH1874" i="123"/>
  <c r="AI1874" i="123"/>
  <c r="AG1874" i="123"/>
  <c r="AF174" i="123"/>
  <c r="AG174" i="123" s="1"/>
  <c r="AE174" i="123"/>
  <c r="AF233" i="123"/>
  <c r="AG233" i="123" s="1"/>
  <c r="AE233" i="123"/>
  <c r="AG1017" i="123"/>
  <c r="AI1017" i="123"/>
  <c r="AH1017" i="123"/>
  <c r="AH1062" i="123"/>
  <c r="AI1062" i="123"/>
  <c r="AG1062" i="123"/>
  <c r="AH1078" i="123"/>
  <c r="AI1078" i="123"/>
  <c r="AG1078" i="123"/>
  <c r="AH1094" i="123"/>
  <c r="AI1094" i="123"/>
  <c r="AG1094" i="123"/>
  <c r="AH1126" i="123"/>
  <c r="AI1126" i="123"/>
  <c r="AG1126" i="123"/>
  <c r="AH1142" i="123"/>
  <c r="AI1142" i="123"/>
  <c r="AG1142" i="123"/>
  <c r="AH1158" i="123"/>
  <c r="AI1158" i="123"/>
  <c r="AG1158" i="123"/>
  <c r="AH1202" i="123"/>
  <c r="AI1202" i="123"/>
  <c r="AG1202" i="123"/>
  <c r="AH1218" i="123"/>
  <c r="AI1218" i="123"/>
  <c r="AG1218" i="123"/>
  <c r="AG1314" i="123"/>
  <c r="AI1314" i="123"/>
  <c r="AH1314" i="123"/>
  <c r="AH1598" i="123"/>
  <c r="AI1598" i="123"/>
  <c r="AG1598" i="123"/>
  <c r="AH1606" i="123"/>
  <c r="AI1606" i="123"/>
  <c r="AG1606" i="123"/>
  <c r="AH1615" i="123"/>
  <c r="AI1615" i="123"/>
  <c r="AG1615" i="123"/>
  <c r="AH1688" i="123"/>
  <c r="AI1688" i="123"/>
  <c r="AG1688" i="123"/>
  <c r="AH1711" i="123"/>
  <c r="AI1711" i="123"/>
  <c r="AG1711" i="123"/>
  <c r="AH1727" i="123"/>
  <c r="AI1727" i="123"/>
  <c r="AG1727" i="123"/>
  <c r="AH1743" i="123"/>
  <c r="AI1743" i="123"/>
  <c r="AG1743" i="123"/>
  <c r="AH1644" i="123"/>
  <c r="AI1644" i="123"/>
  <c r="AG1644" i="123"/>
  <c r="AH1763" i="123"/>
  <c r="AI1763" i="123"/>
  <c r="AG1763" i="123"/>
  <c r="AG1828" i="123"/>
  <c r="AH1828" i="123"/>
  <c r="AI1828" i="123"/>
  <c r="AG1935" i="123"/>
  <c r="AH1935" i="123"/>
  <c r="AI1935" i="123"/>
  <c r="AG1951" i="123"/>
  <c r="AH1951" i="123"/>
  <c r="AI1951" i="123"/>
  <c r="AG1967" i="123"/>
  <c r="AH1967" i="123"/>
  <c r="AI1967" i="123"/>
  <c r="AG1983" i="123"/>
  <c r="AH1983" i="123"/>
  <c r="AI1983" i="123"/>
  <c r="AE44" i="123"/>
  <c r="AE168" i="123"/>
  <c r="AI173" i="123"/>
  <c r="W155" i="123"/>
  <c r="X155" i="123" s="1"/>
  <c r="AF239" i="123"/>
  <c r="AG239" i="123" s="1"/>
  <c r="AE239" i="123"/>
  <c r="AF255" i="123"/>
  <c r="AG255" i="123" s="1"/>
  <c r="AE255" i="123"/>
  <c r="AF271" i="123"/>
  <c r="AG271" i="123" s="1"/>
  <c r="AE271" i="123"/>
  <c r="AH1022" i="123"/>
  <c r="AI1022" i="123"/>
  <c r="AG1022" i="123"/>
  <c r="AH1034" i="123"/>
  <c r="AI1034" i="123"/>
  <c r="AG1034" i="123"/>
  <c r="AI1038" i="123"/>
  <c r="AG1038" i="123"/>
  <c r="AH1038" i="123"/>
  <c r="AG1042" i="123"/>
  <c r="AH1042" i="123"/>
  <c r="AI1042" i="123"/>
  <c r="AH1046" i="123"/>
  <c r="AI1046" i="123"/>
  <c r="AG1046" i="123"/>
  <c r="AH1050" i="123"/>
  <c r="AI1050" i="123"/>
  <c r="AG1050" i="123"/>
  <c r="AI1054" i="123"/>
  <c r="AG1054" i="123"/>
  <c r="AH1054" i="123"/>
  <c r="AG1058" i="123"/>
  <c r="AH1058" i="123"/>
  <c r="AI1058" i="123"/>
  <c r="AH1074" i="123"/>
  <c r="AI1074" i="123"/>
  <c r="AG1074" i="123"/>
  <c r="AH1090" i="123"/>
  <c r="AI1090" i="123"/>
  <c r="AG1090" i="123"/>
  <c r="AH1122" i="123"/>
  <c r="AI1122" i="123"/>
  <c r="AG1122" i="123"/>
  <c r="AH1154" i="123"/>
  <c r="AI1154" i="123"/>
  <c r="AG1154" i="123"/>
  <c r="AI1198" i="123"/>
  <c r="AG1198" i="123"/>
  <c r="AH1198" i="123"/>
  <c r="AI1214" i="123"/>
  <c r="AG1214" i="123"/>
  <c r="AH1214" i="123"/>
  <c r="AI1230" i="123"/>
  <c r="AG1230" i="123"/>
  <c r="AH1230" i="123"/>
  <c r="AH1234" i="123"/>
  <c r="AI1234" i="123"/>
  <c r="AG1234" i="123"/>
  <c r="AH1238" i="123"/>
  <c r="AI1238" i="123"/>
  <c r="AG1238" i="123"/>
  <c r="AG1242" i="123"/>
  <c r="AH1242" i="123"/>
  <c r="AI1242" i="123"/>
  <c r="AI1246" i="123"/>
  <c r="AG1246" i="123"/>
  <c r="AH1246" i="123"/>
  <c r="AH1250" i="123"/>
  <c r="AI1250" i="123"/>
  <c r="AG1250" i="123"/>
  <c r="AH1254" i="123"/>
  <c r="AI1254" i="123"/>
  <c r="AG1254" i="123"/>
  <c r="AG1258" i="123"/>
  <c r="AH1258" i="123"/>
  <c r="AI1258" i="123"/>
  <c r="AI1262" i="123"/>
  <c r="AG1262" i="123"/>
  <c r="AH1262" i="123"/>
  <c r="AH1266" i="123"/>
  <c r="AI1266" i="123"/>
  <c r="AG1266" i="123"/>
  <c r="AH1270" i="123"/>
  <c r="AI1270" i="123"/>
  <c r="AG1270" i="123"/>
  <c r="AG1274" i="123"/>
  <c r="AH1274" i="123"/>
  <c r="AI1274" i="123"/>
  <c r="AH1278" i="123"/>
  <c r="AI1278" i="123"/>
  <c r="AG1278" i="123"/>
  <c r="AG1282" i="123"/>
  <c r="AH1282" i="123"/>
  <c r="AI1282" i="123"/>
  <c r="AI1286" i="123"/>
  <c r="AG1286" i="123"/>
  <c r="AH1286" i="123"/>
  <c r="AH1290" i="123"/>
  <c r="AI1290" i="123"/>
  <c r="AG1290" i="123"/>
  <c r="AH1294" i="123"/>
  <c r="AI1294" i="123"/>
  <c r="AG1294" i="123"/>
  <c r="AG1298" i="123"/>
  <c r="AH1298" i="123"/>
  <c r="AI1298" i="123"/>
  <c r="AI1302" i="123"/>
  <c r="AG1302" i="123"/>
  <c r="AH1302" i="123"/>
  <c r="AI1005" i="123"/>
  <c r="AH1005" i="123"/>
  <c r="AG1005" i="123"/>
  <c r="AG1310" i="123"/>
  <c r="AI1310" i="123"/>
  <c r="AH1310" i="123"/>
  <c r="AH1614" i="123"/>
  <c r="AI1614" i="123"/>
  <c r="AG1614" i="123"/>
  <c r="AH1631" i="123"/>
  <c r="AI1631" i="123"/>
  <c r="AG1631" i="123"/>
  <c r="AH1668" i="123"/>
  <c r="AI1668" i="123"/>
  <c r="AG1668" i="123"/>
  <c r="AH1676" i="123"/>
  <c r="AI1676" i="123"/>
  <c r="AG1676" i="123"/>
  <c r="AH1648" i="123"/>
  <c r="AI1648" i="123"/>
  <c r="AG1648" i="123"/>
  <c r="AH1707" i="123"/>
  <c r="AI1707" i="123"/>
  <c r="AG1707" i="123"/>
  <c r="AH1723" i="123"/>
  <c r="AI1723" i="123"/>
  <c r="AG1723" i="123"/>
  <c r="AH1739" i="123"/>
  <c r="AI1739" i="123"/>
  <c r="AG1739" i="123"/>
  <c r="AH1755" i="123"/>
  <c r="AI1755" i="123"/>
  <c r="AG1755" i="123"/>
  <c r="AH1660" i="123"/>
  <c r="AI1660" i="123"/>
  <c r="AG1660" i="123"/>
  <c r="AH1759" i="123"/>
  <c r="AI1759" i="123"/>
  <c r="AG1759" i="123"/>
  <c r="AG1840" i="123"/>
  <c r="AH1840" i="123"/>
  <c r="AI1840" i="123"/>
  <c r="AE7" i="123"/>
  <c r="AE15" i="123"/>
  <c r="AE34" i="123"/>
  <c r="AE30" i="123"/>
  <c r="AE38" i="123"/>
  <c r="AE56" i="123"/>
  <c r="AJ25" i="123"/>
  <c r="AE46" i="123"/>
  <c r="AJ63" i="123"/>
  <c r="AE166" i="123"/>
  <c r="W252" i="123"/>
  <c r="X252" i="123" s="1"/>
  <c r="AI1009" i="123"/>
  <c r="AH1009" i="123"/>
  <c r="AG1009" i="123"/>
  <c r="AI1070" i="123"/>
  <c r="AG1070" i="123"/>
  <c r="AH1070" i="123"/>
  <c r="AI1086" i="123"/>
  <c r="AG1086" i="123"/>
  <c r="AH1086" i="123"/>
  <c r="AI1102" i="123"/>
  <c r="AG1102" i="123"/>
  <c r="AH1102" i="123"/>
  <c r="AI1118" i="123"/>
  <c r="AG1118" i="123"/>
  <c r="AH1118" i="123"/>
  <c r="AI1134" i="123"/>
  <c r="AG1134" i="123"/>
  <c r="AH1134" i="123"/>
  <c r="AI1150" i="123"/>
  <c r="AG1150" i="123"/>
  <c r="AH1150" i="123"/>
  <c r="AG1194" i="123"/>
  <c r="AH1194" i="123"/>
  <c r="AI1194" i="123"/>
  <c r="AG1210" i="123"/>
  <c r="AH1210" i="123"/>
  <c r="AI1210" i="123"/>
  <c r="AG1226" i="123"/>
  <c r="AH1226" i="123"/>
  <c r="AI1226" i="123"/>
  <c r="AG1306" i="123"/>
  <c r="AI1306" i="123"/>
  <c r="AH1306" i="123"/>
  <c r="AH1602" i="123"/>
  <c r="AI1602" i="123"/>
  <c r="AG1602" i="123"/>
  <c r="AH1610" i="123"/>
  <c r="AI1610" i="123"/>
  <c r="AG1610" i="123"/>
  <c r="AH1619" i="123"/>
  <c r="AI1619" i="123"/>
  <c r="AG1619" i="123"/>
  <c r="AH1719" i="123"/>
  <c r="AI1719" i="123"/>
  <c r="AG1719" i="123"/>
  <c r="AH1735" i="123"/>
  <c r="AI1735" i="123"/>
  <c r="AG1735" i="123"/>
  <c r="AH1751" i="123"/>
  <c r="AI1751" i="123"/>
  <c r="AG1751" i="123"/>
  <c r="AH1767" i="123"/>
  <c r="AG1767" i="123"/>
  <c r="AI1767" i="123"/>
  <c r="AH1778" i="123"/>
  <c r="AI1778" i="123"/>
  <c r="AG1778" i="123"/>
  <c r="AG1820" i="123"/>
  <c r="AH1820" i="123"/>
  <c r="AI1820" i="123"/>
  <c r="AG1836" i="123"/>
  <c r="AH1836" i="123"/>
  <c r="AI1836" i="123"/>
  <c r="AG1852" i="123"/>
  <c r="AH1852" i="123"/>
  <c r="AI1852" i="123"/>
  <c r="AG1868" i="123"/>
  <c r="AH1868" i="123"/>
  <c r="AI1868" i="123"/>
  <c r="AG1947" i="123"/>
  <c r="AH1947" i="123"/>
  <c r="AI1947" i="123"/>
  <c r="AE108" i="123"/>
  <c r="AE112" i="123"/>
  <c r="AE146" i="123"/>
  <c r="AE158" i="123"/>
  <c r="AE196" i="123"/>
  <c r="AE184" i="123"/>
  <c r="AE204" i="123"/>
  <c r="AE283" i="123"/>
  <c r="AE228" i="123"/>
  <c r="AE247" i="123"/>
  <c r="AE235" i="123"/>
  <c r="AE299" i="123"/>
  <c r="AE351" i="123"/>
  <c r="AE339" i="123"/>
  <c r="AE324" i="123"/>
  <c r="AE347" i="123"/>
  <c r="AE373" i="123"/>
  <c r="AE389" i="123"/>
  <c r="AE442" i="123"/>
  <c r="AE381" i="123"/>
  <c r="AE406" i="123"/>
  <c r="AE372" i="123"/>
  <c r="AE377" i="123"/>
  <c r="AE430" i="123"/>
  <c r="AE446" i="123"/>
  <c r="AF501" i="123"/>
  <c r="AG501" i="123" s="1"/>
  <c r="AF517" i="123"/>
  <c r="AG517" i="123" s="1"/>
  <c r="AE382" i="123"/>
  <c r="AE397" i="123"/>
  <c r="AE405" i="123"/>
  <c r="AE489" i="123"/>
  <c r="AE502" i="123"/>
  <c r="AE545" i="123"/>
  <c r="AE490" i="123"/>
  <c r="AE497" i="123"/>
  <c r="AE514" i="123"/>
  <c r="AE526" i="123"/>
  <c r="AE541" i="123"/>
  <c r="AE457" i="123"/>
  <c r="AE566" i="123"/>
  <c r="AH580" i="123"/>
  <c r="AH583" i="123"/>
  <c r="AE598" i="123"/>
  <c r="AH615" i="123"/>
  <c r="AE630" i="123"/>
  <c r="AH644" i="123"/>
  <c r="AH647" i="123"/>
  <c r="AE662" i="123"/>
  <c r="AH679" i="123"/>
  <c r="AE694" i="123"/>
  <c r="AH708" i="123"/>
  <c r="AH711" i="123"/>
  <c r="AE726" i="123"/>
  <c r="AH751" i="123"/>
  <c r="AH755" i="123"/>
  <c r="AE602" i="123"/>
  <c r="AH635" i="123"/>
  <c r="AE666" i="123"/>
  <c r="AH699" i="123"/>
  <c r="AE730" i="123"/>
  <c r="AH771" i="123"/>
  <c r="AE774" i="123"/>
  <c r="AE790" i="123"/>
  <c r="AE806" i="123"/>
  <c r="AE554" i="123"/>
  <c r="AE574" i="123"/>
  <c r="AH607" i="123"/>
  <c r="AE638" i="123"/>
  <c r="AH671" i="123"/>
  <c r="AE702" i="123"/>
  <c r="AE738" i="123"/>
  <c r="AH740" i="123"/>
  <c r="AE746" i="123"/>
  <c r="AE578" i="123"/>
  <c r="AH611" i="123"/>
  <c r="AE642" i="123"/>
  <c r="AH672" i="123"/>
  <c r="AH675" i="123"/>
  <c r="AE706" i="123"/>
  <c r="AE778" i="123"/>
  <c r="AH866" i="123"/>
  <c r="AH894" i="123"/>
  <c r="AE940" i="123"/>
  <c r="AE948" i="123"/>
  <c r="AE952" i="123"/>
  <c r="AE956" i="123"/>
  <c r="AE960" i="123"/>
  <c r="AE964" i="123"/>
  <c r="AE968" i="123"/>
  <c r="AE972" i="123"/>
  <c r="AE976" i="123"/>
  <c r="AE838" i="123"/>
  <c r="AE864" i="123"/>
  <c r="AH898" i="123"/>
  <c r="AE937" i="123"/>
  <c r="AH950" i="123"/>
  <c r="AH966" i="123"/>
  <c r="AH820" i="123"/>
  <c r="AH862" i="123"/>
  <c r="AH890" i="123"/>
  <c r="AH903" i="123"/>
  <c r="AE949" i="123"/>
  <c r="AE957" i="123"/>
  <c r="AE965" i="123"/>
  <c r="AE973" i="123"/>
  <c r="AE852" i="123"/>
  <c r="AH938" i="123"/>
  <c r="AE988" i="123"/>
  <c r="AH1004" i="123"/>
  <c r="AH1097" i="123"/>
  <c r="AH1129" i="123"/>
  <c r="AH1145" i="123"/>
  <c r="AH1161" i="123"/>
  <c r="AH1177" i="123"/>
  <c r="AH1193" i="123"/>
  <c r="AH1209" i="123"/>
  <c r="AH1236" i="123"/>
  <c r="AH1252" i="123"/>
  <c r="AG1307" i="123"/>
  <c r="AG1311" i="123"/>
  <c r="AG1315" i="123"/>
  <c r="AE1056" i="123"/>
  <c r="AE1025" i="123"/>
  <c r="AE1039" i="123"/>
  <c r="AE1159" i="123"/>
  <c r="AE1243" i="123"/>
  <c r="AE1259" i="123"/>
  <c r="AI1316" i="123"/>
  <c r="AG1316" i="123"/>
  <c r="AH1316" i="123"/>
  <c r="AE1052" i="123"/>
  <c r="AE1175" i="123"/>
  <c r="AE1247" i="123"/>
  <c r="AE1195" i="123"/>
  <c r="AE1271" i="123"/>
  <c r="AE1275" i="123"/>
  <c r="AE1291" i="123"/>
  <c r="AI1322" i="123"/>
  <c r="AG1322" i="123"/>
  <c r="AH1322" i="123"/>
  <c r="AN1334" i="123"/>
  <c r="AH1334" i="123"/>
  <c r="AE1019" i="123"/>
  <c r="AE1035" i="123"/>
  <c r="AI1346" i="123"/>
  <c r="AG1346" i="123"/>
  <c r="AH1346" i="123"/>
  <c r="AE1287" i="123"/>
  <c r="AG1592" i="123"/>
  <c r="AH1592" i="123"/>
  <c r="AI1592" i="123"/>
  <c r="AG1509" i="123"/>
  <c r="AH1509" i="123"/>
  <c r="AI1509" i="123"/>
  <c r="AN1585" i="123"/>
  <c r="AG1473" i="123"/>
  <c r="AH1473" i="123"/>
  <c r="AI1473" i="123"/>
  <c r="AG1537" i="123"/>
  <c r="AH1537" i="123"/>
  <c r="AI1537" i="123"/>
  <c r="AN1554" i="123"/>
  <c r="AH1554" i="123"/>
  <c r="AG1563" i="123"/>
  <c r="AH1563" i="123"/>
  <c r="AI1563" i="123"/>
  <c r="AN1573" i="123"/>
  <c r="AH1573" i="123"/>
  <c r="AG1579" i="123"/>
  <c r="AH1579" i="123"/>
  <c r="AI1579" i="123"/>
  <c r="AN1589" i="123"/>
  <c r="AE1599" i="123"/>
  <c r="AG1583" i="123"/>
  <c r="AH1583" i="123"/>
  <c r="AI1583" i="123"/>
  <c r="AG1545" i="123"/>
  <c r="AH1545" i="123"/>
  <c r="AI1545" i="123"/>
  <c r="AE1571" i="123"/>
  <c r="AG1587" i="123"/>
  <c r="AH1587" i="123"/>
  <c r="AI1587" i="123"/>
  <c r="AF1595" i="123"/>
  <c r="AE1592" i="123"/>
  <c r="AG1624" i="123"/>
  <c r="AH1624" i="123"/>
  <c r="AI1624" i="123"/>
  <c r="AE1628" i="123"/>
  <c r="AG1636" i="123"/>
  <c r="AH1636" i="123"/>
  <c r="AI1636" i="123"/>
  <c r="AG1642" i="123"/>
  <c r="AH1642" i="123"/>
  <c r="AI1642" i="123"/>
  <c r="AE1657" i="123"/>
  <c r="AE1669" i="123"/>
  <c r="AE1677" i="123"/>
  <c r="AG1708" i="123"/>
  <c r="AH1708" i="123"/>
  <c r="AI1708" i="123"/>
  <c r="AG1724" i="123"/>
  <c r="AH1724" i="123"/>
  <c r="AI1724" i="123"/>
  <c r="AG1740" i="123"/>
  <c r="AH1740" i="123"/>
  <c r="AI1740" i="123"/>
  <c r="AG1756" i="123"/>
  <c r="AH1756" i="123"/>
  <c r="AI1756" i="123"/>
  <c r="AF1645" i="123"/>
  <c r="AE1649" i="123"/>
  <c r="AG1681" i="123"/>
  <c r="AH1681" i="123"/>
  <c r="AI1681" i="123"/>
  <c r="AE1685" i="123"/>
  <c r="AG1661" i="123"/>
  <c r="AH1661" i="123"/>
  <c r="AI1661" i="123"/>
  <c r="AH1659" i="123"/>
  <c r="AE1654" i="123"/>
  <c r="AI1774" i="123"/>
  <c r="AH1774" i="123"/>
  <c r="AG1774" i="123"/>
  <c r="AE1712" i="123"/>
  <c r="AE1728" i="123"/>
  <c r="AE1744" i="123"/>
  <c r="AG1760" i="123"/>
  <c r="AH1760" i="123"/>
  <c r="AI1760" i="123"/>
  <c r="AI1817" i="123"/>
  <c r="AG1817" i="123"/>
  <c r="AH1817" i="123"/>
  <c r="AI1833" i="123"/>
  <c r="AG1833" i="123"/>
  <c r="AH1833" i="123"/>
  <c r="AI1849" i="123"/>
  <c r="AG1849" i="123"/>
  <c r="AH1849" i="123"/>
  <c r="AI1865" i="123"/>
  <c r="AG1865" i="123"/>
  <c r="AH1865" i="123"/>
  <c r="AE1779" i="123"/>
  <c r="AH1786" i="123"/>
  <c r="AI1786" i="123"/>
  <c r="AG1786" i="123"/>
  <c r="AE1795" i="123"/>
  <c r="AH1802" i="123"/>
  <c r="AI1802" i="123"/>
  <c r="AG1802" i="123"/>
  <c r="AE1811" i="123"/>
  <c r="AH1847" i="123"/>
  <c r="AI1876" i="123"/>
  <c r="AG1876" i="123"/>
  <c r="AH1876" i="123"/>
  <c r="AE1789" i="123"/>
  <c r="AE1805" i="123"/>
  <c r="AH1784" i="123"/>
  <c r="AH1800" i="123"/>
  <c r="AE1821" i="123"/>
  <c r="AH1834" i="123"/>
  <c r="AI1834" i="123"/>
  <c r="AG1834" i="123"/>
  <c r="AE1865" i="123"/>
  <c r="AI1888" i="123"/>
  <c r="AG1888" i="123"/>
  <c r="AH1888" i="123"/>
  <c r="AI1904" i="123"/>
  <c r="AG1904" i="123"/>
  <c r="AH1904" i="123"/>
  <c r="AI1920" i="123"/>
  <c r="AG1920" i="123"/>
  <c r="AH1920" i="123"/>
  <c r="AI1928" i="123"/>
  <c r="AG1928" i="123"/>
  <c r="AH1928" i="123"/>
  <c r="AI1936" i="123"/>
  <c r="AG1936" i="123"/>
  <c r="AH1936" i="123"/>
  <c r="AI1944" i="123"/>
  <c r="AG1944" i="123"/>
  <c r="AH1944" i="123"/>
  <c r="AI1952" i="123"/>
  <c r="AG1952" i="123"/>
  <c r="AH1952" i="123"/>
  <c r="AI1960" i="123"/>
  <c r="AG1960" i="123"/>
  <c r="AH1960" i="123"/>
  <c r="AI1968" i="123"/>
  <c r="AG1968" i="123"/>
  <c r="AH1968" i="123"/>
  <c r="AI1976" i="123"/>
  <c r="AG1976" i="123"/>
  <c r="AH1976" i="123"/>
  <c r="AI1984" i="123"/>
  <c r="AG1984" i="123"/>
  <c r="AH1984" i="123"/>
  <c r="AI1992" i="123"/>
  <c r="AG1992" i="123"/>
  <c r="AH1992" i="123"/>
  <c r="AE1880" i="123"/>
  <c r="AE1896" i="123"/>
  <c r="AE1912" i="123"/>
  <c r="AH1933" i="123"/>
  <c r="AE1952" i="123"/>
  <c r="AE1875" i="123"/>
  <c r="AH1893" i="123"/>
  <c r="AH1909" i="123"/>
  <c r="AE1924" i="123"/>
  <c r="AH1942" i="123"/>
  <c r="AE1956" i="123"/>
  <c r="AH1941" i="123"/>
  <c r="AE1960" i="123"/>
  <c r="AH1997" i="123"/>
  <c r="AH1998" i="123"/>
  <c r="AH1945" i="123"/>
  <c r="AH1977" i="123"/>
  <c r="AJ173" i="123"/>
  <c r="AE176" i="123"/>
  <c r="AE263" i="123"/>
  <c r="AE327" i="123"/>
  <c r="AE332" i="123"/>
  <c r="AI363" i="123"/>
  <c r="AE414" i="123"/>
  <c r="AE418" i="123"/>
  <c r="AE498" i="123"/>
  <c r="AE505" i="123"/>
  <c r="AE461" i="123"/>
  <c r="AE501" i="123"/>
  <c r="AE517" i="123"/>
  <c r="AE453" i="123"/>
  <c r="AE482" i="123"/>
  <c r="AE533" i="123"/>
  <c r="AE546" i="123"/>
  <c r="AE549" i="123"/>
  <c r="AH571" i="123"/>
  <c r="AE586" i="123"/>
  <c r="AE650" i="123"/>
  <c r="AH683" i="123"/>
  <c r="AE714" i="123"/>
  <c r="AE550" i="123"/>
  <c r="AE622" i="123"/>
  <c r="AE686" i="123"/>
  <c r="AE562" i="123"/>
  <c r="AH592" i="123"/>
  <c r="AH595" i="123"/>
  <c r="AE626" i="123"/>
  <c r="AH659" i="123"/>
  <c r="AE690" i="123"/>
  <c r="AH720" i="123"/>
  <c r="AH775" i="123"/>
  <c r="AE786" i="123"/>
  <c r="AE802" i="123"/>
  <c r="AH874" i="123"/>
  <c r="AE941" i="123"/>
  <c r="AE872" i="123"/>
  <c r="AH914" i="123"/>
  <c r="AH922" i="123"/>
  <c r="AH946" i="123"/>
  <c r="AH962" i="123"/>
  <c r="AH842" i="123"/>
  <c r="AH870" i="123"/>
  <c r="AH930" i="123"/>
  <c r="AE933" i="123"/>
  <c r="AE860" i="123"/>
  <c r="AH879" i="123"/>
  <c r="AH886" i="123"/>
  <c r="AH904" i="123"/>
  <c r="AH906" i="123"/>
  <c r="AE944" i="123"/>
  <c r="AH1184" i="123"/>
  <c r="AH1200" i="123"/>
  <c r="AH1216" i="123"/>
  <c r="AH1232" i="123"/>
  <c r="AH1248" i="123"/>
  <c r="AH1288" i="123"/>
  <c r="AE1016" i="123"/>
  <c r="AE1047" i="123"/>
  <c r="AE1029" i="123"/>
  <c r="AE1055" i="123"/>
  <c r="AE1203" i="123"/>
  <c r="AE1223" i="123"/>
  <c r="AE1231" i="123"/>
  <c r="AE1028" i="123"/>
  <c r="AE1036" i="123"/>
  <c r="AE1059" i="123"/>
  <c r="AE1071" i="123"/>
  <c r="AE1087" i="123"/>
  <c r="AE1103" i="123"/>
  <c r="AE1119" i="123"/>
  <c r="AE1135" i="123"/>
  <c r="AE1151" i="123"/>
  <c r="AE1235" i="123"/>
  <c r="AE1191" i="123"/>
  <c r="AE1207" i="123"/>
  <c r="AE1239" i="123"/>
  <c r="AI1308" i="123"/>
  <c r="AE1024" i="123"/>
  <c r="AE1060" i="123"/>
  <c r="AE1075" i="123"/>
  <c r="AE1091" i="123"/>
  <c r="AE1107" i="123"/>
  <c r="AE1123" i="123"/>
  <c r="AE1139" i="123"/>
  <c r="AE1155" i="123"/>
  <c r="AE1171" i="123"/>
  <c r="AG1355" i="123"/>
  <c r="AI1355" i="123"/>
  <c r="AH1355" i="123"/>
  <c r="AI1342" i="123"/>
  <c r="AG1342" i="123"/>
  <c r="AH1342" i="123"/>
  <c r="AH1443" i="123"/>
  <c r="AI1443" i="123"/>
  <c r="AG1443" i="123"/>
  <c r="AG1391" i="123"/>
  <c r="AI1391" i="123"/>
  <c r="AH1391" i="123"/>
  <c r="AN1438" i="123"/>
  <c r="AN1454" i="123"/>
  <c r="AH1454" i="123"/>
  <c r="AI1462" i="123"/>
  <c r="AH1462" i="123"/>
  <c r="AG1462" i="123"/>
  <c r="AI1502" i="123"/>
  <c r="AH1502" i="123"/>
  <c r="AG1502" i="123"/>
  <c r="AI1526" i="123"/>
  <c r="AH1526" i="123"/>
  <c r="AG1526" i="123"/>
  <c r="AI1542" i="123"/>
  <c r="AH1542" i="123"/>
  <c r="AG1542" i="123"/>
  <c r="AG1461" i="123"/>
  <c r="AH1461" i="123"/>
  <c r="AI1461" i="123"/>
  <c r="AG1564" i="123"/>
  <c r="AH1564" i="123"/>
  <c r="AI1564" i="123"/>
  <c r="AN1569" i="123"/>
  <c r="AG1366" i="123"/>
  <c r="AH1366" i="123"/>
  <c r="AI1366" i="123"/>
  <c r="AG1591" i="123"/>
  <c r="AH1591" i="123"/>
  <c r="AI1591" i="123"/>
  <c r="AG1607" i="123"/>
  <c r="AH1607" i="123"/>
  <c r="AI1607" i="123"/>
  <c r="AG1497" i="123"/>
  <c r="AH1497" i="123"/>
  <c r="AI1497" i="123"/>
  <c r="AE1596" i="123"/>
  <c r="AG1632" i="123"/>
  <c r="AH1632" i="123"/>
  <c r="AI1632" i="123"/>
  <c r="AG1640" i="123"/>
  <c r="AH1640" i="123"/>
  <c r="AI1640" i="123"/>
  <c r="AG1620" i="123"/>
  <c r="AH1620" i="123"/>
  <c r="AI1620" i="123"/>
  <c r="AH1623" i="123"/>
  <c r="AI1623" i="123"/>
  <c r="AG1623" i="123"/>
  <c r="AF1650" i="123"/>
  <c r="AE1650" i="123"/>
  <c r="AF1658" i="123"/>
  <c r="AE1658" i="123"/>
  <c r="AF1666" i="123"/>
  <c r="AE1666" i="123"/>
  <c r="AG1641" i="123"/>
  <c r="AH1641" i="123"/>
  <c r="AI1641" i="123"/>
  <c r="AN1663" i="123"/>
  <c r="AH1663" i="123"/>
  <c r="AI1643" i="123"/>
  <c r="AG1643" i="123"/>
  <c r="AH1643" i="123"/>
  <c r="AG1653" i="123"/>
  <c r="AH1653" i="123"/>
  <c r="AI1653" i="123"/>
  <c r="AH1672" i="123"/>
  <c r="AI1672" i="123"/>
  <c r="AG1672" i="123"/>
  <c r="AG1673" i="123"/>
  <c r="AH1673" i="123"/>
  <c r="AI1673" i="123"/>
  <c r="AH1680" i="123"/>
  <c r="AI1680" i="123"/>
  <c r="AG1680" i="123"/>
  <c r="AG1720" i="123"/>
  <c r="AH1720" i="123"/>
  <c r="AI1720" i="123"/>
  <c r="AG1736" i="123"/>
  <c r="AH1736" i="123"/>
  <c r="AI1736" i="123"/>
  <c r="AG1752" i="123"/>
  <c r="AH1752" i="123"/>
  <c r="AI1752" i="123"/>
  <c r="AE1640" i="123"/>
  <c r="AN1655" i="123"/>
  <c r="AH1655" i="123"/>
  <c r="AG1689" i="123"/>
  <c r="AH1689" i="123"/>
  <c r="AI1689" i="123"/>
  <c r="AH1697" i="123"/>
  <c r="AE1662" i="123"/>
  <c r="AI1734" i="123"/>
  <c r="AG1734" i="123"/>
  <c r="AH1734" i="123"/>
  <c r="AI1750" i="123"/>
  <c r="AG1750" i="123"/>
  <c r="AH1750" i="123"/>
  <c r="AH1769" i="123"/>
  <c r="AG1769" i="123"/>
  <c r="AI1769" i="123"/>
  <c r="AH1698" i="123"/>
  <c r="AG1779" i="123"/>
  <c r="AH1779" i="123"/>
  <c r="AI1779" i="123"/>
  <c r="AG1787" i="123"/>
  <c r="AH1787" i="123"/>
  <c r="AI1787" i="123"/>
  <c r="AG1795" i="123"/>
  <c r="AH1795" i="123"/>
  <c r="AI1795" i="123"/>
  <c r="AG1803" i="123"/>
  <c r="AH1803" i="123"/>
  <c r="AI1803" i="123"/>
  <c r="AG1811" i="123"/>
  <c r="AH1811" i="123"/>
  <c r="AI1811" i="123"/>
  <c r="AE1716" i="123"/>
  <c r="AE1732" i="123"/>
  <c r="AE1748" i="123"/>
  <c r="AI1781" i="123"/>
  <c r="AG1781" i="123"/>
  <c r="AH1781" i="123"/>
  <c r="AI1789" i="123"/>
  <c r="AG1789" i="123"/>
  <c r="AH1789" i="123"/>
  <c r="AI1797" i="123"/>
  <c r="AG1797" i="123"/>
  <c r="AH1797" i="123"/>
  <c r="AI1805" i="123"/>
  <c r="AG1805" i="123"/>
  <c r="AH1805" i="123"/>
  <c r="AI1813" i="123"/>
  <c r="AG1813" i="123"/>
  <c r="AH1813" i="123"/>
  <c r="AI1829" i="123"/>
  <c r="AG1829" i="123"/>
  <c r="AH1829" i="123"/>
  <c r="AI1845" i="123"/>
  <c r="AG1845" i="123"/>
  <c r="AH1845" i="123"/>
  <c r="AI1861" i="123"/>
  <c r="AG1861" i="123"/>
  <c r="AH1861" i="123"/>
  <c r="AH1782" i="123"/>
  <c r="AI1782" i="123"/>
  <c r="AG1782" i="123"/>
  <c r="AE1791" i="123"/>
  <c r="AH1798" i="123"/>
  <c r="AI1798" i="123"/>
  <c r="AG1798" i="123"/>
  <c r="AE1807" i="123"/>
  <c r="AE1829" i="123"/>
  <c r="AH1842" i="123"/>
  <c r="AI1842" i="123"/>
  <c r="AG1842" i="123"/>
  <c r="AI1873" i="123"/>
  <c r="AG1873" i="123"/>
  <c r="AH1873" i="123"/>
  <c r="AE1825" i="123"/>
  <c r="AH1838" i="123"/>
  <c r="AI1838" i="123"/>
  <c r="AG1838" i="123"/>
  <c r="AH1766" i="123"/>
  <c r="AE1837" i="123"/>
  <c r="AH1850" i="123"/>
  <c r="AI1850" i="123"/>
  <c r="AG1850" i="123"/>
  <c r="AE1817" i="123"/>
  <c r="AH1830" i="123"/>
  <c r="AI1830" i="123"/>
  <c r="AG1830" i="123"/>
  <c r="AI1892" i="123"/>
  <c r="AG1892" i="123"/>
  <c r="AH1892" i="123"/>
  <c r="AI1908" i="123"/>
  <c r="AG1908" i="123"/>
  <c r="AH1908" i="123"/>
  <c r="AE1892" i="123"/>
  <c r="AE1908" i="123"/>
  <c r="AE1936" i="123"/>
  <c r="AH1981" i="123"/>
  <c r="AH1881" i="123"/>
  <c r="AH1897" i="123"/>
  <c r="AH1913" i="123"/>
  <c r="AH1937" i="123"/>
  <c r="AH1871" i="123"/>
  <c r="AE1944" i="123"/>
  <c r="AH1989" i="123"/>
  <c r="AE1948" i="123"/>
  <c r="AE1980" i="123"/>
  <c r="AH1969" i="123"/>
  <c r="AE84" i="123"/>
  <c r="AE100" i="123"/>
  <c r="AE116" i="123"/>
  <c r="AE80" i="123"/>
  <c r="AE88" i="123"/>
  <c r="AE96" i="123"/>
  <c r="AE127" i="123"/>
  <c r="AE104" i="123"/>
  <c r="AE154" i="123"/>
  <c r="AE142" i="123"/>
  <c r="AE150" i="123"/>
  <c r="AE200" i="123"/>
  <c r="AE188" i="123"/>
  <c r="AE223" i="123"/>
  <c r="AE227" i="123"/>
  <c r="AE220" i="123"/>
  <c r="AI260" i="123"/>
  <c r="AE267" i="123"/>
  <c r="AE303" i="123"/>
  <c r="AE279" i="123"/>
  <c r="AE275" i="123"/>
  <c r="AE287" i="123"/>
  <c r="AE335" i="123"/>
  <c r="AE331" i="123"/>
  <c r="AE336" i="123"/>
  <c r="AE378" i="123"/>
  <c r="AE385" i="123"/>
  <c r="AI431" i="123"/>
  <c r="AE348" i="123"/>
  <c r="AE374" i="123"/>
  <c r="AE398" i="123"/>
  <c r="AE401" i="123"/>
  <c r="AF509" i="123"/>
  <c r="AG509" i="123" s="1"/>
  <c r="AF525" i="123"/>
  <c r="AG525" i="123" s="1"/>
  <c r="AE426" i="123"/>
  <c r="AE513" i="123"/>
  <c r="AE518" i="123"/>
  <c r="AE537" i="123"/>
  <c r="AE466" i="123"/>
  <c r="AE473" i="123"/>
  <c r="AE477" i="123"/>
  <c r="AE509" i="123"/>
  <c r="AE465" i="123"/>
  <c r="AE485" i="123"/>
  <c r="AE553" i="123"/>
  <c r="AE582" i="123"/>
  <c r="AH599" i="123"/>
  <c r="AE614" i="123"/>
  <c r="AH631" i="123"/>
  <c r="AE646" i="123"/>
  <c r="AH663" i="123"/>
  <c r="AE678" i="123"/>
  <c r="AH695" i="123"/>
  <c r="AE710" i="123"/>
  <c r="AE750" i="123"/>
  <c r="AE754" i="123"/>
  <c r="AE758" i="123"/>
  <c r="AE762" i="123"/>
  <c r="AE766" i="123"/>
  <c r="AH603" i="123"/>
  <c r="AE634" i="123"/>
  <c r="AE698" i="123"/>
  <c r="AH731" i="123"/>
  <c r="AE770" i="123"/>
  <c r="AE782" i="123"/>
  <c r="AE798" i="123"/>
  <c r="AE814" i="123"/>
  <c r="AE558" i="123"/>
  <c r="AE606" i="123"/>
  <c r="AH639" i="123"/>
  <c r="AE670" i="123"/>
  <c r="AH703" i="123"/>
  <c r="AE734" i="123"/>
  <c r="AH736" i="123"/>
  <c r="AE742" i="123"/>
  <c r="AH744" i="123"/>
  <c r="AH576" i="123"/>
  <c r="AH579" i="123"/>
  <c r="AE610" i="123"/>
  <c r="AH640" i="123"/>
  <c r="AH643" i="123"/>
  <c r="AE674" i="123"/>
  <c r="AH704" i="123"/>
  <c r="AH783" i="123"/>
  <c r="AH850" i="123"/>
  <c r="AE888" i="123"/>
  <c r="AH910" i="123"/>
  <c r="AE984" i="123"/>
  <c r="AH824" i="123"/>
  <c r="AE848" i="123"/>
  <c r="AH878" i="123"/>
  <c r="AH915" i="123"/>
  <c r="AH923" i="123"/>
  <c r="AH958" i="123"/>
  <c r="AH974" i="123"/>
  <c r="AE980" i="123"/>
  <c r="AH846" i="123"/>
  <c r="AH882" i="123"/>
  <c r="AH931" i="123"/>
  <c r="AH942" i="123"/>
  <c r="AE953" i="123"/>
  <c r="AE961" i="123"/>
  <c r="AE969" i="123"/>
  <c r="AE977" i="123"/>
  <c r="AE868" i="123"/>
  <c r="AE884" i="123"/>
  <c r="AE945" i="123"/>
  <c r="AH1000" i="123"/>
  <c r="AH1049" i="123"/>
  <c r="AH1073" i="123"/>
  <c r="AH1089" i="123"/>
  <c r="AH1121" i="123"/>
  <c r="AH1137" i="123"/>
  <c r="AH1153" i="123"/>
  <c r="AH1169" i="123"/>
  <c r="AH1180" i="123"/>
  <c r="AH1201" i="123"/>
  <c r="AH1244" i="123"/>
  <c r="AH1249" i="123"/>
  <c r="AH1260" i="123"/>
  <c r="AN1305" i="123"/>
  <c r="AH1305" i="123"/>
  <c r="AN1313" i="123"/>
  <c r="AE1023" i="123"/>
  <c r="AE1033" i="123"/>
  <c r="AE1021" i="123"/>
  <c r="AE1043" i="123"/>
  <c r="AE1187" i="123"/>
  <c r="AE1199" i="123"/>
  <c r="AE1215" i="123"/>
  <c r="AE1263" i="123"/>
  <c r="AE1211" i="123"/>
  <c r="AE1251" i="123"/>
  <c r="AE1276" i="123"/>
  <c r="AE1283" i="123"/>
  <c r="AE1299" i="123"/>
  <c r="AI1351" i="123"/>
  <c r="AG1351" i="123"/>
  <c r="AH1351" i="123"/>
  <c r="AI1367" i="123"/>
  <c r="AH1367" i="123"/>
  <c r="AG1367" i="123"/>
  <c r="AE1027" i="123"/>
  <c r="AE1044" i="123"/>
  <c r="AE1267" i="123"/>
  <c r="AN1362" i="123"/>
  <c r="AH1362" i="123"/>
  <c r="AG1374" i="123"/>
  <c r="AH1374" i="123"/>
  <c r="AI1374" i="123"/>
  <c r="AE1279" i="123"/>
  <c r="AG1395" i="123"/>
  <c r="AI1395" i="123"/>
  <c r="AH1395" i="123"/>
  <c r="AE1295" i="123"/>
  <c r="AG1434" i="123"/>
  <c r="AH1434" i="123"/>
  <c r="AI1434" i="123"/>
  <c r="AG1575" i="123"/>
  <c r="AH1575" i="123"/>
  <c r="AI1575" i="123"/>
  <c r="AH1430" i="123"/>
  <c r="AG1505" i="123"/>
  <c r="AH1505" i="123"/>
  <c r="AI1505" i="123"/>
  <c r="AE1591" i="123"/>
  <c r="AI1558" i="123"/>
  <c r="AG1558" i="123"/>
  <c r="AH1558" i="123"/>
  <c r="AG1567" i="123"/>
  <c r="AH1567" i="123"/>
  <c r="AI1567" i="123"/>
  <c r="AE1607" i="123"/>
  <c r="AG1426" i="123"/>
  <c r="AH1426" i="123"/>
  <c r="AI1426" i="123"/>
  <c r="AN1565" i="123"/>
  <c r="AH1590" i="123"/>
  <c r="AI1590" i="123"/>
  <c r="AG1590" i="123"/>
  <c r="AG1611" i="123"/>
  <c r="AH1611" i="123"/>
  <c r="AI1611" i="123"/>
  <c r="AG1616" i="123"/>
  <c r="AH1616" i="123"/>
  <c r="AI1616" i="123"/>
  <c r="AE1632" i="123"/>
  <c r="AE1620" i="123"/>
  <c r="AI1647" i="123"/>
  <c r="AG1647" i="123"/>
  <c r="AH1647" i="123"/>
  <c r="AE1653" i="123"/>
  <c r="AE1673" i="123"/>
  <c r="AI1692" i="123"/>
  <c r="AH1692" i="123"/>
  <c r="AG1692" i="123"/>
  <c r="AG1716" i="123"/>
  <c r="AH1716" i="123"/>
  <c r="AI1716" i="123"/>
  <c r="AG1732" i="123"/>
  <c r="AH1732" i="123"/>
  <c r="AI1732" i="123"/>
  <c r="AG1748" i="123"/>
  <c r="AH1748" i="123"/>
  <c r="AI1748" i="123"/>
  <c r="AH1664" i="123"/>
  <c r="AI1664" i="123"/>
  <c r="AG1664" i="123"/>
  <c r="AG1665" i="123"/>
  <c r="AH1665" i="123"/>
  <c r="AI1665" i="123"/>
  <c r="AE1689" i="123"/>
  <c r="AI1754" i="123"/>
  <c r="AG1754" i="123"/>
  <c r="AH1754" i="123"/>
  <c r="AE1700" i="123"/>
  <c r="AE1692" i="123"/>
  <c r="AE1720" i="123"/>
  <c r="AE1736" i="123"/>
  <c r="AE1752" i="123"/>
  <c r="AE1768" i="123"/>
  <c r="AI1825" i="123"/>
  <c r="AG1825" i="123"/>
  <c r="AH1825" i="123"/>
  <c r="AI1841" i="123"/>
  <c r="AG1841" i="123"/>
  <c r="AH1841" i="123"/>
  <c r="AI1857" i="123"/>
  <c r="AG1857" i="123"/>
  <c r="AH1857" i="123"/>
  <c r="AE1787" i="123"/>
  <c r="AH1794" i="123"/>
  <c r="AI1794" i="123"/>
  <c r="AG1794" i="123"/>
  <c r="AE1803" i="123"/>
  <c r="AH1810" i="123"/>
  <c r="AI1810" i="123"/>
  <c r="AG1810" i="123"/>
  <c r="AE1845" i="123"/>
  <c r="AH1858" i="123"/>
  <c r="AI1858" i="123"/>
  <c r="AG1858" i="123"/>
  <c r="AE1781" i="123"/>
  <c r="AE1797" i="123"/>
  <c r="AE1813" i="123"/>
  <c r="AE1841" i="123"/>
  <c r="AH1854" i="123"/>
  <c r="AI1854" i="123"/>
  <c r="AG1854" i="123"/>
  <c r="AE1853" i="123"/>
  <c r="AH1866" i="123"/>
  <c r="AI1866" i="123"/>
  <c r="AG1866" i="123"/>
  <c r="AG1875" i="123"/>
  <c r="AH1875" i="123"/>
  <c r="AI1875" i="123"/>
  <c r="AE1833" i="123"/>
  <c r="AH1846" i="123"/>
  <c r="AI1846" i="123"/>
  <c r="AG1846" i="123"/>
  <c r="AI1880" i="123"/>
  <c r="AG1880" i="123"/>
  <c r="AH1880" i="123"/>
  <c r="AI1896" i="123"/>
  <c r="AG1896" i="123"/>
  <c r="AH1896" i="123"/>
  <c r="AI1912" i="123"/>
  <c r="AG1912" i="123"/>
  <c r="AH1912" i="123"/>
  <c r="AI1924" i="123"/>
  <c r="AG1924" i="123"/>
  <c r="AH1924" i="123"/>
  <c r="AI1932" i="123"/>
  <c r="AG1932" i="123"/>
  <c r="AH1932" i="123"/>
  <c r="AI1940" i="123"/>
  <c r="AG1940" i="123"/>
  <c r="AH1940" i="123"/>
  <c r="AI1948" i="123"/>
  <c r="AG1948" i="123"/>
  <c r="AH1948" i="123"/>
  <c r="AI1956" i="123"/>
  <c r="AG1956" i="123"/>
  <c r="AH1956" i="123"/>
  <c r="AI1964" i="123"/>
  <c r="AG1964" i="123"/>
  <c r="AH1964" i="123"/>
  <c r="AI1972" i="123"/>
  <c r="AG1972" i="123"/>
  <c r="AH1972" i="123"/>
  <c r="AI1980" i="123"/>
  <c r="AG1980" i="123"/>
  <c r="AH1980" i="123"/>
  <c r="AI1988" i="123"/>
  <c r="AG1988" i="123"/>
  <c r="AH1988" i="123"/>
  <c r="AE1888" i="123"/>
  <c r="AE1904" i="123"/>
  <c r="AE1920" i="123"/>
  <c r="AH1965" i="123"/>
  <c r="AE1984" i="123"/>
  <c r="AI1996" i="123"/>
  <c r="AG1996" i="123"/>
  <c r="AH1996" i="123"/>
  <c r="AE1988" i="123"/>
  <c r="AH1885" i="123"/>
  <c r="AH1901" i="123"/>
  <c r="AH1917" i="123"/>
  <c r="AE1940" i="123"/>
  <c r="AH1877" i="123"/>
  <c r="AE1928" i="123"/>
  <c r="AH1973" i="123"/>
  <c r="AE1992" i="123"/>
  <c r="AH1985" i="123"/>
  <c r="AH1929" i="123"/>
  <c r="AH1961" i="123"/>
  <c r="AH1993" i="123"/>
  <c r="AE352" i="123"/>
  <c r="AE376" i="123"/>
  <c r="AE402" i="123"/>
  <c r="AE369" i="123"/>
  <c r="AE486" i="123"/>
  <c r="AE521" i="123"/>
  <c r="AE458" i="123"/>
  <c r="AE494" i="123"/>
  <c r="AE474" i="123"/>
  <c r="AE557" i="123"/>
  <c r="AE570" i="123"/>
  <c r="AE618" i="123"/>
  <c r="AH651" i="123"/>
  <c r="AE682" i="123"/>
  <c r="AE590" i="123"/>
  <c r="AH623" i="123"/>
  <c r="AE654" i="123"/>
  <c r="AE718" i="123"/>
  <c r="AH563" i="123"/>
  <c r="AE594" i="123"/>
  <c r="AH624" i="123"/>
  <c r="AH627" i="123"/>
  <c r="AE658" i="123"/>
  <c r="AH688" i="123"/>
  <c r="AE722" i="123"/>
  <c r="AE794" i="123"/>
  <c r="AE810" i="123"/>
  <c r="AH858" i="123"/>
  <c r="AE889" i="123"/>
  <c r="AH911" i="123"/>
  <c r="AH934" i="123"/>
  <c r="AE856" i="123"/>
  <c r="AH918" i="123"/>
  <c r="AH926" i="123"/>
  <c r="AE936" i="123"/>
  <c r="AH954" i="123"/>
  <c r="AH970" i="123"/>
  <c r="AE996" i="123"/>
  <c r="AH840" i="123"/>
  <c r="AH854" i="123"/>
  <c r="AE880" i="123"/>
  <c r="AH902" i="123"/>
  <c r="AE992" i="123"/>
  <c r="AE844" i="123"/>
  <c r="AE876" i="123"/>
  <c r="AH1053" i="123"/>
  <c r="AH1069" i="123"/>
  <c r="AH1101" i="123"/>
  <c r="AH1133" i="123"/>
  <c r="AH1181" i="123"/>
  <c r="AH1192" i="123"/>
  <c r="AH1197" i="123"/>
  <c r="AH1208" i="123"/>
  <c r="AH1213" i="123"/>
  <c r="AH1224" i="123"/>
  <c r="AH1229" i="123"/>
  <c r="AH1245" i="123"/>
  <c r="AH1256" i="123"/>
  <c r="AH1261" i="123"/>
  <c r="AH1272" i="123"/>
  <c r="AH1280" i="123"/>
  <c r="AH1285" i="123"/>
  <c r="AH1301" i="123"/>
  <c r="AE1006" i="123"/>
  <c r="AE1040" i="123"/>
  <c r="AE1020" i="123"/>
  <c r="AE1048" i="123"/>
  <c r="AE1183" i="123"/>
  <c r="AE1219" i="123"/>
  <c r="AE1227" i="123"/>
  <c r="AE1032" i="123"/>
  <c r="AE1063" i="123"/>
  <c r="AE1079" i="123"/>
  <c r="AE1095" i="123"/>
  <c r="AE1111" i="123"/>
  <c r="AE1127" i="123"/>
  <c r="AE1143" i="123"/>
  <c r="AE1163" i="123"/>
  <c r="AE1167" i="123"/>
  <c r="AE1179" i="123"/>
  <c r="AE1014" i="123"/>
  <c r="AE1031" i="123"/>
  <c r="AE1051" i="123"/>
  <c r="AE1067" i="123"/>
  <c r="AE1083" i="123"/>
  <c r="AE1099" i="123"/>
  <c r="AE1115" i="123"/>
  <c r="AE1131" i="123"/>
  <c r="AE1147" i="123"/>
  <c r="AE1255" i="123"/>
  <c r="AH1425" i="123"/>
  <c r="AH1451" i="123"/>
  <c r="AI1451" i="123"/>
  <c r="AG1451" i="123"/>
  <c r="AG1458" i="123"/>
  <c r="AH1458" i="123"/>
  <c r="AI1458" i="123"/>
  <c r="AI1538" i="123"/>
  <c r="AH1538" i="123"/>
  <c r="AG1538" i="123"/>
  <c r="AG1596" i="123"/>
  <c r="AH1596" i="123"/>
  <c r="AI1596" i="123"/>
  <c r="AG1493" i="123"/>
  <c r="AH1493" i="123"/>
  <c r="AI1493" i="123"/>
  <c r="AE1575" i="123"/>
  <c r="AG1521" i="123"/>
  <c r="AH1521" i="123"/>
  <c r="AI1521" i="123"/>
  <c r="AH1582" i="123"/>
  <c r="AI1582" i="123"/>
  <c r="AG1582" i="123"/>
  <c r="AG1599" i="123"/>
  <c r="AH1599" i="123"/>
  <c r="AI1599" i="123"/>
  <c r="AG1603" i="123"/>
  <c r="AH1603" i="123"/>
  <c r="AI1603" i="123"/>
  <c r="AH1446" i="123"/>
  <c r="AE1567" i="123"/>
  <c r="AN1593" i="123"/>
  <c r="AG1571" i="123"/>
  <c r="AH1571" i="123"/>
  <c r="AI1571" i="123"/>
  <c r="AE1611" i="123"/>
  <c r="AE1616" i="123"/>
  <c r="AH1635" i="123"/>
  <c r="AI1635" i="123"/>
  <c r="AG1635" i="123"/>
  <c r="AG1628" i="123"/>
  <c r="AH1628" i="123"/>
  <c r="AI1628" i="123"/>
  <c r="AF1646" i="123"/>
  <c r="AE1646" i="123"/>
  <c r="AG1654" i="123"/>
  <c r="AH1654" i="123"/>
  <c r="AI1654" i="123"/>
  <c r="AG1662" i="123"/>
  <c r="AH1662" i="123"/>
  <c r="AI1662" i="123"/>
  <c r="AG1657" i="123"/>
  <c r="AH1657" i="123"/>
  <c r="AI1657" i="123"/>
  <c r="AG1669" i="123"/>
  <c r="AH1669" i="123"/>
  <c r="AI1669" i="123"/>
  <c r="AG1677" i="123"/>
  <c r="AH1677" i="123"/>
  <c r="AI1677" i="123"/>
  <c r="AI1700" i="123"/>
  <c r="AH1700" i="123"/>
  <c r="AG1700" i="123"/>
  <c r="AG1712" i="123"/>
  <c r="AH1712" i="123"/>
  <c r="AI1712" i="123"/>
  <c r="AG1728" i="123"/>
  <c r="AH1728" i="123"/>
  <c r="AI1728" i="123"/>
  <c r="AG1744" i="123"/>
  <c r="AH1744" i="123"/>
  <c r="AI1744" i="123"/>
  <c r="AG1649" i="123"/>
  <c r="AH1649" i="123"/>
  <c r="AI1649" i="123"/>
  <c r="AE1665" i="123"/>
  <c r="AG1685" i="123"/>
  <c r="AH1685" i="123"/>
  <c r="AI1685" i="123"/>
  <c r="AH1639" i="123"/>
  <c r="AI1710" i="123"/>
  <c r="AG1710" i="123"/>
  <c r="AH1710" i="123"/>
  <c r="AI1726" i="123"/>
  <c r="AG1726" i="123"/>
  <c r="AH1726" i="123"/>
  <c r="AI1742" i="123"/>
  <c r="AG1742" i="123"/>
  <c r="AH1742" i="123"/>
  <c r="AG1757" i="123"/>
  <c r="AH1757" i="123"/>
  <c r="AI1757" i="123"/>
  <c r="AE1764" i="123"/>
  <c r="AG1768" i="123"/>
  <c r="AI1768" i="123"/>
  <c r="AH1768" i="123"/>
  <c r="AE1642" i="123"/>
  <c r="AG1783" i="123"/>
  <c r="AH1783" i="123"/>
  <c r="AI1783" i="123"/>
  <c r="AG1791" i="123"/>
  <c r="AH1791" i="123"/>
  <c r="AI1791" i="123"/>
  <c r="AG1799" i="123"/>
  <c r="AH1799" i="123"/>
  <c r="AI1799" i="123"/>
  <c r="AG1807" i="123"/>
  <c r="AH1807" i="123"/>
  <c r="AI1807" i="123"/>
  <c r="AG1815" i="123"/>
  <c r="AH1815" i="123"/>
  <c r="AI1815" i="123"/>
  <c r="AE1708" i="123"/>
  <c r="AE1724" i="123"/>
  <c r="AE1740" i="123"/>
  <c r="AE1756" i="123"/>
  <c r="AH1771" i="123"/>
  <c r="AI1785" i="123"/>
  <c r="AG1785" i="123"/>
  <c r="AH1785" i="123"/>
  <c r="AI1793" i="123"/>
  <c r="AG1793" i="123"/>
  <c r="AH1793" i="123"/>
  <c r="AI1801" i="123"/>
  <c r="AG1801" i="123"/>
  <c r="AH1801" i="123"/>
  <c r="AI1809" i="123"/>
  <c r="AG1809" i="123"/>
  <c r="AH1809" i="123"/>
  <c r="AI1821" i="123"/>
  <c r="AG1821" i="123"/>
  <c r="AH1821" i="123"/>
  <c r="AI1837" i="123"/>
  <c r="AG1837" i="123"/>
  <c r="AH1837" i="123"/>
  <c r="AI1853" i="123"/>
  <c r="AG1853" i="123"/>
  <c r="AH1853" i="123"/>
  <c r="AE1783" i="123"/>
  <c r="AH1790" i="123"/>
  <c r="AI1790" i="123"/>
  <c r="AG1790" i="123"/>
  <c r="AE1799" i="123"/>
  <c r="AH1806" i="123"/>
  <c r="AI1806" i="123"/>
  <c r="AG1806" i="123"/>
  <c r="AE1815" i="123"/>
  <c r="AH1831" i="123"/>
  <c r="AE1861" i="123"/>
  <c r="AE1785" i="123"/>
  <c r="AE1801" i="123"/>
  <c r="AE1857" i="123"/>
  <c r="AE1774" i="123"/>
  <c r="AH1804" i="123"/>
  <c r="AH1818" i="123"/>
  <c r="AI1818" i="123"/>
  <c r="AG1818" i="123"/>
  <c r="AH1839" i="123"/>
  <c r="AE1849" i="123"/>
  <c r="AH1862" i="123"/>
  <c r="AI1862" i="123"/>
  <c r="AG1862" i="123"/>
  <c r="AI1869" i="123"/>
  <c r="AG1869" i="123"/>
  <c r="AH1869" i="123"/>
  <c r="AI1884" i="123"/>
  <c r="AG1884" i="123"/>
  <c r="AH1884" i="123"/>
  <c r="AI1900" i="123"/>
  <c r="AG1900" i="123"/>
  <c r="AH1900" i="123"/>
  <c r="AI1916" i="123"/>
  <c r="AG1916" i="123"/>
  <c r="AH1916" i="123"/>
  <c r="AE1884" i="123"/>
  <c r="AE1900" i="123"/>
  <c r="AE1916" i="123"/>
  <c r="AH1949" i="123"/>
  <c r="AE1968" i="123"/>
  <c r="AH1889" i="123"/>
  <c r="AH1905" i="123"/>
  <c r="AH1921" i="123"/>
  <c r="AH1953" i="123"/>
  <c r="AH1957" i="123"/>
  <c r="AE1976" i="123"/>
  <c r="AE1972" i="123"/>
  <c r="AE1932" i="123"/>
  <c r="AE1964" i="123"/>
  <c r="AF16" i="123"/>
  <c r="AE16" i="123"/>
  <c r="AG7" i="123"/>
  <c r="AJ7" i="123" s="1"/>
  <c r="AH7" i="123"/>
  <c r="AI7" i="123"/>
  <c r="AG9" i="123"/>
  <c r="U13" i="123"/>
  <c r="V13" i="123"/>
  <c r="W13" i="123" s="1"/>
  <c r="AH13" i="123" s="1"/>
  <c r="U15" i="123"/>
  <c r="V15" i="123"/>
  <c r="W15" i="123" s="1"/>
  <c r="AH15" i="123" s="1"/>
  <c r="U9" i="123"/>
  <c r="V9" i="123"/>
  <c r="AI9" i="123" s="1"/>
  <c r="U16" i="123"/>
  <c r="V16" i="123"/>
  <c r="W16" i="123" s="1"/>
  <c r="AG5" i="123"/>
  <c r="AG11" i="123"/>
  <c r="AG14" i="123"/>
  <c r="V14" i="123"/>
  <c r="W14" i="123" s="1"/>
  <c r="AH14" i="123" s="1"/>
  <c r="U14" i="123"/>
  <c r="V18" i="123"/>
  <c r="AI18" i="123" s="1"/>
  <c r="U18" i="123"/>
  <c r="X7" i="123"/>
  <c r="AG10" i="123"/>
  <c r="V10" i="123"/>
  <c r="W10" i="123" s="1"/>
  <c r="AH10" i="123" s="1"/>
  <c r="U10" i="123"/>
  <c r="U11" i="123"/>
  <c r="V11" i="123"/>
  <c r="AI11" i="123" s="1"/>
  <c r="V19" i="123"/>
  <c r="AI19" i="123" s="1"/>
  <c r="U19" i="123"/>
  <c r="V20" i="123"/>
  <c r="AI20" i="123" s="1"/>
  <c r="U20" i="123"/>
  <c r="AG20" i="123"/>
  <c r="U26" i="123"/>
  <c r="V26" i="123"/>
  <c r="AG15" i="123"/>
  <c r="U21" i="123"/>
  <c r="V21" i="123"/>
  <c r="AI21" i="123" s="1"/>
  <c r="X8" i="123"/>
  <c r="U28" i="123"/>
  <c r="V28" i="123"/>
  <c r="AI28" i="123" s="1"/>
  <c r="V33" i="123"/>
  <c r="AI33" i="123" s="1"/>
  <c r="U33" i="123"/>
  <c r="AG34" i="123"/>
  <c r="AG21" i="123"/>
  <c r="AG24" i="123"/>
  <c r="U30" i="123"/>
  <c r="V30" i="123"/>
  <c r="W30" i="123" s="1"/>
  <c r="AH30" i="123" s="1"/>
  <c r="U32" i="123"/>
  <c r="V32" i="123"/>
  <c r="AI32" i="123" s="1"/>
  <c r="V35" i="123"/>
  <c r="AI35" i="123" s="1"/>
  <c r="U35" i="123"/>
  <c r="AG36" i="123"/>
  <c r="V39" i="123"/>
  <c r="AI39" i="123" s="1"/>
  <c r="U39" i="123"/>
  <c r="V43" i="123"/>
  <c r="AI43" i="123" s="1"/>
  <c r="U43" i="123"/>
  <c r="AG13" i="123"/>
  <c r="X22" i="123"/>
  <c r="U23" i="123"/>
  <c r="V23" i="123"/>
  <c r="AI23" i="123" s="1"/>
  <c r="AG30" i="123"/>
  <c r="U34" i="123"/>
  <c r="V34" i="123"/>
  <c r="AI34" i="123" s="1"/>
  <c r="AG48" i="123"/>
  <c r="U5" i="123"/>
  <c r="V5" i="123"/>
  <c r="AI5" i="123" s="1"/>
  <c r="V24" i="123"/>
  <c r="AI24" i="123" s="1"/>
  <c r="U24" i="123"/>
  <c r="U27" i="123"/>
  <c r="V27" i="123"/>
  <c r="AI27" i="123" s="1"/>
  <c r="U31" i="123"/>
  <c r="V31" i="123"/>
  <c r="AI31" i="123" s="1"/>
  <c r="AG38" i="123"/>
  <c r="AG40" i="123"/>
  <c r="V45" i="123"/>
  <c r="AI45" i="123" s="1"/>
  <c r="U45" i="123"/>
  <c r="U46" i="123"/>
  <c r="V46" i="123"/>
  <c r="W46" i="123" s="1"/>
  <c r="AH46" i="123" s="1"/>
  <c r="U48" i="123"/>
  <c r="V48" i="123"/>
  <c r="AI48" i="123" s="1"/>
  <c r="U50" i="123"/>
  <c r="V50" i="123"/>
  <c r="AI50" i="123" s="1"/>
  <c r="U53" i="123"/>
  <c r="V53" i="123"/>
  <c r="U58" i="123"/>
  <c r="V58" i="123"/>
  <c r="AI58" i="123" s="1"/>
  <c r="AG65" i="123"/>
  <c r="V41" i="123"/>
  <c r="AI41" i="123" s="1"/>
  <c r="U41" i="123"/>
  <c r="U42" i="123"/>
  <c r="V42" i="123"/>
  <c r="W42" i="123" s="1"/>
  <c r="AH42" i="123" s="1"/>
  <c r="AG56" i="123"/>
  <c r="AJ56" i="123" s="1"/>
  <c r="AH56" i="123"/>
  <c r="AI56" i="123"/>
  <c r="U60" i="123"/>
  <c r="V60" i="123"/>
  <c r="U64" i="123"/>
  <c r="V64" i="123"/>
  <c r="X25" i="123"/>
  <c r="AH25" i="123"/>
  <c r="V37" i="123"/>
  <c r="AI37" i="123" s="1"/>
  <c r="U37" i="123"/>
  <c r="U38" i="123"/>
  <c r="V38" i="123"/>
  <c r="AI38" i="123" s="1"/>
  <c r="U44" i="123"/>
  <c r="V44" i="123"/>
  <c r="W44" i="123" s="1"/>
  <c r="AH44" i="123" s="1"/>
  <c r="AG46" i="123"/>
  <c r="U47" i="123"/>
  <c r="V47" i="123"/>
  <c r="W47" i="123" s="1"/>
  <c r="AH47" i="123" s="1"/>
  <c r="AG47" i="123"/>
  <c r="U49" i="123"/>
  <c r="V49" i="123"/>
  <c r="U57" i="123"/>
  <c r="V57" i="123"/>
  <c r="AI57" i="123" s="1"/>
  <c r="U61" i="123"/>
  <c r="V61" i="123"/>
  <c r="U65" i="123"/>
  <c r="V65" i="123"/>
  <c r="AI65" i="123" s="1"/>
  <c r="U69" i="123"/>
  <c r="V69" i="123"/>
  <c r="W69" i="123" s="1"/>
  <c r="U36" i="123"/>
  <c r="V36" i="123"/>
  <c r="AI36" i="123" s="1"/>
  <c r="U40" i="123"/>
  <c r="V40" i="123"/>
  <c r="AI40" i="123" s="1"/>
  <c r="AG42" i="123"/>
  <c r="AG44" i="123"/>
  <c r="AG52" i="123"/>
  <c r="AJ52" i="123" s="1"/>
  <c r="AH52" i="123"/>
  <c r="AI52" i="123"/>
  <c r="X59" i="123"/>
  <c r="V62" i="123"/>
  <c r="U62" i="123"/>
  <c r="V70" i="123"/>
  <c r="AI70" i="123" s="1"/>
  <c r="U70" i="123"/>
  <c r="X56" i="123"/>
  <c r="V66" i="123"/>
  <c r="AI66" i="123" s="1"/>
  <c r="U66" i="123"/>
  <c r="V74" i="123"/>
  <c r="W74" i="123" s="1"/>
  <c r="AH74" i="123" s="1"/>
  <c r="U74" i="123"/>
  <c r="U75" i="123"/>
  <c r="V75" i="123"/>
  <c r="AI75" i="123" s="1"/>
  <c r="X52" i="123"/>
  <c r="X63" i="123"/>
  <c r="V72" i="123"/>
  <c r="AI72" i="123" s="1"/>
  <c r="U72" i="123"/>
  <c r="V76" i="123"/>
  <c r="AI76" i="123" s="1"/>
  <c r="U76" i="123"/>
  <c r="V78" i="123"/>
  <c r="AI78" i="123" s="1"/>
  <c r="U78" i="123"/>
  <c r="AG74" i="123"/>
  <c r="U73" i="123"/>
  <c r="V73" i="123"/>
  <c r="U81" i="123"/>
  <c r="V81" i="123"/>
  <c r="AI81" i="123" s="1"/>
  <c r="U86" i="123"/>
  <c r="V86" i="123"/>
  <c r="AI86" i="123" s="1"/>
  <c r="U89" i="123"/>
  <c r="V89" i="123"/>
  <c r="U94" i="123"/>
  <c r="V94" i="123"/>
  <c r="AI94" i="123" s="1"/>
  <c r="U97" i="123"/>
  <c r="V97" i="123"/>
  <c r="AI97" i="123" s="1"/>
  <c r="U105" i="123"/>
  <c r="V105" i="123"/>
  <c r="AI105" i="123" s="1"/>
  <c r="U110" i="123"/>
  <c r="V110" i="123"/>
  <c r="AI110" i="123" s="1"/>
  <c r="U113" i="123"/>
  <c r="V113" i="123"/>
  <c r="AI113" i="123" s="1"/>
  <c r="U77" i="123"/>
  <c r="V77" i="123"/>
  <c r="V79" i="123"/>
  <c r="AI79" i="123" s="1"/>
  <c r="U79" i="123"/>
  <c r="V83" i="123"/>
  <c r="AI83" i="123" s="1"/>
  <c r="U83" i="123"/>
  <c r="AG84" i="123"/>
  <c r="AJ84" i="123" s="1"/>
  <c r="AH84" i="123"/>
  <c r="AI84" i="123"/>
  <c r="V91" i="123"/>
  <c r="AI91" i="123" s="1"/>
  <c r="U91" i="123"/>
  <c r="AG100" i="123"/>
  <c r="AJ100" i="123" s="1"/>
  <c r="AH100" i="123"/>
  <c r="AI100" i="123"/>
  <c r="AG108" i="123"/>
  <c r="AJ108" i="123" s="1"/>
  <c r="AH108" i="123"/>
  <c r="AI108" i="123"/>
  <c r="AG116" i="123"/>
  <c r="AJ116" i="123" s="1"/>
  <c r="AH116" i="123"/>
  <c r="AI116" i="123"/>
  <c r="X71" i="123"/>
  <c r="AN71" i="123"/>
  <c r="V82" i="123"/>
  <c r="U82" i="123"/>
  <c r="U85" i="123"/>
  <c r="V85" i="123"/>
  <c r="AI85" i="123" s="1"/>
  <c r="V90" i="123"/>
  <c r="AI90" i="123" s="1"/>
  <c r="U90" i="123"/>
  <c r="U93" i="123"/>
  <c r="V93" i="123"/>
  <c r="AI93" i="123" s="1"/>
  <c r="V98" i="123"/>
  <c r="AI98" i="123" s="1"/>
  <c r="U98" i="123"/>
  <c r="U101" i="123"/>
  <c r="V101" i="123"/>
  <c r="W101" i="123" s="1"/>
  <c r="V106" i="123"/>
  <c r="U106" i="123"/>
  <c r="U109" i="123"/>
  <c r="V109" i="123"/>
  <c r="W109" i="123" s="1"/>
  <c r="V114" i="123"/>
  <c r="AI114" i="123" s="1"/>
  <c r="U114" i="123"/>
  <c r="U117" i="123"/>
  <c r="V117" i="123"/>
  <c r="W117" i="123" s="1"/>
  <c r="AH117" i="123" s="1"/>
  <c r="AF120" i="123"/>
  <c r="AE120" i="123"/>
  <c r="V121" i="123"/>
  <c r="AI121" i="123" s="1"/>
  <c r="U121" i="123"/>
  <c r="AF123" i="123"/>
  <c r="AE123" i="123"/>
  <c r="AG80" i="123"/>
  <c r="AJ80" i="123" s="1"/>
  <c r="AH80" i="123"/>
  <c r="AI80" i="123"/>
  <c r="X87" i="123"/>
  <c r="AG88" i="123"/>
  <c r="AJ88" i="123" s="1"/>
  <c r="AH88" i="123"/>
  <c r="AI88" i="123"/>
  <c r="X80" i="123"/>
  <c r="X84" i="123"/>
  <c r="AG96" i="123"/>
  <c r="AJ96" i="123" s="1"/>
  <c r="AH96" i="123"/>
  <c r="AI96" i="123"/>
  <c r="X104" i="123"/>
  <c r="V115" i="123"/>
  <c r="AI115" i="123" s="1"/>
  <c r="U115" i="123"/>
  <c r="U123" i="123"/>
  <c r="V123" i="123"/>
  <c r="W123" i="123" s="1"/>
  <c r="AG127" i="123"/>
  <c r="AJ127" i="123" s="1"/>
  <c r="AH127" i="123"/>
  <c r="AI127" i="123"/>
  <c r="AG131" i="123"/>
  <c r="AJ131" i="123" s="1"/>
  <c r="AH131" i="123"/>
  <c r="AI131" i="123"/>
  <c r="AG135" i="123"/>
  <c r="AJ135" i="123" s="1"/>
  <c r="AH135" i="123"/>
  <c r="AI135" i="123"/>
  <c r="AG137" i="123"/>
  <c r="AI95" i="123"/>
  <c r="AG95" i="123"/>
  <c r="AJ95" i="123" s="1"/>
  <c r="AI103" i="123"/>
  <c r="AG103" i="123"/>
  <c r="AJ103" i="123" s="1"/>
  <c r="AG104" i="123"/>
  <c r="AJ104" i="123" s="1"/>
  <c r="AH104" i="123"/>
  <c r="AI104" i="123"/>
  <c r="U118" i="123"/>
  <c r="V118" i="123"/>
  <c r="V119" i="123"/>
  <c r="AI119" i="123" s="1"/>
  <c r="U119" i="123"/>
  <c r="V126" i="123"/>
  <c r="AI126" i="123" s="1"/>
  <c r="U126" i="123"/>
  <c r="U128" i="123"/>
  <c r="V128" i="123"/>
  <c r="V130" i="123"/>
  <c r="AI130" i="123" s="1"/>
  <c r="U130" i="123"/>
  <c r="U132" i="123"/>
  <c r="V132" i="123"/>
  <c r="AI132" i="123" s="1"/>
  <c r="X88" i="123"/>
  <c r="X100" i="123"/>
  <c r="V107" i="123"/>
  <c r="AI107" i="123" s="1"/>
  <c r="U107" i="123"/>
  <c r="X112" i="123"/>
  <c r="X116" i="123"/>
  <c r="AG122" i="123"/>
  <c r="AJ122" i="123" s="1"/>
  <c r="AI122" i="123"/>
  <c r="V125" i="123"/>
  <c r="AI125" i="123" s="1"/>
  <c r="AG125" i="123"/>
  <c r="U125" i="123"/>
  <c r="V129" i="123"/>
  <c r="AI129" i="123" s="1"/>
  <c r="U129" i="123"/>
  <c r="V133" i="123"/>
  <c r="AI133" i="123" s="1"/>
  <c r="U133" i="123"/>
  <c r="U137" i="123"/>
  <c r="V137" i="123"/>
  <c r="AI137" i="123" s="1"/>
  <c r="U141" i="123"/>
  <c r="V141" i="123"/>
  <c r="W141" i="123" s="1"/>
  <c r="X96" i="123"/>
  <c r="AH111" i="123"/>
  <c r="AI111" i="123"/>
  <c r="AG111" i="123"/>
  <c r="AJ111" i="123" s="1"/>
  <c r="AG112" i="123"/>
  <c r="AJ112" i="123" s="1"/>
  <c r="AH112" i="123"/>
  <c r="AI112" i="123"/>
  <c r="AG117" i="123"/>
  <c r="U124" i="123"/>
  <c r="V124" i="123"/>
  <c r="AI124" i="123" s="1"/>
  <c r="AG146" i="123"/>
  <c r="AJ146" i="123" s="1"/>
  <c r="AH146" i="123"/>
  <c r="AI146" i="123"/>
  <c r="U147" i="123"/>
  <c r="V147" i="123"/>
  <c r="U152" i="123"/>
  <c r="V152" i="123"/>
  <c r="AI152" i="123" s="1"/>
  <c r="V153" i="123"/>
  <c r="AI153" i="123" s="1"/>
  <c r="U153" i="123"/>
  <c r="AG153" i="123"/>
  <c r="U158" i="123"/>
  <c r="V158" i="123"/>
  <c r="W158" i="123" s="1"/>
  <c r="AH158" i="123" s="1"/>
  <c r="U163" i="123"/>
  <c r="V163" i="123"/>
  <c r="AI163" i="123" s="1"/>
  <c r="AG166" i="123"/>
  <c r="AG170" i="123"/>
  <c r="U144" i="123"/>
  <c r="V144" i="123"/>
  <c r="U148" i="123"/>
  <c r="V148" i="123"/>
  <c r="AI148" i="123" s="1"/>
  <c r="V149" i="123"/>
  <c r="W149" i="123" s="1"/>
  <c r="AH149" i="123" s="1"/>
  <c r="U149" i="123"/>
  <c r="AG149" i="123"/>
  <c r="X151" i="123"/>
  <c r="U154" i="123"/>
  <c r="V154" i="123"/>
  <c r="W154" i="123" s="1"/>
  <c r="AH154" i="123" s="1"/>
  <c r="AG158" i="123"/>
  <c r="AI158" i="123"/>
  <c r="U159" i="123"/>
  <c r="V159" i="123"/>
  <c r="AI159" i="123" s="1"/>
  <c r="V161" i="123"/>
  <c r="AI161" i="123" s="1"/>
  <c r="U161" i="123"/>
  <c r="U162" i="123"/>
  <c r="V162" i="123"/>
  <c r="W162" i="123" s="1"/>
  <c r="AH162" i="123" s="1"/>
  <c r="V165" i="123"/>
  <c r="AI165" i="123" s="1"/>
  <c r="U165" i="123"/>
  <c r="V167" i="123"/>
  <c r="AI167" i="123" s="1"/>
  <c r="U167" i="123"/>
  <c r="V171" i="123"/>
  <c r="AI171" i="123" s="1"/>
  <c r="U171" i="123"/>
  <c r="V175" i="123"/>
  <c r="AI175" i="123" s="1"/>
  <c r="U175" i="123"/>
  <c r="AG176" i="123"/>
  <c r="U178" i="123"/>
  <c r="V178" i="123"/>
  <c r="AI178" i="123" s="1"/>
  <c r="X127" i="123"/>
  <c r="V138" i="123"/>
  <c r="AI138" i="123" s="1"/>
  <c r="U138" i="123"/>
  <c r="U140" i="123"/>
  <c r="V140" i="123"/>
  <c r="AI140" i="123" s="1"/>
  <c r="V145" i="123"/>
  <c r="U145" i="123"/>
  <c r="X150" i="123"/>
  <c r="AG154" i="123"/>
  <c r="X108" i="123"/>
  <c r="V134" i="123"/>
  <c r="AI134" i="123" s="1"/>
  <c r="U134" i="123"/>
  <c r="U136" i="123"/>
  <c r="V136" i="123"/>
  <c r="AI136" i="123" s="1"/>
  <c r="AG142" i="123"/>
  <c r="AJ142" i="123" s="1"/>
  <c r="AH142" i="123"/>
  <c r="AI142" i="123"/>
  <c r="AG150" i="123"/>
  <c r="AJ150" i="123" s="1"/>
  <c r="AH150" i="123"/>
  <c r="AI150" i="123"/>
  <c r="U156" i="123"/>
  <c r="V156" i="123"/>
  <c r="AI156" i="123" s="1"/>
  <c r="V157" i="123"/>
  <c r="AI157" i="123" s="1"/>
  <c r="U157" i="123"/>
  <c r="AG162" i="123"/>
  <c r="X135" i="123"/>
  <c r="U174" i="123"/>
  <c r="V174" i="123"/>
  <c r="V183" i="123"/>
  <c r="AI183" i="123" s="1"/>
  <c r="U183" i="123"/>
  <c r="AG192" i="123"/>
  <c r="AI193" i="123"/>
  <c r="W193" i="123"/>
  <c r="AH193" i="123" s="1"/>
  <c r="U194" i="123"/>
  <c r="V194" i="123"/>
  <c r="U196" i="123"/>
  <c r="V196" i="123"/>
  <c r="W196" i="123" s="1"/>
  <c r="AH196" i="123" s="1"/>
  <c r="V199" i="123"/>
  <c r="AI199" i="123" s="1"/>
  <c r="U199" i="123"/>
  <c r="AG199" i="123"/>
  <c r="AG208" i="123"/>
  <c r="W209" i="123"/>
  <c r="V217" i="123"/>
  <c r="W217" i="123" s="1"/>
  <c r="AH217" i="123" s="1"/>
  <c r="U217" i="123"/>
  <c r="U170" i="123"/>
  <c r="V170" i="123"/>
  <c r="AI170" i="123" s="1"/>
  <c r="AG180" i="123"/>
  <c r="AJ180" i="123" s="1"/>
  <c r="U181" i="123"/>
  <c r="V181" i="123"/>
  <c r="AI181" i="123" s="1"/>
  <c r="U182" i="123"/>
  <c r="V182" i="123"/>
  <c r="AI182" i="123" s="1"/>
  <c r="U184" i="123"/>
  <c r="V184" i="123"/>
  <c r="AI184" i="123" s="1"/>
  <c r="V187" i="123"/>
  <c r="AI187" i="123" s="1"/>
  <c r="U187" i="123"/>
  <c r="AG187" i="123"/>
  <c r="AG196" i="123"/>
  <c r="U197" i="123"/>
  <c r="V197" i="123"/>
  <c r="AI197" i="123" s="1"/>
  <c r="U198" i="123"/>
  <c r="V198" i="123"/>
  <c r="AI198" i="123" s="1"/>
  <c r="U200" i="123"/>
  <c r="V200" i="123"/>
  <c r="W200" i="123" s="1"/>
  <c r="AH200" i="123" s="1"/>
  <c r="V203" i="123"/>
  <c r="W203" i="123" s="1"/>
  <c r="AH203" i="123" s="1"/>
  <c r="U203" i="123"/>
  <c r="AG203" i="123"/>
  <c r="AG210" i="123"/>
  <c r="AG228" i="123"/>
  <c r="X139" i="123"/>
  <c r="U166" i="123"/>
  <c r="V166" i="123"/>
  <c r="W166" i="123" s="1"/>
  <c r="AH166" i="123" s="1"/>
  <c r="X173" i="123"/>
  <c r="V179" i="123"/>
  <c r="AI179" i="123" s="1"/>
  <c r="U179" i="123"/>
  <c r="AG184" i="123"/>
  <c r="U185" i="123"/>
  <c r="V185" i="123"/>
  <c r="U188" i="123"/>
  <c r="V188" i="123"/>
  <c r="W188" i="123" s="1"/>
  <c r="AH188" i="123" s="1"/>
  <c r="V191" i="123"/>
  <c r="AI191" i="123" s="1"/>
  <c r="U191" i="123"/>
  <c r="AG200" i="123"/>
  <c r="X204" i="123"/>
  <c r="X131" i="123"/>
  <c r="X169" i="123"/>
  <c r="U176" i="123"/>
  <c r="V176" i="123"/>
  <c r="AI176" i="123" s="1"/>
  <c r="AG188" i="123"/>
  <c r="U189" i="123"/>
  <c r="V189" i="123"/>
  <c r="AI189" i="123" s="1"/>
  <c r="U190" i="123"/>
  <c r="V190" i="123"/>
  <c r="AI190" i="123" s="1"/>
  <c r="U192" i="123"/>
  <c r="V192" i="123"/>
  <c r="AI192" i="123" s="1"/>
  <c r="V195" i="123"/>
  <c r="AI195" i="123" s="1"/>
  <c r="U195" i="123"/>
  <c r="AG204" i="123"/>
  <c r="AJ204" i="123" s="1"/>
  <c r="AH204" i="123"/>
  <c r="AI204" i="123"/>
  <c r="U205" i="123"/>
  <c r="V205" i="123"/>
  <c r="U206" i="123"/>
  <c r="V206" i="123"/>
  <c r="U208" i="123"/>
  <c r="V208" i="123"/>
  <c r="AI208" i="123" s="1"/>
  <c r="V211" i="123"/>
  <c r="W211" i="123" s="1"/>
  <c r="AH211" i="123" s="1"/>
  <c r="U211" i="123"/>
  <c r="X213" i="123"/>
  <c r="V207" i="123"/>
  <c r="AI207" i="123" s="1"/>
  <c r="U207" i="123"/>
  <c r="AG211" i="123"/>
  <c r="U220" i="123"/>
  <c r="V220" i="123"/>
  <c r="W220" i="123" s="1"/>
  <c r="AH220" i="123" s="1"/>
  <c r="U224" i="123"/>
  <c r="V224" i="123"/>
  <c r="AI224" i="123" s="1"/>
  <c r="U225" i="123"/>
  <c r="V225" i="123"/>
  <c r="AI225" i="123" s="1"/>
  <c r="U228" i="123"/>
  <c r="V228" i="123"/>
  <c r="AI228" i="123" s="1"/>
  <c r="U212" i="123"/>
  <c r="V212" i="123"/>
  <c r="AI212" i="123" s="1"/>
  <c r="V215" i="123"/>
  <c r="AI215" i="123" s="1"/>
  <c r="AG215" i="123"/>
  <c r="U215" i="123"/>
  <c r="AG216" i="123"/>
  <c r="V219" i="123"/>
  <c r="AI219" i="123" s="1"/>
  <c r="U219" i="123"/>
  <c r="AG235" i="123"/>
  <c r="U237" i="123"/>
  <c r="V237" i="123"/>
  <c r="AI237" i="123" s="1"/>
  <c r="U241" i="123"/>
  <c r="V241" i="123"/>
  <c r="AI241" i="123" s="1"/>
  <c r="AG243" i="123"/>
  <c r="U245" i="123"/>
  <c r="V245" i="123"/>
  <c r="AG247" i="123"/>
  <c r="U249" i="123"/>
  <c r="V249" i="123"/>
  <c r="AI249" i="123" s="1"/>
  <c r="AG251" i="123"/>
  <c r="U253" i="123"/>
  <c r="V253" i="123"/>
  <c r="AI253" i="123" s="1"/>
  <c r="U257" i="123"/>
  <c r="V257" i="123"/>
  <c r="AI257" i="123" s="1"/>
  <c r="AG259" i="123"/>
  <c r="U261" i="123"/>
  <c r="V261" i="123"/>
  <c r="AG263" i="123"/>
  <c r="U265" i="123"/>
  <c r="V265" i="123"/>
  <c r="AI265" i="123" s="1"/>
  <c r="AG267" i="123"/>
  <c r="U269" i="123"/>
  <c r="V269" i="123"/>
  <c r="AI269" i="123" s="1"/>
  <c r="U273" i="123"/>
  <c r="V273" i="123"/>
  <c r="AG217" i="123"/>
  <c r="V222" i="123"/>
  <c r="AI222" i="123" s="1"/>
  <c r="U222" i="123"/>
  <c r="AG223" i="123"/>
  <c r="X226" i="123"/>
  <c r="AG227" i="123"/>
  <c r="V229" i="123"/>
  <c r="AI229" i="123" s="1"/>
  <c r="U229" i="123"/>
  <c r="U210" i="123"/>
  <c r="V210" i="123"/>
  <c r="AI210" i="123" s="1"/>
  <c r="U216" i="123"/>
  <c r="V216" i="123"/>
  <c r="AI216" i="123" s="1"/>
  <c r="AG220" i="123"/>
  <c r="U221" i="123"/>
  <c r="V221" i="123"/>
  <c r="AI221" i="123" s="1"/>
  <c r="V223" i="123"/>
  <c r="AI223" i="123" s="1"/>
  <c r="U223" i="123"/>
  <c r="V227" i="123"/>
  <c r="AI227" i="123" s="1"/>
  <c r="U227" i="123"/>
  <c r="U236" i="123"/>
  <c r="V236" i="123"/>
  <c r="W236" i="123" s="1"/>
  <c r="U244" i="123"/>
  <c r="V244" i="123"/>
  <c r="AI244" i="123" s="1"/>
  <c r="V246" i="123"/>
  <c r="AI246" i="123" s="1"/>
  <c r="U246" i="123"/>
  <c r="U251" i="123"/>
  <c r="V251" i="123"/>
  <c r="AI251" i="123" s="1"/>
  <c r="V258" i="123"/>
  <c r="AI258" i="123" s="1"/>
  <c r="U258" i="123"/>
  <c r="U267" i="123"/>
  <c r="V267" i="123"/>
  <c r="AI267" i="123" s="1"/>
  <c r="U279" i="123"/>
  <c r="V279" i="123"/>
  <c r="W279" i="123" s="1"/>
  <c r="AH279" i="123" s="1"/>
  <c r="AG283" i="123"/>
  <c r="U284" i="123"/>
  <c r="V284" i="123"/>
  <c r="AI284" i="123" s="1"/>
  <c r="U289" i="123"/>
  <c r="V289" i="123"/>
  <c r="U293" i="123"/>
  <c r="V293" i="123"/>
  <c r="AI293" i="123" s="1"/>
  <c r="V294" i="123"/>
  <c r="W294" i="123" s="1"/>
  <c r="U294" i="123"/>
  <c r="U304" i="123"/>
  <c r="V304" i="123"/>
  <c r="AI304" i="123" s="1"/>
  <c r="U231" i="123"/>
  <c r="V231" i="123"/>
  <c r="U233" i="123"/>
  <c r="V233" i="123"/>
  <c r="W233" i="123" s="1"/>
  <c r="U235" i="123"/>
  <c r="V235" i="123"/>
  <c r="AI235" i="123" s="1"/>
  <c r="U239" i="123"/>
  <c r="V239" i="123"/>
  <c r="W239" i="123" s="1"/>
  <c r="U247" i="123"/>
  <c r="V247" i="123"/>
  <c r="AI247" i="123" s="1"/>
  <c r="V254" i="123"/>
  <c r="AI254" i="123" s="1"/>
  <c r="U254" i="123"/>
  <c r="U263" i="123"/>
  <c r="V263" i="123"/>
  <c r="AI263" i="123" s="1"/>
  <c r="X264" i="123"/>
  <c r="V270" i="123"/>
  <c r="AI270" i="123" s="1"/>
  <c r="U270" i="123"/>
  <c r="X275" i="123"/>
  <c r="AG279" i="123"/>
  <c r="U285" i="123"/>
  <c r="V285" i="123"/>
  <c r="V286" i="123"/>
  <c r="AI286" i="123" s="1"/>
  <c r="U286" i="123"/>
  <c r="V290" i="123"/>
  <c r="AI290" i="123" s="1"/>
  <c r="U290" i="123"/>
  <c r="V298" i="123"/>
  <c r="AI298" i="123" s="1"/>
  <c r="U298" i="123"/>
  <c r="V316" i="123"/>
  <c r="U316" i="123"/>
  <c r="U317" i="123"/>
  <c r="V317" i="123"/>
  <c r="AI317" i="123" s="1"/>
  <c r="V320" i="123"/>
  <c r="W320" i="123" s="1"/>
  <c r="U320" i="123"/>
  <c r="U321" i="123"/>
  <c r="V321" i="123"/>
  <c r="AI321" i="123" s="1"/>
  <c r="V324" i="123"/>
  <c r="AI324" i="123" s="1"/>
  <c r="U324" i="123"/>
  <c r="V234" i="123"/>
  <c r="AI234" i="123" s="1"/>
  <c r="U234" i="123"/>
  <c r="U240" i="123"/>
  <c r="V240" i="123"/>
  <c r="AI240" i="123" s="1"/>
  <c r="V242" i="123"/>
  <c r="AI242" i="123" s="1"/>
  <c r="U242" i="123"/>
  <c r="V250" i="123"/>
  <c r="AI250" i="123" s="1"/>
  <c r="U250" i="123"/>
  <c r="U259" i="123"/>
  <c r="V259" i="123"/>
  <c r="AI259" i="123" s="1"/>
  <c r="X260" i="123"/>
  <c r="V266" i="123"/>
  <c r="AI266" i="123" s="1"/>
  <c r="U266" i="123"/>
  <c r="AG275" i="123"/>
  <c r="AJ275" i="123" s="1"/>
  <c r="AH275" i="123"/>
  <c r="AI275" i="123"/>
  <c r="U276" i="123"/>
  <c r="V276" i="123"/>
  <c r="AI276" i="123" s="1"/>
  <c r="U281" i="123"/>
  <c r="V281" i="123"/>
  <c r="AI281" i="123" s="1"/>
  <c r="V282" i="123"/>
  <c r="AI282" i="123" s="1"/>
  <c r="U282" i="123"/>
  <c r="X287" i="123"/>
  <c r="U291" i="123"/>
  <c r="V291" i="123"/>
  <c r="W291" i="123" s="1"/>
  <c r="AH291" i="123" s="1"/>
  <c r="AG295" i="123"/>
  <c r="AI295" i="123"/>
  <c r="W296" i="123"/>
  <c r="U299" i="123"/>
  <c r="V299" i="123"/>
  <c r="W299" i="123" s="1"/>
  <c r="AH299" i="123" s="1"/>
  <c r="V302" i="123"/>
  <c r="AI302" i="123" s="1"/>
  <c r="U302" i="123"/>
  <c r="AG302" i="123"/>
  <c r="AG306" i="123"/>
  <c r="U309" i="123"/>
  <c r="V309" i="123"/>
  <c r="AI309" i="123" s="1"/>
  <c r="V310" i="123"/>
  <c r="AI310" i="123" s="1"/>
  <c r="U310" i="123"/>
  <c r="AG319" i="123"/>
  <c r="V325" i="123"/>
  <c r="W325" i="123" s="1"/>
  <c r="AH325" i="123" s="1"/>
  <c r="U325" i="123"/>
  <c r="AG325" i="123"/>
  <c r="AG327" i="123"/>
  <c r="V238" i="123"/>
  <c r="AI238" i="123" s="1"/>
  <c r="U238" i="123"/>
  <c r="U243" i="123"/>
  <c r="V243" i="123"/>
  <c r="AI243" i="123" s="1"/>
  <c r="U255" i="123"/>
  <c r="V255" i="123"/>
  <c r="X256" i="123"/>
  <c r="V262" i="123"/>
  <c r="AI262" i="123" s="1"/>
  <c r="U262" i="123"/>
  <c r="U271" i="123"/>
  <c r="V271" i="123"/>
  <c r="X272" i="123"/>
  <c r="AN272" i="123"/>
  <c r="V274" i="123"/>
  <c r="AI274" i="123" s="1"/>
  <c r="U274" i="123"/>
  <c r="U277" i="123"/>
  <c r="V277" i="123"/>
  <c r="AI277" i="123" s="1"/>
  <c r="V278" i="123"/>
  <c r="AI278" i="123" s="1"/>
  <c r="U278" i="123"/>
  <c r="AG278" i="123"/>
  <c r="U283" i="123"/>
  <c r="V283" i="123"/>
  <c r="AI283" i="123" s="1"/>
  <c r="AG287" i="123"/>
  <c r="AJ287" i="123" s="1"/>
  <c r="AH287" i="123"/>
  <c r="AI287" i="123"/>
  <c r="U288" i="123"/>
  <c r="V288" i="123"/>
  <c r="AI288" i="123" s="1"/>
  <c r="AG291" i="123"/>
  <c r="U292" i="123"/>
  <c r="V292" i="123"/>
  <c r="AI292" i="123" s="1"/>
  <c r="AG299" i="123"/>
  <c r="U300" i="123"/>
  <c r="V300" i="123"/>
  <c r="U301" i="123"/>
  <c r="V301" i="123"/>
  <c r="AI301" i="123" s="1"/>
  <c r="V306" i="123"/>
  <c r="AI306" i="123" s="1"/>
  <c r="U306" i="123"/>
  <c r="AG311" i="123"/>
  <c r="V312" i="123"/>
  <c r="AI312" i="123" s="1"/>
  <c r="U312" i="123"/>
  <c r="AG312" i="123"/>
  <c r="AG324" i="123"/>
  <c r="U326" i="123"/>
  <c r="V326" i="123"/>
  <c r="AF328" i="123"/>
  <c r="AE328" i="123"/>
  <c r="V330" i="123"/>
  <c r="AI330" i="123" s="1"/>
  <c r="U330" i="123"/>
  <c r="AG332" i="123"/>
  <c r="V334" i="123"/>
  <c r="U334" i="123"/>
  <c r="AG336" i="123"/>
  <c r="V338" i="123"/>
  <c r="W338" i="123" s="1"/>
  <c r="U338" i="123"/>
  <c r="AF340" i="123"/>
  <c r="AE340" i="123"/>
  <c r="V342" i="123"/>
  <c r="AI342" i="123" s="1"/>
  <c r="AG342" i="123"/>
  <c r="U342" i="123"/>
  <c r="AF344" i="123"/>
  <c r="AE344" i="123"/>
  <c r="V346" i="123"/>
  <c r="AI346" i="123" s="1"/>
  <c r="U346" i="123"/>
  <c r="AG348" i="123"/>
  <c r="V350" i="123"/>
  <c r="W350" i="123" s="1"/>
  <c r="U350" i="123"/>
  <c r="AG352" i="123"/>
  <c r="U319" i="123"/>
  <c r="V319" i="123"/>
  <c r="AI319" i="123" s="1"/>
  <c r="U328" i="123"/>
  <c r="V328" i="123"/>
  <c r="W328" i="123" s="1"/>
  <c r="U329" i="123"/>
  <c r="V329" i="123"/>
  <c r="W329" i="123" s="1"/>
  <c r="AH329" i="123" s="1"/>
  <c r="X331" i="123"/>
  <c r="AG335" i="123"/>
  <c r="AJ335" i="123" s="1"/>
  <c r="AI335" i="123"/>
  <c r="U344" i="123"/>
  <c r="V344" i="123"/>
  <c r="W344" i="123" s="1"/>
  <c r="U345" i="123"/>
  <c r="V345" i="123"/>
  <c r="W345" i="123" s="1"/>
  <c r="X347" i="123"/>
  <c r="AG349" i="123"/>
  <c r="AG351" i="123"/>
  <c r="U357" i="123"/>
  <c r="V357" i="123"/>
  <c r="W357" i="123" s="1"/>
  <c r="AH357" i="123" s="1"/>
  <c r="U358" i="123"/>
  <c r="V358" i="123"/>
  <c r="AI358" i="123" s="1"/>
  <c r="U361" i="123"/>
  <c r="V361" i="123"/>
  <c r="W361" i="123" s="1"/>
  <c r="AH361" i="123" s="1"/>
  <c r="U362" i="123"/>
  <c r="V362" i="123"/>
  <c r="AI362" i="123" s="1"/>
  <c r="U365" i="123"/>
  <c r="V365" i="123"/>
  <c r="W365" i="123" s="1"/>
  <c r="AH365" i="123" s="1"/>
  <c r="U366" i="123"/>
  <c r="V366" i="123"/>
  <c r="AI366" i="123" s="1"/>
  <c r="U323" i="123"/>
  <c r="V323" i="123"/>
  <c r="U332" i="123"/>
  <c r="V332" i="123"/>
  <c r="W332" i="123" s="1"/>
  <c r="AH332" i="123" s="1"/>
  <c r="U333" i="123"/>
  <c r="V333" i="123"/>
  <c r="AG337" i="123"/>
  <c r="AG339" i="123"/>
  <c r="U348" i="123"/>
  <c r="V348" i="123"/>
  <c r="AI348" i="123" s="1"/>
  <c r="U349" i="123"/>
  <c r="V349" i="123"/>
  <c r="AI349" i="123" s="1"/>
  <c r="U351" i="123"/>
  <c r="V351" i="123"/>
  <c r="AI351" i="123" s="1"/>
  <c r="AG356" i="123"/>
  <c r="AG360" i="123"/>
  <c r="AG372" i="123"/>
  <c r="AG376" i="123"/>
  <c r="AG384" i="123"/>
  <c r="AG392" i="123"/>
  <c r="U311" i="123"/>
  <c r="V311" i="123"/>
  <c r="AI311" i="123" s="1"/>
  <c r="U315" i="123"/>
  <c r="V315" i="123"/>
  <c r="AI315" i="123" s="1"/>
  <c r="V318" i="123"/>
  <c r="AI318" i="123" s="1"/>
  <c r="U318" i="123"/>
  <c r="U336" i="123"/>
  <c r="V336" i="123"/>
  <c r="AI336" i="123" s="1"/>
  <c r="U337" i="123"/>
  <c r="V337" i="123"/>
  <c r="W337" i="123" s="1"/>
  <c r="AH337" i="123" s="1"/>
  <c r="U339" i="123"/>
  <c r="V339" i="123"/>
  <c r="AI339" i="123" s="1"/>
  <c r="AG341" i="123"/>
  <c r="AG343" i="123"/>
  <c r="AJ343" i="123" s="1"/>
  <c r="AH343" i="123"/>
  <c r="AI343" i="123"/>
  <c r="U352" i="123"/>
  <c r="V352" i="123"/>
  <c r="AI352" i="123" s="1"/>
  <c r="U353" i="123"/>
  <c r="V353" i="123"/>
  <c r="V355" i="123"/>
  <c r="AI355" i="123" s="1"/>
  <c r="U355" i="123"/>
  <c r="AG357" i="123"/>
  <c r="AG361" i="123"/>
  <c r="AG365" i="123"/>
  <c r="AG369" i="123"/>
  <c r="AG373" i="123"/>
  <c r="AG377" i="123"/>
  <c r="AG381" i="123"/>
  <c r="AG385" i="123"/>
  <c r="V387" i="123"/>
  <c r="W387" i="123" s="1"/>
  <c r="U387" i="123"/>
  <c r="AG389" i="123"/>
  <c r="AG401" i="123"/>
  <c r="U305" i="123"/>
  <c r="V305" i="123"/>
  <c r="V322" i="123"/>
  <c r="AI322" i="123" s="1"/>
  <c r="U322" i="123"/>
  <c r="U327" i="123"/>
  <c r="V327" i="123"/>
  <c r="AI327" i="123" s="1"/>
  <c r="AG329" i="123"/>
  <c r="AG331" i="123"/>
  <c r="AJ331" i="123" s="1"/>
  <c r="AH331" i="123"/>
  <c r="AI331" i="123"/>
  <c r="U340" i="123"/>
  <c r="V340" i="123"/>
  <c r="W340" i="123" s="1"/>
  <c r="U341" i="123"/>
  <c r="V341" i="123"/>
  <c r="AI341" i="123" s="1"/>
  <c r="X343" i="123"/>
  <c r="AG347" i="123"/>
  <c r="AJ347" i="123" s="1"/>
  <c r="AH347" i="123"/>
  <c r="AI347" i="123"/>
  <c r="V354" i="123"/>
  <c r="W354" i="123" s="1"/>
  <c r="AH354" i="123" s="1"/>
  <c r="U354" i="123"/>
  <c r="AG354" i="123"/>
  <c r="AG374" i="123"/>
  <c r="AG378" i="123"/>
  <c r="AG382" i="123"/>
  <c r="U408" i="123"/>
  <c r="V408" i="123"/>
  <c r="AI408" i="123" s="1"/>
  <c r="AG410" i="123"/>
  <c r="U416" i="123"/>
  <c r="V416" i="123"/>
  <c r="AI416" i="123" s="1"/>
  <c r="AG422" i="123"/>
  <c r="U424" i="123"/>
  <c r="V424" i="123"/>
  <c r="AI424" i="123" s="1"/>
  <c r="U428" i="123"/>
  <c r="V428" i="123"/>
  <c r="U432" i="123"/>
  <c r="V432" i="123"/>
  <c r="AI432" i="123" s="1"/>
  <c r="U436" i="123"/>
  <c r="V436" i="123"/>
  <c r="W436" i="123" s="1"/>
  <c r="AH436" i="123" s="1"/>
  <c r="AG438" i="123"/>
  <c r="U440" i="123"/>
  <c r="V440" i="123"/>
  <c r="AI440" i="123" s="1"/>
  <c r="X359" i="123"/>
  <c r="U360" i="123"/>
  <c r="V360" i="123"/>
  <c r="AI360" i="123" s="1"/>
  <c r="U368" i="123"/>
  <c r="V368" i="123"/>
  <c r="U369" i="123"/>
  <c r="V369" i="123"/>
  <c r="W369" i="123" s="1"/>
  <c r="AH369" i="123" s="1"/>
  <c r="U373" i="123"/>
  <c r="V373" i="123"/>
  <c r="AI373" i="123" s="1"/>
  <c r="U376" i="123"/>
  <c r="V376" i="123"/>
  <c r="AI376" i="123" s="1"/>
  <c r="U378" i="123"/>
  <c r="V378" i="123"/>
  <c r="AI378" i="123" s="1"/>
  <c r="V391" i="123"/>
  <c r="W391" i="123" s="1"/>
  <c r="AH391" i="123" s="1"/>
  <c r="U391" i="123"/>
  <c r="U413" i="123"/>
  <c r="V413" i="123"/>
  <c r="W413" i="123" s="1"/>
  <c r="V415" i="123"/>
  <c r="AI415" i="123" s="1"/>
  <c r="U415" i="123"/>
  <c r="U422" i="123"/>
  <c r="V422" i="123"/>
  <c r="AI422" i="123" s="1"/>
  <c r="X423" i="123"/>
  <c r="U451" i="123"/>
  <c r="V451" i="123"/>
  <c r="AI451" i="123" s="1"/>
  <c r="U356" i="123"/>
  <c r="V356" i="123"/>
  <c r="AI356" i="123" s="1"/>
  <c r="V371" i="123"/>
  <c r="AI371" i="123" s="1"/>
  <c r="U371" i="123"/>
  <c r="U381" i="123"/>
  <c r="V381" i="123"/>
  <c r="AI381" i="123" s="1"/>
  <c r="V383" i="123"/>
  <c r="AI383" i="123" s="1"/>
  <c r="U383" i="123"/>
  <c r="U388" i="123"/>
  <c r="V388" i="123"/>
  <c r="U392" i="123"/>
  <c r="V392" i="123"/>
  <c r="AI392" i="123" s="1"/>
  <c r="U400" i="123"/>
  <c r="V400" i="123"/>
  <c r="AI400" i="123" s="1"/>
  <c r="U425" i="123"/>
  <c r="V425" i="123"/>
  <c r="AI425" i="123" s="1"/>
  <c r="V427" i="123"/>
  <c r="AI427" i="123" s="1"/>
  <c r="U427" i="123"/>
  <c r="U429" i="123"/>
  <c r="V429" i="123"/>
  <c r="AG436" i="123"/>
  <c r="U438" i="123"/>
  <c r="V438" i="123"/>
  <c r="AI438" i="123" s="1"/>
  <c r="X439" i="123"/>
  <c r="U444" i="123"/>
  <c r="V444" i="123"/>
  <c r="AI444" i="123" s="1"/>
  <c r="V367" i="123"/>
  <c r="AI367" i="123" s="1"/>
  <c r="U367" i="123"/>
  <c r="U372" i="123"/>
  <c r="V372" i="123"/>
  <c r="AI372" i="123" s="1"/>
  <c r="U374" i="123"/>
  <c r="V374" i="123"/>
  <c r="AI374" i="123" s="1"/>
  <c r="U377" i="123"/>
  <c r="V377" i="123"/>
  <c r="AI377" i="123" s="1"/>
  <c r="V379" i="123"/>
  <c r="AI379" i="123" s="1"/>
  <c r="U379" i="123"/>
  <c r="U384" i="123"/>
  <c r="V384" i="123"/>
  <c r="W384" i="123" s="1"/>
  <c r="AH384" i="123" s="1"/>
  <c r="U386" i="123"/>
  <c r="V386" i="123"/>
  <c r="AI386" i="123" s="1"/>
  <c r="AG386" i="123"/>
  <c r="U390" i="123"/>
  <c r="V390" i="123"/>
  <c r="W390" i="123" s="1"/>
  <c r="AH390" i="123" s="1"/>
  <c r="AG390" i="123"/>
  <c r="U394" i="123"/>
  <c r="V394" i="123"/>
  <c r="AI394" i="123" s="1"/>
  <c r="U410" i="123"/>
  <c r="V410" i="123"/>
  <c r="AI410" i="123" s="1"/>
  <c r="U421" i="123"/>
  <c r="V421" i="123"/>
  <c r="AI421" i="123" s="1"/>
  <c r="X431" i="123"/>
  <c r="X435" i="123"/>
  <c r="U441" i="123"/>
  <c r="V441" i="123"/>
  <c r="AI441" i="123" s="1"/>
  <c r="V447" i="123"/>
  <c r="AI447" i="123" s="1"/>
  <c r="U447" i="123"/>
  <c r="U448" i="123"/>
  <c r="V448" i="123"/>
  <c r="W448" i="123" s="1"/>
  <c r="AG457" i="123"/>
  <c r="V459" i="123"/>
  <c r="AI459" i="123" s="1"/>
  <c r="U459" i="123"/>
  <c r="AG461" i="123"/>
  <c r="V463" i="123"/>
  <c r="U463" i="123"/>
  <c r="AG469" i="123"/>
  <c r="V475" i="123"/>
  <c r="U475" i="123"/>
  <c r="AG477" i="123"/>
  <c r="V479" i="123"/>
  <c r="U479" i="123"/>
  <c r="AG485" i="123"/>
  <c r="V487" i="123"/>
  <c r="U487" i="123"/>
  <c r="V491" i="123"/>
  <c r="U491" i="123"/>
  <c r="AG493" i="123"/>
  <c r="V495" i="123"/>
  <c r="AI495" i="123" s="1"/>
  <c r="U495" i="123"/>
  <c r="V499" i="123"/>
  <c r="AI499" i="123" s="1"/>
  <c r="U499" i="123"/>
  <c r="V503" i="123"/>
  <c r="AI503" i="123" s="1"/>
  <c r="U503" i="123"/>
  <c r="V507" i="123"/>
  <c r="AI507" i="123" s="1"/>
  <c r="U507" i="123"/>
  <c r="V511" i="123"/>
  <c r="AI511" i="123" s="1"/>
  <c r="U511" i="123"/>
  <c r="V515" i="123"/>
  <c r="AI515" i="123" s="1"/>
  <c r="U515" i="123"/>
  <c r="V519" i="123"/>
  <c r="U519" i="123"/>
  <c r="V523" i="123"/>
  <c r="AI523" i="123" s="1"/>
  <c r="U523" i="123"/>
  <c r="V527" i="123"/>
  <c r="AI527" i="123" s="1"/>
  <c r="U527" i="123"/>
  <c r="AG529" i="123"/>
  <c r="V531" i="123"/>
  <c r="U531" i="123"/>
  <c r="AG533" i="123"/>
  <c r="V535" i="123"/>
  <c r="AI535" i="123" s="1"/>
  <c r="U535" i="123"/>
  <c r="AG537" i="123"/>
  <c r="V539" i="123"/>
  <c r="U539" i="123"/>
  <c r="X363" i="123"/>
  <c r="U364" i="123"/>
  <c r="V364" i="123"/>
  <c r="U370" i="123"/>
  <c r="V370" i="123"/>
  <c r="AI370" i="123" s="1"/>
  <c r="V375" i="123"/>
  <c r="AI375" i="123" s="1"/>
  <c r="U375" i="123"/>
  <c r="U380" i="123"/>
  <c r="V380" i="123"/>
  <c r="U382" i="123"/>
  <c r="V382" i="123"/>
  <c r="AI382" i="123" s="1"/>
  <c r="U385" i="123"/>
  <c r="V385" i="123"/>
  <c r="W385" i="123" s="1"/>
  <c r="AH385" i="123" s="1"/>
  <c r="U389" i="123"/>
  <c r="V389" i="123"/>
  <c r="AI389" i="123" s="1"/>
  <c r="AG391" i="123"/>
  <c r="U401" i="123"/>
  <c r="V401" i="123"/>
  <c r="AI401" i="123" s="1"/>
  <c r="U433" i="123"/>
  <c r="V433" i="123"/>
  <c r="AI433" i="123" s="1"/>
  <c r="AG454" i="123"/>
  <c r="AG466" i="123"/>
  <c r="AG470" i="123"/>
  <c r="AG486" i="123"/>
  <c r="AG490" i="123"/>
  <c r="AG494" i="123"/>
  <c r="AG498" i="123"/>
  <c r="U500" i="123"/>
  <c r="V500" i="123"/>
  <c r="W500" i="123" s="1"/>
  <c r="AH500" i="123" s="1"/>
  <c r="AG502" i="123"/>
  <c r="AG506" i="123"/>
  <c r="AG514" i="123"/>
  <c r="AG518" i="123"/>
  <c r="AG522" i="123"/>
  <c r="AG526" i="123"/>
  <c r="U457" i="123"/>
  <c r="V457" i="123"/>
  <c r="AI457" i="123" s="1"/>
  <c r="U460" i="123"/>
  <c r="V460" i="123"/>
  <c r="W460" i="123" s="1"/>
  <c r="AH460" i="123" s="1"/>
  <c r="U462" i="123"/>
  <c r="V462" i="123"/>
  <c r="W462" i="123" s="1"/>
  <c r="AH462" i="123" s="1"/>
  <c r="AG462" i="123"/>
  <c r="U472" i="123"/>
  <c r="V472" i="123"/>
  <c r="W472" i="123" s="1"/>
  <c r="AH472" i="123" s="1"/>
  <c r="X476" i="123"/>
  <c r="U478" i="123"/>
  <c r="V478" i="123"/>
  <c r="AI478" i="123" s="1"/>
  <c r="AG478" i="123"/>
  <c r="U480" i="123"/>
  <c r="V480" i="123"/>
  <c r="AI480" i="123" s="1"/>
  <c r="U485" i="123"/>
  <c r="V485" i="123"/>
  <c r="AI485" i="123" s="1"/>
  <c r="U486" i="123"/>
  <c r="V486" i="123"/>
  <c r="AI486" i="123" s="1"/>
  <c r="AG496" i="123"/>
  <c r="U498" i="123"/>
  <c r="V498" i="123"/>
  <c r="AI498" i="123" s="1"/>
  <c r="U502" i="123"/>
  <c r="V502" i="123"/>
  <c r="AI502" i="123" s="1"/>
  <c r="AG508" i="123"/>
  <c r="AG516" i="123"/>
  <c r="U518" i="123"/>
  <c r="V518" i="123"/>
  <c r="AI518" i="123" s="1"/>
  <c r="U530" i="123"/>
  <c r="V530" i="123"/>
  <c r="AI530" i="123" s="1"/>
  <c r="AG530" i="123"/>
  <c r="U532" i="123"/>
  <c r="V532" i="123"/>
  <c r="W532" i="123" s="1"/>
  <c r="AH532" i="123" s="1"/>
  <c r="U538" i="123"/>
  <c r="V538" i="123"/>
  <c r="AI538" i="123" s="1"/>
  <c r="AG538" i="123"/>
  <c r="AG540" i="123"/>
  <c r="AG545" i="123"/>
  <c r="AJ545" i="123" s="1"/>
  <c r="AH545" i="123"/>
  <c r="AI545" i="123"/>
  <c r="U454" i="123"/>
  <c r="V454" i="123"/>
  <c r="AI454" i="123" s="1"/>
  <c r="AG456" i="123"/>
  <c r="U466" i="123"/>
  <c r="V466" i="123"/>
  <c r="AI466" i="123" s="1"/>
  <c r="V471" i="123"/>
  <c r="AI471" i="123" s="1"/>
  <c r="U471" i="123"/>
  <c r="AG484" i="123"/>
  <c r="U489" i="123"/>
  <c r="V489" i="123"/>
  <c r="W489" i="123" s="1"/>
  <c r="U493" i="123"/>
  <c r="V493" i="123"/>
  <c r="AI493" i="123" s="1"/>
  <c r="U496" i="123"/>
  <c r="V496" i="123"/>
  <c r="W496" i="123" s="1"/>
  <c r="AH496" i="123" s="1"/>
  <c r="AG500" i="123"/>
  <c r="U505" i="123"/>
  <c r="V505" i="123"/>
  <c r="U508" i="123"/>
  <c r="V508" i="123"/>
  <c r="W508" i="123" s="1"/>
  <c r="AH508" i="123" s="1"/>
  <c r="U513" i="123"/>
  <c r="V513" i="123"/>
  <c r="U516" i="123"/>
  <c r="V516" i="123"/>
  <c r="W516" i="123" s="1"/>
  <c r="AH516" i="123" s="1"/>
  <c r="U521" i="123"/>
  <c r="V521" i="123"/>
  <c r="U525" i="123"/>
  <c r="V525" i="123"/>
  <c r="W525" i="123" s="1"/>
  <c r="U528" i="123"/>
  <c r="V528" i="123"/>
  <c r="AI528" i="123" s="1"/>
  <c r="U534" i="123"/>
  <c r="V534" i="123"/>
  <c r="AI534" i="123" s="1"/>
  <c r="AG534" i="123"/>
  <c r="AG536" i="123"/>
  <c r="U540" i="123"/>
  <c r="V540" i="123"/>
  <c r="W540" i="123" s="1"/>
  <c r="AH540" i="123" s="1"/>
  <c r="X541" i="123"/>
  <c r="AN541" i="123"/>
  <c r="U543" i="123"/>
  <c r="V543" i="123"/>
  <c r="U456" i="123"/>
  <c r="V456" i="123"/>
  <c r="AI456" i="123" s="1"/>
  <c r="U461" i="123"/>
  <c r="V461" i="123"/>
  <c r="AI461" i="123" s="1"/>
  <c r="U464" i="123"/>
  <c r="V464" i="123"/>
  <c r="U469" i="123"/>
  <c r="V469" i="123"/>
  <c r="AI469" i="123" s="1"/>
  <c r="U473" i="123"/>
  <c r="V473" i="123"/>
  <c r="W473" i="123" s="1"/>
  <c r="U477" i="123"/>
  <c r="V477" i="123"/>
  <c r="AI477" i="123" s="1"/>
  <c r="U481" i="123"/>
  <c r="V481" i="123"/>
  <c r="U484" i="123"/>
  <c r="V484" i="123"/>
  <c r="AI484" i="123" s="1"/>
  <c r="U490" i="123"/>
  <c r="V490" i="123"/>
  <c r="AI490" i="123" s="1"/>
  <c r="U494" i="123"/>
  <c r="V494" i="123"/>
  <c r="AI494" i="123" s="1"/>
  <c r="AG504" i="123"/>
  <c r="U506" i="123"/>
  <c r="V506" i="123"/>
  <c r="AI506" i="123" s="1"/>
  <c r="U514" i="123"/>
  <c r="V514" i="123"/>
  <c r="AI514" i="123" s="1"/>
  <c r="AG520" i="123"/>
  <c r="U522" i="123"/>
  <c r="V522" i="123"/>
  <c r="AI522" i="123" s="1"/>
  <c r="U526" i="123"/>
  <c r="V526" i="123"/>
  <c r="AI526" i="123" s="1"/>
  <c r="U529" i="123"/>
  <c r="V529" i="123"/>
  <c r="W529" i="123" s="1"/>
  <c r="AH529" i="123" s="1"/>
  <c r="U533" i="123"/>
  <c r="V533" i="123"/>
  <c r="AI533" i="123" s="1"/>
  <c r="U536" i="123"/>
  <c r="V536" i="123"/>
  <c r="AI536" i="123" s="1"/>
  <c r="AG541" i="123"/>
  <c r="AJ541" i="123" s="1"/>
  <c r="AH541" i="123"/>
  <c r="AI541" i="123"/>
  <c r="U542" i="123"/>
  <c r="V542" i="123"/>
  <c r="AI542" i="123" s="1"/>
  <c r="AG544" i="123"/>
  <c r="AG549" i="123"/>
  <c r="AH549" i="123"/>
  <c r="AI549" i="123"/>
  <c r="AG553" i="123"/>
  <c r="AH553" i="123"/>
  <c r="AI553" i="123"/>
  <c r="AG557" i="123"/>
  <c r="AH557" i="123"/>
  <c r="AI557" i="123"/>
  <c r="V455" i="123"/>
  <c r="AI455" i="123" s="1"/>
  <c r="U455" i="123"/>
  <c r="AG460" i="123"/>
  <c r="V467" i="123"/>
  <c r="AI467" i="123" s="1"/>
  <c r="U467" i="123"/>
  <c r="U470" i="123"/>
  <c r="V470" i="123"/>
  <c r="AI470" i="123" s="1"/>
  <c r="AG472" i="123"/>
  <c r="U488" i="123"/>
  <c r="V488" i="123"/>
  <c r="AI488" i="123" s="1"/>
  <c r="X492" i="123"/>
  <c r="U501" i="123"/>
  <c r="V501" i="123"/>
  <c r="U504" i="123"/>
  <c r="V504" i="123"/>
  <c r="AI504" i="123" s="1"/>
  <c r="U509" i="123"/>
  <c r="V509" i="123"/>
  <c r="U512" i="123"/>
  <c r="V512" i="123"/>
  <c r="AI512" i="123" s="1"/>
  <c r="U517" i="123"/>
  <c r="V517" i="123"/>
  <c r="U520" i="123"/>
  <c r="V520" i="123"/>
  <c r="AI520" i="123" s="1"/>
  <c r="U524" i="123"/>
  <c r="V524" i="123"/>
  <c r="W524" i="123" s="1"/>
  <c r="AG532" i="123"/>
  <c r="U537" i="123"/>
  <c r="V537" i="123"/>
  <c r="AI537" i="123" s="1"/>
  <c r="V544" i="123"/>
  <c r="AI544" i="123" s="1"/>
  <c r="U544" i="123"/>
  <c r="AI546" i="123"/>
  <c r="AG546" i="123"/>
  <c r="AH546" i="123"/>
  <c r="AI550" i="123"/>
  <c r="AG550" i="123"/>
  <c r="AH550" i="123"/>
  <c r="AI554" i="123"/>
  <c r="AG554" i="123"/>
  <c r="AH554" i="123"/>
  <c r="AI558" i="123"/>
  <c r="AG558" i="123"/>
  <c r="AH558" i="123"/>
  <c r="AI562" i="123"/>
  <c r="AG562" i="123"/>
  <c r="AH562" i="123"/>
  <c r="AI566" i="123"/>
  <c r="AG566" i="123"/>
  <c r="AH566" i="123"/>
  <c r="AI570" i="123"/>
  <c r="AG570" i="123"/>
  <c r="AH570" i="123"/>
  <c r="AI574" i="123"/>
  <c r="AG574" i="123"/>
  <c r="AH574" i="123"/>
  <c r="AI578" i="123"/>
  <c r="AG578" i="123"/>
  <c r="AH578" i="123"/>
  <c r="AI582" i="123"/>
  <c r="AG582" i="123"/>
  <c r="AH582" i="123"/>
  <c r="AI586" i="123"/>
  <c r="AG586" i="123"/>
  <c r="AH586" i="123"/>
  <c r="AI590" i="123"/>
  <c r="AG590" i="123"/>
  <c r="AH590" i="123"/>
  <c r="AI594" i="123"/>
  <c r="AG594" i="123"/>
  <c r="AH594" i="123"/>
  <c r="AI598" i="123"/>
  <c r="AG598" i="123"/>
  <c r="AH598" i="123"/>
  <c r="AI602" i="123"/>
  <c r="AG602" i="123"/>
  <c r="AH602" i="123"/>
  <c r="AI606" i="123"/>
  <c r="AG606" i="123"/>
  <c r="AH606" i="123"/>
  <c r="AI610" i="123"/>
  <c r="AG610" i="123"/>
  <c r="AH610" i="123"/>
  <c r="AI614" i="123"/>
  <c r="AG614" i="123"/>
  <c r="AH614" i="123"/>
  <c r="AI618" i="123"/>
  <c r="AG618" i="123"/>
  <c r="AH618" i="123"/>
  <c r="AI622" i="123"/>
  <c r="AG622" i="123"/>
  <c r="AH622" i="123"/>
  <c r="AI626" i="123"/>
  <c r="AG626" i="123"/>
  <c r="AH626" i="123"/>
  <c r="AI630" i="123"/>
  <c r="AG630" i="123"/>
  <c r="AH630" i="123"/>
  <c r="AI634" i="123"/>
  <c r="AG634" i="123"/>
  <c r="AH634" i="123"/>
  <c r="AI638" i="123"/>
  <c r="AG638" i="123"/>
  <c r="AH638" i="123"/>
  <c r="AI642" i="123"/>
  <c r="AG642" i="123"/>
  <c r="AH642" i="123"/>
  <c r="AI646" i="123"/>
  <c r="AG646" i="123"/>
  <c r="AH646" i="123"/>
  <c r="AI650" i="123"/>
  <c r="AG650" i="123"/>
  <c r="AH650" i="123"/>
  <c r="AI654" i="123"/>
  <c r="AG654" i="123"/>
  <c r="AH654" i="123"/>
  <c r="AI658" i="123"/>
  <c r="AG658" i="123"/>
  <c r="AH658" i="123"/>
  <c r="AI662" i="123"/>
  <c r="AG662" i="123"/>
  <c r="AH662" i="123"/>
  <c r="AI666" i="123"/>
  <c r="AG666" i="123"/>
  <c r="AH666" i="123"/>
  <c r="AI670" i="123"/>
  <c r="AG670" i="123"/>
  <c r="AH670" i="123"/>
  <c r="AI674" i="123"/>
  <c r="AG674" i="123"/>
  <c r="AH674" i="123"/>
  <c r="AI678" i="123"/>
  <c r="AG678" i="123"/>
  <c r="AH678" i="123"/>
  <c r="AI682" i="123"/>
  <c r="AG682" i="123"/>
  <c r="AH682" i="123"/>
  <c r="AI686" i="123"/>
  <c r="AG686" i="123"/>
  <c r="AH686" i="123"/>
  <c r="AI690" i="123"/>
  <c r="AG690" i="123"/>
  <c r="AH690" i="123"/>
  <c r="AI694" i="123"/>
  <c r="AG694" i="123"/>
  <c r="AH694" i="123"/>
  <c r="AI698" i="123"/>
  <c r="AG698" i="123"/>
  <c r="AH698" i="123"/>
  <c r="AI702" i="123"/>
  <c r="AG702" i="123"/>
  <c r="AH702" i="123"/>
  <c r="AI706" i="123"/>
  <c r="AG706" i="123"/>
  <c r="AH706" i="123"/>
  <c r="AI710" i="123"/>
  <c r="AG710" i="123"/>
  <c r="AH710" i="123"/>
  <c r="AI714" i="123"/>
  <c r="AG714" i="123"/>
  <c r="AH714" i="123"/>
  <c r="AI718" i="123"/>
  <c r="AG718" i="123"/>
  <c r="AH718" i="123"/>
  <c r="AI722" i="123"/>
  <c r="AG722" i="123"/>
  <c r="AH722" i="123"/>
  <c r="AI726" i="123"/>
  <c r="AG726" i="123"/>
  <c r="AH726" i="123"/>
  <c r="AI730" i="123"/>
  <c r="AG730" i="123"/>
  <c r="AH730" i="123"/>
  <c r="AI734" i="123"/>
  <c r="AG734" i="123"/>
  <c r="AH734" i="123"/>
  <c r="AI738" i="123"/>
  <c r="AG738" i="123"/>
  <c r="AH738" i="123"/>
  <c r="AI742" i="123"/>
  <c r="AG742" i="123"/>
  <c r="AH742" i="123"/>
  <c r="AI746" i="123"/>
  <c r="AG746" i="123"/>
  <c r="AH746" i="123"/>
  <c r="AI750" i="123"/>
  <c r="AG750" i="123"/>
  <c r="AH750" i="123"/>
  <c r="AI754" i="123"/>
  <c r="AG754" i="123"/>
  <c r="AH754" i="123"/>
  <c r="AI758" i="123"/>
  <c r="AG758" i="123"/>
  <c r="AH758" i="123"/>
  <c r="AI762" i="123"/>
  <c r="AG762" i="123"/>
  <c r="AH762" i="123"/>
  <c r="AI766" i="123"/>
  <c r="AG766" i="123"/>
  <c r="AH766" i="123"/>
  <c r="AG770" i="123"/>
  <c r="AH770" i="123"/>
  <c r="AI774" i="123"/>
  <c r="AG774" i="123"/>
  <c r="AH774" i="123"/>
  <c r="AI778" i="123"/>
  <c r="AG778" i="123"/>
  <c r="AH778" i="123"/>
  <c r="AI782" i="123"/>
  <c r="AG782" i="123"/>
  <c r="AH782" i="123"/>
  <c r="AI786" i="123"/>
  <c r="AG786" i="123"/>
  <c r="AH786" i="123"/>
  <c r="AI790" i="123"/>
  <c r="AG790" i="123"/>
  <c r="AH790" i="123"/>
  <c r="AI798" i="123"/>
  <c r="AG798" i="123"/>
  <c r="AH798" i="123"/>
  <c r="AI802" i="123"/>
  <c r="AG802" i="123"/>
  <c r="AH802" i="123"/>
  <c r="AI806" i="123"/>
  <c r="AG806" i="123"/>
  <c r="AH806" i="123"/>
  <c r="AI810" i="123"/>
  <c r="AG810" i="123"/>
  <c r="AH810" i="123"/>
  <c r="AI814" i="123"/>
  <c r="AG814" i="123"/>
  <c r="AH814" i="123"/>
  <c r="AG561" i="123"/>
  <c r="AH561" i="123"/>
  <c r="AI561" i="123"/>
  <c r="AG577" i="123"/>
  <c r="AH577" i="123"/>
  <c r="AI577" i="123"/>
  <c r="AG593" i="123"/>
  <c r="AH593" i="123"/>
  <c r="AI593" i="123"/>
  <c r="AG609" i="123"/>
  <c r="AH609" i="123"/>
  <c r="AI609" i="123"/>
  <c r="AG625" i="123"/>
  <c r="AH625" i="123"/>
  <c r="AI625" i="123"/>
  <c r="AG641" i="123"/>
  <c r="AH641" i="123"/>
  <c r="AI641" i="123"/>
  <c r="AG657" i="123"/>
  <c r="AH657" i="123"/>
  <c r="AI657" i="123"/>
  <c r="AG673" i="123"/>
  <c r="AH673" i="123"/>
  <c r="AI673" i="123"/>
  <c r="AG689" i="123"/>
  <c r="AH689" i="123"/>
  <c r="AI689" i="123"/>
  <c r="AG705" i="123"/>
  <c r="AH705" i="123"/>
  <c r="AI705" i="123"/>
  <c r="AG721" i="123"/>
  <c r="AH721" i="123"/>
  <c r="AI721" i="123"/>
  <c r="AG748" i="123"/>
  <c r="AH748" i="123"/>
  <c r="AI748" i="123"/>
  <c r="AG752" i="123"/>
  <c r="AH752" i="123"/>
  <c r="AI752" i="123"/>
  <c r="AG764" i="123"/>
  <c r="AH764" i="123"/>
  <c r="AI764" i="123"/>
  <c r="AG777" i="123"/>
  <c r="AH777" i="123"/>
  <c r="AI777" i="123"/>
  <c r="AG785" i="123"/>
  <c r="AH785" i="123"/>
  <c r="AI785" i="123"/>
  <c r="AG793" i="123"/>
  <c r="AH793" i="123"/>
  <c r="AI793" i="123"/>
  <c r="AG801" i="123"/>
  <c r="AH801" i="123"/>
  <c r="AI801" i="123"/>
  <c r="AG809" i="123"/>
  <c r="AH809" i="123"/>
  <c r="AI809" i="123"/>
  <c r="AH817" i="123"/>
  <c r="AI817" i="123"/>
  <c r="AG817" i="123"/>
  <c r="AH821" i="123"/>
  <c r="AI821" i="123"/>
  <c r="AG821" i="123"/>
  <c r="AH829" i="123"/>
  <c r="AI829" i="123"/>
  <c r="AG829" i="123"/>
  <c r="X545" i="123"/>
  <c r="AN545" i="123"/>
  <c r="AG548" i="123"/>
  <c r="AH548" i="123"/>
  <c r="AI548" i="123"/>
  <c r="AG565" i="123"/>
  <c r="AH565" i="123"/>
  <c r="AI565" i="123"/>
  <c r="AG581" i="123"/>
  <c r="AH581" i="123"/>
  <c r="AI581" i="123"/>
  <c r="AG597" i="123"/>
  <c r="AH597" i="123"/>
  <c r="AI597" i="123"/>
  <c r="AG613" i="123"/>
  <c r="AH613" i="123"/>
  <c r="AI613" i="123"/>
  <c r="AG629" i="123"/>
  <c r="AH629" i="123"/>
  <c r="AI629" i="123"/>
  <c r="AG645" i="123"/>
  <c r="AH645" i="123"/>
  <c r="AI645" i="123"/>
  <c r="AG661" i="123"/>
  <c r="AH661" i="123"/>
  <c r="AI661" i="123"/>
  <c r="AG693" i="123"/>
  <c r="AH693" i="123"/>
  <c r="AI693" i="123"/>
  <c r="AG709" i="123"/>
  <c r="AH709" i="123"/>
  <c r="AI709" i="123"/>
  <c r="AG725" i="123"/>
  <c r="AH725" i="123"/>
  <c r="AI725" i="123"/>
  <c r="AG749" i="123"/>
  <c r="AH749" i="123"/>
  <c r="AI749" i="123"/>
  <c r="AG753" i="123"/>
  <c r="AH753" i="123"/>
  <c r="AI753" i="123"/>
  <c r="AG761" i="123"/>
  <c r="AH761" i="123"/>
  <c r="AI761" i="123"/>
  <c r="AG765" i="123"/>
  <c r="AH765" i="123"/>
  <c r="AI765" i="123"/>
  <c r="AI822" i="123"/>
  <c r="AG822" i="123"/>
  <c r="AH822" i="123"/>
  <c r="AH823" i="123"/>
  <c r="AG823" i="123"/>
  <c r="AI823" i="123"/>
  <c r="AI830" i="123"/>
  <c r="AG830" i="123"/>
  <c r="AH830" i="123"/>
  <c r="AG838" i="123"/>
  <c r="AH838" i="123"/>
  <c r="AI838" i="123"/>
  <c r="AG552" i="123"/>
  <c r="AH552" i="123"/>
  <c r="AI552" i="123"/>
  <c r="AG556" i="123"/>
  <c r="AH556" i="123"/>
  <c r="AI556" i="123"/>
  <c r="AG560" i="123"/>
  <c r="AH560" i="123"/>
  <c r="AI560" i="123"/>
  <c r="AG585" i="123"/>
  <c r="AH585" i="123"/>
  <c r="AI585" i="123"/>
  <c r="AG601" i="123"/>
  <c r="AH601" i="123"/>
  <c r="AI601" i="123"/>
  <c r="AG617" i="123"/>
  <c r="AH617" i="123"/>
  <c r="AI617" i="123"/>
  <c r="AG633" i="123"/>
  <c r="AH633" i="123"/>
  <c r="AI633" i="123"/>
  <c r="AG649" i="123"/>
  <c r="AH649" i="123"/>
  <c r="AI649" i="123"/>
  <c r="AG665" i="123"/>
  <c r="AH665" i="123"/>
  <c r="AI665" i="123"/>
  <c r="AG713" i="123"/>
  <c r="AH713" i="123"/>
  <c r="AI713" i="123"/>
  <c r="AG729" i="123"/>
  <c r="AH729" i="123"/>
  <c r="AI729" i="123"/>
  <c r="AG769" i="123"/>
  <c r="AH769" i="123"/>
  <c r="AI769" i="123"/>
  <c r="AG773" i="123"/>
  <c r="AH773" i="123"/>
  <c r="AI773" i="123"/>
  <c r="AG781" i="123"/>
  <c r="AH781" i="123"/>
  <c r="AI781" i="123"/>
  <c r="AG789" i="123"/>
  <c r="AH789" i="123"/>
  <c r="AI789" i="123"/>
  <c r="AG805" i="123"/>
  <c r="AH805" i="123"/>
  <c r="AI805" i="123"/>
  <c r="AH825" i="123"/>
  <c r="AI825" i="123"/>
  <c r="AG825" i="123"/>
  <c r="AH833" i="123"/>
  <c r="AI833" i="123"/>
  <c r="AG833" i="123"/>
  <c r="AG844" i="123"/>
  <c r="AH844" i="123"/>
  <c r="AI844" i="123"/>
  <c r="AG848" i="123"/>
  <c r="AH848" i="123"/>
  <c r="AI848" i="123"/>
  <c r="AG852" i="123"/>
  <c r="AH852" i="123"/>
  <c r="AI852" i="123"/>
  <c r="AG856" i="123"/>
  <c r="AH856" i="123"/>
  <c r="AI856" i="123"/>
  <c r="AG860" i="123"/>
  <c r="AH860" i="123"/>
  <c r="AI860" i="123"/>
  <c r="AG864" i="123"/>
  <c r="AH864" i="123"/>
  <c r="AI864" i="123"/>
  <c r="AG868" i="123"/>
  <c r="AH868" i="123"/>
  <c r="AI868" i="123"/>
  <c r="AG872" i="123"/>
  <c r="AH872" i="123"/>
  <c r="AI872" i="123"/>
  <c r="AG876" i="123"/>
  <c r="AH876" i="123"/>
  <c r="AI876" i="123"/>
  <c r="AG880" i="123"/>
  <c r="AH880" i="123"/>
  <c r="AI880" i="123"/>
  <c r="AG884" i="123"/>
  <c r="AH884" i="123"/>
  <c r="AI884" i="123"/>
  <c r="AG888" i="123"/>
  <c r="AH888" i="123"/>
  <c r="AI888" i="123"/>
  <c r="AG936" i="123"/>
  <c r="AH936" i="123"/>
  <c r="AI936" i="123"/>
  <c r="AG940" i="123"/>
  <c r="AH940" i="123"/>
  <c r="AI940" i="123"/>
  <c r="AG944" i="123"/>
  <c r="AH944" i="123"/>
  <c r="AI944" i="123"/>
  <c r="AG948" i="123"/>
  <c r="AH948" i="123"/>
  <c r="AI948" i="123"/>
  <c r="AG952" i="123"/>
  <c r="AH952" i="123"/>
  <c r="AI952" i="123"/>
  <c r="AG956" i="123"/>
  <c r="AH956" i="123"/>
  <c r="AI956" i="123"/>
  <c r="AG960" i="123"/>
  <c r="AH960" i="123"/>
  <c r="AI960" i="123"/>
  <c r="AG964" i="123"/>
  <c r="AH964" i="123"/>
  <c r="AI964" i="123"/>
  <c r="AG968" i="123"/>
  <c r="AH968" i="123"/>
  <c r="AI968" i="123"/>
  <c r="AG972" i="123"/>
  <c r="AH972" i="123"/>
  <c r="AI972" i="123"/>
  <c r="AG976" i="123"/>
  <c r="AH976" i="123"/>
  <c r="AI976" i="123"/>
  <c r="AG980" i="123"/>
  <c r="AH980" i="123"/>
  <c r="AI980" i="123"/>
  <c r="AG984" i="123"/>
  <c r="AH984" i="123"/>
  <c r="AI984" i="123"/>
  <c r="AG988" i="123"/>
  <c r="AH988" i="123"/>
  <c r="AI988" i="123"/>
  <c r="AG992" i="123"/>
  <c r="AH992" i="123"/>
  <c r="AI992" i="123"/>
  <c r="AG996" i="123"/>
  <c r="AH996" i="123"/>
  <c r="AI996" i="123"/>
  <c r="AG573" i="123"/>
  <c r="AH573" i="123"/>
  <c r="AI573" i="123"/>
  <c r="AG589" i="123"/>
  <c r="AH589" i="123"/>
  <c r="AI589" i="123"/>
  <c r="AG605" i="123"/>
  <c r="AH605" i="123"/>
  <c r="AI605" i="123"/>
  <c r="AG621" i="123"/>
  <c r="AH621" i="123"/>
  <c r="AI621" i="123"/>
  <c r="AG637" i="123"/>
  <c r="AH637" i="123"/>
  <c r="AI637" i="123"/>
  <c r="AG653" i="123"/>
  <c r="AH653" i="123"/>
  <c r="AI653" i="123"/>
  <c r="AG669" i="123"/>
  <c r="AH669" i="123"/>
  <c r="AI669" i="123"/>
  <c r="AG685" i="123"/>
  <c r="AH685" i="123"/>
  <c r="AI685" i="123"/>
  <c r="AG701" i="123"/>
  <c r="AH701" i="123"/>
  <c r="AI701" i="123"/>
  <c r="AG717" i="123"/>
  <c r="AH717" i="123"/>
  <c r="AI717" i="123"/>
  <c r="AG733" i="123"/>
  <c r="AH733" i="123"/>
  <c r="AI733" i="123"/>
  <c r="AG737" i="123"/>
  <c r="AH737" i="123"/>
  <c r="AI737" i="123"/>
  <c r="AG741" i="123"/>
  <c r="AH741" i="123"/>
  <c r="AI741" i="123"/>
  <c r="AG745" i="123"/>
  <c r="AH745" i="123"/>
  <c r="AI745" i="123"/>
  <c r="AI826" i="123"/>
  <c r="AG826" i="123"/>
  <c r="AH826" i="123"/>
  <c r="AG834" i="123"/>
  <c r="AH834" i="123"/>
  <c r="AI834" i="123"/>
  <c r="AG835" i="123"/>
  <c r="AH835" i="123"/>
  <c r="AI835" i="123"/>
  <c r="AI889" i="123"/>
  <c r="AG889" i="123"/>
  <c r="AH889" i="123"/>
  <c r="AI933" i="123"/>
  <c r="AG933" i="123"/>
  <c r="AH933" i="123"/>
  <c r="AI937" i="123"/>
  <c r="AG937" i="123"/>
  <c r="AH937" i="123"/>
  <c r="AI941" i="123"/>
  <c r="AG941" i="123"/>
  <c r="AH941" i="123"/>
  <c r="AI945" i="123"/>
  <c r="AG945" i="123"/>
  <c r="AH945" i="123"/>
  <c r="AI949" i="123"/>
  <c r="AG949" i="123"/>
  <c r="AH949" i="123"/>
  <c r="AI953" i="123"/>
  <c r="AG953" i="123"/>
  <c r="AH953" i="123"/>
  <c r="AI957" i="123"/>
  <c r="AG957" i="123"/>
  <c r="AH957" i="123"/>
  <c r="AI961" i="123"/>
  <c r="AG961" i="123"/>
  <c r="AH961" i="123"/>
  <c r="AI965" i="123"/>
  <c r="AG965" i="123"/>
  <c r="AH965" i="123"/>
  <c r="AI969" i="123"/>
  <c r="AG969" i="123"/>
  <c r="AH969" i="123"/>
  <c r="AI973" i="123"/>
  <c r="AG973" i="123"/>
  <c r="AH973" i="123"/>
  <c r="AI977" i="123"/>
  <c r="AG977" i="123"/>
  <c r="AH977" i="123"/>
  <c r="AI849" i="123"/>
  <c r="AG849" i="123"/>
  <c r="AH849" i="123"/>
  <c r="AI857" i="123"/>
  <c r="AG857" i="123"/>
  <c r="AH857" i="123"/>
  <c r="AI865" i="123"/>
  <c r="AG865" i="123"/>
  <c r="AH865" i="123"/>
  <c r="AI873" i="123"/>
  <c r="AG873" i="123"/>
  <c r="AH873" i="123"/>
  <c r="AI885" i="123"/>
  <c r="AG885" i="123"/>
  <c r="AH885" i="123"/>
  <c r="AI981" i="123"/>
  <c r="AG981" i="123"/>
  <c r="AH981" i="123"/>
  <c r="AG991" i="123"/>
  <c r="AH991" i="123"/>
  <c r="AI991" i="123"/>
  <c r="AI997" i="123"/>
  <c r="AG997" i="123"/>
  <c r="AH997" i="123"/>
  <c r="AH999" i="123"/>
  <c r="AI999" i="123"/>
  <c r="AG999" i="123"/>
  <c r="AH1001" i="123"/>
  <c r="AI1001" i="123"/>
  <c r="AG1001" i="123"/>
  <c r="AG851" i="123"/>
  <c r="AH851" i="123"/>
  <c r="AI851" i="123"/>
  <c r="AG867" i="123"/>
  <c r="AH867" i="123"/>
  <c r="AI867" i="123"/>
  <c r="AG875" i="123"/>
  <c r="AH875" i="123"/>
  <c r="AI875" i="123"/>
  <c r="AI877" i="123"/>
  <c r="AG877" i="123"/>
  <c r="AH877" i="123"/>
  <c r="AI893" i="123"/>
  <c r="AG893" i="123"/>
  <c r="AH893" i="123"/>
  <c r="AI909" i="123"/>
  <c r="AG909" i="123"/>
  <c r="AH909" i="123"/>
  <c r="AG987" i="123"/>
  <c r="AH987" i="123"/>
  <c r="AI987" i="123"/>
  <c r="AI993" i="123"/>
  <c r="AG993" i="123"/>
  <c r="AH993" i="123"/>
  <c r="AH1007" i="123"/>
  <c r="AI1007" i="123"/>
  <c r="AG1007" i="123"/>
  <c r="AI1016" i="123"/>
  <c r="AH1016" i="123"/>
  <c r="AG1016" i="123"/>
  <c r="AG1019" i="123"/>
  <c r="AH1019" i="123"/>
  <c r="AI1019" i="123"/>
  <c r="AG1023" i="123"/>
  <c r="AH1023" i="123"/>
  <c r="AI1023" i="123"/>
  <c r="AG1027" i="123"/>
  <c r="AH1027" i="123"/>
  <c r="AI1027" i="123"/>
  <c r="AG1031" i="123"/>
  <c r="AH1031" i="123"/>
  <c r="AI1031" i="123"/>
  <c r="AG1035" i="123"/>
  <c r="AH1035" i="123"/>
  <c r="AI1035" i="123"/>
  <c r="AG1039" i="123"/>
  <c r="AH1039" i="123"/>
  <c r="AI1039" i="123"/>
  <c r="AG1043" i="123"/>
  <c r="AH1043" i="123"/>
  <c r="AI1043" i="123"/>
  <c r="AG1047" i="123"/>
  <c r="AH1047" i="123"/>
  <c r="AI1047" i="123"/>
  <c r="AG1051" i="123"/>
  <c r="AH1051" i="123"/>
  <c r="AI1051" i="123"/>
  <c r="AG1055" i="123"/>
  <c r="AH1055" i="123"/>
  <c r="AI1055" i="123"/>
  <c r="AG1059" i="123"/>
  <c r="AH1059" i="123"/>
  <c r="AI1059" i="123"/>
  <c r="AG1063" i="123"/>
  <c r="AH1063" i="123"/>
  <c r="AI1063" i="123"/>
  <c r="AG1067" i="123"/>
  <c r="AH1067" i="123"/>
  <c r="AI1067" i="123"/>
  <c r="AG1071" i="123"/>
  <c r="AH1071" i="123"/>
  <c r="AI1071" i="123"/>
  <c r="AG1075" i="123"/>
  <c r="AH1075" i="123"/>
  <c r="AI1075" i="123"/>
  <c r="AG1079" i="123"/>
  <c r="AH1079" i="123"/>
  <c r="AI1079" i="123"/>
  <c r="AG1083" i="123"/>
  <c r="AH1083" i="123"/>
  <c r="AI1083" i="123"/>
  <c r="AG1087" i="123"/>
  <c r="AH1087" i="123"/>
  <c r="AI1087" i="123"/>
  <c r="AG1091" i="123"/>
  <c r="AH1091" i="123"/>
  <c r="AI1091" i="123"/>
  <c r="AG1095" i="123"/>
  <c r="AH1095" i="123"/>
  <c r="AI1095" i="123"/>
  <c r="AG1099" i="123"/>
  <c r="AH1099" i="123"/>
  <c r="AI1099" i="123"/>
  <c r="AG1103" i="123"/>
  <c r="AH1103" i="123"/>
  <c r="AI1103" i="123"/>
  <c r="AG1107" i="123"/>
  <c r="AH1107" i="123"/>
  <c r="AI1107" i="123"/>
  <c r="AG1111" i="123"/>
  <c r="AH1111" i="123"/>
  <c r="AI1111" i="123"/>
  <c r="AG1115" i="123"/>
  <c r="AH1115" i="123"/>
  <c r="AI1115" i="123"/>
  <c r="AG1119" i="123"/>
  <c r="AH1119" i="123"/>
  <c r="AI1119" i="123"/>
  <c r="AG1123" i="123"/>
  <c r="AH1123" i="123"/>
  <c r="AI1123" i="123"/>
  <c r="AG1127" i="123"/>
  <c r="AH1127" i="123"/>
  <c r="AI1127" i="123"/>
  <c r="AG1131" i="123"/>
  <c r="AH1131" i="123"/>
  <c r="AI1131" i="123"/>
  <c r="AG1135" i="123"/>
  <c r="AH1135" i="123"/>
  <c r="AI1135" i="123"/>
  <c r="AG1139" i="123"/>
  <c r="AH1139" i="123"/>
  <c r="AI1139" i="123"/>
  <c r="AG1143" i="123"/>
  <c r="AH1143" i="123"/>
  <c r="AI1143" i="123"/>
  <c r="AG1147" i="123"/>
  <c r="AH1147" i="123"/>
  <c r="AI1147" i="123"/>
  <c r="AG1151" i="123"/>
  <c r="AH1151" i="123"/>
  <c r="AI1151" i="123"/>
  <c r="AG1155" i="123"/>
  <c r="AH1155" i="123"/>
  <c r="AI1155" i="123"/>
  <c r="AG1159" i="123"/>
  <c r="AH1159" i="123"/>
  <c r="AI1159" i="123"/>
  <c r="AG1163" i="123"/>
  <c r="AH1163" i="123"/>
  <c r="AI1163" i="123"/>
  <c r="AG1167" i="123"/>
  <c r="AH1167" i="123"/>
  <c r="AI1167" i="123"/>
  <c r="AG1171" i="123"/>
  <c r="AH1171" i="123"/>
  <c r="AI1171" i="123"/>
  <c r="AG1175" i="123"/>
  <c r="AH1175" i="123"/>
  <c r="AI1175" i="123"/>
  <c r="AG1179" i="123"/>
  <c r="AH1179" i="123"/>
  <c r="AI1179" i="123"/>
  <c r="AG1183" i="123"/>
  <c r="AH1183" i="123"/>
  <c r="AI1183" i="123"/>
  <c r="AG1187" i="123"/>
  <c r="AH1187" i="123"/>
  <c r="AI1187" i="123"/>
  <c r="AG1191" i="123"/>
  <c r="AH1191" i="123"/>
  <c r="AI1191" i="123"/>
  <c r="AG1195" i="123"/>
  <c r="AH1195" i="123"/>
  <c r="AI1195" i="123"/>
  <c r="AG1199" i="123"/>
  <c r="AH1199" i="123"/>
  <c r="AI1199" i="123"/>
  <c r="AG1203" i="123"/>
  <c r="AH1203" i="123"/>
  <c r="AI1203" i="123"/>
  <c r="AG1207" i="123"/>
  <c r="AH1207" i="123"/>
  <c r="AI1207" i="123"/>
  <c r="AG1211" i="123"/>
  <c r="AH1211" i="123"/>
  <c r="AI1211" i="123"/>
  <c r="AG1215" i="123"/>
  <c r="AH1215" i="123"/>
  <c r="AI1215" i="123"/>
  <c r="AG1219" i="123"/>
  <c r="AH1219" i="123"/>
  <c r="AI1219" i="123"/>
  <c r="AG1223" i="123"/>
  <c r="AH1223" i="123"/>
  <c r="AI1223" i="123"/>
  <c r="AG1227" i="123"/>
  <c r="AH1227" i="123"/>
  <c r="AI1227" i="123"/>
  <c r="AG1231" i="123"/>
  <c r="AH1231" i="123"/>
  <c r="AI1231" i="123"/>
  <c r="AG1235" i="123"/>
  <c r="AH1235" i="123"/>
  <c r="AI1235" i="123"/>
  <c r="AG1239" i="123"/>
  <c r="AH1239" i="123"/>
  <c r="AI1239" i="123"/>
  <c r="AG1243" i="123"/>
  <c r="AH1243" i="123"/>
  <c r="AI1243" i="123"/>
  <c r="AG1247" i="123"/>
  <c r="AH1247" i="123"/>
  <c r="AI1247" i="123"/>
  <c r="AG1251" i="123"/>
  <c r="AH1251" i="123"/>
  <c r="AI1251" i="123"/>
  <c r="AG1255" i="123"/>
  <c r="AH1255" i="123"/>
  <c r="AI1255" i="123"/>
  <c r="AG1259" i="123"/>
  <c r="AH1259" i="123"/>
  <c r="AI1259" i="123"/>
  <c r="AG1263" i="123"/>
  <c r="AH1263" i="123"/>
  <c r="AI1263" i="123"/>
  <c r="AG1267" i="123"/>
  <c r="AH1267" i="123"/>
  <c r="AI1267" i="123"/>
  <c r="AG1271" i="123"/>
  <c r="AH1271" i="123"/>
  <c r="AI1271" i="123"/>
  <c r="AG1275" i="123"/>
  <c r="AH1275" i="123"/>
  <c r="AI1275" i="123"/>
  <c r="AG1279" i="123"/>
  <c r="AH1279" i="123"/>
  <c r="AI1279" i="123"/>
  <c r="AG1283" i="123"/>
  <c r="AH1283" i="123"/>
  <c r="AI1283" i="123"/>
  <c r="AG1287" i="123"/>
  <c r="AH1287" i="123"/>
  <c r="AI1287" i="123"/>
  <c r="AG1291" i="123"/>
  <c r="AH1291" i="123"/>
  <c r="AI1291" i="123"/>
  <c r="AG1295" i="123"/>
  <c r="AH1295" i="123"/>
  <c r="AI1295" i="123"/>
  <c r="AG1299" i="123"/>
  <c r="AH1299" i="123"/>
  <c r="AI1299" i="123"/>
  <c r="AH837" i="123"/>
  <c r="AG837" i="123"/>
  <c r="AI837" i="123"/>
  <c r="AI841" i="123"/>
  <c r="AG841" i="123"/>
  <c r="AH841" i="123"/>
  <c r="AI845" i="123"/>
  <c r="AG845" i="123"/>
  <c r="AH845" i="123"/>
  <c r="AI853" i="123"/>
  <c r="AG853" i="123"/>
  <c r="AH853" i="123"/>
  <c r="AI861" i="123"/>
  <c r="AG861" i="123"/>
  <c r="AH861" i="123"/>
  <c r="AI869" i="123"/>
  <c r="AG869" i="123"/>
  <c r="AH869" i="123"/>
  <c r="AG951" i="123"/>
  <c r="AH951" i="123"/>
  <c r="AI951" i="123"/>
  <c r="AG955" i="123"/>
  <c r="AH955" i="123"/>
  <c r="AI955" i="123"/>
  <c r="AG959" i="123"/>
  <c r="AH959" i="123"/>
  <c r="AI959" i="123"/>
  <c r="AG963" i="123"/>
  <c r="AH963" i="123"/>
  <c r="AI963" i="123"/>
  <c r="AG967" i="123"/>
  <c r="AH967" i="123"/>
  <c r="AI967" i="123"/>
  <c r="AG971" i="123"/>
  <c r="AH971" i="123"/>
  <c r="AI971" i="123"/>
  <c r="AG975" i="123"/>
  <c r="AH975" i="123"/>
  <c r="AI975" i="123"/>
  <c r="AG983" i="123"/>
  <c r="AH983" i="123"/>
  <c r="AI983" i="123"/>
  <c r="AI989" i="123"/>
  <c r="AG989" i="123"/>
  <c r="AH989" i="123"/>
  <c r="AG1020" i="123"/>
  <c r="AH1020" i="123"/>
  <c r="AI1020" i="123"/>
  <c r="AG1024" i="123"/>
  <c r="AH1024" i="123"/>
  <c r="AI1024" i="123"/>
  <c r="AG1028" i="123"/>
  <c r="AH1028" i="123"/>
  <c r="AI1028" i="123"/>
  <c r="AG1032" i="123"/>
  <c r="AH1032" i="123"/>
  <c r="AI1032" i="123"/>
  <c r="AG1036" i="123"/>
  <c r="AH1036" i="123"/>
  <c r="AI1036" i="123"/>
  <c r="AG1040" i="123"/>
  <c r="AH1040" i="123"/>
  <c r="AI1040" i="123"/>
  <c r="AG1044" i="123"/>
  <c r="AH1044" i="123"/>
  <c r="AI1044" i="123"/>
  <c r="AG1048" i="123"/>
  <c r="AH1048" i="123"/>
  <c r="AI1048" i="123"/>
  <c r="AG1052" i="123"/>
  <c r="AH1052" i="123"/>
  <c r="AI1052" i="123"/>
  <c r="AG1056" i="123"/>
  <c r="AH1056" i="123"/>
  <c r="AI1056" i="123"/>
  <c r="AG1060" i="123"/>
  <c r="AH1060" i="123"/>
  <c r="AI1060" i="123"/>
  <c r="AG1276" i="123"/>
  <c r="AH1276" i="123"/>
  <c r="AI1276" i="123"/>
  <c r="AG847" i="123"/>
  <c r="AH847" i="123"/>
  <c r="AI847" i="123"/>
  <c r="AG855" i="123"/>
  <c r="AH855" i="123"/>
  <c r="AI855" i="123"/>
  <c r="AG863" i="123"/>
  <c r="AH863" i="123"/>
  <c r="AI863" i="123"/>
  <c r="AG871" i="123"/>
  <c r="AH871" i="123"/>
  <c r="AI871" i="123"/>
  <c r="AI985" i="123"/>
  <c r="AG985" i="123"/>
  <c r="AH985" i="123"/>
  <c r="AI1002" i="123"/>
  <c r="AG1002" i="123"/>
  <c r="AH1002" i="123"/>
  <c r="AG1003" i="123"/>
  <c r="AH1003" i="123"/>
  <c r="AI1003" i="123"/>
  <c r="AG1006" i="123"/>
  <c r="AH1006" i="123"/>
  <c r="AI1006" i="123"/>
  <c r="AG1011" i="123"/>
  <c r="AH1011" i="123"/>
  <c r="AI1011" i="123"/>
  <c r="AG1014" i="123"/>
  <c r="AH1014" i="123"/>
  <c r="AI1014" i="123"/>
  <c r="AI1021" i="123"/>
  <c r="AG1021" i="123"/>
  <c r="AH1021" i="123"/>
  <c r="AI1025" i="123"/>
  <c r="AG1025" i="123"/>
  <c r="AH1025" i="123"/>
  <c r="AI1029" i="123"/>
  <c r="AG1029" i="123"/>
  <c r="AH1029" i="123"/>
  <c r="AI1033" i="123"/>
  <c r="AG1033" i="123"/>
  <c r="AH1033" i="123"/>
  <c r="AG1064" i="123"/>
  <c r="AH1064" i="123"/>
  <c r="AI1064" i="123"/>
  <c r="AG1068" i="123"/>
  <c r="AH1068" i="123"/>
  <c r="AI1068" i="123"/>
  <c r="AG1072" i="123"/>
  <c r="AH1072" i="123"/>
  <c r="AI1072" i="123"/>
  <c r="AG1080" i="123"/>
  <c r="AH1080" i="123"/>
  <c r="AI1080" i="123"/>
  <c r="AG1088" i="123"/>
  <c r="AH1088" i="123"/>
  <c r="AI1088" i="123"/>
  <c r="AG1096" i="123"/>
  <c r="AH1096" i="123"/>
  <c r="AI1096" i="123"/>
  <c r="AG1104" i="123"/>
  <c r="AH1104" i="123"/>
  <c r="AI1104" i="123"/>
  <c r="AG1108" i="123"/>
  <c r="AH1108" i="123"/>
  <c r="AI1108" i="123"/>
  <c r="AG1112" i="123"/>
  <c r="AH1112" i="123"/>
  <c r="AI1112" i="123"/>
  <c r="AG1116" i="123"/>
  <c r="AH1116" i="123"/>
  <c r="AI1116" i="123"/>
  <c r="AG1120" i="123"/>
  <c r="AH1120" i="123"/>
  <c r="AI1120" i="123"/>
  <c r="AG1124" i="123"/>
  <c r="AH1124" i="123"/>
  <c r="AI1124" i="123"/>
  <c r="AG1128" i="123"/>
  <c r="AH1128" i="123"/>
  <c r="AI1128" i="123"/>
  <c r="AG1132" i="123"/>
  <c r="AH1132" i="123"/>
  <c r="AI1132" i="123"/>
  <c r="AG1136" i="123"/>
  <c r="AH1136" i="123"/>
  <c r="AI1136" i="123"/>
  <c r="AG1140" i="123"/>
  <c r="AH1140" i="123"/>
  <c r="AI1140" i="123"/>
  <c r="AG1144" i="123"/>
  <c r="AH1144" i="123"/>
  <c r="AI1144" i="123"/>
  <c r="AG1148" i="123"/>
  <c r="AH1148" i="123"/>
  <c r="AI1148" i="123"/>
  <c r="AG1152" i="123"/>
  <c r="AH1152" i="123"/>
  <c r="AI1152" i="123"/>
  <c r="AG1156" i="123"/>
  <c r="AH1156" i="123"/>
  <c r="AI1156" i="123"/>
  <c r="AG1160" i="123"/>
  <c r="AH1160" i="123"/>
  <c r="AI1160" i="123"/>
  <c r="C4425" i="127"/>
  <c r="C4426" i="127"/>
  <c r="C4427" i="127"/>
  <c r="C4428" i="127"/>
  <c r="C4429" i="127"/>
  <c r="C4430" i="127"/>
  <c r="C4431" i="127"/>
  <c r="C4432" i="127"/>
  <c r="C4433" i="127"/>
  <c r="C4434" i="127"/>
  <c r="C4435" i="127"/>
  <c r="C4436" i="127"/>
  <c r="C4437" i="127"/>
  <c r="C4438" i="127"/>
  <c r="C4439" i="127"/>
  <c r="C4440" i="127"/>
  <c r="E4429" i="127"/>
  <c r="F4429" i="127"/>
  <c r="Q4429" i="127"/>
  <c r="E4430" i="127"/>
  <c r="F4430" i="127"/>
  <c r="Q4430" i="127"/>
  <c r="E4431" i="127"/>
  <c r="F4431" i="127"/>
  <c r="Q4431" i="127"/>
  <c r="E4432" i="127"/>
  <c r="F4432" i="127"/>
  <c r="Q4432" i="127"/>
  <c r="E4433" i="127"/>
  <c r="F4433" i="127"/>
  <c r="Q4433" i="127"/>
  <c r="E4434" i="127"/>
  <c r="F4434" i="127"/>
  <c r="Q4434" i="127"/>
  <c r="E4435" i="127"/>
  <c r="F4435" i="127"/>
  <c r="Q4435" i="127"/>
  <c r="E4436" i="127"/>
  <c r="F4436" i="127"/>
  <c r="Q4436" i="127"/>
  <c r="E4437" i="127"/>
  <c r="F4437" i="127"/>
  <c r="Q4437" i="127"/>
  <c r="E4438" i="127"/>
  <c r="F4438" i="127"/>
  <c r="Q4438" i="127"/>
  <c r="R4438" i="127"/>
  <c r="S4438" i="127"/>
  <c r="T4438" i="127"/>
  <c r="E4439" i="127"/>
  <c r="F4439" i="127"/>
  <c r="Q4439" i="127"/>
  <c r="E4440" i="127"/>
  <c r="F4440" i="127"/>
  <c r="Q4440" i="127"/>
  <c r="R4440" i="127"/>
  <c r="S4440" i="127"/>
  <c r="T4440" i="127"/>
  <c r="E4441" i="127"/>
  <c r="F4441" i="127"/>
  <c r="Q4441" i="127"/>
  <c r="E4442" i="127"/>
  <c r="F4442" i="127"/>
  <c r="Q4442" i="127"/>
  <c r="E4443" i="127"/>
  <c r="F4443" i="127"/>
  <c r="Q4443" i="127"/>
  <c r="E4444" i="127"/>
  <c r="F4444" i="127"/>
  <c r="Q4444" i="127"/>
  <c r="E4445" i="127"/>
  <c r="F4445" i="127"/>
  <c r="Q4445" i="127"/>
  <c r="E4446" i="127"/>
  <c r="F4446" i="127"/>
  <c r="Q4446" i="127"/>
  <c r="R4446" i="127"/>
  <c r="S4446" i="127"/>
  <c r="T4446" i="127" s="1"/>
  <c r="E4447" i="127"/>
  <c r="F4447" i="127"/>
  <c r="Q4447" i="127"/>
  <c r="R4447" i="127"/>
  <c r="S4447" i="127"/>
  <c r="T4447" i="127"/>
  <c r="E4448" i="127"/>
  <c r="F4448" i="127"/>
  <c r="Q4448" i="127"/>
  <c r="E4449" i="127"/>
  <c r="F4449" i="127"/>
  <c r="Q4449" i="127"/>
  <c r="E4450" i="127"/>
  <c r="F4450" i="127"/>
  <c r="Q4450" i="127"/>
  <c r="E4451" i="127"/>
  <c r="F4451" i="127"/>
  <c r="Q4451" i="127"/>
  <c r="E4452" i="127"/>
  <c r="F4452" i="127"/>
  <c r="Q4452" i="127"/>
  <c r="R4452" i="127"/>
  <c r="S4452" i="127"/>
  <c r="T4452" i="127"/>
  <c r="AH1565" i="123" l="1"/>
  <c r="AI1859" i="123"/>
  <c r="AG818" i="123"/>
  <c r="AI818" i="123"/>
  <c r="AG794" i="123"/>
  <c r="AI794" i="123"/>
  <c r="AH1535" i="123"/>
  <c r="AH1859" i="123"/>
  <c r="AH1513" i="123"/>
  <c r="AG1513" i="123"/>
  <c r="AJ295" i="123"/>
  <c r="X55" i="123"/>
  <c r="AJ268" i="123"/>
  <c r="AI268" i="123"/>
  <c r="AI1565" i="123"/>
  <c r="AH268" i="123"/>
  <c r="X268" i="123"/>
  <c r="AI180" i="123"/>
  <c r="W51" i="123"/>
  <c r="AI256" i="123"/>
  <c r="X67" i="123"/>
  <c r="G7" i="146"/>
  <c r="G21" i="146" s="1"/>
  <c r="F33" i="146"/>
  <c r="AI1303" i="123"/>
  <c r="AI211" i="123"/>
  <c r="AH1397" i="123"/>
  <c r="W280" i="123"/>
  <c r="AI1397" i="123"/>
  <c r="AG1303" i="123"/>
  <c r="AI177" i="123"/>
  <c r="AH1423" i="123"/>
  <c r="AH1634" i="123"/>
  <c r="AG1764" i="123"/>
  <c r="AJ313" i="123"/>
  <c r="AH177" i="123"/>
  <c r="X177" i="123"/>
  <c r="AI1764" i="123"/>
  <c r="AI1423" i="123"/>
  <c r="AI1765" i="123"/>
  <c r="AI1593" i="123"/>
  <c r="AH1593" i="123"/>
  <c r="AG572" i="123"/>
  <c r="AI572" i="123"/>
  <c r="AG1490" i="123"/>
  <c r="AH947" i="123"/>
  <c r="AG924" i="123"/>
  <c r="AH691" i="123"/>
  <c r="AJ171" i="123"/>
  <c r="AJ161" i="123"/>
  <c r="AJ213" i="123"/>
  <c r="AI677" i="123"/>
  <c r="AG677" i="123"/>
  <c r="AH1703" i="123"/>
  <c r="AH1777" i="123"/>
  <c r="AH1765" i="123"/>
  <c r="AJ480" i="123"/>
  <c r="AJ424" i="123"/>
  <c r="AH1490" i="123"/>
  <c r="AI895" i="123"/>
  <c r="AG1304" i="123"/>
  <c r="AJ221" i="123"/>
  <c r="AI82" i="123"/>
  <c r="AI1411" i="123"/>
  <c r="AH1168" i="123"/>
  <c r="AH1172" i="123"/>
  <c r="AH1304" i="123"/>
  <c r="AJ488" i="123"/>
  <c r="AH1541" i="123"/>
  <c r="AH895" i="123"/>
  <c r="AI691" i="123"/>
  <c r="AI313" i="123"/>
  <c r="AJ330" i="123"/>
  <c r="AH236" i="123"/>
  <c r="AJ76" i="123"/>
  <c r="AI323" i="123"/>
  <c r="AJ290" i="123"/>
  <c r="AH294" i="123"/>
  <c r="AH1442" i="123"/>
  <c r="AI1452" i="123"/>
  <c r="AI920" i="123"/>
  <c r="AI1703" i="123"/>
  <c r="AI1387" i="123"/>
  <c r="AG920" i="123"/>
  <c r="AH1819" i="123"/>
  <c r="AH1553" i="123"/>
  <c r="AI1172" i="123"/>
  <c r="AI1357" i="123"/>
  <c r="AI1634" i="123"/>
  <c r="AJ265" i="123"/>
  <c r="AI1572" i="123"/>
  <c r="AH1518" i="123"/>
  <c r="AG1478" i="123"/>
  <c r="AI1553" i="123"/>
  <c r="AI531" i="123"/>
  <c r="AJ499" i="123"/>
  <c r="AJ421" i="123"/>
  <c r="AI261" i="123"/>
  <c r="AJ224" i="123"/>
  <c r="AH209" i="123"/>
  <c r="AH990" i="123"/>
  <c r="AH1264" i="123"/>
  <c r="AG1568" i="123"/>
  <c r="AJ129" i="123"/>
  <c r="AI1517" i="123"/>
  <c r="AJ495" i="123"/>
  <c r="AJ459" i="123"/>
  <c r="AJ225" i="123"/>
  <c r="AI1359" i="123"/>
  <c r="AJ157" i="123"/>
  <c r="AJ148" i="123"/>
  <c r="AJ82" i="123"/>
  <c r="AJ91" i="123"/>
  <c r="AJ113" i="123"/>
  <c r="AI1625" i="123"/>
  <c r="AG1713" i="123"/>
  <c r="AI364" i="123"/>
  <c r="AJ75" i="123"/>
  <c r="AG767" i="123"/>
  <c r="AI1788" i="123"/>
  <c r="AH1369" i="123"/>
  <c r="AI1492" i="123"/>
  <c r="AI990" i="123"/>
  <c r="AI209" i="123"/>
  <c r="AJ177" i="123"/>
  <c r="AG1492" i="123"/>
  <c r="AI1369" i="123"/>
  <c r="AI1633" i="123"/>
  <c r="AJ371" i="123"/>
  <c r="AJ362" i="123"/>
  <c r="AJ58" i="123"/>
  <c r="AH1788" i="123"/>
  <c r="AI1347" i="123"/>
  <c r="AG1730" i="123"/>
  <c r="AH767" i="123"/>
  <c r="AI791" i="123"/>
  <c r="AH815" i="123"/>
  <c r="AH524" i="123"/>
  <c r="AI206" i="123"/>
  <c r="AJ23" i="123"/>
  <c r="AH1469" i="123"/>
  <c r="AI1586" i="123"/>
  <c r="AG1822" i="123"/>
  <c r="AH791" i="123"/>
  <c r="AJ183" i="123"/>
  <c r="AI1678" i="123"/>
  <c r="AI1578" i="123"/>
  <c r="AI1478" i="123"/>
  <c r="AH927" i="123"/>
  <c r="AH1963" i="123"/>
  <c r="AH1713" i="123"/>
  <c r="AI491" i="123"/>
  <c r="AI827" i="123"/>
  <c r="AH776" i="123"/>
  <c r="AI481" i="123"/>
  <c r="AJ515" i="123"/>
  <c r="AJ281" i="123"/>
  <c r="AI1529" i="123"/>
  <c r="AI1533" i="123"/>
  <c r="AG1326" i="123"/>
  <c r="AH1450" i="123"/>
  <c r="AI460" i="123"/>
  <c r="W222" i="123"/>
  <c r="AH222" i="123" s="1"/>
  <c r="AJ51" i="123"/>
  <c r="AI387" i="123"/>
  <c r="AI365" i="123"/>
  <c r="AJ240" i="123"/>
  <c r="AI1518" i="123"/>
  <c r="AI1822" i="123"/>
  <c r="AI1418" i="123"/>
  <c r="AH252" i="123"/>
  <c r="AH1827" i="123"/>
  <c r="AH827" i="123"/>
  <c r="AH819" i="123"/>
  <c r="AG757" i="123"/>
  <c r="AI543" i="123"/>
  <c r="AI380" i="123"/>
  <c r="AJ447" i="123"/>
  <c r="AJ366" i="123"/>
  <c r="AJ310" i="123"/>
  <c r="AG1533" i="123"/>
  <c r="AG1435" i="123"/>
  <c r="AH1339" i="123"/>
  <c r="AI1722" i="123"/>
  <c r="AG1625" i="123"/>
  <c r="AG1350" i="123"/>
  <c r="AG1403" i="123"/>
  <c r="AG1927" i="123"/>
  <c r="AI1228" i="123"/>
  <c r="AI353" i="123"/>
  <c r="AJ309" i="123"/>
  <c r="AH1529" i="123"/>
  <c r="AG1722" i="123"/>
  <c r="AH1678" i="123"/>
  <c r="AH1350" i="123"/>
  <c r="AI1758" i="123"/>
  <c r="AG1548" i="123"/>
  <c r="AG1015" i="123"/>
  <c r="AH792" i="123"/>
  <c r="AJ379" i="123"/>
  <c r="AH1990" i="123"/>
  <c r="AG1638" i="123"/>
  <c r="AI1530" i="123"/>
  <c r="AH739" i="123"/>
  <c r="AH619" i="123"/>
  <c r="AG1110" i="123"/>
  <c r="AI1827" i="123"/>
  <c r="AI816" i="123"/>
  <c r="AI998" i="123"/>
  <c r="AI792" i="123"/>
  <c r="AI26" i="123"/>
  <c r="AI1777" i="123"/>
  <c r="AH1638" i="123"/>
  <c r="AG1442" i="123"/>
  <c r="AI1450" i="123"/>
  <c r="AH891" i="123"/>
  <c r="AG1387" i="123"/>
  <c r="AI1927" i="123"/>
  <c r="AI1212" i="123"/>
  <c r="AI1819" i="123"/>
  <c r="AI1438" i="123"/>
  <c r="AJ370" i="123"/>
  <c r="AI479" i="123"/>
  <c r="AJ182" i="123"/>
  <c r="AI194" i="123"/>
  <c r="AI1474" i="123"/>
  <c r="AH828" i="123"/>
  <c r="AI1856" i="123"/>
  <c r="AH1633" i="123"/>
  <c r="AG1428" i="123"/>
  <c r="AI1428" i="123"/>
  <c r="AG947" i="123"/>
  <c r="AJ380" i="123"/>
  <c r="AJ318" i="123"/>
  <c r="AJ124" i="123"/>
  <c r="AG1469" i="123"/>
  <c r="AI1326" i="123"/>
  <c r="AH1586" i="123"/>
  <c r="AH1517" i="123"/>
  <c r="AH1370" i="123"/>
  <c r="AH759" i="123"/>
  <c r="AI1931" i="123"/>
  <c r="AI1037" i="123"/>
  <c r="AI1532" i="123"/>
  <c r="AG986" i="123"/>
  <c r="AI924" i="123"/>
  <c r="AI756" i="123"/>
  <c r="AJ455" i="123"/>
  <c r="AG387" i="123"/>
  <c r="AJ387" i="123" s="1"/>
  <c r="AJ375" i="123"/>
  <c r="AJ134" i="123"/>
  <c r="AJ94" i="123"/>
  <c r="AH1506" i="123"/>
  <c r="AG1474" i="123"/>
  <c r="AH1037" i="123"/>
  <c r="AH1629" i="123"/>
  <c r="AH1438" i="123"/>
  <c r="AG1370" i="123"/>
  <c r="AH1359" i="123"/>
  <c r="AH1931" i="123"/>
  <c r="AI759" i="123"/>
  <c r="AI1264" i="123"/>
  <c r="AH1532" i="123"/>
  <c r="AI1629" i="123"/>
  <c r="AI1934" i="123"/>
  <c r="AH979" i="123"/>
  <c r="AJ512" i="123"/>
  <c r="AH387" i="123"/>
  <c r="AJ293" i="123"/>
  <c r="AJ284" i="123"/>
  <c r="AJ130" i="123"/>
  <c r="AH1934" i="123"/>
  <c r="AH1584" i="123"/>
  <c r="AI289" i="123"/>
  <c r="AI1588" i="123"/>
  <c r="AI1955" i="123"/>
  <c r="AH859" i="123"/>
  <c r="AH681" i="123"/>
  <c r="AJ441" i="123"/>
  <c r="AH350" i="123"/>
  <c r="AJ277" i="123"/>
  <c r="AJ298" i="123"/>
  <c r="AJ190" i="123"/>
  <c r="AJ136" i="123"/>
  <c r="AJ140" i="123"/>
  <c r="AJ167" i="123"/>
  <c r="AI106" i="123"/>
  <c r="AI73" i="123"/>
  <c r="AI64" i="123"/>
  <c r="AJ31" i="123"/>
  <c r="AH1588" i="123"/>
  <c r="AG1530" i="123"/>
  <c r="AI1435" i="123"/>
  <c r="AI1489" i="123"/>
  <c r="AH1411" i="123"/>
  <c r="AH719" i="123"/>
  <c r="AH1600" i="123"/>
  <c r="AH1268" i="123"/>
  <c r="AH1955" i="123"/>
  <c r="AI1943" i="123"/>
  <c r="AG1864" i="123"/>
  <c r="AI1966" i="123"/>
  <c r="AG1377" i="123"/>
  <c r="AG1228" i="123"/>
  <c r="AH1357" i="123"/>
  <c r="AI1982" i="123"/>
  <c r="AH1894" i="123"/>
  <c r="AI1448" i="123"/>
  <c r="AI1843" i="123"/>
  <c r="AG1541" i="123"/>
  <c r="AH982" i="123"/>
  <c r="AH1843" i="123"/>
  <c r="AI1417" i="123"/>
  <c r="AI819" i="123"/>
  <c r="AI757" i="123"/>
  <c r="AI428" i="123"/>
  <c r="AH345" i="123"/>
  <c r="AI326" i="123"/>
  <c r="AJ254" i="123"/>
  <c r="AJ258" i="123"/>
  <c r="AJ138" i="123"/>
  <c r="AH1686" i="123"/>
  <c r="AH1585" i="123"/>
  <c r="AH1417" i="123"/>
  <c r="AH807" i="123"/>
  <c r="AH1979" i="123"/>
  <c r="AI1382" i="123"/>
  <c r="AG1448" i="123"/>
  <c r="AI532" i="123"/>
  <c r="AJ314" i="123"/>
  <c r="AJ476" i="123"/>
  <c r="AI226" i="123"/>
  <c r="AI338" i="123"/>
  <c r="AI413" i="123"/>
  <c r="AI391" i="123"/>
  <c r="AJ419" i="123"/>
  <c r="AJ256" i="123"/>
  <c r="AI784" i="123"/>
  <c r="AG226" i="123"/>
  <c r="AJ226" i="123" s="1"/>
  <c r="AI1525" i="123"/>
  <c r="AH1225" i="123"/>
  <c r="AI1867" i="123"/>
  <c r="AH1792" i="123"/>
  <c r="AI1081" i="123"/>
  <c r="AI995" i="123"/>
  <c r="AJ79" i="123"/>
  <c r="AH1105" i="123"/>
  <c r="AH1670" i="123"/>
  <c r="AH1081" i="123"/>
  <c r="AJ415" i="123"/>
  <c r="AJ358" i="123"/>
  <c r="AJ292" i="123"/>
  <c r="AG916" i="123"/>
  <c r="AJ282" i="123"/>
  <c r="AG1522" i="123"/>
  <c r="AG1358" i="123"/>
  <c r="AI521" i="123"/>
  <c r="AI316" i="123"/>
  <c r="AJ253" i="123"/>
  <c r="AJ93" i="123"/>
  <c r="AH1690" i="123"/>
  <c r="AG859" i="123"/>
  <c r="AI776" i="123"/>
  <c r="AI285" i="123"/>
  <c r="AJ229" i="123"/>
  <c r="AJ195" i="123"/>
  <c r="AJ98" i="123"/>
  <c r="AJ90" i="123"/>
  <c r="AJ81" i="123"/>
  <c r="AJ45" i="123"/>
  <c r="AH1982" i="123"/>
  <c r="AG1578" i="123"/>
  <c r="AI1383" i="123"/>
  <c r="AH1427" i="123"/>
  <c r="AI1323" i="123"/>
  <c r="AI264" i="123"/>
  <c r="AI1600" i="123"/>
  <c r="AI1403" i="123"/>
  <c r="AI1963" i="123"/>
  <c r="AG1030" i="123"/>
  <c r="AH816" i="123"/>
  <c r="AH1452" i="123"/>
  <c r="AI803" i="123"/>
  <c r="AI1741" i="123"/>
  <c r="AI1950" i="123"/>
  <c r="AI1348" i="123"/>
  <c r="AH1737" i="123"/>
  <c r="AJ511" i="123"/>
  <c r="AJ191" i="123"/>
  <c r="AH1164" i="123"/>
  <c r="AH1486" i="123"/>
  <c r="AI1686" i="123"/>
  <c r="AI1485" i="123"/>
  <c r="AG1584" i="123"/>
  <c r="AH1418" i="123"/>
  <c r="AI1987" i="123"/>
  <c r="AH1269" i="123"/>
  <c r="AI1421" i="123"/>
  <c r="AI787" i="123"/>
  <c r="AI1548" i="123"/>
  <c r="AI807" i="123"/>
  <c r="AH1753" i="123"/>
  <c r="AI1164" i="123"/>
  <c r="AI932" i="123"/>
  <c r="AI808" i="123"/>
  <c r="AI697" i="123"/>
  <c r="AJ487" i="123"/>
  <c r="AJ451" i="123"/>
  <c r="AI368" i="123"/>
  <c r="AG338" i="123"/>
  <c r="AJ338" i="123" s="1"/>
  <c r="AH338" i="123"/>
  <c r="AJ39" i="123"/>
  <c r="AJ19" i="123"/>
  <c r="AG1566" i="123"/>
  <c r="AH1522" i="123"/>
  <c r="AI1506" i="123"/>
  <c r="AG1482" i="123"/>
  <c r="AH1265" i="123"/>
  <c r="AG1670" i="123"/>
  <c r="AH1525" i="123"/>
  <c r="AH723" i="123"/>
  <c r="AG1979" i="123"/>
  <c r="AH1943" i="123"/>
  <c r="AI1844" i="123"/>
  <c r="AI1110" i="123"/>
  <c r="AI1377" i="123"/>
  <c r="AI723" i="123"/>
  <c r="AH808" i="123"/>
  <c r="AG797" i="123"/>
  <c r="AH697" i="123"/>
  <c r="AJ507" i="123"/>
  <c r="AI487" i="123"/>
  <c r="AI388" i="123"/>
  <c r="AI271" i="123"/>
  <c r="AH239" i="123"/>
  <c r="AH233" i="123"/>
  <c r="AJ189" i="123"/>
  <c r="AI62" i="123"/>
  <c r="AJ50" i="123"/>
  <c r="AI1656" i="123"/>
  <c r="AI1566" i="123"/>
  <c r="AI1358" i="123"/>
  <c r="AH1844" i="123"/>
  <c r="AH1382" i="123"/>
  <c r="AI1753" i="123"/>
  <c r="AI707" i="123"/>
  <c r="AH559" i="123"/>
  <c r="AJ542" i="123"/>
  <c r="AJ440" i="123"/>
  <c r="AJ222" i="123"/>
  <c r="AI273" i="123"/>
  <c r="AJ89" i="123"/>
  <c r="AJ72" i="123"/>
  <c r="AH707" i="123"/>
  <c r="AG1319" i="123"/>
  <c r="AG1026" i="123"/>
  <c r="AH784" i="123"/>
  <c r="AH797" i="123"/>
  <c r="AI476" i="123"/>
  <c r="AJ242" i="123"/>
  <c r="AJ234" i="123"/>
  <c r="AJ304" i="123"/>
  <c r="AH226" i="123"/>
  <c r="AJ257" i="123"/>
  <c r="AJ219" i="123"/>
  <c r="AJ119" i="123"/>
  <c r="AH1656" i="123"/>
  <c r="AH1867" i="123"/>
  <c r="AH1738" i="123"/>
  <c r="AI1556" i="123"/>
  <c r="AG1347" i="123"/>
  <c r="AH1572" i="123"/>
  <c r="AH1319" i="123"/>
  <c r="AH735" i="123"/>
  <c r="AH1856" i="123"/>
  <c r="AJ106" i="123"/>
  <c r="AH476" i="123"/>
  <c r="AJ315" i="123"/>
  <c r="AJ86" i="123"/>
  <c r="AH1296" i="123"/>
  <c r="AH1556" i="123"/>
  <c r="AH1569" i="123"/>
  <c r="AH591" i="123"/>
  <c r="AH919" i="123"/>
  <c r="AI1939" i="123"/>
  <c r="AG1923" i="123"/>
  <c r="AG1824" i="123"/>
  <c r="AH1938" i="123"/>
  <c r="AG569" i="123"/>
  <c r="AJ394" i="123"/>
  <c r="AJ408" i="123"/>
  <c r="AJ156" i="123"/>
  <c r="AJ41" i="123"/>
  <c r="AH1613" i="123"/>
  <c r="AH1300" i="123"/>
  <c r="AI1814" i="123"/>
  <c r="AH1220" i="123"/>
  <c r="AH1975" i="123"/>
  <c r="AG1832" i="123"/>
  <c r="AI887" i="123"/>
  <c r="AH1487" i="123"/>
  <c r="AI591" i="123"/>
  <c r="AI1930" i="123"/>
  <c r="AH1930" i="123"/>
  <c r="AG899" i="123"/>
  <c r="AH899" i="123"/>
  <c r="AH1491" i="123"/>
  <c r="AG1491" i="123"/>
  <c r="AG272" i="123"/>
  <c r="AJ272" i="123" s="1"/>
  <c r="AI272" i="123"/>
  <c r="AG1165" i="123"/>
  <c r="AH1165" i="123"/>
  <c r="AG1065" i="123"/>
  <c r="AH1065" i="123"/>
  <c r="AG656" i="123"/>
  <c r="AI656" i="123"/>
  <c r="AI1013" i="123"/>
  <c r="AG1013" i="123"/>
  <c r="AG1057" i="123"/>
  <c r="AI1057" i="123"/>
  <c r="AH1621" i="123"/>
  <c r="AI1621" i="123"/>
  <c r="AG1604" i="123"/>
  <c r="AH1604" i="123"/>
  <c r="AG1729" i="123"/>
  <c r="AH1729" i="123"/>
  <c r="AI1729" i="123"/>
  <c r="AG1561" i="123"/>
  <c r="AI1561" i="123"/>
  <c r="AG979" i="123"/>
  <c r="AG681" i="123"/>
  <c r="AI831" i="123"/>
  <c r="AH1674" i="123"/>
  <c r="AH656" i="123"/>
  <c r="AG1741" i="123"/>
  <c r="AH1138" i="123"/>
  <c r="AG1138" i="123"/>
  <c r="AG1994" i="123"/>
  <c r="AH1994" i="123"/>
  <c r="AH1816" i="123"/>
  <c r="AI1816" i="123"/>
  <c r="AG1018" i="123"/>
  <c r="AI1018" i="123"/>
  <c r="AG1695" i="123"/>
  <c r="AH1695" i="123"/>
  <c r="AG1394" i="123"/>
  <c r="AH1394" i="123"/>
  <c r="AH1652" i="123"/>
  <c r="AI1652" i="123"/>
  <c r="AG1085" i="123"/>
  <c r="AI1085" i="123"/>
  <c r="AH1085" i="123"/>
  <c r="AG1406" i="123"/>
  <c r="AH1406" i="123"/>
  <c r="AI1406" i="123"/>
  <c r="AH1501" i="123"/>
  <c r="AI1501" i="123"/>
  <c r="AG1092" i="123"/>
  <c r="AH1084" i="123"/>
  <c r="AH813" i="123"/>
  <c r="AG831" i="123"/>
  <c r="AI815" i="123"/>
  <c r="AG756" i="123"/>
  <c r="AI463" i="123"/>
  <c r="AI429" i="123"/>
  <c r="AH413" i="123"/>
  <c r="AH1950" i="123"/>
  <c r="AG1674" i="123"/>
  <c r="AG1621" i="123"/>
  <c r="AG1514" i="123"/>
  <c r="AH1217" i="123"/>
  <c r="AG1872" i="123"/>
  <c r="AI1695" i="123"/>
  <c r="AI1363" i="123"/>
  <c r="AH1987" i="123"/>
  <c r="AG1487" i="123"/>
  <c r="AI1300" i="123"/>
  <c r="AG1330" i="123"/>
  <c r="AH1330" i="123"/>
  <c r="AI1328" i="123"/>
  <c r="AI1065" i="123"/>
  <c r="AH1312" i="123"/>
  <c r="AG1312" i="123"/>
  <c r="AH986" i="123"/>
  <c r="AI1491" i="123"/>
  <c r="AG564" i="123"/>
  <c r="AI1569" i="123"/>
  <c r="AI1410" i="123"/>
  <c r="AH1410" i="123"/>
  <c r="AG1718" i="123"/>
  <c r="AI1718" i="123"/>
  <c r="AG1835" i="123"/>
  <c r="AH1835" i="123"/>
  <c r="AI1562" i="123"/>
  <c r="AG1562" i="123"/>
  <c r="AG715" i="123"/>
  <c r="AH715" i="123"/>
  <c r="AI715" i="123"/>
  <c r="AH1534" i="123"/>
  <c r="AG1534" i="123"/>
  <c r="AG1918" i="123"/>
  <c r="AH1918" i="123"/>
  <c r="AG1185" i="123"/>
  <c r="AH1185" i="123"/>
  <c r="AG201" i="123"/>
  <c r="AJ201" i="123" s="1"/>
  <c r="AI201" i="123"/>
  <c r="AG1441" i="123"/>
  <c r="AI1441" i="123"/>
  <c r="AH1683" i="123"/>
  <c r="AI1683" i="123"/>
  <c r="AG1041" i="123"/>
  <c r="AI1041" i="123"/>
  <c r="AG1851" i="123"/>
  <c r="AH1851" i="123"/>
  <c r="AI1106" i="123"/>
  <c r="AG1106" i="123"/>
  <c r="AG1855" i="123"/>
  <c r="AH1855" i="123"/>
  <c r="AI1855" i="123"/>
  <c r="AI1746" i="123"/>
  <c r="AG1746" i="123"/>
  <c r="AI813" i="123"/>
  <c r="AJ276" i="123"/>
  <c r="AH1814" i="123"/>
  <c r="AH1562" i="123"/>
  <c r="AH1113" i="123"/>
  <c r="AG1240" i="123"/>
  <c r="AH1240" i="123"/>
  <c r="AI1113" i="123"/>
  <c r="AG1991" i="123"/>
  <c r="AH1991" i="123"/>
  <c r="AI1826" i="123"/>
  <c r="AG1826" i="123"/>
  <c r="AG1338" i="123"/>
  <c r="AH1338" i="123"/>
  <c r="AG1995" i="123"/>
  <c r="AH1995" i="123"/>
  <c r="AG1277" i="123"/>
  <c r="AH1277" i="123"/>
  <c r="AI1386" i="123"/>
  <c r="AH1386" i="123"/>
  <c r="AG1084" i="123"/>
  <c r="AH760" i="123"/>
  <c r="AJ467" i="123"/>
  <c r="AJ471" i="123"/>
  <c r="AG413" i="123"/>
  <c r="AJ413" i="123" s="1"/>
  <c r="AJ535" i="123"/>
  <c r="AJ523" i="123"/>
  <c r="AJ367" i="123"/>
  <c r="AJ197" i="123"/>
  <c r="AJ165" i="123"/>
  <c r="AI147" i="123"/>
  <c r="AI89" i="123"/>
  <c r="AH69" i="123"/>
  <c r="AI61" i="123"/>
  <c r="AJ27" i="123"/>
  <c r="AJ18" i="123"/>
  <c r="AH1514" i="123"/>
  <c r="AI1604" i="123"/>
  <c r="AI1338" i="123"/>
  <c r="AH1212" i="123"/>
  <c r="AI1872" i="123"/>
  <c r="AI1427" i="123"/>
  <c r="AG1323" i="123"/>
  <c r="AH998" i="123"/>
  <c r="AH1730" i="123"/>
  <c r="AH1568" i="123"/>
  <c r="AG1363" i="123"/>
  <c r="AH1824" i="123"/>
  <c r="AI1991" i="123"/>
  <c r="AH564" i="123"/>
  <c r="AH1494" i="123"/>
  <c r="AG1494" i="123"/>
  <c r="AI1379" i="123"/>
  <c r="AH1379" i="123"/>
  <c r="AG1498" i="123"/>
  <c r="AH1498" i="123"/>
  <c r="AG1328" i="123"/>
  <c r="AG787" i="123"/>
  <c r="AH1018" i="123"/>
  <c r="AG799" i="123"/>
  <c r="AH799" i="123"/>
  <c r="AH1561" i="123"/>
  <c r="AG763" i="123"/>
  <c r="AH763" i="123"/>
  <c r="AH1459" i="123"/>
  <c r="AI1459" i="123"/>
  <c r="AH1372" i="123"/>
  <c r="AG1372" i="123"/>
  <c r="AG1233" i="123"/>
  <c r="AH1233" i="123"/>
  <c r="AI1994" i="123"/>
  <c r="AH1380" i="123"/>
  <c r="AG1683" i="123"/>
  <c r="AI1470" i="123"/>
  <c r="AH1470" i="123"/>
  <c r="AH1419" i="123"/>
  <c r="AG1419" i="123"/>
  <c r="AI1354" i="123"/>
  <c r="AG1354" i="123"/>
  <c r="AH1354" i="123"/>
  <c r="AG1188" i="123"/>
  <c r="AH1188" i="123"/>
  <c r="AI1176" i="123"/>
  <c r="AG1176" i="123"/>
  <c r="AH1176" i="123"/>
  <c r="AH489" i="123"/>
  <c r="AH448" i="123"/>
  <c r="AJ427" i="123"/>
  <c r="AJ432" i="123"/>
  <c r="AJ416" i="123"/>
  <c r="AI333" i="123"/>
  <c r="AJ346" i="123"/>
  <c r="AJ273" i="123"/>
  <c r="AJ185" i="123"/>
  <c r="AJ198" i="123"/>
  <c r="AJ181" i="123"/>
  <c r="AI144" i="123"/>
  <c r="AJ107" i="123"/>
  <c r="AJ83" i="123"/>
  <c r="AI77" i="123"/>
  <c r="AJ66" i="123"/>
  <c r="AI49" i="123"/>
  <c r="AI53" i="123"/>
  <c r="AJ43" i="123"/>
  <c r="AJ33" i="123"/>
  <c r="AH201" i="123"/>
  <c r="AI517" i="123"/>
  <c r="AJ433" i="123"/>
  <c r="AJ531" i="123"/>
  <c r="AJ479" i="123"/>
  <c r="AJ322" i="123"/>
  <c r="AI300" i="123"/>
  <c r="AH320" i="123"/>
  <c r="AI231" i="123"/>
  <c r="AJ249" i="123"/>
  <c r="AJ178" i="123"/>
  <c r="AJ152" i="123"/>
  <c r="AJ110" i="123"/>
  <c r="AJ57" i="123"/>
  <c r="AJ49" i="123"/>
  <c r="AJ53" i="123"/>
  <c r="AI1344" i="123"/>
  <c r="AI712" i="123"/>
  <c r="AI1277" i="123"/>
  <c r="AI828" i="123"/>
  <c r="AG1341" i="123"/>
  <c r="AH1341" i="123"/>
  <c r="AG1321" i="123"/>
  <c r="AH1321" i="123"/>
  <c r="AH928" i="123"/>
  <c r="AG928" i="123"/>
  <c r="AG1463" i="123"/>
  <c r="AH1463" i="123"/>
  <c r="AI1463" i="123"/>
  <c r="AH588" i="123"/>
  <c r="AG588" i="123"/>
  <c r="AI1217" i="123"/>
  <c r="AI1436" i="123"/>
  <c r="AG1436" i="123"/>
  <c r="AG1848" i="123"/>
  <c r="AH1694" i="123"/>
  <c r="AH712" i="123"/>
  <c r="AI1138" i="123"/>
  <c r="AI1026" i="123"/>
  <c r="AH155" i="123"/>
  <c r="AH1404" i="123"/>
  <c r="AH1436" i="123"/>
  <c r="AG1421" i="123"/>
  <c r="AI1694" i="123"/>
  <c r="AI155" i="123"/>
  <c r="AI1737" i="123"/>
  <c r="AG982" i="123"/>
  <c r="AG1560" i="123"/>
  <c r="AH1560" i="123"/>
  <c r="AI1380" i="123"/>
  <c r="AJ248" i="123"/>
  <c r="AJ264" i="123"/>
  <c r="AI101" i="123"/>
  <c r="AJ280" i="123"/>
  <c r="AI1269" i="123"/>
  <c r="AI655" i="123"/>
  <c r="AH932" i="123"/>
  <c r="AI505" i="123"/>
  <c r="AI539" i="123"/>
  <c r="AJ444" i="123"/>
  <c r="AJ425" i="123"/>
  <c r="AI305" i="123"/>
  <c r="AJ261" i="123"/>
  <c r="AJ145" i="123"/>
  <c r="AJ114" i="123"/>
  <c r="AJ97" i="123"/>
  <c r="AJ78" i="123"/>
  <c r="AJ70" i="123"/>
  <c r="AI1498" i="123"/>
  <c r="AG1466" i="123"/>
  <c r="AG1738" i="123"/>
  <c r="AH1284" i="123"/>
  <c r="AH1489" i="123"/>
  <c r="AI1486" i="123"/>
  <c r="AI1481" i="123"/>
  <c r="AI1030" i="123"/>
  <c r="AG1975" i="123"/>
  <c r="AG1959" i="123"/>
  <c r="AH1013" i="123"/>
  <c r="AI1196" i="123"/>
  <c r="AH1581" i="123"/>
  <c r="AH1484" i="123"/>
  <c r="AI1284" i="123"/>
  <c r="AH1348" i="123"/>
  <c r="AH1520" i="123"/>
  <c r="AI1792" i="123"/>
  <c r="AG1331" i="123"/>
  <c r="AI800" i="123"/>
  <c r="AJ266" i="123"/>
  <c r="AJ244" i="123"/>
  <c r="AJ237" i="123"/>
  <c r="AI145" i="123"/>
  <c r="AH141" i="123"/>
  <c r="AJ132" i="123"/>
  <c r="AJ28" i="123"/>
  <c r="AH1466" i="123"/>
  <c r="AG1339" i="123"/>
  <c r="AH1477" i="123"/>
  <c r="AH567" i="123"/>
  <c r="AH1966" i="123"/>
  <c r="AH1758" i="123"/>
  <c r="AG1594" i="123"/>
  <c r="AI1860" i="123"/>
  <c r="AI1864" i="123"/>
  <c r="AI1832" i="123"/>
  <c r="AH887" i="123"/>
  <c r="AG1484" i="123"/>
  <c r="AI169" i="123"/>
  <c r="AI1331" i="123"/>
  <c r="AI567" i="123"/>
  <c r="AJ528" i="123"/>
  <c r="AH569" i="123"/>
  <c r="AI464" i="123"/>
  <c r="AJ503" i="123"/>
  <c r="AI475" i="123"/>
  <c r="AJ301" i="123"/>
  <c r="AJ212" i="123"/>
  <c r="AJ207" i="123"/>
  <c r="AJ175" i="123"/>
  <c r="AJ163" i="123"/>
  <c r="AI118" i="123"/>
  <c r="AJ77" i="123"/>
  <c r="AH1196" i="123"/>
  <c r="AH655" i="123"/>
  <c r="AH1594" i="123"/>
  <c r="AH608" i="123"/>
  <c r="AI1168" i="123"/>
  <c r="AG803" i="123"/>
  <c r="AI1439" i="123"/>
  <c r="AI1520" i="123"/>
  <c r="AH1415" i="123"/>
  <c r="AI1918" i="123"/>
  <c r="AI1185" i="123"/>
  <c r="AI1015" i="123"/>
  <c r="AI839" i="123"/>
  <c r="AG760" i="123"/>
  <c r="AH473" i="123"/>
  <c r="AJ270" i="123"/>
  <c r="AJ115" i="123"/>
  <c r="AJ121" i="123"/>
  <c r="AH109" i="123"/>
  <c r="AI1465" i="123"/>
  <c r="AH1482" i="123"/>
  <c r="AH1149" i="123"/>
  <c r="AH575" i="123"/>
  <c r="AH1481" i="123"/>
  <c r="AG1570" i="123"/>
  <c r="AH1485" i="123"/>
  <c r="AH1204" i="123"/>
  <c r="AH743" i="123"/>
  <c r="AH1860" i="123"/>
  <c r="AI1337" i="123"/>
  <c r="AH1796" i="123"/>
  <c r="AI1946" i="123"/>
  <c r="AI587" i="123"/>
  <c r="AI248" i="123"/>
  <c r="AI696" i="123"/>
  <c r="AI772" i="123"/>
  <c r="AI1205" i="123"/>
  <c r="AI1613" i="123"/>
  <c r="AH1100" i="123"/>
  <c r="AI1092" i="123"/>
  <c r="AH1076" i="123"/>
  <c r="AG995" i="123"/>
  <c r="AH839" i="123"/>
  <c r="AJ305" i="123"/>
  <c r="AJ326" i="123"/>
  <c r="AI205" i="123"/>
  <c r="AJ179" i="123"/>
  <c r="AJ133" i="123"/>
  <c r="AI109" i="123"/>
  <c r="AJ85" i="123"/>
  <c r="AJ37" i="123"/>
  <c r="AH1465" i="123"/>
  <c r="AH907" i="123"/>
  <c r="AH1718" i="123"/>
  <c r="AI1570" i="123"/>
  <c r="AH1709" i="123"/>
  <c r="AI743" i="123"/>
  <c r="AH1337" i="123"/>
  <c r="AI1233" i="123"/>
  <c r="AI619" i="123"/>
  <c r="AI667" i="123"/>
  <c r="AJ245" i="123"/>
  <c r="AJ118" i="123"/>
  <c r="AI1076" i="123"/>
  <c r="AI501" i="123"/>
  <c r="AI513" i="123"/>
  <c r="AJ288" i="123"/>
  <c r="AJ238" i="123"/>
  <c r="AJ286" i="123"/>
  <c r="AJ246" i="123"/>
  <c r="AJ269" i="123"/>
  <c r="AI245" i="123"/>
  <c r="AJ241" i="123"/>
  <c r="AJ205" i="123"/>
  <c r="AI185" i="123"/>
  <c r="AJ194" i="123"/>
  <c r="AJ126" i="123"/>
  <c r="AJ105" i="123"/>
  <c r="AH587" i="123"/>
  <c r="AH1510" i="123"/>
  <c r="AI252" i="123"/>
  <c r="AH1205" i="123"/>
  <c r="AG1349" i="123"/>
  <c r="AH1467" i="123"/>
  <c r="AI1204" i="123"/>
  <c r="AI1709" i="123"/>
  <c r="AH696" i="123"/>
  <c r="AJ274" i="123"/>
  <c r="AJ206" i="123"/>
  <c r="AJ159" i="123"/>
  <c r="AI1608" i="123"/>
  <c r="AI1467" i="123"/>
  <c r="AI1415" i="123"/>
  <c r="AH1439" i="123"/>
  <c r="AI1749" i="123"/>
  <c r="AI1292" i="123"/>
  <c r="AH264" i="123"/>
  <c r="AG1344" i="123"/>
  <c r="AH1667" i="123"/>
  <c r="AI1512" i="123"/>
  <c r="AG1100" i="123"/>
  <c r="AJ144" i="123"/>
  <c r="AI1510" i="123"/>
  <c r="AG1383" i="123"/>
  <c r="AH1399" i="123"/>
  <c r="AH1939" i="123"/>
  <c r="AI916" i="123"/>
  <c r="AI519" i="123"/>
  <c r="AJ400" i="123"/>
  <c r="AJ355" i="123"/>
  <c r="AI334" i="123"/>
  <c r="AI296" i="123"/>
  <c r="AJ321" i="123"/>
  <c r="AJ317" i="123"/>
  <c r="AJ285" i="123"/>
  <c r="AI128" i="123"/>
  <c r="AH101" i="123"/>
  <c r="AJ64" i="123"/>
  <c r="AJ32" i="123"/>
  <c r="AH1608" i="123"/>
  <c r="AH1409" i="123"/>
  <c r="AG1714" i="123"/>
  <c r="AI1399" i="123"/>
  <c r="AH1292" i="123"/>
  <c r="AI1971" i="123"/>
  <c r="AI1923" i="123"/>
  <c r="AI1959" i="123"/>
  <c r="AI1848" i="123"/>
  <c r="AI1349" i="123"/>
  <c r="AH1237" i="123"/>
  <c r="AH648" i="123"/>
  <c r="AG1512" i="123"/>
  <c r="AH620" i="123"/>
  <c r="AH272" i="123"/>
  <c r="AH1577" i="123"/>
  <c r="AI1117" i="123"/>
  <c r="AI1381" i="123"/>
  <c r="AI1894" i="123"/>
  <c r="AI1237" i="123"/>
  <c r="AI1796" i="123"/>
  <c r="AI1225" i="123"/>
  <c r="AI1667" i="123"/>
  <c r="AI648" i="123"/>
  <c r="AJ300" i="123"/>
  <c r="AH800" i="123"/>
  <c r="AJ527" i="123"/>
  <c r="AJ543" i="123"/>
  <c r="AJ429" i="123"/>
  <c r="AJ383" i="123"/>
  <c r="AJ428" i="123"/>
  <c r="AJ262" i="123"/>
  <c r="AH296" i="123"/>
  <c r="AJ250" i="123"/>
  <c r="AJ147" i="123"/>
  <c r="AJ128" i="123"/>
  <c r="AI60" i="123"/>
  <c r="AJ35" i="123"/>
  <c r="AH1117" i="123"/>
  <c r="AH667" i="123"/>
  <c r="AI907" i="123"/>
  <c r="AI1404" i="123"/>
  <c r="AI799" i="123"/>
  <c r="AI1690" i="123"/>
  <c r="AI1105" i="123"/>
  <c r="AI891" i="123"/>
  <c r="AH1749" i="123"/>
  <c r="AH169" i="123"/>
  <c r="AH772" i="123"/>
  <c r="AI927" i="123"/>
  <c r="AH1910" i="123"/>
  <c r="AI1577" i="123"/>
  <c r="AH1978" i="123"/>
  <c r="AG1978" i="123"/>
  <c r="AI1990" i="123"/>
  <c r="AI620" i="123"/>
  <c r="AI804" i="123"/>
  <c r="AG804" i="123"/>
  <c r="AH804" i="123"/>
  <c r="AI1268" i="123"/>
  <c r="AG1457" i="123"/>
  <c r="AH1457" i="123"/>
  <c r="AI1910" i="123"/>
  <c r="AG1527" i="123"/>
  <c r="AH1527" i="123"/>
  <c r="AG1682" i="123"/>
  <c r="AH1682" i="123"/>
  <c r="AI1682" i="123"/>
  <c r="AJ463" i="123"/>
  <c r="AJ289" i="123"/>
  <c r="AI559" i="123"/>
  <c r="AG1622" i="123"/>
  <c r="AI1622" i="123"/>
  <c r="AH1543" i="123"/>
  <c r="AG1543" i="123"/>
  <c r="AI1543" i="123"/>
  <c r="AG1456" i="123"/>
  <c r="AH1456" i="123"/>
  <c r="AI1456" i="123"/>
  <c r="AI1651" i="123"/>
  <c r="AG1651" i="123"/>
  <c r="AJ73" i="123"/>
  <c r="AJ62" i="123"/>
  <c r="AH1408" i="123"/>
  <c r="AG1408" i="123"/>
  <c r="AI1408" i="123"/>
  <c r="AI1938" i="123"/>
  <c r="AG1392" i="123"/>
  <c r="AI1392" i="123"/>
  <c r="AG1531" i="123"/>
  <c r="AH1531" i="123"/>
  <c r="AG1444" i="123"/>
  <c r="AH1444" i="123"/>
  <c r="AI1444" i="123"/>
  <c r="AG1389" i="123"/>
  <c r="AI1389" i="123"/>
  <c r="AJ464" i="123"/>
  <c r="AG551" i="123"/>
  <c r="AH551" i="123"/>
  <c r="AI1265" i="123"/>
  <c r="AJ470" i="123"/>
  <c r="AI575" i="123"/>
  <c r="W505" i="123"/>
  <c r="AH505" i="123" s="1"/>
  <c r="AJ438" i="123"/>
  <c r="AI345" i="123"/>
  <c r="AG1381" i="123"/>
  <c r="W137" i="123"/>
  <c r="AH137" i="123" s="1"/>
  <c r="AG1405" i="123"/>
  <c r="AH1405" i="123"/>
  <c r="AI1405" i="123"/>
  <c r="AI1589" i="123"/>
  <c r="AG1589" i="123"/>
  <c r="AJ490" i="123"/>
  <c r="AI291" i="123"/>
  <c r="AI15" i="123"/>
  <c r="AJ209" i="123"/>
  <c r="AG939" i="123"/>
  <c r="AI1476" i="123"/>
  <c r="AG1476" i="123"/>
  <c r="AH1476" i="123"/>
  <c r="AI390" i="123"/>
  <c r="AI220" i="123"/>
  <c r="AI213" i="123"/>
  <c r="W373" i="123"/>
  <c r="AH373" i="123" s="1"/>
  <c r="W307" i="123"/>
  <c r="W230" i="123"/>
  <c r="AI1576" i="123"/>
  <c r="AI939" i="123"/>
  <c r="AI735" i="123"/>
  <c r="AJ271" i="123"/>
  <c r="AG1585" i="123"/>
  <c r="AI747" i="123"/>
  <c r="AI1149" i="123"/>
  <c r="AH1946" i="123"/>
  <c r="AG1576" i="123"/>
  <c r="AH747" i="123"/>
  <c r="AI728" i="123"/>
  <c r="AG728" i="123"/>
  <c r="AH780" i="123"/>
  <c r="AG780" i="123"/>
  <c r="AI780" i="123"/>
  <c r="AI472" i="123"/>
  <c r="W389" i="123"/>
  <c r="AH389" i="123" s="1"/>
  <c r="AJ376" i="123"/>
  <c r="W304" i="123"/>
  <c r="AH304" i="123" s="1"/>
  <c r="AI236" i="123"/>
  <c r="AI188" i="123"/>
  <c r="W145" i="123"/>
  <c r="AH145" i="123" s="1"/>
  <c r="AI149" i="123"/>
  <c r="W298" i="123"/>
  <c r="AH298" i="123" s="1"/>
  <c r="AI739" i="123"/>
  <c r="AH1468" i="123"/>
  <c r="AI1468" i="123"/>
  <c r="AG1468" i="123"/>
  <c r="AJ498" i="123"/>
  <c r="AJ536" i="123"/>
  <c r="W371" i="123"/>
  <c r="AH371" i="123" s="1"/>
  <c r="AI361" i="123"/>
  <c r="W269" i="123"/>
  <c r="AH269" i="123" s="1"/>
  <c r="W237" i="123"/>
  <c r="AH237" i="123" s="1"/>
  <c r="W159" i="123"/>
  <c r="AH159" i="123" s="1"/>
  <c r="AI74" i="123"/>
  <c r="AI44" i="123"/>
  <c r="AI1581" i="123"/>
  <c r="AG1761" i="123"/>
  <c r="AH1761" i="123"/>
  <c r="AH313" i="123"/>
  <c r="X313" i="123"/>
  <c r="AH103" i="123"/>
  <c r="X103" i="123"/>
  <c r="W490" i="123"/>
  <c r="AH490" i="123" s="1"/>
  <c r="W315" i="123"/>
  <c r="AH315" i="123" s="1"/>
  <c r="W348" i="123"/>
  <c r="AH348" i="123" s="1"/>
  <c r="W316" i="123"/>
  <c r="AH316" i="123" s="1"/>
  <c r="W208" i="123"/>
  <c r="AH208" i="123" s="1"/>
  <c r="W165" i="123"/>
  <c r="AH165" i="123" s="1"/>
  <c r="W539" i="123"/>
  <c r="AH539" i="123" s="1"/>
  <c r="W523" i="123"/>
  <c r="AH523" i="123" s="1"/>
  <c r="W381" i="123"/>
  <c r="AH381" i="123" s="1"/>
  <c r="W444" i="123"/>
  <c r="AH444" i="123" s="1"/>
  <c r="W194" i="123"/>
  <c r="AH194" i="123" s="1"/>
  <c r="AI154" i="123"/>
  <c r="AJ193" i="123"/>
  <c r="AI524" i="123"/>
  <c r="AI462" i="123"/>
  <c r="AJ519" i="123"/>
  <c r="W451" i="123"/>
  <c r="AH451" i="123" s="1"/>
  <c r="AI329" i="123"/>
  <c r="W333" i="123"/>
  <c r="AH333" i="123" s="1"/>
  <c r="W358" i="123"/>
  <c r="AH358" i="123" s="1"/>
  <c r="W274" i="123"/>
  <c r="AH274" i="123" s="1"/>
  <c r="W271" i="123"/>
  <c r="AH271" i="123" s="1"/>
  <c r="W262" i="123"/>
  <c r="AH262" i="123" s="1"/>
  <c r="W282" i="123"/>
  <c r="AH282" i="123" s="1"/>
  <c r="W259" i="123"/>
  <c r="AH259" i="123" s="1"/>
  <c r="W250" i="123"/>
  <c r="AH250" i="123" s="1"/>
  <c r="AI196" i="123"/>
  <c r="W187" i="123"/>
  <c r="AH187" i="123" s="1"/>
  <c r="W124" i="123"/>
  <c r="AH124" i="123" s="1"/>
  <c r="W86" i="123"/>
  <c r="AH86" i="123" s="1"/>
  <c r="AI46" i="123"/>
  <c r="W24" i="123"/>
  <c r="AH24" i="123" s="1"/>
  <c r="AJ5" i="123"/>
  <c r="AI30" i="123"/>
  <c r="AJ296" i="123"/>
  <c r="W419" i="123"/>
  <c r="AJ504" i="123"/>
  <c r="AJ385" i="123"/>
  <c r="AJ141" i="123"/>
  <c r="AI1240" i="123"/>
  <c r="AI1045" i="123"/>
  <c r="AJ475" i="123"/>
  <c r="AH1045" i="123"/>
  <c r="AJ539" i="123"/>
  <c r="AJ65" i="123"/>
  <c r="W520" i="123"/>
  <c r="AH520" i="123" s="1"/>
  <c r="W536" i="123"/>
  <c r="AH536" i="123" s="1"/>
  <c r="W370" i="123"/>
  <c r="AH370" i="123" s="1"/>
  <c r="W352" i="123"/>
  <c r="AH352" i="123" s="1"/>
  <c r="W334" i="123"/>
  <c r="AH334" i="123" s="1"/>
  <c r="W330" i="123"/>
  <c r="AH330" i="123" s="1"/>
  <c r="W326" i="123"/>
  <c r="AH326" i="123" s="1"/>
  <c r="W324" i="123"/>
  <c r="AH324" i="123" s="1"/>
  <c r="W251" i="123"/>
  <c r="AH251" i="123" s="1"/>
  <c r="W246" i="123"/>
  <c r="AH246" i="123" s="1"/>
  <c r="W223" i="123"/>
  <c r="AH223" i="123" s="1"/>
  <c r="W114" i="123"/>
  <c r="AH114" i="123" s="1"/>
  <c r="W36" i="123"/>
  <c r="AH36" i="123" s="1"/>
  <c r="W49" i="123"/>
  <c r="AH49" i="123" s="1"/>
  <c r="W526" i="123"/>
  <c r="AH526" i="123" s="1"/>
  <c r="AI540" i="123"/>
  <c r="AI496" i="123"/>
  <c r="W198" i="123"/>
  <c r="AH198" i="123" s="1"/>
  <c r="W5" i="123"/>
  <c r="AH5" i="123" s="1"/>
  <c r="AI14" i="123"/>
  <c r="W464" i="123"/>
  <c r="AH464" i="123" s="1"/>
  <c r="W521" i="123"/>
  <c r="AH521" i="123" s="1"/>
  <c r="W499" i="123"/>
  <c r="AH499" i="123" s="1"/>
  <c r="W421" i="123"/>
  <c r="AH421" i="123" s="1"/>
  <c r="W428" i="123"/>
  <c r="AH428" i="123" s="1"/>
  <c r="W286" i="123"/>
  <c r="AH286" i="123" s="1"/>
  <c r="W285" i="123"/>
  <c r="AH285" i="123" s="1"/>
  <c r="AI294" i="123"/>
  <c r="W244" i="123"/>
  <c r="AH244" i="123" s="1"/>
  <c r="W227" i="123"/>
  <c r="AH227" i="123" s="1"/>
  <c r="W215" i="123"/>
  <c r="AH215" i="123" s="1"/>
  <c r="AI203" i="123"/>
  <c r="W197" i="123"/>
  <c r="AH197" i="123" s="1"/>
  <c r="W178" i="123"/>
  <c r="AH178" i="123" s="1"/>
  <c r="W167" i="123"/>
  <c r="AH167" i="123" s="1"/>
  <c r="W132" i="123"/>
  <c r="AH132" i="123" s="1"/>
  <c r="W82" i="123"/>
  <c r="X82" i="123" s="1"/>
  <c r="W75" i="123"/>
  <c r="AH75" i="123" s="1"/>
  <c r="W314" i="123"/>
  <c r="W353" i="123"/>
  <c r="AH353" i="123" s="1"/>
  <c r="W261" i="123"/>
  <c r="AH261" i="123" s="1"/>
  <c r="AI47" i="123"/>
  <c r="W248" i="123"/>
  <c r="AI1705" i="123"/>
  <c r="AG1705" i="123"/>
  <c r="AJ473" i="123"/>
  <c r="AG1574" i="123"/>
  <c r="AH1714" i="123"/>
  <c r="AI1325" i="123"/>
  <c r="AJ477" i="123"/>
  <c r="AJ469" i="123"/>
  <c r="AI719" i="123"/>
  <c r="AI489" i="123"/>
  <c r="AH1971" i="123"/>
  <c r="AG1325" i="123"/>
  <c r="AJ210" i="123"/>
  <c r="AI1477" i="123"/>
  <c r="AI1574" i="123"/>
  <c r="AI1409" i="123"/>
  <c r="AI919" i="123"/>
  <c r="AI1289" i="123"/>
  <c r="AJ491" i="123"/>
  <c r="AJ334" i="123"/>
  <c r="AH1289" i="123"/>
  <c r="AI608" i="123"/>
  <c r="AI1431" i="123"/>
  <c r="AH1431" i="123"/>
  <c r="AG1431" i="123"/>
  <c r="AI1424" i="123"/>
  <c r="AH1424" i="123"/>
  <c r="AG1424" i="123"/>
  <c r="AH1400" i="123"/>
  <c r="AG1400" i="123"/>
  <c r="AI1400" i="123"/>
  <c r="AJ255" i="123"/>
  <c r="AI174" i="123"/>
  <c r="AI1296" i="123"/>
  <c r="AI1309" i="123"/>
  <c r="AG1309" i="123"/>
  <c r="AG994" i="123"/>
  <c r="AH994" i="123"/>
  <c r="AI994" i="123"/>
  <c r="AI832" i="123"/>
  <c r="AG832" i="123"/>
  <c r="AI727" i="123"/>
  <c r="AG727" i="123"/>
  <c r="AG680" i="123"/>
  <c r="AH680" i="123"/>
  <c r="AI680" i="123"/>
  <c r="AG1706" i="123"/>
  <c r="AI1706" i="123"/>
  <c r="AI1762" i="123"/>
  <c r="AG1762" i="123"/>
  <c r="AG1637" i="123"/>
  <c r="AI1637" i="123"/>
  <c r="AJ348" i="123"/>
  <c r="AG1313" i="123"/>
  <c r="AI1313" i="123"/>
  <c r="AI1220" i="123"/>
  <c r="AG1125" i="123"/>
  <c r="AH1125" i="123"/>
  <c r="AI779" i="123"/>
  <c r="AG779" i="123"/>
  <c r="AH779" i="123"/>
  <c r="AH716" i="123"/>
  <c r="AI716" i="123"/>
  <c r="AG716" i="123"/>
  <c r="AH1704" i="123"/>
  <c r="AG1704" i="123"/>
  <c r="AH525" i="123"/>
  <c r="AJ166" i="123"/>
  <c r="AI1453" i="123"/>
  <c r="AH1453" i="123"/>
  <c r="AG1453" i="123"/>
  <c r="AJ401" i="123"/>
  <c r="AJ327" i="123"/>
  <c r="AJ239" i="123"/>
  <c r="AJ233" i="123"/>
  <c r="AJ267" i="123"/>
  <c r="AJ174" i="123"/>
  <c r="AJ149" i="123"/>
  <c r="AJ40" i="123"/>
  <c r="AJ48" i="123"/>
  <c r="AJ24" i="123"/>
  <c r="AJ14" i="123"/>
  <c r="AI509" i="123"/>
  <c r="AJ454" i="123"/>
  <c r="AJ478" i="123"/>
  <c r="AJ10" i="123"/>
  <c r="AJ377" i="123"/>
  <c r="AJ352" i="123"/>
  <c r="AJ311" i="123"/>
  <c r="AI255" i="123"/>
  <c r="AJ235" i="123"/>
  <c r="AJ540" i="123"/>
  <c r="AJ381" i="123"/>
  <c r="AJ60" i="123"/>
  <c r="AH1480" i="123"/>
  <c r="AG1480" i="123"/>
  <c r="AG1333" i="123"/>
  <c r="AJ529" i="123"/>
  <c r="AJ493" i="123"/>
  <c r="AJ410" i="123"/>
  <c r="AJ332" i="123"/>
  <c r="AJ216" i="123"/>
  <c r="AH1333" i="123"/>
  <c r="AJ530" i="123"/>
  <c r="AJ38" i="123"/>
  <c r="AJ34" i="123"/>
  <c r="AJ9" i="123"/>
  <c r="AJ307" i="123"/>
  <c r="AJ373" i="123"/>
  <c r="AJ368" i="123"/>
  <c r="AJ192" i="123"/>
  <c r="AJ187" i="123"/>
  <c r="AJ61" i="123"/>
  <c r="AJ506" i="123"/>
  <c r="AJ505" i="123"/>
  <c r="AJ384" i="123"/>
  <c r="AJ392" i="123"/>
  <c r="AJ353" i="123"/>
  <c r="AJ319" i="123"/>
  <c r="AJ247" i="123"/>
  <c r="AJ231" i="123"/>
  <c r="AJ208" i="123"/>
  <c r="AJ74" i="123"/>
  <c r="X122" i="123"/>
  <c r="AH122" i="123"/>
  <c r="AH180" i="123"/>
  <c r="X180" i="123"/>
  <c r="X295" i="123"/>
  <c r="AH295" i="123"/>
  <c r="AH335" i="123"/>
  <c r="X335" i="123"/>
  <c r="AH95" i="123"/>
  <c r="X95" i="123"/>
  <c r="AI162" i="123"/>
  <c r="AI117" i="123"/>
  <c r="W119" i="123"/>
  <c r="AH119" i="123" s="1"/>
  <c r="W98" i="123"/>
  <c r="AH98" i="123" s="1"/>
  <c r="AI42" i="123"/>
  <c r="W58" i="123"/>
  <c r="AH58" i="123" s="1"/>
  <c r="W23" i="123"/>
  <c r="AH23" i="123" s="1"/>
  <c r="AI13" i="123"/>
  <c r="W35" i="123"/>
  <c r="AH35" i="123" s="1"/>
  <c r="W32" i="123"/>
  <c r="AH32" i="123" s="1"/>
  <c r="W11" i="123"/>
  <c r="AH11" i="123" s="1"/>
  <c r="AG1550" i="123"/>
  <c r="AH1550" i="123"/>
  <c r="AI1550" i="123"/>
  <c r="AJ537" i="123"/>
  <c r="W504" i="123"/>
  <c r="AH504" i="123" s="1"/>
  <c r="AJ501" i="123"/>
  <c r="AJ522" i="123"/>
  <c r="W506" i="123"/>
  <c r="AH506" i="123" s="1"/>
  <c r="AI500" i="123"/>
  <c r="W493" i="123"/>
  <c r="AH493" i="123" s="1"/>
  <c r="W454" i="123"/>
  <c r="AH454" i="123" s="1"/>
  <c r="W498" i="123"/>
  <c r="AH498" i="123" s="1"/>
  <c r="AJ486" i="123"/>
  <c r="AI448" i="123"/>
  <c r="W433" i="123"/>
  <c r="AH433" i="123" s="1"/>
  <c r="W515" i="123"/>
  <c r="AH515" i="123" s="1"/>
  <c r="W491" i="123"/>
  <c r="AH491" i="123" s="1"/>
  <c r="W463" i="123"/>
  <c r="AH463" i="123" s="1"/>
  <c r="W377" i="123"/>
  <c r="AH377" i="123" s="1"/>
  <c r="AI436" i="123"/>
  <c r="W378" i="123"/>
  <c r="AH378" i="123" s="1"/>
  <c r="W327" i="123"/>
  <c r="AH327" i="123" s="1"/>
  <c r="W322" i="123"/>
  <c r="AH322" i="123" s="1"/>
  <c r="W305" i="123"/>
  <c r="AH305" i="123" s="1"/>
  <c r="AI357" i="123"/>
  <c r="AI350" i="123"/>
  <c r="W366" i="123"/>
  <c r="AH366" i="123" s="1"/>
  <c r="AI299" i="123"/>
  <c r="W283" i="123"/>
  <c r="AH283" i="123" s="1"/>
  <c r="W255" i="123"/>
  <c r="AH255" i="123" s="1"/>
  <c r="AI325" i="123"/>
  <c r="W302" i="123"/>
  <c r="AH302" i="123" s="1"/>
  <c r="W266" i="123"/>
  <c r="AH266" i="123" s="1"/>
  <c r="W290" i="123"/>
  <c r="AH290" i="123" s="1"/>
  <c r="AI279" i="123"/>
  <c r="W235" i="123"/>
  <c r="AH235" i="123" s="1"/>
  <c r="AI217" i="123"/>
  <c r="W245" i="123"/>
  <c r="AH245" i="123" s="1"/>
  <c r="W212" i="123"/>
  <c r="AH212" i="123" s="1"/>
  <c r="W205" i="123"/>
  <c r="AH205" i="123" s="1"/>
  <c r="W192" i="123"/>
  <c r="AH192" i="123" s="1"/>
  <c r="W176" i="123"/>
  <c r="AH176" i="123" s="1"/>
  <c r="W182" i="123"/>
  <c r="AH182" i="123" s="1"/>
  <c r="W199" i="123"/>
  <c r="AH199" i="123" s="1"/>
  <c r="W175" i="123"/>
  <c r="X175" i="123" s="1"/>
  <c r="W161" i="123"/>
  <c r="AH161" i="123" s="1"/>
  <c r="W153" i="123"/>
  <c r="AH153" i="123" s="1"/>
  <c r="W152" i="123"/>
  <c r="AH152" i="123" s="1"/>
  <c r="W118" i="123"/>
  <c r="AH118" i="123" s="1"/>
  <c r="W93" i="123"/>
  <c r="AH93" i="123" s="1"/>
  <c r="W79" i="123"/>
  <c r="AH79" i="123" s="1"/>
  <c r="W73" i="123"/>
  <c r="AH73" i="123" s="1"/>
  <c r="W65" i="123"/>
  <c r="AH65" i="123" s="1"/>
  <c r="W53" i="123"/>
  <c r="AH53" i="123" s="1"/>
  <c r="W34" i="123"/>
  <c r="AH34" i="123" s="1"/>
  <c r="W26" i="123"/>
  <c r="AH26" i="123" s="1"/>
  <c r="AG1495" i="123"/>
  <c r="AH1495" i="123"/>
  <c r="AI1495" i="123"/>
  <c r="AH1702" i="123"/>
  <c r="AG1702" i="123"/>
  <c r="AI1702" i="123"/>
  <c r="AJ230" i="123"/>
  <c r="W514" i="123"/>
  <c r="AH514" i="123" s="1"/>
  <c r="W534" i="123"/>
  <c r="AH534" i="123" s="1"/>
  <c r="W538" i="123"/>
  <c r="AH538" i="123" s="1"/>
  <c r="W518" i="123"/>
  <c r="AH518" i="123" s="1"/>
  <c r="AI508" i="123"/>
  <c r="W502" i="123"/>
  <c r="AH502" i="123" s="1"/>
  <c r="W382" i="123"/>
  <c r="AH382" i="123" s="1"/>
  <c r="W410" i="123"/>
  <c r="AH410" i="123" s="1"/>
  <c r="W422" i="123"/>
  <c r="AH422" i="123" s="1"/>
  <c r="AI354" i="123"/>
  <c r="AI320" i="123"/>
  <c r="AJ325" i="123"/>
  <c r="W281" i="123"/>
  <c r="X281" i="123" s="1"/>
  <c r="AJ259" i="123"/>
  <c r="W321" i="123"/>
  <c r="AH321" i="123" s="1"/>
  <c r="W253" i="123"/>
  <c r="AH253" i="123" s="1"/>
  <c r="W181" i="123"/>
  <c r="AH181" i="123" s="1"/>
  <c r="W140" i="123"/>
  <c r="AH140" i="123" s="1"/>
  <c r="W147" i="123"/>
  <c r="AH147" i="123" s="1"/>
  <c r="W126" i="123"/>
  <c r="AH126" i="123" s="1"/>
  <c r="W43" i="123"/>
  <c r="AH43" i="123" s="1"/>
  <c r="W33" i="123"/>
  <c r="AH33" i="123" s="1"/>
  <c r="W21" i="123"/>
  <c r="AH21" i="123" s="1"/>
  <c r="W19" i="123"/>
  <c r="AH19" i="123" s="1"/>
  <c r="AG1413" i="123"/>
  <c r="AI1413" i="123"/>
  <c r="AH1413" i="123"/>
  <c r="W537" i="123"/>
  <c r="AH537" i="123" s="1"/>
  <c r="W481" i="123"/>
  <c r="AH481" i="123" s="1"/>
  <c r="W461" i="123"/>
  <c r="AH461" i="123" s="1"/>
  <c r="AJ456" i="123"/>
  <c r="AJ525" i="123"/>
  <c r="AJ466" i="123"/>
  <c r="AJ485" i="123"/>
  <c r="W380" i="123"/>
  <c r="AH380" i="123" s="1"/>
  <c r="W375" i="123"/>
  <c r="AH375" i="123" s="1"/>
  <c r="W531" i="123"/>
  <c r="AH531" i="123" s="1"/>
  <c r="W507" i="123"/>
  <c r="AH507" i="123" s="1"/>
  <c r="W475" i="123"/>
  <c r="AH475" i="123" s="1"/>
  <c r="AJ372" i="123"/>
  <c r="W429" i="123"/>
  <c r="AH429" i="123" s="1"/>
  <c r="W427" i="123"/>
  <c r="AH427" i="123" s="1"/>
  <c r="AJ388" i="123"/>
  <c r="W339" i="123"/>
  <c r="AH339" i="123" s="1"/>
  <c r="AJ336" i="123"/>
  <c r="AJ351" i="123"/>
  <c r="AJ333" i="123"/>
  <c r="W323" i="123"/>
  <c r="AH323" i="123" s="1"/>
  <c r="W346" i="123"/>
  <c r="AH346" i="123" s="1"/>
  <c r="AJ342" i="123"/>
  <c r="W312" i="123"/>
  <c r="AH312" i="123" s="1"/>
  <c r="W292" i="123"/>
  <c r="AH292" i="123" s="1"/>
  <c r="AJ283" i="123"/>
  <c r="W242" i="123"/>
  <c r="AH242" i="123" s="1"/>
  <c r="AJ227" i="123"/>
  <c r="W219" i="123"/>
  <c r="AH219" i="123" s="1"/>
  <c r="AJ215" i="123"/>
  <c r="W228" i="123"/>
  <c r="AH228" i="123" s="1"/>
  <c r="AI687" i="123"/>
  <c r="AG687" i="123"/>
  <c r="AI1776" i="123"/>
  <c r="AH1776" i="123"/>
  <c r="AG1776" i="123"/>
  <c r="AJ125" i="123"/>
  <c r="AJ11" i="123"/>
  <c r="AJ517" i="123"/>
  <c r="AJ509" i="123"/>
  <c r="AJ516" i="123"/>
  <c r="AJ496" i="123"/>
  <c r="AJ514" i="123"/>
  <c r="AJ494" i="123"/>
  <c r="AJ481" i="123"/>
  <c r="AJ461" i="123"/>
  <c r="AJ534" i="123"/>
  <c r="AJ508" i="123"/>
  <c r="AJ538" i="123"/>
  <c r="AJ518" i="123"/>
  <c r="AJ502" i="123"/>
  <c r="AJ382" i="123"/>
  <c r="AJ364" i="123"/>
  <c r="AJ386" i="123"/>
  <c r="AJ378" i="123"/>
  <c r="AJ369" i="123"/>
  <c r="AJ360" i="123"/>
  <c r="AJ341" i="123"/>
  <c r="AJ306" i="123"/>
  <c r="AJ302" i="123"/>
  <c r="AJ294" i="123"/>
  <c r="AJ251" i="123"/>
  <c r="AJ176" i="123"/>
  <c r="AJ199" i="123"/>
  <c r="AJ196" i="123"/>
  <c r="AJ153" i="123"/>
  <c r="AJ69" i="123"/>
  <c r="AJ520" i="123"/>
  <c r="AJ533" i="123"/>
  <c r="AJ526" i="123"/>
  <c r="AJ484" i="123"/>
  <c r="AI525" i="123"/>
  <c r="AJ521" i="123"/>
  <c r="AJ513" i="123"/>
  <c r="AJ489" i="123"/>
  <c r="AJ457" i="123"/>
  <c r="AJ389" i="123"/>
  <c r="AJ374" i="123"/>
  <c r="AJ356" i="123"/>
  <c r="AJ422" i="123"/>
  <c r="AJ339" i="123"/>
  <c r="AJ337" i="123"/>
  <c r="AJ323" i="123"/>
  <c r="AJ243" i="123"/>
  <c r="AJ263" i="123"/>
  <c r="AJ223" i="123"/>
  <c r="AJ228" i="123"/>
  <c r="AJ170" i="123"/>
  <c r="AJ137" i="123"/>
  <c r="AJ36" i="123"/>
  <c r="AJ47" i="123"/>
  <c r="AJ544" i="123"/>
  <c r="W509" i="123"/>
  <c r="AH509" i="123" s="1"/>
  <c r="W470" i="123"/>
  <c r="AH470" i="123" s="1"/>
  <c r="W455" i="123"/>
  <c r="AH455" i="123" s="1"/>
  <c r="W494" i="123"/>
  <c r="AH494" i="123" s="1"/>
  <c r="W484" i="123"/>
  <c r="AH484" i="123" s="1"/>
  <c r="W469" i="123"/>
  <c r="AH469" i="123" s="1"/>
  <c r="W528" i="123"/>
  <c r="AH528" i="123" s="1"/>
  <c r="W513" i="123"/>
  <c r="AH513" i="123" s="1"/>
  <c r="W530" i="123"/>
  <c r="AH530" i="123" s="1"/>
  <c r="AI516" i="123"/>
  <c r="W486" i="123"/>
  <c r="AH486" i="123" s="1"/>
  <c r="W480" i="123"/>
  <c r="AH480" i="123" s="1"/>
  <c r="W478" i="123"/>
  <c r="AH478" i="123" s="1"/>
  <c r="AJ472" i="123"/>
  <c r="W364" i="123"/>
  <c r="AH364" i="123" s="1"/>
  <c r="W535" i="123"/>
  <c r="AH535" i="123" s="1"/>
  <c r="AI529" i="123"/>
  <c r="W527" i="123"/>
  <c r="AH527" i="123" s="1"/>
  <c r="W519" i="123"/>
  <c r="AH519" i="123" s="1"/>
  <c r="W511" i="123"/>
  <c r="AH511" i="123" s="1"/>
  <c r="W503" i="123"/>
  <c r="AH503" i="123" s="1"/>
  <c r="W495" i="123"/>
  <c r="AH495" i="123" s="1"/>
  <c r="W487" i="123"/>
  <c r="AH487" i="123" s="1"/>
  <c r="W479" i="123"/>
  <c r="AH479" i="123" s="1"/>
  <c r="AI473" i="123"/>
  <c r="W459" i="123"/>
  <c r="AH459" i="123" s="1"/>
  <c r="W441" i="123"/>
  <c r="AH441" i="123" s="1"/>
  <c r="W394" i="123"/>
  <c r="AH394" i="123" s="1"/>
  <c r="W386" i="123"/>
  <c r="AH386" i="123" s="1"/>
  <c r="W374" i="123"/>
  <c r="AH374" i="123" s="1"/>
  <c r="W367" i="123"/>
  <c r="AH367" i="123" s="1"/>
  <c r="W438" i="123"/>
  <c r="AH438" i="123" s="1"/>
  <c r="W400" i="123"/>
  <c r="AH400" i="123" s="1"/>
  <c r="W388" i="123"/>
  <c r="AH388" i="123" s="1"/>
  <c r="W383" i="123"/>
  <c r="AH383" i="123" s="1"/>
  <c r="W356" i="123"/>
  <c r="AH356" i="123" s="1"/>
  <c r="W368" i="123"/>
  <c r="AH368" i="123" s="1"/>
  <c r="W440" i="123"/>
  <c r="AH440" i="123" s="1"/>
  <c r="AJ436" i="123"/>
  <c r="W432" i="123"/>
  <c r="AH432" i="123" s="1"/>
  <c r="W424" i="123"/>
  <c r="AH424" i="123" s="1"/>
  <c r="W416" i="123"/>
  <c r="AH416" i="123" s="1"/>
  <c r="W408" i="123"/>
  <c r="AH408" i="123" s="1"/>
  <c r="W341" i="123"/>
  <c r="AH341" i="123" s="1"/>
  <c r="AI385" i="123"/>
  <c r="AI369" i="123"/>
  <c r="W336" i="123"/>
  <c r="AH336" i="123" s="1"/>
  <c r="W318" i="123"/>
  <c r="AH318" i="123" s="1"/>
  <c r="W311" i="123"/>
  <c r="AH311" i="123" s="1"/>
  <c r="AI384" i="123"/>
  <c r="W351" i="123"/>
  <c r="AH351" i="123" s="1"/>
  <c r="W349" i="123"/>
  <c r="AH349" i="123" s="1"/>
  <c r="AJ329" i="123"/>
  <c r="W342" i="123"/>
  <c r="AH342" i="123" s="1"/>
  <c r="W306" i="123"/>
  <c r="AH306" i="123" s="1"/>
  <c r="W301" i="123"/>
  <c r="AH301" i="123" s="1"/>
  <c r="W278" i="123"/>
  <c r="AH278" i="123" s="1"/>
  <c r="W277" i="123"/>
  <c r="AH277" i="123" s="1"/>
  <c r="W309" i="123"/>
  <c r="AH309" i="123" s="1"/>
  <c r="W317" i="123"/>
  <c r="AH317" i="123" s="1"/>
  <c r="W270" i="123"/>
  <c r="AH270" i="123" s="1"/>
  <c r="W263" i="123"/>
  <c r="AH263" i="123" s="1"/>
  <c r="W254" i="123"/>
  <c r="AH254" i="123" s="1"/>
  <c r="W247" i="123"/>
  <c r="AH247" i="123" s="1"/>
  <c r="W231" i="123"/>
  <c r="AH231" i="123" s="1"/>
  <c r="W293" i="123"/>
  <c r="AH293" i="123" s="1"/>
  <c r="W284" i="123"/>
  <c r="AH284" i="123" s="1"/>
  <c r="AJ279" i="123"/>
  <c r="AI233" i="123"/>
  <c r="W216" i="123"/>
  <c r="AH216" i="123" s="1"/>
  <c r="W210" i="123"/>
  <c r="AH210" i="123" s="1"/>
  <c r="W273" i="123"/>
  <c r="AH273" i="123" s="1"/>
  <c r="W265" i="123"/>
  <c r="AH265" i="123" s="1"/>
  <c r="W257" i="123"/>
  <c r="AH257" i="123" s="1"/>
  <c r="W249" i="123"/>
  <c r="AH249" i="123" s="1"/>
  <c r="W241" i="123"/>
  <c r="AH241" i="123" s="1"/>
  <c r="W224" i="123"/>
  <c r="AH224" i="123" s="1"/>
  <c r="AJ211" i="123"/>
  <c r="W206" i="123"/>
  <c r="AH206" i="123" s="1"/>
  <c r="W195" i="123"/>
  <c r="AH195" i="123" s="1"/>
  <c r="W189" i="123"/>
  <c r="AH189" i="123" s="1"/>
  <c r="AI200" i="123"/>
  <c r="W191" i="123"/>
  <c r="AH191" i="123" s="1"/>
  <c r="AJ188" i="123"/>
  <c r="W185" i="123"/>
  <c r="AH185" i="123" s="1"/>
  <c r="W184" i="123"/>
  <c r="AH184" i="123" s="1"/>
  <c r="W170" i="123"/>
  <c r="AH170" i="123" s="1"/>
  <c r="W183" i="123"/>
  <c r="AH183" i="123" s="1"/>
  <c r="W174" i="123"/>
  <c r="AH174" i="123" s="1"/>
  <c r="W157" i="123"/>
  <c r="AH157" i="123" s="1"/>
  <c r="W156" i="123"/>
  <c r="AH156" i="123" s="1"/>
  <c r="W138" i="123"/>
  <c r="AH138" i="123" s="1"/>
  <c r="W171" i="123"/>
  <c r="AH171" i="123" s="1"/>
  <c r="W148" i="123"/>
  <c r="AH148" i="123" s="1"/>
  <c r="W163" i="123"/>
  <c r="AH163" i="123" s="1"/>
  <c r="AJ158" i="123"/>
  <c r="W128" i="123"/>
  <c r="X128" i="123" s="1"/>
  <c r="W121" i="123"/>
  <c r="AH121" i="123" s="1"/>
  <c r="AJ109" i="123"/>
  <c r="W85" i="123"/>
  <c r="AH85" i="123" s="1"/>
  <c r="W77" i="123"/>
  <c r="AH77" i="123" s="1"/>
  <c r="W110" i="123"/>
  <c r="AH110" i="123" s="1"/>
  <c r="W94" i="123"/>
  <c r="AH94" i="123" s="1"/>
  <c r="W76" i="123"/>
  <c r="AH76" i="123" s="1"/>
  <c r="W70" i="123"/>
  <c r="AH70" i="123" s="1"/>
  <c r="W57" i="123"/>
  <c r="AH57" i="123" s="1"/>
  <c r="W60" i="123"/>
  <c r="AH60" i="123" s="1"/>
  <c r="W41" i="123"/>
  <c r="AH41" i="123" s="1"/>
  <c r="AI69" i="123"/>
  <c r="W48" i="123"/>
  <c r="AH48" i="123" s="1"/>
  <c r="W27" i="123"/>
  <c r="AH27" i="123" s="1"/>
  <c r="W39" i="123"/>
  <c r="AH39" i="123" s="1"/>
  <c r="AJ26" i="123"/>
  <c r="W20" i="123"/>
  <c r="AH20" i="123" s="1"/>
  <c r="AI10" i="123"/>
  <c r="W18" i="123"/>
  <c r="X18" i="123" s="1"/>
  <c r="W9" i="123"/>
  <c r="AH9" i="123" s="1"/>
  <c r="AJ13" i="123"/>
  <c r="AG1645" i="123"/>
  <c r="AH1645" i="123"/>
  <c r="AI1645" i="123"/>
  <c r="W544" i="123"/>
  <c r="AH544" i="123" s="1"/>
  <c r="W512" i="123"/>
  <c r="AH512" i="123" s="1"/>
  <c r="W542" i="123"/>
  <c r="AH542" i="123" s="1"/>
  <c r="W522" i="123"/>
  <c r="AH522" i="123" s="1"/>
  <c r="W456" i="123"/>
  <c r="AH456" i="123" s="1"/>
  <c r="W543" i="123"/>
  <c r="AH543" i="123" s="1"/>
  <c r="W471" i="123"/>
  <c r="AH471" i="123" s="1"/>
  <c r="W466" i="123"/>
  <c r="AH466" i="123" s="1"/>
  <c r="W485" i="123"/>
  <c r="AH485" i="123" s="1"/>
  <c r="AJ462" i="123"/>
  <c r="AJ460" i="123"/>
  <c r="W401" i="123"/>
  <c r="AH401" i="123" s="1"/>
  <c r="AJ390" i="123"/>
  <c r="W379" i="123"/>
  <c r="AH379" i="123" s="1"/>
  <c r="W372" i="123"/>
  <c r="AH372" i="123" s="1"/>
  <c r="W425" i="123"/>
  <c r="AH425" i="123" s="1"/>
  <c r="W392" i="123"/>
  <c r="AH392" i="123" s="1"/>
  <c r="W355" i="123"/>
  <c r="AH355" i="123" s="1"/>
  <c r="AI337" i="123"/>
  <c r="AJ361" i="123"/>
  <c r="W319" i="123"/>
  <c r="AH319" i="123" s="1"/>
  <c r="AI332" i="123"/>
  <c r="W300" i="123"/>
  <c r="AH300" i="123" s="1"/>
  <c r="W288" i="123"/>
  <c r="AH288" i="123" s="1"/>
  <c r="W243" i="123"/>
  <c r="AH243" i="123" s="1"/>
  <c r="W238" i="123"/>
  <c r="AH238" i="123" s="1"/>
  <c r="AJ324" i="123"/>
  <c r="AJ316" i="123"/>
  <c r="AJ236" i="123"/>
  <c r="AI239" i="123"/>
  <c r="AJ220" i="123"/>
  <c r="W207" i="123"/>
  <c r="AH207" i="123" s="1"/>
  <c r="AJ203" i="123"/>
  <c r="AJ162" i="123"/>
  <c r="AJ154" i="123"/>
  <c r="W130" i="123"/>
  <c r="AH130" i="123" s="1"/>
  <c r="W115" i="123"/>
  <c r="AH115" i="123" s="1"/>
  <c r="W91" i="123"/>
  <c r="AH91" i="123" s="1"/>
  <c r="W105" i="123"/>
  <c r="X105" i="123" s="1"/>
  <c r="W89" i="123"/>
  <c r="AH89" i="123" s="1"/>
  <c r="W78" i="123"/>
  <c r="AH78" i="123" s="1"/>
  <c r="W61" i="123"/>
  <c r="AH61" i="123" s="1"/>
  <c r="W38" i="123"/>
  <c r="AH38" i="123" s="1"/>
  <c r="W37" i="123"/>
  <c r="AH37" i="123" s="1"/>
  <c r="W64" i="123"/>
  <c r="AH64" i="123" s="1"/>
  <c r="AJ46" i="123"/>
  <c r="AJ30" i="123"/>
  <c r="AG1646" i="123"/>
  <c r="AH1646" i="123"/>
  <c r="AI1646" i="123"/>
  <c r="AG1658" i="123"/>
  <c r="AH1658" i="123"/>
  <c r="AI1658" i="123"/>
  <c r="AJ524" i="123"/>
  <c r="W517" i="123"/>
  <c r="AH517" i="123" s="1"/>
  <c r="W501" i="123"/>
  <c r="AH501" i="123" s="1"/>
  <c r="W488" i="123"/>
  <c r="AH488" i="123" s="1"/>
  <c r="W467" i="123"/>
  <c r="AH467" i="123" s="1"/>
  <c r="W533" i="123"/>
  <c r="AH533" i="123" s="1"/>
  <c r="W477" i="123"/>
  <c r="AH477" i="123" s="1"/>
  <c r="AJ532" i="123"/>
  <c r="W457" i="123"/>
  <c r="AH457" i="123" s="1"/>
  <c r="AJ448" i="123"/>
  <c r="AJ391" i="123"/>
  <c r="AJ345" i="123"/>
  <c r="AJ299" i="123"/>
  <c r="AJ291" i="123"/>
  <c r="W221" i="123"/>
  <c r="X221" i="123" s="1"/>
  <c r="W225" i="123"/>
  <c r="AH225" i="123" s="1"/>
  <c r="AJ200" i="123"/>
  <c r="AJ184" i="123"/>
  <c r="AJ217" i="123"/>
  <c r="AI166" i="123"/>
  <c r="W129" i="123"/>
  <c r="X129" i="123" s="1"/>
  <c r="W125" i="123"/>
  <c r="X125" i="123" s="1"/>
  <c r="AI141" i="123"/>
  <c r="AJ117" i="123"/>
  <c r="AJ101" i="123"/>
  <c r="AJ42" i="123"/>
  <c r="AJ15" i="123"/>
  <c r="AG1595" i="123"/>
  <c r="AH1595" i="123"/>
  <c r="AI1595" i="123"/>
  <c r="AJ500" i="123"/>
  <c r="W447" i="123"/>
  <c r="AH447" i="123" s="1"/>
  <c r="W415" i="123"/>
  <c r="AH415" i="123" s="1"/>
  <c r="W376" i="123"/>
  <c r="AH376" i="123" s="1"/>
  <c r="W360" i="123"/>
  <c r="AH360" i="123" s="1"/>
  <c r="AJ354" i="123"/>
  <c r="AJ349" i="123"/>
  <c r="AJ365" i="123"/>
  <c r="W362" i="123"/>
  <c r="AH362" i="123" s="1"/>
  <c r="AJ357" i="123"/>
  <c r="AJ350" i="123"/>
  <c r="AJ312" i="123"/>
  <c r="AJ278" i="123"/>
  <c r="W310" i="123"/>
  <c r="AH310" i="123" s="1"/>
  <c r="W276" i="123"/>
  <c r="AH276" i="123" s="1"/>
  <c r="W240" i="123"/>
  <c r="AH240" i="123" s="1"/>
  <c r="W234" i="123"/>
  <c r="AH234" i="123" s="1"/>
  <c r="AJ320" i="123"/>
  <c r="W289" i="123"/>
  <c r="AH289" i="123" s="1"/>
  <c r="W267" i="123"/>
  <c r="AH267" i="123" s="1"/>
  <c r="W258" i="123"/>
  <c r="AH258" i="123" s="1"/>
  <c r="W229" i="123"/>
  <c r="AH229" i="123" s="1"/>
  <c r="W190" i="123"/>
  <c r="AH190" i="123" s="1"/>
  <c r="W179" i="123"/>
  <c r="AH179" i="123" s="1"/>
  <c r="W136" i="123"/>
  <c r="AH136" i="123" s="1"/>
  <c r="W134" i="123"/>
  <c r="AH134" i="123" s="1"/>
  <c r="W144" i="123"/>
  <c r="AH144" i="123" s="1"/>
  <c r="W133" i="123"/>
  <c r="X133" i="123" s="1"/>
  <c r="W107" i="123"/>
  <c r="AH107" i="123" s="1"/>
  <c r="W106" i="123"/>
  <c r="X106" i="123" s="1"/>
  <c r="W90" i="123"/>
  <c r="AH90" i="123" s="1"/>
  <c r="W83" i="123"/>
  <c r="AH83" i="123" s="1"/>
  <c r="W113" i="123"/>
  <c r="X113" i="123" s="1"/>
  <c r="W97" i="123"/>
  <c r="AH97" i="123" s="1"/>
  <c r="W81" i="123"/>
  <c r="AH81" i="123" s="1"/>
  <c r="W72" i="123"/>
  <c r="AH72" i="123" s="1"/>
  <c r="W66" i="123"/>
  <c r="AH66" i="123" s="1"/>
  <c r="W62" i="123"/>
  <c r="AH62" i="123" s="1"/>
  <c r="W40" i="123"/>
  <c r="AH40" i="123" s="1"/>
  <c r="AJ44" i="123"/>
  <c r="W50" i="123"/>
  <c r="AH50" i="123" s="1"/>
  <c r="W45" i="123"/>
  <c r="AH45" i="123" s="1"/>
  <c r="W31" i="123"/>
  <c r="X31" i="123" s="1"/>
  <c r="W28" i="123"/>
  <c r="AH28" i="123" s="1"/>
  <c r="AJ21" i="123"/>
  <c r="AJ20" i="123"/>
  <c r="AG1666" i="123"/>
  <c r="AH1666" i="123"/>
  <c r="AI1666" i="123"/>
  <c r="AG1650" i="123"/>
  <c r="AH1650" i="123"/>
  <c r="AI1650" i="123"/>
  <c r="AP545" i="123"/>
  <c r="AU545" i="123" s="1"/>
  <c r="X524" i="123"/>
  <c r="X529" i="123"/>
  <c r="X473" i="123"/>
  <c r="X464" i="123"/>
  <c r="AP541" i="123"/>
  <c r="AU541" i="123" s="1"/>
  <c r="X540" i="123"/>
  <c r="AN540" i="123"/>
  <c r="X525" i="123"/>
  <c r="X521" i="123"/>
  <c r="X516" i="123"/>
  <c r="X508" i="123"/>
  <c r="X505" i="123"/>
  <c r="X496" i="123"/>
  <c r="X489" i="123"/>
  <c r="X532" i="123"/>
  <c r="X472" i="123"/>
  <c r="X462" i="123"/>
  <c r="X460" i="123"/>
  <c r="X500" i="123"/>
  <c r="X385" i="123"/>
  <c r="X375" i="123"/>
  <c r="X370" i="123"/>
  <c r="X448" i="123"/>
  <c r="X390" i="123"/>
  <c r="AN390" i="123"/>
  <c r="X384" i="123"/>
  <c r="X444" i="123"/>
  <c r="X381" i="123"/>
  <c r="X413" i="123"/>
  <c r="X391" i="123"/>
  <c r="X373" i="123"/>
  <c r="X369" i="123"/>
  <c r="X436" i="123"/>
  <c r="X354" i="123"/>
  <c r="X340" i="123"/>
  <c r="X387" i="123"/>
  <c r="X352" i="123"/>
  <c r="X339" i="123"/>
  <c r="X337" i="123"/>
  <c r="X315" i="123"/>
  <c r="X333" i="123"/>
  <c r="X332" i="123"/>
  <c r="X365" i="123"/>
  <c r="X361" i="123"/>
  <c r="X357" i="123"/>
  <c r="X345" i="123"/>
  <c r="X344" i="123"/>
  <c r="X329" i="123"/>
  <c r="X328" i="123"/>
  <c r="X350" i="123"/>
  <c r="AG344" i="123"/>
  <c r="AJ344" i="123" s="1"/>
  <c r="AH344" i="123"/>
  <c r="AI344" i="123"/>
  <c r="AG340" i="123"/>
  <c r="AJ340" i="123" s="1"/>
  <c r="AH340" i="123"/>
  <c r="AI340" i="123"/>
  <c r="X338" i="123"/>
  <c r="X334" i="123"/>
  <c r="AG328" i="123"/>
  <c r="AJ328" i="123" s="1"/>
  <c r="AH328" i="123"/>
  <c r="AI328" i="123"/>
  <c r="X274" i="123"/>
  <c r="AP272" i="123"/>
  <c r="AU272" i="123" s="1"/>
  <c r="X271" i="123"/>
  <c r="X325" i="123"/>
  <c r="X299" i="123"/>
  <c r="X296" i="123"/>
  <c r="AN296" i="123"/>
  <c r="X291" i="123"/>
  <c r="X259" i="123"/>
  <c r="X250" i="123"/>
  <c r="X320" i="123"/>
  <c r="X316" i="123"/>
  <c r="X286" i="123"/>
  <c r="X239" i="123"/>
  <c r="X233" i="123"/>
  <c r="X304" i="123"/>
  <c r="X294" i="123"/>
  <c r="X279" i="123"/>
  <c r="X246" i="123"/>
  <c r="X244" i="123"/>
  <c r="X236" i="123"/>
  <c r="X227" i="123"/>
  <c r="X222" i="123"/>
  <c r="X269" i="123"/>
  <c r="X261" i="123"/>
  <c r="X215" i="123"/>
  <c r="X220" i="123"/>
  <c r="X211" i="123"/>
  <c r="X192" i="123"/>
  <c r="X188" i="123"/>
  <c r="X166" i="123"/>
  <c r="X203" i="123"/>
  <c r="X200" i="123"/>
  <c r="X217" i="123"/>
  <c r="X209" i="123"/>
  <c r="X196" i="123"/>
  <c r="X193" i="123"/>
  <c r="X145" i="123"/>
  <c r="X140" i="123"/>
  <c r="X178" i="123"/>
  <c r="X165" i="123"/>
  <c r="X162" i="123"/>
  <c r="X154" i="123"/>
  <c r="X149" i="123"/>
  <c r="X158" i="123"/>
  <c r="X124" i="123"/>
  <c r="X141" i="123"/>
  <c r="X137" i="123"/>
  <c r="X132" i="123"/>
  <c r="X123" i="123"/>
  <c r="AG123" i="123"/>
  <c r="AJ123" i="123" s="1"/>
  <c r="AH123" i="123"/>
  <c r="AI123" i="123"/>
  <c r="AG120" i="123"/>
  <c r="AJ120" i="123" s="1"/>
  <c r="AH120" i="123"/>
  <c r="AI120" i="123"/>
  <c r="X117" i="123"/>
  <c r="X114" i="123"/>
  <c r="X109" i="123"/>
  <c r="X101" i="123"/>
  <c r="AH82" i="123"/>
  <c r="X86" i="123"/>
  <c r="X74" i="123"/>
  <c r="X69" i="123"/>
  <c r="X47" i="123"/>
  <c r="X44" i="123"/>
  <c r="X42" i="123"/>
  <c r="X46" i="123"/>
  <c r="X24" i="123"/>
  <c r="X35" i="123"/>
  <c r="X30" i="123"/>
  <c r="X10" i="123"/>
  <c r="X14" i="123"/>
  <c r="X16" i="123"/>
  <c r="X15" i="123"/>
  <c r="X13" i="123"/>
  <c r="AG16" i="123"/>
  <c r="AJ16" i="123" s="1"/>
  <c r="AH16" i="123"/>
  <c r="AI16" i="123"/>
  <c r="C4417" i="127"/>
  <c r="C4418" i="127"/>
  <c r="C4419" i="127"/>
  <c r="C4420" i="127"/>
  <c r="C4421" i="127"/>
  <c r="C4422" i="127"/>
  <c r="C4423" i="127"/>
  <c r="C4424" i="127"/>
  <c r="C4406" i="127"/>
  <c r="C4407" i="127"/>
  <c r="C4408" i="127"/>
  <c r="C4409" i="127"/>
  <c r="C4410" i="127"/>
  <c r="C4411" i="127"/>
  <c r="C4412" i="127"/>
  <c r="C4413" i="127"/>
  <c r="C4414" i="127"/>
  <c r="C4415" i="127"/>
  <c r="C4416" i="127"/>
  <c r="C4405" i="127"/>
  <c r="C4394" i="127"/>
  <c r="C4395" i="127"/>
  <c r="C4396" i="127"/>
  <c r="C4397" i="127"/>
  <c r="C4398" i="127"/>
  <c r="C4399" i="127"/>
  <c r="C4400" i="127"/>
  <c r="C4401" i="127"/>
  <c r="C4402" i="127"/>
  <c r="C4403" i="127"/>
  <c r="C4404" i="127"/>
  <c r="F4382" i="127"/>
  <c r="C4388" i="127"/>
  <c r="C4389" i="127"/>
  <c r="C4390" i="127"/>
  <c r="C4391" i="127"/>
  <c r="C4392" i="127"/>
  <c r="C4393" i="127"/>
  <c r="AH51" i="123" l="1"/>
  <c r="X51" i="123"/>
  <c r="G20" i="146"/>
  <c r="H6" i="146"/>
  <c r="G24" i="146"/>
  <c r="G29" i="146"/>
  <c r="G28" i="146"/>
  <c r="G26" i="146"/>
  <c r="G14" i="146"/>
  <c r="G22" i="146"/>
  <c r="G32" i="146"/>
  <c r="G23" i="146"/>
  <c r="G31" i="146"/>
  <c r="G19" i="146"/>
  <c r="G25" i="146"/>
  <c r="G27" i="146"/>
  <c r="G30" i="146"/>
  <c r="X26" i="123"/>
  <c r="X36" i="123"/>
  <c r="AH281" i="123"/>
  <c r="X330" i="123"/>
  <c r="X322" i="123"/>
  <c r="X421" i="123"/>
  <c r="X536" i="123"/>
  <c r="AH280" i="123"/>
  <c r="X280" i="123"/>
  <c r="AH175" i="123"/>
  <c r="X283" i="123"/>
  <c r="X515" i="123"/>
  <c r="X498" i="123"/>
  <c r="X526" i="123"/>
  <c r="X504" i="123"/>
  <c r="X20" i="123"/>
  <c r="X57" i="123"/>
  <c r="X349" i="123"/>
  <c r="X11" i="123"/>
  <c r="X371" i="123"/>
  <c r="X499" i="123"/>
  <c r="X523" i="123"/>
  <c r="X199" i="123"/>
  <c r="X187" i="123"/>
  <c r="X235" i="123"/>
  <c r="X79" i="123"/>
  <c r="X58" i="123"/>
  <c r="X65" i="123"/>
  <c r="X153" i="123"/>
  <c r="X285" i="123"/>
  <c r="X326" i="123"/>
  <c r="X422" i="123"/>
  <c r="X19" i="123"/>
  <c r="X32" i="123"/>
  <c r="X518" i="123"/>
  <c r="X70" i="123"/>
  <c r="X228" i="123"/>
  <c r="X463" i="123"/>
  <c r="X93" i="123"/>
  <c r="X205" i="123"/>
  <c r="AN228" i="123"/>
  <c r="X242" i="123"/>
  <c r="X302" i="123"/>
  <c r="AN537" i="123"/>
  <c r="AP537" i="123" s="1"/>
  <c r="AU537" i="123" s="1"/>
  <c r="X171" i="123"/>
  <c r="X495" i="123"/>
  <c r="AH18" i="123"/>
  <c r="X148" i="123"/>
  <c r="X33" i="123"/>
  <c r="AN34" i="123"/>
  <c r="AP34" i="123" s="1"/>
  <c r="AU34" i="123" s="1"/>
  <c r="X118" i="123"/>
  <c r="X156" i="123"/>
  <c r="X206" i="123"/>
  <c r="X219" i="123"/>
  <c r="X251" i="123"/>
  <c r="X321" i="123"/>
  <c r="X266" i="123"/>
  <c r="X292" i="123"/>
  <c r="X319" i="123"/>
  <c r="X323" i="123"/>
  <c r="X353" i="123"/>
  <c r="X341" i="123"/>
  <c r="X389" i="123"/>
  <c r="X502" i="123"/>
  <c r="X506" i="123"/>
  <c r="X520" i="123"/>
  <c r="X34" i="123"/>
  <c r="X197" i="123"/>
  <c r="X208" i="123"/>
  <c r="X451" i="123"/>
  <c r="AN526" i="123"/>
  <c r="AP526" i="123" s="1"/>
  <c r="AU526" i="123" s="1"/>
  <c r="AH105" i="123"/>
  <c r="X257" i="123"/>
  <c r="X216" i="123"/>
  <c r="X138" i="123"/>
  <c r="X37" i="123"/>
  <c r="X90" i="123"/>
  <c r="X247" i="123"/>
  <c r="X62" i="123"/>
  <c r="X89" i="123"/>
  <c r="X134" i="123"/>
  <c r="X278" i="123"/>
  <c r="AN528" i="123"/>
  <c r="AP528" i="123" s="1"/>
  <c r="AU528" i="123" s="1"/>
  <c r="X362" i="123"/>
  <c r="X181" i="123"/>
  <c r="X28" i="123"/>
  <c r="AH128" i="123"/>
  <c r="X306" i="123"/>
  <c r="X351" i="123"/>
  <c r="X240" i="123"/>
  <c r="X27" i="123"/>
  <c r="X60" i="123"/>
  <c r="X94" i="123"/>
  <c r="X163" i="123"/>
  <c r="X231" i="123"/>
  <c r="X503" i="123"/>
  <c r="X183" i="123"/>
  <c r="AN429" i="123"/>
  <c r="X379" i="123"/>
  <c r="X480" i="123"/>
  <c r="X514" i="123"/>
  <c r="X81" i="123"/>
  <c r="X356" i="123"/>
  <c r="AH221" i="123"/>
  <c r="X23" i="123"/>
  <c r="X53" i="123"/>
  <c r="X49" i="123"/>
  <c r="X61" i="123"/>
  <c r="AN77" i="123"/>
  <c r="X85" i="123"/>
  <c r="X98" i="123"/>
  <c r="X126" i="123"/>
  <c r="X152" i="123"/>
  <c r="X159" i="123"/>
  <c r="X167" i="123"/>
  <c r="X174" i="123"/>
  <c r="X194" i="123"/>
  <c r="X184" i="123"/>
  <c r="X189" i="123"/>
  <c r="X212" i="123"/>
  <c r="X253" i="123"/>
  <c r="X223" i="123"/>
  <c r="X293" i="123"/>
  <c r="X263" i="123"/>
  <c r="X298" i="123"/>
  <c r="X324" i="123"/>
  <c r="X282" i="123"/>
  <c r="X342" i="123"/>
  <c r="X428" i="123"/>
  <c r="X378" i="123"/>
  <c r="X383" i="123"/>
  <c r="X427" i="123"/>
  <c r="X386" i="123"/>
  <c r="X410" i="123"/>
  <c r="X507" i="123"/>
  <c r="X539" i="123"/>
  <c r="X433" i="123"/>
  <c r="X493" i="123"/>
  <c r="X534" i="123"/>
  <c r="X490" i="123"/>
  <c r="X288" i="123"/>
  <c r="X43" i="123"/>
  <c r="X5" i="123"/>
  <c r="X75" i="123"/>
  <c r="X77" i="123"/>
  <c r="X119" i="123"/>
  <c r="X182" i="123"/>
  <c r="X207" i="123"/>
  <c r="X237" i="123"/>
  <c r="AN289" i="123"/>
  <c r="X262" i="123"/>
  <c r="X277" i="123"/>
  <c r="X358" i="123"/>
  <c r="X366" i="123"/>
  <c r="X348" i="123"/>
  <c r="X336" i="123"/>
  <c r="X438" i="123"/>
  <c r="X394" i="123"/>
  <c r="X475" i="123"/>
  <c r="AN539" i="123"/>
  <c r="AP539" i="123" s="1"/>
  <c r="AU539" i="123" s="1"/>
  <c r="X380" i="123"/>
  <c r="X484" i="123"/>
  <c r="X509" i="123"/>
  <c r="X537" i="123"/>
  <c r="X97" i="123"/>
  <c r="AH113" i="123"/>
  <c r="AH106" i="123"/>
  <c r="X115" i="123"/>
  <c r="X301" i="123"/>
  <c r="X318" i="123"/>
  <c r="X408" i="123"/>
  <c r="X432" i="123"/>
  <c r="X459" i="123"/>
  <c r="X487" i="123"/>
  <c r="X535" i="123"/>
  <c r="X66" i="123"/>
  <c r="X157" i="123"/>
  <c r="X170" i="123"/>
  <c r="X190" i="123"/>
  <c r="X254" i="123"/>
  <c r="X400" i="123"/>
  <c r="AN535" i="123"/>
  <c r="AP535" i="123" s="1"/>
  <c r="AU535" i="123" s="1"/>
  <c r="X528" i="123"/>
  <c r="X481" i="123"/>
  <c r="X39" i="123"/>
  <c r="X41" i="123"/>
  <c r="X76" i="123"/>
  <c r="X185" i="123"/>
  <c r="X416" i="123"/>
  <c r="X527" i="123"/>
  <c r="X229" i="123"/>
  <c r="X440" i="123"/>
  <c r="AH129" i="123"/>
  <c r="X21" i="123"/>
  <c r="X40" i="123"/>
  <c r="X161" i="123"/>
  <c r="X176" i="123"/>
  <c r="X245" i="123"/>
  <c r="X346" i="123"/>
  <c r="X368" i="123"/>
  <c r="X485" i="123"/>
  <c r="AH31" i="123"/>
  <c r="X78" i="123"/>
  <c r="X195" i="123"/>
  <c r="X224" i="123"/>
  <c r="X290" i="123"/>
  <c r="X255" i="123"/>
  <c r="X367" i="123"/>
  <c r="X531" i="123"/>
  <c r="X538" i="123"/>
  <c r="X9" i="123"/>
  <c r="X38" i="123"/>
  <c r="X73" i="123"/>
  <c r="X91" i="123"/>
  <c r="X147" i="123"/>
  <c r="X198" i="123"/>
  <c r="X249" i="123"/>
  <c r="X265" i="123"/>
  <c r="X210" i="123"/>
  <c r="AN246" i="123"/>
  <c r="X284" i="123"/>
  <c r="X270" i="123"/>
  <c r="X309" i="123"/>
  <c r="X312" i="123"/>
  <c r="X305" i="123"/>
  <c r="X377" i="123"/>
  <c r="X519" i="123"/>
  <c r="X364" i="123"/>
  <c r="X382" i="123"/>
  <c r="X457" i="123"/>
  <c r="X478" i="123"/>
  <c r="X530" i="123"/>
  <c r="X454" i="123"/>
  <c r="AN534" i="123"/>
  <c r="AP534" i="123" s="1"/>
  <c r="AU534" i="123" s="1"/>
  <c r="X469" i="123"/>
  <c r="X470" i="123"/>
  <c r="AN144" i="123"/>
  <c r="X238" i="123"/>
  <c r="X311" i="123"/>
  <c r="X355" i="123"/>
  <c r="X327" i="123"/>
  <c r="X388" i="123"/>
  <c r="X429" i="123"/>
  <c r="X491" i="123"/>
  <c r="AN485" i="123"/>
  <c r="AP485" i="123" s="1"/>
  <c r="AU485" i="123" s="1"/>
  <c r="AN538" i="123"/>
  <c r="AP538" i="123" s="1"/>
  <c r="AU538" i="123" s="1"/>
  <c r="X461" i="123"/>
  <c r="AN536" i="123"/>
  <c r="AP536" i="123" s="1"/>
  <c r="AU536" i="123" s="1"/>
  <c r="X276" i="123"/>
  <c r="X45" i="123"/>
  <c r="X64" i="123"/>
  <c r="X83" i="123"/>
  <c r="X310" i="123"/>
  <c r="X374" i="123"/>
  <c r="X511" i="123"/>
  <c r="X543" i="123"/>
  <c r="X455" i="123"/>
  <c r="AN542" i="123"/>
  <c r="AP542" i="123" s="1"/>
  <c r="AU542" i="123" s="1"/>
  <c r="X107" i="123"/>
  <c r="AN543" i="123"/>
  <c r="AP543" i="123" s="1"/>
  <c r="AU543" i="123" s="1"/>
  <c r="X501" i="123"/>
  <c r="X466" i="123"/>
  <c r="X467" i="123"/>
  <c r="X544" i="123"/>
  <c r="AH307" i="123"/>
  <c r="X307" i="123"/>
  <c r="X234" i="123"/>
  <c r="X542" i="123"/>
  <c r="AH230" i="123"/>
  <c r="X230" i="123"/>
  <c r="X267" i="123"/>
  <c r="X372" i="123"/>
  <c r="X488" i="123"/>
  <c r="X144" i="123"/>
  <c r="X258" i="123"/>
  <c r="X300" i="123"/>
  <c r="X425" i="123"/>
  <c r="X447" i="123"/>
  <c r="X471" i="123"/>
  <c r="X522" i="123"/>
  <c r="X477" i="123"/>
  <c r="AH419" i="123"/>
  <c r="X419" i="123"/>
  <c r="AH248" i="123"/>
  <c r="X248" i="123"/>
  <c r="AH314" i="123"/>
  <c r="X314" i="123"/>
  <c r="X48" i="123"/>
  <c r="X121" i="123"/>
  <c r="X130" i="123"/>
  <c r="AH125" i="123"/>
  <c r="AH133" i="123"/>
  <c r="X136" i="123"/>
  <c r="X289" i="123"/>
  <c r="X424" i="123"/>
  <c r="X392" i="123"/>
  <c r="X479" i="123"/>
  <c r="X401" i="123"/>
  <c r="X486" i="123"/>
  <c r="X512" i="123"/>
  <c r="X50" i="123"/>
  <c r="X72" i="123"/>
  <c r="X110" i="123"/>
  <c r="X179" i="123"/>
  <c r="X191" i="123"/>
  <c r="X225" i="123"/>
  <c r="X241" i="123"/>
  <c r="X273" i="123"/>
  <c r="AN247" i="123"/>
  <c r="X317" i="123"/>
  <c r="X243" i="123"/>
  <c r="X360" i="123"/>
  <c r="X376" i="123"/>
  <c r="X415" i="123"/>
  <c r="X441" i="123"/>
  <c r="X456" i="123"/>
  <c r="X533" i="123"/>
  <c r="X517" i="123"/>
  <c r="X513" i="123"/>
  <c r="X494" i="123"/>
  <c r="AN544" i="123"/>
  <c r="AP544" i="123" s="1"/>
  <c r="AU544" i="123" s="1"/>
  <c r="AQ272" i="123"/>
  <c r="AR272" i="123" s="1"/>
  <c r="AS272" i="123" s="1"/>
  <c r="AT272" i="123" s="1"/>
  <c r="AP540" i="123"/>
  <c r="AU540" i="123" s="1"/>
  <c r="AQ541" i="123"/>
  <c r="AR541" i="123" s="1"/>
  <c r="AS541" i="123" s="1"/>
  <c r="AT541" i="123" s="1"/>
  <c r="AQ545" i="123"/>
  <c r="AR545" i="123" s="1"/>
  <c r="AS545" i="123" s="1"/>
  <c r="AT545" i="123" s="1"/>
  <c r="H694" i="121"/>
  <c r="I694" i="121"/>
  <c r="H696" i="121"/>
  <c r="I696" i="121"/>
  <c r="H7" i="146" l="1"/>
  <c r="H21" i="146" s="1"/>
  <c r="G33" i="146"/>
  <c r="AQ544" i="123"/>
  <c r="AR544" i="123" s="1"/>
  <c r="AS544" i="123" s="1"/>
  <c r="AT544" i="123" s="1"/>
  <c r="AQ537" i="123"/>
  <c r="AR537" i="123" s="1"/>
  <c r="AS537" i="123" s="1"/>
  <c r="AT537" i="123" s="1"/>
  <c r="AQ542" i="123"/>
  <c r="AR542" i="123" s="1"/>
  <c r="AS542" i="123" s="1"/>
  <c r="AT542" i="123" s="1"/>
  <c r="AQ536" i="123"/>
  <c r="AR536" i="123" s="1"/>
  <c r="AS536" i="123" s="1"/>
  <c r="AT536" i="123" s="1"/>
  <c r="AQ526" i="123"/>
  <c r="AR526" i="123" s="1"/>
  <c r="AS526" i="123" s="1"/>
  <c r="AT526" i="123" s="1"/>
  <c r="AQ543" i="123"/>
  <c r="AR543" i="123" s="1"/>
  <c r="AS543" i="123" s="1"/>
  <c r="AT543" i="123" s="1"/>
  <c r="AQ540" i="123"/>
  <c r="AR540" i="123" s="1"/>
  <c r="AS540" i="123" s="1"/>
  <c r="AT540" i="123" s="1"/>
  <c r="AQ534" i="123"/>
  <c r="AR534" i="123" s="1"/>
  <c r="AS534" i="123" s="1"/>
  <c r="AT534" i="123" s="1"/>
  <c r="AQ528" i="123"/>
  <c r="AR528" i="123" s="1"/>
  <c r="AS528" i="123" s="1"/>
  <c r="AT528" i="123" s="1"/>
  <c r="AQ538" i="123"/>
  <c r="AR538" i="123" s="1"/>
  <c r="AS538" i="123" s="1"/>
  <c r="AT538" i="123" s="1"/>
  <c r="AQ485" i="123"/>
  <c r="AR485" i="123" s="1"/>
  <c r="AS485" i="123" s="1"/>
  <c r="AT485" i="123" s="1"/>
  <c r="AQ539" i="123"/>
  <c r="AR539" i="123" s="1"/>
  <c r="AS539" i="123" s="1"/>
  <c r="AT539" i="123" s="1"/>
  <c r="AQ535" i="123"/>
  <c r="AR535" i="123" s="1"/>
  <c r="AS535" i="123" s="1"/>
  <c r="AT535" i="123" s="1"/>
  <c r="AQ34" i="123"/>
  <c r="AR34" i="123" s="1"/>
  <c r="AS34" i="123" s="1"/>
  <c r="AT34" i="123" s="1"/>
  <c r="H688" i="121"/>
  <c r="I688" i="121"/>
  <c r="H683" i="121"/>
  <c r="I683" i="121"/>
  <c r="H682" i="121"/>
  <c r="I682" i="121"/>
  <c r="H675" i="121"/>
  <c r="I675" i="121"/>
  <c r="H674" i="121"/>
  <c r="I674" i="121"/>
  <c r="H673" i="121"/>
  <c r="I673" i="121"/>
  <c r="H632" i="121"/>
  <c r="I632" i="121"/>
  <c r="H605" i="121"/>
  <c r="I605" i="121"/>
  <c r="H564" i="121"/>
  <c r="I564" i="121"/>
  <c r="H480" i="121"/>
  <c r="I480" i="121"/>
  <c r="I629" i="121"/>
  <c r="H628" i="121"/>
  <c r="I628" i="121"/>
  <c r="H627" i="121"/>
  <c r="I627" i="121"/>
  <c r="H626" i="121"/>
  <c r="I626" i="121"/>
  <c r="H625" i="121"/>
  <c r="I625" i="121"/>
  <c r="H624" i="121"/>
  <c r="I624" i="121"/>
  <c r="H623" i="121"/>
  <c r="I623" i="121"/>
  <c r="H622" i="121"/>
  <c r="I622" i="121"/>
  <c r="H621" i="121"/>
  <c r="I621" i="121"/>
  <c r="I618" i="121"/>
  <c r="I619" i="121"/>
  <c r="H23" i="146" l="1"/>
  <c r="H26" i="146"/>
  <c r="H25" i="146"/>
  <c r="H20" i="146"/>
  <c r="H31" i="146"/>
  <c r="H22" i="146"/>
  <c r="H32" i="146"/>
  <c r="I6" i="146"/>
  <c r="H27" i="146"/>
  <c r="H19" i="146"/>
  <c r="H28" i="146"/>
  <c r="H30" i="146"/>
  <c r="H29" i="146"/>
  <c r="H24" i="146"/>
  <c r="H14" i="146"/>
  <c r="E4387" i="127"/>
  <c r="E4388" i="127"/>
  <c r="E4389" i="127"/>
  <c r="E4390" i="127"/>
  <c r="E4391" i="127"/>
  <c r="E4392" i="127"/>
  <c r="E4393" i="127"/>
  <c r="E4394" i="127"/>
  <c r="E4395" i="127"/>
  <c r="E4396" i="127"/>
  <c r="E4397" i="127"/>
  <c r="E4398" i="127"/>
  <c r="E4399" i="127"/>
  <c r="E4400" i="127"/>
  <c r="E4401" i="127"/>
  <c r="E4402" i="127"/>
  <c r="E4403" i="127"/>
  <c r="E4404" i="127"/>
  <c r="E4405" i="127"/>
  <c r="E4406" i="127"/>
  <c r="E4407" i="127"/>
  <c r="E4408" i="127"/>
  <c r="E4409" i="127"/>
  <c r="E4410" i="127"/>
  <c r="E4411" i="127"/>
  <c r="E4412" i="127"/>
  <c r="E4413" i="127"/>
  <c r="E4414" i="127"/>
  <c r="E4415" i="127"/>
  <c r="E4416" i="127"/>
  <c r="E4417" i="127"/>
  <c r="E4418" i="127"/>
  <c r="E4419" i="127"/>
  <c r="E4420" i="127"/>
  <c r="E4421" i="127"/>
  <c r="E4422" i="127"/>
  <c r="E4423" i="127"/>
  <c r="E4424" i="127"/>
  <c r="E4425" i="127"/>
  <c r="E4426" i="127"/>
  <c r="E4427" i="127"/>
  <c r="E4428" i="127"/>
  <c r="E4453" i="127"/>
  <c r="E4454" i="127"/>
  <c r="E4455" i="127"/>
  <c r="E4456" i="127"/>
  <c r="E4457" i="127"/>
  <c r="E4458" i="127"/>
  <c r="E4459" i="127"/>
  <c r="E4460" i="127"/>
  <c r="E4461" i="127"/>
  <c r="E4462" i="127"/>
  <c r="E4463" i="127"/>
  <c r="E4464" i="127"/>
  <c r="E4465" i="127"/>
  <c r="E4466" i="127"/>
  <c r="E4467" i="127"/>
  <c r="E4468" i="127"/>
  <c r="E4469" i="127"/>
  <c r="E4470" i="127"/>
  <c r="E4471" i="127"/>
  <c r="E4472" i="127"/>
  <c r="E4473" i="127"/>
  <c r="E4474" i="127"/>
  <c r="E4475" i="127"/>
  <c r="E4476" i="127"/>
  <c r="E4477" i="127"/>
  <c r="E4478" i="127"/>
  <c r="E4479" i="127"/>
  <c r="E4480" i="127"/>
  <c r="E4481" i="127"/>
  <c r="E4482" i="127"/>
  <c r="E4483" i="127"/>
  <c r="E4484" i="127"/>
  <c r="E4485" i="127"/>
  <c r="E4486" i="127"/>
  <c r="E4487" i="127"/>
  <c r="E4488" i="127"/>
  <c r="E4489" i="127"/>
  <c r="E4490" i="127"/>
  <c r="E4491" i="127"/>
  <c r="E4492" i="127"/>
  <c r="E4493" i="127"/>
  <c r="E4494" i="127"/>
  <c r="E4495" i="127"/>
  <c r="E4496" i="127"/>
  <c r="E4497" i="127"/>
  <c r="E4498" i="127"/>
  <c r="E4499" i="127"/>
  <c r="E4500" i="127"/>
  <c r="E4501" i="127"/>
  <c r="E4502" i="127"/>
  <c r="E4503" i="127"/>
  <c r="E4504" i="127"/>
  <c r="E4505" i="127"/>
  <c r="E4506" i="127"/>
  <c r="E4507" i="127"/>
  <c r="E4508" i="127"/>
  <c r="E4509" i="127"/>
  <c r="E4510" i="127"/>
  <c r="E4511" i="127"/>
  <c r="E4512" i="127"/>
  <c r="E4513" i="127"/>
  <c r="E4514" i="127"/>
  <c r="E4371" i="127"/>
  <c r="E4372" i="127"/>
  <c r="E4373" i="127"/>
  <c r="E4374" i="127"/>
  <c r="E4375" i="127"/>
  <c r="E4376" i="127"/>
  <c r="E4377" i="127"/>
  <c r="E4378" i="127"/>
  <c r="E4379" i="127"/>
  <c r="E4380" i="127"/>
  <c r="E4381" i="127"/>
  <c r="E4382" i="127"/>
  <c r="E4383" i="127"/>
  <c r="E4384" i="127"/>
  <c r="E4385" i="127"/>
  <c r="E4386" i="127"/>
  <c r="C4373" i="127"/>
  <c r="C4374" i="127"/>
  <c r="C4375" i="127"/>
  <c r="C4376" i="127"/>
  <c r="C4377" i="127"/>
  <c r="C4378" i="127"/>
  <c r="C4379" i="127"/>
  <c r="C4380" i="127"/>
  <c r="C4381" i="127"/>
  <c r="C4382" i="127"/>
  <c r="C4383" i="127"/>
  <c r="C4384" i="127"/>
  <c r="C4385" i="127"/>
  <c r="C4386" i="127"/>
  <c r="C4387" i="127"/>
  <c r="C4372" i="127"/>
  <c r="C4371" i="127"/>
  <c r="F4421" i="127"/>
  <c r="Q4421" i="127"/>
  <c r="F4422" i="127"/>
  <c r="Q4422" i="127"/>
  <c r="F4423" i="127"/>
  <c r="Q4423" i="127"/>
  <c r="F4424" i="127"/>
  <c r="Q4424" i="127"/>
  <c r="F4425" i="127"/>
  <c r="Q4425" i="127"/>
  <c r="R4425" i="127"/>
  <c r="S4425" i="127"/>
  <c r="T4425" i="127"/>
  <c r="F4426" i="127"/>
  <c r="Q4426" i="127"/>
  <c r="F4427" i="127"/>
  <c r="Q4427" i="127"/>
  <c r="F4428" i="127"/>
  <c r="Q4428" i="127"/>
  <c r="F4453" i="127"/>
  <c r="Q4453" i="127"/>
  <c r="R4453" i="127"/>
  <c r="S4453" i="127"/>
  <c r="T4453" i="127"/>
  <c r="F4454" i="127"/>
  <c r="Q4454" i="127"/>
  <c r="R4454" i="127"/>
  <c r="S4454" i="127"/>
  <c r="T4454" i="127"/>
  <c r="F4455" i="127"/>
  <c r="Q4455" i="127"/>
  <c r="F4456" i="127"/>
  <c r="Q4456" i="127"/>
  <c r="F4457" i="127"/>
  <c r="Q4457" i="127"/>
  <c r="F4458" i="127"/>
  <c r="Q4458" i="127"/>
  <c r="F4459" i="127"/>
  <c r="Q4459" i="127"/>
  <c r="F4460" i="127"/>
  <c r="Q4460" i="127"/>
  <c r="F4461" i="127"/>
  <c r="Q4461" i="127"/>
  <c r="R4461" i="127"/>
  <c r="S4461" i="127"/>
  <c r="T4461" i="127"/>
  <c r="F4462" i="127"/>
  <c r="Q4462" i="127"/>
  <c r="R4462" i="127"/>
  <c r="S4462" i="127"/>
  <c r="T4462" i="127"/>
  <c r="F4463" i="127"/>
  <c r="Q4463" i="127"/>
  <c r="R4463" i="127"/>
  <c r="S4463" i="127"/>
  <c r="T4463" i="127"/>
  <c r="F4464" i="127"/>
  <c r="Q4464" i="127"/>
  <c r="R4464" i="127"/>
  <c r="S4464" i="127"/>
  <c r="T4464" i="127"/>
  <c r="F4465" i="127"/>
  <c r="Q4465" i="127"/>
  <c r="R4465" i="127"/>
  <c r="S4465" i="127"/>
  <c r="T4465" i="127"/>
  <c r="F4466" i="127"/>
  <c r="Q4466" i="127"/>
  <c r="R4466" i="127"/>
  <c r="S4466" i="127"/>
  <c r="T4466" i="127"/>
  <c r="F4467" i="127"/>
  <c r="Q4467" i="127"/>
  <c r="R4467" i="127"/>
  <c r="S4467" i="127"/>
  <c r="T4467" i="127"/>
  <c r="F4468" i="127"/>
  <c r="Q4468" i="127"/>
  <c r="R4468" i="127"/>
  <c r="S4468" i="127"/>
  <c r="T4468" i="127"/>
  <c r="F4469" i="127"/>
  <c r="Q4469" i="127"/>
  <c r="R4469" i="127"/>
  <c r="S4469" i="127"/>
  <c r="T4469" i="127"/>
  <c r="F4470" i="127"/>
  <c r="Q4470" i="127"/>
  <c r="R4470" i="127"/>
  <c r="S4470" i="127"/>
  <c r="T4470" i="127"/>
  <c r="F4471" i="127"/>
  <c r="Q4471" i="127"/>
  <c r="R4471" i="127"/>
  <c r="S4471" i="127"/>
  <c r="T4471" i="127"/>
  <c r="F4472" i="127"/>
  <c r="Q4472" i="127"/>
  <c r="R4472" i="127"/>
  <c r="S4472" i="127"/>
  <c r="T4472" i="127"/>
  <c r="F4473" i="127"/>
  <c r="Q4473" i="127"/>
  <c r="R4473" i="127"/>
  <c r="S4473" i="127"/>
  <c r="T4473" i="127"/>
  <c r="F4474" i="127"/>
  <c r="Q4474" i="127"/>
  <c r="R4474" i="127"/>
  <c r="S4474" i="127"/>
  <c r="T4474" i="127"/>
  <c r="F4475" i="127"/>
  <c r="Q4475" i="127"/>
  <c r="R4475" i="127"/>
  <c r="S4475" i="127"/>
  <c r="T4475" i="127"/>
  <c r="F4476" i="127"/>
  <c r="Q4476" i="127"/>
  <c r="R4476" i="127"/>
  <c r="S4476" i="127"/>
  <c r="T4476" i="127"/>
  <c r="F4477" i="127"/>
  <c r="Q4477" i="127"/>
  <c r="R4477" i="127"/>
  <c r="S4477" i="127"/>
  <c r="T4477" i="127"/>
  <c r="F4478" i="127"/>
  <c r="Q4478" i="127"/>
  <c r="R4478" i="127"/>
  <c r="S4478" i="127"/>
  <c r="T4478" i="127"/>
  <c r="F4479" i="127"/>
  <c r="Q4479" i="127"/>
  <c r="R4479" i="127"/>
  <c r="S4479" i="127"/>
  <c r="T4479" i="127"/>
  <c r="F4480" i="127"/>
  <c r="Q4480" i="127"/>
  <c r="R4480" i="127"/>
  <c r="S4480" i="127"/>
  <c r="T4480" i="127"/>
  <c r="F4481" i="127"/>
  <c r="Q4481" i="127"/>
  <c r="R4481" i="127"/>
  <c r="S4481" i="127"/>
  <c r="T4481" i="127"/>
  <c r="F4482" i="127"/>
  <c r="Q4482" i="127"/>
  <c r="R4482" i="127"/>
  <c r="S4482" i="127"/>
  <c r="T4482" i="127"/>
  <c r="F4483" i="127"/>
  <c r="Q4483" i="127"/>
  <c r="R4483" i="127"/>
  <c r="S4483" i="127"/>
  <c r="T4483" i="127"/>
  <c r="F4484" i="127"/>
  <c r="Q4484" i="127"/>
  <c r="R4484" i="127"/>
  <c r="S4484" i="127"/>
  <c r="T4484" i="127"/>
  <c r="F4485" i="127"/>
  <c r="Q4485" i="127"/>
  <c r="R4485" i="127"/>
  <c r="S4485" i="127"/>
  <c r="T4485" i="127"/>
  <c r="F4486" i="127"/>
  <c r="Q4486" i="127"/>
  <c r="R4486" i="127"/>
  <c r="S4486" i="127"/>
  <c r="T4486" i="127"/>
  <c r="F4487" i="127"/>
  <c r="Q4487" i="127"/>
  <c r="R4487" i="127"/>
  <c r="S4487" i="127"/>
  <c r="T4487" i="127"/>
  <c r="F4488" i="127"/>
  <c r="Q4488" i="127"/>
  <c r="R4488" i="127"/>
  <c r="S4488" i="127"/>
  <c r="T4488" i="127"/>
  <c r="F4489" i="127"/>
  <c r="Q4489" i="127"/>
  <c r="R4489" i="127"/>
  <c r="S4489" i="127"/>
  <c r="T4489" i="127"/>
  <c r="F4490" i="127"/>
  <c r="Q4490" i="127"/>
  <c r="R4490" i="127"/>
  <c r="S4490" i="127"/>
  <c r="T4490" i="127"/>
  <c r="F4420" i="127"/>
  <c r="F4376" i="127"/>
  <c r="Q4376" i="127"/>
  <c r="F4377" i="127"/>
  <c r="Q4377" i="127"/>
  <c r="F4378" i="127"/>
  <c r="Q4378" i="127"/>
  <c r="F4379" i="127"/>
  <c r="Q4379" i="127"/>
  <c r="R4379" i="127"/>
  <c r="S4379" i="127"/>
  <c r="T4379" i="127"/>
  <c r="F4380" i="127"/>
  <c r="Q4380" i="127"/>
  <c r="R4380" i="127"/>
  <c r="S4380" i="127"/>
  <c r="T4380" i="127"/>
  <c r="F4381" i="127"/>
  <c r="Q4381" i="127"/>
  <c r="Q4382" i="127"/>
  <c r="R4382" i="127"/>
  <c r="S4382" i="127"/>
  <c r="T4382" i="127"/>
  <c r="F4383" i="127"/>
  <c r="Q4383" i="127"/>
  <c r="R4383" i="127"/>
  <c r="S4383" i="127"/>
  <c r="T4383" i="127"/>
  <c r="F4384" i="127"/>
  <c r="Q4384" i="127"/>
  <c r="R4384" i="127"/>
  <c r="S4384" i="127"/>
  <c r="T4384" i="127"/>
  <c r="F4385" i="127"/>
  <c r="Q4385" i="127"/>
  <c r="R4385" i="127"/>
  <c r="S4385" i="127"/>
  <c r="T4385" i="127"/>
  <c r="F4386" i="127"/>
  <c r="Q4386" i="127"/>
  <c r="R4386" i="127"/>
  <c r="S4386" i="127"/>
  <c r="T4386" i="127"/>
  <c r="F4387" i="127"/>
  <c r="R4387" i="127" s="1"/>
  <c r="Q4387" i="127"/>
  <c r="F4388" i="127"/>
  <c r="Q4388" i="127"/>
  <c r="R4388" i="127"/>
  <c r="S4388" i="127"/>
  <c r="T4388" i="127"/>
  <c r="F4389" i="127"/>
  <c r="Q4389" i="127"/>
  <c r="F4390" i="127"/>
  <c r="Q4390" i="127"/>
  <c r="F4391" i="127"/>
  <c r="Q4391" i="127"/>
  <c r="F4392" i="127"/>
  <c r="Q4392" i="127"/>
  <c r="F4393" i="127"/>
  <c r="Q4393" i="127"/>
  <c r="F4394" i="127"/>
  <c r="Q4394" i="127"/>
  <c r="F4395" i="127"/>
  <c r="Q4395" i="127"/>
  <c r="F4396" i="127"/>
  <c r="Q4396" i="127"/>
  <c r="F4397" i="127"/>
  <c r="Q4397" i="127"/>
  <c r="F4398" i="127"/>
  <c r="Q4398" i="127"/>
  <c r="F4399" i="127"/>
  <c r="Q4399" i="127"/>
  <c r="R4399" i="127"/>
  <c r="S4399" i="127"/>
  <c r="T4399" i="127"/>
  <c r="F4400" i="127"/>
  <c r="Q4400" i="127"/>
  <c r="F4401" i="127"/>
  <c r="Q4401" i="127"/>
  <c r="F4402" i="127"/>
  <c r="Q4402" i="127"/>
  <c r="F4403" i="127"/>
  <c r="Q4403" i="127"/>
  <c r="F4404" i="127"/>
  <c r="Q4404" i="127"/>
  <c r="F4405" i="127"/>
  <c r="Q4405" i="127"/>
  <c r="F4406" i="127"/>
  <c r="Q4406" i="127"/>
  <c r="F4407" i="127"/>
  <c r="Q4407" i="127"/>
  <c r="F4408" i="127"/>
  <c r="Q4408" i="127"/>
  <c r="F4409" i="127"/>
  <c r="Q4409" i="127"/>
  <c r="F4410" i="127"/>
  <c r="Q4410" i="127"/>
  <c r="F4411" i="127"/>
  <c r="Q4411" i="127"/>
  <c r="F4412" i="127"/>
  <c r="Q4412" i="127"/>
  <c r="F4413" i="127"/>
  <c r="Q4413" i="127"/>
  <c r="F4414" i="127"/>
  <c r="Q4414" i="127"/>
  <c r="F4415" i="127"/>
  <c r="Q4415" i="127"/>
  <c r="F4416" i="127"/>
  <c r="Q4416" i="127"/>
  <c r="F4417" i="127"/>
  <c r="Q4417" i="127"/>
  <c r="F4418" i="127"/>
  <c r="Q4418" i="127"/>
  <c r="F4419" i="127"/>
  <c r="Q4419" i="127"/>
  <c r="Q4420" i="127"/>
  <c r="F4491" i="127"/>
  <c r="Q4491" i="127"/>
  <c r="R4491" i="127"/>
  <c r="S4491" i="127"/>
  <c r="T4491" i="127"/>
  <c r="F4492" i="127"/>
  <c r="Q4492" i="127"/>
  <c r="R4492" i="127"/>
  <c r="S4492" i="127"/>
  <c r="T4492" i="127"/>
  <c r="F4493" i="127"/>
  <c r="Q4493" i="127"/>
  <c r="R4493" i="127"/>
  <c r="S4493" i="127"/>
  <c r="T4493" i="127"/>
  <c r="F4494" i="127"/>
  <c r="Q4494" i="127"/>
  <c r="R4494" i="127"/>
  <c r="S4494" i="127"/>
  <c r="T4494" i="127"/>
  <c r="F4495" i="127"/>
  <c r="Q4495" i="127"/>
  <c r="R4495" i="127"/>
  <c r="S4495" i="127"/>
  <c r="T4495" i="127"/>
  <c r="F4496" i="127"/>
  <c r="Q4496" i="127"/>
  <c r="R4496" i="127"/>
  <c r="S4496" i="127"/>
  <c r="T4496" i="127"/>
  <c r="F4497" i="127"/>
  <c r="Q4497" i="127"/>
  <c r="R4497" i="127"/>
  <c r="S4497" i="127"/>
  <c r="T4497" i="127"/>
  <c r="F4498" i="127"/>
  <c r="Q4498" i="127"/>
  <c r="R4498" i="127"/>
  <c r="S4498" i="127"/>
  <c r="T4498" i="127"/>
  <c r="F4499" i="127"/>
  <c r="Q4499" i="127"/>
  <c r="R4499" i="127"/>
  <c r="S4499" i="127"/>
  <c r="T4499" i="127"/>
  <c r="F4500" i="127"/>
  <c r="Q4500" i="127"/>
  <c r="R4500" i="127"/>
  <c r="S4500" i="127"/>
  <c r="T4500" i="127"/>
  <c r="F4501" i="127"/>
  <c r="Q4501" i="127"/>
  <c r="R4501" i="127"/>
  <c r="S4501" i="127"/>
  <c r="T4501" i="127"/>
  <c r="F4502" i="127"/>
  <c r="Q4502" i="127"/>
  <c r="R4502" i="127"/>
  <c r="S4502" i="127"/>
  <c r="T4502" i="127"/>
  <c r="F4503" i="127"/>
  <c r="Q4503" i="127"/>
  <c r="R4503" i="127"/>
  <c r="S4503" i="127"/>
  <c r="T4503" i="127"/>
  <c r="I7" i="146" l="1"/>
  <c r="J6" i="146" s="1"/>
  <c r="H33" i="146"/>
  <c r="S4387" i="127"/>
  <c r="T4387" i="127" s="1"/>
  <c r="F4504" i="127"/>
  <c r="Q4504" i="127"/>
  <c r="R4504" i="127"/>
  <c r="S4504" i="127"/>
  <c r="T4504" i="127"/>
  <c r="F4505" i="127"/>
  <c r="Q4505" i="127"/>
  <c r="R4505" i="127"/>
  <c r="S4505" i="127"/>
  <c r="T4505" i="127"/>
  <c r="F4506" i="127"/>
  <c r="Q4506" i="127"/>
  <c r="R4506" i="127"/>
  <c r="S4506" i="127"/>
  <c r="T4506" i="127"/>
  <c r="F4507" i="127"/>
  <c r="Q4507" i="127"/>
  <c r="R4507" i="127"/>
  <c r="S4507" i="127"/>
  <c r="T4507" i="127"/>
  <c r="F4508" i="127"/>
  <c r="Q4508" i="127"/>
  <c r="R4508" i="127"/>
  <c r="S4508" i="127"/>
  <c r="T4508" i="127"/>
  <c r="F4509" i="127"/>
  <c r="Q4509" i="127"/>
  <c r="R4509" i="127"/>
  <c r="S4509" i="127"/>
  <c r="T4509" i="127"/>
  <c r="F4510" i="127"/>
  <c r="Q4510" i="127"/>
  <c r="R4510" i="127"/>
  <c r="S4510" i="127"/>
  <c r="T4510" i="127"/>
  <c r="F4373" i="127"/>
  <c r="Q4373" i="127"/>
  <c r="R4373" i="127"/>
  <c r="S4373" i="127"/>
  <c r="T4373" i="127"/>
  <c r="F4374" i="127"/>
  <c r="Q4374" i="127"/>
  <c r="F4375" i="127"/>
  <c r="Q4375" i="127"/>
  <c r="F4371" i="127"/>
  <c r="R4371" i="127" s="1"/>
  <c r="Q4371" i="127"/>
  <c r="F4372" i="127"/>
  <c r="Q4372" i="127"/>
  <c r="R4372" i="127"/>
  <c r="S4372" i="127"/>
  <c r="T4372" i="127"/>
  <c r="I31" i="146" l="1"/>
  <c r="I28" i="146"/>
  <c r="I14" i="146"/>
  <c r="I20" i="146"/>
  <c r="I22" i="146"/>
  <c r="I32" i="146"/>
  <c r="I27" i="146"/>
  <c r="I26" i="146"/>
  <c r="I30" i="146"/>
  <c r="I19" i="146"/>
  <c r="I21" i="146"/>
  <c r="I25" i="146"/>
  <c r="I24" i="146"/>
  <c r="I29" i="146"/>
  <c r="I23" i="146"/>
  <c r="J7" i="146"/>
  <c r="K6" i="146" s="1"/>
  <c r="S4371" i="127"/>
  <c r="T4371" i="127" s="1"/>
  <c r="F4362" i="127"/>
  <c r="F4363" i="127"/>
  <c r="F4364" i="127"/>
  <c r="F4365" i="127"/>
  <c r="F4366" i="127"/>
  <c r="F4367" i="127"/>
  <c r="F4368" i="127"/>
  <c r="F4369" i="127"/>
  <c r="F4370" i="127"/>
  <c r="F4511" i="127"/>
  <c r="C4370" i="127"/>
  <c r="F4352" i="127"/>
  <c r="F4353" i="127"/>
  <c r="F4354" i="127"/>
  <c r="F4355" i="127"/>
  <c r="F4356" i="127"/>
  <c r="F4357" i="127"/>
  <c r="F4358" i="127"/>
  <c r="F4359" i="127"/>
  <c r="F4360" i="127"/>
  <c r="F4361" i="127"/>
  <c r="F4347" i="127"/>
  <c r="F4348" i="127"/>
  <c r="F4349" i="127"/>
  <c r="F4350" i="127"/>
  <c r="F4351" i="127"/>
  <c r="T4368" i="127"/>
  <c r="S4368" i="127"/>
  <c r="R4368" i="127"/>
  <c r="Q4368" i="127"/>
  <c r="E4368" i="127"/>
  <c r="C4368" i="127"/>
  <c r="Q4367" i="127"/>
  <c r="E4367" i="127"/>
  <c r="C4367" i="127"/>
  <c r="T4366" i="127"/>
  <c r="S4366" i="127"/>
  <c r="R4366" i="127"/>
  <c r="Q4366" i="127"/>
  <c r="E4366" i="127"/>
  <c r="C4366" i="127"/>
  <c r="T4365" i="127"/>
  <c r="S4365" i="127"/>
  <c r="R4365" i="127"/>
  <c r="Q4365" i="127"/>
  <c r="E4365" i="127"/>
  <c r="C4365" i="127"/>
  <c r="Q4364" i="127"/>
  <c r="E4364" i="127"/>
  <c r="C4364" i="127"/>
  <c r="Q4363" i="127"/>
  <c r="E4363" i="127"/>
  <c r="C4363" i="127"/>
  <c r="Q4362" i="127"/>
  <c r="E4362" i="127"/>
  <c r="C4362" i="127"/>
  <c r="Q4361" i="127"/>
  <c r="E4361" i="127"/>
  <c r="C4361" i="127"/>
  <c r="Q4360" i="127"/>
  <c r="E4360" i="127"/>
  <c r="C4360" i="127"/>
  <c r="Q4359" i="127"/>
  <c r="E4359" i="127"/>
  <c r="C4359" i="127"/>
  <c r="Q4358" i="127"/>
  <c r="E4358" i="127"/>
  <c r="C4358" i="127"/>
  <c r="Q4357" i="127"/>
  <c r="E4357" i="127"/>
  <c r="C4357" i="127"/>
  <c r="Q4356" i="127"/>
  <c r="E4356" i="127"/>
  <c r="C4356" i="127"/>
  <c r="Q4355" i="127"/>
  <c r="E4355" i="127"/>
  <c r="C4355" i="127"/>
  <c r="Q4354" i="127"/>
  <c r="E4354" i="127"/>
  <c r="C4354" i="127"/>
  <c r="Q4353" i="127"/>
  <c r="E4353" i="127"/>
  <c r="C4353" i="127"/>
  <c r="Q4352" i="127"/>
  <c r="E4352" i="127"/>
  <c r="C4352" i="127"/>
  <c r="Q4351" i="127"/>
  <c r="E4351" i="127"/>
  <c r="C4351" i="127"/>
  <c r="Q4350" i="127"/>
  <c r="E4350" i="127"/>
  <c r="C4350" i="127"/>
  <c r="Q4349" i="127"/>
  <c r="E4349" i="127"/>
  <c r="C4349" i="127"/>
  <c r="Q4348" i="127"/>
  <c r="E4348" i="127"/>
  <c r="C4348" i="127"/>
  <c r="J23" i="146" l="1"/>
  <c r="J25" i="146"/>
  <c r="J20" i="146"/>
  <c r="J30" i="146"/>
  <c r="J19" i="146"/>
  <c r="J14" i="146"/>
  <c r="J31" i="146"/>
  <c r="J22" i="146"/>
  <c r="J28" i="146"/>
  <c r="J26" i="146"/>
  <c r="I33" i="146"/>
  <c r="K7" i="146"/>
  <c r="J24" i="146"/>
  <c r="J32" i="146"/>
  <c r="J27" i="146"/>
  <c r="J21" i="146"/>
  <c r="J29" i="146"/>
  <c r="C4336" i="127"/>
  <c r="C4337" i="127"/>
  <c r="C4338" i="127"/>
  <c r="C4339" i="127"/>
  <c r="C4340" i="127"/>
  <c r="C4341" i="127"/>
  <c r="C4342" i="127"/>
  <c r="C4343" i="127"/>
  <c r="C4344" i="127"/>
  <c r="C4345" i="127"/>
  <c r="C4346" i="127"/>
  <c r="C4347" i="127"/>
  <c r="C4369" i="127"/>
  <c r="C4335" i="127"/>
  <c r="J33" i="146" l="1"/>
  <c r="K30" i="146"/>
  <c r="K24" i="146"/>
  <c r="K29" i="146"/>
  <c r="K32" i="146"/>
  <c r="K31" i="146"/>
  <c r="K14" i="146"/>
  <c r="K21" i="146"/>
  <c r="K19" i="146"/>
  <c r="K22" i="146"/>
  <c r="K25" i="146"/>
  <c r="K20" i="146"/>
  <c r="K28" i="146"/>
  <c r="K23" i="146"/>
  <c r="K27" i="146"/>
  <c r="K26" i="146"/>
  <c r="E4336" i="127"/>
  <c r="F4336" i="127"/>
  <c r="Q4336" i="127"/>
  <c r="E4337" i="127"/>
  <c r="F4337" i="127"/>
  <c r="Q4337" i="127"/>
  <c r="E4338" i="127"/>
  <c r="F4338" i="127"/>
  <c r="Q4338" i="127"/>
  <c r="E4339" i="127"/>
  <c r="F4339" i="127"/>
  <c r="Q4339" i="127"/>
  <c r="E4340" i="127"/>
  <c r="F4340" i="127"/>
  <c r="Q4340" i="127"/>
  <c r="E4341" i="127"/>
  <c r="F4341" i="127"/>
  <c r="Q4341" i="127"/>
  <c r="E4342" i="127"/>
  <c r="F4342" i="127"/>
  <c r="Q4342" i="127"/>
  <c r="E4343" i="127"/>
  <c r="F4343" i="127"/>
  <c r="Q4343" i="127"/>
  <c r="E4344" i="127"/>
  <c r="F4344" i="127"/>
  <c r="Q4344" i="127"/>
  <c r="E4345" i="127"/>
  <c r="F4345" i="127"/>
  <c r="S4345" i="127" s="1"/>
  <c r="Q4345" i="127"/>
  <c r="R4345" i="127"/>
  <c r="E4346" i="127"/>
  <c r="F4346" i="127"/>
  <c r="T4346" i="127" s="1"/>
  <c r="Q4346" i="127"/>
  <c r="E4347" i="127"/>
  <c r="Q4347" i="127"/>
  <c r="E4369" i="127"/>
  <c r="Q4369" i="127"/>
  <c r="E4370" i="127"/>
  <c r="Q4370" i="127"/>
  <c r="R4370" i="127"/>
  <c r="S4370" i="127"/>
  <c r="T4370" i="127"/>
  <c r="Q4511" i="127"/>
  <c r="R4511" i="127"/>
  <c r="S4511" i="127"/>
  <c r="T4511" i="127"/>
  <c r="F4512" i="127"/>
  <c r="Q4512" i="127"/>
  <c r="R4512" i="127"/>
  <c r="S4512" i="127"/>
  <c r="T4512" i="127"/>
  <c r="C4327" i="127"/>
  <c r="C4328" i="127"/>
  <c r="C4329" i="127"/>
  <c r="C4330" i="127"/>
  <c r="C4331" i="127"/>
  <c r="C4332" i="127"/>
  <c r="C4333" i="127"/>
  <c r="C4334" i="127"/>
  <c r="E4324" i="127"/>
  <c r="F4324" i="127"/>
  <c r="E4325" i="127"/>
  <c r="F4325" i="127"/>
  <c r="E4326" i="127"/>
  <c r="F4326" i="127"/>
  <c r="E4327" i="127"/>
  <c r="F4327" i="127"/>
  <c r="E4328" i="127"/>
  <c r="F4328" i="127"/>
  <c r="E4329" i="127"/>
  <c r="F4329" i="127"/>
  <c r="E4330" i="127"/>
  <c r="F4330" i="127"/>
  <c r="E4331" i="127"/>
  <c r="F4331" i="127"/>
  <c r="E4332" i="127"/>
  <c r="F4332" i="127"/>
  <c r="E4333" i="127"/>
  <c r="F4333" i="127"/>
  <c r="E4334" i="127"/>
  <c r="F4334" i="127"/>
  <c r="E4335" i="127"/>
  <c r="F4335" i="127"/>
  <c r="F4513" i="127"/>
  <c r="Q4327" i="127"/>
  <c r="Q4328" i="127"/>
  <c r="Q4329" i="127"/>
  <c r="Q4330" i="127"/>
  <c r="Q4331" i="127"/>
  <c r="R4331" i="127"/>
  <c r="S4331" i="127"/>
  <c r="T4331" i="127"/>
  <c r="Q4332" i="127"/>
  <c r="Q4333" i="127"/>
  <c r="Q4334" i="127"/>
  <c r="Q4335" i="127"/>
  <c r="R4335" i="127"/>
  <c r="S4335" i="127"/>
  <c r="T4335" i="127"/>
  <c r="Q4513" i="127"/>
  <c r="R4513" i="127"/>
  <c r="S4513" i="127"/>
  <c r="T4513" i="127"/>
  <c r="C21" i="146" l="1"/>
  <c r="K33" i="146"/>
  <c r="E4321" i="127"/>
  <c r="C20" i="146" l="1"/>
  <c r="C4324" i="127"/>
  <c r="C4325" i="127"/>
  <c r="C4326" i="127"/>
  <c r="C4316" i="127"/>
  <c r="C31" i="146" l="1"/>
  <c r="C27" i="146"/>
  <c r="C24" i="146"/>
  <c r="C29" i="146"/>
  <c r="C32" i="146"/>
  <c r="C28" i="146"/>
  <c r="C23" i="146"/>
  <c r="C22" i="146"/>
  <c r="C30" i="146"/>
  <c r="C26" i="146"/>
  <c r="C14" i="146"/>
  <c r="C19" i="146"/>
  <c r="C25" i="146"/>
  <c r="E4311" i="127"/>
  <c r="C33" i="146" l="1"/>
  <c r="E4249" i="127"/>
  <c r="E4238" i="127" l="1"/>
  <c r="E4239" i="127"/>
  <c r="C4243" i="127"/>
  <c r="C4244" i="127"/>
  <c r="C4245" i="127"/>
  <c r="C4246" i="127"/>
  <c r="C4247" i="127"/>
  <c r="C4248" i="127"/>
  <c r="C4249" i="127"/>
  <c r="C4250" i="127"/>
  <c r="C4251" i="127"/>
  <c r="C4252" i="127"/>
  <c r="C4253" i="127"/>
  <c r="C4254" i="127"/>
  <c r="C4255" i="127"/>
  <c r="C4256" i="127"/>
  <c r="C4257" i="127"/>
  <c r="C4258" i="127"/>
  <c r="C4259" i="127"/>
  <c r="C4260" i="127"/>
  <c r="C4261" i="127"/>
  <c r="C4262" i="127"/>
  <c r="C4263" i="127"/>
  <c r="C4264" i="127"/>
  <c r="C4265" i="127"/>
  <c r="C4266" i="127"/>
  <c r="C4267" i="127"/>
  <c r="C4268" i="127"/>
  <c r="C4269" i="127"/>
  <c r="C4270" i="127"/>
  <c r="C4271" i="127"/>
  <c r="C4272" i="127"/>
  <c r="C4273" i="127"/>
  <c r="C4274" i="127"/>
  <c r="C4275" i="127"/>
  <c r="C4276" i="127"/>
  <c r="C4277" i="127"/>
  <c r="C4278" i="127"/>
  <c r="C4279" i="127"/>
  <c r="C4280" i="127"/>
  <c r="C4281" i="127"/>
  <c r="C4282" i="127"/>
  <c r="C4283" i="127"/>
  <c r="C4284" i="127"/>
  <c r="C4285" i="127"/>
  <c r="C4286" i="127"/>
  <c r="C4287" i="127"/>
  <c r="C4288" i="127"/>
  <c r="C4289" i="127"/>
  <c r="C4290" i="127"/>
  <c r="C4291" i="127"/>
  <c r="C4292" i="127"/>
  <c r="C4293" i="127"/>
  <c r="C4294" i="127"/>
  <c r="C4295" i="127"/>
  <c r="C4296" i="127"/>
  <c r="C4297" i="127"/>
  <c r="C4298" i="127"/>
  <c r="C4299" i="127"/>
  <c r="C4300" i="127"/>
  <c r="C4301" i="127"/>
  <c r="C4302" i="127"/>
  <c r="C4303" i="127"/>
  <c r="C4304" i="127"/>
  <c r="C4305" i="127"/>
  <c r="C4306" i="127"/>
  <c r="C4307" i="127"/>
  <c r="C4308" i="127"/>
  <c r="C4309" i="127"/>
  <c r="C4310" i="127"/>
  <c r="C4311" i="127"/>
  <c r="C4312" i="127"/>
  <c r="C4313" i="127"/>
  <c r="C4314" i="127"/>
  <c r="C4315" i="127"/>
  <c r="C4317" i="127"/>
  <c r="C4318" i="127"/>
  <c r="C4319" i="127"/>
  <c r="C4320" i="127"/>
  <c r="C4321" i="127"/>
  <c r="C4322" i="127"/>
  <c r="C4323" i="127"/>
  <c r="F4229" i="127" l="1"/>
  <c r="E4230" i="127"/>
  <c r="F4228" i="127"/>
  <c r="F4226" i="127"/>
  <c r="F4227" i="127"/>
  <c r="C4228" i="127"/>
  <c r="C4229" i="127"/>
  <c r="C4230" i="127"/>
  <c r="C4231" i="127"/>
  <c r="C4232" i="127"/>
  <c r="C4233" i="127"/>
  <c r="C4234" i="127"/>
  <c r="C4235" i="127"/>
  <c r="C4236" i="127"/>
  <c r="C4237" i="127"/>
  <c r="C4238" i="127"/>
  <c r="C4239" i="127"/>
  <c r="C4240" i="127"/>
  <c r="C4241" i="127"/>
  <c r="C4242" i="127"/>
  <c r="C4218" i="127" l="1"/>
  <c r="C4219" i="127"/>
  <c r="C4220" i="127"/>
  <c r="C4221" i="127"/>
  <c r="C4222" i="127"/>
  <c r="C4223" i="127"/>
  <c r="C4224" i="127"/>
  <c r="C4225" i="127"/>
  <c r="C4226" i="127"/>
  <c r="C4227" i="127"/>
  <c r="F4218" i="127"/>
  <c r="S4168" i="127" l="1"/>
  <c r="S4159" i="127"/>
  <c r="S1252" i="127"/>
  <c r="T1457" i="127"/>
  <c r="S3558" i="127"/>
  <c r="C4195" i="127" l="1"/>
  <c r="C4196" i="127"/>
  <c r="C4197" i="127"/>
  <c r="C4198" i="127"/>
  <c r="C4199" i="127"/>
  <c r="C4200" i="127"/>
  <c r="C4201" i="127"/>
  <c r="C4202" i="127"/>
  <c r="C4203" i="127"/>
  <c r="C4204" i="127"/>
  <c r="C4205" i="127"/>
  <c r="C4206" i="127"/>
  <c r="C4207" i="127"/>
  <c r="C4208" i="127"/>
  <c r="C4209" i="127"/>
  <c r="C4210" i="127"/>
  <c r="C4211" i="127"/>
  <c r="C4212" i="127"/>
  <c r="C4213" i="127"/>
  <c r="C4214" i="127"/>
  <c r="C4215" i="127"/>
  <c r="C4216" i="127"/>
  <c r="C4217" i="127"/>
  <c r="E4185" i="127" l="1"/>
  <c r="E4186" i="127"/>
  <c r="C4181" i="127"/>
  <c r="C4182" i="127"/>
  <c r="C4183" i="127"/>
  <c r="C4184" i="127"/>
  <c r="C4185" i="127"/>
  <c r="C4186" i="127"/>
  <c r="C4187" i="127"/>
  <c r="C4188" i="127"/>
  <c r="C4189" i="127"/>
  <c r="C4190" i="127"/>
  <c r="C4191" i="127"/>
  <c r="C4192" i="127"/>
  <c r="C4193" i="127"/>
  <c r="C4194" i="127"/>
  <c r="C4145" i="127" l="1"/>
  <c r="C4146" i="127"/>
  <c r="C4147" i="127"/>
  <c r="C4148" i="127"/>
  <c r="C4149" i="127"/>
  <c r="C4150" i="127"/>
  <c r="C4151" i="127"/>
  <c r="C4152" i="127"/>
  <c r="C4153" i="127"/>
  <c r="C4154" i="127"/>
  <c r="C4155" i="127"/>
  <c r="C4156" i="127"/>
  <c r="C4157" i="127"/>
  <c r="C4158" i="127"/>
  <c r="C4159" i="127"/>
  <c r="C4160" i="127"/>
  <c r="C4161" i="127"/>
  <c r="C4162" i="127"/>
  <c r="C4163" i="127"/>
  <c r="C4164" i="127"/>
  <c r="C4165" i="127"/>
  <c r="C4166" i="127"/>
  <c r="C4167" i="127"/>
  <c r="C4168" i="127"/>
  <c r="C4169" i="127"/>
  <c r="C4170" i="127"/>
  <c r="C4171" i="127"/>
  <c r="C4172" i="127"/>
  <c r="C4173" i="127"/>
  <c r="C4174" i="127"/>
  <c r="C4175" i="127"/>
  <c r="C4176" i="127"/>
  <c r="C4177" i="127"/>
  <c r="C4178" i="127"/>
  <c r="C4179" i="127"/>
  <c r="C4180" i="127"/>
  <c r="C4141" i="127" l="1"/>
  <c r="C4142" i="127"/>
  <c r="C4143" i="127"/>
  <c r="C4144" i="127"/>
  <c r="C4122" i="127" l="1"/>
  <c r="C4123" i="127"/>
  <c r="C4124" i="127"/>
  <c r="C4125" i="127"/>
  <c r="C4126" i="127"/>
  <c r="C4127" i="127"/>
  <c r="C4128" i="127"/>
  <c r="C4129" i="127"/>
  <c r="C4130" i="127"/>
  <c r="C4131" i="127"/>
  <c r="C4132" i="127"/>
  <c r="C4133" i="127"/>
  <c r="C4134" i="127"/>
  <c r="C4135" i="127"/>
  <c r="C4136" i="127"/>
  <c r="C4137" i="127"/>
  <c r="C4138" i="127"/>
  <c r="C4139" i="127"/>
  <c r="C4140" i="127"/>
  <c r="C4114" i="127" l="1"/>
  <c r="C4115" i="127"/>
  <c r="C4116" i="127"/>
  <c r="C4117" i="127"/>
  <c r="C4118" i="127"/>
  <c r="C4119" i="127"/>
  <c r="C4120" i="127"/>
  <c r="C4121" i="127"/>
  <c r="C4094" i="127" l="1"/>
  <c r="C4095" i="127"/>
  <c r="C4096" i="127"/>
  <c r="C4097" i="127"/>
  <c r="C4098" i="127"/>
  <c r="C4099" i="127"/>
  <c r="C4100" i="127"/>
  <c r="C4101" i="127"/>
  <c r="C4102" i="127"/>
  <c r="C4103" i="127"/>
  <c r="C4104" i="127"/>
  <c r="C4105" i="127"/>
  <c r="C4106" i="127"/>
  <c r="C4107" i="127"/>
  <c r="C4108" i="127"/>
  <c r="C4109" i="127"/>
  <c r="C4110" i="127"/>
  <c r="C4111" i="127"/>
  <c r="C4112" i="127"/>
  <c r="C4113" i="127"/>
  <c r="T3980" i="127"/>
  <c r="T3979" i="127"/>
  <c r="T1383" i="127"/>
  <c r="T1240" i="127"/>
  <c r="T4070" i="127"/>
  <c r="C4074" i="127" l="1"/>
  <c r="C4075" i="127"/>
  <c r="C4076" i="127"/>
  <c r="C4077" i="127"/>
  <c r="C4078" i="127"/>
  <c r="C4079" i="127"/>
  <c r="C4080" i="127"/>
  <c r="C4081" i="127"/>
  <c r="C4082" i="127"/>
  <c r="C4083" i="127"/>
  <c r="C4084" i="127"/>
  <c r="C4085" i="127"/>
  <c r="C4086" i="127"/>
  <c r="C4087" i="127"/>
  <c r="C4088" i="127"/>
  <c r="C4089" i="127"/>
  <c r="C4090" i="127"/>
  <c r="C4091" i="127"/>
  <c r="C4092" i="127"/>
  <c r="C4093" i="127"/>
  <c r="S313" i="127" l="1"/>
  <c r="T313" i="127"/>
  <c r="T995" i="127"/>
  <c r="S751" i="127"/>
  <c r="T751" i="127" s="1"/>
  <c r="H606" i="121" l="1"/>
  <c r="I606" i="121"/>
  <c r="H652" i="121" l="1"/>
  <c r="I652" i="121"/>
  <c r="H651" i="121"/>
  <c r="I651" i="121"/>
  <c r="H607" i="121"/>
  <c r="I607" i="121"/>
  <c r="H617" i="121"/>
  <c r="I617" i="121"/>
  <c r="H631" i="121"/>
  <c r="I631" i="121"/>
  <c r="H644" i="121"/>
  <c r="I644" i="121"/>
  <c r="H593" i="121"/>
  <c r="I593" i="121"/>
  <c r="H592" i="121"/>
  <c r="I592" i="121"/>
  <c r="H591" i="121"/>
  <c r="I591" i="121"/>
  <c r="H590" i="121"/>
  <c r="I590" i="121"/>
  <c r="H604" i="121"/>
  <c r="I604" i="121"/>
  <c r="H616" i="121"/>
  <c r="I616" i="121"/>
  <c r="H643" i="121"/>
  <c r="I643" i="121"/>
  <c r="H630" i="121"/>
  <c r="I630" i="121"/>
  <c r="H633" i="121"/>
  <c r="I633" i="121"/>
  <c r="H635" i="121"/>
  <c r="I635" i="121"/>
  <c r="H614" i="121" l="1"/>
  <c r="I614" i="121"/>
  <c r="H603" i="121"/>
  <c r="I603" i="121"/>
  <c r="H586" i="121"/>
  <c r="I586" i="121"/>
  <c r="S2870" i="127" l="1"/>
  <c r="T3995" i="127"/>
  <c r="C4000" i="127" l="1"/>
  <c r="C4001" i="127"/>
  <c r="C4002" i="127"/>
  <c r="C4003" i="127"/>
  <c r="C4004" i="127"/>
  <c r="C4005" i="127"/>
  <c r="C4006" i="127"/>
  <c r="C4007" i="127"/>
  <c r="C4008" i="127"/>
  <c r="C4009" i="127"/>
  <c r="C4010" i="127"/>
  <c r="C4011" i="127"/>
  <c r="C4012" i="127"/>
  <c r="C4013" i="127"/>
  <c r="C4014" i="127"/>
  <c r="C4015" i="127"/>
  <c r="C4016" i="127"/>
  <c r="C4017" i="127"/>
  <c r="C4018" i="127"/>
  <c r="C4019" i="127"/>
  <c r="C4020" i="127"/>
  <c r="C4021" i="127"/>
  <c r="C4022" i="127"/>
  <c r="C4023" i="127"/>
  <c r="C4024" i="127"/>
  <c r="C4025" i="127"/>
  <c r="C4026" i="127"/>
  <c r="C4027" i="127"/>
  <c r="C4028" i="127"/>
  <c r="C4029" i="127"/>
  <c r="C4030" i="127"/>
  <c r="C4031" i="127"/>
  <c r="C4032" i="127"/>
  <c r="C4033" i="127"/>
  <c r="C4034" i="127"/>
  <c r="C4035" i="127"/>
  <c r="C4036" i="127"/>
  <c r="C4037" i="127"/>
  <c r="C4038" i="127"/>
  <c r="C4039" i="127"/>
  <c r="C4040" i="127"/>
  <c r="C4041" i="127"/>
  <c r="C4042" i="127"/>
  <c r="C4043" i="127"/>
  <c r="C4044" i="127"/>
  <c r="C4045" i="127"/>
  <c r="C4046" i="127"/>
  <c r="C4047" i="127"/>
  <c r="C4048" i="127"/>
  <c r="C4049" i="127"/>
  <c r="C4050" i="127"/>
  <c r="C4051" i="127"/>
  <c r="C4052" i="127"/>
  <c r="C4053" i="127"/>
  <c r="C4054" i="127"/>
  <c r="C4055" i="127"/>
  <c r="C4056" i="127"/>
  <c r="C4057" i="127"/>
  <c r="C4058" i="127"/>
  <c r="C4059" i="127"/>
  <c r="C4060" i="127"/>
  <c r="C4061" i="127"/>
  <c r="C4062" i="127"/>
  <c r="C4063" i="127"/>
  <c r="C4064" i="127"/>
  <c r="C4065" i="127"/>
  <c r="C4066" i="127"/>
  <c r="C4067" i="127"/>
  <c r="C4068" i="127"/>
  <c r="C4069" i="127"/>
  <c r="C4070" i="127"/>
  <c r="C4071" i="127"/>
  <c r="C4072" i="127"/>
  <c r="C4073" i="127"/>
  <c r="C3967" i="127"/>
  <c r="C3968" i="127"/>
  <c r="C3969" i="127"/>
  <c r="C3970" i="127"/>
  <c r="C3971" i="127"/>
  <c r="C3972" i="127"/>
  <c r="C3973" i="127"/>
  <c r="C3974" i="127"/>
  <c r="C3975" i="127"/>
  <c r="C3976" i="127"/>
  <c r="C3977" i="127"/>
  <c r="C3978" i="127"/>
  <c r="C3979" i="127"/>
  <c r="C3980" i="127"/>
  <c r="C3981" i="127"/>
  <c r="C3982" i="127"/>
  <c r="C3983" i="127"/>
  <c r="C3984" i="127"/>
  <c r="C3985" i="127"/>
  <c r="C3986" i="127"/>
  <c r="C3987" i="127"/>
  <c r="C3988" i="127"/>
  <c r="C3989" i="127"/>
  <c r="C3990" i="127"/>
  <c r="C3991" i="127"/>
  <c r="C3992" i="127"/>
  <c r="C3993" i="127"/>
  <c r="C3994" i="127"/>
  <c r="C3995" i="127"/>
  <c r="C3996" i="127"/>
  <c r="C3997" i="127"/>
  <c r="C3998" i="127"/>
  <c r="C3999" i="127"/>
  <c r="C3960" i="127" l="1"/>
  <c r="C3961" i="127"/>
  <c r="C3962" i="127"/>
  <c r="C3963" i="127"/>
  <c r="C3964" i="127"/>
  <c r="C3965" i="127"/>
  <c r="C3966" i="127"/>
  <c r="C3904" i="127" l="1"/>
  <c r="C3905" i="127"/>
  <c r="C3906" i="127"/>
  <c r="C3907" i="127"/>
  <c r="C3908" i="127"/>
  <c r="C3909" i="127"/>
  <c r="C3910" i="127"/>
  <c r="C3911" i="127"/>
  <c r="C3912" i="127"/>
  <c r="C3913" i="127"/>
  <c r="C3914" i="127"/>
  <c r="C3915" i="127"/>
  <c r="C3916" i="127"/>
  <c r="C3917" i="127"/>
  <c r="C3918" i="127"/>
  <c r="C3919" i="127"/>
  <c r="C3920" i="127"/>
  <c r="C3921" i="127"/>
  <c r="C3922" i="127"/>
  <c r="C3923" i="127"/>
  <c r="C3924" i="127"/>
  <c r="C3925" i="127"/>
  <c r="C3926" i="127"/>
  <c r="C3927" i="127"/>
  <c r="C3928" i="127"/>
  <c r="C3929" i="127"/>
  <c r="C3930" i="127"/>
  <c r="C3931" i="127"/>
  <c r="C3932" i="127"/>
  <c r="C3933" i="127"/>
  <c r="C3934" i="127"/>
  <c r="C3935" i="127"/>
  <c r="C3936" i="127"/>
  <c r="C3937" i="127"/>
  <c r="C3938" i="127"/>
  <c r="C3939" i="127"/>
  <c r="C3940" i="127"/>
  <c r="C3941" i="127"/>
  <c r="C3942" i="127"/>
  <c r="C3943" i="127"/>
  <c r="C3944" i="127"/>
  <c r="C3945" i="127"/>
  <c r="C3946" i="127"/>
  <c r="C3947" i="127"/>
  <c r="C3948" i="127"/>
  <c r="C3949" i="127"/>
  <c r="C3950" i="127"/>
  <c r="C3951" i="127"/>
  <c r="C3952" i="127"/>
  <c r="C3953" i="127"/>
  <c r="C3954" i="127"/>
  <c r="C3955" i="127"/>
  <c r="C3956" i="127"/>
  <c r="C3957" i="127"/>
  <c r="C3958" i="127"/>
  <c r="C3959" i="127"/>
  <c r="C3902" i="127" l="1"/>
  <c r="C3903" i="127"/>
  <c r="C3900" i="127"/>
  <c r="C3901" i="127"/>
  <c r="C3880" i="127"/>
  <c r="C3881" i="127"/>
  <c r="C3882" i="127"/>
  <c r="C3883" i="127"/>
  <c r="C3884" i="127"/>
  <c r="C3885" i="127"/>
  <c r="C3886" i="127"/>
  <c r="C3887" i="127"/>
  <c r="C3888" i="127"/>
  <c r="C3889" i="127"/>
  <c r="C3890" i="127"/>
  <c r="C3891" i="127"/>
  <c r="C3892" i="127"/>
  <c r="C3893" i="127"/>
  <c r="C3894" i="127"/>
  <c r="C3895" i="127"/>
  <c r="C3896" i="127"/>
  <c r="C3897" i="127"/>
  <c r="C3898" i="127"/>
  <c r="C3899" i="127"/>
  <c r="C3879" i="127" l="1"/>
  <c r="S2326" i="127" l="1"/>
  <c r="T3806" i="127"/>
  <c r="C3787" i="127" l="1"/>
  <c r="C3788" i="127"/>
  <c r="C3789" i="127"/>
  <c r="C3790" i="127"/>
  <c r="C3791" i="127"/>
  <c r="C3792" i="127"/>
  <c r="C3793" i="127"/>
  <c r="C3794" i="127"/>
  <c r="C3795" i="127"/>
  <c r="C3796" i="127"/>
  <c r="C3797" i="127"/>
  <c r="C3798" i="127"/>
  <c r="C3799" i="127"/>
  <c r="C3800" i="127"/>
  <c r="C3801" i="127"/>
  <c r="C3802" i="127"/>
  <c r="C3803" i="127"/>
  <c r="C3804" i="127"/>
  <c r="C3805" i="127"/>
  <c r="C3806" i="127"/>
  <c r="C3807" i="127"/>
  <c r="C3808" i="127"/>
  <c r="C3809" i="127"/>
  <c r="C3810" i="127"/>
  <c r="C3811" i="127"/>
  <c r="C3812" i="127"/>
  <c r="C3813" i="127"/>
  <c r="C3814" i="127"/>
  <c r="C3815" i="127"/>
  <c r="C3816" i="127"/>
  <c r="C3817" i="127"/>
  <c r="C3818" i="127"/>
  <c r="C3819" i="127"/>
  <c r="C3820" i="127"/>
  <c r="C3821" i="127"/>
  <c r="C3822" i="127"/>
  <c r="C3823" i="127"/>
  <c r="C3824" i="127"/>
  <c r="C3825" i="127"/>
  <c r="C3826" i="127"/>
  <c r="C3827" i="127"/>
  <c r="C3828" i="127"/>
  <c r="C3829" i="127"/>
  <c r="C3830" i="127"/>
  <c r="C3831" i="127"/>
  <c r="C3832" i="127"/>
  <c r="C3833" i="127"/>
  <c r="C3834" i="127"/>
  <c r="C3835" i="127"/>
  <c r="C3836" i="127"/>
  <c r="C3837" i="127"/>
  <c r="C3838" i="127"/>
  <c r="C3839" i="127"/>
  <c r="C3840" i="127"/>
  <c r="C3841" i="127"/>
  <c r="C3842" i="127"/>
  <c r="C3843" i="127"/>
  <c r="C3844" i="127"/>
  <c r="C3845" i="127"/>
  <c r="C3846" i="127"/>
  <c r="C3847" i="127"/>
  <c r="C3848" i="127"/>
  <c r="C3849" i="127"/>
  <c r="C3850" i="127"/>
  <c r="C3851" i="127"/>
  <c r="C3852" i="127"/>
  <c r="C3853" i="127"/>
  <c r="C3854" i="127"/>
  <c r="C3855" i="127"/>
  <c r="C3856" i="127"/>
  <c r="C3857" i="127"/>
  <c r="C3858" i="127"/>
  <c r="C3859" i="127"/>
  <c r="C3860" i="127"/>
  <c r="C3861" i="127"/>
  <c r="C3862" i="127"/>
  <c r="C3863" i="127"/>
  <c r="C3864" i="127"/>
  <c r="C3865" i="127"/>
  <c r="C3866" i="127"/>
  <c r="C3867" i="127"/>
  <c r="C3868" i="127"/>
  <c r="C3869" i="127"/>
  <c r="C3870" i="127"/>
  <c r="C3871" i="127"/>
  <c r="C3872" i="127"/>
  <c r="C3873" i="127"/>
  <c r="C3874" i="127"/>
  <c r="C3875" i="127"/>
  <c r="C3876" i="127"/>
  <c r="C3877" i="127"/>
  <c r="C3878" i="127"/>
  <c r="M5" i="127" l="1"/>
  <c r="C3783" i="127" l="1"/>
  <c r="C3784" i="127"/>
  <c r="C3785" i="127"/>
  <c r="C3786" i="127"/>
  <c r="C3778" i="127" l="1"/>
  <c r="C3779" i="127"/>
  <c r="C3780" i="127"/>
  <c r="C3781" i="127"/>
  <c r="C3782" i="127"/>
  <c r="E3759" i="127" l="1"/>
  <c r="C3748" i="127"/>
  <c r="C3749" i="127"/>
  <c r="C3750" i="127"/>
  <c r="C3751" i="127"/>
  <c r="C3752" i="127"/>
  <c r="C3753" i="127"/>
  <c r="C3754" i="127"/>
  <c r="C3755" i="127"/>
  <c r="C3756" i="127"/>
  <c r="C3757" i="127"/>
  <c r="C3758" i="127"/>
  <c r="C3759" i="127"/>
  <c r="C3760" i="127"/>
  <c r="C3761" i="127"/>
  <c r="C3762" i="127"/>
  <c r="C3763" i="127"/>
  <c r="C3764" i="127"/>
  <c r="C3765" i="127"/>
  <c r="C3766" i="127"/>
  <c r="C3767" i="127"/>
  <c r="C3768" i="127"/>
  <c r="C3769" i="127"/>
  <c r="C3770" i="127"/>
  <c r="C3771" i="127"/>
  <c r="C3772" i="127"/>
  <c r="C3773" i="127"/>
  <c r="C3774" i="127"/>
  <c r="C3775" i="127"/>
  <c r="C3776" i="127"/>
  <c r="C3777" i="127"/>
  <c r="T931" i="127" l="1"/>
  <c r="T930" i="127"/>
  <c r="T757" i="127"/>
  <c r="T679" i="127"/>
  <c r="T610" i="127"/>
  <c r="T555" i="127"/>
  <c r="T462" i="127"/>
  <c r="T266" i="127"/>
  <c r="S266" i="127"/>
  <c r="C3726" i="127"/>
  <c r="C3727" i="127"/>
  <c r="C3728" i="127"/>
  <c r="C3729" i="127"/>
  <c r="C3730" i="127"/>
  <c r="C3731" i="127"/>
  <c r="C3732" i="127"/>
  <c r="C3733" i="127"/>
  <c r="C3734" i="127"/>
  <c r="C3735" i="127"/>
  <c r="C3736" i="127"/>
  <c r="C3737" i="127"/>
  <c r="C3738" i="127"/>
  <c r="C3739" i="127"/>
  <c r="C3740" i="127"/>
  <c r="C3741" i="127"/>
  <c r="C3742" i="127"/>
  <c r="C3743" i="127"/>
  <c r="C3744" i="127"/>
  <c r="C3745" i="127"/>
  <c r="C3746" i="127"/>
  <c r="C3747" i="127"/>
  <c r="H580" i="121" l="1"/>
  <c r="I580" i="121"/>
  <c r="H579" i="121"/>
  <c r="I579" i="121"/>
  <c r="H575" i="121"/>
  <c r="I575" i="121"/>
  <c r="H570" i="121"/>
  <c r="I570" i="121"/>
  <c r="H563" i="121" l="1"/>
  <c r="I563" i="121"/>
  <c r="H577" i="121"/>
  <c r="I577" i="121"/>
  <c r="H583" i="121"/>
  <c r="I583" i="121"/>
  <c r="T2875" i="127" l="1"/>
  <c r="T2874" i="127"/>
  <c r="T890" i="127"/>
  <c r="S890" i="127"/>
  <c r="S2874" i="127"/>
  <c r="T670" i="127"/>
  <c r="C3708" i="127" l="1"/>
  <c r="C3709" i="127"/>
  <c r="C3710" i="127"/>
  <c r="C3711" i="127"/>
  <c r="C3712" i="127"/>
  <c r="C3713" i="127"/>
  <c r="C3714" i="127"/>
  <c r="C3715" i="127"/>
  <c r="C3716" i="127"/>
  <c r="C3717" i="127"/>
  <c r="C3718" i="127"/>
  <c r="C3719" i="127"/>
  <c r="C3720" i="127"/>
  <c r="C3721" i="127"/>
  <c r="C3722" i="127"/>
  <c r="C3723" i="127"/>
  <c r="C3724" i="127"/>
  <c r="C3725" i="127"/>
  <c r="F3698" i="127" l="1"/>
  <c r="E3683" i="127"/>
  <c r="C3692" i="127"/>
  <c r="C3693" i="127"/>
  <c r="C3694" i="127"/>
  <c r="C3695" i="127"/>
  <c r="C3696" i="127"/>
  <c r="C3697" i="127"/>
  <c r="C3698" i="127"/>
  <c r="C3699" i="127"/>
  <c r="C3700" i="127"/>
  <c r="C3701" i="127"/>
  <c r="C3702" i="127"/>
  <c r="C3703" i="127"/>
  <c r="C3704" i="127"/>
  <c r="C3705" i="127"/>
  <c r="C3706" i="127"/>
  <c r="C3707" i="127"/>
  <c r="C3673" i="127" l="1"/>
  <c r="C3674" i="127"/>
  <c r="C3675" i="127"/>
  <c r="C3676" i="127"/>
  <c r="C3677" i="127"/>
  <c r="C3678" i="127"/>
  <c r="C3679" i="127"/>
  <c r="C3680" i="127"/>
  <c r="C3681" i="127"/>
  <c r="C3682" i="127"/>
  <c r="C3683" i="127"/>
  <c r="C3684" i="127"/>
  <c r="C3685" i="127"/>
  <c r="C3686" i="127"/>
  <c r="C3687" i="127"/>
  <c r="C3688" i="127"/>
  <c r="C3689" i="127"/>
  <c r="C3690" i="127"/>
  <c r="C3691" i="127"/>
  <c r="C3659" i="127" l="1"/>
  <c r="C3660" i="127"/>
  <c r="C3661" i="127"/>
  <c r="C3662" i="127"/>
  <c r="C3663" i="127"/>
  <c r="C3664" i="127"/>
  <c r="C3665" i="127"/>
  <c r="C3666" i="127"/>
  <c r="C3667" i="127"/>
  <c r="C3668" i="127"/>
  <c r="C3669" i="127"/>
  <c r="C3670" i="127"/>
  <c r="C3671" i="127"/>
  <c r="C3672" i="127"/>
  <c r="C3638" i="127" l="1"/>
  <c r="C3639" i="127"/>
  <c r="C3640" i="127"/>
  <c r="C3641" i="127"/>
  <c r="C3642" i="127"/>
  <c r="C3643" i="127"/>
  <c r="C3644" i="127"/>
  <c r="C3645" i="127"/>
  <c r="C3646" i="127"/>
  <c r="C3647" i="127"/>
  <c r="C3648" i="127"/>
  <c r="C3649" i="127"/>
  <c r="C3650" i="127"/>
  <c r="C3651" i="127"/>
  <c r="C3652" i="127"/>
  <c r="C3653" i="127"/>
  <c r="C3654" i="127"/>
  <c r="C3655" i="127"/>
  <c r="C3656" i="127"/>
  <c r="C3657" i="127"/>
  <c r="C3658" i="127"/>
  <c r="H566" i="121"/>
  <c r="I566" i="121"/>
  <c r="S2242" i="127"/>
  <c r="S2308" i="127"/>
  <c r="S3605" i="127"/>
  <c r="C3627" i="127" l="1"/>
  <c r="C3628" i="127"/>
  <c r="C3629" i="127"/>
  <c r="C3630" i="127"/>
  <c r="C3631" i="127"/>
  <c r="C3632" i="127"/>
  <c r="C3633" i="127"/>
  <c r="C3634" i="127"/>
  <c r="C3635" i="127"/>
  <c r="C3636" i="127"/>
  <c r="C3637" i="127"/>
  <c r="T3622" i="127"/>
  <c r="AL429" i="123" s="1"/>
  <c r="AO429" i="123" l="1"/>
  <c r="AP429" i="123" s="1"/>
  <c r="AM429" i="123"/>
  <c r="E3621" i="127"/>
  <c r="C3619" i="127"/>
  <c r="C3620" i="127"/>
  <c r="C3621" i="127"/>
  <c r="C3622" i="127"/>
  <c r="C3623" i="127"/>
  <c r="C3624" i="127"/>
  <c r="C3625" i="127"/>
  <c r="C3626" i="127"/>
  <c r="AU429" i="123" l="1"/>
  <c r="AQ429" i="123"/>
  <c r="AR429" i="123" s="1"/>
  <c r="AS429" i="123" s="1"/>
  <c r="AT429" i="123"/>
  <c r="C3612" i="127"/>
  <c r="C3613" i="127"/>
  <c r="C3614" i="127"/>
  <c r="C3615" i="127"/>
  <c r="C3616" i="127"/>
  <c r="C3617" i="127"/>
  <c r="C3618" i="127"/>
  <c r="C3588" i="127" l="1"/>
  <c r="C3589" i="127"/>
  <c r="C3590" i="127"/>
  <c r="C3591" i="127"/>
  <c r="C3592" i="127"/>
  <c r="C3593" i="127"/>
  <c r="C3594" i="127"/>
  <c r="C3595" i="127"/>
  <c r="C3596" i="127"/>
  <c r="C3597" i="127"/>
  <c r="C3598" i="127"/>
  <c r="C3599" i="127"/>
  <c r="C3600" i="127"/>
  <c r="C3601" i="127"/>
  <c r="C3602" i="127"/>
  <c r="C3603" i="127"/>
  <c r="C3604" i="127"/>
  <c r="C3605" i="127"/>
  <c r="C3606" i="127"/>
  <c r="C3607" i="127"/>
  <c r="C3608" i="127"/>
  <c r="C3609" i="127"/>
  <c r="C3610" i="127"/>
  <c r="C3611" i="127"/>
  <c r="T2128" i="127" l="1"/>
  <c r="T2014" i="127"/>
  <c r="H3" i="127"/>
  <c r="C3580" i="127" l="1"/>
  <c r="C3581" i="127"/>
  <c r="C3582" i="127"/>
  <c r="C3583" i="127"/>
  <c r="C3584" i="127"/>
  <c r="C3585" i="127"/>
  <c r="C3586" i="127"/>
  <c r="C3587" i="127"/>
  <c r="J352" i="89"/>
  <c r="C3561" i="127" l="1"/>
  <c r="C3562" i="127"/>
  <c r="C3563" i="127"/>
  <c r="C3564" i="127"/>
  <c r="C3565" i="127"/>
  <c r="C3566" i="127"/>
  <c r="C3567" i="127"/>
  <c r="C3568" i="127"/>
  <c r="C3569" i="127"/>
  <c r="C3570" i="127"/>
  <c r="C3571" i="127"/>
  <c r="C3572" i="127"/>
  <c r="C3573" i="127"/>
  <c r="C3574" i="127"/>
  <c r="C3575" i="127"/>
  <c r="C3576" i="127"/>
  <c r="C3577" i="127"/>
  <c r="C3578" i="127"/>
  <c r="C3579" i="127"/>
  <c r="S1803" i="127" l="1"/>
  <c r="C3537" i="127" l="1"/>
  <c r="C3538" i="127"/>
  <c r="C3539" i="127"/>
  <c r="C3540" i="127"/>
  <c r="C3541" i="127"/>
  <c r="C3542" i="127"/>
  <c r="C3543" i="127"/>
  <c r="C3544" i="127"/>
  <c r="C3545" i="127"/>
  <c r="C3546" i="127"/>
  <c r="C3547" i="127"/>
  <c r="C3548" i="127"/>
  <c r="C3549" i="127"/>
  <c r="C3550" i="127"/>
  <c r="C3551" i="127"/>
  <c r="C3552" i="127"/>
  <c r="C3553" i="127"/>
  <c r="C3554" i="127"/>
  <c r="C3555" i="127"/>
  <c r="C3556" i="127"/>
  <c r="C3557" i="127"/>
  <c r="C3558" i="127"/>
  <c r="C3559" i="127"/>
  <c r="C3560" i="127"/>
  <c r="C3508" i="127" l="1"/>
  <c r="C3509" i="127"/>
  <c r="C3510" i="127"/>
  <c r="C3511" i="127"/>
  <c r="C3512" i="127"/>
  <c r="C3513" i="127"/>
  <c r="C3514" i="127"/>
  <c r="C3515" i="127"/>
  <c r="C3516" i="127"/>
  <c r="C3517" i="127"/>
  <c r="C3518" i="127"/>
  <c r="C3519" i="127"/>
  <c r="C3520" i="127"/>
  <c r="C3521" i="127"/>
  <c r="C3522" i="127"/>
  <c r="C3523" i="127"/>
  <c r="C3524" i="127"/>
  <c r="C3525" i="127"/>
  <c r="C3526" i="127"/>
  <c r="C3527" i="127"/>
  <c r="C3528" i="127"/>
  <c r="C3529" i="127"/>
  <c r="C3530" i="127"/>
  <c r="C3531" i="127"/>
  <c r="C3532" i="127"/>
  <c r="C3533" i="127"/>
  <c r="C3534" i="127"/>
  <c r="C3535" i="127"/>
  <c r="C3536" i="127"/>
  <c r="C3487" i="127" l="1"/>
  <c r="C3488" i="127"/>
  <c r="C3489" i="127"/>
  <c r="C3490" i="127"/>
  <c r="C3491" i="127"/>
  <c r="C3492" i="127"/>
  <c r="C3493" i="127"/>
  <c r="C3494" i="127"/>
  <c r="C3495" i="127"/>
  <c r="C3496" i="127"/>
  <c r="C3497" i="127"/>
  <c r="C3498" i="127"/>
  <c r="C3499" i="127"/>
  <c r="C3500" i="127"/>
  <c r="C3501" i="127"/>
  <c r="C3502" i="127"/>
  <c r="C3503" i="127"/>
  <c r="C3504" i="127"/>
  <c r="C3505" i="127"/>
  <c r="C3506" i="127"/>
  <c r="C3507" i="127"/>
  <c r="C3482" i="127" l="1"/>
  <c r="C3483" i="127"/>
  <c r="C3484" i="127"/>
  <c r="C3485" i="127"/>
  <c r="C3486" i="127"/>
  <c r="S3274" i="127"/>
  <c r="S2805" i="127"/>
  <c r="S2803" i="127"/>
  <c r="C3468" i="127" l="1"/>
  <c r="C3469" i="127"/>
  <c r="C3470" i="127"/>
  <c r="C3471" i="127"/>
  <c r="C3472" i="127"/>
  <c r="C3473" i="127"/>
  <c r="C3474" i="127"/>
  <c r="C3475" i="127"/>
  <c r="C3476" i="127"/>
  <c r="C3477" i="127"/>
  <c r="C3478" i="127"/>
  <c r="C3479" i="127"/>
  <c r="C3480" i="127"/>
  <c r="C3481" i="127"/>
  <c r="C3434" i="127" l="1"/>
  <c r="C3435" i="127"/>
  <c r="C3436" i="127"/>
  <c r="C3437" i="127"/>
  <c r="C3438" i="127"/>
  <c r="C3439" i="127"/>
  <c r="C3440" i="127"/>
  <c r="C3441" i="127"/>
  <c r="C3442" i="127"/>
  <c r="C3443" i="127"/>
  <c r="C3444" i="127"/>
  <c r="C3445" i="127"/>
  <c r="C3446" i="127"/>
  <c r="C3447" i="127"/>
  <c r="C3448" i="127"/>
  <c r="C3449" i="127"/>
  <c r="C3450" i="127"/>
  <c r="C3451" i="127"/>
  <c r="C3452" i="127"/>
  <c r="C3453" i="127"/>
  <c r="C3454" i="127"/>
  <c r="C3455" i="127"/>
  <c r="C3456" i="127"/>
  <c r="C3457" i="127"/>
  <c r="C3458" i="127"/>
  <c r="C3459" i="127"/>
  <c r="C3460" i="127"/>
  <c r="C3461" i="127"/>
  <c r="C3462" i="127"/>
  <c r="C3463" i="127"/>
  <c r="C3464" i="127"/>
  <c r="C3465" i="127"/>
  <c r="C3466" i="127"/>
  <c r="C3467" i="127"/>
  <c r="J344" i="89"/>
  <c r="K344" i="89" s="1"/>
  <c r="J345" i="89"/>
  <c r="K345" i="89" s="1"/>
  <c r="J346" i="89"/>
  <c r="K346" i="89" s="1"/>
  <c r="J347" i="89"/>
  <c r="K347" i="89" s="1"/>
  <c r="J348" i="89"/>
  <c r="K348" i="89" s="1"/>
  <c r="J349" i="89"/>
  <c r="K349" i="89" s="1"/>
  <c r="J350" i="89"/>
  <c r="K350" i="89" s="1"/>
  <c r="J351" i="89"/>
  <c r="K351" i="89" s="1"/>
  <c r="K352" i="89"/>
  <c r="J353" i="89"/>
  <c r="K353" i="89" s="1"/>
  <c r="J354" i="89"/>
  <c r="K354" i="89" s="1"/>
  <c r="J355" i="89"/>
  <c r="K355" i="89" s="1"/>
  <c r="J356" i="89"/>
  <c r="K356" i="89" s="1"/>
  <c r="J357" i="89"/>
  <c r="K357" i="89" s="1"/>
  <c r="J358" i="89"/>
  <c r="K358" i="89" s="1"/>
  <c r="J359" i="89"/>
  <c r="K359" i="89" s="1"/>
  <c r="J360" i="89"/>
  <c r="K360" i="89" s="1"/>
  <c r="J361" i="89"/>
  <c r="K361" i="89" s="1"/>
  <c r="J362" i="89"/>
  <c r="K362" i="89" s="1"/>
  <c r="J363" i="89"/>
  <c r="K363" i="89" s="1"/>
  <c r="J364" i="89"/>
  <c r="K364" i="89" s="1"/>
  <c r="J365" i="89"/>
  <c r="K365" i="89" s="1"/>
  <c r="J366" i="89"/>
  <c r="K366" i="89" s="1"/>
  <c r="J367" i="89"/>
  <c r="K367" i="89" s="1"/>
  <c r="J368" i="89"/>
  <c r="K368" i="89" s="1"/>
  <c r="J369" i="89"/>
  <c r="K369" i="89" s="1"/>
  <c r="J370" i="89"/>
  <c r="K370" i="89" s="1"/>
  <c r="J371" i="89"/>
  <c r="K371" i="89" s="1"/>
  <c r="J372" i="89"/>
  <c r="K372" i="89" s="1"/>
  <c r="J373" i="89"/>
  <c r="K373" i="89" s="1"/>
  <c r="J374" i="89"/>
  <c r="K374" i="89" s="1"/>
  <c r="J375" i="89"/>
  <c r="K375" i="89" s="1"/>
  <c r="J376" i="89"/>
  <c r="K376" i="89" s="1"/>
  <c r="J377" i="89"/>
  <c r="K377" i="89" s="1"/>
  <c r="J378" i="89"/>
  <c r="K378" i="89" s="1"/>
  <c r="J379" i="89"/>
  <c r="K379" i="89" s="1"/>
  <c r="J380" i="89"/>
  <c r="K380" i="89" s="1"/>
  <c r="J381" i="89"/>
  <c r="K381" i="89" s="1"/>
  <c r="J382" i="89"/>
  <c r="K382" i="89" s="1"/>
  <c r="J383" i="89"/>
  <c r="K383" i="89" s="1"/>
  <c r="J384" i="89"/>
  <c r="K384" i="89" s="1"/>
  <c r="J385" i="89"/>
  <c r="K385" i="89" s="1"/>
  <c r="J386" i="89"/>
  <c r="K386" i="89" s="1"/>
  <c r="J387" i="89"/>
  <c r="K387" i="89" s="1"/>
  <c r="J388" i="89"/>
  <c r="K388" i="89" s="1"/>
  <c r="J389" i="89"/>
  <c r="K389" i="89" s="1"/>
  <c r="J390" i="89"/>
  <c r="K390" i="89" s="1"/>
  <c r="J391" i="89"/>
  <c r="K391" i="89" s="1"/>
  <c r="J392" i="89"/>
  <c r="K392" i="89" s="1"/>
  <c r="J393" i="89"/>
  <c r="K393" i="89" s="1"/>
  <c r="J394" i="89"/>
  <c r="K394" i="89" s="1"/>
  <c r="J395" i="89"/>
  <c r="K395" i="89" s="1"/>
  <c r="J396" i="89"/>
  <c r="K396" i="89" s="1"/>
  <c r="J397" i="89"/>
  <c r="K397" i="89" s="1"/>
  <c r="J398" i="89"/>
  <c r="K398" i="89" s="1"/>
  <c r="J399" i="89"/>
  <c r="K399" i="89" s="1"/>
  <c r="J400" i="89"/>
  <c r="K400" i="89" s="1"/>
  <c r="J401" i="89"/>
  <c r="K401" i="89" s="1"/>
  <c r="J402" i="89"/>
  <c r="K402" i="89" s="1"/>
  <c r="J403" i="89"/>
  <c r="K403" i="89" s="1"/>
  <c r="J404" i="89"/>
  <c r="K404" i="89" s="1"/>
  <c r="J405" i="89"/>
  <c r="K405" i="89" s="1"/>
  <c r="J406" i="89"/>
  <c r="K406" i="89" s="1"/>
  <c r="J407" i="89"/>
  <c r="K407" i="89" s="1"/>
  <c r="J408" i="89"/>
  <c r="K408" i="89" s="1"/>
  <c r="J409" i="89"/>
  <c r="K409" i="89" s="1"/>
  <c r="J410" i="89"/>
  <c r="K410" i="89" s="1"/>
  <c r="J411" i="89"/>
  <c r="K411" i="89" s="1"/>
  <c r="J412" i="89"/>
  <c r="K412" i="89" s="1"/>
  <c r="J413" i="89"/>
  <c r="K413" i="89" s="1"/>
  <c r="J414" i="89"/>
  <c r="K414" i="89" s="1"/>
  <c r="J415" i="89"/>
  <c r="K415" i="89" s="1"/>
  <c r="J416" i="89"/>
  <c r="K416" i="89" s="1"/>
  <c r="J417" i="89"/>
  <c r="K417" i="89" s="1"/>
  <c r="J418" i="89"/>
  <c r="K418" i="89" s="1"/>
  <c r="J419" i="89"/>
  <c r="K419" i="89" s="1"/>
  <c r="J420" i="89"/>
  <c r="K420" i="89" s="1"/>
  <c r="J421" i="89"/>
  <c r="K421" i="89" s="1"/>
  <c r="J422" i="89"/>
  <c r="K422" i="89" s="1"/>
  <c r="J423" i="89"/>
  <c r="K423" i="89" s="1"/>
  <c r="J424" i="89"/>
  <c r="K424" i="89" s="1"/>
  <c r="J425" i="89"/>
  <c r="K425" i="89" s="1"/>
  <c r="J426" i="89"/>
  <c r="K426" i="89" s="1"/>
  <c r="J427" i="89"/>
  <c r="K427" i="89" s="1"/>
  <c r="J428" i="89"/>
  <c r="K428" i="89" s="1"/>
  <c r="J429" i="89"/>
  <c r="K429" i="89" s="1"/>
  <c r="J430" i="89"/>
  <c r="K430" i="89" s="1"/>
  <c r="J431" i="89"/>
  <c r="K431" i="89" s="1"/>
  <c r="J432" i="89"/>
  <c r="K432" i="89" s="1"/>
  <c r="J433" i="89"/>
  <c r="K433" i="89" s="1"/>
  <c r="J434" i="89"/>
  <c r="K434" i="89" s="1"/>
  <c r="J435" i="89"/>
  <c r="K435" i="89" s="1"/>
  <c r="J436" i="89"/>
  <c r="K436" i="89" s="1"/>
  <c r="J437" i="89"/>
  <c r="K437" i="89" s="1"/>
  <c r="J438" i="89"/>
  <c r="K438" i="89" s="1"/>
  <c r="J439" i="89"/>
  <c r="K439" i="89" s="1"/>
  <c r="J440" i="89"/>
  <c r="K440" i="89" s="1"/>
  <c r="J441" i="89"/>
  <c r="K441" i="89" s="1"/>
  <c r="J442" i="89"/>
  <c r="K442" i="89" s="1"/>
  <c r="J443" i="89"/>
  <c r="K443" i="89" s="1"/>
  <c r="J444" i="89"/>
  <c r="K444" i="89" s="1"/>
  <c r="J445" i="89"/>
  <c r="K445" i="89" s="1"/>
  <c r="J446" i="89"/>
  <c r="K446" i="89" s="1"/>
  <c r="J447" i="89"/>
  <c r="K447" i="89" s="1"/>
  <c r="J448" i="89"/>
  <c r="K448" i="89" s="1"/>
  <c r="J449" i="89"/>
  <c r="K449" i="89" s="1"/>
  <c r="J450" i="89"/>
  <c r="K450" i="89" s="1"/>
  <c r="J451" i="89"/>
  <c r="K451" i="89" s="1"/>
  <c r="J452" i="89"/>
  <c r="K452" i="89" s="1"/>
  <c r="J453" i="89"/>
  <c r="K453" i="89" s="1"/>
  <c r="J454" i="89"/>
  <c r="K454" i="89" s="1"/>
  <c r="J455" i="89"/>
  <c r="K455" i="89" s="1"/>
  <c r="J456" i="89"/>
  <c r="K456" i="89" s="1"/>
  <c r="J457" i="89"/>
  <c r="K457" i="89" s="1"/>
  <c r="J458" i="89"/>
  <c r="K458" i="89" s="1"/>
  <c r="J459" i="89"/>
  <c r="K459" i="89" s="1"/>
  <c r="J460" i="89"/>
  <c r="K460" i="89" s="1"/>
  <c r="J461" i="89"/>
  <c r="K461" i="89" s="1"/>
  <c r="J462" i="89"/>
  <c r="K462" i="89" s="1"/>
  <c r="J463" i="89"/>
  <c r="K463" i="89" s="1"/>
  <c r="J464" i="89"/>
  <c r="K464" i="89" s="1"/>
  <c r="J465" i="89"/>
  <c r="K465" i="89" s="1"/>
  <c r="J466" i="89"/>
  <c r="K466" i="89" s="1"/>
  <c r="J467" i="89"/>
  <c r="K467" i="89" s="1"/>
  <c r="J468" i="89"/>
  <c r="K468" i="89" s="1"/>
  <c r="J469" i="89"/>
  <c r="K469" i="89" s="1"/>
  <c r="J470" i="89"/>
  <c r="K470" i="89" s="1"/>
  <c r="J471" i="89"/>
  <c r="K471" i="89" s="1"/>
  <c r="J472" i="89"/>
  <c r="K472" i="89" s="1"/>
  <c r="J473" i="89"/>
  <c r="K473" i="89" s="1"/>
  <c r="J474" i="89"/>
  <c r="K474" i="89" s="1"/>
  <c r="J475" i="89"/>
  <c r="K475" i="89" s="1"/>
  <c r="J476" i="89"/>
  <c r="K476" i="89" s="1"/>
  <c r="J477" i="89"/>
  <c r="K477" i="89" s="1"/>
  <c r="J478" i="89"/>
  <c r="K478" i="89" s="1"/>
  <c r="J479" i="89"/>
  <c r="K479" i="89" s="1"/>
  <c r="J480" i="89"/>
  <c r="K480" i="89" s="1"/>
  <c r="J481" i="89"/>
  <c r="K481" i="89" s="1"/>
  <c r="J482" i="89"/>
  <c r="K482" i="89" s="1"/>
  <c r="J483" i="89"/>
  <c r="K483" i="89" s="1"/>
  <c r="J484" i="89"/>
  <c r="K484" i="89" s="1"/>
  <c r="J485" i="89"/>
  <c r="K485" i="89" s="1"/>
  <c r="J486" i="89"/>
  <c r="K486" i="89" s="1"/>
  <c r="J487" i="89"/>
  <c r="K487" i="89" s="1"/>
  <c r="J488" i="89"/>
  <c r="K488" i="89" s="1"/>
  <c r="J489" i="89"/>
  <c r="K489" i="89" s="1"/>
  <c r="J490" i="89"/>
  <c r="K490" i="89" s="1"/>
  <c r="J491" i="89"/>
  <c r="K491" i="89" s="1"/>
  <c r="J492" i="89"/>
  <c r="K492" i="89" s="1"/>
  <c r="J493" i="89"/>
  <c r="K493" i="89" s="1"/>
  <c r="J494" i="89"/>
  <c r="K494" i="89" s="1"/>
  <c r="J495" i="89"/>
  <c r="K495" i="89" s="1"/>
  <c r="J496" i="89"/>
  <c r="K496" i="89" s="1"/>
  <c r="J497" i="89"/>
  <c r="K497" i="89" s="1"/>
  <c r="J498" i="89"/>
  <c r="K498" i="89" s="1"/>
  <c r="J499" i="89"/>
  <c r="K499" i="89" s="1"/>
  <c r="J500" i="89"/>
  <c r="K500" i="89" s="1"/>
  <c r="J501" i="89"/>
  <c r="K501" i="89" s="1"/>
  <c r="J502" i="89"/>
  <c r="K502" i="89" s="1"/>
  <c r="J503" i="89"/>
  <c r="K503" i="89" s="1"/>
  <c r="J504" i="89"/>
  <c r="K504" i="89" s="1"/>
  <c r="J505" i="89"/>
  <c r="K505" i="89" s="1"/>
  <c r="J506" i="89"/>
  <c r="K506" i="89" s="1"/>
  <c r="J507" i="89"/>
  <c r="K507" i="89" s="1"/>
  <c r="J508" i="89"/>
  <c r="K508" i="89" s="1"/>
  <c r="J509" i="89"/>
  <c r="K509" i="89" s="1"/>
  <c r="J510" i="89"/>
  <c r="K510" i="89" s="1"/>
  <c r="J511" i="89"/>
  <c r="K511" i="89" s="1"/>
  <c r="J512" i="89"/>
  <c r="K512" i="89" s="1"/>
  <c r="J513" i="89"/>
  <c r="K513" i="89" s="1"/>
  <c r="J514" i="89"/>
  <c r="K514" i="89" s="1"/>
  <c r="J515" i="89"/>
  <c r="K515" i="89" s="1"/>
  <c r="J516" i="89"/>
  <c r="K516" i="89" s="1"/>
  <c r="J517" i="89"/>
  <c r="K517" i="89" s="1"/>
  <c r="J518" i="89"/>
  <c r="K518" i="89" s="1"/>
  <c r="J519" i="89"/>
  <c r="K519" i="89" s="1"/>
  <c r="J520" i="89"/>
  <c r="K520" i="89" s="1"/>
  <c r="J521" i="89"/>
  <c r="K521" i="89" s="1"/>
  <c r="J522" i="89"/>
  <c r="K522" i="89" s="1"/>
  <c r="J523" i="89"/>
  <c r="K523" i="89" s="1"/>
  <c r="J524" i="89"/>
  <c r="K524" i="89" s="1"/>
  <c r="J525" i="89"/>
  <c r="K525" i="89" s="1"/>
  <c r="J526" i="89"/>
  <c r="K526" i="89" s="1"/>
  <c r="J527" i="89"/>
  <c r="K527" i="89" s="1"/>
  <c r="J528" i="89"/>
  <c r="K528" i="89" s="1"/>
  <c r="J529" i="89"/>
  <c r="K529" i="89" s="1"/>
  <c r="J530" i="89"/>
  <c r="K530" i="89" s="1"/>
  <c r="J531" i="89"/>
  <c r="K531" i="89" s="1"/>
  <c r="J532" i="89"/>
  <c r="K532" i="89" s="1"/>
  <c r="J533" i="89"/>
  <c r="K533" i="89" s="1"/>
  <c r="J534" i="89"/>
  <c r="K534" i="89" s="1"/>
  <c r="J535" i="89"/>
  <c r="K535" i="89" s="1"/>
  <c r="J536" i="89"/>
  <c r="K536" i="89" s="1"/>
  <c r="J537" i="89"/>
  <c r="K537" i="89" s="1"/>
  <c r="J538" i="89"/>
  <c r="K538" i="89" s="1"/>
  <c r="J539" i="89"/>
  <c r="K539" i="89" s="1"/>
  <c r="J540" i="89"/>
  <c r="K540" i="89" s="1"/>
  <c r="J541" i="89"/>
  <c r="K541" i="89" s="1"/>
  <c r="J542" i="89"/>
  <c r="K542" i="89" s="1"/>
  <c r="J543" i="89"/>
  <c r="K543" i="89" s="1"/>
  <c r="J544" i="89"/>
  <c r="K544" i="89" s="1"/>
  <c r="J545" i="89"/>
  <c r="K545" i="89" s="1"/>
  <c r="J546" i="89"/>
  <c r="K546" i="89" s="1"/>
  <c r="J547" i="89"/>
  <c r="K547" i="89" s="1"/>
  <c r="J548" i="89"/>
  <c r="K548" i="89" s="1"/>
  <c r="J549" i="89"/>
  <c r="K549" i="89" s="1"/>
  <c r="J550" i="89"/>
  <c r="K550" i="89" s="1"/>
  <c r="J551" i="89"/>
  <c r="K551" i="89" s="1"/>
  <c r="J552" i="89"/>
  <c r="K552" i="89" s="1"/>
  <c r="J553" i="89"/>
  <c r="K553" i="89" s="1"/>
  <c r="J554" i="89"/>
  <c r="K554" i="89" s="1"/>
  <c r="J555" i="89"/>
  <c r="K555" i="89" s="1"/>
  <c r="J556" i="89"/>
  <c r="K556" i="89" s="1"/>
  <c r="J557" i="89"/>
  <c r="K557" i="89" s="1"/>
  <c r="J558" i="89"/>
  <c r="K558" i="89" s="1"/>
  <c r="J559" i="89"/>
  <c r="K559" i="89" s="1"/>
  <c r="J560" i="89"/>
  <c r="K560" i="89" s="1"/>
  <c r="J561" i="89"/>
  <c r="K561" i="89" s="1"/>
  <c r="J562" i="89"/>
  <c r="K562" i="89" s="1"/>
  <c r="J563" i="89"/>
  <c r="K563" i="89" s="1"/>
  <c r="J564" i="89"/>
  <c r="K564" i="89" s="1"/>
  <c r="J565" i="89"/>
  <c r="K565" i="89" s="1"/>
  <c r="J566" i="89"/>
  <c r="K566" i="89" s="1"/>
  <c r="J567" i="89"/>
  <c r="K567" i="89" s="1"/>
  <c r="J568" i="89"/>
  <c r="K568" i="89" s="1"/>
  <c r="J569" i="89"/>
  <c r="K569" i="89" s="1"/>
  <c r="J570" i="89"/>
  <c r="K570" i="89" s="1"/>
  <c r="J571" i="89"/>
  <c r="K571" i="89" s="1"/>
  <c r="J572" i="89"/>
  <c r="K572" i="89" s="1"/>
  <c r="J573" i="89"/>
  <c r="K573" i="89" s="1"/>
  <c r="J574" i="89"/>
  <c r="K574" i="89" s="1"/>
  <c r="J575" i="89"/>
  <c r="K575" i="89" s="1"/>
  <c r="J576" i="89"/>
  <c r="K576" i="89" s="1"/>
  <c r="J577" i="89"/>
  <c r="K577" i="89" s="1"/>
  <c r="J578" i="89"/>
  <c r="K578" i="89" s="1"/>
  <c r="J579" i="89"/>
  <c r="K579" i="89" s="1"/>
  <c r="J580" i="89"/>
  <c r="K580" i="89" s="1"/>
  <c r="J581" i="89"/>
  <c r="K581" i="89" s="1"/>
  <c r="J582" i="89"/>
  <c r="K582" i="89" s="1"/>
  <c r="J583" i="89"/>
  <c r="K583" i="89" s="1"/>
  <c r="J584" i="89"/>
  <c r="K584" i="89" s="1"/>
  <c r="J585" i="89"/>
  <c r="K585" i="89" s="1"/>
  <c r="J586" i="89"/>
  <c r="K586" i="89" s="1"/>
  <c r="J587" i="89"/>
  <c r="K587" i="89" s="1"/>
  <c r="J588" i="89"/>
  <c r="K588" i="89" s="1"/>
  <c r="J589" i="89"/>
  <c r="K589" i="89" s="1"/>
  <c r="J590" i="89"/>
  <c r="K590" i="89" s="1"/>
  <c r="J591" i="89"/>
  <c r="K591" i="89" s="1"/>
  <c r="J592" i="89"/>
  <c r="K592" i="89" s="1"/>
  <c r="J593" i="89"/>
  <c r="K593" i="89" s="1"/>
  <c r="J594" i="89"/>
  <c r="K594" i="89" s="1"/>
  <c r="J595" i="89"/>
  <c r="K595" i="89" s="1"/>
  <c r="J596" i="89"/>
  <c r="K596" i="89" s="1"/>
  <c r="J597" i="89"/>
  <c r="K597" i="89" s="1"/>
  <c r="J598" i="89"/>
  <c r="K598" i="89" s="1"/>
  <c r="J599" i="89"/>
  <c r="K599" i="89" s="1"/>
  <c r="J600" i="89"/>
  <c r="K600" i="89" s="1"/>
  <c r="J601" i="89"/>
  <c r="K601" i="89" s="1"/>
  <c r="J602" i="89"/>
  <c r="K602" i="89" s="1"/>
  <c r="J603" i="89"/>
  <c r="K603" i="89" s="1"/>
  <c r="J604" i="89"/>
  <c r="K604" i="89" s="1"/>
  <c r="J605" i="89"/>
  <c r="K605" i="89" s="1"/>
  <c r="J606" i="89"/>
  <c r="K606" i="89" s="1"/>
  <c r="J607" i="89"/>
  <c r="K607" i="89" s="1"/>
  <c r="J608" i="89"/>
  <c r="K608" i="89" s="1"/>
  <c r="J609" i="89"/>
  <c r="K609" i="89" s="1"/>
  <c r="J610" i="89"/>
  <c r="K610" i="89" s="1"/>
  <c r="J611" i="89"/>
  <c r="K611" i="89" s="1"/>
  <c r="J612" i="89"/>
  <c r="K612" i="89" s="1"/>
  <c r="J613" i="89"/>
  <c r="K613" i="89" s="1"/>
  <c r="J614" i="89"/>
  <c r="K614" i="89" s="1"/>
  <c r="J615" i="89"/>
  <c r="K615" i="89" s="1"/>
  <c r="J616" i="89"/>
  <c r="K616" i="89" s="1"/>
  <c r="J617" i="89"/>
  <c r="K617" i="89" s="1"/>
  <c r="J618" i="89"/>
  <c r="K618" i="89" s="1"/>
  <c r="J619" i="89"/>
  <c r="K619" i="89" s="1"/>
  <c r="J620" i="89"/>
  <c r="K620" i="89" s="1"/>
  <c r="J621" i="89"/>
  <c r="K621" i="89" s="1"/>
  <c r="J622" i="89"/>
  <c r="K622" i="89" s="1"/>
  <c r="J623" i="89"/>
  <c r="K623" i="89" s="1"/>
  <c r="J624" i="89"/>
  <c r="K624" i="89" s="1"/>
  <c r="J625" i="89"/>
  <c r="K625" i="89" s="1"/>
  <c r="J626" i="89"/>
  <c r="K626" i="89" s="1"/>
  <c r="J627" i="89"/>
  <c r="K627" i="89" s="1"/>
  <c r="J628" i="89"/>
  <c r="K628" i="89" s="1"/>
  <c r="J629" i="89"/>
  <c r="K629" i="89" s="1"/>
  <c r="J630" i="89"/>
  <c r="K630" i="89" s="1"/>
  <c r="J631" i="89"/>
  <c r="K631" i="89" s="1"/>
  <c r="J632" i="89"/>
  <c r="K632" i="89" s="1"/>
  <c r="J633" i="89"/>
  <c r="K633" i="89" s="1"/>
  <c r="J634" i="89"/>
  <c r="K634" i="89" s="1"/>
  <c r="J635" i="89"/>
  <c r="K635" i="89" s="1"/>
  <c r="J636" i="89"/>
  <c r="K636" i="89" s="1"/>
  <c r="J637" i="89"/>
  <c r="K637" i="89" s="1"/>
  <c r="J638" i="89"/>
  <c r="K638" i="89" s="1"/>
  <c r="J639" i="89"/>
  <c r="K639" i="89" s="1"/>
  <c r="J640" i="89"/>
  <c r="K640" i="89" s="1"/>
  <c r="J641" i="89"/>
  <c r="K641" i="89" s="1"/>
  <c r="J642" i="89"/>
  <c r="K642" i="89" s="1"/>
  <c r="J643" i="89"/>
  <c r="K643" i="89" s="1"/>
  <c r="J644" i="89"/>
  <c r="K644" i="89" s="1"/>
  <c r="J645" i="89"/>
  <c r="K645" i="89" s="1"/>
  <c r="J646" i="89"/>
  <c r="K646" i="89" s="1"/>
  <c r="J647" i="89"/>
  <c r="K647" i="89" s="1"/>
  <c r="J648" i="89"/>
  <c r="K648" i="89" s="1"/>
  <c r="J649" i="89"/>
  <c r="K649" i="89" s="1"/>
  <c r="J650" i="89"/>
  <c r="K650" i="89" s="1"/>
  <c r="J651" i="89"/>
  <c r="K651" i="89" s="1"/>
  <c r="J652" i="89"/>
  <c r="K652" i="89" s="1"/>
  <c r="J653" i="89"/>
  <c r="K653" i="89" s="1"/>
  <c r="J654" i="89"/>
  <c r="K654" i="89" s="1"/>
  <c r="J655" i="89"/>
  <c r="K655" i="89" s="1"/>
  <c r="J656" i="89"/>
  <c r="K656" i="89" s="1"/>
  <c r="J657" i="89"/>
  <c r="K657" i="89" s="1"/>
  <c r="J658" i="89"/>
  <c r="K658" i="89" s="1"/>
  <c r="J659" i="89"/>
  <c r="K659" i="89" s="1"/>
  <c r="J660" i="89"/>
  <c r="K660" i="89" s="1"/>
  <c r="J661" i="89"/>
  <c r="K661" i="89" s="1"/>
  <c r="J662" i="89"/>
  <c r="K662" i="89" s="1"/>
  <c r="J663" i="89"/>
  <c r="K663" i="89" s="1"/>
  <c r="J664" i="89"/>
  <c r="K664" i="89" s="1"/>
  <c r="J665" i="89"/>
  <c r="K665" i="89" s="1"/>
  <c r="J666" i="89"/>
  <c r="K666" i="89" s="1"/>
  <c r="J667" i="89"/>
  <c r="K667" i="89" s="1"/>
  <c r="J668" i="89"/>
  <c r="K668" i="89" s="1"/>
  <c r="J669" i="89"/>
  <c r="K669" i="89" s="1"/>
  <c r="J670" i="89"/>
  <c r="K670" i="89" s="1"/>
  <c r="J671" i="89"/>
  <c r="K671" i="89" s="1"/>
  <c r="J672" i="89"/>
  <c r="K672" i="89" s="1"/>
  <c r="J673" i="89"/>
  <c r="K673" i="89" s="1"/>
  <c r="J674" i="89"/>
  <c r="K674" i="89" s="1"/>
  <c r="J675" i="89"/>
  <c r="K675" i="89" s="1"/>
  <c r="J676" i="89"/>
  <c r="K676" i="89" s="1"/>
  <c r="J677" i="89"/>
  <c r="K677" i="89" s="1"/>
  <c r="J678" i="89"/>
  <c r="K678" i="89" s="1"/>
  <c r="J679" i="89"/>
  <c r="K679" i="89" s="1"/>
  <c r="J680" i="89"/>
  <c r="K680" i="89" s="1"/>
  <c r="J681" i="89"/>
  <c r="K681" i="89" s="1"/>
  <c r="J682" i="89"/>
  <c r="K682" i="89" s="1"/>
  <c r="J683" i="89"/>
  <c r="K683" i="89" s="1"/>
  <c r="J684" i="89"/>
  <c r="K684" i="89" s="1"/>
  <c r="J685" i="89"/>
  <c r="K685" i="89" s="1"/>
  <c r="J686" i="89"/>
  <c r="K686" i="89" s="1"/>
  <c r="J687" i="89"/>
  <c r="K687" i="89" s="1"/>
  <c r="J688" i="89"/>
  <c r="K688" i="89" s="1"/>
  <c r="J689" i="89"/>
  <c r="K689" i="89" s="1"/>
  <c r="J690" i="89"/>
  <c r="K690" i="89" s="1"/>
  <c r="J691" i="89"/>
  <c r="K691" i="89" s="1"/>
  <c r="J692" i="89"/>
  <c r="K692" i="89" s="1"/>
  <c r="J693" i="89"/>
  <c r="K693" i="89" s="1"/>
  <c r="J694" i="89"/>
  <c r="K694" i="89" s="1"/>
  <c r="J695" i="89"/>
  <c r="K695" i="89" s="1"/>
  <c r="J696" i="89"/>
  <c r="K696" i="89" s="1"/>
  <c r="J697" i="89"/>
  <c r="K697" i="89" s="1"/>
  <c r="J698" i="89"/>
  <c r="K698" i="89" s="1"/>
  <c r="J699" i="89"/>
  <c r="K699" i="89" s="1"/>
  <c r="J700" i="89"/>
  <c r="K700" i="89" s="1"/>
  <c r="J701" i="89"/>
  <c r="K701" i="89" s="1"/>
  <c r="J702" i="89"/>
  <c r="K702" i="89" s="1"/>
  <c r="J703" i="89"/>
  <c r="K703" i="89" s="1"/>
  <c r="J704" i="89"/>
  <c r="K704" i="89" s="1"/>
  <c r="J705" i="89"/>
  <c r="K705" i="89" s="1"/>
  <c r="J706" i="89"/>
  <c r="K706" i="89" s="1"/>
  <c r="J707" i="89"/>
  <c r="K707" i="89" s="1"/>
  <c r="J708" i="89"/>
  <c r="K708" i="89" s="1"/>
  <c r="J709" i="89"/>
  <c r="K709" i="89" s="1"/>
  <c r="J710" i="89"/>
  <c r="K710" i="89" s="1"/>
  <c r="J711" i="89"/>
  <c r="K711" i="89" s="1"/>
  <c r="J712" i="89"/>
  <c r="K712" i="89" s="1"/>
  <c r="J713" i="89"/>
  <c r="K713" i="89" s="1"/>
  <c r="J714" i="89"/>
  <c r="K714" i="89" s="1"/>
  <c r="J715" i="89"/>
  <c r="K715" i="89" s="1"/>
  <c r="J716" i="89"/>
  <c r="K716" i="89" s="1"/>
  <c r="J717" i="89"/>
  <c r="K717" i="89" s="1"/>
  <c r="J718" i="89"/>
  <c r="K718" i="89" s="1"/>
  <c r="J719" i="89"/>
  <c r="K719" i="89" s="1"/>
  <c r="J720" i="89"/>
  <c r="K720" i="89" s="1"/>
  <c r="J721" i="89"/>
  <c r="K721" i="89" s="1"/>
  <c r="J722" i="89"/>
  <c r="K722" i="89" s="1"/>
  <c r="J723" i="89"/>
  <c r="K723" i="89" s="1"/>
  <c r="J724" i="89"/>
  <c r="K724" i="89" s="1"/>
  <c r="J725" i="89"/>
  <c r="K725" i="89" s="1"/>
  <c r="J726" i="89"/>
  <c r="K726" i="89" s="1"/>
  <c r="J727" i="89"/>
  <c r="K727" i="89" s="1"/>
  <c r="J728" i="89"/>
  <c r="K728" i="89" s="1"/>
  <c r="J729" i="89"/>
  <c r="K729" i="89" s="1"/>
  <c r="J730" i="89"/>
  <c r="K730" i="89" s="1"/>
  <c r="J731" i="89"/>
  <c r="K731" i="89" s="1"/>
  <c r="J732" i="89"/>
  <c r="K732" i="89" s="1"/>
  <c r="J733" i="89"/>
  <c r="K733" i="89" s="1"/>
  <c r="J734" i="89"/>
  <c r="K734" i="89" s="1"/>
  <c r="J735" i="89"/>
  <c r="K735" i="89" s="1"/>
  <c r="J736" i="89"/>
  <c r="K736" i="89" s="1"/>
  <c r="J737" i="89"/>
  <c r="K737" i="89" s="1"/>
  <c r="J738" i="89"/>
  <c r="K738" i="89" s="1"/>
  <c r="J739" i="89"/>
  <c r="K739" i="89" s="1"/>
  <c r="J740" i="89"/>
  <c r="K740" i="89" s="1"/>
  <c r="J741" i="89"/>
  <c r="K741" i="89" s="1"/>
  <c r="J742" i="89"/>
  <c r="K742" i="89" s="1"/>
  <c r="J743" i="89"/>
  <c r="K743" i="89" s="1"/>
  <c r="J744" i="89"/>
  <c r="K744" i="89" s="1"/>
  <c r="J745" i="89"/>
  <c r="K745" i="89" s="1"/>
  <c r="J746" i="89"/>
  <c r="K746" i="89" s="1"/>
  <c r="J747" i="89"/>
  <c r="K747" i="89" s="1"/>
  <c r="J748" i="89"/>
  <c r="K748" i="89" s="1"/>
  <c r="J749" i="89"/>
  <c r="K749" i="89" s="1"/>
  <c r="J750" i="89"/>
  <c r="K750" i="89" s="1"/>
  <c r="J751" i="89"/>
  <c r="K751" i="89" s="1"/>
  <c r="J752" i="89"/>
  <c r="K752" i="89" s="1"/>
  <c r="J753" i="89"/>
  <c r="K753" i="89" s="1"/>
  <c r="J754" i="89"/>
  <c r="K754" i="89" s="1"/>
  <c r="J755" i="89"/>
  <c r="K755" i="89" s="1"/>
  <c r="J756" i="89"/>
  <c r="K756" i="89" s="1"/>
  <c r="J757" i="89"/>
  <c r="K757" i="89" s="1"/>
  <c r="J758" i="89"/>
  <c r="K758" i="89" s="1"/>
  <c r="J759" i="89"/>
  <c r="K759" i="89" s="1"/>
  <c r="J760" i="89"/>
  <c r="K760" i="89" s="1"/>
  <c r="J761" i="89"/>
  <c r="K761" i="89" s="1"/>
  <c r="J762" i="89"/>
  <c r="K762" i="89" s="1"/>
  <c r="J763" i="89"/>
  <c r="K763" i="89" s="1"/>
  <c r="J764" i="89"/>
  <c r="K764" i="89" s="1"/>
  <c r="J765" i="89"/>
  <c r="K765" i="89" s="1"/>
  <c r="J766" i="89"/>
  <c r="K766" i="89" s="1"/>
  <c r="J767" i="89"/>
  <c r="K767" i="89" s="1"/>
  <c r="J768" i="89"/>
  <c r="K768" i="89" s="1"/>
  <c r="J769" i="89"/>
  <c r="K769" i="89" s="1"/>
  <c r="J770" i="89"/>
  <c r="K770" i="89" s="1"/>
  <c r="J771" i="89"/>
  <c r="K771" i="89" s="1"/>
  <c r="J772" i="89"/>
  <c r="K772" i="89" s="1"/>
  <c r="J773" i="89"/>
  <c r="K773" i="89" s="1"/>
  <c r="J774" i="89"/>
  <c r="K774" i="89" s="1"/>
  <c r="J775" i="89"/>
  <c r="K775" i="89" s="1"/>
  <c r="J776" i="89"/>
  <c r="K776" i="89" s="1"/>
  <c r="J777" i="89"/>
  <c r="K777" i="89" s="1"/>
  <c r="J778" i="89"/>
  <c r="K778" i="89" s="1"/>
  <c r="J779" i="89"/>
  <c r="K779" i="89" s="1"/>
  <c r="J780" i="89"/>
  <c r="K780" i="89" s="1"/>
  <c r="J781" i="89"/>
  <c r="K781" i="89" s="1"/>
  <c r="J782" i="89"/>
  <c r="K782" i="89" s="1"/>
  <c r="J783" i="89"/>
  <c r="K783" i="89" s="1"/>
  <c r="J784" i="89"/>
  <c r="K784" i="89" s="1"/>
  <c r="J785" i="89"/>
  <c r="K785" i="89" s="1"/>
  <c r="J786" i="89"/>
  <c r="K786" i="89" s="1"/>
  <c r="J787" i="89"/>
  <c r="K787" i="89" s="1"/>
  <c r="J788" i="89"/>
  <c r="K788" i="89" s="1"/>
  <c r="J789" i="89"/>
  <c r="K789" i="89" s="1"/>
  <c r="J790" i="89"/>
  <c r="K790" i="89" s="1"/>
  <c r="J791" i="89"/>
  <c r="K791" i="89" s="1"/>
  <c r="J792" i="89"/>
  <c r="K792" i="89" s="1"/>
  <c r="J793" i="89"/>
  <c r="K793" i="89" s="1"/>
  <c r="J794" i="89"/>
  <c r="K794" i="89" s="1"/>
  <c r="J795" i="89"/>
  <c r="K795" i="89" s="1"/>
  <c r="J796" i="89"/>
  <c r="K796" i="89" s="1"/>
  <c r="J797" i="89"/>
  <c r="K797" i="89" s="1"/>
  <c r="J798" i="89"/>
  <c r="K798" i="89" s="1"/>
  <c r="J799" i="89"/>
  <c r="K799" i="89" s="1"/>
  <c r="J800" i="89"/>
  <c r="K800" i="89" s="1"/>
  <c r="J801" i="89"/>
  <c r="K801" i="89" s="1"/>
  <c r="J802" i="89"/>
  <c r="K802" i="89" s="1"/>
  <c r="J803" i="89"/>
  <c r="K803" i="89" s="1"/>
  <c r="J804" i="89"/>
  <c r="K804" i="89" s="1"/>
  <c r="J805" i="89"/>
  <c r="K805" i="89" s="1"/>
  <c r="J806" i="89"/>
  <c r="K806" i="89" s="1"/>
  <c r="J807" i="89"/>
  <c r="K807" i="89" s="1"/>
  <c r="J808" i="89"/>
  <c r="K808" i="89" s="1"/>
  <c r="J809" i="89"/>
  <c r="K809" i="89" s="1"/>
  <c r="J810" i="89"/>
  <c r="K810" i="89" s="1"/>
  <c r="J811" i="89"/>
  <c r="K811" i="89" s="1"/>
  <c r="J812" i="89"/>
  <c r="K812" i="89" s="1"/>
  <c r="J813" i="89"/>
  <c r="K813" i="89" s="1"/>
  <c r="J814" i="89"/>
  <c r="K814" i="89" s="1"/>
  <c r="J815" i="89"/>
  <c r="K815" i="89" s="1"/>
  <c r="J816" i="89"/>
  <c r="K816" i="89" s="1"/>
  <c r="J817" i="89"/>
  <c r="K817" i="89" s="1"/>
  <c r="J818" i="89"/>
  <c r="K818" i="89" s="1"/>
  <c r="J819" i="89"/>
  <c r="K819" i="89" s="1"/>
  <c r="J820" i="89"/>
  <c r="K820" i="89" s="1"/>
  <c r="J821" i="89"/>
  <c r="K821" i="89" s="1"/>
  <c r="J822" i="89"/>
  <c r="K822" i="89" s="1"/>
  <c r="J823" i="89"/>
  <c r="K823" i="89" s="1"/>
  <c r="J824" i="89"/>
  <c r="K824" i="89" s="1"/>
  <c r="J825" i="89"/>
  <c r="K825" i="89" s="1"/>
  <c r="J826" i="89"/>
  <c r="K826" i="89" s="1"/>
  <c r="J827" i="89"/>
  <c r="K827" i="89" s="1"/>
  <c r="J828" i="89"/>
  <c r="K828" i="89" s="1"/>
  <c r="J829" i="89"/>
  <c r="K829" i="89" s="1"/>
  <c r="J830" i="89"/>
  <c r="K830" i="89" s="1"/>
  <c r="J831" i="89"/>
  <c r="K831" i="89" s="1"/>
  <c r="J832" i="89"/>
  <c r="K832" i="89" s="1"/>
  <c r="J833" i="89"/>
  <c r="K833" i="89" s="1"/>
  <c r="J834" i="89"/>
  <c r="K834" i="89" s="1"/>
  <c r="J835" i="89"/>
  <c r="K835" i="89" s="1"/>
  <c r="J836" i="89"/>
  <c r="K836" i="89" s="1"/>
  <c r="J837" i="89"/>
  <c r="K837" i="89" s="1"/>
  <c r="J838" i="89"/>
  <c r="K838" i="89" s="1"/>
  <c r="J839" i="89"/>
  <c r="K839" i="89" s="1"/>
  <c r="J840" i="89"/>
  <c r="K840" i="89" s="1"/>
  <c r="J841" i="89"/>
  <c r="K841" i="89" s="1"/>
  <c r="J842" i="89"/>
  <c r="K842" i="89" s="1"/>
  <c r="J843" i="89"/>
  <c r="K843" i="89" s="1"/>
  <c r="J844" i="89"/>
  <c r="K844" i="89" s="1"/>
  <c r="J845" i="89"/>
  <c r="K845" i="89" s="1"/>
  <c r="J846" i="89"/>
  <c r="K846" i="89" s="1"/>
  <c r="J847" i="89"/>
  <c r="K847" i="89" s="1"/>
  <c r="J848" i="89"/>
  <c r="K848" i="89" s="1"/>
  <c r="J849" i="89"/>
  <c r="K849" i="89" s="1"/>
  <c r="J850" i="89"/>
  <c r="K850" i="89" s="1"/>
  <c r="J851" i="89"/>
  <c r="K851" i="89" s="1"/>
  <c r="J852" i="89"/>
  <c r="K852" i="89" s="1"/>
  <c r="J853" i="89"/>
  <c r="K853" i="89" s="1"/>
  <c r="J854" i="89"/>
  <c r="K854" i="89" s="1"/>
  <c r="J855" i="89"/>
  <c r="K855" i="89" s="1"/>
  <c r="J856" i="89"/>
  <c r="K856" i="89" s="1"/>
  <c r="J857" i="89"/>
  <c r="K857" i="89" s="1"/>
  <c r="J858" i="89"/>
  <c r="K858" i="89" s="1"/>
  <c r="J859" i="89"/>
  <c r="K859" i="89" s="1"/>
  <c r="J860" i="89"/>
  <c r="K860" i="89" s="1"/>
  <c r="J861" i="89"/>
  <c r="K861" i="89" s="1"/>
  <c r="J862" i="89"/>
  <c r="K862" i="89" s="1"/>
  <c r="J863" i="89"/>
  <c r="K863" i="89" s="1"/>
  <c r="J864" i="89"/>
  <c r="K864" i="89" s="1"/>
  <c r="J865" i="89"/>
  <c r="K865" i="89" s="1"/>
  <c r="J866" i="89"/>
  <c r="K866" i="89" s="1"/>
  <c r="J867" i="89"/>
  <c r="K867" i="89" s="1"/>
  <c r="J868" i="89"/>
  <c r="K868" i="89" s="1"/>
  <c r="J869" i="89"/>
  <c r="K869" i="89" s="1"/>
  <c r="J870" i="89"/>
  <c r="K870" i="89" s="1"/>
  <c r="J871" i="89"/>
  <c r="K871" i="89" s="1"/>
  <c r="J872" i="89"/>
  <c r="K872" i="89" s="1"/>
  <c r="J873" i="89"/>
  <c r="K873" i="89" s="1"/>
  <c r="J874" i="89"/>
  <c r="K874" i="89" s="1"/>
  <c r="J875" i="89"/>
  <c r="K875" i="89" s="1"/>
  <c r="J876" i="89"/>
  <c r="K876" i="89" s="1"/>
  <c r="J877" i="89"/>
  <c r="K877" i="89" s="1"/>
  <c r="J878" i="89"/>
  <c r="K878" i="89" s="1"/>
  <c r="J879" i="89"/>
  <c r="K879" i="89" s="1"/>
  <c r="J880" i="89"/>
  <c r="K880" i="89" s="1"/>
  <c r="J881" i="89"/>
  <c r="K881" i="89" s="1"/>
  <c r="J882" i="89"/>
  <c r="K882" i="89" s="1"/>
  <c r="J883" i="89"/>
  <c r="K883" i="89" s="1"/>
  <c r="J884" i="89"/>
  <c r="K884" i="89" s="1"/>
  <c r="J885" i="89"/>
  <c r="K885" i="89" s="1"/>
  <c r="J886" i="89"/>
  <c r="K886" i="89" s="1"/>
  <c r="J887" i="89"/>
  <c r="K887" i="89" s="1"/>
  <c r="J888" i="89"/>
  <c r="K888" i="89" s="1"/>
  <c r="J889" i="89"/>
  <c r="K889" i="89" s="1"/>
  <c r="J890" i="89"/>
  <c r="K890" i="89" s="1"/>
  <c r="J891" i="89"/>
  <c r="K891" i="89" s="1"/>
  <c r="J892" i="89"/>
  <c r="K892" i="89" s="1"/>
  <c r="J893" i="89"/>
  <c r="K893" i="89" s="1"/>
  <c r="J894" i="89"/>
  <c r="K894" i="89" s="1"/>
  <c r="J895" i="89"/>
  <c r="K895" i="89" s="1"/>
  <c r="J896" i="89"/>
  <c r="K896" i="89" s="1"/>
  <c r="J897" i="89"/>
  <c r="K897" i="89" s="1"/>
  <c r="J898" i="89"/>
  <c r="K898" i="89" s="1"/>
  <c r="J899" i="89"/>
  <c r="K899" i="89" s="1"/>
  <c r="J900" i="89"/>
  <c r="K900" i="89" s="1"/>
  <c r="J901" i="89"/>
  <c r="K901" i="89" s="1"/>
  <c r="J902" i="89"/>
  <c r="K902" i="89" s="1"/>
  <c r="J903" i="89"/>
  <c r="K903" i="89" s="1"/>
  <c r="J904" i="89"/>
  <c r="K904" i="89" s="1"/>
  <c r="J905" i="89"/>
  <c r="K905" i="89" s="1"/>
  <c r="J906" i="89"/>
  <c r="K906" i="89" s="1"/>
  <c r="J907" i="89"/>
  <c r="K907" i="89" s="1"/>
  <c r="J908" i="89"/>
  <c r="K908" i="89" s="1"/>
  <c r="J909" i="89"/>
  <c r="K909" i="89" s="1"/>
  <c r="J910" i="89"/>
  <c r="K910" i="89" s="1"/>
  <c r="J911" i="89"/>
  <c r="K911" i="89" s="1"/>
  <c r="J912" i="89"/>
  <c r="K912" i="89" s="1"/>
  <c r="J913" i="89"/>
  <c r="K913" i="89" s="1"/>
  <c r="J914" i="89"/>
  <c r="K914" i="89" s="1"/>
  <c r="J915" i="89"/>
  <c r="K915" i="89" s="1"/>
  <c r="J916" i="89"/>
  <c r="K916" i="89" s="1"/>
  <c r="J917" i="89"/>
  <c r="K917" i="89" s="1"/>
  <c r="J918" i="89"/>
  <c r="K918" i="89" s="1"/>
  <c r="J919" i="89"/>
  <c r="K919" i="89" s="1"/>
  <c r="J920" i="89"/>
  <c r="K920" i="89" s="1"/>
  <c r="J921" i="89"/>
  <c r="K921" i="89" s="1"/>
  <c r="J922" i="89"/>
  <c r="K922" i="89" s="1"/>
  <c r="J923" i="89"/>
  <c r="K923" i="89" s="1"/>
  <c r="J924" i="89"/>
  <c r="K924" i="89" s="1"/>
  <c r="J925" i="89"/>
  <c r="K925" i="89" s="1"/>
  <c r="J926" i="89"/>
  <c r="K926" i="89" s="1"/>
  <c r="J927" i="89"/>
  <c r="K927" i="89" s="1"/>
  <c r="J928" i="89"/>
  <c r="K928" i="89" s="1"/>
  <c r="J929" i="89"/>
  <c r="K929" i="89" s="1"/>
  <c r="J930" i="89"/>
  <c r="K930" i="89" s="1"/>
  <c r="J931" i="89"/>
  <c r="K931" i="89" s="1"/>
  <c r="J932" i="89"/>
  <c r="K932" i="89" s="1"/>
  <c r="J933" i="89"/>
  <c r="K933" i="89" s="1"/>
  <c r="J934" i="89"/>
  <c r="K934" i="89" s="1"/>
  <c r="J935" i="89"/>
  <c r="K935" i="89" s="1"/>
  <c r="J936" i="89"/>
  <c r="K936" i="89" s="1"/>
  <c r="J937" i="89"/>
  <c r="K937" i="89" s="1"/>
  <c r="J938" i="89"/>
  <c r="K938" i="89" s="1"/>
  <c r="J939" i="89"/>
  <c r="K939" i="89" s="1"/>
  <c r="J940" i="89"/>
  <c r="K940" i="89" s="1"/>
  <c r="J941" i="89"/>
  <c r="K941" i="89" s="1"/>
  <c r="J942" i="89"/>
  <c r="K942" i="89" s="1"/>
  <c r="J943" i="89"/>
  <c r="K943" i="89" s="1"/>
  <c r="J944" i="89"/>
  <c r="K944" i="89" s="1"/>
  <c r="J945" i="89"/>
  <c r="K945" i="89" s="1"/>
  <c r="J946" i="89"/>
  <c r="K946" i="89" s="1"/>
  <c r="J947" i="89"/>
  <c r="K947" i="89" s="1"/>
  <c r="J948" i="89"/>
  <c r="K948" i="89" s="1"/>
  <c r="J949" i="89"/>
  <c r="K949" i="89" s="1"/>
  <c r="J950" i="89"/>
  <c r="K950" i="89" s="1"/>
  <c r="J951" i="89"/>
  <c r="K951" i="89" s="1"/>
  <c r="J952" i="89"/>
  <c r="K952" i="89" s="1"/>
  <c r="J953" i="89"/>
  <c r="K953" i="89" s="1"/>
  <c r="J954" i="89"/>
  <c r="K954" i="89" s="1"/>
  <c r="J955" i="89"/>
  <c r="K955" i="89" s="1"/>
  <c r="J956" i="89"/>
  <c r="K956" i="89" s="1"/>
  <c r="J957" i="89"/>
  <c r="K957" i="89" s="1"/>
  <c r="J958" i="89"/>
  <c r="K958" i="89" s="1"/>
  <c r="J959" i="89"/>
  <c r="K959" i="89" s="1"/>
  <c r="J960" i="89"/>
  <c r="K960" i="89" s="1"/>
  <c r="J961" i="89"/>
  <c r="K961" i="89" s="1"/>
  <c r="J962" i="89"/>
  <c r="K962" i="89" s="1"/>
  <c r="J963" i="89"/>
  <c r="K963" i="89" s="1"/>
  <c r="J964" i="89"/>
  <c r="K964" i="89" s="1"/>
  <c r="J965" i="89"/>
  <c r="K965" i="89" s="1"/>
  <c r="J966" i="89"/>
  <c r="K966" i="89" s="1"/>
  <c r="J967" i="89"/>
  <c r="K967" i="89" s="1"/>
  <c r="J968" i="89"/>
  <c r="K968" i="89" s="1"/>
  <c r="J969" i="89"/>
  <c r="K969" i="89" s="1"/>
  <c r="J970" i="89"/>
  <c r="K970" i="89" s="1"/>
  <c r="J971" i="89"/>
  <c r="K971" i="89" s="1"/>
  <c r="J972" i="89"/>
  <c r="K972" i="89" s="1"/>
  <c r="J973" i="89"/>
  <c r="K973" i="89" s="1"/>
  <c r="J974" i="89"/>
  <c r="K974" i="89" s="1"/>
  <c r="J975" i="89"/>
  <c r="K975" i="89" s="1"/>
  <c r="J976" i="89"/>
  <c r="K976" i="89" s="1"/>
  <c r="J977" i="89"/>
  <c r="K977" i="89" s="1"/>
  <c r="J978" i="89"/>
  <c r="K978" i="89" s="1"/>
  <c r="J979" i="89"/>
  <c r="K979" i="89" s="1"/>
  <c r="J980" i="89"/>
  <c r="K980" i="89" s="1"/>
  <c r="J981" i="89"/>
  <c r="K981" i="89" s="1"/>
  <c r="J982" i="89"/>
  <c r="K982" i="89" s="1"/>
  <c r="J983" i="89"/>
  <c r="K983" i="89" s="1"/>
  <c r="J984" i="89"/>
  <c r="K984" i="89" s="1"/>
  <c r="J985" i="89"/>
  <c r="K985" i="89" s="1"/>
  <c r="J986" i="89"/>
  <c r="K986" i="89" s="1"/>
  <c r="J987" i="89"/>
  <c r="K987" i="89" s="1"/>
  <c r="J988" i="89"/>
  <c r="K988" i="89" s="1"/>
  <c r="J989" i="89"/>
  <c r="K989" i="89" s="1"/>
  <c r="J990" i="89"/>
  <c r="K990" i="89" s="1"/>
  <c r="J991" i="89"/>
  <c r="K991" i="89" s="1"/>
  <c r="J992" i="89"/>
  <c r="K992" i="89" s="1"/>
  <c r="J993" i="89"/>
  <c r="K993" i="89" s="1"/>
  <c r="J994" i="89"/>
  <c r="K994" i="89" s="1"/>
  <c r="J995" i="89"/>
  <c r="K995" i="89" s="1"/>
  <c r="J996" i="89"/>
  <c r="K996" i="89" s="1"/>
  <c r="J997" i="89"/>
  <c r="K997" i="89" s="1"/>
  <c r="J998" i="89"/>
  <c r="K998" i="89" s="1"/>
  <c r="J999" i="89"/>
  <c r="K999" i="89" s="1"/>
  <c r="J1000" i="89"/>
  <c r="K1000" i="89" s="1"/>
  <c r="J1001" i="89"/>
  <c r="K1001" i="89" s="1"/>
  <c r="J1002" i="89"/>
  <c r="K1002" i="89" s="1"/>
  <c r="J1003" i="89"/>
  <c r="K1003" i="89" s="1"/>
  <c r="J1004" i="89"/>
  <c r="K1004" i="89" s="1"/>
  <c r="J1005" i="89"/>
  <c r="K1005" i="89" s="1"/>
  <c r="J1006" i="89"/>
  <c r="K1006" i="89" s="1"/>
  <c r="J1007" i="89"/>
  <c r="K1007" i="89" s="1"/>
  <c r="J1008" i="89"/>
  <c r="K1008" i="89" s="1"/>
  <c r="J1009" i="89"/>
  <c r="K1009" i="89" s="1"/>
  <c r="J1010" i="89"/>
  <c r="K1010" i="89" s="1"/>
  <c r="J1011" i="89"/>
  <c r="K1011" i="89" s="1"/>
  <c r="J1012" i="89"/>
  <c r="K1012" i="89" s="1"/>
  <c r="J1013" i="89"/>
  <c r="K1013" i="89" s="1"/>
  <c r="J1014" i="89"/>
  <c r="K1014" i="89" s="1"/>
  <c r="J1015" i="89"/>
  <c r="K1015" i="89" s="1"/>
  <c r="J1016" i="89"/>
  <c r="K1016" i="89" s="1"/>
  <c r="J1017" i="89"/>
  <c r="K1017" i="89" s="1"/>
  <c r="J1018" i="89"/>
  <c r="K1018" i="89" s="1"/>
  <c r="J1019" i="89"/>
  <c r="K1019" i="89" s="1"/>
  <c r="J1020" i="89"/>
  <c r="K1020" i="89" s="1"/>
  <c r="J1021" i="89"/>
  <c r="K1021" i="89" s="1"/>
  <c r="J1022" i="89"/>
  <c r="K1022" i="89" s="1"/>
  <c r="J1023" i="89"/>
  <c r="K1023" i="89" s="1"/>
  <c r="J1024" i="89"/>
  <c r="K1024" i="89" s="1"/>
  <c r="J1025" i="89"/>
  <c r="K1025" i="89" s="1"/>
  <c r="J1026" i="89"/>
  <c r="K1026" i="89" s="1"/>
  <c r="J1027" i="89"/>
  <c r="K1027" i="89" s="1"/>
  <c r="J1028" i="89"/>
  <c r="K1028" i="89" s="1"/>
  <c r="J1029" i="89"/>
  <c r="K1029" i="89" s="1"/>
  <c r="J1030" i="89"/>
  <c r="K1030" i="89" s="1"/>
  <c r="J1031" i="89"/>
  <c r="K1031" i="89" s="1"/>
  <c r="J1032" i="89"/>
  <c r="K1032" i="89" s="1"/>
  <c r="J1033" i="89"/>
  <c r="K1033" i="89" s="1"/>
  <c r="J1034" i="89"/>
  <c r="K1034" i="89" s="1"/>
  <c r="J1035" i="89"/>
  <c r="K1035" i="89" s="1"/>
  <c r="J1036" i="89"/>
  <c r="K1036" i="89" s="1"/>
  <c r="J1037" i="89"/>
  <c r="K1037" i="89" s="1"/>
  <c r="J1038" i="89"/>
  <c r="K1038" i="89" s="1"/>
  <c r="J1039" i="89"/>
  <c r="K1039" i="89" s="1"/>
  <c r="J1040" i="89"/>
  <c r="K1040" i="89" s="1"/>
  <c r="J1041" i="89"/>
  <c r="K1041" i="89" s="1"/>
  <c r="J1042" i="89"/>
  <c r="K1042" i="89" s="1"/>
  <c r="J1043" i="89"/>
  <c r="K1043" i="89" s="1"/>
  <c r="J1044" i="89"/>
  <c r="K1044" i="89" s="1"/>
  <c r="J1045" i="89"/>
  <c r="K1045" i="89" s="1"/>
  <c r="J1046" i="89"/>
  <c r="K1046" i="89" s="1"/>
  <c r="J1047" i="89"/>
  <c r="K1047" i="89" s="1"/>
  <c r="J1048" i="89"/>
  <c r="K1048" i="89" s="1"/>
  <c r="J1049" i="89"/>
  <c r="K1049" i="89" s="1"/>
  <c r="J1050" i="89"/>
  <c r="K1050" i="89" s="1"/>
  <c r="J1051" i="89"/>
  <c r="K1051" i="89" s="1"/>
  <c r="J1052" i="89"/>
  <c r="K1052" i="89" s="1"/>
  <c r="J1053" i="89"/>
  <c r="K1053" i="89" s="1"/>
  <c r="J1054" i="89"/>
  <c r="K1054" i="89" s="1"/>
  <c r="J1055" i="89"/>
  <c r="K1055" i="89" s="1"/>
  <c r="J1056" i="89"/>
  <c r="K1056" i="89" s="1"/>
  <c r="J1057" i="89"/>
  <c r="K1057" i="89" s="1"/>
  <c r="J1058" i="89"/>
  <c r="K1058" i="89" s="1"/>
  <c r="J1059" i="89"/>
  <c r="K1059" i="89" s="1"/>
  <c r="J1060" i="89"/>
  <c r="K1060" i="89" s="1"/>
  <c r="J1061" i="89"/>
  <c r="K1061" i="89" s="1"/>
  <c r="J1062" i="89"/>
  <c r="K1062" i="89" s="1"/>
  <c r="J1063" i="89"/>
  <c r="K1063" i="89" s="1"/>
  <c r="J1064" i="89"/>
  <c r="K1064" i="89" s="1"/>
  <c r="J1065" i="89"/>
  <c r="K1065" i="89" s="1"/>
  <c r="J1066" i="89"/>
  <c r="K1066" i="89" s="1"/>
  <c r="J1067" i="89"/>
  <c r="K1067" i="89" s="1"/>
  <c r="J1068" i="89"/>
  <c r="K1068" i="89" s="1"/>
  <c r="J1069" i="89"/>
  <c r="K1069" i="89" s="1"/>
  <c r="J1070" i="89"/>
  <c r="K1070" i="89" s="1"/>
  <c r="J1071" i="89"/>
  <c r="K1071" i="89" s="1"/>
  <c r="J1072" i="89"/>
  <c r="K1072" i="89" s="1"/>
  <c r="J1073" i="89"/>
  <c r="K1073" i="89" s="1"/>
  <c r="J1074" i="89"/>
  <c r="K1074" i="89" s="1"/>
  <c r="J1075" i="89"/>
  <c r="K1075" i="89" s="1"/>
  <c r="J1076" i="89"/>
  <c r="K1076" i="89" s="1"/>
  <c r="J1077" i="89"/>
  <c r="K1077" i="89" s="1"/>
  <c r="J1078" i="89"/>
  <c r="K1078" i="89" s="1"/>
  <c r="J1079" i="89"/>
  <c r="K1079" i="89" s="1"/>
  <c r="J1080" i="89"/>
  <c r="K1080" i="89" s="1"/>
  <c r="J1081" i="89"/>
  <c r="K1081" i="89" s="1"/>
  <c r="J1082" i="89"/>
  <c r="K1082" i="89" s="1"/>
  <c r="J1083" i="89"/>
  <c r="K1083" i="89" s="1"/>
  <c r="J1084" i="89"/>
  <c r="K1084" i="89" s="1"/>
  <c r="J1085" i="89"/>
  <c r="K1085" i="89" s="1"/>
  <c r="J1086" i="89"/>
  <c r="K1086" i="89" s="1"/>
  <c r="J1087" i="89"/>
  <c r="K1087" i="89" s="1"/>
  <c r="J1088" i="89"/>
  <c r="K1088" i="89" s="1"/>
  <c r="J1089" i="89"/>
  <c r="K1089" i="89" s="1"/>
  <c r="J1090" i="89"/>
  <c r="K1090" i="89" s="1"/>
  <c r="J1091" i="89"/>
  <c r="K1091" i="89" s="1"/>
  <c r="J1092" i="89"/>
  <c r="K1092" i="89" s="1"/>
  <c r="J1093" i="89"/>
  <c r="K1093" i="89" s="1"/>
  <c r="J1094" i="89"/>
  <c r="K1094" i="89" s="1"/>
  <c r="J1095" i="89"/>
  <c r="K1095" i="89" s="1"/>
  <c r="J1096" i="89"/>
  <c r="K1096" i="89" s="1"/>
  <c r="J1097" i="89"/>
  <c r="K1097" i="89" s="1"/>
  <c r="J1098" i="89"/>
  <c r="K1098" i="89" s="1"/>
  <c r="J1099" i="89"/>
  <c r="K1099" i="89" s="1"/>
  <c r="D344" i="89"/>
  <c r="D345" i="89"/>
  <c r="D346" i="89"/>
  <c r="D347" i="89"/>
  <c r="D348" i="89"/>
  <c r="D349" i="89"/>
  <c r="D350" i="89"/>
  <c r="D351" i="89"/>
  <c r="D352" i="89"/>
  <c r="D353" i="89"/>
  <c r="D354" i="89"/>
  <c r="D355" i="89"/>
  <c r="D356" i="89"/>
  <c r="D357" i="89"/>
  <c r="D358" i="89"/>
  <c r="D359" i="89"/>
  <c r="D360" i="89"/>
  <c r="D361" i="89"/>
  <c r="D362" i="89"/>
  <c r="D363" i="89"/>
  <c r="D364" i="89"/>
  <c r="D365" i="89"/>
  <c r="D366" i="89"/>
  <c r="D367" i="89"/>
  <c r="D368" i="89"/>
  <c r="D369" i="89"/>
  <c r="D370" i="89"/>
  <c r="D371" i="89"/>
  <c r="D372" i="89"/>
  <c r="D373" i="89"/>
  <c r="D374" i="89"/>
  <c r="D375" i="89"/>
  <c r="D376" i="89"/>
  <c r="D377" i="89"/>
  <c r="D378" i="89"/>
  <c r="D379" i="89"/>
  <c r="D380" i="89"/>
  <c r="D381" i="89"/>
  <c r="D382" i="89"/>
  <c r="D383" i="89"/>
  <c r="D384" i="89"/>
  <c r="D385" i="89"/>
  <c r="D386" i="89"/>
  <c r="D387" i="89"/>
  <c r="D388" i="89"/>
  <c r="D389" i="89"/>
  <c r="D390" i="89"/>
  <c r="D391" i="89"/>
  <c r="D392" i="89"/>
  <c r="D393" i="89"/>
  <c r="D394" i="89"/>
  <c r="D395" i="89"/>
  <c r="D396" i="89"/>
  <c r="D397" i="89"/>
  <c r="D398" i="89"/>
  <c r="D399" i="89"/>
  <c r="D400" i="89"/>
  <c r="D401" i="89"/>
  <c r="D402" i="89"/>
  <c r="D403" i="89"/>
  <c r="D404" i="89"/>
  <c r="D405" i="89"/>
  <c r="D406" i="89"/>
  <c r="D407" i="89"/>
  <c r="D408" i="89"/>
  <c r="D409" i="89"/>
  <c r="D410" i="89"/>
  <c r="D411" i="89"/>
  <c r="D412" i="89"/>
  <c r="D413" i="89"/>
  <c r="D414" i="89"/>
  <c r="D415" i="89"/>
  <c r="D416" i="89"/>
  <c r="D417" i="89"/>
  <c r="D418" i="89"/>
  <c r="D419" i="89"/>
  <c r="D420" i="89"/>
  <c r="D421" i="89"/>
  <c r="D422" i="89"/>
  <c r="D423" i="89"/>
  <c r="D424" i="89"/>
  <c r="D425" i="89"/>
  <c r="D426" i="89"/>
  <c r="D427" i="89"/>
  <c r="D428" i="89"/>
  <c r="D429" i="89"/>
  <c r="D430" i="89"/>
  <c r="D431" i="89"/>
  <c r="D432" i="89"/>
  <c r="D433" i="89"/>
  <c r="D434" i="89"/>
  <c r="D435" i="89"/>
  <c r="D436" i="89"/>
  <c r="D437" i="89"/>
  <c r="D438" i="89"/>
  <c r="D439" i="89"/>
  <c r="D440" i="89"/>
  <c r="D441" i="89"/>
  <c r="D442" i="89"/>
  <c r="D443" i="89"/>
  <c r="D444" i="89"/>
  <c r="D445" i="89"/>
  <c r="D446" i="89"/>
  <c r="D447" i="89"/>
  <c r="D448" i="89"/>
  <c r="D449" i="89"/>
  <c r="D450" i="89"/>
  <c r="D451" i="89"/>
  <c r="D452" i="89"/>
  <c r="D453" i="89"/>
  <c r="D454" i="89"/>
  <c r="D455" i="89"/>
  <c r="D456" i="89"/>
  <c r="D457" i="89"/>
  <c r="D458" i="89"/>
  <c r="D459" i="89"/>
  <c r="D460" i="89"/>
  <c r="D461" i="89"/>
  <c r="D462" i="89"/>
  <c r="D463" i="89"/>
  <c r="D464" i="89"/>
  <c r="D465" i="89"/>
  <c r="D466" i="89"/>
  <c r="D467" i="89"/>
  <c r="D468" i="89"/>
  <c r="D469" i="89"/>
  <c r="D470" i="89"/>
  <c r="D471" i="89"/>
  <c r="D472" i="89"/>
  <c r="D473" i="89"/>
  <c r="D474" i="89"/>
  <c r="D475" i="89"/>
  <c r="D476" i="89"/>
  <c r="D477" i="89"/>
  <c r="D478" i="89"/>
  <c r="D479" i="89"/>
  <c r="D480" i="89"/>
  <c r="D481" i="89"/>
  <c r="D482" i="89"/>
  <c r="D483" i="89"/>
  <c r="D484" i="89"/>
  <c r="D485" i="89"/>
  <c r="D486" i="89"/>
  <c r="D487" i="89"/>
  <c r="D488" i="89"/>
  <c r="D489" i="89"/>
  <c r="D490" i="89"/>
  <c r="D491" i="89"/>
  <c r="D492" i="89"/>
  <c r="D493" i="89"/>
  <c r="D494" i="89"/>
  <c r="D495" i="89"/>
  <c r="D496" i="89"/>
  <c r="D497" i="89"/>
  <c r="D498" i="89"/>
  <c r="D499" i="89"/>
  <c r="D500" i="89"/>
  <c r="D501" i="89"/>
  <c r="D502" i="89"/>
  <c r="D503" i="89"/>
  <c r="D504" i="89"/>
  <c r="D505" i="89"/>
  <c r="D506" i="89"/>
  <c r="D507" i="89"/>
  <c r="D508" i="89"/>
  <c r="D509" i="89"/>
  <c r="D510" i="89"/>
  <c r="D511" i="89"/>
  <c r="D512" i="89"/>
  <c r="D513" i="89"/>
  <c r="D514" i="89"/>
  <c r="D515" i="89"/>
  <c r="D516" i="89"/>
  <c r="D517" i="89"/>
  <c r="D518" i="89"/>
  <c r="D519" i="89"/>
  <c r="D520" i="89"/>
  <c r="D521" i="89"/>
  <c r="D522" i="89"/>
  <c r="D523" i="89"/>
  <c r="D524" i="89"/>
  <c r="D525" i="89"/>
  <c r="D526" i="89"/>
  <c r="D527" i="89"/>
  <c r="D528" i="89"/>
  <c r="D529" i="89"/>
  <c r="D530" i="89"/>
  <c r="D531" i="89"/>
  <c r="D532" i="89"/>
  <c r="D533" i="89"/>
  <c r="D534" i="89"/>
  <c r="D535" i="89"/>
  <c r="D536" i="89"/>
  <c r="D537" i="89"/>
  <c r="D538" i="89"/>
  <c r="D539" i="89"/>
  <c r="D540" i="89"/>
  <c r="D541" i="89"/>
  <c r="D542" i="89"/>
  <c r="D543" i="89"/>
  <c r="D544" i="89"/>
  <c r="D545" i="89"/>
  <c r="D546" i="89"/>
  <c r="D547" i="89"/>
  <c r="D548" i="89"/>
  <c r="D549" i="89"/>
  <c r="D550" i="89"/>
  <c r="D551" i="89"/>
  <c r="D552" i="89"/>
  <c r="D553" i="89"/>
  <c r="D554" i="89"/>
  <c r="D555" i="89"/>
  <c r="D556" i="89"/>
  <c r="D557" i="89"/>
  <c r="D558" i="89"/>
  <c r="D559" i="89"/>
  <c r="D560" i="89"/>
  <c r="D561" i="89"/>
  <c r="D562" i="89"/>
  <c r="D563" i="89"/>
  <c r="D564" i="89"/>
  <c r="D565" i="89"/>
  <c r="D566" i="89"/>
  <c r="D567" i="89"/>
  <c r="D568" i="89"/>
  <c r="D569" i="89"/>
  <c r="D570" i="89"/>
  <c r="D571" i="89"/>
  <c r="D572" i="89"/>
  <c r="D573" i="89"/>
  <c r="D574" i="89"/>
  <c r="D575" i="89"/>
  <c r="D576" i="89"/>
  <c r="D577" i="89"/>
  <c r="D578" i="89"/>
  <c r="D579" i="89"/>
  <c r="D580" i="89"/>
  <c r="D581" i="89"/>
  <c r="D582" i="89"/>
  <c r="D583" i="89"/>
  <c r="D584" i="89"/>
  <c r="D585" i="89"/>
  <c r="D586" i="89"/>
  <c r="D587" i="89"/>
  <c r="D588" i="89"/>
  <c r="D589" i="89"/>
  <c r="D590" i="89"/>
  <c r="D591" i="89"/>
  <c r="D592" i="89"/>
  <c r="D593" i="89"/>
  <c r="D594" i="89"/>
  <c r="D595" i="89"/>
  <c r="D596" i="89"/>
  <c r="D597" i="89"/>
  <c r="D598" i="89"/>
  <c r="D599" i="89"/>
  <c r="D600" i="89"/>
  <c r="D601" i="89"/>
  <c r="D602" i="89"/>
  <c r="D603" i="89"/>
  <c r="D604" i="89"/>
  <c r="D605" i="89"/>
  <c r="D606" i="89"/>
  <c r="D607" i="89"/>
  <c r="D608" i="89"/>
  <c r="D609" i="89"/>
  <c r="D610" i="89"/>
  <c r="D611" i="89"/>
  <c r="D612" i="89"/>
  <c r="D613" i="89"/>
  <c r="D614" i="89"/>
  <c r="D615" i="89"/>
  <c r="D616" i="89"/>
  <c r="D617" i="89"/>
  <c r="D618" i="89"/>
  <c r="D619" i="89"/>
  <c r="D620" i="89"/>
  <c r="D621" i="89"/>
  <c r="D622" i="89"/>
  <c r="D623" i="89"/>
  <c r="D624" i="89"/>
  <c r="D625" i="89"/>
  <c r="D626" i="89"/>
  <c r="D627" i="89"/>
  <c r="D628" i="89"/>
  <c r="D629" i="89"/>
  <c r="D630" i="89"/>
  <c r="D631" i="89"/>
  <c r="D632" i="89"/>
  <c r="D633" i="89"/>
  <c r="D634" i="89"/>
  <c r="D635" i="89"/>
  <c r="D636" i="89"/>
  <c r="D637" i="89"/>
  <c r="D638" i="89"/>
  <c r="D639" i="89"/>
  <c r="D640" i="89"/>
  <c r="D641" i="89"/>
  <c r="D642" i="89"/>
  <c r="D643" i="89"/>
  <c r="D644" i="89"/>
  <c r="D645" i="89"/>
  <c r="D646" i="89"/>
  <c r="D647" i="89"/>
  <c r="D648" i="89"/>
  <c r="D649" i="89"/>
  <c r="D650" i="89"/>
  <c r="D651" i="89"/>
  <c r="D652" i="89"/>
  <c r="D653" i="89"/>
  <c r="D654" i="89"/>
  <c r="D655" i="89"/>
  <c r="D656" i="89"/>
  <c r="D657" i="89"/>
  <c r="D658" i="89"/>
  <c r="D659" i="89"/>
  <c r="D660" i="89"/>
  <c r="D661" i="89"/>
  <c r="D662" i="89"/>
  <c r="D663" i="89"/>
  <c r="D664" i="89"/>
  <c r="D665" i="89"/>
  <c r="D666" i="89"/>
  <c r="D667" i="89"/>
  <c r="D668" i="89"/>
  <c r="D669" i="89"/>
  <c r="D670" i="89"/>
  <c r="D671" i="89"/>
  <c r="D672" i="89"/>
  <c r="D673" i="89"/>
  <c r="D674" i="89"/>
  <c r="D675" i="89"/>
  <c r="D676" i="89"/>
  <c r="D677" i="89"/>
  <c r="D678" i="89"/>
  <c r="D679" i="89"/>
  <c r="D680" i="89"/>
  <c r="D681" i="89"/>
  <c r="D682" i="89"/>
  <c r="D683" i="89"/>
  <c r="D684" i="89"/>
  <c r="D685" i="89"/>
  <c r="D686" i="89"/>
  <c r="D687" i="89"/>
  <c r="D688" i="89"/>
  <c r="D689" i="89"/>
  <c r="D690" i="89"/>
  <c r="D691" i="89"/>
  <c r="D692" i="89"/>
  <c r="D693" i="89"/>
  <c r="D694" i="89"/>
  <c r="D695" i="89"/>
  <c r="D696" i="89"/>
  <c r="D697" i="89"/>
  <c r="D698" i="89"/>
  <c r="D699" i="89"/>
  <c r="D700" i="89"/>
  <c r="D701" i="89"/>
  <c r="D702" i="89"/>
  <c r="D703" i="89"/>
  <c r="D704" i="89"/>
  <c r="D705" i="89"/>
  <c r="D706" i="89"/>
  <c r="D707" i="89"/>
  <c r="D708" i="89"/>
  <c r="D709" i="89"/>
  <c r="D710" i="89"/>
  <c r="D711" i="89"/>
  <c r="D712" i="89"/>
  <c r="D713" i="89"/>
  <c r="D714" i="89"/>
  <c r="D715" i="89"/>
  <c r="D716" i="89"/>
  <c r="D717" i="89"/>
  <c r="D718" i="89"/>
  <c r="D719" i="89"/>
  <c r="D720" i="89"/>
  <c r="D721" i="89"/>
  <c r="D722" i="89"/>
  <c r="D723" i="89"/>
  <c r="D724" i="89"/>
  <c r="D725" i="89"/>
  <c r="D726" i="89"/>
  <c r="D727" i="89"/>
  <c r="D728" i="89"/>
  <c r="D729" i="89"/>
  <c r="D730" i="89"/>
  <c r="D731" i="89"/>
  <c r="D732" i="89"/>
  <c r="D733" i="89"/>
  <c r="D734" i="89"/>
  <c r="D735" i="89"/>
  <c r="D736" i="89"/>
  <c r="D737" i="89"/>
  <c r="D738" i="89"/>
  <c r="D739" i="89"/>
  <c r="D740" i="89"/>
  <c r="D741" i="89"/>
  <c r="D742" i="89"/>
  <c r="D743" i="89"/>
  <c r="D744" i="89"/>
  <c r="D745" i="89"/>
  <c r="D746" i="89"/>
  <c r="D747" i="89"/>
  <c r="D748" i="89"/>
  <c r="D749" i="89"/>
  <c r="D750" i="89"/>
  <c r="D751" i="89"/>
  <c r="D752" i="89"/>
  <c r="D753" i="89"/>
  <c r="D754" i="89"/>
  <c r="D755" i="89"/>
  <c r="D756" i="89"/>
  <c r="D757" i="89"/>
  <c r="D758" i="89"/>
  <c r="D759" i="89"/>
  <c r="D760" i="89"/>
  <c r="D761" i="89"/>
  <c r="D762" i="89"/>
  <c r="D763" i="89"/>
  <c r="D764" i="89"/>
  <c r="D765" i="89"/>
  <c r="D766" i="89"/>
  <c r="D767" i="89"/>
  <c r="D768" i="89"/>
  <c r="D769" i="89"/>
  <c r="D770" i="89"/>
  <c r="D771" i="89"/>
  <c r="D772" i="89"/>
  <c r="D773" i="89"/>
  <c r="D774" i="89"/>
  <c r="D775" i="89"/>
  <c r="D776" i="89"/>
  <c r="D777" i="89"/>
  <c r="D778" i="89"/>
  <c r="D779" i="89"/>
  <c r="D780" i="89"/>
  <c r="D781" i="89"/>
  <c r="D782" i="89"/>
  <c r="D783" i="89"/>
  <c r="D784" i="89"/>
  <c r="D785" i="89"/>
  <c r="D786" i="89"/>
  <c r="D787" i="89"/>
  <c r="D788" i="89"/>
  <c r="D789" i="89"/>
  <c r="D790" i="89"/>
  <c r="D791" i="89"/>
  <c r="D792" i="89"/>
  <c r="D793" i="89"/>
  <c r="D794" i="89"/>
  <c r="D795" i="89"/>
  <c r="D796" i="89"/>
  <c r="D797" i="89"/>
  <c r="D798" i="89"/>
  <c r="D799" i="89"/>
  <c r="D800" i="89"/>
  <c r="D801" i="89"/>
  <c r="D802" i="89"/>
  <c r="D803" i="89"/>
  <c r="D804" i="89"/>
  <c r="D805" i="89"/>
  <c r="D806" i="89"/>
  <c r="D807" i="89"/>
  <c r="D808" i="89"/>
  <c r="D809" i="89"/>
  <c r="D810" i="89"/>
  <c r="D811" i="89"/>
  <c r="D812" i="89"/>
  <c r="D813" i="89"/>
  <c r="D814" i="89"/>
  <c r="D815" i="89"/>
  <c r="D816" i="89"/>
  <c r="D817" i="89"/>
  <c r="D818" i="89"/>
  <c r="D819" i="89"/>
  <c r="D820" i="89"/>
  <c r="D821" i="89"/>
  <c r="D822" i="89"/>
  <c r="D823" i="89"/>
  <c r="D824" i="89"/>
  <c r="D825" i="89"/>
  <c r="D826" i="89"/>
  <c r="D827" i="89"/>
  <c r="D828" i="89"/>
  <c r="D829" i="89"/>
  <c r="D830" i="89"/>
  <c r="D831" i="89"/>
  <c r="D832" i="89"/>
  <c r="D833" i="89"/>
  <c r="D834" i="89"/>
  <c r="D835" i="89"/>
  <c r="D836" i="89"/>
  <c r="D837" i="89"/>
  <c r="D838" i="89"/>
  <c r="D839" i="89"/>
  <c r="D840" i="89"/>
  <c r="D841" i="89"/>
  <c r="D842" i="89"/>
  <c r="D843" i="89"/>
  <c r="D844" i="89"/>
  <c r="D845" i="89"/>
  <c r="D846" i="89"/>
  <c r="D847" i="89"/>
  <c r="D848" i="89"/>
  <c r="D849" i="89"/>
  <c r="D850" i="89"/>
  <c r="D851" i="89"/>
  <c r="D852" i="89"/>
  <c r="D853" i="89"/>
  <c r="D854" i="89"/>
  <c r="D855" i="89"/>
  <c r="D856" i="89"/>
  <c r="D857" i="89"/>
  <c r="D858" i="89"/>
  <c r="D859" i="89"/>
  <c r="D860" i="89"/>
  <c r="D861" i="89"/>
  <c r="D862" i="89"/>
  <c r="D863" i="89"/>
  <c r="D864" i="89"/>
  <c r="D865" i="89"/>
  <c r="D866" i="89"/>
  <c r="D867" i="89"/>
  <c r="D868" i="89"/>
  <c r="D869" i="89"/>
  <c r="D870" i="89"/>
  <c r="D871" i="89"/>
  <c r="D872" i="89"/>
  <c r="D873" i="89"/>
  <c r="D874" i="89"/>
  <c r="D875" i="89"/>
  <c r="D876" i="89"/>
  <c r="D877" i="89"/>
  <c r="D878" i="89"/>
  <c r="D879" i="89"/>
  <c r="D880" i="89"/>
  <c r="D881" i="89"/>
  <c r="D882" i="89"/>
  <c r="D883" i="89"/>
  <c r="D884" i="89"/>
  <c r="D885" i="89"/>
  <c r="D886" i="89"/>
  <c r="D887" i="89"/>
  <c r="D888" i="89"/>
  <c r="D889" i="89"/>
  <c r="D890" i="89"/>
  <c r="D891" i="89"/>
  <c r="D892" i="89"/>
  <c r="D893" i="89"/>
  <c r="D894" i="89"/>
  <c r="D895" i="89"/>
  <c r="D896" i="89"/>
  <c r="D897" i="89"/>
  <c r="D898" i="89"/>
  <c r="D899" i="89"/>
  <c r="D900" i="89"/>
  <c r="D901" i="89"/>
  <c r="D902" i="89"/>
  <c r="D903" i="89"/>
  <c r="D904" i="89"/>
  <c r="D905" i="89"/>
  <c r="D906" i="89"/>
  <c r="D907" i="89"/>
  <c r="D908" i="89"/>
  <c r="D909" i="89"/>
  <c r="D910" i="89"/>
  <c r="D911" i="89"/>
  <c r="D912" i="89"/>
  <c r="D913" i="89"/>
  <c r="D914" i="89"/>
  <c r="D915" i="89"/>
  <c r="D916" i="89"/>
  <c r="D917" i="89"/>
  <c r="D918" i="89"/>
  <c r="D919" i="89"/>
  <c r="D920" i="89"/>
  <c r="D921" i="89"/>
  <c r="D922" i="89"/>
  <c r="D923" i="89"/>
  <c r="D924" i="89"/>
  <c r="D925" i="89"/>
  <c r="D926" i="89"/>
  <c r="D927" i="89"/>
  <c r="D928" i="89"/>
  <c r="D929" i="89"/>
  <c r="D930" i="89"/>
  <c r="D931" i="89"/>
  <c r="D932" i="89"/>
  <c r="D933" i="89"/>
  <c r="D934" i="89"/>
  <c r="D935" i="89"/>
  <c r="D936" i="89"/>
  <c r="D937" i="89"/>
  <c r="D938" i="89"/>
  <c r="D939" i="89"/>
  <c r="D940" i="89"/>
  <c r="D941" i="89"/>
  <c r="D942" i="89"/>
  <c r="D943" i="89"/>
  <c r="D944" i="89"/>
  <c r="D945" i="89"/>
  <c r="D946" i="89"/>
  <c r="D947" i="89"/>
  <c r="D948" i="89"/>
  <c r="D949" i="89"/>
  <c r="D950" i="89"/>
  <c r="D951" i="89"/>
  <c r="D952" i="89"/>
  <c r="D953" i="89"/>
  <c r="D954" i="89"/>
  <c r="D955" i="89"/>
  <c r="D956" i="89"/>
  <c r="D957" i="89"/>
  <c r="D958" i="89"/>
  <c r="D959" i="89"/>
  <c r="D960" i="89"/>
  <c r="D961" i="89"/>
  <c r="D962" i="89"/>
  <c r="D963" i="89"/>
  <c r="D964" i="89"/>
  <c r="D965" i="89"/>
  <c r="D966" i="89"/>
  <c r="D967" i="89"/>
  <c r="D968" i="89"/>
  <c r="D969" i="89"/>
  <c r="D970" i="89"/>
  <c r="D971" i="89"/>
  <c r="D972" i="89"/>
  <c r="D973" i="89"/>
  <c r="D974" i="89"/>
  <c r="D975" i="89"/>
  <c r="D976" i="89"/>
  <c r="D977" i="89"/>
  <c r="D978" i="89"/>
  <c r="D979" i="89"/>
  <c r="D980" i="89"/>
  <c r="D981" i="89"/>
  <c r="D982" i="89"/>
  <c r="D983" i="89"/>
  <c r="D984" i="89"/>
  <c r="D985" i="89"/>
  <c r="D986" i="89"/>
  <c r="D987" i="89"/>
  <c r="D988" i="89"/>
  <c r="D989" i="89"/>
  <c r="D990" i="89"/>
  <c r="D991" i="89"/>
  <c r="D992" i="89"/>
  <c r="D993" i="89"/>
  <c r="D994" i="89"/>
  <c r="D995" i="89"/>
  <c r="D996" i="89"/>
  <c r="D997" i="89"/>
  <c r="D998" i="89"/>
  <c r="D999" i="89"/>
  <c r="D1000" i="89"/>
  <c r="D1001" i="89"/>
  <c r="D1002" i="89"/>
  <c r="D1003" i="89"/>
  <c r="D1004" i="89"/>
  <c r="D1005" i="89"/>
  <c r="D1006" i="89"/>
  <c r="D1007" i="89"/>
  <c r="D1008" i="89"/>
  <c r="D1009" i="89"/>
  <c r="D1010" i="89"/>
  <c r="D1011" i="89"/>
  <c r="D1012" i="89"/>
  <c r="D1013" i="89"/>
  <c r="D1014" i="89"/>
  <c r="D1015" i="89"/>
  <c r="D1016" i="89"/>
  <c r="D1017" i="89"/>
  <c r="D1018" i="89"/>
  <c r="D1019" i="89"/>
  <c r="D1020" i="89"/>
  <c r="D1021" i="89"/>
  <c r="D1022" i="89"/>
  <c r="D1023" i="89"/>
  <c r="D1024" i="89"/>
  <c r="D1025" i="89"/>
  <c r="D1026" i="89"/>
  <c r="D1027" i="89"/>
  <c r="D1028" i="89"/>
  <c r="D1029" i="89"/>
  <c r="D1030" i="89"/>
  <c r="D1031" i="89"/>
  <c r="D1032" i="89"/>
  <c r="D1033" i="89"/>
  <c r="D1034" i="89"/>
  <c r="D1035" i="89"/>
  <c r="D1036" i="89"/>
  <c r="D1037" i="89"/>
  <c r="D1038" i="89"/>
  <c r="D1039" i="89"/>
  <c r="D1040" i="89"/>
  <c r="D1041" i="89"/>
  <c r="D1042" i="89"/>
  <c r="D1043" i="89"/>
  <c r="D1044" i="89"/>
  <c r="D1045" i="89"/>
  <c r="D1046" i="89"/>
  <c r="D1047" i="89"/>
  <c r="D1048" i="89"/>
  <c r="D1049" i="89"/>
  <c r="D1050" i="89"/>
  <c r="D1051" i="89"/>
  <c r="D1052" i="89"/>
  <c r="D1053" i="89"/>
  <c r="D1054" i="89"/>
  <c r="D1055" i="89"/>
  <c r="D1056" i="89"/>
  <c r="D1057" i="89"/>
  <c r="D1058" i="89"/>
  <c r="D1059" i="89"/>
  <c r="D1060" i="89"/>
  <c r="D1061" i="89"/>
  <c r="D1062" i="89"/>
  <c r="D1063" i="89"/>
  <c r="D1064" i="89"/>
  <c r="D1065" i="89"/>
  <c r="D1066" i="89"/>
  <c r="D1067" i="89"/>
  <c r="D1068" i="89"/>
  <c r="D1069" i="89"/>
  <c r="D1070" i="89"/>
  <c r="D1071" i="89"/>
  <c r="D1072" i="89"/>
  <c r="D1073" i="89"/>
  <c r="D1074" i="89"/>
  <c r="D1075" i="89"/>
  <c r="D1076" i="89"/>
  <c r="D1077" i="89"/>
  <c r="D1078" i="89"/>
  <c r="D1079" i="89"/>
  <c r="D1080" i="89"/>
  <c r="D1081" i="89"/>
  <c r="D1082" i="89"/>
  <c r="D1083" i="89"/>
  <c r="D1084" i="89"/>
  <c r="D1085" i="89"/>
  <c r="D1086" i="89"/>
  <c r="D1087" i="89"/>
  <c r="D1088" i="89"/>
  <c r="D1089" i="89"/>
  <c r="D1090" i="89"/>
  <c r="D1091" i="89"/>
  <c r="D1092" i="89"/>
  <c r="D1093" i="89"/>
  <c r="D1094" i="89"/>
  <c r="D1095" i="89"/>
  <c r="D1096" i="89"/>
  <c r="D1097" i="89"/>
  <c r="D1098" i="89"/>
  <c r="D1099" i="89"/>
  <c r="C3427" i="127" l="1"/>
  <c r="C3428" i="127"/>
  <c r="C3429" i="127"/>
  <c r="C3430" i="127"/>
  <c r="C3431" i="127"/>
  <c r="C3432" i="127"/>
  <c r="C3433" i="127"/>
  <c r="F3422" i="127" l="1"/>
  <c r="C3400" i="127"/>
  <c r="C3401" i="127"/>
  <c r="C3402" i="127"/>
  <c r="C3403" i="127"/>
  <c r="C3404" i="127"/>
  <c r="C3405" i="127"/>
  <c r="C3406" i="127"/>
  <c r="C3407" i="127"/>
  <c r="C3408" i="127"/>
  <c r="C3409" i="127"/>
  <c r="C3410" i="127"/>
  <c r="C3411" i="127"/>
  <c r="C3412" i="127"/>
  <c r="C3413" i="127"/>
  <c r="C3414" i="127"/>
  <c r="C3415" i="127"/>
  <c r="C3416" i="127"/>
  <c r="C3417" i="127"/>
  <c r="C3418" i="127"/>
  <c r="C3419" i="127"/>
  <c r="C3420" i="127"/>
  <c r="C3421" i="127"/>
  <c r="C3422" i="127"/>
  <c r="C3423" i="127"/>
  <c r="C3424" i="127"/>
  <c r="C3425" i="127"/>
  <c r="C3426" i="127"/>
  <c r="S1281" i="127" l="1"/>
  <c r="T3372" i="127"/>
  <c r="D338" i="89" l="1"/>
  <c r="T3365" i="127"/>
  <c r="C3386" i="127"/>
  <c r="C3387" i="127"/>
  <c r="C3388" i="127"/>
  <c r="C3389" i="127"/>
  <c r="C3390" i="127"/>
  <c r="C3391" i="127"/>
  <c r="C3392" i="127"/>
  <c r="C3393" i="127"/>
  <c r="C3394" i="127"/>
  <c r="C3395" i="127"/>
  <c r="C3396" i="127"/>
  <c r="C3397" i="127"/>
  <c r="C3398" i="127"/>
  <c r="C3399" i="127"/>
  <c r="F3377" i="127"/>
  <c r="F3378" i="127"/>
  <c r="F3379" i="127"/>
  <c r="F3380" i="127"/>
  <c r="F3381" i="127"/>
  <c r="F3382" i="127"/>
  <c r="F3383" i="127"/>
  <c r="F3384" i="127"/>
  <c r="F3385" i="127"/>
  <c r="F3386" i="127"/>
  <c r="F3387" i="127"/>
  <c r="F3388" i="127"/>
  <c r="F3389" i="127"/>
  <c r="F3390" i="127"/>
  <c r="F3391" i="127"/>
  <c r="F3392" i="127"/>
  <c r="F3393" i="127"/>
  <c r="F3394" i="127"/>
  <c r="F3395" i="127"/>
  <c r="F3396" i="127"/>
  <c r="F3397" i="127"/>
  <c r="F3398" i="127"/>
  <c r="F3399" i="127"/>
  <c r="F3400" i="127"/>
  <c r="F3401" i="127"/>
  <c r="F3402" i="127"/>
  <c r="F3403" i="127"/>
  <c r="F3404" i="127"/>
  <c r="F3405" i="127"/>
  <c r="F3406" i="127"/>
  <c r="F3407" i="127"/>
  <c r="F3408" i="127"/>
  <c r="F3409" i="127"/>
  <c r="F3410" i="127"/>
  <c r="F3411" i="127"/>
  <c r="F3412" i="127"/>
  <c r="F3413" i="127"/>
  <c r="F3414" i="127"/>
  <c r="F3415" i="127"/>
  <c r="F3416" i="127"/>
  <c r="F3417" i="127"/>
  <c r="F3418" i="127"/>
  <c r="F3419" i="127"/>
  <c r="F3420" i="127"/>
  <c r="F3421" i="127"/>
  <c r="F3423" i="127"/>
  <c r="F3424" i="127"/>
  <c r="F3425" i="127"/>
  <c r="F3426" i="127"/>
  <c r="F3427" i="127"/>
  <c r="F3428" i="127"/>
  <c r="F3429" i="127"/>
  <c r="F3430" i="127"/>
  <c r="F3431" i="127"/>
  <c r="F3432" i="127"/>
  <c r="F3433" i="127"/>
  <c r="F3434" i="127"/>
  <c r="F3435" i="127"/>
  <c r="F3436" i="127"/>
  <c r="F3437" i="127"/>
  <c r="F3438" i="127"/>
  <c r="F3439" i="127"/>
  <c r="F3440" i="127"/>
  <c r="F3441" i="127"/>
  <c r="F3442" i="127"/>
  <c r="F3443" i="127"/>
  <c r="F3444" i="127"/>
  <c r="F3445" i="127"/>
  <c r="F3446" i="127"/>
  <c r="F3447" i="127"/>
  <c r="F3448" i="127"/>
  <c r="F3449" i="127"/>
  <c r="F3450" i="127"/>
  <c r="F3451" i="127"/>
  <c r="F3452" i="127"/>
  <c r="F3453" i="127"/>
  <c r="F3454" i="127"/>
  <c r="F3455" i="127"/>
  <c r="F3456" i="127"/>
  <c r="F3457" i="127"/>
  <c r="F3458" i="127"/>
  <c r="F3459" i="127"/>
  <c r="F3460" i="127"/>
  <c r="F3461" i="127"/>
  <c r="F3462" i="127"/>
  <c r="F3463" i="127"/>
  <c r="F3464" i="127"/>
  <c r="F3465" i="127"/>
  <c r="F3466" i="127"/>
  <c r="F3467" i="127"/>
  <c r="F3468" i="127"/>
  <c r="F3469" i="127"/>
  <c r="F3470" i="127"/>
  <c r="F3471" i="127"/>
  <c r="F3472" i="127"/>
  <c r="F3473" i="127"/>
  <c r="F3474" i="127"/>
  <c r="F3475" i="127"/>
  <c r="F3476" i="127"/>
  <c r="F3477" i="127"/>
  <c r="F3478" i="127"/>
  <c r="F3479" i="127"/>
  <c r="F3480" i="127"/>
  <c r="F3481" i="127"/>
  <c r="F3482" i="127"/>
  <c r="F3483" i="127"/>
  <c r="F3484" i="127"/>
  <c r="F3485" i="127"/>
  <c r="F3486" i="127"/>
  <c r="F3487" i="127"/>
  <c r="F3488" i="127"/>
  <c r="F3489" i="127"/>
  <c r="F3490" i="127"/>
  <c r="F3491" i="127"/>
  <c r="F3492" i="127"/>
  <c r="F3493" i="127"/>
  <c r="F3494" i="127"/>
  <c r="F3495" i="127"/>
  <c r="F3496" i="127"/>
  <c r="F3497" i="127"/>
  <c r="F3498" i="127"/>
  <c r="F3499" i="127"/>
  <c r="F3500" i="127"/>
  <c r="F3501" i="127"/>
  <c r="F3502" i="127"/>
  <c r="F3503" i="127"/>
  <c r="F3504" i="127"/>
  <c r="F3505" i="127"/>
  <c r="F3506" i="127"/>
  <c r="F3507" i="127"/>
  <c r="F3508" i="127"/>
  <c r="F3509" i="127"/>
  <c r="F3510" i="127"/>
  <c r="F3511" i="127"/>
  <c r="F3512" i="127"/>
  <c r="F3513" i="127"/>
  <c r="F3514" i="127"/>
  <c r="F3515" i="127"/>
  <c r="F3516" i="127"/>
  <c r="F3517" i="127"/>
  <c r="F3518" i="127"/>
  <c r="F3519" i="127"/>
  <c r="F3520" i="127"/>
  <c r="F3521" i="127"/>
  <c r="F3522" i="127"/>
  <c r="F3523" i="127"/>
  <c r="F3524" i="127"/>
  <c r="F3525" i="127"/>
  <c r="F3526" i="127"/>
  <c r="F3527" i="127"/>
  <c r="F3528" i="127"/>
  <c r="F3529" i="127"/>
  <c r="F3530" i="127"/>
  <c r="F3531" i="127"/>
  <c r="F3532" i="127"/>
  <c r="F3533" i="127"/>
  <c r="F3534" i="127"/>
  <c r="F3535" i="127"/>
  <c r="F3536" i="127"/>
  <c r="F3537" i="127"/>
  <c r="F3538" i="127"/>
  <c r="F3539" i="127"/>
  <c r="F3540" i="127"/>
  <c r="F3541" i="127"/>
  <c r="F3542" i="127"/>
  <c r="F3543" i="127"/>
  <c r="F3544" i="127"/>
  <c r="F3545" i="127"/>
  <c r="F3546" i="127"/>
  <c r="F3547" i="127"/>
  <c r="F3548" i="127"/>
  <c r="F3549" i="127"/>
  <c r="F3550" i="127"/>
  <c r="F3551" i="127"/>
  <c r="F3552" i="127"/>
  <c r="F3553" i="127"/>
  <c r="F3554" i="127"/>
  <c r="F3555" i="127"/>
  <c r="F3556" i="127"/>
  <c r="F3557" i="127"/>
  <c r="F3558" i="127"/>
  <c r="F3559" i="127"/>
  <c r="F3560" i="127"/>
  <c r="F3561" i="127"/>
  <c r="F3562" i="127"/>
  <c r="F3563" i="127"/>
  <c r="F3564" i="127"/>
  <c r="F3565" i="127"/>
  <c r="F3566" i="127"/>
  <c r="F3567" i="127"/>
  <c r="F3568" i="127"/>
  <c r="F3569" i="127"/>
  <c r="F3570" i="127"/>
  <c r="F3571" i="127"/>
  <c r="F3572" i="127"/>
  <c r="F3573" i="127"/>
  <c r="F3574" i="127"/>
  <c r="F3575" i="127"/>
  <c r="F3576" i="127"/>
  <c r="F3577" i="127"/>
  <c r="F3578" i="127"/>
  <c r="F3579" i="127"/>
  <c r="F3580" i="127"/>
  <c r="F3581" i="127"/>
  <c r="F3582" i="127"/>
  <c r="F3583" i="127"/>
  <c r="F3584" i="127"/>
  <c r="F3585" i="127"/>
  <c r="F3586" i="127"/>
  <c r="F3587" i="127"/>
  <c r="F3588" i="127"/>
  <c r="F3589" i="127"/>
  <c r="F3590" i="127"/>
  <c r="F3591" i="127"/>
  <c r="F3592" i="127"/>
  <c r="F3593" i="127"/>
  <c r="F3594" i="127"/>
  <c r="F3595" i="127"/>
  <c r="F3596" i="127"/>
  <c r="F3597" i="127"/>
  <c r="F3598" i="127"/>
  <c r="F3599" i="127"/>
  <c r="F3600" i="127"/>
  <c r="F3601" i="127"/>
  <c r="F3602" i="127"/>
  <c r="F3603" i="127"/>
  <c r="F3604" i="127"/>
  <c r="F3605" i="127"/>
  <c r="F3606" i="127"/>
  <c r="F3607" i="127"/>
  <c r="F3608" i="127"/>
  <c r="F3609" i="127"/>
  <c r="F3610" i="127"/>
  <c r="F3611" i="127"/>
  <c r="F3612" i="127"/>
  <c r="F3613" i="127"/>
  <c r="F3614" i="127"/>
  <c r="F3615" i="127"/>
  <c r="F3616" i="127"/>
  <c r="F3617" i="127"/>
  <c r="F3618" i="127"/>
  <c r="F3619" i="127"/>
  <c r="F3620" i="127"/>
  <c r="F3621" i="127"/>
  <c r="F3622" i="127"/>
  <c r="F3623" i="127"/>
  <c r="F3624" i="127"/>
  <c r="F3625" i="127"/>
  <c r="F3626" i="127"/>
  <c r="F3627" i="127"/>
  <c r="F3628" i="127"/>
  <c r="F3629" i="127"/>
  <c r="F3630" i="127"/>
  <c r="F3631" i="127"/>
  <c r="F3632" i="127"/>
  <c r="F3633" i="127"/>
  <c r="S3633" i="127" s="1"/>
  <c r="F3634" i="127"/>
  <c r="F3635" i="127"/>
  <c r="F3636" i="127"/>
  <c r="F3637" i="127"/>
  <c r="F3638" i="127"/>
  <c r="F3639" i="127"/>
  <c r="F3640" i="127"/>
  <c r="F3641" i="127"/>
  <c r="F3642" i="127"/>
  <c r="F3643" i="127"/>
  <c r="F3644" i="127"/>
  <c r="F3645" i="127"/>
  <c r="F3646" i="127"/>
  <c r="F3647" i="127"/>
  <c r="F3648" i="127"/>
  <c r="F3649" i="127"/>
  <c r="F3650" i="127"/>
  <c r="F3651" i="127"/>
  <c r="F3652" i="127"/>
  <c r="F3653" i="127"/>
  <c r="F3654" i="127"/>
  <c r="F3655" i="127"/>
  <c r="F3656" i="127"/>
  <c r="F3657" i="127"/>
  <c r="F3658" i="127"/>
  <c r="F3659" i="127"/>
  <c r="F3660" i="127"/>
  <c r="F3661" i="127"/>
  <c r="F3662" i="127"/>
  <c r="F3663" i="127"/>
  <c r="F3664" i="127"/>
  <c r="F3665" i="127"/>
  <c r="F3666" i="127"/>
  <c r="F3667" i="127"/>
  <c r="F3668" i="127"/>
  <c r="F3669" i="127"/>
  <c r="F3670" i="127"/>
  <c r="F3671" i="127"/>
  <c r="F3672" i="127"/>
  <c r="F3673" i="127"/>
  <c r="F3674" i="127"/>
  <c r="F3675" i="127"/>
  <c r="F3676" i="127"/>
  <c r="F3677" i="127"/>
  <c r="F3678" i="127"/>
  <c r="F3679" i="127"/>
  <c r="F3680" i="127"/>
  <c r="F3681" i="127"/>
  <c r="F3682" i="127"/>
  <c r="F3683" i="127"/>
  <c r="F3684" i="127"/>
  <c r="F3685" i="127"/>
  <c r="F3686" i="127"/>
  <c r="F3687" i="127"/>
  <c r="F3688" i="127"/>
  <c r="F3689" i="127"/>
  <c r="F3690" i="127"/>
  <c r="F3691" i="127"/>
  <c r="F3692" i="127"/>
  <c r="F3693" i="127"/>
  <c r="F3694" i="127"/>
  <c r="F3695" i="127"/>
  <c r="F3696" i="127"/>
  <c r="F3697" i="127"/>
  <c r="F3699" i="127"/>
  <c r="F3700" i="127"/>
  <c r="F3701" i="127"/>
  <c r="F3702" i="127"/>
  <c r="F3703" i="127"/>
  <c r="F3704" i="127"/>
  <c r="F3705" i="127"/>
  <c r="F3706" i="127"/>
  <c r="F3707" i="127"/>
  <c r="F3708" i="127"/>
  <c r="F3709" i="127"/>
  <c r="F3710" i="127"/>
  <c r="F3711" i="127"/>
  <c r="F3712" i="127"/>
  <c r="F3713" i="127"/>
  <c r="F3714" i="127"/>
  <c r="F3715" i="127"/>
  <c r="F3716" i="127"/>
  <c r="F3717" i="127"/>
  <c r="F3718" i="127"/>
  <c r="F3719" i="127"/>
  <c r="F3720" i="127"/>
  <c r="F3721" i="127"/>
  <c r="F3722" i="127"/>
  <c r="F3723" i="127"/>
  <c r="F3724" i="127"/>
  <c r="F3725" i="127"/>
  <c r="F3726" i="127"/>
  <c r="F3727" i="127"/>
  <c r="F3728" i="127"/>
  <c r="F3729" i="127"/>
  <c r="F3730" i="127"/>
  <c r="F3731" i="127"/>
  <c r="F3732" i="127"/>
  <c r="F3733" i="127"/>
  <c r="F3734" i="127"/>
  <c r="F3735" i="127"/>
  <c r="F3736" i="127"/>
  <c r="F3737" i="127"/>
  <c r="F3738" i="127"/>
  <c r="F3739" i="127"/>
  <c r="F3740" i="127"/>
  <c r="F3741" i="127"/>
  <c r="F3742" i="127"/>
  <c r="F3743" i="127"/>
  <c r="F3744" i="127"/>
  <c r="F3745" i="127"/>
  <c r="F3746" i="127"/>
  <c r="F3747" i="127"/>
  <c r="F3748" i="127"/>
  <c r="F3749" i="127"/>
  <c r="F3750" i="127"/>
  <c r="F3751" i="127"/>
  <c r="F3752" i="127"/>
  <c r="F3753" i="127"/>
  <c r="F3754" i="127"/>
  <c r="F3755" i="127"/>
  <c r="F3756" i="127"/>
  <c r="F3757" i="127"/>
  <c r="F3758" i="127"/>
  <c r="F3759" i="127"/>
  <c r="F3760" i="127"/>
  <c r="F3761" i="127"/>
  <c r="F3762" i="127"/>
  <c r="F3763" i="127"/>
  <c r="F3764" i="127"/>
  <c r="F3765" i="127"/>
  <c r="F3766" i="127"/>
  <c r="F3767" i="127"/>
  <c r="F3768" i="127"/>
  <c r="F3769" i="127"/>
  <c r="F3770" i="127"/>
  <c r="F3771" i="127"/>
  <c r="F3772" i="127"/>
  <c r="F3773" i="127"/>
  <c r="F3774" i="127"/>
  <c r="F3775" i="127"/>
  <c r="F3776" i="127"/>
  <c r="F3777" i="127"/>
  <c r="F3778" i="127"/>
  <c r="F3779" i="127"/>
  <c r="F3781" i="127"/>
  <c r="F3782" i="127"/>
  <c r="F3783" i="127"/>
  <c r="F3784" i="127"/>
  <c r="F3785" i="127"/>
  <c r="F3786" i="127"/>
  <c r="F3787" i="127"/>
  <c r="F3788" i="127"/>
  <c r="F3789" i="127"/>
  <c r="F3790" i="127"/>
  <c r="F3791" i="127"/>
  <c r="F3792" i="127"/>
  <c r="F3793" i="127"/>
  <c r="F3794" i="127"/>
  <c r="F3795" i="127"/>
  <c r="F3796" i="127"/>
  <c r="F3797" i="127"/>
  <c r="F3798" i="127"/>
  <c r="F3799" i="127"/>
  <c r="F3800" i="127"/>
  <c r="F3801" i="127"/>
  <c r="F3802" i="127"/>
  <c r="F3803" i="127"/>
  <c r="F3804" i="127"/>
  <c r="F3805" i="127"/>
  <c r="F3806" i="127"/>
  <c r="F3807" i="127"/>
  <c r="F3808" i="127"/>
  <c r="F3809" i="127"/>
  <c r="F3810" i="127"/>
  <c r="F3811" i="127"/>
  <c r="F3812" i="127"/>
  <c r="F3813" i="127"/>
  <c r="F3814" i="127"/>
  <c r="F3815" i="127"/>
  <c r="F3816" i="127"/>
  <c r="F3817" i="127"/>
  <c r="F3818" i="127"/>
  <c r="F3819" i="127"/>
  <c r="F3820" i="127"/>
  <c r="F3821" i="127"/>
  <c r="F3822" i="127"/>
  <c r="F3823" i="127"/>
  <c r="F3824" i="127"/>
  <c r="F3825" i="127"/>
  <c r="F3826" i="127"/>
  <c r="F3827" i="127"/>
  <c r="F3828" i="127"/>
  <c r="F3829" i="127"/>
  <c r="F3830" i="127"/>
  <c r="F3831" i="127"/>
  <c r="F3832" i="127"/>
  <c r="F3833" i="127"/>
  <c r="F3834" i="127"/>
  <c r="F3835" i="127"/>
  <c r="F3836" i="127"/>
  <c r="F3837" i="127"/>
  <c r="F3838" i="127"/>
  <c r="F3839" i="127"/>
  <c r="F3840" i="127"/>
  <c r="F3841" i="127"/>
  <c r="F3842" i="127"/>
  <c r="F3843" i="127"/>
  <c r="F3844" i="127"/>
  <c r="F3845" i="127"/>
  <c r="F3846" i="127"/>
  <c r="F3847" i="127"/>
  <c r="F3848" i="127"/>
  <c r="F3849" i="127"/>
  <c r="F3850" i="127"/>
  <c r="F3851" i="127"/>
  <c r="F3852" i="127"/>
  <c r="F3853" i="127"/>
  <c r="F3854" i="127"/>
  <c r="F3855" i="127"/>
  <c r="F3856" i="127"/>
  <c r="F3857" i="127"/>
  <c r="F3858" i="127"/>
  <c r="F3859" i="127"/>
  <c r="F3860" i="127"/>
  <c r="F3861" i="127"/>
  <c r="F3862" i="127"/>
  <c r="F3863" i="127"/>
  <c r="F3864" i="127"/>
  <c r="F3865" i="127"/>
  <c r="F3866" i="127"/>
  <c r="F3867" i="127"/>
  <c r="F3868" i="127"/>
  <c r="F3869" i="127"/>
  <c r="F3870" i="127"/>
  <c r="F3871" i="127"/>
  <c r="F3872" i="127"/>
  <c r="F3873" i="127"/>
  <c r="F3874" i="127"/>
  <c r="F3875" i="127"/>
  <c r="F3876" i="127"/>
  <c r="F3877" i="127"/>
  <c r="F3878" i="127"/>
  <c r="F3879" i="127"/>
  <c r="F3880" i="127"/>
  <c r="F3881" i="127"/>
  <c r="F3882" i="127"/>
  <c r="F3883" i="127"/>
  <c r="F3884" i="127"/>
  <c r="F3885" i="127"/>
  <c r="F3886" i="127"/>
  <c r="F3887" i="127"/>
  <c r="F3888" i="127"/>
  <c r="F3889" i="127"/>
  <c r="F3890" i="127"/>
  <c r="F3891" i="127"/>
  <c r="F3892" i="127"/>
  <c r="F3893" i="127"/>
  <c r="F3894" i="127"/>
  <c r="F3895" i="127"/>
  <c r="F3896" i="127"/>
  <c r="F3897" i="127"/>
  <c r="F3898" i="127"/>
  <c r="F3899" i="127"/>
  <c r="F3900" i="127"/>
  <c r="F3901" i="127"/>
  <c r="F3902" i="127"/>
  <c r="F3903" i="127"/>
  <c r="F3904" i="127"/>
  <c r="F3905" i="127"/>
  <c r="F3906" i="127"/>
  <c r="F3907" i="127"/>
  <c r="F3908" i="127"/>
  <c r="F3909" i="127"/>
  <c r="F3910" i="127"/>
  <c r="F3911" i="127"/>
  <c r="F3912" i="127"/>
  <c r="F3913" i="127"/>
  <c r="F3914" i="127"/>
  <c r="F3915" i="127"/>
  <c r="F3916" i="127"/>
  <c r="F3917" i="127"/>
  <c r="F3918" i="127"/>
  <c r="F3919" i="127"/>
  <c r="F3920" i="127"/>
  <c r="F3921" i="127"/>
  <c r="F3922" i="127"/>
  <c r="F3923" i="127"/>
  <c r="F3924" i="127"/>
  <c r="F3925" i="127"/>
  <c r="F3926" i="127"/>
  <c r="F3927" i="127"/>
  <c r="F3928" i="127"/>
  <c r="F3929" i="127"/>
  <c r="F3930" i="127"/>
  <c r="F3931" i="127"/>
  <c r="F3932" i="127"/>
  <c r="F3933" i="127"/>
  <c r="F3934" i="127"/>
  <c r="F3935" i="127"/>
  <c r="F3936" i="127"/>
  <c r="F3937" i="127"/>
  <c r="F3938" i="127"/>
  <c r="F3939" i="127"/>
  <c r="F3940" i="127"/>
  <c r="F3941" i="127"/>
  <c r="F3942" i="127"/>
  <c r="F3943" i="127"/>
  <c r="F3944" i="127"/>
  <c r="F3945" i="127"/>
  <c r="F3946" i="127"/>
  <c r="F3947" i="127"/>
  <c r="F3948" i="127"/>
  <c r="F3949" i="127"/>
  <c r="F3950" i="127"/>
  <c r="F3951" i="127"/>
  <c r="F3952" i="127"/>
  <c r="F3953" i="127"/>
  <c r="F3954" i="127"/>
  <c r="F3955" i="127"/>
  <c r="F3956" i="127"/>
  <c r="F3957" i="127"/>
  <c r="F3958" i="127"/>
  <c r="F3959" i="127"/>
  <c r="F3960" i="127"/>
  <c r="F3961" i="127"/>
  <c r="F3962" i="127"/>
  <c r="F3963" i="127"/>
  <c r="F3964" i="127"/>
  <c r="F3965" i="127"/>
  <c r="F3966" i="127"/>
  <c r="F3967" i="127"/>
  <c r="F3968" i="127"/>
  <c r="F3969" i="127"/>
  <c r="F3970" i="127"/>
  <c r="F3971" i="127"/>
  <c r="F3972" i="127"/>
  <c r="F3973" i="127"/>
  <c r="F3974" i="127"/>
  <c r="F3975" i="127"/>
  <c r="F3976" i="127"/>
  <c r="F3977" i="127"/>
  <c r="F3978" i="127"/>
  <c r="F3979" i="127"/>
  <c r="F3980" i="127"/>
  <c r="F3981" i="127"/>
  <c r="F3982" i="127"/>
  <c r="F3983" i="127"/>
  <c r="F3984" i="127"/>
  <c r="F3985" i="127"/>
  <c r="F3986" i="127"/>
  <c r="F3987" i="127"/>
  <c r="F3988" i="127"/>
  <c r="F3989" i="127"/>
  <c r="F3990" i="127"/>
  <c r="F3991" i="127"/>
  <c r="F3992" i="127"/>
  <c r="S3992" i="127" s="1"/>
  <c r="F3993" i="127"/>
  <c r="F3994" i="127"/>
  <c r="F3995" i="127"/>
  <c r="F3996" i="127"/>
  <c r="F3997" i="127"/>
  <c r="F3998" i="127"/>
  <c r="F3999" i="127"/>
  <c r="F4000" i="127"/>
  <c r="F4001" i="127"/>
  <c r="F4002" i="127"/>
  <c r="F4003" i="127"/>
  <c r="F4004" i="127"/>
  <c r="F4005" i="127"/>
  <c r="F4006" i="127"/>
  <c r="F4007" i="127"/>
  <c r="F4008" i="127"/>
  <c r="F4009" i="127"/>
  <c r="F4010" i="127"/>
  <c r="F4011" i="127"/>
  <c r="F4012" i="127"/>
  <c r="F4013" i="127"/>
  <c r="F4014" i="127"/>
  <c r="F4015" i="127"/>
  <c r="F4016" i="127"/>
  <c r="F4017" i="127"/>
  <c r="F4018" i="127"/>
  <c r="F4019" i="127"/>
  <c r="F4020" i="127"/>
  <c r="F4021" i="127"/>
  <c r="F4022" i="127"/>
  <c r="F4023" i="127"/>
  <c r="F4024" i="127"/>
  <c r="F4025" i="127"/>
  <c r="F4026" i="127"/>
  <c r="F4027" i="127"/>
  <c r="F4028" i="127"/>
  <c r="F4029" i="127"/>
  <c r="F4030" i="127"/>
  <c r="F4031" i="127"/>
  <c r="F4032" i="127"/>
  <c r="F4033" i="127"/>
  <c r="F4034" i="127"/>
  <c r="F4035" i="127"/>
  <c r="F4036" i="127"/>
  <c r="F4037" i="127"/>
  <c r="F4038" i="127"/>
  <c r="F4039" i="127"/>
  <c r="F4040" i="127"/>
  <c r="F4041" i="127"/>
  <c r="F4042" i="127"/>
  <c r="F4043" i="127"/>
  <c r="F4044" i="127"/>
  <c r="F4045" i="127"/>
  <c r="F4046" i="127"/>
  <c r="F4047" i="127"/>
  <c r="F4048" i="127"/>
  <c r="F4049" i="127"/>
  <c r="F4050" i="127"/>
  <c r="F4051" i="127"/>
  <c r="F4052" i="127"/>
  <c r="F4053" i="127"/>
  <c r="F4054" i="127"/>
  <c r="F4055" i="127"/>
  <c r="F4056" i="127"/>
  <c r="F4057" i="127"/>
  <c r="F4058" i="127"/>
  <c r="F4059" i="127"/>
  <c r="F4060" i="127"/>
  <c r="F4061" i="127"/>
  <c r="F4062" i="127"/>
  <c r="F4063" i="127"/>
  <c r="F4064" i="127"/>
  <c r="F4065" i="127"/>
  <c r="F4066" i="127"/>
  <c r="F4067" i="127"/>
  <c r="F4068" i="127"/>
  <c r="F4069" i="127"/>
  <c r="F4070" i="127"/>
  <c r="F4071" i="127"/>
  <c r="F4072" i="127"/>
  <c r="F4073" i="127"/>
  <c r="F4074" i="127"/>
  <c r="F4075" i="127"/>
  <c r="F4076" i="127"/>
  <c r="F4077" i="127"/>
  <c r="F4078" i="127"/>
  <c r="F4079" i="127"/>
  <c r="F4080" i="127"/>
  <c r="F4081" i="127"/>
  <c r="F4082" i="127"/>
  <c r="F4083" i="127"/>
  <c r="F4084" i="127"/>
  <c r="F4085" i="127"/>
  <c r="F4086" i="127"/>
  <c r="F4087" i="127"/>
  <c r="F4088" i="127"/>
  <c r="F4089" i="127"/>
  <c r="F4090" i="127"/>
  <c r="F4091" i="127"/>
  <c r="F4092" i="127"/>
  <c r="F4093" i="127"/>
  <c r="F4094" i="127"/>
  <c r="F4095" i="127"/>
  <c r="F4096" i="127"/>
  <c r="F4097" i="127"/>
  <c r="F4098" i="127"/>
  <c r="F4099" i="127"/>
  <c r="F4100" i="127"/>
  <c r="F4101" i="127"/>
  <c r="F4102" i="127"/>
  <c r="F4103" i="127"/>
  <c r="F4104" i="127"/>
  <c r="F4105" i="127"/>
  <c r="F4106" i="127"/>
  <c r="F4107" i="127"/>
  <c r="F4108" i="127"/>
  <c r="F4109" i="127"/>
  <c r="F4110" i="127"/>
  <c r="F4111" i="127"/>
  <c r="F4112" i="127"/>
  <c r="F4113" i="127"/>
  <c r="F4114" i="127"/>
  <c r="F4115" i="127"/>
  <c r="F4116" i="127"/>
  <c r="F4117" i="127"/>
  <c r="F4118" i="127"/>
  <c r="F4119" i="127"/>
  <c r="F4120" i="127"/>
  <c r="F4121" i="127"/>
  <c r="F4122" i="127"/>
  <c r="F4123" i="127"/>
  <c r="F4124" i="127"/>
  <c r="F4125" i="127"/>
  <c r="F4126" i="127"/>
  <c r="F4127" i="127"/>
  <c r="F4128" i="127"/>
  <c r="F4129" i="127"/>
  <c r="F4130" i="127"/>
  <c r="F4131" i="127"/>
  <c r="F4132" i="127"/>
  <c r="F4133" i="127"/>
  <c r="F4134" i="127"/>
  <c r="F4135" i="127"/>
  <c r="F4136" i="127"/>
  <c r="F4137" i="127"/>
  <c r="F4138" i="127"/>
  <c r="F4139" i="127"/>
  <c r="F4140" i="127"/>
  <c r="F4141" i="127"/>
  <c r="F4142" i="127"/>
  <c r="F4143" i="127"/>
  <c r="F4144" i="127"/>
  <c r="F4145" i="127"/>
  <c r="F4146" i="127"/>
  <c r="F4147" i="127"/>
  <c r="F4148" i="127"/>
  <c r="F4149" i="127"/>
  <c r="F4150" i="127"/>
  <c r="F4151" i="127"/>
  <c r="F4152" i="127"/>
  <c r="F4153" i="127"/>
  <c r="F4154" i="127"/>
  <c r="F4155" i="127"/>
  <c r="F4156" i="127"/>
  <c r="F4157" i="127"/>
  <c r="F4158" i="127"/>
  <c r="F4159" i="127"/>
  <c r="F4160" i="127"/>
  <c r="F4161" i="127"/>
  <c r="F4162" i="127"/>
  <c r="F4163" i="127"/>
  <c r="F4164" i="127"/>
  <c r="F4165" i="127"/>
  <c r="F4166" i="127"/>
  <c r="F4167" i="127"/>
  <c r="F4168" i="127"/>
  <c r="F4169" i="127"/>
  <c r="F4170" i="127"/>
  <c r="F4171" i="127"/>
  <c r="F4172" i="127"/>
  <c r="F4173" i="127"/>
  <c r="F4174" i="127"/>
  <c r="F4175" i="127"/>
  <c r="F4176" i="127"/>
  <c r="F4177" i="127"/>
  <c r="F4178" i="127"/>
  <c r="F4179" i="127"/>
  <c r="F4180" i="127"/>
  <c r="F4181" i="127"/>
  <c r="F4182" i="127"/>
  <c r="F4183" i="127"/>
  <c r="F4184" i="127"/>
  <c r="F4185" i="127"/>
  <c r="F4186" i="127"/>
  <c r="F4187" i="127"/>
  <c r="F4188" i="127"/>
  <c r="F4189" i="127"/>
  <c r="F4190" i="127"/>
  <c r="F4191" i="127"/>
  <c r="F4192" i="127"/>
  <c r="F4193" i="127"/>
  <c r="F4194" i="127"/>
  <c r="F4195" i="127"/>
  <c r="F4196" i="127"/>
  <c r="F4197" i="127"/>
  <c r="F4198" i="127"/>
  <c r="F4199" i="127"/>
  <c r="F4200" i="127"/>
  <c r="S4200" i="127" s="1"/>
  <c r="F4201" i="127"/>
  <c r="F4202" i="127"/>
  <c r="F4203" i="127"/>
  <c r="F4204" i="127"/>
  <c r="F4205" i="127"/>
  <c r="F4206" i="127"/>
  <c r="F4207" i="127"/>
  <c r="F4208" i="127"/>
  <c r="F4209" i="127"/>
  <c r="F4210" i="127"/>
  <c r="F4211" i="127"/>
  <c r="F4212" i="127"/>
  <c r="F4213" i="127"/>
  <c r="F4214" i="127"/>
  <c r="F4215" i="127"/>
  <c r="F4216" i="127"/>
  <c r="F4217" i="127"/>
  <c r="F4219" i="127"/>
  <c r="F4220" i="127"/>
  <c r="F4221" i="127"/>
  <c r="F4222" i="127"/>
  <c r="F4223" i="127"/>
  <c r="F4224" i="127"/>
  <c r="F4225" i="127"/>
  <c r="F4230" i="127"/>
  <c r="F4231" i="127"/>
  <c r="F4232" i="127"/>
  <c r="F4233" i="127"/>
  <c r="F4234" i="127"/>
  <c r="F4235" i="127"/>
  <c r="F4236" i="127"/>
  <c r="F4237" i="127"/>
  <c r="F4238" i="127"/>
  <c r="F4239" i="127"/>
  <c r="F4240" i="127"/>
  <c r="F4241" i="127"/>
  <c r="F4242" i="127"/>
  <c r="F4243" i="127"/>
  <c r="F4244" i="127"/>
  <c r="F4245" i="127"/>
  <c r="F4246" i="127"/>
  <c r="F4247" i="127"/>
  <c r="F4248" i="127"/>
  <c r="F4249" i="127"/>
  <c r="F4250" i="127"/>
  <c r="F4251" i="127"/>
  <c r="F4252" i="127"/>
  <c r="F4253" i="127"/>
  <c r="F4254" i="127"/>
  <c r="F4255" i="127"/>
  <c r="F4256" i="127"/>
  <c r="F4257" i="127"/>
  <c r="F4258" i="127"/>
  <c r="F4259" i="127"/>
  <c r="F4260" i="127"/>
  <c r="F4261" i="127"/>
  <c r="F4262" i="127"/>
  <c r="F4263" i="127"/>
  <c r="F4264" i="127"/>
  <c r="F4265" i="127"/>
  <c r="F4266" i="127"/>
  <c r="F4267" i="127"/>
  <c r="F4268" i="127"/>
  <c r="F4269" i="127"/>
  <c r="F4270" i="127"/>
  <c r="F4271" i="127"/>
  <c r="F4272" i="127"/>
  <c r="F4273" i="127"/>
  <c r="F4274" i="127"/>
  <c r="F4275" i="127"/>
  <c r="F4276" i="127"/>
  <c r="F4277" i="127"/>
  <c r="F4278" i="127"/>
  <c r="F4279" i="127"/>
  <c r="F4280" i="127"/>
  <c r="F4281" i="127"/>
  <c r="F4282" i="127"/>
  <c r="F4283" i="127"/>
  <c r="F4284" i="127"/>
  <c r="F4285" i="127"/>
  <c r="F4286" i="127"/>
  <c r="F4287" i="127"/>
  <c r="F4288" i="127"/>
  <c r="F4289" i="127"/>
  <c r="F4290" i="127"/>
  <c r="F4291" i="127"/>
  <c r="F4292" i="127"/>
  <c r="F4293" i="127"/>
  <c r="F4294" i="127"/>
  <c r="F4295" i="127"/>
  <c r="F4296" i="127"/>
  <c r="F4297" i="127"/>
  <c r="F4298" i="127"/>
  <c r="F4299" i="127"/>
  <c r="F4300" i="127"/>
  <c r="F4301" i="127"/>
  <c r="F4302" i="127"/>
  <c r="F4303" i="127"/>
  <c r="F4304" i="127"/>
  <c r="F4305" i="127"/>
  <c r="F4306" i="127"/>
  <c r="F4307" i="127"/>
  <c r="F4308" i="127"/>
  <c r="F4309" i="127"/>
  <c r="F4310" i="127"/>
  <c r="F4311" i="127"/>
  <c r="F4312" i="127"/>
  <c r="F4313" i="127"/>
  <c r="F4314" i="127"/>
  <c r="F4315" i="127"/>
  <c r="F4316" i="127"/>
  <c r="F4317" i="127"/>
  <c r="F4318" i="127"/>
  <c r="F4319" i="127"/>
  <c r="F4320" i="127"/>
  <c r="F4321" i="127"/>
  <c r="F4322" i="127"/>
  <c r="F4323" i="127"/>
  <c r="F4514" i="127"/>
  <c r="C3358" i="127" l="1"/>
  <c r="C3359" i="127"/>
  <c r="C3360" i="127"/>
  <c r="C3361" i="127"/>
  <c r="C3362" i="127"/>
  <c r="C3363" i="127"/>
  <c r="C3364" i="127"/>
  <c r="C3365" i="127"/>
  <c r="C3366" i="127"/>
  <c r="C3367" i="127"/>
  <c r="C3368" i="127"/>
  <c r="C3369" i="127"/>
  <c r="C3370" i="127"/>
  <c r="C3371" i="127"/>
  <c r="C3372" i="127"/>
  <c r="C3373" i="127"/>
  <c r="C3374" i="127"/>
  <c r="C3375" i="127"/>
  <c r="C3376" i="127"/>
  <c r="C3377" i="127"/>
  <c r="C3378" i="127"/>
  <c r="C3379" i="127"/>
  <c r="C3380" i="127"/>
  <c r="C3381" i="127"/>
  <c r="C3382" i="127"/>
  <c r="C3383" i="127"/>
  <c r="C3384" i="127"/>
  <c r="C3385" i="127"/>
  <c r="C3338" i="127" l="1"/>
  <c r="C3339" i="127"/>
  <c r="C3340" i="127"/>
  <c r="C3341" i="127"/>
  <c r="C3342" i="127"/>
  <c r="C3343" i="127"/>
  <c r="C3344" i="127"/>
  <c r="C3345" i="127"/>
  <c r="C3346" i="127"/>
  <c r="C3347" i="127"/>
  <c r="C3348" i="127"/>
  <c r="C3349" i="127"/>
  <c r="C3350" i="127"/>
  <c r="C3351" i="127"/>
  <c r="C3352" i="127"/>
  <c r="C3353" i="127"/>
  <c r="C3354" i="127"/>
  <c r="C3355" i="127"/>
  <c r="C3356" i="127"/>
  <c r="C3357" i="127"/>
  <c r="C3321" i="127" l="1"/>
  <c r="C3322" i="127"/>
  <c r="C3323" i="127"/>
  <c r="C3324" i="127"/>
  <c r="C3325" i="127"/>
  <c r="C3326" i="127"/>
  <c r="C3327" i="127"/>
  <c r="C3328" i="127"/>
  <c r="C3329" i="127"/>
  <c r="C3330" i="127"/>
  <c r="C3331" i="127"/>
  <c r="C3332" i="127"/>
  <c r="C3333" i="127"/>
  <c r="C3334" i="127"/>
  <c r="C3335" i="127"/>
  <c r="C3336" i="127"/>
  <c r="C3337" i="127"/>
  <c r="C3317" i="127" l="1"/>
  <c r="C3318" i="127"/>
  <c r="C3319" i="127"/>
  <c r="C3320" i="127"/>
  <c r="H552" i="121" l="1"/>
  <c r="I552" i="121"/>
  <c r="H551" i="121"/>
  <c r="I551" i="121"/>
  <c r="H550" i="121"/>
  <c r="I550" i="121"/>
  <c r="H549" i="121"/>
  <c r="I549" i="121"/>
  <c r="H548" i="121"/>
  <c r="I548" i="121"/>
  <c r="H547" i="121"/>
  <c r="I547" i="121"/>
  <c r="H542" i="121"/>
  <c r="I542" i="121"/>
  <c r="H535" i="121"/>
  <c r="I535" i="121"/>
  <c r="I515" i="121"/>
  <c r="H515" i="121"/>
  <c r="I2242" i="121"/>
  <c r="H2242" i="121"/>
  <c r="I2241" i="121"/>
  <c r="H2241" i="121"/>
  <c r="I2240" i="121"/>
  <c r="H2240" i="121"/>
  <c r="I2239" i="121"/>
  <c r="H2239" i="121"/>
  <c r="I2238" i="121"/>
  <c r="H2238" i="121"/>
  <c r="I2237" i="121"/>
  <c r="H2237" i="121"/>
  <c r="I2236" i="121"/>
  <c r="H2236" i="121"/>
  <c r="I2235" i="121"/>
  <c r="H2235" i="121"/>
  <c r="I2234" i="121"/>
  <c r="H2234" i="121"/>
  <c r="I2233" i="121"/>
  <c r="H2233" i="121"/>
  <c r="I2232" i="121"/>
  <c r="H2232" i="121"/>
  <c r="I2231" i="121"/>
  <c r="H2231" i="121"/>
  <c r="I2230" i="121"/>
  <c r="H2230" i="121"/>
  <c r="I2229" i="121"/>
  <c r="H2229" i="121"/>
  <c r="I2228" i="121"/>
  <c r="H2228" i="121"/>
  <c r="I2227" i="121"/>
  <c r="H2227" i="121"/>
  <c r="I2226" i="121"/>
  <c r="H2226" i="121"/>
  <c r="I2225" i="121"/>
  <c r="H2225" i="121"/>
  <c r="I2224" i="121"/>
  <c r="H2224" i="121"/>
  <c r="I2223" i="121"/>
  <c r="H2223" i="121"/>
  <c r="I2222" i="121"/>
  <c r="H2222" i="121"/>
  <c r="I2221" i="121"/>
  <c r="H2221" i="121"/>
  <c r="I2220" i="121"/>
  <c r="H2220" i="121"/>
  <c r="I2219" i="121"/>
  <c r="H2219" i="121"/>
  <c r="I2218" i="121"/>
  <c r="H2218" i="121"/>
  <c r="I2217" i="121"/>
  <c r="H2217" i="121"/>
  <c r="I2216" i="121"/>
  <c r="H2216" i="121"/>
  <c r="I2215" i="121"/>
  <c r="H2215" i="121"/>
  <c r="I2214" i="121"/>
  <c r="H2214" i="121"/>
  <c r="I2213" i="121"/>
  <c r="H2213" i="121"/>
  <c r="I2212" i="121"/>
  <c r="H2212" i="121"/>
  <c r="I2211" i="121"/>
  <c r="H2211" i="121"/>
  <c r="I2210" i="121"/>
  <c r="H2210" i="121"/>
  <c r="I2209" i="121"/>
  <c r="H2209" i="121"/>
  <c r="I2208" i="121"/>
  <c r="H2208" i="121"/>
  <c r="I2207" i="121"/>
  <c r="H2207" i="121"/>
  <c r="I2206" i="121"/>
  <c r="H2206" i="121"/>
  <c r="I2205" i="121"/>
  <c r="H2205" i="121"/>
  <c r="I2204" i="121"/>
  <c r="H2204" i="121"/>
  <c r="I2203" i="121"/>
  <c r="H2203" i="121"/>
  <c r="I2202" i="121"/>
  <c r="H2202" i="121"/>
  <c r="I2201" i="121"/>
  <c r="H2201" i="121"/>
  <c r="I2200" i="121"/>
  <c r="H2200" i="121"/>
  <c r="I2199" i="121"/>
  <c r="H2199" i="121"/>
  <c r="I2198" i="121"/>
  <c r="H2198" i="121"/>
  <c r="I2197" i="121"/>
  <c r="H2197" i="121"/>
  <c r="I2196" i="121"/>
  <c r="H2196" i="121"/>
  <c r="I2195" i="121"/>
  <c r="H2195" i="121"/>
  <c r="I2194" i="121"/>
  <c r="H2194" i="121"/>
  <c r="I2193" i="121"/>
  <c r="H2193" i="121"/>
  <c r="I2192" i="121"/>
  <c r="H2192" i="121"/>
  <c r="I2191" i="121"/>
  <c r="H2191" i="121"/>
  <c r="I2190" i="121"/>
  <c r="H2190" i="121"/>
  <c r="I2189" i="121"/>
  <c r="H2189" i="121"/>
  <c r="I2188" i="121"/>
  <c r="H2188" i="121"/>
  <c r="I2187" i="121"/>
  <c r="H2187" i="121"/>
  <c r="I2186" i="121"/>
  <c r="H2186" i="121"/>
  <c r="I2185" i="121"/>
  <c r="H2185" i="121"/>
  <c r="I2184" i="121"/>
  <c r="H2184" i="121"/>
  <c r="I2183" i="121"/>
  <c r="H2183" i="121"/>
  <c r="I2182" i="121"/>
  <c r="H2182" i="121"/>
  <c r="I2181" i="121"/>
  <c r="H2181" i="121"/>
  <c r="I2180" i="121"/>
  <c r="H2180" i="121"/>
  <c r="I2179" i="121"/>
  <c r="H2179" i="121"/>
  <c r="I2178" i="121"/>
  <c r="H2178" i="121"/>
  <c r="I2177" i="121"/>
  <c r="H2177" i="121"/>
  <c r="I2176" i="121"/>
  <c r="H2176" i="121"/>
  <c r="I2175" i="121"/>
  <c r="H2175" i="121"/>
  <c r="I2174" i="121"/>
  <c r="H2174" i="121"/>
  <c r="I2173" i="121"/>
  <c r="H2173" i="121"/>
  <c r="I2172" i="121"/>
  <c r="H2172" i="121"/>
  <c r="I2171" i="121"/>
  <c r="H2171" i="121"/>
  <c r="I2170" i="121"/>
  <c r="H2170" i="121"/>
  <c r="I2169" i="121"/>
  <c r="H2169" i="121"/>
  <c r="I2168" i="121"/>
  <c r="H2168" i="121"/>
  <c r="I2167" i="121"/>
  <c r="H2167" i="121"/>
  <c r="I2166" i="121"/>
  <c r="H2166" i="121"/>
  <c r="I2165" i="121"/>
  <c r="H2165" i="121"/>
  <c r="I2164" i="121"/>
  <c r="H2164" i="121"/>
  <c r="I2163" i="121"/>
  <c r="H2163" i="121"/>
  <c r="I2162" i="121"/>
  <c r="H2162" i="121"/>
  <c r="I2161" i="121"/>
  <c r="H2161" i="121"/>
  <c r="I2160" i="121"/>
  <c r="H2160" i="121"/>
  <c r="I2159" i="121"/>
  <c r="H2159" i="121"/>
  <c r="I2158" i="121"/>
  <c r="H2158" i="121"/>
  <c r="I2157" i="121"/>
  <c r="H2157" i="121"/>
  <c r="I2156" i="121"/>
  <c r="H2156" i="121"/>
  <c r="I2155" i="121"/>
  <c r="H2155" i="121"/>
  <c r="I2154" i="121"/>
  <c r="H2154" i="121"/>
  <c r="I2153" i="121"/>
  <c r="H2153" i="121"/>
  <c r="I2152" i="121"/>
  <c r="H2152" i="121"/>
  <c r="I2151" i="121"/>
  <c r="H2151" i="121"/>
  <c r="I2150" i="121"/>
  <c r="H2150" i="121"/>
  <c r="I2149" i="121"/>
  <c r="H2149" i="121"/>
  <c r="I2148" i="121"/>
  <c r="H2148" i="121"/>
  <c r="I2147" i="121"/>
  <c r="H2147" i="121"/>
  <c r="I2146" i="121"/>
  <c r="H2146" i="121"/>
  <c r="I2145" i="121"/>
  <c r="H2145" i="121"/>
  <c r="I2144" i="121"/>
  <c r="H2144" i="121"/>
  <c r="I2143" i="121"/>
  <c r="H2143" i="121"/>
  <c r="I2142" i="121"/>
  <c r="H2142" i="121"/>
  <c r="I2141" i="121"/>
  <c r="H2141" i="121"/>
  <c r="I2140" i="121"/>
  <c r="H2140" i="121"/>
  <c r="I2139" i="121"/>
  <c r="H2139" i="121"/>
  <c r="I2138" i="121"/>
  <c r="H2138" i="121"/>
  <c r="I2137" i="121"/>
  <c r="H2137" i="121"/>
  <c r="I2136" i="121"/>
  <c r="H2136" i="121"/>
  <c r="I2135" i="121"/>
  <c r="H2135" i="121"/>
  <c r="I2134" i="121"/>
  <c r="H2134" i="121"/>
  <c r="I2133" i="121"/>
  <c r="H2133" i="121"/>
  <c r="I2132" i="121"/>
  <c r="H2132" i="121"/>
  <c r="I2131" i="121"/>
  <c r="H2131" i="121"/>
  <c r="I2130" i="121"/>
  <c r="H2130" i="121"/>
  <c r="I2129" i="121"/>
  <c r="H2129" i="121"/>
  <c r="I2128" i="121"/>
  <c r="H2128" i="121"/>
  <c r="I2127" i="121"/>
  <c r="H2127" i="121"/>
  <c r="I2126" i="121"/>
  <c r="H2126" i="121"/>
  <c r="I2125" i="121"/>
  <c r="H2125" i="121"/>
  <c r="I2124" i="121"/>
  <c r="H2124" i="121"/>
  <c r="I2123" i="121"/>
  <c r="H2123" i="121"/>
  <c r="I2122" i="121"/>
  <c r="H2122" i="121"/>
  <c r="I2121" i="121"/>
  <c r="H2121" i="121"/>
  <c r="I2120" i="121"/>
  <c r="H2120" i="121"/>
  <c r="I2119" i="121"/>
  <c r="H2119" i="121"/>
  <c r="I2118" i="121"/>
  <c r="H2118" i="121"/>
  <c r="I2117" i="121"/>
  <c r="H2117" i="121"/>
  <c r="I2116" i="121"/>
  <c r="H2116" i="121"/>
  <c r="I2115" i="121"/>
  <c r="H2115" i="121"/>
  <c r="I2114" i="121"/>
  <c r="H2114" i="121"/>
  <c r="I2113" i="121"/>
  <c r="H2113" i="121"/>
  <c r="I2112" i="121"/>
  <c r="H2112" i="121"/>
  <c r="I2111" i="121"/>
  <c r="H2111" i="121"/>
  <c r="I2110" i="121"/>
  <c r="H2110" i="121"/>
  <c r="I2109" i="121"/>
  <c r="H2109" i="121"/>
  <c r="I2108" i="121"/>
  <c r="H2108" i="121"/>
  <c r="I2107" i="121"/>
  <c r="H2107" i="121"/>
  <c r="I2106" i="121"/>
  <c r="H2106" i="121"/>
  <c r="I2105" i="121"/>
  <c r="H2105" i="121"/>
  <c r="I2104" i="121"/>
  <c r="H2104" i="121"/>
  <c r="I2103" i="121"/>
  <c r="H2103" i="121"/>
  <c r="I2102" i="121"/>
  <c r="H2102" i="121"/>
  <c r="I2101" i="121"/>
  <c r="H2101" i="121"/>
  <c r="I2100" i="121"/>
  <c r="H2100" i="121"/>
  <c r="I2099" i="121"/>
  <c r="H2099" i="121"/>
  <c r="I2098" i="121"/>
  <c r="H2098" i="121"/>
  <c r="I2097" i="121"/>
  <c r="H2097" i="121"/>
  <c r="I2096" i="121"/>
  <c r="H2096" i="121"/>
  <c r="I2095" i="121"/>
  <c r="H2095" i="121"/>
  <c r="I2094" i="121"/>
  <c r="H2094" i="121"/>
  <c r="I2093" i="121"/>
  <c r="H2093" i="121"/>
  <c r="I2092" i="121"/>
  <c r="H2092" i="121"/>
  <c r="I2091" i="121"/>
  <c r="H2091" i="121"/>
  <c r="I2090" i="121"/>
  <c r="H2090" i="121"/>
  <c r="I2089" i="121"/>
  <c r="H2089" i="121"/>
  <c r="I2088" i="121"/>
  <c r="H2088" i="121"/>
  <c r="I2087" i="121"/>
  <c r="H2087" i="121"/>
  <c r="I2086" i="121"/>
  <c r="H2086" i="121"/>
  <c r="I2085" i="121"/>
  <c r="H2085" i="121"/>
  <c r="I2084" i="121"/>
  <c r="H2084" i="121"/>
  <c r="I2083" i="121"/>
  <c r="H2083" i="121"/>
  <c r="I2082" i="121"/>
  <c r="H2082" i="121"/>
  <c r="I2081" i="121"/>
  <c r="H2081" i="121"/>
  <c r="I2080" i="121"/>
  <c r="H2080" i="121"/>
  <c r="I2079" i="121"/>
  <c r="H2079" i="121"/>
  <c r="I2078" i="121"/>
  <c r="H2078" i="121"/>
  <c r="I2077" i="121"/>
  <c r="H2077" i="121"/>
  <c r="I2076" i="121"/>
  <c r="H2076" i="121"/>
  <c r="I2075" i="121"/>
  <c r="H2075" i="121"/>
  <c r="I2074" i="121"/>
  <c r="H2074" i="121"/>
  <c r="I2073" i="121"/>
  <c r="H2073" i="121"/>
  <c r="I2072" i="121"/>
  <c r="H2072" i="121"/>
  <c r="I2071" i="121"/>
  <c r="H2071" i="121"/>
  <c r="I2070" i="121"/>
  <c r="H2070" i="121"/>
  <c r="I2069" i="121"/>
  <c r="H2069" i="121"/>
  <c r="I2068" i="121"/>
  <c r="H2068" i="121"/>
  <c r="I2067" i="121"/>
  <c r="H2067" i="121"/>
  <c r="I2066" i="121"/>
  <c r="H2066" i="121"/>
  <c r="I2065" i="121"/>
  <c r="H2065" i="121"/>
  <c r="I2064" i="121"/>
  <c r="H2064" i="121"/>
  <c r="I2063" i="121"/>
  <c r="H2063" i="121"/>
  <c r="I2062" i="121"/>
  <c r="H2062" i="121"/>
  <c r="I2061" i="121"/>
  <c r="H2061" i="121"/>
  <c r="I2060" i="121"/>
  <c r="H2060" i="121"/>
  <c r="I2059" i="121"/>
  <c r="H2059" i="121"/>
  <c r="I2058" i="121"/>
  <c r="H2058" i="121"/>
  <c r="I2057" i="121"/>
  <c r="H2057" i="121"/>
  <c r="I2056" i="121"/>
  <c r="H2056" i="121"/>
  <c r="I2055" i="121"/>
  <c r="H2055" i="121"/>
  <c r="I2054" i="121"/>
  <c r="H2054" i="121"/>
  <c r="I2053" i="121"/>
  <c r="H2053" i="121"/>
  <c r="I2052" i="121"/>
  <c r="H2052" i="121"/>
  <c r="I2051" i="121"/>
  <c r="H2051" i="121"/>
  <c r="I2050" i="121"/>
  <c r="H2050" i="121"/>
  <c r="I2049" i="121"/>
  <c r="H2049" i="121"/>
  <c r="I2048" i="121"/>
  <c r="H2048" i="121"/>
  <c r="I2047" i="121"/>
  <c r="H2047" i="121"/>
  <c r="I2046" i="121"/>
  <c r="H2046" i="121"/>
  <c r="I2045" i="121"/>
  <c r="H2045" i="121"/>
  <c r="I2044" i="121"/>
  <c r="H2044" i="121"/>
  <c r="I2043" i="121"/>
  <c r="H2043" i="121"/>
  <c r="I2042" i="121"/>
  <c r="H2042" i="121"/>
  <c r="I2041" i="121"/>
  <c r="H2041" i="121"/>
  <c r="I2040" i="121"/>
  <c r="H2040" i="121"/>
  <c r="I2039" i="121"/>
  <c r="H2039" i="121"/>
  <c r="I2038" i="121"/>
  <c r="H2038" i="121"/>
  <c r="I2037" i="121"/>
  <c r="H2037" i="121"/>
  <c r="I2036" i="121"/>
  <c r="H2036" i="121"/>
  <c r="I2035" i="121"/>
  <c r="H2035" i="121"/>
  <c r="I2034" i="121"/>
  <c r="H2034" i="121"/>
  <c r="I2033" i="121"/>
  <c r="H2033" i="121"/>
  <c r="I2032" i="121"/>
  <c r="H2032" i="121"/>
  <c r="I2031" i="121"/>
  <c r="H2031" i="121"/>
  <c r="I2030" i="121"/>
  <c r="H2030" i="121"/>
  <c r="I2029" i="121"/>
  <c r="H2029" i="121"/>
  <c r="I2028" i="121"/>
  <c r="H2028" i="121"/>
  <c r="I2027" i="121"/>
  <c r="H2027" i="121"/>
  <c r="I2026" i="121"/>
  <c r="H2026" i="121"/>
  <c r="I2025" i="121"/>
  <c r="H2025" i="121"/>
  <c r="I2024" i="121"/>
  <c r="H2024" i="121"/>
  <c r="I2023" i="121"/>
  <c r="H2023" i="121"/>
  <c r="I2022" i="121"/>
  <c r="H2022" i="121"/>
  <c r="I2021" i="121"/>
  <c r="H2021" i="121"/>
  <c r="I2020" i="121"/>
  <c r="H2020" i="121"/>
  <c r="I2019" i="121"/>
  <c r="H2019" i="121"/>
  <c r="I2018" i="121"/>
  <c r="H2018" i="121"/>
  <c r="I2017" i="121"/>
  <c r="H2017" i="121"/>
  <c r="I2016" i="121"/>
  <c r="H2016" i="121"/>
  <c r="I2015" i="121"/>
  <c r="H2015" i="121"/>
  <c r="I2014" i="121"/>
  <c r="H2014" i="121"/>
  <c r="I2013" i="121"/>
  <c r="H2013" i="121"/>
  <c r="I2012" i="121"/>
  <c r="H2012" i="121"/>
  <c r="I2011" i="121"/>
  <c r="H2011" i="121"/>
  <c r="I2010" i="121"/>
  <c r="H2010" i="121"/>
  <c r="I2009" i="121"/>
  <c r="H2009" i="121"/>
  <c r="I2008" i="121"/>
  <c r="H2008" i="121"/>
  <c r="I2007" i="121"/>
  <c r="H2007" i="121"/>
  <c r="I2006" i="121"/>
  <c r="H2006" i="121"/>
  <c r="I2005" i="121"/>
  <c r="H2005" i="121"/>
  <c r="I2004" i="121"/>
  <c r="H2004" i="121"/>
  <c r="I2003" i="121"/>
  <c r="H2003" i="121"/>
  <c r="I2002" i="121"/>
  <c r="H2002" i="121"/>
  <c r="I2001" i="121"/>
  <c r="H2001" i="121"/>
  <c r="I2000" i="121"/>
  <c r="H2000" i="121"/>
  <c r="I1999" i="121"/>
  <c r="H1999" i="121"/>
  <c r="I1998" i="121"/>
  <c r="H1998" i="121"/>
  <c r="I1997" i="121"/>
  <c r="H1997" i="121"/>
  <c r="I1996" i="121"/>
  <c r="H1996" i="121"/>
  <c r="I1995" i="121"/>
  <c r="H1995" i="121"/>
  <c r="I1994" i="121"/>
  <c r="H1994" i="121"/>
  <c r="I1993" i="121"/>
  <c r="H1993" i="121"/>
  <c r="I1992" i="121"/>
  <c r="H1992" i="121"/>
  <c r="I1991" i="121"/>
  <c r="H1991" i="121"/>
  <c r="I1990" i="121"/>
  <c r="H1990" i="121"/>
  <c r="I1989" i="121"/>
  <c r="H1989" i="121"/>
  <c r="I1988" i="121"/>
  <c r="H1988" i="121"/>
  <c r="I1987" i="121"/>
  <c r="H1987" i="121"/>
  <c r="I1986" i="121"/>
  <c r="H1986" i="121"/>
  <c r="I1985" i="121"/>
  <c r="H1985" i="121"/>
  <c r="I1984" i="121"/>
  <c r="H1984" i="121"/>
  <c r="I1983" i="121"/>
  <c r="H1983" i="121"/>
  <c r="I1982" i="121"/>
  <c r="H1982" i="121"/>
  <c r="I1981" i="121"/>
  <c r="H1981" i="121"/>
  <c r="I1980" i="121"/>
  <c r="H1980" i="121"/>
  <c r="I1979" i="121"/>
  <c r="H1979" i="121"/>
  <c r="I1978" i="121"/>
  <c r="H1978" i="121"/>
  <c r="I1977" i="121"/>
  <c r="H1977" i="121"/>
  <c r="I1976" i="121"/>
  <c r="H1976" i="121"/>
  <c r="I1975" i="121"/>
  <c r="H1975" i="121"/>
  <c r="I1974" i="121"/>
  <c r="H1974" i="121"/>
  <c r="I1973" i="121"/>
  <c r="H1973" i="121"/>
  <c r="I1972" i="121"/>
  <c r="H1972" i="121"/>
  <c r="I1971" i="121"/>
  <c r="H1971" i="121"/>
  <c r="I1970" i="121"/>
  <c r="H1970" i="121"/>
  <c r="I1969" i="121"/>
  <c r="H1969" i="121"/>
  <c r="I1968" i="121"/>
  <c r="H1968" i="121"/>
  <c r="I1967" i="121"/>
  <c r="H1967" i="121"/>
  <c r="I1966" i="121"/>
  <c r="H1966" i="121"/>
  <c r="I1965" i="121"/>
  <c r="H1965" i="121"/>
  <c r="I1964" i="121"/>
  <c r="H1964" i="121"/>
  <c r="I1963" i="121"/>
  <c r="H1963" i="121"/>
  <c r="I1962" i="121"/>
  <c r="H1962" i="121"/>
  <c r="I1961" i="121"/>
  <c r="H1961" i="121"/>
  <c r="I1960" i="121"/>
  <c r="H1960" i="121"/>
  <c r="I1959" i="121"/>
  <c r="H1959" i="121"/>
  <c r="I1958" i="121"/>
  <c r="H1958" i="121"/>
  <c r="I1957" i="121"/>
  <c r="H1957" i="121"/>
  <c r="I1956" i="121"/>
  <c r="H1956" i="121"/>
  <c r="I1955" i="121"/>
  <c r="H1955" i="121"/>
  <c r="I1954" i="121"/>
  <c r="H1954" i="121"/>
  <c r="I1953" i="121"/>
  <c r="H1953" i="121"/>
  <c r="I1952" i="121"/>
  <c r="H1952" i="121"/>
  <c r="I1951" i="121"/>
  <c r="H1951" i="121"/>
  <c r="I1950" i="121"/>
  <c r="H1950" i="121"/>
  <c r="I1949" i="121"/>
  <c r="H1949" i="121"/>
  <c r="I1948" i="121"/>
  <c r="H1948" i="121"/>
  <c r="I1947" i="121"/>
  <c r="H1947" i="121"/>
  <c r="I1946" i="121"/>
  <c r="H1946" i="121"/>
  <c r="I1945" i="121"/>
  <c r="H1945" i="121"/>
  <c r="I1944" i="121"/>
  <c r="H1944" i="121"/>
  <c r="I1943" i="121"/>
  <c r="H1943" i="121"/>
  <c r="I1942" i="121"/>
  <c r="H1942" i="121"/>
  <c r="I1941" i="121"/>
  <c r="H1941" i="121"/>
  <c r="I1940" i="121"/>
  <c r="H1940" i="121"/>
  <c r="I1939" i="121"/>
  <c r="H1939" i="121"/>
  <c r="I1938" i="121"/>
  <c r="H1938" i="121"/>
  <c r="I1937" i="121"/>
  <c r="H1937" i="121"/>
  <c r="I1936" i="121"/>
  <c r="H1936" i="121"/>
  <c r="I1935" i="121"/>
  <c r="H1935" i="121"/>
  <c r="I1934" i="121"/>
  <c r="H1934" i="121"/>
  <c r="I1933" i="121"/>
  <c r="H1933" i="121"/>
  <c r="I1932" i="121"/>
  <c r="H1932" i="121"/>
  <c r="I1931" i="121"/>
  <c r="H1931" i="121"/>
  <c r="I1930" i="121"/>
  <c r="H1930" i="121"/>
  <c r="I1929" i="121"/>
  <c r="H1929" i="121"/>
  <c r="I1928" i="121"/>
  <c r="H1928" i="121"/>
  <c r="I1927" i="121"/>
  <c r="H1927" i="121"/>
  <c r="I1926" i="121"/>
  <c r="H1926" i="121"/>
  <c r="I1925" i="121"/>
  <c r="H1925" i="121"/>
  <c r="I1924" i="121"/>
  <c r="H1924" i="121"/>
  <c r="I1923" i="121"/>
  <c r="H1923" i="121"/>
  <c r="I1922" i="121"/>
  <c r="H1922" i="121"/>
  <c r="I1921" i="121"/>
  <c r="H1921" i="121"/>
  <c r="I1920" i="121"/>
  <c r="H1920" i="121"/>
  <c r="I1919" i="121"/>
  <c r="H1919" i="121"/>
  <c r="I1918" i="121"/>
  <c r="H1918" i="121"/>
  <c r="I1917" i="121"/>
  <c r="H1917" i="121"/>
  <c r="I1916" i="121"/>
  <c r="H1916" i="121"/>
  <c r="I1915" i="121"/>
  <c r="H1915" i="121"/>
  <c r="I1914" i="121"/>
  <c r="H1914" i="121"/>
  <c r="I1913" i="121"/>
  <c r="H1913" i="121"/>
  <c r="I1912" i="121"/>
  <c r="H1912" i="121"/>
  <c r="I1911" i="121"/>
  <c r="H1911" i="121"/>
  <c r="I1910" i="121"/>
  <c r="H1910" i="121"/>
  <c r="I1909" i="121"/>
  <c r="H1909" i="121"/>
  <c r="I1908" i="121"/>
  <c r="H1908" i="121"/>
  <c r="I1907" i="121"/>
  <c r="H1907" i="121"/>
  <c r="I1906" i="121"/>
  <c r="H1906" i="121"/>
  <c r="I1905" i="121"/>
  <c r="H1905" i="121"/>
  <c r="I1904" i="121"/>
  <c r="H1904" i="121"/>
  <c r="I1903" i="121"/>
  <c r="H1903" i="121"/>
  <c r="I1902" i="121"/>
  <c r="H1902" i="121"/>
  <c r="I1901" i="121"/>
  <c r="H1901" i="121"/>
  <c r="I1900" i="121"/>
  <c r="H1900" i="121"/>
  <c r="I1899" i="121"/>
  <c r="H1899" i="121"/>
  <c r="I1898" i="121"/>
  <c r="H1898" i="121"/>
  <c r="I1897" i="121"/>
  <c r="H1897" i="121"/>
  <c r="I1896" i="121"/>
  <c r="H1896" i="121"/>
  <c r="I1895" i="121"/>
  <c r="H1895" i="121"/>
  <c r="I1894" i="121"/>
  <c r="H1894" i="121"/>
  <c r="I1893" i="121"/>
  <c r="H1893" i="121"/>
  <c r="I1892" i="121"/>
  <c r="H1892" i="121"/>
  <c r="I1891" i="121"/>
  <c r="H1891" i="121"/>
  <c r="I1890" i="121"/>
  <c r="H1890" i="121"/>
  <c r="I1889" i="121"/>
  <c r="H1889" i="121"/>
  <c r="I1888" i="121"/>
  <c r="H1888" i="121"/>
  <c r="I1887" i="121"/>
  <c r="H1887" i="121"/>
  <c r="I1886" i="121"/>
  <c r="H1886" i="121"/>
  <c r="I1885" i="121"/>
  <c r="H1885" i="121"/>
  <c r="I1884" i="121"/>
  <c r="H1884" i="121"/>
  <c r="I1883" i="121"/>
  <c r="H1883" i="121"/>
  <c r="I1882" i="121"/>
  <c r="H1882" i="121"/>
  <c r="I1881" i="121"/>
  <c r="H1881" i="121"/>
  <c r="I1880" i="121"/>
  <c r="H1880" i="121"/>
  <c r="I1879" i="121"/>
  <c r="H1879" i="121"/>
  <c r="I1878" i="121"/>
  <c r="H1878" i="121"/>
  <c r="I1877" i="121"/>
  <c r="H1877" i="121"/>
  <c r="I1876" i="121"/>
  <c r="H1876" i="121"/>
  <c r="I1875" i="121"/>
  <c r="H1875" i="121"/>
  <c r="I1874" i="121"/>
  <c r="H1874" i="121"/>
  <c r="I1873" i="121"/>
  <c r="H1873" i="121"/>
  <c r="I1872" i="121"/>
  <c r="H1872" i="121"/>
  <c r="I1871" i="121"/>
  <c r="H1871" i="121"/>
  <c r="I1870" i="121"/>
  <c r="H1870" i="121"/>
  <c r="I1869" i="121"/>
  <c r="H1869" i="121"/>
  <c r="I1868" i="121"/>
  <c r="H1868" i="121"/>
  <c r="I1867" i="121"/>
  <c r="H1867" i="121"/>
  <c r="I1866" i="121"/>
  <c r="H1866" i="121"/>
  <c r="I1865" i="121"/>
  <c r="H1865" i="121"/>
  <c r="I1864" i="121"/>
  <c r="H1864" i="121"/>
  <c r="I1863" i="121"/>
  <c r="H1863" i="121"/>
  <c r="I1862" i="121"/>
  <c r="H1862" i="121"/>
  <c r="I1861" i="121"/>
  <c r="H1861" i="121"/>
  <c r="I1860" i="121"/>
  <c r="H1860" i="121"/>
  <c r="I1859" i="121"/>
  <c r="H1859" i="121"/>
  <c r="I1858" i="121"/>
  <c r="H1858" i="121"/>
  <c r="I1857" i="121"/>
  <c r="H1857" i="121"/>
  <c r="I1856" i="121"/>
  <c r="H1856" i="121"/>
  <c r="I1855" i="121"/>
  <c r="H1855" i="121"/>
  <c r="I1854" i="121"/>
  <c r="H1854" i="121"/>
  <c r="I1853" i="121"/>
  <c r="H1853" i="121"/>
  <c r="I1852" i="121"/>
  <c r="H1852" i="121"/>
  <c r="I1851" i="121"/>
  <c r="H1851" i="121"/>
  <c r="I1850" i="121"/>
  <c r="H1850" i="121"/>
  <c r="I1849" i="121"/>
  <c r="H1849" i="121"/>
  <c r="I1848" i="121"/>
  <c r="H1848" i="121"/>
  <c r="I1847" i="121"/>
  <c r="H1847" i="121"/>
  <c r="I1846" i="121"/>
  <c r="H1846" i="121"/>
  <c r="I1845" i="121"/>
  <c r="H1845" i="121"/>
  <c r="I1844" i="121"/>
  <c r="H1844" i="121"/>
  <c r="I1843" i="121"/>
  <c r="H1843" i="121"/>
  <c r="I1842" i="121"/>
  <c r="H1842" i="121"/>
  <c r="I1841" i="121"/>
  <c r="H1841" i="121"/>
  <c r="I1840" i="121"/>
  <c r="H1840" i="121"/>
  <c r="I1839" i="121"/>
  <c r="H1839" i="121"/>
  <c r="I1838" i="121"/>
  <c r="H1838" i="121"/>
  <c r="I1837" i="121"/>
  <c r="H1837" i="121"/>
  <c r="I1836" i="121"/>
  <c r="H1836" i="121"/>
  <c r="I1835" i="121"/>
  <c r="H1835" i="121"/>
  <c r="I1834" i="121"/>
  <c r="H1834" i="121"/>
  <c r="I1833" i="121"/>
  <c r="H1833" i="121"/>
  <c r="I1832" i="121"/>
  <c r="H1832" i="121"/>
  <c r="I1831" i="121"/>
  <c r="H1831" i="121"/>
  <c r="I1830" i="121"/>
  <c r="H1830" i="121"/>
  <c r="I1829" i="121"/>
  <c r="H1829" i="121"/>
  <c r="I1828" i="121"/>
  <c r="H1828" i="121"/>
  <c r="I1827" i="121"/>
  <c r="H1827" i="121"/>
  <c r="I1826" i="121"/>
  <c r="H1826" i="121"/>
  <c r="I1825" i="121"/>
  <c r="H1825" i="121"/>
  <c r="I1824" i="121"/>
  <c r="H1824" i="121"/>
  <c r="I1823" i="121"/>
  <c r="H1823" i="121"/>
  <c r="I1822" i="121"/>
  <c r="H1822" i="121"/>
  <c r="I1821" i="121"/>
  <c r="H1821" i="121"/>
  <c r="I1820" i="121"/>
  <c r="H1820" i="121"/>
  <c r="I1819" i="121"/>
  <c r="H1819" i="121"/>
  <c r="I1818" i="121"/>
  <c r="H1818" i="121"/>
  <c r="I1817" i="121"/>
  <c r="H1817" i="121"/>
  <c r="I1816" i="121"/>
  <c r="H1816" i="121"/>
  <c r="I1815" i="121"/>
  <c r="H1815" i="121"/>
  <c r="I1814" i="121"/>
  <c r="H1814" i="121"/>
  <c r="I1813" i="121"/>
  <c r="H1813" i="121"/>
  <c r="I1812" i="121"/>
  <c r="H1812" i="121"/>
  <c r="I1811" i="121"/>
  <c r="H1811" i="121"/>
  <c r="I1810" i="121"/>
  <c r="H1810" i="121"/>
  <c r="I1809" i="121"/>
  <c r="H1809" i="121"/>
  <c r="I1808" i="121"/>
  <c r="H1808" i="121"/>
  <c r="I1807" i="121"/>
  <c r="H1807" i="121"/>
  <c r="I1806" i="121"/>
  <c r="H1806" i="121"/>
  <c r="I1805" i="121"/>
  <c r="H1805" i="121"/>
  <c r="I1804" i="121"/>
  <c r="H1804" i="121"/>
  <c r="I1803" i="121"/>
  <c r="H1803" i="121"/>
  <c r="I1802" i="121"/>
  <c r="H1802" i="121"/>
  <c r="I1801" i="121"/>
  <c r="H1801" i="121"/>
  <c r="I1800" i="121"/>
  <c r="H1800" i="121"/>
  <c r="I1799" i="121"/>
  <c r="H1799" i="121"/>
  <c r="I1798" i="121"/>
  <c r="H1798" i="121"/>
  <c r="I1797" i="121"/>
  <c r="H1797" i="121"/>
  <c r="I1796" i="121"/>
  <c r="H1796" i="121"/>
  <c r="I1795" i="121"/>
  <c r="H1795" i="121"/>
  <c r="I1794" i="121"/>
  <c r="H1794" i="121"/>
  <c r="I1793" i="121"/>
  <c r="H1793" i="121"/>
  <c r="I1792" i="121"/>
  <c r="H1792" i="121"/>
  <c r="I1791" i="121"/>
  <c r="H1791" i="121"/>
  <c r="I1790" i="121"/>
  <c r="H1790" i="121"/>
  <c r="I1789" i="121"/>
  <c r="H1789" i="121"/>
  <c r="I1788" i="121"/>
  <c r="H1788" i="121"/>
  <c r="I1787" i="121"/>
  <c r="H1787" i="121"/>
  <c r="I1786" i="121"/>
  <c r="H1786" i="121"/>
  <c r="I1785" i="121"/>
  <c r="H1785" i="121"/>
  <c r="I1784" i="121"/>
  <c r="H1784" i="121"/>
  <c r="I1783" i="121"/>
  <c r="H1783" i="121"/>
  <c r="I1782" i="121"/>
  <c r="H1782" i="121"/>
  <c r="I1781" i="121"/>
  <c r="H1781" i="121"/>
  <c r="I1780" i="121"/>
  <c r="H1780" i="121"/>
  <c r="I1779" i="121"/>
  <c r="H1779" i="121"/>
  <c r="I1778" i="121"/>
  <c r="H1778" i="121"/>
  <c r="I1777" i="121"/>
  <c r="H1777" i="121"/>
  <c r="I1776" i="121"/>
  <c r="H1776" i="121"/>
  <c r="I1775" i="121"/>
  <c r="H1775" i="121"/>
  <c r="I1774" i="121"/>
  <c r="H1774" i="121"/>
  <c r="I1773" i="121"/>
  <c r="H1773" i="121"/>
  <c r="I1772" i="121"/>
  <c r="H1772" i="121"/>
  <c r="I1771" i="121"/>
  <c r="H1771" i="121"/>
  <c r="I1770" i="121"/>
  <c r="H1770" i="121"/>
  <c r="I1769" i="121"/>
  <c r="H1769" i="121"/>
  <c r="I1768" i="121"/>
  <c r="H1768" i="121"/>
  <c r="I1767" i="121"/>
  <c r="H1767" i="121"/>
  <c r="I1766" i="121"/>
  <c r="H1766" i="121"/>
  <c r="I1765" i="121"/>
  <c r="H1765" i="121"/>
  <c r="I1764" i="121"/>
  <c r="H1764" i="121"/>
  <c r="I1763" i="121"/>
  <c r="H1763" i="121"/>
  <c r="I1762" i="121"/>
  <c r="H1762" i="121"/>
  <c r="I1761" i="121"/>
  <c r="H1761" i="121"/>
  <c r="I1760" i="121"/>
  <c r="H1760" i="121"/>
  <c r="I1759" i="121"/>
  <c r="H1759" i="121"/>
  <c r="I1758" i="121"/>
  <c r="H1758" i="121"/>
  <c r="I1757" i="121"/>
  <c r="H1757" i="121"/>
  <c r="I1756" i="121"/>
  <c r="H1756" i="121"/>
  <c r="I1755" i="121"/>
  <c r="H1755" i="121"/>
  <c r="I1754" i="121"/>
  <c r="H1754" i="121"/>
  <c r="I1753" i="121"/>
  <c r="H1753" i="121"/>
  <c r="I1752" i="121"/>
  <c r="H1752" i="121"/>
  <c r="I1751" i="121"/>
  <c r="H1751" i="121"/>
  <c r="I1750" i="121"/>
  <c r="H1750" i="121"/>
  <c r="I1749" i="121"/>
  <c r="H1749" i="121"/>
  <c r="I1748" i="121"/>
  <c r="H1748" i="121"/>
  <c r="I1747" i="121"/>
  <c r="H1747" i="121"/>
  <c r="I1746" i="121"/>
  <c r="H1746" i="121"/>
  <c r="I1745" i="121"/>
  <c r="H1745" i="121"/>
  <c r="I1744" i="121"/>
  <c r="H1744" i="121"/>
  <c r="I1743" i="121"/>
  <c r="H1743" i="121"/>
  <c r="I1742" i="121"/>
  <c r="H1742" i="121"/>
  <c r="I1741" i="121"/>
  <c r="H1741" i="121"/>
  <c r="I1740" i="121"/>
  <c r="H1740" i="121"/>
  <c r="I1739" i="121"/>
  <c r="H1739" i="121"/>
  <c r="I1738" i="121"/>
  <c r="H1738" i="121"/>
  <c r="I1737" i="121"/>
  <c r="H1737" i="121"/>
  <c r="I1736" i="121"/>
  <c r="H1736" i="121"/>
  <c r="I1735" i="121"/>
  <c r="H1735" i="121"/>
  <c r="I1734" i="121"/>
  <c r="H1734" i="121"/>
  <c r="I1733" i="121"/>
  <c r="H1733" i="121"/>
  <c r="I1732" i="121"/>
  <c r="H1732" i="121"/>
  <c r="I1731" i="121"/>
  <c r="H1731" i="121"/>
  <c r="I1730" i="121"/>
  <c r="H1730" i="121"/>
  <c r="I1729" i="121"/>
  <c r="H1729" i="121"/>
  <c r="I1728" i="121"/>
  <c r="H1728" i="121"/>
  <c r="I1727" i="121"/>
  <c r="H1727" i="121"/>
  <c r="I1726" i="121"/>
  <c r="H1726" i="121"/>
  <c r="I1725" i="121"/>
  <c r="H1725" i="121"/>
  <c r="I1724" i="121"/>
  <c r="H1724" i="121"/>
  <c r="I1723" i="121"/>
  <c r="H1723" i="121"/>
  <c r="I1722" i="121"/>
  <c r="H1722" i="121"/>
  <c r="I1721" i="121"/>
  <c r="H1721" i="121"/>
  <c r="I1720" i="121"/>
  <c r="H1720" i="121"/>
  <c r="I1719" i="121"/>
  <c r="H1719" i="121"/>
  <c r="I1718" i="121"/>
  <c r="H1718" i="121"/>
  <c r="I1717" i="121"/>
  <c r="H1717" i="121"/>
  <c r="I1716" i="121"/>
  <c r="H1716" i="121"/>
  <c r="I1715" i="121"/>
  <c r="H1715" i="121"/>
  <c r="I1714" i="121"/>
  <c r="H1714" i="121"/>
  <c r="I1713" i="121"/>
  <c r="H1713" i="121"/>
  <c r="I1712" i="121"/>
  <c r="H1712" i="121"/>
  <c r="I1711" i="121"/>
  <c r="H1711" i="121"/>
  <c r="I1710" i="121"/>
  <c r="H1710" i="121"/>
  <c r="I1709" i="121"/>
  <c r="H1709" i="121"/>
  <c r="I1708" i="121"/>
  <c r="H1708" i="121"/>
  <c r="I1707" i="121"/>
  <c r="H1707" i="121"/>
  <c r="I1706" i="121"/>
  <c r="H1706" i="121"/>
  <c r="I1705" i="121"/>
  <c r="H1705" i="121"/>
  <c r="I1704" i="121"/>
  <c r="H1704" i="121"/>
  <c r="I1703" i="121"/>
  <c r="H1703" i="121"/>
  <c r="I1702" i="121"/>
  <c r="H1702" i="121"/>
  <c r="I1701" i="121"/>
  <c r="H1701" i="121"/>
  <c r="I1700" i="121"/>
  <c r="H1700" i="121"/>
  <c r="I1699" i="121"/>
  <c r="H1699" i="121"/>
  <c r="I1698" i="121"/>
  <c r="H1698" i="121"/>
  <c r="I1697" i="121"/>
  <c r="H1697" i="121"/>
  <c r="I1696" i="121"/>
  <c r="H1696" i="121"/>
  <c r="I1695" i="121"/>
  <c r="H1695" i="121"/>
  <c r="I1694" i="121"/>
  <c r="H1694" i="121"/>
  <c r="I1693" i="121"/>
  <c r="H1693" i="121"/>
  <c r="I1692" i="121"/>
  <c r="H1692" i="121"/>
  <c r="I1691" i="121"/>
  <c r="H1691" i="121"/>
  <c r="I1690" i="121"/>
  <c r="H1690" i="121"/>
  <c r="I1689" i="121"/>
  <c r="H1689" i="121"/>
  <c r="I1688" i="121"/>
  <c r="H1688" i="121"/>
  <c r="I1687" i="121"/>
  <c r="H1687" i="121"/>
  <c r="I1686" i="121"/>
  <c r="H1686" i="121"/>
  <c r="I1685" i="121"/>
  <c r="H1685" i="121"/>
  <c r="I1684" i="121"/>
  <c r="H1684" i="121"/>
  <c r="I1683" i="121"/>
  <c r="H1683" i="121"/>
  <c r="I1682" i="121"/>
  <c r="H1682" i="121"/>
  <c r="I1681" i="121"/>
  <c r="H1681" i="121"/>
  <c r="I1680" i="121"/>
  <c r="H1680" i="121"/>
  <c r="I1679" i="121"/>
  <c r="H1679" i="121"/>
  <c r="I1678" i="121"/>
  <c r="H1678" i="121"/>
  <c r="I1677" i="121"/>
  <c r="H1677" i="121"/>
  <c r="I1676" i="121"/>
  <c r="H1676" i="121"/>
  <c r="I1675" i="121"/>
  <c r="H1675" i="121"/>
  <c r="I1674" i="121"/>
  <c r="H1674" i="121"/>
  <c r="I1673" i="121"/>
  <c r="H1673" i="121"/>
  <c r="I1672" i="121"/>
  <c r="H1672" i="121"/>
  <c r="I1671" i="121"/>
  <c r="H1671" i="121"/>
  <c r="I1670" i="121"/>
  <c r="H1670" i="121"/>
  <c r="I1669" i="121"/>
  <c r="H1669" i="121"/>
  <c r="I1668" i="121"/>
  <c r="H1668" i="121"/>
  <c r="I1667" i="121"/>
  <c r="H1667" i="121"/>
  <c r="I1666" i="121"/>
  <c r="H1666" i="121"/>
  <c r="I1665" i="121"/>
  <c r="H1665" i="121"/>
  <c r="I1664" i="121"/>
  <c r="H1664" i="121"/>
  <c r="I1663" i="121"/>
  <c r="H1663" i="121"/>
  <c r="I1662" i="121"/>
  <c r="H1662" i="121"/>
  <c r="I1661" i="121"/>
  <c r="H1661" i="121"/>
  <c r="I1660" i="121"/>
  <c r="H1660" i="121"/>
  <c r="I1659" i="121"/>
  <c r="H1659" i="121"/>
  <c r="I1658" i="121"/>
  <c r="H1658" i="121"/>
  <c r="I1657" i="121"/>
  <c r="H1657" i="121"/>
  <c r="I1656" i="121"/>
  <c r="H1656" i="121"/>
  <c r="I1655" i="121"/>
  <c r="H1655" i="121"/>
  <c r="I1654" i="121"/>
  <c r="H1654" i="121"/>
  <c r="I1653" i="121"/>
  <c r="H1653" i="121"/>
  <c r="I1652" i="121"/>
  <c r="H1652" i="121"/>
  <c r="I1651" i="121"/>
  <c r="H1651" i="121"/>
  <c r="I1650" i="121"/>
  <c r="H1650" i="121"/>
  <c r="I1649" i="121"/>
  <c r="H1649" i="121"/>
  <c r="I1648" i="121"/>
  <c r="H1648" i="121"/>
  <c r="I1647" i="121"/>
  <c r="H1647" i="121"/>
  <c r="I1646" i="121"/>
  <c r="H1646" i="121"/>
  <c r="I1645" i="121"/>
  <c r="H1645" i="121"/>
  <c r="I1644" i="121"/>
  <c r="H1644" i="121"/>
  <c r="I1643" i="121"/>
  <c r="H1643" i="121"/>
  <c r="I1642" i="121"/>
  <c r="H1642" i="121"/>
  <c r="I1641" i="121"/>
  <c r="H1641" i="121"/>
  <c r="I1640" i="121"/>
  <c r="H1640" i="121"/>
  <c r="I1639" i="121"/>
  <c r="H1639" i="121"/>
  <c r="I1638" i="121"/>
  <c r="H1638" i="121"/>
  <c r="I1637" i="121"/>
  <c r="H1637" i="121"/>
  <c r="I1636" i="121"/>
  <c r="H1636" i="121"/>
  <c r="I1635" i="121"/>
  <c r="H1635" i="121"/>
  <c r="I1634" i="121"/>
  <c r="H1634" i="121"/>
  <c r="I1633" i="121"/>
  <c r="H1633" i="121"/>
  <c r="I1632" i="121"/>
  <c r="H1632" i="121"/>
  <c r="I1631" i="121"/>
  <c r="H1631" i="121"/>
  <c r="I1630" i="121"/>
  <c r="H1630" i="121"/>
  <c r="I1629" i="121"/>
  <c r="H1629" i="121"/>
  <c r="I1628" i="121"/>
  <c r="H1628" i="121"/>
  <c r="I1627" i="121"/>
  <c r="H1627" i="121"/>
  <c r="I1626" i="121"/>
  <c r="H1626" i="121"/>
  <c r="I1625" i="121"/>
  <c r="H1625" i="121"/>
  <c r="I1624" i="121"/>
  <c r="H1624" i="121"/>
  <c r="I1623" i="121"/>
  <c r="H1623" i="121"/>
  <c r="I1622" i="121"/>
  <c r="H1622" i="121"/>
  <c r="I1621" i="121"/>
  <c r="H1621" i="121"/>
  <c r="I1620" i="121"/>
  <c r="H1620" i="121"/>
  <c r="I1619" i="121"/>
  <c r="H1619" i="121"/>
  <c r="I1618" i="121"/>
  <c r="H1618" i="121"/>
  <c r="I1617" i="121"/>
  <c r="H1617" i="121"/>
  <c r="I1616" i="121"/>
  <c r="H1616" i="121"/>
  <c r="I1615" i="121"/>
  <c r="H1615" i="121"/>
  <c r="I1614" i="121"/>
  <c r="H1614" i="121"/>
  <c r="I1613" i="121"/>
  <c r="H1613" i="121"/>
  <c r="I1612" i="121"/>
  <c r="H1612" i="121"/>
  <c r="I1611" i="121"/>
  <c r="H1611" i="121"/>
  <c r="I1610" i="121"/>
  <c r="H1610" i="121"/>
  <c r="I1609" i="121"/>
  <c r="H1609" i="121"/>
  <c r="I1608" i="121"/>
  <c r="H1608" i="121"/>
  <c r="I1607" i="121"/>
  <c r="H1607" i="121"/>
  <c r="I1606" i="121"/>
  <c r="H1606" i="121"/>
  <c r="I1605" i="121"/>
  <c r="H1605" i="121"/>
  <c r="I1604" i="121"/>
  <c r="H1604" i="121"/>
  <c r="I1603" i="121"/>
  <c r="H1603" i="121"/>
  <c r="I1602" i="121"/>
  <c r="H1602" i="121"/>
  <c r="I1601" i="121"/>
  <c r="H1601" i="121"/>
  <c r="I1600" i="121"/>
  <c r="H1600" i="121"/>
  <c r="I1599" i="121"/>
  <c r="H1599" i="121"/>
  <c r="I1598" i="121"/>
  <c r="H1598" i="121"/>
  <c r="I1597" i="121"/>
  <c r="H1597" i="121"/>
  <c r="I1596" i="121"/>
  <c r="H1596" i="121"/>
  <c r="I1595" i="121"/>
  <c r="H1595" i="121"/>
  <c r="I1594" i="121"/>
  <c r="H1594" i="121"/>
  <c r="I1593" i="121"/>
  <c r="H1593" i="121"/>
  <c r="I1592" i="121"/>
  <c r="H1592" i="121"/>
  <c r="I1591" i="121"/>
  <c r="H1591" i="121"/>
  <c r="I1590" i="121"/>
  <c r="H1590" i="121"/>
  <c r="I1589" i="121"/>
  <c r="H1589" i="121"/>
  <c r="I1588" i="121"/>
  <c r="H1588" i="121"/>
  <c r="I1587" i="121"/>
  <c r="H1587" i="121"/>
  <c r="I1586" i="121"/>
  <c r="H1586" i="121"/>
  <c r="I1585" i="121"/>
  <c r="H1585" i="121"/>
  <c r="I1584" i="121"/>
  <c r="H1584" i="121"/>
  <c r="I1583" i="121"/>
  <c r="H1583" i="121"/>
  <c r="I1582" i="121"/>
  <c r="H1582" i="121"/>
  <c r="I1581" i="121"/>
  <c r="H1581" i="121"/>
  <c r="I1580" i="121"/>
  <c r="H1580" i="121"/>
  <c r="I1579" i="121"/>
  <c r="H1579" i="121"/>
  <c r="I1578" i="121"/>
  <c r="H1578" i="121"/>
  <c r="I1577" i="121"/>
  <c r="H1577" i="121"/>
  <c r="I1576" i="121"/>
  <c r="H1576" i="121"/>
  <c r="I1575" i="121"/>
  <c r="H1575" i="121"/>
  <c r="I1574" i="121"/>
  <c r="H1574" i="121"/>
  <c r="I1573" i="121"/>
  <c r="H1573" i="121"/>
  <c r="I1572" i="121"/>
  <c r="H1572" i="121"/>
  <c r="I1571" i="121"/>
  <c r="H1571" i="121"/>
  <c r="I1570" i="121"/>
  <c r="H1570" i="121"/>
  <c r="I1569" i="121"/>
  <c r="H1569" i="121"/>
  <c r="I1568" i="121"/>
  <c r="H1568" i="121"/>
  <c r="I1567" i="121"/>
  <c r="H1567" i="121"/>
  <c r="I1566" i="121"/>
  <c r="H1566" i="121"/>
  <c r="I1565" i="121"/>
  <c r="H1565" i="121"/>
  <c r="I1564" i="121"/>
  <c r="H1564" i="121"/>
  <c r="I1563" i="121"/>
  <c r="H1563" i="121"/>
  <c r="I1562" i="121"/>
  <c r="H1562" i="121"/>
  <c r="I1561" i="121"/>
  <c r="H1561" i="121"/>
  <c r="I1560" i="121"/>
  <c r="H1560" i="121"/>
  <c r="I1559" i="121"/>
  <c r="H1559" i="121"/>
  <c r="I1558" i="121"/>
  <c r="H1558" i="121"/>
  <c r="I1557" i="121"/>
  <c r="H1557" i="121"/>
  <c r="I1556" i="121"/>
  <c r="H1556" i="121"/>
  <c r="I1555" i="121"/>
  <c r="H1555" i="121"/>
  <c r="I1554" i="121"/>
  <c r="H1554" i="121"/>
  <c r="I1553" i="121"/>
  <c r="H1553" i="121"/>
  <c r="I1552" i="121"/>
  <c r="H1552" i="121"/>
  <c r="I1551" i="121"/>
  <c r="H1551" i="121"/>
  <c r="I1550" i="121"/>
  <c r="H1550" i="121"/>
  <c r="I1549" i="121"/>
  <c r="H1549" i="121"/>
  <c r="I1548" i="121"/>
  <c r="H1548" i="121"/>
  <c r="I1547" i="121"/>
  <c r="H1547" i="121"/>
  <c r="I1546" i="121"/>
  <c r="H1546" i="121"/>
  <c r="I1545" i="121"/>
  <c r="H1545" i="121"/>
  <c r="I1544" i="121"/>
  <c r="H1544" i="121"/>
  <c r="I1543" i="121"/>
  <c r="H1543" i="121"/>
  <c r="I1542" i="121"/>
  <c r="H1542" i="121"/>
  <c r="I1541" i="121"/>
  <c r="H1541" i="121"/>
  <c r="I1540" i="121"/>
  <c r="H1540" i="121"/>
  <c r="I1539" i="121"/>
  <c r="H1539" i="121"/>
  <c r="I1538" i="121"/>
  <c r="H1538" i="121"/>
  <c r="I1537" i="121"/>
  <c r="H1537" i="121"/>
  <c r="I1536" i="121"/>
  <c r="H1536" i="121"/>
  <c r="I1535" i="121"/>
  <c r="H1535" i="121"/>
  <c r="I1534" i="121"/>
  <c r="H1534" i="121"/>
  <c r="I1533" i="121"/>
  <c r="H1533" i="121"/>
  <c r="I1532" i="121"/>
  <c r="H1532" i="121"/>
  <c r="I1531" i="121"/>
  <c r="H1531" i="121"/>
  <c r="I1530" i="121"/>
  <c r="H1530" i="121"/>
  <c r="I1529" i="121"/>
  <c r="H1529" i="121"/>
  <c r="I1528" i="121"/>
  <c r="H1528" i="121"/>
  <c r="I1527" i="121"/>
  <c r="H1527" i="121"/>
  <c r="I1526" i="121"/>
  <c r="H1526" i="121"/>
  <c r="I1525" i="121"/>
  <c r="H1525" i="121"/>
  <c r="I1524" i="121"/>
  <c r="H1524" i="121"/>
  <c r="I1523" i="121"/>
  <c r="H1523" i="121"/>
  <c r="I1522" i="121"/>
  <c r="H1522" i="121"/>
  <c r="I1521" i="121"/>
  <c r="H1521" i="121"/>
  <c r="I1520" i="121"/>
  <c r="H1520" i="121"/>
  <c r="I1519" i="121"/>
  <c r="H1519" i="121"/>
  <c r="I1518" i="121"/>
  <c r="H1518" i="121"/>
  <c r="I1517" i="121"/>
  <c r="H1517" i="121"/>
  <c r="I1516" i="121"/>
  <c r="H1516" i="121"/>
  <c r="I1515" i="121"/>
  <c r="H1515" i="121"/>
  <c r="I1514" i="121"/>
  <c r="H1514" i="121"/>
  <c r="I1513" i="121"/>
  <c r="H1513" i="121"/>
  <c r="I1512" i="121"/>
  <c r="H1512" i="121"/>
  <c r="I1511" i="121"/>
  <c r="H1511" i="121"/>
  <c r="I1510" i="121"/>
  <c r="H1510" i="121"/>
  <c r="I1509" i="121"/>
  <c r="H1509" i="121"/>
  <c r="I1508" i="121"/>
  <c r="H1508" i="121"/>
  <c r="I1507" i="121"/>
  <c r="H1507" i="121"/>
  <c r="I1506" i="121"/>
  <c r="H1506" i="121"/>
  <c r="I1505" i="121"/>
  <c r="H1505" i="121"/>
  <c r="I1504" i="121"/>
  <c r="H1504" i="121"/>
  <c r="I1503" i="121"/>
  <c r="H1503" i="121"/>
  <c r="I1502" i="121"/>
  <c r="H1502" i="121"/>
  <c r="I1501" i="121"/>
  <c r="H1501" i="121"/>
  <c r="I1500" i="121"/>
  <c r="H1500" i="121"/>
  <c r="I1499" i="121"/>
  <c r="H1499" i="121"/>
  <c r="I1498" i="121"/>
  <c r="H1498" i="121"/>
  <c r="I1497" i="121"/>
  <c r="H1497" i="121"/>
  <c r="I1496" i="121"/>
  <c r="H1496" i="121"/>
  <c r="I1495" i="121"/>
  <c r="H1495" i="121"/>
  <c r="I1494" i="121"/>
  <c r="H1494" i="121"/>
  <c r="I1493" i="121"/>
  <c r="H1493" i="121"/>
  <c r="I1492" i="121"/>
  <c r="H1492" i="121"/>
  <c r="I1491" i="121"/>
  <c r="H1491" i="121"/>
  <c r="I1490" i="121"/>
  <c r="H1490" i="121"/>
  <c r="I1489" i="121"/>
  <c r="H1489" i="121"/>
  <c r="I1488" i="121"/>
  <c r="H1488" i="121"/>
  <c r="I1487" i="121"/>
  <c r="H1487" i="121"/>
  <c r="I1486" i="121"/>
  <c r="H1486" i="121"/>
  <c r="I1485" i="121"/>
  <c r="H1485" i="121"/>
  <c r="I1484" i="121"/>
  <c r="H1484" i="121"/>
  <c r="I1483" i="121"/>
  <c r="H1483" i="121"/>
  <c r="I1482" i="121"/>
  <c r="H1482" i="121"/>
  <c r="I1481" i="121"/>
  <c r="H1481" i="121"/>
  <c r="I1480" i="121"/>
  <c r="H1480" i="121"/>
  <c r="I1479" i="121"/>
  <c r="H1479" i="121"/>
  <c r="I1478" i="121"/>
  <c r="H1478" i="121"/>
  <c r="I1477" i="121"/>
  <c r="H1477" i="121"/>
  <c r="I1476" i="121"/>
  <c r="H1476" i="121"/>
  <c r="I1475" i="121"/>
  <c r="H1475" i="121"/>
  <c r="I1474" i="121"/>
  <c r="H1474" i="121"/>
  <c r="I1473" i="121"/>
  <c r="H1473" i="121"/>
  <c r="I1472" i="121"/>
  <c r="H1472" i="121"/>
  <c r="I1471" i="121"/>
  <c r="H1471" i="121"/>
  <c r="I1470" i="121"/>
  <c r="H1470" i="121"/>
  <c r="I1469" i="121"/>
  <c r="H1469" i="121"/>
  <c r="I1468" i="121"/>
  <c r="H1468" i="121"/>
  <c r="I1467" i="121"/>
  <c r="H1467" i="121"/>
  <c r="I1466" i="121"/>
  <c r="H1466" i="121"/>
  <c r="I1465" i="121"/>
  <c r="H1465" i="121"/>
  <c r="I1464" i="121"/>
  <c r="H1464" i="121"/>
  <c r="I1463" i="121"/>
  <c r="H1463" i="121"/>
  <c r="I1462" i="121"/>
  <c r="H1462" i="121"/>
  <c r="I1461" i="121"/>
  <c r="H1461" i="121"/>
  <c r="I1460" i="121"/>
  <c r="H1460" i="121"/>
  <c r="I1459" i="121"/>
  <c r="H1459" i="121"/>
  <c r="I1458" i="121"/>
  <c r="H1458" i="121"/>
  <c r="I1457" i="121"/>
  <c r="H1457" i="121"/>
  <c r="I1456" i="121"/>
  <c r="H1456" i="121"/>
  <c r="I1455" i="121"/>
  <c r="H1455" i="121"/>
  <c r="I1454" i="121"/>
  <c r="H1454" i="121"/>
  <c r="I1453" i="121"/>
  <c r="H1453" i="121"/>
  <c r="I1452" i="121"/>
  <c r="H1452" i="121"/>
  <c r="I1451" i="121"/>
  <c r="H1451" i="121"/>
  <c r="I1450" i="121"/>
  <c r="H1450" i="121"/>
  <c r="I1449" i="121"/>
  <c r="H1449" i="121"/>
  <c r="I1448" i="121"/>
  <c r="H1448" i="121"/>
  <c r="I1447" i="121"/>
  <c r="H1447" i="121"/>
  <c r="I1446" i="121"/>
  <c r="H1446" i="121"/>
  <c r="I1445" i="121"/>
  <c r="H1445" i="121"/>
  <c r="I1444" i="121"/>
  <c r="H1444" i="121"/>
  <c r="I1443" i="121"/>
  <c r="H1443" i="121"/>
  <c r="I1442" i="121"/>
  <c r="H1442" i="121"/>
  <c r="I1441" i="121"/>
  <c r="H1441" i="121"/>
  <c r="I1440" i="121"/>
  <c r="H1440" i="121"/>
  <c r="I1439" i="121"/>
  <c r="H1439" i="121"/>
  <c r="I1438" i="121"/>
  <c r="H1438" i="121"/>
  <c r="I1437" i="121"/>
  <c r="H1437" i="121"/>
  <c r="I1436" i="121"/>
  <c r="H1436" i="121"/>
  <c r="I1435" i="121"/>
  <c r="H1435" i="121"/>
  <c r="I1434" i="121"/>
  <c r="H1434" i="121"/>
  <c r="I1433" i="121"/>
  <c r="H1433" i="121"/>
  <c r="I1432" i="121"/>
  <c r="H1432" i="121"/>
  <c r="I1431" i="121"/>
  <c r="H1431" i="121"/>
  <c r="I1430" i="121"/>
  <c r="H1430" i="121"/>
  <c r="I1429" i="121"/>
  <c r="H1429" i="121"/>
  <c r="I1428" i="121"/>
  <c r="H1428" i="121"/>
  <c r="I1427" i="121"/>
  <c r="H1427" i="121"/>
  <c r="I1426" i="121"/>
  <c r="H1426" i="121"/>
  <c r="I1425" i="121"/>
  <c r="H1425" i="121"/>
  <c r="I1424" i="121"/>
  <c r="H1424" i="121"/>
  <c r="I1423" i="121"/>
  <c r="H1423" i="121"/>
  <c r="I1422" i="121"/>
  <c r="H1422" i="121"/>
  <c r="I1421" i="121"/>
  <c r="H1421" i="121"/>
  <c r="I1420" i="121"/>
  <c r="H1420" i="121"/>
  <c r="I1419" i="121"/>
  <c r="H1419" i="121"/>
  <c r="I1418" i="121"/>
  <c r="H1418" i="121"/>
  <c r="I1417" i="121"/>
  <c r="H1417" i="121"/>
  <c r="I1416" i="121"/>
  <c r="H1416" i="121"/>
  <c r="I1415" i="121"/>
  <c r="H1415" i="121"/>
  <c r="I1414" i="121"/>
  <c r="H1414" i="121"/>
  <c r="I1413" i="121"/>
  <c r="H1413" i="121"/>
  <c r="I1412" i="121"/>
  <c r="H1412" i="121"/>
  <c r="I1411" i="121"/>
  <c r="H1411" i="121"/>
  <c r="I1410" i="121"/>
  <c r="H1410" i="121"/>
  <c r="I1409" i="121"/>
  <c r="H1409" i="121"/>
  <c r="I1408" i="121"/>
  <c r="H1408" i="121"/>
  <c r="I1407" i="121"/>
  <c r="H1407" i="121"/>
  <c r="I1406" i="121"/>
  <c r="H1406" i="121"/>
  <c r="I1405" i="121"/>
  <c r="H1405" i="121"/>
  <c r="I1404" i="121"/>
  <c r="H1404" i="121"/>
  <c r="I1403" i="121"/>
  <c r="H1403" i="121"/>
  <c r="I1402" i="121"/>
  <c r="H1402" i="121"/>
  <c r="I1401" i="121"/>
  <c r="H1401" i="121"/>
  <c r="I1400" i="121"/>
  <c r="H1400" i="121"/>
  <c r="I1399" i="121"/>
  <c r="H1399" i="121"/>
  <c r="I1398" i="121"/>
  <c r="H1398" i="121"/>
  <c r="I1397" i="121"/>
  <c r="H1397" i="121"/>
  <c r="I1396" i="121"/>
  <c r="H1396" i="121"/>
  <c r="I1395" i="121"/>
  <c r="H1395" i="121"/>
  <c r="I1394" i="121"/>
  <c r="H1394" i="121"/>
  <c r="I1393" i="121"/>
  <c r="H1393" i="121"/>
  <c r="I1392" i="121"/>
  <c r="H1392" i="121"/>
  <c r="I1391" i="121"/>
  <c r="H1391" i="121"/>
  <c r="I1390" i="121"/>
  <c r="H1390" i="121"/>
  <c r="I1389" i="121"/>
  <c r="H1389" i="121"/>
  <c r="I1388" i="121"/>
  <c r="H1388" i="121"/>
  <c r="I1387" i="121"/>
  <c r="H1387" i="121"/>
  <c r="I1386" i="121"/>
  <c r="H1386" i="121"/>
  <c r="I1385" i="121"/>
  <c r="H1385" i="121"/>
  <c r="I1384" i="121"/>
  <c r="H1384" i="121"/>
  <c r="I1383" i="121"/>
  <c r="H1383" i="121"/>
  <c r="I1382" i="121"/>
  <c r="H1382" i="121"/>
  <c r="I1381" i="121"/>
  <c r="H1381" i="121"/>
  <c r="I1380" i="121"/>
  <c r="H1380" i="121"/>
  <c r="I1379" i="121"/>
  <c r="H1379" i="121"/>
  <c r="I1378" i="121"/>
  <c r="H1378" i="121"/>
  <c r="I1377" i="121"/>
  <c r="H1377" i="121"/>
  <c r="I1376" i="121"/>
  <c r="H1376" i="121"/>
  <c r="I1375" i="121"/>
  <c r="H1375" i="121"/>
  <c r="I1374" i="121"/>
  <c r="H1374" i="121"/>
  <c r="I1373" i="121"/>
  <c r="H1373" i="121"/>
  <c r="I1372" i="121"/>
  <c r="H1372" i="121"/>
  <c r="I1371" i="121"/>
  <c r="H1371" i="121"/>
  <c r="I1370" i="121"/>
  <c r="H1370" i="121"/>
  <c r="I1369" i="121"/>
  <c r="H1369" i="121"/>
  <c r="I1368" i="121"/>
  <c r="H1368" i="121"/>
  <c r="I1367" i="121"/>
  <c r="H1367" i="121"/>
  <c r="I1366" i="121"/>
  <c r="H1366" i="121"/>
  <c r="I1365" i="121"/>
  <c r="H1365" i="121"/>
  <c r="I1364" i="121"/>
  <c r="H1364" i="121"/>
  <c r="I1363" i="121"/>
  <c r="H1363" i="121"/>
  <c r="I1362" i="121"/>
  <c r="H1362" i="121"/>
  <c r="I1361" i="121"/>
  <c r="H1361" i="121"/>
  <c r="I1360" i="121"/>
  <c r="H1360" i="121"/>
  <c r="I1359" i="121"/>
  <c r="H1359" i="121"/>
  <c r="I1358" i="121"/>
  <c r="H1358" i="121"/>
  <c r="I1357" i="121"/>
  <c r="H1357" i="121"/>
  <c r="I1356" i="121"/>
  <c r="H1356" i="121"/>
  <c r="I1355" i="121"/>
  <c r="H1355" i="121"/>
  <c r="I1354" i="121"/>
  <c r="H1354" i="121"/>
  <c r="I1353" i="121"/>
  <c r="H1353" i="121"/>
  <c r="I1352" i="121"/>
  <c r="H1352" i="121"/>
  <c r="I1351" i="121"/>
  <c r="H1351" i="121"/>
  <c r="I1350" i="121"/>
  <c r="H1350" i="121"/>
  <c r="I1349" i="121"/>
  <c r="H1349" i="121"/>
  <c r="I1348" i="121"/>
  <c r="H1348" i="121"/>
  <c r="I1347" i="121"/>
  <c r="H1347" i="121"/>
  <c r="I1346" i="121"/>
  <c r="H1346" i="121"/>
  <c r="I1345" i="121"/>
  <c r="H1345" i="121"/>
  <c r="I1344" i="121"/>
  <c r="H1344" i="121"/>
  <c r="I1343" i="121"/>
  <c r="H1343" i="121"/>
  <c r="I1342" i="121"/>
  <c r="H1342" i="121"/>
  <c r="I1341" i="121"/>
  <c r="H1341" i="121"/>
  <c r="I1340" i="121"/>
  <c r="H1340" i="121"/>
  <c r="I1339" i="121"/>
  <c r="H1339" i="121"/>
  <c r="I1338" i="121"/>
  <c r="H1338" i="121"/>
  <c r="I1337" i="121"/>
  <c r="H1337" i="121"/>
  <c r="I1336" i="121"/>
  <c r="H1336" i="121"/>
  <c r="I1335" i="121"/>
  <c r="H1335" i="121"/>
  <c r="I1334" i="121"/>
  <c r="H1334" i="121"/>
  <c r="I1333" i="121"/>
  <c r="H1333" i="121"/>
  <c r="I1332" i="121"/>
  <c r="H1332" i="121"/>
  <c r="I1331" i="121"/>
  <c r="H1331" i="121"/>
  <c r="I1330" i="121"/>
  <c r="H1330" i="121"/>
  <c r="I1329" i="121"/>
  <c r="H1329" i="121"/>
  <c r="I1328" i="121"/>
  <c r="H1328" i="121"/>
  <c r="I1327" i="121"/>
  <c r="H1327" i="121"/>
  <c r="I1326" i="121"/>
  <c r="H1326" i="121"/>
  <c r="I1325" i="121"/>
  <c r="H1325" i="121"/>
  <c r="I1324" i="121"/>
  <c r="H1324" i="121"/>
  <c r="I1323" i="121"/>
  <c r="H1323" i="121"/>
  <c r="I1322" i="121"/>
  <c r="H1322" i="121"/>
  <c r="I1321" i="121"/>
  <c r="H1321" i="121"/>
  <c r="I1320" i="121"/>
  <c r="H1320" i="121"/>
  <c r="I1319" i="121"/>
  <c r="H1319" i="121"/>
  <c r="I1318" i="121"/>
  <c r="H1318" i="121"/>
  <c r="I1317" i="121"/>
  <c r="H1317" i="121"/>
  <c r="I1316" i="121"/>
  <c r="H1316" i="121"/>
  <c r="I1315" i="121"/>
  <c r="H1315" i="121"/>
  <c r="I1314" i="121"/>
  <c r="H1314" i="121"/>
  <c r="I1313" i="121"/>
  <c r="H1313" i="121"/>
  <c r="I1312" i="121"/>
  <c r="H1312" i="121"/>
  <c r="I1311" i="121"/>
  <c r="H1311" i="121"/>
  <c r="I1310" i="121"/>
  <c r="H1310" i="121"/>
  <c r="I1309" i="121"/>
  <c r="H1309" i="121"/>
  <c r="I1308" i="121"/>
  <c r="H1308" i="121"/>
  <c r="I1307" i="121"/>
  <c r="H1307" i="121"/>
  <c r="I1306" i="121"/>
  <c r="H1306" i="121"/>
  <c r="I1305" i="121"/>
  <c r="H1305" i="121"/>
  <c r="I1304" i="121"/>
  <c r="H1304" i="121"/>
  <c r="I1303" i="121"/>
  <c r="H1303" i="121"/>
  <c r="I1302" i="121"/>
  <c r="H1302" i="121"/>
  <c r="I1301" i="121"/>
  <c r="H1301" i="121"/>
  <c r="I1300" i="121"/>
  <c r="H1300" i="121"/>
  <c r="I1299" i="121"/>
  <c r="H1299" i="121"/>
  <c r="I1298" i="121"/>
  <c r="H1298" i="121"/>
  <c r="I1297" i="121"/>
  <c r="H1297" i="121"/>
  <c r="I1296" i="121"/>
  <c r="H1296" i="121"/>
  <c r="I1295" i="121"/>
  <c r="H1295" i="121"/>
  <c r="I1294" i="121"/>
  <c r="H1294" i="121"/>
  <c r="I1293" i="121"/>
  <c r="H1293" i="121"/>
  <c r="I1292" i="121"/>
  <c r="H1292" i="121"/>
  <c r="I1291" i="121"/>
  <c r="H1291" i="121"/>
  <c r="I1290" i="121"/>
  <c r="H1290" i="121"/>
  <c r="I1289" i="121"/>
  <c r="H1289" i="121"/>
  <c r="I1288" i="121"/>
  <c r="H1288" i="121"/>
  <c r="I1287" i="121"/>
  <c r="H1287" i="121"/>
  <c r="I1286" i="121"/>
  <c r="H1286" i="121"/>
  <c r="I1285" i="121"/>
  <c r="H1285" i="121"/>
  <c r="I1284" i="121"/>
  <c r="H1284" i="121"/>
  <c r="I1283" i="121"/>
  <c r="H1283" i="121"/>
  <c r="I1282" i="121"/>
  <c r="H1282" i="121"/>
  <c r="I1281" i="121"/>
  <c r="H1281" i="121"/>
  <c r="I1280" i="121"/>
  <c r="H1280" i="121"/>
  <c r="I1279" i="121"/>
  <c r="H1279" i="121"/>
  <c r="I1278" i="121"/>
  <c r="H1278" i="121"/>
  <c r="I1277" i="121"/>
  <c r="H1277" i="121"/>
  <c r="I1276" i="121"/>
  <c r="H1276" i="121"/>
  <c r="I1275" i="121"/>
  <c r="H1275" i="121"/>
  <c r="I1274" i="121"/>
  <c r="H1274" i="121"/>
  <c r="I1273" i="121"/>
  <c r="H1273" i="121"/>
  <c r="I1272" i="121"/>
  <c r="H1272" i="121"/>
  <c r="I1271" i="121"/>
  <c r="H1271" i="121"/>
  <c r="I1270" i="121"/>
  <c r="H1270" i="121"/>
  <c r="I1269" i="121"/>
  <c r="H1269" i="121"/>
  <c r="I1268" i="121"/>
  <c r="H1268" i="121"/>
  <c r="I1267" i="121"/>
  <c r="H1267" i="121"/>
  <c r="I1266" i="121"/>
  <c r="H1266" i="121"/>
  <c r="I1265" i="121"/>
  <c r="H1265" i="121"/>
  <c r="I1264" i="121"/>
  <c r="H1264" i="121"/>
  <c r="I1263" i="121"/>
  <c r="H1263" i="121"/>
  <c r="I1262" i="121"/>
  <c r="H1262" i="121"/>
  <c r="I1261" i="121"/>
  <c r="H1261" i="121"/>
  <c r="I1260" i="121"/>
  <c r="H1260" i="121"/>
  <c r="I1259" i="121"/>
  <c r="H1259" i="121"/>
  <c r="I1258" i="121"/>
  <c r="H1258" i="121"/>
  <c r="I1257" i="121"/>
  <c r="H1257" i="121"/>
  <c r="I1256" i="121"/>
  <c r="H1256" i="121"/>
  <c r="I1255" i="121"/>
  <c r="H1255" i="121"/>
  <c r="I1254" i="121"/>
  <c r="H1254" i="121"/>
  <c r="I1253" i="121"/>
  <c r="H1253" i="121"/>
  <c r="I1252" i="121"/>
  <c r="H1252" i="121"/>
  <c r="I1251" i="121"/>
  <c r="H1251" i="121"/>
  <c r="I1250" i="121"/>
  <c r="H1250" i="121"/>
  <c r="I1249" i="121"/>
  <c r="H1249" i="121"/>
  <c r="I1248" i="121"/>
  <c r="H1248" i="121"/>
  <c r="I1247" i="121"/>
  <c r="H1247" i="121"/>
  <c r="I1246" i="121"/>
  <c r="H1246" i="121"/>
  <c r="I1245" i="121"/>
  <c r="H1245" i="121"/>
  <c r="I1244" i="121"/>
  <c r="H1244" i="121"/>
  <c r="I1243" i="121"/>
  <c r="H1243" i="121"/>
  <c r="I1242" i="121"/>
  <c r="H1242" i="121"/>
  <c r="I1241" i="121"/>
  <c r="H1241" i="121"/>
  <c r="I1240" i="121"/>
  <c r="H1240" i="121"/>
  <c r="I1239" i="121"/>
  <c r="H1239" i="121"/>
  <c r="I1238" i="121"/>
  <c r="H1238" i="121"/>
  <c r="I1237" i="121"/>
  <c r="H1237" i="121"/>
  <c r="I1236" i="121"/>
  <c r="H1236" i="121"/>
  <c r="I1235" i="121"/>
  <c r="H1235" i="121"/>
  <c r="I1234" i="121"/>
  <c r="H1234" i="121"/>
  <c r="I1233" i="121"/>
  <c r="H1233" i="121"/>
  <c r="I1232" i="121"/>
  <c r="H1232" i="121"/>
  <c r="I1231" i="121"/>
  <c r="H1231" i="121"/>
  <c r="I1230" i="121"/>
  <c r="H1230" i="121"/>
  <c r="I1229" i="121"/>
  <c r="H1229" i="121"/>
  <c r="I1228" i="121"/>
  <c r="H1228" i="121"/>
  <c r="I1227" i="121"/>
  <c r="H1227" i="121"/>
  <c r="I1226" i="121"/>
  <c r="H1226" i="121"/>
  <c r="I1225" i="121"/>
  <c r="H1225" i="121"/>
  <c r="I1224" i="121"/>
  <c r="H1224" i="121"/>
  <c r="I1223" i="121"/>
  <c r="H1223" i="121"/>
  <c r="I1222" i="121"/>
  <c r="H1222" i="121"/>
  <c r="I1221" i="121"/>
  <c r="H1221" i="121"/>
  <c r="I1220" i="121"/>
  <c r="H1220" i="121"/>
  <c r="I1219" i="121"/>
  <c r="H1219" i="121"/>
  <c r="I1218" i="121"/>
  <c r="H1218" i="121"/>
  <c r="I1217" i="121"/>
  <c r="H1217" i="121"/>
  <c r="I1216" i="121"/>
  <c r="H1216" i="121"/>
  <c r="I1215" i="121"/>
  <c r="H1215" i="121"/>
  <c r="I1214" i="121"/>
  <c r="H1214" i="121"/>
  <c r="I1213" i="121"/>
  <c r="H1213" i="121"/>
  <c r="I1212" i="121"/>
  <c r="H1212" i="121"/>
  <c r="I1211" i="121"/>
  <c r="H1211" i="121"/>
  <c r="I1210" i="121"/>
  <c r="H1210" i="121"/>
  <c r="I1209" i="121"/>
  <c r="H1209" i="121"/>
  <c r="I1208" i="121"/>
  <c r="H1208" i="121"/>
  <c r="I1207" i="121"/>
  <c r="H1207" i="121"/>
  <c r="I1206" i="121"/>
  <c r="H1206" i="121"/>
  <c r="I1205" i="121"/>
  <c r="H1205" i="121"/>
  <c r="I1204" i="121"/>
  <c r="H1204" i="121"/>
  <c r="I1203" i="121"/>
  <c r="H1203" i="121"/>
  <c r="I1202" i="121"/>
  <c r="H1202" i="121"/>
  <c r="I1201" i="121"/>
  <c r="H1201" i="121"/>
  <c r="I1200" i="121"/>
  <c r="H1200" i="121"/>
  <c r="I1199" i="121"/>
  <c r="H1199" i="121"/>
  <c r="I1198" i="121"/>
  <c r="H1198" i="121"/>
  <c r="I1197" i="121"/>
  <c r="H1197" i="121"/>
  <c r="I1196" i="121"/>
  <c r="H1196" i="121"/>
  <c r="I1195" i="121"/>
  <c r="H1195" i="121"/>
  <c r="I1194" i="121"/>
  <c r="H1194" i="121"/>
  <c r="I1193" i="121"/>
  <c r="H1193" i="121"/>
  <c r="I1192" i="121"/>
  <c r="H1192" i="121"/>
  <c r="I1191" i="121"/>
  <c r="H1191" i="121"/>
  <c r="I1190" i="121"/>
  <c r="H1190" i="121"/>
  <c r="I1189" i="121"/>
  <c r="H1189" i="121"/>
  <c r="I1188" i="121"/>
  <c r="H1188" i="121"/>
  <c r="I1187" i="121"/>
  <c r="H1187" i="121"/>
  <c r="I1186" i="121"/>
  <c r="H1186" i="121"/>
  <c r="I1185" i="121"/>
  <c r="H1185" i="121"/>
  <c r="I1184" i="121"/>
  <c r="H1184" i="121"/>
  <c r="I1183" i="121"/>
  <c r="H1183" i="121"/>
  <c r="I1182" i="121"/>
  <c r="H1182" i="121"/>
  <c r="I1181" i="121"/>
  <c r="H1181" i="121"/>
  <c r="I1180" i="121"/>
  <c r="H1180" i="121"/>
  <c r="I1179" i="121"/>
  <c r="H1179" i="121"/>
  <c r="I1178" i="121"/>
  <c r="H1178" i="121"/>
  <c r="I1177" i="121"/>
  <c r="H1177" i="121"/>
  <c r="I1176" i="121"/>
  <c r="H1176" i="121"/>
  <c r="I1175" i="121"/>
  <c r="H1175" i="121"/>
  <c r="I1174" i="121"/>
  <c r="H1174" i="121"/>
  <c r="I1173" i="121"/>
  <c r="H1173" i="121"/>
  <c r="I1172" i="121"/>
  <c r="H1172" i="121"/>
  <c r="I1171" i="121"/>
  <c r="H1171" i="121"/>
  <c r="I1170" i="121"/>
  <c r="H1170" i="121"/>
  <c r="I1169" i="121"/>
  <c r="H1169" i="121"/>
  <c r="I1168" i="121"/>
  <c r="H1168" i="121"/>
  <c r="I1167" i="121"/>
  <c r="H1167" i="121"/>
  <c r="I1166" i="121"/>
  <c r="H1166" i="121"/>
  <c r="I1165" i="121"/>
  <c r="H1165" i="121"/>
  <c r="I1164" i="121"/>
  <c r="H1164" i="121"/>
  <c r="I1163" i="121"/>
  <c r="H1163" i="121"/>
  <c r="I1162" i="121"/>
  <c r="H1162" i="121"/>
  <c r="I1161" i="121"/>
  <c r="H1161" i="121"/>
  <c r="I1160" i="121"/>
  <c r="H1160" i="121"/>
  <c r="I1159" i="121"/>
  <c r="H1159" i="121"/>
  <c r="I1158" i="121"/>
  <c r="H1158" i="121"/>
  <c r="I1157" i="121"/>
  <c r="H1157" i="121"/>
  <c r="I1156" i="121"/>
  <c r="H1156" i="121"/>
  <c r="I1155" i="121"/>
  <c r="H1155" i="121"/>
  <c r="I1154" i="121"/>
  <c r="H1154" i="121"/>
  <c r="I1153" i="121"/>
  <c r="H1153" i="121"/>
  <c r="I1152" i="121"/>
  <c r="H1152" i="121"/>
  <c r="I1151" i="121"/>
  <c r="H1151" i="121"/>
  <c r="I1150" i="121"/>
  <c r="H1150" i="121"/>
  <c r="I1149" i="121"/>
  <c r="H1149" i="121"/>
  <c r="I1148" i="121"/>
  <c r="H1148" i="121"/>
  <c r="I1147" i="121"/>
  <c r="H1147" i="121"/>
  <c r="I1146" i="121"/>
  <c r="H1146" i="121"/>
  <c r="I1145" i="121"/>
  <c r="H1145" i="121"/>
  <c r="I1144" i="121"/>
  <c r="H1144" i="121"/>
  <c r="I1143" i="121"/>
  <c r="H1143" i="121"/>
  <c r="I1142" i="121"/>
  <c r="H1142" i="121"/>
  <c r="I1141" i="121"/>
  <c r="H1141" i="121"/>
  <c r="I1140" i="121"/>
  <c r="H1140" i="121"/>
  <c r="I1139" i="121"/>
  <c r="H1139" i="121"/>
  <c r="I1138" i="121"/>
  <c r="H1138" i="121"/>
  <c r="I1137" i="121"/>
  <c r="H1137" i="121"/>
  <c r="I1136" i="121"/>
  <c r="H1136" i="121"/>
  <c r="I1135" i="121"/>
  <c r="H1135" i="121"/>
  <c r="I1134" i="121"/>
  <c r="H1134" i="121"/>
  <c r="I1133" i="121"/>
  <c r="H1133" i="121"/>
  <c r="I1132" i="121"/>
  <c r="H1132" i="121"/>
  <c r="I1131" i="121"/>
  <c r="H1131" i="121"/>
  <c r="I1130" i="121"/>
  <c r="H1130" i="121"/>
  <c r="I1129" i="121"/>
  <c r="H1129" i="121"/>
  <c r="I1128" i="121"/>
  <c r="H1128" i="121"/>
  <c r="I1127" i="121"/>
  <c r="H1127" i="121"/>
  <c r="I1126" i="121"/>
  <c r="H1126" i="121"/>
  <c r="I1125" i="121"/>
  <c r="H1125" i="121"/>
  <c r="I1124" i="121"/>
  <c r="H1124" i="121"/>
  <c r="I1123" i="121"/>
  <c r="H1123" i="121"/>
  <c r="I1122" i="121"/>
  <c r="H1122" i="121"/>
  <c r="I1121" i="121"/>
  <c r="H1121" i="121"/>
  <c r="I1120" i="121"/>
  <c r="H1120" i="121"/>
  <c r="I1119" i="121"/>
  <c r="H1119" i="121"/>
  <c r="I1118" i="121"/>
  <c r="H1118" i="121"/>
  <c r="I1117" i="121"/>
  <c r="H1117" i="121"/>
  <c r="I1116" i="121"/>
  <c r="H1116" i="121"/>
  <c r="I1115" i="121"/>
  <c r="H1115" i="121"/>
  <c r="I1114" i="121"/>
  <c r="H1114" i="121"/>
  <c r="I1113" i="121"/>
  <c r="H1113" i="121"/>
  <c r="I1112" i="121"/>
  <c r="H1112" i="121"/>
  <c r="I1111" i="121"/>
  <c r="H1111" i="121"/>
  <c r="I1110" i="121"/>
  <c r="H1110" i="121"/>
  <c r="I1109" i="121"/>
  <c r="H1109" i="121"/>
  <c r="I1108" i="121"/>
  <c r="H1108" i="121"/>
  <c r="I1107" i="121"/>
  <c r="H1107" i="121"/>
  <c r="I1106" i="121"/>
  <c r="H1106" i="121"/>
  <c r="I1105" i="121"/>
  <c r="H1105" i="121"/>
  <c r="I1104" i="121"/>
  <c r="H1104" i="121"/>
  <c r="I1103" i="121"/>
  <c r="H1103" i="121"/>
  <c r="I1102" i="121"/>
  <c r="H1102" i="121"/>
  <c r="I1101" i="121"/>
  <c r="H1101" i="121"/>
  <c r="I1100" i="121"/>
  <c r="H1100" i="121"/>
  <c r="I1099" i="121"/>
  <c r="H1099" i="121"/>
  <c r="I1098" i="121"/>
  <c r="H1098" i="121"/>
  <c r="I1097" i="121"/>
  <c r="H1097" i="121"/>
  <c r="I1096" i="121"/>
  <c r="H1096" i="121"/>
  <c r="I1095" i="121"/>
  <c r="H1095" i="121"/>
  <c r="I1094" i="121"/>
  <c r="H1094" i="121"/>
  <c r="I1093" i="121"/>
  <c r="H1093" i="121"/>
  <c r="I1092" i="121"/>
  <c r="H1092" i="121"/>
  <c r="I1091" i="121"/>
  <c r="H1091" i="121"/>
  <c r="I1090" i="121"/>
  <c r="H1090" i="121"/>
  <c r="I1089" i="121"/>
  <c r="H1089" i="121"/>
  <c r="I1088" i="121"/>
  <c r="H1088" i="121"/>
  <c r="I1087" i="121"/>
  <c r="H1087" i="121"/>
  <c r="I1086" i="121"/>
  <c r="H1086" i="121"/>
  <c r="I1085" i="121"/>
  <c r="H1085" i="121"/>
  <c r="I1084" i="121"/>
  <c r="H1084" i="121"/>
  <c r="I1083" i="121"/>
  <c r="H1083" i="121"/>
  <c r="I1082" i="121"/>
  <c r="H1082" i="121"/>
  <c r="I1081" i="121"/>
  <c r="H1081" i="121"/>
  <c r="I1080" i="121"/>
  <c r="H1080" i="121"/>
  <c r="I1079" i="121"/>
  <c r="H1079" i="121"/>
  <c r="I1078" i="121"/>
  <c r="H1078" i="121"/>
  <c r="I1077" i="121"/>
  <c r="H1077" i="121"/>
  <c r="I1076" i="121"/>
  <c r="H1076" i="121"/>
  <c r="I1075" i="121"/>
  <c r="H1075" i="121"/>
  <c r="I1074" i="121"/>
  <c r="H1074" i="121"/>
  <c r="I1073" i="121"/>
  <c r="H1073" i="121"/>
  <c r="I1072" i="121"/>
  <c r="H1072" i="121"/>
  <c r="I1071" i="121"/>
  <c r="H1071" i="121"/>
  <c r="I1070" i="121"/>
  <c r="H1070" i="121"/>
  <c r="I1069" i="121"/>
  <c r="H1069" i="121"/>
  <c r="I1068" i="121"/>
  <c r="H1068" i="121"/>
  <c r="I1067" i="121"/>
  <c r="H1067" i="121"/>
  <c r="I1066" i="121"/>
  <c r="H1066" i="121"/>
  <c r="I1065" i="121"/>
  <c r="H1065" i="121"/>
  <c r="I1064" i="121"/>
  <c r="H1064" i="121"/>
  <c r="I1063" i="121"/>
  <c r="H1063" i="121"/>
  <c r="I1062" i="121"/>
  <c r="H1062" i="121"/>
  <c r="I1061" i="121"/>
  <c r="H1061" i="121"/>
  <c r="I1060" i="121"/>
  <c r="H1060" i="121"/>
  <c r="I1059" i="121"/>
  <c r="H1059" i="121"/>
  <c r="I1058" i="121"/>
  <c r="H1058" i="121"/>
  <c r="I1057" i="121"/>
  <c r="H1057" i="121"/>
  <c r="I1056" i="121"/>
  <c r="H1056" i="121"/>
  <c r="I1055" i="121"/>
  <c r="H1055" i="121"/>
  <c r="I1054" i="121"/>
  <c r="H1054" i="121"/>
  <c r="I1053" i="121"/>
  <c r="H1053" i="121"/>
  <c r="I1052" i="121"/>
  <c r="H1052" i="121"/>
  <c r="I1051" i="121"/>
  <c r="H1051" i="121"/>
  <c r="I1050" i="121"/>
  <c r="H1050" i="121"/>
  <c r="I1049" i="121"/>
  <c r="H1049" i="121"/>
  <c r="I1048" i="121"/>
  <c r="H1048" i="121"/>
  <c r="I1047" i="121"/>
  <c r="H1047" i="121"/>
  <c r="I1046" i="121"/>
  <c r="H1046" i="121"/>
  <c r="I1045" i="121"/>
  <c r="H1045" i="121"/>
  <c r="I1044" i="121"/>
  <c r="H1044" i="121"/>
  <c r="I1043" i="121"/>
  <c r="H1043" i="121"/>
  <c r="I1042" i="121"/>
  <c r="H1042" i="121"/>
  <c r="I1041" i="121"/>
  <c r="H1041" i="121"/>
  <c r="I1040" i="121"/>
  <c r="H1040" i="121"/>
  <c r="I1039" i="121"/>
  <c r="H1039" i="121"/>
  <c r="I1038" i="121"/>
  <c r="H1038" i="121"/>
  <c r="I1037" i="121"/>
  <c r="H1037" i="121"/>
  <c r="I1036" i="121"/>
  <c r="H1036" i="121"/>
  <c r="I1035" i="121"/>
  <c r="H1035" i="121"/>
  <c r="I1034" i="121"/>
  <c r="H1034" i="121"/>
  <c r="I1033" i="121"/>
  <c r="H1033" i="121"/>
  <c r="I1032" i="121"/>
  <c r="H1032" i="121"/>
  <c r="I1031" i="121"/>
  <c r="H1031" i="121"/>
  <c r="I1030" i="121"/>
  <c r="H1030" i="121"/>
  <c r="I1029" i="121"/>
  <c r="H1029" i="121"/>
  <c r="I1028" i="121"/>
  <c r="H1028" i="121"/>
  <c r="I1027" i="121"/>
  <c r="H1027" i="121"/>
  <c r="I1026" i="121"/>
  <c r="H1026" i="121"/>
  <c r="I1025" i="121"/>
  <c r="H1025" i="121"/>
  <c r="I1024" i="121"/>
  <c r="H1024" i="121"/>
  <c r="I1023" i="121"/>
  <c r="H1023" i="121"/>
  <c r="I1022" i="121"/>
  <c r="H1022" i="121"/>
  <c r="I1021" i="121"/>
  <c r="H1021" i="121"/>
  <c r="I1020" i="121"/>
  <c r="H1020" i="121"/>
  <c r="I1019" i="121"/>
  <c r="H1019" i="121"/>
  <c r="I1018" i="121"/>
  <c r="H1018" i="121"/>
  <c r="I1017" i="121"/>
  <c r="H1017" i="121"/>
  <c r="I1016" i="121"/>
  <c r="H1016" i="121"/>
  <c r="I1015" i="121"/>
  <c r="H1015" i="121"/>
  <c r="I1014" i="121"/>
  <c r="H1014" i="121"/>
  <c r="I1013" i="121"/>
  <c r="H1013" i="121"/>
  <c r="I1012" i="121"/>
  <c r="H1012" i="121"/>
  <c r="I1011" i="121"/>
  <c r="H1011" i="121"/>
  <c r="I1010" i="121"/>
  <c r="H1010" i="121"/>
  <c r="I1009" i="121"/>
  <c r="H1009" i="121"/>
  <c r="I1008" i="121"/>
  <c r="H1008" i="121"/>
  <c r="I1007" i="121"/>
  <c r="H1007" i="121"/>
  <c r="I1006" i="121"/>
  <c r="H1006" i="121"/>
  <c r="I1005" i="121"/>
  <c r="H1005" i="121"/>
  <c r="I1004" i="121"/>
  <c r="H1004" i="121"/>
  <c r="I1003" i="121"/>
  <c r="H1003" i="121"/>
  <c r="I1002" i="121"/>
  <c r="H1002" i="121"/>
  <c r="I1001" i="121"/>
  <c r="H1001" i="121"/>
  <c r="I1000" i="121"/>
  <c r="H1000" i="121"/>
  <c r="I999" i="121"/>
  <c r="H999" i="121"/>
  <c r="I998" i="121"/>
  <c r="H998" i="121"/>
  <c r="I997" i="121"/>
  <c r="H997" i="121"/>
  <c r="I996" i="121"/>
  <c r="H996" i="121"/>
  <c r="I995" i="121"/>
  <c r="H995" i="121"/>
  <c r="I994" i="121"/>
  <c r="H994" i="121"/>
  <c r="I993" i="121"/>
  <c r="H993" i="121"/>
  <c r="I992" i="121"/>
  <c r="H992" i="121"/>
  <c r="I991" i="121"/>
  <c r="H991" i="121"/>
  <c r="I990" i="121"/>
  <c r="H990" i="121"/>
  <c r="I989" i="121"/>
  <c r="H989" i="121"/>
  <c r="I988" i="121"/>
  <c r="H988" i="121"/>
  <c r="I987" i="121"/>
  <c r="H987" i="121"/>
  <c r="I986" i="121"/>
  <c r="H986" i="121"/>
  <c r="I985" i="121"/>
  <c r="H985" i="121"/>
  <c r="I984" i="121"/>
  <c r="H984" i="121"/>
  <c r="I983" i="121"/>
  <c r="H983" i="121"/>
  <c r="I982" i="121"/>
  <c r="H982" i="121"/>
  <c r="I981" i="121"/>
  <c r="H981" i="121"/>
  <c r="I980" i="121"/>
  <c r="H980" i="121"/>
  <c r="I979" i="121"/>
  <c r="H979" i="121"/>
  <c r="I978" i="121"/>
  <c r="H978" i="121"/>
  <c r="I977" i="121"/>
  <c r="H977" i="121"/>
  <c r="I976" i="121"/>
  <c r="H976" i="121"/>
  <c r="I975" i="121"/>
  <c r="H975" i="121"/>
  <c r="I974" i="121"/>
  <c r="H974" i="121"/>
  <c r="I973" i="121"/>
  <c r="H973" i="121"/>
  <c r="I972" i="121"/>
  <c r="H972" i="121"/>
  <c r="I971" i="121"/>
  <c r="H971" i="121"/>
  <c r="I970" i="121"/>
  <c r="H970" i="121"/>
  <c r="I969" i="121"/>
  <c r="H969" i="121"/>
  <c r="I968" i="121"/>
  <c r="H968" i="121"/>
  <c r="I967" i="121"/>
  <c r="H967" i="121"/>
  <c r="I966" i="121"/>
  <c r="H966" i="121"/>
  <c r="I965" i="121"/>
  <c r="H965" i="121"/>
  <c r="I964" i="121"/>
  <c r="H964" i="121"/>
  <c r="I963" i="121"/>
  <c r="H963" i="121"/>
  <c r="I962" i="121"/>
  <c r="H962" i="121"/>
  <c r="I961" i="121"/>
  <c r="H961" i="121"/>
  <c r="I960" i="121"/>
  <c r="H960" i="121"/>
  <c r="I959" i="121"/>
  <c r="H959" i="121"/>
  <c r="I958" i="121"/>
  <c r="H958" i="121"/>
  <c r="I957" i="121"/>
  <c r="H957" i="121"/>
  <c r="I956" i="121"/>
  <c r="H956" i="121"/>
  <c r="I955" i="121"/>
  <c r="H955" i="121"/>
  <c r="I954" i="121"/>
  <c r="H954" i="121"/>
  <c r="I953" i="121"/>
  <c r="H953" i="121"/>
  <c r="I952" i="121"/>
  <c r="H952" i="121"/>
  <c r="I951" i="121"/>
  <c r="H951" i="121"/>
  <c r="I950" i="121"/>
  <c r="H950" i="121"/>
  <c r="I949" i="121"/>
  <c r="H949" i="121"/>
  <c r="I948" i="121"/>
  <c r="H948" i="121"/>
  <c r="I947" i="121"/>
  <c r="H947" i="121"/>
  <c r="I946" i="121"/>
  <c r="H946" i="121"/>
  <c r="I945" i="121"/>
  <c r="H945" i="121"/>
  <c r="I944" i="121"/>
  <c r="H944" i="121"/>
  <c r="I943" i="121"/>
  <c r="H943" i="121"/>
  <c r="I942" i="121"/>
  <c r="H942" i="121"/>
  <c r="I941" i="121"/>
  <c r="H941" i="121"/>
  <c r="I940" i="121"/>
  <c r="H940" i="121"/>
  <c r="I939" i="121"/>
  <c r="H939" i="121"/>
  <c r="I938" i="121"/>
  <c r="H938" i="121"/>
  <c r="I937" i="121"/>
  <c r="H937" i="121"/>
  <c r="I936" i="121"/>
  <c r="H936" i="121"/>
  <c r="I935" i="121"/>
  <c r="H935" i="121"/>
  <c r="I934" i="121"/>
  <c r="H934" i="121"/>
  <c r="I933" i="121"/>
  <c r="H933" i="121"/>
  <c r="I932" i="121"/>
  <c r="H932" i="121"/>
  <c r="I931" i="121"/>
  <c r="H931" i="121"/>
  <c r="I930" i="121"/>
  <c r="H930" i="121"/>
  <c r="I929" i="121"/>
  <c r="H929" i="121"/>
  <c r="I928" i="121"/>
  <c r="H928" i="121"/>
  <c r="I927" i="121"/>
  <c r="H927" i="121"/>
  <c r="I926" i="121"/>
  <c r="H926" i="121"/>
  <c r="I925" i="121"/>
  <c r="H925" i="121"/>
  <c r="I924" i="121"/>
  <c r="H924" i="121"/>
  <c r="I923" i="121"/>
  <c r="H923" i="121"/>
  <c r="I922" i="121"/>
  <c r="H922" i="121"/>
  <c r="I921" i="121"/>
  <c r="H921" i="121"/>
  <c r="I920" i="121"/>
  <c r="H920" i="121"/>
  <c r="I919" i="121"/>
  <c r="H919" i="121"/>
  <c r="I918" i="121"/>
  <c r="H918" i="121"/>
  <c r="I917" i="121"/>
  <c r="H917" i="121"/>
  <c r="I916" i="121"/>
  <c r="H916" i="121"/>
  <c r="I915" i="121"/>
  <c r="H915" i="121"/>
  <c r="I914" i="121"/>
  <c r="H914" i="121"/>
  <c r="I913" i="121"/>
  <c r="H913" i="121"/>
  <c r="I912" i="121"/>
  <c r="H912" i="121"/>
  <c r="I911" i="121"/>
  <c r="H911" i="121"/>
  <c r="I910" i="121"/>
  <c r="H910" i="121"/>
  <c r="I909" i="121"/>
  <c r="H909" i="121"/>
  <c r="I908" i="121"/>
  <c r="H908" i="121"/>
  <c r="I907" i="121"/>
  <c r="H907" i="121"/>
  <c r="I906" i="121"/>
  <c r="H906" i="121"/>
  <c r="I905" i="121"/>
  <c r="H905" i="121"/>
  <c r="I904" i="121"/>
  <c r="H904" i="121"/>
  <c r="I903" i="121"/>
  <c r="H903" i="121"/>
  <c r="I902" i="121"/>
  <c r="H902" i="121"/>
  <c r="I901" i="121"/>
  <c r="H901" i="121"/>
  <c r="I900" i="121"/>
  <c r="H900" i="121"/>
  <c r="I899" i="121"/>
  <c r="H899" i="121"/>
  <c r="I898" i="121"/>
  <c r="H898" i="121"/>
  <c r="I897" i="121"/>
  <c r="H897" i="121"/>
  <c r="I896" i="121"/>
  <c r="H896" i="121"/>
  <c r="I895" i="121"/>
  <c r="H895" i="121"/>
  <c r="I894" i="121"/>
  <c r="H894" i="121"/>
  <c r="I893" i="121"/>
  <c r="H893" i="121"/>
  <c r="I892" i="121"/>
  <c r="H892" i="121"/>
  <c r="I891" i="121"/>
  <c r="H891" i="121"/>
  <c r="I890" i="121"/>
  <c r="H890" i="121"/>
  <c r="I889" i="121"/>
  <c r="H889" i="121"/>
  <c r="I888" i="121"/>
  <c r="H888" i="121"/>
  <c r="I887" i="121"/>
  <c r="H887" i="121"/>
  <c r="I886" i="121"/>
  <c r="H886" i="121"/>
  <c r="I885" i="121"/>
  <c r="H885" i="121"/>
  <c r="I884" i="121"/>
  <c r="H884" i="121"/>
  <c r="I883" i="121"/>
  <c r="H883" i="121"/>
  <c r="I882" i="121"/>
  <c r="H882" i="121"/>
  <c r="I881" i="121"/>
  <c r="H881" i="121"/>
  <c r="I880" i="121"/>
  <c r="H880" i="121"/>
  <c r="I879" i="121"/>
  <c r="H879" i="121"/>
  <c r="I878" i="121"/>
  <c r="H878" i="121"/>
  <c r="I877" i="121"/>
  <c r="H877" i="121"/>
  <c r="I876" i="121"/>
  <c r="H876" i="121"/>
  <c r="I875" i="121"/>
  <c r="H875" i="121"/>
  <c r="I874" i="121"/>
  <c r="H874" i="121"/>
  <c r="I873" i="121"/>
  <c r="H873" i="121"/>
  <c r="I872" i="121"/>
  <c r="H872" i="121"/>
  <c r="I871" i="121"/>
  <c r="H871" i="121"/>
  <c r="I870" i="121"/>
  <c r="H870" i="121"/>
  <c r="I869" i="121"/>
  <c r="H869" i="121"/>
  <c r="I868" i="121"/>
  <c r="H868" i="121"/>
  <c r="I867" i="121"/>
  <c r="H867" i="121"/>
  <c r="I866" i="121"/>
  <c r="H866" i="121"/>
  <c r="I865" i="121"/>
  <c r="H865" i="121"/>
  <c r="I864" i="121"/>
  <c r="H864" i="121"/>
  <c r="I863" i="121"/>
  <c r="H863" i="121"/>
  <c r="I862" i="121"/>
  <c r="H862" i="121"/>
  <c r="I861" i="121"/>
  <c r="H861" i="121"/>
  <c r="I860" i="121"/>
  <c r="H860" i="121"/>
  <c r="I859" i="121"/>
  <c r="H859" i="121"/>
  <c r="I858" i="121"/>
  <c r="H858" i="121"/>
  <c r="I857" i="121"/>
  <c r="H857" i="121"/>
  <c r="I856" i="121"/>
  <c r="H856" i="121"/>
  <c r="I855" i="121"/>
  <c r="H855" i="121"/>
  <c r="I854" i="121"/>
  <c r="H854" i="121"/>
  <c r="I853" i="121"/>
  <c r="H853" i="121"/>
  <c r="I852" i="121"/>
  <c r="H852" i="121"/>
  <c r="I851" i="121"/>
  <c r="H851" i="121"/>
  <c r="I850" i="121"/>
  <c r="H850" i="121"/>
  <c r="I849" i="121"/>
  <c r="H849" i="121"/>
  <c r="I848" i="121"/>
  <c r="H848" i="121"/>
  <c r="I847" i="121"/>
  <c r="H847" i="121"/>
  <c r="I846" i="121"/>
  <c r="H846" i="121"/>
  <c r="I845" i="121"/>
  <c r="H845" i="121"/>
  <c r="I844" i="121"/>
  <c r="H844" i="121"/>
  <c r="I843" i="121"/>
  <c r="H843" i="121"/>
  <c r="I842" i="121"/>
  <c r="H842" i="121"/>
  <c r="I841" i="121"/>
  <c r="H841" i="121"/>
  <c r="I840" i="121"/>
  <c r="H840" i="121"/>
  <c r="I839" i="121"/>
  <c r="H839" i="121"/>
  <c r="I838" i="121"/>
  <c r="H838" i="121"/>
  <c r="I837" i="121"/>
  <c r="H837" i="121"/>
  <c r="I836" i="121"/>
  <c r="H836" i="121"/>
  <c r="I835" i="121"/>
  <c r="H835" i="121"/>
  <c r="I834" i="121"/>
  <c r="H834" i="121"/>
  <c r="I833" i="121"/>
  <c r="H833" i="121"/>
  <c r="I832" i="121"/>
  <c r="H832" i="121"/>
  <c r="I831" i="121"/>
  <c r="H831" i="121"/>
  <c r="I830" i="121"/>
  <c r="H830" i="121"/>
  <c r="I829" i="121"/>
  <c r="H829" i="121"/>
  <c r="I828" i="121"/>
  <c r="H828" i="121"/>
  <c r="I827" i="121"/>
  <c r="H827" i="121"/>
  <c r="I826" i="121"/>
  <c r="H826" i="121"/>
  <c r="I825" i="121"/>
  <c r="H825" i="121"/>
  <c r="I824" i="121"/>
  <c r="H824" i="121"/>
  <c r="I823" i="121"/>
  <c r="H823" i="121"/>
  <c r="I822" i="121"/>
  <c r="H822" i="121"/>
  <c r="I821" i="121"/>
  <c r="H821" i="121"/>
  <c r="I820" i="121"/>
  <c r="H820" i="121"/>
  <c r="I819" i="121"/>
  <c r="H819" i="121"/>
  <c r="I818" i="121"/>
  <c r="H818" i="121"/>
  <c r="I817" i="121"/>
  <c r="H817" i="121"/>
  <c r="I816" i="121"/>
  <c r="H816" i="121"/>
  <c r="I815" i="121"/>
  <c r="H815" i="121"/>
  <c r="I814" i="121"/>
  <c r="H814" i="121"/>
  <c r="I813" i="121"/>
  <c r="H813" i="121"/>
  <c r="I812" i="121"/>
  <c r="H812" i="121"/>
  <c r="I811" i="121"/>
  <c r="H811" i="121"/>
  <c r="I810" i="121"/>
  <c r="H810" i="121"/>
  <c r="I809" i="121"/>
  <c r="H809" i="121"/>
  <c r="I808" i="121"/>
  <c r="H808" i="121"/>
  <c r="I807" i="121"/>
  <c r="H807" i="121"/>
  <c r="I806" i="121"/>
  <c r="H806" i="121"/>
  <c r="I805" i="121"/>
  <c r="H805" i="121"/>
  <c r="I804" i="121"/>
  <c r="H804" i="121"/>
  <c r="I803" i="121"/>
  <c r="H803" i="121"/>
  <c r="I802" i="121"/>
  <c r="H802" i="121"/>
  <c r="I801" i="121"/>
  <c r="H801" i="121"/>
  <c r="I800" i="121"/>
  <c r="H800" i="121"/>
  <c r="I799" i="121"/>
  <c r="H799" i="121"/>
  <c r="I798" i="121"/>
  <c r="H798" i="121"/>
  <c r="I797" i="121"/>
  <c r="H797" i="121"/>
  <c r="I796" i="121"/>
  <c r="H796" i="121"/>
  <c r="I795" i="121"/>
  <c r="H795" i="121"/>
  <c r="I794" i="121"/>
  <c r="H794" i="121"/>
  <c r="I793" i="121"/>
  <c r="H793" i="121"/>
  <c r="I792" i="121"/>
  <c r="H792" i="121"/>
  <c r="I791" i="121"/>
  <c r="H791" i="121"/>
  <c r="I790" i="121"/>
  <c r="H790" i="121"/>
  <c r="I789" i="121"/>
  <c r="H789" i="121"/>
  <c r="I788" i="121"/>
  <c r="H788" i="121"/>
  <c r="I787" i="121"/>
  <c r="H787" i="121"/>
  <c r="I786" i="121"/>
  <c r="H786" i="121"/>
  <c r="I785" i="121"/>
  <c r="H785" i="121"/>
  <c r="I784" i="121"/>
  <c r="H784" i="121"/>
  <c r="I783" i="121"/>
  <c r="H783" i="121"/>
  <c r="I782" i="121"/>
  <c r="H782" i="121"/>
  <c r="I781" i="121"/>
  <c r="H781" i="121"/>
  <c r="I780" i="121"/>
  <c r="H780" i="121"/>
  <c r="I779" i="121"/>
  <c r="H779" i="121"/>
  <c r="I778" i="121"/>
  <c r="H778" i="121"/>
  <c r="I777" i="121"/>
  <c r="H777" i="121"/>
  <c r="I776" i="121"/>
  <c r="H776" i="121"/>
  <c r="I775" i="121"/>
  <c r="H775" i="121"/>
  <c r="I774" i="121"/>
  <c r="H774" i="121"/>
  <c r="I773" i="121"/>
  <c r="H773" i="121"/>
  <c r="I772" i="121"/>
  <c r="H772" i="121"/>
  <c r="I771" i="121"/>
  <c r="H771" i="121"/>
  <c r="I770" i="121"/>
  <c r="H770" i="121"/>
  <c r="I769" i="121"/>
  <c r="H769" i="121"/>
  <c r="I768" i="121"/>
  <c r="H768" i="121"/>
  <c r="I767" i="121"/>
  <c r="H767" i="121"/>
  <c r="I766" i="121"/>
  <c r="H766" i="121"/>
  <c r="I765" i="121"/>
  <c r="H765" i="121"/>
  <c r="I764" i="121"/>
  <c r="H764" i="121"/>
  <c r="I763" i="121"/>
  <c r="H763" i="121"/>
  <c r="I762" i="121"/>
  <c r="H762" i="121"/>
  <c r="I761" i="121"/>
  <c r="H761" i="121"/>
  <c r="I760" i="121"/>
  <c r="H760" i="121"/>
  <c r="I759" i="121"/>
  <c r="H759" i="121"/>
  <c r="I758" i="121"/>
  <c r="H758" i="121"/>
  <c r="I757" i="121"/>
  <c r="H757" i="121"/>
  <c r="I756" i="121"/>
  <c r="H756" i="121"/>
  <c r="I755" i="121"/>
  <c r="H755" i="121"/>
  <c r="I754" i="121"/>
  <c r="H754" i="121"/>
  <c r="I753" i="121"/>
  <c r="H753" i="121"/>
  <c r="I752" i="121"/>
  <c r="H752" i="121"/>
  <c r="I751" i="121"/>
  <c r="H751" i="121"/>
  <c r="I750" i="121"/>
  <c r="H750" i="121"/>
  <c r="I749" i="121"/>
  <c r="H749" i="121"/>
  <c r="I748" i="121"/>
  <c r="H748" i="121"/>
  <c r="I747" i="121"/>
  <c r="H747" i="121"/>
  <c r="I746" i="121"/>
  <c r="H746" i="121"/>
  <c r="I745" i="121"/>
  <c r="H745" i="121"/>
  <c r="I744" i="121"/>
  <c r="H744" i="121"/>
  <c r="I743" i="121"/>
  <c r="H743" i="121"/>
  <c r="I742" i="121"/>
  <c r="H742" i="121"/>
  <c r="I741" i="121"/>
  <c r="H741" i="121"/>
  <c r="I740" i="121"/>
  <c r="H740" i="121"/>
  <c r="I739" i="121"/>
  <c r="H739" i="121"/>
  <c r="I738" i="121"/>
  <c r="H738" i="121"/>
  <c r="I737" i="121"/>
  <c r="H737" i="121"/>
  <c r="I736" i="121"/>
  <c r="H736" i="121"/>
  <c r="I735" i="121"/>
  <c r="H735" i="121"/>
  <c r="I734" i="121"/>
  <c r="H734" i="121"/>
  <c r="I733" i="121"/>
  <c r="H733" i="121"/>
  <c r="I732" i="121"/>
  <c r="H732" i="121"/>
  <c r="I731" i="121"/>
  <c r="H731" i="121"/>
  <c r="I730" i="121"/>
  <c r="H730" i="121"/>
  <c r="I729" i="121"/>
  <c r="H729" i="121"/>
  <c r="I728" i="121"/>
  <c r="H728" i="121"/>
  <c r="I727" i="121"/>
  <c r="H727" i="121"/>
  <c r="I544" i="121"/>
  <c r="H544" i="121"/>
  <c r="H522" i="121" l="1"/>
  <c r="I522" i="121"/>
  <c r="H521" i="121"/>
  <c r="I521" i="121"/>
  <c r="H523" i="121"/>
  <c r="I523" i="121"/>
  <c r="D335" i="89" l="1"/>
  <c r="D336" i="89"/>
  <c r="D337" i="89"/>
  <c r="D339" i="89"/>
  <c r="D340" i="89"/>
  <c r="D341" i="89"/>
  <c r="D342" i="89"/>
  <c r="D343" i="89"/>
  <c r="F3302" i="127"/>
  <c r="S2053" i="127" l="1"/>
  <c r="C3293" i="127" l="1"/>
  <c r="C3294" i="127"/>
  <c r="C3295" i="127"/>
  <c r="C3296" i="127"/>
  <c r="C3297" i="127"/>
  <c r="C3298" i="127"/>
  <c r="C3299" i="127"/>
  <c r="C3300" i="127"/>
  <c r="C3301" i="127"/>
  <c r="C3302" i="127"/>
  <c r="C3303" i="127"/>
  <c r="C3304" i="127"/>
  <c r="C3305" i="127"/>
  <c r="C3306" i="127"/>
  <c r="C3307" i="127"/>
  <c r="C3308" i="127"/>
  <c r="C3309" i="127"/>
  <c r="C3310" i="127"/>
  <c r="C3311" i="127"/>
  <c r="C3312" i="127"/>
  <c r="C3313" i="127"/>
  <c r="C3314" i="127"/>
  <c r="C3315" i="127"/>
  <c r="C3316" i="127"/>
  <c r="S3262" i="127"/>
  <c r="S3263" i="127"/>
  <c r="S3266" i="127"/>
  <c r="S3268" i="127"/>
  <c r="S3269" i="127"/>
  <c r="S3270" i="127"/>
  <c r="S3271" i="127"/>
  <c r="S2815" i="127"/>
  <c r="S1382" i="127"/>
  <c r="S1239" i="127"/>
  <c r="S1648" i="127"/>
  <c r="F3274" i="127"/>
  <c r="F3275" i="127"/>
  <c r="F3276" i="127"/>
  <c r="C3292" i="127"/>
  <c r="T2805" i="127"/>
  <c r="T2804" i="127"/>
  <c r="T2803" i="127"/>
  <c r="S1832" i="127"/>
  <c r="AK226" i="123" s="1"/>
  <c r="S2440" i="127"/>
  <c r="S2437" i="127"/>
  <c r="S2414" i="127"/>
  <c r="S2753" i="127"/>
  <c r="T2753" i="127" s="1"/>
  <c r="S1923" i="127"/>
  <c r="T1500" i="127"/>
  <c r="T1923" i="127"/>
  <c r="AN226" i="123" l="1"/>
  <c r="T2081" i="127"/>
  <c r="S2081" i="127"/>
  <c r="T2326" i="127"/>
  <c r="T2277" i="127"/>
  <c r="T3192" i="127"/>
  <c r="T2762" i="127"/>
  <c r="T2740" i="127"/>
  <c r="T2393" i="127"/>
  <c r="T1907" i="127"/>
  <c r="T1605" i="127"/>
  <c r="T1472" i="127"/>
  <c r="S1472" i="127"/>
  <c r="S1732" i="127"/>
  <c r="T3102" i="127"/>
  <c r="T3101" i="127"/>
  <c r="T3100" i="127"/>
  <c r="S3100" i="127"/>
  <c r="S3102" i="127"/>
  <c r="S2952" i="127"/>
  <c r="S1149" i="127"/>
  <c r="S1131" i="127"/>
  <c r="T766" i="127"/>
  <c r="S3252" i="127"/>
  <c r="T3252" i="127" s="1"/>
  <c r="S3040" i="127"/>
  <c r="T3040" i="127" s="1"/>
  <c r="T3039" i="127"/>
  <c r="S3039" i="127"/>
  <c r="S3038" i="127"/>
  <c r="T3038" i="127" s="1"/>
  <c r="T2162" i="127"/>
  <c r="T525" i="127"/>
  <c r="S525" i="127"/>
  <c r="S2924" i="127" l="1"/>
  <c r="S2745" i="127"/>
  <c r="S2296" i="127"/>
  <c r="AK371" i="123" s="1"/>
  <c r="AN371" i="123" l="1"/>
  <c r="T3219" i="127"/>
  <c r="T3215" i="127"/>
  <c r="S3215" i="127"/>
  <c r="C3244" i="127"/>
  <c r="C3245" i="127"/>
  <c r="C3246" i="127"/>
  <c r="C3247" i="127"/>
  <c r="C3248" i="127"/>
  <c r="C3249" i="127"/>
  <c r="C3250" i="127"/>
  <c r="C3251" i="127"/>
  <c r="C3252" i="127"/>
  <c r="C3253" i="127"/>
  <c r="C3254" i="127"/>
  <c r="C3255" i="127"/>
  <c r="C3256" i="127"/>
  <c r="C3257" i="127"/>
  <c r="C3258" i="127"/>
  <c r="C3259" i="127"/>
  <c r="C3260" i="127"/>
  <c r="C3261" i="127"/>
  <c r="C3262" i="127"/>
  <c r="C3263" i="127"/>
  <c r="C3264" i="127"/>
  <c r="C3265" i="127"/>
  <c r="C3266" i="127"/>
  <c r="C3267" i="127"/>
  <c r="C3268" i="127"/>
  <c r="C3269" i="127"/>
  <c r="C3270" i="127"/>
  <c r="C3271" i="127"/>
  <c r="C3272" i="127"/>
  <c r="C3273" i="127"/>
  <c r="C3274" i="127"/>
  <c r="C3275" i="127"/>
  <c r="C3276" i="127"/>
  <c r="C3277" i="127"/>
  <c r="C3278" i="127"/>
  <c r="C3279" i="127"/>
  <c r="C3280" i="127"/>
  <c r="C3281" i="127"/>
  <c r="C3282" i="127"/>
  <c r="C3283" i="127"/>
  <c r="C3284" i="127"/>
  <c r="C3285" i="127"/>
  <c r="C3286" i="127"/>
  <c r="C3287" i="127"/>
  <c r="C3288" i="127"/>
  <c r="C3289" i="127"/>
  <c r="C3290" i="127"/>
  <c r="C3291" i="127"/>
  <c r="C3239" i="127"/>
  <c r="C3240" i="127"/>
  <c r="C3241" i="127"/>
  <c r="C3242" i="127"/>
  <c r="C3243" i="127"/>
  <c r="C3216" i="127"/>
  <c r="C3217" i="127"/>
  <c r="C3218" i="127"/>
  <c r="C3219" i="127"/>
  <c r="C3220" i="127"/>
  <c r="C3221" i="127"/>
  <c r="C3222" i="127"/>
  <c r="C3223" i="127"/>
  <c r="C3224" i="127"/>
  <c r="C3225" i="127"/>
  <c r="C3226" i="127"/>
  <c r="C3227" i="127"/>
  <c r="C3228" i="127"/>
  <c r="C3229" i="127"/>
  <c r="C3230" i="127"/>
  <c r="C3231" i="127"/>
  <c r="C3232" i="127"/>
  <c r="C3233" i="127"/>
  <c r="C3234" i="127"/>
  <c r="C3235" i="127"/>
  <c r="C3236" i="127"/>
  <c r="C3237" i="127"/>
  <c r="C3238" i="127"/>
  <c r="C3211" i="127"/>
  <c r="C3212" i="127"/>
  <c r="C3213" i="127"/>
  <c r="C3214" i="127"/>
  <c r="C3215" i="127"/>
  <c r="E3197" i="127"/>
  <c r="C3201" i="127"/>
  <c r="C3202" i="127"/>
  <c r="C3203" i="127"/>
  <c r="C3204" i="127"/>
  <c r="C3205" i="127"/>
  <c r="C3206" i="127"/>
  <c r="C3207" i="127"/>
  <c r="C3208" i="127"/>
  <c r="C3209" i="127"/>
  <c r="C3210" i="127"/>
  <c r="S1542" i="127" l="1"/>
  <c r="T426" i="127"/>
  <c r="T1530" i="127"/>
  <c r="S1528" i="127"/>
  <c r="T2998" i="127"/>
  <c r="T2944" i="127"/>
  <c r="T2942" i="127"/>
  <c r="T2913" i="127"/>
  <c r="T1203" i="127"/>
  <c r="T1170" i="127"/>
  <c r="S2998" i="127"/>
  <c r="S2944" i="127"/>
  <c r="S2942" i="127"/>
  <c r="S2913" i="127"/>
  <c r="S1203" i="127"/>
  <c r="S1170" i="127"/>
  <c r="T2565" i="127"/>
  <c r="C2564" i="127"/>
  <c r="Q2564" i="127"/>
  <c r="F2564" i="127"/>
  <c r="E2564" i="127"/>
  <c r="T782" i="127"/>
  <c r="Q782" i="127"/>
  <c r="Q521" i="127"/>
  <c r="Q486" i="127"/>
  <c r="F782" i="127"/>
  <c r="C782" i="127"/>
  <c r="E782" i="127"/>
  <c r="S1443" i="127"/>
  <c r="T3191" i="127"/>
  <c r="P135" i="127" l="1"/>
  <c r="C3174" i="127"/>
  <c r="C3175" i="127"/>
  <c r="C3176" i="127"/>
  <c r="C3177" i="127"/>
  <c r="C3178" i="127"/>
  <c r="C3179" i="127"/>
  <c r="C3180" i="127"/>
  <c r="C3181" i="127"/>
  <c r="C3182" i="127"/>
  <c r="C3183" i="127"/>
  <c r="C3184" i="127"/>
  <c r="C3185" i="127"/>
  <c r="C3186" i="127"/>
  <c r="C3187" i="127"/>
  <c r="C3188" i="127"/>
  <c r="C3189" i="127"/>
  <c r="C3190" i="127"/>
  <c r="C3191" i="127"/>
  <c r="C3192" i="127"/>
  <c r="C3193" i="127"/>
  <c r="C3194" i="127"/>
  <c r="C3195" i="127"/>
  <c r="C3196" i="127"/>
  <c r="C3197" i="127"/>
  <c r="C3198" i="127"/>
  <c r="C3199" i="127"/>
  <c r="C3200" i="127"/>
  <c r="O1860" i="127" l="1"/>
  <c r="C3164" i="127" l="1"/>
  <c r="C3165" i="127"/>
  <c r="C3166" i="127"/>
  <c r="C3167" i="127"/>
  <c r="C3168" i="127"/>
  <c r="C3169" i="127"/>
  <c r="C3170" i="127"/>
  <c r="C3171" i="127"/>
  <c r="C3172" i="127"/>
  <c r="C3173" i="127"/>
  <c r="S120" i="127" l="1"/>
  <c r="T1324" i="127"/>
  <c r="T2343" i="127"/>
  <c r="T2449" i="127"/>
  <c r="T2146" i="127"/>
  <c r="T238" i="127"/>
  <c r="T479" i="127"/>
  <c r="S2153" i="127"/>
  <c r="F2273" i="127"/>
  <c r="T2577" i="127"/>
  <c r="T3054" i="127"/>
  <c r="T205" i="127"/>
  <c r="T2773" i="127"/>
  <c r="AL390" i="123" s="1"/>
  <c r="T278" i="127"/>
  <c r="T690" i="127"/>
  <c r="T434" i="127"/>
  <c r="T891" i="127"/>
  <c r="T224" i="127"/>
  <c r="C2665" i="127"/>
  <c r="E2665" i="127"/>
  <c r="F2665" i="127"/>
  <c r="Q2665" i="127"/>
  <c r="T2665" i="127"/>
  <c r="T812" i="127"/>
  <c r="T1154" i="127"/>
  <c r="T2442" i="127"/>
  <c r="T2444" i="127"/>
  <c r="S2442" i="127"/>
  <c r="T2907" i="127"/>
  <c r="T2909" i="127"/>
  <c r="T1838" i="127"/>
  <c r="AO390" i="123" l="1"/>
  <c r="AP390" i="123" s="1"/>
  <c r="AM390" i="123"/>
  <c r="C10" i="119"/>
  <c r="C11" i="119"/>
  <c r="C12" i="119"/>
  <c r="C13" i="119"/>
  <c r="C14" i="119"/>
  <c r="C15" i="119"/>
  <c r="C16" i="119"/>
  <c r="C17" i="119"/>
  <c r="C18" i="119"/>
  <c r="C19" i="119"/>
  <c r="C20" i="119"/>
  <c r="C21" i="119"/>
  <c r="C22" i="119"/>
  <c r="C23" i="119"/>
  <c r="C24" i="119"/>
  <c r="C25" i="119"/>
  <c r="C26" i="119"/>
  <c r="C27" i="119"/>
  <c r="C28" i="119"/>
  <c r="C29" i="119"/>
  <c r="C30" i="119"/>
  <c r="C31" i="119"/>
  <c r="C32" i="119"/>
  <c r="C33" i="119"/>
  <c r="C34" i="119"/>
  <c r="C35" i="119"/>
  <c r="C36" i="119"/>
  <c r="C37" i="119"/>
  <c r="C38" i="119"/>
  <c r="C39" i="119"/>
  <c r="C40" i="119"/>
  <c r="C41" i="119"/>
  <c r="C42" i="119"/>
  <c r="C43" i="119"/>
  <c r="C44" i="119"/>
  <c r="C45" i="119"/>
  <c r="C46" i="119"/>
  <c r="C47" i="119"/>
  <c r="C48" i="119"/>
  <c r="C49" i="119"/>
  <c r="C50" i="119"/>
  <c r="C51" i="119"/>
  <c r="C52" i="119"/>
  <c r="C53" i="119"/>
  <c r="C54" i="119"/>
  <c r="C55" i="119"/>
  <c r="C56" i="119"/>
  <c r="C57" i="119"/>
  <c r="C58" i="119"/>
  <c r="C59" i="119"/>
  <c r="C60" i="119"/>
  <c r="C61" i="119"/>
  <c r="C62" i="119"/>
  <c r="C63" i="119"/>
  <c r="C64" i="119"/>
  <c r="C65" i="119"/>
  <c r="C66" i="119"/>
  <c r="C67" i="119"/>
  <c r="C68" i="119"/>
  <c r="C69" i="119"/>
  <c r="C70" i="119"/>
  <c r="C71" i="119"/>
  <c r="C72" i="119"/>
  <c r="C73" i="119"/>
  <c r="C74" i="119"/>
  <c r="C75" i="119"/>
  <c r="C76" i="119"/>
  <c r="C77" i="119"/>
  <c r="C78" i="119"/>
  <c r="C79" i="119"/>
  <c r="C80" i="119"/>
  <c r="C81" i="119"/>
  <c r="C82" i="119"/>
  <c r="C83" i="119"/>
  <c r="C84" i="119"/>
  <c r="C85" i="119"/>
  <c r="C86" i="119"/>
  <c r="C87" i="119"/>
  <c r="C88" i="119"/>
  <c r="C89" i="119"/>
  <c r="C90" i="119"/>
  <c r="C91" i="119"/>
  <c r="C92" i="119"/>
  <c r="C93" i="119"/>
  <c r="C94" i="119"/>
  <c r="C95" i="119"/>
  <c r="C96" i="119"/>
  <c r="C97" i="119"/>
  <c r="C98" i="119"/>
  <c r="C99" i="119"/>
  <c r="C100" i="119"/>
  <c r="C101" i="119"/>
  <c r="C102" i="119"/>
  <c r="C103" i="119"/>
  <c r="C104" i="119"/>
  <c r="C105" i="119"/>
  <c r="C106" i="119"/>
  <c r="C107" i="119"/>
  <c r="C108" i="119"/>
  <c r="C109" i="119"/>
  <c r="C110" i="119"/>
  <c r="C111" i="119"/>
  <c r="C112" i="119"/>
  <c r="C113" i="119"/>
  <c r="C114" i="119"/>
  <c r="C115" i="119"/>
  <c r="C116" i="119"/>
  <c r="C117" i="119"/>
  <c r="C118" i="119"/>
  <c r="C119" i="119"/>
  <c r="C120" i="119"/>
  <c r="C121" i="119"/>
  <c r="C122" i="119"/>
  <c r="C123" i="119"/>
  <c r="C124" i="119"/>
  <c r="C125" i="119"/>
  <c r="C126" i="119"/>
  <c r="C127" i="119"/>
  <c r="C128" i="119"/>
  <c r="C129" i="119"/>
  <c r="C130" i="119"/>
  <c r="C131" i="119"/>
  <c r="C132" i="119"/>
  <c r="C133" i="119"/>
  <c r="C134" i="119"/>
  <c r="C135" i="119"/>
  <c r="C136" i="119"/>
  <c r="C137" i="119"/>
  <c r="C138" i="119"/>
  <c r="C139" i="119"/>
  <c r="C140" i="119"/>
  <c r="C141" i="119"/>
  <c r="C142" i="119"/>
  <c r="C143" i="119"/>
  <c r="C144" i="119"/>
  <c r="C145" i="119"/>
  <c r="C146" i="119"/>
  <c r="C147" i="119"/>
  <c r="C148" i="119"/>
  <c r="C149" i="119"/>
  <c r="C150" i="119"/>
  <c r="C151" i="119"/>
  <c r="C152" i="119"/>
  <c r="C153" i="119"/>
  <c r="C154" i="119"/>
  <c r="C155" i="119"/>
  <c r="C156" i="119"/>
  <c r="C157" i="119"/>
  <c r="C158" i="119"/>
  <c r="C159" i="119"/>
  <c r="C160" i="119"/>
  <c r="C161" i="119"/>
  <c r="C162" i="119"/>
  <c r="C163" i="119"/>
  <c r="C164" i="119"/>
  <c r="C165" i="119"/>
  <c r="C166" i="119"/>
  <c r="C167" i="119"/>
  <c r="C168" i="119"/>
  <c r="C9" i="119"/>
  <c r="C8" i="119"/>
  <c r="A5" i="136"/>
  <c r="A6" i="136"/>
  <c r="A7" i="136"/>
  <c r="A8" i="136"/>
  <c r="A9" i="136"/>
  <c r="A10" i="136"/>
  <c r="A11" i="136"/>
  <c r="A12" i="136"/>
  <c r="A13" i="136"/>
  <c r="A14" i="136"/>
  <c r="A15" i="136"/>
  <c r="A16" i="136"/>
  <c r="A17" i="136"/>
  <c r="A18" i="136"/>
  <c r="A19" i="136"/>
  <c r="A20" i="136"/>
  <c r="A21" i="136"/>
  <c r="A22" i="136"/>
  <c r="A23" i="136"/>
  <c r="A24" i="136"/>
  <c r="A25" i="136"/>
  <c r="A26" i="136"/>
  <c r="A27" i="136"/>
  <c r="A28" i="136"/>
  <c r="A29" i="136"/>
  <c r="A30" i="136"/>
  <c r="A31" i="136"/>
  <c r="A32" i="136"/>
  <c r="A33" i="136"/>
  <c r="A34" i="136"/>
  <c r="A35" i="136"/>
  <c r="A36" i="136"/>
  <c r="A37" i="136"/>
  <c r="A38" i="136"/>
  <c r="A39" i="136"/>
  <c r="A40" i="136"/>
  <c r="A41" i="136"/>
  <c r="A42" i="136"/>
  <c r="A43" i="136"/>
  <c r="A44" i="136"/>
  <c r="A45" i="136"/>
  <c r="A46" i="136"/>
  <c r="A47" i="136"/>
  <c r="A48" i="136"/>
  <c r="A49" i="136"/>
  <c r="A50" i="136"/>
  <c r="A51" i="136"/>
  <c r="A52" i="136"/>
  <c r="A53" i="136"/>
  <c r="A54" i="136"/>
  <c r="A55" i="136"/>
  <c r="A56" i="136"/>
  <c r="A57" i="136"/>
  <c r="A58" i="136"/>
  <c r="A59" i="136"/>
  <c r="A60" i="136"/>
  <c r="A61" i="136"/>
  <c r="A62" i="136"/>
  <c r="A63" i="136"/>
  <c r="A64" i="136"/>
  <c r="A65" i="136"/>
  <c r="A66" i="136"/>
  <c r="A67" i="136"/>
  <c r="A68" i="136"/>
  <c r="A69" i="136"/>
  <c r="A70" i="136"/>
  <c r="A71" i="136"/>
  <c r="A72" i="136"/>
  <c r="A73" i="136"/>
  <c r="A74" i="136"/>
  <c r="A75" i="136"/>
  <c r="A76" i="136"/>
  <c r="A77" i="136"/>
  <c r="A78" i="136"/>
  <c r="A79" i="136"/>
  <c r="A80" i="136"/>
  <c r="A81" i="136"/>
  <c r="A82" i="136"/>
  <c r="A83" i="136"/>
  <c r="A84" i="136"/>
  <c r="A85" i="136"/>
  <c r="A86" i="136"/>
  <c r="A87" i="136"/>
  <c r="A88" i="136"/>
  <c r="A89" i="136"/>
  <c r="A90" i="136"/>
  <c r="A91" i="136"/>
  <c r="A92" i="136"/>
  <c r="A93" i="136"/>
  <c r="A94" i="136"/>
  <c r="A95" i="136"/>
  <c r="A96" i="136"/>
  <c r="A97" i="136"/>
  <c r="A98" i="136"/>
  <c r="A99" i="136"/>
  <c r="A100" i="136"/>
  <c r="A101" i="136"/>
  <c r="A102" i="136"/>
  <c r="A103" i="136"/>
  <c r="A104" i="136"/>
  <c r="A105" i="136"/>
  <c r="A106" i="136"/>
  <c r="A107" i="136"/>
  <c r="A108" i="136"/>
  <c r="A109" i="136"/>
  <c r="A110" i="136"/>
  <c r="A111" i="136"/>
  <c r="A112" i="136"/>
  <c r="A113" i="136"/>
  <c r="A114" i="136"/>
  <c r="A115" i="136"/>
  <c r="A116" i="136"/>
  <c r="A117" i="136"/>
  <c r="A118" i="136"/>
  <c r="A119" i="136"/>
  <c r="A120" i="136"/>
  <c r="A121" i="136"/>
  <c r="A122" i="136"/>
  <c r="A123" i="136"/>
  <c r="A124" i="136"/>
  <c r="A125" i="136"/>
  <c r="A126" i="136"/>
  <c r="A127" i="136"/>
  <c r="A128" i="136"/>
  <c r="A129" i="136"/>
  <c r="A130" i="136"/>
  <c r="A131" i="136"/>
  <c r="A132" i="136"/>
  <c r="A133" i="136"/>
  <c r="A134" i="136"/>
  <c r="A135" i="136"/>
  <c r="A136" i="136"/>
  <c r="A137" i="136"/>
  <c r="A138" i="136"/>
  <c r="A139" i="136"/>
  <c r="A140" i="136"/>
  <c r="A141" i="136"/>
  <c r="A142" i="136"/>
  <c r="A143" i="136"/>
  <c r="A144" i="136"/>
  <c r="A145" i="136"/>
  <c r="A146" i="136"/>
  <c r="A147" i="136"/>
  <c r="A148" i="136"/>
  <c r="A149" i="136"/>
  <c r="A150" i="136"/>
  <c r="A151" i="136"/>
  <c r="A152" i="136"/>
  <c r="A153" i="136"/>
  <c r="A154" i="136"/>
  <c r="A155" i="136"/>
  <c r="A156" i="136"/>
  <c r="A157" i="136"/>
  <c r="A158" i="136"/>
  <c r="A159" i="136"/>
  <c r="A160" i="136"/>
  <c r="A161" i="136"/>
  <c r="A162" i="136"/>
  <c r="A163" i="136"/>
  <c r="A164" i="136"/>
  <c r="A165" i="136"/>
  <c r="A166" i="136"/>
  <c r="A167" i="136"/>
  <c r="A168" i="136"/>
  <c r="A169" i="136"/>
  <c r="A170" i="136"/>
  <c r="A171" i="136"/>
  <c r="A172" i="136"/>
  <c r="A173" i="136"/>
  <c r="A174" i="136"/>
  <c r="A175" i="136"/>
  <c r="A176" i="136"/>
  <c r="A177" i="136"/>
  <c r="A178" i="136"/>
  <c r="A179" i="136"/>
  <c r="A180" i="136"/>
  <c r="A181" i="136"/>
  <c r="A182" i="136"/>
  <c r="A183" i="136"/>
  <c r="A184" i="136"/>
  <c r="A185" i="136"/>
  <c r="A186" i="136"/>
  <c r="A187" i="136"/>
  <c r="A188" i="136"/>
  <c r="A189" i="136"/>
  <c r="A190" i="136"/>
  <c r="A191" i="136"/>
  <c r="A192" i="136"/>
  <c r="A193" i="136"/>
  <c r="A194" i="136"/>
  <c r="A195" i="136"/>
  <c r="A196" i="136"/>
  <c r="A197" i="136"/>
  <c r="A198" i="136"/>
  <c r="A199" i="136"/>
  <c r="A200" i="136"/>
  <c r="A201" i="136"/>
  <c r="A202" i="136"/>
  <c r="A203" i="136"/>
  <c r="A204" i="136"/>
  <c r="A205" i="136"/>
  <c r="A206" i="136"/>
  <c r="A207" i="136"/>
  <c r="A208" i="136"/>
  <c r="A209" i="136"/>
  <c r="A210" i="136"/>
  <c r="A211" i="136"/>
  <c r="A212" i="136"/>
  <c r="A213" i="136"/>
  <c r="A214" i="136"/>
  <c r="A215" i="136"/>
  <c r="A216" i="136"/>
  <c r="A217" i="136"/>
  <c r="A218" i="136"/>
  <c r="A219" i="136"/>
  <c r="A220" i="136"/>
  <c r="A221" i="136"/>
  <c r="A222" i="136"/>
  <c r="A223" i="136"/>
  <c r="A224" i="136"/>
  <c r="A225" i="136"/>
  <c r="A226" i="136"/>
  <c r="A227" i="136"/>
  <c r="A228" i="136"/>
  <c r="A229" i="136"/>
  <c r="A230" i="136"/>
  <c r="A231" i="136"/>
  <c r="A232" i="136"/>
  <c r="A233" i="136"/>
  <c r="A234" i="136"/>
  <c r="A235" i="136"/>
  <c r="A236" i="136"/>
  <c r="A237" i="136"/>
  <c r="A238" i="136"/>
  <c r="A239" i="136"/>
  <c r="A240" i="136"/>
  <c r="A241" i="136"/>
  <c r="A242" i="136"/>
  <c r="A243" i="136"/>
  <c r="A244" i="136"/>
  <c r="A245" i="136"/>
  <c r="A246" i="136"/>
  <c r="A247" i="136"/>
  <c r="A248" i="136"/>
  <c r="A249" i="136"/>
  <c r="A250" i="136"/>
  <c r="A251" i="136"/>
  <c r="A252" i="136"/>
  <c r="A253" i="136"/>
  <c r="A254" i="136"/>
  <c r="A255" i="136"/>
  <c r="A256" i="136"/>
  <c r="A257" i="136"/>
  <c r="A258" i="136"/>
  <c r="A259" i="136"/>
  <c r="A260" i="136"/>
  <c r="A261" i="136"/>
  <c r="A262" i="136"/>
  <c r="A263" i="136"/>
  <c r="A264" i="136"/>
  <c r="A265" i="136"/>
  <c r="A266" i="136"/>
  <c r="A267" i="136"/>
  <c r="A268" i="136"/>
  <c r="A269" i="136"/>
  <c r="A270" i="136"/>
  <c r="A271" i="136"/>
  <c r="A272" i="136"/>
  <c r="A273" i="136"/>
  <c r="A274" i="136"/>
  <c r="A275" i="136"/>
  <c r="A4" i="136"/>
  <c r="S8" i="127"/>
  <c r="R9" i="127"/>
  <c r="R10" i="127"/>
  <c r="R11" i="127"/>
  <c r="R12" i="127"/>
  <c r="R13" i="127"/>
  <c r="R14" i="127"/>
  <c r="R15" i="127"/>
  <c r="R16" i="127"/>
  <c r="R17" i="127"/>
  <c r="R18" i="127"/>
  <c r="R19" i="127"/>
  <c r="R20" i="127"/>
  <c r="R21" i="127"/>
  <c r="R22" i="127"/>
  <c r="R23" i="127"/>
  <c r="R24" i="127"/>
  <c r="R25" i="127"/>
  <c r="R26" i="127"/>
  <c r="R27" i="127"/>
  <c r="R28" i="127"/>
  <c r="R29" i="127"/>
  <c r="R30" i="127"/>
  <c r="R31" i="127"/>
  <c r="R32" i="127"/>
  <c r="R33" i="127"/>
  <c r="R34" i="127"/>
  <c r="R35" i="127"/>
  <c r="R36" i="127"/>
  <c r="R37" i="127"/>
  <c r="R38" i="127"/>
  <c r="R39" i="127"/>
  <c r="R40" i="127"/>
  <c r="R41" i="127"/>
  <c r="R42" i="127"/>
  <c r="R43" i="127"/>
  <c r="R44" i="127"/>
  <c r="R45" i="127"/>
  <c r="R46" i="127"/>
  <c r="R47" i="127"/>
  <c r="R48" i="127"/>
  <c r="R49" i="127"/>
  <c r="R50" i="127"/>
  <c r="R51" i="127"/>
  <c r="R52" i="127"/>
  <c r="R53" i="127"/>
  <c r="R54" i="127"/>
  <c r="R55" i="127"/>
  <c r="R56" i="127"/>
  <c r="R57" i="127"/>
  <c r="R58" i="127"/>
  <c r="R59" i="127"/>
  <c r="R60" i="127"/>
  <c r="R61" i="127"/>
  <c r="R63" i="127"/>
  <c r="R64" i="127"/>
  <c r="R65" i="127"/>
  <c r="R66" i="127"/>
  <c r="R67" i="127"/>
  <c r="R69" i="127"/>
  <c r="R70" i="127"/>
  <c r="R71" i="127"/>
  <c r="R72" i="127"/>
  <c r="R73" i="127"/>
  <c r="R74" i="127"/>
  <c r="R75" i="127"/>
  <c r="R76" i="127"/>
  <c r="R77" i="127"/>
  <c r="R78" i="127"/>
  <c r="R80" i="127"/>
  <c r="R81" i="127"/>
  <c r="R82" i="127"/>
  <c r="R83" i="127"/>
  <c r="R84" i="127"/>
  <c r="R85" i="127"/>
  <c r="R86" i="127"/>
  <c r="R87" i="127"/>
  <c r="R88" i="127"/>
  <c r="R89" i="127"/>
  <c r="R90" i="127"/>
  <c r="R91" i="127"/>
  <c r="R92" i="127"/>
  <c r="R93" i="127"/>
  <c r="R94" i="127"/>
  <c r="R95" i="127"/>
  <c r="R99" i="127"/>
  <c r="R100" i="127"/>
  <c r="R101" i="127"/>
  <c r="R102" i="127"/>
  <c r="R103" i="127"/>
  <c r="R104" i="127"/>
  <c r="R105" i="127"/>
  <c r="R106" i="127"/>
  <c r="R107" i="127"/>
  <c r="R108" i="127"/>
  <c r="R109" i="127"/>
  <c r="R111" i="127"/>
  <c r="R112" i="127"/>
  <c r="R117" i="127"/>
  <c r="R118" i="127"/>
  <c r="R119" i="127"/>
  <c r="R120" i="127"/>
  <c r="R121" i="127"/>
  <c r="R122" i="127"/>
  <c r="R123" i="127"/>
  <c r="R124" i="127"/>
  <c r="R125" i="127"/>
  <c r="R126" i="127"/>
  <c r="R127" i="127"/>
  <c r="R129" i="127"/>
  <c r="R130" i="127"/>
  <c r="R131" i="127"/>
  <c r="R132" i="127"/>
  <c r="R133" i="127"/>
  <c r="R134" i="127"/>
  <c r="R136" i="127"/>
  <c r="R137" i="127"/>
  <c r="R138" i="127"/>
  <c r="R139" i="127"/>
  <c r="R140" i="127"/>
  <c r="R143" i="127"/>
  <c r="R144" i="127"/>
  <c r="R145" i="127"/>
  <c r="R146" i="127"/>
  <c r="R147" i="127"/>
  <c r="R148" i="127"/>
  <c r="R149" i="127"/>
  <c r="R150" i="127"/>
  <c r="R151" i="127"/>
  <c r="R152" i="127"/>
  <c r="R153" i="127"/>
  <c r="R154" i="127"/>
  <c r="R155" i="127"/>
  <c r="R156" i="127"/>
  <c r="R157" i="127"/>
  <c r="R158" i="127"/>
  <c r="R159" i="127"/>
  <c r="R160" i="127"/>
  <c r="R161" i="127"/>
  <c r="R163" i="127"/>
  <c r="R164" i="127"/>
  <c r="R165" i="127"/>
  <c r="R167" i="127"/>
  <c r="R168" i="127"/>
  <c r="R169" i="127"/>
  <c r="R170" i="127"/>
  <c r="R171" i="127"/>
  <c r="R172" i="127"/>
  <c r="R174" i="127"/>
  <c r="R175" i="127"/>
  <c r="R176" i="127"/>
  <c r="R177" i="127"/>
  <c r="R178" i="127"/>
  <c r="R179" i="127"/>
  <c r="R181" i="127"/>
  <c r="R182" i="127"/>
  <c r="R183" i="127"/>
  <c r="R184" i="127"/>
  <c r="R185" i="127"/>
  <c r="R187" i="127"/>
  <c r="R188" i="127"/>
  <c r="R189" i="127"/>
  <c r="R190" i="127"/>
  <c r="R191" i="127"/>
  <c r="R192" i="127"/>
  <c r="R193" i="127"/>
  <c r="R194" i="127"/>
  <c r="R195" i="127"/>
  <c r="R196" i="127"/>
  <c r="R197" i="127"/>
  <c r="R198" i="127"/>
  <c r="R207" i="127"/>
  <c r="R208" i="127"/>
  <c r="R209" i="127"/>
  <c r="R211" i="127"/>
  <c r="R212" i="127"/>
  <c r="R213" i="127"/>
  <c r="R214" i="127"/>
  <c r="R215" i="127"/>
  <c r="R216" i="127"/>
  <c r="R217" i="127"/>
  <c r="R218" i="127"/>
  <c r="R219" i="127"/>
  <c r="R222" i="127"/>
  <c r="R223" i="127"/>
  <c r="R225" i="127"/>
  <c r="R226" i="127"/>
  <c r="R227" i="127"/>
  <c r="R228" i="127"/>
  <c r="R229" i="127"/>
  <c r="R234" i="127"/>
  <c r="R237" i="127"/>
  <c r="R239" i="127"/>
  <c r="R240" i="127"/>
  <c r="R241" i="127"/>
  <c r="R242" i="127"/>
  <c r="R243" i="127"/>
  <c r="R246" i="127"/>
  <c r="R247" i="127"/>
  <c r="R248" i="127"/>
  <c r="R249" i="127"/>
  <c r="R250" i="127"/>
  <c r="R253" i="127"/>
  <c r="R256" i="127"/>
  <c r="R257" i="127"/>
  <c r="R258" i="127"/>
  <c r="R259" i="127"/>
  <c r="R260" i="127"/>
  <c r="R261" i="127"/>
  <c r="R265" i="127"/>
  <c r="R266" i="127"/>
  <c r="R268" i="127"/>
  <c r="R269" i="127"/>
  <c r="R270" i="127"/>
  <c r="R273" i="127"/>
  <c r="R274" i="127"/>
  <c r="R275" i="127"/>
  <c r="R276" i="127"/>
  <c r="R277" i="127"/>
  <c r="R280" i="127"/>
  <c r="R282" i="127"/>
  <c r="R283" i="127"/>
  <c r="R286" i="127"/>
  <c r="R287" i="127"/>
  <c r="R288" i="127"/>
  <c r="R289" i="127"/>
  <c r="R292" i="127"/>
  <c r="R293" i="127"/>
  <c r="R294" i="127"/>
  <c r="R298" i="127"/>
  <c r="R299" i="127"/>
  <c r="R313" i="127"/>
  <c r="R314" i="127"/>
  <c r="R315" i="127"/>
  <c r="R317" i="127"/>
  <c r="R323" i="127"/>
  <c r="R324" i="127"/>
  <c r="R328" i="127"/>
  <c r="R329" i="127"/>
  <c r="R330" i="127"/>
  <c r="R337" i="127"/>
  <c r="R339" i="127"/>
  <c r="R340" i="127"/>
  <c r="R341" i="127"/>
  <c r="R342" i="127"/>
  <c r="R347" i="127"/>
  <c r="R348" i="127"/>
  <c r="R349" i="127"/>
  <c r="R350" i="127"/>
  <c r="R351" i="127"/>
  <c r="R356" i="127"/>
  <c r="R360" i="127"/>
  <c r="R369" i="127"/>
  <c r="R370" i="127"/>
  <c r="R371" i="127"/>
  <c r="R372" i="127"/>
  <c r="R373" i="127"/>
  <c r="R379" i="127"/>
  <c r="R380" i="127"/>
  <c r="R381" i="127"/>
  <c r="R382" i="127"/>
  <c r="R383" i="127"/>
  <c r="R384" i="127"/>
  <c r="R385" i="127"/>
  <c r="R386" i="127"/>
  <c r="R391" i="127"/>
  <c r="R392" i="127"/>
  <c r="R393" i="127"/>
  <c r="R396" i="127"/>
  <c r="R399" i="127"/>
  <c r="R400" i="127"/>
  <c r="R401" i="127"/>
  <c r="R402" i="127"/>
  <c r="R403" i="127"/>
  <c r="R414" i="127"/>
  <c r="R416" i="127"/>
  <c r="R427" i="127"/>
  <c r="R428" i="127"/>
  <c r="R429" i="127"/>
  <c r="R430" i="127"/>
  <c r="R438" i="127"/>
  <c r="R439" i="127"/>
  <c r="R440" i="127"/>
  <c r="R441" i="127"/>
  <c r="R442" i="127"/>
  <c r="R450" i="127"/>
  <c r="R452" i="127"/>
  <c r="R453" i="127"/>
  <c r="R454" i="127"/>
  <c r="R459" i="127"/>
  <c r="R463" i="127"/>
  <c r="R464" i="127"/>
  <c r="R465" i="127"/>
  <c r="R466" i="127"/>
  <c r="R467" i="127"/>
  <c r="R468" i="127"/>
  <c r="R469" i="127"/>
  <c r="R478" i="127"/>
  <c r="R487" i="127"/>
  <c r="R488" i="127"/>
  <c r="R489" i="127"/>
  <c r="R490" i="127"/>
  <c r="R491" i="127"/>
  <c r="R492" i="127"/>
  <c r="R497" i="127"/>
  <c r="R498" i="127"/>
  <c r="R499" i="127"/>
  <c r="R500" i="127"/>
  <c r="R501" i="127"/>
  <c r="R502" i="127"/>
  <c r="R503" i="127"/>
  <c r="R505" i="127"/>
  <c r="R511" i="127"/>
  <c r="R512" i="127"/>
  <c r="R516" i="127"/>
  <c r="R523" i="127"/>
  <c r="R524" i="127"/>
  <c r="R525" i="127"/>
  <c r="R526" i="127"/>
  <c r="R527" i="127"/>
  <c r="R528" i="127"/>
  <c r="R529" i="127"/>
  <c r="R539" i="127"/>
  <c r="R540" i="127"/>
  <c r="R541" i="127"/>
  <c r="R543" i="127"/>
  <c r="R545" i="127"/>
  <c r="R547" i="127"/>
  <c r="R548" i="127"/>
  <c r="R557" i="127"/>
  <c r="R558" i="127"/>
  <c r="R559" i="127"/>
  <c r="R560" i="127"/>
  <c r="R568" i="127"/>
  <c r="R569" i="127"/>
  <c r="R570" i="127"/>
  <c r="R571" i="127"/>
  <c r="R572" i="127"/>
  <c r="R573" i="127"/>
  <c r="R582" i="127"/>
  <c r="R583" i="127"/>
  <c r="R589" i="127"/>
  <c r="R593" i="127"/>
  <c r="R594" i="127"/>
  <c r="R595" i="127"/>
  <c r="R615" i="127"/>
  <c r="R616" i="127"/>
  <c r="R617" i="127"/>
  <c r="R618" i="127"/>
  <c r="R619" i="127"/>
  <c r="R620" i="127"/>
  <c r="R621" i="127"/>
  <c r="R630" i="127"/>
  <c r="R631" i="127"/>
  <c r="R634" i="127"/>
  <c r="R636" i="127"/>
  <c r="R640" i="127"/>
  <c r="R641" i="127"/>
  <c r="R642" i="127"/>
  <c r="R643" i="127"/>
  <c r="R644" i="127"/>
  <c r="R655" i="127"/>
  <c r="R656" i="127"/>
  <c r="R657" i="127"/>
  <c r="R663" i="127"/>
  <c r="R664" i="127"/>
  <c r="R665" i="127"/>
  <c r="R666" i="127"/>
  <c r="R667" i="127"/>
  <c r="R685" i="127"/>
  <c r="R686" i="127"/>
  <c r="R687" i="127"/>
  <c r="R688" i="127"/>
  <c r="R689" i="127"/>
  <c r="R692" i="127"/>
  <c r="R696" i="127"/>
  <c r="R699" i="127"/>
  <c r="R700" i="127"/>
  <c r="R724" i="127"/>
  <c r="R731" i="127"/>
  <c r="R732" i="127"/>
  <c r="R733" i="127"/>
  <c r="R742" i="127"/>
  <c r="R743" i="127"/>
  <c r="R762" i="127"/>
  <c r="R768" i="127"/>
  <c r="R769" i="127"/>
  <c r="R770" i="127"/>
  <c r="R772" i="127"/>
  <c r="R776" i="127"/>
  <c r="R785" i="127"/>
  <c r="R794" i="127"/>
  <c r="R795" i="127"/>
  <c r="R796" i="127"/>
  <c r="R797" i="127"/>
  <c r="R798" i="127"/>
  <c r="R799" i="127"/>
  <c r="R800" i="127"/>
  <c r="R801" i="127"/>
  <c r="R805" i="127"/>
  <c r="R806" i="127"/>
  <c r="R807" i="127"/>
  <c r="R808" i="127"/>
  <c r="R809" i="127"/>
  <c r="R811" i="127"/>
  <c r="R813" i="127"/>
  <c r="R815" i="127"/>
  <c r="R817" i="127"/>
  <c r="R820" i="127"/>
  <c r="R821" i="127"/>
  <c r="R822" i="127"/>
  <c r="R823" i="127"/>
  <c r="R824" i="127"/>
  <c r="R825" i="127"/>
  <c r="R826" i="127"/>
  <c r="R835" i="127"/>
  <c r="R842" i="127"/>
  <c r="R843" i="127"/>
  <c r="R844" i="127"/>
  <c r="R849" i="127"/>
  <c r="R853" i="127"/>
  <c r="R854" i="127"/>
  <c r="R855" i="127"/>
  <c r="R856" i="127"/>
  <c r="R857" i="127"/>
  <c r="R863" i="127"/>
  <c r="R865" i="127"/>
  <c r="R866" i="127"/>
  <c r="R873" i="127"/>
  <c r="R876" i="127"/>
  <c r="R877" i="127"/>
  <c r="R878" i="127"/>
  <c r="R879" i="127"/>
  <c r="R882" i="127"/>
  <c r="R890" i="127"/>
  <c r="R892" i="127"/>
  <c r="R895" i="127"/>
  <c r="R901" i="127"/>
  <c r="R902" i="127"/>
  <c r="R903" i="127"/>
  <c r="R918" i="127"/>
  <c r="R920" i="127"/>
  <c r="R932" i="127"/>
  <c r="R939" i="127"/>
  <c r="R946" i="127"/>
  <c r="R957" i="127"/>
  <c r="R971" i="127"/>
  <c r="R974" i="127"/>
  <c r="R987" i="127"/>
  <c r="R988" i="127"/>
  <c r="R989" i="127"/>
  <c r="R999" i="127"/>
  <c r="R1005" i="127"/>
  <c r="R1012" i="127"/>
  <c r="R1027" i="127"/>
  <c r="R1028" i="127"/>
  <c r="R1029" i="127"/>
  <c r="R1039" i="127"/>
  <c r="R1040" i="127"/>
  <c r="R1054" i="127"/>
  <c r="R1062" i="127"/>
  <c r="R1064" i="127"/>
  <c r="R1069" i="127"/>
  <c r="R1071" i="127"/>
  <c r="R1075" i="127"/>
  <c r="R1076" i="127"/>
  <c r="R1077" i="127"/>
  <c r="R1083" i="127"/>
  <c r="R1095" i="127"/>
  <c r="R1096" i="127"/>
  <c r="R1108" i="127"/>
  <c r="R1109" i="127"/>
  <c r="R1120" i="127"/>
  <c r="R1121" i="127"/>
  <c r="R1122" i="127"/>
  <c r="R1123" i="127"/>
  <c r="R1124" i="127"/>
  <c r="R1127" i="127"/>
  <c r="R1131" i="127"/>
  <c r="R1132" i="127"/>
  <c r="R1133" i="127"/>
  <c r="R1134" i="127"/>
  <c r="R1135" i="127"/>
  <c r="R1138" i="127"/>
  <c r="R1149" i="127"/>
  <c r="R1150" i="127"/>
  <c r="R1151" i="127"/>
  <c r="R1155" i="127"/>
  <c r="R1156" i="127"/>
  <c r="R1157" i="127"/>
  <c r="R1158" i="127"/>
  <c r="R1163" i="127"/>
  <c r="R1164" i="127"/>
  <c r="R1165" i="127"/>
  <c r="R1170" i="127"/>
  <c r="R1178" i="127"/>
  <c r="R1192" i="127"/>
  <c r="R1199" i="127"/>
  <c r="R1201" i="127"/>
  <c r="R1203" i="127"/>
  <c r="R1205" i="127"/>
  <c r="R1207" i="127"/>
  <c r="R1208" i="127"/>
  <c r="R1210" i="127"/>
  <c r="R1213" i="127"/>
  <c r="R1214" i="127"/>
  <c r="R1218" i="127"/>
  <c r="R1219" i="127"/>
  <c r="R1226" i="127"/>
  <c r="R1227" i="127"/>
  <c r="R1228" i="127"/>
  <c r="R1229" i="127"/>
  <c r="R1230" i="127"/>
  <c r="R1239" i="127"/>
  <c r="R1240" i="127"/>
  <c r="R1244" i="127"/>
  <c r="R1249" i="127"/>
  <c r="R1251" i="127"/>
  <c r="R1252" i="127"/>
  <c r="R1264" i="127"/>
  <c r="R1265" i="127"/>
  <c r="R1266" i="127"/>
  <c r="R1267" i="127"/>
  <c r="R1268" i="127"/>
  <c r="R1272" i="127"/>
  <c r="R1277" i="127"/>
  <c r="R1281" i="127"/>
  <c r="R1287" i="127"/>
  <c r="R1288" i="127"/>
  <c r="R1290" i="127"/>
  <c r="R1291" i="127"/>
  <c r="R1292" i="127"/>
  <c r="R1293" i="127"/>
  <c r="R1299" i="127"/>
  <c r="R1308" i="127"/>
  <c r="R1309" i="127"/>
  <c r="R1310" i="127"/>
  <c r="R1311" i="127"/>
  <c r="R1318" i="127"/>
  <c r="R1320" i="127"/>
  <c r="R1321" i="127"/>
  <c r="R1322" i="127"/>
  <c r="R1323" i="127"/>
  <c r="R1328" i="127"/>
  <c r="R1332" i="127"/>
  <c r="R1336" i="127"/>
  <c r="R1337" i="127"/>
  <c r="R1338" i="127"/>
  <c r="R1339" i="127"/>
  <c r="R1340" i="127"/>
  <c r="R1341" i="127"/>
  <c r="R1342" i="127"/>
  <c r="R1347" i="127"/>
  <c r="R1349" i="127"/>
  <c r="R1373" i="127"/>
  <c r="R1374" i="127"/>
  <c r="R1375" i="127"/>
  <c r="R1376" i="127"/>
  <c r="R1380" i="127"/>
  <c r="R1382" i="127"/>
  <c r="R1383" i="127"/>
  <c r="R1384" i="127"/>
  <c r="R1385" i="127"/>
  <c r="R1386" i="127"/>
  <c r="R1387" i="127"/>
  <c r="R1399" i="127"/>
  <c r="R1400" i="127"/>
  <c r="R1404" i="127"/>
  <c r="R1405" i="127"/>
  <c r="R1406" i="127"/>
  <c r="R1410" i="127"/>
  <c r="R1412" i="127"/>
  <c r="R1417" i="127"/>
  <c r="R1418" i="127"/>
  <c r="R1419" i="127"/>
  <c r="R1420" i="127"/>
  <c r="R1421" i="127"/>
  <c r="R1422" i="127"/>
  <c r="R1424" i="127"/>
  <c r="R1430" i="127"/>
  <c r="R1441" i="127"/>
  <c r="R1443" i="127"/>
  <c r="R1445" i="127"/>
  <c r="R1446" i="127"/>
  <c r="R1447" i="127"/>
  <c r="R1449" i="127"/>
  <c r="R1453" i="127"/>
  <c r="R1455" i="127"/>
  <c r="R1458" i="127"/>
  <c r="R1459" i="127"/>
  <c r="R1460" i="127"/>
  <c r="R1464" i="127"/>
  <c r="R1465" i="127"/>
  <c r="R1466" i="127"/>
  <c r="R1470" i="127"/>
  <c r="R1472" i="127"/>
  <c r="R1474" i="127"/>
  <c r="R1476" i="127"/>
  <c r="R1477" i="127"/>
  <c r="R1479" i="127"/>
  <c r="R1488" i="127"/>
  <c r="R1489" i="127"/>
  <c r="R1505" i="127"/>
  <c r="R1506" i="127"/>
  <c r="R1508" i="127"/>
  <c r="R1510" i="127"/>
  <c r="R1511" i="127"/>
  <c r="R1512" i="127"/>
  <c r="R1513" i="127"/>
  <c r="R1514" i="127"/>
  <c r="R1515" i="127"/>
  <c r="R1518" i="127"/>
  <c r="R1519" i="127"/>
  <c r="R1521" i="127"/>
  <c r="R1527" i="127"/>
  <c r="R1528" i="127"/>
  <c r="R1529" i="127"/>
  <c r="R1531" i="127"/>
  <c r="R1534" i="127"/>
  <c r="R1536" i="127"/>
  <c r="R1537" i="127"/>
  <c r="R1539" i="127"/>
  <c r="R1542" i="127"/>
  <c r="R1551" i="127"/>
  <c r="R1552" i="127"/>
  <c r="R1556" i="127"/>
  <c r="R1563" i="127"/>
  <c r="R1564" i="127"/>
  <c r="R1566" i="127"/>
  <c r="R1576" i="127"/>
  <c r="R1578" i="127"/>
  <c r="R1580" i="127"/>
  <c r="R1582" i="127"/>
  <c r="R1586" i="127"/>
  <c r="R1588" i="127"/>
  <c r="R1593" i="127"/>
  <c r="R1600" i="127"/>
  <c r="R1603" i="127"/>
  <c r="R1606" i="127"/>
  <c r="R1607" i="127"/>
  <c r="R1609" i="127"/>
  <c r="R1611" i="127"/>
  <c r="R1612" i="127"/>
  <c r="R1614" i="127"/>
  <c r="R1615" i="127"/>
  <c r="R1618" i="127"/>
  <c r="R1619" i="127"/>
  <c r="R1620" i="127"/>
  <c r="R1621" i="127"/>
  <c r="R1622" i="127"/>
  <c r="R1623" i="127"/>
  <c r="R1624" i="127"/>
  <c r="R1625" i="127"/>
  <c r="R1626" i="127"/>
  <c r="R1636" i="127"/>
  <c r="R1640" i="127"/>
  <c r="R1641" i="127"/>
  <c r="R1642" i="127"/>
  <c r="R1643" i="127"/>
  <c r="R1648" i="127"/>
  <c r="R1650" i="127"/>
  <c r="R1651" i="127"/>
  <c r="R1655" i="127"/>
  <c r="R1657" i="127"/>
  <c r="R1659" i="127"/>
  <c r="R1660" i="127"/>
  <c r="R1669" i="127"/>
  <c r="R1674" i="127"/>
  <c r="R1675" i="127"/>
  <c r="R1677" i="127"/>
  <c r="R1679" i="127"/>
  <c r="R1681" i="127"/>
  <c r="R1684" i="127"/>
  <c r="R1686" i="127"/>
  <c r="R1702" i="127"/>
  <c r="R1703" i="127"/>
  <c r="R1704" i="127"/>
  <c r="R1707" i="127"/>
  <c r="R1710" i="127"/>
  <c r="R1714" i="127"/>
  <c r="R1716" i="127"/>
  <c r="R1718" i="127"/>
  <c r="R1721" i="127"/>
  <c r="R1728" i="127"/>
  <c r="R1730" i="127"/>
  <c r="R1731" i="127"/>
  <c r="R1732" i="127"/>
  <c r="R1736" i="127"/>
  <c r="R1740" i="127"/>
  <c r="R1742" i="127"/>
  <c r="R1744" i="127"/>
  <c r="R1746" i="127"/>
  <c r="R1750" i="127"/>
  <c r="R1752" i="127"/>
  <c r="R1753" i="127"/>
  <c r="R1755" i="127"/>
  <c r="R1757" i="127"/>
  <c r="R1758" i="127"/>
  <c r="R1759" i="127"/>
  <c r="R1761" i="127"/>
  <c r="R1762" i="127"/>
  <c r="R1764" i="127"/>
  <c r="R1769" i="127"/>
  <c r="R1771" i="127"/>
  <c r="R1776" i="127"/>
  <c r="R1777" i="127"/>
  <c r="R1778" i="127"/>
  <c r="R1782" i="127"/>
  <c r="R1785" i="127"/>
  <c r="R1787" i="127"/>
  <c r="R1789" i="127"/>
  <c r="R1790" i="127"/>
  <c r="R1792" i="127"/>
  <c r="R1796" i="127"/>
  <c r="R1799" i="127"/>
  <c r="R1800" i="127"/>
  <c r="R1801" i="127"/>
  <c r="R1803" i="127"/>
  <c r="R1807" i="127"/>
  <c r="R1812" i="127"/>
  <c r="R1815" i="127"/>
  <c r="R1824" i="127"/>
  <c r="R1827" i="127"/>
  <c r="R1830" i="127"/>
  <c r="R1832" i="127"/>
  <c r="R1836" i="127"/>
  <c r="R1837" i="127"/>
  <c r="R1838" i="127"/>
  <c r="R1841" i="127"/>
  <c r="R1842" i="127"/>
  <c r="R1844" i="127"/>
  <c r="R1849" i="127"/>
  <c r="R1850" i="127"/>
  <c r="R1851" i="127"/>
  <c r="R1853" i="127"/>
  <c r="R1855" i="127"/>
  <c r="R1856" i="127"/>
  <c r="R1857" i="127"/>
  <c r="R1867" i="127"/>
  <c r="R1868" i="127"/>
  <c r="R1876" i="127"/>
  <c r="R1884" i="127"/>
  <c r="R1892" i="127"/>
  <c r="R1893" i="127"/>
  <c r="R1899" i="127"/>
  <c r="R1909" i="127"/>
  <c r="R1914" i="127"/>
  <c r="R1921" i="127"/>
  <c r="R1923" i="127"/>
  <c r="R1925" i="127"/>
  <c r="R1929" i="127"/>
  <c r="R1930" i="127"/>
  <c r="R1931" i="127"/>
  <c r="R1932" i="127"/>
  <c r="R1933" i="127"/>
  <c r="R1934" i="127"/>
  <c r="R1935" i="127"/>
  <c r="R1942" i="127"/>
  <c r="R1944" i="127"/>
  <c r="R1945" i="127"/>
  <c r="R1946" i="127"/>
  <c r="R1950" i="127"/>
  <c r="R1951" i="127"/>
  <c r="R1952" i="127"/>
  <c r="R1953" i="127"/>
  <c r="R1954" i="127"/>
  <c r="R1957" i="127"/>
  <c r="R1960" i="127"/>
  <c r="R1965" i="127"/>
  <c r="R1966" i="127"/>
  <c r="R1967" i="127"/>
  <c r="R1970" i="127"/>
  <c r="R1971" i="127"/>
  <c r="R1972" i="127"/>
  <c r="R1975" i="127"/>
  <c r="R1976" i="127"/>
  <c r="R1979" i="127"/>
  <c r="R1980" i="127"/>
  <c r="R1981" i="127"/>
  <c r="R1982" i="127"/>
  <c r="R1983" i="127"/>
  <c r="R1984" i="127"/>
  <c r="R1987" i="127"/>
  <c r="R1996" i="127"/>
  <c r="R2004" i="127"/>
  <c r="R2010" i="127"/>
  <c r="R2014" i="127"/>
  <c r="R2019" i="127"/>
  <c r="R2020" i="127"/>
  <c r="R2026" i="127"/>
  <c r="R2029" i="127"/>
  <c r="R2031" i="127"/>
  <c r="R2034" i="127"/>
  <c r="R2036" i="127"/>
  <c r="R2044" i="127"/>
  <c r="R2048" i="127"/>
  <c r="R2050" i="127"/>
  <c r="R2054" i="127"/>
  <c r="R2056" i="127"/>
  <c r="R2060" i="127"/>
  <c r="R2063" i="127"/>
  <c r="R2065" i="127"/>
  <c r="R2067" i="127"/>
  <c r="R2068" i="127"/>
  <c r="R2069" i="127"/>
  <c r="R2070" i="127"/>
  <c r="R2071" i="127"/>
  <c r="R2072" i="127"/>
  <c r="R2073" i="127"/>
  <c r="R2074" i="127"/>
  <c r="R2075" i="127"/>
  <c r="R2076" i="127"/>
  <c r="R2077" i="127"/>
  <c r="R2081" i="127"/>
  <c r="R2084" i="127"/>
  <c r="R2087" i="127"/>
  <c r="R2091" i="127"/>
  <c r="R2096" i="127"/>
  <c r="R2099" i="127"/>
  <c r="R2103" i="127"/>
  <c r="R2104" i="127"/>
  <c r="R2109" i="127"/>
  <c r="R2117" i="127"/>
  <c r="R2122" i="127"/>
  <c r="R2123" i="127"/>
  <c r="R2127" i="127"/>
  <c r="R2128" i="127"/>
  <c r="R2130" i="127"/>
  <c r="R2131" i="127"/>
  <c r="R2132" i="127"/>
  <c r="R2136" i="127"/>
  <c r="R2137" i="127"/>
  <c r="R2138" i="127"/>
  <c r="R2139" i="127"/>
  <c r="R2140" i="127"/>
  <c r="R2144" i="127"/>
  <c r="R2147" i="127"/>
  <c r="R2151" i="127"/>
  <c r="R2153" i="127"/>
  <c r="R2155" i="127"/>
  <c r="R2167" i="127"/>
  <c r="R2175" i="127"/>
  <c r="R2176" i="127"/>
  <c r="R2177" i="127"/>
  <c r="R2178" i="127"/>
  <c r="R2179" i="127"/>
  <c r="R2181" i="127"/>
  <c r="R2188" i="127"/>
  <c r="R2192" i="127"/>
  <c r="R2195" i="127"/>
  <c r="R2199" i="127"/>
  <c r="R2200" i="127"/>
  <c r="R2206" i="127"/>
  <c r="R2209" i="127"/>
  <c r="R2212" i="127"/>
  <c r="R2216" i="127"/>
  <c r="R2218" i="127"/>
  <c r="R2219" i="127"/>
  <c r="R2220" i="127"/>
  <c r="R2221" i="127"/>
  <c r="R2224" i="127"/>
  <c r="R2228" i="127"/>
  <c r="R2231" i="127"/>
  <c r="R2232" i="127"/>
  <c r="R2233" i="127"/>
  <c r="R2234" i="127"/>
  <c r="R2237" i="127"/>
  <c r="R2239" i="127"/>
  <c r="R2242" i="127"/>
  <c r="R2245" i="127"/>
  <c r="R2246" i="127"/>
  <c r="R2247" i="127"/>
  <c r="R2248" i="127"/>
  <c r="R2252" i="127"/>
  <c r="R2253" i="127"/>
  <c r="R2254" i="127"/>
  <c r="R2260" i="127"/>
  <c r="R2264" i="127"/>
  <c r="R2265" i="127"/>
  <c r="R2269" i="127"/>
  <c r="R2270" i="127"/>
  <c r="R2271" i="127"/>
  <c r="R2283" i="127"/>
  <c r="R2285" i="127"/>
  <c r="R2287" i="127"/>
  <c r="R2288" i="127"/>
  <c r="R2292" i="127"/>
  <c r="R2295" i="127"/>
  <c r="R2296" i="127"/>
  <c r="R2300" i="127"/>
  <c r="R2302" i="127"/>
  <c r="R2303" i="127"/>
  <c r="R2304" i="127"/>
  <c r="R2305" i="127"/>
  <c r="R2308" i="127"/>
  <c r="R2309" i="127"/>
  <c r="R2311" i="127"/>
  <c r="R2313" i="127"/>
  <c r="R2315" i="127"/>
  <c r="R2317" i="127"/>
  <c r="R2318" i="127"/>
  <c r="R2319" i="127"/>
  <c r="R2320" i="127"/>
  <c r="R2321" i="127"/>
  <c r="R2322" i="127"/>
  <c r="R2323" i="127"/>
  <c r="R2324" i="127"/>
  <c r="R2326" i="127"/>
  <c r="R2330" i="127"/>
  <c r="R2334" i="127"/>
  <c r="R2363" i="127"/>
  <c r="R2366" i="127"/>
  <c r="R2386" i="127"/>
  <c r="R2390" i="127"/>
  <c r="R2411" i="127"/>
  <c r="R2432" i="127"/>
  <c r="R2437" i="127"/>
  <c r="R2442" i="127"/>
  <c r="R2447" i="127"/>
  <c r="R2455" i="127"/>
  <c r="R2458" i="127"/>
  <c r="R2465" i="127"/>
  <c r="R2471" i="127"/>
  <c r="R2478" i="127"/>
  <c r="R2481" i="127"/>
  <c r="R2484" i="127"/>
  <c r="R2485" i="127"/>
  <c r="R2488" i="127"/>
  <c r="R2491" i="127"/>
  <c r="R2493" i="127"/>
  <c r="R2498" i="127"/>
  <c r="R2499" i="127"/>
  <c r="R2502" i="127"/>
  <c r="R2507" i="127"/>
  <c r="R2508" i="127"/>
  <c r="R2514" i="127"/>
  <c r="R2517" i="127"/>
  <c r="R2527" i="127"/>
  <c r="R2536" i="127"/>
  <c r="R2537" i="127"/>
  <c r="R2547" i="127"/>
  <c r="R2548" i="127"/>
  <c r="R2556" i="127"/>
  <c r="R2560" i="127"/>
  <c r="R2561" i="127"/>
  <c r="R2562" i="127"/>
  <c r="R2569" i="127"/>
  <c r="R2571" i="127"/>
  <c r="R2572" i="127"/>
  <c r="R2573" i="127"/>
  <c r="R2575" i="127"/>
  <c r="R2588" i="127"/>
  <c r="R2589" i="127"/>
  <c r="R2590" i="127"/>
  <c r="R2591" i="127"/>
  <c r="R2598" i="127"/>
  <c r="R2599" i="127"/>
  <c r="R2600" i="127"/>
  <c r="R2602" i="127"/>
  <c r="R2604" i="127"/>
  <c r="R2611" i="127"/>
  <c r="R2613" i="127"/>
  <c r="R2614" i="127"/>
  <c r="R2615" i="127"/>
  <c r="R2616" i="127"/>
  <c r="R2617" i="127"/>
  <c r="R2624" i="127"/>
  <c r="R2626" i="127"/>
  <c r="R2627" i="127"/>
  <c r="R2629" i="127"/>
  <c r="R2632" i="127"/>
  <c r="R2636" i="127"/>
  <c r="R2638" i="127"/>
  <c r="R2639" i="127"/>
  <c r="R2640" i="127"/>
  <c r="R2645" i="127"/>
  <c r="R2648" i="127"/>
  <c r="R2650" i="127"/>
  <c r="R2653" i="127"/>
  <c r="R2656" i="127"/>
  <c r="R2670" i="127"/>
  <c r="R2671" i="127"/>
  <c r="R2677" i="127"/>
  <c r="R2679" i="127"/>
  <c r="R2681" i="127"/>
  <c r="R2684" i="127"/>
  <c r="R2690" i="127"/>
  <c r="R2693" i="127"/>
  <c r="R2694" i="127"/>
  <c r="R2695" i="127"/>
  <c r="R2697" i="127"/>
  <c r="R2701" i="127"/>
  <c r="R2702" i="127"/>
  <c r="R2722" i="127"/>
  <c r="R2723" i="127"/>
  <c r="R2737" i="127"/>
  <c r="R2738" i="127"/>
  <c r="R2741" i="127"/>
  <c r="R2742" i="127"/>
  <c r="R2743" i="127"/>
  <c r="R2744" i="127"/>
  <c r="R2745" i="127"/>
  <c r="R2758" i="127"/>
  <c r="R2774" i="127"/>
  <c r="R2778" i="127"/>
  <c r="R2782" i="127"/>
  <c r="R2785" i="127"/>
  <c r="R2787" i="127"/>
  <c r="R2789" i="127"/>
  <c r="R2796" i="127"/>
  <c r="R2797" i="127"/>
  <c r="R2798" i="127"/>
  <c r="R2800" i="127"/>
  <c r="R2801" i="127"/>
  <c r="R2803" i="127"/>
  <c r="R2805" i="127"/>
  <c r="R2817" i="127"/>
  <c r="R2818" i="127"/>
  <c r="R2819" i="127"/>
  <c r="R2825" i="127"/>
  <c r="R2826" i="127"/>
  <c r="R2831" i="127"/>
  <c r="R2835" i="127"/>
  <c r="R2838" i="127"/>
  <c r="R2841" i="127"/>
  <c r="R2844" i="127"/>
  <c r="R2850" i="127"/>
  <c r="R2857" i="127"/>
  <c r="R2861" i="127"/>
  <c r="R2864" i="127"/>
  <c r="R2867" i="127"/>
  <c r="R2868" i="127"/>
  <c r="R2870" i="127"/>
  <c r="R2872" i="127"/>
  <c r="R2874" i="127"/>
  <c r="R2879" i="127"/>
  <c r="R2887" i="127"/>
  <c r="R2888" i="127"/>
  <c r="R2894" i="127"/>
  <c r="R2896" i="127"/>
  <c r="R2900" i="127"/>
  <c r="R2901" i="127"/>
  <c r="R2904" i="127"/>
  <c r="R2907" i="127"/>
  <c r="R2908" i="127"/>
  <c r="R2911" i="127"/>
  <c r="R2913" i="127"/>
  <c r="R2916" i="127"/>
  <c r="R2919" i="127"/>
  <c r="R2924" i="127"/>
  <c r="R2925" i="127"/>
  <c r="R2926" i="127"/>
  <c r="R2929" i="127"/>
  <c r="R2934" i="127"/>
  <c r="R2935" i="127"/>
  <c r="R2936" i="127"/>
  <c r="R2942" i="127"/>
  <c r="R2944" i="127"/>
  <c r="R2946" i="127"/>
  <c r="R2956" i="127"/>
  <c r="R2962" i="127"/>
  <c r="R2964" i="127"/>
  <c r="R2970" i="127"/>
  <c r="R2972" i="127"/>
  <c r="R2973" i="127"/>
  <c r="R2974" i="127"/>
  <c r="R2976" i="127"/>
  <c r="R2980" i="127"/>
  <c r="R2988" i="127"/>
  <c r="R2993" i="127"/>
  <c r="R2995" i="127"/>
  <c r="R2998" i="127"/>
  <c r="R3005" i="127"/>
  <c r="R3007" i="127"/>
  <c r="R3010" i="127"/>
  <c r="R3023" i="127"/>
  <c r="R3024" i="127"/>
  <c r="R3033" i="127"/>
  <c r="R3039" i="127"/>
  <c r="R3043" i="127"/>
  <c r="R3049" i="127"/>
  <c r="R3053" i="127"/>
  <c r="R3069" i="127"/>
  <c r="R3074" i="127"/>
  <c r="R3075" i="127"/>
  <c r="R3077" i="127"/>
  <c r="R3081" i="127"/>
  <c r="R3084" i="127"/>
  <c r="R3088" i="127"/>
  <c r="R3090" i="127"/>
  <c r="R3097" i="127"/>
  <c r="R3100" i="127"/>
  <c r="R3102" i="127"/>
  <c r="R3115" i="127"/>
  <c r="R3122" i="127"/>
  <c r="R3133" i="127"/>
  <c r="R3134" i="127"/>
  <c r="R3145" i="127"/>
  <c r="R3146" i="127"/>
  <c r="R3149" i="127"/>
  <c r="R3150" i="127"/>
  <c r="R3151" i="127"/>
  <c r="R3153" i="127"/>
  <c r="R3155" i="127"/>
  <c r="R3173" i="127"/>
  <c r="R3186" i="127"/>
  <c r="R3203" i="127"/>
  <c r="R3204" i="127"/>
  <c r="R3207" i="127"/>
  <c r="R3212" i="127"/>
  <c r="R3213" i="127"/>
  <c r="R3214" i="127"/>
  <c r="R3215" i="127"/>
  <c r="R3226" i="127"/>
  <c r="R3229" i="127"/>
  <c r="R3230" i="127"/>
  <c r="R3231" i="127"/>
  <c r="R3249" i="127"/>
  <c r="R3250" i="127"/>
  <c r="R3257" i="127"/>
  <c r="R3258" i="127"/>
  <c r="R3263" i="127"/>
  <c r="R3266" i="127"/>
  <c r="R3268" i="127"/>
  <c r="R3269" i="127"/>
  <c r="R3270" i="127"/>
  <c r="R3271" i="127"/>
  <c r="R3277" i="127"/>
  <c r="R3298" i="127"/>
  <c r="R3302" i="127"/>
  <c r="R3305" i="127"/>
  <c r="R3308" i="127"/>
  <c r="R3311" i="127"/>
  <c r="R3312" i="127"/>
  <c r="R3317" i="127"/>
  <c r="R3320" i="127"/>
  <c r="R3321" i="127"/>
  <c r="R3322" i="127"/>
  <c r="R3323" i="127"/>
  <c r="R3327" i="127"/>
  <c r="R3330" i="127"/>
  <c r="R3332" i="127"/>
  <c r="R3333" i="127"/>
  <c r="R3335" i="127"/>
  <c r="R3339" i="127"/>
  <c r="R3343" i="127"/>
  <c r="R3344" i="127"/>
  <c r="R3346" i="127"/>
  <c r="R3357" i="127"/>
  <c r="R3359" i="127"/>
  <c r="R3361" i="127"/>
  <c r="R3363" i="127"/>
  <c r="R3373" i="127"/>
  <c r="R3379" i="127"/>
  <c r="R3381" i="127"/>
  <c r="R3382" i="127"/>
  <c r="R3383" i="127"/>
  <c r="R3386" i="127"/>
  <c r="R3390" i="127"/>
  <c r="R3391" i="127"/>
  <c r="R3392" i="127"/>
  <c r="R3393" i="127"/>
  <c r="R3401" i="127"/>
  <c r="R3402" i="127"/>
  <c r="R3403" i="127"/>
  <c r="R3406" i="127"/>
  <c r="R3408" i="127"/>
  <c r="R3409" i="127"/>
  <c r="R3410" i="127"/>
  <c r="R3411" i="127"/>
  <c r="R3412" i="127"/>
  <c r="R3414" i="127"/>
  <c r="R3416" i="127"/>
  <c r="R3418" i="127"/>
  <c r="R3421" i="127"/>
  <c r="R3422" i="127"/>
  <c r="R3423" i="127"/>
  <c r="R3424" i="127"/>
  <c r="R3425" i="127"/>
  <c r="R3429" i="127"/>
  <c r="R3434" i="127"/>
  <c r="R3435" i="127"/>
  <c r="R3440" i="127"/>
  <c r="R3444" i="127"/>
  <c r="R3446" i="127"/>
  <c r="R3448" i="127"/>
  <c r="R3452" i="127"/>
  <c r="R3453" i="127"/>
  <c r="R3454" i="127"/>
  <c r="R3461" i="127"/>
  <c r="R3462" i="127"/>
  <c r="R3471" i="127"/>
  <c r="R3472" i="127"/>
  <c r="R3476" i="127"/>
  <c r="R3485" i="127"/>
  <c r="R3486" i="127"/>
  <c r="R3495" i="127"/>
  <c r="R3496" i="127"/>
  <c r="R3499" i="127"/>
  <c r="R3500" i="127"/>
  <c r="R3506" i="127"/>
  <c r="R3516" i="127"/>
  <c r="R3517" i="127"/>
  <c r="R3519" i="127"/>
  <c r="R3521" i="127"/>
  <c r="R3525" i="127"/>
  <c r="R3526" i="127"/>
  <c r="R3527" i="127"/>
  <c r="R3531" i="127"/>
  <c r="R3534" i="127"/>
  <c r="R3535" i="127"/>
  <c r="R3538" i="127"/>
  <c r="R3545" i="127"/>
  <c r="R3546" i="127"/>
  <c r="R3547" i="127"/>
  <c r="R3548" i="127"/>
  <c r="R3549" i="127"/>
  <c r="R3552" i="127"/>
  <c r="R3553" i="127"/>
  <c r="R3555" i="127"/>
  <c r="R3558" i="127"/>
  <c r="R3562" i="127"/>
  <c r="R3563" i="127"/>
  <c r="R3566" i="127"/>
  <c r="R3576" i="127"/>
  <c r="R3577" i="127"/>
  <c r="R3578" i="127"/>
  <c r="R3579" i="127"/>
  <c r="R3580" i="127"/>
  <c r="R3581" i="127"/>
  <c r="R3582" i="127"/>
  <c r="R3583" i="127"/>
  <c r="R3584" i="127"/>
  <c r="R3588" i="127"/>
  <c r="R3599" i="127"/>
  <c r="R3605" i="127"/>
  <c r="R3607" i="127"/>
  <c r="R3608" i="127"/>
  <c r="R3609" i="127"/>
  <c r="R3610" i="127"/>
  <c r="R3611" i="127"/>
  <c r="R3613" i="127"/>
  <c r="R3614" i="127"/>
  <c r="R3615" i="127"/>
  <c r="R3616" i="127"/>
  <c r="R3617" i="127"/>
  <c r="R3618" i="127"/>
  <c r="R3619" i="127"/>
  <c r="R3620" i="127"/>
  <c r="R3624" i="127"/>
  <c r="R3634" i="127"/>
  <c r="R3641" i="127"/>
  <c r="R3655" i="127"/>
  <c r="R3656" i="127"/>
  <c r="R3663" i="127"/>
  <c r="R3674" i="127"/>
  <c r="R3691" i="127"/>
  <c r="R3692" i="127"/>
  <c r="R3693" i="127"/>
  <c r="R3699" i="127"/>
  <c r="R3702" i="127"/>
  <c r="R3706" i="127"/>
  <c r="R3707" i="127"/>
  <c r="R3708" i="127"/>
  <c r="R3712" i="127"/>
  <c r="R3715" i="127"/>
  <c r="R3722" i="127"/>
  <c r="R3730" i="127"/>
  <c r="R3731" i="127"/>
  <c r="R3733" i="127"/>
  <c r="R3734" i="127"/>
  <c r="R3737" i="127"/>
  <c r="R3739" i="127"/>
  <c r="R3752" i="127"/>
  <c r="R3753" i="127"/>
  <c r="R3766" i="127"/>
  <c r="R3776" i="127"/>
  <c r="R3780" i="127"/>
  <c r="R3781" i="127"/>
  <c r="R3782" i="127"/>
  <c r="R3786" i="127"/>
  <c r="R3796" i="127"/>
  <c r="R3798" i="127"/>
  <c r="R3801" i="127"/>
  <c r="R3802" i="127"/>
  <c r="R3803" i="127"/>
  <c r="R3804" i="127"/>
  <c r="R3805" i="127"/>
  <c r="R3810" i="127"/>
  <c r="R3811" i="127"/>
  <c r="R3817" i="127"/>
  <c r="R3820" i="127"/>
  <c r="R3822" i="127"/>
  <c r="R3828" i="127"/>
  <c r="R3831" i="127"/>
  <c r="R3837" i="127"/>
  <c r="R3844" i="127"/>
  <c r="R3845" i="127"/>
  <c r="R3851" i="127"/>
  <c r="R3859" i="127"/>
  <c r="R3871" i="127"/>
  <c r="R3872" i="127"/>
  <c r="R3880" i="127"/>
  <c r="R3887" i="127"/>
  <c r="R3892" i="127"/>
  <c r="R3898" i="127"/>
  <c r="R3906" i="127"/>
  <c r="R3913" i="127"/>
  <c r="R3917" i="127"/>
  <c r="R3918" i="127"/>
  <c r="R3923" i="127"/>
  <c r="R3928" i="127"/>
  <c r="R3929" i="127"/>
  <c r="R3930" i="127"/>
  <c r="R3931" i="127"/>
  <c r="R3932" i="127"/>
  <c r="R3933" i="127"/>
  <c r="R3935" i="127"/>
  <c r="R3936" i="127"/>
  <c r="R3945" i="127"/>
  <c r="R3947" i="127"/>
  <c r="R3949" i="127"/>
  <c r="R3956" i="127"/>
  <c r="R3957" i="127"/>
  <c r="R3958" i="127"/>
  <c r="R3960" i="127"/>
  <c r="R3970" i="127"/>
  <c r="R3986" i="127"/>
  <c r="R4006" i="127"/>
  <c r="R4007" i="127"/>
  <c r="R4009" i="127"/>
  <c r="R4016" i="127"/>
  <c r="R4019" i="127"/>
  <c r="R4030" i="127"/>
  <c r="R4031" i="127"/>
  <c r="R4034" i="127"/>
  <c r="R4038" i="127"/>
  <c r="R4039" i="127"/>
  <c r="R4041" i="127"/>
  <c r="R4042" i="127"/>
  <c r="R4043" i="127"/>
  <c r="R4063" i="127"/>
  <c r="R4067" i="127"/>
  <c r="R4068" i="127"/>
  <c r="R4069" i="127"/>
  <c r="R4077" i="127"/>
  <c r="R4078" i="127"/>
  <c r="R4085" i="127"/>
  <c r="R4091" i="127"/>
  <c r="R4107" i="127"/>
  <c r="R4110" i="127"/>
  <c r="R4111" i="127"/>
  <c r="R4112" i="127"/>
  <c r="R4117" i="127"/>
  <c r="R4129" i="127"/>
  <c r="R4131" i="127"/>
  <c r="R4139" i="127"/>
  <c r="R4140" i="127"/>
  <c r="R4142" i="127"/>
  <c r="R4156" i="127"/>
  <c r="R4166" i="127"/>
  <c r="R4174" i="127"/>
  <c r="R4176" i="127"/>
  <c r="R4179" i="127"/>
  <c r="R4183" i="127"/>
  <c r="R4188" i="127"/>
  <c r="R4196" i="127"/>
  <c r="R4197" i="127"/>
  <c r="R4201" i="127"/>
  <c r="R4202" i="127"/>
  <c r="R4208" i="127"/>
  <c r="R4209" i="127"/>
  <c r="R4210" i="127"/>
  <c r="R4211" i="127"/>
  <c r="R4213" i="127"/>
  <c r="R4216" i="127"/>
  <c r="R4221" i="127"/>
  <c r="R4229" i="127"/>
  <c r="R4245" i="127"/>
  <c r="R4249" i="127"/>
  <c r="R4261" i="127"/>
  <c r="R4264" i="127"/>
  <c r="R4286" i="127"/>
  <c r="R4287" i="127"/>
  <c r="R4288" i="127"/>
  <c r="R4289" i="127"/>
  <c r="R4290" i="127"/>
  <c r="R4292" i="127"/>
  <c r="R4294" i="127"/>
  <c r="R4295" i="127"/>
  <c r="R4296" i="127"/>
  <c r="R4301" i="127"/>
  <c r="R4309" i="127"/>
  <c r="R4312" i="127"/>
  <c r="R4514" i="127"/>
  <c r="R4515" i="127"/>
  <c r="R8" i="127"/>
  <c r="E9" i="127"/>
  <c r="F9" i="127"/>
  <c r="E10" i="127"/>
  <c r="F10" i="127"/>
  <c r="E11" i="127"/>
  <c r="F11" i="127"/>
  <c r="E12" i="127"/>
  <c r="F12" i="127"/>
  <c r="E13" i="127"/>
  <c r="F13" i="127"/>
  <c r="E14" i="127"/>
  <c r="F14" i="127"/>
  <c r="E15" i="127"/>
  <c r="F15" i="127"/>
  <c r="E16" i="127"/>
  <c r="F16" i="127"/>
  <c r="E17" i="127"/>
  <c r="F17" i="127"/>
  <c r="E18" i="127"/>
  <c r="F18" i="127"/>
  <c r="E19" i="127"/>
  <c r="F19" i="127"/>
  <c r="E20" i="127"/>
  <c r="F20" i="127"/>
  <c r="E21" i="127"/>
  <c r="F21" i="127"/>
  <c r="E22" i="127"/>
  <c r="F22" i="127"/>
  <c r="E23" i="127"/>
  <c r="F23" i="127"/>
  <c r="E24" i="127"/>
  <c r="F24" i="127"/>
  <c r="E25" i="127"/>
  <c r="F25" i="127"/>
  <c r="E26" i="127"/>
  <c r="F26" i="127"/>
  <c r="E27" i="127"/>
  <c r="F27" i="127"/>
  <c r="E28" i="127"/>
  <c r="F28" i="127"/>
  <c r="E29" i="127"/>
  <c r="F29" i="127"/>
  <c r="E30" i="127"/>
  <c r="F30" i="127"/>
  <c r="E31" i="127"/>
  <c r="F31" i="127"/>
  <c r="E32" i="127"/>
  <c r="F32" i="127"/>
  <c r="E33" i="127"/>
  <c r="F33" i="127"/>
  <c r="E34" i="127"/>
  <c r="F34" i="127"/>
  <c r="E35" i="127"/>
  <c r="F35" i="127"/>
  <c r="E36" i="127"/>
  <c r="F36" i="127"/>
  <c r="E37" i="127"/>
  <c r="F37" i="127"/>
  <c r="E38" i="127"/>
  <c r="F38" i="127"/>
  <c r="E39" i="127"/>
  <c r="F39" i="127"/>
  <c r="E40" i="127"/>
  <c r="F40" i="127"/>
  <c r="E41" i="127"/>
  <c r="F41" i="127"/>
  <c r="E42" i="127"/>
  <c r="F42" i="127"/>
  <c r="E43" i="127"/>
  <c r="F43" i="127"/>
  <c r="E44" i="127"/>
  <c r="F44" i="127"/>
  <c r="E45" i="127"/>
  <c r="F45" i="127"/>
  <c r="E46" i="127"/>
  <c r="F46" i="127"/>
  <c r="E47" i="127"/>
  <c r="F47" i="127"/>
  <c r="E48" i="127"/>
  <c r="F48" i="127"/>
  <c r="E49" i="127"/>
  <c r="F49" i="127"/>
  <c r="E50" i="127"/>
  <c r="F50" i="127"/>
  <c r="E51" i="127"/>
  <c r="F51" i="127"/>
  <c r="E52" i="127"/>
  <c r="F52" i="127"/>
  <c r="E53" i="127"/>
  <c r="F53" i="127"/>
  <c r="E54" i="127"/>
  <c r="F54" i="127"/>
  <c r="E55" i="127"/>
  <c r="F55" i="127"/>
  <c r="E56" i="127"/>
  <c r="F56" i="127"/>
  <c r="E57" i="127"/>
  <c r="F57" i="127"/>
  <c r="E58" i="127"/>
  <c r="F58" i="127"/>
  <c r="E59" i="127"/>
  <c r="F59" i="127"/>
  <c r="E60" i="127"/>
  <c r="F60" i="127"/>
  <c r="E61" i="127"/>
  <c r="F61" i="127"/>
  <c r="E62" i="127"/>
  <c r="F62" i="127"/>
  <c r="E63" i="127"/>
  <c r="F63" i="127"/>
  <c r="E64" i="127"/>
  <c r="F64" i="127"/>
  <c r="E65" i="127"/>
  <c r="F65" i="127"/>
  <c r="E66" i="127"/>
  <c r="F66" i="127"/>
  <c r="E67" i="127"/>
  <c r="F67" i="127"/>
  <c r="E68" i="127"/>
  <c r="F68" i="127"/>
  <c r="E69" i="127"/>
  <c r="F69" i="127"/>
  <c r="E70" i="127"/>
  <c r="F70" i="127"/>
  <c r="E71" i="127"/>
  <c r="F71" i="127"/>
  <c r="S561" i="127" s="1"/>
  <c r="E72" i="127"/>
  <c r="F72" i="127"/>
  <c r="E73" i="127"/>
  <c r="F73" i="127"/>
  <c r="E74" i="127"/>
  <c r="F74" i="127"/>
  <c r="E75" i="127"/>
  <c r="F75" i="127"/>
  <c r="E76" i="127"/>
  <c r="F76" i="127"/>
  <c r="E77" i="127"/>
  <c r="F77" i="127"/>
  <c r="E78" i="127"/>
  <c r="F78" i="127"/>
  <c r="E79" i="127"/>
  <c r="F79" i="127"/>
  <c r="E80" i="127"/>
  <c r="F80" i="127"/>
  <c r="E81" i="127"/>
  <c r="F81" i="127"/>
  <c r="E82" i="127"/>
  <c r="F82" i="127"/>
  <c r="E83" i="127"/>
  <c r="F83" i="127"/>
  <c r="E84" i="127"/>
  <c r="F84" i="127"/>
  <c r="E85" i="127"/>
  <c r="F85" i="127"/>
  <c r="S1048" i="127" s="1"/>
  <c r="T1048" i="127" s="1"/>
  <c r="E86" i="127"/>
  <c r="F86" i="127"/>
  <c r="E87" i="127"/>
  <c r="F87" i="127"/>
  <c r="S1604" i="127" s="1"/>
  <c r="T1604" i="127" s="1"/>
  <c r="E88" i="127"/>
  <c r="F88" i="127"/>
  <c r="E89" i="127"/>
  <c r="F89" i="127"/>
  <c r="E90" i="127"/>
  <c r="F90" i="127"/>
  <c r="S1869" i="127" s="1"/>
  <c r="T1869" i="127" s="1"/>
  <c r="E91" i="127"/>
  <c r="F91" i="127"/>
  <c r="S2040" i="127" s="1"/>
  <c r="T2040" i="127" s="1"/>
  <c r="E92" i="127"/>
  <c r="F92" i="127"/>
  <c r="S2124" i="127" s="1"/>
  <c r="T2124" i="127" s="1"/>
  <c r="E93" i="127"/>
  <c r="F93" i="127"/>
  <c r="S2346" i="127" s="1"/>
  <c r="T2346" i="127" s="1"/>
  <c r="E94" i="127"/>
  <c r="F94" i="127"/>
  <c r="S2441" i="127" s="1"/>
  <c r="T2441" i="127" s="1"/>
  <c r="E95" i="127"/>
  <c r="F95" i="127"/>
  <c r="E96" i="127"/>
  <c r="F96" i="127"/>
  <c r="E97" i="127"/>
  <c r="F97" i="127"/>
  <c r="E98" i="127"/>
  <c r="F98" i="127"/>
  <c r="E99" i="127"/>
  <c r="F99" i="127"/>
  <c r="E100" i="127"/>
  <c r="F100" i="127"/>
  <c r="E101" i="127"/>
  <c r="F101" i="127"/>
  <c r="E102" i="127"/>
  <c r="F102" i="127"/>
  <c r="E103" i="127"/>
  <c r="F103" i="127"/>
  <c r="E104" i="127"/>
  <c r="F104" i="127"/>
  <c r="E105" i="127"/>
  <c r="F105" i="127"/>
  <c r="E106" i="127"/>
  <c r="F106" i="127"/>
  <c r="E107" i="127"/>
  <c r="F107" i="127"/>
  <c r="E108" i="127"/>
  <c r="F108" i="127"/>
  <c r="E109" i="127"/>
  <c r="F109" i="127"/>
  <c r="E110" i="127"/>
  <c r="F110" i="127"/>
  <c r="E111" i="127"/>
  <c r="F111" i="127"/>
  <c r="E112" i="127"/>
  <c r="F112" i="127"/>
  <c r="E113" i="127"/>
  <c r="F113" i="127"/>
  <c r="E114" i="127"/>
  <c r="F114" i="127"/>
  <c r="E115" i="127"/>
  <c r="F115" i="127"/>
  <c r="E116" i="127"/>
  <c r="F116" i="127"/>
  <c r="E117" i="127"/>
  <c r="F117" i="127"/>
  <c r="E118" i="127"/>
  <c r="F118" i="127"/>
  <c r="E119" i="127"/>
  <c r="F119" i="127"/>
  <c r="E120" i="127"/>
  <c r="E121" i="127"/>
  <c r="F121" i="127"/>
  <c r="E122" i="127"/>
  <c r="F122" i="127"/>
  <c r="E123" i="127"/>
  <c r="F123" i="127"/>
  <c r="E124" i="127"/>
  <c r="F124" i="127"/>
  <c r="S244" i="127" s="1"/>
  <c r="T244" i="127" s="1"/>
  <c r="E125" i="127"/>
  <c r="F125" i="127"/>
  <c r="E126" i="127"/>
  <c r="F126" i="127"/>
  <c r="E127" i="127"/>
  <c r="F127" i="127"/>
  <c r="E128" i="127"/>
  <c r="F128" i="127"/>
  <c r="E129" i="127"/>
  <c r="F129" i="127"/>
  <c r="E130" i="127"/>
  <c r="F130" i="127"/>
  <c r="E131" i="127"/>
  <c r="F131" i="127"/>
  <c r="E132" i="127"/>
  <c r="F132" i="127"/>
  <c r="E133" i="127"/>
  <c r="F133" i="127"/>
  <c r="E134" i="127"/>
  <c r="F134" i="127"/>
  <c r="E135" i="127"/>
  <c r="F135" i="127"/>
  <c r="E136" i="127"/>
  <c r="F136" i="127"/>
  <c r="E137" i="127"/>
  <c r="F137" i="127"/>
  <c r="E138" i="127"/>
  <c r="F138" i="127"/>
  <c r="E139" i="127"/>
  <c r="F139" i="127"/>
  <c r="E140" i="127"/>
  <c r="F140" i="127"/>
  <c r="S1627" i="127" s="1"/>
  <c r="E141" i="127"/>
  <c r="F141" i="127"/>
  <c r="E142" i="127"/>
  <c r="F142" i="127"/>
  <c r="E143" i="127"/>
  <c r="F143" i="127"/>
  <c r="E144" i="127"/>
  <c r="F144" i="127"/>
  <c r="E145" i="127"/>
  <c r="F145" i="127"/>
  <c r="E146" i="127"/>
  <c r="F146" i="127"/>
  <c r="E147" i="127"/>
  <c r="F147" i="127"/>
  <c r="E148" i="127"/>
  <c r="F148" i="127"/>
  <c r="E149" i="127"/>
  <c r="F149" i="127"/>
  <c r="E150" i="127"/>
  <c r="F150" i="127"/>
  <c r="E151" i="127"/>
  <c r="E152" i="127"/>
  <c r="F152" i="127"/>
  <c r="E153" i="127"/>
  <c r="F153" i="127"/>
  <c r="E154" i="127"/>
  <c r="F154" i="127"/>
  <c r="E155" i="127"/>
  <c r="F155" i="127"/>
  <c r="E156" i="127"/>
  <c r="F156" i="127"/>
  <c r="E157" i="127"/>
  <c r="F157" i="127"/>
  <c r="E158" i="127"/>
  <c r="F158" i="127"/>
  <c r="E159" i="127"/>
  <c r="F159" i="127"/>
  <c r="E160" i="127"/>
  <c r="F160" i="127"/>
  <c r="E161" i="127"/>
  <c r="F161" i="127"/>
  <c r="E162" i="127"/>
  <c r="F162" i="127"/>
  <c r="E163" i="127"/>
  <c r="F163" i="127"/>
  <c r="E164" i="127"/>
  <c r="F164" i="127"/>
  <c r="E165" i="127"/>
  <c r="F165" i="127"/>
  <c r="E166" i="127"/>
  <c r="F166" i="127"/>
  <c r="E167" i="127"/>
  <c r="F167" i="127"/>
  <c r="E168" i="127"/>
  <c r="F168" i="127"/>
  <c r="E169" i="127"/>
  <c r="F169" i="127"/>
  <c r="E170" i="127"/>
  <c r="F170" i="127"/>
  <c r="E171" i="127"/>
  <c r="F171" i="127"/>
  <c r="E172" i="127"/>
  <c r="F172" i="127"/>
  <c r="E173" i="127"/>
  <c r="F173" i="127"/>
  <c r="E174" i="127"/>
  <c r="F174" i="127"/>
  <c r="E175" i="127"/>
  <c r="F175" i="127"/>
  <c r="E176" i="127"/>
  <c r="F176" i="127"/>
  <c r="E177" i="127"/>
  <c r="F177" i="127"/>
  <c r="E178" i="127"/>
  <c r="F178" i="127"/>
  <c r="E179" i="127"/>
  <c r="F179" i="127"/>
  <c r="E180" i="127"/>
  <c r="F180" i="127"/>
  <c r="E181" i="127"/>
  <c r="F181" i="127"/>
  <c r="E182" i="127"/>
  <c r="F182" i="127"/>
  <c r="E183" i="127"/>
  <c r="F183" i="127"/>
  <c r="E184" i="127"/>
  <c r="F184" i="127"/>
  <c r="E185" i="127"/>
  <c r="F185" i="127"/>
  <c r="E186" i="127"/>
  <c r="F186" i="127"/>
  <c r="E187" i="127"/>
  <c r="F187" i="127"/>
  <c r="E188" i="127"/>
  <c r="F188" i="127"/>
  <c r="E189" i="127"/>
  <c r="F189" i="127"/>
  <c r="E190" i="127"/>
  <c r="F190" i="127"/>
  <c r="E191" i="127"/>
  <c r="F191" i="127"/>
  <c r="E192" i="127"/>
  <c r="F192" i="127"/>
  <c r="E193" i="127"/>
  <c r="F193" i="127"/>
  <c r="E194" i="127"/>
  <c r="F194" i="127"/>
  <c r="E195" i="127"/>
  <c r="F195" i="127"/>
  <c r="E196" i="127"/>
  <c r="F196" i="127"/>
  <c r="E197" i="127"/>
  <c r="F197" i="127"/>
  <c r="E198" i="127"/>
  <c r="F198" i="127"/>
  <c r="E199" i="127"/>
  <c r="F199" i="127"/>
  <c r="E200" i="127"/>
  <c r="F200" i="127"/>
  <c r="E201" i="127"/>
  <c r="F201" i="127"/>
  <c r="E202" i="127"/>
  <c r="F202" i="127"/>
  <c r="E203" i="127"/>
  <c r="F203" i="127"/>
  <c r="E204" i="127"/>
  <c r="F204" i="127"/>
  <c r="E205" i="127"/>
  <c r="F205" i="127"/>
  <c r="E206" i="127"/>
  <c r="F206" i="127"/>
  <c r="E207" i="127"/>
  <c r="F207" i="127"/>
  <c r="E208" i="127"/>
  <c r="F208" i="127"/>
  <c r="E209" i="127"/>
  <c r="F209" i="127"/>
  <c r="E210" i="127"/>
  <c r="F210" i="127"/>
  <c r="E211" i="127"/>
  <c r="F211" i="127"/>
  <c r="E212" i="127"/>
  <c r="F212" i="127"/>
  <c r="E213" i="127"/>
  <c r="F213" i="127"/>
  <c r="E214" i="127"/>
  <c r="F214" i="127"/>
  <c r="E215" i="127"/>
  <c r="F215" i="127"/>
  <c r="E216" i="127"/>
  <c r="F216" i="127"/>
  <c r="E217" i="127"/>
  <c r="F217" i="127"/>
  <c r="E218" i="127"/>
  <c r="F218" i="127"/>
  <c r="E219" i="127"/>
  <c r="F219" i="127"/>
  <c r="E220" i="127"/>
  <c r="F220" i="127"/>
  <c r="E221" i="127"/>
  <c r="F221" i="127"/>
  <c r="E222" i="127"/>
  <c r="F222" i="127"/>
  <c r="E223" i="127"/>
  <c r="F223" i="127"/>
  <c r="E224" i="127"/>
  <c r="F224" i="127"/>
  <c r="E225" i="127"/>
  <c r="F225" i="127"/>
  <c r="E226" i="127"/>
  <c r="F226" i="127"/>
  <c r="E227" i="127"/>
  <c r="F227" i="127"/>
  <c r="E228" i="127"/>
  <c r="F228" i="127"/>
  <c r="E229" i="127"/>
  <c r="F229" i="127"/>
  <c r="E230" i="127"/>
  <c r="F230" i="127"/>
  <c r="E231" i="127"/>
  <c r="F231" i="127"/>
  <c r="E232" i="127"/>
  <c r="F232" i="127"/>
  <c r="E233" i="127"/>
  <c r="F233" i="127"/>
  <c r="E234" i="127"/>
  <c r="F234" i="127"/>
  <c r="E235" i="127"/>
  <c r="F235" i="127"/>
  <c r="E236" i="127"/>
  <c r="F236" i="127"/>
  <c r="E237" i="127"/>
  <c r="F237" i="127"/>
  <c r="E238" i="127"/>
  <c r="F238" i="127"/>
  <c r="E239" i="127"/>
  <c r="F239" i="127"/>
  <c r="E240" i="127"/>
  <c r="F240" i="127"/>
  <c r="E241" i="127"/>
  <c r="F241" i="127"/>
  <c r="E242" i="127"/>
  <c r="F242" i="127"/>
  <c r="E243" i="127"/>
  <c r="F243" i="127"/>
  <c r="E244" i="127"/>
  <c r="F244" i="127"/>
  <c r="E245" i="127"/>
  <c r="F245" i="127"/>
  <c r="E246" i="127"/>
  <c r="F246" i="127"/>
  <c r="E247" i="127"/>
  <c r="F247" i="127"/>
  <c r="E248" i="127"/>
  <c r="F248" i="127"/>
  <c r="E249" i="127"/>
  <c r="F249" i="127"/>
  <c r="E250" i="127"/>
  <c r="F250" i="127"/>
  <c r="E251" i="127"/>
  <c r="F251" i="127"/>
  <c r="E252" i="127"/>
  <c r="F252" i="127"/>
  <c r="E253" i="127"/>
  <c r="F253" i="127"/>
  <c r="E254" i="127"/>
  <c r="F254" i="127"/>
  <c r="E255" i="127"/>
  <c r="F255" i="127"/>
  <c r="E256" i="127"/>
  <c r="F256" i="127"/>
  <c r="E257" i="127"/>
  <c r="F257" i="127"/>
  <c r="E258" i="127"/>
  <c r="F258" i="127"/>
  <c r="E259" i="127"/>
  <c r="F259" i="127"/>
  <c r="E260" i="127"/>
  <c r="F260" i="127"/>
  <c r="E261" i="127"/>
  <c r="F261" i="127"/>
  <c r="E262" i="127"/>
  <c r="F262" i="127"/>
  <c r="E263" i="127"/>
  <c r="F263" i="127"/>
  <c r="E264" i="127"/>
  <c r="F264" i="127"/>
  <c r="E265" i="127"/>
  <c r="F265" i="127"/>
  <c r="E266" i="127"/>
  <c r="F266" i="127"/>
  <c r="E267" i="127"/>
  <c r="F267" i="127"/>
  <c r="E268" i="127"/>
  <c r="F268" i="127"/>
  <c r="E269" i="127"/>
  <c r="F269" i="127"/>
  <c r="E270" i="127"/>
  <c r="F270" i="127"/>
  <c r="E271" i="127"/>
  <c r="F271" i="127"/>
  <c r="E272" i="127"/>
  <c r="F272" i="127"/>
  <c r="E273" i="127"/>
  <c r="F273" i="127"/>
  <c r="E274" i="127"/>
  <c r="F274" i="127"/>
  <c r="E275" i="127"/>
  <c r="F275" i="127"/>
  <c r="E276" i="127"/>
  <c r="F276" i="127"/>
  <c r="E277" i="127"/>
  <c r="F277" i="127"/>
  <c r="E278" i="127"/>
  <c r="F278" i="127"/>
  <c r="E279" i="127"/>
  <c r="F279" i="127"/>
  <c r="E280" i="127"/>
  <c r="F280" i="127"/>
  <c r="E281" i="127"/>
  <c r="F281" i="127"/>
  <c r="E282" i="127"/>
  <c r="F282" i="127"/>
  <c r="E283" i="127"/>
  <c r="F283" i="127"/>
  <c r="E284" i="127"/>
  <c r="F284" i="127"/>
  <c r="E285" i="127"/>
  <c r="F285" i="127"/>
  <c r="E286" i="127"/>
  <c r="F286" i="127"/>
  <c r="E287" i="127"/>
  <c r="F287" i="127"/>
  <c r="E288" i="127"/>
  <c r="F288" i="127"/>
  <c r="E289" i="127"/>
  <c r="F289" i="127"/>
  <c r="E290" i="127"/>
  <c r="F290" i="127"/>
  <c r="E291" i="127"/>
  <c r="F291" i="127"/>
  <c r="E292" i="127"/>
  <c r="F292" i="127"/>
  <c r="E293" i="127"/>
  <c r="F293" i="127"/>
  <c r="E294" i="127"/>
  <c r="F294" i="127"/>
  <c r="E295" i="127"/>
  <c r="F295" i="127"/>
  <c r="E296" i="127"/>
  <c r="F296" i="127"/>
  <c r="E297" i="127"/>
  <c r="F297" i="127"/>
  <c r="E298" i="127"/>
  <c r="F298" i="127"/>
  <c r="E299" i="127"/>
  <c r="F299" i="127"/>
  <c r="E300" i="127"/>
  <c r="F300" i="127"/>
  <c r="E301" i="127"/>
  <c r="F301" i="127"/>
  <c r="E302" i="127"/>
  <c r="F302" i="127"/>
  <c r="E303" i="127"/>
  <c r="F303" i="127"/>
  <c r="E304" i="127"/>
  <c r="F304" i="127"/>
  <c r="E305" i="127"/>
  <c r="F305" i="127"/>
  <c r="E306" i="127"/>
  <c r="F306" i="127"/>
  <c r="E307" i="127"/>
  <c r="F307" i="127"/>
  <c r="E308" i="127"/>
  <c r="F308" i="127"/>
  <c r="E309" i="127"/>
  <c r="F309" i="127"/>
  <c r="E310" i="127"/>
  <c r="F310" i="127"/>
  <c r="E311" i="127"/>
  <c r="F311" i="127"/>
  <c r="E312" i="127"/>
  <c r="F312" i="127"/>
  <c r="E313" i="127"/>
  <c r="F313" i="127"/>
  <c r="E314" i="127"/>
  <c r="F314" i="127"/>
  <c r="E315" i="127"/>
  <c r="F315" i="127"/>
  <c r="E316" i="127"/>
  <c r="F316" i="127"/>
  <c r="E317" i="127"/>
  <c r="F317" i="127"/>
  <c r="E318" i="127"/>
  <c r="F318" i="127"/>
  <c r="E319" i="127"/>
  <c r="F319" i="127"/>
  <c r="E320" i="127"/>
  <c r="F320" i="127"/>
  <c r="E321" i="127"/>
  <c r="F321" i="127"/>
  <c r="E322" i="127"/>
  <c r="F322" i="127"/>
  <c r="E323" i="127"/>
  <c r="F323" i="127"/>
  <c r="E324" i="127"/>
  <c r="F324" i="127"/>
  <c r="E325" i="127"/>
  <c r="F325" i="127"/>
  <c r="E326" i="127"/>
  <c r="F326" i="127"/>
  <c r="E327" i="127"/>
  <c r="F327" i="127"/>
  <c r="E328" i="127"/>
  <c r="F328" i="127"/>
  <c r="E329" i="127"/>
  <c r="F329" i="127"/>
  <c r="E330" i="127"/>
  <c r="F330" i="127"/>
  <c r="E331" i="127"/>
  <c r="F331" i="127"/>
  <c r="E332" i="127"/>
  <c r="F332" i="127"/>
  <c r="E333" i="127"/>
  <c r="F333" i="127"/>
  <c r="E334" i="127"/>
  <c r="F334" i="127"/>
  <c r="E335" i="127"/>
  <c r="F335" i="127"/>
  <c r="E336" i="127"/>
  <c r="F336" i="127"/>
  <c r="E337" i="127"/>
  <c r="F337" i="127"/>
  <c r="E338" i="127"/>
  <c r="F338" i="127"/>
  <c r="E339" i="127"/>
  <c r="F339" i="127"/>
  <c r="E340" i="127"/>
  <c r="F340" i="127"/>
  <c r="E341" i="127"/>
  <c r="F341" i="127"/>
  <c r="E342" i="127"/>
  <c r="F342" i="127"/>
  <c r="S773" i="127" s="1"/>
  <c r="E343" i="127"/>
  <c r="F343" i="127"/>
  <c r="E344" i="127"/>
  <c r="F344" i="127"/>
  <c r="E345" i="127"/>
  <c r="F345" i="127"/>
  <c r="E346" i="127"/>
  <c r="F346" i="127"/>
  <c r="E347" i="127"/>
  <c r="F347" i="127"/>
  <c r="E348" i="127"/>
  <c r="F348" i="127"/>
  <c r="E349" i="127"/>
  <c r="F349" i="127"/>
  <c r="E350" i="127"/>
  <c r="F350" i="127"/>
  <c r="E351" i="127"/>
  <c r="F351" i="127"/>
  <c r="E352" i="127"/>
  <c r="F352" i="127"/>
  <c r="E353" i="127"/>
  <c r="F353" i="127"/>
  <c r="E354" i="127"/>
  <c r="F354" i="127"/>
  <c r="E355" i="127"/>
  <c r="F355" i="127"/>
  <c r="E356" i="127"/>
  <c r="F356" i="127"/>
  <c r="E357" i="127"/>
  <c r="F357" i="127"/>
  <c r="E358" i="127"/>
  <c r="F358" i="127"/>
  <c r="E359" i="127"/>
  <c r="F359" i="127"/>
  <c r="E360" i="127"/>
  <c r="F360" i="127"/>
  <c r="E361" i="127"/>
  <c r="F361" i="127"/>
  <c r="E362" i="127"/>
  <c r="F362" i="127"/>
  <c r="E363" i="127"/>
  <c r="F363" i="127"/>
  <c r="E364" i="127"/>
  <c r="F364" i="127"/>
  <c r="E365" i="127"/>
  <c r="F365" i="127"/>
  <c r="E366" i="127"/>
  <c r="F366" i="127"/>
  <c r="E367" i="127"/>
  <c r="F367" i="127"/>
  <c r="E368" i="127"/>
  <c r="F368" i="127"/>
  <c r="E369" i="127"/>
  <c r="F369" i="127"/>
  <c r="E370" i="127"/>
  <c r="F370" i="127"/>
  <c r="E371" i="127"/>
  <c r="F371" i="127"/>
  <c r="E372" i="127"/>
  <c r="F372" i="127"/>
  <c r="S2312" i="127" s="1"/>
  <c r="E373" i="127"/>
  <c r="F373" i="127"/>
  <c r="S2594" i="127" s="1"/>
  <c r="E374" i="127"/>
  <c r="F374" i="127"/>
  <c r="E375" i="127"/>
  <c r="F375" i="127"/>
  <c r="E376" i="127"/>
  <c r="F376" i="127"/>
  <c r="E377" i="127"/>
  <c r="F377" i="127"/>
  <c r="E378" i="127"/>
  <c r="F378" i="127"/>
  <c r="E379" i="127"/>
  <c r="F379" i="127"/>
  <c r="E380" i="127"/>
  <c r="F380" i="127"/>
  <c r="E381" i="127"/>
  <c r="F381" i="127"/>
  <c r="E382" i="127"/>
  <c r="E383" i="127"/>
  <c r="F383" i="127"/>
  <c r="E384" i="127"/>
  <c r="F384" i="127"/>
  <c r="S504" i="127" s="1"/>
  <c r="T504" i="127" s="1"/>
  <c r="E385" i="127"/>
  <c r="F385" i="127"/>
  <c r="E386" i="127"/>
  <c r="F386" i="127"/>
  <c r="E387" i="127"/>
  <c r="F387" i="127"/>
  <c r="E388" i="127"/>
  <c r="F388" i="127"/>
  <c r="E389" i="127"/>
  <c r="F389" i="127"/>
  <c r="E390" i="127"/>
  <c r="F390" i="127"/>
  <c r="E391" i="127"/>
  <c r="F391" i="127"/>
  <c r="E392" i="127"/>
  <c r="F392" i="127"/>
  <c r="E393" i="127"/>
  <c r="F393" i="127"/>
  <c r="E394" i="127"/>
  <c r="F394" i="127"/>
  <c r="E395" i="127"/>
  <c r="F395" i="127"/>
  <c r="E396" i="127"/>
  <c r="F396" i="127"/>
  <c r="E397" i="127"/>
  <c r="F397" i="127"/>
  <c r="E398" i="127"/>
  <c r="F398" i="127"/>
  <c r="E399" i="127"/>
  <c r="F399" i="127"/>
  <c r="E400" i="127"/>
  <c r="F400" i="127"/>
  <c r="E401" i="127"/>
  <c r="F401" i="127"/>
  <c r="E402" i="127"/>
  <c r="F402" i="127"/>
  <c r="E403" i="127"/>
  <c r="F403" i="127"/>
  <c r="E404" i="127"/>
  <c r="F404" i="127"/>
  <c r="E405" i="127"/>
  <c r="F405" i="127"/>
  <c r="E406" i="127"/>
  <c r="F406" i="127"/>
  <c r="E407" i="127"/>
  <c r="F407" i="127"/>
  <c r="E408" i="127"/>
  <c r="F408" i="127"/>
  <c r="E409" i="127"/>
  <c r="F409" i="127"/>
  <c r="E410" i="127"/>
  <c r="F410" i="127"/>
  <c r="E411" i="127"/>
  <c r="F411" i="127"/>
  <c r="E412" i="127"/>
  <c r="F412" i="127"/>
  <c r="E413" i="127"/>
  <c r="F413" i="127"/>
  <c r="E414" i="127"/>
  <c r="F414" i="127"/>
  <c r="E415" i="127"/>
  <c r="F415" i="127"/>
  <c r="E416" i="127"/>
  <c r="F416" i="127"/>
  <c r="E417" i="127"/>
  <c r="F417" i="127"/>
  <c r="E418" i="127"/>
  <c r="F418" i="127"/>
  <c r="E419" i="127"/>
  <c r="F419" i="127"/>
  <c r="E420" i="127"/>
  <c r="F420" i="127"/>
  <c r="E421" i="127"/>
  <c r="F421" i="127"/>
  <c r="E422" i="127"/>
  <c r="F422" i="127"/>
  <c r="E423" i="127"/>
  <c r="F423" i="127"/>
  <c r="E424" i="127"/>
  <c r="F424" i="127"/>
  <c r="E425" i="127"/>
  <c r="F425" i="127"/>
  <c r="E426" i="127"/>
  <c r="F426" i="127"/>
  <c r="E427" i="127"/>
  <c r="F427" i="127"/>
  <c r="E428" i="127"/>
  <c r="F428" i="127"/>
  <c r="E429" i="127"/>
  <c r="F429" i="127"/>
  <c r="E430" i="127"/>
  <c r="F430" i="127"/>
  <c r="E431" i="127"/>
  <c r="F431" i="127"/>
  <c r="E432" i="127"/>
  <c r="F432" i="127"/>
  <c r="E433" i="127"/>
  <c r="F433" i="127"/>
  <c r="E434" i="127"/>
  <c r="F434" i="127"/>
  <c r="E435" i="127"/>
  <c r="F435" i="127"/>
  <c r="E436" i="127"/>
  <c r="F436" i="127"/>
  <c r="E437" i="127"/>
  <c r="F437" i="127"/>
  <c r="E438" i="127"/>
  <c r="F438" i="127"/>
  <c r="E439" i="127"/>
  <c r="F439" i="127"/>
  <c r="E440" i="127"/>
  <c r="F440" i="127"/>
  <c r="E441" i="127"/>
  <c r="F441" i="127"/>
  <c r="E442" i="127"/>
  <c r="F442" i="127"/>
  <c r="E443" i="127"/>
  <c r="F443" i="127"/>
  <c r="E444" i="127"/>
  <c r="F444" i="127"/>
  <c r="E445" i="127"/>
  <c r="F445" i="127"/>
  <c r="E446" i="127"/>
  <c r="F446" i="127"/>
  <c r="E447" i="127"/>
  <c r="F447" i="127"/>
  <c r="E448" i="127"/>
  <c r="F448" i="127"/>
  <c r="E449" i="127"/>
  <c r="F449" i="127"/>
  <c r="E450" i="127"/>
  <c r="F450" i="127"/>
  <c r="E451" i="127"/>
  <c r="F451" i="127"/>
  <c r="E452" i="127"/>
  <c r="F452" i="127"/>
  <c r="E453" i="127"/>
  <c r="F453" i="127"/>
  <c r="E454" i="127"/>
  <c r="F454" i="127"/>
  <c r="E455" i="127"/>
  <c r="F455" i="127"/>
  <c r="E456" i="127"/>
  <c r="F456" i="127"/>
  <c r="E457" i="127"/>
  <c r="F457" i="127"/>
  <c r="E458" i="127"/>
  <c r="F458" i="127"/>
  <c r="E459" i="127"/>
  <c r="F459" i="127"/>
  <c r="E460" i="127"/>
  <c r="F460" i="127"/>
  <c r="E461" i="127"/>
  <c r="F461" i="127"/>
  <c r="E462" i="127"/>
  <c r="F462" i="127"/>
  <c r="E463" i="127"/>
  <c r="F463" i="127"/>
  <c r="E464" i="127"/>
  <c r="F464" i="127"/>
  <c r="E465" i="127"/>
  <c r="F465" i="127"/>
  <c r="E466" i="127"/>
  <c r="F466" i="127"/>
  <c r="E467" i="127"/>
  <c r="F467" i="127"/>
  <c r="E468" i="127"/>
  <c r="F468" i="127"/>
  <c r="E469" i="127"/>
  <c r="F469" i="127"/>
  <c r="E470" i="127"/>
  <c r="F470" i="127"/>
  <c r="E471" i="127"/>
  <c r="F471" i="127"/>
  <c r="E472" i="127"/>
  <c r="F472" i="127"/>
  <c r="E473" i="127"/>
  <c r="F473" i="127"/>
  <c r="E474" i="127"/>
  <c r="F474" i="127"/>
  <c r="E475" i="127"/>
  <c r="F475" i="127"/>
  <c r="E476" i="127"/>
  <c r="F476" i="127"/>
  <c r="E477" i="127"/>
  <c r="F477" i="127"/>
  <c r="E478" i="127"/>
  <c r="F478" i="127"/>
  <c r="E479" i="127"/>
  <c r="F479" i="127"/>
  <c r="E480" i="127"/>
  <c r="F480" i="127"/>
  <c r="E481" i="127"/>
  <c r="F481" i="127"/>
  <c r="E482" i="127"/>
  <c r="F482" i="127"/>
  <c r="E483" i="127"/>
  <c r="F483" i="127"/>
  <c r="E484" i="127"/>
  <c r="F484" i="127"/>
  <c r="E485" i="127"/>
  <c r="F485" i="127"/>
  <c r="E486" i="127"/>
  <c r="F486" i="127"/>
  <c r="E487" i="127"/>
  <c r="F487" i="127"/>
  <c r="E488" i="127"/>
  <c r="F488" i="127"/>
  <c r="E489" i="127"/>
  <c r="F489" i="127"/>
  <c r="E490" i="127"/>
  <c r="F490" i="127"/>
  <c r="E491" i="127"/>
  <c r="F491" i="127"/>
  <c r="E492" i="127"/>
  <c r="F492" i="127"/>
  <c r="E493" i="127"/>
  <c r="F493" i="127"/>
  <c r="E494" i="127"/>
  <c r="F494" i="127"/>
  <c r="E495" i="127"/>
  <c r="F495" i="127"/>
  <c r="E496" i="127"/>
  <c r="F496" i="127"/>
  <c r="E497" i="127"/>
  <c r="F497" i="127"/>
  <c r="E498" i="127"/>
  <c r="F498" i="127"/>
  <c r="E499" i="127"/>
  <c r="F499" i="127"/>
  <c r="E500" i="127"/>
  <c r="F500" i="127"/>
  <c r="E501" i="127"/>
  <c r="F501" i="127"/>
  <c r="S3110" i="127" s="1"/>
  <c r="E502" i="127"/>
  <c r="F502" i="127"/>
  <c r="E503" i="127"/>
  <c r="F503" i="127"/>
  <c r="E504" i="127"/>
  <c r="F504" i="127"/>
  <c r="E505" i="127"/>
  <c r="F505" i="127"/>
  <c r="E506" i="127"/>
  <c r="F506" i="127"/>
  <c r="E507" i="127"/>
  <c r="F507" i="127"/>
  <c r="E508" i="127"/>
  <c r="F508" i="127"/>
  <c r="E509" i="127"/>
  <c r="F509" i="127"/>
  <c r="E510" i="127"/>
  <c r="F510" i="127"/>
  <c r="E511" i="127"/>
  <c r="F511" i="127"/>
  <c r="E512" i="127"/>
  <c r="F512" i="127"/>
  <c r="E513" i="127"/>
  <c r="F513" i="127"/>
  <c r="E514" i="127"/>
  <c r="F514" i="127"/>
  <c r="E515" i="127"/>
  <c r="F515" i="127"/>
  <c r="E516" i="127"/>
  <c r="F516" i="127"/>
  <c r="E517" i="127"/>
  <c r="F517" i="127"/>
  <c r="E518" i="127"/>
  <c r="F518" i="127"/>
  <c r="E519" i="127"/>
  <c r="F519" i="127"/>
  <c r="E520" i="127"/>
  <c r="F520" i="127"/>
  <c r="E521" i="127"/>
  <c r="F521" i="127"/>
  <c r="E522" i="127"/>
  <c r="F522" i="127"/>
  <c r="E523" i="127"/>
  <c r="F523" i="127"/>
  <c r="E524" i="127"/>
  <c r="F524" i="127"/>
  <c r="E525" i="127"/>
  <c r="F525" i="127"/>
  <c r="E526" i="127"/>
  <c r="F526" i="127"/>
  <c r="E527" i="127"/>
  <c r="F527" i="127"/>
  <c r="S2148" i="127" s="1"/>
  <c r="T2148" i="127" s="1"/>
  <c r="E528" i="127"/>
  <c r="F528" i="127"/>
  <c r="S1901" i="127" s="1"/>
  <c r="T1901" i="127" s="1"/>
  <c r="E529" i="127"/>
  <c r="F529" i="127"/>
  <c r="E530" i="127"/>
  <c r="F530" i="127"/>
  <c r="E531" i="127"/>
  <c r="F531" i="127"/>
  <c r="E532" i="127"/>
  <c r="F532" i="127"/>
  <c r="E533" i="127"/>
  <c r="F533" i="127"/>
  <c r="T2937" i="127" s="1"/>
  <c r="E534" i="127"/>
  <c r="F534" i="127"/>
  <c r="E535" i="127"/>
  <c r="F535" i="127"/>
  <c r="E536" i="127"/>
  <c r="F536" i="127"/>
  <c r="E537" i="127"/>
  <c r="F537" i="127"/>
  <c r="E538" i="127"/>
  <c r="F538" i="127"/>
  <c r="E539" i="127"/>
  <c r="F539" i="127"/>
  <c r="E540" i="127"/>
  <c r="F540" i="127"/>
  <c r="E541" i="127"/>
  <c r="F541" i="127"/>
  <c r="E542" i="127"/>
  <c r="F542" i="127"/>
  <c r="E543" i="127"/>
  <c r="F543" i="127"/>
  <c r="E544" i="127"/>
  <c r="F544" i="127"/>
  <c r="E545" i="127"/>
  <c r="F545" i="127"/>
  <c r="E546" i="127"/>
  <c r="F546" i="127"/>
  <c r="E547" i="127"/>
  <c r="F547" i="127"/>
  <c r="E548" i="127"/>
  <c r="F548" i="127"/>
  <c r="E549" i="127"/>
  <c r="F549" i="127"/>
  <c r="E550" i="127"/>
  <c r="F550" i="127"/>
  <c r="E551" i="127"/>
  <c r="F551" i="127"/>
  <c r="E552" i="127"/>
  <c r="F552" i="127"/>
  <c r="E553" i="127"/>
  <c r="F553" i="127"/>
  <c r="E554" i="127"/>
  <c r="F554" i="127"/>
  <c r="E555" i="127"/>
  <c r="F555" i="127"/>
  <c r="E556" i="127"/>
  <c r="F556" i="127"/>
  <c r="E557" i="127"/>
  <c r="F557" i="127"/>
  <c r="E558" i="127"/>
  <c r="F558" i="127"/>
  <c r="E559" i="127"/>
  <c r="F559" i="127"/>
  <c r="E560" i="127"/>
  <c r="F560" i="127"/>
  <c r="E561" i="127"/>
  <c r="F561" i="127"/>
  <c r="E562" i="127"/>
  <c r="F562" i="127"/>
  <c r="E563" i="127"/>
  <c r="F563" i="127"/>
  <c r="E564" i="127"/>
  <c r="F564" i="127"/>
  <c r="E565" i="127"/>
  <c r="F565" i="127"/>
  <c r="E566" i="127"/>
  <c r="F566" i="127"/>
  <c r="E567" i="127"/>
  <c r="F567" i="127"/>
  <c r="E568" i="127"/>
  <c r="F568" i="127"/>
  <c r="E569" i="127"/>
  <c r="F569" i="127"/>
  <c r="E570" i="127"/>
  <c r="F570" i="127"/>
  <c r="E571" i="127"/>
  <c r="F571" i="127"/>
  <c r="E572" i="127"/>
  <c r="F572" i="127"/>
  <c r="S705" i="127" s="1"/>
  <c r="E573" i="127"/>
  <c r="F573" i="127"/>
  <c r="E574" i="127"/>
  <c r="F574" i="127"/>
  <c r="E575" i="127"/>
  <c r="F575" i="127"/>
  <c r="E576" i="127"/>
  <c r="F576" i="127"/>
  <c r="E577" i="127"/>
  <c r="F577" i="127"/>
  <c r="E578" i="127"/>
  <c r="F578" i="127"/>
  <c r="E579" i="127"/>
  <c r="F579" i="127"/>
  <c r="E580" i="127"/>
  <c r="F580" i="127"/>
  <c r="E581" i="127"/>
  <c r="F581" i="127"/>
  <c r="E582" i="127"/>
  <c r="F582" i="127"/>
  <c r="E583" i="127"/>
  <c r="F583" i="127"/>
  <c r="S3154" i="127" s="1"/>
  <c r="T3154" i="127" s="1"/>
  <c r="E584" i="127"/>
  <c r="F584" i="127"/>
  <c r="E585" i="127"/>
  <c r="F585" i="127"/>
  <c r="E586" i="127"/>
  <c r="F586" i="127"/>
  <c r="E587" i="127"/>
  <c r="F587" i="127"/>
  <c r="E588" i="127"/>
  <c r="F588" i="127"/>
  <c r="E589" i="127"/>
  <c r="F589" i="127"/>
  <c r="E590" i="127"/>
  <c r="F590" i="127"/>
  <c r="E591" i="127"/>
  <c r="F591" i="127"/>
  <c r="E592" i="127"/>
  <c r="F592" i="127"/>
  <c r="E593" i="127"/>
  <c r="F593" i="127"/>
  <c r="E594" i="127"/>
  <c r="F594" i="127"/>
  <c r="E595" i="127"/>
  <c r="F595" i="127"/>
  <c r="S2448" i="127" s="1"/>
  <c r="T2448" i="127" s="1"/>
  <c r="E596" i="127"/>
  <c r="F596" i="127"/>
  <c r="E597" i="127"/>
  <c r="F597" i="127"/>
  <c r="E598" i="127"/>
  <c r="F598" i="127"/>
  <c r="E599" i="127"/>
  <c r="F599" i="127"/>
  <c r="E600" i="127"/>
  <c r="F600" i="127"/>
  <c r="E601" i="127"/>
  <c r="F601" i="127"/>
  <c r="E602" i="127"/>
  <c r="F602" i="127"/>
  <c r="E603" i="127"/>
  <c r="F603" i="127"/>
  <c r="E604" i="127"/>
  <c r="F604" i="127"/>
  <c r="E605" i="127"/>
  <c r="F605" i="127"/>
  <c r="E606" i="127"/>
  <c r="F606" i="127"/>
  <c r="E607" i="127"/>
  <c r="F607" i="127"/>
  <c r="E608" i="127"/>
  <c r="F608" i="127"/>
  <c r="E609" i="127"/>
  <c r="F609" i="127"/>
  <c r="E610" i="127"/>
  <c r="F610" i="127"/>
  <c r="E611" i="127"/>
  <c r="F611" i="127"/>
  <c r="E612" i="127"/>
  <c r="F612" i="127"/>
  <c r="E613" i="127"/>
  <c r="F613" i="127"/>
  <c r="E614" i="127"/>
  <c r="F614" i="127"/>
  <c r="E615" i="127"/>
  <c r="F615" i="127"/>
  <c r="E616" i="127"/>
  <c r="F616" i="127"/>
  <c r="E617" i="127"/>
  <c r="F617" i="127"/>
  <c r="E618" i="127"/>
  <c r="F618" i="127"/>
  <c r="E619" i="127"/>
  <c r="F619" i="127"/>
  <c r="E620" i="127"/>
  <c r="F620" i="127"/>
  <c r="E621" i="127"/>
  <c r="F621" i="127"/>
  <c r="E622" i="127"/>
  <c r="F622" i="127"/>
  <c r="E623" i="127"/>
  <c r="F623" i="127"/>
  <c r="E624" i="127"/>
  <c r="F624" i="127"/>
  <c r="E625" i="127"/>
  <c r="F625" i="127"/>
  <c r="E626" i="127"/>
  <c r="F626" i="127"/>
  <c r="E627" i="127"/>
  <c r="F627" i="127"/>
  <c r="E628" i="127"/>
  <c r="F628" i="127"/>
  <c r="E629" i="127"/>
  <c r="F629" i="127"/>
  <c r="E630" i="127"/>
  <c r="F630" i="127"/>
  <c r="E631" i="127"/>
  <c r="F631" i="127"/>
  <c r="E632" i="127"/>
  <c r="F632" i="127"/>
  <c r="E633" i="127"/>
  <c r="F633" i="127"/>
  <c r="E634" i="127"/>
  <c r="F634" i="127"/>
  <c r="E635" i="127"/>
  <c r="F635" i="127"/>
  <c r="E636" i="127"/>
  <c r="F636" i="127"/>
  <c r="E637" i="127"/>
  <c r="F637" i="127"/>
  <c r="E638" i="127"/>
  <c r="F638" i="127"/>
  <c r="E639" i="127"/>
  <c r="F639" i="127"/>
  <c r="E640" i="127"/>
  <c r="F640" i="127"/>
  <c r="E641" i="127"/>
  <c r="F641" i="127"/>
  <c r="E642" i="127"/>
  <c r="F642" i="127"/>
  <c r="E643" i="127"/>
  <c r="F643" i="127"/>
  <c r="E644" i="127"/>
  <c r="F644" i="127"/>
  <c r="E645" i="127"/>
  <c r="F645" i="127"/>
  <c r="E646" i="127"/>
  <c r="F646" i="127"/>
  <c r="E647" i="127"/>
  <c r="F647" i="127"/>
  <c r="E648" i="127"/>
  <c r="F648" i="127"/>
  <c r="E649" i="127"/>
  <c r="F649" i="127"/>
  <c r="E650" i="127"/>
  <c r="F650" i="127"/>
  <c r="E651" i="127"/>
  <c r="F651" i="127"/>
  <c r="E652" i="127"/>
  <c r="F652" i="127"/>
  <c r="E653" i="127"/>
  <c r="F653" i="127"/>
  <c r="E654" i="127"/>
  <c r="F654" i="127"/>
  <c r="E655" i="127"/>
  <c r="F655" i="127"/>
  <c r="E656" i="127"/>
  <c r="F656" i="127"/>
  <c r="E657" i="127"/>
  <c r="F657" i="127"/>
  <c r="E658" i="127"/>
  <c r="F658" i="127"/>
  <c r="E659" i="127"/>
  <c r="F659" i="127"/>
  <c r="E660" i="127"/>
  <c r="F660" i="127"/>
  <c r="E661" i="127"/>
  <c r="F661" i="127"/>
  <c r="E662" i="127"/>
  <c r="F662" i="127"/>
  <c r="E663" i="127"/>
  <c r="F663" i="127"/>
  <c r="E664" i="127"/>
  <c r="F664" i="127"/>
  <c r="E665" i="127"/>
  <c r="F665" i="127"/>
  <c r="E666" i="127"/>
  <c r="F666" i="127"/>
  <c r="E667" i="127"/>
  <c r="F667" i="127"/>
  <c r="E668" i="127"/>
  <c r="F668" i="127"/>
  <c r="E669" i="127"/>
  <c r="F669" i="127"/>
  <c r="E670" i="127"/>
  <c r="F670" i="127"/>
  <c r="E671" i="127"/>
  <c r="F671" i="127"/>
  <c r="E672" i="127"/>
  <c r="F672" i="127"/>
  <c r="E673" i="127"/>
  <c r="F673" i="127"/>
  <c r="E674" i="127"/>
  <c r="F674" i="127"/>
  <c r="E675" i="127"/>
  <c r="F675" i="127"/>
  <c r="E676" i="127"/>
  <c r="F676" i="127"/>
  <c r="E677" i="127"/>
  <c r="F677" i="127"/>
  <c r="E678" i="127"/>
  <c r="F678" i="127"/>
  <c r="E679" i="127"/>
  <c r="F679" i="127"/>
  <c r="E680" i="127"/>
  <c r="F680" i="127"/>
  <c r="E681" i="127"/>
  <c r="F681" i="127"/>
  <c r="E682" i="127"/>
  <c r="F682" i="127"/>
  <c r="E683" i="127"/>
  <c r="F683" i="127"/>
  <c r="E684" i="127"/>
  <c r="F684" i="127"/>
  <c r="E685" i="127"/>
  <c r="F685" i="127"/>
  <c r="E686" i="127"/>
  <c r="F686" i="127"/>
  <c r="E687" i="127"/>
  <c r="F687" i="127"/>
  <c r="E688" i="127"/>
  <c r="F688" i="127"/>
  <c r="E689" i="127"/>
  <c r="F689" i="127"/>
  <c r="E690" i="127"/>
  <c r="F690" i="127"/>
  <c r="E691" i="127"/>
  <c r="F691" i="127"/>
  <c r="E692" i="127"/>
  <c r="F692" i="127"/>
  <c r="E693" i="127"/>
  <c r="F693" i="127"/>
  <c r="E694" i="127"/>
  <c r="F694" i="127"/>
  <c r="E695" i="127"/>
  <c r="F695" i="127"/>
  <c r="E696" i="127"/>
  <c r="F696" i="127"/>
  <c r="E697" i="127"/>
  <c r="F697" i="127"/>
  <c r="E698" i="127"/>
  <c r="F698" i="127"/>
  <c r="E699" i="127"/>
  <c r="F699" i="127"/>
  <c r="E700" i="127"/>
  <c r="F700" i="127"/>
  <c r="E701" i="127"/>
  <c r="F701" i="127"/>
  <c r="E702" i="127"/>
  <c r="F702" i="127"/>
  <c r="E703" i="127"/>
  <c r="F703" i="127"/>
  <c r="E704" i="127"/>
  <c r="F704" i="127"/>
  <c r="E705" i="127"/>
  <c r="F705" i="127"/>
  <c r="E706" i="127"/>
  <c r="F706" i="127"/>
  <c r="E707" i="127"/>
  <c r="F707" i="127"/>
  <c r="E708" i="127"/>
  <c r="F708" i="127"/>
  <c r="E709" i="127"/>
  <c r="F709" i="127"/>
  <c r="E710" i="127"/>
  <c r="F710" i="127"/>
  <c r="E711" i="127"/>
  <c r="F711" i="127"/>
  <c r="E712" i="127"/>
  <c r="F712" i="127"/>
  <c r="E713" i="127"/>
  <c r="F713" i="127"/>
  <c r="E714" i="127"/>
  <c r="F714" i="127"/>
  <c r="E715" i="127"/>
  <c r="E716" i="127"/>
  <c r="F716" i="127"/>
  <c r="E717" i="127"/>
  <c r="F717" i="127"/>
  <c r="E718" i="127"/>
  <c r="F718" i="127"/>
  <c r="E719" i="127"/>
  <c r="F719" i="127"/>
  <c r="E720" i="127"/>
  <c r="F720" i="127"/>
  <c r="E721" i="127"/>
  <c r="F721" i="127"/>
  <c r="E722" i="127"/>
  <c r="F722" i="127"/>
  <c r="E723" i="127"/>
  <c r="F723" i="127"/>
  <c r="E724" i="127"/>
  <c r="F724" i="127"/>
  <c r="E725" i="127"/>
  <c r="F725" i="127"/>
  <c r="E726" i="127"/>
  <c r="F726" i="127"/>
  <c r="E727" i="127"/>
  <c r="F727" i="127"/>
  <c r="E728" i="127"/>
  <c r="F728" i="127"/>
  <c r="E729" i="127"/>
  <c r="F729" i="127"/>
  <c r="E730" i="127"/>
  <c r="F730" i="127"/>
  <c r="E731" i="127"/>
  <c r="F731" i="127"/>
  <c r="E732" i="127"/>
  <c r="F732" i="127"/>
  <c r="E733" i="127"/>
  <c r="F733" i="127"/>
  <c r="E734" i="127"/>
  <c r="F734" i="127"/>
  <c r="E735" i="127"/>
  <c r="F735" i="127"/>
  <c r="E736" i="127"/>
  <c r="F736" i="127"/>
  <c r="E737" i="127"/>
  <c r="F737" i="127"/>
  <c r="E738" i="127"/>
  <c r="F738" i="127"/>
  <c r="E739" i="127"/>
  <c r="F739" i="127"/>
  <c r="E740" i="127"/>
  <c r="F740" i="127"/>
  <c r="E741" i="127"/>
  <c r="F741" i="127"/>
  <c r="E742" i="127"/>
  <c r="F742" i="127"/>
  <c r="S308" i="127" s="1"/>
  <c r="E743" i="127"/>
  <c r="F743" i="127"/>
  <c r="E744" i="127"/>
  <c r="F744" i="127"/>
  <c r="E745" i="127"/>
  <c r="F745" i="127"/>
  <c r="E746" i="127"/>
  <c r="F746" i="127"/>
  <c r="E747" i="127"/>
  <c r="F747" i="127"/>
  <c r="E748" i="127"/>
  <c r="F748" i="127"/>
  <c r="E749" i="127"/>
  <c r="F749" i="127"/>
  <c r="E750" i="127"/>
  <c r="F750" i="127"/>
  <c r="E751" i="127"/>
  <c r="F751" i="127"/>
  <c r="E752" i="127"/>
  <c r="F752" i="127"/>
  <c r="E753" i="127"/>
  <c r="F753" i="127"/>
  <c r="E754" i="127"/>
  <c r="F754" i="127"/>
  <c r="E755" i="127"/>
  <c r="F755" i="127"/>
  <c r="E756" i="127"/>
  <c r="F756" i="127"/>
  <c r="E757" i="127"/>
  <c r="F757" i="127"/>
  <c r="E758" i="127"/>
  <c r="F758" i="127"/>
  <c r="E759" i="127"/>
  <c r="F759" i="127"/>
  <c r="E760" i="127"/>
  <c r="F760" i="127"/>
  <c r="E761" i="127"/>
  <c r="F761" i="127"/>
  <c r="E762" i="127"/>
  <c r="F762" i="127"/>
  <c r="E763" i="127"/>
  <c r="F763" i="127"/>
  <c r="E764" i="127"/>
  <c r="F764" i="127"/>
  <c r="E765" i="127"/>
  <c r="F765" i="127"/>
  <c r="E766" i="127"/>
  <c r="F766" i="127"/>
  <c r="E767" i="127"/>
  <c r="F767" i="127"/>
  <c r="E768" i="127"/>
  <c r="F768" i="127"/>
  <c r="E769" i="127"/>
  <c r="F769" i="127"/>
  <c r="E770" i="127"/>
  <c r="F770" i="127"/>
  <c r="E771" i="127"/>
  <c r="F771" i="127"/>
  <c r="E772" i="127"/>
  <c r="F772" i="127"/>
  <c r="E773" i="127"/>
  <c r="F773" i="127"/>
  <c r="E774" i="127"/>
  <c r="F774" i="127"/>
  <c r="E775" i="127"/>
  <c r="F775" i="127"/>
  <c r="E776" i="127"/>
  <c r="F776" i="127"/>
  <c r="E777" i="127"/>
  <c r="F777" i="127"/>
  <c r="E778" i="127"/>
  <c r="F778" i="127"/>
  <c r="E779" i="127"/>
  <c r="F779" i="127"/>
  <c r="E780" i="127"/>
  <c r="F780" i="127"/>
  <c r="E781" i="127"/>
  <c r="F781" i="127"/>
  <c r="E783" i="127"/>
  <c r="F783" i="127"/>
  <c r="E784" i="127"/>
  <c r="F784" i="127"/>
  <c r="E785" i="127"/>
  <c r="F785" i="127"/>
  <c r="E786" i="127"/>
  <c r="F786" i="127"/>
  <c r="E787" i="127"/>
  <c r="F787" i="127"/>
  <c r="E788" i="127"/>
  <c r="F788" i="127"/>
  <c r="E789" i="127"/>
  <c r="F789" i="127"/>
  <c r="E790" i="127"/>
  <c r="F790" i="127"/>
  <c r="E791" i="127"/>
  <c r="F791" i="127"/>
  <c r="E792" i="127"/>
  <c r="F792" i="127"/>
  <c r="E793" i="127"/>
  <c r="F793" i="127"/>
  <c r="E794" i="127"/>
  <c r="F794" i="127"/>
  <c r="E795" i="127"/>
  <c r="F795" i="127"/>
  <c r="E796" i="127"/>
  <c r="F796" i="127"/>
  <c r="E797" i="127"/>
  <c r="F797" i="127"/>
  <c r="E798" i="127"/>
  <c r="F798" i="127"/>
  <c r="E799" i="127"/>
  <c r="F799" i="127"/>
  <c r="E800" i="127"/>
  <c r="F800" i="127"/>
  <c r="E801" i="127"/>
  <c r="F801" i="127"/>
  <c r="E802" i="127"/>
  <c r="F802" i="127"/>
  <c r="E803" i="127"/>
  <c r="E804" i="127"/>
  <c r="F804" i="127"/>
  <c r="E805" i="127"/>
  <c r="F805" i="127"/>
  <c r="E806" i="127"/>
  <c r="F806" i="127"/>
  <c r="E807" i="127"/>
  <c r="F807" i="127"/>
  <c r="E808" i="127"/>
  <c r="F808" i="127"/>
  <c r="E809" i="127"/>
  <c r="F809" i="127"/>
  <c r="E810" i="127"/>
  <c r="F810" i="127"/>
  <c r="E811" i="127"/>
  <c r="F811" i="127"/>
  <c r="E812" i="127"/>
  <c r="F812" i="127"/>
  <c r="E813" i="127"/>
  <c r="F813" i="127"/>
  <c r="E814" i="127"/>
  <c r="F814" i="127"/>
  <c r="E815" i="127"/>
  <c r="F815" i="127"/>
  <c r="E816" i="127"/>
  <c r="F816" i="127"/>
  <c r="E817" i="127"/>
  <c r="F817" i="127"/>
  <c r="E818" i="127"/>
  <c r="F818" i="127"/>
  <c r="E819" i="127"/>
  <c r="F819" i="127"/>
  <c r="E820" i="127"/>
  <c r="F820" i="127"/>
  <c r="E821" i="127"/>
  <c r="F821" i="127"/>
  <c r="E822" i="127"/>
  <c r="F822" i="127"/>
  <c r="E823" i="127"/>
  <c r="F823" i="127"/>
  <c r="E824" i="127"/>
  <c r="F824" i="127"/>
  <c r="E825" i="127"/>
  <c r="F825" i="127"/>
  <c r="E826" i="127"/>
  <c r="F826" i="127"/>
  <c r="E827" i="127"/>
  <c r="F827" i="127"/>
  <c r="E828" i="127"/>
  <c r="F828" i="127"/>
  <c r="E829" i="127"/>
  <c r="F829" i="127"/>
  <c r="E830" i="127"/>
  <c r="F830" i="127"/>
  <c r="E831" i="127"/>
  <c r="F831" i="127"/>
  <c r="E832" i="127"/>
  <c r="F832" i="127"/>
  <c r="E833" i="127"/>
  <c r="F833" i="127"/>
  <c r="E834" i="127"/>
  <c r="F834" i="127"/>
  <c r="E835" i="127"/>
  <c r="F835" i="127"/>
  <c r="E836" i="127"/>
  <c r="F836" i="127"/>
  <c r="E837" i="127"/>
  <c r="F837" i="127"/>
  <c r="E838" i="127"/>
  <c r="F838" i="127"/>
  <c r="E839" i="127"/>
  <c r="F839" i="127"/>
  <c r="E840" i="127"/>
  <c r="F840" i="127"/>
  <c r="E841" i="127"/>
  <c r="F841" i="127"/>
  <c r="E842" i="127"/>
  <c r="F842" i="127"/>
  <c r="E843" i="127"/>
  <c r="F843" i="127"/>
  <c r="E844" i="127"/>
  <c r="F844" i="127"/>
  <c r="E845" i="127"/>
  <c r="F845" i="127"/>
  <c r="E846" i="127"/>
  <c r="F846" i="127"/>
  <c r="E847" i="127"/>
  <c r="F847" i="127"/>
  <c r="E848" i="127"/>
  <c r="F848" i="127"/>
  <c r="E849" i="127"/>
  <c r="F849" i="127"/>
  <c r="E850" i="127"/>
  <c r="F850" i="127"/>
  <c r="E851" i="127"/>
  <c r="F851" i="127"/>
  <c r="E852" i="127"/>
  <c r="F852" i="127"/>
  <c r="E853" i="127"/>
  <c r="F853" i="127"/>
  <c r="E854" i="127"/>
  <c r="F854" i="127"/>
  <c r="E855" i="127"/>
  <c r="F855" i="127"/>
  <c r="E856" i="127"/>
  <c r="F856" i="127"/>
  <c r="E857" i="127"/>
  <c r="F857" i="127"/>
  <c r="E858" i="127"/>
  <c r="F858" i="127"/>
  <c r="E859" i="127"/>
  <c r="F859" i="127"/>
  <c r="E860" i="127"/>
  <c r="F860" i="127"/>
  <c r="E861" i="127"/>
  <c r="F861" i="127"/>
  <c r="E862" i="127"/>
  <c r="F862" i="127"/>
  <c r="E863" i="127"/>
  <c r="F863" i="127"/>
  <c r="E864" i="127"/>
  <c r="F864" i="127"/>
  <c r="E865" i="127"/>
  <c r="F865" i="127"/>
  <c r="E866" i="127"/>
  <c r="F866" i="127"/>
  <c r="E867" i="127"/>
  <c r="F867" i="127"/>
  <c r="E868" i="127"/>
  <c r="F868" i="127"/>
  <c r="E869" i="127"/>
  <c r="F869" i="127"/>
  <c r="E870" i="127"/>
  <c r="F870" i="127"/>
  <c r="E871" i="127"/>
  <c r="F871" i="127"/>
  <c r="E872" i="127"/>
  <c r="F872" i="127"/>
  <c r="E873" i="127"/>
  <c r="F873" i="127"/>
  <c r="E874" i="127"/>
  <c r="F874" i="127"/>
  <c r="E875" i="127"/>
  <c r="F875" i="127"/>
  <c r="E876" i="127"/>
  <c r="F876" i="127"/>
  <c r="E877" i="127"/>
  <c r="F877" i="127"/>
  <c r="E878" i="127"/>
  <c r="F878" i="127"/>
  <c r="E879" i="127"/>
  <c r="F879" i="127"/>
  <c r="E880" i="127"/>
  <c r="F880" i="127"/>
  <c r="E881" i="127"/>
  <c r="F881" i="127"/>
  <c r="E882" i="127"/>
  <c r="F882" i="127"/>
  <c r="E883" i="127"/>
  <c r="F883" i="127"/>
  <c r="E884" i="127"/>
  <c r="F884" i="127"/>
  <c r="E885" i="127"/>
  <c r="F885" i="127"/>
  <c r="E886" i="127"/>
  <c r="F886" i="127"/>
  <c r="E887" i="127"/>
  <c r="F887" i="127"/>
  <c r="E888" i="127"/>
  <c r="F888" i="127"/>
  <c r="E889" i="127"/>
  <c r="F889" i="127"/>
  <c r="E890" i="127"/>
  <c r="F890" i="127"/>
  <c r="E891" i="127"/>
  <c r="F891" i="127"/>
  <c r="E892" i="127"/>
  <c r="F892" i="127"/>
  <c r="E893" i="127"/>
  <c r="F893" i="127"/>
  <c r="E894" i="127"/>
  <c r="F894" i="127"/>
  <c r="E895" i="127"/>
  <c r="F895" i="127"/>
  <c r="E896" i="127"/>
  <c r="F896" i="127"/>
  <c r="E897" i="127"/>
  <c r="F897" i="127"/>
  <c r="E898" i="127"/>
  <c r="F898" i="127"/>
  <c r="E899" i="127"/>
  <c r="F899" i="127"/>
  <c r="E900" i="127"/>
  <c r="F900" i="127"/>
  <c r="E901" i="127"/>
  <c r="F901" i="127"/>
  <c r="E902" i="127"/>
  <c r="F902" i="127"/>
  <c r="E903" i="127"/>
  <c r="F903" i="127"/>
  <c r="E904" i="127"/>
  <c r="F904" i="127"/>
  <c r="E905" i="127"/>
  <c r="F905" i="127"/>
  <c r="E906" i="127"/>
  <c r="F906" i="127"/>
  <c r="E907" i="127"/>
  <c r="F907" i="127"/>
  <c r="E908" i="127"/>
  <c r="F908" i="127"/>
  <c r="E909" i="127"/>
  <c r="F909" i="127"/>
  <c r="E910" i="127"/>
  <c r="F910" i="127"/>
  <c r="E911" i="127"/>
  <c r="F911" i="127"/>
  <c r="E912" i="127"/>
  <c r="F912" i="127"/>
  <c r="E913" i="127"/>
  <c r="F913" i="127"/>
  <c r="E914" i="127"/>
  <c r="F914" i="127"/>
  <c r="E915" i="127"/>
  <c r="F915" i="127"/>
  <c r="E916" i="127"/>
  <c r="F916" i="127"/>
  <c r="E917" i="127"/>
  <c r="F917" i="127"/>
  <c r="E918" i="127"/>
  <c r="F918" i="127"/>
  <c r="E919" i="127"/>
  <c r="F919" i="127"/>
  <c r="E920" i="127"/>
  <c r="F920" i="127"/>
  <c r="E921" i="127"/>
  <c r="F921" i="127"/>
  <c r="E922" i="127"/>
  <c r="F922" i="127"/>
  <c r="E923" i="127"/>
  <c r="F923" i="127"/>
  <c r="E924" i="127"/>
  <c r="F924" i="127"/>
  <c r="E925" i="127"/>
  <c r="F925" i="127"/>
  <c r="E926" i="127"/>
  <c r="F926" i="127"/>
  <c r="E927" i="127"/>
  <c r="F927" i="127"/>
  <c r="E928" i="127"/>
  <c r="F928" i="127"/>
  <c r="E929" i="127"/>
  <c r="F929" i="127"/>
  <c r="E930" i="127"/>
  <c r="F930" i="127"/>
  <c r="E931" i="127"/>
  <c r="F931" i="127"/>
  <c r="E932" i="127"/>
  <c r="F932" i="127"/>
  <c r="E933" i="127"/>
  <c r="F933" i="127"/>
  <c r="E934" i="127"/>
  <c r="F934" i="127"/>
  <c r="E935" i="127"/>
  <c r="F935" i="127"/>
  <c r="E936" i="127"/>
  <c r="F936" i="127"/>
  <c r="E937" i="127"/>
  <c r="F937" i="127"/>
  <c r="E938" i="127"/>
  <c r="F938" i="127"/>
  <c r="E939" i="127"/>
  <c r="F939" i="127"/>
  <c r="E940" i="127"/>
  <c r="F940" i="127"/>
  <c r="E941" i="127"/>
  <c r="F941" i="127"/>
  <c r="E942" i="127"/>
  <c r="F942" i="127"/>
  <c r="E943" i="127"/>
  <c r="F943" i="127"/>
  <c r="E944" i="127"/>
  <c r="F944" i="127"/>
  <c r="E945" i="127"/>
  <c r="F945" i="127"/>
  <c r="E946" i="127"/>
  <c r="F946" i="127"/>
  <c r="E947" i="127"/>
  <c r="F947" i="127"/>
  <c r="E948" i="127"/>
  <c r="F948" i="127"/>
  <c r="E949" i="127"/>
  <c r="F949" i="127"/>
  <c r="E950" i="127"/>
  <c r="F950" i="127"/>
  <c r="E951" i="127"/>
  <c r="F951" i="127"/>
  <c r="E952" i="127"/>
  <c r="F952" i="127"/>
  <c r="E953" i="127"/>
  <c r="F953" i="127"/>
  <c r="E954" i="127"/>
  <c r="F954" i="127"/>
  <c r="E955" i="127"/>
  <c r="F955" i="127"/>
  <c r="E956" i="127"/>
  <c r="F956" i="127"/>
  <c r="E957" i="127"/>
  <c r="F957" i="127"/>
  <c r="E958" i="127"/>
  <c r="F958" i="127"/>
  <c r="E959" i="127"/>
  <c r="F959" i="127"/>
  <c r="E960" i="127"/>
  <c r="F960" i="127"/>
  <c r="E961" i="127"/>
  <c r="F961" i="127"/>
  <c r="E962" i="127"/>
  <c r="F962" i="127"/>
  <c r="E963" i="127"/>
  <c r="F963" i="127"/>
  <c r="E964" i="127"/>
  <c r="F964" i="127"/>
  <c r="E965" i="127"/>
  <c r="F965" i="127"/>
  <c r="E966" i="127"/>
  <c r="F966" i="127"/>
  <c r="E967" i="127"/>
  <c r="F967" i="127"/>
  <c r="E968" i="127"/>
  <c r="F968" i="127"/>
  <c r="E969" i="127"/>
  <c r="F969" i="127"/>
  <c r="E970" i="127"/>
  <c r="F970" i="127"/>
  <c r="E971" i="127"/>
  <c r="F971" i="127"/>
  <c r="E972" i="127"/>
  <c r="F972" i="127"/>
  <c r="E973" i="127"/>
  <c r="F973" i="127"/>
  <c r="E974" i="127"/>
  <c r="F974" i="127"/>
  <c r="E975" i="127"/>
  <c r="F975" i="127"/>
  <c r="E976" i="127"/>
  <c r="F976" i="127"/>
  <c r="E977" i="127"/>
  <c r="F977" i="127"/>
  <c r="E978" i="127"/>
  <c r="F978" i="127"/>
  <c r="E979" i="127"/>
  <c r="F979" i="127"/>
  <c r="E980" i="127"/>
  <c r="F980" i="127"/>
  <c r="E981" i="127"/>
  <c r="F981" i="127"/>
  <c r="E982" i="127"/>
  <c r="F982" i="127"/>
  <c r="E983" i="127"/>
  <c r="F983" i="127"/>
  <c r="E984" i="127"/>
  <c r="F984" i="127"/>
  <c r="E985" i="127"/>
  <c r="F985" i="127"/>
  <c r="E986" i="127"/>
  <c r="F986" i="127"/>
  <c r="E987" i="127"/>
  <c r="F987" i="127"/>
  <c r="E988" i="127"/>
  <c r="F988" i="127"/>
  <c r="E989" i="127"/>
  <c r="F989" i="127"/>
  <c r="E990" i="127"/>
  <c r="F990" i="127"/>
  <c r="E991" i="127"/>
  <c r="F991" i="127"/>
  <c r="E992" i="127"/>
  <c r="F992" i="127"/>
  <c r="E993" i="127"/>
  <c r="F993" i="127"/>
  <c r="E994" i="127"/>
  <c r="F994" i="127"/>
  <c r="E995" i="127"/>
  <c r="F995" i="127"/>
  <c r="E996" i="127"/>
  <c r="F996" i="127"/>
  <c r="E997" i="127"/>
  <c r="F997" i="127"/>
  <c r="E998" i="127"/>
  <c r="F998" i="127"/>
  <c r="E999" i="127"/>
  <c r="F999" i="127"/>
  <c r="E1000" i="127"/>
  <c r="F1000" i="127"/>
  <c r="E1001" i="127"/>
  <c r="F1001" i="127"/>
  <c r="E1002" i="127"/>
  <c r="F1002" i="127"/>
  <c r="E1003" i="127"/>
  <c r="F1003" i="127"/>
  <c r="E1004" i="127"/>
  <c r="F1004" i="127"/>
  <c r="E1005" i="127"/>
  <c r="F1005" i="127"/>
  <c r="E1006" i="127"/>
  <c r="F1006" i="127"/>
  <c r="E1007" i="127"/>
  <c r="F1007" i="127"/>
  <c r="E1008" i="127"/>
  <c r="F1008" i="127"/>
  <c r="E1009" i="127"/>
  <c r="F1009" i="127"/>
  <c r="E1010" i="127"/>
  <c r="F1010" i="127"/>
  <c r="E1011" i="127"/>
  <c r="F1011" i="127"/>
  <c r="E1012" i="127"/>
  <c r="F1012" i="127"/>
  <c r="E1013" i="127"/>
  <c r="F1013" i="127"/>
  <c r="E1014" i="127"/>
  <c r="F1014" i="127"/>
  <c r="E1015" i="127"/>
  <c r="F1015" i="127"/>
  <c r="E1016" i="127"/>
  <c r="F1016" i="127"/>
  <c r="E1017" i="127"/>
  <c r="F1017" i="127"/>
  <c r="E1018" i="127"/>
  <c r="F1018" i="127"/>
  <c r="E1019" i="127"/>
  <c r="F1019" i="127"/>
  <c r="E1020" i="127"/>
  <c r="F1020" i="127"/>
  <c r="E1021" i="127"/>
  <c r="F1021" i="127"/>
  <c r="E1022" i="127"/>
  <c r="F1022" i="127"/>
  <c r="E1023" i="127"/>
  <c r="F1023" i="127"/>
  <c r="E1024" i="127"/>
  <c r="F1024" i="127"/>
  <c r="E1025" i="127"/>
  <c r="F1025" i="127"/>
  <c r="E1026" i="127"/>
  <c r="F1026" i="127"/>
  <c r="E1027" i="127"/>
  <c r="F1027" i="127"/>
  <c r="E1028" i="127"/>
  <c r="F1028" i="127"/>
  <c r="E1029" i="127"/>
  <c r="F1029" i="127"/>
  <c r="E1030" i="127"/>
  <c r="F1030" i="127"/>
  <c r="E1031" i="127"/>
  <c r="F1031" i="127"/>
  <c r="E1032" i="127"/>
  <c r="F1032" i="127"/>
  <c r="E1033" i="127"/>
  <c r="F1033" i="127"/>
  <c r="E1034" i="127"/>
  <c r="F1034" i="127"/>
  <c r="E1035" i="127"/>
  <c r="F1035" i="127"/>
  <c r="E1036" i="127"/>
  <c r="F1036" i="127"/>
  <c r="E1037" i="127"/>
  <c r="F1037" i="127"/>
  <c r="E1038" i="127"/>
  <c r="F1038" i="127"/>
  <c r="E1039" i="127"/>
  <c r="F1039" i="127"/>
  <c r="E1040" i="127"/>
  <c r="F1040" i="127"/>
  <c r="E1041" i="127"/>
  <c r="F1041" i="127"/>
  <c r="E1042" i="127"/>
  <c r="F1042" i="127"/>
  <c r="E1043" i="127"/>
  <c r="F1043" i="127"/>
  <c r="E1044" i="127"/>
  <c r="F1044" i="127"/>
  <c r="E1045" i="127"/>
  <c r="F1045" i="127"/>
  <c r="E1046" i="127"/>
  <c r="F1046" i="127"/>
  <c r="E1047" i="127"/>
  <c r="F1047" i="127"/>
  <c r="E1048" i="127"/>
  <c r="F1048" i="127"/>
  <c r="E1049" i="127"/>
  <c r="F1049" i="127"/>
  <c r="E1050" i="127"/>
  <c r="F1050" i="127"/>
  <c r="E1051" i="127"/>
  <c r="F1051" i="127"/>
  <c r="E1052" i="127"/>
  <c r="F1052" i="127"/>
  <c r="E1053" i="127"/>
  <c r="F1053" i="127"/>
  <c r="E1054" i="127"/>
  <c r="F1054" i="127"/>
  <c r="E1055" i="127"/>
  <c r="F1055" i="127"/>
  <c r="E1056" i="127"/>
  <c r="F1056" i="127"/>
  <c r="E1057" i="127"/>
  <c r="F1057" i="127"/>
  <c r="E1058" i="127"/>
  <c r="F1058" i="127"/>
  <c r="E1059" i="127"/>
  <c r="F1059" i="127"/>
  <c r="E1060" i="127"/>
  <c r="F1060" i="127"/>
  <c r="E1061" i="127"/>
  <c r="F1061" i="127"/>
  <c r="E1062" i="127"/>
  <c r="F1062" i="127"/>
  <c r="E1063" i="127"/>
  <c r="F1063" i="127"/>
  <c r="E1064" i="127"/>
  <c r="F1064" i="127"/>
  <c r="E1065" i="127"/>
  <c r="F1065" i="127"/>
  <c r="E1066" i="127"/>
  <c r="F1066" i="127"/>
  <c r="E1067" i="127"/>
  <c r="F1067" i="127"/>
  <c r="E1068" i="127"/>
  <c r="F1068" i="127"/>
  <c r="E1069" i="127"/>
  <c r="F1069" i="127"/>
  <c r="E1070" i="127"/>
  <c r="F1070" i="127"/>
  <c r="E1071" i="127"/>
  <c r="F1071" i="127"/>
  <c r="E1072" i="127"/>
  <c r="F1072" i="127"/>
  <c r="E1073" i="127"/>
  <c r="F1073" i="127"/>
  <c r="E1074" i="127"/>
  <c r="F1074" i="127"/>
  <c r="E1075" i="127"/>
  <c r="F1075" i="127"/>
  <c r="E1076" i="127"/>
  <c r="F1076" i="127"/>
  <c r="S508" i="127" s="1"/>
  <c r="T508" i="127" s="1"/>
  <c r="E1077" i="127"/>
  <c r="F1077" i="127"/>
  <c r="E1078" i="127"/>
  <c r="F1078" i="127"/>
  <c r="E1079" i="127"/>
  <c r="F1079" i="127"/>
  <c r="E1080" i="127"/>
  <c r="F1080" i="127"/>
  <c r="E1081" i="127"/>
  <c r="F1081" i="127"/>
  <c r="E1082" i="127"/>
  <c r="F1082" i="127"/>
  <c r="E1083" i="127"/>
  <c r="F1083" i="127"/>
  <c r="E1084" i="127"/>
  <c r="F1084" i="127"/>
  <c r="E1085" i="127"/>
  <c r="F1085" i="127"/>
  <c r="E1086" i="127"/>
  <c r="F1086" i="127"/>
  <c r="E1087" i="127"/>
  <c r="F1087" i="127"/>
  <c r="E1088" i="127"/>
  <c r="F1088" i="127"/>
  <c r="E1089" i="127"/>
  <c r="F1089" i="127"/>
  <c r="E1090" i="127"/>
  <c r="F1090" i="127"/>
  <c r="E1091" i="127"/>
  <c r="F1091" i="127"/>
  <c r="E1092" i="127"/>
  <c r="F1092" i="127"/>
  <c r="E1093" i="127"/>
  <c r="F1093" i="127"/>
  <c r="E1094" i="127"/>
  <c r="F1094" i="127"/>
  <c r="E1095" i="127"/>
  <c r="F1095" i="127"/>
  <c r="E1096" i="127"/>
  <c r="F1096" i="127"/>
  <c r="E1097" i="127"/>
  <c r="F1097" i="127"/>
  <c r="E1098" i="127"/>
  <c r="F1098" i="127"/>
  <c r="E1099" i="127"/>
  <c r="F1099" i="127"/>
  <c r="E1100" i="127"/>
  <c r="F1100" i="127"/>
  <c r="E1101" i="127"/>
  <c r="F1101" i="127"/>
  <c r="E1102" i="127"/>
  <c r="F1102" i="127"/>
  <c r="E1103" i="127"/>
  <c r="F1103" i="127"/>
  <c r="E1104" i="127"/>
  <c r="F1104" i="127"/>
  <c r="E1105" i="127"/>
  <c r="F1105" i="127"/>
  <c r="E1106" i="127"/>
  <c r="F1106" i="127"/>
  <c r="E1107" i="127"/>
  <c r="F1107" i="127"/>
  <c r="E1108" i="127"/>
  <c r="F1108" i="127"/>
  <c r="E1109" i="127"/>
  <c r="F1109" i="127"/>
  <c r="E1110" i="127"/>
  <c r="F1110" i="127"/>
  <c r="E1111" i="127"/>
  <c r="F1111" i="127"/>
  <c r="E1112" i="127"/>
  <c r="F1112" i="127"/>
  <c r="E1113" i="127"/>
  <c r="F1113" i="127"/>
  <c r="E1114" i="127"/>
  <c r="F1114" i="127"/>
  <c r="E1115" i="127"/>
  <c r="F1115" i="127"/>
  <c r="E1116" i="127"/>
  <c r="F1116" i="127"/>
  <c r="E1117" i="127"/>
  <c r="F1117" i="127"/>
  <c r="E1118" i="127"/>
  <c r="F1118" i="127"/>
  <c r="E1119" i="127"/>
  <c r="F1119" i="127"/>
  <c r="E1120" i="127"/>
  <c r="F1120" i="127"/>
  <c r="E1121" i="127"/>
  <c r="F1121" i="127"/>
  <c r="E1122" i="127"/>
  <c r="F1122" i="127"/>
  <c r="E1123" i="127"/>
  <c r="F1123" i="127"/>
  <c r="E1124" i="127"/>
  <c r="F1124" i="127"/>
  <c r="E1125" i="127"/>
  <c r="F1125" i="127"/>
  <c r="E1126" i="127"/>
  <c r="F1126" i="127"/>
  <c r="E1127" i="127"/>
  <c r="F1127" i="127"/>
  <c r="E1128" i="127"/>
  <c r="F1128" i="127"/>
  <c r="E1129" i="127"/>
  <c r="F1129" i="127"/>
  <c r="E1130" i="127"/>
  <c r="F1130" i="127"/>
  <c r="E1131" i="127"/>
  <c r="F1131" i="127"/>
  <c r="E1132" i="127"/>
  <c r="F1132" i="127"/>
  <c r="E1133" i="127"/>
  <c r="F1133" i="127"/>
  <c r="E1134" i="127"/>
  <c r="F1134" i="127"/>
  <c r="E1135" i="127"/>
  <c r="F1135" i="127"/>
  <c r="E1136" i="127"/>
  <c r="F1136" i="127"/>
  <c r="E1137" i="127"/>
  <c r="F1137" i="127"/>
  <c r="E1138" i="127"/>
  <c r="F1138" i="127"/>
  <c r="E1139" i="127"/>
  <c r="F1139" i="127"/>
  <c r="E1140" i="127"/>
  <c r="F1140" i="127"/>
  <c r="E1141" i="127"/>
  <c r="F1141" i="127"/>
  <c r="E1142" i="127"/>
  <c r="F1142" i="127"/>
  <c r="E1143" i="127"/>
  <c r="F1143" i="127"/>
  <c r="E1144" i="127"/>
  <c r="F1144" i="127"/>
  <c r="E1145" i="127"/>
  <c r="F1145" i="127"/>
  <c r="E1146" i="127"/>
  <c r="F1146" i="127"/>
  <c r="E1147" i="127"/>
  <c r="F1147" i="127"/>
  <c r="E1148" i="127"/>
  <c r="F1148" i="127"/>
  <c r="E1149" i="127"/>
  <c r="F1149" i="127"/>
  <c r="E1150" i="127"/>
  <c r="F1150" i="127"/>
  <c r="E1151" i="127"/>
  <c r="F1151" i="127"/>
  <c r="S2763" i="127" s="1"/>
  <c r="E1152" i="127"/>
  <c r="F1152" i="127"/>
  <c r="E1153" i="127"/>
  <c r="F1153" i="127"/>
  <c r="E1154" i="127"/>
  <c r="F1154" i="127"/>
  <c r="E1155" i="127"/>
  <c r="F1155" i="127"/>
  <c r="E1156" i="127"/>
  <c r="F1156" i="127"/>
  <c r="E1157" i="127"/>
  <c r="F1157" i="127"/>
  <c r="E1158" i="127"/>
  <c r="F1158" i="127"/>
  <c r="E1159" i="127"/>
  <c r="F1159" i="127"/>
  <c r="E1160" i="127"/>
  <c r="F1160" i="127"/>
  <c r="E1161" i="127"/>
  <c r="F1161" i="127"/>
  <c r="E1162" i="127"/>
  <c r="F1162" i="127"/>
  <c r="E1163" i="127"/>
  <c r="F1163" i="127"/>
  <c r="E1164" i="127"/>
  <c r="F1164" i="127"/>
  <c r="E1165" i="127"/>
  <c r="F1165" i="127"/>
  <c r="E1166" i="127"/>
  <c r="F1166" i="127"/>
  <c r="E1167" i="127"/>
  <c r="F1167" i="127"/>
  <c r="E1168" i="127"/>
  <c r="F1168" i="127"/>
  <c r="E1169" i="127"/>
  <c r="F1169" i="127"/>
  <c r="E1170" i="127"/>
  <c r="F1170" i="127"/>
  <c r="E1171" i="127"/>
  <c r="F1171" i="127"/>
  <c r="E1172" i="127"/>
  <c r="F1172" i="127"/>
  <c r="E1173" i="127"/>
  <c r="F1173" i="127"/>
  <c r="E1174" i="127"/>
  <c r="F1174" i="127"/>
  <c r="E1175" i="127"/>
  <c r="F1175" i="127"/>
  <c r="E1176" i="127"/>
  <c r="F1176" i="127"/>
  <c r="E1177" i="127"/>
  <c r="F1177" i="127"/>
  <c r="E1178" i="127"/>
  <c r="F1178" i="127"/>
  <c r="E1179" i="127"/>
  <c r="F1179" i="127"/>
  <c r="E1180" i="127"/>
  <c r="F1180" i="127"/>
  <c r="E1181" i="127"/>
  <c r="F1181" i="127"/>
  <c r="E1182" i="127"/>
  <c r="F1182" i="127"/>
  <c r="E1183" i="127"/>
  <c r="F1183" i="127"/>
  <c r="E1184" i="127"/>
  <c r="F1184" i="127"/>
  <c r="E1185" i="127"/>
  <c r="F1185" i="127"/>
  <c r="E1186" i="127"/>
  <c r="F1186" i="127"/>
  <c r="E1187" i="127"/>
  <c r="F1187" i="127"/>
  <c r="E1188" i="127"/>
  <c r="F1188" i="127"/>
  <c r="E1189" i="127"/>
  <c r="F1189" i="127"/>
  <c r="E1190" i="127"/>
  <c r="F1190" i="127"/>
  <c r="E1191" i="127"/>
  <c r="F1191" i="127"/>
  <c r="E1192" i="127"/>
  <c r="F1192" i="127"/>
  <c r="E1193" i="127"/>
  <c r="F1193" i="127"/>
  <c r="E1194" i="127"/>
  <c r="F1194" i="127"/>
  <c r="E1195" i="127"/>
  <c r="F1195" i="127"/>
  <c r="E1196" i="127"/>
  <c r="F1196" i="127"/>
  <c r="E1197" i="127"/>
  <c r="F1197" i="127"/>
  <c r="E1198" i="127"/>
  <c r="F1198" i="127"/>
  <c r="E1199" i="127"/>
  <c r="F1199" i="127"/>
  <c r="E1200" i="127"/>
  <c r="F1200" i="127"/>
  <c r="E1201" i="127"/>
  <c r="F1201" i="127"/>
  <c r="E1202" i="127"/>
  <c r="F1202" i="127"/>
  <c r="E1203" i="127"/>
  <c r="F1203" i="127"/>
  <c r="E1204" i="127"/>
  <c r="F1204" i="127"/>
  <c r="E1205" i="127"/>
  <c r="F1205" i="127"/>
  <c r="E1206" i="127"/>
  <c r="F1206" i="127"/>
  <c r="E1207" i="127"/>
  <c r="F1207" i="127"/>
  <c r="E1208" i="127"/>
  <c r="F1208" i="127"/>
  <c r="E1209" i="127"/>
  <c r="F1209" i="127"/>
  <c r="E1210" i="127"/>
  <c r="E1211" i="127"/>
  <c r="F1211" i="127"/>
  <c r="E1212" i="127"/>
  <c r="F1212" i="127"/>
  <c r="E1213" i="127"/>
  <c r="F1213" i="127"/>
  <c r="E1214" i="127"/>
  <c r="F1214" i="127"/>
  <c r="E1215" i="127"/>
  <c r="F1215" i="127"/>
  <c r="E1216" i="127"/>
  <c r="F1216" i="127"/>
  <c r="E1217" i="127"/>
  <c r="F1217" i="127"/>
  <c r="E1218" i="127"/>
  <c r="F1218" i="127"/>
  <c r="E1219" i="127"/>
  <c r="F1219" i="127"/>
  <c r="E1220" i="127"/>
  <c r="F1220" i="127"/>
  <c r="E1221" i="127"/>
  <c r="F1221" i="127"/>
  <c r="E1222" i="127"/>
  <c r="F1222" i="127"/>
  <c r="E1223" i="127"/>
  <c r="F1223" i="127"/>
  <c r="E1224" i="127"/>
  <c r="F1224" i="127"/>
  <c r="E1225" i="127"/>
  <c r="F1225" i="127"/>
  <c r="E1226" i="127"/>
  <c r="F1226" i="127"/>
  <c r="E1227" i="127"/>
  <c r="F1227" i="127"/>
  <c r="E1228" i="127"/>
  <c r="F1228" i="127"/>
  <c r="E1229" i="127"/>
  <c r="F1229" i="127"/>
  <c r="E1230" i="127"/>
  <c r="F1230" i="127"/>
  <c r="E1231" i="127"/>
  <c r="F1231" i="127"/>
  <c r="E1232" i="127"/>
  <c r="F1232" i="127"/>
  <c r="E1233" i="127"/>
  <c r="F1233" i="127"/>
  <c r="E1234" i="127"/>
  <c r="F1234" i="127"/>
  <c r="E1235" i="127"/>
  <c r="F1235" i="127"/>
  <c r="E1236" i="127"/>
  <c r="F1236" i="127"/>
  <c r="E1237" i="127"/>
  <c r="F1237" i="127"/>
  <c r="E1238" i="127"/>
  <c r="F1238" i="127"/>
  <c r="E1239" i="127"/>
  <c r="F1239" i="127"/>
  <c r="E1240" i="127"/>
  <c r="F1240" i="127"/>
  <c r="E1241" i="127"/>
  <c r="F1241" i="127"/>
  <c r="E1242" i="127"/>
  <c r="F1242" i="127"/>
  <c r="E1243" i="127"/>
  <c r="F1243" i="127"/>
  <c r="E1244" i="127"/>
  <c r="F1244" i="127"/>
  <c r="E1245" i="127"/>
  <c r="F1245" i="127"/>
  <c r="E1246" i="127"/>
  <c r="F1246" i="127"/>
  <c r="E1247" i="127"/>
  <c r="F1247" i="127"/>
  <c r="E1248" i="127"/>
  <c r="F1248" i="127"/>
  <c r="E1249" i="127"/>
  <c r="F1249" i="127"/>
  <c r="E1250" i="127"/>
  <c r="F1250" i="127"/>
  <c r="E1251" i="127"/>
  <c r="F1251" i="127"/>
  <c r="E1252" i="127"/>
  <c r="F1252" i="127"/>
  <c r="E1253" i="127"/>
  <c r="F1253" i="127"/>
  <c r="E1254" i="127"/>
  <c r="F1254" i="127"/>
  <c r="E1255" i="127"/>
  <c r="F1255" i="127"/>
  <c r="E1256" i="127"/>
  <c r="F1256" i="127"/>
  <c r="E1257" i="127"/>
  <c r="F1257" i="127"/>
  <c r="E1258" i="127"/>
  <c r="F1258" i="127"/>
  <c r="E1259" i="127"/>
  <c r="F1259" i="127"/>
  <c r="E1260" i="127"/>
  <c r="F1260" i="127"/>
  <c r="E1261" i="127"/>
  <c r="F1261" i="127"/>
  <c r="E1262" i="127"/>
  <c r="F1262" i="127"/>
  <c r="E1263" i="127"/>
  <c r="F1263" i="127"/>
  <c r="E1264" i="127"/>
  <c r="F1264" i="127"/>
  <c r="E1265" i="127"/>
  <c r="F1265" i="127"/>
  <c r="E1266" i="127"/>
  <c r="F1266" i="127"/>
  <c r="E1267" i="127"/>
  <c r="F1267" i="127"/>
  <c r="E1268" i="127"/>
  <c r="F1268" i="127"/>
  <c r="E1269" i="127"/>
  <c r="F1269" i="127"/>
  <c r="E1270" i="127"/>
  <c r="F1270" i="127"/>
  <c r="E1271" i="127"/>
  <c r="F1271" i="127"/>
  <c r="E1272" i="127"/>
  <c r="F1272" i="127"/>
  <c r="E1273" i="127"/>
  <c r="F1273" i="127"/>
  <c r="E1274" i="127"/>
  <c r="F1274" i="127"/>
  <c r="E1275" i="127"/>
  <c r="F1275" i="127"/>
  <c r="E1276" i="127"/>
  <c r="F1276" i="127"/>
  <c r="R1276" i="127" s="1"/>
  <c r="E1277" i="127"/>
  <c r="F1277" i="127"/>
  <c r="E1278" i="127"/>
  <c r="F1278" i="127"/>
  <c r="E1279" i="127"/>
  <c r="F1279" i="127"/>
  <c r="E1280" i="127"/>
  <c r="F1280" i="127"/>
  <c r="E1281" i="127"/>
  <c r="F1281" i="127"/>
  <c r="E1282" i="127"/>
  <c r="F1282" i="127"/>
  <c r="E1283" i="127"/>
  <c r="F1283" i="127"/>
  <c r="E1284" i="127"/>
  <c r="F1284" i="127"/>
  <c r="E1285" i="127"/>
  <c r="F1285" i="127"/>
  <c r="E1286" i="127"/>
  <c r="F1286" i="127"/>
  <c r="E1287" i="127"/>
  <c r="F1287" i="127"/>
  <c r="E1288" i="127"/>
  <c r="F1288" i="127"/>
  <c r="E1289" i="127"/>
  <c r="F1289" i="127"/>
  <c r="E1290" i="127"/>
  <c r="F1290" i="127"/>
  <c r="E1291" i="127"/>
  <c r="F1291" i="127"/>
  <c r="E1292" i="127"/>
  <c r="F1292" i="127"/>
  <c r="E1293" i="127"/>
  <c r="F1293" i="127"/>
  <c r="E1294" i="127"/>
  <c r="F1294" i="127"/>
  <c r="E1295" i="127"/>
  <c r="F1295" i="127"/>
  <c r="E1296" i="127"/>
  <c r="F1296" i="127"/>
  <c r="E1297" i="127"/>
  <c r="F1297" i="127"/>
  <c r="E1298" i="127"/>
  <c r="E1299" i="127"/>
  <c r="F1299" i="127"/>
  <c r="E1300" i="127"/>
  <c r="F1300" i="127"/>
  <c r="E1301" i="127"/>
  <c r="F1301" i="127"/>
  <c r="E1302" i="127"/>
  <c r="F1302" i="127"/>
  <c r="E1303" i="127"/>
  <c r="F1303" i="127"/>
  <c r="E1304" i="127"/>
  <c r="F1304" i="127"/>
  <c r="E1305" i="127"/>
  <c r="F1305" i="127"/>
  <c r="E1306" i="127"/>
  <c r="F1306" i="127"/>
  <c r="E1307" i="127"/>
  <c r="F1307" i="127"/>
  <c r="E1308" i="127"/>
  <c r="F1308" i="127"/>
  <c r="E1309" i="127"/>
  <c r="F1309" i="127"/>
  <c r="E1310" i="127"/>
  <c r="F1310" i="127"/>
  <c r="E1311" i="127"/>
  <c r="F1311" i="127"/>
  <c r="E1312" i="127"/>
  <c r="F1312" i="127"/>
  <c r="E1313" i="127"/>
  <c r="F1313" i="127"/>
  <c r="E1314" i="127"/>
  <c r="F1314" i="127"/>
  <c r="E1315" i="127"/>
  <c r="F1315" i="127"/>
  <c r="E1316" i="127"/>
  <c r="F1316" i="127"/>
  <c r="E1317" i="127"/>
  <c r="F1317" i="127"/>
  <c r="E1318" i="127"/>
  <c r="F1318" i="127"/>
  <c r="E1319" i="127"/>
  <c r="F1319" i="127"/>
  <c r="E1320" i="127"/>
  <c r="E1321" i="127"/>
  <c r="F1321" i="127"/>
  <c r="E1322" i="127"/>
  <c r="F1322" i="127"/>
  <c r="E1323" i="127"/>
  <c r="F1323" i="127"/>
  <c r="E1324" i="127"/>
  <c r="E1325" i="127"/>
  <c r="F1325" i="127"/>
  <c r="E1326" i="127"/>
  <c r="F1326" i="127"/>
  <c r="E1327" i="127"/>
  <c r="F1327" i="127"/>
  <c r="E1328" i="127"/>
  <c r="F1328" i="127"/>
  <c r="E1329" i="127"/>
  <c r="F1329" i="127"/>
  <c r="E1330" i="127"/>
  <c r="F1330" i="127"/>
  <c r="E1331" i="127"/>
  <c r="F1331" i="127"/>
  <c r="E1332" i="127"/>
  <c r="F1332" i="127"/>
  <c r="E1333" i="127"/>
  <c r="F1333" i="127"/>
  <c r="E1334" i="127"/>
  <c r="F1334" i="127"/>
  <c r="E1335" i="127"/>
  <c r="F1335" i="127"/>
  <c r="E1336" i="127"/>
  <c r="F1336" i="127"/>
  <c r="E1337" i="127"/>
  <c r="F1337" i="127"/>
  <c r="E1338" i="127"/>
  <c r="F1338" i="127"/>
  <c r="E1339" i="127"/>
  <c r="F1339" i="127"/>
  <c r="E1340" i="127"/>
  <c r="F1340" i="127"/>
  <c r="E1341" i="127"/>
  <c r="F1341" i="127"/>
  <c r="E1342" i="127"/>
  <c r="F1342" i="127"/>
  <c r="E1343" i="127"/>
  <c r="F1343" i="127"/>
  <c r="E1344" i="127"/>
  <c r="F1344" i="127"/>
  <c r="E1345" i="127"/>
  <c r="F1345" i="127"/>
  <c r="S777" i="127" s="1"/>
  <c r="T777" i="127" s="1"/>
  <c r="E1346" i="127"/>
  <c r="F1346" i="127"/>
  <c r="E1347" i="127"/>
  <c r="F1347" i="127"/>
  <c r="E1348" i="127"/>
  <c r="F1348" i="127"/>
  <c r="E1349" i="127"/>
  <c r="F1349" i="127"/>
  <c r="E1350" i="127"/>
  <c r="F1350" i="127"/>
  <c r="E1351" i="127"/>
  <c r="F1351" i="127"/>
  <c r="E1352" i="127"/>
  <c r="F1352" i="127"/>
  <c r="E1353" i="127"/>
  <c r="F1353" i="127"/>
  <c r="E1354" i="127"/>
  <c r="F1354" i="127"/>
  <c r="E1355" i="127"/>
  <c r="F1355" i="127"/>
  <c r="E1356" i="127"/>
  <c r="F1356" i="127"/>
  <c r="E1357" i="127"/>
  <c r="F1357" i="127"/>
  <c r="E1358" i="127"/>
  <c r="F1358" i="127"/>
  <c r="E1359" i="127"/>
  <c r="F1359" i="127"/>
  <c r="E1360" i="127"/>
  <c r="F1360" i="127"/>
  <c r="E1361" i="127"/>
  <c r="F1361" i="127"/>
  <c r="E1362" i="127"/>
  <c r="F1362" i="127"/>
  <c r="E1363" i="127"/>
  <c r="F1363" i="127"/>
  <c r="E1364" i="127"/>
  <c r="F1364" i="127"/>
  <c r="E1365" i="127"/>
  <c r="F1365" i="127"/>
  <c r="E1366" i="127"/>
  <c r="F1366" i="127"/>
  <c r="E1367" i="127"/>
  <c r="F1367" i="127"/>
  <c r="E1368" i="127"/>
  <c r="F1368" i="127"/>
  <c r="E1369" i="127"/>
  <c r="F1369" i="127"/>
  <c r="E1370" i="127"/>
  <c r="F1370" i="127"/>
  <c r="E1371" i="127"/>
  <c r="F1371" i="127"/>
  <c r="E1372" i="127"/>
  <c r="F1372" i="127"/>
  <c r="E1373" i="127"/>
  <c r="F1373" i="127"/>
  <c r="E1374" i="127"/>
  <c r="F1374" i="127"/>
  <c r="E1375" i="127"/>
  <c r="F1375" i="127"/>
  <c r="E1376" i="127"/>
  <c r="F1376" i="127"/>
  <c r="E1377" i="127"/>
  <c r="F1377" i="127"/>
  <c r="E1378" i="127"/>
  <c r="F1378" i="127"/>
  <c r="E1379" i="127"/>
  <c r="F1379" i="127"/>
  <c r="E1380" i="127"/>
  <c r="F1380" i="127"/>
  <c r="E1381" i="127"/>
  <c r="F1381" i="127"/>
  <c r="E1382" i="127"/>
  <c r="F1382" i="127"/>
  <c r="S814" i="127" s="1"/>
  <c r="T814" i="127" s="1"/>
  <c r="E1383" i="127"/>
  <c r="F1383" i="127"/>
  <c r="E1384" i="127"/>
  <c r="F1384" i="127"/>
  <c r="E1385" i="127"/>
  <c r="F1385" i="127"/>
  <c r="E1386" i="127"/>
  <c r="F1386" i="127"/>
  <c r="S2756" i="127" s="1"/>
  <c r="T2756" i="127" s="1"/>
  <c r="E1387" i="127"/>
  <c r="F1387" i="127"/>
  <c r="E1388" i="127"/>
  <c r="F1388" i="127"/>
  <c r="E1389" i="127"/>
  <c r="F1389" i="127"/>
  <c r="E1390" i="127"/>
  <c r="F1390" i="127"/>
  <c r="E1391" i="127"/>
  <c r="F1391" i="127"/>
  <c r="E1392" i="127"/>
  <c r="F1392" i="127"/>
  <c r="E1393" i="127"/>
  <c r="F1393" i="127"/>
  <c r="E1394" i="127"/>
  <c r="F1394" i="127"/>
  <c r="E1395" i="127"/>
  <c r="F1395" i="127"/>
  <c r="E1396" i="127"/>
  <c r="F1396" i="127"/>
  <c r="E1397" i="127"/>
  <c r="F1397" i="127"/>
  <c r="E1398" i="127"/>
  <c r="F1398" i="127"/>
  <c r="E1399" i="127"/>
  <c r="F1399" i="127"/>
  <c r="E1400" i="127"/>
  <c r="F1400" i="127"/>
  <c r="E1401" i="127"/>
  <c r="F1401" i="127"/>
  <c r="E1402" i="127"/>
  <c r="F1402" i="127"/>
  <c r="E1403" i="127"/>
  <c r="F1403" i="127"/>
  <c r="E1404" i="127"/>
  <c r="F1404" i="127"/>
  <c r="E1405" i="127"/>
  <c r="E1406" i="127"/>
  <c r="F1406" i="127"/>
  <c r="E1407" i="127"/>
  <c r="F1407" i="127"/>
  <c r="E1408" i="127"/>
  <c r="F1408" i="127"/>
  <c r="E1409" i="127"/>
  <c r="F1409" i="127"/>
  <c r="E1410" i="127"/>
  <c r="F1410" i="127"/>
  <c r="S2530" i="127" s="1"/>
  <c r="E1411" i="127"/>
  <c r="F1411" i="127"/>
  <c r="E1412" i="127"/>
  <c r="F1412" i="127"/>
  <c r="E1413" i="127"/>
  <c r="F1413" i="127"/>
  <c r="E1414" i="127"/>
  <c r="F1414" i="127"/>
  <c r="E1415" i="127"/>
  <c r="F1415" i="127"/>
  <c r="E1416" i="127"/>
  <c r="F1416" i="127"/>
  <c r="E1417" i="127"/>
  <c r="F1417" i="127"/>
  <c r="E1418" i="127"/>
  <c r="F1418" i="127"/>
  <c r="E1419" i="127"/>
  <c r="F1419" i="127"/>
  <c r="E1420" i="127"/>
  <c r="F1420" i="127"/>
  <c r="S848" i="127" s="1"/>
  <c r="E1421" i="127"/>
  <c r="F1421" i="127"/>
  <c r="E1422" i="127"/>
  <c r="F1422" i="127"/>
  <c r="E1423" i="127"/>
  <c r="F1423" i="127"/>
  <c r="E1424" i="127"/>
  <c r="F1424" i="127"/>
  <c r="E1425" i="127"/>
  <c r="F1425" i="127"/>
  <c r="E1426" i="127"/>
  <c r="F1426" i="127"/>
  <c r="E1427" i="127"/>
  <c r="F1427" i="127"/>
  <c r="E1428" i="127"/>
  <c r="F1428" i="127"/>
  <c r="E1429" i="127"/>
  <c r="F1429" i="127"/>
  <c r="E1430" i="127"/>
  <c r="F1430" i="127"/>
  <c r="E1431" i="127"/>
  <c r="F1431" i="127"/>
  <c r="E1432" i="127"/>
  <c r="F1432" i="127"/>
  <c r="E1433" i="127"/>
  <c r="F1433" i="127"/>
  <c r="E1434" i="127"/>
  <c r="F1434" i="127"/>
  <c r="E1435" i="127"/>
  <c r="F1435" i="127"/>
  <c r="E1436" i="127"/>
  <c r="F1436" i="127"/>
  <c r="E1437" i="127"/>
  <c r="F1437" i="127"/>
  <c r="E1438" i="127"/>
  <c r="F1438" i="127"/>
  <c r="E1439" i="127"/>
  <c r="F1439" i="127"/>
  <c r="E1440" i="127"/>
  <c r="F1440" i="127"/>
  <c r="E1441" i="127"/>
  <c r="F1441" i="127"/>
  <c r="E1442" i="127"/>
  <c r="F1442" i="127"/>
  <c r="E1443" i="127"/>
  <c r="F1443" i="127"/>
  <c r="E1444" i="127"/>
  <c r="F1444" i="127"/>
  <c r="E1445" i="127"/>
  <c r="E1446" i="127"/>
  <c r="F1446" i="127"/>
  <c r="E1447" i="127"/>
  <c r="F1447" i="127"/>
  <c r="E1448" i="127"/>
  <c r="F1448" i="127"/>
  <c r="E1449" i="127"/>
  <c r="F1449" i="127"/>
  <c r="E1450" i="127"/>
  <c r="F1450" i="127"/>
  <c r="E1451" i="127"/>
  <c r="F1451" i="127"/>
  <c r="E1452" i="127"/>
  <c r="F1452" i="127"/>
  <c r="E1453" i="127"/>
  <c r="F1453" i="127"/>
  <c r="E1454" i="127"/>
  <c r="F1454" i="127"/>
  <c r="E1455" i="127"/>
  <c r="F1455" i="127"/>
  <c r="E1456" i="127"/>
  <c r="F1456" i="127"/>
  <c r="E1457" i="127"/>
  <c r="F1457" i="127"/>
  <c r="E1458" i="127"/>
  <c r="F1458" i="127"/>
  <c r="E1459" i="127"/>
  <c r="F1459" i="127"/>
  <c r="E1460" i="127"/>
  <c r="F1460" i="127"/>
  <c r="E1461" i="127"/>
  <c r="F1461" i="127"/>
  <c r="E1462" i="127"/>
  <c r="F1462" i="127"/>
  <c r="E1463" i="127"/>
  <c r="F1463" i="127"/>
  <c r="E1464" i="127"/>
  <c r="F1464" i="127"/>
  <c r="E1465" i="127"/>
  <c r="F1465" i="127"/>
  <c r="E1466" i="127"/>
  <c r="F1466" i="127"/>
  <c r="E1467" i="127"/>
  <c r="F1467" i="127"/>
  <c r="E1468" i="127"/>
  <c r="F1468" i="127"/>
  <c r="E1469" i="127"/>
  <c r="F1469" i="127"/>
  <c r="E1470" i="127"/>
  <c r="F1470" i="127"/>
  <c r="E1471" i="127"/>
  <c r="F1471" i="127"/>
  <c r="E1472" i="127"/>
  <c r="F1472" i="127"/>
  <c r="E1473" i="127"/>
  <c r="F1473" i="127"/>
  <c r="E1474" i="127"/>
  <c r="F1474" i="127"/>
  <c r="E1475" i="127"/>
  <c r="F1475" i="127"/>
  <c r="E1476" i="127"/>
  <c r="F1476" i="127"/>
  <c r="E1477" i="127"/>
  <c r="F1477" i="127"/>
  <c r="E1478" i="127"/>
  <c r="F1478" i="127"/>
  <c r="E1479" i="127"/>
  <c r="F1479" i="127"/>
  <c r="E1480" i="127"/>
  <c r="F1480" i="127"/>
  <c r="E1481" i="127"/>
  <c r="F1481" i="127"/>
  <c r="E1482" i="127"/>
  <c r="F1482" i="127"/>
  <c r="E1483" i="127"/>
  <c r="F1483" i="127"/>
  <c r="E1484" i="127"/>
  <c r="F1484" i="127"/>
  <c r="E1485" i="127"/>
  <c r="F1485" i="127"/>
  <c r="E1486" i="127"/>
  <c r="F1486" i="127"/>
  <c r="E1487" i="127"/>
  <c r="F1487" i="127"/>
  <c r="E1488" i="127"/>
  <c r="F1488" i="127"/>
  <c r="S355" i="127" s="1"/>
  <c r="T355" i="127" s="1"/>
  <c r="E1489" i="127"/>
  <c r="F1489" i="127"/>
  <c r="E1490" i="127"/>
  <c r="F1490" i="127"/>
  <c r="E1491" i="127"/>
  <c r="F1491" i="127"/>
  <c r="E1492" i="127"/>
  <c r="F1492" i="127"/>
  <c r="E1493" i="127"/>
  <c r="F1493" i="127"/>
  <c r="E1494" i="127"/>
  <c r="F1494" i="127"/>
  <c r="E1495" i="127"/>
  <c r="F1495" i="127"/>
  <c r="E1496" i="127"/>
  <c r="F1496" i="127"/>
  <c r="E1497" i="127"/>
  <c r="F1497" i="127"/>
  <c r="E1498" i="127"/>
  <c r="F1498" i="127"/>
  <c r="E1499" i="127"/>
  <c r="F1499" i="127"/>
  <c r="E1500" i="127"/>
  <c r="F1500" i="127"/>
  <c r="E1501" i="127"/>
  <c r="F1501" i="127"/>
  <c r="E1502" i="127"/>
  <c r="F1502" i="127"/>
  <c r="E1503" i="127"/>
  <c r="F1503" i="127"/>
  <c r="E1504" i="127"/>
  <c r="F1504" i="127"/>
  <c r="E1505" i="127"/>
  <c r="F1505" i="127"/>
  <c r="E1506" i="127"/>
  <c r="F1506" i="127"/>
  <c r="E1507" i="127"/>
  <c r="F1507" i="127"/>
  <c r="E1508" i="127"/>
  <c r="F1508" i="127"/>
  <c r="E1509" i="127"/>
  <c r="F1509" i="127"/>
  <c r="T2051" i="127" s="1"/>
  <c r="E1510" i="127"/>
  <c r="F1510" i="127"/>
  <c r="E1511" i="127"/>
  <c r="F1511" i="127"/>
  <c r="E1512" i="127"/>
  <c r="F1512" i="127"/>
  <c r="E1513" i="127"/>
  <c r="F1513" i="127"/>
  <c r="E1514" i="127"/>
  <c r="F1514" i="127"/>
  <c r="E1515" i="127"/>
  <c r="F1515" i="127"/>
  <c r="E1516" i="127"/>
  <c r="F1516" i="127"/>
  <c r="E1517" i="127"/>
  <c r="F1517" i="127"/>
  <c r="E1518" i="127"/>
  <c r="F1518" i="127"/>
  <c r="E1519" i="127"/>
  <c r="E1520" i="127"/>
  <c r="F1520" i="127"/>
  <c r="E1521" i="127"/>
  <c r="F1521" i="127"/>
  <c r="E1522" i="127"/>
  <c r="F1522" i="127"/>
  <c r="E1523" i="127"/>
  <c r="F1523" i="127"/>
  <c r="E1524" i="127"/>
  <c r="F1524" i="127"/>
  <c r="E1525" i="127"/>
  <c r="F1525" i="127"/>
  <c r="E1526" i="127"/>
  <c r="F1526" i="127"/>
  <c r="E1527" i="127"/>
  <c r="F1527" i="127"/>
  <c r="E1528" i="127"/>
  <c r="F1528" i="127"/>
  <c r="E1529" i="127"/>
  <c r="F1529" i="127"/>
  <c r="E1530" i="127"/>
  <c r="F1530" i="127"/>
  <c r="E1531" i="127"/>
  <c r="F1531" i="127"/>
  <c r="E1532" i="127"/>
  <c r="F1532" i="127"/>
  <c r="E1533" i="127"/>
  <c r="F1533" i="127"/>
  <c r="E1534" i="127"/>
  <c r="F1534" i="127"/>
  <c r="E1535" i="127"/>
  <c r="F1535" i="127"/>
  <c r="E1536" i="127"/>
  <c r="F1536" i="127"/>
  <c r="E1537" i="127"/>
  <c r="F1537" i="127"/>
  <c r="E1538" i="127"/>
  <c r="F1538" i="127"/>
  <c r="E1539" i="127"/>
  <c r="F1539" i="127"/>
  <c r="E1540" i="127"/>
  <c r="F1540" i="127"/>
  <c r="E1541" i="127"/>
  <c r="F1541" i="127"/>
  <c r="E1542" i="127"/>
  <c r="E1543" i="127"/>
  <c r="F1543" i="127"/>
  <c r="E1544" i="127"/>
  <c r="F1544" i="127"/>
  <c r="E1545" i="127"/>
  <c r="F1545" i="127"/>
  <c r="E1546" i="127"/>
  <c r="F1546" i="127"/>
  <c r="E1547" i="127"/>
  <c r="F1547" i="127"/>
  <c r="E1548" i="127"/>
  <c r="F1548" i="127"/>
  <c r="E1549" i="127"/>
  <c r="F1549" i="127"/>
  <c r="E1550" i="127"/>
  <c r="F1550" i="127"/>
  <c r="E1551" i="127"/>
  <c r="F1551" i="127"/>
  <c r="E1552" i="127"/>
  <c r="F1552" i="127"/>
  <c r="E1553" i="127"/>
  <c r="F1553" i="127"/>
  <c r="E1554" i="127"/>
  <c r="F1554" i="127"/>
  <c r="E1555" i="127"/>
  <c r="F1555" i="127"/>
  <c r="E1556" i="127"/>
  <c r="F1556" i="127"/>
  <c r="E1557" i="127"/>
  <c r="F1557" i="127"/>
  <c r="E1558" i="127"/>
  <c r="F1558" i="127"/>
  <c r="E1559" i="127"/>
  <c r="F1559" i="127"/>
  <c r="E1560" i="127"/>
  <c r="F1560" i="127"/>
  <c r="E1561" i="127"/>
  <c r="F1561" i="127"/>
  <c r="E1562" i="127"/>
  <c r="F1562" i="127"/>
  <c r="E1563" i="127"/>
  <c r="F1563" i="127"/>
  <c r="S711" i="127" s="1"/>
  <c r="T711" i="127" s="1"/>
  <c r="E1564" i="127"/>
  <c r="F1564" i="127"/>
  <c r="S912" i="127" s="1"/>
  <c r="T912" i="127" s="1"/>
  <c r="E1565" i="127"/>
  <c r="F1565" i="127"/>
  <c r="E1566" i="127"/>
  <c r="F1566" i="127"/>
  <c r="S1559" i="127" s="1"/>
  <c r="T1559" i="127" s="1"/>
  <c r="E1567" i="127"/>
  <c r="F1567" i="127"/>
  <c r="E1568" i="127"/>
  <c r="F1568" i="127"/>
  <c r="E1569" i="127"/>
  <c r="F1569" i="127"/>
  <c r="E1570" i="127"/>
  <c r="F1570" i="127"/>
  <c r="E1571" i="127"/>
  <c r="F1571" i="127"/>
  <c r="E1572" i="127"/>
  <c r="F1572" i="127"/>
  <c r="E1573" i="127"/>
  <c r="F1573" i="127"/>
  <c r="E1574" i="127"/>
  <c r="F1574" i="127"/>
  <c r="E1575" i="127"/>
  <c r="F1575" i="127"/>
  <c r="E1576" i="127"/>
  <c r="F1576" i="127"/>
  <c r="E1577" i="127"/>
  <c r="F1577" i="127"/>
  <c r="E1578" i="127"/>
  <c r="F1578" i="127"/>
  <c r="E1579" i="127"/>
  <c r="F1579" i="127"/>
  <c r="E1580" i="127"/>
  <c r="F1580" i="127"/>
  <c r="E1581" i="127"/>
  <c r="F1581" i="127"/>
  <c r="E1582" i="127"/>
  <c r="F1582" i="127"/>
  <c r="E1583" i="127"/>
  <c r="F1583" i="127"/>
  <c r="E1584" i="127"/>
  <c r="F1584" i="127"/>
  <c r="E1585" i="127"/>
  <c r="F1585" i="127"/>
  <c r="E1586" i="127"/>
  <c r="F1586" i="127"/>
  <c r="E1587" i="127"/>
  <c r="F1587" i="127"/>
  <c r="E1588" i="127"/>
  <c r="F1588" i="127"/>
  <c r="E1589" i="127"/>
  <c r="F1589" i="127"/>
  <c r="E1590" i="127"/>
  <c r="F1590" i="127"/>
  <c r="E1591" i="127"/>
  <c r="F1591" i="127"/>
  <c r="E1592" i="127"/>
  <c r="F1592" i="127"/>
  <c r="E1593" i="127"/>
  <c r="F1593" i="127"/>
  <c r="E1594" i="127"/>
  <c r="F1594" i="127"/>
  <c r="E1595" i="127"/>
  <c r="F1595" i="127"/>
  <c r="E1596" i="127"/>
  <c r="F1596" i="127"/>
  <c r="E1597" i="127"/>
  <c r="F1597" i="127"/>
  <c r="E1598" i="127"/>
  <c r="F1598" i="127"/>
  <c r="E1599" i="127"/>
  <c r="F1599" i="127"/>
  <c r="E1600" i="127"/>
  <c r="F1600" i="127"/>
  <c r="E1601" i="127"/>
  <c r="F1601" i="127"/>
  <c r="E1602" i="127"/>
  <c r="F1602" i="127"/>
  <c r="E1603" i="127"/>
  <c r="F1603" i="127"/>
  <c r="E1604" i="127"/>
  <c r="F1604" i="127"/>
  <c r="E1605" i="127"/>
  <c r="E1606" i="127"/>
  <c r="F1606" i="127"/>
  <c r="E1607" i="127"/>
  <c r="F1607" i="127"/>
  <c r="E1608" i="127"/>
  <c r="F1608" i="127"/>
  <c r="E1609" i="127"/>
  <c r="F1609" i="127"/>
  <c r="E1610" i="127"/>
  <c r="F1610" i="127"/>
  <c r="E1611" i="127"/>
  <c r="F1611" i="127"/>
  <c r="E1612" i="127"/>
  <c r="F1612" i="127"/>
  <c r="E1613" i="127"/>
  <c r="F1613" i="127"/>
  <c r="E1614" i="127"/>
  <c r="F1614" i="127"/>
  <c r="E1615" i="127"/>
  <c r="F1615" i="127"/>
  <c r="E1616" i="127"/>
  <c r="F1616" i="127"/>
  <c r="E1617" i="127"/>
  <c r="F1617" i="127"/>
  <c r="E1618" i="127"/>
  <c r="F1618" i="127"/>
  <c r="E1619" i="127"/>
  <c r="F1619" i="127"/>
  <c r="E1620" i="127"/>
  <c r="F1620" i="127"/>
  <c r="S1101" i="127" s="1"/>
  <c r="E1621" i="127"/>
  <c r="F1621" i="127"/>
  <c r="E1622" i="127"/>
  <c r="F1622" i="127"/>
  <c r="E1623" i="127"/>
  <c r="F1623" i="127"/>
  <c r="E1624" i="127"/>
  <c r="F1624" i="127"/>
  <c r="E1625" i="127"/>
  <c r="F1625" i="127"/>
  <c r="E1626" i="127"/>
  <c r="F1626" i="127"/>
  <c r="S486" i="127" s="1"/>
  <c r="T486" i="127" s="1"/>
  <c r="E1627" i="127"/>
  <c r="F1627" i="127"/>
  <c r="E1628" i="127"/>
  <c r="F1628" i="127"/>
  <c r="E1629" i="127"/>
  <c r="F1629" i="127"/>
  <c r="E1630" i="127"/>
  <c r="F1630" i="127"/>
  <c r="E1631" i="127"/>
  <c r="F1631" i="127"/>
  <c r="E1632" i="127"/>
  <c r="F1632" i="127"/>
  <c r="E1633" i="127"/>
  <c r="F1633" i="127"/>
  <c r="E1634" i="127"/>
  <c r="F1634" i="127"/>
  <c r="E1635" i="127"/>
  <c r="F1635" i="127"/>
  <c r="E1636" i="127"/>
  <c r="F1636" i="127"/>
  <c r="E1637" i="127"/>
  <c r="F1637" i="127"/>
  <c r="E1638" i="127"/>
  <c r="F1638" i="127"/>
  <c r="E1639" i="127"/>
  <c r="F1639" i="127"/>
  <c r="E1640" i="127"/>
  <c r="F1640" i="127"/>
  <c r="E1641" i="127"/>
  <c r="F1641" i="127"/>
  <c r="E1642" i="127"/>
  <c r="F1642" i="127"/>
  <c r="E1643" i="127"/>
  <c r="F1643" i="127"/>
  <c r="E1644" i="127"/>
  <c r="F1644" i="127"/>
  <c r="E1645" i="127"/>
  <c r="F1645" i="127"/>
  <c r="E1646" i="127"/>
  <c r="F1646" i="127"/>
  <c r="E1647" i="127"/>
  <c r="F1647" i="127"/>
  <c r="E1648" i="127"/>
  <c r="F1648" i="127"/>
  <c r="E1649" i="127"/>
  <c r="F1649" i="127"/>
  <c r="E1650" i="127"/>
  <c r="F1650" i="127"/>
  <c r="E1651" i="127"/>
  <c r="F1651" i="127"/>
  <c r="E1652" i="127"/>
  <c r="F1652" i="127"/>
  <c r="E1653" i="127"/>
  <c r="F1653" i="127"/>
  <c r="E1654" i="127"/>
  <c r="F1654" i="127"/>
  <c r="E1655" i="127"/>
  <c r="F1655" i="127"/>
  <c r="E1656" i="127"/>
  <c r="F1656" i="127"/>
  <c r="E1657" i="127"/>
  <c r="F1657" i="127"/>
  <c r="E1658" i="127"/>
  <c r="F1658" i="127"/>
  <c r="E1659" i="127"/>
  <c r="F1659" i="127"/>
  <c r="E1660" i="127"/>
  <c r="F1660" i="127"/>
  <c r="E1661" i="127"/>
  <c r="F1661" i="127"/>
  <c r="E1662" i="127"/>
  <c r="F1662" i="127"/>
  <c r="E1663" i="127"/>
  <c r="F1663" i="127"/>
  <c r="E1664" i="127"/>
  <c r="F1664" i="127"/>
  <c r="E1665" i="127"/>
  <c r="F1665" i="127"/>
  <c r="E1666" i="127"/>
  <c r="F1666" i="127"/>
  <c r="R1666" i="127" s="1"/>
  <c r="E1667" i="127"/>
  <c r="F1667" i="127"/>
  <c r="E1668" i="127"/>
  <c r="F1668" i="127"/>
  <c r="E1669" i="127"/>
  <c r="F1669" i="127"/>
  <c r="E1670" i="127"/>
  <c r="F1670" i="127"/>
  <c r="E1673" i="127"/>
  <c r="F1673" i="127"/>
  <c r="E1674" i="127"/>
  <c r="F1674" i="127"/>
  <c r="S2675" i="127" s="1"/>
  <c r="E1675" i="127"/>
  <c r="F1675" i="127"/>
  <c r="E1676" i="127"/>
  <c r="F1676" i="127"/>
  <c r="E1677" i="127"/>
  <c r="F1677" i="127"/>
  <c r="E1678" i="127"/>
  <c r="F1678" i="127"/>
  <c r="E1679" i="127"/>
  <c r="F1679" i="127"/>
  <c r="E1680" i="127"/>
  <c r="F1680" i="127"/>
  <c r="E1681" i="127"/>
  <c r="F1681" i="127"/>
  <c r="E1682" i="127"/>
  <c r="F1682" i="127"/>
  <c r="E1683" i="127"/>
  <c r="F1683" i="127"/>
  <c r="E1684" i="127"/>
  <c r="F1684" i="127"/>
  <c r="E1685" i="127"/>
  <c r="F1685" i="127"/>
  <c r="E1686" i="127"/>
  <c r="F1686" i="127"/>
  <c r="E1687" i="127"/>
  <c r="F1687" i="127"/>
  <c r="E1688" i="127"/>
  <c r="F1688" i="127"/>
  <c r="E1689" i="127"/>
  <c r="F1689" i="127"/>
  <c r="E1690" i="127"/>
  <c r="F1690" i="127"/>
  <c r="E1691" i="127"/>
  <c r="F1691" i="127"/>
  <c r="E1692" i="127"/>
  <c r="F1692" i="127"/>
  <c r="E1693" i="127"/>
  <c r="F1693" i="127"/>
  <c r="E1694" i="127"/>
  <c r="F1694" i="127"/>
  <c r="E1695" i="127"/>
  <c r="F1695" i="127"/>
  <c r="E1696" i="127"/>
  <c r="F1696" i="127"/>
  <c r="E1697" i="127"/>
  <c r="F1697" i="127"/>
  <c r="E1698" i="127"/>
  <c r="F1698" i="127"/>
  <c r="E1699" i="127"/>
  <c r="F1699" i="127"/>
  <c r="E1700" i="127"/>
  <c r="F1700" i="127"/>
  <c r="E1701" i="127"/>
  <c r="F1701" i="127"/>
  <c r="E1702" i="127"/>
  <c r="F1702" i="127"/>
  <c r="E1703" i="127"/>
  <c r="F1703" i="127"/>
  <c r="E1704" i="127"/>
  <c r="F1704" i="127"/>
  <c r="E1705" i="127"/>
  <c r="F1705" i="127"/>
  <c r="E1706" i="127"/>
  <c r="F1706" i="127"/>
  <c r="E1707" i="127"/>
  <c r="E1708" i="127"/>
  <c r="F1708" i="127"/>
  <c r="E1709" i="127"/>
  <c r="F1709" i="127"/>
  <c r="E1710" i="127"/>
  <c r="F1710" i="127"/>
  <c r="S911" i="127" s="1"/>
  <c r="T911" i="127" s="1"/>
  <c r="E1711" i="127"/>
  <c r="F1711" i="127"/>
  <c r="E1712" i="127"/>
  <c r="F1712" i="127"/>
  <c r="E1713" i="127"/>
  <c r="F1713" i="127"/>
  <c r="E1714" i="127"/>
  <c r="F1714" i="127"/>
  <c r="E1715" i="127"/>
  <c r="F1715" i="127"/>
  <c r="E1716" i="127"/>
  <c r="F1716" i="127"/>
  <c r="E1717" i="127"/>
  <c r="F1717" i="127"/>
  <c r="E1718" i="127"/>
  <c r="F1718" i="127"/>
  <c r="E1719" i="127"/>
  <c r="F1719" i="127"/>
  <c r="E1720" i="127"/>
  <c r="F1720" i="127"/>
  <c r="E1721" i="127"/>
  <c r="F1721" i="127"/>
  <c r="E1722" i="127"/>
  <c r="F1722" i="127"/>
  <c r="E1723" i="127"/>
  <c r="F1723" i="127"/>
  <c r="E1724" i="127"/>
  <c r="F1724" i="127"/>
  <c r="E1725" i="127"/>
  <c r="F1725" i="127"/>
  <c r="E1726" i="127"/>
  <c r="F1726" i="127"/>
  <c r="E1727" i="127"/>
  <c r="F1727" i="127"/>
  <c r="E1728" i="127"/>
  <c r="F1728" i="127"/>
  <c r="E1729" i="127"/>
  <c r="F1729" i="127"/>
  <c r="E1730" i="127"/>
  <c r="E1731" i="127"/>
  <c r="F1731" i="127"/>
  <c r="S598" i="127" s="1"/>
  <c r="E1732" i="127"/>
  <c r="E1733" i="127"/>
  <c r="F1733" i="127"/>
  <c r="E1734" i="127"/>
  <c r="F1734" i="127"/>
  <c r="E1735" i="127"/>
  <c r="F1735" i="127"/>
  <c r="E1736" i="127"/>
  <c r="F1736" i="127"/>
  <c r="E1737" i="127"/>
  <c r="F1737" i="127"/>
  <c r="E1738" i="127"/>
  <c r="F1738" i="127"/>
  <c r="E1739" i="127"/>
  <c r="F1739" i="127"/>
  <c r="E1740" i="127"/>
  <c r="F1740" i="127"/>
  <c r="E1741" i="127"/>
  <c r="F1741" i="127"/>
  <c r="E1742" i="127"/>
  <c r="F1742" i="127"/>
  <c r="E1743" i="127"/>
  <c r="F1743" i="127"/>
  <c r="E1744" i="127"/>
  <c r="F1744" i="127"/>
  <c r="E1745" i="127"/>
  <c r="F1745" i="127"/>
  <c r="E1746" i="127"/>
  <c r="F1746" i="127"/>
  <c r="E1747" i="127"/>
  <c r="F1747" i="127"/>
  <c r="E1748" i="127"/>
  <c r="F1748" i="127"/>
  <c r="E1749" i="127"/>
  <c r="F1749" i="127"/>
  <c r="E1750" i="127"/>
  <c r="F1750" i="127"/>
  <c r="S2751" i="127" s="1"/>
  <c r="E1751" i="127"/>
  <c r="F1751" i="127"/>
  <c r="E1752" i="127"/>
  <c r="F1752" i="127"/>
  <c r="E1753" i="127"/>
  <c r="F1753" i="127"/>
  <c r="E1754" i="127"/>
  <c r="F1754" i="127"/>
  <c r="E1755" i="127"/>
  <c r="F1755" i="127"/>
  <c r="E1756" i="127"/>
  <c r="F1756" i="127"/>
  <c r="E1757" i="127"/>
  <c r="F1757" i="127"/>
  <c r="E1758" i="127"/>
  <c r="F1758" i="127"/>
  <c r="E1759" i="127"/>
  <c r="F1759" i="127"/>
  <c r="E1760" i="127"/>
  <c r="F1760" i="127"/>
  <c r="E1761" i="127"/>
  <c r="F1761" i="127"/>
  <c r="E1762" i="127"/>
  <c r="F1762" i="127"/>
  <c r="E1763" i="127"/>
  <c r="F1763" i="127"/>
  <c r="E1764" i="127"/>
  <c r="F1764" i="127"/>
  <c r="E1765" i="127"/>
  <c r="F1765" i="127"/>
  <c r="E1766" i="127"/>
  <c r="F1766" i="127"/>
  <c r="E1767" i="127"/>
  <c r="F1767" i="127"/>
  <c r="E1768" i="127"/>
  <c r="F1768" i="127"/>
  <c r="E1769" i="127"/>
  <c r="F1769" i="127"/>
  <c r="E1770" i="127"/>
  <c r="F1770" i="127"/>
  <c r="E1771" i="127"/>
  <c r="F1771" i="127"/>
  <c r="E1772" i="127"/>
  <c r="F1772" i="127"/>
  <c r="E1773" i="127"/>
  <c r="F1773" i="127"/>
  <c r="E1774" i="127"/>
  <c r="F1774" i="127"/>
  <c r="E1775" i="127"/>
  <c r="F1775" i="127"/>
  <c r="E1776" i="127"/>
  <c r="F1776" i="127"/>
  <c r="S1543" i="127" s="1"/>
  <c r="E1777" i="127"/>
  <c r="F1777" i="127"/>
  <c r="S1544" i="127" s="1"/>
  <c r="E1778" i="127"/>
  <c r="F1778" i="127"/>
  <c r="E1779" i="127"/>
  <c r="F1779" i="127"/>
  <c r="E1780" i="127"/>
  <c r="F1780" i="127"/>
  <c r="E1781" i="127"/>
  <c r="F1781" i="127"/>
  <c r="E1782" i="127"/>
  <c r="F1782" i="127"/>
  <c r="E1783" i="127"/>
  <c r="F1783" i="127"/>
  <c r="E1784" i="127"/>
  <c r="F1784" i="127"/>
  <c r="E1785" i="127"/>
  <c r="F1785" i="127"/>
  <c r="E1786" i="127"/>
  <c r="F1786" i="127"/>
  <c r="E1787" i="127"/>
  <c r="F1787" i="127"/>
  <c r="E1788" i="127"/>
  <c r="F1788" i="127"/>
  <c r="E1789" i="127"/>
  <c r="F1789" i="127"/>
  <c r="E1790" i="127"/>
  <c r="F1790" i="127"/>
  <c r="E1791" i="127"/>
  <c r="F1791" i="127"/>
  <c r="E1792" i="127"/>
  <c r="F1792" i="127"/>
  <c r="E1793" i="127"/>
  <c r="F1793" i="127"/>
  <c r="E1794" i="127"/>
  <c r="F1794" i="127"/>
  <c r="E1795" i="127"/>
  <c r="F1795" i="127"/>
  <c r="E1796" i="127"/>
  <c r="F1796" i="127"/>
  <c r="E1797" i="127"/>
  <c r="F1797" i="127"/>
  <c r="E1798" i="127"/>
  <c r="F1798" i="127"/>
  <c r="E1799" i="127"/>
  <c r="F1799" i="127"/>
  <c r="E1800" i="127"/>
  <c r="F1800" i="127"/>
  <c r="E1801" i="127"/>
  <c r="F1801" i="127"/>
  <c r="E1802" i="127"/>
  <c r="F1802" i="127"/>
  <c r="E1803" i="127"/>
  <c r="E1804" i="127"/>
  <c r="F1804" i="127"/>
  <c r="E1805" i="127"/>
  <c r="F1805" i="127"/>
  <c r="E1806" i="127"/>
  <c r="F1806" i="127"/>
  <c r="E1807" i="127"/>
  <c r="F1807" i="127"/>
  <c r="E1808" i="127"/>
  <c r="F1808" i="127"/>
  <c r="E1809" i="127"/>
  <c r="F1809" i="127"/>
  <c r="E1810" i="127"/>
  <c r="F1810" i="127"/>
  <c r="E1811" i="127"/>
  <c r="F1811" i="127"/>
  <c r="E1812" i="127"/>
  <c r="F1812" i="127"/>
  <c r="E1813" i="127"/>
  <c r="F1813" i="127"/>
  <c r="E1814" i="127"/>
  <c r="F1814" i="127"/>
  <c r="E1815" i="127"/>
  <c r="F1815" i="127"/>
  <c r="E1816" i="127"/>
  <c r="F1816" i="127"/>
  <c r="E1817" i="127"/>
  <c r="F1817" i="127"/>
  <c r="E1818" i="127"/>
  <c r="F1818" i="127"/>
  <c r="E1819" i="127"/>
  <c r="F1819" i="127"/>
  <c r="E1820" i="127"/>
  <c r="F1820" i="127"/>
  <c r="E1821" i="127"/>
  <c r="F1821" i="127"/>
  <c r="E1822" i="127"/>
  <c r="F1822" i="127"/>
  <c r="E1823" i="127"/>
  <c r="F1823" i="127"/>
  <c r="E1824" i="127"/>
  <c r="F1824" i="127"/>
  <c r="E1825" i="127"/>
  <c r="F1825" i="127"/>
  <c r="E1826" i="127"/>
  <c r="F1826" i="127"/>
  <c r="E1827" i="127"/>
  <c r="F1827" i="127"/>
  <c r="E1828" i="127"/>
  <c r="F1828" i="127"/>
  <c r="E1829" i="127"/>
  <c r="F1829" i="127"/>
  <c r="E1830" i="127"/>
  <c r="F1830" i="127"/>
  <c r="E1831" i="127"/>
  <c r="F1831" i="127"/>
  <c r="E1832" i="127"/>
  <c r="F1832" i="127"/>
  <c r="E1833" i="127"/>
  <c r="F1833" i="127"/>
  <c r="E1834" i="127"/>
  <c r="F1834" i="127"/>
  <c r="E1835" i="127"/>
  <c r="F1835" i="127"/>
  <c r="E1836" i="127"/>
  <c r="F1836" i="127"/>
  <c r="E1837" i="127"/>
  <c r="F1837" i="127"/>
  <c r="E1838" i="127"/>
  <c r="F1838" i="127"/>
  <c r="E1839" i="127"/>
  <c r="F1839" i="127"/>
  <c r="E1840" i="127"/>
  <c r="F1840" i="127"/>
  <c r="E1841" i="127"/>
  <c r="F1841" i="127"/>
  <c r="E1842" i="127"/>
  <c r="F1842" i="127"/>
  <c r="E1843" i="127"/>
  <c r="F1843" i="127"/>
  <c r="E1844" i="127"/>
  <c r="F1844" i="127"/>
  <c r="S3216" i="127" s="1"/>
  <c r="T3216" i="127" s="1"/>
  <c r="E1845" i="127"/>
  <c r="F1845" i="127"/>
  <c r="E1846" i="127"/>
  <c r="F1846" i="127"/>
  <c r="E1847" i="127"/>
  <c r="F1847" i="127"/>
  <c r="E1848" i="127"/>
  <c r="F1848" i="127"/>
  <c r="E1849" i="127"/>
  <c r="F1849" i="127"/>
  <c r="E1850" i="127"/>
  <c r="F1850" i="127"/>
  <c r="E1851" i="127"/>
  <c r="F1851" i="127"/>
  <c r="E1852" i="127"/>
  <c r="F1852" i="127"/>
  <c r="E1853" i="127"/>
  <c r="F1853" i="127"/>
  <c r="E1854" i="127"/>
  <c r="F1854" i="127"/>
  <c r="E1855" i="127"/>
  <c r="F1855" i="127"/>
  <c r="E1856" i="127"/>
  <c r="F1856" i="127"/>
  <c r="E1857" i="127"/>
  <c r="F1857" i="127"/>
  <c r="E1858" i="127"/>
  <c r="F1858" i="127"/>
  <c r="E1859" i="127"/>
  <c r="F1859" i="127"/>
  <c r="E1860" i="127"/>
  <c r="F1860" i="127"/>
  <c r="E1861" i="127"/>
  <c r="F1861" i="127"/>
  <c r="E1862" i="127"/>
  <c r="F1862" i="127"/>
  <c r="E1863" i="127"/>
  <c r="F1863" i="127"/>
  <c r="E1864" i="127"/>
  <c r="F1864" i="127"/>
  <c r="E1865" i="127"/>
  <c r="F1865" i="127"/>
  <c r="E1866" i="127"/>
  <c r="F1866" i="127"/>
  <c r="E1867" i="127"/>
  <c r="F1867" i="127"/>
  <c r="S1348" i="127" s="1"/>
  <c r="E1868" i="127"/>
  <c r="F1868" i="127"/>
  <c r="E1869" i="127"/>
  <c r="F1869" i="127"/>
  <c r="E1870" i="127"/>
  <c r="F1870" i="127"/>
  <c r="E1871" i="127"/>
  <c r="F1871" i="127"/>
  <c r="E1872" i="127"/>
  <c r="F1872" i="127"/>
  <c r="E1873" i="127"/>
  <c r="F1873" i="127"/>
  <c r="E1874" i="127"/>
  <c r="F1874" i="127"/>
  <c r="E1875" i="127"/>
  <c r="F1875" i="127"/>
  <c r="E1876" i="127"/>
  <c r="F1876" i="127"/>
  <c r="E1877" i="127"/>
  <c r="F1877" i="127"/>
  <c r="E1878" i="127"/>
  <c r="F1878" i="127"/>
  <c r="E1879" i="127"/>
  <c r="F1879" i="127"/>
  <c r="E1880" i="127"/>
  <c r="F1880" i="127"/>
  <c r="E1881" i="127"/>
  <c r="F1881" i="127"/>
  <c r="E1882" i="127"/>
  <c r="F1882" i="127"/>
  <c r="E1883" i="127"/>
  <c r="F1883" i="127"/>
  <c r="E1884" i="127"/>
  <c r="F1884" i="127"/>
  <c r="E1885" i="127"/>
  <c r="F1885" i="127"/>
  <c r="E1886" i="127"/>
  <c r="F1886" i="127"/>
  <c r="E1887" i="127"/>
  <c r="F1887" i="127"/>
  <c r="E1888" i="127"/>
  <c r="F1888" i="127"/>
  <c r="E1889" i="127"/>
  <c r="F1889" i="127"/>
  <c r="E1890" i="127"/>
  <c r="F1890" i="127"/>
  <c r="E1891" i="127"/>
  <c r="F1891" i="127"/>
  <c r="E1892" i="127"/>
  <c r="F1892" i="127"/>
  <c r="E1893" i="127"/>
  <c r="F1893" i="127"/>
  <c r="E1894" i="127"/>
  <c r="F1894" i="127"/>
  <c r="E1895" i="127"/>
  <c r="F1895" i="127"/>
  <c r="E1896" i="127"/>
  <c r="F1896" i="127"/>
  <c r="E1897" i="127"/>
  <c r="F1897" i="127"/>
  <c r="E1898" i="127"/>
  <c r="F1898" i="127"/>
  <c r="E1899" i="127"/>
  <c r="F1899" i="127"/>
  <c r="E1900" i="127"/>
  <c r="F1900" i="127"/>
  <c r="E1901" i="127"/>
  <c r="F1901" i="127"/>
  <c r="E1902" i="127"/>
  <c r="F1902" i="127"/>
  <c r="E1903" i="127"/>
  <c r="F1903" i="127"/>
  <c r="E1904" i="127"/>
  <c r="F1904" i="127"/>
  <c r="E1905" i="127"/>
  <c r="F1905" i="127"/>
  <c r="E1906" i="127"/>
  <c r="F1906" i="127"/>
  <c r="E1907" i="127"/>
  <c r="F1907" i="127"/>
  <c r="E1908" i="127"/>
  <c r="F1908" i="127"/>
  <c r="E1909" i="127"/>
  <c r="F1909" i="127"/>
  <c r="E1910" i="127"/>
  <c r="F1910" i="127"/>
  <c r="E1911" i="127"/>
  <c r="F1911" i="127"/>
  <c r="E1912" i="127"/>
  <c r="F1912" i="127"/>
  <c r="E1913" i="127"/>
  <c r="F1913" i="127"/>
  <c r="E1914" i="127"/>
  <c r="F1914" i="127"/>
  <c r="E1915" i="127"/>
  <c r="F1915" i="127"/>
  <c r="E1916" i="127"/>
  <c r="F1916" i="127"/>
  <c r="E1917" i="127"/>
  <c r="F1917" i="127"/>
  <c r="E1918" i="127"/>
  <c r="F1918" i="127"/>
  <c r="E1919" i="127"/>
  <c r="F1919" i="127"/>
  <c r="E1920" i="127"/>
  <c r="F1920" i="127"/>
  <c r="E1921" i="127"/>
  <c r="F1921" i="127"/>
  <c r="E1922" i="127"/>
  <c r="F1922" i="127"/>
  <c r="E1923" i="127"/>
  <c r="F1923" i="127"/>
  <c r="E1924" i="127"/>
  <c r="F1924" i="127"/>
  <c r="E1925" i="127"/>
  <c r="F1925" i="127"/>
  <c r="E1926" i="127"/>
  <c r="F1926" i="127"/>
  <c r="E1927" i="127"/>
  <c r="F1927" i="127"/>
  <c r="E1928" i="127"/>
  <c r="F1928" i="127"/>
  <c r="E1929" i="127"/>
  <c r="F1929" i="127"/>
  <c r="E1930" i="127"/>
  <c r="F1930" i="127"/>
  <c r="E1931" i="127"/>
  <c r="F1931" i="127"/>
  <c r="E1932" i="127"/>
  <c r="F1932" i="127"/>
  <c r="E1933" i="127"/>
  <c r="F1933" i="127"/>
  <c r="E1934" i="127"/>
  <c r="F1934" i="127"/>
  <c r="E1935" i="127"/>
  <c r="F1935" i="127"/>
  <c r="E1936" i="127"/>
  <c r="F1936" i="127"/>
  <c r="E1937" i="127"/>
  <c r="F1937" i="127"/>
  <c r="E1938" i="127"/>
  <c r="F1938" i="127"/>
  <c r="E1939" i="127"/>
  <c r="F1939" i="127"/>
  <c r="E1940" i="127"/>
  <c r="F1940" i="127"/>
  <c r="E1941" i="127"/>
  <c r="F1941" i="127"/>
  <c r="E1942" i="127"/>
  <c r="F1942" i="127"/>
  <c r="E1943" i="127"/>
  <c r="F1943" i="127"/>
  <c r="E1944" i="127"/>
  <c r="F1944" i="127"/>
  <c r="E1945" i="127"/>
  <c r="F1945" i="127"/>
  <c r="E1946" i="127"/>
  <c r="F1946" i="127"/>
  <c r="E1947" i="127"/>
  <c r="F1947" i="127"/>
  <c r="E1948" i="127"/>
  <c r="F1948" i="127"/>
  <c r="E1949" i="127"/>
  <c r="F1949" i="127"/>
  <c r="E1950" i="127"/>
  <c r="F1950" i="127"/>
  <c r="E1951" i="127"/>
  <c r="F1951" i="127"/>
  <c r="E1952" i="127"/>
  <c r="F1952" i="127"/>
  <c r="E1953" i="127"/>
  <c r="F1953" i="127"/>
  <c r="E1954" i="127"/>
  <c r="F1954" i="127"/>
  <c r="E1955" i="127"/>
  <c r="F1955" i="127"/>
  <c r="E1956" i="127"/>
  <c r="F1956" i="127"/>
  <c r="E1957" i="127"/>
  <c r="F1957" i="127"/>
  <c r="E1958" i="127"/>
  <c r="F1958" i="127"/>
  <c r="E1959" i="127"/>
  <c r="F1959" i="127"/>
  <c r="E1960" i="127"/>
  <c r="F1960" i="127"/>
  <c r="E1961" i="127"/>
  <c r="F1961" i="127"/>
  <c r="E1962" i="127"/>
  <c r="F1962" i="127"/>
  <c r="E1963" i="127"/>
  <c r="F1963" i="127"/>
  <c r="E1964" i="127"/>
  <c r="F1964" i="127"/>
  <c r="E1965" i="127"/>
  <c r="F1965" i="127"/>
  <c r="S832" i="127" s="1"/>
  <c r="E1966" i="127"/>
  <c r="F1966" i="127"/>
  <c r="E1967" i="127"/>
  <c r="F1967" i="127"/>
  <c r="E1968" i="127"/>
  <c r="F1968" i="127"/>
  <c r="E1969" i="127"/>
  <c r="F1969" i="127"/>
  <c r="E1970" i="127"/>
  <c r="F1970" i="127"/>
  <c r="E1971" i="127"/>
  <c r="F1971" i="127"/>
  <c r="E1972" i="127"/>
  <c r="F1972" i="127"/>
  <c r="E1973" i="127"/>
  <c r="F1973" i="127"/>
  <c r="E1974" i="127"/>
  <c r="F1974" i="127"/>
  <c r="E1975" i="127"/>
  <c r="F1975" i="127"/>
  <c r="E1976" i="127"/>
  <c r="F1976" i="127"/>
  <c r="E1977" i="127"/>
  <c r="F1977" i="127"/>
  <c r="S639" i="127" s="1"/>
  <c r="E1978" i="127"/>
  <c r="F1978" i="127"/>
  <c r="E1979" i="127"/>
  <c r="F1979" i="127"/>
  <c r="E1980" i="127"/>
  <c r="F1980" i="127"/>
  <c r="E1981" i="127"/>
  <c r="F1981" i="127"/>
  <c r="E1982" i="127"/>
  <c r="F1982" i="127"/>
  <c r="E1983" i="127"/>
  <c r="F1983" i="127"/>
  <c r="E1984" i="127"/>
  <c r="F1984" i="127"/>
  <c r="E1985" i="127"/>
  <c r="F1985" i="127"/>
  <c r="E1986" i="127"/>
  <c r="F1986" i="127"/>
  <c r="E1987" i="127"/>
  <c r="F1987" i="127"/>
  <c r="E1988" i="127"/>
  <c r="F1988" i="127"/>
  <c r="E1989" i="127"/>
  <c r="F1989" i="127"/>
  <c r="E1990" i="127"/>
  <c r="F1990" i="127"/>
  <c r="E1991" i="127"/>
  <c r="F1991" i="127"/>
  <c r="E1992" i="127"/>
  <c r="F1992" i="127"/>
  <c r="E1993" i="127"/>
  <c r="F1993" i="127"/>
  <c r="E1994" i="127"/>
  <c r="F1994" i="127"/>
  <c r="E1995" i="127"/>
  <c r="F1995" i="127"/>
  <c r="E1996" i="127"/>
  <c r="F1996" i="127"/>
  <c r="E1997" i="127"/>
  <c r="F1997" i="127"/>
  <c r="E1998" i="127"/>
  <c r="F1998" i="127"/>
  <c r="E1999" i="127"/>
  <c r="F1999" i="127"/>
  <c r="E2000" i="127"/>
  <c r="F2000" i="127"/>
  <c r="E2001" i="127"/>
  <c r="F2001" i="127"/>
  <c r="E2002" i="127"/>
  <c r="F2002" i="127"/>
  <c r="E2003" i="127"/>
  <c r="F2003" i="127"/>
  <c r="E2004" i="127"/>
  <c r="F2004" i="127"/>
  <c r="E2005" i="127"/>
  <c r="F2005" i="127"/>
  <c r="E2006" i="127"/>
  <c r="F2006" i="127"/>
  <c r="E2007" i="127"/>
  <c r="F2007" i="127"/>
  <c r="E2008" i="127"/>
  <c r="F2008" i="127"/>
  <c r="E2009" i="127"/>
  <c r="F2009" i="127"/>
  <c r="E2010" i="127"/>
  <c r="F2010" i="127"/>
  <c r="E2011" i="127"/>
  <c r="F2011" i="127"/>
  <c r="E2012" i="127"/>
  <c r="F2012" i="127"/>
  <c r="E2013" i="127"/>
  <c r="F2013" i="127"/>
  <c r="E2014" i="127"/>
  <c r="F2014" i="127"/>
  <c r="E2015" i="127"/>
  <c r="F2015" i="127"/>
  <c r="E2016" i="127"/>
  <c r="F2016" i="127"/>
  <c r="E2017" i="127"/>
  <c r="F2017" i="127"/>
  <c r="E2018" i="127"/>
  <c r="F2018" i="127"/>
  <c r="E2019" i="127"/>
  <c r="F2019" i="127"/>
  <c r="E2020" i="127"/>
  <c r="F2020" i="127"/>
  <c r="E2021" i="127"/>
  <c r="F2021" i="127"/>
  <c r="E2022" i="127"/>
  <c r="F2022" i="127"/>
  <c r="E2023" i="127"/>
  <c r="F2023" i="127"/>
  <c r="E2024" i="127"/>
  <c r="F2024" i="127"/>
  <c r="E2025" i="127"/>
  <c r="F2025" i="127"/>
  <c r="E2026" i="127"/>
  <c r="F2026" i="127"/>
  <c r="E2027" i="127"/>
  <c r="F2027" i="127"/>
  <c r="E2028" i="127"/>
  <c r="F2028" i="127"/>
  <c r="E2029" i="127"/>
  <c r="F2029" i="127"/>
  <c r="E2030" i="127"/>
  <c r="F2030" i="127"/>
  <c r="E2031" i="127"/>
  <c r="F2031" i="127"/>
  <c r="E2032" i="127"/>
  <c r="F2032" i="127"/>
  <c r="E2033" i="127"/>
  <c r="F2033" i="127"/>
  <c r="E2034" i="127"/>
  <c r="F2034" i="127"/>
  <c r="E2035" i="127"/>
  <c r="F2035" i="127"/>
  <c r="E2036" i="127"/>
  <c r="F2036" i="127"/>
  <c r="E2037" i="127"/>
  <c r="F2037" i="127"/>
  <c r="E2038" i="127"/>
  <c r="F2038" i="127"/>
  <c r="E2039" i="127"/>
  <c r="F2039" i="127"/>
  <c r="E2040" i="127"/>
  <c r="F2040" i="127"/>
  <c r="E2041" i="127"/>
  <c r="F2041" i="127"/>
  <c r="E2042" i="127"/>
  <c r="F2042" i="127"/>
  <c r="E2043" i="127"/>
  <c r="F2043" i="127"/>
  <c r="E2044" i="127"/>
  <c r="F2044" i="127"/>
  <c r="E2045" i="127"/>
  <c r="F2045" i="127"/>
  <c r="E2046" i="127"/>
  <c r="F2046" i="127"/>
  <c r="T1248" i="127" s="1"/>
  <c r="E2047" i="127"/>
  <c r="F2047" i="127"/>
  <c r="E2048" i="127"/>
  <c r="E2049" i="127"/>
  <c r="E2050" i="127"/>
  <c r="F2050" i="127"/>
  <c r="E2051" i="127"/>
  <c r="F2051" i="127"/>
  <c r="E2052" i="127"/>
  <c r="F2052" i="127"/>
  <c r="E2053" i="127"/>
  <c r="F2053" i="127"/>
  <c r="E2054" i="127"/>
  <c r="F2054" i="127"/>
  <c r="E2055" i="127"/>
  <c r="F2055" i="127"/>
  <c r="E2056" i="127"/>
  <c r="F2056" i="127"/>
  <c r="E2057" i="127"/>
  <c r="F2057" i="127"/>
  <c r="E2058" i="127"/>
  <c r="F2058" i="127"/>
  <c r="E2059" i="127"/>
  <c r="F2059" i="127"/>
  <c r="E2060" i="127"/>
  <c r="F2060" i="127"/>
  <c r="E2061" i="127"/>
  <c r="F2061" i="127"/>
  <c r="E2062" i="127"/>
  <c r="F2062" i="127"/>
  <c r="E2063" i="127"/>
  <c r="F2063" i="127"/>
  <c r="E2064" i="127"/>
  <c r="F2064" i="127"/>
  <c r="E2065" i="127"/>
  <c r="F2065" i="127"/>
  <c r="E2066" i="127"/>
  <c r="F2066" i="127"/>
  <c r="E2067" i="127"/>
  <c r="F2067" i="127"/>
  <c r="E2068" i="127"/>
  <c r="F2068" i="127"/>
  <c r="E2069" i="127"/>
  <c r="F2069" i="127"/>
  <c r="E2070" i="127"/>
  <c r="F2070" i="127"/>
  <c r="E2071" i="127"/>
  <c r="F2071" i="127"/>
  <c r="E2072" i="127"/>
  <c r="F2072" i="127"/>
  <c r="E2073" i="127"/>
  <c r="F2073" i="127"/>
  <c r="E2074" i="127"/>
  <c r="F2074" i="127"/>
  <c r="E2075" i="127"/>
  <c r="F2075" i="127"/>
  <c r="E2076" i="127"/>
  <c r="F2076" i="127"/>
  <c r="E2077" i="127"/>
  <c r="F2077" i="127"/>
  <c r="E2078" i="127"/>
  <c r="F2078" i="127"/>
  <c r="E2079" i="127"/>
  <c r="F2079" i="127"/>
  <c r="E2080" i="127"/>
  <c r="F2080" i="127"/>
  <c r="E2081" i="127"/>
  <c r="F2081" i="127"/>
  <c r="E2082" i="127"/>
  <c r="F2082" i="127"/>
  <c r="E2083" i="127"/>
  <c r="F2083" i="127"/>
  <c r="E2084" i="127"/>
  <c r="F2084" i="127"/>
  <c r="E2085" i="127"/>
  <c r="F2085" i="127"/>
  <c r="E2086" i="127"/>
  <c r="F2086" i="127"/>
  <c r="E2087" i="127"/>
  <c r="F2087" i="127"/>
  <c r="E2088" i="127"/>
  <c r="F2088" i="127"/>
  <c r="E2089" i="127"/>
  <c r="F2089" i="127"/>
  <c r="E2090" i="127"/>
  <c r="F2090" i="127"/>
  <c r="E2091" i="127"/>
  <c r="F2091" i="127"/>
  <c r="E2092" i="127"/>
  <c r="F2092" i="127"/>
  <c r="E2093" i="127"/>
  <c r="F2093" i="127"/>
  <c r="E2094" i="127"/>
  <c r="F2094" i="127"/>
  <c r="E2095" i="127"/>
  <c r="F2095" i="127"/>
  <c r="E2096" i="127"/>
  <c r="F2096" i="127"/>
  <c r="E2097" i="127"/>
  <c r="F2097" i="127"/>
  <c r="E2098" i="127"/>
  <c r="F2098" i="127"/>
  <c r="E2099" i="127"/>
  <c r="F2099" i="127"/>
  <c r="E2100" i="127"/>
  <c r="F2100" i="127"/>
  <c r="E2101" i="127"/>
  <c r="F2101" i="127"/>
  <c r="E2102" i="127"/>
  <c r="F2102" i="127"/>
  <c r="E2103" i="127"/>
  <c r="F2103" i="127"/>
  <c r="E2104" i="127"/>
  <c r="F2104" i="127"/>
  <c r="E2105" i="127"/>
  <c r="F2105" i="127"/>
  <c r="E2106" i="127"/>
  <c r="E2107" i="127"/>
  <c r="F2107" i="127"/>
  <c r="E2108" i="127"/>
  <c r="F2108" i="127"/>
  <c r="E2109" i="127"/>
  <c r="F2109" i="127"/>
  <c r="E2110" i="127"/>
  <c r="F2110" i="127"/>
  <c r="E2111" i="127"/>
  <c r="F2111" i="127"/>
  <c r="E2112" i="127"/>
  <c r="F2112" i="127"/>
  <c r="E2113" i="127"/>
  <c r="F2113" i="127"/>
  <c r="E2114" i="127"/>
  <c r="F2114" i="127"/>
  <c r="E2115" i="127"/>
  <c r="F2115" i="127"/>
  <c r="E2116" i="127"/>
  <c r="F2116" i="127"/>
  <c r="E2117" i="127"/>
  <c r="F2117" i="127"/>
  <c r="E2118" i="127"/>
  <c r="F2118" i="127"/>
  <c r="E2119" i="127"/>
  <c r="F2119" i="127"/>
  <c r="E2120" i="127"/>
  <c r="F2120" i="127"/>
  <c r="E2121" i="127"/>
  <c r="F2121" i="127"/>
  <c r="E2122" i="127"/>
  <c r="F2122" i="127"/>
  <c r="E2123" i="127"/>
  <c r="F2123" i="127"/>
  <c r="E2124" i="127"/>
  <c r="F2124" i="127"/>
  <c r="E2125" i="127"/>
  <c r="F2125" i="127"/>
  <c r="E2126" i="127"/>
  <c r="F2126" i="127"/>
  <c r="E2127" i="127"/>
  <c r="F2127" i="127"/>
  <c r="E2128" i="127"/>
  <c r="F2128" i="127"/>
  <c r="E2129" i="127"/>
  <c r="F2129" i="127"/>
  <c r="E2130" i="127"/>
  <c r="F2130" i="127"/>
  <c r="E2131" i="127"/>
  <c r="F2131" i="127"/>
  <c r="E2132" i="127"/>
  <c r="F2132" i="127"/>
  <c r="E2133" i="127"/>
  <c r="F2133" i="127"/>
  <c r="E2134" i="127"/>
  <c r="F2134" i="127"/>
  <c r="E2135" i="127"/>
  <c r="F2135" i="127"/>
  <c r="E2136" i="127"/>
  <c r="F2136" i="127"/>
  <c r="E2137" i="127"/>
  <c r="F2137" i="127"/>
  <c r="E2138" i="127"/>
  <c r="F2138" i="127"/>
  <c r="E2139" i="127"/>
  <c r="F2139" i="127"/>
  <c r="E2140" i="127"/>
  <c r="F2140" i="127"/>
  <c r="E2141" i="127"/>
  <c r="F2141" i="127"/>
  <c r="E2142" i="127"/>
  <c r="F2142" i="127"/>
  <c r="E2143" i="127"/>
  <c r="F2143" i="127"/>
  <c r="E2144" i="127"/>
  <c r="F2144" i="127"/>
  <c r="E2145" i="127"/>
  <c r="F2145" i="127"/>
  <c r="E2146" i="127"/>
  <c r="F2146" i="127"/>
  <c r="E2147" i="127"/>
  <c r="F2147" i="127"/>
  <c r="E2148" i="127"/>
  <c r="F2148" i="127"/>
  <c r="E2149" i="127"/>
  <c r="F2149" i="127"/>
  <c r="E2150" i="127"/>
  <c r="F2150" i="127"/>
  <c r="E2151" i="127"/>
  <c r="F2151" i="127"/>
  <c r="E2152" i="127"/>
  <c r="F2152" i="127"/>
  <c r="E2153" i="127"/>
  <c r="F2153" i="127"/>
  <c r="E2154" i="127"/>
  <c r="F2154" i="127"/>
  <c r="E2155" i="127"/>
  <c r="F2155" i="127"/>
  <c r="E2156" i="127"/>
  <c r="F2156" i="127"/>
  <c r="E2157" i="127"/>
  <c r="F2157" i="127"/>
  <c r="E2158" i="127"/>
  <c r="F2158" i="127"/>
  <c r="E2159" i="127"/>
  <c r="F2159" i="127"/>
  <c r="E2160" i="127"/>
  <c r="F2160" i="127"/>
  <c r="E2161" i="127"/>
  <c r="F2161" i="127"/>
  <c r="E2162" i="127"/>
  <c r="F2162" i="127"/>
  <c r="T1169" i="127" s="1"/>
  <c r="E2163" i="127"/>
  <c r="F2163" i="127"/>
  <c r="E2164" i="127"/>
  <c r="F2164" i="127"/>
  <c r="E2165" i="127"/>
  <c r="F2165" i="127"/>
  <c r="E2166" i="127"/>
  <c r="F2166" i="127"/>
  <c r="E2167" i="127"/>
  <c r="F2167" i="127"/>
  <c r="E2168" i="127"/>
  <c r="F2168" i="127"/>
  <c r="E2169" i="127"/>
  <c r="F2169" i="127"/>
  <c r="E2170" i="127"/>
  <c r="F2170" i="127"/>
  <c r="E2171" i="127"/>
  <c r="F2171" i="127"/>
  <c r="E2172" i="127"/>
  <c r="F2172" i="127"/>
  <c r="E2173" i="127"/>
  <c r="F2173" i="127"/>
  <c r="E2174" i="127"/>
  <c r="F2174" i="127"/>
  <c r="E2175" i="127"/>
  <c r="F2175" i="127"/>
  <c r="E2176" i="127"/>
  <c r="F2176" i="127"/>
  <c r="E2177" i="127"/>
  <c r="F2177" i="127"/>
  <c r="E2178" i="127"/>
  <c r="F2178" i="127"/>
  <c r="E2179" i="127"/>
  <c r="F2179" i="127"/>
  <c r="E2180" i="127"/>
  <c r="F2180" i="127"/>
  <c r="E2181" i="127"/>
  <c r="F2181" i="127"/>
  <c r="E2182" i="127"/>
  <c r="F2182" i="127"/>
  <c r="E2183" i="127"/>
  <c r="F2183" i="127"/>
  <c r="E2184" i="127"/>
  <c r="F2184" i="127"/>
  <c r="E2185" i="127"/>
  <c r="F2185" i="127"/>
  <c r="E2186" i="127"/>
  <c r="F2186" i="127"/>
  <c r="E2187" i="127"/>
  <c r="F2187" i="127"/>
  <c r="E2188" i="127"/>
  <c r="F2188" i="127"/>
  <c r="E2189" i="127"/>
  <c r="F2189" i="127"/>
  <c r="E2190" i="127"/>
  <c r="F2190" i="127"/>
  <c r="E2191" i="127"/>
  <c r="F2191" i="127"/>
  <c r="E2192" i="127"/>
  <c r="F2192" i="127"/>
  <c r="E2193" i="127"/>
  <c r="F2193" i="127"/>
  <c r="E2194" i="127"/>
  <c r="F2194" i="127"/>
  <c r="E2195" i="127"/>
  <c r="F2195" i="127"/>
  <c r="E2196" i="127"/>
  <c r="F2196" i="127"/>
  <c r="E2197" i="127"/>
  <c r="F2197" i="127"/>
  <c r="E2198" i="127"/>
  <c r="F2198" i="127"/>
  <c r="E2199" i="127"/>
  <c r="F2199" i="127"/>
  <c r="E2200" i="127"/>
  <c r="F2200" i="127"/>
  <c r="E2201" i="127"/>
  <c r="F2201" i="127"/>
  <c r="E2202" i="127"/>
  <c r="F2202" i="127"/>
  <c r="E2203" i="127"/>
  <c r="F2203" i="127"/>
  <c r="E2204" i="127"/>
  <c r="F2204" i="127"/>
  <c r="E2205" i="127"/>
  <c r="F2205" i="127"/>
  <c r="E2206" i="127"/>
  <c r="F2206" i="127"/>
  <c r="E2207" i="127"/>
  <c r="F2207" i="127"/>
  <c r="E2208" i="127"/>
  <c r="F2208" i="127"/>
  <c r="E2209" i="127"/>
  <c r="F2209" i="127"/>
  <c r="E2210" i="127"/>
  <c r="F2210" i="127"/>
  <c r="E2211" i="127"/>
  <c r="F2211" i="127"/>
  <c r="E2212" i="127"/>
  <c r="F2212" i="127"/>
  <c r="E2213" i="127"/>
  <c r="F2213" i="127"/>
  <c r="E2214" i="127"/>
  <c r="F2214" i="127"/>
  <c r="E2215" i="127"/>
  <c r="F2215" i="127"/>
  <c r="E2216" i="127"/>
  <c r="F2216" i="127"/>
  <c r="E2217" i="127"/>
  <c r="F2217" i="127"/>
  <c r="E2218" i="127"/>
  <c r="F2218" i="127"/>
  <c r="E2219" i="127"/>
  <c r="F2219" i="127"/>
  <c r="E2220" i="127"/>
  <c r="F2220" i="127"/>
  <c r="E2221" i="127"/>
  <c r="F2221" i="127"/>
  <c r="E2222" i="127"/>
  <c r="F2222" i="127"/>
  <c r="E2223" i="127"/>
  <c r="F2223" i="127"/>
  <c r="E2224" i="127"/>
  <c r="F2224" i="127"/>
  <c r="E2225" i="127"/>
  <c r="F2225" i="127"/>
  <c r="E2226" i="127"/>
  <c r="F2226" i="127"/>
  <c r="E2227" i="127"/>
  <c r="F2227" i="127"/>
  <c r="E2228" i="127"/>
  <c r="F2228" i="127"/>
  <c r="E2229" i="127"/>
  <c r="F2229" i="127"/>
  <c r="E2230" i="127"/>
  <c r="F2230" i="127"/>
  <c r="E2231" i="127"/>
  <c r="F2231" i="127"/>
  <c r="E2232" i="127"/>
  <c r="F2232" i="127"/>
  <c r="E2233" i="127"/>
  <c r="F2233" i="127"/>
  <c r="E2234" i="127"/>
  <c r="F2234" i="127"/>
  <c r="E2235" i="127"/>
  <c r="F2235" i="127"/>
  <c r="E2236" i="127"/>
  <c r="F2236" i="127"/>
  <c r="E2237" i="127"/>
  <c r="F2237" i="127"/>
  <c r="E2238" i="127"/>
  <c r="F2238" i="127"/>
  <c r="E2239" i="127"/>
  <c r="F2239" i="127"/>
  <c r="E2240" i="127"/>
  <c r="F2240" i="127"/>
  <c r="E2241" i="127"/>
  <c r="F2241" i="127"/>
  <c r="E2242" i="127"/>
  <c r="F2242" i="127"/>
  <c r="E2243" i="127"/>
  <c r="F2243" i="127"/>
  <c r="E2244" i="127"/>
  <c r="F2244" i="127"/>
  <c r="E2245" i="127"/>
  <c r="F2245" i="127"/>
  <c r="E2246" i="127"/>
  <c r="F2246" i="127"/>
  <c r="E2247" i="127"/>
  <c r="F2247" i="127"/>
  <c r="E2248" i="127"/>
  <c r="F2248" i="127"/>
  <c r="E2249" i="127"/>
  <c r="F2249" i="127"/>
  <c r="E2250" i="127"/>
  <c r="F2250" i="127"/>
  <c r="E2251" i="127"/>
  <c r="F2251" i="127"/>
  <c r="E2252" i="127"/>
  <c r="F2252" i="127"/>
  <c r="E2253" i="127"/>
  <c r="F2253" i="127"/>
  <c r="E2254" i="127"/>
  <c r="F2254" i="127"/>
  <c r="E2255" i="127"/>
  <c r="F2255" i="127"/>
  <c r="E2256" i="127"/>
  <c r="F2256" i="127"/>
  <c r="E2257" i="127"/>
  <c r="F2257" i="127"/>
  <c r="E2258" i="127"/>
  <c r="F2258" i="127"/>
  <c r="E2259" i="127"/>
  <c r="F2259" i="127"/>
  <c r="E2260" i="127"/>
  <c r="F2260" i="127"/>
  <c r="E2261" i="127"/>
  <c r="F2261" i="127"/>
  <c r="E2262" i="127"/>
  <c r="F2262" i="127"/>
  <c r="E2263" i="127"/>
  <c r="F2263" i="127"/>
  <c r="E2264" i="127"/>
  <c r="F2264" i="127"/>
  <c r="E2265" i="127"/>
  <c r="F2265" i="127"/>
  <c r="E2266" i="127"/>
  <c r="F2266" i="127"/>
  <c r="E2267" i="127"/>
  <c r="F2267" i="127"/>
  <c r="E2268" i="127"/>
  <c r="F2268" i="127"/>
  <c r="E2269" i="127"/>
  <c r="F2269" i="127"/>
  <c r="E2270" i="127"/>
  <c r="F2270" i="127"/>
  <c r="E2271" i="127"/>
  <c r="F2271" i="127"/>
  <c r="E2272" i="127"/>
  <c r="F2272" i="127"/>
  <c r="E2273" i="127"/>
  <c r="E2274" i="127"/>
  <c r="F2274" i="127"/>
  <c r="E2275" i="127"/>
  <c r="F2275" i="127"/>
  <c r="E2276" i="127"/>
  <c r="F2276" i="127"/>
  <c r="E2277" i="127"/>
  <c r="F2277" i="127"/>
  <c r="E2278" i="127"/>
  <c r="F2278" i="127"/>
  <c r="E2279" i="127"/>
  <c r="F2279" i="127"/>
  <c r="E2280" i="127"/>
  <c r="F2280" i="127"/>
  <c r="E2281" i="127"/>
  <c r="F2281" i="127"/>
  <c r="E2282" i="127"/>
  <c r="F2282" i="127"/>
  <c r="E2283" i="127"/>
  <c r="F2283" i="127"/>
  <c r="E2284" i="127"/>
  <c r="F2284" i="127"/>
  <c r="E2285" i="127"/>
  <c r="F2285" i="127"/>
  <c r="E2286" i="127"/>
  <c r="F2286" i="127"/>
  <c r="E2287" i="127"/>
  <c r="F2287" i="127"/>
  <c r="E2288" i="127"/>
  <c r="F2288" i="127"/>
  <c r="E2289" i="127"/>
  <c r="F2289" i="127"/>
  <c r="E2290" i="127"/>
  <c r="F2290" i="127"/>
  <c r="E2291" i="127"/>
  <c r="F2291" i="127"/>
  <c r="E2292" i="127"/>
  <c r="F2292" i="127"/>
  <c r="E2293" i="127"/>
  <c r="F2293" i="127"/>
  <c r="E2294" i="127"/>
  <c r="F2294" i="127"/>
  <c r="E2295" i="127"/>
  <c r="F2295" i="127"/>
  <c r="E2296" i="127"/>
  <c r="F2296" i="127"/>
  <c r="E2297" i="127"/>
  <c r="F2297" i="127"/>
  <c r="E2298" i="127"/>
  <c r="F2298" i="127"/>
  <c r="E2299" i="127"/>
  <c r="F2299" i="127"/>
  <c r="E2300" i="127"/>
  <c r="F2300" i="127"/>
  <c r="E2301" i="127"/>
  <c r="F2301" i="127"/>
  <c r="E2302" i="127"/>
  <c r="F2302" i="127"/>
  <c r="E2303" i="127"/>
  <c r="F2303" i="127"/>
  <c r="E2304" i="127"/>
  <c r="F2304" i="127"/>
  <c r="E2305" i="127"/>
  <c r="F2305" i="127"/>
  <c r="E2306" i="127"/>
  <c r="F2306" i="127"/>
  <c r="E2307" i="127"/>
  <c r="F2307" i="127"/>
  <c r="S969" i="127" s="1"/>
  <c r="E2308" i="127"/>
  <c r="F2308" i="127"/>
  <c r="E2309" i="127"/>
  <c r="F2309" i="127"/>
  <c r="E2310" i="127"/>
  <c r="F2310" i="127"/>
  <c r="E2311" i="127"/>
  <c r="E2312" i="127"/>
  <c r="F2312" i="127"/>
  <c r="E2313" i="127"/>
  <c r="F2313" i="127"/>
  <c r="E2314" i="127"/>
  <c r="F2314" i="127"/>
  <c r="E2315" i="127"/>
  <c r="F2315" i="127"/>
  <c r="E2316" i="127"/>
  <c r="F2316" i="127"/>
  <c r="E2317" i="127"/>
  <c r="F2317" i="127"/>
  <c r="E2318" i="127"/>
  <c r="F2318" i="127"/>
  <c r="E2319" i="127"/>
  <c r="F2319" i="127"/>
  <c r="E2320" i="127"/>
  <c r="F2320" i="127"/>
  <c r="E2321" i="127"/>
  <c r="F2321" i="127"/>
  <c r="E2322" i="127"/>
  <c r="F2322" i="127"/>
  <c r="E2323" i="127"/>
  <c r="F2323" i="127"/>
  <c r="E2324" i="127"/>
  <c r="F2324" i="127"/>
  <c r="E2325" i="127"/>
  <c r="F2325" i="127"/>
  <c r="E2326" i="127"/>
  <c r="F2326" i="127"/>
  <c r="E2327" i="127"/>
  <c r="F2327" i="127"/>
  <c r="E2328" i="127"/>
  <c r="F2328" i="127"/>
  <c r="E2329" i="127"/>
  <c r="F2329" i="127"/>
  <c r="E2330" i="127"/>
  <c r="F2330" i="127"/>
  <c r="E2331" i="127"/>
  <c r="F2331" i="127"/>
  <c r="E2332" i="127"/>
  <c r="F2332" i="127"/>
  <c r="E2333" i="127"/>
  <c r="F2333" i="127"/>
  <c r="E2334" i="127"/>
  <c r="F2334" i="127"/>
  <c r="E2335" i="127"/>
  <c r="F2335" i="127"/>
  <c r="E2336" i="127"/>
  <c r="F2336" i="127"/>
  <c r="E2337" i="127"/>
  <c r="F2337" i="127"/>
  <c r="E2338" i="127"/>
  <c r="F2338" i="127"/>
  <c r="E2339" i="127"/>
  <c r="F2339" i="127"/>
  <c r="E2340" i="127"/>
  <c r="F2340" i="127"/>
  <c r="E2341" i="127"/>
  <c r="F2341" i="127"/>
  <c r="E2342" i="127"/>
  <c r="F2342" i="127"/>
  <c r="E2343" i="127"/>
  <c r="F2343" i="127"/>
  <c r="E2344" i="127"/>
  <c r="F2344" i="127"/>
  <c r="E2345" i="127"/>
  <c r="F2345" i="127"/>
  <c r="E2346" i="127"/>
  <c r="F2346" i="127"/>
  <c r="E2347" i="127"/>
  <c r="F2347" i="127"/>
  <c r="E2348" i="127"/>
  <c r="F2348" i="127"/>
  <c r="E2349" i="127"/>
  <c r="F2349" i="127"/>
  <c r="E2350" i="127"/>
  <c r="F2350" i="127"/>
  <c r="E2351" i="127"/>
  <c r="F2351" i="127"/>
  <c r="E2352" i="127"/>
  <c r="F2352" i="127"/>
  <c r="E2353" i="127"/>
  <c r="F2353" i="127"/>
  <c r="E2354" i="127"/>
  <c r="F2354" i="127"/>
  <c r="E2355" i="127"/>
  <c r="F2355" i="127"/>
  <c r="E2356" i="127"/>
  <c r="F2356" i="127"/>
  <c r="E2357" i="127"/>
  <c r="F2357" i="127"/>
  <c r="E2358" i="127"/>
  <c r="F2358" i="127"/>
  <c r="E2359" i="127"/>
  <c r="F2359" i="127"/>
  <c r="E2360" i="127"/>
  <c r="F2360" i="127"/>
  <c r="E2361" i="127"/>
  <c r="F2361" i="127"/>
  <c r="E2362" i="127"/>
  <c r="F2362" i="127"/>
  <c r="E2363" i="127"/>
  <c r="F2363" i="127"/>
  <c r="E2364" i="127"/>
  <c r="F2364" i="127"/>
  <c r="E2365" i="127"/>
  <c r="F2365" i="127"/>
  <c r="E2366" i="127"/>
  <c r="F2366" i="127"/>
  <c r="E2367" i="127"/>
  <c r="F2367" i="127"/>
  <c r="E2368" i="127"/>
  <c r="F2368" i="127"/>
  <c r="E2369" i="127"/>
  <c r="F2369" i="127"/>
  <c r="E2370" i="127"/>
  <c r="F2370" i="127"/>
  <c r="E2371" i="127"/>
  <c r="F2371" i="127"/>
  <c r="E2372" i="127"/>
  <c r="F2372" i="127"/>
  <c r="E2373" i="127"/>
  <c r="F2373" i="127"/>
  <c r="E2374" i="127"/>
  <c r="F2374" i="127"/>
  <c r="E2375" i="127"/>
  <c r="F2375" i="127"/>
  <c r="E2376" i="127"/>
  <c r="F2376" i="127"/>
  <c r="E2377" i="127"/>
  <c r="F2377" i="127"/>
  <c r="E2378" i="127"/>
  <c r="F2378" i="127"/>
  <c r="E2379" i="127"/>
  <c r="F2379" i="127"/>
  <c r="E2380" i="127"/>
  <c r="F2380" i="127"/>
  <c r="E2381" i="127"/>
  <c r="F2381" i="127"/>
  <c r="E2382" i="127"/>
  <c r="F2382" i="127"/>
  <c r="E2383" i="127"/>
  <c r="F2383" i="127"/>
  <c r="E2384" i="127"/>
  <c r="F2384" i="127"/>
  <c r="E2385" i="127"/>
  <c r="F2385" i="127"/>
  <c r="E2386" i="127"/>
  <c r="F2386" i="127"/>
  <c r="E2387" i="127"/>
  <c r="F2387" i="127"/>
  <c r="E2388" i="127"/>
  <c r="F2388" i="127"/>
  <c r="E2389" i="127"/>
  <c r="F2389" i="127"/>
  <c r="E2390" i="127"/>
  <c r="F2390" i="127"/>
  <c r="E2391" i="127"/>
  <c r="F2391" i="127"/>
  <c r="E2392" i="127"/>
  <c r="F2392" i="127"/>
  <c r="E2393" i="127"/>
  <c r="F2393" i="127"/>
  <c r="E2394" i="127"/>
  <c r="F2394" i="127"/>
  <c r="E2395" i="127"/>
  <c r="F2395" i="127"/>
  <c r="E2396" i="127"/>
  <c r="F2396" i="127"/>
  <c r="E2397" i="127"/>
  <c r="F2397" i="127"/>
  <c r="E2398" i="127"/>
  <c r="F2398" i="127"/>
  <c r="E2399" i="127"/>
  <c r="F2399" i="127"/>
  <c r="E2400" i="127"/>
  <c r="F2400" i="127"/>
  <c r="E2401" i="127"/>
  <c r="F2401" i="127"/>
  <c r="E2402" i="127"/>
  <c r="F2402" i="127"/>
  <c r="E2403" i="127"/>
  <c r="F2403" i="127"/>
  <c r="E2404" i="127"/>
  <c r="F2404" i="127"/>
  <c r="E2405" i="127"/>
  <c r="F2405" i="127"/>
  <c r="E2406" i="127"/>
  <c r="F2406" i="127"/>
  <c r="S1068" i="127" s="1"/>
  <c r="E2407" i="127"/>
  <c r="F2407" i="127"/>
  <c r="E2408" i="127"/>
  <c r="F2408" i="127"/>
  <c r="E2409" i="127"/>
  <c r="F2409" i="127"/>
  <c r="E2410" i="127"/>
  <c r="F2410" i="127"/>
  <c r="E2411" i="127"/>
  <c r="F2411" i="127"/>
  <c r="E2412" i="127"/>
  <c r="F2412" i="127"/>
  <c r="E2413" i="127"/>
  <c r="F2413" i="127"/>
  <c r="E2414" i="127"/>
  <c r="F2414" i="127"/>
  <c r="E2415" i="127"/>
  <c r="F2415" i="127"/>
  <c r="E2416" i="127"/>
  <c r="F2416" i="127"/>
  <c r="E2417" i="127"/>
  <c r="F2417" i="127"/>
  <c r="E2418" i="127"/>
  <c r="F2418" i="127"/>
  <c r="E2419" i="127"/>
  <c r="F2419" i="127"/>
  <c r="E2420" i="127"/>
  <c r="F2420" i="127"/>
  <c r="R2420" i="127" s="1"/>
  <c r="E2421" i="127"/>
  <c r="F2421" i="127"/>
  <c r="E2422" i="127"/>
  <c r="F2422" i="127"/>
  <c r="E2423" i="127"/>
  <c r="F2423" i="127"/>
  <c r="E2424" i="127"/>
  <c r="F2424" i="127"/>
  <c r="E2425" i="127"/>
  <c r="F2425" i="127"/>
  <c r="E2426" i="127"/>
  <c r="F2426" i="127"/>
  <c r="E2427" i="127"/>
  <c r="F2427" i="127"/>
  <c r="E2428" i="127"/>
  <c r="F2428" i="127"/>
  <c r="E2429" i="127"/>
  <c r="F2429" i="127"/>
  <c r="E2430" i="127"/>
  <c r="F2430" i="127"/>
  <c r="E2431" i="127"/>
  <c r="F2431" i="127"/>
  <c r="E2432" i="127"/>
  <c r="F2432" i="127"/>
  <c r="E2433" i="127"/>
  <c r="F2433" i="127"/>
  <c r="E2434" i="127"/>
  <c r="F2434" i="127"/>
  <c r="E2435" i="127"/>
  <c r="F2435" i="127"/>
  <c r="E2436" i="127"/>
  <c r="F2436" i="127"/>
  <c r="E2437" i="127"/>
  <c r="F2437" i="127"/>
  <c r="E2438" i="127"/>
  <c r="F2438" i="127"/>
  <c r="E2439" i="127"/>
  <c r="F2439" i="127"/>
  <c r="E2440" i="127"/>
  <c r="F2440" i="127"/>
  <c r="E2441" i="127"/>
  <c r="F2441" i="127"/>
  <c r="E2442" i="127"/>
  <c r="F2442" i="127"/>
  <c r="E2443" i="127"/>
  <c r="F2443" i="127"/>
  <c r="E2444" i="127"/>
  <c r="F2444" i="127"/>
  <c r="E2445" i="127"/>
  <c r="F2445" i="127"/>
  <c r="E2446" i="127"/>
  <c r="F2446" i="127"/>
  <c r="E2447" i="127"/>
  <c r="F2447" i="127"/>
  <c r="E2448" i="127"/>
  <c r="F2448" i="127"/>
  <c r="E2449" i="127"/>
  <c r="F2449" i="127"/>
  <c r="E2450" i="127"/>
  <c r="F2450" i="127"/>
  <c r="E2451" i="127"/>
  <c r="F2451" i="127"/>
  <c r="E2452" i="127"/>
  <c r="F2452" i="127"/>
  <c r="E2453" i="127"/>
  <c r="F2453" i="127"/>
  <c r="E2454" i="127"/>
  <c r="F2454" i="127"/>
  <c r="E2455" i="127"/>
  <c r="F2455" i="127"/>
  <c r="E2456" i="127"/>
  <c r="F2456" i="127"/>
  <c r="E2457" i="127"/>
  <c r="F2457" i="127"/>
  <c r="E2458" i="127"/>
  <c r="F2458" i="127"/>
  <c r="E2459" i="127"/>
  <c r="F2459" i="127"/>
  <c r="E2460" i="127"/>
  <c r="F2460" i="127"/>
  <c r="E2461" i="127"/>
  <c r="F2461" i="127"/>
  <c r="E2462" i="127"/>
  <c r="F2462" i="127"/>
  <c r="E2463" i="127"/>
  <c r="F2463" i="127"/>
  <c r="E2464" i="127"/>
  <c r="F2464" i="127"/>
  <c r="E2465" i="127"/>
  <c r="F2465" i="127"/>
  <c r="E2466" i="127"/>
  <c r="F2466" i="127"/>
  <c r="E2467" i="127"/>
  <c r="F2467" i="127"/>
  <c r="E2468" i="127"/>
  <c r="F2468" i="127"/>
  <c r="E2469" i="127"/>
  <c r="F2469" i="127"/>
  <c r="E2470" i="127"/>
  <c r="F2470" i="127"/>
  <c r="E2471" i="127"/>
  <c r="F2471" i="127"/>
  <c r="E2472" i="127"/>
  <c r="F2472" i="127"/>
  <c r="E2473" i="127"/>
  <c r="F2473" i="127"/>
  <c r="E2474" i="127"/>
  <c r="F2474" i="127"/>
  <c r="E2475" i="127"/>
  <c r="F2475" i="127"/>
  <c r="E2476" i="127"/>
  <c r="F2476" i="127"/>
  <c r="E2477" i="127"/>
  <c r="F2477" i="127"/>
  <c r="E2478" i="127"/>
  <c r="F2478" i="127"/>
  <c r="E2479" i="127"/>
  <c r="F2479" i="127"/>
  <c r="E2480" i="127"/>
  <c r="F2480" i="127"/>
  <c r="E2481" i="127"/>
  <c r="F2481" i="127"/>
  <c r="E2482" i="127"/>
  <c r="F2482" i="127"/>
  <c r="E2483" i="127"/>
  <c r="F2483" i="127"/>
  <c r="E2484" i="127"/>
  <c r="F2484" i="127"/>
  <c r="E2485" i="127"/>
  <c r="F2485" i="127"/>
  <c r="E2486" i="127"/>
  <c r="F2486" i="127"/>
  <c r="E2487" i="127"/>
  <c r="F2487" i="127"/>
  <c r="E2488" i="127"/>
  <c r="F2488" i="127"/>
  <c r="E2489" i="127"/>
  <c r="F2489" i="127"/>
  <c r="E2490" i="127"/>
  <c r="F2490" i="127"/>
  <c r="E2491" i="127"/>
  <c r="F2491" i="127"/>
  <c r="E2492" i="127"/>
  <c r="F2492" i="127"/>
  <c r="E2493" i="127"/>
  <c r="F2493" i="127"/>
  <c r="E2494" i="127"/>
  <c r="F2494" i="127"/>
  <c r="E2495" i="127"/>
  <c r="F2495" i="127"/>
  <c r="E2496" i="127"/>
  <c r="F2496" i="127"/>
  <c r="E2497" i="127"/>
  <c r="F2497" i="127"/>
  <c r="E2498" i="127"/>
  <c r="F2498" i="127"/>
  <c r="S2544" i="127" s="1"/>
  <c r="E2499" i="127"/>
  <c r="F2499" i="127"/>
  <c r="E2500" i="127"/>
  <c r="F2500" i="127"/>
  <c r="E2501" i="127"/>
  <c r="F2501" i="127"/>
  <c r="E2502" i="127"/>
  <c r="F2502" i="127"/>
  <c r="E2503" i="127"/>
  <c r="F2503" i="127"/>
  <c r="E2504" i="127"/>
  <c r="F2504" i="127"/>
  <c r="E2505" i="127"/>
  <c r="F2505" i="127"/>
  <c r="E2506" i="127"/>
  <c r="F2506" i="127"/>
  <c r="E2507" i="127"/>
  <c r="F2507" i="127"/>
  <c r="E2508" i="127"/>
  <c r="F2508" i="127"/>
  <c r="E2509" i="127"/>
  <c r="F2509" i="127"/>
  <c r="E2510" i="127"/>
  <c r="F2510" i="127"/>
  <c r="E2511" i="127"/>
  <c r="F2511" i="127"/>
  <c r="E2512" i="127"/>
  <c r="F2512" i="127"/>
  <c r="E2513" i="127"/>
  <c r="F2513" i="127"/>
  <c r="E2514" i="127"/>
  <c r="F2514" i="127"/>
  <c r="E2515" i="127"/>
  <c r="F2515" i="127"/>
  <c r="E2516" i="127"/>
  <c r="F2516" i="127"/>
  <c r="E2517" i="127"/>
  <c r="F2517" i="127"/>
  <c r="E2518" i="127"/>
  <c r="F2518" i="127"/>
  <c r="E2519" i="127"/>
  <c r="F2519" i="127"/>
  <c r="E2520" i="127"/>
  <c r="F2520" i="127"/>
  <c r="E2521" i="127"/>
  <c r="F2521" i="127"/>
  <c r="E2522" i="127"/>
  <c r="F2522" i="127"/>
  <c r="E2523" i="127"/>
  <c r="F2523" i="127"/>
  <c r="E2524" i="127"/>
  <c r="F2524" i="127"/>
  <c r="E2525" i="127"/>
  <c r="F2525" i="127"/>
  <c r="E2526" i="127"/>
  <c r="E2527" i="127"/>
  <c r="F2527" i="127"/>
  <c r="E2528" i="127"/>
  <c r="F2528" i="127"/>
  <c r="E2529" i="127"/>
  <c r="F2529" i="127"/>
  <c r="E2530" i="127"/>
  <c r="F2530" i="127"/>
  <c r="E2531" i="127"/>
  <c r="F2531" i="127"/>
  <c r="E2532" i="127"/>
  <c r="F2532" i="127"/>
  <c r="E2533" i="127"/>
  <c r="F2533" i="127"/>
  <c r="E2534" i="127"/>
  <c r="F2534" i="127"/>
  <c r="E2535" i="127"/>
  <c r="F2535" i="127"/>
  <c r="E2536" i="127"/>
  <c r="F2536" i="127"/>
  <c r="E2537" i="127"/>
  <c r="F2537" i="127"/>
  <c r="E2538" i="127"/>
  <c r="F2538" i="127"/>
  <c r="E2539" i="127"/>
  <c r="F2539" i="127"/>
  <c r="E2540" i="127"/>
  <c r="F2540" i="127"/>
  <c r="E2541" i="127"/>
  <c r="F2541" i="127"/>
  <c r="E2542" i="127"/>
  <c r="F2542" i="127"/>
  <c r="E2543" i="127"/>
  <c r="F2543" i="127"/>
  <c r="E2544" i="127"/>
  <c r="F2544" i="127"/>
  <c r="E2545" i="127"/>
  <c r="F2545" i="127"/>
  <c r="E2546" i="127"/>
  <c r="F2546" i="127"/>
  <c r="E2547" i="127"/>
  <c r="F2547" i="127"/>
  <c r="E2548" i="127"/>
  <c r="F2548" i="127"/>
  <c r="E2549" i="127"/>
  <c r="F2549" i="127"/>
  <c r="E2550" i="127"/>
  <c r="F2550" i="127"/>
  <c r="E2551" i="127"/>
  <c r="F2551" i="127"/>
  <c r="E2552" i="127"/>
  <c r="F2552" i="127"/>
  <c r="E2553" i="127"/>
  <c r="F2553" i="127"/>
  <c r="E2554" i="127"/>
  <c r="F2554" i="127"/>
  <c r="E2555" i="127"/>
  <c r="F2555" i="127"/>
  <c r="E2556" i="127"/>
  <c r="F2556" i="127"/>
  <c r="S1501" i="127" s="1"/>
  <c r="E2557" i="127"/>
  <c r="F2557" i="127"/>
  <c r="E2558" i="127"/>
  <c r="F2558" i="127"/>
  <c r="E2559" i="127"/>
  <c r="F2559" i="127"/>
  <c r="E2560" i="127"/>
  <c r="F2560" i="127"/>
  <c r="E2561" i="127"/>
  <c r="F2561" i="127"/>
  <c r="E2562" i="127"/>
  <c r="F2562" i="127"/>
  <c r="E2563" i="127"/>
  <c r="F2563" i="127"/>
  <c r="E2565" i="127"/>
  <c r="F2565" i="127"/>
  <c r="E2566" i="127"/>
  <c r="F2566" i="127"/>
  <c r="E2567" i="127"/>
  <c r="F2567" i="127"/>
  <c r="E2568" i="127"/>
  <c r="F2568" i="127"/>
  <c r="E2569" i="127"/>
  <c r="F2569" i="127"/>
  <c r="E2570" i="127"/>
  <c r="F2570" i="127"/>
  <c r="E2571" i="127"/>
  <c r="F2571" i="127"/>
  <c r="E2572" i="127"/>
  <c r="F2572" i="127"/>
  <c r="E2573" i="127"/>
  <c r="F2573" i="127"/>
  <c r="E2574" i="127"/>
  <c r="E2575" i="127"/>
  <c r="F2575" i="127"/>
  <c r="E2576" i="127"/>
  <c r="F2576" i="127"/>
  <c r="E2577" i="127"/>
  <c r="F2577" i="127"/>
  <c r="E2578" i="127"/>
  <c r="F2578" i="127"/>
  <c r="E2579" i="127"/>
  <c r="F2579" i="127"/>
  <c r="E2580" i="127"/>
  <c r="F2580" i="127"/>
  <c r="E2581" i="127"/>
  <c r="F2581" i="127"/>
  <c r="E2582" i="127"/>
  <c r="F2582" i="127"/>
  <c r="E2583" i="127"/>
  <c r="F2583" i="127"/>
  <c r="E2584" i="127"/>
  <c r="F2584" i="127"/>
  <c r="E2585" i="127"/>
  <c r="F2585" i="127"/>
  <c r="E2586" i="127"/>
  <c r="F2586" i="127"/>
  <c r="E2587" i="127"/>
  <c r="F2587" i="127"/>
  <c r="E2588" i="127"/>
  <c r="F2588" i="127"/>
  <c r="E2589" i="127"/>
  <c r="F2589" i="127"/>
  <c r="E2590" i="127"/>
  <c r="F2590" i="127"/>
  <c r="E2591" i="127"/>
  <c r="F2591" i="127"/>
  <c r="E2592" i="127"/>
  <c r="F2592" i="127"/>
  <c r="E2593" i="127"/>
  <c r="F2593" i="127"/>
  <c r="E2594" i="127"/>
  <c r="F2594" i="127"/>
  <c r="E2595" i="127"/>
  <c r="F2595" i="127"/>
  <c r="E2596" i="127"/>
  <c r="F2596" i="127"/>
  <c r="E2597" i="127"/>
  <c r="F2597" i="127"/>
  <c r="E2598" i="127"/>
  <c r="F2598" i="127"/>
  <c r="E2599" i="127"/>
  <c r="F2599" i="127"/>
  <c r="E2600" i="127"/>
  <c r="F2600" i="127"/>
  <c r="E2601" i="127"/>
  <c r="F2601" i="127"/>
  <c r="E2602" i="127"/>
  <c r="F2602" i="127"/>
  <c r="E2603" i="127"/>
  <c r="F2603" i="127"/>
  <c r="E2604" i="127"/>
  <c r="F2604" i="127"/>
  <c r="E2605" i="127"/>
  <c r="F2605" i="127"/>
  <c r="E2606" i="127"/>
  <c r="F2606" i="127"/>
  <c r="E2607" i="127"/>
  <c r="F2607" i="127"/>
  <c r="E2608" i="127"/>
  <c r="F2608" i="127"/>
  <c r="E2609" i="127"/>
  <c r="F2609" i="127"/>
  <c r="E2610" i="127"/>
  <c r="F2610" i="127"/>
  <c r="E2611" i="127"/>
  <c r="F2611" i="127"/>
  <c r="E2612" i="127"/>
  <c r="F2612" i="127"/>
  <c r="E2613" i="127"/>
  <c r="F2613" i="127"/>
  <c r="E2614" i="127"/>
  <c r="F2614" i="127"/>
  <c r="E2615" i="127"/>
  <c r="F2615" i="127"/>
  <c r="E2616" i="127"/>
  <c r="F2616" i="127"/>
  <c r="E2617" i="127"/>
  <c r="F2617" i="127"/>
  <c r="E2618" i="127"/>
  <c r="F2618" i="127"/>
  <c r="E2619" i="127"/>
  <c r="F2619" i="127"/>
  <c r="E2620" i="127"/>
  <c r="F2620" i="127"/>
  <c r="E2621" i="127"/>
  <c r="F2621" i="127"/>
  <c r="E2622" i="127"/>
  <c r="F2622" i="127"/>
  <c r="E2623" i="127"/>
  <c r="F2623" i="127"/>
  <c r="E2624" i="127"/>
  <c r="F2624" i="127"/>
  <c r="E2625" i="127"/>
  <c r="F2625" i="127"/>
  <c r="E2626" i="127"/>
  <c r="F2626" i="127"/>
  <c r="E2627" i="127"/>
  <c r="F2627" i="127"/>
  <c r="E2628" i="127"/>
  <c r="F2628" i="127"/>
  <c r="E2629" i="127"/>
  <c r="F2629" i="127"/>
  <c r="E2630" i="127"/>
  <c r="F2630" i="127"/>
  <c r="E2631" i="127"/>
  <c r="E2632" i="127"/>
  <c r="F2632" i="127"/>
  <c r="E2633" i="127"/>
  <c r="F2633" i="127"/>
  <c r="E2634" i="127"/>
  <c r="F2634" i="127"/>
  <c r="E2635" i="127"/>
  <c r="F2635" i="127"/>
  <c r="E2636" i="127"/>
  <c r="F2636" i="127"/>
  <c r="E2637" i="127"/>
  <c r="F2637" i="127"/>
  <c r="E2638" i="127"/>
  <c r="F2638" i="127"/>
  <c r="E2639" i="127"/>
  <c r="F2639" i="127"/>
  <c r="E2640" i="127"/>
  <c r="F2640" i="127"/>
  <c r="E2641" i="127"/>
  <c r="F2641" i="127"/>
  <c r="E2642" i="127"/>
  <c r="F2642" i="127"/>
  <c r="S1304" i="127" s="1"/>
  <c r="E2643" i="127"/>
  <c r="F2643" i="127"/>
  <c r="E2644" i="127"/>
  <c r="F2644" i="127"/>
  <c r="E2645" i="127"/>
  <c r="F2645" i="127"/>
  <c r="E2646" i="127"/>
  <c r="F2646" i="127"/>
  <c r="E2647" i="127"/>
  <c r="F2647" i="127"/>
  <c r="E2648" i="127"/>
  <c r="F2648" i="127"/>
  <c r="E2649" i="127"/>
  <c r="F2649" i="127"/>
  <c r="E2650" i="127"/>
  <c r="F2650" i="127"/>
  <c r="E2651" i="127"/>
  <c r="F2651" i="127"/>
  <c r="E2652" i="127"/>
  <c r="F2652" i="127"/>
  <c r="E2653" i="127"/>
  <c r="F2653" i="127"/>
  <c r="E2654" i="127"/>
  <c r="F2654" i="127"/>
  <c r="E2655" i="127"/>
  <c r="F2655" i="127"/>
  <c r="E2656" i="127"/>
  <c r="F2656" i="127"/>
  <c r="E2657" i="127"/>
  <c r="F2657" i="127"/>
  <c r="E2658" i="127"/>
  <c r="F2658" i="127"/>
  <c r="E2659" i="127"/>
  <c r="F2659" i="127"/>
  <c r="E2660" i="127"/>
  <c r="F2660" i="127"/>
  <c r="E2661" i="127"/>
  <c r="F2661" i="127"/>
  <c r="E2662" i="127"/>
  <c r="F2662" i="127"/>
  <c r="E2663" i="127"/>
  <c r="F2663" i="127"/>
  <c r="E2664" i="127"/>
  <c r="F2664" i="127"/>
  <c r="E2666" i="127"/>
  <c r="F2666" i="127"/>
  <c r="E2667" i="127"/>
  <c r="F2667" i="127"/>
  <c r="E2668" i="127"/>
  <c r="F2668" i="127"/>
  <c r="E2669" i="127"/>
  <c r="F2669" i="127"/>
  <c r="E2670" i="127"/>
  <c r="F2670" i="127"/>
  <c r="E2671" i="127"/>
  <c r="F2671" i="127"/>
  <c r="E2672" i="127"/>
  <c r="F2672" i="127"/>
  <c r="E2673" i="127"/>
  <c r="F2673" i="127"/>
  <c r="E2674" i="127"/>
  <c r="F2674" i="127"/>
  <c r="E2675" i="127"/>
  <c r="F2675" i="127"/>
  <c r="E2676" i="127"/>
  <c r="F2676" i="127"/>
  <c r="E2677" i="127"/>
  <c r="F2677" i="127"/>
  <c r="E2678" i="127"/>
  <c r="F2678" i="127"/>
  <c r="E2679" i="127"/>
  <c r="F2679" i="127"/>
  <c r="E2680" i="127"/>
  <c r="F2680" i="127"/>
  <c r="E2681" i="127"/>
  <c r="F2681" i="127"/>
  <c r="E2682" i="127"/>
  <c r="F2682" i="127"/>
  <c r="E2683" i="127"/>
  <c r="F2683" i="127"/>
  <c r="E2684" i="127"/>
  <c r="F2684" i="127"/>
  <c r="E2685" i="127"/>
  <c r="F2685" i="127"/>
  <c r="E2686" i="127"/>
  <c r="F2686" i="127"/>
  <c r="E2687" i="127"/>
  <c r="F2687" i="127"/>
  <c r="E2688" i="127"/>
  <c r="F2688" i="127"/>
  <c r="E2689" i="127"/>
  <c r="F2689" i="127"/>
  <c r="E2690" i="127"/>
  <c r="F2690" i="127"/>
  <c r="E2691" i="127"/>
  <c r="F2691" i="127"/>
  <c r="E2692" i="127"/>
  <c r="F2692" i="127"/>
  <c r="E2693" i="127"/>
  <c r="F2693" i="127"/>
  <c r="E2694" i="127"/>
  <c r="F2694" i="127"/>
  <c r="E2695" i="127"/>
  <c r="F2695" i="127"/>
  <c r="E2696" i="127"/>
  <c r="F2696" i="127"/>
  <c r="E2697" i="127"/>
  <c r="F2697" i="127"/>
  <c r="E2698" i="127"/>
  <c r="F2698" i="127"/>
  <c r="E2699" i="127"/>
  <c r="F2699" i="127"/>
  <c r="E2700" i="127"/>
  <c r="F2700" i="127"/>
  <c r="E2701" i="127"/>
  <c r="F2701" i="127"/>
  <c r="E2702" i="127"/>
  <c r="F2702" i="127"/>
  <c r="E2703" i="127"/>
  <c r="F2703" i="127"/>
  <c r="E2704" i="127"/>
  <c r="F2704" i="127"/>
  <c r="E2705" i="127"/>
  <c r="F2705" i="127"/>
  <c r="E2706" i="127"/>
  <c r="F2706" i="127"/>
  <c r="E2707" i="127"/>
  <c r="F2707" i="127"/>
  <c r="E2708" i="127"/>
  <c r="F2708" i="127"/>
  <c r="E2709" i="127"/>
  <c r="F2709" i="127"/>
  <c r="E2710" i="127"/>
  <c r="F2710" i="127"/>
  <c r="E2711" i="127"/>
  <c r="F2711" i="127"/>
  <c r="E2712" i="127"/>
  <c r="F2712" i="127"/>
  <c r="E2713" i="127"/>
  <c r="F2713" i="127"/>
  <c r="E2714" i="127"/>
  <c r="F2714" i="127"/>
  <c r="E2715" i="127"/>
  <c r="F2715" i="127"/>
  <c r="E2716" i="127"/>
  <c r="F2716" i="127"/>
  <c r="E2717" i="127"/>
  <c r="F2717" i="127"/>
  <c r="E2718" i="127"/>
  <c r="F2718" i="127"/>
  <c r="E2719" i="127"/>
  <c r="F2719" i="127"/>
  <c r="E2720" i="127"/>
  <c r="F2720" i="127"/>
  <c r="E2721" i="127"/>
  <c r="F2721" i="127"/>
  <c r="E2722" i="127"/>
  <c r="F2722" i="127"/>
  <c r="E2723" i="127"/>
  <c r="F2723" i="127"/>
  <c r="E2724" i="127"/>
  <c r="F2724" i="127"/>
  <c r="E2725" i="127"/>
  <c r="E2726" i="127"/>
  <c r="F2726" i="127"/>
  <c r="E2727" i="127"/>
  <c r="F2727" i="127"/>
  <c r="E2728" i="127"/>
  <c r="F2728" i="127"/>
  <c r="E2729" i="127"/>
  <c r="F2729" i="127"/>
  <c r="E2730" i="127"/>
  <c r="F2730" i="127"/>
  <c r="E2731" i="127"/>
  <c r="F2731" i="127"/>
  <c r="E2732" i="127"/>
  <c r="F2732" i="127"/>
  <c r="E2733" i="127"/>
  <c r="F2733" i="127"/>
  <c r="E2734" i="127"/>
  <c r="F2734" i="127"/>
  <c r="E2735" i="127"/>
  <c r="F2735" i="127"/>
  <c r="E2736" i="127"/>
  <c r="F2736" i="127"/>
  <c r="E2737" i="127"/>
  <c r="F2737" i="127"/>
  <c r="S3131" i="127" s="1"/>
  <c r="E2738" i="127"/>
  <c r="F2738" i="127"/>
  <c r="S1188" i="127" s="1"/>
  <c r="T1188" i="127" s="1"/>
  <c r="E2739" i="127"/>
  <c r="F2739" i="127"/>
  <c r="E2740" i="127"/>
  <c r="F2740" i="127"/>
  <c r="E2741" i="127"/>
  <c r="F2741" i="127"/>
  <c r="E2742" i="127"/>
  <c r="F2742" i="127"/>
  <c r="E2743" i="127"/>
  <c r="F2743" i="127"/>
  <c r="E2744" i="127"/>
  <c r="F2744" i="127"/>
  <c r="E2745" i="127"/>
  <c r="F2745" i="127"/>
  <c r="E2746" i="127"/>
  <c r="F2746" i="127"/>
  <c r="E2747" i="127"/>
  <c r="F2747" i="127"/>
  <c r="E2748" i="127"/>
  <c r="F2748" i="127"/>
  <c r="E2749" i="127"/>
  <c r="F2749" i="127"/>
  <c r="E2750" i="127"/>
  <c r="F2750" i="127"/>
  <c r="E2751" i="127"/>
  <c r="F2751" i="127"/>
  <c r="E2752" i="127"/>
  <c r="F2752" i="127"/>
  <c r="E2753" i="127"/>
  <c r="F2753" i="127"/>
  <c r="E2754" i="127"/>
  <c r="F2754" i="127"/>
  <c r="E2755" i="127"/>
  <c r="F2755" i="127"/>
  <c r="E2756" i="127"/>
  <c r="F2756" i="127"/>
  <c r="E2757" i="127"/>
  <c r="F2757" i="127"/>
  <c r="E2758" i="127"/>
  <c r="F2758" i="127"/>
  <c r="E2759" i="127"/>
  <c r="F2759" i="127"/>
  <c r="E2760" i="127"/>
  <c r="F2760" i="127"/>
  <c r="E2761" i="127"/>
  <c r="F2761" i="127"/>
  <c r="E2762" i="127"/>
  <c r="F2762" i="127"/>
  <c r="E2763" i="127"/>
  <c r="F2763" i="127"/>
  <c r="E2764" i="127"/>
  <c r="F2764" i="127"/>
  <c r="E2765" i="127"/>
  <c r="F2765" i="127"/>
  <c r="E2766" i="127"/>
  <c r="F2766" i="127"/>
  <c r="E2767" i="127"/>
  <c r="F2767" i="127"/>
  <c r="E2768" i="127"/>
  <c r="F2768" i="127"/>
  <c r="E2769" i="127"/>
  <c r="F2769" i="127"/>
  <c r="E2770" i="127"/>
  <c r="F2770" i="127"/>
  <c r="E2771" i="127"/>
  <c r="F2771" i="127"/>
  <c r="E2772" i="127"/>
  <c r="F2772" i="127"/>
  <c r="E2773" i="127"/>
  <c r="F2773" i="127"/>
  <c r="E2774" i="127"/>
  <c r="F2774" i="127"/>
  <c r="E2775" i="127"/>
  <c r="F2775" i="127"/>
  <c r="E2776" i="127"/>
  <c r="F2776" i="127"/>
  <c r="E2777" i="127"/>
  <c r="F2777" i="127"/>
  <c r="E2778" i="127"/>
  <c r="F2778" i="127"/>
  <c r="E2779" i="127"/>
  <c r="F2779" i="127"/>
  <c r="E2780" i="127"/>
  <c r="F2780" i="127"/>
  <c r="E2781" i="127"/>
  <c r="F2781" i="127"/>
  <c r="E2782" i="127"/>
  <c r="F2782" i="127"/>
  <c r="E2783" i="127"/>
  <c r="F2783" i="127"/>
  <c r="E2784" i="127"/>
  <c r="F2784" i="127"/>
  <c r="E2785" i="127"/>
  <c r="F2785" i="127"/>
  <c r="E2786" i="127"/>
  <c r="F2786" i="127"/>
  <c r="E2787" i="127"/>
  <c r="F2787" i="127"/>
  <c r="E2788" i="127"/>
  <c r="F2788" i="127"/>
  <c r="E2789" i="127"/>
  <c r="F2789" i="127"/>
  <c r="E2790" i="127"/>
  <c r="F2790" i="127"/>
  <c r="E2791" i="127"/>
  <c r="F2791" i="127"/>
  <c r="E2792" i="127"/>
  <c r="F2792" i="127"/>
  <c r="E2793" i="127"/>
  <c r="F2793" i="127"/>
  <c r="E2794" i="127"/>
  <c r="F2794" i="127"/>
  <c r="E2795" i="127"/>
  <c r="F2795" i="127"/>
  <c r="E2796" i="127"/>
  <c r="F2796" i="127"/>
  <c r="E2797" i="127"/>
  <c r="F2797" i="127"/>
  <c r="E2798" i="127"/>
  <c r="F2798" i="127"/>
  <c r="E2799" i="127"/>
  <c r="F2799" i="127"/>
  <c r="E2800" i="127"/>
  <c r="F2800" i="127"/>
  <c r="S1780" i="127" s="1"/>
  <c r="E2801" i="127"/>
  <c r="F2801" i="127"/>
  <c r="S1978" i="127" s="1"/>
  <c r="T1978" i="127" s="1"/>
  <c r="E2802" i="127"/>
  <c r="F2802" i="127"/>
  <c r="E2803" i="127"/>
  <c r="F2803" i="127"/>
  <c r="E2804" i="127"/>
  <c r="F2804" i="127"/>
  <c r="E2805" i="127"/>
  <c r="F2805" i="127"/>
  <c r="S3099" i="127" s="1"/>
  <c r="T3099" i="127" s="1"/>
  <c r="E2806" i="127"/>
  <c r="F2806" i="127"/>
  <c r="E2807" i="127"/>
  <c r="F2807" i="127"/>
  <c r="E2808" i="127"/>
  <c r="F2808" i="127"/>
  <c r="E2809" i="127"/>
  <c r="F2809" i="127"/>
  <c r="E2810" i="127"/>
  <c r="F2810" i="127"/>
  <c r="E2811" i="127"/>
  <c r="F2811" i="127"/>
  <c r="E2812" i="127"/>
  <c r="F2812" i="127"/>
  <c r="E2813" i="127"/>
  <c r="F2813" i="127"/>
  <c r="E2814" i="127"/>
  <c r="F2814" i="127"/>
  <c r="E2815" i="127"/>
  <c r="F2815" i="127"/>
  <c r="E2816" i="127"/>
  <c r="F2816" i="127"/>
  <c r="E2817" i="127"/>
  <c r="F2817" i="127"/>
  <c r="E2818" i="127"/>
  <c r="F2818" i="127"/>
  <c r="S2661" i="127" s="1"/>
  <c r="E2819" i="127"/>
  <c r="F2819" i="127"/>
  <c r="S3119" i="127" s="1"/>
  <c r="E2820" i="127"/>
  <c r="E2821" i="127"/>
  <c r="F2821" i="127"/>
  <c r="E2822" i="127"/>
  <c r="F2822" i="127"/>
  <c r="E2823" i="127"/>
  <c r="F2823" i="127"/>
  <c r="E2824" i="127"/>
  <c r="F2824" i="127"/>
  <c r="E2825" i="127"/>
  <c r="F2825" i="127"/>
  <c r="E2826" i="127"/>
  <c r="F2826" i="127"/>
  <c r="E2827" i="127"/>
  <c r="F2827" i="127"/>
  <c r="E2828" i="127"/>
  <c r="F2828" i="127"/>
  <c r="E2829" i="127"/>
  <c r="F2829" i="127"/>
  <c r="E2830" i="127"/>
  <c r="F2830" i="127"/>
  <c r="E2831" i="127"/>
  <c r="F2831" i="127"/>
  <c r="E2832" i="127"/>
  <c r="F2832" i="127"/>
  <c r="E2833" i="127"/>
  <c r="F2833" i="127"/>
  <c r="E2834" i="127"/>
  <c r="F2834" i="127"/>
  <c r="E2835" i="127"/>
  <c r="F2835" i="127"/>
  <c r="E2836" i="127"/>
  <c r="F2836" i="127"/>
  <c r="E2837" i="127"/>
  <c r="F2837" i="127"/>
  <c r="E2838" i="127"/>
  <c r="F2838" i="127"/>
  <c r="E2839" i="127"/>
  <c r="F2839" i="127"/>
  <c r="E2840" i="127"/>
  <c r="F2840" i="127"/>
  <c r="E2841" i="127"/>
  <c r="F2841" i="127"/>
  <c r="E2842" i="127"/>
  <c r="F2842" i="127"/>
  <c r="E2843" i="127"/>
  <c r="F2843" i="127"/>
  <c r="E2844" i="127"/>
  <c r="F2844" i="127"/>
  <c r="E2845" i="127"/>
  <c r="F2845" i="127"/>
  <c r="E2846" i="127"/>
  <c r="F2846" i="127"/>
  <c r="E2847" i="127"/>
  <c r="F2847" i="127"/>
  <c r="E2848" i="127"/>
  <c r="F2848" i="127"/>
  <c r="E2849" i="127"/>
  <c r="F2849" i="127"/>
  <c r="E2850" i="127"/>
  <c r="F2850" i="127"/>
  <c r="E2851" i="127"/>
  <c r="F2851" i="127"/>
  <c r="E2852" i="127"/>
  <c r="F2852" i="127"/>
  <c r="E2853" i="127"/>
  <c r="F2853" i="127"/>
  <c r="E2854" i="127"/>
  <c r="F2854" i="127"/>
  <c r="E2855" i="127"/>
  <c r="F2855" i="127"/>
  <c r="E2856" i="127"/>
  <c r="F2856" i="127"/>
  <c r="E2857" i="127"/>
  <c r="F2857" i="127"/>
  <c r="E2858" i="127"/>
  <c r="F2858" i="127"/>
  <c r="E2859" i="127"/>
  <c r="F2859" i="127"/>
  <c r="E2860" i="127"/>
  <c r="F2860" i="127"/>
  <c r="E2861" i="127"/>
  <c r="F2861" i="127"/>
  <c r="E2862" i="127"/>
  <c r="F2862" i="127"/>
  <c r="E2863" i="127"/>
  <c r="F2863" i="127"/>
  <c r="E2864" i="127"/>
  <c r="F2864" i="127"/>
  <c r="E2865" i="127"/>
  <c r="F2865" i="127"/>
  <c r="E2866" i="127"/>
  <c r="F2866" i="127"/>
  <c r="E2867" i="127"/>
  <c r="F2867" i="127"/>
  <c r="E2868" i="127"/>
  <c r="F2868" i="127"/>
  <c r="E2869" i="127"/>
  <c r="F2869" i="127"/>
  <c r="E2870" i="127"/>
  <c r="F2870" i="127"/>
  <c r="E2871" i="127"/>
  <c r="F2871" i="127"/>
  <c r="E2872" i="127"/>
  <c r="F2872" i="127"/>
  <c r="E2873" i="127"/>
  <c r="F2873" i="127"/>
  <c r="E2874" i="127"/>
  <c r="F2874" i="127"/>
  <c r="E2875" i="127"/>
  <c r="F2875" i="127"/>
  <c r="E2876" i="127"/>
  <c r="F2876" i="127"/>
  <c r="E2877" i="127"/>
  <c r="E2878" i="127"/>
  <c r="F2878" i="127"/>
  <c r="E2879" i="127"/>
  <c r="F2879" i="127"/>
  <c r="E2880" i="127"/>
  <c r="F2880" i="127"/>
  <c r="E2881" i="127"/>
  <c r="F2881" i="127"/>
  <c r="E2882" i="127"/>
  <c r="F2882" i="127"/>
  <c r="E2883" i="127"/>
  <c r="F2883" i="127"/>
  <c r="E2884" i="127"/>
  <c r="F2884" i="127"/>
  <c r="E2885" i="127"/>
  <c r="F2885" i="127"/>
  <c r="E2886" i="127"/>
  <c r="F2886" i="127"/>
  <c r="E2887" i="127"/>
  <c r="F2887" i="127"/>
  <c r="E2888" i="127"/>
  <c r="F2888" i="127"/>
  <c r="E2889" i="127"/>
  <c r="F2889" i="127"/>
  <c r="E2890" i="127"/>
  <c r="F2890" i="127"/>
  <c r="E2891" i="127"/>
  <c r="F2891" i="127"/>
  <c r="E2892" i="127"/>
  <c r="F2892" i="127"/>
  <c r="E2893" i="127"/>
  <c r="F2893" i="127"/>
  <c r="E2894" i="127"/>
  <c r="F2894" i="127"/>
  <c r="E2895" i="127"/>
  <c r="F2895" i="127"/>
  <c r="E2896" i="127"/>
  <c r="F2896" i="127"/>
  <c r="E2897" i="127"/>
  <c r="F2897" i="127"/>
  <c r="E2898" i="127"/>
  <c r="F2898" i="127"/>
  <c r="E2899" i="127"/>
  <c r="F2899" i="127"/>
  <c r="E2900" i="127"/>
  <c r="F2900" i="127"/>
  <c r="E2901" i="127"/>
  <c r="F2901" i="127"/>
  <c r="E2902" i="127"/>
  <c r="F2902" i="127"/>
  <c r="E2903" i="127"/>
  <c r="F2903" i="127"/>
  <c r="E2904" i="127"/>
  <c r="E2905" i="127"/>
  <c r="F2905" i="127"/>
  <c r="E2906" i="127"/>
  <c r="F2906" i="127"/>
  <c r="E2907" i="127"/>
  <c r="F2907" i="127"/>
  <c r="E2908" i="127"/>
  <c r="F2908" i="127"/>
  <c r="E2909" i="127"/>
  <c r="F2909" i="127"/>
  <c r="E2910" i="127"/>
  <c r="F2910" i="127"/>
  <c r="E2911" i="127"/>
  <c r="F2911" i="127"/>
  <c r="E2912" i="127"/>
  <c r="F2912" i="127"/>
  <c r="E2913" i="127"/>
  <c r="F2913" i="127"/>
  <c r="E2914" i="127"/>
  <c r="F2914" i="127"/>
  <c r="E2915" i="127"/>
  <c r="F2915" i="127"/>
  <c r="E2916" i="127"/>
  <c r="F2916" i="127"/>
  <c r="E2917" i="127"/>
  <c r="F2917" i="127"/>
  <c r="E2918" i="127"/>
  <c r="F2918" i="127"/>
  <c r="E2919" i="127"/>
  <c r="F2919" i="127"/>
  <c r="E2920" i="127"/>
  <c r="F2920" i="127"/>
  <c r="E2921" i="127"/>
  <c r="F2921" i="127"/>
  <c r="E2922" i="127"/>
  <c r="F2922" i="127"/>
  <c r="E2923" i="127"/>
  <c r="F2923" i="127"/>
  <c r="E2924" i="127"/>
  <c r="F2924" i="127"/>
  <c r="E2925" i="127"/>
  <c r="F2925" i="127"/>
  <c r="E2926" i="127"/>
  <c r="F2926" i="127"/>
  <c r="E2927" i="127"/>
  <c r="F2927" i="127"/>
  <c r="E2928" i="127"/>
  <c r="F2928" i="127"/>
  <c r="E2929" i="127"/>
  <c r="F2929" i="127"/>
  <c r="E2930" i="127"/>
  <c r="F2930" i="127"/>
  <c r="E2931" i="127"/>
  <c r="F2931" i="127"/>
  <c r="E2932" i="127"/>
  <c r="F2932" i="127"/>
  <c r="E2933" i="127"/>
  <c r="F2933" i="127"/>
  <c r="E2934" i="127"/>
  <c r="F2934" i="127"/>
  <c r="E2935" i="127"/>
  <c r="F2935" i="127"/>
  <c r="E2936" i="127"/>
  <c r="F2936" i="127"/>
  <c r="E2937" i="127"/>
  <c r="F2937" i="127"/>
  <c r="E2938" i="127"/>
  <c r="F2938" i="127"/>
  <c r="E2939" i="127"/>
  <c r="F2939" i="127"/>
  <c r="E2940" i="127"/>
  <c r="F2940" i="127"/>
  <c r="E2941" i="127"/>
  <c r="F2941" i="127"/>
  <c r="E2942" i="127"/>
  <c r="F2942" i="127"/>
  <c r="E2943" i="127"/>
  <c r="F2943" i="127"/>
  <c r="E2944" i="127"/>
  <c r="F2944" i="127"/>
  <c r="E2945" i="127"/>
  <c r="F2945" i="127"/>
  <c r="E2946" i="127"/>
  <c r="F2946" i="127"/>
  <c r="E2947" i="127"/>
  <c r="F2947" i="127"/>
  <c r="E2948" i="127"/>
  <c r="F2948" i="127"/>
  <c r="E2949" i="127"/>
  <c r="F2949" i="127"/>
  <c r="E2950" i="127"/>
  <c r="F2950" i="127"/>
  <c r="E2951" i="127"/>
  <c r="F2951" i="127"/>
  <c r="E2952" i="127"/>
  <c r="F2952" i="127"/>
  <c r="E2953" i="127"/>
  <c r="F2953" i="127"/>
  <c r="E2954" i="127"/>
  <c r="F2954" i="127"/>
  <c r="E2955" i="127"/>
  <c r="F2955" i="127"/>
  <c r="E2956" i="127"/>
  <c r="F2956" i="127"/>
  <c r="E2957" i="127"/>
  <c r="F2957" i="127"/>
  <c r="E2958" i="127"/>
  <c r="F2958" i="127"/>
  <c r="E2959" i="127"/>
  <c r="E2960" i="127"/>
  <c r="F2960" i="127"/>
  <c r="E2961" i="127"/>
  <c r="F2961" i="127"/>
  <c r="E2962" i="127"/>
  <c r="F2962" i="127"/>
  <c r="E2963" i="127"/>
  <c r="F2963" i="127"/>
  <c r="E2964" i="127"/>
  <c r="F2964" i="127"/>
  <c r="E2965" i="127"/>
  <c r="F2965" i="127"/>
  <c r="E2966" i="127"/>
  <c r="F2966" i="127"/>
  <c r="E2967" i="127"/>
  <c r="F2967" i="127"/>
  <c r="E2968" i="127"/>
  <c r="F2968" i="127"/>
  <c r="E2969" i="127"/>
  <c r="F2969" i="127"/>
  <c r="E2970" i="127"/>
  <c r="F2970" i="127"/>
  <c r="E2971" i="127"/>
  <c r="F2971" i="127"/>
  <c r="E2972" i="127"/>
  <c r="F2972" i="127"/>
  <c r="E2973" i="127"/>
  <c r="F2973" i="127"/>
  <c r="S3105" i="127" s="1"/>
  <c r="E2974" i="127"/>
  <c r="F2974" i="127"/>
  <c r="E2975" i="127"/>
  <c r="F2975" i="127"/>
  <c r="E2976" i="127"/>
  <c r="F2976" i="127"/>
  <c r="E2977" i="127"/>
  <c r="F2977" i="127"/>
  <c r="E2978" i="127"/>
  <c r="F2978" i="127"/>
  <c r="E2979" i="127"/>
  <c r="F2979" i="127"/>
  <c r="E2980" i="127"/>
  <c r="F2980" i="127"/>
  <c r="E2981" i="127"/>
  <c r="F2981" i="127"/>
  <c r="E2982" i="127"/>
  <c r="F2982" i="127"/>
  <c r="E2983" i="127"/>
  <c r="F2983" i="127"/>
  <c r="E2984" i="127"/>
  <c r="F2984" i="127"/>
  <c r="E2985" i="127"/>
  <c r="F2985" i="127"/>
  <c r="E2986" i="127"/>
  <c r="F2986" i="127"/>
  <c r="E2987" i="127"/>
  <c r="F2987" i="127"/>
  <c r="E2988" i="127"/>
  <c r="F2988" i="127"/>
  <c r="E2989" i="127"/>
  <c r="F2989" i="127"/>
  <c r="E2990" i="127"/>
  <c r="F2990" i="127"/>
  <c r="E2991" i="127"/>
  <c r="F2991" i="127"/>
  <c r="E2992" i="127"/>
  <c r="F2992" i="127"/>
  <c r="E2993" i="127"/>
  <c r="F2993" i="127"/>
  <c r="E2994" i="127"/>
  <c r="F2994" i="127"/>
  <c r="E2995" i="127"/>
  <c r="F2995" i="127"/>
  <c r="E2996" i="127"/>
  <c r="F2996" i="127"/>
  <c r="E2997" i="127"/>
  <c r="F2997" i="127"/>
  <c r="E2998" i="127"/>
  <c r="F2998" i="127"/>
  <c r="E2999" i="127"/>
  <c r="F2999" i="127"/>
  <c r="E3000" i="127"/>
  <c r="F3000" i="127"/>
  <c r="E3001" i="127"/>
  <c r="F3001" i="127"/>
  <c r="E3002" i="127"/>
  <c r="F3002" i="127"/>
  <c r="E3003" i="127"/>
  <c r="F3003" i="127"/>
  <c r="E3004" i="127"/>
  <c r="F3004" i="127"/>
  <c r="E3005" i="127"/>
  <c r="F3005" i="127"/>
  <c r="E3006" i="127"/>
  <c r="F3006" i="127"/>
  <c r="E3007" i="127"/>
  <c r="F3007" i="127"/>
  <c r="E3008" i="127"/>
  <c r="F3008" i="127"/>
  <c r="E3009" i="127"/>
  <c r="F3009" i="127"/>
  <c r="E3010" i="127"/>
  <c r="F3010" i="127"/>
  <c r="E3011" i="127"/>
  <c r="F3011" i="127"/>
  <c r="E3012" i="127"/>
  <c r="F3012" i="127"/>
  <c r="E3013" i="127"/>
  <c r="F3013" i="127"/>
  <c r="E3014" i="127"/>
  <c r="F3014" i="127"/>
  <c r="E3015" i="127"/>
  <c r="F3015" i="127"/>
  <c r="E3016" i="127"/>
  <c r="F3016" i="127"/>
  <c r="E3017" i="127"/>
  <c r="F3017" i="127"/>
  <c r="E3018" i="127"/>
  <c r="F3018" i="127"/>
  <c r="E3019" i="127"/>
  <c r="F3019" i="127"/>
  <c r="E3020" i="127"/>
  <c r="F3020" i="127"/>
  <c r="E3021" i="127"/>
  <c r="F3021" i="127"/>
  <c r="E3022" i="127"/>
  <c r="F3022" i="127"/>
  <c r="E3023" i="127"/>
  <c r="F3023" i="127"/>
  <c r="E3024" i="127"/>
  <c r="F3024" i="127"/>
  <c r="E3025" i="127"/>
  <c r="F3025" i="127"/>
  <c r="E3026" i="127"/>
  <c r="F3026" i="127"/>
  <c r="E3027" i="127"/>
  <c r="F3027" i="127"/>
  <c r="R3027" i="127" s="1"/>
  <c r="E3028" i="127"/>
  <c r="F3028" i="127"/>
  <c r="E3029" i="127"/>
  <c r="F3029" i="127"/>
  <c r="E3030" i="127"/>
  <c r="F3030" i="127"/>
  <c r="E3031" i="127"/>
  <c r="F3031" i="127"/>
  <c r="E3032" i="127"/>
  <c r="F3032" i="127"/>
  <c r="E3033" i="127"/>
  <c r="F3033" i="127"/>
  <c r="E3034" i="127"/>
  <c r="F3034" i="127"/>
  <c r="E3035" i="127"/>
  <c r="F3035" i="127"/>
  <c r="E3036" i="127"/>
  <c r="F3036" i="127"/>
  <c r="E3037" i="127"/>
  <c r="F3037" i="127"/>
  <c r="E3038" i="127"/>
  <c r="F3038" i="127"/>
  <c r="E3039" i="127"/>
  <c r="F3039" i="127"/>
  <c r="E3040" i="127"/>
  <c r="F3040" i="127"/>
  <c r="E3041" i="127"/>
  <c r="F3041" i="127"/>
  <c r="E3042" i="127"/>
  <c r="F3042" i="127"/>
  <c r="E3043" i="127"/>
  <c r="F3043" i="127"/>
  <c r="E3044" i="127"/>
  <c r="F3044" i="127"/>
  <c r="E3045" i="127"/>
  <c r="F3045" i="127"/>
  <c r="E3046" i="127"/>
  <c r="F3046" i="127"/>
  <c r="E3047" i="127"/>
  <c r="F3047" i="127"/>
  <c r="E3048" i="127"/>
  <c r="F3048" i="127"/>
  <c r="E3049" i="127"/>
  <c r="F3049" i="127"/>
  <c r="E3050" i="127"/>
  <c r="F3050" i="127"/>
  <c r="E3051" i="127"/>
  <c r="E3052" i="127"/>
  <c r="E3053" i="127"/>
  <c r="F3053" i="127"/>
  <c r="S1715" i="127" s="1"/>
  <c r="E3054" i="127"/>
  <c r="F3054" i="127"/>
  <c r="E3055" i="127"/>
  <c r="F3055" i="127"/>
  <c r="E3056" i="127"/>
  <c r="F3056" i="127"/>
  <c r="E3057" i="127"/>
  <c r="F3057" i="127"/>
  <c r="E3058" i="127"/>
  <c r="F3058" i="127"/>
  <c r="E3059" i="127"/>
  <c r="F3059" i="127"/>
  <c r="E3060" i="127"/>
  <c r="F3060" i="127"/>
  <c r="E3061" i="127"/>
  <c r="F3061" i="127"/>
  <c r="E3062" i="127"/>
  <c r="F3062" i="127"/>
  <c r="E3063" i="127"/>
  <c r="F3063" i="127"/>
  <c r="E3064" i="127"/>
  <c r="F3064" i="127"/>
  <c r="E3065" i="127"/>
  <c r="F3065" i="127"/>
  <c r="E3066" i="127"/>
  <c r="F3066" i="127"/>
  <c r="E3067" i="127"/>
  <c r="F3067" i="127"/>
  <c r="E3068" i="127"/>
  <c r="F3068" i="127"/>
  <c r="E3069" i="127"/>
  <c r="F3069" i="127"/>
  <c r="E3070" i="127"/>
  <c r="F3070" i="127"/>
  <c r="E3071" i="127"/>
  <c r="F3071" i="127"/>
  <c r="E3072" i="127"/>
  <c r="F3072" i="127"/>
  <c r="E3073" i="127"/>
  <c r="F3073" i="127"/>
  <c r="E3074" i="127"/>
  <c r="F3074" i="127"/>
  <c r="S2555" i="127" s="1"/>
  <c r="E3075" i="127"/>
  <c r="F3075" i="127"/>
  <c r="E3076" i="127"/>
  <c r="F3076" i="127"/>
  <c r="E3077" i="127"/>
  <c r="F3077" i="127"/>
  <c r="E3078" i="127"/>
  <c r="F3078" i="127"/>
  <c r="E3079" i="127"/>
  <c r="F3079" i="127"/>
  <c r="E3080" i="127"/>
  <c r="F3080" i="127"/>
  <c r="E3081" i="127"/>
  <c r="F3081" i="127"/>
  <c r="E3082" i="127"/>
  <c r="F3082" i="127"/>
  <c r="E3083" i="127"/>
  <c r="F3083" i="127"/>
  <c r="E3084" i="127"/>
  <c r="F3084" i="127"/>
  <c r="E3085" i="127"/>
  <c r="F3085" i="127"/>
  <c r="E3086" i="127"/>
  <c r="F3086" i="127"/>
  <c r="E3087" i="127"/>
  <c r="F3087" i="127"/>
  <c r="E3088" i="127"/>
  <c r="F3088" i="127"/>
  <c r="E3089" i="127"/>
  <c r="F3089" i="127"/>
  <c r="E3090" i="127"/>
  <c r="F3090" i="127"/>
  <c r="E3091" i="127"/>
  <c r="F3091" i="127"/>
  <c r="E3092" i="127"/>
  <c r="F3092" i="127"/>
  <c r="E3093" i="127"/>
  <c r="F3093" i="127"/>
  <c r="E3094" i="127"/>
  <c r="F3094" i="127"/>
  <c r="E3095" i="127"/>
  <c r="F3095" i="127"/>
  <c r="E3096" i="127"/>
  <c r="F3096" i="127"/>
  <c r="E3097" i="127"/>
  <c r="F3097" i="127"/>
  <c r="E3098" i="127"/>
  <c r="F3098" i="127"/>
  <c r="E3099" i="127"/>
  <c r="F3099" i="127"/>
  <c r="E3100" i="127"/>
  <c r="F3100" i="127"/>
  <c r="E3101" i="127"/>
  <c r="F3101" i="127"/>
  <c r="E3102" i="127"/>
  <c r="F3102" i="127"/>
  <c r="E3103" i="127"/>
  <c r="F3103" i="127"/>
  <c r="E3104" i="127"/>
  <c r="F3104" i="127"/>
  <c r="E3105" i="127"/>
  <c r="F3105" i="127"/>
  <c r="E3106" i="127"/>
  <c r="F3106" i="127"/>
  <c r="E3107" i="127"/>
  <c r="F3107" i="127"/>
  <c r="E3108" i="127"/>
  <c r="F3108" i="127"/>
  <c r="E3109" i="127"/>
  <c r="F3109" i="127"/>
  <c r="E3110" i="127"/>
  <c r="F3110" i="127"/>
  <c r="E3111" i="127"/>
  <c r="F3111" i="127"/>
  <c r="E3112" i="127"/>
  <c r="F3112" i="127"/>
  <c r="E3113" i="127"/>
  <c r="F3113" i="127"/>
  <c r="E3114" i="127"/>
  <c r="F3114" i="127"/>
  <c r="E3115" i="127"/>
  <c r="F3115" i="127"/>
  <c r="E3116" i="127"/>
  <c r="F3116" i="127"/>
  <c r="E3117" i="127"/>
  <c r="F3117" i="127"/>
  <c r="E3118" i="127"/>
  <c r="F3118" i="127"/>
  <c r="E3119" i="127"/>
  <c r="F3119" i="127"/>
  <c r="E3120" i="127"/>
  <c r="F3120" i="127"/>
  <c r="E3121" i="127"/>
  <c r="F3121" i="127"/>
  <c r="E3122" i="127"/>
  <c r="F3122" i="127"/>
  <c r="E3123" i="127"/>
  <c r="F3123" i="127"/>
  <c r="E3124" i="127"/>
  <c r="F3124" i="127"/>
  <c r="E3125" i="127"/>
  <c r="F3125" i="127"/>
  <c r="E3126" i="127"/>
  <c r="F3126" i="127"/>
  <c r="E3127" i="127"/>
  <c r="F3127" i="127"/>
  <c r="E3128" i="127"/>
  <c r="F3128" i="127"/>
  <c r="E3129" i="127"/>
  <c r="F3129" i="127"/>
  <c r="E3130" i="127"/>
  <c r="F3130" i="127"/>
  <c r="E3131" i="127"/>
  <c r="F3131" i="127"/>
  <c r="E3132" i="127"/>
  <c r="F3132" i="127"/>
  <c r="E3133" i="127"/>
  <c r="F3133" i="127"/>
  <c r="E3134" i="127"/>
  <c r="F3134" i="127"/>
  <c r="E3135" i="127"/>
  <c r="F3135" i="127"/>
  <c r="E3136" i="127"/>
  <c r="F3136" i="127"/>
  <c r="E3137" i="127"/>
  <c r="F3137" i="127"/>
  <c r="E3138" i="127"/>
  <c r="F3138" i="127"/>
  <c r="E3139" i="127"/>
  <c r="F3139" i="127"/>
  <c r="E3140" i="127"/>
  <c r="F3140" i="127"/>
  <c r="E3141" i="127"/>
  <c r="F3141" i="127"/>
  <c r="E3142" i="127"/>
  <c r="F3142" i="127"/>
  <c r="E3143" i="127"/>
  <c r="F3143" i="127"/>
  <c r="E3144" i="127"/>
  <c r="F3144" i="127"/>
  <c r="E3145" i="127"/>
  <c r="F3145" i="127"/>
  <c r="E3146" i="127"/>
  <c r="F3146" i="127"/>
  <c r="E3147" i="127"/>
  <c r="F3147" i="127"/>
  <c r="E3148" i="127"/>
  <c r="F3148" i="127"/>
  <c r="E3149" i="127"/>
  <c r="F3149" i="127"/>
  <c r="E3150" i="127"/>
  <c r="F3150" i="127"/>
  <c r="E3151" i="127"/>
  <c r="F3151" i="127"/>
  <c r="E3152" i="127"/>
  <c r="F3152" i="127"/>
  <c r="E3153" i="127"/>
  <c r="F3153" i="127"/>
  <c r="E3154" i="127"/>
  <c r="F3154" i="127"/>
  <c r="E3155" i="127"/>
  <c r="F3155" i="127"/>
  <c r="E3156" i="127"/>
  <c r="F3156" i="127"/>
  <c r="E3157" i="127"/>
  <c r="F3157" i="127"/>
  <c r="E3158" i="127"/>
  <c r="F3158" i="127"/>
  <c r="E3159" i="127"/>
  <c r="E3160" i="127"/>
  <c r="F3160" i="127"/>
  <c r="E3161" i="127"/>
  <c r="F3161" i="127"/>
  <c r="E3162" i="127"/>
  <c r="F3162" i="127"/>
  <c r="E3163" i="127"/>
  <c r="F3163" i="127"/>
  <c r="E3164" i="127"/>
  <c r="F3164" i="127"/>
  <c r="E3165" i="127"/>
  <c r="F3165" i="127"/>
  <c r="E3166" i="127"/>
  <c r="F3166" i="127"/>
  <c r="E3167" i="127"/>
  <c r="F3167" i="127"/>
  <c r="E3168" i="127"/>
  <c r="F3168" i="127"/>
  <c r="E3169" i="127"/>
  <c r="F3169" i="127"/>
  <c r="E3170" i="127"/>
  <c r="F3170" i="127"/>
  <c r="E3171" i="127"/>
  <c r="F3171" i="127"/>
  <c r="E3172" i="127"/>
  <c r="F3172" i="127"/>
  <c r="E3173" i="127"/>
  <c r="F3173" i="127"/>
  <c r="E3174" i="127"/>
  <c r="F3174" i="127"/>
  <c r="E3175" i="127"/>
  <c r="F3175" i="127"/>
  <c r="E3176" i="127"/>
  <c r="F3176" i="127"/>
  <c r="E3177" i="127"/>
  <c r="F3177" i="127"/>
  <c r="E3178" i="127"/>
  <c r="F3178" i="127"/>
  <c r="E3179" i="127"/>
  <c r="F3179" i="127"/>
  <c r="E3180" i="127"/>
  <c r="F3180" i="127"/>
  <c r="E3181" i="127"/>
  <c r="F3181" i="127"/>
  <c r="E3182" i="127"/>
  <c r="F3182" i="127"/>
  <c r="E3183" i="127"/>
  <c r="F3183" i="127"/>
  <c r="E3184" i="127"/>
  <c r="F3184" i="127"/>
  <c r="E3185" i="127"/>
  <c r="F3185" i="127"/>
  <c r="E3186" i="127"/>
  <c r="F3186" i="127"/>
  <c r="E3187" i="127"/>
  <c r="F3187" i="127"/>
  <c r="E3188" i="127"/>
  <c r="F3188" i="127"/>
  <c r="E3189" i="127"/>
  <c r="F3189" i="127"/>
  <c r="E3190" i="127"/>
  <c r="F3190" i="127"/>
  <c r="E3191" i="127"/>
  <c r="F3191" i="127"/>
  <c r="E3192" i="127"/>
  <c r="F3192" i="127"/>
  <c r="E3193" i="127"/>
  <c r="F3193" i="127"/>
  <c r="E3194" i="127"/>
  <c r="F3194" i="127"/>
  <c r="E3195" i="127"/>
  <c r="F3195" i="127"/>
  <c r="E3196" i="127"/>
  <c r="F3196" i="127"/>
  <c r="F3197" i="127"/>
  <c r="E3198" i="127"/>
  <c r="F3198" i="127"/>
  <c r="E3199" i="127"/>
  <c r="F3199" i="127"/>
  <c r="E3200" i="127"/>
  <c r="F3200" i="127"/>
  <c r="E3201" i="127"/>
  <c r="F3201" i="127"/>
  <c r="E3202" i="127"/>
  <c r="F3202" i="127"/>
  <c r="E3203" i="127"/>
  <c r="F3203" i="127"/>
  <c r="E3204" i="127"/>
  <c r="F3204" i="127"/>
  <c r="E3205" i="127"/>
  <c r="F3205" i="127"/>
  <c r="E3206" i="127"/>
  <c r="F3206" i="127"/>
  <c r="E3207" i="127"/>
  <c r="F3207" i="127"/>
  <c r="E3208" i="127"/>
  <c r="F3208" i="127"/>
  <c r="E3209" i="127"/>
  <c r="F3209" i="127"/>
  <c r="E3210" i="127"/>
  <c r="F3210" i="127"/>
  <c r="E3211" i="127"/>
  <c r="F3211" i="127"/>
  <c r="E3212" i="127"/>
  <c r="F3212" i="127"/>
  <c r="E3213" i="127"/>
  <c r="F3213" i="127"/>
  <c r="E3214" i="127"/>
  <c r="F3214" i="127"/>
  <c r="E3215" i="127"/>
  <c r="F3215" i="127"/>
  <c r="E3216" i="127"/>
  <c r="F3216" i="127"/>
  <c r="E3217" i="127"/>
  <c r="F3217" i="127"/>
  <c r="E3218" i="127"/>
  <c r="F3218" i="127"/>
  <c r="E3219" i="127"/>
  <c r="F3219" i="127"/>
  <c r="E3220" i="127"/>
  <c r="F3220" i="127"/>
  <c r="E3221" i="127"/>
  <c r="F3221" i="127"/>
  <c r="E3222" i="127"/>
  <c r="F3222" i="127"/>
  <c r="E3223" i="127"/>
  <c r="F3223" i="127"/>
  <c r="E3224" i="127"/>
  <c r="F3224" i="127"/>
  <c r="E3225" i="127"/>
  <c r="F3225" i="127"/>
  <c r="E3226" i="127"/>
  <c r="F3226" i="127"/>
  <c r="E3227" i="127"/>
  <c r="F3227" i="127"/>
  <c r="E3228" i="127"/>
  <c r="F3228" i="127"/>
  <c r="E3229" i="127"/>
  <c r="F3229" i="127"/>
  <c r="E3230" i="127"/>
  <c r="F3230" i="127"/>
  <c r="E3231" i="127"/>
  <c r="F3231" i="127"/>
  <c r="E3232" i="127"/>
  <c r="F3232" i="127"/>
  <c r="E3233" i="127"/>
  <c r="F3233" i="127"/>
  <c r="E3234" i="127"/>
  <c r="F3234" i="127"/>
  <c r="E3235" i="127"/>
  <c r="F3235" i="127"/>
  <c r="E3236" i="127"/>
  <c r="F3236" i="127"/>
  <c r="E3237" i="127"/>
  <c r="F3237" i="127"/>
  <c r="E3238" i="127"/>
  <c r="F3238" i="127"/>
  <c r="E3239" i="127"/>
  <c r="F3239" i="127"/>
  <c r="E3240" i="127"/>
  <c r="F3240" i="127"/>
  <c r="E3241" i="127"/>
  <c r="F3241" i="127"/>
  <c r="E3242" i="127"/>
  <c r="F3242" i="127"/>
  <c r="E3243" i="127"/>
  <c r="F3243" i="127"/>
  <c r="E3244" i="127"/>
  <c r="F3244" i="127"/>
  <c r="E3245" i="127"/>
  <c r="F3245" i="127"/>
  <c r="E3246" i="127"/>
  <c r="F3246" i="127"/>
  <c r="E3247" i="127"/>
  <c r="F3247" i="127"/>
  <c r="E3248" i="127"/>
  <c r="F3248" i="127"/>
  <c r="E3249" i="127"/>
  <c r="F3249" i="127"/>
  <c r="E3250" i="127"/>
  <c r="F3250" i="127"/>
  <c r="E3251" i="127"/>
  <c r="F3251" i="127"/>
  <c r="E3252" i="127"/>
  <c r="F3252" i="127"/>
  <c r="E3253" i="127"/>
  <c r="F3253" i="127"/>
  <c r="E3254" i="127"/>
  <c r="F3254" i="127"/>
  <c r="E3255" i="127"/>
  <c r="F3255" i="127"/>
  <c r="E3256" i="127"/>
  <c r="F3256" i="127"/>
  <c r="E3257" i="127"/>
  <c r="F3257" i="127"/>
  <c r="E3258" i="127"/>
  <c r="F3258" i="127"/>
  <c r="E3259" i="127"/>
  <c r="F3259" i="127"/>
  <c r="E3260" i="127"/>
  <c r="F3260" i="127"/>
  <c r="E3261" i="127"/>
  <c r="F3261" i="127"/>
  <c r="E3262" i="127"/>
  <c r="F3262" i="127"/>
  <c r="R3262" i="127" s="1"/>
  <c r="E3263" i="127"/>
  <c r="F3263" i="127"/>
  <c r="E3264" i="127"/>
  <c r="F3264" i="127"/>
  <c r="E3265" i="127"/>
  <c r="F3265" i="127"/>
  <c r="E3266" i="127"/>
  <c r="F3266" i="127"/>
  <c r="E3267" i="127"/>
  <c r="F3267" i="127"/>
  <c r="E3268" i="127"/>
  <c r="F3268" i="127"/>
  <c r="E3269" i="127"/>
  <c r="F3269" i="127"/>
  <c r="E3270" i="127"/>
  <c r="F3270" i="127"/>
  <c r="E3271" i="127"/>
  <c r="F3271" i="127"/>
  <c r="E3272" i="127"/>
  <c r="F3272" i="127"/>
  <c r="E3273" i="127"/>
  <c r="F3273" i="127"/>
  <c r="E3274" i="127"/>
  <c r="E3275" i="127"/>
  <c r="E3276" i="127"/>
  <c r="E3277" i="127"/>
  <c r="F3277" i="127"/>
  <c r="E3278" i="127"/>
  <c r="F3278" i="127"/>
  <c r="E3279" i="127"/>
  <c r="F3279" i="127"/>
  <c r="E3280" i="127"/>
  <c r="F3280" i="127"/>
  <c r="E3281" i="127"/>
  <c r="F3281" i="127"/>
  <c r="E3282" i="127"/>
  <c r="F3282" i="127"/>
  <c r="E3283" i="127"/>
  <c r="F3283" i="127"/>
  <c r="E3284" i="127"/>
  <c r="F3284" i="127"/>
  <c r="E3285" i="127"/>
  <c r="F3285" i="127"/>
  <c r="E3286" i="127"/>
  <c r="F3286" i="127"/>
  <c r="E3287" i="127"/>
  <c r="F3287" i="127"/>
  <c r="E3288" i="127"/>
  <c r="F3288" i="127"/>
  <c r="E3289" i="127"/>
  <c r="F3289" i="127"/>
  <c r="E3290" i="127"/>
  <c r="F3290" i="127"/>
  <c r="E3291" i="127"/>
  <c r="F3291" i="127"/>
  <c r="E3292" i="127"/>
  <c r="F3292" i="127"/>
  <c r="E3293" i="127"/>
  <c r="F3293" i="127"/>
  <c r="E3294" i="127"/>
  <c r="F3294" i="127"/>
  <c r="E3295" i="127"/>
  <c r="F3295" i="127"/>
  <c r="E3296" i="127"/>
  <c r="F3296" i="127"/>
  <c r="E3297" i="127"/>
  <c r="F3297" i="127"/>
  <c r="E3298" i="127"/>
  <c r="F3298" i="127"/>
  <c r="E3299" i="127"/>
  <c r="F3299" i="127"/>
  <c r="E3300" i="127"/>
  <c r="F3300" i="127"/>
  <c r="E3301" i="127"/>
  <c r="F3301" i="127"/>
  <c r="E3302" i="127"/>
  <c r="E3303" i="127"/>
  <c r="F3303" i="127"/>
  <c r="E3304" i="127"/>
  <c r="F3304" i="127"/>
  <c r="E3305" i="127"/>
  <c r="F3305" i="127"/>
  <c r="E3306" i="127"/>
  <c r="F3306" i="127"/>
  <c r="E3307" i="127"/>
  <c r="F3307" i="127"/>
  <c r="E3308" i="127"/>
  <c r="F3308" i="127"/>
  <c r="E3309" i="127"/>
  <c r="F3309" i="127"/>
  <c r="E3310" i="127"/>
  <c r="F3310" i="127"/>
  <c r="E3311" i="127"/>
  <c r="F3311" i="127"/>
  <c r="E3312" i="127"/>
  <c r="F3312" i="127"/>
  <c r="E3313" i="127"/>
  <c r="F3313" i="127"/>
  <c r="E3314" i="127"/>
  <c r="F3314" i="127"/>
  <c r="E3315" i="127"/>
  <c r="F3315" i="127"/>
  <c r="E3316" i="127"/>
  <c r="F3316" i="127"/>
  <c r="E3317" i="127"/>
  <c r="F3317" i="127"/>
  <c r="E3318" i="127"/>
  <c r="F3318" i="127"/>
  <c r="E3319" i="127"/>
  <c r="F3319" i="127"/>
  <c r="E3320" i="127"/>
  <c r="F3320" i="127"/>
  <c r="E3321" i="127"/>
  <c r="F3321" i="127"/>
  <c r="E3322" i="127"/>
  <c r="F3322" i="127"/>
  <c r="E3323" i="127"/>
  <c r="F3323" i="127"/>
  <c r="E3324" i="127"/>
  <c r="F3324" i="127"/>
  <c r="E3325" i="127"/>
  <c r="F3325" i="127"/>
  <c r="E3326" i="127"/>
  <c r="F3326" i="127"/>
  <c r="E3327" i="127"/>
  <c r="F3327" i="127"/>
  <c r="E3328" i="127"/>
  <c r="F3328" i="127"/>
  <c r="E3329" i="127"/>
  <c r="F3329" i="127"/>
  <c r="E3330" i="127"/>
  <c r="F3330" i="127"/>
  <c r="E3331" i="127"/>
  <c r="F3331" i="127"/>
  <c r="E3332" i="127"/>
  <c r="F3332" i="127"/>
  <c r="E3333" i="127"/>
  <c r="F3333" i="127"/>
  <c r="E3334" i="127"/>
  <c r="F3334" i="127"/>
  <c r="E3335" i="127"/>
  <c r="F3335" i="127"/>
  <c r="E3336" i="127"/>
  <c r="F3336" i="127"/>
  <c r="E3337" i="127"/>
  <c r="F3337" i="127"/>
  <c r="E3338" i="127"/>
  <c r="F3338" i="127"/>
  <c r="E3339" i="127"/>
  <c r="F3339" i="127"/>
  <c r="E3340" i="127"/>
  <c r="F3340" i="127"/>
  <c r="E3341" i="127"/>
  <c r="F3341" i="127"/>
  <c r="E3342" i="127"/>
  <c r="F3342" i="127"/>
  <c r="E3343" i="127"/>
  <c r="F3343" i="127"/>
  <c r="E3344" i="127"/>
  <c r="F3344" i="127"/>
  <c r="E3345" i="127"/>
  <c r="F3345" i="127"/>
  <c r="E3346" i="127"/>
  <c r="F3346" i="127"/>
  <c r="E3347" i="127"/>
  <c r="F3347" i="127"/>
  <c r="E3348" i="127"/>
  <c r="F3348" i="127"/>
  <c r="E3349" i="127"/>
  <c r="F3349" i="127"/>
  <c r="E3350" i="127"/>
  <c r="F3350" i="127"/>
  <c r="E3351" i="127"/>
  <c r="F3351" i="127"/>
  <c r="E3352" i="127"/>
  <c r="F3352" i="127"/>
  <c r="E3353" i="127"/>
  <c r="F3353" i="127"/>
  <c r="E3354" i="127"/>
  <c r="F3354" i="127"/>
  <c r="E3355" i="127"/>
  <c r="F3355" i="127"/>
  <c r="E3356" i="127"/>
  <c r="F3356" i="127"/>
  <c r="E3357" i="127"/>
  <c r="F3357" i="127"/>
  <c r="E3358" i="127"/>
  <c r="F3358" i="127"/>
  <c r="E3359" i="127"/>
  <c r="F3359" i="127"/>
  <c r="E3360" i="127"/>
  <c r="F3360" i="127"/>
  <c r="R3360" i="127" s="1"/>
  <c r="E3361" i="127"/>
  <c r="F3361" i="127"/>
  <c r="E3362" i="127"/>
  <c r="F3362" i="127"/>
  <c r="E3363" i="127"/>
  <c r="F3363" i="127"/>
  <c r="E3364" i="127"/>
  <c r="F3364" i="127"/>
  <c r="E3365" i="127"/>
  <c r="F3365" i="127"/>
  <c r="E3366" i="127"/>
  <c r="F3366" i="127"/>
  <c r="E3367" i="127"/>
  <c r="F3367" i="127"/>
  <c r="E3368" i="127"/>
  <c r="F3368" i="127"/>
  <c r="E3369" i="127"/>
  <c r="F3369" i="127"/>
  <c r="E3370" i="127"/>
  <c r="F3370" i="127"/>
  <c r="E3371" i="127"/>
  <c r="F3371" i="127"/>
  <c r="E3372" i="127"/>
  <c r="F3372" i="127"/>
  <c r="E3373" i="127"/>
  <c r="F3373" i="127"/>
  <c r="E3374" i="127"/>
  <c r="F3374" i="127"/>
  <c r="E3375" i="127"/>
  <c r="F3375" i="127"/>
  <c r="E3376" i="127"/>
  <c r="F3376" i="127"/>
  <c r="R3376" i="127" s="1"/>
  <c r="E3377" i="127"/>
  <c r="E3378" i="127"/>
  <c r="E3379" i="127"/>
  <c r="S1737" i="127"/>
  <c r="E3380" i="127"/>
  <c r="E3381" i="127"/>
  <c r="E3382" i="127"/>
  <c r="E3383" i="127"/>
  <c r="E3384" i="127"/>
  <c r="E3385" i="127"/>
  <c r="E3386" i="127"/>
  <c r="E3387" i="127"/>
  <c r="E3388" i="127"/>
  <c r="E3389" i="127"/>
  <c r="E3390" i="127"/>
  <c r="E3391" i="127"/>
  <c r="E3392" i="127"/>
  <c r="E3393" i="127"/>
  <c r="E3394" i="127"/>
  <c r="E3395" i="127"/>
  <c r="E3396" i="127"/>
  <c r="E3397" i="127"/>
  <c r="E3398" i="127"/>
  <c r="E3399" i="127"/>
  <c r="E3400" i="127"/>
  <c r="E3401" i="127"/>
  <c r="E3402" i="127"/>
  <c r="E3403" i="127"/>
  <c r="E3404" i="127"/>
  <c r="E3405" i="127"/>
  <c r="E3406" i="127"/>
  <c r="E3407" i="127"/>
  <c r="E3408" i="127"/>
  <c r="E3409" i="127"/>
  <c r="E3410" i="127"/>
  <c r="E3411" i="127"/>
  <c r="E3412" i="127"/>
  <c r="E3413" i="127"/>
  <c r="E3414" i="127"/>
  <c r="E3415" i="127"/>
  <c r="E3416" i="127"/>
  <c r="E3417" i="127"/>
  <c r="E3418" i="127"/>
  <c r="E3419" i="127"/>
  <c r="E3420" i="127"/>
  <c r="E3421" i="127"/>
  <c r="E3422" i="127"/>
  <c r="E3423" i="127"/>
  <c r="E3424" i="127"/>
  <c r="E3425" i="127"/>
  <c r="E3426" i="127"/>
  <c r="E3427" i="127"/>
  <c r="E3428" i="127"/>
  <c r="E3429" i="127"/>
  <c r="E3430" i="127"/>
  <c r="E3431" i="127"/>
  <c r="E3432" i="127"/>
  <c r="E3433" i="127"/>
  <c r="E3434" i="127"/>
  <c r="E3435" i="127"/>
  <c r="E3436" i="127"/>
  <c r="E3437" i="127"/>
  <c r="E3438" i="127"/>
  <c r="E3439" i="127"/>
  <c r="E3440" i="127"/>
  <c r="E3441" i="127"/>
  <c r="E3442" i="127"/>
  <c r="E3443" i="127"/>
  <c r="E3444" i="127"/>
  <c r="E3445" i="127"/>
  <c r="T2453" i="127"/>
  <c r="E3446" i="127"/>
  <c r="E3447" i="127"/>
  <c r="E3448" i="127"/>
  <c r="E3449" i="127"/>
  <c r="E3450" i="127"/>
  <c r="E3451" i="127"/>
  <c r="E3452" i="127"/>
  <c r="E3453" i="127"/>
  <c r="E3454" i="127"/>
  <c r="E3455" i="127"/>
  <c r="E3456" i="127"/>
  <c r="E3457" i="127"/>
  <c r="E3458" i="127"/>
  <c r="E3459" i="127"/>
  <c r="E3460" i="127"/>
  <c r="E3461" i="127"/>
  <c r="E3462" i="127"/>
  <c r="E3463" i="127"/>
  <c r="E3464" i="127"/>
  <c r="E3465" i="127"/>
  <c r="E3466" i="127"/>
  <c r="E3467" i="127"/>
  <c r="E3468" i="127"/>
  <c r="E3469" i="127"/>
  <c r="E3470" i="127"/>
  <c r="E3471" i="127"/>
  <c r="E3472" i="127"/>
  <c r="E3473" i="127"/>
  <c r="E3474" i="127"/>
  <c r="E3475" i="127"/>
  <c r="E3476" i="127"/>
  <c r="E3477" i="127"/>
  <c r="E3478" i="127"/>
  <c r="E3479" i="127"/>
  <c r="E3480" i="127"/>
  <c r="E3481" i="127"/>
  <c r="E3482" i="127"/>
  <c r="E3483" i="127"/>
  <c r="E3484" i="127"/>
  <c r="E3485" i="127"/>
  <c r="E3486" i="127"/>
  <c r="E3487" i="127"/>
  <c r="E3488" i="127"/>
  <c r="E3489" i="127"/>
  <c r="E3490" i="127"/>
  <c r="E3491" i="127"/>
  <c r="E3492" i="127"/>
  <c r="E3493" i="127"/>
  <c r="E3494" i="127"/>
  <c r="E3495" i="127"/>
  <c r="E3496" i="127"/>
  <c r="E3497" i="127"/>
  <c r="E3498" i="127"/>
  <c r="E3499" i="127"/>
  <c r="E3500" i="127"/>
  <c r="E3501" i="127"/>
  <c r="E3502" i="127"/>
  <c r="E3503" i="127"/>
  <c r="E3504" i="127"/>
  <c r="E3505" i="127"/>
  <c r="E3506" i="127"/>
  <c r="E3507" i="127"/>
  <c r="E3508" i="127"/>
  <c r="E3509" i="127"/>
  <c r="E3510" i="127"/>
  <c r="E3511" i="127"/>
  <c r="E3512" i="127"/>
  <c r="E3513" i="127"/>
  <c r="E3514" i="127"/>
  <c r="E3515" i="127"/>
  <c r="E3516" i="127"/>
  <c r="E3517" i="127"/>
  <c r="E3518" i="127"/>
  <c r="E3519" i="127"/>
  <c r="E3520" i="127"/>
  <c r="E3521" i="127"/>
  <c r="E3522" i="127"/>
  <c r="E3523" i="127"/>
  <c r="E3524" i="127"/>
  <c r="E3525" i="127"/>
  <c r="E3526" i="127"/>
  <c r="E3527" i="127"/>
  <c r="E3528" i="127"/>
  <c r="E3529" i="127"/>
  <c r="E3530" i="127"/>
  <c r="E3531" i="127"/>
  <c r="E3532" i="127"/>
  <c r="E3533" i="127"/>
  <c r="E3534" i="127"/>
  <c r="E3535" i="127"/>
  <c r="E3536" i="127"/>
  <c r="E3537" i="127"/>
  <c r="E3538" i="127"/>
  <c r="E3539" i="127"/>
  <c r="E3540" i="127"/>
  <c r="E3541" i="127"/>
  <c r="E3542" i="127"/>
  <c r="E3543" i="127"/>
  <c r="E3544" i="127"/>
  <c r="E3545" i="127"/>
  <c r="E3546" i="127"/>
  <c r="E3547" i="127"/>
  <c r="E3548" i="127"/>
  <c r="E3549" i="127"/>
  <c r="E3550" i="127"/>
  <c r="E3551" i="127"/>
  <c r="E3552" i="127"/>
  <c r="E3553" i="127"/>
  <c r="E3554" i="127"/>
  <c r="E3555" i="127"/>
  <c r="E3556" i="127"/>
  <c r="E3557" i="127"/>
  <c r="E3558" i="127"/>
  <c r="E3559" i="127"/>
  <c r="E3560" i="127"/>
  <c r="E3561" i="127"/>
  <c r="E3562" i="127"/>
  <c r="S1924" i="127"/>
  <c r="T1924" i="127" s="1"/>
  <c r="E3563" i="127"/>
  <c r="E3564" i="127"/>
  <c r="E3565" i="127"/>
  <c r="E3566" i="127"/>
  <c r="E3567" i="127"/>
  <c r="E3568" i="127"/>
  <c r="E3569" i="127"/>
  <c r="E3570" i="127"/>
  <c r="E3571" i="127"/>
  <c r="E3572" i="127"/>
  <c r="E3573" i="127"/>
  <c r="E3574" i="127"/>
  <c r="E3575" i="127"/>
  <c r="E3576" i="127"/>
  <c r="E3577" i="127"/>
  <c r="E3578" i="127"/>
  <c r="E3579" i="127"/>
  <c r="E3580" i="127"/>
  <c r="E3581" i="127"/>
  <c r="E3582" i="127"/>
  <c r="E3583" i="127"/>
  <c r="E3584" i="127"/>
  <c r="E3585" i="127"/>
  <c r="E3586" i="127"/>
  <c r="E3587" i="127"/>
  <c r="E3588" i="127"/>
  <c r="E3589" i="127"/>
  <c r="E3590" i="127"/>
  <c r="E3591" i="127"/>
  <c r="E3592" i="127"/>
  <c r="E3593" i="127"/>
  <c r="E3594" i="127"/>
  <c r="E3595" i="127"/>
  <c r="E3596" i="127"/>
  <c r="E3597" i="127"/>
  <c r="E3598" i="127"/>
  <c r="E3599" i="127"/>
  <c r="E3600" i="127"/>
  <c r="E3601" i="127"/>
  <c r="E3602" i="127"/>
  <c r="E3603" i="127"/>
  <c r="E3604" i="127"/>
  <c r="E3605" i="127"/>
  <c r="E3606" i="127"/>
  <c r="E3607" i="127"/>
  <c r="E3608" i="127"/>
  <c r="E3609" i="127"/>
  <c r="E3610" i="127"/>
  <c r="E3611" i="127"/>
  <c r="E3612" i="127"/>
  <c r="E3613" i="127"/>
  <c r="E3614" i="127"/>
  <c r="E3615" i="127"/>
  <c r="E3616" i="127"/>
  <c r="E3617" i="127"/>
  <c r="E3618" i="127"/>
  <c r="E3619" i="127"/>
  <c r="E3620" i="127"/>
  <c r="E3622" i="127"/>
  <c r="E3623" i="127"/>
  <c r="E3624" i="127"/>
  <c r="E3625" i="127"/>
  <c r="E3626" i="127"/>
  <c r="E3627" i="127"/>
  <c r="E3628" i="127"/>
  <c r="E3629" i="127"/>
  <c r="E3630" i="127"/>
  <c r="E3631" i="127"/>
  <c r="E3632" i="127"/>
  <c r="E3633" i="127"/>
  <c r="E3634" i="127"/>
  <c r="E3635" i="127"/>
  <c r="E3636" i="127"/>
  <c r="E3637" i="127"/>
  <c r="E3638" i="127"/>
  <c r="E3639" i="127"/>
  <c r="E3640" i="127"/>
  <c r="E3641" i="127"/>
  <c r="E3642" i="127"/>
  <c r="E3643" i="127"/>
  <c r="E3644" i="127"/>
  <c r="E3645" i="127"/>
  <c r="E3646" i="127"/>
  <c r="E3647" i="127"/>
  <c r="E3648" i="127"/>
  <c r="E3649" i="127"/>
  <c r="E3650" i="127"/>
  <c r="E3651" i="127"/>
  <c r="E3652" i="127"/>
  <c r="E3653" i="127"/>
  <c r="E3654" i="127"/>
  <c r="E3655" i="127"/>
  <c r="E3656" i="127"/>
  <c r="E3657" i="127"/>
  <c r="E3658" i="127"/>
  <c r="E3659" i="127"/>
  <c r="E3660" i="127"/>
  <c r="E3661" i="127"/>
  <c r="E3662" i="127"/>
  <c r="E3663" i="127"/>
  <c r="E3664" i="127"/>
  <c r="E3665" i="127"/>
  <c r="E3666" i="127"/>
  <c r="E3667" i="127"/>
  <c r="E3668" i="127"/>
  <c r="E3669" i="127"/>
  <c r="E3670" i="127"/>
  <c r="E3671" i="127"/>
  <c r="E3672" i="127"/>
  <c r="E3673" i="127"/>
  <c r="E3674" i="127"/>
  <c r="E3675" i="127"/>
  <c r="E3676" i="127"/>
  <c r="E3677" i="127"/>
  <c r="E3678" i="127"/>
  <c r="E3679" i="127"/>
  <c r="E3680" i="127"/>
  <c r="E3681" i="127"/>
  <c r="E3682" i="127"/>
  <c r="E3684" i="127"/>
  <c r="E3685" i="127"/>
  <c r="E3686" i="127"/>
  <c r="E3687" i="127"/>
  <c r="E3688" i="127"/>
  <c r="E3689" i="127"/>
  <c r="E3690" i="127"/>
  <c r="E3691" i="127"/>
  <c r="E3692" i="127"/>
  <c r="E3693" i="127"/>
  <c r="E3694" i="127"/>
  <c r="E3695" i="127"/>
  <c r="E3696" i="127"/>
  <c r="E3697" i="127"/>
  <c r="E3698" i="127"/>
  <c r="E3699" i="127"/>
  <c r="E3700" i="127"/>
  <c r="E3701" i="127"/>
  <c r="E3702" i="127"/>
  <c r="E3703" i="127"/>
  <c r="E3704" i="127"/>
  <c r="E3705" i="127"/>
  <c r="E3706" i="127"/>
  <c r="E3707" i="127"/>
  <c r="E3708" i="127"/>
  <c r="E3709" i="127"/>
  <c r="E3710" i="127"/>
  <c r="E3711" i="127"/>
  <c r="E3712" i="127"/>
  <c r="E3713" i="127"/>
  <c r="E3714" i="127"/>
  <c r="E3715" i="127"/>
  <c r="E3716" i="127"/>
  <c r="E3717" i="127"/>
  <c r="E3718" i="127"/>
  <c r="E3719" i="127"/>
  <c r="E3720" i="127"/>
  <c r="E3721" i="127"/>
  <c r="E3722" i="127"/>
  <c r="E3723" i="127"/>
  <c r="E3724" i="127"/>
  <c r="E3725" i="127"/>
  <c r="E3726" i="127"/>
  <c r="E3727" i="127"/>
  <c r="E3728" i="127"/>
  <c r="E3729" i="127"/>
  <c r="E3730" i="127"/>
  <c r="E3731" i="127"/>
  <c r="E3732" i="127"/>
  <c r="E3733" i="127"/>
  <c r="E3734" i="127"/>
  <c r="E3735" i="127"/>
  <c r="E3736" i="127"/>
  <c r="E3737" i="127"/>
  <c r="E3738" i="127"/>
  <c r="E3739" i="127"/>
  <c r="E3740" i="127"/>
  <c r="E3741" i="127"/>
  <c r="E3742" i="127"/>
  <c r="E3743" i="127"/>
  <c r="E3744" i="127"/>
  <c r="E3745" i="127"/>
  <c r="E3746" i="127"/>
  <c r="E3747" i="127"/>
  <c r="E3748" i="127"/>
  <c r="E3749" i="127"/>
  <c r="E3750" i="127"/>
  <c r="E3751" i="127"/>
  <c r="E3752" i="127"/>
  <c r="E3753" i="127"/>
  <c r="E3754" i="127"/>
  <c r="E3755" i="127"/>
  <c r="E3756" i="127"/>
  <c r="E3757" i="127"/>
  <c r="E3758" i="127"/>
  <c r="E3760" i="127"/>
  <c r="E3761" i="127"/>
  <c r="E3762" i="127"/>
  <c r="E3763" i="127"/>
  <c r="E3764" i="127"/>
  <c r="E3765" i="127"/>
  <c r="E3766" i="127"/>
  <c r="E3767" i="127"/>
  <c r="E3768" i="127"/>
  <c r="E3769" i="127"/>
  <c r="E3770" i="127"/>
  <c r="E3771" i="127"/>
  <c r="E3772" i="127"/>
  <c r="E3773" i="127"/>
  <c r="E3774" i="127"/>
  <c r="E3775" i="127"/>
  <c r="E3776" i="127"/>
  <c r="E3777" i="127"/>
  <c r="E3778" i="127"/>
  <c r="E3779" i="127"/>
  <c r="E3780" i="127"/>
  <c r="E3781" i="127"/>
  <c r="E3782" i="127"/>
  <c r="E3783" i="127"/>
  <c r="E3784" i="127"/>
  <c r="E3785" i="127"/>
  <c r="E3786" i="127"/>
  <c r="E3787" i="127"/>
  <c r="E3788" i="127"/>
  <c r="E3789" i="127"/>
  <c r="E3790" i="127"/>
  <c r="E3791" i="127"/>
  <c r="E3792" i="127"/>
  <c r="E3793" i="127"/>
  <c r="E3794" i="127"/>
  <c r="E3795" i="127"/>
  <c r="E3796" i="127"/>
  <c r="E3797" i="127"/>
  <c r="E3798" i="127"/>
  <c r="E3799" i="127"/>
  <c r="E3800" i="127"/>
  <c r="E3801" i="127"/>
  <c r="E3802" i="127"/>
  <c r="E3803" i="127"/>
  <c r="E3804" i="127"/>
  <c r="E3805" i="127"/>
  <c r="E3806" i="127"/>
  <c r="E3807" i="127"/>
  <c r="E3808" i="127"/>
  <c r="E3809" i="127"/>
  <c r="E3810" i="127"/>
  <c r="E3811" i="127"/>
  <c r="E3812" i="127"/>
  <c r="E3813" i="127"/>
  <c r="E3814" i="127"/>
  <c r="E3815" i="127"/>
  <c r="E3816" i="127"/>
  <c r="E3817" i="127"/>
  <c r="E3818" i="127"/>
  <c r="E3819" i="127"/>
  <c r="E3820" i="127"/>
  <c r="E3821" i="127"/>
  <c r="E3822" i="127"/>
  <c r="E3823" i="127"/>
  <c r="E3824" i="127"/>
  <c r="E3825" i="127"/>
  <c r="E3826" i="127"/>
  <c r="E3827" i="127"/>
  <c r="E3828" i="127"/>
  <c r="E3829" i="127"/>
  <c r="E3830" i="127"/>
  <c r="E3831" i="127"/>
  <c r="E3832" i="127"/>
  <c r="E3833" i="127"/>
  <c r="E3834" i="127"/>
  <c r="E3835" i="127"/>
  <c r="E3836" i="127"/>
  <c r="E3837" i="127"/>
  <c r="E3838" i="127"/>
  <c r="E3839" i="127"/>
  <c r="E3840" i="127"/>
  <c r="E3841" i="127"/>
  <c r="E3842" i="127"/>
  <c r="E3843" i="127"/>
  <c r="E3844" i="127"/>
  <c r="E3845" i="127"/>
  <c r="E3846" i="127"/>
  <c r="E3847" i="127"/>
  <c r="E3848" i="127"/>
  <c r="E3849" i="127"/>
  <c r="E3850" i="127"/>
  <c r="E3851" i="127"/>
  <c r="E3852" i="127"/>
  <c r="E3853" i="127"/>
  <c r="E3854" i="127"/>
  <c r="E3855" i="127"/>
  <c r="E3856" i="127"/>
  <c r="E3857" i="127"/>
  <c r="E3858" i="127"/>
  <c r="E3859" i="127"/>
  <c r="E3860" i="127"/>
  <c r="E3861" i="127"/>
  <c r="E3862" i="127"/>
  <c r="E3863" i="127"/>
  <c r="E3864" i="127"/>
  <c r="E3865" i="127"/>
  <c r="E3866" i="127"/>
  <c r="E3867" i="127"/>
  <c r="E3868" i="127"/>
  <c r="E3869" i="127"/>
  <c r="E3870" i="127"/>
  <c r="E3871" i="127"/>
  <c r="E3872" i="127"/>
  <c r="E3873" i="127"/>
  <c r="E3874" i="127"/>
  <c r="E3875" i="127"/>
  <c r="E3876" i="127"/>
  <c r="E3877" i="127"/>
  <c r="E3878" i="127"/>
  <c r="E3879" i="127"/>
  <c r="E3880" i="127"/>
  <c r="E3881" i="127"/>
  <c r="E3882" i="127"/>
  <c r="E3883" i="127"/>
  <c r="E3884" i="127"/>
  <c r="E3885" i="127"/>
  <c r="E3886" i="127"/>
  <c r="E3887" i="127"/>
  <c r="E3888" i="127"/>
  <c r="E3889" i="127"/>
  <c r="E3890" i="127"/>
  <c r="E3891" i="127"/>
  <c r="E3892" i="127"/>
  <c r="E3893" i="127"/>
  <c r="E3894" i="127"/>
  <c r="E3895" i="127"/>
  <c r="E3896" i="127"/>
  <c r="E3897" i="127"/>
  <c r="E3898" i="127"/>
  <c r="E3899" i="127"/>
  <c r="E3900" i="127"/>
  <c r="E3901" i="127"/>
  <c r="E3902" i="127"/>
  <c r="E3903" i="127"/>
  <c r="E3904" i="127"/>
  <c r="E3905" i="127"/>
  <c r="E3906" i="127"/>
  <c r="E3907" i="127"/>
  <c r="E3908" i="127"/>
  <c r="E3909" i="127"/>
  <c r="E3910" i="127"/>
  <c r="E3911" i="127"/>
  <c r="E3912" i="127"/>
  <c r="E3913" i="127"/>
  <c r="E3914" i="127"/>
  <c r="E3915" i="127"/>
  <c r="E3916" i="127"/>
  <c r="E3917" i="127"/>
  <c r="E3918" i="127"/>
  <c r="E3919" i="127"/>
  <c r="E3920" i="127"/>
  <c r="E3921" i="127"/>
  <c r="E3922" i="127"/>
  <c r="E3923" i="127"/>
  <c r="E3924" i="127"/>
  <c r="E3925" i="127"/>
  <c r="E3926" i="127"/>
  <c r="E3927" i="127"/>
  <c r="E3928" i="127"/>
  <c r="E3929" i="127"/>
  <c r="E3930" i="127"/>
  <c r="E3931" i="127"/>
  <c r="E3932" i="127"/>
  <c r="E3933" i="127"/>
  <c r="E3934" i="127"/>
  <c r="E3935" i="127"/>
  <c r="E3936" i="127"/>
  <c r="E3937" i="127"/>
  <c r="E3938" i="127"/>
  <c r="E3939" i="127"/>
  <c r="E3940" i="127"/>
  <c r="E3941" i="127"/>
  <c r="E3942" i="127"/>
  <c r="E3943" i="127"/>
  <c r="E3944" i="127"/>
  <c r="E3945" i="127"/>
  <c r="E3946" i="127"/>
  <c r="E3947" i="127"/>
  <c r="E3948" i="127"/>
  <c r="E3949" i="127"/>
  <c r="E3950" i="127"/>
  <c r="E3951" i="127"/>
  <c r="E3952" i="127"/>
  <c r="E3953" i="127"/>
  <c r="E3954" i="127"/>
  <c r="E3955" i="127"/>
  <c r="E3956" i="127"/>
  <c r="E3957" i="127"/>
  <c r="E3958" i="127"/>
  <c r="E3959" i="127"/>
  <c r="E3960" i="127"/>
  <c r="E3961" i="127"/>
  <c r="E3962" i="127"/>
  <c r="E3963" i="127"/>
  <c r="E3964" i="127"/>
  <c r="E3965" i="127"/>
  <c r="E3966" i="127"/>
  <c r="E3967" i="127"/>
  <c r="E3968" i="127"/>
  <c r="E3969" i="127"/>
  <c r="E3970" i="127"/>
  <c r="E3971" i="127"/>
  <c r="E3972" i="127"/>
  <c r="E3973" i="127"/>
  <c r="E3974" i="127"/>
  <c r="E3975" i="127"/>
  <c r="E3976" i="127"/>
  <c r="E3977" i="127"/>
  <c r="E3978" i="127"/>
  <c r="E3979" i="127"/>
  <c r="E3980" i="127"/>
  <c r="E3981" i="127"/>
  <c r="E3982" i="127"/>
  <c r="E3983" i="127"/>
  <c r="E3984" i="127"/>
  <c r="E3985" i="127"/>
  <c r="E3986" i="127"/>
  <c r="E3987" i="127"/>
  <c r="E3988" i="127"/>
  <c r="E3989" i="127"/>
  <c r="E3990" i="127"/>
  <c r="E3991" i="127"/>
  <c r="E3992" i="127"/>
  <c r="E3993" i="127"/>
  <c r="E3994" i="127"/>
  <c r="E3995" i="127"/>
  <c r="E3996" i="127"/>
  <c r="E3997" i="127"/>
  <c r="E3998" i="127"/>
  <c r="E3999" i="127"/>
  <c r="E4000" i="127"/>
  <c r="E4001" i="127"/>
  <c r="E4002" i="127"/>
  <c r="E4003" i="127"/>
  <c r="E4004" i="127"/>
  <c r="E4005" i="127"/>
  <c r="E4006" i="127"/>
  <c r="E4007" i="127"/>
  <c r="E4008" i="127"/>
  <c r="E4009" i="127"/>
  <c r="E4010" i="127"/>
  <c r="E4011" i="127"/>
  <c r="E4012" i="127"/>
  <c r="E4013" i="127"/>
  <c r="E4014" i="127"/>
  <c r="E4015" i="127"/>
  <c r="E4016" i="127"/>
  <c r="E4017" i="127"/>
  <c r="E4018" i="127"/>
  <c r="E4019" i="127"/>
  <c r="E4020" i="127"/>
  <c r="E4021" i="127"/>
  <c r="E4022" i="127"/>
  <c r="E4023" i="127"/>
  <c r="E4024" i="127"/>
  <c r="E4025" i="127"/>
  <c r="E4026" i="127"/>
  <c r="E4027" i="127"/>
  <c r="E4028" i="127"/>
  <c r="E4029" i="127"/>
  <c r="E4030" i="127"/>
  <c r="E4031" i="127"/>
  <c r="E4032" i="127"/>
  <c r="E4033" i="127"/>
  <c r="E4034" i="127"/>
  <c r="E4035" i="127"/>
  <c r="E4036" i="127"/>
  <c r="E4037" i="127"/>
  <c r="E4038" i="127"/>
  <c r="E4039" i="127"/>
  <c r="E4040" i="127"/>
  <c r="E4041" i="127"/>
  <c r="E4042" i="127"/>
  <c r="E4043" i="127"/>
  <c r="E4044" i="127"/>
  <c r="E4045" i="127"/>
  <c r="E4046" i="127"/>
  <c r="E4047" i="127"/>
  <c r="E4048" i="127"/>
  <c r="E4049" i="127"/>
  <c r="E4050" i="127"/>
  <c r="E4051" i="127"/>
  <c r="E4052" i="127"/>
  <c r="E4053" i="127"/>
  <c r="E4054" i="127"/>
  <c r="E4055" i="127"/>
  <c r="E4056" i="127"/>
  <c r="E4057" i="127"/>
  <c r="E4058" i="127"/>
  <c r="E4059" i="127"/>
  <c r="E4060" i="127"/>
  <c r="E4061" i="127"/>
  <c r="E4062" i="127"/>
  <c r="E4063" i="127"/>
  <c r="E4064" i="127"/>
  <c r="E4065" i="127"/>
  <c r="E4066" i="127"/>
  <c r="E4067" i="127"/>
  <c r="E4068" i="127"/>
  <c r="E4069" i="127"/>
  <c r="S2426" i="127"/>
  <c r="E4070" i="127"/>
  <c r="E4071" i="127"/>
  <c r="E4072" i="127"/>
  <c r="E4073" i="127"/>
  <c r="E4074" i="127"/>
  <c r="E4075" i="127"/>
  <c r="E4076" i="127"/>
  <c r="E4077" i="127"/>
  <c r="E4078" i="127"/>
  <c r="E4079" i="127"/>
  <c r="E4080" i="127"/>
  <c r="E4081" i="127"/>
  <c r="E4082" i="127"/>
  <c r="E4083" i="127"/>
  <c r="E4084" i="127"/>
  <c r="E4085" i="127"/>
  <c r="E4086" i="127"/>
  <c r="E4087" i="127"/>
  <c r="E4088" i="127"/>
  <c r="E4089" i="127"/>
  <c r="E4090" i="127"/>
  <c r="E4091" i="127"/>
  <c r="E4092" i="127"/>
  <c r="E4093" i="127"/>
  <c r="E4094" i="127"/>
  <c r="E4095" i="127"/>
  <c r="E4096" i="127"/>
  <c r="E4097" i="127"/>
  <c r="E4098" i="127"/>
  <c r="E4099" i="127"/>
  <c r="E4100" i="127"/>
  <c r="E4101" i="127"/>
  <c r="E4102" i="127"/>
  <c r="E4103" i="127"/>
  <c r="E4104" i="127"/>
  <c r="E4105" i="127"/>
  <c r="E4106" i="127"/>
  <c r="E4107" i="127"/>
  <c r="E4108" i="127"/>
  <c r="E4109" i="127"/>
  <c r="E4110" i="127"/>
  <c r="E4111" i="127"/>
  <c r="E4112" i="127"/>
  <c r="E4113" i="127"/>
  <c r="E4114" i="127"/>
  <c r="E4115" i="127"/>
  <c r="E4116" i="127"/>
  <c r="E4117" i="127"/>
  <c r="E4118" i="127"/>
  <c r="E4119" i="127"/>
  <c r="E4120" i="127"/>
  <c r="E4121" i="127"/>
  <c r="E4122" i="127"/>
  <c r="E4123" i="127"/>
  <c r="E4124" i="127"/>
  <c r="E4125" i="127"/>
  <c r="E4126" i="127"/>
  <c r="E4127" i="127"/>
  <c r="E4128" i="127"/>
  <c r="E4129" i="127"/>
  <c r="E4130" i="127"/>
  <c r="E4131" i="127"/>
  <c r="E4132" i="127"/>
  <c r="E4133" i="127"/>
  <c r="E4134" i="127"/>
  <c r="E4135" i="127"/>
  <c r="E4136" i="127"/>
  <c r="E4137" i="127"/>
  <c r="E4138" i="127"/>
  <c r="E4139" i="127"/>
  <c r="E4140" i="127"/>
  <c r="E4141" i="127"/>
  <c r="E4142" i="127"/>
  <c r="E4143" i="127"/>
  <c r="E4144" i="127"/>
  <c r="E4145" i="127"/>
  <c r="E4146" i="127"/>
  <c r="E4147" i="127"/>
  <c r="E4148" i="127"/>
  <c r="E4149" i="127"/>
  <c r="E4150" i="127"/>
  <c r="E4151" i="127"/>
  <c r="E4152" i="127"/>
  <c r="E4153" i="127"/>
  <c r="E4154" i="127"/>
  <c r="E4155" i="127"/>
  <c r="E4156" i="127"/>
  <c r="E4157" i="127"/>
  <c r="E4158" i="127"/>
  <c r="E4159" i="127"/>
  <c r="E4160" i="127"/>
  <c r="E4161" i="127"/>
  <c r="E4162" i="127"/>
  <c r="E4163" i="127"/>
  <c r="E4164" i="127"/>
  <c r="E4165" i="127"/>
  <c r="E4166" i="127"/>
  <c r="E4167" i="127"/>
  <c r="E4168" i="127"/>
  <c r="E4169" i="127"/>
  <c r="E4170" i="127"/>
  <c r="E4171" i="127"/>
  <c r="E4172" i="127"/>
  <c r="E4173" i="127"/>
  <c r="E4174" i="127"/>
  <c r="E4175" i="127"/>
  <c r="E4176" i="127"/>
  <c r="E4177" i="127"/>
  <c r="E4178" i="127"/>
  <c r="E4179" i="127"/>
  <c r="E4180" i="127"/>
  <c r="E4181" i="127"/>
  <c r="E4182" i="127"/>
  <c r="E4183" i="127"/>
  <c r="E4184" i="127"/>
  <c r="E4187" i="127"/>
  <c r="E4188" i="127"/>
  <c r="E4189" i="127"/>
  <c r="E4190" i="127"/>
  <c r="E4191" i="127"/>
  <c r="E4192" i="127"/>
  <c r="E4193" i="127"/>
  <c r="E4194" i="127"/>
  <c r="E4195" i="127"/>
  <c r="E4196" i="127"/>
  <c r="E4197" i="127"/>
  <c r="E4198" i="127"/>
  <c r="E4199" i="127"/>
  <c r="E4200" i="127"/>
  <c r="E4201" i="127"/>
  <c r="E4202" i="127"/>
  <c r="E4203" i="127"/>
  <c r="E4204" i="127"/>
  <c r="E4205" i="127"/>
  <c r="E4206" i="127"/>
  <c r="E4207" i="127"/>
  <c r="E4208" i="127"/>
  <c r="E4209" i="127"/>
  <c r="E4210" i="127"/>
  <c r="E4211" i="127"/>
  <c r="E4212" i="127"/>
  <c r="E4213" i="127"/>
  <c r="E4214" i="127"/>
  <c r="E4215" i="127"/>
  <c r="E4216" i="127"/>
  <c r="E4217" i="127"/>
  <c r="E4218" i="127"/>
  <c r="E4219" i="127"/>
  <c r="E4220" i="127"/>
  <c r="E4221" i="127"/>
  <c r="E4222" i="127"/>
  <c r="E4223" i="127"/>
  <c r="E4224" i="127"/>
  <c r="E4225" i="127"/>
  <c r="E4226" i="127"/>
  <c r="E4227" i="127"/>
  <c r="E4228" i="127"/>
  <c r="E4229" i="127"/>
  <c r="E4231" i="127"/>
  <c r="E4232" i="127"/>
  <c r="E4233" i="127"/>
  <c r="E4234" i="127"/>
  <c r="E4235" i="127"/>
  <c r="E4236" i="127"/>
  <c r="E4237" i="127"/>
  <c r="E4240" i="127"/>
  <c r="E4241" i="127"/>
  <c r="E4242" i="127"/>
  <c r="E4243" i="127"/>
  <c r="E4244" i="127"/>
  <c r="E4245" i="127"/>
  <c r="E4246" i="127"/>
  <c r="E4247" i="127"/>
  <c r="E4248" i="127"/>
  <c r="E4250" i="127"/>
  <c r="E4251" i="127"/>
  <c r="E4252" i="127"/>
  <c r="E4253" i="127"/>
  <c r="E4254" i="127"/>
  <c r="E4255" i="127"/>
  <c r="E4256" i="127"/>
  <c r="E4257" i="127"/>
  <c r="E4258" i="127"/>
  <c r="E4259" i="127"/>
  <c r="E4260" i="127"/>
  <c r="E4261" i="127"/>
  <c r="E4262" i="127"/>
  <c r="E4263" i="127"/>
  <c r="E4264" i="127"/>
  <c r="E4265" i="127"/>
  <c r="E4266" i="127"/>
  <c r="E4267" i="127"/>
  <c r="E4268" i="127"/>
  <c r="E4269" i="127"/>
  <c r="E4270" i="127"/>
  <c r="E4271" i="127"/>
  <c r="E4272" i="127"/>
  <c r="E4273" i="127"/>
  <c r="E4274" i="127"/>
  <c r="E4275" i="127"/>
  <c r="E4276" i="127"/>
  <c r="E4277" i="127"/>
  <c r="E4278" i="127"/>
  <c r="E4279" i="127"/>
  <c r="E4280" i="127"/>
  <c r="E4281" i="127"/>
  <c r="E4282" i="127"/>
  <c r="E4283" i="127"/>
  <c r="E4284" i="127"/>
  <c r="E4285" i="127"/>
  <c r="E4286" i="127"/>
  <c r="E4287" i="127"/>
  <c r="E4288" i="127"/>
  <c r="E4289" i="127"/>
  <c r="E4290" i="127"/>
  <c r="E4291" i="127"/>
  <c r="E4292" i="127"/>
  <c r="E4293" i="127"/>
  <c r="E4294" i="127"/>
  <c r="E4295" i="127"/>
  <c r="E4296" i="127"/>
  <c r="E4297" i="127"/>
  <c r="E4298" i="127"/>
  <c r="E4299" i="127"/>
  <c r="E4300" i="127"/>
  <c r="E4301" i="127"/>
  <c r="E4302" i="127"/>
  <c r="E4303" i="127"/>
  <c r="E4304" i="127"/>
  <c r="E4305" i="127"/>
  <c r="E4306" i="127"/>
  <c r="E4307" i="127"/>
  <c r="E4308" i="127"/>
  <c r="E4309" i="127"/>
  <c r="E4310" i="127"/>
  <c r="E4312" i="127"/>
  <c r="E4313" i="127"/>
  <c r="E4314" i="127"/>
  <c r="E4315" i="127"/>
  <c r="E4316" i="127"/>
  <c r="E4317" i="127"/>
  <c r="E4318" i="127"/>
  <c r="E4319" i="127"/>
  <c r="E4320" i="127"/>
  <c r="E4322" i="127"/>
  <c r="E4323" i="127"/>
  <c r="E4515" i="127"/>
  <c r="F8" i="127"/>
  <c r="E8" i="127"/>
  <c r="Y4" i="123"/>
  <c r="AA4" i="123" s="1"/>
  <c r="G4515" i="127"/>
  <c r="F4515" i="127" s="1"/>
  <c r="S23" i="127"/>
  <c r="T23" i="127"/>
  <c r="S9" i="127"/>
  <c r="T9" i="127"/>
  <c r="S971" i="127"/>
  <c r="T971" i="127"/>
  <c r="S10" i="127"/>
  <c r="T10" i="127"/>
  <c r="S11" i="127"/>
  <c r="T11" i="127"/>
  <c r="S12" i="127"/>
  <c r="T12" i="127"/>
  <c r="S21" i="127"/>
  <c r="T21" i="127"/>
  <c r="S253" i="127"/>
  <c r="T253" i="127" s="1"/>
  <c r="S261" i="127"/>
  <c r="T261" i="127"/>
  <c r="S2758" i="127"/>
  <c r="T2758" i="127"/>
  <c r="S2800" i="127"/>
  <c r="T2800" i="127"/>
  <c r="S2801" i="127"/>
  <c r="T2801" i="127"/>
  <c r="S2831" i="127"/>
  <c r="T2831" i="127"/>
  <c r="S13" i="127"/>
  <c r="T13" i="127"/>
  <c r="S14" i="127"/>
  <c r="T14" i="127"/>
  <c r="S18" i="127"/>
  <c r="T18" i="127"/>
  <c r="S1838" i="127"/>
  <c r="S15" i="127"/>
  <c r="T15" i="127"/>
  <c r="S109" i="127"/>
  <c r="T109" i="127"/>
  <c r="S2872" i="127"/>
  <c r="T2872" i="127"/>
  <c r="S2904" i="127"/>
  <c r="T2904" i="127"/>
  <c r="S16" i="127"/>
  <c r="T16" i="127"/>
  <c r="S1728" i="127"/>
  <c r="T1728" i="127"/>
  <c r="S1841" i="127"/>
  <c r="T1841" i="127"/>
  <c r="S17" i="127"/>
  <c r="T17" i="127"/>
  <c r="S36" i="127"/>
  <c r="T36" i="127"/>
  <c r="S2216" i="127"/>
  <c r="T2216" i="127"/>
  <c r="S2218" i="127"/>
  <c r="T2218" i="127"/>
  <c r="S2219" i="127"/>
  <c r="T2219" i="127"/>
  <c r="S19" i="127"/>
  <c r="T19" i="127"/>
  <c r="S22" i="127"/>
  <c r="T22" i="127"/>
  <c r="S317" i="127"/>
  <c r="T317" i="127"/>
  <c r="S3049" i="127"/>
  <c r="T3049" i="127"/>
  <c r="S20" i="127"/>
  <c r="T20" i="127"/>
  <c r="S165" i="127"/>
  <c r="T165" i="127"/>
  <c r="S24" i="127"/>
  <c r="T24" i="127"/>
  <c r="S26" i="127"/>
  <c r="T26" i="127"/>
  <c r="S25" i="127"/>
  <c r="T25" i="127"/>
  <c r="S31" i="127"/>
  <c r="T31" i="127"/>
  <c r="S2844" i="127"/>
  <c r="T2844" i="127"/>
  <c r="S27" i="127"/>
  <c r="T27" i="127"/>
  <c r="S28" i="127"/>
  <c r="T28" i="127"/>
  <c r="S29" i="127"/>
  <c r="T29" i="127"/>
  <c r="S32" i="127"/>
  <c r="T32" i="127"/>
  <c r="S30" i="127"/>
  <c r="T30" i="127"/>
  <c r="S33" i="127"/>
  <c r="T33" i="127"/>
  <c r="S1404" i="127"/>
  <c r="T1404" i="127"/>
  <c r="S1422" i="127"/>
  <c r="T1422" i="127"/>
  <c r="S1424" i="127"/>
  <c r="T1424" i="127"/>
  <c r="S1704" i="127"/>
  <c r="T1704" i="127"/>
  <c r="S34" i="127"/>
  <c r="T34" i="127"/>
  <c r="S41" i="127"/>
  <c r="T41" i="127"/>
  <c r="S505" i="127"/>
  <c r="T505" i="127"/>
  <c r="S35" i="127"/>
  <c r="T35" i="127"/>
  <c r="S37" i="127"/>
  <c r="T37" i="127"/>
  <c r="S772" i="127"/>
  <c r="T772" i="127"/>
  <c r="S2907" i="127"/>
  <c r="S2908" i="127"/>
  <c r="T2908" i="127"/>
  <c r="S2980" i="127"/>
  <c r="T2980" i="127"/>
  <c r="S38" i="127"/>
  <c r="T38" i="127"/>
  <c r="S47" i="127"/>
  <c r="T47" i="127"/>
  <c r="T1443" i="127"/>
  <c r="S39" i="127"/>
  <c r="T39" i="127"/>
  <c r="S42" i="127"/>
  <c r="T42" i="127"/>
  <c r="S1987" i="127"/>
  <c r="T1987" i="127"/>
  <c r="S2300" i="127"/>
  <c r="T2300" i="127"/>
  <c r="S2311" i="127"/>
  <c r="T2311" i="127"/>
  <c r="S3053" i="127"/>
  <c r="T3053" i="127"/>
  <c r="S40" i="127"/>
  <c r="T40" i="127"/>
  <c r="S43" i="127"/>
  <c r="T43" i="127"/>
  <c r="S733" i="127"/>
  <c r="T733" i="127"/>
  <c r="S2602" i="127"/>
  <c r="T2602" i="127"/>
  <c r="S2604" i="127"/>
  <c r="T2604" i="127"/>
  <c r="S2632" i="127"/>
  <c r="T2632" i="127"/>
  <c r="S2502" i="127"/>
  <c r="T2502" i="127"/>
  <c r="S2774" i="127"/>
  <c r="T2774" i="127"/>
  <c r="S3074" i="127"/>
  <c r="T3074" i="127"/>
  <c r="S2471" i="127"/>
  <c r="T2471" i="127"/>
  <c r="S44" i="127"/>
  <c r="T44" i="127"/>
  <c r="S48" i="127"/>
  <c r="AK20" i="123" s="1"/>
  <c r="T48" i="127"/>
  <c r="T2695" i="127"/>
  <c r="S45" i="127"/>
  <c r="T45" i="127"/>
  <c r="S49" i="127"/>
  <c r="T49" i="127"/>
  <c r="S46" i="127"/>
  <c r="T46" i="127"/>
  <c r="S50" i="127"/>
  <c r="T50" i="127"/>
  <c r="S1155" i="127"/>
  <c r="T1155" i="127"/>
  <c r="S1156" i="127"/>
  <c r="T1156" i="127"/>
  <c r="S51" i="127"/>
  <c r="T51" i="127"/>
  <c r="S69" i="127"/>
  <c r="T69" i="127"/>
  <c r="S2575" i="127"/>
  <c r="T2575" i="127"/>
  <c r="S52" i="127"/>
  <c r="T52" i="127"/>
  <c r="S56" i="127"/>
  <c r="T56" i="127"/>
  <c r="S234" i="127"/>
  <c r="T234" i="127"/>
  <c r="S811" i="127"/>
  <c r="T811" i="127" s="1"/>
  <c r="S1342" i="127"/>
  <c r="T1342" i="127"/>
  <c r="S53" i="127"/>
  <c r="T53" i="127"/>
  <c r="S57" i="127"/>
  <c r="T57" i="127"/>
  <c r="S516" i="127"/>
  <c r="T516" i="127"/>
  <c r="S54" i="127"/>
  <c r="T54" i="127"/>
  <c r="S55" i="127"/>
  <c r="T55" i="127"/>
  <c r="S58" i="127"/>
  <c r="T58" i="127"/>
  <c r="S3151" i="127"/>
  <c r="T3151" i="127"/>
  <c r="S59" i="127"/>
  <c r="T59" i="127"/>
  <c r="S63" i="127"/>
  <c r="AK25" i="123" s="1"/>
  <c r="T63" i="127"/>
  <c r="AL25" i="123" s="1"/>
  <c r="AO25" i="123" s="1"/>
  <c r="S60" i="127"/>
  <c r="T60" i="127"/>
  <c r="S61" i="127"/>
  <c r="T61" i="127"/>
  <c r="S64" i="127"/>
  <c r="T64" i="127"/>
  <c r="S892" i="127"/>
  <c r="T892" i="127"/>
  <c r="S939" i="127"/>
  <c r="T939" i="127"/>
  <c r="S65" i="127"/>
  <c r="T65" i="127"/>
  <c r="S66" i="127"/>
  <c r="AK27" i="123" s="1"/>
  <c r="T66" i="127"/>
  <c r="AL27" i="123" s="1"/>
  <c r="AO27" i="123" s="1"/>
  <c r="S237" i="127"/>
  <c r="AK93" i="123" s="1"/>
  <c r="T237" i="127"/>
  <c r="AL93" i="123" s="1"/>
  <c r="AO93" i="123" s="1"/>
  <c r="S478" i="127"/>
  <c r="AK149" i="123" s="1"/>
  <c r="T478" i="127"/>
  <c r="S724" i="127"/>
  <c r="AK193" i="123" s="1"/>
  <c r="T724" i="127"/>
  <c r="S1127" i="127"/>
  <c r="T1127" i="127"/>
  <c r="S1954" i="127"/>
  <c r="T1954" i="127"/>
  <c r="S1957" i="127"/>
  <c r="T1957" i="127"/>
  <c r="S67" i="127"/>
  <c r="T67" i="127"/>
  <c r="S70" i="127"/>
  <c r="AK28" i="123" s="1"/>
  <c r="T70" i="127"/>
  <c r="S1157" i="127"/>
  <c r="T1157" i="127"/>
  <c r="S1158" i="127"/>
  <c r="T1158" i="127"/>
  <c r="S2527" i="127"/>
  <c r="T2527" i="127"/>
  <c r="S2548" i="127"/>
  <c r="T2548" i="127"/>
  <c r="S2640" i="127"/>
  <c r="T2640" i="127"/>
  <c r="S71" i="127"/>
  <c r="T71" i="127"/>
  <c r="S80" i="127"/>
  <c r="T80" i="127"/>
  <c r="S543" i="127"/>
  <c r="AK163" i="123" s="1"/>
  <c r="T543" i="127"/>
  <c r="S72" i="127"/>
  <c r="T72" i="127"/>
  <c r="S81" i="127"/>
  <c r="AK33" i="123" s="1"/>
  <c r="T81" i="127"/>
  <c r="S396" i="127"/>
  <c r="T396" i="127"/>
  <c r="S2144" i="127"/>
  <c r="T2144" i="127"/>
  <c r="S2181" i="127"/>
  <c r="T2181" i="127"/>
  <c r="S2220" i="127"/>
  <c r="T2220" i="127"/>
  <c r="S73" i="127"/>
  <c r="T73" i="127"/>
  <c r="S74" i="127"/>
  <c r="T74" i="127"/>
  <c r="S1669" i="127"/>
  <c r="T1669" i="127"/>
  <c r="S75" i="127"/>
  <c r="T75" i="127"/>
  <c r="S89" i="127"/>
  <c r="T89" i="127"/>
  <c r="S2147" i="127"/>
  <c r="T2147" i="127"/>
  <c r="S2260" i="127"/>
  <c r="T2260" i="127"/>
  <c r="S76" i="127"/>
  <c r="T76" i="127"/>
  <c r="S82" i="127"/>
  <c r="T82" i="127"/>
  <c r="S77" i="127"/>
  <c r="T77" i="127"/>
  <c r="S83" i="127"/>
  <c r="T83" i="127"/>
  <c r="S78" i="127"/>
  <c r="T78" i="127"/>
  <c r="S84" i="127"/>
  <c r="T84" i="127"/>
  <c r="S85" i="127"/>
  <c r="T85" i="127"/>
  <c r="S86" i="127"/>
  <c r="T86" i="127"/>
  <c r="S920" i="127"/>
  <c r="T920" i="127"/>
  <c r="S1445" i="127"/>
  <c r="T1445" i="127" s="1"/>
  <c r="S1752" i="127"/>
  <c r="T1752" i="127"/>
  <c r="S1753" i="127"/>
  <c r="T1753" i="127"/>
  <c r="S3153" i="127"/>
  <c r="T3153" i="127"/>
  <c r="S3155" i="127"/>
  <c r="T3155" i="127"/>
  <c r="S87" i="127"/>
  <c r="T87" i="127"/>
  <c r="S88" i="127"/>
  <c r="T88" i="127"/>
  <c r="S2447" i="127"/>
  <c r="T2447" i="127"/>
  <c r="S90" i="127"/>
  <c r="T90" i="127"/>
  <c r="S99" i="127"/>
  <c r="T99" i="127"/>
  <c r="S1244" i="127"/>
  <c r="T1244" i="127"/>
  <c r="S1272" i="127"/>
  <c r="T1272" i="127"/>
  <c r="S1446" i="127"/>
  <c r="T1446" i="127"/>
  <c r="S91" i="127"/>
  <c r="T91" i="127"/>
  <c r="S100" i="127"/>
  <c r="T100" i="127"/>
  <c r="S1730" i="127"/>
  <c r="T1730" i="127"/>
  <c r="S1731" i="127"/>
  <c r="T1731" i="127"/>
  <c r="S1755" i="127"/>
  <c r="T1755" i="127"/>
  <c r="S92" i="127"/>
  <c r="T92" i="127"/>
  <c r="S101" i="127"/>
  <c r="T101" i="127"/>
  <c r="S776" i="127"/>
  <c r="T776" i="127"/>
  <c r="S93" i="127"/>
  <c r="T93" i="127"/>
  <c r="S129" i="127"/>
  <c r="T129" i="127"/>
  <c r="S1299" i="127"/>
  <c r="T1299" i="127"/>
  <c r="S1405" i="127"/>
  <c r="T1405" i="127"/>
  <c r="S1447" i="127"/>
  <c r="T1447" i="127"/>
  <c r="S94" i="127"/>
  <c r="T94" i="127"/>
  <c r="S117" i="127"/>
  <c r="T117" i="127"/>
  <c r="S957" i="127"/>
  <c r="T957" i="127"/>
  <c r="S974" i="127"/>
  <c r="T974" i="127"/>
  <c r="S2151" i="127"/>
  <c r="T2151" i="127"/>
  <c r="T2153" i="127"/>
  <c r="S2302" i="127"/>
  <c r="T2302" i="127"/>
  <c r="S95" i="127"/>
  <c r="T95" i="127"/>
  <c r="S118" i="127"/>
  <c r="T118" i="127"/>
  <c r="S102" i="127"/>
  <c r="T102" i="127"/>
  <c r="S119" i="127"/>
  <c r="T119" i="127"/>
  <c r="S1470" i="127"/>
  <c r="T1470" i="127"/>
  <c r="S103" i="127"/>
  <c r="T103" i="127"/>
  <c r="S111" i="127"/>
  <c r="T111" i="127"/>
  <c r="S1323" i="127"/>
  <c r="T1323" i="127"/>
  <c r="T1448" i="127"/>
  <c r="S104" i="127"/>
  <c r="T104" i="127"/>
  <c r="S151" i="127"/>
  <c r="T151" i="127"/>
  <c r="S813" i="127"/>
  <c r="T813" i="127"/>
  <c r="S2697" i="127"/>
  <c r="T2697" i="127"/>
  <c r="S105" i="127"/>
  <c r="T105" i="127"/>
  <c r="T120" i="127"/>
  <c r="S106" i="127"/>
  <c r="T106" i="127"/>
  <c r="S121" i="127"/>
  <c r="T121" i="127"/>
  <c r="S2390" i="127"/>
  <c r="T2390" i="127"/>
  <c r="S107" i="127"/>
  <c r="T107" i="127"/>
  <c r="S130" i="127"/>
  <c r="T130" i="127"/>
  <c r="S634" i="127"/>
  <c r="T634" i="127"/>
  <c r="S2221" i="127"/>
  <c r="T2221" i="127"/>
  <c r="S2224" i="127"/>
  <c r="T2224" i="127"/>
  <c r="S2313" i="127"/>
  <c r="T2313" i="127"/>
  <c r="S108" i="127"/>
  <c r="T108" i="127"/>
  <c r="S122" i="127"/>
  <c r="T122" i="127"/>
  <c r="S895" i="127"/>
  <c r="T895" i="127"/>
  <c r="S112" i="127"/>
  <c r="T112" i="127"/>
  <c r="S123" i="127"/>
  <c r="T123" i="127"/>
  <c r="S124" i="127"/>
  <c r="T124" i="127"/>
  <c r="S132" i="127"/>
  <c r="T132" i="127"/>
  <c r="S1474" i="127"/>
  <c r="T1474" i="127"/>
  <c r="T1732" i="127"/>
  <c r="S125" i="127"/>
  <c r="T125" i="127"/>
  <c r="S131" i="127"/>
  <c r="T131" i="127"/>
  <c r="S1277" i="127"/>
  <c r="T1277" i="127"/>
  <c r="S126" i="127"/>
  <c r="T126" i="127"/>
  <c r="S133" i="127"/>
  <c r="T133" i="127"/>
  <c r="S2465" i="127"/>
  <c r="T2465" i="127"/>
  <c r="S127" i="127"/>
  <c r="T127" i="127"/>
  <c r="S280" i="127"/>
  <c r="T280" i="127"/>
  <c r="T1648" i="127"/>
  <c r="S1650" i="127"/>
  <c r="T1650" i="127"/>
  <c r="S1651" i="127"/>
  <c r="T1651" i="127"/>
  <c r="S2653" i="127"/>
  <c r="T2653" i="127"/>
  <c r="S2670" i="127"/>
  <c r="T2670" i="127"/>
  <c r="S2671" i="127"/>
  <c r="T2671" i="127"/>
  <c r="S134" i="127"/>
  <c r="T134" i="127"/>
  <c r="S1406" i="127"/>
  <c r="T1406" i="127"/>
  <c r="S1566" i="127"/>
  <c r="T1566" i="127"/>
  <c r="S136" i="127"/>
  <c r="T136" i="127"/>
  <c r="S143" i="127"/>
  <c r="T143" i="127"/>
  <c r="S1674" i="127"/>
  <c r="T1674" i="127"/>
  <c r="S1675" i="127"/>
  <c r="T1675" i="127"/>
  <c r="S1677" i="127"/>
  <c r="T1677" i="127"/>
  <c r="S1785" i="127"/>
  <c r="T1785" i="127"/>
  <c r="S3075" i="127"/>
  <c r="T3075" i="127"/>
  <c r="S3077" i="127"/>
  <c r="T3077" i="127"/>
  <c r="S137" i="127"/>
  <c r="T137" i="127"/>
  <c r="S144" i="127"/>
  <c r="T144" i="127"/>
  <c r="S2206" i="127"/>
  <c r="T2206" i="127"/>
  <c r="S2209" i="127"/>
  <c r="T2209" i="127"/>
  <c r="S2303" i="127"/>
  <c r="T2303" i="127"/>
  <c r="S138" i="127"/>
  <c r="T138" i="127"/>
  <c r="S145" i="127"/>
  <c r="T145" i="127"/>
  <c r="S1054" i="127"/>
  <c r="T1054" i="127"/>
  <c r="S2879" i="127"/>
  <c r="T2879" i="127"/>
  <c r="S2911" i="127"/>
  <c r="T2911" i="127"/>
  <c r="S2962" i="127"/>
  <c r="T2962" i="127"/>
  <c r="S139" i="127"/>
  <c r="T139" i="127"/>
  <c r="S146" i="127"/>
  <c r="T146" i="127"/>
  <c r="S1328" i="127"/>
  <c r="T1328" i="127"/>
  <c r="S1449" i="127"/>
  <c r="T1449" i="127"/>
  <c r="S140" i="127"/>
  <c r="T140" i="127"/>
  <c r="S147" i="127"/>
  <c r="T147" i="127"/>
  <c r="S636" i="127"/>
  <c r="T636" i="127"/>
  <c r="S2026" i="127"/>
  <c r="T2026" i="127"/>
  <c r="S2044" i="127"/>
  <c r="T2044" i="127"/>
  <c r="S2155" i="127"/>
  <c r="T2155" i="127"/>
  <c r="S148" i="127"/>
  <c r="T148" i="127"/>
  <c r="S149" i="127"/>
  <c r="T149" i="127"/>
  <c r="S692" i="127"/>
  <c r="T692" i="127"/>
  <c r="S150" i="127"/>
  <c r="T150" i="127"/>
  <c r="S152" i="127"/>
  <c r="T152" i="127"/>
  <c r="S1476" i="127"/>
  <c r="T1476" i="127"/>
  <c r="S1477" i="127"/>
  <c r="T1477" i="127"/>
  <c r="S1707" i="127"/>
  <c r="T1707" i="127"/>
  <c r="S153" i="127"/>
  <c r="T153" i="127"/>
  <c r="S156" i="127"/>
  <c r="T156" i="127"/>
  <c r="S1842" i="127"/>
  <c r="T1842" i="127"/>
  <c r="S1844" i="127"/>
  <c r="T1844" i="127"/>
  <c r="S1942" i="127"/>
  <c r="T1942" i="127"/>
  <c r="S2127" i="127"/>
  <c r="T2127" i="127"/>
  <c r="S154" i="127"/>
  <c r="T154" i="127"/>
  <c r="S163" i="127"/>
  <c r="T163" i="127"/>
  <c r="S1801" i="127"/>
  <c r="T1801" i="127"/>
  <c r="S1824" i="127"/>
  <c r="T1824" i="127"/>
  <c r="S155" i="127"/>
  <c r="T155" i="127"/>
  <c r="S158" i="127"/>
  <c r="T158" i="127"/>
  <c r="S1909" i="127"/>
  <c r="T1909" i="127"/>
  <c r="S157" i="127"/>
  <c r="T157" i="127"/>
  <c r="S164" i="127"/>
  <c r="T164" i="127"/>
  <c r="S159" i="127"/>
  <c r="T159" i="127"/>
  <c r="S181" i="127"/>
  <c r="T181" i="127"/>
  <c r="S1453" i="127"/>
  <c r="T1453" i="127"/>
  <c r="S1479" i="127"/>
  <c r="T1479" i="127"/>
  <c r="S160" i="127"/>
  <c r="T160" i="127"/>
  <c r="S182" i="127"/>
  <c r="T182" i="127"/>
  <c r="S1556" i="127"/>
  <c r="T1556" i="127"/>
  <c r="S161" i="127"/>
  <c r="T161" i="127"/>
  <c r="S167" i="127"/>
  <c r="T167" i="127"/>
  <c r="S168" i="127"/>
  <c r="T168" i="127"/>
  <c r="S169" i="127"/>
  <c r="T169" i="127"/>
  <c r="S337" i="127"/>
  <c r="T337" i="127"/>
  <c r="S2656" i="127"/>
  <c r="T2656" i="127"/>
  <c r="S2701" i="127"/>
  <c r="T2701" i="127"/>
  <c r="S2702" i="127"/>
  <c r="T2702" i="127"/>
  <c r="S2741" i="127"/>
  <c r="T2741" i="127"/>
  <c r="S170" i="127"/>
  <c r="T170" i="127"/>
  <c r="S187" i="127"/>
  <c r="T187" i="127"/>
  <c r="S171" i="127"/>
  <c r="T171" i="127"/>
  <c r="S174" i="127"/>
  <c r="T174" i="127"/>
  <c r="S172" i="127"/>
  <c r="T172" i="127"/>
  <c r="S175" i="127"/>
  <c r="T175" i="127"/>
  <c r="S589" i="127"/>
  <c r="T589" i="127"/>
  <c r="S2103" i="127"/>
  <c r="T2103" i="127"/>
  <c r="S2104" i="127"/>
  <c r="T2104" i="127"/>
  <c r="S2315" i="127"/>
  <c r="T2315" i="127"/>
  <c r="S176" i="127"/>
  <c r="T176" i="127"/>
  <c r="S188" i="127"/>
  <c r="T188" i="127"/>
  <c r="S2010" i="127"/>
  <c r="T2010" i="127"/>
  <c r="S2014" i="127"/>
  <c r="S2128" i="127"/>
  <c r="S177" i="127"/>
  <c r="T177" i="127"/>
  <c r="S189" i="127"/>
  <c r="T189" i="127"/>
  <c r="S1518" i="127"/>
  <c r="T1518" i="127"/>
  <c r="S1606" i="127"/>
  <c r="T1606" i="127"/>
  <c r="S178" i="127"/>
  <c r="T178" i="127"/>
  <c r="S190" i="127"/>
  <c r="T190" i="127"/>
  <c r="S1519" i="127"/>
  <c r="T1519" i="127"/>
  <c r="S1679" i="127"/>
  <c r="T1679" i="127"/>
  <c r="T1803" i="127"/>
  <c r="S179" i="127"/>
  <c r="T179" i="127"/>
  <c r="S191" i="127"/>
  <c r="T191" i="127"/>
  <c r="S183" i="127"/>
  <c r="T183" i="127"/>
  <c r="S184" i="127"/>
  <c r="T184" i="127"/>
  <c r="S211" i="127"/>
  <c r="T211" i="127"/>
  <c r="S1521" i="127"/>
  <c r="T1521" i="127"/>
  <c r="S1539" i="127"/>
  <c r="T1539" i="127"/>
  <c r="S1607" i="127"/>
  <c r="AK304" i="123" s="1"/>
  <c r="T1607" i="127"/>
  <c r="S185" i="127"/>
  <c r="T185" i="127"/>
  <c r="S192" i="127"/>
  <c r="T192" i="127"/>
  <c r="S193" i="127"/>
  <c r="T193" i="127"/>
  <c r="S212" i="127"/>
  <c r="T212" i="127"/>
  <c r="S1138" i="127"/>
  <c r="T1138" i="127"/>
  <c r="S2993" i="127"/>
  <c r="T2993" i="127"/>
  <c r="S2995" i="127"/>
  <c r="T2995" i="127"/>
  <c r="S3033" i="127"/>
  <c r="T3033" i="127"/>
  <c r="S194" i="127"/>
  <c r="T194" i="127"/>
  <c r="S195" i="127"/>
  <c r="T195" i="127"/>
  <c r="S459" i="127"/>
  <c r="T459" i="127"/>
  <c r="S815" i="127"/>
  <c r="T815" i="127"/>
  <c r="S2825" i="127"/>
  <c r="T2825" i="127"/>
  <c r="S2826" i="127"/>
  <c r="T2826" i="127"/>
  <c r="S2964" i="127"/>
  <c r="T2964" i="127"/>
  <c r="S196" i="127"/>
  <c r="T196" i="127"/>
  <c r="S213" i="127"/>
  <c r="T213" i="127"/>
  <c r="S999" i="127"/>
  <c r="T999" i="127"/>
  <c r="S197" i="127"/>
  <c r="T197" i="127"/>
  <c r="S214" i="127"/>
  <c r="T214" i="127"/>
  <c r="S1347" i="127"/>
  <c r="T1347" i="127"/>
  <c r="S1455" i="127"/>
  <c r="T1455" i="127"/>
  <c r="S198" i="127"/>
  <c r="T198" i="127"/>
  <c r="S215" i="127"/>
  <c r="T215" i="127"/>
  <c r="S696" i="127"/>
  <c r="T696" i="127"/>
  <c r="S207" i="127"/>
  <c r="T207" i="127"/>
  <c r="S208" i="127"/>
  <c r="T208" i="127"/>
  <c r="S1681" i="127"/>
  <c r="T1681" i="127"/>
  <c r="S209" i="127"/>
  <c r="T209" i="127"/>
  <c r="S273" i="127"/>
  <c r="T273" i="127"/>
  <c r="S2317" i="127"/>
  <c r="T2317" i="127"/>
  <c r="S216" i="127"/>
  <c r="T216" i="127"/>
  <c r="S217" i="127"/>
  <c r="T217" i="127"/>
  <c r="S1199" i="127"/>
  <c r="T1199" i="127"/>
  <c r="S1249" i="127"/>
  <c r="T1249" i="127"/>
  <c r="S218" i="127"/>
  <c r="T218" i="127"/>
  <c r="S225" i="127"/>
  <c r="T225" i="127"/>
  <c r="S1163" i="127"/>
  <c r="T1163" i="127"/>
  <c r="S1164" i="127"/>
  <c r="T1164" i="127"/>
  <c r="S219" i="127"/>
  <c r="T219" i="127"/>
  <c r="S226" i="127"/>
  <c r="T226" i="127"/>
  <c r="S1165" i="127"/>
  <c r="T1165" i="127"/>
  <c r="S1201" i="127"/>
  <c r="T1201" i="127"/>
  <c r="S222" i="127"/>
  <c r="T222" i="127"/>
  <c r="S227" i="127"/>
  <c r="T227" i="127"/>
  <c r="T849" i="127"/>
  <c r="S223" i="127"/>
  <c r="T223" i="127"/>
  <c r="S256" i="127"/>
  <c r="T256" i="127"/>
  <c r="S228" i="127"/>
  <c r="T228" i="127"/>
  <c r="S239" i="127"/>
  <c r="T239" i="127"/>
  <c r="S1609" i="127"/>
  <c r="T1609" i="127"/>
  <c r="S1611" i="127"/>
  <c r="T1611" i="127"/>
  <c r="S1710" i="127"/>
  <c r="T1710" i="127"/>
  <c r="S229" i="127"/>
  <c r="T229" i="127"/>
  <c r="S1062" i="127"/>
  <c r="T1062" i="127"/>
  <c r="S1083" i="127"/>
  <c r="T1083" i="127"/>
  <c r="S240" i="127"/>
  <c r="T240" i="127"/>
  <c r="S246" i="127"/>
  <c r="T246" i="127"/>
  <c r="S1064" i="127"/>
  <c r="T1064" i="127"/>
  <c r="S2850" i="127"/>
  <c r="T2850" i="127"/>
  <c r="S241" i="127"/>
  <c r="T241" i="127"/>
  <c r="S274" i="127"/>
  <c r="T274" i="127"/>
  <c r="S1684" i="127"/>
  <c r="T1684" i="127"/>
  <c r="S1686" i="127"/>
  <c r="T1686" i="127"/>
  <c r="S1757" i="127"/>
  <c r="T1757" i="127"/>
  <c r="S1758" i="127"/>
  <c r="T1758" i="127"/>
  <c r="S1876" i="127"/>
  <c r="T1876" i="127"/>
  <c r="S242" i="127"/>
  <c r="T242" i="127"/>
  <c r="S243" i="127"/>
  <c r="T243" i="127"/>
  <c r="S1251" i="127"/>
  <c r="T1251" i="127"/>
  <c r="T1252" i="127"/>
  <c r="S247" i="127"/>
  <c r="T247" i="127"/>
  <c r="S257" i="127"/>
  <c r="T257" i="127"/>
  <c r="S545" i="127"/>
  <c r="T545" i="127"/>
  <c r="S1213" i="127"/>
  <c r="T1213" i="127"/>
  <c r="S1214" i="127"/>
  <c r="T1214" i="127"/>
  <c r="S1458" i="127"/>
  <c r="T1458" i="127"/>
  <c r="S2228" i="127"/>
  <c r="T2228" i="127"/>
  <c r="S2231" i="127"/>
  <c r="T2231" i="127"/>
  <c r="S2304" i="127"/>
  <c r="T2304" i="127"/>
  <c r="S248" i="127"/>
  <c r="T248" i="127"/>
  <c r="S265" i="127"/>
  <c r="T265" i="127"/>
  <c r="S249" i="127"/>
  <c r="T249" i="127"/>
  <c r="S250" i="127"/>
  <c r="T250" i="127"/>
  <c r="S932" i="127"/>
  <c r="T932" i="127"/>
  <c r="S946" i="127"/>
  <c r="T946" i="127"/>
  <c r="S2048" i="127"/>
  <c r="T2048" i="127"/>
  <c r="S2050" i="127"/>
  <c r="T2050" i="127"/>
  <c r="S2232" i="127"/>
  <c r="T2232" i="127"/>
  <c r="S2233" i="127"/>
  <c r="T2233" i="127"/>
  <c r="S258" i="127"/>
  <c r="T258" i="127"/>
  <c r="S268" i="127"/>
  <c r="T268" i="127"/>
  <c r="S259" i="127"/>
  <c r="T259" i="127"/>
  <c r="S292" i="127"/>
  <c r="T292" i="127"/>
  <c r="S260" i="127"/>
  <c r="T260" i="127"/>
  <c r="S275" i="127"/>
  <c r="T275" i="127"/>
  <c r="S269" i="127"/>
  <c r="T269" i="127"/>
  <c r="S270" i="127"/>
  <c r="T270" i="127"/>
  <c r="S286" i="127"/>
  <c r="T286" i="127"/>
  <c r="S276" i="127"/>
  <c r="T276" i="127"/>
  <c r="S277" i="127"/>
  <c r="T277" i="127"/>
  <c r="S282" i="127"/>
  <c r="T282" i="127"/>
  <c r="S287" i="127"/>
  <c r="T287" i="127"/>
  <c r="S1796" i="127"/>
  <c r="T1796" i="127"/>
  <c r="S1849" i="127"/>
  <c r="T1849" i="127"/>
  <c r="S288" i="127"/>
  <c r="T288" i="127"/>
  <c r="S298" i="127"/>
  <c r="T298" i="127"/>
  <c r="S283" i="127"/>
  <c r="AK108" i="123" s="1"/>
  <c r="T283" i="127"/>
  <c r="AL108" i="123" s="1"/>
  <c r="AO108" i="123" s="1"/>
  <c r="S289" i="127"/>
  <c r="T289" i="127"/>
  <c r="S438" i="127"/>
  <c r="T438" i="127"/>
  <c r="S1527" i="127"/>
  <c r="T1527" i="127"/>
  <c r="T1528" i="127"/>
  <c r="S1529" i="127"/>
  <c r="T1529" i="127"/>
  <c r="S293" i="127"/>
  <c r="T293" i="127"/>
  <c r="S299" i="127"/>
  <c r="T299" i="127"/>
  <c r="S294" i="127"/>
  <c r="T294" i="127"/>
  <c r="S314" i="127"/>
  <c r="T314" i="127"/>
  <c r="S1349" i="127"/>
  <c r="T1349" i="127"/>
  <c r="S1430" i="127"/>
  <c r="T1430" i="127"/>
  <c r="S1459" i="127"/>
  <c r="T1459" i="127"/>
  <c r="S315" i="127"/>
  <c r="T315" i="127"/>
  <c r="S339" i="127"/>
  <c r="T339" i="127"/>
  <c r="S1410" i="127"/>
  <c r="T1410" i="127"/>
  <c r="S1759" i="127"/>
  <c r="T1759" i="127"/>
  <c r="S1850" i="127"/>
  <c r="T1850" i="127"/>
  <c r="S2645" i="127"/>
  <c r="T2645" i="127"/>
  <c r="S2677" i="127"/>
  <c r="T2677" i="127"/>
  <c r="S2679" i="127"/>
  <c r="T2679" i="127"/>
  <c r="S323" i="127"/>
  <c r="T323" i="127"/>
  <c r="S328" i="127"/>
  <c r="T328" i="127"/>
  <c r="S1332" i="127"/>
  <c r="T1332" i="127"/>
  <c r="S1460" i="127"/>
  <c r="T1460" i="127"/>
  <c r="S324" i="127"/>
  <c r="T324" i="127"/>
  <c r="S340" i="127"/>
  <c r="T340" i="127"/>
  <c r="S1380" i="127"/>
  <c r="T1380" i="127"/>
  <c r="S1799" i="127"/>
  <c r="T1799" i="127"/>
  <c r="S329" i="127"/>
  <c r="T329" i="127"/>
  <c r="S414" i="127"/>
  <c r="T414" i="127"/>
  <c r="S1960" i="127"/>
  <c r="T1960" i="127"/>
  <c r="S2130" i="127"/>
  <c r="T2130" i="127"/>
  <c r="S330" i="127"/>
  <c r="T330" i="127"/>
  <c r="S341" i="127"/>
  <c r="T341" i="127"/>
  <c r="S2778" i="127"/>
  <c r="T2778" i="127"/>
  <c r="S342" i="127"/>
  <c r="T342" i="127"/>
  <c r="S347" i="127"/>
  <c r="T347" i="127"/>
  <c r="S1714" i="127"/>
  <c r="T1714" i="127"/>
  <c r="S1716" i="127"/>
  <c r="T1716" i="127"/>
  <c r="S1761" i="127"/>
  <c r="T1761" i="127"/>
  <c r="S348" i="127"/>
  <c r="T348" i="127"/>
  <c r="S349" i="127"/>
  <c r="T349" i="127"/>
  <c r="S1718" i="127"/>
  <c r="T1718" i="127"/>
  <c r="S1762" i="127"/>
  <c r="T1762" i="127"/>
  <c r="S1764" i="127"/>
  <c r="T1764" i="127"/>
  <c r="S350" i="127"/>
  <c r="T350" i="127"/>
  <c r="S360" i="127"/>
  <c r="T360" i="127"/>
  <c r="S1069" i="127"/>
  <c r="T1069" i="127"/>
  <c r="S351" i="127"/>
  <c r="T351" i="127"/>
  <c r="S356" i="127"/>
  <c r="T356" i="127"/>
  <c r="S450" i="127"/>
  <c r="T450" i="127"/>
  <c r="S2029" i="127"/>
  <c r="T2029" i="127"/>
  <c r="S2109" i="127"/>
  <c r="T2109" i="127"/>
  <c r="S2556" i="127"/>
  <c r="T2556" i="127"/>
  <c r="S2681" i="127"/>
  <c r="T2681" i="127"/>
  <c r="S369" i="127"/>
  <c r="T369" i="127"/>
  <c r="S379" i="127"/>
  <c r="T379" i="127"/>
  <c r="S1071" i="127"/>
  <c r="T1071" i="127"/>
  <c r="S2054" i="127"/>
  <c r="T2054" i="127"/>
  <c r="S2056" i="127"/>
  <c r="T2056" i="127"/>
  <c r="S2305" i="127"/>
  <c r="T2305" i="127"/>
  <c r="S3115" i="127"/>
  <c r="T3115" i="127"/>
  <c r="S370" i="127"/>
  <c r="T370" i="127"/>
  <c r="S380" i="127"/>
  <c r="T380" i="127"/>
  <c r="S2330" i="127"/>
  <c r="T2330" i="127"/>
  <c r="S371" i="127"/>
  <c r="T371" i="127"/>
  <c r="S381" i="127"/>
  <c r="T381" i="127"/>
  <c r="T1542" i="127"/>
  <c r="S372" i="127"/>
  <c r="T372" i="127"/>
  <c r="S382" i="127"/>
  <c r="AK128" i="123" s="1"/>
  <c r="T382" i="127"/>
  <c r="S835" i="127"/>
  <c r="T835" i="127"/>
  <c r="S373" i="127"/>
  <c r="T373" i="127"/>
  <c r="S391" i="127"/>
  <c r="T391" i="127"/>
  <c r="S2234" i="127"/>
  <c r="T2234" i="127"/>
  <c r="S2237" i="127"/>
  <c r="T2237" i="127"/>
  <c r="S2318" i="127"/>
  <c r="T2318" i="127"/>
  <c r="S383" i="127"/>
  <c r="T383" i="127"/>
  <c r="S392" i="127"/>
  <c r="T392" i="127"/>
  <c r="S1488" i="127"/>
  <c r="T1488" i="127"/>
  <c r="S1489" i="127"/>
  <c r="T1489" i="127"/>
  <c r="S1736" i="127"/>
  <c r="T1736" i="127"/>
  <c r="S384" i="127"/>
  <c r="T384" i="127"/>
  <c r="S399" i="127"/>
  <c r="T399" i="127"/>
  <c r="S385" i="127"/>
  <c r="T385" i="127"/>
  <c r="S400" i="127"/>
  <c r="T400" i="127"/>
  <c r="S2455" i="127"/>
  <c r="T2455" i="127"/>
  <c r="S386" i="127"/>
  <c r="T386" i="127"/>
  <c r="S401" i="127"/>
  <c r="T401" i="127"/>
  <c r="S2334" i="127"/>
  <c r="T2334" i="127"/>
  <c r="S393" i="127"/>
  <c r="T393" i="127"/>
  <c r="S402" i="127"/>
  <c r="T402" i="127"/>
  <c r="S817" i="127"/>
  <c r="T817" i="127"/>
  <c r="S2916" i="127"/>
  <c r="T2916" i="127"/>
  <c r="S2946" i="127"/>
  <c r="T2946" i="127"/>
  <c r="S3081" i="127"/>
  <c r="T3081" i="127"/>
  <c r="S403" i="127"/>
  <c r="T403" i="127"/>
  <c r="S427" i="127"/>
  <c r="T427" i="127"/>
  <c r="S1576" i="127"/>
  <c r="T1576" i="127"/>
  <c r="S1578" i="127"/>
  <c r="T1578" i="127"/>
  <c r="S1612" i="127"/>
  <c r="T1612" i="127"/>
  <c r="S416" i="127"/>
  <c r="T416" i="127"/>
  <c r="S452" i="127"/>
  <c r="T452" i="127"/>
  <c r="S2411" i="127"/>
  <c r="T2411" i="127"/>
  <c r="S428" i="127"/>
  <c r="T428" i="127"/>
  <c r="S463" i="127"/>
  <c r="T463" i="127"/>
  <c r="S429" i="127"/>
  <c r="T429" i="127"/>
  <c r="S439" i="127"/>
  <c r="AK140" i="123" s="1"/>
  <c r="T439" i="127"/>
  <c r="S762" i="127"/>
  <c r="T762" i="127"/>
  <c r="S1580" i="127"/>
  <c r="T1580" i="127"/>
  <c r="S1582" i="127"/>
  <c r="T1582" i="127"/>
  <c r="S430" i="127"/>
  <c r="T430" i="127"/>
  <c r="S440" i="127"/>
  <c r="T440" i="127"/>
  <c r="S2432" i="127"/>
  <c r="T2432" i="127"/>
  <c r="S2478" i="127"/>
  <c r="T2478" i="127"/>
  <c r="S2611" i="127"/>
  <c r="T2611" i="127"/>
  <c r="S441" i="127"/>
  <c r="T441" i="127"/>
  <c r="S442" i="127"/>
  <c r="T442" i="127"/>
  <c r="S464" i="127"/>
  <c r="T464" i="127"/>
  <c r="S453" i="127"/>
  <c r="T453" i="127"/>
  <c r="S465" i="127"/>
  <c r="T465" i="127"/>
  <c r="S1914" i="127"/>
  <c r="T1914" i="127"/>
  <c r="S1944" i="127"/>
  <c r="T1944" i="127"/>
  <c r="S2131" i="127"/>
  <c r="T2131" i="127"/>
  <c r="S487" i="127"/>
  <c r="T487" i="127"/>
  <c r="S497" i="127"/>
  <c r="AK153" i="123" s="1"/>
  <c r="T497" i="127"/>
  <c r="S863" i="127"/>
  <c r="T863" i="127"/>
  <c r="S873" i="127"/>
  <c r="T873" i="127"/>
  <c r="S1787" i="127"/>
  <c r="T1787" i="127"/>
  <c r="S1789" i="127"/>
  <c r="T1789" i="127"/>
  <c r="S1790" i="127"/>
  <c r="T1790" i="127"/>
  <c r="S1792" i="127"/>
  <c r="T1792" i="127"/>
  <c r="S1965" i="127"/>
  <c r="T1965" i="127"/>
  <c r="S1996" i="127"/>
  <c r="T1996" i="127"/>
  <c r="S454" i="127"/>
  <c r="T454" i="127"/>
  <c r="S488" i="127"/>
  <c r="T488" i="127"/>
  <c r="S1827" i="127"/>
  <c r="T1827" i="127"/>
  <c r="S1851" i="127"/>
  <c r="T1851" i="127"/>
  <c r="S1966" i="127"/>
  <c r="T1966" i="127"/>
  <c r="S466" i="127"/>
  <c r="T466" i="127"/>
  <c r="S467" i="127"/>
  <c r="AK147" i="123" s="1"/>
  <c r="T467" i="127"/>
  <c r="S468" i="127"/>
  <c r="T468" i="127"/>
  <c r="S498" i="127"/>
  <c r="T498" i="127"/>
  <c r="S469" i="127"/>
  <c r="T469" i="127"/>
  <c r="S499" i="127"/>
  <c r="T499" i="127"/>
  <c r="S1205" i="127"/>
  <c r="T1205" i="127"/>
  <c r="T1281" i="127"/>
  <c r="S489" i="127"/>
  <c r="T489" i="127"/>
  <c r="S490" i="127"/>
  <c r="T490" i="127"/>
  <c r="S1218" i="127"/>
  <c r="T1218" i="127"/>
  <c r="S1219" i="127"/>
  <c r="T1219" i="127"/>
  <c r="S2117" i="127"/>
  <c r="T2117" i="127"/>
  <c r="S491" i="127"/>
  <c r="T491" i="127"/>
  <c r="S492" i="127"/>
  <c r="T492" i="127"/>
  <c r="S523" i="127"/>
  <c r="T523" i="127"/>
  <c r="S1721" i="127"/>
  <c r="T1721" i="127"/>
  <c r="S1945" i="127"/>
  <c r="T1945" i="127"/>
  <c r="S500" i="127"/>
  <c r="T500" i="127"/>
  <c r="S524" i="127"/>
  <c r="T524" i="127"/>
  <c r="S2060" i="127"/>
  <c r="T2060" i="127"/>
  <c r="S501" i="127"/>
  <c r="T501" i="127"/>
  <c r="S568" i="127"/>
  <c r="T568" i="127"/>
  <c r="S502" i="127"/>
  <c r="T502" i="127"/>
  <c r="S511" i="127"/>
  <c r="T511" i="127"/>
  <c r="S503" i="127"/>
  <c r="T503" i="127"/>
  <c r="S512" i="127"/>
  <c r="T512" i="127"/>
  <c r="S539" i="127"/>
  <c r="T539" i="127"/>
  <c r="S2481" i="127"/>
  <c r="T2481" i="127"/>
  <c r="S2507" i="127"/>
  <c r="T2507" i="127"/>
  <c r="S2508" i="127"/>
  <c r="T2508" i="127"/>
  <c r="S526" i="127"/>
  <c r="T526" i="127"/>
  <c r="S615" i="127"/>
  <c r="T615" i="127"/>
  <c r="S2458" i="127"/>
  <c r="T2458" i="127"/>
  <c r="S2484" i="127"/>
  <c r="T2484" i="127"/>
  <c r="S2485" i="127"/>
  <c r="T2485" i="127"/>
  <c r="S2613" i="127"/>
  <c r="T2613" i="127"/>
  <c r="S527" i="127"/>
  <c r="T527" i="127"/>
  <c r="S569" i="127"/>
  <c r="T569" i="127"/>
  <c r="S1412" i="127"/>
  <c r="T1412" i="127"/>
  <c r="T1462" i="127"/>
  <c r="S1614" i="127"/>
  <c r="T1614" i="127"/>
  <c r="S528" i="127"/>
  <c r="T528" i="127"/>
  <c r="S529" i="127"/>
  <c r="AK158" i="123" s="1"/>
  <c r="T529" i="127"/>
  <c r="AL158" i="123" s="1"/>
  <c r="AO158" i="123" s="1"/>
  <c r="S2019" i="127"/>
  <c r="T2019" i="127"/>
  <c r="S2020" i="127"/>
  <c r="T2020" i="127"/>
  <c r="S2887" i="127"/>
  <c r="T2887" i="127"/>
  <c r="S2888" i="127"/>
  <c r="T2888" i="127"/>
  <c r="S2919" i="127"/>
  <c r="T2919" i="127"/>
  <c r="S540" i="127"/>
  <c r="T540" i="127"/>
  <c r="S541" i="127"/>
  <c r="T541" i="127"/>
  <c r="S547" i="127"/>
  <c r="T547" i="127"/>
  <c r="S548" i="127"/>
  <c r="T548" i="127"/>
  <c r="S1464" i="127"/>
  <c r="T1464" i="127"/>
  <c r="S557" i="127"/>
  <c r="T557" i="127"/>
  <c r="S570" i="127"/>
  <c r="T570" i="127"/>
  <c r="S2096" i="127"/>
  <c r="T2096" i="127"/>
  <c r="S3069" i="127"/>
  <c r="T3069" i="127"/>
  <c r="S3084" i="127"/>
  <c r="T3084" i="127"/>
  <c r="S558" i="127"/>
  <c r="T558" i="127"/>
  <c r="S655" i="127"/>
  <c r="T655" i="127"/>
  <c r="S1586" i="127"/>
  <c r="T1586" i="127"/>
  <c r="S1588" i="127"/>
  <c r="T1588" i="127"/>
  <c r="S1615" i="127"/>
  <c r="T1615" i="127"/>
  <c r="S559" i="127"/>
  <c r="T559" i="127"/>
  <c r="S685" i="127"/>
  <c r="T685" i="127"/>
  <c r="S560" i="127"/>
  <c r="T560" i="127"/>
  <c r="S571" i="127"/>
  <c r="T571" i="127"/>
  <c r="S582" i="127"/>
  <c r="T582" i="127"/>
  <c r="S1769" i="127"/>
  <c r="T1769" i="127"/>
  <c r="S1771" i="127"/>
  <c r="T1771" i="127"/>
  <c r="S1853" i="127"/>
  <c r="T1853" i="127"/>
  <c r="S572" i="127"/>
  <c r="T572" i="127"/>
  <c r="S686" i="127"/>
  <c r="T686" i="127"/>
  <c r="S573" i="127"/>
  <c r="T573" i="127"/>
  <c r="S593" i="127"/>
  <c r="T593" i="127"/>
  <c r="S2239" i="127"/>
  <c r="T2239" i="127"/>
  <c r="S583" i="127"/>
  <c r="T583" i="127"/>
  <c r="S656" i="127"/>
  <c r="T656" i="127"/>
  <c r="S2488" i="127"/>
  <c r="T2488" i="127"/>
  <c r="S594" i="127"/>
  <c r="T594" i="127"/>
  <c r="S616" i="127"/>
  <c r="T616" i="127"/>
  <c r="S2099" i="127"/>
  <c r="T2099" i="127"/>
  <c r="S3043" i="127"/>
  <c r="T3043" i="127"/>
  <c r="S595" i="127"/>
  <c r="T595" i="127"/>
  <c r="S617" i="127"/>
  <c r="T617" i="127"/>
  <c r="S618" i="127"/>
  <c r="T618" i="127"/>
  <c r="S687" i="127"/>
  <c r="T687" i="127"/>
  <c r="S1967" i="127"/>
  <c r="T1967" i="127"/>
  <c r="S1970" i="127"/>
  <c r="T1970" i="127"/>
  <c r="S2188" i="127"/>
  <c r="T2188" i="127"/>
  <c r="S619" i="127"/>
  <c r="T619" i="127"/>
  <c r="S620" i="127"/>
  <c r="T620" i="127"/>
  <c r="S621" i="127"/>
  <c r="T621" i="127"/>
  <c r="S1207" i="127"/>
  <c r="T1207" i="127"/>
  <c r="S1208" i="127"/>
  <c r="T1208" i="127"/>
  <c r="S2031" i="127"/>
  <c r="T2031" i="127"/>
  <c r="S2034" i="127"/>
  <c r="T2034" i="127"/>
  <c r="S2252" i="127"/>
  <c r="T2252" i="127"/>
  <c r="S2253" i="127"/>
  <c r="T2253" i="127"/>
  <c r="S630" i="127"/>
  <c r="T630" i="127"/>
  <c r="S663" i="127"/>
  <c r="T663" i="127"/>
  <c r="S2363" i="127"/>
  <c r="T2363" i="127"/>
  <c r="S631" i="127"/>
  <c r="T631" i="127"/>
  <c r="S664" i="127"/>
  <c r="T664" i="127"/>
  <c r="S1531" i="127"/>
  <c r="T1531" i="127"/>
  <c r="S1534" i="127"/>
  <c r="T1534" i="127"/>
  <c r="S1636" i="127"/>
  <c r="T1636" i="127"/>
  <c r="S640" i="127"/>
  <c r="T640" i="127"/>
  <c r="S665" i="127"/>
  <c r="T665" i="127"/>
  <c r="S2264" i="127"/>
  <c r="T2264" i="127"/>
  <c r="S2265" i="127"/>
  <c r="T2265" i="127"/>
  <c r="S2614" i="127"/>
  <c r="T2614" i="127"/>
  <c r="S641" i="127"/>
  <c r="T641" i="127"/>
  <c r="S657" i="127"/>
  <c r="T657" i="127"/>
  <c r="S2366" i="127"/>
  <c r="T2366" i="127"/>
  <c r="S642" i="127"/>
  <c r="T642" i="127"/>
  <c r="S842" i="127"/>
  <c r="T842" i="127"/>
  <c r="S1800" i="127"/>
  <c r="T1800" i="127"/>
  <c r="S643" i="127"/>
  <c r="T643" i="127"/>
  <c r="S688" i="127"/>
  <c r="T688" i="127"/>
  <c r="S1921" i="127"/>
  <c r="T1921" i="127"/>
  <c r="S2132" i="127"/>
  <c r="T2132" i="127"/>
  <c r="S644" i="127"/>
  <c r="T644" i="127"/>
  <c r="S666" i="127"/>
  <c r="T666" i="127"/>
  <c r="S699" i="127"/>
  <c r="T699" i="127"/>
  <c r="T2437" i="127"/>
  <c r="S667" i="127"/>
  <c r="T667" i="127"/>
  <c r="S689" i="127"/>
  <c r="T689" i="127"/>
  <c r="S731" i="127"/>
  <c r="AK194" i="123" s="1"/>
  <c r="T731" i="127"/>
  <c r="S2970" i="127"/>
  <c r="T2970" i="127"/>
  <c r="S700" i="127"/>
  <c r="T700" i="127"/>
  <c r="S768" i="127"/>
  <c r="T768" i="127"/>
  <c r="S732" i="127"/>
  <c r="T732" i="127"/>
  <c r="S769" i="127"/>
  <c r="T769" i="127"/>
  <c r="S742" i="127"/>
  <c r="T742" i="127"/>
  <c r="S794" i="127"/>
  <c r="T794" i="127"/>
  <c r="S1318" i="127"/>
  <c r="T1318" i="127"/>
  <c r="S1465" i="127"/>
  <c r="T1465" i="127"/>
  <c r="S2084" i="127"/>
  <c r="AK275" i="123" s="1"/>
  <c r="T2084" i="127"/>
  <c r="S743" i="127"/>
  <c r="T743" i="127"/>
  <c r="S1830" i="127"/>
  <c r="T1830" i="127"/>
  <c r="T1832" i="127"/>
  <c r="S1946" i="127"/>
  <c r="T1946" i="127"/>
  <c r="S770" i="127"/>
  <c r="T770" i="127"/>
  <c r="S2782" i="127"/>
  <c r="T2782" i="127"/>
  <c r="S2835" i="127"/>
  <c r="T2835" i="127"/>
  <c r="S785" i="127"/>
  <c r="T785" i="127"/>
  <c r="S795" i="127"/>
  <c r="T795" i="127"/>
  <c r="S1807" i="127"/>
  <c r="T1807" i="127"/>
  <c r="S796" i="127"/>
  <c r="T796" i="127"/>
  <c r="S797" i="127"/>
  <c r="T797" i="127"/>
  <c r="S805" i="127"/>
  <c r="T805" i="127"/>
  <c r="S1466" i="127"/>
  <c r="T1466" i="127"/>
  <c r="S798" i="127"/>
  <c r="T798" i="127"/>
  <c r="S853" i="127"/>
  <c r="T853" i="127"/>
  <c r="S854" i="127"/>
  <c r="T854" i="127"/>
  <c r="S2283" i="127"/>
  <c r="T2283" i="127"/>
  <c r="S2285" i="127"/>
  <c r="T2285" i="127"/>
  <c r="S2615" i="127"/>
  <c r="T2615" i="127"/>
  <c r="S799" i="127"/>
  <c r="T799" i="127"/>
  <c r="S855" i="127"/>
  <c r="T855" i="127"/>
  <c r="S2785" i="127"/>
  <c r="T2785" i="127"/>
  <c r="S800" i="127"/>
  <c r="T800" i="127"/>
  <c r="S820" i="127"/>
  <c r="T820" i="127"/>
  <c r="S2063" i="127"/>
  <c r="T2063" i="127"/>
  <c r="S2065" i="127"/>
  <c r="T2065" i="127"/>
  <c r="S801" i="127"/>
  <c r="T801" i="127"/>
  <c r="S821" i="127"/>
  <c r="AK208" i="123" s="1"/>
  <c r="T821" i="127"/>
  <c r="S1655" i="127"/>
  <c r="T1655" i="127"/>
  <c r="S1657" i="127"/>
  <c r="T1657" i="127"/>
  <c r="S1776" i="127"/>
  <c r="T1776" i="127"/>
  <c r="S806" i="127"/>
  <c r="T806" i="127"/>
  <c r="S843" i="127"/>
  <c r="T843" i="127"/>
  <c r="S2569" i="127"/>
  <c r="T2569" i="127"/>
  <c r="S807" i="127"/>
  <c r="T807" i="127"/>
  <c r="S856" i="127"/>
  <c r="T856" i="127"/>
  <c r="S2212" i="127"/>
  <c r="T2212" i="127"/>
  <c r="S2319" i="127"/>
  <c r="T2319" i="127"/>
  <c r="S808" i="127"/>
  <c r="T808" i="127"/>
  <c r="S857" i="127"/>
  <c r="T857" i="127"/>
  <c r="S2491" i="127"/>
  <c r="T2491" i="127"/>
  <c r="S2493" i="127"/>
  <c r="T2493" i="127"/>
  <c r="S2636" i="127"/>
  <c r="T2636" i="127"/>
  <c r="S809" i="127"/>
  <c r="T809" i="127"/>
  <c r="S822" i="127"/>
  <c r="T822" i="127"/>
  <c r="S2167" i="127"/>
  <c r="T2167" i="127"/>
  <c r="S2192" i="127"/>
  <c r="T2192" i="127"/>
  <c r="S2254" i="127"/>
  <c r="T2254" i="127"/>
  <c r="S2857" i="127"/>
  <c r="T2857" i="127"/>
  <c r="S844" i="127"/>
  <c r="T844" i="127"/>
  <c r="S865" i="127"/>
  <c r="T865" i="127"/>
  <c r="S2287" i="127"/>
  <c r="T2287" i="127"/>
  <c r="S2288" i="127"/>
  <c r="T2288" i="127"/>
  <c r="S2320" i="127"/>
  <c r="T2320" i="127"/>
  <c r="S823" i="127"/>
  <c r="T823" i="127"/>
  <c r="S824" i="127"/>
  <c r="T824" i="127"/>
  <c r="S918" i="127"/>
  <c r="T918" i="127"/>
  <c r="S1884" i="127"/>
  <c r="T1884" i="127"/>
  <c r="S1899" i="127"/>
  <c r="T1899" i="127"/>
  <c r="S1971" i="127"/>
  <c r="T1971" i="127"/>
  <c r="S825" i="127"/>
  <c r="T825" i="127"/>
  <c r="S876" i="127"/>
  <c r="T876" i="127"/>
  <c r="S826" i="127"/>
  <c r="T826" i="127"/>
  <c r="S877" i="127"/>
  <c r="T877" i="127"/>
  <c r="S882" i="127"/>
  <c r="T882" i="127"/>
  <c r="S901" i="127"/>
  <c r="T901" i="127"/>
  <c r="S1812" i="127"/>
  <c r="T1812" i="127"/>
  <c r="S1855" i="127"/>
  <c r="T1855" i="127"/>
  <c r="S1925" i="127"/>
  <c r="T1925" i="127"/>
  <c r="S866" i="127"/>
  <c r="T866" i="127"/>
  <c r="S878" i="127"/>
  <c r="T878" i="127"/>
  <c r="S879" i="127"/>
  <c r="T879" i="127"/>
  <c r="S987" i="127"/>
  <c r="T987" i="127"/>
  <c r="S902" i="127"/>
  <c r="T902" i="127"/>
  <c r="S903" i="127"/>
  <c r="T903" i="127"/>
  <c r="S988" i="127"/>
  <c r="T988" i="127"/>
  <c r="S989" i="127"/>
  <c r="T989" i="127"/>
  <c r="S2616" i="127"/>
  <c r="T2616" i="127"/>
  <c r="S2617" i="127"/>
  <c r="T2617" i="127"/>
  <c r="S2684" i="127"/>
  <c r="T2684" i="127"/>
  <c r="S1005" i="127"/>
  <c r="T1005" i="127"/>
  <c r="S1095" i="127"/>
  <c r="T1095" i="127"/>
  <c r="S1120" i="127"/>
  <c r="T1120" i="127"/>
  <c r="S3097" i="127"/>
  <c r="T3097" i="127"/>
  <c r="S1012" i="127"/>
  <c r="T1012" i="127"/>
  <c r="S1027" i="127"/>
  <c r="T1027" i="127"/>
  <c r="S1373" i="127"/>
  <c r="T1373" i="127"/>
  <c r="S1777" i="127"/>
  <c r="T1777" i="127"/>
  <c r="S1028" i="127"/>
  <c r="T1028" i="127"/>
  <c r="S1039" i="127"/>
  <c r="T1039" i="127"/>
  <c r="S1029" i="127"/>
  <c r="T1029" i="127"/>
  <c r="T1131" i="127"/>
  <c r="T1149" i="127"/>
  <c r="S1040" i="127"/>
  <c r="T1040" i="127"/>
  <c r="S1075" i="127"/>
  <c r="T1075" i="127"/>
  <c r="S1076" i="127"/>
  <c r="T1076" i="127"/>
  <c r="S2087" i="127"/>
  <c r="T2087" i="127"/>
  <c r="S1077" i="127"/>
  <c r="T1077" i="127"/>
  <c r="S1740" i="127"/>
  <c r="T1740" i="127"/>
  <c r="S1742" i="127"/>
  <c r="T1742" i="127"/>
  <c r="S1778" i="127"/>
  <c r="T1778" i="127"/>
  <c r="S1972" i="127"/>
  <c r="T1972" i="127"/>
  <c r="S1975" i="127"/>
  <c r="T1975" i="127"/>
  <c r="S1976" i="127"/>
  <c r="T1976" i="127"/>
  <c r="S2292" i="127"/>
  <c r="T2292" i="127"/>
  <c r="S2295" i="127"/>
  <c r="T2295" i="127"/>
  <c r="T2296" i="127"/>
  <c r="S2742" i="127"/>
  <c r="T2742" i="127"/>
  <c r="S2743" i="127"/>
  <c r="T2743" i="127"/>
  <c r="S2744" i="127"/>
  <c r="T2744" i="127"/>
  <c r="T2745" i="127"/>
  <c r="T2924" i="127"/>
  <c r="S2925" i="127"/>
  <c r="T2925" i="127"/>
  <c r="S2926" i="127"/>
  <c r="T2926" i="127"/>
  <c r="S1096" i="127"/>
  <c r="T1096" i="127"/>
  <c r="S3005" i="127"/>
  <c r="T3005" i="127"/>
  <c r="S1108" i="127"/>
  <c r="T1108" i="127"/>
  <c r="S2195" i="127"/>
  <c r="T2195" i="127"/>
  <c r="S1109" i="127"/>
  <c r="T1109" i="127"/>
  <c r="S1121" i="127"/>
  <c r="T1121" i="127"/>
  <c r="S1122" i="127"/>
  <c r="T1122" i="127"/>
  <c r="S2036" i="127"/>
  <c r="T2036" i="127"/>
  <c r="S1123" i="127"/>
  <c r="T1123" i="127"/>
  <c r="S1132" i="127"/>
  <c r="T1132" i="127"/>
  <c r="S1133" i="127"/>
  <c r="T1133" i="127"/>
  <c r="S2929" i="127"/>
  <c r="T2929" i="127"/>
  <c r="S1124" i="127"/>
  <c r="T1124" i="127"/>
  <c r="S1226" i="127"/>
  <c r="T1226" i="127"/>
  <c r="S1287" i="127"/>
  <c r="T1287" i="127"/>
  <c r="S2514" i="127"/>
  <c r="T2514" i="127"/>
  <c r="S2588" i="127"/>
  <c r="T2588" i="127"/>
  <c r="S2589" i="127"/>
  <c r="T2589" i="127"/>
  <c r="S1134" i="127"/>
  <c r="T1134" i="127"/>
  <c r="S1150" i="127"/>
  <c r="T1150" i="127"/>
  <c r="S2787" i="127"/>
  <c r="T2787" i="127"/>
  <c r="S1135" i="127"/>
  <c r="T1135" i="127"/>
  <c r="S1178" i="127"/>
  <c r="T1178" i="127"/>
  <c r="S2269" i="127"/>
  <c r="T2269" i="127"/>
  <c r="S2789" i="127"/>
  <c r="T2789" i="127"/>
  <c r="S1151" i="127"/>
  <c r="T1151" i="127"/>
  <c r="S1210" i="127"/>
  <c r="T1210" i="127"/>
  <c r="S1192" i="127"/>
  <c r="T1192" i="127"/>
  <c r="S1288" i="127"/>
  <c r="T1288" i="127"/>
  <c r="S1227" i="127"/>
  <c r="T1227" i="127"/>
  <c r="S1228" i="127"/>
  <c r="T1228" i="127"/>
  <c r="S1505" i="127"/>
  <c r="T1505" i="127"/>
  <c r="S1506" i="127"/>
  <c r="T1506" i="127"/>
  <c r="S1508" i="127"/>
  <c r="T1508" i="127"/>
  <c r="S1600" i="127"/>
  <c r="T1600" i="127"/>
  <c r="S1229" i="127"/>
  <c r="T1229" i="127"/>
  <c r="T1239" i="127"/>
  <c r="T1382" i="127"/>
  <c r="S1230" i="127"/>
  <c r="T1230" i="127"/>
  <c r="S1240" i="127"/>
  <c r="S1383" i="127"/>
  <c r="S1290" i="127"/>
  <c r="T1290" i="127"/>
  <c r="S1308" i="127"/>
  <c r="T1308" i="127"/>
  <c r="S1264" i="127"/>
  <c r="T1264" i="127"/>
  <c r="S1320" i="127"/>
  <c r="T1320" i="127"/>
  <c r="S1265" i="127"/>
  <c r="T1265" i="127"/>
  <c r="S1266" i="127"/>
  <c r="T1266" i="127"/>
  <c r="S1744" i="127"/>
  <c r="T1744" i="127"/>
  <c r="S1746" i="127"/>
  <c r="T1746" i="127"/>
  <c r="S1267" i="127"/>
  <c r="T1267" i="127"/>
  <c r="S1268" i="127"/>
  <c r="T1268" i="127"/>
  <c r="S1291" i="127"/>
  <c r="T1291" i="127"/>
  <c r="S1292" i="127"/>
  <c r="T1292" i="127"/>
  <c r="S1293" i="127"/>
  <c r="T1293" i="127"/>
  <c r="S1309" i="127"/>
  <c r="T1309" i="127"/>
  <c r="S1310" i="127"/>
  <c r="T1310" i="127"/>
  <c r="S1336" i="127"/>
  <c r="T1336" i="127"/>
  <c r="T2242" i="127"/>
  <c r="S2245" i="127"/>
  <c r="T2245" i="127"/>
  <c r="T2308" i="127"/>
  <c r="S1311" i="127"/>
  <c r="T1311" i="127"/>
  <c r="S1618" i="127"/>
  <c r="T1618" i="127"/>
  <c r="S2861" i="127"/>
  <c r="T2861" i="127"/>
  <c r="S2864" i="127"/>
  <c r="T2864" i="127"/>
  <c r="S2972" i="127"/>
  <c r="T2972" i="127"/>
  <c r="S1321" i="127"/>
  <c r="T1321" i="127"/>
  <c r="S1417" i="127"/>
  <c r="T1417" i="127"/>
  <c r="S1337" i="127"/>
  <c r="T1337" i="127"/>
  <c r="S1338" i="127"/>
  <c r="T1338" i="127"/>
  <c r="S1322" i="127"/>
  <c r="T1322" i="127"/>
  <c r="S1384" i="127"/>
  <c r="T1384" i="127"/>
  <c r="S2894" i="127"/>
  <c r="T2894" i="127"/>
  <c r="S1339" i="127"/>
  <c r="T1339" i="127"/>
  <c r="S1340" i="127"/>
  <c r="T1340" i="127"/>
  <c r="S1510" i="127"/>
  <c r="T1510" i="127"/>
  <c r="S1341" i="127"/>
  <c r="T1341" i="127"/>
  <c r="S3145" i="127"/>
  <c r="T3145" i="127"/>
  <c r="S3146" i="127"/>
  <c r="T3146" i="127"/>
  <c r="S1385" i="127"/>
  <c r="T1385" i="127"/>
  <c r="S1374" i="127"/>
  <c r="T1374" i="127"/>
  <c r="S1659" i="127"/>
  <c r="T1659" i="127"/>
  <c r="S2517" i="127"/>
  <c r="T2517" i="127"/>
  <c r="S2590" i="127"/>
  <c r="T2590" i="127"/>
  <c r="S1418" i="127"/>
  <c r="T1418" i="127"/>
  <c r="S1619" i="127"/>
  <c r="T1619" i="127"/>
  <c r="S1375" i="127"/>
  <c r="T1375" i="127"/>
  <c r="S1441" i="127"/>
  <c r="T1441" i="127"/>
  <c r="T2896" i="127"/>
  <c r="S2973" i="127"/>
  <c r="T2973" i="127"/>
  <c r="S3007" i="127"/>
  <c r="T3007" i="127"/>
  <c r="S1376" i="127"/>
  <c r="T1376" i="127"/>
  <c r="S1536" i="127"/>
  <c r="T1536" i="127"/>
  <c r="S3088" i="127"/>
  <c r="T3088" i="127"/>
  <c r="S1386" i="127"/>
  <c r="T1386" i="127"/>
  <c r="S1620" i="127"/>
  <c r="T1620" i="127"/>
  <c r="S3023" i="127"/>
  <c r="T3023" i="127"/>
  <c r="S3024" i="127"/>
  <c r="T3024" i="127"/>
  <c r="S1387" i="127"/>
  <c r="T1387" i="127"/>
  <c r="S1537" i="127"/>
  <c r="T1537" i="127"/>
  <c r="S1399" i="127"/>
  <c r="T1399" i="127"/>
  <c r="S1419" i="127"/>
  <c r="T1419" i="127"/>
  <c r="S1420" i="127"/>
  <c r="T1420" i="127"/>
  <c r="S1782" i="127"/>
  <c r="T1782" i="127"/>
  <c r="S1836" i="127"/>
  <c r="T1836" i="127"/>
  <c r="S1856" i="127"/>
  <c r="T1856" i="127"/>
  <c r="S2690" i="127"/>
  <c r="T2690" i="127"/>
  <c r="S1400" i="127"/>
  <c r="T1400" i="127"/>
  <c r="S1421" i="127"/>
  <c r="T1421" i="127"/>
  <c r="S1979" i="127"/>
  <c r="AK350" i="123" s="1"/>
  <c r="T1979" i="127"/>
  <c r="S1511" i="127"/>
  <c r="T1511" i="127"/>
  <c r="S1512" i="127"/>
  <c r="T1512" i="127"/>
  <c r="S1513" i="127"/>
  <c r="T1513" i="127"/>
  <c r="S1514" i="127"/>
  <c r="T1514" i="127"/>
  <c r="S2004" i="127"/>
  <c r="T2004" i="127"/>
  <c r="S2067" i="127"/>
  <c r="T2067" i="127"/>
  <c r="S2068" i="127"/>
  <c r="T2068" i="127"/>
  <c r="S2122" i="127"/>
  <c r="T2122" i="127"/>
  <c r="S2900" i="127"/>
  <c r="T2900" i="127"/>
  <c r="S2901" i="127"/>
  <c r="T2901" i="127"/>
  <c r="S1515" i="127"/>
  <c r="T1515" i="127"/>
  <c r="S1702" i="127"/>
  <c r="AK317" i="123" s="1"/>
  <c r="T1702" i="127"/>
  <c r="S2974" i="127"/>
  <c r="T2974" i="127"/>
  <c r="T2976" i="127"/>
  <c r="S3090" i="127"/>
  <c r="T3090" i="127"/>
  <c r="S1551" i="127"/>
  <c r="T1551" i="127"/>
  <c r="S1552" i="127"/>
  <c r="T1552" i="127"/>
  <c r="S1750" i="127"/>
  <c r="T1750" i="127"/>
  <c r="S1563" i="127"/>
  <c r="T1563" i="127"/>
  <c r="S1564" i="127"/>
  <c r="T1564" i="127"/>
  <c r="S1857" i="127"/>
  <c r="T1857" i="127"/>
  <c r="S3010" i="127"/>
  <c r="T3010" i="127"/>
  <c r="S1593" i="127"/>
  <c r="T1593" i="127"/>
  <c r="S1603" i="127"/>
  <c r="T1603" i="127"/>
  <c r="S1621" i="127"/>
  <c r="T1621" i="127"/>
  <c r="S1622" i="127"/>
  <c r="T1622" i="127"/>
  <c r="S1623" i="127"/>
  <c r="T1623" i="127"/>
  <c r="S1624" i="127"/>
  <c r="T1624" i="127"/>
  <c r="S2175" i="127"/>
  <c r="T2175" i="127"/>
  <c r="S1640" i="127"/>
  <c r="T1640" i="127"/>
  <c r="S1641" i="127"/>
  <c r="T1641" i="127"/>
  <c r="S1660" i="127"/>
  <c r="T1660" i="127"/>
  <c r="S3133" i="127"/>
  <c r="T3133" i="127"/>
  <c r="S3134" i="127"/>
  <c r="T3134" i="127"/>
  <c r="S1625" i="127"/>
  <c r="T1625" i="127"/>
  <c r="S1626" i="127"/>
  <c r="T1626" i="127"/>
  <c r="S1642" i="127"/>
  <c r="T1642" i="127"/>
  <c r="S1643" i="127"/>
  <c r="T1643" i="127"/>
  <c r="S1703" i="127"/>
  <c r="T1703" i="127"/>
  <c r="S1815" i="127"/>
  <c r="T1815" i="127"/>
  <c r="S2648" i="127"/>
  <c r="T2648" i="127"/>
  <c r="S1837" i="127"/>
  <c r="T1837" i="127"/>
  <c r="S1867" i="127"/>
  <c r="T1867" i="127"/>
  <c r="S1868" i="127"/>
  <c r="T1868" i="127"/>
  <c r="S1892" i="127"/>
  <c r="T1892" i="127"/>
  <c r="S1893" i="127"/>
  <c r="T1893" i="127"/>
  <c r="S2838" i="127"/>
  <c r="T2838" i="127"/>
  <c r="S1929" i="127"/>
  <c r="T1929" i="127"/>
  <c r="S1930" i="127"/>
  <c r="T1930" i="127"/>
  <c r="S1931" i="127"/>
  <c r="T1931" i="127"/>
  <c r="S1932" i="127"/>
  <c r="T1932" i="127"/>
  <c r="S1933" i="127"/>
  <c r="T1933" i="127"/>
  <c r="S1934" i="127"/>
  <c r="T1934" i="127"/>
  <c r="S1935" i="127"/>
  <c r="T1935" i="127"/>
  <c r="S2123" i="127"/>
  <c r="T2123" i="127"/>
  <c r="S1950" i="127"/>
  <c r="T1950" i="127"/>
  <c r="S1980" i="127"/>
  <c r="T1980" i="127"/>
  <c r="S1981" i="127"/>
  <c r="T1981" i="127"/>
  <c r="S1951" i="127"/>
  <c r="T1951" i="127"/>
  <c r="S1982" i="127"/>
  <c r="T1982" i="127"/>
  <c r="S2136" i="127"/>
  <c r="T2136" i="127"/>
  <c r="S1952" i="127"/>
  <c r="T1952" i="127"/>
  <c r="S1953" i="127"/>
  <c r="T1953" i="127"/>
  <c r="S1983" i="127"/>
  <c r="T1983" i="127"/>
  <c r="S1984" i="127"/>
  <c r="T1984" i="127"/>
  <c r="S2624" i="127"/>
  <c r="T2624" i="127"/>
  <c r="S2270" i="127"/>
  <c r="T2270" i="127"/>
  <c r="S2956" i="127"/>
  <c r="T2956" i="127"/>
  <c r="S2069" i="127"/>
  <c r="T2069" i="127"/>
  <c r="S2091" i="127"/>
  <c r="T2091" i="127"/>
  <c r="S2070" i="127"/>
  <c r="T2070" i="127"/>
  <c r="S2071" i="127"/>
  <c r="T2071" i="127"/>
  <c r="S2072" i="127"/>
  <c r="T2072" i="127"/>
  <c r="S2073" i="127"/>
  <c r="T2073" i="127"/>
  <c r="S2321" i="127"/>
  <c r="T2321" i="127"/>
  <c r="S2074" i="127"/>
  <c r="T2074" i="127"/>
  <c r="S2075" i="127"/>
  <c r="T2075" i="127"/>
  <c r="S2076" i="127"/>
  <c r="T2076" i="127"/>
  <c r="S2077" i="127"/>
  <c r="T2077" i="127"/>
  <c r="S2137" i="127"/>
  <c r="T2137" i="127"/>
  <c r="S2138" i="127"/>
  <c r="T2138" i="127"/>
  <c r="S2139" i="127"/>
  <c r="T2139" i="127"/>
  <c r="S2140" i="127"/>
  <c r="T2140" i="127"/>
  <c r="S2176" i="127"/>
  <c r="T2176" i="127"/>
  <c r="S2177" i="127"/>
  <c r="T2177" i="127"/>
  <c r="S2246" i="127"/>
  <c r="T2246" i="127"/>
  <c r="S2178" i="127"/>
  <c r="T2178" i="127"/>
  <c r="S2179" i="127"/>
  <c r="T2179" i="127"/>
  <c r="S2309" i="127"/>
  <c r="T2309" i="127"/>
  <c r="S2199" i="127"/>
  <c r="T2199" i="127"/>
  <c r="S2200" i="127"/>
  <c r="T2200" i="127"/>
  <c r="S2247" i="127"/>
  <c r="T2247" i="127"/>
  <c r="S2248" i="127"/>
  <c r="T2248" i="127"/>
  <c r="S2626" i="127"/>
  <c r="T2626" i="127"/>
  <c r="S2271" i="127"/>
  <c r="T2271" i="127"/>
  <c r="S2627" i="127"/>
  <c r="T2627" i="127"/>
  <c r="S2322" i="127"/>
  <c r="T2322" i="127"/>
  <c r="S2323" i="127"/>
  <c r="T2323" i="127"/>
  <c r="S2324" i="127"/>
  <c r="AK386" i="123" s="1"/>
  <c r="T2324" i="127"/>
  <c r="S2796" i="127"/>
  <c r="T2796" i="127"/>
  <c r="S2498" i="127"/>
  <c r="T2498" i="127"/>
  <c r="S2499" i="127"/>
  <c r="T2499" i="127"/>
  <c r="S2536" i="127"/>
  <c r="T2536" i="127"/>
  <c r="S2537" i="127"/>
  <c r="T2537" i="127"/>
  <c r="S2560" i="127"/>
  <c r="T2560" i="127"/>
  <c r="S2547" i="127"/>
  <c r="T2547" i="127"/>
  <c r="S2561" i="127"/>
  <c r="T2561" i="127"/>
  <c r="S2591" i="127"/>
  <c r="T2591" i="127"/>
  <c r="S2562" i="127"/>
  <c r="T2562" i="127"/>
  <c r="S2571" i="127"/>
  <c r="T2571" i="127"/>
  <c r="S2572" i="127"/>
  <c r="T2572" i="127"/>
  <c r="S2573" i="127"/>
  <c r="T2573" i="127"/>
  <c r="S2867" i="127"/>
  <c r="T2867" i="127"/>
  <c r="S2868" i="127"/>
  <c r="T2868" i="127"/>
  <c r="T2870" i="127"/>
  <c r="S2598" i="127"/>
  <c r="T2598" i="127"/>
  <c r="S2599" i="127"/>
  <c r="T2599" i="127"/>
  <c r="S2600" i="127"/>
  <c r="T2600" i="127"/>
  <c r="S2629" i="127"/>
  <c r="T2629" i="127"/>
  <c r="S2693" i="127"/>
  <c r="T2693" i="127"/>
  <c r="S2638" i="127"/>
  <c r="T2638" i="127"/>
  <c r="S2639" i="127"/>
  <c r="T2639" i="127"/>
  <c r="S2650" i="127"/>
  <c r="T2650" i="127"/>
  <c r="S3122" i="127"/>
  <c r="T3122" i="127"/>
  <c r="S3149" i="127"/>
  <c r="T3149" i="127"/>
  <c r="S3150" i="127"/>
  <c r="T3150" i="127"/>
  <c r="S2694" i="127"/>
  <c r="T2694" i="127"/>
  <c r="S2722" i="127"/>
  <c r="T2722" i="127"/>
  <c r="S2723" i="127"/>
  <c r="T2723" i="127"/>
  <c r="S2797" i="127"/>
  <c r="T2797" i="127"/>
  <c r="S2737" i="127"/>
  <c r="T2737" i="127"/>
  <c r="S2738" i="127"/>
  <c r="T2738" i="127"/>
  <c r="S2798" i="127"/>
  <c r="T2798" i="127"/>
  <c r="S2817" i="127"/>
  <c r="T2817" i="127"/>
  <c r="S2818" i="127"/>
  <c r="T2818" i="127"/>
  <c r="S2841" i="127"/>
  <c r="T2841" i="127"/>
  <c r="S2819" i="127"/>
  <c r="T2819" i="127"/>
  <c r="S2934" i="127"/>
  <c r="T2934" i="127"/>
  <c r="S2935" i="127"/>
  <c r="T2935" i="127"/>
  <c r="S2936" i="127"/>
  <c r="T2936" i="127"/>
  <c r="S3173" i="127"/>
  <c r="T3173" i="127"/>
  <c r="S3186" i="127"/>
  <c r="T3186" i="127"/>
  <c r="T3189" i="127"/>
  <c r="T3190" i="127"/>
  <c r="S3203" i="127"/>
  <c r="T3203" i="127"/>
  <c r="S3204" i="127"/>
  <c r="T3204" i="127"/>
  <c r="S3207" i="127"/>
  <c r="T3207" i="127"/>
  <c r="S3212" i="127"/>
  <c r="T3212" i="127"/>
  <c r="S3213" i="127"/>
  <c r="T3213" i="127"/>
  <c r="S3214" i="127"/>
  <c r="T3214" i="127"/>
  <c r="S3226" i="127"/>
  <c r="T3226" i="127"/>
  <c r="S3229" i="127"/>
  <c r="T3229" i="127"/>
  <c r="S3230" i="127"/>
  <c r="T3230" i="127"/>
  <c r="S3231" i="127"/>
  <c r="T3231" i="127"/>
  <c r="T3246" i="127"/>
  <c r="S3249" i="127"/>
  <c r="T3249" i="127"/>
  <c r="S3250" i="127"/>
  <c r="T3250" i="127"/>
  <c r="S3257" i="127"/>
  <c r="S3258" i="127"/>
  <c r="T3258" i="127"/>
  <c r="T3262" i="127"/>
  <c r="T3263" i="127"/>
  <c r="T3266" i="127"/>
  <c r="T3268" i="127"/>
  <c r="T3269" i="127"/>
  <c r="T3270" i="127"/>
  <c r="T3271" i="127"/>
  <c r="S3277" i="127"/>
  <c r="T3277" i="127"/>
  <c r="S3298" i="127"/>
  <c r="T3298" i="127"/>
  <c r="T3299" i="127"/>
  <c r="T3300" i="127"/>
  <c r="S3302" i="127"/>
  <c r="T3302" i="127"/>
  <c r="S3305" i="127"/>
  <c r="T3305" i="127"/>
  <c r="S3308" i="127"/>
  <c r="T3308" i="127"/>
  <c r="S3311" i="127"/>
  <c r="T3311" i="127"/>
  <c r="S3312" i="127"/>
  <c r="T3312" i="127"/>
  <c r="S3317" i="127"/>
  <c r="T3317" i="127"/>
  <c r="S3320" i="127"/>
  <c r="T3320" i="127"/>
  <c r="S3321" i="127"/>
  <c r="AK454" i="123" s="1"/>
  <c r="T3321" i="127"/>
  <c r="AL454" i="123" s="1"/>
  <c r="AO454" i="123" s="1"/>
  <c r="S3322" i="127"/>
  <c r="T3322" i="127"/>
  <c r="S3323" i="127"/>
  <c r="T3323" i="127"/>
  <c r="S3327" i="127"/>
  <c r="T3327" i="127"/>
  <c r="S3330" i="127"/>
  <c r="T3330" i="127"/>
  <c r="S3332" i="127"/>
  <c r="T3332" i="127"/>
  <c r="S3333" i="127"/>
  <c r="T3333" i="127"/>
  <c r="S3335" i="127"/>
  <c r="T3335" i="127"/>
  <c r="S3339" i="127"/>
  <c r="T3339" i="127"/>
  <c r="S3343" i="127"/>
  <c r="T3343" i="127"/>
  <c r="S3344" i="127"/>
  <c r="T3344" i="127"/>
  <c r="S3346" i="127"/>
  <c r="T3346" i="127"/>
  <c r="T3353" i="127"/>
  <c r="T3354" i="127"/>
  <c r="S3357" i="127"/>
  <c r="T3357" i="127"/>
  <c r="S3359" i="127"/>
  <c r="T3359" i="127"/>
  <c r="S3360" i="127"/>
  <c r="T3360" i="127"/>
  <c r="S3361" i="127"/>
  <c r="T3361" i="127"/>
  <c r="S3363" i="127"/>
  <c r="T3363" i="127"/>
  <c r="S3373" i="127"/>
  <c r="T3373" i="127"/>
  <c r="S3376" i="127"/>
  <c r="T3376" i="127" s="1"/>
  <c r="S3379" i="127"/>
  <c r="T3379" i="127"/>
  <c r="S3381" i="127"/>
  <c r="T3381" i="127"/>
  <c r="S3382" i="127"/>
  <c r="T3382" i="127"/>
  <c r="S3383" i="127"/>
  <c r="T3383" i="127"/>
  <c r="S3386" i="127"/>
  <c r="T3386" i="127"/>
  <c r="S3390" i="127"/>
  <c r="T3390" i="127"/>
  <c r="S3391" i="127"/>
  <c r="T3391" i="127"/>
  <c r="S3392" i="127"/>
  <c r="T3392" i="127"/>
  <c r="S3393" i="127"/>
  <c r="T3393" i="127"/>
  <c r="S3401" i="127"/>
  <c r="T3401" i="127"/>
  <c r="S3402" i="127"/>
  <c r="T3402" i="127"/>
  <c r="S3403" i="127"/>
  <c r="T3403" i="127"/>
  <c r="S3406" i="127"/>
  <c r="T3406" i="127"/>
  <c r="S3408" i="127"/>
  <c r="T3408" i="127"/>
  <c r="S3409" i="127"/>
  <c r="T3409" i="127"/>
  <c r="S3410" i="127"/>
  <c r="T3410" i="127"/>
  <c r="S3411" i="127"/>
  <c r="T3411" i="127"/>
  <c r="S3412" i="127"/>
  <c r="T3412" i="127"/>
  <c r="S3414" i="127"/>
  <c r="T3414" i="127"/>
  <c r="S3416" i="127"/>
  <c r="T3416" i="127"/>
  <c r="S3418" i="127"/>
  <c r="T3418" i="127"/>
  <c r="S3421" i="127"/>
  <c r="T3421" i="127"/>
  <c r="S3422" i="127"/>
  <c r="T3422" i="127"/>
  <c r="S3423" i="127"/>
  <c r="T3423" i="127"/>
  <c r="S3424" i="127"/>
  <c r="T3424" i="127"/>
  <c r="S3425" i="127"/>
  <c r="T3425" i="127"/>
  <c r="S3429" i="127"/>
  <c r="T3429" i="127"/>
  <c r="S3434" i="127"/>
  <c r="T3434" i="127"/>
  <c r="S3435" i="127"/>
  <c r="T3435" i="127"/>
  <c r="S3440" i="127"/>
  <c r="T3440" i="127"/>
  <c r="S3444" i="127"/>
  <c r="T3444" i="127"/>
  <c r="S3446" i="127"/>
  <c r="T3446" i="127"/>
  <c r="S3448" i="127"/>
  <c r="T3448" i="127"/>
  <c r="S3452" i="127"/>
  <c r="T3452" i="127"/>
  <c r="S3453" i="127"/>
  <c r="T3453" i="127"/>
  <c r="S3454" i="127"/>
  <c r="T3454" i="127"/>
  <c r="S3461" i="127"/>
  <c r="T3461" i="127"/>
  <c r="S3462" i="127"/>
  <c r="T3462" i="127"/>
  <c r="S3471" i="127"/>
  <c r="T3471" i="127"/>
  <c r="S3472" i="127"/>
  <c r="T3472" i="127"/>
  <c r="S3476" i="127"/>
  <c r="T3476" i="127"/>
  <c r="S3485" i="127"/>
  <c r="T3485" i="127"/>
  <c r="S3486" i="127"/>
  <c r="T3486" i="127"/>
  <c r="S3495" i="127"/>
  <c r="T3495" i="127"/>
  <c r="S3496" i="127"/>
  <c r="T3496" i="127"/>
  <c r="S3499" i="127"/>
  <c r="T3499" i="127"/>
  <c r="S3500" i="127"/>
  <c r="T3500" i="127"/>
  <c r="S3506" i="127"/>
  <c r="T3506" i="127"/>
  <c r="S3516" i="127"/>
  <c r="T3516" i="127"/>
  <c r="S3517" i="127"/>
  <c r="T3517" i="127"/>
  <c r="S3519" i="127"/>
  <c r="T3519" i="127"/>
  <c r="S3521" i="127"/>
  <c r="T3521" i="127"/>
  <c r="S3525" i="127"/>
  <c r="T3525" i="127"/>
  <c r="S3526" i="127"/>
  <c r="T3526" i="127"/>
  <c r="S3527" i="127"/>
  <c r="T3527" i="127"/>
  <c r="S3531" i="127"/>
  <c r="T3531" i="127"/>
  <c r="S3534" i="127"/>
  <c r="T3534" i="127"/>
  <c r="S3535" i="127"/>
  <c r="T3535" i="127"/>
  <c r="S3538" i="127"/>
  <c r="T3538" i="127"/>
  <c r="S3545" i="127"/>
  <c r="S3546" i="127"/>
  <c r="T3546" i="127"/>
  <c r="S3547" i="127"/>
  <c r="AK293" i="123" s="1"/>
  <c r="T3547" i="127"/>
  <c r="S3548" i="127"/>
  <c r="T3548" i="127"/>
  <c r="S3549" i="127"/>
  <c r="T3549" i="127"/>
  <c r="S3552" i="127"/>
  <c r="T3552" i="127"/>
  <c r="S3553" i="127"/>
  <c r="T3553" i="127"/>
  <c r="S3555" i="127"/>
  <c r="T3555" i="127"/>
  <c r="T3558" i="127"/>
  <c r="T3561" i="127"/>
  <c r="S3562" i="127"/>
  <c r="T3562" i="127"/>
  <c r="S3563" i="127"/>
  <c r="T3563" i="127"/>
  <c r="S3566" i="127"/>
  <c r="T3566" i="127"/>
  <c r="S3576" i="127"/>
  <c r="T3576" i="127"/>
  <c r="S3577" i="127"/>
  <c r="T3577" i="127"/>
  <c r="S3578" i="127"/>
  <c r="T3578" i="127"/>
  <c r="S3579" i="127"/>
  <c r="T3579" i="127"/>
  <c r="S3580" i="127"/>
  <c r="T3580" i="127"/>
  <c r="S3581" i="127"/>
  <c r="T3581" i="127"/>
  <c r="S3582" i="127"/>
  <c r="T3582" i="127"/>
  <c r="S3583" i="127"/>
  <c r="T3583" i="127"/>
  <c r="S3584" i="127"/>
  <c r="T3584" i="127"/>
  <c r="S3588" i="127"/>
  <c r="T3588" i="127"/>
  <c r="S3599" i="127"/>
  <c r="T3599" i="127"/>
  <c r="T3605" i="127"/>
  <c r="S3607" i="127"/>
  <c r="S3608" i="127"/>
  <c r="T3608" i="127"/>
  <c r="S3609" i="127"/>
  <c r="T3609" i="127"/>
  <c r="S3610" i="127"/>
  <c r="T3610" i="127"/>
  <c r="S3611" i="127"/>
  <c r="T3611" i="127"/>
  <c r="S3613" i="127"/>
  <c r="T3613" i="127"/>
  <c r="S3614" i="127"/>
  <c r="T3614" i="127"/>
  <c r="S3615" i="127"/>
  <c r="T3615" i="127"/>
  <c r="S3616" i="127"/>
  <c r="T3616" i="127"/>
  <c r="S3617" i="127"/>
  <c r="T3617" i="127"/>
  <c r="S3618" i="127"/>
  <c r="T3618" i="127"/>
  <c r="S3619" i="127"/>
  <c r="T3619" i="127"/>
  <c r="S3620" i="127"/>
  <c r="T3620" i="127"/>
  <c r="S3624" i="127"/>
  <c r="AK484" i="123" s="1"/>
  <c r="T3624" i="127"/>
  <c r="AL484" i="123" s="1"/>
  <c r="AO484" i="123" s="1"/>
  <c r="S3634" i="127"/>
  <c r="T3634" i="127" s="1"/>
  <c r="S3641" i="127"/>
  <c r="T3641" i="127"/>
  <c r="S3655" i="127"/>
  <c r="T3655" i="127"/>
  <c r="S3656" i="127"/>
  <c r="T3656" i="127"/>
  <c r="T3662" i="127"/>
  <c r="S3663" i="127"/>
  <c r="T3663" i="127"/>
  <c r="S3674" i="127"/>
  <c r="T3674" i="127" s="1"/>
  <c r="S3691" i="127"/>
  <c r="T3691" i="127"/>
  <c r="S3692" i="127"/>
  <c r="T3692" i="127"/>
  <c r="S3693" i="127"/>
  <c r="T3693" i="127"/>
  <c r="S3699" i="127"/>
  <c r="T3699" i="127"/>
  <c r="S3702" i="127"/>
  <c r="T3702" i="127"/>
  <c r="S3706" i="127"/>
  <c r="T3706" i="127"/>
  <c r="S3707" i="127"/>
  <c r="T3707" i="127"/>
  <c r="S3708" i="127"/>
  <c r="T3708" i="127"/>
  <c r="S3712" i="127"/>
  <c r="T3712" i="127"/>
  <c r="S3715" i="127"/>
  <c r="T3715" i="127"/>
  <c r="S3722" i="127"/>
  <c r="T3722" i="127"/>
  <c r="S3730" i="127"/>
  <c r="T3730" i="127"/>
  <c r="S3731" i="127"/>
  <c r="T3731" i="127"/>
  <c r="S3733" i="127"/>
  <c r="T3733" i="127"/>
  <c r="S3734" i="127"/>
  <c r="T3734" i="127"/>
  <c r="S3737" i="127"/>
  <c r="T3737" i="127"/>
  <c r="S3739" i="127"/>
  <c r="T3739" i="127"/>
  <c r="T3747" i="127"/>
  <c r="S3752" i="127"/>
  <c r="T3752" i="127"/>
  <c r="S3753" i="127"/>
  <c r="T3753" i="127"/>
  <c r="S3766" i="127"/>
  <c r="T3766" i="127"/>
  <c r="S3776" i="127"/>
  <c r="T3776" i="127"/>
  <c r="S3780" i="127"/>
  <c r="T3780" i="127"/>
  <c r="S3781" i="127"/>
  <c r="T3781" i="127"/>
  <c r="S3782" i="127"/>
  <c r="T3782" i="127"/>
  <c r="S3786" i="127"/>
  <c r="T3786" i="127"/>
  <c r="S3796" i="127"/>
  <c r="T3796" i="127"/>
  <c r="S3798" i="127"/>
  <c r="T3798" i="127"/>
  <c r="S3801" i="127"/>
  <c r="T3801" i="127"/>
  <c r="S3802" i="127"/>
  <c r="T3802" i="127"/>
  <c r="S3803" i="127"/>
  <c r="T3803" i="127"/>
  <c r="S3804" i="127"/>
  <c r="T3804" i="127"/>
  <c r="S3805" i="127"/>
  <c r="T3805" i="127"/>
  <c r="S3810" i="127"/>
  <c r="T3810" i="127"/>
  <c r="S3811" i="127"/>
  <c r="T3811" i="127" s="1"/>
  <c r="S3817" i="127"/>
  <c r="T3817" i="127"/>
  <c r="S3820" i="127"/>
  <c r="T3820" i="127"/>
  <c r="S3822" i="127"/>
  <c r="S3828" i="127"/>
  <c r="T3828" i="127"/>
  <c r="S3831" i="127"/>
  <c r="T3831" i="127"/>
  <c r="S3837" i="127"/>
  <c r="T3837" i="127"/>
  <c r="S3844" i="127"/>
  <c r="T3844" i="127"/>
  <c r="S3845" i="127"/>
  <c r="T3845" i="127"/>
  <c r="S3851" i="127"/>
  <c r="T3851" i="127"/>
  <c r="S3859" i="127"/>
  <c r="T3859" i="127"/>
  <c r="T3870" i="127"/>
  <c r="S3871" i="127"/>
  <c r="T3871" i="127"/>
  <c r="S3872" i="127"/>
  <c r="T3872" i="127"/>
  <c r="S3880" i="127"/>
  <c r="T3880" i="127"/>
  <c r="S3887" i="127"/>
  <c r="T3887" i="127"/>
  <c r="S3892" i="127"/>
  <c r="T3892" i="127"/>
  <c r="S3898" i="127"/>
  <c r="T3898" i="127"/>
  <c r="S3906" i="127"/>
  <c r="T3906" i="127"/>
  <c r="S3913" i="127"/>
  <c r="T3913" i="127"/>
  <c r="S3917" i="127"/>
  <c r="T3917" i="127"/>
  <c r="S3918" i="127"/>
  <c r="T3918" i="127"/>
  <c r="S3923" i="127"/>
  <c r="T3923" i="127"/>
  <c r="S3928" i="127"/>
  <c r="T3928" i="127"/>
  <c r="S3929" i="127"/>
  <c r="T3929" i="127"/>
  <c r="S3930" i="127"/>
  <c r="T3930" i="127"/>
  <c r="S3931" i="127"/>
  <c r="T3931" i="127"/>
  <c r="S3932" i="127"/>
  <c r="T3932" i="127"/>
  <c r="T3933" i="127"/>
  <c r="S3935" i="127"/>
  <c r="T3935" i="127"/>
  <c r="S3936" i="127"/>
  <c r="T3936" i="127"/>
  <c r="S3945" i="127"/>
  <c r="T3945" i="127"/>
  <c r="S3947" i="127"/>
  <c r="AK516" i="123" s="1"/>
  <c r="T3947" i="127"/>
  <c r="AL516" i="123" s="1"/>
  <c r="AO516" i="123" s="1"/>
  <c r="S3949" i="127"/>
  <c r="T3949" i="127"/>
  <c r="S3956" i="127"/>
  <c r="T3956" i="127"/>
  <c r="S3957" i="127"/>
  <c r="T3957" i="127"/>
  <c r="S3958" i="127"/>
  <c r="T3958" i="127"/>
  <c r="S3960" i="127"/>
  <c r="T3960" i="127"/>
  <c r="S3970" i="127"/>
  <c r="T3970" i="127"/>
  <c r="S3986" i="127"/>
  <c r="T3986" i="127"/>
  <c r="T3996" i="127"/>
  <c r="S4006" i="127"/>
  <c r="T4006" i="127"/>
  <c r="S4007" i="127"/>
  <c r="T4007" i="127"/>
  <c r="S4009" i="127"/>
  <c r="T4009" i="127"/>
  <c r="S4016" i="127"/>
  <c r="T4016" i="127"/>
  <c r="S4019" i="127"/>
  <c r="T4019" i="127"/>
  <c r="S4030" i="127"/>
  <c r="T4030" i="127"/>
  <c r="S4031" i="127"/>
  <c r="T4031" i="127"/>
  <c r="S4034" i="127"/>
  <c r="T4034" i="127"/>
  <c r="S4038" i="127"/>
  <c r="T4038" i="127"/>
  <c r="S4039" i="127"/>
  <c r="T4039" i="127"/>
  <c r="S4041" i="127"/>
  <c r="T4041" i="127"/>
  <c r="S4042" i="127"/>
  <c r="T4042" i="127"/>
  <c r="S4043" i="127"/>
  <c r="T4043" i="127"/>
  <c r="T4054" i="127"/>
  <c r="T4058" i="127"/>
  <c r="T4059" i="127"/>
  <c r="S4063" i="127"/>
  <c r="T4063" i="127"/>
  <c r="S4067" i="127"/>
  <c r="T4067" i="127"/>
  <c r="S4068" i="127"/>
  <c r="T4068" i="127"/>
  <c r="S4069" i="127"/>
  <c r="T4069" i="127"/>
  <c r="S4077" i="127"/>
  <c r="T4077" i="127"/>
  <c r="S4078" i="127"/>
  <c r="T4078" i="127"/>
  <c r="S4085" i="127"/>
  <c r="T4085" i="127"/>
  <c r="S4091" i="127"/>
  <c r="T4091" i="127"/>
  <c r="S4107" i="127"/>
  <c r="T4107" i="127"/>
  <c r="S4110" i="127"/>
  <c r="T4110" i="127"/>
  <c r="S4111" i="127"/>
  <c r="T4111" i="127"/>
  <c r="S4112" i="127"/>
  <c r="T4112" i="127"/>
  <c r="S4117" i="127"/>
  <c r="T4117" i="127"/>
  <c r="S4129" i="127"/>
  <c r="T4129" i="127"/>
  <c r="S4131" i="127"/>
  <c r="T4131" i="127"/>
  <c r="S4139" i="127"/>
  <c r="T4139" i="127"/>
  <c r="S4140" i="127"/>
  <c r="T4140" i="127"/>
  <c r="T4141" i="127"/>
  <c r="S4142" i="127"/>
  <c r="T4142" i="127"/>
  <c r="T4146" i="127"/>
  <c r="S4156" i="127"/>
  <c r="T4156" i="127"/>
  <c r="S4166" i="127"/>
  <c r="T4166" i="127"/>
  <c r="S4174" i="127"/>
  <c r="T4174" i="127" s="1"/>
  <c r="S4176" i="127"/>
  <c r="T4176" i="127"/>
  <c r="S4179" i="127"/>
  <c r="T4179" i="127"/>
  <c r="S4183" i="127"/>
  <c r="T4183" i="127"/>
  <c r="S4188" i="127"/>
  <c r="T4188" i="127"/>
  <c r="S4196" i="127"/>
  <c r="T4196" i="127"/>
  <c r="S4197" i="127"/>
  <c r="T4197" i="127"/>
  <c r="S4201" i="127"/>
  <c r="T4201" i="127"/>
  <c r="S4202" i="127"/>
  <c r="T4202" i="127"/>
  <c r="S4208" i="127"/>
  <c r="AK531" i="123" s="1"/>
  <c r="T4208" i="127"/>
  <c r="AL531" i="123" s="1"/>
  <c r="AO531" i="123" s="1"/>
  <c r="S4209" i="127"/>
  <c r="T4209" i="127"/>
  <c r="S4210" i="127"/>
  <c r="AK532" i="123" s="1"/>
  <c r="T4210" i="127"/>
  <c r="AL532" i="123" s="1"/>
  <c r="AO532" i="123" s="1"/>
  <c r="S4211" i="127"/>
  <c r="AK530" i="123" s="1"/>
  <c r="T4211" i="127"/>
  <c r="AL530" i="123" s="1"/>
  <c r="AO530" i="123" s="1"/>
  <c r="S4213" i="127"/>
  <c r="T4213" i="127"/>
  <c r="S4216" i="127"/>
  <c r="T4216" i="127"/>
  <c r="S4221" i="127"/>
  <c r="T4221" i="127"/>
  <c r="S4229" i="127"/>
  <c r="T4229" i="127"/>
  <c r="T4238" i="127"/>
  <c r="T4239" i="127"/>
  <c r="S4245" i="127"/>
  <c r="T4245" i="127"/>
  <c r="T4246" i="127"/>
  <c r="T4247" i="127"/>
  <c r="S4249" i="127"/>
  <c r="T4249" i="127"/>
  <c r="S4261" i="127"/>
  <c r="T4261" i="127"/>
  <c r="S4264" i="127"/>
  <c r="T4264" i="127"/>
  <c r="S4286" i="127"/>
  <c r="T4286" i="127"/>
  <c r="S4287" i="127"/>
  <c r="T4287" i="127"/>
  <c r="S4288" i="127"/>
  <c r="T4288" i="127"/>
  <c r="S4289" i="127"/>
  <c r="T4289" i="127"/>
  <c r="S4290" i="127"/>
  <c r="T4290" i="127"/>
  <c r="S4292" i="127"/>
  <c r="T4292" i="127"/>
  <c r="S4294" i="127"/>
  <c r="T4294" i="127"/>
  <c r="S4295" i="127"/>
  <c r="T4295" i="127"/>
  <c r="S4296" i="127"/>
  <c r="T4296" i="127"/>
  <c r="S4301" i="127"/>
  <c r="T4301" i="127"/>
  <c r="S4309" i="127"/>
  <c r="T4309" i="127"/>
  <c r="S4312" i="127"/>
  <c r="T4312" i="127"/>
  <c r="S4514" i="127"/>
  <c r="T4514" i="127"/>
  <c r="S2988" i="127"/>
  <c r="T2988" i="127"/>
  <c r="T8" i="127"/>
  <c r="T2386" i="127"/>
  <c r="S2386" i="127"/>
  <c r="K2" i="127"/>
  <c r="O1817" i="127"/>
  <c r="Q1817" i="127" s="1"/>
  <c r="C1817" i="127"/>
  <c r="C6" i="135"/>
  <c r="C7" i="135"/>
  <c r="C8" i="135"/>
  <c r="C9" i="135"/>
  <c r="C10" i="135"/>
  <c r="C11" i="135"/>
  <c r="C12" i="135"/>
  <c r="C13" i="135"/>
  <c r="C14" i="135"/>
  <c r="C15" i="135"/>
  <c r="C16" i="135"/>
  <c r="C17" i="135"/>
  <c r="C18" i="135"/>
  <c r="C19" i="135"/>
  <c r="C20" i="135"/>
  <c r="C21" i="135"/>
  <c r="C22" i="135"/>
  <c r="C23" i="135"/>
  <c r="C24" i="135"/>
  <c r="C25" i="135"/>
  <c r="C26" i="135"/>
  <c r="C27" i="135"/>
  <c r="C28" i="135"/>
  <c r="C29" i="135"/>
  <c r="C30" i="135"/>
  <c r="C31" i="135"/>
  <c r="C32" i="135"/>
  <c r="C33" i="135"/>
  <c r="C34" i="135"/>
  <c r="C35" i="135"/>
  <c r="C36" i="135"/>
  <c r="C37" i="135"/>
  <c r="C38" i="135"/>
  <c r="C39" i="135"/>
  <c r="C40" i="135"/>
  <c r="C41" i="135"/>
  <c r="C42" i="135"/>
  <c r="C43" i="135"/>
  <c r="C44" i="135"/>
  <c r="C45" i="135"/>
  <c r="C46" i="135"/>
  <c r="C47" i="135"/>
  <c r="C48" i="135"/>
  <c r="C49" i="135"/>
  <c r="C50" i="135"/>
  <c r="C51" i="135"/>
  <c r="C52" i="135"/>
  <c r="C53" i="135"/>
  <c r="C54" i="135"/>
  <c r="C55" i="135"/>
  <c r="C56" i="135"/>
  <c r="C57" i="135"/>
  <c r="C58" i="135"/>
  <c r="C59" i="135"/>
  <c r="C60" i="135"/>
  <c r="C61" i="135"/>
  <c r="C62" i="135"/>
  <c r="C63" i="135"/>
  <c r="C64" i="135"/>
  <c r="C65" i="135"/>
  <c r="C66" i="135"/>
  <c r="C67" i="135"/>
  <c r="C68" i="135"/>
  <c r="C69" i="135"/>
  <c r="C70" i="135"/>
  <c r="C71" i="135"/>
  <c r="C72" i="135"/>
  <c r="C73" i="135"/>
  <c r="C74" i="135"/>
  <c r="C75" i="135"/>
  <c r="C76" i="135"/>
  <c r="C77" i="135"/>
  <c r="C78" i="135"/>
  <c r="C79" i="135"/>
  <c r="C80" i="135"/>
  <c r="C81" i="135"/>
  <c r="C82" i="135"/>
  <c r="C83" i="135"/>
  <c r="C84" i="135"/>
  <c r="C85" i="135"/>
  <c r="C86" i="135"/>
  <c r="C87" i="135"/>
  <c r="C88" i="135"/>
  <c r="C89" i="135"/>
  <c r="C90" i="135"/>
  <c r="C91" i="135"/>
  <c r="C92" i="135"/>
  <c r="C93" i="135"/>
  <c r="C94" i="135"/>
  <c r="C95" i="135"/>
  <c r="C96" i="135"/>
  <c r="C97" i="135"/>
  <c r="C98" i="135"/>
  <c r="C99" i="135"/>
  <c r="C100" i="135"/>
  <c r="C101" i="135"/>
  <c r="C102" i="135"/>
  <c r="C103" i="135"/>
  <c r="C104" i="135"/>
  <c r="C105" i="135"/>
  <c r="C106" i="135"/>
  <c r="C107" i="135"/>
  <c r="C108" i="135"/>
  <c r="C109" i="135"/>
  <c r="C110" i="135"/>
  <c r="C111" i="135"/>
  <c r="C112" i="135"/>
  <c r="C113" i="135"/>
  <c r="C114" i="135"/>
  <c r="C115" i="135"/>
  <c r="C116" i="135"/>
  <c r="C117" i="135"/>
  <c r="C118" i="135"/>
  <c r="C119" i="135"/>
  <c r="C120" i="135"/>
  <c r="C121" i="135"/>
  <c r="C122" i="135"/>
  <c r="C123" i="135"/>
  <c r="C124" i="135"/>
  <c r="C125" i="135"/>
  <c r="C126" i="135"/>
  <c r="C127" i="135"/>
  <c r="C128" i="135"/>
  <c r="C129" i="135"/>
  <c r="C130" i="135"/>
  <c r="C131" i="135"/>
  <c r="C132" i="135"/>
  <c r="C133" i="135"/>
  <c r="C134" i="135"/>
  <c r="C135" i="135"/>
  <c r="C136" i="135"/>
  <c r="C137" i="135"/>
  <c r="C138" i="135"/>
  <c r="C139" i="135"/>
  <c r="C140" i="135"/>
  <c r="C141" i="135"/>
  <c r="C142" i="135"/>
  <c r="C143" i="135"/>
  <c r="C144" i="135"/>
  <c r="C145" i="135"/>
  <c r="C146" i="135"/>
  <c r="C147" i="135"/>
  <c r="C148" i="135"/>
  <c r="C149" i="135"/>
  <c r="C150" i="135"/>
  <c r="C151" i="135"/>
  <c r="C152" i="135"/>
  <c r="C153" i="135"/>
  <c r="C154" i="135"/>
  <c r="C155" i="135"/>
  <c r="C156" i="135"/>
  <c r="C157" i="135"/>
  <c r="C158" i="135"/>
  <c r="C159" i="135"/>
  <c r="C160" i="135"/>
  <c r="C161" i="135"/>
  <c r="C162" i="135"/>
  <c r="C163" i="135"/>
  <c r="C164" i="135"/>
  <c r="C165" i="135"/>
  <c r="C166" i="135"/>
  <c r="C167" i="135"/>
  <c r="C168" i="135"/>
  <c r="C169" i="135"/>
  <c r="C170" i="135"/>
  <c r="C171" i="135"/>
  <c r="C172" i="135"/>
  <c r="C173" i="135"/>
  <c r="C174" i="135"/>
  <c r="C175" i="135"/>
  <c r="C176" i="135"/>
  <c r="C177" i="135"/>
  <c r="C178" i="135"/>
  <c r="C179" i="135"/>
  <c r="C180" i="135"/>
  <c r="C181" i="135"/>
  <c r="C182" i="135"/>
  <c r="C183" i="135"/>
  <c r="C184" i="135"/>
  <c r="C185" i="135"/>
  <c r="C186" i="135"/>
  <c r="C187" i="135"/>
  <c r="C188" i="135"/>
  <c r="C189" i="135"/>
  <c r="C190" i="135"/>
  <c r="C191" i="135"/>
  <c r="C192" i="135"/>
  <c r="C193" i="135"/>
  <c r="C194" i="135"/>
  <c r="C195" i="135"/>
  <c r="C196" i="135"/>
  <c r="C197" i="135"/>
  <c r="C198" i="135"/>
  <c r="C199" i="135"/>
  <c r="C200" i="135"/>
  <c r="C201" i="135"/>
  <c r="C202" i="135"/>
  <c r="C203" i="135"/>
  <c r="C204" i="135"/>
  <c r="C205" i="135"/>
  <c r="C206" i="135"/>
  <c r="C207" i="135"/>
  <c r="C208" i="135"/>
  <c r="C209" i="135"/>
  <c r="C210" i="135"/>
  <c r="C211" i="135"/>
  <c r="C212" i="135"/>
  <c r="C213" i="135"/>
  <c r="C214" i="135"/>
  <c r="C215" i="135"/>
  <c r="C216" i="135"/>
  <c r="C217" i="135"/>
  <c r="C218" i="135"/>
  <c r="C219" i="135"/>
  <c r="C220" i="135"/>
  <c r="C221" i="135"/>
  <c r="C222" i="135"/>
  <c r="C223" i="135"/>
  <c r="C224" i="135"/>
  <c r="C225" i="135"/>
  <c r="C226" i="135"/>
  <c r="C227" i="135"/>
  <c r="C228" i="135"/>
  <c r="C229" i="135"/>
  <c r="C230" i="135"/>
  <c r="C231" i="135"/>
  <c r="C232" i="135"/>
  <c r="C233" i="135"/>
  <c r="C234" i="135"/>
  <c r="C235" i="135"/>
  <c r="C236" i="135"/>
  <c r="C237" i="135"/>
  <c r="C238" i="135"/>
  <c r="C239" i="135"/>
  <c r="C240" i="135"/>
  <c r="C241" i="135"/>
  <c r="C242" i="135"/>
  <c r="C243" i="135"/>
  <c r="C244" i="135"/>
  <c r="C245" i="135"/>
  <c r="C246" i="135"/>
  <c r="C247" i="135"/>
  <c r="C248" i="135"/>
  <c r="C249" i="135"/>
  <c r="C250" i="135"/>
  <c r="C251" i="135"/>
  <c r="C252" i="135"/>
  <c r="C253" i="135"/>
  <c r="C254" i="135"/>
  <c r="C255" i="135"/>
  <c r="C256" i="135"/>
  <c r="C257" i="135"/>
  <c r="C258" i="135"/>
  <c r="C259" i="135"/>
  <c r="C260" i="135"/>
  <c r="C261" i="135"/>
  <c r="C262" i="135"/>
  <c r="C263" i="135"/>
  <c r="C264" i="135"/>
  <c r="C265" i="135"/>
  <c r="C266" i="135"/>
  <c r="C267" i="135"/>
  <c r="C268" i="135"/>
  <c r="C269" i="135"/>
  <c r="C270" i="135"/>
  <c r="C271" i="135"/>
  <c r="C272" i="135"/>
  <c r="C273" i="135"/>
  <c r="C274" i="135"/>
  <c r="C275" i="135"/>
  <c r="C276" i="135"/>
  <c r="C277" i="135"/>
  <c r="C278" i="135"/>
  <c r="C279" i="135"/>
  <c r="C280" i="135"/>
  <c r="C281" i="135"/>
  <c r="C282" i="135"/>
  <c r="C283" i="135"/>
  <c r="C284" i="135"/>
  <c r="C285" i="135"/>
  <c r="C286" i="135"/>
  <c r="C287" i="135"/>
  <c r="C288" i="135"/>
  <c r="C289" i="135"/>
  <c r="C290" i="135"/>
  <c r="C291" i="135"/>
  <c r="C292" i="135"/>
  <c r="C293" i="135"/>
  <c r="C294" i="135"/>
  <c r="C295" i="135"/>
  <c r="C296" i="135"/>
  <c r="C297" i="135"/>
  <c r="C298" i="135"/>
  <c r="C299" i="135"/>
  <c r="C300" i="135"/>
  <c r="C301" i="135"/>
  <c r="C302" i="135"/>
  <c r="C303" i="135"/>
  <c r="C304" i="135"/>
  <c r="C305" i="135"/>
  <c r="C306" i="135"/>
  <c r="C307" i="135"/>
  <c r="C308" i="135"/>
  <c r="C309" i="135"/>
  <c r="C310" i="135"/>
  <c r="C311" i="135"/>
  <c r="C312" i="135"/>
  <c r="C313" i="135"/>
  <c r="C314" i="135"/>
  <c r="C315" i="135"/>
  <c r="C316" i="135"/>
  <c r="C317" i="135"/>
  <c r="C318" i="135"/>
  <c r="C319" i="135"/>
  <c r="C320" i="135"/>
  <c r="C321" i="135"/>
  <c r="C322" i="135"/>
  <c r="C323" i="135"/>
  <c r="C324" i="135"/>
  <c r="C325" i="135"/>
  <c r="C326" i="135"/>
  <c r="C327" i="135"/>
  <c r="C328" i="135"/>
  <c r="C329" i="135"/>
  <c r="C330" i="135"/>
  <c r="C331" i="135"/>
  <c r="C5" i="135"/>
  <c r="A326" i="135"/>
  <c r="A327" i="135"/>
  <c r="A328" i="135"/>
  <c r="A329" i="135"/>
  <c r="A330" i="135"/>
  <c r="A331" i="135"/>
  <c r="AK207" i="123" l="1"/>
  <c r="AU390" i="123"/>
  <c r="AQ390" i="123"/>
  <c r="AR390" i="123" s="1"/>
  <c r="AS390" i="123" s="1"/>
  <c r="AT390" i="123"/>
  <c r="AK203" i="123"/>
  <c r="AN293" i="123"/>
  <c r="AM530" i="123"/>
  <c r="AN530" i="123"/>
  <c r="AK408" i="123"/>
  <c r="AN317" i="123"/>
  <c r="AN350" i="123"/>
  <c r="AK269" i="123"/>
  <c r="AN147" i="123"/>
  <c r="AK331" i="123"/>
  <c r="AN128" i="123"/>
  <c r="AN193" i="123"/>
  <c r="AM93" i="123"/>
  <c r="AN93" i="123"/>
  <c r="AM25" i="123"/>
  <c r="AN25" i="123"/>
  <c r="AN304" i="123"/>
  <c r="AM532" i="123"/>
  <c r="AN532" i="123"/>
  <c r="AN208" i="123"/>
  <c r="AN207" i="123"/>
  <c r="AM158" i="123"/>
  <c r="AN158" i="123"/>
  <c r="AN153" i="123"/>
  <c r="AN140" i="123"/>
  <c r="AM108" i="123"/>
  <c r="AN108" i="123"/>
  <c r="AN33" i="123"/>
  <c r="AN163" i="123"/>
  <c r="AN28" i="123"/>
  <c r="AN149" i="123"/>
  <c r="AM27" i="123"/>
  <c r="AN27" i="123"/>
  <c r="AN20" i="123"/>
  <c r="AM531" i="123"/>
  <c r="AN531" i="123"/>
  <c r="AM516" i="123"/>
  <c r="AN516" i="123"/>
  <c r="AM484" i="123"/>
  <c r="AN484" i="123"/>
  <c r="AM454" i="123"/>
  <c r="AN454" i="123"/>
  <c r="AN386" i="123"/>
  <c r="AK314" i="123"/>
  <c r="AN275" i="123"/>
  <c r="AN194" i="123"/>
  <c r="AK264" i="123"/>
  <c r="T3257" i="127"/>
  <c r="R4416" i="127"/>
  <c r="R4403" i="127"/>
  <c r="R4329" i="127"/>
  <c r="R4444" i="127"/>
  <c r="R4357" i="127"/>
  <c r="R4323" i="127"/>
  <c r="R4324" i="127"/>
  <c r="R4230" i="127"/>
  <c r="R4377" i="127"/>
  <c r="R4334" i="127"/>
  <c r="R4343" i="127"/>
  <c r="T3822" i="127"/>
  <c r="R4456" i="127"/>
  <c r="R4185" i="127"/>
  <c r="R4228" i="127"/>
  <c r="R4340" i="127"/>
  <c r="R4214" i="127"/>
  <c r="R4121" i="127"/>
  <c r="R4123" i="127"/>
  <c r="T3607" i="127"/>
  <c r="R3972" i="127"/>
  <c r="R4401" i="127"/>
  <c r="T3545" i="127"/>
  <c r="R4333" i="127"/>
  <c r="R4327" i="127"/>
  <c r="R4305" i="127"/>
  <c r="R4320" i="127"/>
  <c r="S756" i="127"/>
  <c r="T756" i="127" s="1"/>
  <c r="R4390" i="127"/>
  <c r="T1817" i="127"/>
  <c r="R908" i="127"/>
  <c r="R4429" i="127"/>
  <c r="R1189" i="127"/>
  <c r="R3968" i="127"/>
  <c r="R224" i="127"/>
  <c r="S650" i="127"/>
  <c r="T650" i="127" s="1"/>
  <c r="S3027" i="127"/>
  <c r="R4173" i="127"/>
  <c r="R4348" i="127"/>
  <c r="R4088" i="127"/>
  <c r="R3188" i="127"/>
  <c r="R1002" i="127"/>
  <c r="R578" i="127"/>
  <c r="R3199" i="127"/>
  <c r="R633" i="127"/>
  <c r="R534" i="127"/>
  <c r="R517" i="127"/>
  <c r="R1816" i="127"/>
  <c r="R4122" i="127"/>
  <c r="R1051" i="127"/>
  <c r="S691" i="127"/>
  <c r="T691" i="127" s="1"/>
  <c r="R741" i="127"/>
  <c r="R848" i="127"/>
  <c r="R1052" i="127"/>
  <c r="R584" i="127"/>
  <c r="R474" i="127"/>
  <c r="R563" i="127"/>
  <c r="R479" i="127"/>
  <c r="R202" i="127"/>
  <c r="R744" i="127"/>
  <c r="R388" i="127"/>
  <c r="R635" i="127"/>
  <c r="R2665" i="127"/>
  <c r="R3919" i="127"/>
  <c r="R986" i="127"/>
  <c r="R4040" i="127"/>
  <c r="R1754" i="127"/>
  <c r="R962" i="127"/>
  <c r="R1088" i="127"/>
  <c r="R3190" i="127"/>
  <c r="R398" i="127"/>
  <c r="R1024" i="127"/>
  <c r="R1112" i="127"/>
  <c r="R670" i="127"/>
  <c r="R1010" i="127"/>
  <c r="R847" i="127"/>
  <c r="R308" i="127"/>
  <c r="R473" i="127"/>
  <c r="R3200" i="127"/>
  <c r="R940" i="127"/>
  <c r="R3086" i="127"/>
  <c r="R1448" i="127"/>
  <c r="R739" i="127"/>
  <c r="R1070" i="127"/>
  <c r="R3051" i="127"/>
  <c r="R374" i="127"/>
  <c r="R891" i="127"/>
  <c r="R3622" i="127"/>
  <c r="R3806" i="127"/>
  <c r="R3494" i="127"/>
  <c r="R4419" i="127"/>
  <c r="R4203" i="127"/>
  <c r="R4356" i="127"/>
  <c r="R3319" i="127"/>
  <c r="R3160" i="127"/>
  <c r="R3638" i="127"/>
  <c r="R1038" i="127"/>
  <c r="R766" i="127"/>
  <c r="R780" i="127"/>
  <c r="R536" i="127"/>
  <c r="R1016" i="127"/>
  <c r="R4070" i="127"/>
  <c r="R2773" i="127"/>
  <c r="R2816" i="127"/>
  <c r="R3265" i="127"/>
  <c r="R1573" i="127"/>
  <c r="R3291" i="127"/>
  <c r="R4358" i="127"/>
  <c r="R4426" i="127"/>
  <c r="R4236" i="127"/>
  <c r="R725" i="127"/>
  <c r="R1216" i="127"/>
  <c r="R587" i="127"/>
  <c r="R3300" i="127"/>
  <c r="S996" i="127"/>
  <c r="T996" i="127" s="1"/>
  <c r="R792" i="127"/>
  <c r="R457" i="127"/>
  <c r="R1275" i="127"/>
  <c r="R2106" i="127"/>
  <c r="R1365" i="127"/>
  <c r="R4035" i="127"/>
  <c r="R1105" i="127"/>
  <c r="R935" i="127"/>
  <c r="R1084" i="127"/>
  <c r="R556" i="127"/>
  <c r="S1985" i="127"/>
  <c r="T1985" i="127" s="1"/>
  <c r="R976" i="127"/>
  <c r="R285" i="127"/>
  <c r="R586" i="127"/>
  <c r="R4169" i="127"/>
  <c r="R588" i="127"/>
  <c r="R230" i="127"/>
  <c r="S4436" i="127"/>
  <c r="T4436" i="127" s="1"/>
  <c r="AL521" i="123" s="1"/>
  <c r="AO521" i="123" s="1"/>
  <c r="R4115" i="127"/>
  <c r="R4253" i="127"/>
  <c r="R3740" i="127"/>
  <c r="R3997" i="127"/>
  <c r="R3959" i="127"/>
  <c r="R4362" i="127"/>
  <c r="R4363" i="127"/>
  <c r="R3458" i="127"/>
  <c r="R4277" i="127"/>
  <c r="R2772" i="127"/>
  <c r="R4443" i="127"/>
  <c r="R3195" i="127"/>
  <c r="R3621" i="127"/>
  <c r="R4276" i="127"/>
  <c r="R3189" i="127"/>
  <c r="R3982" i="127"/>
  <c r="R3178" i="127"/>
  <c r="R3193" i="127"/>
  <c r="R3969" i="127"/>
  <c r="R4396" i="127"/>
  <c r="R4248" i="127"/>
  <c r="R3202" i="127"/>
  <c r="R3294" i="127"/>
  <c r="R3161" i="127"/>
  <c r="R4431" i="127"/>
  <c r="R3287" i="127"/>
  <c r="R4144" i="127"/>
  <c r="R4314" i="127"/>
  <c r="R3205" i="127"/>
  <c r="R1427" i="127"/>
  <c r="R1118" i="127"/>
  <c r="R1048" i="127"/>
  <c r="R1370" i="127"/>
  <c r="R3364" i="127"/>
  <c r="R3171" i="127"/>
  <c r="R964" i="127"/>
  <c r="R1176" i="127"/>
  <c r="R1317" i="127"/>
  <c r="R900" i="127"/>
  <c r="R1462" i="127"/>
  <c r="R3497" i="127"/>
  <c r="R1030" i="127"/>
  <c r="R754" i="127"/>
  <c r="R510" i="127"/>
  <c r="R390" i="127"/>
  <c r="R363" i="127"/>
  <c r="R2564" i="127"/>
  <c r="R1141" i="127"/>
  <c r="R726" i="127"/>
  <c r="R1063" i="127"/>
  <c r="R661" i="127"/>
  <c r="R412" i="127"/>
  <c r="R493" i="127"/>
  <c r="R520" i="127"/>
  <c r="R789" i="127"/>
  <c r="R1058" i="127"/>
  <c r="R948" i="127"/>
  <c r="R4147" i="127"/>
  <c r="R934" i="127"/>
  <c r="R426" i="127"/>
  <c r="R3445" i="127"/>
  <c r="R779" i="127"/>
  <c r="R423" i="127"/>
  <c r="R1098" i="127"/>
  <c r="R967" i="127"/>
  <c r="R750" i="127"/>
  <c r="R477" i="127"/>
  <c r="R506" i="127"/>
  <c r="R530" i="127"/>
  <c r="R991" i="127"/>
  <c r="C3158" i="127"/>
  <c r="C3159" i="127"/>
  <c r="C3160" i="127"/>
  <c r="C3161" i="127"/>
  <c r="C3162" i="127"/>
  <c r="C3163" i="127"/>
  <c r="C3156" i="127"/>
  <c r="AN203" i="123" l="1"/>
  <c r="AN314" i="123"/>
  <c r="AP484" i="123"/>
  <c r="AU484" i="123" s="1"/>
  <c r="AP532" i="123"/>
  <c r="AU532" i="123" s="1"/>
  <c r="AP93" i="123"/>
  <c r="AU93" i="123" s="1"/>
  <c r="AN331" i="123"/>
  <c r="AN264" i="123"/>
  <c r="AP108" i="123"/>
  <c r="AN269" i="123"/>
  <c r="AP530" i="123"/>
  <c r="AP454" i="123"/>
  <c r="AP27" i="123"/>
  <c r="AU27" i="123" s="1"/>
  <c r="AP25" i="123"/>
  <c r="AP516" i="123"/>
  <c r="AU516" i="123" s="1"/>
  <c r="AP531" i="123"/>
  <c r="AP158" i="123"/>
  <c r="AU158" i="123" s="1"/>
  <c r="AN408" i="123"/>
  <c r="AK521" i="123"/>
  <c r="T3027" i="127"/>
  <c r="R4418" i="127"/>
  <c r="R4457" i="127"/>
  <c r="R4081" i="127"/>
  <c r="R4455" i="127"/>
  <c r="R4298" i="127"/>
  <c r="R4442" i="127"/>
  <c r="R4428" i="127"/>
  <c r="R4449" i="127"/>
  <c r="R3954" i="127"/>
  <c r="R4434" i="127"/>
  <c r="R4433" i="127"/>
  <c r="R4409" i="127"/>
  <c r="R4439" i="127"/>
  <c r="R4436" i="127"/>
  <c r="R4420" i="127"/>
  <c r="R4421" i="127"/>
  <c r="R4350" i="127"/>
  <c r="R4408" i="127"/>
  <c r="R4315" i="127"/>
  <c r="R4410" i="127"/>
  <c r="R4293" i="127"/>
  <c r="R4417" i="127"/>
  <c r="R4182" i="127"/>
  <c r="R4414" i="127"/>
  <c r="R4171" i="127"/>
  <c r="R4404" i="127"/>
  <c r="R4200" i="127"/>
  <c r="R4405" i="127"/>
  <c r="R4120" i="127"/>
  <c r="R4415" i="127"/>
  <c r="R4376" i="127"/>
  <c r="R4412" i="127"/>
  <c r="R4411" i="127"/>
  <c r="R3981" i="127"/>
  <c r="R4395" i="127"/>
  <c r="R4061" i="127"/>
  <c r="R4398" i="127"/>
  <c r="R4267" i="127"/>
  <c r="R4391" i="127"/>
  <c r="R3942" i="127"/>
  <c r="R4402" i="127"/>
  <c r="R1053" i="127"/>
  <c r="R4397" i="127"/>
  <c r="R4076" i="127"/>
  <c r="R4400" i="127"/>
  <c r="R3971" i="127"/>
  <c r="R3870" i="127"/>
  <c r="R3965" i="127"/>
  <c r="R4353" i="127"/>
  <c r="R3668" i="127"/>
  <c r="R4367" i="127"/>
  <c r="R4155" i="127"/>
  <c r="R4351" i="127"/>
  <c r="R928" i="127"/>
  <c r="R4347" i="127"/>
  <c r="R4346" i="127"/>
  <c r="R3966" i="127"/>
  <c r="R4352" i="127"/>
  <c r="R3963" i="127"/>
  <c r="R4354" i="127"/>
  <c r="R3967" i="127"/>
  <c r="R4355" i="127"/>
  <c r="R4056" i="127"/>
  <c r="R4361" i="127"/>
  <c r="R4360" i="127"/>
  <c r="R4272" i="127"/>
  <c r="R4369" i="127"/>
  <c r="R4328" i="127"/>
  <c r="R4359" i="127"/>
  <c r="R898" i="127"/>
  <c r="R4344" i="127"/>
  <c r="R3814" i="127"/>
  <c r="R4342" i="127"/>
  <c r="R4198" i="127"/>
  <c r="R4341" i="127"/>
  <c r="R4318" i="127"/>
  <c r="R4336" i="127"/>
  <c r="R4337" i="127"/>
  <c r="R3975" i="127"/>
  <c r="R4326" i="127"/>
  <c r="R3433" i="127"/>
  <c r="R4330" i="127"/>
  <c r="R3921" i="127"/>
  <c r="R4322" i="127"/>
  <c r="R4116" i="127"/>
  <c r="R4316" i="127"/>
  <c r="R4234" i="127"/>
  <c r="R4321" i="127"/>
  <c r="R3920" i="127"/>
  <c r="R4313" i="127"/>
  <c r="R4235" i="127"/>
  <c r="R4307" i="127"/>
  <c r="R4308" i="127"/>
  <c r="R3922" i="127"/>
  <c r="R4299" i="127"/>
  <c r="R4114" i="127"/>
  <c r="S4114" i="127"/>
  <c r="AK525" i="123" s="1"/>
  <c r="R4284" i="127"/>
  <c r="R4285" i="127"/>
  <c r="R3882" i="127"/>
  <c r="R4280" i="127"/>
  <c r="R4281" i="127"/>
  <c r="R3869" i="127"/>
  <c r="R4271" i="127"/>
  <c r="R3856" i="127"/>
  <c r="R4274" i="127"/>
  <c r="R4262" i="127"/>
  <c r="R4270" i="127"/>
  <c r="R4278" i="127"/>
  <c r="R4279" i="127"/>
  <c r="R4218" i="127"/>
  <c r="R4269" i="127"/>
  <c r="R4223" i="127"/>
  <c r="R4266" i="127"/>
  <c r="R4265" i="127"/>
  <c r="R3952" i="127"/>
  <c r="R4275" i="127"/>
  <c r="R3827" i="127"/>
  <c r="R4255" i="127"/>
  <c r="R4257" i="127"/>
  <c r="R4258" i="127"/>
  <c r="R4232" i="127"/>
  <c r="R4252" i="127"/>
  <c r="R3714" i="127"/>
  <c r="R4256" i="127"/>
  <c r="R4251" i="127"/>
  <c r="R4259" i="127"/>
  <c r="R4238" i="127"/>
  <c r="R4239" i="127"/>
  <c r="R4240" i="127"/>
  <c r="R4241" i="127"/>
  <c r="R3866" i="127"/>
  <c r="R4244" i="127"/>
  <c r="R4246" i="127"/>
  <c r="R4247" i="127"/>
  <c r="R4227" i="127"/>
  <c r="R4231" i="127"/>
  <c r="R4118" i="127"/>
  <c r="R4226" i="127"/>
  <c r="R4099" i="127"/>
  <c r="R4237" i="127"/>
  <c r="R4012" i="127"/>
  <c r="R4224" i="127"/>
  <c r="R4082" i="127"/>
  <c r="R4215" i="127"/>
  <c r="R4108" i="127"/>
  <c r="R4205" i="127"/>
  <c r="R3341" i="127"/>
  <c r="R4217" i="127"/>
  <c r="R3248" i="127"/>
  <c r="R4204" i="127"/>
  <c r="R3791" i="127"/>
  <c r="R4189" i="127"/>
  <c r="R4190" i="127"/>
  <c r="R4134" i="127"/>
  <c r="R4191" i="127"/>
  <c r="R4194" i="127"/>
  <c r="R4195" i="127"/>
  <c r="R4186" i="127"/>
  <c r="R4199" i="127"/>
  <c r="R4146" i="127"/>
  <c r="R4187" i="127"/>
  <c r="R4109" i="127"/>
  <c r="R4175" i="127"/>
  <c r="R3689" i="127"/>
  <c r="R4180" i="127"/>
  <c r="R4148" i="127"/>
  <c r="R4177" i="127"/>
  <c r="R4178" i="127"/>
  <c r="R3855" i="127"/>
  <c r="R4145" i="127"/>
  <c r="R4170" i="127"/>
  <c r="R4165" i="127"/>
  <c r="R3430" i="127"/>
  <c r="R4159" i="127"/>
  <c r="R4168" i="127"/>
  <c r="R3808" i="127"/>
  <c r="R4163" i="127"/>
  <c r="R4060" i="127"/>
  <c r="R4153" i="127"/>
  <c r="R4089" i="127"/>
  <c r="R4161" i="127"/>
  <c r="R3905" i="127"/>
  <c r="R4157" i="127"/>
  <c r="R4164" i="127"/>
  <c r="R4154" i="127"/>
  <c r="R4167" i="127"/>
  <c r="R1559" i="127"/>
  <c r="R4158" i="127"/>
  <c r="R3493" i="127"/>
  <c r="R4149" i="127"/>
  <c r="R3840" i="127"/>
  <c r="R4160" i="127"/>
  <c r="R3181" i="127"/>
  <c r="R4141" i="127"/>
  <c r="R996" i="127"/>
  <c r="R4135" i="127"/>
  <c r="R3399" i="127"/>
  <c r="R4128" i="127"/>
  <c r="R3838" i="127"/>
  <c r="R4125" i="127"/>
  <c r="R4066" i="127"/>
  <c r="R4124" i="127"/>
  <c r="R3726" i="127"/>
  <c r="R4126" i="127"/>
  <c r="R3946" i="127"/>
  <c r="R4113" i="127"/>
  <c r="R4013" i="127"/>
  <c r="R4106" i="127"/>
  <c r="R3741" i="127"/>
  <c r="R4096" i="127"/>
  <c r="R3736" i="127"/>
  <c r="R4101" i="127"/>
  <c r="R4017" i="127"/>
  <c r="R4103" i="127"/>
  <c r="R4005" i="127"/>
  <c r="R4092" i="127"/>
  <c r="R4090" i="127"/>
  <c r="R3479" i="127"/>
  <c r="R4098" i="127"/>
  <c r="R4024" i="127"/>
  <c r="R4102" i="127"/>
  <c r="R3903" i="127"/>
  <c r="R4086" i="127"/>
  <c r="R4023" i="127"/>
  <c r="R4074" i="127"/>
  <c r="R3926" i="127"/>
  <c r="R4080" i="127"/>
  <c r="R4065" i="127"/>
  <c r="R4064" i="127"/>
  <c r="R751" i="127"/>
  <c r="R4058" i="127"/>
  <c r="R3974" i="127"/>
  <c r="R4055" i="127"/>
  <c r="R4049" i="127"/>
  <c r="R4050" i="127"/>
  <c r="R3596" i="127"/>
  <c r="R4052" i="127"/>
  <c r="R4054" i="127"/>
  <c r="R4059" i="127"/>
  <c r="R3995" i="127"/>
  <c r="R3996" i="127"/>
  <c r="R3509" i="127"/>
  <c r="R4048" i="127"/>
  <c r="R4047" i="127"/>
  <c r="R4036" i="127"/>
  <c r="R4037" i="127"/>
  <c r="R3902" i="127"/>
  <c r="R4044" i="127"/>
  <c r="R3788" i="127"/>
  <c r="R4045" i="127"/>
  <c r="T4035" i="127"/>
  <c r="R4033" i="127"/>
  <c r="R3784" i="127"/>
  <c r="R4032" i="127"/>
  <c r="R3927" i="127"/>
  <c r="R4027" i="127"/>
  <c r="R3874" i="127"/>
  <c r="R4026" i="127"/>
  <c r="S4329" i="127"/>
  <c r="AK527" i="123" s="1"/>
  <c r="R3865" i="127"/>
  <c r="R4021" i="127"/>
  <c r="R3988" i="127"/>
  <c r="R4018" i="127"/>
  <c r="R4008" i="127"/>
  <c r="R4025" i="127"/>
  <c r="R4015" i="127"/>
  <c r="R4020" i="127"/>
  <c r="R4011" i="127"/>
  <c r="R3989" i="127"/>
  <c r="R3987" i="127"/>
  <c r="R3594" i="127"/>
  <c r="R4001" i="127"/>
  <c r="R3725" i="127"/>
  <c r="R4003" i="127"/>
  <c r="R3633" i="127"/>
  <c r="R3993" i="127"/>
  <c r="R3991" i="127"/>
  <c r="R3992" i="127"/>
  <c r="R3159" i="127"/>
  <c r="R3990" i="127"/>
  <c r="R3962" i="127"/>
  <c r="R3994" i="127"/>
  <c r="R3821" i="127"/>
  <c r="R3998" i="127"/>
  <c r="R4002" i="127"/>
  <c r="R3572" i="127"/>
  <c r="R3985" i="127"/>
  <c r="R3951" i="127"/>
  <c r="R3973" i="127"/>
  <c r="R3979" i="127"/>
  <c r="R3980" i="127"/>
  <c r="R3894" i="127"/>
  <c r="R3983" i="127"/>
  <c r="R3603" i="127"/>
  <c r="R3964" i="127"/>
  <c r="R3695" i="127"/>
  <c r="R3976" i="127"/>
  <c r="R3977" i="127"/>
  <c r="S3000" i="127"/>
  <c r="S2475" i="127"/>
  <c r="R1060" i="127"/>
  <c r="R3953" i="127"/>
  <c r="R3873" i="127"/>
  <c r="R3948" i="127"/>
  <c r="R3950" i="127"/>
  <c r="S4324" i="127"/>
  <c r="AK517" i="123" s="1"/>
  <c r="S3690" i="127"/>
  <c r="T3690" i="127" s="1"/>
  <c r="R3883" i="127"/>
  <c r="R3943" i="127"/>
  <c r="R3944" i="127"/>
  <c r="R3937" i="127"/>
  <c r="R3938" i="127"/>
  <c r="R3632" i="127"/>
  <c r="R3941" i="127"/>
  <c r="R3858" i="127"/>
  <c r="T4236" i="127"/>
  <c r="R3166" i="127"/>
  <c r="R3909" i="127"/>
  <c r="R3915" i="127"/>
  <c r="R3914" i="127"/>
  <c r="R3551" i="127"/>
  <c r="R3907" i="127"/>
  <c r="R3908" i="127"/>
  <c r="S4334" i="127"/>
  <c r="AK515" i="123" s="1"/>
  <c r="R3899" i="127"/>
  <c r="S4343" i="127"/>
  <c r="AK513" i="123" s="1"/>
  <c r="R3765" i="127"/>
  <c r="R3878" i="127"/>
  <c r="R3889" i="127"/>
  <c r="R3888" i="127"/>
  <c r="R3455" i="127"/>
  <c r="R3900" i="127"/>
  <c r="R3685" i="127"/>
  <c r="R3886" i="127"/>
  <c r="R3451" i="127"/>
  <c r="R3879" i="127"/>
  <c r="R3724" i="127"/>
  <c r="R3901" i="127"/>
  <c r="R1100" i="127"/>
  <c r="R3893" i="127"/>
  <c r="R3470" i="127"/>
  <c r="R3885" i="127"/>
  <c r="R3897" i="127"/>
  <c r="R3896" i="127"/>
  <c r="R3763" i="127"/>
  <c r="R3895" i="127"/>
  <c r="R3677" i="127"/>
  <c r="R3890" i="127"/>
  <c r="R3867" i="127"/>
  <c r="R3877" i="127"/>
  <c r="S1666" i="127"/>
  <c r="T1666" i="127" s="1"/>
  <c r="R3854" i="127"/>
  <c r="R3868" i="127"/>
  <c r="R3697" i="127"/>
  <c r="R3853" i="127"/>
  <c r="R3667" i="127"/>
  <c r="R3863" i="127"/>
  <c r="R3460" i="127"/>
  <c r="R3861" i="127"/>
  <c r="R3630" i="127"/>
  <c r="R3846" i="127"/>
  <c r="R3848" i="127"/>
  <c r="R3771" i="127"/>
  <c r="R3842" i="127"/>
  <c r="R763" i="127"/>
  <c r="R3847" i="127"/>
  <c r="R3441" i="127"/>
  <c r="R3832" i="127"/>
  <c r="R3686" i="127"/>
  <c r="R3829" i="127"/>
  <c r="R3830" i="127"/>
  <c r="R3554" i="127"/>
  <c r="R3826" i="127"/>
  <c r="R3523" i="127"/>
  <c r="R3836" i="127"/>
  <c r="R3757" i="127"/>
  <c r="R3824" i="127"/>
  <c r="R3407" i="127"/>
  <c r="R3823" i="127"/>
  <c r="S1860" i="127"/>
  <c r="T1860" i="127" s="1"/>
  <c r="R3244" i="127"/>
  <c r="R3813" i="127"/>
  <c r="R3428" i="127"/>
  <c r="R3812" i="127"/>
  <c r="R3349" i="127"/>
  <c r="R3816" i="127"/>
  <c r="R3818" i="127"/>
  <c r="R3819" i="127"/>
  <c r="R3400" i="127"/>
  <c r="R3792" i="127"/>
  <c r="R3794" i="127"/>
  <c r="R3179" i="127"/>
  <c r="R3789" i="127"/>
  <c r="R3713" i="127"/>
  <c r="R3785" i="127"/>
  <c r="R3544" i="127"/>
  <c r="R3800" i="127"/>
  <c r="R3643" i="127"/>
  <c r="R3793" i="127"/>
  <c r="R3631" i="127"/>
  <c r="R3787" i="127"/>
  <c r="S3021" i="127"/>
  <c r="T3021" i="127" s="1"/>
  <c r="T3779" i="127"/>
  <c r="S4228" i="127"/>
  <c r="AK504" i="123" s="1"/>
  <c r="S4185" i="127"/>
  <c r="AK505" i="123" s="1"/>
  <c r="R3657" i="127"/>
  <c r="R3768" i="127"/>
  <c r="R3492" i="127"/>
  <c r="R3775" i="127"/>
  <c r="R3769" i="127"/>
  <c r="R3762" i="127"/>
  <c r="R3774" i="127"/>
  <c r="R3772" i="127"/>
  <c r="R3652" i="127"/>
  <c r="R3754" i="127"/>
  <c r="R3293" i="127"/>
  <c r="R3758" i="127"/>
  <c r="R2858" i="127"/>
  <c r="R3759" i="127"/>
  <c r="R3760" i="127"/>
  <c r="S4340" i="127"/>
  <c r="AK503" i="123" s="1"/>
  <c r="R3026" i="127"/>
  <c r="R3735" i="127"/>
  <c r="R3449" i="127"/>
  <c r="R3732" i="127"/>
  <c r="R3744" i="127"/>
  <c r="R3743" i="127"/>
  <c r="R3590" i="127"/>
  <c r="R3727" i="127"/>
  <c r="S4123" i="127"/>
  <c r="AK501" i="123" s="1"/>
  <c r="T3162" i="127"/>
  <c r="S3238" i="127"/>
  <c r="R3342" i="127"/>
  <c r="R3718" i="127"/>
  <c r="R3719" i="127"/>
  <c r="R2965" i="127"/>
  <c r="R3711" i="127"/>
  <c r="R3481" i="127"/>
  <c r="R3721" i="127"/>
  <c r="R3280" i="127"/>
  <c r="R3717" i="127"/>
  <c r="T4191" i="127"/>
  <c r="S4214" i="127"/>
  <c r="T4214" i="127" s="1"/>
  <c r="S1661" i="127"/>
  <c r="T1661" i="127" s="1"/>
  <c r="R3303" i="127"/>
  <c r="R3705" i="127"/>
  <c r="R3304" i="127"/>
  <c r="R3700" i="127"/>
  <c r="R3701" i="127"/>
  <c r="R3273" i="127"/>
  <c r="R3703" i="127"/>
  <c r="R3710" i="127"/>
  <c r="R3709" i="127"/>
  <c r="S4226" i="127"/>
  <c r="T4226" i="127" s="1"/>
  <c r="S4455" i="127"/>
  <c r="T4455" i="127" s="1"/>
  <c r="R3678" i="127"/>
  <c r="R3690" i="127"/>
  <c r="R3653" i="127"/>
  <c r="R3687" i="127"/>
  <c r="R1174" i="127"/>
  <c r="R3698" i="127"/>
  <c r="R3334" i="127"/>
  <c r="R3683" i="127"/>
  <c r="R3684" i="127"/>
  <c r="R3669" i="127"/>
  <c r="R3675" i="127"/>
  <c r="R3671" i="127"/>
  <c r="R3680" i="127"/>
  <c r="R1242" i="127"/>
  <c r="R3682" i="127"/>
  <c r="R251" i="127"/>
  <c r="R3261" i="127"/>
  <c r="R3662" i="127"/>
  <c r="R3665" i="127"/>
  <c r="R3664" i="127"/>
  <c r="R3574" i="127"/>
  <c r="R3255" i="127"/>
  <c r="R3660" i="127"/>
  <c r="R886" i="127"/>
  <c r="R3659" i="127"/>
  <c r="R3420" i="127"/>
  <c r="R3648" i="127"/>
  <c r="R3465" i="127"/>
  <c r="R3654" i="127"/>
  <c r="R3139" i="127"/>
  <c r="R3647" i="127"/>
  <c r="R3240" i="127"/>
  <c r="R3650" i="127"/>
  <c r="R3241" i="127"/>
  <c r="R3651" i="127"/>
  <c r="R3550" i="127"/>
  <c r="R3635" i="127"/>
  <c r="R3220" i="127"/>
  <c r="R3642" i="127"/>
  <c r="R3636" i="127"/>
  <c r="R3637" i="127"/>
  <c r="R3595" i="127"/>
  <c r="R3245" i="127"/>
  <c r="R3628" i="127"/>
  <c r="R3301" i="127"/>
  <c r="R3629" i="127"/>
  <c r="T3511" i="127"/>
  <c r="T3623" i="127"/>
  <c r="R3559" i="127"/>
  <c r="R3612" i="127"/>
  <c r="R3567" i="127"/>
  <c r="R3625" i="127"/>
  <c r="R2771" i="127"/>
  <c r="R3604" i="127"/>
  <c r="R2775" i="127"/>
  <c r="R3600" i="127"/>
  <c r="R3282" i="127"/>
  <c r="R3602" i="127"/>
  <c r="R2776" i="127"/>
  <c r="R3601" i="127"/>
  <c r="S3972" i="127"/>
  <c r="AK491" i="123" s="1"/>
  <c r="S4402" i="127"/>
  <c r="T4402" i="127" s="1"/>
  <c r="S4404" i="127"/>
  <c r="T4404" i="127" s="1"/>
  <c r="R3238" i="127"/>
  <c r="R3592" i="127"/>
  <c r="R836" i="127"/>
  <c r="R3589" i="127"/>
  <c r="R3328" i="127"/>
  <c r="R3591" i="127"/>
  <c r="R3253" i="127"/>
  <c r="R3585" i="127"/>
  <c r="T3587" i="127"/>
  <c r="R3587" i="127"/>
  <c r="R3237" i="127"/>
  <c r="R3573" i="127"/>
  <c r="R3520" i="127"/>
  <c r="R3568" i="127"/>
  <c r="R3337" i="127"/>
  <c r="R3569" i="127"/>
  <c r="R3564" i="127"/>
  <c r="R3565" i="127"/>
  <c r="R3348" i="127"/>
  <c r="R3561" i="127"/>
  <c r="S4326" i="127"/>
  <c r="T4326" i="127" s="1"/>
  <c r="R3198" i="127"/>
  <c r="R3556" i="127"/>
  <c r="R3468" i="127"/>
  <c r="R3560" i="127"/>
  <c r="R1061" i="127"/>
  <c r="R756" i="127"/>
  <c r="R368" i="127"/>
  <c r="R650" i="127"/>
  <c r="R580" i="127"/>
  <c r="R1045" i="127"/>
  <c r="R3264" i="127"/>
  <c r="R3540" i="127"/>
  <c r="R3532" i="127"/>
  <c r="R3536" i="127"/>
  <c r="T3536" i="127"/>
  <c r="T3532" i="127"/>
  <c r="R3474" i="127"/>
  <c r="R3542" i="127"/>
  <c r="R3306" i="127"/>
  <c r="R3537" i="127"/>
  <c r="R3539" i="127"/>
  <c r="S4244" i="127"/>
  <c r="T4244" i="127" s="1"/>
  <c r="R3524" i="127"/>
  <c r="R3530" i="127"/>
  <c r="R3211" i="127"/>
  <c r="R3529" i="127"/>
  <c r="R3316" i="127"/>
  <c r="R3528" i="127"/>
  <c r="R3223" i="127"/>
  <c r="R3515" i="127"/>
  <c r="R3514" i="127"/>
  <c r="R3165" i="127"/>
  <c r="R3518" i="127"/>
  <c r="R3126" i="127"/>
  <c r="R3508" i="127"/>
  <c r="R3501" i="127"/>
  <c r="R3502" i="127"/>
  <c r="R3350" i="127"/>
  <c r="R3504" i="127"/>
  <c r="R3182" i="127"/>
  <c r="R3505" i="127"/>
  <c r="R3137" i="127"/>
  <c r="R3503" i="127"/>
  <c r="S4269" i="127"/>
  <c r="T4269" i="127" s="1"/>
  <c r="R3487" i="127"/>
  <c r="R3488" i="127"/>
  <c r="R2001" i="127"/>
  <c r="R3491" i="127"/>
  <c r="R3217" i="127"/>
  <c r="R3483" i="127"/>
  <c r="S4400" i="127"/>
  <c r="T4400" i="127" s="1"/>
  <c r="R3206" i="127"/>
  <c r="R3463" i="127"/>
  <c r="S1819" i="127"/>
  <c r="R3170" i="127"/>
  <c r="R3456" i="127"/>
  <c r="R3221" i="127"/>
  <c r="R3459" i="127"/>
  <c r="R3176" i="127"/>
  <c r="R3442" i="127"/>
  <c r="R3242" i="127"/>
  <c r="R3431" i="127"/>
  <c r="R3210" i="127"/>
  <c r="R3443" i="127"/>
  <c r="R3447" i="127"/>
  <c r="R3187" i="127"/>
  <c r="R3436" i="127"/>
  <c r="R3267" i="127"/>
  <c r="R3439" i="127"/>
  <c r="R3272" i="127"/>
  <c r="R3419" i="127"/>
  <c r="R3413" i="127"/>
  <c r="R3415" i="127"/>
  <c r="R3338" i="127"/>
  <c r="R3417" i="127"/>
  <c r="R3396" i="127"/>
  <c r="R3397" i="127"/>
  <c r="T3315" i="127"/>
  <c r="T3404" i="127"/>
  <c r="S4305" i="127"/>
  <c r="T4305" i="127" s="1"/>
  <c r="S4342" i="127"/>
  <c r="T4342" i="127" s="1"/>
  <c r="R3184" i="127"/>
  <c r="R3395" i="127"/>
  <c r="R1090" i="127"/>
  <c r="R3384" i="127"/>
  <c r="R3288" i="127"/>
  <c r="R3385" i="127"/>
  <c r="R3387" i="127"/>
  <c r="R3388" i="127"/>
  <c r="R1162" i="127"/>
  <c r="R3378" i="127"/>
  <c r="R3331" i="127"/>
  <c r="R3389" i="127"/>
  <c r="R3353" i="127"/>
  <c r="R3368" i="127"/>
  <c r="R3371" i="127"/>
  <c r="R3362" i="127"/>
  <c r="R3365" i="127"/>
  <c r="R3375" i="127"/>
  <c r="R3372" i="127"/>
  <c r="R3356" i="127"/>
  <c r="R3366" i="127"/>
  <c r="R3374" i="127"/>
  <c r="S4359" i="127"/>
  <c r="T4359" i="127" s="1"/>
  <c r="R3354" i="127"/>
  <c r="R3336" i="127"/>
  <c r="T3336" i="127"/>
  <c r="R3347" i="127"/>
  <c r="R3351" i="127"/>
  <c r="R3352" i="127"/>
  <c r="R3318" i="127"/>
  <c r="R3324" i="127"/>
  <c r="R3325" i="127"/>
  <c r="R3326" i="127"/>
  <c r="R3313" i="127"/>
  <c r="R3225" i="127"/>
  <c r="R3309" i="127"/>
  <c r="R3307" i="127"/>
  <c r="S4096" i="127"/>
  <c r="T4096" i="127" s="1"/>
  <c r="R3299" i="127"/>
  <c r="R3284" i="127"/>
  <c r="R3275" i="127"/>
  <c r="R3276" i="127"/>
  <c r="R3283" i="127"/>
  <c r="R3278" i="127"/>
  <c r="R3286" i="127"/>
  <c r="R3285" i="127"/>
  <c r="R3292" i="127"/>
  <c r="R3279" i="127"/>
  <c r="R3289" i="127"/>
  <c r="S870" i="127"/>
  <c r="T870" i="127" s="1"/>
  <c r="R3260" i="127"/>
  <c r="R3192" i="127"/>
  <c r="R3252" i="127"/>
  <c r="R3256" i="127"/>
  <c r="R3246" i="127"/>
  <c r="R3222" i="127"/>
  <c r="R3243" i="127"/>
  <c r="R3239" i="127"/>
  <c r="R3234" i="127"/>
  <c r="R3236" i="127"/>
  <c r="T3232" i="127"/>
  <c r="R3216" i="127"/>
  <c r="R3219" i="127"/>
  <c r="R3201" i="127"/>
  <c r="R3194" i="127"/>
  <c r="R3196" i="127"/>
  <c r="T4341" i="127"/>
  <c r="R2565" i="127"/>
  <c r="R2210" i="127"/>
  <c r="R2105" i="127"/>
  <c r="R3191" i="127"/>
  <c r="R1734" i="127"/>
  <c r="R3177" i="127"/>
  <c r="R3172" i="127"/>
  <c r="R135" i="127"/>
  <c r="R2307" i="127"/>
  <c r="T3160" i="127"/>
  <c r="R3162" i="127"/>
  <c r="R3164" i="127"/>
  <c r="R3167" i="127"/>
  <c r="R3168" i="127"/>
  <c r="R2391" i="127"/>
  <c r="R1324" i="127"/>
  <c r="R1128" i="127"/>
  <c r="R397" i="127"/>
  <c r="R1014" i="127"/>
  <c r="R2666" i="127"/>
  <c r="R166" i="127"/>
  <c r="R2959" i="127"/>
  <c r="R2958" i="127"/>
  <c r="R220" i="127"/>
  <c r="R2634" i="127"/>
  <c r="R2966" i="127"/>
  <c r="R2032" i="127"/>
  <c r="R2635" i="127"/>
  <c r="R985" i="127"/>
  <c r="R1432" i="127"/>
  <c r="R887" i="127"/>
  <c r="R1431" i="127"/>
  <c r="R2141" i="127"/>
  <c r="R1467" i="127"/>
  <c r="R2217" i="127"/>
  <c r="R704" i="127"/>
  <c r="R1041" i="127"/>
  <c r="R2448" i="127"/>
  <c r="R1673" i="127"/>
  <c r="R646" i="127"/>
  <c r="R831" i="127"/>
  <c r="R1181" i="127"/>
  <c r="R2449" i="127"/>
  <c r="R3056" i="127"/>
  <c r="R1939" i="127"/>
  <c r="R1161" i="127"/>
  <c r="R1574" i="127"/>
  <c r="R674" i="127"/>
  <c r="R1845" i="127"/>
  <c r="R1843" i="127"/>
  <c r="R1359" i="127"/>
  <c r="R2052" i="127"/>
  <c r="R2251" i="127"/>
  <c r="R861" i="127"/>
  <c r="R1848" i="127"/>
  <c r="R1253" i="127"/>
  <c r="R933" i="127"/>
  <c r="R2476" i="127"/>
  <c r="R1994" i="127"/>
  <c r="R730" i="127"/>
  <c r="R1540" i="127"/>
  <c r="R2343" i="127"/>
  <c r="R1708" i="127"/>
  <c r="R678" i="127"/>
  <c r="R1233" i="127"/>
  <c r="R1481" i="127"/>
  <c r="R1033" i="127"/>
  <c r="R694" i="127"/>
  <c r="R1610" i="127"/>
  <c r="R1608" i="127"/>
  <c r="R1454" i="127"/>
  <c r="R1017" i="127"/>
  <c r="R1480" i="127"/>
  <c r="R1478" i="127"/>
  <c r="R1688" i="127"/>
  <c r="R871" i="127"/>
  <c r="R2766" i="127"/>
  <c r="R2016" i="127"/>
  <c r="R2394" i="127"/>
  <c r="R2779" i="127"/>
  <c r="R1067" i="127"/>
  <c r="R1393" i="127"/>
  <c r="R3020" i="127"/>
  <c r="R3068" i="127"/>
  <c r="R3036" i="127"/>
  <c r="R3000" i="127"/>
  <c r="R3067" i="127"/>
  <c r="R2505" i="127"/>
  <c r="R2853" i="127"/>
  <c r="R803" i="127"/>
  <c r="R1363" i="127"/>
  <c r="R2852" i="127"/>
  <c r="R2129" i="127"/>
  <c r="R2452" i="127"/>
  <c r="R977" i="127"/>
  <c r="R1437" i="127"/>
  <c r="R628" i="127"/>
  <c r="R1767" i="127"/>
  <c r="R1257" i="127"/>
  <c r="R746" i="127"/>
  <c r="R722" i="127"/>
  <c r="R1180" i="127"/>
  <c r="R2501" i="127"/>
  <c r="R2906" i="127"/>
  <c r="R1565" i="127"/>
  <c r="R2909" i="127"/>
  <c r="R2142" i="127"/>
  <c r="R2259" i="127"/>
  <c r="R1153" i="127"/>
  <c r="R1271" i="127"/>
  <c r="R2312" i="127"/>
  <c r="R3017" i="127"/>
  <c r="R2594" i="127"/>
  <c r="R1662" i="127"/>
  <c r="R2327" i="127"/>
  <c r="R2277" i="127"/>
  <c r="R2325" i="127"/>
  <c r="R1860" i="127"/>
  <c r="R1630" i="127"/>
  <c r="R1198" i="127"/>
  <c r="R2928" i="127"/>
  <c r="R2559" i="127"/>
  <c r="R2930" i="127"/>
  <c r="R1639" i="127"/>
  <c r="R2171" i="127"/>
  <c r="R2262" i="127"/>
  <c r="R1709" i="127"/>
  <c r="R2609" i="127"/>
  <c r="R2746" i="127"/>
  <c r="R1741" i="127"/>
  <c r="R1535" i="127"/>
  <c r="R2747" i="127"/>
  <c r="R1743" i="127"/>
  <c r="R2185" i="127"/>
  <c r="R1878" i="127"/>
  <c r="R2229" i="127"/>
  <c r="R2230" i="127"/>
  <c r="R1735" i="127"/>
  <c r="R2884" i="127"/>
  <c r="R1875" i="127"/>
  <c r="R2350" i="127"/>
  <c r="R2278" i="127"/>
  <c r="R1804" i="127"/>
  <c r="R1786" i="127"/>
  <c r="R2914" i="127"/>
  <c r="R2943" i="127"/>
  <c r="R2159" i="127"/>
  <c r="R1689" i="127"/>
  <c r="R2453" i="127"/>
  <c r="R2338" i="127"/>
  <c r="R2000" i="127"/>
  <c r="R2748" i="127"/>
  <c r="R2173" i="127"/>
  <c r="R1440" i="127"/>
  <c r="R2496" i="127"/>
  <c r="R2793" i="127"/>
  <c r="R1701" i="127"/>
  <c r="R1592" i="127"/>
  <c r="R2495" i="127"/>
  <c r="R2513" i="127"/>
  <c r="R2198" i="127"/>
  <c r="R1814" i="127"/>
  <c r="R2686" i="127"/>
  <c r="R2893" i="127"/>
  <c r="R1890" i="127"/>
  <c r="R2373" i="127"/>
  <c r="R2865" i="127"/>
  <c r="R2892" i="127"/>
  <c r="R1977" i="127"/>
  <c r="R2463" i="127"/>
  <c r="R2940" i="127"/>
  <c r="R2468" i="127"/>
  <c r="R3091" i="127"/>
  <c r="R2094" i="127"/>
  <c r="R2563" i="127"/>
  <c r="R2847" i="127"/>
  <c r="R2954" i="127"/>
  <c r="R2002" i="127"/>
  <c r="R3022" i="127"/>
  <c r="R2546" i="127"/>
  <c r="R2724" i="127"/>
  <c r="R3124" i="127"/>
  <c r="R2806" i="127"/>
  <c r="R2630" i="127"/>
  <c r="R3028" i="127"/>
  <c r="R2525" i="127"/>
  <c r="R2310" i="127"/>
  <c r="R2092" i="127"/>
  <c r="R2404" i="127"/>
  <c r="R2202" i="127"/>
  <c r="R2905" i="127"/>
  <c r="R1820" i="127"/>
  <c r="R2445" i="127"/>
  <c r="R3095" i="127"/>
  <c r="R2612" i="127"/>
  <c r="R2354" i="127"/>
  <c r="R1793" i="127"/>
  <c r="R2280" i="127"/>
  <c r="R2395" i="127"/>
  <c r="R2713" i="127"/>
  <c r="R2086" i="127"/>
  <c r="R2085" i="127"/>
  <c r="R2961" i="127"/>
  <c r="R2710" i="127"/>
  <c r="R2359" i="127"/>
  <c r="R2388" i="127"/>
  <c r="R1872" i="127"/>
  <c r="R2586" i="127"/>
  <c r="R3044" i="127"/>
  <c r="R2166" i="127"/>
  <c r="R2876" i="127"/>
  <c r="R2339" i="127"/>
  <c r="R2524" i="127"/>
  <c r="R2886" i="127"/>
  <c r="R2810" i="127"/>
  <c r="R2435" i="127"/>
  <c r="R2535" i="127"/>
  <c r="R2955" i="127"/>
  <c r="R2566" i="127"/>
  <c r="R2984" i="127"/>
  <c r="R2705" i="127"/>
  <c r="R3001" i="127"/>
  <c r="R2584" i="127"/>
  <c r="R2238" i="127"/>
  <c r="R2372" i="127"/>
  <c r="R1889" i="127"/>
  <c r="R2719" i="127"/>
  <c r="R2836" i="127"/>
  <c r="R2897" i="127"/>
  <c r="R2895" i="127"/>
  <c r="R1949" i="127"/>
  <c r="R2687" i="127"/>
  <c r="R3012" i="127"/>
  <c r="R2135" i="127"/>
  <c r="R2522" i="127"/>
  <c r="R1791" i="127"/>
  <c r="R1963" i="127"/>
  <c r="R1964" i="127"/>
  <c r="R1788" i="127"/>
  <c r="R3062" i="127"/>
  <c r="R2606" i="127"/>
  <c r="R2273" i="127"/>
  <c r="R2718" i="127"/>
  <c r="R2545" i="127"/>
  <c r="R2859" i="127"/>
  <c r="R2767" i="127"/>
  <c r="R2707" i="127"/>
  <c r="R2510" i="127"/>
  <c r="R2813" i="127"/>
  <c r="R2427" i="127"/>
  <c r="R3106" i="127"/>
  <c r="R3107" i="127"/>
  <c r="R2597" i="127"/>
  <c r="R3119" i="127"/>
  <c r="R2661" i="127"/>
  <c r="R2891" i="127"/>
  <c r="R3143" i="127"/>
  <c r="R2731" i="127"/>
  <c r="R2628" i="127"/>
  <c r="R2871" i="127"/>
  <c r="R2869" i="127"/>
  <c r="R2991" i="127"/>
  <c r="R2848" i="127"/>
  <c r="R3092" i="127"/>
  <c r="R3038" i="127"/>
  <c r="R3040" i="127"/>
  <c r="R2162" i="127"/>
  <c r="R2506" i="127"/>
  <c r="R1654" i="127"/>
  <c r="R1188" i="127"/>
  <c r="R3003" i="127"/>
  <c r="R1885" i="127"/>
  <c r="R1697" i="127"/>
  <c r="R1263" i="127"/>
  <c r="R1864" i="127"/>
  <c r="R1352" i="127"/>
  <c r="R1371" i="127"/>
  <c r="R2580" i="127"/>
  <c r="R2450" i="127"/>
  <c r="R3019" i="127"/>
  <c r="R1647" i="127"/>
  <c r="R2822" i="127"/>
  <c r="R2150" i="127"/>
  <c r="R1160" i="127"/>
  <c r="R1344" i="127"/>
  <c r="R1469" i="127"/>
  <c r="R1645" i="127"/>
  <c r="R2146" i="127"/>
  <c r="R2145" i="127"/>
  <c r="R2041" i="127"/>
  <c r="R1629" i="127"/>
  <c r="R2579" i="127"/>
  <c r="R1031" i="127"/>
  <c r="R2227" i="127"/>
  <c r="R2047" i="127"/>
  <c r="R1568" i="127"/>
  <c r="R2530" i="127"/>
  <c r="R1711" i="127"/>
  <c r="R2440" i="127"/>
  <c r="R2438" i="127"/>
  <c r="R2426" i="127"/>
  <c r="R2414" i="127"/>
  <c r="R2383" i="127"/>
  <c r="R1737" i="127"/>
  <c r="R2439" i="127"/>
  <c r="R3050" i="127"/>
  <c r="R3048" i="127"/>
  <c r="R905" i="127"/>
  <c r="R2688" i="127"/>
  <c r="R2355" i="127"/>
  <c r="R2689" i="127"/>
  <c r="R1894" i="127"/>
  <c r="R1231" i="127"/>
  <c r="R2377" i="127"/>
  <c r="R2274" i="127"/>
  <c r="R1940" i="127"/>
  <c r="R2204" i="127"/>
  <c r="R1390" i="127"/>
  <c r="R2698" i="127"/>
  <c r="R2348" i="127"/>
  <c r="R1821" i="127"/>
  <c r="R1706" i="127"/>
  <c r="R2699" i="127"/>
  <c r="R1195" i="127"/>
  <c r="R2344" i="127"/>
  <c r="R2045" i="127"/>
  <c r="R2182" i="127"/>
  <c r="R1911" i="127"/>
  <c r="R2657" i="127"/>
  <c r="R1057" i="127"/>
  <c r="R2655" i="127"/>
  <c r="R2552" i="127"/>
  <c r="R1391" i="127"/>
  <c r="R1360" i="127"/>
  <c r="R3154" i="127"/>
  <c r="R1751" i="127"/>
  <c r="R1343" i="127"/>
  <c r="R2696" i="127"/>
  <c r="R2125" i="127"/>
  <c r="R1871" i="127"/>
  <c r="R919" i="127"/>
  <c r="R476" i="127"/>
  <c r="R1772" i="127"/>
  <c r="R1770" i="127"/>
  <c r="R1307" i="127"/>
  <c r="R1259" i="127"/>
  <c r="R917" i="127"/>
  <c r="R889" i="127"/>
  <c r="R1533" i="127"/>
  <c r="R1499" i="127"/>
  <c r="R1037" i="127"/>
  <c r="R1532" i="127"/>
  <c r="R1047" i="127"/>
  <c r="R1397" i="127"/>
  <c r="R186" i="127"/>
  <c r="R244" i="127"/>
  <c r="R290" i="127"/>
  <c r="R304" i="127"/>
  <c r="R322" i="127"/>
  <c r="R336" i="127"/>
  <c r="R364" i="127"/>
  <c r="R378" i="127"/>
  <c r="R410" i="127"/>
  <c r="R422" i="127"/>
  <c r="R448" i="127"/>
  <c r="R141" i="127"/>
  <c r="R203" i="127"/>
  <c r="R233" i="127"/>
  <c r="R279" i="127"/>
  <c r="R305" i="127"/>
  <c r="R319" i="127"/>
  <c r="R345" i="127"/>
  <c r="R367" i="127"/>
  <c r="R415" i="127"/>
  <c r="R435" i="127"/>
  <c r="R447" i="127"/>
  <c r="R495" i="127"/>
  <c r="R531" i="127"/>
  <c r="R549" i="127"/>
  <c r="R575" i="127"/>
  <c r="R599" i="127"/>
  <c r="R607" i="127"/>
  <c r="R623" i="127"/>
  <c r="R645" i="127"/>
  <c r="R653" i="127"/>
  <c r="R671" i="127"/>
  <c r="R693" i="127"/>
  <c r="R703" i="127"/>
  <c r="R711" i="127"/>
  <c r="R727" i="127"/>
  <c r="R749" i="127"/>
  <c r="R775" i="127"/>
  <c r="R784" i="127"/>
  <c r="R812" i="127"/>
  <c r="R828" i="127"/>
  <c r="R860" i="127"/>
  <c r="R896" i="127"/>
  <c r="R916" i="127"/>
  <c r="R938" i="127"/>
  <c r="R956" i="127"/>
  <c r="R972" i="127"/>
  <c r="R992" i="127"/>
  <c r="R1020" i="127"/>
  <c r="R1080" i="127"/>
  <c r="R1106" i="127"/>
  <c r="R1126" i="127"/>
  <c r="R1154" i="127"/>
  <c r="R470" i="127"/>
  <c r="R482" i="127"/>
  <c r="R504" i="127"/>
  <c r="R554" i="127"/>
  <c r="R1194" i="127"/>
  <c r="R1817" i="127"/>
  <c r="R1442" i="127"/>
  <c r="R1818" i="127"/>
  <c r="R1312" i="127"/>
  <c r="R3152" i="127"/>
  <c r="R774" i="127"/>
  <c r="R748" i="127"/>
  <c r="R532" i="127"/>
  <c r="R672" i="127"/>
  <c r="R907" i="127"/>
  <c r="R1013" i="127"/>
  <c r="R1212" i="127"/>
  <c r="R552" i="127"/>
  <c r="R867" i="127"/>
  <c r="R1378" i="127"/>
  <c r="R1434" i="127"/>
  <c r="R893" i="127"/>
  <c r="R1433" i="127"/>
  <c r="R1345" i="127"/>
  <c r="R706" i="127"/>
  <c r="R1296" i="127"/>
  <c r="R1297" i="127"/>
  <c r="R1298" i="127"/>
  <c r="R1678" i="127"/>
  <c r="R1346" i="127"/>
  <c r="R1676" i="127"/>
  <c r="R600" i="127"/>
  <c r="R1169" i="127"/>
  <c r="R851" i="127"/>
  <c r="R1315" i="127"/>
  <c r="R1303" i="127"/>
  <c r="R2882" i="127"/>
  <c r="R2349" i="127"/>
  <c r="R997" i="127"/>
  <c r="R1664" i="127"/>
  <c r="R909" i="127"/>
  <c r="R827" i="127"/>
  <c r="R1520" i="127"/>
  <c r="R1482" i="127"/>
  <c r="R1456" i="127"/>
  <c r="R736" i="127"/>
  <c r="R1329" i="127"/>
  <c r="R1457" i="127"/>
  <c r="R1250" i="127"/>
  <c r="R791" i="127"/>
  <c r="R2992" i="127"/>
  <c r="R2883" i="127"/>
  <c r="R2157" i="127"/>
  <c r="R1912" i="127"/>
  <c r="R2553" i="127"/>
  <c r="R1483" i="127"/>
  <c r="R1247" i="127"/>
  <c r="R1059" i="127"/>
  <c r="R752" i="127"/>
  <c r="R1392" i="127"/>
  <c r="R1685" i="127"/>
  <c r="R1687" i="127"/>
  <c r="R1683" i="127"/>
  <c r="R626" i="127"/>
  <c r="R1682" i="127"/>
  <c r="R2279" i="127"/>
  <c r="R2331" i="127"/>
  <c r="R2329" i="127"/>
  <c r="R2058" i="127"/>
  <c r="R2017" i="127"/>
  <c r="R2335" i="127"/>
  <c r="R1561" i="127"/>
  <c r="R2333" i="127"/>
  <c r="R1881" i="127"/>
  <c r="R1665" i="127"/>
  <c r="R2111" i="127"/>
  <c r="R2112" i="127"/>
  <c r="R2110" i="127"/>
  <c r="R1103" i="127"/>
  <c r="R1766" i="127"/>
  <c r="R1633" i="127"/>
  <c r="R1852" i="127"/>
  <c r="R1828" i="127"/>
  <c r="R1145" i="127"/>
  <c r="R793" i="127"/>
  <c r="R1722" i="127"/>
  <c r="R1720" i="127"/>
  <c r="R1306" i="127"/>
  <c r="R837" i="127"/>
  <c r="R2592" i="127"/>
  <c r="R2750" i="127"/>
  <c r="R2374" i="127"/>
  <c r="R2006" i="127"/>
  <c r="R1902" i="127"/>
  <c r="R1125" i="127"/>
  <c r="R2759" i="127"/>
  <c r="R883" i="127"/>
  <c r="R632" i="127"/>
  <c r="R2757" i="127"/>
  <c r="R1179" i="127"/>
  <c r="R1436" i="127"/>
  <c r="R1846" i="127"/>
  <c r="R2095" i="127"/>
  <c r="R2446" i="127"/>
  <c r="R1989" i="127"/>
  <c r="R2603" i="127"/>
  <c r="R1594" i="127"/>
  <c r="R2601" i="127"/>
  <c r="R1927" i="127"/>
  <c r="R1372" i="127"/>
  <c r="R1999" i="127"/>
  <c r="R1504" i="127"/>
  <c r="R2193" i="127"/>
  <c r="R2255" i="127"/>
  <c r="R2289" i="127"/>
  <c r="R1810" i="127"/>
  <c r="R1739" i="127"/>
  <c r="R2143" i="127"/>
  <c r="R2272" i="127"/>
  <c r="R2461" i="127"/>
  <c r="R2180" i="127"/>
  <c r="R1628" i="127"/>
  <c r="R2528" i="127"/>
  <c r="R1794" i="127"/>
  <c r="R1260" i="127"/>
  <c r="R1774" i="127"/>
  <c r="R3114" i="127"/>
  <c r="R2658" i="127"/>
  <c r="R2055" i="127"/>
  <c r="R3116" i="127"/>
  <c r="R2057" i="127"/>
  <c r="R1560" i="127"/>
  <c r="R1726" i="127"/>
  <c r="R2196" i="127"/>
  <c r="R2090" i="127"/>
  <c r="R2197" i="127"/>
  <c r="R1562" i="127"/>
  <c r="R2982" i="127"/>
  <c r="R2846" i="127"/>
  <c r="R2024" i="127"/>
  <c r="R1897" i="127"/>
  <c r="R2421" i="127"/>
  <c r="R2550" i="127"/>
  <c r="R2119" i="127"/>
  <c r="R2118" i="127"/>
  <c r="R2996" i="127"/>
  <c r="R2183" i="127"/>
  <c r="R2994" i="127"/>
  <c r="R1653" i="127"/>
  <c r="R2276" i="127"/>
  <c r="R2554" i="127"/>
  <c r="R2515" i="127"/>
  <c r="R3006" i="127"/>
  <c r="R2258" i="127"/>
  <c r="R2931" i="127"/>
  <c r="R2734" i="127"/>
  <c r="R2345" i="127"/>
  <c r="R2174" i="127"/>
  <c r="R2647" i="127"/>
  <c r="R2769" i="127"/>
  <c r="R2401" i="127"/>
  <c r="R1895" i="127"/>
  <c r="R2347" i="127"/>
  <c r="R2667" i="127"/>
  <c r="R2093" i="127"/>
  <c r="R1904" i="127"/>
  <c r="R2581" i="127"/>
  <c r="R2963" i="127"/>
  <c r="R2474" i="127"/>
  <c r="R2107" i="127"/>
  <c r="R2652" i="127"/>
  <c r="R2205" i="127"/>
  <c r="R2654" i="127"/>
  <c r="R2540" i="127"/>
  <c r="R3098" i="127"/>
  <c r="R2291" i="127"/>
  <c r="R2170" i="127"/>
  <c r="R3096" i="127"/>
  <c r="R2659" i="127"/>
  <c r="R2587" i="127"/>
  <c r="R1699" i="127"/>
  <c r="R2243" i="127"/>
  <c r="R1900" i="127"/>
  <c r="R2244" i="127"/>
  <c r="R2898" i="127"/>
  <c r="R3059" i="127"/>
  <c r="R2102" i="127"/>
  <c r="R2297" i="127"/>
  <c r="R2134" i="127"/>
  <c r="R2637" i="127"/>
  <c r="R2975" i="127"/>
  <c r="R2521" i="127"/>
  <c r="R2720" i="127"/>
  <c r="R2215" i="127"/>
  <c r="R2978" i="127"/>
  <c r="R2977" i="127"/>
  <c r="R3008" i="127"/>
  <c r="R2987" i="127"/>
  <c r="R2402" i="127"/>
  <c r="R2356" i="127"/>
  <c r="R2534" i="127"/>
  <c r="R2293" i="127"/>
  <c r="R2294" i="127"/>
  <c r="R2015" i="127"/>
  <c r="R2013" i="127"/>
  <c r="R2673" i="127"/>
  <c r="R2840" i="127"/>
  <c r="R3108" i="127"/>
  <c r="R2957" i="127"/>
  <c r="R2680" i="127"/>
  <c r="R3066" i="127"/>
  <c r="R2353" i="127"/>
  <c r="R2678" i="127"/>
  <c r="R2644" i="127"/>
  <c r="R2352" i="127"/>
  <c r="R2370" i="127"/>
  <c r="R1887" i="127"/>
  <c r="R2815" i="127"/>
  <c r="R2108" i="127"/>
  <c r="R2777" i="127"/>
  <c r="R2475" i="127"/>
  <c r="R2418" i="127"/>
  <c r="R3135" i="127"/>
  <c r="R3136" i="127"/>
  <c r="R3105" i="127"/>
  <c r="R2596" i="127"/>
  <c r="R2298" i="127"/>
  <c r="R2691" i="127"/>
  <c r="R2983" i="127"/>
  <c r="R2704" i="127"/>
  <c r="R3128" i="127"/>
  <c r="R2362" i="127"/>
  <c r="R3011" i="127"/>
  <c r="R2417" i="127"/>
  <c r="R3083" i="127"/>
  <c r="R2480" i="127"/>
  <c r="R3104" i="127"/>
  <c r="R3060" i="127"/>
  <c r="R2464" i="127"/>
  <c r="R3009" i="127"/>
  <c r="R2752" i="127"/>
  <c r="R2397" i="127"/>
  <c r="R2662" i="127"/>
  <c r="R3120" i="127"/>
  <c r="R3130" i="127"/>
  <c r="R2683" i="127"/>
  <c r="R3148" i="127"/>
  <c r="R2649" i="127"/>
  <c r="R1663" i="127"/>
  <c r="R1670" i="127"/>
  <c r="R518" i="127"/>
  <c r="R562" i="127"/>
  <c r="R2999" i="127"/>
  <c r="R2379" i="127"/>
  <c r="R947" i="127"/>
  <c r="R1526" i="127"/>
  <c r="R1331" i="127"/>
  <c r="R1438" i="127"/>
  <c r="R1962" i="127"/>
  <c r="R2235" i="127"/>
  <c r="R2236" i="127"/>
  <c r="R682" i="127"/>
  <c r="R1111" i="127"/>
  <c r="R787" i="127"/>
  <c r="R1159" i="127"/>
  <c r="R550" i="127"/>
  <c r="R1915" i="127"/>
  <c r="R1913" i="127"/>
  <c r="R1113" i="127"/>
  <c r="R1546" i="127"/>
  <c r="R1691" i="127"/>
  <c r="R2101" i="127"/>
  <c r="R1549" i="127"/>
  <c r="R2100" i="127"/>
  <c r="R2910" i="127"/>
  <c r="R2472" i="127"/>
  <c r="R2007" i="127"/>
  <c r="R2376" i="127"/>
  <c r="R1425" i="127"/>
  <c r="R2436" i="127"/>
  <c r="R2161" i="127"/>
  <c r="R1282" i="127"/>
  <c r="R1530" i="127"/>
  <c r="R758" i="127"/>
  <c r="R2189" i="127"/>
  <c r="R1175" i="127"/>
  <c r="R1117" i="127"/>
  <c r="R2860" i="127"/>
  <c r="R1926" i="127"/>
  <c r="R1698" i="127"/>
  <c r="R2290" i="127"/>
  <c r="R1503" i="127"/>
  <c r="R1591" i="127"/>
  <c r="R1177" i="127"/>
  <c r="R1353" i="127"/>
  <c r="R2512" i="127"/>
  <c r="R1238" i="127"/>
  <c r="R3132" i="127"/>
  <c r="R2646" i="127"/>
  <c r="R1835" i="127"/>
  <c r="R2208" i="127"/>
  <c r="R2207" i="127"/>
  <c r="R1822" i="127"/>
  <c r="R1357" i="127"/>
  <c r="R925" i="127"/>
  <c r="R606" i="127"/>
  <c r="R1009" i="127"/>
  <c r="R680" i="127"/>
  <c r="R2541" i="127"/>
  <c r="R2851" i="127"/>
  <c r="R2184" i="127"/>
  <c r="R2849" i="127"/>
  <c r="R1314" i="127"/>
  <c r="R564" i="127"/>
  <c r="R1461" i="127"/>
  <c r="R1255" i="127"/>
  <c r="R1497" i="127"/>
  <c r="R1969" i="127"/>
  <c r="R1968" i="127"/>
  <c r="R2570" i="127"/>
  <c r="R2568" i="127"/>
  <c r="R2286" i="127"/>
  <c r="R2190" i="127"/>
  <c r="R1695" i="127"/>
  <c r="R1261" i="127"/>
  <c r="R1224" i="127"/>
  <c r="R1543" i="127"/>
  <c r="R1185" i="127"/>
  <c r="R1085" i="127"/>
  <c r="R1023" i="127"/>
  <c r="R913" i="127"/>
  <c r="R1544" i="127"/>
  <c r="R702" i="127"/>
  <c r="R1305" i="127"/>
  <c r="R1649" i="127"/>
  <c r="R1652" i="127"/>
  <c r="R2267" i="127"/>
  <c r="R2062" i="127"/>
  <c r="R1920" i="127"/>
  <c r="R1415" i="127"/>
  <c r="R2266" i="127"/>
  <c r="R1003" i="127"/>
  <c r="R1898" i="127"/>
  <c r="R2365" i="127"/>
  <c r="R2364" i="127"/>
  <c r="R1498" i="127"/>
  <c r="R200" i="127"/>
  <c r="R210" i="127"/>
  <c r="R252" i="127"/>
  <c r="R272" i="127"/>
  <c r="R306" i="127"/>
  <c r="R338" i="127"/>
  <c r="R354" i="127"/>
  <c r="R404" i="127"/>
  <c r="R424" i="127"/>
  <c r="R436" i="127"/>
  <c r="R456" i="127"/>
  <c r="R173" i="127"/>
  <c r="R205" i="127"/>
  <c r="R235" i="127"/>
  <c r="R263" i="127"/>
  <c r="R281" i="127"/>
  <c r="R307" i="127"/>
  <c r="R321" i="127"/>
  <c r="R333" i="127"/>
  <c r="R353" i="127"/>
  <c r="R361" i="127"/>
  <c r="R375" i="127"/>
  <c r="R409" i="127"/>
  <c r="R417" i="127"/>
  <c r="R437" i="127"/>
  <c r="R449" i="127"/>
  <c r="R461" i="127"/>
  <c r="R475" i="127"/>
  <c r="R483" i="127"/>
  <c r="R507" i="127"/>
  <c r="R533" i="127"/>
  <c r="R551" i="127"/>
  <c r="R577" i="127"/>
  <c r="R601" i="127"/>
  <c r="R609" i="127"/>
  <c r="R647" i="127"/>
  <c r="R659" i="127"/>
  <c r="R673" i="127"/>
  <c r="R681" i="127"/>
  <c r="R695" i="127"/>
  <c r="R705" i="127"/>
  <c r="R713" i="127"/>
  <c r="R721" i="127"/>
  <c r="R729" i="127"/>
  <c r="R759" i="127"/>
  <c r="R786" i="127"/>
  <c r="R802" i="127"/>
  <c r="R838" i="127"/>
  <c r="R850" i="127"/>
  <c r="R862" i="127"/>
  <c r="R872" i="127"/>
  <c r="R910" i="127"/>
  <c r="R950" i="127"/>
  <c r="R958" i="127"/>
  <c r="R984" i="127"/>
  <c r="R994" i="127"/>
  <c r="R1022" i="127"/>
  <c r="R1050" i="127"/>
  <c r="R1082" i="127"/>
  <c r="R472" i="127"/>
  <c r="R484" i="127"/>
  <c r="R522" i="127"/>
  <c r="R538" i="127"/>
  <c r="R604" i="127"/>
  <c r="R1196" i="127"/>
  <c r="R1254" i="127"/>
  <c r="R2473" i="127"/>
  <c r="R995" i="127"/>
  <c r="R728" i="127"/>
  <c r="R1523" i="127"/>
  <c r="R1522" i="127"/>
  <c r="R1081" i="127"/>
  <c r="R2912" i="127"/>
  <c r="R2555" i="127"/>
  <c r="R1993" i="127"/>
  <c r="R2378" i="127"/>
  <c r="R1861" i="127"/>
  <c r="R1348" i="127"/>
  <c r="R1101" i="127"/>
  <c r="R2765" i="127"/>
  <c r="R1631" i="127"/>
  <c r="R833" i="127"/>
  <c r="R1484" i="127"/>
  <c r="R929" i="127"/>
  <c r="R590" i="127"/>
  <c r="R1019" i="127"/>
  <c r="R2764" i="127"/>
  <c r="R1200" i="127"/>
  <c r="R1444" i="127"/>
  <c r="R1243" i="127"/>
  <c r="R955" i="127"/>
  <c r="R885" i="127"/>
  <c r="R2578" i="127"/>
  <c r="R1908" i="127"/>
  <c r="R1910" i="127"/>
  <c r="R1429" i="127"/>
  <c r="R638" i="127"/>
  <c r="R1409" i="127"/>
  <c r="R1361" i="127"/>
  <c r="R961" i="127"/>
  <c r="R2482" i="127"/>
  <c r="R2163" i="127"/>
  <c r="R1613" i="127"/>
  <c r="R2483" i="127"/>
  <c r="R839" i="127"/>
  <c r="R1172" i="127"/>
  <c r="R2113" i="127"/>
  <c r="R1690" i="127"/>
  <c r="R2434" i="127"/>
  <c r="R1350" i="127"/>
  <c r="R1256" i="127"/>
  <c r="R1584" i="127"/>
  <c r="R2433" i="127"/>
  <c r="R764" i="127"/>
  <c r="R1273" i="127"/>
  <c r="R869" i="127"/>
  <c r="R1729" i="127"/>
  <c r="R3029" i="127"/>
  <c r="R2845" i="127"/>
  <c r="R1270" i="127"/>
  <c r="R1355" i="127"/>
  <c r="R2456" i="127"/>
  <c r="R2454" i="127"/>
  <c r="R1880" i="127"/>
  <c r="R2332" i="127"/>
  <c r="R2030" i="127"/>
  <c r="R740" i="127"/>
  <c r="R1492" i="127"/>
  <c r="R1087" i="127"/>
  <c r="R951" i="127"/>
  <c r="R1719" i="127"/>
  <c r="R2079" i="127"/>
  <c r="R2027" i="127"/>
  <c r="R2025" i="127"/>
  <c r="R1873" i="127"/>
  <c r="R1358" i="127"/>
  <c r="R1302" i="127"/>
  <c r="R1055" i="127"/>
  <c r="R2618" i="127"/>
  <c r="R2384" i="127"/>
  <c r="R1416" i="127"/>
  <c r="R1928" i="127"/>
  <c r="R2619" i="127"/>
  <c r="R1747" i="127"/>
  <c r="R1745" i="127"/>
  <c r="R3141" i="127"/>
  <c r="R2316" i="127"/>
  <c r="R2711" i="127"/>
  <c r="R2557" i="127"/>
  <c r="R2268" i="127"/>
  <c r="R2729" i="127"/>
  <c r="R1617" i="127"/>
  <c r="R1813" i="127"/>
  <c r="R1811" i="127"/>
  <c r="R1093" i="127"/>
  <c r="R1286" i="127"/>
  <c r="R1658" i="127"/>
  <c r="R1656" i="127"/>
  <c r="R760" i="127"/>
  <c r="R698" i="127"/>
  <c r="R2824" i="127"/>
  <c r="R1941" i="127"/>
  <c r="R2407" i="127"/>
  <c r="R1756" i="127"/>
  <c r="R1137" i="127"/>
  <c r="R1079" i="127"/>
  <c r="R1581" i="127"/>
  <c r="R1583" i="127"/>
  <c r="R1236" i="127"/>
  <c r="R1452" i="127"/>
  <c r="R1451" i="127"/>
  <c r="R608" i="127"/>
  <c r="R3094" i="127"/>
  <c r="R3035" i="127"/>
  <c r="R2712" i="127"/>
  <c r="R2827" i="127"/>
  <c r="R2610" i="127"/>
  <c r="R2049" i="127"/>
  <c r="R1408" i="127"/>
  <c r="R923" i="127"/>
  <c r="R1407" i="127"/>
  <c r="R1327" i="127"/>
  <c r="R943" i="127"/>
  <c r="R2804" i="127"/>
  <c r="R1819" i="127"/>
  <c r="R2802" i="127"/>
  <c r="R2358" i="127"/>
  <c r="R845" i="127"/>
  <c r="R2651" i="127"/>
  <c r="R2674" i="127"/>
  <c r="R2997" i="127"/>
  <c r="R1826" i="127"/>
  <c r="R2080" i="127"/>
  <c r="R1567" i="127"/>
  <c r="R2158" i="127"/>
  <c r="R96" i="127"/>
  <c r="R236" i="127"/>
  <c r="R300" i="127"/>
  <c r="R318" i="127"/>
  <c r="R332" i="127"/>
  <c r="R344" i="127"/>
  <c r="R358" i="127"/>
  <c r="R406" i="127"/>
  <c r="R418" i="127"/>
  <c r="R458" i="127"/>
  <c r="R113" i="127"/>
  <c r="R199" i="127"/>
  <c r="R245" i="127"/>
  <c r="R301" i="127"/>
  <c r="R309" i="127"/>
  <c r="R325" i="127"/>
  <c r="R335" i="127"/>
  <c r="R377" i="127"/>
  <c r="R411" i="127"/>
  <c r="R419" i="127"/>
  <c r="R431" i="127"/>
  <c r="R443" i="127"/>
  <c r="R451" i="127"/>
  <c r="R485" i="127"/>
  <c r="R509" i="127"/>
  <c r="R519" i="127"/>
  <c r="R535" i="127"/>
  <c r="R553" i="127"/>
  <c r="R579" i="127"/>
  <c r="R591" i="127"/>
  <c r="R611" i="127"/>
  <c r="R637" i="127"/>
  <c r="R649" i="127"/>
  <c r="R675" i="127"/>
  <c r="R683" i="127"/>
  <c r="R697" i="127"/>
  <c r="R707" i="127"/>
  <c r="R715" i="127"/>
  <c r="R723" i="127"/>
  <c r="R735" i="127"/>
  <c r="R745" i="127"/>
  <c r="R753" i="127"/>
  <c r="R771" i="127"/>
  <c r="R788" i="127"/>
  <c r="R816" i="127"/>
  <c r="R852" i="127"/>
  <c r="R904" i="127"/>
  <c r="R912" i="127"/>
  <c r="R924" i="127"/>
  <c r="R942" i="127"/>
  <c r="R952" i="127"/>
  <c r="R960" i="127"/>
  <c r="R968" i="127"/>
  <c r="R978" i="127"/>
  <c r="R998" i="127"/>
  <c r="R1034" i="127"/>
  <c r="R1044" i="127"/>
  <c r="R1066" i="127"/>
  <c r="R1074" i="127"/>
  <c r="R1102" i="127"/>
  <c r="R1130" i="127"/>
  <c r="R1148" i="127"/>
  <c r="R1166" i="127"/>
  <c r="R494" i="127"/>
  <c r="R544" i="127"/>
  <c r="R1184" i="127"/>
  <c r="R1202" i="127"/>
  <c r="R1232" i="127"/>
  <c r="R1262" i="127"/>
  <c r="R993" i="127"/>
  <c r="R1110" i="127"/>
  <c r="R734" i="127"/>
  <c r="R1274" i="127"/>
  <c r="R2542" i="127"/>
  <c r="R1065" i="127"/>
  <c r="R2727" i="127"/>
  <c r="R662" i="127"/>
  <c r="R1524" i="127"/>
  <c r="R1627" i="127"/>
  <c r="R1402" i="127"/>
  <c r="R2443" i="127"/>
  <c r="R2444" i="127"/>
  <c r="R2299" i="127"/>
  <c r="R658" i="127"/>
  <c r="R911" i="127"/>
  <c r="R1248" i="127"/>
  <c r="R949" i="127"/>
  <c r="R1035" i="127"/>
  <c r="R979" i="127"/>
  <c r="R2829" i="127"/>
  <c r="R2380" i="127"/>
  <c r="R2059" i="127"/>
  <c r="R1879" i="127"/>
  <c r="R1316" i="127"/>
  <c r="R716" i="127"/>
  <c r="R1825" i="127"/>
  <c r="R1589" i="127"/>
  <c r="R1587" i="127"/>
  <c r="R1395" i="127"/>
  <c r="R981" i="127"/>
  <c r="R1924" i="127"/>
  <c r="R1922" i="127"/>
  <c r="R1637" i="127"/>
  <c r="R1854" i="127"/>
  <c r="R2753" i="127"/>
  <c r="R1500" i="127"/>
  <c r="R1463" i="127"/>
  <c r="R1414" i="127"/>
  <c r="R1334" i="127"/>
  <c r="R1413" i="127"/>
  <c r="R881" i="127"/>
  <c r="R2492" i="127"/>
  <c r="R1696" i="127"/>
  <c r="R2214" i="127"/>
  <c r="R2494" i="127"/>
  <c r="R1225" i="127"/>
  <c r="R2784" i="127"/>
  <c r="R2416" i="127"/>
  <c r="R2241" i="127"/>
  <c r="R2415" i="127"/>
  <c r="R1694" i="127"/>
  <c r="R2337" i="127"/>
  <c r="R2567" i="127"/>
  <c r="R2783" i="127"/>
  <c r="R1222" i="127"/>
  <c r="R3045" i="127"/>
  <c r="R3118" i="127"/>
  <c r="R1865" i="127"/>
  <c r="R1398" i="127"/>
  <c r="R1948" i="127"/>
  <c r="R2399" i="127"/>
  <c r="R1209" i="127"/>
  <c r="R1550" i="127"/>
  <c r="R1319" i="127"/>
  <c r="R2786" i="127"/>
  <c r="R2172" i="127"/>
  <c r="R2256" i="127"/>
  <c r="R2788" i="127"/>
  <c r="R1667" i="127"/>
  <c r="R1727" i="127"/>
  <c r="R2532" i="127"/>
  <c r="R2873" i="127"/>
  <c r="R2346" i="127"/>
  <c r="R1869" i="127"/>
  <c r="R2040" i="127"/>
  <c r="R1661" i="127"/>
  <c r="R2124" i="127"/>
  <c r="R2441" i="127"/>
  <c r="R2875" i="127"/>
  <c r="R1049" i="127"/>
  <c r="R1644" i="127"/>
  <c r="R1604" i="127"/>
  <c r="R2971" i="127"/>
  <c r="R1599" i="127"/>
  <c r="R3004" i="127"/>
  <c r="R2133" i="127"/>
  <c r="R2558" i="127"/>
  <c r="R2419" i="127"/>
  <c r="R2842" i="127"/>
  <c r="R2756" i="127"/>
  <c r="R2403" i="127"/>
  <c r="R1901" i="127"/>
  <c r="R1985" i="127"/>
  <c r="R2078" i="127"/>
  <c r="R2500" i="127"/>
  <c r="R2799" i="127"/>
  <c r="R1401" i="127"/>
  <c r="R2878" i="127"/>
  <c r="R1555" i="127"/>
  <c r="R2451" i="127"/>
  <c r="R2880" i="127"/>
  <c r="R2832" i="127"/>
  <c r="R2043" i="127"/>
  <c r="R1955" i="127"/>
  <c r="R1956" i="127"/>
  <c r="R3018" i="127"/>
  <c r="R2405" i="127"/>
  <c r="R1990" i="127"/>
  <c r="R2821" i="127"/>
  <c r="R2538" i="127"/>
  <c r="R3021" i="127"/>
  <c r="R2660" i="127"/>
  <c r="R3101" i="127"/>
  <c r="R2400" i="127"/>
  <c r="R1978" i="127"/>
  <c r="R1780" i="127"/>
  <c r="R3099" i="127"/>
  <c r="R1779" i="127"/>
  <c r="R2037" i="127"/>
  <c r="R2038" i="127"/>
  <c r="R1998" i="127"/>
  <c r="R1886" i="127"/>
  <c r="R2115" i="127"/>
  <c r="R1485" i="127"/>
  <c r="R2409" i="127"/>
  <c r="R2833" i="127"/>
  <c r="R2726" i="127"/>
  <c r="R2360" i="127"/>
  <c r="R1874" i="127"/>
  <c r="R2676" i="127"/>
  <c r="R1958" i="127"/>
  <c r="R2945" i="127"/>
  <c r="R2410" i="127"/>
  <c r="R2005" i="127"/>
  <c r="R2003" i="127"/>
  <c r="R2164" i="127"/>
  <c r="R2949" i="127"/>
  <c r="R2544" i="127"/>
  <c r="R2114" i="127"/>
  <c r="R2518" i="127"/>
  <c r="R2516" i="127"/>
  <c r="R3131" i="127"/>
  <c r="R2620" i="127"/>
  <c r="R2257" i="127"/>
  <c r="R1700" i="127"/>
  <c r="R2762" i="127"/>
  <c r="R2740" i="127"/>
  <c r="R1907" i="127"/>
  <c r="R2393" i="127"/>
  <c r="R2947" i="127"/>
  <c r="R2854" i="127"/>
  <c r="R2431" i="127"/>
  <c r="R2263" i="127"/>
  <c r="R2585" i="127"/>
  <c r="R2226" i="127"/>
  <c r="R3079" i="127"/>
  <c r="R2595" i="127"/>
  <c r="R1877" i="127"/>
  <c r="R2469" i="127"/>
  <c r="R3061" i="127"/>
  <c r="R2795" i="127"/>
  <c r="R2509" i="127"/>
  <c r="R3058" i="127"/>
  <c r="R2781" i="127"/>
  <c r="R2668" i="127"/>
  <c r="R3110" i="127"/>
  <c r="R2622" i="127"/>
  <c r="R1866" i="127"/>
  <c r="R2623" i="127"/>
  <c r="R2735" i="127"/>
  <c r="R2700" i="127"/>
  <c r="R2582" i="127"/>
  <c r="R2225" i="127"/>
  <c r="R3032" i="127"/>
  <c r="R2342" i="127"/>
  <c r="R3156" i="127"/>
  <c r="R2549" i="127"/>
  <c r="R2249" i="127"/>
  <c r="R2351" i="127"/>
  <c r="R3065" i="127"/>
  <c r="R2504" i="127"/>
  <c r="R2885" i="127"/>
  <c r="R1235" i="127"/>
  <c r="R2529" i="127"/>
  <c r="R2990" i="127"/>
  <c r="R2583" i="127"/>
  <c r="R3138" i="127"/>
  <c r="R2663" i="127"/>
  <c r="R2902" i="127"/>
  <c r="R2899" i="127"/>
  <c r="R2520" i="127"/>
  <c r="R2792" i="127"/>
  <c r="R2790" i="127"/>
  <c r="R2369" i="127"/>
  <c r="R2791" i="127"/>
  <c r="R3125" i="127"/>
  <c r="R2675" i="127"/>
  <c r="R2751" i="127"/>
  <c r="R2960" i="127"/>
  <c r="R2843" i="127"/>
  <c r="R2375" i="127"/>
  <c r="R2357" i="127"/>
  <c r="R2201" i="127"/>
  <c r="R1388" i="127"/>
  <c r="R1241" i="127"/>
  <c r="R1937" i="127"/>
  <c r="R1870" i="127"/>
  <c r="R1553" i="127"/>
  <c r="R1988" i="127"/>
  <c r="R1986" i="127"/>
  <c r="R1211" i="127"/>
  <c r="R1193" i="127"/>
  <c r="R1468" i="127"/>
  <c r="R829" i="127"/>
  <c r="R1595" i="127"/>
  <c r="R1646" i="127"/>
  <c r="R1097" i="127"/>
  <c r="R660" i="127"/>
  <c r="R941" i="127"/>
  <c r="R576" i="127"/>
  <c r="R1858" i="127"/>
  <c r="R2340" i="127"/>
  <c r="R2389" i="127"/>
  <c r="R1197" i="127"/>
  <c r="R2466" i="127"/>
  <c r="R1428" i="127"/>
  <c r="R2042" i="127"/>
  <c r="R2467" i="127"/>
  <c r="R959" i="127"/>
  <c r="R1015" i="127"/>
  <c r="R1326" i="127"/>
  <c r="R648" i="127"/>
  <c r="R2009" i="127"/>
  <c r="R2012" i="127"/>
  <c r="R2011" i="127"/>
  <c r="R1517" i="127"/>
  <c r="R1139" i="127"/>
  <c r="R1099" i="127"/>
  <c r="R1525" i="127"/>
  <c r="R1797" i="127"/>
  <c r="R712" i="127"/>
  <c r="R1330" i="127"/>
  <c r="R1713" i="127"/>
  <c r="R1798" i="127"/>
  <c r="R1557" i="127"/>
  <c r="R708" i="127"/>
  <c r="R1487" i="127"/>
  <c r="R714" i="127"/>
  <c r="R1491" i="127"/>
  <c r="R1490" i="127"/>
  <c r="R1545" i="127"/>
  <c r="R1579" i="127"/>
  <c r="R1577" i="127"/>
  <c r="R1364" i="127"/>
  <c r="R1882" i="127"/>
  <c r="R819" i="127"/>
  <c r="R1171" i="127"/>
  <c r="R1206" i="127"/>
  <c r="R2160" i="127"/>
  <c r="R1991" i="127"/>
  <c r="R2222" i="127"/>
  <c r="R2223" i="127"/>
  <c r="R1896" i="127"/>
  <c r="R1471" i="127"/>
  <c r="R1356" i="127"/>
  <c r="R975" i="127"/>
  <c r="R2669" i="127"/>
  <c r="R2028" i="127"/>
  <c r="R1847" i="127"/>
  <c r="R2328" i="127"/>
  <c r="R1680" i="127"/>
  <c r="R1183" i="127"/>
  <c r="R1278" i="127"/>
  <c r="R1829" i="127"/>
  <c r="R2240" i="127"/>
  <c r="R1495" i="127"/>
  <c r="R2187" i="127"/>
  <c r="R1396" i="127"/>
  <c r="R1073" i="127"/>
  <c r="R1284" i="127"/>
  <c r="R2169" i="127"/>
  <c r="R2168" i="127"/>
  <c r="R1795" i="127"/>
  <c r="R2066" i="127"/>
  <c r="R2064" i="127"/>
  <c r="R1738" i="127"/>
  <c r="R1223" i="127"/>
  <c r="R1833" i="127"/>
  <c r="R1831" i="127"/>
  <c r="R1834" i="127"/>
  <c r="R1369" i="127"/>
  <c r="R1724" i="127"/>
  <c r="R2035" i="127"/>
  <c r="R2033" i="127"/>
  <c r="R2706" i="127"/>
  <c r="R2336" i="127"/>
  <c r="R1775" i="127"/>
  <c r="R2021" i="127"/>
  <c r="R1598" i="127"/>
  <c r="R1221" i="127"/>
  <c r="R2760" i="127"/>
  <c r="R1426" i="127"/>
  <c r="R2154" i="127"/>
  <c r="R1938" i="127"/>
  <c r="R2152" i="127"/>
  <c r="R2008" i="127"/>
  <c r="R2089" i="127"/>
  <c r="R2088" i="127"/>
  <c r="R1572" i="127"/>
  <c r="R2608" i="127"/>
  <c r="R3080" i="127"/>
  <c r="R2261" i="127"/>
  <c r="R1575" i="127"/>
  <c r="R3054" i="127"/>
  <c r="R2301" i="127"/>
  <c r="R2203" i="127"/>
  <c r="R2664" i="127"/>
  <c r="R1668" i="127"/>
  <c r="R2593" i="127"/>
  <c r="R2768" i="127"/>
  <c r="R1888" i="127"/>
  <c r="R2371" i="127"/>
  <c r="R1783" i="127"/>
  <c r="R1781" i="127"/>
  <c r="R1749" i="127"/>
  <c r="R1784" i="127"/>
  <c r="R3087" i="127"/>
  <c r="R3089" i="127"/>
  <c r="R2039" i="127"/>
  <c r="R2533" i="127"/>
  <c r="R2497" i="127"/>
  <c r="R2863" i="127"/>
  <c r="R2121" i="127"/>
  <c r="R2862" i="127"/>
  <c r="R2621" i="127"/>
  <c r="R2685" i="127"/>
  <c r="R3037" i="127"/>
  <c r="R3002" i="127"/>
  <c r="R3082" i="127"/>
  <c r="R1509" i="127"/>
  <c r="R1507" i="127"/>
  <c r="R1335" i="127"/>
  <c r="R1289" i="127"/>
  <c r="R1905" i="127"/>
  <c r="R2406" i="127"/>
  <c r="R2761" i="127"/>
  <c r="R1973" i="127"/>
  <c r="R1974" i="127"/>
  <c r="R2780" i="127"/>
  <c r="R2889" i="127"/>
  <c r="R2423" i="127"/>
  <c r="R2551" i="127"/>
  <c r="R3064" i="127"/>
  <c r="R2607" i="127"/>
  <c r="R3015" i="127"/>
  <c r="R2625" i="127"/>
  <c r="R3111" i="127"/>
  <c r="R2643" i="127"/>
  <c r="R2422" i="127"/>
  <c r="R3034" i="127"/>
  <c r="R2941" i="127"/>
  <c r="R3078" i="127"/>
  <c r="R3076" i="127"/>
  <c r="R2642" i="127"/>
  <c r="R2314" i="127"/>
  <c r="R2794" i="127"/>
  <c r="R3157" i="127"/>
  <c r="R2932" i="127"/>
  <c r="R3014" i="127"/>
  <c r="R3158" i="127"/>
  <c r="R2839" i="127"/>
  <c r="R2755" i="127"/>
  <c r="R2986" i="127"/>
  <c r="R2708" i="127"/>
  <c r="R2022" i="127"/>
  <c r="R2733" i="127"/>
  <c r="R2950" i="127"/>
  <c r="R2486" i="127"/>
  <c r="R2120" i="127"/>
  <c r="R1765" i="127"/>
  <c r="R1763" i="127"/>
  <c r="R1995" i="127"/>
  <c r="R2361" i="127"/>
  <c r="R2732" i="127"/>
  <c r="R2511" i="127"/>
  <c r="R2921" i="127"/>
  <c r="R2398" i="127"/>
  <c r="R2194" i="127"/>
  <c r="R3025" i="127"/>
  <c r="R2523" i="127"/>
  <c r="R3113" i="127"/>
  <c r="R2703" i="127"/>
  <c r="R2820" i="127"/>
  <c r="R3052" i="127"/>
  <c r="R2574" i="127"/>
  <c r="R2877" i="127"/>
  <c r="R2526" i="127"/>
  <c r="R2631" i="127"/>
  <c r="R2725" i="127"/>
  <c r="R2672" i="127"/>
  <c r="R3112" i="127"/>
  <c r="R2809" i="127"/>
  <c r="R2763" i="127"/>
  <c r="R2948" i="127"/>
  <c r="R2479" i="127"/>
  <c r="R2682" i="127"/>
  <c r="R3117" i="127"/>
  <c r="R3123" i="127"/>
  <c r="R3121" i="127"/>
  <c r="R2937" i="127"/>
  <c r="R2148" i="127"/>
  <c r="R1903" i="127"/>
  <c r="R2149" i="127"/>
  <c r="R1295" i="127"/>
  <c r="R1705" i="127"/>
  <c r="R1554" i="127"/>
  <c r="R973" i="127"/>
  <c r="R1377" i="127"/>
  <c r="R3031" i="127"/>
  <c r="R2462" i="127"/>
  <c r="R1906" i="127"/>
  <c r="R2250" i="127"/>
  <c r="R921" i="127"/>
  <c r="R1596" i="127"/>
  <c r="R624" i="127"/>
  <c r="R1516" i="127"/>
  <c r="R1304" i="127"/>
  <c r="R1717" i="127"/>
  <c r="R1715" i="127"/>
  <c r="R1362" i="127"/>
  <c r="R969" i="127"/>
  <c r="R1961" i="127"/>
  <c r="R1959" i="127"/>
  <c r="R1541" i="127"/>
  <c r="R1570" i="127"/>
  <c r="R1760" i="127"/>
  <c r="R1486" i="127"/>
  <c r="R2834" i="127"/>
  <c r="R2543" i="127"/>
  <c r="R1916" i="127"/>
  <c r="R2633" i="127"/>
  <c r="R1280" i="127"/>
  <c r="R1634" i="127"/>
  <c r="R2165" i="127"/>
  <c r="R2382" i="127"/>
  <c r="R1147" i="127"/>
  <c r="R963" i="127"/>
  <c r="R1439" i="127"/>
  <c r="R1450" i="127"/>
  <c r="R1301" i="127"/>
  <c r="R1300" i="127"/>
  <c r="R927" i="127"/>
  <c r="R2754" i="127"/>
  <c r="R2531" i="127"/>
  <c r="R2969" i="127"/>
  <c r="R1091" i="127"/>
  <c r="R2213" i="127"/>
  <c r="R2191" i="127"/>
  <c r="R2211" i="127"/>
  <c r="R1191" i="127"/>
  <c r="R1725" i="127"/>
  <c r="R2430" i="127"/>
  <c r="R2828" i="127"/>
  <c r="R2053" i="127"/>
  <c r="R1571" i="127"/>
  <c r="R2156" i="127"/>
  <c r="R2429" i="127"/>
  <c r="R859" i="127"/>
  <c r="R2917" i="127"/>
  <c r="R2116" i="127"/>
  <c r="R2915" i="127"/>
  <c r="R2477" i="127"/>
  <c r="R1632" i="127"/>
  <c r="R1187" i="127"/>
  <c r="R2428" i="127"/>
  <c r="R1313" i="127"/>
  <c r="R2387" i="127"/>
  <c r="R1389" i="127"/>
  <c r="R2952" i="127"/>
  <c r="R2385" i="127"/>
  <c r="R1638" i="127"/>
  <c r="R2489" i="127"/>
  <c r="R1773" i="127"/>
  <c r="R2425" i="127"/>
  <c r="R2470" i="127"/>
  <c r="R983" i="127"/>
  <c r="R2490" i="127"/>
  <c r="R1115" i="127"/>
  <c r="R1496" i="127"/>
  <c r="R652" i="127"/>
  <c r="R1215" i="127"/>
  <c r="R2890" i="127"/>
  <c r="R1997" i="127"/>
  <c r="R1494" i="127"/>
  <c r="R1146" i="127"/>
  <c r="R1883" i="127"/>
  <c r="R2367" i="127"/>
  <c r="R2368" i="127"/>
  <c r="R1381" i="127"/>
  <c r="R2808" i="127"/>
  <c r="R3093" i="127"/>
  <c r="R2408" i="127"/>
  <c r="R2881" i="127"/>
  <c r="R1943" i="127"/>
  <c r="R2046" i="127"/>
  <c r="R1558" i="127"/>
  <c r="R1435" i="127"/>
  <c r="S368" i="127"/>
  <c r="AK96" i="123" s="1"/>
  <c r="R98" i="127"/>
  <c r="R204" i="127"/>
  <c r="R238" i="127"/>
  <c r="R262" i="127"/>
  <c r="R302" i="127"/>
  <c r="R310" i="127"/>
  <c r="R320" i="127"/>
  <c r="R334" i="127"/>
  <c r="R346" i="127"/>
  <c r="R362" i="127"/>
  <c r="R376" i="127"/>
  <c r="R394" i="127"/>
  <c r="R408" i="127"/>
  <c r="R420" i="127"/>
  <c r="R432" i="127"/>
  <c r="R446" i="127"/>
  <c r="R460" i="127"/>
  <c r="R271" i="127"/>
  <c r="R291" i="127"/>
  <c r="R303" i="127"/>
  <c r="R311" i="127"/>
  <c r="R327" i="127"/>
  <c r="R343" i="127"/>
  <c r="R357" i="127"/>
  <c r="R365" i="127"/>
  <c r="R387" i="127"/>
  <c r="R405" i="127"/>
  <c r="R421" i="127"/>
  <c r="R433" i="127"/>
  <c r="R445" i="127"/>
  <c r="R455" i="127"/>
  <c r="R513" i="127"/>
  <c r="R537" i="127"/>
  <c r="R567" i="127"/>
  <c r="R581" i="127"/>
  <c r="R597" i="127"/>
  <c r="R605" i="127"/>
  <c r="R613" i="127"/>
  <c r="R629" i="127"/>
  <c r="R639" i="127"/>
  <c r="R651" i="127"/>
  <c r="R669" i="127"/>
  <c r="R677" i="127"/>
  <c r="R701" i="127"/>
  <c r="R709" i="127"/>
  <c r="R737" i="127"/>
  <c r="R747" i="127"/>
  <c r="R755" i="127"/>
  <c r="R773" i="127"/>
  <c r="R790" i="127"/>
  <c r="R818" i="127"/>
  <c r="R834" i="127"/>
  <c r="R846" i="127"/>
  <c r="R858" i="127"/>
  <c r="R868" i="127"/>
  <c r="R894" i="127"/>
  <c r="R906" i="127"/>
  <c r="R914" i="127"/>
  <c r="R926" i="127"/>
  <c r="R936" i="127"/>
  <c r="R944" i="127"/>
  <c r="R970" i="127"/>
  <c r="R990" i="127"/>
  <c r="R1000" i="127"/>
  <c r="R1008" i="127"/>
  <c r="R1018" i="127"/>
  <c r="R1026" i="127"/>
  <c r="R1036" i="127"/>
  <c r="R1046" i="127"/>
  <c r="R1056" i="127"/>
  <c r="R1068" i="127"/>
  <c r="R1078" i="127"/>
  <c r="R1086" i="127"/>
  <c r="R1094" i="127"/>
  <c r="R1104" i="127"/>
  <c r="R1116" i="127"/>
  <c r="R1140" i="127"/>
  <c r="R480" i="127"/>
  <c r="R496" i="127"/>
  <c r="R514" i="127"/>
  <c r="R546" i="127"/>
  <c r="R574" i="127"/>
  <c r="R596" i="127"/>
  <c r="R612" i="127"/>
  <c r="R1186" i="127"/>
  <c r="R1204" i="127"/>
  <c r="R1234" i="127"/>
  <c r="S1191" i="127"/>
  <c r="S4149" i="127"/>
  <c r="T4149" i="127" s="1"/>
  <c r="T4125" i="127"/>
  <c r="S3275" i="127"/>
  <c r="AK380" i="123" s="1"/>
  <c r="S4355" i="127"/>
  <c r="T4355" i="127" s="1"/>
  <c r="S1245" i="127"/>
  <c r="T1245" i="127" s="1"/>
  <c r="S359" i="127"/>
  <c r="T4390" i="127"/>
  <c r="T3445" i="127"/>
  <c r="S3740" i="127"/>
  <c r="T3740" i="127" s="1"/>
  <c r="T4405" i="127"/>
  <c r="T3886" i="127"/>
  <c r="S2340" i="127"/>
  <c r="T2340" i="127" s="1"/>
  <c r="T4144" i="127"/>
  <c r="S1734" i="127"/>
  <c r="S4362" i="127"/>
  <c r="T4362" i="127" s="1"/>
  <c r="T4431" i="127"/>
  <c r="S4040" i="127"/>
  <c r="T4040" i="127" s="1"/>
  <c r="T4429" i="127"/>
  <c r="S3348" i="127"/>
  <c r="AK422" i="123" s="1"/>
  <c r="S2666" i="127"/>
  <c r="T2666" i="127" s="1"/>
  <c r="T3982" i="127"/>
  <c r="S3703" i="127"/>
  <c r="T3703" i="127" s="1"/>
  <c r="S3141" i="127"/>
  <c r="T4248" i="127"/>
  <c r="S2628" i="127"/>
  <c r="S3199" i="127"/>
  <c r="T3199" i="127" s="1"/>
  <c r="T4187" i="127"/>
  <c r="S4275" i="127"/>
  <c r="T4275" i="127" s="1"/>
  <c r="S2833" i="127"/>
  <c r="S3200" i="127"/>
  <c r="T3200" i="127" s="1"/>
  <c r="S2802" i="127"/>
  <c r="T2802" i="127" s="1"/>
  <c r="C3141" i="127"/>
  <c r="C3149" i="127"/>
  <c r="C3140" i="127"/>
  <c r="C3147" i="127"/>
  <c r="C3145" i="127"/>
  <c r="C3146" i="127"/>
  <c r="C3144" i="127"/>
  <c r="C3148" i="127"/>
  <c r="C3142" i="127"/>
  <c r="C3150" i="127"/>
  <c r="C3143" i="127"/>
  <c r="C3151" i="127"/>
  <c r="C3152" i="127"/>
  <c r="C1754" i="127"/>
  <c r="C3153" i="127"/>
  <c r="C3154" i="127"/>
  <c r="C3155" i="127"/>
  <c r="C3157" i="127"/>
  <c r="AN96" i="123" l="1"/>
  <c r="AN503" i="123"/>
  <c r="AN505" i="123"/>
  <c r="AQ531" i="123"/>
  <c r="AR531" i="123" s="1"/>
  <c r="AS531" i="123" s="1"/>
  <c r="AT531" i="123" s="1"/>
  <c r="AQ25" i="123"/>
  <c r="AR25" i="123" s="1"/>
  <c r="AS25" i="123" s="1"/>
  <c r="AT25" i="123"/>
  <c r="AT108" i="123"/>
  <c r="AQ108" i="123"/>
  <c r="AR108" i="123" s="1"/>
  <c r="AS108" i="123" s="1"/>
  <c r="AN380" i="123"/>
  <c r="AN491" i="123"/>
  <c r="T3238" i="127"/>
  <c r="AN504" i="123"/>
  <c r="AN515" i="123"/>
  <c r="AN525" i="123"/>
  <c r="AM521" i="123"/>
  <c r="AN521" i="123"/>
  <c r="AQ158" i="123"/>
  <c r="AR158" i="123" s="1"/>
  <c r="AS158" i="123" s="1"/>
  <c r="AT158" i="123" s="1"/>
  <c r="AQ454" i="123"/>
  <c r="AR454" i="123" s="1"/>
  <c r="AS454" i="123" s="1"/>
  <c r="AT454" i="123" s="1"/>
  <c r="AQ530" i="123"/>
  <c r="AR530" i="123" s="1"/>
  <c r="AS530" i="123" s="1"/>
  <c r="AT530" i="123" s="1"/>
  <c r="AN422" i="123"/>
  <c r="AN527" i="123"/>
  <c r="AQ516" i="123"/>
  <c r="AR516" i="123" s="1"/>
  <c r="AS516" i="123" s="1"/>
  <c r="AT516" i="123" s="1"/>
  <c r="AU454" i="123"/>
  <c r="AU530" i="123"/>
  <c r="AQ532" i="123"/>
  <c r="AR532" i="123" s="1"/>
  <c r="AS532" i="123" s="1"/>
  <c r="AT532" i="123" s="1"/>
  <c r="AQ484" i="123"/>
  <c r="AR484" i="123" s="1"/>
  <c r="AS484" i="123" s="1"/>
  <c r="AT484" i="123" s="1"/>
  <c r="AN501" i="123"/>
  <c r="AN513" i="123"/>
  <c r="AN517" i="123"/>
  <c r="AU531" i="123"/>
  <c r="AU25" i="123"/>
  <c r="AQ27" i="123"/>
  <c r="AR27" i="123" s="1"/>
  <c r="AS27" i="123" s="1"/>
  <c r="AT27" i="123"/>
  <c r="AU108" i="123"/>
  <c r="AQ93" i="123"/>
  <c r="AR93" i="123" s="1"/>
  <c r="AS93" i="123" s="1"/>
  <c r="AT93" i="123"/>
  <c r="S4418" i="127"/>
  <c r="T4418" i="127" s="1"/>
  <c r="S4457" i="127"/>
  <c r="T4457" i="127" s="1"/>
  <c r="S4215" i="127"/>
  <c r="T4215" i="127" s="1"/>
  <c r="S4456" i="127"/>
  <c r="T4456" i="127" s="1"/>
  <c r="S4408" i="127"/>
  <c r="T4408" i="127" s="1"/>
  <c r="T4444" i="127"/>
  <c r="S4428" i="127"/>
  <c r="S4449" i="127"/>
  <c r="T4449" i="127" s="1"/>
  <c r="T4298" i="127"/>
  <c r="T4442" i="127"/>
  <c r="S4204" i="127"/>
  <c r="T4204" i="127" s="1"/>
  <c r="S4443" i="127"/>
  <c r="T4443" i="127" s="1"/>
  <c r="T4409" i="127"/>
  <c r="T4439" i="127"/>
  <c r="T4434" i="127"/>
  <c r="T4433" i="127"/>
  <c r="S4376" i="127"/>
  <c r="T4376" i="127" s="1"/>
  <c r="T4411" i="127"/>
  <c r="T4412" i="127"/>
  <c r="S4416" i="127"/>
  <c r="AK524" i="123" s="1"/>
  <c r="T4315" i="127"/>
  <c r="T4410" i="127"/>
  <c r="S4293" i="127"/>
  <c r="T4293" i="127" s="1"/>
  <c r="S4417" i="127"/>
  <c r="T4417" i="127" s="1"/>
  <c r="S4061" i="127"/>
  <c r="S4398" i="127"/>
  <c r="T4398" i="127" s="1"/>
  <c r="S4153" i="127"/>
  <c r="T4153" i="127" s="1"/>
  <c r="S4401" i="127"/>
  <c r="T4401" i="127" s="1"/>
  <c r="T4267" i="127"/>
  <c r="T4391" i="127"/>
  <c r="S4403" i="127"/>
  <c r="AK520" i="123" s="1"/>
  <c r="T3981" i="127"/>
  <c r="S4377" i="127"/>
  <c r="AK514" i="123" s="1"/>
  <c r="T4272" i="127"/>
  <c r="T4369" i="127"/>
  <c r="S4056" i="127"/>
  <c r="T4056" i="127" s="1"/>
  <c r="AL470" i="123" s="1"/>
  <c r="AO470" i="123" s="1"/>
  <c r="S4360" i="127"/>
  <c r="T4360" i="127" s="1"/>
  <c r="T4361" i="127"/>
  <c r="S3966" i="127"/>
  <c r="T3966" i="127" s="1"/>
  <c r="AL507" i="123" s="1"/>
  <c r="AO507" i="123" s="1"/>
  <c r="S4352" i="127"/>
  <c r="T4352" i="127" s="1"/>
  <c r="S4350" i="127"/>
  <c r="AK523" i="123" s="1"/>
  <c r="T3668" i="127"/>
  <c r="T4367" i="127"/>
  <c r="S3965" i="127"/>
  <c r="T3965" i="127" s="1"/>
  <c r="S4353" i="127"/>
  <c r="T4353" i="127" s="1"/>
  <c r="S4155" i="127"/>
  <c r="T4155" i="127" s="1"/>
  <c r="S4351" i="127"/>
  <c r="T4351" i="127" s="1"/>
  <c r="S3963" i="127"/>
  <c r="T3963" i="127" s="1"/>
  <c r="S4354" i="127"/>
  <c r="T4354" i="127" s="1"/>
  <c r="S3885" i="127"/>
  <c r="T3885" i="127" s="1"/>
  <c r="T4363" i="127"/>
  <c r="S4357" i="127"/>
  <c r="AK519" i="123" s="1"/>
  <c r="T4114" i="127"/>
  <c r="AL525" i="123" s="1"/>
  <c r="AO525" i="123" s="1"/>
  <c r="T4336" i="127"/>
  <c r="T4337" i="127"/>
  <c r="T4340" i="127"/>
  <c r="AL503" i="123" s="1"/>
  <c r="AO503" i="123" s="1"/>
  <c r="T4343" i="127"/>
  <c r="AL513" i="123" s="1"/>
  <c r="AO513" i="123" s="1"/>
  <c r="S4101" i="127"/>
  <c r="T4101" i="127" s="1"/>
  <c r="S4328" i="127"/>
  <c r="T4328" i="127" s="1"/>
  <c r="S4323" i="127"/>
  <c r="AK518" i="123" s="1"/>
  <c r="T4329" i="127"/>
  <c r="AL527" i="123" s="1"/>
  <c r="AO527" i="123" s="1"/>
  <c r="S4322" i="127"/>
  <c r="T4322" i="127" s="1"/>
  <c r="S4333" i="127"/>
  <c r="T4333" i="127" s="1"/>
  <c r="T4334" i="127"/>
  <c r="AL515" i="123" s="1"/>
  <c r="AO515" i="123" s="1"/>
  <c r="T4324" i="127"/>
  <c r="AL517" i="123" s="1"/>
  <c r="AO517" i="123" s="1"/>
  <c r="T4327" i="127"/>
  <c r="S4256" i="127"/>
  <c r="T4256" i="127" s="1"/>
  <c r="S4318" i="127"/>
  <c r="T4318" i="127" s="1"/>
  <c r="S4234" i="127"/>
  <c r="S4321" i="127"/>
  <c r="T4321" i="127" s="1"/>
  <c r="T3826" i="127"/>
  <c r="T4314" i="127"/>
  <c r="S3920" i="127"/>
  <c r="S4313" i="127"/>
  <c r="T4313" i="127" s="1"/>
  <c r="T4132" i="127"/>
  <c r="T4307" i="127"/>
  <c r="T4308" i="127"/>
  <c r="S3922" i="127"/>
  <c r="S4299" i="127"/>
  <c r="T4299" i="127" s="1"/>
  <c r="S3882" i="127"/>
  <c r="T3882" i="127" s="1"/>
  <c r="S4280" i="127"/>
  <c r="T4280" i="127" s="1"/>
  <c r="S4270" i="127"/>
  <c r="T4270" i="127" s="1"/>
  <c r="S4262" i="127"/>
  <c r="T4258" i="127"/>
  <c r="S4257" i="127"/>
  <c r="T4232" i="127"/>
  <c r="T4252" i="127"/>
  <c r="S2869" i="127"/>
  <c r="AK394" i="123" s="1"/>
  <c r="S4255" i="127"/>
  <c r="T4255" i="127" s="1"/>
  <c r="T4251" i="127"/>
  <c r="T4259" i="127"/>
  <c r="T4241" i="127"/>
  <c r="S4240" i="127"/>
  <c r="S4230" i="127"/>
  <c r="AK511" i="123" s="1"/>
  <c r="T4098" i="127"/>
  <c r="T4235" i="127"/>
  <c r="T4228" i="127"/>
  <c r="AL504" i="123" s="1"/>
  <c r="AO504" i="123" s="1"/>
  <c r="T4099" i="127"/>
  <c r="T4237" i="127"/>
  <c r="S4086" i="127"/>
  <c r="T4086" i="127" s="1"/>
  <c r="S4218" i="127"/>
  <c r="T4218" i="127" s="1"/>
  <c r="T4108" i="127"/>
  <c r="T4205" i="127"/>
  <c r="T3792" i="127"/>
  <c r="T4194" i="127"/>
  <c r="T4195" i="127"/>
  <c r="S4052" i="127"/>
  <c r="T4052" i="127" s="1"/>
  <c r="T4200" i="127"/>
  <c r="T4186" i="127"/>
  <c r="T4199" i="127"/>
  <c r="S4102" i="127"/>
  <c r="T4102" i="127" s="1"/>
  <c r="T4198" i="127"/>
  <c r="T4190" i="127"/>
  <c r="S4189" i="127"/>
  <c r="T4189" i="127" s="1"/>
  <c r="S4109" i="127"/>
  <c r="T4109" i="127" s="1"/>
  <c r="T4175" i="127"/>
  <c r="S4171" i="127"/>
  <c r="AK490" i="123" s="1"/>
  <c r="T4135" i="127"/>
  <c r="T4173" i="127"/>
  <c r="T4148" i="127"/>
  <c r="T4178" i="127"/>
  <c r="T4177" i="127"/>
  <c r="T4185" i="127"/>
  <c r="AL505" i="123" s="1"/>
  <c r="AO505" i="123" s="1"/>
  <c r="S4118" i="127"/>
  <c r="AK498" i="123" s="1"/>
  <c r="S3678" i="127"/>
  <c r="T3678" i="127" s="1"/>
  <c r="S4165" i="127"/>
  <c r="T4165" i="127" s="1"/>
  <c r="T4159" i="127"/>
  <c r="S831" i="127"/>
  <c r="T4147" i="127"/>
  <c r="S3840" i="127"/>
  <c r="S4160" i="127"/>
  <c r="T4160" i="127" s="1"/>
  <c r="S3808" i="127"/>
  <c r="S4163" i="127"/>
  <c r="T4163" i="127" s="1"/>
  <c r="T4097" i="127"/>
  <c r="T4143" i="127"/>
  <c r="T4164" i="127"/>
  <c r="T4157" i="127"/>
  <c r="T4018" i="127"/>
  <c r="T4134" i="127"/>
  <c r="S3399" i="127"/>
  <c r="T3399" i="127" s="1"/>
  <c r="S4128" i="127"/>
  <c r="T4128" i="127" s="1"/>
  <c r="T4027" i="127"/>
  <c r="T4122" i="127"/>
  <c r="S3726" i="127"/>
  <c r="S4126" i="127"/>
  <c r="T4126" i="127" s="1"/>
  <c r="S4066" i="127"/>
  <c r="S4124" i="127"/>
  <c r="T4124" i="127" s="1"/>
  <c r="T4123" i="127"/>
  <c r="AL501" i="123" s="1"/>
  <c r="AO501" i="123" s="1"/>
  <c r="S4013" i="127"/>
  <c r="S4106" i="127"/>
  <c r="T4106" i="127" s="1"/>
  <c r="T4105" i="127"/>
  <c r="T4104" i="127"/>
  <c r="T3946" i="127"/>
  <c r="T4113" i="127"/>
  <c r="S4017" i="127"/>
  <c r="T4017" i="127" s="1"/>
  <c r="T4103" i="127"/>
  <c r="T4090" i="127"/>
  <c r="T4092" i="127"/>
  <c r="T4023" i="127"/>
  <c r="T4074" i="127"/>
  <c r="S4082" i="127"/>
  <c r="S3926" i="127"/>
  <c r="S4080" i="127"/>
  <c r="T4080" i="127" s="1"/>
  <c r="T3984" i="127"/>
  <c r="T4083" i="127"/>
  <c r="T4084" i="127"/>
  <c r="S3529" i="127"/>
  <c r="T3529" i="127" s="1"/>
  <c r="T4088" i="127"/>
  <c r="S4076" i="127"/>
  <c r="AK472" i="123" s="1"/>
  <c r="S4081" i="127"/>
  <c r="AK495" i="123" s="1"/>
  <c r="T4061" i="127"/>
  <c r="AL480" i="123" s="1"/>
  <c r="AO480" i="123" s="1"/>
  <c r="S4060" i="127"/>
  <c r="S728" i="127"/>
  <c r="T728" i="127" s="1"/>
  <c r="T4050" i="127"/>
  <c r="T4049" i="127"/>
  <c r="T3863" i="127"/>
  <c r="T2506" i="127"/>
  <c r="T3875" i="127"/>
  <c r="T4051" i="127"/>
  <c r="T3430" i="127"/>
  <c r="S1198" i="127"/>
  <c r="T3788" i="127"/>
  <c r="T4045" i="127"/>
  <c r="S3509" i="127"/>
  <c r="T3509" i="127" s="1"/>
  <c r="S4047" i="127"/>
  <c r="T4047" i="127" s="1"/>
  <c r="T4032" i="127"/>
  <c r="T3589" i="127"/>
  <c r="T4033" i="127"/>
  <c r="T4011" i="127"/>
  <c r="S1654" i="127"/>
  <c r="T1654" i="127" s="1"/>
  <c r="S4024" i="127"/>
  <c r="S3865" i="127"/>
  <c r="S4021" i="127"/>
  <c r="T4021" i="127" s="1"/>
  <c r="T4025" i="127"/>
  <c r="S4008" i="127"/>
  <c r="AK493" i="123" s="1"/>
  <c r="T4002" i="127"/>
  <c r="T3998" i="127"/>
  <c r="S3988" i="127"/>
  <c r="AK488" i="123" s="1"/>
  <c r="T3725" i="127"/>
  <c r="T4003" i="127"/>
  <c r="T3768" i="127"/>
  <c r="T4005" i="127"/>
  <c r="T3985" i="127"/>
  <c r="T3989" i="127"/>
  <c r="T3987" i="127"/>
  <c r="T3983" i="127"/>
  <c r="S3895" i="127"/>
  <c r="T3895" i="127" s="1"/>
  <c r="T3832" i="127"/>
  <c r="T3969" i="127"/>
  <c r="T3841" i="127"/>
  <c r="T3978" i="127"/>
  <c r="T3976" i="127"/>
  <c r="T3977" i="127"/>
  <c r="T3785" i="127"/>
  <c r="T3971" i="127"/>
  <c r="S3967" i="127"/>
  <c r="T3967" i="127" s="1"/>
  <c r="S3975" i="127"/>
  <c r="AK481" i="123" s="1"/>
  <c r="T3972" i="127"/>
  <c r="AL491" i="123" s="1"/>
  <c r="AO491" i="123" s="1"/>
  <c r="S3647" i="127"/>
  <c r="T3647" i="127" s="1"/>
  <c r="S3952" i="127"/>
  <c r="T3952" i="127" s="1"/>
  <c r="S3556" i="127"/>
  <c r="S3954" i="127"/>
  <c r="T3941" i="127"/>
  <c r="T3959" i="127"/>
  <c r="T3943" i="127"/>
  <c r="T3944" i="127"/>
  <c r="S3942" i="127"/>
  <c r="AK489" i="123" s="1"/>
  <c r="T2943" i="127"/>
  <c r="T3938" i="127"/>
  <c r="T3937" i="127"/>
  <c r="S3660" i="127"/>
  <c r="T3660" i="127" s="1"/>
  <c r="S3255" i="127"/>
  <c r="T3255" i="127" s="1"/>
  <c r="T3920" i="127"/>
  <c r="AL475" i="123" s="1"/>
  <c r="AO475" i="123" s="1"/>
  <c r="T3922" i="127"/>
  <c r="S3735" i="127"/>
  <c r="T3735" i="127" s="1"/>
  <c r="T3905" i="127"/>
  <c r="S3900" i="127"/>
  <c r="T3900" i="127" s="1"/>
  <c r="T3914" i="127"/>
  <c r="T3915" i="127"/>
  <c r="T3919" i="127"/>
  <c r="T3842" i="127"/>
  <c r="T3927" i="127"/>
  <c r="T3907" i="127"/>
  <c r="T3908" i="127"/>
  <c r="S3903" i="127"/>
  <c r="AK473" i="123" s="1"/>
  <c r="S3921" i="127"/>
  <c r="S2391" i="127"/>
  <c r="T2391" i="127" s="1"/>
  <c r="S3868" i="127"/>
  <c r="T3868" i="127" s="1"/>
  <c r="T3888" i="127"/>
  <c r="T3889" i="127"/>
  <c r="S3724" i="127"/>
  <c r="T3724" i="127" s="1"/>
  <c r="S3901" i="127"/>
  <c r="T3901" i="127" s="1"/>
  <c r="T3540" i="127"/>
  <c r="T3883" i="127"/>
  <c r="S3503" i="127"/>
  <c r="T3503" i="127" s="1"/>
  <c r="S3896" i="127"/>
  <c r="T3896" i="127" s="1"/>
  <c r="T3836" i="127"/>
  <c r="T3894" i="127"/>
  <c r="S3677" i="127"/>
  <c r="T3677" i="127" s="1"/>
  <c r="S3890" i="127"/>
  <c r="T3890" i="127" s="1"/>
  <c r="S3765" i="127"/>
  <c r="T3765" i="127" s="1"/>
  <c r="S3878" i="127"/>
  <c r="T3878" i="127" s="1"/>
  <c r="S3625" i="127"/>
  <c r="T3625" i="127" s="1"/>
  <c r="S3867" i="127"/>
  <c r="S3877" i="127"/>
  <c r="T3877" i="127" s="1"/>
  <c r="S2400" i="127"/>
  <c r="S2660" i="127"/>
  <c r="T2660" i="127" s="1"/>
  <c r="S3592" i="127"/>
  <c r="T3592" i="127" s="1"/>
  <c r="S3508" i="127"/>
  <c r="T3508" i="127" s="1"/>
  <c r="S3854" i="127"/>
  <c r="T3854" i="127" s="1"/>
  <c r="S3697" i="127"/>
  <c r="T3697" i="127" s="1"/>
  <c r="T3853" i="127"/>
  <c r="S3754" i="127"/>
  <c r="T3754" i="127" s="1"/>
  <c r="S3866" i="127"/>
  <c r="T3866" i="127" s="1"/>
  <c r="T3825" i="127"/>
  <c r="T3860" i="127"/>
  <c r="S2885" i="127"/>
  <c r="S2463" i="127"/>
  <c r="S3630" i="127"/>
  <c r="T3846" i="127"/>
  <c r="T3848" i="127"/>
  <c r="T3847" i="127"/>
  <c r="S3659" i="127"/>
  <c r="T3659" i="127" s="1"/>
  <c r="S3838" i="127"/>
  <c r="T3838" i="127" s="1"/>
  <c r="S3827" i="127"/>
  <c r="AK460" i="123" s="1"/>
  <c r="S3821" i="127"/>
  <c r="AK462" i="123" s="1"/>
  <c r="S3818" i="127"/>
  <c r="AK455" i="123" s="1"/>
  <c r="T3819" i="127"/>
  <c r="T3349" i="127"/>
  <c r="T3816" i="127"/>
  <c r="S3814" i="127"/>
  <c r="AK463" i="123" s="1"/>
  <c r="S3791" i="127"/>
  <c r="AK467" i="123" s="1"/>
  <c r="T3723" i="127"/>
  <c r="T3795" i="127"/>
  <c r="S3631" i="127"/>
  <c r="T3631" i="127" s="1"/>
  <c r="T3787" i="127"/>
  <c r="T3682" i="127"/>
  <c r="T3794" i="127"/>
  <c r="S3595" i="127"/>
  <c r="T3595" i="127" s="1"/>
  <c r="T3784" i="127"/>
  <c r="T3769" i="127"/>
  <c r="T3775" i="127"/>
  <c r="T3628" i="127"/>
  <c r="T3771" i="127"/>
  <c r="S3762" i="127"/>
  <c r="T3762" i="127" s="1"/>
  <c r="S3772" i="127"/>
  <c r="T3772" i="127" s="1"/>
  <c r="T3774" i="127"/>
  <c r="S3573" i="127"/>
  <c r="T3573" i="127" s="1"/>
  <c r="S3763" i="127"/>
  <c r="T3763" i="127" s="1"/>
  <c r="S3293" i="127"/>
  <c r="T3293" i="127" s="1"/>
  <c r="S3758" i="127"/>
  <c r="T3758" i="127" s="1"/>
  <c r="S2011" i="127"/>
  <c r="T2011" i="127" s="1"/>
  <c r="S3378" i="127"/>
  <c r="T3378" i="127" s="1"/>
  <c r="T3590" i="127"/>
  <c r="T3727" i="127"/>
  <c r="T3726" i="127"/>
  <c r="S3743" i="127"/>
  <c r="S3744" i="127"/>
  <c r="T3744" i="127" s="1"/>
  <c r="S3449" i="127"/>
  <c r="T3449" i="127" s="1"/>
  <c r="S3732" i="127"/>
  <c r="T3732" i="127" s="1"/>
  <c r="S3741" i="127"/>
  <c r="AK448" i="123" s="1"/>
  <c r="S3736" i="127"/>
  <c r="AK456" i="123" s="1"/>
  <c r="S3714" i="127"/>
  <c r="S3713" i="127"/>
  <c r="AK492" i="123" s="1"/>
  <c r="S3342" i="127"/>
  <c r="T3342" i="127" s="1"/>
  <c r="T3719" i="127"/>
  <c r="S3718" i="127"/>
  <c r="T3718" i="127" s="1"/>
  <c r="S2078" i="127"/>
  <c r="T2078" i="127" s="1"/>
  <c r="S1049" i="127"/>
  <c r="S3709" i="127"/>
  <c r="T3709" i="127" s="1"/>
  <c r="T3710" i="127"/>
  <c r="T3650" i="127"/>
  <c r="T3695" i="127"/>
  <c r="T3505" i="127"/>
  <c r="T3685" i="127"/>
  <c r="S3669" i="127"/>
  <c r="S3675" i="127"/>
  <c r="T3675" i="127" s="1"/>
  <c r="T3456" i="127"/>
  <c r="T3680" i="127"/>
  <c r="T3671" i="127"/>
  <c r="T3658" i="127"/>
  <c r="T3439" i="127"/>
  <c r="T3657" i="127"/>
  <c r="T3629" i="127"/>
  <c r="T3667" i="127"/>
  <c r="S3664" i="127"/>
  <c r="T3664" i="127" s="1"/>
  <c r="S3241" i="127"/>
  <c r="T3241" i="127" s="1"/>
  <c r="S3651" i="127"/>
  <c r="T3651" i="127" s="1"/>
  <c r="S3652" i="127"/>
  <c r="T3420" i="127"/>
  <c r="T3648" i="127"/>
  <c r="S3465" i="127"/>
  <c r="T3465" i="127" s="1"/>
  <c r="S3654" i="127"/>
  <c r="T3654" i="127" s="1"/>
  <c r="T3541" i="127"/>
  <c r="T3644" i="127"/>
  <c r="T3550" i="127"/>
  <c r="T3635" i="127"/>
  <c r="T3612" i="127"/>
  <c r="S3585" i="127"/>
  <c r="T3585" i="127" s="1"/>
  <c r="S3632" i="127"/>
  <c r="T3632" i="127" s="1"/>
  <c r="S3621" i="127"/>
  <c r="T3621" i="127" s="1"/>
  <c r="S3243" i="127"/>
  <c r="T3243" i="127" s="1"/>
  <c r="S3600" i="127"/>
  <c r="T3600" i="127" s="1"/>
  <c r="S2719" i="127"/>
  <c r="S3604" i="127"/>
  <c r="T3604" i="127" s="1"/>
  <c r="S2646" i="127"/>
  <c r="AK271" i="123" s="1"/>
  <c r="S3601" i="127"/>
  <c r="T3601" i="127" s="1"/>
  <c r="S3596" i="127"/>
  <c r="T3596" i="127" s="1"/>
  <c r="S3328" i="127"/>
  <c r="T3328" i="127" s="1"/>
  <c r="S3591" i="127"/>
  <c r="T3591" i="127" s="1"/>
  <c r="S1032" i="127"/>
  <c r="T1032" i="127" s="1"/>
  <c r="S2596" i="127"/>
  <c r="S3574" i="127"/>
  <c r="T3443" i="127"/>
  <c r="T3572" i="127"/>
  <c r="S3463" i="127"/>
  <c r="T3463" i="127" s="1"/>
  <c r="S3567" i="127"/>
  <c r="T3567" i="127" s="1"/>
  <c r="S3337" i="127"/>
  <c r="T3337" i="127" s="1"/>
  <c r="S3569" i="127"/>
  <c r="T3569" i="127" s="1"/>
  <c r="T3559" i="127"/>
  <c r="T1922" i="127"/>
  <c r="S3560" i="127"/>
  <c r="T3560" i="127" s="1"/>
  <c r="S3554" i="127"/>
  <c r="T3554" i="127" s="1"/>
  <c r="T368" i="127"/>
  <c r="S3306" i="127"/>
  <c r="T3306" i="127" s="1"/>
  <c r="S3537" i="127"/>
  <c r="T3537" i="127" s="1"/>
  <c r="T3551" i="127"/>
  <c r="T3539" i="127"/>
  <c r="T3316" i="127"/>
  <c r="T3528" i="127"/>
  <c r="S3524" i="127"/>
  <c r="T3530" i="127"/>
  <c r="S3436" i="127"/>
  <c r="T3436" i="127" s="1"/>
  <c r="S3523" i="127"/>
  <c r="T3523" i="127" s="1"/>
  <c r="S2564" i="127"/>
  <c r="T2564" i="127" s="1"/>
  <c r="S3518" i="127"/>
  <c r="T3518" i="127" s="1"/>
  <c r="T3514" i="127"/>
  <c r="T3515" i="127"/>
  <c r="S3491" i="127"/>
  <c r="T3491" i="127" s="1"/>
  <c r="T3488" i="127"/>
  <c r="T3487" i="127"/>
  <c r="S3493" i="127"/>
  <c r="AK432" i="123" s="1"/>
  <c r="T3492" i="127"/>
  <c r="T1854" i="127"/>
  <c r="T3217" i="127"/>
  <c r="S3483" i="127"/>
  <c r="T3483" i="127" s="1"/>
  <c r="S3468" i="127"/>
  <c r="T3468" i="127" s="1"/>
  <c r="S3419" i="127"/>
  <c r="T3419" i="127" s="1"/>
  <c r="T3479" i="127"/>
  <c r="S3470" i="127"/>
  <c r="T3470" i="127" s="1"/>
  <c r="T3467" i="127"/>
  <c r="T3466" i="127"/>
  <c r="S3301" i="127"/>
  <c r="T3301" i="127" s="1"/>
  <c r="AK92" i="123"/>
  <c r="S771" i="127"/>
  <c r="T771" i="127" s="1"/>
  <c r="S2651" i="127"/>
  <c r="S3458" i="127"/>
  <c r="T3458" i="127" s="1"/>
  <c r="S3455" i="127"/>
  <c r="S2505" i="127"/>
  <c r="S3447" i="127"/>
  <c r="T3242" i="127"/>
  <c r="T3431" i="127"/>
  <c r="T3441" i="127"/>
  <c r="S3395" i="127"/>
  <c r="T3395" i="127" s="1"/>
  <c r="S3072" i="127"/>
  <c r="T1734" i="127"/>
  <c r="T3413" i="127"/>
  <c r="T3415" i="127"/>
  <c r="S3400" i="127"/>
  <c r="T3400" i="127" s="1"/>
  <c r="S3017" i="127"/>
  <c r="S4320" i="127"/>
  <c r="AK459" i="123" s="1"/>
  <c r="S3331" i="127"/>
  <c r="T3331" i="127" s="1"/>
  <c r="S3389" i="127"/>
  <c r="T3389" i="127" s="1"/>
  <c r="S3288" i="127"/>
  <c r="T3288" i="127" s="1"/>
  <c r="S3385" i="127"/>
  <c r="T3385" i="127" s="1"/>
  <c r="T3387" i="127"/>
  <c r="T3388" i="127"/>
  <c r="T3384" i="127"/>
  <c r="T3368" i="127"/>
  <c r="T3366" i="127"/>
  <c r="S3362" i="127"/>
  <c r="T3362" i="127" s="1"/>
  <c r="T3326" i="127"/>
  <c r="T3374" i="127"/>
  <c r="T3375" i="127"/>
  <c r="T3348" i="127"/>
  <c r="AL422" i="123" s="1"/>
  <c r="AO422" i="123" s="1"/>
  <c r="T3351" i="127"/>
  <c r="T3352" i="127"/>
  <c r="S3318" i="127"/>
  <c r="AK427" i="123" s="1"/>
  <c r="T3319" i="127"/>
  <c r="S3307" i="127"/>
  <c r="T3307" i="127" s="1"/>
  <c r="S1977" i="127"/>
  <c r="S2430" i="127"/>
  <c r="T3267" i="127"/>
  <c r="S1861" i="127"/>
  <c r="S2378" i="127"/>
  <c r="T3265" i="127"/>
  <c r="T3285" i="127"/>
  <c r="T3256" i="127"/>
  <c r="S3286" i="127"/>
  <c r="T3286" i="127" s="1"/>
  <c r="T3289" i="127"/>
  <c r="T3291" i="127"/>
  <c r="T3284" i="127"/>
  <c r="T3278" i="127"/>
  <c r="S3280" i="127"/>
  <c r="T3280" i="127" s="1"/>
  <c r="S3272" i="127"/>
  <c r="T3272" i="127" s="1"/>
  <c r="S3198" i="127"/>
  <c r="T3198" i="127" s="1"/>
  <c r="T3170" i="127"/>
  <c r="S1725" i="127"/>
  <c r="AK216" i="123" s="1"/>
  <c r="T3264" i="127"/>
  <c r="T2327" i="127"/>
  <c r="T2325" i="127"/>
  <c r="S1475" i="127"/>
  <c r="T1475" i="127" s="1"/>
  <c r="S2235" i="127"/>
  <c r="T2235" i="127" s="1"/>
  <c r="S366" i="127"/>
  <c r="T366" i="127" s="1"/>
  <c r="T3260" i="127"/>
  <c r="S3253" i="127"/>
  <c r="T3253" i="127" s="1"/>
  <c r="S3248" i="127"/>
  <c r="T3248" i="127" s="1"/>
  <c r="S3240" i="127"/>
  <c r="T3240" i="127" s="1"/>
  <c r="S1363" i="127"/>
  <c r="AK210" i="123" s="1"/>
  <c r="S3237" i="127"/>
  <c r="T3237" i="127" s="1"/>
  <c r="T3234" i="127"/>
  <c r="S3245" i="127"/>
  <c r="T3245" i="127" s="1"/>
  <c r="T3223" i="127"/>
  <c r="S3211" i="127"/>
  <c r="T3211" i="127" s="1"/>
  <c r="T3202" i="127"/>
  <c r="T3201" i="127"/>
  <c r="T3210" i="127"/>
  <c r="S3206" i="127"/>
  <c r="T3206" i="127" s="1"/>
  <c r="S3193" i="127"/>
  <c r="T3193" i="127" s="1"/>
  <c r="S422" i="127"/>
  <c r="S1102" i="127"/>
  <c r="T3188" i="127"/>
  <c r="T3182" i="127"/>
  <c r="T3178" i="127"/>
  <c r="S3177" i="127"/>
  <c r="T3177" i="127" s="1"/>
  <c r="S3184" i="127"/>
  <c r="T3184" i="127" s="1"/>
  <c r="S3187" i="127"/>
  <c r="T3187" i="127" s="1"/>
  <c r="T2307" i="127"/>
  <c r="S3168" i="127"/>
  <c r="T3168" i="127" s="1"/>
  <c r="S3165" i="127"/>
  <c r="T3165" i="127" s="1"/>
  <c r="T898" i="127"/>
  <c r="S2799" i="127"/>
  <c r="T2799" i="127" s="1"/>
  <c r="S3356" i="127"/>
  <c r="T3356" i="127" s="1"/>
  <c r="S2886" i="127"/>
  <c r="S4284" i="127"/>
  <c r="AK512" i="123" s="1"/>
  <c r="S4217" i="127"/>
  <c r="T4217" i="127" s="1"/>
  <c r="T2106" i="127"/>
  <c r="S599" i="127"/>
  <c r="S2241" i="127"/>
  <c r="S2603" i="127"/>
  <c r="S1711" i="127"/>
  <c r="T3968" i="127"/>
  <c r="T3158" i="127"/>
  <c r="S3497" i="127"/>
  <c r="T3497" i="127" s="1"/>
  <c r="S1333" i="127"/>
  <c r="T1333" i="127" s="1"/>
  <c r="S4115" i="127"/>
  <c r="T4115" i="127" s="1"/>
  <c r="S3205" i="127"/>
  <c r="T3205" i="127" s="1"/>
  <c r="S2115" i="127"/>
  <c r="S4277" i="127"/>
  <c r="T4277" i="127" s="1"/>
  <c r="S3494" i="127"/>
  <c r="T3494" i="127" s="1"/>
  <c r="T3858" i="127"/>
  <c r="S851" i="127"/>
  <c r="T851" i="127" s="1"/>
  <c r="S3364" i="127"/>
  <c r="S565" i="127"/>
  <c r="T565" i="127" s="1"/>
  <c r="S2843" i="127"/>
  <c r="T2843" i="127" s="1"/>
  <c r="S845" i="127"/>
  <c r="T845" i="127" s="1"/>
  <c r="S3347" i="127"/>
  <c r="T3347" i="127" s="1"/>
  <c r="S443" i="127"/>
  <c r="T443" i="127" s="1"/>
  <c r="S4169" i="127"/>
  <c r="T4169" i="127" s="1"/>
  <c r="S4356" i="127"/>
  <c r="T4356" i="127" s="1"/>
  <c r="S2810" i="127"/>
  <c r="S2389" i="127"/>
  <c r="T2389" i="127" s="1"/>
  <c r="S2409" i="127"/>
  <c r="T4348" i="127"/>
  <c r="S409" i="127"/>
  <c r="S2210" i="127"/>
  <c r="T1819" i="127"/>
  <c r="S4253" i="127"/>
  <c r="T4253" i="127" s="1"/>
  <c r="S1197" i="127"/>
  <c r="S4397" i="127"/>
  <c r="T4397" i="127" s="1"/>
  <c r="S4316" i="127"/>
  <c r="T4316" i="127" s="1"/>
  <c r="S2403" i="127"/>
  <c r="T2403" i="127" s="1"/>
  <c r="S4203" i="127"/>
  <c r="T4203" i="127" s="1"/>
  <c r="T3568" i="127"/>
  <c r="T3990" i="127"/>
  <c r="S388" i="127"/>
  <c r="T388" i="127" s="1"/>
  <c r="S4344" i="127"/>
  <c r="T4344" i="127" s="1"/>
  <c r="S326" i="127"/>
  <c r="T326" i="127" s="1"/>
  <c r="S2736" i="127"/>
  <c r="C3125" i="127"/>
  <c r="C3124" i="127"/>
  <c r="C3133" i="127"/>
  <c r="C3134" i="127"/>
  <c r="C3135" i="127"/>
  <c r="C3136" i="127"/>
  <c r="C3111" i="127"/>
  <c r="C3118" i="127"/>
  <c r="C3119" i="127"/>
  <c r="C3113" i="127"/>
  <c r="C3110" i="127"/>
  <c r="C3114" i="127"/>
  <c r="C3115" i="127"/>
  <c r="C3116" i="127"/>
  <c r="C3130" i="127"/>
  <c r="C3126" i="127"/>
  <c r="C3139" i="127"/>
  <c r="C3129" i="127"/>
  <c r="C3138" i="127"/>
  <c r="C3128" i="127"/>
  <c r="C3132" i="127"/>
  <c r="C3131" i="127"/>
  <c r="C3137" i="127"/>
  <c r="C3127" i="127"/>
  <c r="C3096" i="127"/>
  <c r="C3097" i="127"/>
  <c r="C3098" i="127"/>
  <c r="C3093" i="127"/>
  <c r="C3108" i="127"/>
  <c r="C3099" i="127"/>
  <c r="C3100" i="127"/>
  <c r="C3101" i="127"/>
  <c r="C3102" i="127"/>
  <c r="C3105" i="127"/>
  <c r="C3106" i="127"/>
  <c r="C3092" i="127"/>
  <c r="C3095" i="127"/>
  <c r="C3104" i="127"/>
  <c r="C3091" i="127"/>
  <c r="C3107" i="127"/>
  <c r="C3109" i="127"/>
  <c r="C3103" i="127"/>
  <c r="C3094" i="127"/>
  <c r="C3120" i="127"/>
  <c r="C3117" i="127"/>
  <c r="C3121" i="127"/>
  <c r="C3122" i="127"/>
  <c r="C3123" i="127"/>
  <c r="C3112" i="127"/>
  <c r="AK478" i="123" l="1"/>
  <c r="AK294" i="123"/>
  <c r="AK464" i="123"/>
  <c r="AK496" i="123"/>
  <c r="AN496" i="123" s="1"/>
  <c r="AL479" i="123"/>
  <c r="AO479" i="123" s="1"/>
  <c r="AL533" i="123"/>
  <c r="AO533" i="123" s="1"/>
  <c r="AL499" i="123"/>
  <c r="AO499" i="123" s="1"/>
  <c r="AK428" i="123"/>
  <c r="AK477" i="123"/>
  <c r="AK486" i="123"/>
  <c r="AN486" i="123" s="1"/>
  <c r="AK475" i="123"/>
  <c r="AL529" i="123"/>
  <c r="AO529" i="123" s="1"/>
  <c r="AK522" i="123"/>
  <c r="AK444" i="123"/>
  <c r="AN444" i="123" s="1"/>
  <c r="T4428" i="127"/>
  <c r="AL522" i="123" s="1"/>
  <c r="AO522" i="123" s="1"/>
  <c r="AK470" i="123"/>
  <c r="AN470" i="123" s="1"/>
  <c r="AK451" i="123"/>
  <c r="AN451" i="123" s="1"/>
  <c r="AK424" i="123"/>
  <c r="AN424" i="123" s="1"/>
  <c r="AK469" i="123"/>
  <c r="AN469" i="123" s="1"/>
  <c r="AK494" i="123"/>
  <c r="AN494" i="123" s="1"/>
  <c r="AK480" i="123"/>
  <c r="AM480" i="123" s="1"/>
  <c r="AK506" i="123"/>
  <c r="AN506" i="123" s="1"/>
  <c r="AN394" i="123"/>
  <c r="AN216" i="123"/>
  <c r="T599" i="127"/>
  <c r="AN478" i="123"/>
  <c r="T1049" i="127"/>
  <c r="AN448" i="123"/>
  <c r="AN460" i="123"/>
  <c r="AN477" i="123"/>
  <c r="AN493" i="123"/>
  <c r="AK487" i="123"/>
  <c r="T3840" i="127"/>
  <c r="AL447" i="123" s="1"/>
  <c r="AO447" i="123" s="1"/>
  <c r="AK447" i="123"/>
  <c r="AN518" i="123"/>
  <c r="AN519" i="123"/>
  <c r="AN514" i="123"/>
  <c r="AN522" i="123"/>
  <c r="AP513" i="123"/>
  <c r="AU513" i="123" s="1"/>
  <c r="AP527" i="123"/>
  <c r="AU527" i="123" s="1"/>
  <c r="AM422" i="123"/>
  <c r="AP525" i="123"/>
  <c r="AU525" i="123" s="1"/>
  <c r="AP504" i="123"/>
  <c r="AU504" i="123" s="1"/>
  <c r="AP491" i="123"/>
  <c r="AU491" i="123" s="1"/>
  <c r="AP503" i="123"/>
  <c r="AU503" i="123" s="1"/>
  <c r="AN427" i="123"/>
  <c r="AK278" i="123"/>
  <c r="T3669" i="127"/>
  <c r="AL419" i="123" s="1"/>
  <c r="AO419" i="123" s="1"/>
  <c r="AK419" i="123"/>
  <c r="AN492" i="123"/>
  <c r="AN467" i="123"/>
  <c r="AN473" i="123"/>
  <c r="AN481" i="123"/>
  <c r="AN488" i="123"/>
  <c r="T4013" i="127"/>
  <c r="AL509" i="123" s="1"/>
  <c r="AO509" i="123" s="1"/>
  <c r="AK509" i="123"/>
  <c r="AN490" i="123"/>
  <c r="AK479" i="123"/>
  <c r="AK507" i="123"/>
  <c r="T4395" i="127"/>
  <c r="AK283" i="123"/>
  <c r="AK529" i="123"/>
  <c r="AM513" i="123"/>
  <c r="AM527" i="123"/>
  <c r="AM525" i="123"/>
  <c r="AM504" i="123"/>
  <c r="AM491" i="123"/>
  <c r="AM503" i="123"/>
  <c r="AN210" i="123"/>
  <c r="AN294" i="123"/>
  <c r="AN459" i="123"/>
  <c r="T3524" i="127"/>
  <c r="AL441" i="123" s="1"/>
  <c r="AO441" i="123" s="1"/>
  <c r="AK441" i="123"/>
  <c r="AN464" i="123"/>
  <c r="AN463" i="123"/>
  <c r="AN455" i="123"/>
  <c r="T3630" i="127"/>
  <c r="AL431" i="123" s="1"/>
  <c r="AO431" i="123" s="1"/>
  <c r="AK431" i="123"/>
  <c r="AN495" i="123"/>
  <c r="T3926" i="127"/>
  <c r="AL500" i="123" s="1"/>
  <c r="AO500" i="123" s="1"/>
  <c r="AK500" i="123"/>
  <c r="AK499" i="123"/>
  <c r="T3808" i="127"/>
  <c r="AL466" i="123" s="1"/>
  <c r="AO466" i="123" s="1"/>
  <c r="AK466" i="123"/>
  <c r="AN498" i="123"/>
  <c r="AN511" i="123"/>
  <c r="AN524" i="123"/>
  <c r="AP517" i="123"/>
  <c r="AU517" i="123" s="1"/>
  <c r="AP501" i="123"/>
  <c r="AP521" i="123"/>
  <c r="AU521" i="123" s="1"/>
  <c r="AP515" i="123"/>
  <c r="AP505" i="123"/>
  <c r="AU505" i="123" s="1"/>
  <c r="AN512" i="123"/>
  <c r="AN428" i="123"/>
  <c r="AN432" i="123"/>
  <c r="AN271" i="123"/>
  <c r="AN456" i="123"/>
  <c r="AN462" i="123"/>
  <c r="T2400" i="127"/>
  <c r="AK270" i="123"/>
  <c r="AN489" i="123"/>
  <c r="T3865" i="127"/>
  <c r="AL457" i="123" s="1"/>
  <c r="AO457" i="123" s="1"/>
  <c r="AK457" i="123"/>
  <c r="AN472" i="123"/>
  <c r="T4240" i="127"/>
  <c r="AL439" i="123" s="1"/>
  <c r="AO439" i="123" s="1"/>
  <c r="AK439" i="123"/>
  <c r="AM475" i="123"/>
  <c r="AN475" i="123"/>
  <c r="T4234" i="127"/>
  <c r="AL508" i="123" s="1"/>
  <c r="AO508" i="123" s="1"/>
  <c r="AK508" i="123"/>
  <c r="AN523" i="123"/>
  <c r="AN520" i="123"/>
  <c r="AK533" i="123"/>
  <c r="AM517" i="123"/>
  <c r="AM501" i="123"/>
  <c r="AP422" i="123"/>
  <c r="AU422" i="123" s="1"/>
  <c r="AM515" i="123"/>
  <c r="AM505" i="123"/>
  <c r="T409" i="127"/>
  <c r="T3867" i="127"/>
  <c r="AL469" i="123" s="1"/>
  <c r="AO469" i="123" s="1"/>
  <c r="T4066" i="127"/>
  <c r="AL487" i="123" s="1"/>
  <c r="AO487" i="123" s="1"/>
  <c r="S4426" i="127"/>
  <c r="T4180" i="127"/>
  <c r="T4420" i="127"/>
  <c r="T4224" i="127"/>
  <c r="T4419" i="127"/>
  <c r="T4120" i="127"/>
  <c r="T4415" i="127"/>
  <c r="T4182" i="127"/>
  <c r="T4414" i="127"/>
  <c r="T4416" i="127"/>
  <c r="AL524" i="123" s="1"/>
  <c r="AO524" i="123" s="1"/>
  <c r="T4330" i="127"/>
  <c r="T4396" i="127"/>
  <c r="T4403" i="127"/>
  <c r="AL520" i="123" s="1"/>
  <c r="AO520" i="123" s="1"/>
  <c r="T4377" i="127"/>
  <c r="AL514" i="123" s="1"/>
  <c r="AO514" i="123" s="1"/>
  <c r="S4044" i="127"/>
  <c r="T4044" i="127" s="1"/>
  <c r="T4358" i="127"/>
  <c r="T4350" i="127"/>
  <c r="AL523" i="123" s="1"/>
  <c r="AO523" i="123" s="1"/>
  <c r="T4357" i="127"/>
  <c r="AL519" i="123" s="1"/>
  <c r="AO519" i="123" s="1"/>
  <c r="T4323" i="127"/>
  <c r="AL518" i="123" s="1"/>
  <c r="AO518" i="123" s="1"/>
  <c r="T4320" i="127"/>
  <c r="AL459" i="123" s="1"/>
  <c r="AO459" i="123" s="1"/>
  <c r="T4284" i="127"/>
  <c r="AL512" i="123" s="1"/>
  <c r="AO512" i="123" s="1"/>
  <c r="S3856" i="127"/>
  <c r="T3856" i="127" s="1"/>
  <c r="S4274" i="127"/>
  <c r="T4274" i="127" s="1"/>
  <c r="S3861" i="127"/>
  <c r="T3861" i="127" s="1"/>
  <c r="S4278" i="127"/>
  <c r="T4262" i="127"/>
  <c r="AL494" i="123" s="1"/>
  <c r="AO494" i="123" s="1"/>
  <c r="AK311" i="123"/>
  <c r="S3869" i="127"/>
  <c r="S4271" i="127"/>
  <c r="T4271" i="127" s="1"/>
  <c r="T4257" i="127"/>
  <c r="AL506" i="123" s="1"/>
  <c r="AO506" i="123" s="1"/>
  <c r="T4001" i="127"/>
  <c r="T4227" i="127"/>
  <c r="T4231" i="127"/>
  <c r="T4230" i="127"/>
  <c r="AL511" i="123" s="1"/>
  <c r="AO511" i="123" s="1"/>
  <c r="S1485" i="127"/>
  <c r="AK265" i="123" s="1"/>
  <c r="T4171" i="127"/>
  <c r="AL490" i="123" s="1"/>
  <c r="AO490" i="123" s="1"/>
  <c r="T4118" i="127"/>
  <c r="AL498" i="123" s="1"/>
  <c r="AO498" i="123" s="1"/>
  <c r="T3181" i="127"/>
  <c r="T4167" i="127"/>
  <c r="T4154" i="127"/>
  <c r="S4158" i="127"/>
  <c r="T4158" i="127" s="1"/>
  <c r="T3855" i="127"/>
  <c r="T4170" i="127"/>
  <c r="T4145" i="127"/>
  <c r="S4121" i="127"/>
  <c r="AK502" i="123" s="1"/>
  <c r="S3824" i="127"/>
  <c r="T3824" i="127" s="1"/>
  <c r="S4116" i="127"/>
  <c r="T4116" i="127" s="1"/>
  <c r="T4076" i="127"/>
  <c r="AL472" i="123" s="1"/>
  <c r="AO472" i="123" s="1"/>
  <c r="T4081" i="127"/>
  <c r="AL495" i="123" s="1"/>
  <c r="AO495" i="123" s="1"/>
  <c r="T4082" i="127"/>
  <c r="AL496" i="123" s="1"/>
  <c r="AO496" i="123" s="1"/>
  <c r="T4060" i="127"/>
  <c r="AL486" i="123" s="1"/>
  <c r="AO486" i="123" s="1"/>
  <c r="T4064" i="127"/>
  <c r="T4065" i="127"/>
  <c r="S2358" i="127"/>
  <c r="T2358" i="127" s="1"/>
  <c r="S1034" i="127"/>
  <c r="T1034" i="127" s="1"/>
  <c r="T3974" i="127"/>
  <c r="T4055" i="127"/>
  <c r="T1045" i="127"/>
  <c r="S482" i="127"/>
  <c r="T482" i="127" s="1"/>
  <c r="T4037" i="127"/>
  <c r="T4036" i="127"/>
  <c r="T4008" i="127"/>
  <c r="AL493" i="123" s="1"/>
  <c r="AO493" i="123" s="1"/>
  <c r="T4024" i="127"/>
  <c r="AL444" i="123" s="1"/>
  <c r="AO444" i="123" s="1"/>
  <c r="S3721" i="127"/>
  <c r="T3721" i="127" s="1"/>
  <c r="S4012" i="127"/>
  <c r="T4012" i="127" s="1"/>
  <c r="T4020" i="127"/>
  <c r="T4015" i="127"/>
  <c r="T3813" i="127"/>
  <c r="T3997" i="127"/>
  <c r="S3991" i="127"/>
  <c r="T3991" i="127" s="1"/>
  <c r="T3993" i="127"/>
  <c r="T3992" i="127"/>
  <c r="T3988" i="127"/>
  <c r="AL488" i="123" s="1"/>
  <c r="AO488" i="123" s="1"/>
  <c r="S3994" i="127"/>
  <c r="T3975" i="127"/>
  <c r="AL481" i="123" s="1"/>
  <c r="AO481" i="123" s="1"/>
  <c r="S3603" i="127"/>
  <c r="S3964" i="127"/>
  <c r="T3964" i="127" s="1"/>
  <c r="T3951" i="127"/>
  <c r="T3973" i="127"/>
  <c r="T3873" i="127"/>
  <c r="T3948" i="127"/>
  <c r="T3950" i="127"/>
  <c r="T3953" i="127"/>
  <c r="T3962" i="127"/>
  <c r="T3942" i="127"/>
  <c r="AL489" i="123" s="1"/>
  <c r="AO489" i="123" s="1"/>
  <c r="T3166" i="127"/>
  <c r="T3909" i="127"/>
  <c r="T2914" i="127"/>
  <c r="T3903" i="127"/>
  <c r="AL473" i="123" s="1"/>
  <c r="AO473" i="123" s="1"/>
  <c r="T3921" i="127"/>
  <c r="AL477" i="123" s="1"/>
  <c r="AO477" i="123" s="1"/>
  <c r="S3893" i="127"/>
  <c r="AK461" i="123" s="1"/>
  <c r="S3451" i="127"/>
  <c r="T3451" i="127" s="1"/>
  <c r="S3879" i="127"/>
  <c r="T3879" i="127" s="1"/>
  <c r="S2009" i="127"/>
  <c r="S3902" i="127"/>
  <c r="T3902" i="127" s="1"/>
  <c r="T413" i="127"/>
  <c r="S3686" i="127"/>
  <c r="T3686" i="127" s="1"/>
  <c r="AL423" i="123" s="1"/>
  <c r="AO423" i="123" s="1"/>
  <c r="T3407" i="127"/>
  <c r="T3823" i="127"/>
  <c r="T3827" i="127"/>
  <c r="AL460" i="123" s="1"/>
  <c r="AO460" i="123" s="1"/>
  <c r="S431" i="127"/>
  <c r="T431" i="127" s="1"/>
  <c r="S1630" i="127"/>
  <c r="T1630" i="127" s="1"/>
  <c r="T3814" i="127"/>
  <c r="AL463" i="123" s="1"/>
  <c r="AO463" i="123" s="1"/>
  <c r="T3821" i="127"/>
  <c r="AL462" i="123" s="1"/>
  <c r="AO462" i="123" s="1"/>
  <c r="S3428" i="127"/>
  <c r="S3812" i="127"/>
  <c r="T3812" i="127" s="1"/>
  <c r="S3602" i="127"/>
  <c r="T3818" i="127"/>
  <c r="AL455" i="123" s="1"/>
  <c r="AO455" i="123" s="1"/>
  <c r="S3544" i="127"/>
  <c r="S3800" i="127"/>
  <c r="T3800" i="127" s="1"/>
  <c r="S3179" i="127"/>
  <c r="T3179" i="127" s="1"/>
  <c r="S3789" i="127"/>
  <c r="T3789" i="127" s="1"/>
  <c r="T3791" i="127"/>
  <c r="AL467" i="123" s="1"/>
  <c r="AO467" i="123" s="1"/>
  <c r="T3643" i="127"/>
  <c r="T3793" i="127"/>
  <c r="S3687" i="127"/>
  <c r="T3687" i="127" s="1"/>
  <c r="S3757" i="127"/>
  <c r="T3757" i="127" s="1"/>
  <c r="S3292" i="127"/>
  <c r="T3292" i="127" s="1"/>
  <c r="S3759" i="127"/>
  <c r="T3759" i="127" s="1"/>
  <c r="T3760" i="127"/>
  <c r="S2419" i="127"/>
  <c r="T2419" i="127" s="1"/>
  <c r="S267" i="127"/>
  <c r="T3743" i="127"/>
  <c r="AL451" i="123" s="1"/>
  <c r="AO451" i="123" s="1"/>
  <c r="T3741" i="127"/>
  <c r="AL448" i="123" s="1"/>
  <c r="AO448" i="123" s="1"/>
  <c r="T3736" i="127"/>
  <c r="AL456" i="123" s="1"/>
  <c r="AO456" i="123" s="1"/>
  <c r="S3313" i="127"/>
  <c r="T3313" i="127" s="1"/>
  <c r="S3711" i="127"/>
  <c r="T3711" i="127" s="1"/>
  <c r="T3713" i="127"/>
  <c r="AL492" i="123" s="1"/>
  <c r="AO492" i="123" s="1"/>
  <c r="T3714" i="127"/>
  <c r="AL464" i="123" s="1"/>
  <c r="AO464" i="123" s="1"/>
  <c r="S1276" i="127"/>
  <c r="T1276" i="127" s="1"/>
  <c r="S1644" i="127"/>
  <c r="T1644" i="127" s="1"/>
  <c r="S2873" i="127"/>
  <c r="T2873" i="127" s="1"/>
  <c r="T3701" i="127"/>
  <c r="S3700" i="127"/>
  <c r="T3700" i="127" s="1"/>
  <c r="T3303" i="127"/>
  <c r="T3705" i="127"/>
  <c r="S3683" i="127"/>
  <c r="T3683" i="127" s="1"/>
  <c r="T3684" i="127"/>
  <c r="S2979" i="127"/>
  <c r="T3689" i="127"/>
  <c r="S544" i="127"/>
  <c r="AK107" i="123" s="1"/>
  <c r="T3698" i="127"/>
  <c r="S3653" i="127"/>
  <c r="T3653" i="127" s="1"/>
  <c r="T3652" i="127"/>
  <c r="AL478" i="123" s="1"/>
  <c r="AO478" i="123" s="1"/>
  <c r="S3220" i="127"/>
  <c r="T3220" i="127" s="1"/>
  <c r="T3642" i="127"/>
  <c r="S3564" i="127"/>
  <c r="T3564" i="127" s="1"/>
  <c r="S3565" i="127"/>
  <c r="T3565" i="127" s="1"/>
  <c r="S3459" i="127"/>
  <c r="T3459" i="127" s="1"/>
  <c r="S3221" i="127"/>
  <c r="S3504" i="127"/>
  <c r="T3504" i="127" s="1"/>
  <c r="T3594" i="127"/>
  <c r="T3574" i="127"/>
  <c r="S2316" i="127"/>
  <c r="T3474" i="127"/>
  <c r="T3542" i="127"/>
  <c r="T3520" i="127"/>
  <c r="S3501" i="127"/>
  <c r="AK440" i="123" s="1"/>
  <c r="T3502" i="127"/>
  <c r="T3493" i="127"/>
  <c r="AL432" i="123" s="1"/>
  <c r="AO432" i="123" s="1"/>
  <c r="S2830" i="127"/>
  <c r="S3481" i="127"/>
  <c r="S3460" i="127"/>
  <c r="T3460" i="127" s="1"/>
  <c r="T3455" i="127"/>
  <c r="AL428" i="123" s="1"/>
  <c r="AO428" i="123" s="1"/>
  <c r="T3433" i="127"/>
  <c r="S3236" i="127"/>
  <c r="T3236" i="127" s="1"/>
  <c r="T3442" i="127"/>
  <c r="T3447" i="127"/>
  <c r="AL424" i="123" s="1"/>
  <c r="AO424" i="123" s="1"/>
  <c r="T3397" i="127"/>
  <c r="T3396" i="127"/>
  <c r="S3338" i="127"/>
  <c r="T3338" i="127" s="1"/>
  <c r="S3417" i="127"/>
  <c r="T3417" i="127" s="1"/>
  <c r="T3364" i="127"/>
  <c r="T3371" i="127"/>
  <c r="S3350" i="127"/>
  <c r="T3350" i="127" s="1"/>
  <c r="S3334" i="127"/>
  <c r="T3334" i="127" s="1"/>
  <c r="S3341" i="127"/>
  <c r="AK421" i="123" s="1"/>
  <c r="S1993" i="127"/>
  <c r="AK221" i="123" s="1"/>
  <c r="T3325" i="127"/>
  <c r="S3324" i="127"/>
  <c r="T3324" i="127" s="1"/>
  <c r="T3318" i="127"/>
  <c r="AL427" i="123" s="1"/>
  <c r="AO427" i="123" s="1"/>
  <c r="S3225" i="127"/>
  <c r="T3225" i="127" s="1"/>
  <c r="S3309" i="127"/>
  <c r="T3309" i="127" s="1"/>
  <c r="S3304" i="127"/>
  <c r="T3304" i="127" s="1"/>
  <c r="S838" i="127"/>
  <c r="T3279" i="127"/>
  <c r="T3294" i="127"/>
  <c r="T3283" i="127"/>
  <c r="T3287" i="127"/>
  <c r="T3275" i="127"/>
  <c r="S1637" i="127"/>
  <c r="T3276" i="127"/>
  <c r="S2842" i="127"/>
  <c r="T2842" i="127" s="1"/>
  <c r="T2651" i="127"/>
  <c r="T3261" i="127"/>
  <c r="S1020" i="127"/>
  <c r="T1020" i="127" s="1"/>
  <c r="S922" i="127"/>
  <c r="T922" i="127" s="1"/>
  <c r="S1858" i="127"/>
  <c r="T1858" i="127" s="1"/>
  <c r="S625" i="127"/>
  <c r="T625" i="127" s="1"/>
  <c r="S2500" i="127"/>
  <c r="T2500" i="127" s="1"/>
  <c r="S1043" i="127"/>
  <c r="T1043" i="127" s="1"/>
  <c r="S521" i="127"/>
  <c r="T521" i="127" s="1"/>
  <c r="S1473" i="127"/>
  <c r="T1473" i="127" s="1"/>
  <c r="S1006" i="127"/>
  <c r="T1006" i="127" s="1"/>
  <c r="S1741" i="127"/>
  <c r="S3239" i="127"/>
  <c r="T3239" i="127" s="1"/>
  <c r="T3244" i="127"/>
  <c r="S3222" i="127"/>
  <c r="T3222" i="127" s="1"/>
  <c r="T3228" i="127"/>
  <c r="T3195" i="127"/>
  <c r="T3194" i="127"/>
  <c r="S3196" i="127"/>
  <c r="T3196" i="127" s="1"/>
  <c r="S2159" i="127"/>
  <c r="T2159" i="127" s="1"/>
  <c r="S1689" i="127"/>
  <c r="T3176" i="127"/>
  <c r="T3171" i="127"/>
  <c r="T3172" i="127"/>
  <c r="S135" i="127"/>
  <c r="T3161" i="127"/>
  <c r="T3167" i="127"/>
  <c r="T3164" i="127"/>
  <c r="S2958" i="127"/>
  <c r="S3159" i="127"/>
  <c r="T3159" i="127" s="1"/>
  <c r="S2960" i="127"/>
  <c r="T3051" i="127"/>
  <c r="S1818" i="127"/>
  <c r="T1818" i="127" s="1"/>
  <c r="C3075" i="127"/>
  <c r="C3076" i="127"/>
  <c r="C3077" i="127"/>
  <c r="C3073" i="127"/>
  <c r="C3078" i="127"/>
  <c r="C3090" i="127"/>
  <c r="C3082" i="127"/>
  <c r="C3079" i="127"/>
  <c r="C3080" i="127"/>
  <c r="C3081" i="127"/>
  <c r="C3087" i="127"/>
  <c r="C3088" i="127"/>
  <c r="C3089" i="127"/>
  <c r="C3086" i="127"/>
  <c r="C3074" i="127"/>
  <c r="C3084" i="127"/>
  <c r="C3085" i="127"/>
  <c r="C3083" i="127"/>
  <c r="AK438" i="123" l="1"/>
  <c r="AN480" i="123"/>
  <c r="AM470" i="123"/>
  <c r="AM522" i="123"/>
  <c r="AN221" i="123"/>
  <c r="AN107" i="123"/>
  <c r="T3544" i="127"/>
  <c r="AK365" i="123"/>
  <c r="T3428" i="127"/>
  <c r="AL436" i="123" s="1"/>
  <c r="AO436" i="123" s="1"/>
  <c r="AK436" i="123"/>
  <c r="AK433" i="123"/>
  <c r="AK78" i="123"/>
  <c r="AQ422" i="123"/>
  <c r="AR422" i="123" s="1"/>
  <c r="AS422" i="123" s="1"/>
  <c r="AT422" i="123"/>
  <c r="AP523" i="123"/>
  <c r="AU523" i="123" s="1"/>
  <c r="AP475" i="123"/>
  <c r="AU475" i="123" s="1"/>
  <c r="AM439" i="123"/>
  <c r="AN439" i="123"/>
  <c r="AK205" i="123"/>
  <c r="AM489" i="123"/>
  <c r="AM462" i="123"/>
  <c r="AM428" i="123"/>
  <c r="AQ515" i="123"/>
  <c r="AR515" i="123" s="1"/>
  <c r="AS515" i="123" s="1"/>
  <c r="AT515" i="123" s="1"/>
  <c r="AQ501" i="123"/>
  <c r="AR501" i="123" s="1"/>
  <c r="AS501" i="123" s="1"/>
  <c r="AT501" i="123" s="1"/>
  <c r="AM524" i="123"/>
  <c r="AM498" i="123"/>
  <c r="AM500" i="123"/>
  <c r="AN500" i="123"/>
  <c r="AM431" i="123"/>
  <c r="AN431" i="123"/>
  <c r="AP463" i="123"/>
  <c r="AU463" i="123" s="1"/>
  <c r="AM441" i="123"/>
  <c r="AN441" i="123"/>
  <c r="AN283" i="123"/>
  <c r="AP494" i="123"/>
  <c r="AM509" i="123"/>
  <c r="AN509" i="123"/>
  <c r="AP488" i="123"/>
  <c r="AU488" i="123" s="1"/>
  <c r="AP473" i="123"/>
  <c r="AU473" i="123" s="1"/>
  <c r="AP467" i="123"/>
  <c r="AU467" i="123" s="1"/>
  <c r="AM419" i="123"/>
  <c r="AN419" i="123"/>
  <c r="AM424" i="123"/>
  <c r="AQ513" i="123"/>
  <c r="AR513" i="123" s="1"/>
  <c r="AS513" i="123" s="1"/>
  <c r="AT513" i="123" s="1"/>
  <c r="AM518" i="123"/>
  <c r="AP486" i="123"/>
  <c r="AP493" i="123"/>
  <c r="AU493" i="123" s="1"/>
  <c r="AP460" i="123"/>
  <c r="AU460" i="123" s="1"/>
  <c r="AP448" i="123"/>
  <c r="AU448" i="123" s="1"/>
  <c r="AP478" i="123"/>
  <c r="AL113" i="123"/>
  <c r="AO113" i="123" s="1"/>
  <c r="AN502" i="123"/>
  <c r="AL78" i="123"/>
  <c r="AO78" i="123" s="1"/>
  <c r="AM533" i="123"/>
  <c r="AN533" i="123"/>
  <c r="AM523" i="123"/>
  <c r="AM457" i="123"/>
  <c r="AN457" i="123"/>
  <c r="AN270" i="123"/>
  <c r="AP456" i="123"/>
  <c r="AU456" i="123" s="1"/>
  <c r="AP432" i="123"/>
  <c r="AU432" i="123" s="1"/>
  <c r="AP511" i="123"/>
  <c r="AU511" i="123" s="1"/>
  <c r="AM466" i="123"/>
  <c r="AN466" i="123"/>
  <c r="AM463" i="123"/>
  <c r="AM529" i="123"/>
  <c r="AN529" i="123"/>
  <c r="AM494" i="123"/>
  <c r="AM488" i="123"/>
  <c r="AM473" i="123"/>
  <c r="AM467" i="123"/>
  <c r="AP427" i="123"/>
  <c r="AU427" i="123" s="1"/>
  <c r="AQ503" i="123"/>
  <c r="AR503" i="123" s="1"/>
  <c r="AS503" i="123" s="1"/>
  <c r="AT503" i="123" s="1"/>
  <c r="AQ504" i="123"/>
  <c r="AR504" i="123" s="1"/>
  <c r="AS504" i="123" s="1"/>
  <c r="AT504" i="123" s="1"/>
  <c r="AP514" i="123"/>
  <c r="AU514" i="123" s="1"/>
  <c r="AP519" i="123"/>
  <c r="AU519" i="123" s="1"/>
  <c r="AM447" i="123"/>
  <c r="AN447" i="123"/>
  <c r="AM486" i="123"/>
  <c r="AM493" i="123"/>
  <c r="AM460" i="123"/>
  <c r="AM448" i="123"/>
  <c r="AM478" i="123"/>
  <c r="AN421" i="123"/>
  <c r="AN461" i="123"/>
  <c r="T3869" i="127"/>
  <c r="AL471" i="123" s="1"/>
  <c r="AO471" i="123" s="1"/>
  <c r="AK471" i="123"/>
  <c r="AP520" i="123"/>
  <c r="AU520" i="123" s="1"/>
  <c r="AM508" i="123"/>
  <c r="AN508" i="123"/>
  <c r="AP506" i="123"/>
  <c r="AU506" i="123" s="1"/>
  <c r="AP472" i="123"/>
  <c r="AU472" i="123" s="1"/>
  <c r="AM456" i="123"/>
  <c r="AM432" i="123"/>
  <c r="AP512" i="123"/>
  <c r="AU512" i="123" s="1"/>
  <c r="AK423" i="123"/>
  <c r="AQ521" i="123"/>
  <c r="AR521" i="123" s="1"/>
  <c r="AS521" i="123" s="1"/>
  <c r="AT521" i="123" s="1"/>
  <c r="AQ517" i="123"/>
  <c r="AR517" i="123" s="1"/>
  <c r="AS517" i="123" s="1"/>
  <c r="AT517" i="123" s="1"/>
  <c r="AM511" i="123"/>
  <c r="AP495" i="123"/>
  <c r="AU495" i="123" s="1"/>
  <c r="AP455" i="123"/>
  <c r="AU455" i="123" s="1"/>
  <c r="AP464" i="123"/>
  <c r="AU464" i="123" s="1"/>
  <c r="AP459" i="123"/>
  <c r="AU459" i="123" s="1"/>
  <c r="AP480" i="123"/>
  <c r="AU480" i="123" s="1"/>
  <c r="AM507" i="123"/>
  <c r="AN507" i="123"/>
  <c r="AP490" i="123"/>
  <c r="AU490" i="123" s="1"/>
  <c r="AP496" i="123"/>
  <c r="AU496" i="123" s="1"/>
  <c r="AP481" i="123"/>
  <c r="AU481" i="123" s="1"/>
  <c r="AP469" i="123"/>
  <c r="AU469" i="123" s="1"/>
  <c r="AP492" i="123"/>
  <c r="AU492" i="123" s="1"/>
  <c r="AN278" i="123"/>
  <c r="AM427" i="123"/>
  <c r="AQ527" i="123"/>
  <c r="AR527" i="123" s="1"/>
  <c r="AS527" i="123" s="1"/>
  <c r="AT527" i="123" s="1"/>
  <c r="AM514" i="123"/>
  <c r="AM519" i="123"/>
  <c r="AP444" i="123"/>
  <c r="AP477" i="123"/>
  <c r="AU477" i="123" s="1"/>
  <c r="AP451" i="123"/>
  <c r="AU451" i="123" s="1"/>
  <c r="AK224" i="123"/>
  <c r="T838" i="127"/>
  <c r="AL161" i="123" s="1"/>
  <c r="AO161" i="123" s="1"/>
  <c r="AK161" i="123"/>
  <c r="T1689" i="127"/>
  <c r="AL253" i="123" s="1"/>
  <c r="AO253" i="123" s="1"/>
  <c r="AK253" i="123"/>
  <c r="AN438" i="123"/>
  <c r="AN440" i="123"/>
  <c r="T3221" i="127"/>
  <c r="AK377" i="123"/>
  <c r="T267" i="127"/>
  <c r="AL102" i="123" s="1"/>
  <c r="AO102" i="123" s="1"/>
  <c r="AK102" i="123"/>
  <c r="AN265" i="123"/>
  <c r="AN311" i="123"/>
  <c r="AM520" i="123"/>
  <c r="AM506" i="123"/>
  <c r="AM472" i="123"/>
  <c r="AP489" i="123"/>
  <c r="AU489" i="123" s="1"/>
  <c r="AP462" i="123"/>
  <c r="AU462" i="123" s="1"/>
  <c r="AP428" i="123"/>
  <c r="AU428" i="123" s="1"/>
  <c r="AM512" i="123"/>
  <c r="AQ505" i="123"/>
  <c r="AR505" i="123" s="1"/>
  <c r="AS505" i="123" s="1"/>
  <c r="AT505" i="123" s="1"/>
  <c r="AU515" i="123"/>
  <c r="AU501" i="123"/>
  <c r="AP524" i="123"/>
  <c r="AU524" i="123" s="1"/>
  <c r="AP498" i="123"/>
  <c r="AU498" i="123" s="1"/>
  <c r="AM499" i="123"/>
  <c r="AN499" i="123"/>
  <c r="AM495" i="123"/>
  <c r="AM455" i="123"/>
  <c r="AM464" i="123"/>
  <c r="AM459" i="123"/>
  <c r="AM479" i="123"/>
  <c r="AN479" i="123"/>
  <c r="AM490" i="123"/>
  <c r="AM496" i="123"/>
  <c r="AM481" i="123"/>
  <c r="AM469" i="123"/>
  <c r="AM492" i="123"/>
  <c r="AP424" i="123"/>
  <c r="AU424" i="123" s="1"/>
  <c r="AK48" i="123"/>
  <c r="AQ491" i="123"/>
  <c r="AR491" i="123" s="1"/>
  <c r="AS491" i="123" s="1"/>
  <c r="AT491" i="123" s="1"/>
  <c r="AQ525" i="123"/>
  <c r="AR525" i="123" s="1"/>
  <c r="AS525" i="123" s="1"/>
  <c r="AT525" i="123" s="1"/>
  <c r="AP522" i="123"/>
  <c r="AP470" i="123"/>
  <c r="AU470" i="123" s="1"/>
  <c r="AP518" i="123"/>
  <c r="AM487" i="123"/>
  <c r="AN487" i="123"/>
  <c r="AM444" i="123"/>
  <c r="AM477" i="123"/>
  <c r="AM451" i="123"/>
  <c r="AL224" i="123"/>
  <c r="AO224" i="123" s="1"/>
  <c r="AK113" i="123"/>
  <c r="T135" i="127"/>
  <c r="T1637" i="127"/>
  <c r="T3602" i="127"/>
  <c r="AL416" i="123" s="1"/>
  <c r="AO416" i="123" s="1"/>
  <c r="AK416" i="123"/>
  <c r="T3603" i="127"/>
  <c r="AL435" i="123" s="1"/>
  <c r="AO435" i="123" s="1"/>
  <c r="AK435" i="123"/>
  <c r="T3994" i="127"/>
  <c r="AL476" i="123" s="1"/>
  <c r="AO476" i="123" s="1"/>
  <c r="AK476" i="123"/>
  <c r="T4426" i="127"/>
  <c r="AL245" i="123" s="1"/>
  <c r="AO245" i="123" s="1"/>
  <c r="AK245" i="123"/>
  <c r="T4276" i="127"/>
  <c r="T4121" i="127"/>
  <c r="AL502" i="123" s="1"/>
  <c r="AO502" i="123" s="1"/>
  <c r="T3633" i="127"/>
  <c r="AL433" i="123" s="1"/>
  <c r="AO433" i="123" s="1"/>
  <c r="T3893" i="127"/>
  <c r="AL461" i="123" s="1"/>
  <c r="AO461" i="123" s="1"/>
  <c r="T580" i="127"/>
  <c r="AL96" i="123" s="1"/>
  <c r="T3501" i="127"/>
  <c r="AL440" i="123" s="1"/>
  <c r="AO440" i="123" s="1"/>
  <c r="T3481" i="127"/>
  <c r="AL438" i="123" s="1"/>
  <c r="AO438" i="123" s="1"/>
  <c r="T3341" i="127"/>
  <c r="AL421" i="123" s="1"/>
  <c r="AO421" i="123" s="1"/>
  <c r="T3282" i="127"/>
  <c r="C3062" i="127"/>
  <c r="C3067" i="127"/>
  <c r="C3066" i="127"/>
  <c r="C3064" i="127"/>
  <c r="C3065" i="127"/>
  <c r="C3071" i="127"/>
  <c r="C3070" i="127"/>
  <c r="C3068" i="127"/>
  <c r="C3069" i="127"/>
  <c r="C3072" i="127"/>
  <c r="C3063" i="127"/>
  <c r="AO96" i="123" l="1"/>
  <c r="AP96" i="123" s="1"/>
  <c r="AM96" i="123"/>
  <c r="AQ518" i="123"/>
  <c r="AR518" i="123" s="1"/>
  <c r="AS518" i="123" s="1"/>
  <c r="AT518" i="123" s="1"/>
  <c r="AQ522" i="123"/>
  <c r="AR522" i="123" s="1"/>
  <c r="AS522" i="123" s="1"/>
  <c r="AT522" i="123" s="1"/>
  <c r="AQ424" i="123"/>
  <c r="AR424" i="123" s="1"/>
  <c r="AS424" i="123" s="1"/>
  <c r="AT424" i="123" s="1"/>
  <c r="AP499" i="123"/>
  <c r="AU499" i="123" s="1"/>
  <c r="AQ428" i="123"/>
  <c r="AR428" i="123" s="1"/>
  <c r="AS428" i="123" s="1"/>
  <c r="AT428" i="123" s="1"/>
  <c r="AN377" i="123"/>
  <c r="AM440" i="123"/>
  <c r="AQ444" i="123"/>
  <c r="AR444" i="123" s="1"/>
  <c r="AS444" i="123" s="1"/>
  <c r="AT444" i="123" s="1"/>
  <c r="AQ469" i="123"/>
  <c r="AR469" i="123" s="1"/>
  <c r="AS469" i="123" s="1"/>
  <c r="AT469" i="123" s="1"/>
  <c r="AQ496" i="123"/>
  <c r="AR496" i="123" s="1"/>
  <c r="AS496" i="123" s="1"/>
  <c r="AT496" i="123" s="1"/>
  <c r="AQ464" i="123"/>
  <c r="AR464" i="123" s="1"/>
  <c r="AS464" i="123" s="1"/>
  <c r="AT464" i="123" s="1"/>
  <c r="AQ495" i="123"/>
  <c r="AR495" i="123" s="1"/>
  <c r="AS495" i="123" s="1"/>
  <c r="AT495" i="123" s="1"/>
  <c r="AT512" i="123"/>
  <c r="AQ512" i="123"/>
  <c r="AR512" i="123" s="1"/>
  <c r="AS512" i="123" s="1"/>
  <c r="AQ472" i="123"/>
  <c r="AR472" i="123" s="1"/>
  <c r="AS472" i="123" s="1"/>
  <c r="AT472" i="123" s="1"/>
  <c r="AM421" i="123"/>
  <c r="AQ511" i="123"/>
  <c r="AR511" i="123" s="1"/>
  <c r="AS511" i="123" s="1"/>
  <c r="AT511" i="123" s="1"/>
  <c r="AQ432" i="123"/>
  <c r="AR432" i="123" s="1"/>
  <c r="AS432" i="123" s="1"/>
  <c r="AT432" i="123" s="1"/>
  <c r="AP533" i="123"/>
  <c r="AU533" i="123" s="1"/>
  <c r="AM502" i="123"/>
  <c r="AQ478" i="123"/>
  <c r="AR478" i="123" s="1"/>
  <c r="AS478" i="123" s="1"/>
  <c r="AT478" i="123" s="1"/>
  <c r="AQ486" i="123"/>
  <c r="AR486" i="123" s="1"/>
  <c r="AS486" i="123" s="1"/>
  <c r="AT486" i="123" s="1"/>
  <c r="AQ494" i="123"/>
  <c r="AR494" i="123" s="1"/>
  <c r="AS494" i="123" s="1"/>
  <c r="AT494" i="123" s="1"/>
  <c r="AP500" i="123"/>
  <c r="AP439" i="123"/>
  <c r="AM78" i="123"/>
  <c r="AN78" i="123"/>
  <c r="AN365" i="123"/>
  <c r="AM245" i="123"/>
  <c r="AN245" i="123"/>
  <c r="AM435" i="123"/>
  <c r="AN435" i="123"/>
  <c r="AM113" i="123"/>
  <c r="AN113" i="123"/>
  <c r="AU518" i="123"/>
  <c r="AU522" i="123"/>
  <c r="AQ524" i="123"/>
  <c r="AR524" i="123" s="1"/>
  <c r="AS524" i="123" s="1"/>
  <c r="AT524" i="123" s="1"/>
  <c r="AP438" i="123"/>
  <c r="AM161" i="123"/>
  <c r="AN161" i="123"/>
  <c r="AT451" i="123"/>
  <c r="AQ451" i="123"/>
  <c r="AR451" i="123" s="1"/>
  <c r="AS451" i="123" s="1"/>
  <c r="AU444" i="123"/>
  <c r="AQ490" i="123"/>
  <c r="AR490" i="123" s="1"/>
  <c r="AS490" i="123" s="1"/>
  <c r="AT490" i="123" s="1"/>
  <c r="AQ506" i="123"/>
  <c r="AR506" i="123" s="1"/>
  <c r="AS506" i="123" s="1"/>
  <c r="AT506" i="123"/>
  <c r="AP461" i="123"/>
  <c r="AU461" i="123" s="1"/>
  <c r="AQ519" i="123"/>
  <c r="AR519" i="123" s="1"/>
  <c r="AS519" i="123" s="1"/>
  <c r="AT519" i="123" s="1"/>
  <c r="AT427" i="123"/>
  <c r="AQ427" i="123"/>
  <c r="AR427" i="123" s="1"/>
  <c r="AS427" i="123" s="1"/>
  <c r="AP466" i="123"/>
  <c r="AP457" i="123"/>
  <c r="AU457" i="123" s="1"/>
  <c r="AU478" i="123"/>
  <c r="AQ460" i="123"/>
  <c r="AR460" i="123" s="1"/>
  <c r="AS460" i="123" s="1"/>
  <c r="AT460" i="123" s="1"/>
  <c r="AU486" i="123"/>
  <c r="AT467" i="123"/>
  <c r="AQ467" i="123"/>
  <c r="AR467" i="123" s="1"/>
  <c r="AS467" i="123" s="1"/>
  <c r="AT488" i="123"/>
  <c r="AQ488" i="123"/>
  <c r="AR488" i="123" s="1"/>
  <c r="AS488" i="123" s="1"/>
  <c r="AU494" i="123"/>
  <c r="AQ463" i="123"/>
  <c r="AR463" i="123" s="1"/>
  <c r="AS463" i="123" s="1"/>
  <c r="AT463" i="123" s="1"/>
  <c r="AQ523" i="123"/>
  <c r="AR523" i="123" s="1"/>
  <c r="AS523" i="123" s="1"/>
  <c r="AT523" i="123" s="1"/>
  <c r="AM433" i="123"/>
  <c r="AN433" i="123"/>
  <c r="AP487" i="123"/>
  <c r="AU487" i="123" s="1"/>
  <c r="AQ470" i="123"/>
  <c r="AR470" i="123" s="1"/>
  <c r="AS470" i="123" s="1"/>
  <c r="AT470" i="123" s="1"/>
  <c r="AN48" i="123"/>
  <c r="AP479" i="123"/>
  <c r="AU479" i="123" s="1"/>
  <c r="AQ498" i="123"/>
  <c r="AR498" i="123" s="1"/>
  <c r="AS498" i="123" s="1"/>
  <c r="AT498" i="123" s="1"/>
  <c r="AQ489" i="123"/>
  <c r="AR489" i="123" s="1"/>
  <c r="AS489" i="123" s="1"/>
  <c r="AT489" i="123" s="1"/>
  <c r="AM102" i="123"/>
  <c r="AM438" i="123"/>
  <c r="AT492" i="123"/>
  <c r="AQ492" i="123"/>
  <c r="AR492" i="123" s="1"/>
  <c r="AS492" i="123" s="1"/>
  <c r="AQ481" i="123"/>
  <c r="AR481" i="123" s="1"/>
  <c r="AS481" i="123" s="1"/>
  <c r="AT481" i="123" s="1"/>
  <c r="AQ480" i="123"/>
  <c r="AR480" i="123" s="1"/>
  <c r="AS480" i="123" s="1"/>
  <c r="AT480" i="123" s="1"/>
  <c r="AQ459" i="123"/>
  <c r="AR459" i="123" s="1"/>
  <c r="AS459" i="123" s="1"/>
  <c r="AT459" i="123" s="1"/>
  <c r="AT455" i="123"/>
  <c r="AQ455" i="123"/>
  <c r="AR455" i="123" s="1"/>
  <c r="AS455" i="123" s="1"/>
  <c r="AM423" i="123"/>
  <c r="AN423" i="123"/>
  <c r="AQ520" i="123"/>
  <c r="AR520" i="123" s="1"/>
  <c r="AS520" i="123" s="1"/>
  <c r="AT520" i="123" s="1"/>
  <c r="AM461" i="123"/>
  <c r="AP447" i="123"/>
  <c r="AU447" i="123" s="1"/>
  <c r="AQ514" i="123"/>
  <c r="AR514" i="123" s="1"/>
  <c r="AS514" i="123" s="1"/>
  <c r="AT514" i="123" s="1"/>
  <c r="AP529" i="123"/>
  <c r="AU529" i="123" s="1"/>
  <c r="AQ456" i="123"/>
  <c r="AR456" i="123" s="1"/>
  <c r="AS456" i="123" s="1"/>
  <c r="AT456" i="123" s="1"/>
  <c r="AQ448" i="123"/>
  <c r="AR448" i="123" s="1"/>
  <c r="AS448" i="123" s="1"/>
  <c r="AT448" i="123" s="1"/>
  <c r="AP419" i="123"/>
  <c r="AP509" i="123"/>
  <c r="AU509" i="123" s="1"/>
  <c r="AP441" i="123"/>
  <c r="AU441" i="123" s="1"/>
  <c r="AP431" i="123"/>
  <c r="AU431" i="123" s="1"/>
  <c r="AM436" i="123"/>
  <c r="AN436" i="123"/>
  <c r="AM476" i="123"/>
  <c r="AN476" i="123"/>
  <c r="AM416" i="123"/>
  <c r="AN416" i="123"/>
  <c r="AQ462" i="123"/>
  <c r="AR462" i="123" s="1"/>
  <c r="AS462" i="123" s="1"/>
  <c r="AT462" i="123" s="1"/>
  <c r="AP440" i="123"/>
  <c r="AM253" i="123"/>
  <c r="AN253" i="123"/>
  <c r="AM224" i="123"/>
  <c r="AN224" i="123"/>
  <c r="AQ477" i="123"/>
  <c r="AR477" i="123" s="1"/>
  <c r="AS477" i="123" s="1"/>
  <c r="AT477" i="123" s="1"/>
  <c r="AP507" i="123"/>
  <c r="AU507" i="123" s="1"/>
  <c r="AP508" i="123"/>
  <c r="AM471" i="123"/>
  <c r="AN471" i="123"/>
  <c r="AP421" i="123"/>
  <c r="AP502" i="123"/>
  <c r="AU502" i="123" s="1"/>
  <c r="AT493" i="123"/>
  <c r="AQ493" i="123"/>
  <c r="AR493" i="123" s="1"/>
  <c r="AS493" i="123" s="1"/>
  <c r="AQ473" i="123"/>
  <c r="AR473" i="123" s="1"/>
  <c r="AS473" i="123" s="1"/>
  <c r="AT473" i="123" s="1"/>
  <c r="AN205" i="123"/>
  <c r="AQ475" i="123"/>
  <c r="AR475" i="123" s="1"/>
  <c r="AS475" i="123" s="1"/>
  <c r="AT475" i="123" s="1"/>
  <c r="C3052" i="127"/>
  <c r="C3053" i="127"/>
  <c r="C3054" i="127"/>
  <c r="C3060" i="127"/>
  <c r="C3055" i="127"/>
  <c r="C3057" i="127"/>
  <c r="C3058" i="127"/>
  <c r="C3056" i="127"/>
  <c r="C3061" i="127"/>
  <c r="AU96" i="123" l="1"/>
  <c r="AT96" i="123"/>
  <c r="AQ96" i="123"/>
  <c r="AR96" i="123" s="1"/>
  <c r="AS96" i="123" s="1"/>
  <c r="AQ421" i="123"/>
  <c r="AR421" i="123" s="1"/>
  <c r="AS421" i="123" s="1"/>
  <c r="AT421" i="123" s="1"/>
  <c r="AQ508" i="123"/>
  <c r="AR508" i="123" s="1"/>
  <c r="AS508" i="123" s="1"/>
  <c r="AT508" i="123" s="1"/>
  <c r="AQ440" i="123"/>
  <c r="AR440" i="123" s="1"/>
  <c r="AS440" i="123" s="1"/>
  <c r="AT440" i="123" s="1"/>
  <c r="AQ466" i="123"/>
  <c r="AR466" i="123" s="1"/>
  <c r="AS466" i="123" s="1"/>
  <c r="AT466" i="123" s="1"/>
  <c r="AQ500" i="123"/>
  <c r="AR500" i="123" s="1"/>
  <c r="AS500" i="123" s="1"/>
  <c r="AT500" i="123" s="1"/>
  <c r="AP471" i="123"/>
  <c r="AU471" i="123" s="1"/>
  <c r="AP253" i="123"/>
  <c r="AU253" i="123" s="1"/>
  <c r="AT441" i="123"/>
  <c r="AQ441" i="123"/>
  <c r="AR441" i="123" s="1"/>
  <c r="AS441" i="123" s="1"/>
  <c r="AQ509" i="123"/>
  <c r="AR509" i="123" s="1"/>
  <c r="AS509" i="123" s="1"/>
  <c r="AT509" i="123" s="1"/>
  <c r="AQ529" i="123"/>
  <c r="AR529" i="123" s="1"/>
  <c r="AS529" i="123" s="1"/>
  <c r="AT529" i="123" s="1"/>
  <c r="AQ447" i="123"/>
  <c r="AR447" i="123" s="1"/>
  <c r="AS447" i="123" s="1"/>
  <c r="AT447" i="123" s="1"/>
  <c r="AP423" i="123"/>
  <c r="AU423" i="123" s="1"/>
  <c r="AQ487" i="123"/>
  <c r="AR487" i="123" s="1"/>
  <c r="AS487" i="123" s="1"/>
  <c r="AT487" i="123" s="1"/>
  <c r="AU466" i="123"/>
  <c r="AQ438" i="123"/>
  <c r="AR438" i="123" s="1"/>
  <c r="AS438" i="123" s="1"/>
  <c r="AT438" i="123" s="1"/>
  <c r="AP435" i="123"/>
  <c r="AQ439" i="123"/>
  <c r="AR439" i="123" s="1"/>
  <c r="AS439" i="123" s="1"/>
  <c r="AT439" i="123" s="1"/>
  <c r="AQ533" i="123"/>
  <c r="AR533" i="123" s="1"/>
  <c r="AS533" i="123" s="1"/>
  <c r="AT533" i="123" s="1"/>
  <c r="AQ499" i="123"/>
  <c r="AR499" i="123" s="1"/>
  <c r="AS499" i="123" s="1"/>
  <c r="AT499" i="123" s="1"/>
  <c r="AU438" i="123"/>
  <c r="AU439" i="123"/>
  <c r="AQ507" i="123"/>
  <c r="AR507" i="123" s="1"/>
  <c r="AS507" i="123" s="1"/>
  <c r="AT507" i="123" s="1"/>
  <c r="AP476" i="123"/>
  <c r="AU476" i="123" s="1"/>
  <c r="AQ419" i="123"/>
  <c r="AR419" i="123" s="1"/>
  <c r="AS419" i="123" s="1"/>
  <c r="AT419" i="123" s="1"/>
  <c r="AQ502" i="123"/>
  <c r="AR502" i="123" s="1"/>
  <c r="AS502" i="123" s="1"/>
  <c r="AT502" i="123" s="1"/>
  <c r="AU421" i="123"/>
  <c r="AU508" i="123"/>
  <c r="AP224" i="123"/>
  <c r="AU224" i="123" s="1"/>
  <c r="AU440" i="123"/>
  <c r="AT431" i="123"/>
  <c r="AQ431" i="123"/>
  <c r="AR431" i="123" s="1"/>
  <c r="AS431" i="123" s="1"/>
  <c r="AU419" i="123"/>
  <c r="AQ479" i="123"/>
  <c r="AR479" i="123" s="1"/>
  <c r="AS479" i="123" s="1"/>
  <c r="AT479" i="123" s="1"/>
  <c r="AP433" i="123"/>
  <c r="AU433" i="123" s="1"/>
  <c r="AQ457" i="123"/>
  <c r="AR457" i="123" s="1"/>
  <c r="AS457" i="123" s="1"/>
  <c r="AT457" i="123" s="1"/>
  <c r="AQ461" i="123"/>
  <c r="AR461" i="123" s="1"/>
  <c r="AS461" i="123" s="1"/>
  <c r="AT461" i="123" s="1"/>
  <c r="AP161" i="123"/>
  <c r="AU161" i="123" s="1"/>
  <c r="AP113" i="123"/>
  <c r="AU113" i="123" s="1"/>
  <c r="AP245" i="123"/>
  <c r="AP78" i="123"/>
  <c r="AU500" i="123"/>
  <c r="AP416" i="123"/>
  <c r="AU416" i="123" s="1"/>
  <c r="AP436" i="123"/>
  <c r="C3033" i="127"/>
  <c r="C3043" i="127"/>
  <c r="C3036" i="127"/>
  <c r="C3041" i="127"/>
  <c r="C3042" i="127"/>
  <c r="C3028" i="127"/>
  <c r="C3032" i="127"/>
  <c r="C3035" i="127"/>
  <c r="C3045" i="127"/>
  <c r="C3044" i="127"/>
  <c r="C3037" i="127"/>
  <c r="C3030" i="127"/>
  <c r="C3029" i="127"/>
  <c r="C3047" i="127"/>
  <c r="C3048" i="127"/>
  <c r="C3049" i="127"/>
  <c r="C3050" i="127"/>
  <c r="C3051" i="127"/>
  <c r="C3059" i="127"/>
  <c r="AQ253" i="123" l="1"/>
  <c r="AR253" i="123" s="1"/>
  <c r="AS253" i="123" s="1"/>
  <c r="AT253" i="123"/>
  <c r="AQ78" i="123"/>
  <c r="AR78" i="123" s="1"/>
  <c r="AS78" i="123" s="1"/>
  <c r="AT78" i="123"/>
  <c r="AT433" i="123"/>
  <c r="AQ433" i="123"/>
  <c r="AR433" i="123" s="1"/>
  <c r="AS433" i="123" s="1"/>
  <c r="AT224" i="123"/>
  <c r="AQ224" i="123"/>
  <c r="AR224" i="123" s="1"/>
  <c r="AS224" i="123" s="1"/>
  <c r="AQ436" i="123"/>
  <c r="AR436" i="123" s="1"/>
  <c r="AS436" i="123" s="1"/>
  <c r="AT436" i="123" s="1"/>
  <c r="AQ245" i="123"/>
  <c r="AR245" i="123" s="1"/>
  <c r="AS245" i="123" s="1"/>
  <c r="AT245" i="123" s="1"/>
  <c r="AQ113" i="123"/>
  <c r="AR113" i="123" s="1"/>
  <c r="AS113" i="123" s="1"/>
  <c r="AT113" i="123" s="1"/>
  <c r="AU78" i="123"/>
  <c r="AQ416" i="123"/>
  <c r="AR416" i="123" s="1"/>
  <c r="AS416" i="123" s="1"/>
  <c r="AT416" i="123" s="1"/>
  <c r="AQ435" i="123"/>
  <c r="AR435" i="123" s="1"/>
  <c r="AS435" i="123" s="1"/>
  <c r="AT435" i="123" s="1"/>
  <c r="AU436" i="123"/>
  <c r="AU245" i="123"/>
  <c r="AQ161" i="123"/>
  <c r="AR161" i="123" s="1"/>
  <c r="AS161" i="123" s="1"/>
  <c r="AT161" i="123" s="1"/>
  <c r="AQ476" i="123"/>
  <c r="AR476" i="123" s="1"/>
  <c r="AS476" i="123" s="1"/>
  <c r="AT476" i="123" s="1"/>
  <c r="AU435" i="123"/>
  <c r="AT423" i="123"/>
  <c r="AQ423" i="123"/>
  <c r="AR423" i="123" s="1"/>
  <c r="AS423" i="123" s="1"/>
  <c r="AQ471" i="123"/>
  <c r="AR471" i="123" s="1"/>
  <c r="AS471" i="123" s="1"/>
  <c r="AT471" i="123" s="1"/>
  <c r="H497" i="121"/>
  <c r="I497" i="121"/>
  <c r="H492" i="121"/>
  <c r="I492" i="121"/>
  <c r="C2988" i="127" l="1"/>
  <c r="C3015" i="127"/>
  <c r="C3004" i="127"/>
  <c r="C3005" i="127"/>
  <c r="C2989" i="127"/>
  <c r="C3016" i="127"/>
  <c r="C2991" i="127"/>
  <c r="C3013" i="127"/>
  <c r="C3006" i="127"/>
  <c r="C3020" i="127"/>
  <c r="C3027" i="127"/>
  <c r="C3017" i="127"/>
  <c r="C3026" i="127"/>
  <c r="C3021" i="127"/>
  <c r="C3019" i="127"/>
  <c r="C3018" i="127"/>
  <c r="C3022" i="127"/>
  <c r="C3023" i="127"/>
  <c r="C3024" i="127"/>
  <c r="C3025" i="127"/>
  <c r="C3046" i="127"/>
  <c r="C3034" i="127"/>
  <c r="C3038" i="127"/>
  <c r="C3039" i="127"/>
  <c r="C3040" i="127"/>
  <c r="C3031" i="127"/>
  <c r="C2998" i="127" l="1"/>
  <c r="C2997" i="127"/>
  <c r="C3002" i="127"/>
  <c r="C3009" i="127"/>
  <c r="C2992" i="127"/>
  <c r="C3008" i="127"/>
  <c r="C2999" i="127"/>
  <c r="C3014" i="127"/>
  <c r="C3000" i="127"/>
  <c r="C3007" i="127"/>
  <c r="C2993" i="127"/>
  <c r="C2994" i="127"/>
  <c r="C2995" i="127"/>
  <c r="C2996" i="127"/>
  <c r="C3010" i="127"/>
  <c r="C3011" i="127"/>
  <c r="C3001" i="127"/>
  <c r="C3003" i="127"/>
  <c r="C2990" i="127"/>
  <c r="C3012" i="127"/>
  <c r="Q2987" i="127" l="1"/>
  <c r="Q2980" i="127"/>
  <c r="Q2982" i="127"/>
  <c r="Q2981" i="127"/>
  <c r="Q2983" i="127"/>
  <c r="Q2985" i="127"/>
  <c r="Q2984" i="127"/>
  <c r="Q2986" i="127"/>
  <c r="Q2998" i="127"/>
  <c r="Q2997" i="127"/>
  <c r="Q3002" i="127"/>
  <c r="Q3009" i="127"/>
  <c r="Q2992" i="127"/>
  <c r="Q3008" i="127"/>
  <c r="Q2999" i="127"/>
  <c r="Q3014" i="127"/>
  <c r="Q3000" i="127"/>
  <c r="Q3007" i="127"/>
  <c r="Q2993" i="127"/>
  <c r="Q2994" i="127"/>
  <c r="Q2995" i="127"/>
  <c r="Q2996" i="127"/>
  <c r="Q3010" i="127"/>
  <c r="Q3011" i="127"/>
  <c r="Q3001" i="127"/>
  <c r="Q3003" i="127"/>
  <c r="Q2990" i="127"/>
  <c r="Q3012" i="127"/>
  <c r="Q2988" i="127"/>
  <c r="Q3015" i="127"/>
  <c r="Q3004" i="127"/>
  <c r="C2979" i="127" l="1"/>
  <c r="C2964" i="127"/>
  <c r="C2961" i="127"/>
  <c r="C2958" i="127"/>
  <c r="C2959" i="127"/>
  <c r="C2960" i="127"/>
  <c r="C2967" i="127"/>
  <c r="C2968" i="127"/>
  <c r="C2978" i="127"/>
  <c r="C2971" i="127"/>
  <c r="C2969" i="127"/>
  <c r="C2970" i="127"/>
  <c r="C2965" i="127"/>
  <c r="C2963" i="127"/>
  <c r="C2966" i="127"/>
  <c r="C2987" i="127"/>
  <c r="C2980" i="127"/>
  <c r="C2982" i="127"/>
  <c r="C2981" i="127"/>
  <c r="C2983" i="127"/>
  <c r="C2985" i="127"/>
  <c r="C2984" i="127"/>
  <c r="C2986" i="127"/>
  <c r="C2943" i="127"/>
  <c r="C2952" i="127"/>
  <c r="C2939" i="127"/>
  <c r="C2953" i="127"/>
  <c r="C2938" i="127"/>
  <c r="C2955" i="127"/>
  <c r="C2941" i="127"/>
  <c r="C2937" i="127"/>
  <c r="C2947" i="127"/>
  <c r="C2946" i="127"/>
  <c r="C2954" i="127"/>
  <c r="C2945" i="127"/>
  <c r="C2948" i="127"/>
  <c r="C2951" i="127"/>
  <c r="C2940" i="127"/>
  <c r="C2956" i="127"/>
  <c r="C2957" i="127"/>
  <c r="C2944" i="127"/>
  <c r="C2972" i="127"/>
  <c r="C2962" i="127"/>
  <c r="C2973" i="127"/>
  <c r="C2974" i="127"/>
  <c r="C2975" i="127"/>
  <c r="C2976" i="127"/>
  <c r="C2977" i="127"/>
  <c r="H438" i="121" l="1"/>
  <c r="I438" i="121"/>
  <c r="H473" i="121"/>
  <c r="I473" i="121"/>
  <c r="H469" i="121" l="1"/>
  <c r="I469" i="121"/>
  <c r="H458" i="121"/>
  <c r="I458" i="121"/>
  <c r="H378" i="121"/>
  <c r="I378" i="121"/>
  <c r="H465" i="121"/>
  <c r="I465" i="121"/>
  <c r="C2920" i="127" l="1"/>
  <c r="C2935" i="127"/>
  <c r="C2936" i="127"/>
  <c r="C2949" i="127"/>
  <c r="C2950" i="127"/>
  <c r="C2942" i="127"/>
  <c r="C2907" i="127"/>
  <c r="C2918" i="127"/>
  <c r="C2921" i="127"/>
  <c r="C2913" i="127"/>
  <c r="C2914" i="127"/>
  <c r="C2933" i="127"/>
  <c r="C2915" i="127"/>
  <c r="C2916" i="127"/>
  <c r="C2917" i="127"/>
  <c r="C2911" i="127"/>
  <c r="C2910" i="127"/>
  <c r="C2904" i="127"/>
  <c r="C2919" i="127"/>
  <c r="C2931" i="127"/>
  <c r="C2934" i="127"/>
  <c r="C2906" i="127"/>
  <c r="C2908" i="127"/>
  <c r="C2923" i="127"/>
  <c r="C2924" i="127"/>
  <c r="C2925" i="127"/>
  <c r="C2926" i="127"/>
  <c r="C2909" i="127"/>
  <c r="C2905" i="127"/>
  <c r="C2927" i="127"/>
  <c r="C2922" i="127"/>
  <c r="C2928" i="127"/>
  <c r="C2929" i="127"/>
  <c r="C2930" i="127"/>
  <c r="C2912" i="127"/>
  <c r="C2932" i="127"/>
  <c r="C2884" i="127" l="1"/>
  <c r="C2883" i="127"/>
  <c r="C2895" i="127"/>
  <c r="C2896" i="127"/>
  <c r="C2897" i="127"/>
  <c r="C2892" i="127"/>
  <c r="C2878" i="127"/>
  <c r="C2879" i="127"/>
  <c r="C2880" i="127"/>
  <c r="C2886" i="127"/>
  <c r="C2877" i="127"/>
  <c r="C2898" i="127"/>
  <c r="C2890" i="127"/>
  <c r="C2882" i="127"/>
  <c r="C2891" i="127"/>
  <c r="C2881" i="127"/>
  <c r="C2899" i="127"/>
  <c r="C2900" i="127"/>
  <c r="C2901" i="127"/>
  <c r="C2902" i="127"/>
  <c r="C2876" i="127"/>
  <c r="C2872" i="127"/>
  <c r="C2873" i="127"/>
  <c r="C2874" i="127"/>
  <c r="C2875" i="127"/>
  <c r="C2885" i="127"/>
  <c r="C2893" i="127"/>
  <c r="C2894" i="127"/>
  <c r="C2903" i="127"/>
  <c r="C2887" i="127"/>
  <c r="C2888" i="127"/>
  <c r="C2889" i="127"/>
  <c r="N6" i="127" l="1"/>
  <c r="C2860" i="127" l="1"/>
  <c r="C2868" i="127" l="1"/>
  <c r="C2869" i="127"/>
  <c r="C2870" i="127"/>
  <c r="C2871" i="127"/>
  <c r="C2848" i="127"/>
  <c r="C2845" i="127"/>
  <c r="C2852" i="127"/>
  <c r="C2846" i="127"/>
  <c r="C2859" i="127"/>
  <c r="C2854" i="127"/>
  <c r="C2866" i="127"/>
  <c r="C2850" i="127"/>
  <c r="C2851" i="127"/>
  <c r="C2847" i="127"/>
  <c r="C2856" i="127"/>
  <c r="C2861" i="127"/>
  <c r="C2862" i="127"/>
  <c r="C2863" i="127"/>
  <c r="C2864" i="127"/>
  <c r="C2843" i="127"/>
  <c r="C2844" i="127"/>
  <c r="C2853" i="127"/>
  <c r="C2833" i="127" l="1"/>
  <c r="C2841" i="127"/>
  <c r="C2837" i="127"/>
  <c r="C2834" i="127"/>
  <c r="C2836" i="127"/>
  <c r="C2840" i="127"/>
  <c r="C1242" i="127"/>
  <c r="C2849" i="127"/>
  <c r="C2865" i="127"/>
  <c r="C2867" i="127"/>
  <c r="C2857" i="127"/>
  <c r="C2858" i="127"/>
  <c r="C2842" i="127"/>
  <c r="C2855" i="127"/>
  <c r="C2823" i="127" l="1"/>
  <c r="C2829" i="127"/>
  <c r="C2830" i="127"/>
  <c r="C2838" i="127"/>
  <c r="C2839" i="127"/>
  <c r="C2835" i="127"/>
  <c r="C2832" i="127"/>
  <c r="C2831" i="127"/>
  <c r="S2965" i="127" l="1"/>
  <c r="AK389" i="123" s="1"/>
  <c r="D8" i="135"/>
  <c r="E8" i="135"/>
  <c r="G8" i="135"/>
  <c r="H8" i="135"/>
  <c r="J8" i="135"/>
  <c r="K8" i="135"/>
  <c r="L8" i="135"/>
  <c r="M8" i="135"/>
  <c r="N8" i="135"/>
  <c r="O8" i="135"/>
  <c r="D9" i="135"/>
  <c r="E9" i="135"/>
  <c r="G9" i="135"/>
  <c r="H9" i="135"/>
  <c r="J9" i="135"/>
  <c r="K9" i="135"/>
  <c r="L9" i="135"/>
  <c r="M9" i="135"/>
  <c r="N9" i="135"/>
  <c r="O9" i="135"/>
  <c r="D11" i="135"/>
  <c r="E11" i="135"/>
  <c r="G11" i="135"/>
  <c r="H11" i="135"/>
  <c r="J11" i="135"/>
  <c r="K11" i="135"/>
  <c r="L11" i="135"/>
  <c r="M11" i="135"/>
  <c r="N11" i="135"/>
  <c r="O11" i="135"/>
  <c r="D30" i="135"/>
  <c r="E30" i="135"/>
  <c r="G30" i="135"/>
  <c r="H30" i="135"/>
  <c r="J30" i="135"/>
  <c r="K30" i="135"/>
  <c r="L30" i="135"/>
  <c r="M30" i="135"/>
  <c r="N30" i="135"/>
  <c r="O30" i="135"/>
  <c r="D32" i="135"/>
  <c r="E32" i="135"/>
  <c r="G32" i="135"/>
  <c r="H32" i="135"/>
  <c r="J32" i="135"/>
  <c r="K32" i="135"/>
  <c r="L32" i="135"/>
  <c r="M32" i="135"/>
  <c r="N32" i="135"/>
  <c r="O32" i="135"/>
  <c r="D40" i="135"/>
  <c r="E40" i="135"/>
  <c r="G40" i="135"/>
  <c r="H40" i="135"/>
  <c r="J40" i="135"/>
  <c r="K40" i="135"/>
  <c r="L40" i="135"/>
  <c r="M40" i="135"/>
  <c r="N40" i="135"/>
  <c r="O40" i="135"/>
  <c r="D43" i="135"/>
  <c r="E43" i="135"/>
  <c r="G43" i="135"/>
  <c r="H43" i="135"/>
  <c r="J43" i="135"/>
  <c r="K43" i="135"/>
  <c r="L43" i="135"/>
  <c r="M43" i="135"/>
  <c r="N43" i="135"/>
  <c r="O43" i="135"/>
  <c r="D97" i="135"/>
  <c r="E97" i="135"/>
  <c r="G97" i="135"/>
  <c r="H97" i="135"/>
  <c r="J97" i="135"/>
  <c r="K97" i="135"/>
  <c r="L97" i="135"/>
  <c r="M97" i="135"/>
  <c r="N97" i="135"/>
  <c r="O97" i="135"/>
  <c r="D114" i="135"/>
  <c r="E114" i="135"/>
  <c r="G114" i="135"/>
  <c r="H114" i="135"/>
  <c r="J114" i="135"/>
  <c r="K114" i="135"/>
  <c r="L114" i="135"/>
  <c r="M114" i="135"/>
  <c r="N114" i="135"/>
  <c r="O114" i="135"/>
  <c r="D124" i="135"/>
  <c r="E124" i="135"/>
  <c r="G124" i="135"/>
  <c r="H124" i="135"/>
  <c r="J124" i="135"/>
  <c r="K124" i="135"/>
  <c r="L124" i="135"/>
  <c r="M124" i="135"/>
  <c r="N124" i="135"/>
  <c r="O124" i="135"/>
  <c r="D126" i="135"/>
  <c r="E126" i="135"/>
  <c r="G126" i="135"/>
  <c r="H126" i="135"/>
  <c r="J126" i="135"/>
  <c r="K126" i="135"/>
  <c r="L126" i="135"/>
  <c r="M126" i="135"/>
  <c r="N126" i="135"/>
  <c r="O126" i="135"/>
  <c r="D157" i="135"/>
  <c r="E157" i="135"/>
  <c r="G157" i="135"/>
  <c r="H157" i="135"/>
  <c r="J157" i="135"/>
  <c r="K157" i="135"/>
  <c r="L157" i="135"/>
  <c r="M157" i="135"/>
  <c r="N157" i="135"/>
  <c r="O157" i="135"/>
  <c r="D166" i="135"/>
  <c r="E166" i="135"/>
  <c r="G166" i="135"/>
  <c r="H166" i="135"/>
  <c r="J166" i="135"/>
  <c r="K166" i="135"/>
  <c r="L166" i="135"/>
  <c r="M166" i="135"/>
  <c r="N166" i="135"/>
  <c r="O166" i="135"/>
  <c r="D176" i="135"/>
  <c r="E176" i="135"/>
  <c r="G176" i="135"/>
  <c r="H176" i="135"/>
  <c r="J176" i="135"/>
  <c r="K176" i="135"/>
  <c r="L176" i="135"/>
  <c r="M176" i="135"/>
  <c r="N176" i="135"/>
  <c r="O176" i="135"/>
  <c r="D177" i="135"/>
  <c r="E177" i="135"/>
  <c r="G177" i="135"/>
  <c r="H177" i="135"/>
  <c r="J177" i="135"/>
  <c r="K177" i="135"/>
  <c r="L177" i="135"/>
  <c r="M177" i="135"/>
  <c r="N177" i="135"/>
  <c r="O177" i="135"/>
  <c r="D182" i="135"/>
  <c r="E182" i="135"/>
  <c r="G182" i="135"/>
  <c r="H182" i="135"/>
  <c r="J182" i="135"/>
  <c r="K182" i="135"/>
  <c r="L182" i="135"/>
  <c r="M182" i="135"/>
  <c r="N182" i="135"/>
  <c r="O182" i="135"/>
  <c r="D197" i="135"/>
  <c r="E197" i="135"/>
  <c r="G197" i="135"/>
  <c r="H197" i="135"/>
  <c r="J197" i="135"/>
  <c r="K197" i="135"/>
  <c r="L197" i="135"/>
  <c r="M197" i="135"/>
  <c r="N197" i="135"/>
  <c r="O197" i="135"/>
  <c r="D199" i="135"/>
  <c r="E199" i="135"/>
  <c r="G199" i="135"/>
  <c r="H199" i="135"/>
  <c r="J199" i="135"/>
  <c r="K199" i="135"/>
  <c r="L199" i="135"/>
  <c r="M199" i="135"/>
  <c r="N199" i="135"/>
  <c r="O199" i="135"/>
  <c r="D207" i="135"/>
  <c r="E207" i="135"/>
  <c r="G207" i="135"/>
  <c r="H207" i="135"/>
  <c r="J207" i="135"/>
  <c r="K207" i="135"/>
  <c r="L207" i="135"/>
  <c r="M207" i="135"/>
  <c r="N207" i="135"/>
  <c r="O207" i="135"/>
  <c r="D218" i="135"/>
  <c r="E218" i="135"/>
  <c r="G218" i="135"/>
  <c r="H218" i="135"/>
  <c r="J218" i="135"/>
  <c r="K218" i="135"/>
  <c r="L218" i="135"/>
  <c r="M218" i="135"/>
  <c r="N218" i="135"/>
  <c r="O218" i="135"/>
  <c r="D227" i="135"/>
  <c r="E227" i="135"/>
  <c r="G227" i="135"/>
  <c r="H227" i="135"/>
  <c r="J227" i="135"/>
  <c r="K227" i="135"/>
  <c r="L227" i="135"/>
  <c r="M227" i="135"/>
  <c r="N227" i="135"/>
  <c r="O227" i="135"/>
  <c r="D228" i="135"/>
  <c r="E228" i="135"/>
  <c r="G228" i="135"/>
  <c r="H228" i="135"/>
  <c r="J228" i="135"/>
  <c r="K228" i="135"/>
  <c r="L228" i="135"/>
  <c r="M228" i="135"/>
  <c r="N228" i="135"/>
  <c r="O228" i="135"/>
  <c r="D229" i="135"/>
  <c r="E229" i="135"/>
  <c r="G229" i="135"/>
  <c r="H229" i="135"/>
  <c r="J229" i="135"/>
  <c r="K229" i="135"/>
  <c r="L229" i="135"/>
  <c r="M229" i="135"/>
  <c r="N229" i="135"/>
  <c r="O229" i="135"/>
  <c r="D235" i="135"/>
  <c r="E235" i="135"/>
  <c r="G235" i="135"/>
  <c r="H235" i="135"/>
  <c r="J235" i="135"/>
  <c r="K235" i="135"/>
  <c r="L235" i="135"/>
  <c r="M235" i="135"/>
  <c r="N235" i="135"/>
  <c r="O235" i="135"/>
  <c r="D253" i="135"/>
  <c r="E253" i="135"/>
  <c r="G253" i="135"/>
  <c r="H253" i="135"/>
  <c r="J253" i="135"/>
  <c r="K253" i="135"/>
  <c r="L253" i="135"/>
  <c r="M253" i="135"/>
  <c r="N253" i="135"/>
  <c r="O253" i="135"/>
  <c r="D260" i="135"/>
  <c r="E260" i="135"/>
  <c r="G260" i="135"/>
  <c r="H260" i="135"/>
  <c r="J260" i="135"/>
  <c r="K260" i="135"/>
  <c r="L260" i="135"/>
  <c r="M260" i="135"/>
  <c r="N260" i="135"/>
  <c r="O260" i="135"/>
  <c r="D262" i="135"/>
  <c r="E262" i="135"/>
  <c r="G262" i="135"/>
  <c r="H262" i="135"/>
  <c r="J262" i="135"/>
  <c r="K262" i="135"/>
  <c r="L262" i="135"/>
  <c r="M262" i="135"/>
  <c r="N262" i="135"/>
  <c r="O262" i="135"/>
  <c r="D272" i="135"/>
  <c r="E272" i="135"/>
  <c r="G272" i="135"/>
  <c r="H272" i="135"/>
  <c r="J272" i="135"/>
  <c r="K272" i="135"/>
  <c r="L272" i="135"/>
  <c r="M272" i="135"/>
  <c r="N272" i="135"/>
  <c r="O272" i="135"/>
  <c r="D277" i="135"/>
  <c r="E277" i="135"/>
  <c r="G277" i="135"/>
  <c r="H277" i="135"/>
  <c r="J277" i="135"/>
  <c r="K277" i="135"/>
  <c r="L277" i="135"/>
  <c r="M277" i="135"/>
  <c r="N277" i="135"/>
  <c r="O277" i="135"/>
  <c r="D278" i="135"/>
  <c r="E278" i="135"/>
  <c r="G278" i="135"/>
  <c r="H278" i="135"/>
  <c r="J278" i="135"/>
  <c r="K278" i="135"/>
  <c r="L278" i="135"/>
  <c r="M278" i="135"/>
  <c r="N278" i="135"/>
  <c r="O278" i="135"/>
  <c r="D279" i="135"/>
  <c r="E279" i="135"/>
  <c r="G279" i="135"/>
  <c r="H279" i="135"/>
  <c r="J279" i="135"/>
  <c r="K279" i="135"/>
  <c r="L279" i="135"/>
  <c r="M279" i="135"/>
  <c r="N279" i="135"/>
  <c r="O279" i="135"/>
  <c r="D283" i="135"/>
  <c r="E283" i="135"/>
  <c r="G283" i="135"/>
  <c r="H283" i="135"/>
  <c r="J283" i="135"/>
  <c r="K283" i="135"/>
  <c r="L283" i="135"/>
  <c r="M283" i="135"/>
  <c r="N283" i="135"/>
  <c r="O283" i="135"/>
  <c r="D284" i="135"/>
  <c r="E284" i="135"/>
  <c r="G284" i="135"/>
  <c r="H284" i="135"/>
  <c r="J284" i="135"/>
  <c r="K284" i="135"/>
  <c r="L284" i="135"/>
  <c r="M284" i="135"/>
  <c r="N284" i="135"/>
  <c r="O284" i="135"/>
  <c r="D286" i="135"/>
  <c r="E286" i="135"/>
  <c r="G286" i="135"/>
  <c r="H286" i="135"/>
  <c r="J286" i="135"/>
  <c r="K286" i="135"/>
  <c r="L286" i="135"/>
  <c r="M286" i="135"/>
  <c r="N286" i="135"/>
  <c r="O286" i="135"/>
  <c r="D287" i="135"/>
  <c r="E287" i="135"/>
  <c r="G287" i="135"/>
  <c r="H287" i="135"/>
  <c r="J287" i="135"/>
  <c r="K287" i="135"/>
  <c r="L287" i="135"/>
  <c r="M287" i="135"/>
  <c r="N287" i="135"/>
  <c r="O287" i="135"/>
  <c r="D289" i="135"/>
  <c r="E289" i="135"/>
  <c r="G289" i="135"/>
  <c r="H289" i="135"/>
  <c r="J289" i="135"/>
  <c r="K289" i="135"/>
  <c r="L289" i="135"/>
  <c r="M289" i="135"/>
  <c r="N289" i="135"/>
  <c r="O289" i="135"/>
  <c r="D294" i="135"/>
  <c r="E294" i="135"/>
  <c r="G294" i="135"/>
  <c r="H294" i="135"/>
  <c r="J294" i="135"/>
  <c r="K294" i="135"/>
  <c r="L294" i="135"/>
  <c r="M294" i="135"/>
  <c r="N294" i="135"/>
  <c r="O294" i="135"/>
  <c r="D297" i="135"/>
  <c r="E297" i="135"/>
  <c r="G297" i="135"/>
  <c r="H297" i="135"/>
  <c r="J297" i="135"/>
  <c r="K297" i="135"/>
  <c r="L297" i="135"/>
  <c r="M297" i="135"/>
  <c r="N297" i="135"/>
  <c r="O297" i="135"/>
  <c r="D298" i="135"/>
  <c r="E298" i="135"/>
  <c r="G298" i="135"/>
  <c r="H298" i="135"/>
  <c r="J298" i="135"/>
  <c r="K298" i="135"/>
  <c r="L298" i="135"/>
  <c r="M298" i="135"/>
  <c r="N298" i="135"/>
  <c r="O298" i="135"/>
  <c r="D300" i="135"/>
  <c r="E300" i="135"/>
  <c r="G300" i="135"/>
  <c r="H300" i="135"/>
  <c r="J300" i="135"/>
  <c r="K300" i="135"/>
  <c r="L300" i="135"/>
  <c r="M300" i="135"/>
  <c r="N300" i="135"/>
  <c r="O300" i="135"/>
  <c r="D301" i="135"/>
  <c r="E301" i="135"/>
  <c r="G301" i="135"/>
  <c r="H301" i="135"/>
  <c r="J301" i="135"/>
  <c r="K301" i="135"/>
  <c r="L301" i="135"/>
  <c r="M301" i="135"/>
  <c r="N301" i="135"/>
  <c r="O301" i="135"/>
  <c r="D302" i="135"/>
  <c r="E302" i="135"/>
  <c r="G302" i="135"/>
  <c r="H302" i="135"/>
  <c r="J302" i="135"/>
  <c r="K302" i="135"/>
  <c r="L302" i="135"/>
  <c r="M302" i="135"/>
  <c r="N302" i="135"/>
  <c r="O302" i="135"/>
  <c r="D303" i="135"/>
  <c r="E303" i="135"/>
  <c r="G303" i="135"/>
  <c r="H303" i="135"/>
  <c r="J303" i="135"/>
  <c r="K303" i="135"/>
  <c r="L303" i="135"/>
  <c r="M303" i="135"/>
  <c r="N303" i="135"/>
  <c r="O303" i="135"/>
  <c r="D306" i="135"/>
  <c r="E306" i="135"/>
  <c r="G306" i="135"/>
  <c r="H306" i="135"/>
  <c r="J306" i="135"/>
  <c r="K306" i="135"/>
  <c r="L306" i="135"/>
  <c r="M306" i="135"/>
  <c r="N306" i="135"/>
  <c r="O306" i="135"/>
  <c r="D311" i="135"/>
  <c r="E311" i="135"/>
  <c r="G311" i="135"/>
  <c r="H311" i="135"/>
  <c r="J311" i="135"/>
  <c r="K311" i="135"/>
  <c r="L311" i="135"/>
  <c r="M311" i="135"/>
  <c r="N311" i="135"/>
  <c r="O311" i="135"/>
  <c r="D316" i="135"/>
  <c r="E316" i="135"/>
  <c r="G316" i="135"/>
  <c r="H316" i="135"/>
  <c r="J316" i="135"/>
  <c r="K316" i="135"/>
  <c r="L316" i="135"/>
  <c r="M316" i="135"/>
  <c r="N316" i="135"/>
  <c r="O316" i="135"/>
  <c r="D319" i="135"/>
  <c r="E319" i="135"/>
  <c r="G319" i="135"/>
  <c r="H319" i="135"/>
  <c r="J319" i="135"/>
  <c r="K319" i="135"/>
  <c r="L319" i="135"/>
  <c r="M319" i="135"/>
  <c r="N319" i="135"/>
  <c r="O319" i="135"/>
  <c r="D320" i="135"/>
  <c r="E320" i="135"/>
  <c r="G320" i="135"/>
  <c r="H320" i="135"/>
  <c r="J320" i="135"/>
  <c r="K320" i="135"/>
  <c r="L320" i="135"/>
  <c r="M320" i="135"/>
  <c r="N320" i="135"/>
  <c r="O320" i="135"/>
  <c r="D323" i="135"/>
  <c r="E323" i="135"/>
  <c r="G323" i="135"/>
  <c r="H323" i="135"/>
  <c r="J323" i="135"/>
  <c r="K323" i="135"/>
  <c r="L323" i="135"/>
  <c r="M323" i="135"/>
  <c r="N323" i="135"/>
  <c r="O323" i="135"/>
  <c r="D324" i="135"/>
  <c r="E324" i="135"/>
  <c r="G324" i="135"/>
  <c r="H324" i="135"/>
  <c r="J324" i="135"/>
  <c r="K324" i="135"/>
  <c r="L324" i="135"/>
  <c r="M324" i="135"/>
  <c r="N324" i="135"/>
  <c r="O324" i="135"/>
  <c r="D326" i="135"/>
  <c r="E326" i="135"/>
  <c r="G326" i="135"/>
  <c r="H326" i="135"/>
  <c r="J326" i="135"/>
  <c r="K326" i="135"/>
  <c r="L326" i="135"/>
  <c r="M326" i="135"/>
  <c r="N326" i="135"/>
  <c r="O326" i="135"/>
  <c r="D331" i="135"/>
  <c r="E331" i="135"/>
  <c r="G331" i="135"/>
  <c r="H331" i="135"/>
  <c r="J331" i="135"/>
  <c r="K331" i="135"/>
  <c r="L331" i="135"/>
  <c r="M331" i="135"/>
  <c r="N331" i="135"/>
  <c r="O331" i="135"/>
  <c r="D332" i="135"/>
  <c r="E332" i="135"/>
  <c r="G332" i="135"/>
  <c r="H332" i="135"/>
  <c r="J332" i="135"/>
  <c r="K332" i="135"/>
  <c r="L332" i="135"/>
  <c r="M332" i="135"/>
  <c r="N332" i="135"/>
  <c r="O332" i="135"/>
  <c r="C333" i="135"/>
  <c r="D333" i="135"/>
  <c r="E333" i="135"/>
  <c r="G333" i="135"/>
  <c r="H333" i="135"/>
  <c r="J333" i="135"/>
  <c r="K333" i="135"/>
  <c r="L333" i="135"/>
  <c r="M333" i="135"/>
  <c r="N333" i="135"/>
  <c r="O333" i="135"/>
  <c r="A333" i="135"/>
  <c r="A279" i="135"/>
  <c r="A280" i="135"/>
  <c r="A281" i="135"/>
  <c r="A282" i="135"/>
  <c r="A283" i="135"/>
  <c r="A284" i="135"/>
  <c r="A285" i="135"/>
  <c r="A286" i="135"/>
  <c r="A287" i="135"/>
  <c r="A288" i="135"/>
  <c r="A289" i="135"/>
  <c r="A290" i="135"/>
  <c r="A291" i="135"/>
  <c r="A292" i="135"/>
  <c r="A293" i="135"/>
  <c r="A294" i="135"/>
  <c r="A295" i="135"/>
  <c r="A296" i="135"/>
  <c r="A297" i="135"/>
  <c r="A298" i="135"/>
  <c r="A299" i="135"/>
  <c r="A300" i="135"/>
  <c r="A301" i="135"/>
  <c r="A302" i="135"/>
  <c r="A303" i="135"/>
  <c r="A304" i="135"/>
  <c r="A305" i="135"/>
  <c r="A306" i="135"/>
  <c r="A307" i="135"/>
  <c r="A308" i="135"/>
  <c r="A309" i="135"/>
  <c r="A310" i="135"/>
  <c r="A311" i="135"/>
  <c r="A312" i="135"/>
  <c r="A313" i="135"/>
  <c r="A314" i="135"/>
  <c r="A315" i="135"/>
  <c r="A316" i="135"/>
  <c r="A317" i="135"/>
  <c r="A318" i="135"/>
  <c r="A319" i="135"/>
  <c r="A320" i="135"/>
  <c r="A321" i="135"/>
  <c r="A322" i="135"/>
  <c r="A323" i="135"/>
  <c r="A324" i="135"/>
  <c r="A325" i="135"/>
  <c r="A332" i="135"/>
  <c r="A232" i="135"/>
  <c r="A233" i="135"/>
  <c r="A234" i="135"/>
  <c r="A235" i="135"/>
  <c r="A236" i="135"/>
  <c r="A237" i="135"/>
  <c r="A238" i="135"/>
  <c r="A239" i="135"/>
  <c r="A240" i="135"/>
  <c r="A241" i="135"/>
  <c r="A242" i="135"/>
  <c r="A243" i="135"/>
  <c r="A244" i="135"/>
  <c r="A245" i="135"/>
  <c r="A246" i="135"/>
  <c r="A247" i="135"/>
  <c r="A248" i="135"/>
  <c r="A249" i="135"/>
  <c r="A250" i="135"/>
  <c r="A251" i="135"/>
  <c r="A252" i="135"/>
  <c r="A253" i="135"/>
  <c r="A254" i="135"/>
  <c r="A255" i="135"/>
  <c r="A256" i="135"/>
  <c r="A257" i="135"/>
  <c r="A258" i="135"/>
  <c r="A259" i="135"/>
  <c r="A260" i="135"/>
  <c r="A261" i="135"/>
  <c r="A262" i="135"/>
  <c r="A263" i="135"/>
  <c r="A264" i="135"/>
  <c r="A265" i="135"/>
  <c r="A266" i="135"/>
  <c r="A267" i="135"/>
  <c r="A268" i="135"/>
  <c r="A269" i="135"/>
  <c r="A270" i="135"/>
  <c r="A271" i="135"/>
  <c r="A272" i="135"/>
  <c r="A273" i="135"/>
  <c r="A274" i="135"/>
  <c r="A275" i="135"/>
  <c r="A276" i="135"/>
  <c r="A277" i="135"/>
  <c r="A278" i="135"/>
  <c r="AN389" i="123" l="1"/>
  <c r="T2965" i="127"/>
  <c r="AL389" i="123" s="1"/>
  <c r="AO389" i="123" s="1"/>
  <c r="F332" i="135"/>
  <c r="F97" i="135"/>
  <c r="F11" i="135"/>
  <c r="F302" i="135"/>
  <c r="F284" i="135"/>
  <c r="F218" i="135"/>
  <c r="F289" i="135"/>
  <c r="F207" i="135"/>
  <c r="F199" i="135"/>
  <c r="F177" i="135"/>
  <c r="F30" i="135"/>
  <c r="F331" i="135"/>
  <c r="F324" i="135"/>
  <c r="F320" i="135"/>
  <c r="F316" i="135"/>
  <c r="F272" i="135"/>
  <c r="F262" i="135"/>
  <c r="F260" i="135"/>
  <c r="F253" i="135"/>
  <c r="F333" i="135"/>
  <c r="F166" i="135"/>
  <c r="F157" i="135"/>
  <c r="F126" i="135"/>
  <c r="F326" i="135"/>
  <c r="F311" i="135"/>
  <c r="F306" i="135"/>
  <c r="F301" i="135"/>
  <c r="F283" i="135"/>
  <c r="F277" i="135"/>
  <c r="F235" i="135"/>
  <c r="I40" i="135"/>
  <c r="F297" i="135"/>
  <c r="F298" i="135"/>
  <c r="I283" i="135"/>
  <c r="F182" i="135"/>
  <c r="F124" i="135"/>
  <c r="I324" i="135"/>
  <c r="I316" i="135"/>
  <c r="I253" i="135"/>
  <c r="I331" i="135"/>
  <c r="I326" i="135"/>
  <c r="I323" i="135"/>
  <c r="F319" i="135"/>
  <c r="I303" i="135"/>
  <c r="I332" i="135"/>
  <c r="I320" i="135"/>
  <c r="I319" i="135"/>
  <c r="I306" i="135"/>
  <c r="I302" i="135"/>
  <c r="I333" i="135"/>
  <c r="F323" i="135"/>
  <c r="I311" i="135"/>
  <c r="I298" i="135"/>
  <c r="I262" i="135"/>
  <c r="I228" i="135"/>
  <c r="F227" i="135"/>
  <c r="F300" i="135"/>
  <c r="I294" i="135"/>
  <c r="I287" i="135"/>
  <c r="F286" i="135"/>
  <c r="I279" i="135"/>
  <c r="F278" i="135"/>
  <c r="F228" i="135"/>
  <c r="I227" i="135"/>
  <c r="I157" i="135"/>
  <c r="F294" i="135"/>
  <c r="F287" i="135"/>
  <c r="I286" i="135"/>
  <c r="F279" i="135"/>
  <c r="I278" i="135"/>
  <c r="I272" i="135"/>
  <c r="I260" i="135"/>
  <c r="I235" i="135"/>
  <c r="I229" i="135"/>
  <c r="F229" i="135"/>
  <c r="I197" i="135"/>
  <c r="F197" i="135"/>
  <c r="I182" i="135"/>
  <c r="I176" i="135"/>
  <c r="I177" i="135"/>
  <c r="F176" i="135"/>
  <c r="I166" i="135"/>
  <c r="F43" i="135"/>
  <c r="I218" i="135"/>
  <c r="I199" i="135"/>
  <c r="I114" i="135"/>
  <c r="I126" i="135"/>
  <c r="F114" i="135"/>
  <c r="I124" i="135"/>
  <c r="I32" i="135"/>
  <c r="I9" i="135"/>
  <c r="F9" i="135"/>
  <c r="I8" i="135"/>
  <c r="I300" i="135"/>
  <c r="I297" i="135"/>
  <c r="I289" i="135"/>
  <c r="F303" i="135"/>
  <c r="I301" i="135"/>
  <c r="I284" i="135"/>
  <c r="I277" i="135"/>
  <c r="I207" i="135"/>
  <c r="I97" i="135"/>
  <c r="I11" i="135"/>
  <c r="I43" i="135"/>
  <c r="F32" i="135"/>
  <c r="F8" i="135"/>
  <c r="F40" i="135"/>
  <c r="I30" i="135"/>
  <c r="AP389" i="123" l="1"/>
  <c r="AU389" i="123" s="1"/>
  <c r="AM389" i="123"/>
  <c r="C2757" i="127"/>
  <c r="C2758" i="127"/>
  <c r="C2759" i="127"/>
  <c r="C2769" i="127"/>
  <c r="C2768" i="127"/>
  <c r="C2762" i="127"/>
  <c r="C2761" i="127"/>
  <c r="C2760" i="127"/>
  <c r="C2756" i="127"/>
  <c r="C2765" i="127"/>
  <c r="C2767" i="127"/>
  <c r="C2770" i="127"/>
  <c r="C2763" i="127"/>
  <c r="C253" i="127"/>
  <c r="C2789" i="127"/>
  <c r="C2790" i="127"/>
  <c r="C2778" i="127"/>
  <c r="C2779" i="127"/>
  <c r="C2795" i="127"/>
  <c r="C2786" i="127"/>
  <c r="C2787" i="127"/>
  <c r="C2788" i="127"/>
  <c r="C2791" i="127"/>
  <c r="C2775" i="127"/>
  <c r="C2792" i="127"/>
  <c r="C2772" i="127"/>
  <c r="C2773" i="127"/>
  <c r="C2774" i="127"/>
  <c r="C2776" i="127"/>
  <c r="C2777" i="127"/>
  <c r="C2771" i="127"/>
  <c r="C2798" i="127"/>
  <c r="C2782" i="127"/>
  <c r="C2793" i="127"/>
  <c r="C2794" i="127"/>
  <c r="C2781" i="127"/>
  <c r="C2783" i="127"/>
  <c r="C2784" i="127"/>
  <c r="C2785" i="127"/>
  <c r="C2780" i="127"/>
  <c r="C2797" i="127"/>
  <c r="C2796" i="127"/>
  <c r="C2802" i="127"/>
  <c r="C2803" i="127"/>
  <c r="C2804" i="127"/>
  <c r="C2805" i="127"/>
  <c r="C2809" i="127"/>
  <c r="C2811" i="127"/>
  <c r="C2799" i="127"/>
  <c r="C2813" i="127"/>
  <c r="C2806" i="127"/>
  <c r="C2812" i="127"/>
  <c r="C2807" i="127"/>
  <c r="C2819" i="127"/>
  <c r="C2810" i="127"/>
  <c r="C2808" i="127"/>
  <c r="C2815" i="127"/>
  <c r="C2816" i="127"/>
  <c r="C2814" i="127"/>
  <c r="C2817" i="127"/>
  <c r="C2818" i="127"/>
  <c r="C2800" i="127"/>
  <c r="C2801" i="127"/>
  <c r="C2827" i="127"/>
  <c r="C2828" i="127"/>
  <c r="C2821" i="127"/>
  <c r="C2825" i="127"/>
  <c r="C2826" i="127"/>
  <c r="C2822" i="127"/>
  <c r="C2820" i="127"/>
  <c r="C2824" i="127"/>
  <c r="C2766" i="127"/>
  <c r="C2764" i="127"/>
  <c r="C2754" i="127"/>
  <c r="AQ389" i="123" l="1"/>
  <c r="AR389" i="123" s="1"/>
  <c r="AS389" i="123" s="1"/>
  <c r="AT389" i="123" s="1"/>
  <c r="H562" i="121"/>
  <c r="I562" i="121"/>
  <c r="H565" i="121"/>
  <c r="I565" i="121"/>
  <c r="S2991" i="127" l="1"/>
  <c r="T2991" i="127" s="1"/>
  <c r="S2848" i="127"/>
  <c r="AK415" i="123" s="1"/>
  <c r="S3092" i="127"/>
  <c r="T3092" i="127" s="1"/>
  <c r="B7" i="124"/>
  <c r="B9" i="124"/>
  <c r="AN415" i="123" l="1"/>
  <c r="T2848" i="127"/>
  <c r="AL415" i="123" s="1"/>
  <c r="AO415" i="123" s="1"/>
  <c r="B5" i="124"/>
  <c r="AP415" i="123" l="1"/>
  <c r="AU415" i="123" s="1"/>
  <c r="AM415" i="123"/>
  <c r="Q2670" i="127"/>
  <c r="C2688" i="127"/>
  <c r="C2664" i="127"/>
  <c r="C2689" i="127"/>
  <c r="C2690" i="127"/>
  <c r="C2680" i="127"/>
  <c r="C2686" i="127"/>
  <c r="C2673" i="127"/>
  <c r="C2692" i="127"/>
  <c r="C2666" i="127"/>
  <c r="C2667" i="127"/>
  <c r="AQ415" i="123" l="1"/>
  <c r="AR415" i="123" s="1"/>
  <c r="AS415" i="123" s="1"/>
  <c r="AT415" i="123" s="1"/>
  <c r="C2678" i="127"/>
  <c r="C2670" i="127"/>
  <c r="C2671" i="127"/>
  <c r="C2693" i="127"/>
  <c r="C2674" i="127"/>
  <c r="C2682" i="127"/>
  <c r="C2668" i="127"/>
  <c r="C2672" i="127"/>
  <c r="C2683" i="127"/>
  <c r="C2679" i="127"/>
  <c r="C2691" i="127"/>
  <c r="C2676" i="127"/>
  <c r="C2687" i="127"/>
  <c r="C2684" i="127"/>
  <c r="C2681" i="127"/>
  <c r="C2685" i="127"/>
  <c r="C2694" i="127"/>
  <c r="C2675" i="127"/>
  <c r="C2669" i="127"/>
  <c r="C2651" i="127" l="1"/>
  <c r="C2655" i="127"/>
  <c r="C2656" i="127"/>
  <c r="C2657" i="127"/>
  <c r="C2662" i="127"/>
  <c r="C2659" i="127"/>
  <c r="C2661" i="127"/>
  <c r="C2677" i="127"/>
  <c r="C2641" i="127" l="1"/>
  <c r="C2644" i="127"/>
  <c r="C2645" i="127"/>
  <c r="C2650" i="127"/>
  <c r="C2649" i="127"/>
  <c r="C2648" i="127"/>
  <c r="C2646" i="127"/>
  <c r="C2647" i="127"/>
  <c r="C2640" i="127"/>
  <c r="C2660" i="127"/>
  <c r="C2663" i="127"/>
  <c r="C2658" i="127"/>
  <c r="C2652" i="127"/>
  <c r="C2653" i="127"/>
  <c r="C2654" i="127"/>
  <c r="D320" i="89" l="1"/>
  <c r="C2643" i="127"/>
  <c r="C2604" i="127" l="1"/>
  <c r="C2621" i="127"/>
  <c r="C2634" i="127"/>
  <c r="C2633" i="127"/>
  <c r="C2630" i="127"/>
  <c r="C2632" i="127"/>
  <c r="C2637" i="127"/>
  <c r="C2636" i="127"/>
  <c r="C2635" i="127"/>
  <c r="C2631" i="127"/>
  <c r="C2638" i="127"/>
  <c r="C2639" i="127"/>
  <c r="C2642" i="127"/>
  <c r="C2617" i="127"/>
  <c r="C2618" i="127"/>
  <c r="C2619" i="127"/>
  <c r="C2620" i="127"/>
  <c r="C2622" i="127"/>
  <c r="C2623" i="127"/>
  <c r="C2614" i="127" l="1"/>
  <c r="C2605" i="127"/>
  <c r="C2626" i="127"/>
  <c r="C2627" i="127"/>
  <c r="C2624" i="127"/>
  <c r="C2610" i="127"/>
  <c r="C2615" i="127"/>
  <c r="C2611" i="127"/>
  <c r="C2613" i="127"/>
  <c r="C2625" i="127"/>
  <c r="C2609" i="127"/>
  <c r="C2608" i="127"/>
  <c r="C2628" i="127"/>
  <c r="C2629" i="127"/>
  <c r="C2612" i="127"/>
  <c r="C2607" i="127"/>
  <c r="C2616" i="127"/>
  <c r="C2599" i="127"/>
  <c r="C2601" i="127"/>
  <c r="C2602" i="127"/>
  <c r="C2603" i="127"/>
  <c r="C2606" i="127"/>
  <c r="C2581" i="127" l="1"/>
  <c r="C2585" i="127"/>
  <c r="C2587" i="127"/>
  <c r="C2591" i="127"/>
  <c r="C2584" i="127"/>
  <c r="C2580" i="127"/>
  <c r="C2589" i="127"/>
  <c r="C2575" i="127"/>
  <c r="C2576" i="127"/>
  <c r="C2577" i="127"/>
  <c r="C2578" i="127"/>
  <c r="C2582" i="127"/>
  <c r="C2600" i="127"/>
  <c r="C2597" i="127"/>
  <c r="C2596" i="127"/>
  <c r="C2595" i="127"/>
  <c r="C2593" i="127"/>
  <c r="C2594" i="127"/>
  <c r="C2592" i="127"/>
  <c r="C2598" i="127"/>
  <c r="C2567" i="127"/>
  <c r="C2568" i="127"/>
  <c r="C2569" i="127"/>
  <c r="C2570" i="127"/>
  <c r="C2565" i="127"/>
  <c r="C2588" i="127"/>
  <c r="C2579" i="127"/>
  <c r="C2590" i="127"/>
  <c r="C2574" i="127"/>
  <c r="C2586" i="127"/>
  <c r="C2583" i="127"/>
  <c r="C2552" i="127" l="1"/>
  <c r="C2561" i="127"/>
  <c r="C2558" i="127"/>
  <c r="C2554" i="127"/>
  <c r="C2562" i="127"/>
  <c r="C2555" i="127"/>
  <c r="C2548" i="127"/>
  <c r="C2563" i="127"/>
  <c r="C2571" i="127"/>
  <c r="C2572" i="127"/>
  <c r="C2573" i="127"/>
  <c r="C2566" i="127"/>
  <c r="Q3005" i="127"/>
  <c r="Q2989" i="127"/>
  <c r="Q3016" i="127"/>
  <c r="Q2991" i="127"/>
  <c r="Q3013" i="127"/>
  <c r="Q3006" i="127"/>
  <c r="Q3020" i="127"/>
  <c r="Q3027" i="127"/>
  <c r="Q3017" i="127"/>
  <c r="Q3026" i="127"/>
  <c r="Q3021" i="127"/>
  <c r="Q3019" i="127"/>
  <c r="Q3018" i="127"/>
  <c r="Q3022" i="127"/>
  <c r="Q3023" i="127"/>
  <c r="Q3024" i="127"/>
  <c r="Q3025" i="127"/>
  <c r="Q3046" i="127"/>
  <c r="Q3034" i="127"/>
  <c r="Q3038" i="127"/>
  <c r="Q3039" i="127"/>
  <c r="Q3040" i="127"/>
  <c r="Q3031" i="127"/>
  <c r="Q3033" i="127"/>
  <c r="Q3043" i="127"/>
  <c r="Q3036" i="127"/>
  <c r="Q3041" i="127"/>
  <c r="Q3042" i="127"/>
  <c r="Q3028" i="127"/>
  <c r="Q3032" i="127"/>
  <c r="Q3035" i="127"/>
  <c r="Q3045" i="127"/>
  <c r="Q3044" i="127"/>
  <c r="Q3037" i="127"/>
  <c r="Q3030" i="127"/>
  <c r="Q3029" i="127"/>
  <c r="Q3047" i="127"/>
  <c r="Q3048" i="127"/>
  <c r="Q3049" i="127"/>
  <c r="Q3050" i="127"/>
  <c r="Q3051" i="127"/>
  <c r="Q3059" i="127"/>
  <c r="Q3052" i="127"/>
  <c r="Q3053" i="127"/>
  <c r="Q3054" i="127"/>
  <c r="Q3060" i="127"/>
  <c r="Q3055" i="127"/>
  <c r="Q3057" i="127"/>
  <c r="Q3058" i="127"/>
  <c r="Q3056" i="127"/>
  <c r="Q3061" i="127"/>
  <c r="Q3062" i="127"/>
  <c r="Q3067" i="127"/>
  <c r="Q3066" i="127"/>
  <c r="Q3064" i="127"/>
  <c r="Q3065" i="127"/>
  <c r="Q3071" i="127"/>
  <c r="Q3070" i="127"/>
  <c r="Q3068" i="127"/>
  <c r="Q3069" i="127"/>
  <c r="Q3072" i="127"/>
  <c r="Q3063" i="127"/>
  <c r="Q3075" i="127"/>
  <c r="Q3076" i="127"/>
  <c r="Q3077" i="127"/>
  <c r="Q3073" i="127"/>
  <c r="Q3078" i="127"/>
  <c r="Q3090" i="127"/>
  <c r="Q3082" i="127"/>
  <c r="Q3079" i="127"/>
  <c r="Q3080" i="127"/>
  <c r="Q3081" i="127"/>
  <c r="Q3087" i="127"/>
  <c r="Q3088" i="127"/>
  <c r="Q3089" i="127"/>
  <c r="Q3086" i="127"/>
  <c r="Q3074" i="127"/>
  <c r="Q3084" i="127"/>
  <c r="Q3085" i="127"/>
  <c r="Q3083" i="127"/>
  <c r="Q3096" i="127"/>
  <c r="Q3097" i="127"/>
  <c r="Q3098" i="127"/>
  <c r="Q3093" i="127"/>
  <c r="Q3108" i="127"/>
  <c r="Q3099" i="127"/>
  <c r="Q3100" i="127"/>
  <c r="Q3101" i="127"/>
  <c r="Q3102" i="127"/>
  <c r="Q3105" i="127"/>
  <c r="Q3106" i="127"/>
  <c r="Q3092" i="127"/>
  <c r="Q3095" i="127"/>
  <c r="Q3104" i="127"/>
  <c r="Q3091" i="127"/>
  <c r="Q3107" i="127"/>
  <c r="Q3109" i="127"/>
  <c r="Q3103" i="127"/>
  <c r="Q3094" i="127"/>
  <c r="Q3120" i="127"/>
  <c r="Q3117" i="127"/>
  <c r="Q3121" i="127"/>
  <c r="Q3122" i="127"/>
  <c r="Q3123" i="127"/>
  <c r="Q3112" i="127"/>
  <c r="Q3111" i="127"/>
  <c r="Q3118" i="127"/>
  <c r="Q3119" i="127"/>
  <c r="Q3113" i="127"/>
  <c r="Q3110" i="127"/>
  <c r="Q3114" i="127"/>
  <c r="Q3115" i="127"/>
  <c r="Q3116" i="127"/>
  <c r="Q3130" i="127"/>
  <c r="Q3126" i="127"/>
  <c r="Q3139" i="127"/>
  <c r="Q3129" i="127"/>
  <c r="Q3138" i="127"/>
  <c r="Q3128" i="127"/>
  <c r="Q3132" i="127"/>
  <c r="Q3131" i="127"/>
  <c r="Q3137" i="127"/>
  <c r="Q3127" i="127"/>
  <c r="Q3133" i="127"/>
  <c r="Q3134" i="127"/>
  <c r="Q3135" i="127"/>
  <c r="Q3136" i="127"/>
  <c r="Q3125" i="127"/>
  <c r="Q3124" i="127"/>
  <c r="Q3141" i="127"/>
  <c r="Q3149" i="127"/>
  <c r="Q3140" i="127"/>
  <c r="Q3147" i="127"/>
  <c r="Q3145" i="127"/>
  <c r="Q3146" i="127"/>
  <c r="Q3144" i="127"/>
  <c r="Q3148" i="127"/>
  <c r="Q3142" i="127"/>
  <c r="Q3150" i="127"/>
  <c r="Q3143" i="127"/>
  <c r="Q3151" i="127"/>
  <c r="Q3152" i="127"/>
  <c r="Q1754" i="127"/>
  <c r="Q3153" i="127"/>
  <c r="Q3154" i="127"/>
  <c r="Q3155" i="127"/>
  <c r="Q3156" i="127"/>
  <c r="Q3157" i="127"/>
  <c r="Q3158" i="127"/>
  <c r="Q3159" i="127"/>
  <c r="Q3160" i="127"/>
  <c r="Q3161" i="127"/>
  <c r="Q3162" i="127"/>
  <c r="Q3163" i="127"/>
  <c r="Q3164" i="127"/>
  <c r="Q3165" i="127"/>
  <c r="Q3166" i="127"/>
  <c r="Q3167" i="127"/>
  <c r="Q3168" i="127"/>
  <c r="Q3169" i="127"/>
  <c r="Q3170" i="127"/>
  <c r="Q3171" i="127"/>
  <c r="Q3172" i="127"/>
  <c r="Q3173" i="127"/>
  <c r="Q3174" i="127"/>
  <c r="Q3175" i="127"/>
  <c r="Q3176" i="127"/>
  <c r="Q3177" i="127"/>
  <c r="Q3178" i="127"/>
  <c r="Q3179" i="127"/>
  <c r="Q3180" i="127"/>
  <c r="Q3181" i="127"/>
  <c r="Q3182" i="127"/>
  <c r="Q3183" i="127"/>
  <c r="Q3184" i="127"/>
  <c r="Q3185" i="127"/>
  <c r="Q3186" i="127"/>
  <c r="Q3187" i="127"/>
  <c r="Q3188" i="127"/>
  <c r="Q3189" i="127"/>
  <c r="Q3190" i="127"/>
  <c r="Q3191" i="127"/>
  <c r="Q3192" i="127"/>
  <c r="Q3193" i="127"/>
  <c r="Q3194" i="127"/>
  <c r="Q3195" i="127"/>
  <c r="Q3196" i="127"/>
  <c r="Q3197" i="127"/>
  <c r="Q3198" i="127"/>
  <c r="Q3199" i="127"/>
  <c r="Q3200" i="127"/>
  <c r="Q3201" i="127"/>
  <c r="Q3202" i="127"/>
  <c r="Q3203" i="127"/>
  <c r="Q3204" i="127"/>
  <c r="Q3205" i="127"/>
  <c r="Q3206" i="127"/>
  <c r="Q3207" i="127"/>
  <c r="Q3208" i="127"/>
  <c r="Q3209" i="127"/>
  <c r="Q3210" i="127"/>
  <c r="Q3211" i="127"/>
  <c r="Q3212" i="127"/>
  <c r="Q3213" i="127"/>
  <c r="Q3214" i="127"/>
  <c r="Q3215" i="127"/>
  <c r="Q3216" i="127"/>
  <c r="Q3217" i="127"/>
  <c r="Q3218" i="127"/>
  <c r="Q3219" i="127"/>
  <c r="Q3220" i="127"/>
  <c r="Q3221" i="127"/>
  <c r="Q3222" i="127"/>
  <c r="Q3223" i="127"/>
  <c r="Q3224" i="127"/>
  <c r="Q3225" i="127"/>
  <c r="Q3226" i="127"/>
  <c r="Q3227" i="127"/>
  <c r="Q3228" i="127"/>
  <c r="Q3229" i="127"/>
  <c r="Q3230" i="127"/>
  <c r="Q3231" i="127"/>
  <c r="Q3232" i="127"/>
  <c r="Q3233" i="127"/>
  <c r="Q3234" i="127"/>
  <c r="Q3235" i="127"/>
  <c r="Q3236" i="127"/>
  <c r="Q3237" i="127"/>
  <c r="Q3238" i="127"/>
  <c r="Q3239" i="127"/>
  <c r="Q3240" i="127"/>
  <c r="Q3241" i="127"/>
  <c r="Q3242" i="127"/>
  <c r="Q3243" i="127"/>
  <c r="Q3244" i="127"/>
  <c r="Q3245" i="127"/>
  <c r="Q3246" i="127"/>
  <c r="Q3247" i="127"/>
  <c r="Q3248" i="127"/>
  <c r="Q3249" i="127"/>
  <c r="Q3250" i="127"/>
  <c r="Q3251" i="127"/>
  <c r="Q3252" i="127"/>
  <c r="Q3253" i="127"/>
  <c r="Q3254" i="127"/>
  <c r="Q3255" i="127"/>
  <c r="Q3256" i="127"/>
  <c r="Q3257" i="127"/>
  <c r="Q3258" i="127"/>
  <c r="Q3259" i="127"/>
  <c r="Q3260" i="127"/>
  <c r="Q3261" i="127"/>
  <c r="Q3262" i="127"/>
  <c r="Q3263" i="127"/>
  <c r="Q3264" i="127"/>
  <c r="Q3265" i="127"/>
  <c r="Q3266" i="127"/>
  <c r="Q3267" i="127"/>
  <c r="Q3268" i="127"/>
  <c r="Q3269" i="127"/>
  <c r="Q3270" i="127"/>
  <c r="Q3271" i="127"/>
  <c r="Q3272" i="127"/>
  <c r="Q3273" i="127"/>
  <c r="Q3274" i="127"/>
  <c r="Q3275" i="127"/>
  <c r="Q3276" i="127"/>
  <c r="Q3277" i="127"/>
  <c r="Q3278" i="127"/>
  <c r="Q3279" i="127"/>
  <c r="Q3280" i="127"/>
  <c r="Q3281" i="127"/>
  <c r="Q3282" i="127"/>
  <c r="Q3283" i="127"/>
  <c r="Q3284" i="127"/>
  <c r="Q3285" i="127"/>
  <c r="Q3286" i="127"/>
  <c r="Q3287" i="127"/>
  <c r="Q3288" i="127"/>
  <c r="Q3289" i="127"/>
  <c r="Q3290" i="127"/>
  <c r="Q3291" i="127"/>
  <c r="Q3292" i="127"/>
  <c r="Q3293" i="127"/>
  <c r="Q3294" i="127"/>
  <c r="Q3295" i="127"/>
  <c r="Q3296" i="127"/>
  <c r="Q3297" i="127"/>
  <c r="Q3298" i="127"/>
  <c r="Q3299" i="127"/>
  <c r="Q3300" i="127"/>
  <c r="Q3301" i="127"/>
  <c r="Q3302" i="127"/>
  <c r="Q3303" i="127"/>
  <c r="Q3304" i="127"/>
  <c r="Q3305" i="127"/>
  <c r="Q3306" i="127"/>
  <c r="Q3307" i="127"/>
  <c r="Q3308" i="127"/>
  <c r="Q3309" i="127"/>
  <c r="Q3310" i="127"/>
  <c r="Q3311" i="127"/>
  <c r="Q3312" i="127"/>
  <c r="Q3313" i="127"/>
  <c r="Q3314" i="127"/>
  <c r="Q3315" i="127"/>
  <c r="Q3316" i="127"/>
  <c r="Q3317" i="127"/>
  <c r="Q3318" i="127"/>
  <c r="Q3319" i="127"/>
  <c r="Q3320" i="127"/>
  <c r="Q3321" i="127"/>
  <c r="Q3322" i="127"/>
  <c r="Q3323" i="127"/>
  <c r="Q3324" i="127"/>
  <c r="Q3325" i="127"/>
  <c r="Q3326" i="127"/>
  <c r="Q3327" i="127"/>
  <c r="Q3328" i="127"/>
  <c r="Q3329" i="127"/>
  <c r="Q3330" i="127"/>
  <c r="Q3331" i="127"/>
  <c r="Q3332" i="127"/>
  <c r="Q3333" i="127"/>
  <c r="Q3334" i="127"/>
  <c r="Q3335" i="127"/>
  <c r="Q3336" i="127"/>
  <c r="Q3337" i="127"/>
  <c r="Q3338" i="127"/>
  <c r="Q3339" i="127"/>
  <c r="Q3340" i="127"/>
  <c r="Q3341" i="127"/>
  <c r="Q3342" i="127"/>
  <c r="Q3343" i="127"/>
  <c r="Q3344" i="127"/>
  <c r="Q3345" i="127"/>
  <c r="Q3346" i="127"/>
  <c r="Q3347" i="127"/>
  <c r="Q3348" i="127"/>
  <c r="Q3349" i="127"/>
  <c r="Q3350" i="127"/>
  <c r="Q3351" i="127"/>
  <c r="Q3352" i="127"/>
  <c r="Q3353" i="127"/>
  <c r="Q3354" i="127"/>
  <c r="Q3355" i="127"/>
  <c r="Q3356" i="127"/>
  <c r="Q3357" i="127"/>
  <c r="Q3358" i="127"/>
  <c r="Q3359" i="127"/>
  <c r="Q3360" i="127"/>
  <c r="Q3361" i="127"/>
  <c r="Q3362" i="127"/>
  <c r="Q3363" i="127"/>
  <c r="Q3364" i="127"/>
  <c r="Q3365" i="127"/>
  <c r="Q3366" i="127"/>
  <c r="Q3367" i="127"/>
  <c r="Q3368" i="127"/>
  <c r="Q3369" i="127"/>
  <c r="Q3370" i="127"/>
  <c r="Q3371" i="127"/>
  <c r="Q3372" i="127"/>
  <c r="Q3373" i="127"/>
  <c r="Q3374" i="127"/>
  <c r="Q3375" i="127"/>
  <c r="Q3376" i="127"/>
  <c r="Q3377" i="127"/>
  <c r="Q3378" i="127"/>
  <c r="Q3379" i="127"/>
  <c r="Q3380" i="127"/>
  <c r="Q3381" i="127"/>
  <c r="Q3382" i="127"/>
  <c r="Q3383" i="127"/>
  <c r="Q3384" i="127"/>
  <c r="Q3385" i="127"/>
  <c r="Q3386" i="127"/>
  <c r="Q3387" i="127"/>
  <c r="Q3388" i="127"/>
  <c r="Q3389" i="127"/>
  <c r="Q3390" i="127"/>
  <c r="Q3391" i="127"/>
  <c r="Q3392" i="127"/>
  <c r="Q3393" i="127"/>
  <c r="Q3394" i="127"/>
  <c r="Q3395" i="127"/>
  <c r="Q3396" i="127"/>
  <c r="Q3397" i="127"/>
  <c r="Q3398" i="127"/>
  <c r="Q3399" i="127"/>
  <c r="Q3400" i="127"/>
  <c r="Q3401" i="127"/>
  <c r="Q3402" i="127"/>
  <c r="Q3403" i="127"/>
  <c r="Q3404" i="127"/>
  <c r="Q3405" i="127"/>
  <c r="Q3406" i="127"/>
  <c r="Q3407" i="127"/>
  <c r="Q3408" i="127"/>
  <c r="Q3409" i="127"/>
  <c r="Q3410" i="127"/>
  <c r="Q3411" i="127"/>
  <c r="Q3412" i="127"/>
  <c r="Q3413" i="127"/>
  <c r="Q3414" i="127"/>
  <c r="Q3415" i="127"/>
  <c r="Q3416" i="127"/>
  <c r="Q3417" i="127"/>
  <c r="Q3418" i="127"/>
  <c r="Q3419" i="127"/>
  <c r="Q3420" i="127"/>
  <c r="Q3421" i="127"/>
  <c r="Q3422" i="127"/>
  <c r="Q3423" i="127"/>
  <c r="Q3424" i="127"/>
  <c r="Q3425" i="127"/>
  <c r="Q3426" i="127"/>
  <c r="Q3427" i="127"/>
  <c r="Q3428" i="127"/>
  <c r="Q3429" i="127"/>
  <c r="Q3430" i="127"/>
  <c r="Q3431" i="127"/>
  <c r="Q3432" i="127"/>
  <c r="Q3433" i="127"/>
  <c r="Q3434" i="127"/>
  <c r="Q3435" i="127"/>
  <c r="Q3436" i="127"/>
  <c r="Q3437" i="127"/>
  <c r="Q3438" i="127"/>
  <c r="Q3439" i="127"/>
  <c r="Q3440" i="127"/>
  <c r="Q3441" i="127"/>
  <c r="Q3442" i="127"/>
  <c r="Q3443" i="127"/>
  <c r="Q3444" i="127"/>
  <c r="Q3445" i="127"/>
  <c r="Q3446" i="127"/>
  <c r="Q3447" i="127"/>
  <c r="Q3448" i="127"/>
  <c r="Q3449" i="127"/>
  <c r="Q3450" i="127"/>
  <c r="Q3451" i="127"/>
  <c r="Q3452" i="127"/>
  <c r="Q3453" i="127"/>
  <c r="Q3454" i="127"/>
  <c r="Q3455" i="127"/>
  <c r="Q3456" i="127"/>
  <c r="Q3457" i="127"/>
  <c r="Q3458" i="127"/>
  <c r="Q3459" i="127"/>
  <c r="Q3460" i="127"/>
  <c r="Q3461" i="127"/>
  <c r="Q3462" i="127"/>
  <c r="Q3463" i="127"/>
  <c r="Q3464" i="127"/>
  <c r="Q3465" i="127"/>
  <c r="Q3466" i="127"/>
  <c r="Q3467" i="127"/>
  <c r="Q3468" i="127"/>
  <c r="Q3469" i="127"/>
  <c r="Q3470" i="127"/>
  <c r="Q3471" i="127"/>
  <c r="Q3472" i="127"/>
  <c r="Q3473" i="127"/>
  <c r="Q3474" i="127"/>
  <c r="Q3475" i="127"/>
  <c r="Q3476" i="127"/>
  <c r="Q3477" i="127"/>
  <c r="Q3478" i="127"/>
  <c r="Q3479" i="127"/>
  <c r="Q3480" i="127"/>
  <c r="Q3481" i="127"/>
  <c r="Q3482" i="127"/>
  <c r="Q3483" i="127"/>
  <c r="Q3484" i="127"/>
  <c r="Q3485" i="127"/>
  <c r="Q3486" i="127"/>
  <c r="Q3487" i="127"/>
  <c r="Q3488" i="127"/>
  <c r="Q3489" i="127"/>
  <c r="Q3490" i="127"/>
  <c r="Q3491" i="127"/>
  <c r="Q3492" i="127"/>
  <c r="Q3493" i="127"/>
  <c r="Q3494" i="127"/>
  <c r="Q3495" i="127"/>
  <c r="Q3496" i="127"/>
  <c r="Q3497" i="127"/>
  <c r="Q3498" i="127"/>
  <c r="Q3499" i="127"/>
  <c r="Q3500" i="127"/>
  <c r="Q3501" i="127"/>
  <c r="Q3502" i="127"/>
  <c r="Q3503" i="127"/>
  <c r="Q3504" i="127"/>
  <c r="Q3505" i="127"/>
  <c r="Q3506" i="127"/>
  <c r="Q3507" i="127"/>
  <c r="Q3508" i="127"/>
  <c r="Q3509" i="127"/>
  <c r="Q3510" i="127"/>
  <c r="Q3511" i="127"/>
  <c r="Q3512" i="127"/>
  <c r="Q3513" i="127"/>
  <c r="Q3514" i="127"/>
  <c r="Q3515" i="127"/>
  <c r="Q3516" i="127"/>
  <c r="Q3517" i="127"/>
  <c r="Q3518" i="127"/>
  <c r="Q3519" i="127"/>
  <c r="Q3520" i="127"/>
  <c r="Q3521" i="127"/>
  <c r="Q3522" i="127"/>
  <c r="Q3523" i="127"/>
  <c r="Q3524" i="127"/>
  <c r="Q3525" i="127"/>
  <c r="Q3526" i="127"/>
  <c r="Q3527" i="127"/>
  <c r="Q3528" i="127"/>
  <c r="Q3529" i="127"/>
  <c r="Q3530" i="127"/>
  <c r="Q3531" i="127"/>
  <c r="Q3532" i="127"/>
  <c r="Q3533" i="127"/>
  <c r="Q3534" i="127"/>
  <c r="Q3535" i="127"/>
  <c r="Q3536" i="127"/>
  <c r="Q3537" i="127"/>
  <c r="Q3538" i="127"/>
  <c r="Q3539" i="127"/>
  <c r="Q3540" i="127"/>
  <c r="Q3541" i="127"/>
  <c r="Q3542" i="127"/>
  <c r="Q3543" i="127"/>
  <c r="Q3544" i="127"/>
  <c r="Q3545" i="127"/>
  <c r="Q3546" i="127"/>
  <c r="Q3547" i="127"/>
  <c r="Q3548" i="127"/>
  <c r="Q3549" i="127"/>
  <c r="Q3550" i="127"/>
  <c r="Q3551" i="127"/>
  <c r="Q3552" i="127"/>
  <c r="Q3553" i="127"/>
  <c r="Q3554" i="127"/>
  <c r="Q3555" i="127"/>
  <c r="Q3556" i="127"/>
  <c r="Q3557" i="127"/>
  <c r="Q3558" i="127"/>
  <c r="Q3559" i="127"/>
  <c r="Q3560" i="127"/>
  <c r="Q3561" i="127"/>
  <c r="Q3562" i="127"/>
  <c r="Q3563" i="127"/>
  <c r="Q3564" i="127"/>
  <c r="Q3565" i="127"/>
  <c r="Q3566" i="127"/>
  <c r="Q3567" i="127"/>
  <c r="Q3568" i="127"/>
  <c r="Q3569" i="127"/>
  <c r="Q3570" i="127"/>
  <c r="Q3571" i="127"/>
  <c r="Q3572" i="127"/>
  <c r="Q3573" i="127"/>
  <c r="Q3574" i="127"/>
  <c r="Q3575" i="127"/>
  <c r="Q3576" i="127"/>
  <c r="Q3577" i="127"/>
  <c r="Q3578" i="127"/>
  <c r="Q3579" i="127"/>
  <c r="Q3580" i="127"/>
  <c r="Q3581" i="127"/>
  <c r="Q3582" i="127"/>
  <c r="Q3583" i="127"/>
  <c r="Q3584" i="127"/>
  <c r="Q3585" i="127"/>
  <c r="Q3586" i="127"/>
  <c r="Q3587" i="127"/>
  <c r="Q3588" i="127"/>
  <c r="Q3589" i="127"/>
  <c r="Q3590" i="127"/>
  <c r="Q3591" i="127"/>
  <c r="Q3592" i="127"/>
  <c r="Q3593" i="127"/>
  <c r="Q3594" i="127"/>
  <c r="Q3595" i="127"/>
  <c r="Q3596" i="127"/>
  <c r="Q3597" i="127"/>
  <c r="Q3598" i="127"/>
  <c r="Q3599" i="127"/>
  <c r="Q3600" i="127"/>
  <c r="Q3601" i="127"/>
  <c r="Q3602" i="127"/>
  <c r="Q3603" i="127"/>
  <c r="Q3604" i="127"/>
  <c r="Q3605" i="127"/>
  <c r="Q3606" i="127"/>
  <c r="Q3607" i="127"/>
  <c r="Q3608" i="127"/>
  <c r="Q3609" i="127"/>
  <c r="Q3610" i="127"/>
  <c r="Q3611" i="127"/>
  <c r="Q3612" i="127"/>
  <c r="Q3613" i="127"/>
  <c r="Q3614" i="127"/>
  <c r="Q3615" i="127"/>
  <c r="Q3616" i="127"/>
  <c r="Q3617" i="127"/>
  <c r="Q3618" i="127"/>
  <c r="Q3619" i="127"/>
  <c r="Q3620" i="127"/>
  <c r="Q3621" i="127"/>
  <c r="Q3622" i="127"/>
  <c r="Q3623" i="127"/>
  <c r="Q3624" i="127"/>
  <c r="Q3625" i="127"/>
  <c r="Q3626" i="127"/>
  <c r="Q3627" i="127"/>
  <c r="Q3628" i="127"/>
  <c r="Q3629" i="127"/>
  <c r="Q3630" i="127"/>
  <c r="Q3631" i="127"/>
  <c r="Q3632" i="127"/>
  <c r="Q3633" i="127"/>
  <c r="Q3634" i="127"/>
  <c r="Q3635" i="127"/>
  <c r="Q3636" i="127"/>
  <c r="Q3637" i="127"/>
  <c r="Q3638" i="127"/>
  <c r="Q3639" i="127"/>
  <c r="Q3640" i="127"/>
  <c r="Q3641" i="127"/>
  <c r="Q3642" i="127"/>
  <c r="Q3643" i="127"/>
  <c r="Q3644" i="127"/>
  <c r="Q3645" i="127"/>
  <c r="Q3646" i="127"/>
  <c r="Q3647" i="127"/>
  <c r="Q3648" i="127"/>
  <c r="Q3649" i="127"/>
  <c r="Q3650" i="127"/>
  <c r="Q3651" i="127"/>
  <c r="Q3652" i="127"/>
  <c r="Q3653" i="127"/>
  <c r="Q3654" i="127"/>
  <c r="Q3655" i="127"/>
  <c r="Q3656" i="127"/>
  <c r="Q3657" i="127"/>
  <c r="Q3658" i="127"/>
  <c r="Q3659" i="127"/>
  <c r="Q3660" i="127"/>
  <c r="Q3661" i="127"/>
  <c r="Q3662" i="127"/>
  <c r="Q3663" i="127"/>
  <c r="Q3664" i="127"/>
  <c r="Q3665" i="127"/>
  <c r="Q3666" i="127"/>
  <c r="Q3667" i="127"/>
  <c r="Q3668" i="127"/>
  <c r="Q3669" i="127"/>
  <c r="Q3670" i="127"/>
  <c r="Q3671" i="127"/>
  <c r="Q3672" i="127"/>
  <c r="Q3673" i="127"/>
  <c r="Q3674" i="127"/>
  <c r="Q3675" i="127"/>
  <c r="Q3676" i="127"/>
  <c r="Q3677" i="127"/>
  <c r="Q3678" i="127"/>
  <c r="Q3679" i="127"/>
  <c r="Q3680" i="127"/>
  <c r="Q3681" i="127"/>
  <c r="Q3682" i="127"/>
  <c r="Q3683" i="127"/>
  <c r="Q3684" i="127"/>
  <c r="Q3685" i="127"/>
  <c r="Q3686" i="127"/>
  <c r="Q3687" i="127"/>
  <c r="Q3688" i="127"/>
  <c r="Q3689" i="127"/>
  <c r="Q3690" i="127"/>
  <c r="Q3691" i="127"/>
  <c r="Q3692" i="127"/>
  <c r="Q3693" i="127"/>
  <c r="Q3694" i="127"/>
  <c r="Q3695" i="127"/>
  <c r="Q3696" i="127"/>
  <c r="Q3697" i="127"/>
  <c r="Q3698" i="127"/>
  <c r="Q3699" i="127"/>
  <c r="Q3700" i="127"/>
  <c r="Q3701" i="127"/>
  <c r="Q3702" i="127"/>
  <c r="Q3703" i="127"/>
  <c r="Q3704" i="127"/>
  <c r="Q3705" i="127"/>
  <c r="Q3706" i="127"/>
  <c r="Q3707" i="127"/>
  <c r="Q3708" i="127"/>
  <c r="Q3709" i="127"/>
  <c r="Q3710" i="127"/>
  <c r="Q3711" i="127"/>
  <c r="Q3712" i="127"/>
  <c r="Q3713" i="127"/>
  <c r="Q3714" i="127"/>
  <c r="Q3715" i="127"/>
  <c r="Q3716" i="127"/>
  <c r="Q3717" i="127"/>
  <c r="Q3718" i="127"/>
  <c r="Q3719" i="127"/>
  <c r="Q3720" i="127"/>
  <c r="Q3721" i="127"/>
  <c r="Q3722" i="127"/>
  <c r="Q3723" i="127"/>
  <c r="Q3724" i="127"/>
  <c r="Q3725" i="127"/>
  <c r="Q3726" i="127"/>
  <c r="Q3727" i="127"/>
  <c r="Q3728" i="127"/>
  <c r="Q3729" i="127"/>
  <c r="Q3730" i="127"/>
  <c r="Q3731" i="127"/>
  <c r="Q3732" i="127"/>
  <c r="Q3733" i="127"/>
  <c r="Q3734" i="127"/>
  <c r="Q3735" i="127"/>
  <c r="Q3736" i="127"/>
  <c r="Q3737" i="127"/>
  <c r="Q3738" i="127"/>
  <c r="Q3739" i="127"/>
  <c r="Q3740" i="127"/>
  <c r="Q3741" i="127"/>
  <c r="Q3742" i="127"/>
  <c r="Q3743" i="127"/>
  <c r="Q3744" i="127"/>
  <c r="Q3745" i="127"/>
  <c r="Q3746" i="127"/>
  <c r="Q3747" i="127"/>
  <c r="Q3748" i="127"/>
  <c r="Q3749" i="127"/>
  <c r="Q3750" i="127"/>
  <c r="Q3751" i="127"/>
  <c r="Q3752" i="127"/>
  <c r="Q3753" i="127"/>
  <c r="Q3754" i="127"/>
  <c r="Q3755" i="127"/>
  <c r="Q3756" i="127"/>
  <c r="Q3757" i="127"/>
  <c r="Q3758" i="127"/>
  <c r="Q3759" i="127"/>
  <c r="Q3760" i="127"/>
  <c r="Q3761" i="127"/>
  <c r="Q3762" i="127"/>
  <c r="Q3763" i="127"/>
  <c r="Q3764" i="127"/>
  <c r="Q3765" i="127"/>
  <c r="Q3766" i="127"/>
  <c r="Q3767" i="127"/>
  <c r="Q3768" i="127"/>
  <c r="Q3769" i="127"/>
  <c r="Q3770" i="127"/>
  <c r="Q3771" i="127"/>
  <c r="Q3772" i="127"/>
  <c r="Q3773" i="127"/>
  <c r="Q3774" i="127"/>
  <c r="Q3775" i="127"/>
  <c r="Q3776" i="127"/>
  <c r="Q3777" i="127"/>
  <c r="Q3778" i="127"/>
  <c r="Q3779" i="127"/>
  <c r="Q3780" i="127"/>
  <c r="Q3781" i="127"/>
  <c r="Q3782" i="127"/>
  <c r="Q3783" i="127"/>
  <c r="Q3784" i="127"/>
  <c r="Q3785" i="127"/>
  <c r="Q3786" i="127"/>
  <c r="Q3787" i="127"/>
  <c r="Q3788" i="127"/>
  <c r="Q3789" i="127"/>
  <c r="Q3790" i="127"/>
  <c r="Q3791" i="127"/>
  <c r="Q3792" i="127"/>
  <c r="Q3793" i="127"/>
  <c r="Q3794" i="127"/>
  <c r="Q3795" i="127"/>
  <c r="Q3796" i="127"/>
  <c r="Q3797" i="127"/>
  <c r="Q3798" i="127"/>
  <c r="Q3799" i="127"/>
  <c r="Q3800" i="127"/>
  <c r="Q3801" i="127"/>
  <c r="Q3802" i="127"/>
  <c r="Q3803" i="127"/>
  <c r="Q3804" i="127"/>
  <c r="Q3805" i="127"/>
  <c r="Q3806" i="127"/>
  <c r="Q3807" i="127"/>
  <c r="Q3808" i="127"/>
  <c r="Q3809" i="127"/>
  <c r="Q3810" i="127"/>
  <c r="Q3811" i="127"/>
  <c r="Q3812" i="127"/>
  <c r="Q3813" i="127"/>
  <c r="Q3814" i="127"/>
  <c r="Q3815" i="127"/>
  <c r="Q3816" i="127"/>
  <c r="Q3817" i="127"/>
  <c r="Q3818" i="127"/>
  <c r="Q3819" i="127"/>
  <c r="Q3820" i="127"/>
  <c r="Q3821" i="127"/>
  <c r="Q3822" i="127"/>
  <c r="Q3823" i="127"/>
  <c r="Q3824" i="127"/>
  <c r="Q3825" i="127"/>
  <c r="Q3826" i="127"/>
  <c r="Q3827" i="127"/>
  <c r="Q3828" i="127"/>
  <c r="Q3829" i="127"/>
  <c r="Q3830" i="127"/>
  <c r="Q3831" i="127"/>
  <c r="Q3832" i="127"/>
  <c r="Q3833" i="127"/>
  <c r="Q3834" i="127"/>
  <c r="Q3835" i="127"/>
  <c r="Q3836" i="127"/>
  <c r="Q3837" i="127"/>
  <c r="Q3838" i="127"/>
  <c r="Q3839" i="127"/>
  <c r="Q3840" i="127"/>
  <c r="Q3841" i="127"/>
  <c r="Q3842" i="127"/>
  <c r="Q3843" i="127"/>
  <c r="Q3844" i="127"/>
  <c r="Q3845" i="127"/>
  <c r="Q3846" i="127"/>
  <c r="Q3847" i="127"/>
  <c r="Q3848" i="127"/>
  <c r="Q3849" i="127"/>
  <c r="Q3850" i="127"/>
  <c r="Q3851" i="127"/>
  <c r="Q3852" i="127"/>
  <c r="Q3853" i="127"/>
  <c r="Q3854" i="127"/>
  <c r="Q3855" i="127"/>
  <c r="Q3856" i="127"/>
  <c r="Q3857" i="127"/>
  <c r="Q3858" i="127"/>
  <c r="Q3859" i="127"/>
  <c r="Q3860" i="127"/>
  <c r="Q3861" i="127"/>
  <c r="Q3862" i="127"/>
  <c r="Q3863" i="127"/>
  <c r="Q3864" i="127"/>
  <c r="Q3865" i="127"/>
  <c r="Q3866" i="127"/>
  <c r="Q3867" i="127"/>
  <c r="Q3868" i="127"/>
  <c r="Q3869" i="127"/>
  <c r="Q3870" i="127"/>
  <c r="Q3871" i="127"/>
  <c r="Q3872" i="127"/>
  <c r="Q3873" i="127"/>
  <c r="Q3874" i="127"/>
  <c r="Q3875" i="127"/>
  <c r="Q3876" i="127"/>
  <c r="Q3877" i="127"/>
  <c r="Q3878" i="127"/>
  <c r="Q3879" i="127"/>
  <c r="Q3880" i="127"/>
  <c r="Q3881" i="127"/>
  <c r="Q3882" i="127"/>
  <c r="Q3883" i="127"/>
  <c r="Q3884" i="127"/>
  <c r="Q3885" i="127"/>
  <c r="Q3886" i="127"/>
  <c r="Q3887" i="127"/>
  <c r="Q3888" i="127"/>
  <c r="Q3889" i="127"/>
  <c r="Q3890" i="127"/>
  <c r="Q3891" i="127"/>
  <c r="Q3892" i="127"/>
  <c r="Q3893" i="127"/>
  <c r="Q3894" i="127"/>
  <c r="Q3895" i="127"/>
  <c r="Q3896" i="127"/>
  <c r="Q3897" i="127"/>
  <c r="Q3898" i="127"/>
  <c r="Q3899" i="127"/>
  <c r="Q3900" i="127"/>
  <c r="Q3901" i="127"/>
  <c r="Q3902" i="127"/>
  <c r="Q3903" i="127"/>
  <c r="Q3904" i="127"/>
  <c r="Q3905" i="127"/>
  <c r="Q3906" i="127"/>
  <c r="Q3907" i="127"/>
  <c r="Q3908" i="127"/>
  <c r="Q3909" i="127"/>
  <c r="Q3910" i="127"/>
  <c r="Q3911" i="127"/>
  <c r="Q3912" i="127"/>
  <c r="Q3913" i="127"/>
  <c r="Q3914" i="127"/>
  <c r="Q3915" i="127"/>
  <c r="Q3916" i="127"/>
  <c r="Q3917" i="127"/>
  <c r="Q3918" i="127"/>
  <c r="Q3919" i="127"/>
  <c r="Q3920" i="127"/>
  <c r="Q3921" i="127"/>
  <c r="Q3922" i="127"/>
  <c r="Q3923" i="127"/>
  <c r="Q3924" i="127"/>
  <c r="Q3925" i="127"/>
  <c r="Q3926" i="127"/>
  <c r="Q3927" i="127"/>
  <c r="Q3928" i="127"/>
  <c r="Q3929" i="127"/>
  <c r="Q3930" i="127"/>
  <c r="Q3931" i="127"/>
  <c r="Q3932" i="127"/>
  <c r="Q3933" i="127"/>
  <c r="Q3934" i="127"/>
  <c r="Q3935" i="127"/>
  <c r="Q3936" i="127"/>
  <c r="Q3937" i="127"/>
  <c r="Q3938" i="127"/>
  <c r="Q3939" i="127"/>
  <c r="Q3940" i="127"/>
  <c r="Q3941" i="127"/>
  <c r="Q3942" i="127"/>
  <c r="Q3943" i="127"/>
  <c r="Q3944" i="127"/>
  <c r="Q3945" i="127"/>
  <c r="Q3946" i="127"/>
  <c r="Q3947" i="127"/>
  <c r="Q3948" i="127"/>
  <c r="Q3949" i="127"/>
  <c r="Q3950" i="127"/>
  <c r="Q3951" i="127"/>
  <c r="Q3952" i="127"/>
  <c r="Q3953" i="127"/>
  <c r="Q3954" i="127"/>
  <c r="Q3955" i="127"/>
  <c r="Q3956" i="127"/>
  <c r="Q3957" i="127"/>
  <c r="Q3958" i="127"/>
  <c r="Q3959" i="127"/>
  <c r="Q3960" i="127"/>
  <c r="Q3961" i="127"/>
  <c r="Q3962" i="127"/>
  <c r="Q3963" i="127"/>
  <c r="Q3964" i="127"/>
  <c r="Q3965" i="127"/>
  <c r="Q3966" i="127"/>
  <c r="Q3967" i="127"/>
  <c r="Q3968" i="127"/>
  <c r="Q3969" i="127"/>
  <c r="Q3970" i="127"/>
  <c r="Q3971" i="127"/>
  <c r="Q3972" i="127"/>
  <c r="Q3973" i="127"/>
  <c r="Q3974" i="127"/>
  <c r="Q3975" i="127"/>
  <c r="Q3976" i="127"/>
  <c r="Q3977" i="127"/>
  <c r="Q3978" i="127"/>
  <c r="Q3979" i="127"/>
  <c r="Q3980" i="127"/>
  <c r="Q3981" i="127"/>
  <c r="Q3982" i="127"/>
  <c r="Q3983" i="127"/>
  <c r="Q3984" i="127"/>
  <c r="Q3985" i="127"/>
  <c r="Q3986" i="127"/>
  <c r="Q3987" i="127"/>
  <c r="Q3988" i="127"/>
  <c r="Q3989" i="127"/>
  <c r="Q3990" i="127"/>
  <c r="Q3991" i="127"/>
  <c r="Q3992" i="127"/>
  <c r="Q3993" i="127"/>
  <c r="Q3994" i="127"/>
  <c r="Q3995" i="127"/>
  <c r="Q3996" i="127"/>
  <c r="Q3997" i="127"/>
  <c r="Q3998" i="127"/>
  <c r="Q3999" i="127"/>
  <c r="Q4000" i="127"/>
  <c r="Q4001" i="127"/>
  <c r="Q4002" i="127"/>
  <c r="Q4003" i="127"/>
  <c r="Q4004" i="127"/>
  <c r="Q4005" i="127"/>
  <c r="Q4006" i="127"/>
  <c r="Q4007" i="127"/>
  <c r="Q4008" i="127"/>
  <c r="Q4009" i="127"/>
  <c r="Q4010" i="127"/>
  <c r="Q4011" i="127"/>
  <c r="Q4012" i="127"/>
  <c r="Q4013" i="127"/>
  <c r="Q4014" i="127"/>
  <c r="Q4015" i="127"/>
  <c r="Q4016" i="127"/>
  <c r="Q4017" i="127"/>
  <c r="Q4018" i="127"/>
  <c r="Q4019" i="127"/>
  <c r="Q4020" i="127"/>
  <c r="Q4021" i="127"/>
  <c r="Q4022" i="127"/>
  <c r="Q4023" i="127"/>
  <c r="Q4024" i="127"/>
  <c r="Q4025" i="127"/>
  <c r="Q4026" i="127"/>
  <c r="Q4027" i="127"/>
  <c r="Q4028" i="127"/>
  <c r="Q4029" i="127"/>
  <c r="Q4030" i="127"/>
  <c r="Q4031" i="127"/>
  <c r="Q4032" i="127"/>
  <c r="Q4033" i="127"/>
  <c r="Q4034" i="127"/>
  <c r="Q4035" i="127"/>
  <c r="Q4036" i="127"/>
  <c r="Q4037" i="127"/>
  <c r="Q4038" i="127"/>
  <c r="Q4039" i="127"/>
  <c r="Q4040" i="127"/>
  <c r="Q4041" i="127"/>
  <c r="Q4042" i="127"/>
  <c r="Q4043" i="127"/>
  <c r="Q4044" i="127"/>
  <c r="Q4045" i="127"/>
  <c r="Q4046" i="127"/>
  <c r="Q4047" i="127"/>
  <c r="Q4048" i="127"/>
  <c r="Q4049" i="127"/>
  <c r="Q4050" i="127"/>
  <c r="Q4051" i="127"/>
  <c r="Q4052" i="127"/>
  <c r="Q4053" i="127"/>
  <c r="Q4054" i="127"/>
  <c r="Q4055" i="127"/>
  <c r="Q4056" i="127"/>
  <c r="Q4057" i="127"/>
  <c r="Q4058" i="127"/>
  <c r="Q4059" i="127"/>
  <c r="Q4060" i="127"/>
  <c r="Q4061" i="127"/>
  <c r="Q4062" i="127"/>
  <c r="Q4063" i="127"/>
  <c r="Q4064" i="127"/>
  <c r="Q4065" i="127"/>
  <c r="Q4066" i="127"/>
  <c r="Q4067" i="127"/>
  <c r="Q4068" i="127"/>
  <c r="Q4069" i="127"/>
  <c r="Q4070" i="127"/>
  <c r="Q4071" i="127"/>
  <c r="Q4072" i="127"/>
  <c r="Q4073" i="127"/>
  <c r="Q4074" i="127"/>
  <c r="Q4075" i="127"/>
  <c r="Q4076" i="127"/>
  <c r="Q4077" i="127"/>
  <c r="Q4078" i="127"/>
  <c r="Q4079" i="127"/>
  <c r="Q4080" i="127"/>
  <c r="Q4081" i="127"/>
  <c r="Q4082" i="127"/>
  <c r="Q4083" i="127"/>
  <c r="Q4084" i="127"/>
  <c r="Q4085" i="127"/>
  <c r="Q4086" i="127"/>
  <c r="Q4087" i="127"/>
  <c r="Q4088" i="127"/>
  <c r="Q4089" i="127"/>
  <c r="Q4090" i="127"/>
  <c r="Q4091" i="127"/>
  <c r="Q4092" i="127"/>
  <c r="Q4093" i="127"/>
  <c r="Q4094" i="127"/>
  <c r="Q4095" i="127"/>
  <c r="Q4096" i="127"/>
  <c r="Q4097" i="127"/>
  <c r="Q4098" i="127"/>
  <c r="Q4099" i="127"/>
  <c r="Q4100" i="127"/>
  <c r="Q4101" i="127"/>
  <c r="Q4102" i="127"/>
  <c r="Q4103" i="127"/>
  <c r="Q4104" i="127"/>
  <c r="Q4105" i="127"/>
  <c r="Q4106" i="127"/>
  <c r="Q4107" i="127"/>
  <c r="Q4108" i="127"/>
  <c r="Q4109" i="127"/>
  <c r="Q4110" i="127"/>
  <c r="Q4111" i="127"/>
  <c r="Q4112" i="127"/>
  <c r="Q4113" i="127"/>
  <c r="Q4114" i="127"/>
  <c r="Q4115" i="127"/>
  <c r="Q4116" i="127"/>
  <c r="Q4117" i="127"/>
  <c r="Q4118" i="127"/>
  <c r="Q4119" i="127"/>
  <c r="Q4120" i="127"/>
  <c r="Q4121" i="127"/>
  <c r="Q4122" i="127"/>
  <c r="Q4123" i="127"/>
  <c r="Q4124" i="127"/>
  <c r="Q4125" i="127"/>
  <c r="Q4126" i="127"/>
  <c r="Q4127" i="127"/>
  <c r="Q4128" i="127"/>
  <c r="Q4129" i="127"/>
  <c r="Q4130" i="127"/>
  <c r="Q4131" i="127"/>
  <c r="Q4132" i="127"/>
  <c r="Q4133" i="127"/>
  <c r="Q4134" i="127"/>
  <c r="Q4135" i="127"/>
  <c r="Q4136" i="127"/>
  <c r="Q4137" i="127"/>
  <c r="Q4138" i="127"/>
  <c r="Q4139" i="127"/>
  <c r="Q4140" i="127"/>
  <c r="Q4141" i="127"/>
  <c r="Q4142" i="127"/>
  <c r="Q4143" i="127"/>
  <c r="Q4144" i="127"/>
  <c r="Q4145" i="127"/>
  <c r="Q4146" i="127"/>
  <c r="Q4147" i="127"/>
  <c r="Q4148" i="127"/>
  <c r="Q4149" i="127"/>
  <c r="Q4150" i="127"/>
  <c r="Q4151" i="127"/>
  <c r="Q4152" i="127"/>
  <c r="Q4153" i="127"/>
  <c r="Q4154" i="127"/>
  <c r="Q4155" i="127"/>
  <c r="Q4156" i="127"/>
  <c r="Q4157" i="127"/>
  <c r="Q4158" i="127"/>
  <c r="Q4159" i="127"/>
  <c r="Q4160" i="127"/>
  <c r="Q4161" i="127"/>
  <c r="Q4162" i="127"/>
  <c r="Q4163" i="127"/>
  <c r="Q4164" i="127"/>
  <c r="Q4165" i="127"/>
  <c r="Q4166" i="127"/>
  <c r="Q4167" i="127"/>
  <c r="Q4168" i="127"/>
  <c r="Q4169" i="127"/>
  <c r="Q4170" i="127"/>
  <c r="Q4171" i="127"/>
  <c r="Q4172" i="127"/>
  <c r="Q4173" i="127"/>
  <c r="Q4174" i="127"/>
  <c r="Q4175" i="127"/>
  <c r="Q4176" i="127"/>
  <c r="Q4177" i="127"/>
  <c r="Q4178" i="127"/>
  <c r="Q4179" i="127"/>
  <c r="Q4180" i="127"/>
  <c r="Q4181" i="127"/>
  <c r="Q4182" i="127"/>
  <c r="Q4183" i="127"/>
  <c r="Q4184" i="127"/>
  <c r="Q4185" i="127"/>
  <c r="Q4186" i="127"/>
  <c r="Q4187" i="127"/>
  <c r="Q4188" i="127"/>
  <c r="Q4189" i="127"/>
  <c r="Q4190" i="127"/>
  <c r="Q4191" i="127"/>
  <c r="Q4192" i="127"/>
  <c r="Q4193" i="127"/>
  <c r="Q4194" i="127"/>
  <c r="Q4195" i="127"/>
  <c r="Q4196" i="127"/>
  <c r="Q4197" i="127"/>
  <c r="Q4198" i="127"/>
  <c r="Q4199" i="127"/>
  <c r="Q4200" i="127"/>
  <c r="Q4201" i="127"/>
  <c r="Q4202" i="127"/>
  <c r="Q4203" i="127"/>
  <c r="Q4204" i="127"/>
  <c r="Q4205" i="127"/>
  <c r="Q4206" i="127"/>
  <c r="Q4207" i="127"/>
  <c r="Q4208" i="127"/>
  <c r="Q4209" i="127"/>
  <c r="Q4210" i="127"/>
  <c r="Q4211" i="127"/>
  <c r="Q4212" i="127"/>
  <c r="Q4213" i="127"/>
  <c r="Q4214" i="127"/>
  <c r="Q4215" i="127"/>
  <c r="Q4216" i="127"/>
  <c r="Q4217" i="127"/>
  <c r="Q4218" i="127"/>
  <c r="Q4219" i="127"/>
  <c r="Q4220" i="127"/>
  <c r="Q4221" i="127"/>
  <c r="Q4222" i="127"/>
  <c r="Q4223" i="127"/>
  <c r="Q4224" i="127"/>
  <c r="Q4225" i="127"/>
  <c r="Q4226" i="127"/>
  <c r="Q4227" i="127"/>
  <c r="Q4228" i="127"/>
  <c r="Q4229" i="127"/>
  <c r="Q4230" i="127"/>
  <c r="Q4231" i="127"/>
  <c r="Q4232" i="127"/>
  <c r="Q4233" i="127"/>
  <c r="Q4234" i="127"/>
  <c r="Q4235" i="127"/>
  <c r="Q4236" i="127"/>
  <c r="Q4237" i="127"/>
  <c r="Q4238" i="127"/>
  <c r="Q4239" i="127"/>
  <c r="Q4240" i="127"/>
  <c r="Q4241" i="127"/>
  <c r="Q4242" i="127"/>
  <c r="Q4243" i="127"/>
  <c r="Q4244" i="127"/>
  <c r="Q4245" i="127"/>
  <c r="Q4246" i="127"/>
  <c r="Q4247" i="127"/>
  <c r="Q4248" i="127"/>
  <c r="Q4249" i="127"/>
  <c r="Q4250" i="127"/>
  <c r="Q4251" i="127"/>
  <c r="Q4252" i="127"/>
  <c r="Q4253" i="127"/>
  <c r="Q4254" i="127"/>
  <c r="Q4255" i="127"/>
  <c r="Q4256" i="127"/>
  <c r="Q4257" i="127"/>
  <c r="Q4258" i="127"/>
  <c r="Q4259" i="127"/>
  <c r="Q4260" i="127"/>
  <c r="Q4261" i="127"/>
  <c r="Q4262" i="127"/>
  <c r="Q4263" i="127"/>
  <c r="Q4264" i="127"/>
  <c r="Q4265" i="127"/>
  <c r="Q4266" i="127"/>
  <c r="Q4267" i="127"/>
  <c r="Q4268" i="127"/>
  <c r="Q4269" i="127"/>
  <c r="Q4270" i="127"/>
  <c r="Q4271" i="127"/>
  <c r="Q4272" i="127"/>
  <c r="Q4273" i="127"/>
  <c r="Q4274" i="127"/>
  <c r="Q4275" i="127"/>
  <c r="Q4276" i="127"/>
  <c r="Q4277" i="127"/>
  <c r="Q4278" i="127"/>
  <c r="Q4279" i="127"/>
  <c r="Q4280" i="127"/>
  <c r="Q4281" i="127"/>
  <c r="Q4282" i="127"/>
  <c r="Q4283" i="127"/>
  <c r="Q4284" i="127"/>
  <c r="Q4285" i="127"/>
  <c r="Q4286" i="127"/>
  <c r="Q4287" i="127"/>
  <c r="Q4288" i="127"/>
  <c r="Q4289" i="127"/>
  <c r="Q4290" i="127"/>
  <c r="Q4291" i="127"/>
  <c r="Q4292" i="127"/>
  <c r="Q4293" i="127"/>
  <c r="Q4294" i="127"/>
  <c r="Q4295" i="127"/>
  <c r="Q4296" i="127"/>
  <c r="Q4297" i="127"/>
  <c r="Q4298" i="127"/>
  <c r="Q4299" i="127"/>
  <c r="Q4300" i="127"/>
  <c r="Q4301" i="127"/>
  <c r="Q4302" i="127"/>
  <c r="Q4303" i="127"/>
  <c r="Q4304" i="127"/>
  <c r="Q4305" i="127"/>
  <c r="Q4306" i="127"/>
  <c r="Q4307" i="127"/>
  <c r="Q4308" i="127"/>
  <c r="Q4309" i="127"/>
  <c r="Q4310" i="127"/>
  <c r="Q4311" i="127"/>
  <c r="Q4312" i="127"/>
  <c r="Q4313" i="127"/>
  <c r="Q4314" i="127"/>
  <c r="Q4315" i="127"/>
  <c r="Q4316" i="127"/>
  <c r="Q4317" i="127"/>
  <c r="Q4318" i="127"/>
  <c r="Q4319" i="127"/>
  <c r="Q4320" i="127"/>
  <c r="Q4321" i="127"/>
  <c r="Q4322" i="127"/>
  <c r="Q4323" i="127"/>
  <c r="Q4324" i="127"/>
  <c r="Q4325" i="127"/>
  <c r="Q4326" i="127"/>
  <c r="Q4514" i="127"/>
  <c r="Q4515" i="127"/>
  <c r="C2539" i="127" l="1"/>
  <c r="C2538" i="127"/>
  <c r="C2543" i="127"/>
  <c r="C2546" i="127"/>
  <c r="C2542" i="127"/>
  <c r="C2540" i="127"/>
  <c r="C2545" i="127"/>
  <c r="C2541" i="127"/>
  <c r="C2544" i="127"/>
  <c r="C2547" i="127"/>
  <c r="C2551" i="127"/>
  <c r="C2559" i="127"/>
  <c r="C2560" i="127"/>
  <c r="C2549" i="127"/>
  <c r="C2556" i="127"/>
  <c r="C2557" i="127"/>
  <c r="C2550" i="127"/>
  <c r="C2553" i="127"/>
  <c r="C2532" i="127" l="1"/>
  <c r="C2515" i="127" l="1"/>
  <c r="C2516" i="127"/>
  <c r="C2517" i="127"/>
  <c r="C2518" i="127"/>
  <c r="C2508" i="127"/>
  <c r="C2510" i="127"/>
  <c r="C2503" i="127"/>
  <c r="C2512" i="127"/>
  <c r="C2114" i="127"/>
  <c r="C2527" i="127"/>
  <c r="C2528" i="127"/>
  <c r="C2529" i="127"/>
  <c r="C2531" i="127"/>
  <c r="C2526" i="127"/>
  <c r="C2534" i="127"/>
  <c r="C2535" i="127"/>
  <c r="C2533" i="127"/>
  <c r="C2525" i="127"/>
  <c r="C2524" i="127"/>
  <c r="C2536" i="127"/>
  <c r="C2537" i="127"/>
  <c r="C2530" i="127"/>
  <c r="C2514" i="127"/>
  <c r="C2500" i="127"/>
  <c r="C2520" i="127"/>
  <c r="C2502" i="127"/>
  <c r="C2521" i="127"/>
  <c r="C2476" i="127" l="1"/>
  <c r="C2480" i="127"/>
  <c r="C2495" i="127"/>
  <c r="C2496" i="127"/>
  <c r="C2509" i="127"/>
  <c r="C2511" i="127"/>
  <c r="C2519" i="127"/>
  <c r="C2505" i="127"/>
  <c r="C2507" i="127"/>
  <c r="C2504" i="127"/>
  <c r="C2523" i="127"/>
  <c r="C2501" i="127"/>
  <c r="C2506" i="127"/>
  <c r="C2522" i="127"/>
  <c r="C2513" i="127"/>
  <c r="J312" i="89" l="1"/>
  <c r="K312" i="89" s="1"/>
  <c r="J314" i="89"/>
  <c r="K314" i="89" s="1"/>
  <c r="J315" i="89"/>
  <c r="K315" i="89" s="1"/>
  <c r="J316" i="89"/>
  <c r="K316" i="89" s="1"/>
  <c r="J317" i="89"/>
  <c r="K317" i="89" s="1"/>
  <c r="J318" i="89"/>
  <c r="K318" i="89" s="1"/>
  <c r="J319" i="89"/>
  <c r="K319" i="89" s="1"/>
  <c r="J320" i="89"/>
  <c r="K320" i="89" s="1"/>
  <c r="J321" i="89"/>
  <c r="K321" i="89" s="1"/>
  <c r="J324" i="89"/>
  <c r="K324" i="89" s="1"/>
  <c r="J325" i="89"/>
  <c r="K325" i="89" s="1"/>
  <c r="J326" i="89"/>
  <c r="D312" i="89"/>
  <c r="D313" i="89"/>
  <c r="D314" i="89"/>
  <c r="D315" i="89"/>
  <c r="D316" i="89"/>
  <c r="C2488" i="127"/>
  <c r="C2489" i="127"/>
  <c r="C2491" i="127"/>
  <c r="C2492" i="127"/>
  <c r="C2479" i="127"/>
  <c r="C2474" i="127"/>
  <c r="C2472" i="127"/>
  <c r="C2487" i="127"/>
  <c r="C2486" i="127"/>
  <c r="C2473" i="127"/>
  <c r="C2498" i="127"/>
  <c r="C2499" i="127"/>
  <c r="C2477" i="127"/>
  <c r="C2478" i="127"/>
  <c r="C2493" i="127"/>
  <c r="C2494" i="127"/>
  <c r="C2471" i="127"/>
  <c r="C2497" i="127"/>
  <c r="C2484" i="127"/>
  <c r="C2485" i="127"/>
  <c r="C2475" i="127"/>
  <c r="C2490" i="127"/>
  <c r="C2467" i="127" l="1"/>
  <c r="C2470" i="127"/>
  <c r="C2469" i="127"/>
  <c r="C2468" i="127"/>
  <c r="C2481" i="127"/>
  <c r="C2482" i="127"/>
  <c r="C2483" i="127"/>
  <c r="C2465" i="127"/>
  <c r="C2466" i="127"/>
  <c r="C2462" i="127" l="1"/>
  <c r="C2442" i="127" l="1"/>
  <c r="C2443" i="127"/>
  <c r="C2444" i="127"/>
  <c r="C2457" i="127"/>
  <c r="C2458" i="127"/>
  <c r="C2459" i="127"/>
  <c r="C2452" i="127"/>
  <c r="C2450" i="127"/>
  <c r="C2453" i="127"/>
  <c r="C2454" i="127"/>
  <c r="C2455" i="127"/>
  <c r="C2445" i="127"/>
  <c r="C2451" i="127"/>
  <c r="C2456" i="127"/>
  <c r="C2441" i="127"/>
  <c r="C2446" i="127"/>
  <c r="C2460" i="127"/>
  <c r="C2463" i="127"/>
  <c r="C2464" i="127"/>
  <c r="C2461" i="127"/>
  <c r="C2430" i="127" l="1"/>
  <c r="C2428" i="127"/>
  <c r="C2429" i="127"/>
  <c r="C2436" i="127"/>
  <c r="C2447" i="127"/>
  <c r="C2448" i="127"/>
  <c r="C2449" i="127"/>
  <c r="C2419" i="127" l="1"/>
  <c r="C2420" i="127"/>
  <c r="C2421" i="127"/>
  <c r="C2426" i="127"/>
  <c r="C2425" i="127"/>
  <c r="C2432" i="127"/>
  <c r="C2433" i="127"/>
  <c r="C2434" i="127"/>
  <c r="C2437" i="127"/>
  <c r="C2438" i="127"/>
  <c r="C2439" i="127"/>
  <c r="C2440" i="127"/>
  <c r="C2431" i="127"/>
  <c r="C2435" i="127"/>
  <c r="C2411" i="127" l="1"/>
  <c r="C2412" i="127"/>
  <c r="C2409" i="127"/>
  <c r="C2406" i="127"/>
  <c r="C2408" i="127"/>
  <c r="C2418" i="127"/>
  <c r="C2410" i="127"/>
  <c r="C2413" i="127"/>
  <c r="C2403" i="127"/>
  <c r="C2404" i="127"/>
  <c r="C2405" i="127"/>
  <c r="C2415" i="127"/>
  <c r="C2407" i="127"/>
  <c r="C2416" i="127"/>
  <c r="C2417" i="127"/>
  <c r="C2414" i="127"/>
  <c r="C2423" i="127"/>
  <c r="C2422" i="127"/>
  <c r="C2424" i="127"/>
  <c r="C2427" i="127"/>
  <c r="C2400" i="127" l="1"/>
  <c r="C2401" i="127"/>
  <c r="C2389" i="127"/>
  <c r="C2390" i="127"/>
  <c r="C2391" i="127"/>
  <c r="C2395" i="127"/>
  <c r="C2399" i="127"/>
  <c r="C2402" i="127"/>
  <c r="C2397" i="127"/>
  <c r="C2388" i="127"/>
  <c r="C2398" i="127"/>
  <c r="C2394" i="127"/>
  <c r="C2392" i="127"/>
  <c r="C2393" i="127"/>
  <c r="C2387" i="127"/>
  <c r="C2386" i="127"/>
  <c r="C2396" i="127"/>
  <c r="C2378" i="127" l="1"/>
  <c r="C2385" i="127"/>
  <c r="C2380" i="127"/>
  <c r="C2383" i="127"/>
  <c r="C2374" i="127"/>
  <c r="C2382" i="127"/>
  <c r="C2375" i="127"/>
  <c r="C2376" i="127"/>
  <c r="C2384" i="127"/>
  <c r="C2377" i="127"/>
  <c r="C2379" i="127"/>
  <c r="C2381" i="127"/>
  <c r="C2371" i="127" l="1"/>
  <c r="C2362" i="127"/>
  <c r="C2360" i="127"/>
  <c r="C2361" i="127"/>
  <c r="C2359" i="127"/>
  <c r="C2357" i="127"/>
  <c r="C2373" i="127"/>
  <c r="C2369" i="127"/>
  <c r="C2372" i="127"/>
  <c r="C2341" i="127" l="1"/>
  <c r="C2340" i="127"/>
  <c r="C2339" i="127"/>
  <c r="C2342" i="127"/>
  <c r="C2344" i="127"/>
  <c r="C2345" i="127"/>
  <c r="C2343" i="127"/>
  <c r="C2347" i="127"/>
  <c r="C2350" i="127"/>
  <c r="C2348" i="127"/>
  <c r="C2354" i="127"/>
  <c r="C2351" i="127"/>
  <c r="C2349" i="127"/>
  <c r="C2356" i="127"/>
  <c r="C2355" i="127"/>
  <c r="C2346" i="127"/>
  <c r="C2352" i="127"/>
  <c r="C2353" i="127"/>
  <c r="C2366" i="127"/>
  <c r="C2367" i="127"/>
  <c r="C2368" i="127"/>
  <c r="C2363" i="127"/>
  <c r="C2364" i="127"/>
  <c r="C2365" i="127"/>
  <c r="C2358" i="127"/>
  <c r="C2370" i="127"/>
  <c r="I444" i="121"/>
  <c r="H443" i="121"/>
  <c r="I443" i="121"/>
  <c r="C2325" i="127" l="1"/>
  <c r="C2326" i="127"/>
  <c r="C2327" i="127"/>
  <c r="C2315" i="127"/>
  <c r="C2310" i="127"/>
  <c r="C2317" i="127"/>
  <c r="C2321" i="127"/>
  <c r="C2318" i="127"/>
  <c r="C2311" i="127"/>
  <c r="C2312" i="127"/>
  <c r="C2329" i="127"/>
  <c r="C2330" i="127"/>
  <c r="C2331" i="127"/>
  <c r="C2332" i="127"/>
  <c r="C2337" i="127"/>
  <c r="C2333" i="127"/>
  <c r="C2334" i="127"/>
  <c r="C2335" i="127"/>
  <c r="C2336" i="127"/>
  <c r="C2328" i="127"/>
  <c r="C2338" i="127"/>
  <c r="J311" i="89"/>
  <c r="K311" i="89" s="1"/>
  <c r="D311" i="89"/>
  <c r="C2303" i="127" l="1"/>
  <c r="C2300" i="127"/>
  <c r="C2309" i="127"/>
  <c r="C2322" i="127"/>
  <c r="C2323" i="127"/>
  <c r="C2324" i="127"/>
  <c r="C2313" i="127"/>
  <c r="C2320" i="127"/>
  <c r="C2319" i="127"/>
  <c r="C2314" i="127"/>
  <c r="C2316" i="127"/>
  <c r="C2297" i="127" l="1"/>
  <c r="C2291" i="127"/>
  <c r="C2298" i="127"/>
  <c r="C2272" i="127"/>
  <c r="C2282" i="127"/>
  <c r="C2283" i="127"/>
  <c r="C2284" i="127"/>
  <c r="C2285" i="127"/>
  <c r="C2279" i="127"/>
  <c r="C2276" i="127"/>
  <c r="C2275" i="127"/>
  <c r="C2286" i="127"/>
  <c r="C2277" i="127"/>
  <c r="C2281" i="127"/>
  <c r="C2274" i="127"/>
  <c r="C2308" i="127"/>
  <c r="C2307" i="127"/>
  <c r="C2306" i="127"/>
  <c r="C2301" i="127"/>
  <c r="C2302" i="127"/>
  <c r="C2304" i="127"/>
  <c r="C2305" i="127"/>
  <c r="C2299" i="127"/>
  <c r="C2269" i="127"/>
  <c r="C2263" i="127"/>
  <c r="C2271" i="127"/>
  <c r="C2292" i="127"/>
  <c r="C2293" i="127"/>
  <c r="C2294" i="127"/>
  <c r="C2290" i="127"/>
  <c r="C2295" i="127"/>
  <c r="C2296" i="127"/>
  <c r="C2287" i="127"/>
  <c r="C2288" i="127"/>
  <c r="C2289" i="127"/>
  <c r="C2280" i="127"/>
  <c r="C2278" i="127"/>
  <c r="C2273" i="127"/>
  <c r="C2260" i="127" l="1"/>
  <c r="C2255" i="127"/>
  <c r="C2257" i="127"/>
  <c r="C2251" i="127"/>
  <c r="C2256" i="127"/>
  <c r="C2254" i="127"/>
  <c r="C2249" i="127"/>
  <c r="C2264" i="127"/>
  <c r="C2262" i="127"/>
  <c r="C2261" i="127"/>
  <c r="C2268" i="127"/>
  <c r="C2259" i="127"/>
  <c r="C2265" i="127"/>
  <c r="C2266" i="127"/>
  <c r="C2267" i="127"/>
  <c r="C2270" i="127"/>
  <c r="C2220" i="127" l="1"/>
  <c r="C2246" i="127"/>
  <c r="C2241" i="127"/>
  <c r="C2247" i="127"/>
  <c r="C2248" i="127"/>
  <c r="C2252" i="127"/>
  <c r="C2253" i="127"/>
  <c r="C2258" i="127"/>
  <c r="C2250" i="127"/>
  <c r="C2244" i="127" l="1"/>
  <c r="C2231" i="127"/>
  <c r="C2227" i="127"/>
  <c r="C2218" i="127"/>
  <c r="C2224" i="127"/>
  <c r="C2238" i="127"/>
  <c r="C2232" i="127"/>
  <c r="C2233" i="127"/>
  <c r="C2245" i="127"/>
  <c r="C2226" i="127"/>
  <c r="C2237" i="127"/>
  <c r="C2219" i="127"/>
  <c r="C2212" i="127" l="1"/>
  <c r="C2213" i="127"/>
  <c r="C2201" i="127"/>
  <c r="C2204" i="127"/>
  <c r="C2202" i="127"/>
  <c r="C2203" i="127"/>
  <c r="C2214" i="127"/>
  <c r="C2215" i="127"/>
  <c r="C2210" i="127"/>
  <c r="C2209" i="127"/>
  <c r="C2205" i="127"/>
  <c r="C1467" i="127"/>
  <c r="C2228" i="127"/>
  <c r="C2229" i="127"/>
  <c r="C2230" i="127"/>
  <c r="C2225" i="127"/>
  <c r="C2216" i="127"/>
  <c r="C2217" i="127"/>
  <c r="C2234" i="127"/>
  <c r="C2235" i="127"/>
  <c r="C2236" i="127"/>
  <c r="C2221" i="127"/>
  <c r="C2222" i="127"/>
  <c r="C2223" i="127"/>
  <c r="C2239" i="127"/>
  <c r="C2240" i="127"/>
  <c r="C2242" i="127"/>
  <c r="C2243" i="127"/>
  <c r="C2185" i="127" l="1"/>
  <c r="C2190" i="127"/>
  <c r="C2188" i="127"/>
  <c r="C2198" i="127"/>
  <c r="C2184" i="127"/>
  <c r="C2191" i="127"/>
  <c r="C2193" i="127"/>
  <c r="C2187" i="127"/>
  <c r="C2197" i="127"/>
  <c r="C2180" i="127"/>
  <c r="C2194" i="127"/>
  <c r="C2183" i="127"/>
  <c r="C2182" i="127"/>
  <c r="C2181" i="127"/>
  <c r="C2186" i="127"/>
  <c r="C2189" i="127"/>
  <c r="C2192" i="127"/>
  <c r="C2199" i="127"/>
  <c r="C2200" i="127"/>
  <c r="C2206" i="127"/>
  <c r="C2207" i="127"/>
  <c r="C2208" i="127"/>
  <c r="C2211" i="127"/>
  <c r="C2196" i="127" l="1"/>
  <c r="H418" i="121"/>
  <c r="I418" i="121"/>
  <c r="C2158" i="127" l="1"/>
  <c r="C2147" i="127"/>
  <c r="C2148" i="127"/>
  <c r="C2149" i="127"/>
  <c r="C2155" i="127"/>
  <c r="C2171" i="127"/>
  <c r="C2144" i="127"/>
  <c r="C2145" i="127"/>
  <c r="C2146" i="127"/>
  <c r="C2157" i="127"/>
  <c r="C2150" i="127"/>
  <c r="C2151" i="127"/>
  <c r="C2152" i="127"/>
  <c r="C2153" i="127"/>
  <c r="C2154" i="127"/>
  <c r="C2162" i="127"/>
  <c r="C2163" i="127"/>
  <c r="C2156" i="127"/>
  <c r="C2161" i="127"/>
  <c r="C2173" i="127"/>
  <c r="C2178" i="127"/>
  <c r="C2179" i="127"/>
  <c r="C2176" i="127"/>
  <c r="C2177" i="127"/>
  <c r="C2195" i="127"/>
  <c r="C2014" i="127"/>
  <c r="C2015" i="127"/>
  <c r="C2023" i="127"/>
  <c r="C2020" i="127"/>
  <c r="C2164" i="127"/>
  <c r="C2165" i="127"/>
  <c r="C2159" i="127"/>
  <c r="C2170" i="127"/>
  <c r="C2143" i="127"/>
  <c r="C2174" i="127"/>
  <c r="C2172" i="127"/>
  <c r="C2167" i="127"/>
  <c r="C2168" i="127"/>
  <c r="C2169" i="127"/>
  <c r="C2166" i="127"/>
  <c r="C2175" i="127"/>
  <c r="C2160" i="127"/>
  <c r="C2141" i="127"/>
  <c r="C2142" i="127"/>
  <c r="C2137" i="127"/>
  <c r="C2138" i="127"/>
  <c r="C2131" i="127"/>
  <c r="C2130" i="127"/>
  <c r="C2133" i="127"/>
  <c r="C2125" i="127"/>
  <c r="C2134" i="127"/>
  <c r="C2124" i="127"/>
  <c r="C2126" i="127"/>
  <c r="C2128" i="127"/>
  <c r="C2132" i="127"/>
  <c r="C2129" i="127"/>
  <c r="C2136" i="127"/>
  <c r="C2135" i="127"/>
  <c r="C2127" i="127"/>
  <c r="C2008" i="127"/>
  <c r="C2016" i="127"/>
  <c r="C2017" i="127"/>
  <c r="C2018" i="127"/>
  <c r="C2022" i="127"/>
  <c r="C2006" i="127"/>
  <c r="C2021" i="127"/>
  <c r="C2012" i="127"/>
  <c r="C2019" i="127"/>
  <c r="C2007" i="127"/>
  <c r="C2013" i="127"/>
  <c r="C2119" i="127" l="1"/>
  <c r="C2123" i="127"/>
  <c r="C2122" i="127"/>
  <c r="C2120" i="127"/>
  <c r="C2116" i="127"/>
  <c r="C2115" i="127"/>
  <c r="C2121" i="127"/>
  <c r="C2139" i="127"/>
  <c r="C2140" i="127"/>
  <c r="C2113" i="127" l="1"/>
  <c r="C2109" i="127"/>
  <c r="C2110" i="127"/>
  <c r="C2111" i="127"/>
  <c r="C2103" i="127"/>
  <c r="C2104" i="127"/>
  <c r="C2105" i="127"/>
  <c r="C2106" i="127"/>
  <c r="C2112" i="127"/>
  <c r="C2108" i="127"/>
  <c r="C2117" i="127"/>
  <c r="C2118" i="127"/>
  <c r="C2084" i="127"/>
  <c r="C2079" i="127"/>
  <c r="C2089" i="127" l="1"/>
  <c r="C2085" i="127"/>
  <c r="C2086" i="127"/>
  <c r="C2090" i="127"/>
  <c r="C2081" i="127"/>
  <c r="C2091" i="127"/>
  <c r="C2082" i="127"/>
  <c r="C2078" i="127"/>
  <c r="C2080" i="127"/>
  <c r="C2083" i="127"/>
  <c r="C2099" i="127"/>
  <c r="C2100" i="127"/>
  <c r="C2101" i="127"/>
  <c r="C2096" i="127"/>
  <c r="C2097" i="127"/>
  <c r="C2098" i="127"/>
  <c r="C2093" i="127"/>
  <c r="C2095" i="127"/>
  <c r="C2094" i="127"/>
  <c r="C2092" i="127"/>
  <c r="C2102" i="127"/>
  <c r="C2107" i="127"/>
  <c r="C2088" i="127"/>
  <c r="Q2088" i="127"/>
  <c r="Q2089" i="127"/>
  <c r="Q2079" i="127"/>
  <c r="Q2084" i="127"/>
  <c r="Q2085" i="127"/>
  <c r="Q2086" i="127"/>
  <c r="Q2090" i="127"/>
  <c r="Q2081" i="127"/>
  <c r="Q2091" i="127"/>
  <c r="Q2082" i="127"/>
  <c r="Q2078" i="127"/>
  <c r="Q2080" i="127"/>
  <c r="Q2083" i="127"/>
  <c r="Q2099" i="127"/>
  <c r="Q2100" i="127"/>
  <c r="Q2101" i="127"/>
  <c r="Q2096" i="127"/>
  <c r="Q2097" i="127"/>
  <c r="Q2098" i="127"/>
  <c r="Q2093" i="127"/>
  <c r="Q2095" i="127"/>
  <c r="Q2094" i="127"/>
  <c r="Q2092" i="127"/>
  <c r="Q2102" i="127"/>
  <c r="Q2107" i="127"/>
  <c r="Q2113" i="127"/>
  <c r="Q2109" i="127"/>
  <c r="Q2110" i="127"/>
  <c r="Q2111" i="127"/>
  <c r="Q2103" i="127"/>
  <c r="Q2104" i="127"/>
  <c r="Q2105" i="127"/>
  <c r="Q2106" i="127"/>
  <c r="Q2112" i="127"/>
  <c r="Q2108" i="127"/>
  <c r="Q2117" i="127"/>
  <c r="Q2118" i="127"/>
  <c r="Q2119" i="127"/>
  <c r="Q2123" i="127"/>
  <c r="Q2122" i="127"/>
  <c r="Q2120" i="127"/>
  <c r="Q2116" i="127"/>
  <c r="Q2115" i="127"/>
  <c r="Q2121" i="127"/>
  <c r="Q2139" i="127"/>
  <c r="Q2140" i="127"/>
  <c r="Q2137" i="127"/>
  <c r="Q2138" i="127"/>
  <c r="Q2131" i="127"/>
  <c r="Q2130" i="127"/>
  <c r="Q2133" i="127"/>
  <c r="Q2125" i="127"/>
  <c r="Q2134" i="127"/>
  <c r="Q2124" i="127"/>
  <c r="Q2126" i="127"/>
  <c r="Q2128" i="127"/>
  <c r="Q2132" i="127"/>
  <c r="Q2129" i="127"/>
  <c r="Q2136" i="127"/>
  <c r="Q2135" i="127"/>
  <c r="Q2127" i="127"/>
  <c r="Q2008" i="127"/>
  <c r="Q2016" i="127"/>
  <c r="Q2017" i="127"/>
  <c r="Q2018" i="127"/>
  <c r="Q2022" i="127"/>
  <c r="Q2006" i="127"/>
  <c r="Q2021" i="127"/>
  <c r="Q2012" i="127"/>
  <c r="Q2019" i="127"/>
  <c r="Q2007" i="127"/>
  <c r="Q2013" i="127"/>
  <c r="Q2014" i="127"/>
  <c r="Q2015" i="127"/>
  <c r="Q2023" i="127"/>
  <c r="Q2020" i="127"/>
  <c r="Q2164" i="127"/>
  <c r="Q2165" i="127"/>
  <c r="Q2159" i="127"/>
  <c r="Q2170" i="127"/>
  <c r="Q2143" i="127"/>
  <c r="Q2174" i="127"/>
  <c r="Q2172" i="127"/>
  <c r="Q2167" i="127"/>
  <c r="Q2168" i="127"/>
  <c r="Q2169" i="127"/>
  <c r="Q2166" i="127"/>
  <c r="Q2175" i="127"/>
  <c r="Q2160" i="127"/>
  <c r="Q2141" i="127"/>
  <c r="Q2142" i="127"/>
  <c r="Q2158" i="127"/>
  <c r="Q2147" i="127"/>
  <c r="Q2148" i="127"/>
  <c r="Q2149" i="127"/>
  <c r="Q2155" i="127"/>
  <c r="Q2171" i="127"/>
  <c r="Q2144" i="127"/>
  <c r="Q2145" i="127"/>
  <c r="Q2146" i="127"/>
  <c r="Q2157" i="127"/>
  <c r="Q2150" i="127"/>
  <c r="Q2151" i="127"/>
  <c r="Q2152" i="127"/>
  <c r="Q2153" i="127"/>
  <c r="Q2154" i="127"/>
  <c r="Q2162" i="127"/>
  <c r="Q2163" i="127"/>
  <c r="Q2156" i="127"/>
  <c r="Q2161" i="127"/>
  <c r="Q2173" i="127"/>
  <c r="Q2178" i="127"/>
  <c r="Q2179" i="127"/>
  <c r="Q2176" i="127"/>
  <c r="Q2177" i="127"/>
  <c r="Q2195" i="127"/>
  <c r="Q2196" i="127"/>
  <c r="Q2185" i="127"/>
  <c r="Q2190" i="127"/>
  <c r="Q2188" i="127"/>
  <c r="Q2198" i="127"/>
  <c r="Q2184" i="127"/>
  <c r="Q2191" i="127"/>
  <c r="Q2193" i="127"/>
  <c r="Q2187" i="127"/>
  <c r="Q2197" i="127"/>
  <c r="Q2180" i="127"/>
  <c r="Q2194" i="127"/>
  <c r="Q2183" i="127"/>
  <c r="Q2182" i="127"/>
  <c r="Q2181" i="127"/>
  <c r="Q2186" i="127"/>
  <c r="Q2189" i="127"/>
  <c r="Q2192" i="127"/>
  <c r="Q2199" i="127"/>
  <c r="Q2200" i="127"/>
  <c r="Q2206" i="127"/>
  <c r="Q2207" i="127"/>
  <c r="Q2208" i="127"/>
  <c r="Q2211" i="127"/>
  <c r="Q2212" i="127"/>
  <c r="Q2213" i="127"/>
  <c r="Q2201" i="127"/>
  <c r="Q2204" i="127"/>
  <c r="Q2202" i="127"/>
  <c r="Q2203" i="127"/>
  <c r="Q2214" i="127"/>
  <c r="Q2215" i="127"/>
  <c r="Q2210" i="127"/>
  <c r="Q2209" i="127"/>
  <c r="Q2205" i="127"/>
  <c r="Q1467" i="127"/>
  <c r="Q2228" i="127"/>
  <c r="Q2229" i="127"/>
  <c r="Q2230" i="127"/>
  <c r="Q2225" i="127"/>
  <c r="Q2216" i="127"/>
  <c r="Q2217" i="127"/>
  <c r="Q2234" i="127"/>
  <c r="Q2235" i="127"/>
  <c r="Q2236" i="127"/>
  <c r="Q2221" i="127"/>
  <c r="Q2222" i="127"/>
  <c r="Q2223" i="127"/>
  <c r="Q2239" i="127"/>
  <c r="Q2240" i="127"/>
  <c r="Q2242" i="127"/>
  <c r="Q2243" i="127"/>
  <c r="Q2244" i="127"/>
  <c r="Q2231" i="127"/>
  <c r="Q2227" i="127"/>
  <c r="Q2218" i="127"/>
  <c r="Q2224" i="127"/>
  <c r="Q2238" i="127"/>
  <c r="Q2232" i="127"/>
  <c r="Q2233" i="127"/>
  <c r="Q2245" i="127"/>
  <c r="Q2226" i="127"/>
  <c r="Q2237" i="127"/>
  <c r="Q2219" i="127"/>
  <c r="Q2220" i="127"/>
  <c r="Q2246" i="127"/>
  <c r="Q2241" i="127"/>
  <c r="Q2247" i="127"/>
  <c r="Q2248" i="127"/>
  <c r="Q2252" i="127"/>
  <c r="Q2253" i="127"/>
  <c r="Q2258" i="127"/>
  <c r="Q2250" i="127"/>
  <c r="Q2255" i="127"/>
  <c r="Q2257" i="127"/>
  <c r="Q2251" i="127"/>
  <c r="Q2256" i="127"/>
  <c r="Q2254" i="127"/>
  <c r="Q2249" i="127"/>
  <c r="Q2264" i="127"/>
  <c r="Q2262" i="127"/>
  <c r="Q2261" i="127"/>
  <c r="Q2268" i="127"/>
  <c r="Q2259" i="127"/>
  <c r="Q2265" i="127"/>
  <c r="Q2266" i="127"/>
  <c r="Q2267" i="127"/>
  <c r="Q2270" i="127"/>
  <c r="Q2260" i="127"/>
  <c r="Q2269" i="127"/>
  <c r="Q2263" i="127"/>
  <c r="Q2271" i="127"/>
  <c r="Q2292" i="127"/>
  <c r="Q2293" i="127"/>
  <c r="Q2294" i="127"/>
  <c r="Q2290" i="127"/>
  <c r="Q2295" i="127"/>
  <c r="Q2296" i="127"/>
  <c r="Q2287" i="127"/>
  <c r="Q2288" i="127"/>
  <c r="Q2289" i="127"/>
  <c r="Q2280" i="127"/>
  <c r="Q2278" i="127"/>
  <c r="Q2273" i="127"/>
  <c r="Q2297" i="127"/>
  <c r="Q2291" i="127"/>
  <c r="Q2298" i="127"/>
  <c r="Q2272" i="127"/>
  <c r="Q2282" i="127"/>
  <c r="Q2283" i="127"/>
  <c r="Q2284" i="127"/>
  <c r="Q2285" i="127"/>
  <c r="Q2279" i="127"/>
  <c r="Q2276" i="127"/>
  <c r="Q2275" i="127"/>
  <c r="Q2286" i="127"/>
  <c r="Q2277" i="127"/>
  <c r="Q2281" i="127"/>
  <c r="Q2274" i="127"/>
  <c r="Q2308" i="127"/>
  <c r="Q2307" i="127"/>
  <c r="Q2306" i="127"/>
  <c r="Q2301" i="127"/>
  <c r="Q2302" i="127"/>
  <c r="Q2304" i="127"/>
  <c r="Q2305" i="127"/>
  <c r="Q2299" i="127"/>
  <c r="Q2303" i="127"/>
  <c r="Q2300" i="127"/>
  <c r="Q2309" i="127"/>
  <c r="Q2322" i="127"/>
  <c r="Q2323" i="127"/>
  <c r="Q2324" i="127"/>
  <c r="Q2313" i="127"/>
  <c r="Q2320" i="127"/>
  <c r="Q2319" i="127"/>
  <c r="Q2314" i="127"/>
  <c r="Q2316" i="127"/>
  <c r="Q2315" i="127"/>
  <c r="Q2310" i="127"/>
  <c r="Q2317" i="127"/>
  <c r="Q2321" i="127"/>
  <c r="Q2318" i="127"/>
  <c r="Q2311" i="127"/>
  <c r="Q2312" i="127"/>
  <c r="Q2329" i="127"/>
  <c r="Q2330" i="127"/>
  <c r="Q2331" i="127"/>
  <c r="Q2332" i="127"/>
  <c r="Q2337" i="127"/>
  <c r="Q2333" i="127"/>
  <c r="Q2334" i="127"/>
  <c r="Q2335" i="127"/>
  <c r="Q2336" i="127"/>
  <c r="Q2328" i="127"/>
  <c r="Q2338" i="127"/>
  <c r="Q2325" i="127"/>
  <c r="Q2326" i="127"/>
  <c r="Q2327" i="127"/>
  <c r="Q2341" i="127"/>
  <c r="Q2340" i="127"/>
  <c r="Q2339" i="127"/>
  <c r="Q2342" i="127"/>
  <c r="Q2344" i="127"/>
  <c r="Q2345" i="127"/>
  <c r="Q2343" i="127"/>
  <c r="Q2347" i="127"/>
  <c r="Q2350" i="127"/>
  <c r="Q2348" i="127"/>
  <c r="Q2354" i="127"/>
  <c r="Q2351" i="127"/>
  <c r="Q2349" i="127"/>
  <c r="Q2356" i="127"/>
  <c r="Q2355" i="127"/>
  <c r="Q2346" i="127"/>
  <c r="Q2352" i="127"/>
  <c r="Q2353" i="127"/>
  <c r="Q2366" i="127"/>
  <c r="Q2367" i="127"/>
  <c r="Q2368" i="127"/>
  <c r="Q2363" i="127"/>
  <c r="Q2364" i="127"/>
  <c r="Q2365" i="127"/>
  <c r="Q2358" i="127"/>
  <c r="Q2370" i="127"/>
  <c r="Q2371" i="127"/>
  <c r="Q2362" i="127"/>
  <c r="Q2360" i="127"/>
  <c r="Q2361" i="127"/>
  <c r="Q2359" i="127"/>
  <c r="Q2357" i="127"/>
  <c r="Q2373" i="127"/>
  <c r="Q2369" i="127"/>
  <c r="Q2372" i="127"/>
  <c r="Q2378" i="127"/>
  <c r="Q2385" i="127"/>
  <c r="Q2380" i="127"/>
  <c r="Q2383" i="127"/>
  <c r="Q2374" i="127"/>
  <c r="Q2382" i="127"/>
  <c r="Q2375" i="127"/>
  <c r="Q2376" i="127"/>
  <c r="Q2384" i="127"/>
  <c r="Q2377" i="127"/>
  <c r="Q2379" i="127"/>
  <c r="Q2381" i="127"/>
  <c r="Q2401" i="127"/>
  <c r="Q2389" i="127"/>
  <c r="Q2390" i="127"/>
  <c r="Q2391" i="127"/>
  <c r="Q2395" i="127"/>
  <c r="Q2399" i="127"/>
  <c r="Q2402" i="127"/>
  <c r="Q2397" i="127"/>
  <c r="Q2388" i="127"/>
  <c r="Q2398" i="127"/>
  <c r="Q2394" i="127"/>
  <c r="Q2392" i="127"/>
  <c r="Q2393" i="127"/>
  <c r="Q2387" i="127"/>
  <c r="Q2386" i="127"/>
  <c r="Q2396" i="127"/>
  <c r="Q2400" i="127"/>
  <c r="Q2411" i="127"/>
  <c r="Q2412" i="127"/>
  <c r="Q2409" i="127"/>
  <c r="Q2406" i="127"/>
  <c r="Q2408" i="127"/>
  <c r="Q2418" i="127"/>
  <c r="Q2410" i="127"/>
  <c r="Q2413" i="127"/>
  <c r="Q2403" i="127"/>
  <c r="Q2404" i="127"/>
  <c r="Q2405" i="127"/>
  <c r="Q2415" i="127"/>
  <c r="Q2407" i="127"/>
  <c r="Q2416" i="127"/>
  <c r="Q2417" i="127"/>
  <c r="Q2414" i="127"/>
  <c r="Q2423" i="127"/>
  <c r="Q2422" i="127"/>
  <c r="Q2424" i="127"/>
  <c r="Q2427" i="127"/>
  <c r="Q2419" i="127"/>
  <c r="Q2420" i="127"/>
  <c r="Q2421" i="127"/>
  <c r="Q2426" i="127"/>
  <c r="Q2425" i="127"/>
  <c r="Q2432" i="127"/>
  <c r="Q2433" i="127"/>
  <c r="Q2434" i="127"/>
  <c r="Q2437" i="127"/>
  <c r="Q2438" i="127"/>
  <c r="Q2439" i="127"/>
  <c r="Q2440" i="127"/>
  <c r="Q2431" i="127"/>
  <c r="Q2435" i="127"/>
  <c r="Q2430" i="127"/>
  <c r="Q2428" i="127"/>
  <c r="Q2429" i="127"/>
  <c r="Q2436" i="127"/>
  <c r="Q2447" i="127"/>
  <c r="Q2448" i="127"/>
  <c r="Q2449" i="127"/>
  <c r="Q2442" i="127"/>
  <c r="Q2443" i="127"/>
  <c r="Q2444" i="127"/>
  <c r="Q2457" i="127"/>
  <c r="Q2458" i="127"/>
  <c r="Q2459" i="127"/>
  <c r="Q2452" i="127"/>
  <c r="Q2450" i="127"/>
  <c r="Q2453" i="127"/>
  <c r="Q2454" i="127"/>
  <c r="Q2455" i="127"/>
  <c r="Q2445" i="127"/>
  <c r="Q2451" i="127"/>
  <c r="Q2456" i="127"/>
  <c r="Q2441" i="127"/>
  <c r="Q2446" i="127"/>
  <c r="Q2460" i="127"/>
  <c r="Q2463" i="127"/>
  <c r="Q2464" i="127"/>
  <c r="Q2461" i="127"/>
  <c r="Q2462" i="127"/>
  <c r="Q2465" i="127"/>
  <c r="Q2466" i="127"/>
  <c r="Q2467" i="127"/>
  <c r="Q2470" i="127"/>
  <c r="Q2469" i="127"/>
  <c r="Q2468" i="127"/>
  <c r="Q2481" i="127"/>
  <c r="Q2482" i="127"/>
  <c r="Q2483" i="127"/>
  <c r="Q2488" i="127"/>
  <c r="Q2489" i="127"/>
  <c r="Q2491" i="127"/>
  <c r="Q2492" i="127"/>
  <c r="Q2479" i="127"/>
  <c r="Q2474" i="127"/>
  <c r="Q2472" i="127"/>
  <c r="Q2487" i="127"/>
  <c r="Q2486" i="127"/>
  <c r="Q2473" i="127"/>
  <c r="Q2498" i="127"/>
  <c r="Q2499" i="127"/>
  <c r="Q2477" i="127"/>
  <c r="Q2478" i="127"/>
  <c r="Q2493" i="127"/>
  <c r="Q2494" i="127"/>
  <c r="Q2471" i="127"/>
  <c r="Q2497" i="127"/>
  <c r="Q2484" i="127"/>
  <c r="Q2485" i="127"/>
  <c r="Q2475" i="127"/>
  <c r="Q2490" i="127"/>
  <c r="Q2476" i="127"/>
  <c r="Q2480" i="127"/>
  <c r="Q2495" i="127"/>
  <c r="Q2496" i="127"/>
  <c r="Q2509" i="127"/>
  <c r="Q2511" i="127"/>
  <c r="Q2519" i="127"/>
  <c r="Q2505" i="127"/>
  <c r="Q2507" i="127"/>
  <c r="Q2504" i="127"/>
  <c r="Q2523" i="127"/>
  <c r="Q2501" i="127"/>
  <c r="Q2506" i="127"/>
  <c r="Q2522" i="127"/>
  <c r="Q2513" i="127"/>
  <c r="Q2514" i="127"/>
  <c r="Q2500" i="127"/>
  <c r="Q2520" i="127"/>
  <c r="Q2502" i="127"/>
  <c r="Q2521" i="127"/>
  <c r="Q2515" i="127"/>
  <c r="Q2516" i="127"/>
  <c r="Q2517" i="127"/>
  <c r="Q2518" i="127"/>
  <c r="Q2508" i="127"/>
  <c r="Q2510" i="127"/>
  <c r="Q2503" i="127"/>
  <c r="Q2512" i="127"/>
  <c r="Q2114" i="127"/>
  <c r="Q2527" i="127"/>
  <c r="Q2528" i="127"/>
  <c r="Q2529" i="127"/>
  <c r="Q2531" i="127"/>
  <c r="Q2526" i="127"/>
  <c r="Q2534" i="127"/>
  <c r="Q2535" i="127"/>
  <c r="Q2533" i="127"/>
  <c r="Q2525" i="127"/>
  <c r="Q2524" i="127"/>
  <c r="Q2536" i="127"/>
  <c r="Q2537" i="127"/>
  <c r="Q2530" i="127"/>
  <c r="Q2532" i="127"/>
  <c r="Q2539" i="127"/>
  <c r="Q2538" i="127"/>
  <c r="Q2543" i="127"/>
  <c r="Q2546" i="127"/>
  <c r="Q2542" i="127"/>
  <c r="Q2540" i="127"/>
  <c r="Q2545" i="127"/>
  <c r="Q2541" i="127"/>
  <c r="Q2544" i="127"/>
  <c r="Q2547" i="127"/>
  <c r="Q2551" i="127"/>
  <c r="Q2559" i="127"/>
  <c r="Q2560" i="127"/>
  <c r="Q2549" i="127"/>
  <c r="Q2556" i="127"/>
  <c r="Q2557" i="127"/>
  <c r="Q2550" i="127"/>
  <c r="Q2553" i="127"/>
  <c r="Q2552" i="127"/>
  <c r="Q2561" i="127"/>
  <c r="Q2558" i="127"/>
  <c r="Q2554" i="127"/>
  <c r="Q2562" i="127"/>
  <c r="Q2555" i="127"/>
  <c r="Q2548" i="127"/>
  <c r="Q2563" i="127"/>
  <c r="Q2571" i="127"/>
  <c r="Q2572" i="127"/>
  <c r="Q2573" i="127"/>
  <c r="Q2566" i="127"/>
  <c r="Q2567" i="127"/>
  <c r="Q2568" i="127"/>
  <c r="Q2569" i="127"/>
  <c r="Q2570" i="127"/>
  <c r="Q2565" i="127"/>
  <c r="Q2588" i="127"/>
  <c r="Q2579" i="127"/>
  <c r="Q2590" i="127"/>
  <c r="Q2574" i="127"/>
  <c r="Q2586" i="127"/>
  <c r="Q2583" i="127"/>
  <c r="Q2581" i="127"/>
  <c r="Q2585" i="127"/>
  <c r="Q2587" i="127"/>
  <c r="Q2591" i="127"/>
  <c r="Q2584" i="127"/>
  <c r="Q2580" i="127"/>
  <c r="Q2589" i="127"/>
  <c r="Q2575" i="127"/>
  <c r="Q2576" i="127"/>
  <c r="Q2577" i="127"/>
  <c r="Q2578" i="127"/>
  <c r="Q2582" i="127"/>
  <c r="Q2600" i="127"/>
  <c r="Q2597" i="127"/>
  <c r="Q2596" i="127"/>
  <c r="Q2595" i="127"/>
  <c r="Q2593" i="127"/>
  <c r="Q2594" i="127"/>
  <c r="Q2592" i="127"/>
  <c r="Q2598" i="127"/>
  <c r="Q2599" i="127"/>
  <c r="Q2601" i="127"/>
  <c r="Q2602" i="127"/>
  <c r="Q2603" i="127"/>
  <c r="Q2606" i="127"/>
  <c r="Q2614" i="127"/>
  <c r="Q2605" i="127"/>
  <c r="Q2626" i="127"/>
  <c r="Q2627" i="127"/>
  <c r="Q2624" i="127"/>
  <c r="Q2610" i="127"/>
  <c r="Q2615" i="127"/>
  <c r="Q2611" i="127"/>
  <c r="Q2613" i="127"/>
  <c r="Q2625" i="127"/>
  <c r="Q2609" i="127"/>
  <c r="Q2608" i="127"/>
  <c r="Q2628" i="127"/>
  <c r="Q2629" i="127"/>
  <c r="Q2612" i="127"/>
  <c r="Q2607" i="127"/>
  <c r="Q2616" i="127"/>
  <c r="Q2617" i="127"/>
  <c r="Q2618" i="127"/>
  <c r="Q2619" i="127"/>
  <c r="Q2620" i="127"/>
  <c r="Q2622" i="127"/>
  <c r="Q2623" i="127"/>
  <c r="Q2604" i="127"/>
  <c r="Q2621" i="127"/>
  <c r="Q2634" i="127"/>
  <c r="Q2633" i="127"/>
  <c r="Q2630" i="127"/>
  <c r="Q2632" i="127"/>
  <c r="Q2637" i="127"/>
  <c r="Q2636" i="127"/>
  <c r="Q2635" i="127"/>
  <c r="Q2631" i="127"/>
  <c r="Q2638" i="127"/>
  <c r="Q2639" i="127"/>
  <c r="Q2642" i="127"/>
  <c r="Q2643" i="127"/>
  <c r="Q2641" i="127"/>
  <c r="Q2644" i="127"/>
  <c r="Q2645" i="127"/>
  <c r="Q2650" i="127"/>
  <c r="Q2649" i="127"/>
  <c r="Q2648" i="127"/>
  <c r="Q2646" i="127"/>
  <c r="Q2647" i="127"/>
  <c r="Q2640" i="127"/>
  <c r="Q2660" i="127"/>
  <c r="Q2663" i="127"/>
  <c r="Q2658" i="127"/>
  <c r="Q2652" i="127"/>
  <c r="Q2653" i="127"/>
  <c r="Q2654" i="127"/>
  <c r="Q2651" i="127"/>
  <c r="Q2655" i="127"/>
  <c r="Q2656" i="127"/>
  <c r="Q2657" i="127"/>
  <c r="Q2662" i="127"/>
  <c r="Q2659" i="127"/>
  <c r="Q2661" i="127"/>
  <c r="Q2677" i="127"/>
  <c r="Q2678" i="127"/>
  <c r="Q2671" i="127"/>
  <c r="Q2693" i="127"/>
  <c r="Q2674" i="127"/>
  <c r="Q2682" i="127"/>
  <c r="Q2668" i="127"/>
  <c r="Q2672" i="127"/>
  <c r="Q2683" i="127"/>
  <c r="Q2679" i="127"/>
  <c r="Q2691" i="127"/>
  <c r="Q2676" i="127"/>
  <c r="Q2687" i="127"/>
  <c r="Q2684" i="127"/>
  <c r="Q2681" i="127"/>
  <c r="Q2685" i="127"/>
  <c r="Q2694" i="127"/>
  <c r="Q2675" i="127"/>
  <c r="Q2669" i="127"/>
  <c r="Q2686" i="127"/>
  <c r="Q2673" i="127"/>
  <c r="Q2692" i="127"/>
  <c r="Q2666" i="127"/>
  <c r="Q2667" i="127"/>
  <c r="Q2688" i="127"/>
  <c r="Q2664" i="127"/>
  <c r="Q2689" i="127"/>
  <c r="Q2690" i="127"/>
  <c r="Q2680" i="127"/>
  <c r="Q2749" i="127"/>
  <c r="Q2742" i="127"/>
  <c r="Q2740" i="127"/>
  <c r="Q2743" i="127"/>
  <c r="Q2744" i="127"/>
  <c r="Q2745" i="127"/>
  <c r="Q2746" i="127"/>
  <c r="Q2747" i="127"/>
  <c r="Q2748" i="127"/>
  <c r="Q2739" i="127"/>
  <c r="Q2741" i="127"/>
  <c r="Q2753" i="127"/>
  <c r="Q2751" i="127"/>
  <c r="Q2752" i="127"/>
  <c r="Q2755" i="127"/>
  <c r="Q2750" i="127"/>
  <c r="Q2754" i="127"/>
  <c r="Q2766" i="127"/>
  <c r="Q2764" i="127"/>
  <c r="Q2757" i="127"/>
  <c r="Q2758" i="127"/>
  <c r="Q2759" i="127"/>
  <c r="Q2769" i="127"/>
  <c r="Q2768" i="127"/>
  <c r="Q2762" i="127"/>
  <c r="Q2761" i="127"/>
  <c r="Q2760" i="127"/>
  <c r="Q2756" i="127"/>
  <c r="Q2765" i="127"/>
  <c r="Q2767" i="127"/>
  <c r="Q2770" i="127"/>
  <c r="Q2763" i="127"/>
  <c r="Q253" i="127"/>
  <c r="Q2789" i="127"/>
  <c r="Q2790" i="127"/>
  <c r="Q2778" i="127"/>
  <c r="Q2779" i="127"/>
  <c r="Q2795" i="127"/>
  <c r="Q2786" i="127"/>
  <c r="Q2787" i="127"/>
  <c r="Q2788" i="127"/>
  <c r="Q2791" i="127"/>
  <c r="Q2775" i="127"/>
  <c r="Q2792" i="127"/>
  <c r="Q2772" i="127"/>
  <c r="Q2773" i="127"/>
  <c r="Q2774" i="127"/>
  <c r="Q2776" i="127"/>
  <c r="Q2777" i="127"/>
  <c r="Q2771" i="127"/>
  <c r="Q2798" i="127"/>
  <c r="Q2782" i="127"/>
  <c r="Q2793" i="127"/>
  <c r="Q2794" i="127"/>
  <c r="Q2781" i="127"/>
  <c r="Q2783" i="127"/>
  <c r="Q2784" i="127"/>
  <c r="Q2785" i="127"/>
  <c r="Q2780" i="127"/>
  <c r="Q2797" i="127"/>
  <c r="Q2796" i="127"/>
  <c r="Q2802" i="127"/>
  <c r="Q2803" i="127"/>
  <c r="Q2804" i="127"/>
  <c r="Q2805" i="127"/>
  <c r="Q2809" i="127"/>
  <c r="Q2811" i="127"/>
  <c r="Q2799" i="127"/>
  <c r="Q2813" i="127"/>
  <c r="Q2806" i="127"/>
  <c r="Q2812" i="127"/>
  <c r="Q2807" i="127"/>
  <c r="Q2819" i="127"/>
  <c r="Q2810" i="127"/>
  <c r="Q2808" i="127"/>
  <c r="Q2815" i="127"/>
  <c r="Q2816" i="127"/>
  <c r="Q2814" i="127"/>
  <c r="Q2817" i="127"/>
  <c r="Q2818" i="127"/>
  <c r="Q2800" i="127"/>
  <c r="Q2801" i="127"/>
  <c r="Q2827" i="127"/>
  <c r="Q2828" i="127"/>
  <c r="Q2821" i="127"/>
  <c r="Q2825" i="127"/>
  <c r="Q2826" i="127"/>
  <c r="Q2822" i="127"/>
  <c r="Q2820" i="127"/>
  <c r="Q2824" i="127"/>
  <c r="Q2823" i="127"/>
  <c r="Q2829" i="127"/>
  <c r="Q2830" i="127"/>
  <c r="Q2838" i="127"/>
  <c r="Q2839" i="127"/>
  <c r="Q2835" i="127"/>
  <c r="Q2832" i="127"/>
  <c r="Q2831" i="127"/>
  <c r="Q2833" i="127"/>
  <c r="Q2841" i="127"/>
  <c r="Q2837" i="127"/>
  <c r="Q2834" i="127"/>
  <c r="Q2836" i="127"/>
  <c r="Q2840" i="127"/>
  <c r="Q1242" i="127"/>
  <c r="Q2849" i="127"/>
  <c r="Q2865" i="127"/>
  <c r="Q2867" i="127"/>
  <c r="Q2857" i="127"/>
  <c r="Q2858" i="127"/>
  <c r="Q2842" i="127"/>
  <c r="Q2855" i="127"/>
  <c r="Q2868" i="127"/>
  <c r="Q2869" i="127"/>
  <c r="Q2870" i="127"/>
  <c r="Q2871" i="127"/>
  <c r="Q2848" i="127"/>
  <c r="Q2845" i="127"/>
  <c r="Q2852" i="127"/>
  <c r="Q2846" i="127"/>
  <c r="Q2859" i="127"/>
  <c r="Q2854" i="127"/>
  <c r="Q2866" i="127"/>
  <c r="Q2850" i="127"/>
  <c r="Q2851" i="127"/>
  <c r="Q2847" i="127"/>
  <c r="Q2856" i="127"/>
  <c r="Q2861" i="127"/>
  <c r="Q2862" i="127"/>
  <c r="Q2863" i="127"/>
  <c r="Q2864" i="127"/>
  <c r="Q2843" i="127"/>
  <c r="Q2844" i="127"/>
  <c r="Q2853" i="127"/>
  <c r="Q2860" i="127"/>
  <c r="Q2887" i="127"/>
  <c r="Q2888" i="127"/>
  <c r="Q2889" i="127"/>
  <c r="Q2884" i="127"/>
  <c r="Q2883" i="127"/>
  <c r="Q2895" i="127"/>
  <c r="Q2896" i="127"/>
  <c r="Q2897" i="127"/>
  <c r="Q2892" i="127"/>
  <c r="Q2878" i="127"/>
  <c r="Q2879" i="127"/>
  <c r="Q2880" i="127"/>
  <c r="Q2886" i="127"/>
  <c r="Q2877" i="127"/>
  <c r="Q2898" i="127"/>
  <c r="Q2890" i="127"/>
  <c r="Q2882" i="127"/>
  <c r="Q2891" i="127"/>
  <c r="Q2881" i="127"/>
  <c r="Q2899" i="127"/>
  <c r="Q2900" i="127"/>
  <c r="Q2901" i="127"/>
  <c r="Q2902" i="127"/>
  <c r="Q2876" i="127"/>
  <c r="Q2872" i="127"/>
  <c r="Q2873" i="127"/>
  <c r="Q2874" i="127"/>
  <c r="Q2875" i="127"/>
  <c r="Q2885" i="127"/>
  <c r="Q2893" i="127"/>
  <c r="Q2894" i="127"/>
  <c r="Q2903" i="127"/>
  <c r="Q2918" i="127"/>
  <c r="Q2921" i="127"/>
  <c r="Q2913" i="127"/>
  <c r="Q2914" i="127"/>
  <c r="Q2933" i="127"/>
  <c r="Q2915" i="127"/>
  <c r="Q2916" i="127"/>
  <c r="Q2917" i="127"/>
  <c r="Q2911" i="127"/>
  <c r="Q2910" i="127"/>
  <c r="Q2904" i="127"/>
  <c r="Q2919" i="127"/>
  <c r="Q2931" i="127"/>
  <c r="Q2934" i="127"/>
  <c r="Q2906" i="127"/>
  <c r="Q2907" i="127"/>
  <c r="Q2908" i="127"/>
  <c r="Q2923" i="127"/>
  <c r="Q2924" i="127"/>
  <c r="Q2925" i="127"/>
  <c r="Q2926" i="127"/>
  <c r="Q2909" i="127"/>
  <c r="Q2905" i="127"/>
  <c r="Q2927" i="127"/>
  <c r="Q2922" i="127"/>
  <c r="Q2928" i="127"/>
  <c r="Q2929" i="127"/>
  <c r="Q2930" i="127"/>
  <c r="Q2912" i="127"/>
  <c r="Q2932" i="127"/>
  <c r="Q2920" i="127"/>
  <c r="Q2935" i="127"/>
  <c r="Q2936" i="127"/>
  <c r="Q2949" i="127"/>
  <c r="Q2950" i="127"/>
  <c r="Q2942" i="127"/>
  <c r="Q2943" i="127"/>
  <c r="Q2952" i="127"/>
  <c r="Q2939" i="127"/>
  <c r="Q2953" i="127"/>
  <c r="Q2938" i="127"/>
  <c r="Q2955" i="127"/>
  <c r="Q2941" i="127"/>
  <c r="Q2937" i="127"/>
  <c r="Q2947" i="127"/>
  <c r="Q2946" i="127"/>
  <c r="Q2954" i="127"/>
  <c r="Q2945" i="127"/>
  <c r="Q2948" i="127"/>
  <c r="Q2951" i="127"/>
  <c r="Q2940" i="127"/>
  <c r="Q2956" i="127"/>
  <c r="Q2957" i="127"/>
  <c r="Q2944" i="127"/>
  <c r="Q2972" i="127"/>
  <c r="Q2962" i="127"/>
  <c r="Q2973" i="127"/>
  <c r="Q2974" i="127"/>
  <c r="Q2975" i="127"/>
  <c r="Q2976" i="127"/>
  <c r="Q2977" i="127"/>
  <c r="Q2979" i="127"/>
  <c r="Q2964" i="127"/>
  <c r="Q2961" i="127"/>
  <c r="Q2958" i="127"/>
  <c r="Q2959" i="127"/>
  <c r="Q2960" i="127"/>
  <c r="Q2967" i="127"/>
  <c r="Q2968" i="127"/>
  <c r="Q2978" i="127"/>
  <c r="Q2971" i="127"/>
  <c r="Q2969" i="127"/>
  <c r="Q2970" i="127"/>
  <c r="Q2965" i="127"/>
  <c r="Q2963" i="127"/>
  <c r="Q2966" i="127"/>
  <c r="C2075" i="127"/>
  <c r="C2068" i="127"/>
  <c r="C2070" i="127"/>
  <c r="C2071" i="127"/>
  <c r="C2069" i="127"/>
  <c r="C2087" i="127"/>
  <c r="D301" i="89"/>
  <c r="D302" i="89"/>
  <c r="D303" i="89"/>
  <c r="D304" i="89"/>
  <c r="D305" i="89"/>
  <c r="D306" i="89"/>
  <c r="D307" i="89"/>
  <c r="D308" i="89"/>
  <c r="D309" i="89"/>
  <c r="D310" i="89"/>
  <c r="C2041" i="127"/>
  <c r="C2076" i="127"/>
  <c r="C2077" i="127"/>
  <c r="C2072" i="127"/>
  <c r="C2073" i="127"/>
  <c r="C2074" i="127"/>
  <c r="C2051" i="127"/>
  <c r="C2042" i="127"/>
  <c r="C2056" i="127"/>
  <c r="C2057" i="127"/>
  <c r="C2047" i="127"/>
  <c r="C2040" i="127"/>
  <c r="C2045" i="127"/>
  <c r="C2048" i="127" l="1"/>
  <c r="C2049" i="127"/>
  <c r="C2060" i="127"/>
  <c r="C2061" i="127"/>
  <c r="C2063" i="127"/>
  <c r="C2064" i="127"/>
  <c r="C2065" i="127"/>
  <c r="C2062" i="127"/>
  <c r="C2066" i="127"/>
  <c r="C2067" i="127"/>
  <c r="C2043" i="127"/>
  <c r="C2044" i="127"/>
  <c r="C2046" i="127"/>
  <c r="C2053" i="127"/>
  <c r="C2058" i="127"/>
  <c r="C2052" i="127"/>
  <c r="C2059" i="127"/>
  <c r="C2050" i="127"/>
  <c r="C2032" i="127" l="1"/>
  <c r="C621" i="127"/>
  <c r="C2033" i="127"/>
  <c r="C2034" i="127"/>
  <c r="C2035" i="127"/>
  <c r="C1208" i="127"/>
  <c r="C1122" i="127"/>
  <c r="C2036" i="127"/>
  <c r="C2037" i="127"/>
  <c r="C2029" i="127"/>
  <c r="C2024" i="127"/>
  <c r="C2039" i="127"/>
  <c r="C2025" i="127"/>
  <c r="C2026" i="127"/>
  <c r="C2027" i="127"/>
  <c r="C2030" i="127"/>
  <c r="C2038" i="127"/>
  <c r="C2028" i="127"/>
  <c r="C2054" i="127"/>
  <c r="C2055" i="127"/>
  <c r="C1985" i="127" l="1"/>
  <c r="C1989" i="127"/>
  <c r="C2002" i="127"/>
  <c r="C2001" i="127"/>
  <c r="C1986" i="127"/>
  <c r="C1987" i="127"/>
  <c r="C1988" i="127"/>
  <c r="C1993" i="127"/>
  <c r="C2003" i="127"/>
  <c r="C2004" i="127"/>
  <c r="C1996" i="127"/>
  <c r="C1995" i="127"/>
  <c r="C1999" i="127"/>
  <c r="C1997" i="127"/>
  <c r="C1990" i="127"/>
  <c r="C1998" i="127"/>
  <c r="C2005" i="127"/>
  <c r="C1991" i="127"/>
  <c r="C2009" i="127"/>
  <c r="C2010" i="127"/>
  <c r="C2011" i="127"/>
  <c r="C2031" i="127"/>
  <c r="C1792" i="127" l="1"/>
  <c r="C1964" i="127"/>
  <c r="C1959" i="127"/>
  <c r="C1960" i="127"/>
  <c r="C1961" i="127"/>
  <c r="C1954" i="127"/>
  <c r="C1955" i="127"/>
  <c r="C1967" i="127"/>
  <c r="C1968" i="127"/>
  <c r="C1972" i="127"/>
  <c r="C1973" i="127"/>
  <c r="C1978" i="127"/>
  <c r="C1958" i="127"/>
  <c r="C1977" i="127"/>
  <c r="C1956" i="127"/>
  <c r="C1974" i="127"/>
  <c r="C1975" i="127"/>
  <c r="C1976" i="127"/>
  <c r="C1969" i="127"/>
  <c r="C1970" i="127"/>
  <c r="C1957" i="127"/>
  <c r="C1982" i="127"/>
  <c r="C1980" i="127"/>
  <c r="C1971" i="127"/>
  <c r="C1965" i="127"/>
  <c r="C1966" i="127"/>
  <c r="C1983" i="127"/>
  <c r="C1984" i="127"/>
  <c r="C1962" i="127"/>
  <c r="C1981" i="127"/>
  <c r="C1979" i="127"/>
  <c r="C2000" i="127"/>
  <c r="C1994" i="127"/>
  <c r="C1992" i="127"/>
  <c r="C1911" i="127" l="1"/>
  <c r="C1927" i="127"/>
  <c r="C1928" i="127"/>
  <c r="C1925" i="127"/>
  <c r="C1916" i="127"/>
  <c r="C1934" i="127"/>
  <c r="C1935" i="127"/>
  <c r="C1909" i="127"/>
  <c r="C1910" i="127"/>
  <c r="C1906" i="127"/>
  <c r="C1904" i="127"/>
  <c r="C1919" i="127"/>
  <c r="C1920" i="127"/>
  <c r="C1933" i="127"/>
  <c r="C1936" i="127"/>
  <c r="C1952" i="127"/>
  <c r="C1953" i="127"/>
  <c r="C1948" i="127"/>
  <c r="C1940" i="127"/>
  <c r="C1942" i="127"/>
  <c r="C1951" i="127"/>
  <c r="C1947" i="127"/>
  <c r="C1949" i="127"/>
  <c r="C1944" i="127"/>
  <c r="C1941" i="127"/>
  <c r="C1946" i="127"/>
  <c r="C1945" i="127"/>
  <c r="C1943" i="127"/>
  <c r="C1937" i="127"/>
  <c r="C1950" i="127"/>
  <c r="C1938" i="127"/>
  <c r="C1939" i="127"/>
  <c r="C954" i="127"/>
  <c r="C1963" i="127"/>
  <c r="C1913" i="127"/>
  <c r="C1914" i="127"/>
  <c r="C1915" i="127"/>
  <c r="C1905" i="127"/>
  <c r="C1907" i="127"/>
  <c r="C1917" i="127"/>
  <c r="C1929" i="127"/>
  <c r="C1930" i="127"/>
  <c r="C1902" i="127"/>
  <c r="C1908" i="127"/>
  <c r="C1882" i="127" l="1"/>
  <c r="C1876" i="127"/>
  <c r="C1877" i="127"/>
  <c r="C1880" i="127"/>
  <c r="C1881" i="127"/>
  <c r="C1890" i="127"/>
  <c r="C1879" i="127"/>
  <c r="C1892" i="127"/>
  <c r="C1872" i="127"/>
  <c r="C1873" i="127"/>
  <c r="C1891" i="127"/>
  <c r="C1871" i="127"/>
  <c r="C1875" i="127"/>
  <c r="C1889" i="127"/>
  <c r="C1874" i="127"/>
  <c r="C1886" i="127"/>
  <c r="C1888" i="127"/>
  <c r="C1887" i="127"/>
  <c r="C1883" i="127"/>
  <c r="C1869" i="127"/>
  <c r="C1870" i="127"/>
  <c r="C1893" i="127"/>
  <c r="C1894" i="127"/>
  <c r="C1895" i="127"/>
  <c r="C1899" i="127"/>
  <c r="C1900" i="127"/>
  <c r="C1897" i="127"/>
  <c r="C1898" i="127"/>
  <c r="C1896" i="127"/>
  <c r="C1903" i="127"/>
  <c r="C1926" i="127"/>
  <c r="C1918" i="127"/>
  <c r="C1931" i="127"/>
  <c r="C1932" i="127"/>
  <c r="C1912" i="127"/>
  <c r="C1921" i="127"/>
  <c r="C1922" i="127"/>
  <c r="C1923" i="127"/>
  <c r="C1924" i="127"/>
  <c r="C1901" i="127"/>
  <c r="C1863" i="127" l="1"/>
  <c r="C1866" i="127"/>
  <c r="C1865" i="127"/>
  <c r="C1858" i="127"/>
  <c r="C1862" i="127"/>
  <c r="C1859" i="127"/>
  <c r="C1864" i="127"/>
  <c r="C1868" i="127"/>
  <c r="C1867" i="127"/>
  <c r="C1884" i="127"/>
  <c r="C1885" i="127"/>
  <c r="C1878" i="127"/>
  <c r="B233" i="134" l="1"/>
  <c r="B234" i="134"/>
  <c r="B235" i="134"/>
  <c r="B236" i="134"/>
  <c r="B237" i="134"/>
  <c r="B238" i="134"/>
  <c r="B239" i="134"/>
  <c r="B240" i="134"/>
  <c r="B241" i="134"/>
  <c r="B242" i="134"/>
  <c r="B243" i="134"/>
  <c r="B244" i="134"/>
  <c r="B245" i="134"/>
  <c r="B246" i="134"/>
  <c r="B247" i="134"/>
  <c r="B248" i="134"/>
  <c r="B249" i="134"/>
  <c r="B250" i="134"/>
  <c r="B251" i="134"/>
  <c r="B252" i="134"/>
  <c r="B253" i="134"/>
  <c r="B254" i="134"/>
  <c r="B255" i="134"/>
  <c r="B256" i="134"/>
  <c r="B257" i="134"/>
  <c r="B258" i="134"/>
  <c r="B259" i="134"/>
  <c r="B260" i="134"/>
  <c r="B261" i="134"/>
  <c r="B262" i="134"/>
  <c r="B263" i="134"/>
  <c r="B264" i="134"/>
  <c r="B265" i="134"/>
  <c r="B266" i="134"/>
  <c r="B267" i="134"/>
  <c r="B268" i="134"/>
  <c r="B269" i="134"/>
  <c r="B270" i="134"/>
  <c r="B271" i="134"/>
  <c r="B272" i="134"/>
  <c r="B273" i="134"/>
  <c r="B274" i="134"/>
  <c r="B275" i="134"/>
  <c r="B276" i="134"/>
  <c r="B277" i="134"/>
  <c r="B278" i="134"/>
  <c r="B279" i="134"/>
  <c r="B280" i="134"/>
  <c r="B281" i="134"/>
  <c r="B282" i="134"/>
  <c r="B283" i="134"/>
  <c r="B284" i="134"/>
  <c r="B285" i="134"/>
  <c r="B286" i="134"/>
  <c r="B287" i="134"/>
  <c r="B288" i="134"/>
  <c r="B289" i="134"/>
  <c r="B290" i="134"/>
  <c r="B291" i="134"/>
  <c r="B292" i="134"/>
  <c r="B293" i="134"/>
  <c r="B294" i="134"/>
  <c r="B295" i="134"/>
  <c r="B296" i="134"/>
  <c r="B297" i="134"/>
  <c r="B298" i="134"/>
  <c r="B299" i="134"/>
  <c r="B300" i="134"/>
  <c r="C1842" i="127" l="1"/>
  <c r="C1843" i="127"/>
  <c r="C1851" i="127"/>
  <c r="C1852" i="127"/>
  <c r="C1841" i="127"/>
  <c r="C1856" i="127"/>
  <c r="C1857" i="127"/>
  <c r="C1844" i="127"/>
  <c r="C1845" i="127"/>
  <c r="C1849" i="127"/>
  <c r="C1855" i="127"/>
  <c r="C1853" i="127"/>
  <c r="C1847" i="127"/>
  <c r="C1846" i="127"/>
  <c r="C1854" i="127"/>
  <c r="C1840" i="127"/>
  <c r="C1848" i="127"/>
  <c r="C1850" i="127"/>
  <c r="C1861" i="127"/>
  <c r="C1860" i="127"/>
  <c r="C1839" i="127"/>
  <c r="C1818" i="127" l="1"/>
  <c r="C1838" i="127"/>
  <c r="C1828" i="127"/>
  <c r="C1837" i="127"/>
  <c r="C1819" i="127"/>
  <c r="C1826" i="127"/>
  <c r="C1835" i="127"/>
  <c r="C1816" i="127"/>
  <c r="C1830" i="127"/>
  <c r="C1831" i="127"/>
  <c r="C1832" i="127"/>
  <c r="C1833" i="127"/>
  <c r="C1834" i="127"/>
  <c r="C1821" i="127"/>
  <c r="C1836" i="127"/>
  <c r="C1820" i="127"/>
  <c r="C1823" i="127"/>
  <c r="C1824" i="127"/>
  <c r="C1825" i="127"/>
  <c r="C1827" i="127"/>
  <c r="C1814" i="127" l="1"/>
  <c r="C1806" i="127"/>
  <c r="C1815" i="127"/>
  <c r="C1822" i="127"/>
  <c r="C1829" i="127"/>
  <c r="C1800" i="127" l="1"/>
  <c r="C1807" i="127"/>
  <c r="C1808" i="127"/>
  <c r="C1801" i="127"/>
  <c r="C1802" i="127"/>
  <c r="C1803" i="127"/>
  <c r="C1809" i="127"/>
  <c r="C1810" i="127"/>
  <c r="C1804" i="127"/>
  <c r="C1805" i="127"/>
  <c r="C1811" i="127"/>
  <c r="C1812" i="127"/>
  <c r="C1813" i="127"/>
  <c r="C1758" i="127" l="1"/>
  <c r="C1775" i="127"/>
  <c r="C1785" i="127"/>
  <c r="C1786" i="127"/>
  <c r="C1793" i="127"/>
  <c r="C1787" i="127"/>
  <c r="C1795" i="127"/>
  <c r="C1788" i="127"/>
  <c r="C1789" i="127"/>
  <c r="C1790" i="127"/>
  <c r="C1791" i="127"/>
  <c r="C1794" i="127"/>
  <c r="C1796" i="127"/>
  <c r="C1797" i="127"/>
  <c r="C1799" i="127"/>
  <c r="C1798" i="127"/>
  <c r="C1746" i="127" l="1"/>
  <c r="C1747" i="127"/>
  <c r="C1728" i="127"/>
  <c r="C1766" i="127"/>
  <c r="C1781" i="127"/>
  <c r="C1782" i="127"/>
  <c r="C1783" i="127"/>
  <c r="C1777" i="127"/>
  <c r="C1769" i="127"/>
  <c r="C1770" i="127"/>
  <c r="C1759" i="127"/>
  <c r="C1780" i="127"/>
  <c r="C1761" i="127"/>
  <c r="C1762" i="127"/>
  <c r="C1763" i="127"/>
  <c r="C1764" i="127"/>
  <c r="C1765" i="127"/>
  <c r="C1776" i="127"/>
  <c r="C1751" i="127"/>
  <c r="C1752" i="127"/>
  <c r="C1753" i="127"/>
  <c r="C1779" i="127"/>
  <c r="C1756" i="127"/>
  <c r="C1774" i="127"/>
  <c r="C1771" i="127"/>
  <c r="C1773" i="127"/>
  <c r="C1772" i="127"/>
  <c r="C1778" i="127"/>
  <c r="C1760" i="127"/>
  <c r="C1784" i="127"/>
  <c r="C1768" i="127"/>
  <c r="C1755" i="127"/>
  <c r="C1767" i="127"/>
  <c r="C1757" i="127"/>
  <c r="C1731" i="127" l="1"/>
  <c r="C1732" i="127"/>
  <c r="C1733" i="127"/>
  <c r="C1737" i="127"/>
  <c r="C1736" i="127"/>
  <c r="C1749" i="127"/>
  <c r="C1750" i="127"/>
  <c r="C1734" i="127"/>
  <c r="C1738" i="127"/>
  <c r="C1748" i="127"/>
  <c r="C1739" i="127"/>
  <c r="C1735" i="127"/>
  <c r="C1742" i="127"/>
  <c r="C1743" i="127"/>
  <c r="C1719" i="127"/>
  <c r="C1724" i="127"/>
  <c r="C1705" i="127"/>
  <c r="C1727" i="127"/>
  <c r="C1706" i="127"/>
  <c r="C1720" i="127"/>
  <c r="C1721" i="127"/>
  <c r="C1722" i="127"/>
  <c r="C1713" i="127"/>
  <c r="C1723" i="127"/>
  <c r="C1729" i="127"/>
  <c r="C1730" i="127"/>
  <c r="C1744" i="127"/>
  <c r="C1745" i="127"/>
  <c r="C1740" i="127"/>
  <c r="C1741" i="127"/>
  <c r="S758" i="127" l="1"/>
  <c r="AK139" i="123" s="1"/>
  <c r="S962" i="127"/>
  <c r="AK150" i="123" s="1"/>
  <c r="S3137" i="127"/>
  <c r="AK401" i="123" s="1"/>
  <c r="T1206" i="127"/>
  <c r="S819" i="127"/>
  <c r="AK152" i="123" s="1"/>
  <c r="T1171" i="127"/>
  <c r="S836" i="127"/>
  <c r="S1634" i="127"/>
  <c r="T1634" i="127" s="1"/>
  <c r="S2543" i="127"/>
  <c r="T2543" i="127" s="1"/>
  <c r="T2834" i="127"/>
  <c r="S1280" i="127"/>
  <c r="T1280" i="127" s="1"/>
  <c r="S1916" i="127"/>
  <c r="T1916" i="127" s="1"/>
  <c r="S2633" i="127"/>
  <c r="T2633" i="127" s="1"/>
  <c r="T2892" i="127"/>
  <c r="T2463" i="127"/>
  <c r="T789" i="127"/>
  <c r="S448" i="127"/>
  <c r="S998" i="127"/>
  <c r="T998" i="127" s="1"/>
  <c r="S910" i="127"/>
  <c r="T910" i="127" s="1"/>
  <c r="T1915" i="127"/>
  <c r="T1113" i="127"/>
  <c r="S1691" i="127"/>
  <c r="T1691" i="127" s="1"/>
  <c r="S1546" i="127"/>
  <c r="T1913" i="127"/>
  <c r="S1888" i="127"/>
  <c r="S2768" i="127"/>
  <c r="T2768" i="127" s="1"/>
  <c r="S2371" i="127"/>
  <c r="T2371" i="127" s="1"/>
  <c r="S2005" i="127"/>
  <c r="AK298" i="123" s="1"/>
  <c r="T1543" i="127"/>
  <c r="S702" i="127"/>
  <c r="S950" i="127"/>
  <c r="T950" i="127" s="1"/>
  <c r="T1085" i="127"/>
  <c r="T1204" i="127"/>
  <c r="T1023" i="127"/>
  <c r="T1185" i="127"/>
  <c r="T1305" i="127"/>
  <c r="T1544" i="127"/>
  <c r="S1440" i="127"/>
  <c r="T1701" i="127"/>
  <c r="T2173" i="127"/>
  <c r="T2496" i="127"/>
  <c r="T2793" i="127"/>
  <c r="S1592" i="127"/>
  <c r="T1592" i="127" s="1"/>
  <c r="T2000" i="127"/>
  <c r="T2338" i="127"/>
  <c r="T2748" i="127"/>
  <c r="S474" i="127"/>
  <c r="T404" i="127"/>
  <c r="S220" i="127"/>
  <c r="S449" i="127"/>
  <c r="S661" i="127"/>
  <c r="T661" i="127" s="1"/>
  <c r="S649" i="127"/>
  <c r="T649" i="127" s="1"/>
  <c r="T484" i="127"/>
  <c r="S1364" i="127"/>
  <c r="T1364" i="127" s="1"/>
  <c r="S741" i="127"/>
  <c r="S1882" i="127"/>
  <c r="T1882" i="127" s="1"/>
  <c r="S1749" i="127"/>
  <c r="T1783" i="127"/>
  <c r="S1814" i="127"/>
  <c r="T2495" i="127"/>
  <c r="S2198" i="127"/>
  <c r="T2198" i="127" s="1"/>
  <c r="T2513" i="127"/>
  <c r="S1263" i="127"/>
  <c r="S1371" i="127"/>
  <c r="T1371" i="127" s="1"/>
  <c r="T1864" i="127"/>
  <c r="T1885" i="127"/>
  <c r="S3003" i="127"/>
  <c r="T3003" i="127" s="1"/>
  <c r="S1352" i="127"/>
  <c r="T1352" i="127" s="1"/>
  <c r="S1697" i="127"/>
  <c r="T1697" i="127" s="1"/>
  <c r="S713" i="127"/>
  <c r="S1541" i="127"/>
  <c r="T1541" i="127" s="1"/>
  <c r="S1959" i="127"/>
  <c r="T1959" i="127" s="1"/>
  <c r="S1961" i="127"/>
  <c r="T1961" i="127" s="1"/>
  <c r="T1486" i="127"/>
  <c r="T1570" i="127"/>
  <c r="T1760" i="127"/>
  <c r="T1084" i="127"/>
  <c r="S2940" i="127"/>
  <c r="T2940" i="127" s="1"/>
  <c r="S2094" i="127"/>
  <c r="S2563" i="127"/>
  <c r="T2563" i="127" s="1"/>
  <c r="S2847" i="127"/>
  <c r="T2847" i="127" s="1"/>
  <c r="S458" i="127"/>
  <c r="T458" i="127" s="1"/>
  <c r="T788" i="127"/>
  <c r="T1013" i="127"/>
  <c r="S318" i="127"/>
  <c r="T867" i="127"/>
  <c r="T1212" i="127"/>
  <c r="S552" i="127"/>
  <c r="T552" i="127" s="1"/>
  <c r="T907" i="127"/>
  <c r="S793" i="127"/>
  <c r="S1633" i="127"/>
  <c r="T1633" i="127" s="1"/>
  <c r="T1828" i="127"/>
  <c r="S1145" i="127"/>
  <c r="T1145" i="127" s="1"/>
  <c r="T1852" i="127"/>
  <c r="S837" i="127"/>
  <c r="AK159" i="123" s="1"/>
  <c r="T1720" i="127"/>
  <c r="T1306" i="127"/>
  <c r="S1722" i="127"/>
  <c r="T1722" i="127" s="1"/>
  <c r="S886" i="127"/>
  <c r="T886" i="127" s="1"/>
  <c r="S1389" i="127"/>
  <c r="T1389" i="127" s="1"/>
  <c r="S1313" i="127"/>
  <c r="T1313" i="127" s="1"/>
  <c r="S2428" i="127"/>
  <c r="T2428" i="127" s="1"/>
  <c r="S2726" i="127"/>
  <c r="T2726" i="127" s="1"/>
  <c r="S1874" i="127"/>
  <c r="S3073" i="127"/>
  <c r="AK430" i="123" s="1"/>
  <c r="S3063" i="127"/>
  <c r="S3126" i="127"/>
  <c r="AK410" i="123" s="1"/>
  <c r="S3139" i="127"/>
  <c r="AK413" i="123" s="1"/>
  <c r="S3086" i="127"/>
  <c r="AK400" i="123" s="1"/>
  <c r="S3026" i="127"/>
  <c r="AK392" i="123" s="1"/>
  <c r="S2776" i="127"/>
  <c r="AK391" i="123" s="1"/>
  <c r="S2775" i="127"/>
  <c r="AK388" i="123" s="1"/>
  <c r="S935" i="127"/>
  <c r="AK145" i="123" s="1"/>
  <c r="C1726" i="127"/>
  <c r="C1709" i="127"/>
  <c r="C1707" i="127"/>
  <c r="C1710" i="127"/>
  <c r="C1711" i="127"/>
  <c r="C1718" i="127"/>
  <c r="C1714" i="127"/>
  <c r="C1715" i="127"/>
  <c r="C1716" i="127"/>
  <c r="C1717" i="127"/>
  <c r="C1712" i="127"/>
  <c r="C1708" i="127"/>
  <c r="C1704" i="127"/>
  <c r="C1725" i="127"/>
  <c r="T474" i="127" l="1"/>
  <c r="AK146" i="123"/>
  <c r="AN146" i="123" s="1"/>
  <c r="AK15" i="123"/>
  <c r="AK85" i="123"/>
  <c r="AN85" i="123" s="1"/>
  <c r="AK223" i="123"/>
  <c r="AK279" i="123"/>
  <c r="AN279" i="123" s="1"/>
  <c r="AN391" i="123"/>
  <c r="AN400" i="123"/>
  <c r="AN388" i="123"/>
  <c r="AN413" i="123"/>
  <c r="AN298" i="123"/>
  <c r="AN159" i="123"/>
  <c r="AN223" i="123"/>
  <c r="T1546" i="127"/>
  <c r="AK148" i="123"/>
  <c r="AK154" i="123"/>
  <c r="AN401" i="123"/>
  <c r="AN392" i="123"/>
  <c r="AK151" i="123"/>
  <c r="AK137" i="123"/>
  <c r="AK87" i="123"/>
  <c r="AK276" i="123"/>
  <c r="AN150" i="123"/>
  <c r="AN410" i="123"/>
  <c r="AN145" i="123"/>
  <c r="AN15" i="123"/>
  <c r="AN152" i="123"/>
  <c r="AN139" i="123"/>
  <c r="T1888" i="127"/>
  <c r="AL284" i="123" s="1"/>
  <c r="AO284" i="123" s="1"/>
  <c r="AK284" i="123"/>
  <c r="T2005" i="127"/>
  <c r="T3026" i="127"/>
  <c r="AL392" i="123" s="1"/>
  <c r="AO392" i="123" s="1"/>
  <c r="T3086" i="127"/>
  <c r="AL400" i="123" s="1"/>
  <c r="AO400" i="123" s="1"/>
  <c r="T2776" i="127"/>
  <c r="AL391" i="123" s="1"/>
  <c r="AO391" i="123" s="1"/>
  <c r="T3126" i="127"/>
  <c r="AL410" i="123" s="1"/>
  <c r="AO410" i="123" s="1"/>
  <c r="T793" i="127"/>
  <c r="AL151" i="123" s="1"/>
  <c r="AO151" i="123" s="1"/>
  <c r="T741" i="127"/>
  <c r="AL146" i="123" s="1"/>
  <c r="AO146" i="123" s="1"/>
  <c r="T2003" i="127"/>
  <c r="T836" i="127"/>
  <c r="AL154" i="123" s="1"/>
  <c r="AO154" i="123" s="1"/>
  <c r="T3137" i="127"/>
  <c r="AL401" i="123" s="1"/>
  <c r="AO401" i="123" s="1"/>
  <c r="T962" i="127"/>
  <c r="AL150" i="123" s="1"/>
  <c r="AO150" i="123" s="1"/>
  <c r="T758" i="127"/>
  <c r="T2094" i="127"/>
  <c r="T449" i="127"/>
  <c r="AL87" i="123" s="1"/>
  <c r="AO87" i="123" s="1"/>
  <c r="T1440" i="127"/>
  <c r="AL276" i="123" s="1"/>
  <c r="AO276" i="123" s="1"/>
  <c r="T448" i="127"/>
  <c r="AL85" i="123" s="1"/>
  <c r="AO85" i="123" s="1"/>
  <c r="T1977" i="127"/>
  <c r="AL294" i="123" s="1"/>
  <c r="T935" i="127"/>
  <c r="AL145" i="123" s="1"/>
  <c r="AO145" i="123" s="1"/>
  <c r="T1573" i="127"/>
  <c r="AL246" i="123" s="1"/>
  <c r="T3073" i="127"/>
  <c r="AL430" i="123" s="1"/>
  <c r="AO430" i="123" s="1"/>
  <c r="T318" i="127"/>
  <c r="T1263" i="127"/>
  <c r="AL223" i="123" s="1"/>
  <c r="AO223" i="123" s="1"/>
  <c r="T1814" i="127"/>
  <c r="AL279" i="123" s="1"/>
  <c r="AO279" i="123" s="1"/>
  <c r="T1749" i="127"/>
  <c r="T220" i="127"/>
  <c r="AL15" i="123" s="1"/>
  <c r="AO15" i="123" s="1"/>
  <c r="T702" i="127"/>
  <c r="T819" i="127"/>
  <c r="AL152" i="123" s="1"/>
  <c r="AO152" i="123" s="1"/>
  <c r="T725" i="127"/>
  <c r="AL149" i="123" s="1"/>
  <c r="T3063" i="127"/>
  <c r="T1874" i="127"/>
  <c r="T1816" i="127"/>
  <c r="AL296" i="123" s="1"/>
  <c r="T2775" i="127"/>
  <c r="AL388" i="123" s="1"/>
  <c r="AO388" i="123" s="1"/>
  <c r="T3139" i="127"/>
  <c r="AL413" i="123" s="1"/>
  <c r="AO413" i="123" s="1"/>
  <c r="T837" i="127"/>
  <c r="AL159" i="123" s="1"/>
  <c r="AO159" i="123" s="1"/>
  <c r="T713" i="127"/>
  <c r="AL137" i="123" s="1"/>
  <c r="AO137" i="123" s="1"/>
  <c r="T683" i="127"/>
  <c r="T1102" i="127"/>
  <c r="S652" i="127"/>
  <c r="S1008" i="127"/>
  <c r="T1008" i="127" s="1"/>
  <c r="S1112" i="127"/>
  <c r="T1112" i="127" s="1"/>
  <c r="T969" i="127"/>
  <c r="T1304" i="127"/>
  <c r="T1362" i="127"/>
  <c r="T1068" i="127"/>
  <c r="T1715" i="127"/>
  <c r="T2089" i="127"/>
  <c r="S2088" i="127"/>
  <c r="T2088" i="127" s="1"/>
  <c r="T419" i="127"/>
  <c r="T773" i="127"/>
  <c r="T1871" i="127"/>
  <c r="T476" i="127"/>
  <c r="T919" i="127"/>
  <c r="T2696" i="127"/>
  <c r="T2125" i="127"/>
  <c r="T721" i="127"/>
  <c r="S2257" i="127"/>
  <c r="T2257" i="127" s="1"/>
  <c r="T3131" i="127"/>
  <c r="S1700" i="127"/>
  <c r="S2120" i="127"/>
  <c r="S2950" i="127"/>
  <c r="T2950" i="127" s="1"/>
  <c r="S564" i="127"/>
  <c r="T564" i="127" s="1"/>
  <c r="T1314" i="127"/>
  <c r="S958" i="127"/>
  <c r="T958" i="127" s="1"/>
  <c r="S306" i="127"/>
  <c r="S1416" i="127"/>
  <c r="S2384" i="127"/>
  <c r="T2384" i="127" s="1"/>
  <c r="S2618" i="127"/>
  <c r="T2618" i="127" s="1"/>
  <c r="S1928" i="127"/>
  <c r="T1928" i="127" s="1"/>
  <c r="T2619" i="127"/>
  <c r="T2814" i="127"/>
  <c r="S1317" i="127"/>
  <c r="T1317" i="127" s="1"/>
  <c r="S936" i="127"/>
  <c r="S532" i="127"/>
  <c r="T532" i="127" s="1"/>
  <c r="T748" i="127"/>
  <c r="S98" i="127"/>
  <c r="S672" i="127"/>
  <c r="T672" i="127" s="1"/>
  <c r="T774" i="127"/>
  <c r="S723" i="127"/>
  <c r="T723" i="127" s="1"/>
  <c r="T3152" i="127"/>
  <c r="T2009" i="127"/>
  <c r="S421" i="127"/>
  <c r="T2012" i="127"/>
  <c r="S1517" i="127"/>
  <c r="T1517" i="127" s="1"/>
  <c r="S693" i="127"/>
  <c r="T693" i="127" s="1"/>
  <c r="S1098" i="127"/>
  <c r="T1098" i="127" s="1"/>
  <c r="S2994" i="127"/>
  <c r="T2994" i="127" s="1"/>
  <c r="T2996" i="127"/>
  <c r="S1653" i="127"/>
  <c r="S2554" i="127"/>
  <c r="T2554" i="127" s="1"/>
  <c r="S2276" i="127"/>
  <c r="T2276" i="127" s="1"/>
  <c r="S537" i="127"/>
  <c r="S1253" i="127"/>
  <c r="T1253" i="127" s="1"/>
  <c r="T2251" i="127"/>
  <c r="S933" i="127"/>
  <c r="T933" i="127" s="1"/>
  <c r="S1848" i="127"/>
  <c r="T1848" i="127" s="1"/>
  <c r="S861" i="127"/>
  <c r="T861" i="127" s="1"/>
  <c r="S2052" i="127"/>
  <c r="T2052" i="127" s="1"/>
  <c r="S1467" i="127"/>
  <c r="T1467" i="127" s="1"/>
  <c r="S200" i="127"/>
  <c r="S1041" i="127"/>
  <c r="T1041" i="127" s="1"/>
  <c r="S394" i="127"/>
  <c r="T394" i="127" s="1"/>
  <c r="S2141" i="127"/>
  <c r="T2141" i="127" s="1"/>
  <c r="S417" i="127"/>
  <c r="T417" i="127" s="1"/>
  <c r="S186" i="127"/>
  <c r="S475" i="127"/>
  <c r="T475" i="127" s="1"/>
  <c r="T744" i="127"/>
  <c r="S607" i="127"/>
  <c r="T607" i="127" s="1"/>
  <c r="T967" i="127"/>
  <c r="S335" i="127"/>
  <c r="S638" i="127"/>
  <c r="T638" i="127" s="1"/>
  <c r="S1429" i="127"/>
  <c r="T1429" i="127" s="1"/>
  <c r="S358" i="127"/>
  <c r="S1409" i="127"/>
  <c r="T1409" i="127" s="1"/>
  <c r="S1908" i="127"/>
  <c r="T1908" i="127" s="1"/>
  <c r="T1910" i="127"/>
  <c r="S976" i="127"/>
  <c r="T976" i="127" s="1"/>
  <c r="S236" i="127"/>
  <c r="S533" i="127"/>
  <c r="T533" i="127" s="1"/>
  <c r="S694" i="127"/>
  <c r="T694" i="127" s="1"/>
  <c r="S410" i="127"/>
  <c r="T1481" i="127"/>
  <c r="S2379" i="127"/>
  <c r="T2379" i="127" s="1"/>
  <c r="S947" i="127"/>
  <c r="T947" i="127" s="1"/>
  <c r="T1331" i="127"/>
  <c r="S567" i="127"/>
  <c r="T1526" i="127"/>
  <c r="T2999" i="127"/>
  <c r="S651" i="127"/>
  <c r="T651" i="127" s="1"/>
  <c r="T1000" i="127"/>
  <c r="S2041" i="127"/>
  <c r="T2041" i="127" s="1"/>
  <c r="S2145" i="127"/>
  <c r="T2145" i="127" s="1"/>
  <c r="S673" i="127"/>
  <c r="S1629" i="127"/>
  <c r="T1629" i="127" s="1"/>
  <c r="T2579" i="127"/>
  <c r="S1469" i="127"/>
  <c r="T1469" i="127" s="1"/>
  <c r="S1645" i="127"/>
  <c r="T1645" i="127" s="1"/>
  <c r="S1031" i="127"/>
  <c r="T1031" i="127" s="1"/>
  <c r="S1009" i="127"/>
  <c r="T1070" i="127"/>
  <c r="S2557" i="127"/>
  <c r="T2557" i="127" s="1"/>
  <c r="S2268" i="127"/>
  <c r="T2729" i="127"/>
  <c r="S2314" i="127"/>
  <c r="T3076" i="127"/>
  <c r="S2642" i="127"/>
  <c r="T2642" i="127" s="1"/>
  <c r="T3078" i="127"/>
  <c r="T1974" i="127"/>
  <c r="S985" i="127"/>
  <c r="AK175" i="123" s="1"/>
  <c r="S2634" i="127"/>
  <c r="S2966" i="127"/>
  <c r="T2966" i="127" s="1"/>
  <c r="T2032" i="127"/>
  <c r="AL175" i="123" s="1"/>
  <c r="AO175" i="123" s="1"/>
  <c r="S2635" i="127"/>
  <c r="T2635" i="127" s="1"/>
  <c r="S2273" i="127"/>
  <c r="S3062" i="127"/>
  <c r="T3062" i="127" s="1"/>
  <c r="S1395" i="127"/>
  <c r="T1395" i="127" s="1"/>
  <c r="S1587" i="127"/>
  <c r="T1587" i="127" s="1"/>
  <c r="S981" i="127"/>
  <c r="T1589" i="127"/>
  <c r="S2704" i="127"/>
  <c r="T2704" i="127" s="1"/>
  <c r="T3128" i="127"/>
  <c r="S2362" i="127"/>
  <c r="S2983" i="127"/>
  <c r="T2983" i="127" s="1"/>
  <c r="T2373" i="127"/>
  <c r="T2865" i="127"/>
  <c r="S1890" i="127"/>
  <c r="AK287" i="123" s="1"/>
  <c r="T2893" i="127"/>
  <c r="T2686" i="127"/>
  <c r="S2339" i="127"/>
  <c r="S2524" i="127"/>
  <c r="T2524" i="127" s="1"/>
  <c r="S2876" i="127"/>
  <c r="T2876" i="127" s="1"/>
  <c r="S1895" i="127"/>
  <c r="S2347" i="127"/>
  <c r="T2347" i="127" s="1"/>
  <c r="T2667" i="127"/>
  <c r="S3025" i="127"/>
  <c r="T3025" i="127" s="1"/>
  <c r="S2523" i="127"/>
  <c r="T2780" i="127"/>
  <c r="S2889" i="127"/>
  <c r="T2889" i="127" s="1"/>
  <c r="S2479" i="127"/>
  <c r="AK357" i="123" s="1"/>
  <c r="T2948" i="127"/>
  <c r="S2272" i="127"/>
  <c r="T2143" i="127"/>
  <c r="T2461" i="127"/>
  <c r="S2528" i="127"/>
  <c r="T2528" i="127" s="1"/>
  <c r="T2180" i="127"/>
  <c r="S2013" i="127"/>
  <c r="S2015" i="127"/>
  <c r="T2015" i="127" s="1"/>
  <c r="S1036" i="127"/>
  <c r="T1036" i="127" s="1"/>
  <c r="S1962" i="127"/>
  <c r="T1962" i="127" s="1"/>
  <c r="T2236" i="127"/>
  <c r="S1438" i="127"/>
  <c r="T1438" i="127" s="1"/>
  <c r="S682" i="127"/>
  <c r="S2631" i="127"/>
  <c r="T2631" i="127" s="1"/>
  <c r="S2877" i="127"/>
  <c r="T2877" i="127" s="1"/>
  <c r="S2574" i="127"/>
  <c r="T2574" i="127" s="1"/>
  <c r="S2725" i="127"/>
  <c r="T2725" i="127" s="1"/>
  <c r="S3052" i="127"/>
  <c r="T3052" i="127" s="1"/>
  <c r="S2820" i="127"/>
  <c r="T2820" i="127" s="1"/>
  <c r="S2405" i="127"/>
  <c r="T2405" i="127" s="1"/>
  <c r="T3018" i="127"/>
  <c r="S1990" i="127"/>
  <c r="S2538" i="127"/>
  <c r="T2538" i="127" s="1"/>
  <c r="T3123" i="127"/>
  <c r="S581" i="127"/>
  <c r="S1065" i="127"/>
  <c r="T1065" i="127" s="1"/>
  <c r="T2727" i="127"/>
  <c r="S662" i="127"/>
  <c r="T662" i="127" s="1"/>
  <c r="T2542" i="127"/>
  <c r="T1524" i="127"/>
  <c r="S701" i="127"/>
  <c r="T701" i="127" s="1"/>
  <c r="T1063" i="127"/>
  <c r="S860" i="127"/>
  <c r="T860" i="127" s="1"/>
  <c r="S669" i="127"/>
  <c r="S2985" i="127"/>
  <c r="S3085" i="127"/>
  <c r="T3085" i="127" s="1"/>
  <c r="S2057" i="127"/>
  <c r="T2057" i="127" s="1"/>
  <c r="S2055" i="127"/>
  <c r="T1835" i="127"/>
  <c r="T2646" i="127"/>
  <c r="T3132" i="127"/>
  <c r="S2431" i="127"/>
  <c r="T2431" i="127" s="1"/>
  <c r="S2854" i="127"/>
  <c r="T2854" i="127" s="1"/>
  <c r="S2263" i="127"/>
  <c r="S2585" i="127"/>
  <c r="T2585" i="127" s="1"/>
  <c r="T2947" i="127"/>
  <c r="T894" i="127"/>
  <c r="S307" i="127"/>
  <c r="S577" i="127"/>
  <c r="T577" i="127" s="1"/>
  <c r="T1196" i="127"/>
  <c r="T1197" i="127"/>
  <c r="T858" i="127"/>
  <c r="S923" i="127"/>
  <c r="T923" i="127" s="1"/>
  <c r="T1408" i="127"/>
  <c r="S635" i="127"/>
  <c r="T635" i="127" s="1"/>
  <c r="T943" i="127"/>
  <c r="T2354" i="127"/>
  <c r="T2612" i="127"/>
  <c r="T3095" i="127"/>
  <c r="T2280" i="127"/>
  <c r="T2395" i="127"/>
  <c r="T2713" i="127"/>
  <c r="S2595" i="127"/>
  <c r="T2595" i="127" s="1"/>
  <c r="S3079" i="127"/>
  <c r="T3079" i="127" s="1"/>
  <c r="S2226" i="127"/>
  <c r="S1581" i="127"/>
  <c r="T1581" i="127" s="1"/>
  <c r="T1583" i="127"/>
  <c r="S1236" i="127"/>
  <c r="T1432" i="127"/>
  <c r="T1431" i="127"/>
  <c r="S320" i="127"/>
  <c r="AK53" i="123" s="1"/>
  <c r="T578" i="127"/>
  <c r="S285" i="127"/>
  <c r="S647" i="127"/>
  <c r="T647" i="127" s="1"/>
  <c r="T734" i="127"/>
  <c r="S303" i="127"/>
  <c r="T303" i="127" s="1"/>
  <c r="S1274" i="127"/>
  <c r="T1274" i="127" s="1"/>
  <c r="S554" i="127"/>
  <c r="T554" i="127" s="1"/>
  <c r="T477" i="127"/>
  <c r="S233" i="127"/>
  <c r="AK22" i="123" s="1"/>
  <c r="T1282" i="127"/>
  <c r="S2436" i="127"/>
  <c r="T2436" i="127" s="1"/>
  <c r="S914" i="127"/>
  <c r="T2161" i="127"/>
  <c r="S847" i="127"/>
  <c r="T847" i="127" s="1"/>
  <c r="S579" i="127"/>
  <c r="T579" i="127" s="1"/>
  <c r="S309" i="127"/>
  <c r="T576" i="127"/>
  <c r="S305" i="127"/>
  <c r="AK44" i="123" s="1"/>
  <c r="T940" i="127"/>
  <c r="T941" i="127"/>
  <c r="S310" i="127"/>
  <c r="S1357" i="127"/>
  <c r="T1357" i="127" s="1"/>
  <c r="T2208" i="127"/>
  <c r="S925" i="127"/>
  <c r="T925" i="127" s="1"/>
  <c r="T1822" i="127"/>
  <c r="T2207" i="127"/>
  <c r="S606" i="127"/>
  <c r="T606" i="127" s="1"/>
  <c r="S522" i="127"/>
  <c r="S871" i="127"/>
  <c r="T871" i="127" s="1"/>
  <c r="T2210" i="127"/>
  <c r="S850" i="127"/>
  <c r="T850" i="127" s="1"/>
  <c r="S1688" i="127"/>
  <c r="T1688" i="127" s="1"/>
  <c r="S1202" i="127"/>
  <c r="T1202" i="127" s="1"/>
  <c r="S405" i="127"/>
  <c r="T405" i="127" s="1"/>
  <c r="S1126" i="127"/>
  <c r="T1126" i="127" s="1"/>
  <c r="S203" i="127"/>
  <c r="T1180" i="127"/>
  <c r="S746" i="127"/>
  <c r="T746" i="127" s="1"/>
  <c r="S346" i="127"/>
  <c r="S944" i="127"/>
  <c r="T944" i="127" s="1"/>
  <c r="S1451" i="127"/>
  <c r="T1451" i="127" s="1"/>
  <c r="S608" i="127"/>
  <c r="T608" i="127" s="1"/>
  <c r="T1452" i="127"/>
  <c r="S623" i="127"/>
  <c r="T623" i="127" s="1"/>
  <c r="S353" i="127"/>
  <c r="T750" i="127"/>
  <c r="S637" i="127"/>
  <c r="T637" i="127" s="1"/>
  <c r="S1843" i="127"/>
  <c r="T1843" i="127" s="1"/>
  <c r="S960" i="127"/>
  <c r="T960" i="127" s="1"/>
  <c r="T1845" i="127"/>
  <c r="S354" i="127"/>
  <c r="T760" i="127"/>
  <c r="S698" i="127"/>
  <c r="AK135" i="123" s="1"/>
  <c r="T2549" i="127"/>
  <c r="S2249" i="127"/>
  <c r="T3141" i="127"/>
  <c r="S1897" i="127"/>
  <c r="T2550" i="127"/>
  <c r="S2421" i="127"/>
  <c r="T2421" i="127" s="1"/>
  <c r="T2846" i="127"/>
  <c r="T2982" i="127"/>
  <c r="S2024" i="127"/>
  <c r="T2024" i="127" s="1"/>
  <c r="S1668" i="127"/>
  <c r="T2593" i="127"/>
  <c r="S2301" i="127"/>
  <c r="T2301" i="127" s="1"/>
  <c r="T2664" i="127"/>
  <c r="S2203" i="127"/>
  <c r="T2203" i="127" s="1"/>
  <c r="S970" i="127"/>
  <c r="T1795" i="127"/>
  <c r="T2168" i="127"/>
  <c r="S1176" i="127"/>
  <c r="T1176" i="127" s="1"/>
  <c r="T2169" i="127"/>
  <c r="S2355" i="127"/>
  <c r="T2689" i="127"/>
  <c r="T2688" i="127"/>
  <c r="S322" i="127"/>
  <c r="AK60" i="123" s="1"/>
  <c r="T1301" i="127"/>
  <c r="T1450" i="127"/>
  <c r="AL289" i="123" s="1"/>
  <c r="T587" i="127"/>
  <c r="T1300" i="127"/>
  <c r="T927" i="127"/>
  <c r="S1955" i="127"/>
  <c r="T1956" i="127"/>
  <c r="S2813" i="127"/>
  <c r="T2813" i="127" s="1"/>
  <c r="S3083" i="127"/>
  <c r="T3083" i="127" s="1"/>
  <c r="S2480" i="127"/>
  <c r="T2810" i="127"/>
  <c r="S2435" i="127"/>
  <c r="AK347" i="123" s="1"/>
  <c r="T2886" i="127"/>
  <c r="T2433" i="127"/>
  <c r="S764" i="127"/>
  <c r="S1104" i="127"/>
  <c r="T1104" i="127" s="1"/>
  <c r="S1350" i="127"/>
  <c r="T1350" i="127" s="1"/>
  <c r="T1690" i="127"/>
  <c r="S792" i="127"/>
  <c r="T792" i="127" s="1"/>
  <c r="S1256" i="127"/>
  <c r="T1256" i="127" s="1"/>
  <c r="T1584" i="127"/>
  <c r="T2113" i="127"/>
  <c r="T2434" i="127"/>
  <c r="S2607" i="127"/>
  <c r="T2607" i="127" s="1"/>
  <c r="S3064" i="127"/>
  <c r="T3064" i="127" s="1"/>
  <c r="S2551" i="127"/>
  <c r="S3058" i="127"/>
  <c r="T3058" i="127" s="1"/>
  <c r="S2509" i="127"/>
  <c r="S2781" i="127"/>
  <c r="T2781" i="127" s="1"/>
  <c r="S1425" i="127"/>
  <c r="S2376" i="127"/>
  <c r="T2376" i="127" s="1"/>
  <c r="S2007" i="127"/>
  <c r="T2007" i="127" s="1"/>
  <c r="S2910" i="127"/>
  <c r="T2910" i="127" s="1"/>
  <c r="S2472" i="127"/>
  <c r="T2472" i="127" s="1"/>
  <c r="S3106" i="127"/>
  <c r="T3106" i="127" s="1"/>
  <c r="S2597" i="127"/>
  <c r="S3108" i="127"/>
  <c r="T3108" i="127" s="1"/>
  <c r="S2840" i="127"/>
  <c r="T3110" i="127"/>
  <c r="S3120" i="127"/>
  <c r="T3120" i="127" s="1"/>
  <c r="S2662" i="127"/>
  <c r="S3138" i="127"/>
  <c r="T3138" i="127" s="1"/>
  <c r="S2663" i="127"/>
  <c r="T3119" i="127"/>
  <c r="S3117" i="127"/>
  <c r="T3117" i="127" s="1"/>
  <c r="T2763" i="127"/>
  <c r="T3112" i="127"/>
  <c r="S2672" i="127"/>
  <c r="T2751" i="127"/>
  <c r="T3125" i="127"/>
  <c r="T2761" i="127"/>
  <c r="T2406" i="127"/>
  <c r="T2869" i="127"/>
  <c r="T2871" i="127"/>
  <c r="S447" i="127"/>
  <c r="S1099" i="127"/>
  <c r="T1099" i="127" s="1"/>
  <c r="T1139" i="127"/>
  <c r="S779" i="127"/>
  <c r="T779" i="127" s="1"/>
  <c r="S753" i="127"/>
  <c r="T753" i="127" s="1"/>
  <c r="S1184" i="127"/>
  <c r="T1184" i="127" s="1"/>
  <c r="S424" i="127"/>
  <c r="S790" i="127"/>
  <c r="T790" i="127" s="1"/>
  <c r="T1200" i="127"/>
  <c r="T2764" i="127"/>
  <c r="T3050" i="127"/>
  <c r="S3048" i="127"/>
  <c r="T3048" i="127" s="1"/>
  <c r="T2385" i="127"/>
  <c r="T2952" i="127"/>
  <c r="T3116" i="127"/>
  <c r="T2516" i="127"/>
  <c r="T2518" i="127"/>
  <c r="S2584" i="127"/>
  <c r="T2584" i="127" s="1"/>
  <c r="S2238" i="127"/>
  <c r="S3001" i="127"/>
  <c r="T3001" i="127" s="1"/>
  <c r="T506" i="127"/>
  <c r="T1747" i="127"/>
  <c r="S1745" i="127"/>
  <c r="AK268" i="123" s="1"/>
  <c r="T455" i="127"/>
  <c r="T955" i="127"/>
  <c r="S885" i="127"/>
  <c r="T885" i="127" s="1"/>
  <c r="T1243" i="127"/>
  <c r="T1444" i="127"/>
  <c r="T514" i="127"/>
  <c r="S230" i="127"/>
  <c r="S1172" i="127"/>
  <c r="T1172" i="127" s="1"/>
  <c r="T2163" i="127"/>
  <c r="S2482" i="127"/>
  <c r="T2482" i="127" s="1"/>
  <c r="S839" i="127"/>
  <c r="S1613" i="127"/>
  <c r="T1613" i="127" s="1"/>
  <c r="S2483" i="127"/>
  <c r="T2483" i="127" s="1"/>
  <c r="S3002" i="127"/>
  <c r="S3082" i="127"/>
  <c r="T3082" i="127" s="1"/>
  <c r="S3037" i="127"/>
  <c r="T3037" i="127" s="1"/>
  <c r="T1831" i="127"/>
  <c r="T1833" i="127"/>
  <c r="T1834" i="127"/>
  <c r="T1670" i="127"/>
  <c r="S445" i="127"/>
  <c r="S1232" i="127"/>
  <c r="T1232" i="127" s="1"/>
  <c r="S562" i="127"/>
  <c r="T562" i="127" s="1"/>
  <c r="S518" i="127"/>
  <c r="T518" i="127" s="1"/>
  <c r="S2033" i="127"/>
  <c r="T2033" i="127" s="1"/>
  <c r="S1724" i="127"/>
  <c r="T2035" i="127"/>
  <c r="S321" i="127"/>
  <c r="T942" i="127"/>
  <c r="S597" i="127"/>
  <c r="T597" i="127" s="1"/>
  <c r="T1275" i="127"/>
  <c r="T2466" i="127"/>
  <c r="S959" i="127"/>
  <c r="T959" i="127" s="1"/>
  <c r="S1326" i="127"/>
  <c r="T1326" i="127" s="1"/>
  <c r="S1015" i="127"/>
  <c r="T1015" i="127" s="1"/>
  <c r="S2042" i="127"/>
  <c r="T2042" i="127" s="1"/>
  <c r="T2467" i="127"/>
  <c r="S1428" i="127"/>
  <c r="T1428" i="127" s="1"/>
  <c r="S648" i="127"/>
  <c r="T648" i="127" s="1"/>
  <c r="S1516" i="127"/>
  <c r="T1516" i="127" s="1"/>
  <c r="S2250" i="127"/>
  <c r="T2250" i="127" s="1"/>
  <c r="S365" i="127"/>
  <c r="S2462" i="127"/>
  <c r="T2462" i="127" s="1"/>
  <c r="S1162" i="127"/>
  <c r="T1162" i="127" s="1"/>
  <c r="S3031" i="127"/>
  <c r="T3031" i="127" s="1"/>
  <c r="T1774" i="127"/>
  <c r="S1260" i="127"/>
  <c r="S1794" i="127"/>
  <c r="T1794" i="127" s="1"/>
  <c r="T588" i="127"/>
  <c r="S336" i="127"/>
  <c r="AK62" i="123" s="1"/>
  <c r="T675" i="127"/>
  <c r="S949" i="127"/>
  <c r="T949" i="127" s="1"/>
  <c r="T1035" i="127"/>
  <c r="S653" i="127"/>
  <c r="T653" i="127" s="1"/>
  <c r="S556" i="127"/>
  <c r="S737" i="127"/>
  <c r="T737" i="127" s="1"/>
  <c r="S979" i="127"/>
  <c r="T979" i="127" s="1"/>
  <c r="S2533" i="127"/>
  <c r="T2533" i="127" s="1"/>
  <c r="S2039" i="127"/>
  <c r="T3087" i="127"/>
  <c r="T3089" i="127"/>
  <c r="T1649" i="127"/>
  <c r="T1652" i="127"/>
  <c r="T848" i="127"/>
  <c r="S816" i="127"/>
  <c r="T816" i="127" s="1"/>
  <c r="S1631" i="127"/>
  <c r="T1631" i="127" s="1"/>
  <c r="S833" i="127"/>
  <c r="T833" i="127" s="1"/>
  <c r="S451" i="127"/>
  <c r="AK123" i="123" s="1"/>
  <c r="S951" i="127"/>
  <c r="T951" i="127" s="1"/>
  <c r="S1186" i="127"/>
  <c r="T1186" i="127" s="1"/>
  <c r="S1719" i="127"/>
  <c r="T1719" i="127" s="1"/>
  <c r="T2030" i="127"/>
  <c r="S2454" i="127"/>
  <c r="T2454" i="127" s="1"/>
  <c r="S740" i="127"/>
  <c r="T2332" i="127"/>
  <c r="T1880" i="127"/>
  <c r="S1492" i="127"/>
  <c r="T1492" i="127" s="1"/>
  <c r="S1087" i="127"/>
  <c r="T1087" i="127" s="1"/>
  <c r="T1963" i="127"/>
  <c r="T1964" i="127"/>
  <c r="S1788" i="127"/>
  <c r="T1791" i="127"/>
  <c r="S210" i="127"/>
  <c r="S362" i="127"/>
  <c r="T362" i="127" s="1"/>
  <c r="S513" i="127"/>
  <c r="T513" i="127" s="1"/>
  <c r="S938" i="127"/>
  <c r="T938" i="127" s="1"/>
  <c r="S1179" i="127"/>
  <c r="T1179" i="127" s="1"/>
  <c r="S2006" i="127"/>
  <c r="T2006" i="127" s="1"/>
  <c r="S2750" i="127"/>
  <c r="T2750" i="127" s="1"/>
  <c r="S300" i="127"/>
  <c r="S387" i="127"/>
  <c r="T387" i="127" s="1"/>
  <c r="S883" i="127"/>
  <c r="T883" i="127" s="1"/>
  <c r="S1030" i="127"/>
  <c r="T1030" i="127" s="1"/>
  <c r="S1902" i="127"/>
  <c r="T1902" i="127" s="1"/>
  <c r="S2592" i="127"/>
  <c r="T2592" i="127" s="1"/>
  <c r="S2757" i="127"/>
  <c r="T2757" i="127" s="1"/>
  <c r="T2374" i="127"/>
  <c r="S632" i="127"/>
  <c r="T632" i="127" s="1"/>
  <c r="S357" i="127"/>
  <c r="T357" i="127" s="1"/>
  <c r="S1125" i="127"/>
  <c r="T2119" i="127"/>
  <c r="S2417" i="127"/>
  <c r="S2352" i="127"/>
  <c r="S2678" i="127"/>
  <c r="T2678" i="127" s="1"/>
  <c r="T2644" i="127"/>
  <c r="S378" i="127"/>
  <c r="S2349" i="127"/>
  <c r="T2349" i="127" s="1"/>
  <c r="S909" i="127"/>
  <c r="T909" i="127" s="1"/>
  <c r="T1664" i="127"/>
  <c r="T2882" i="127"/>
  <c r="S827" i="127"/>
  <c r="T827" i="127" s="1"/>
  <c r="S1058" i="127"/>
  <c r="T1058" i="127" s="1"/>
  <c r="S483" i="127"/>
  <c r="T483" i="127" s="1"/>
  <c r="S2504" i="127"/>
  <c r="T2504" i="127" s="1"/>
  <c r="T1235" i="127"/>
  <c r="S2351" i="127"/>
  <c r="T2885" i="127"/>
  <c r="T3065" i="127"/>
  <c r="T1656" i="127"/>
  <c r="T1658" i="127"/>
  <c r="S2752" i="127"/>
  <c r="AK343" i="123" s="1"/>
  <c r="T2899" i="127"/>
  <c r="S2902" i="127"/>
  <c r="AK354" i="123" s="1"/>
  <c r="T3060" i="127"/>
  <c r="T3009" i="127"/>
  <c r="T3104" i="127"/>
  <c r="S2587" i="127"/>
  <c r="T2587" i="127" s="1"/>
  <c r="S3096" i="127"/>
  <c r="T3096" i="127" s="1"/>
  <c r="T3098" i="127"/>
  <c r="S2659" i="127"/>
  <c r="T2659" i="127" s="1"/>
  <c r="S1289" i="127"/>
  <c r="AK262" i="123" s="1"/>
  <c r="T1335" i="127"/>
  <c r="T1507" i="127"/>
  <c r="T1509" i="127"/>
  <c r="S2194" i="127"/>
  <c r="T2511" i="127"/>
  <c r="T2921" i="127"/>
  <c r="S2398" i="127"/>
  <c r="T2398" i="127" s="1"/>
  <c r="T2732" i="127"/>
  <c r="T2244" i="127"/>
  <c r="T2243" i="127"/>
  <c r="S1709" i="127"/>
  <c r="T2609" i="127"/>
  <c r="S2262" i="127"/>
  <c r="T2262" i="127" s="1"/>
  <c r="S2731" i="127"/>
  <c r="S3143" i="127"/>
  <c r="T3143" i="127" s="1"/>
  <c r="S2891" i="127"/>
  <c r="T2891" i="127" s="1"/>
  <c r="T3148" i="127"/>
  <c r="S1995" i="127"/>
  <c r="T1995" i="127" s="1"/>
  <c r="S1763" i="127"/>
  <c r="S1765" i="127"/>
  <c r="T1765" i="127" s="1"/>
  <c r="S2361" i="127"/>
  <c r="T2361" i="127" s="1"/>
  <c r="S272" i="127"/>
  <c r="T831" i="127"/>
  <c r="S646" i="127"/>
  <c r="T646" i="127" s="1"/>
  <c r="T1181" i="127"/>
  <c r="S551" i="127"/>
  <c r="T551" i="127" s="1"/>
  <c r="T1673" i="127"/>
  <c r="S1804" i="127"/>
  <c r="T1804" i="127" s="1"/>
  <c r="T2350" i="127"/>
  <c r="S2884" i="127"/>
  <c r="T2884" i="127" s="1"/>
  <c r="S1786" i="127"/>
  <c r="S1875" i="127"/>
  <c r="T1875" i="127" s="1"/>
  <c r="T2278" i="127"/>
  <c r="T1522" i="127"/>
  <c r="S735" i="127"/>
  <c r="T735" i="127" s="1"/>
  <c r="T1523" i="127"/>
  <c r="S423" i="127"/>
  <c r="T1081" i="127"/>
  <c r="S1242" i="127"/>
  <c r="T1242" i="127" s="1"/>
  <c r="S2845" i="127"/>
  <c r="T2845" i="127" s="1"/>
  <c r="S846" i="127"/>
  <c r="T846" i="127" s="1"/>
  <c r="S1270" i="127"/>
  <c r="T1270" i="127" s="1"/>
  <c r="S3029" i="127"/>
  <c r="T3029" i="127" s="1"/>
  <c r="S828" i="127"/>
  <c r="S1355" i="127"/>
  <c r="T1355" i="127" s="1"/>
  <c r="T2377" i="127"/>
  <c r="S1390" i="127"/>
  <c r="T1390" i="127" s="1"/>
  <c r="S1940" i="127"/>
  <c r="T1940" i="127" s="1"/>
  <c r="T2274" i="127"/>
  <c r="T2698" i="127"/>
  <c r="S2204" i="127"/>
  <c r="T2204" i="127" s="1"/>
  <c r="T2348" i="127"/>
  <c r="T2699" i="127"/>
  <c r="S1821" i="127"/>
  <c r="T1821" i="127" s="1"/>
  <c r="S3114" i="127"/>
  <c r="S1779" i="127"/>
  <c r="T1998" i="127"/>
  <c r="T2037" i="127"/>
  <c r="S1886" i="127"/>
  <c r="T1886" i="127" s="1"/>
  <c r="T2038" i="127"/>
  <c r="S1662" i="127"/>
  <c r="AK259" i="123" s="1"/>
  <c r="T3017" i="127"/>
  <c r="T2312" i="127"/>
  <c r="T2594" i="127"/>
  <c r="T1936" i="127"/>
  <c r="S2202" i="127"/>
  <c r="T2202" i="127" s="1"/>
  <c r="S2445" i="127"/>
  <c r="T2445" i="127" s="1"/>
  <c r="S2724" i="127"/>
  <c r="T2724" i="127" s="1"/>
  <c r="S2905" i="127"/>
  <c r="T2905" i="127" s="1"/>
  <c r="S2092" i="127"/>
  <c r="S2404" i="127"/>
  <c r="T2404" i="127" s="1"/>
  <c r="S2525" i="127"/>
  <c r="T2525" i="127" s="1"/>
  <c r="S3124" i="127"/>
  <c r="T3124" i="127" s="1"/>
  <c r="S1820" i="127"/>
  <c r="S3028" i="127"/>
  <c r="T3028" i="127" s="1"/>
  <c r="S2630" i="127"/>
  <c r="T2630" i="127" s="1"/>
  <c r="T2786" i="127"/>
  <c r="T2788" i="127"/>
  <c r="S2532" i="127"/>
  <c r="T2532" i="127" s="1"/>
  <c r="S333" i="127"/>
  <c r="S924" i="127"/>
  <c r="T924" i="127" s="1"/>
  <c r="T1676" i="127"/>
  <c r="T1678" i="127"/>
  <c r="T1346" i="127"/>
  <c r="S1937" i="127"/>
  <c r="T1937" i="127" s="1"/>
  <c r="S1870" i="127"/>
  <c r="T1870" i="127" s="1"/>
  <c r="T1986" i="127"/>
  <c r="S549" i="127"/>
  <c r="T549" i="127" s="1"/>
  <c r="S745" i="127"/>
  <c r="T745" i="127" s="1"/>
  <c r="S1193" i="127"/>
  <c r="T1193" i="127" s="1"/>
  <c r="S1468" i="127"/>
  <c r="T1468" i="127" s="1"/>
  <c r="T1988" i="127"/>
  <c r="S531" i="127"/>
  <c r="T531" i="127" s="1"/>
  <c r="S671" i="127"/>
  <c r="T671" i="127" s="1"/>
  <c r="S1211" i="127"/>
  <c r="T1211" i="127" s="1"/>
  <c r="S992" i="127"/>
  <c r="T992" i="127" s="1"/>
  <c r="S574" i="127"/>
  <c r="T574" i="127" s="1"/>
  <c r="S290" i="127"/>
  <c r="S1553" i="127"/>
  <c r="T1553" i="127" s="1"/>
  <c r="S1575" i="127"/>
  <c r="S3080" i="127"/>
  <c r="T3080" i="127" s="1"/>
  <c r="S2608" i="127"/>
  <c r="T2608" i="127" s="1"/>
  <c r="S2261" i="127"/>
  <c r="T2261" i="127" s="1"/>
  <c r="T2522" i="127"/>
  <c r="T3012" i="127"/>
  <c r="S1175" i="127"/>
  <c r="T1175" i="127" s="1"/>
  <c r="S1117" i="127"/>
  <c r="T2189" i="127"/>
  <c r="S361" i="127"/>
  <c r="T361" i="127" s="1"/>
  <c r="S1241" i="127"/>
  <c r="T1241" i="127" s="1"/>
  <c r="S166" i="127"/>
  <c r="S972" i="127"/>
  <c r="S1388" i="127"/>
  <c r="T1388" i="127" s="1"/>
  <c r="S2201" i="127"/>
  <c r="S645" i="127"/>
  <c r="T645" i="127" s="1"/>
  <c r="S590" i="127"/>
  <c r="T590" i="127" s="1"/>
  <c r="S1484" i="127"/>
  <c r="T1484" i="127" s="1"/>
  <c r="S412" i="127"/>
  <c r="S1019" i="127"/>
  <c r="T1019" i="127" s="1"/>
  <c r="S929" i="127"/>
  <c r="T929" i="127" s="1"/>
  <c r="S302" i="127"/>
  <c r="S420" i="127"/>
  <c r="T420" i="127" s="1"/>
  <c r="S775" i="127"/>
  <c r="T775" i="127" s="1"/>
  <c r="T1595" i="127"/>
  <c r="S345" i="127"/>
  <c r="T345" i="127" s="1"/>
  <c r="S660" i="127"/>
  <c r="T660" i="127" s="1"/>
  <c r="S1097" i="127"/>
  <c r="T1097" i="127" s="1"/>
  <c r="T1646" i="127"/>
  <c r="T1194" i="127"/>
  <c r="S204" i="127"/>
  <c r="T1051" i="127"/>
  <c r="S406" i="127"/>
  <c r="T406" i="127" s="1"/>
  <c r="S601" i="127"/>
  <c r="T601" i="127" s="1"/>
  <c r="S334" i="127"/>
  <c r="S926" i="127"/>
  <c r="T926" i="127" s="1"/>
  <c r="T1053" i="127"/>
  <c r="S1271" i="127"/>
  <c r="T1271" i="127" s="1"/>
  <c r="T2259" i="127"/>
  <c r="S1153" i="127"/>
  <c r="T2142" i="127"/>
  <c r="T2501" i="127"/>
  <c r="S1565" i="127"/>
  <c r="T1565" i="127" s="1"/>
  <c r="T2906" i="127"/>
  <c r="T1999" i="127"/>
  <c r="S1086" i="127"/>
  <c r="T1086" i="127" s="1"/>
  <c r="T1879" i="127"/>
  <c r="T2380" i="127"/>
  <c r="T2829" i="127"/>
  <c r="T2059" i="127"/>
  <c r="T1316" i="127"/>
  <c r="S716" i="127"/>
  <c r="S881" i="127"/>
  <c r="T1414" i="127"/>
  <c r="T1334" i="127"/>
  <c r="S1463" i="127"/>
  <c r="T1463" i="127" s="1"/>
  <c r="T1413" i="127"/>
  <c r="S986" i="127"/>
  <c r="T1883" i="127"/>
  <c r="T2367" i="127"/>
  <c r="S1381" i="127"/>
  <c r="T1381" i="127" s="1"/>
  <c r="T2368" i="127"/>
  <c r="S1130" i="127"/>
  <c r="T1130" i="127" s="1"/>
  <c r="S802" i="127"/>
  <c r="T802" i="127" s="1"/>
  <c r="S1608" i="127"/>
  <c r="T1608" i="127" s="1"/>
  <c r="T1610" i="127"/>
  <c r="S485" i="127"/>
  <c r="S397" i="127"/>
  <c r="T705" i="127"/>
  <c r="S2166" i="127"/>
  <c r="T3044" i="127"/>
  <c r="S2586" i="127"/>
  <c r="T2586" i="127" s="1"/>
  <c r="S1261" i="127"/>
  <c r="T1261" i="127" s="1"/>
  <c r="T2190" i="127"/>
  <c r="T2568" i="127"/>
  <c r="T2570" i="127"/>
  <c r="S1224" i="127"/>
  <c r="S1695" i="127"/>
  <c r="T1695" i="127" s="1"/>
  <c r="T2286" i="127"/>
  <c r="T1813" i="127"/>
  <c r="S1093" i="127"/>
  <c r="S1617" i="127"/>
  <c r="T1617" i="127" s="1"/>
  <c r="T1286" i="127"/>
  <c r="T1811" i="127"/>
  <c r="T2213" i="127"/>
  <c r="T2191" i="127"/>
  <c r="T1725" i="127"/>
  <c r="T2211" i="127"/>
  <c r="S1343" i="127"/>
  <c r="S1751" i="127"/>
  <c r="T1751" i="127" s="1"/>
  <c r="T1754" i="127"/>
  <c r="S1255" i="127"/>
  <c r="T1255" i="127" s="1"/>
  <c r="S1461" i="127"/>
  <c r="T1461" i="127" s="1"/>
  <c r="S1254" i="127"/>
  <c r="T374" i="127"/>
  <c r="S2356" i="127"/>
  <c r="T2534" i="127"/>
  <c r="S3008" i="127"/>
  <c r="T3008" i="127" s="1"/>
  <c r="T2402" i="127"/>
  <c r="S2987" i="127"/>
  <c r="T2987" i="127" s="1"/>
  <c r="S2839" i="127"/>
  <c r="T2839" i="127" s="1"/>
  <c r="S3014" i="127"/>
  <c r="T3014" i="127" s="1"/>
  <c r="S2932" i="127"/>
  <c r="T2932" i="127" s="1"/>
  <c r="S3157" i="127"/>
  <c r="T3157" i="127" s="1"/>
  <c r="S2794" i="127"/>
  <c r="T2794" i="127" s="1"/>
  <c r="S1140" i="127"/>
  <c r="T1140" i="127" s="1"/>
  <c r="S754" i="127"/>
  <c r="S2174" i="127"/>
  <c r="T2345" i="127"/>
  <c r="T2515" i="127"/>
  <c r="T2734" i="127"/>
  <c r="T2931" i="127"/>
  <c r="S2258" i="127"/>
  <c r="T2258" i="127" s="1"/>
  <c r="T2401" i="127"/>
  <c r="T2647" i="127"/>
  <c r="T2769" i="127"/>
  <c r="T3006" i="127"/>
  <c r="S2955" i="127"/>
  <c r="T2955" i="127" s="1"/>
  <c r="S2535" i="127"/>
  <c r="T2971" i="127"/>
  <c r="S1599" i="127"/>
  <c r="T2558" i="127"/>
  <c r="T3004" i="127"/>
  <c r="S2795" i="127"/>
  <c r="S3061" i="127"/>
  <c r="T3061" i="127" s="1"/>
  <c r="S519" i="127"/>
  <c r="S928" i="127"/>
  <c r="T928" i="127" s="1"/>
  <c r="T1247" i="127"/>
  <c r="T2157" i="127"/>
  <c r="T2992" i="127"/>
  <c r="S709" i="127"/>
  <c r="T709" i="127" s="1"/>
  <c r="S1059" i="127"/>
  <c r="T1059" i="127" s="1"/>
  <c r="S1912" i="127"/>
  <c r="T1912" i="127" s="1"/>
  <c r="S2553" i="127"/>
  <c r="T2553" i="127" s="1"/>
  <c r="S752" i="127"/>
  <c r="T752" i="127" s="1"/>
  <c r="T2883" i="127"/>
  <c r="T1483" i="127"/>
  <c r="S2705" i="127"/>
  <c r="T2705" i="127" s="1"/>
  <c r="S2566" i="127"/>
  <c r="S2984" i="127"/>
  <c r="T2984" i="127" s="1"/>
  <c r="S609" i="127"/>
  <c r="S1391" i="127"/>
  <c r="T1391" i="127" s="1"/>
  <c r="S2045" i="127"/>
  <c r="T2045" i="127" s="1"/>
  <c r="T2657" i="127"/>
  <c r="S994" i="127"/>
  <c r="T994" i="127" s="1"/>
  <c r="S2182" i="127"/>
  <c r="T2182" i="127" s="1"/>
  <c r="S2552" i="127"/>
  <c r="T2552" i="127" s="1"/>
  <c r="S1360" i="127"/>
  <c r="T1360" i="127" s="1"/>
  <c r="S727" i="127"/>
  <c r="T727" i="127" s="1"/>
  <c r="S1057" i="127"/>
  <c r="T1057" i="127" s="1"/>
  <c r="S2344" i="127"/>
  <c r="T2344" i="127" s="1"/>
  <c r="S2655" i="127"/>
  <c r="T2655" i="127" s="1"/>
  <c r="S2625" i="127"/>
  <c r="S3015" i="127"/>
  <c r="T3015" i="127" s="1"/>
  <c r="S1568" i="127"/>
  <c r="AK237" i="123" s="1"/>
  <c r="T2047" i="127"/>
  <c r="T1711" i="127"/>
  <c r="T2530" i="127"/>
  <c r="T2227" i="127"/>
  <c r="S1038" i="127"/>
  <c r="S1238" i="127"/>
  <c r="T1238" i="127" s="1"/>
  <c r="S1503" i="127"/>
  <c r="T1503" i="127" s="1"/>
  <c r="S2290" i="127"/>
  <c r="T2290" i="127" s="1"/>
  <c r="S2860" i="127"/>
  <c r="T2860" i="127" s="1"/>
  <c r="S1177" i="127"/>
  <c r="T1177" i="127" s="1"/>
  <c r="S1353" i="127"/>
  <c r="T1353" i="127" s="1"/>
  <c r="S2512" i="127"/>
  <c r="T2512" i="127" s="1"/>
  <c r="S3111" i="127"/>
  <c r="T3111" i="127" s="1"/>
  <c r="S3113" i="127"/>
  <c r="T3113" i="127" s="1"/>
  <c r="S2683" i="127"/>
  <c r="S3130" i="127"/>
  <c r="T3130" i="127" s="1"/>
  <c r="T2945" i="127"/>
  <c r="S2410" i="127"/>
  <c r="T2410" i="127" s="1"/>
  <c r="S1958" i="127"/>
  <c r="S2676" i="127"/>
  <c r="T2676" i="127" s="1"/>
  <c r="S729" i="127"/>
  <c r="T729" i="127" s="1"/>
  <c r="T2476" i="127"/>
  <c r="T730" i="127"/>
  <c r="S1540" i="127"/>
  <c r="T1540" i="127" s="1"/>
  <c r="S591" i="127"/>
  <c r="T1066" i="127"/>
  <c r="S1994" i="127"/>
  <c r="T1994" i="127" s="1"/>
  <c r="S3047" i="127"/>
  <c r="T3047" i="127" s="1"/>
  <c r="S2903" i="127"/>
  <c r="S2093" i="127"/>
  <c r="T2093" i="127" s="1"/>
  <c r="S2581" i="127"/>
  <c r="T2581" i="127" s="1"/>
  <c r="S1904" i="127"/>
  <c r="S1554" i="127"/>
  <c r="T1554" i="127" s="1"/>
  <c r="S1377" i="127"/>
  <c r="T1377" i="127" s="1"/>
  <c r="T1705" i="127"/>
  <c r="S604" i="127"/>
  <c r="T604" i="127" s="1"/>
  <c r="S973" i="127"/>
  <c r="T973" i="127" s="1"/>
  <c r="S906" i="127"/>
  <c r="T906" i="127" s="1"/>
  <c r="S1052" i="127"/>
  <c r="T1052" i="127" s="1"/>
  <c r="S749" i="127"/>
  <c r="T749" i="127" s="1"/>
  <c r="T1903" i="127"/>
  <c r="S553" i="127"/>
  <c r="S869" i="127"/>
  <c r="T869" i="127" s="1"/>
  <c r="S868" i="127"/>
  <c r="T868" i="127" s="1"/>
  <c r="T1273" i="127"/>
  <c r="S2771" i="127"/>
  <c r="AK387" i="123" s="1"/>
  <c r="S2858" i="127"/>
  <c r="AK368" i="123" s="1"/>
  <c r="S2772" i="127"/>
  <c r="AK364" i="123" s="1"/>
  <c r="S1427" i="127"/>
  <c r="AK222" i="123" s="1"/>
  <c r="C1691" i="127"/>
  <c r="C1699" i="127"/>
  <c r="C1690" i="127"/>
  <c r="C1689" i="127"/>
  <c r="C1694" i="127"/>
  <c r="C1681" i="127"/>
  <c r="C1682" i="127"/>
  <c r="C1695" i="127"/>
  <c r="C1683" i="127"/>
  <c r="C1702" i="127"/>
  <c r="C1703" i="127"/>
  <c r="Q1679" i="127"/>
  <c r="T2092" i="127" l="1"/>
  <c r="T1125" i="127"/>
  <c r="AK49" i="123"/>
  <c r="AN49" i="123" s="1"/>
  <c r="AK335" i="123"/>
  <c r="AN335" i="123" s="1"/>
  <c r="AK166" i="123"/>
  <c r="AK359" i="123"/>
  <c r="AN359" i="123" s="1"/>
  <c r="AK167" i="123"/>
  <c r="AK257" i="123"/>
  <c r="AK342" i="123"/>
  <c r="AK301" i="123"/>
  <c r="AN301" i="123" s="1"/>
  <c r="AK209" i="123"/>
  <c r="AN209" i="123" s="1"/>
  <c r="AL331" i="123"/>
  <c r="AO331" i="123" s="1"/>
  <c r="AP331" i="123" s="1"/>
  <c r="AK162" i="123"/>
  <c r="AK358" i="123"/>
  <c r="AL148" i="123"/>
  <c r="AO148" i="123" s="1"/>
  <c r="AO289" i="123"/>
  <c r="AP289" i="123" s="1"/>
  <c r="AM289" i="123"/>
  <c r="AL298" i="123"/>
  <c r="AO298" i="123" s="1"/>
  <c r="AP298" i="123" s="1"/>
  <c r="AU298" i="123" s="1"/>
  <c r="AL271" i="123"/>
  <c r="AO271" i="123" s="1"/>
  <c r="AO149" i="123"/>
  <c r="AP149" i="123" s="1"/>
  <c r="AM149" i="123"/>
  <c r="AO296" i="123"/>
  <c r="AP296" i="123" s="1"/>
  <c r="AM296" i="123"/>
  <c r="AO246" i="123"/>
  <c r="AP246" i="123" s="1"/>
  <c r="AM246" i="123"/>
  <c r="AK132" i="123"/>
  <c r="AN132" i="123" s="1"/>
  <c r="AK199" i="123"/>
  <c r="AN199" i="123" s="1"/>
  <c r="AK196" i="123"/>
  <c r="AN196" i="123" s="1"/>
  <c r="AK260" i="123"/>
  <c r="AN260" i="123" s="1"/>
  <c r="AK39" i="123"/>
  <c r="AN39" i="123" s="1"/>
  <c r="AK366" i="123"/>
  <c r="AK225" i="123"/>
  <c r="AN225" i="123" s="1"/>
  <c r="AK220" i="123"/>
  <c r="AK212" i="123"/>
  <c r="AN212" i="123" s="1"/>
  <c r="AK255" i="123"/>
  <c r="AK155" i="123"/>
  <c r="AK333" i="123"/>
  <c r="AN333" i="123" s="1"/>
  <c r="AK124" i="123"/>
  <c r="AN124" i="123" s="1"/>
  <c r="AK211" i="123"/>
  <c r="AN211" i="123" s="1"/>
  <c r="AK353" i="123"/>
  <c r="AN353" i="123" s="1"/>
  <c r="AK351" i="123"/>
  <c r="AK41" i="123"/>
  <c r="AN41" i="123" s="1"/>
  <c r="AK109" i="123"/>
  <c r="AK129" i="123"/>
  <c r="AN129" i="123" s="1"/>
  <c r="AM392" i="123"/>
  <c r="AK178" i="123"/>
  <c r="AN178" i="123" s="1"/>
  <c r="AK367" i="123"/>
  <c r="AN367" i="123" s="1"/>
  <c r="AK329" i="123"/>
  <c r="AN329" i="123" s="1"/>
  <c r="AK111" i="123"/>
  <c r="AN111" i="123" s="1"/>
  <c r="AK229" i="123"/>
  <c r="AN229" i="123" s="1"/>
  <c r="AK112" i="123"/>
  <c r="AN155" i="123"/>
  <c r="AN342" i="123"/>
  <c r="AN262" i="123"/>
  <c r="AN354" i="123"/>
  <c r="AN162" i="123"/>
  <c r="AN358" i="123"/>
  <c r="AN347" i="123"/>
  <c r="AN60" i="123"/>
  <c r="AK101" i="123"/>
  <c r="AN166" i="123"/>
  <c r="AN53" i="123"/>
  <c r="AN287" i="123"/>
  <c r="AK61" i="123"/>
  <c r="AK79" i="123"/>
  <c r="AM152" i="123"/>
  <c r="AM15" i="123"/>
  <c r="AM430" i="123"/>
  <c r="AM410" i="123"/>
  <c r="AM276" i="123"/>
  <c r="AN276" i="123"/>
  <c r="AP401" i="123"/>
  <c r="AU401" i="123" s="1"/>
  <c r="AM279" i="123"/>
  <c r="AM159" i="123"/>
  <c r="AP413" i="123"/>
  <c r="AU413" i="123" s="1"/>
  <c r="AP400" i="123"/>
  <c r="AU400" i="123" s="1"/>
  <c r="AN257" i="123"/>
  <c r="AK349" i="123"/>
  <c r="AK273" i="123"/>
  <c r="AK339" i="123"/>
  <c r="T397" i="127"/>
  <c r="AL31" i="123" s="1"/>
  <c r="AO31" i="123" s="1"/>
  <c r="AK31" i="123"/>
  <c r="T3114" i="127"/>
  <c r="AK372" i="123"/>
  <c r="AK266" i="123"/>
  <c r="AK328" i="123"/>
  <c r="T300" i="127"/>
  <c r="AK133" i="123"/>
  <c r="AN62" i="123"/>
  <c r="AK254" i="123"/>
  <c r="AK316" i="123"/>
  <c r="AK84" i="123"/>
  <c r="AK379" i="123"/>
  <c r="AK141" i="123"/>
  <c r="AK258" i="123"/>
  <c r="T2249" i="127"/>
  <c r="AK64" i="123"/>
  <c r="T2055" i="127"/>
  <c r="AK239" i="123"/>
  <c r="AK97" i="123"/>
  <c r="T2272" i="127"/>
  <c r="AK252" i="123"/>
  <c r="AK334" i="123"/>
  <c r="AM175" i="123"/>
  <c r="AN175" i="123"/>
  <c r="AK131" i="123"/>
  <c r="AK66" i="123"/>
  <c r="AK14" i="123"/>
  <c r="AK201" i="123"/>
  <c r="AK42" i="123"/>
  <c r="AK119" i="123"/>
  <c r="AP85" i="123"/>
  <c r="AU85" i="123" s="1"/>
  <c r="AP145" i="123"/>
  <c r="AU145" i="123" s="1"/>
  <c r="AP150" i="123"/>
  <c r="AU150" i="123" s="1"/>
  <c r="AM87" i="123"/>
  <c r="AN87" i="123"/>
  <c r="AP392" i="123"/>
  <c r="AU392" i="123" s="1"/>
  <c r="AM401" i="123"/>
  <c r="AP146" i="123"/>
  <c r="AU146" i="123" s="1"/>
  <c r="AP223" i="123"/>
  <c r="AU223" i="123" s="1"/>
  <c r="AM413" i="123"/>
  <c r="AM400" i="123"/>
  <c r="AN387" i="123"/>
  <c r="AN220" i="123"/>
  <c r="AN255" i="123"/>
  <c r="AN222" i="123"/>
  <c r="AN364" i="123"/>
  <c r="AN237" i="123"/>
  <c r="AK362" i="123"/>
  <c r="T754" i="127"/>
  <c r="AK90" i="123"/>
  <c r="AK94" i="123"/>
  <c r="AK58" i="123"/>
  <c r="AK76" i="123"/>
  <c r="AK37" i="123"/>
  <c r="AK385" i="123"/>
  <c r="AN343" i="123"/>
  <c r="AK233" i="123"/>
  <c r="AN351" i="123"/>
  <c r="T1955" i="127"/>
  <c r="AL244" i="123" s="1"/>
  <c r="AO244" i="123" s="1"/>
  <c r="AK244" i="123"/>
  <c r="AN44" i="123"/>
  <c r="AK320" i="123"/>
  <c r="AN109" i="123"/>
  <c r="T1895" i="127"/>
  <c r="AL280" i="123" s="1"/>
  <c r="AO280" i="123" s="1"/>
  <c r="AK280" i="123"/>
  <c r="AK330" i="123"/>
  <c r="AK103" i="123"/>
  <c r="AK24" i="123"/>
  <c r="AK122" i="123"/>
  <c r="AO294" i="123"/>
  <c r="AM294" i="123"/>
  <c r="AM85" i="123"/>
  <c r="AM145" i="123"/>
  <c r="AM150" i="123"/>
  <c r="AM137" i="123"/>
  <c r="AN137" i="123"/>
  <c r="AM154" i="123"/>
  <c r="AN154" i="123"/>
  <c r="AM146" i="123"/>
  <c r="AM223" i="123"/>
  <c r="AP388" i="123"/>
  <c r="AU388" i="123" s="1"/>
  <c r="AP391" i="123"/>
  <c r="AU391" i="123" s="1"/>
  <c r="AN366" i="123"/>
  <c r="AN167" i="123"/>
  <c r="AN112" i="123"/>
  <c r="AN368" i="123"/>
  <c r="AK290" i="123"/>
  <c r="AK384" i="123"/>
  <c r="T519" i="127"/>
  <c r="AK82" i="123"/>
  <c r="AK116" i="123"/>
  <c r="AK313" i="123"/>
  <c r="AK180" i="123"/>
  <c r="AN259" i="123"/>
  <c r="AK88" i="123"/>
  <c r="AK338" i="123"/>
  <c r="AN123" i="123"/>
  <c r="AK51" i="123"/>
  <c r="AN268" i="123"/>
  <c r="AK322" i="123"/>
  <c r="AK378" i="123"/>
  <c r="AK274" i="123"/>
  <c r="AN135" i="123"/>
  <c r="AK63" i="123"/>
  <c r="AK59" i="123"/>
  <c r="AN22" i="123"/>
  <c r="AK197" i="123"/>
  <c r="AK47" i="123"/>
  <c r="AK305" i="123"/>
  <c r="AN357" i="123"/>
  <c r="T1009" i="127"/>
  <c r="AK125" i="123"/>
  <c r="AL139" i="123"/>
  <c r="AM284" i="123"/>
  <c r="AN284" i="123"/>
  <c r="AP284" i="123" s="1"/>
  <c r="AP152" i="123"/>
  <c r="AU152" i="123" s="1"/>
  <c r="AP15" i="123"/>
  <c r="AU15" i="123" s="1"/>
  <c r="AP410" i="123"/>
  <c r="AU410" i="123" s="1"/>
  <c r="AM151" i="123"/>
  <c r="AN151" i="123"/>
  <c r="AM148" i="123"/>
  <c r="AN148" i="123"/>
  <c r="AP279" i="123"/>
  <c r="AU279" i="123" s="1"/>
  <c r="AP159" i="123"/>
  <c r="AU159" i="123" s="1"/>
  <c r="AM388" i="123"/>
  <c r="AM391" i="123"/>
  <c r="T2902" i="127"/>
  <c r="T2752" i="127"/>
  <c r="T1427" i="127"/>
  <c r="AL222" i="123" s="1"/>
  <c r="AO222" i="123" s="1"/>
  <c r="T2658" i="127"/>
  <c r="T1904" i="127"/>
  <c r="T1038" i="127"/>
  <c r="T422" i="127"/>
  <c r="T2174" i="127"/>
  <c r="T263" i="127"/>
  <c r="AL33" i="123" s="1"/>
  <c r="T1343" i="127"/>
  <c r="AL225" i="123" s="1"/>
  <c r="AO225" i="123" s="1"/>
  <c r="T1191" i="127"/>
  <c r="AL216" i="123" s="1"/>
  <c r="T2166" i="127"/>
  <c r="AL313" i="123" s="1"/>
  <c r="AO313" i="123" s="1"/>
  <c r="T485" i="127"/>
  <c r="AL94" i="123" s="1"/>
  <c r="AO94" i="123" s="1"/>
  <c r="T2135" i="127"/>
  <c r="AL311" i="123" s="1"/>
  <c r="T1560" i="127"/>
  <c r="T2731" i="127"/>
  <c r="AL385" i="123" s="1"/>
  <c r="AO385" i="123" s="1"/>
  <c r="T1148" i="127"/>
  <c r="AL208" i="123" s="1"/>
  <c r="T378" i="127"/>
  <c r="T2114" i="127"/>
  <c r="AL314" i="123" s="1"/>
  <c r="T2628" i="127"/>
  <c r="AL394" i="123" s="1"/>
  <c r="T2675" i="127"/>
  <c r="AL380" i="123" s="1"/>
  <c r="T2668" i="127"/>
  <c r="AL365" i="123" s="1"/>
  <c r="T1425" i="127"/>
  <c r="AL233" i="123" s="1"/>
  <c r="AO233" i="123" s="1"/>
  <c r="T2551" i="127"/>
  <c r="T2480" i="127"/>
  <c r="AL351" i="123" s="1"/>
  <c r="AO351" i="123" s="1"/>
  <c r="T1128" i="127"/>
  <c r="AL193" i="123" s="1"/>
  <c r="T2355" i="127"/>
  <c r="T698" i="127"/>
  <c r="AL135" i="123" s="1"/>
  <c r="AO135" i="123" s="1"/>
  <c r="T522" i="127"/>
  <c r="AL101" i="123" s="1"/>
  <c r="AO101" i="123" s="1"/>
  <c r="T309" i="127"/>
  <c r="AL49" i="123" s="1"/>
  <c r="AO49" i="123" s="1"/>
  <c r="T914" i="127"/>
  <c r="AL166" i="123" s="1"/>
  <c r="AO166" i="123" s="1"/>
  <c r="T233" i="127"/>
  <c r="AL22" i="123" s="1"/>
  <c r="AO22" i="123" s="1"/>
  <c r="T887" i="127"/>
  <c r="AL163" i="123" s="1"/>
  <c r="T2226" i="127"/>
  <c r="AL320" i="123" s="1"/>
  <c r="AO320" i="123" s="1"/>
  <c r="T308" i="127"/>
  <c r="AL48" i="123" s="1"/>
  <c r="T2263" i="127"/>
  <c r="AL305" i="123" s="1"/>
  <c r="AO305" i="123" s="1"/>
  <c r="T1990" i="127"/>
  <c r="T1628" i="127"/>
  <c r="T200" i="127"/>
  <c r="T98" i="127"/>
  <c r="AL24" i="123" s="1"/>
  <c r="AO24" i="123" s="1"/>
  <c r="T2120" i="127"/>
  <c r="T763" i="127"/>
  <c r="AL140" i="123" s="1"/>
  <c r="T1118" i="127"/>
  <c r="AL203" i="123" s="1"/>
  <c r="T2772" i="127"/>
  <c r="AL364" i="123" s="1"/>
  <c r="AO364" i="123" s="1"/>
  <c r="T553" i="127"/>
  <c r="T1958" i="127"/>
  <c r="AL290" i="123" s="1"/>
  <c r="AO290" i="123" s="1"/>
  <c r="T2683" i="127"/>
  <c r="AL384" i="123" s="1"/>
  <c r="AO384" i="123" s="1"/>
  <c r="T1568" i="127"/>
  <c r="AL237" i="123" s="1"/>
  <c r="AO237" i="123" s="1"/>
  <c r="T609" i="127"/>
  <c r="T2535" i="127"/>
  <c r="AL353" i="123" s="1"/>
  <c r="AO353" i="123" s="1"/>
  <c r="T1093" i="127"/>
  <c r="AL220" i="123" s="1"/>
  <c r="AO220" i="123" s="1"/>
  <c r="T1224" i="127"/>
  <c r="AL212" i="123" s="1"/>
  <c r="AO212" i="123" s="1"/>
  <c r="T986" i="127"/>
  <c r="AL180" i="123" s="1"/>
  <c r="AO180" i="123" s="1"/>
  <c r="T1153" i="127"/>
  <c r="AL199" i="123" s="1"/>
  <c r="AO199" i="123" s="1"/>
  <c r="T412" i="127"/>
  <c r="AL76" i="123" s="1"/>
  <c r="AO76" i="123" s="1"/>
  <c r="T166" i="127"/>
  <c r="T1117" i="127"/>
  <c r="AL196" i="123" s="1"/>
  <c r="AO196" i="123" s="1"/>
  <c r="T1575" i="127"/>
  <c r="AL255" i="123" s="1"/>
  <c r="AO255" i="123" s="1"/>
  <c r="T1662" i="127"/>
  <c r="AL259" i="123" s="1"/>
  <c r="AO259" i="123" s="1"/>
  <c r="T423" i="127"/>
  <c r="AL88" i="123" s="1"/>
  <c r="AO88" i="123" s="1"/>
  <c r="T272" i="127"/>
  <c r="AL37" i="123" s="1"/>
  <c r="AO37" i="123" s="1"/>
  <c r="T2649" i="127"/>
  <c r="AL386" i="123" s="1"/>
  <c r="T2464" i="127"/>
  <c r="AL350" i="123" s="1"/>
  <c r="T2520" i="127"/>
  <c r="T2351" i="127"/>
  <c r="AL338" i="123" s="1"/>
  <c r="AO338" i="123" s="1"/>
  <c r="T2417" i="127"/>
  <c r="T1780" i="127"/>
  <c r="AL270" i="123" s="1"/>
  <c r="T210" i="127"/>
  <c r="T2039" i="127"/>
  <c r="AL301" i="123" s="1"/>
  <c r="AO301" i="123" s="1"/>
  <c r="T556" i="127"/>
  <c r="AL124" i="123" s="1"/>
  <c r="AO124" i="123" s="1"/>
  <c r="T1260" i="127"/>
  <c r="AL211" i="123" s="1"/>
  <c r="AO211" i="123" s="1"/>
  <c r="T365" i="127"/>
  <c r="T321" i="127"/>
  <c r="AL51" i="123" s="1"/>
  <c r="AO51" i="123" s="1"/>
  <c r="T1369" i="127"/>
  <c r="AL226" i="123" s="1"/>
  <c r="T1745" i="127"/>
  <c r="AL268" i="123" s="1"/>
  <c r="AO268" i="123" s="1"/>
  <c r="T447" i="127"/>
  <c r="AL84" i="123" s="1"/>
  <c r="AO84" i="123" s="1"/>
  <c r="T1905" i="127"/>
  <c r="AL293" i="123" s="1"/>
  <c r="T2662" i="127"/>
  <c r="AL378" i="123" s="1"/>
  <c r="AO378" i="123" s="1"/>
  <c r="T2840" i="127"/>
  <c r="T2597" i="127"/>
  <c r="T322" i="127"/>
  <c r="AL60" i="123" s="1"/>
  <c r="AO60" i="123" s="1"/>
  <c r="T970" i="127"/>
  <c r="AL209" i="123" s="1"/>
  <c r="AO209" i="123" s="1"/>
  <c r="T1897" i="127"/>
  <c r="AL274" i="123" s="1"/>
  <c r="AO274" i="123" s="1"/>
  <c r="T353" i="127"/>
  <c r="AL63" i="123" s="1"/>
  <c r="AO63" i="123" s="1"/>
  <c r="T320" i="127"/>
  <c r="AL53" i="123" s="1"/>
  <c r="AO53" i="123" s="1"/>
  <c r="T1236" i="127"/>
  <c r="AL197" i="123" s="1"/>
  <c r="AO197" i="123" s="1"/>
  <c r="T1793" i="127"/>
  <c r="AL269" i="123" s="1"/>
  <c r="T2985" i="127"/>
  <c r="T3121" i="127"/>
  <c r="AL408" i="123" s="1"/>
  <c r="T1890" i="127"/>
  <c r="AL287" i="123" s="1"/>
  <c r="AO287" i="123" s="1"/>
  <c r="T2362" i="127"/>
  <c r="AL335" i="123" s="1"/>
  <c r="AO335" i="123" s="1"/>
  <c r="T981" i="127"/>
  <c r="AL178" i="123" s="1"/>
  <c r="AO178" i="123" s="1"/>
  <c r="T2314" i="127"/>
  <c r="AL330" i="123" s="1"/>
  <c r="AO330" i="123" s="1"/>
  <c r="T567" i="127"/>
  <c r="AL111" i="123" s="1"/>
  <c r="AO111" i="123" s="1"/>
  <c r="T410" i="127"/>
  <c r="T1653" i="127"/>
  <c r="T2858" i="127"/>
  <c r="AL368" i="123" s="1"/>
  <c r="AO368" i="123" s="1"/>
  <c r="T1599" i="127"/>
  <c r="T460" i="127"/>
  <c r="T1254" i="127"/>
  <c r="AL116" i="123" s="1"/>
  <c r="AO116" i="123" s="1"/>
  <c r="T881" i="127"/>
  <c r="AL167" i="123" s="1"/>
  <c r="AO167" i="123" s="1"/>
  <c r="T1504" i="127"/>
  <c r="AL247" i="123" s="1"/>
  <c r="T334" i="127"/>
  <c r="AL58" i="123" s="1"/>
  <c r="AO58" i="123" s="1"/>
  <c r="T204" i="127"/>
  <c r="T302" i="127"/>
  <c r="T1779" i="127"/>
  <c r="AL257" i="123" s="1"/>
  <c r="AO257" i="123" s="1"/>
  <c r="T828" i="127"/>
  <c r="AL155" i="123" s="1"/>
  <c r="AO155" i="123" s="1"/>
  <c r="T1763" i="127"/>
  <c r="AL328" i="123" s="1"/>
  <c r="AO328" i="123" s="1"/>
  <c r="T740" i="127"/>
  <c r="T451" i="127"/>
  <c r="T544" i="127"/>
  <c r="AL107" i="123" s="1"/>
  <c r="T336" i="127"/>
  <c r="AL62" i="123" s="1"/>
  <c r="AO62" i="123" s="1"/>
  <c r="T445" i="127"/>
  <c r="T3002" i="127"/>
  <c r="AL316" i="123" s="1"/>
  <c r="AO316" i="123" s="1"/>
  <c r="T839" i="127"/>
  <c r="AL162" i="123" s="1"/>
  <c r="AO162" i="123" s="1"/>
  <c r="T2238" i="127"/>
  <c r="AL322" i="123" s="1"/>
  <c r="AO322" i="123" s="1"/>
  <c r="T2661" i="127"/>
  <c r="AL377" i="123" s="1"/>
  <c r="T2509" i="127"/>
  <c r="AL358" i="123" s="1"/>
  <c r="AO358" i="123" s="1"/>
  <c r="T2435" i="127"/>
  <c r="AL347" i="123" s="1"/>
  <c r="AO347" i="123" s="1"/>
  <c r="T1668" i="127"/>
  <c r="AL258" i="123" s="1"/>
  <c r="AO258" i="123" s="1"/>
  <c r="T2316" i="127"/>
  <c r="T354" i="127"/>
  <c r="T305" i="127"/>
  <c r="AL44" i="123" s="1"/>
  <c r="AO44" i="123" s="1"/>
  <c r="T669" i="127"/>
  <c r="AL97" i="123" s="1"/>
  <c r="AO97" i="123" s="1"/>
  <c r="T682" i="127"/>
  <c r="AL129" i="123" s="1"/>
  <c r="AO129" i="123" s="1"/>
  <c r="T2013" i="127"/>
  <c r="T2479" i="127"/>
  <c r="AL357" i="123" s="1"/>
  <c r="AO357" i="123" s="1"/>
  <c r="T2523" i="127"/>
  <c r="AL359" i="123" s="1"/>
  <c r="AO359" i="123" s="1"/>
  <c r="T2339" i="127"/>
  <c r="AL334" i="123" s="1"/>
  <c r="AO334" i="123" s="1"/>
  <c r="T2273" i="127"/>
  <c r="T2634" i="127"/>
  <c r="AL367" i="123" s="1"/>
  <c r="AO367" i="123" s="1"/>
  <c r="T680" i="127"/>
  <c r="T673" i="127"/>
  <c r="AL131" i="123" s="1"/>
  <c r="AO131" i="123" s="1"/>
  <c r="T436" i="127"/>
  <c r="AL77" i="123" s="1"/>
  <c r="T236" i="127"/>
  <c r="T335" i="127"/>
  <c r="AL61" i="123" s="1"/>
  <c r="AO61" i="123" s="1"/>
  <c r="T537" i="127"/>
  <c r="AL103" i="123" s="1"/>
  <c r="AO103" i="123" s="1"/>
  <c r="T421" i="127"/>
  <c r="AL79" i="123" s="1"/>
  <c r="AO79" i="123" s="1"/>
  <c r="T1416" i="127"/>
  <c r="AL229" i="123" s="1"/>
  <c r="AO229" i="123" s="1"/>
  <c r="T2771" i="127"/>
  <c r="AL387" i="123" s="1"/>
  <c r="AO387" i="123" s="1"/>
  <c r="T2903" i="127"/>
  <c r="T591" i="127"/>
  <c r="AL112" i="123" s="1"/>
  <c r="AO112" i="123" s="1"/>
  <c r="T2625" i="127"/>
  <c r="AL366" i="123" s="1"/>
  <c r="AO366" i="123" s="1"/>
  <c r="T2566" i="127"/>
  <c r="AL362" i="123" s="1"/>
  <c r="AO362" i="123" s="1"/>
  <c r="T2795" i="127"/>
  <c r="AL349" i="123" s="1"/>
  <c r="AO349" i="123" s="1"/>
  <c r="T2356" i="127"/>
  <c r="AL339" i="123" s="1"/>
  <c r="AO339" i="123" s="1"/>
  <c r="T716" i="127"/>
  <c r="AL132" i="123" s="1"/>
  <c r="AO132" i="123" s="1"/>
  <c r="T290" i="127"/>
  <c r="T333" i="127"/>
  <c r="T1820" i="127"/>
  <c r="T1786" i="127"/>
  <c r="AL266" i="123" s="1"/>
  <c r="AO266" i="123" s="1"/>
  <c r="T780" i="127"/>
  <c r="AL144" i="123" s="1"/>
  <c r="T1709" i="127"/>
  <c r="AL260" i="123" s="1"/>
  <c r="AO260" i="123" s="1"/>
  <c r="T2194" i="127"/>
  <c r="AL342" i="123" s="1"/>
  <c r="AO342" i="123" s="1"/>
  <c r="T1289" i="127"/>
  <c r="AL262" i="123" s="1"/>
  <c r="AO262" i="123" s="1"/>
  <c r="T2397" i="127"/>
  <c r="T2352" i="127"/>
  <c r="AL333" i="123" s="1"/>
  <c r="AO333" i="123" s="1"/>
  <c r="T2118" i="127"/>
  <c r="AL264" i="123" s="1"/>
  <c r="T1788" i="127"/>
  <c r="T1724" i="127"/>
  <c r="AL254" i="123" s="1"/>
  <c r="AO254" i="123" s="1"/>
  <c r="T230" i="127"/>
  <c r="T271" i="127"/>
  <c r="AL28" i="123" s="1"/>
  <c r="T424" i="127"/>
  <c r="T2672" i="127"/>
  <c r="T2663" i="127"/>
  <c r="AL379" i="123" s="1"/>
  <c r="AO379" i="123" s="1"/>
  <c r="T764" i="127"/>
  <c r="AL141" i="123" s="1"/>
  <c r="AO141" i="123" s="1"/>
  <c r="T346" i="127"/>
  <c r="AL64" i="123" s="1"/>
  <c r="AO64" i="123" s="1"/>
  <c r="T203" i="127"/>
  <c r="T310" i="127"/>
  <c r="AL59" i="123" s="1"/>
  <c r="AO59" i="123" s="1"/>
  <c r="T285" i="127"/>
  <c r="AL41" i="123" s="1"/>
  <c r="AO41" i="123" s="1"/>
  <c r="T307" i="127"/>
  <c r="AL47" i="123" s="1"/>
  <c r="AO47" i="123" s="1"/>
  <c r="T581" i="127"/>
  <c r="AL109" i="123" s="1"/>
  <c r="AO109" i="123" s="1"/>
  <c r="T2268" i="127"/>
  <c r="AL329" i="123" s="1"/>
  <c r="AO329" i="123" s="1"/>
  <c r="T358" i="127"/>
  <c r="AL66" i="123" s="1"/>
  <c r="AO66" i="123" s="1"/>
  <c r="T186" i="127"/>
  <c r="AL14" i="123" s="1"/>
  <c r="AO14" i="123" s="1"/>
  <c r="T936" i="127"/>
  <c r="AL201" i="123" s="1"/>
  <c r="AO201" i="123" s="1"/>
  <c r="T306" i="127"/>
  <c r="AL42" i="123" s="1"/>
  <c r="AO42" i="123" s="1"/>
  <c r="T1700" i="127"/>
  <c r="T202" i="127"/>
  <c r="AL20" i="123" s="1"/>
  <c r="T639" i="127"/>
  <c r="AL122" i="123" s="1"/>
  <c r="AO122" i="123" s="1"/>
  <c r="T652" i="127"/>
  <c r="AL119" i="123" s="1"/>
  <c r="AO119" i="123" s="1"/>
  <c r="T1491" i="127"/>
  <c r="S1024" i="127"/>
  <c r="T1024" i="127" s="1"/>
  <c r="S1490" i="127"/>
  <c r="T1490" i="127" s="1"/>
  <c r="T517" i="127"/>
  <c r="S456" i="127"/>
  <c r="T456" i="127" s="1"/>
  <c r="S235" i="127"/>
  <c r="T908" i="127"/>
  <c r="T1297" i="127"/>
  <c r="S304" i="127"/>
  <c r="S1296" i="127"/>
  <c r="T1296" i="127" s="1"/>
  <c r="S1298" i="127"/>
  <c r="S575" i="127"/>
  <c r="T575" i="127" s="1"/>
  <c r="S2342" i="127"/>
  <c r="T2342" i="127" s="1"/>
  <c r="S3032" i="127"/>
  <c r="T3032" i="127" s="1"/>
  <c r="S2225" i="127"/>
  <c r="S2582" i="127"/>
  <c r="T2582" i="127" s="1"/>
  <c r="S2700" i="127"/>
  <c r="T2700" i="127" s="1"/>
  <c r="S2708" i="127"/>
  <c r="T2708" i="127" s="1"/>
  <c r="T2986" i="127"/>
  <c r="S2022" i="127"/>
  <c r="S714" i="127"/>
  <c r="T714" i="127" s="1"/>
  <c r="S398" i="127"/>
  <c r="S1046" i="127"/>
  <c r="T1046" i="127" s="1"/>
  <c r="S1487" i="127"/>
  <c r="T1487" i="127" s="1"/>
  <c r="S1044" i="127"/>
  <c r="T1044" i="127" s="1"/>
  <c r="S695" i="127"/>
  <c r="T695" i="127" s="1"/>
  <c r="T1482" i="127"/>
  <c r="T1520" i="127"/>
  <c r="T2719" i="127"/>
  <c r="T2372" i="127"/>
  <c r="S1090" i="127"/>
  <c r="AK188" i="123" s="1"/>
  <c r="T1146" i="127"/>
  <c r="T1997" i="127"/>
  <c r="T1106" i="127"/>
  <c r="T1494" i="127"/>
  <c r="T2890" i="127"/>
  <c r="S2422" i="127"/>
  <c r="S3034" i="127"/>
  <c r="T3034" i="127" s="1"/>
  <c r="T2474" i="127"/>
  <c r="T2963" i="127"/>
  <c r="T3136" i="127"/>
  <c r="S2418" i="127"/>
  <c r="S3135" i="127"/>
  <c r="T3135" i="127" s="1"/>
  <c r="T2544" i="127"/>
  <c r="S2164" i="127"/>
  <c r="AK306" i="123" s="1"/>
  <c r="T2949" i="127"/>
  <c r="S1397" i="127"/>
  <c r="T1397" i="127" s="1"/>
  <c r="T1533" i="127"/>
  <c r="S1499" i="127"/>
  <c r="T1499" i="127" s="1"/>
  <c r="T1532" i="127"/>
  <c r="T2754" i="127"/>
  <c r="T2531" i="127"/>
  <c r="T2969" i="127"/>
  <c r="T3020" i="127"/>
  <c r="T3067" i="127"/>
  <c r="T803" i="127"/>
  <c r="T3000" i="127"/>
  <c r="T2505" i="127"/>
  <c r="T3068" i="127"/>
  <c r="T3036" i="127"/>
  <c r="S1401" i="127"/>
  <c r="AK230" i="123" s="1"/>
  <c r="S461" i="127"/>
  <c r="T1141" i="127"/>
  <c r="T755" i="127"/>
  <c r="S1055" i="127"/>
  <c r="T1055" i="127" s="1"/>
  <c r="S2079" i="127"/>
  <c r="S1873" i="127"/>
  <c r="T1873" i="127" s="1"/>
  <c r="S1302" i="127"/>
  <c r="T1302" i="127" s="1"/>
  <c r="S1358" i="127"/>
  <c r="T1358" i="127" s="1"/>
  <c r="S2025" i="127"/>
  <c r="T2025" i="127" s="1"/>
  <c r="T2027" i="127"/>
  <c r="S2102" i="127"/>
  <c r="S2297" i="127"/>
  <c r="T2297" i="127" s="1"/>
  <c r="S2898" i="127"/>
  <c r="T2898" i="127" s="1"/>
  <c r="S2134" i="127"/>
  <c r="T2134" i="127" s="1"/>
  <c r="S2637" i="127"/>
  <c r="T2637" i="127" s="1"/>
  <c r="S3059" i="127"/>
  <c r="T3059" i="127" s="1"/>
  <c r="S2580" i="127"/>
  <c r="T2580" i="127" s="1"/>
  <c r="S2450" i="127"/>
  <c r="T2450" i="127" s="1"/>
  <c r="S1647" i="127"/>
  <c r="T1647" i="127" s="1"/>
  <c r="S1344" i="127"/>
  <c r="T1344" i="127" s="1"/>
  <c r="S2822" i="127"/>
  <c r="T2822" i="127" s="1"/>
  <c r="S1160" i="127"/>
  <c r="S3019" i="127"/>
  <c r="T3019" i="127" s="1"/>
  <c r="S2150" i="127"/>
  <c r="T2150" i="127" s="1"/>
  <c r="S629" i="127"/>
  <c r="S952" i="127"/>
  <c r="T952" i="127" s="1"/>
  <c r="T1561" i="127"/>
  <c r="T1881" i="127"/>
  <c r="S2333" i="127"/>
  <c r="T2333" i="127" s="1"/>
  <c r="S759" i="127"/>
  <c r="T759" i="127" s="1"/>
  <c r="S1216" i="127"/>
  <c r="T1216" i="127" s="1"/>
  <c r="T1665" i="127"/>
  <c r="T2017" i="127"/>
  <c r="S2335" i="127"/>
  <c r="T2335" i="127" s="1"/>
  <c r="S1735" i="127"/>
  <c r="S2185" i="127"/>
  <c r="T2185" i="127" s="1"/>
  <c r="S2229" i="127"/>
  <c r="T2229" i="127" s="1"/>
  <c r="S1878" i="127"/>
  <c r="T1878" i="127" s="1"/>
  <c r="T2230" i="127"/>
  <c r="T2897" i="127"/>
  <c r="T2687" i="127"/>
  <c r="T2895" i="127"/>
  <c r="S1949" i="127"/>
  <c r="S2836" i="127"/>
  <c r="T2836" i="127" s="1"/>
  <c r="T2475" i="127"/>
  <c r="T2777" i="127"/>
  <c r="T2863" i="127"/>
  <c r="T2497" i="127"/>
  <c r="S2685" i="127"/>
  <c r="T2685" i="127" s="1"/>
  <c r="T2862" i="127"/>
  <c r="S2121" i="127"/>
  <c r="T2621" i="127"/>
  <c r="S364" i="127"/>
  <c r="S991" i="127"/>
  <c r="T991" i="127" s="1"/>
  <c r="T1365" i="127"/>
  <c r="S1018" i="127"/>
  <c r="T1018" i="127" s="1"/>
  <c r="T2095" i="127"/>
  <c r="T2105" i="127"/>
  <c r="T2240" i="127"/>
  <c r="S1073" i="127"/>
  <c r="T1073" i="127" s="1"/>
  <c r="T1396" i="127"/>
  <c r="T1829" i="127"/>
  <c r="S900" i="127"/>
  <c r="T1284" i="127"/>
  <c r="T1495" i="127"/>
  <c r="T2187" i="127"/>
  <c r="S538" i="127"/>
  <c r="AK106" i="123" s="1"/>
  <c r="T1370" i="127"/>
  <c r="T1810" i="127"/>
  <c r="T2255" i="127"/>
  <c r="T2289" i="127"/>
  <c r="S1262" i="127"/>
  <c r="AK213" i="123" s="1"/>
  <c r="T1739" i="127"/>
  <c r="T2193" i="127"/>
  <c r="S343" i="127"/>
  <c r="T343" i="127" s="1"/>
  <c r="S550" i="127"/>
  <c r="T550" i="127" s="1"/>
  <c r="S659" i="127"/>
  <c r="T659" i="127" s="1"/>
  <c r="T1159" i="127"/>
  <c r="S301" i="127"/>
  <c r="S344" i="127"/>
  <c r="T344" i="127" s="1"/>
  <c r="S596" i="127"/>
  <c r="T596" i="127" s="1"/>
  <c r="T1111" i="127"/>
  <c r="S787" i="127"/>
  <c r="T787" i="127" s="1"/>
  <c r="S457" i="127"/>
  <c r="T457" i="127" s="1"/>
  <c r="T2815" i="127"/>
  <c r="T2370" i="127"/>
  <c r="T1927" i="127"/>
  <c r="T2443" i="127"/>
  <c r="S363" i="127"/>
  <c r="S1050" i="127"/>
  <c r="T1050" i="127" s="1"/>
  <c r="T1627" i="127"/>
  <c r="S658" i="127"/>
  <c r="T658" i="127" s="1"/>
  <c r="S1402" i="127"/>
  <c r="T1402" i="127" s="1"/>
  <c r="S990" i="127"/>
  <c r="T990" i="127" s="1"/>
  <c r="S2299" i="127"/>
  <c r="T2833" i="127"/>
  <c r="T2115" i="127"/>
  <c r="T2409" i="127"/>
  <c r="T1968" i="127"/>
  <c r="S1026" i="127"/>
  <c r="AK187" i="123" s="1"/>
  <c r="T1969" i="127"/>
  <c r="T1497" i="127"/>
  <c r="S480" i="127"/>
  <c r="T480" i="127" s="1"/>
  <c r="S375" i="127"/>
  <c r="T375" i="127" s="1"/>
  <c r="S586" i="127"/>
  <c r="T586" i="127" s="1"/>
  <c r="S1110" i="127"/>
  <c r="T1110" i="127" s="1"/>
  <c r="S956" i="127"/>
  <c r="T956" i="127" s="1"/>
  <c r="S291" i="127"/>
  <c r="T1105" i="127"/>
  <c r="T862" i="127"/>
  <c r="S1257" i="127"/>
  <c r="S1767" i="127"/>
  <c r="T1767" i="127" s="1"/>
  <c r="S510" i="127"/>
  <c r="AK104" i="123" s="1"/>
  <c r="T534" i="127"/>
  <c r="S262" i="127"/>
  <c r="AK32" i="123" s="1"/>
  <c r="T507" i="127"/>
  <c r="S859" i="127"/>
  <c r="T859" i="127" s="1"/>
  <c r="S2429" i="127"/>
  <c r="T2429" i="127" s="1"/>
  <c r="S408" i="127"/>
  <c r="T408" i="127" s="1"/>
  <c r="S1016" i="127"/>
  <c r="T1016" i="127" s="1"/>
  <c r="S2156" i="127"/>
  <c r="T2156" i="127" s="1"/>
  <c r="S377" i="127"/>
  <c r="S917" i="127"/>
  <c r="T917" i="127" s="1"/>
  <c r="T1307" i="127"/>
  <c r="T1770" i="127"/>
  <c r="T1259" i="127"/>
  <c r="T1772" i="127"/>
  <c r="T3105" i="127"/>
  <c r="T2596" i="127"/>
  <c r="S2298" i="127"/>
  <c r="AK323" i="123" s="1"/>
  <c r="T2691" i="127"/>
  <c r="S703" i="127"/>
  <c r="T1545" i="127"/>
  <c r="T1577" i="127"/>
  <c r="T1579" i="127"/>
  <c r="S1088" i="127"/>
  <c r="T1088" i="127" s="1"/>
  <c r="S2997" i="127"/>
  <c r="T2997" i="127" s="1"/>
  <c r="S1826" i="127"/>
  <c r="T1826" i="127" s="1"/>
  <c r="T2158" i="127"/>
  <c r="S2080" i="127"/>
  <c r="T2080" i="127" s="1"/>
  <c r="S2674" i="127"/>
  <c r="T2674" i="127" s="1"/>
  <c r="S2100" i="127"/>
  <c r="T2100" i="127" s="1"/>
  <c r="S984" i="127"/>
  <c r="T2101" i="127"/>
  <c r="S1549" i="127"/>
  <c r="T1549" i="127" s="1"/>
  <c r="S708" i="127"/>
  <c r="T708" i="127" s="1"/>
  <c r="S390" i="127"/>
  <c r="S1080" i="127"/>
  <c r="T1080" i="127" s="1"/>
  <c r="S1557" i="127"/>
  <c r="T1557" i="127" s="1"/>
  <c r="S677" i="127"/>
  <c r="T677" i="127" s="1"/>
  <c r="T1056" i="127"/>
  <c r="T1454" i="127"/>
  <c r="S535" i="127"/>
  <c r="T535" i="127" s="1"/>
  <c r="T707" i="127"/>
  <c r="S1480" i="127"/>
  <c r="T1480" i="127" s="1"/>
  <c r="T1017" i="127"/>
  <c r="T1478" i="127"/>
  <c r="S446" i="127"/>
  <c r="S1943" i="127"/>
  <c r="T1943" i="127" s="1"/>
  <c r="S2881" i="127"/>
  <c r="T2881" i="127" s="1"/>
  <c r="S1558" i="127"/>
  <c r="T1558" i="127" s="1"/>
  <c r="S2046" i="127"/>
  <c r="T2046" i="127" s="1"/>
  <c r="S2808" i="127"/>
  <c r="T2808" i="127" s="1"/>
  <c r="S2408" i="127"/>
  <c r="T2408" i="127" s="1"/>
  <c r="S3093" i="127"/>
  <c r="T3093" i="127" s="1"/>
  <c r="S961" i="127"/>
  <c r="T961" i="127" s="1"/>
  <c r="T1361" i="127"/>
  <c r="S968" i="127"/>
  <c r="T968" i="127" s="1"/>
  <c r="S612" i="127"/>
  <c r="S1555" i="127"/>
  <c r="S2832" i="127"/>
  <c r="T2832" i="127" s="1"/>
  <c r="S2043" i="127"/>
  <c r="T2043" i="127" s="1"/>
  <c r="S2878" i="127"/>
  <c r="T2878" i="127" s="1"/>
  <c r="T2880" i="127"/>
  <c r="S2451" i="127"/>
  <c r="T2451" i="127" s="1"/>
  <c r="S1166" i="127"/>
  <c r="T1166" i="127" s="1"/>
  <c r="S496" i="127"/>
  <c r="T1250" i="127"/>
  <c r="S791" i="127"/>
  <c r="T791" i="127" s="1"/>
  <c r="S674" i="127"/>
  <c r="T674" i="127" s="1"/>
  <c r="T1939" i="127"/>
  <c r="T1574" i="127"/>
  <c r="T3056" i="127"/>
  <c r="T1161" i="127"/>
  <c r="S245" i="127"/>
  <c r="T245" i="127" s="1"/>
  <c r="S1231" i="127"/>
  <c r="T1231" i="127" s="1"/>
  <c r="S173" i="127"/>
  <c r="S470" i="127"/>
  <c r="T470" i="127" s="1"/>
  <c r="S1894" i="127"/>
  <c r="T1894" i="127" s="1"/>
  <c r="S432" i="127"/>
  <c r="T432" i="127" s="1"/>
  <c r="S437" i="127"/>
  <c r="T1329" i="127"/>
  <c r="T1456" i="127"/>
  <c r="S736" i="127"/>
  <c r="T736" i="127" s="1"/>
  <c r="S963" i="127"/>
  <c r="S1439" i="127"/>
  <c r="T1439" i="127" s="1"/>
  <c r="S2382" i="127"/>
  <c r="T2382" i="127" s="1"/>
  <c r="S1147" i="127"/>
  <c r="T1147" i="127" s="1"/>
  <c r="S2165" i="127"/>
  <c r="T2165" i="127" s="1"/>
  <c r="S376" i="127"/>
  <c r="T376" i="127" s="1"/>
  <c r="S1345" i="127"/>
  <c r="T1345" i="127" s="1"/>
  <c r="T1433" i="127"/>
  <c r="S319" i="127"/>
  <c r="S706" i="127"/>
  <c r="T706" i="127" s="1"/>
  <c r="S1378" i="127"/>
  <c r="T1378" i="127" s="1"/>
  <c r="S893" i="127"/>
  <c r="T893" i="127" s="1"/>
  <c r="T435" i="127"/>
  <c r="T1434" i="127"/>
  <c r="S2540" i="127"/>
  <c r="T2540" i="127" s="1"/>
  <c r="T2654" i="127"/>
  <c r="S2205" i="127"/>
  <c r="S2652" i="127"/>
  <c r="T2652" i="127" s="1"/>
  <c r="T2747" i="127"/>
  <c r="T1741" i="127"/>
  <c r="T1743" i="127"/>
  <c r="S2622" i="127"/>
  <c r="T2622" i="127" s="1"/>
  <c r="S2735" i="127"/>
  <c r="T2735" i="127" s="1"/>
  <c r="S2623" i="127"/>
  <c r="T2623" i="127" s="1"/>
  <c r="S1866" i="127"/>
  <c r="S2851" i="127"/>
  <c r="T2851" i="127" s="1"/>
  <c r="T2541" i="127"/>
  <c r="S2184" i="127"/>
  <c r="S2849" i="127"/>
  <c r="T2849" i="127" s="1"/>
  <c r="S983" i="127"/>
  <c r="T1496" i="127"/>
  <c r="S2425" i="127"/>
  <c r="T2425" i="127" s="1"/>
  <c r="T2490" i="127"/>
  <c r="T1115" i="127"/>
  <c r="T1773" i="127"/>
  <c r="T2470" i="127"/>
  <c r="T2489" i="127"/>
  <c r="S1094" i="127"/>
  <c r="T1319" i="127"/>
  <c r="T1550" i="127"/>
  <c r="S1948" i="127"/>
  <c r="T1948" i="127" s="1"/>
  <c r="T3045" i="127"/>
  <c r="T1209" i="127"/>
  <c r="T1398" i="127"/>
  <c r="S1865" i="127"/>
  <c r="T1865" i="127" s="1"/>
  <c r="S2399" i="127"/>
  <c r="T2399" i="127" s="1"/>
  <c r="T3118" i="127"/>
  <c r="S712" i="127"/>
  <c r="T712" i="127" s="1"/>
  <c r="T1525" i="127"/>
  <c r="T1798" i="127"/>
  <c r="S872" i="127"/>
  <c r="T872" i="127" s="1"/>
  <c r="T1713" i="127"/>
  <c r="S934" i="127"/>
  <c r="T934" i="127" s="1"/>
  <c r="T1330" i="127"/>
  <c r="S1797" i="127"/>
  <c r="T1797" i="127" s="1"/>
  <c r="S1116" i="127"/>
  <c r="T1116" i="127" s="1"/>
  <c r="S1221" i="127"/>
  <c r="T1221" i="127" s="1"/>
  <c r="T1775" i="127"/>
  <c r="T2336" i="127"/>
  <c r="S1174" i="127"/>
  <c r="S1598" i="127"/>
  <c r="T1598" i="127" s="1"/>
  <c r="T2021" i="127"/>
  <c r="T2706" i="127"/>
  <c r="S2171" i="127"/>
  <c r="T2171" i="127" s="1"/>
  <c r="S2928" i="127"/>
  <c r="T2928" i="127" s="1"/>
  <c r="S2930" i="127"/>
  <c r="T2930" i="127" s="1"/>
  <c r="S1639" i="127"/>
  <c r="S2559" i="127"/>
  <c r="T2559" i="127" s="1"/>
  <c r="S494" i="127"/>
  <c r="T494" i="127" s="1"/>
  <c r="T1683" i="127"/>
  <c r="S311" i="127"/>
  <c r="S626" i="127"/>
  <c r="T626" i="127" s="1"/>
  <c r="S1682" i="127"/>
  <c r="T1682" i="127" s="1"/>
  <c r="S1872" i="127"/>
  <c r="S2359" i="127"/>
  <c r="T2359" i="127" s="1"/>
  <c r="S2961" i="127"/>
  <c r="T2961" i="127" s="1"/>
  <c r="S2388" i="127"/>
  <c r="T2388" i="127" s="1"/>
  <c r="S2369" i="127"/>
  <c r="S2790" i="127"/>
  <c r="T2790" i="127" s="1"/>
  <c r="S2792" i="127"/>
  <c r="T2792" i="127" s="1"/>
  <c r="S975" i="127"/>
  <c r="S1471" i="127"/>
  <c r="T1471" i="127" s="1"/>
  <c r="S1991" i="127"/>
  <c r="T1991" i="127" s="1"/>
  <c r="T2222" i="127"/>
  <c r="S1014" i="127"/>
  <c r="T1014" i="127" s="1"/>
  <c r="S1896" i="127"/>
  <c r="T1896" i="127" s="1"/>
  <c r="T2223" i="127"/>
  <c r="S2669" i="127"/>
  <c r="S681" i="127"/>
  <c r="S2058" i="127"/>
  <c r="T2058" i="127" s="1"/>
  <c r="S2329" i="127"/>
  <c r="T2329" i="127" s="1"/>
  <c r="S1022" i="127"/>
  <c r="T1022" i="127" s="1"/>
  <c r="T2279" i="127"/>
  <c r="S2331" i="127"/>
  <c r="T2331" i="127" s="1"/>
  <c r="S1187" i="127"/>
  <c r="T2915" i="127"/>
  <c r="S1632" i="127"/>
  <c r="T1632" i="127" s="1"/>
  <c r="T2477" i="127"/>
  <c r="T2917" i="127"/>
  <c r="T509" i="127"/>
  <c r="T896" i="127"/>
  <c r="S739" i="127"/>
  <c r="T739" i="127" s="1"/>
  <c r="S1103" i="127"/>
  <c r="T1103" i="127" s="1"/>
  <c r="T2111" i="127"/>
  <c r="S415" i="127"/>
  <c r="S1766" i="127"/>
  <c r="T1766" i="127" s="1"/>
  <c r="T2112" i="127"/>
  <c r="S678" i="127"/>
  <c r="T678" i="127" s="1"/>
  <c r="S1708" i="127"/>
  <c r="T1708" i="127" s="1"/>
  <c r="T1233" i="127"/>
  <c r="S367" i="127"/>
  <c r="S1392" i="127"/>
  <c r="T1392" i="127" s="1"/>
  <c r="T1685" i="127"/>
  <c r="S834" i="127"/>
  <c r="T834" i="127" s="1"/>
  <c r="T1687" i="127"/>
  <c r="S536" i="127"/>
  <c r="S1989" i="127"/>
  <c r="T1989" i="127" s="1"/>
  <c r="T2601" i="127"/>
  <c r="S1594" i="127"/>
  <c r="T1594" i="127" s="1"/>
  <c r="S2446" i="127"/>
  <c r="T2446" i="127" s="1"/>
  <c r="T2603" i="127"/>
  <c r="T2975" i="127"/>
  <c r="T2521" i="127"/>
  <c r="T2978" i="127"/>
  <c r="T2720" i="127"/>
  <c r="T2977" i="127"/>
  <c r="S1079" i="127"/>
  <c r="T1756" i="127"/>
  <c r="T2824" i="127"/>
  <c r="S1137" i="127"/>
  <c r="T1137" i="127" s="1"/>
  <c r="T2407" i="127"/>
  <c r="T1941" i="127"/>
  <c r="S2002" i="127"/>
  <c r="T2954" i="127"/>
  <c r="S3022" i="127"/>
  <c r="T3022" i="127" s="1"/>
  <c r="T2967" i="127"/>
  <c r="T1920" i="127"/>
  <c r="T2267" i="127"/>
  <c r="T2968" i="127"/>
  <c r="T1415" i="127"/>
  <c r="S2062" i="127"/>
  <c r="T2266" i="127"/>
  <c r="T2365" i="127"/>
  <c r="T1898" i="127"/>
  <c r="T2364" i="127"/>
  <c r="S1498" i="127"/>
  <c r="T1498" i="127" s="1"/>
  <c r="T2086" i="127"/>
  <c r="S2852" i="127"/>
  <c r="T2852" i="127" s="1"/>
  <c r="S977" i="127"/>
  <c r="T977" i="127" s="1"/>
  <c r="S2129" i="127"/>
  <c r="T2129" i="127" s="1"/>
  <c r="S2452" i="127"/>
  <c r="T2452" i="127" s="1"/>
  <c r="S628" i="127"/>
  <c r="S1437" i="127"/>
  <c r="T1437" i="127" s="1"/>
  <c r="S1315" i="127"/>
  <c r="T1315" i="127" s="1"/>
  <c r="S1303" i="127"/>
  <c r="T1303" i="127" s="1"/>
  <c r="S948" i="127"/>
  <c r="S2008" i="127"/>
  <c r="T2008" i="127" s="1"/>
  <c r="T2152" i="127"/>
  <c r="T2154" i="127"/>
  <c r="S1938" i="127"/>
  <c r="T1938" i="127" s="1"/>
  <c r="S613" i="127"/>
  <c r="T1393" i="127"/>
  <c r="T2766" i="127"/>
  <c r="T2779" i="127"/>
  <c r="S1067" i="127"/>
  <c r="T1067" i="127" s="1"/>
  <c r="S2016" i="127"/>
  <c r="T2016" i="127" s="1"/>
  <c r="T2394" i="127"/>
  <c r="S978" i="127"/>
  <c r="T978" i="127" s="1"/>
  <c r="T1726" i="127"/>
  <c r="T2197" i="127"/>
  <c r="S1562" i="127"/>
  <c r="AK243" i="123" s="1"/>
  <c r="T2090" i="127"/>
  <c r="T2196" i="127"/>
  <c r="S1189" i="127"/>
  <c r="T1189" i="127" s="1"/>
  <c r="S916" i="127"/>
  <c r="S2680" i="127"/>
  <c r="T2680" i="127" s="1"/>
  <c r="S2353" i="127"/>
  <c r="T3066" i="127"/>
  <c r="S1877" i="127"/>
  <c r="S2469" i="127"/>
  <c r="T2469" i="127" s="1"/>
  <c r="S2510" i="127"/>
  <c r="S2767" i="127"/>
  <c r="T2767" i="127" s="1"/>
  <c r="S2545" i="127"/>
  <c r="T2545" i="127" s="1"/>
  <c r="S2718" i="127"/>
  <c r="T2718" i="127" s="1"/>
  <c r="S2859" i="127"/>
  <c r="T2859" i="127" s="1"/>
  <c r="S2583" i="127"/>
  <c r="T2583" i="127" s="1"/>
  <c r="S2529" i="127"/>
  <c r="S2990" i="127"/>
  <c r="T2990" i="127" s="1"/>
  <c r="T1738" i="127"/>
  <c r="T2064" i="127"/>
  <c r="T2066" i="127"/>
  <c r="T2473" i="127"/>
  <c r="S1222" i="127"/>
  <c r="T1222" i="127" s="1"/>
  <c r="T2241" i="127"/>
  <c r="T2415" i="127"/>
  <c r="T2567" i="127"/>
  <c r="T2784" i="127"/>
  <c r="S964" i="127"/>
  <c r="T1694" i="127"/>
  <c r="S2337" i="127"/>
  <c r="T2337" i="127" s="1"/>
  <c r="T2416" i="127"/>
  <c r="T2783" i="127"/>
  <c r="T2383" i="127"/>
  <c r="T2426" i="127"/>
  <c r="T2438" i="127"/>
  <c r="T2440" i="127"/>
  <c r="T1737" i="127"/>
  <c r="T2414" i="127"/>
  <c r="T2439" i="127"/>
  <c r="S1278" i="127"/>
  <c r="T1278" i="127" s="1"/>
  <c r="S2028" i="127"/>
  <c r="T2028" i="127" s="1"/>
  <c r="S1183" i="127"/>
  <c r="T1183" i="127" s="1"/>
  <c r="S1680" i="127"/>
  <c r="T1680" i="127" s="1"/>
  <c r="S2328" i="127"/>
  <c r="T2328" i="127" s="1"/>
  <c r="T1847" i="127"/>
  <c r="S1571" i="127"/>
  <c r="AK236" i="123" s="1"/>
  <c r="T2430" i="127"/>
  <c r="T2053" i="127"/>
  <c r="T2828" i="127"/>
  <c r="S113" i="127"/>
  <c r="S584" i="127"/>
  <c r="T584" i="127" s="1"/>
  <c r="T1312" i="127"/>
  <c r="S325" i="127"/>
  <c r="T325" i="127" s="1"/>
  <c r="S904" i="127"/>
  <c r="T904" i="127" s="1"/>
  <c r="I726" i="121"/>
  <c r="H726" i="121"/>
  <c r="I725" i="121"/>
  <c r="H725" i="121"/>
  <c r="I724" i="121"/>
  <c r="H724" i="121"/>
  <c r="I723" i="121"/>
  <c r="H723" i="121"/>
  <c r="I722" i="121"/>
  <c r="H722" i="121"/>
  <c r="I721" i="121"/>
  <c r="H721" i="121"/>
  <c r="I720" i="121"/>
  <c r="H720" i="121"/>
  <c r="I719" i="121"/>
  <c r="H719" i="121"/>
  <c r="I718" i="121"/>
  <c r="H718" i="121"/>
  <c r="I717" i="121"/>
  <c r="H717" i="121"/>
  <c r="I716" i="121"/>
  <c r="H716" i="121"/>
  <c r="I715" i="121"/>
  <c r="H715" i="121"/>
  <c r="I714" i="121"/>
  <c r="H714" i="121"/>
  <c r="I713" i="121"/>
  <c r="H713" i="121"/>
  <c r="I712" i="121"/>
  <c r="H712" i="121"/>
  <c r="I711" i="121"/>
  <c r="H711" i="121"/>
  <c r="I710" i="121"/>
  <c r="H710" i="121"/>
  <c r="I709" i="121"/>
  <c r="H709" i="121"/>
  <c r="I708" i="121"/>
  <c r="H708" i="121"/>
  <c r="I707" i="121"/>
  <c r="H707" i="121"/>
  <c r="I706" i="121"/>
  <c r="H706" i="121"/>
  <c r="I705" i="121"/>
  <c r="H705" i="121"/>
  <c r="I704" i="121"/>
  <c r="H704" i="121"/>
  <c r="I703" i="121"/>
  <c r="H703" i="121"/>
  <c r="I702" i="121"/>
  <c r="H702" i="121"/>
  <c r="I701" i="121"/>
  <c r="H701" i="121"/>
  <c r="I700" i="121"/>
  <c r="H700" i="121"/>
  <c r="I699" i="121"/>
  <c r="H699" i="121"/>
  <c r="I698" i="121"/>
  <c r="H698" i="121"/>
  <c r="I697" i="121"/>
  <c r="H697" i="121"/>
  <c r="I695" i="121"/>
  <c r="H695" i="121"/>
  <c r="I693" i="121"/>
  <c r="H693" i="121"/>
  <c r="I692" i="121"/>
  <c r="H692" i="121"/>
  <c r="I691" i="121"/>
  <c r="H691" i="121"/>
  <c r="I690" i="121"/>
  <c r="H690" i="121"/>
  <c r="I689" i="121"/>
  <c r="H689" i="121"/>
  <c r="I687" i="121"/>
  <c r="H687" i="121"/>
  <c r="I686" i="121"/>
  <c r="H686" i="121"/>
  <c r="I685" i="121"/>
  <c r="H685" i="121"/>
  <c r="I684" i="121"/>
  <c r="H684" i="121"/>
  <c r="I681" i="121"/>
  <c r="H681" i="121"/>
  <c r="I680" i="121"/>
  <c r="H680" i="121"/>
  <c r="I679" i="121"/>
  <c r="H679" i="121"/>
  <c r="I678" i="121"/>
  <c r="H678" i="121"/>
  <c r="I677" i="121"/>
  <c r="H677" i="121"/>
  <c r="I676" i="121"/>
  <c r="H676" i="121"/>
  <c r="I672" i="121"/>
  <c r="H672" i="121"/>
  <c r="I671" i="121"/>
  <c r="H671" i="121"/>
  <c r="I670" i="121"/>
  <c r="H670" i="121"/>
  <c r="I669" i="121"/>
  <c r="H669" i="121"/>
  <c r="I668" i="121"/>
  <c r="H668" i="121"/>
  <c r="I667" i="121"/>
  <c r="H667" i="121"/>
  <c r="I666" i="121"/>
  <c r="H666" i="121"/>
  <c r="I665" i="121"/>
  <c r="H665" i="121"/>
  <c r="I664" i="121"/>
  <c r="H664" i="121"/>
  <c r="I663" i="121"/>
  <c r="H663" i="121"/>
  <c r="I662" i="121"/>
  <c r="H662" i="121"/>
  <c r="I661" i="121"/>
  <c r="H661" i="121"/>
  <c r="I660" i="121"/>
  <c r="H660" i="121"/>
  <c r="I659" i="121"/>
  <c r="H659" i="121"/>
  <c r="I658" i="121"/>
  <c r="H658" i="121"/>
  <c r="I657" i="121"/>
  <c r="H657" i="121"/>
  <c r="I656" i="121"/>
  <c r="H656" i="121"/>
  <c r="I655" i="121"/>
  <c r="H655" i="121"/>
  <c r="I654" i="121"/>
  <c r="H654" i="121"/>
  <c r="I653" i="121"/>
  <c r="H653" i="121"/>
  <c r="I650" i="121"/>
  <c r="H650" i="121"/>
  <c r="I649" i="121"/>
  <c r="H649" i="121"/>
  <c r="I648" i="121"/>
  <c r="H648" i="121"/>
  <c r="I647" i="121"/>
  <c r="H647" i="121"/>
  <c r="I646" i="121"/>
  <c r="H646" i="121"/>
  <c r="I645" i="121"/>
  <c r="H645" i="121"/>
  <c r="I642" i="121"/>
  <c r="H642" i="121"/>
  <c r="I641" i="121"/>
  <c r="H641" i="121"/>
  <c r="I640" i="121"/>
  <c r="H640" i="121"/>
  <c r="I639" i="121"/>
  <c r="H639" i="121"/>
  <c r="I638" i="121"/>
  <c r="H638" i="121"/>
  <c r="I637" i="121"/>
  <c r="H637" i="121"/>
  <c r="I636" i="121"/>
  <c r="H636" i="121"/>
  <c r="I634" i="121"/>
  <c r="H634" i="121"/>
  <c r="I620" i="121"/>
  <c r="H620" i="121"/>
  <c r="H619" i="121"/>
  <c r="H618" i="121"/>
  <c r="I615" i="121"/>
  <c r="H615" i="121"/>
  <c r="I613" i="121"/>
  <c r="H613" i="121"/>
  <c r="I612" i="121"/>
  <c r="H612" i="121"/>
  <c r="I611" i="121"/>
  <c r="H611" i="121"/>
  <c r="I610" i="121"/>
  <c r="H610" i="121"/>
  <c r="I609" i="121"/>
  <c r="H609" i="121"/>
  <c r="I608" i="121"/>
  <c r="H608" i="121"/>
  <c r="I602" i="121"/>
  <c r="H602" i="121"/>
  <c r="I601" i="121"/>
  <c r="H601" i="121"/>
  <c r="I600" i="121"/>
  <c r="H600" i="121"/>
  <c r="I599" i="121"/>
  <c r="H599" i="121"/>
  <c r="I598" i="121"/>
  <c r="H598" i="121"/>
  <c r="I597" i="121"/>
  <c r="H597" i="121"/>
  <c r="I596" i="121"/>
  <c r="H596" i="121"/>
  <c r="I595" i="121"/>
  <c r="H595" i="121"/>
  <c r="I594" i="121"/>
  <c r="H594" i="121"/>
  <c r="I589" i="121"/>
  <c r="H589" i="121"/>
  <c r="I588" i="121"/>
  <c r="H588" i="121"/>
  <c r="I587" i="121"/>
  <c r="H587" i="121"/>
  <c r="I585" i="121"/>
  <c r="H585" i="121"/>
  <c r="I584" i="121"/>
  <c r="H584" i="121"/>
  <c r="I582" i="121"/>
  <c r="H582" i="121"/>
  <c r="I581" i="121"/>
  <c r="H581" i="121"/>
  <c r="I578" i="121"/>
  <c r="H578" i="121"/>
  <c r="I576" i="121"/>
  <c r="H576" i="121"/>
  <c r="I574" i="121"/>
  <c r="H574" i="121"/>
  <c r="I573" i="121"/>
  <c r="H573" i="121"/>
  <c r="I572" i="121"/>
  <c r="H572" i="121"/>
  <c r="I571" i="121"/>
  <c r="H571" i="121"/>
  <c r="I569" i="121"/>
  <c r="H569" i="121"/>
  <c r="I568" i="121"/>
  <c r="H568" i="121"/>
  <c r="I567" i="121"/>
  <c r="H567" i="121"/>
  <c r="AM331" i="123" l="1"/>
  <c r="AK374" i="123"/>
  <c r="T2669" i="127"/>
  <c r="AM271" i="123"/>
  <c r="AM298" i="123"/>
  <c r="AO20" i="123"/>
  <c r="AP20" i="123" s="1"/>
  <c r="AU20" i="123" s="1"/>
  <c r="AM20" i="123"/>
  <c r="AO365" i="123"/>
  <c r="AP365" i="123" s="1"/>
  <c r="AU365" i="123" s="1"/>
  <c r="AM365" i="123"/>
  <c r="AO28" i="123"/>
  <c r="AM28" i="123"/>
  <c r="AO264" i="123"/>
  <c r="AP264" i="123" s="1"/>
  <c r="AM264" i="123"/>
  <c r="AM77" i="123"/>
  <c r="AO77" i="123"/>
  <c r="AP77" i="123" s="1"/>
  <c r="AO247" i="123"/>
  <c r="AP247" i="123" s="1"/>
  <c r="AM247" i="123"/>
  <c r="AO226" i="123"/>
  <c r="AM226" i="123"/>
  <c r="AO386" i="123"/>
  <c r="AP386" i="123" s="1"/>
  <c r="AM386" i="123"/>
  <c r="AO140" i="123"/>
  <c r="AP140" i="123" s="1"/>
  <c r="AM140" i="123"/>
  <c r="AO193" i="123"/>
  <c r="AP193" i="123" s="1"/>
  <c r="AM193" i="123"/>
  <c r="AO311" i="123"/>
  <c r="AM311" i="123"/>
  <c r="AL343" i="123"/>
  <c r="AO343" i="123" s="1"/>
  <c r="AL239" i="123"/>
  <c r="AO239" i="123" s="1"/>
  <c r="AU296" i="123"/>
  <c r="AT296" i="123"/>
  <c r="AQ296" i="123"/>
  <c r="AR296" i="123" s="1"/>
  <c r="AS296" i="123" s="1"/>
  <c r="AO408" i="123"/>
  <c r="AP408" i="123" s="1"/>
  <c r="AM408" i="123"/>
  <c r="AO293" i="123"/>
  <c r="AP293" i="123" s="1"/>
  <c r="AM293" i="123"/>
  <c r="AO163" i="123"/>
  <c r="AP163" i="123" s="1"/>
  <c r="AM163" i="123"/>
  <c r="AO208" i="123"/>
  <c r="AP208" i="123" s="1"/>
  <c r="AM208" i="123"/>
  <c r="AO33" i="123"/>
  <c r="AM33" i="123"/>
  <c r="AL354" i="123"/>
  <c r="AO354" i="123" s="1"/>
  <c r="AP354" i="123" s="1"/>
  <c r="AL252" i="123"/>
  <c r="AO252" i="123" s="1"/>
  <c r="AU149" i="123"/>
  <c r="AQ149" i="123"/>
  <c r="AR149" i="123" s="1"/>
  <c r="AS149" i="123" s="1"/>
  <c r="AT149" i="123"/>
  <c r="AU289" i="123"/>
  <c r="AQ289" i="123"/>
  <c r="AR289" i="123" s="1"/>
  <c r="AS289" i="123" s="1"/>
  <c r="AT289" i="123"/>
  <c r="AO144" i="123"/>
  <c r="AP144" i="123" s="1"/>
  <c r="AM144" i="123"/>
  <c r="AL125" i="123"/>
  <c r="AO125" i="123" s="1"/>
  <c r="AL90" i="123"/>
  <c r="AO90" i="123" s="1"/>
  <c r="AL372" i="123"/>
  <c r="AO372" i="123" s="1"/>
  <c r="AU246" i="123"/>
  <c r="AT246" i="123"/>
  <c r="AQ246" i="123"/>
  <c r="AR246" i="123" s="1"/>
  <c r="AS246" i="123" s="1"/>
  <c r="AO269" i="123"/>
  <c r="AP269" i="123" s="1"/>
  <c r="AM269" i="123"/>
  <c r="AO350" i="123"/>
  <c r="AP350" i="123" s="1"/>
  <c r="AM350" i="123"/>
  <c r="AO203" i="123"/>
  <c r="AP203" i="123" s="1"/>
  <c r="AM203" i="123"/>
  <c r="AO314" i="123"/>
  <c r="AM314" i="123"/>
  <c r="AU331" i="123"/>
  <c r="AT331" i="123"/>
  <c r="AQ331" i="123"/>
  <c r="AR331" i="123" s="1"/>
  <c r="AS331" i="123" s="1"/>
  <c r="AK327" i="123"/>
  <c r="AN327" i="123" s="1"/>
  <c r="AL82" i="123"/>
  <c r="AO82" i="123" s="1"/>
  <c r="AK340" i="123"/>
  <c r="AK9" i="123"/>
  <c r="AN9" i="123" s="1"/>
  <c r="AK315" i="123"/>
  <c r="AK179" i="123"/>
  <c r="AK120" i="123"/>
  <c r="AK126" i="123"/>
  <c r="AN126" i="123" s="1"/>
  <c r="AK286" i="123"/>
  <c r="AN286" i="123" s="1"/>
  <c r="AK215" i="123"/>
  <c r="AN215" i="123" s="1"/>
  <c r="AK52" i="123"/>
  <c r="AK312" i="123"/>
  <c r="AN312" i="123" s="1"/>
  <c r="AK173" i="123"/>
  <c r="AN173" i="123" s="1"/>
  <c r="AK309" i="123"/>
  <c r="AN309" i="123" s="1"/>
  <c r="T2062" i="127"/>
  <c r="AK183" i="123"/>
  <c r="AK174" i="123"/>
  <c r="AK8" i="123"/>
  <c r="AK74" i="123"/>
  <c r="AN32" i="123"/>
  <c r="AK219" i="123"/>
  <c r="AK35" i="123"/>
  <c r="AN106" i="123"/>
  <c r="AK171" i="123"/>
  <c r="AK295" i="123"/>
  <c r="AK263" i="123"/>
  <c r="AK300" i="123"/>
  <c r="AO377" i="123"/>
  <c r="AM377" i="123"/>
  <c r="AO380" i="123"/>
  <c r="AM380" i="123"/>
  <c r="AT15" i="123"/>
  <c r="AQ15" i="123"/>
  <c r="AR15" i="123" s="1"/>
  <c r="AS15" i="123" s="1"/>
  <c r="AN125" i="123"/>
  <c r="AM197" i="123"/>
  <c r="AN197" i="123"/>
  <c r="AM63" i="123"/>
  <c r="AN63" i="123"/>
  <c r="AM378" i="123"/>
  <c r="AN378" i="123"/>
  <c r="AM268" i="123"/>
  <c r="AM338" i="123"/>
  <c r="AN338" i="123"/>
  <c r="AN82" i="123"/>
  <c r="AP368" i="123"/>
  <c r="AU368" i="123" s="1"/>
  <c r="AM112" i="123"/>
  <c r="AM366" i="123"/>
  <c r="AQ388" i="123"/>
  <c r="AR388" i="123" s="1"/>
  <c r="AS388" i="123" s="1"/>
  <c r="AT388" i="123" s="1"/>
  <c r="AP154" i="123"/>
  <c r="AU154" i="123" s="1"/>
  <c r="AM122" i="123"/>
  <c r="AN122" i="123"/>
  <c r="AP359" i="123"/>
  <c r="AP109" i="123"/>
  <c r="AU109" i="123" s="1"/>
  <c r="AM41" i="123"/>
  <c r="AM385" i="123"/>
  <c r="AN385" i="123"/>
  <c r="AM76" i="123"/>
  <c r="AN76" i="123"/>
  <c r="AN90" i="123"/>
  <c r="AM362" i="123"/>
  <c r="AN362" i="123"/>
  <c r="AM364" i="123"/>
  <c r="AM220" i="123"/>
  <c r="AQ145" i="123"/>
  <c r="AR145" i="123" s="1"/>
  <c r="AS145" i="123" s="1"/>
  <c r="AT145" i="123" s="1"/>
  <c r="AM42" i="123"/>
  <c r="AN42" i="123"/>
  <c r="AM66" i="123"/>
  <c r="AN66" i="123"/>
  <c r="AM64" i="123"/>
  <c r="AN64" i="123"/>
  <c r="AM258" i="123"/>
  <c r="AN258" i="123"/>
  <c r="AM379" i="123"/>
  <c r="AN379" i="123"/>
  <c r="AP260" i="123"/>
  <c r="AU260" i="123" s="1"/>
  <c r="AN372" i="123"/>
  <c r="AM132" i="123"/>
  <c r="AN273" i="123"/>
  <c r="AP225" i="123"/>
  <c r="AU225" i="123" s="1"/>
  <c r="AP276" i="123"/>
  <c r="AU276" i="123" s="1"/>
  <c r="AP229" i="123"/>
  <c r="AU229" i="123" s="1"/>
  <c r="AM329" i="123"/>
  <c r="AP178" i="123"/>
  <c r="AP287" i="123"/>
  <c r="AU287" i="123" s="1"/>
  <c r="AP53" i="123"/>
  <c r="AP49" i="123"/>
  <c r="AU49" i="123" s="1"/>
  <c r="AP209" i="123"/>
  <c r="AU209" i="123" s="1"/>
  <c r="AP347" i="123"/>
  <c r="AU347" i="123" s="1"/>
  <c r="AM162" i="123"/>
  <c r="AM124" i="123"/>
  <c r="AM333" i="123"/>
  <c r="AM262" i="123"/>
  <c r="AM155" i="123"/>
  <c r="AN120" i="123"/>
  <c r="AN236" i="123"/>
  <c r="T948" i="127"/>
  <c r="AK114" i="123"/>
  <c r="AK136" i="123"/>
  <c r="AK105" i="123"/>
  <c r="AN374" i="123"/>
  <c r="AK198" i="123"/>
  <c r="AK238" i="123"/>
  <c r="AK240" i="123"/>
  <c r="AK75" i="123"/>
  <c r="AN323" i="123"/>
  <c r="AK67" i="123"/>
  <c r="AK200" i="123"/>
  <c r="AN188" i="123"/>
  <c r="AK319" i="123"/>
  <c r="AO394" i="123"/>
  <c r="AM394" i="123"/>
  <c r="AP151" i="123"/>
  <c r="AU151" i="123" s="1"/>
  <c r="AT152" i="123"/>
  <c r="AQ152" i="123"/>
  <c r="AR152" i="123" s="1"/>
  <c r="AS152" i="123" s="1"/>
  <c r="AO139" i="123"/>
  <c r="AM139" i="123"/>
  <c r="AP271" i="123"/>
  <c r="AU271" i="123" s="1"/>
  <c r="AP22" i="123"/>
  <c r="AU22" i="123" s="1"/>
  <c r="AP135" i="123"/>
  <c r="AM51" i="123"/>
  <c r="AN51" i="123"/>
  <c r="AM88" i="123"/>
  <c r="AN88" i="123"/>
  <c r="AM180" i="123"/>
  <c r="AN180" i="123"/>
  <c r="AM368" i="123"/>
  <c r="AP167" i="123"/>
  <c r="AP294" i="123"/>
  <c r="AU294" i="123" s="1"/>
  <c r="AM330" i="123"/>
  <c r="AN330" i="123"/>
  <c r="AM359" i="123"/>
  <c r="AM109" i="123"/>
  <c r="AP44" i="123"/>
  <c r="AU44" i="123" s="1"/>
  <c r="AP351" i="123"/>
  <c r="AU351" i="123" s="1"/>
  <c r="AM37" i="123"/>
  <c r="AN37" i="123"/>
  <c r="AP237" i="123"/>
  <c r="AP255" i="123"/>
  <c r="AT223" i="123"/>
  <c r="AQ223" i="123"/>
  <c r="AR223" i="123" s="1"/>
  <c r="AS223" i="123" s="1"/>
  <c r="AT150" i="123"/>
  <c r="AQ150" i="123"/>
  <c r="AR150" i="123" s="1"/>
  <c r="AS150" i="123" s="1"/>
  <c r="AQ85" i="123"/>
  <c r="AR85" i="123" s="1"/>
  <c r="AS85" i="123" s="1"/>
  <c r="AT85" i="123"/>
  <c r="AM201" i="123"/>
  <c r="AN201" i="123"/>
  <c r="AM334" i="123"/>
  <c r="AN334" i="123"/>
  <c r="AM97" i="123"/>
  <c r="AN97" i="123"/>
  <c r="AM141" i="123"/>
  <c r="AN141" i="123"/>
  <c r="AM84" i="123"/>
  <c r="AN84" i="123"/>
  <c r="AP62" i="123"/>
  <c r="AM260" i="123"/>
  <c r="AP199" i="123"/>
  <c r="AU199" i="123" s="1"/>
  <c r="AM31" i="123"/>
  <c r="AN31" i="123"/>
  <c r="AM349" i="123"/>
  <c r="AN349" i="123"/>
  <c r="AM225" i="123"/>
  <c r="AT400" i="123"/>
  <c r="AQ400" i="123"/>
  <c r="AR400" i="123" s="1"/>
  <c r="AS400" i="123" s="1"/>
  <c r="AM229" i="123"/>
  <c r="AP111" i="123"/>
  <c r="AU111" i="123" s="1"/>
  <c r="AP367" i="123"/>
  <c r="AU367" i="123" s="1"/>
  <c r="AM178" i="123"/>
  <c r="AM287" i="123"/>
  <c r="AM53" i="123"/>
  <c r="AM49" i="123"/>
  <c r="AM209" i="123"/>
  <c r="AM347" i="123"/>
  <c r="AP211" i="123"/>
  <c r="AU211" i="123" s="1"/>
  <c r="AP301" i="123"/>
  <c r="AU301" i="123" s="1"/>
  <c r="AP342" i="123"/>
  <c r="AP212" i="123"/>
  <c r="AK355" i="123"/>
  <c r="AN340" i="123"/>
  <c r="AK165" i="123"/>
  <c r="AN243" i="123"/>
  <c r="AK190" i="123"/>
  <c r="AK70" i="123"/>
  <c r="AK83" i="123"/>
  <c r="AK248" i="123"/>
  <c r="AK95" i="123"/>
  <c r="AK118" i="123"/>
  <c r="AN104" i="123"/>
  <c r="AK69" i="123"/>
  <c r="AK134" i="123"/>
  <c r="AN315" i="123"/>
  <c r="AK121" i="123"/>
  <c r="AK23" i="123"/>
  <c r="AO107" i="123"/>
  <c r="AM107" i="123"/>
  <c r="AO270" i="123"/>
  <c r="AM270" i="123"/>
  <c r="AO48" i="123"/>
  <c r="AM48" i="123"/>
  <c r="AO216" i="123"/>
  <c r="AM216" i="123"/>
  <c r="AQ279" i="123"/>
  <c r="AR279" i="123" s="1"/>
  <c r="AS279" i="123" s="1"/>
  <c r="AT279" i="123" s="1"/>
  <c r="AP357" i="123"/>
  <c r="AU357" i="123" s="1"/>
  <c r="AM305" i="123"/>
  <c r="AN305" i="123"/>
  <c r="AM22" i="123"/>
  <c r="AM135" i="123"/>
  <c r="AM322" i="123"/>
  <c r="AN322" i="123"/>
  <c r="AP259" i="123"/>
  <c r="AM313" i="123"/>
  <c r="AN313" i="123"/>
  <c r="AM384" i="123"/>
  <c r="AN384" i="123"/>
  <c r="AM167" i="123"/>
  <c r="AQ391" i="123"/>
  <c r="AR391" i="123" s="1"/>
  <c r="AS391" i="123" s="1"/>
  <c r="AT391" i="123" s="1"/>
  <c r="AP137" i="123"/>
  <c r="AU137" i="123" s="1"/>
  <c r="AM24" i="123"/>
  <c r="AN24" i="123"/>
  <c r="AM280" i="123"/>
  <c r="AN280" i="123"/>
  <c r="AP129" i="123"/>
  <c r="AM320" i="123"/>
  <c r="AN320" i="123"/>
  <c r="AM44" i="123"/>
  <c r="AM351" i="123"/>
  <c r="AP343" i="123"/>
  <c r="AU343" i="123" s="1"/>
  <c r="AM58" i="123"/>
  <c r="AN58" i="123"/>
  <c r="AP353" i="123"/>
  <c r="AU353" i="123" s="1"/>
  <c r="AM237" i="123"/>
  <c r="AP222" i="123"/>
  <c r="AU222" i="123" s="1"/>
  <c r="AM255" i="123"/>
  <c r="AP387" i="123"/>
  <c r="AU387" i="123" s="1"/>
  <c r="AT392" i="123"/>
  <c r="AQ392" i="123"/>
  <c r="AR392" i="123" s="1"/>
  <c r="AS392" i="123" s="1"/>
  <c r="AM131" i="123"/>
  <c r="AN131" i="123"/>
  <c r="AM252" i="123"/>
  <c r="AN252" i="123"/>
  <c r="AN239" i="123"/>
  <c r="AM316" i="123"/>
  <c r="AN316" i="123"/>
  <c r="AM62" i="123"/>
  <c r="AM328" i="123"/>
  <c r="AN328" i="123"/>
  <c r="AP196" i="123"/>
  <c r="AU196" i="123" s="1"/>
  <c r="AM199" i="123"/>
  <c r="AP257" i="123"/>
  <c r="AU257" i="123" s="1"/>
  <c r="AM79" i="123"/>
  <c r="AN79" i="123"/>
  <c r="AM111" i="123"/>
  <c r="AM367" i="123"/>
  <c r="AP335" i="123"/>
  <c r="AU335" i="123" s="1"/>
  <c r="AP166" i="123"/>
  <c r="AU166" i="123" s="1"/>
  <c r="AM101" i="123"/>
  <c r="AN101" i="123"/>
  <c r="AP60" i="123"/>
  <c r="AU60" i="123" s="1"/>
  <c r="AP358" i="123"/>
  <c r="AU358" i="123" s="1"/>
  <c r="AM211" i="123"/>
  <c r="AM301" i="123"/>
  <c r="AM354" i="123"/>
  <c r="AM342" i="123"/>
  <c r="AM212" i="123"/>
  <c r="AK234" i="123"/>
  <c r="AN179" i="123"/>
  <c r="AK138" i="123"/>
  <c r="AN187" i="123"/>
  <c r="AN213" i="123"/>
  <c r="AN230" i="123"/>
  <c r="AN306" i="123"/>
  <c r="AN52" i="123"/>
  <c r="AT159" i="123"/>
  <c r="AQ159" i="123"/>
  <c r="AR159" i="123" s="1"/>
  <c r="AS159" i="123" s="1"/>
  <c r="AP148" i="123"/>
  <c r="AU148" i="123" s="1"/>
  <c r="AQ410" i="123"/>
  <c r="AR410" i="123" s="1"/>
  <c r="AS410" i="123" s="1"/>
  <c r="AT410" i="123"/>
  <c r="AM357" i="123"/>
  <c r="AM47" i="123"/>
  <c r="AN47" i="123"/>
  <c r="AM59" i="123"/>
  <c r="AN59" i="123"/>
  <c r="AM274" i="123"/>
  <c r="AN274" i="123"/>
  <c r="AP268" i="123"/>
  <c r="AU268" i="123" s="1"/>
  <c r="AM259" i="123"/>
  <c r="AM116" i="123"/>
  <c r="AN116" i="123"/>
  <c r="AM290" i="123"/>
  <c r="AN290" i="123"/>
  <c r="AP112" i="123"/>
  <c r="AU112" i="123" s="1"/>
  <c r="AP366" i="123"/>
  <c r="AM103" i="123"/>
  <c r="AN103" i="123"/>
  <c r="AM129" i="123"/>
  <c r="AP41" i="123"/>
  <c r="AM244" i="123"/>
  <c r="AN244" i="123"/>
  <c r="AM233" i="123"/>
  <c r="AN233" i="123"/>
  <c r="AM94" i="123"/>
  <c r="AN94" i="123"/>
  <c r="AM353" i="123"/>
  <c r="AP364" i="123"/>
  <c r="AU364" i="123" s="1"/>
  <c r="AM222" i="123"/>
  <c r="AP220" i="123"/>
  <c r="AU220" i="123" s="1"/>
  <c r="AM387" i="123"/>
  <c r="AQ298" i="123"/>
  <c r="AR298" i="123" s="1"/>
  <c r="AS298" i="123" s="1"/>
  <c r="AT298" i="123" s="1"/>
  <c r="AQ146" i="123"/>
  <c r="AR146" i="123" s="1"/>
  <c r="AS146" i="123" s="1"/>
  <c r="AT146" i="123" s="1"/>
  <c r="AP87" i="123"/>
  <c r="AM119" i="123"/>
  <c r="AN119" i="123"/>
  <c r="AM14" i="123"/>
  <c r="AN14" i="123"/>
  <c r="AP175" i="123"/>
  <c r="AU175" i="123" s="1"/>
  <c r="AM254" i="123"/>
  <c r="AN254" i="123"/>
  <c r="AN133" i="123"/>
  <c r="AM266" i="123"/>
  <c r="AN266" i="123"/>
  <c r="AM196" i="123"/>
  <c r="AP132" i="123"/>
  <c r="AM339" i="123"/>
  <c r="AN339" i="123"/>
  <c r="AM257" i="123"/>
  <c r="AQ413" i="123"/>
  <c r="AR413" i="123" s="1"/>
  <c r="AS413" i="123" s="1"/>
  <c r="AT413" i="123" s="1"/>
  <c r="AT401" i="123"/>
  <c r="AQ401" i="123"/>
  <c r="AR401" i="123" s="1"/>
  <c r="AS401" i="123" s="1"/>
  <c r="AM61" i="123"/>
  <c r="AN61" i="123"/>
  <c r="AP329" i="123"/>
  <c r="AU329" i="123" s="1"/>
  <c r="AM335" i="123"/>
  <c r="AM166" i="123"/>
  <c r="AM60" i="123"/>
  <c r="AM358" i="123"/>
  <c r="AP162" i="123"/>
  <c r="AU162" i="123" s="1"/>
  <c r="AP124" i="123"/>
  <c r="AP333" i="123"/>
  <c r="AP262" i="123"/>
  <c r="AP155" i="123"/>
  <c r="T2079" i="127"/>
  <c r="AL360" i="123" s="1"/>
  <c r="AO360" i="123" s="1"/>
  <c r="AK360" i="123"/>
  <c r="T1298" i="127"/>
  <c r="AL288" i="123" s="1"/>
  <c r="AO288" i="123" s="1"/>
  <c r="AK288" i="123"/>
  <c r="E327" i="135"/>
  <c r="AL273" i="123"/>
  <c r="AO273" i="123" s="1"/>
  <c r="D327" i="135"/>
  <c r="E314" i="135"/>
  <c r="T963" i="127"/>
  <c r="AL174" i="123" s="1"/>
  <c r="AO174" i="123" s="1"/>
  <c r="E330" i="135"/>
  <c r="T1257" i="127"/>
  <c r="AL219" i="123" s="1"/>
  <c r="AO219" i="123" s="1"/>
  <c r="T2853" i="127"/>
  <c r="T2085" i="127"/>
  <c r="AL275" i="123" s="1"/>
  <c r="T1003" i="127"/>
  <c r="T536" i="127"/>
  <c r="AL105" i="123" s="1"/>
  <c r="AO105" i="123" s="1"/>
  <c r="T2184" i="127"/>
  <c r="AL238" i="123" s="1"/>
  <c r="AO238" i="123" s="1"/>
  <c r="T2746" i="127"/>
  <c r="AL371" i="123" s="1"/>
  <c r="T437" i="127"/>
  <c r="T173" i="127"/>
  <c r="AL8" i="123" s="1"/>
  <c r="AO8" i="123" s="1"/>
  <c r="T496" i="127"/>
  <c r="AL95" i="123" s="1"/>
  <c r="AO95" i="123" s="1"/>
  <c r="T612" i="127"/>
  <c r="AL118" i="123" s="1"/>
  <c r="AO118" i="123" s="1"/>
  <c r="T446" i="127"/>
  <c r="AL75" i="123" s="1"/>
  <c r="AO75" i="123" s="1"/>
  <c r="T291" i="127"/>
  <c r="T1262" i="127"/>
  <c r="AL213" i="123" s="1"/>
  <c r="AO213" i="123" s="1"/>
  <c r="T1735" i="127"/>
  <c r="AL263" i="123" s="1"/>
  <c r="AO263" i="123" s="1"/>
  <c r="T2102" i="127"/>
  <c r="AL300" i="123" s="1"/>
  <c r="AO300" i="123" s="1"/>
  <c r="T461" i="127"/>
  <c r="T715" i="127"/>
  <c r="AL128" i="123" s="1"/>
  <c r="T1363" i="127"/>
  <c r="AL210" i="123" s="1"/>
  <c r="T1091" i="127"/>
  <c r="AL194" i="123" s="1"/>
  <c r="T2164" i="127"/>
  <c r="AL306" i="123" s="1"/>
  <c r="AO306" i="123" s="1"/>
  <c r="T1090" i="127"/>
  <c r="AL188" i="123" s="1"/>
  <c r="AO188" i="123" s="1"/>
  <c r="T1571" i="127"/>
  <c r="AL236" i="123" s="1"/>
  <c r="AO236" i="123" s="1"/>
  <c r="T964" i="127"/>
  <c r="AL215" i="123" s="1"/>
  <c r="AO215" i="123" s="1"/>
  <c r="T2510" i="127"/>
  <c r="T2353" i="127"/>
  <c r="AL327" i="123" s="1"/>
  <c r="AO327" i="123" s="1"/>
  <c r="T613" i="127"/>
  <c r="AL120" i="123" s="1"/>
  <c r="AO120" i="123" s="1"/>
  <c r="T628" i="127"/>
  <c r="AL136" i="123" s="1"/>
  <c r="AO136" i="123" s="1"/>
  <c r="T2002" i="127"/>
  <c r="T681" i="127"/>
  <c r="AL126" i="123" s="1"/>
  <c r="AO126" i="123" s="1"/>
  <c r="T2369" i="127"/>
  <c r="T1174" i="127"/>
  <c r="AL198" i="123" s="1"/>
  <c r="AO198" i="123" s="1"/>
  <c r="T2205" i="127"/>
  <c r="AL312" i="123" s="1"/>
  <c r="AO312" i="123" s="1"/>
  <c r="T2298" i="127"/>
  <c r="AL323" i="123" s="1"/>
  <c r="AO323" i="123" s="1"/>
  <c r="T262" i="127"/>
  <c r="AL32" i="123" s="1"/>
  <c r="AO32" i="123" s="1"/>
  <c r="T1026" i="127"/>
  <c r="AL187" i="123" s="1"/>
  <c r="AO187" i="123" s="1"/>
  <c r="T1485" i="127"/>
  <c r="AL265" i="123" s="1"/>
  <c r="T363" i="127"/>
  <c r="AL69" i="123" s="1"/>
  <c r="AO69" i="123" s="1"/>
  <c r="T301" i="127"/>
  <c r="AL35" i="123" s="1"/>
  <c r="AO35" i="123" s="1"/>
  <c r="T538" i="127"/>
  <c r="AL106" i="123" s="1"/>
  <c r="AO106" i="123" s="1"/>
  <c r="T364" i="127"/>
  <c r="AL9" i="123" s="1"/>
  <c r="AO9" i="123" s="1"/>
  <c r="T1160" i="127"/>
  <c r="AL200" i="123" s="1"/>
  <c r="AO200" i="123" s="1"/>
  <c r="T2422" i="127"/>
  <c r="T235" i="127"/>
  <c r="AL23" i="123" s="1"/>
  <c r="AO23" i="123" s="1"/>
  <c r="T1223" i="127"/>
  <c r="AL207" i="123" s="1"/>
  <c r="T2529" i="127"/>
  <c r="AL355" i="123" s="1"/>
  <c r="AO355" i="123" s="1"/>
  <c r="T2215" i="127"/>
  <c r="AL317" i="123" s="1"/>
  <c r="T367" i="127"/>
  <c r="AL70" i="123" s="1"/>
  <c r="AO70" i="123" s="1"/>
  <c r="T975" i="127"/>
  <c r="T311" i="127"/>
  <c r="AL83" i="123" s="1"/>
  <c r="AO83" i="123" s="1"/>
  <c r="T1639" i="127"/>
  <c r="AL248" i="123" s="1"/>
  <c r="AO248" i="123" s="1"/>
  <c r="T1094" i="127"/>
  <c r="AL234" i="123" s="1"/>
  <c r="AO234" i="123" s="1"/>
  <c r="T983" i="127"/>
  <c r="AL179" i="123" s="1"/>
  <c r="AO179" i="123" s="1"/>
  <c r="T319" i="127"/>
  <c r="T377" i="127"/>
  <c r="AL67" i="123" s="1"/>
  <c r="AO67" i="123" s="1"/>
  <c r="T510" i="127"/>
  <c r="AL104" i="123" s="1"/>
  <c r="AO104" i="123" s="1"/>
  <c r="T784" i="127"/>
  <c r="AL147" i="123" s="1"/>
  <c r="T629" i="127"/>
  <c r="AL134" i="123" s="1"/>
  <c r="AO134" i="123" s="1"/>
  <c r="T1401" i="127"/>
  <c r="AL230" i="123" s="1"/>
  <c r="AO230" i="123" s="1"/>
  <c r="T2107" i="127"/>
  <c r="AL304" i="123" s="1"/>
  <c r="T2022" i="127"/>
  <c r="T304" i="127"/>
  <c r="AL52" i="123" s="1"/>
  <c r="AO52" i="123" s="1"/>
  <c r="T1877" i="127"/>
  <c r="AL340" i="123" s="1"/>
  <c r="AO340" i="123" s="1"/>
  <c r="T916" i="127"/>
  <c r="AL165" i="123" s="1"/>
  <c r="AO165" i="123" s="1"/>
  <c r="T1562" i="127"/>
  <c r="AL243" i="123" s="1"/>
  <c r="AO243" i="123" s="1"/>
  <c r="T611" i="127"/>
  <c r="T1079" i="127"/>
  <c r="AL190" i="123" s="1"/>
  <c r="AO190" i="123" s="1"/>
  <c r="T415" i="127"/>
  <c r="T1187" i="127"/>
  <c r="AL374" i="123"/>
  <c r="AO374" i="123" s="1"/>
  <c r="T1872" i="127"/>
  <c r="T338" i="127"/>
  <c r="AL71" i="123" s="1"/>
  <c r="T1866" i="127"/>
  <c r="AL286" i="123" s="1"/>
  <c r="AO286" i="123" s="1"/>
  <c r="T1555" i="127"/>
  <c r="AL240" i="123" s="1"/>
  <c r="AO240" i="123" s="1"/>
  <c r="T390" i="127"/>
  <c r="AL74" i="123" s="1"/>
  <c r="AO74" i="123" s="1"/>
  <c r="T984" i="127"/>
  <c r="AL173" i="123" s="1"/>
  <c r="AO173" i="123" s="1"/>
  <c r="T703" i="127"/>
  <c r="AL138" i="123" s="1"/>
  <c r="AO138" i="123" s="1"/>
  <c r="T1198" i="127"/>
  <c r="AL205" i="123" s="1"/>
  <c r="T818" i="127"/>
  <c r="AL153" i="123" s="1"/>
  <c r="T1372" i="127"/>
  <c r="AL228" i="123" s="1"/>
  <c r="T1887" i="127"/>
  <c r="AL283" i="123" s="1"/>
  <c r="T900" i="127"/>
  <c r="AL171" i="123" s="1"/>
  <c r="AO171" i="123" s="1"/>
  <c r="T2121" i="127"/>
  <c r="AL309" i="123" s="1"/>
  <c r="AO309" i="123" s="1"/>
  <c r="T2418" i="127"/>
  <c r="AL315" i="123" s="1"/>
  <c r="AO315" i="123" s="1"/>
  <c r="T1889" i="127"/>
  <c r="AL278" i="123" s="1"/>
  <c r="T398" i="127"/>
  <c r="AL121" i="123" s="1"/>
  <c r="AO121" i="123" s="1"/>
  <c r="T2225" i="127"/>
  <c r="AL319" i="123" s="1"/>
  <c r="AO319" i="123" s="1"/>
  <c r="T1949" i="127"/>
  <c r="AL295" i="123" s="1"/>
  <c r="AO295" i="123" s="1"/>
  <c r="T113" i="127"/>
  <c r="H368" i="121"/>
  <c r="I368" i="121"/>
  <c r="AM90" i="123" l="1"/>
  <c r="AM239" i="123"/>
  <c r="AM343" i="123"/>
  <c r="AM82" i="123"/>
  <c r="AM372" i="123"/>
  <c r="AM125" i="123"/>
  <c r="AO278" i="123"/>
  <c r="AM278" i="123"/>
  <c r="AO283" i="123"/>
  <c r="AP283" i="123" s="1"/>
  <c r="AU283" i="123" s="1"/>
  <c r="AM283" i="123"/>
  <c r="AO228" i="123"/>
  <c r="AP228" i="123" s="1"/>
  <c r="AM228" i="123"/>
  <c r="AO128" i="123"/>
  <c r="AP128" i="123" s="1"/>
  <c r="AM128" i="123"/>
  <c r="AP33" i="123"/>
  <c r="AU33" i="123" s="1"/>
  <c r="AU163" i="123"/>
  <c r="AQ163" i="123"/>
  <c r="AR163" i="123" s="1"/>
  <c r="AS163" i="123" s="1"/>
  <c r="AT163" i="123"/>
  <c r="AU264" i="123"/>
  <c r="AQ264" i="123"/>
  <c r="AR264" i="123" s="1"/>
  <c r="AS264" i="123" s="1"/>
  <c r="AT264" i="123"/>
  <c r="AO304" i="123"/>
  <c r="AM304" i="123"/>
  <c r="AO153" i="123"/>
  <c r="AM153" i="123"/>
  <c r="AO147" i="123"/>
  <c r="AP147" i="123" s="1"/>
  <c r="AM147" i="123"/>
  <c r="AO207" i="123"/>
  <c r="AP207" i="123" s="1"/>
  <c r="AM207" i="123"/>
  <c r="AU203" i="123"/>
  <c r="AT203" i="123"/>
  <c r="AQ203" i="123"/>
  <c r="AR203" i="123" s="1"/>
  <c r="AS203" i="123" s="1"/>
  <c r="AU269" i="123"/>
  <c r="AQ269" i="123"/>
  <c r="AR269" i="123" s="1"/>
  <c r="AS269" i="123" s="1"/>
  <c r="AT269" i="123"/>
  <c r="AU408" i="123"/>
  <c r="AT408" i="123"/>
  <c r="AQ408" i="123"/>
  <c r="AR408" i="123" s="1"/>
  <c r="AS408" i="123" s="1"/>
  <c r="AP311" i="123"/>
  <c r="AQ311" i="123" s="1"/>
  <c r="AR311" i="123" s="1"/>
  <c r="AS311" i="123" s="1"/>
  <c r="AT311" i="123" s="1"/>
  <c r="AU140" i="123"/>
  <c r="AT140" i="123"/>
  <c r="AQ140" i="123"/>
  <c r="AR140" i="123" s="1"/>
  <c r="AS140" i="123" s="1"/>
  <c r="AP226" i="123"/>
  <c r="AU226" i="123" s="1"/>
  <c r="AU77" i="123"/>
  <c r="AQ77" i="123"/>
  <c r="AR77" i="123" s="1"/>
  <c r="AS77" i="123" s="1"/>
  <c r="AT77" i="123"/>
  <c r="AO194" i="123"/>
  <c r="AM194" i="123"/>
  <c r="AU144" i="123"/>
  <c r="AQ144" i="123"/>
  <c r="AR144" i="123" s="1"/>
  <c r="AS144" i="123" s="1"/>
  <c r="AT144" i="123"/>
  <c r="AU208" i="123"/>
  <c r="AT208" i="123"/>
  <c r="AQ208" i="123"/>
  <c r="AR208" i="123" s="1"/>
  <c r="AS208" i="123" s="1"/>
  <c r="AP28" i="123"/>
  <c r="AU28" i="123" s="1"/>
  <c r="AO71" i="123"/>
  <c r="AP71" i="123" s="1"/>
  <c r="AM71" i="123"/>
  <c r="AO317" i="123"/>
  <c r="AM317" i="123"/>
  <c r="AO371" i="123"/>
  <c r="AP371" i="123" s="1"/>
  <c r="AM371" i="123"/>
  <c r="AO275" i="123"/>
  <c r="AM275" i="123"/>
  <c r="AL114" i="123"/>
  <c r="AO114" i="123" s="1"/>
  <c r="AL183" i="123"/>
  <c r="AO183" i="123" s="1"/>
  <c r="AP314" i="123"/>
  <c r="AQ314" i="123" s="1"/>
  <c r="AR314" i="123" s="1"/>
  <c r="AS314" i="123" s="1"/>
  <c r="AT314" i="123" s="1"/>
  <c r="AU350" i="123"/>
  <c r="AQ350" i="123"/>
  <c r="AR350" i="123" s="1"/>
  <c r="AS350" i="123" s="1"/>
  <c r="AT350" i="123" s="1"/>
  <c r="AU293" i="123"/>
  <c r="AQ293" i="123"/>
  <c r="AR293" i="123" s="1"/>
  <c r="AS293" i="123" s="1"/>
  <c r="AT293" i="123"/>
  <c r="AU193" i="123"/>
  <c r="AT193" i="123"/>
  <c r="AQ193" i="123"/>
  <c r="AR193" i="123" s="1"/>
  <c r="AS193" i="123" s="1"/>
  <c r="AU386" i="123"/>
  <c r="AQ386" i="123"/>
  <c r="AR386" i="123" s="1"/>
  <c r="AS386" i="123" s="1"/>
  <c r="AT386" i="123"/>
  <c r="AU247" i="123"/>
  <c r="AQ247" i="123"/>
  <c r="AR247" i="123" s="1"/>
  <c r="AS247" i="123" s="1"/>
  <c r="AT247" i="123" s="1"/>
  <c r="AO210" i="123"/>
  <c r="AM210" i="123"/>
  <c r="AQ262" i="123"/>
  <c r="AR262" i="123" s="1"/>
  <c r="AS262" i="123" s="1"/>
  <c r="AT262" i="123" s="1"/>
  <c r="AT124" i="123"/>
  <c r="AQ124" i="123"/>
  <c r="AR124" i="123" s="1"/>
  <c r="AS124" i="123" s="1"/>
  <c r="AP266" i="123"/>
  <c r="AU266" i="123" s="1"/>
  <c r="AP254" i="123"/>
  <c r="AU254" i="123" s="1"/>
  <c r="AT87" i="123"/>
  <c r="AQ87" i="123"/>
  <c r="AR87" i="123" s="1"/>
  <c r="AS87" i="123" s="1"/>
  <c r="AP94" i="123"/>
  <c r="AT41" i="123"/>
  <c r="AQ41" i="123"/>
  <c r="AR41" i="123" s="1"/>
  <c r="AS41" i="123" s="1"/>
  <c r="AQ366" i="123"/>
  <c r="AR366" i="123" s="1"/>
  <c r="AS366" i="123" s="1"/>
  <c r="AT366" i="123" s="1"/>
  <c r="AP290" i="123"/>
  <c r="AU290" i="123" s="1"/>
  <c r="AP274" i="123"/>
  <c r="AU274" i="123" s="1"/>
  <c r="AP47" i="123"/>
  <c r="AU47" i="123" s="1"/>
  <c r="AQ284" i="123"/>
  <c r="AR284" i="123" s="1"/>
  <c r="AS284" i="123" s="1"/>
  <c r="AT284" i="123" s="1"/>
  <c r="AP52" i="123"/>
  <c r="AU52" i="123" s="1"/>
  <c r="AM230" i="123"/>
  <c r="AM187" i="123"/>
  <c r="AM234" i="123"/>
  <c r="AN234" i="123"/>
  <c r="AM215" i="123"/>
  <c r="AP239" i="123"/>
  <c r="AU239" i="123" s="1"/>
  <c r="AP131" i="123"/>
  <c r="AU131" i="123" s="1"/>
  <c r="AP58" i="123"/>
  <c r="AU58" i="123" s="1"/>
  <c r="AQ129" i="123"/>
  <c r="AR129" i="123" s="1"/>
  <c r="AS129" i="123" s="1"/>
  <c r="AT129" i="123" s="1"/>
  <c r="AP24" i="123"/>
  <c r="AU24" i="123" s="1"/>
  <c r="AT259" i="123"/>
  <c r="AQ259" i="123"/>
  <c r="AR259" i="123" s="1"/>
  <c r="AS259" i="123" s="1"/>
  <c r="AP48" i="123"/>
  <c r="AU48" i="123" s="1"/>
  <c r="AP315" i="123"/>
  <c r="AU315" i="123" s="1"/>
  <c r="AP9" i="123"/>
  <c r="AU9" i="123" s="1"/>
  <c r="AM69" i="123"/>
  <c r="AN69" i="123"/>
  <c r="AM95" i="123"/>
  <c r="AN95" i="123"/>
  <c r="AM70" i="123"/>
  <c r="AN70" i="123"/>
  <c r="AM165" i="123"/>
  <c r="AN165" i="123"/>
  <c r="AQ342" i="123"/>
  <c r="AR342" i="123" s="1"/>
  <c r="AS342" i="123" s="1"/>
  <c r="AT342" i="123" s="1"/>
  <c r="AQ255" i="123"/>
  <c r="AR255" i="123" s="1"/>
  <c r="AS255" i="123" s="1"/>
  <c r="AT255" i="123" s="1"/>
  <c r="AQ167" i="123"/>
  <c r="AR167" i="123" s="1"/>
  <c r="AS167" i="123" s="1"/>
  <c r="AT167" i="123"/>
  <c r="AP88" i="123"/>
  <c r="AU88" i="123" s="1"/>
  <c r="AT135" i="123"/>
  <c r="AQ135" i="123"/>
  <c r="AR135" i="123" s="1"/>
  <c r="AS135" i="123" s="1"/>
  <c r="AM200" i="123"/>
  <c r="AN200" i="123"/>
  <c r="AM75" i="123"/>
  <c r="AN75" i="123"/>
  <c r="AP374" i="123"/>
  <c r="AU374" i="123" s="1"/>
  <c r="AN114" i="123"/>
  <c r="AM120" i="123"/>
  <c r="AQ53" i="123"/>
  <c r="AR53" i="123" s="1"/>
  <c r="AS53" i="123" s="1"/>
  <c r="AT53" i="123"/>
  <c r="AQ178" i="123"/>
  <c r="AR178" i="123" s="1"/>
  <c r="AS178" i="123" s="1"/>
  <c r="AT178" i="123"/>
  <c r="AP372" i="123"/>
  <c r="AU372" i="123" s="1"/>
  <c r="AP379" i="123"/>
  <c r="AU379" i="123" s="1"/>
  <c r="AP64" i="123"/>
  <c r="AU64" i="123" s="1"/>
  <c r="AP42" i="123"/>
  <c r="AU42" i="123" s="1"/>
  <c r="AP90" i="123"/>
  <c r="AP385" i="123"/>
  <c r="AU385" i="123" s="1"/>
  <c r="AQ368" i="123"/>
  <c r="AR368" i="123" s="1"/>
  <c r="AS368" i="123" s="1"/>
  <c r="AT368" i="123" s="1"/>
  <c r="AP63" i="123"/>
  <c r="AU63" i="123" s="1"/>
  <c r="AP125" i="123"/>
  <c r="AP377" i="123"/>
  <c r="AU377" i="123" s="1"/>
  <c r="AM295" i="123"/>
  <c r="AN295" i="123"/>
  <c r="AP106" i="123"/>
  <c r="AU106" i="123" s="1"/>
  <c r="AP32" i="123"/>
  <c r="AM74" i="123"/>
  <c r="AN74" i="123"/>
  <c r="AM286" i="123"/>
  <c r="AN183" i="123"/>
  <c r="AO205" i="123"/>
  <c r="AM205" i="123"/>
  <c r="AM288" i="123"/>
  <c r="AN288" i="123"/>
  <c r="AT155" i="123"/>
  <c r="AQ155" i="123"/>
  <c r="AR155" i="123" s="1"/>
  <c r="AS155" i="123" s="1"/>
  <c r="AQ333" i="123"/>
  <c r="AR333" i="123" s="1"/>
  <c r="AS333" i="123" s="1"/>
  <c r="AT333" i="123"/>
  <c r="AP61" i="123"/>
  <c r="AU61" i="123" s="1"/>
  <c r="AQ132" i="123"/>
  <c r="AR132" i="123" s="1"/>
  <c r="AS132" i="123" s="1"/>
  <c r="AT132" i="123"/>
  <c r="AP119" i="123"/>
  <c r="AU119" i="123" s="1"/>
  <c r="AP244" i="123"/>
  <c r="AU244" i="123" s="1"/>
  <c r="AU366" i="123"/>
  <c r="AM52" i="123"/>
  <c r="AP306" i="123"/>
  <c r="AU306" i="123" s="1"/>
  <c r="AP213" i="123"/>
  <c r="AU213" i="123" s="1"/>
  <c r="AM138" i="123"/>
  <c r="AN138" i="123"/>
  <c r="AT60" i="123"/>
  <c r="AQ60" i="123"/>
  <c r="AR60" i="123" s="1"/>
  <c r="AS60" i="123" s="1"/>
  <c r="AQ166" i="123"/>
  <c r="AR166" i="123" s="1"/>
  <c r="AS166" i="123" s="1"/>
  <c r="AT166" i="123" s="1"/>
  <c r="AQ387" i="123"/>
  <c r="AR387" i="123" s="1"/>
  <c r="AS387" i="123" s="1"/>
  <c r="AT387" i="123" s="1"/>
  <c r="AU129" i="123"/>
  <c r="AP313" i="123"/>
  <c r="AU313" i="123" s="1"/>
  <c r="AM315" i="123"/>
  <c r="AM9" i="123"/>
  <c r="AP104" i="123"/>
  <c r="AU104" i="123" s="1"/>
  <c r="AM248" i="123"/>
  <c r="AN248" i="123"/>
  <c r="AM190" i="123"/>
  <c r="AN190" i="123"/>
  <c r="AP340" i="123"/>
  <c r="AU340" i="123" s="1"/>
  <c r="AQ212" i="123"/>
  <c r="AR212" i="123" s="1"/>
  <c r="AS212" i="123" s="1"/>
  <c r="AT212" i="123"/>
  <c r="AQ354" i="123"/>
  <c r="AR354" i="123" s="1"/>
  <c r="AS354" i="123" s="1"/>
  <c r="AT354" i="123" s="1"/>
  <c r="AP349" i="123"/>
  <c r="AU349" i="123" s="1"/>
  <c r="AQ62" i="123"/>
  <c r="AR62" i="123" s="1"/>
  <c r="AS62" i="123" s="1"/>
  <c r="AT62" i="123"/>
  <c r="AP141" i="123"/>
  <c r="AU141" i="123" s="1"/>
  <c r="AP334" i="123"/>
  <c r="AU334" i="123" s="1"/>
  <c r="AQ237" i="123"/>
  <c r="AR237" i="123" s="1"/>
  <c r="AS237" i="123" s="1"/>
  <c r="AT237" i="123" s="1"/>
  <c r="AU135" i="123"/>
  <c r="AT271" i="123"/>
  <c r="AQ271" i="123"/>
  <c r="AR271" i="123" s="1"/>
  <c r="AS271" i="123" s="1"/>
  <c r="AT151" i="123"/>
  <c r="AQ151" i="123"/>
  <c r="AR151" i="123" s="1"/>
  <c r="AS151" i="123" s="1"/>
  <c r="AM319" i="123"/>
  <c r="AN319" i="123"/>
  <c r="AM67" i="123"/>
  <c r="AN67" i="123"/>
  <c r="AM240" i="123"/>
  <c r="AN240" i="123"/>
  <c r="AM374" i="123"/>
  <c r="AQ209" i="123"/>
  <c r="AR209" i="123" s="1"/>
  <c r="AS209" i="123" s="1"/>
  <c r="AT209" i="123" s="1"/>
  <c r="AU53" i="123"/>
  <c r="AU178" i="123"/>
  <c r="AP273" i="123"/>
  <c r="AU273" i="123" s="1"/>
  <c r="AT359" i="123"/>
  <c r="AQ359" i="123"/>
  <c r="AR359" i="123" s="1"/>
  <c r="AS359" i="123" s="1"/>
  <c r="AP82" i="123"/>
  <c r="AU82" i="123" s="1"/>
  <c r="AP380" i="123"/>
  <c r="AU380" i="123" s="1"/>
  <c r="AP309" i="123"/>
  <c r="AU309" i="123" s="1"/>
  <c r="AM106" i="123"/>
  <c r="AM32" i="123"/>
  <c r="AM8" i="123"/>
  <c r="AN8" i="123"/>
  <c r="AP312" i="123"/>
  <c r="AU312" i="123" s="1"/>
  <c r="AO265" i="123"/>
  <c r="AM265" i="123"/>
  <c r="F327" i="135"/>
  <c r="AU155" i="123"/>
  <c r="AU333" i="123"/>
  <c r="AT162" i="123"/>
  <c r="AQ162" i="123"/>
  <c r="AR162" i="123" s="1"/>
  <c r="AS162" i="123" s="1"/>
  <c r="AU132" i="123"/>
  <c r="AQ175" i="123"/>
  <c r="AR175" i="123" s="1"/>
  <c r="AS175" i="123" s="1"/>
  <c r="AT175" i="123"/>
  <c r="AQ364" i="123"/>
  <c r="AR364" i="123" s="1"/>
  <c r="AS364" i="123" s="1"/>
  <c r="AT364" i="123" s="1"/>
  <c r="AP103" i="123"/>
  <c r="AU103" i="123" s="1"/>
  <c r="AP116" i="123"/>
  <c r="AU116" i="123" s="1"/>
  <c r="AQ268" i="123"/>
  <c r="AR268" i="123" s="1"/>
  <c r="AS268" i="123" s="1"/>
  <c r="AT268" i="123" s="1"/>
  <c r="AP59" i="123"/>
  <c r="AU59" i="123" s="1"/>
  <c r="AM306" i="123"/>
  <c r="AM213" i="123"/>
  <c r="AP179" i="123"/>
  <c r="AQ358" i="123"/>
  <c r="AR358" i="123" s="1"/>
  <c r="AS358" i="123" s="1"/>
  <c r="AT358" i="123" s="1"/>
  <c r="AP101" i="123"/>
  <c r="AU101" i="123" s="1"/>
  <c r="AT335" i="123"/>
  <c r="AQ335" i="123"/>
  <c r="AR335" i="123" s="1"/>
  <c r="AS335" i="123" s="1"/>
  <c r="AP79" i="123"/>
  <c r="AQ257" i="123"/>
  <c r="AR257" i="123" s="1"/>
  <c r="AS257" i="123" s="1"/>
  <c r="AT257" i="123"/>
  <c r="AT196" i="123"/>
  <c r="AQ196" i="123"/>
  <c r="AR196" i="123" s="1"/>
  <c r="AS196" i="123" s="1"/>
  <c r="AP316" i="123"/>
  <c r="AU316" i="123" s="1"/>
  <c r="AP252" i="123"/>
  <c r="AQ353" i="123"/>
  <c r="AR353" i="123" s="1"/>
  <c r="AS353" i="123" s="1"/>
  <c r="AT353" i="123"/>
  <c r="AQ343" i="123"/>
  <c r="AR343" i="123" s="1"/>
  <c r="AS343" i="123" s="1"/>
  <c r="AT343" i="123" s="1"/>
  <c r="AP320" i="123"/>
  <c r="AU320" i="123" s="1"/>
  <c r="AP280" i="123"/>
  <c r="AU280" i="123" s="1"/>
  <c r="AQ357" i="123"/>
  <c r="AR357" i="123" s="1"/>
  <c r="AS357" i="123" s="1"/>
  <c r="AT357" i="123" s="1"/>
  <c r="AP216" i="123"/>
  <c r="AU216" i="123" s="1"/>
  <c r="AM23" i="123"/>
  <c r="AN23" i="123"/>
  <c r="AM104" i="123"/>
  <c r="AM83" i="123"/>
  <c r="AN83" i="123"/>
  <c r="AP243" i="123"/>
  <c r="AU243" i="123" s="1"/>
  <c r="AM340" i="123"/>
  <c r="AU212" i="123"/>
  <c r="AU354" i="123"/>
  <c r="AT211" i="123"/>
  <c r="AQ211" i="123"/>
  <c r="AR211" i="123" s="1"/>
  <c r="AS211" i="123" s="1"/>
  <c r="AQ367" i="123"/>
  <c r="AR367" i="123" s="1"/>
  <c r="AS367" i="123" s="1"/>
  <c r="AT367" i="123" s="1"/>
  <c r="AT199" i="123"/>
  <c r="AQ199" i="123"/>
  <c r="AR199" i="123" s="1"/>
  <c r="AS199" i="123" s="1"/>
  <c r="AU62" i="123"/>
  <c r="AU237" i="123"/>
  <c r="AT351" i="123"/>
  <c r="AQ351" i="123"/>
  <c r="AR351" i="123" s="1"/>
  <c r="AS351" i="123" s="1"/>
  <c r="AT294" i="123"/>
  <c r="AQ294" i="123"/>
  <c r="AR294" i="123" s="1"/>
  <c r="AS294" i="123" s="1"/>
  <c r="AP180" i="123"/>
  <c r="AU180" i="123" s="1"/>
  <c r="AP51" i="123"/>
  <c r="AP188" i="123"/>
  <c r="AU188" i="123" s="1"/>
  <c r="AP323" i="123"/>
  <c r="AM238" i="123"/>
  <c r="AN238" i="123"/>
  <c r="AM105" i="123"/>
  <c r="AN105" i="123"/>
  <c r="AP236" i="123"/>
  <c r="AU236" i="123" s="1"/>
  <c r="AT49" i="123"/>
  <c r="AQ49" i="123"/>
  <c r="AR49" i="123" s="1"/>
  <c r="AS49" i="123" s="1"/>
  <c r="AT276" i="123"/>
  <c r="AQ276" i="123"/>
  <c r="AR276" i="123" s="1"/>
  <c r="AS276" i="123" s="1"/>
  <c r="AM273" i="123"/>
  <c r="AP258" i="123"/>
  <c r="AU258" i="123" s="1"/>
  <c r="AP66" i="123"/>
  <c r="AP362" i="123"/>
  <c r="AP76" i="123"/>
  <c r="AU76" i="123" s="1"/>
  <c r="AU359" i="123"/>
  <c r="AT154" i="123"/>
  <c r="AQ154" i="123"/>
  <c r="AR154" i="123" s="1"/>
  <c r="AS154" i="123" s="1"/>
  <c r="AP378" i="123"/>
  <c r="AU378" i="123" s="1"/>
  <c r="AP197" i="123"/>
  <c r="AU197" i="123" s="1"/>
  <c r="AM300" i="123"/>
  <c r="AN300" i="123"/>
  <c r="AM309" i="123"/>
  <c r="AM35" i="123"/>
  <c r="AN35" i="123"/>
  <c r="AP173" i="123"/>
  <c r="AU173" i="123" s="1"/>
  <c r="AM312" i="123"/>
  <c r="AP126" i="123"/>
  <c r="AP327" i="123"/>
  <c r="AU327" i="123" s="1"/>
  <c r="AM360" i="123"/>
  <c r="AN360" i="123"/>
  <c r="AU262" i="123"/>
  <c r="AU124" i="123"/>
  <c r="AQ329" i="123"/>
  <c r="AR329" i="123" s="1"/>
  <c r="AS329" i="123" s="1"/>
  <c r="AT329" i="123"/>
  <c r="AQ20" i="123"/>
  <c r="AR20" i="123" s="1"/>
  <c r="AS20" i="123" s="1"/>
  <c r="AT20" i="123"/>
  <c r="AP339" i="123"/>
  <c r="AU339" i="123" s="1"/>
  <c r="AQ365" i="123"/>
  <c r="AR365" i="123" s="1"/>
  <c r="AS365" i="123" s="1"/>
  <c r="AT365" i="123" s="1"/>
  <c r="AP14" i="123"/>
  <c r="AU14" i="123" s="1"/>
  <c r="AU87" i="123"/>
  <c r="AT220" i="123"/>
  <c r="AQ220" i="123"/>
  <c r="AR220" i="123" s="1"/>
  <c r="AS220" i="123" s="1"/>
  <c r="AP233" i="123"/>
  <c r="AU41" i="123"/>
  <c r="AQ112" i="123"/>
  <c r="AR112" i="123" s="1"/>
  <c r="AS112" i="123" s="1"/>
  <c r="AT112" i="123" s="1"/>
  <c r="AU284" i="123"/>
  <c r="AQ148" i="123"/>
  <c r="AR148" i="123" s="1"/>
  <c r="AS148" i="123" s="1"/>
  <c r="AT148" i="123" s="1"/>
  <c r="AP278" i="123"/>
  <c r="AU278" i="123" s="1"/>
  <c r="AP230" i="123"/>
  <c r="AU230" i="123" s="1"/>
  <c r="AP187" i="123"/>
  <c r="AU187" i="123" s="1"/>
  <c r="AM179" i="123"/>
  <c r="AP215" i="123"/>
  <c r="AU215" i="123" s="1"/>
  <c r="AP328" i="123"/>
  <c r="AQ222" i="123"/>
  <c r="AR222" i="123" s="1"/>
  <c r="AS222" i="123" s="1"/>
  <c r="AT222" i="123" s="1"/>
  <c r="AQ137" i="123"/>
  <c r="AR137" i="123" s="1"/>
  <c r="AS137" i="123" s="1"/>
  <c r="AT137" i="123"/>
  <c r="AP384" i="123"/>
  <c r="AU384" i="123" s="1"/>
  <c r="AU259" i="123"/>
  <c r="AP322" i="123"/>
  <c r="AU322" i="123" s="1"/>
  <c r="AP305" i="123"/>
  <c r="AP270" i="123"/>
  <c r="AU270" i="123" s="1"/>
  <c r="AP107" i="123"/>
  <c r="AU107" i="123" s="1"/>
  <c r="AM121" i="123"/>
  <c r="AN121" i="123"/>
  <c r="AM134" i="123"/>
  <c r="AN134" i="123"/>
  <c r="AM118" i="123"/>
  <c r="AN118" i="123"/>
  <c r="AM243" i="123"/>
  <c r="AM355" i="123"/>
  <c r="AN355" i="123"/>
  <c r="AU342" i="123"/>
  <c r="AQ301" i="123"/>
  <c r="AR301" i="123" s="1"/>
  <c r="AS301" i="123" s="1"/>
  <c r="AT301" i="123" s="1"/>
  <c r="AT111" i="123"/>
  <c r="AQ111" i="123"/>
  <c r="AR111" i="123" s="1"/>
  <c r="AS111" i="123" s="1"/>
  <c r="AP31" i="123"/>
  <c r="AP84" i="123"/>
  <c r="AU84" i="123" s="1"/>
  <c r="AP97" i="123"/>
  <c r="AP201" i="123"/>
  <c r="AU201" i="123" s="1"/>
  <c r="AU255" i="123"/>
  <c r="AP37" i="123"/>
  <c r="AU37" i="123" s="1"/>
  <c r="AQ44" i="123"/>
  <c r="AR44" i="123" s="1"/>
  <c r="AS44" i="123" s="1"/>
  <c r="AT44" i="123"/>
  <c r="AP330" i="123"/>
  <c r="AU330" i="123" s="1"/>
  <c r="AU167" i="123"/>
  <c r="AQ22" i="123"/>
  <c r="AR22" i="123" s="1"/>
  <c r="AS22" i="123" s="1"/>
  <c r="AT22" i="123"/>
  <c r="AP139" i="123"/>
  <c r="AP394" i="123"/>
  <c r="AU394" i="123" s="1"/>
  <c r="AM188" i="123"/>
  <c r="AM323" i="123"/>
  <c r="AM198" i="123"/>
  <c r="AN198" i="123"/>
  <c r="AM136" i="123"/>
  <c r="AN136" i="123"/>
  <c r="AM236" i="123"/>
  <c r="AP120" i="123"/>
  <c r="AU120" i="123" s="1"/>
  <c r="AT347" i="123"/>
  <c r="AQ347" i="123"/>
  <c r="AR347" i="123" s="1"/>
  <c r="AS347" i="123" s="1"/>
  <c r="AT287" i="123"/>
  <c r="AQ287" i="123"/>
  <c r="AR287" i="123" s="1"/>
  <c r="AS287" i="123" s="1"/>
  <c r="AQ229" i="123"/>
  <c r="AR229" i="123" s="1"/>
  <c r="AS229" i="123" s="1"/>
  <c r="AT229" i="123"/>
  <c r="AQ225" i="123"/>
  <c r="AR225" i="123" s="1"/>
  <c r="AS225" i="123" s="1"/>
  <c r="AT225" i="123"/>
  <c r="AT260" i="123"/>
  <c r="AQ260" i="123"/>
  <c r="AR260" i="123" s="1"/>
  <c r="AS260" i="123" s="1"/>
  <c r="AQ109" i="123"/>
  <c r="AR109" i="123" s="1"/>
  <c r="AS109" i="123" s="1"/>
  <c r="AT109" i="123" s="1"/>
  <c r="AP122" i="123"/>
  <c r="AP338" i="123"/>
  <c r="AU338" i="123" s="1"/>
  <c r="AM263" i="123"/>
  <c r="AN263" i="123"/>
  <c r="AM171" i="123"/>
  <c r="AN171" i="123"/>
  <c r="AM219" i="123"/>
  <c r="AN219" i="123"/>
  <c r="AM173" i="123"/>
  <c r="AM174" i="123"/>
  <c r="AN174" i="123"/>
  <c r="AP286" i="123"/>
  <c r="AU286" i="123" s="1"/>
  <c r="AM126" i="123"/>
  <c r="AM327" i="123"/>
  <c r="D314" i="135"/>
  <c r="F314" i="135" s="1"/>
  <c r="G327" i="135"/>
  <c r="D330" i="135"/>
  <c r="F330" i="135" s="1"/>
  <c r="C1654" i="127"/>
  <c r="C1653" i="127"/>
  <c r="C1646" i="127"/>
  <c r="C1661" i="127"/>
  <c r="C1667" i="127"/>
  <c r="C1663" i="127"/>
  <c r="C1664" i="127"/>
  <c r="C1666" i="127"/>
  <c r="C1662" i="127"/>
  <c r="C1665" i="127"/>
  <c r="C1684" i="127"/>
  <c r="C1685" i="127"/>
  <c r="C1669" i="127"/>
  <c r="C1670" i="127"/>
  <c r="C1673" i="127"/>
  <c r="C1674" i="127"/>
  <c r="C1675" i="127"/>
  <c r="C1676" i="127"/>
  <c r="C1677" i="127"/>
  <c r="C1678" i="127"/>
  <c r="C1696" i="127"/>
  <c r="C1693" i="127"/>
  <c r="C1668" i="127"/>
  <c r="C1680" i="127"/>
  <c r="C1688" i="127"/>
  <c r="C1692" i="127"/>
  <c r="C1700" i="127"/>
  <c r="C1679" i="127"/>
  <c r="C1698" i="127"/>
  <c r="C1686" i="127"/>
  <c r="C1687" i="127"/>
  <c r="C1701" i="127"/>
  <c r="C1697" i="127"/>
  <c r="AU314" i="123" l="1"/>
  <c r="AM183" i="123"/>
  <c r="AM114" i="123"/>
  <c r="AP275" i="123"/>
  <c r="AQ275" i="123" s="1"/>
  <c r="AR275" i="123" s="1"/>
  <c r="AS275" i="123" s="1"/>
  <c r="AT275" i="123" s="1"/>
  <c r="AP317" i="123"/>
  <c r="AU317" i="123" s="1"/>
  <c r="AQ28" i="123"/>
  <c r="AR28" i="123" s="1"/>
  <c r="AS28" i="123" s="1"/>
  <c r="AT28" i="123"/>
  <c r="AP194" i="123"/>
  <c r="AU194" i="123" s="1"/>
  <c r="AT226" i="123"/>
  <c r="AQ226" i="123"/>
  <c r="AR226" i="123" s="1"/>
  <c r="AS226" i="123" s="1"/>
  <c r="AU311" i="123"/>
  <c r="AU207" i="123"/>
  <c r="AQ207" i="123"/>
  <c r="AR207" i="123" s="1"/>
  <c r="AS207" i="123" s="1"/>
  <c r="AT207" i="123" s="1"/>
  <c r="AP153" i="123"/>
  <c r="AQ153" i="123" s="1"/>
  <c r="AR153" i="123" s="1"/>
  <c r="AS153" i="123" s="1"/>
  <c r="AT153" i="123" s="1"/>
  <c r="AU128" i="123"/>
  <c r="AQ128" i="123"/>
  <c r="AR128" i="123" s="1"/>
  <c r="AS128" i="123" s="1"/>
  <c r="AT128" i="123" s="1"/>
  <c r="AU371" i="123"/>
  <c r="AQ371" i="123"/>
  <c r="AR371" i="123" s="1"/>
  <c r="AS371" i="123" s="1"/>
  <c r="AT371" i="123"/>
  <c r="AU71" i="123"/>
  <c r="AQ71" i="123"/>
  <c r="AR71" i="123" s="1"/>
  <c r="AS71" i="123" s="1"/>
  <c r="AT71" i="123"/>
  <c r="AU147" i="123"/>
  <c r="AT147" i="123"/>
  <c r="AQ147" i="123"/>
  <c r="AR147" i="123" s="1"/>
  <c r="AS147" i="123" s="1"/>
  <c r="AP304" i="123"/>
  <c r="AU304" i="123" s="1"/>
  <c r="AT33" i="123"/>
  <c r="AQ33" i="123"/>
  <c r="AR33" i="123" s="1"/>
  <c r="AS33" i="123" s="1"/>
  <c r="AU228" i="123"/>
  <c r="AT228" i="123"/>
  <c r="AQ228" i="123"/>
  <c r="AR228" i="123" s="1"/>
  <c r="AS228" i="123" s="1"/>
  <c r="AQ126" i="123"/>
  <c r="AR126" i="123" s="1"/>
  <c r="AS126" i="123" s="1"/>
  <c r="AT126" i="123"/>
  <c r="AQ66" i="123"/>
  <c r="AR66" i="123" s="1"/>
  <c r="AS66" i="123" s="1"/>
  <c r="AT66" i="123"/>
  <c r="AQ323" i="123"/>
  <c r="AR323" i="123" s="1"/>
  <c r="AS323" i="123" s="1"/>
  <c r="AT323" i="123" s="1"/>
  <c r="AP67" i="123"/>
  <c r="AU67" i="123" s="1"/>
  <c r="AT334" i="123"/>
  <c r="AQ334" i="123"/>
  <c r="AR334" i="123" s="1"/>
  <c r="AS334" i="123" s="1"/>
  <c r="AQ340" i="123"/>
  <c r="AR340" i="123" s="1"/>
  <c r="AS340" i="123" s="1"/>
  <c r="AT340" i="123" s="1"/>
  <c r="AP138" i="123"/>
  <c r="AP288" i="123"/>
  <c r="AU288" i="123" s="1"/>
  <c r="AP205" i="123"/>
  <c r="AU205" i="123" s="1"/>
  <c r="AP74" i="123"/>
  <c r="AU74" i="123" s="1"/>
  <c r="AT106" i="123"/>
  <c r="AQ106" i="123"/>
  <c r="AR106" i="123" s="1"/>
  <c r="AS106" i="123" s="1"/>
  <c r="AT63" i="123"/>
  <c r="AQ63" i="123"/>
  <c r="AR63" i="123" s="1"/>
  <c r="AS63" i="123" s="1"/>
  <c r="AQ48" i="123"/>
  <c r="AR48" i="123" s="1"/>
  <c r="AS48" i="123" s="1"/>
  <c r="AT48" i="123" s="1"/>
  <c r="AT24" i="123"/>
  <c r="AQ24" i="123"/>
  <c r="AR24" i="123" s="1"/>
  <c r="AS24" i="123" s="1"/>
  <c r="AT239" i="123"/>
  <c r="AQ239" i="123"/>
  <c r="AR239" i="123" s="1"/>
  <c r="AS239" i="123" s="1"/>
  <c r="AT94" i="123"/>
  <c r="AQ94" i="123"/>
  <c r="AR94" i="123" s="1"/>
  <c r="AS94" i="123" s="1"/>
  <c r="AP174" i="123"/>
  <c r="AU174" i="123" s="1"/>
  <c r="AQ122" i="123"/>
  <c r="AR122" i="123" s="1"/>
  <c r="AS122" i="123" s="1"/>
  <c r="AT122" i="123" s="1"/>
  <c r="AP136" i="123"/>
  <c r="AU136" i="123" s="1"/>
  <c r="AT139" i="123"/>
  <c r="AQ139" i="123"/>
  <c r="AR139" i="123" s="1"/>
  <c r="AS139" i="123" s="1"/>
  <c r="AP118" i="123"/>
  <c r="AP134" i="123"/>
  <c r="AU134" i="123" s="1"/>
  <c r="AQ305" i="123"/>
  <c r="AR305" i="123" s="1"/>
  <c r="AS305" i="123" s="1"/>
  <c r="AT305" i="123" s="1"/>
  <c r="AQ328" i="123"/>
  <c r="AR328" i="123" s="1"/>
  <c r="AS328" i="123" s="1"/>
  <c r="AT328" i="123" s="1"/>
  <c r="AQ233" i="123"/>
  <c r="AR233" i="123" s="1"/>
  <c r="AS233" i="123" s="1"/>
  <c r="AT233" i="123" s="1"/>
  <c r="AP35" i="123"/>
  <c r="AU35" i="123" s="1"/>
  <c r="AT51" i="123"/>
  <c r="AQ51" i="123"/>
  <c r="AR51" i="123" s="1"/>
  <c r="AS51" i="123" s="1"/>
  <c r="AP83" i="123"/>
  <c r="AU83" i="123" s="1"/>
  <c r="AT252" i="123"/>
  <c r="AQ252" i="123"/>
  <c r="AR252" i="123" s="1"/>
  <c r="AS252" i="123" s="1"/>
  <c r="AT79" i="123"/>
  <c r="AQ79" i="123"/>
  <c r="AR79" i="123" s="1"/>
  <c r="AS79" i="123" s="1"/>
  <c r="AT179" i="123"/>
  <c r="AQ179" i="123"/>
  <c r="AR179" i="123" s="1"/>
  <c r="AS179" i="123" s="1"/>
  <c r="AP171" i="123"/>
  <c r="AU171" i="123" s="1"/>
  <c r="AU139" i="123"/>
  <c r="AQ201" i="123"/>
  <c r="AR201" i="123" s="1"/>
  <c r="AS201" i="123" s="1"/>
  <c r="AT201" i="123" s="1"/>
  <c r="AT84" i="123"/>
  <c r="AQ84" i="123"/>
  <c r="AR84" i="123" s="1"/>
  <c r="AS84" i="123" s="1"/>
  <c r="AP355" i="123"/>
  <c r="AU355" i="123" s="1"/>
  <c r="AQ107" i="123"/>
  <c r="AR107" i="123" s="1"/>
  <c r="AS107" i="123" s="1"/>
  <c r="AT107" i="123"/>
  <c r="AU305" i="123"/>
  <c r="AT187" i="123"/>
  <c r="AQ187" i="123"/>
  <c r="AR187" i="123" s="1"/>
  <c r="AS187" i="123" s="1"/>
  <c r="AT278" i="123"/>
  <c r="AQ278" i="123"/>
  <c r="AR278" i="123" s="1"/>
  <c r="AS278" i="123" s="1"/>
  <c r="AU233" i="123"/>
  <c r="AP360" i="123"/>
  <c r="AQ76" i="123"/>
  <c r="AR76" i="123" s="1"/>
  <c r="AS76" i="123" s="1"/>
  <c r="AT76" i="123" s="1"/>
  <c r="AU66" i="123"/>
  <c r="AP238" i="123"/>
  <c r="AU238" i="123" s="1"/>
  <c r="AQ216" i="123"/>
  <c r="AR216" i="123" s="1"/>
  <c r="AS216" i="123" s="1"/>
  <c r="AT216" i="123"/>
  <c r="AQ349" i="123"/>
  <c r="AR349" i="123" s="1"/>
  <c r="AS349" i="123" s="1"/>
  <c r="AT349" i="123" s="1"/>
  <c r="AP190" i="123"/>
  <c r="AQ313" i="123"/>
  <c r="AR313" i="123" s="1"/>
  <c r="AS313" i="123" s="1"/>
  <c r="AT313" i="123" s="1"/>
  <c r="AT306" i="123"/>
  <c r="AQ306" i="123"/>
  <c r="AR306" i="123" s="1"/>
  <c r="AS306" i="123" s="1"/>
  <c r="AT244" i="123"/>
  <c r="AQ244" i="123"/>
  <c r="AR244" i="123" s="1"/>
  <c r="AS244" i="123" s="1"/>
  <c r="AP183" i="123"/>
  <c r="AU183" i="123" s="1"/>
  <c r="AT377" i="123"/>
  <c r="AQ377" i="123"/>
  <c r="AR377" i="123" s="1"/>
  <c r="AS377" i="123" s="1"/>
  <c r="AT385" i="123"/>
  <c r="AQ385" i="123"/>
  <c r="AR385" i="123" s="1"/>
  <c r="AS385" i="123" s="1"/>
  <c r="AT42" i="123"/>
  <c r="AQ42" i="123"/>
  <c r="AR42" i="123" s="1"/>
  <c r="AS42" i="123" s="1"/>
  <c r="AQ379" i="123"/>
  <c r="AR379" i="123" s="1"/>
  <c r="AS379" i="123" s="1"/>
  <c r="AT379" i="123" s="1"/>
  <c r="AP114" i="123"/>
  <c r="AP75" i="123"/>
  <c r="AP70" i="123"/>
  <c r="AP69" i="123"/>
  <c r="AU69" i="123" s="1"/>
  <c r="AT274" i="123"/>
  <c r="AQ274" i="123"/>
  <c r="AR274" i="123" s="1"/>
  <c r="AS274" i="123" s="1"/>
  <c r="AU94" i="123"/>
  <c r="AT254" i="123"/>
  <c r="AQ254" i="123"/>
  <c r="AR254" i="123" s="1"/>
  <c r="AS254" i="123" s="1"/>
  <c r="AP210" i="123"/>
  <c r="AU210" i="123" s="1"/>
  <c r="AT338" i="123"/>
  <c r="AQ338" i="123"/>
  <c r="AR338" i="123" s="1"/>
  <c r="AS338" i="123" s="1"/>
  <c r="AQ120" i="123"/>
  <c r="AR120" i="123" s="1"/>
  <c r="AS120" i="123" s="1"/>
  <c r="AT120" i="123"/>
  <c r="AP198" i="123"/>
  <c r="AU198" i="123" s="1"/>
  <c r="AT330" i="123"/>
  <c r="AQ330" i="123"/>
  <c r="AR330" i="123" s="1"/>
  <c r="AS330" i="123" s="1"/>
  <c r="AT37" i="123"/>
  <c r="AQ37" i="123"/>
  <c r="AR37" i="123" s="1"/>
  <c r="AS37" i="123" s="1"/>
  <c r="AQ97" i="123"/>
  <c r="AR97" i="123" s="1"/>
  <c r="AS97" i="123" s="1"/>
  <c r="AT97" i="123" s="1"/>
  <c r="AT31" i="123"/>
  <c r="AQ31" i="123"/>
  <c r="AR31" i="123" s="1"/>
  <c r="AS31" i="123" s="1"/>
  <c r="AP121" i="123"/>
  <c r="AU121" i="123" s="1"/>
  <c r="AQ384" i="123"/>
  <c r="AR384" i="123" s="1"/>
  <c r="AS384" i="123" s="1"/>
  <c r="AT384" i="123" s="1"/>
  <c r="AT215" i="123"/>
  <c r="AQ215" i="123"/>
  <c r="AR215" i="123" s="1"/>
  <c r="AS215" i="123" s="1"/>
  <c r="AT14" i="123"/>
  <c r="AQ14" i="123"/>
  <c r="AR14" i="123" s="1"/>
  <c r="AS14" i="123" s="1"/>
  <c r="AQ339" i="123"/>
  <c r="AR339" i="123" s="1"/>
  <c r="AS339" i="123" s="1"/>
  <c r="AT339" i="123" s="1"/>
  <c r="AQ327" i="123"/>
  <c r="AR327" i="123" s="1"/>
  <c r="AS327" i="123" s="1"/>
  <c r="AT327" i="123" s="1"/>
  <c r="AT197" i="123"/>
  <c r="AQ197" i="123"/>
  <c r="AR197" i="123" s="1"/>
  <c r="AS197" i="123" s="1"/>
  <c r="AQ362" i="123"/>
  <c r="AR362" i="123" s="1"/>
  <c r="AS362" i="123" s="1"/>
  <c r="AT362" i="123" s="1"/>
  <c r="AT236" i="123"/>
  <c r="AQ236" i="123"/>
  <c r="AR236" i="123" s="1"/>
  <c r="AS236" i="123" s="1"/>
  <c r="AQ188" i="123"/>
  <c r="AR188" i="123" s="1"/>
  <c r="AS188" i="123" s="1"/>
  <c r="AT188" i="123" s="1"/>
  <c r="AT180" i="123"/>
  <c r="AQ180" i="123"/>
  <c r="AR180" i="123" s="1"/>
  <c r="AS180" i="123" s="1"/>
  <c r="AQ320" i="123"/>
  <c r="AR320" i="123" s="1"/>
  <c r="AS320" i="123" s="1"/>
  <c r="AT320" i="123" s="1"/>
  <c r="AQ316" i="123"/>
  <c r="AR316" i="123" s="1"/>
  <c r="AS316" i="123" s="1"/>
  <c r="AT316" i="123" s="1"/>
  <c r="AT103" i="123"/>
  <c r="AQ103" i="123"/>
  <c r="AR103" i="123" s="1"/>
  <c r="AS103" i="123" s="1"/>
  <c r="AT312" i="123"/>
  <c r="AQ312" i="123"/>
  <c r="AR312" i="123" s="1"/>
  <c r="AS312" i="123" s="1"/>
  <c r="AQ380" i="123"/>
  <c r="AR380" i="123" s="1"/>
  <c r="AS380" i="123" s="1"/>
  <c r="AT380" i="123" s="1"/>
  <c r="AP240" i="123"/>
  <c r="AU240" i="123" s="1"/>
  <c r="AP319" i="123"/>
  <c r="AT141" i="123"/>
  <c r="AQ141" i="123"/>
  <c r="AR141" i="123" s="1"/>
  <c r="AS141" i="123" s="1"/>
  <c r="AQ104" i="123"/>
  <c r="AR104" i="123" s="1"/>
  <c r="AS104" i="123" s="1"/>
  <c r="AT104" i="123" s="1"/>
  <c r="AQ32" i="123"/>
  <c r="AR32" i="123" s="1"/>
  <c r="AS32" i="123" s="1"/>
  <c r="AT32" i="123"/>
  <c r="AP295" i="123"/>
  <c r="AU295" i="123" s="1"/>
  <c r="AQ125" i="123"/>
  <c r="AR125" i="123" s="1"/>
  <c r="AS125" i="123" s="1"/>
  <c r="AT125" i="123"/>
  <c r="AT90" i="123"/>
  <c r="AQ90" i="123"/>
  <c r="AR90" i="123" s="1"/>
  <c r="AS90" i="123" s="1"/>
  <c r="AQ315" i="123"/>
  <c r="AR315" i="123" s="1"/>
  <c r="AS315" i="123" s="1"/>
  <c r="AT315" i="123" s="1"/>
  <c r="AT131" i="123"/>
  <c r="AQ131" i="123"/>
  <c r="AR131" i="123" s="1"/>
  <c r="AS131" i="123" s="1"/>
  <c r="AP234" i="123"/>
  <c r="AU234" i="123" s="1"/>
  <c r="AQ286" i="123"/>
  <c r="AR286" i="123" s="1"/>
  <c r="AS286" i="123" s="1"/>
  <c r="AT286" i="123" s="1"/>
  <c r="AP219" i="123"/>
  <c r="AU219" i="123" s="1"/>
  <c r="AP263" i="123"/>
  <c r="AU263" i="123" s="1"/>
  <c r="AU122" i="123"/>
  <c r="AQ394" i="123"/>
  <c r="AR394" i="123" s="1"/>
  <c r="AS394" i="123" s="1"/>
  <c r="AT394" i="123"/>
  <c r="AU97" i="123"/>
  <c r="AU31" i="123"/>
  <c r="AQ283" i="123"/>
  <c r="AR283" i="123" s="1"/>
  <c r="AS283" i="123" s="1"/>
  <c r="AT283" i="123" s="1"/>
  <c r="AT270" i="123"/>
  <c r="AQ270" i="123"/>
  <c r="AR270" i="123" s="1"/>
  <c r="AS270" i="123" s="1"/>
  <c r="AT322" i="123"/>
  <c r="AQ322" i="123"/>
  <c r="AR322" i="123" s="1"/>
  <c r="AS322" i="123" s="1"/>
  <c r="AU328" i="123"/>
  <c r="AT230" i="123"/>
  <c r="AQ230" i="123"/>
  <c r="AR230" i="123" s="1"/>
  <c r="AS230" i="123" s="1"/>
  <c r="AU126" i="123"/>
  <c r="AT173" i="123"/>
  <c r="AQ173" i="123"/>
  <c r="AR173" i="123" s="1"/>
  <c r="AS173" i="123" s="1"/>
  <c r="AP300" i="123"/>
  <c r="AU300" i="123" s="1"/>
  <c r="AQ378" i="123"/>
  <c r="AR378" i="123" s="1"/>
  <c r="AS378" i="123" s="1"/>
  <c r="AT378" i="123" s="1"/>
  <c r="AU362" i="123"/>
  <c r="AT258" i="123"/>
  <c r="AQ258" i="123"/>
  <c r="AR258" i="123" s="1"/>
  <c r="AS258" i="123" s="1"/>
  <c r="AP105" i="123"/>
  <c r="AU105" i="123" s="1"/>
  <c r="AU323" i="123"/>
  <c r="AU51" i="123"/>
  <c r="AT243" i="123"/>
  <c r="AQ243" i="123"/>
  <c r="AR243" i="123" s="1"/>
  <c r="AS243" i="123" s="1"/>
  <c r="AP23" i="123"/>
  <c r="AU23" i="123" s="1"/>
  <c r="AT280" i="123"/>
  <c r="AQ280" i="123"/>
  <c r="AR280" i="123" s="1"/>
  <c r="AS280" i="123" s="1"/>
  <c r="AU252" i="123"/>
  <c r="AU79" i="123"/>
  <c r="AQ101" i="123"/>
  <c r="AR101" i="123" s="1"/>
  <c r="AS101" i="123" s="1"/>
  <c r="AT101" i="123" s="1"/>
  <c r="AU179" i="123"/>
  <c r="AQ59" i="123"/>
  <c r="AR59" i="123" s="1"/>
  <c r="AS59" i="123" s="1"/>
  <c r="AT59" i="123" s="1"/>
  <c r="AQ116" i="123"/>
  <c r="AR116" i="123" s="1"/>
  <c r="AS116" i="123" s="1"/>
  <c r="AT116" i="123" s="1"/>
  <c r="AP265" i="123"/>
  <c r="AU265" i="123" s="1"/>
  <c r="AP8" i="123"/>
  <c r="AQ309" i="123"/>
  <c r="AR309" i="123" s="1"/>
  <c r="AS309" i="123" s="1"/>
  <c r="AT309" i="123"/>
  <c r="AT82" i="123"/>
  <c r="AQ82" i="123"/>
  <c r="AR82" i="123" s="1"/>
  <c r="AS82" i="123" s="1"/>
  <c r="AQ273" i="123"/>
  <c r="AR273" i="123" s="1"/>
  <c r="AS273" i="123" s="1"/>
  <c r="AT273" i="123" s="1"/>
  <c r="AP248" i="123"/>
  <c r="AU248" i="123" s="1"/>
  <c r="AT213" i="123"/>
  <c r="AQ213" i="123"/>
  <c r="AR213" i="123" s="1"/>
  <c r="AS213" i="123" s="1"/>
  <c r="AT119" i="123"/>
  <c r="AQ119" i="123"/>
  <c r="AR119" i="123" s="1"/>
  <c r="AS119" i="123" s="1"/>
  <c r="AT61" i="123"/>
  <c r="AQ61" i="123"/>
  <c r="AR61" i="123" s="1"/>
  <c r="AS61" i="123" s="1"/>
  <c r="AU32" i="123"/>
  <c r="AU125" i="123"/>
  <c r="AU90" i="123"/>
  <c r="AQ64" i="123"/>
  <c r="AR64" i="123" s="1"/>
  <c r="AS64" i="123" s="1"/>
  <c r="AT64" i="123" s="1"/>
  <c r="AT372" i="123"/>
  <c r="AQ372" i="123"/>
  <c r="AR372" i="123" s="1"/>
  <c r="AS372" i="123" s="1"/>
  <c r="AQ374" i="123"/>
  <c r="AR374" i="123" s="1"/>
  <c r="AS374" i="123" s="1"/>
  <c r="AT374" i="123" s="1"/>
  <c r="AP200" i="123"/>
  <c r="AU200" i="123" s="1"/>
  <c r="AT88" i="123"/>
  <c r="AQ88" i="123"/>
  <c r="AR88" i="123" s="1"/>
  <c r="AS88" i="123" s="1"/>
  <c r="AP165" i="123"/>
  <c r="AU165" i="123" s="1"/>
  <c r="AP95" i="123"/>
  <c r="AU95" i="123" s="1"/>
  <c r="AQ9" i="123"/>
  <c r="AR9" i="123" s="1"/>
  <c r="AS9" i="123" s="1"/>
  <c r="AT9" i="123" s="1"/>
  <c r="AQ58" i="123"/>
  <c r="AR58" i="123" s="1"/>
  <c r="AS58" i="123" s="1"/>
  <c r="AT58" i="123"/>
  <c r="AT52" i="123"/>
  <c r="AQ52" i="123"/>
  <c r="AR52" i="123" s="1"/>
  <c r="AS52" i="123" s="1"/>
  <c r="AT47" i="123"/>
  <c r="AQ47" i="123"/>
  <c r="AR47" i="123" s="1"/>
  <c r="AS47" i="123" s="1"/>
  <c r="AT290" i="123"/>
  <c r="AQ290" i="123"/>
  <c r="AR290" i="123" s="1"/>
  <c r="AS290" i="123" s="1"/>
  <c r="AQ266" i="123"/>
  <c r="AR266" i="123" s="1"/>
  <c r="AS266" i="123" s="1"/>
  <c r="AT266" i="123" s="1"/>
  <c r="G314" i="135"/>
  <c r="H327" i="135"/>
  <c r="G330" i="135"/>
  <c r="C1638" i="127"/>
  <c r="C1637" i="127"/>
  <c r="C1631" i="127"/>
  <c r="C1633" i="127"/>
  <c r="C1639" i="127"/>
  <c r="C1635" i="127"/>
  <c r="C1628" i="127"/>
  <c r="C1630" i="127"/>
  <c r="C1643" i="127"/>
  <c r="C1627" i="127"/>
  <c r="C1642" i="127"/>
  <c r="C1632" i="127"/>
  <c r="C1640" i="127"/>
  <c r="C1641" i="127"/>
  <c r="C1634" i="127"/>
  <c r="C823" i="127"/>
  <c r="C824" i="127"/>
  <c r="C825" i="127"/>
  <c r="C826" i="127"/>
  <c r="C1655" i="127"/>
  <c r="C1656" i="127"/>
  <c r="C1648" i="127"/>
  <c r="C1649" i="127"/>
  <c r="C1650" i="127"/>
  <c r="C1645" i="127"/>
  <c r="C1659" i="127"/>
  <c r="C1647" i="127"/>
  <c r="C1651" i="127"/>
  <c r="C1652" i="127"/>
  <c r="C1644" i="127"/>
  <c r="C1657" i="127"/>
  <c r="C1658" i="127"/>
  <c r="C1660" i="127"/>
  <c r="C1636" i="127"/>
  <c r="C1629" i="127"/>
  <c r="AU153" i="123" l="1"/>
  <c r="AU275" i="123"/>
  <c r="AT304" i="123"/>
  <c r="AQ304" i="123"/>
  <c r="AR304" i="123" s="1"/>
  <c r="AS304" i="123" s="1"/>
  <c r="AQ194" i="123"/>
  <c r="AR194" i="123" s="1"/>
  <c r="AS194" i="123" s="1"/>
  <c r="AT194" i="123"/>
  <c r="AT317" i="123"/>
  <c r="AQ317" i="123"/>
  <c r="AR317" i="123" s="1"/>
  <c r="AS317" i="123" s="1"/>
  <c r="AT95" i="123"/>
  <c r="AQ95" i="123"/>
  <c r="AR95" i="123" s="1"/>
  <c r="AS95" i="123" s="1"/>
  <c r="AT263" i="123"/>
  <c r="AQ263" i="123"/>
  <c r="AR263" i="123" s="1"/>
  <c r="AS263" i="123" s="1"/>
  <c r="AT319" i="123"/>
  <c r="AQ319" i="123"/>
  <c r="AR319" i="123" s="1"/>
  <c r="AS319" i="123" s="1"/>
  <c r="AT75" i="123"/>
  <c r="AQ75" i="123"/>
  <c r="AR75" i="123" s="1"/>
  <c r="AS75" i="123" s="1"/>
  <c r="AQ190" i="123"/>
  <c r="AR190" i="123" s="1"/>
  <c r="AS190" i="123" s="1"/>
  <c r="AT190" i="123"/>
  <c r="AQ360" i="123"/>
  <c r="AR360" i="123" s="1"/>
  <c r="AS360" i="123" s="1"/>
  <c r="AT360" i="123" s="1"/>
  <c r="AQ265" i="123"/>
  <c r="AR265" i="123" s="1"/>
  <c r="AS265" i="123" s="1"/>
  <c r="AT265" i="123" s="1"/>
  <c r="AQ105" i="123"/>
  <c r="AR105" i="123" s="1"/>
  <c r="AS105" i="123" s="1"/>
  <c r="AT105" i="123"/>
  <c r="AT300" i="123"/>
  <c r="AQ300" i="123"/>
  <c r="AR300" i="123" s="1"/>
  <c r="AS300" i="123" s="1"/>
  <c r="AT69" i="123"/>
  <c r="AQ69" i="123"/>
  <c r="AR69" i="123" s="1"/>
  <c r="AS69" i="123" s="1"/>
  <c r="AU75" i="123"/>
  <c r="AT183" i="123"/>
  <c r="AQ183" i="123"/>
  <c r="AR183" i="123" s="1"/>
  <c r="AS183" i="123" s="1"/>
  <c r="AU190" i="123"/>
  <c r="AQ171" i="123"/>
  <c r="AR171" i="123" s="1"/>
  <c r="AS171" i="123" s="1"/>
  <c r="AT171" i="123"/>
  <c r="AQ83" i="123"/>
  <c r="AR83" i="123" s="1"/>
  <c r="AS83" i="123" s="1"/>
  <c r="AT83" i="123"/>
  <c r="AQ35" i="123"/>
  <c r="AR35" i="123" s="1"/>
  <c r="AS35" i="123" s="1"/>
  <c r="AT35" i="123" s="1"/>
  <c r="AQ134" i="123"/>
  <c r="AR134" i="123" s="1"/>
  <c r="AS134" i="123" s="1"/>
  <c r="AT134" i="123" s="1"/>
  <c r="AQ74" i="123"/>
  <c r="AR74" i="123" s="1"/>
  <c r="AS74" i="123" s="1"/>
  <c r="AT74" i="123" s="1"/>
  <c r="AQ288" i="123"/>
  <c r="AR288" i="123" s="1"/>
  <c r="AS288" i="123" s="1"/>
  <c r="AT288" i="123" s="1"/>
  <c r="AQ67" i="123"/>
  <c r="AR67" i="123" s="1"/>
  <c r="AS67" i="123" s="1"/>
  <c r="AT67" i="123" s="1"/>
  <c r="AQ165" i="123"/>
  <c r="AR165" i="123" s="1"/>
  <c r="AS165" i="123" s="1"/>
  <c r="AT165" i="123" s="1"/>
  <c r="AQ200" i="123"/>
  <c r="AR200" i="123" s="1"/>
  <c r="AS200" i="123" s="1"/>
  <c r="AT200" i="123" s="1"/>
  <c r="AT219" i="123"/>
  <c r="AQ219" i="123"/>
  <c r="AR219" i="123" s="1"/>
  <c r="AS219" i="123" s="1"/>
  <c r="AQ234" i="123"/>
  <c r="AR234" i="123" s="1"/>
  <c r="AS234" i="123" s="1"/>
  <c r="AT234" i="123" s="1"/>
  <c r="AT240" i="123"/>
  <c r="AQ240" i="123"/>
  <c r="AR240" i="123" s="1"/>
  <c r="AS240" i="123" s="1"/>
  <c r="AQ121" i="123"/>
  <c r="AR121" i="123" s="1"/>
  <c r="AS121" i="123" s="1"/>
  <c r="AT121" i="123" s="1"/>
  <c r="AQ210" i="123"/>
  <c r="AR210" i="123" s="1"/>
  <c r="AS210" i="123" s="1"/>
  <c r="AT210" i="123" s="1"/>
  <c r="AQ70" i="123"/>
  <c r="AR70" i="123" s="1"/>
  <c r="AS70" i="123" s="1"/>
  <c r="AT70" i="123" s="1"/>
  <c r="AT114" i="123"/>
  <c r="AQ114" i="123"/>
  <c r="AR114" i="123" s="1"/>
  <c r="AS114" i="123" s="1"/>
  <c r="AT355" i="123"/>
  <c r="AQ355" i="123"/>
  <c r="AR355" i="123" s="1"/>
  <c r="AS355" i="123" s="1"/>
  <c r="AT118" i="123"/>
  <c r="AQ118" i="123"/>
  <c r="AR118" i="123" s="1"/>
  <c r="AS118" i="123" s="1"/>
  <c r="AT138" i="123"/>
  <c r="AQ138" i="123"/>
  <c r="AR138" i="123" s="1"/>
  <c r="AS138" i="123" s="1"/>
  <c r="AQ8" i="123"/>
  <c r="AR8" i="123" s="1"/>
  <c r="AS8" i="123" s="1"/>
  <c r="AT8" i="123" s="1"/>
  <c r="AT248" i="123"/>
  <c r="AQ248" i="123"/>
  <c r="AR248" i="123" s="1"/>
  <c r="AS248" i="123" s="1"/>
  <c r="AU8" i="123"/>
  <c r="AQ23" i="123"/>
  <c r="AR23" i="123" s="1"/>
  <c r="AS23" i="123" s="1"/>
  <c r="AT23" i="123"/>
  <c r="AT295" i="123"/>
  <c r="AQ295" i="123"/>
  <c r="AR295" i="123" s="1"/>
  <c r="AS295" i="123" s="1"/>
  <c r="AU319" i="123"/>
  <c r="AQ198" i="123"/>
  <c r="AR198" i="123" s="1"/>
  <c r="AS198" i="123" s="1"/>
  <c r="AT198" i="123" s="1"/>
  <c r="AU70" i="123"/>
  <c r="AU114" i="123"/>
  <c r="AQ238" i="123"/>
  <c r="AR238" i="123" s="1"/>
  <c r="AS238" i="123" s="1"/>
  <c r="AT238" i="123" s="1"/>
  <c r="AU360" i="123"/>
  <c r="AU118" i="123"/>
  <c r="AQ136" i="123"/>
  <c r="AR136" i="123" s="1"/>
  <c r="AS136" i="123" s="1"/>
  <c r="AT136" i="123" s="1"/>
  <c r="AT174" i="123"/>
  <c r="AQ174" i="123"/>
  <c r="AR174" i="123" s="1"/>
  <c r="AS174" i="123" s="1"/>
  <c r="AT205" i="123"/>
  <c r="AQ205" i="123"/>
  <c r="AR205" i="123" s="1"/>
  <c r="AS205" i="123" s="1"/>
  <c r="AU138" i="123"/>
  <c r="M327" i="135"/>
  <c r="J327" i="135"/>
  <c r="N327" i="135"/>
  <c r="K327" i="135"/>
  <c r="O327" i="135"/>
  <c r="L327" i="135"/>
  <c r="H314" i="135"/>
  <c r="H330" i="135"/>
  <c r="C1612" i="127"/>
  <c r="C1618" i="127"/>
  <c r="C1620" i="127"/>
  <c r="C1606" i="127"/>
  <c r="C1607" i="127"/>
  <c r="C1622" i="127"/>
  <c r="K314" i="135" l="1"/>
  <c r="O314" i="135"/>
  <c r="L314" i="135"/>
  <c r="M314" i="135"/>
  <c r="J314" i="135"/>
  <c r="N314" i="135"/>
  <c r="I327" i="135"/>
  <c r="L330" i="135"/>
  <c r="O330" i="135"/>
  <c r="M330" i="135"/>
  <c r="K330" i="135"/>
  <c r="J330" i="135"/>
  <c r="N330" i="135"/>
  <c r="I314" i="135" l="1"/>
  <c r="I330" i="135"/>
  <c r="D280" i="89"/>
  <c r="D281" i="89"/>
  <c r="D282" i="89"/>
  <c r="D283" i="89"/>
  <c r="D284" i="89"/>
  <c r="D285" i="89"/>
  <c r="D286" i="89"/>
  <c r="D287" i="89"/>
  <c r="D288" i="89"/>
  <c r="D289" i="89"/>
  <c r="D290" i="89"/>
  <c r="D291" i="89"/>
  <c r="D292" i="89"/>
  <c r="D293" i="89"/>
  <c r="D294" i="89"/>
  <c r="D295" i="89"/>
  <c r="D296" i="89"/>
  <c r="D297" i="89"/>
  <c r="D298" i="89"/>
  <c r="D299" i="89"/>
  <c r="D300" i="89"/>
  <c r="C1446" i="127" l="1"/>
  <c r="C1445" i="127"/>
  <c r="C1457" i="127"/>
  <c r="C1443" i="127"/>
  <c r="C1444" i="127"/>
  <c r="C1447" i="127"/>
  <c r="C1449" i="127"/>
  <c r="C1450" i="127"/>
  <c r="C1465" i="127"/>
  <c r="C1459" i="127"/>
  <c r="C1448" i="127"/>
  <c r="C1460" i="127"/>
  <c r="C1461" i="127"/>
  <c r="C1455" i="127"/>
  <c r="C1456" i="127"/>
  <c r="C1462" i="127"/>
  <c r="C1463" i="127"/>
  <c r="C1453" i="127"/>
  <c r="C1454" i="127"/>
  <c r="C1442" i="127"/>
  <c r="C1512" i="127"/>
  <c r="C1513" i="127"/>
  <c r="C1488" i="127"/>
  <c r="C1511" i="127"/>
  <c r="C1510" i="127"/>
  <c r="C1505" i="127"/>
  <c r="C1476" i="127"/>
  <c r="C1477" i="127"/>
  <c r="C1498" i="127"/>
  <c r="C1496" i="127"/>
  <c r="C1489" i="127"/>
  <c r="C1490" i="127"/>
  <c r="C1491" i="127"/>
  <c r="C1486" i="127"/>
  <c r="C1497" i="127"/>
  <c r="C1484" i="127"/>
  <c r="C1478" i="127"/>
  <c r="C1501" i="127"/>
  <c r="C1494" i="127"/>
  <c r="C1479" i="127"/>
  <c r="C1480" i="127"/>
  <c r="C1472" i="127"/>
  <c r="C1473" i="127"/>
  <c r="C1487" i="127"/>
  <c r="C1504" i="127"/>
  <c r="C1468" i="127"/>
  <c r="C1499" i="127"/>
  <c r="C1503" i="127"/>
  <c r="C1469" i="127"/>
  <c r="C1506" i="127"/>
  <c r="C1514" i="127"/>
  <c r="C1470" i="127"/>
  <c r="C1474" i="127"/>
  <c r="C1515" i="127"/>
  <c r="C1500" i="127"/>
  <c r="C1502" i="127"/>
  <c r="C1481" i="127"/>
  <c r="C1492" i="127"/>
  <c r="C1482" i="127"/>
  <c r="C1483" i="127"/>
  <c r="C1495" i="127"/>
  <c r="C1471" i="127"/>
  <c r="C1485" i="127"/>
  <c r="C1493" i="127"/>
  <c r="C1475" i="127"/>
  <c r="C1507" i="127"/>
  <c r="C1508" i="127"/>
  <c r="C1509" i="127"/>
  <c r="C1527" i="127"/>
  <c r="C1528" i="127"/>
  <c r="C1531" i="127"/>
  <c r="C1532" i="127"/>
  <c r="C1519" i="127"/>
  <c r="C1520" i="127"/>
  <c r="C1521" i="127"/>
  <c r="C1522" i="127"/>
  <c r="C1533" i="127"/>
  <c r="C1537" i="127"/>
  <c r="C1517" i="127"/>
  <c r="C1518" i="127"/>
  <c r="C1523" i="127"/>
  <c r="C1529" i="127"/>
  <c r="C1530" i="127"/>
  <c r="C1526" i="127"/>
  <c r="C1524" i="127"/>
  <c r="C1525" i="127"/>
  <c r="C1535" i="127"/>
  <c r="C1536" i="127"/>
  <c r="C1516" i="127"/>
  <c r="C1534" i="127"/>
  <c r="C1542" i="127"/>
  <c r="C1543" i="127"/>
  <c r="C1545" i="127"/>
  <c r="C1550" i="127"/>
  <c r="C1548" i="127"/>
  <c r="C1546" i="127"/>
  <c r="C1549" i="127"/>
  <c r="C1544" i="127"/>
  <c r="C1540" i="127"/>
  <c r="C1547" i="127"/>
  <c r="C1538" i="127"/>
  <c r="C1541" i="127"/>
  <c r="C1539" i="127"/>
  <c r="C1551" i="127"/>
  <c r="C1552" i="127"/>
  <c r="C1558" i="127"/>
  <c r="C1554" i="127"/>
  <c r="C1555" i="127"/>
  <c r="C1560" i="127"/>
  <c r="C1553" i="127"/>
  <c r="C1559" i="127"/>
  <c r="C1561" i="127"/>
  <c r="C1563" i="127"/>
  <c r="C1564" i="127"/>
  <c r="C1562" i="127"/>
  <c r="C1556" i="127"/>
  <c r="C1557" i="127"/>
  <c r="C1573" i="127"/>
  <c r="C1570" i="127"/>
  <c r="C1565" i="127"/>
  <c r="C1569" i="127"/>
  <c r="C1568" i="127"/>
  <c r="C1567" i="127"/>
  <c r="C1566" i="127"/>
  <c r="C1572" i="127"/>
  <c r="C1571" i="127"/>
  <c r="C1580" i="127"/>
  <c r="C1581" i="127"/>
  <c r="C1586" i="127"/>
  <c r="C1587" i="127"/>
  <c r="C1576" i="127"/>
  <c r="C1577" i="127"/>
  <c r="C1578" i="127"/>
  <c r="C1579" i="127"/>
  <c r="C1585" i="127"/>
  <c r="C1574" i="127"/>
  <c r="C1588" i="127"/>
  <c r="C1589" i="127"/>
  <c r="C1582" i="127"/>
  <c r="C1583" i="127"/>
  <c r="C1592" i="127"/>
  <c r="C1575" i="127"/>
  <c r="C1584" i="127"/>
  <c r="C1590" i="127"/>
  <c r="C1591" i="127"/>
  <c r="C1593" i="127"/>
  <c r="C1600" i="127"/>
  <c r="C1601" i="127"/>
  <c r="C1602" i="127"/>
  <c r="C1598" i="127"/>
  <c r="C1595" i="127"/>
  <c r="C1594" i="127"/>
  <c r="C1597" i="127"/>
  <c r="C1599" i="127"/>
  <c r="C1603" i="127"/>
  <c r="C1596" i="127"/>
  <c r="C1613" i="127"/>
  <c r="C1617" i="127"/>
  <c r="C1608" i="127"/>
  <c r="C1616" i="127"/>
  <c r="C1604" i="127"/>
  <c r="C1609" i="127"/>
  <c r="C1610" i="127"/>
  <c r="C1625" i="127"/>
  <c r="C1626" i="127"/>
  <c r="C1621" i="127"/>
  <c r="C1623" i="127"/>
  <c r="C1624" i="127"/>
  <c r="C1611" i="127"/>
  <c r="C1619" i="127"/>
  <c r="C1615" i="127"/>
  <c r="C1605" i="127"/>
  <c r="C1614" i="127"/>
  <c r="Q1456" i="127"/>
  <c r="Q1462" i="127"/>
  <c r="Q1463" i="127"/>
  <c r="Q1453" i="127"/>
  <c r="Q1454" i="127"/>
  <c r="Q1442" i="127"/>
  <c r="Q1512" i="127"/>
  <c r="Q1513" i="127"/>
  <c r="Q1488" i="127"/>
  <c r="Q1511" i="127"/>
  <c r="Q1510" i="127"/>
  <c r="Q1505" i="127"/>
  <c r="Q1476" i="127"/>
  <c r="Q1477" i="127"/>
  <c r="Q1498" i="127"/>
  <c r="Q1496" i="127"/>
  <c r="Q1489" i="127"/>
  <c r="Q1490" i="127"/>
  <c r="Q1491" i="127"/>
  <c r="Q1486" i="127"/>
  <c r="Q1497" i="127"/>
  <c r="Q1484" i="127"/>
  <c r="Q1478" i="127"/>
  <c r="Q1501" i="127"/>
  <c r="Q1494" i="127"/>
  <c r="Q1479" i="127"/>
  <c r="Q1480" i="127"/>
  <c r="Q1472" i="127"/>
  <c r="Q1473" i="127"/>
  <c r="Q1487" i="127"/>
  <c r="Q1504" i="127"/>
  <c r="Q1468" i="127"/>
  <c r="Q1499" i="127"/>
  <c r="Q1503" i="127"/>
  <c r="Q1469" i="127"/>
  <c r="Q1506" i="127"/>
  <c r="Q1514" i="127"/>
  <c r="Q1470" i="127"/>
  <c r="Q1474" i="127"/>
  <c r="Q1515" i="127"/>
  <c r="Q1500" i="127"/>
  <c r="Q1502" i="127"/>
  <c r="Q1481" i="127"/>
  <c r="Q1492" i="127"/>
  <c r="Q1482" i="127"/>
  <c r="Q1483" i="127"/>
  <c r="Q1495" i="127"/>
  <c r="Q1471" i="127"/>
  <c r="Q1485" i="127"/>
  <c r="Q1493" i="127"/>
  <c r="Q1475" i="127"/>
  <c r="Q1507" i="127"/>
  <c r="Q1508" i="127"/>
  <c r="Q1509" i="127"/>
  <c r="Q1527" i="127"/>
  <c r="Q1528" i="127"/>
  <c r="Q1531" i="127"/>
  <c r="Q1532" i="127"/>
  <c r="Q1519" i="127"/>
  <c r="Q1520" i="127"/>
  <c r="Q1521" i="127"/>
  <c r="Q1522" i="127"/>
  <c r="Q1533" i="127"/>
  <c r="Q1537" i="127"/>
  <c r="Q1517" i="127"/>
  <c r="Q1518" i="127"/>
  <c r="Q1523" i="127"/>
  <c r="Q1529" i="127"/>
  <c r="Q1530" i="127"/>
  <c r="Q1526" i="127"/>
  <c r="Q1524" i="127"/>
  <c r="Q1525" i="127"/>
  <c r="Q1535" i="127"/>
  <c r="Q1536" i="127"/>
  <c r="Q1516" i="127"/>
  <c r="Q1534" i="127"/>
  <c r="Q1542" i="127"/>
  <c r="Q1543" i="127"/>
  <c r="Q1545" i="127"/>
  <c r="Q1550" i="127"/>
  <c r="Q1548" i="127"/>
  <c r="Q1546" i="127"/>
  <c r="Q1549" i="127"/>
  <c r="Q1544" i="127"/>
  <c r="Q1540" i="127"/>
  <c r="Q1547" i="127"/>
  <c r="Q1538" i="127"/>
  <c r="Q1541" i="127"/>
  <c r="Q1539" i="127"/>
  <c r="Q1551" i="127"/>
  <c r="Q1552" i="127"/>
  <c r="Q1558" i="127"/>
  <c r="Q1554" i="127"/>
  <c r="Q1555" i="127"/>
  <c r="Q1560" i="127"/>
  <c r="Q1553" i="127"/>
  <c r="Q1559" i="127"/>
  <c r="Q1561" i="127"/>
  <c r="Q1563" i="127"/>
  <c r="Q1564" i="127"/>
  <c r="Q1562" i="127"/>
  <c r="Q1556" i="127"/>
  <c r="Q1557" i="127"/>
  <c r="Q1573" i="127"/>
  <c r="Q1570" i="127"/>
  <c r="Q1565" i="127"/>
  <c r="Q1569" i="127"/>
  <c r="Q1568" i="127"/>
  <c r="Q1567" i="127"/>
  <c r="Q1566" i="127"/>
  <c r="Q1572" i="127"/>
  <c r="Q1571" i="127"/>
  <c r="Q1580" i="127"/>
  <c r="Q1581" i="127"/>
  <c r="Q1586" i="127"/>
  <c r="Q1587" i="127"/>
  <c r="Q1576" i="127"/>
  <c r="Q1577" i="127"/>
  <c r="Q1578" i="127"/>
  <c r="Q1579" i="127"/>
  <c r="Q1585" i="127"/>
  <c r="Q1574" i="127"/>
  <c r="Q1588" i="127"/>
  <c r="Q1589" i="127"/>
  <c r="Q1582" i="127"/>
  <c r="Q1583" i="127"/>
  <c r="Q1592" i="127"/>
  <c r="Q1575" i="127"/>
  <c r="Q1584" i="127"/>
  <c r="Q1590" i="127"/>
  <c r="Q1591" i="127"/>
  <c r="Q1593" i="127"/>
  <c r="Q1600" i="127"/>
  <c r="Q1601" i="127"/>
  <c r="Q1602" i="127"/>
  <c r="Q1598" i="127"/>
  <c r="Q1595" i="127"/>
  <c r="Q1594" i="127"/>
  <c r="Q1597" i="127"/>
  <c r="Q1599" i="127"/>
  <c r="Q1603" i="127"/>
  <c r="Q1596" i="127"/>
  <c r="Q1613" i="127"/>
  <c r="Q1617" i="127"/>
  <c r="Q1608" i="127"/>
  <c r="Q1616" i="127"/>
  <c r="Q1604" i="127"/>
  <c r="Q1609" i="127"/>
  <c r="Q1610" i="127"/>
  <c r="Q1625" i="127"/>
  <c r="Q1626" i="127"/>
  <c r="Q1621" i="127"/>
  <c r="Q1623" i="127"/>
  <c r="Q1624" i="127"/>
  <c r="Q1611" i="127"/>
  <c r="Q1619" i="127"/>
  <c r="Q1615" i="127"/>
  <c r="Q1605" i="127"/>
  <c r="Q1614" i="127"/>
  <c r="Q1620" i="127"/>
  <c r="Q1606" i="127"/>
  <c r="Q1607" i="127"/>
  <c r="Q1622" i="127"/>
  <c r="Q1612" i="127"/>
  <c r="Q1618" i="127"/>
  <c r="Q1636" i="127"/>
  <c r="Q1629" i="127"/>
  <c r="Q1638" i="127"/>
  <c r="Q1637" i="127"/>
  <c r="Q1631" i="127"/>
  <c r="Q1633" i="127"/>
  <c r="Q1639" i="127"/>
  <c r="Q1635" i="127"/>
  <c r="Q1628" i="127"/>
  <c r="Q1630" i="127"/>
  <c r="Q1643" i="127"/>
  <c r="Q1627" i="127"/>
  <c r="Q1642" i="127"/>
  <c r="Q1632" i="127"/>
  <c r="Q1640" i="127"/>
  <c r="Q1641" i="127"/>
  <c r="Q1634" i="127"/>
  <c r="Q823" i="127"/>
  <c r="Q824" i="127"/>
  <c r="Q825" i="127"/>
  <c r="Q826" i="127"/>
  <c r="Q1655" i="127"/>
  <c r="Q1656" i="127"/>
  <c r="Q1648" i="127"/>
  <c r="Q1649" i="127"/>
  <c r="Q1650" i="127"/>
  <c r="Q1645" i="127"/>
  <c r="Q1659" i="127"/>
  <c r="Q1647" i="127"/>
  <c r="Q1651" i="127"/>
  <c r="Q1652" i="127"/>
  <c r="Q1644" i="127"/>
  <c r="Q1657" i="127"/>
  <c r="Q1658" i="127"/>
  <c r="Q1660" i="127"/>
  <c r="Q1654" i="127"/>
  <c r="Q1653" i="127"/>
  <c r="Q1646" i="127"/>
  <c r="Q1661" i="127"/>
  <c r="Q1667" i="127"/>
  <c r="Q1663" i="127"/>
  <c r="Q1664" i="127"/>
  <c r="Q1666" i="127"/>
  <c r="Q1662" i="127"/>
  <c r="Q1665" i="127"/>
  <c r="Q1684" i="127"/>
  <c r="Q1685" i="127"/>
  <c r="Q1669" i="127"/>
  <c r="Q1670" i="127"/>
  <c r="Q1673" i="127"/>
  <c r="Q1674" i="127"/>
  <c r="Q1675" i="127"/>
  <c r="Q1676" i="127"/>
  <c r="Q1677" i="127"/>
  <c r="Q1678" i="127"/>
  <c r="Q1696" i="127"/>
  <c r="Q1693" i="127"/>
  <c r="Q1668" i="127"/>
  <c r="Q1680" i="127"/>
  <c r="Q1688" i="127"/>
  <c r="Q1692" i="127"/>
  <c r="Q1700" i="127"/>
  <c r="Q1698" i="127"/>
  <c r="Q1686" i="127"/>
  <c r="Q1687" i="127"/>
  <c r="Q1701" i="127"/>
  <c r="Q1697" i="127"/>
  <c r="Q1691" i="127"/>
  <c r="Q1699" i="127"/>
  <c r="Q1690" i="127"/>
  <c r="Q1689" i="127"/>
  <c r="Q1694" i="127"/>
  <c r="Q1681" i="127"/>
  <c r="Q1682" i="127"/>
  <c r="Q1695" i="127"/>
  <c r="Q1683" i="127"/>
  <c r="Q1702" i="127"/>
  <c r="Q1703" i="127"/>
  <c r="Q1726" i="127"/>
  <c r="Q1709" i="127"/>
  <c r="Q1707" i="127"/>
  <c r="Q1710" i="127"/>
  <c r="Q1711" i="127"/>
  <c r="Q1718" i="127"/>
  <c r="Q1714" i="127"/>
  <c r="Q1715" i="127"/>
  <c r="Q1716" i="127"/>
  <c r="Q1717" i="127"/>
  <c r="Q1712" i="127"/>
  <c r="Q1708" i="127"/>
  <c r="Q1704" i="127"/>
  <c r="Q1725" i="127"/>
  <c r="Q1719" i="127"/>
  <c r="Q1724" i="127"/>
  <c r="Q1705" i="127"/>
  <c r="Q1727" i="127"/>
  <c r="Q1706" i="127"/>
  <c r="Q1720" i="127"/>
  <c r="Q1721" i="127"/>
  <c r="Q1722" i="127"/>
  <c r="Q1713" i="127"/>
  <c r="Q1723" i="127"/>
  <c r="Q1729" i="127"/>
  <c r="Q1730" i="127"/>
  <c r="Q1744" i="127"/>
  <c r="Q1745" i="127"/>
  <c r="Q1740" i="127"/>
  <c r="Q1741" i="127"/>
  <c r="Q1731" i="127"/>
  <c r="Q1732" i="127"/>
  <c r="Q1733" i="127"/>
  <c r="Q1737" i="127"/>
  <c r="Q1736" i="127"/>
  <c r="Q1749" i="127"/>
  <c r="Q1750" i="127"/>
  <c r="Q1734" i="127"/>
  <c r="Q1738" i="127"/>
  <c r="Q1748" i="127"/>
  <c r="Q1739" i="127"/>
  <c r="Q1735" i="127"/>
  <c r="Q1742" i="127"/>
  <c r="Q1743" i="127"/>
  <c r="Q1746" i="127"/>
  <c r="Q1747" i="127"/>
  <c r="Q1728" i="127"/>
  <c r="Q1766" i="127"/>
  <c r="Q1781" i="127"/>
  <c r="Q1782" i="127"/>
  <c r="Q1783" i="127"/>
  <c r="Q1777" i="127"/>
  <c r="Q1769" i="127"/>
  <c r="Q1770" i="127"/>
  <c r="Q1759" i="127"/>
  <c r="Q1780" i="127"/>
  <c r="Q1761" i="127"/>
  <c r="Q1762" i="127"/>
  <c r="Q1763" i="127"/>
  <c r="Q1764" i="127"/>
  <c r="Q1765" i="127"/>
  <c r="Q1776" i="127"/>
  <c r="Q1751" i="127"/>
  <c r="Q1752" i="127"/>
  <c r="Q1753" i="127"/>
  <c r="Q1779" i="127"/>
  <c r="Q1756" i="127"/>
  <c r="Q1774" i="127"/>
  <c r="Q1771" i="127"/>
  <c r="Q1773" i="127"/>
  <c r="Q1772" i="127"/>
  <c r="Q1778" i="127"/>
  <c r="Q1760" i="127"/>
  <c r="Q1784" i="127"/>
  <c r="Q1768" i="127"/>
  <c r="Q1755" i="127"/>
  <c r="Q1767" i="127"/>
  <c r="Q1757" i="127"/>
  <c r="Q1758" i="127"/>
  <c r="Q1775" i="127"/>
  <c r="Q1785" i="127"/>
  <c r="Q1786" i="127"/>
  <c r="Q1793" i="127"/>
  <c r="Q1787" i="127"/>
  <c r="Q1795" i="127"/>
  <c r="Q1788" i="127"/>
  <c r="Q1789" i="127"/>
  <c r="Q1790" i="127"/>
  <c r="Q1791" i="127"/>
  <c r="Q1794" i="127"/>
  <c r="Q1796" i="127"/>
  <c r="Q1797" i="127"/>
  <c r="Q1799" i="127"/>
  <c r="Q1798" i="127"/>
  <c r="Q1800" i="127"/>
  <c r="Q1807" i="127"/>
  <c r="Q1808" i="127"/>
  <c r="Q1801" i="127"/>
  <c r="Q1802" i="127"/>
  <c r="Q1803" i="127"/>
  <c r="Q1809" i="127"/>
  <c r="Q1810" i="127"/>
  <c r="Q1804" i="127"/>
  <c r="Q1805" i="127"/>
  <c r="Q1811" i="127"/>
  <c r="Q1812" i="127"/>
  <c r="Q1813" i="127"/>
  <c r="Q1814" i="127"/>
  <c r="Q1806" i="127"/>
  <c r="Q1815" i="127"/>
  <c r="Q1822" i="127"/>
  <c r="Q1829" i="127"/>
  <c r="Q1830" i="127"/>
  <c r="Q1831" i="127"/>
  <c r="Q1832" i="127"/>
  <c r="Q1833" i="127"/>
  <c r="Q1834" i="127"/>
  <c r="Q1821" i="127"/>
  <c r="Q1836" i="127"/>
  <c r="Q1820" i="127"/>
  <c r="Q1823" i="127"/>
  <c r="Q1824" i="127"/>
  <c r="Q1825" i="127"/>
  <c r="Q1827" i="127"/>
  <c r="Q1828" i="127"/>
  <c r="Q1837" i="127"/>
  <c r="Q1819" i="127"/>
  <c r="Q1826" i="127"/>
  <c r="Q1835" i="127"/>
  <c r="Q1816" i="127"/>
  <c r="Q1818" i="127"/>
  <c r="Q1838" i="127"/>
  <c r="Q1839" i="127"/>
  <c r="Q1842" i="127"/>
  <c r="Q1843" i="127"/>
  <c r="Q1851" i="127"/>
  <c r="Q1852" i="127"/>
  <c r="Q1841" i="127"/>
  <c r="Q1856" i="127"/>
  <c r="Q1857" i="127"/>
  <c r="Q1844" i="127"/>
  <c r="Q1845" i="127"/>
  <c r="Q1849" i="127"/>
  <c r="Q1855" i="127"/>
  <c r="Q1853" i="127"/>
  <c r="Q1847" i="127"/>
  <c r="Q1846" i="127"/>
  <c r="Q1854" i="127"/>
  <c r="Q1840" i="127"/>
  <c r="Q1848" i="127"/>
  <c r="Q1850" i="127"/>
  <c r="Q1861" i="127"/>
  <c r="Q1860" i="127"/>
  <c r="Q1863" i="127"/>
  <c r="Q1866" i="127"/>
  <c r="Q1865" i="127"/>
  <c r="Q1858" i="127"/>
  <c r="Q1862" i="127"/>
  <c r="Q1859" i="127"/>
  <c r="Q1864" i="127"/>
  <c r="Q1868" i="127"/>
  <c r="Q1867" i="127"/>
  <c r="Q1884" i="127"/>
  <c r="Q1885" i="127"/>
  <c r="Q1878" i="127"/>
  <c r="Q1882" i="127"/>
  <c r="Q1876" i="127"/>
  <c r="Q1877" i="127"/>
  <c r="Q1880" i="127"/>
  <c r="Q1881" i="127"/>
  <c r="Q1890" i="127"/>
  <c r="Q1879" i="127"/>
  <c r="Q1892" i="127"/>
  <c r="Q1872" i="127"/>
  <c r="Q1873" i="127"/>
  <c r="Q1891" i="127"/>
  <c r="Q1871" i="127"/>
  <c r="Q1875" i="127"/>
  <c r="Q1889" i="127"/>
  <c r="Q1874" i="127"/>
  <c r="Q1886" i="127"/>
  <c r="Q1888" i="127"/>
  <c r="Q1887" i="127"/>
  <c r="Q1883" i="127"/>
  <c r="Q1869" i="127"/>
  <c r="Q1870" i="127"/>
  <c r="Q1893" i="127"/>
  <c r="Q1894" i="127"/>
  <c r="Q1895" i="127"/>
  <c r="Q1899" i="127"/>
  <c r="Q1900" i="127"/>
  <c r="Q1897" i="127"/>
  <c r="Q1898" i="127"/>
  <c r="Q1896" i="127"/>
  <c r="Q1903" i="127"/>
  <c r="Q1926" i="127"/>
  <c r="Q1918" i="127"/>
  <c r="Q1931" i="127"/>
  <c r="Q1932" i="127"/>
  <c r="Q1912" i="127"/>
  <c r="Q1921" i="127"/>
  <c r="Q1922" i="127"/>
  <c r="Q1923" i="127"/>
  <c r="Q1924" i="127"/>
  <c r="Q1901" i="127"/>
  <c r="Q1913" i="127"/>
  <c r="Q1914" i="127"/>
  <c r="Q1915" i="127"/>
  <c r="Q1905" i="127"/>
  <c r="Q1907" i="127"/>
  <c r="Q1917" i="127"/>
  <c r="Q1929" i="127"/>
  <c r="Q1930" i="127"/>
  <c r="Q1902" i="127"/>
  <c r="Q1908" i="127"/>
  <c r="Q1927" i="127"/>
  <c r="Q1928" i="127"/>
  <c r="Q1911" i="127"/>
  <c r="Q1925" i="127"/>
  <c r="Q1916" i="127"/>
  <c r="Q1934" i="127"/>
  <c r="Q1935" i="127"/>
  <c r="Q1909" i="127"/>
  <c r="Q1910" i="127"/>
  <c r="Q1906" i="127"/>
  <c r="Q1904" i="127"/>
  <c r="Q1919" i="127"/>
  <c r="Q1920" i="127"/>
  <c r="Q1933" i="127"/>
  <c r="Q1936" i="127"/>
  <c r="Q1952" i="127"/>
  <c r="Q1953" i="127"/>
  <c r="Q1948" i="127"/>
  <c r="Q1940" i="127"/>
  <c r="Q1942" i="127"/>
  <c r="Q1951" i="127"/>
  <c r="Q1947" i="127"/>
  <c r="Q1949" i="127"/>
  <c r="Q1944" i="127"/>
  <c r="Q1941" i="127"/>
  <c r="Q1946" i="127"/>
  <c r="Q1945" i="127"/>
  <c r="Q1943" i="127"/>
  <c r="Q1937" i="127"/>
  <c r="Q1950" i="127"/>
  <c r="Q1938" i="127"/>
  <c r="Q1939" i="127"/>
  <c r="Q954" i="127"/>
  <c r="Q1963" i="127"/>
  <c r="Q1792" i="127"/>
  <c r="Q1964" i="127"/>
  <c r="Q1959" i="127"/>
  <c r="Q1960" i="127"/>
  <c r="Q1961" i="127"/>
  <c r="Q1954" i="127"/>
  <c r="Q1955" i="127"/>
  <c r="Q1967" i="127"/>
  <c r="Q1968" i="127"/>
  <c r="Q1972" i="127"/>
  <c r="Q1973" i="127"/>
  <c r="Q1978" i="127"/>
  <c r="Q1958" i="127"/>
  <c r="Q1977" i="127"/>
  <c r="Q1956" i="127"/>
  <c r="Q1974" i="127"/>
  <c r="Q1975" i="127"/>
  <c r="Q1976" i="127"/>
  <c r="Q1969" i="127"/>
  <c r="Q1970" i="127"/>
  <c r="Q1957" i="127"/>
  <c r="Q1982" i="127"/>
  <c r="Q1980" i="127"/>
  <c r="Q1971" i="127"/>
  <c r="Q1965" i="127"/>
  <c r="Q1966" i="127"/>
  <c r="Q1983" i="127"/>
  <c r="Q1984" i="127"/>
  <c r="Q1962" i="127"/>
  <c r="Q1981" i="127"/>
  <c r="Q1979" i="127"/>
  <c r="Q2000" i="127"/>
  <c r="Q1994" i="127"/>
  <c r="Q1992" i="127"/>
  <c r="Q1985" i="127"/>
  <c r="Q1989" i="127"/>
  <c r="Q2002" i="127"/>
  <c r="Q2001" i="127"/>
  <c r="Q1986" i="127"/>
  <c r="Q1987" i="127"/>
  <c r="Q1988" i="127"/>
  <c r="Q1993" i="127"/>
  <c r="Q2003" i="127"/>
  <c r="Q2004" i="127"/>
  <c r="Q1996" i="127"/>
  <c r="Q1995" i="127"/>
  <c r="Q1999" i="127"/>
  <c r="Q1997" i="127"/>
  <c r="Q1990" i="127"/>
  <c r="Q1998" i="127"/>
  <c r="Q2005" i="127"/>
  <c r="Q1991" i="127"/>
  <c r="Q2009" i="127"/>
  <c r="Q2010" i="127"/>
  <c r="Q2011" i="127"/>
  <c r="Q2031" i="127"/>
  <c r="Q2032" i="127"/>
  <c r="Q621" i="127"/>
  <c r="Q2033" i="127"/>
  <c r="Q2034" i="127"/>
  <c r="Q2035" i="127"/>
  <c r="Q1208" i="127"/>
  <c r="Q1122" i="127"/>
  <c r="Q2037" i="127"/>
  <c r="Q2029" i="127"/>
  <c r="Q2024" i="127"/>
  <c r="Q2039" i="127"/>
  <c r="Q2025" i="127"/>
  <c r="Q2026" i="127"/>
  <c r="Q2027" i="127"/>
  <c r="Q2030" i="127"/>
  <c r="Q2038" i="127"/>
  <c r="Q2028" i="127"/>
  <c r="Q2054" i="127"/>
  <c r="Q2055" i="127"/>
  <c r="Q2048" i="127"/>
  <c r="Q2049" i="127"/>
  <c r="Q2060" i="127"/>
  <c r="Q2061" i="127"/>
  <c r="Q2063" i="127"/>
  <c r="Q2064" i="127"/>
  <c r="Q2065" i="127"/>
  <c r="Q2062" i="127"/>
  <c r="Q2066" i="127"/>
  <c r="Q2067" i="127"/>
  <c r="Q2043" i="127"/>
  <c r="Q2044" i="127"/>
  <c r="Q2046" i="127"/>
  <c r="Q2053" i="127"/>
  <c r="Q2058" i="127"/>
  <c r="Q2052" i="127"/>
  <c r="Q2059" i="127"/>
  <c r="Q2050" i="127"/>
  <c r="Q2051" i="127"/>
  <c r="Q2042" i="127"/>
  <c r="Q2056" i="127"/>
  <c r="Q2057" i="127"/>
  <c r="Q2047" i="127"/>
  <c r="Q2040" i="127"/>
  <c r="Q2045" i="127"/>
  <c r="Q2041" i="127"/>
  <c r="Q2076" i="127"/>
  <c r="Q2077" i="127"/>
  <c r="Q2072" i="127"/>
  <c r="Q2073" i="127"/>
  <c r="Q2074" i="127"/>
  <c r="Q2075" i="127"/>
  <c r="Q2068" i="127"/>
  <c r="Q2070" i="127"/>
  <c r="Q2071" i="127"/>
  <c r="Q2069" i="127"/>
  <c r="Q2087" i="127"/>
  <c r="C1434" i="127" l="1"/>
  <c r="C1441" i="127"/>
  <c r="C1451" i="127"/>
  <c r="C1452" i="127"/>
  <c r="C1458" i="127"/>
  <c r="C1466" i="127"/>
  <c r="C1464" i="127"/>
  <c r="C1385" i="127" l="1"/>
  <c r="C1383" i="127"/>
  <c r="C1386" i="127"/>
  <c r="C1382" i="127"/>
  <c r="C1387" i="127"/>
  <c r="C1384" i="127"/>
  <c r="C1398" i="127"/>
  <c r="C1392" i="127"/>
  <c r="C1396" i="127"/>
  <c r="C1397" i="127"/>
  <c r="C1391" i="127"/>
  <c r="C1395" i="127"/>
  <c r="C1388" i="127"/>
  <c r="C1390" i="127"/>
  <c r="C1394" i="127"/>
  <c r="C1389" i="127"/>
  <c r="C1393" i="127"/>
  <c r="C1399" i="127"/>
  <c r="C1400" i="127"/>
  <c r="C1412" i="127"/>
  <c r="C1405" i="127"/>
  <c r="C1413" i="127"/>
  <c r="C1414" i="127"/>
  <c r="C1415" i="127"/>
  <c r="C1409" i="127"/>
  <c r="C1406" i="127"/>
  <c r="C1417" i="127"/>
  <c r="C1407" i="127"/>
  <c r="C1421" i="127"/>
  <c r="C1418" i="127"/>
  <c r="C1411" i="127"/>
  <c r="C1402" i="127"/>
  <c r="C1408" i="127"/>
  <c r="C1401" i="127"/>
  <c r="C1419" i="127"/>
  <c r="C1420" i="127"/>
  <c r="C1410" i="127"/>
  <c r="C1416" i="127"/>
  <c r="C1403" i="127"/>
  <c r="C1404" i="127"/>
  <c r="C1422" i="127"/>
  <c r="C1423" i="127"/>
  <c r="C1424" i="127"/>
  <c r="C1426" i="127"/>
  <c r="C1428" i="127"/>
  <c r="C1430" i="127"/>
  <c r="C1425" i="127"/>
  <c r="C1429" i="127"/>
  <c r="C1427" i="127"/>
  <c r="C1431" i="127"/>
  <c r="C1432" i="127"/>
  <c r="C1439" i="127"/>
  <c r="C1436" i="127"/>
  <c r="C1438" i="127"/>
  <c r="C1437" i="127"/>
  <c r="C1433" i="127"/>
  <c r="C1440" i="127"/>
  <c r="C1435" i="127"/>
  <c r="Q1382" i="127"/>
  <c r="Q1387" i="127"/>
  <c r="Q1384" i="127"/>
  <c r="Q1398" i="127"/>
  <c r="Q1392" i="127"/>
  <c r="Q1396" i="127"/>
  <c r="Q1397" i="127"/>
  <c r="Q1391" i="127"/>
  <c r="Q1395" i="127"/>
  <c r="Q1388" i="127"/>
  <c r="Q1390" i="127"/>
  <c r="Q1394" i="127"/>
  <c r="Q1389" i="127"/>
  <c r="Q1393" i="127"/>
  <c r="Q1399" i="127"/>
  <c r="Q1400" i="127"/>
  <c r="Q1412" i="127"/>
  <c r="Q1405" i="127"/>
  <c r="Q1413" i="127"/>
  <c r="Q1414" i="127"/>
  <c r="Q1415" i="127"/>
  <c r="Q1409" i="127"/>
  <c r="Q1406" i="127"/>
  <c r="Q1417" i="127"/>
  <c r="Q1407" i="127"/>
  <c r="Q1421" i="127"/>
  <c r="Q1418" i="127"/>
  <c r="Q1411" i="127"/>
  <c r="Q1402" i="127"/>
  <c r="Q1408" i="127"/>
  <c r="Q1401" i="127"/>
  <c r="Q1419" i="127"/>
  <c r="Q1420" i="127"/>
  <c r="Q1410" i="127"/>
  <c r="Q1416" i="127"/>
  <c r="Q1403" i="127"/>
  <c r="Q1404" i="127"/>
  <c r="Q1422" i="127"/>
  <c r="Q1423" i="127"/>
  <c r="Q1424" i="127"/>
  <c r="Q1426" i="127"/>
  <c r="Q1428" i="127"/>
  <c r="Q1430" i="127"/>
  <c r="Q1425" i="127"/>
  <c r="Q1429" i="127"/>
  <c r="Q1427" i="127"/>
  <c r="Q1431" i="127"/>
  <c r="Q1432" i="127"/>
  <c r="Q1439" i="127"/>
  <c r="Q1436" i="127"/>
  <c r="Q1438" i="127"/>
  <c r="Q1437" i="127"/>
  <c r="Q1433" i="127"/>
  <c r="Q1440" i="127"/>
  <c r="Q1435" i="127"/>
  <c r="Q1434" i="127"/>
  <c r="Q1441" i="127"/>
  <c r="Q1451" i="127"/>
  <c r="Q1452" i="127"/>
  <c r="Q1458" i="127"/>
  <c r="Q1466" i="127"/>
  <c r="Q1464" i="127"/>
  <c r="Q1446" i="127"/>
  <c r="Q1445" i="127"/>
  <c r="Q1457" i="127"/>
  <c r="Q1443" i="127"/>
  <c r="Q1444" i="127"/>
  <c r="Q1447" i="127"/>
  <c r="Q1449" i="127"/>
  <c r="Q1450" i="127"/>
  <c r="Q1465" i="127"/>
  <c r="Q1459" i="127"/>
  <c r="Q1448" i="127"/>
  <c r="Q1460" i="127"/>
  <c r="Q1461" i="127"/>
  <c r="Q1455" i="127"/>
  <c r="C1365" i="127" l="1"/>
  <c r="C1373" i="127"/>
  <c r="C1374" i="127"/>
  <c r="C1376" i="127"/>
  <c r="C1375" i="127"/>
  <c r="C1378" i="127"/>
  <c r="C1381" i="127"/>
  <c r="C1377" i="127"/>
  <c r="C1379" i="127"/>
  <c r="C1380" i="127"/>
  <c r="C1369" i="127"/>
  <c r="C1364" i="127"/>
  <c r="C1370" i="127"/>
  <c r="C1356" i="127"/>
  <c r="C1358" i="127"/>
  <c r="C1366" i="127"/>
  <c r="C1362" i="127"/>
  <c r="C1367" i="127"/>
  <c r="C1359" i="127"/>
  <c r="C1372" i="127"/>
  <c r="C1360" i="127"/>
  <c r="C1368" i="127"/>
  <c r="C1357" i="127"/>
  <c r="C1371" i="127"/>
  <c r="C1355" i="127"/>
  <c r="C1343" i="127"/>
  <c r="C1349" i="127"/>
  <c r="C1345" i="127"/>
  <c r="C1348" i="127"/>
  <c r="C1344" i="127"/>
  <c r="C1352" i="127"/>
  <c r="C1346" i="127"/>
  <c r="C1351" i="127"/>
  <c r="C1347" i="127"/>
  <c r="C1361" i="127"/>
  <c r="C1363" i="127"/>
  <c r="C1354" i="127"/>
  <c r="C1341" i="127" l="1"/>
  <c r="C1350" i="127"/>
  <c r="C1353" i="127"/>
  <c r="C1342" i="127"/>
  <c r="C1324" i="127"/>
  <c r="C1323" i="127"/>
  <c r="C1331" i="127"/>
  <c r="C1332" i="127"/>
  <c r="C1328" i="127"/>
  <c r="C1327" i="127"/>
  <c r="C1329" i="127"/>
  <c r="C1340" i="127"/>
  <c r="C1339" i="127"/>
  <c r="C1319" i="127" l="1"/>
  <c r="C1312" i="127"/>
  <c r="C1314" i="127"/>
  <c r="C1316" i="127"/>
  <c r="C1318" i="127"/>
  <c r="C1322" i="127"/>
  <c r="C1320" i="127"/>
  <c r="C1333" i="127"/>
  <c r="C1337" i="127"/>
  <c r="C1338" i="127"/>
  <c r="C1326" i="127"/>
  <c r="C1325" i="127"/>
  <c r="C1336" i="127"/>
  <c r="C1334" i="127"/>
  <c r="C1330" i="127"/>
  <c r="C1335" i="127"/>
  <c r="Q1316" i="127"/>
  <c r="Q1318" i="127"/>
  <c r="Q1322" i="127"/>
  <c r="Q1320" i="127"/>
  <c r="Q1333" i="127"/>
  <c r="Q1337" i="127"/>
  <c r="Q1338" i="127"/>
  <c r="Q1326" i="127"/>
  <c r="Q1325" i="127"/>
  <c r="Q1336" i="127"/>
  <c r="Q1334" i="127"/>
  <c r="Q1330" i="127"/>
  <c r="Q1335" i="127"/>
  <c r="Q1324" i="127"/>
  <c r="Q1323" i="127"/>
  <c r="Q1331" i="127"/>
  <c r="Q1332" i="127"/>
  <c r="Q1328" i="127"/>
  <c r="Q1327" i="127"/>
  <c r="Q1329" i="127"/>
  <c r="Q1340" i="127"/>
  <c r="Q1339" i="127"/>
  <c r="Q1341" i="127"/>
  <c r="Q1350" i="127"/>
  <c r="Q1353" i="127"/>
  <c r="Q1342" i="127"/>
  <c r="Q1343" i="127"/>
  <c r="Q1349" i="127"/>
  <c r="Q1345" i="127"/>
  <c r="Q1348" i="127"/>
  <c r="Q1344" i="127"/>
  <c r="Q1352" i="127"/>
  <c r="Q1346" i="127"/>
  <c r="Q1351" i="127"/>
  <c r="Q1347" i="127"/>
  <c r="Q1361" i="127"/>
  <c r="Q1363" i="127"/>
  <c r="Q1354" i="127"/>
  <c r="Q1369" i="127"/>
  <c r="Q1364" i="127"/>
  <c r="Q1370" i="127"/>
  <c r="Q1356" i="127"/>
  <c r="Q1358" i="127"/>
  <c r="Q1366" i="127"/>
  <c r="Q1362" i="127"/>
  <c r="Q1367" i="127"/>
  <c r="Q1359" i="127"/>
  <c r="Q1372" i="127"/>
  <c r="Q1360" i="127"/>
  <c r="Q1368" i="127"/>
  <c r="Q1357" i="127"/>
  <c r="Q1371" i="127"/>
  <c r="Q1355" i="127"/>
  <c r="Q1365" i="127"/>
  <c r="Q1373" i="127"/>
  <c r="Q1374" i="127"/>
  <c r="Q1376" i="127"/>
  <c r="Q1375" i="127"/>
  <c r="Q1378" i="127"/>
  <c r="Q1381" i="127"/>
  <c r="Q1377" i="127"/>
  <c r="Q1379" i="127"/>
  <c r="Q1380" i="127"/>
  <c r="Q1385" i="127"/>
  <c r="Q1383" i="127"/>
  <c r="Q1386" i="127"/>
  <c r="C1294" i="127" l="1"/>
  <c r="C1306" i="127"/>
  <c r="C1304" i="127"/>
  <c r="C1302" i="127"/>
  <c r="C1300" i="127"/>
  <c r="C1301" i="127"/>
  <c r="C1297" i="127"/>
  <c r="C1298" i="127"/>
  <c r="C1295" i="127"/>
  <c r="C1305" i="127"/>
  <c r="C1307" i="127"/>
  <c r="C1303" i="127"/>
  <c r="C1308" i="127"/>
  <c r="C1299" i="127"/>
  <c r="C1309" i="127"/>
  <c r="C1311" i="127"/>
  <c r="C1310" i="127"/>
  <c r="C1321" i="127"/>
  <c r="C1317" i="127"/>
  <c r="C1313" i="127"/>
  <c r="C1315" i="127"/>
  <c r="C1283" i="127" l="1"/>
  <c r="C1290" i="127"/>
  <c r="C1272" i="127"/>
  <c r="C1281" i="127"/>
  <c r="C1291" i="127"/>
  <c r="C1292" i="127"/>
  <c r="C1288" i="127"/>
  <c r="C1293" i="127"/>
  <c r="C1287" i="127"/>
  <c r="C1296" i="127"/>
  <c r="C1279" i="127"/>
  <c r="C1285" i="127"/>
  <c r="C1273" i="127"/>
  <c r="C1284" i="127"/>
  <c r="C1276" i="127"/>
  <c r="C1277" i="127"/>
  <c r="C1280" i="127"/>
  <c r="C1270" i="127"/>
  <c r="C1271" i="127"/>
  <c r="C1269" i="127"/>
  <c r="C1282" i="127"/>
  <c r="C1278" i="127"/>
  <c r="C1274" i="127"/>
  <c r="C1286" i="127"/>
  <c r="C1289" i="127"/>
  <c r="C1252" i="127" l="1"/>
  <c r="C1244" i="127"/>
  <c r="C1275" i="127"/>
  <c r="C1249" i="127"/>
  <c r="C1267" i="127"/>
  <c r="C1268" i="127"/>
  <c r="C1265" i="127"/>
  <c r="C1266" i="127"/>
  <c r="C1251" i="127"/>
  <c r="C1264" i="127"/>
  <c r="C1263" i="127"/>
  <c r="C1255" i="127"/>
  <c r="J250" i="89" l="1"/>
  <c r="K250" i="89" s="1"/>
  <c r="D250" i="89"/>
  <c r="D251" i="89"/>
  <c r="D252" i="89"/>
  <c r="C1257" i="127" l="1"/>
  <c r="C1259" i="127"/>
  <c r="C1246" i="127"/>
  <c r="C1258" i="127"/>
  <c r="C1248" i="127"/>
  <c r="C1254" i="127"/>
  <c r="C1260" i="127"/>
  <c r="C1250" i="127"/>
  <c r="C1241" i="127"/>
  <c r="C1256" i="127"/>
  <c r="C1247" i="127"/>
  <c r="C1243" i="127"/>
  <c r="C1262" i="127"/>
  <c r="C1253" i="127"/>
  <c r="C1238" i="127"/>
  <c r="C1231" i="127"/>
  <c r="C1232" i="127"/>
  <c r="C1233" i="127"/>
  <c r="C1235" i="127"/>
  <c r="C1236" i="127"/>
  <c r="C1237" i="127"/>
  <c r="C1240" i="127"/>
  <c r="C1239" i="127"/>
  <c r="C1245" i="127"/>
  <c r="C1261" i="127"/>
  <c r="Q1218" i="127" l="1"/>
  <c r="C1229" i="127"/>
  <c r="C1228" i="127"/>
  <c r="C1226" i="127"/>
  <c r="C1218" i="127"/>
  <c r="C1219" i="127"/>
  <c r="C1213" i="127"/>
  <c r="C1214" i="127"/>
  <c r="C1212" i="127"/>
  <c r="C1217" i="127"/>
  <c r="C1221" i="127"/>
  <c r="C1223" i="127"/>
  <c r="C1215" i="127"/>
  <c r="C1211" i="127"/>
  <c r="C1225" i="127"/>
  <c r="C1224" i="127"/>
  <c r="C1220" i="127"/>
  <c r="C1216" i="127"/>
  <c r="C1222" i="127"/>
  <c r="C1234" i="127"/>
  <c r="C1210" i="127" l="1"/>
  <c r="C1203" i="127"/>
  <c r="C1207" i="127"/>
  <c r="C1201" i="127"/>
  <c r="C1205" i="127"/>
  <c r="C1199" i="127"/>
  <c r="C1206" i="127"/>
  <c r="C1204" i="127"/>
  <c r="C1196" i="127"/>
  <c r="C1198" i="127"/>
  <c r="C1197" i="127"/>
  <c r="C1202" i="127"/>
  <c r="C1195" i="127"/>
  <c r="C1194" i="127"/>
  <c r="C1193" i="127"/>
  <c r="C1209" i="127"/>
  <c r="C1200" i="127"/>
  <c r="C1227" i="127"/>
  <c r="C1230" i="127"/>
  <c r="C1191" i="127" l="1"/>
  <c r="C1190" i="127"/>
  <c r="C1189" i="127"/>
  <c r="C1187" i="127"/>
  <c r="C1185" i="127"/>
  <c r="C1188" i="127"/>
  <c r="C1184" i="127"/>
  <c r="C1186" i="127"/>
  <c r="C1183" i="127"/>
  <c r="C1192" i="127"/>
  <c r="C1179" i="127"/>
  <c r="C1182" i="127"/>
  <c r="C1181" i="127"/>
  <c r="C1180" i="127"/>
  <c r="C1178" i="127" l="1"/>
  <c r="C1156" i="127"/>
  <c r="C1164" i="127"/>
  <c r="C1165" i="127"/>
  <c r="C1171" i="127"/>
  <c r="C1154" i="127"/>
  <c r="C1172" i="127"/>
  <c r="C1153" i="127"/>
  <c r="C1152" i="127"/>
  <c r="C1168" i="127"/>
  <c r="C1169" i="127"/>
  <c r="C1174" i="127"/>
  <c r="C1176" i="127"/>
  <c r="C1173" i="127"/>
  <c r="C1160" i="127"/>
  <c r="C1161" i="127"/>
  <c r="C1159" i="127"/>
  <c r="C1175" i="127"/>
  <c r="C1162" i="127"/>
  <c r="C1166" i="127"/>
  <c r="C1157" i="127"/>
  <c r="C1155" i="127"/>
  <c r="C1163" i="127"/>
  <c r="C1158" i="127"/>
  <c r="C1170" i="127"/>
  <c r="C1139" i="127"/>
  <c r="C1136" i="127"/>
  <c r="C1140" i="127"/>
  <c r="C1141" i="127"/>
  <c r="C1147" i="127"/>
  <c r="C1143" i="127"/>
  <c r="C1144" i="127"/>
  <c r="C1145" i="127"/>
  <c r="C1177" i="127"/>
  <c r="C1167" i="127"/>
  <c r="C1150" i="127"/>
  <c r="C1149" i="127"/>
  <c r="C1142" i="127"/>
  <c r="C1148" i="127"/>
  <c r="C1146" i="127"/>
  <c r="C1137" i="127"/>
  <c r="C1134" i="127"/>
  <c r="C1135" i="127"/>
  <c r="C1133" i="127"/>
  <c r="C1128" i="127"/>
  <c r="C1129" i="127"/>
  <c r="C1125" i="127"/>
  <c r="C1130" i="127"/>
  <c r="C1126" i="127"/>
  <c r="C1131" i="127"/>
  <c r="C1138" i="127"/>
  <c r="C1151" i="127"/>
  <c r="C1119" i="127"/>
  <c r="C1112" i="127"/>
  <c r="C1114" i="127"/>
  <c r="C1116" i="127"/>
  <c r="C1113" i="127"/>
  <c r="C1132" i="127"/>
  <c r="C1127" i="127"/>
  <c r="C1124" i="127"/>
  <c r="C1120" i="127"/>
  <c r="C1111" i="127"/>
  <c r="C1110" i="127"/>
  <c r="C1117" i="127"/>
  <c r="C1115" i="127"/>
  <c r="C1118" i="127"/>
  <c r="C1103" i="127"/>
  <c r="C1107" i="127"/>
  <c r="C1100" i="127"/>
  <c r="C1102" i="127"/>
  <c r="C1098" i="127"/>
  <c r="C1099" i="127"/>
  <c r="C1104" i="127"/>
  <c r="C1105" i="127"/>
  <c r="C1097" i="127"/>
  <c r="C1109" i="127"/>
  <c r="C1108" i="127"/>
  <c r="C1121" i="127"/>
  <c r="C1123" i="127"/>
  <c r="C1101" i="127"/>
  <c r="C1106" i="127"/>
  <c r="C1087" i="127"/>
  <c r="C1086" i="127"/>
  <c r="C1092" i="127"/>
  <c r="C1094" i="127"/>
  <c r="C1079" i="127"/>
  <c r="C1078" i="127"/>
  <c r="C1081" i="127"/>
  <c r="C1093" i="127"/>
  <c r="A6" i="135" l="1"/>
  <c r="A7" i="135"/>
  <c r="A8" i="135"/>
  <c r="A9" i="135"/>
  <c r="A10" i="135"/>
  <c r="A11" i="135"/>
  <c r="A12" i="135"/>
  <c r="A13" i="135"/>
  <c r="A14" i="135"/>
  <c r="A15" i="135"/>
  <c r="A16" i="135"/>
  <c r="A17" i="135"/>
  <c r="A18" i="135"/>
  <c r="A19" i="135"/>
  <c r="A20" i="135"/>
  <c r="A21" i="135"/>
  <c r="A22" i="135"/>
  <c r="A23" i="135"/>
  <c r="A24" i="135"/>
  <c r="A25" i="135"/>
  <c r="A26" i="135"/>
  <c r="A27" i="135"/>
  <c r="A28" i="135"/>
  <c r="A29" i="135"/>
  <c r="A30" i="135"/>
  <c r="A31" i="135"/>
  <c r="A32" i="135"/>
  <c r="A33" i="135"/>
  <c r="A34" i="135"/>
  <c r="A35" i="135"/>
  <c r="A36" i="135"/>
  <c r="A37" i="135"/>
  <c r="A38" i="135"/>
  <c r="A39" i="135"/>
  <c r="A40" i="135"/>
  <c r="A41" i="135"/>
  <c r="A42" i="135"/>
  <c r="A43" i="135"/>
  <c r="A44" i="135"/>
  <c r="A45" i="135"/>
  <c r="A46" i="135"/>
  <c r="A47" i="135"/>
  <c r="A48" i="135"/>
  <c r="A49" i="135"/>
  <c r="A50" i="135"/>
  <c r="A51" i="135"/>
  <c r="A52" i="135"/>
  <c r="A53" i="135"/>
  <c r="A54" i="135"/>
  <c r="A55" i="135"/>
  <c r="A56" i="135"/>
  <c r="A57" i="135"/>
  <c r="A58" i="135"/>
  <c r="A59" i="135"/>
  <c r="A60" i="135"/>
  <c r="A61" i="135"/>
  <c r="A62" i="135"/>
  <c r="A63" i="135"/>
  <c r="A64" i="135"/>
  <c r="A65" i="135"/>
  <c r="A66" i="135"/>
  <c r="A67" i="135"/>
  <c r="A68" i="135"/>
  <c r="A69" i="135"/>
  <c r="A70" i="135"/>
  <c r="A71" i="135"/>
  <c r="A72" i="135"/>
  <c r="A73" i="135"/>
  <c r="A74" i="135"/>
  <c r="A75" i="135"/>
  <c r="A76" i="135"/>
  <c r="A77" i="135"/>
  <c r="A78" i="135"/>
  <c r="A79" i="135"/>
  <c r="A80" i="135"/>
  <c r="A81" i="135"/>
  <c r="A82" i="135"/>
  <c r="A83" i="135"/>
  <c r="A84" i="135"/>
  <c r="A85" i="135"/>
  <c r="A86" i="135"/>
  <c r="A87" i="135"/>
  <c r="A88" i="135"/>
  <c r="A89" i="135"/>
  <c r="A90" i="135"/>
  <c r="A91" i="135"/>
  <c r="A92" i="135"/>
  <c r="A93" i="135"/>
  <c r="A94" i="135"/>
  <c r="A95" i="135"/>
  <c r="A96" i="135"/>
  <c r="A97" i="135"/>
  <c r="A98" i="135"/>
  <c r="A99" i="135"/>
  <c r="A100" i="135"/>
  <c r="A101" i="135"/>
  <c r="A102" i="135"/>
  <c r="A103" i="135"/>
  <c r="A104" i="135"/>
  <c r="A105" i="135"/>
  <c r="A106" i="135"/>
  <c r="A107" i="135"/>
  <c r="A108" i="135"/>
  <c r="A109" i="135"/>
  <c r="A110" i="135"/>
  <c r="A111" i="135"/>
  <c r="A112" i="135"/>
  <c r="A113" i="135"/>
  <c r="A114" i="135"/>
  <c r="A115" i="135"/>
  <c r="A116" i="135"/>
  <c r="A117" i="135"/>
  <c r="A118" i="135"/>
  <c r="A119" i="135"/>
  <c r="A120" i="135"/>
  <c r="A121" i="135"/>
  <c r="A122" i="135"/>
  <c r="A123" i="135"/>
  <c r="A124" i="135"/>
  <c r="A125" i="135"/>
  <c r="A126" i="135"/>
  <c r="A127" i="135"/>
  <c r="A128" i="135"/>
  <c r="A129" i="135"/>
  <c r="A130" i="135"/>
  <c r="A131" i="135"/>
  <c r="A132" i="135"/>
  <c r="A133" i="135"/>
  <c r="A134" i="135"/>
  <c r="A135" i="135"/>
  <c r="A136" i="135"/>
  <c r="A137" i="135"/>
  <c r="A138" i="135"/>
  <c r="A139" i="135"/>
  <c r="A140" i="135"/>
  <c r="A141" i="135"/>
  <c r="A142" i="135"/>
  <c r="A143" i="135"/>
  <c r="A144" i="135"/>
  <c r="A145" i="135"/>
  <c r="A146" i="135"/>
  <c r="A147" i="135"/>
  <c r="A148" i="135"/>
  <c r="A149" i="135"/>
  <c r="A150" i="135"/>
  <c r="A151" i="135"/>
  <c r="A152" i="135"/>
  <c r="A153" i="135"/>
  <c r="A154" i="135"/>
  <c r="A155" i="135"/>
  <c r="A156" i="135"/>
  <c r="A157" i="135"/>
  <c r="A158" i="135"/>
  <c r="A159" i="135"/>
  <c r="A160" i="135"/>
  <c r="A161" i="135"/>
  <c r="A162" i="135"/>
  <c r="A163" i="135"/>
  <c r="A164" i="135"/>
  <c r="A165" i="135"/>
  <c r="A166" i="135"/>
  <c r="A167" i="135"/>
  <c r="A168" i="135"/>
  <c r="A169" i="135"/>
  <c r="A170" i="135"/>
  <c r="A171" i="135"/>
  <c r="A172" i="135"/>
  <c r="A173" i="135"/>
  <c r="A174" i="135"/>
  <c r="A175" i="135"/>
  <c r="A176" i="135"/>
  <c r="A177" i="135"/>
  <c r="A178" i="135"/>
  <c r="A179" i="135"/>
  <c r="A180" i="135"/>
  <c r="A181" i="135"/>
  <c r="A182" i="135"/>
  <c r="A183" i="135"/>
  <c r="A184" i="135"/>
  <c r="A185" i="135"/>
  <c r="A186" i="135"/>
  <c r="A187" i="135"/>
  <c r="A188" i="135"/>
  <c r="A189" i="135"/>
  <c r="A190" i="135"/>
  <c r="A191" i="135"/>
  <c r="A192" i="135"/>
  <c r="A193" i="135"/>
  <c r="A194" i="135"/>
  <c r="A195" i="135"/>
  <c r="A196" i="135"/>
  <c r="A197" i="135"/>
  <c r="A198" i="135"/>
  <c r="A199" i="135"/>
  <c r="A200" i="135"/>
  <c r="A201" i="135"/>
  <c r="A202" i="135"/>
  <c r="A203" i="135"/>
  <c r="A204" i="135"/>
  <c r="A205" i="135"/>
  <c r="A206" i="135"/>
  <c r="A207" i="135"/>
  <c r="A208" i="135"/>
  <c r="A209" i="135"/>
  <c r="A210" i="135"/>
  <c r="A211" i="135"/>
  <c r="A212" i="135"/>
  <c r="A213" i="135"/>
  <c r="A214" i="135"/>
  <c r="A215" i="135"/>
  <c r="A216" i="135"/>
  <c r="A217" i="135"/>
  <c r="A218" i="135"/>
  <c r="A219" i="135"/>
  <c r="A220" i="135"/>
  <c r="A221" i="135"/>
  <c r="A222" i="135"/>
  <c r="A223" i="135"/>
  <c r="A224" i="135"/>
  <c r="A225" i="135"/>
  <c r="A226" i="135"/>
  <c r="A227" i="135"/>
  <c r="A228" i="135"/>
  <c r="A229" i="135"/>
  <c r="A230" i="135"/>
  <c r="A231" i="135"/>
  <c r="A5" i="135"/>
  <c r="H157" i="119"/>
  <c r="H9" i="119"/>
  <c r="I9" i="119"/>
  <c r="J9" i="119"/>
  <c r="H10" i="119"/>
  <c r="I10" i="119"/>
  <c r="J10" i="119"/>
  <c r="H11" i="119"/>
  <c r="I11" i="119"/>
  <c r="J11" i="119"/>
  <c r="H12" i="119"/>
  <c r="I12" i="119"/>
  <c r="J12" i="119"/>
  <c r="H13" i="119"/>
  <c r="I13" i="119"/>
  <c r="J13" i="119"/>
  <c r="H14" i="119"/>
  <c r="I14" i="119"/>
  <c r="J14" i="119"/>
  <c r="H15" i="119"/>
  <c r="I15" i="119"/>
  <c r="J15" i="119"/>
  <c r="H16" i="119"/>
  <c r="I16" i="119"/>
  <c r="J16" i="119"/>
  <c r="H17" i="119"/>
  <c r="I17" i="119"/>
  <c r="J17" i="119"/>
  <c r="H18" i="119"/>
  <c r="I18" i="119"/>
  <c r="J18" i="119"/>
  <c r="H19" i="119"/>
  <c r="I19" i="119"/>
  <c r="J19" i="119"/>
  <c r="H20" i="119"/>
  <c r="I20" i="119"/>
  <c r="J20" i="119"/>
  <c r="H21" i="119"/>
  <c r="I21" i="119"/>
  <c r="J21" i="119"/>
  <c r="H22" i="119"/>
  <c r="I22" i="119"/>
  <c r="J22" i="119"/>
  <c r="H23" i="119"/>
  <c r="I23" i="119"/>
  <c r="J23" i="119"/>
  <c r="H24" i="119"/>
  <c r="I24" i="119"/>
  <c r="J24" i="119"/>
  <c r="H25" i="119"/>
  <c r="I25" i="119"/>
  <c r="J25" i="119"/>
  <c r="H26" i="119"/>
  <c r="I26" i="119"/>
  <c r="J26" i="119"/>
  <c r="H27" i="119"/>
  <c r="I27" i="119"/>
  <c r="J27" i="119"/>
  <c r="H28" i="119"/>
  <c r="I28" i="119"/>
  <c r="J28" i="119"/>
  <c r="H29" i="119"/>
  <c r="I29" i="119"/>
  <c r="J29" i="119"/>
  <c r="H30" i="119"/>
  <c r="I30" i="119"/>
  <c r="J30" i="119"/>
  <c r="H31" i="119"/>
  <c r="I31" i="119"/>
  <c r="J31" i="119"/>
  <c r="H32" i="119"/>
  <c r="I32" i="119"/>
  <c r="J32" i="119"/>
  <c r="H33" i="119"/>
  <c r="I33" i="119"/>
  <c r="J33" i="119"/>
  <c r="H34" i="119"/>
  <c r="I34" i="119"/>
  <c r="J34" i="119"/>
  <c r="H35" i="119"/>
  <c r="I35" i="119"/>
  <c r="J35" i="119"/>
  <c r="H36" i="119"/>
  <c r="I36" i="119"/>
  <c r="J36" i="119"/>
  <c r="H37" i="119"/>
  <c r="I37" i="119"/>
  <c r="J37" i="119"/>
  <c r="H38" i="119"/>
  <c r="I38" i="119"/>
  <c r="J38" i="119"/>
  <c r="H39" i="119"/>
  <c r="I39" i="119"/>
  <c r="J39" i="119"/>
  <c r="H40" i="119"/>
  <c r="I40" i="119"/>
  <c r="J40" i="119"/>
  <c r="H41" i="119"/>
  <c r="I41" i="119"/>
  <c r="J41" i="119"/>
  <c r="H42" i="119"/>
  <c r="I42" i="119"/>
  <c r="J42" i="119"/>
  <c r="H43" i="119"/>
  <c r="I43" i="119"/>
  <c r="J43" i="119"/>
  <c r="H44" i="119"/>
  <c r="I44" i="119"/>
  <c r="J44" i="119"/>
  <c r="H45" i="119"/>
  <c r="I45" i="119"/>
  <c r="J45" i="119"/>
  <c r="H46" i="119"/>
  <c r="I46" i="119"/>
  <c r="J46" i="119"/>
  <c r="H47" i="119"/>
  <c r="I47" i="119"/>
  <c r="J47" i="119"/>
  <c r="H48" i="119"/>
  <c r="I48" i="119"/>
  <c r="J48" i="119"/>
  <c r="H49" i="119"/>
  <c r="I49" i="119"/>
  <c r="J49" i="119"/>
  <c r="H50" i="119"/>
  <c r="I50" i="119"/>
  <c r="J50" i="119"/>
  <c r="H51" i="119"/>
  <c r="I51" i="119"/>
  <c r="J51" i="119"/>
  <c r="H52" i="119"/>
  <c r="I52" i="119"/>
  <c r="J52" i="119"/>
  <c r="H53" i="119"/>
  <c r="I53" i="119"/>
  <c r="J53" i="119"/>
  <c r="H54" i="119"/>
  <c r="I54" i="119"/>
  <c r="J54" i="119"/>
  <c r="H55" i="119"/>
  <c r="I55" i="119"/>
  <c r="J55" i="119"/>
  <c r="H56" i="119"/>
  <c r="I56" i="119"/>
  <c r="J56" i="119"/>
  <c r="H57" i="119"/>
  <c r="I57" i="119"/>
  <c r="J57" i="119"/>
  <c r="H58" i="119"/>
  <c r="I58" i="119"/>
  <c r="J58" i="119"/>
  <c r="H59" i="119"/>
  <c r="I59" i="119"/>
  <c r="J59" i="119"/>
  <c r="H60" i="119"/>
  <c r="I60" i="119"/>
  <c r="J60" i="119"/>
  <c r="H61" i="119"/>
  <c r="I61" i="119"/>
  <c r="J61" i="119"/>
  <c r="H62" i="119"/>
  <c r="I62" i="119"/>
  <c r="J62" i="119"/>
  <c r="H63" i="119"/>
  <c r="I63" i="119"/>
  <c r="J63" i="119"/>
  <c r="H64" i="119"/>
  <c r="I64" i="119"/>
  <c r="J64" i="119"/>
  <c r="H65" i="119"/>
  <c r="I65" i="119"/>
  <c r="J65" i="119"/>
  <c r="H66" i="119"/>
  <c r="I66" i="119"/>
  <c r="J66" i="119"/>
  <c r="H67" i="119"/>
  <c r="I67" i="119"/>
  <c r="J67" i="119"/>
  <c r="H68" i="119"/>
  <c r="I68" i="119"/>
  <c r="J68" i="119"/>
  <c r="H69" i="119"/>
  <c r="I69" i="119"/>
  <c r="J69" i="119"/>
  <c r="H70" i="119"/>
  <c r="I70" i="119"/>
  <c r="J70" i="119"/>
  <c r="H71" i="119"/>
  <c r="I71" i="119"/>
  <c r="J71" i="119"/>
  <c r="H72" i="119"/>
  <c r="I72" i="119"/>
  <c r="J72" i="119"/>
  <c r="H73" i="119"/>
  <c r="I73" i="119"/>
  <c r="J73" i="119"/>
  <c r="H74" i="119"/>
  <c r="I74" i="119"/>
  <c r="J74" i="119"/>
  <c r="H75" i="119"/>
  <c r="I75" i="119"/>
  <c r="J75" i="119"/>
  <c r="H76" i="119"/>
  <c r="I76" i="119"/>
  <c r="J76" i="119"/>
  <c r="H77" i="119"/>
  <c r="I77" i="119"/>
  <c r="J77" i="119"/>
  <c r="H78" i="119"/>
  <c r="I78" i="119"/>
  <c r="J78" i="119"/>
  <c r="H79" i="119"/>
  <c r="I79" i="119"/>
  <c r="J79" i="119"/>
  <c r="H80" i="119"/>
  <c r="I80" i="119"/>
  <c r="J80" i="119"/>
  <c r="H81" i="119"/>
  <c r="I81" i="119"/>
  <c r="J81" i="119"/>
  <c r="H82" i="119"/>
  <c r="I82" i="119"/>
  <c r="J82" i="119"/>
  <c r="H83" i="119"/>
  <c r="I83" i="119"/>
  <c r="J83" i="119"/>
  <c r="H84" i="119"/>
  <c r="I84" i="119"/>
  <c r="J84" i="119"/>
  <c r="H85" i="119"/>
  <c r="I85" i="119"/>
  <c r="J85" i="119"/>
  <c r="H86" i="119"/>
  <c r="I86" i="119"/>
  <c r="J86" i="119"/>
  <c r="H87" i="119"/>
  <c r="I87" i="119"/>
  <c r="J87" i="119"/>
  <c r="H88" i="119"/>
  <c r="I88" i="119"/>
  <c r="J88" i="119"/>
  <c r="H89" i="119"/>
  <c r="I89" i="119"/>
  <c r="J89" i="119"/>
  <c r="H90" i="119"/>
  <c r="I90" i="119"/>
  <c r="J90" i="119"/>
  <c r="H91" i="119"/>
  <c r="I91" i="119"/>
  <c r="J91" i="119"/>
  <c r="H92" i="119"/>
  <c r="I92" i="119"/>
  <c r="J92" i="119"/>
  <c r="H93" i="119"/>
  <c r="I93" i="119"/>
  <c r="J93" i="119"/>
  <c r="H94" i="119"/>
  <c r="I94" i="119"/>
  <c r="J94" i="119"/>
  <c r="H95" i="119"/>
  <c r="I95" i="119"/>
  <c r="J95" i="119"/>
  <c r="H96" i="119"/>
  <c r="I96" i="119"/>
  <c r="J96" i="119"/>
  <c r="H97" i="119"/>
  <c r="I97" i="119"/>
  <c r="J97" i="119"/>
  <c r="H98" i="119"/>
  <c r="I98" i="119"/>
  <c r="J98" i="119"/>
  <c r="H99" i="119"/>
  <c r="I99" i="119"/>
  <c r="J99" i="119"/>
  <c r="H100" i="119"/>
  <c r="I100" i="119"/>
  <c r="J100" i="119"/>
  <c r="H101" i="119"/>
  <c r="I101" i="119"/>
  <c r="J101" i="119"/>
  <c r="H102" i="119"/>
  <c r="I102" i="119"/>
  <c r="J102" i="119"/>
  <c r="H103" i="119"/>
  <c r="I103" i="119"/>
  <c r="J103" i="119"/>
  <c r="H104" i="119"/>
  <c r="I104" i="119"/>
  <c r="J104" i="119"/>
  <c r="H105" i="119"/>
  <c r="I105" i="119"/>
  <c r="J105" i="119"/>
  <c r="H106" i="119"/>
  <c r="I106" i="119"/>
  <c r="J106" i="119"/>
  <c r="H107" i="119"/>
  <c r="I107" i="119"/>
  <c r="J107" i="119"/>
  <c r="H108" i="119"/>
  <c r="I108" i="119"/>
  <c r="J108" i="119"/>
  <c r="H109" i="119"/>
  <c r="I109" i="119"/>
  <c r="J109" i="119"/>
  <c r="H110" i="119"/>
  <c r="I110" i="119"/>
  <c r="J110" i="119"/>
  <c r="H111" i="119"/>
  <c r="I111" i="119"/>
  <c r="J111" i="119"/>
  <c r="H112" i="119"/>
  <c r="I112" i="119"/>
  <c r="J112" i="119"/>
  <c r="H113" i="119"/>
  <c r="I113" i="119"/>
  <c r="J113" i="119"/>
  <c r="H114" i="119"/>
  <c r="I114" i="119"/>
  <c r="J114" i="119"/>
  <c r="H115" i="119"/>
  <c r="I115" i="119"/>
  <c r="J115" i="119"/>
  <c r="H116" i="119"/>
  <c r="I116" i="119"/>
  <c r="J116" i="119"/>
  <c r="H117" i="119"/>
  <c r="I117" i="119"/>
  <c r="J117" i="119"/>
  <c r="H118" i="119"/>
  <c r="I118" i="119"/>
  <c r="J118" i="119"/>
  <c r="H119" i="119"/>
  <c r="I119" i="119"/>
  <c r="J119" i="119"/>
  <c r="H120" i="119"/>
  <c r="I120" i="119"/>
  <c r="J120" i="119"/>
  <c r="H121" i="119"/>
  <c r="I121" i="119"/>
  <c r="J121" i="119"/>
  <c r="H122" i="119"/>
  <c r="I122" i="119"/>
  <c r="J122" i="119"/>
  <c r="H123" i="119"/>
  <c r="I123" i="119"/>
  <c r="J123" i="119"/>
  <c r="H124" i="119"/>
  <c r="I124" i="119"/>
  <c r="J124" i="119"/>
  <c r="H125" i="119"/>
  <c r="I125" i="119"/>
  <c r="J125" i="119"/>
  <c r="H126" i="119"/>
  <c r="I126" i="119"/>
  <c r="J126" i="119"/>
  <c r="H127" i="119"/>
  <c r="I127" i="119"/>
  <c r="J127" i="119"/>
  <c r="H128" i="119"/>
  <c r="I128" i="119"/>
  <c r="J128" i="119"/>
  <c r="H129" i="119"/>
  <c r="I129" i="119"/>
  <c r="J129" i="119"/>
  <c r="H130" i="119"/>
  <c r="I130" i="119"/>
  <c r="J130" i="119"/>
  <c r="H131" i="119"/>
  <c r="I131" i="119"/>
  <c r="J131" i="119"/>
  <c r="H132" i="119"/>
  <c r="I132" i="119"/>
  <c r="J132" i="119"/>
  <c r="H133" i="119"/>
  <c r="I133" i="119"/>
  <c r="J133" i="119"/>
  <c r="H134" i="119"/>
  <c r="I134" i="119"/>
  <c r="J134" i="119"/>
  <c r="H135" i="119"/>
  <c r="I135" i="119"/>
  <c r="J135" i="119"/>
  <c r="H136" i="119"/>
  <c r="I136" i="119"/>
  <c r="J136" i="119"/>
  <c r="H137" i="119"/>
  <c r="I137" i="119"/>
  <c r="J137" i="119"/>
  <c r="H138" i="119"/>
  <c r="I138" i="119"/>
  <c r="J138" i="119"/>
  <c r="H139" i="119"/>
  <c r="I139" i="119"/>
  <c r="J139" i="119"/>
  <c r="H140" i="119"/>
  <c r="I140" i="119"/>
  <c r="J140" i="119"/>
  <c r="H141" i="119"/>
  <c r="I141" i="119"/>
  <c r="J141" i="119"/>
  <c r="H142" i="119"/>
  <c r="I142" i="119"/>
  <c r="J142" i="119"/>
  <c r="H143" i="119"/>
  <c r="I143" i="119"/>
  <c r="J143" i="119"/>
  <c r="H144" i="119"/>
  <c r="I144" i="119"/>
  <c r="J144" i="119"/>
  <c r="H145" i="119"/>
  <c r="I145" i="119"/>
  <c r="J145" i="119"/>
  <c r="H146" i="119"/>
  <c r="I146" i="119"/>
  <c r="J146" i="119"/>
  <c r="H147" i="119"/>
  <c r="I147" i="119"/>
  <c r="J147" i="119"/>
  <c r="H148" i="119"/>
  <c r="I148" i="119"/>
  <c r="J148" i="119"/>
  <c r="H149" i="119"/>
  <c r="I149" i="119"/>
  <c r="J149" i="119"/>
  <c r="H150" i="119"/>
  <c r="I150" i="119"/>
  <c r="J150" i="119"/>
  <c r="H151" i="119"/>
  <c r="I151" i="119"/>
  <c r="J151" i="119"/>
  <c r="H152" i="119"/>
  <c r="I152" i="119"/>
  <c r="J152" i="119"/>
  <c r="H153" i="119"/>
  <c r="I153" i="119"/>
  <c r="J153" i="119"/>
  <c r="H154" i="119"/>
  <c r="I154" i="119"/>
  <c r="J154" i="119"/>
  <c r="H155" i="119"/>
  <c r="I155" i="119"/>
  <c r="J155" i="119"/>
  <c r="H156" i="119"/>
  <c r="I156" i="119"/>
  <c r="J156" i="119"/>
  <c r="I157" i="119"/>
  <c r="J157" i="119"/>
  <c r="H158" i="119"/>
  <c r="I158" i="119"/>
  <c r="J158" i="119"/>
  <c r="H159" i="119"/>
  <c r="I159" i="119"/>
  <c r="J159" i="119"/>
  <c r="H160" i="119"/>
  <c r="I160" i="119"/>
  <c r="J160" i="119"/>
  <c r="H161" i="119"/>
  <c r="I161" i="119"/>
  <c r="J161" i="119"/>
  <c r="H162" i="119"/>
  <c r="I162" i="119"/>
  <c r="J162" i="119"/>
  <c r="H163" i="119"/>
  <c r="I163" i="119"/>
  <c r="J163" i="119"/>
  <c r="H164" i="119"/>
  <c r="I164" i="119"/>
  <c r="J164" i="119"/>
  <c r="H165" i="119"/>
  <c r="I165" i="119"/>
  <c r="J165" i="119"/>
  <c r="H166" i="119"/>
  <c r="I166" i="119"/>
  <c r="J166" i="119"/>
  <c r="H167" i="119"/>
  <c r="I167" i="119"/>
  <c r="J167" i="119"/>
  <c r="H168" i="119"/>
  <c r="I168" i="119"/>
  <c r="J168" i="119"/>
  <c r="H7" i="121"/>
  <c r="B7" i="134" l="1"/>
  <c r="B8" i="134"/>
  <c r="B9" i="134"/>
  <c r="B10" i="134"/>
  <c r="B11" i="134"/>
  <c r="B12" i="134"/>
  <c r="B13" i="134"/>
  <c r="B14" i="134"/>
  <c r="B15" i="134"/>
  <c r="B16" i="134"/>
  <c r="B17" i="134"/>
  <c r="B18" i="134"/>
  <c r="B19" i="134"/>
  <c r="B20" i="134"/>
  <c r="B21" i="134"/>
  <c r="B22" i="134"/>
  <c r="B23" i="134"/>
  <c r="B24" i="134"/>
  <c r="B25" i="134"/>
  <c r="B26" i="134"/>
  <c r="B27" i="134"/>
  <c r="B28" i="134"/>
  <c r="B29" i="134"/>
  <c r="B30" i="134"/>
  <c r="B31" i="134"/>
  <c r="B32" i="134"/>
  <c r="B33" i="134"/>
  <c r="B34" i="134"/>
  <c r="B35" i="134"/>
  <c r="B36" i="134"/>
  <c r="B37" i="134"/>
  <c r="B38" i="134"/>
  <c r="B39" i="134"/>
  <c r="B40" i="134"/>
  <c r="B41" i="134"/>
  <c r="B42" i="134"/>
  <c r="B43" i="134"/>
  <c r="B44" i="134"/>
  <c r="B45" i="134"/>
  <c r="B46" i="134"/>
  <c r="B47" i="134"/>
  <c r="B48" i="134"/>
  <c r="B49" i="134"/>
  <c r="B50" i="134"/>
  <c r="B51" i="134"/>
  <c r="B52" i="134"/>
  <c r="B53" i="134"/>
  <c r="B54" i="134"/>
  <c r="B55" i="134"/>
  <c r="B56" i="134"/>
  <c r="B57" i="134"/>
  <c r="B58" i="134"/>
  <c r="B59" i="134"/>
  <c r="B60" i="134"/>
  <c r="B61" i="134"/>
  <c r="B62" i="134"/>
  <c r="B63" i="134"/>
  <c r="B64" i="134"/>
  <c r="B65" i="134"/>
  <c r="B66" i="134"/>
  <c r="B67" i="134"/>
  <c r="B68" i="134"/>
  <c r="B69" i="134"/>
  <c r="B70" i="134"/>
  <c r="B71" i="134"/>
  <c r="B72" i="134"/>
  <c r="B73" i="134"/>
  <c r="B74" i="134"/>
  <c r="B75" i="134"/>
  <c r="B76" i="134"/>
  <c r="B77" i="134"/>
  <c r="B78" i="134"/>
  <c r="B79" i="134"/>
  <c r="B80" i="134"/>
  <c r="B81" i="134"/>
  <c r="B82" i="134"/>
  <c r="B83" i="134"/>
  <c r="B84" i="134"/>
  <c r="B85" i="134"/>
  <c r="B86" i="134"/>
  <c r="B87" i="134"/>
  <c r="B88" i="134"/>
  <c r="B89" i="134"/>
  <c r="B90" i="134"/>
  <c r="B91" i="134"/>
  <c r="B92" i="134"/>
  <c r="B93" i="134"/>
  <c r="B94" i="134"/>
  <c r="B95" i="134"/>
  <c r="B96" i="134"/>
  <c r="B97" i="134"/>
  <c r="B98" i="134"/>
  <c r="B99" i="134"/>
  <c r="B100" i="134"/>
  <c r="B101" i="134"/>
  <c r="B102" i="134"/>
  <c r="B103" i="134"/>
  <c r="B104" i="134"/>
  <c r="B105" i="134"/>
  <c r="B106" i="134"/>
  <c r="B107" i="134"/>
  <c r="B108" i="134"/>
  <c r="B109" i="134"/>
  <c r="B110" i="134"/>
  <c r="B111" i="134"/>
  <c r="B112" i="134"/>
  <c r="B113" i="134"/>
  <c r="B114" i="134"/>
  <c r="B115" i="134"/>
  <c r="B116" i="134"/>
  <c r="B117" i="134"/>
  <c r="B118" i="134"/>
  <c r="B119" i="134"/>
  <c r="B120" i="134"/>
  <c r="B121" i="134"/>
  <c r="B122" i="134"/>
  <c r="B123" i="134"/>
  <c r="B124" i="134"/>
  <c r="B125" i="134"/>
  <c r="B126" i="134"/>
  <c r="B127" i="134"/>
  <c r="B128" i="134"/>
  <c r="B129" i="134"/>
  <c r="B130" i="134"/>
  <c r="B131" i="134"/>
  <c r="B132" i="134"/>
  <c r="B133" i="134"/>
  <c r="B134" i="134"/>
  <c r="B135" i="134"/>
  <c r="B136" i="134"/>
  <c r="B137" i="134"/>
  <c r="B138" i="134"/>
  <c r="B139" i="134"/>
  <c r="B140" i="134"/>
  <c r="B141" i="134"/>
  <c r="B142" i="134"/>
  <c r="B143" i="134"/>
  <c r="B144" i="134"/>
  <c r="B145" i="134"/>
  <c r="B146" i="134"/>
  <c r="B147" i="134"/>
  <c r="B148" i="134"/>
  <c r="B149" i="134"/>
  <c r="B150" i="134"/>
  <c r="B151" i="134"/>
  <c r="B152" i="134"/>
  <c r="B153" i="134"/>
  <c r="B154" i="134"/>
  <c r="B155" i="134"/>
  <c r="B156" i="134"/>
  <c r="B157" i="134"/>
  <c r="B158" i="134"/>
  <c r="B159" i="134"/>
  <c r="B160" i="134"/>
  <c r="B161" i="134"/>
  <c r="B162" i="134"/>
  <c r="B163" i="134"/>
  <c r="B164" i="134"/>
  <c r="B165" i="134"/>
  <c r="B166" i="134"/>
  <c r="B167" i="134"/>
  <c r="B168" i="134"/>
  <c r="B169" i="134"/>
  <c r="B170" i="134"/>
  <c r="B171" i="134"/>
  <c r="B172" i="134"/>
  <c r="B173" i="134"/>
  <c r="B174" i="134"/>
  <c r="B175" i="134"/>
  <c r="B176" i="134"/>
  <c r="B177" i="134"/>
  <c r="B178" i="134"/>
  <c r="B179" i="134"/>
  <c r="B180" i="134"/>
  <c r="B181" i="134"/>
  <c r="B182" i="134"/>
  <c r="B183" i="134"/>
  <c r="B184" i="134"/>
  <c r="B185" i="134"/>
  <c r="B186" i="134"/>
  <c r="B187" i="134"/>
  <c r="B188" i="134"/>
  <c r="B189" i="134"/>
  <c r="B190" i="134"/>
  <c r="B191" i="134"/>
  <c r="B192" i="134"/>
  <c r="B193" i="134"/>
  <c r="B194" i="134"/>
  <c r="B195" i="134"/>
  <c r="B196" i="134"/>
  <c r="B197" i="134"/>
  <c r="B198" i="134"/>
  <c r="B199" i="134"/>
  <c r="B200" i="134"/>
  <c r="B201" i="134"/>
  <c r="B202" i="134"/>
  <c r="B203" i="134"/>
  <c r="B204" i="134"/>
  <c r="B205" i="134"/>
  <c r="B206" i="134"/>
  <c r="B207" i="134"/>
  <c r="B208" i="134"/>
  <c r="B209" i="134"/>
  <c r="B210" i="134"/>
  <c r="B211" i="134"/>
  <c r="B212" i="134"/>
  <c r="B213" i="134"/>
  <c r="B214" i="134"/>
  <c r="B215" i="134"/>
  <c r="B216" i="134"/>
  <c r="B217" i="134"/>
  <c r="B218" i="134"/>
  <c r="B219" i="134"/>
  <c r="B220" i="134"/>
  <c r="B221" i="134"/>
  <c r="B222" i="134"/>
  <c r="B223" i="134"/>
  <c r="B224" i="134"/>
  <c r="B225" i="134"/>
  <c r="B226" i="134"/>
  <c r="B227" i="134"/>
  <c r="B228" i="134"/>
  <c r="B229" i="134"/>
  <c r="B230" i="134"/>
  <c r="B231" i="134"/>
  <c r="B232" i="134"/>
  <c r="O897" i="127"/>
  <c r="R897" i="127" s="1"/>
  <c r="C897" i="127"/>
  <c r="O966" i="127"/>
  <c r="R966" i="127" s="1"/>
  <c r="Q967" i="127"/>
  <c r="C967" i="127"/>
  <c r="C1096" i="127"/>
  <c r="C9" i="127"/>
  <c r="C10" i="127"/>
  <c r="C11" i="127"/>
  <c r="C12" i="127"/>
  <c r="C13" i="127"/>
  <c r="C14" i="127"/>
  <c r="C15" i="127"/>
  <c r="C16" i="127"/>
  <c r="C17" i="127"/>
  <c r="C19" i="127"/>
  <c r="C20" i="127"/>
  <c r="C18" i="127"/>
  <c r="C21" i="127"/>
  <c r="C22" i="127"/>
  <c r="C24" i="127"/>
  <c r="C23" i="127"/>
  <c r="C25" i="127"/>
  <c r="C26" i="127"/>
  <c r="C27" i="127"/>
  <c r="C29" i="127"/>
  <c r="C30" i="127"/>
  <c r="C28" i="127"/>
  <c r="C31" i="127"/>
  <c r="C32" i="127"/>
  <c r="C34" i="127"/>
  <c r="C35" i="127"/>
  <c r="C33" i="127"/>
  <c r="C36" i="127"/>
  <c r="C38" i="127"/>
  <c r="C39" i="127"/>
  <c r="C40" i="127"/>
  <c r="C37" i="127"/>
  <c r="C44" i="127"/>
  <c r="C45" i="127"/>
  <c r="C46" i="127"/>
  <c r="C41" i="127"/>
  <c r="C42" i="127"/>
  <c r="C43" i="127"/>
  <c r="C51" i="127"/>
  <c r="C47" i="127"/>
  <c r="C48" i="127"/>
  <c r="C49" i="127"/>
  <c r="C50" i="127"/>
  <c r="C52" i="127"/>
  <c r="C53" i="127"/>
  <c r="C54" i="127"/>
  <c r="C55" i="127"/>
  <c r="C56" i="127"/>
  <c r="C59" i="127"/>
  <c r="C60" i="127"/>
  <c r="C61" i="127"/>
  <c r="C57" i="127"/>
  <c r="C58" i="127"/>
  <c r="C65" i="127"/>
  <c r="C67" i="127"/>
  <c r="C63" i="127"/>
  <c r="C64" i="127"/>
  <c r="C66" i="127"/>
  <c r="C62" i="127"/>
  <c r="C71" i="127"/>
  <c r="C72" i="127"/>
  <c r="C73" i="127"/>
  <c r="C75" i="127"/>
  <c r="C76" i="127"/>
  <c r="C77" i="127"/>
  <c r="C78" i="127"/>
  <c r="C69" i="127"/>
  <c r="C70" i="127"/>
  <c r="C74" i="127"/>
  <c r="C68" i="127"/>
  <c r="C85" i="127"/>
  <c r="C87" i="127"/>
  <c r="C80" i="127"/>
  <c r="C81" i="127"/>
  <c r="C82" i="127"/>
  <c r="C83" i="127"/>
  <c r="C84" i="127"/>
  <c r="C86" i="127"/>
  <c r="C79" i="127"/>
  <c r="C88" i="127"/>
  <c r="C90" i="127"/>
  <c r="C91" i="127"/>
  <c r="C92" i="127"/>
  <c r="C93" i="127"/>
  <c r="C94" i="127"/>
  <c r="C95" i="127"/>
  <c r="C89" i="127"/>
  <c r="C102" i="127"/>
  <c r="C103" i="127"/>
  <c r="C104" i="127"/>
  <c r="C105" i="127"/>
  <c r="C106" i="127"/>
  <c r="C107" i="127"/>
  <c r="C108" i="127"/>
  <c r="C99" i="127"/>
  <c r="C100" i="127"/>
  <c r="C101" i="127"/>
  <c r="C97" i="127"/>
  <c r="C98" i="127"/>
  <c r="C96" i="127"/>
  <c r="C112" i="127"/>
  <c r="C111" i="127"/>
  <c r="C110" i="127"/>
  <c r="C124" i="127"/>
  <c r="C125" i="127"/>
  <c r="C126" i="127"/>
  <c r="C127" i="127"/>
  <c r="C109" i="127"/>
  <c r="C117" i="127"/>
  <c r="C118" i="127"/>
  <c r="C119" i="127"/>
  <c r="C120" i="127"/>
  <c r="C121" i="127"/>
  <c r="C122" i="127"/>
  <c r="C123" i="127"/>
  <c r="C115" i="127"/>
  <c r="C113" i="127"/>
  <c r="C114" i="127"/>
  <c r="C116" i="127"/>
  <c r="C129" i="127"/>
  <c r="C130" i="127"/>
  <c r="C131" i="127"/>
  <c r="C128" i="127"/>
  <c r="C134" i="127"/>
  <c r="C136" i="127"/>
  <c r="C137" i="127"/>
  <c r="C138" i="127"/>
  <c r="C139" i="127"/>
  <c r="C140" i="127"/>
  <c r="C132" i="127"/>
  <c r="C133" i="127"/>
  <c r="C135" i="127"/>
  <c r="C148" i="127"/>
  <c r="C150" i="127"/>
  <c r="C143" i="127"/>
  <c r="C144" i="127"/>
  <c r="C145" i="127"/>
  <c r="C146" i="127"/>
  <c r="C147" i="127"/>
  <c r="C149" i="127"/>
  <c r="C141" i="127"/>
  <c r="C142" i="127"/>
  <c r="C153" i="127"/>
  <c r="C154" i="127"/>
  <c r="C155" i="127"/>
  <c r="C151" i="127"/>
  <c r="C152" i="127"/>
  <c r="C157" i="127"/>
  <c r="C156" i="127"/>
  <c r="C159" i="127"/>
  <c r="C160" i="127"/>
  <c r="C161" i="127"/>
  <c r="C158" i="127"/>
  <c r="C163" i="127"/>
  <c r="C164" i="127"/>
  <c r="C162" i="127"/>
  <c r="C168" i="127"/>
  <c r="C170" i="127"/>
  <c r="C171" i="127"/>
  <c r="C172" i="127"/>
  <c r="C165" i="127"/>
  <c r="C167" i="127"/>
  <c r="C169" i="127"/>
  <c r="C166" i="127"/>
  <c r="C176" i="127"/>
  <c r="C177" i="127"/>
  <c r="C178" i="127"/>
  <c r="C179" i="127"/>
  <c r="C174" i="127"/>
  <c r="C175" i="127"/>
  <c r="C173" i="127"/>
  <c r="C183" i="127"/>
  <c r="C184" i="127"/>
  <c r="C185" i="127"/>
  <c r="C181" i="127"/>
  <c r="C182" i="127"/>
  <c r="C180" i="127"/>
  <c r="C193" i="127"/>
  <c r="C194" i="127"/>
  <c r="C196" i="127"/>
  <c r="C197" i="127"/>
  <c r="C198" i="127"/>
  <c r="C187" i="127"/>
  <c r="C188" i="127"/>
  <c r="C189" i="127"/>
  <c r="C190" i="127"/>
  <c r="C191" i="127"/>
  <c r="C192" i="127"/>
  <c r="C195" i="127"/>
  <c r="C186" i="127"/>
  <c r="C207" i="127"/>
  <c r="C209" i="127"/>
  <c r="C208" i="127"/>
  <c r="C200" i="127"/>
  <c r="C205" i="127"/>
  <c r="C204" i="127"/>
  <c r="C203" i="127"/>
  <c r="C199" i="127"/>
  <c r="C206" i="127"/>
  <c r="C201" i="127"/>
  <c r="C202" i="127"/>
  <c r="C216" i="127"/>
  <c r="C218" i="127"/>
  <c r="C219" i="127"/>
  <c r="C211" i="127"/>
  <c r="C212" i="127"/>
  <c r="C213" i="127"/>
  <c r="C214" i="127"/>
  <c r="C215" i="127"/>
  <c r="C217" i="127"/>
  <c r="C210" i="127"/>
  <c r="C222" i="127"/>
  <c r="C223" i="127"/>
  <c r="C220" i="127"/>
  <c r="C221" i="127"/>
  <c r="C228" i="127"/>
  <c r="C229" i="127"/>
  <c r="C225" i="127"/>
  <c r="C226" i="127"/>
  <c r="C227" i="127"/>
  <c r="C224" i="127"/>
  <c r="C234" i="127"/>
  <c r="C240" i="127"/>
  <c r="C241" i="127"/>
  <c r="C242" i="127"/>
  <c r="C237" i="127"/>
  <c r="C239" i="127"/>
  <c r="C243" i="127"/>
  <c r="C233" i="127"/>
  <c r="C235" i="127"/>
  <c r="C238" i="127"/>
  <c r="C231" i="127"/>
  <c r="C232" i="127"/>
  <c r="C230" i="127"/>
  <c r="C236" i="127"/>
  <c r="C247" i="127"/>
  <c r="C248" i="127"/>
  <c r="C249" i="127"/>
  <c r="C246" i="127"/>
  <c r="C250" i="127"/>
  <c r="C244" i="127"/>
  <c r="C245" i="127"/>
  <c r="C258" i="127"/>
  <c r="C259" i="127"/>
  <c r="C260" i="127"/>
  <c r="C256" i="127"/>
  <c r="C257" i="127"/>
  <c r="C254" i="127"/>
  <c r="C255" i="127"/>
  <c r="C251" i="127"/>
  <c r="C252" i="127"/>
  <c r="C269" i="127"/>
  <c r="C270" i="127"/>
  <c r="C261" i="127"/>
  <c r="C265" i="127"/>
  <c r="C266" i="127"/>
  <c r="C268" i="127"/>
  <c r="C267" i="127"/>
  <c r="C263" i="127"/>
  <c r="C264" i="127"/>
  <c r="C262" i="127"/>
  <c r="C276" i="127"/>
  <c r="C277" i="127"/>
  <c r="C273" i="127"/>
  <c r="C274" i="127"/>
  <c r="C275" i="127"/>
  <c r="C271" i="127"/>
  <c r="C272" i="127"/>
  <c r="C282" i="127"/>
  <c r="C280" i="127"/>
  <c r="C283" i="127"/>
  <c r="C281" i="127"/>
  <c r="C278" i="127"/>
  <c r="C279" i="127"/>
  <c r="C288" i="127"/>
  <c r="C289" i="127"/>
  <c r="C286" i="127"/>
  <c r="C287" i="127"/>
  <c r="C284" i="127"/>
  <c r="C285" i="127"/>
  <c r="C293" i="127"/>
  <c r="C294" i="127"/>
  <c r="C292" i="127"/>
  <c r="C290" i="127"/>
  <c r="C291" i="127"/>
  <c r="C298" i="127"/>
  <c r="C299" i="127"/>
  <c r="C295" i="127"/>
  <c r="C297" i="127"/>
  <c r="C296" i="127"/>
  <c r="C315" i="127"/>
  <c r="C313" i="127"/>
  <c r="C314" i="127"/>
  <c r="C306" i="127"/>
  <c r="C304" i="127"/>
  <c r="C305" i="127"/>
  <c r="C311" i="127"/>
  <c r="C310" i="127"/>
  <c r="C312" i="127"/>
  <c r="C307" i="127"/>
  <c r="C300" i="127"/>
  <c r="C309" i="127"/>
  <c r="C308" i="127"/>
  <c r="C302" i="127"/>
  <c r="C301" i="127"/>
  <c r="C303" i="127"/>
  <c r="C323" i="127"/>
  <c r="C324" i="127"/>
  <c r="C316" i="127"/>
  <c r="C317" i="127"/>
  <c r="C319" i="127"/>
  <c r="C320" i="127"/>
  <c r="C321" i="127"/>
  <c r="C318" i="127"/>
  <c r="C322" i="127"/>
  <c r="C329" i="127"/>
  <c r="C330" i="127"/>
  <c r="C328" i="127"/>
  <c r="C326" i="127"/>
  <c r="C327" i="127"/>
  <c r="C325" i="127"/>
  <c r="C342" i="127"/>
  <c r="C337" i="127"/>
  <c r="C339" i="127"/>
  <c r="C340" i="127"/>
  <c r="C341" i="127"/>
  <c r="C336" i="127"/>
  <c r="C334" i="127"/>
  <c r="C331" i="127"/>
  <c r="C335" i="127"/>
  <c r="C333" i="127"/>
  <c r="C332" i="127"/>
  <c r="C338" i="127"/>
  <c r="C348" i="127"/>
  <c r="C350" i="127"/>
  <c r="C351" i="127"/>
  <c r="C347" i="127"/>
  <c r="C349" i="127"/>
  <c r="C346" i="127"/>
  <c r="C343" i="127"/>
  <c r="C345" i="127"/>
  <c r="C344" i="127"/>
  <c r="C356" i="127"/>
  <c r="C352" i="127"/>
  <c r="C354" i="127"/>
  <c r="C353" i="127"/>
  <c r="C355" i="127"/>
  <c r="C360" i="127"/>
  <c r="C359" i="127"/>
  <c r="C358" i="127"/>
  <c r="C357" i="127"/>
  <c r="C361" i="127"/>
  <c r="C369" i="127"/>
  <c r="C370" i="127"/>
  <c r="C371" i="127"/>
  <c r="C372" i="127"/>
  <c r="C373" i="127"/>
  <c r="C365" i="127"/>
  <c r="C364" i="127"/>
  <c r="C366" i="127"/>
  <c r="C363" i="127"/>
  <c r="C362" i="127"/>
  <c r="C368" i="127"/>
  <c r="C367" i="127"/>
  <c r="C383" i="127"/>
  <c r="C384" i="127"/>
  <c r="C385" i="127"/>
  <c r="C386" i="127"/>
  <c r="C379" i="127"/>
  <c r="C380" i="127"/>
  <c r="C381" i="127"/>
  <c r="C382" i="127"/>
  <c r="C376" i="127"/>
  <c r="C378" i="127"/>
  <c r="C377" i="127"/>
  <c r="C374" i="127"/>
  <c r="C375" i="127"/>
  <c r="C393" i="127"/>
  <c r="C391" i="127"/>
  <c r="C392" i="127"/>
  <c r="C387" i="127"/>
  <c r="C389" i="127"/>
  <c r="C388" i="127"/>
  <c r="C390" i="127"/>
  <c r="C403" i="127"/>
  <c r="C396" i="127"/>
  <c r="C399" i="127"/>
  <c r="C400" i="127"/>
  <c r="C401" i="127"/>
  <c r="C402" i="127"/>
  <c r="C394" i="127"/>
  <c r="C397" i="127"/>
  <c r="C398" i="127"/>
  <c r="C395" i="127"/>
  <c r="C416" i="127"/>
  <c r="C414" i="127"/>
  <c r="C410" i="127"/>
  <c r="C412" i="127"/>
  <c r="C411" i="127"/>
  <c r="C409" i="127"/>
  <c r="C415" i="127"/>
  <c r="C404" i="127"/>
  <c r="C413" i="127"/>
  <c r="C408" i="127"/>
  <c r="C406" i="127"/>
  <c r="C407" i="127"/>
  <c r="C405" i="127"/>
  <c r="C428" i="127"/>
  <c r="C429" i="127"/>
  <c r="C430" i="127"/>
  <c r="C427" i="127"/>
  <c r="C425" i="127"/>
  <c r="C417" i="127"/>
  <c r="C422" i="127"/>
  <c r="C420" i="127"/>
  <c r="C421" i="127"/>
  <c r="C419" i="127"/>
  <c r="C418" i="127"/>
  <c r="C423" i="127"/>
  <c r="C424" i="127"/>
  <c r="C426" i="127"/>
  <c r="C441" i="127"/>
  <c r="C442" i="127"/>
  <c r="C438" i="127"/>
  <c r="C439" i="127"/>
  <c r="C440" i="127"/>
  <c r="C436" i="127"/>
  <c r="C434" i="127"/>
  <c r="C433" i="127"/>
  <c r="C432" i="127"/>
  <c r="C437" i="127"/>
  <c r="C431" i="127"/>
  <c r="C435" i="127"/>
  <c r="C453" i="127"/>
  <c r="C454" i="127"/>
  <c r="C450" i="127"/>
  <c r="C452" i="127"/>
  <c r="C451" i="127"/>
  <c r="C443" i="127"/>
  <c r="C448" i="127"/>
  <c r="C449" i="127"/>
  <c r="C444" i="127"/>
  <c r="C447" i="127"/>
  <c r="C446" i="127"/>
  <c r="C445" i="127"/>
  <c r="C466" i="127"/>
  <c r="C468" i="127"/>
  <c r="C469" i="127"/>
  <c r="C459" i="127"/>
  <c r="C463" i="127"/>
  <c r="C464" i="127"/>
  <c r="C465" i="127"/>
  <c r="C467" i="127"/>
  <c r="C458" i="127"/>
  <c r="C457" i="127"/>
  <c r="C455" i="127"/>
  <c r="C456" i="127"/>
  <c r="C462" i="127"/>
  <c r="C460" i="127"/>
  <c r="C461" i="127"/>
  <c r="C470" i="127"/>
  <c r="C473" i="127"/>
  <c r="C471" i="127"/>
  <c r="C472" i="127"/>
  <c r="C487" i="127"/>
  <c r="C489" i="127"/>
  <c r="C491" i="127"/>
  <c r="C492" i="127"/>
  <c r="C478" i="127"/>
  <c r="C488" i="127"/>
  <c r="C490" i="127"/>
  <c r="C484" i="127"/>
  <c r="C477" i="127"/>
  <c r="C482" i="127"/>
  <c r="C486" i="127"/>
  <c r="C483" i="127"/>
  <c r="C481" i="127"/>
  <c r="C476" i="127"/>
  <c r="C480" i="127"/>
  <c r="C475" i="127"/>
  <c r="C479" i="127"/>
  <c r="C485" i="127"/>
  <c r="C474" i="127"/>
  <c r="C500" i="127"/>
  <c r="C501" i="127"/>
  <c r="C502" i="127"/>
  <c r="C503" i="127"/>
  <c r="C497" i="127"/>
  <c r="C498" i="127"/>
  <c r="C499" i="127"/>
  <c r="C493" i="127"/>
  <c r="C494" i="127"/>
  <c r="C496" i="127"/>
  <c r="C495" i="127"/>
  <c r="C512" i="127"/>
  <c r="C505" i="127"/>
  <c r="C511" i="127"/>
  <c r="C504" i="127"/>
  <c r="C508" i="127"/>
  <c r="C510" i="127"/>
  <c r="C506" i="127"/>
  <c r="C509" i="127"/>
  <c r="C507" i="127"/>
  <c r="C526" i="127"/>
  <c r="C527" i="127"/>
  <c r="C528" i="127"/>
  <c r="C516" i="127"/>
  <c r="C523" i="127"/>
  <c r="C524" i="127"/>
  <c r="C525" i="127"/>
  <c r="C529" i="127"/>
  <c r="C517" i="127"/>
  <c r="C513" i="127"/>
  <c r="C520" i="127"/>
  <c r="C519" i="127"/>
  <c r="C521" i="127"/>
  <c r="C518" i="127"/>
  <c r="C514" i="127"/>
  <c r="C515" i="127"/>
  <c r="C522" i="127"/>
  <c r="C540" i="127"/>
  <c r="C541" i="127"/>
  <c r="C539" i="127"/>
  <c r="C534" i="127"/>
  <c r="C536" i="127"/>
  <c r="C530" i="127"/>
  <c r="C537" i="127"/>
  <c r="C533" i="127"/>
  <c r="C538" i="127"/>
  <c r="C531" i="127"/>
  <c r="C532" i="127"/>
  <c r="C535" i="127"/>
  <c r="C547" i="127"/>
  <c r="C543" i="127"/>
  <c r="C545" i="127"/>
  <c r="C548" i="127"/>
  <c r="C546" i="127"/>
  <c r="C544" i="127"/>
  <c r="C542" i="127"/>
  <c r="C555" i="127"/>
  <c r="C556" i="127"/>
  <c r="C551" i="127"/>
  <c r="C554" i="127"/>
  <c r="C550" i="127"/>
  <c r="C552" i="127"/>
  <c r="C549" i="127"/>
  <c r="C553" i="127"/>
  <c r="C557" i="127"/>
  <c r="C558" i="127"/>
  <c r="C559" i="127"/>
  <c r="C560" i="127"/>
  <c r="C571" i="127"/>
  <c r="C572" i="127"/>
  <c r="C573" i="127"/>
  <c r="C568" i="127"/>
  <c r="C569" i="127"/>
  <c r="C570" i="127"/>
  <c r="C562" i="127"/>
  <c r="C563" i="127"/>
  <c r="C564" i="127"/>
  <c r="C561" i="127"/>
  <c r="C565" i="127"/>
  <c r="C567" i="127"/>
  <c r="C566" i="127"/>
  <c r="C583" i="127"/>
  <c r="C582" i="127"/>
  <c r="C574" i="127"/>
  <c r="C575" i="127"/>
  <c r="C576" i="127"/>
  <c r="C581" i="127"/>
  <c r="C577" i="127"/>
  <c r="C580" i="127"/>
  <c r="C578" i="127"/>
  <c r="C579" i="127"/>
  <c r="C594" i="127"/>
  <c r="C595" i="127"/>
  <c r="C589" i="127"/>
  <c r="C593" i="127"/>
  <c r="C584" i="127"/>
  <c r="C585" i="127"/>
  <c r="C588" i="127"/>
  <c r="C586" i="127"/>
  <c r="C590" i="127"/>
  <c r="C587" i="127"/>
  <c r="C592" i="127"/>
  <c r="C591" i="127"/>
  <c r="C598" i="127"/>
  <c r="C596" i="127"/>
  <c r="C597" i="127"/>
  <c r="C599" i="127"/>
  <c r="C601" i="127"/>
  <c r="C600" i="127"/>
  <c r="C602" i="127"/>
  <c r="C618" i="127"/>
  <c r="C619" i="127"/>
  <c r="C615" i="127"/>
  <c r="C616" i="127"/>
  <c r="C617" i="127"/>
  <c r="C620" i="127"/>
  <c r="C603" i="127"/>
  <c r="C614" i="127"/>
  <c r="C609" i="127"/>
  <c r="C610" i="127"/>
  <c r="C607" i="127"/>
  <c r="C613" i="127"/>
  <c r="C606" i="127"/>
  <c r="C605" i="127"/>
  <c r="C604" i="127"/>
  <c r="C612" i="127"/>
  <c r="C611" i="127"/>
  <c r="C608" i="127"/>
  <c r="C630" i="127"/>
  <c r="C631" i="127"/>
  <c r="C622" i="127"/>
  <c r="C627" i="127"/>
  <c r="C626" i="127"/>
  <c r="C624" i="127"/>
  <c r="C629" i="127"/>
  <c r="C625" i="127"/>
  <c r="C628" i="127"/>
  <c r="C623" i="127"/>
  <c r="C640" i="127"/>
  <c r="C641" i="127"/>
  <c r="C642" i="127"/>
  <c r="C643" i="127"/>
  <c r="C644" i="127"/>
  <c r="C634" i="127"/>
  <c r="C636" i="127"/>
  <c r="C633" i="127"/>
  <c r="C635" i="127"/>
  <c r="C638" i="127"/>
  <c r="C637" i="127"/>
  <c r="C639" i="127"/>
  <c r="C632" i="127"/>
  <c r="C655" i="127"/>
  <c r="C656" i="127"/>
  <c r="C657" i="127"/>
  <c r="C647" i="127"/>
  <c r="C653" i="127"/>
  <c r="C654" i="127"/>
  <c r="C650" i="127"/>
  <c r="C649" i="127"/>
  <c r="C652" i="127"/>
  <c r="C648" i="127"/>
  <c r="C646" i="127"/>
  <c r="C651" i="127"/>
  <c r="C645" i="127"/>
  <c r="C666" i="127"/>
  <c r="C667" i="127"/>
  <c r="C663" i="127"/>
  <c r="C664" i="127"/>
  <c r="C665" i="127"/>
  <c r="C659" i="127"/>
  <c r="C662" i="127"/>
  <c r="C660" i="127"/>
  <c r="C658" i="127"/>
  <c r="C661" i="127"/>
  <c r="C668" i="127"/>
  <c r="C669" i="127"/>
  <c r="C689" i="127"/>
  <c r="C685" i="127"/>
  <c r="C686" i="127"/>
  <c r="C687" i="127"/>
  <c r="C688" i="127"/>
  <c r="C682" i="127"/>
  <c r="C677" i="127"/>
  <c r="C672" i="127"/>
  <c r="C670" i="127"/>
  <c r="C684" i="127"/>
  <c r="C678" i="127"/>
  <c r="C676" i="127"/>
  <c r="C681" i="127"/>
  <c r="C674" i="127"/>
  <c r="C680" i="127"/>
  <c r="C679" i="127"/>
  <c r="C675" i="127"/>
  <c r="C683" i="127"/>
  <c r="C671" i="127"/>
  <c r="C673" i="127"/>
  <c r="C700" i="127"/>
  <c r="C692" i="127"/>
  <c r="C696" i="127"/>
  <c r="C699" i="127"/>
  <c r="C690" i="127"/>
  <c r="C697" i="127"/>
  <c r="C691" i="127"/>
  <c r="C694" i="127"/>
  <c r="C695" i="127"/>
  <c r="C698" i="127"/>
  <c r="C693" i="127"/>
  <c r="C702" i="127"/>
  <c r="C701" i="127"/>
  <c r="C703" i="127"/>
  <c r="C716" i="127"/>
  <c r="C710" i="127"/>
  <c r="C707" i="127"/>
  <c r="C711" i="127"/>
  <c r="C706" i="127"/>
  <c r="C715" i="127"/>
  <c r="C713" i="127"/>
  <c r="C708" i="127"/>
  <c r="C709" i="127"/>
  <c r="C712" i="127"/>
  <c r="C714" i="127"/>
  <c r="C704" i="127"/>
  <c r="C717" i="127"/>
  <c r="C705" i="127"/>
  <c r="C732" i="127"/>
  <c r="C724" i="127"/>
  <c r="C731" i="127"/>
  <c r="C721" i="127"/>
  <c r="C718" i="127"/>
  <c r="C729" i="127"/>
  <c r="C730" i="127"/>
  <c r="C722" i="127"/>
  <c r="C725" i="127"/>
  <c r="C723" i="127"/>
  <c r="C728" i="127"/>
  <c r="C726" i="127"/>
  <c r="C727" i="127"/>
  <c r="C720" i="127"/>
  <c r="C719" i="127"/>
  <c r="C742" i="127"/>
  <c r="C743" i="127"/>
  <c r="C733" i="127"/>
  <c r="C736" i="127"/>
  <c r="C734" i="127"/>
  <c r="C735" i="127"/>
  <c r="C737" i="127"/>
  <c r="C740" i="127"/>
  <c r="C741" i="127"/>
  <c r="C738" i="127"/>
  <c r="C739" i="127"/>
  <c r="C770" i="127"/>
  <c r="C762" i="127"/>
  <c r="C768" i="127"/>
  <c r="C769" i="127"/>
  <c r="C744" i="127"/>
  <c r="C767" i="127"/>
  <c r="C765" i="127"/>
  <c r="C751" i="127"/>
  <c r="C758" i="127"/>
  <c r="C761" i="127"/>
  <c r="C757" i="127"/>
  <c r="C756" i="127"/>
  <c r="C753" i="127"/>
  <c r="C749" i="127"/>
  <c r="C750" i="127"/>
  <c r="C763" i="127"/>
  <c r="C764" i="127"/>
  <c r="C747" i="127"/>
  <c r="C746" i="127"/>
  <c r="C766" i="127"/>
  <c r="C754" i="127"/>
  <c r="C755" i="127"/>
  <c r="C752" i="127"/>
  <c r="C760" i="127"/>
  <c r="C759" i="127"/>
  <c r="C745" i="127"/>
  <c r="C748" i="127"/>
  <c r="C781" i="127"/>
  <c r="C785" i="127"/>
  <c r="C772" i="127"/>
  <c r="C776" i="127"/>
  <c r="C780" i="127"/>
  <c r="C784" i="127"/>
  <c r="C778" i="127"/>
  <c r="C777" i="127"/>
  <c r="C779" i="127"/>
  <c r="C773" i="127"/>
  <c r="C775" i="127"/>
  <c r="C771" i="127"/>
  <c r="C774" i="127"/>
  <c r="C783" i="127"/>
  <c r="C796" i="127"/>
  <c r="C797" i="127"/>
  <c r="C798" i="127"/>
  <c r="C799" i="127"/>
  <c r="C800" i="127"/>
  <c r="C801" i="127"/>
  <c r="C794" i="127"/>
  <c r="C795" i="127"/>
  <c r="C792" i="127"/>
  <c r="C790" i="127"/>
  <c r="C787" i="127"/>
  <c r="C786" i="127"/>
  <c r="C791" i="127"/>
  <c r="C788" i="127"/>
  <c r="C789" i="127"/>
  <c r="C793" i="127"/>
  <c r="C806" i="127"/>
  <c r="C807" i="127"/>
  <c r="C808" i="127"/>
  <c r="C809" i="127"/>
  <c r="C805" i="127"/>
  <c r="C803" i="127"/>
  <c r="C804" i="127"/>
  <c r="C802" i="127"/>
  <c r="C813" i="127"/>
  <c r="C815" i="127"/>
  <c r="C817" i="127"/>
  <c r="C820" i="127"/>
  <c r="C821" i="127"/>
  <c r="C822" i="127"/>
  <c r="C811" i="127"/>
  <c r="C812" i="127"/>
  <c r="C816" i="127"/>
  <c r="C810" i="127"/>
  <c r="C819" i="127"/>
  <c r="C814" i="127"/>
  <c r="C818" i="127"/>
  <c r="C827" i="127"/>
  <c r="C835" i="127"/>
  <c r="C842" i="127"/>
  <c r="C843" i="127"/>
  <c r="C844" i="127"/>
  <c r="C833" i="127"/>
  <c r="C838" i="127"/>
  <c r="C840" i="127"/>
  <c r="C841" i="127"/>
  <c r="C832" i="127"/>
  <c r="C830" i="127"/>
  <c r="C828" i="127"/>
  <c r="C836" i="127"/>
  <c r="C839" i="127"/>
  <c r="C831" i="127"/>
  <c r="C834" i="127"/>
  <c r="C829" i="127"/>
  <c r="C837" i="127"/>
  <c r="C853" i="127"/>
  <c r="C855" i="127"/>
  <c r="C856" i="127"/>
  <c r="C857" i="127"/>
  <c r="C851" i="127"/>
  <c r="C846" i="127"/>
  <c r="C852" i="127"/>
  <c r="C847" i="127"/>
  <c r="C850" i="127"/>
  <c r="C848" i="127"/>
  <c r="C845" i="127"/>
  <c r="C854" i="127"/>
  <c r="C849" i="127"/>
  <c r="C858" i="127"/>
  <c r="C860" i="127"/>
  <c r="C859" i="127"/>
  <c r="C864" i="127"/>
  <c r="C861" i="127"/>
  <c r="C862" i="127"/>
  <c r="C865" i="127"/>
  <c r="C863" i="127"/>
  <c r="C866" i="127"/>
  <c r="C871" i="127"/>
  <c r="C872" i="127"/>
  <c r="C870" i="127"/>
  <c r="C867" i="127"/>
  <c r="C874" i="127"/>
  <c r="C875" i="127"/>
  <c r="C868" i="127"/>
  <c r="C869" i="127"/>
  <c r="C876" i="127"/>
  <c r="C878" i="127"/>
  <c r="C873" i="127"/>
  <c r="C879" i="127"/>
  <c r="C877" i="127"/>
  <c r="C881" i="127"/>
  <c r="C880" i="127"/>
  <c r="C882" i="127"/>
  <c r="C889" i="127"/>
  <c r="C886" i="127"/>
  <c r="C887" i="127"/>
  <c r="C884" i="127"/>
  <c r="C883" i="127"/>
  <c r="C885" i="127"/>
  <c r="C888" i="127"/>
  <c r="C893" i="127"/>
  <c r="C894" i="127"/>
  <c r="C891" i="127"/>
  <c r="C896" i="127"/>
  <c r="C898" i="127"/>
  <c r="C899" i="127"/>
  <c r="C900" i="127"/>
  <c r="C902" i="127"/>
  <c r="C903" i="127"/>
  <c r="C890" i="127"/>
  <c r="C895" i="127"/>
  <c r="C892" i="127"/>
  <c r="C901" i="127"/>
  <c r="C915" i="127"/>
  <c r="C913" i="127"/>
  <c r="C909" i="127"/>
  <c r="C910" i="127"/>
  <c r="C911" i="127"/>
  <c r="C904" i="127"/>
  <c r="C905" i="127"/>
  <c r="C914" i="127"/>
  <c r="C906" i="127"/>
  <c r="C912" i="127"/>
  <c r="C908" i="127"/>
  <c r="C907" i="127"/>
  <c r="C916" i="127"/>
  <c r="C917" i="127"/>
  <c r="C918" i="127"/>
  <c r="C926" i="127"/>
  <c r="C930" i="127"/>
  <c r="C933" i="127"/>
  <c r="C921" i="127"/>
  <c r="C922" i="127"/>
  <c r="C929" i="127"/>
  <c r="C925" i="127"/>
  <c r="C936" i="127"/>
  <c r="C927" i="127"/>
  <c r="C924" i="127"/>
  <c r="C923" i="127"/>
  <c r="C931" i="127"/>
  <c r="C934" i="127"/>
  <c r="C928" i="127"/>
  <c r="C937" i="127"/>
  <c r="C935" i="127"/>
  <c r="C919" i="127"/>
  <c r="C920" i="127"/>
  <c r="C932" i="127"/>
  <c r="C947" i="127"/>
  <c r="C949" i="127"/>
  <c r="C940" i="127"/>
  <c r="C944" i="127"/>
  <c r="C945" i="127"/>
  <c r="C938" i="127"/>
  <c r="C953" i="127"/>
  <c r="C942" i="127"/>
  <c r="C948" i="127"/>
  <c r="C951" i="127"/>
  <c r="C952" i="127"/>
  <c r="C943" i="127"/>
  <c r="C950" i="127"/>
  <c r="C941" i="127"/>
  <c r="C939" i="127"/>
  <c r="C946" i="127"/>
  <c r="C961" i="127"/>
  <c r="C956" i="127"/>
  <c r="C962" i="127"/>
  <c r="C964" i="127"/>
  <c r="C958" i="127"/>
  <c r="C959" i="127"/>
  <c r="C955" i="127"/>
  <c r="C963" i="127"/>
  <c r="C960" i="127"/>
  <c r="C957" i="127"/>
  <c r="C968" i="127"/>
  <c r="C969" i="127"/>
  <c r="C966" i="127"/>
  <c r="C970" i="127"/>
  <c r="C965" i="127"/>
  <c r="C984" i="127"/>
  <c r="C973" i="127"/>
  <c r="C972" i="127"/>
  <c r="C978" i="127"/>
  <c r="C983" i="127"/>
  <c r="C986" i="127"/>
  <c r="C980" i="127"/>
  <c r="C975" i="127"/>
  <c r="C982" i="127"/>
  <c r="C981" i="127"/>
  <c r="C976" i="127"/>
  <c r="C979" i="127"/>
  <c r="C985" i="127"/>
  <c r="C977" i="127"/>
  <c r="C988" i="127"/>
  <c r="C987" i="127"/>
  <c r="C971" i="127"/>
  <c r="C989" i="127"/>
  <c r="C974" i="127"/>
  <c r="C1001" i="127"/>
  <c r="C991" i="127"/>
  <c r="C1000" i="127"/>
  <c r="C998" i="127"/>
  <c r="C1003" i="127"/>
  <c r="C995" i="127"/>
  <c r="C993" i="127"/>
  <c r="C997" i="127"/>
  <c r="C994" i="127"/>
  <c r="C992" i="127"/>
  <c r="C990" i="127"/>
  <c r="C1004" i="127"/>
  <c r="C1002" i="127"/>
  <c r="C999" i="127"/>
  <c r="C996" i="127"/>
  <c r="C1005" i="127"/>
  <c r="C1007" i="127"/>
  <c r="C1009" i="127"/>
  <c r="C1008" i="127"/>
  <c r="C1010" i="127"/>
  <c r="C1006" i="127"/>
  <c r="C1011" i="127"/>
  <c r="C1012" i="127"/>
  <c r="C1021" i="127"/>
  <c r="C1016" i="127"/>
  <c r="C1024" i="127"/>
  <c r="C1019" i="127"/>
  <c r="C1018" i="127"/>
  <c r="C1013" i="127"/>
  <c r="C1026" i="127"/>
  <c r="C1023" i="127"/>
  <c r="C1017" i="127"/>
  <c r="C1025" i="127"/>
  <c r="C1015" i="127"/>
  <c r="C1014" i="127"/>
  <c r="C1020" i="127"/>
  <c r="C1022" i="127"/>
  <c r="C1029" i="127"/>
  <c r="C1028" i="127"/>
  <c r="C1027" i="127"/>
  <c r="C1033" i="127"/>
  <c r="C1034" i="127"/>
  <c r="C1036" i="127"/>
  <c r="C1030" i="127"/>
  <c r="C1037" i="127"/>
  <c r="C1032" i="127"/>
  <c r="C1038" i="127"/>
  <c r="C1031" i="127"/>
  <c r="C1035" i="127"/>
  <c r="C1039" i="127"/>
  <c r="C1040" i="127"/>
  <c r="C1043" i="127"/>
  <c r="C1044" i="127"/>
  <c r="C1046" i="127"/>
  <c r="C1045" i="127"/>
  <c r="C1047" i="127"/>
  <c r="C1041" i="127"/>
  <c r="C1042" i="127"/>
  <c r="C1059" i="127"/>
  <c r="C1050" i="127"/>
  <c r="C1073" i="127"/>
  <c r="C1067" i="127"/>
  <c r="C1070" i="127"/>
  <c r="C1066" i="127"/>
  <c r="C1058" i="127"/>
  <c r="C1053" i="127"/>
  <c r="C1068" i="127"/>
  <c r="C1055" i="127"/>
  <c r="C1072" i="127"/>
  <c r="C1051" i="127"/>
  <c r="C1057" i="127"/>
  <c r="C1061" i="127"/>
  <c r="C1063" i="127"/>
  <c r="C1060" i="127"/>
  <c r="C1048" i="127"/>
  <c r="C1074" i="127"/>
  <c r="C1049" i="127"/>
  <c r="C1052" i="127"/>
  <c r="C1065" i="127"/>
  <c r="C1056" i="127"/>
  <c r="C1077" i="127"/>
  <c r="C1071" i="127"/>
  <c r="C1075" i="127"/>
  <c r="C1076" i="127"/>
  <c r="C1064" i="127"/>
  <c r="C1062" i="127"/>
  <c r="C1054" i="127"/>
  <c r="C1069" i="127"/>
  <c r="C1095" i="127"/>
  <c r="C1083" i="127"/>
  <c r="C1085" i="127"/>
  <c r="C1082" i="127"/>
  <c r="C1090" i="127"/>
  <c r="C1089" i="127"/>
  <c r="C1080" i="127"/>
  <c r="C1088" i="127"/>
  <c r="C1091" i="127"/>
  <c r="C1084" i="127"/>
  <c r="C8" i="127"/>
  <c r="Q18" i="127"/>
  <c r="B6" i="134"/>
  <c r="B5" i="134"/>
  <c r="Q9" i="127"/>
  <c r="Q10" i="127"/>
  <c r="Q11" i="127"/>
  <c r="Q12" i="127"/>
  <c r="Q13" i="127"/>
  <c r="Q14" i="127"/>
  <c r="Q15" i="127"/>
  <c r="Q16" i="127"/>
  <c r="Q17" i="127"/>
  <c r="Q19" i="127"/>
  <c r="Q20" i="127"/>
  <c r="Q21" i="127"/>
  <c r="Q22" i="127"/>
  <c r="Q24" i="127"/>
  <c r="Q23" i="127"/>
  <c r="Q25" i="127"/>
  <c r="Q26" i="127"/>
  <c r="Q27" i="127"/>
  <c r="Q29" i="127"/>
  <c r="Q30" i="127"/>
  <c r="Q28" i="127"/>
  <c r="Q31" i="127"/>
  <c r="Q32" i="127"/>
  <c r="Q34" i="127"/>
  <c r="Q35" i="127"/>
  <c r="Q33" i="127"/>
  <c r="Q36" i="127"/>
  <c r="Q38" i="127"/>
  <c r="Q39" i="127"/>
  <c r="Q40" i="127"/>
  <c r="Q37" i="127"/>
  <c r="Q44" i="127"/>
  <c r="Q45" i="127"/>
  <c r="Q46" i="127"/>
  <c r="Q41" i="127"/>
  <c r="Q42" i="127"/>
  <c r="Q43" i="127"/>
  <c r="Q51" i="127"/>
  <c r="Q47" i="127"/>
  <c r="Q48" i="127"/>
  <c r="Q49" i="127"/>
  <c r="Q50" i="127"/>
  <c r="Q52" i="127"/>
  <c r="Q53" i="127"/>
  <c r="Q54" i="127"/>
  <c r="Q55" i="127"/>
  <c r="Q56" i="127"/>
  <c r="Q59" i="127"/>
  <c r="Q60" i="127"/>
  <c r="Q61" i="127"/>
  <c r="Q57" i="127"/>
  <c r="Q58" i="127"/>
  <c r="Q65" i="127"/>
  <c r="Q67" i="127"/>
  <c r="Q63" i="127"/>
  <c r="Q64" i="127"/>
  <c r="Q66" i="127"/>
  <c r="Q62" i="127"/>
  <c r="Q71" i="127"/>
  <c r="Q72" i="127"/>
  <c r="Q73" i="127"/>
  <c r="Q75" i="127"/>
  <c r="Q76" i="127"/>
  <c r="Q77" i="127"/>
  <c r="Q78" i="127"/>
  <c r="Q69" i="127"/>
  <c r="Q70" i="127"/>
  <c r="Q74" i="127"/>
  <c r="Q68" i="127"/>
  <c r="Q85" i="127"/>
  <c r="Q87" i="127"/>
  <c r="Q80" i="127"/>
  <c r="Q81" i="127"/>
  <c r="Q82" i="127"/>
  <c r="Q83" i="127"/>
  <c r="Q84" i="127"/>
  <c r="Q86" i="127"/>
  <c r="Q79" i="127"/>
  <c r="Q88" i="127"/>
  <c r="Q90" i="127"/>
  <c r="Q91" i="127"/>
  <c r="Q92" i="127"/>
  <c r="Q93" i="127"/>
  <c r="Q94" i="127"/>
  <c r="Q95" i="127"/>
  <c r="Q89" i="127"/>
  <c r="Q102" i="127"/>
  <c r="Q103" i="127"/>
  <c r="Q104" i="127"/>
  <c r="Q105" i="127"/>
  <c r="Q106" i="127"/>
  <c r="Q107" i="127"/>
  <c r="Q108" i="127"/>
  <c r="Q99" i="127"/>
  <c r="Q100" i="127"/>
  <c r="Q101" i="127"/>
  <c r="Q97" i="127"/>
  <c r="Q98" i="127"/>
  <c r="Q96" i="127"/>
  <c r="Q112" i="127"/>
  <c r="Q111" i="127"/>
  <c r="Q110" i="127"/>
  <c r="Q124" i="127"/>
  <c r="Q125" i="127"/>
  <c r="Q126" i="127"/>
  <c r="Q127" i="127"/>
  <c r="Q109" i="127"/>
  <c r="Q117" i="127"/>
  <c r="Q118" i="127"/>
  <c r="Q119" i="127"/>
  <c r="Q120" i="127"/>
  <c r="Q121" i="127"/>
  <c r="Q122" i="127"/>
  <c r="Q123" i="127"/>
  <c r="Q115" i="127"/>
  <c r="Q113" i="127"/>
  <c r="Q114" i="127"/>
  <c r="Q116" i="127"/>
  <c r="Q129" i="127"/>
  <c r="Q130" i="127"/>
  <c r="Q131" i="127"/>
  <c r="Q128" i="127"/>
  <c r="Q134" i="127"/>
  <c r="Q136" i="127"/>
  <c r="Q137" i="127"/>
  <c r="Q138" i="127"/>
  <c r="Q139" i="127"/>
  <c r="Q140" i="127"/>
  <c r="Q132" i="127"/>
  <c r="Q133" i="127"/>
  <c r="Q135" i="127"/>
  <c r="Q148" i="127"/>
  <c r="Q150" i="127"/>
  <c r="Q143" i="127"/>
  <c r="Q144" i="127"/>
  <c r="Q145" i="127"/>
  <c r="Q146" i="127"/>
  <c r="Q147" i="127"/>
  <c r="Q149" i="127"/>
  <c r="Q141" i="127"/>
  <c r="Q142" i="127"/>
  <c r="Q153" i="127"/>
  <c r="Q154" i="127"/>
  <c r="Q155" i="127"/>
  <c r="Q151" i="127"/>
  <c r="Q152" i="127"/>
  <c r="Q157" i="127"/>
  <c r="Q156" i="127"/>
  <c r="Q159" i="127"/>
  <c r="Q160" i="127"/>
  <c r="Q161" i="127"/>
  <c r="Q158" i="127"/>
  <c r="Q163" i="127"/>
  <c r="Q164" i="127"/>
  <c r="Q162" i="127"/>
  <c r="Q168" i="127"/>
  <c r="Q170" i="127"/>
  <c r="Q171" i="127"/>
  <c r="Q172" i="127"/>
  <c r="Q165" i="127"/>
  <c r="Q167" i="127"/>
  <c r="Q169" i="127"/>
  <c r="Q166" i="127"/>
  <c r="Q176" i="127"/>
  <c r="Q177" i="127"/>
  <c r="Q178" i="127"/>
  <c r="Q179" i="127"/>
  <c r="Q174" i="127"/>
  <c r="Q175" i="127"/>
  <c r="Q173" i="127"/>
  <c r="Q183" i="127"/>
  <c r="Q184" i="127"/>
  <c r="Q185" i="127"/>
  <c r="Q181" i="127"/>
  <c r="Q182" i="127"/>
  <c r="Q180" i="127"/>
  <c r="Q193" i="127"/>
  <c r="Q194" i="127"/>
  <c r="Q196" i="127"/>
  <c r="Q197" i="127"/>
  <c r="Q198" i="127"/>
  <c r="Q187" i="127"/>
  <c r="Q188" i="127"/>
  <c r="Q189" i="127"/>
  <c r="Q190" i="127"/>
  <c r="Q191" i="127"/>
  <c r="Q192" i="127"/>
  <c r="Q195" i="127"/>
  <c r="Q186" i="127"/>
  <c r="Q207" i="127"/>
  <c r="Q209" i="127"/>
  <c r="Q208" i="127"/>
  <c r="Q200" i="127"/>
  <c r="Q205" i="127"/>
  <c r="Q204" i="127"/>
  <c r="Q203" i="127"/>
  <c r="Q199" i="127"/>
  <c r="Q206" i="127"/>
  <c r="Q201" i="127"/>
  <c r="Q202" i="127"/>
  <c r="Q216" i="127"/>
  <c r="Q218" i="127"/>
  <c r="Q219" i="127"/>
  <c r="Q211" i="127"/>
  <c r="Q212" i="127"/>
  <c r="Q213" i="127"/>
  <c r="Q214" i="127"/>
  <c r="Q215" i="127"/>
  <c r="Q217" i="127"/>
  <c r="Q210" i="127"/>
  <c r="Q222" i="127"/>
  <c r="Q223" i="127"/>
  <c r="Q220" i="127"/>
  <c r="Q221" i="127"/>
  <c r="Q228" i="127"/>
  <c r="Q229" i="127"/>
  <c r="Q225" i="127"/>
  <c r="Q226" i="127"/>
  <c r="Q227" i="127"/>
  <c r="Q224" i="127"/>
  <c r="Q234" i="127"/>
  <c r="Q240" i="127"/>
  <c r="Q241" i="127"/>
  <c r="Q242" i="127"/>
  <c r="Q237" i="127"/>
  <c r="Q239" i="127"/>
  <c r="Q243" i="127"/>
  <c r="Q233" i="127"/>
  <c r="Q235" i="127"/>
  <c r="Q238" i="127"/>
  <c r="Q231" i="127"/>
  <c r="Q232" i="127"/>
  <c r="Q230" i="127"/>
  <c r="Q236" i="127"/>
  <c r="Q247" i="127"/>
  <c r="Q248" i="127"/>
  <c r="Q249" i="127"/>
  <c r="Q246" i="127"/>
  <c r="Q250" i="127"/>
  <c r="Q244" i="127"/>
  <c r="Q245" i="127"/>
  <c r="Q258" i="127"/>
  <c r="Q259" i="127"/>
  <c r="Q260" i="127"/>
  <c r="Q256" i="127"/>
  <c r="Q257" i="127"/>
  <c r="Q254" i="127"/>
  <c r="Q255" i="127"/>
  <c r="Q251" i="127"/>
  <c r="Q252" i="127"/>
  <c r="Q269" i="127"/>
  <c r="Q270" i="127"/>
  <c r="Q261" i="127"/>
  <c r="Q265" i="127"/>
  <c r="Q266" i="127"/>
  <c r="Q268" i="127"/>
  <c r="Q267" i="127"/>
  <c r="Q263" i="127"/>
  <c r="Q264" i="127"/>
  <c r="Q262" i="127"/>
  <c r="Q276" i="127"/>
  <c r="Q277" i="127"/>
  <c r="Q273" i="127"/>
  <c r="Q274" i="127"/>
  <c r="Q275" i="127"/>
  <c r="Q271" i="127"/>
  <c r="Q272" i="127"/>
  <c r="Q282" i="127"/>
  <c r="Q280" i="127"/>
  <c r="Q283" i="127"/>
  <c r="Q281" i="127"/>
  <c r="Q278" i="127"/>
  <c r="Q279" i="127"/>
  <c r="Q288" i="127"/>
  <c r="Q289" i="127"/>
  <c r="Q286" i="127"/>
  <c r="Q287" i="127"/>
  <c r="Q284" i="127"/>
  <c r="Q285" i="127"/>
  <c r="Q293" i="127"/>
  <c r="Q294" i="127"/>
  <c r="Q292" i="127"/>
  <c r="Q290" i="127"/>
  <c r="Q291" i="127"/>
  <c r="Q298" i="127"/>
  <c r="Q299" i="127"/>
  <c r="Q295" i="127"/>
  <c r="Q297" i="127"/>
  <c r="Q296" i="127"/>
  <c r="Q315" i="127"/>
  <c r="Q313" i="127"/>
  <c r="Q314" i="127"/>
  <c r="Q306" i="127"/>
  <c r="Q304" i="127"/>
  <c r="Q305" i="127"/>
  <c r="Q311" i="127"/>
  <c r="Q310" i="127"/>
  <c r="Q312" i="127"/>
  <c r="Q307" i="127"/>
  <c r="Q300" i="127"/>
  <c r="Q309" i="127"/>
  <c r="Q308" i="127"/>
  <c r="Q302" i="127"/>
  <c r="Q301" i="127"/>
  <c r="Q303" i="127"/>
  <c r="Q323" i="127"/>
  <c r="Q324" i="127"/>
  <c r="Q316" i="127"/>
  <c r="Q317" i="127"/>
  <c r="Q319" i="127"/>
  <c r="Q320" i="127"/>
  <c r="Q321" i="127"/>
  <c r="Q318" i="127"/>
  <c r="Q322" i="127"/>
  <c r="Q329" i="127"/>
  <c r="Q330" i="127"/>
  <c r="Q328" i="127"/>
  <c r="Q326" i="127"/>
  <c r="Q327" i="127"/>
  <c r="Q325" i="127"/>
  <c r="Q342" i="127"/>
  <c r="Q337" i="127"/>
  <c r="Q339" i="127"/>
  <c r="Q340" i="127"/>
  <c r="Q341" i="127"/>
  <c r="Q336" i="127"/>
  <c r="Q334" i="127"/>
  <c r="Q331" i="127"/>
  <c r="Q335" i="127"/>
  <c r="Q333" i="127"/>
  <c r="Q332" i="127"/>
  <c r="Q338" i="127"/>
  <c r="Q348" i="127"/>
  <c r="Q350" i="127"/>
  <c r="Q351" i="127"/>
  <c r="Q347" i="127"/>
  <c r="Q349" i="127"/>
  <c r="Q346" i="127"/>
  <c r="Q343" i="127"/>
  <c r="Q345" i="127"/>
  <c r="Q344" i="127"/>
  <c r="Q356" i="127"/>
  <c r="Q352" i="127"/>
  <c r="Q354" i="127"/>
  <c r="Q353" i="127"/>
  <c r="Q355" i="127"/>
  <c r="Q360" i="127"/>
  <c r="Q359" i="127"/>
  <c r="Q358" i="127"/>
  <c r="Q357" i="127"/>
  <c r="Q361" i="127"/>
  <c r="Q369" i="127"/>
  <c r="Q370" i="127"/>
  <c r="Q371" i="127"/>
  <c r="Q372" i="127"/>
  <c r="Q373" i="127"/>
  <c r="Q365" i="127"/>
  <c r="Q364" i="127"/>
  <c r="Q366" i="127"/>
  <c r="Q363" i="127"/>
  <c r="Q362" i="127"/>
  <c r="Q368" i="127"/>
  <c r="Q367" i="127"/>
  <c r="Q383" i="127"/>
  <c r="Q384" i="127"/>
  <c r="Q385" i="127"/>
  <c r="Q386" i="127"/>
  <c r="Q379" i="127"/>
  <c r="Q380" i="127"/>
  <c r="Q381" i="127"/>
  <c r="Q382" i="127"/>
  <c r="Q376" i="127"/>
  <c r="Q378" i="127"/>
  <c r="Q377" i="127"/>
  <c r="Q374" i="127"/>
  <c r="Q375" i="127"/>
  <c r="Q393" i="127"/>
  <c r="Q391" i="127"/>
  <c r="Q392" i="127"/>
  <c r="Q387" i="127"/>
  <c r="Q389" i="127"/>
  <c r="Q388" i="127"/>
  <c r="Q390" i="127"/>
  <c r="Q403" i="127"/>
  <c r="Q396" i="127"/>
  <c r="Q399" i="127"/>
  <c r="Q400" i="127"/>
  <c r="Q401" i="127"/>
  <c r="Q402" i="127"/>
  <c r="Q394" i="127"/>
  <c r="Q397" i="127"/>
  <c r="Q398" i="127"/>
  <c r="Q395" i="127"/>
  <c r="Q416" i="127"/>
  <c r="Q414" i="127"/>
  <c r="Q410" i="127"/>
  <c r="Q412" i="127"/>
  <c r="Q411" i="127"/>
  <c r="Q409" i="127"/>
  <c r="Q415" i="127"/>
  <c r="Q404" i="127"/>
  <c r="Q413" i="127"/>
  <c r="Q408" i="127"/>
  <c r="Q406" i="127"/>
  <c r="Q407" i="127"/>
  <c r="Q405" i="127"/>
  <c r="Q428" i="127"/>
  <c r="Q429" i="127"/>
  <c r="Q430" i="127"/>
  <c r="Q427" i="127"/>
  <c r="Q425" i="127"/>
  <c r="Q417" i="127"/>
  <c r="Q422" i="127"/>
  <c r="Q420" i="127"/>
  <c r="Q421" i="127"/>
  <c r="Q419" i="127"/>
  <c r="Q418" i="127"/>
  <c r="Q423" i="127"/>
  <c r="Q424" i="127"/>
  <c r="Q426" i="127"/>
  <c r="Q441" i="127"/>
  <c r="Q442" i="127"/>
  <c r="Q438" i="127"/>
  <c r="Q439" i="127"/>
  <c r="Q440" i="127"/>
  <c r="Q436" i="127"/>
  <c r="Q434" i="127"/>
  <c r="Q433" i="127"/>
  <c r="Q432" i="127"/>
  <c r="Q437" i="127"/>
  <c r="Q431" i="127"/>
  <c r="Q435" i="127"/>
  <c r="Q453" i="127"/>
  <c r="Q454" i="127"/>
  <c r="Q450" i="127"/>
  <c r="Q452" i="127"/>
  <c r="Q451" i="127"/>
  <c r="Q443" i="127"/>
  <c r="Q448" i="127"/>
  <c r="Q449" i="127"/>
  <c r="Q444" i="127"/>
  <c r="Q447" i="127"/>
  <c r="Q446" i="127"/>
  <c r="Q445" i="127"/>
  <c r="Q466" i="127"/>
  <c r="Q468" i="127"/>
  <c r="Q469" i="127"/>
  <c r="Q459" i="127"/>
  <c r="Q463" i="127"/>
  <c r="Q464" i="127"/>
  <c r="Q465" i="127"/>
  <c r="Q467" i="127"/>
  <c r="Q458" i="127"/>
  <c r="Q457" i="127"/>
  <c r="Q455" i="127"/>
  <c r="Q456" i="127"/>
  <c r="Q462" i="127"/>
  <c r="Q460" i="127"/>
  <c r="Q461" i="127"/>
  <c r="Q470" i="127"/>
  <c r="Q473" i="127"/>
  <c r="Q471" i="127"/>
  <c r="Q472" i="127"/>
  <c r="Q487" i="127"/>
  <c r="Q489" i="127"/>
  <c r="Q491" i="127"/>
  <c r="Q492" i="127"/>
  <c r="Q478" i="127"/>
  <c r="Q488" i="127"/>
  <c r="Q490" i="127"/>
  <c r="Q484" i="127"/>
  <c r="Q477" i="127"/>
  <c r="Q482" i="127"/>
  <c r="Q483" i="127"/>
  <c r="Q481" i="127"/>
  <c r="Q476" i="127"/>
  <c r="Q480" i="127"/>
  <c r="Q475" i="127"/>
  <c r="Q479" i="127"/>
  <c r="Q485" i="127"/>
  <c r="Q474" i="127"/>
  <c r="Q500" i="127"/>
  <c r="Q501" i="127"/>
  <c r="Q502" i="127"/>
  <c r="Q503" i="127"/>
  <c r="Q497" i="127"/>
  <c r="Q498" i="127"/>
  <c r="Q499" i="127"/>
  <c r="Q493" i="127"/>
  <c r="Q494" i="127"/>
  <c r="Q496" i="127"/>
  <c r="Q495" i="127"/>
  <c r="Q512" i="127"/>
  <c r="Q505" i="127"/>
  <c r="Q511" i="127"/>
  <c r="Q504" i="127"/>
  <c r="Q508" i="127"/>
  <c r="Q510" i="127"/>
  <c r="Q506" i="127"/>
  <c r="Q509" i="127"/>
  <c r="Q507" i="127"/>
  <c r="Q526" i="127"/>
  <c r="Q527" i="127"/>
  <c r="Q528" i="127"/>
  <c r="Q516" i="127"/>
  <c r="Q523" i="127"/>
  <c r="Q524" i="127"/>
  <c r="Q525" i="127"/>
  <c r="Q529" i="127"/>
  <c r="Q517" i="127"/>
  <c r="Q513" i="127"/>
  <c r="Q520" i="127"/>
  <c r="Q519" i="127"/>
  <c r="Q518" i="127"/>
  <c r="Q514" i="127"/>
  <c r="Q515" i="127"/>
  <c r="Q522" i="127"/>
  <c r="Q540" i="127"/>
  <c r="Q541" i="127"/>
  <c r="Q539" i="127"/>
  <c r="Q534" i="127"/>
  <c r="Q536" i="127"/>
  <c r="Q530" i="127"/>
  <c r="Q537" i="127"/>
  <c r="Q533" i="127"/>
  <c r="Q538" i="127"/>
  <c r="Q531" i="127"/>
  <c r="Q532" i="127"/>
  <c r="Q535" i="127"/>
  <c r="Q547" i="127"/>
  <c r="Q543" i="127"/>
  <c r="Q545" i="127"/>
  <c r="Q548" i="127"/>
  <c r="Q546" i="127"/>
  <c r="Q544" i="127"/>
  <c r="Q542" i="127"/>
  <c r="Q555" i="127"/>
  <c r="Q556" i="127"/>
  <c r="Q551" i="127"/>
  <c r="Q554" i="127"/>
  <c r="Q550" i="127"/>
  <c r="Q552" i="127"/>
  <c r="Q549" i="127"/>
  <c r="Q553" i="127"/>
  <c r="Q557" i="127"/>
  <c r="Q558" i="127"/>
  <c r="Q559" i="127"/>
  <c r="Q560" i="127"/>
  <c r="Q571" i="127"/>
  <c r="Q572" i="127"/>
  <c r="Q573" i="127"/>
  <c r="Q568" i="127"/>
  <c r="Q569" i="127"/>
  <c r="Q570" i="127"/>
  <c r="Q562" i="127"/>
  <c r="Q563" i="127"/>
  <c r="Q564" i="127"/>
  <c r="Q561" i="127"/>
  <c r="Q565" i="127"/>
  <c r="Q567" i="127"/>
  <c r="Q566" i="127"/>
  <c r="Q583" i="127"/>
  <c r="Q582" i="127"/>
  <c r="Q574" i="127"/>
  <c r="Q575" i="127"/>
  <c r="Q576" i="127"/>
  <c r="Q581" i="127"/>
  <c r="Q577" i="127"/>
  <c r="Q580" i="127"/>
  <c r="Q578" i="127"/>
  <c r="Q579" i="127"/>
  <c r="Q594" i="127"/>
  <c r="Q595" i="127"/>
  <c r="Q589" i="127"/>
  <c r="Q593" i="127"/>
  <c r="Q584" i="127"/>
  <c r="Q585" i="127"/>
  <c r="Q588" i="127"/>
  <c r="Q586" i="127"/>
  <c r="Q590" i="127"/>
  <c r="Q587" i="127"/>
  <c r="Q592" i="127"/>
  <c r="Q591" i="127"/>
  <c r="Q598" i="127"/>
  <c r="Q596" i="127"/>
  <c r="Q597" i="127"/>
  <c r="Q599" i="127"/>
  <c r="Q601" i="127"/>
  <c r="Q600" i="127"/>
  <c r="Q602" i="127"/>
  <c r="Q618" i="127"/>
  <c r="Q619" i="127"/>
  <c r="Q615" i="127"/>
  <c r="Q616" i="127"/>
  <c r="Q617" i="127"/>
  <c r="Q620" i="127"/>
  <c r="Q603" i="127"/>
  <c r="Q614" i="127"/>
  <c r="Q609" i="127"/>
  <c r="Q610" i="127"/>
  <c r="Q607" i="127"/>
  <c r="Q613" i="127"/>
  <c r="Q606" i="127"/>
  <c r="Q605" i="127"/>
  <c r="Q604" i="127"/>
  <c r="Q612" i="127"/>
  <c r="Q611" i="127"/>
  <c r="Q608" i="127"/>
  <c r="Q630" i="127"/>
  <c r="Q631" i="127"/>
  <c r="Q622" i="127"/>
  <c r="Q627" i="127"/>
  <c r="Q626" i="127"/>
  <c r="Q624" i="127"/>
  <c r="Q629" i="127"/>
  <c r="Q625" i="127"/>
  <c r="Q628" i="127"/>
  <c r="Q623" i="127"/>
  <c r="Q640" i="127"/>
  <c r="Q641" i="127"/>
  <c r="Q642" i="127"/>
  <c r="Q643" i="127"/>
  <c r="Q644" i="127"/>
  <c r="Q634" i="127"/>
  <c r="Q636" i="127"/>
  <c r="Q633" i="127"/>
  <c r="Q635" i="127"/>
  <c r="Q638" i="127"/>
  <c r="Q637" i="127"/>
  <c r="Q639" i="127"/>
  <c r="Q632" i="127"/>
  <c r="Q655" i="127"/>
  <c r="Q656" i="127"/>
  <c r="Q657" i="127"/>
  <c r="Q647" i="127"/>
  <c r="Q653" i="127"/>
  <c r="Q654" i="127"/>
  <c r="Q650" i="127"/>
  <c r="Q649" i="127"/>
  <c r="Q652" i="127"/>
  <c r="Q648" i="127"/>
  <c r="Q646" i="127"/>
  <c r="Q651" i="127"/>
  <c r="Q645" i="127"/>
  <c r="Q666" i="127"/>
  <c r="Q667" i="127"/>
  <c r="Q663" i="127"/>
  <c r="Q664" i="127"/>
  <c r="Q665" i="127"/>
  <c r="Q659" i="127"/>
  <c r="Q662" i="127"/>
  <c r="Q660" i="127"/>
  <c r="Q658" i="127"/>
  <c r="Q661" i="127"/>
  <c r="Q668" i="127"/>
  <c r="Q669" i="127"/>
  <c r="Q689" i="127"/>
  <c r="Q685" i="127"/>
  <c r="Q686" i="127"/>
  <c r="Q687" i="127"/>
  <c r="Q688" i="127"/>
  <c r="Q682" i="127"/>
  <c r="Q677" i="127"/>
  <c r="Q672" i="127"/>
  <c r="Q670" i="127"/>
  <c r="Q684" i="127"/>
  <c r="Q678" i="127"/>
  <c r="Q676" i="127"/>
  <c r="Q681" i="127"/>
  <c r="Q674" i="127"/>
  <c r="Q680" i="127"/>
  <c r="Q679" i="127"/>
  <c r="Q675" i="127"/>
  <c r="Q683" i="127"/>
  <c r="Q671" i="127"/>
  <c r="Q673" i="127"/>
  <c r="Q700" i="127"/>
  <c r="Q692" i="127"/>
  <c r="Q696" i="127"/>
  <c r="Q699" i="127"/>
  <c r="Q690" i="127"/>
  <c r="Q697" i="127"/>
  <c r="Q691" i="127"/>
  <c r="Q694" i="127"/>
  <c r="Q695" i="127"/>
  <c r="Q698" i="127"/>
  <c r="Q693" i="127"/>
  <c r="Q702" i="127"/>
  <c r="Q701" i="127"/>
  <c r="Q703" i="127"/>
  <c r="Q716" i="127"/>
  <c r="Q710" i="127"/>
  <c r="Q707" i="127"/>
  <c r="Q711" i="127"/>
  <c r="Q706" i="127"/>
  <c r="Q715" i="127"/>
  <c r="Q713" i="127"/>
  <c r="Q708" i="127"/>
  <c r="Q709" i="127"/>
  <c r="Q712" i="127"/>
  <c r="Q714" i="127"/>
  <c r="Q704" i="127"/>
  <c r="Q717" i="127"/>
  <c r="Q705" i="127"/>
  <c r="Q732" i="127"/>
  <c r="Q724" i="127"/>
  <c r="Q731" i="127"/>
  <c r="Q721" i="127"/>
  <c r="Q729" i="127"/>
  <c r="Q730" i="127"/>
  <c r="Q722" i="127"/>
  <c r="Q725" i="127"/>
  <c r="Q723" i="127"/>
  <c r="Q728" i="127"/>
  <c r="Q726" i="127"/>
  <c r="Q727" i="127"/>
  <c r="Q720" i="127"/>
  <c r="Q742" i="127"/>
  <c r="Q743" i="127"/>
  <c r="Q733" i="127"/>
  <c r="Q736" i="127"/>
  <c r="Q734" i="127"/>
  <c r="Q735" i="127"/>
  <c r="Q737" i="127"/>
  <c r="Q740" i="127"/>
  <c r="Q741" i="127"/>
  <c r="Q739" i="127"/>
  <c r="Q770" i="127"/>
  <c r="Q762" i="127"/>
  <c r="Q768" i="127"/>
  <c r="Q769" i="127"/>
  <c r="Q744" i="127"/>
  <c r="Q767" i="127"/>
  <c r="Q765" i="127"/>
  <c r="Q751" i="127"/>
  <c r="Q758" i="127"/>
  <c r="Q761" i="127"/>
  <c r="Q757" i="127"/>
  <c r="Q756" i="127"/>
  <c r="Q753" i="127"/>
  <c r="Q749" i="127"/>
  <c r="Q750" i="127"/>
  <c r="Q763" i="127"/>
  <c r="Q764" i="127"/>
  <c r="Q747" i="127"/>
  <c r="Q746" i="127"/>
  <c r="Q766" i="127"/>
  <c r="Q754" i="127"/>
  <c r="Q755" i="127"/>
  <c r="Q752" i="127"/>
  <c r="Q760" i="127"/>
  <c r="Q759" i="127"/>
  <c r="Q745" i="127"/>
  <c r="Q748" i="127"/>
  <c r="Q785" i="127"/>
  <c r="Q772" i="127"/>
  <c r="Q776" i="127"/>
  <c r="Q780" i="127"/>
  <c r="Q784" i="127"/>
  <c r="Q778" i="127"/>
  <c r="Q777" i="127"/>
  <c r="Q779" i="127"/>
  <c r="Q773" i="127"/>
  <c r="Q775" i="127"/>
  <c r="Q771" i="127"/>
  <c r="Q774" i="127"/>
  <c r="Q796" i="127"/>
  <c r="Q797" i="127"/>
  <c r="Q798" i="127"/>
  <c r="Q799" i="127"/>
  <c r="Q800" i="127"/>
  <c r="Q801" i="127"/>
  <c r="Q794" i="127"/>
  <c r="Q795" i="127"/>
  <c r="Q792" i="127"/>
  <c r="Q790" i="127"/>
  <c r="Q787" i="127"/>
  <c r="Q786" i="127"/>
  <c r="Q791" i="127"/>
  <c r="Q788" i="127"/>
  <c r="Q789" i="127"/>
  <c r="Q793" i="127"/>
  <c r="Q806" i="127"/>
  <c r="Q807" i="127"/>
  <c r="Q808" i="127"/>
  <c r="Q809" i="127"/>
  <c r="Q805" i="127"/>
  <c r="Q803" i="127"/>
  <c r="Q804" i="127"/>
  <c r="Q802" i="127"/>
  <c r="Q813" i="127"/>
  <c r="Q815" i="127"/>
  <c r="Q817" i="127"/>
  <c r="Q820" i="127"/>
  <c r="Q821" i="127"/>
  <c r="Q822" i="127"/>
  <c r="Q811" i="127"/>
  <c r="Q812" i="127"/>
  <c r="Q816" i="127"/>
  <c r="Q810" i="127"/>
  <c r="Q819" i="127"/>
  <c r="Q814" i="127"/>
  <c r="Q818" i="127"/>
  <c r="Q827" i="127"/>
  <c r="Q835" i="127"/>
  <c r="Q842" i="127"/>
  <c r="Q843" i="127"/>
  <c r="Q844" i="127"/>
  <c r="Q833" i="127"/>
  <c r="Q838" i="127"/>
  <c r="Q840" i="127"/>
  <c r="Q841" i="127"/>
  <c r="Q832" i="127"/>
  <c r="Q828" i="127"/>
  <c r="Q836" i="127"/>
  <c r="Q839" i="127"/>
  <c r="Q831" i="127"/>
  <c r="Q834" i="127"/>
  <c r="Q829" i="127"/>
  <c r="Q837" i="127"/>
  <c r="Q853" i="127"/>
  <c r="Q855" i="127"/>
  <c r="Q856" i="127"/>
  <c r="Q857" i="127"/>
  <c r="Q851" i="127"/>
  <c r="Q846" i="127"/>
  <c r="Q852" i="127"/>
  <c r="Q847" i="127"/>
  <c r="Q850" i="127"/>
  <c r="Q848" i="127"/>
  <c r="Q845" i="127"/>
  <c r="Q854" i="127"/>
  <c r="Q849" i="127"/>
  <c r="Q858" i="127"/>
  <c r="Q860" i="127"/>
  <c r="Q859" i="127"/>
  <c r="Q864" i="127"/>
  <c r="Q861" i="127"/>
  <c r="Q862" i="127"/>
  <c r="Q865" i="127"/>
  <c r="Q863" i="127"/>
  <c r="Q866" i="127"/>
  <c r="Q871" i="127"/>
  <c r="Q872" i="127"/>
  <c r="Q870" i="127"/>
  <c r="Q867" i="127"/>
  <c r="Q874" i="127"/>
  <c r="Q875" i="127"/>
  <c r="Q868" i="127"/>
  <c r="Q869" i="127"/>
  <c r="Q876" i="127"/>
  <c r="Q878" i="127"/>
  <c r="Q873" i="127"/>
  <c r="Q879" i="127"/>
  <c r="Q877" i="127"/>
  <c r="Q881" i="127"/>
  <c r="Q880" i="127"/>
  <c r="Q882" i="127"/>
  <c r="Q889" i="127"/>
  <c r="Q886" i="127"/>
  <c r="Q887" i="127"/>
  <c r="Q884" i="127"/>
  <c r="Q883" i="127"/>
  <c r="Q885" i="127"/>
  <c r="Q888" i="127"/>
  <c r="Q893" i="127"/>
  <c r="Q894" i="127"/>
  <c r="Q891" i="127"/>
  <c r="Q896" i="127"/>
  <c r="Q898" i="127"/>
  <c r="Q899" i="127"/>
  <c r="Q900" i="127"/>
  <c r="Q902" i="127"/>
  <c r="Q903" i="127"/>
  <c r="Q890" i="127"/>
  <c r="Q895" i="127"/>
  <c r="Q892" i="127"/>
  <c r="Q901" i="127"/>
  <c r="Q915" i="127"/>
  <c r="Q913" i="127"/>
  <c r="Q909" i="127"/>
  <c r="Q910" i="127"/>
  <c r="Q911" i="127"/>
  <c r="Q904" i="127"/>
  <c r="Q905" i="127"/>
  <c r="Q914" i="127"/>
  <c r="Q906" i="127"/>
  <c r="Q912" i="127"/>
  <c r="Q908" i="127"/>
  <c r="Q907" i="127"/>
  <c r="Q916" i="127"/>
  <c r="Q917" i="127"/>
  <c r="Q918" i="127"/>
  <c r="Q926" i="127"/>
  <c r="Q930" i="127"/>
  <c r="Q933" i="127"/>
  <c r="Q921" i="127"/>
  <c r="Q922" i="127"/>
  <c r="Q929" i="127"/>
  <c r="Q925" i="127"/>
  <c r="Q936" i="127"/>
  <c r="Q927" i="127"/>
  <c r="Q924" i="127"/>
  <c r="Q923" i="127"/>
  <c r="Q931" i="127"/>
  <c r="Q934" i="127"/>
  <c r="Q928" i="127"/>
  <c r="Q937" i="127"/>
  <c r="Q935" i="127"/>
  <c r="Q919" i="127"/>
  <c r="Q920" i="127"/>
  <c r="Q932" i="127"/>
  <c r="Q947" i="127"/>
  <c r="Q949" i="127"/>
  <c r="Q940" i="127"/>
  <c r="Q944" i="127"/>
  <c r="Q945" i="127"/>
  <c r="Q938" i="127"/>
  <c r="Q953" i="127"/>
  <c r="Q942" i="127"/>
  <c r="Q948" i="127"/>
  <c r="Q951" i="127"/>
  <c r="Q952" i="127"/>
  <c r="Q943" i="127"/>
  <c r="Q950" i="127"/>
  <c r="Q941" i="127"/>
  <c r="Q939" i="127"/>
  <c r="Q946" i="127"/>
  <c r="Q961" i="127"/>
  <c r="Q956" i="127"/>
  <c r="Q962" i="127"/>
  <c r="Q964" i="127"/>
  <c r="Q958" i="127"/>
  <c r="Q959" i="127"/>
  <c r="Q955" i="127"/>
  <c r="Q963" i="127"/>
  <c r="Q960" i="127"/>
  <c r="Q957" i="127"/>
  <c r="Q968" i="127"/>
  <c r="Q969" i="127"/>
  <c r="Q970" i="127"/>
  <c r="Q965" i="127"/>
  <c r="Q984" i="127"/>
  <c r="Q973" i="127"/>
  <c r="Q972" i="127"/>
  <c r="Q978" i="127"/>
  <c r="Q983" i="127"/>
  <c r="Q986" i="127"/>
  <c r="Q980" i="127"/>
  <c r="Q975" i="127"/>
  <c r="Q982" i="127"/>
  <c r="Q981" i="127"/>
  <c r="Q976" i="127"/>
  <c r="Q979" i="127"/>
  <c r="Q985" i="127"/>
  <c r="Q977" i="127"/>
  <c r="Q988" i="127"/>
  <c r="Q987" i="127"/>
  <c r="Q971" i="127"/>
  <c r="Q989" i="127"/>
  <c r="Q974" i="127"/>
  <c r="Q1001" i="127"/>
  <c r="Q991" i="127"/>
  <c r="Q1000" i="127"/>
  <c r="Q998" i="127"/>
  <c r="Q1003" i="127"/>
  <c r="Q995" i="127"/>
  <c r="Q993" i="127"/>
  <c r="Q997" i="127"/>
  <c r="Q994" i="127"/>
  <c r="Q992" i="127"/>
  <c r="Q990" i="127"/>
  <c r="Q1004" i="127"/>
  <c r="Q1002" i="127"/>
  <c r="Q999" i="127"/>
  <c r="Q996" i="127"/>
  <c r="Q1005" i="127"/>
  <c r="Q1007" i="127"/>
  <c r="Q1009" i="127"/>
  <c r="Q1008" i="127"/>
  <c r="Q1010" i="127"/>
  <c r="Q1006" i="127"/>
  <c r="Q1011" i="127"/>
  <c r="Q1012" i="127"/>
  <c r="Q1021" i="127"/>
  <c r="Q1016" i="127"/>
  <c r="Q1024" i="127"/>
  <c r="Q1019" i="127"/>
  <c r="Q1018" i="127"/>
  <c r="Q1013" i="127"/>
  <c r="Q1026" i="127"/>
  <c r="Q1023" i="127"/>
  <c r="Q1017" i="127"/>
  <c r="Q1025" i="127"/>
  <c r="Q1015" i="127"/>
  <c r="Q1014" i="127"/>
  <c r="Q1020" i="127"/>
  <c r="Q1022" i="127"/>
  <c r="Q1029" i="127"/>
  <c r="Q1028" i="127"/>
  <c r="Q1027" i="127"/>
  <c r="Q1033" i="127"/>
  <c r="Q1034" i="127"/>
  <c r="Q1036" i="127"/>
  <c r="Q1030" i="127"/>
  <c r="Q1037" i="127"/>
  <c r="Q1032" i="127"/>
  <c r="Q1038" i="127"/>
  <c r="Q1031" i="127"/>
  <c r="Q1035" i="127"/>
  <c r="Q1039" i="127"/>
  <c r="Q1040" i="127"/>
  <c r="Q1043" i="127"/>
  <c r="Q1044" i="127"/>
  <c r="Q1046" i="127"/>
  <c r="Q1045" i="127"/>
  <c r="Q1047" i="127"/>
  <c r="Q1041" i="127"/>
  <c r="Q1042" i="127"/>
  <c r="Q1059" i="127"/>
  <c r="Q1050" i="127"/>
  <c r="Q1073" i="127"/>
  <c r="Q1067" i="127"/>
  <c r="Q1070" i="127"/>
  <c r="Q1066" i="127"/>
  <c r="Q1058" i="127"/>
  <c r="Q1053" i="127"/>
  <c r="Q1068" i="127"/>
  <c r="Q1055" i="127"/>
  <c r="Q1072" i="127"/>
  <c r="Q1051" i="127"/>
  <c r="Q1057" i="127"/>
  <c r="Q1061" i="127"/>
  <c r="Q1063" i="127"/>
  <c r="Q1060" i="127"/>
  <c r="Q1048" i="127"/>
  <c r="Q1074" i="127"/>
  <c r="Q1049" i="127"/>
  <c r="Q1052" i="127"/>
  <c r="Q1065" i="127"/>
  <c r="Q1056" i="127"/>
  <c r="Q1077" i="127"/>
  <c r="Q1071" i="127"/>
  <c r="Q1075" i="127"/>
  <c r="Q1076" i="127"/>
  <c r="Q1064" i="127"/>
  <c r="Q1062" i="127"/>
  <c r="Q1054" i="127"/>
  <c r="Q1069" i="127"/>
  <c r="Q1095" i="127"/>
  <c r="Q1083" i="127"/>
  <c r="Q1085" i="127"/>
  <c r="Q1082" i="127"/>
  <c r="Q1090" i="127"/>
  <c r="Q1089" i="127"/>
  <c r="Q1080" i="127"/>
  <c r="Q1088" i="127"/>
  <c r="Q1091" i="127"/>
  <c r="Q1084" i="127"/>
  <c r="Q1096" i="127"/>
  <c r="Q1094" i="127"/>
  <c r="Q1079" i="127"/>
  <c r="Q1078" i="127"/>
  <c r="Q1081" i="127"/>
  <c r="Q1093" i="127"/>
  <c r="Q1087" i="127"/>
  <c r="Q1086" i="127"/>
  <c r="Q1092" i="127"/>
  <c r="Q1101" i="127"/>
  <c r="Q1106" i="127"/>
  <c r="Q1103" i="127"/>
  <c r="Q1107" i="127"/>
  <c r="Q1100" i="127"/>
  <c r="Q1102" i="127"/>
  <c r="Q1098" i="127"/>
  <c r="Q1099" i="127"/>
  <c r="Q1104" i="127"/>
  <c r="Q1105" i="127"/>
  <c r="Q1097" i="127"/>
  <c r="Q1109" i="127"/>
  <c r="Q1108" i="127"/>
  <c r="Q1121" i="127"/>
  <c r="Q1123" i="127"/>
  <c r="Q1124" i="127"/>
  <c r="Q1120" i="127"/>
  <c r="Q1111" i="127"/>
  <c r="Q1110" i="127"/>
  <c r="Q1117" i="127"/>
  <c r="Q1115" i="127"/>
  <c r="Q1118" i="127"/>
  <c r="Q1119" i="127"/>
  <c r="Q1112" i="127"/>
  <c r="Q1114" i="127"/>
  <c r="Q1116" i="127"/>
  <c r="Q1113" i="127"/>
  <c r="Q1132" i="127"/>
  <c r="Q1127" i="127"/>
  <c r="Q1134" i="127"/>
  <c r="Q1135" i="127"/>
  <c r="Q1133" i="127"/>
  <c r="Q1128" i="127"/>
  <c r="Q1129" i="127"/>
  <c r="Q1125" i="127"/>
  <c r="Q1130" i="127"/>
  <c r="Q1126" i="127"/>
  <c r="Q1131" i="127"/>
  <c r="Q1138" i="127"/>
  <c r="Q1151" i="127"/>
  <c r="Q1150" i="127"/>
  <c r="Q1149" i="127"/>
  <c r="Q1142" i="127"/>
  <c r="Q1148" i="127"/>
  <c r="Q1146" i="127"/>
  <c r="Q1137" i="127"/>
  <c r="Q1139" i="127"/>
  <c r="Q1136" i="127"/>
  <c r="Q1140" i="127"/>
  <c r="Q1141" i="127"/>
  <c r="Q1147" i="127"/>
  <c r="Q1143" i="127"/>
  <c r="Q1144" i="127"/>
  <c r="Q1145" i="127"/>
  <c r="Q1177" i="127"/>
  <c r="Q1167" i="127"/>
  <c r="Q1171" i="127"/>
  <c r="Q1154" i="127"/>
  <c r="Q1172" i="127"/>
  <c r="Q1153" i="127"/>
  <c r="Q1152" i="127"/>
  <c r="Q1168" i="127"/>
  <c r="Q1169" i="127"/>
  <c r="Q1174" i="127"/>
  <c r="Q1176" i="127"/>
  <c r="Q1173" i="127"/>
  <c r="Q1160" i="127"/>
  <c r="Q1161" i="127"/>
  <c r="Q1159" i="127"/>
  <c r="Q1175" i="127"/>
  <c r="Q1162" i="127"/>
  <c r="Q1166" i="127"/>
  <c r="Q1157" i="127"/>
  <c r="Q1155" i="127"/>
  <c r="Q1163" i="127"/>
  <c r="Q1158" i="127"/>
  <c r="Q1170" i="127"/>
  <c r="Q1164" i="127"/>
  <c r="Q1165" i="127"/>
  <c r="Q1178" i="127"/>
  <c r="Q1156" i="127"/>
  <c r="Q1179" i="127"/>
  <c r="Q1182" i="127"/>
  <c r="Q1181" i="127"/>
  <c r="Q1180" i="127"/>
  <c r="Q1191" i="127"/>
  <c r="Q1190" i="127"/>
  <c r="Q1189" i="127"/>
  <c r="Q1187" i="127"/>
  <c r="Q1185" i="127"/>
  <c r="Q1188" i="127"/>
  <c r="Q1184" i="127"/>
  <c r="Q1186" i="127"/>
  <c r="Q1183" i="127"/>
  <c r="Q1192" i="127"/>
  <c r="Q1210" i="127"/>
  <c r="Q1203" i="127"/>
  <c r="Q1207" i="127"/>
  <c r="Q1201" i="127"/>
  <c r="Q1205" i="127"/>
  <c r="Q1199" i="127"/>
  <c r="Q1206" i="127"/>
  <c r="Q1204" i="127"/>
  <c r="Q1196" i="127"/>
  <c r="Q1198" i="127"/>
  <c r="Q1197" i="127"/>
  <c r="Q1202" i="127"/>
  <c r="Q1195" i="127"/>
  <c r="Q1194" i="127"/>
  <c r="Q1193" i="127"/>
  <c r="Q1209" i="127"/>
  <c r="Q1200" i="127"/>
  <c r="Q1227" i="127"/>
  <c r="Q1230" i="127"/>
  <c r="Q1229" i="127"/>
  <c r="Q1228" i="127"/>
  <c r="Q1226" i="127"/>
  <c r="Q1219" i="127"/>
  <c r="Q1213" i="127"/>
  <c r="Q1214" i="127"/>
  <c r="Q1212" i="127"/>
  <c r="Q1217" i="127"/>
  <c r="Q1221" i="127"/>
  <c r="Q1223" i="127"/>
  <c r="Q1215" i="127"/>
  <c r="Q1211" i="127"/>
  <c r="Q1225" i="127"/>
  <c r="Q1224" i="127"/>
  <c r="Q1220" i="127"/>
  <c r="Q1216" i="127"/>
  <c r="Q1222" i="127"/>
  <c r="Q1234" i="127"/>
  <c r="Q1238" i="127"/>
  <c r="Q1231" i="127"/>
  <c r="Q1232" i="127"/>
  <c r="Q1233" i="127"/>
  <c r="Q1235" i="127"/>
  <c r="Q1236" i="127"/>
  <c r="Q1237" i="127"/>
  <c r="Q1240" i="127"/>
  <c r="Q1239" i="127"/>
  <c r="Q1245" i="127"/>
  <c r="Q1261" i="127"/>
  <c r="Q1257" i="127"/>
  <c r="Q1259" i="127"/>
  <c r="Q1246" i="127"/>
  <c r="Q1258" i="127"/>
  <c r="Q1248" i="127"/>
  <c r="Q1254" i="127"/>
  <c r="Q1260" i="127"/>
  <c r="Q1250" i="127"/>
  <c r="Q1241" i="127"/>
  <c r="Q1256" i="127"/>
  <c r="Q1247" i="127"/>
  <c r="Q1243" i="127"/>
  <c r="Q1262" i="127"/>
  <c r="Q1253" i="127"/>
  <c r="Q1263" i="127"/>
  <c r="Q1255" i="127"/>
  <c r="Q1249" i="127"/>
  <c r="Q1267" i="127"/>
  <c r="Q1268" i="127"/>
  <c r="Q1265" i="127"/>
  <c r="Q1266" i="127"/>
  <c r="Q1251" i="127"/>
  <c r="Q1264" i="127"/>
  <c r="Q1252" i="127"/>
  <c r="Q1244" i="127"/>
  <c r="Q1275" i="127"/>
  <c r="Q1279" i="127"/>
  <c r="Q1285" i="127"/>
  <c r="Q1273" i="127"/>
  <c r="Q1284" i="127"/>
  <c r="Q1276" i="127"/>
  <c r="Q1277" i="127"/>
  <c r="Q1280" i="127"/>
  <c r="Q1270" i="127"/>
  <c r="Q1271" i="127"/>
  <c r="Q1269" i="127"/>
  <c r="Q1282" i="127"/>
  <c r="Q1278" i="127"/>
  <c r="Q1274" i="127"/>
  <c r="Q1286" i="127"/>
  <c r="Q1289" i="127"/>
  <c r="Q1283" i="127"/>
  <c r="Q1290" i="127"/>
  <c r="Q1272" i="127"/>
  <c r="Q1281" i="127"/>
  <c r="Q1291" i="127"/>
  <c r="Q1292" i="127"/>
  <c r="Q1288" i="127"/>
  <c r="Q1293" i="127"/>
  <c r="Q1287" i="127"/>
  <c r="Q1296" i="127"/>
  <c r="Q1294" i="127"/>
  <c r="Q1306" i="127"/>
  <c r="Q1304" i="127"/>
  <c r="Q1302" i="127"/>
  <c r="Q1300" i="127"/>
  <c r="Q1301" i="127"/>
  <c r="Q1297" i="127"/>
  <c r="Q1298" i="127"/>
  <c r="Q1295" i="127"/>
  <c r="Q1305" i="127"/>
  <c r="Q1307" i="127"/>
  <c r="Q1303" i="127"/>
  <c r="Q1308" i="127"/>
  <c r="Q1299" i="127"/>
  <c r="Q1309" i="127"/>
  <c r="Q1311" i="127"/>
  <c r="Q1310" i="127"/>
  <c r="Q1321" i="127"/>
  <c r="Q1317" i="127"/>
  <c r="Q1313" i="127"/>
  <c r="Q1315" i="127"/>
  <c r="Q1319" i="127"/>
  <c r="Q1312" i="127"/>
  <c r="Q1314" i="127"/>
  <c r="L6" i="127"/>
  <c r="Q8" i="127"/>
  <c r="E2" i="123"/>
  <c r="J8" i="89"/>
  <c r="K8" i="89" s="1"/>
  <c r="J9" i="89"/>
  <c r="K9" i="89" s="1"/>
  <c r="J10" i="89"/>
  <c r="K10" i="89" s="1"/>
  <c r="J11" i="89"/>
  <c r="K11" i="89" s="1"/>
  <c r="J12" i="89"/>
  <c r="K12" i="89" s="1"/>
  <c r="J13" i="89"/>
  <c r="K13" i="89" s="1"/>
  <c r="J14" i="89"/>
  <c r="K14" i="89" s="1"/>
  <c r="J15" i="89"/>
  <c r="K15" i="89" s="1"/>
  <c r="J16" i="89"/>
  <c r="K16" i="89" s="1"/>
  <c r="J17" i="89"/>
  <c r="K17" i="89" s="1"/>
  <c r="J18" i="89"/>
  <c r="K18" i="89" s="1"/>
  <c r="J19" i="89"/>
  <c r="K19" i="89" s="1"/>
  <c r="J20" i="89"/>
  <c r="K20" i="89" s="1"/>
  <c r="J21" i="89"/>
  <c r="K21" i="89" s="1"/>
  <c r="J22" i="89"/>
  <c r="K22" i="89" s="1"/>
  <c r="J23" i="89"/>
  <c r="K23" i="89" s="1"/>
  <c r="J24" i="89"/>
  <c r="K24" i="89" s="1"/>
  <c r="J25" i="89"/>
  <c r="K25" i="89" s="1"/>
  <c r="J26" i="89"/>
  <c r="K26" i="89" s="1"/>
  <c r="J27" i="89"/>
  <c r="K27" i="89" s="1"/>
  <c r="J28" i="89"/>
  <c r="K28" i="89" s="1"/>
  <c r="J29" i="89"/>
  <c r="K29" i="89" s="1"/>
  <c r="J30" i="89"/>
  <c r="K30" i="89" s="1"/>
  <c r="J31" i="89"/>
  <c r="K31" i="89" s="1"/>
  <c r="J32" i="89"/>
  <c r="K32" i="89" s="1"/>
  <c r="J33" i="89"/>
  <c r="K33" i="89" s="1"/>
  <c r="J34" i="89"/>
  <c r="K34" i="89" s="1"/>
  <c r="J35" i="89"/>
  <c r="K35" i="89" s="1"/>
  <c r="J36" i="89"/>
  <c r="K36" i="89" s="1"/>
  <c r="J37" i="89"/>
  <c r="K37" i="89" s="1"/>
  <c r="J38" i="89"/>
  <c r="K38" i="89" s="1"/>
  <c r="J39" i="89"/>
  <c r="K39" i="89" s="1"/>
  <c r="J40" i="89"/>
  <c r="K40" i="89" s="1"/>
  <c r="J41" i="89"/>
  <c r="K41" i="89" s="1"/>
  <c r="J42" i="89"/>
  <c r="K42" i="89" s="1"/>
  <c r="J43" i="89"/>
  <c r="K43" i="89" s="1"/>
  <c r="J44" i="89"/>
  <c r="K44" i="89" s="1"/>
  <c r="J45" i="89"/>
  <c r="K45" i="89" s="1"/>
  <c r="J46" i="89"/>
  <c r="K46" i="89" s="1"/>
  <c r="J47" i="89"/>
  <c r="K47" i="89" s="1"/>
  <c r="J48" i="89"/>
  <c r="K48" i="89" s="1"/>
  <c r="J49" i="89"/>
  <c r="K49" i="89" s="1"/>
  <c r="J50" i="89"/>
  <c r="K50" i="89" s="1"/>
  <c r="J51" i="89"/>
  <c r="K51" i="89" s="1"/>
  <c r="J52" i="89"/>
  <c r="K52" i="89" s="1"/>
  <c r="J53" i="89"/>
  <c r="K53" i="89" s="1"/>
  <c r="J54" i="89"/>
  <c r="K54" i="89" s="1"/>
  <c r="J55" i="89"/>
  <c r="K55" i="89" s="1"/>
  <c r="J56" i="89"/>
  <c r="K56" i="89" s="1"/>
  <c r="J57" i="89"/>
  <c r="K57" i="89" s="1"/>
  <c r="J58" i="89"/>
  <c r="K58" i="89" s="1"/>
  <c r="J59" i="89"/>
  <c r="K59" i="89" s="1"/>
  <c r="J60" i="89"/>
  <c r="K60" i="89" s="1"/>
  <c r="J61" i="89"/>
  <c r="K61" i="89" s="1"/>
  <c r="J62" i="89"/>
  <c r="K62" i="89" s="1"/>
  <c r="J63" i="89"/>
  <c r="K63" i="89" s="1"/>
  <c r="J64" i="89"/>
  <c r="K64" i="89" s="1"/>
  <c r="J65" i="89"/>
  <c r="K65" i="89" s="1"/>
  <c r="J66" i="89"/>
  <c r="K66" i="89" s="1"/>
  <c r="J67" i="89"/>
  <c r="K67" i="89" s="1"/>
  <c r="J68" i="89"/>
  <c r="K68" i="89" s="1"/>
  <c r="J69" i="89"/>
  <c r="K69" i="89" s="1"/>
  <c r="J70" i="89"/>
  <c r="K70" i="89" s="1"/>
  <c r="J71" i="89"/>
  <c r="K71" i="89" s="1"/>
  <c r="J72" i="89"/>
  <c r="K72" i="89" s="1"/>
  <c r="J73" i="89"/>
  <c r="K73" i="89" s="1"/>
  <c r="J74" i="89"/>
  <c r="K74" i="89" s="1"/>
  <c r="J75" i="89"/>
  <c r="K75" i="89" s="1"/>
  <c r="J76" i="89"/>
  <c r="K76" i="89" s="1"/>
  <c r="J77" i="89"/>
  <c r="K77" i="89" s="1"/>
  <c r="J78" i="89"/>
  <c r="K78" i="89" s="1"/>
  <c r="J79" i="89"/>
  <c r="K79" i="89" s="1"/>
  <c r="J80" i="89"/>
  <c r="K80" i="89" s="1"/>
  <c r="J81" i="89"/>
  <c r="K81" i="89" s="1"/>
  <c r="J82" i="89"/>
  <c r="K82" i="89" s="1"/>
  <c r="J83" i="89"/>
  <c r="K83" i="89" s="1"/>
  <c r="J84" i="89"/>
  <c r="K84" i="89" s="1"/>
  <c r="J85" i="89"/>
  <c r="K85" i="89" s="1"/>
  <c r="J86" i="89"/>
  <c r="K86" i="89" s="1"/>
  <c r="J87" i="89"/>
  <c r="K87" i="89" s="1"/>
  <c r="J88" i="89"/>
  <c r="K88" i="89" s="1"/>
  <c r="J89" i="89"/>
  <c r="K89" i="89" s="1"/>
  <c r="J90" i="89"/>
  <c r="K90" i="89" s="1"/>
  <c r="J91" i="89"/>
  <c r="K91" i="89" s="1"/>
  <c r="J92" i="89"/>
  <c r="K92" i="89" s="1"/>
  <c r="J93" i="89"/>
  <c r="K93" i="89" s="1"/>
  <c r="J94" i="89"/>
  <c r="K94" i="89" s="1"/>
  <c r="J95" i="89"/>
  <c r="K95" i="89" s="1"/>
  <c r="J96" i="89"/>
  <c r="K96" i="89" s="1"/>
  <c r="J97" i="89"/>
  <c r="K97" i="89" s="1"/>
  <c r="J98" i="89"/>
  <c r="K98" i="89" s="1"/>
  <c r="J99" i="89"/>
  <c r="K99" i="89" s="1"/>
  <c r="J100" i="89"/>
  <c r="K100" i="89" s="1"/>
  <c r="J101" i="89"/>
  <c r="K101" i="89" s="1"/>
  <c r="J102" i="89"/>
  <c r="K102" i="89" s="1"/>
  <c r="J103" i="89"/>
  <c r="K103" i="89" s="1"/>
  <c r="J104" i="89"/>
  <c r="K104" i="89" s="1"/>
  <c r="J105" i="89"/>
  <c r="K105" i="89" s="1"/>
  <c r="J106" i="89"/>
  <c r="K106" i="89" s="1"/>
  <c r="J107" i="89"/>
  <c r="K107" i="89" s="1"/>
  <c r="J108" i="89"/>
  <c r="K108" i="89" s="1"/>
  <c r="J109" i="89"/>
  <c r="K109" i="89" s="1"/>
  <c r="J110" i="89"/>
  <c r="K110" i="89" s="1"/>
  <c r="J111" i="89"/>
  <c r="K111" i="89" s="1"/>
  <c r="J112" i="89"/>
  <c r="K112" i="89" s="1"/>
  <c r="J113" i="89"/>
  <c r="K113" i="89" s="1"/>
  <c r="J114" i="89"/>
  <c r="K114" i="89" s="1"/>
  <c r="J115" i="89"/>
  <c r="K115" i="89" s="1"/>
  <c r="J116" i="89"/>
  <c r="K116" i="89" s="1"/>
  <c r="J117" i="89"/>
  <c r="K117" i="89" s="1"/>
  <c r="J118" i="89"/>
  <c r="K118" i="89" s="1"/>
  <c r="J119" i="89"/>
  <c r="K119" i="89" s="1"/>
  <c r="J120" i="89"/>
  <c r="K120" i="89" s="1"/>
  <c r="J121" i="89"/>
  <c r="K121" i="89" s="1"/>
  <c r="J122" i="89"/>
  <c r="K122" i="89" s="1"/>
  <c r="J123" i="89"/>
  <c r="K123" i="89" s="1"/>
  <c r="J124" i="89"/>
  <c r="K124" i="89" s="1"/>
  <c r="J125" i="89"/>
  <c r="K125" i="89" s="1"/>
  <c r="J126" i="89"/>
  <c r="K126" i="89" s="1"/>
  <c r="J127" i="89"/>
  <c r="K127" i="89" s="1"/>
  <c r="J128" i="89"/>
  <c r="K128" i="89" s="1"/>
  <c r="J129" i="89"/>
  <c r="K129" i="89" s="1"/>
  <c r="J130" i="89"/>
  <c r="K130" i="89" s="1"/>
  <c r="J131" i="89"/>
  <c r="K131" i="89" s="1"/>
  <c r="J132" i="89"/>
  <c r="K132" i="89" s="1"/>
  <c r="J133" i="89"/>
  <c r="K133" i="89" s="1"/>
  <c r="J134" i="89"/>
  <c r="K134" i="89" s="1"/>
  <c r="J135" i="89"/>
  <c r="K135" i="89" s="1"/>
  <c r="J136" i="89"/>
  <c r="K136" i="89" s="1"/>
  <c r="J137" i="89"/>
  <c r="K137" i="89" s="1"/>
  <c r="J138" i="89"/>
  <c r="K138" i="89" s="1"/>
  <c r="J139" i="89"/>
  <c r="K139" i="89" s="1"/>
  <c r="J140" i="89"/>
  <c r="K140" i="89" s="1"/>
  <c r="J141" i="89"/>
  <c r="K141" i="89" s="1"/>
  <c r="J142" i="89"/>
  <c r="K142" i="89" s="1"/>
  <c r="J143" i="89"/>
  <c r="K143" i="89" s="1"/>
  <c r="J144" i="89"/>
  <c r="K144" i="89" s="1"/>
  <c r="J145" i="89"/>
  <c r="K145" i="89" s="1"/>
  <c r="J146" i="89"/>
  <c r="K146" i="89" s="1"/>
  <c r="J147" i="89"/>
  <c r="K147" i="89" s="1"/>
  <c r="J148" i="89"/>
  <c r="K148" i="89" s="1"/>
  <c r="J149" i="89"/>
  <c r="K149" i="89" s="1"/>
  <c r="J150" i="89"/>
  <c r="K150" i="89" s="1"/>
  <c r="J151" i="89"/>
  <c r="K151" i="89" s="1"/>
  <c r="J152" i="89"/>
  <c r="K152" i="89" s="1"/>
  <c r="J153" i="89"/>
  <c r="K153" i="89" s="1"/>
  <c r="J154" i="89"/>
  <c r="K154" i="89" s="1"/>
  <c r="J155" i="89"/>
  <c r="K155" i="89" s="1"/>
  <c r="J156" i="89"/>
  <c r="K156" i="89" s="1"/>
  <c r="J157" i="89"/>
  <c r="K157" i="89" s="1"/>
  <c r="J158" i="89"/>
  <c r="K158" i="89" s="1"/>
  <c r="J159" i="89"/>
  <c r="K159" i="89" s="1"/>
  <c r="J160" i="89"/>
  <c r="K160" i="89" s="1"/>
  <c r="J161" i="89"/>
  <c r="K161" i="89" s="1"/>
  <c r="J162" i="89"/>
  <c r="K162" i="89" s="1"/>
  <c r="J163" i="89"/>
  <c r="K163" i="89" s="1"/>
  <c r="J164" i="89"/>
  <c r="K164" i="89" s="1"/>
  <c r="J165" i="89"/>
  <c r="K165" i="89" s="1"/>
  <c r="J166" i="89"/>
  <c r="K166" i="89" s="1"/>
  <c r="J167" i="89"/>
  <c r="K167" i="89" s="1"/>
  <c r="J168" i="89"/>
  <c r="K168" i="89" s="1"/>
  <c r="J169" i="89"/>
  <c r="K169" i="89" s="1"/>
  <c r="J170" i="89"/>
  <c r="K170" i="89" s="1"/>
  <c r="J171" i="89"/>
  <c r="K171" i="89" s="1"/>
  <c r="J172" i="89"/>
  <c r="K172" i="89" s="1"/>
  <c r="J173" i="89"/>
  <c r="K173" i="89" s="1"/>
  <c r="J174" i="89"/>
  <c r="K174" i="89" s="1"/>
  <c r="J175" i="89"/>
  <c r="K175" i="89" s="1"/>
  <c r="J176" i="89"/>
  <c r="K176" i="89" s="1"/>
  <c r="J177" i="89"/>
  <c r="K177" i="89" s="1"/>
  <c r="J178" i="89"/>
  <c r="K178" i="89" s="1"/>
  <c r="J179" i="89"/>
  <c r="K179" i="89" s="1"/>
  <c r="J180" i="89"/>
  <c r="K180" i="89" s="1"/>
  <c r="J181" i="89"/>
  <c r="K181" i="89" s="1"/>
  <c r="J182" i="89"/>
  <c r="K182" i="89" s="1"/>
  <c r="J183" i="89"/>
  <c r="K183" i="89" s="1"/>
  <c r="J184" i="89"/>
  <c r="K184" i="89" s="1"/>
  <c r="J185" i="89"/>
  <c r="K185" i="89" s="1"/>
  <c r="J186" i="89"/>
  <c r="K186" i="89" s="1"/>
  <c r="J187" i="89"/>
  <c r="K187" i="89" s="1"/>
  <c r="J188" i="89"/>
  <c r="K188" i="89" s="1"/>
  <c r="J189" i="89"/>
  <c r="K189" i="89" s="1"/>
  <c r="J190" i="89"/>
  <c r="K190" i="89" s="1"/>
  <c r="J191" i="89"/>
  <c r="K191" i="89" s="1"/>
  <c r="J192" i="89"/>
  <c r="K192" i="89" s="1"/>
  <c r="J193" i="89"/>
  <c r="K193" i="89" s="1"/>
  <c r="J194" i="89"/>
  <c r="K194" i="89" s="1"/>
  <c r="J195" i="89"/>
  <c r="K195" i="89" s="1"/>
  <c r="J196" i="89"/>
  <c r="K196" i="89" s="1"/>
  <c r="J197" i="89"/>
  <c r="K197" i="89" s="1"/>
  <c r="J198" i="89"/>
  <c r="K198" i="89" s="1"/>
  <c r="J199" i="89"/>
  <c r="K199" i="89" s="1"/>
  <c r="J200" i="89"/>
  <c r="K200" i="89" s="1"/>
  <c r="J201" i="89"/>
  <c r="K201" i="89" s="1"/>
  <c r="J202" i="89"/>
  <c r="K202" i="89" s="1"/>
  <c r="J203" i="89"/>
  <c r="K203" i="89" s="1"/>
  <c r="J204" i="89"/>
  <c r="K204" i="89" s="1"/>
  <c r="J205" i="89"/>
  <c r="K205" i="89" s="1"/>
  <c r="J206" i="89"/>
  <c r="K206" i="89" s="1"/>
  <c r="J207" i="89"/>
  <c r="K207" i="89" s="1"/>
  <c r="J208" i="89"/>
  <c r="K208" i="89" s="1"/>
  <c r="J209" i="89"/>
  <c r="K209" i="89" s="1"/>
  <c r="J210" i="89"/>
  <c r="K210" i="89" s="1"/>
  <c r="J211" i="89"/>
  <c r="K211" i="89" s="1"/>
  <c r="J212" i="89"/>
  <c r="K212" i="89" s="1"/>
  <c r="J213" i="89"/>
  <c r="K213" i="89" s="1"/>
  <c r="J214" i="89"/>
  <c r="K214" i="89" s="1"/>
  <c r="J215" i="89"/>
  <c r="K215" i="89" s="1"/>
  <c r="J216" i="89"/>
  <c r="K216" i="89" s="1"/>
  <c r="J217" i="89"/>
  <c r="K217" i="89" s="1"/>
  <c r="J218" i="89"/>
  <c r="K218" i="89" s="1"/>
  <c r="J219" i="89"/>
  <c r="K219" i="89" s="1"/>
  <c r="J220" i="89"/>
  <c r="K220" i="89" s="1"/>
  <c r="J221" i="89"/>
  <c r="K221" i="89" s="1"/>
  <c r="J222" i="89"/>
  <c r="K222" i="89" s="1"/>
  <c r="J223" i="89"/>
  <c r="K223" i="89" s="1"/>
  <c r="J224" i="89"/>
  <c r="K224" i="89" s="1"/>
  <c r="J225" i="89"/>
  <c r="K225" i="89" s="1"/>
  <c r="J226" i="89"/>
  <c r="K226" i="89" s="1"/>
  <c r="J227" i="89"/>
  <c r="K227" i="89" s="1"/>
  <c r="J228" i="89"/>
  <c r="K228" i="89" s="1"/>
  <c r="J229" i="89"/>
  <c r="K229" i="89" s="1"/>
  <c r="J230" i="89"/>
  <c r="K230" i="89" s="1"/>
  <c r="J231" i="89"/>
  <c r="K231" i="89" s="1"/>
  <c r="J232" i="89"/>
  <c r="K232" i="89" s="1"/>
  <c r="J233" i="89"/>
  <c r="K233" i="89" s="1"/>
  <c r="J234" i="89"/>
  <c r="K234" i="89" s="1"/>
  <c r="J235" i="89"/>
  <c r="K235" i="89" s="1"/>
  <c r="J236" i="89"/>
  <c r="K236" i="89" s="1"/>
  <c r="J237" i="89"/>
  <c r="K237" i="89" s="1"/>
  <c r="J238" i="89"/>
  <c r="K238" i="89" s="1"/>
  <c r="J239" i="89"/>
  <c r="K239" i="89" s="1"/>
  <c r="J240" i="89"/>
  <c r="K240" i="89" s="1"/>
  <c r="J241" i="89"/>
  <c r="K241" i="89" s="1"/>
  <c r="J242" i="89"/>
  <c r="K242" i="89" s="1"/>
  <c r="J243" i="89"/>
  <c r="K243" i="89" s="1"/>
  <c r="J244" i="89"/>
  <c r="K244" i="89" s="1"/>
  <c r="J245" i="89"/>
  <c r="K245" i="89" s="1"/>
  <c r="J246" i="89"/>
  <c r="K246" i="89" s="1"/>
  <c r="J247" i="89"/>
  <c r="K247" i="89" s="1"/>
  <c r="J248" i="89"/>
  <c r="K248" i="89" s="1"/>
  <c r="J249" i="89"/>
  <c r="K249" i="89" s="1"/>
  <c r="J252" i="89"/>
  <c r="K252" i="89" s="1"/>
  <c r="J253" i="89"/>
  <c r="K253" i="89" s="1"/>
  <c r="J254" i="89"/>
  <c r="K254" i="89" s="1"/>
  <c r="J255" i="89"/>
  <c r="K255" i="89" s="1"/>
  <c r="J256" i="89"/>
  <c r="K256" i="89" s="1"/>
  <c r="J257" i="89"/>
  <c r="K257" i="89" s="1"/>
  <c r="J258" i="89"/>
  <c r="K258" i="89" s="1"/>
  <c r="J259" i="89"/>
  <c r="K259" i="89" s="1"/>
  <c r="J260" i="89"/>
  <c r="K260" i="89" s="1"/>
  <c r="J261" i="89"/>
  <c r="K261" i="89" s="1"/>
  <c r="J262" i="89"/>
  <c r="K262" i="89" s="1"/>
  <c r="J263" i="89"/>
  <c r="K263" i="89" s="1"/>
  <c r="J264" i="89"/>
  <c r="K264" i="89" s="1"/>
  <c r="J265" i="89"/>
  <c r="K265" i="89" s="1"/>
  <c r="J266" i="89"/>
  <c r="K266" i="89" s="1"/>
  <c r="J267" i="89"/>
  <c r="K267" i="89" s="1"/>
  <c r="J268" i="89"/>
  <c r="K268" i="89" s="1"/>
  <c r="J269" i="89"/>
  <c r="K269" i="89" s="1"/>
  <c r="J270" i="89"/>
  <c r="K270" i="89" s="1"/>
  <c r="J271" i="89"/>
  <c r="K271" i="89" s="1"/>
  <c r="J272" i="89"/>
  <c r="K272" i="89" s="1"/>
  <c r="J273" i="89"/>
  <c r="K273" i="89" s="1"/>
  <c r="J274" i="89"/>
  <c r="K274" i="89" s="1"/>
  <c r="J275" i="89"/>
  <c r="K275" i="89" s="1"/>
  <c r="J276" i="89"/>
  <c r="K276" i="89" s="1"/>
  <c r="J277" i="89"/>
  <c r="K277" i="89" s="1"/>
  <c r="J278" i="89"/>
  <c r="K278" i="89" s="1"/>
  <c r="J279" i="89"/>
  <c r="K279" i="89" s="1"/>
  <c r="J280" i="89"/>
  <c r="K280" i="89" s="1"/>
  <c r="J281" i="89"/>
  <c r="K281" i="89" s="1"/>
  <c r="J282" i="89"/>
  <c r="K282" i="89" s="1"/>
  <c r="J283" i="89"/>
  <c r="K283" i="89" s="1"/>
  <c r="J284" i="89"/>
  <c r="K284" i="89" s="1"/>
  <c r="J285" i="89"/>
  <c r="K285" i="89" s="1"/>
  <c r="J286" i="89"/>
  <c r="K286" i="89" s="1"/>
  <c r="J287" i="89"/>
  <c r="K287" i="89" s="1"/>
  <c r="J288" i="89"/>
  <c r="K288" i="89" s="1"/>
  <c r="J289" i="89"/>
  <c r="K289" i="89" s="1"/>
  <c r="J290" i="89"/>
  <c r="K290" i="89" s="1"/>
  <c r="J291" i="89"/>
  <c r="K291" i="89" s="1"/>
  <c r="J292" i="89"/>
  <c r="K292" i="89" s="1"/>
  <c r="J293" i="89"/>
  <c r="K293" i="89" s="1"/>
  <c r="J294" i="89"/>
  <c r="K294" i="89" s="1"/>
  <c r="J295" i="89"/>
  <c r="K295" i="89" s="1"/>
  <c r="J296" i="89"/>
  <c r="K296" i="89" s="1"/>
  <c r="J297" i="89"/>
  <c r="K297" i="89" s="1"/>
  <c r="J298" i="89"/>
  <c r="K298" i="89" s="1"/>
  <c r="J299" i="89"/>
  <c r="K299" i="89" s="1"/>
  <c r="J300" i="89"/>
  <c r="K300" i="89" s="1"/>
  <c r="J301" i="89"/>
  <c r="K301" i="89" s="1"/>
  <c r="J302" i="89"/>
  <c r="K302" i="89" s="1"/>
  <c r="J303" i="89"/>
  <c r="K303" i="89" s="1"/>
  <c r="J304" i="89"/>
  <c r="K304" i="89" s="1"/>
  <c r="J305" i="89"/>
  <c r="K305" i="89" s="1"/>
  <c r="J306" i="89"/>
  <c r="K306" i="89" s="1"/>
  <c r="J307" i="89"/>
  <c r="K307" i="89" s="1"/>
  <c r="J308" i="89"/>
  <c r="K308" i="89" s="1"/>
  <c r="J309" i="89"/>
  <c r="K309" i="89" s="1"/>
  <c r="J310" i="89"/>
  <c r="K310" i="89" s="1"/>
  <c r="K326" i="89"/>
  <c r="J327" i="89"/>
  <c r="K327" i="89" s="1"/>
  <c r="J328" i="89"/>
  <c r="K328" i="89" s="1"/>
  <c r="J329" i="89"/>
  <c r="K329" i="89" s="1"/>
  <c r="J330" i="89"/>
  <c r="K330" i="89" s="1"/>
  <c r="J331" i="89"/>
  <c r="K331" i="89" s="1"/>
  <c r="J332" i="89"/>
  <c r="K332" i="89" s="1"/>
  <c r="J333" i="89"/>
  <c r="K333" i="89" s="1"/>
  <c r="J334" i="89"/>
  <c r="K334" i="89" s="1"/>
  <c r="J335" i="89"/>
  <c r="K335" i="89" s="1"/>
  <c r="J336" i="89"/>
  <c r="K336" i="89" s="1"/>
  <c r="J337" i="89"/>
  <c r="K337" i="89" s="1"/>
  <c r="J338" i="89"/>
  <c r="K338" i="89" s="1"/>
  <c r="J339" i="89"/>
  <c r="K339" i="89" s="1"/>
  <c r="J340" i="89"/>
  <c r="K340" i="89" s="1"/>
  <c r="J341" i="89"/>
  <c r="K341" i="89" s="1"/>
  <c r="J342" i="89"/>
  <c r="K342" i="89" s="1"/>
  <c r="J343" i="89"/>
  <c r="K343" i="89" s="1"/>
  <c r="J7" i="89"/>
  <c r="K7" i="89" s="1"/>
  <c r="D8" i="89"/>
  <c r="D9" i="89"/>
  <c r="D10" i="89"/>
  <c r="D11" i="89"/>
  <c r="D12" i="89"/>
  <c r="D13" i="89"/>
  <c r="D14" i="89"/>
  <c r="D15" i="89"/>
  <c r="D16" i="89"/>
  <c r="D17" i="89"/>
  <c r="D18" i="89"/>
  <c r="D19" i="89"/>
  <c r="D20" i="89"/>
  <c r="D21" i="89"/>
  <c r="D22" i="89"/>
  <c r="D23" i="89"/>
  <c r="D24" i="89"/>
  <c r="D25" i="89"/>
  <c r="D26" i="89"/>
  <c r="D27" i="89"/>
  <c r="D28" i="89"/>
  <c r="D29" i="89"/>
  <c r="D30" i="89"/>
  <c r="D31" i="89"/>
  <c r="D32" i="89"/>
  <c r="D33" i="89"/>
  <c r="D34" i="89"/>
  <c r="D35" i="89"/>
  <c r="D36" i="89"/>
  <c r="D37" i="89"/>
  <c r="D38" i="89"/>
  <c r="D39" i="89"/>
  <c r="D40" i="89"/>
  <c r="D41" i="89"/>
  <c r="D42" i="89"/>
  <c r="D43" i="89"/>
  <c r="D44" i="89"/>
  <c r="D45" i="89"/>
  <c r="D46" i="89"/>
  <c r="D47" i="89"/>
  <c r="D48" i="89"/>
  <c r="D49" i="89"/>
  <c r="D50" i="89"/>
  <c r="D51" i="89"/>
  <c r="D52" i="89"/>
  <c r="D53" i="89"/>
  <c r="D54" i="89"/>
  <c r="D55" i="89"/>
  <c r="D56" i="89"/>
  <c r="D57" i="89"/>
  <c r="D58" i="89"/>
  <c r="D59" i="89"/>
  <c r="D60" i="89"/>
  <c r="D61" i="89"/>
  <c r="D62" i="89"/>
  <c r="D63" i="89"/>
  <c r="D64" i="89"/>
  <c r="D65" i="89"/>
  <c r="D66" i="89"/>
  <c r="D67" i="89"/>
  <c r="D68" i="89"/>
  <c r="D69" i="89"/>
  <c r="D70" i="89"/>
  <c r="D71" i="89"/>
  <c r="D72" i="89"/>
  <c r="D73" i="89"/>
  <c r="D74" i="89"/>
  <c r="D75" i="89"/>
  <c r="D76" i="89"/>
  <c r="D77" i="89"/>
  <c r="D78" i="89"/>
  <c r="D79" i="89"/>
  <c r="D80" i="89"/>
  <c r="D81" i="89"/>
  <c r="D82" i="89"/>
  <c r="D83" i="89"/>
  <c r="D84" i="89"/>
  <c r="D85" i="89"/>
  <c r="D86" i="89"/>
  <c r="D87" i="89"/>
  <c r="D88" i="89"/>
  <c r="D89" i="89"/>
  <c r="D90" i="89"/>
  <c r="D91" i="89"/>
  <c r="D92" i="89"/>
  <c r="D93" i="89"/>
  <c r="D94" i="89"/>
  <c r="D95" i="89"/>
  <c r="D96" i="89"/>
  <c r="D97" i="89"/>
  <c r="D98" i="89"/>
  <c r="D99" i="89"/>
  <c r="D100" i="89"/>
  <c r="D101" i="89"/>
  <c r="D102" i="89"/>
  <c r="D103" i="89"/>
  <c r="D104" i="89"/>
  <c r="D105" i="89"/>
  <c r="D106" i="89"/>
  <c r="D107" i="89"/>
  <c r="D108" i="89"/>
  <c r="D109" i="89"/>
  <c r="D110" i="89"/>
  <c r="D111" i="89"/>
  <c r="D112" i="89"/>
  <c r="D113" i="89"/>
  <c r="D114" i="89"/>
  <c r="D115" i="89"/>
  <c r="D116" i="89"/>
  <c r="D117" i="89"/>
  <c r="D118" i="89"/>
  <c r="D119" i="89"/>
  <c r="D120" i="89"/>
  <c r="D121" i="89"/>
  <c r="D122" i="89"/>
  <c r="D123" i="89"/>
  <c r="D124" i="89"/>
  <c r="D125" i="89"/>
  <c r="D126" i="89"/>
  <c r="D127" i="89"/>
  <c r="D128" i="89"/>
  <c r="D129" i="89"/>
  <c r="D130" i="89"/>
  <c r="D131" i="89"/>
  <c r="D132" i="89"/>
  <c r="D133" i="89"/>
  <c r="D134" i="89"/>
  <c r="D135" i="89"/>
  <c r="D136" i="89"/>
  <c r="D137" i="89"/>
  <c r="D138" i="89"/>
  <c r="D139" i="89"/>
  <c r="D140" i="89"/>
  <c r="D141" i="89"/>
  <c r="D142" i="89"/>
  <c r="D143" i="89"/>
  <c r="D144" i="89"/>
  <c r="D145" i="89"/>
  <c r="D146" i="89"/>
  <c r="D147" i="89"/>
  <c r="D148" i="89"/>
  <c r="D149" i="89"/>
  <c r="D150" i="89"/>
  <c r="D151" i="89"/>
  <c r="D152" i="89"/>
  <c r="D153" i="89"/>
  <c r="D154" i="89"/>
  <c r="D155" i="89"/>
  <c r="D156" i="89"/>
  <c r="D157" i="89"/>
  <c r="D158" i="89"/>
  <c r="D159" i="89"/>
  <c r="D160" i="89"/>
  <c r="D161" i="89"/>
  <c r="D162" i="89"/>
  <c r="D163" i="89"/>
  <c r="D164" i="89"/>
  <c r="D165" i="89"/>
  <c r="D166" i="89"/>
  <c r="D167" i="89"/>
  <c r="D168" i="89"/>
  <c r="D169" i="89"/>
  <c r="D170" i="89"/>
  <c r="D171" i="89"/>
  <c r="D172" i="89"/>
  <c r="D173" i="89"/>
  <c r="D174" i="89"/>
  <c r="D175" i="89"/>
  <c r="D176" i="89"/>
  <c r="D177" i="89"/>
  <c r="D178" i="89"/>
  <c r="D179" i="89"/>
  <c r="D180" i="89"/>
  <c r="D181" i="89"/>
  <c r="D182" i="89"/>
  <c r="D183" i="89"/>
  <c r="D184" i="89"/>
  <c r="D185" i="89"/>
  <c r="D186" i="89"/>
  <c r="D187" i="89"/>
  <c r="D188" i="89"/>
  <c r="D189" i="89"/>
  <c r="D190" i="89"/>
  <c r="D191" i="89"/>
  <c r="D192" i="89"/>
  <c r="D193" i="89"/>
  <c r="D194" i="89"/>
  <c r="D195" i="89"/>
  <c r="D196" i="89"/>
  <c r="D197" i="89"/>
  <c r="D198" i="89"/>
  <c r="D199" i="89"/>
  <c r="D200" i="89"/>
  <c r="D201" i="89"/>
  <c r="D202" i="89"/>
  <c r="D203" i="89"/>
  <c r="D204" i="89"/>
  <c r="D205" i="89"/>
  <c r="D206" i="89"/>
  <c r="D207" i="89"/>
  <c r="D208" i="89"/>
  <c r="D209" i="89"/>
  <c r="D210" i="89"/>
  <c r="D211" i="89"/>
  <c r="D212" i="89"/>
  <c r="D213" i="89"/>
  <c r="D214" i="89"/>
  <c r="D215" i="89"/>
  <c r="D216" i="89"/>
  <c r="D217" i="89"/>
  <c r="D218" i="89"/>
  <c r="D219" i="89"/>
  <c r="D220" i="89"/>
  <c r="D221" i="89"/>
  <c r="D222" i="89"/>
  <c r="D223" i="89"/>
  <c r="D224" i="89"/>
  <c r="D225" i="89"/>
  <c r="D226" i="89"/>
  <c r="D227" i="89"/>
  <c r="D228" i="89"/>
  <c r="D229" i="89"/>
  <c r="D230" i="89"/>
  <c r="D231" i="89"/>
  <c r="D232" i="89"/>
  <c r="D233" i="89"/>
  <c r="D234" i="89"/>
  <c r="D235" i="89"/>
  <c r="D236" i="89"/>
  <c r="D237" i="89"/>
  <c r="D238" i="89"/>
  <c r="D239" i="89"/>
  <c r="D240" i="89"/>
  <c r="D241" i="89"/>
  <c r="D242" i="89"/>
  <c r="D243" i="89"/>
  <c r="D244" i="89"/>
  <c r="D245" i="89"/>
  <c r="D246" i="89"/>
  <c r="D247" i="89"/>
  <c r="D248" i="89"/>
  <c r="D249" i="89"/>
  <c r="D253" i="89"/>
  <c r="D254" i="89"/>
  <c r="D255" i="89"/>
  <c r="D256" i="89"/>
  <c r="D257" i="89"/>
  <c r="D258" i="89"/>
  <c r="D259" i="89"/>
  <c r="D260" i="89"/>
  <c r="D261" i="89"/>
  <c r="D262" i="89"/>
  <c r="D263" i="89"/>
  <c r="D264" i="89"/>
  <c r="D265" i="89"/>
  <c r="D266" i="89"/>
  <c r="D267" i="89"/>
  <c r="D268" i="89"/>
  <c r="D269" i="89"/>
  <c r="D270" i="89"/>
  <c r="D271" i="89"/>
  <c r="D272" i="89"/>
  <c r="D273" i="89"/>
  <c r="D274" i="89"/>
  <c r="D275" i="89"/>
  <c r="D276" i="89"/>
  <c r="D277" i="89"/>
  <c r="D278" i="89"/>
  <c r="D279" i="89"/>
  <c r="D317" i="89"/>
  <c r="D318" i="89"/>
  <c r="D319" i="89"/>
  <c r="D321" i="89"/>
  <c r="D324" i="89"/>
  <c r="D325" i="89"/>
  <c r="D326" i="89"/>
  <c r="D327" i="89"/>
  <c r="D328" i="89"/>
  <c r="D329" i="89"/>
  <c r="D330" i="89"/>
  <c r="D331" i="89"/>
  <c r="D332" i="89"/>
  <c r="D333" i="89"/>
  <c r="D334" i="89"/>
  <c r="D7" i="89"/>
  <c r="O738" i="127"/>
  <c r="R738" i="127" s="1"/>
  <c r="O783" i="127"/>
  <c r="O781" i="127"/>
  <c r="O719" i="127"/>
  <c r="R719" i="127" s="1"/>
  <c r="O718" i="127"/>
  <c r="O830" i="127"/>
  <c r="R830" i="127" s="1"/>
  <c r="D30" i="124"/>
  <c r="D31" i="124" s="1"/>
  <c r="D32" i="124" s="1"/>
  <c r="B31" i="124"/>
  <c r="B32" i="124"/>
  <c r="B30" i="124"/>
  <c r="C27" i="124"/>
  <c r="B27" i="124"/>
  <c r="C21" i="124"/>
  <c r="G17" i="123"/>
  <c r="AB4" i="123"/>
  <c r="C24" i="87"/>
  <c r="D25" i="87"/>
  <c r="D28" i="87"/>
  <c r="D29" i="87"/>
  <c r="D27" i="87"/>
  <c r="D26" i="87"/>
  <c r="F2" i="123"/>
  <c r="T4" i="127"/>
  <c r="S4" i="127"/>
  <c r="R4" i="127"/>
  <c r="Q4" i="127"/>
  <c r="P4" i="127"/>
  <c r="O4" i="127"/>
  <c r="K6" i="127"/>
  <c r="J6" i="127"/>
  <c r="I4" i="89"/>
  <c r="W4" i="127"/>
  <c r="V4" i="127"/>
  <c r="U4" i="127"/>
  <c r="B4" i="127"/>
  <c r="C29" i="148" l="1"/>
  <c r="C31" i="148" s="1"/>
  <c r="D29" i="148"/>
  <c r="D31" i="148" s="1"/>
  <c r="E29" i="148"/>
  <c r="E31" i="148" s="1"/>
  <c r="F29" i="148"/>
  <c r="F31" i="148" s="1"/>
  <c r="G29" i="148"/>
  <c r="G31" i="148" s="1"/>
  <c r="H29" i="148"/>
  <c r="H31" i="148" s="1"/>
  <c r="I29" i="148"/>
  <c r="I31" i="148" s="1"/>
  <c r="J29" i="148"/>
  <c r="J31" i="148" s="1"/>
  <c r="D11" i="146"/>
  <c r="D12" i="146"/>
  <c r="E11" i="146"/>
  <c r="D13" i="146"/>
  <c r="D10" i="146"/>
  <c r="D15" i="146"/>
  <c r="E10" i="146"/>
  <c r="E12" i="146"/>
  <c r="E15" i="146"/>
  <c r="E13" i="146"/>
  <c r="F10" i="146"/>
  <c r="F13" i="146"/>
  <c r="F15" i="146"/>
  <c r="F11" i="146"/>
  <c r="F12" i="146"/>
  <c r="G12" i="146"/>
  <c r="G10" i="146"/>
  <c r="G13" i="146"/>
  <c r="G11" i="146"/>
  <c r="G15" i="146"/>
  <c r="H10" i="146"/>
  <c r="H11" i="146"/>
  <c r="H13" i="146"/>
  <c r="H15" i="146"/>
  <c r="H12" i="146"/>
  <c r="I11" i="146"/>
  <c r="I13" i="146"/>
  <c r="I12" i="146"/>
  <c r="I10" i="146"/>
  <c r="I15" i="146"/>
  <c r="J15" i="146"/>
  <c r="J10" i="146"/>
  <c r="J11" i="146"/>
  <c r="J13" i="146"/>
  <c r="J12" i="146"/>
  <c r="K11" i="146"/>
  <c r="K15" i="146"/>
  <c r="K13" i="146"/>
  <c r="K10" i="146"/>
  <c r="K12" i="146"/>
  <c r="C17" i="148"/>
  <c r="C18" i="148" s="1"/>
  <c r="C20" i="148" s="1"/>
  <c r="AB17" i="123"/>
  <c r="P17" i="123"/>
  <c r="R17" i="123" s="1"/>
  <c r="Q17" i="123"/>
  <c r="L151" i="123"/>
  <c r="L155" i="123"/>
  <c r="L159" i="123"/>
  <c r="L163" i="123"/>
  <c r="L167" i="123"/>
  <c r="L171" i="123"/>
  <c r="L175" i="123"/>
  <c r="L179" i="123"/>
  <c r="L183" i="123"/>
  <c r="L187" i="123"/>
  <c r="L191" i="123"/>
  <c r="L195" i="123"/>
  <c r="L199" i="123"/>
  <c r="L152" i="123"/>
  <c r="L156" i="123"/>
  <c r="L160" i="123"/>
  <c r="L164" i="123"/>
  <c r="L168" i="123"/>
  <c r="L172" i="123"/>
  <c r="L176" i="123"/>
  <c r="L180" i="123"/>
  <c r="L184" i="123"/>
  <c r="L188" i="123"/>
  <c r="L192" i="123"/>
  <c r="L196" i="123"/>
  <c r="L200" i="123"/>
  <c r="L204" i="123"/>
  <c r="L208" i="123"/>
  <c r="L212" i="123"/>
  <c r="L216" i="123"/>
  <c r="L220" i="123"/>
  <c r="L224" i="123"/>
  <c r="L228" i="123"/>
  <c r="L231" i="123"/>
  <c r="L235" i="123"/>
  <c r="L239" i="123"/>
  <c r="L243" i="123"/>
  <c r="L249" i="123"/>
  <c r="L253" i="123"/>
  <c r="L257" i="123"/>
  <c r="L261" i="123"/>
  <c r="L265" i="123"/>
  <c r="L269" i="123"/>
  <c r="L149" i="123"/>
  <c r="L153" i="123"/>
  <c r="L157" i="123"/>
  <c r="L161" i="123"/>
  <c r="L165" i="123"/>
  <c r="L169" i="123"/>
  <c r="L173" i="123"/>
  <c r="L177" i="123"/>
  <c r="L181" i="123"/>
  <c r="L185" i="123"/>
  <c r="L189" i="123"/>
  <c r="L193" i="123"/>
  <c r="L197" i="123"/>
  <c r="L201" i="123"/>
  <c r="L205" i="123"/>
  <c r="L209" i="123"/>
  <c r="L213" i="123"/>
  <c r="L217" i="123"/>
  <c r="L221" i="123"/>
  <c r="L225" i="123"/>
  <c r="L232" i="123"/>
  <c r="L236" i="123"/>
  <c r="L240" i="123"/>
  <c r="L244" i="123"/>
  <c r="L247" i="123"/>
  <c r="L250" i="123"/>
  <c r="L254" i="123"/>
  <c r="L258" i="123"/>
  <c r="L262" i="123"/>
  <c r="L266" i="123"/>
  <c r="L270" i="123"/>
  <c r="L276" i="123"/>
  <c r="L280" i="123"/>
  <c r="L284" i="123"/>
  <c r="L288" i="123"/>
  <c r="L291" i="123"/>
  <c r="L295" i="123"/>
  <c r="L298" i="123"/>
  <c r="L302" i="123"/>
  <c r="L306" i="123"/>
  <c r="L310" i="123"/>
  <c r="L314" i="123"/>
  <c r="L318" i="123"/>
  <c r="L322" i="123"/>
  <c r="L326" i="123"/>
  <c r="L330" i="123"/>
  <c r="L334" i="123"/>
  <c r="L338" i="123"/>
  <c r="L342" i="123"/>
  <c r="L346" i="123"/>
  <c r="L350" i="123"/>
  <c r="L354" i="123"/>
  <c r="L358" i="123"/>
  <c r="L362" i="123"/>
  <c r="L366" i="123"/>
  <c r="L370" i="123"/>
  <c r="L374" i="123"/>
  <c r="L378" i="123"/>
  <c r="L382" i="123"/>
  <c r="L386" i="123"/>
  <c r="L393" i="123"/>
  <c r="L397" i="123"/>
  <c r="L401" i="123"/>
  <c r="L405" i="123"/>
  <c r="L409" i="123"/>
  <c r="L413" i="123"/>
  <c r="L417" i="123"/>
  <c r="L421" i="123"/>
  <c r="L425" i="123"/>
  <c r="L432" i="123"/>
  <c r="L436" i="123"/>
  <c r="L440" i="123"/>
  <c r="L444" i="123"/>
  <c r="L150" i="123"/>
  <c r="L154" i="123"/>
  <c r="L158" i="123"/>
  <c r="L162" i="123"/>
  <c r="L166" i="123"/>
  <c r="L170" i="123"/>
  <c r="L174" i="123"/>
  <c r="L178" i="123"/>
  <c r="L182" i="123"/>
  <c r="L186" i="123"/>
  <c r="L190" i="123"/>
  <c r="L194" i="123"/>
  <c r="L198" i="123"/>
  <c r="L202" i="123"/>
  <c r="L206" i="123"/>
  <c r="L210" i="123"/>
  <c r="L214" i="123"/>
  <c r="L218" i="123"/>
  <c r="L222" i="123"/>
  <c r="L226" i="123"/>
  <c r="L229" i="123"/>
  <c r="L233" i="123"/>
  <c r="L237" i="123"/>
  <c r="L241" i="123"/>
  <c r="L245" i="123"/>
  <c r="L251" i="123"/>
  <c r="L255" i="123"/>
  <c r="L259" i="123"/>
  <c r="L263" i="123"/>
  <c r="L267" i="123"/>
  <c r="L271" i="123"/>
  <c r="L273" i="123"/>
  <c r="L277" i="123"/>
  <c r="L281" i="123"/>
  <c r="L285" i="123"/>
  <c r="L289" i="123"/>
  <c r="L292" i="123"/>
  <c r="L296" i="123"/>
  <c r="L299" i="123"/>
  <c r="L303" i="123"/>
  <c r="L307" i="123"/>
  <c r="L311" i="123"/>
  <c r="L315" i="123"/>
  <c r="L319" i="123"/>
  <c r="L323" i="123"/>
  <c r="L327" i="123"/>
  <c r="L331" i="123"/>
  <c r="L335" i="123"/>
  <c r="L215" i="123"/>
  <c r="L246" i="123"/>
  <c r="L252" i="123"/>
  <c r="L268" i="123"/>
  <c r="L274" i="123"/>
  <c r="L282" i="123"/>
  <c r="L305" i="123"/>
  <c r="L313" i="123"/>
  <c r="L321" i="123"/>
  <c r="L329" i="123"/>
  <c r="L337" i="123"/>
  <c r="L343" i="123"/>
  <c r="L348" i="123"/>
  <c r="L353" i="123"/>
  <c r="L359" i="123"/>
  <c r="L364" i="123"/>
  <c r="L369" i="123"/>
  <c r="L375" i="123"/>
  <c r="L380" i="123"/>
  <c r="L385" i="123"/>
  <c r="L394" i="123"/>
  <c r="L400" i="123"/>
  <c r="L407" i="123"/>
  <c r="L412" i="123"/>
  <c r="L414" i="123"/>
  <c r="L419" i="123"/>
  <c r="L426" i="123"/>
  <c r="L434" i="123"/>
  <c r="L439" i="123"/>
  <c r="L446" i="123"/>
  <c r="L450" i="123"/>
  <c r="L454" i="123"/>
  <c r="L458" i="123"/>
  <c r="L462" i="123"/>
  <c r="L466" i="123"/>
  <c r="L470" i="123"/>
  <c r="L474" i="123"/>
  <c r="L478" i="123"/>
  <c r="L482" i="123"/>
  <c r="L488" i="123"/>
  <c r="L492" i="123"/>
  <c r="L496" i="123"/>
  <c r="L500" i="123"/>
  <c r="L504" i="123"/>
  <c r="L508" i="123"/>
  <c r="L512" i="123"/>
  <c r="L516" i="123"/>
  <c r="L520" i="123"/>
  <c r="L524" i="123"/>
  <c r="L532" i="123"/>
  <c r="L536" i="123"/>
  <c r="L540" i="123"/>
  <c r="L544" i="123"/>
  <c r="L203" i="123"/>
  <c r="L219" i="123"/>
  <c r="L230" i="123"/>
  <c r="L234" i="123"/>
  <c r="L256" i="123"/>
  <c r="L272" i="123"/>
  <c r="L275" i="123"/>
  <c r="L283" i="123"/>
  <c r="L290" i="123"/>
  <c r="L297" i="123"/>
  <c r="L300" i="123"/>
  <c r="L308" i="123"/>
  <c r="L316" i="123"/>
  <c r="L324" i="123"/>
  <c r="L332" i="123"/>
  <c r="L339" i="123"/>
  <c r="L344" i="123"/>
  <c r="L349" i="123"/>
  <c r="L355" i="123"/>
  <c r="L360" i="123"/>
  <c r="L365" i="123"/>
  <c r="L371" i="123"/>
  <c r="L376" i="123"/>
  <c r="L381" i="123"/>
  <c r="L395" i="123"/>
  <c r="L402" i="123"/>
  <c r="L408" i="123"/>
  <c r="L415" i="123"/>
  <c r="L420" i="123"/>
  <c r="L422" i="123"/>
  <c r="L427" i="123"/>
  <c r="L430" i="123"/>
  <c r="L441" i="123"/>
  <c r="L447" i="123"/>
  <c r="L451" i="123"/>
  <c r="L455" i="123"/>
  <c r="L459" i="123"/>
  <c r="L463" i="123"/>
  <c r="L467" i="123"/>
  <c r="L471" i="123"/>
  <c r="L475" i="123"/>
  <c r="L479" i="123"/>
  <c r="L483" i="123"/>
  <c r="L489" i="123"/>
  <c r="L493" i="123"/>
  <c r="L497" i="123"/>
  <c r="L501" i="123"/>
  <c r="L505" i="123"/>
  <c r="L509" i="123"/>
  <c r="L513" i="123"/>
  <c r="L517" i="123"/>
  <c r="L521" i="123"/>
  <c r="L525" i="123"/>
  <c r="L527" i="123"/>
  <c r="L529" i="123"/>
  <c r="L533" i="123"/>
  <c r="L535" i="123"/>
  <c r="L539" i="123"/>
  <c r="L543" i="123"/>
  <c r="L207" i="123"/>
  <c r="L223" i="123"/>
  <c r="L238" i="123"/>
  <c r="L260" i="123"/>
  <c r="L278" i="123"/>
  <c r="L286" i="123"/>
  <c r="L293" i="123"/>
  <c r="L301" i="123"/>
  <c r="L309" i="123"/>
  <c r="L317" i="123"/>
  <c r="L325" i="123"/>
  <c r="L333" i="123"/>
  <c r="L340" i="123"/>
  <c r="L345" i="123"/>
  <c r="L351" i="123"/>
  <c r="L356" i="123"/>
  <c r="L361" i="123"/>
  <c r="L367" i="123"/>
  <c r="L372" i="123"/>
  <c r="L377" i="123"/>
  <c r="L383" i="123"/>
  <c r="L396" i="123"/>
  <c r="L398" i="123"/>
  <c r="L403" i="123"/>
  <c r="L410" i="123"/>
  <c r="L423" i="123"/>
  <c r="L428" i="123"/>
  <c r="L431" i="123"/>
  <c r="L437" i="123"/>
  <c r="L442" i="123"/>
  <c r="L448" i="123"/>
  <c r="L452" i="123"/>
  <c r="L456" i="123"/>
  <c r="L460" i="123"/>
  <c r="L464" i="123"/>
  <c r="L468" i="123"/>
  <c r="L472" i="123"/>
  <c r="L476" i="123"/>
  <c r="L480" i="123"/>
  <c r="L484" i="123"/>
  <c r="L486" i="123"/>
  <c r="L490" i="123"/>
  <c r="L494" i="123"/>
  <c r="L498" i="123"/>
  <c r="L502" i="123"/>
  <c r="L506" i="123"/>
  <c r="L510" i="123"/>
  <c r="L514" i="123"/>
  <c r="L518" i="123"/>
  <c r="L522" i="123"/>
  <c r="L526" i="123"/>
  <c r="L528" i="123"/>
  <c r="L530" i="123"/>
  <c r="L534" i="123"/>
  <c r="L538" i="123"/>
  <c r="L542" i="123"/>
  <c r="L211" i="123"/>
  <c r="L227" i="123"/>
  <c r="L242" i="123"/>
  <c r="L248" i="123"/>
  <c r="L264" i="123"/>
  <c r="L279" i="123"/>
  <c r="L287" i="123"/>
  <c r="L294" i="123"/>
  <c r="L304" i="123"/>
  <c r="L312" i="123"/>
  <c r="L320" i="123"/>
  <c r="L328" i="123"/>
  <c r="L336" i="123"/>
  <c r="L341" i="123"/>
  <c r="L347" i="123"/>
  <c r="L352" i="123"/>
  <c r="L357" i="123"/>
  <c r="L363" i="123"/>
  <c r="L368" i="123"/>
  <c r="L373" i="123"/>
  <c r="L379" i="123"/>
  <c r="L384" i="123"/>
  <c r="L389" i="123"/>
  <c r="L392" i="123"/>
  <c r="L399" i="123"/>
  <c r="L404" i="123"/>
  <c r="L406" i="123"/>
  <c r="L411" i="123"/>
  <c r="L418" i="123"/>
  <c r="L424" i="123"/>
  <c r="L433" i="123"/>
  <c r="L438" i="123"/>
  <c r="L443" i="123"/>
  <c r="L445" i="123"/>
  <c r="L449" i="123"/>
  <c r="L453" i="123"/>
  <c r="L457" i="123"/>
  <c r="L461" i="123"/>
  <c r="L465" i="123"/>
  <c r="L469" i="123"/>
  <c r="L473" i="123"/>
  <c r="L477" i="123"/>
  <c r="L481" i="123"/>
  <c r="L487" i="123"/>
  <c r="L491" i="123"/>
  <c r="L495" i="123"/>
  <c r="L499" i="123"/>
  <c r="L503" i="123"/>
  <c r="L511" i="123"/>
  <c r="L515" i="123"/>
  <c r="L519" i="123"/>
  <c r="L523" i="123"/>
  <c r="L531" i="123"/>
  <c r="L537" i="123"/>
  <c r="L541" i="123"/>
  <c r="L545" i="123"/>
  <c r="Q99" i="123"/>
  <c r="Q143" i="123"/>
  <c r="Q186" i="123"/>
  <c r="Q12" i="123"/>
  <c r="Q54" i="123"/>
  <c r="Q92" i="123"/>
  <c r="Q29" i="123"/>
  <c r="Q160" i="123"/>
  <c r="Q164" i="123"/>
  <c r="Q168" i="123"/>
  <c r="Q172" i="123"/>
  <c r="Q297" i="123"/>
  <c r="Q396" i="123"/>
  <c r="Q404" i="123"/>
  <c r="Q412" i="123"/>
  <c r="Q420" i="123"/>
  <c r="Q443" i="123"/>
  <c r="Q6" i="123"/>
  <c r="Q68" i="123"/>
  <c r="Q102" i="123"/>
  <c r="Q232" i="123"/>
  <c r="Q214" i="123"/>
  <c r="Q393" i="123"/>
  <c r="Q399" i="123"/>
  <c r="Q406" i="123"/>
  <c r="Q411" i="123"/>
  <c r="Q418" i="123"/>
  <c r="Q445" i="123"/>
  <c r="Q449" i="123"/>
  <c r="Q453" i="123"/>
  <c r="Q465" i="123"/>
  <c r="Q202" i="123"/>
  <c r="Q218" i="123"/>
  <c r="Q407" i="123"/>
  <c r="Q414" i="123"/>
  <c r="Q426" i="123"/>
  <c r="Q434" i="123"/>
  <c r="Q446" i="123"/>
  <c r="Q450" i="123"/>
  <c r="Q458" i="123"/>
  <c r="Q474" i="123"/>
  <c r="Q482" i="123"/>
  <c r="Q308" i="123"/>
  <c r="Q395" i="123"/>
  <c r="Q397" i="123"/>
  <c r="Q402" i="123"/>
  <c r="Q409" i="123"/>
  <c r="Q430" i="123"/>
  <c r="Q483" i="123"/>
  <c r="Q497" i="123"/>
  <c r="Q303" i="123"/>
  <c r="Q398" i="123"/>
  <c r="Q403" i="123"/>
  <c r="Q405" i="123"/>
  <c r="Q417" i="123"/>
  <c r="Q437" i="123"/>
  <c r="Q442" i="123"/>
  <c r="Q452" i="123"/>
  <c r="Q468" i="123"/>
  <c r="Q510" i="123"/>
  <c r="T783" i="127"/>
  <c r="Q783" i="127"/>
  <c r="Q718" i="127"/>
  <c r="Q781" i="127"/>
  <c r="Q830" i="127"/>
  <c r="S830" i="127"/>
  <c r="Q897" i="127"/>
  <c r="S897" i="127"/>
  <c r="Q966" i="127"/>
  <c r="Q738" i="127"/>
  <c r="Q719" i="127"/>
  <c r="S719" i="127"/>
  <c r="S4" i="123"/>
  <c r="F233" i="134"/>
  <c r="J233" i="134"/>
  <c r="F234" i="134"/>
  <c r="J234" i="134"/>
  <c r="C233" i="134"/>
  <c r="G233" i="134"/>
  <c r="K233" i="134"/>
  <c r="C234" i="134"/>
  <c r="G234" i="134"/>
  <c r="K234" i="134"/>
  <c r="C235" i="134"/>
  <c r="G235" i="134"/>
  <c r="K235" i="134"/>
  <c r="C236" i="134"/>
  <c r="G236" i="134"/>
  <c r="K236" i="134"/>
  <c r="C237" i="134"/>
  <c r="G237" i="134"/>
  <c r="K237" i="134"/>
  <c r="C238" i="134"/>
  <c r="G238" i="134"/>
  <c r="C239" i="134"/>
  <c r="G239" i="134"/>
  <c r="C240" i="134"/>
  <c r="G240" i="134"/>
  <c r="K240" i="134"/>
  <c r="C241" i="134"/>
  <c r="G241" i="134"/>
  <c r="C242" i="134"/>
  <c r="G242" i="134"/>
  <c r="C243" i="134"/>
  <c r="G243" i="134"/>
  <c r="C244" i="134"/>
  <c r="G244" i="134"/>
  <c r="C245" i="134"/>
  <c r="G245" i="134"/>
  <c r="C246" i="134"/>
  <c r="G246" i="134"/>
  <c r="C247" i="134"/>
  <c r="G247" i="134"/>
  <c r="C248" i="134"/>
  <c r="G248" i="134"/>
  <c r="C249" i="134"/>
  <c r="G249" i="134"/>
  <c r="C250" i="134"/>
  <c r="G250" i="134"/>
  <c r="C251" i="134"/>
  <c r="G251" i="134"/>
  <c r="C252" i="134"/>
  <c r="G252" i="134"/>
  <c r="C253" i="134"/>
  <c r="G253" i="134"/>
  <c r="K253" i="134"/>
  <c r="C254" i="134"/>
  <c r="G254" i="134"/>
  <c r="C255" i="134"/>
  <c r="G255" i="134"/>
  <c r="C256" i="134"/>
  <c r="G256" i="134"/>
  <c r="C257" i="134"/>
  <c r="G257" i="134"/>
  <c r="C258" i="134"/>
  <c r="G258" i="134"/>
  <c r="C259" i="134"/>
  <c r="G259" i="134"/>
  <c r="C260" i="134"/>
  <c r="G260" i="134"/>
  <c r="C261" i="134"/>
  <c r="I233" i="134"/>
  <c r="D234" i="134"/>
  <c r="L234" i="134"/>
  <c r="E235" i="134"/>
  <c r="J235" i="134"/>
  <c r="D236" i="134"/>
  <c r="I236" i="134"/>
  <c r="H237" i="134"/>
  <c r="F238" i="134"/>
  <c r="E239" i="134"/>
  <c r="J239" i="134"/>
  <c r="D240" i="134"/>
  <c r="I240" i="134"/>
  <c r="H241" i="134"/>
  <c r="F242" i="134"/>
  <c r="E243" i="134"/>
  <c r="J243" i="134"/>
  <c r="D244" i="134"/>
  <c r="I244" i="134"/>
  <c r="H245" i="134"/>
  <c r="F246" i="134"/>
  <c r="E247" i="134"/>
  <c r="J247" i="134"/>
  <c r="D248" i="134"/>
  <c r="I248" i="134"/>
  <c r="H249" i="134"/>
  <c r="F250" i="134"/>
  <c r="E251" i="134"/>
  <c r="J251" i="134"/>
  <c r="D252" i="134"/>
  <c r="I252" i="134"/>
  <c r="H253" i="134"/>
  <c r="F254" i="134"/>
  <c r="E255" i="134"/>
  <c r="J255" i="134"/>
  <c r="D256" i="134"/>
  <c r="I256" i="134"/>
  <c r="H257" i="134"/>
  <c r="F258" i="134"/>
  <c r="E259" i="134"/>
  <c r="J259" i="134"/>
  <c r="D260" i="134"/>
  <c r="I260" i="134"/>
  <c r="G261" i="134"/>
  <c r="C262" i="134"/>
  <c r="G262" i="134"/>
  <c r="C263" i="134"/>
  <c r="G263" i="134"/>
  <c r="C264" i="134"/>
  <c r="G264" i="134"/>
  <c r="K264" i="134"/>
  <c r="C265" i="134"/>
  <c r="G265" i="134"/>
  <c r="C266" i="134"/>
  <c r="G266" i="134"/>
  <c r="C267" i="134"/>
  <c r="G267" i="134"/>
  <c r="C268" i="134"/>
  <c r="G268" i="134"/>
  <c r="C269" i="134"/>
  <c r="G269" i="134"/>
  <c r="C270" i="134"/>
  <c r="G270" i="134"/>
  <c r="C271" i="134"/>
  <c r="D233" i="134"/>
  <c r="L233" i="134"/>
  <c r="E234" i="134"/>
  <c r="F235" i="134"/>
  <c r="L235" i="134"/>
  <c r="E236" i="134"/>
  <c r="J236" i="134"/>
  <c r="D237" i="134"/>
  <c r="I237" i="134"/>
  <c r="H238" i="134"/>
  <c r="F239" i="134"/>
  <c r="E240" i="134"/>
  <c r="J240" i="134"/>
  <c r="D241" i="134"/>
  <c r="I241" i="134"/>
  <c r="H242" i="134"/>
  <c r="F243" i="134"/>
  <c r="E244" i="134"/>
  <c r="J244" i="134"/>
  <c r="D245" i="134"/>
  <c r="I245" i="134"/>
  <c r="H246" i="134"/>
  <c r="F247" i="134"/>
  <c r="E248" i="134"/>
  <c r="J248" i="134"/>
  <c r="D249" i="134"/>
  <c r="I249" i="134"/>
  <c r="H250" i="134"/>
  <c r="F251" i="134"/>
  <c r="E252" i="134"/>
  <c r="J252" i="134"/>
  <c r="D253" i="134"/>
  <c r="I253" i="134"/>
  <c r="H254" i="134"/>
  <c r="F255" i="134"/>
  <c r="E256" i="134"/>
  <c r="J256" i="134"/>
  <c r="D257" i="134"/>
  <c r="I257" i="134"/>
  <c r="H258" i="134"/>
  <c r="F259" i="134"/>
  <c r="E260" i="134"/>
  <c r="J260" i="134"/>
  <c r="D261" i="134"/>
  <c r="H261" i="134"/>
  <c r="D262" i="134"/>
  <c r="H262" i="134"/>
  <c r="D263" i="134"/>
  <c r="H263" i="134"/>
  <c r="D264" i="134"/>
  <c r="H264" i="134"/>
  <c r="D265" i="134"/>
  <c r="H265" i="134"/>
  <c r="D266" i="134"/>
  <c r="H266" i="134"/>
  <c r="D267" i="134"/>
  <c r="H267" i="134"/>
  <c r="D268" i="134"/>
  <c r="H268" i="134"/>
  <c r="D269" i="134"/>
  <c r="H269" i="134"/>
  <c r="D270" i="134"/>
  <c r="H270" i="134"/>
  <c r="D271" i="134"/>
  <c r="H271" i="134"/>
  <c r="D272" i="134"/>
  <c r="H272" i="134"/>
  <c r="D273" i="134"/>
  <c r="H273" i="134"/>
  <c r="D274" i="134"/>
  <c r="H274" i="134"/>
  <c r="D275" i="134"/>
  <c r="H275" i="134"/>
  <c r="D235" i="134"/>
  <c r="J237" i="134"/>
  <c r="E238" i="134"/>
  <c r="D239" i="134"/>
  <c r="J241" i="134"/>
  <c r="E242" i="134"/>
  <c r="D243" i="134"/>
  <c r="J245" i="134"/>
  <c r="E246" i="134"/>
  <c r="D247" i="134"/>
  <c r="J249" i="134"/>
  <c r="E250" i="134"/>
  <c r="D251" i="134"/>
  <c r="J253" i="134"/>
  <c r="E254" i="134"/>
  <c r="D255" i="134"/>
  <c r="J257" i="134"/>
  <c r="E258" i="134"/>
  <c r="D259" i="134"/>
  <c r="I261" i="134"/>
  <c r="E262" i="134"/>
  <c r="I263" i="134"/>
  <c r="E264" i="134"/>
  <c r="I265" i="134"/>
  <c r="E266" i="134"/>
  <c r="I267" i="134"/>
  <c r="E268" i="134"/>
  <c r="I269" i="134"/>
  <c r="E270" i="134"/>
  <c r="G271" i="134"/>
  <c r="F272" i="134"/>
  <c r="E273" i="134"/>
  <c r="J273" i="134"/>
  <c r="C274" i="134"/>
  <c r="I274" i="134"/>
  <c r="G275" i="134"/>
  <c r="D276" i="134"/>
  <c r="H276" i="134"/>
  <c r="L276" i="134"/>
  <c r="D277" i="134"/>
  <c r="H277" i="134"/>
  <c r="L277" i="134"/>
  <c r="D278" i="134"/>
  <c r="H278" i="134"/>
  <c r="L278" i="134"/>
  <c r="D279" i="134"/>
  <c r="H279" i="134"/>
  <c r="L279" i="134"/>
  <c r="D280" i="134"/>
  <c r="H280" i="134"/>
  <c r="L280" i="134"/>
  <c r="D281" i="134"/>
  <c r="H281" i="134"/>
  <c r="L281" i="134"/>
  <c r="D282" i="134"/>
  <c r="H282" i="134"/>
  <c r="L282" i="134"/>
  <c r="D283" i="134"/>
  <c r="H283" i="134"/>
  <c r="L283" i="134"/>
  <c r="D284" i="134"/>
  <c r="H284" i="134"/>
  <c r="L284" i="134"/>
  <c r="D285" i="134"/>
  <c r="H285" i="134"/>
  <c r="D286" i="134"/>
  <c r="H286" i="134"/>
  <c r="D287" i="134"/>
  <c r="H287" i="134"/>
  <c r="L287" i="134"/>
  <c r="D288" i="134"/>
  <c r="H288" i="134"/>
  <c r="D289" i="134"/>
  <c r="H289" i="134"/>
  <c r="D290" i="134"/>
  <c r="H290" i="134"/>
  <c r="D291" i="134"/>
  <c r="H291" i="134"/>
  <c r="L291" i="134"/>
  <c r="D292" i="134"/>
  <c r="H292" i="134"/>
  <c r="L292" i="134"/>
  <c r="D293" i="134"/>
  <c r="H293" i="134"/>
  <c r="L293" i="134"/>
  <c r="D294" i="134"/>
  <c r="H294" i="134"/>
  <c r="L294" i="134"/>
  <c r="D295" i="134"/>
  <c r="H295" i="134"/>
  <c r="L295" i="134"/>
  <c r="D296" i="134"/>
  <c r="H296" i="134"/>
  <c r="L296" i="134"/>
  <c r="D297" i="134"/>
  <c r="H297" i="134"/>
  <c r="L297" i="134"/>
  <c r="D298" i="134"/>
  <c r="H298" i="134"/>
  <c r="L298" i="134"/>
  <c r="D299" i="134"/>
  <c r="H299" i="134"/>
  <c r="L299" i="134"/>
  <c r="D300" i="134"/>
  <c r="H300" i="134"/>
  <c r="L300" i="134"/>
  <c r="I234" i="134"/>
  <c r="E241" i="134"/>
  <c r="I243" i="134"/>
  <c r="E245" i="134"/>
  <c r="H248" i="134"/>
  <c r="J250" i="134"/>
  <c r="H252" i="134"/>
  <c r="J254" i="134"/>
  <c r="I255" i="134"/>
  <c r="E257" i="134"/>
  <c r="I259" i="134"/>
  <c r="E261" i="134"/>
  <c r="I262" i="134"/>
  <c r="E265" i="134"/>
  <c r="I266" i="134"/>
  <c r="E269" i="134"/>
  <c r="E271" i="134"/>
  <c r="C272" i="134"/>
  <c r="F276" i="134"/>
  <c r="J276" i="134"/>
  <c r="F278" i="134"/>
  <c r="J278" i="134"/>
  <c r="F280" i="134"/>
  <c r="J280" i="134"/>
  <c r="F282" i="134"/>
  <c r="J282" i="134"/>
  <c r="F284" i="134"/>
  <c r="J284" i="134"/>
  <c r="F286" i="134"/>
  <c r="J286" i="134"/>
  <c r="F288" i="134"/>
  <c r="J288" i="134"/>
  <c r="E233" i="134"/>
  <c r="H234" i="134"/>
  <c r="H235" i="134"/>
  <c r="F236" i="134"/>
  <c r="L237" i="134"/>
  <c r="I238" i="134"/>
  <c r="H239" i="134"/>
  <c r="F240" i="134"/>
  <c r="I242" i="134"/>
  <c r="H243" i="134"/>
  <c r="F244" i="134"/>
  <c r="I246" i="134"/>
  <c r="H247" i="134"/>
  <c r="F248" i="134"/>
  <c r="I250" i="134"/>
  <c r="H251" i="134"/>
  <c r="F252" i="134"/>
  <c r="L253" i="134"/>
  <c r="I254" i="134"/>
  <c r="H255" i="134"/>
  <c r="F256" i="134"/>
  <c r="I258" i="134"/>
  <c r="H259" i="134"/>
  <c r="F260" i="134"/>
  <c r="J261" i="134"/>
  <c r="F262" i="134"/>
  <c r="J263" i="134"/>
  <c r="F264" i="134"/>
  <c r="J265" i="134"/>
  <c r="F266" i="134"/>
  <c r="J267" i="134"/>
  <c r="F268" i="134"/>
  <c r="J269" i="134"/>
  <c r="F270" i="134"/>
  <c r="I271" i="134"/>
  <c r="G272" i="134"/>
  <c r="F273" i="134"/>
  <c r="E274" i="134"/>
  <c r="J274" i="134"/>
  <c r="C275" i="134"/>
  <c r="I275" i="134"/>
  <c r="E276" i="134"/>
  <c r="I276" i="134"/>
  <c r="E277" i="134"/>
  <c r="I277" i="134"/>
  <c r="E278" i="134"/>
  <c r="I278" i="134"/>
  <c r="E279" i="134"/>
  <c r="I279" i="134"/>
  <c r="E280" i="134"/>
  <c r="I280" i="134"/>
  <c r="E281" i="134"/>
  <c r="I281" i="134"/>
  <c r="E282" i="134"/>
  <c r="I282" i="134"/>
  <c r="E283" i="134"/>
  <c r="I283" i="134"/>
  <c r="E284" i="134"/>
  <c r="I284" i="134"/>
  <c r="E285" i="134"/>
  <c r="I285" i="134"/>
  <c r="E286" i="134"/>
  <c r="I286" i="134"/>
  <c r="E287" i="134"/>
  <c r="I287" i="134"/>
  <c r="E288" i="134"/>
  <c r="I288" i="134"/>
  <c r="E289" i="134"/>
  <c r="I289" i="134"/>
  <c r="E290" i="134"/>
  <c r="I290" i="134"/>
  <c r="E291" i="134"/>
  <c r="I291" i="134"/>
  <c r="E292" i="134"/>
  <c r="I292" i="134"/>
  <c r="E293" i="134"/>
  <c r="I293" i="134"/>
  <c r="E294" i="134"/>
  <c r="I294" i="134"/>
  <c r="E295" i="134"/>
  <c r="I295" i="134"/>
  <c r="E296" i="134"/>
  <c r="I296" i="134"/>
  <c r="E297" i="134"/>
  <c r="I297" i="134"/>
  <c r="E298" i="134"/>
  <c r="I298" i="134"/>
  <c r="E299" i="134"/>
  <c r="I299" i="134"/>
  <c r="E300" i="134"/>
  <c r="I300" i="134"/>
  <c r="H233" i="134"/>
  <c r="I235" i="134"/>
  <c r="H236" i="134"/>
  <c r="E237" i="134"/>
  <c r="J238" i="134"/>
  <c r="I239" i="134"/>
  <c r="H240" i="134"/>
  <c r="J242" i="134"/>
  <c r="H244" i="134"/>
  <c r="J246" i="134"/>
  <c r="I247" i="134"/>
  <c r="E249" i="134"/>
  <c r="I251" i="134"/>
  <c r="E253" i="134"/>
  <c r="H256" i="134"/>
  <c r="J258" i="134"/>
  <c r="H260" i="134"/>
  <c r="E263" i="134"/>
  <c r="I264" i="134"/>
  <c r="E267" i="134"/>
  <c r="I268" i="134"/>
  <c r="I270" i="134"/>
  <c r="J271" i="134"/>
  <c r="I272" i="134"/>
  <c r="G273" i="134"/>
  <c r="F274" i="134"/>
  <c r="E275" i="134"/>
  <c r="J275" i="134"/>
  <c r="F277" i="134"/>
  <c r="J277" i="134"/>
  <c r="F279" i="134"/>
  <c r="J279" i="134"/>
  <c r="F281" i="134"/>
  <c r="J281" i="134"/>
  <c r="F283" i="134"/>
  <c r="J283" i="134"/>
  <c r="F285" i="134"/>
  <c r="J285" i="134"/>
  <c r="F287" i="134"/>
  <c r="J287" i="134"/>
  <c r="F289" i="134"/>
  <c r="J289" i="134"/>
  <c r="F237" i="134"/>
  <c r="F241" i="134"/>
  <c r="F245" i="134"/>
  <c r="F249" i="134"/>
  <c r="F253" i="134"/>
  <c r="F257" i="134"/>
  <c r="F261" i="134"/>
  <c r="F263" i="134"/>
  <c r="F265" i="134"/>
  <c r="F267" i="134"/>
  <c r="F269" i="134"/>
  <c r="F271" i="134"/>
  <c r="J272" i="134"/>
  <c r="F275" i="134"/>
  <c r="G276" i="134"/>
  <c r="G277" i="134"/>
  <c r="G278" i="134"/>
  <c r="G279" i="134"/>
  <c r="G280" i="134"/>
  <c r="G281" i="134"/>
  <c r="G282" i="134"/>
  <c r="G283" i="134"/>
  <c r="G284" i="134"/>
  <c r="G285" i="134"/>
  <c r="G286" i="134"/>
  <c r="G287" i="134"/>
  <c r="G288" i="134"/>
  <c r="G289" i="134"/>
  <c r="F290" i="134"/>
  <c r="J291" i="134"/>
  <c r="F292" i="134"/>
  <c r="J293" i="134"/>
  <c r="F294" i="134"/>
  <c r="J295" i="134"/>
  <c r="F296" i="134"/>
  <c r="J297" i="134"/>
  <c r="F298" i="134"/>
  <c r="J299" i="134"/>
  <c r="F300" i="134"/>
  <c r="D258" i="134"/>
  <c r="J266" i="134"/>
  <c r="J270" i="134"/>
  <c r="J290" i="134"/>
  <c r="F291" i="134"/>
  <c r="F293" i="134"/>
  <c r="J294" i="134"/>
  <c r="F295" i="134"/>
  <c r="F297" i="134"/>
  <c r="J298" i="134"/>
  <c r="F299" i="134"/>
  <c r="C281" i="134"/>
  <c r="C285" i="134"/>
  <c r="C287" i="134"/>
  <c r="C289" i="134"/>
  <c r="G291" i="134"/>
  <c r="K292" i="134"/>
  <c r="C294" i="134"/>
  <c r="K294" i="134"/>
  <c r="C296" i="134"/>
  <c r="C298" i="134"/>
  <c r="G299" i="134"/>
  <c r="K300" i="134"/>
  <c r="G274" i="134"/>
  <c r="K276" i="134"/>
  <c r="K277" i="134"/>
  <c r="K278" i="134"/>
  <c r="K279" i="134"/>
  <c r="K280" i="134"/>
  <c r="K281" i="134"/>
  <c r="K282" i="134"/>
  <c r="K283" i="134"/>
  <c r="K284" i="134"/>
  <c r="K287" i="134"/>
  <c r="G290" i="134"/>
  <c r="C291" i="134"/>
  <c r="K291" i="134"/>
  <c r="G292" i="134"/>
  <c r="C293" i="134"/>
  <c r="K293" i="134"/>
  <c r="G294" i="134"/>
  <c r="C295" i="134"/>
  <c r="K295" i="134"/>
  <c r="G296" i="134"/>
  <c r="C297" i="134"/>
  <c r="K297" i="134"/>
  <c r="G298" i="134"/>
  <c r="C299" i="134"/>
  <c r="K299" i="134"/>
  <c r="G300" i="134"/>
  <c r="L236" i="134"/>
  <c r="D238" i="134"/>
  <c r="L240" i="134"/>
  <c r="D242" i="134"/>
  <c r="D246" i="134"/>
  <c r="D250" i="134"/>
  <c r="D254" i="134"/>
  <c r="J262" i="134"/>
  <c r="J264" i="134"/>
  <c r="J268" i="134"/>
  <c r="C273" i="134"/>
  <c r="J292" i="134"/>
  <c r="J296" i="134"/>
  <c r="J300" i="134"/>
  <c r="E272" i="134"/>
  <c r="I273" i="134"/>
  <c r="C276" i="134"/>
  <c r="C277" i="134"/>
  <c r="C278" i="134"/>
  <c r="C279" i="134"/>
  <c r="C280" i="134"/>
  <c r="C282" i="134"/>
  <c r="C283" i="134"/>
  <c r="C284" i="134"/>
  <c r="C286" i="134"/>
  <c r="C288" i="134"/>
  <c r="C290" i="134"/>
  <c r="C292" i="134"/>
  <c r="G293" i="134"/>
  <c r="G295" i="134"/>
  <c r="K296" i="134"/>
  <c r="G297" i="134"/>
  <c r="K298" i="134"/>
  <c r="C300" i="134"/>
  <c r="L9" i="134"/>
  <c r="D24" i="87"/>
  <c r="L5" i="134"/>
  <c r="K226" i="134"/>
  <c r="K218" i="134"/>
  <c r="L29" i="134"/>
  <c r="K176" i="134"/>
  <c r="K182" i="134"/>
  <c r="L231" i="134"/>
  <c r="L205" i="134"/>
  <c r="L199" i="134"/>
  <c r="L197" i="134"/>
  <c r="L177" i="134"/>
  <c r="L175" i="134"/>
  <c r="L43" i="134"/>
  <c r="L11" i="134"/>
  <c r="K231" i="134"/>
  <c r="K205" i="134"/>
  <c r="K199" i="134"/>
  <c r="K197" i="134"/>
  <c r="K177" i="134"/>
  <c r="K175" i="134"/>
  <c r="L97" i="134"/>
  <c r="L33" i="134"/>
  <c r="K8" i="134"/>
  <c r="K14" i="134"/>
  <c r="K28" i="134"/>
  <c r="K30" i="134"/>
  <c r="K32" i="134"/>
  <c r="K40" i="134"/>
  <c r="K42" i="134"/>
  <c r="K166" i="134"/>
  <c r="L8" i="134"/>
  <c r="L14" i="134"/>
  <c r="L28" i="134"/>
  <c r="L30" i="134"/>
  <c r="L32" i="134"/>
  <c r="L40" i="134"/>
  <c r="L42" i="134"/>
  <c r="K9" i="134"/>
  <c r="K11" i="134"/>
  <c r="K29" i="134"/>
  <c r="K31" i="134"/>
  <c r="K33" i="134"/>
  <c r="K43" i="134"/>
  <c r="K97" i="134"/>
  <c r="L226" i="134"/>
  <c r="L218" i="134"/>
  <c r="L182" i="134"/>
  <c r="L176" i="134"/>
  <c r="L166" i="134"/>
  <c r="L31" i="134"/>
  <c r="H97" i="134"/>
  <c r="C231" i="134"/>
  <c r="C229" i="134"/>
  <c r="C227" i="134"/>
  <c r="C225" i="134"/>
  <c r="C223" i="134"/>
  <c r="C221" i="134"/>
  <c r="C219" i="134"/>
  <c r="C217" i="134"/>
  <c r="C215" i="134"/>
  <c r="C213" i="134"/>
  <c r="C211" i="134"/>
  <c r="C232" i="134"/>
  <c r="C230" i="134"/>
  <c r="C228" i="134"/>
  <c r="C226" i="134"/>
  <c r="C224" i="134"/>
  <c r="C222" i="134"/>
  <c r="C220" i="134"/>
  <c r="C218" i="134"/>
  <c r="C216" i="134"/>
  <c r="C214" i="134"/>
  <c r="C212" i="134"/>
  <c r="C210" i="134"/>
  <c r="C208" i="134"/>
  <c r="C206" i="134"/>
  <c r="C204" i="134"/>
  <c r="C202" i="134"/>
  <c r="C200" i="134"/>
  <c r="C198" i="134"/>
  <c r="C196" i="134"/>
  <c r="C194" i="134"/>
  <c r="C192" i="134"/>
  <c r="C190" i="134"/>
  <c r="C209" i="134"/>
  <c r="C207" i="134"/>
  <c r="C205" i="134"/>
  <c r="C203" i="134"/>
  <c r="C201" i="134"/>
  <c r="C199" i="134"/>
  <c r="C197" i="134"/>
  <c r="C195" i="134"/>
  <c r="C193" i="134"/>
  <c r="C191" i="134"/>
  <c r="C186" i="134"/>
  <c r="C188" i="134"/>
  <c r="C189" i="134"/>
  <c r="C187" i="134"/>
  <c r="C185" i="134"/>
  <c r="C184" i="134"/>
  <c r="C182" i="134"/>
  <c r="D177" i="134"/>
  <c r="H174" i="134"/>
  <c r="D169" i="134"/>
  <c r="H166" i="134"/>
  <c r="D161" i="134"/>
  <c r="H158" i="134"/>
  <c r="D153" i="134"/>
  <c r="H150" i="134"/>
  <c r="D145" i="134"/>
  <c r="H142" i="134"/>
  <c r="F133" i="134"/>
  <c r="J130" i="134"/>
  <c r="C183" i="134"/>
  <c r="C181" i="134"/>
  <c r="H178" i="134"/>
  <c r="D173" i="134"/>
  <c r="H170" i="134"/>
  <c r="D165" i="134"/>
  <c r="H162" i="134"/>
  <c r="D157" i="134"/>
  <c r="H154" i="134"/>
  <c r="D149" i="134"/>
  <c r="H146" i="134"/>
  <c r="D141" i="134"/>
  <c r="H138" i="134"/>
  <c r="H117" i="134"/>
  <c r="I93" i="134"/>
  <c r="C178" i="134"/>
  <c r="C174" i="134"/>
  <c r="C170" i="134"/>
  <c r="C166" i="134"/>
  <c r="C162" i="134"/>
  <c r="C158" i="134"/>
  <c r="C154" i="134"/>
  <c r="C150" i="134"/>
  <c r="C146" i="134"/>
  <c r="C142" i="134"/>
  <c r="F119" i="134"/>
  <c r="G179" i="134"/>
  <c r="G175" i="134"/>
  <c r="G171" i="134"/>
  <c r="G167" i="134"/>
  <c r="G163" i="134"/>
  <c r="G159" i="134"/>
  <c r="G155" i="134"/>
  <c r="G151" i="134"/>
  <c r="G147" i="134"/>
  <c r="G143" i="134"/>
  <c r="C139" i="134"/>
  <c r="F137" i="134"/>
  <c r="J134" i="134"/>
  <c r="F129" i="134"/>
  <c r="H113" i="134"/>
  <c r="D110" i="134"/>
  <c r="G232" i="134"/>
  <c r="G231" i="134"/>
  <c r="G230" i="134"/>
  <c r="G229" i="134"/>
  <c r="G228" i="134"/>
  <c r="G227" i="134"/>
  <c r="G226" i="134"/>
  <c r="G225" i="134"/>
  <c r="G224" i="134"/>
  <c r="G223" i="134"/>
  <c r="G222" i="134"/>
  <c r="G221" i="134"/>
  <c r="G220" i="134"/>
  <c r="G219" i="134"/>
  <c r="G218" i="134"/>
  <c r="G217" i="134"/>
  <c r="G216" i="134"/>
  <c r="G215" i="134"/>
  <c r="G214" i="134"/>
  <c r="G213" i="134"/>
  <c r="G212" i="134"/>
  <c r="G211" i="134"/>
  <c r="G210" i="134"/>
  <c r="G209" i="134"/>
  <c r="G208" i="134"/>
  <c r="G207" i="134"/>
  <c r="G206" i="134"/>
  <c r="G205" i="134"/>
  <c r="G204" i="134"/>
  <c r="G203" i="134"/>
  <c r="G202" i="134"/>
  <c r="G201" i="134"/>
  <c r="G200" i="134"/>
  <c r="G199" i="134"/>
  <c r="G198" i="134"/>
  <c r="G197" i="134"/>
  <c r="G196" i="134"/>
  <c r="G195" i="134"/>
  <c r="G194" i="134"/>
  <c r="G193" i="134"/>
  <c r="G192" i="134"/>
  <c r="G191" i="134"/>
  <c r="G190" i="134"/>
  <c r="G189" i="134"/>
  <c r="G188" i="134"/>
  <c r="G187" i="134"/>
  <c r="G186" i="134"/>
  <c r="G185" i="134"/>
  <c r="G184" i="134"/>
  <c r="G183" i="134"/>
  <c r="G182" i="134"/>
  <c r="G181" i="134"/>
  <c r="F180" i="134"/>
  <c r="J177" i="134"/>
  <c r="F176" i="134"/>
  <c r="J173" i="134"/>
  <c r="F172" i="134"/>
  <c r="J169" i="134"/>
  <c r="F168" i="134"/>
  <c r="J165" i="134"/>
  <c r="F164" i="134"/>
  <c r="J161" i="134"/>
  <c r="F160" i="134"/>
  <c r="J157" i="134"/>
  <c r="F156" i="134"/>
  <c r="J153" i="134"/>
  <c r="F152" i="134"/>
  <c r="J149" i="134"/>
  <c r="F148" i="134"/>
  <c r="J145" i="134"/>
  <c r="F144" i="134"/>
  <c r="J141" i="134"/>
  <c r="D140" i="134"/>
  <c r="J115" i="134"/>
  <c r="J232" i="134"/>
  <c r="F232" i="134"/>
  <c r="J231" i="134"/>
  <c r="F231" i="134"/>
  <c r="J230" i="134"/>
  <c r="F230" i="134"/>
  <c r="J229" i="134"/>
  <c r="F229" i="134"/>
  <c r="J228" i="134"/>
  <c r="F228" i="134"/>
  <c r="J227" i="134"/>
  <c r="F227" i="134"/>
  <c r="J226" i="134"/>
  <c r="F226" i="134"/>
  <c r="J225" i="134"/>
  <c r="F225" i="134"/>
  <c r="J224" i="134"/>
  <c r="F224" i="134"/>
  <c r="J223" i="134"/>
  <c r="F223" i="134"/>
  <c r="J222" i="134"/>
  <c r="F222" i="134"/>
  <c r="J221" i="134"/>
  <c r="F221" i="134"/>
  <c r="J220" i="134"/>
  <c r="F220" i="134"/>
  <c r="J219" i="134"/>
  <c r="F219" i="134"/>
  <c r="J218" i="134"/>
  <c r="F218" i="134"/>
  <c r="J217" i="134"/>
  <c r="F217" i="134"/>
  <c r="J216" i="134"/>
  <c r="F216" i="134"/>
  <c r="J215" i="134"/>
  <c r="F215" i="134"/>
  <c r="J214" i="134"/>
  <c r="F214" i="134"/>
  <c r="J213" i="134"/>
  <c r="F213" i="134"/>
  <c r="J212" i="134"/>
  <c r="F212" i="134"/>
  <c r="J211" i="134"/>
  <c r="F211" i="134"/>
  <c r="J209" i="134"/>
  <c r="F209" i="134"/>
  <c r="J208" i="134"/>
  <c r="F208" i="134"/>
  <c r="J207" i="134"/>
  <c r="F207" i="134"/>
  <c r="J206" i="134"/>
  <c r="F206" i="134"/>
  <c r="J205" i="134"/>
  <c r="F205" i="134"/>
  <c r="J204" i="134"/>
  <c r="F204" i="134"/>
  <c r="J203" i="134"/>
  <c r="F203" i="134"/>
  <c r="J202" i="134"/>
  <c r="F202" i="134"/>
  <c r="J201" i="134"/>
  <c r="F201" i="134"/>
  <c r="J200" i="134"/>
  <c r="F200" i="134"/>
  <c r="J199" i="134"/>
  <c r="F199" i="134"/>
  <c r="J198" i="134"/>
  <c r="F198" i="134"/>
  <c r="J197" i="134"/>
  <c r="F197" i="134"/>
  <c r="J196" i="134"/>
  <c r="F196" i="134"/>
  <c r="J195" i="134"/>
  <c r="F195" i="134"/>
  <c r="J194" i="134"/>
  <c r="F194" i="134"/>
  <c r="J193" i="134"/>
  <c r="F193" i="134"/>
  <c r="J192" i="134"/>
  <c r="F192" i="134"/>
  <c r="J191" i="134"/>
  <c r="F191" i="134"/>
  <c r="J190" i="134"/>
  <c r="F190" i="134"/>
  <c r="J189" i="134"/>
  <c r="F189" i="134"/>
  <c r="J188" i="134"/>
  <c r="F188" i="134"/>
  <c r="J187" i="134"/>
  <c r="F187" i="134"/>
  <c r="J186" i="134"/>
  <c r="F186" i="134"/>
  <c r="J185" i="134"/>
  <c r="F185" i="134"/>
  <c r="J184" i="134"/>
  <c r="F184" i="134"/>
  <c r="J183" i="134"/>
  <c r="F183" i="134"/>
  <c r="J182" i="134"/>
  <c r="F182" i="134"/>
  <c r="J181" i="134"/>
  <c r="F181" i="134"/>
  <c r="J180" i="134"/>
  <c r="D180" i="134"/>
  <c r="F179" i="134"/>
  <c r="G178" i="134"/>
  <c r="H177" i="134"/>
  <c r="C177" i="134"/>
  <c r="J176" i="134"/>
  <c r="D176" i="134"/>
  <c r="F175" i="134"/>
  <c r="G174" i="134"/>
  <c r="H173" i="134"/>
  <c r="C173" i="134"/>
  <c r="J172" i="134"/>
  <c r="D172" i="134"/>
  <c r="F171" i="134"/>
  <c r="G170" i="134"/>
  <c r="H169" i="134"/>
  <c r="C169" i="134"/>
  <c r="J168" i="134"/>
  <c r="D168" i="134"/>
  <c r="F167" i="134"/>
  <c r="G166" i="134"/>
  <c r="H165" i="134"/>
  <c r="C165" i="134"/>
  <c r="J164" i="134"/>
  <c r="D164" i="134"/>
  <c r="F163" i="134"/>
  <c r="G162" i="134"/>
  <c r="H161" i="134"/>
  <c r="C161" i="134"/>
  <c r="J160" i="134"/>
  <c r="D160" i="134"/>
  <c r="F159" i="134"/>
  <c r="G158" i="134"/>
  <c r="H157" i="134"/>
  <c r="C157" i="134"/>
  <c r="J156" i="134"/>
  <c r="D156" i="134"/>
  <c r="F155" i="134"/>
  <c r="G154" i="134"/>
  <c r="H153" i="134"/>
  <c r="C153" i="134"/>
  <c r="J152" i="134"/>
  <c r="D152" i="134"/>
  <c r="F151" i="134"/>
  <c r="G150" i="134"/>
  <c r="H149" i="134"/>
  <c r="C149" i="134"/>
  <c r="J148" i="134"/>
  <c r="D148" i="134"/>
  <c r="F147" i="134"/>
  <c r="G146" i="134"/>
  <c r="H145" i="134"/>
  <c r="C145" i="134"/>
  <c r="J144" i="134"/>
  <c r="D144" i="134"/>
  <c r="F143" i="134"/>
  <c r="G142" i="134"/>
  <c r="H141" i="134"/>
  <c r="C141" i="134"/>
  <c r="J140" i="134"/>
  <c r="C140" i="134"/>
  <c r="H139" i="134"/>
  <c r="G138" i="134"/>
  <c r="I135" i="134"/>
  <c r="E134" i="134"/>
  <c r="I131" i="134"/>
  <c r="E130" i="134"/>
  <c r="F127" i="134"/>
  <c r="H125" i="134"/>
  <c r="J123" i="134"/>
  <c r="D95" i="134"/>
  <c r="F210" i="134"/>
  <c r="I232" i="134"/>
  <c r="E232" i="134"/>
  <c r="I231" i="134"/>
  <c r="E231" i="134"/>
  <c r="I230" i="134"/>
  <c r="E230" i="134"/>
  <c r="I229" i="134"/>
  <c r="E229" i="134"/>
  <c r="I228" i="134"/>
  <c r="E228" i="134"/>
  <c r="I227" i="134"/>
  <c r="E227" i="134"/>
  <c r="I226" i="134"/>
  <c r="E226" i="134"/>
  <c r="I225" i="134"/>
  <c r="E225" i="134"/>
  <c r="I224" i="134"/>
  <c r="E224" i="134"/>
  <c r="I223" i="134"/>
  <c r="E223" i="134"/>
  <c r="I222" i="134"/>
  <c r="E222" i="134"/>
  <c r="I221" i="134"/>
  <c r="E221" i="134"/>
  <c r="I220" i="134"/>
  <c r="E220" i="134"/>
  <c r="I219" i="134"/>
  <c r="E219" i="134"/>
  <c r="I218" i="134"/>
  <c r="E218" i="134"/>
  <c r="I217" i="134"/>
  <c r="E217" i="134"/>
  <c r="I216" i="134"/>
  <c r="E216" i="134"/>
  <c r="I215" i="134"/>
  <c r="E215" i="134"/>
  <c r="I214" i="134"/>
  <c r="E214" i="134"/>
  <c r="I213" i="134"/>
  <c r="E213" i="134"/>
  <c r="I212" i="134"/>
  <c r="E212" i="134"/>
  <c r="I211" i="134"/>
  <c r="E211" i="134"/>
  <c r="I210" i="134"/>
  <c r="E210" i="134"/>
  <c r="I209" i="134"/>
  <c r="E209" i="134"/>
  <c r="I208" i="134"/>
  <c r="E208" i="134"/>
  <c r="I207" i="134"/>
  <c r="E207" i="134"/>
  <c r="I206" i="134"/>
  <c r="E206" i="134"/>
  <c r="I205" i="134"/>
  <c r="E205" i="134"/>
  <c r="I204" i="134"/>
  <c r="E204" i="134"/>
  <c r="I203" i="134"/>
  <c r="E203" i="134"/>
  <c r="I202" i="134"/>
  <c r="E202" i="134"/>
  <c r="I201" i="134"/>
  <c r="E201" i="134"/>
  <c r="I200" i="134"/>
  <c r="E200" i="134"/>
  <c r="I199" i="134"/>
  <c r="E199" i="134"/>
  <c r="I198" i="134"/>
  <c r="E198" i="134"/>
  <c r="I197" i="134"/>
  <c r="E197" i="134"/>
  <c r="I196" i="134"/>
  <c r="E196" i="134"/>
  <c r="I195" i="134"/>
  <c r="E195" i="134"/>
  <c r="I194" i="134"/>
  <c r="E194" i="134"/>
  <c r="I193" i="134"/>
  <c r="E193" i="134"/>
  <c r="I192" i="134"/>
  <c r="E192" i="134"/>
  <c r="I191" i="134"/>
  <c r="E191" i="134"/>
  <c r="I190" i="134"/>
  <c r="E190" i="134"/>
  <c r="I189" i="134"/>
  <c r="E189" i="134"/>
  <c r="I188" i="134"/>
  <c r="E188" i="134"/>
  <c r="I187" i="134"/>
  <c r="E187" i="134"/>
  <c r="I186" i="134"/>
  <c r="E186" i="134"/>
  <c r="I185" i="134"/>
  <c r="E185" i="134"/>
  <c r="I184" i="134"/>
  <c r="E184" i="134"/>
  <c r="I183" i="134"/>
  <c r="E183" i="134"/>
  <c r="I182" i="134"/>
  <c r="E182" i="134"/>
  <c r="I181" i="134"/>
  <c r="E181" i="134"/>
  <c r="H180" i="134"/>
  <c r="C180" i="134"/>
  <c r="J179" i="134"/>
  <c r="D179" i="134"/>
  <c r="F178" i="134"/>
  <c r="G177" i="134"/>
  <c r="H176" i="134"/>
  <c r="C176" i="134"/>
  <c r="J175" i="134"/>
  <c r="D175" i="134"/>
  <c r="F174" i="134"/>
  <c r="G173" i="134"/>
  <c r="H172" i="134"/>
  <c r="C172" i="134"/>
  <c r="J171" i="134"/>
  <c r="D171" i="134"/>
  <c r="F170" i="134"/>
  <c r="G169" i="134"/>
  <c r="H168" i="134"/>
  <c r="C168" i="134"/>
  <c r="J167" i="134"/>
  <c r="D167" i="134"/>
  <c r="F166" i="134"/>
  <c r="G165" i="134"/>
  <c r="H164" i="134"/>
  <c r="C164" i="134"/>
  <c r="J163" i="134"/>
  <c r="D163" i="134"/>
  <c r="F162" i="134"/>
  <c r="G161" i="134"/>
  <c r="H160" i="134"/>
  <c r="C160" i="134"/>
  <c r="J159" i="134"/>
  <c r="D159" i="134"/>
  <c r="F158" i="134"/>
  <c r="G157" i="134"/>
  <c r="H156" i="134"/>
  <c r="C156" i="134"/>
  <c r="J155" i="134"/>
  <c r="D155" i="134"/>
  <c r="F154" i="134"/>
  <c r="G153" i="134"/>
  <c r="H152" i="134"/>
  <c r="C152" i="134"/>
  <c r="J151" i="134"/>
  <c r="D151" i="134"/>
  <c r="F150" i="134"/>
  <c r="G149" i="134"/>
  <c r="H148" i="134"/>
  <c r="C148" i="134"/>
  <c r="J147" i="134"/>
  <c r="D147" i="134"/>
  <c r="F146" i="134"/>
  <c r="G145" i="134"/>
  <c r="H144" i="134"/>
  <c r="C144" i="134"/>
  <c r="J143" i="134"/>
  <c r="D143" i="134"/>
  <c r="F142" i="134"/>
  <c r="G141" i="134"/>
  <c r="H140" i="134"/>
  <c r="G139" i="134"/>
  <c r="D138" i="134"/>
  <c r="C135" i="134"/>
  <c r="C131" i="134"/>
  <c r="D120" i="134"/>
  <c r="F118" i="134"/>
  <c r="J116" i="134"/>
  <c r="F7" i="134"/>
  <c r="J7" i="134"/>
  <c r="F8" i="134"/>
  <c r="J8" i="134"/>
  <c r="F9" i="134"/>
  <c r="J9" i="134"/>
  <c r="F10" i="134"/>
  <c r="J10" i="134"/>
  <c r="F11" i="134"/>
  <c r="C7" i="134"/>
  <c r="G7" i="134"/>
  <c r="C8" i="134"/>
  <c r="G8" i="134"/>
  <c r="C9" i="134"/>
  <c r="G9" i="134"/>
  <c r="C10" i="134"/>
  <c r="G10" i="134"/>
  <c r="C11" i="134"/>
  <c r="G11" i="134"/>
  <c r="C12" i="134"/>
  <c r="G12" i="134"/>
  <c r="C13" i="134"/>
  <c r="G13" i="134"/>
  <c r="C14" i="134"/>
  <c r="G14" i="134"/>
  <c r="C15" i="134"/>
  <c r="G15" i="134"/>
  <c r="C16" i="134"/>
  <c r="G16" i="134"/>
  <c r="C17" i="134"/>
  <c r="G17" i="134"/>
  <c r="C18" i="134"/>
  <c r="G18" i="134"/>
  <c r="C19" i="134"/>
  <c r="G19" i="134"/>
  <c r="C20" i="134"/>
  <c r="G20" i="134"/>
  <c r="C21" i="134"/>
  <c r="G21" i="134"/>
  <c r="C22" i="134"/>
  <c r="G22" i="134"/>
  <c r="C23" i="134"/>
  <c r="G23" i="134"/>
  <c r="C24" i="134"/>
  <c r="G24" i="134"/>
  <c r="C25" i="134"/>
  <c r="G25" i="134"/>
  <c r="C26" i="134"/>
  <c r="G26" i="134"/>
  <c r="C27" i="134"/>
  <c r="G27" i="134"/>
  <c r="C28" i="134"/>
  <c r="G28" i="134"/>
  <c r="C29" i="134"/>
  <c r="D7" i="134"/>
  <c r="H7" i="134"/>
  <c r="D8" i="134"/>
  <c r="H8" i="134"/>
  <c r="D9" i="134"/>
  <c r="H9" i="134"/>
  <c r="D10" i="134"/>
  <c r="H10" i="134"/>
  <c r="D11" i="134"/>
  <c r="H11" i="134"/>
  <c r="D12" i="134"/>
  <c r="H12" i="134"/>
  <c r="D13" i="134"/>
  <c r="H13" i="134"/>
  <c r="D14" i="134"/>
  <c r="H14" i="134"/>
  <c r="D15" i="134"/>
  <c r="H15" i="134"/>
  <c r="D16" i="134"/>
  <c r="H16" i="134"/>
  <c r="D17" i="134"/>
  <c r="H17" i="134"/>
  <c r="D18" i="134"/>
  <c r="H18" i="134"/>
  <c r="D19" i="134"/>
  <c r="H19" i="134"/>
  <c r="D20" i="134"/>
  <c r="H20" i="134"/>
  <c r="D21" i="134"/>
  <c r="H21" i="134"/>
  <c r="D22" i="134"/>
  <c r="H22" i="134"/>
  <c r="D23" i="134"/>
  <c r="H23" i="134"/>
  <c r="D24" i="134"/>
  <c r="H24" i="134"/>
  <c r="D25" i="134"/>
  <c r="H25" i="134"/>
  <c r="D26" i="134"/>
  <c r="H26" i="134"/>
  <c r="D27" i="134"/>
  <c r="H27" i="134"/>
  <c r="D28" i="134"/>
  <c r="H28" i="134"/>
  <c r="D29" i="134"/>
  <c r="H29" i="134"/>
  <c r="D30" i="134"/>
  <c r="H30" i="134"/>
  <c r="D31" i="134"/>
  <c r="H31" i="134"/>
  <c r="D32" i="134"/>
  <c r="H32" i="134"/>
  <c r="D33" i="134"/>
  <c r="H33" i="134"/>
  <c r="D34" i="134"/>
  <c r="H34" i="134"/>
  <c r="D35" i="134"/>
  <c r="I12" i="134"/>
  <c r="E13" i="134"/>
  <c r="I14" i="134"/>
  <c r="E15" i="134"/>
  <c r="I16" i="134"/>
  <c r="E17" i="134"/>
  <c r="I18" i="134"/>
  <c r="E19" i="134"/>
  <c r="I20" i="134"/>
  <c r="E21" i="134"/>
  <c r="I22" i="134"/>
  <c r="E23" i="134"/>
  <c r="I24" i="134"/>
  <c r="E25" i="134"/>
  <c r="I26" i="134"/>
  <c r="E27" i="134"/>
  <c r="I28" i="134"/>
  <c r="E29" i="134"/>
  <c r="J29" i="134"/>
  <c r="C30" i="134"/>
  <c r="I30" i="134"/>
  <c r="G31" i="134"/>
  <c r="F32" i="134"/>
  <c r="E33" i="134"/>
  <c r="J33" i="134"/>
  <c r="C34" i="134"/>
  <c r="I34" i="134"/>
  <c r="G35" i="134"/>
  <c r="C36" i="134"/>
  <c r="G36" i="134"/>
  <c r="C37" i="134"/>
  <c r="G37" i="134"/>
  <c r="C38" i="134"/>
  <c r="G38" i="134"/>
  <c r="C39" i="134"/>
  <c r="G39" i="134"/>
  <c r="C40" i="134"/>
  <c r="G40" i="134"/>
  <c r="C41" i="134"/>
  <c r="G41" i="134"/>
  <c r="C42" i="134"/>
  <c r="G42" i="134"/>
  <c r="C43" i="134"/>
  <c r="G43" i="134"/>
  <c r="C44" i="134"/>
  <c r="G44" i="134"/>
  <c r="C45" i="134"/>
  <c r="G45" i="134"/>
  <c r="C46" i="134"/>
  <c r="G46" i="134"/>
  <c r="C47" i="134"/>
  <c r="G47" i="134"/>
  <c r="C48" i="134"/>
  <c r="G48" i="134"/>
  <c r="C49" i="134"/>
  <c r="G49" i="134"/>
  <c r="C50" i="134"/>
  <c r="G50" i="134"/>
  <c r="E7" i="134"/>
  <c r="E8" i="134"/>
  <c r="E9" i="134"/>
  <c r="E10" i="134"/>
  <c r="E11" i="134"/>
  <c r="J12" i="134"/>
  <c r="F13" i="134"/>
  <c r="J14" i="134"/>
  <c r="F15" i="134"/>
  <c r="J16" i="134"/>
  <c r="F17" i="134"/>
  <c r="J18" i="134"/>
  <c r="F19" i="134"/>
  <c r="J20" i="134"/>
  <c r="F21" i="134"/>
  <c r="J22" i="134"/>
  <c r="F23" i="134"/>
  <c r="J24" i="134"/>
  <c r="F25" i="134"/>
  <c r="J26" i="134"/>
  <c r="F27" i="134"/>
  <c r="J28" i="134"/>
  <c r="F29" i="134"/>
  <c r="E30" i="134"/>
  <c r="J30" i="134"/>
  <c r="C31" i="134"/>
  <c r="I31" i="134"/>
  <c r="G32" i="134"/>
  <c r="F33" i="134"/>
  <c r="E34" i="134"/>
  <c r="J34" i="134"/>
  <c r="C35" i="134"/>
  <c r="H35" i="134"/>
  <c r="D36" i="134"/>
  <c r="H36" i="134"/>
  <c r="D37" i="134"/>
  <c r="H37" i="134"/>
  <c r="I7" i="134"/>
  <c r="I8" i="134"/>
  <c r="I9" i="134"/>
  <c r="I10" i="134"/>
  <c r="I11" i="134"/>
  <c r="E12" i="134"/>
  <c r="I13" i="134"/>
  <c r="E14" i="134"/>
  <c r="I15" i="134"/>
  <c r="E16" i="134"/>
  <c r="I17" i="134"/>
  <c r="E18" i="134"/>
  <c r="I19" i="134"/>
  <c r="E20" i="134"/>
  <c r="I21" i="134"/>
  <c r="E22" i="134"/>
  <c r="I23" i="134"/>
  <c r="E24" i="134"/>
  <c r="I25" i="134"/>
  <c r="E26" i="134"/>
  <c r="I27" i="134"/>
  <c r="E28" i="134"/>
  <c r="G29" i="134"/>
  <c r="F30" i="134"/>
  <c r="E31" i="134"/>
  <c r="J31" i="134"/>
  <c r="C32" i="134"/>
  <c r="I32" i="134"/>
  <c r="G33" i="134"/>
  <c r="F34" i="134"/>
  <c r="C33" i="134"/>
  <c r="F35" i="134"/>
  <c r="J36" i="134"/>
  <c r="F37" i="134"/>
  <c r="H38" i="134"/>
  <c r="F39" i="134"/>
  <c r="E40" i="134"/>
  <c r="J40" i="134"/>
  <c r="D41" i="134"/>
  <c r="I41" i="134"/>
  <c r="H42" i="134"/>
  <c r="F43" i="134"/>
  <c r="E44" i="134"/>
  <c r="J44" i="134"/>
  <c r="D45" i="134"/>
  <c r="I45" i="134"/>
  <c r="H46" i="134"/>
  <c r="F47" i="134"/>
  <c r="E48" i="134"/>
  <c r="J48" i="134"/>
  <c r="D49" i="134"/>
  <c r="I49" i="134"/>
  <c r="H50" i="134"/>
  <c r="E51" i="134"/>
  <c r="I51" i="134"/>
  <c r="E52" i="134"/>
  <c r="I52" i="134"/>
  <c r="E53" i="134"/>
  <c r="I53" i="134"/>
  <c r="E54" i="134"/>
  <c r="I54" i="134"/>
  <c r="E55" i="134"/>
  <c r="I55" i="134"/>
  <c r="E56" i="134"/>
  <c r="I56" i="134"/>
  <c r="E57" i="134"/>
  <c r="I57" i="134"/>
  <c r="E58" i="134"/>
  <c r="I58" i="134"/>
  <c r="E59" i="134"/>
  <c r="I59" i="134"/>
  <c r="E60" i="134"/>
  <c r="I60" i="134"/>
  <c r="E61" i="134"/>
  <c r="I61" i="134"/>
  <c r="E62" i="134"/>
  <c r="I62" i="134"/>
  <c r="E63" i="134"/>
  <c r="I63" i="134"/>
  <c r="E64" i="134"/>
  <c r="I64" i="134"/>
  <c r="E65" i="134"/>
  <c r="I65" i="134"/>
  <c r="E66" i="134"/>
  <c r="I66" i="134"/>
  <c r="E67" i="134"/>
  <c r="I67" i="134"/>
  <c r="E68" i="134"/>
  <c r="I68" i="134"/>
  <c r="E69" i="134"/>
  <c r="I69" i="134"/>
  <c r="E70" i="134"/>
  <c r="I70" i="134"/>
  <c r="E71" i="134"/>
  <c r="I71" i="134"/>
  <c r="E72" i="134"/>
  <c r="I72" i="134"/>
  <c r="E73" i="134"/>
  <c r="I73" i="134"/>
  <c r="E74" i="134"/>
  <c r="I74" i="134"/>
  <c r="E75" i="134"/>
  <c r="I75" i="134"/>
  <c r="E76" i="134"/>
  <c r="I76" i="134"/>
  <c r="E77" i="134"/>
  <c r="I77" i="134"/>
  <c r="E78" i="134"/>
  <c r="I78" i="134"/>
  <c r="E79" i="134"/>
  <c r="I79" i="134"/>
  <c r="E80" i="134"/>
  <c r="I80" i="134"/>
  <c r="E81" i="134"/>
  <c r="I81" i="134"/>
  <c r="E82" i="134"/>
  <c r="I82" i="134"/>
  <c r="E83" i="134"/>
  <c r="I83" i="134"/>
  <c r="E84" i="134"/>
  <c r="I84" i="134"/>
  <c r="E85" i="134"/>
  <c r="I85" i="134"/>
  <c r="E86" i="134"/>
  <c r="I86" i="134"/>
  <c r="E87" i="134"/>
  <c r="I87" i="134"/>
  <c r="E88" i="134"/>
  <c r="I88" i="134"/>
  <c r="E89" i="134"/>
  <c r="I89" i="134"/>
  <c r="E90" i="134"/>
  <c r="I90" i="134"/>
  <c r="E91" i="134"/>
  <c r="I91" i="134"/>
  <c r="J11" i="134"/>
  <c r="J13" i="134"/>
  <c r="J15" i="134"/>
  <c r="J17" i="134"/>
  <c r="J19" i="134"/>
  <c r="J21" i="134"/>
  <c r="J23" i="134"/>
  <c r="J25" i="134"/>
  <c r="J27" i="134"/>
  <c r="I29" i="134"/>
  <c r="E32" i="134"/>
  <c r="I33" i="134"/>
  <c r="I35" i="134"/>
  <c r="E36" i="134"/>
  <c r="I37" i="134"/>
  <c r="D38" i="134"/>
  <c r="I38" i="134"/>
  <c r="H39" i="134"/>
  <c r="F40" i="134"/>
  <c r="E41" i="134"/>
  <c r="J41" i="134"/>
  <c r="D42" i="134"/>
  <c r="I42" i="134"/>
  <c r="H43" i="134"/>
  <c r="F44" i="134"/>
  <c r="E45" i="134"/>
  <c r="J45" i="134"/>
  <c r="D46" i="134"/>
  <c r="I46" i="134"/>
  <c r="H47" i="134"/>
  <c r="F48" i="134"/>
  <c r="E49" i="134"/>
  <c r="J49" i="134"/>
  <c r="D50" i="134"/>
  <c r="I50" i="134"/>
  <c r="F51" i="134"/>
  <c r="J51" i="134"/>
  <c r="F52" i="134"/>
  <c r="J52" i="134"/>
  <c r="F53" i="134"/>
  <c r="J53" i="134"/>
  <c r="F54" i="134"/>
  <c r="J54" i="134"/>
  <c r="F55" i="134"/>
  <c r="J55" i="134"/>
  <c r="F56" i="134"/>
  <c r="J56" i="134"/>
  <c r="F57" i="134"/>
  <c r="J57" i="134"/>
  <c r="F58" i="134"/>
  <c r="J58" i="134"/>
  <c r="F59" i="134"/>
  <c r="J59" i="134"/>
  <c r="F60" i="134"/>
  <c r="J60" i="134"/>
  <c r="F61" i="134"/>
  <c r="J61" i="134"/>
  <c r="F31" i="134"/>
  <c r="J32" i="134"/>
  <c r="J35" i="134"/>
  <c r="F36" i="134"/>
  <c r="J37" i="134"/>
  <c r="E38" i="134"/>
  <c r="J38" i="134"/>
  <c r="D39" i="134"/>
  <c r="I39" i="134"/>
  <c r="H40" i="134"/>
  <c r="F41" i="134"/>
  <c r="E42" i="134"/>
  <c r="J42" i="134"/>
  <c r="D43" i="134"/>
  <c r="I43" i="134"/>
  <c r="H44" i="134"/>
  <c r="F45" i="134"/>
  <c r="E46" i="134"/>
  <c r="J46" i="134"/>
  <c r="D47" i="134"/>
  <c r="I47" i="134"/>
  <c r="H48" i="134"/>
  <c r="F49" i="134"/>
  <c r="E50" i="134"/>
  <c r="J50" i="134"/>
  <c r="C51" i="134"/>
  <c r="G51" i="134"/>
  <c r="C52" i="134"/>
  <c r="G52" i="134"/>
  <c r="C53" i="134"/>
  <c r="G53" i="134"/>
  <c r="C54" i="134"/>
  <c r="G54" i="134"/>
  <c r="C55" i="134"/>
  <c r="G55" i="134"/>
  <c r="C56" i="134"/>
  <c r="G56" i="134"/>
  <c r="C57" i="134"/>
  <c r="G57" i="134"/>
  <c r="C58" i="134"/>
  <c r="G58" i="134"/>
  <c r="C59" i="134"/>
  <c r="G59" i="134"/>
  <c r="C60" i="134"/>
  <c r="G60" i="134"/>
  <c r="C61" i="134"/>
  <c r="G61" i="134"/>
  <c r="C62" i="134"/>
  <c r="G62" i="134"/>
  <c r="C63" i="134"/>
  <c r="G63" i="134"/>
  <c r="C64" i="134"/>
  <c r="G64" i="134"/>
  <c r="C65" i="134"/>
  <c r="G65" i="134"/>
  <c r="C66" i="134"/>
  <c r="G66" i="134"/>
  <c r="C67" i="134"/>
  <c r="G67" i="134"/>
  <c r="C68" i="134"/>
  <c r="G68" i="134"/>
  <c r="C69" i="134"/>
  <c r="G69" i="134"/>
  <c r="C70" i="134"/>
  <c r="G70" i="134"/>
  <c r="C71" i="134"/>
  <c r="G71" i="134"/>
  <c r="C72" i="134"/>
  <c r="G72" i="134"/>
  <c r="C73" i="134"/>
  <c r="G73" i="134"/>
  <c r="C74" i="134"/>
  <c r="G74" i="134"/>
  <c r="C75" i="134"/>
  <c r="G75" i="134"/>
  <c r="C76" i="134"/>
  <c r="G76" i="134"/>
  <c r="C77" i="134"/>
  <c r="G77" i="134"/>
  <c r="C78" i="134"/>
  <c r="G78" i="134"/>
  <c r="C79" i="134"/>
  <c r="G79" i="134"/>
  <c r="C80" i="134"/>
  <c r="G80" i="134"/>
  <c r="C81" i="134"/>
  <c r="G81" i="134"/>
  <c r="C82" i="134"/>
  <c r="G82" i="134"/>
  <c r="C83" i="134"/>
  <c r="G83" i="134"/>
  <c r="C84" i="134"/>
  <c r="G84" i="134"/>
  <c r="C85" i="134"/>
  <c r="G85" i="134"/>
  <c r="C86" i="134"/>
  <c r="G86" i="134"/>
  <c r="C87" i="134"/>
  <c r="G87" i="134"/>
  <c r="C88" i="134"/>
  <c r="G88" i="134"/>
  <c r="C89" i="134"/>
  <c r="G89" i="134"/>
  <c r="C90" i="134"/>
  <c r="G90" i="134"/>
  <c r="C91" i="134"/>
  <c r="G91" i="134"/>
  <c r="C92" i="134"/>
  <c r="G92" i="134"/>
  <c r="C93" i="134"/>
  <c r="G93" i="134"/>
  <c r="C94" i="134"/>
  <c r="G94" i="134"/>
  <c r="C95" i="134"/>
  <c r="G95" i="134"/>
  <c r="C96" i="134"/>
  <c r="G96" i="134"/>
  <c r="C97" i="134"/>
  <c r="F12" i="134"/>
  <c r="F20" i="134"/>
  <c r="F28" i="134"/>
  <c r="E37" i="134"/>
  <c r="H41" i="134"/>
  <c r="H45" i="134"/>
  <c r="H49" i="134"/>
  <c r="H62" i="134"/>
  <c r="D63" i="134"/>
  <c r="H64" i="134"/>
  <c r="D65" i="134"/>
  <c r="H66" i="134"/>
  <c r="D67" i="134"/>
  <c r="H68" i="134"/>
  <c r="D69" i="134"/>
  <c r="H70" i="134"/>
  <c r="D71" i="134"/>
  <c r="H72" i="134"/>
  <c r="D73" i="134"/>
  <c r="H74" i="134"/>
  <c r="D75" i="134"/>
  <c r="H76" i="134"/>
  <c r="D77" i="134"/>
  <c r="H78" i="134"/>
  <c r="D79" i="134"/>
  <c r="H80" i="134"/>
  <c r="D81" i="134"/>
  <c r="H82" i="134"/>
  <c r="D83" i="134"/>
  <c r="H84" i="134"/>
  <c r="D85" i="134"/>
  <c r="H86" i="134"/>
  <c r="D87" i="134"/>
  <c r="H88" i="134"/>
  <c r="D89" i="134"/>
  <c r="H90" i="134"/>
  <c r="D91" i="134"/>
  <c r="F92" i="134"/>
  <c r="E93" i="134"/>
  <c r="J93" i="134"/>
  <c r="D94" i="134"/>
  <c r="I94" i="134"/>
  <c r="H95" i="134"/>
  <c r="F96" i="134"/>
  <c r="E97" i="134"/>
  <c r="I97" i="134"/>
  <c r="E98" i="134"/>
  <c r="I98" i="134"/>
  <c r="E99" i="134"/>
  <c r="I99" i="134"/>
  <c r="E100" i="134"/>
  <c r="I100" i="134"/>
  <c r="E101" i="134"/>
  <c r="I101" i="134"/>
  <c r="E102" i="134"/>
  <c r="I102" i="134"/>
  <c r="E103" i="134"/>
  <c r="I103" i="134"/>
  <c r="E104" i="134"/>
  <c r="I104" i="134"/>
  <c r="E105" i="134"/>
  <c r="I105" i="134"/>
  <c r="E106" i="134"/>
  <c r="I106" i="134"/>
  <c r="E107" i="134"/>
  <c r="I107" i="134"/>
  <c r="E108" i="134"/>
  <c r="I108" i="134"/>
  <c r="E109" i="134"/>
  <c r="I109" i="134"/>
  <c r="E110" i="134"/>
  <c r="I110" i="134"/>
  <c r="E111" i="134"/>
  <c r="I111" i="134"/>
  <c r="E112" i="134"/>
  <c r="I112" i="134"/>
  <c r="E113" i="134"/>
  <c r="I113" i="134"/>
  <c r="E114" i="134"/>
  <c r="I114" i="134"/>
  <c r="E115" i="134"/>
  <c r="I115" i="134"/>
  <c r="E116" i="134"/>
  <c r="I116" i="134"/>
  <c r="E117" i="134"/>
  <c r="I117" i="134"/>
  <c r="E118" i="134"/>
  <c r="I118" i="134"/>
  <c r="E119" i="134"/>
  <c r="I119" i="134"/>
  <c r="E120" i="134"/>
  <c r="I120" i="134"/>
  <c r="E121" i="134"/>
  <c r="I121" i="134"/>
  <c r="E122" i="134"/>
  <c r="I122" i="134"/>
  <c r="E123" i="134"/>
  <c r="I123" i="134"/>
  <c r="E124" i="134"/>
  <c r="I124" i="134"/>
  <c r="E125" i="134"/>
  <c r="I125" i="134"/>
  <c r="E126" i="134"/>
  <c r="I126" i="134"/>
  <c r="E127" i="134"/>
  <c r="I127" i="134"/>
  <c r="F18" i="134"/>
  <c r="F26" i="134"/>
  <c r="G34" i="134"/>
  <c r="D40" i="134"/>
  <c r="D44" i="134"/>
  <c r="D48" i="134"/>
  <c r="J62" i="134"/>
  <c r="F63" i="134"/>
  <c r="J64" i="134"/>
  <c r="F65" i="134"/>
  <c r="J66" i="134"/>
  <c r="F67" i="134"/>
  <c r="J68" i="134"/>
  <c r="F69" i="134"/>
  <c r="J70" i="134"/>
  <c r="F71" i="134"/>
  <c r="J72" i="134"/>
  <c r="F73" i="134"/>
  <c r="J74" i="134"/>
  <c r="F75" i="134"/>
  <c r="J76" i="134"/>
  <c r="F77" i="134"/>
  <c r="J78" i="134"/>
  <c r="F79" i="134"/>
  <c r="J80" i="134"/>
  <c r="F81" i="134"/>
  <c r="J82" i="134"/>
  <c r="F83" i="134"/>
  <c r="J84" i="134"/>
  <c r="F85" i="134"/>
  <c r="F16" i="134"/>
  <c r="F24" i="134"/>
  <c r="I36" i="134"/>
  <c r="E39" i="134"/>
  <c r="I40" i="134"/>
  <c r="E43" i="134"/>
  <c r="I44" i="134"/>
  <c r="E47" i="134"/>
  <c r="I48" i="134"/>
  <c r="D51" i="134"/>
  <c r="D52" i="134"/>
  <c r="D53" i="134"/>
  <c r="D54" i="134"/>
  <c r="D55" i="134"/>
  <c r="D56" i="134"/>
  <c r="D57" i="134"/>
  <c r="D58" i="134"/>
  <c r="D59" i="134"/>
  <c r="D60" i="134"/>
  <c r="D61" i="134"/>
  <c r="D62" i="134"/>
  <c r="H63" i="134"/>
  <c r="D64" i="134"/>
  <c r="H65" i="134"/>
  <c r="D66" i="134"/>
  <c r="H67" i="134"/>
  <c r="D68" i="134"/>
  <c r="H69" i="134"/>
  <c r="D70" i="134"/>
  <c r="H71" i="134"/>
  <c r="D72" i="134"/>
  <c r="H73" i="134"/>
  <c r="D74" i="134"/>
  <c r="H75" i="134"/>
  <c r="D76" i="134"/>
  <c r="H77" i="134"/>
  <c r="D78" i="134"/>
  <c r="H79" i="134"/>
  <c r="D80" i="134"/>
  <c r="H81" i="134"/>
  <c r="D82" i="134"/>
  <c r="H83" i="134"/>
  <c r="D84" i="134"/>
  <c r="H85" i="134"/>
  <c r="D86" i="134"/>
  <c r="H87" i="134"/>
  <c r="D88" i="134"/>
  <c r="H89" i="134"/>
  <c r="D90" i="134"/>
  <c r="H91" i="134"/>
  <c r="D92" i="134"/>
  <c r="I92" i="134"/>
  <c r="H93" i="134"/>
  <c r="F94" i="134"/>
  <c r="E95" i="134"/>
  <c r="J95" i="134"/>
  <c r="D96" i="134"/>
  <c r="I96" i="134"/>
  <c r="G97" i="134"/>
  <c r="C98" i="134"/>
  <c r="G98" i="134"/>
  <c r="C99" i="134"/>
  <c r="G99" i="134"/>
  <c r="C100" i="134"/>
  <c r="G100" i="134"/>
  <c r="C101" i="134"/>
  <c r="G101" i="134"/>
  <c r="C102" i="134"/>
  <c r="G102" i="134"/>
  <c r="C103" i="134"/>
  <c r="G103" i="134"/>
  <c r="C104" i="134"/>
  <c r="G104" i="134"/>
  <c r="C105" i="134"/>
  <c r="G105" i="134"/>
  <c r="C106" i="134"/>
  <c r="G106" i="134"/>
  <c r="C107" i="134"/>
  <c r="G107" i="134"/>
  <c r="C108" i="134"/>
  <c r="G108" i="134"/>
  <c r="C109" i="134"/>
  <c r="G109" i="134"/>
  <c r="C110" i="134"/>
  <c r="G110" i="134"/>
  <c r="C111" i="134"/>
  <c r="G111" i="134"/>
  <c r="C112" i="134"/>
  <c r="G112" i="134"/>
  <c r="C113" i="134"/>
  <c r="G113" i="134"/>
  <c r="C114" i="134"/>
  <c r="G114" i="134"/>
  <c r="C115" i="134"/>
  <c r="G115" i="134"/>
  <c r="C116" i="134"/>
  <c r="G116" i="134"/>
  <c r="C117" i="134"/>
  <c r="G117" i="134"/>
  <c r="C118" i="134"/>
  <c r="G118" i="134"/>
  <c r="C119" i="134"/>
  <c r="G119" i="134"/>
  <c r="C120" i="134"/>
  <c r="G120" i="134"/>
  <c r="C121" i="134"/>
  <c r="G121" i="134"/>
  <c r="C122" i="134"/>
  <c r="G122" i="134"/>
  <c r="C123" i="134"/>
  <c r="G123" i="134"/>
  <c r="C124" i="134"/>
  <c r="G124" i="134"/>
  <c r="C125" i="134"/>
  <c r="G125" i="134"/>
  <c r="C126" i="134"/>
  <c r="G126" i="134"/>
  <c r="C127" i="134"/>
  <c r="G127" i="134"/>
  <c r="F14" i="134"/>
  <c r="E35" i="134"/>
  <c r="F38" i="134"/>
  <c r="J43" i="134"/>
  <c r="F46" i="134"/>
  <c r="H51" i="134"/>
  <c r="H53" i="134"/>
  <c r="H55" i="134"/>
  <c r="H57" i="134"/>
  <c r="H59" i="134"/>
  <c r="H61" i="134"/>
  <c r="J63" i="134"/>
  <c r="J65" i="134"/>
  <c r="J67" i="134"/>
  <c r="J69" i="134"/>
  <c r="J71" i="134"/>
  <c r="J73" i="134"/>
  <c r="J75" i="134"/>
  <c r="J77" i="134"/>
  <c r="J79" i="134"/>
  <c r="J81" i="134"/>
  <c r="J83" i="134"/>
  <c r="J85" i="134"/>
  <c r="F88" i="134"/>
  <c r="J89" i="134"/>
  <c r="E92" i="134"/>
  <c r="J94" i="134"/>
  <c r="F95" i="134"/>
  <c r="E96" i="134"/>
  <c r="J97" i="134"/>
  <c r="F98" i="134"/>
  <c r="J99" i="134"/>
  <c r="F100" i="134"/>
  <c r="J101" i="134"/>
  <c r="F102" i="134"/>
  <c r="J103" i="134"/>
  <c r="F104" i="134"/>
  <c r="J105" i="134"/>
  <c r="F106" i="134"/>
  <c r="J107" i="134"/>
  <c r="F108" i="134"/>
  <c r="J109" i="134"/>
  <c r="F110" i="134"/>
  <c r="J111" i="134"/>
  <c r="F112" i="134"/>
  <c r="J113" i="134"/>
  <c r="F114" i="134"/>
  <c r="F22" i="134"/>
  <c r="F87" i="134"/>
  <c r="J88" i="134"/>
  <c r="F91" i="134"/>
  <c r="H92" i="134"/>
  <c r="D93" i="134"/>
  <c r="I95" i="134"/>
  <c r="H96" i="134"/>
  <c r="D97" i="134"/>
  <c r="H98" i="134"/>
  <c r="D99" i="134"/>
  <c r="H100" i="134"/>
  <c r="D101" i="134"/>
  <c r="H102" i="134"/>
  <c r="D103" i="134"/>
  <c r="H104" i="134"/>
  <c r="D105" i="134"/>
  <c r="H106" i="134"/>
  <c r="D107" i="134"/>
  <c r="H108" i="134"/>
  <c r="D109" i="134"/>
  <c r="H110" i="134"/>
  <c r="D111" i="134"/>
  <c r="H112" i="134"/>
  <c r="D113" i="134"/>
  <c r="H114" i="134"/>
  <c r="D115" i="134"/>
  <c r="H116" i="134"/>
  <c r="D117" i="134"/>
  <c r="H118" i="134"/>
  <c r="D119" i="134"/>
  <c r="H120" i="134"/>
  <c r="D121" i="134"/>
  <c r="H122" i="134"/>
  <c r="D123" i="134"/>
  <c r="H124" i="134"/>
  <c r="D125" i="134"/>
  <c r="H126" i="134"/>
  <c r="D127" i="134"/>
  <c r="D128" i="134"/>
  <c r="H128" i="134"/>
  <c r="D129" i="134"/>
  <c r="H129" i="134"/>
  <c r="D130" i="134"/>
  <c r="H130" i="134"/>
  <c r="D131" i="134"/>
  <c r="H131" i="134"/>
  <c r="D132" i="134"/>
  <c r="H132" i="134"/>
  <c r="D133" i="134"/>
  <c r="H133" i="134"/>
  <c r="D134" i="134"/>
  <c r="H134" i="134"/>
  <c r="D135" i="134"/>
  <c r="H135" i="134"/>
  <c r="D136" i="134"/>
  <c r="H136" i="134"/>
  <c r="D137" i="134"/>
  <c r="H137" i="134"/>
  <c r="G30" i="134"/>
  <c r="J39" i="134"/>
  <c r="F42" i="134"/>
  <c r="J47" i="134"/>
  <c r="F50" i="134"/>
  <c r="H52" i="134"/>
  <c r="H54" i="134"/>
  <c r="H56" i="134"/>
  <c r="H58" i="134"/>
  <c r="H60" i="134"/>
  <c r="F62" i="134"/>
  <c r="F64" i="134"/>
  <c r="F66" i="134"/>
  <c r="F68" i="134"/>
  <c r="F70" i="134"/>
  <c r="F72" i="134"/>
  <c r="F74" i="134"/>
  <c r="F76" i="134"/>
  <c r="F78" i="134"/>
  <c r="F80" i="134"/>
  <c r="F82" i="134"/>
  <c r="F84" i="134"/>
  <c r="F86" i="134"/>
  <c r="J87" i="134"/>
  <c r="F90" i="134"/>
  <c r="J91" i="134"/>
  <c r="J92" i="134"/>
  <c r="F93" i="134"/>
  <c r="E94" i="134"/>
  <c r="J96" i="134"/>
  <c r="F97" i="134"/>
  <c r="J98" i="134"/>
  <c r="F99" i="134"/>
  <c r="J100" i="134"/>
  <c r="F101" i="134"/>
  <c r="J102" i="134"/>
  <c r="F103" i="134"/>
  <c r="J104" i="134"/>
  <c r="F105" i="134"/>
  <c r="J106" i="134"/>
  <c r="F107" i="134"/>
  <c r="J108" i="134"/>
  <c r="F109" i="134"/>
  <c r="J110" i="134"/>
  <c r="F111" i="134"/>
  <c r="J112" i="134"/>
  <c r="F113" i="134"/>
  <c r="J86" i="134"/>
  <c r="F89" i="134"/>
  <c r="H99" i="134"/>
  <c r="D104" i="134"/>
  <c r="H107" i="134"/>
  <c r="D112" i="134"/>
  <c r="J117" i="134"/>
  <c r="J118" i="134"/>
  <c r="H119" i="134"/>
  <c r="F120" i="134"/>
  <c r="F121" i="134"/>
  <c r="D122" i="134"/>
  <c r="J125" i="134"/>
  <c r="J126" i="134"/>
  <c r="H127" i="134"/>
  <c r="C128" i="134"/>
  <c r="I128" i="134"/>
  <c r="G129" i="134"/>
  <c r="F130" i="134"/>
  <c r="E131" i="134"/>
  <c r="J131" i="134"/>
  <c r="C132" i="134"/>
  <c r="I132" i="134"/>
  <c r="G133" i="134"/>
  <c r="F134" i="134"/>
  <c r="E135" i="134"/>
  <c r="J135" i="134"/>
  <c r="C136" i="134"/>
  <c r="I136" i="134"/>
  <c r="H94" i="134"/>
  <c r="D98" i="134"/>
  <c r="H101" i="134"/>
  <c r="D106" i="134"/>
  <c r="H109" i="134"/>
  <c r="D114" i="134"/>
  <c r="F115" i="134"/>
  <c r="D116" i="134"/>
  <c r="J119" i="134"/>
  <c r="J120" i="134"/>
  <c r="H121" i="134"/>
  <c r="F122" i="134"/>
  <c r="F123" i="134"/>
  <c r="D124" i="134"/>
  <c r="J127" i="134"/>
  <c r="E128" i="134"/>
  <c r="J128" i="134"/>
  <c r="C129" i="134"/>
  <c r="I129" i="134"/>
  <c r="G130" i="134"/>
  <c r="F131" i="134"/>
  <c r="E132" i="134"/>
  <c r="J132" i="134"/>
  <c r="C133" i="134"/>
  <c r="I133" i="134"/>
  <c r="G134" i="134"/>
  <c r="F135" i="134"/>
  <c r="E136" i="134"/>
  <c r="J136" i="134"/>
  <c r="C137" i="134"/>
  <c r="I137" i="134"/>
  <c r="E138" i="134"/>
  <c r="I138" i="134"/>
  <c r="E139" i="134"/>
  <c r="I139" i="134"/>
  <c r="E140" i="134"/>
  <c r="I140" i="134"/>
  <c r="E141" i="134"/>
  <c r="I141" i="134"/>
  <c r="E142" i="134"/>
  <c r="I142" i="134"/>
  <c r="E143" i="134"/>
  <c r="I143" i="134"/>
  <c r="E144" i="134"/>
  <c r="I144" i="134"/>
  <c r="E145" i="134"/>
  <c r="I145" i="134"/>
  <c r="E146" i="134"/>
  <c r="I146" i="134"/>
  <c r="E147" i="134"/>
  <c r="I147" i="134"/>
  <c r="E148" i="134"/>
  <c r="I148" i="134"/>
  <c r="E149" i="134"/>
  <c r="I149" i="134"/>
  <c r="E150" i="134"/>
  <c r="I150" i="134"/>
  <c r="E151" i="134"/>
  <c r="I151" i="134"/>
  <c r="E152" i="134"/>
  <c r="I152" i="134"/>
  <c r="E153" i="134"/>
  <c r="I153" i="134"/>
  <c r="E154" i="134"/>
  <c r="I154" i="134"/>
  <c r="E155" i="134"/>
  <c r="I155" i="134"/>
  <c r="E156" i="134"/>
  <c r="I156" i="134"/>
  <c r="E157" i="134"/>
  <c r="I157" i="134"/>
  <c r="E158" i="134"/>
  <c r="I158" i="134"/>
  <c r="E159" i="134"/>
  <c r="I159" i="134"/>
  <c r="E160" i="134"/>
  <c r="I160" i="134"/>
  <c r="E161" i="134"/>
  <c r="I161" i="134"/>
  <c r="E162" i="134"/>
  <c r="I162" i="134"/>
  <c r="E163" i="134"/>
  <c r="I163" i="134"/>
  <c r="E164" i="134"/>
  <c r="I164" i="134"/>
  <c r="E165" i="134"/>
  <c r="I165" i="134"/>
  <c r="E166" i="134"/>
  <c r="I166" i="134"/>
  <c r="E167" i="134"/>
  <c r="I167" i="134"/>
  <c r="E168" i="134"/>
  <c r="I168" i="134"/>
  <c r="E169" i="134"/>
  <c r="I169" i="134"/>
  <c r="E170" i="134"/>
  <c r="I170" i="134"/>
  <c r="E171" i="134"/>
  <c r="I171" i="134"/>
  <c r="E172" i="134"/>
  <c r="I172" i="134"/>
  <c r="E173" i="134"/>
  <c r="I173" i="134"/>
  <c r="E174" i="134"/>
  <c r="I174" i="134"/>
  <c r="E175" i="134"/>
  <c r="I175" i="134"/>
  <c r="E176" i="134"/>
  <c r="I176" i="134"/>
  <c r="E177" i="134"/>
  <c r="I177" i="134"/>
  <c r="E178" i="134"/>
  <c r="I178" i="134"/>
  <c r="E179" i="134"/>
  <c r="I179" i="134"/>
  <c r="E180" i="134"/>
  <c r="I180" i="134"/>
  <c r="J90" i="134"/>
  <c r="D100" i="134"/>
  <c r="H103" i="134"/>
  <c r="D108" i="134"/>
  <c r="H111" i="134"/>
  <c r="J114" i="134"/>
  <c r="H115" i="134"/>
  <c r="F116" i="134"/>
  <c r="F117" i="134"/>
  <c r="D118" i="134"/>
  <c r="J121" i="134"/>
  <c r="J122" i="134"/>
  <c r="H123" i="134"/>
  <c r="F124" i="134"/>
  <c r="F125" i="134"/>
  <c r="D126" i="134"/>
  <c r="F128" i="134"/>
  <c r="E129" i="134"/>
  <c r="J129" i="134"/>
  <c r="C130" i="134"/>
  <c r="I130" i="134"/>
  <c r="G131" i="134"/>
  <c r="F132" i="134"/>
  <c r="E133" i="134"/>
  <c r="J133" i="134"/>
  <c r="C134" i="134"/>
  <c r="I134" i="134"/>
  <c r="G135" i="134"/>
  <c r="F136" i="134"/>
  <c r="E137" i="134"/>
  <c r="J137" i="134"/>
  <c r="F138" i="134"/>
  <c r="J138" i="134"/>
  <c r="F139" i="134"/>
  <c r="J139" i="134"/>
  <c r="F140" i="134"/>
  <c r="J210" i="134"/>
  <c r="H232" i="134"/>
  <c r="D232" i="134"/>
  <c r="H231" i="134"/>
  <c r="D231" i="134"/>
  <c r="H230" i="134"/>
  <c r="D230" i="134"/>
  <c r="H229" i="134"/>
  <c r="D229" i="134"/>
  <c r="H228" i="134"/>
  <c r="D228" i="134"/>
  <c r="H227" i="134"/>
  <c r="D227" i="134"/>
  <c r="H226" i="134"/>
  <c r="D226" i="134"/>
  <c r="H225" i="134"/>
  <c r="D225" i="134"/>
  <c r="H224" i="134"/>
  <c r="D224" i="134"/>
  <c r="H223" i="134"/>
  <c r="D223" i="134"/>
  <c r="H222" i="134"/>
  <c r="D222" i="134"/>
  <c r="H221" i="134"/>
  <c r="D221" i="134"/>
  <c r="H220" i="134"/>
  <c r="D220" i="134"/>
  <c r="H219" i="134"/>
  <c r="D219" i="134"/>
  <c r="H218" i="134"/>
  <c r="D218" i="134"/>
  <c r="H217" i="134"/>
  <c r="D217" i="134"/>
  <c r="H216" i="134"/>
  <c r="D216" i="134"/>
  <c r="H215" i="134"/>
  <c r="D215" i="134"/>
  <c r="H214" i="134"/>
  <c r="D214" i="134"/>
  <c r="H213" i="134"/>
  <c r="D213" i="134"/>
  <c r="H212" i="134"/>
  <c r="D212" i="134"/>
  <c r="H211" i="134"/>
  <c r="D211" i="134"/>
  <c r="H210" i="134"/>
  <c r="D210" i="134"/>
  <c r="H209" i="134"/>
  <c r="D209" i="134"/>
  <c r="H208" i="134"/>
  <c r="D208" i="134"/>
  <c r="H207" i="134"/>
  <c r="D207" i="134"/>
  <c r="H206" i="134"/>
  <c r="D206" i="134"/>
  <c r="H205" i="134"/>
  <c r="D205" i="134"/>
  <c r="H204" i="134"/>
  <c r="D204" i="134"/>
  <c r="H203" i="134"/>
  <c r="D203" i="134"/>
  <c r="H202" i="134"/>
  <c r="D202" i="134"/>
  <c r="H201" i="134"/>
  <c r="D201" i="134"/>
  <c r="H200" i="134"/>
  <c r="D200" i="134"/>
  <c r="H199" i="134"/>
  <c r="D199" i="134"/>
  <c r="H198" i="134"/>
  <c r="D198" i="134"/>
  <c r="H197" i="134"/>
  <c r="D197" i="134"/>
  <c r="H196" i="134"/>
  <c r="D196" i="134"/>
  <c r="H195" i="134"/>
  <c r="D195" i="134"/>
  <c r="H194" i="134"/>
  <c r="D194" i="134"/>
  <c r="H193" i="134"/>
  <c r="D193" i="134"/>
  <c r="H192" i="134"/>
  <c r="D192" i="134"/>
  <c r="H191" i="134"/>
  <c r="D191" i="134"/>
  <c r="H190" i="134"/>
  <c r="D190" i="134"/>
  <c r="H189" i="134"/>
  <c r="D189" i="134"/>
  <c r="H188" i="134"/>
  <c r="D188" i="134"/>
  <c r="H187" i="134"/>
  <c r="D187" i="134"/>
  <c r="H186" i="134"/>
  <c r="D186" i="134"/>
  <c r="H185" i="134"/>
  <c r="D185" i="134"/>
  <c r="H184" i="134"/>
  <c r="D184" i="134"/>
  <c r="H183" i="134"/>
  <c r="D183" i="134"/>
  <c r="H182" i="134"/>
  <c r="D182" i="134"/>
  <c r="H181" i="134"/>
  <c r="D181" i="134"/>
  <c r="G180" i="134"/>
  <c r="H179" i="134"/>
  <c r="C179" i="134"/>
  <c r="J178" i="134"/>
  <c r="D178" i="134"/>
  <c r="F177" i="134"/>
  <c r="G176" i="134"/>
  <c r="H175" i="134"/>
  <c r="C175" i="134"/>
  <c r="J174" i="134"/>
  <c r="D174" i="134"/>
  <c r="F173" i="134"/>
  <c r="G172" i="134"/>
  <c r="H171" i="134"/>
  <c r="C171" i="134"/>
  <c r="J170" i="134"/>
  <c r="D170" i="134"/>
  <c r="F169" i="134"/>
  <c r="G168" i="134"/>
  <c r="H167" i="134"/>
  <c r="C167" i="134"/>
  <c r="J166" i="134"/>
  <c r="D166" i="134"/>
  <c r="F165" i="134"/>
  <c r="G164" i="134"/>
  <c r="H163" i="134"/>
  <c r="C163" i="134"/>
  <c r="J162" i="134"/>
  <c r="D162" i="134"/>
  <c r="F161" i="134"/>
  <c r="G160" i="134"/>
  <c r="H159" i="134"/>
  <c r="C159" i="134"/>
  <c r="J158" i="134"/>
  <c r="D158" i="134"/>
  <c r="F157" i="134"/>
  <c r="G156" i="134"/>
  <c r="H155" i="134"/>
  <c r="C155" i="134"/>
  <c r="J154" i="134"/>
  <c r="D154" i="134"/>
  <c r="F153" i="134"/>
  <c r="G152" i="134"/>
  <c r="H151" i="134"/>
  <c r="C151" i="134"/>
  <c r="J150" i="134"/>
  <c r="D150" i="134"/>
  <c r="F149" i="134"/>
  <c r="G148" i="134"/>
  <c r="H147" i="134"/>
  <c r="C147" i="134"/>
  <c r="J146" i="134"/>
  <c r="D146" i="134"/>
  <c r="F145" i="134"/>
  <c r="G144" i="134"/>
  <c r="H143" i="134"/>
  <c r="C143" i="134"/>
  <c r="J142" i="134"/>
  <c r="D142" i="134"/>
  <c r="F141" i="134"/>
  <c r="G140" i="134"/>
  <c r="D139" i="134"/>
  <c r="C138" i="134"/>
  <c r="G137" i="134"/>
  <c r="G136" i="134"/>
  <c r="G132" i="134"/>
  <c r="G128" i="134"/>
  <c r="F126" i="134"/>
  <c r="J124" i="134"/>
  <c r="H105" i="134"/>
  <c r="D102" i="134"/>
  <c r="C6" i="134"/>
  <c r="G6" i="134"/>
  <c r="D6" i="134"/>
  <c r="H6" i="134"/>
  <c r="E6" i="134"/>
  <c r="I6" i="134"/>
  <c r="F6" i="134"/>
  <c r="J6" i="134"/>
  <c r="J5" i="134"/>
  <c r="K5" i="134"/>
  <c r="I5" i="134"/>
  <c r="H5" i="134"/>
  <c r="G5" i="134"/>
  <c r="F5" i="134"/>
  <c r="E5" i="134"/>
  <c r="C5" i="134"/>
  <c r="D5" i="134"/>
  <c r="Q6" i="127"/>
  <c r="P6" i="127"/>
  <c r="M6" i="127"/>
  <c r="O6" i="127"/>
  <c r="M2" i="123"/>
  <c r="L2" i="123"/>
  <c r="Z4" i="123"/>
  <c r="AD4" i="123"/>
  <c r="AF4" i="123" s="1"/>
  <c r="AC4" i="123"/>
  <c r="O2" i="123"/>
  <c r="S468" i="123" l="1"/>
  <c r="T468" i="123" s="1"/>
  <c r="AF468" i="123"/>
  <c r="S417" i="123"/>
  <c r="T417" i="123" s="1"/>
  <c r="AF417" i="123"/>
  <c r="AG417" i="123" s="1"/>
  <c r="S409" i="123"/>
  <c r="T409" i="123" s="1"/>
  <c r="AF409" i="123"/>
  <c r="S418" i="123"/>
  <c r="T418" i="123" s="1"/>
  <c r="AF418" i="123"/>
  <c r="AG418" i="123" s="1"/>
  <c r="C13" i="146"/>
  <c r="S452" i="123"/>
  <c r="T452" i="123" s="1"/>
  <c r="AF452" i="123"/>
  <c r="AG452" i="123" s="1"/>
  <c r="S497" i="123"/>
  <c r="T497" i="123" s="1"/>
  <c r="U497" i="123" s="1"/>
  <c r="AF497" i="123"/>
  <c r="S482" i="123"/>
  <c r="T482" i="123" s="1"/>
  <c r="AF482" i="123"/>
  <c r="AG482" i="123" s="1"/>
  <c r="S446" i="123"/>
  <c r="T446" i="123" s="1"/>
  <c r="U446" i="123" s="1"/>
  <c r="AF446" i="123"/>
  <c r="S483" i="123"/>
  <c r="T483" i="123" s="1"/>
  <c r="AF483" i="123"/>
  <c r="S397" i="123"/>
  <c r="T397" i="123" s="1"/>
  <c r="AF397" i="123"/>
  <c r="S474" i="123"/>
  <c r="T474" i="123" s="1"/>
  <c r="AF474" i="123"/>
  <c r="AG474" i="123" s="1"/>
  <c r="S434" i="123"/>
  <c r="T434" i="123" s="1"/>
  <c r="V434" i="123" s="1"/>
  <c r="AI434" i="123" s="1"/>
  <c r="AF434" i="123"/>
  <c r="S449" i="123"/>
  <c r="T449" i="123" s="1"/>
  <c r="AF449" i="123"/>
  <c r="AG449" i="123" s="1"/>
  <c r="S443" i="123"/>
  <c r="T443" i="123" s="1"/>
  <c r="U443" i="123" s="1"/>
  <c r="AF443" i="123"/>
  <c r="C15" i="146"/>
  <c r="C12" i="146"/>
  <c r="S510" i="123"/>
  <c r="T510" i="123" s="1"/>
  <c r="AF510" i="123"/>
  <c r="S430" i="123"/>
  <c r="T430" i="123" s="1"/>
  <c r="AF430" i="123"/>
  <c r="AG430" i="123" s="1"/>
  <c r="S395" i="123"/>
  <c r="T395" i="123" s="1"/>
  <c r="R3748" i="127" s="1"/>
  <c r="AF395" i="123"/>
  <c r="S458" i="123"/>
  <c r="T458" i="123" s="1"/>
  <c r="AF458" i="123"/>
  <c r="AG458" i="123" s="1"/>
  <c r="S426" i="123"/>
  <c r="T426" i="123" s="1"/>
  <c r="V426" i="123" s="1"/>
  <c r="AF426" i="123"/>
  <c r="S445" i="123"/>
  <c r="T445" i="123" s="1"/>
  <c r="AF445" i="123"/>
  <c r="S420" i="123"/>
  <c r="T420" i="123" s="1"/>
  <c r="V420" i="123" s="1"/>
  <c r="AF420" i="123"/>
  <c r="C10" i="146"/>
  <c r="C11" i="146"/>
  <c r="S411" i="123"/>
  <c r="T411" i="123" s="1"/>
  <c r="U411" i="123" s="1"/>
  <c r="AF411" i="123"/>
  <c r="S442" i="123"/>
  <c r="T442" i="123" s="1"/>
  <c r="AF442" i="123"/>
  <c r="S403" i="123"/>
  <c r="T403" i="123" s="1"/>
  <c r="AF403" i="123"/>
  <c r="V483" i="123"/>
  <c r="U483" i="123"/>
  <c r="AG483" i="123"/>
  <c r="U474" i="123"/>
  <c r="V474" i="123"/>
  <c r="U434" i="123"/>
  <c r="S218" i="123"/>
  <c r="T218" i="123" s="1"/>
  <c r="AF218" i="123"/>
  <c r="V449" i="123"/>
  <c r="U449" i="123"/>
  <c r="W449" i="123"/>
  <c r="S406" i="123"/>
  <c r="T406" i="123" s="1"/>
  <c r="AF406" i="123"/>
  <c r="S232" i="123"/>
  <c r="T232" i="123" s="1"/>
  <c r="AF232" i="123"/>
  <c r="AG443" i="123"/>
  <c r="S396" i="123"/>
  <c r="T396" i="123" s="1"/>
  <c r="AF396" i="123"/>
  <c r="S164" i="123"/>
  <c r="T164" i="123" s="1"/>
  <c r="AF164" i="123"/>
  <c r="S54" i="123"/>
  <c r="T54" i="123" s="1"/>
  <c r="AF54" i="123"/>
  <c r="S99" i="123"/>
  <c r="T99" i="123" s="1"/>
  <c r="AF99" i="123"/>
  <c r="V510" i="123"/>
  <c r="S437" i="123"/>
  <c r="T437" i="123" s="1"/>
  <c r="AF437" i="123"/>
  <c r="S398" i="123"/>
  <c r="T398" i="123" s="1"/>
  <c r="AF398" i="123"/>
  <c r="U430" i="123"/>
  <c r="V430" i="123"/>
  <c r="AI430" i="123" s="1"/>
  <c r="U395" i="123"/>
  <c r="U458" i="123"/>
  <c r="V458" i="123"/>
  <c r="AI458" i="123" s="1"/>
  <c r="U426" i="123"/>
  <c r="S202" i="123"/>
  <c r="T202" i="123" s="1"/>
  <c r="AF202" i="123"/>
  <c r="AG445" i="123"/>
  <c r="V445" i="123"/>
  <c r="U445" i="123"/>
  <c r="AF399" i="123"/>
  <c r="S399" i="123"/>
  <c r="T399" i="123" s="1"/>
  <c r="S102" i="123"/>
  <c r="T102" i="123" s="1"/>
  <c r="AF102" i="123"/>
  <c r="U420" i="123"/>
  <c r="S297" i="123"/>
  <c r="T297" i="123" s="1"/>
  <c r="AF297" i="123"/>
  <c r="AF160" i="123"/>
  <c r="S160" i="123"/>
  <c r="T160" i="123" s="1"/>
  <c r="S12" i="123"/>
  <c r="T12" i="123" s="1"/>
  <c r="AF12" i="123"/>
  <c r="U468" i="123"/>
  <c r="V468" i="123"/>
  <c r="AG468" i="123"/>
  <c r="U417" i="123"/>
  <c r="V417" i="123"/>
  <c r="S303" i="123"/>
  <c r="T303" i="123" s="1"/>
  <c r="AF303" i="123"/>
  <c r="U409" i="123"/>
  <c r="V409" i="123"/>
  <c r="AI409" i="123" s="1"/>
  <c r="AG409" i="123"/>
  <c r="S308" i="123"/>
  <c r="T308" i="123" s="1"/>
  <c r="AF308" i="123"/>
  <c r="S450" i="123"/>
  <c r="T450" i="123" s="1"/>
  <c r="AF450" i="123"/>
  <c r="S414" i="123"/>
  <c r="T414" i="123" s="1"/>
  <c r="AF414" i="123"/>
  <c r="S465" i="123"/>
  <c r="T465" i="123" s="1"/>
  <c r="AF465" i="123"/>
  <c r="U418" i="123"/>
  <c r="V418" i="123"/>
  <c r="S393" i="123"/>
  <c r="T393" i="123" s="1"/>
  <c r="AF393" i="123"/>
  <c r="S68" i="123"/>
  <c r="T68" i="123" s="1"/>
  <c r="AF68" i="123"/>
  <c r="AF412" i="123"/>
  <c r="S412" i="123"/>
  <c r="T412" i="123" s="1"/>
  <c r="S172" i="123"/>
  <c r="T172" i="123" s="1"/>
  <c r="AF172" i="123"/>
  <c r="AF29" i="123"/>
  <c r="S29" i="123"/>
  <c r="T29" i="123" s="1"/>
  <c r="S186" i="123"/>
  <c r="T186" i="123" s="1"/>
  <c r="AF186" i="123"/>
  <c r="S17" i="123"/>
  <c r="T17" i="123" s="1"/>
  <c r="R278" i="127" s="1"/>
  <c r="U452" i="123"/>
  <c r="V452" i="123"/>
  <c r="S405" i="123"/>
  <c r="T405" i="123" s="1"/>
  <c r="AF405" i="123"/>
  <c r="S402" i="123"/>
  <c r="T402" i="123" s="1"/>
  <c r="AF402" i="123"/>
  <c r="U482" i="123"/>
  <c r="V482" i="123"/>
  <c r="S407" i="123"/>
  <c r="T407" i="123" s="1"/>
  <c r="AF407" i="123"/>
  <c r="S453" i="123"/>
  <c r="T453" i="123" s="1"/>
  <c r="AF453" i="123"/>
  <c r="V411" i="123"/>
  <c r="S214" i="123"/>
  <c r="T214" i="123" s="1"/>
  <c r="AF214" i="123"/>
  <c r="S6" i="123"/>
  <c r="T6" i="123" s="1"/>
  <c r="AF6" i="123"/>
  <c r="S404" i="123"/>
  <c r="T404" i="123" s="1"/>
  <c r="AF404" i="123"/>
  <c r="S168" i="123"/>
  <c r="T168" i="123" s="1"/>
  <c r="AF168" i="123"/>
  <c r="S92" i="123"/>
  <c r="T92" i="123" s="1"/>
  <c r="AF92" i="123"/>
  <c r="AF143" i="123"/>
  <c r="S143" i="123"/>
  <c r="T143" i="123" s="1"/>
  <c r="AD17" i="123"/>
  <c r="AF17" i="123" s="1"/>
  <c r="AC17" i="123"/>
  <c r="R3924" i="127"/>
  <c r="R3649" i="127"/>
  <c r="R3770" i="127"/>
  <c r="R3533" i="127"/>
  <c r="R4073" i="127"/>
  <c r="R3142" i="127"/>
  <c r="R4263" i="127"/>
  <c r="R3235" i="127"/>
  <c r="R2605" i="127"/>
  <c r="R4458" i="127"/>
  <c r="R3512" i="127"/>
  <c r="R3639" i="127"/>
  <c r="R3426" i="127"/>
  <c r="R4072" i="127"/>
  <c r="R2939" i="127"/>
  <c r="R4435" i="127"/>
  <c r="R3940" i="127"/>
  <c r="R3679" i="127"/>
  <c r="R3543" i="127"/>
  <c r="R4207" i="127"/>
  <c r="R3745" i="127"/>
  <c r="R4422" i="127"/>
  <c r="R3427" i="127"/>
  <c r="R2989" i="127"/>
  <c r="R3140" i="127"/>
  <c r="R3030" i="127"/>
  <c r="R4364" i="127"/>
  <c r="R4304" i="127"/>
  <c r="R3640" i="127"/>
  <c r="R3961" i="127"/>
  <c r="R3310" i="127"/>
  <c r="R3047" i="127"/>
  <c r="R2903" i="127"/>
  <c r="R4451" i="127"/>
  <c r="R4381" i="127"/>
  <c r="R3849" i="127"/>
  <c r="R3670" i="127"/>
  <c r="R4445" i="127"/>
  <c r="R3891" i="127"/>
  <c r="R4095" i="127"/>
  <c r="R4028" i="127"/>
  <c r="R4441" i="127"/>
  <c r="R4302" i="127"/>
  <c r="R4233" i="127"/>
  <c r="R3755" i="127"/>
  <c r="R4184" i="127"/>
  <c r="R3999" i="127"/>
  <c r="R4338" i="127"/>
  <c r="R4260" i="127"/>
  <c r="R4075" i="127"/>
  <c r="R3807" i="127"/>
  <c r="R4423" i="127"/>
  <c r="R3864" i="127"/>
  <c r="R3646" i="127"/>
  <c r="R3761" i="127"/>
  <c r="R3183" i="127"/>
  <c r="R3473" i="127"/>
  <c r="R4374" i="127"/>
  <c r="R3850" i="127"/>
  <c r="R4138" i="127"/>
  <c r="R4029" i="127"/>
  <c r="R3498" i="127"/>
  <c r="R4319" i="127"/>
  <c r="R4225" i="127"/>
  <c r="R3764" i="127"/>
  <c r="R4407" i="127"/>
  <c r="R3839" i="127"/>
  <c r="R3598" i="127"/>
  <c r="R3934" i="127"/>
  <c r="R3672" i="127"/>
  <c r="R3377" i="127"/>
  <c r="R4133" i="127"/>
  <c r="R3955" i="127"/>
  <c r="R4432" i="127"/>
  <c r="R3783" i="127"/>
  <c r="R4062" i="127"/>
  <c r="R3169" i="127"/>
  <c r="R4152" i="127"/>
  <c r="R3513" i="127"/>
  <c r="R3746" i="127"/>
  <c r="R3254" i="127"/>
  <c r="R2951" i="127"/>
  <c r="R3071" i="127"/>
  <c r="R2730" i="127"/>
  <c r="R2856" i="127"/>
  <c r="R3073" i="127"/>
  <c r="R4071" i="127"/>
  <c r="R4193" i="127"/>
  <c r="R3478" i="127"/>
  <c r="R3673" i="127"/>
  <c r="R2968" i="127"/>
  <c r="R3129" i="127"/>
  <c r="R2967" i="127"/>
  <c r="R2716" i="127"/>
  <c r="R4306" i="127"/>
  <c r="R3833" i="127"/>
  <c r="R3884" i="127"/>
  <c r="R3645" i="127"/>
  <c r="R3749" i="127"/>
  <c r="R4150" i="127"/>
  <c r="R3835" i="127"/>
  <c r="R4181" i="127"/>
  <c r="R3457" i="127"/>
  <c r="R4448" i="127"/>
  <c r="R3925" i="127"/>
  <c r="R3209" i="127"/>
  <c r="R3469" i="127"/>
  <c r="R2714" i="127"/>
  <c r="R4459" i="127"/>
  <c r="R3716" i="127"/>
  <c r="R4303" i="127"/>
  <c r="R4127" i="127"/>
  <c r="R4000" i="127"/>
  <c r="R3475" i="127"/>
  <c r="R3394" i="127"/>
  <c r="R4375" i="127"/>
  <c r="R4332" i="127"/>
  <c r="R4162" i="127"/>
  <c r="R3597" i="127"/>
  <c r="R3438" i="127"/>
  <c r="R3843" i="127"/>
  <c r="R4172" i="127"/>
  <c r="R3477" i="127"/>
  <c r="R3570" i="127"/>
  <c r="R4389" i="127"/>
  <c r="R3939" i="127"/>
  <c r="R4057" i="127"/>
  <c r="R3606" i="127"/>
  <c r="R4136" i="127"/>
  <c r="R3694" i="127"/>
  <c r="R3510" i="127"/>
  <c r="R4243" i="127"/>
  <c r="R3815" i="127"/>
  <c r="R3464" i="127"/>
  <c r="R3676" i="127"/>
  <c r="T719" i="127"/>
  <c r="T897" i="127"/>
  <c r="T830" i="127"/>
  <c r="T738" i="127"/>
  <c r="AL123" i="123" s="1"/>
  <c r="M277" i="134"/>
  <c r="M278" i="134"/>
  <c r="M288" i="134"/>
  <c r="M282" i="134"/>
  <c r="M289" i="134"/>
  <c r="M290" i="134"/>
  <c r="M296" i="134"/>
  <c r="M297" i="134"/>
  <c r="M300" i="134"/>
  <c r="M283" i="134"/>
  <c r="M273" i="134"/>
  <c r="M295" i="134"/>
  <c r="M281" i="134"/>
  <c r="M272" i="134"/>
  <c r="M274" i="134"/>
  <c r="M271" i="134"/>
  <c r="M267" i="134"/>
  <c r="M263" i="134"/>
  <c r="M258" i="134"/>
  <c r="M254" i="134"/>
  <c r="M250" i="134"/>
  <c r="M246" i="134"/>
  <c r="M242" i="134"/>
  <c r="M238" i="134"/>
  <c r="M234" i="134"/>
  <c r="M275" i="134"/>
  <c r="M268" i="134"/>
  <c r="M264" i="134"/>
  <c r="M259" i="134"/>
  <c r="M255" i="134"/>
  <c r="M251" i="134"/>
  <c r="M247" i="134"/>
  <c r="M243" i="134"/>
  <c r="M239" i="134"/>
  <c r="M235" i="134"/>
  <c r="M292" i="134"/>
  <c r="M286" i="134"/>
  <c r="M280" i="134"/>
  <c r="M276" i="134"/>
  <c r="M299" i="134"/>
  <c r="M291" i="134"/>
  <c r="M294" i="134"/>
  <c r="M287" i="134"/>
  <c r="M269" i="134"/>
  <c r="M265" i="134"/>
  <c r="M260" i="134"/>
  <c r="M256" i="134"/>
  <c r="M252" i="134"/>
  <c r="M248" i="134"/>
  <c r="M244" i="134"/>
  <c r="M240" i="134"/>
  <c r="M236" i="134"/>
  <c r="M284" i="134"/>
  <c r="M279" i="134"/>
  <c r="M293" i="134"/>
  <c r="M298" i="134"/>
  <c r="M285" i="134"/>
  <c r="M270" i="134"/>
  <c r="M266" i="134"/>
  <c r="M262" i="134"/>
  <c r="M261" i="134"/>
  <c r="M257" i="134"/>
  <c r="M253" i="134"/>
  <c r="M249" i="134"/>
  <c r="M245" i="134"/>
  <c r="M241" i="134"/>
  <c r="M237" i="134"/>
  <c r="M233" i="134"/>
  <c r="F3" i="134"/>
  <c r="I3" i="134"/>
  <c r="C3" i="134"/>
  <c r="H3" i="134"/>
  <c r="E3" i="134"/>
  <c r="D3" i="134"/>
  <c r="G3" i="134"/>
  <c r="J3" i="134"/>
  <c r="M188" i="134"/>
  <c r="M192" i="134"/>
  <c r="M196" i="134"/>
  <c r="M200" i="134"/>
  <c r="M204" i="134"/>
  <c r="M208" i="134"/>
  <c r="M212" i="134"/>
  <c r="M216" i="134"/>
  <c r="M220" i="134"/>
  <c r="M224" i="134"/>
  <c r="M228" i="134"/>
  <c r="M232" i="134"/>
  <c r="M130" i="134"/>
  <c r="M138" i="134"/>
  <c r="M191" i="134"/>
  <c r="M195" i="134"/>
  <c r="M199" i="134"/>
  <c r="M203" i="134"/>
  <c r="M207" i="134"/>
  <c r="M211" i="134"/>
  <c r="M215" i="134"/>
  <c r="M219" i="134"/>
  <c r="M223" i="134"/>
  <c r="M227" i="134"/>
  <c r="M231" i="134"/>
  <c r="M134" i="134"/>
  <c r="M112" i="134"/>
  <c r="M108" i="134"/>
  <c r="M93" i="134"/>
  <c r="M85" i="134"/>
  <c r="M77" i="134"/>
  <c r="M69" i="134"/>
  <c r="M61" i="134"/>
  <c r="M53" i="134"/>
  <c r="M186" i="134"/>
  <c r="M190" i="134"/>
  <c r="M194" i="134"/>
  <c r="M198" i="134"/>
  <c r="M202" i="134"/>
  <c r="M206" i="134"/>
  <c r="M210" i="134"/>
  <c r="M214" i="134"/>
  <c r="M218" i="134"/>
  <c r="M222" i="134"/>
  <c r="M226" i="134"/>
  <c r="M230" i="134"/>
  <c r="M225" i="134"/>
  <c r="M229" i="134"/>
  <c r="M133" i="134"/>
  <c r="M128" i="134"/>
  <c r="M125" i="134"/>
  <c r="M121" i="134"/>
  <c r="M117" i="134"/>
  <c r="M113" i="134"/>
  <c r="M109" i="134"/>
  <c r="M105" i="134"/>
  <c r="M101" i="134"/>
  <c r="M94" i="134"/>
  <c r="M90" i="134"/>
  <c r="M86" i="134"/>
  <c r="M82" i="134"/>
  <c r="M78" i="134"/>
  <c r="M74" i="134"/>
  <c r="M70" i="134"/>
  <c r="M66" i="134"/>
  <c r="M62" i="134"/>
  <c r="M58" i="134"/>
  <c r="M54" i="134"/>
  <c r="M48" i="134"/>
  <c r="M44" i="134"/>
  <c r="M40" i="134"/>
  <c r="M36" i="134"/>
  <c r="M34" i="134"/>
  <c r="M29" i="134"/>
  <c r="M25" i="134"/>
  <c r="M21" i="134"/>
  <c r="M17" i="134"/>
  <c r="M13" i="134"/>
  <c r="M9" i="134"/>
  <c r="M142" i="134"/>
  <c r="M150" i="134"/>
  <c r="M158" i="134"/>
  <c r="M166" i="134"/>
  <c r="M174" i="134"/>
  <c r="M184" i="134"/>
  <c r="M116" i="134"/>
  <c r="M100" i="134"/>
  <c r="M143" i="134"/>
  <c r="M147" i="134"/>
  <c r="M151" i="134"/>
  <c r="M155" i="134"/>
  <c r="M159" i="134"/>
  <c r="M163" i="134"/>
  <c r="M167" i="134"/>
  <c r="M171" i="134"/>
  <c r="M175" i="134"/>
  <c r="M179" i="134"/>
  <c r="M193" i="134"/>
  <c r="M197" i="134"/>
  <c r="M201" i="134"/>
  <c r="M205" i="134"/>
  <c r="M209" i="134"/>
  <c r="M213" i="134"/>
  <c r="M217" i="134"/>
  <c r="M221" i="134"/>
  <c r="M137" i="134"/>
  <c r="M132" i="134"/>
  <c r="M126" i="134"/>
  <c r="M122" i="134"/>
  <c r="M118" i="134"/>
  <c r="M114" i="134"/>
  <c r="M110" i="134"/>
  <c r="M106" i="134"/>
  <c r="M102" i="134"/>
  <c r="M98" i="134"/>
  <c r="M95" i="134"/>
  <c r="M91" i="134"/>
  <c r="M87" i="134"/>
  <c r="M83" i="134"/>
  <c r="M79" i="134"/>
  <c r="M75" i="134"/>
  <c r="M71" i="134"/>
  <c r="M67" i="134"/>
  <c r="M63" i="134"/>
  <c r="M59" i="134"/>
  <c r="M55" i="134"/>
  <c r="M51" i="134"/>
  <c r="M31" i="134"/>
  <c r="M49" i="134"/>
  <c r="M45" i="134"/>
  <c r="M41" i="134"/>
  <c r="M37" i="134"/>
  <c r="M26" i="134"/>
  <c r="M22" i="134"/>
  <c r="M18" i="134"/>
  <c r="M14" i="134"/>
  <c r="M10" i="134"/>
  <c r="M131" i="134"/>
  <c r="M141" i="134"/>
  <c r="M145" i="134"/>
  <c r="M149" i="134"/>
  <c r="M153" i="134"/>
  <c r="M157" i="134"/>
  <c r="M161" i="134"/>
  <c r="M165" i="134"/>
  <c r="M169" i="134"/>
  <c r="M173" i="134"/>
  <c r="M177" i="134"/>
  <c r="M139" i="134"/>
  <c r="M181" i="134"/>
  <c r="M185" i="134"/>
  <c r="M124" i="134"/>
  <c r="M104" i="134"/>
  <c r="M6" i="134"/>
  <c r="M136" i="134"/>
  <c r="M127" i="134"/>
  <c r="M123" i="134"/>
  <c r="M119" i="134"/>
  <c r="M115" i="134"/>
  <c r="M111" i="134"/>
  <c r="M107" i="134"/>
  <c r="M103" i="134"/>
  <c r="M99" i="134"/>
  <c r="M96" i="134"/>
  <c r="M92" i="134"/>
  <c r="M88" i="134"/>
  <c r="M84" i="134"/>
  <c r="M80" i="134"/>
  <c r="M76" i="134"/>
  <c r="M72" i="134"/>
  <c r="M68" i="134"/>
  <c r="M64" i="134"/>
  <c r="M60" i="134"/>
  <c r="M56" i="134"/>
  <c r="M52" i="134"/>
  <c r="M33" i="134"/>
  <c r="M32" i="134"/>
  <c r="M35" i="134"/>
  <c r="M50" i="134"/>
  <c r="M46" i="134"/>
  <c r="M42" i="134"/>
  <c r="M38" i="134"/>
  <c r="M27" i="134"/>
  <c r="M23" i="134"/>
  <c r="M19" i="134"/>
  <c r="M15" i="134"/>
  <c r="M11" i="134"/>
  <c r="M7" i="134"/>
  <c r="M135" i="134"/>
  <c r="M144" i="134"/>
  <c r="M148" i="134"/>
  <c r="M152" i="134"/>
  <c r="M156" i="134"/>
  <c r="M160" i="134"/>
  <c r="M164" i="134"/>
  <c r="M168" i="134"/>
  <c r="M172" i="134"/>
  <c r="M176" i="134"/>
  <c r="M180" i="134"/>
  <c r="M146" i="134"/>
  <c r="M154" i="134"/>
  <c r="M162" i="134"/>
  <c r="M170" i="134"/>
  <c r="M178" i="134"/>
  <c r="M183" i="134"/>
  <c r="M187" i="134"/>
  <c r="M129" i="134"/>
  <c r="M120" i="134"/>
  <c r="M97" i="134"/>
  <c r="M89" i="134"/>
  <c r="M81" i="134"/>
  <c r="M73" i="134"/>
  <c r="M65" i="134"/>
  <c r="M57" i="134"/>
  <c r="M47" i="134"/>
  <c r="M43" i="134"/>
  <c r="M39" i="134"/>
  <c r="M30" i="134"/>
  <c r="M28" i="134"/>
  <c r="M24" i="134"/>
  <c r="M20" i="134"/>
  <c r="M16" i="134"/>
  <c r="M12" i="134"/>
  <c r="M8" i="134"/>
  <c r="M140" i="134"/>
  <c r="M182" i="134"/>
  <c r="M189" i="134"/>
  <c r="M5" i="134"/>
  <c r="AE4" i="123"/>
  <c r="AI482" i="123" l="1"/>
  <c r="AI510" i="123"/>
  <c r="AI449" i="123"/>
  <c r="AI420" i="123"/>
  <c r="AG510" i="123"/>
  <c r="AG397" i="123"/>
  <c r="AJ397" i="123" s="1"/>
  <c r="AI474" i="123"/>
  <c r="AI483" i="123"/>
  <c r="AI426" i="123"/>
  <c r="R3041" i="127"/>
  <c r="R2918" i="127"/>
  <c r="R3571" i="127"/>
  <c r="R4022" i="127"/>
  <c r="R4297" i="127"/>
  <c r="R3790" i="127"/>
  <c r="R3681" i="127"/>
  <c r="R4427" i="127"/>
  <c r="R3916" i="127"/>
  <c r="R3777" i="127"/>
  <c r="R4317" i="127"/>
  <c r="R4300" i="127"/>
  <c r="R4093" i="127"/>
  <c r="R3575" i="127"/>
  <c r="R3358" i="127"/>
  <c r="R3704" i="127"/>
  <c r="R3910" i="127"/>
  <c r="R3797" i="127"/>
  <c r="R2807" i="127"/>
  <c r="R3482" i="127"/>
  <c r="R3912" i="127"/>
  <c r="R4339" i="127"/>
  <c r="R4394" i="127"/>
  <c r="R3367" i="127"/>
  <c r="AG446" i="123"/>
  <c r="AJ446" i="123" s="1"/>
  <c r="AG497" i="123"/>
  <c r="AG395" i="123"/>
  <c r="AJ395" i="123" s="1"/>
  <c r="U510" i="123"/>
  <c r="AG434" i="123"/>
  <c r="AJ434" i="123" s="1"/>
  <c r="V397" i="123"/>
  <c r="AI397" i="123" s="1"/>
  <c r="R3127" i="127"/>
  <c r="R3290" i="127"/>
  <c r="R3751" i="127"/>
  <c r="R4137" i="127"/>
  <c r="R3696" i="127"/>
  <c r="R4079" i="127"/>
  <c r="R3370" i="127"/>
  <c r="R3881" i="127"/>
  <c r="R4220" i="127"/>
  <c r="R2985" i="127"/>
  <c r="R3329" i="127"/>
  <c r="R3911" i="127"/>
  <c r="R4437" i="127"/>
  <c r="R3688" i="127"/>
  <c r="R3904" i="127"/>
  <c r="R3297" i="127"/>
  <c r="R3180" i="127"/>
  <c r="R4310" i="127"/>
  <c r="R4119" i="127"/>
  <c r="R4053" i="127"/>
  <c r="R3055" i="127"/>
  <c r="R4087" i="127"/>
  <c r="R3834" i="127"/>
  <c r="R3799" i="127"/>
  <c r="R4254" i="127"/>
  <c r="R3174" i="127"/>
  <c r="AG411" i="123"/>
  <c r="V446" i="123"/>
  <c r="V497" i="123"/>
  <c r="AI418" i="123"/>
  <c r="AG420" i="123"/>
  <c r="AJ420" i="123" s="1"/>
  <c r="AG426" i="123"/>
  <c r="AJ426" i="123" s="1"/>
  <c r="V395" i="123"/>
  <c r="W510" i="123"/>
  <c r="AH510" i="123" s="1"/>
  <c r="V443" i="123"/>
  <c r="AI443" i="123" s="1"/>
  <c r="U397" i="123"/>
  <c r="R2811" i="127"/>
  <c r="R3369" i="127"/>
  <c r="R4242" i="127"/>
  <c r="R4413" i="127"/>
  <c r="R3852" i="127"/>
  <c r="R4325" i="127"/>
  <c r="R3259" i="127"/>
  <c r="R4192" i="127"/>
  <c r="R3085" i="127"/>
  <c r="R3163" i="127"/>
  <c r="R4014" i="127"/>
  <c r="R4212" i="127"/>
  <c r="R4406" i="127"/>
  <c r="R4094" i="127"/>
  <c r="R3809" i="127"/>
  <c r="R3340" i="127"/>
  <c r="R3063" i="127"/>
  <c r="R4268" i="127"/>
  <c r="R3738" i="127"/>
  <c r="R2709" i="127"/>
  <c r="R4219" i="127"/>
  <c r="R4130" i="127"/>
  <c r="R3450" i="127"/>
  <c r="R4424" i="127"/>
  <c r="AI411" i="123"/>
  <c r="AG29" i="123"/>
  <c r="AG412" i="123"/>
  <c r="AG399" i="123"/>
  <c r="W458" i="123"/>
  <c r="AG405" i="123"/>
  <c r="AG160" i="123"/>
  <c r="W420" i="123"/>
  <c r="AG17" i="123"/>
  <c r="AJ482" i="123"/>
  <c r="AJ458" i="123"/>
  <c r="AJ449" i="123"/>
  <c r="AG404" i="123"/>
  <c r="W426" i="123"/>
  <c r="W411" i="123"/>
  <c r="AH411" i="123" s="1"/>
  <c r="AG453" i="123"/>
  <c r="AE17" i="123"/>
  <c r="AJ411" i="123"/>
  <c r="AJ445" i="123"/>
  <c r="AJ452" i="123"/>
  <c r="AJ483" i="123"/>
  <c r="V92" i="123"/>
  <c r="W92" i="123" s="1"/>
  <c r="AN92" i="123" s="1"/>
  <c r="U92" i="123"/>
  <c r="U404" i="123"/>
  <c r="V404" i="123"/>
  <c r="AI404" i="123" s="1"/>
  <c r="W404" i="123"/>
  <c r="U214" i="123"/>
  <c r="V214" i="123"/>
  <c r="W214" i="123" s="1"/>
  <c r="V407" i="123"/>
  <c r="W407" i="123" s="1"/>
  <c r="U407" i="123"/>
  <c r="W482" i="123"/>
  <c r="AG402" i="123"/>
  <c r="AJ497" i="123"/>
  <c r="W452" i="123"/>
  <c r="AI452" i="123"/>
  <c r="AG186" i="123"/>
  <c r="AG172" i="123"/>
  <c r="AG68" i="123"/>
  <c r="W418" i="123"/>
  <c r="AG465" i="123"/>
  <c r="AG450" i="123"/>
  <c r="W409" i="123"/>
  <c r="AG303" i="123"/>
  <c r="AJ417" i="123"/>
  <c r="AG12" i="123"/>
  <c r="AG297" i="123"/>
  <c r="V399" i="123"/>
  <c r="AI399" i="123" s="1"/>
  <c r="U399" i="123"/>
  <c r="AJ430" i="123"/>
  <c r="AG437" i="123"/>
  <c r="AG54" i="123"/>
  <c r="AG396" i="123"/>
  <c r="AJ443" i="123"/>
  <c r="AG406" i="123"/>
  <c r="W434" i="123"/>
  <c r="W474" i="123"/>
  <c r="W397" i="123"/>
  <c r="AG403" i="123"/>
  <c r="U143" i="123"/>
  <c r="V143" i="123"/>
  <c r="AI143" i="123" s="1"/>
  <c r="AG168" i="123"/>
  <c r="AG6" i="123"/>
  <c r="X411" i="123"/>
  <c r="V402" i="123"/>
  <c r="AI402" i="123" s="1"/>
  <c r="U402" i="123"/>
  <c r="U186" i="123"/>
  <c r="V186" i="123"/>
  <c r="AI186" i="123" s="1"/>
  <c r="U172" i="123"/>
  <c r="V172" i="123"/>
  <c r="AI172" i="123" s="1"/>
  <c r="U68" i="123"/>
  <c r="V68" i="123"/>
  <c r="AI68" i="123" s="1"/>
  <c r="U465" i="123"/>
  <c r="V465" i="123"/>
  <c r="AI465" i="123" s="1"/>
  <c r="U450" i="123"/>
  <c r="V450" i="123"/>
  <c r="W450" i="123" s="1"/>
  <c r="X450" i="123" s="1"/>
  <c r="V303" i="123"/>
  <c r="AI303" i="123" s="1"/>
  <c r="U303" i="123"/>
  <c r="U12" i="123"/>
  <c r="V12" i="123"/>
  <c r="AI12" i="123" s="1"/>
  <c r="U297" i="123"/>
  <c r="V297" i="123"/>
  <c r="W297" i="123" s="1"/>
  <c r="AG202" i="123"/>
  <c r="W395" i="123"/>
  <c r="AI395" i="123"/>
  <c r="U437" i="123"/>
  <c r="V437" i="123"/>
  <c r="AI437" i="123" s="1"/>
  <c r="AJ510" i="123"/>
  <c r="V54" i="123"/>
  <c r="AI54" i="123" s="1"/>
  <c r="U54" i="123"/>
  <c r="V396" i="123"/>
  <c r="AI396" i="123" s="1"/>
  <c r="U396" i="123"/>
  <c r="U406" i="123"/>
  <c r="V406" i="123"/>
  <c r="W406" i="123" s="1"/>
  <c r="W483" i="123"/>
  <c r="V403" i="123"/>
  <c r="AI403" i="123" s="1"/>
  <c r="U403" i="123"/>
  <c r="AG143" i="123"/>
  <c r="U168" i="123"/>
  <c r="V168" i="123"/>
  <c r="W168" i="123" s="1"/>
  <c r="U6" i="123"/>
  <c r="V6" i="123"/>
  <c r="W6" i="123" s="1"/>
  <c r="X6" i="123" s="1"/>
  <c r="V453" i="123"/>
  <c r="AI453" i="123" s="1"/>
  <c r="U453" i="123"/>
  <c r="W446" i="123"/>
  <c r="AI446" i="123"/>
  <c r="U405" i="123"/>
  <c r="V405" i="123"/>
  <c r="AI405" i="123" s="1"/>
  <c r="V29" i="123"/>
  <c r="AI29" i="123" s="1"/>
  <c r="U29" i="123"/>
  <c r="V412" i="123"/>
  <c r="AI412" i="123" s="1"/>
  <c r="U412" i="123"/>
  <c r="AG393" i="123"/>
  <c r="AJ418" i="123"/>
  <c r="AG414" i="123"/>
  <c r="AG308" i="123"/>
  <c r="W468" i="123"/>
  <c r="AI468" i="123"/>
  <c r="U160" i="123"/>
  <c r="V160" i="123"/>
  <c r="AI160" i="123" s="1"/>
  <c r="AG102" i="123"/>
  <c r="U202" i="123"/>
  <c r="V202" i="123"/>
  <c r="AI202" i="123" s="1"/>
  <c r="W430" i="123"/>
  <c r="AG398" i="123"/>
  <c r="AG99" i="123"/>
  <c r="AG164" i="123"/>
  <c r="W443" i="123"/>
  <c r="AG232" i="123"/>
  <c r="AH449" i="123"/>
  <c r="X449" i="123"/>
  <c r="AG218" i="123"/>
  <c r="AJ474" i="123"/>
  <c r="AG442" i="123"/>
  <c r="AH92" i="123"/>
  <c r="AI92" i="123"/>
  <c r="AG92" i="123"/>
  <c r="AG214" i="123"/>
  <c r="AI214" i="123"/>
  <c r="AG407" i="123"/>
  <c r="AI407" i="123"/>
  <c r="W497" i="123"/>
  <c r="AI497" i="123"/>
  <c r="V17" i="123"/>
  <c r="AI17" i="123" s="1"/>
  <c r="U17" i="123"/>
  <c r="V393" i="123"/>
  <c r="AI393" i="123" s="1"/>
  <c r="U393" i="123"/>
  <c r="V414" i="123"/>
  <c r="AI414" i="123" s="1"/>
  <c r="U414" i="123"/>
  <c r="W414" i="123"/>
  <c r="V308" i="123"/>
  <c r="AI308" i="123" s="1"/>
  <c r="U308" i="123"/>
  <c r="AJ409" i="123"/>
  <c r="W417" i="123"/>
  <c r="AI417" i="123"/>
  <c r="AJ468" i="123"/>
  <c r="AH420" i="123"/>
  <c r="X420" i="123"/>
  <c r="U102" i="123"/>
  <c r="V102" i="123"/>
  <c r="AI102" i="123" s="1"/>
  <c r="W445" i="123"/>
  <c r="AI445" i="123"/>
  <c r="AH426" i="123"/>
  <c r="X426" i="123"/>
  <c r="AH458" i="123"/>
  <c r="X458" i="123"/>
  <c r="U398" i="123"/>
  <c r="V398" i="123"/>
  <c r="AI398" i="123" s="1"/>
  <c r="V99" i="123"/>
  <c r="AI99" i="123" s="1"/>
  <c r="U99" i="123"/>
  <c r="U164" i="123"/>
  <c r="V164" i="123"/>
  <c r="AI164" i="123" s="1"/>
  <c r="U232" i="123"/>
  <c r="V232" i="123"/>
  <c r="AI232" i="123" s="1"/>
  <c r="U218" i="123"/>
  <c r="V218" i="123"/>
  <c r="AI218" i="123" s="1"/>
  <c r="V442" i="123"/>
  <c r="AI442" i="123" s="1"/>
  <c r="U442" i="123"/>
  <c r="AO123" i="123"/>
  <c r="AP123" i="123" s="1"/>
  <c r="AM123" i="123"/>
  <c r="R3841" i="127"/>
  <c r="R3978" i="127"/>
  <c r="R3315" i="127"/>
  <c r="R4311" i="127"/>
  <c r="R4132" i="127"/>
  <c r="R3511" i="127"/>
  <c r="R3232" i="127"/>
  <c r="R4450" i="127"/>
  <c r="R3623" i="127"/>
  <c r="R3404" i="127"/>
  <c r="R2736" i="127"/>
  <c r="R2830" i="127"/>
  <c r="R3072" i="127"/>
  <c r="R3147" i="127"/>
  <c r="R2979" i="127"/>
  <c r="R1605" i="127"/>
  <c r="R3489" i="127"/>
  <c r="R1475" i="127"/>
  <c r="R1043" i="127"/>
  <c r="R1473" i="127"/>
  <c r="R814" i="127"/>
  <c r="R221" i="127"/>
  <c r="R1245" i="127"/>
  <c r="R264" i="127"/>
  <c r="R366" i="127"/>
  <c r="R625" i="127"/>
  <c r="R777" i="127"/>
  <c r="R508" i="127"/>
  <c r="R1325" i="127"/>
  <c r="R870" i="127"/>
  <c r="R326" i="127"/>
  <c r="R922" i="127"/>
  <c r="R1032" i="127"/>
  <c r="R1006" i="127"/>
  <c r="R565" i="127"/>
  <c r="R691" i="127"/>
  <c r="R1602" i="127"/>
  <c r="R1601" i="127"/>
  <c r="R4430" i="127"/>
  <c r="R3773" i="127"/>
  <c r="R3876" i="127"/>
  <c r="R3593" i="127"/>
  <c r="R3661" i="127"/>
  <c r="R3233" i="127"/>
  <c r="R4206" i="127"/>
  <c r="R3398" i="127"/>
  <c r="R3314" i="127"/>
  <c r="R2392" i="127"/>
  <c r="R2341" i="127"/>
  <c r="R2641" i="127"/>
  <c r="R2938" i="127"/>
  <c r="R1859" i="127"/>
  <c r="R2823" i="127"/>
  <c r="R1733" i="127"/>
  <c r="R2539" i="127"/>
  <c r="R2126" i="127"/>
  <c r="R2275" i="127"/>
  <c r="R2503" i="127"/>
  <c r="R1992" i="127"/>
  <c r="R3057" i="127"/>
  <c r="R761" i="127"/>
  <c r="R1394" i="127"/>
  <c r="R1001" i="127"/>
  <c r="R2412" i="127"/>
  <c r="R614" i="127"/>
  <c r="R2413" i="127"/>
  <c r="R1217" i="127"/>
  <c r="R3666" i="127"/>
  <c r="R3728" i="127"/>
  <c r="R3729" i="127"/>
  <c r="R3490" i="127"/>
  <c r="R3224" i="127"/>
  <c r="R3355" i="127"/>
  <c r="R3586" i="127"/>
  <c r="R3380" i="127"/>
  <c r="R2981" i="127"/>
  <c r="R2739" i="127"/>
  <c r="R592" i="127"/>
  <c r="R1333" i="127"/>
  <c r="R2061" i="127"/>
  <c r="R2018" i="127"/>
  <c r="R953" i="127"/>
  <c r="R717" i="127"/>
  <c r="R1114" i="127"/>
  <c r="R1768" i="127"/>
  <c r="R1862" i="127"/>
  <c r="R1411" i="127"/>
  <c r="R1220" i="127"/>
  <c r="R804" i="127"/>
  <c r="R1025" i="127"/>
  <c r="R874" i="127"/>
  <c r="R1635" i="127"/>
  <c r="R1547" i="127"/>
  <c r="R654" i="127"/>
  <c r="R4010" i="127"/>
  <c r="R4393" i="127"/>
  <c r="R4392" i="127"/>
  <c r="R3857" i="127"/>
  <c r="R3756" i="127"/>
  <c r="R3626" i="127"/>
  <c r="R3175" i="127"/>
  <c r="R2728" i="127"/>
  <c r="R2855" i="127"/>
  <c r="R3437" i="127"/>
  <c r="R3778" i="127"/>
  <c r="R3779" i="127"/>
  <c r="R3013" i="127"/>
  <c r="R2837" i="127"/>
  <c r="R2749" i="127"/>
  <c r="R2927" i="127"/>
  <c r="R2923" i="127"/>
  <c r="R3274" i="127"/>
  <c r="R425" i="127"/>
  <c r="R627" i="127"/>
  <c r="R832" i="127"/>
  <c r="R710" i="127"/>
  <c r="R359" i="127"/>
  <c r="R598" i="127"/>
  <c r="R232" i="127"/>
  <c r="R331" i="127"/>
  <c r="R389" i="127"/>
  <c r="R444" i="127"/>
  <c r="R180" i="127"/>
  <c r="R284" i="127"/>
  <c r="R2576" i="127"/>
  <c r="R2577" i="127"/>
  <c r="R116" i="127"/>
  <c r="R515" i="127"/>
  <c r="R585" i="127"/>
  <c r="R3747" i="127"/>
  <c r="R931" i="127"/>
  <c r="R462" i="127"/>
  <c r="R757" i="127"/>
  <c r="R679" i="127"/>
  <c r="R267" i="127"/>
  <c r="R930" i="127"/>
  <c r="R355" i="127"/>
  <c r="R610" i="127"/>
  <c r="R555" i="127"/>
  <c r="R413" i="127"/>
  <c r="R3522" i="127"/>
  <c r="R4100" i="127"/>
  <c r="R3742" i="127"/>
  <c r="R3627" i="127"/>
  <c r="R4273" i="127"/>
  <c r="R4004" i="127"/>
  <c r="R3767" i="127"/>
  <c r="R2284" i="127"/>
  <c r="R1004" i="127"/>
  <c r="R1285" i="127"/>
  <c r="R2282" i="127"/>
  <c r="R1616" i="127"/>
  <c r="R1863" i="127"/>
  <c r="R1092" i="127"/>
  <c r="R1808" i="127"/>
  <c r="R1351" i="127"/>
  <c r="R1011" i="127"/>
  <c r="R1590" i="127"/>
  <c r="R1107" i="127"/>
  <c r="R1809" i="127"/>
  <c r="R875" i="127"/>
  <c r="R1693" i="127"/>
  <c r="R1501" i="127"/>
  <c r="R937" i="127"/>
  <c r="R1237" i="127"/>
  <c r="R4282" i="127"/>
  <c r="R4046" i="127"/>
  <c r="R4283" i="127"/>
  <c r="R3507" i="127"/>
  <c r="R2814" i="127"/>
  <c r="R2922" i="127"/>
  <c r="R3144" i="127"/>
  <c r="R1144" i="127"/>
  <c r="R1712" i="127"/>
  <c r="R1279" i="127"/>
  <c r="R2051" i="127"/>
  <c r="R1379" i="127"/>
  <c r="R1805" i="127"/>
  <c r="R1569" i="127"/>
  <c r="R1143" i="127"/>
  <c r="R521" i="127"/>
  <c r="R312" i="127"/>
  <c r="R782" i="127"/>
  <c r="R486" i="127"/>
  <c r="R783" i="127"/>
  <c r="R3466" i="127"/>
  <c r="R3467" i="127"/>
  <c r="R2953" i="127"/>
  <c r="R1891" i="127"/>
  <c r="R3103" i="127"/>
  <c r="R2023" i="127"/>
  <c r="R2519" i="127"/>
  <c r="R1748" i="127"/>
  <c r="S4394" i="127"/>
  <c r="T4394" i="127" s="1"/>
  <c r="S3799" i="127"/>
  <c r="T3799" i="127" s="1"/>
  <c r="S4130" i="127"/>
  <c r="T4130" i="127" s="1"/>
  <c r="R79" i="127"/>
  <c r="R965" i="127"/>
  <c r="R1354" i="127"/>
  <c r="R254" i="127"/>
  <c r="R880" i="127"/>
  <c r="R1936" i="127"/>
  <c r="R1403" i="127"/>
  <c r="R542" i="127"/>
  <c r="R352" i="127"/>
  <c r="R668" i="127"/>
  <c r="R1136" i="127"/>
  <c r="R162" i="127"/>
  <c r="R603" i="127"/>
  <c r="R720" i="127"/>
  <c r="R1294" i="127"/>
  <c r="R1423" i="127"/>
  <c r="R296" i="127"/>
  <c r="R395" i="127"/>
  <c r="R1042" i="127"/>
  <c r="R201" i="127"/>
  <c r="R471" i="127"/>
  <c r="R810" i="127"/>
  <c r="R1152" i="127"/>
  <c r="R115" i="127"/>
  <c r="R4083" i="127"/>
  <c r="R3862" i="127"/>
  <c r="R3723" i="127"/>
  <c r="R3218" i="127"/>
  <c r="R3345" i="127"/>
  <c r="R4084" i="127"/>
  <c r="R3984" i="127"/>
  <c r="R3795" i="127"/>
  <c r="R3541" i="127"/>
  <c r="R3432" i="127"/>
  <c r="R3247" i="127"/>
  <c r="R3644" i="127"/>
  <c r="R2866" i="127"/>
  <c r="R2770" i="127"/>
  <c r="R3016" i="127"/>
  <c r="R2692" i="127"/>
  <c r="R3109" i="127"/>
  <c r="R1021" i="127"/>
  <c r="R1142" i="127"/>
  <c r="R1167" i="127"/>
  <c r="R1168" i="127"/>
  <c r="R781" i="127"/>
  <c r="R1367" i="127"/>
  <c r="R864" i="127"/>
  <c r="R1918" i="127"/>
  <c r="R4378" i="127"/>
  <c r="R2097" i="127"/>
  <c r="R2098" i="127"/>
  <c r="R1283" i="127"/>
  <c r="R566" i="127"/>
  <c r="R255" i="127"/>
  <c r="R602" i="127"/>
  <c r="R297" i="127"/>
  <c r="R888" i="127"/>
  <c r="R778" i="127"/>
  <c r="R1802" i="127"/>
  <c r="R1538" i="127"/>
  <c r="R407" i="127"/>
  <c r="R481" i="127"/>
  <c r="R1246" i="127"/>
  <c r="R945" i="127"/>
  <c r="R1007" i="127"/>
  <c r="R1182" i="127"/>
  <c r="R206" i="127"/>
  <c r="R1823" i="127"/>
  <c r="R676" i="127"/>
  <c r="R1129" i="127"/>
  <c r="R3197" i="127"/>
  <c r="R3295" i="127"/>
  <c r="R3296" i="127"/>
  <c r="R3251" i="127"/>
  <c r="R1502" i="127"/>
  <c r="R1119" i="127"/>
  <c r="R1947" i="127"/>
  <c r="R954" i="127"/>
  <c r="R3405" i="127"/>
  <c r="R4349" i="127"/>
  <c r="R4250" i="127"/>
  <c r="R3484" i="127"/>
  <c r="R4460" i="127"/>
  <c r="R4291" i="127"/>
  <c r="R4143" i="127"/>
  <c r="R3860" i="127"/>
  <c r="R3750" i="127"/>
  <c r="R3557" i="127"/>
  <c r="R4222" i="127"/>
  <c r="R4097" i="127"/>
  <c r="R3825" i="127"/>
  <c r="R3720" i="127"/>
  <c r="R3070" i="127"/>
  <c r="R2920" i="127"/>
  <c r="R2717" i="127"/>
  <c r="R765" i="127"/>
  <c r="R1692" i="127"/>
  <c r="R2396" i="127"/>
  <c r="R2457" i="127"/>
  <c r="R684" i="127"/>
  <c r="R1366" i="127"/>
  <c r="R1585" i="127"/>
  <c r="R2186" i="127"/>
  <c r="R1173" i="127"/>
  <c r="R1072" i="127"/>
  <c r="R840" i="127"/>
  <c r="R2082" i="127"/>
  <c r="R2306" i="127"/>
  <c r="R915" i="127"/>
  <c r="R1548" i="127"/>
  <c r="R2460" i="127"/>
  <c r="R1806" i="127"/>
  <c r="R1917" i="127"/>
  <c r="R2459" i="127"/>
  <c r="R1258" i="127"/>
  <c r="R980" i="127"/>
  <c r="R4151" i="127"/>
  <c r="R4104" i="127"/>
  <c r="R3658" i="127"/>
  <c r="R3875" i="127"/>
  <c r="R3281" i="127"/>
  <c r="R4051" i="127"/>
  <c r="R3208" i="127"/>
  <c r="R4105" i="127"/>
  <c r="R3480" i="127"/>
  <c r="R2721" i="127"/>
  <c r="R3046" i="127"/>
  <c r="R2933" i="127"/>
  <c r="R3185" i="127"/>
  <c r="R3228" i="127"/>
  <c r="R3227" i="127"/>
  <c r="R2812" i="127"/>
  <c r="R1919" i="127"/>
  <c r="R1493" i="127"/>
  <c r="R899" i="127"/>
  <c r="R982" i="127"/>
  <c r="R767" i="127"/>
  <c r="R3042" i="127"/>
  <c r="R2381" i="127"/>
  <c r="R1368" i="127"/>
  <c r="R1723" i="127"/>
  <c r="R2424" i="127"/>
  <c r="R2281" i="127"/>
  <c r="R841" i="127"/>
  <c r="R1190" i="127"/>
  <c r="R2487" i="127"/>
  <c r="R1597" i="127"/>
  <c r="R2083" i="127"/>
  <c r="R1089" i="127"/>
  <c r="R2715" i="127"/>
  <c r="R68" i="127"/>
  <c r="R114" i="127"/>
  <c r="R316" i="127"/>
  <c r="R97" i="127"/>
  <c r="R718" i="127"/>
  <c r="R690" i="127"/>
  <c r="R231" i="127"/>
  <c r="R142" i="127"/>
  <c r="R434" i="127"/>
  <c r="R110" i="127"/>
  <c r="R62" i="127"/>
  <c r="R622" i="127"/>
  <c r="S2923" i="127"/>
  <c r="AK414" i="123" s="1"/>
  <c r="S2293" i="127"/>
  <c r="AK346" i="123" s="1"/>
  <c r="T2927" i="127"/>
  <c r="T2294" i="127"/>
  <c r="S3142" i="127"/>
  <c r="AK411" i="123" s="1"/>
  <c r="S2939" i="127"/>
  <c r="K91" i="134"/>
  <c r="L272" i="134"/>
  <c r="K272" i="134"/>
  <c r="L262" i="134"/>
  <c r="K262" i="134"/>
  <c r="L273" i="134"/>
  <c r="K273" i="134"/>
  <c r="L228" i="134"/>
  <c r="K228" i="134"/>
  <c r="K229" i="134"/>
  <c r="K179" i="134"/>
  <c r="K188" i="134"/>
  <c r="M3" i="134"/>
  <c r="T4" i="123"/>
  <c r="V4" i="123" s="1"/>
  <c r="AJ404" i="123" l="1"/>
  <c r="X510" i="123"/>
  <c r="AJ92" i="123"/>
  <c r="W399" i="123"/>
  <c r="W396" i="123"/>
  <c r="W393" i="123"/>
  <c r="W402" i="123"/>
  <c r="X402" i="123" s="1"/>
  <c r="AJ405" i="123"/>
  <c r="AJ160" i="123"/>
  <c r="AJ29" i="123"/>
  <c r="AJ308" i="123"/>
  <c r="AJ17" i="123"/>
  <c r="AJ399" i="123"/>
  <c r="AJ412" i="123"/>
  <c r="AJ442" i="123"/>
  <c r="W232" i="123"/>
  <c r="W412" i="123"/>
  <c r="W303" i="123"/>
  <c r="W143" i="123"/>
  <c r="X143" i="123" s="1"/>
  <c r="W172" i="123"/>
  <c r="W442" i="123"/>
  <c r="W102" i="123"/>
  <c r="W202" i="123"/>
  <c r="X202" i="123" s="1"/>
  <c r="W160" i="123"/>
  <c r="AJ172" i="123"/>
  <c r="AJ396" i="123"/>
  <c r="AJ297" i="123"/>
  <c r="AJ218" i="123"/>
  <c r="AJ402" i="123"/>
  <c r="AJ164" i="123"/>
  <c r="AJ406" i="123"/>
  <c r="AJ202" i="123"/>
  <c r="AJ453" i="123"/>
  <c r="AJ303" i="123"/>
  <c r="AJ232" i="123"/>
  <c r="AJ393" i="123"/>
  <c r="AJ168" i="123"/>
  <c r="AJ99" i="123"/>
  <c r="AJ102" i="123"/>
  <c r="AJ54" i="123"/>
  <c r="AJ437" i="123"/>
  <c r="W99" i="123"/>
  <c r="W308" i="123"/>
  <c r="AH308" i="123" s="1"/>
  <c r="W453" i="123"/>
  <c r="AH453" i="123" s="1"/>
  <c r="W403" i="123"/>
  <c r="W437" i="123"/>
  <c r="W12" i="123"/>
  <c r="X12" i="123" s="1"/>
  <c r="W465" i="123"/>
  <c r="AH465" i="123" s="1"/>
  <c r="W17" i="123"/>
  <c r="S2759" i="127" s="1"/>
  <c r="AK100" i="123" s="1"/>
  <c r="AN100" i="123" s="1"/>
  <c r="W29" i="123"/>
  <c r="AJ398" i="123"/>
  <c r="AJ414" i="123"/>
  <c r="AJ68" i="123"/>
  <c r="AJ186" i="123"/>
  <c r="AJ465" i="123"/>
  <c r="AH297" i="123"/>
  <c r="X297" i="123"/>
  <c r="X407" i="123"/>
  <c r="AH407" i="123"/>
  <c r="X214" i="123"/>
  <c r="AH214" i="123"/>
  <c r="AH168" i="123"/>
  <c r="X168" i="123"/>
  <c r="W218" i="123"/>
  <c r="W398" i="123"/>
  <c r="AH445" i="123"/>
  <c r="X445" i="123"/>
  <c r="AH417" i="123"/>
  <c r="X417" i="123"/>
  <c r="AH393" i="123"/>
  <c r="X393" i="123"/>
  <c r="AH430" i="123"/>
  <c r="X430" i="123"/>
  <c r="AN430" i="123"/>
  <c r="AP430" i="123" s="1"/>
  <c r="W405" i="123"/>
  <c r="AH446" i="123"/>
  <c r="X446" i="123"/>
  <c r="AH396" i="123"/>
  <c r="X396" i="123"/>
  <c r="AH303" i="123"/>
  <c r="X303" i="123"/>
  <c r="W68" i="123"/>
  <c r="AJ6" i="123"/>
  <c r="AH397" i="123"/>
  <c r="X397" i="123"/>
  <c r="AI297" i="123"/>
  <c r="AJ12" i="123"/>
  <c r="AH450" i="123"/>
  <c r="AH418" i="123"/>
  <c r="X418" i="123"/>
  <c r="AH482" i="123"/>
  <c r="X482" i="123"/>
  <c r="AH442" i="123"/>
  <c r="X442" i="123"/>
  <c r="S4392" i="127"/>
  <c r="T4392" i="127" s="1"/>
  <c r="S4010" i="127"/>
  <c r="T4010" i="127" s="1"/>
  <c r="AH99" i="123"/>
  <c r="X99" i="123"/>
  <c r="AH102" i="123"/>
  <c r="X102" i="123"/>
  <c r="AN102" i="123"/>
  <c r="AP102" i="123" s="1"/>
  <c r="AH414" i="123"/>
  <c r="X414" i="123"/>
  <c r="AH160" i="123"/>
  <c r="X160" i="123"/>
  <c r="AH468" i="123"/>
  <c r="X468" i="123"/>
  <c r="AH29" i="123"/>
  <c r="X29" i="123"/>
  <c r="X453" i="123"/>
  <c r="AH483" i="123"/>
  <c r="X483" i="123"/>
  <c r="X465" i="123"/>
  <c r="AH402" i="123"/>
  <c r="AI168" i="123"/>
  <c r="AJ143" i="123"/>
  <c r="AH474" i="123"/>
  <c r="X474" i="123"/>
  <c r="AH399" i="123"/>
  <c r="X399" i="123"/>
  <c r="AJ450" i="123"/>
  <c r="AH452" i="123"/>
  <c r="X452" i="123"/>
  <c r="AJ407" i="123"/>
  <c r="W164" i="123"/>
  <c r="S1436" i="127" s="1"/>
  <c r="X308" i="123"/>
  <c r="AH443" i="123"/>
  <c r="X443" i="123"/>
  <c r="AH412" i="123"/>
  <c r="X412" i="123"/>
  <c r="AH403" i="123"/>
  <c r="X403" i="123"/>
  <c r="AH406" i="123"/>
  <c r="X406" i="123"/>
  <c r="W186" i="123"/>
  <c r="AH6" i="123"/>
  <c r="AH434" i="123"/>
  <c r="X434" i="123"/>
  <c r="AI450" i="123"/>
  <c r="AJ214" i="123"/>
  <c r="AH232" i="123"/>
  <c r="X232" i="123"/>
  <c r="AH17" i="123"/>
  <c r="X17" i="123"/>
  <c r="AH497" i="123"/>
  <c r="X497" i="123"/>
  <c r="W54" i="123"/>
  <c r="AH437" i="123"/>
  <c r="X437" i="123"/>
  <c r="AH395" i="123"/>
  <c r="X395" i="123"/>
  <c r="AH172" i="123"/>
  <c r="X172" i="123"/>
  <c r="AI6" i="123"/>
  <c r="AH143" i="123"/>
  <c r="AJ403" i="123"/>
  <c r="AI406" i="123"/>
  <c r="AH409" i="123"/>
  <c r="X409" i="123"/>
  <c r="AH404" i="123"/>
  <c r="X404" i="123"/>
  <c r="X92" i="123"/>
  <c r="AU123" i="123"/>
  <c r="AT123" i="123"/>
  <c r="AQ123" i="123"/>
  <c r="AR123" i="123" s="1"/>
  <c r="AS123" i="123" s="1"/>
  <c r="AN411" i="123"/>
  <c r="AN414" i="123"/>
  <c r="AN346" i="123"/>
  <c r="S4435" i="127"/>
  <c r="T4435" i="127" s="1"/>
  <c r="S3940" i="127"/>
  <c r="T3940" i="127" s="1"/>
  <c r="S3427" i="127"/>
  <c r="S4207" i="127"/>
  <c r="T4207" i="127" s="1"/>
  <c r="S4422" i="127"/>
  <c r="T4422" i="127" s="1"/>
  <c r="S3543" i="127"/>
  <c r="T3543" i="127" s="1"/>
  <c r="S3745" i="127"/>
  <c r="T3745" i="127" s="1"/>
  <c r="S3679" i="127"/>
  <c r="T3679" i="127" s="1"/>
  <c r="T4151" i="127"/>
  <c r="S3208" i="127"/>
  <c r="T3208" i="127" s="1"/>
  <c r="S3281" i="127"/>
  <c r="T3281" i="127" s="1"/>
  <c r="S3480" i="127"/>
  <c r="T3480" i="127" s="1"/>
  <c r="S1596" i="127"/>
  <c r="T1596" i="127" s="1"/>
  <c r="S2809" i="127"/>
  <c r="AK382" i="123" s="1"/>
  <c r="S2468" i="127"/>
  <c r="S722" i="127"/>
  <c r="AK21" i="123" s="1"/>
  <c r="S2357" i="127"/>
  <c r="S1706" i="127"/>
  <c r="T1706" i="127" s="1"/>
  <c r="S1426" i="127"/>
  <c r="AK231" i="123" s="1"/>
  <c r="S1060" i="127"/>
  <c r="AK191" i="123" s="1"/>
  <c r="S993" i="127"/>
  <c r="T993" i="127" s="1"/>
  <c r="S1295" i="127"/>
  <c r="T1295" i="127" s="1"/>
  <c r="S1906" i="127"/>
  <c r="T1906" i="127" s="1"/>
  <c r="S3815" i="127"/>
  <c r="T3815" i="127" s="1"/>
  <c r="S3464" i="127"/>
  <c r="S3676" i="127"/>
  <c r="T3676" i="127" s="1"/>
  <c r="S4273" i="127"/>
  <c r="T4273" i="127" s="1"/>
  <c r="S4004" i="127"/>
  <c r="T4004" i="127" s="1"/>
  <c r="S4100" i="127"/>
  <c r="T4100" i="127" s="1"/>
  <c r="S3627" i="127"/>
  <c r="T3627" i="127" s="1"/>
  <c r="S3742" i="127"/>
  <c r="T3742" i="127" s="1"/>
  <c r="S3522" i="127"/>
  <c r="S3640" i="127"/>
  <c r="T3640" i="127" s="1"/>
  <c r="S4304" i="127"/>
  <c r="T4304" i="127" s="1"/>
  <c r="S3961" i="127"/>
  <c r="T3961" i="127" s="1"/>
  <c r="S3310" i="127"/>
  <c r="S4364" i="127"/>
  <c r="T4364" i="127" s="1"/>
  <c r="S2001" i="127"/>
  <c r="AK267" i="123" s="1"/>
  <c r="S2546" i="127"/>
  <c r="AK310" i="123" s="1"/>
  <c r="S4423" i="127"/>
  <c r="T4423" i="127" s="1"/>
  <c r="S4260" i="127"/>
  <c r="T4260" i="127" s="1"/>
  <c r="S4075" i="127"/>
  <c r="T4075" i="127" s="1"/>
  <c r="S3807" i="127"/>
  <c r="T3807" i="127" s="1"/>
  <c r="S4338" i="127"/>
  <c r="T4338" i="127" s="1"/>
  <c r="S4184" i="127"/>
  <c r="T4184" i="127" s="1"/>
  <c r="S3864" i="127"/>
  <c r="T3864" i="127" s="1"/>
  <c r="S3646" i="127"/>
  <c r="S3999" i="127"/>
  <c r="T3999" i="127" s="1"/>
  <c r="S3761" i="127"/>
  <c r="T3761" i="127" s="1"/>
  <c r="S141" i="127"/>
  <c r="AK11" i="123" s="1"/>
  <c r="S3156" i="127"/>
  <c r="AK325" i="123" s="1"/>
  <c r="S2420" i="127"/>
  <c r="T2420" i="127" s="1"/>
  <c r="S1698" i="127"/>
  <c r="T1698" i="127" s="1"/>
  <c r="S279" i="127"/>
  <c r="AK38" i="123" s="1"/>
  <c r="S829" i="127"/>
  <c r="T829" i="127" s="1"/>
  <c r="S1591" i="127"/>
  <c r="S1926" i="127"/>
  <c r="T1926" i="127" s="1"/>
  <c r="S1784" i="127"/>
  <c r="AK337" i="123" s="1"/>
  <c r="S913" i="127"/>
  <c r="AK127" i="123" s="1"/>
  <c r="S2486" i="127"/>
  <c r="S1327" i="127"/>
  <c r="T1327" i="127" s="1"/>
  <c r="S1435" i="127"/>
  <c r="AK185" i="123" s="1"/>
  <c r="S4220" i="127"/>
  <c r="T4220" i="127" s="1"/>
  <c r="S3916" i="127"/>
  <c r="T3916" i="127" s="1"/>
  <c r="S3835" i="127"/>
  <c r="S4192" i="127"/>
  <c r="T4192" i="127" s="1"/>
  <c r="S3881" i="127"/>
  <c r="T3881" i="127" s="1"/>
  <c r="S4172" i="127"/>
  <c r="T4172" i="127" s="1"/>
  <c r="S3843" i="127"/>
  <c r="T3843" i="127" s="1"/>
  <c r="S3477" i="127"/>
  <c r="S3570" i="127"/>
  <c r="T3570" i="127" s="1"/>
  <c r="S1195" i="127"/>
  <c r="AK204" i="123" s="1"/>
  <c r="S1078" i="127"/>
  <c r="AK195" i="123" s="1"/>
  <c r="S1033" i="127"/>
  <c r="AK80" i="123" s="1"/>
  <c r="S2643" i="127"/>
  <c r="AK375" i="123" s="1"/>
  <c r="S889" i="127"/>
  <c r="AK169" i="123" s="1"/>
  <c r="S697" i="127"/>
  <c r="AK130" i="123" s="1"/>
  <c r="S1407" i="127"/>
  <c r="T1407" i="127" s="1"/>
  <c r="S1379" i="127"/>
  <c r="S966" i="127"/>
  <c r="AK177" i="123" s="1"/>
  <c r="S3295" i="127"/>
  <c r="T3295" i="127" s="1"/>
  <c r="S3251" i="127"/>
  <c r="T3251" i="127" s="1"/>
  <c r="S3296" i="127"/>
  <c r="T3296" i="127" s="1"/>
  <c r="S3197" i="127"/>
  <c r="S4389" i="127"/>
  <c r="T4389" i="127" s="1"/>
  <c r="S3939" i="127"/>
  <c r="T3939" i="127" s="1"/>
  <c r="S3606" i="127"/>
  <c r="T3606" i="127" s="1"/>
  <c r="S4057" i="127"/>
  <c r="T4057" i="127" s="1"/>
  <c r="S4243" i="127"/>
  <c r="T4243" i="127" s="1"/>
  <c r="S4136" i="127"/>
  <c r="T4136" i="127" s="1"/>
  <c r="S3694" i="127"/>
  <c r="T3694" i="127" s="1"/>
  <c r="S3510" i="127"/>
  <c r="S4407" i="127"/>
  <c r="T4407" i="127" s="1"/>
  <c r="S4225" i="127"/>
  <c r="T4225" i="127" s="1"/>
  <c r="S4319" i="127"/>
  <c r="T4319" i="127" s="1"/>
  <c r="S3839" i="127"/>
  <c r="T3839" i="127" s="1"/>
  <c r="S4029" i="127"/>
  <c r="T4029" i="127" s="1"/>
  <c r="S3934" i="127"/>
  <c r="T3934" i="127" s="1"/>
  <c r="S3672" i="127"/>
  <c r="T3672" i="127" s="1"/>
  <c r="S3498" i="127"/>
  <c r="T3498" i="127" s="1"/>
  <c r="S3377" i="127"/>
  <c r="S4138" i="127"/>
  <c r="T4138" i="127" s="1"/>
  <c r="S3764" i="127"/>
  <c r="T3764" i="127" s="1"/>
  <c r="S3598" i="127"/>
  <c r="T3598" i="127" s="1"/>
  <c r="S4152" i="127"/>
  <c r="T4152" i="127" s="1"/>
  <c r="S4432" i="127"/>
  <c r="T4432" i="127" s="1"/>
  <c r="S3169" i="127"/>
  <c r="T3169" i="127" s="1"/>
  <c r="S3783" i="127"/>
  <c r="T3783" i="127" s="1"/>
  <c r="S3513" i="127"/>
  <c r="T3513" i="127" s="1"/>
  <c r="S3254" i="127"/>
  <c r="T3254" i="127" s="1"/>
  <c r="S4062" i="127"/>
  <c r="T4062" i="127" s="1"/>
  <c r="S3746" i="127"/>
  <c r="T3746" i="127" s="1"/>
  <c r="S1572" i="127"/>
  <c r="AK241" i="123" s="1"/>
  <c r="S2791" i="127"/>
  <c r="AK369" i="123" s="1"/>
  <c r="S3924" i="127"/>
  <c r="T3924" i="127" s="1"/>
  <c r="S3533" i="127"/>
  <c r="S3649" i="127"/>
  <c r="T3649" i="127" s="1"/>
  <c r="S3770" i="127"/>
  <c r="T3770" i="127" s="1"/>
  <c r="T4430" i="127"/>
  <c r="S4206" i="127"/>
  <c r="T4206" i="127" s="1"/>
  <c r="S3661" i="127"/>
  <c r="T3661" i="127" s="1"/>
  <c r="S3398" i="127"/>
  <c r="T3398" i="127" s="1"/>
  <c r="S3233" i="127"/>
  <c r="T3233" i="127" s="1"/>
  <c r="S3876" i="127"/>
  <c r="T3876" i="127" s="1"/>
  <c r="S3773" i="127"/>
  <c r="T3773" i="127" s="1"/>
  <c r="S3593" i="127"/>
  <c r="T3593" i="127" s="1"/>
  <c r="S3314" i="127"/>
  <c r="T3314" i="127" s="1"/>
  <c r="S2423" i="127"/>
  <c r="AK352" i="123" s="1"/>
  <c r="S2427" i="127"/>
  <c r="S2116" i="127"/>
  <c r="AK206" i="123" s="1"/>
  <c r="S2110" i="127"/>
  <c r="AK142" i="123" s="1"/>
  <c r="S1002" i="127"/>
  <c r="AK181" i="123" s="1"/>
  <c r="S2707" i="127"/>
  <c r="AK348" i="123" s="1"/>
  <c r="S1535" i="127"/>
  <c r="AK242" i="123" s="1"/>
  <c r="S4448" i="127"/>
  <c r="T4448" i="127" s="1"/>
  <c r="S4297" i="127"/>
  <c r="T4297" i="127" s="1"/>
  <c r="S4137" i="127"/>
  <c r="T4137" i="127" s="1"/>
  <c r="S3751" i="127"/>
  <c r="T3751" i="127" s="1"/>
  <c r="S3369" i="127"/>
  <c r="T3369" i="127" s="1"/>
  <c r="S4413" i="127"/>
  <c r="T4413" i="127" s="1"/>
  <c r="S4242" i="127"/>
  <c r="T4242" i="127" s="1"/>
  <c r="S3925" i="127"/>
  <c r="T3925" i="127" s="1"/>
  <c r="S3852" i="127"/>
  <c r="T3852" i="127" s="1"/>
  <c r="S3571" i="127"/>
  <c r="T3571" i="127" s="1"/>
  <c r="S3469" i="127"/>
  <c r="T3469" i="127" s="1"/>
  <c r="S3209" i="127"/>
  <c r="T3209" i="127" s="1"/>
  <c r="S4022" i="127"/>
  <c r="T4022" i="127" s="1"/>
  <c r="S3696" i="127"/>
  <c r="T3696" i="127" s="1"/>
  <c r="S3290" i="127"/>
  <c r="T3290" i="127" s="1"/>
  <c r="S1699" i="127"/>
  <c r="S1667" i="127"/>
  <c r="T4450" i="127"/>
  <c r="T4311" i="127"/>
  <c r="S2620" i="127"/>
  <c r="AK261" i="123" s="1"/>
  <c r="S3011" i="127"/>
  <c r="AK336" i="123" s="1"/>
  <c r="S2816" i="127"/>
  <c r="AK344" i="123" s="1"/>
  <c r="S3107" i="127"/>
  <c r="T4349" i="127"/>
  <c r="T4250" i="127"/>
  <c r="S3557" i="127"/>
  <c r="T3557" i="127" s="1"/>
  <c r="S3720" i="127"/>
  <c r="T3720" i="127" s="1"/>
  <c r="S1074" i="127"/>
  <c r="AK192" i="123" s="1"/>
  <c r="S3750" i="127"/>
  <c r="T3750" i="127" s="1"/>
  <c r="S3405" i="127"/>
  <c r="T3405" i="127" s="1"/>
  <c r="T4291" i="127"/>
  <c r="T4222" i="127"/>
  <c r="S3484" i="127"/>
  <c r="T3484" i="127" s="1"/>
  <c r="S1781" i="127"/>
  <c r="AK292" i="123" s="1"/>
  <c r="S2291" i="127"/>
  <c r="T2291" i="127" s="1"/>
  <c r="S2256" i="127"/>
  <c r="T2256" i="127" s="1"/>
  <c r="S633" i="127"/>
  <c r="S2682" i="127"/>
  <c r="AK383" i="123" s="1"/>
  <c r="S997" i="127"/>
  <c r="AK72" i="123" s="1"/>
  <c r="S2526" i="127"/>
  <c r="AK381" i="123" s="1"/>
  <c r="S600" i="127"/>
  <c r="AK57" i="123" s="1"/>
  <c r="S921" i="127"/>
  <c r="T921" i="127" s="1"/>
  <c r="S2375" i="127"/>
  <c r="T2375" i="127" s="1"/>
  <c r="S2760" i="127"/>
  <c r="AK373" i="123" s="1"/>
  <c r="S411" i="127"/>
  <c r="AK81" i="123" s="1"/>
  <c r="S4459" i="127"/>
  <c r="T4459" i="127" s="1"/>
  <c r="S4332" i="127"/>
  <c r="T4332" i="127" s="1"/>
  <c r="S4375" i="127"/>
  <c r="T4375" i="127" s="1"/>
  <c r="S3597" i="127"/>
  <c r="T3597" i="127" s="1"/>
  <c r="S3438" i="127"/>
  <c r="T3438" i="127" s="1"/>
  <c r="S4162" i="127"/>
  <c r="T4162" i="127" s="1"/>
  <c r="S4000" i="127"/>
  <c r="T4000" i="127" s="1"/>
  <c r="S3716" i="127"/>
  <c r="T3716" i="127" s="1"/>
  <c r="S3475" i="127"/>
  <c r="T3475" i="127" s="1"/>
  <c r="S4303" i="127"/>
  <c r="T4303" i="127" s="1"/>
  <c r="S4127" i="127"/>
  <c r="T4127" i="127" s="1"/>
  <c r="S3394" i="127"/>
  <c r="S3432" i="127"/>
  <c r="T3432" i="127" s="1"/>
  <c r="S3247" i="127"/>
  <c r="T3247" i="127" s="1"/>
  <c r="S3862" i="127"/>
  <c r="T3862" i="127" s="1"/>
  <c r="S3345" i="127"/>
  <c r="T3345" i="127" s="1"/>
  <c r="S3218" i="127"/>
  <c r="T3218" i="127" s="1"/>
  <c r="S2755" i="127"/>
  <c r="AK341" i="123" s="1"/>
  <c r="S4150" i="127"/>
  <c r="T4150" i="127" s="1"/>
  <c r="S3833" i="127"/>
  <c r="T3833" i="127" s="1"/>
  <c r="S3749" i="127"/>
  <c r="T3749" i="127" s="1"/>
  <c r="S4306" i="127"/>
  <c r="T4306" i="127" s="1"/>
  <c r="S3884" i="127"/>
  <c r="T3884" i="127" s="1"/>
  <c r="S3645" i="127"/>
  <c r="S2183" i="127"/>
  <c r="S495" i="127"/>
  <c r="S3767" i="127"/>
  <c r="AK450" i="123" s="1"/>
  <c r="S2387" i="127"/>
  <c r="S433" i="127"/>
  <c r="T433" i="127" s="1"/>
  <c r="S418" i="127"/>
  <c r="S472" i="127"/>
  <c r="AK45" i="123" s="1"/>
  <c r="S1356" i="127"/>
  <c r="AK176" i="123" s="1"/>
  <c r="S4233" i="127"/>
  <c r="T4233" i="127" s="1"/>
  <c r="S3891" i="127"/>
  <c r="T3891" i="127" s="1"/>
  <c r="S4445" i="127"/>
  <c r="T4445" i="127" s="1"/>
  <c r="S4028" i="127"/>
  <c r="T4028" i="127" s="1"/>
  <c r="S3755" i="127"/>
  <c r="T3755" i="127" s="1"/>
  <c r="S4451" i="127"/>
  <c r="S4302" i="127"/>
  <c r="T4302" i="127" s="1"/>
  <c r="S3849" i="127"/>
  <c r="T3849" i="127" s="1"/>
  <c r="S4441" i="127"/>
  <c r="T4441" i="127" s="1"/>
  <c r="S4381" i="127"/>
  <c r="T4381" i="127" s="1"/>
  <c r="S4095" i="127"/>
  <c r="T4095" i="127" s="1"/>
  <c r="S3670" i="127"/>
  <c r="S4437" i="127"/>
  <c r="T4437" i="127" s="1"/>
  <c r="S4300" i="127"/>
  <c r="T4300" i="127" s="1"/>
  <c r="S4212" i="127"/>
  <c r="T4212" i="127" s="1"/>
  <c r="S3850" i="127"/>
  <c r="S4374" i="127"/>
  <c r="T4374" i="127" s="1"/>
  <c r="S3911" i="127"/>
  <c r="T3911" i="127" s="1"/>
  <c r="S4014" i="127"/>
  <c r="T4014" i="127" s="1"/>
  <c r="S4093" i="127"/>
  <c r="T4093" i="127" s="1"/>
  <c r="S3273" i="127"/>
  <c r="AK425" i="123" s="1"/>
  <c r="S3778" i="127"/>
  <c r="T3778" i="127" s="1"/>
  <c r="S3437" i="127"/>
  <c r="T3437" i="127" s="1"/>
  <c r="S1010" i="127"/>
  <c r="AK189" i="123" s="1"/>
  <c r="S1973" i="127"/>
  <c r="AK324" i="123" s="1"/>
  <c r="S3857" i="127"/>
  <c r="T3857" i="127" s="1"/>
  <c r="S3626" i="127"/>
  <c r="T3626" i="127" s="1"/>
  <c r="S3756" i="127"/>
  <c r="T3756" i="127" s="1"/>
  <c r="S3175" i="127"/>
  <c r="T3175" i="127" s="1"/>
  <c r="S3728" i="127"/>
  <c r="T3728" i="127" s="1"/>
  <c r="S3490" i="127"/>
  <c r="T3490" i="127" s="1"/>
  <c r="S3355" i="127"/>
  <c r="T3355" i="127" s="1"/>
  <c r="S3586" i="127"/>
  <c r="T3586" i="127" s="1"/>
  <c r="S3380" i="127"/>
  <c r="T3380" i="127" s="1"/>
  <c r="S3224" i="127"/>
  <c r="T3224" i="127" s="1"/>
  <c r="S3666" i="127"/>
  <c r="T3666" i="127" s="1"/>
  <c r="S4219" i="127"/>
  <c r="T4219" i="127" s="1"/>
  <c r="S3912" i="127"/>
  <c r="T3912" i="127" s="1"/>
  <c r="S3748" i="127"/>
  <c r="T3748" i="127" s="1"/>
  <c r="S3235" i="127"/>
  <c r="T3235" i="127" s="1"/>
  <c r="S1638" i="127"/>
  <c r="AK235" i="123" s="1"/>
  <c r="S4263" i="127"/>
  <c r="T4263" i="127" s="1"/>
  <c r="S4339" i="127"/>
  <c r="T4339" i="127" s="1"/>
  <c r="S4087" i="127"/>
  <c r="T4087" i="127" s="1"/>
  <c r="S3834" i="127"/>
  <c r="T3834" i="127" s="1"/>
  <c r="S3482" i="127"/>
  <c r="T3482" i="127" s="1"/>
  <c r="S2957" i="127"/>
  <c r="AK370" i="123" s="1"/>
  <c r="S4072" i="127"/>
  <c r="T4072" i="127" s="1"/>
  <c r="S2133" i="127"/>
  <c r="AK256" i="123" s="1"/>
  <c r="S4427" i="127"/>
  <c r="T4427" i="127" s="1"/>
  <c r="S4181" i="127"/>
  <c r="T4181" i="127" s="1"/>
  <c r="S3790" i="127"/>
  <c r="T3790" i="127" s="1"/>
  <c r="S4325" i="127"/>
  <c r="T4325" i="127" s="1"/>
  <c r="S4079" i="127"/>
  <c r="T4079" i="127" s="1"/>
  <c r="S3457" i="127"/>
  <c r="T3457" i="127" s="1"/>
  <c r="S3681" i="127"/>
  <c r="T3681" i="127" s="1"/>
  <c r="S3259" i="127"/>
  <c r="S3370" i="127"/>
  <c r="T3370" i="127" s="1"/>
  <c r="S4378" i="127"/>
  <c r="T4378" i="127" s="1"/>
  <c r="S2711" i="127"/>
  <c r="AK332" i="123" s="1"/>
  <c r="S1325" i="127"/>
  <c r="T1325" i="127" s="1"/>
  <c r="S4406" i="127"/>
  <c r="T4406" i="127" s="1"/>
  <c r="S3688" i="127"/>
  <c r="T3688" i="127" s="1"/>
  <c r="S3904" i="127"/>
  <c r="T3904" i="127" s="1"/>
  <c r="S3809" i="127"/>
  <c r="T3809" i="127" s="1"/>
  <c r="S3473" i="127"/>
  <c r="T3473" i="127" s="1"/>
  <c r="S3297" i="127"/>
  <c r="T3297" i="127" s="1"/>
  <c r="S4094" i="127"/>
  <c r="T4094" i="127" s="1"/>
  <c r="S3575" i="127"/>
  <c r="T3575" i="127" s="1"/>
  <c r="S3358" i="127"/>
  <c r="T3358" i="127" s="1"/>
  <c r="S3183" i="127"/>
  <c r="S4317" i="127"/>
  <c r="T4317" i="127" s="1"/>
  <c r="S3955" i="127"/>
  <c r="T3955" i="127" s="1"/>
  <c r="S3777" i="127"/>
  <c r="T3777" i="127" s="1"/>
  <c r="S4133" i="127"/>
  <c r="T4133" i="127" s="1"/>
  <c r="S3163" i="127"/>
  <c r="S3329" i="127"/>
  <c r="T3329" i="127" s="1"/>
  <c r="S2733" i="127"/>
  <c r="AK291" i="123" s="1"/>
  <c r="S520" i="127"/>
  <c r="AK98" i="123" s="1"/>
  <c r="S1846" i="127"/>
  <c r="T1846" i="127" s="1"/>
  <c r="S1082" i="127"/>
  <c r="AK86" i="123" s="1"/>
  <c r="S852" i="127"/>
  <c r="AK156" i="123" s="1"/>
  <c r="S546" i="127"/>
  <c r="AK110" i="123" s="1"/>
  <c r="T3274" i="127"/>
  <c r="S264" i="127"/>
  <c r="T264" i="127" s="1"/>
  <c r="S2606" i="127"/>
  <c r="S2806" i="127"/>
  <c r="T2806" i="127" s="1"/>
  <c r="S2710" i="127"/>
  <c r="AK281" i="123" s="1"/>
  <c r="S4424" i="127"/>
  <c r="T4424" i="127" s="1"/>
  <c r="S4073" i="127"/>
  <c r="T4073" i="127" s="1"/>
  <c r="S4254" i="127"/>
  <c r="T4254" i="127" s="1"/>
  <c r="S3367" i="127"/>
  <c r="T3367" i="127" s="1"/>
  <c r="S3450" i="127"/>
  <c r="T3450" i="127" s="1"/>
  <c r="S3174" i="127"/>
  <c r="S4458" i="127"/>
  <c r="T4458" i="127" s="1"/>
  <c r="S3738" i="127"/>
  <c r="T3738" i="127" s="1"/>
  <c r="S3512" i="127"/>
  <c r="T3512" i="127" s="1"/>
  <c r="S3797" i="127"/>
  <c r="T3797" i="127" s="1"/>
  <c r="S3639" i="127"/>
  <c r="T3639" i="127" s="1"/>
  <c r="S3340" i="127"/>
  <c r="T3340" i="127" s="1"/>
  <c r="S4268" i="127"/>
  <c r="T4268" i="127" s="1"/>
  <c r="S4053" i="127"/>
  <c r="T4053" i="127" s="1"/>
  <c r="S3910" i="127"/>
  <c r="T3910" i="127" s="1"/>
  <c r="S3426" i="127"/>
  <c r="T3426" i="127" s="1"/>
  <c r="S3180" i="127"/>
  <c r="S4310" i="127"/>
  <c r="T4310" i="127" s="1"/>
  <c r="S4119" i="127"/>
  <c r="T4119" i="127" s="1"/>
  <c r="S3704" i="127"/>
  <c r="T3704" i="127" s="1"/>
  <c r="S1359" i="127"/>
  <c r="AK65" i="123" s="1"/>
  <c r="S2821" i="127"/>
  <c r="AK277" i="123" s="1"/>
  <c r="S2941" i="127"/>
  <c r="AK321" i="123" s="1"/>
  <c r="S4193" i="127"/>
  <c r="T4193" i="127" s="1"/>
  <c r="S3478" i="127"/>
  <c r="T3478" i="127" s="1"/>
  <c r="S3673" i="127"/>
  <c r="T3673" i="127" s="1"/>
  <c r="S4071" i="127"/>
  <c r="T4071" i="127" s="1"/>
  <c r="S2170" i="127"/>
  <c r="T2170" i="127" s="1"/>
  <c r="S2172" i="127"/>
  <c r="T2172" i="127" s="1"/>
  <c r="S704" i="127"/>
  <c r="S530" i="127"/>
  <c r="AK16" i="123" s="1"/>
  <c r="S473" i="127"/>
  <c r="S786" i="127"/>
  <c r="T2759" i="127"/>
  <c r="AL100" i="123" s="1"/>
  <c r="AO100" i="123" s="1"/>
  <c r="T1729" i="127"/>
  <c r="AL39" i="123" s="1"/>
  <c r="R1839" i="127"/>
  <c r="R1269" i="127"/>
  <c r="R1840" i="127"/>
  <c r="R128" i="127"/>
  <c r="R884" i="127"/>
  <c r="R561" i="127"/>
  <c r="R295" i="127"/>
  <c r="T2939" i="127"/>
  <c r="T2293" i="127"/>
  <c r="AL346" i="123" s="1"/>
  <c r="AO346" i="123" s="1"/>
  <c r="T3142" i="127"/>
  <c r="AL411" i="123" s="1"/>
  <c r="AO411" i="123" s="1"/>
  <c r="T2923" i="127"/>
  <c r="AL414" i="123" s="1"/>
  <c r="AO414" i="123" s="1"/>
  <c r="W4" i="123"/>
  <c r="U4" i="123"/>
  <c r="T2412" i="127"/>
  <c r="S761" i="127"/>
  <c r="T761" i="127" s="1"/>
  <c r="T1217" i="127"/>
  <c r="S614" i="127"/>
  <c r="T1001" i="127"/>
  <c r="T1394" i="127"/>
  <c r="T2413" i="127"/>
  <c r="T627" i="127"/>
  <c r="T832" i="127"/>
  <c r="T1861" i="127"/>
  <c r="T710" i="127"/>
  <c r="T1348" i="127"/>
  <c r="T1993" i="127"/>
  <c r="T425" i="127"/>
  <c r="T2765" i="127"/>
  <c r="T359" i="127"/>
  <c r="T598" i="127"/>
  <c r="T2555" i="127"/>
  <c r="T2912" i="127"/>
  <c r="T2378" i="127"/>
  <c r="S1092" i="127"/>
  <c r="T1092" i="127" s="1"/>
  <c r="T1616" i="127"/>
  <c r="T2282" i="127"/>
  <c r="T2284" i="127"/>
  <c r="S1004" i="127"/>
  <c r="AK214" i="123" s="1"/>
  <c r="T1285" i="127"/>
  <c r="T1863" i="127"/>
  <c r="S1805" i="127"/>
  <c r="T1805" i="127" s="1"/>
  <c r="S3094" i="127"/>
  <c r="T3094" i="127" s="1"/>
  <c r="S1279" i="127"/>
  <c r="T1279" i="127" s="1"/>
  <c r="T1569" i="127"/>
  <c r="T2049" i="127"/>
  <c r="S2610" i="127"/>
  <c r="S2827" i="127"/>
  <c r="T2827" i="127" s="1"/>
  <c r="S1143" i="127"/>
  <c r="T1712" i="127"/>
  <c r="S1144" i="127"/>
  <c r="T1144" i="127" s="1"/>
  <c r="T1379" i="127"/>
  <c r="S2712" i="127"/>
  <c r="T2712" i="127" s="1"/>
  <c r="S3035" i="127"/>
  <c r="T3035" i="127" s="1"/>
  <c r="S765" i="127"/>
  <c r="T765" i="127" s="1"/>
  <c r="S915" i="127"/>
  <c r="T915" i="127" s="1"/>
  <c r="S1072" i="127"/>
  <c r="T1072" i="127" s="1"/>
  <c r="S1258" i="127"/>
  <c r="S1548" i="127"/>
  <c r="T1548" i="127" s="1"/>
  <c r="S1692" i="127"/>
  <c r="T1692" i="127" s="1"/>
  <c r="S1917" i="127"/>
  <c r="T1917" i="127" s="1"/>
  <c r="S2186" i="127"/>
  <c r="T2186" i="127" s="1"/>
  <c r="T2396" i="127"/>
  <c r="T2460" i="127"/>
  <c r="S684" i="127"/>
  <c r="S840" i="127"/>
  <c r="T840" i="127" s="1"/>
  <c r="S980" i="127"/>
  <c r="T980" i="127" s="1"/>
  <c r="S1173" i="127"/>
  <c r="T1173" i="127" s="1"/>
  <c r="S1366" i="127"/>
  <c r="T1366" i="127" s="1"/>
  <c r="S1585" i="127"/>
  <c r="S1806" i="127"/>
  <c r="T1806" i="127" s="1"/>
  <c r="S2082" i="127"/>
  <c r="T2082" i="127" s="1"/>
  <c r="T2306" i="127"/>
  <c r="T2457" i="127"/>
  <c r="T2459" i="127"/>
  <c r="T2098" i="127"/>
  <c r="T1283" i="127"/>
  <c r="T1918" i="127"/>
  <c r="T2097" i="127"/>
  <c r="S864" i="127"/>
  <c r="AK168" i="123" s="1"/>
  <c r="T1367" i="127"/>
  <c r="S2920" i="127"/>
  <c r="T2920" i="127" s="1"/>
  <c r="S2717" i="127"/>
  <c r="S3070" i="127"/>
  <c r="T3070" i="127" s="1"/>
  <c r="S1748" i="127"/>
  <c r="T2023" i="127"/>
  <c r="T2953" i="127"/>
  <c r="T2519" i="127"/>
  <c r="L264" i="134" s="1"/>
  <c r="S1891" i="127"/>
  <c r="T1891" i="127" s="1"/>
  <c r="T3103" i="127"/>
  <c r="S110" i="127"/>
  <c r="T110" i="127" s="1"/>
  <c r="S62" i="127"/>
  <c r="S231" i="127"/>
  <c r="S142" i="127"/>
  <c r="T142" i="127" s="1"/>
  <c r="T622" i="127"/>
  <c r="S954" i="127"/>
  <c r="S1502" i="127"/>
  <c r="T1502" i="127" s="1"/>
  <c r="S1119" i="127"/>
  <c r="T1119" i="127" s="1"/>
  <c r="S1947" i="127"/>
  <c r="T1947" i="127" s="1"/>
  <c r="T114" i="127"/>
  <c r="T97" i="127"/>
  <c r="S316" i="127"/>
  <c r="T316" i="127" s="1"/>
  <c r="T718" i="127"/>
  <c r="S68" i="127"/>
  <c r="S180" i="127"/>
  <c r="T180" i="127" s="1"/>
  <c r="S284" i="127"/>
  <c r="T284" i="127" s="1"/>
  <c r="S444" i="127"/>
  <c r="T444" i="127" s="1"/>
  <c r="S232" i="127"/>
  <c r="T232" i="127" s="1"/>
  <c r="S389" i="127"/>
  <c r="T389" i="127" s="1"/>
  <c r="S515" i="127"/>
  <c r="T515" i="127" s="1"/>
  <c r="T2576" i="127"/>
  <c r="S116" i="127"/>
  <c r="S2578" i="127"/>
  <c r="T2578" i="127" s="1"/>
  <c r="S331" i="127"/>
  <c r="T331" i="127" s="1"/>
  <c r="S585" i="127"/>
  <c r="T585" i="127" s="1"/>
  <c r="S1021" i="127"/>
  <c r="T1021" i="127" s="1"/>
  <c r="T1168" i="127"/>
  <c r="S1142" i="127"/>
  <c r="T1142" i="127" s="1"/>
  <c r="S1167" i="127"/>
  <c r="T1167" i="127" s="1"/>
  <c r="S781" i="127"/>
  <c r="S79" i="127"/>
  <c r="S162" i="127"/>
  <c r="T162" i="127" s="1"/>
  <c r="S296" i="127"/>
  <c r="T296" i="127" s="1"/>
  <c r="S471" i="127"/>
  <c r="T471" i="127" s="1"/>
  <c r="S603" i="127"/>
  <c r="T603" i="127" s="1"/>
  <c r="S810" i="127"/>
  <c r="T810" i="127" s="1"/>
  <c r="S1042" i="127"/>
  <c r="T1042" i="127" s="1"/>
  <c r="S1152" i="127"/>
  <c r="T1152" i="127" s="1"/>
  <c r="S1403" i="127"/>
  <c r="T1403" i="127" s="1"/>
  <c r="S1423" i="127"/>
  <c r="T1423" i="127" s="1"/>
  <c r="S115" i="127"/>
  <c r="T115" i="127" s="1"/>
  <c r="S254" i="127"/>
  <c r="T254" i="127" s="1"/>
  <c r="S352" i="127"/>
  <c r="T352" i="127" s="1"/>
  <c r="S542" i="127"/>
  <c r="T542" i="127" s="1"/>
  <c r="S720" i="127"/>
  <c r="T720" i="127" s="1"/>
  <c r="S880" i="127"/>
  <c r="T880" i="127" s="1"/>
  <c r="S1136" i="127"/>
  <c r="S1354" i="127"/>
  <c r="T1354" i="127" s="1"/>
  <c r="S1294" i="127"/>
  <c r="T1294" i="127" s="1"/>
  <c r="S668" i="127"/>
  <c r="T668" i="127" s="1"/>
  <c r="S201" i="127"/>
  <c r="T201" i="127" s="1"/>
  <c r="S395" i="127"/>
  <c r="T395" i="127" s="1"/>
  <c r="S965" i="127"/>
  <c r="T965" i="127" s="1"/>
  <c r="S2709" i="127"/>
  <c r="T2709" i="127" s="1"/>
  <c r="S3055" i="127"/>
  <c r="T3055" i="127" s="1"/>
  <c r="S2605" i="127"/>
  <c r="S2807" i="127"/>
  <c r="T2807" i="127" s="1"/>
  <c r="S2739" i="127"/>
  <c r="S2981" i="127"/>
  <c r="T2981" i="127" s="1"/>
  <c r="S1601" i="127"/>
  <c r="AK297" i="123" s="1"/>
  <c r="T1602" i="127"/>
  <c r="T1808" i="127"/>
  <c r="S937" i="127"/>
  <c r="T937" i="127" s="1"/>
  <c r="T1107" i="127"/>
  <c r="T1351" i="127"/>
  <c r="T1590" i="127"/>
  <c r="T1809" i="127"/>
  <c r="S875" i="127"/>
  <c r="S1011" i="127"/>
  <c r="T1011" i="127" s="1"/>
  <c r="T1237" i="127"/>
  <c r="T1501" i="127"/>
  <c r="T1693" i="127"/>
  <c r="S2855" i="127"/>
  <c r="T2855" i="127" s="1"/>
  <c r="S2728" i="127"/>
  <c r="S1859" i="127"/>
  <c r="T1859" i="127" s="1"/>
  <c r="S2275" i="127"/>
  <c r="T2275" i="127" s="1"/>
  <c r="S2503" i="127"/>
  <c r="T2503" i="127" s="1"/>
  <c r="S2641" i="127"/>
  <c r="T2641" i="127" s="1"/>
  <c r="S2823" i="127"/>
  <c r="T2823" i="127" s="1"/>
  <c r="S3057" i="127"/>
  <c r="T3057" i="127" s="1"/>
  <c r="S1733" i="127"/>
  <c r="S2126" i="127"/>
  <c r="T2126" i="127" s="1"/>
  <c r="S2341" i="127"/>
  <c r="T2341" i="127" s="1"/>
  <c r="S2539" i="127"/>
  <c r="T2539" i="127" s="1"/>
  <c r="S2938" i="127"/>
  <c r="T2938" i="127" s="1"/>
  <c r="S2392" i="127"/>
  <c r="T2392" i="127" s="1"/>
  <c r="S1992" i="127"/>
  <c r="T1992" i="127" s="1"/>
  <c r="S2922" i="127"/>
  <c r="S3144" i="127"/>
  <c r="T3144" i="127" s="1"/>
  <c r="S3140" i="127"/>
  <c r="T3140" i="127" s="1"/>
  <c r="S3030" i="127"/>
  <c r="T3030" i="127" s="1"/>
  <c r="S2989" i="127"/>
  <c r="T2979" i="127"/>
  <c r="T3147" i="127"/>
  <c r="T2830" i="127"/>
  <c r="T3072" i="127"/>
  <c r="S221" i="127"/>
  <c r="AK54" i="123" s="1"/>
  <c r="S654" i="127"/>
  <c r="T654" i="127" s="1"/>
  <c r="S804" i="127"/>
  <c r="T804" i="127" s="1"/>
  <c r="S953" i="127"/>
  <c r="T953" i="127" s="1"/>
  <c r="S1114" i="127"/>
  <c r="T1114" i="127" s="1"/>
  <c r="S1547" i="127"/>
  <c r="T1547" i="127" s="1"/>
  <c r="S1768" i="127"/>
  <c r="T1768" i="127" s="1"/>
  <c r="S2018" i="127"/>
  <c r="T2018" i="127" s="1"/>
  <c r="T2061" i="127"/>
  <c r="S592" i="127"/>
  <c r="S717" i="127"/>
  <c r="T717" i="127" s="1"/>
  <c r="S874" i="127"/>
  <c r="T874" i="127" s="1"/>
  <c r="S1025" i="127"/>
  <c r="T1025" i="127" s="1"/>
  <c r="S1220" i="127"/>
  <c r="T1220" i="127" s="1"/>
  <c r="S1411" i="127"/>
  <c r="T1411" i="127" s="1"/>
  <c r="S1635" i="127"/>
  <c r="T1635" i="127" s="1"/>
  <c r="S1862" i="127"/>
  <c r="T1862" i="127" s="1"/>
  <c r="T2160" i="127"/>
  <c r="S2770" i="127"/>
  <c r="T2770" i="127" s="1"/>
  <c r="S3016" i="127"/>
  <c r="T3016" i="127" s="1"/>
  <c r="T3109" i="127"/>
  <c r="S2866" i="127"/>
  <c r="T2866" i="127" s="1"/>
  <c r="S2692" i="127"/>
  <c r="S2749" i="127"/>
  <c r="S3013" i="127"/>
  <c r="T3013" i="127" s="1"/>
  <c r="S2837" i="127"/>
  <c r="T2837" i="127" s="1"/>
  <c r="S2714" i="127"/>
  <c r="S2918" i="127"/>
  <c r="T2918" i="127" s="1"/>
  <c r="S3127" i="127"/>
  <c r="T3127" i="127" s="1"/>
  <c r="S2811" i="127"/>
  <c r="T2811" i="127" s="1"/>
  <c r="S3041" i="127"/>
  <c r="T3041" i="127" s="1"/>
  <c r="S206" i="127"/>
  <c r="S407" i="127"/>
  <c r="T407" i="127" s="1"/>
  <c r="S602" i="127"/>
  <c r="T602" i="127" s="1"/>
  <c r="S778" i="127"/>
  <c r="T778" i="127" s="1"/>
  <c r="T1007" i="127"/>
  <c r="S1246" i="127"/>
  <c r="T1246" i="127" s="1"/>
  <c r="T1823" i="127"/>
  <c r="S297" i="127"/>
  <c r="T297" i="127" s="1"/>
  <c r="S481" i="127"/>
  <c r="S676" i="127"/>
  <c r="T676" i="127" s="1"/>
  <c r="T945" i="127"/>
  <c r="T1129" i="127"/>
  <c r="T1825" i="127"/>
  <c r="T1182" i="127"/>
  <c r="S1538" i="127"/>
  <c r="T1538" i="127" s="1"/>
  <c r="T1802" i="127"/>
  <c r="S255" i="127"/>
  <c r="T255" i="127" s="1"/>
  <c r="S566" i="127"/>
  <c r="T566" i="127" s="1"/>
  <c r="S888" i="127"/>
  <c r="T888" i="127" s="1"/>
  <c r="S3129" i="127"/>
  <c r="T3129" i="127" s="1"/>
  <c r="S2716" i="127"/>
  <c r="S1696" i="127"/>
  <c r="T1696" i="127" s="1"/>
  <c r="S1225" i="127"/>
  <c r="T2492" i="127"/>
  <c r="T2494" i="127"/>
  <c r="T2214" i="127"/>
  <c r="S2856" i="127"/>
  <c r="T2856" i="127" s="1"/>
  <c r="S2730" i="127"/>
  <c r="S3071" i="127"/>
  <c r="T3071" i="127" s="1"/>
  <c r="S2951" i="127"/>
  <c r="T2951" i="127" s="1"/>
  <c r="S2721" i="127"/>
  <c r="S2933" i="127"/>
  <c r="T2933" i="127" s="1"/>
  <c r="S3046" i="127"/>
  <c r="T3046" i="127" s="1"/>
  <c r="S841" i="127"/>
  <c r="T841" i="127" s="1"/>
  <c r="S982" i="127"/>
  <c r="T982" i="127" s="1"/>
  <c r="S1190" i="127"/>
  <c r="T1190" i="127" s="1"/>
  <c r="S1493" i="127"/>
  <c r="T1493" i="127" s="1"/>
  <c r="S1723" i="127"/>
  <c r="T1723" i="127" s="1"/>
  <c r="S2083" i="127"/>
  <c r="T2083" i="127" s="1"/>
  <c r="S2381" i="127"/>
  <c r="T2381" i="127" s="1"/>
  <c r="S2487" i="127"/>
  <c r="T2487" i="127" s="1"/>
  <c r="S2812" i="127"/>
  <c r="T2812" i="127" s="1"/>
  <c r="S767" i="127"/>
  <c r="S899" i="127"/>
  <c r="T899" i="127" s="1"/>
  <c r="S1089" i="127"/>
  <c r="T1089" i="127" s="1"/>
  <c r="S1368" i="127"/>
  <c r="T1368" i="127" s="1"/>
  <c r="S1597" i="127"/>
  <c r="T1597" i="127" s="1"/>
  <c r="S1919" i="127"/>
  <c r="T1919" i="127" s="1"/>
  <c r="S2281" i="127"/>
  <c r="T2281" i="127" s="1"/>
  <c r="S2424" i="127"/>
  <c r="T2424" i="127" s="1"/>
  <c r="S2715" i="127"/>
  <c r="T2715" i="127" s="1"/>
  <c r="S3042" i="127"/>
  <c r="T3042" i="127" s="1"/>
  <c r="L227" i="134"/>
  <c r="L229" i="134"/>
  <c r="K180" i="134"/>
  <c r="K105" i="134"/>
  <c r="K174" i="134"/>
  <c r="L239" i="134"/>
  <c r="K239" i="134"/>
  <c r="K241" i="134"/>
  <c r="L252" i="134"/>
  <c r="K252" i="134"/>
  <c r="L254" i="134"/>
  <c r="K254" i="134"/>
  <c r="L261" i="134"/>
  <c r="K261" i="134"/>
  <c r="L271" i="134"/>
  <c r="K271" i="134"/>
  <c r="L269" i="134"/>
  <c r="K269" i="134"/>
  <c r="L246" i="134"/>
  <c r="K246" i="134"/>
  <c r="L255" i="134"/>
  <c r="K255" i="134"/>
  <c r="L250" i="134"/>
  <c r="K250" i="134"/>
  <c r="L258" i="134"/>
  <c r="K258" i="134"/>
  <c r="L238" i="134"/>
  <c r="K238" i="134"/>
  <c r="L268" i="134"/>
  <c r="K268" i="134"/>
  <c r="L270" i="134"/>
  <c r="K270" i="134"/>
  <c r="L248" i="134"/>
  <c r="K248" i="134"/>
  <c r="L257" i="134"/>
  <c r="K257" i="134"/>
  <c r="K265" i="134"/>
  <c r="L251" i="134"/>
  <c r="K251" i="134"/>
  <c r="K242" i="134"/>
  <c r="L245" i="134"/>
  <c r="K245" i="134"/>
  <c r="K274" i="134"/>
  <c r="L243" i="134"/>
  <c r="K243" i="134"/>
  <c r="K256" i="134"/>
  <c r="L249" i="134"/>
  <c r="K249" i="134"/>
  <c r="L259" i="134"/>
  <c r="K259" i="134"/>
  <c r="L260" i="134"/>
  <c r="K260" i="134"/>
  <c r="L263" i="134"/>
  <c r="K263" i="134"/>
  <c r="L244" i="134"/>
  <c r="K244" i="134"/>
  <c r="L275" i="134"/>
  <c r="K275" i="134"/>
  <c r="L266" i="134"/>
  <c r="K266" i="134"/>
  <c r="L274" i="134"/>
  <c r="L204" i="134"/>
  <c r="K204" i="134"/>
  <c r="K96" i="134"/>
  <c r="L7" i="134"/>
  <c r="K7" i="134"/>
  <c r="L160" i="134"/>
  <c r="K160" i="134"/>
  <c r="K224" i="134"/>
  <c r="L220" i="134"/>
  <c r="K220" i="134"/>
  <c r="L202" i="134"/>
  <c r="K202" i="134"/>
  <c r="L201" i="134"/>
  <c r="K201" i="134"/>
  <c r="L188" i="134"/>
  <c r="K230" i="134"/>
  <c r="L221" i="134"/>
  <c r="K221" i="134"/>
  <c r="L174" i="134"/>
  <c r="L179" i="134"/>
  <c r="L230" i="134"/>
  <c r="K183" i="134"/>
  <c r="K227" i="134"/>
  <c r="L183" i="134"/>
  <c r="K219" i="134"/>
  <c r="K41" i="134"/>
  <c r="K222" i="134"/>
  <c r="L184" i="134"/>
  <c r="K184" i="134"/>
  <c r="L200" i="134"/>
  <c r="K200" i="134"/>
  <c r="L186" i="134"/>
  <c r="K186" i="134"/>
  <c r="L169" i="134"/>
  <c r="K169" i="134"/>
  <c r="K92" i="134"/>
  <c r="K79" i="134"/>
  <c r="L196" i="134"/>
  <c r="K196" i="134"/>
  <c r="L222" i="134"/>
  <c r="L187" i="134"/>
  <c r="K187" i="134"/>
  <c r="L191" i="134"/>
  <c r="K191" i="134"/>
  <c r="L189" i="134"/>
  <c r="K189" i="134"/>
  <c r="L194" i="134"/>
  <c r="K194" i="134"/>
  <c r="L198" i="134"/>
  <c r="K198" i="134"/>
  <c r="L165" i="134"/>
  <c r="K165" i="134"/>
  <c r="L178" i="134"/>
  <c r="K178" i="134"/>
  <c r="L185" i="134"/>
  <c r="K185" i="134"/>
  <c r="L24" i="134"/>
  <c r="K24" i="134"/>
  <c r="K36" i="134"/>
  <c r="L86" i="134"/>
  <c r="K86" i="134"/>
  <c r="AG4" i="123"/>
  <c r="AJ4" i="123" s="1"/>
  <c r="S493" i="127" l="1"/>
  <c r="AK73" i="123" s="1"/>
  <c r="S199" i="127"/>
  <c r="S2217" i="127"/>
  <c r="T2217" i="127" s="1"/>
  <c r="S2673" i="127"/>
  <c r="D9" i="146" s="1"/>
  <c r="D16" i="146" s="1"/>
  <c r="D35" i="146" s="1"/>
  <c r="D37" i="146" s="1"/>
  <c r="D39" i="146" s="1"/>
  <c r="C25" i="148" s="1"/>
  <c r="C26" i="148" s="1"/>
  <c r="C33" i="148" s="1"/>
  <c r="AH12" i="123"/>
  <c r="AH202" i="123"/>
  <c r="T481" i="127"/>
  <c r="T1585" i="127"/>
  <c r="T1136" i="127"/>
  <c r="T231" i="127"/>
  <c r="AK26" i="123"/>
  <c r="AH68" i="123"/>
  <c r="X68" i="123"/>
  <c r="AH405" i="123"/>
  <c r="X405" i="123"/>
  <c r="AU102" i="123"/>
  <c r="AU430" i="123"/>
  <c r="AQ430" i="123"/>
  <c r="AR430" i="123" s="1"/>
  <c r="AS430" i="123" s="1"/>
  <c r="AT430" i="123" s="1"/>
  <c r="X54" i="123"/>
  <c r="AH54" i="123"/>
  <c r="AH164" i="123"/>
  <c r="X164" i="123"/>
  <c r="AH398" i="123"/>
  <c r="X398" i="123"/>
  <c r="AH186" i="123"/>
  <c r="X186" i="123"/>
  <c r="AH218" i="123"/>
  <c r="X218" i="123"/>
  <c r="AK458" i="123"/>
  <c r="AL409" i="123"/>
  <c r="AO409" i="123" s="1"/>
  <c r="AK393" i="123"/>
  <c r="AO39" i="123"/>
  <c r="AP39" i="123" s="1"/>
  <c r="AM39" i="123"/>
  <c r="AK417" i="123"/>
  <c r="AK19" i="123"/>
  <c r="AN19" i="123" s="1"/>
  <c r="AK399" i="123"/>
  <c r="AK443" i="123"/>
  <c r="AN443" i="123" s="1"/>
  <c r="AK442" i="123"/>
  <c r="AN442" i="123" s="1"/>
  <c r="AK6" i="123"/>
  <c r="AN6" i="123" s="1"/>
  <c r="AK363" i="123"/>
  <c r="AK405" i="123"/>
  <c r="AK397" i="123"/>
  <c r="AN393" i="123"/>
  <c r="AK12" i="123"/>
  <c r="AK308" i="123"/>
  <c r="AK172" i="123"/>
  <c r="AK232" i="123"/>
  <c r="AN16" i="123"/>
  <c r="AN321" i="123"/>
  <c r="AN110" i="123"/>
  <c r="AN98" i="123"/>
  <c r="AN370" i="123"/>
  <c r="T495" i="127"/>
  <c r="AL91" i="123" s="1"/>
  <c r="AO91" i="123" s="1"/>
  <c r="AK91" i="123"/>
  <c r="AN341" i="123"/>
  <c r="AN72" i="123"/>
  <c r="T4460" i="127"/>
  <c r="AK402" i="123"/>
  <c r="AN261" i="123"/>
  <c r="AK250" i="123"/>
  <c r="AN242" i="123"/>
  <c r="AN206" i="123"/>
  <c r="AN369" i="123"/>
  <c r="AN80" i="123"/>
  <c r="AN458" i="123"/>
  <c r="AN185" i="123"/>
  <c r="AN337" i="123"/>
  <c r="AN38" i="123"/>
  <c r="AN11" i="123"/>
  <c r="AN267" i="123"/>
  <c r="AN231" i="123"/>
  <c r="AN21" i="123"/>
  <c r="AK170" i="123"/>
  <c r="AK452" i="123"/>
  <c r="AM346" i="123"/>
  <c r="AP414" i="123"/>
  <c r="AK403" i="123"/>
  <c r="AK217" i="123"/>
  <c r="AK160" i="123"/>
  <c r="AK396" i="123"/>
  <c r="AK406" i="123"/>
  <c r="AK164" i="123"/>
  <c r="AK29" i="123"/>
  <c r="AK218" i="123"/>
  <c r="AK17" i="123"/>
  <c r="AN168" i="123"/>
  <c r="AN277" i="123"/>
  <c r="AK434" i="123"/>
  <c r="T2606" i="127"/>
  <c r="AL326" i="123" s="1"/>
  <c r="AO326" i="123" s="1"/>
  <c r="AK326" i="123"/>
  <c r="AN156" i="123"/>
  <c r="AN291" i="123"/>
  <c r="AN324" i="123"/>
  <c r="AN425" i="123"/>
  <c r="T2183" i="127"/>
  <c r="AL249" i="123" s="1"/>
  <c r="AO249" i="123" s="1"/>
  <c r="AK249" i="123"/>
  <c r="AN383" i="123"/>
  <c r="AN292" i="123"/>
  <c r="T3107" i="127"/>
  <c r="AL361" i="123" s="1"/>
  <c r="AO361" i="123" s="1"/>
  <c r="AK361" i="123"/>
  <c r="AN348" i="123"/>
  <c r="T2427" i="127"/>
  <c r="AL345" i="123" s="1"/>
  <c r="AO345" i="123" s="1"/>
  <c r="AK345" i="123"/>
  <c r="AN241" i="123"/>
  <c r="AK449" i="123"/>
  <c r="AN130" i="123"/>
  <c r="AN195" i="123"/>
  <c r="AK497" i="123"/>
  <c r="AN417" i="123"/>
  <c r="AN73" i="123"/>
  <c r="AK409" i="123"/>
  <c r="AM414" i="123"/>
  <c r="AN54" i="123"/>
  <c r="AK303" i="123"/>
  <c r="AN399" i="123"/>
  <c r="AN363" i="123"/>
  <c r="AN214" i="123"/>
  <c r="AN26" i="123"/>
  <c r="AN65" i="123"/>
  <c r="AK426" i="123"/>
  <c r="AN86" i="123"/>
  <c r="AK446" i="123"/>
  <c r="AN256" i="123"/>
  <c r="AN235" i="123"/>
  <c r="AN189" i="123"/>
  <c r="T3850" i="127"/>
  <c r="AL510" i="123" s="1"/>
  <c r="AO510" i="123" s="1"/>
  <c r="AK510" i="123"/>
  <c r="AK483" i="123"/>
  <c r="AN176" i="123"/>
  <c r="T2387" i="127"/>
  <c r="AL157" i="123" s="1"/>
  <c r="AO157" i="123" s="1"/>
  <c r="AK157" i="123"/>
  <c r="AK474" i="123"/>
  <c r="AK445" i="123"/>
  <c r="AN81" i="123"/>
  <c r="AN57" i="123"/>
  <c r="T633" i="127"/>
  <c r="AL40" i="123" s="1"/>
  <c r="AO40" i="123" s="1"/>
  <c r="AK40" i="123"/>
  <c r="AN344" i="123"/>
  <c r="AN181" i="123"/>
  <c r="AN352" i="123"/>
  <c r="AK468" i="123"/>
  <c r="AK465" i="123"/>
  <c r="T3197" i="127"/>
  <c r="AL437" i="123" s="1"/>
  <c r="AO437" i="123" s="1"/>
  <c r="AK437" i="123"/>
  <c r="AN177" i="123"/>
  <c r="AN169" i="123"/>
  <c r="AN204" i="123"/>
  <c r="T2486" i="127"/>
  <c r="AK307" i="123"/>
  <c r="AK227" i="123"/>
  <c r="AK418" i="123"/>
  <c r="T3522" i="127"/>
  <c r="AL453" i="123" s="1"/>
  <c r="AO453" i="123" s="1"/>
  <c r="AK453" i="123"/>
  <c r="T2468" i="127"/>
  <c r="T2673" i="127"/>
  <c r="AL356" i="123" s="1"/>
  <c r="AO356" i="123" s="1"/>
  <c r="AK356" i="123"/>
  <c r="AP100" i="123"/>
  <c r="AU100" i="123" s="1"/>
  <c r="AP411" i="123"/>
  <c r="AU411" i="123" s="1"/>
  <c r="AK398" i="123"/>
  <c r="AK68" i="123"/>
  <c r="AK407" i="123"/>
  <c r="AK404" i="123"/>
  <c r="AK202" i="123"/>
  <c r="AN297" i="123"/>
  <c r="AK395" i="123"/>
  <c r="AL92" i="123"/>
  <c r="AO92" i="123" s="1"/>
  <c r="AK143" i="123"/>
  <c r="AN281" i="123"/>
  <c r="AK420" i="123"/>
  <c r="AN332" i="123"/>
  <c r="AN45" i="123"/>
  <c r="AN450" i="123"/>
  <c r="AN373" i="123"/>
  <c r="AN381" i="123"/>
  <c r="AN192" i="123"/>
  <c r="AN336" i="123"/>
  <c r="AN142" i="123"/>
  <c r="AN375" i="123"/>
  <c r="AN127" i="123"/>
  <c r="AN325" i="123"/>
  <c r="T3646" i="127"/>
  <c r="AL482" i="123" s="1"/>
  <c r="AO482" i="123" s="1"/>
  <c r="AK482" i="123"/>
  <c r="AN310" i="123"/>
  <c r="AN191" i="123"/>
  <c r="T2357" i="127"/>
  <c r="AL10" i="123" s="1"/>
  <c r="AO10" i="123" s="1"/>
  <c r="AK10" i="123"/>
  <c r="AN382" i="123"/>
  <c r="AP346" i="123"/>
  <c r="AU346" i="123" s="1"/>
  <c r="AM100" i="123"/>
  <c r="AM411" i="123"/>
  <c r="T199" i="127"/>
  <c r="AL43" i="123" s="1"/>
  <c r="AO43" i="123" s="1"/>
  <c r="AK43" i="123"/>
  <c r="T2941" i="127"/>
  <c r="AL321" i="123" s="1"/>
  <c r="AO321" i="123" s="1"/>
  <c r="T2710" i="127"/>
  <c r="AL281" i="123" s="1"/>
  <c r="AO281" i="123" s="1"/>
  <c r="T852" i="127"/>
  <c r="AL156" i="123" s="1"/>
  <c r="AO156" i="123" s="1"/>
  <c r="T3163" i="127"/>
  <c r="AL420" i="123" s="1"/>
  <c r="AO420" i="123" s="1"/>
  <c r="AL442" i="123"/>
  <c r="AO442" i="123" s="1"/>
  <c r="T1010" i="127"/>
  <c r="AL189" i="123" s="1"/>
  <c r="AO189" i="123" s="1"/>
  <c r="T3273" i="127"/>
  <c r="AL425" i="123" s="1"/>
  <c r="AO425" i="123" s="1"/>
  <c r="T1356" i="127"/>
  <c r="AL176" i="123" s="1"/>
  <c r="AO176" i="123" s="1"/>
  <c r="T3767" i="127"/>
  <c r="T3645" i="127"/>
  <c r="AL474" i="123" s="1"/>
  <c r="AO474" i="123" s="1"/>
  <c r="T411" i="127"/>
  <c r="AL81" i="123" s="1"/>
  <c r="AO81" i="123" s="1"/>
  <c r="T600" i="127"/>
  <c r="AL57" i="123" s="1"/>
  <c r="AO57" i="123" s="1"/>
  <c r="T1781" i="127"/>
  <c r="AL292" i="123" s="1"/>
  <c r="AO292" i="123" s="1"/>
  <c r="T2620" i="127"/>
  <c r="AL261" i="123" s="1"/>
  <c r="AO261" i="123" s="1"/>
  <c r="T2707" i="127"/>
  <c r="AL348" i="123" s="1"/>
  <c r="AO348" i="123" s="1"/>
  <c r="T2791" i="127"/>
  <c r="AL369" i="123" s="1"/>
  <c r="AO369" i="123" s="1"/>
  <c r="T3510" i="127"/>
  <c r="AL465" i="123" s="1"/>
  <c r="AO465" i="123" s="1"/>
  <c r="T966" i="127"/>
  <c r="AL177" i="123" s="1"/>
  <c r="AO177" i="123" s="1"/>
  <c r="T697" i="127"/>
  <c r="AL130" i="123" s="1"/>
  <c r="AO130" i="123" s="1"/>
  <c r="T3477" i="127"/>
  <c r="AL458" i="123" s="1"/>
  <c r="AO458" i="123" s="1"/>
  <c r="T1435" i="127"/>
  <c r="AL185" i="123" s="1"/>
  <c r="AO185" i="123" s="1"/>
  <c r="T1591" i="127"/>
  <c r="AL227" i="123" s="1"/>
  <c r="AO227" i="123" s="1"/>
  <c r="T3310" i="127"/>
  <c r="AL418" i="123" s="1"/>
  <c r="AO418" i="123" s="1"/>
  <c r="T3464" i="127"/>
  <c r="AL417" i="123" s="1"/>
  <c r="AO417" i="123" s="1"/>
  <c r="T3427" i="127"/>
  <c r="T2821" i="127"/>
  <c r="AL277" i="123" s="1"/>
  <c r="AO277" i="123" s="1"/>
  <c r="T1082" i="127"/>
  <c r="AL86" i="123" s="1"/>
  <c r="AO86" i="123" s="1"/>
  <c r="T2733" i="127"/>
  <c r="AL291" i="123" s="1"/>
  <c r="AO291" i="123" s="1"/>
  <c r="T2133" i="127"/>
  <c r="AL256" i="123" s="1"/>
  <c r="AO256" i="123" s="1"/>
  <c r="T1638" i="127"/>
  <c r="AL235" i="123" s="1"/>
  <c r="AO235" i="123" s="1"/>
  <c r="T3670" i="127"/>
  <c r="AL483" i="123" s="1"/>
  <c r="AO483" i="123" s="1"/>
  <c r="T472" i="127"/>
  <c r="AL45" i="123" s="1"/>
  <c r="AO45" i="123" s="1"/>
  <c r="T2760" i="127"/>
  <c r="AL373" i="123" s="1"/>
  <c r="AO373" i="123" s="1"/>
  <c r="T2526" i="127"/>
  <c r="AL381" i="123" s="1"/>
  <c r="AO381" i="123" s="1"/>
  <c r="T1667" i="127"/>
  <c r="T1002" i="127"/>
  <c r="AL181" i="123" s="1"/>
  <c r="AO181" i="123" s="1"/>
  <c r="T2423" i="127"/>
  <c r="AL352" i="123" s="1"/>
  <c r="AO352" i="123" s="1"/>
  <c r="T3533" i="127"/>
  <c r="AL468" i="123" s="1"/>
  <c r="AO468" i="123" s="1"/>
  <c r="T1572" i="127"/>
  <c r="AL241" i="123" s="1"/>
  <c r="AO241" i="123" s="1"/>
  <c r="T3377" i="127"/>
  <c r="AL449" i="123" s="1"/>
  <c r="AO449" i="123" s="1"/>
  <c r="T889" i="127"/>
  <c r="AL169" i="123" s="1"/>
  <c r="AO169" i="123" s="1"/>
  <c r="T1078" i="127"/>
  <c r="AL195" i="123" s="1"/>
  <c r="AO195" i="123" s="1"/>
  <c r="S3489" i="127"/>
  <c r="T3489" i="127" s="1"/>
  <c r="S332" i="127"/>
  <c r="AK56" i="123" s="1"/>
  <c r="S1100" i="127"/>
  <c r="AK89" i="123" s="1"/>
  <c r="S1663" i="127"/>
  <c r="AK30" i="123" s="1"/>
  <c r="S2310" i="127"/>
  <c r="S624" i="127"/>
  <c r="AK50" i="123" s="1"/>
  <c r="S747" i="127"/>
  <c r="AK18" i="123" s="1"/>
  <c r="S2703" i="127"/>
  <c r="AK376" i="123" s="1"/>
  <c r="S2108" i="127"/>
  <c r="S605" i="127"/>
  <c r="T605" i="127" s="1"/>
  <c r="T1784" i="127"/>
  <c r="AL337" i="123" s="1"/>
  <c r="AO337" i="123" s="1"/>
  <c r="T2546" i="127"/>
  <c r="AL310" i="123" s="1"/>
  <c r="AO310" i="123" s="1"/>
  <c r="K267" i="134"/>
  <c r="T1060" i="127"/>
  <c r="AL191" i="123" s="1"/>
  <c r="AO191" i="123" s="1"/>
  <c r="T1359" i="127"/>
  <c r="AL65" i="123" s="1"/>
  <c r="AO65" i="123" s="1"/>
  <c r="T2957" i="127"/>
  <c r="AL370" i="123" s="1"/>
  <c r="AO370" i="123" s="1"/>
  <c r="T418" i="127"/>
  <c r="AL19" i="123" s="1"/>
  <c r="AO19" i="123" s="1"/>
  <c r="S4282" i="127"/>
  <c r="AK46" i="123" s="1"/>
  <c r="S3507" i="127"/>
  <c r="T3507" i="127" s="1"/>
  <c r="S4046" i="127"/>
  <c r="T4046" i="127" s="1"/>
  <c r="T2755" i="127"/>
  <c r="AL341" i="123" s="1"/>
  <c r="AO341" i="123" s="1"/>
  <c r="K288" i="134"/>
  <c r="T3394" i="127"/>
  <c r="AL445" i="123" s="1"/>
  <c r="AO445" i="123" s="1"/>
  <c r="T997" i="127"/>
  <c r="AL72" i="123" s="1"/>
  <c r="AO72" i="123" s="1"/>
  <c r="T1699" i="127"/>
  <c r="AL250" i="123" s="1"/>
  <c r="AO250" i="123" s="1"/>
  <c r="T2110" i="127"/>
  <c r="AL142" i="123" s="1"/>
  <c r="AO142" i="123" s="1"/>
  <c r="T2643" i="127"/>
  <c r="AL375" i="123" s="1"/>
  <c r="AO375" i="123" s="1"/>
  <c r="T1195" i="127"/>
  <c r="AL204" i="123" s="1"/>
  <c r="AO204" i="123" s="1"/>
  <c r="T3835" i="127"/>
  <c r="AL497" i="123" s="1"/>
  <c r="AO497" i="123" s="1"/>
  <c r="T279" i="127"/>
  <c r="AL38" i="123" s="1"/>
  <c r="AO38" i="123" s="1"/>
  <c r="T3156" i="127"/>
  <c r="AL325" i="123" s="1"/>
  <c r="AO325" i="123" s="1"/>
  <c r="T2001" i="127"/>
  <c r="AL267" i="123" s="1"/>
  <c r="AO267" i="123" s="1"/>
  <c r="S2360" i="127"/>
  <c r="AK282" i="123" s="1"/>
  <c r="S1911" i="127"/>
  <c r="T1911" i="127" s="1"/>
  <c r="S1047" i="127"/>
  <c r="T1047" i="127" s="1"/>
  <c r="S1037" i="127"/>
  <c r="T1426" i="127"/>
  <c r="AL231" i="123" s="1"/>
  <c r="AO231" i="123" s="1"/>
  <c r="T722" i="127"/>
  <c r="AL21" i="123" s="1"/>
  <c r="AO21" i="123" s="1"/>
  <c r="T2809" i="127"/>
  <c r="AL382" i="123" s="1"/>
  <c r="AO382" i="123" s="1"/>
  <c r="T3180" i="127"/>
  <c r="AL426" i="123" s="1"/>
  <c r="AO426" i="123" s="1"/>
  <c r="T3174" i="127"/>
  <c r="AL434" i="123" s="1"/>
  <c r="AO434" i="123" s="1"/>
  <c r="T546" i="127"/>
  <c r="AL110" i="123" s="1"/>
  <c r="AO110" i="123" s="1"/>
  <c r="T520" i="127"/>
  <c r="AL98" i="123" s="1"/>
  <c r="AO98" i="123" s="1"/>
  <c r="T3183" i="127"/>
  <c r="AL443" i="123" s="1"/>
  <c r="AO443" i="123" s="1"/>
  <c r="T2711" i="127"/>
  <c r="AL332" i="123" s="1"/>
  <c r="AO332" i="123" s="1"/>
  <c r="T3259" i="127"/>
  <c r="AL446" i="123" s="1"/>
  <c r="AO446" i="123" s="1"/>
  <c r="T1973" i="127"/>
  <c r="AL324" i="123" s="1"/>
  <c r="AO324" i="123" s="1"/>
  <c r="T2682" i="127"/>
  <c r="AL383" i="123" s="1"/>
  <c r="AO383" i="123" s="1"/>
  <c r="T1074" i="127"/>
  <c r="AL192" i="123" s="1"/>
  <c r="AO192" i="123" s="1"/>
  <c r="T2816" i="127"/>
  <c r="AL344" i="123" s="1"/>
  <c r="AO344" i="123" s="1"/>
  <c r="K290" i="134"/>
  <c r="T3011" i="127"/>
  <c r="AL336" i="123" s="1"/>
  <c r="AO336" i="123" s="1"/>
  <c r="T1535" i="127"/>
  <c r="AL242" i="123" s="1"/>
  <c r="AO242" i="123" s="1"/>
  <c r="T2116" i="127"/>
  <c r="AL206" i="123" s="1"/>
  <c r="AO206" i="123" s="1"/>
  <c r="T1033" i="127"/>
  <c r="AL80" i="123" s="1"/>
  <c r="AO80" i="123" s="1"/>
  <c r="T913" i="127"/>
  <c r="AL127" i="123" s="1"/>
  <c r="AO127" i="123" s="1"/>
  <c r="T141" i="127"/>
  <c r="AL11" i="123" s="1"/>
  <c r="AO11" i="123" s="1"/>
  <c r="T493" i="127"/>
  <c r="AL73" i="123" s="1"/>
  <c r="AO73" i="123" s="1"/>
  <c r="T1436" i="127"/>
  <c r="AL170" i="123" s="1"/>
  <c r="AO170" i="123" s="1"/>
  <c r="S3185" i="127"/>
  <c r="T3185" i="127" s="1"/>
  <c r="S3227" i="127"/>
  <c r="T3227" i="127" s="1"/>
  <c r="S327" i="127"/>
  <c r="AK55" i="123" s="1"/>
  <c r="S1900" i="127"/>
  <c r="AK285" i="123" s="1"/>
  <c r="S1234" i="127"/>
  <c r="S1727" i="127"/>
  <c r="T1727" i="127" s="1"/>
  <c r="T786" i="127"/>
  <c r="AL26" i="123" s="1"/>
  <c r="AO26" i="123" s="1"/>
  <c r="K193" i="134"/>
  <c r="T704" i="127"/>
  <c r="AL13" i="123" s="1"/>
  <c r="AO13" i="123" s="1"/>
  <c r="K225" i="134"/>
  <c r="K285" i="134"/>
  <c r="T1101" i="127"/>
  <c r="T1258" i="127"/>
  <c r="T530" i="127"/>
  <c r="AL16" i="123" s="1"/>
  <c r="AO16" i="123" s="1"/>
  <c r="K173" i="134"/>
  <c r="K286" i="134"/>
  <c r="T473" i="127"/>
  <c r="S3091" i="127"/>
  <c r="AK302" i="123" s="1"/>
  <c r="S905" i="127"/>
  <c r="AK115" i="123" s="1"/>
  <c r="S563" i="127"/>
  <c r="AK36" i="123" s="1"/>
  <c r="S1567" i="127"/>
  <c r="AK184" i="123" s="1"/>
  <c r="S1442" i="127"/>
  <c r="AK7" i="123" s="1"/>
  <c r="X4" i="123"/>
  <c r="T2730" i="127"/>
  <c r="AL405" i="123" s="1"/>
  <c r="AO405" i="123" s="1"/>
  <c r="T2714" i="127"/>
  <c r="AL397" i="123" s="1"/>
  <c r="AO397" i="123" s="1"/>
  <c r="T2692" i="127"/>
  <c r="AL393" i="123" s="1"/>
  <c r="AO393" i="123" s="1"/>
  <c r="T2989" i="127"/>
  <c r="AL404" i="123" s="1"/>
  <c r="AO404" i="123" s="1"/>
  <c r="T2922" i="127"/>
  <c r="AL412" i="123" s="1"/>
  <c r="AO412" i="123" s="1"/>
  <c r="T875" i="127"/>
  <c r="AL202" i="123" s="1"/>
  <c r="AO202" i="123" s="1"/>
  <c r="T1601" i="127"/>
  <c r="AL297" i="123" s="1"/>
  <c r="AO297" i="123" s="1"/>
  <c r="T2605" i="127"/>
  <c r="AL395" i="123" s="1"/>
  <c r="AO395" i="123" s="1"/>
  <c r="T62" i="127"/>
  <c r="T2610" i="127"/>
  <c r="AL363" i="123" s="1"/>
  <c r="AO363" i="123" s="1"/>
  <c r="T1004" i="127"/>
  <c r="AL214" i="123" s="1"/>
  <c r="AO214" i="123" s="1"/>
  <c r="T767" i="127"/>
  <c r="T2721" i="127"/>
  <c r="AL403" i="123" s="1"/>
  <c r="AO403" i="123" s="1"/>
  <c r="T1225" i="127"/>
  <c r="AL217" i="123" s="1"/>
  <c r="AO217" i="123" s="1"/>
  <c r="T592" i="127"/>
  <c r="AL160" i="123" s="1"/>
  <c r="AO160" i="123" s="1"/>
  <c r="T79" i="127"/>
  <c r="AL12" i="123" s="1"/>
  <c r="AO12" i="123" s="1"/>
  <c r="T1748" i="127"/>
  <c r="AL308" i="123" s="1"/>
  <c r="AO308" i="123" s="1"/>
  <c r="T684" i="127"/>
  <c r="AL172" i="123" s="1"/>
  <c r="AO172" i="123" s="1"/>
  <c r="T281" i="127"/>
  <c r="T2728" i="127"/>
  <c r="AL396" i="123" s="1"/>
  <c r="AO396" i="123" s="1"/>
  <c r="T2739" i="127"/>
  <c r="AL406" i="123" s="1"/>
  <c r="AO406" i="123" s="1"/>
  <c r="T781" i="127"/>
  <c r="AL164" i="123" s="1"/>
  <c r="AO164" i="123" s="1"/>
  <c r="T116" i="127"/>
  <c r="AL29" i="123" s="1"/>
  <c r="AO29" i="123" s="1"/>
  <c r="T864" i="127"/>
  <c r="AL168" i="123" s="1"/>
  <c r="AO168" i="123" s="1"/>
  <c r="T1143" i="127"/>
  <c r="AL232" i="123" s="1"/>
  <c r="AO232" i="123" s="1"/>
  <c r="T2716" i="127"/>
  <c r="AL398" i="123" s="1"/>
  <c r="AO398" i="123" s="1"/>
  <c r="T206" i="127"/>
  <c r="AL68" i="123" s="1"/>
  <c r="AO68" i="123" s="1"/>
  <c r="T2749" i="127"/>
  <c r="AL407" i="123" s="1"/>
  <c r="AO407" i="123" s="1"/>
  <c r="T221" i="127"/>
  <c r="AL54" i="123" s="1"/>
  <c r="AO54" i="123" s="1"/>
  <c r="T2736" i="127"/>
  <c r="AL402" i="123" s="1"/>
  <c r="AO402" i="123" s="1"/>
  <c r="T1733" i="127"/>
  <c r="AL303" i="123" s="1"/>
  <c r="AO303" i="123" s="1"/>
  <c r="T68" i="127"/>
  <c r="AL6" i="123" s="1"/>
  <c r="AO6" i="123" s="1"/>
  <c r="T954" i="127"/>
  <c r="AL218" i="123" s="1"/>
  <c r="AO218" i="123" s="1"/>
  <c r="T2717" i="127"/>
  <c r="AL399" i="123" s="1"/>
  <c r="AO399" i="123" s="1"/>
  <c r="T614" i="127"/>
  <c r="AL143" i="123" s="1"/>
  <c r="AO143" i="123" s="1"/>
  <c r="S295" i="127"/>
  <c r="T295" i="127" s="1"/>
  <c r="S884" i="127"/>
  <c r="T884" i="127" s="1"/>
  <c r="S1839" i="127"/>
  <c r="T1839" i="127" s="1"/>
  <c r="T1840" i="127"/>
  <c r="T561" i="127"/>
  <c r="S1269" i="127"/>
  <c r="T1269" i="127" s="1"/>
  <c r="S128" i="127"/>
  <c r="S312" i="127"/>
  <c r="AK99" i="123" s="1"/>
  <c r="L265" i="134"/>
  <c r="L289" i="134"/>
  <c r="K289" i="134"/>
  <c r="K232" i="134"/>
  <c r="L232" i="134"/>
  <c r="D291" i="135"/>
  <c r="D257" i="135"/>
  <c r="E280" i="135"/>
  <c r="L224" i="134"/>
  <c r="K247" i="134"/>
  <c r="L247" i="134"/>
  <c r="L192" i="134"/>
  <c r="K192" i="134"/>
  <c r="L223" i="134"/>
  <c r="K223" i="134"/>
  <c r="L36" i="134"/>
  <c r="K16" i="134"/>
  <c r="L41" i="134"/>
  <c r="L168" i="134"/>
  <c r="K168" i="134"/>
  <c r="L171" i="134"/>
  <c r="K171" i="134"/>
  <c r="L172" i="134"/>
  <c r="K172" i="134"/>
  <c r="L190" i="134"/>
  <c r="K190" i="134"/>
  <c r="L57" i="134"/>
  <c r="K57" i="134"/>
  <c r="L170" i="134"/>
  <c r="K170" i="134"/>
  <c r="L181" i="134"/>
  <c r="K181" i="134"/>
  <c r="L99" i="134"/>
  <c r="K99" i="134"/>
  <c r="L84" i="134"/>
  <c r="K84" i="134"/>
  <c r="L108" i="134"/>
  <c r="K108" i="134"/>
  <c r="L35" i="134"/>
  <c r="K35" i="134"/>
  <c r="K19" i="134"/>
  <c r="L69" i="134"/>
  <c r="K69" i="134"/>
  <c r="L21" i="134"/>
  <c r="K21" i="134"/>
  <c r="L20" i="134"/>
  <c r="K20" i="134"/>
  <c r="L109" i="134"/>
  <c r="K109" i="134"/>
  <c r="L98" i="134"/>
  <c r="K98" i="134"/>
  <c r="L87" i="134"/>
  <c r="K87" i="134"/>
  <c r="L96" i="134"/>
  <c r="L91" i="134"/>
  <c r="AI4" i="123"/>
  <c r="I9" i="146" l="1"/>
  <c r="I16" i="146" s="1"/>
  <c r="I35" i="146" s="1"/>
  <c r="I37" i="146" s="1"/>
  <c r="I39" i="146" s="1"/>
  <c r="AK13" i="123"/>
  <c r="AN13" i="123" s="1"/>
  <c r="AK299" i="123"/>
  <c r="K9" i="146"/>
  <c r="K16" i="146" s="1"/>
  <c r="K35" i="146" s="1"/>
  <c r="K37" i="146" s="1"/>
  <c r="K39" i="146" s="1"/>
  <c r="J9" i="146"/>
  <c r="J16" i="146" s="1"/>
  <c r="J35" i="146" s="1"/>
  <c r="J37" i="146" s="1"/>
  <c r="J39" i="146" s="1"/>
  <c r="H9" i="146"/>
  <c r="H16" i="146" s="1"/>
  <c r="H35" i="146" s="1"/>
  <c r="H37" i="146" s="1"/>
  <c r="H39" i="146" s="1"/>
  <c r="AL17" i="123"/>
  <c r="AO17" i="123" s="1"/>
  <c r="G9" i="146"/>
  <c r="G16" i="146" s="1"/>
  <c r="G35" i="146" s="1"/>
  <c r="G37" i="146" s="1"/>
  <c r="G39" i="146" s="1"/>
  <c r="AQ102" i="123"/>
  <c r="AR102" i="123" s="1"/>
  <c r="AS102" i="123" s="1"/>
  <c r="AT102" i="123"/>
  <c r="AL221" i="123"/>
  <c r="AO221" i="123" s="1"/>
  <c r="AU39" i="123"/>
  <c r="AQ39" i="123"/>
  <c r="AR39" i="123" s="1"/>
  <c r="AS39" i="123" s="1"/>
  <c r="AT39" i="123"/>
  <c r="AL46" i="123"/>
  <c r="AO46" i="123" s="1"/>
  <c r="AL186" i="123"/>
  <c r="AO186" i="123" s="1"/>
  <c r="AK117" i="123"/>
  <c r="AN117" i="123" s="1"/>
  <c r="AK182" i="123"/>
  <c r="AN182" i="123" s="1"/>
  <c r="AM281" i="123"/>
  <c r="AN302" i="123"/>
  <c r="AN46" i="123"/>
  <c r="AN99" i="123"/>
  <c r="AN7" i="123"/>
  <c r="AN282" i="123"/>
  <c r="AN299" i="123"/>
  <c r="T2310" i="127"/>
  <c r="AL318" i="123" s="1"/>
  <c r="AO318" i="123" s="1"/>
  <c r="AK318" i="123"/>
  <c r="AL251" i="123"/>
  <c r="AO251" i="123" s="1"/>
  <c r="AT346" i="123"/>
  <c r="AQ346" i="123"/>
  <c r="AR346" i="123" s="1"/>
  <c r="AS346" i="123" s="1"/>
  <c r="AM310" i="123"/>
  <c r="AM325" i="123"/>
  <c r="AM375" i="123"/>
  <c r="AP336" i="123"/>
  <c r="AU336" i="123" s="1"/>
  <c r="AP381" i="123"/>
  <c r="AU381" i="123" s="1"/>
  <c r="AP332" i="123"/>
  <c r="AU332" i="123" s="1"/>
  <c r="AM395" i="123"/>
  <c r="AN395" i="123"/>
  <c r="AK412" i="123"/>
  <c r="AM398" i="123"/>
  <c r="AN398" i="123"/>
  <c r="AT100" i="123"/>
  <c r="AQ100" i="123"/>
  <c r="AR100" i="123" s="1"/>
  <c r="AS100" i="123" s="1"/>
  <c r="AM227" i="123"/>
  <c r="AN227" i="123"/>
  <c r="AM204" i="123"/>
  <c r="AM177" i="123"/>
  <c r="AM468" i="123"/>
  <c r="AN468" i="123"/>
  <c r="AM181" i="123"/>
  <c r="AM81" i="123"/>
  <c r="AM510" i="123"/>
  <c r="AN510" i="123"/>
  <c r="AP235" i="123"/>
  <c r="AU235" i="123" s="1"/>
  <c r="AM446" i="123"/>
  <c r="AN446" i="123"/>
  <c r="AP65" i="123"/>
  <c r="AU65" i="123" s="1"/>
  <c r="AP214" i="123"/>
  <c r="AU214" i="123" s="1"/>
  <c r="AP399" i="123"/>
  <c r="AU399" i="123" s="1"/>
  <c r="AM54" i="123"/>
  <c r="AM73" i="123"/>
  <c r="AP195" i="123"/>
  <c r="AU195" i="123" s="1"/>
  <c r="AM449" i="123"/>
  <c r="AN449" i="123"/>
  <c r="AM383" i="123"/>
  <c r="AM425" i="123"/>
  <c r="AM291" i="123"/>
  <c r="AP13" i="123"/>
  <c r="AN17" i="123"/>
  <c r="AM29" i="123"/>
  <c r="AN29" i="123"/>
  <c r="AM160" i="123"/>
  <c r="AN160" i="123"/>
  <c r="AQ414" i="123"/>
  <c r="AR414" i="123" s="1"/>
  <c r="AS414" i="123" s="1"/>
  <c r="AT414" i="123" s="1"/>
  <c r="AM170" i="123"/>
  <c r="AN170" i="123"/>
  <c r="AM231" i="123"/>
  <c r="AM11" i="123"/>
  <c r="AM337" i="123"/>
  <c r="AM458" i="123"/>
  <c r="AM369" i="123"/>
  <c r="AM242" i="123"/>
  <c r="AM402" i="123"/>
  <c r="AN402" i="123"/>
  <c r="AP341" i="123"/>
  <c r="AP19" i="123"/>
  <c r="AP370" i="123"/>
  <c r="AP98" i="123"/>
  <c r="AU98" i="123" s="1"/>
  <c r="AP321" i="123"/>
  <c r="AM232" i="123"/>
  <c r="AN232" i="123"/>
  <c r="AP393" i="123"/>
  <c r="AU393" i="123" s="1"/>
  <c r="AK4" i="123"/>
  <c r="AN4" i="123" s="1"/>
  <c r="AN184" i="123"/>
  <c r="AN376" i="123"/>
  <c r="AN30" i="123"/>
  <c r="AP382" i="123"/>
  <c r="AU382" i="123" s="1"/>
  <c r="AP191" i="123"/>
  <c r="AU191" i="123" s="1"/>
  <c r="AM482" i="123"/>
  <c r="AN482" i="123"/>
  <c r="AP127" i="123"/>
  <c r="AP142" i="123"/>
  <c r="AU142" i="123" s="1"/>
  <c r="AM336" i="123"/>
  <c r="AM381" i="123"/>
  <c r="AM332" i="123"/>
  <c r="AP297" i="123"/>
  <c r="AU297" i="123" s="1"/>
  <c r="AM404" i="123"/>
  <c r="AN404" i="123"/>
  <c r="AM356" i="123"/>
  <c r="AN356" i="123"/>
  <c r="AM453" i="123"/>
  <c r="AN453" i="123"/>
  <c r="AN307" i="123"/>
  <c r="AP169" i="123"/>
  <c r="AM437" i="123"/>
  <c r="AN437" i="123"/>
  <c r="AP352" i="123"/>
  <c r="AU352" i="123" s="1"/>
  <c r="AP344" i="123"/>
  <c r="AP57" i="123"/>
  <c r="AM445" i="123"/>
  <c r="AN445" i="123"/>
  <c r="AP176" i="123"/>
  <c r="AU176" i="123" s="1"/>
  <c r="AM235" i="123"/>
  <c r="AP86" i="123"/>
  <c r="AM65" i="123"/>
  <c r="AM214" i="123"/>
  <c r="AM399" i="123"/>
  <c r="AP417" i="123"/>
  <c r="AU417" i="123" s="1"/>
  <c r="AM195" i="123"/>
  <c r="AP241" i="123"/>
  <c r="AP348" i="123"/>
  <c r="AU348" i="123" s="1"/>
  <c r="AP292" i="123"/>
  <c r="AU292" i="123" s="1"/>
  <c r="AM249" i="123"/>
  <c r="AN249" i="123"/>
  <c r="AP324" i="123"/>
  <c r="AP156" i="123"/>
  <c r="AU156" i="123" s="1"/>
  <c r="AM434" i="123"/>
  <c r="AN434" i="123"/>
  <c r="AM13" i="123"/>
  <c r="AM218" i="123"/>
  <c r="AN218" i="123"/>
  <c r="AM164" i="123"/>
  <c r="AN164" i="123"/>
  <c r="AM217" i="123"/>
  <c r="AN217" i="123"/>
  <c r="AU414" i="123"/>
  <c r="AP21" i="123"/>
  <c r="AU21" i="123" s="1"/>
  <c r="AP267" i="123"/>
  <c r="AU267" i="123" s="1"/>
  <c r="AP38" i="123"/>
  <c r="AU38" i="123" s="1"/>
  <c r="AP185" i="123"/>
  <c r="AU185" i="123" s="1"/>
  <c r="AP80" i="123"/>
  <c r="AU80" i="123" s="1"/>
  <c r="AP206" i="123"/>
  <c r="AM250" i="123"/>
  <c r="AN250" i="123"/>
  <c r="AM341" i="123"/>
  <c r="AM19" i="123"/>
  <c r="AM370" i="123"/>
  <c r="AM98" i="123"/>
  <c r="AM321" i="123"/>
  <c r="AM172" i="123"/>
  <c r="AN172" i="123"/>
  <c r="AM393" i="123"/>
  <c r="AN36" i="123"/>
  <c r="AN285" i="123"/>
  <c r="AN18" i="123"/>
  <c r="AN89" i="123"/>
  <c r="AL452" i="123"/>
  <c r="AO452" i="123" s="1"/>
  <c r="E328" i="135" s="1"/>
  <c r="AL450" i="123"/>
  <c r="AM382" i="123"/>
  <c r="AM191" i="123"/>
  <c r="AM127" i="123"/>
  <c r="AM142" i="123"/>
  <c r="AP192" i="123"/>
  <c r="AU192" i="123" s="1"/>
  <c r="AP373" i="123"/>
  <c r="AU373" i="123" s="1"/>
  <c r="AP45" i="123"/>
  <c r="AU45" i="123" s="1"/>
  <c r="AM420" i="123"/>
  <c r="AN420" i="123"/>
  <c r="D205" i="135" s="1"/>
  <c r="AM143" i="123"/>
  <c r="AN143" i="123"/>
  <c r="AM297" i="123"/>
  <c r="AM407" i="123"/>
  <c r="AN407" i="123"/>
  <c r="AQ411" i="123"/>
  <c r="AR411" i="123" s="1"/>
  <c r="AS411" i="123" s="1"/>
  <c r="AT411" i="123" s="1"/>
  <c r="AL307" i="123"/>
  <c r="AO307" i="123" s="1"/>
  <c r="L180" i="134"/>
  <c r="AM169" i="123"/>
  <c r="AM352" i="123"/>
  <c r="AM344" i="123"/>
  <c r="AM57" i="123"/>
  <c r="AM474" i="123"/>
  <c r="AN474" i="123"/>
  <c r="AM176" i="123"/>
  <c r="AP189" i="123"/>
  <c r="AU189" i="123" s="1"/>
  <c r="AP256" i="123"/>
  <c r="AM86" i="123"/>
  <c r="AP26" i="123"/>
  <c r="AP363" i="123"/>
  <c r="AM303" i="123"/>
  <c r="AN303" i="123"/>
  <c r="AM409" i="123"/>
  <c r="AN409" i="123"/>
  <c r="AM417" i="123"/>
  <c r="AP130" i="123"/>
  <c r="AU130" i="123" s="1"/>
  <c r="AM241" i="123"/>
  <c r="AM348" i="123"/>
  <c r="AM292" i="123"/>
  <c r="AM324" i="123"/>
  <c r="AM156" i="123"/>
  <c r="AP277" i="123"/>
  <c r="AU277" i="123" s="1"/>
  <c r="AP168" i="123"/>
  <c r="AP6" i="123"/>
  <c r="AU6" i="123" s="1"/>
  <c r="AM406" i="123"/>
  <c r="AN406" i="123"/>
  <c r="AM403" i="123"/>
  <c r="AN403" i="123"/>
  <c r="AM21" i="123"/>
  <c r="AM267" i="123"/>
  <c r="AM38" i="123"/>
  <c r="AM185" i="123"/>
  <c r="AM80" i="123"/>
  <c r="AM206" i="123"/>
  <c r="AP261" i="123"/>
  <c r="AU261" i="123" s="1"/>
  <c r="AP72" i="123"/>
  <c r="AU72" i="123" s="1"/>
  <c r="AM91" i="123"/>
  <c r="AN91" i="123"/>
  <c r="AP442" i="123"/>
  <c r="AP443" i="123"/>
  <c r="AP110" i="123"/>
  <c r="AP16" i="123"/>
  <c r="AM308" i="123"/>
  <c r="AN308" i="123"/>
  <c r="AM397" i="123"/>
  <c r="AN397" i="123"/>
  <c r="AN115" i="123"/>
  <c r="AN55" i="123"/>
  <c r="AN50" i="123"/>
  <c r="AN56" i="123"/>
  <c r="AM43" i="123"/>
  <c r="AN43" i="123"/>
  <c r="AM10" i="123"/>
  <c r="AN10" i="123"/>
  <c r="AP310" i="123"/>
  <c r="AU310" i="123" s="1"/>
  <c r="AP325" i="123"/>
  <c r="AP375" i="123"/>
  <c r="AU375" i="123" s="1"/>
  <c r="AK251" i="123"/>
  <c r="AM192" i="123"/>
  <c r="AM373" i="123"/>
  <c r="AM45" i="123"/>
  <c r="AP281" i="123"/>
  <c r="AU281" i="123" s="1"/>
  <c r="AM92" i="123"/>
  <c r="AM202" i="123"/>
  <c r="AN202" i="123"/>
  <c r="AM68" i="123"/>
  <c r="AN68" i="123"/>
  <c r="AM418" i="123"/>
  <c r="AN418" i="123"/>
  <c r="AP204" i="123"/>
  <c r="AP177" i="123"/>
  <c r="AU177" i="123" s="1"/>
  <c r="AM465" i="123"/>
  <c r="AN465" i="123"/>
  <c r="AP181" i="123"/>
  <c r="AM40" i="123"/>
  <c r="AN40" i="123"/>
  <c r="AP81" i="123"/>
  <c r="AU81" i="123" s="1"/>
  <c r="AM157" i="123"/>
  <c r="AN157" i="123"/>
  <c r="AM483" i="123"/>
  <c r="AN483" i="123"/>
  <c r="AM189" i="123"/>
  <c r="AM256" i="123"/>
  <c r="AM426" i="123"/>
  <c r="AN426" i="123"/>
  <c r="AM26" i="123"/>
  <c r="AM363" i="123"/>
  <c r="AP54" i="123"/>
  <c r="AU54" i="123" s="1"/>
  <c r="AP73" i="123"/>
  <c r="AU73" i="123" s="1"/>
  <c r="AM497" i="123"/>
  <c r="AN497" i="123"/>
  <c r="AM130" i="123"/>
  <c r="AM345" i="123"/>
  <c r="AN345" i="123"/>
  <c r="AM361" i="123"/>
  <c r="AN361" i="123"/>
  <c r="D280" i="135" s="1"/>
  <c r="F280" i="135" s="1"/>
  <c r="AP383" i="123"/>
  <c r="AU383" i="123" s="1"/>
  <c r="AP425" i="123"/>
  <c r="AU425" i="123" s="1"/>
  <c r="AP291" i="123"/>
  <c r="AU291" i="123" s="1"/>
  <c r="AM326" i="123"/>
  <c r="AN326" i="123"/>
  <c r="AM277" i="123"/>
  <c r="AM168" i="123"/>
  <c r="AM6" i="123"/>
  <c r="AM396" i="123"/>
  <c r="AN396" i="123"/>
  <c r="AK186" i="123"/>
  <c r="AN452" i="123"/>
  <c r="AP231" i="123"/>
  <c r="AU231" i="123" s="1"/>
  <c r="AP11" i="123"/>
  <c r="AU11" i="123" s="1"/>
  <c r="AP337" i="123"/>
  <c r="AP458" i="123"/>
  <c r="AP369" i="123"/>
  <c r="AU369" i="123" s="1"/>
  <c r="AP242" i="123"/>
  <c r="AU242" i="123" s="1"/>
  <c r="AM261" i="123"/>
  <c r="AM72" i="123"/>
  <c r="AM442" i="123"/>
  <c r="AM443" i="123"/>
  <c r="AM110" i="123"/>
  <c r="AM16" i="123"/>
  <c r="AM12" i="123"/>
  <c r="AN12" i="123"/>
  <c r="AM405" i="123"/>
  <c r="AN405" i="123"/>
  <c r="T327" i="127"/>
  <c r="AL55" i="123" s="1"/>
  <c r="AO55" i="123" s="1"/>
  <c r="L92" i="134"/>
  <c r="T2703" i="127"/>
  <c r="AL376" i="123" s="1"/>
  <c r="AO376" i="123" s="1"/>
  <c r="T1663" i="127"/>
  <c r="AL30" i="123" s="1"/>
  <c r="AO30" i="123" s="1"/>
  <c r="E296" i="135"/>
  <c r="L241" i="134"/>
  <c r="L242" i="134"/>
  <c r="L290" i="134"/>
  <c r="T2360" i="127"/>
  <c r="AL282" i="123" s="1"/>
  <c r="AO282" i="123" s="1"/>
  <c r="T747" i="127"/>
  <c r="AL18" i="123" s="1"/>
  <c r="AO18" i="123" s="1"/>
  <c r="T1100" i="127"/>
  <c r="AL89" i="123" s="1"/>
  <c r="AO89" i="123" s="1"/>
  <c r="T1234" i="127"/>
  <c r="AL117" i="123" s="1"/>
  <c r="AO117" i="123" s="1"/>
  <c r="T1037" i="127"/>
  <c r="AL182" i="123" s="1"/>
  <c r="AO182" i="123" s="1"/>
  <c r="L288" i="134"/>
  <c r="L267" i="134"/>
  <c r="T624" i="127"/>
  <c r="AL50" i="123" s="1"/>
  <c r="AO50" i="123" s="1"/>
  <c r="T332" i="127"/>
  <c r="AL56" i="123" s="1"/>
  <c r="AO56" i="123" s="1"/>
  <c r="L219" i="134"/>
  <c r="T1900" i="127"/>
  <c r="AL285" i="123" s="1"/>
  <c r="AO285" i="123" s="1"/>
  <c r="E31" i="135"/>
  <c r="T2108" i="127"/>
  <c r="AL299" i="123" s="1"/>
  <c r="AO299" i="123" s="1"/>
  <c r="L256" i="134"/>
  <c r="L285" i="134"/>
  <c r="X2" i="123"/>
  <c r="K3" i="127"/>
  <c r="K4" i="127" s="1"/>
  <c r="L173" i="134"/>
  <c r="L193" i="134"/>
  <c r="L286" i="134"/>
  <c r="T905" i="127"/>
  <c r="AL115" i="123" s="1"/>
  <c r="AO115" i="123" s="1"/>
  <c r="T1442" i="127"/>
  <c r="AL7" i="123" s="1"/>
  <c r="AO7" i="123" s="1"/>
  <c r="T1567" i="127"/>
  <c r="AL184" i="123" s="1"/>
  <c r="AO184" i="123" s="1"/>
  <c r="T563" i="127"/>
  <c r="AL36" i="123" s="1"/>
  <c r="AO36" i="123" s="1"/>
  <c r="T2456" i="127"/>
  <c r="AL133" i="123" s="1"/>
  <c r="T3091" i="127"/>
  <c r="AL302" i="123" s="1"/>
  <c r="T128" i="127"/>
  <c r="AL4" i="123" s="1"/>
  <c r="T312" i="127"/>
  <c r="AL99" i="123" s="1"/>
  <c r="AO99" i="123" s="1"/>
  <c r="L225" i="134"/>
  <c r="E325" i="135"/>
  <c r="E307" i="135"/>
  <c r="D325" i="135"/>
  <c r="E205" i="135"/>
  <c r="D322" i="135"/>
  <c r="D299" i="135"/>
  <c r="E321" i="135"/>
  <c r="D310" i="135"/>
  <c r="D28" i="135"/>
  <c r="K61" i="134"/>
  <c r="L19" i="134"/>
  <c r="L167" i="134"/>
  <c r="K167" i="134"/>
  <c r="K38" i="134"/>
  <c r="K23" i="134"/>
  <c r="L23" i="134"/>
  <c r="K15" i="134"/>
  <c r="K54" i="134"/>
  <c r="K85" i="134"/>
  <c r="K17" i="134"/>
  <c r="K93" i="134"/>
  <c r="K94" i="134"/>
  <c r="K82" i="134"/>
  <c r="K95" i="134"/>
  <c r="K34" i="134"/>
  <c r="K103" i="134"/>
  <c r="K100" i="134"/>
  <c r="K104" i="134"/>
  <c r="K88" i="134"/>
  <c r="K107" i="134"/>
  <c r="K90" i="134"/>
  <c r="K49" i="134"/>
  <c r="K102" i="134"/>
  <c r="L113" i="134"/>
  <c r="K113" i="134"/>
  <c r="AH4" i="123"/>
  <c r="AM17" i="123" l="1"/>
  <c r="AP92" i="123"/>
  <c r="AU92" i="123" s="1"/>
  <c r="AM221" i="123"/>
  <c r="AM46" i="123"/>
  <c r="AO133" i="123"/>
  <c r="AP133" i="123" s="1"/>
  <c r="AM133" i="123"/>
  <c r="AM55" i="123"/>
  <c r="AO302" i="123"/>
  <c r="AP302" i="123" s="1"/>
  <c r="AU302" i="123" s="1"/>
  <c r="AM302" i="123"/>
  <c r="AP405" i="123"/>
  <c r="AU405" i="123" s="1"/>
  <c r="AQ337" i="123"/>
  <c r="AR337" i="123" s="1"/>
  <c r="AS337" i="123" s="1"/>
  <c r="AT337" i="123"/>
  <c r="AM186" i="123"/>
  <c r="AN186" i="123"/>
  <c r="AP345" i="123"/>
  <c r="AU345" i="123" s="1"/>
  <c r="AT181" i="123"/>
  <c r="AQ181" i="123"/>
  <c r="AR181" i="123" s="1"/>
  <c r="AS181" i="123" s="1"/>
  <c r="AM251" i="123"/>
  <c r="AN251" i="123"/>
  <c r="AQ325" i="123"/>
  <c r="AR325" i="123" s="1"/>
  <c r="AS325" i="123" s="1"/>
  <c r="AT325" i="123" s="1"/>
  <c r="AM56" i="123"/>
  <c r="AQ16" i="123"/>
  <c r="AR16" i="123" s="1"/>
  <c r="AS16" i="123" s="1"/>
  <c r="AT16" i="123"/>
  <c r="AQ443" i="123"/>
  <c r="AR443" i="123" s="1"/>
  <c r="AS443" i="123" s="1"/>
  <c r="AT443" i="123" s="1"/>
  <c r="AQ26" i="123"/>
  <c r="AR26" i="123" s="1"/>
  <c r="AS26" i="123" s="1"/>
  <c r="AT26" i="123"/>
  <c r="AP143" i="123"/>
  <c r="AU143" i="123" s="1"/>
  <c r="AP18" i="123"/>
  <c r="AU18" i="123" s="1"/>
  <c r="AP250" i="123"/>
  <c r="AU250" i="123" s="1"/>
  <c r="AQ80" i="123"/>
  <c r="AR80" i="123" s="1"/>
  <c r="AS80" i="123" s="1"/>
  <c r="AT80" i="123" s="1"/>
  <c r="AQ156" i="123"/>
  <c r="AR156" i="123" s="1"/>
  <c r="AS156" i="123" s="1"/>
  <c r="AT156" i="123" s="1"/>
  <c r="AP249" i="123"/>
  <c r="AU249" i="123" s="1"/>
  <c r="AQ344" i="123"/>
  <c r="AR344" i="123" s="1"/>
  <c r="AS344" i="123" s="1"/>
  <c r="AT344" i="123" s="1"/>
  <c r="AM307" i="123"/>
  <c r="AP482" i="123"/>
  <c r="AQ382" i="123"/>
  <c r="AR382" i="123" s="1"/>
  <c r="AS382" i="123" s="1"/>
  <c r="AT382" i="123"/>
  <c r="AP376" i="123"/>
  <c r="AU376" i="123" s="1"/>
  <c r="AP117" i="123"/>
  <c r="AU117" i="123" s="1"/>
  <c r="AT19" i="123"/>
  <c r="AQ19" i="123"/>
  <c r="AR19" i="123" s="1"/>
  <c r="AS19" i="123" s="1"/>
  <c r="AP299" i="123"/>
  <c r="AU299" i="123" s="1"/>
  <c r="AP7" i="123"/>
  <c r="AU7" i="123" s="1"/>
  <c r="AP46" i="123"/>
  <c r="AU46" i="123" s="1"/>
  <c r="AQ369" i="123"/>
  <c r="AR369" i="123" s="1"/>
  <c r="AS369" i="123" s="1"/>
  <c r="AT369" i="123" s="1"/>
  <c r="AU337" i="123"/>
  <c r="AQ231" i="123"/>
  <c r="AR231" i="123" s="1"/>
  <c r="AS231" i="123" s="1"/>
  <c r="AT231" i="123" s="1"/>
  <c r="AP396" i="123"/>
  <c r="AU396" i="123" s="1"/>
  <c r="AQ291" i="123"/>
  <c r="AR291" i="123" s="1"/>
  <c r="AS291" i="123" s="1"/>
  <c r="AT291" i="123" s="1"/>
  <c r="AT383" i="123"/>
  <c r="AQ383" i="123"/>
  <c r="AR383" i="123" s="1"/>
  <c r="AS383" i="123" s="1"/>
  <c r="AP157" i="123"/>
  <c r="AU157" i="123" s="1"/>
  <c r="AP40" i="123"/>
  <c r="AU40" i="123" s="1"/>
  <c r="AP465" i="123"/>
  <c r="AU465" i="123" s="1"/>
  <c r="AT204" i="123"/>
  <c r="AQ204" i="123"/>
  <c r="AR204" i="123" s="1"/>
  <c r="AS204" i="123" s="1"/>
  <c r="AP68" i="123"/>
  <c r="AU68" i="123" s="1"/>
  <c r="AP43" i="123"/>
  <c r="AU43" i="123" s="1"/>
  <c r="AP50" i="123"/>
  <c r="AU50" i="123" s="1"/>
  <c r="AP115" i="123"/>
  <c r="AU115" i="123" s="1"/>
  <c r="AP308" i="123"/>
  <c r="AU308" i="123" s="1"/>
  <c r="AQ110" i="123"/>
  <c r="AR110" i="123" s="1"/>
  <c r="AS110" i="123" s="1"/>
  <c r="AT110" i="123"/>
  <c r="AQ442" i="123"/>
  <c r="AR442" i="123" s="1"/>
  <c r="AS442" i="123" s="1"/>
  <c r="AT442" i="123" s="1"/>
  <c r="AP406" i="123"/>
  <c r="AU406" i="123" s="1"/>
  <c r="AQ168" i="123"/>
  <c r="AR168" i="123" s="1"/>
  <c r="AS168" i="123" s="1"/>
  <c r="AT168" i="123" s="1"/>
  <c r="AP409" i="123"/>
  <c r="AU409" i="123" s="1"/>
  <c r="AQ363" i="123"/>
  <c r="AR363" i="123" s="1"/>
  <c r="AS363" i="123" s="1"/>
  <c r="AT363" i="123" s="1"/>
  <c r="AT189" i="123"/>
  <c r="AQ189" i="123"/>
  <c r="AR189" i="123" s="1"/>
  <c r="AS189" i="123" s="1"/>
  <c r="AP407" i="123"/>
  <c r="AU407" i="123" s="1"/>
  <c r="AQ45" i="123"/>
  <c r="AR45" i="123" s="1"/>
  <c r="AS45" i="123" s="1"/>
  <c r="AT45" i="123" s="1"/>
  <c r="AT192" i="123"/>
  <c r="AQ192" i="123"/>
  <c r="AR192" i="123" s="1"/>
  <c r="AS192" i="123" s="1"/>
  <c r="AM18" i="123"/>
  <c r="AP221" i="123"/>
  <c r="AU221" i="123" s="1"/>
  <c r="AP172" i="123"/>
  <c r="AT38" i="123"/>
  <c r="AQ38" i="123"/>
  <c r="AR38" i="123" s="1"/>
  <c r="AS38" i="123" s="1"/>
  <c r="AT21" i="123"/>
  <c r="AQ21" i="123"/>
  <c r="AR21" i="123" s="1"/>
  <c r="AS21" i="123" s="1"/>
  <c r="AP164" i="123"/>
  <c r="AU164" i="123" s="1"/>
  <c r="AQ348" i="123"/>
  <c r="AR348" i="123" s="1"/>
  <c r="AS348" i="123" s="1"/>
  <c r="AT348" i="123" s="1"/>
  <c r="AT57" i="123"/>
  <c r="AQ57" i="123"/>
  <c r="AR57" i="123" s="1"/>
  <c r="AS57" i="123" s="1"/>
  <c r="AT169" i="123"/>
  <c r="AQ169" i="123"/>
  <c r="AR169" i="123" s="1"/>
  <c r="AS169" i="123" s="1"/>
  <c r="AP453" i="123"/>
  <c r="AU453" i="123" s="1"/>
  <c r="AP404" i="123"/>
  <c r="AU404" i="123" s="1"/>
  <c r="AT142" i="123"/>
  <c r="AQ142" i="123"/>
  <c r="AR142" i="123" s="1"/>
  <c r="AS142" i="123" s="1"/>
  <c r="AM376" i="123"/>
  <c r="AM117" i="123"/>
  <c r="AQ321" i="123"/>
  <c r="AR321" i="123" s="1"/>
  <c r="AS321" i="123" s="1"/>
  <c r="AT321" i="123" s="1"/>
  <c r="AQ370" i="123"/>
  <c r="AR370" i="123" s="1"/>
  <c r="AS370" i="123" s="1"/>
  <c r="AT370" i="123" s="1"/>
  <c r="AQ341" i="123"/>
  <c r="AR341" i="123" s="1"/>
  <c r="AS341" i="123" s="1"/>
  <c r="AT341" i="123"/>
  <c r="AP29" i="123"/>
  <c r="AU29" i="123" s="1"/>
  <c r="AQ13" i="123"/>
  <c r="AR13" i="123" s="1"/>
  <c r="AS13" i="123" s="1"/>
  <c r="AT13" i="123" s="1"/>
  <c r="AT195" i="123"/>
  <c r="AQ195" i="123"/>
  <c r="AR195" i="123" s="1"/>
  <c r="AS195" i="123" s="1"/>
  <c r="AQ399" i="123"/>
  <c r="AR399" i="123" s="1"/>
  <c r="AS399" i="123" s="1"/>
  <c r="AT399" i="123" s="1"/>
  <c r="AT65" i="123"/>
  <c r="AQ65" i="123"/>
  <c r="AR65" i="123" s="1"/>
  <c r="AS65" i="123" s="1"/>
  <c r="AT235" i="123"/>
  <c r="AQ235" i="123"/>
  <c r="AR235" i="123" s="1"/>
  <c r="AS235" i="123" s="1"/>
  <c r="AM412" i="123"/>
  <c r="AN412" i="123"/>
  <c r="AT332" i="123"/>
  <c r="AQ332" i="123"/>
  <c r="AR332" i="123" s="1"/>
  <c r="AS332" i="123" s="1"/>
  <c r="AQ381" i="123"/>
  <c r="AR381" i="123" s="1"/>
  <c r="AS381" i="123" s="1"/>
  <c r="AT381" i="123" s="1"/>
  <c r="AM299" i="123"/>
  <c r="AM7" i="123"/>
  <c r="AP12" i="123"/>
  <c r="AQ458" i="123"/>
  <c r="AR458" i="123" s="1"/>
  <c r="AS458" i="123" s="1"/>
  <c r="AT458" i="123" s="1"/>
  <c r="AP452" i="123"/>
  <c r="AU452" i="123" s="1"/>
  <c r="AP326" i="123"/>
  <c r="AU326" i="123" s="1"/>
  <c r="AP361" i="123"/>
  <c r="AU361" i="123" s="1"/>
  <c r="AT73" i="123"/>
  <c r="AQ73" i="123"/>
  <c r="AR73" i="123" s="1"/>
  <c r="AS73" i="123" s="1"/>
  <c r="AU204" i="123"/>
  <c r="AT375" i="123"/>
  <c r="AQ375" i="123"/>
  <c r="AR375" i="123" s="1"/>
  <c r="AS375" i="123" s="1"/>
  <c r="AT310" i="123"/>
  <c r="AQ310" i="123"/>
  <c r="AR310" i="123" s="1"/>
  <c r="AS310" i="123" s="1"/>
  <c r="AM50" i="123"/>
  <c r="AM115" i="123"/>
  <c r="AU110" i="123"/>
  <c r="AU442" i="123"/>
  <c r="AQ72" i="123"/>
  <c r="AR72" i="123" s="1"/>
  <c r="AS72" i="123" s="1"/>
  <c r="AT72" i="123" s="1"/>
  <c r="AU168" i="123"/>
  <c r="AU363" i="123"/>
  <c r="AT256" i="123"/>
  <c r="AQ256" i="123"/>
  <c r="AR256" i="123" s="1"/>
  <c r="AS256" i="123" s="1"/>
  <c r="AP420" i="123"/>
  <c r="AU420" i="123" s="1"/>
  <c r="AO450" i="123"/>
  <c r="AM450" i="123"/>
  <c r="AP89" i="123"/>
  <c r="AU89" i="123" s="1"/>
  <c r="AP285" i="123"/>
  <c r="AU285" i="123" s="1"/>
  <c r="AP36" i="123"/>
  <c r="AU36" i="123" s="1"/>
  <c r="AQ206" i="123"/>
  <c r="AR206" i="123" s="1"/>
  <c r="AS206" i="123" s="1"/>
  <c r="AT206" i="123"/>
  <c r="AP434" i="123"/>
  <c r="AU434" i="123" s="1"/>
  <c r="AQ324" i="123"/>
  <c r="AR324" i="123" s="1"/>
  <c r="AS324" i="123" s="1"/>
  <c r="AT324" i="123"/>
  <c r="AQ241" i="123"/>
  <c r="AR241" i="123" s="1"/>
  <c r="AS241" i="123" s="1"/>
  <c r="AT241" i="123" s="1"/>
  <c r="AQ417" i="123"/>
  <c r="AR417" i="123" s="1"/>
  <c r="AS417" i="123" s="1"/>
  <c r="AT417" i="123" s="1"/>
  <c r="AQ86" i="123"/>
  <c r="AR86" i="123" s="1"/>
  <c r="AS86" i="123" s="1"/>
  <c r="AT86" i="123"/>
  <c r="AQ176" i="123"/>
  <c r="AR176" i="123" s="1"/>
  <c r="AS176" i="123" s="1"/>
  <c r="AT176" i="123"/>
  <c r="AU57" i="123"/>
  <c r="AT352" i="123"/>
  <c r="AQ352" i="123"/>
  <c r="AR352" i="123" s="1"/>
  <c r="AS352" i="123" s="1"/>
  <c r="AU169" i="123"/>
  <c r="AT127" i="123"/>
  <c r="AQ127" i="123"/>
  <c r="AR127" i="123" s="1"/>
  <c r="AS127" i="123" s="1"/>
  <c r="AP30" i="123"/>
  <c r="AU30" i="123" s="1"/>
  <c r="AP182" i="123"/>
  <c r="AU182" i="123" s="1"/>
  <c r="AP184" i="123"/>
  <c r="AU184" i="123" s="1"/>
  <c r="AT393" i="123"/>
  <c r="AQ393" i="123"/>
  <c r="AR393" i="123" s="1"/>
  <c r="AS393" i="123" s="1"/>
  <c r="AU321" i="123"/>
  <c r="AU370" i="123"/>
  <c r="AU341" i="123"/>
  <c r="AU13" i="123"/>
  <c r="AP449" i="123"/>
  <c r="AU449" i="123" s="1"/>
  <c r="AQ214" i="123"/>
  <c r="AR214" i="123" s="1"/>
  <c r="AS214" i="123" s="1"/>
  <c r="AT214" i="123" s="1"/>
  <c r="AP446" i="123"/>
  <c r="AU446" i="123" s="1"/>
  <c r="AP510" i="123"/>
  <c r="AU510" i="123" s="1"/>
  <c r="AP468" i="123"/>
  <c r="AU468" i="123" s="1"/>
  <c r="AP227" i="123"/>
  <c r="AU227" i="123" s="1"/>
  <c r="AP395" i="123"/>
  <c r="AU395" i="123" s="1"/>
  <c r="AM318" i="123"/>
  <c r="AN318" i="123"/>
  <c r="AP282" i="123"/>
  <c r="AU282" i="123" s="1"/>
  <c r="AP99" i="123"/>
  <c r="AU99" i="123" s="1"/>
  <c r="AQ242" i="123"/>
  <c r="AR242" i="123" s="1"/>
  <c r="AS242" i="123" s="1"/>
  <c r="AT242" i="123" s="1"/>
  <c r="AU458" i="123"/>
  <c r="AQ11" i="123"/>
  <c r="AR11" i="123" s="1"/>
  <c r="AS11" i="123" s="1"/>
  <c r="AT11" i="123"/>
  <c r="AM452" i="123"/>
  <c r="AQ425" i="123"/>
  <c r="AR425" i="123" s="1"/>
  <c r="AS425" i="123" s="1"/>
  <c r="AT425" i="123" s="1"/>
  <c r="AP497" i="123"/>
  <c r="AU497" i="123" s="1"/>
  <c r="AQ54" i="123"/>
  <c r="AR54" i="123" s="1"/>
  <c r="AS54" i="123" s="1"/>
  <c r="AT54" i="123"/>
  <c r="AP426" i="123"/>
  <c r="AU426" i="123" s="1"/>
  <c r="AP483" i="123"/>
  <c r="AU483" i="123" s="1"/>
  <c r="AQ81" i="123"/>
  <c r="AR81" i="123" s="1"/>
  <c r="AS81" i="123" s="1"/>
  <c r="AT81" i="123"/>
  <c r="AU181" i="123"/>
  <c r="AT177" i="123"/>
  <c r="AQ177" i="123"/>
  <c r="AR177" i="123" s="1"/>
  <c r="AS177" i="123" s="1"/>
  <c r="AP418" i="123"/>
  <c r="AU418" i="123" s="1"/>
  <c r="AP202" i="123"/>
  <c r="AQ281" i="123"/>
  <c r="AR281" i="123" s="1"/>
  <c r="AS281" i="123" s="1"/>
  <c r="AT281" i="123"/>
  <c r="AU325" i="123"/>
  <c r="AP10" i="123"/>
  <c r="AP56" i="123"/>
  <c r="AU56" i="123" s="1"/>
  <c r="AP55" i="123"/>
  <c r="AP397" i="123"/>
  <c r="AU397" i="123" s="1"/>
  <c r="AU16" i="123"/>
  <c r="AU443" i="123"/>
  <c r="AP91" i="123"/>
  <c r="AU91" i="123" s="1"/>
  <c r="AQ261" i="123"/>
  <c r="AR261" i="123" s="1"/>
  <c r="AS261" i="123" s="1"/>
  <c r="AT261" i="123"/>
  <c r="AP403" i="123"/>
  <c r="AU403" i="123" s="1"/>
  <c r="AT6" i="123"/>
  <c r="AQ6" i="123"/>
  <c r="AR6" i="123" s="1"/>
  <c r="AS6" i="123" s="1"/>
  <c r="AQ277" i="123"/>
  <c r="AR277" i="123" s="1"/>
  <c r="AS277" i="123" s="1"/>
  <c r="AT277" i="123"/>
  <c r="AQ130" i="123"/>
  <c r="AR130" i="123" s="1"/>
  <c r="AS130" i="123" s="1"/>
  <c r="AT130" i="123"/>
  <c r="AP303" i="123"/>
  <c r="AU303" i="123" s="1"/>
  <c r="AU26" i="123"/>
  <c r="AU256" i="123"/>
  <c r="AP474" i="123"/>
  <c r="AU474" i="123" s="1"/>
  <c r="AQ373" i="123"/>
  <c r="AR373" i="123" s="1"/>
  <c r="AS373" i="123" s="1"/>
  <c r="AT373" i="123" s="1"/>
  <c r="AM89" i="123"/>
  <c r="AM285" i="123"/>
  <c r="AM36" i="123"/>
  <c r="AU206" i="123"/>
  <c r="AQ185" i="123"/>
  <c r="AR185" i="123" s="1"/>
  <c r="AS185" i="123" s="1"/>
  <c r="AT185" i="123" s="1"/>
  <c r="AQ267" i="123"/>
  <c r="AR267" i="123" s="1"/>
  <c r="AS267" i="123" s="1"/>
  <c r="AT267" i="123" s="1"/>
  <c r="AP217" i="123"/>
  <c r="AU217" i="123" s="1"/>
  <c r="AP218" i="123"/>
  <c r="AU218" i="123" s="1"/>
  <c r="AU324" i="123"/>
  <c r="AT292" i="123"/>
  <c r="AQ292" i="123"/>
  <c r="AR292" i="123" s="1"/>
  <c r="AS292" i="123" s="1"/>
  <c r="AU241" i="123"/>
  <c r="AU86" i="123"/>
  <c r="AP445" i="123"/>
  <c r="AU445" i="123" s="1"/>
  <c r="AU344" i="123"/>
  <c r="AP437" i="123"/>
  <c r="AU437" i="123" s="1"/>
  <c r="AP307" i="123"/>
  <c r="AU307" i="123" s="1"/>
  <c r="AP356" i="123"/>
  <c r="AU356" i="123" s="1"/>
  <c r="AQ297" i="123"/>
  <c r="AR297" i="123" s="1"/>
  <c r="AS297" i="123" s="1"/>
  <c r="AT297" i="123" s="1"/>
  <c r="AU127" i="123"/>
  <c r="AQ191" i="123"/>
  <c r="AR191" i="123" s="1"/>
  <c r="AS191" i="123" s="1"/>
  <c r="AT191" i="123" s="1"/>
  <c r="AM30" i="123"/>
  <c r="AM182" i="123"/>
  <c r="AM184" i="123"/>
  <c r="AP232" i="123"/>
  <c r="AQ98" i="123"/>
  <c r="AR98" i="123" s="1"/>
  <c r="AS98" i="123" s="1"/>
  <c r="AT98" i="123" s="1"/>
  <c r="AU19" i="123"/>
  <c r="AP402" i="123"/>
  <c r="AU402" i="123" s="1"/>
  <c r="AP170" i="123"/>
  <c r="AU170" i="123" s="1"/>
  <c r="AP160" i="123"/>
  <c r="AU160" i="123" s="1"/>
  <c r="AP17" i="123"/>
  <c r="AP398" i="123"/>
  <c r="AU398" i="123" s="1"/>
  <c r="AT336" i="123"/>
  <c r="AQ336" i="123"/>
  <c r="AR336" i="123" s="1"/>
  <c r="AS336" i="123" s="1"/>
  <c r="AM282" i="123"/>
  <c r="AM99" i="123"/>
  <c r="D31" i="135"/>
  <c r="F31" i="135" s="1"/>
  <c r="D329" i="135"/>
  <c r="D321" i="135"/>
  <c r="F321" i="135" s="1"/>
  <c r="G31" i="135"/>
  <c r="D328" i="135"/>
  <c r="F328" i="135" s="1"/>
  <c r="D271" i="135"/>
  <c r="D317" i="135"/>
  <c r="AO4" i="123"/>
  <c r="AP4" i="123" s="1"/>
  <c r="F325" i="135"/>
  <c r="D285" i="135"/>
  <c r="D308" i="135"/>
  <c r="D318" i="135"/>
  <c r="D312" i="135"/>
  <c r="F205" i="135"/>
  <c r="D295" i="135"/>
  <c r="D296" i="135"/>
  <c r="F296" i="135" s="1"/>
  <c r="E293" i="135"/>
  <c r="D315" i="135"/>
  <c r="D5" i="135"/>
  <c r="G271" i="135"/>
  <c r="E271" i="135"/>
  <c r="D307" i="135"/>
  <c r="F307" i="135" s="1"/>
  <c r="E291" i="135"/>
  <c r="F291" i="135" s="1"/>
  <c r="D33" i="135"/>
  <c r="D313" i="135"/>
  <c r="E285" i="135"/>
  <c r="E317" i="135"/>
  <c r="D304" i="135"/>
  <c r="E308" i="135"/>
  <c r="L61" i="134"/>
  <c r="L102" i="134"/>
  <c r="L90" i="134"/>
  <c r="L88" i="134"/>
  <c r="L100" i="134"/>
  <c r="L82" i="134"/>
  <c r="L93" i="134"/>
  <c r="L85" i="134"/>
  <c r="L107" i="134"/>
  <c r="L104" i="134"/>
  <c r="L103" i="134"/>
  <c r="L95" i="134"/>
  <c r="L94" i="134"/>
  <c r="L17" i="134"/>
  <c r="L49" i="134"/>
  <c r="L54" i="134"/>
  <c r="L34" i="134"/>
  <c r="L15" i="134"/>
  <c r="C17" i="87"/>
  <c r="C16" i="87"/>
  <c r="C15" i="87"/>
  <c r="AU133" i="123" l="1"/>
  <c r="AQ133" i="123"/>
  <c r="AR133" i="123" s="1"/>
  <c r="AS133" i="123" s="1"/>
  <c r="AT133" i="123"/>
  <c r="AT17" i="123"/>
  <c r="AQ17" i="123"/>
  <c r="AR17" i="123" s="1"/>
  <c r="AS17" i="123" s="1"/>
  <c r="AQ232" i="123"/>
  <c r="AR232" i="123" s="1"/>
  <c r="AS232" i="123" s="1"/>
  <c r="AT232" i="123" s="1"/>
  <c r="AQ55" i="123"/>
  <c r="AR55" i="123" s="1"/>
  <c r="AS55" i="123" s="1"/>
  <c r="AT55" i="123" s="1"/>
  <c r="AT10" i="123"/>
  <c r="AQ10" i="123"/>
  <c r="AR10" i="123" s="1"/>
  <c r="AS10" i="123" s="1"/>
  <c r="AQ202" i="123"/>
  <c r="AR202" i="123" s="1"/>
  <c r="AS202" i="123" s="1"/>
  <c r="AT202" i="123" s="1"/>
  <c r="AQ497" i="123"/>
  <c r="AR497" i="123" s="1"/>
  <c r="AS497" i="123" s="1"/>
  <c r="AT497" i="123" s="1"/>
  <c r="AT99" i="123"/>
  <c r="AQ99" i="123"/>
  <c r="AR99" i="123" s="1"/>
  <c r="AS99" i="123" s="1"/>
  <c r="AT227" i="123"/>
  <c r="AQ227" i="123"/>
  <c r="AR227" i="123" s="1"/>
  <c r="AS227" i="123" s="1"/>
  <c r="AQ420" i="123"/>
  <c r="AR420" i="123" s="1"/>
  <c r="AS420" i="123" s="1"/>
  <c r="AT420" i="123" s="1"/>
  <c r="AQ12" i="123"/>
  <c r="AR12" i="123" s="1"/>
  <c r="AS12" i="123" s="1"/>
  <c r="AT12" i="123" s="1"/>
  <c r="AP412" i="123"/>
  <c r="AU412" i="123" s="1"/>
  <c r="AQ172" i="123"/>
  <c r="AR172" i="123" s="1"/>
  <c r="AS172" i="123" s="1"/>
  <c r="AT172" i="123"/>
  <c r="AQ409" i="123"/>
  <c r="AR409" i="123" s="1"/>
  <c r="AS409" i="123" s="1"/>
  <c r="AT409" i="123" s="1"/>
  <c r="AQ115" i="123"/>
  <c r="AR115" i="123" s="1"/>
  <c r="AS115" i="123" s="1"/>
  <c r="AT115" i="123" s="1"/>
  <c r="AT43" i="123"/>
  <c r="AQ43" i="123"/>
  <c r="AR43" i="123" s="1"/>
  <c r="AS43" i="123" s="1"/>
  <c r="AQ396" i="123"/>
  <c r="AR396" i="123" s="1"/>
  <c r="AS396" i="123" s="1"/>
  <c r="AT396" i="123" s="1"/>
  <c r="AQ482" i="123"/>
  <c r="AR482" i="123" s="1"/>
  <c r="AS482" i="123" s="1"/>
  <c r="AT482" i="123" s="1"/>
  <c r="AT250" i="123"/>
  <c r="AQ250" i="123"/>
  <c r="AR250" i="123" s="1"/>
  <c r="AS250" i="123" s="1"/>
  <c r="AT143" i="123"/>
  <c r="AQ143" i="123"/>
  <c r="AR143" i="123" s="1"/>
  <c r="AS143" i="123" s="1"/>
  <c r="AP186" i="123"/>
  <c r="AU186" i="123" s="1"/>
  <c r="AU17" i="123"/>
  <c r="AQ170" i="123"/>
  <c r="AR170" i="123" s="1"/>
  <c r="AS170" i="123" s="1"/>
  <c r="AT170" i="123" s="1"/>
  <c r="AQ445" i="123"/>
  <c r="AR445" i="123" s="1"/>
  <c r="AS445" i="123" s="1"/>
  <c r="AT445" i="123" s="1"/>
  <c r="AQ474" i="123"/>
  <c r="AR474" i="123" s="1"/>
  <c r="AS474" i="123" s="1"/>
  <c r="AT474" i="123" s="1"/>
  <c r="AQ403" i="123"/>
  <c r="AR403" i="123" s="1"/>
  <c r="AS403" i="123" s="1"/>
  <c r="AT403" i="123" s="1"/>
  <c r="AU202" i="123"/>
  <c r="AQ446" i="123"/>
  <c r="AR446" i="123" s="1"/>
  <c r="AS446" i="123" s="1"/>
  <c r="AT446" i="123" s="1"/>
  <c r="AQ285" i="123"/>
  <c r="AR285" i="123" s="1"/>
  <c r="AS285" i="123" s="1"/>
  <c r="AT285" i="123"/>
  <c r="AQ361" i="123"/>
  <c r="AR361" i="123" s="1"/>
  <c r="AS361" i="123" s="1"/>
  <c r="AT361" i="123" s="1"/>
  <c r="AQ452" i="123"/>
  <c r="AR452" i="123" s="1"/>
  <c r="AS452" i="123" s="1"/>
  <c r="AT452" i="123" s="1"/>
  <c r="AU12" i="123"/>
  <c r="AT29" i="123"/>
  <c r="AQ29" i="123"/>
  <c r="AR29" i="123" s="1"/>
  <c r="AS29" i="123" s="1"/>
  <c r="AQ404" i="123"/>
  <c r="AR404" i="123" s="1"/>
  <c r="AS404" i="123" s="1"/>
  <c r="AT404" i="123" s="1"/>
  <c r="AU172" i="123"/>
  <c r="AT50" i="123"/>
  <c r="AQ50" i="123"/>
  <c r="AR50" i="123" s="1"/>
  <c r="AS50" i="123" s="1"/>
  <c r="AT7" i="123"/>
  <c r="AQ7" i="123"/>
  <c r="AR7" i="123" s="1"/>
  <c r="AS7" i="123" s="1"/>
  <c r="AQ376" i="123"/>
  <c r="AR376" i="123" s="1"/>
  <c r="AS376" i="123" s="1"/>
  <c r="AT376" i="123" s="1"/>
  <c r="AU482" i="123"/>
  <c r="AQ249" i="123"/>
  <c r="AR249" i="123" s="1"/>
  <c r="AS249" i="123" s="1"/>
  <c r="AT249" i="123"/>
  <c r="AQ18" i="123"/>
  <c r="AR18" i="123" s="1"/>
  <c r="AS18" i="123" s="1"/>
  <c r="AT18" i="123"/>
  <c r="AQ405" i="123"/>
  <c r="AR405" i="123" s="1"/>
  <c r="AS405" i="123" s="1"/>
  <c r="AT405" i="123" s="1"/>
  <c r="AQ398" i="123"/>
  <c r="AR398" i="123" s="1"/>
  <c r="AS398" i="123" s="1"/>
  <c r="AT398" i="123" s="1"/>
  <c r="AQ160" i="123"/>
  <c r="AR160" i="123" s="1"/>
  <c r="AS160" i="123" s="1"/>
  <c r="AT160" i="123" s="1"/>
  <c r="AQ402" i="123"/>
  <c r="AR402" i="123" s="1"/>
  <c r="AS402" i="123" s="1"/>
  <c r="AT402" i="123" s="1"/>
  <c r="AQ356" i="123"/>
  <c r="AR356" i="123" s="1"/>
  <c r="AS356" i="123" s="1"/>
  <c r="AT356" i="123" s="1"/>
  <c r="AQ437" i="123"/>
  <c r="AR437" i="123" s="1"/>
  <c r="AS437" i="123" s="1"/>
  <c r="AT437" i="123" s="1"/>
  <c r="AQ217" i="123"/>
  <c r="AR217" i="123" s="1"/>
  <c r="AS217" i="123" s="1"/>
  <c r="AT217" i="123"/>
  <c r="AQ303" i="123"/>
  <c r="AR303" i="123" s="1"/>
  <c r="AS303" i="123" s="1"/>
  <c r="AT303" i="123" s="1"/>
  <c r="AT91" i="123"/>
  <c r="AQ91" i="123"/>
  <c r="AR91" i="123" s="1"/>
  <c r="AS91" i="123" s="1"/>
  <c r="AQ397" i="123"/>
  <c r="AR397" i="123" s="1"/>
  <c r="AS397" i="123" s="1"/>
  <c r="AT397" i="123" s="1"/>
  <c r="AT56" i="123"/>
  <c r="AQ56" i="123"/>
  <c r="AR56" i="123" s="1"/>
  <c r="AS56" i="123" s="1"/>
  <c r="AQ418" i="123"/>
  <c r="AR418" i="123" s="1"/>
  <c r="AS418" i="123" s="1"/>
  <c r="AT418" i="123" s="1"/>
  <c r="AQ483" i="123"/>
  <c r="AR483" i="123" s="1"/>
  <c r="AS483" i="123" s="1"/>
  <c r="AT483" i="123" s="1"/>
  <c r="AT302" i="123"/>
  <c r="AQ302" i="123"/>
  <c r="AR302" i="123" s="1"/>
  <c r="AS302" i="123" s="1"/>
  <c r="AT282" i="123"/>
  <c r="AQ282" i="123"/>
  <c r="AR282" i="123" s="1"/>
  <c r="AS282" i="123" s="1"/>
  <c r="AQ395" i="123"/>
  <c r="AR395" i="123" s="1"/>
  <c r="AS395" i="123" s="1"/>
  <c r="AT395" i="123" s="1"/>
  <c r="AQ468" i="123"/>
  <c r="AR468" i="123" s="1"/>
  <c r="AS468" i="123" s="1"/>
  <c r="AT468" i="123" s="1"/>
  <c r="AQ449" i="123"/>
  <c r="AR449" i="123" s="1"/>
  <c r="AS449" i="123" s="1"/>
  <c r="AT449" i="123" s="1"/>
  <c r="AQ184" i="123"/>
  <c r="AR184" i="123" s="1"/>
  <c r="AS184" i="123" s="1"/>
  <c r="AT184" i="123" s="1"/>
  <c r="AT30" i="123"/>
  <c r="AQ30" i="123"/>
  <c r="AR30" i="123" s="1"/>
  <c r="AS30" i="123" s="1"/>
  <c r="AP450" i="123"/>
  <c r="AU450" i="123" s="1"/>
  <c r="E329" i="135"/>
  <c r="F329" i="135" s="1"/>
  <c r="AQ164" i="123"/>
  <c r="AR164" i="123" s="1"/>
  <c r="AS164" i="123" s="1"/>
  <c r="AT164" i="123"/>
  <c r="AQ221" i="123"/>
  <c r="AR221" i="123" s="1"/>
  <c r="AS221" i="123" s="1"/>
  <c r="AT221" i="123"/>
  <c r="AQ407" i="123"/>
  <c r="AR407" i="123" s="1"/>
  <c r="AS407" i="123" s="1"/>
  <c r="AT407" i="123" s="1"/>
  <c r="AQ308" i="123"/>
  <c r="AR308" i="123" s="1"/>
  <c r="AS308" i="123" s="1"/>
  <c r="AT308" i="123" s="1"/>
  <c r="AT68" i="123"/>
  <c r="AQ68" i="123"/>
  <c r="AR68" i="123" s="1"/>
  <c r="AS68" i="123" s="1"/>
  <c r="AQ465" i="123"/>
  <c r="AR465" i="123" s="1"/>
  <c r="AS465" i="123" s="1"/>
  <c r="AT465" i="123" s="1"/>
  <c r="AQ157" i="123"/>
  <c r="AR157" i="123" s="1"/>
  <c r="AS157" i="123" s="1"/>
  <c r="AT157" i="123" s="1"/>
  <c r="AP251" i="123"/>
  <c r="AU251" i="123" s="1"/>
  <c r="AQ345" i="123"/>
  <c r="AR345" i="123" s="1"/>
  <c r="AS345" i="123" s="1"/>
  <c r="AT345" i="123"/>
  <c r="AU232" i="123"/>
  <c r="AQ307" i="123"/>
  <c r="AR307" i="123" s="1"/>
  <c r="AS307" i="123" s="1"/>
  <c r="AT307" i="123"/>
  <c r="AQ218" i="123"/>
  <c r="AR218" i="123" s="1"/>
  <c r="AS218" i="123" s="1"/>
  <c r="AT218" i="123" s="1"/>
  <c r="AU55" i="123"/>
  <c r="AU10" i="123"/>
  <c r="AQ426" i="123"/>
  <c r="AR426" i="123" s="1"/>
  <c r="AS426" i="123" s="1"/>
  <c r="AT426" i="123" s="1"/>
  <c r="AP318" i="123"/>
  <c r="AU318" i="123" s="1"/>
  <c r="AQ510" i="123"/>
  <c r="AR510" i="123" s="1"/>
  <c r="AS510" i="123" s="1"/>
  <c r="AT510" i="123" s="1"/>
  <c r="AQ182" i="123"/>
  <c r="AR182" i="123" s="1"/>
  <c r="AS182" i="123" s="1"/>
  <c r="AT182" i="123" s="1"/>
  <c r="AQ434" i="123"/>
  <c r="AR434" i="123" s="1"/>
  <c r="AS434" i="123" s="1"/>
  <c r="AT434" i="123" s="1"/>
  <c r="AQ36" i="123"/>
  <c r="AR36" i="123" s="1"/>
  <c r="AS36" i="123" s="1"/>
  <c r="AT36" i="123" s="1"/>
  <c r="AQ89" i="123"/>
  <c r="AR89" i="123" s="1"/>
  <c r="AS89" i="123" s="1"/>
  <c r="AT89" i="123"/>
  <c r="AT92" i="123"/>
  <c r="AQ92" i="123"/>
  <c r="AR92" i="123" s="1"/>
  <c r="AS92" i="123" s="1"/>
  <c r="AT326" i="123"/>
  <c r="AQ326" i="123"/>
  <c r="AR326" i="123" s="1"/>
  <c r="AS326" i="123" s="1"/>
  <c r="AQ453" i="123"/>
  <c r="AR453" i="123" s="1"/>
  <c r="AS453" i="123" s="1"/>
  <c r="AT453" i="123" s="1"/>
  <c r="AQ406" i="123"/>
  <c r="AR406" i="123" s="1"/>
  <c r="AS406" i="123" s="1"/>
  <c r="AT406" i="123"/>
  <c r="AQ40" i="123"/>
  <c r="AR40" i="123" s="1"/>
  <c r="AS40" i="123" s="1"/>
  <c r="AT40" i="123"/>
  <c r="AQ46" i="123"/>
  <c r="AR46" i="123" s="1"/>
  <c r="AS46" i="123" s="1"/>
  <c r="AT46" i="123"/>
  <c r="AQ299" i="123"/>
  <c r="AR299" i="123" s="1"/>
  <c r="AS299" i="123" s="1"/>
  <c r="AT299" i="123" s="1"/>
  <c r="AT117" i="123"/>
  <c r="AQ117" i="123"/>
  <c r="AR117" i="123" s="1"/>
  <c r="AS117" i="123" s="1"/>
  <c r="AU4" i="123"/>
  <c r="D293" i="135"/>
  <c r="F293" i="135" s="1"/>
  <c r="H31" i="135"/>
  <c r="F271" i="135"/>
  <c r="E299" i="135"/>
  <c r="F299" i="135" s="1"/>
  <c r="F317" i="135"/>
  <c r="AM4" i="123"/>
  <c r="F285" i="135"/>
  <c r="G325" i="135"/>
  <c r="E318" i="135"/>
  <c r="F318" i="135" s="1"/>
  <c r="F308" i="135"/>
  <c r="E257" i="135"/>
  <c r="F257" i="135" s="1"/>
  <c r="E305" i="135"/>
  <c r="G205" i="135"/>
  <c r="E322" i="135"/>
  <c r="F322" i="135" s="1"/>
  <c r="E28" i="135"/>
  <c r="F28" i="135" s="1"/>
  <c r="E310" i="135"/>
  <c r="F310" i="135" s="1"/>
  <c r="E313" i="135"/>
  <c r="F313" i="135" s="1"/>
  <c r="E309" i="135"/>
  <c r="H271" i="135"/>
  <c r="D309" i="135"/>
  <c r="E29" i="135"/>
  <c r="D29" i="135"/>
  <c r="N2" i="123"/>
  <c r="G321" i="135" l="1"/>
  <c r="G280" i="135"/>
  <c r="G328" i="135"/>
  <c r="AQ318" i="123"/>
  <c r="AR318" i="123" s="1"/>
  <c r="AS318" i="123" s="1"/>
  <c r="AT318" i="123" s="1"/>
  <c r="AQ251" i="123"/>
  <c r="AR251" i="123" s="1"/>
  <c r="AS251" i="123" s="1"/>
  <c r="AT251" i="123" s="1"/>
  <c r="AT412" i="123"/>
  <c r="AQ412" i="123"/>
  <c r="AR412" i="123" s="1"/>
  <c r="AS412" i="123" s="1"/>
  <c r="AQ450" i="123"/>
  <c r="AR450" i="123" s="1"/>
  <c r="AS450" i="123" s="1"/>
  <c r="AT450" i="123" s="1"/>
  <c r="AQ186" i="123"/>
  <c r="AR186" i="123" s="1"/>
  <c r="AS186" i="123" s="1"/>
  <c r="AT186" i="123" s="1"/>
  <c r="G293" i="135"/>
  <c r="O31" i="135"/>
  <c r="K31" i="135"/>
  <c r="J31" i="135"/>
  <c r="M31" i="135"/>
  <c r="N31" i="135"/>
  <c r="L31" i="135"/>
  <c r="H328" i="135"/>
  <c r="H308" i="135"/>
  <c r="L271" i="135"/>
  <c r="H325" i="135"/>
  <c r="J308" i="135"/>
  <c r="G308" i="135"/>
  <c r="G318" i="135"/>
  <c r="H205" i="135"/>
  <c r="D14" i="135"/>
  <c r="G296" i="135"/>
  <c r="D276" i="135"/>
  <c r="D305" i="135"/>
  <c r="F305" i="135" s="1"/>
  <c r="H280" i="135"/>
  <c r="F309" i="135"/>
  <c r="H321" i="135"/>
  <c r="F29" i="135"/>
  <c r="G307" i="135"/>
  <c r="J271" i="135"/>
  <c r="N271" i="135"/>
  <c r="O271" i="135"/>
  <c r="K271" i="135"/>
  <c r="G285" i="135"/>
  <c r="G291" i="135"/>
  <c r="G317" i="135"/>
  <c r="E33" i="135"/>
  <c r="F33" i="135" s="1"/>
  <c r="D275" i="135"/>
  <c r="D274" i="135"/>
  <c r="D255" i="135"/>
  <c r="D264" i="135"/>
  <c r="E304" i="135"/>
  <c r="F304" i="135" s="1"/>
  <c r="D268" i="135"/>
  <c r="D273" i="135"/>
  <c r="D243" i="135"/>
  <c r="D256" i="135"/>
  <c r="D245" i="135"/>
  <c r="D259" i="135"/>
  <c r="D254" i="135"/>
  <c r="D49" i="135"/>
  <c r="D237" i="135"/>
  <c r="D87" i="135"/>
  <c r="D17" i="135"/>
  <c r="D261" i="135"/>
  <c r="D219" i="135"/>
  <c r="D113" i="135"/>
  <c r="D106" i="135"/>
  <c r="D122" i="135"/>
  <c r="D238" i="135"/>
  <c r="D241" i="135"/>
  <c r="D250" i="135"/>
  <c r="D146" i="135"/>
  <c r="D127" i="135"/>
  <c r="D128" i="135"/>
  <c r="D151" i="135"/>
  <c r="D154" i="135"/>
  <c r="D150" i="135"/>
  <c r="D134" i="135"/>
  <c r="D121" i="135"/>
  <c r="D162" i="135"/>
  <c r="D125" i="135"/>
  <c r="D110" i="135"/>
  <c r="D156" i="135"/>
  <c r="D210" i="135"/>
  <c r="D148" i="135"/>
  <c r="D171" i="135"/>
  <c r="D186" i="135"/>
  <c r="D201" i="135"/>
  <c r="D196" i="135"/>
  <c r="D202" i="135"/>
  <c r="D173" i="135"/>
  <c r="D163" i="135"/>
  <c r="D181" i="135"/>
  <c r="D179" i="135"/>
  <c r="D74" i="135"/>
  <c r="D149" i="135"/>
  <c r="D24" i="135"/>
  <c r="D73" i="135"/>
  <c r="D189" i="135"/>
  <c r="D66" i="135"/>
  <c r="D135" i="135"/>
  <c r="D174" i="135"/>
  <c r="D211" i="135"/>
  <c r="D194" i="135"/>
  <c r="D185" i="135"/>
  <c r="D168" i="135"/>
  <c r="D187" i="135"/>
  <c r="D65" i="135"/>
  <c r="D209" i="135"/>
  <c r="D105" i="135"/>
  <c r="D139" i="135"/>
  <c r="D216" i="135"/>
  <c r="D26" i="135"/>
  <c r="D178" i="135"/>
  <c r="D206" i="135"/>
  <c r="D184" i="135"/>
  <c r="D137" i="135"/>
  <c r="D53" i="135"/>
  <c r="D72" i="135"/>
  <c r="D200" i="135"/>
  <c r="D16" i="135"/>
  <c r="D170" i="135"/>
  <c r="D63" i="135"/>
  <c r="D62" i="135"/>
  <c r="D167" i="135"/>
  <c r="D215" i="135"/>
  <c r="D214" i="135"/>
  <c r="D217" i="135"/>
  <c r="D169" i="135"/>
  <c r="D193" i="135"/>
  <c r="D188" i="135"/>
  <c r="D198" i="135"/>
  <c r="D175" i="135"/>
  <c r="D213" i="135"/>
  <c r="D172" i="135"/>
  <c r="D208" i="135"/>
  <c r="L105" i="134"/>
  <c r="L79" i="134"/>
  <c r="L38" i="134"/>
  <c r="D112" i="135"/>
  <c r="D50" i="135"/>
  <c r="D136" i="135"/>
  <c r="D52" i="135"/>
  <c r="D158" i="135"/>
  <c r="D55" i="135"/>
  <c r="D76" i="135"/>
  <c r="D111" i="135"/>
  <c r="D159" i="135"/>
  <c r="D25" i="135"/>
  <c r="D153" i="135"/>
  <c r="D143" i="135"/>
  <c r="D144" i="135"/>
  <c r="D119" i="135"/>
  <c r="D129" i="135"/>
  <c r="D131" i="135"/>
  <c r="D51" i="135"/>
  <c r="K13" i="134"/>
  <c r="K64" i="134"/>
  <c r="K211" i="134"/>
  <c r="K208" i="134"/>
  <c r="K217" i="134"/>
  <c r="K209" i="134"/>
  <c r="K214" i="134"/>
  <c r="K216" i="134"/>
  <c r="K215" i="134"/>
  <c r="L207" i="134"/>
  <c r="K207" i="134"/>
  <c r="K212" i="134"/>
  <c r="K213" i="134"/>
  <c r="K210" i="134"/>
  <c r="K195" i="134"/>
  <c r="K206" i="134"/>
  <c r="K203" i="134"/>
  <c r="K106" i="134"/>
  <c r="K112" i="134"/>
  <c r="K89" i="134"/>
  <c r="K101" i="134"/>
  <c r="L157" i="134"/>
  <c r="K157" i="134"/>
  <c r="K149" i="134"/>
  <c r="K141" i="134"/>
  <c r="K133" i="134"/>
  <c r="K125" i="134"/>
  <c r="K117" i="134"/>
  <c r="K162" i="134"/>
  <c r="K154" i="134"/>
  <c r="K146" i="134"/>
  <c r="K138" i="134"/>
  <c r="K122" i="134"/>
  <c r="L114" i="134"/>
  <c r="K114" i="134"/>
  <c r="K68" i="134"/>
  <c r="K55" i="134"/>
  <c r="K59" i="134"/>
  <c r="K76" i="134"/>
  <c r="K26" i="134"/>
  <c r="K56" i="134"/>
  <c r="K12" i="134"/>
  <c r="K53" i="134"/>
  <c r="K72" i="134"/>
  <c r="K110" i="134"/>
  <c r="K78" i="134"/>
  <c r="K47" i="134"/>
  <c r="K73" i="134"/>
  <c r="L163" i="134"/>
  <c r="K163" i="134"/>
  <c r="K155" i="134"/>
  <c r="K147" i="134"/>
  <c r="K139" i="134"/>
  <c r="K131" i="134"/>
  <c r="K123" i="134"/>
  <c r="K115" i="134"/>
  <c r="K152" i="134"/>
  <c r="K144" i="134"/>
  <c r="K136" i="134"/>
  <c r="K128" i="134"/>
  <c r="K120" i="134"/>
  <c r="K46" i="134"/>
  <c r="K63" i="134"/>
  <c r="K62" i="134"/>
  <c r="K70" i="134"/>
  <c r="K25" i="134"/>
  <c r="K6" i="134"/>
  <c r="K37" i="134"/>
  <c r="K45" i="134"/>
  <c r="L16" i="134"/>
  <c r="K111" i="134"/>
  <c r="L161" i="134"/>
  <c r="K161" i="134"/>
  <c r="K153" i="134"/>
  <c r="K145" i="134"/>
  <c r="K137" i="134"/>
  <c r="K129" i="134"/>
  <c r="K121" i="134"/>
  <c r="K158" i="134"/>
  <c r="K150" i="134"/>
  <c r="K142" i="134"/>
  <c r="K134" i="134"/>
  <c r="L126" i="134"/>
  <c r="K126" i="134"/>
  <c r="K118" i="134"/>
  <c r="K51" i="134"/>
  <c r="K80" i="134"/>
  <c r="K58" i="134"/>
  <c r="K67" i="134"/>
  <c r="K22" i="134"/>
  <c r="K77" i="134"/>
  <c r="K39" i="134"/>
  <c r="K27" i="134"/>
  <c r="K81" i="134"/>
  <c r="K74" i="134"/>
  <c r="K48" i="134"/>
  <c r="K159" i="134"/>
  <c r="K151" i="134"/>
  <c r="K143" i="134"/>
  <c r="K135" i="134"/>
  <c r="K127" i="134"/>
  <c r="K119" i="134"/>
  <c r="L164" i="134"/>
  <c r="K164" i="134"/>
  <c r="K156" i="134"/>
  <c r="K148" i="134"/>
  <c r="K140" i="134"/>
  <c r="K132" i="134"/>
  <c r="L124" i="134"/>
  <c r="K124" i="134"/>
  <c r="K116" i="134"/>
  <c r="K66" i="134"/>
  <c r="K130" i="134"/>
  <c r="K50" i="134"/>
  <c r="K71" i="134"/>
  <c r="K18" i="134"/>
  <c r="K83" i="134"/>
  <c r="K75" i="134"/>
  <c r="K60" i="134"/>
  <c r="K44" i="134"/>
  <c r="K52" i="134"/>
  <c r="K65" i="134"/>
  <c r="D12" i="135"/>
  <c r="E292" i="135"/>
  <c r="G329" i="135" l="1"/>
  <c r="I31" i="135"/>
  <c r="K328" i="135"/>
  <c r="O328" i="135"/>
  <c r="L328" i="135"/>
  <c r="M328" i="135"/>
  <c r="J328" i="135"/>
  <c r="N328" i="135"/>
  <c r="H329" i="135"/>
  <c r="H293" i="135"/>
  <c r="G299" i="135"/>
  <c r="M271" i="135"/>
  <c r="I271" i="135" s="1"/>
  <c r="E288" i="135"/>
  <c r="D290" i="135"/>
  <c r="D203" i="135"/>
  <c r="D47" i="135"/>
  <c r="D133" i="135"/>
  <c r="K325" i="135"/>
  <c r="L325" i="135"/>
  <c r="J325" i="135"/>
  <c r="M325" i="135"/>
  <c r="O325" i="135"/>
  <c r="N325" i="135"/>
  <c r="D141" i="135"/>
  <c r="K308" i="135"/>
  <c r="D161" i="135"/>
  <c r="D292" i="135"/>
  <c r="F292" i="135" s="1"/>
  <c r="M308" i="135"/>
  <c r="O308" i="135"/>
  <c r="N308" i="135"/>
  <c r="L308" i="135"/>
  <c r="E270" i="135"/>
  <c r="D269" i="135"/>
  <c r="G257" i="135"/>
  <c r="D71" i="135"/>
  <c r="M205" i="135"/>
  <c r="D195" i="135"/>
  <c r="G322" i="135"/>
  <c r="E14" i="135"/>
  <c r="F14" i="135" s="1"/>
  <c r="D82" i="135"/>
  <c r="D270" i="135"/>
  <c r="G305" i="135"/>
  <c r="D192" i="135"/>
  <c r="D183" i="135"/>
  <c r="H296" i="135"/>
  <c r="D60" i="135"/>
  <c r="E295" i="135"/>
  <c r="F295" i="135" s="1"/>
  <c r="E312" i="135"/>
  <c r="F312" i="135" s="1"/>
  <c r="D145" i="135"/>
  <c r="G29" i="135"/>
  <c r="E144" i="135"/>
  <c r="F144" i="135" s="1"/>
  <c r="D75" i="135"/>
  <c r="J280" i="135"/>
  <c r="N280" i="135"/>
  <c r="L280" i="135"/>
  <c r="O280" i="135"/>
  <c r="K280" i="135"/>
  <c r="M280" i="135"/>
  <c r="G310" i="135"/>
  <c r="D78" i="135"/>
  <c r="G313" i="135"/>
  <c r="D152" i="135"/>
  <c r="E315" i="135"/>
  <c r="F315" i="135" s="1"/>
  <c r="G28" i="135"/>
  <c r="M321" i="135"/>
  <c r="K321" i="135"/>
  <c r="J321" i="135"/>
  <c r="O321" i="135"/>
  <c r="N321" i="135"/>
  <c r="L321" i="135"/>
  <c r="D58" i="135"/>
  <c r="D95" i="135"/>
  <c r="D130" i="135"/>
  <c r="D80" i="135"/>
  <c r="D89" i="135"/>
  <c r="D79" i="135"/>
  <c r="H307" i="135"/>
  <c r="D67" i="135"/>
  <c r="D48" i="135"/>
  <c r="H313" i="135"/>
  <c r="H285" i="135"/>
  <c r="G309" i="135"/>
  <c r="H317" i="135"/>
  <c r="H291" i="135"/>
  <c r="D138" i="135"/>
  <c r="G33" i="135"/>
  <c r="H29" i="135"/>
  <c r="D81" i="135"/>
  <c r="D147" i="135"/>
  <c r="D263" i="135"/>
  <c r="E263" i="135"/>
  <c r="E281" i="135"/>
  <c r="D282" i="135"/>
  <c r="D281" i="135"/>
  <c r="E282" i="135"/>
  <c r="E267" i="135"/>
  <c r="E268" i="135"/>
  <c r="F268" i="135" s="1"/>
  <c r="D267" i="135"/>
  <c r="D180" i="135"/>
  <c r="D98" i="135"/>
  <c r="E25" i="135"/>
  <c r="F25" i="135" s="1"/>
  <c r="D266" i="135"/>
  <c r="E266" i="135"/>
  <c r="E51" i="135"/>
  <c r="F51" i="135" s="1"/>
  <c r="E52" i="135"/>
  <c r="F52" i="135" s="1"/>
  <c r="D155" i="135"/>
  <c r="D212" i="135"/>
  <c r="D265" i="135"/>
  <c r="E265" i="135"/>
  <c r="D132" i="135"/>
  <c r="E121" i="135"/>
  <c r="F121" i="135" s="1"/>
  <c r="D59" i="135"/>
  <c r="E119" i="135"/>
  <c r="F119" i="135" s="1"/>
  <c r="E258" i="135"/>
  <c r="D258" i="135"/>
  <c r="E131" i="135"/>
  <c r="F131" i="135" s="1"/>
  <c r="E69" i="135"/>
  <c r="D246" i="135"/>
  <c r="D69" i="135"/>
  <c r="E246" i="135"/>
  <c r="E96" i="135"/>
  <c r="D91" i="135"/>
  <c r="E122" i="135"/>
  <c r="F122" i="135" s="1"/>
  <c r="E88" i="135"/>
  <c r="E91" i="135"/>
  <c r="D247" i="135"/>
  <c r="E247" i="135"/>
  <c r="E111" i="135"/>
  <c r="F111" i="135" s="1"/>
  <c r="E156" i="135"/>
  <c r="F156" i="135" s="1"/>
  <c r="D56" i="135"/>
  <c r="E127" i="135"/>
  <c r="F127" i="135" s="1"/>
  <c r="E84" i="135"/>
  <c r="E99" i="135"/>
  <c r="E236" i="135"/>
  <c r="E86" i="135"/>
  <c r="E85" i="135"/>
  <c r="E105" i="135"/>
  <c r="F105" i="135" s="1"/>
  <c r="E221" i="135"/>
  <c r="E232" i="135"/>
  <c r="E231" i="135"/>
  <c r="E37" i="135"/>
  <c r="E200" i="135"/>
  <c r="F200" i="135" s="1"/>
  <c r="E175" i="135"/>
  <c r="F175" i="135" s="1"/>
  <c r="E191" i="135"/>
  <c r="E248" i="135"/>
  <c r="E222" i="135"/>
  <c r="D249" i="135"/>
  <c r="D123" i="135"/>
  <c r="D204" i="135"/>
  <c r="D251" i="135"/>
  <c r="D164" i="135"/>
  <c r="D92" i="135"/>
  <c r="D64" i="135"/>
  <c r="D223" i="135"/>
  <c r="D142" i="135"/>
  <c r="D239" i="135"/>
  <c r="D118" i="135"/>
  <c r="D234" i="135"/>
  <c r="D104" i="135"/>
  <c r="D240" i="135"/>
  <c r="D44" i="135"/>
  <c r="D191" i="135"/>
  <c r="D42" i="135"/>
  <c r="D232" i="135"/>
  <c r="E240" i="135"/>
  <c r="E224" i="135"/>
  <c r="E7" i="135"/>
  <c r="E252" i="135"/>
  <c r="E242" i="135"/>
  <c r="E251" i="135"/>
  <c r="E42" i="135"/>
  <c r="E225" i="135"/>
  <c r="E223" i="135"/>
  <c r="D226" i="135"/>
  <c r="D222" i="135"/>
  <c r="D94" i="135"/>
  <c r="D54" i="135"/>
  <c r="D220" i="135"/>
  <c r="D224" i="135"/>
  <c r="E234" i="135"/>
  <c r="E139" i="135"/>
  <c r="F139" i="135" s="1"/>
  <c r="E233" i="135"/>
  <c r="E93" i="135"/>
  <c r="E249" i="135"/>
  <c r="E226" i="135"/>
  <c r="E61" i="135"/>
  <c r="E239" i="135"/>
  <c r="D225" i="135"/>
  <c r="D248" i="135"/>
  <c r="F248" i="135" s="1"/>
  <c r="D13" i="135"/>
  <c r="D86" i="135"/>
  <c r="D190" i="135"/>
  <c r="D77" i="135"/>
  <c r="D242" i="135"/>
  <c r="D46" i="135"/>
  <c r="D68" i="135"/>
  <c r="D252" i="135"/>
  <c r="D85" i="135"/>
  <c r="D101" i="135"/>
  <c r="D231" i="135"/>
  <c r="D107" i="135"/>
  <c r="D117" i="135"/>
  <c r="D96" i="135"/>
  <c r="D109" i="135"/>
  <c r="D115" i="135"/>
  <c r="D236" i="135"/>
  <c r="F236" i="135" s="1"/>
  <c r="D99" i="135"/>
  <c r="D233" i="135"/>
  <c r="D84" i="135"/>
  <c r="E220" i="135"/>
  <c r="E204" i="135"/>
  <c r="D93" i="135"/>
  <c r="D61" i="135"/>
  <c r="D88" i="135"/>
  <c r="D140" i="135"/>
  <c r="D7" i="135"/>
  <c r="D165" i="135"/>
  <c r="L66" i="134"/>
  <c r="L65" i="134"/>
  <c r="L75" i="134"/>
  <c r="L50" i="134"/>
  <c r="L74" i="134"/>
  <c r="L77" i="134"/>
  <c r="L67" i="134"/>
  <c r="L80" i="134"/>
  <c r="L62" i="134"/>
  <c r="L110" i="134"/>
  <c r="L56" i="134"/>
  <c r="L76" i="134"/>
  <c r="L55" i="134"/>
  <c r="D27" i="135"/>
  <c r="D37" i="135"/>
  <c r="L60" i="134"/>
  <c r="L83" i="134"/>
  <c r="E83" i="135"/>
  <c r="L71" i="134"/>
  <c r="L81" i="134"/>
  <c r="L58" i="134"/>
  <c r="L70" i="134"/>
  <c r="E70" i="135"/>
  <c r="L63" i="134"/>
  <c r="L78" i="134"/>
  <c r="L72" i="134"/>
  <c r="L59" i="134"/>
  <c r="L68" i="134"/>
  <c r="D83" i="135"/>
  <c r="L13" i="134"/>
  <c r="L37" i="134"/>
  <c r="L25" i="134"/>
  <c r="L46" i="134"/>
  <c r="L47" i="134"/>
  <c r="L53" i="134"/>
  <c r="L44" i="134"/>
  <c r="L18" i="134"/>
  <c r="L39" i="134"/>
  <c r="L22" i="134"/>
  <c r="L51" i="134"/>
  <c r="L6" i="134"/>
  <c r="L12" i="134"/>
  <c r="L26" i="134"/>
  <c r="L52" i="134"/>
  <c r="L27" i="134"/>
  <c r="L206" i="134"/>
  <c r="L214" i="134"/>
  <c r="L217" i="134"/>
  <c r="L213" i="134"/>
  <c r="L216" i="134"/>
  <c r="L211" i="134"/>
  <c r="L203" i="134"/>
  <c r="L64" i="134"/>
  <c r="L209" i="134"/>
  <c r="L195" i="134"/>
  <c r="L210" i="134"/>
  <c r="L212" i="134"/>
  <c r="L215" i="134"/>
  <c r="L208" i="134"/>
  <c r="L89" i="134"/>
  <c r="L111" i="134"/>
  <c r="L45" i="134"/>
  <c r="L106" i="134"/>
  <c r="L140" i="134"/>
  <c r="L156" i="134"/>
  <c r="L119" i="134"/>
  <c r="L135" i="134"/>
  <c r="L151" i="134"/>
  <c r="L142" i="134"/>
  <c r="L158" i="134"/>
  <c r="L129" i="134"/>
  <c r="L145" i="134"/>
  <c r="L128" i="134"/>
  <c r="L144" i="134"/>
  <c r="L115" i="134"/>
  <c r="L131" i="134"/>
  <c r="L147" i="134"/>
  <c r="L138" i="134"/>
  <c r="L154" i="134"/>
  <c r="L117" i="134"/>
  <c r="L133" i="134"/>
  <c r="L149" i="134"/>
  <c r="L48" i="134"/>
  <c r="L112" i="134"/>
  <c r="L130" i="134"/>
  <c r="L73" i="134"/>
  <c r="L101" i="134"/>
  <c r="L116" i="134"/>
  <c r="L132" i="134"/>
  <c r="L148" i="134"/>
  <c r="L127" i="134"/>
  <c r="L143" i="134"/>
  <c r="L159" i="134"/>
  <c r="L118" i="134"/>
  <c r="L134" i="134"/>
  <c r="L150" i="134"/>
  <c r="L121" i="134"/>
  <c r="L137" i="134"/>
  <c r="L153" i="134"/>
  <c r="L120" i="134"/>
  <c r="L136" i="134"/>
  <c r="L152" i="134"/>
  <c r="L123" i="134"/>
  <c r="L139" i="134"/>
  <c r="L155" i="134"/>
  <c r="L122" i="134"/>
  <c r="L146" i="134"/>
  <c r="L162" i="134"/>
  <c r="L125" i="134"/>
  <c r="L141" i="134"/>
  <c r="M329" i="135" l="1"/>
  <c r="O329" i="135"/>
  <c r="J329" i="135"/>
  <c r="L329" i="135"/>
  <c r="N329" i="135"/>
  <c r="K329" i="135"/>
  <c r="N293" i="135"/>
  <c r="O293" i="135"/>
  <c r="K293" i="135"/>
  <c r="M293" i="135"/>
  <c r="J293" i="135"/>
  <c r="L293" i="135"/>
  <c r="I328" i="135"/>
  <c r="H299" i="135"/>
  <c r="F88" i="135"/>
  <c r="F84" i="135"/>
  <c r="F96" i="135"/>
  <c r="F242" i="135"/>
  <c r="F232" i="135"/>
  <c r="F267" i="135"/>
  <c r="F224" i="135"/>
  <c r="F222" i="135"/>
  <c r="F233" i="135"/>
  <c r="D221" i="135"/>
  <c r="F221" i="135" s="1"/>
  <c r="D160" i="135"/>
  <c r="D70" i="135"/>
  <c r="F70" i="135" s="1"/>
  <c r="D288" i="135"/>
  <c r="F288" i="135" s="1"/>
  <c r="I325" i="135"/>
  <c r="I308" i="135"/>
  <c r="H318" i="135"/>
  <c r="E212" i="135"/>
  <c r="F212" i="135" s="1"/>
  <c r="F270" i="135"/>
  <c r="E112" i="135"/>
  <c r="F112" i="135" s="1"/>
  <c r="H257" i="135"/>
  <c r="K205" i="135"/>
  <c r="N205" i="135"/>
  <c r="O205" i="135"/>
  <c r="J205" i="135"/>
  <c r="L205" i="135"/>
  <c r="G14" i="135"/>
  <c r="E196" i="135"/>
  <c r="F196" i="135" s="1"/>
  <c r="E79" i="135"/>
  <c r="F79" i="135" s="1"/>
  <c r="H322" i="135"/>
  <c r="H305" i="135"/>
  <c r="J296" i="135"/>
  <c r="L296" i="135"/>
  <c r="O296" i="135"/>
  <c r="N296" i="135"/>
  <c r="M296" i="135"/>
  <c r="K296" i="135"/>
  <c r="E244" i="135"/>
  <c r="H312" i="135"/>
  <c r="G312" i="135"/>
  <c r="D244" i="135"/>
  <c r="F37" i="135"/>
  <c r="E101" i="135"/>
  <c r="F101" i="135" s="1"/>
  <c r="F83" i="135"/>
  <c r="H310" i="135"/>
  <c r="I280" i="135"/>
  <c r="D57" i="135"/>
  <c r="F85" i="135"/>
  <c r="D103" i="135"/>
  <c r="E103" i="135"/>
  <c r="H28" i="135"/>
  <c r="I321" i="135"/>
  <c r="D102" i="135"/>
  <c r="F252" i="135"/>
  <c r="F225" i="135"/>
  <c r="F191" i="135"/>
  <c r="E104" i="135"/>
  <c r="F104" i="135" s="1"/>
  <c r="F266" i="135"/>
  <c r="F7" i="135"/>
  <c r="F61" i="135"/>
  <c r="F99" i="135"/>
  <c r="D120" i="135"/>
  <c r="F93" i="135"/>
  <c r="D230" i="135"/>
  <c r="F281" i="135"/>
  <c r="F42" i="135"/>
  <c r="F240" i="135"/>
  <c r="F69" i="135"/>
  <c r="F226" i="135"/>
  <c r="D45" i="135"/>
  <c r="E102" i="135"/>
  <c r="D90" i="135"/>
  <c r="E100" i="135"/>
  <c r="E47" i="135"/>
  <c r="F47" i="135" s="1"/>
  <c r="E120" i="135"/>
  <c r="F282" i="135"/>
  <c r="F239" i="135"/>
  <c r="F249" i="135"/>
  <c r="F231" i="135"/>
  <c r="E108" i="135"/>
  <c r="E27" i="135"/>
  <c r="F27" i="135" s="1"/>
  <c r="E92" i="135"/>
  <c r="F92" i="135" s="1"/>
  <c r="E123" i="135"/>
  <c r="F123" i="135" s="1"/>
  <c r="F265" i="135"/>
  <c r="E140" i="135"/>
  <c r="F140" i="135" s="1"/>
  <c r="E141" i="135"/>
  <c r="F141" i="135" s="1"/>
  <c r="F263" i="135"/>
  <c r="F220" i="135"/>
  <c r="F223" i="135"/>
  <c r="F251" i="135"/>
  <c r="E230" i="135"/>
  <c r="F86" i="135"/>
  <c r="F91" i="135"/>
  <c r="F246" i="135"/>
  <c r="E64" i="135"/>
  <c r="F64" i="135" s="1"/>
  <c r="F258" i="135"/>
  <c r="E117" i="135"/>
  <c r="F117" i="135" s="1"/>
  <c r="F234" i="135"/>
  <c r="D108" i="135"/>
  <c r="F204" i="135"/>
  <c r="F247" i="135"/>
  <c r="D100" i="135"/>
  <c r="E90" i="135"/>
  <c r="E132" i="135"/>
  <c r="F132" i="135" s="1"/>
  <c r="E145" i="135"/>
  <c r="F145" i="135" s="1"/>
  <c r="O307" i="135"/>
  <c r="M307" i="135"/>
  <c r="J307" i="135"/>
  <c r="N307" i="135"/>
  <c r="K307" i="135"/>
  <c r="L307" i="135"/>
  <c r="E189" i="135"/>
  <c r="F189" i="135" s="1"/>
  <c r="E167" i="135"/>
  <c r="F167" i="135" s="1"/>
  <c r="E169" i="135"/>
  <c r="F169" i="135" s="1"/>
  <c r="E163" i="135"/>
  <c r="F163" i="135" s="1"/>
  <c r="E164" i="135"/>
  <c r="F164" i="135" s="1"/>
  <c r="E168" i="135"/>
  <c r="F168" i="135" s="1"/>
  <c r="E215" i="135"/>
  <c r="F215" i="135" s="1"/>
  <c r="E210" i="135"/>
  <c r="F210" i="135" s="1"/>
  <c r="E174" i="135"/>
  <c r="F174" i="135" s="1"/>
  <c r="E138" i="135"/>
  <c r="F138" i="135" s="1"/>
  <c r="E26" i="135"/>
  <c r="F26" i="135" s="1"/>
  <c r="E190" i="135"/>
  <c r="F190" i="135" s="1"/>
  <c r="E73" i="135"/>
  <c r="F73" i="135" s="1"/>
  <c r="E193" i="135"/>
  <c r="F193" i="135" s="1"/>
  <c r="E213" i="135"/>
  <c r="F213" i="135" s="1"/>
  <c r="E192" i="135"/>
  <c r="F192" i="135" s="1"/>
  <c r="E201" i="135"/>
  <c r="F201" i="135" s="1"/>
  <c r="E203" i="135"/>
  <c r="F203" i="135" s="1"/>
  <c r="E187" i="135"/>
  <c r="F187" i="135" s="1"/>
  <c r="E24" i="135"/>
  <c r="F24" i="135" s="1"/>
  <c r="E44" i="135"/>
  <c r="F44" i="135" s="1"/>
  <c r="E13" i="135"/>
  <c r="F13" i="135" s="1"/>
  <c r="E211" i="135"/>
  <c r="F211" i="135" s="1"/>
  <c r="E178" i="135"/>
  <c r="F178" i="135" s="1"/>
  <c r="E172" i="135"/>
  <c r="F172" i="135" s="1"/>
  <c r="E183" i="135"/>
  <c r="F183" i="135" s="1"/>
  <c r="E181" i="135"/>
  <c r="F181" i="135" s="1"/>
  <c r="E214" i="135"/>
  <c r="F214" i="135" s="1"/>
  <c r="E206" i="135"/>
  <c r="F206" i="135" s="1"/>
  <c r="E216" i="135"/>
  <c r="F216" i="135" s="1"/>
  <c r="E165" i="135"/>
  <c r="F165" i="135" s="1"/>
  <c r="E198" i="135"/>
  <c r="F198" i="135" s="1"/>
  <c r="E180" i="135"/>
  <c r="F180" i="135" s="1"/>
  <c r="E173" i="135"/>
  <c r="F173" i="135" s="1"/>
  <c r="E208" i="135"/>
  <c r="F208" i="135" s="1"/>
  <c r="E171" i="135"/>
  <c r="F171" i="135" s="1"/>
  <c r="E194" i="135"/>
  <c r="F194" i="135" s="1"/>
  <c r="E53" i="135"/>
  <c r="F53" i="135" s="1"/>
  <c r="E46" i="135"/>
  <c r="F46" i="135" s="1"/>
  <c r="E106" i="135"/>
  <c r="F106" i="135" s="1"/>
  <c r="E170" i="135"/>
  <c r="F170" i="135" s="1"/>
  <c r="E161" i="135"/>
  <c r="F161" i="135" s="1"/>
  <c r="E217" i="135"/>
  <c r="F217" i="135" s="1"/>
  <c r="E135" i="135"/>
  <c r="F135" i="135" s="1"/>
  <c r="E179" i="135"/>
  <c r="F179" i="135" s="1"/>
  <c r="E209" i="135"/>
  <c r="F209" i="135" s="1"/>
  <c r="E137" i="135"/>
  <c r="F137" i="135" s="1"/>
  <c r="E162" i="135"/>
  <c r="F162" i="135" s="1"/>
  <c r="E134" i="135"/>
  <c r="F134" i="135" s="1"/>
  <c r="E155" i="135"/>
  <c r="F155" i="135" s="1"/>
  <c r="E125" i="135"/>
  <c r="F125" i="135" s="1"/>
  <c r="E152" i="135"/>
  <c r="F152" i="135" s="1"/>
  <c r="E118" i="135"/>
  <c r="F118" i="135" s="1"/>
  <c r="E150" i="135"/>
  <c r="F150" i="135" s="1"/>
  <c r="E158" i="135"/>
  <c r="F158" i="135" s="1"/>
  <c r="E115" i="135"/>
  <c r="F115" i="135" s="1"/>
  <c r="E159" i="135"/>
  <c r="F159" i="135" s="1"/>
  <c r="E136" i="135"/>
  <c r="F136" i="135" s="1"/>
  <c r="E147" i="135"/>
  <c r="F147" i="135" s="1"/>
  <c r="E128" i="135"/>
  <c r="F128" i="135" s="1"/>
  <c r="E129" i="135"/>
  <c r="F129" i="135" s="1"/>
  <c r="E148" i="135"/>
  <c r="F148" i="135" s="1"/>
  <c r="E151" i="135"/>
  <c r="F151" i="135" s="1"/>
  <c r="E160" i="135"/>
  <c r="E142" i="135"/>
  <c r="F142" i="135" s="1"/>
  <c r="E143" i="135"/>
  <c r="F143" i="135" s="1"/>
  <c r="E149" i="135"/>
  <c r="F149" i="135" s="1"/>
  <c r="E133" i="135"/>
  <c r="F133" i="135" s="1"/>
  <c r="E113" i="135"/>
  <c r="F113" i="135" s="1"/>
  <c r="G250" i="135"/>
  <c r="E250" i="135"/>
  <c r="F250" i="135" s="1"/>
  <c r="E237" i="135"/>
  <c r="F237" i="135" s="1"/>
  <c r="E219" i="135"/>
  <c r="F219" i="135" s="1"/>
  <c r="E153" i="135"/>
  <c r="F153" i="135" s="1"/>
  <c r="E154" i="135"/>
  <c r="F154" i="135" s="1"/>
  <c r="E146" i="135"/>
  <c r="F146" i="135" s="1"/>
  <c r="E238" i="135"/>
  <c r="F238" i="135" s="1"/>
  <c r="E261" i="135"/>
  <c r="F261" i="135" s="1"/>
  <c r="E49" i="135"/>
  <c r="F49" i="135" s="1"/>
  <c r="E245" i="135"/>
  <c r="F245" i="135" s="1"/>
  <c r="G254" i="135"/>
  <c r="E254" i="135"/>
  <c r="F254" i="135" s="1"/>
  <c r="G259" i="135"/>
  <c r="E259" i="135"/>
  <c r="F259" i="135" s="1"/>
  <c r="E256" i="135"/>
  <c r="F256" i="135" s="1"/>
  <c r="E243" i="135"/>
  <c r="F243" i="135" s="1"/>
  <c r="G269" i="135"/>
  <c r="E269" i="135"/>
  <c r="F269" i="135" s="1"/>
  <c r="E273" i="135"/>
  <c r="F273" i="135" s="1"/>
  <c r="E255" i="135"/>
  <c r="F255" i="135" s="1"/>
  <c r="E274" i="135"/>
  <c r="F274" i="135" s="1"/>
  <c r="G275" i="135"/>
  <c r="E275" i="135"/>
  <c r="F275" i="135" s="1"/>
  <c r="K291" i="135"/>
  <c r="O291" i="135"/>
  <c r="J291" i="135"/>
  <c r="N291" i="135"/>
  <c r="L291" i="135"/>
  <c r="M291" i="135"/>
  <c r="H309" i="135"/>
  <c r="M313" i="135"/>
  <c r="J313" i="135"/>
  <c r="O313" i="135"/>
  <c r="K313" i="135"/>
  <c r="L313" i="135"/>
  <c r="N313" i="135"/>
  <c r="L317" i="135"/>
  <c r="M317" i="135"/>
  <c r="J317" i="135"/>
  <c r="N317" i="135"/>
  <c r="K317" i="135"/>
  <c r="O317" i="135"/>
  <c r="G304" i="135"/>
  <c r="M285" i="135"/>
  <c r="L285" i="135"/>
  <c r="N285" i="135"/>
  <c r="O285" i="135"/>
  <c r="J285" i="135"/>
  <c r="K285" i="135"/>
  <c r="H33" i="135"/>
  <c r="E54" i="135"/>
  <c r="F54" i="135" s="1"/>
  <c r="E94" i="135"/>
  <c r="F94" i="135" s="1"/>
  <c r="E264" i="135"/>
  <c r="F264" i="135" s="1"/>
  <c r="E57" i="135"/>
  <c r="E12" i="135"/>
  <c r="F12" i="135" s="1"/>
  <c r="E109" i="135"/>
  <c r="F109" i="135" s="1"/>
  <c r="E17" i="135"/>
  <c r="F17" i="135" s="1"/>
  <c r="E95" i="135"/>
  <c r="F95" i="135" s="1"/>
  <c r="E87" i="135"/>
  <c r="F87" i="135" s="1"/>
  <c r="E59" i="135"/>
  <c r="F59" i="135" s="1"/>
  <c r="E78" i="135"/>
  <c r="F78" i="135" s="1"/>
  <c r="E81" i="135"/>
  <c r="F81" i="135" s="1"/>
  <c r="E186" i="135"/>
  <c r="F186" i="135" s="1"/>
  <c r="E76" i="135"/>
  <c r="F76" i="135" s="1"/>
  <c r="E110" i="135"/>
  <c r="F110" i="135" s="1"/>
  <c r="E80" i="135"/>
  <c r="F80" i="135" s="1"/>
  <c r="E77" i="135"/>
  <c r="F77" i="135" s="1"/>
  <c r="E50" i="135"/>
  <c r="F50" i="135" s="1"/>
  <c r="E65" i="135"/>
  <c r="F65" i="135" s="1"/>
  <c r="E184" i="135"/>
  <c r="F184" i="135" s="1"/>
  <c r="E66" i="135"/>
  <c r="F66" i="135" s="1"/>
  <c r="E202" i="135"/>
  <c r="F202" i="135" s="1"/>
  <c r="E68" i="135"/>
  <c r="F68" i="135" s="1"/>
  <c r="E72" i="135"/>
  <c r="F72" i="135" s="1"/>
  <c r="E63" i="135"/>
  <c r="F63" i="135" s="1"/>
  <c r="E58" i="135"/>
  <c r="F58" i="135" s="1"/>
  <c r="E71" i="135"/>
  <c r="F71" i="135" s="1"/>
  <c r="E60" i="135"/>
  <c r="F60" i="135" s="1"/>
  <c r="E55" i="135"/>
  <c r="F55" i="135" s="1"/>
  <c r="E56" i="135"/>
  <c r="F56" i="135" s="1"/>
  <c r="E62" i="135"/>
  <c r="F62" i="135" s="1"/>
  <c r="E67" i="135"/>
  <c r="F67" i="135" s="1"/>
  <c r="E74" i="135"/>
  <c r="F74" i="135" s="1"/>
  <c r="E75" i="135"/>
  <c r="F75" i="135" s="1"/>
  <c r="E188" i="135"/>
  <c r="F188" i="135" s="1"/>
  <c r="E185" i="135"/>
  <c r="F185" i="135" s="1"/>
  <c r="E195" i="135"/>
  <c r="F195" i="135" s="1"/>
  <c r="E5" i="135"/>
  <c r="F5" i="135" s="1"/>
  <c r="I26" i="121"/>
  <c r="H26" i="121"/>
  <c r="I22" i="121"/>
  <c r="H22" i="121"/>
  <c r="H10" i="121"/>
  <c r="I10" i="121"/>
  <c r="H11" i="121"/>
  <c r="I11" i="121"/>
  <c r="H12" i="121"/>
  <c r="I12" i="121"/>
  <c r="H13" i="121"/>
  <c r="I13" i="121"/>
  <c r="H14" i="121"/>
  <c r="I14" i="121"/>
  <c r="H15" i="121"/>
  <c r="I15" i="121"/>
  <c r="H16" i="121"/>
  <c r="I16" i="121"/>
  <c r="H17" i="121"/>
  <c r="I17" i="121"/>
  <c r="H18" i="121"/>
  <c r="I18" i="121"/>
  <c r="H19" i="121"/>
  <c r="I19" i="121"/>
  <c r="H20" i="121"/>
  <c r="I20" i="121"/>
  <c r="H21" i="121"/>
  <c r="I21" i="121"/>
  <c r="H23" i="121"/>
  <c r="I23" i="121"/>
  <c r="H24" i="121"/>
  <c r="I24" i="121"/>
  <c r="H25" i="121"/>
  <c r="I25" i="121"/>
  <c r="H27" i="121"/>
  <c r="I27" i="121"/>
  <c r="H28" i="121"/>
  <c r="I28" i="121"/>
  <c r="H29" i="121"/>
  <c r="I29" i="121"/>
  <c r="H30" i="121"/>
  <c r="I30" i="121"/>
  <c r="H31" i="121"/>
  <c r="I31" i="121"/>
  <c r="H32" i="121"/>
  <c r="I32" i="121"/>
  <c r="H33" i="121"/>
  <c r="I33" i="121"/>
  <c r="H34" i="121"/>
  <c r="I34" i="121"/>
  <c r="H35" i="121"/>
  <c r="I35" i="121"/>
  <c r="H36" i="121"/>
  <c r="I36" i="121"/>
  <c r="H37" i="121"/>
  <c r="I37" i="121"/>
  <c r="H38" i="121"/>
  <c r="I38" i="121"/>
  <c r="H39" i="121"/>
  <c r="I39" i="121"/>
  <c r="H40" i="121"/>
  <c r="I40" i="121"/>
  <c r="H41" i="121"/>
  <c r="I41" i="121"/>
  <c r="H42" i="121"/>
  <c r="I42" i="121"/>
  <c r="H43" i="121"/>
  <c r="I43" i="121"/>
  <c r="H44" i="121"/>
  <c r="I44" i="121"/>
  <c r="H45" i="121"/>
  <c r="I45" i="121"/>
  <c r="H46" i="121"/>
  <c r="I46" i="121"/>
  <c r="H47" i="121"/>
  <c r="I47" i="121"/>
  <c r="H48" i="121"/>
  <c r="I48" i="121"/>
  <c r="H49" i="121"/>
  <c r="I49" i="121"/>
  <c r="H50" i="121"/>
  <c r="I50" i="121"/>
  <c r="H51" i="121"/>
  <c r="I51" i="121"/>
  <c r="H52" i="121"/>
  <c r="I52" i="121"/>
  <c r="H53" i="121"/>
  <c r="I53" i="121"/>
  <c r="H54" i="121"/>
  <c r="I54" i="121"/>
  <c r="H55" i="121"/>
  <c r="I55" i="121"/>
  <c r="H56" i="121"/>
  <c r="I56" i="121"/>
  <c r="H57" i="121"/>
  <c r="I57" i="121"/>
  <c r="H58" i="121"/>
  <c r="I58" i="121"/>
  <c r="H59" i="121"/>
  <c r="I59" i="121"/>
  <c r="H60" i="121"/>
  <c r="I60" i="121"/>
  <c r="H61" i="121"/>
  <c r="I61" i="121"/>
  <c r="H62" i="121"/>
  <c r="I62" i="121"/>
  <c r="H63" i="121"/>
  <c r="I63" i="121"/>
  <c r="H64" i="121"/>
  <c r="I64" i="121"/>
  <c r="H65" i="121"/>
  <c r="I65" i="121"/>
  <c r="H66" i="121"/>
  <c r="I66" i="121"/>
  <c r="H67" i="121"/>
  <c r="I67" i="121"/>
  <c r="H68" i="121"/>
  <c r="I68" i="121"/>
  <c r="H69" i="121"/>
  <c r="I69" i="121"/>
  <c r="H70" i="121"/>
  <c r="I70" i="121"/>
  <c r="H71" i="121"/>
  <c r="I71" i="121"/>
  <c r="H72" i="121"/>
  <c r="I72" i="121"/>
  <c r="H73" i="121"/>
  <c r="I73" i="121"/>
  <c r="H74" i="121"/>
  <c r="I74" i="121"/>
  <c r="H75" i="121"/>
  <c r="I75" i="121"/>
  <c r="H76" i="121"/>
  <c r="I76" i="121"/>
  <c r="H77" i="121"/>
  <c r="I77" i="121"/>
  <c r="H78" i="121"/>
  <c r="I78" i="121"/>
  <c r="H79" i="121"/>
  <c r="I79" i="121"/>
  <c r="H80" i="121"/>
  <c r="I80" i="121"/>
  <c r="H81" i="121"/>
  <c r="I81" i="121"/>
  <c r="H82" i="121"/>
  <c r="I82" i="121"/>
  <c r="H83" i="121"/>
  <c r="I83" i="121"/>
  <c r="H84" i="121"/>
  <c r="I84" i="121"/>
  <c r="H85" i="121"/>
  <c r="I85" i="121"/>
  <c r="H86" i="121"/>
  <c r="I86" i="121"/>
  <c r="H87" i="121"/>
  <c r="I87" i="121"/>
  <c r="H88" i="121"/>
  <c r="I88" i="121"/>
  <c r="H89" i="121"/>
  <c r="I89" i="121"/>
  <c r="H90" i="121"/>
  <c r="I90" i="121"/>
  <c r="H91" i="121"/>
  <c r="I91" i="121"/>
  <c r="H92" i="121"/>
  <c r="I92" i="121"/>
  <c r="H93" i="121"/>
  <c r="I93" i="121"/>
  <c r="H94" i="121"/>
  <c r="I94" i="121"/>
  <c r="H95" i="121"/>
  <c r="I95" i="121"/>
  <c r="H96" i="121"/>
  <c r="I96" i="121"/>
  <c r="H97" i="121"/>
  <c r="I97" i="121"/>
  <c r="H98" i="121"/>
  <c r="I98" i="121"/>
  <c r="H99" i="121"/>
  <c r="I99" i="121"/>
  <c r="H100" i="121"/>
  <c r="I100" i="121"/>
  <c r="H101" i="121"/>
  <c r="I101" i="121"/>
  <c r="H102" i="121"/>
  <c r="I102" i="121"/>
  <c r="H103" i="121"/>
  <c r="I103" i="121"/>
  <c r="H104" i="121"/>
  <c r="I104" i="121"/>
  <c r="H105" i="121"/>
  <c r="I105" i="121"/>
  <c r="H106" i="121"/>
  <c r="I106" i="121"/>
  <c r="H107" i="121"/>
  <c r="I107" i="121"/>
  <c r="H108" i="121"/>
  <c r="I108" i="121"/>
  <c r="H109" i="121"/>
  <c r="I109" i="121"/>
  <c r="H110" i="121"/>
  <c r="I110" i="121"/>
  <c r="H111" i="121"/>
  <c r="I111" i="121"/>
  <c r="H112" i="121"/>
  <c r="I112" i="121"/>
  <c r="H113" i="121"/>
  <c r="I113" i="121"/>
  <c r="H114" i="121"/>
  <c r="I114" i="121"/>
  <c r="H115" i="121"/>
  <c r="I115" i="121"/>
  <c r="H116" i="121"/>
  <c r="I116" i="121"/>
  <c r="H117" i="121"/>
  <c r="I117" i="121"/>
  <c r="H118" i="121"/>
  <c r="I118" i="121"/>
  <c r="H120" i="121"/>
  <c r="I120" i="121"/>
  <c r="H119" i="121"/>
  <c r="I119" i="121"/>
  <c r="H121" i="121"/>
  <c r="I121" i="121"/>
  <c r="H122" i="121"/>
  <c r="I122" i="121"/>
  <c r="H123" i="121"/>
  <c r="I123" i="121"/>
  <c r="H124" i="121"/>
  <c r="I124" i="121"/>
  <c r="H125" i="121"/>
  <c r="I125" i="121"/>
  <c r="H126" i="121"/>
  <c r="I126" i="121"/>
  <c r="H127" i="121"/>
  <c r="I127" i="121"/>
  <c r="H128" i="121"/>
  <c r="I128" i="121"/>
  <c r="H129" i="121"/>
  <c r="I129" i="121"/>
  <c r="H130" i="121"/>
  <c r="I130" i="121"/>
  <c r="H131" i="121"/>
  <c r="I131" i="121"/>
  <c r="H132" i="121"/>
  <c r="I132" i="121"/>
  <c r="H133" i="121"/>
  <c r="I133" i="121"/>
  <c r="H134" i="121"/>
  <c r="I134" i="121"/>
  <c r="H135" i="121"/>
  <c r="I135" i="121"/>
  <c r="H136" i="121"/>
  <c r="I136" i="121"/>
  <c r="H137" i="121"/>
  <c r="I137" i="121"/>
  <c r="H138" i="121"/>
  <c r="I138" i="121"/>
  <c r="H139" i="121"/>
  <c r="I139" i="121"/>
  <c r="H140" i="121"/>
  <c r="I140" i="121"/>
  <c r="H141" i="121"/>
  <c r="I141" i="121"/>
  <c r="H142" i="121"/>
  <c r="I142" i="121"/>
  <c r="H143" i="121"/>
  <c r="I143" i="121"/>
  <c r="H144" i="121"/>
  <c r="I144" i="121"/>
  <c r="H145" i="121"/>
  <c r="I145" i="121"/>
  <c r="H146" i="121"/>
  <c r="I146" i="121"/>
  <c r="H147" i="121"/>
  <c r="I147" i="121"/>
  <c r="H148" i="121"/>
  <c r="I148" i="121"/>
  <c r="H149" i="121"/>
  <c r="I149" i="121"/>
  <c r="H150" i="121"/>
  <c r="I150" i="121"/>
  <c r="H151" i="121"/>
  <c r="I151" i="121"/>
  <c r="H152" i="121"/>
  <c r="I152" i="121"/>
  <c r="H153" i="121"/>
  <c r="I153" i="121"/>
  <c r="H154" i="121"/>
  <c r="I154" i="121"/>
  <c r="H155" i="121"/>
  <c r="I155" i="121"/>
  <c r="H156" i="121"/>
  <c r="I156" i="121"/>
  <c r="H157" i="121"/>
  <c r="I157" i="121"/>
  <c r="H158" i="121"/>
  <c r="I158" i="121"/>
  <c r="H159" i="121"/>
  <c r="I159" i="121"/>
  <c r="H160" i="121"/>
  <c r="I160" i="121"/>
  <c r="H161" i="121"/>
  <c r="I161" i="121"/>
  <c r="H162" i="121"/>
  <c r="I162" i="121"/>
  <c r="H163" i="121"/>
  <c r="I163" i="121"/>
  <c r="H164" i="121"/>
  <c r="I164" i="121"/>
  <c r="H165" i="121"/>
  <c r="I165" i="121"/>
  <c r="H166" i="121"/>
  <c r="I166" i="121"/>
  <c r="H167" i="121"/>
  <c r="I167" i="121"/>
  <c r="H168" i="121"/>
  <c r="I168" i="121"/>
  <c r="H169" i="121"/>
  <c r="I169" i="121"/>
  <c r="H170" i="121"/>
  <c r="I170" i="121"/>
  <c r="H171" i="121"/>
  <c r="I171" i="121"/>
  <c r="H172" i="121"/>
  <c r="I172" i="121"/>
  <c r="H173" i="121"/>
  <c r="I173" i="121"/>
  <c r="H174" i="121"/>
  <c r="I174" i="121"/>
  <c r="H175" i="121"/>
  <c r="I175" i="121"/>
  <c r="H176" i="121"/>
  <c r="I176" i="121"/>
  <c r="H177" i="121"/>
  <c r="I177" i="121"/>
  <c r="H178" i="121"/>
  <c r="I178" i="121"/>
  <c r="H179" i="121"/>
  <c r="I179" i="121"/>
  <c r="H180" i="121"/>
  <c r="I180" i="121"/>
  <c r="H181" i="121"/>
  <c r="I181" i="121"/>
  <c r="H182" i="121"/>
  <c r="I182" i="121"/>
  <c r="H183" i="121"/>
  <c r="I183" i="121"/>
  <c r="H184" i="121"/>
  <c r="I184" i="121"/>
  <c r="H185" i="121"/>
  <c r="I185" i="121"/>
  <c r="H186" i="121"/>
  <c r="I186" i="121"/>
  <c r="H187" i="121"/>
  <c r="I187" i="121"/>
  <c r="H188" i="121"/>
  <c r="I188" i="121"/>
  <c r="H189" i="121"/>
  <c r="I189" i="121"/>
  <c r="H190" i="121"/>
  <c r="I190" i="121"/>
  <c r="H191" i="121"/>
  <c r="I191" i="121"/>
  <c r="H192" i="121"/>
  <c r="I192" i="121"/>
  <c r="H193" i="121"/>
  <c r="I193" i="121"/>
  <c r="H194" i="121"/>
  <c r="I194" i="121"/>
  <c r="H195" i="121"/>
  <c r="I195" i="121"/>
  <c r="H196" i="121"/>
  <c r="I196" i="121"/>
  <c r="H197" i="121"/>
  <c r="I197" i="121"/>
  <c r="H198" i="121"/>
  <c r="I198" i="121"/>
  <c r="H199" i="121"/>
  <c r="I199" i="121"/>
  <c r="H200" i="121"/>
  <c r="I200" i="121"/>
  <c r="H201" i="121"/>
  <c r="I201" i="121"/>
  <c r="H202" i="121"/>
  <c r="I202" i="121"/>
  <c r="H203" i="121"/>
  <c r="I203" i="121"/>
  <c r="H204" i="121"/>
  <c r="I204" i="121"/>
  <c r="H205" i="121"/>
  <c r="I205" i="121"/>
  <c r="H206" i="121"/>
  <c r="I206" i="121"/>
  <c r="H207" i="121"/>
  <c r="I207" i="121"/>
  <c r="H208" i="121"/>
  <c r="I208" i="121"/>
  <c r="H209" i="121"/>
  <c r="I209" i="121"/>
  <c r="H210" i="121"/>
  <c r="I210" i="121"/>
  <c r="H211" i="121"/>
  <c r="I211" i="121"/>
  <c r="H212" i="121"/>
  <c r="I212" i="121"/>
  <c r="H213" i="121"/>
  <c r="I213" i="121"/>
  <c r="H214" i="121"/>
  <c r="I214" i="121"/>
  <c r="H215" i="121"/>
  <c r="I215" i="121"/>
  <c r="H216" i="121"/>
  <c r="I216" i="121"/>
  <c r="H217" i="121"/>
  <c r="I217" i="121"/>
  <c r="H218" i="121"/>
  <c r="I218" i="121"/>
  <c r="H219" i="121"/>
  <c r="I219" i="121"/>
  <c r="H220" i="121"/>
  <c r="I220" i="121"/>
  <c r="H221" i="121"/>
  <c r="I221" i="121"/>
  <c r="H222" i="121"/>
  <c r="I222" i="121"/>
  <c r="H223" i="121"/>
  <c r="I223" i="121"/>
  <c r="H224" i="121"/>
  <c r="I224" i="121"/>
  <c r="H225" i="121"/>
  <c r="I225" i="121"/>
  <c r="H226" i="121"/>
  <c r="I226" i="121"/>
  <c r="H227" i="121"/>
  <c r="I227" i="121"/>
  <c r="H228" i="121"/>
  <c r="I228" i="121"/>
  <c r="H229" i="121"/>
  <c r="I229" i="121"/>
  <c r="H230" i="121"/>
  <c r="I230" i="121"/>
  <c r="H231" i="121"/>
  <c r="I231" i="121"/>
  <c r="H232" i="121"/>
  <c r="I232" i="121"/>
  <c r="H233" i="121"/>
  <c r="I233" i="121"/>
  <c r="H234" i="121"/>
  <c r="I234" i="121"/>
  <c r="H235" i="121"/>
  <c r="I235" i="121"/>
  <c r="H236" i="121"/>
  <c r="I236" i="121"/>
  <c r="H237" i="121"/>
  <c r="I237" i="121"/>
  <c r="H238" i="121"/>
  <c r="I238" i="121"/>
  <c r="H239" i="121"/>
  <c r="I239" i="121"/>
  <c r="H240" i="121"/>
  <c r="I240" i="121"/>
  <c r="H241" i="121"/>
  <c r="I241" i="121"/>
  <c r="H242" i="121"/>
  <c r="I242" i="121"/>
  <c r="H243" i="121"/>
  <c r="I243" i="121"/>
  <c r="H244" i="121"/>
  <c r="I244" i="121"/>
  <c r="H245" i="121"/>
  <c r="I245" i="121"/>
  <c r="H246" i="121"/>
  <c r="I246" i="121"/>
  <c r="H247" i="121"/>
  <c r="I247" i="121"/>
  <c r="H248" i="121"/>
  <c r="I248" i="121"/>
  <c r="H249" i="121"/>
  <c r="I249" i="121"/>
  <c r="H250" i="121"/>
  <c r="I250" i="121"/>
  <c r="H251" i="121"/>
  <c r="I251" i="121"/>
  <c r="H252" i="121"/>
  <c r="I252" i="121"/>
  <c r="H253" i="121"/>
  <c r="I253" i="121"/>
  <c r="H254" i="121"/>
  <c r="I254" i="121"/>
  <c r="H255" i="121"/>
  <c r="I255" i="121"/>
  <c r="H256" i="121"/>
  <c r="I256" i="121"/>
  <c r="H257" i="121"/>
  <c r="I257" i="121"/>
  <c r="H258" i="121"/>
  <c r="I258" i="121"/>
  <c r="H259" i="121"/>
  <c r="I259" i="121"/>
  <c r="H260" i="121"/>
  <c r="I260" i="121"/>
  <c r="H261" i="121"/>
  <c r="I261" i="121"/>
  <c r="H262" i="121"/>
  <c r="I262" i="121"/>
  <c r="H263" i="121"/>
  <c r="I263" i="121"/>
  <c r="H264" i="121"/>
  <c r="I264" i="121"/>
  <c r="H265" i="121"/>
  <c r="I265" i="121"/>
  <c r="H266" i="121"/>
  <c r="I266" i="121"/>
  <c r="H267" i="121"/>
  <c r="I267" i="121"/>
  <c r="H268" i="121"/>
  <c r="I268" i="121"/>
  <c r="H269" i="121"/>
  <c r="I269" i="121"/>
  <c r="H270" i="121"/>
  <c r="I270" i="121"/>
  <c r="H271" i="121"/>
  <c r="I271" i="121"/>
  <c r="H272" i="121"/>
  <c r="I272" i="121"/>
  <c r="H273" i="121"/>
  <c r="I273" i="121"/>
  <c r="H274" i="121"/>
  <c r="I274" i="121"/>
  <c r="H275" i="121"/>
  <c r="I275" i="121"/>
  <c r="H276" i="121"/>
  <c r="I276" i="121"/>
  <c r="H277" i="121"/>
  <c r="I277" i="121"/>
  <c r="H278" i="121"/>
  <c r="I278" i="121"/>
  <c r="H279" i="121"/>
  <c r="I279" i="121"/>
  <c r="H280" i="121"/>
  <c r="I280" i="121"/>
  <c r="H281" i="121"/>
  <c r="I281" i="121"/>
  <c r="H282" i="121"/>
  <c r="I282" i="121"/>
  <c r="H283" i="121"/>
  <c r="I283" i="121"/>
  <c r="H284" i="121"/>
  <c r="I284" i="121"/>
  <c r="H285" i="121"/>
  <c r="I285" i="121"/>
  <c r="H286" i="121"/>
  <c r="I286" i="121"/>
  <c r="H287" i="121"/>
  <c r="I287" i="121"/>
  <c r="H288" i="121"/>
  <c r="I288" i="121"/>
  <c r="H289" i="121"/>
  <c r="I289" i="121"/>
  <c r="H290" i="121"/>
  <c r="I290" i="121"/>
  <c r="H291" i="121"/>
  <c r="I291" i="121"/>
  <c r="H292" i="121"/>
  <c r="I292" i="121"/>
  <c r="H293" i="121"/>
  <c r="I293" i="121"/>
  <c r="H294" i="121"/>
  <c r="I294" i="121"/>
  <c r="H295" i="121"/>
  <c r="I295" i="121"/>
  <c r="H296" i="121"/>
  <c r="I296" i="121"/>
  <c r="H297" i="121"/>
  <c r="I297" i="121"/>
  <c r="H298" i="121"/>
  <c r="I298" i="121"/>
  <c r="H299" i="121"/>
  <c r="I299" i="121"/>
  <c r="H300" i="121"/>
  <c r="I300" i="121"/>
  <c r="H301" i="121"/>
  <c r="I301" i="121"/>
  <c r="H302" i="121"/>
  <c r="I302" i="121"/>
  <c r="H303" i="121"/>
  <c r="I303" i="121"/>
  <c r="H304" i="121"/>
  <c r="I304" i="121"/>
  <c r="H305" i="121"/>
  <c r="I305" i="121"/>
  <c r="H306" i="121"/>
  <c r="I306" i="121"/>
  <c r="H307" i="121"/>
  <c r="I307" i="121"/>
  <c r="H308" i="121"/>
  <c r="I308" i="121"/>
  <c r="H309" i="121"/>
  <c r="I309" i="121"/>
  <c r="H310" i="121"/>
  <c r="I310" i="121"/>
  <c r="H311" i="121"/>
  <c r="I311" i="121"/>
  <c r="H312" i="121"/>
  <c r="I312" i="121"/>
  <c r="H313" i="121"/>
  <c r="I313" i="121"/>
  <c r="H314" i="121"/>
  <c r="I314" i="121"/>
  <c r="H315" i="121"/>
  <c r="I315" i="121"/>
  <c r="H319" i="121"/>
  <c r="I319" i="121"/>
  <c r="H320" i="121"/>
  <c r="I320" i="121"/>
  <c r="H321" i="121"/>
  <c r="I321" i="121"/>
  <c r="H322" i="121"/>
  <c r="I322" i="121"/>
  <c r="H323" i="121"/>
  <c r="I323" i="121"/>
  <c r="H324" i="121"/>
  <c r="I324" i="121"/>
  <c r="H325" i="121"/>
  <c r="I325" i="121"/>
  <c r="H326" i="121"/>
  <c r="I326" i="121"/>
  <c r="H327" i="121"/>
  <c r="I327" i="121"/>
  <c r="H328" i="121"/>
  <c r="I328" i="121"/>
  <c r="H329" i="121"/>
  <c r="I329" i="121"/>
  <c r="H330" i="121"/>
  <c r="I330" i="121"/>
  <c r="H331" i="121"/>
  <c r="I331" i="121"/>
  <c r="H332" i="121"/>
  <c r="I332" i="121"/>
  <c r="H333" i="121"/>
  <c r="I333" i="121"/>
  <c r="H334" i="121"/>
  <c r="I334" i="121"/>
  <c r="H335" i="121"/>
  <c r="I335" i="121"/>
  <c r="H336" i="121"/>
  <c r="I336" i="121"/>
  <c r="H337" i="121"/>
  <c r="I337" i="121"/>
  <c r="H338" i="121"/>
  <c r="I338" i="121"/>
  <c r="H339" i="121"/>
  <c r="I339" i="121"/>
  <c r="H340" i="121"/>
  <c r="I340" i="121"/>
  <c r="H341" i="121"/>
  <c r="I341" i="121"/>
  <c r="H342" i="121"/>
  <c r="I342" i="121"/>
  <c r="H343" i="121"/>
  <c r="I343" i="121"/>
  <c r="H344" i="121"/>
  <c r="I344" i="121"/>
  <c r="H345" i="121"/>
  <c r="I345" i="121"/>
  <c r="H346" i="121"/>
  <c r="I346" i="121"/>
  <c r="H347" i="121"/>
  <c r="I347" i="121"/>
  <c r="H348" i="121"/>
  <c r="I348" i="121"/>
  <c r="H349" i="121"/>
  <c r="I349" i="121"/>
  <c r="H350" i="121"/>
  <c r="I350" i="121"/>
  <c r="H316" i="121"/>
  <c r="I316" i="121"/>
  <c r="H317" i="121"/>
  <c r="I317" i="121"/>
  <c r="H318" i="121"/>
  <c r="I318" i="121"/>
  <c r="H351" i="121"/>
  <c r="I351" i="121"/>
  <c r="H352" i="121"/>
  <c r="I352" i="121"/>
  <c r="H353" i="121"/>
  <c r="I353" i="121"/>
  <c r="H354" i="121"/>
  <c r="I354" i="121"/>
  <c r="H355" i="121"/>
  <c r="I355" i="121"/>
  <c r="H356" i="121"/>
  <c r="I356" i="121"/>
  <c r="H357" i="121"/>
  <c r="I357" i="121"/>
  <c r="H358" i="121"/>
  <c r="I358" i="121"/>
  <c r="H359" i="121"/>
  <c r="I359" i="121"/>
  <c r="H360" i="121"/>
  <c r="I360" i="121"/>
  <c r="H361" i="121"/>
  <c r="I361" i="121"/>
  <c r="H362" i="121"/>
  <c r="I362" i="121"/>
  <c r="H363" i="121"/>
  <c r="I363" i="121"/>
  <c r="H364" i="121"/>
  <c r="I364" i="121"/>
  <c r="H365" i="121"/>
  <c r="I365" i="121"/>
  <c r="H366" i="121"/>
  <c r="I366" i="121"/>
  <c r="H367" i="121"/>
  <c r="I367" i="121"/>
  <c r="H369" i="121"/>
  <c r="I369" i="121"/>
  <c r="H370" i="121"/>
  <c r="I370" i="121"/>
  <c r="H371" i="121"/>
  <c r="I371" i="121"/>
  <c r="H372" i="121"/>
  <c r="I372" i="121"/>
  <c r="H373" i="121"/>
  <c r="I373" i="121"/>
  <c r="H374" i="121"/>
  <c r="I374" i="121"/>
  <c r="H375" i="121"/>
  <c r="I375" i="121"/>
  <c r="H376" i="121"/>
  <c r="I376" i="121"/>
  <c r="H377" i="121"/>
  <c r="I377" i="121"/>
  <c r="H379" i="121"/>
  <c r="I379" i="121"/>
  <c r="H380" i="121"/>
  <c r="I380" i="121"/>
  <c r="H381" i="121"/>
  <c r="I381" i="121"/>
  <c r="H382" i="121"/>
  <c r="I382" i="121"/>
  <c r="H383" i="121"/>
  <c r="I383" i="121"/>
  <c r="H384" i="121"/>
  <c r="I384" i="121"/>
  <c r="H385" i="121"/>
  <c r="I385" i="121"/>
  <c r="H386" i="121"/>
  <c r="I386" i="121"/>
  <c r="H387" i="121"/>
  <c r="I387" i="121"/>
  <c r="H388" i="121"/>
  <c r="I388" i="121"/>
  <c r="H389" i="121"/>
  <c r="I389" i="121"/>
  <c r="H390" i="121"/>
  <c r="I390" i="121"/>
  <c r="H391" i="121"/>
  <c r="I391" i="121"/>
  <c r="H392" i="121"/>
  <c r="I392" i="121"/>
  <c r="H393" i="121"/>
  <c r="I393" i="121"/>
  <c r="H394" i="121"/>
  <c r="I394" i="121"/>
  <c r="H395" i="121"/>
  <c r="I395" i="121"/>
  <c r="H396" i="121"/>
  <c r="I396" i="121"/>
  <c r="H397" i="121"/>
  <c r="I397" i="121"/>
  <c r="H398" i="121"/>
  <c r="I398" i="121"/>
  <c r="H399" i="121"/>
  <c r="I399" i="121"/>
  <c r="H400" i="121"/>
  <c r="I400" i="121"/>
  <c r="H401" i="121"/>
  <c r="I401" i="121"/>
  <c r="H402" i="121"/>
  <c r="I402" i="121"/>
  <c r="H403" i="121"/>
  <c r="I403" i="121"/>
  <c r="H404" i="121"/>
  <c r="I404" i="121"/>
  <c r="H405" i="121"/>
  <c r="I405" i="121"/>
  <c r="H406" i="121"/>
  <c r="I406" i="121"/>
  <c r="H407" i="121"/>
  <c r="I407" i="121"/>
  <c r="H408" i="121"/>
  <c r="I408" i="121"/>
  <c r="H409" i="121"/>
  <c r="I409" i="121"/>
  <c r="H410" i="121"/>
  <c r="I410" i="121"/>
  <c r="H411" i="121"/>
  <c r="I411" i="121"/>
  <c r="H412" i="121"/>
  <c r="I412" i="121"/>
  <c r="H413" i="121"/>
  <c r="I413" i="121"/>
  <c r="H414" i="121"/>
  <c r="I414" i="121"/>
  <c r="H415" i="121"/>
  <c r="I415" i="121"/>
  <c r="H416" i="121"/>
  <c r="I416" i="121"/>
  <c r="H417" i="121"/>
  <c r="I417" i="121"/>
  <c r="H419" i="121"/>
  <c r="I419" i="121"/>
  <c r="H420" i="121"/>
  <c r="I420" i="121"/>
  <c r="H421" i="121"/>
  <c r="I421" i="121"/>
  <c r="H422" i="121"/>
  <c r="I422" i="121"/>
  <c r="H423" i="121"/>
  <c r="I423" i="121"/>
  <c r="H424" i="121"/>
  <c r="I424" i="121"/>
  <c r="H425" i="121"/>
  <c r="I425" i="121"/>
  <c r="H426" i="121"/>
  <c r="I426" i="121"/>
  <c r="H427" i="121"/>
  <c r="I427" i="121"/>
  <c r="H428" i="121"/>
  <c r="I428" i="121"/>
  <c r="H429" i="121"/>
  <c r="I429" i="121"/>
  <c r="H430" i="121"/>
  <c r="I430" i="121"/>
  <c r="H431" i="121"/>
  <c r="I431" i="121"/>
  <c r="H432" i="121"/>
  <c r="I432" i="121"/>
  <c r="H433" i="121"/>
  <c r="I433" i="121"/>
  <c r="H434" i="121"/>
  <c r="I434" i="121"/>
  <c r="H435" i="121"/>
  <c r="I435" i="121"/>
  <c r="H436" i="121"/>
  <c r="I436" i="121"/>
  <c r="H437" i="121"/>
  <c r="I437" i="121"/>
  <c r="H439" i="121"/>
  <c r="I439" i="121"/>
  <c r="H440" i="121"/>
  <c r="I440" i="121"/>
  <c r="H441" i="121"/>
  <c r="I441" i="121"/>
  <c r="H442" i="121"/>
  <c r="I442" i="121"/>
  <c r="H445" i="121"/>
  <c r="I445" i="121"/>
  <c r="H446" i="121"/>
  <c r="I446" i="121"/>
  <c r="H447" i="121"/>
  <c r="I447" i="121"/>
  <c r="H448" i="121"/>
  <c r="I448" i="121"/>
  <c r="H449" i="121"/>
  <c r="I449" i="121"/>
  <c r="H450" i="121"/>
  <c r="I450" i="121"/>
  <c r="H451" i="121"/>
  <c r="I451" i="121"/>
  <c r="H452" i="121"/>
  <c r="I452" i="121"/>
  <c r="H453" i="121"/>
  <c r="I453" i="121"/>
  <c r="H454" i="121"/>
  <c r="I454" i="121"/>
  <c r="H455" i="121"/>
  <c r="I455" i="121"/>
  <c r="H456" i="121"/>
  <c r="I456" i="121"/>
  <c r="H457" i="121"/>
  <c r="I457" i="121"/>
  <c r="H459" i="121"/>
  <c r="I459" i="121"/>
  <c r="H460" i="121"/>
  <c r="I460" i="121"/>
  <c r="H461" i="121"/>
  <c r="I461" i="121"/>
  <c r="H462" i="121"/>
  <c r="I462" i="121"/>
  <c r="H463" i="121"/>
  <c r="I463" i="121"/>
  <c r="H464" i="121"/>
  <c r="I464" i="121"/>
  <c r="H466" i="121"/>
  <c r="I466" i="121"/>
  <c r="H467" i="121"/>
  <c r="I467" i="121"/>
  <c r="H468" i="121"/>
  <c r="I468" i="121"/>
  <c r="H470" i="121"/>
  <c r="I470" i="121"/>
  <c r="H471" i="121"/>
  <c r="I471" i="121"/>
  <c r="H472" i="121"/>
  <c r="I472" i="121"/>
  <c r="H474" i="121"/>
  <c r="I474" i="121"/>
  <c r="H475" i="121"/>
  <c r="I475" i="121"/>
  <c r="H476" i="121"/>
  <c r="I476" i="121"/>
  <c r="H477" i="121"/>
  <c r="I477" i="121"/>
  <c r="H478" i="121"/>
  <c r="I478" i="121"/>
  <c r="H479" i="121"/>
  <c r="I479" i="121"/>
  <c r="H481" i="121"/>
  <c r="I481" i="121"/>
  <c r="H482" i="121"/>
  <c r="I482" i="121"/>
  <c r="H483" i="121"/>
  <c r="I483" i="121"/>
  <c r="H484" i="121"/>
  <c r="I484" i="121"/>
  <c r="H485" i="121"/>
  <c r="I485" i="121"/>
  <c r="H486" i="121"/>
  <c r="I486" i="121"/>
  <c r="H487" i="121"/>
  <c r="I487" i="121"/>
  <c r="H488" i="121"/>
  <c r="I488" i="121"/>
  <c r="H489" i="121"/>
  <c r="I489" i="121"/>
  <c r="H490" i="121"/>
  <c r="I490" i="121"/>
  <c r="H491" i="121"/>
  <c r="I491" i="121"/>
  <c r="H493" i="121"/>
  <c r="I493" i="121"/>
  <c r="H494" i="121"/>
  <c r="I494" i="121"/>
  <c r="H495" i="121"/>
  <c r="I495" i="121"/>
  <c r="H496" i="121"/>
  <c r="I496" i="121"/>
  <c r="H498" i="121"/>
  <c r="I498" i="121"/>
  <c r="H499" i="121"/>
  <c r="I499" i="121"/>
  <c r="H500" i="121"/>
  <c r="I500" i="121"/>
  <c r="H501" i="121"/>
  <c r="I501" i="121"/>
  <c r="H502" i="121"/>
  <c r="I502" i="121"/>
  <c r="H503" i="121"/>
  <c r="I503" i="121"/>
  <c r="H504" i="121"/>
  <c r="I504" i="121"/>
  <c r="H505" i="121"/>
  <c r="I505" i="121"/>
  <c r="H506" i="121"/>
  <c r="I506" i="121"/>
  <c r="H507" i="121"/>
  <c r="I507" i="121"/>
  <c r="H508" i="121"/>
  <c r="I508" i="121"/>
  <c r="H509" i="121"/>
  <c r="I509" i="121"/>
  <c r="H510" i="121"/>
  <c r="I510" i="121"/>
  <c r="H511" i="121"/>
  <c r="I511" i="121"/>
  <c r="H512" i="121"/>
  <c r="I512" i="121"/>
  <c r="H513" i="121"/>
  <c r="I513" i="121"/>
  <c r="H514" i="121"/>
  <c r="I514" i="121"/>
  <c r="H516" i="121"/>
  <c r="I516" i="121"/>
  <c r="H517" i="121"/>
  <c r="I517" i="121"/>
  <c r="H518" i="121"/>
  <c r="I518" i="121"/>
  <c r="H519" i="121"/>
  <c r="I519" i="121"/>
  <c r="H520" i="121"/>
  <c r="I520" i="121"/>
  <c r="H524" i="121"/>
  <c r="I524" i="121"/>
  <c r="H525" i="121"/>
  <c r="I525" i="121"/>
  <c r="H526" i="121"/>
  <c r="I526" i="121"/>
  <c r="H527" i="121"/>
  <c r="I527" i="121"/>
  <c r="H528" i="121"/>
  <c r="I528" i="121"/>
  <c r="H529" i="121"/>
  <c r="I529" i="121"/>
  <c r="H530" i="121"/>
  <c r="I530" i="121"/>
  <c r="H531" i="121"/>
  <c r="I531" i="121"/>
  <c r="H532" i="121"/>
  <c r="I532" i="121"/>
  <c r="H533" i="121"/>
  <c r="I533" i="121"/>
  <c r="H534" i="121"/>
  <c r="I534" i="121"/>
  <c r="H536" i="121"/>
  <c r="I536" i="121"/>
  <c r="H537" i="121"/>
  <c r="I537" i="121"/>
  <c r="H538" i="121"/>
  <c r="I538" i="121"/>
  <c r="H539" i="121"/>
  <c r="I539" i="121"/>
  <c r="H540" i="121"/>
  <c r="I540" i="121"/>
  <c r="H541" i="121"/>
  <c r="I541" i="121"/>
  <c r="H543" i="121"/>
  <c r="I543" i="121"/>
  <c r="H545" i="121"/>
  <c r="I545" i="121"/>
  <c r="H546" i="121"/>
  <c r="I546" i="121"/>
  <c r="H553" i="121"/>
  <c r="I553" i="121"/>
  <c r="H554" i="121"/>
  <c r="I554" i="121"/>
  <c r="H555" i="121"/>
  <c r="I555" i="121"/>
  <c r="H556" i="121"/>
  <c r="I556" i="121"/>
  <c r="H557" i="121"/>
  <c r="I557" i="121"/>
  <c r="H558" i="121"/>
  <c r="I558" i="121"/>
  <c r="H559" i="121"/>
  <c r="I559" i="121"/>
  <c r="H560" i="121"/>
  <c r="I560" i="121"/>
  <c r="H561" i="121"/>
  <c r="I561" i="121"/>
  <c r="I7" i="121"/>
  <c r="H8" i="121"/>
  <c r="I8" i="121"/>
  <c r="H9" i="121"/>
  <c r="I9" i="121"/>
  <c r="I8" i="119"/>
  <c r="I6" i="119" s="1"/>
  <c r="H8" i="119"/>
  <c r="I293" i="135" l="1"/>
  <c r="I329" i="135"/>
  <c r="O299" i="135"/>
  <c r="N299" i="135"/>
  <c r="M299" i="135"/>
  <c r="K299" i="135"/>
  <c r="J299" i="135"/>
  <c r="L299" i="135"/>
  <c r="J694" i="121"/>
  <c r="J695" i="121"/>
  <c r="J697" i="121"/>
  <c r="J696" i="121"/>
  <c r="J8" i="121"/>
  <c r="J24" i="121"/>
  <c r="J12" i="121"/>
  <c r="J28" i="121"/>
  <c r="J44" i="121"/>
  <c r="J60" i="121"/>
  <c r="J76" i="121"/>
  <c r="J92" i="121"/>
  <c r="J108" i="121"/>
  <c r="J124" i="121"/>
  <c r="J140" i="121"/>
  <c r="J156" i="121"/>
  <c r="J172" i="121"/>
  <c r="J188" i="121"/>
  <c r="J204" i="121"/>
  <c r="J220" i="121"/>
  <c r="J236" i="121"/>
  <c r="J252" i="121"/>
  <c r="J268" i="121"/>
  <c r="J284" i="121"/>
  <c r="J300" i="121"/>
  <c r="J316" i="121"/>
  <c r="J332" i="121"/>
  <c r="J9" i="121"/>
  <c r="J19" i="121"/>
  <c r="J35" i="121"/>
  <c r="J51" i="121"/>
  <c r="J67" i="121"/>
  <c r="J83" i="121"/>
  <c r="J99" i="121"/>
  <c r="J115" i="121"/>
  <c r="J131" i="121"/>
  <c r="J147" i="121"/>
  <c r="J163" i="121"/>
  <c r="J179" i="121"/>
  <c r="J195" i="121"/>
  <c r="J211" i="121"/>
  <c r="J227" i="121"/>
  <c r="J243" i="121"/>
  <c r="J259" i="121"/>
  <c r="J275" i="121"/>
  <c r="J291" i="121"/>
  <c r="J307" i="121"/>
  <c r="J323" i="121"/>
  <c r="J339" i="121"/>
  <c r="J21" i="121"/>
  <c r="J53" i="121"/>
  <c r="J85" i="121"/>
  <c r="J117" i="121"/>
  <c r="J149" i="121"/>
  <c r="J181" i="121"/>
  <c r="J213" i="121"/>
  <c r="J245" i="121"/>
  <c r="J277" i="121"/>
  <c r="J309" i="121"/>
  <c r="J341" i="121"/>
  <c r="J360" i="121"/>
  <c r="J376" i="121"/>
  <c r="J38" i="121"/>
  <c r="J70" i="121"/>
  <c r="J102" i="121"/>
  <c r="J134" i="121"/>
  <c r="J166" i="121"/>
  <c r="J198" i="121"/>
  <c r="J230" i="121"/>
  <c r="J262" i="121"/>
  <c r="J294" i="121"/>
  <c r="J326" i="121"/>
  <c r="J353" i="121"/>
  <c r="J369" i="121"/>
  <c r="J385" i="121"/>
  <c r="J401" i="121"/>
  <c r="J417" i="121"/>
  <c r="J433" i="121"/>
  <c r="J449" i="121"/>
  <c r="J465" i="121"/>
  <c r="J481" i="121"/>
  <c r="J497" i="121"/>
  <c r="J513" i="121"/>
  <c r="J33" i="121"/>
  <c r="J65" i="121"/>
  <c r="J97" i="121"/>
  <c r="J129" i="121"/>
  <c r="J161" i="121"/>
  <c r="J193" i="121"/>
  <c r="J225" i="121"/>
  <c r="J257" i="121"/>
  <c r="J289" i="121"/>
  <c r="J321" i="121"/>
  <c r="J16" i="121"/>
  <c r="J32" i="121"/>
  <c r="J48" i="121"/>
  <c r="J64" i="121"/>
  <c r="J80" i="121"/>
  <c r="J96" i="121"/>
  <c r="J112" i="121"/>
  <c r="J128" i="121"/>
  <c r="J144" i="121"/>
  <c r="J160" i="121"/>
  <c r="J176" i="121"/>
  <c r="J192" i="121"/>
  <c r="J208" i="121"/>
  <c r="J224" i="121"/>
  <c r="J240" i="121"/>
  <c r="J256" i="121"/>
  <c r="J272" i="121"/>
  <c r="J288" i="121"/>
  <c r="J304" i="121"/>
  <c r="J320" i="121"/>
  <c r="J336" i="121"/>
  <c r="J10" i="121"/>
  <c r="J23" i="121"/>
  <c r="J39" i="121"/>
  <c r="J55" i="121"/>
  <c r="J71" i="121"/>
  <c r="J87" i="121"/>
  <c r="J103" i="121"/>
  <c r="J119" i="121"/>
  <c r="J135" i="121"/>
  <c r="J151" i="121"/>
  <c r="J167" i="121"/>
  <c r="J183" i="121"/>
  <c r="J199" i="121"/>
  <c r="J215" i="121"/>
  <c r="J231" i="121"/>
  <c r="J247" i="121"/>
  <c r="J263" i="121"/>
  <c r="J279" i="121"/>
  <c r="J295" i="121"/>
  <c r="J311" i="121"/>
  <c r="J327" i="121"/>
  <c r="J343" i="121"/>
  <c r="J29" i="121"/>
  <c r="J61" i="121"/>
  <c r="J93" i="121"/>
  <c r="J125" i="121"/>
  <c r="J157" i="121"/>
  <c r="J189" i="121"/>
  <c r="J221" i="121"/>
  <c r="J253" i="121"/>
  <c r="J285" i="121"/>
  <c r="J317" i="121"/>
  <c r="J348" i="121"/>
  <c r="J364" i="121"/>
  <c r="J14" i="121"/>
  <c r="J46" i="121"/>
  <c r="J78" i="121"/>
  <c r="J110" i="121"/>
  <c r="J142" i="121"/>
  <c r="J174" i="121"/>
  <c r="J206" i="121"/>
  <c r="J238" i="121"/>
  <c r="J270" i="121"/>
  <c r="J302" i="121"/>
  <c r="J334" i="121"/>
  <c r="J357" i="121"/>
  <c r="J373" i="121"/>
  <c r="J389" i="121"/>
  <c r="J405" i="121"/>
  <c r="J421" i="121"/>
  <c r="J437" i="121"/>
  <c r="J453" i="121"/>
  <c r="J469" i="121"/>
  <c r="J485" i="121"/>
  <c r="J501" i="121"/>
  <c r="J517" i="121"/>
  <c r="J41" i="121"/>
  <c r="J73" i="121"/>
  <c r="J105" i="121"/>
  <c r="J137" i="121"/>
  <c r="J169" i="121"/>
  <c r="J201" i="121"/>
  <c r="J233" i="121"/>
  <c r="J265" i="121"/>
  <c r="J297" i="121"/>
  <c r="J329" i="121"/>
  <c r="J354" i="121"/>
  <c r="J370" i="121"/>
  <c r="J386" i="121"/>
  <c r="J402" i="121"/>
  <c r="J418" i="121"/>
  <c r="J20" i="121"/>
  <c r="J36" i="121"/>
  <c r="J52" i="121"/>
  <c r="J68" i="121"/>
  <c r="J84" i="121"/>
  <c r="J100" i="121"/>
  <c r="J116" i="121"/>
  <c r="J132" i="121"/>
  <c r="J148" i="121"/>
  <c r="J164" i="121"/>
  <c r="J180" i="121"/>
  <c r="J196" i="121"/>
  <c r="J212" i="121"/>
  <c r="J228" i="121"/>
  <c r="J244" i="121"/>
  <c r="J260" i="121"/>
  <c r="J276" i="121"/>
  <c r="J292" i="121"/>
  <c r="J308" i="121"/>
  <c r="J324" i="121"/>
  <c r="J340" i="121"/>
  <c r="J11" i="121"/>
  <c r="J27" i="121"/>
  <c r="J43" i="121"/>
  <c r="J59" i="121"/>
  <c r="J75" i="121"/>
  <c r="J91" i="121"/>
  <c r="J107" i="121"/>
  <c r="J123" i="121"/>
  <c r="J139" i="121"/>
  <c r="J155" i="121"/>
  <c r="J171" i="121"/>
  <c r="J187" i="121"/>
  <c r="J203" i="121"/>
  <c r="J219" i="121"/>
  <c r="J235" i="121"/>
  <c r="J251" i="121"/>
  <c r="J267" i="121"/>
  <c r="J283" i="121"/>
  <c r="J299" i="121"/>
  <c r="J315" i="121"/>
  <c r="J331" i="121"/>
  <c r="J347" i="121"/>
  <c r="J37" i="121"/>
  <c r="J69" i="121"/>
  <c r="J101" i="121"/>
  <c r="J133" i="121"/>
  <c r="J165" i="121"/>
  <c r="J197" i="121"/>
  <c r="J229" i="121"/>
  <c r="J261" i="121"/>
  <c r="J293" i="121"/>
  <c r="J325" i="121"/>
  <c r="J352" i="121"/>
  <c r="J368" i="121"/>
  <c r="J22" i="121"/>
  <c r="J54" i="121"/>
  <c r="J86" i="121"/>
  <c r="J118" i="121"/>
  <c r="J150" i="121"/>
  <c r="J182" i="121"/>
  <c r="J214" i="121"/>
  <c r="J246" i="121"/>
  <c r="J278" i="121"/>
  <c r="J310" i="121"/>
  <c r="J342" i="121"/>
  <c r="J361" i="121"/>
  <c r="J377" i="121"/>
  <c r="J393" i="121"/>
  <c r="J409" i="121"/>
  <c r="J425" i="121"/>
  <c r="J441" i="121"/>
  <c r="J457" i="121"/>
  <c r="J473" i="121"/>
  <c r="J489" i="121"/>
  <c r="J505" i="121"/>
  <c r="J17" i="121"/>
  <c r="J49" i="121"/>
  <c r="J81" i="121"/>
  <c r="J113" i="121"/>
  <c r="J145" i="121"/>
  <c r="J177" i="121"/>
  <c r="J209" i="121"/>
  <c r="J241" i="121"/>
  <c r="J273" i="121"/>
  <c r="J40" i="121"/>
  <c r="J104" i="121"/>
  <c r="J168" i="121"/>
  <c r="J232" i="121"/>
  <c r="J296" i="121"/>
  <c r="J15" i="121"/>
  <c r="J79" i="121"/>
  <c r="J143" i="121"/>
  <c r="J207" i="121"/>
  <c r="J271" i="121"/>
  <c r="J335" i="121"/>
  <c r="J109" i="121"/>
  <c r="J237" i="121"/>
  <c r="J356" i="121"/>
  <c r="J94" i="121"/>
  <c r="J222" i="121"/>
  <c r="J349" i="121"/>
  <c r="J413" i="121"/>
  <c r="J477" i="121"/>
  <c r="J57" i="121"/>
  <c r="J185" i="121"/>
  <c r="J305" i="121"/>
  <c r="J350" i="121"/>
  <c r="J374" i="121"/>
  <c r="J394" i="121"/>
  <c r="J414" i="121"/>
  <c r="J434" i="121"/>
  <c r="J450" i="121"/>
  <c r="J466" i="121"/>
  <c r="J482" i="121"/>
  <c r="J498" i="121"/>
  <c r="J514" i="121"/>
  <c r="J82" i="121"/>
  <c r="J210" i="121"/>
  <c r="J338" i="121"/>
  <c r="J392" i="121"/>
  <c r="J424" i="121"/>
  <c r="J456" i="121"/>
  <c r="J488" i="121"/>
  <c r="J520" i="121"/>
  <c r="J536" i="121"/>
  <c r="J552" i="121"/>
  <c r="J568" i="121"/>
  <c r="J584" i="121"/>
  <c r="J600" i="121"/>
  <c r="J616" i="121"/>
  <c r="J632" i="121"/>
  <c r="J648" i="121"/>
  <c r="J664" i="121"/>
  <c r="J680" i="121"/>
  <c r="J106" i="121"/>
  <c r="J330" i="121"/>
  <c r="J439" i="121"/>
  <c r="J519" i="121"/>
  <c r="J555" i="121"/>
  <c r="J591" i="121"/>
  <c r="J631" i="121"/>
  <c r="J659" i="121"/>
  <c r="J26" i="121"/>
  <c r="J154" i="121"/>
  <c r="J282" i="121"/>
  <c r="J379" i="121"/>
  <c r="J411" i="121"/>
  <c r="J443" i="121"/>
  <c r="J475" i="121"/>
  <c r="J507" i="121"/>
  <c r="J529" i="121"/>
  <c r="J545" i="121"/>
  <c r="J561" i="121"/>
  <c r="J577" i="121"/>
  <c r="J593" i="121"/>
  <c r="J609" i="121"/>
  <c r="J625" i="121"/>
  <c r="J641" i="121"/>
  <c r="J657" i="121"/>
  <c r="J673" i="121"/>
  <c r="J689" i="121"/>
  <c r="J234" i="121"/>
  <c r="J415" i="121"/>
  <c r="J511" i="121"/>
  <c r="J563" i="121"/>
  <c r="J603" i="121"/>
  <c r="J651" i="121"/>
  <c r="J687" i="121"/>
  <c r="J130" i="121"/>
  <c r="J258" i="121"/>
  <c r="J367" i="121"/>
  <c r="J404" i="121"/>
  <c r="J436" i="121"/>
  <c r="J468" i="121"/>
  <c r="J500" i="121"/>
  <c r="J526" i="121"/>
  <c r="J542" i="121"/>
  <c r="J558" i="121"/>
  <c r="J574" i="121"/>
  <c r="J590" i="121"/>
  <c r="J606" i="121"/>
  <c r="J622" i="121"/>
  <c r="J638" i="121"/>
  <c r="J654" i="121"/>
  <c r="J670" i="121"/>
  <c r="J686" i="121"/>
  <c r="J355" i="121"/>
  <c r="J503" i="121"/>
  <c r="J587" i="121"/>
  <c r="J671" i="121"/>
  <c r="J56" i="121"/>
  <c r="J120" i="121"/>
  <c r="J184" i="121"/>
  <c r="J248" i="121"/>
  <c r="J312" i="121"/>
  <c r="J31" i="121"/>
  <c r="J95" i="121"/>
  <c r="J159" i="121"/>
  <c r="J223" i="121"/>
  <c r="J287" i="121"/>
  <c r="J13" i="121"/>
  <c r="J141" i="121"/>
  <c r="J269" i="121"/>
  <c r="J372" i="121"/>
  <c r="J126" i="121"/>
  <c r="J254" i="121"/>
  <c r="J365" i="121"/>
  <c r="J429" i="121"/>
  <c r="J493" i="121"/>
  <c r="J89" i="121"/>
  <c r="J217" i="121"/>
  <c r="J313" i="121"/>
  <c r="J358" i="121"/>
  <c r="J378" i="121"/>
  <c r="J398" i="121"/>
  <c r="J422" i="121"/>
  <c r="J438" i="121"/>
  <c r="J454" i="121"/>
  <c r="J470" i="121"/>
  <c r="J486" i="121"/>
  <c r="J502" i="121"/>
  <c r="J518" i="121"/>
  <c r="J114" i="121"/>
  <c r="J242" i="121"/>
  <c r="J359" i="121"/>
  <c r="J400" i="121"/>
  <c r="J432" i="121"/>
  <c r="J464" i="121"/>
  <c r="J496" i="121"/>
  <c r="J524" i="121"/>
  <c r="J540" i="121"/>
  <c r="J556" i="121"/>
  <c r="J572" i="121"/>
  <c r="J588" i="121"/>
  <c r="J604" i="121"/>
  <c r="J620" i="121"/>
  <c r="J636" i="121"/>
  <c r="J652" i="121"/>
  <c r="J668" i="121"/>
  <c r="J684" i="121"/>
  <c r="J138" i="121"/>
  <c r="J371" i="121"/>
  <c r="J455" i="121"/>
  <c r="J523" i="121"/>
  <c r="J559" i="121"/>
  <c r="J599" i="121"/>
  <c r="J635" i="121"/>
  <c r="J675" i="121"/>
  <c r="J58" i="121"/>
  <c r="J186" i="121"/>
  <c r="J314" i="121"/>
  <c r="J387" i="121"/>
  <c r="J419" i="121"/>
  <c r="J451" i="121"/>
  <c r="J483" i="121"/>
  <c r="J515" i="121"/>
  <c r="J533" i="121"/>
  <c r="J549" i="121"/>
  <c r="J565" i="121"/>
  <c r="J581" i="121"/>
  <c r="J597" i="121"/>
  <c r="J613" i="121"/>
  <c r="J629" i="121"/>
  <c r="J645" i="121"/>
  <c r="J661" i="121"/>
  <c r="J677" i="121"/>
  <c r="J693" i="121"/>
  <c r="J298" i="121"/>
  <c r="J431" i="121"/>
  <c r="J531" i="121"/>
  <c r="J575" i="121"/>
  <c r="J615" i="121"/>
  <c r="J663" i="121"/>
  <c r="J34" i="121"/>
  <c r="J162" i="121"/>
  <c r="J290" i="121"/>
  <c r="J380" i="121"/>
  <c r="J412" i="121"/>
  <c r="J444" i="121"/>
  <c r="J476" i="121"/>
  <c r="J508" i="121"/>
  <c r="J530" i="121"/>
  <c r="J546" i="121"/>
  <c r="J562" i="121"/>
  <c r="J578" i="121"/>
  <c r="J594" i="121"/>
  <c r="J610" i="121"/>
  <c r="J626" i="121"/>
  <c r="J642" i="121"/>
  <c r="J658" i="121"/>
  <c r="J674" i="121"/>
  <c r="J690" i="121"/>
  <c r="J407" i="121"/>
  <c r="J527" i="121"/>
  <c r="J607" i="121"/>
  <c r="J72" i="121"/>
  <c r="J136" i="121"/>
  <c r="J200" i="121"/>
  <c r="J264" i="121"/>
  <c r="J328" i="121"/>
  <c r="J47" i="121"/>
  <c r="J111" i="121"/>
  <c r="J175" i="121"/>
  <c r="J239" i="121"/>
  <c r="J303" i="121"/>
  <c r="J45" i="121"/>
  <c r="J173" i="121"/>
  <c r="J301" i="121"/>
  <c r="J30" i="121"/>
  <c r="J158" i="121"/>
  <c r="J286" i="121"/>
  <c r="J381" i="121"/>
  <c r="J445" i="121"/>
  <c r="J509" i="121"/>
  <c r="J121" i="121"/>
  <c r="J249" i="121"/>
  <c r="J337" i="121"/>
  <c r="J362" i="121"/>
  <c r="J382" i="121"/>
  <c r="J406" i="121"/>
  <c r="J426" i="121"/>
  <c r="J442" i="121"/>
  <c r="J458" i="121"/>
  <c r="J474" i="121"/>
  <c r="J490" i="121"/>
  <c r="J506" i="121"/>
  <c r="J18" i="121"/>
  <c r="J146" i="121"/>
  <c r="J274" i="121"/>
  <c r="J375" i="121"/>
  <c r="J408" i="121"/>
  <c r="J440" i="121"/>
  <c r="J472" i="121"/>
  <c r="J504" i="121"/>
  <c r="J528" i="121"/>
  <c r="J544" i="121"/>
  <c r="J560" i="121"/>
  <c r="J576" i="121"/>
  <c r="J592" i="121"/>
  <c r="J608" i="121"/>
  <c r="J624" i="121"/>
  <c r="J640" i="121"/>
  <c r="J656" i="121"/>
  <c r="J672" i="121"/>
  <c r="J688" i="121"/>
  <c r="J202" i="121"/>
  <c r="J391" i="121"/>
  <c r="J479" i="121"/>
  <c r="J535" i="121"/>
  <c r="J571" i="121"/>
  <c r="J611" i="121"/>
  <c r="J647" i="121"/>
  <c r="J683" i="121"/>
  <c r="J90" i="121"/>
  <c r="J218" i="121"/>
  <c r="J346" i="121"/>
  <c r="J395" i="121"/>
  <c r="J427" i="121"/>
  <c r="J459" i="121"/>
  <c r="J491" i="121"/>
  <c r="J521" i="121"/>
  <c r="J537" i="121"/>
  <c r="J553" i="121"/>
  <c r="J569" i="121"/>
  <c r="J585" i="121"/>
  <c r="J601" i="121"/>
  <c r="J617" i="121"/>
  <c r="J633" i="121"/>
  <c r="J649" i="121"/>
  <c r="J665" i="121"/>
  <c r="J681" i="121"/>
  <c r="J74" i="121"/>
  <c r="J383" i="121"/>
  <c r="J463" i="121"/>
  <c r="J539" i="121"/>
  <c r="J583" i="121"/>
  <c r="J627" i="121"/>
  <c r="J667" i="121"/>
  <c r="J66" i="121"/>
  <c r="J194" i="121"/>
  <c r="J322" i="121"/>
  <c r="J388" i="121"/>
  <c r="J420" i="121"/>
  <c r="J452" i="121"/>
  <c r="J484" i="121"/>
  <c r="J516" i="121"/>
  <c r="J534" i="121"/>
  <c r="J550" i="121"/>
  <c r="J566" i="121"/>
  <c r="J582" i="121"/>
  <c r="J598" i="121"/>
  <c r="J614" i="121"/>
  <c r="J630" i="121"/>
  <c r="J646" i="121"/>
  <c r="J662" i="121"/>
  <c r="J678" i="121"/>
  <c r="J447" i="121"/>
  <c r="J547" i="121"/>
  <c r="J623" i="121"/>
  <c r="J88" i="121"/>
  <c r="J152" i="121"/>
  <c r="J216" i="121"/>
  <c r="J280" i="121"/>
  <c r="J344" i="121"/>
  <c r="J63" i="121"/>
  <c r="J127" i="121"/>
  <c r="J191" i="121"/>
  <c r="J255" i="121"/>
  <c r="J319" i="121"/>
  <c r="J77" i="121"/>
  <c r="J205" i="121"/>
  <c r="J333" i="121"/>
  <c r="J62" i="121"/>
  <c r="J190" i="121"/>
  <c r="J318" i="121"/>
  <c r="J397" i="121"/>
  <c r="J461" i="121"/>
  <c r="J25" i="121"/>
  <c r="J153" i="121"/>
  <c r="J281" i="121"/>
  <c r="J345" i="121"/>
  <c r="J366" i="121"/>
  <c r="J390" i="121"/>
  <c r="J410" i="121"/>
  <c r="J430" i="121"/>
  <c r="J446" i="121"/>
  <c r="J462" i="121"/>
  <c r="J478" i="121"/>
  <c r="J494" i="121"/>
  <c r="J510" i="121"/>
  <c r="J50" i="121"/>
  <c r="J178" i="121"/>
  <c r="J306" i="121"/>
  <c r="J384" i="121"/>
  <c r="J416" i="121"/>
  <c r="J448" i="121"/>
  <c r="J480" i="121"/>
  <c r="J512" i="121"/>
  <c r="J532" i="121"/>
  <c r="J548" i="121"/>
  <c r="J564" i="121"/>
  <c r="J580" i="121"/>
  <c r="J596" i="121"/>
  <c r="J612" i="121"/>
  <c r="J628" i="121"/>
  <c r="J644" i="121"/>
  <c r="J660" i="121"/>
  <c r="J676" i="121"/>
  <c r="J692" i="121"/>
  <c r="J266" i="121"/>
  <c r="J423" i="121"/>
  <c r="J495" i="121"/>
  <c r="J543" i="121"/>
  <c r="J579" i="121"/>
  <c r="J619" i="121"/>
  <c r="J655" i="121"/>
  <c r="J691" i="121"/>
  <c r="J122" i="121"/>
  <c r="J250" i="121"/>
  <c r="J363" i="121"/>
  <c r="J403" i="121"/>
  <c r="J435" i="121"/>
  <c r="J467" i="121"/>
  <c r="J499" i="121"/>
  <c r="J525" i="121"/>
  <c r="J541" i="121"/>
  <c r="J557" i="121"/>
  <c r="J573" i="121"/>
  <c r="J589" i="121"/>
  <c r="J605" i="121"/>
  <c r="J621" i="121"/>
  <c r="J637" i="121"/>
  <c r="J653" i="121"/>
  <c r="J669" i="121"/>
  <c r="J685" i="121"/>
  <c r="J170" i="121"/>
  <c r="J399" i="121"/>
  <c r="J487" i="121"/>
  <c r="J551" i="121"/>
  <c r="J595" i="121"/>
  <c r="J639" i="121"/>
  <c r="J679" i="121"/>
  <c r="J98" i="121"/>
  <c r="J226" i="121"/>
  <c r="J351" i="121"/>
  <c r="J396" i="121"/>
  <c r="J428" i="121"/>
  <c r="J460" i="121"/>
  <c r="J492" i="121"/>
  <c r="J522" i="121"/>
  <c r="J538" i="121"/>
  <c r="J554" i="121"/>
  <c r="J570" i="121"/>
  <c r="J586" i="121"/>
  <c r="J602" i="121"/>
  <c r="J618" i="121"/>
  <c r="J634" i="121"/>
  <c r="J650" i="121"/>
  <c r="J666" i="121"/>
  <c r="J682" i="121"/>
  <c r="J42" i="121"/>
  <c r="J471" i="121"/>
  <c r="J567" i="121"/>
  <c r="J643" i="121"/>
  <c r="J736" i="121"/>
  <c r="J752" i="121"/>
  <c r="J760" i="121"/>
  <c r="J744" i="121"/>
  <c r="J780" i="121"/>
  <c r="J756" i="121"/>
  <c r="J2242" i="121"/>
  <c r="J2226" i="121"/>
  <c r="J2210" i="121"/>
  <c r="J2194" i="121"/>
  <c r="J2178" i="121"/>
  <c r="J2162" i="121"/>
  <c r="J2146" i="121"/>
  <c r="J2130" i="121"/>
  <c r="J2114" i="121"/>
  <c r="J2098" i="121"/>
  <c r="J2082" i="121"/>
  <c r="J2066" i="121"/>
  <c r="J2050" i="121"/>
  <c r="J2034" i="121"/>
  <c r="J2018" i="121"/>
  <c r="J2002" i="121"/>
  <c r="J1986" i="121"/>
  <c r="J1970" i="121"/>
  <c r="J1954" i="121"/>
  <c r="J1938" i="121"/>
  <c r="J1922" i="121"/>
  <c r="J1906" i="121"/>
  <c r="J2227" i="121"/>
  <c r="J2211" i="121"/>
  <c r="J2195" i="121"/>
  <c r="J2179" i="121"/>
  <c r="J2163" i="121"/>
  <c r="J2147" i="121"/>
  <c r="J2131" i="121"/>
  <c r="J2115" i="121"/>
  <c r="J2099" i="121"/>
  <c r="J2083" i="121"/>
  <c r="J2067" i="121"/>
  <c r="J2051" i="121"/>
  <c r="J2035" i="121"/>
  <c r="J2019" i="121"/>
  <c r="J2003" i="121"/>
  <c r="J1987" i="121"/>
  <c r="J1971" i="121"/>
  <c r="J1955" i="121"/>
  <c r="J1939" i="121"/>
  <c r="J1923" i="121"/>
  <c r="J1907" i="121"/>
  <c r="J2228" i="121"/>
  <c r="J2212" i="121"/>
  <c r="J2196" i="121"/>
  <c r="J2180" i="121"/>
  <c r="J2164" i="121"/>
  <c r="J2148" i="121"/>
  <c r="J2132" i="121"/>
  <c r="J2229" i="121"/>
  <c r="J2213" i="121"/>
  <c r="J2197" i="121"/>
  <c r="J2181" i="121"/>
  <c r="J2165" i="121"/>
  <c r="J2149" i="121"/>
  <c r="J2133" i="121"/>
  <c r="J2117" i="121"/>
  <c r="J2101" i="121"/>
  <c r="J2085" i="121"/>
  <c r="J2069" i="121"/>
  <c r="J2053" i="121"/>
  <c r="J2037" i="121"/>
  <c r="J2021" i="121"/>
  <c r="J2005" i="121"/>
  <c r="J1989" i="121"/>
  <c r="J1973" i="121"/>
  <c r="J2128" i="121"/>
  <c r="J2064" i="121"/>
  <c r="J2000" i="121"/>
  <c r="J1948" i="121"/>
  <c r="J1916" i="121"/>
  <c r="J1894" i="121"/>
  <c r="J1878" i="121"/>
  <c r="J1862" i="121"/>
  <c r="J1846" i="121"/>
  <c r="J1830" i="121"/>
  <c r="J1814" i="121"/>
  <c r="J1798" i="121"/>
  <c r="J1782" i="121"/>
  <c r="J1766" i="121"/>
  <c r="J740" i="121"/>
  <c r="J727" i="121"/>
  <c r="J788" i="121"/>
  <c r="J732" i="121"/>
  <c r="J2238" i="121"/>
  <c r="J2222" i="121"/>
  <c r="J2206" i="121"/>
  <c r="J2190" i="121"/>
  <c r="J2174" i="121"/>
  <c r="J2158" i="121"/>
  <c r="J2142" i="121"/>
  <c r="J2126" i="121"/>
  <c r="J2110" i="121"/>
  <c r="J2094" i="121"/>
  <c r="J2078" i="121"/>
  <c r="J2062" i="121"/>
  <c r="J2046" i="121"/>
  <c r="J2030" i="121"/>
  <c r="J2014" i="121"/>
  <c r="J1998" i="121"/>
  <c r="J1982" i="121"/>
  <c r="J1966" i="121"/>
  <c r="J1950" i="121"/>
  <c r="J1934" i="121"/>
  <c r="J1918" i="121"/>
  <c r="J2239" i="121"/>
  <c r="J2223" i="121"/>
  <c r="J2207" i="121"/>
  <c r="J2191" i="121"/>
  <c r="J2175" i="121"/>
  <c r="J2159" i="121"/>
  <c r="J2143" i="121"/>
  <c r="J772" i="121"/>
  <c r="J784" i="121"/>
  <c r="J776" i="121"/>
  <c r="J748" i="121"/>
  <c r="J2234" i="121"/>
  <c r="J2218" i="121"/>
  <c r="J2202" i="121"/>
  <c r="J2186" i="121"/>
  <c r="J2170" i="121"/>
  <c r="J2154" i="121"/>
  <c r="J2138" i="121"/>
  <c r="J2122" i="121"/>
  <c r="J2106" i="121"/>
  <c r="J2090" i="121"/>
  <c r="J2074" i="121"/>
  <c r="J2058" i="121"/>
  <c r="J2042" i="121"/>
  <c r="J2026" i="121"/>
  <c r="J2010" i="121"/>
  <c r="J1994" i="121"/>
  <c r="J1978" i="121"/>
  <c r="J1962" i="121"/>
  <c r="J1946" i="121"/>
  <c r="J1930" i="121"/>
  <c r="J1914" i="121"/>
  <c r="J2235" i="121"/>
  <c r="J2219" i="121"/>
  <c r="J2203" i="121"/>
  <c r="J2187" i="121"/>
  <c r="J2171" i="121"/>
  <c r="J2155" i="121"/>
  <c r="J2139" i="121"/>
  <c r="J2123" i="121"/>
  <c r="J2107" i="121"/>
  <c r="J2091" i="121"/>
  <c r="J2075" i="121"/>
  <c r="J2059" i="121"/>
  <c r="J2043" i="121"/>
  <c r="J2027" i="121"/>
  <c r="J2011" i="121"/>
  <c r="J1995" i="121"/>
  <c r="J1979" i="121"/>
  <c r="J1963" i="121"/>
  <c r="J1947" i="121"/>
  <c r="J1931" i="121"/>
  <c r="J1915" i="121"/>
  <c r="J2236" i="121"/>
  <c r="J2220" i="121"/>
  <c r="J2204" i="121"/>
  <c r="J2188" i="121"/>
  <c r="J2172" i="121"/>
  <c r="J2156" i="121"/>
  <c r="J2140" i="121"/>
  <c r="J2237" i="121"/>
  <c r="J2221" i="121"/>
  <c r="J2205" i="121"/>
  <c r="J2189" i="121"/>
  <c r="J2173" i="121"/>
  <c r="J2157" i="121"/>
  <c r="J2141" i="121"/>
  <c r="J2125" i="121"/>
  <c r="J2109" i="121"/>
  <c r="J2093" i="121"/>
  <c r="J2077" i="121"/>
  <c r="J2061" i="121"/>
  <c r="J2045" i="121"/>
  <c r="J2029" i="121"/>
  <c r="J2013" i="121"/>
  <c r="J1997" i="121"/>
  <c r="J1981" i="121"/>
  <c r="J1965" i="121"/>
  <c r="J2096" i="121"/>
  <c r="J2032" i="121"/>
  <c r="J1968" i="121"/>
  <c r="J1932" i="121"/>
  <c r="J1902" i="121"/>
  <c r="J1886" i="121"/>
  <c r="J1870" i="121"/>
  <c r="J1854" i="121"/>
  <c r="J1838" i="121"/>
  <c r="J1822" i="121"/>
  <c r="J1806" i="121"/>
  <c r="J1790" i="121"/>
  <c r="J728" i="121"/>
  <c r="J792" i="121"/>
  <c r="J768" i="121"/>
  <c r="J764" i="121"/>
  <c r="J2230" i="121"/>
  <c r="J2214" i="121"/>
  <c r="J2198" i="121"/>
  <c r="J2182" i="121"/>
  <c r="J2166" i="121"/>
  <c r="J2150" i="121"/>
  <c r="J2134" i="121"/>
  <c r="J2118" i="121"/>
  <c r="J2102" i="121"/>
  <c r="J2086" i="121"/>
  <c r="J2070" i="121"/>
  <c r="J2054" i="121"/>
  <c r="J2038" i="121"/>
  <c r="J2022" i="121"/>
  <c r="J2006" i="121"/>
  <c r="J1990" i="121"/>
  <c r="J1974" i="121"/>
  <c r="J1958" i="121"/>
  <c r="J1942" i="121"/>
  <c r="J1926" i="121"/>
  <c r="J1910" i="121"/>
  <c r="J2231" i="121"/>
  <c r="J2215" i="121"/>
  <c r="J2199" i="121"/>
  <c r="J2183" i="121"/>
  <c r="J2167" i="121"/>
  <c r="J2151" i="121"/>
  <c r="J2135" i="121"/>
  <c r="J2127" i="121"/>
  <c r="J2095" i="121"/>
  <c r="J2063" i="121"/>
  <c r="J2031" i="121"/>
  <c r="J1999" i="121"/>
  <c r="J1967" i="121"/>
  <c r="J1935" i="121"/>
  <c r="J2240" i="121"/>
  <c r="J2208" i="121"/>
  <c r="J2176" i="121"/>
  <c r="J2144" i="121"/>
  <c r="J2225" i="121"/>
  <c r="J2193" i="121"/>
  <c r="J2161" i="121"/>
  <c r="J2129" i="121"/>
  <c r="J2097" i="121"/>
  <c r="J2065" i="121"/>
  <c r="J2033" i="121"/>
  <c r="J2001" i="121"/>
  <c r="J1969" i="121"/>
  <c r="J2048" i="121"/>
  <c r="J1940" i="121"/>
  <c r="J1890" i="121"/>
  <c r="J1858" i="121"/>
  <c r="J1826" i="121"/>
  <c r="J1794" i="121"/>
  <c r="J1770" i="121"/>
  <c r="J1750" i="121"/>
  <c r="J1734" i="121"/>
  <c r="J1718" i="121"/>
  <c r="J1702" i="121"/>
  <c r="J1686" i="121"/>
  <c r="J1670" i="121"/>
  <c r="J1654" i="121"/>
  <c r="J1638" i="121"/>
  <c r="J2108" i="121"/>
  <c r="J2044" i="121"/>
  <c r="J1980" i="121"/>
  <c r="J1941" i="121"/>
  <c r="J1909" i="121"/>
  <c r="J1891" i="121"/>
  <c r="J1875" i="121"/>
  <c r="J1859" i="121"/>
  <c r="J1843" i="121"/>
  <c r="J1827" i="121"/>
  <c r="J1811" i="121"/>
  <c r="J1795" i="121"/>
  <c r="J1779" i="121"/>
  <c r="J1763" i="121"/>
  <c r="J1747" i="121"/>
  <c r="J1731" i="121"/>
  <c r="J1715" i="121"/>
  <c r="J1699" i="121"/>
  <c r="J1683" i="121"/>
  <c r="J2088" i="121"/>
  <c r="J2024" i="121"/>
  <c r="J1960" i="121"/>
  <c r="J1928" i="121"/>
  <c r="J1900" i="121"/>
  <c r="J1884" i="121"/>
  <c r="J1868" i="121"/>
  <c r="J1852" i="121"/>
  <c r="J1836" i="121"/>
  <c r="J1820" i="121"/>
  <c r="J1804" i="121"/>
  <c r="J1788" i="121"/>
  <c r="J1772" i="121"/>
  <c r="J1756" i="121"/>
  <c r="J1740" i="121"/>
  <c r="J1724" i="121"/>
  <c r="J1708" i="121"/>
  <c r="J1692" i="121"/>
  <c r="J2116" i="121"/>
  <c r="J2052" i="121"/>
  <c r="J1988" i="121"/>
  <c r="J1937" i="121"/>
  <c r="J1905" i="121"/>
  <c r="J1889" i="121"/>
  <c r="J1873" i="121"/>
  <c r="J1857" i="121"/>
  <c r="J1841" i="121"/>
  <c r="J1825" i="121"/>
  <c r="J1809" i="121"/>
  <c r="J2119" i="121"/>
  <c r="J2087" i="121"/>
  <c r="J2055" i="121"/>
  <c r="J2023" i="121"/>
  <c r="J1991" i="121"/>
  <c r="J1959" i="121"/>
  <c r="J1927" i="121"/>
  <c r="J2232" i="121"/>
  <c r="J2200" i="121"/>
  <c r="J2168" i="121"/>
  <c r="J2136" i="121"/>
  <c r="J2217" i="121"/>
  <c r="J2185" i="121"/>
  <c r="J2153" i="121"/>
  <c r="J2121" i="121"/>
  <c r="J2089" i="121"/>
  <c r="J2057" i="121"/>
  <c r="J2025" i="121"/>
  <c r="J1993" i="121"/>
  <c r="J1961" i="121"/>
  <c r="J2016" i="121"/>
  <c r="J1924" i="121"/>
  <c r="J1882" i="121"/>
  <c r="J1850" i="121"/>
  <c r="J1818" i="121"/>
  <c r="J1786" i="121"/>
  <c r="J1762" i="121"/>
  <c r="J1746" i="121"/>
  <c r="J1730" i="121"/>
  <c r="J1714" i="121"/>
  <c r="J1698" i="121"/>
  <c r="J1682" i="121"/>
  <c r="J1666" i="121"/>
  <c r="J1650" i="121"/>
  <c r="J1634" i="121"/>
  <c r="J2092" i="121"/>
  <c r="J2028" i="121"/>
  <c r="J1964" i="121"/>
  <c r="J1933" i="121"/>
  <c r="J1903" i="121"/>
  <c r="J1887" i="121"/>
  <c r="J1871" i="121"/>
  <c r="J1855" i="121"/>
  <c r="J1839" i="121"/>
  <c r="J1823" i="121"/>
  <c r="J1807" i="121"/>
  <c r="J1791" i="121"/>
  <c r="J1775" i="121"/>
  <c r="J1759" i="121"/>
  <c r="J1743" i="121"/>
  <c r="J1727" i="121"/>
  <c r="J1711" i="121"/>
  <c r="J1695" i="121"/>
  <c r="J1679" i="121"/>
  <c r="J2072" i="121"/>
  <c r="J2008" i="121"/>
  <c r="J1952" i="121"/>
  <c r="J1920" i="121"/>
  <c r="J1896" i="121"/>
  <c r="J1880" i="121"/>
  <c r="J1864" i="121"/>
  <c r="J1848" i="121"/>
  <c r="J1832" i="121"/>
  <c r="J1816" i="121"/>
  <c r="J1800" i="121"/>
  <c r="J1784" i="121"/>
  <c r="J1768" i="121"/>
  <c r="J1752" i="121"/>
  <c r="J1736" i="121"/>
  <c r="J1720" i="121"/>
  <c r="J1704" i="121"/>
  <c r="J1688" i="121"/>
  <c r="J2100" i="121"/>
  <c r="J2036" i="121"/>
  <c r="J1972" i="121"/>
  <c r="J1929" i="121"/>
  <c r="J1901" i="121"/>
  <c r="J1885" i="121"/>
  <c r="J1869" i="121"/>
  <c r="J1853" i="121"/>
  <c r="J1837" i="121"/>
  <c r="J1821" i="121"/>
  <c r="J1805" i="121"/>
  <c r="J2111" i="121"/>
  <c r="J2079" i="121"/>
  <c r="J2047" i="121"/>
  <c r="J2015" i="121"/>
  <c r="J1983" i="121"/>
  <c r="J1951" i="121"/>
  <c r="J1919" i="121"/>
  <c r="J2224" i="121"/>
  <c r="J2192" i="121"/>
  <c r="J2160" i="121"/>
  <c r="J2241" i="121"/>
  <c r="J2209" i="121"/>
  <c r="J2177" i="121"/>
  <c r="J2145" i="121"/>
  <c r="J2113" i="121"/>
  <c r="J2081" i="121"/>
  <c r="J2049" i="121"/>
  <c r="J2017" i="121"/>
  <c r="J1985" i="121"/>
  <c r="J2112" i="121"/>
  <c r="J1984" i="121"/>
  <c r="J1908" i="121"/>
  <c r="J1874" i="121"/>
  <c r="J1842" i="121"/>
  <c r="J1810" i="121"/>
  <c r="J1778" i="121"/>
  <c r="J1758" i="121"/>
  <c r="J1742" i="121"/>
  <c r="J1726" i="121"/>
  <c r="J1710" i="121"/>
  <c r="J1694" i="121"/>
  <c r="J1678" i="121"/>
  <c r="J1662" i="121"/>
  <c r="J1646" i="121"/>
  <c r="J1630" i="121"/>
  <c r="J2076" i="121"/>
  <c r="J2012" i="121"/>
  <c r="J1957" i="121"/>
  <c r="J1925" i="121"/>
  <c r="J1899" i="121"/>
  <c r="J1883" i="121"/>
  <c r="J1867" i="121"/>
  <c r="J1851" i="121"/>
  <c r="J1835" i="121"/>
  <c r="J1819" i="121"/>
  <c r="J1803" i="121"/>
  <c r="J1787" i="121"/>
  <c r="J1771" i="121"/>
  <c r="J1755" i="121"/>
  <c r="J1739" i="121"/>
  <c r="J1723" i="121"/>
  <c r="J1707" i="121"/>
  <c r="J1691" i="121"/>
  <c r="J2120" i="121"/>
  <c r="J2056" i="121"/>
  <c r="J1992" i="121"/>
  <c r="J1944" i="121"/>
  <c r="J1912" i="121"/>
  <c r="J1892" i="121"/>
  <c r="J1876" i="121"/>
  <c r="J1860" i="121"/>
  <c r="J1844" i="121"/>
  <c r="J1828" i="121"/>
  <c r="J1812" i="121"/>
  <c r="J1796" i="121"/>
  <c r="J1780" i="121"/>
  <c r="J1764" i="121"/>
  <c r="J1748" i="121"/>
  <c r="J1732" i="121"/>
  <c r="J1716" i="121"/>
  <c r="J1700" i="121"/>
  <c r="J1684" i="121"/>
  <c r="J2084" i="121"/>
  <c r="J2020" i="121"/>
  <c r="J1953" i="121"/>
  <c r="J1921" i="121"/>
  <c r="J1897" i="121"/>
  <c r="J1881" i="121"/>
  <c r="J1865" i="121"/>
  <c r="J1849" i="121"/>
  <c r="J1833" i="121"/>
  <c r="J1817" i="121"/>
  <c r="J1801" i="121"/>
  <c r="J1785" i="121"/>
  <c r="J1769" i="121"/>
  <c r="J2103" i="121"/>
  <c r="J2071" i="121"/>
  <c r="J2039" i="121"/>
  <c r="J2007" i="121"/>
  <c r="J1975" i="121"/>
  <c r="J1943" i="121"/>
  <c r="J1911" i="121"/>
  <c r="J2216" i="121"/>
  <c r="J2184" i="121"/>
  <c r="J2152" i="121"/>
  <c r="J2233" i="121"/>
  <c r="J2201" i="121"/>
  <c r="J2169" i="121"/>
  <c r="J2137" i="121"/>
  <c r="J2105" i="121"/>
  <c r="J2073" i="121"/>
  <c r="J2041" i="121"/>
  <c r="J2009" i="121"/>
  <c r="J1977" i="121"/>
  <c r="J2080" i="121"/>
  <c r="J1956" i="121"/>
  <c r="J1898" i="121"/>
  <c r="J1866" i="121"/>
  <c r="J1834" i="121"/>
  <c r="J1802" i="121"/>
  <c r="J1774" i="121"/>
  <c r="J1754" i="121"/>
  <c r="J1738" i="121"/>
  <c r="J1722" i="121"/>
  <c r="J1706" i="121"/>
  <c r="J1690" i="121"/>
  <c r="J1674" i="121"/>
  <c r="J1658" i="121"/>
  <c r="J1642" i="121"/>
  <c r="J2124" i="121"/>
  <c r="J2060" i="121"/>
  <c r="J1996" i="121"/>
  <c r="J1949" i="121"/>
  <c r="J1917" i="121"/>
  <c r="J1895" i="121"/>
  <c r="J1879" i="121"/>
  <c r="J1863" i="121"/>
  <c r="J1847" i="121"/>
  <c r="J1831" i="121"/>
  <c r="J1815" i="121"/>
  <c r="J1799" i="121"/>
  <c r="J1783" i="121"/>
  <c r="J1767" i="121"/>
  <c r="J1751" i="121"/>
  <c r="J1735" i="121"/>
  <c r="J1719" i="121"/>
  <c r="J1703" i="121"/>
  <c r="J1687" i="121"/>
  <c r="J2104" i="121"/>
  <c r="J2040" i="121"/>
  <c r="J1976" i="121"/>
  <c r="J1936" i="121"/>
  <c r="J1904" i="121"/>
  <c r="J1888" i="121"/>
  <c r="J1872" i="121"/>
  <c r="J1856" i="121"/>
  <c r="J1840" i="121"/>
  <c r="J1824" i="121"/>
  <c r="J1808" i="121"/>
  <c r="J1792" i="121"/>
  <c r="J1776" i="121"/>
  <c r="J1760" i="121"/>
  <c r="J1744" i="121"/>
  <c r="J1728" i="121"/>
  <c r="J1712" i="121"/>
  <c r="J1696" i="121"/>
  <c r="J1680" i="121"/>
  <c r="J2068" i="121"/>
  <c r="J2004" i="121"/>
  <c r="J1945" i="121"/>
  <c r="J1913" i="121"/>
  <c r="J1893" i="121"/>
  <c r="J1877" i="121"/>
  <c r="J1861" i="121"/>
  <c r="J1845" i="121"/>
  <c r="J1829" i="121"/>
  <c r="J1813" i="121"/>
  <c r="J1797" i="121"/>
  <c r="J1781" i="121"/>
  <c r="J1765" i="121"/>
  <c r="J1793" i="121"/>
  <c r="J1761" i="121"/>
  <c r="J1745" i="121"/>
  <c r="J1729" i="121"/>
  <c r="J1713" i="121"/>
  <c r="J1697" i="121"/>
  <c r="J1681" i="121"/>
  <c r="J1665" i="121"/>
  <c r="J1649" i="121"/>
  <c r="J1633" i="121"/>
  <c r="J1652" i="121"/>
  <c r="J1623" i="121"/>
  <c r="J1607" i="121"/>
  <c r="J1591" i="121"/>
  <c r="J1575" i="121"/>
  <c r="J1559" i="121"/>
  <c r="J1543" i="121"/>
  <c r="J1527" i="121"/>
  <c r="J1511" i="121"/>
  <c r="J1495" i="121"/>
  <c r="J1479" i="121"/>
  <c r="J1463" i="121"/>
  <c r="J1447" i="121"/>
  <c r="J1431" i="121"/>
  <c r="J1415" i="121"/>
  <c r="J1399" i="121"/>
  <c r="J1383" i="121"/>
  <c r="J1367" i="121"/>
  <c r="J1351" i="121"/>
  <c r="J1335" i="121"/>
  <c r="J1319" i="121"/>
  <c r="J1303" i="121"/>
  <c r="J1287" i="121"/>
  <c r="J1271" i="121"/>
  <c r="J1255" i="121"/>
  <c r="J1239" i="121"/>
  <c r="J1655" i="121"/>
  <c r="J1628" i="121"/>
  <c r="J1612" i="121"/>
  <c r="J1596" i="121"/>
  <c r="J1580" i="121"/>
  <c r="J1564" i="121"/>
  <c r="J1548" i="121"/>
  <c r="J1532" i="121"/>
  <c r="J1516" i="121"/>
  <c r="J1500" i="121"/>
  <c r="J1484" i="121"/>
  <c r="J1468" i="121"/>
  <c r="J1452" i="121"/>
  <c r="J1436" i="121"/>
  <c r="J1420" i="121"/>
  <c r="J1404" i="121"/>
  <c r="J1388" i="121"/>
  <c r="J1372" i="121"/>
  <c r="J1356" i="121"/>
  <c r="J1340" i="121"/>
  <c r="J1324" i="121"/>
  <c r="J1664" i="121"/>
  <c r="J1632" i="121"/>
  <c r="J1617" i="121"/>
  <c r="J1601" i="121"/>
  <c r="J1585" i="121"/>
  <c r="J1569" i="121"/>
  <c r="J1553" i="121"/>
  <c r="J1537" i="121"/>
  <c r="J1521" i="121"/>
  <c r="J1505" i="121"/>
  <c r="J1489" i="121"/>
  <c r="J1473" i="121"/>
  <c r="J1457" i="121"/>
  <c r="J1441" i="121"/>
  <c r="J1425" i="121"/>
  <c r="J1409" i="121"/>
  <c r="J1393" i="121"/>
  <c r="J1377" i="121"/>
  <c r="J1361" i="121"/>
  <c r="J1345" i="121"/>
  <c r="J1329" i="121"/>
  <c r="J1675" i="121"/>
  <c r="J1643" i="121"/>
  <c r="J1618" i="121"/>
  <c r="J1602" i="121"/>
  <c r="J1586" i="121"/>
  <c r="J1570" i="121"/>
  <c r="J1554" i="121"/>
  <c r="J1789" i="121"/>
  <c r="J1757" i="121"/>
  <c r="J1741" i="121"/>
  <c r="J1725" i="121"/>
  <c r="J1709" i="121"/>
  <c r="J1693" i="121"/>
  <c r="J1677" i="121"/>
  <c r="J1661" i="121"/>
  <c r="J1645" i="121"/>
  <c r="J1676" i="121"/>
  <c r="J1644" i="121"/>
  <c r="J1619" i="121"/>
  <c r="J1603" i="121"/>
  <c r="J1587" i="121"/>
  <c r="J1571" i="121"/>
  <c r="J1555" i="121"/>
  <c r="J1539" i="121"/>
  <c r="J1523" i="121"/>
  <c r="J1507" i="121"/>
  <c r="J1491" i="121"/>
  <c r="J1475" i="121"/>
  <c r="J1459" i="121"/>
  <c r="J1443" i="121"/>
  <c r="J1427" i="121"/>
  <c r="J1411" i="121"/>
  <c r="J1395" i="121"/>
  <c r="J1379" i="121"/>
  <c r="J1363" i="121"/>
  <c r="J1347" i="121"/>
  <c r="J1331" i="121"/>
  <c r="J1315" i="121"/>
  <c r="J1299" i="121"/>
  <c r="J1283" i="121"/>
  <c r="J1267" i="121"/>
  <c r="J1251" i="121"/>
  <c r="J1235" i="121"/>
  <c r="J1647" i="121"/>
  <c r="J1624" i="121"/>
  <c r="J1608" i="121"/>
  <c r="J1592" i="121"/>
  <c r="J1576" i="121"/>
  <c r="J1560" i="121"/>
  <c r="J1544" i="121"/>
  <c r="J1528" i="121"/>
  <c r="J1512" i="121"/>
  <c r="J1496" i="121"/>
  <c r="J1480" i="121"/>
  <c r="J1464" i="121"/>
  <c r="J1448" i="121"/>
  <c r="J1432" i="121"/>
  <c r="J1416" i="121"/>
  <c r="J1400" i="121"/>
  <c r="J1384" i="121"/>
  <c r="J1368" i="121"/>
  <c r="J1352" i="121"/>
  <c r="J1336" i="121"/>
  <c r="J1320" i="121"/>
  <c r="J1656" i="121"/>
  <c r="J1629" i="121"/>
  <c r="J1613" i="121"/>
  <c r="J1597" i="121"/>
  <c r="J1581" i="121"/>
  <c r="J1565" i="121"/>
  <c r="J1549" i="121"/>
  <c r="J1533" i="121"/>
  <c r="J1517" i="121"/>
  <c r="J1501" i="121"/>
  <c r="J1485" i="121"/>
  <c r="J1469" i="121"/>
  <c r="J1453" i="121"/>
  <c r="J1437" i="121"/>
  <c r="J1421" i="121"/>
  <c r="J1405" i="121"/>
  <c r="J1389" i="121"/>
  <c r="J1373" i="121"/>
  <c r="J1357" i="121"/>
  <c r="J1341" i="121"/>
  <c r="J1325" i="121"/>
  <c r="J1667" i="121"/>
  <c r="J1635" i="121"/>
  <c r="J1614" i="121"/>
  <c r="J1598" i="121"/>
  <c r="J1582" i="121"/>
  <c r="J1566" i="121"/>
  <c r="J1550" i="121"/>
  <c r="J1777" i="121"/>
  <c r="J1753" i="121"/>
  <c r="J1737" i="121"/>
  <c r="J1721" i="121"/>
  <c r="J1705" i="121"/>
  <c r="J1689" i="121"/>
  <c r="J1673" i="121"/>
  <c r="J1657" i="121"/>
  <c r="J1641" i="121"/>
  <c r="J1668" i="121"/>
  <c r="J1636" i="121"/>
  <c r="J1615" i="121"/>
  <c r="J1599" i="121"/>
  <c r="J1583" i="121"/>
  <c r="J1567" i="121"/>
  <c r="J1551" i="121"/>
  <c r="J1535" i="121"/>
  <c r="J1519" i="121"/>
  <c r="J1503" i="121"/>
  <c r="J1487" i="121"/>
  <c r="J1471" i="121"/>
  <c r="J1455" i="121"/>
  <c r="J1439" i="121"/>
  <c r="J1423" i="121"/>
  <c r="J1407" i="121"/>
  <c r="J1391" i="121"/>
  <c r="J1375" i="121"/>
  <c r="J1359" i="121"/>
  <c r="J1343" i="121"/>
  <c r="J1327" i="121"/>
  <c r="J1311" i="121"/>
  <c r="J1295" i="121"/>
  <c r="J1279" i="121"/>
  <c r="J1263" i="121"/>
  <c r="J1247" i="121"/>
  <c r="J1671" i="121"/>
  <c r="J1639" i="121"/>
  <c r="J1620" i="121"/>
  <c r="J1604" i="121"/>
  <c r="J1588" i="121"/>
  <c r="J1572" i="121"/>
  <c r="J1556" i="121"/>
  <c r="J1540" i="121"/>
  <c r="J1524" i="121"/>
  <c r="J1508" i="121"/>
  <c r="J1492" i="121"/>
  <c r="J1476" i="121"/>
  <c r="J1460" i="121"/>
  <c r="J1444" i="121"/>
  <c r="J1428" i="121"/>
  <c r="J1412" i="121"/>
  <c r="J1396" i="121"/>
  <c r="J1380" i="121"/>
  <c r="J1364" i="121"/>
  <c r="J1348" i="121"/>
  <c r="J1332" i="121"/>
  <c r="J1316" i="121"/>
  <c r="J1648" i="121"/>
  <c r="J1625" i="121"/>
  <c r="J1609" i="121"/>
  <c r="J1593" i="121"/>
  <c r="J1577" i="121"/>
  <c r="J1561" i="121"/>
  <c r="J1545" i="121"/>
  <c r="J1529" i="121"/>
  <c r="J1513" i="121"/>
  <c r="J1497" i="121"/>
  <c r="J1481" i="121"/>
  <c r="J1465" i="121"/>
  <c r="J1449" i="121"/>
  <c r="J1433" i="121"/>
  <c r="J1417" i="121"/>
  <c r="J1401" i="121"/>
  <c r="J1385" i="121"/>
  <c r="J1369" i="121"/>
  <c r="J1353" i="121"/>
  <c r="J1337" i="121"/>
  <c r="J1321" i="121"/>
  <c r="J1659" i="121"/>
  <c r="J1626" i="121"/>
  <c r="J1610" i="121"/>
  <c r="J1594" i="121"/>
  <c r="J1578" i="121"/>
  <c r="J1562" i="121"/>
  <c r="J1773" i="121"/>
  <c r="J1749" i="121"/>
  <c r="J1733" i="121"/>
  <c r="J1717" i="121"/>
  <c r="J1701" i="121"/>
  <c r="J1685" i="121"/>
  <c r="J1669" i="121"/>
  <c r="J1653" i="121"/>
  <c r="J1637" i="121"/>
  <c r="J1660" i="121"/>
  <c r="J1627" i="121"/>
  <c r="J1611" i="121"/>
  <c r="J1595" i="121"/>
  <c r="J1579" i="121"/>
  <c r="J1563" i="121"/>
  <c r="J1547" i="121"/>
  <c r="J1531" i="121"/>
  <c r="J1515" i="121"/>
  <c r="J1499" i="121"/>
  <c r="J1483" i="121"/>
  <c r="J1467" i="121"/>
  <c r="J1451" i="121"/>
  <c r="J1435" i="121"/>
  <c r="J1419" i="121"/>
  <c r="J1403" i="121"/>
  <c r="J1387" i="121"/>
  <c r="J1371" i="121"/>
  <c r="J1355" i="121"/>
  <c r="J1339" i="121"/>
  <c r="J1323" i="121"/>
  <c r="J1307" i="121"/>
  <c r="J1291" i="121"/>
  <c r="J1275" i="121"/>
  <c r="J1259" i="121"/>
  <c r="J1243" i="121"/>
  <c r="J1663" i="121"/>
  <c r="J1631" i="121"/>
  <c r="J1616" i="121"/>
  <c r="J1600" i="121"/>
  <c r="J1584" i="121"/>
  <c r="J1568" i="121"/>
  <c r="J1552" i="121"/>
  <c r="J1536" i="121"/>
  <c r="J1520" i="121"/>
  <c r="J1504" i="121"/>
  <c r="J1488" i="121"/>
  <c r="J1472" i="121"/>
  <c r="J1456" i="121"/>
  <c r="J1440" i="121"/>
  <c r="J1424" i="121"/>
  <c r="J1408" i="121"/>
  <c r="J1392" i="121"/>
  <c r="J1376" i="121"/>
  <c r="J1360" i="121"/>
  <c r="J1344" i="121"/>
  <c r="J1328" i="121"/>
  <c r="J1672" i="121"/>
  <c r="J1640" i="121"/>
  <c r="J1621" i="121"/>
  <c r="J1605" i="121"/>
  <c r="J1589" i="121"/>
  <c r="J1573" i="121"/>
  <c r="J1557" i="121"/>
  <c r="J1541" i="121"/>
  <c r="J1525" i="121"/>
  <c r="J1509" i="121"/>
  <c r="J1493" i="121"/>
  <c r="J1477" i="121"/>
  <c r="J1461" i="121"/>
  <c r="J1445" i="121"/>
  <c r="J1429" i="121"/>
  <c r="J1413" i="121"/>
  <c r="J1397" i="121"/>
  <c r="J1381" i="121"/>
  <c r="J1365" i="121"/>
  <c r="J1349" i="121"/>
  <c r="J1333" i="121"/>
  <c r="J1317" i="121"/>
  <c r="J1651" i="121"/>
  <c r="J1622" i="121"/>
  <c r="J1606" i="121"/>
  <c r="J1590" i="121"/>
  <c r="J1574" i="121"/>
  <c r="J1558" i="121"/>
  <c r="J1542" i="121"/>
  <c r="J1546" i="121"/>
  <c r="J1526" i="121"/>
  <c r="J1510" i="121"/>
  <c r="J1494" i="121"/>
  <c r="J1478" i="121"/>
  <c r="J1462" i="121"/>
  <c r="J1446" i="121"/>
  <c r="J1430" i="121"/>
  <c r="J1414" i="121"/>
  <c r="J1398" i="121"/>
  <c r="J1382" i="121"/>
  <c r="J1366" i="121"/>
  <c r="J1350" i="121"/>
  <c r="J1334" i="121"/>
  <c r="J1318" i="121"/>
  <c r="J1302" i="121"/>
  <c r="J1286" i="121"/>
  <c r="J1270" i="121"/>
  <c r="J1254" i="121"/>
  <c r="J1238" i="121"/>
  <c r="J767" i="121"/>
  <c r="J819" i="121"/>
  <c r="J863" i="121"/>
  <c r="J915" i="121"/>
  <c r="J963" i="121"/>
  <c r="J1007" i="121"/>
  <c r="J729" i="121"/>
  <c r="J745" i="121"/>
  <c r="J761" i="121"/>
  <c r="J777" i="121"/>
  <c r="J793" i="121"/>
  <c r="J809" i="121"/>
  <c r="J825" i="121"/>
  <c r="J841" i="121"/>
  <c r="J857" i="121"/>
  <c r="J873" i="121"/>
  <c r="J889" i="121"/>
  <c r="J905" i="121"/>
  <c r="J921" i="121"/>
  <c r="J937" i="121"/>
  <c r="J953" i="121"/>
  <c r="J969" i="121"/>
  <c r="J985" i="121"/>
  <c r="J1001" i="121"/>
  <c r="J1017" i="121"/>
  <c r="J1033" i="121"/>
  <c r="J1049" i="121"/>
  <c r="J1065" i="121"/>
  <c r="J1081" i="121"/>
  <c r="J1097" i="121"/>
  <c r="J1113" i="121"/>
  <c r="J1129" i="121"/>
  <c r="J1145" i="121"/>
  <c r="J1161" i="121"/>
  <c r="J1177" i="121"/>
  <c r="J1193" i="121"/>
  <c r="J1209" i="121"/>
  <c r="J1225" i="121"/>
  <c r="J1244" i="121"/>
  <c r="J1276" i="121"/>
  <c r="J1308" i="121"/>
  <c r="J808" i="121"/>
  <c r="J824" i="121"/>
  <c r="J840" i="121"/>
  <c r="J856" i="121"/>
  <c r="J872" i="121"/>
  <c r="J888" i="121"/>
  <c r="J904" i="121"/>
  <c r="J920" i="121"/>
  <c r="J936" i="121"/>
  <c r="J952" i="121"/>
  <c r="J968" i="121"/>
  <c r="J984" i="121"/>
  <c r="J1000" i="121"/>
  <c r="J1016" i="121"/>
  <c r="J1032" i="121"/>
  <c r="J1048" i="121"/>
  <c r="J1064" i="121"/>
  <c r="J1080" i="121"/>
  <c r="J1096" i="121"/>
  <c r="J1112" i="121"/>
  <c r="J1128" i="121"/>
  <c r="J1144" i="121"/>
  <c r="J1160" i="121"/>
  <c r="J1176" i="121"/>
  <c r="J1192" i="121"/>
  <c r="J1208" i="121"/>
  <c r="J1224" i="121"/>
  <c r="J1249" i="121"/>
  <c r="J1281" i="121"/>
  <c r="J1313" i="121"/>
  <c r="J775" i="121"/>
  <c r="J823" i="121"/>
  <c r="J871" i="121"/>
  <c r="J919" i="121"/>
  <c r="J971" i="121"/>
  <c r="J1023" i="121"/>
  <c r="J1047" i="121"/>
  <c r="J1063" i="121"/>
  <c r="J1079" i="121"/>
  <c r="J1095" i="121"/>
  <c r="J1111" i="121"/>
  <c r="J1127" i="121"/>
  <c r="J1143" i="121"/>
  <c r="J1538" i="121"/>
  <c r="J1522" i="121"/>
  <c r="J1506" i="121"/>
  <c r="J1490" i="121"/>
  <c r="J1474" i="121"/>
  <c r="J1458" i="121"/>
  <c r="J1442" i="121"/>
  <c r="J1426" i="121"/>
  <c r="J1410" i="121"/>
  <c r="J1394" i="121"/>
  <c r="J1378" i="121"/>
  <c r="J1362" i="121"/>
  <c r="J1346" i="121"/>
  <c r="J1330" i="121"/>
  <c r="J1314" i="121"/>
  <c r="J1298" i="121"/>
  <c r="J1282" i="121"/>
  <c r="J1266" i="121"/>
  <c r="J1250" i="121"/>
  <c r="J731" i="121"/>
  <c r="J779" i="121"/>
  <c r="J831" i="121"/>
  <c r="J879" i="121"/>
  <c r="J927" i="121"/>
  <c r="J975" i="121"/>
  <c r="J1019" i="121"/>
  <c r="J733" i="121"/>
  <c r="J749" i="121"/>
  <c r="J765" i="121"/>
  <c r="J781" i="121"/>
  <c r="J797" i="121"/>
  <c r="J813" i="121"/>
  <c r="J829" i="121"/>
  <c r="J845" i="121"/>
  <c r="J861" i="121"/>
  <c r="J877" i="121"/>
  <c r="J893" i="121"/>
  <c r="J909" i="121"/>
  <c r="J925" i="121"/>
  <c r="J941" i="121"/>
  <c r="J957" i="121"/>
  <c r="J973" i="121"/>
  <c r="J989" i="121"/>
  <c r="J1005" i="121"/>
  <c r="J1021" i="121"/>
  <c r="J1037" i="121"/>
  <c r="J1053" i="121"/>
  <c r="J1069" i="121"/>
  <c r="J1085" i="121"/>
  <c r="J1101" i="121"/>
  <c r="J1117" i="121"/>
  <c r="J1133" i="121"/>
  <c r="J1149" i="121"/>
  <c r="J1165" i="121"/>
  <c r="J1181" i="121"/>
  <c r="J1197" i="121"/>
  <c r="J1213" i="121"/>
  <c r="J1229" i="121"/>
  <c r="J1252" i="121"/>
  <c r="J1284" i="121"/>
  <c r="J796" i="121"/>
  <c r="J812" i="121"/>
  <c r="J828" i="121"/>
  <c r="J844" i="121"/>
  <c r="J860" i="121"/>
  <c r="J876" i="121"/>
  <c r="J892" i="121"/>
  <c r="J908" i="121"/>
  <c r="J924" i="121"/>
  <c r="J940" i="121"/>
  <c r="J956" i="121"/>
  <c r="J972" i="121"/>
  <c r="J988" i="121"/>
  <c r="J1004" i="121"/>
  <c r="J1020" i="121"/>
  <c r="J1036" i="121"/>
  <c r="J1052" i="121"/>
  <c r="J1068" i="121"/>
  <c r="J1084" i="121"/>
  <c r="J1100" i="121"/>
  <c r="J1116" i="121"/>
  <c r="J1132" i="121"/>
  <c r="J1148" i="121"/>
  <c r="J1164" i="121"/>
  <c r="J1180" i="121"/>
  <c r="J1196" i="121"/>
  <c r="J1212" i="121"/>
  <c r="J1228" i="121"/>
  <c r="J1257" i="121"/>
  <c r="J1289" i="121"/>
  <c r="J735" i="121"/>
  <c r="J787" i="121"/>
  <c r="J835" i="121"/>
  <c r="J883" i="121"/>
  <c r="J935" i="121"/>
  <c r="J983" i="121"/>
  <c r="J1035" i="121"/>
  <c r="J1051" i="121"/>
  <c r="J1067" i="121"/>
  <c r="J1083" i="121"/>
  <c r="J1099" i="121"/>
  <c r="J1115" i="121"/>
  <c r="J1131" i="121"/>
  <c r="J1147" i="121"/>
  <c r="J1163" i="121"/>
  <c r="J1179" i="121"/>
  <c r="J1534" i="121"/>
  <c r="J1518" i="121"/>
  <c r="J1502" i="121"/>
  <c r="J1486" i="121"/>
  <c r="J1470" i="121"/>
  <c r="J1454" i="121"/>
  <c r="J1438" i="121"/>
  <c r="J1422" i="121"/>
  <c r="J1406" i="121"/>
  <c r="J1390" i="121"/>
  <c r="J1374" i="121"/>
  <c r="J1358" i="121"/>
  <c r="J1342" i="121"/>
  <c r="J1326" i="121"/>
  <c r="J1310" i="121"/>
  <c r="J1294" i="121"/>
  <c r="J1278" i="121"/>
  <c r="J1262" i="121"/>
  <c r="J1246" i="121"/>
  <c r="J743" i="121"/>
  <c r="J791" i="121"/>
  <c r="J843" i="121"/>
  <c r="J891" i="121"/>
  <c r="J939" i="121"/>
  <c r="J987" i="121"/>
  <c r="J1031" i="121"/>
  <c r="J737" i="121"/>
  <c r="J753" i="121"/>
  <c r="J769" i="121"/>
  <c r="J785" i="121"/>
  <c r="J801" i="121"/>
  <c r="J817" i="121"/>
  <c r="J833" i="121"/>
  <c r="J849" i="121"/>
  <c r="J865" i="121"/>
  <c r="J881" i="121"/>
  <c r="J897" i="121"/>
  <c r="J913" i="121"/>
  <c r="J929" i="121"/>
  <c r="J945" i="121"/>
  <c r="J961" i="121"/>
  <c r="J977" i="121"/>
  <c r="J993" i="121"/>
  <c r="J1009" i="121"/>
  <c r="J1025" i="121"/>
  <c r="J1041" i="121"/>
  <c r="J1057" i="121"/>
  <c r="J1073" i="121"/>
  <c r="J1089" i="121"/>
  <c r="J1105" i="121"/>
  <c r="J1121" i="121"/>
  <c r="J1137" i="121"/>
  <c r="J1153" i="121"/>
  <c r="J1169" i="121"/>
  <c r="J1185" i="121"/>
  <c r="J1201" i="121"/>
  <c r="J1217" i="121"/>
  <c r="J1233" i="121"/>
  <c r="J1260" i="121"/>
  <c r="J1292" i="121"/>
  <c r="J800" i="121"/>
  <c r="J816" i="121"/>
  <c r="J832" i="121"/>
  <c r="J848" i="121"/>
  <c r="J864" i="121"/>
  <c r="J880" i="121"/>
  <c r="J896" i="121"/>
  <c r="J912" i="121"/>
  <c r="J928" i="121"/>
  <c r="J944" i="121"/>
  <c r="J960" i="121"/>
  <c r="J976" i="121"/>
  <c r="J992" i="121"/>
  <c r="J1008" i="121"/>
  <c r="J1024" i="121"/>
  <c r="J1040" i="121"/>
  <c r="J1056" i="121"/>
  <c r="J1072" i="121"/>
  <c r="J1088" i="121"/>
  <c r="J1104" i="121"/>
  <c r="J1120" i="121"/>
  <c r="J1136" i="121"/>
  <c r="J1152" i="121"/>
  <c r="J1168" i="121"/>
  <c r="J1184" i="121"/>
  <c r="J1200" i="121"/>
  <c r="J1216" i="121"/>
  <c r="J1232" i="121"/>
  <c r="J1265" i="121"/>
  <c r="J1297" i="121"/>
  <c r="J747" i="121"/>
  <c r="J799" i="121"/>
  <c r="J847" i="121"/>
  <c r="J895" i="121"/>
  <c r="J947" i="121"/>
  <c r="J991" i="121"/>
  <c r="J1039" i="121"/>
  <c r="J1055" i="121"/>
  <c r="J1071" i="121"/>
  <c r="J1087" i="121"/>
  <c r="J1103" i="121"/>
  <c r="J1119" i="121"/>
  <c r="J1135" i="121"/>
  <c r="J1151" i="121"/>
  <c r="J1167" i="121"/>
  <c r="J1183" i="121"/>
  <c r="J1530" i="121"/>
  <c r="J1514" i="121"/>
  <c r="J1498" i="121"/>
  <c r="J1482" i="121"/>
  <c r="J1466" i="121"/>
  <c r="J1450" i="121"/>
  <c r="J1434" i="121"/>
  <c r="J1418" i="121"/>
  <c r="J1402" i="121"/>
  <c r="J1386" i="121"/>
  <c r="J1370" i="121"/>
  <c r="J1354" i="121"/>
  <c r="J1338" i="121"/>
  <c r="J1322" i="121"/>
  <c r="J1306" i="121"/>
  <c r="J1290" i="121"/>
  <c r="J1274" i="121"/>
  <c r="J1258" i="121"/>
  <c r="J1242" i="121"/>
  <c r="J755" i="121"/>
  <c r="J807" i="121"/>
  <c r="J851" i="121"/>
  <c r="J903" i="121"/>
  <c r="J951" i="121"/>
  <c r="J999" i="121"/>
  <c r="J741" i="121"/>
  <c r="J757" i="121"/>
  <c r="J773" i="121"/>
  <c r="J789" i="121"/>
  <c r="J805" i="121"/>
  <c r="J821" i="121"/>
  <c r="J837" i="121"/>
  <c r="J853" i="121"/>
  <c r="J869" i="121"/>
  <c r="J885" i="121"/>
  <c r="J901" i="121"/>
  <c r="J917" i="121"/>
  <c r="J933" i="121"/>
  <c r="J949" i="121"/>
  <c r="J965" i="121"/>
  <c r="J981" i="121"/>
  <c r="J997" i="121"/>
  <c r="J1013" i="121"/>
  <c r="J1029" i="121"/>
  <c r="J1045" i="121"/>
  <c r="J1061" i="121"/>
  <c r="J1077" i="121"/>
  <c r="J1093" i="121"/>
  <c r="J1109" i="121"/>
  <c r="J1125" i="121"/>
  <c r="J1141" i="121"/>
  <c r="J1157" i="121"/>
  <c r="J1173" i="121"/>
  <c r="J1189" i="121"/>
  <c r="J1205" i="121"/>
  <c r="J1221" i="121"/>
  <c r="J1236" i="121"/>
  <c r="J1268" i="121"/>
  <c r="J1300" i="121"/>
  <c r="J804" i="121"/>
  <c r="J820" i="121"/>
  <c r="J836" i="121"/>
  <c r="J852" i="121"/>
  <c r="J868" i="121"/>
  <c r="J884" i="121"/>
  <c r="J900" i="121"/>
  <c r="J916" i="121"/>
  <c r="J932" i="121"/>
  <c r="J948" i="121"/>
  <c r="J964" i="121"/>
  <c r="J980" i="121"/>
  <c r="J996" i="121"/>
  <c r="J1012" i="121"/>
  <c r="J1028" i="121"/>
  <c r="J1044" i="121"/>
  <c r="J1060" i="121"/>
  <c r="J1076" i="121"/>
  <c r="J1092" i="121"/>
  <c r="J1108" i="121"/>
  <c r="J1124" i="121"/>
  <c r="J1140" i="121"/>
  <c r="J1156" i="121"/>
  <c r="J1172" i="121"/>
  <c r="J1188" i="121"/>
  <c r="J1204" i="121"/>
  <c r="J1305" i="121"/>
  <c r="J907" i="121"/>
  <c r="J1059" i="121"/>
  <c r="J1123" i="121"/>
  <c r="J1171" i="121"/>
  <c r="J1195" i="121"/>
  <c r="J1211" i="121"/>
  <c r="J1227" i="121"/>
  <c r="J1256" i="121"/>
  <c r="J1288" i="121"/>
  <c r="J739" i="121"/>
  <c r="J783" i="121"/>
  <c r="J827" i="121"/>
  <c r="J875" i="121"/>
  <c r="J923" i="121"/>
  <c r="J967" i="121"/>
  <c r="J1015" i="121"/>
  <c r="J734" i="121"/>
  <c r="J750" i="121"/>
  <c r="J766" i="121"/>
  <c r="J782" i="121"/>
  <c r="J798" i="121"/>
  <c r="J814" i="121"/>
  <c r="J830" i="121"/>
  <c r="J846" i="121"/>
  <c r="J862" i="121"/>
  <c r="J878" i="121"/>
  <c r="J894" i="121"/>
  <c r="J910" i="121"/>
  <c r="J926" i="121"/>
  <c r="J942" i="121"/>
  <c r="J958" i="121"/>
  <c r="J974" i="121"/>
  <c r="J990" i="121"/>
  <c r="J1006" i="121"/>
  <c r="J1022" i="121"/>
  <c r="J1038" i="121"/>
  <c r="J1054" i="121"/>
  <c r="J1070" i="121"/>
  <c r="J1086" i="121"/>
  <c r="J1102" i="121"/>
  <c r="J1118" i="121"/>
  <c r="J1134" i="121"/>
  <c r="J1150" i="121"/>
  <c r="J1166" i="121"/>
  <c r="J1182" i="121"/>
  <c r="J1198" i="121"/>
  <c r="J1214" i="121"/>
  <c r="J1230" i="121"/>
  <c r="J1253" i="121"/>
  <c r="J1285" i="121"/>
  <c r="J1309" i="121"/>
  <c r="J1220" i="121"/>
  <c r="J759" i="121"/>
  <c r="J955" i="121"/>
  <c r="J1075" i="121"/>
  <c r="J1139" i="121"/>
  <c r="J1175" i="121"/>
  <c r="J1199" i="121"/>
  <c r="J1215" i="121"/>
  <c r="J1231" i="121"/>
  <c r="J1264" i="121"/>
  <c r="J1296" i="121"/>
  <c r="J751" i="121"/>
  <c r="J795" i="121"/>
  <c r="J839" i="121"/>
  <c r="J887" i="121"/>
  <c r="J931" i="121"/>
  <c r="J979" i="121"/>
  <c r="J1027" i="121"/>
  <c r="J738" i="121"/>
  <c r="J754" i="121"/>
  <c r="J770" i="121"/>
  <c r="J786" i="121"/>
  <c r="J802" i="121"/>
  <c r="J818" i="121"/>
  <c r="J834" i="121"/>
  <c r="J850" i="121"/>
  <c r="J866" i="121"/>
  <c r="J882" i="121"/>
  <c r="J898" i="121"/>
  <c r="J914" i="121"/>
  <c r="J930" i="121"/>
  <c r="J946" i="121"/>
  <c r="J962" i="121"/>
  <c r="J978" i="121"/>
  <c r="J994" i="121"/>
  <c r="J1010" i="121"/>
  <c r="J1026" i="121"/>
  <c r="J1042" i="121"/>
  <c r="J1058" i="121"/>
  <c r="J1074" i="121"/>
  <c r="J1090" i="121"/>
  <c r="J1106" i="121"/>
  <c r="J1122" i="121"/>
  <c r="J1138" i="121"/>
  <c r="J1154" i="121"/>
  <c r="J1170" i="121"/>
  <c r="J1186" i="121"/>
  <c r="J1202" i="121"/>
  <c r="J1218" i="121"/>
  <c r="J1234" i="121"/>
  <c r="J1261" i="121"/>
  <c r="J1293" i="121"/>
  <c r="J1301" i="121"/>
  <c r="J1241" i="121"/>
  <c r="J811" i="121"/>
  <c r="J1011" i="121"/>
  <c r="J1091" i="121"/>
  <c r="J1155" i="121"/>
  <c r="J1187" i="121"/>
  <c r="J1203" i="121"/>
  <c r="J1219" i="121"/>
  <c r="J1240" i="121"/>
  <c r="J1272" i="121"/>
  <c r="J1304" i="121"/>
  <c r="J763" i="121"/>
  <c r="J803" i="121"/>
  <c r="J855" i="121"/>
  <c r="J899" i="121"/>
  <c r="J943" i="121"/>
  <c r="J995" i="121"/>
  <c r="J742" i="121"/>
  <c r="J758" i="121"/>
  <c r="J774" i="121"/>
  <c r="J790" i="121"/>
  <c r="J806" i="121"/>
  <c r="J822" i="121"/>
  <c r="J838" i="121"/>
  <c r="J854" i="121"/>
  <c r="J870" i="121"/>
  <c r="J886" i="121"/>
  <c r="J902" i="121"/>
  <c r="J918" i="121"/>
  <c r="J934" i="121"/>
  <c r="J950" i="121"/>
  <c r="J966" i="121"/>
  <c r="J982" i="121"/>
  <c r="J998" i="121"/>
  <c r="J1014" i="121"/>
  <c r="J1030" i="121"/>
  <c r="J1046" i="121"/>
  <c r="J1062" i="121"/>
  <c r="J1078" i="121"/>
  <c r="J1094" i="121"/>
  <c r="J1110" i="121"/>
  <c r="J1126" i="121"/>
  <c r="J1142" i="121"/>
  <c r="J1158" i="121"/>
  <c r="J1174" i="121"/>
  <c r="J1190" i="121"/>
  <c r="J1206" i="121"/>
  <c r="J1222" i="121"/>
  <c r="J1237" i="121"/>
  <c r="J1269" i="121"/>
  <c r="J1273" i="121"/>
  <c r="J859" i="121"/>
  <c r="J1043" i="121"/>
  <c r="J1107" i="121"/>
  <c r="J1159" i="121"/>
  <c r="J1191" i="121"/>
  <c r="J1207" i="121"/>
  <c r="J1223" i="121"/>
  <c r="J1248" i="121"/>
  <c r="J1280" i="121"/>
  <c r="J1312" i="121"/>
  <c r="J771" i="121"/>
  <c r="J815" i="121"/>
  <c r="J867" i="121"/>
  <c r="J911" i="121"/>
  <c r="J959" i="121"/>
  <c r="J1003" i="121"/>
  <c r="J730" i="121"/>
  <c r="J746" i="121"/>
  <c r="J762" i="121"/>
  <c r="J778" i="121"/>
  <c r="J794" i="121"/>
  <c r="J810" i="121"/>
  <c r="J826" i="121"/>
  <c r="J842" i="121"/>
  <c r="J858" i="121"/>
  <c r="J874" i="121"/>
  <c r="J890" i="121"/>
  <c r="J906" i="121"/>
  <c r="J922" i="121"/>
  <c r="J938" i="121"/>
  <c r="J954" i="121"/>
  <c r="J970" i="121"/>
  <c r="J986" i="121"/>
  <c r="J1002" i="121"/>
  <c r="J1018" i="121"/>
  <c r="J1034" i="121"/>
  <c r="J1050" i="121"/>
  <c r="J1066" i="121"/>
  <c r="J1082" i="121"/>
  <c r="J1098" i="121"/>
  <c r="J1114" i="121"/>
  <c r="J1130" i="121"/>
  <c r="J1146" i="121"/>
  <c r="J1162" i="121"/>
  <c r="J1178" i="121"/>
  <c r="J1194" i="121"/>
  <c r="J1210" i="121"/>
  <c r="J1226" i="121"/>
  <c r="J1245" i="121"/>
  <c r="J1277" i="121"/>
  <c r="F160" i="135"/>
  <c r="E290" i="135"/>
  <c r="F290" i="135" s="1"/>
  <c r="G292" i="135"/>
  <c r="L318" i="135"/>
  <c r="M318" i="135"/>
  <c r="K318" i="135"/>
  <c r="J318" i="135"/>
  <c r="O318" i="135"/>
  <c r="N318" i="135"/>
  <c r="N257" i="135"/>
  <c r="K257" i="135"/>
  <c r="M257" i="135"/>
  <c r="O257" i="135"/>
  <c r="J257" i="135"/>
  <c r="L257" i="135"/>
  <c r="H14" i="135"/>
  <c r="I205" i="135"/>
  <c r="N322" i="135"/>
  <c r="J322" i="135"/>
  <c r="O322" i="135"/>
  <c r="M322" i="135"/>
  <c r="K322" i="135"/>
  <c r="L322" i="135"/>
  <c r="I296" i="135"/>
  <c r="K305" i="135"/>
  <c r="L305" i="135"/>
  <c r="O305" i="135"/>
  <c r="M305" i="135"/>
  <c r="N305" i="135"/>
  <c r="J305" i="135"/>
  <c r="F244" i="135"/>
  <c r="H254" i="135"/>
  <c r="G295" i="135"/>
  <c r="E276" i="135"/>
  <c r="F276" i="135" s="1"/>
  <c r="G46" i="135"/>
  <c r="G213" i="135"/>
  <c r="G137" i="135"/>
  <c r="G215" i="135"/>
  <c r="G162" i="135"/>
  <c r="F57" i="135"/>
  <c r="O310" i="135"/>
  <c r="M310" i="135"/>
  <c r="N310" i="135"/>
  <c r="K310" i="135"/>
  <c r="L310" i="135"/>
  <c r="J310" i="135"/>
  <c r="G179" i="135"/>
  <c r="F103" i="135"/>
  <c r="M28" i="135"/>
  <c r="J28" i="135"/>
  <c r="K28" i="135"/>
  <c r="L28" i="135"/>
  <c r="O28" i="135"/>
  <c r="N28" i="135"/>
  <c r="G315" i="135"/>
  <c r="F102" i="135"/>
  <c r="G154" i="135"/>
  <c r="G180" i="135"/>
  <c r="F100" i="135"/>
  <c r="G181" i="135"/>
  <c r="G206" i="135"/>
  <c r="G170" i="135"/>
  <c r="G167" i="135"/>
  <c r="G174" i="135"/>
  <c r="F230" i="135"/>
  <c r="G143" i="135"/>
  <c r="G128" i="135"/>
  <c r="G147" i="135"/>
  <c r="G150" i="135"/>
  <c r="G152" i="135"/>
  <c r="F90" i="135"/>
  <c r="G183" i="135"/>
  <c r="G274" i="135"/>
  <c r="G173" i="135"/>
  <c r="G273" i="135"/>
  <c r="G245" i="135"/>
  <c r="F120" i="135"/>
  <c r="G238" i="135"/>
  <c r="G159" i="135"/>
  <c r="G125" i="135"/>
  <c r="F108" i="135"/>
  <c r="H275" i="135"/>
  <c r="G256" i="135"/>
  <c r="G219" i="135"/>
  <c r="E16" i="135"/>
  <c r="F16" i="135" s="1"/>
  <c r="E130" i="135"/>
  <c r="F130" i="135" s="1"/>
  <c r="I307" i="135"/>
  <c r="E98" i="135"/>
  <c r="F98" i="135" s="1"/>
  <c r="E107" i="135"/>
  <c r="F107" i="135" s="1"/>
  <c r="E89" i="135"/>
  <c r="F89" i="135" s="1"/>
  <c r="E241" i="135"/>
  <c r="F241" i="135" s="1"/>
  <c r="E48" i="135"/>
  <c r="F48" i="135" s="1"/>
  <c r="E82" i="135"/>
  <c r="F82" i="135" s="1"/>
  <c r="G25" i="135"/>
  <c r="G244" i="135"/>
  <c r="G233" i="135"/>
  <c r="G7" i="135"/>
  <c r="G191" i="135"/>
  <c r="G224" i="135"/>
  <c r="G236" i="135"/>
  <c r="G258" i="135"/>
  <c r="G92" i="135"/>
  <c r="G267" i="135"/>
  <c r="G281" i="135"/>
  <c r="G145" i="135"/>
  <c r="G51" i="135"/>
  <c r="G132" i="135"/>
  <c r="G127" i="135"/>
  <c r="G142" i="135"/>
  <c r="G203" i="135"/>
  <c r="G131" i="135"/>
  <c r="G144" i="135"/>
  <c r="G194" i="135"/>
  <c r="G115" i="135"/>
  <c r="G163" i="135"/>
  <c r="G121" i="135"/>
  <c r="G112" i="135"/>
  <c r="G153" i="135"/>
  <c r="G220" i="135"/>
  <c r="G61" i="135"/>
  <c r="G239" i="135"/>
  <c r="G86" i="135"/>
  <c r="G113" i="135"/>
  <c r="G247" i="135"/>
  <c r="G90" i="135"/>
  <c r="G266" i="135"/>
  <c r="G263" i="135"/>
  <c r="H274" i="135"/>
  <c r="I317" i="135"/>
  <c r="H256" i="135"/>
  <c r="G52" i="135"/>
  <c r="G156" i="135"/>
  <c r="G198" i="135"/>
  <c r="G211" i="135"/>
  <c r="G47" i="135"/>
  <c r="G160" i="135"/>
  <c r="G24" i="135"/>
  <c r="G268" i="135"/>
  <c r="I313" i="135"/>
  <c r="G140" i="135"/>
  <c r="G111" i="135"/>
  <c r="G122" i="135"/>
  <c r="G73" i="135"/>
  <c r="G171" i="135"/>
  <c r="G225" i="135"/>
  <c r="G234" i="135"/>
  <c r="G232" i="135"/>
  <c r="G242" i="135"/>
  <c r="G252" i="135"/>
  <c r="G265" i="135"/>
  <c r="G282" i="135"/>
  <c r="M29" i="135"/>
  <c r="J29" i="135"/>
  <c r="N29" i="135"/>
  <c r="K29" i="135"/>
  <c r="O29" i="135"/>
  <c r="L29" i="135"/>
  <c r="G119" i="135"/>
  <c r="G193" i="135"/>
  <c r="G135" i="135"/>
  <c r="G169" i="135"/>
  <c r="G141" i="135"/>
  <c r="G96" i="135"/>
  <c r="G84" i="135"/>
  <c r="G240" i="135"/>
  <c r="G231" i="135"/>
  <c r="G221" i="135"/>
  <c r="G49" i="135"/>
  <c r="G212" i="135"/>
  <c r="G255" i="135"/>
  <c r="I285" i="135"/>
  <c r="H304" i="135"/>
  <c r="H238" i="135"/>
  <c r="M309" i="135"/>
  <c r="N309" i="135"/>
  <c r="J309" i="135"/>
  <c r="O309" i="135"/>
  <c r="K309" i="135"/>
  <c r="L309" i="135"/>
  <c r="H273" i="135"/>
  <c r="H245" i="135"/>
  <c r="I291" i="135"/>
  <c r="H219" i="135"/>
  <c r="H6" i="119"/>
  <c r="J8" i="119"/>
  <c r="G87" i="135"/>
  <c r="G95" i="135"/>
  <c r="G17" i="135"/>
  <c r="G85" i="135"/>
  <c r="G226" i="135"/>
  <c r="J710" i="121"/>
  <c r="J721" i="121"/>
  <c r="J698" i="121"/>
  <c r="J705" i="121"/>
  <c r="J720" i="121"/>
  <c r="J715" i="121"/>
  <c r="J709" i="121"/>
  <c r="J706" i="121"/>
  <c r="J718" i="121"/>
  <c r="J722" i="121"/>
  <c r="J714" i="121"/>
  <c r="J725" i="121"/>
  <c r="J703" i="121"/>
  <c r="J713" i="121"/>
  <c r="J719" i="121"/>
  <c r="J717" i="121"/>
  <c r="J723" i="121"/>
  <c r="J716" i="121"/>
  <c r="J711" i="121"/>
  <c r="J704" i="121"/>
  <c r="J699" i="121"/>
  <c r="J708" i="121"/>
  <c r="J724" i="121"/>
  <c r="J712" i="121"/>
  <c r="J707" i="121"/>
  <c r="J700" i="121"/>
  <c r="J726" i="121"/>
  <c r="J7" i="121"/>
  <c r="I4" i="121"/>
  <c r="H4" i="121"/>
  <c r="I40" i="114"/>
  <c r="J40" i="114"/>
  <c r="I41" i="114"/>
  <c r="J41" i="114"/>
  <c r="I42" i="114"/>
  <c r="J42" i="114"/>
  <c r="I43" i="114"/>
  <c r="J43" i="114"/>
  <c r="I44" i="114"/>
  <c r="J44" i="114"/>
  <c r="J6" i="119"/>
  <c r="H59" i="114"/>
  <c r="J6" i="115"/>
  <c r="B8" i="115"/>
  <c r="B9" i="115"/>
  <c r="B10" i="115"/>
  <c r="B13" i="115"/>
  <c r="B14" i="115"/>
  <c r="B15" i="115"/>
  <c r="B16" i="115"/>
  <c r="B18" i="115"/>
  <c r="B19" i="115"/>
  <c r="B20" i="115"/>
  <c r="B21" i="115"/>
  <c r="B22" i="115"/>
  <c r="B23" i="115"/>
  <c r="B24" i="115"/>
  <c r="B25" i="115"/>
  <c r="B26" i="115"/>
  <c r="B27" i="115"/>
  <c r="B28" i="115"/>
  <c r="B32" i="115"/>
  <c r="B33" i="115"/>
  <c r="I299" i="135" l="1"/>
  <c r="AQ4" i="123"/>
  <c r="G12" i="135" s="1"/>
  <c r="G288" i="135"/>
  <c r="L14" i="135"/>
  <c r="H292" i="135"/>
  <c r="I318" i="135"/>
  <c r="G270" i="135"/>
  <c r="J254" i="135"/>
  <c r="I257" i="135"/>
  <c r="G196" i="135"/>
  <c r="H270" i="135"/>
  <c r="I322" i="135"/>
  <c r="I305" i="135"/>
  <c r="H250" i="135"/>
  <c r="G48" i="135"/>
  <c r="H46" i="135"/>
  <c r="J312" i="135"/>
  <c r="K312" i="135"/>
  <c r="N312" i="135"/>
  <c r="O312" i="135"/>
  <c r="M312" i="135"/>
  <c r="L312" i="135"/>
  <c r="H295" i="135"/>
  <c r="H213" i="135"/>
  <c r="H137" i="135"/>
  <c r="G134" i="135"/>
  <c r="H215" i="135"/>
  <c r="H162" i="135"/>
  <c r="G189" i="135"/>
  <c r="G217" i="135"/>
  <c r="G201" i="135"/>
  <c r="G172" i="135"/>
  <c r="G26" i="135"/>
  <c r="H179" i="135"/>
  <c r="I310" i="135"/>
  <c r="H143" i="135"/>
  <c r="G209" i="135"/>
  <c r="H147" i="135"/>
  <c r="G168" i="135"/>
  <c r="G237" i="135"/>
  <c r="G216" i="135"/>
  <c r="H170" i="135"/>
  <c r="H152" i="135"/>
  <c r="G89" i="135"/>
  <c r="G243" i="135"/>
  <c r="H180" i="135"/>
  <c r="G130" i="135"/>
  <c r="H128" i="135"/>
  <c r="G208" i="135"/>
  <c r="H174" i="135"/>
  <c r="G158" i="135"/>
  <c r="H196" i="135"/>
  <c r="H259" i="135"/>
  <c r="H167" i="135"/>
  <c r="G148" i="135"/>
  <c r="G214" i="135"/>
  <c r="G261" i="135"/>
  <c r="G187" i="135"/>
  <c r="G210" i="135"/>
  <c r="G192" i="135"/>
  <c r="G118" i="135"/>
  <c r="G161" i="135"/>
  <c r="G133" i="135"/>
  <c r="I28" i="135"/>
  <c r="H315" i="135"/>
  <c r="G146" i="135"/>
  <c r="G129" i="135"/>
  <c r="G136" i="135"/>
  <c r="G178" i="135"/>
  <c r="G151" i="135"/>
  <c r="G53" i="135"/>
  <c r="G138" i="135"/>
  <c r="L275" i="135"/>
  <c r="H125" i="135"/>
  <c r="G106" i="135"/>
  <c r="G164" i="135"/>
  <c r="H269" i="135"/>
  <c r="G149" i="135"/>
  <c r="J273" i="135"/>
  <c r="L273" i="135"/>
  <c r="N273" i="135"/>
  <c r="K273" i="135"/>
  <c r="M273" i="135"/>
  <c r="O273" i="135"/>
  <c r="J274" i="135"/>
  <c r="N274" i="135"/>
  <c r="L274" i="135"/>
  <c r="M274" i="135"/>
  <c r="K274" i="135"/>
  <c r="O274" i="135"/>
  <c r="G54" i="135"/>
  <c r="G165" i="135"/>
  <c r="G70" i="135"/>
  <c r="G83" i="135"/>
  <c r="G37" i="135"/>
  <c r="G105" i="135"/>
  <c r="G223" i="135"/>
  <c r="G264" i="135"/>
  <c r="M245" i="135"/>
  <c r="J245" i="135"/>
  <c r="N245" i="135"/>
  <c r="K245" i="135"/>
  <c r="O245" i="135"/>
  <c r="L245" i="135"/>
  <c r="G251" i="135"/>
  <c r="H64" i="135"/>
  <c r="G64" i="135"/>
  <c r="G230" i="135"/>
  <c r="G98" i="135"/>
  <c r="G103" i="135"/>
  <c r="I309" i="135"/>
  <c r="G204" i="135"/>
  <c r="G249" i="135"/>
  <c r="G42" i="135"/>
  <c r="G175" i="135"/>
  <c r="G69" i="135"/>
  <c r="G246" i="135"/>
  <c r="L238" i="135"/>
  <c r="M238" i="135"/>
  <c r="J238" i="135"/>
  <c r="N238" i="135"/>
  <c r="K238" i="135"/>
  <c r="O238" i="135"/>
  <c r="H255" i="135"/>
  <c r="H221" i="135"/>
  <c r="H240" i="135"/>
  <c r="H146" i="135"/>
  <c r="H216" i="135"/>
  <c r="H165" i="135"/>
  <c r="H135" i="135"/>
  <c r="H130" i="135"/>
  <c r="H119" i="135"/>
  <c r="H282" i="135"/>
  <c r="H265" i="135"/>
  <c r="H252" i="135"/>
  <c r="H232" i="135"/>
  <c r="H225" i="135"/>
  <c r="H171" i="135"/>
  <c r="H122" i="135"/>
  <c r="G44" i="135"/>
  <c r="H263" i="135"/>
  <c r="H266" i="135"/>
  <c r="H90" i="135"/>
  <c r="H113" i="135"/>
  <c r="H239" i="135"/>
  <c r="H61" i="135"/>
  <c r="H220" i="135"/>
  <c r="H112" i="135"/>
  <c r="H201" i="135"/>
  <c r="K123" i="135"/>
  <c r="H123" i="135"/>
  <c r="H214" i="135"/>
  <c r="H161" i="135"/>
  <c r="H172" i="135"/>
  <c r="H194" i="135"/>
  <c r="H158" i="135"/>
  <c r="H131" i="135"/>
  <c r="M155" i="135"/>
  <c r="H155" i="135"/>
  <c r="H164" i="135"/>
  <c r="J117" i="135"/>
  <c r="H117" i="135"/>
  <c r="H142" i="135"/>
  <c r="H190" i="135"/>
  <c r="H53" i="135"/>
  <c r="H118" i="135"/>
  <c r="H217" i="135"/>
  <c r="G241" i="135"/>
  <c r="G107" i="135"/>
  <c r="G104" i="135"/>
  <c r="G139" i="135"/>
  <c r="G102" i="135"/>
  <c r="J304" i="135"/>
  <c r="N304" i="135"/>
  <c r="M304" i="135"/>
  <c r="K304" i="135"/>
  <c r="L304" i="135"/>
  <c r="O304" i="135"/>
  <c r="G120" i="135"/>
  <c r="I29" i="135"/>
  <c r="G13" i="135"/>
  <c r="H89" i="135"/>
  <c r="H24" i="135"/>
  <c r="H26" i="135"/>
  <c r="O44" i="135"/>
  <c r="H44" i="135"/>
  <c r="H210" i="135"/>
  <c r="H211" i="135"/>
  <c r="H156" i="135"/>
  <c r="H106" i="135"/>
  <c r="H148" i="135"/>
  <c r="H267" i="135"/>
  <c r="H258" i="135"/>
  <c r="H261" i="135"/>
  <c r="H191" i="135"/>
  <c r="H233" i="135"/>
  <c r="H244" i="135"/>
  <c r="H138" i="135"/>
  <c r="G88" i="135"/>
  <c r="G99" i="135"/>
  <c r="G101" i="135"/>
  <c r="G222" i="135"/>
  <c r="G248" i="135"/>
  <c r="G100" i="135"/>
  <c r="M33" i="135"/>
  <c r="J33" i="135"/>
  <c r="N33" i="135"/>
  <c r="K33" i="135"/>
  <c r="O33" i="135"/>
  <c r="L33" i="135"/>
  <c r="H212" i="135"/>
  <c r="H49" i="135"/>
  <c r="H231" i="135"/>
  <c r="H84" i="135"/>
  <c r="H96" i="135"/>
  <c r="H141" i="135"/>
  <c r="H169" i="135"/>
  <c r="H120" i="135"/>
  <c r="H168" i="135"/>
  <c r="H178" i="135"/>
  <c r="H193" i="135"/>
  <c r="H151" i="135"/>
  <c r="H54" i="135"/>
  <c r="H242" i="135"/>
  <c r="H234" i="135"/>
  <c r="H73" i="135"/>
  <c r="H111" i="135"/>
  <c r="K13" i="135"/>
  <c r="H13" i="135"/>
  <c r="H140" i="135"/>
  <c r="G108" i="135"/>
  <c r="G109" i="135"/>
  <c r="J256" i="135"/>
  <c r="N256" i="135"/>
  <c r="K256" i="135"/>
  <c r="O256" i="135"/>
  <c r="L256" i="135"/>
  <c r="M256" i="135"/>
  <c r="K259" i="135"/>
  <c r="O259" i="135"/>
  <c r="L259" i="135"/>
  <c r="M259" i="135"/>
  <c r="J259" i="135"/>
  <c r="N259" i="135"/>
  <c r="M269" i="135"/>
  <c r="J269" i="135"/>
  <c r="N269" i="135"/>
  <c r="K269" i="135"/>
  <c r="O269" i="135"/>
  <c r="L269" i="135"/>
  <c r="H243" i="135"/>
  <c r="H247" i="135"/>
  <c r="H86" i="135"/>
  <c r="H153" i="135"/>
  <c r="H121" i="135"/>
  <c r="H189" i="135"/>
  <c r="H209" i="135"/>
  <c r="H129" i="135"/>
  <c r="H163" i="135"/>
  <c r="H115" i="135"/>
  <c r="H136" i="135"/>
  <c r="H144" i="135"/>
  <c r="H203" i="135"/>
  <c r="H127" i="135"/>
  <c r="H132" i="135"/>
  <c r="H51" i="135"/>
  <c r="H192" i="135"/>
  <c r="H145" i="135"/>
  <c r="H133" i="135"/>
  <c r="G94" i="135"/>
  <c r="G27" i="135"/>
  <c r="G79" i="135"/>
  <c r="G93" i="135"/>
  <c r="G57" i="135"/>
  <c r="G91" i="135"/>
  <c r="G200" i="135"/>
  <c r="K219" i="135"/>
  <c r="O219" i="135"/>
  <c r="L219" i="135"/>
  <c r="M219" i="135"/>
  <c r="J219" i="135"/>
  <c r="N219" i="135"/>
  <c r="H268" i="135"/>
  <c r="H237" i="135"/>
  <c r="O108" i="135"/>
  <c r="H108" i="135"/>
  <c r="M109" i="135"/>
  <c r="H109" i="135"/>
  <c r="H160" i="135"/>
  <c r="H149" i="135"/>
  <c r="H134" i="135"/>
  <c r="H47" i="135"/>
  <c r="H198" i="135"/>
  <c r="H52" i="135"/>
  <c r="H208" i="135"/>
  <c r="L250" i="135"/>
  <c r="M250" i="135"/>
  <c r="J250" i="135"/>
  <c r="N250" i="135"/>
  <c r="K250" i="135"/>
  <c r="O250" i="135"/>
  <c r="G123" i="135"/>
  <c r="G155" i="135"/>
  <c r="G117" i="135"/>
  <c r="G190" i="135"/>
  <c r="H281" i="135"/>
  <c r="H92" i="135"/>
  <c r="H236" i="135"/>
  <c r="H224" i="135"/>
  <c r="H7" i="135"/>
  <c r="H25" i="135"/>
  <c r="H187" i="135"/>
  <c r="H17" i="135"/>
  <c r="H226" i="135"/>
  <c r="G80" i="135"/>
  <c r="G184" i="135"/>
  <c r="G72" i="135"/>
  <c r="G62" i="135"/>
  <c r="G59" i="135"/>
  <c r="G63" i="135"/>
  <c r="G76" i="135"/>
  <c r="G50" i="135"/>
  <c r="G58" i="135"/>
  <c r="G74" i="135"/>
  <c r="G56" i="135"/>
  <c r="G75" i="135"/>
  <c r="G186" i="135"/>
  <c r="G55" i="135"/>
  <c r="G71" i="135"/>
  <c r="G67" i="135"/>
  <c r="G202" i="135"/>
  <c r="G78" i="135"/>
  <c r="G188" i="135"/>
  <c r="G110" i="135"/>
  <c r="G65" i="135"/>
  <c r="G81" i="135"/>
  <c r="G195" i="135"/>
  <c r="G5" i="135"/>
  <c r="J4" i="121"/>
  <c r="F6" i="115"/>
  <c r="G6" i="115"/>
  <c r="H6" i="115"/>
  <c r="I6" i="115"/>
  <c r="E6" i="115"/>
  <c r="E7" i="115"/>
  <c r="F7" i="115" s="1"/>
  <c r="F29" i="115" s="1"/>
  <c r="AR4" i="123" l="1"/>
  <c r="AS4" i="123" s="1"/>
  <c r="G290" i="135"/>
  <c r="H288" i="135"/>
  <c r="N14" i="135"/>
  <c r="M196" i="135"/>
  <c r="M167" i="135"/>
  <c r="L174" i="135"/>
  <c r="K14" i="135"/>
  <c r="M14" i="135"/>
  <c r="J14" i="135"/>
  <c r="O14" i="135"/>
  <c r="N162" i="135"/>
  <c r="O254" i="135"/>
  <c r="J292" i="135"/>
  <c r="K292" i="135"/>
  <c r="O292" i="135"/>
  <c r="M292" i="135"/>
  <c r="N292" i="135"/>
  <c r="L292" i="135"/>
  <c r="L254" i="135"/>
  <c r="M254" i="135"/>
  <c r="N254" i="135"/>
  <c r="K254" i="135"/>
  <c r="M270" i="135"/>
  <c r="O270" i="135"/>
  <c r="J270" i="135"/>
  <c r="N270" i="135"/>
  <c r="L270" i="135"/>
  <c r="K270" i="135"/>
  <c r="H48" i="135"/>
  <c r="O295" i="135"/>
  <c r="M295" i="135"/>
  <c r="J295" i="135"/>
  <c r="N295" i="135"/>
  <c r="K295" i="135"/>
  <c r="L295" i="135"/>
  <c r="I312" i="135"/>
  <c r="G276" i="135"/>
  <c r="H154" i="135"/>
  <c r="M128" i="135"/>
  <c r="H183" i="135"/>
  <c r="O215" i="135"/>
  <c r="O64" i="135"/>
  <c r="G82" i="135"/>
  <c r="J170" i="135"/>
  <c r="H206" i="135"/>
  <c r="K179" i="135"/>
  <c r="H181" i="135"/>
  <c r="H159" i="135"/>
  <c r="J155" i="135"/>
  <c r="H150" i="135"/>
  <c r="J147" i="135"/>
  <c r="M180" i="135"/>
  <c r="O152" i="135"/>
  <c r="N275" i="135"/>
  <c r="O275" i="135"/>
  <c r="N117" i="135"/>
  <c r="K155" i="135"/>
  <c r="G16" i="135"/>
  <c r="J275" i="135"/>
  <c r="K275" i="135"/>
  <c r="M275" i="135"/>
  <c r="J315" i="135"/>
  <c r="L315" i="135"/>
  <c r="N315" i="135"/>
  <c r="M315" i="135"/>
  <c r="K315" i="135"/>
  <c r="O315" i="135"/>
  <c r="M125" i="135"/>
  <c r="L155" i="135"/>
  <c r="O117" i="135"/>
  <c r="M117" i="135"/>
  <c r="N155" i="135"/>
  <c r="O155" i="135"/>
  <c r="K117" i="135"/>
  <c r="L117" i="135"/>
  <c r="H173" i="135"/>
  <c r="K44" i="135"/>
  <c r="M44" i="135"/>
  <c r="N44" i="135"/>
  <c r="L44" i="135"/>
  <c r="J44" i="135"/>
  <c r="J46" i="135"/>
  <c r="N46" i="135"/>
  <c r="L46" i="135"/>
  <c r="O46" i="135"/>
  <c r="M46" i="135"/>
  <c r="K46" i="135"/>
  <c r="M108" i="135"/>
  <c r="N108" i="135"/>
  <c r="O73" i="135"/>
  <c r="J73" i="135"/>
  <c r="M73" i="135"/>
  <c r="L73" i="135"/>
  <c r="K73" i="135"/>
  <c r="N73" i="135"/>
  <c r="K141" i="135"/>
  <c r="M141" i="135"/>
  <c r="O141" i="135"/>
  <c r="J141" i="135"/>
  <c r="L141" i="135"/>
  <c r="N141" i="135"/>
  <c r="N13" i="135"/>
  <c r="M138" i="135"/>
  <c r="N138" i="135"/>
  <c r="L138" i="135"/>
  <c r="J138" i="135"/>
  <c r="K138" i="135"/>
  <c r="O138" i="135"/>
  <c r="J161" i="135"/>
  <c r="L161" i="135"/>
  <c r="N161" i="135"/>
  <c r="K161" i="135"/>
  <c r="M161" i="135"/>
  <c r="O161" i="135"/>
  <c r="O239" i="135"/>
  <c r="N239" i="135"/>
  <c r="L239" i="135"/>
  <c r="M239" i="135"/>
  <c r="K239" i="135"/>
  <c r="J239" i="135"/>
  <c r="J90" i="135"/>
  <c r="L90" i="135"/>
  <c r="N90" i="135"/>
  <c r="M90" i="135"/>
  <c r="K90" i="135"/>
  <c r="O90" i="135"/>
  <c r="N109" i="135"/>
  <c r="M123" i="135"/>
  <c r="N123" i="135"/>
  <c r="L108" i="135"/>
  <c r="J108" i="135"/>
  <c r="O133" i="135"/>
  <c r="J133" i="135"/>
  <c r="M133" i="135"/>
  <c r="L133" i="135"/>
  <c r="K133" i="135"/>
  <c r="N133" i="135"/>
  <c r="L132" i="135"/>
  <c r="M132" i="135"/>
  <c r="K132" i="135"/>
  <c r="J132" i="135"/>
  <c r="O132" i="135"/>
  <c r="N132" i="135"/>
  <c r="O151" i="135"/>
  <c r="N151" i="135"/>
  <c r="L151" i="135"/>
  <c r="M151" i="135"/>
  <c r="K151" i="135"/>
  <c r="J151" i="135"/>
  <c r="L13" i="135"/>
  <c r="J13" i="135"/>
  <c r="O24" i="135"/>
  <c r="J24" i="135"/>
  <c r="L24" i="135"/>
  <c r="N24" i="135"/>
  <c r="M24" i="135"/>
  <c r="K24" i="135"/>
  <c r="K225" i="135"/>
  <c r="M225" i="135"/>
  <c r="O225" i="135"/>
  <c r="J225" i="135"/>
  <c r="L225" i="135"/>
  <c r="N225" i="135"/>
  <c r="O183" i="135"/>
  <c r="N183" i="135"/>
  <c r="L183" i="135"/>
  <c r="M183" i="135"/>
  <c r="K183" i="135"/>
  <c r="J183" i="135"/>
  <c r="N221" i="135"/>
  <c r="K221" i="135"/>
  <c r="M221" i="135"/>
  <c r="O221" i="135"/>
  <c r="J221" i="135"/>
  <c r="L221" i="135"/>
  <c r="L109" i="135"/>
  <c r="L123" i="135"/>
  <c r="J123" i="135"/>
  <c r="L92" i="135"/>
  <c r="K92" i="135"/>
  <c r="M92" i="135"/>
  <c r="O92" i="135"/>
  <c r="J92" i="135"/>
  <c r="N92" i="135"/>
  <c r="K160" i="135"/>
  <c r="O160" i="135"/>
  <c r="J160" i="135"/>
  <c r="L160" i="135"/>
  <c r="N160" i="135"/>
  <c r="M160" i="135"/>
  <c r="K108" i="135"/>
  <c r="O140" i="135"/>
  <c r="J140" i="135"/>
  <c r="L140" i="135"/>
  <c r="N140" i="135"/>
  <c r="M140" i="135"/>
  <c r="K140" i="135"/>
  <c r="O13" i="135"/>
  <c r="M13" i="135"/>
  <c r="N217" i="135"/>
  <c r="K217" i="135"/>
  <c r="M217" i="135"/>
  <c r="O217" i="135"/>
  <c r="J217" i="135"/>
  <c r="L217" i="135"/>
  <c r="N142" i="135"/>
  <c r="L142" i="135"/>
  <c r="K142" i="135"/>
  <c r="M142" i="135"/>
  <c r="O142" i="135"/>
  <c r="J142" i="135"/>
  <c r="K164" i="135"/>
  <c r="O164" i="135"/>
  <c r="J164" i="135"/>
  <c r="L164" i="135"/>
  <c r="N164" i="135"/>
  <c r="M164" i="135"/>
  <c r="N172" i="135"/>
  <c r="M172" i="135"/>
  <c r="K172" i="135"/>
  <c r="O172" i="135"/>
  <c r="J172" i="135"/>
  <c r="L172" i="135"/>
  <c r="L214" i="135"/>
  <c r="N214" i="135"/>
  <c r="M214" i="135"/>
  <c r="J214" i="135"/>
  <c r="O214" i="135"/>
  <c r="K214" i="135"/>
  <c r="K112" i="135"/>
  <c r="M112" i="135"/>
  <c r="O112" i="135"/>
  <c r="J112" i="135"/>
  <c r="L112" i="135"/>
  <c r="N112" i="135"/>
  <c r="O109" i="135"/>
  <c r="K109" i="135"/>
  <c r="O123" i="135"/>
  <c r="I273" i="135"/>
  <c r="K193" i="135"/>
  <c r="M193" i="135"/>
  <c r="O193" i="135"/>
  <c r="J193" i="135"/>
  <c r="L193" i="135"/>
  <c r="N193" i="135"/>
  <c r="O156" i="135"/>
  <c r="J156" i="135"/>
  <c r="L156" i="135"/>
  <c r="N156" i="135"/>
  <c r="M156" i="135"/>
  <c r="K156" i="135"/>
  <c r="M26" i="135"/>
  <c r="O26" i="135"/>
  <c r="J26" i="135"/>
  <c r="N26" i="135"/>
  <c r="L26" i="135"/>
  <c r="K26" i="135"/>
  <c r="J109" i="135"/>
  <c r="I274" i="135"/>
  <c r="L187" i="135"/>
  <c r="M187" i="135"/>
  <c r="J187" i="135"/>
  <c r="N187" i="135"/>
  <c r="K187" i="135"/>
  <c r="O187" i="135"/>
  <c r="K236" i="135"/>
  <c r="O236" i="135"/>
  <c r="M236" i="135"/>
  <c r="J236" i="135"/>
  <c r="N236" i="135"/>
  <c r="L236" i="135"/>
  <c r="M208" i="135"/>
  <c r="K208" i="135"/>
  <c r="O208" i="135"/>
  <c r="J208" i="135"/>
  <c r="L208" i="135"/>
  <c r="N208" i="135"/>
  <c r="J198" i="135"/>
  <c r="N198" i="135"/>
  <c r="K198" i="135"/>
  <c r="O198" i="135"/>
  <c r="L198" i="135"/>
  <c r="M198" i="135"/>
  <c r="K47" i="135"/>
  <c r="O47" i="135"/>
  <c r="M47" i="135"/>
  <c r="J47" i="135"/>
  <c r="L47" i="135"/>
  <c r="N47" i="135"/>
  <c r="L149" i="135"/>
  <c r="M149" i="135"/>
  <c r="O149" i="135"/>
  <c r="J149" i="135"/>
  <c r="K149" i="135"/>
  <c r="N149" i="135"/>
  <c r="J136" i="135"/>
  <c r="N136" i="135"/>
  <c r="K136" i="135"/>
  <c r="O136" i="135"/>
  <c r="L136" i="135"/>
  <c r="M136" i="135"/>
  <c r="J189" i="135"/>
  <c r="L189" i="135"/>
  <c r="N189" i="135"/>
  <c r="K189" i="135"/>
  <c r="M189" i="135"/>
  <c r="O189" i="135"/>
  <c r="M153" i="135"/>
  <c r="J153" i="135"/>
  <c r="N153" i="135"/>
  <c r="K153" i="135"/>
  <c r="L153" i="135"/>
  <c r="O153" i="135"/>
  <c r="J86" i="135"/>
  <c r="N86" i="135"/>
  <c r="L86" i="135"/>
  <c r="O86" i="135"/>
  <c r="K86" i="135"/>
  <c r="M86" i="135"/>
  <c r="J247" i="135"/>
  <c r="N247" i="135"/>
  <c r="L247" i="135"/>
  <c r="M247" i="135"/>
  <c r="K247" i="135"/>
  <c r="O247" i="135"/>
  <c r="K234" i="135"/>
  <c r="O234" i="135"/>
  <c r="L234" i="135"/>
  <c r="M234" i="135"/>
  <c r="J234" i="135"/>
  <c r="N234" i="135"/>
  <c r="K84" i="135"/>
  <c r="O84" i="135"/>
  <c r="M84" i="135"/>
  <c r="L84" i="135"/>
  <c r="N84" i="135"/>
  <c r="J84" i="135"/>
  <c r="K49" i="135"/>
  <c r="O49" i="135"/>
  <c r="M49" i="135"/>
  <c r="L49" i="135"/>
  <c r="N49" i="135"/>
  <c r="J49" i="135"/>
  <c r="M212" i="135"/>
  <c r="K212" i="135"/>
  <c r="O212" i="135"/>
  <c r="J212" i="135"/>
  <c r="L212" i="135"/>
  <c r="N212" i="135"/>
  <c r="M191" i="135"/>
  <c r="J191" i="135"/>
  <c r="N191" i="135"/>
  <c r="K191" i="135"/>
  <c r="O191" i="135"/>
  <c r="L191" i="135"/>
  <c r="M106" i="135"/>
  <c r="J106" i="135"/>
  <c r="N106" i="135"/>
  <c r="L106" i="135"/>
  <c r="O106" i="135"/>
  <c r="K106" i="135"/>
  <c r="K213" i="135"/>
  <c r="O213" i="135"/>
  <c r="M213" i="135"/>
  <c r="N213" i="135"/>
  <c r="J213" i="135"/>
  <c r="L213" i="135"/>
  <c r="J194" i="135"/>
  <c r="N194" i="135"/>
  <c r="K194" i="135"/>
  <c r="O194" i="135"/>
  <c r="L194" i="135"/>
  <c r="M194" i="135"/>
  <c r="M266" i="135"/>
  <c r="K266" i="135"/>
  <c r="O266" i="135"/>
  <c r="L266" i="135"/>
  <c r="N266" i="135"/>
  <c r="J266" i="135"/>
  <c r="J263" i="135"/>
  <c r="N263" i="135"/>
  <c r="L263" i="135"/>
  <c r="M263" i="135"/>
  <c r="K263" i="135"/>
  <c r="O263" i="135"/>
  <c r="K265" i="135"/>
  <c r="O265" i="135"/>
  <c r="M265" i="135"/>
  <c r="J265" i="135"/>
  <c r="N265" i="135"/>
  <c r="L265" i="135"/>
  <c r="J282" i="135"/>
  <c r="N282" i="135"/>
  <c r="L282" i="135"/>
  <c r="M282" i="135"/>
  <c r="K282" i="135"/>
  <c r="O282" i="135"/>
  <c r="M143" i="135"/>
  <c r="J143" i="135"/>
  <c r="N143" i="135"/>
  <c r="O143" i="135"/>
  <c r="K143" i="135"/>
  <c r="L143" i="135"/>
  <c r="L255" i="135"/>
  <c r="J255" i="135"/>
  <c r="N255" i="135"/>
  <c r="K255" i="135"/>
  <c r="O255" i="135"/>
  <c r="M255" i="135"/>
  <c r="H87" i="135"/>
  <c r="M25" i="135"/>
  <c r="J25" i="135"/>
  <c r="N25" i="135"/>
  <c r="K25" i="135"/>
  <c r="O25" i="135"/>
  <c r="L25" i="135"/>
  <c r="H77" i="135"/>
  <c r="G77" i="135"/>
  <c r="I219" i="135"/>
  <c r="H200" i="135"/>
  <c r="H57" i="135"/>
  <c r="M145" i="135"/>
  <c r="J145" i="135"/>
  <c r="N145" i="135"/>
  <c r="K145" i="135"/>
  <c r="O145" i="135"/>
  <c r="L145" i="135"/>
  <c r="K51" i="135"/>
  <c r="O51" i="135"/>
  <c r="N51" i="135"/>
  <c r="J51" i="135"/>
  <c r="M51" i="135"/>
  <c r="L51" i="135"/>
  <c r="J127" i="135"/>
  <c r="N127" i="135"/>
  <c r="K127" i="135"/>
  <c r="O127" i="135"/>
  <c r="L127" i="135"/>
  <c r="M127" i="135"/>
  <c r="L150" i="135"/>
  <c r="M150" i="135"/>
  <c r="J150" i="135"/>
  <c r="N150" i="135"/>
  <c r="K150" i="135"/>
  <c r="O150" i="135"/>
  <c r="M120" i="135"/>
  <c r="J120" i="135"/>
  <c r="N120" i="135"/>
  <c r="K120" i="135"/>
  <c r="O120" i="135"/>
  <c r="L120" i="135"/>
  <c r="J244" i="135"/>
  <c r="N244" i="135"/>
  <c r="K244" i="135"/>
  <c r="O244" i="135"/>
  <c r="L244" i="135"/>
  <c r="M244" i="135"/>
  <c r="L258" i="135"/>
  <c r="M258" i="135"/>
  <c r="J258" i="135"/>
  <c r="N258" i="135"/>
  <c r="K258" i="135"/>
  <c r="O258" i="135"/>
  <c r="J148" i="135"/>
  <c r="N148" i="135"/>
  <c r="K148" i="135"/>
  <c r="O148" i="135"/>
  <c r="L148" i="135"/>
  <c r="M148" i="135"/>
  <c r="L210" i="135"/>
  <c r="M210" i="135"/>
  <c r="J210" i="135"/>
  <c r="N210" i="135"/>
  <c r="K210" i="135"/>
  <c r="O210" i="135"/>
  <c r="K171" i="135"/>
  <c r="O171" i="135"/>
  <c r="L171" i="135"/>
  <c r="M171" i="135"/>
  <c r="J171" i="135"/>
  <c r="N171" i="135"/>
  <c r="J232" i="135"/>
  <c r="N232" i="135"/>
  <c r="K232" i="135"/>
  <c r="O232" i="135"/>
  <c r="L232" i="135"/>
  <c r="M232" i="135"/>
  <c r="J119" i="135"/>
  <c r="N119" i="135"/>
  <c r="K119" i="135"/>
  <c r="O119" i="135"/>
  <c r="L119" i="135"/>
  <c r="M119" i="135"/>
  <c r="K130" i="135"/>
  <c r="O130" i="135"/>
  <c r="L130" i="135"/>
  <c r="M130" i="135"/>
  <c r="J130" i="135"/>
  <c r="N130" i="135"/>
  <c r="H60" i="135"/>
  <c r="G60" i="135"/>
  <c r="H85" i="135"/>
  <c r="H93" i="135"/>
  <c r="H27" i="135"/>
  <c r="H94" i="135"/>
  <c r="H68" i="135"/>
  <c r="G68" i="135"/>
  <c r="H95" i="135"/>
  <c r="K7" i="135"/>
  <c r="O7" i="135"/>
  <c r="L7" i="135"/>
  <c r="M7" i="135"/>
  <c r="J7" i="135"/>
  <c r="N7" i="135"/>
  <c r="M281" i="135"/>
  <c r="K281" i="135"/>
  <c r="O281" i="135"/>
  <c r="L281" i="135"/>
  <c r="N281" i="135"/>
  <c r="J281" i="135"/>
  <c r="I250" i="135"/>
  <c r="L134" i="135"/>
  <c r="K134" i="135"/>
  <c r="M134" i="135"/>
  <c r="N134" i="135"/>
  <c r="J134" i="135"/>
  <c r="O134" i="135"/>
  <c r="M237" i="135"/>
  <c r="J237" i="135"/>
  <c r="N237" i="135"/>
  <c r="K237" i="135"/>
  <c r="O237" i="135"/>
  <c r="L237" i="135"/>
  <c r="J115" i="135"/>
  <c r="N115" i="135"/>
  <c r="K115" i="135"/>
  <c r="O115" i="135"/>
  <c r="L115" i="135"/>
  <c r="M115" i="135"/>
  <c r="L129" i="135"/>
  <c r="M129" i="135"/>
  <c r="J129" i="135"/>
  <c r="N129" i="135"/>
  <c r="K129" i="135"/>
  <c r="O129" i="135"/>
  <c r="M209" i="135"/>
  <c r="J209" i="135"/>
  <c r="N209" i="135"/>
  <c r="K209" i="135"/>
  <c r="O209" i="135"/>
  <c r="L209" i="135"/>
  <c r="L121" i="135"/>
  <c r="M121" i="135"/>
  <c r="J121" i="135"/>
  <c r="N121" i="135"/>
  <c r="K121" i="135"/>
  <c r="O121" i="135"/>
  <c r="I259" i="135"/>
  <c r="L54" i="135"/>
  <c r="M54" i="135"/>
  <c r="K54" i="135"/>
  <c r="O54" i="135"/>
  <c r="J54" i="135"/>
  <c r="N54" i="135"/>
  <c r="H100" i="135"/>
  <c r="H82" i="135"/>
  <c r="H101" i="135"/>
  <c r="H99" i="135"/>
  <c r="H88" i="135"/>
  <c r="L154" i="135"/>
  <c r="M154" i="135"/>
  <c r="J154" i="135"/>
  <c r="N154" i="135"/>
  <c r="K154" i="135"/>
  <c r="O154" i="135"/>
  <c r="K89" i="135"/>
  <c r="O89" i="135"/>
  <c r="L89" i="135"/>
  <c r="M89" i="135"/>
  <c r="J89" i="135"/>
  <c r="N89" i="135"/>
  <c r="H102" i="135"/>
  <c r="H104" i="135"/>
  <c r="H241" i="135"/>
  <c r="M53" i="135"/>
  <c r="J53" i="135"/>
  <c r="N53" i="135"/>
  <c r="L53" i="135"/>
  <c r="K53" i="135"/>
  <c r="O53" i="135"/>
  <c r="L190" i="135"/>
  <c r="M190" i="135"/>
  <c r="J190" i="135"/>
  <c r="N190" i="135"/>
  <c r="K190" i="135"/>
  <c r="O190" i="135"/>
  <c r="J128" i="135"/>
  <c r="K128" i="135"/>
  <c r="L128" i="135"/>
  <c r="M201" i="135"/>
  <c r="J201" i="135"/>
  <c r="N201" i="135"/>
  <c r="K201" i="135"/>
  <c r="O201" i="135"/>
  <c r="L201" i="135"/>
  <c r="J220" i="135"/>
  <c r="N220" i="135"/>
  <c r="K220" i="135"/>
  <c r="O220" i="135"/>
  <c r="L220" i="135"/>
  <c r="M220" i="135"/>
  <c r="L146" i="135"/>
  <c r="M146" i="135"/>
  <c r="J146" i="135"/>
  <c r="N146" i="135"/>
  <c r="K146" i="135"/>
  <c r="O146" i="135"/>
  <c r="J240" i="135"/>
  <c r="N240" i="135"/>
  <c r="K240" i="135"/>
  <c r="O240" i="135"/>
  <c r="L240" i="135"/>
  <c r="M240" i="135"/>
  <c r="I238" i="135"/>
  <c r="H246" i="135"/>
  <c r="H249" i="135"/>
  <c r="H204" i="135"/>
  <c r="H103" i="135"/>
  <c r="H230" i="135"/>
  <c r="H251" i="135"/>
  <c r="H264" i="135"/>
  <c r="H105" i="135"/>
  <c r="H83" i="135"/>
  <c r="H79" i="135"/>
  <c r="H16" i="135"/>
  <c r="J192" i="135"/>
  <c r="N192" i="135"/>
  <c r="K192" i="135"/>
  <c r="O192" i="135"/>
  <c r="L192" i="135"/>
  <c r="M192" i="135"/>
  <c r="K203" i="135"/>
  <c r="O203" i="135"/>
  <c r="L203" i="135"/>
  <c r="M203" i="135"/>
  <c r="J203" i="135"/>
  <c r="N203" i="135"/>
  <c r="I269" i="135"/>
  <c r="L178" i="135"/>
  <c r="M178" i="135"/>
  <c r="J178" i="135"/>
  <c r="N178" i="135"/>
  <c r="K178" i="135"/>
  <c r="O178" i="135"/>
  <c r="J168" i="135"/>
  <c r="N168" i="135"/>
  <c r="K168" i="135"/>
  <c r="O168" i="135"/>
  <c r="L168" i="135"/>
  <c r="M168" i="135"/>
  <c r="I33" i="135"/>
  <c r="M233" i="135"/>
  <c r="J233" i="135"/>
  <c r="N233" i="135"/>
  <c r="K233" i="135"/>
  <c r="O233" i="135"/>
  <c r="L233" i="135"/>
  <c r="M261" i="135"/>
  <c r="J261" i="135"/>
  <c r="N261" i="135"/>
  <c r="K261" i="135"/>
  <c r="O261" i="135"/>
  <c r="L261" i="135"/>
  <c r="K267" i="135"/>
  <c r="O267" i="135"/>
  <c r="L267" i="135"/>
  <c r="M267" i="135"/>
  <c r="J267" i="135"/>
  <c r="N267" i="135"/>
  <c r="K211" i="135"/>
  <c r="O211" i="135"/>
  <c r="L211" i="135"/>
  <c r="M211" i="135"/>
  <c r="J211" i="135"/>
  <c r="N211" i="135"/>
  <c r="M173" i="135"/>
  <c r="J173" i="135"/>
  <c r="N173" i="135"/>
  <c r="K173" i="135"/>
  <c r="O173" i="135"/>
  <c r="L173" i="135"/>
  <c r="K122" i="135"/>
  <c r="O122" i="135"/>
  <c r="L122" i="135"/>
  <c r="M122" i="135"/>
  <c r="J122" i="135"/>
  <c r="N122" i="135"/>
  <c r="J252" i="135"/>
  <c r="N252" i="135"/>
  <c r="K252" i="135"/>
  <c r="O252" i="135"/>
  <c r="L252" i="135"/>
  <c r="M252" i="135"/>
  <c r="K135" i="135"/>
  <c r="O135" i="135"/>
  <c r="M135" i="135"/>
  <c r="N135" i="135"/>
  <c r="J135" i="135"/>
  <c r="L135" i="135"/>
  <c r="M165" i="135"/>
  <c r="J165" i="135"/>
  <c r="N165" i="135"/>
  <c r="K165" i="135"/>
  <c r="O165" i="135"/>
  <c r="L165" i="135"/>
  <c r="I245" i="135"/>
  <c r="G185" i="135"/>
  <c r="H91" i="135"/>
  <c r="G66" i="135"/>
  <c r="J224" i="135"/>
  <c r="N224" i="135"/>
  <c r="K224" i="135"/>
  <c r="O224" i="135"/>
  <c r="L224" i="135"/>
  <c r="M224" i="135"/>
  <c r="J52" i="135"/>
  <c r="N52" i="135"/>
  <c r="K52" i="135"/>
  <c r="O52" i="135"/>
  <c r="M52" i="135"/>
  <c r="L52" i="135"/>
  <c r="L206" i="135"/>
  <c r="M206" i="135"/>
  <c r="J206" i="135"/>
  <c r="N206" i="135"/>
  <c r="K206" i="135"/>
  <c r="O206" i="135"/>
  <c r="J268" i="135"/>
  <c r="N268" i="135"/>
  <c r="K268" i="135"/>
  <c r="O268" i="135"/>
  <c r="L268" i="135"/>
  <c r="M268" i="135"/>
  <c r="J144" i="135"/>
  <c r="N144" i="135"/>
  <c r="K144" i="135"/>
  <c r="O144" i="135"/>
  <c r="L144" i="135"/>
  <c r="M144" i="135"/>
  <c r="K163" i="135"/>
  <c r="O163" i="135"/>
  <c r="L163" i="135"/>
  <c r="M163" i="135"/>
  <c r="J163" i="135"/>
  <c r="N163" i="135"/>
  <c r="M137" i="135"/>
  <c r="J137" i="135"/>
  <c r="O137" i="135"/>
  <c r="K137" i="135"/>
  <c r="L137" i="135"/>
  <c r="N137" i="135"/>
  <c r="L170" i="135"/>
  <c r="M170" i="135"/>
  <c r="K170" i="135"/>
  <c r="O170" i="135"/>
  <c r="K243" i="135"/>
  <c r="O243" i="135"/>
  <c r="L243" i="135"/>
  <c r="M243" i="135"/>
  <c r="J243" i="135"/>
  <c r="N243" i="135"/>
  <c r="I256" i="135"/>
  <c r="J111" i="135"/>
  <c r="N111" i="135"/>
  <c r="K111" i="135"/>
  <c r="O111" i="135"/>
  <c r="L111" i="135"/>
  <c r="M111" i="135"/>
  <c r="M181" i="135"/>
  <c r="J181" i="135"/>
  <c r="N181" i="135"/>
  <c r="K181" i="135"/>
  <c r="O181" i="135"/>
  <c r="L181" i="135"/>
  <c r="L242" i="135"/>
  <c r="M242" i="135"/>
  <c r="J242" i="135"/>
  <c r="N242" i="135"/>
  <c r="K242" i="135"/>
  <c r="O242" i="135"/>
  <c r="M169" i="135"/>
  <c r="J169" i="135"/>
  <c r="N169" i="135"/>
  <c r="K169" i="135"/>
  <c r="O169" i="135"/>
  <c r="L169" i="135"/>
  <c r="L96" i="135"/>
  <c r="M96" i="135"/>
  <c r="J96" i="135"/>
  <c r="N96" i="135"/>
  <c r="O96" i="135"/>
  <c r="K96" i="135"/>
  <c r="K231" i="135"/>
  <c r="O231" i="135"/>
  <c r="L231" i="135"/>
  <c r="M231" i="135"/>
  <c r="J231" i="135"/>
  <c r="N231" i="135"/>
  <c r="H248" i="135"/>
  <c r="H222" i="135"/>
  <c r="I304" i="135"/>
  <c r="H139" i="135"/>
  <c r="H107" i="135"/>
  <c r="K118" i="135"/>
  <c r="O118" i="135"/>
  <c r="L118" i="135"/>
  <c r="M118" i="135"/>
  <c r="J118" i="135"/>
  <c r="N118" i="135"/>
  <c r="J131" i="135"/>
  <c r="N131" i="135"/>
  <c r="K131" i="135"/>
  <c r="O131" i="135"/>
  <c r="L131" i="135"/>
  <c r="M131" i="135"/>
  <c r="L158" i="135"/>
  <c r="M158" i="135"/>
  <c r="J158" i="135"/>
  <c r="N158" i="135"/>
  <c r="K158" i="135"/>
  <c r="O158" i="135"/>
  <c r="K159" i="135"/>
  <c r="O159" i="135"/>
  <c r="L159" i="135"/>
  <c r="M159" i="135"/>
  <c r="J159" i="135"/>
  <c r="N159" i="135"/>
  <c r="M61" i="135"/>
  <c r="J61" i="135"/>
  <c r="N61" i="135"/>
  <c r="L61" i="135"/>
  <c r="K61" i="135"/>
  <c r="O61" i="135"/>
  <c r="L113" i="135"/>
  <c r="M113" i="135"/>
  <c r="J113" i="135"/>
  <c r="N113" i="135"/>
  <c r="K113" i="135"/>
  <c r="O113" i="135"/>
  <c r="J216" i="135"/>
  <c r="N216" i="135"/>
  <c r="M216" i="135"/>
  <c r="O216" i="135"/>
  <c r="K216" i="135"/>
  <c r="L216" i="135"/>
  <c r="H69" i="135"/>
  <c r="H175" i="135"/>
  <c r="H42" i="135"/>
  <c r="H98" i="135"/>
  <c r="H223" i="135"/>
  <c r="H37" i="135"/>
  <c r="H70" i="135"/>
  <c r="H65" i="135"/>
  <c r="H81" i="135"/>
  <c r="H188" i="135"/>
  <c r="H78" i="135"/>
  <c r="H71" i="135"/>
  <c r="H58" i="135"/>
  <c r="H76" i="135"/>
  <c r="H59" i="135"/>
  <c r="H184" i="135"/>
  <c r="H110" i="135"/>
  <c r="H80" i="135"/>
  <c r="H202" i="135"/>
  <c r="H56" i="135"/>
  <c r="H50" i="135"/>
  <c r="H63" i="135"/>
  <c r="H62" i="135"/>
  <c r="H72" i="135"/>
  <c r="H5" i="135"/>
  <c r="F30" i="115"/>
  <c r="F28" i="115"/>
  <c r="E30" i="115"/>
  <c r="E28" i="115"/>
  <c r="E29" i="115"/>
  <c r="E14" i="115"/>
  <c r="E33" i="115"/>
  <c r="F10" i="115"/>
  <c r="G7" i="115"/>
  <c r="E13" i="115"/>
  <c r="E10" i="115"/>
  <c r="E8" i="115"/>
  <c r="E25" i="115"/>
  <c r="E27" i="115"/>
  <c r="E23" i="115"/>
  <c r="E19" i="115"/>
  <c r="E26" i="115"/>
  <c r="E22" i="115"/>
  <c r="E18" i="115"/>
  <c r="E21" i="115"/>
  <c r="E16" i="115"/>
  <c r="E24" i="115"/>
  <c r="E20" i="115"/>
  <c r="E15" i="115"/>
  <c r="J169" i="114"/>
  <c r="I169" i="114"/>
  <c r="J168" i="114"/>
  <c r="I168" i="114"/>
  <c r="J167" i="114"/>
  <c r="I167" i="114"/>
  <c r="J166" i="114"/>
  <c r="I166" i="114"/>
  <c r="J165" i="114"/>
  <c r="I165" i="114"/>
  <c r="J164" i="114"/>
  <c r="I164" i="114"/>
  <c r="J163" i="114"/>
  <c r="I163" i="114"/>
  <c r="J162" i="114"/>
  <c r="I162" i="114"/>
  <c r="J103" i="114"/>
  <c r="I103" i="114"/>
  <c r="J102" i="114"/>
  <c r="I102" i="114"/>
  <c r="J48" i="114"/>
  <c r="I48" i="114"/>
  <c r="J50" i="114"/>
  <c r="I50" i="114"/>
  <c r="J47" i="114"/>
  <c r="I47" i="114"/>
  <c r="J46" i="114"/>
  <c r="I46" i="114"/>
  <c r="J45" i="114"/>
  <c r="I45" i="114"/>
  <c r="J158" i="114"/>
  <c r="I158" i="114"/>
  <c r="J67" i="114"/>
  <c r="I67" i="114"/>
  <c r="J66" i="114"/>
  <c r="I66" i="114"/>
  <c r="J65" i="114"/>
  <c r="I65" i="114"/>
  <c r="J101" i="114"/>
  <c r="I101" i="114"/>
  <c r="J157" i="114"/>
  <c r="I157" i="114"/>
  <c r="J39" i="114"/>
  <c r="I39" i="114"/>
  <c r="J38" i="114"/>
  <c r="I38" i="114"/>
  <c r="J64" i="114"/>
  <c r="I64" i="114"/>
  <c r="J37" i="114"/>
  <c r="I37" i="114"/>
  <c r="J100" i="114"/>
  <c r="I100" i="114"/>
  <c r="J36" i="114"/>
  <c r="I36" i="114"/>
  <c r="J99" i="114"/>
  <c r="I99" i="114"/>
  <c r="J35" i="114"/>
  <c r="I35" i="114"/>
  <c r="J98" i="114"/>
  <c r="I98" i="114"/>
  <c r="J97" i="114"/>
  <c r="I97" i="114"/>
  <c r="J96" i="114"/>
  <c r="I96" i="114"/>
  <c r="J95" i="114"/>
  <c r="I95" i="114"/>
  <c r="J94" i="114"/>
  <c r="I94" i="114"/>
  <c r="J93" i="114"/>
  <c r="I93" i="114"/>
  <c r="J63" i="114"/>
  <c r="I63" i="114"/>
  <c r="J34" i="114"/>
  <c r="I34" i="114"/>
  <c r="J92" i="114"/>
  <c r="I92" i="114"/>
  <c r="J91" i="114"/>
  <c r="I91" i="114"/>
  <c r="J62" i="114"/>
  <c r="I62" i="114"/>
  <c r="J33" i="114"/>
  <c r="I33" i="114"/>
  <c r="J32" i="114"/>
  <c r="I32" i="114"/>
  <c r="J105" i="114"/>
  <c r="I105" i="114"/>
  <c r="J111" i="114"/>
  <c r="I111" i="114"/>
  <c r="J110" i="114"/>
  <c r="I110" i="114"/>
  <c r="J90" i="114"/>
  <c r="I90" i="114"/>
  <c r="J108" i="114"/>
  <c r="I108" i="114"/>
  <c r="J89" i="114"/>
  <c r="I89" i="114"/>
  <c r="J61" i="114"/>
  <c r="I61" i="114"/>
  <c r="J31" i="114"/>
  <c r="I31" i="114"/>
  <c r="J161" i="114"/>
  <c r="I161" i="114"/>
  <c r="J160" i="114"/>
  <c r="I160" i="114"/>
  <c r="J30" i="114"/>
  <c r="I30" i="114"/>
  <c r="J151" i="114"/>
  <c r="I151" i="114"/>
  <c r="J29" i="114"/>
  <c r="I29" i="114"/>
  <c r="J88" i="114"/>
  <c r="I88" i="114"/>
  <c r="J87" i="114"/>
  <c r="I87" i="114"/>
  <c r="J86" i="114"/>
  <c r="I86" i="114"/>
  <c r="J85" i="114"/>
  <c r="I85" i="114"/>
  <c r="J28" i="114"/>
  <c r="I28" i="114"/>
  <c r="J84" i="114"/>
  <c r="I84" i="114"/>
  <c r="J83" i="114"/>
  <c r="I83" i="114"/>
  <c r="J82" i="114"/>
  <c r="I82" i="114"/>
  <c r="J81" i="114"/>
  <c r="I81" i="114"/>
  <c r="J80" i="114"/>
  <c r="I80" i="114"/>
  <c r="J150" i="114"/>
  <c r="I150" i="114"/>
  <c r="J27" i="114"/>
  <c r="I27" i="114"/>
  <c r="J159" i="114"/>
  <c r="I159" i="114"/>
  <c r="J79" i="114"/>
  <c r="I79" i="114"/>
  <c r="J26" i="114"/>
  <c r="I26" i="114"/>
  <c r="J78" i="114"/>
  <c r="I78" i="114"/>
  <c r="J60" i="114"/>
  <c r="I60" i="114"/>
  <c r="J25" i="114"/>
  <c r="I25" i="114"/>
  <c r="J59" i="114"/>
  <c r="I59" i="114"/>
  <c r="J58" i="114"/>
  <c r="I58" i="114"/>
  <c r="J24" i="114"/>
  <c r="I24" i="114"/>
  <c r="J77" i="114"/>
  <c r="I77" i="114"/>
  <c r="J76" i="114"/>
  <c r="I76" i="114"/>
  <c r="J107" i="114"/>
  <c r="I107" i="114"/>
  <c r="J57" i="114"/>
  <c r="I57" i="114"/>
  <c r="J23" i="114"/>
  <c r="I23" i="114"/>
  <c r="J153" i="114"/>
  <c r="I153" i="114"/>
  <c r="J152" i="114"/>
  <c r="I152" i="114"/>
  <c r="J22" i="114"/>
  <c r="I22" i="114"/>
  <c r="J149" i="114"/>
  <c r="I149" i="114"/>
  <c r="J148" i="114"/>
  <c r="I148" i="114"/>
  <c r="J147" i="114"/>
  <c r="I147" i="114"/>
  <c r="J146" i="114"/>
  <c r="I146" i="114"/>
  <c r="J145" i="114"/>
  <c r="I145" i="114"/>
  <c r="J75" i="114"/>
  <c r="I75" i="114"/>
  <c r="J21" i="114"/>
  <c r="I21" i="114"/>
  <c r="J74" i="114"/>
  <c r="I74" i="114"/>
  <c r="J73" i="114"/>
  <c r="I73" i="114"/>
  <c r="J72" i="114"/>
  <c r="I72" i="114"/>
  <c r="J71" i="114"/>
  <c r="I71" i="114"/>
  <c r="J20" i="114"/>
  <c r="I20" i="114"/>
  <c r="J106" i="114"/>
  <c r="I106" i="114"/>
  <c r="J19" i="114"/>
  <c r="I19" i="114"/>
  <c r="J109" i="114"/>
  <c r="I109" i="114"/>
  <c r="J18" i="114"/>
  <c r="I18" i="114"/>
  <c r="J17" i="114"/>
  <c r="I17" i="114"/>
  <c r="J16" i="114"/>
  <c r="I16" i="114"/>
  <c r="J156" i="114"/>
  <c r="I156" i="114"/>
  <c r="J15" i="114"/>
  <c r="I15" i="114"/>
  <c r="J70" i="114"/>
  <c r="I70" i="114"/>
  <c r="J14" i="114"/>
  <c r="I14" i="114"/>
  <c r="J155" i="114"/>
  <c r="I155" i="114"/>
  <c r="J154" i="114"/>
  <c r="I154" i="114"/>
  <c r="J13" i="114"/>
  <c r="I13" i="114"/>
  <c r="J69" i="114"/>
  <c r="I69" i="114"/>
  <c r="J56" i="114"/>
  <c r="I56" i="114"/>
  <c r="J12" i="114"/>
  <c r="I12" i="114"/>
  <c r="J68" i="114"/>
  <c r="I68" i="114"/>
  <c r="J11" i="114"/>
  <c r="I11" i="114"/>
  <c r="J104" i="114"/>
  <c r="I104" i="114"/>
  <c r="J10" i="114"/>
  <c r="I10" i="114"/>
  <c r="J144" i="114"/>
  <c r="I144" i="114"/>
  <c r="J143" i="114"/>
  <c r="I143" i="114"/>
  <c r="J142" i="114"/>
  <c r="I142" i="114"/>
  <c r="J141" i="114"/>
  <c r="I141" i="114"/>
  <c r="J140" i="114"/>
  <c r="I140" i="114"/>
  <c r="J139" i="114"/>
  <c r="I139" i="114"/>
  <c r="J138" i="114"/>
  <c r="I138" i="114"/>
  <c r="J137" i="114"/>
  <c r="I137" i="114"/>
  <c r="J136" i="114"/>
  <c r="I136" i="114"/>
  <c r="J135" i="114"/>
  <c r="I135" i="114"/>
  <c r="J134" i="114"/>
  <c r="I134" i="114"/>
  <c r="J133" i="114"/>
  <c r="I133" i="114"/>
  <c r="J132" i="114"/>
  <c r="I132" i="114"/>
  <c r="J131" i="114"/>
  <c r="I131" i="114"/>
  <c r="J130" i="114"/>
  <c r="I130" i="114"/>
  <c r="J129" i="114"/>
  <c r="I129" i="114"/>
  <c r="J128" i="114"/>
  <c r="I128" i="114"/>
  <c r="J127" i="114"/>
  <c r="I127" i="114"/>
  <c r="J126" i="114"/>
  <c r="I126" i="114"/>
  <c r="J125" i="114"/>
  <c r="I125" i="114"/>
  <c r="J124" i="114"/>
  <c r="I124" i="114"/>
  <c r="J123" i="114"/>
  <c r="I123" i="114"/>
  <c r="J122" i="114"/>
  <c r="I122" i="114"/>
  <c r="J121" i="114"/>
  <c r="I121" i="114"/>
  <c r="J120" i="114"/>
  <c r="I120" i="114"/>
  <c r="J119" i="114"/>
  <c r="I119" i="114"/>
  <c r="J118" i="114"/>
  <c r="I118" i="114"/>
  <c r="J117" i="114"/>
  <c r="I117" i="114"/>
  <c r="J116" i="114"/>
  <c r="I116" i="114"/>
  <c r="J115" i="114"/>
  <c r="I115" i="114"/>
  <c r="J114" i="114"/>
  <c r="I114" i="114"/>
  <c r="J113" i="114"/>
  <c r="I113" i="114"/>
  <c r="J112" i="114"/>
  <c r="I112" i="114"/>
  <c r="J9" i="114"/>
  <c r="I9" i="114"/>
  <c r="J55" i="114"/>
  <c r="I55" i="114"/>
  <c r="J54" i="114"/>
  <c r="I54" i="114"/>
  <c r="F14" i="115" s="1"/>
  <c r="J53" i="114"/>
  <c r="I53" i="114"/>
  <c r="J52" i="114"/>
  <c r="I52" i="114"/>
  <c r="J51" i="114"/>
  <c r="I51" i="114"/>
  <c r="J8" i="114"/>
  <c r="I8" i="114"/>
  <c r="J49" i="114"/>
  <c r="I49" i="114"/>
  <c r="F9" i="115" s="1"/>
  <c r="H6" i="114"/>
  <c r="G6" i="114"/>
  <c r="L74" i="95"/>
  <c r="I4" i="97"/>
  <c r="C4" i="89"/>
  <c r="F3" i="89" s="1"/>
  <c r="D4" i="89"/>
  <c r="E4" i="89"/>
  <c r="M4" i="89"/>
  <c r="F4" i="89"/>
  <c r="G4" i="89"/>
  <c r="H4" i="89"/>
  <c r="J4" i="89"/>
  <c r="K4" i="89"/>
  <c r="L4" i="89"/>
  <c r="N4" i="89"/>
  <c r="O4" i="89"/>
  <c r="P4" i="89"/>
  <c r="Q4" i="89"/>
  <c r="R4" i="89"/>
  <c r="S4" i="89"/>
  <c r="T4" i="89"/>
  <c r="U4" i="89"/>
  <c r="V4" i="89"/>
  <c r="W4" i="89"/>
  <c r="X4" i="89"/>
  <c r="B4" i="89"/>
  <c r="H12" i="135" l="1"/>
  <c r="AT4" i="123"/>
  <c r="H290" i="135"/>
  <c r="L167" i="135"/>
  <c r="O162" i="135"/>
  <c r="K162" i="135"/>
  <c r="L162" i="135"/>
  <c r="J162" i="135"/>
  <c r="M162" i="135"/>
  <c r="K196" i="135"/>
  <c r="N167" i="135"/>
  <c r="O167" i="135"/>
  <c r="J167" i="135"/>
  <c r="K167" i="135"/>
  <c r="K288" i="135"/>
  <c r="N288" i="135"/>
  <c r="J288" i="135"/>
  <c r="O288" i="135"/>
  <c r="L288" i="135"/>
  <c r="M288" i="135"/>
  <c r="J196" i="135"/>
  <c r="N196" i="135"/>
  <c r="O196" i="135"/>
  <c r="L196" i="135"/>
  <c r="N174" i="135"/>
  <c r="L147" i="135"/>
  <c r="M174" i="135"/>
  <c r="K174" i="135"/>
  <c r="O174" i="135"/>
  <c r="J174" i="135"/>
  <c r="I14" i="135"/>
  <c r="I292" i="135"/>
  <c r="I254" i="135"/>
  <c r="N128" i="135"/>
  <c r="O128" i="135"/>
  <c r="I270" i="135"/>
  <c r="H276" i="135"/>
  <c r="K215" i="135"/>
  <c r="J64" i="135"/>
  <c r="K64" i="135"/>
  <c r="I295" i="135"/>
  <c r="L64" i="135"/>
  <c r="M64" i="135"/>
  <c r="N64" i="135"/>
  <c r="J215" i="135"/>
  <c r="L215" i="135"/>
  <c r="M215" i="135"/>
  <c r="N215" i="135"/>
  <c r="O180" i="135"/>
  <c r="L180" i="135"/>
  <c r="O147" i="135"/>
  <c r="N180" i="135"/>
  <c r="K180" i="135"/>
  <c r="J180" i="135"/>
  <c r="N170" i="135"/>
  <c r="I170" i="135" s="1"/>
  <c r="N179" i="135"/>
  <c r="O179" i="135"/>
  <c r="M179" i="135"/>
  <c r="L179" i="135"/>
  <c r="J179" i="135"/>
  <c r="I44" i="135"/>
  <c r="I108" i="135"/>
  <c r="L125" i="135"/>
  <c r="I123" i="135"/>
  <c r="K147" i="135"/>
  <c r="N147" i="135"/>
  <c r="M147" i="135"/>
  <c r="N152" i="135"/>
  <c r="L152" i="135"/>
  <c r="K152" i="135"/>
  <c r="J152" i="135"/>
  <c r="M152" i="135"/>
  <c r="I275" i="135"/>
  <c r="I117" i="135"/>
  <c r="K125" i="135"/>
  <c r="N125" i="135"/>
  <c r="J125" i="135"/>
  <c r="O125" i="135"/>
  <c r="I315" i="135"/>
  <c r="I155" i="135"/>
  <c r="M77" i="135"/>
  <c r="I13" i="135"/>
  <c r="I212" i="135"/>
  <c r="I109" i="135"/>
  <c r="I134" i="135"/>
  <c r="I213" i="135"/>
  <c r="I234" i="135"/>
  <c r="I217" i="135"/>
  <c r="I193" i="135"/>
  <c r="I112" i="135"/>
  <c r="I214" i="135"/>
  <c r="I142" i="135"/>
  <c r="I92" i="135"/>
  <c r="I151" i="135"/>
  <c r="I132" i="135"/>
  <c r="I239" i="135"/>
  <c r="I243" i="135"/>
  <c r="I51" i="135"/>
  <c r="K101" i="135"/>
  <c r="J101" i="135"/>
  <c r="O101" i="135"/>
  <c r="N101" i="135"/>
  <c r="L101" i="135"/>
  <c r="M101" i="135"/>
  <c r="I194" i="135"/>
  <c r="I208" i="135"/>
  <c r="I26" i="135"/>
  <c r="I172" i="135"/>
  <c r="I164" i="135"/>
  <c r="I221" i="135"/>
  <c r="J68" i="135"/>
  <c r="M68" i="135"/>
  <c r="N68" i="135"/>
  <c r="L68" i="135"/>
  <c r="K68" i="135"/>
  <c r="O68" i="135"/>
  <c r="L107" i="135"/>
  <c r="M107" i="135"/>
  <c r="K107" i="135"/>
  <c r="N107" i="135"/>
  <c r="O107" i="135"/>
  <c r="J107" i="135"/>
  <c r="M103" i="135"/>
  <c r="O103" i="135"/>
  <c r="J103" i="135"/>
  <c r="L103" i="135"/>
  <c r="N103" i="135"/>
  <c r="K103" i="135"/>
  <c r="K204" i="135"/>
  <c r="O204" i="135"/>
  <c r="J204" i="135"/>
  <c r="L204" i="135"/>
  <c r="N204" i="135"/>
  <c r="M204" i="135"/>
  <c r="O102" i="135"/>
  <c r="J102" i="135"/>
  <c r="L102" i="135"/>
  <c r="N102" i="135"/>
  <c r="M102" i="135"/>
  <c r="K102" i="135"/>
  <c r="M100" i="135"/>
  <c r="O100" i="135"/>
  <c r="J100" i="135"/>
  <c r="N100" i="135"/>
  <c r="L100" i="135"/>
  <c r="K100" i="135"/>
  <c r="I143" i="135"/>
  <c r="I282" i="135"/>
  <c r="I263" i="135"/>
  <c r="I266" i="135"/>
  <c r="I49" i="135"/>
  <c r="I247" i="135"/>
  <c r="I86" i="135"/>
  <c r="I47" i="135"/>
  <c r="I140" i="135"/>
  <c r="I183" i="135"/>
  <c r="I225" i="135"/>
  <c r="I24" i="135"/>
  <c r="I135" i="135"/>
  <c r="I122" i="135"/>
  <c r="I211" i="135"/>
  <c r="I106" i="135"/>
  <c r="I189" i="135"/>
  <c r="I136" i="135"/>
  <c r="I198" i="135"/>
  <c r="I236" i="135"/>
  <c r="I187" i="135"/>
  <c r="I90" i="135"/>
  <c r="I161" i="135"/>
  <c r="I141" i="135"/>
  <c r="I73" i="135"/>
  <c r="K60" i="135"/>
  <c r="O60" i="135"/>
  <c r="M60" i="135"/>
  <c r="J60" i="135"/>
  <c r="N60" i="135"/>
  <c r="L60" i="135"/>
  <c r="M79" i="135"/>
  <c r="N79" i="135"/>
  <c r="K79" i="135"/>
  <c r="J79" i="135"/>
  <c r="O79" i="135"/>
  <c r="L79" i="135"/>
  <c r="M104" i="135"/>
  <c r="O104" i="135"/>
  <c r="J104" i="135"/>
  <c r="N104" i="135"/>
  <c r="L104" i="135"/>
  <c r="K104" i="135"/>
  <c r="O82" i="135"/>
  <c r="L82" i="135"/>
  <c r="K82" i="135"/>
  <c r="N82" i="135"/>
  <c r="M82" i="135"/>
  <c r="J82" i="135"/>
  <c r="K93" i="135"/>
  <c r="J93" i="135"/>
  <c r="O93" i="135"/>
  <c r="N93" i="135"/>
  <c r="L93" i="135"/>
  <c r="M93" i="135"/>
  <c r="I255" i="135"/>
  <c r="I265" i="135"/>
  <c r="I191" i="135"/>
  <c r="I84" i="135"/>
  <c r="I153" i="135"/>
  <c r="I149" i="135"/>
  <c r="I156" i="135"/>
  <c r="I160" i="135"/>
  <c r="I133" i="135"/>
  <c r="I138" i="135"/>
  <c r="I46" i="135"/>
  <c r="K37" i="135"/>
  <c r="O37" i="135"/>
  <c r="M37" i="135"/>
  <c r="J37" i="135"/>
  <c r="L37" i="135"/>
  <c r="N37" i="135"/>
  <c r="K98" i="135"/>
  <c r="O98" i="135"/>
  <c r="M98" i="135"/>
  <c r="N98" i="135"/>
  <c r="J98" i="135"/>
  <c r="L98" i="135"/>
  <c r="K42" i="135"/>
  <c r="O42" i="135"/>
  <c r="M42" i="135"/>
  <c r="N42" i="135"/>
  <c r="J42" i="135"/>
  <c r="L42" i="135"/>
  <c r="L83" i="135"/>
  <c r="J83" i="135"/>
  <c r="N83" i="135"/>
  <c r="O83" i="135"/>
  <c r="K83" i="135"/>
  <c r="M83" i="135"/>
  <c r="J105" i="135"/>
  <c r="N105" i="135"/>
  <c r="M105" i="135"/>
  <c r="O105" i="135"/>
  <c r="L105" i="135"/>
  <c r="K105" i="135"/>
  <c r="M264" i="135"/>
  <c r="K264" i="135"/>
  <c r="O264" i="135"/>
  <c r="L264" i="135"/>
  <c r="J264" i="135"/>
  <c r="N264" i="135"/>
  <c r="J48" i="135"/>
  <c r="L48" i="135"/>
  <c r="N48" i="135"/>
  <c r="M48" i="135"/>
  <c r="K48" i="135"/>
  <c r="O48" i="135"/>
  <c r="K95" i="135"/>
  <c r="O95" i="135"/>
  <c r="J95" i="135"/>
  <c r="L95" i="135"/>
  <c r="N95" i="135"/>
  <c r="M95" i="135"/>
  <c r="K12" i="135"/>
  <c r="O12" i="135"/>
  <c r="L12" i="135"/>
  <c r="M12" i="135"/>
  <c r="J12" i="135"/>
  <c r="N12" i="135"/>
  <c r="H186" i="135"/>
  <c r="L226" i="135"/>
  <c r="M226" i="135"/>
  <c r="J226" i="135"/>
  <c r="N226" i="135"/>
  <c r="K226" i="135"/>
  <c r="O226" i="135"/>
  <c r="M69" i="135"/>
  <c r="J69" i="135"/>
  <c r="N69" i="135"/>
  <c r="L69" i="135"/>
  <c r="K69" i="135"/>
  <c r="O69" i="135"/>
  <c r="I216" i="135"/>
  <c r="I113" i="135"/>
  <c r="I118" i="135"/>
  <c r="K139" i="135"/>
  <c r="O139" i="135"/>
  <c r="L139" i="135"/>
  <c r="M139" i="135"/>
  <c r="J139" i="135"/>
  <c r="N139" i="135"/>
  <c r="L222" i="135"/>
  <c r="M222" i="135"/>
  <c r="J222" i="135"/>
  <c r="N222" i="135"/>
  <c r="K222" i="135"/>
  <c r="O222" i="135"/>
  <c r="I111" i="135"/>
  <c r="M91" i="135"/>
  <c r="J91" i="135"/>
  <c r="N91" i="135"/>
  <c r="K91" i="135"/>
  <c r="O91" i="135"/>
  <c r="L91" i="135"/>
  <c r="I165" i="135"/>
  <c r="I173" i="135"/>
  <c r="I233" i="135"/>
  <c r="I192" i="135"/>
  <c r="L230" i="135"/>
  <c r="M230" i="135"/>
  <c r="J230" i="135"/>
  <c r="N230" i="135"/>
  <c r="K230" i="135"/>
  <c r="O230" i="135"/>
  <c r="M249" i="135"/>
  <c r="J249" i="135"/>
  <c r="N249" i="135"/>
  <c r="K249" i="135"/>
  <c r="O249" i="135"/>
  <c r="L249" i="135"/>
  <c r="I240" i="135"/>
  <c r="I146" i="135"/>
  <c r="I220" i="135"/>
  <c r="I190" i="135"/>
  <c r="I89" i="135"/>
  <c r="I154" i="135"/>
  <c r="J94" i="135"/>
  <c r="N94" i="135"/>
  <c r="K94" i="135"/>
  <c r="O94" i="135"/>
  <c r="L94" i="135"/>
  <c r="M94" i="135"/>
  <c r="K85" i="135"/>
  <c r="O85" i="135"/>
  <c r="L85" i="135"/>
  <c r="M85" i="135"/>
  <c r="J85" i="135"/>
  <c r="N85" i="135"/>
  <c r="I130" i="135"/>
  <c r="I232" i="135"/>
  <c r="M57" i="135"/>
  <c r="J57" i="135"/>
  <c r="N57" i="135"/>
  <c r="L57" i="135"/>
  <c r="O57" i="135"/>
  <c r="K57" i="135"/>
  <c r="I25" i="135"/>
  <c r="H195" i="135"/>
  <c r="I169" i="135"/>
  <c r="I181" i="135"/>
  <c r="I163" i="135"/>
  <c r="I268" i="135"/>
  <c r="I206" i="135"/>
  <c r="I52" i="135"/>
  <c r="H66" i="135"/>
  <c r="I252" i="135"/>
  <c r="I267" i="135"/>
  <c r="I168" i="135"/>
  <c r="I178" i="135"/>
  <c r="L246" i="135"/>
  <c r="M246" i="135"/>
  <c r="J246" i="135"/>
  <c r="N246" i="135"/>
  <c r="K246" i="135"/>
  <c r="O246" i="135"/>
  <c r="I201" i="135"/>
  <c r="L88" i="135"/>
  <c r="M88" i="135"/>
  <c r="J88" i="135"/>
  <c r="N88" i="135"/>
  <c r="K88" i="135"/>
  <c r="O88" i="135"/>
  <c r="I54" i="135"/>
  <c r="I209" i="135"/>
  <c r="I145" i="135"/>
  <c r="M17" i="135"/>
  <c r="J17" i="135"/>
  <c r="N17" i="135"/>
  <c r="K17" i="135"/>
  <c r="O17" i="135"/>
  <c r="L17" i="135"/>
  <c r="H67" i="135"/>
  <c r="H74" i="135"/>
  <c r="H55" i="135"/>
  <c r="L70" i="135"/>
  <c r="M70" i="135"/>
  <c r="K70" i="135"/>
  <c r="O70" i="135"/>
  <c r="J70" i="135"/>
  <c r="N70" i="135"/>
  <c r="K223" i="135"/>
  <c r="O223" i="135"/>
  <c r="L223" i="135"/>
  <c r="M223" i="135"/>
  <c r="J223" i="135"/>
  <c r="N223" i="135"/>
  <c r="K175" i="135"/>
  <c r="O175" i="135"/>
  <c r="L175" i="135"/>
  <c r="M175" i="135"/>
  <c r="J175" i="135"/>
  <c r="N175" i="135"/>
  <c r="I159" i="135"/>
  <c r="I158" i="135"/>
  <c r="I131" i="135"/>
  <c r="J248" i="135"/>
  <c r="N248" i="135"/>
  <c r="K248" i="135"/>
  <c r="O248" i="135"/>
  <c r="L248" i="135"/>
  <c r="M248" i="135"/>
  <c r="I231" i="135"/>
  <c r="I96" i="135"/>
  <c r="I242" i="135"/>
  <c r="I137" i="135"/>
  <c r="H185" i="135"/>
  <c r="I261" i="135"/>
  <c r="I203" i="135"/>
  <c r="J16" i="135"/>
  <c r="N16" i="135"/>
  <c r="K16" i="135"/>
  <c r="O16" i="135"/>
  <c r="L16" i="135"/>
  <c r="M16" i="135"/>
  <c r="H75" i="135"/>
  <c r="K251" i="135"/>
  <c r="O251" i="135"/>
  <c r="L251" i="135"/>
  <c r="M251" i="135"/>
  <c r="J251" i="135"/>
  <c r="N251" i="135"/>
  <c r="M241" i="135"/>
  <c r="J241" i="135"/>
  <c r="N241" i="135"/>
  <c r="K241" i="135"/>
  <c r="O241" i="135"/>
  <c r="L241" i="135"/>
  <c r="I121" i="135"/>
  <c r="I129" i="135"/>
  <c r="I115" i="135"/>
  <c r="I237" i="135"/>
  <c r="I7" i="135"/>
  <c r="K27" i="135"/>
  <c r="O27" i="135"/>
  <c r="L27" i="135"/>
  <c r="M27" i="135"/>
  <c r="N27" i="135"/>
  <c r="J27" i="135"/>
  <c r="I119" i="135"/>
  <c r="I171" i="135"/>
  <c r="I210" i="135"/>
  <c r="I148" i="135"/>
  <c r="I258" i="135"/>
  <c r="I244" i="135"/>
  <c r="I150" i="135"/>
  <c r="I127" i="135"/>
  <c r="J200" i="135"/>
  <c r="N200" i="135"/>
  <c r="K200" i="135"/>
  <c r="O200" i="135"/>
  <c r="L200" i="135"/>
  <c r="M200" i="135"/>
  <c r="I61" i="135"/>
  <c r="I144" i="135"/>
  <c r="I224" i="135"/>
  <c r="I53" i="135"/>
  <c r="M99" i="135"/>
  <c r="J99" i="135"/>
  <c r="N99" i="135"/>
  <c r="K99" i="135"/>
  <c r="O99" i="135"/>
  <c r="L99" i="135"/>
  <c r="I281" i="135"/>
  <c r="I120" i="135"/>
  <c r="M87" i="135"/>
  <c r="J87" i="135"/>
  <c r="N87" i="135"/>
  <c r="K87" i="135"/>
  <c r="O87" i="135"/>
  <c r="L87" i="135"/>
  <c r="K5" i="135"/>
  <c r="O5" i="135"/>
  <c r="L5" i="135"/>
  <c r="M5" i="135"/>
  <c r="J5" i="135"/>
  <c r="N5" i="135"/>
  <c r="F8" i="115"/>
  <c r="G28" i="115"/>
  <c r="G30" i="115"/>
  <c r="G29" i="115"/>
  <c r="E9" i="115"/>
  <c r="F13" i="115"/>
  <c r="E32" i="115"/>
  <c r="G8" i="115"/>
  <c r="G13" i="115"/>
  <c r="H7" i="115"/>
  <c r="G10" i="115"/>
  <c r="G9" i="115"/>
  <c r="G14" i="115"/>
  <c r="F15" i="115"/>
  <c r="F18" i="115"/>
  <c r="F20" i="115"/>
  <c r="F22" i="115"/>
  <c r="F24" i="115"/>
  <c r="F26" i="115"/>
  <c r="F16" i="115"/>
  <c r="F19" i="115"/>
  <c r="F21" i="115"/>
  <c r="F23" i="115"/>
  <c r="F25" i="115"/>
  <c r="F27" i="115"/>
  <c r="F33" i="115"/>
  <c r="F32" i="115"/>
  <c r="I6" i="114"/>
  <c r="O290" i="135" l="1"/>
  <c r="M290" i="135"/>
  <c r="L290" i="135"/>
  <c r="N290" i="135"/>
  <c r="J290" i="135"/>
  <c r="K290" i="135"/>
  <c r="I162" i="135"/>
  <c r="I167" i="135"/>
  <c r="I288" i="135"/>
  <c r="I196" i="135"/>
  <c r="I174" i="135"/>
  <c r="I128" i="135"/>
  <c r="N276" i="135"/>
  <c r="J276" i="135"/>
  <c r="O276" i="135"/>
  <c r="K276" i="135"/>
  <c r="L276" i="135"/>
  <c r="M276" i="135"/>
  <c r="I64" i="135"/>
  <c r="I215" i="135"/>
  <c r="I180" i="135"/>
  <c r="I179" i="135"/>
  <c r="I147" i="135"/>
  <c r="I152" i="135"/>
  <c r="I125" i="135"/>
  <c r="J77" i="135"/>
  <c r="K77" i="135"/>
  <c r="O77" i="135"/>
  <c r="L77" i="135"/>
  <c r="N77" i="135"/>
  <c r="I107" i="135"/>
  <c r="I82" i="135"/>
  <c r="N56" i="135"/>
  <c r="L56" i="135"/>
  <c r="K56" i="135"/>
  <c r="O56" i="135"/>
  <c r="J56" i="135"/>
  <c r="M56" i="135"/>
  <c r="N78" i="135"/>
  <c r="L78" i="135"/>
  <c r="O78" i="135"/>
  <c r="K78" i="135"/>
  <c r="J78" i="135"/>
  <c r="M78" i="135"/>
  <c r="J80" i="135"/>
  <c r="M80" i="135"/>
  <c r="N80" i="135"/>
  <c r="O80" i="135"/>
  <c r="K80" i="135"/>
  <c r="L80" i="135"/>
  <c r="I48" i="135"/>
  <c r="I105" i="135"/>
  <c r="I42" i="135"/>
  <c r="I98" i="135"/>
  <c r="I104" i="135"/>
  <c r="I102" i="135"/>
  <c r="N71" i="135"/>
  <c r="K71" i="135"/>
  <c r="M71" i="135"/>
  <c r="O71" i="135"/>
  <c r="L71" i="135"/>
  <c r="J71" i="135"/>
  <c r="K50" i="135"/>
  <c r="N50" i="135"/>
  <c r="L50" i="135"/>
  <c r="J50" i="135"/>
  <c r="M50" i="135"/>
  <c r="O50" i="135"/>
  <c r="O59" i="135"/>
  <c r="M59" i="135"/>
  <c r="L59" i="135"/>
  <c r="J59" i="135"/>
  <c r="K59" i="135"/>
  <c r="N59" i="135"/>
  <c r="O58" i="135"/>
  <c r="L58" i="135"/>
  <c r="J58" i="135"/>
  <c r="M58" i="135"/>
  <c r="N58" i="135"/>
  <c r="K58" i="135"/>
  <c r="I12" i="135"/>
  <c r="I264" i="135"/>
  <c r="I37" i="135"/>
  <c r="I93" i="135"/>
  <c r="I79" i="135"/>
  <c r="I100" i="135"/>
  <c r="I204" i="135"/>
  <c r="I68" i="135"/>
  <c r="O67" i="135"/>
  <c r="M67" i="135"/>
  <c r="L67" i="135"/>
  <c r="J67" i="135"/>
  <c r="K67" i="135"/>
  <c r="N67" i="135"/>
  <c r="M195" i="135"/>
  <c r="K195" i="135"/>
  <c r="J195" i="135"/>
  <c r="O195" i="135"/>
  <c r="N195" i="135"/>
  <c r="L195" i="135"/>
  <c r="I83" i="135"/>
  <c r="I101" i="135"/>
  <c r="N75" i="135"/>
  <c r="M75" i="135"/>
  <c r="K75" i="135"/>
  <c r="O75" i="135"/>
  <c r="L75" i="135"/>
  <c r="J75" i="135"/>
  <c r="I139" i="135"/>
  <c r="I95" i="135"/>
  <c r="I60" i="135"/>
  <c r="I103" i="135"/>
  <c r="J65" i="135"/>
  <c r="N65" i="135"/>
  <c r="L65" i="135"/>
  <c r="K65" i="135"/>
  <c r="M65" i="135"/>
  <c r="O65" i="135"/>
  <c r="K62" i="135"/>
  <c r="O62" i="135"/>
  <c r="M62" i="135"/>
  <c r="J62" i="135"/>
  <c r="L62" i="135"/>
  <c r="N62" i="135"/>
  <c r="K110" i="135"/>
  <c r="O110" i="135"/>
  <c r="L110" i="135"/>
  <c r="N110" i="135"/>
  <c r="J110" i="135"/>
  <c r="M110" i="135"/>
  <c r="J185" i="135"/>
  <c r="N185" i="135"/>
  <c r="K185" i="135"/>
  <c r="O185" i="135"/>
  <c r="L185" i="135"/>
  <c r="M185" i="135"/>
  <c r="L55" i="135"/>
  <c r="J55" i="135"/>
  <c r="N55" i="135"/>
  <c r="O55" i="135"/>
  <c r="M55" i="135"/>
  <c r="K55" i="135"/>
  <c r="M186" i="135"/>
  <c r="J186" i="135"/>
  <c r="N186" i="135"/>
  <c r="K186" i="135"/>
  <c r="O186" i="135"/>
  <c r="L186" i="135"/>
  <c r="I85" i="135"/>
  <c r="J188" i="135"/>
  <c r="N188" i="135"/>
  <c r="K188" i="135"/>
  <c r="O188" i="135"/>
  <c r="L188" i="135"/>
  <c r="M188" i="135"/>
  <c r="K63" i="135"/>
  <c r="O63" i="135"/>
  <c r="L63" i="135"/>
  <c r="J63" i="135"/>
  <c r="N63" i="135"/>
  <c r="M63" i="135"/>
  <c r="I87" i="135"/>
  <c r="I99" i="135"/>
  <c r="I200" i="135"/>
  <c r="I241" i="135"/>
  <c r="I223" i="135"/>
  <c r="I246" i="135"/>
  <c r="L66" i="135"/>
  <c r="M66" i="135"/>
  <c r="K66" i="135"/>
  <c r="O66" i="135"/>
  <c r="J66" i="135"/>
  <c r="N66" i="135"/>
  <c r="I27" i="135"/>
  <c r="I248" i="135"/>
  <c r="I17" i="135"/>
  <c r="I88" i="135"/>
  <c r="I91" i="135"/>
  <c r="I222" i="135"/>
  <c r="J76" i="135"/>
  <c r="N76" i="135"/>
  <c r="M76" i="135"/>
  <c r="O76" i="135"/>
  <c r="K76" i="135"/>
  <c r="L76" i="135"/>
  <c r="I175" i="135"/>
  <c r="I70" i="135"/>
  <c r="L74" i="135"/>
  <c r="K74" i="135"/>
  <c r="O74" i="135"/>
  <c r="M74" i="135"/>
  <c r="N74" i="135"/>
  <c r="J74" i="135"/>
  <c r="I230" i="135"/>
  <c r="I69" i="135"/>
  <c r="J72" i="135"/>
  <c r="N72" i="135"/>
  <c r="M72" i="135"/>
  <c r="O72" i="135"/>
  <c r="K72" i="135"/>
  <c r="L72" i="135"/>
  <c r="J184" i="135"/>
  <c r="N184" i="135"/>
  <c r="K184" i="135"/>
  <c r="O184" i="135"/>
  <c r="L184" i="135"/>
  <c r="M184" i="135"/>
  <c r="M81" i="135"/>
  <c r="L81" i="135"/>
  <c r="N81" i="135"/>
  <c r="J81" i="135"/>
  <c r="O81" i="135"/>
  <c r="K81" i="135"/>
  <c r="L202" i="135"/>
  <c r="M202" i="135"/>
  <c r="J202" i="135"/>
  <c r="N202" i="135"/>
  <c r="K202" i="135"/>
  <c r="O202" i="135"/>
  <c r="I251" i="135"/>
  <c r="I16" i="135"/>
  <c r="I57" i="135"/>
  <c r="I94" i="135"/>
  <c r="I249" i="135"/>
  <c r="I226" i="135"/>
  <c r="I5" i="135"/>
  <c r="H28" i="115"/>
  <c r="H30" i="115"/>
  <c r="H29" i="115"/>
  <c r="E42" i="115"/>
  <c r="I7" i="115"/>
  <c r="J7" i="115" s="1"/>
  <c r="H8" i="115"/>
  <c r="H10" i="115"/>
  <c r="H13" i="115"/>
  <c r="H9" i="115"/>
  <c r="H14" i="115"/>
  <c r="G33" i="115"/>
  <c r="G16" i="115"/>
  <c r="G19" i="115"/>
  <c r="G21" i="115"/>
  <c r="G23" i="115"/>
  <c r="G25" i="115"/>
  <c r="G27" i="115"/>
  <c r="G15" i="115"/>
  <c r="G18" i="115"/>
  <c r="G20" i="115"/>
  <c r="G22" i="115"/>
  <c r="G24" i="115"/>
  <c r="G26" i="115"/>
  <c r="G32" i="115"/>
  <c r="F42" i="115"/>
  <c r="I290" i="135" l="1"/>
  <c r="I276" i="135"/>
  <c r="I77" i="135"/>
  <c r="I58" i="135"/>
  <c r="I75" i="135"/>
  <c r="I195" i="135"/>
  <c r="I78" i="135"/>
  <c r="I185" i="135"/>
  <c r="I110" i="135"/>
  <c r="I62" i="135"/>
  <c r="I50" i="135"/>
  <c r="I71" i="135"/>
  <c r="I55" i="135"/>
  <c r="I65" i="135"/>
  <c r="I186" i="135"/>
  <c r="I67" i="135"/>
  <c r="I59" i="135"/>
  <c r="I80" i="135"/>
  <c r="I56" i="135"/>
  <c r="I202" i="135"/>
  <c r="I66" i="135"/>
  <c r="I81" i="135"/>
  <c r="I184" i="135"/>
  <c r="I74" i="135"/>
  <c r="I63" i="135"/>
  <c r="I72" i="135"/>
  <c r="I76" i="135"/>
  <c r="I188" i="135"/>
  <c r="J29" i="115"/>
  <c r="J13" i="115"/>
  <c r="J30" i="115"/>
  <c r="J23" i="115"/>
  <c r="J9" i="115"/>
  <c r="J28" i="115"/>
  <c r="J21" i="115"/>
  <c r="J18" i="115"/>
  <c r="J8" i="115"/>
  <c r="J27" i="115"/>
  <c r="J15" i="115"/>
  <c r="J33" i="115"/>
  <c r="J25" i="115"/>
  <c r="J26" i="115"/>
  <c r="J19" i="115"/>
  <c r="J24" i="115"/>
  <c r="J16" i="115"/>
  <c r="J22" i="115"/>
  <c r="J14" i="115"/>
  <c r="J32" i="115"/>
  <c r="J20" i="115"/>
  <c r="J10" i="115"/>
  <c r="J5" i="115"/>
  <c r="J2" i="115" s="1"/>
  <c r="I29" i="115"/>
  <c r="I28" i="115"/>
  <c r="I30" i="115"/>
  <c r="I9" i="115"/>
  <c r="I8" i="115"/>
  <c r="I10" i="115"/>
  <c r="I13" i="115"/>
  <c r="I14" i="115"/>
  <c r="G42" i="115"/>
  <c r="H19" i="115"/>
  <c r="H23" i="115"/>
  <c r="H27" i="115"/>
  <c r="H15" i="115"/>
  <c r="H20" i="115"/>
  <c r="H24" i="115"/>
  <c r="H16" i="115"/>
  <c r="H21" i="115"/>
  <c r="H25" i="115"/>
  <c r="H32" i="115"/>
  <c r="H18" i="115"/>
  <c r="H22" i="115"/>
  <c r="H26" i="115"/>
  <c r="H33" i="115"/>
  <c r="A15" i="101"/>
  <c r="F15" i="101" s="1"/>
  <c r="A14" i="101"/>
  <c r="D14" i="101" s="1"/>
  <c r="A13" i="101"/>
  <c r="D13" i="101" s="1"/>
  <c r="A12" i="101"/>
  <c r="D12" i="101" s="1"/>
  <c r="A11" i="101"/>
  <c r="D11" i="101" s="1"/>
  <c r="A10" i="101"/>
  <c r="D10" i="101" s="1"/>
  <c r="C9" i="101"/>
  <c r="A9" i="101"/>
  <c r="G6" i="101"/>
  <c r="A15" i="100"/>
  <c r="D15" i="100" s="1"/>
  <c r="C9" i="100"/>
  <c r="A14" i="100"/>
  <c r="D14" i="100" s="1"/>
  <c r="A10" i="100"/>
  <c r="D10" i="100" s="1"/>
  <c r="A11" i="100"/>
  <c r="A12" i="100"/>
  <c r="A13" i="100"/>
  <c r="B13" i="100" s="1"/>
  <c r="A9" i="100"/>
  <c r="D9" i="100" s="1"/>
  <c r="G6" i="100"/>
  <c r="J10" i="97"/>
  <c r="J7" i="97"/>
  <c r="J8" i="97"/>
  <c r="J9" i="97"/>
  <c r="J11" i="97"/>
  <c r="J12" i="97"/>
  <c r="J13" i="97"/>
  <c r="J14" i="97"/>
  <c r="J15" i="97"/>
  <c r="J16" i="97"/>
  <c r="J17" i="97"/>
  <c r="J6" i="97"/>
  <c r="H4" i="97"/>
  <c r="B15" i="100" l="1"/>
  <c r="F12" i="101"/>
  <c r="J1" i="115"/>
  <c r="J42" i="115"/>
  <c r="H42" i="115"/>
  <c r="I15" i="115"/>
  <c r="I22" i="115"/>
  <c r="I20" i="115"/>
  <c r="I21" i="115"/>
  <c r="I19" i="115"/>
  <c r="I26" i="115"/>
  <c r="I25" i="115"/>
  <c r="I23" i="115"/>
  <c r="I33" i="115"/>
  <c r="I32" i="115"/>
  <c r="I27" i="115"/>
  <c r="I18" i="115"/>
  <c r="I16" i="115"/>
  <c r="I24" i="115"/>
  <c r="B12" i="101"/>
  <c r="F9" i="101"/>
  <c r="C15" i="101"/>
  <c r="D15" i="101"/>
  <c r="D9" i="101"/>
  <c r="E12" i="101"/>
  <c r="F13" i="101"/>
  <c r="E13" i="101" s="1"/>
  <c r="G15" i="101"/>
  <c r="F10" i="101"/>
  <c r="E10" i="101" s="1"/>
  <c r="B14" i="101"/>
  <c r="F14" i="101"/>
  <c r="E14" i="101" s="1"/>
  <c r="E15" i="101"/>
  <c r="B11" i="101"/>
  <c r="F11" i="101"/>
  <c r="E11" i="101" s="1"/>
  <c r="B10" i="101"/>
  <c r="B9" i="101"/>
  <c r="B13" i="101"/>
  <c r="B15" i="101"/>
  <c r="F10" i="100"/>
  <c r="E10" i="100" s="1"/>
  <c r="G15" i="100"/>
  <c r="F15" i="100"/>
  <c r="E15" i="100"/>
  <c r="C15" i="100"/>
  <c r="F12" i="100"/>
  <c r="G9" i="100"/>
  <c r="F11" i="100"/>
  <c r="F9" i="100"/>
  <c r="F13" i="100"/>
  <c r="F14" i="100"/>
  <c r="E14" i="100" s="1"/>
  <c r="D13" i="100"/>
  <c r="B12" i="100"/>
  <c r="D12" i="100"/>
  <c r="B11" i="100"/>
  <c r="D11" i="100"/>
  <c r="B9" i="100"/>
  <c r="B14" i="100"/>
  <c r="B10" i="100"/>
  <c r="J4" i="97"/>
  <c r="K52" i="95"/>
  <c r="L52" i="95" s="1"/>
  <c r="L7" i="95"/>
  <c r="L11" i="95"/>
  <c r="L8" i="95"/>
  <c r="L9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114" i="95"/>
  <c r="L115" i="95"/>
  <c r="L45" i="95"/>
  <c r="L46" i="95"/>
  <c r="L48" i="95"/>
  <c r="L47" i="95"/>
  <c r="L49" i="95"/>
  <c r="L50" i="95"/>
  <c r="L51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8" i="95"/>
  <c r="L65" i="95"/>
  <c r="L66" i="95"/>
  <c r="L69" i="95"/>
  <c r="L70" i="95"/>
  <c r="L67" i="95"/>
  <c r="L71" i="95"/>
  <c r="L72" i="95"/>
  <c r="L73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90" i="95"/>
  <c r="L91" i="95"/>
  <c r="L92" i="95"/>
  <c r="L89" i="95"/>
  <c r="L93" i="95"/>
  <c r="L94" i="95"/>
  <c r="L95" i="95"/>
  <c r="L96" i="95"/>
  <c r="L97" i="95"/>
  <c r="L98" i="95"/>
  <c r="L99" i="95"/>
  <c r="L100" i="95"/>
  <c r="L101" i="95"/>
  <c r="L102" i="95"/>
  <c r="L103" i="95"/>
  <c r="L104" i="95"/>
  <c r="L105" i="95"/>
  <c r="L106" i="95"/>
  <c r="L107" i="95"/>
  <c r="L108" i="95"/>
  <c r="L109" i="95"/>
  <c r="L110" i="95"/>
  <c r="L111" i="95"/>
  <c r="L113" i="95"/>
  <c r="L112" i="95"/>
  <c r="L10" i="95"/>
  <c r="E9" i="101" l="1"/>
  <c r="L5" i="95"/>
  <c r="I42" i="115"/>
  <c r="D16" i="100"/>
  <c r="D16" i="101"/>
  <c r="F16" i="101"/>
  <c r="G9" i="101"/>
  <c r="C10" i="101" s="1"/>
  <c r="G10" i="101" s="1"/>
  <c r="C11" i="101" s="1"/>
  <c r="G11" i="101" s="1"/>
  <c r="C12" i="101" s="1"/>
  <c r="G12" i="101" s="1"/>
  <c r="C13" i="101" s="1"/>
  <c r="G13" i="101" s="1"/>
  <c r="C14" i="101" s="1"/>
  <c r="G14" i="101" s="1"/>
  <c r="E16" i="101"/>
  <c r="E9" i="100"/>
  <c r="F16" i="100"/>
  <c r="E12" i="100"/>
  <c r="E13" i="100"/>
  <c r="E11" i="100"/>
  <c r="C10" i="100"/>
  <c r="G10" i="100" s="1"/>
  <c r="C11" i="100" s="1"/>
  <c r="E9" i="92"/>
  <c r="C26" i="90"/>
  <c r="E16" i="100" l="1"/>
  <c r="G11" i="100"/>
  <c r="C12" i="100" l="1"/>
  <c r="G12" i="100" s="1"/>
  <c r="C13" i="100" l="1"/>
  <c r="G13" i="100" s="1"/>
  <c r="C14" i="100" s="1"/>
  <c r="G14" i="100" s="1"/>
  <c r="P2" i="123" l="1"/>
  <c r="R2" i="123"/>
  <c r="S2" i="123" l="1"/>
  <c r="AG2" i="123"/>
  <c r="T2" i="123" l="1"/>
  <c r="AJ2" i="123" l="1"/>
  <c r="U2" i="123"/>
  <c r="V2" i="123"/>
  <c r="AI2" i="123"/>
  <c r="S96" i="127" l="1"/>
  <c r="T251" i="127"/>
  <c r="S252" i="127"/>
  <c r="AH2" i="123"/>
  <c r="W2" i="123"/>
  <c r="T252" i="127" l="1"/>
  <c r="F9" i="146"/>
  <c r="F16" i="146" s="1"/>
  <c r="F35" i="146" s="1"/>
  <c r="F37" i="146" s="1"/>
  <c r="F39" i="146" s="1"/>
  <c r="S6" i="127"/>
  <c r="E9" i="146"/>
  <c r="AK5" i="123"/>
  <c r="AN5" i="123" s="1"/>
  <c r="L3" i="127"/>
  <c r="M3" i="127" s="1"/>
  <c r="T96" i="127"/>
  <c r="D36" i="135"/>
  <c r="D21" i="135"/>
  <c r="E41" i="135"/>
  <c r="E16" i="146" l="1"/>
  <c r="E35" i="146" s="1"/>
  <c r="C9" i="146"/>
  <c r="C16" i="146" s="1"/>
  <c r="AL5" i="123"/>
  <c r="AO5" i="123" s="1"/>
  <c r="AP5" i="123" s="1"/>
  <c r="AU5" i="123" s="1"/>
  <c r="J17" i="148"/>
  <c r="J18" i="148" s="1"/>
  <c r="J20" i="148" s="1"/>
  <c r="I17" i="148"/>
  <c r="I18" i="148" s="1"/>
  <c r="I20" i="148" s="1"/>
  <c r="D17" i="148"/>
  <c r="D18" i="148" s="1"/>
  <c r="D20" i="148" s="1"/>
  <c r="F17" i="148"/>
  <c r="F18" i="148" s="1"/>
  <c r="F20" i="148" s="1"/>
  <c r="G17" i="148"/>
  <c r="G18" i="148" s="1"/>
  <c r="G20" i="148" s="1"/>
  <c r="E17" i="148"/>
  <c r="E18" i="148" s="1"/>
  <c r="E20" i="148" s="1"/>
  <c r="H17" i="148"/>
  <c r="H18" i="148" s="1"/>
  <c r="H20" i="148" s="1"/>
  <c r="E22" i="135"/>
  <c r="D22" i="135"/>
  <c r="D19" i="135"/>
  <c r="D20" i="135"/>
  <c r="E38" i="135"/>
  <c r="D39" i="135"/>
  <c r="E23" i="135"/>
  <c r="E15" i="135"/>
  <c r="D18" i="135"/>
  <c r="D23" i="135"/>
  <c r="D15" i="135"/>
  <c r="E34" i="135"/>
  <c r="E35" i="135"/>
  <c r="D34" i="135"/>
  <c r="D35" i="135"/>
  <c r="K10" i="134"/>
  <c r="K3" i="134" s="1"/>
  <c r="E18" i="135"/>
  <c r="AM5" i="123" l="1"/>
  <c r="E37" i="146"/>
  <c r="E39" i="146" s="1"/>
  <c r="C35" i="146"/>
  <c r="AQ5" i="123"/>
  <c r="AR5" i="123" s="1"/>
  <c r="AS5" i="123" s="1"/>
  <c r="AT5" i="123"/>
  <c r="F22" i="135"/>
  <c r="G22" i="135"/>
  <c r="E20" i="135"/>
  <c r="F20" i="135" s="1"/>
  <c r="D41" i="135"/>
  <c r="F41" i="135" s="1"/>
  <c r="F15" i="135"/>
  <c r="D38" i="135"/>
  <c r="F38" i="135" s="1"/>
  <c r="F34" i="135"/>
  <c r="F35" i="135"/>
  <c r="F23" i="135"/>
  <c r="F18" i="135"/>
  <c r="E21" i="135"/>
  <c r="F21" i="135" s="1"/>
  <c r="E36" i="135"/>
  <c r="F36" i="135" s="1"/>
  <c r="G15" i="135"/>
  <c r="E19" i="135"/>
  <c r="F19" i="135" s="1"/>
  <c r="G35" i="135"/>
  <c r="E6" i="135"/>
  <c r="E116" i="135"/>
  <c r="D116" i="135"/>
  <c r="L10" i="134"/>
  <c r="L3" i="134" s="1"/>
  <c r="D10" i="135"/>
  <c r="D25" i="148" l="1"/>
  <c r="D26" i="148" s="1"/>
  <c r="D33" i="148" s="1"/>
  <c r="H25" i="148"/>
  <c r="H26" i="148" s="1"/>
  <c r="H33" i="148" s="1"/>
  <c r="E25" i="148"/>
  <c r="E26" i="148" s="1"/>
  <c r="E33" i="148" s="1"/>
  <c r="C39" i="146"/>
  <c r="F25" i="148"/>
  <c r="F26" i="148" s="1"/>
  <c r="F33" i="148" s="1"/>
  <c r="G25" i="148"/>
  <c r="G26" i="148" s="1"/>
  <c r="G33" i="148" s="1"/>
  <c r="I25" i="148"/>
  <c r="I26" i="148" s="1"/>
  <c r="I33" i="148" s="1"/>
  <c r="J25" i="148"/>
  <c r="J26" i="148" s="1"/>
  <c r="J33" i="148" s="1"/>
  <c r="H22" i="135"/>
  <c r="E39" i="135"/>
  <c r="F39" i="135" s="1"/>
  <c r="F116" i="135"/>
  <c r="H23" i="135"/>
  <c r="G23" i="135"/>
  <c r="G21" i="135"/>
  <c r="G18" i="135"/>
  <c r="G36" i="135"/>
  <c r="H15" i="135"/>
  <c r="G20" i="135"/>
  <c r="G19" i="135"/>
  <c r="H35" i="135"/>
  <c r="G34" i="135"/>
  <c r="G116" i="135"/>
  <c r="E10" i="135"/>
  <c r="F10" i="135" s="1"/>
  <c r="N22" i="135" l="1"/>
  <c r="L22" i="135"/>
  <c r="K22" i="135"/>
  <c r="M22" i="135"/>
  <c r="O22" i="135"/>
  <c r="J22" i="135"/>
  <c r="G41" i="135"/>
  <c r="G38" i="135"/>
  <c r="N23" i="135"/>
  <c r="H21" i="135"/>
  <c r="H36" i="135"/>
  <c r="H18" i="135"/>
  <c r="H19" i="135"/>
  <c r="H20" i="135"/>
  <c r="H34" i="135"/>
  <c r="H116" i="135"/>
  <c r="I22" i="135" l="1"/>
  <c r="H41" i="135"/>
  <c r="G39" i="135"/>
  <c r="K23" i="135"/>
  <c r="H38" i="135"/>
  <c r="L23" i="135"/>
  <c r="J23" i="135"/>
  <c r="O23" i="135"/>
  <c r="M23" i="135"/>
  <c r="K35" i="135"/>
  <c r="N35" i="135"/>
  <c r="O35" i="135"/>
  <c r="J35" i="135"/>
  <c r="L35" i="135"/>
  <c r="M35" i="135"/>
  <c r="K15" i="135"/>
  <c r="O15" i="135"/>
  <c r="L15" i="135"/>
  <c r="M15" i="135"/>
  <c r="J15" i="135"/>
  <c r="N15" i="135"/>
  <c r="G10" i="135"/>
  <c r="J41" i="135" l="1"/>
  <c r="L41" i="135"/>
  <c r="N41" i="135"/>
  <c r="K41" i="135"/>
  <c r="M41" i="135"/>
  <c r="O41" i="135"/>
  <c r="H39" i="135"/>
  <c r="L38" i="135"/>
  <c r="K38" i="135"/>
  <c r="M38" i="135"/>
  <c r="O38" i="135"/>
  <c r="N38" i="135"/>
  <c r="J38" i="135"/>
  <c r="I23" i="135"/>
  <c r="J36" i="135"/>
  <c r="L36" i="135"/>
  <c r="N36" i="135"/>
  <c r="M36" i="135"/>
  <c r="K36" i="135"/>
  <c r="O36" i="135"/>
  <c r="I15" i="135"/>
  <c r="I35" i="135"/>
  <c r="K34" i="135"/>
  <c r="O34" i="135"/>
  <c r="M34" i="135"/>
  <c r="L34" i="135"/>
  <c r="N34" i="135"/>
  <c r="J34" i="135"/>
  <c r="J20" i="135"/>
  <c r="N20" i="135"/>
  <c r="K20" i="135"/>
  <c r="O20" i="135"/>
  <c r="L20" i="135"/>
  <c r="M20" i="135"/>
  <c r="M116" i="135"/>
  <c r="J116" i="135"/>
  <c r="N116" i="135"/>
  <c r="K116" i="135"/>
  <c r="O116" i="135"/>
  <c r="L116" i="135"/>
  <c r="L18" i="135"/>
  <c r="M18" i="135"/>
  <c r="J18" i="135"/>
  <c r="N18" i="135"/>
  <c r="O18" i="135"/>
  <c r="K18" i="135"/>
  <c r="K19" i="135"/>
  <c r="O19" i="135"/>
  <c r="L19" i="135"/>
  <c r="M19" i="135"/>
  <c r="J19" i="135"/>
  <c r="N19" i="135"/>
  <c r="M21" i="135"/>
  <c r="J21" i="135"/>
  <c r="N21" i="135"/>
  <c r="K21" i="135"/>
  <c r="O21" i="135"/>
  <c r="L21" i="135"/>
  <c r="H10" i="135"/>
  <c r="I41" i="135" l="1"/>
  <c r="O39" i="135"/>
  <c r="M39" i="135"/>
  <c r="J39" i="135"/>
  <c r="K39" i="135"/>
  <c r="L39" i="135"/>
  <c r="N39" i="135"/>
  <c r="I38" i="135"/>
  <c r="I34" i="135"/>
  <c r="I19" i="135"/>
  <c r="I36" i="135"/>
  <c r="I116" i="135"/>
  <c r="I18" i="135"/>
  <c r="I21" i="135"/>
  <c r="I20" i="135"/>
  <c r="I39" i="135" l="1"/>
  <c r="L10" i="135"/>
  <c r="M10" i="135"/>
  <c r="J10" i="135"/>
  <c r="N10" i="135"/>
  <c r="K10" i="135"/>
  <c r="O10" i="135"/>
  <c r="I10" i="135" l="1"/>
  <c r="AK2" i="123"/>
  <c r="AN2" i="123" l="1"/>
  <c r="D6" i="135"/>
  <c r="F6" i="135" l="1"/>
  <c r="D2" i="135"/>
  <c r="G6" i="135" l="1"/>
  <c r="H6" i="135" l="1"/>
  <c r="M6" i="135" l="1"/>
  <c r="N6" i="135"/>
  <c r="K6" i="135"/>
  <c r="L6" i="135"/>
  <c r="J6" i="135"/>
  <c r="O6" i="135"/>
  <c r="I6" i="135" l="1"/>
  <c r="T6" i="127"/>
  <c r="L2" i="127"/>
  <c r="M2" i="127" s="1"/>
  <c r="AM2" i="123"/>
  <c r="L4" i="127" l="1"/>
  <c r="M4" i="127" s="1"/>
  <c r="AL2" i="123"/>
  <c r="E45" i="135" l="1"/>
  <c r="AO2" i="123"/>
  <c r="E200" i="136" l="1"/>
  <c r="D63" i="136"/>
  <c r="D112" i="136"/>
  <c r="E20" i="136"/>
  <c r="D256" i="136"/>
  <c r="D171" i="136"/>
  <c r="D140" i="136"/>
  <c r="E249" i="136"/>
  <c r="D14" i="136"/>
  <c r="E104" i="136"/>
  <c r="E142" i="136"/>
  <c r="E227" i="136"/>
  <c r="D28" i="136"/>
  <c r="D212" i="136"/>
  <c r="D11" i="136"/>
  <c r="D34" i="136"/>
  <c r="D260" i="136"/>
  <c r="E90" i="136"/>
  <c r="E30" i="136"/>
  <c r="E8" i="136"/>
  <c r="D252" i="136"/>
  <c r="E35" i="136"/>
  <c r="E107" i="136"/>
  <c r="D68" i="136"/>
  <c r="D211" i="136"/>
  <c r="E91" i="136"/>
  <c r="E57" i="136"/>
  <c r="E93" i="136"/>
  <c r="E209" i="136"/>
  <c r="D156" i="136"/>
  <c r="E265" i="136"/>
  <c r="D30" i="136"/>
  <c r="E147" i="136"/>
  <c r="D83" i="136"/>
  <c r="E203" i="136"/>
  <c r="D247" i="136"/>
  <c r="D227" i="136"/>
  <c r="E42" i="136"/>
  <c r="E18" i="136"/>
  <c r="E72" i="136"/>
  <c r="E78" i="136"/>
  <c r="E163" i="136"/>
  <c r="E235" i="136"/>
  <c r="D136" i="136"/>
  <c r="D35" i="136"/>
  <c r="E219" i="136"/>
  <c r="E121" i="136"/>
  <c r="E157" i="136"/>
  <c r="E273" i="136"/>
  <c r="D220" i="136"/>
  <c r="D58" i="136"/>
  <c r="E43" i="136"/>
  <c r="D104" i="136"/>
  <c r="E50" i="136"/>
  <c r="E132" i="136"/>
  <c r="E218" i="136"/>
  <c r="D254" i="136"/>
  <c r="D38" i="136"/>
  <c r="D49" i="136"/>
  <c r="E13" i="136"/>
  <c r="E129" i="136"/>
  <c r="E271" i="136"/>
  <c r="E5" i="136"/>
  <c r="E12" i="136"/>
  <c r="E48" i="136"/>
  <c r="E164" i="136"/>
  <c r="E213" i="136"/>
  <c r="E220" i="136"/>
  <c r="E256" i="136"/>
  <c r="E33" i="136"/>
  <c r="E207" i="136"/>
  <c r="E236" i="136"/>
  <c r="D86" i="136"/>
  <c r="D8" i="136"/>
  <c r="E127" i="136"/>
  <c r="D56" i="136"/>
  <c r="E241" i="136"/>
  <c r="D273" i="136"/>
  <c r="E259" i="136"/>
  <c r="D235" i="136"/>
  <c r="D191" i="136"/>
  <c r="D238" i="136"/>
  <c r="D266" i="136"/>
  <c r="E108" i="136"/>
  <c r="E117" i="136"/>
  <c r="E124" i="136"/>
  <c r="E160" i="136"/>
  <c r="D9" i="136"/>
  <c r="D217" i="136"/>
  <c r="E152" i="136"/>
  <c r="E238" i="136"/>
  <c r="D52" i="136"/>
  <c r="D100" i="136"/>
  <c r="E21" i="136"/>
  <c r="E28" i="136"/>
  <c r="E64" i="136"/>
  <c r="E180" i="136"/>
  <c r="D177" i="136"/>
  <c r="D12" i="136"/>
  <c r="E254" i="136"/>
  <c r="D221" i="136"/>
  <c r="D125" i="136"/>
  <c r="D245" i="136"/>
  <c r="E264" i="136"/>
  <c r="D133" i="136"/>
  <c r="D176" i="136"/>
  <c r="E84" i="136"/>
  <c r="E126" i="136"/>
  <c r="D67" i="136"/>
  <c r="D204" i="136"/>
  <c r="D42" i="136"/>
  <c r="E11" i="136"/>
  <c r="E168" i="136"/>
  <c r="E270" i="136"/>
  <c r="D80" i="136"/>
  <c r="D116" i="136"/>
  <c r="E38" i="136"/>
  <c r="E56" i="136"/>
  <c r="E179" i="136"/>
  <c r="E134" i="136"/>
  <c r="D244" i="136"/>
  <c r="E198" i="136"/>
  <c r="E155" i="136"/>
  <c r="D61" i="136"/>
  <c r="D197" i="136"/>
  <c r="E32" i="136"/>
  <c r="E148" i="136"/>
  <c r="D23" i="136"/>
  <c r="E24" i="136"/>
  <c r="D268" i="136"/>
  <c r="E67" i="136"/>
  <c r="E139" i="136"/>
  <c r="E232" i="136"/>
  <c r="D101" i="136"/>
  <c r="D144" i="136"/>
  <c r="E52" i="136"/>
  <c r="E214" i="136"/>
  <c r="D45" i="136"/>
  <c r="D120" i="136"/>
  <c r="D39" i="136"/>
  <c r="E102" i="136"/>
  <c r="D124" i="136"/>
  <c r="E233" i="136"/>
  <c r="E269" i="136"/>
  <c r="E83" i="136"/>
  <c r="D111" i="136"/>
  <c r="E261" i="136"/>
  <c r="E268" i="136"/>
  <c r="D37" i="136"/>
  <c r="E81" i="136"/>
  <c r="E251" i="136"/>
  <c r="E137" i="136"/>
  <c r="E173" i="136"/>
  <c r="D18" i="136"/>
  <c r="E162" i="136"/>
  <c r="E272" i="136"/>
  <c r="D107" i="136"/>
  <c r="D127" i="136"/>
  <c r="D222" i="136"/>
  <c r="D223" i="136"/>
  <c r="D108" i="136"/>
  <c r="E199" i="136"/>
  <c r="E196" i="136"/>
  <c r="D164" i="136"/>
  <c r="D243" i="136"/>
  <c r="D228" i="136"/>
  <c r="E165" i="136"/>
  <c r="E144" i="136"/>
  <c r="E59" i="136"/>
  <c r="E41" i="136"/>
  <c r="E77" i="136"/>
  <c r="E193" i="136"/>
  <c r="D102" i="136"/>
  <c r="E69" i="136"/>
  <c r="E76" i="136"/>
  <c r="E112" i="136"/>
  <c r="E228" i="136"/>
  <c r="D6" i="136"/>
  <c r="D17" i="136"/>
  <c r="D53" i="136"/>
  <c r="E97" i="136"/>
  <c r="D64" i="136"/>
  <c r="E153" i="136"/>
  <c r="D214" i="136"/>
  <c r="D106" i="136"/>
  <c r="E255" i="136"/>
  <c r="D130" i="136"/>
  <c r="E181" i="136"/>
  <c r="E188" i="136"/>
  <c r="E224" i="136"/>
  <c r="D73" i="136"/>
  <c r="E15" i="136"/>
  <c r="E216" i="136"/>
  <c r="D85" i="136"/>
  <c r="D128" i="136"/>
  <c r="E36" i="136"/>
  <c r="E85" i="136"/>
  <c r="E92" i="136"/>
  <c r="E128" i="136"/>
  <c r="E244" i="136"/>
  <c r="D249" i="136"/>
  <c r="E46" i="136"/>
  <c r="D201" i="136"/>
  <c r="E23" i="136"/>
  <c r="D209" i="136"/>
  <c r="E71" i="136"/>
  <c r="E125" i="136"/>
  <c r="E245" i="136"/>
  <c r="E252" i="136"/>
  <c r="D21" i="136"/>
  <c r="E65" i="136"/>
  <c r="E143" i="136"/>
  <c r="D13" i="136"/>
  <c r="D149" i="136"/>
  <c r="D192" i="136"/>
  <c r="E100" i="136"/>
  <c r="E149" i="136"/>
  <c r="E156" i="136"/>
  <c r="E192" i="136"/>
  <c r="D41" i="136"/>
  <c r="E79" i="136"/>
  <c r="D181" i="136"/>
  <c r="E111" i="136"/>
  <c r="E151" i="136"/>
  <c r="E136" i="136"/>
  <c r="E206" i="136"/>
  <c r="D20" i="136"/>
  <c r="D84" i="136"/>
  <c r="D200" i="136"/>
  <c r="E26" i="136"/>
  <c r="D76" i="136"/>
  <c r="E185" i="136"/>
  <c r="E221" i="136"/>
  <c r="E40" i="136"/>
  <c r="E14" i="136"/>
  <c r="E99" i="136"/>
  <c r="E171" i="136"/>
  <c r="D168" i="136"/>
  <c r="D183" i="136"/>
  <c r="E49" i="136"/>
  <c r="D155" i="136"/>
  <c r="D115" i="136"/>
  <c r="D196" i="136"/>
  <c r="D219" i="136"/>
  <c r="E217" i="136"/>
  <c r="D117" i="136"/>
  <c r="D152" i="136"/>
  <c r="D161" i="136"/>
  <c r="D47" i="136"/>
  <c r="D193" i="136"/>
  <c r="E208" i="136"/>
  <c r="D188" i="136"/>
  <c r="D26" i="136"/>
  <c r="D62" i="136"/>
  <c r="E211" i="136"/>
  <c r="E106" i="136"/>
  <c r="D54" i="136"/>
  <c r="D65" i="136"/>
  <c r="E29" i="136"/>
  <c r="E145" i="136"/>
  <c r="D92" i="136"/>
  <c r="E201" i="136"/>
  <c r="E237" i="136"/>
  <c r="E19" i="136"/>
  <c r="D239" i="136"/>
  <c r="E189" i="136"/>
  <c r="D199" i="136"/>
  <c r="E138" i="136"/>
  <c r="D79" i="136"/>
  <c r="D59" i="136"/>
  <c r="E187" i="136"/>
  <c r="E105" i="136"/>
  <c r="E141" i="136"/>
  <c r="E257" i="136"/>
  <c r="D166" i="136"/>
  <c r="E133" i="136"/>
  <c r="E140" i="136"/>
  <c r="E176" i="136"/>
  <c r="D25" i="136"/>
  <c r="D70" i="136"/>
  <c r="E9" i="136"/>
  <c r="E45" i="136"/>
  <c r="E161" i="136"/>
  <c r="D134" i="136"/>
  <c r="E131" i="136"/>
  <c r="D274" i="136"/>
  <c r="D170" i="136"/>
  <c r="D94" i="136"/>
  <c r="D194" i="136"/>
  <c r="E37" i="136"/>
  <c r="D44" i="136"/>
  <c r="E169" i="136"/>
  <c r="E205" i="136"/>
  <c r="D50" i="136"/>
  <c r="D230" i="136"/>
  <c r="E197" i="136"/>
  <c r="E204" i="136"/>
  <c r="E240" i="136"/>
  <c r="E17" i="136"/>
  <c r="E123" i="136"/>
  <c r="E73" i="136"/>
  <c r="E109" i="136"/>
  <c r="E225" i="136"/>
  <c r="D198" i="136"/>
  <c r="E16" i="136"/>
  <c r="E178" i="136"/>
  <c r="D234" i="136"/>
  <c r="E53" i="136"/>
  <c r="E60" i="136"/>
  <c r="E96" i="136"/>
  <c r="E212" i="136"/>
  <c r="D137" i="136"/>
  <c r="E88" i="136"/>
  <c r="E110" i="136"/>
  <c r="E195" i="136"/>
  <c r="E267" i="136"/>
  <c r="D29" i="136"/>
  <c r="D165" i="136"/>
  <c r="D208" i="136"/>
  <c r="E116" i="136"/>
  <c r="D93" i="136"/>
  <c r="E229" i="136"/>
  <c r="D232" i="136"/>
  <c r="D141" i="136"/>
  <c r="D7" i="136"/>
  <c r="D173" i="136"/>
  <c r="E89" i="136"/>
  <c r="E253" i="136"/>
  <c r="D22" i="136"/>
  <c r="D118" i="136"/>
  <c r="D40" i="136"/>
  <c r="E159" i="136"/>
  <c r="D184" i="136"/>
  <c r="D97" i="136"/>
  <c r="E190" i="136"/>
  <c r="D129" i="136"/>
  <c r="D123" i="136"/>
  <c r="D215" i="136"/>
  <c r="E250" i="136"/>
  <c r="D240" i="136"/>
  <c r="E130" i="136"/>
  <c r="E113" i="136"/>
  <c r="E6" i="136"/>
  <c r="D139" i="136"/>
  <c r="E70" i="136"/>
  <c r="D236" i="136"/>
  <c r="E61" i="136"/>
  <c r="D271" i="136"/>
  <c r="D250" i="136"/>
  <c r="E98" i="136"/>
  <c r="E74" i="136"/>
  <c r="E158" i="136"/>
  <c r="D55" i="136"/>
  <c r="D153" i="136"/>
  <c r="D229" i="136"/>
  <c r="E175" i="136"/>
  <c r="E150" i="136"/>
  <c r="D74" i="136"/>
  <c r="D262" i="136"/>
  <c r="D69" i="136"/>
  <c r="D5" i="136"/>
  <c r="D267" i="136"/>
  <c r="D27" i="136"/>
  <c r="E146" i="136"/>
  <c r="D10" i="136"/>
  <c r="D19" i="136"/>
  <c r="D138" i="136"/>
  <c r="D48" i="136"/>
  <c r="D162" i="136"/>
  <c r="D189" i="136"/>
  <c r="D257" i="136"/>
  <c r="E95" i="136"/>
  <c r="E223" i="136"/>
  <c r="E243" i="136"/>
  <c r="E31" i="136"/>
  <c r="E184" i="136"/>
  <c r="D87" i="136"/>
  <c r="D178" i="136"/>
  <c r="E222" i="136"/>
  <c r="E87" i="136"/>
  <c r="D218" i="136"/>
  <c r="D226" i="136"/>
  <c r="E226" i="136"/>
  <c r="E154" i="136"/>
  <c r="D82" i="136"/>
  <c r="E239" i="136"/>
  <c r="E215" i="136"/>
  <c r="E63" i="136"/>
  <c r="E263" i="136"/>
  <c r="D163" i="136"/>
  <c r="D135" i="136"/>
  <c r="E170" i="136"/>
  <c r="D151" i="136"/>
  <c r="D160" i="136"/>
  <c r="D71" i="136"/>
  <c r="D237" i="136"/>
  <c r="D145" i="136"/>
  <c r="D261" i="136"/>
  <c r="E75" i="136"/>
  <c r="E177" i="136"/>
  <c r="D216" i="136"/>
  <c r="E242" i="136"/>
  <c r="D248" i="136"/>
  <c r="E115" i="136"/>
  <c r="D88" i="136"/>
  <c r="D148" i="136"/>
  <c r="E166" i="136"/>
  <c r="D89" i="136"/>
  <c r="D203" i="136"/>
  <c r="D174" i="136"/>
  <c r="D31" i="136"/>
  <c r="D167" i="136"/>
  <c r="D66" i="136"/>
  <c r="E182" i="136"/>
  <c r="D264" i="136"/>
  <c r="E246" i="136"/>
  <c r="E172" i="136"/>
  <c r="D46" i="136"/>
  <c r="E186" i="136"/>
  <c r="D99" i="136"/>
  <c r="D207" i="136"/>
  <c r="D195" i="136"/>
  <c r="E39" i="136"/>
  <c r="E167" i="136"/>
  <c r="D24" i="136"/>
  <c r="D114" i="136"/>
  <c r="D119" i="136"/>
  <c r="D75" i="136"/>
  <c r="D132" i="136"/>
  <c r="E82" i="136"/>
  <c r="D242" i="136"/>
  <c r="D175" i="136"/>
  <c r="D241" i="136"/>
  <c r="D51" i="136"/>
  <c r="D78" i="136"/>
  <c r="E22" i="136"/>
  <c r="E101" i="136"/>
  <c r="D246" i="136"/>
  <c r="E194" i="136"/>
  <c r="D190" i="136"/>
  <c r="D95" i="136"/>
  <c r="D258" i="136"/>
  <c r="E114" i="136"/>
  <c r="D263" i="136"/>
  <c r="D272" i="136"/>
  <c r="E174" i="136"/>
  <c r="E34" i="136"/>
  <c r="D122" i="136"/>
  <c r="D16" i="136"/>
  <c r="D146" i="136"/>
  <c r="E27" i="136"/>
  <c r="E86" i="136"/>
  <c r="D185" i="136"/>
  <c r="D81" i="136"/>
  <c r="D213" i="136"/>
  <c r="E94" i="136"/>
  <c r="E262" i="136"/>
  <c r="D121" i="136"/>
  <c r="D205" i="136"/>
  <c r="E120" i="136"/>
  <c r="E183" i="136"/>
  <c r="D109" i="136"/>
  <c r="D96" i="136"/>
  <c r="E68" i="136"/>
  <c r="D233" i="136"/>
  <c r="E55" i="136"/>
  <c r="D225" i="136"/>
  <c r="E103" i="136"/>
  <c r="D57" i="136"/>
  <c r="E51" i="136"/>
  <c r="E54" i="136"/>
  <c r="D180" i="136"/>
  <c r="E118" i="136"/>
  <c r="D157" i="136"/>
  <c r="E47" i="136"/>
  <c r="D32" i="136"/>
  <c r="D182" i="136"/>
  <c r="E248" i="136"/>
  <c r="D77" i="136"/>
  <c r="E231" i="136"/>
  <c r="D265" i="136"/>
  <c r="D179" i="136"/>
  <c r="D159" i="136"/>
  <c r="E210" i="136"/>
  <c r="E135" i="136"/>
  <c r="D202" i="136"/>
  <c r="D142" i="136"/>
  <c r="D15" i="136"/>
  <c r="E4" i="136"/>
  <c r="E260" i="136"/>
  <c r="D255" i="136"/>
  <c r="D187" i="136"/>
  <c r="D91" i="136"/>
  <c r="D270" i="136"/>
  <c r="D251" i="136"/>
  <c r="D103" i="136"/>
  <c r="E122" i="136"/>
  <c r="D158" i="136"/>
  <c r="E80" i="136"/>
  <c r="E58" i="136"/>
  <c r="E266" i="136"/>
  <c r="D143" i="136"/>
  <c r="D131" i="136"/>
  <c r="E25" i="136"/>
  <c r="D150" i="136"/>
  <c r="D72" i="136"/>
  <c r="E191" i="136"/>
  <c r="D98" i="136"/>
  <c r="D224" i="136"/>
  <c r="E62" i="136"/>
  <c r="E230" i="136"/>
  <c r="D105" i="136"/>
  <c r="D60" i="136"/>
  <c r="D43" i="136"/>
  <c r="E258" i="136"/>
  <c r="D36" i="136"/>
  <c r="E44" i="136"/>
  <c r="E234" i="136"/>
  <c r="D186" i="136"/>
  <c r="D110" i="136"/>
  <c r="D210" i="136"/>
  <c r="D172" i="136"/>
  <c r="D113" i="136"/>
  <c r="D253" i="136"/>
  <c r="D169" i="136"/>
  <c r="E7" i="136"/>
  <c r="D269" i="136"/>
  <c r="E119" i="136"/>
  <c r="E247" i="136"/>
  <c r="D90" i="136"/>
  <c r="D33" i="136"/>
  <c r="E66" i="136"/>
  <c r="D231" i="136"/>
  <c r="D147" i="136"/>
  <c r="E274" i="136"/>
  <c r="E202" i="136"/>
  <c r="E10" i="136"/>
  <c r="D154" i="136"/>
  <c r="D126" i="136"/>
  <c r="D206" i="136"/>
  <c r="D259" i="136"/>
  <c r="D4" i="136"/>
  <c r="AP2" i="123"/>
  <c r="E2" i="135"/>
  <c r="F45" i="135"/>
  <c r="F2" i="135" s="1"/>
  <c r="D275" i="136" l="1"/>
  <c r="E275" i="136"/>
  <c r="AQ2" i="123"/>
  <c r="G45" i="135"/>
  <c r="G2" i="135" s="1"/>
  <c r="H45" i="135" l="1"/>
  <c r="J45" i="135" l="1"/>
  <c r="M45" i="135"/>
  <c r="O45" i="135"/>
  <c r="N45" i="135"/>
  <c r="K45" i="135"/>
  <c r="L45" i="135"/>
  <c r="K1" i="135" l="1"/>
  <c r="K2" i="135"/>
  <c r="N1" i="135"/>
  <c r="N2" i="135"/>
  <c r="L1" i="135"/>
  <c r="L2" i="135"/>
  <c r="O1" i="135"/>
  <c r="O2" i="135"/>
  <c r="M2" i="135"/>
  <c r="M1" i="135"/>
  <c r="J2" i="135"/>
  <c r="I45" i="135"/>
  <c r="I1" i="135" s="1"/>
  <c r="J1" i="1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Kaggwa</author>
  </authors>
  <commentList>
    <comment ref="L7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Kaggwa:</t>
        </r>
        <r>
          <rPr>
            <sz val="9"/>
            <color indexed="81"/>
            <rFont val="Tahoma"/>
            <family val="2"/>
          </rPr>
          <t xml:space="preserve">
Loan Application</t>
        </r>
      </text>
    </comment>
  </commentList>
</comments>
</file>

<file path=xl/sharedStrings.xml><?xml version="1.0" encoding="utf-8"?>
<sst xmlns="http://schemas.openxmlformats.org/spreadsheetml/2006/main" count="15269" uniqueCount="2541">
  <si>
    <t>Trans-Date</t>
  </si>
  <si>
    <t>Age</t>
  </si>
  <si>
    <t>PERFORMANCE REPORTS</t>
  </si>
  <si>
    <t>AND</t>
  </si>
  <si>
    <t>FINANCIAL STATEMENTS</t>
  </si>
  <si>
    <t>REPORTING DATE</t>
  </si>
  <si>
    <t>Prepared by:</t>
  </si>
  <si>
    <t>WANACHI MICROFINANCE</t>
  </si>
  <si>
    <t>Management</t>
  </si>
  <si>
    <t>Back to Menu</t>
  </si>
  <si>
    <t>About the Company</t>
  </si>
  <si>
    <t>REGISTERED OFFICE:</t>
  </si>
  <si>
    <t>Mission:</t>
  </si>
  <si>
    <t>Vision:</t>
  </si>
  <si>
    <t>Core values:</t>
  </si>
  <si>
    <t>Overall Goal</t>
  </si>
  <si>
    <t>Strategic objectives:</t>
  </si>
  <si>
    <t>Today's Date:</t>
  </si>
  <si>
    <t>MENU</t>
  </si>
  <si>
    <t>REPORTS AND DATA</t>
  </si>
  <si>
    <t>S/N</t>
  </si>
  <si>
    <t>Regn Date</t>
  </si>
  <si>
    <t>Account Name</t>
  </si>
  <si>
    <t>Account No.</t>
  </si>
  <si>
    <t>Acct Type</t>
  </si>
  <si>
    <t>STAF</t>
  </si>
  <si>
    <t>Resp Officer</t>
  </si>
  <si>
    <t>Contact1</t>
  </si>
  <si>
    <t>Contact2</t>
  </si>
  <si>
    <t>Gender</t>
  </si>
  <si>
    <t>D.O.B</t>
  </si>
  <si>
    <t>Marital Status</t>
  </si>
  <si>
    <t>Occupation</t>
  </si>
  <si>
    <t>Business Location</t>
  </si>
  <si>
    <t>Residence</t>
  </si>
  <si>
    <t>ID Type</t>
  </si>
  <si>
    <t>ID Num</t>
  </si>
  <si>
    <t>ID Expiry Date</t>
  </si>
  <si>
    <t>Next of Kin (NoK)</t>
  </si>
  <si>
    <t>NoK R/Ship</t>
  </si>
  <si>
    <t>NoK Contact1</t>
  </si>
  <si>
    <t>NoK Contact2</t>
  </si>
  <si>
    <t>Comments</t>
  </si>
  <si>
    <t>Remarks</t>
  </si>
  <si>
    <t>TABAN NICHOLAS</t>
  </si>
  <si>
    <t>LEYA ROSE</t>
  </si>
  <si>
    <t>EDERU EMMILLY</t>
  </si>
  <si>
    <t>AYIKI MAWA</t>
  </si>
  <si>
    <t>AMUTE BASHIR</t>
  </si>
  <si>
    <t>CHANGE MOHAMMUDU</t>
  </si>
  <si>
    <t>ALEMI THOMAS</t>
  </si>
  <si>
    <t>TABAN DAVID YAYA</t>
  </si>
  <si>
    <t>WARU ARIEYE VALENTINA CHARLES</t>
  </si>
  <si>
    <t>ARIME JUMA</t>
  </si>
  <si>
    <t>DRELIA SIMON DEADSON</t>
  </si>
  <si>
    <t>ALLONE AMOS DAMAI</t>
  </si>
  <si>
    <t>ASIKU ROMANO ADEBUA</t>
  </si>
  <si>
    <t>NATOSHA LUCY</t>
  </si>
  <si>
    <t>OKELLO ACTION</t>
  </si>
  <si>
    <t>ARIYE PEACE</t>
  </si>
  <si>
    <t>ANGUPARU MOLLY</t>
  </si>
  <si>
    <t>ANDEZO KEVIN</t>
  </si>
  <si>
    <t>ESABORU EUNICE</t>
  </si>
  <si>
    <t>DATA ISMAIL FATARI</t>
  </si>
  <si>
    <t>BADARU KEVIN ATELIONGA</t>
  </si>
  <si>
    <t>VITA JEROME</t>
  </si>
  <si>
    <t>AROMA BOSCO</t>
  </si>
  <si>
    <t>AMIJI HARRIET</t>
  </si>
  <si>
    <t>KANA GIFT</t>
  </si>
  <si>
    <t>FAIDA GRACE</t>
  </si>
  <si>
    <t>AJIBA ROSEMARY EMMANUEL</t>
  </si>
  <si>
    <t>SITARAYA PATRICIA IDERU</t>
  </si>
  <si>
    <t>MUNDURU HARRIET</t>
  </si>
  <si>
    <t>BAKO LINA ESERU</t>
  </si>
  <si>
    <t>MUZEE OMAR</t>
  </si>
  <si>
    <t>APEKURU FLORENCE</t>
  </si>
  <si>
    <t>ALEZUYO DOCUS</t>
  </si>
  <si>
    <t>AMANIYO CHRISTINE</t>
  </si>
  <si>
    <t>WANDWALI AMISI</t>
  </si>
  <si>
    <t>ANGUZU CHRIS RONALD</t>
  </si>
  <si>
    <t>ORODRIYO SUMAYA HARRIET</t>
  </si>
  <si>
    <t>TABU JANE</t>
  </si>
  <si>
    <t>CUST</t>
  </si>
  <si>
    <t>Male</t>
  </si>
  <si>
    <t>Female</t>
  </si>
  <si>
    <t>Married</t>
  </si>
  <si>
    <t>Single</t>
  </si>
  <si>
    <t>Banker/staff</t>
  </si>
  <si>
    <t>Business woman</t>
  </si>
  <si>
    <t>Business Man</t>
  </si>
  <si>
    <t>None</t>
  </si>
  <si>
    <t>Farmer</t>
  </si>
  <si>
    <t>Porter</t>
  </si>
  <si>
    <t>Teacher</t>
  </si>
  <si>
    <t>Prison Warder</t>
  </si>
  <si>
    <t>Amiji road</t>
  </si>
  <si>
    <t>Markert Lane</t>
  </si>
  <si>
    <t>Angirigo Village</t>
  </si>
  <si>
    <t>Sinyani Village</t>
  </si>
  <si>
    <t>Market Square</t>
  </si>
  <si>
    <t>Alimakodra Village</t>
  </si>
  <si>
    <t>Gbogbu Village</t>
  </si>
  <si>
    <t>Lobojo Village</t>
  </si>
  <si>
    <t>Degbelenga Village</t>
  </si>
  <si>
    <t>Central Cell</t>
  </si>
  <si>
    <t>Gbukutu Prinons</t>
  </si>
  <si>
    <t>Irepenga Cell</t>
  </si>
  <si>
    <t>Lipa Cell</t>
  </si>
  <si>
    <t>Ombaci Cell</t>
  </si>
  <si>
    <t>Abele  Cell</t>
  </si>
  <si>
    <t>Driver</t>
  </si>
  <si>
    <t>WFP</t>
  </si>
  <si>
    <t>Gbulagbulanga Village</t>
  </si>
  <si>
    <t>Yibongo village</t>
  </si>
  <si>
    <t>Isoko Village</t>
  </si>
  <si>
    <t>Arumaji Village</t>
  </si>
  <si>
    <t>Market Square Village</t>
  </si>
  <si>
    <t>Pakayo Village</t>
  </si>
  <si>
    <t>Ombaci Market</t>
  </si>
  <si>
    <t>Gbukutu cell</t>
  </si>
  <si>
    <t>Erepenga Village</t>
  </si>
  <si>
    <t>Nyeluwa</t>
  </si>
  <si>
    <t>Anyipira Cell</t>
  </si>
  <si>
    <t>Dikasinga</t>
  </si>
  <si>
    <t>Abele cell</t>
  </si>
  <si>
    <t xml:space="preserve">Mijale </t>
  </si>
  <si>
    <t>Apa</t>
  </si>
  <si>
    <t>National ID</t>
  </si>
  <si>
    <t>CM790661013D1J</t>
  </si>
  <si>
    <t>CF47066100A02J</t>
  </si>
  <si>
    <t>CF87066102FH4C</t>
  </si>
  <si>
    <t>CM88066100W3ZL</t>
  </si>
  <si>
    <t>CM68066100PORJ</t>
  </si>
  <si>
    <t>CM79066101V1CH</t>
  </si>
  <si>
    <t>CM93066100TFKE</t>
  </si>
  <si>
    <t>CM85066102CT4C</t>
  </si>
  <si>
    <t>SSD ID</t>
  </si>
  <si>
    <t>CM580661011GWD</t>
  </si>
  <si>
    <t>CM77066103566C</t>
  </si>
  <si>
    <t>CM47066100YKDJ</t>
  </si>
  <si>
    <t>CM92002103665A</t>
  </si>
  <si>
    <t>CF80066102FF4A</t>
  </si>
  <si>
    <t>CM8808810411UE</t>
  </si>
  <si>
    <t>CM88066102TD4J</t>
  </si>
  <si>
    <t>CF84066102E12K</t>
  </si>
  <si>
    <t>CF920771026X3J</t>
  </si>
  <si>
    <t>CF90077104UTE</t>
  </si>
  <si>
    <t>CF89002108PCEK</t>
  </si>
  <si>
    <t>CM92066100A3TA</t>
  </si>
  <si>
    <t>CF83066102TYMK</t>
  </si>
  <si>
    <t>CF88053100ZRYD</t>
  </si>
  <si>
    <t>CF880531044HNA</t>
  </si>
  <si>
    <t>CF84053104Q9QC</t>
  </si>
  <si>
    <t>CM96066102F6MC</t>
  </si>
  <si>
    <t>CF8500210EK9XJ</t>
  </si>
  <si>
    <t>CF97077104YV0J</t>
  </si>
  <si>
    <t>CF9000210D94LF</t>
  </si>
  <si>
    <t>CM84026101EVFK</t>
  </si>
  <si>
    <t>CM9004010288HC</t>
  </si>
  <si>
    <t>CF850661015VTL</t>
  </si>
  <si>
    <t>Wacheke Harriet</t>
  </si>
  <si>
    <t>Spouse</t>
  </si>
  <si>
    <t>Baiga Ronald</t>
  </si>
  <si>
    <t>Son</t>
  </si>
  <si>
    <t>Twaha Gbagbe</t>
  </si>
  <si>
    <t>Sabote Sunday</t>
  </si>
  <si>
    <t>Ayikule Mubrak</t>
  </si>
  <si>
    <t>Linda Shiham</t>
  </si>
  <si>
    <t>Daughter</t>
  </si>
  <si>
    <t>kana Moes</t>
  </si>
  <si>
    <t>Apuku LUCY</t>
  </si>
  <si>
    <t>Wife</t>
  </si>
  <si>
    <t>Zubeda</t>
  </si>
  <si>
    <t>Sister</t>
  </si>
  <si>
    <t>Nobert Nasur</t>
  </si>
  <si>
    <t>Mirembe Caro</t>
  </si>
  <si>
    <t>Asiku Emanuel</t>
  </si>
  <si>
    <t>Ojogo Simon</t>
  </si>
  <si>
    <t>Winny Taibo</t>
  </si>
  <si>
    <t xml:space="preserve">Geria Oliver </t>
  </si>
  <si>
    <t>Mansur Amin</t>
  </si>
  <si>
    <t>Father</t>
  </si>
  <si>
    <t>Bran Abui</t>
  </si>
  <si>
    <t>Ungua Denis</t>
  </si>
  <si>
    <t>Husband</t>
  </si>
  <si>
    <t>Matuga Justo</t>
  </si>
  <si>
    <t>Geofrey Eyotre</t>
  </si>
  <si>
    <t>Zainab Eunice</t>
  </si>
  <si>
    <t>Russell Regina</t>
  </si>
  <si>
    <t>Toko Godfrey</t>
  </si>
  <si>
    <t>Eyotaru Scovia</t>
  </si>
  <si>
    <t>Sakaya Caroline</t>
  </si>
  <si>
    <t>Adam Habib</t>
  </si>
  <si>
    <t>Richard Jonathan</t>
  </si>
  <si>
    <t>Amaniyo Christine</t>
  </si>
  <si>
    <t xml:space="preserve">Friend </t>
  </si>
  <si>
    <t>Arike Joel</t>
  </si>
  <si>
    <t>Hassan Mubahti</t>
  </si>
  <si>
    <t>Brother</t>
  </si>
  <si>
    <t>Tajitha Faith</t>
  </si>
  <si>
    <t>Joan Julie</t>
  </si>
  <si>
    <t>Total</t>
  </si>
  <si>
    <t>ANGUYO RONALD</t>
  </si>
  <si>
    <t>ABAU   NOLA</t>
  </si>
  <si>
    <t>APUNIKI LOICE</t>
  </si>
  <si>
    <t>CANDIRU HELLEN</t>
  </si>
  <si>
    <t>SANYA DONALD</t>
  </si>
  <si>
    <t>ALIO YUDA</t>
  </si>
  <si>
    <t>DAWA AMINA</t>
  </si>
  <si>
    <t>BAKO KASIA</t>
  </si>
  <si>
    <t>MAWUZU SARAH</t>
  </si>
  <si>
    <t>WACHEKE HARRIET</t>
  </si>
  <si>
    <t>AYILE STEPHEN</t>
  </si>
  <si>
    <t>EDEZU PEACE IRENE</t>
  </si>
  <si>
    <t>KALSUMU INNOCENT</t>
  </si>
  <si>
    <t>MANENO ANIFA</t>
  </si>
  <si>
    <t>SOKOLA SHARON</t>
  </si>
  <si>
    <t>ALOMO ZABIBU</t>
  </si>
  <si>
    <t>ASERU SCOVIA</t>
  </si>
  <si>
    <t xml:space="preserve">ALIRU AMINA </t>
  </si>
  <si>
    <t>ONZIA AGNES</t>
  </si>
  <si>
    <t>MATURU ALICE</t>
  </si>
  <si>
    <t>AREDU RUKIA</t>
  </si>
  <si>
    <t>DUDU ARIKE</t>
  </si>
  <si>
    <t>AWURU KADARA</t>
  </si>
  <si>
    <t>AKINO JUDITH</t>
  </si>
  <si>
    <t>NDAWULA GERALD</t>
  </si>
  <si>
    <t>DENAYA NYAMAZA</t>
  </si>
  <si>
    <t>KEBITA SAUDA</t>
  </si>
  <si>
    <t>CHANDIA  RAHIMA</t>
  </si>
  <si>
    <t>SADIA JOYCE</t>
  </si>
  <si>
    <t>BUGA ALIKIA PHILLIP</t>
  </si>
  <si>
    <t>AYIKORU HARIET BAUDI</t>
  </si>
  <si>
    <t>MUNDURU MERCY</t>
  </si>
  <si>
    <t>AJONYE DEBORA</t>
  </si>
  <si>
    <t>YUKUWE AISHA</t>
  </si>
  <si>
    <t>MUKULIA JAMES</t>
  </si>
  <si>
    <t>DAWA AISHA</t>
  </si>
  <si>
    <t>CACA FATUMA</t>
  </si>
  <si>
    <t>DIPIYO BEATRICE JOHN</t>
  </si>
  <si>
    <t>PASI SENYA</t>
  </si>
  <si>
    <t>ARIYE AISHA</t>
  </si>
  <si>
    <t>ADAM ZAITUN</t>
  </si>
  <si>
    <t>ADUNA MANENO</t>
  </si>
  <si>
    <t>NEVER ZULAIKA</t>
  </si>
  <si>
    <t>OMEGA  CHARLES</t>
  </si>
  <si>
    <t>CEASER SWALEH</t>
  </si>
  <si>
    <t>AMANIYO JOYCE</t>
  </si>
  <si>
    <t>FAIDA ZUBEDA</t>
  </si>
  <si>
    <t>FAIDA HARRIET</t>
  </si>
  <si>
    <t>ANDA FLORENCE</t>
  </si>
  <si>
    <t>ZABIBU RAJAB SAIDI</t>
  </si>
  <si>
    <t>CHANDIRU SALILA</t>
  </si>
  <si>
    <t>FAIDA ZAKIYA</t>
  </si>
  <si>
    <t>YOSSA BRAXTON JOHN</t>
  </si>
  <si>
    <t>NGINYA RICHARD</t>
  </si>
  <si>
    <t>MUNDURU SIFA</t>
  </si>
  <si>
    <t>AKANDU NIGHT YONGORO</t>
  </si>
  <si>
    <t>DRANDUA JOB CHRISPUS</t>
  </si>
  <si>
    <t>AMANIYO CLARA</t>
  </si>
  <si>
    <t>SIJALI ASINA SIS</t>
  </si>
  <si>
    <t>LETAYO DORCUS</t>
  </si>
  <si>
    <t>AYIKO STEPHEN</t>
  </si>
  <si>
    <t>BATALI GODFREY JOHN</t>
  </si>
  <si>
    <t>CHANDIRU ZABIB</t>
  </si>
  <si>
    <t>IDIRA ALIMA</t>
  </si>
  <si>
    <t>NUKA ROSE</t>
  </si>
  <si>
    <t>ORODRIYO  NUSURA</t>
  </si>
  <si>
    <t>LAKONY PETER</t>
  </si>
  <si>
    <t>DUDU JOICE</t>
  </si>
  <si>
    <t>TABU KISA</t>
  </si>
  <si>
    <t>ANDAKU CHARLES JULIAN</t>
  </si>
  <si>
    <t>NURA JOYCE</t>
  </si>
  <si>
    <t>ATIKU AMULE ISAAC</t>
  </si>
  <si>
    <t>ONZIA EMMILY</t>
  </si>
  <si>
    <t>AYIKE SAUDA</t>
  </si>
  <si>
    <t>ONZIA LUCY</t>
  </si>
  <si>
    <t>MAWA JACKSON</t>
  </si>
  <si>
    <t>ONYANGO CHARLES JOGOO</t>
  </si>
  <si>
    <t>STELLA KONGAI</t>
  </si>
  <si>
    <t>ALORO SADIKI</t>
  </si>
  <si>
    <t>AMAYO CHARLES</t>
  </si>
  <si>
    <t>NABWETEME MILLY</t>
  </si>
  <si>
    <t>INZIKURU JANET</t>
  </si>
  <si>
    <t>TIKO ZABIBU</t>
  </si>
  <si>
    <t>SUNDAY SCOVIA</t>
  </si>
  <si>
    <t>OGWAL STEPHEN GERALD</t>
  </si>
  <si>
    <t>TIKO RUKIA</t>
  </si>
  <si>
    <t>AJONYE BETTY</t>
  </si>
  <si>
    <t>BAKO ASINA</t>
  </si>
  <si>
    <t>AYILE JOHN MAX</t>
  </si>
  <si>
    <t>CANDIRU ZAKIA</t>
  </si>
  <si>
    <t>MANIYO JOICE</t>
  </si>
  <si>
    <t>JABE MARY</t>
  </si>
  <si>
    <t>TABU NATALIYA</t>
  </si>
  <si>
    <t>SARIF SAIDI</t>
  </si>
  <si>
    <t>LEMERIGA GODWILL JOSEPH</t>
  </si>
  <si>
    <t>YAKANI CHARLES</t>
  </si>
  <si>
    <t xml:space="preserve">Teacher </t>
  </si>
  <si>
    <t>Leiko</t>
  </si>
  <si>
    <t>Anjinjin</t>
  </si>
  <si>
    <t>CM93077103FAJK</t>
  </si>
  <si>
    <t>Mungudri Menaham</t>
  </si>
  <si>
    <t>Collegue</t>
  </si>
  <si>
    <t>CF91066102VHNC</t>
  </si>
  <si>
    <t>Chandiga Cyrus</t>
  </si>
  <si>
    <t>Nyangilia</t>
  </si>
  <si>
    <t>CF94066102JHKG</t>
  </si>
  <si>
    <t>Ngota Moses</t>
  </si>
  <si>
    <t>CF76066101JNHG</t>
  </si>
  <si>
    <t>Gedeon Idoru</t>
  </si>
  <si>
    <t>Gaagaa</t>
  </si>
  <si>
    <t>CM800661003Q2L</t>
  </si>
  <si>
    <t>Atiki Clovis Pitia</t>
  </si>
  <si>
    <t>Midia</t>
  </si>
  <si>
    <t>CM66066101UQ3E</t>
  </si>
  <si>
    <t>Onzia Betty</t>
  </si>
  <si>
    <t>Malenga</t>
  </si>
  <si>
    <t>CF91066103HE8K</t>
  </si>
  <si>
    <t>Anguyo Sharif</t>
  </si>
  <si>
    <t>CF860531035A9J</t>
  </si>
  <si>
    <t>Maturu Alice</t>
  </si>
  <si>
    <t>CF85053101WQKA</t>
  </si>
  <si>
    <t>Abdulaziz Speak</t>
  </si>
  <si>
    <t>CF98066102HP9K</t>
  </si>
  <si>
    <t>Taban Nicholas</t>
  </si>
  <si>
    <t>Koboko</t>
  </si>
  <si>
    <t>CM96066102JUUE</t>
  </si>
  <si>
    <t>Issa Moumba</t>
  </si>
  <si>
    <t>CF850771028FMK</t>
  </si>
  <si>
    <t>Adiga Kennedy</t>
  </si>
  <si>
    <t>Drunyo</t>
  </si>
  <si>
    <t>CF88029101QW9C</t>
  </si>
  <si>
    <t>Osobasi Siraj</t>
  </si>
  <si>
    <t>CF84066101W70H</t>
  </si>
  <si>
    <t>Ase Zainabu</t>
  </si>
  <si>
    <t>Abele  market</t>
  </si>
  <si>
    <t>CF99066106U6FG</t>
  </si>
  <si>
    <t>Dawa Arafah</t>
  </si>
  <si>
    <t>Abele market</t>
  </si>
  <si>
    <t>CF8905310336PA</t>
  </si>
  <si>
    <t>Lesson Razak</t>
  </si>
  <si>
    <t>CF89002107D5VJ</t>
  </si>
  <si>
    <t>Fetaru Benitah</t>
  </si>
  <si>
    <t>CF81066101UHFF</t>
  </si>
  <si>
    <t>Musema Musa</t>
  </si>
  <si>
    <t>Kululu cell</t>
  </si>
  <si>
    <t>CF7406610313CA</t>
  </si>
  <si>
    <t>Asiki Peter</t>
  </si>
  <si>
    <t>Ombaci market</t>
  </si>
  <si>
    <t>ombaci cell</t>
  </si>
  <si>
    <t>CF80077102QJXK</t>
  </si>
  <si>
    <t>Adriko Brian</t>
  </si>
  <si>
    <t>son</t>
  </si>
  <si>
    <t>Sinyani Cell</t>
  </si>
  <si>
    <t>CF72066102KW9A</t>
  </si>
  <si>
    <t>Ayikoru Rehma</t>
  </si>
  <si>
    <t>CF65066101X7UF</t>
  </si>
  <si>
    <t>Yukuwe Fatuma</t>
  </si>
  <si>
    <t>CF65066101UHTK</t>
  </si>
  <si>
    <t>CF900771019Y6J</t>
  </si>
  <si>
    <t>Lamwaka Tyra Ruth</t>
  </si>
  <si>
    <t>CM730821052NGL</t>
  </si>
  <si>
    <t>Julius Wandungu</t>
  </si>
  <si>
    <t>Mondukudu Cell</t>
  </si>
  <si>
    <t>CM98066101H0DG</t>
  </si>
  <si>
    <t>Shamim Raima Bint Iddi</t>
  </si>
  <si>
    <t>Abele Cell</t>
  </si>
  <si>
    <t>CM840661004HGK</t>
  </si>
  <si>
    <t>Mawa Yakani</t>
  </si>
  <si>
    <t>Ombachi Market</t>
  </si>
  <si>
    <t>Ombachi Cell</t>
  </si>
  <si>
    <t>CF89029102F7GH</t>
  </si>
  <si>
    <t>Beya Majuma</t>
  </si>
  <si>
    <t>Yibongo Village</t>
  </si>
  <si>
    <t>CF74066102KTRJ</t>
  </si>
  <si>
    <t>Simon Lema</t>
  </si>
  <si>
    <t>CM62002108HPTD</t>
  </si>
  <si>
    <t xml:space="preserve">Never Flavia </t>
  </si>
  <si>
    <t>CF770531000DH2F</t>
  </si>
  <si>
    <t>Enzama Jeremy</t>
  </si>
  <si>
    <t>CF82002106NMYL</t>
  </si>
  <si>
    <t>Aluonzi Emmanuel</t>
  </si>
  <si>
    <t>CF58066101DTAH</t>
  </si>
  <si>
    <t>Peter Yeka</t>
  </si>
  <si>
    <t>Arumaji</t>
  </si>
  <si>
    <t>CF75002100FYUJ</t>
  </si>
  <si>
    <t>Swaib Babu</t>
  </si>
  <si>
    <t>CM75066102PVTH</t>
  </si>
  <si>
    <t>Tabu Nataliya</t>
  </si>
  <si>
    <t>CF82066102MQFE</t>
  </si>
  <si>
    <t>Asiku Moses Moro</t>
  </si>
  <si>
    <t>CF71053100DYJK</t>
  </si>
  <si>
    <t>Rashid Kawale</t>
  </si>
  <si>
    <t>CF840661039M1E</t>
  </si>
  <si>
    <t>Anifa Comfort</t>
  </si>
  <si>
    <t>CF92066102MCCL</t>
  </si>
  <si>
    <t>Anthony Given</t>
  </si>
  <si>
    <t>CF780661033R5G</t>
  </si>
  <si>
    <t>Palata Evelyn</t>
  </si>
  <si>
    <t>CF88033107GMXA</t>
  </si>
  <si>
    <t>Kokole Khamis</t>
  </si>
  <si>
    <t>CF900661030WJG</t>
  </si>
  <si>
    <t>Amos Sadam</t>
  </si>
  <si>
    <t>Lurunu</t>
  </si>
  <si>
    <t>CF91066102ET7A</t>
  </si>
  <si>
    <t xml:space="preserve">Ayozu Fadila  </t>
  </si>
  <si>
    <t>Mindrabe</t>
  </si>
  <si>
    <t>CM94066102JVGD</t>
  </si>
  <si>
    <t>Moikili Jackson</t>
  </si>
  <si>
    <t>CM82066101VHDC</t>
  </si>
  <si>
    <t>Abui Habib</t>
  </si>
  <si>
    <t>CF84002106L3JE</t>
  </si>
  <si>
    <t>Asianju Christine</t>
  </si>
  <si>
    <t>CF84066101CRPC</t>
  </si>
  <si>
    <t>Faruku Ayiko</t>
  </si>
  <si>
    <t>CF79068101X4KF</t>
  </si>
  <si>
    <t>Ivan Bangutu</t>
  </si>
  <si>
    <t>CF770661035XML</t>
  </si>
  <si>
    <t>Moses Mawa</t>
  </si>
  <si>
    <t>CF800051026QTH</t>
  </si>
  <si>
    <t>Juma Emmanuel</t>
  </si>
  <si>
    <t>CF70053102DRKG</t>
  </si>
  <si>
    <t>Asiki Kennedy</t>
  </si>
  <si>
    <t>CF930531018JVG</t>
  </si>
  <si>
    <t>Amida Shida</t>
  </si>
  <si>
    <t>CM72066100414E</t>
  </si>
  <si>
    <t>Setaku Milton</t>
  </si>
  <si>
    <t>Indriba</t>
  </si>
  <si>
    <t>CM74066102K45L</t>
  </si>
  <si>
    <t>Joan Harriet</t>
  </si>
  <si>
    <t>CF1066103HE8K</t>
  </si>
  <si>
    <t>Khemisa Gboka</t>
  </si>
  <si>
    <t>CF80066103HJHK</t>
  </si>
  <si>
    <t>Wayiga Shiraj</t>
  </si>
  <si>
    <t>CM87002105G58K</t>
  </si>
  <si>
    <t>Sonny Magrate</t>
  </si>
  <si>
    <t>CF7707710312OG</t>
  </si>
  <si>
    <t>Data Aldo</t>
  </si>
  <si>
    <t>CF96066101XM8G</t>
  </si>
  <si>
    <t>Achidri Akim</t>
  </si>
  <si>
    <t>CF9007710274KH</t>
  </si>
  <si>
    <t>Atayi Amida</t>
  </si>
  <si>
    <t>CM6606610014AH</t>
  </si>
  <si>
    <t xml:space="preserve">Glad  Getrude </t>
  </si>
  <si>
    <t>CM950661015TF</t>
  </si>
  <si>
    <t>Anifa Sumbua</t>
  </si>
  <si>
    <t>CF7905310295JJ</t>
  </si>
  <si>
    <t>Awuga Safik</t>
  </si>
  <si>
    <t>CF7206610375JC</t>
  </si>
  <si>
    <t>Ropani Kalsum</t>
  </si>
  <si>
    <t>CF75066102K1VF</t>
  </si>
  <si>
    <t>Kereke Clara</t>
  </si>
  <si>
    <t>CF750771011ZUG</t>
  </si>
  <si>
    <t>Faiza</t>
  </si>
  <si>
    <t>CM2110100EKFH</t>
  </si>
  <si>
    <t>Oyela Consy</t>
  </si>
  <si>
    <t>CF74066107598F</t>
  </si>
  <si>
    <t>Victor Sabir</t>
  </si>
  <si>
    <t>Nyarilo</t>
  </si>
  <si>
    <t>CF85066101AFKG</t>
  </si>
  <si>
    <t>Morning Eve</t>
  </si>
  <si>
    <t>Replacement of passbook</t>
  </si>
  <si>
    <t>St Charles Lwanga</t>
  </si>
  <si>
    <t>Lwanga Quarters</t>
  </si>
  <si>
    <t>CM64002103XN5L</t>
  </si>
  <si>
    <t>Amandu Juspers</t>
  </si>
  <si>
    <t>Yibongo cell</t>
  </si>
  <si>
    <t>CF85066101QW7L</t>
  </si>
  <si>
    <t>Taipeles Taban</t>
  </si>
  <si>
    <t>Mindrabe village</t>
  </si>
  <si>
    <t xml:space="preserve">Mindrabe village  </t>
  </si>
  <si>
    <t>CM650661019D1H</t>
  </si>
  <si>
    <t>Atiki Cyril</t>
  </si>
  <si>
    <t>Nyarilo cell</t>
  </si>
  <si>
    <t>CF770661030GZK</t>
  </si>
  <si>
    <t>Milton Banga</t>
  </si>
  <si>
    <t>Anyufira</t>
  </si>
  <si>
    <t>CF81066102PWTL</t>
  </si>
  <si>
    <t>ayile omar</t>
  </si>
  <si>
    <t>CF6306610319RD</t>
  </si>
  <si>
    <t>Jamali  Dickson</t>
  </si>
  <si>
    <t>Mijale</t>
  </si>
  <si>
    <t>Mijale cell</t>
  </si>
  <si>
    <t>CM9106610351HG</t>
  </si>
  <si>
    <t>Mondrutua Morris</t>
  </si>
  <si>
    <t>CM70066101RCFE</t>
  </si>
  <si>
    <t>Amiji Lucy</t>
  </si>
  <si>
    <t>Social worker</t>
  </si>
  <si>
    <t>Ombachi cell</t>
  </si>
  <si>
    <t>CF710431028CLK</t>
  </si>
  <si>
    <t>Gorete Asio</t>
  </si>
  <si>
    <t>Medela village</t>
  </si>
  <si>
    <t>Medelavillage</t>
  </si>
  <si>
    <t>CM850661022MPC</t>
  </si>
  <si>
    <t>Safiki Sadiki</t>
  </si>
  <si>
    <t xml:space="preserve">Mijale cell </t>
  </si>
  <si>
    <t>CM730021071T8D</t>
  </si>
  <si>
    <t>Ocokoru Gloria</t>
  </si>
  <si>
    <t>CF87091100A8RD</t>
  </si>
  <si>
    <t>Nantongo</t>
  </si>
  <si>
    <t>CF8800210C6CFL</t>
  </si>
  <si>
    <t>Drasiku Denis</t>
  </si>
  <si>
    <t>Mijale village</t>
  </si>
  <si>
    <t>CF84066102LMHF</t>
  </si>
  <si>
    <t>Samira Fungaro</t>
  </si>
  <si>
    <t>CF9806610288DD</t>
  </si>
  <si>
    <t>Jesca Rukia</t>
  </si>
  <si>
    <t>CM88001101JMCF</t>
  </si>
  <si>
    <t>Karen Akut</t>
  </si>
  <si>
    <t>Ombachi market</t>
  </si>
  <si>
    <t>CF79066102PNHC</t>
  </si>
  <si>
    <t>Lemeriga Yasin</t>
  </si>
  <si>
    <t>CF820661019TUG</t>
  </si>
  <si>
    <t>Sijali  Queen</t>
  </si>
  <si>
    <t>CF92029102V37L</t>
  </si>
  <si>
    <t>Agiga Adinan</t>
  </si>
  <si>
    <t>Enjabi</t>
  </si>
  <si>
    <t>CM91066103JVOH</t>
  </si>
  <si>
    <t>Tom Lemeri</t>
  </si>
  <si>
    <t>CF780531049JWL</t>
  </si>
  <si>
    <t>Faida Shalama</t>
  </si>
  <si>
    <t>Business Woman</t>
  </si>
  <si>
    <t>Mobile (with Koboko Muncipal)</t>
  </si>
  <si>
    <t>Yibongo B</t>
  </si>
  <si>
    <t>CF7900210LKCGJ</t>
  </si>
  <si>
    <t>Dought Amafeku</t>
  </si>
  <si>
    <t>CF710661025N5C</t>
  </si>
  <si>
    <t>Data Robert</t>
  </si>
  <si>
    <t>CF88066103QMXH</t>
  </si>
  <si>
    <t xml:space="preserve">Betty Cheka </t>
  </si>
  <si>
    <t>Gbulagbulanga</t>
  </si>
  <si>
    <t>CM960661020UNJ</t>
  </si>
  <si>
    <t>Sakia Swib</t>
  </si>
  <si>
    <t>CM98066103VTG</t>
  </si>
  <si>
    <t xml:space="preserve">Akim David </t>
  </si>
  <si>
    <t>Agriculturalist</t>
  </si>
  <si>
    <t>Ainga Cell</t>
  </si>
  <si>
    <t>CM62066102G42C</t>
  </si>
  <si>
    <t>Daniel Tella</t>
  </si>
  <si>
    <t>ITEM DESCRIPTION</t>
  </si>
  <si>
    <t>Office  Safe</t>
  </si>
  <si>
    <t>Delp OP+IPLEX 3060MT-intel 13/4gb/itb/185/tft monitor/keyboard/mouse/1 year warranty</t>
  </si>
  <si>
    <t>Luminous 600VA UPS</t>
  </si>
  <si>
    <t>Kaspersky antivirus</t>
  </si>
  <si>
    <t>Printer PIXMA G2411-USB CABLE INCLUDED S/NO KMBG16294</t>
  </si>
  <si>
    <t>Masking tape 2''</t>
  </si>
  <si>
    <t>Packing tape 2'' 100m clear</t>
  </si>
  <si>
    <t>cellotape 1''</t>
  </si>
  <si>
    <t>masking tape 1''</t>
  </si>
  <si>
    <t>White out</t>
  </si>
  <si>
    <t>Cash book 2Q</t>
  </si>
  <si>
    <t>Analysis book 816(executive)</t>
  </si>
  <si>
    <t>pen smile</t>
  </si>
  <si>
    <t>Punch Kangaroo 520/540</t>
  </si>
  <si>
    <t>Ruler</t>
  </si>
  <si>
    <t>pen Holder/desk organizer</t>
  </si>
  <si>
    <t>stapler kangaroo HP-45</t>
  </si>
  <si>
    <t>Staples 24/6 26/6 kangaroo</t>
  </si>
  <si>
    <t>paper clips 31mm/33mm</t>
  </si>
  <si>
    <t>Trays plastice (ordinary)</t>
  </si>
  <si>
    <t>Box Files (ALBA)</t>
  </si>
  <si>
    <t>Spring files manilla/plastic</t>
  </si>
  <si>
    <t>plastice folders</t>
  </si>
  <si>
    <t>marker snowman</t>
  </si>
  <si>
    <t>Rotatrim photocopy paper A4</t>
  </si>
  <si>
    <t>Imported 3Q counter books</t>
  </si>
  <si>
    <t>Pen Nice (nataraj)</t>
  </si>
  <si>
    <t>Calculators DJ 120</t>
  </si>
  <si>
    <t>Calculators S CX -120</t>
  </si>
  <si>
    <t>Flip chart 60 gsm 50 sheets</t>
  </si>
  <si>
    <t>office  glue 90 Gms</t>
  </si>
  <si>
    <t>Short hand notebooks</t>
  </si>
  <si>
    <t>Highlighter in packets</t>
  </si>
  <si>
    <t>post it pad 303</t>
  </si>
  <si>
    <t>Pencils (Nataraj)</t>
  </si>
  <si>
    <t>Fuel -Petrol</t>
  </si>
  <si>
    <t>Key/Lock Replacement</t>
  </si>
  <si>
    <t>Private Box Number</t>
  </si>
  <si>
    <t xml:space="preserve">Public Annoucement </t>
  </si>
  <si>
    <t>Printing Assorted office stationary(Part payment)</t>
  </si>
  <si>
    <t>Balance payment for the assorted office stationary</t>
  </si>
  <si>
    <t>Bright office money counting machine</t>
  </si>
  <si>
    <t>Transport facilitation and communication for Taban During set up</t>
  </si>
  <si>
    <t>Facilitation for interviewers</t>
  </si>
  <si>
    <t>Rent Payment for wanainchi MFL</t>
  </si>
  <si>
    <t>Office Branding</t>
  </si>
  <si>
    <t>Padlock 266</t>
  </si>
  <si>
    <t xml:space="preserve">Padlock </t>
  </si>
  <si>
    <t>Key holder</t>
  </si>
  <si>
    <t>Liquid Soap</t>
  </si>
  <si>
    <t>Flipchart stand</t>
  </si>
  <si>
    <t>Flipchart 30 sheet</t>
  </si>
  <si>
    <t>Whitboard marker</t>
  </si>
  <si>
    <t>snowman markers</t>
  </si>
  <si>
    <t>Manikin</t>
  </si>
  <si>
    <t>masking tape</t>
  </si>
  <si>
    <t>Municipal council fees</t>
  </si>
  <si>
    <t>Welfare facilitation fees for Staff induction  training</t>
  </si>
  <si>
    <t>Induction training facilitation fees</t>
  </si>
  <si>
    <t>Advance to Alema for accomodation/transport during partition of hall</t>
  </si>
  <si>
    <t>Drimo</t>
  </si>
  <si>
    <t>4 tables, 4 chairs, 3 benches,</t>
  </si>
  <si>
    <t>Mukwano plastic chairs</t>
  </si>
  <si>
    <t>Metalic cardboards</t>
  </si>
  <si>
    <t>Airtel 4g pocket wifi</t>
  </si>
  <si>
    <t>airtel data</t>
  </si>
  <si>
    <t>Cable</t>
  </si>
  <si>
    <t>Power-Electricity</t>
  </si>
  <si>
    <t>A6 envelops</t>
  </si>
  <si>
    <t>Power king cable</t>
  </si>
  <si>
    <t>Vilton Extension cable</t>
  </si>
  <si>
    <t>Power socket premium</t>
  </si>
  <si>
    <t>Padlock Ttricycle 265</t>
  </si>
  <si>
    <t>Padlock -Solex 40mm</t>
  </si>
  <si>
    <t>Soft brush</t>
  </si>
  <si>
    <t>Dustbins</t>
  </si>
  <si>
    <t>Dustpan</t>
  </si>
  <si>
    <t>Jerrycan</t>
  </si>
  <si>
    <t>A4 Envelopes</t>
  </si>
  <si>
    <t>Account opennng Centenary Bank</t>
  </si>
  <si>
    <t>Staff IDS</t>
  </si>
  <si>
    <t>Municipal council fees for sign post</t>
  </si>
  <si>
    <t>Payment for UPS stands</t>
  </si>
  <si>
    <t>Teller chair</t>
  </si>
  <si>
    <t>staff welfare -refreshment</t>
  </si>
  <si>
    <t>staff welfare -lunch</t>
  </si>
  <si>
    <t>Johnston Generator</t>
  </si>
  <si>
    <t>2.5mm flexible pipe</t>
  </si>
  <si>
    <t>Transport of generator from Arua</t>
  </si>
  <si>
    <t>Office landline phone</t>
  </si>
  <si>
    <t>Visitors book</t>
  </si>
  <si>
    <t xml:space="preserve">office airtime </t>
  </si>
  <si>
    <t>MK Box</t>
  </si>
  <si>
    <t>Mk socket</t>
  </si>
  <si>
    <t>Labor for socket &amp; MK Box installation</t>
  </si>
  <si>
    <t>Fuel for testing generator</t>
  </si>
  <si>
    <t>Development of Amortization schedule</t>
  </si>
  <si>
    <t>Repair &amp; Maintenance of printer</t>
  </si>
  <si>
    <t>Transport facilitation to kampala for software development</t>
  </si>
  <si>
    <t>Advance for software payment</t>
  </si>
  <si>
    <t>Purchase of Office TVS motorcycle  UFG 825G</t>
  </si>
  <si>
    <t>Number plate Guard</t>
  </si>
  <si>
    <t>Fueling Transport of motorcycle from Arua</t>
  </si>
  <si>
    <t>Change of Name &amp; Filling of Returns with URA</t>
  </si>
  <si>
    <t>UNIT COST</t>
  </si>
  <si>
    <t>TOTAL COST</t>
  </si>
  <si>
    <t>OFFICER IN CHARGE</t>
  </si>
  <si>
    <t>classic Hub kampala</t>
  </si>
  <si>
    <t>Pieces</t>
  </si>
  <si>
    <t>Robina Obitre Gama</t>
  </si>
  <si>
    <t>PCM</t>
  </si>
  <si>
    <t>Numbers</t>
  </si>
  <si>
    <t>Prime General Supply Limited</t>
  </si>
  <si>
    <t>packet</t>
  </si>
  <si>
    <t>Reams</t>
  </si>
  <si>
    <t>Dozen</t>
  </si>
  <si>
    <t>Litres</t>
  </si>
  <si>
    <t>UBB258L</t>
  </si>
  <si>
    <t>Poster Uganda</t>
  </si>
  <si>
    <t>Alemi William Kenyi</t>
  </si>
  <si>
    <t>Spirit Fm Koboko</t>
  </si>
  <si>
    <t>Wanainchi</t>
  </si>
  <si>
    <t>Vine initiative Limited</t>
  </si>
  <si>
    <t>Scholar supply limited</t>
  </si>
  <si>
    <t>lumpsum</t>
  </si>
  <si>
    <t>Shell Migeera</t>
  </si>
  <si>
    <t>Bonjour Course view station</t>
  </si>
  <si>
    <t>Wanainchi HR</t>
  </si>
  <si>
    <t>people</t>
  </si>
  <si>
    <t>Interviewers</t>
  </si>
  <si>
    <t>Centenary</t>
  </si>
  <si>
    <t>James Bond Yakani</t>
  </si>
  <si>
    <t>Sprintmak Company</t>
  </si>
  <si>
    <t>Spirint Mak</t>
  </si>
  <si>
    <t>Mungu ni mingi Hardware</t>
  </si>
  <si>
    <t>Easy to say</t>
  </si>
  <si>
    <t>Taagi Investment Limited</t>
  </si>
  <si>
    <t>Gurudev Traders limited</t>
  </si>
  <si>
    <t>Centenary Bank</t>
  </si>
  <si>
    <t xml:space="preserve"> Days</t>
  </si>
  <si>
    <t>Staff</t>
  </si>
  <si>
    <t>Kula tano weka tano</t>
  </si>
  <si>
    <t>Bakole mohamudu and sons</t>
  </si>
  <si>
    <t>set</t>
  </si>
  <si>
    <t>Mother and baby</t>
  </si>
  <si>
    <t>Jass EK Nyangua investiments ltd</t>
  </si>
  <si>
    <t>data</t>
  </si>
  <si>
    <t>Mass Electronics koboko</t>
  </si>
  <si>
    <t>Wanreco</t>
  </si>
  <si>
    <t>Korotoa Investments limited</t>
  </si>
  <si>
    <t>Koboko Supermarket Ltd</t>
  </si>
  <si>
    <t>Ultimate Data Centre</t>
  </si>
  <si>
    <t>Koboko Municipal Coincil</t>
  </si>
  <si>
    <t>Amule Sunday</t>
  </si>
  <si>
    <t>Wanainchi Staff</t>
  </si>
  <si>
    <t>Asio Agro Industries (U) Ltd</t>
  </si>
  <si>
    <t>Arua City Suppliers</t>
  </si>
  <si>
    <t>meters</t>
  </si>
  <si>
    <t>Taxi Hire</t>
  </si>
  <si>
    <t>Reach Communication Ltd (MTN)</t>
  </si>
  <si>
    <t>Nilecom LTD</t>
  </si>
  <si>
    <t>Airtime</t>
  </si>
  <si>
    <t>Trust power Electronics</t>
  </si>
  <si>
    <t>Hass Petrol station</t>
  </si>
  <si>
    <t xml:space="preserve">Kagwa Robert </t>
  </si>
  <si>
    <t>Yakani Bosco</t>
  </si>
  <si>
    <t>ALORO FREDERICK</t>
  </si>
  <si>
    <t>ABBA MOTORS LIMITED</t>
  </si>
  <si>
    <t>Muni University Vehicle</t>
  </si>
  <si>
    <t xml:space="preserve">URA </t>
  </si>
  <si>
    <t>Measure</t>
  </si>
  <si>
    <t>Qty</t>
  </si>
  <si>
    <t>Supplier</t>
  </si>
  <si>
    <t>Pcs</t>
  </si>
  <si>
    <t>Type</t>
  </si>
  <si>
    <t>Category</t>
  </si>
  <si>
    <t>Furniture and Fittings</t>
  </si>
  <si>
    <t>Computers and Accessories</t>
  </si>
  <si>
    <t>Office Equipments</t>
  </si>
  <si>
    <t>Opex</t>
  </si>
  <si>
    <t>Capex</t>
  </si>
  <si>
    <t>Rubbers</t>
  </si>
  <si>
    <t>Transport expenses</t>
  </si>
  <si>
    <t>Administration expenses</t>
  </si>
  <si>
    <t>Stationery expenses</t>
  </si>
  <si>
    <t>Advert expenses</t>
  </si>
  <si>
    <t>Rent expenses</t>
  </si>
  <si>
    <t>Branding expenses</t>
  </si>
  <si>
    <t>Training expenses</t>
  </si>
  <si>
    <t>Utility expenses</t>
  </si>
  <si>
    <t>Licence and Permits expenses</t>
  </si>
  <si>
    <t>Cash</t>
  </si>
  <si>
    <t>Cash at Bank</t>
  </si>
  <si>
    <t>Staff welfare expenses</t>
  </si>
  <si>
    <t>Motor Cycle</t>
  </si>
  <si>
    <t>DRAWING BANK</t>
  </si>
  <si>
    <t>DRAWN BY</t>
  </si>
  <si>
    <t>Capital</t>
  </si>
  <si>
    <t>Stanbic Bank</t>
  </si>
  <si>
    <t>Aloro Frederick</t>
  </si>
  <si>
    <t>Equity</t>
  </si>
  <si>
    <t>Pathfinder FSV</t>
  </si>
  <si>
    <t>TOTAL</t>
  </si>
  <si>
    <t>SUMMARY</t>
  </si>
  <si>
    <t>INTEREST RATE (Flat)</t>
  </si>
  <si>
    <t>PEREIOD</t>
  </si>
  <si>
    <t>AMOUNT</t>
  </si>
  <si>
    <t>CAPITAL</t>
  </si>
  <si>
    <t>EQUITY</t>
  </si>
  <si>
    <t>Source</t>
  </si>
  <si>
    <t>Funder</t>
  </si>
  <si>
    <t>Debt</t>
  </si>
  <si>
    <t>Trans Particulars</t>
  </si>
  <si>
    <t>Cheque No. 000004</t>
  </si>
  <si>
    <t>Cheque No. 000005</t>
  </si>
  <si>
    <t>Cheque No. 000006</t>
  </si>
  <si>
    <t>Cheque No. 000007</t>
  </si>
  <si>
    <t>Cheque No. 000008</t>
  </si>
  <si>
    <t>Cheque No. 000009</t>
  </si>
  <si>
    <t>Cash Transaction</t>
  </si>
  <si>
    <t>Debit</t>
  </si>
  <si>
    <t>Credit</t>
  </si>
  <si>
    <t>Balance</t>
  </si>
  <si>
    <t>Bank Charges</t>
  </si>
  <si>
    <r>
      <t xml:space="preserve">Table 4:Summary of the </t>
    </r>
    <r>
      <rPr>
        <b/>
        <sz val="10"/>
        <color theme="1"/>
        <rFont val="Tahoma"/>
        <family val="2"/>
      </rPr>
      <t>Loan Product Features</t>
    </r>
  </si>
  <si>
    <t>Features</t>
  </si>
  <si>
    <t>Business Group Loans</t>
  </si>
  <si>
    <t>Business Individual Loans</t>
  </si>
  <si>
    <t>School Fees Loan</t>
  </si>
  <si>
    <t>Quick Loan 1 week</t>
  </si>
  <si>
    <t>Quick Loan 2 weeks</t>
  </si>
  <si>
    <t>Quick Loan 1 Month</t>
  </si>
  <si>
    <t>Target Customer Segment(s)</t>
  </si>
  <si>
    <t>1.Low and Middle Income Households</t>
  </si>
  <si>
    <t>1.Small and Medium Entrepreneurs</t>
  </si>
  <si>
    <t>2.Gender: Women</t>
  </si>
  <si>
    <t>2.Gender: Men and Women</t>
  </si>
  <si>
    <t>3.Age:18 - 55years</t>
  </si>
  <si>
    <t>3.Age:18- 55 years</t>
  </si>
  <si>
    <t>Lending Methodology</t>
  </si>
  <si>
    <t>Solidarity groups</t>
  </si>
  <si>
    <t>Individual lending</t>
  </si>
  <si>
    <t>Solidarity group/Individual lending</t>
  </si>
  <si>
    <t>Solidarity group /Individual lending</t>
  </si>
  <si>
    <t>Fees Chargeable</t>
  </si>
  <si>
    <t>1.Application fees Ugx 5,000</t>
  </si>
  <si>
    <t>2.Appraisal fees Ugx 5,000</t>
  </si>
  <si>
    <t>Loan  Exposure Limit (Ugx)</t>
  </si>
  <si>
    <t>Min: Ugx 100,000</t>
  </si>
  <si>
    <t>Max: Ugx 1,000,000</t>
  </si>
  <si>
    <t>Max: Ugx 2,000,000</t>
  </si>
  <si>
    <t>Interest Rate (%)</t>
  </si>
  <si>
    <t>Interest Type</t>
  </si>
  <si>
    <t>Simple</t>
  </si>
  <si>
    <t>Interest Calculation Method</t>
  </si>
  <si>
    <t>Flat</t>
  </si>
  <si>
    <t>Accrual of Interest</t>
  </si>
  <si>
    <t>Weekly basis</t>
  </si>
  <si>
    <t>Monthly basis</t>
  </si>
  <si>
    <t xml:space="preserve"> Monthly basis</t>
  </si>
  <si>
    <t>Repayment Method/ Frequency</t>
  </si>
  <si>
    <t>Daily/Weekly/Bi-weekly/Monthly</t>
  </si>
  <si>
    <t>Instalment Size</t>
  </si>
  <si>
    <t>Equal</t>
  </si>
  <si>
    <t>Equal/Unequal</t>
  </si>
  <si>
    <t>Loan Tenor/Term (week)</t>
  </si>
  <si>
    <t>Min-Max: 1Week-3Months</t>
  </si>
  <si>
    <t>Min-Max: 1Week-6Months</t>
  </si>
  <si>
    <t>Min-Max: 1Day-1Week</t>
  </si>
  <si>
    <t>Min-Max: 1Day-2Weeks</t>
  </si>
  <si>
    <t>Min-Max: 1Day-1Month</t>
  </si>
  <si>
    <t>Document(s) Required</t>
  </si>
  <si>
    <t xml:space="preserve">Pass book, Loan Application Form, Promissory Note, LC1 Letter,  Guarantor Form, Photographs, Group Resolution, etc. </t>
  </si>
  <si>
    <t>Trade license(if applicable), LC1 letter (client, guarantor, nominee), Shop agreement/receipt, Photographs</t>
  </si>
  <si>
    <t>Admission letter, School fees structure/circular, source of income to be assessed, account details for payment of fees,</t>
  </si>
  <si>
    <t>To be determined by the purpose of the loan otherwise other verifiable income documents remain the same.</t>
  </si>
  <si>
    <t>Cash cover/Loan Security</t>
  </si>
  <si>
    <t>10% of disbursement amount</t>
  </si>
  <si>
    <t xml:space="preserve">Up to 10% of disbursement amount </t>
  </si>
  <si>
    <t>Up to 10% of disbursement amount</t>
  </si>
  <si>
    <t xml:space="preserve"> Up to 10% of disbursement amount </t>
  </si>
  <si>
    <t>Collateral</t>
  </si>
  <si>
    <t>Applicable</t>
  </si>
  <si>
    <t>Applicable.</t>
  </si>
  <si>
    <t>Form of collateral</t>
  </si>
  <si>
    <t xml:space="preserve">Land title/ Land agreement, Chattels, Lien on compulsory savings, Chattels, Biz machinery, Personal guarantors </t>
  </si>
  <si>
    <t xml:space="preserve"> Land title/ Land agreement, Chattels, Lien on compulsory savings, Chattels, Biz machinery, Personal guarantors</t>
  </si>
  <si>
    <t>Land title/ Land agreement, Chattels, Lien on compulsory savings, Chattels, Biz machinery, personal guarantors</t>
  </si>
  <si>
    <t>Land title/ Land agreement, Chattels, Lien on compulsory savings, Chattels, Biz machinery, Personal guarantors</t>
  </si>
  <si>
    <t>Special Note(s)</t>
  </si>
  <si>
    <t>Wanachi Microfinance Limited</t>
  </si>
  <si>
    <t>P.O.BOX 124, Koboko</t>
  </si>
  <si>
    <t>Telephone:0772816130</t>
  </si>
  <si>
    <t>email: wanaichifm@gmail.com</t>
  </si>
  <si>
    <t>Loan Amount</t>
  </si>
  <si>
    <t>Issued Date</t>
  </si>
  <si>
    <t>Period (Months)</t>
  </si>
  <si>
    <t>Rate (p.m)</t>
  </si>
  <si>
    <t>Principal b/f</t>
  </si>
  <si>
    <t>Princ-Repyt</t>
  </si>
  <si>
    <t>Intrst-Repyt</t>
  </si>
  <si>
    <t>Installment</t>
  </si>
  <si>
    <t>Principal Bal.</t>
  </si>
  <si>
    <t>Lending Institution:</t>
  </si>
  <si>
    <t>Age range</t>
  </si>
  <si>
    <t>Under Age</t>
  </si>
  <si>
    <t>Over Age</t>
  </si>
  <si>
    <t>Age Class</t>
  </si>
  <si>
    <t>Valid Age</t>
  </si>
  <si>
    <t>Trans Date</t>
  </si>
  <si>
    <t>Voucher Ref</t>
  </si>
  <si>
    <t>Client ID</t>
  </si>
  <si>
    <t>Clients</t>
  </si>
  <si>
    <t>Repyt Mode</t>
  </si>
  <si>
    <t>Cash Cover</t>
  </si>
  <si>
    <t>Processing fees</t>
  </si>
  <si>
    <t>Application fees</t>
  </si>
  <si>
    <t>Appraisal fees</t>
  </si>
  <si>
    <t>Monthly</t>
  </si>
  <si>
    <t>Client Names</t>
  </si>
  <si>
    <t>Weekly</t>
  </si>
  <si>
    <t>Jerome</t>
  </si>
  <si>
    <t>Aroma</t>
  </si>
  <si>
    <t>Kana</t>
  </si>
  <si>
    <t>Weeks</t>
  </si>
  <si>
    <t>14/6/2021</t>
  </si>
  <si>
    <t>14/7/2021</t>
  </si>
  <si>
    <t>15/7/2021</t>
  </si>
  <si>
    <t>21/6/2021</t>
  </si>
  <si>
    <t>22/6/2021</t>
  </si>
  <si>
    <t>26/6/2021</t>
  </si>
  <si>
    <t>ACC CODE</t>
  </si>
  <si>
    <t xml:space="preserve"> PRINCIPAL </t>
  </si>
  <si>
    <t>APPN FEES</t>
  </si>
  <si>
    <t>APPR FEES</t>
  </si>
  <si>
    <t>REPAY'T MODE</t>
  </si>
  <si>
    <t>Recovery Date</t>
  </si>
  <si>
    <t>June Recoveries</t>
  </si>
  <si>
    <t>July Recoveries</t>
  </si>
  <si>
    <t>25/6/2021</t>
  </si>
  <si>
    <t>17/6/2022</t>
  </si>
  <si>
    <t>19/6/2024</t>
  </si>
  <si>
    <t>MAMBU BAYI</t>
  </si>
  <si>
    <t>20/6/2025</t>
  </si>
  <si>
    <t>20/6/2023</t>
  </si>
  <si>
    <t>21/6/2026</t>
  </si>
  <si>
    <t>27/6/2021</t>
  </si>
  <si>
    <t>31/6/2021</t>
  </si>
  <si>
    <t>CASH COVER</t>
  </si>
  <si>
    <t>16/7/2021</t>
  </si>
  <si>
    <t>17/7/2021</t>
  </si>
  <si>
    <t>18/7/2021</t>
  </si>
  <si>
    <t>19/7/2021</t>
  </si>
  <si>
    <t>21/7/2021</t>
  </si>
  <si>
    <t>22/7/2021</t>
  </si>
  <si>
    <t>23/7/2021</t>
  </si>
  <si>
    <t>24/7/2021</t>
  </si>
  <si>
    <t>26/7/2021</t>
  </si>
  <si>
    <t>28/7/2021</t>
  </si>
  <si>
    <t>No.</t>
  </si>
  <si>
    <t>Sugar</t>
  </si>
  <si>
    <t>Toilet paper</t>
  </si>
  <si>
    <t>Salt</t>
  </si>
  <si>
    <t>Liquid soap</t>
  </si>
  <si>
    <t>Basin for washing utensils</t>
  </si>
  <si>
    <t>Door mat</t>
  </si>
  <si>
    <t xml:space="preserve"> Refund needed-Credit cost centre</t>
  </si>
  <si>
    <t>Quarterly</t>
  </si>
  <si>
    <t>Bi-Monthly</t>
  </si>
  <si>
    <t>Half-Yearly</t>
  </si>
  <si>
    <t>Yearly</t>
  </si>
  <si>
    <t>MAY DISBURSEMENTS</t>
  </si>
  <si>
    <t>loan Cleared</t>
  </si>
  <si>
    <t>24/6/2021</t>
  </si>
  <si>
    <t>JUNE DISBURSEMENT</t>
  </si>
  <si>
    <t>JULY DISBURSEMENTS</t>
  </si>
  <si>
    <t>27/8/2021</t>
  </si>
  <si>
    <t>14/8/2021</t>
  </si>
  <si>
    <t>15/8/2021</t>
  </si>
  <si>
    <t>25/8/2021</t>
  </si>
  <si>
    <t>17/8/2021</t>
  </si>
  <si>
    <t>19/8/2021</t>
  </si>
  <si>
    <t>22/8/2021</t>
  </si>
  <si>
    <t>23/8/2021</t>
  </si>
  <si>
    <t>24/8/2021</t>
  </si>
  <si>
    <t>26/8/2021</t>
  </si>
  <si>
    <t>28/8/2021</t>
  </si>
  <si>
    <t>30/8/2021</t>
  </si>
  <si>
    <t>Bank/Cash</t>
  </si>
  <si>
    <t>Amount</t>
  </si>
  <si>
    <t>Share Capital</t>
  </si>
  <si>
    <t>Ledger Account</t>
  </si>
  <si>
    <t>Loan Capital</t>
  </si>
  <si>
    <t>Cash Account</t>
  </si>
  <si>
    <t>Cash Contribution</t>
  </si>
  <si>
    <t>Fixed Asset</t>
  </si>
  <si>
    <t>Expenses</t>
  </si>
  <si>
    <t xml:space="preserve">Annoucements/Spirit Fm Koboko </t>
  </si>
  <si>
    <t>5 Mukwano plastic chairs</t>
  </si>
  <si>
    <t>2 Metalic cardboards</t>
  </si>
  <si>
    <t>Account Opening Centenary Bank</t>
  </si>
  <si>
    <t>Bank Initial Deposit</t>
  </si>
  <si>
    <t>2 Plastic chairs/Mukwano</t>
  </si>
  <si>
    <t>Account Title</t>
  </si>
  <si>
    <t>Cash and Bank</t>
  </si>
  <si>
    <t>Summary</t>
  </si>
  <si>
    <t>Assets</t>
  </si>
  <si>
    <t>Liabilities</t>
  </si>
  <si>
    <t>Income</t>
  </si>
  <si>
    <t>Trial Balances</t>
  </si>
  <si>
    <t>Loan Interest</t>
  </si>
  <si>
    <t>Operating expenses</t>
  </si>
  <si>
    <t>Interest expense</t>
  </si>
  <si>
    <t>Depreciation Costs</t>
  </si>
  <si>
    <t>YTD</t>
  </si>
  <si>
    <t>Total Income</t>
  </si>
  <si>
    <t>Total Expenses</t>
  </si>
  <si>
    <t>Profit/Loss before tax</t>
  </si>
  <si>
    <t>Tax provision</t>
  </si>
  <si>
    <t>Profit/Loss for the period</t>
  </si>
  <si>
    <t>Fixed Assets</t>
  </si>
  <si>
    <t>Currents Assets</t>
  </si>
  <si>
    <t>Loan Portfolio Balance</t>
  </si>
  <si>
    <t>TOTAL ASSETS</t>
  </si>
  <si>
    <t>ASSETS</t>
  </si>
  <si>
    <t>Var</t>
  </si>
  <si>
    <t>Business Detailed Transaction Tracker</t>
  </si>
  <si>
    <t>Business Detailed Start-up Costs</t>
  </si>
  <si>
    <t>Department</t>
  </si>
  <si>
    <t>General</t>
  </si>
  <si>
    <t>Teller's Transaction Details</t>
  </si>
  <si>
    <t>Trans-Type</t>
  </si>
  <si>
    <t>CASH-IN</t>
  </si>
  <si>
    <t>CASH-OUT</t>
  </si>
  <si>
    <t>From Vault</t>
  </si>
  <si>
    <t>To Vault</t>
  </si>
  <si>
    <t>Loan Collections</t>
  </si>
  <si>
    <t>Loan Disbursed</t>
  </si>
  <si>
    <t>External Drive/Back-up</t>
  </si>
  <si>
    <t>Teller Transactions</t>
  </si>
  <si>
    <t>Trans Narrations</t>
  </si>
  <si>
    <t>CLIENTS REGISTRY DATABASE</t>
  </si>
  <si>
    <t>BUSINESS EXPENSES TRACKER</t>
  </si>
  <si>
    <t>Trans Details</t>
  </si>
  <si>
    <t>Trans-Category</t>
  </si>
  <si>
    <t>Expense</t>
  </si>
  <si>
    <t>DATA ENTRY</t>
  </si>
  <si>
    <t>CHECK AND CONFIRM</t>
  </si>
  <si>
    <t>BUSINESS REPORTS</t>
  </si>
  <si>
    <t>Acct-Opening</t>
  </si>
  <si>
    <t>PassBook</t>
  </si>
  <si>
    <t>18/11/2024</t>
  </si>
  <si>
    <t>Loan Application fees</t>
  </si>
  <si>
    <t>Loan Appraisal fees</t>
  </si>
  <si>
    <t>Months</t>
  </si>
  <si>
    <t>May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</si>
  <si>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</si>
  <si>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</si>
  <si>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</si>
  <si>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</si>
  <si>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</si>
  <si>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</si>
  <si>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</si>
  <si>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</si>
  <si>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</si>
  <si>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</si>
  <si>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</si>
  <si>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End Date</t>
  </si>
  <si>
    <t>BEATRICE AMANDRU</t>
  </si>
  <si>
    <t xml:space="preserve">DRICHIRU MAIMUNA </t>
  </si>
  <si>
    <t>AYIKORU MARIAM</t>
  </si>
  <si>
    <t>DRAMANI WILFRED</t>
  </si>
  <si>
    <t>TABU MARY</t>
  </si>
  <si>
    <t>MORO HAKIM</t>
  </si>
  <si>
    <t>GBENINGA RUKIA</t>
  </si>
  <si>
    <t>NIGHT ASARA</t>
  </si>
  <si>
    <t>IMBIRA AISHA</t>
  </si>
  <si>
    <t>DRICIRU MARGRET</t>
  </si>
  <si>
    <t>GBOKA ZAIDA</t>
  </si>
  <si>
    <t>SIKA AMIDRA</t>
  </si>
  <si>
    <t>ALOKE KENNEDY</t>
  </si>
  <si>
    <t>MORRO HASSAN</t>
  </si>
  <si>
    <t>ASE ZAINABU</t>
  </si>
  <si>
    <t>ALEMI SEBI</t>
  </si>
  <si>
    <t>ERIMU SAMSON</t>
  </si>
  <si>
    <t>AROMBORAC SIAMA</t>
  </si>
  <si>
    <t>AYITE MARGERT</t>
  </si>
  <si>
    <t>METALORO STEPHEN</t>
  </si>
  <si>
    <t>ALICE AMINA</t>
  </si>
  <si>
    <t>CHANDI ZANABU</t>
  </si>
  <si>
    <t>Window</t>
  </si>
  <si>
    <t>Divorced</t>
  </si>
  <si>
    <t>Koboko market</t>
  </si>
  <si>
    <t>Mijale Midia</t>
  </si>
  <si>
    <t>CF870661008E1D</t>
  </si>
  <si>
    <t>Sethe Kana</t>
  </si>
  <si>
    <t>CF80066106R5EF</t>
  </si>
  <si>
    <t>Yassin Zabib Andisi</t>
  </si>
  <si>
    <t>CF96077107CXDK</t>
  </si>
  <si>
    <t>Ramadan Nasir</t>
  </si>
  <si>
    <t>CM780771047LJG</t>
  </si>
  <si>
    <t>Mungufeni Gerald</t>
  </si>
  <si>
    <t>CF920661034R3F</t>
  </si>
  <si>
    <t>Lubari Gift</t>
  </si>
  <si>
    <t>keri</t>
  </si>
  <si>
    <t>CM750661022V2L</t>
  </si>
  <si>
    <t>Apayi  Amina</t>
  </si>
  <si>
    <t>CF86066100C30L</t>
  </si>
  <si>
    <t>Feni Rasul</t>
  </si>
  <si>
    <t>Abuja Cell</t>
  </si>
  <si>
    <t>CF830661070LVH</t>
  </si>
  <si>
    <t>Driwaru Sauda</t>
  </si>
  <si>
    <t>CF68053102MG5C</t>
  </si>
  <si>
    <t>Tipele Amidu</t>
  </si>
  <si>
    <t>CF60077101A3CK</t>
  </si>
  <si>
    <t>Akuaku Kiziti</t>
  </si>
  <si>
    <t>CF63066100R38J</t>
  </si>
  <si>
    <t>Majuma Ahmad</t>
  </si>
  <si>
    <t>koboko market</t>
  </si>
  <si>
    <t>Kulubu cell</t>
  </si>
  <si>
    <t>CF90066101LY7D</t>
  </si>
  <si>
    <t>Zabib Ceaser</t>
  </si>
  <si>
    <t>Boda boda rider</t>
  </si>
  <si>
    <t>LC LETTER</t>
  </si>
  <si>
    <t>Feni Francis</t>
  </si>
  <si>
    <t>Central cell</t>
  </si>
  <si>
    <t>CM8206610318KG</t>
  </si>
  <si>
    <t>Al-haji Diouf Hassan</t>
  </si>
  <si>
    <t>CF59066101UTKF</t>
  </si>
  <si>
    <t>Maliamungu yasin</t>
  </si>
  <si>
    <t>CM70066102F93J</t>
  </si>
  <si>
    <t>Ngota Swali</t>
  </si>
  <si>
    <t>kololo(keri)</t>
  </si>
  <si>
    <t>kololo</t>
  </si>
  <si>
    <t>CM860541026TJA</t>
  </si>
  <si>
    <t>Hayat Sarah</t>
  </si>
  <si>
    <t>wife</t>
  </si>
  <si>
    <t>CF510871033LLL</t>
  </si>
  <si>
    <t>Opio Hassan</t>
  </si>
  <si>
    <t>CF72066101YUJE</t>
  </si>
  <si>
    <t>Fred Asiki</t>
  </si>
  <si>
    <t>Businesss man</t>
  </si>
  <si>
    <t>Indriba village</t>
  </si>
  <si>
    <t>CM84066100ZIYC</t>
  </si>
  <si>
    <t>Asiki Albert</t>
  </si>
  <si>
    <t>Ombachi  market</t>
  </si>
  <si>
    <t>Yibongo</t>
  </si>
  <si>
    <t>CF1053108WU8C</t>
  </si>
  <si>
    <t>Hassan Imran</t>
  </si>
  <si>
    <t>CF61066102FJ3D</t>
  </si>
  <si>
    <t>Fadil imran</t>
  </si>
  <si>
    <t xml:space="preserve">ONIBA AISHA </t>
  </si>
  <si>
    <t>OKUYO BERNARD</t>
  </si>
  <si>
    <t>DEPAYA JOYCE</t>
  </si>
  <si>
    <t>CHANDIRU RAMULA</t>
  </si>
  <si>
    <t>ARIKE SWAIB</t>
  </si>
  <si>
    <t>BOBOYA BRAN</t>
  </si>
  <si>
    <t>INJIKURU ROSE</t>
  </si>
  <si>
    <t>DRICHA KADIJA</t>
  </si>
  <si>
    <t>KATO KENNEDY</t>
  </si>
  <si>
    <t xml:space="preserve">KABEBI RAIMA </t>
  </si>
  <si>
    <t>BADAKA GIFT JOEL</t>
  </si>
  <si>
    <t>KATUSIIME CLARA CHEKA</t>
  </si>
  <si>
    <t>AATE SEKINA</t>
  </si>
  <si>
    <t>METALORO   MOSES</t>
  </si>
  <si>
    <t>ZUBEDA WAIGA</t>
  </si>
  <si>
    <t>AJONYE JANE SINANDUGU</t>
  </si>
  <si>
    <t>EFIT GIFT</t>
  </si>
  <si>
    <t>EMUSUGUT DANIEL</t>
  </si>
  <si>
    <t>GERIA VIOLA</t>
  </si>
  <si>
    <t>IJOSIGA ISMAIL</t>
  </si>
  <si>
    <t>LEKURU CHRISTINE</t>
  </si>
  <si>
    <t>ANITE ZAM</t>
  </si>
  <si>
    <t>NIGHT AMINA HUSSEIN</t>
  </si>
  <si>
    <t>OCOKORU GLORIA</t>
  </si>
  <si>
    <t>APAYI HARRIET</t>
  </si>
  <si>
    <t>GIFT JAMES</t>
  </si>
  <si>
    <t xml:space="preserve">AJIO HARRIET </t>
  </si>
  <si>
    <t>ADIRU HELLEN</t>
  </si>
  <si>
    <t>AYIDA SELUWA</t>
  </si>
  <si>
    <t>TAISA AMINA</t>
  </si>
  <si>
    <t>AYOZU JESCA TAIBO</t>
  </si>
  <si>
    <t>MAZARAU AISHA</t>
  </si>
  <si>
    <t>ADIYE MARIAM</t>
  </si>
  <si>
    <t>NYOLA SHERIFA AHMED</t>
  </si>
  <si>
    <t>OJARA RICHARD</t>
  </si>
  <si>
    <t>AKISU JOICE</t>
  </si>
  <si>
    <t>SIYESA JAMILA</t>
  </si>
  <si>
    <t>ETOLE BIAJO</t>
  </si>
  <si>
    <t>OTHIM JIMMY</t>
  </si>
  <si>
    <t>SERIYA FLORENCE</t>
  </si>
  <si>
    <t>DALILI HASSAN</t>
  </si>
  <si>
    <t>MUSEMA SWAIBU</t>
  </si>
  <si>
    <t>Bussiness Woman</t>
  </si>
  <si>
    <t>CF77053102FJRC</t>
  </si>
  <si>
    <t>Wahab Oku</t>
  </si>
  <si>
    <t>Bussiness Man</t>
  </si>
  <si>
    <t>Kampala</t>
  </si>
  <si>
    <t>CM820771015Z3L</t>
  </si>
  <si>
    <t>Asua Daniel</t>
  </si>
  <si>
    <t xml:space="preserve">Ayinga Cell </t>
  </si>
  <si>
    <t>Ainga village</t>
  </si>
  <si>
    <t>CF88066101J99A</t>
  </si>
  <si>
    <t>Hellen</t>
  </si>
  <si>
    <t>Kulubu Cell</t>
  </si>
  <si>
    <t>Kulubu Village</t>
  </si>
  <si>
    <t>CF840531022DTL</t>
  </si>
  <si>
    <t>Akhiram Aluma</t>
  </si>
  <si>
    <t>Gbukutu Cell</t>
  </si>
  <si>
    <t>Lipa Village</t>
  </si>
  <si>
    <t>CM94066103CELH</t>
  </si>
  <si>
    <t>Bako Rehma</t>
  </si>
  <si>
    <t>Nyangilia Cell</t>
  </si>
  <si>
    <t>Ajinjing Village</t>
  </si>
  <si>
    <t>CM85066103G00E</t>
  </si>
  <si>
    <t>Rokon Khamis</t>
  </si>
  <si>
    <t>Anyifira Village</t>
  </si>
  <si>
    <t>CF85077104HVC</t>
  </si>
  <si>
    <t>Drichiru Joan</t>
  </si>
  <si>
    <t>Anjirico Village</t>
  </si>
  <si>
    <t>CF79066101H95D</t>
  </si>
  <si>
    <t>Boy Rasul</t>
  </si>
  <si>
    <t>Ombachi Village</t>
  </si>
  <si>
    <t>CM75002106G3YA</t>
  </si>
  <si>
    <t xml:space="preserve">Alemi William </t>
  </si>
  <si>
    <t>CM97066103J70F</t>
  </si>
  <si>
    <t>Ariye Grace</t>
  </si>
  <si>
    <t>Mother</t>
  </si>
  <si>
    <t>CF87066102N2PA</t>
  </si>
  <si>
    <t>Ramadam Abdu</t>
  </si>
  <si>
    <t>Banker</t>
  </si>
  <si>
    <t>CM84077104A9LL</t>
  </si>
  <si>
    <t>Ayakaka Docus</t>
  </si>
  <si>
    <t>CF83066101FNNG</t>
  </si>
  <si>
    <t>Abigel Linder</t>
  </si>
  <si>
    <t>CF78053101404K</t>
  </si>
  <si>
    <t>Aate Zaitun</t>
  </si>
  <si>
    <t>Medical Worker</t>
  </si>
  <si>
    <t>Pioneer</t>
  </si>
  <si>
    <t>CM920066100QK0D</t>
  </si>
  <si>
    <t>Sumaya Amiza</t>
  </si>
  <si>
    <t>CM86066101C9XE</t>
  </si>
  <si>
    <t>Farida Never</t>
  </si>
  <si>
    <t>Boader Market</t>
  </si>
  <si>
    <t xml:space="preserve">Yibongo Cell </t>
  </si>
  <si>
    <t>CF75066102VCUC</t>
  </si>
  <si>
    <t>Atiki Eric</t>
  </si>
  <si>
    <t>Business man</t>
  </si>
  <si>
    <t>koboko public ss</t>
  </si>
  <si>
    <t>CM74077103LDLK</t>
  </si>
  <si>
    <t>Aleni Giant</t>
  </si>
  <si>
    <t>Ombachi stage</t>
  </si>
  <si>
    <t>Dembelenga cell</t>
  </si>
  <si>
    <t>CM900391063MF</t>
  </si>
  <si>
    <t>Erimu Samson</t>
  </si>
  <si>
    <t>Anjijin cell</t>
  </si>
  <si>
    <t>CF940661021C6K</t>
  </si>
  <si>
    <t>Sanya samuel</t>
  </si>
  <si>
    <t>Gurepi cell</t>
  </si>
  <si>
    <t>Gurepi</t>
  </si>
  <si>
    <t>CM73066102607G</t>
  </si>
  <si>
    <t>Ijoyi Khalid</t>
  </si>
  <si>
    <t>CF940531041RYC</t>
  </si>
  <si>
    <t>Adiru Joyce Doris</t>
  </si>
  <si>
    <t>CF8605310395PH</t>
  </si>
  <si>
    <t>Debaku Wahab</t>
  </si>
  <si>
    <t>Keri Market</t>
  </si>
  <si>
    <t>Kuluba</t>
  </si>
  <si>
    <t>CF6066102CFGH</t>
  </si>
  <si>
    <t>Bangutu Sabote</t>
  </si>
  <si>
    <t>CF800771040HND</t>
  </si>
  <si>
    <t>Enzama Kennedy</t>
  </si>
  <si>
    <t>Keri-Midia</t>
  </si>
  <si>
    <t>CF8206610129YD</t>
  </si>
  <si>
    <t>Musema Lawrence</t>
  </si>
  <si>
    <t xml:space="preserve">Arumaji </t>
  </si>
  <si>
    <t>CM920661014W1D</t>
  </si>
  <si>
    <t>Rose Witro</t>
  </si>
  <si>
    <t>CF9006610234NJ</t>
  </si>
  <si>
    <t xml:space="preserve">Bileru Celina </t>
  </si>
  <si>
    <t>Lipa</t>
  </si>
  <si>
    <t>CF84053102F9GF</t>
  </si>
  <si>
    <t>Anguzu Alfred</t>
  </si>
  <si>
    <t>Dembelenga</t>
  </si>
  <si>
    <t>CF92066100V73F</t>
  </si>
  <si>
    <t>Ahmed Alafi</t>
  </si>
  <si>
    <t>CF80066100YCGF</t>
  </si>
  <si>
    <t>Zuberi Ismail</t>
  </si>
  <si>
    <t>Malish Moses</t>
  </si>
  <si>
    <t>CF79066101GMFD</t>
  </si>
  <si>
    <t>Siki Sabiri</t>
  </si>
  <si>
    <t xml:space="preserve">Yibongo </t>
  </si>
  <si>
    <t>CF72066103AX7F</t>
  </si>
  <si>
    <t>Sijali Iniham</t>
  </si>
  <si>
    <t>CF940661033PEA</t>
  </si>
  <si>
    <t xml:space="preserve">Christine </t>
  </si>
  <si>
    <t>Engineer</t>
  </si>
  <si>
    <t>CM760051028D6A</t>
  </si>
  <si>
    <t>Alice Loy</t>
  </si>
  <si>
    <t>CF860661015UWH</t>
  </si>
  <si>
    <t>Maneno Viola</t>
  </si>
  <si>
    <t>CF87066100WK4C</t>
  </si>
  <si>
    <t>Mustafah Abdulay</t>
  </si>
  <si>
    <t>CM72053102L76H</t>
  </si>
  <si>
    <t>CM870331077QYK</t>
  </si>
  <si>
    <t>Piranok Furaha</t>
  </si>
  <si>
    <t>CF880771032HQK</t>
  </si>
  <si>
    <t>Transport Road</t>
  </si>
  <si>
    <t>CM86066101F8HA</t>
  </si>
  <si>
    <t>Muzami Dalili</t>
  </si>
  <si>
    <t>Bodaboda Guy</t>
  </si>
  <si>
    <t>CM95066102TUJL</t>
  </si>
  <si>
    <t>Tabu Swadik</t>
  </si>
  <si>
    <t>Complete</t>
  </si>
  <si>
    <t>ID not given</t>
  </si>
  <si>
    <t>Not complete PB not issued yet</t>
  </si>
  <si>
    <t>Account opening only</t>
  </si>
  <si>
    <t>Loan-ID</t>
  </si>
  <si>
    <t>ACC ID</t>
  </si>
  <si>
    <t>CLIENT NAME</t>
  </si>
  <si>
    <t>LOAN ID</t>
  </si>
  <si>
    <t>Officer</t>
  </si>
  <si>
    <t>Grand Total</t>
  </si>
  <si>
    <t>Client Name</t>
  </si>
  <si>
    <t>AMANDU JUSTUS</t>
  </si>
  <si>
    <t>DRAMADRI AHUMED OKUNI</t>
  </si>
  <si>
    <t>OPIRU ALICE</t>
  </si>
  <si>
    <t>AMILE AISHA</t>
  </si>
  <si>
    <t>DRARU IRENE</t>
  </si>
  <si>
    <t>TIKO RAIMA</t>
  </si>
  <si>
    <t>ADUI ISMAIL</t>
  </si>
  <si>
    <t>ADRILI ZAHARA</t>
  </si>
  <si>
    <t>WILARU JOYCE</t>
  </si>
  <si>
    <t>BIZ</t>
  </si>
  <si>
    <t>SLA</t>
  </si>
  <si>
    <t>SFL</t>
  </si>
  <si>
    <t>QUICK</t>
  </si>
  <si>
    <t>ACIDRI WILLIAM</t>
  </si>
  <si>
    <t>Banker/Staff</t>
  </si>
  <si>
    <t>Plot 24 Central Road</t>
  </si>
  <si>
    <t>Plot 24 central Road</t>
  </si>
  <si>
    <t>CM960661009MQE</t>
  </si>
  <si>
    <t>Constructor</t>
  </si>
  <si>
    <t>Maracha</t>
  </si>
  <si>
    <t>Alimakodra cell</t>
  </si>
  <si>
    <t>CM7600210CU3LA</t>
  </si>
  <si>
    <t>Carpenter</t>
  </si>
  <si>
    <t>Gaagaa Cell</t>
  </si>
  <si>
    <t>Abelle cell</t>
  </si>
  <si>
    <t>CM800661027WQK</t>
  </si>
  <si>
    <t>CF80077104MTOL</t>
  </si>
  <si>
    <t>Ombaci cell</t>
  </si>
  <si>
    <t>CF70066101UWUH</t>
  </si>
  <si>
    <t>Dricile Parish</t>
  </si>
  <si>
    <t>Kingaba village</t>
  </si>
  <si>
    <t>CF91053100DNMA</t>
  </si>
  <si>
    <t>CF89066102GEUJ</t>
  </si>
  <si>
    <t>Mengo</t>
  </si>
  <si>
    <t>CM98066100Q0GH</t>
  </si>
  <si>
    <t>CF81066101AHOL</t>
  </si>
  <si>
    <t>mengo</t>
  </si>
  <si>
    <t>CF72066100U2MJ</t>
  </si>
  <si>
    <t>Civil Servant</t>
  </si>
  <si>
    <t>Nyarilo Cell</t>
  </si>
  <si>
    <t>CM8806610347LD</t>
  </si>
  <si>
    <t>Search</t>
  </si>
  <si>
    <t>Loan Appn</t>
  </si>
  <si>
    <t>Loan Appraisal</t>
  </si>
  <si>
    <t>Realization</t>
  </si>
  <si>
    <t>CLIENTS COLLECTION INFORMATION</t>
  </si>
  <si>
    <t>Ref</t>
  </si>
  <si>
    <t>Loan Processing</t>
  </si>
  <si>
    <t>From</t>
  </si>
  <si>
    <t>To</t>
  </si>
  <si>
    <t>Banked date</t>
  </si>
  <si>
    <t>Trans-date</t>
  </si>
  <si>
    <t>Lower</t>
  </si>
  <si>
    <t>Upper</t>
  </si>
  <si>
    <t>fees</t>
  </si>
  <si>
    <t>Int-Recovered</t>
  </si>
  <si>
    <t>Princ-Recovered</t>
  </si>
  <si>
    <t>CYCLE</t>
  </si>
  <si>
    <t>LOAN DISBURSEMENT DETAILS</t>
  </si>
  <si>
    <t>Loan Installments</t>
  </si>
  <si>
    <t>Interval</t>
  </si>
  <si>
    <t>Annual Payts</t>
  </si>
  <si>
    <t>PERIOD (Months)</t>
  </si>
  <si>
    <t>Interest Rate</t>
  </si>
  <si>
    <t>No. of Installments</t>
  </si>
  <si>
    <t>TOTAL REPAYMENT (P+I)</t>
  </si>
  <si>
    <t>First recovery date</t>
  </si>
  <si>
    <t>Loan expiry date</t>
  </si>
  <si>
    <t>Computed Installment</t>
  </si>
  <si>
    <t>Acutal Installment</t>
  </si>
  <si>
    <t>Loan Period (Days)</t>
  </si>
  <si>
    <t>Days Covered</t>
  </si>
  <si>
    <t>Days in Balance</t>
  </si>
  <si>
    <t>Loan Product</t>
  </si>
  <si>
    <t>Loan Cash Cover</t>
  </si>
  <si>
    <t>PROCESSING FEES</t>
  </si>
  <si>
    <t>Principal Installment</t>
  </si>
  <si>
    <t>Interest Installment</t>
  </si>
  <si>
    <t>Due day</t>
  </si>
  <si>
    <t>Grace period (Days)</t>
  </si>
  <si>
    <t>Installments Covered</t>
  </si>
  <si>
    <t>Expected Recovered Amount</t>
  </si>
  <si>
    <t>Expected Loan Balance</t>
  </si>
  <si>
    <t>Expected Interest Recovered</t>
  </si>
  <si>
    <t>Expected Principal Recovered</t>
  </si>
  <si>
    <t>Interest Collected</t>
  </si>
  <si>
    <t>Principal Collected</t>
  </si>
  <si>
    <t>Collected Total</t>
  </si>
  <si>
    <t>Interest Balance</t>
  </si>
  <si>
    <t>Principal Balance</t>
  </si>
  <si>
    <t>Total Loan Balance</t>
  </si>
  <si>
    <t>TOTAL INTEREST</t>
  </si>
  <si>
    <t>KANA</t>
  </si>
  <si>
    <t>AROMA</t>
  </si>
  <si>
    <t>JEROME</t>
  </si>
  <si>
    <t>Arrears</t>
  </si>
  <si>
    <t>Installments due</t>
  </si>
  <si>
    <t>Due Days</t>
  </si>
  <si>
    <t>Days</t>
  </si>
  <si>
    <t>Class</t>
  </si>
  <si>
    <t>1.(0-30) Days</t>
  </si>
  <si>
    <t>2.(31-60) Days</t>
  </si>
  <si>
    <t>3.(61-90) Days</t>
  </si>
  <si>
    <t>4.(91-365) Days</t>
  </si>
  <si>
    <t>5.(&gt;365) Days</t>
  </si>
  <si>
    <t>Principal</t>
  </si>
  <si>
    <t>Interest</t>
  </si>
  <si>
    <t>Expected</t>
  </si>
  <si>
    <t>Collected</t>
  </si>
  <si>
    <t>ATIKURU NADIA</t>
  </si>
  <si>
    <t>CF83002103YR9K</t>
  </si>
  <si>
    <t>APAYI LILLY</t>
  </si>
  <si>
    <t>Ombachi</t>
  </si>
  <si>
    <t>CF79066101NR7D</t>
  </si>
  <si>
    <t>BRANI MUSA</t>
  </si>
  <si>
    <t>Builder</t>
  </si>
  <si>
    <t>CM860661027NHK</t>
  </si>
  <si>
    <t>ALIGA ASHIRAF</t>
  </si>
  <si>
    <t>TMP000189335G</t>
  </si>
  <si>
    <t>JAMBA MOSES</t>
  </si>
  <si>
    <t>Bodaboda</t>
  </si>
  <si>
    <t>Godia</t>
  </si>
  <si>
    <t>CM86066102TH8G</t>
  </si>
  <si>
    <t>BUSURA OMAR</t>
  </si>
  <si>
    <t>Dowunga</t>
  </si>
  <si>
    <t>Dowunga-Dranya</t>
  </si>
  <si>
    <t>CM670661022LGD</t>
  </si>
  <si>
    <t>MALIKO JAMILA</t>
  </si>
  <si>
    <t>CF90066101Q2CE</t>
  </si>
  <si>
    <t>DRAGUMA SIRAJI</t>
  </si>
  <si>
    <t>Ombachi Unity Stage</t>
  </si>
  <si>
    <t>Alimakodra</t>
  </si>
  <si>
    <t>CM740531019Q7E</t>
  </si>
  <si>
    <t>NAMUDDU MARY</t>
  </si>
  <si>
    <t>Sinyani-Samuel Baba Road</t>
  </si>
  <si>
    <t>Sinyani</t>
  </si>
  <si>
    <t>CF910361062G3K</t>
  </si>
  <si>
    <t>ITITU ZAIDA</t>
  </si>
  <si>
    <t>yibongo</t>
  </si>
  <si>
    <t>CF9102901VQCE</t>
  </si>
  <si>
    <t>25-06-2025</t>
  </si>
  <si>
    <t>ANYOLE JOEL</t>
  </si>
  <si>
    <t>Korobulu</t>
  </si>
  <si>
    <t>Ginyako</t>
  </si>
  <si>
    <t>CM95066102WGCG</t>
  </si>
  <si>
    <t>MALIAMUNGU ROBERT</t>
  </si>
  <si>
    <t>Businessman</t>
  </si>
  <si>
    <t>Aluturu</t>
  </si>
  <si>
    <t>Lurujo</t>
  </si>
  <si>
    <t>CM86066103L3DL</t>
  </si>
  <si>
    <t>13-01-2025</t>
  </si>
  <si>
    <t>ABUJERE KASIMU</t>
  </si>
  <si>
    <t>Ombaci</t>
  </si>
  <si>
    <t>Ayilenga</t>
  </si>
  <si>
    <t>CM86066101NXEX</t>
  </si>
  <si>
    <t>MATURU NEEMA</t>
  </si>
  <si>
    <t>Dranya</t>
  </si>
  <si>
    <t>CF91077103RKTL</t>
  </si>
  <si>
    <t>MUZEE OBEN SAM</t>
  </si>
  <si>
    <t>CM8606610223RVK</t>
  </si>
  <si>
    <t>24-06-2025</t>
  </si>
  <si>
    <t>DADA ISAAC</t>
  </si>
  <si>
    <t>Tax officer</t>
  </si>
  <si>
    <t>Abelle</t>
  </si>
  <si>
    <t>CM90066101LQRG</t>
  </si>
  <si>
    <t>DAWA ANNET</t>
  </si>
  <si>
    <t>Sales officer</t>
  </si>
  <si>
    <t>(blank)</t>
  </si>
  <si>
    <t>Acct ID</t>
  </si>
  <si>
    <t>PassBk</t>
  </si>
  <si>
    <t>Acct fee</t>
  </si>
  <si>
    <t>Ln/Appn</t>
  </si>
  <si>
    <t>Ln/Disbursed</t>
  </si>
  <si>
    <t>Ln/Apprsl</t>
  </si>
  <si>
    <t>Ln/Proc</t>
  </si>
  <si>
    <t>C/Cover</t>
  </si>
  <si>
    <t>Start Date</t>
  </si>
  <si>
    <t>Expected Repayment</t>
  </si>
  <si>
    <t>WANACHI MICRO-FINANCE MONTHLY REPORT</t>
  </si>
  <si>
    <t>SUB-TOTAL</t>
  </si>
  <si>
    <t>Acct-ID</t>
  </si>
  <si>
    <t>Sub-Total</t>
  </si>
  <si>
    <t>Clean</t>
  </si>
  <si>
    <t>Counts</t>
  </si>
  <si>
    <t>Ln2</t>
  </si>
  <si>
    <t>ANGAIKA SALFA</t>
  </si>
  <si>
    <t>Businesswoman</t>
  </si>
  <si>
    <t>Central Market</t>
  </si>
  <si>
    <t>CF00066104G11F</t>
  </si>
  <si>
    <t>CF9200210DKJF</t>
  </si>
  <si>
    <t>AWILO JONATHAN</t>
  </si>
  <si>
    <t>Asunga village</t>
  </si>
  <si>
    <t>CM98066102GFAE</t>
  </si>
  <si>
    <t>LEMERIGA GEOFFREY</t>
  </si>
  <si>
    <t>Mindrabe market</t>
  </si>
  <si>
    <t>Mindabe</t>
  </si>
  <si>
    <t>CM93066101M3XK</t>
  </si>
  <si>
    <t>KAMOYO HARRIET</t>
  </si>
  <si>
    <t>CF8802910290VL</t>
  </si>
  <si>
    <t>SUDI YASIR</t>
  </si>
  <si>
    <t>CM88066105XXYA</t>
  </si>
  <si>
    <t>AMULE ISAAC</t>
  </si>
  <si>
    <t>Community worker</t>
  </si>
  <si>
    <t>ACAV</t>
  </si>
  <si>
    <t>CM750661003QVG</t>
  </si>
  <si>
    <t>AMIJI LUCY</t>
  </si>
  <si>
    <t>CF64066100Y7RD</t>
  </si>
  <si>
    <t>EZRA INNOCENT</t>
  </si>
  <si>
    <t>Lipa cell</t>
  </si>
  <si>
    <t>CM9706610199 TG</t>
  </si>
  <si>
    <t>ANGAIKA SAID</t>
  </si>
  <si>
    <t>CF840661028WJL</t>
  </si>
  <si>
    <t>HABIBU ABOYI ALLI</t>
  </si>
  <si>
    <t>Ponyura</t>
  </si>
  <si>
    <t>CM8006610357VL</t>
  </si>
  <si>
    <t>AYIKORU WINNIE</t>
  </si>
  <si>
    <t>CF9007710074KL</t>
  </si>
  <si>
    <t>SIRIKA FARIDA</t>
  </si>
  <si>
    <t>Abele</t>
  </si>
  <si>
    <t>CF86053102L6PH</t>
  </si>
  <si>
    <t>BAKOKO FLAVIA</t>
  </si>
  <si>
    <t>Yumbe Town</t>
  </si>
  <si>
    <t>China</t>
  </si>
  <si>
    <t>Voters Slip</t>
  </si>
  <si>
    <t>CF8700210CEUCE</t>
  </si>
  <si>
    <t>Purchase of office Safe</t>
  </si>
  <si>
    <t>Purchase of computers</t>
  </si>
  <si>
    <t>Canon printer</t>
  </si>
  <si>
    <t>Fuel for Directors m/v UBB 258L</t>
  </si>
  <si>
    <t>Key lock replacement for box number 125</t>
  </si>
  <si>
    <t>Box number rental fees</t>
  </si>
  <si>
    <t>Public announcement at Spirit FM</t>
  </si>
  <si>
    <t>Purchase of money counting machine</t>
  </si>
  <si>
    <t>Purchase of assorted office stationary</t>
  </si>
  <si>
    <t>Payment for balance of assorted office stationary</t>
  </si>
  <si>
    <t>Office branding</t>
  </si>
  <si>
    <t>Padlock</t>
  </si>
  <si>
    <t>key holders</t>
  </si>
  <si>
    <t>Stationary -Flip chart sheet</t>
  </si>
  <si>
    <t>White board marker</t>
  </si>
  <si>
    <t>Snowman markers</t>
  </si>
  <si>
    <t>Driomo</t>
  </si>
  <si>
    <t>Operations License payment to Koboko municipal council</t>
  </si>
  <si>
    <t>Assorted office furniture</t>
  </si>
  <si>
    <t>office metalic cupboard</t>
  </si>
  <si>
    <t>Office Data pocket internet wifi + internet Data</t>
  </si>
  <si>
    <t>Advance payment to Alema Francis during partition of office</t>
  </si>
  <si>
    <t>Advance Rent payment for 6 months</t>
  </si>
  <si>
    <t>Extension power cables (adaptors)</t>
  </si>
  <si>
    <t>A6 Envelopes</t>
  </si>
  <si>
    <t>Payment for Electricity</t>
  </si>
  <si>
    <t>Purchase of dust bins</t>
  </si>
  <si>
    <t>cleaning brush</t>
  </si>
  <si>
    <t>Dust tray + brush</t>
  </si>
  <si>
    <t>Jerrycans</t>
  </si>
  <si>
    <t>A4 Envelope</t>
  </si>
  <si>
    <t>Rubber band</t>
  </si>
  <si>
    <t>A bic pen</t>
  </si>
  <si>
    <t>Payment for account openning with centenary Bank</t>
  </si>
  <si>
    <t>Payment to Municipal for erecting sign post</t>
  </si>
  <si>
    <t>Payment for UPS  stands</t>
  </si>
  <si>
    <t>Staff Refreshment</t>
  </si>
  <si>
    <t>Staff welfare (Lunch)</t>
  </si>
  <si>
    <t>Office phone</t>
  </si>
  <si>
    <t>office airtime</t>
  </si>
  <si>
    <t>MK Socket box for generator</t>
  </si>
  <si>
    <t>Single socket for Generator</t>
  </si>
  <si>
    <t>Fuel for testing the generator</t>
  </si>
  <si>
    <t>Labor for general service of generator/fixing sockets/MK box</t>
  </si>
  <si>
    <t>Generator fuel</t>
  </si>
  <si>
    <t>Printing of treasury documents</t>
  </si>
  <si>
    <t>Sending documents to kampala</t>
  </si>
  <si>
    <t>Sending documents to Arua</t>
  </si>
  <si>
    <t>Labor payment to Kagwa Robert for Developing loan payment schedule</t>
  </si>
  <si>
    <t>payment for Repair and maintenance of office printer</t>
  </si>
  <si>
    <t>Purchase of mukwano plastic chairs (Bal)</t>
  </si>
  <si>
    <t>Purchase of internet recievers</t>
  </si>
  <si>
    <t>Transport for General manager to &amp; fro (Arua)</t>
  </si>
  <si>
    <t>Fuel for generator 3 litres</t>
  </si>
  <si>
    <t>Development of accounting system for Wanainchi Micro Finance Co. Ltd</t>
  </si>
  <si>
    <t>Purchase of Internet bundles 20GB for office modem</t>
  </si>
  <si>
    <t>Fuel for generator 5 litres</t>
  </si>
  <si>
    <t>Purcahse if Engine oil</t>
  </si>
  <si>
    <t>Labour for changing the generator Engine oil</t>
  </si>
  <si>
    <t xml:space="preserve">Purchase of Wanreco Units for office </t>
  </si>
  <si>
    <t>Formating of E-signing</t>
  </si>
  <si>
    <t>Purchase of Stamp pad</t>
  </si>
  <si>
    <t>Purchase of stamp ink</t>
  </si>
  <si>
    <t>Purchase of Motorcycle for Wanainchi Micro Finance Co ltd</t>
  </si>
  <si>
    <t>Labour for working on computer</t>
  </si>
  <si>
    <t>Labour for working on office safe</t>
  </si>
  <si>
    <t>Purchase of Anti Rust</t>
  </si>
  <si>
    <t>Change of name and facilitation for filling PAYE returns in URA for May &amp; June</t>
  </si>
  <si>
    <t xml:space="preserve">Transportation of motocycle </t>
  </si>
  <si>
    <t>Design of rear guard for m/c number plate</t>
  </si>
  <si>
    <t>Motorcycle fuel TVS UFG 825Z</t>
  </si>
  <si>
    <t>Credit officers airtime</t>
  </si>
  <si>
    <t>Tea leaves</t>
  </si>
  <si>
    <t>soap</t>
  </si>
  <si>
    <t>Water Bill (May &amp; June)</t>
  </si>
  <si>
    <t>Sanitizers</t>
  </si>
  <si>
    <t>Payment for COVID STICKER for m/c UFG 825Z</t>
  </si>
  <si>
    <t>Motorcycle Cover TVS UFG 825Z (Branding in Wanainchi colors/Loggo)</t>
  </si>
  <si>
    <t>sugar</t>
  </si>
  <si>
    <t>staff lunch</t>
  </si>
  <si>
    <t>advance for notice board</t>
  </si>
  <si>
    <t>Bank charges</t>
  </si>
  <si>
    <t>Repair of perculator</t>
  </si>
  <si>
    <t>Motorcycle service  TVS UFG 825Z</t>
  </si>
  <si>
    <t>Ream of printing papers (Carton)</t>
  </si>
  <si>
    <t>ink for the printer</t>
  </si>
  <si>
    <t>Interner Data bundles</t>
  </si>
  <si>
    <t>Payment for Extenal hard drive</t>
  </si>
  <si>
    <t>Double socket</t>
  </si>
  <si>
    <t>labor for fixing and repair of socket</t>
  </si>
  <si>
    <t>Washing of motorcycle</t>
  </si>
  <si>
    <t>Managers airtime</t>
  </si>
  <si>
    <t>Facilitation of LCI &amp; III (Recommendation letters for Wanainchi for agency banking)</t>
  </si>
  <si>
    <t>Printing of photos (Interior /external) for wanainchi  office</t>
  </si>
  <si>
    <t>Printing director passport size photos for agency banking</t>
  </si>
  <si>
    <t>Tangawizi</t>
  </si>
  <si>
    <t>stapple remover</t>
  </si>
  <si>
    <t>Replacementinternet adaptors</t>
  </si>
  <si>
    <t>installation of adaptors</t>
  </si>
  <si>
    <t>Empty office jerrycan</t>
  </si>
  <si>
    <t>Bank</t>
  </si>
  <si>
    <t>Purchase of 5 litre jerrycan for drinking water</t>
  </si>
  <si>
    <t>generator Service</t>
  </si>
  <si>
    <t>purchase of blank printer ink</t>
  </si>
  <si>
    <t>Refreshment for end of month meeting for July 2021</t>
  </si>
  <si>
    <t>Facilitation of LCI &amp; III (Recommendation letters for Wanainchi for airtel line )</t>
  </si>
  <si>
    <t>staff ID Tags</t>
  </si>
  <si>
    <t>Labelling staff Tags</t>
  </si>
  <si>
    <t>Facilitation for trainer of returns filling at URA</t>
  </si>
  <si>
    <t>Hire of projector for Training staff with Software</t>
  </si>
  <si>
    <t>Transport facilitation for software trainer</t>
  </si>
  <si>
    <t>Accommodation for 2 days</t>
  </si>
  <si>
    <t>Meals for 2 days</t>
  </si>
  <si>
    <t>Up-keep on transit</t>
  </si>
  <si>
    <t>withdrawal charges</t>
  </si>
  <si>
    <t>Training facilitation for software training</t>
  </si>
  <si>
    <t>welfare facilitation du8ring training (Sodas/water)</t>
  </si>
  <si>
    <t>Generator engine oil</t>
  </si>
  <si>
    <t>Engine oil for motorcycle</t>
  </si>
  <si>
    <t>Labor cost for changing engine oil</t>
  </si>
  <si>
    <t>Initial deposit for airtel mobile money line</t>
  </si>
  <si>
    <t>Airtime for credit officers</t>
  </si>
  <si>
    <t>Purchase of electricity</t>
  </si>
  <si>
    <t>Staff facilitation during training on Sunday</t>
  </si>
  <si>
    <t>Bank chagres</t>
  </si>
  <si>
    <t>Airttime for office line</t>
  </si>
  <si>
    <t>staff lunch refund to Faida</t>
  </si>
  <si>
    <t>Counter books</t>
  </si>
  <si>
    <t>Table for umbrella</t>
  </si>
  <si>
    <t>Staff lunch</t>
  </si>
  <si>
    <t>Printing of disbursement order books</t>
  </si>
  <si>
    <t>Generator repair</t>
  </si>
  <si>
    <t>Purchase of generator spark plug</t>
  </si>
  <si>
    <t>Purchase of loan application files from Arua</t>
  </si>
  <si>
    <t>Transport</t>
  </si>
  <si>
    <t>Industrial socket for the kitchen</t>
  </si>
  <si>
    <t>Labor for fix the sockets</t>
  </si>
  <si>
    <t>Umbrella branding</t>
  </si>
  <si>
    <t>Staff luch</t>
  </si>
  <si>
    <t>Replacement of motorcycle Tube</t>
  </si>
  <si>
    <t>Labor for Fixing of mortcycle tube</t>
  </si>
  <si>
    <t>Chain repair of motorcycle</t>
  </si>
  <si>
    <t>Eight kgs of office Sugar</t>
  </si>
  <si>
    <t>Hard broom for cleaning office compound</t>
  </si>
  <si>
    <t>Tea flask</t>
  </si>
  <si>
    <t>Printing of deposit slips</t>
  </si>
  <si>
    <t>Condolence for Ajiba Rosemary for loss of Mother</t>
  </si>
  <si>
    <t>Motorcycle engine oil</t>
  </si>
  <si>
    <t>Loan recovery costs for Asiku Romano Adebua</t>
  </si>
  <si>
    <t>Electricity</t>
  </si>
  <si>
    <t>Recommendation letters from LCI &amp; III for the directors</t>
  </si>
  <si>
    <t>Intern facilitation for the month</t>
  </si>
  <si>
    <t>payment for construction of generator shelter</t>
  </si>
  <si>
    <t>washing of motorcycle for the month of september</t>
  </si>
  <si>
    <t>Interest payment to Pathfinder financial services for loan</t>
  </si>
  <si>
    <t>Replenishment</t>
  </si>
  <si>
    <t>Imprest for the month of October 2021</t>
  </si>
  <si>
    <t>mopper</t>
  </si>
  <si>
    <t>washing soap</t>
  </si>
  <si>
    <t>six kgs of sugar</t>
  </si>
  <si>
    <t>20 litres of liquid soap</t>
  </si>
  <si>
    <t>A carton of Printing papers</t>
  </si>
  <si>
    <t>Designing and printing of one (1) Disbursement order book</t>
  </si>
  <si>
    <t>Water Bill (July, Aug &amp; september)</t>
  </si>
  <si>
    <t>office knife</t>
  </si>
  <si>
    <t>Plot 24</t>
  </si>
  <si>
    <t>A  society where the active poor have an opportunity to easily access affordable and fit for purpose financial services for economic development</t>
  </si>
  <si>
    <t>To provide responsible,inclusive,accessible and affordable financial solutions that empower communities in uganda</t>
  </si>
  <si>
    <t>Honesty</t>
  </si>
  <si>
    <t>Quality service</t>
  </si>
  <si>
    <t>Team work</t>
  </si>
  <si>
    <t>Innovation</t>
  </si>
  <si>
    <t>To develop effecient Systems and internal controls</t>
  </si>
  <si>
    <t>To ensure there is financial inclusion and literacy</t>
  </si>
  <si>
    <t>To expand institutional outreach to all parts of the country</t>
  </si>
  <si>
    <t>To create a sustainable growth of our business and customers base</t>
  </si>
  <si>
    <t>To  ensure there is continoues staff development for greater positions &amp; responsibilities</t>
  </si>
  <si>
    <t>YEKA ARIJABU</t>
  </si>
  <si>
    <t>Mijale Road</t>
  </si>
  <si>
    <t>Mida</t>
  </si>
  <si>
    <t>CM68066106QNKH</t>
  </si>
  <si>
    <t>Card replacement</t>
  </si>
  <si>
    <t>AMANIYO FARIDA</t>
  </si>
  <si>
    <t>ONJIMA BASHIR</t>
  </si>
  <si>
    <t>CM840921016HAF</t>
  </si>
  <si>
    <t>GISMA HAMID ALI</t>
  </si>
  <si>
    <t>Yibongo Cell</t>
  </si>
  <si>
    <t xml:space="preserve">Ombaci </t>
  </si>
  <si>
    <t>CF94025100CH4J</t>
  </si>
  <si>
    <t>ALOMO ZAIDA</t>
  </si>
  <si>
    <t>Widow</t>
  </si>
  <si>
    <t>CF76066102G77J</t>
  </si>
  <si>
    <t>CHANDIRU SCHOLAR</t>
  </si>
  <si>
    <t>Teremunga</t>
  </si>
  <si>
    <t>CF980661037HPL</t>
  </si>
  <si>
    <t>CF94002101MLGL</t>
  </si>
  <si>
    <t>LETARU GLORIA</t>
  </si>
  <si>
    <t>gbukutu</t>
  </si>
  <si>
    <t>macedonia</t>
  </si>
  <si>
    <t>CF87002107QTCE</t>
  </si>
  <si>
    <t>ATIKU SIRAJI</t>
  </si>
  <si>
    <t>CM82066102CRCF</t>
  </si>
  <si>
    <t>SAKAYA AMINA</t>
  </si>
  <si>
    <t>gborokolongo</t>
  </si>
  <si>
    <t>CF85066101GAMD</t>
  </si>
  <si>
    <t>SIDA ZAINABU</t>
  </si>
  <si>
    <t>CF91066101UZUK</t>
  </si>
  <si>
    <t>ANGUCIA JESCA</t>
  </si>
  <si>
    <t>Dengbelenga</t>
  </si>
  <si>
    <t>CF906610319WH</t>
  </si>
  <si>
    <t>Office stationary</t>
  </si>
  <si>
    <t>Data transfer cable</t>
  </si>
  <si>
    <t>Introduction letter for water connection</t>
  </si>
  <si>
    <t>Office &amp; customers masks</t>
  </si>
  <si>
    <t>JAKUMA VINCENT</t>
  </si>
  <si>
    <t>CM88033102NP6C</t>
  </si>
  <si>
    <t>ANITE AGNES</t>
  </si>
  <si>
    <t>CF90066106ZXFF</t>
  </si>
  <si>
    <t>YOBUTA JOHN</t>
  </si>
  <si>
    <t>Drimu Cell</t>
  </si>
  <si>
    <t>Isoko</t>
  </si>
  <si>
    <t>CM65066100WLPF</t>
  </si>
  <si>
    <t>MUNDUGA SONGA</t>
  </si>
  <si>
    <t>CM91066102HNNH</t>
  </si>
  <si>
    <t>CHANDIGA CYRUS</t>
  </si>
  <si>
    <t>CM92066101GVZG</t>
  </si>
  <si>
    <t>AMIJI</t>
  </si>
  <si>
    <t>KOLETA  JESCA</t>
  </si>
  <si>
    <t>Ibongo cell</t>
  </si>
  <si>
    <t>CF90066100XE1L</t>
  </si>
  <si>
    <t>SALAMA GIFT</t>
  </si>
  <si>
    <t>Repenga village</t>
  </si>
  <si>
    <t>CF830531013J5J</t>
  </si>
  <si>
    <t>AMANIYO STELLA</t>
  </si>
  <si>
    <t>CM84077100XYLG</t>
  </si>
  <si>
    <t>ALONE ZAITUN</t>
  </si>
  <si>
    <t>CF86066100THGT</t>
  </si>
  <si>
    <t>DATA SAFI DUIKI</t>
  </si>
  <si>
    <t>CM96066100P0LF</t>
  </si>
  <si>
    <t>AMORI JOHN BAPTIST</t>
  </si>
  <si>
    <t>CM520661039FAE</t>
  </si>
  <si>
    <t>OCATRE CHARLES</t>
  </si>
  <si>
    <t>CM64077104131F</t>
  </si>
  <si>
    <t>TAIBO AMANA</t>
  </si>
  <si>
    <t>Anyupira</t>
  </si>
  <si>
    <t>CF83066100W2AJ</t>
  </si>
  <si>
    <t>AJIBA</t>
  </si>
  <si>
    <t>KAMUSIRI JULIUS</t>
  </si>
  <si>
    <t>Samuel Baba road</t>
  </si>
  <si>
    <t>samuel baba road</t>
  </si>
  <si>
    <t>CM961021013CZF</t>
  </si>
  <si>
    <t>Engraving &amp; labelling company assets</t>
  </si>
  <si>
    <t>washing of motorcycle</t>
  </si>
  <si>
    <t>BATRE SAVIOUR</t>
  </si>
  <si>
    <t>CM93077104GEJD</t>
  </si>
  <si>
    <t>Ombaci ward</t>
  </si>
  <si>
    <t>YANYA ROBINA</t>
  </si>
  <si>
    <t>Leiko P/S</t>
  </si>
  <si>
    <t>CF810661017XLE</t>
  </si>
  <si>
    <t>AJOBE SAMUEL</t>
  </si>
  <si>
    <t>Orebe</t>
  </si>
  <si>
    <t>CM80053103382L</t>
  </si>
  <si>
    <t>Introduction letter for directors from LCIII agency banking application</t>
  </si>
  <si>
    <t>laptop bag</t>
  </si>
  <si>
    <t>Initial deposit for openning company account with centenary bank</t>
  </si>
  <si>
    <t>ATAYI GRACE</t>
  </si>
  <si>
    <t>CF7606610266EG</t>
  </si>
  <si>
    <t>ALORO SAIDI</t>
  </si>
  <si>
    <t>Paladu</t>
  </si>
  <si>
    <t>CM84066102FMQA</t>
  </si>
  <si>
    <t>FAIDA</t>
  </si>
  <si>
    <t>Payments to Consultancy agency Business international for devt of Software</t>
  </si>
  <si>
    <t>Payments to Shamson technologies for supply of office laptop</t>
  </si>
  <si>
    <t>AFEKU EMMANUEL</t>
  </si>
  <si>
    <t>maracha</t>
  </si>
  <si>
    <t>mario</t>
  </si>
  <si>
    <t>CM800771016CAF</t>
  </si>
  <si>
    <t>TABAN PETER</t>
  </si>
  <si>
    <t>CM93066101VVDE</t>
  </si>
  <si>
    <t>parculator</t>
  </si>
  <si>
    <t>Imprest for the month of November 2021</t>
  </si>
  <si>
    <t>APANGU MUZAMIL</t>
  </si>
  <si>
    <t>CM740661006WHG</t>
  </si>
  <si>
    <t>AMILE RUKIA</t>
  </si>
  <si>
    <t>CF840661033R3F</t>
  </si>
  <si>
    <t>MANDELA SWAIBU</t>
  </si>
  <si>
    <t>Boda boda Ridder</t>
  </si>
  <si>
    <t>Koboko Hospital Corner</t>
  </si>
  <si>
    <t>CM8206610081TC</t>
  </si>
  <si>
    <t>WAYI DAVID</t>
  </si>
  <si>
    <t>koboko Municipality</t>
  </si>
  <si>
    <t>Aringa village</t>
  </si>
  <si>
    <t>CM88066102E1EA</t>
  </si>
  <si>
    <t>AATE SUZAN</t>
  </si>
  <si>
    <t>Panyamuru</t>
  </si>
  <si>
    <t>CF97066102FD4K</t>
  </si>
  <si>
    <t>CHANDIGA PETER</t>
  </si>
  <si>
    <t>Alenga Village</t>
  </si>
  <si>
    <t>CM820661021NH</t>
  </si>
  <si>
    <t>Printer ink-Black</t>
  </si>
  <si>
    <t>Designing and printing of passbook</t>
  </si>
  <si>
    <t>Printing unserialized passbooks for Re-issue</t>
  </si>
  <si>
    <t>Interest payment</t>
  </si>
  <si>
    <t>Sales &amp; marketing</t>
  </si>
  <si>
    <t>voucher stands</t>
  </si>
  <si>
    <t>ANYULE JAMALI</t>
  </si>
  <si>
    <t>Ujipaku</t>
  </si>
  <si>
    <t>Ludara</t>
  </si>
  <si>
    <t>CM9806610132PPL</t>
  </si>
  <si>
    <t>Purchase of hard broom</t>
  </si>
  <si>
    <t>Furniture &amp; Fittings</t>
  </si>
  <si>
    <t>Repairs &amp; Maintenance</t>
  </si>
  <si>
    <t>utilities</t>
  </si>
  <si>
    <t>Printing of directors photos for openning accounts in centenary bank</t>
  </si>
  <si>
    <t>Office Umbrella</t>
  </si>
  <si>
    <t>kana</t>
  </si>
  <si>
    <t>BAKO ZUBEDA</t>
  </si>
  <si>
    <t>Tailor</t>
  </si>
  <si>
    <t>Lombe</t>
  </si>
  <si>
    <t>CF780661035K1H</t>
  </si>
  <si>
    <t>TAYI MODESTO</t>
  </si>
  <si>
    <t>Triangle  village</t>
  </si>
  <si>
    <t>Triangle</t>
  </si>
  <si>
    <t>CM56066610213JC</t>
  </si>
  <si>
    <t>Ajiba</t>
  </si>
  <si>
    <t>Amiji</t>
  </si>
  <si>
    <t>Purchase of spark plug</t>
  </si>
  <si>
    <t>labor for repair &amp; service of generator</t>
  </si>
  <si>
    <t>Windows application activation for HP computer</t>
  </si>
  <si>
    <t>ASIKI ALEX</t>
  </si>
  <si>
    <t>CM97066100RR4G</t>
  </si>
  <si>
    <t>MALISH WAWASON</t>
  </si>
  <si>
    <t>Koboko municipal</t>
  </si>
  <si>
    <t>CM866101XWWE</t>
  </si>
  <si>
    <t>REMO MUSA AMIN</t>
  </si>
  <si>
    <t>mijale</t>
  </si>
  <si>
    <t>CM86066101XNOA</t>
  </si>
  <si>
    <t>DIRIA IRENE</t>
  </si>
  <si>
    <t>Juba</t>
  </si>
  <si>
    <t>Abirichi village-ARUA</t>
  </si>
  <si>
    <t>CF860661037P4G</t>
  </si>
  <si>
    <t>FAITH JOSEPHINE</t>
  </si>
  <si>
    <t>Arumaji Cell</t>
  </si>
  <si>
    <t>Arumaji cell</t>
  </si>
  <si>
    <t>CF90066106QLWF</t>
  </si>
  <si>
    <t>MITU LAWRENCE</t>
  </si>
  <si>
    <t>CM94066100A27L</t>
  </si>
  <si>
    <t>NAUME NIGHT</t>
  </si>
  <si>
    <t>CF68066102MA6F</t>
  </si>
  <si>
    <t>DATA GEOFREY</t>
  </si>
  <si>
    <t>Do-onga cell</t>
  </si>
  <si>
    <t>CM830661039FYC</t>
  </si>
  <si>
    <t>Ref: 3335 cashcover refund</t>
  </si>
  <si>
    <t>Ref: 3313 Cashcover refund</t>
  </si>
  <si>
    <t>Ref: 819 Cashcover refund</t>
  </si>
  <si>
    <t>LEMAKU SWAIB</t>
  </si>
  <si>
    <t>Manson</t>
  </si>
  <si>
    <t>CM9807710064DJ</t>
  </si>
  <si>
    <t>Ref: 75 Cashcover refund</t>
  </si>
  <si>
    <t>Ref: 3037 cashcover refund</t>
  </si>
  <si>
    <t>Ref: 391 cashcover refund</t>
  </si>
  <si>
    <t>labor for repair &amp; service of motorcycle</t>
  </si>
  <si>
    <t>Purchase of Motorcycle tyre &amp; tube</t>
  </si>
  <si>
    <t>Printing of loan disbursement order book</t>
  </si>
  <si>
    <t>Ref: 1019 Cashcover refund</t>
  </si>
  <si>
    <t>Ref; 2707 cashcover refund</t>
  </si>
  <si>
    <t>Ref; 2700 cashcover refund</t>
  </si>
  <si>
    <t>Ref; 638 cashcover W/D</t>
  </si>
  <si>
    <t>Ref: 678 Cashcover refund</t>
  </si>
  <si>
    <t>Ref: 1444 Cashcover refund</t>
  </si>
  <si>
    <t>Ref: 860 Cashcover refund</t>
  </si>
  <si>
    <t>Ref: 1273 Cashcover refund</t>
  </si>
  <si>
    <t>AMODO ZAINABU</t>
  </si>
  <si>
    <t>Market square</t>
  </si>
  <si>
    <t>Ibongo</t>
  </si>
  <si>
    <t>CF7606602NRXJ</t>
  </si>
  <si>
    <t>CHANDIRU ZENABU</t>
  </si>
  <si>
    <t>Koboko Municipality</t>
  </si>
  <si>
    <t>Anyipura</t>
  </si>
  <si>
    <t>CF650531029HLF</t>
  </si>
  <si>
    <t>AFEKU DENIS</t>
  </si>
  <si>
    <t>Health Worker</t>
  </si>
  <si>
    <t>Rhino camp</t>
  </si>
  <si>
    <t>Manibe</t>
  </si>
  <si>
    <t>CM88002100JFRD</t>
  </si>
  <si>
    <t>ABIYO RICHARD ENAKU</t>
  </si>
  <si>
    <t>CM8000210D8H5D</t>
  </si>
  <si>
    <t>CHANDIRU ZAKIA</t>
  </si>
  <si>
    <t>Koboko central market</t>
  </si>
  <si>
    <t>CF66029101ND2K</t>
  </si>
  <si>
    <t>MORO CHRISTOPHER AWARA</t>
  </si>
  <si>
    <t>CM590661028RHE</t>
  </si>
  <si>
    <t>Ref: 2594 Cashcover refund</t>
  </si>
  <si>
    <t>Ref: 291/1049 Cashcover refund</t>
  </si>
  <si>
    <t>Ref: 995 Cashcover refund</t>
  </si>
  <si>
    <t>Ref: 949 Cashcover refund</t>
  </si>
  <si>
    <t>Ref: 638/767 Cashcover refund</t>
  </si>
  <si>
    <t>Ref:  Cashcover refund</t>
  </si>
  <si>
    <t>AKULIA STELLA</t>
  </si>
  <si>
    <t>Anyakalio</t>
  </si>
  <si>
    <t>CF33066101EOMD</t>
  </si>
  <si>
    <t>AYOZU FADILA</t>
  </si>
  <si>
    <t>CF940661022V4H</t>
  </si>
  <si>
    <t>Ref: 2750 Cashcover refund</t>
  </si>
  <si>
    <t>Ref: 1271 Cashcover refund</t>
  </si>
  <si>
    <t>AYA ZAINABU</t>
  </si>
  <si>
    <t>CF900851016CHQH</t>
  </si>
  <si>
    <t>MAYANJA DAVID</t>
  </si>
  <si>
    <t>Amiji Road</t>
  </si>
  <si>
    <t>CM80034103LAGH</t>
  </si>
  <si>
    <t>Ref: 2681 Cash cover refund</t>
  </si>
  <si>
    <t>ASUSA JAMILA</t>
  </si>
  <si>
    <t>CF82066103661F</t>
  </si>
  <si>
    <t>REF: 487/921/2720 cash cover refund</t>
  </si>
  <si>
    <t>REF: 51 part cash cover refund</t>
  </si>
  <si>
    <t>REF: 691 cash cover refund</t>
  </si>
  <si>
    <t>Ref: 1263 Cash cover refund</t>
  </si>
  <si>
    <t>Ref: 272 Cash cover refund</t>
  </si>
  <si>
    <t>Ref: 240/973 cash cover refund</t>
  </si>
  <si>
    <t>Ref: 962 Cash cover refund</t>
  </si>
  <si>
    <t>Ref: 2994 Cash cover refund</t>
  </si>
  <si>
    <t>APAYI DOROTHY</t>
  </si>
  <si>
    <t>ombachi</t>
  </si>
  <si>
    <t>CF75066101JX5F</t>
  </si>
  <si>
    <t>Ref:  157/174 Cashcover refund</t>
  </si>
  <si>
    <t>ATAKO GLORIA</t>
  </si>
  <si>
    <t>CF8800210C6L1YF</t>
  </si>
  <si>
    <t>REF: 3651 Cashcover refund</t>
  </si>
  <si>
    <t>REF: 1125 Cashcover refund</t>
  </si>
  <si>
    <t>REF: 1267 Cashcover refund</t>
  </si>
  <si>
    <t>REF: 1311 Cashcover refund</t>
  </si>
  <si>
    <t>ANDIKU KALOLI</t>
  </si>
  <si>
    <t>South Division</t>
  </si>
  <si>
    <t>CM680771026DYF</t>
  </si>
  <si>
    <t>TABAN</t>
  </si>
  <si>
    <t>REF: 687 Cashcover refund</t>
  </si>
  <si>
    <t>REF: 702 Cash cover refund</t>
  </si>
  <si>
    <t>REF: 807/1280 Cashcover refund</t>
  </si>
  <si>
    <t>Staff lunch for 2 days</t>
  </si>
  <si>
    <t>Fuel for Generator</t>
  </si>
  <si>
    <t>Electicity payment</t>
  </si>
  <si>
    <t>generator Fuel</t>
  </si>
  <si>
    <t>Crane printing papers</t>
  </si>
  <si>
    <t>Baloons</t>
  </si>
  <si>
    <t>ribbons</t>
  </si>
  <si>
    <t>Chrismas tree</t>
  </si>
  <si>
    <t>REF: 1112 Cash cover refund</t>
  </si>
  <si>
    <t>REF: 1103 Cash cover refund</t>
  </si>
  <si>
    <t>REF: 228 Cash cover refund</t>
  </si>
  <si>
    <t>196/7</t>
  </si>
  <si>
    <t>REF: 776 Cash cover refund</t>
  </si>
  <si>
    <t>Water Bill (October ,November and December)</t>
  </si>
  <si>
    <t>Padlock for security access door</t>
  </si>
  <si>
    <t>soft brush for cleaning</t>
  </si>
  <si>
    <t>Ref: 1135 cash cover refund</t>
  </si>
  <si>
    <t>Ref: 171 Cash cover refund</t>
  </si>
  <si>
    <t>Ref: 341 Cash cover refund</t>
  </si>
  <si>
    <t>REF: 908 Cash cover refund</t>
  </si>
  <si>
    <t>REF: 866 Cash cover refund</t>
  </si>
  <si>
    <t>REF: 1115 Cash cover refund</t>
  </si>
  <si>
    <t>REF: 1335 Cash cover refund</t>
  </si>
  <si>
    <t>OBOTE EMMANUEL</t>
  </si>
  <si>
    <t>Drunyo Village</t>
  </si>
  <si>
    <t>CM83066102XNSD</t>
  </si>
  <si>
    <t>DEPAYA MARY</t>
  </si>
  <si>
    <t>AYILA CHRISTOPHER</t>
  </si>
  <si>
    <t>FETCHA-K</t>
  </si>
  <si>
    <t>CM68066101XVUA</t>
  </si>
  <si>
    <t>NAMBOZO HALIMA</t>
  </si>
  <si>
    <t>Gaagaa market</t>
  </si>
  <si>
    <t>CF84026106D37G</t>
  </si>
  <si>
    <t>TUKEI JOB</t>
  </si>
  <si>
    <t>West Division</t>
  </si>
  <si>
    <t>Isoko cell</t>
  </si>
  <si>
    <t>CM64021103PKMH</t>
  </si>
  <si>
    <t>PATRICK OKUONZI</t>
  </si>
  <si>
    <t>FINCA</t>
  </si>
  <si>
    <t>CM810771005T4H</t>
  </si>
  <si>
    <t>NAULA SCOVIA</t>
  </si>
  <si>
    <t>CF79102105WA7L</t>
  </si>
  <si>
    <t>CM7806610035YH</t>
  </si>
  <si>
    <t>REF: 1282 Cash cover  refund</t>
  </si>
  <si>
    <t>REF: 146 Cash cover refund</t>
  </si>
  <si>
    <t>Penalties from loan recoveries</t>
  </si>
  <si>
    <t>REF: 071/1069 Cash cover refund</t>
  </si>
  <si>
    <t>REF:1474/1483 Cash cover refund</t>
  </si>
  <si>
    <t>STL</t>
  </si>
  <si>
    <t>SHAMIM ALIGAH</t>
  </si>
  <si>
    <t>Passport</t>
  </si>
  <si>
    <t>B1047524</t>
  </si>
  <si>
    <t>REF: 3398 Cash cover refund</t>
  </si>
  <si>
    <t>BURUGA JAMES</t>
  </si>
  <si>
    <t>Taxi park</t>
  </si>
  <si>
    <t>CM82066102HLYH</t>
  </si>
  <si>
    <t>Criteria</t>
  </si>
  <si>
    <t>All Loan Amounts</t>
  </si>
  <si>
    <t>DRIWARU JANE</t>
  </si>
  <si>
    <t>2002000317</t>
  </si>
  <si>
    <t>Small london</t>
  </si>
  <si>
    <t>Erepenga Cell</t>
  </si>
  <si>
    <t>CF92077108E02E</t>
  </si>
  <si>
    <t>DAKARU GRACE</t>
  </si>
  <si>
    <t>2002000316</t>
  </si>
  <si>
    <t>CF306610199PH</t>
  </si>
  <si>
    <t>REF:82 Cash cover refund</t>
  </si>
  <si>
    <t>REF: 298/1270 Cash cover refund</t>
  </si>
  <si>
    <t>REF: 3735 Cash cover refund</t>
  </si>
  <si>
    <t>washing of Motorcycle TVS UFG 825Z</t>
  </si>
  <si>
    <t xml:space="preserve">REF: 518 Cash cover refund </t>
  </si>
  <si>
    <t>Staff Loans</t>
  </si>
  <si>
    <t>Effective date</t>
  </si>
  <si>
    <t>Interest rate</t>
  </si>
  <si>
    <t>REF:628  Cash cover refund</t>
  </si>
  <si>
    <t>REF: 2631 Cash cover refund</t>
  </si>
  <si>
    <t>REF: Cash cover refund 14/5/2021</t>
  </si>
  <si>
    <t>ARUBE PETER</t>
  </si>
  <si>
    <t>Abuku sub county</t>
  </si>
  <si>
    <t>Abuku Subcounty</t>
  </si>
  <si>
    <t>CM580661036ZNJ</t>
  </si>
  <si>
    <t>ATIKI PATRICK</t>
  </si>
  <si>
    <t>CM970661064QYK</t>
  </si>
  <si>
    <t>Engine oil</t>
  </si>
  <si>
    <t>Lobule</t>
  </si>
  <si>
    <t>REF:469/2589 Cash cover refund</t>
  </si>
  <si>
    <t>REF: 3279 Cash cover refund</t>
  </si>
  <si>
    <t>REF: 4164 Cashcover refund</t>
  </si>
  <si>
    <t>Penalties</t>
  </si>
  <si>
    <t>REF: 3852 Cash cover refund</t>
  </si>
  <si>
    <t>REF: 2819 Cash cover refund</t>
  </si>
  <si>
    <t>REF:217/1372 Cash cover refund</t>
  </si>
  <si>
    <t>ANDERU MONICA</t>
  </si>
  <si>
    <t>CF89066100WGNF</t>
  </si>
  <si>
    <t>REF: 57 Cash cover refund</t>
  </si>
  <si>
    <t>REF: 2615 Cash cover refund</t>
  </si>
  <si>
    <t>REF: 711/1276 Cash cover refund</t>
  </si>
  <si>
    <t>May Staff salaries -2021</t>
  </si>
  <si>
    <t>June Staff salaries-2021</t>
  </si>
  <si>
    <t>July Staff salaries-2021</t>
  </si>
  <si>
    <t>August Staff salaries -2021</t>
  </si>
  <si>
    <t>September staff salaries -2021</t>
  </si>
  <si>
    <t>October Staff salaries-2021</t>
  </si>
  <si>
    <t>November Staff salaries -2021</t>
  </si>
  <si>
    <t>Platinum Security guard salary for June &amp; July 2021</t>
  </si>
  <si>
    <t>Platinum security guard salary for october 2021</t>
  </si>
  <si>
    <t>December Staff salaries-2021</t>
  </si>
  <si>
    <t>Platinum security  guard salaries for August &amp; Sept 2021</t>
  </si>
  <si>
    <t>Platinum security group salary for Dec 2021</t>
  </si>
  <si>
    <t>Staff Bonus</t>
  </si>
  <si>
    <t>DRILIGA HABIBU</t>
  </si>
  <si>
    <t>REF:411/2751 cash cover refund</t>
  </si>
  <si>
    <t>January Staff salaries 2022</t>
  </si>
  <si>
    <t>Payment for Agency Banking point of sale (POS)</t>
  </si>
  <si>
    <t>Platinum security group salary for NOV 2021</t>
  </si>
  <si>
    <t>ordinary soap</t>
  </si>
  <si>
    <t>Treasury books</t>
  </si>
  <si>
    <t>Loan disbursement order books</t>
  </si>
  <si>
    <t>Operational and capital Funds transfer books</t>
  </si>
  <si>
    <t>Motorcycle Headlamp holder replacement and service</t>
  </si>
  <si>
    <t>Carton of printing paper</t>
  </si>
  <si>
    <t>Part payment for Operation permit to Municipal offices</t>
  </si>
  <si>
    <t>Printing of field recovery reciept books</t>
  </si>
  <si>
    <t>Purchase of white board marker pen</t>
  </si>
  <si>
    <t>Condolesence contribution to General manager for the loss of Father in-law</t>
  </si>
  <si>
    <t>REF:900 Cash cover refund</t>
  </si>
  <si>
    <t>REF: 2673 Cash cover refund</t>
  </si>
  <si>
    <t>REF: 599 Cash cover refund</t>
  </si>
  <si>
    <t>REF: 3066 Cash cover refund</t>
  </si>
  <si>
    <t>REF: 4327 Cash cover refund</t>
  </si>
  <si>
    <t>REF:3746 Cashcover refund</t>
  </si>
  <si>
    <t xml:space="preserve">REF: 2610 Cashcover refund </t>
  </si>
  <si>
    <t>REF: 2952 Cashcover refund</t>
  </si>
  <si>
    <t>REF: 1326 Cash cover refund</t>
  </si>
  <si>
    <t>REF: 3294 Cas cover refund</t>
  </si>
  <si>
    <t>REF: Cash cover refund</t>
  </si>
  <si>
    <t>REF:         Cashcover refund</t>
  </si>
  <si>
    <t>Cycle</t>
  </si>
  <si>
    <t>Interest Payable</t>
  </si>
  <si>
    <t>638/4849</t>
  </si>
  <si>
    <t>Lns</t>
  </si>
  <si>
    <t>Client IDs</t>
  </si>
  <si>
    <t>Client NaMES</t>
  </si>
  <si>
    <t>Error on Entry</t>
  </si>
  <si>
    <t>Fail</t>
  </si>
  <si>
    <t>Pass</t>
  </si>
  <si>
    <t>Teller Narrations</t>
  </si>
  <si>
    <t>Loan repayment</t>
  </si>
  <si>
    <t>Account openning fees</t>
  </si>
  <si>
    <t>Passbook</t>
  </si>
  <si>
    <t>Passbook re-issue</t>
  </si>
  <si>
    <t>Cash cover payt</t>
  </si>
  <si>
    <t>Cash cover refund</t>
  </si>
  <si>
    <t xml:space="preserve"> Loan Appraisal fees</t>
  </si>
  <si>
    <t>Fees collections</t>
  </si>
  <si>
    <t>Manual recovery of principle</t>
  </si>
  <si>
    <t xml:space="preserve">Manual recovery of interest </t>
  </si>
  <si>
    <t>4477/793</t>
  </si>
  <si>
    <t>Manual recovery of interest</t>
  </si>
  <si>
    <t>manual recovery of principal</t>
  </si>
  <si>
    <t>Client withdrew her cash cover</t>
  </si>
  <si>
    <t>Manual recocery of interest</t>
  </si>
  <si>
    <t>Manual recovery of interest income</t>
  </si>
  <si>
    <t>Manual recovered interest</t>
  </si>
  <si>
    <t>Ref:205/1486 Cash cover refund</t>
  </si>
  <si>
    <t>manual recovery of interest</t>
  </si>
  <si>
    <t>Ref: cycle 1 &amp; 2 cash cover recovery</t>
  </si>
  <si>
    <t>Maually recovered interest</t>
  </si>
  <si>
    <t>Manual recovery of interest &amp; principle</t>
  </si>
  <si>
    <t>Cash cover W/D by client</t>
  </si>
  <si>
    <t>Ref: Cash cover refund</t>
  </si>
  <si>
    <t>637/4848</t>
  </si>
  <si>
    <t>635/4846</t>
  </si>
  <si>
    <t>Loan disbursements</t>
  </si>
  <si>
    <t>634/4883</t>
  </si>
  <si>
    <t>REF: 2725 Cash cover refund</t>
  </si>
  <si>
    <t>Manul recovery of interest</t>
  </si>
  <si>
    <t>Recovery from cash cover</t>
  </si>
  <si>
    <t>623/4890</t>
  </si>
  <si>
    <t>REF: C/C refund</t>
  </si>
  <si>
    <t>REF: C/C Refund</t>
  </si>
  <si>
    <t>REF: 4425 &amp; 17/7/21 C/C refund</t>
  </si>
  <si>
    <t>REF: 24/6/21 C/C refund as part</t>
  </si>
  <si>
    <t>Ref: 762 Cash cover refund as part</t>
  </si>
  <si>
    <t>632/4900</t>
  </si>
  <si>
    <t>627/4914</t>
  </si>
  <si>
    <t>KANA SWAIB</t>
  </si>
  <si>
    <t>647/4789</t>
  </si>
  <si>
    <t>644/4973</t>
  </si>
  <si>
    <t>OBIT HAKIM ADROTI</t>
  </si>
  <si>
    <t>ARIKE KOKOLE YASSIN</t>
  </si>
  <si>
    <t>Electrician</t>
  </si>
  <si>
    <t>Pakayo</t>
  </si>
  <si>
    <t>CM970661014UDL</t>
  </si>
  <si>
    <t>CM830531037G3J</t>
  </si>
  <si>
    <t>Sinyani cell</t>
  </si>
  <si>
    <t>CM6206610036LE</t>
  </si>
  <si>
    <t>MUNGUFENI RAMSEY</t>
  </si>
  <si>
    <t>CM93002108FRXH</t>
  </si>
  <si>
    <t>REF: 1479 C/C Refund</t>
  </si>
  <si>
    <t xml:space="preserve"> 800/4934</t>
  </si>
  <si>
    <t>766/4935</t>
  </si>
  <si>
    <t>REF: 908 Cash cover refund AS PART</t>
  </si>
  <si>
    <t>AJUKI HARRIET</t>
  </si>
  <si>
    <t>WALTER OTEMA</t>
  </si>
  <si>
    <t>Anjirigo cell</t>
  </si>
  <si>
    <t>CF91066100WZ7H</t>
  </si>
  <si>
    <t>Music studio</t>
  </si>
  <si>
    <t>CM95005103UK2J</t>
  </si>
  <si>
    <t>C/C Withdraw</t>
  </si>
  <si>
    <t>659/4990</t>
  </si>
  <si>
    <t>661/4994</t>
  </si>
  <si>
    <t>654/4992</t>
  </si>
  <si>
    <t>660/5003</t>
  </si>
  <si>
    <t>658/4987</t>
  </si>
  <si>
    <t>651/5004</t>
  </si>
  <si>
    <t>629/5000</t>
  </si>
  <si>
    <t>REF: 215 C/C Refund</t>
  </si>
  <si>
    <t>AGOTIA JOYCE</t>
  </si>
  <si>
    <t>Anjinjini cell</t>
  </si>
  <si>
    <t>CF950771042MNL</t>
  </si>
  <si>
    <t>Credit officers transport</t>
  </si>
  <si>
    <t>Labor for Fixixing agency Placard</t>
  </si>
  <si>
    <t>Blowing of computers and printers</t>
  </si>
  <si>
    <t>Purchase of ink</t>
  </si>
  <si>
    <t>Payment for printing of payment vouchers</t>
  </si>
  <si>
    <t>Payment for printing of Funds transfer books</t>
  </si>
  <si>
    <t>Labor payment for repair of generator</t>
  </si>
  <si>
    <t>Staff lunch WK1 (31st Jan -5th Feb 2022)</t>
  </si>
  <si>
    <t>Staff lunch for the WK2   ( 7th to 12th Feb 2022)</t>
  </si>
  <si>
    <t>Staff lunch WK3 ( 14th -19th Feb 2022)</t>
  </si>
  <si>
    <t>staff Lunch WK4 ( 21st-28th Feb 2022)</t>
  </si>
  <si>
    <t>staff lunch for W3 ( 17th-22nd Jan 22)</t>
  </si>
  <si>
    <t>staff lunch for WK2 (10th-15th Jan 22)</t>
  </si>
  <si>
    <t>Staff lunch for WK1 (1st-8th Jan 22 )</t>
  </si>
  <si>
    <t>staff lunch for WK3 (24th -29th Jan)</t>
  </si>
  <si>
    <t>Sugar 6kgs</t>
  </si>
  <si>
    <t>sugar 1 kg</t>
  </si>
  <si>
    <t>Sugar 1kgs</t>
  </si>
  <si>
    <t>sugar 4kg</t>
  </si>
  <si>
    <t>Agency Bilboard installation</t>
  </si>
  <si>
    <t>Platinum security group salary for January 2022</t>
  </si>
  <si>
    <t>Payment to Kagwa Robert for Data clean up and updates of software</t>
  </si>
  <si>
    <t>Staff Salary for February 2022</t>
  </si>
  <si>
    <t>Hand sanitizer</t>
  </si>
  <si>
    <t>Internet bundles</t>
  </si>
  <si>
    <t>Transport facilitation for credit officers</t>
  </si>
  <si>
    <t>Staff lunch for WK1 (1st-5th March 22 )</t>
  </si>
  <si>
    <t>763/5107</t>
  </si>
  <si>
    <t>671/5101</t>
  </si>
  <si>
    <t>NSUBUGA DAVID</t>
  </si>
  <si>
    <t>Businesman</t>
  </si>
  <si>
    <t>CM76093101WLPC</t>
  </si>
  <si>
    <t>BACIA AISHA</t>
  </si>
  <si>
    <t>CF79066102MJQC</t>
  </si>
  <si>
    <t>674/5048</t>
  </si>
  <si>
    <t>REF:Cash cover refund</t>
  </si>
  <si>
    <t>676/5056</t>
  </si>
  <si>
    <t>REF:37/854 Cash cover refund</t>
  </si>
  <si>
    <t>764/5060</t>
  </si>
  <si>
    <t>REF: 563 Cash cover refund</t>
  </si>
  <si>
    <t>680/5065</t>
  </si>
  <si>
    <t>747/5061</t>
  </si>
  <si>
    <t>675/5044</t>
  </si>
  <si>
    <t>DRANIKU ALBERT</t>
  </si>
  <si>
    <t>Audi P/S</t>
  </si>
  <si>
    <t>Dimbuni</t>
  </si>
  <si>
    <t>CM700771002MQH</t>
  </si>
  <si>
    <t>681/5090</t>
  </si>
  <si>
    <t>SSEKITOOLEKO MUGABI</t>
  </si>
  <si>
    <t>REF: 4243 C/C Refund</t>
  </si>
  <si>
    <t>Radiographer</t>
  </si>
  <si>
    <t>Carlor Medical Services</t>
  </si>
  <si>
    <t>CM9604710306JJ</t>
  </si>
  <si>
    <t>OSORU HELLEN</t>
  </si>
  <si>
    <t>CF890771039VHJ</t>
  </si>
  <si>
    <t>MORO YASSINI NURU DRILIGA</t>
  </si>
  <si>
    <t>Pijoke</t>
  </si>
  <si>
    <t>Mijala</t>
  </si>
  <si>
    <t>CM71066103CR7K</t>
  </si>
  <si>
    <t>FOGO FRANCIS DRANI</t>
  </si>
  <si>
    <t>Koboko Modern SS</t>
  </si>
  <si>
    <t>CM65002100L0QE</t>
  </si>
  <si>
    <t>BONGO PATRICK NAMISI</t>
  </si>
  <si>
    <t>Development Worker</t>
  </si>
  <si>
    <t>Adakada</t>
  </si>
  <si>
    <t>CM81051105RKAH</t>
  </si>
  <si>
    <t>693/5072</t>
  </si>
  <si>
    <t>765/5069</t>
  </si>
  <si>
    <t>TWAHA GBAGBE</t>
  </si>
  <si>
    <t>AYISA AJONYE</t>
  </si>
  <si>
    <t>CF880661010MRD</t>
  </si>
  <si>
    <t>5249/5247/696</t>
  </si>
  <si>
    <t>ASERU MARY</t>
  </si>
  <si>
    <t>koboko Taxi park</t>
  </si>
  <si>
    <t>CF8400210D8GYC</t>
  </si>
  <si>
    <t>698/5316</t>
  </si>
  <si>
    <t>5271/704</t>
  </si>
  <si>
    <t>Printing of payment requisition booklets</t>
  </si>
  <si>
    <t>GIRE ELIZABETH</t>
  </si>
  <si>
    <t>706/5505</t>
  </si>
  <si>
    <t>Central Road</t>
  </si>
  <si>
    <t>CF8606610077EH</t>
  </si>
  <si>
    <t>NIGHT RAIMA</t>
  </si>
  <si>
    <t>ALERU CLARE OKUNIA</t>
  </si>
  <si>
    <t>CF94066101N12K</t>
  </si>
  <si>
    <t>CF0000210MDENF</t>
  </si>
  <si>
    <t>709/5163</t>
  </si>
  <si>
    <t>713/5516</t>
  </si>
  <si>
    <t>716/5188</t>
  </si>
  <si>
    <t>NYAUSI SHABAN LAWRENCE</t>
  </si>
  <si>
    <t>725/5284</t>
  </si>
  <si>
    <t>726/5416</t>
  </si>
  <si>
    <t>722/5283</t>
  </si>
  <si>
    <t>MAMBO EDWARD</t>
  </si>
  <si>
    <t>Kochi</t>
  </si>
  <si>
    <t>Arese</t>
  </si>
  <si>
    <t>CM90066102CZ2L</t>
  </si>
  <si>
    <t>ADAM MUSA LEMERIGA</t>
  </si>
  <si>
    <t>Tekere</t>
  </si>
  <si>
    <t>CM9406610025VH</t>
  </si>
  <si>
    <t>MENGE ABDURAHAMAN RATIB</t>
  </si>
  <si>
    <t>Central market</t>
  </si>
  <si>
    <t>BAKO MASUMBUKA AJUGA</t>
  </si>
  <si>
    <t>CF740661029T6J</t>
  </si>
  <si>
    <t>CM78066103FARL</t>
  </si>
  <si>
    <t>CM86066103EUGH</t>
  </si>
  <si>
    <t>721/5426</t>
  </si>
  <si>
    <t>CF790661007U8J</t>
  </si>
  <si>
    <t>Staff lunch for WK2 (7th-12th March 22 )</t>
  </si>
  <si>
    <t>printing of pass books</t>
  </si>
  <si>
    <t>Managers Diarry for 2022</t>
  </si>
  <si>
    <t>Payment for teller chair</t>
  </si>
  <si>
    <t>Staff lunch for WK3 (14th-19th March 22 )</t>
  </si>
  <si>
    <t>Staff lunch for WK4 (21st -26th March 22 )</t>
  </si>
  <si>
    <t>Manile loan files</t>
  </si>
  <si>
    <t>5442/546</t>
  </si>
  <si>
    <t>5439/548</t>
  </si>
  <si>
    <t>ARIONZI BENARD</t>
  </si>
  <si>
    <t>349/5196</t>
  </si>
  <si>
    <t>Security Guard</t>
  </si>
  <si>
    <t>Shell Poetrol Station</t>
  </si>
  <si>
    <t>CM9800210D085H</t>
  </si>
  <si>
    <t>547/5350</t>
  </si>
  <si>
    <t>SONYE SCOVIA</t>
  </si>
  <si>
    <t>ibongo</t>
  </si>
  <si>
    <t>CF92066102DX6C</t>
  </si>
  <si>
    <t>YEKA EMMANUEL</t>
  </si>
  <si>
    <t>ORABA</t>
  </si>
  <si>
    <t>Ropoli village</t>
  </si>
  <si>
    <t>CM880661013VLL</t>
  </si>
  <si>
    <t>550/5707</t>
  </si>
  <si>
    <t>5728/555</t>
  </si>
  <si>
    <t>5739/558</t>
  </si>
  <si>
    <t>5744/560</t>
  </si>
  <si>
    <t>Staff lunch for WK5 (28th -30th March 22 )</t>
  </si>
  <si>
    <t>Transfer charges for Sent Registration documents to Kampala</t>
  </si>
  <si>
    <t>Lunch facilitation for 31st/03/2022</t>
  </si>
  <si>
    <t>Credit airtime</t>
  </si>
  <si>
    <t>Staff salary for March 2022</t>
  </si>
  <si>
    <t>Platinum security group salary for Feb 2022</t>
  </si>
  <si>
    <t>Purchase of charcoal</t>
  </si>
  <si>
    <t>Transport for chequs signing in Arua by Aloro Frederick (To and Fro)</t>
  </si>
  <si>
    <t xml:space="preserve">Transport facilitation / feeding for New Teller during Agency Banking training </t>
  </si>
  <si>
    <t>Transport facilitation to bring perculator for office use</t>
  </si>
  <si>
    <t>Loan recovery expenses</t>
  </si>
  <si>
    <t>568/5544</t>
  </si>
  <si>
    <t>565/5533</t>
  </si>
  <si>
    <t>564/5664</t>
  </si>
  <si>
    <t>573/5679</t>
  </si>
  <si>
    <t>577/5685</t>
  </si>
  <si>
    <t>579/5601</t>
  </si>
  <si>
    <t>AJONYE FATUMA</t>
  </si>
  <si>
    <t>KAGGWA ROBERT</t>
  </si>
  <si>
    <t>570/5621</t>
  </si>
  <si>
    <t>AHMEDSALIM</t>
  </si>
  <si>
    <t>En</t>
  </si>
  <si>
    <t>Enzabi I</t>
  </si>
  <si>
    <t>CM760661004AWH</t>
  </si>
  <si>
    <t>1501/5567</t>
  </si>
  <si>
    <t>1503/5454</t>
  </si>
  <si>
    <t>5477/1507</t>
  </si>
  <si>
    <t>ANITE MARGRET</t>
  </si>
  <si>
    <t>CF770661023ATD</t>
  </si>
  <si>
    <t>5586/1510</t>
  </si>
  <si>
    <t>5481/1504</t>
  </si>
  <si>
    <t>5581/1509</t>
  </si>
  <si>
    <t>5902/578</t>
  </si>
  <si>
    <t>5954/1513</t>
  </si>
  <si>
    <t>EYOTARU DORCUS</t>
  </si>
  <si>
    <t>Gbukutu</t>
  </si>
  <si>
    <t>CF8907710305TK</t>
  </si>
  <si>
    <t>KANYA NAIMA</t>
  </si>
  <si>
    <t>CF82066102JVTJ</t>
  </si>
  <si>
    <t>IDORU DRAMUKE</t>
  </si>
  <si>
    <t>CM66066103QMQD</t>
  </si>
  <si>
    <t>5958/1521</t>
  </si>
  <si>
    <t>5965/1552</t>
  </si>
  <si>
    <t>5906/1523</t>
  </si>
  <si>
    <t>5754/1519</t>
  </si>
  <si>
    <t>5916/1530</t>
  </si>
  <si>
    <t>5765/1529</t>
  </si>
  <si>
    <t>5861/1528</t>
  </si>
  <si>
    <t>5973/1515</t>
  </si>
  <si>
    <t>1550/5886</t>
  </si>
  <si>
    <t>5881/1549</t>
  </si>
  <si>
    <t>MAWA PETER</t>
  </si>
  <si>
    <t>CM8406610ZVGPG</t>
  </si>
  <si>
    <t>5900/1552</t>
  </si>
  <si>
    <t>1533/5981</t>
  </si>
  <si>
    <t>Ream of stationary</t>
  </si>
  <si>
    <t>Generator plug</t>
  </si>
  <si>
    <t>labour for repair of generator</t>
  </si>
  <si>
    <t>Staff lunch (WK1 1st-2nd April 22)</t>
  </si>
  <si>
    <t>Motorcycle fuel TVS UFP 765E</t>
  </si>
  <si>
    <t>White tent for covering Asiku Romanos Charcoal</t>
  </si>
  <si>
    <t>payment for operational permit for FY2022</t>
  </si>
  <si>
    <t>6 kgs of sugar</t>
  </si>
  <si>
    <t>Bar of soap</t>
  </si>
  <si>
    <t>10 litres Liquid soap</t>
  </si>
  <si>
    <t>Mopper</t>
  </si>
  <si>
    <t>Bolts for installing notice board</t>
  </si>
  <si>
    <t>Wall plugs for installing notice board</t>
  </si>
  <si>
    <t>Labor for installing notice board</t>
  </si>
  <si>
    <t>Staff lunch (WK2  4th-9th April 22)</t>
  </si>
  <si>
    <t>Staff lunch (WK3   11th-14th April 22)</t>
  </si>
  <si>
    <t>Staff lunch (WK4   19th-23th April 22)</t>
  </si>
  <si>
    <t>Bolts for installing Signage</t>
  </si>
  <si>
    <t>Ankels for installing signage</t>
  </si>
  <si>
    <t>Rebets for installing signage</t>
  </si>
  <si>
    <t>Concrete nails for installing signage</t>
  </si>
  <si>
    <t>Wall nails/plugs for installing signage</t>
  </si>
  <si>
    <t>Labor cost for re-installing Wnainchi microfinance signagel</t>
  </si>
  <si>
    <t>Staff lunch (WK5  25th-30th April 22)</t>
  </si>
  <si>
    <t>Intern facilitation for the month (11th-14th April 2022)</t>
  </si>
  <si>
    <t>Intern facilitation for the month (19th-23rd April 2022)</t>
  </si>
  <si>
    <t>Intern facilitation for the month (25th-30th April 2022)</t>
  </si>
  <si>
    <t>Security guard's  weekend facilitation</t>
  </si>
  <si>
    <t>Intern facilitation for the month (15th-17th April 2022)</t>
  </si>
  <si>
    <t>End of month refreshment for march 2022</t>
  </si>
  <si>
    <t>Credit transport facilitation</t>
  </si>
  <si>
    <t>General managers airtime</t>
  </si>
  <si>
    <t>staff slary for April 2022</t>
  </si>
  <si>
    <t>Tracker installation</t>
  </si>
  <si>
    <t>electricity</t>
  </si>
  <si>
    <t>Purchase of motorcycle TVS STAR 125 Black in color UFP 765E</t>
  </si>
  <si>
    <t>Customer Display/ notice board</t>
  </si>
  <si>
    <t>Thump tick pins for notice board</t>
  </si>
  <si>
    <t>Motorcycle Branding UFP 765E</t>
  </si>
  <si>
    <t>Engraving &amp; labelling Motorcycle UFP 765E</t>
  </si>
  <si>
    <t>Washing of Motorcycle TVS UFP 765E</t>
  </si>
  <si>
    <t>Payment for development of Lending policy document for Wanainchi Microfinance</t>
  </si>
  <si>
    <t>charcoal</t>
  </si>
  <si>
    <t>Transport Recovery cost for Etole Biajos Motorcycle</t>
  </si>
  <si>
    <t>JUMBA BEN DADA</t>
  </si>
  <si>
    <t>CM70066102M7KG</t>
  </si>
  <si>
    <t>5793/1534</t>
  </si>
  <si>
    <t>5791/1562</t>
  </si>
  <si>
    <t>5771/1553</t>
  </si>
  <si>
    <t>Rent Payment for Jan, Feb and March 2022</t>
  </si>
  <si>
    <t>5987/1532</t>
  </si>
  <si>
    <t>5800/1561</t>
  </si>
  <si>
    <t>JANE JOSEPH</t>
  </si>
  <si>
    <t>CF83066100R6XJ</t>
  </si>
  <si>
    <t>AYIKORU FLORENCE</t>
  </si>
  <si>
    <t>Sakari Road</t>
  </si>
  <si>
    <t>Senina</t>
  </si>
  <si>
    <t>CF83077100CKNF</t>
  </si>
  <si>
    <t>5829/1569</t>
  </si>
  <si>
    <t>5932/1567</t>
  </si>
  <si>
    <t>MUSA ZAKARIA</t>
  </si>
  <si>
    <t>Mechanic</t>
  </si>
  <si>
    <t>Round about</t>
  </si>
  <si>
    <t>CM70066101NGUA</t>
  </si>
  <si>
    <t>7461/702</t>
  </si>
  <si>
    <t>LUPAI DAVID</t>
  </si>
  <si>
    <t>NAADS Cordinator</t>
  </si>
  <si>
    <t>ANYAKALIO</t>
  </si>
  <si>
    <t>CM73066102Q24C</t>
  </si>
  <si>
    <t>7363/1583</t>
  </si>
  <si>
    <t>5947/1578</t>
  </si>
  <si>
    <t>7362/1585</t>
  </si>
  <si>
    <t>7364/1586</t>
  </si>
  <si>
    <t>7359/1584</t>
  </si>
  <si>
    <t>7379/1589</t>
  </si>
  <si>
    <t>7379/1590</t>
  </si>
  <si>
    <t>7381/1591</t>
  </si>
  <si>
    <t>LEMERIGA JUSTIN</t>
  </si>
  <si>
    <t>CM850661017LQG</t>
  </si>
  <si>
    <t>7395/1593</t>
  </si>
  <si>
    <t>575/7397</t>
  </si>
  <si>
    <t>BAKO FLORENCE</t>
  </si>
  <si>
    <t>Sambia</t>
  </si>
  <si>
    <t>CF760661022UZF</t>
  </si>
  <si>
    <t>6007/1598</t>
  </si>
  <si>
    <t>6016/1601</t>
  </si>
  <si>
    <t>7440/1599</t>
  </si>
  <si>
    <t>6012/1514</t>
  </si>
  <si>
    <t>6056/1602</t>
  </si>
  <si>
    <t>6027/1603</t>
  </si>
  <si>
    <t>6068/1604</t>
  </si>
  <si>
    <t>6034/1606</t>
  </si>
  <si>
    <t>6072/1607</t>
  </si>
  <si>
    <t>6041/1608</t>
  </si>
  <si>
    <t>7450/1615</t>
  </si>
  <si>
    <t xml:space="preserve"> </t>
  </si>
  <si>
    <t>ARABA JOYCE</t>
  </si>
  <si>
    <t>6161/1612</t>
  </si>
  <si>
    <t>6320/1613</t>
  </si>
  <si>
    <t>6167/1622</t>
  </si>
  <si>
    <t>EDRENDU GEOFREY</t>
  </si>
  <si>
    <t>CM8700210068RA</t>
  </si>
  <si>
    <t>Transport to ARUA</t>
  </si>
  <si>
    <t>Boda boda movement in Arua in search of the Motorcycle</t>
  </si>
  <si>
    <t>Lunch, Breakfast and refreshment while in Arua</t>
  </si>
  <si>
    <t>M/C Expenses outside imprest Budget</t>
  </si>
  <si>
    <t>Airtime and internet Data for communication with supplier of M/C in kampala</t>
  </si>
  <si>
    <t>Facilitation for the Driver of Muni University in delivering the M/C WMF offices</t>
  </si>
  <si>
    <t>Fueling University van in ARUA ,10 litres</t>
  </si>
  <si>
    <t>Fabricating front and rear guard number plate holders each at 8,0000=</t>
  </si>
  <si>
    <t>Loading and offloading motorcycle</t>
  </si>
  <si>
    <t xml:space="preserve">Ropes for tying motorcycle on the </t>
  </si>
  <si>
    <t>10%  Payment for MAY &amp; JUNE 2021</t>
  </si>
  <si>
    <t>10% NSSF Payment for July 2021</t>
  </si>
  <si>
    <t>10% NSSF Payment for Aug 2021</t>
  </si>
  <si>
    <t>10% NSSF payment for SEPT 2021</t>
  </si>
  <si>
    <t>10% NSSF payment for OCT 2021</t>
  </si>
  <si>
    <t>10% NSSF Payment for NOV 2021</t>
  </si>
  <si>
    <t>10% NSSF Payment for DEC 2021</t>
  </si>
  <si>
    <t xml:space="preserve">10% NSSF Payment for Jan 2022 </t>
  </si>
  <si>
    <t>10% NSSF payment for FEB 2022</t>
  </si>
  <si>
    <t>10% NSSF payment for March 2022</t>
  </si>
  <si>
    <t>10% NSSF payment for APRIL 2022</t>
  </si>
  <si>
    <t>Clock battery</t>
  </si>
  <si>
    <t>Sugar, 6 kgs @ 4000</t>
  </si>
  <si>
    <t>credit airtime (3rd-14th)</t>
  </si>
  <si>
    <t>Intern facilitation (3rd-7th may 2022)</t>
  </si>
  <si>
    <t>staff lunch (2nd-8th may 2022)</t>
  </si>
  <si>
    <t>Weekend payments of arrears to security guard</t>
  </si>
  <si>
    <t>charcoal stove</t>
  </si>
  <si>
    <t>Water Bill (Jan, febMarch 2022)</t>
  </si>
  <si>
    <t>Paper files</t>
  </si>
  <si>
    <t>Generator Fuel</t>
  </si>
  <si>
    <t>Washing of motorcycle UFP 765E</t>
  </si>
  <si>
    <t>office towels</t>
  </si>
  <si>
    <t>Intern facilitation (9rd-14th may 2022)</t>
  </si>
  <si>
    <t>staff lunch (9th-15th may 2022)</t>
  </si>
  <si>
    <t>Motorcycle Fuel UFP 765E</t>
  </si>
  <si>
    <t>Assorted Stationary</t>
  </si>
  <si>
    <t>credit airtime (14th-24th)</t>
  </si>
  <si>
    <t>cable</t>
  </si>
  <si>
    <t>Stamp inks</t>
  </si>
  <si>
    <t>Motorcycle service  UFP 765E</t>
  </si>
  <si>
    <t>Intern facilitation (16th -21st may 2022)</t>
  </si>
  <si>
    <t>staff lunch (16th-22nd may 2022)</t>
  </si>
  <si>
    <t>Wiring set</t>
  </si>
  <si>
    <t>credit airtime (24th-31st)</t>
  </si>
  <si>
    <t>staff lunch (23rd -29th may 2022)</t>
  </si>
  <si>
    <t>Generator service</t>
  </si>
  <si>
    <t>Staff salary for May 2022</t>
  </si>
  <si>
    <t>Annual license payment to Uganda microfinance regulatory Authority</t>
  </si>
  <si>
    <t>Financial expenses</t>
  </si>
  <si>
    <t>SAL</t>
  </si>
  <si>
    <t>6342/1630</t>
  </si>
  <si>
    <t>6176/1646</t>
  </si>
  <si>
    <t>6231/1647</t>
  </si>
  <si>
    <t>staff lunch 30-31 may 2022</t>
  </si>
  <si>
    <t>motorcycle service change of acid</t>
  </si>
  <si>
    <t>6233/585</t>
  </si>
  <si>
    <t>Imprest for June 2022</t>
  </si>
  <si>
    <t>5844/811</t>
  </si>
  <si>
    <t xml:space="preserve"> ALORO MOSES</t>
  </si>
  <si>
    <t>CM99066106VUDL</t>
  </si>
  <si>
    <t>SADIA MANENO</t>
  </si>
  <si>
    <t>ID</t>
  </si>
  <si>
    <t>WANAINCH MICROFINANCE LIMITED</t>
  </si>
  <si>
    <t>MANAGEMENT ACCOUNTS</t>
  </si>
  <si>
    <t>STATEMENT OF COMPREHENSIVE INCOME (INCOME STATEMENT)</t>
  </si>
  <si>
    <t>Account Opening</t>
  </si>
  <si>
    <t>Office expenses</t>
  </si>
  <si>
    <t>Motor Vehicle</t>
  </si>
  <si>
    <t>Computer &amp; Accessories</t>
  </si>
  <si>
    <t>NSSF Remittences</t>
  </si>
  <si>
    <t>Motorcycle expenses</t>
  </si>
  <si>
    <t>Staff Salaries</t>
  </si>
  <si>
    <t>Prepaid Rent</t>
  </si>
  <si>
    <t>Other Staff expenses</t>
  </si>
  <si>
    <t>Office Stationary</t>
  </si>
  <si>
    <t>FOR THE PERIOD ENDING 31 DECEMBER 2021</t>
  </si>
  <si>
    <t>Months:</t>
  </si>
  <si>
    <t>Particulars</t>
  </si>
  <si>
    <t>Trans-Particulars</t>
  </si>
  <si>
    <t>Ref-Code</t>
  </si>
  <si>
    <t>Rent Payment/Head Office</t>
  </si>
  <si>
    <t>Payments</t>
  </si>
  <si>
    <t>Rpayt01</t>
  </si>
  <si>
    <t>Rent Expense/Head Office</t>
  </si>
  <si>
    <t>Office Rent Account</t>
  </si>
  <si>
    <t>Rent Payment for November &amp; December 2021</t>
  </si>
  <si>
    <t>Value Date</t>
  </si>
  <si>
    <t>Office Rent</t>
  </si>
  <si>
    <t>STATEMENT OF FINANCIAL POSITION (Balanc Sheet)</t>
  </si>
  <si>
    <t>Cash and Cash Equivalents</t>
  </si>
  <si>
    <t>Share Cpaital</t>
  </si>
  <si>
    <t>Retained Surplus</t>
  </si>
  <si>
    <t>LIABILITIES</t>
  </si>
  <si>
    <t>EQUITY &amp; LIABILITY</t>
  </si>
  <si>
    <t>000</t>
  </si>
  <si>
    <t>Interest Rate(Monthly)</t>
  </si>
  <si>
    <t>Period (Month)</t>
  </si>
  <si>
    <t>Interest Method</t>
  </si>
  <si>
    <t>Reducing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</si>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</sst>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[$-409]d\-mmm\-yyyy;@"/>
    <numFmt numFmtId="167" formatCode="[$]d\ mmm\ yyyy;@"/>
    <numFmt numFmtId="168" formatCode="_-* #,##0.0_-;\-* #,##0.0_-;_-* &quot;-&quot;_-;_-@_-"/>
    <numFmt numFmtId="169" formatCode="_(* #,##0_);_(* \(#,##0\);_(* &quot;-&quot;??_);_(@_)"/>
    <numFmt numFmtId="170" formatCode="0.0%"/>
    <numFmt numFmtId="171" formatCode="mm/dd/yy;@"/>
    <numFmt numFmtId="172" formatCode="_-* #,##0.00_-;\-* #,##0.00_-;_-* &quot;-&quot;_-;_-@_-"/>
    <numFmt numFmtId="173" formatCode="_-* #,##0_-;\-* #,##0_-;_-* &quot;-&quot;??_-;_-@_-"/>
    <numFmt numFmtId="174" formatCode="[$-409]d\-mmm\-yy;@"/>
  </numFmts>
  <fonts count="53" x14ac:knownFonts="1">
    <font>
      <sz val="11"/>
      <color theme="1"/>
      <name val="Calibri"/>
      <family val="2"/>
      <scheme val="minor"/>
    </font>
    <font>
      <b/>
      <sz val="11"/>
      <color theme="1" tint="0.24994659260841701"/>
      <name val="Calibri"/>
      <family val="2"/>
      <scheme val="minor"/>
    </font>
    <font>
      <sz val="12"/>
      <color theme="1" tint="0.24994659260841701"/>
      <name val="Calibri Light"/>
      <family val="2"/>
      <scheme val="major"/>
    </font>
    <font>
      <sz val="11"/>
      <color theme="1" tint="0.24994659260841701"/>
      <name val="Calibri Light"/>
      <family val="2"/>
      <scheme val="major"/>
    </font>
    <font>
      <sz val="14"/>
      <color theme="1" tint="0.2499465926084170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3"/>
      <color theme="1" tint="0.24994659260841701"/>
      <name val="Calibri Light"/>
      <family val="2"/>
      <scheme val="major"/>
    </font>
    <font>
      <b/>
      <sz val="13"/>
      <color theme="7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Tahoma"/>
      <family val="2"/>
    </font>
    <font>
      <b/>
      <sz val="11"/>
      <name val="Tahoma"/>
      <family val="2"/>
    </font>
    <font>
      <b/>
      <u/>
      <sz val="11"/>
      <name val="Tahoma"/>
      <family val="2"/>
    </font>
    <font>
      <i/>
      <sz val="11"/>
      <name val="Tahoma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Tahoma"/>
      <family val="2"/>
    </font>
    <font>
      <b/>
      <shadow/>
      <u/>
      <sz val="11"/>
      <color rgb="FF000000"/>
      <name val="Tahoma"/>
      <family val="2"/>
    </font>
    <font>
      <shadow/>
      <sz val="11"/>
      <color rgb="FF000000"/>
      <name val="Tahoma"/>
      <family val="2"/>
    </font>
    <font>
      <u/>
      <sz val="11"/>
      <name val="Tahoma"/>
      <family val="2"/>
    </font>
    <font>
      <sz val="10"/>
      <name val="Tahoma"/>
      <family val="2"/>
    </font>
    <font>
      <sz val="10"/>
      <color theme="1"/>
      <name val="Tahoma"/>
      <family val="2"/>
    </font>
    <font>
      <sz val="8"/>
      <name val="Calibri"/>
      <family val="2"/>
      <scheme val="minor"/>
    </font>
    <font>
      <sz val="10"/>
      <color theme="9" tint="0.79998168889431442"/>
      <name val="Tahoma"/>
      <family val="2"/>
    </font>
    <font>
      <sz val="10"/>
      <color theme="0" tint="-4.9989318521683403E-2"/>
      <name val="Tahoma"/>
      <family val="2"/>
    </font>
    <font>
      <sz val="10"/>
      <color rgb="FFC00000"/>
      <name val="Tahoma"/>
      <family val="2"/>
    </font>
    <font>
      <sz val="10"/>
      <color theme="0"/>
      <name val="Tahoma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b/>
      <sz val="10"/>
      <color theme="1"/>
      <name val="Tahoma"/>
      <family val="2"/>
    </font>
    <font>
      <sz val="11"/>
      <color rgb="FFFFFF00"/>
      <name val="Calibri"/>
      <family val="2"/>
      <scheme val="minor"/>
    </font>
    <font>
      <sz val="10"/>
      <color theme="8" tint="0.79998168889431442"/>
      <name val="Tahoma"/>
      <family val="2"/>
    </font>
    <font>
      <b/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Tahoma"/>
      <family val="2"/>
    </font>
    <font>
      <sz val="10"/>
      <color rgb="FF006100"/>
      <name val="Tahoma"/>
      <family val="2"/>
    </font>
    <font>
      <sz val="10"/>
      <color theme="9" tint="0.59999389629810485"/>
      <name val="Tahoma"/>
      <family val="2"/>
    </font>
    <font>
      <sz val="10"/>
      <color rgb="FF0000CC"/>
      <name val="Tahoma"/>
      <family val="2"/>
    </font>
    <font>
      <b/>
      <sz val="10"/>
      <color rgb="FF0000CC"/>
      <name val="Tahoma"/>
      <family val="2"/>
    </font>
    <font>
      <b/>
      <sz val="10"/>
      <color theme="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Times New Roman"/>
      <family val="1"/>
    </font>
    <font>
      <sz val="10"/>
      <color theme="1"/>
      <name val="Tahoma"/>
      <family val="2"/>
    </font>
    <font>
      <sz val="10"/>
      <color theme="1"/>
      <name val="Tahoma"/>
    </font>
    <font>
      <b/>
      <sz val="10"/>
      <color theme="1"/>
      <name val="Tahoma"/>
    </font>
    <font>
      <sz val="10"/>
      <color theme="0"/>
      <name val="Tahoma"/>
    </font>
    <font>
      <sz val="9"/>
      <color theme="1"/>
      <name val="Tahoma"/>
      <family val="2"/>
    </font>
    <font>
      <sz val="9"/>
      <color theme="0"/>
      <name val="Tahoma"/>
      <family val="2"/>
    </font>
    <font>
      <b/>
      <sz val="9"/>
      <color theme="0"/>
      <name val="Tahoma"/>
      <family val="2"/>
    </font>
    <font>
      <sz val="9"/>
      <name val="Tahoma"/>
      <family val="2"/>
    </font>
    <font>
      <sz val="9"/>
      <color rgb="FFFF0000"/>
      <name val="Tahoma"/>
      <family val="2"/>
    </font>
  </fonts>
  <fills count="48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lightUp">
        <fgColor theme="7"/>
      </patternFill>
    </fill>
    <fill>
      <patternFill patternType="lightUp">
        <fgColor theme="7"/>
        <bgColor theme="7" tint="0.59996337778862885"/>
      </patternFill>
    </fill>
    <fill>
      <patternFill patternType="solid">
        <fgColor theme="7"/>
        <bgColor auto="1"/>
      </patternFill>
    </fill>
    <fill>
      <patternFill patternType="lightUp">
        <fgColor theme="7"/>
        <bgColor theme="9" tint="0.59996337778862885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theme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00C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/>
      </patternFill>
    </fill>
    <fill>
      <patternFill patternType="solid">
        <fgColor rgb="FFFF0000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theme="8" tint="0.79998168889431442"/>
        <bgColor indexed="64"/>
      </patternFill>
    </fill>
  </fills>
  <borders count="75">
    <border>
      <left/>
      <right/>
      <top/>
      <bottom/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 style="thick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n">
        <color theme="7"/>
      </bottom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C00000"/>
      </bottom>
      <diagonal/>
    </border>
    <border>
      <left style="double">
        <color rgb="FFC00000"/>
      </left>
      <right/>
      <top style="double">
        <color rgb="FFC00000"/>
      </top>
      <bottom/>
      <diagonal/>
    </border>
    <border>
      <left/>
      <right/>
      <top style="double">
        <color rgb="FFC00000"/>
      </top>
      <bottom/>
      <diagonal/>
    </border>
    <border>
      <left/>
      <right style="double">
        <color rgb="FFC00000"/>
      </right>
      <top style="double">
        <color rgb="FFC00000"/>
      </top>
      <bottom/>
      <diagonal/>
    </border>
    <border>
      <left style="double">
        <color rgb="FFC00000"/>
      </left>
      <right/>
      <top/>
      <bottom/>
      <diagonal/>
    </border>
    <border>
      <left/>
      <right style="double">
        <color rgb="FFC00000"/>
      </right>
      <top/>
      <bottom/>
      <diagonal/>
    </border>
    <border>
      <left style="double">
        <color rgb="FFC00000"/>
      </left>
      <right/>
      <top/>
      <bottom style="double">
        <color rgb="FFC00000"/>
      </bottom>
      <diagonal/>
    </border>
    <border>
      <left/>
      <right style="double">
        <color rgb="FFC00000"/>
      </right>
      <top/>
      <bottom style="double">
        <color rgb="FFC00000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B2B2B2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thin">
        <color indexed="64"/>
      </left>
      <right style="thick">
        <color theme="0"/>
      </right>
      <top style="thin">
        <color indexed="64"/>
      </top>
      <bottom style="thick">
        <color theme="0"/>
      </bottom>
      <diagonal/>
    </border>
    <border>
      <left style="thick">
        <color theme="0"/>
      </left>
      <right style="thin">
        <color indexed="64"/>
      </right>
      <top style="thin">
        <color indexed="64"/>
      </top>
      <bottom style="thick">
        <color theme="0"/>
      </bottom>
      <diagonal/>
    </border>
    <border>
      <left style="thin">
        <color indexed="64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n">
        <color indexed="64"/>
      </right>
      <top style="thick">
        <color theme="0"/>
      </top>
      <bottom style="thick">
        <color theme="0"/>
      </bottom>
      <diagonal/>
    </border>
    <border>
      <left style="thin">
        <color indexed="64"/>
      </left>
      <right style="thick">
        <color theme="0"/>
      </right>
      <top style="thick">
        <color theme="0"/>
      </top>
      <bottom style="thin">
        <color indexed="64"/>
      </bottom>
      <diagonal/>
    </border>
    <border>
      <left style="thick">
        <color theme="0"/>
      </left>
      <right style="thin">
        <color indexed="64"/>
      </right>
      <top style="thick">
        <color theme="0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indexed="64"/>
      </top>
      <bottom style="thin">
        <color rgb="FFC00000"/>
      </bottom>
      <diagonal/>
    </border>
    <border>
      <left style="thin">
        <color rgb="FFB2B2B2"/>
      </left>
      <right style="thin">
        <color rgb="FFB2B2B2"/>
      </right>
      <top style="thin">
        <color indexed="64"/>
      </top>
      <bottom style="double">
        <color indexed="64"/>
      </bottom>
      <diagonal/>
    </border>
    <border>
      <left style="thin">
        <color rgb="FFC00000"/>
      </left>
      <right style="thin">
        <color rgb="FFC00000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ck">
        <color theme="0"/>
      </left>
      <right style="thick">
        <color theme="0"/>
      </right>
      <top style="thin">
        <color indexed="64"/>
      </top>
      <bottom style="thick">
        <color theme="0"/>
      </bottom>
      <diagonal/>
    </border>
    <border>
      <left style="thin">
        <color indexed="64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indexed="64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rgb="FFC00000"/>
      </right>
      <top style="thin">
        <color rgb="FFC00000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indexed="64"/>
      </bottom>
      <diagonal/>
    </border>
    <border>
      <left style="thin">
        <color rgb="FFC00000"/>
      </left>
      <right/>
      <top style="thin">
        <color rgb="FFC00000"/>
      </top>
      <bottom style="thin">
        <color rgb="FFC0000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0000CC"/>
      </bottom>
      <diagonal/>
    </border>
    <border>
      <left/>
      <right/>
      <top style="thin">
        <color rgb="FF0000CC"/>
      </top>
      <bottom style="medium">
        <color rgb="FF0000CC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n">
        <color indexed="64"/>
      </bottom>
      <diagonal/>
    </border>
  </borders>
  <cellStyleXfs count="26">
    <xf numFmtId="0" fontId="0" fillId="0" borderId="0"/>
    <xf numFmtId="0" fontId="1" fillId="2" borderId="1" applyNumberFormat="0" applyProtection="0">
      <alignment horizontal="left" vertical="center"/>
    </xf>
    <xf numFmtId="1" fontId="2" fillId="2" borderId="1">
      <alignment horizontal="center" vertical="center"/>
    </xf>
    <xf numFmtId="0" fontId="3" fillId="3" borderId="2" applyNumberFormat="0" applyFont="0" applyAlignment="0">
      <alignment horizontal="center"/>
    </xf>
    <xf numFmtId="0" fontId="4" fillId="0" borderId="0" applyNumberFormat="0" applyFill="0" applyBorder="0" applyProtection="0">
      <alignment horizontal="left" vertical="center"/>
    </xf>
    <xf numFmtId="0" fontId="3" fillId="4" borderId="3" applyNumberFormat="0" applyFont="0" applyAlignment="0">
      <alignment horizontal="center"/>
    </xf>
    <xf numFmtId="0" fontId="3" fillId="5" borderId="3" applyNumberFormat="0" applyFont="0" applyAlignment="0">
      <alignment horizontal="center"/>
    </xf>
    <xf numFmtId="0" fontId="3" fillId="6" borderId="3" applyNumberFormat="0" applyFont="0" applyAlignment="0">
      <alignment horizontal="center"/>
    </xf>
    <xf numFmtId="0" fontId="3" fillId="7" borderId="3" applyNumberFormat="0" applyFont="0" applyAlignment="0">
      <alignment horizontal="center"/>
    </xf>
    <xf numFmtId="0" fontId="5" fillId="0" borderId="0" applyFill="0" applyBorder="0" applyProtection="0">
      <alignment horizontal="center" wrapText="1"/>
    </xf>
    <xf numFmtId="3" fontId="5" fillId="0" borderId="4" applyFill="0" applyProtection="0">
      <alignment horizontal="center"/>
    </xf>
    <xf numFmtId="0" fontId="6" fillId="0" borderId="0" applyFill="0" applyBorder="0" applyProtection="0">
      <alignment horizontal="left" wrapText="1"/>
    </xf>
    <xf numFmtId="9" fontId="7" fillId="0" borderId="0" applyFill="0" applyBorder="0" applyProtection="0">
      <alignment horizontal="center" vertical="center"/>
    </xf>
    <xf numFmtId="164" fontId="8" fillId="0" borderId="0" applyFont="0" applyFill="0" applyBorder="0" applyAlignment="0" applyProtection="0"/>
    <xf numFmtId="0" fontId="8" fillId="9" borderId="6" applyNumberFormat="0" applyFont="0" applyAlignment="0" applyProtection="0"/>
    <xf numFmtId="0" fontId="9" fillId="10" borderId="0" applyNumberFormat="0" applyBorder="0" applyAlignment="0" applyProtection="0"/>
    <xf numFmtId="0" fontId="10" fillId="0" borderId="0"/>
    <xf numFmtId="0" fontId="15" fillId="0" borderId="0" applyNumberFormat="0" applyFill="0" applyBorder="0" applyAlignment="0" applyProtection="0"/>
    <xf numFmtId="165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8" fillId="20" borderId="0" applyNumberFormat="0" applyBorder="0" applyAlignment="0" applyProtection="0"/>
    <xf numFmtId="0" fontId="34" fillId="28" borderId="0" applyNumberFormat="0" applyBorder="0" applyAlignment="0" applyProtection="0"/>
    <xf numFmtId="0" fontId="9" fillId="33" borderId="0" applyNumberFormat="0" applyBorder="0" applyAlignment="0" applyProtection="0"/>
    <xf numFmtId="0" fontId="9" fillId="44" borderId="0" applyNumberFormat="0" applyBorder="0" applyAlignment="0" applyProtection="0"/>
  </cellStyleXfs>
  <cellXfs count="658">
    <xf numFmtId="0" fontId="0" fillId="0" borderId="0" xfId="0"/>
    <xf numFmtId="0" fontId="11" fillId="0" borderId="0" xfId="16" applyFont="1"/>
    <xf numFmtId="49" fontId="12" fillId="11" borderId="5" xfId="16" applyNumberFormat="1" applyFont="1" applyFill="1" applyBorder="1" applyAlignment="1">
      <alignment horizontal="center" vertical="center"/>
    </xf>
    <xf numFmtId="0" fontId="11" fillId="0" borderId="8" xfId="16" applyFont="1" applyBorder="1"/>
    <xf numFmtId="0" fontId="16" fillId="8" borderId="9" xfId="17" applyFont="1" applyFill="1" applyBorder="1" applyAlignment="1">
      <alignment horizontal="right"/>
    </xf>
    <xf numFmtId="0" fontId="11" fillId="0" borderId="10" xfId="16" applyFont="1" applyBorder="1"/>
    <xf numFmtId="0" fontId="11" fillId="0" borderId="11" xfId="16" applyFont="1" applyBorder="1"/>
    <xf numFmtId="0" fontId="11" fillId="12" borderId="0" xfId="16" applyFont="1" applyFill="1"/>
    <xf numFmtId="0" fontId="11" fillId="0" borderId="12" xfId="16" applyFont="1" applyBorder="1"/>
    <xf numFmtId="0" fontId="12" fillId="12" borderId="0" xfId="16" applyFont="1" applyFill="1"/>
    <xf numFmtId="0" fontId="11" fillId="11" borderId="0" xfId="16" applyFont="1" applyFill="1" applyAlignment="1">
      <alignment vertical="center" wrapText="1"/>
    </xf>
    <xf numFmtId="0" fontId="12" fillId="11" borderId="0" xfId="16" applyFont="1" applyFill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1" fillId="11" borderId="0" xfId="16" applyFont="1" applyFill="1" applyAlignment="1">
      <alignment horizontal="left" vertical="center"/>
    </xf>
    <xf numFmtId="0" fontId="11" fillId="0" borderId="12" xfId="16" applyFont="1" applyBorder="1" applyAlignment="1">
      <alignment horizontal="left"/>
    </xf>
    <xf numFmtId="0" fontId="17" fillId="0" borderId="0" xfId="0" applyFont="1" applyAlignment="1">
      <alignment horizontal="center" vertical="center"/>
    </xf>
    <xf numFmtId="0" fontId="12" fillId="11" borderId="0" xfId="16" applyFont="1" applyFill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1" fillId="0" borderId="13" xfId="16" applyFont="1" applyBorder="1"/>
    <xf numFmtId="0" fontId="11" fillId="0" borderId="7" xfId="16" applyFont="1" applyBorder="1"/>
    <xf numFmtId="0" fontId="11" fillId="0" borderId="14" xfId="16" applyFont="1" applyBorder="1"/>
    <xf numFmtId="0" fontId="11" fillId="0" borderId="9" xfId="16" applyFont="1" applyBorder="1" applyAlignment="1">
      <alignment horizontal="center"/>
    </xf>
    <xf numFmtId="0" fontId="11" fillId="11" borderId="0" xfId="16" applyFont="1" applyFill="1"/>
    <xf numFmtId="0" fontId="12" fillId="11" borderId="0" xfId="16" applyFont="1" applyFill="1" applyAlignment="1">
      <alignment horizontal="center"/>
    </xf>
    <xf numFmtId="0" fontId="11" fillId="13" borderId="0" xfId="16" applyFont="1" applyFill="1"/>
    <xf numFmtId="15" fontId="11" fillId="13" borderId="0" xfId="16" applyNumberFormat="1" applyFont="1" applyFill="1"/>
    <xf numFmtId="0" fontId="13" fillId="13" borderId="0" xfId="16" applyFont="1" applyFill="1" applyAlignment="1">
      <alignment horizontal="center"/>
    </xf>
    <xf numFmtId="167" fontId="11" fillId="13" borderId="0" xfId="16" applyNumberFormat="1" applyFont="1" applyFill="1" applyAlignment="1">
      <alignment horizontal="center"/>
    </xf>
    <xf numFmtId="0" fontId="13" fillId="13" borderId="0" xfId="16" applyFont="1" applyFill="1"/>
    <xf numFmtId="0" fontId="14" fillId="13" borderId="0" xfId="16" applyFont="1" applyFill="1"/>
    <xf numFmtId="0" fontId="11" fillId="14" borderId="0" xfId="16" applyFont="1" applyFill="1"/>
    <xf numFmtId="0" fontId="19" fillId="14" borderId="0" xfId="16" applyFont="1" applyFill="1" applyAlignment="1">
      <alignment horizontal="right"/>
    </xf>
    <xf numFmtId="166" fontId="19" fillId="14" borderId="0" xfId="16" applyNumberFormat="1" applyFont="1" applyFill="1"/>
    <xf numFmtId="0" fontId="20" fillId="0" borderId="15" xfId="14" applyFont="1" applyFill="1" applyBorder="1" applyAlignment="1">
      <alignment horizontal="left"/>
    </xf>
    <xf numFmtId="0" fontId="20" fillId="0" borderId="16" xfId="14" applyFont="1" applyFill="1" applyBorder="1" applyAlignment="1">
      <alignment horizontal="left"/>
    </xf>
    <xf numFmtId="0" fontId="20" fillId="8" borderId="15" xfId="14" applyFont="1" applyFill="1" applyBorder="1" applyAlignment="1">
      <alignment horizontal="left"/>
    </xf>
    <xf numFmtId="0" fontId="21" fillId="12" borderId="0" xfId="0" applyFont="1" applyFill="1"/>
    <xf numFmtId="0" fontId="21" fillId="0" borderId="0" xfId="0" applyFont="1"/>
    <xf numFmtId="0" fontId="21" fillId="12" borderId="7" xfId="0" applyFont="1" applyFill="1" applyBorder="1"/>
    <xf numFmtId="0" fontId="20" fillId="12" borderId="15" xfId="14" applyFont="1" applyFill="1" applyBorder="1" applyAlignment="1">
      <alignment horizontal="left"/>
    </xf>
    <xf numFmtId="0" fontId="23" fillId="12" borderId="0" xfId="0" applyFont="1" applyFill="1"/>
    <xf numFmtId="166" fontId="20" fillId="0" borderId="16" xfId="14" applyNumberFormat="1" applyFont="1" applyFill="1" applyBorder="1" applyAlignment="1">
      <alignment horizontal="right"/>
    </xf>
    <xf numFmtId="166" fontId="20" fillId="0" borderId="15" xfId="14" applyNumberFormat="1" applyFont="1" applyFill="1" applyBorder="1" applyAlignment="1">
      <alignment horizontal="right"/>
    </xf>
    <xf numFmtId="166" fontId="20" fillId="0" borderId="16" xfId="14" applyNumberFormat="1" applyFont="1" applyFill="1" applyBorder="1" applyAlignment="1"/>
    <xf numFmtId="166" fontId="20" fillId="0" borderId="15" xfId="14" applyNumberFormat="1" applyFont="1" applyFill="1" applyBorder="1" applyAlignment="1"/>
    <xf numFmtId="164" fontId="21" fillId="12" borderId="0" xfId="13" applyFont="1" applyFill="1" applyBorder="1"/>
    <xf numFmtId="164" fontId="21" fillId="12" borderId="7" xfId="13" applyFont="1" applyFill="1" applyBorder="1"/>
    <xf numFmtId="164" fontId="20" fillId="0" borderId="15" xfId="13" applyFont="1" applyFill="1" applyBorder="1" applyAlignment="1">
      <alignment horizontal="left"/>
    </xf>
    <xf numFmtId="164" fontId="21" fillId="0" borderId="0" xfId="13" applyFont="1"/>
    <xf numFmtId="168" fontId="20" fillId="12" borderId="16" xfId="13" applyNumberFormat="1" applyFont="1" applyFill="1" applyBorder="1" applyAlignment="1">
      <alignment horizontal="left"/>
    </xf>
    <xf numFmtId="0" fontId="20" fillId="0" borderId="16" xfId="14" applyNumberFormat="1" applyFont="1" applyFill="1" applyBorder="1" applyAlignment="1">
      <alignment horizontal="left"/>
    </xf>
    <xf numFmtId="0" fontId="20" fillId="0" borderId="15" xfId="14" applyNumberFormat="1" applyFont="1" applyFill="1" applyBorder="1" applyAlignment="1">
      <alignment horizontal="left"/>
    </xf>
    <xf numFmtId="0" fontId="21" fillId="12" borderId="0" xfId="0" applyFont="1" applyFill="1" applyAlignment="1">
      <alignment horizontal="center"/>
    </xf>
    <xf numFmtId="0" fontId="20" fillId="0" borderId="16" xfId="14" applyFont="1" applyFill="1" applyBorder="1" applyAlignment="1">
      <alignment horizontal="center"/>
    </xf>
    <xf numFmtId="0" fontId="20" fillId="0" borderId="15" xfId="14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0" fillId="0" borderId="16" xfId="14" applyNumberFormat="1" applyFont="1" applyFill="1" applyBorder="1" applyAlignment="1">
      <alignment horizontal="right"/>
    </xf>
    <xf numFmtId="0" fontId="20" fillId="0" borderId="15" xfId="14" applyNumberFormat="1" applyFont="1" applyFill="1" applyBorder="1" applyAlignment="1">
      <alignment horizontal="right"/>
    </xf>
    <xf numFmtId="164" fontId="20" fillId="0" borderId="16" xfId="13" applyFont="1" applyFill="1" applyBorder="1" applyAlignment="1">
      <alignment horizontal="left"/>
    </xf>
    <xf numFmtId="164" fontId="25" fillId="8" borderId="15" xfId="13" applyFont="1" applyFill="1" applyBorder="1" applyAlignment="1">
      <alignment horizontal="left"/>
    </xf>
    <xf numFmtId="164" fontId="20" fillId="11" borderId="16" xfId="13" applyFont="1" applyFill="1" applyBorder="1" applyAlignment="1">
      <alignment horizontal="left"/>
    </xf>
    <xf numFmtId="0" fontId="25" fillId="8" borderId="15" xfId="14" applyFont="1" applyFill="1" applyBorder="1" applyAlignment="1">
      <alignment horizontal="left"/>
    </xf>
    <xf numFmtId="164" fontId="26" fillId="10" borderId="3" xfId="13" applyFont="1" applyFill="1" applyBorder="1" applyAlignment="1"/>
    <xf numFmtId="164" fontId="20" fillId="8" borderId="15" xfId="13" applyFont="1" applyFill="1" applyBorder="1" applyAlignment="1">
      <alignment horizontal="left"/>
    </xf>
    <xf numFmtId="166" fontId="20" fillId="8" borderId="15" xfId="14" applyNumberFormat="1" applyFont="1" applyFill="1" applyBorder="1" applyAlignment="1"/>
    <xf numFmtId="166" fontId="25" fillId="8" borderId="15" xfId="14" applyNumberFormat="1" applyFont="1" applyFill="1" applyBorder="1" applyAlignment="1"/>
    <xf numFmtId="0" fontId="25" fillId="8" borderId="16" xfId="14" applyFont="1" applyFill="1" applyBorder="1" applyAlignment="1">
      <alignment horizontal="left"/>
    </xf>
    <xf numFmtId="0" fontId="0" fillId="0" borderId="18" xfId="0" applyBorder="1"/>
    <xf numFmtId="0" fontId="28" fillId="16" borderId="18" xfId="0" applyFont="1" applyFill="1" applyBorder="1"/>
    <xf numFmtId="0" fontId="28" fillId="16" borderId="18" xfId="0" applyFont="1" applyFill="1" applyBorder="1" applyAlignment="1">
      <alignment horizontal="right"/>
    </xf>
    <xf numFmtId="169" fontId="0" fillId="0" borderId="18" xfId="18" applyNumberFormat="1" applyFont="1" applyBorder="1"/>
    <xf numFmtId="9" fontId="0" fillId="0" borderId="18" xfId="0" applyNumberFormat="1" applyBorder="1"/>
    <xf numFmtId="0" fontId="27" fillId="16" borderId="18" xfId="0" applyFont="1" applyFill="1" applyBorder="1"/>
    <xf numFmtId="169" fontId="27" fillId="16" borderId="18" xfId="18" applyNumberFormat="1" applyFont="1" applyFill="1" applyBorder="1"/>
    <xf numFmtId="0" fontId="21" fillId="14" borderId="15" xfId="0" applyFont="1" applyFill="1" applyBorder="1"/>
    <xf numFmtId="166" fontId="21" fillId="14" borderId="15" xfId="0" applyNumberFormat="1" applyFont="1" applyFill="1" applyBorder="1"/>
    <xf numFmtId="164" fontId="21" fillId="14" borderId="15" xfId="13" applyFont="1" applyFill="1" applyBorder="1"/>
    <xf numFmtId="166" fontId="21" fillId="14" borderId="15" xfId="0" applyNumberFormat="1" applyFont="1" applyFill="1" applyBorder="1" applyAlignment="1">
      <alignment horizontal="right"/>
    </xf>
    <xf numFmtId="0" fontId="21" fillId="14" borderId="15" xfId="0" applyFont="1" applyFill="1" applyBorder="1" applyAlignment="1">
      <alignment horizontal="center"/>
    </xf>
    <xf numFmtId="0" fontId="21" fillId="14" borderId="15" xfId="0" applyFont="1" applyFill="1" applyBorder="1" applyAlignment="1">
      <alignment horizontal="right"/>
    </xf>
    <xf numFmtId="0" fontId="26" fillId="17" borderId="18" xfId="14" applyFont="1" applyFill="1" applyBorder="1"/>
    <xf numFmtId="0" fontId="26" fillId="17" borderId="20" xfId="14" applyFont="1" applyFill="1" applyBorder="1"/>
    <xf numFmtId="0" fontId="21" fillId="9" borderId="21" xfId="14" applyFont="1" applyBorder="1" applyAlignment="1">
      <alignment wrapText="1"/>
    </xf>
    <xf numFmtId="0" fontId="21" fillId="9" borderId="20" xfId="14" applyFont="1" applyBorder="1" applyAlignment="1">
      <alignment wrapText="1"/>
    </xf>
    <xf numFmtId="0" fontId="21" fillId="9" borderId="23" xfId="14" applyFont="1" applyBorder="1" applyAlignment="1">
      <alignment wrapText="1"/>
    </xf>
    <xf numFmtId="0" fontId="21" fillId="9" borderId="22" xfId="14" applyFont="1" applyBorder="1" applyAlignment="1">
      <alignment wrapText="1"/>
    </xf>
    <xf numFmtId="0" fontId="21" fillId="9" borderId="24" xfId="14" applyFont="1" applyBorder="1" applyAlignment="1">
      <alignment wrapText="1"/>
    </xf>
    <xf numFmtId="0" fontId="21" fillId="9" borderId="17" xfId="14" applyFont="1" applyBorder="1" applyAlignment="1">
      <alignment wrapText="1"/>
    </xf>
    <xf numFmtId="0" fontId="21" fillId="9" borderId="25" xfId="14" applyFont="1" applyBorder="1" applyAlignment="1">
      <alignment horizontal="center" vertical="center" wrapText="1"/>
    </xf>
    <xf numFmtId="0" fontId="21" fillId="9" borderId="26" xfId="14" applyFont="1" applyBorder="1" applyAlignment="1">
      <alignment vertical="center" wrapText="1"/>
    </xf>
    <xf numFmtId="0" fontId="21" fillId="9" borderId="27" xfId="14" applyFont="1" applyBorder="1" applyAlignment="1">
      <alignment horizontal="center" vertical="center" wrapText="1"/>
    </xf>
    <xf numFmtId="0" fontId="21" fillId="9" borderId="28" xfId="14" applyFont="1" applyBorder="1" applyAlignment="1">
      <alignment horizontal="center" vertical="center" wrapText="1"/>
    </xf>
    <xf numFmtId="0" fontId="21" fillId="9" borderId="20" xfId="14" applyFont="1" applyBorder="1"/>
    <xf numFmtId="0" fontId="21" fillId="9" borderId="22" xfId="14" applyFont="1" applyBorder="1"/>
    <xf numFmtId="0" fontId="21" fillId="9" borderId="20" xfId="14" applyFont="1" applyBorder="1" applyAlignment="1">
      <alignment horizontal="center" vertical="center"/>
    </xf>
    <xf numFmtId="0" fontId="21" fillId="9" borderId="17" xfId="14" applyFont="1" applyBorder="1" applyAlignment="1">
      <alignment horizontal="center" vertical="center"/>
    </xf>
    <xf numFmtId="0" fontId="21" fillId="9" borderId="19" xfId="14" applyFont="1" applyBorder="1" applyAlignment="1">
      <alignment vertical="center" wrapText="1"/>
    </xf>
    <xf numFmtId="170" fontId="21" fillId="9" borderId="18" xfId="19" applyNumberFormat="1" applyFont="1" applyFill="1" applyBorder="1" applyAlignment="1">
      <alignment horizontal="center" vertical="center"/>
    </xf>
    <xf numFmtId="170" fontId="21" fillId="9" borderId="29" xfId="19" applyNumberFormat="1" applyFont="1" applyFill="1" applyBorder="1" applyAlignment="1">
      <alignment horizontal="center" vertical="center"/>
    </xf>
    <xf numFmtId="0" fontId="21" fillId="9" borderId="18" xfId="14" applyFont="1" applyBorder="1"/>
    <xf numFmtId="0" fontId="21" fillId="9" borderId="18" xfId="14" applyFont="1" applyBorder="1" applyAlignment="1">
      <alignment horizontal="center" vertical="center"/>
    </xf>
    <xf numFmtId="0" fontId="21" fillId="9" borderId="18" xfId="14" applyFont="1" applyBorder="1" applyAlignment="1">
      <alignment horizontal="center" vertical="center" wrapText="1"/>
    </xf>
    <xf numFmtId="0" fontId="21" fillId="9" borderId="18" xfId="14" applyFont="1" applyBorder="1" applyAlignment="1">
      <alignment horizontal="center" wrapText="1"/>
    </xf>
    <xf numFmtId="0" fontId="21" fillId="9" borderId="20" xfId="14" applyFont="1" applyBorder="1" applyAlignment="1">
      <alignment horizontal="center" wrapText="1"/>
    </xf>
    <xf numFmtId="0" fontId="21" fillId="9" borderId="19" xfId="14" applyFont="1" applyBorder="1" applyAlignment="1">
      <alignment horizontal="center" vertical="center" wrapText="1"/>
    </xf>
    <xf numFmtId="0" fontId="21" fillId="9" borderId="18" xfId="14" applyFont="1" applyBorder="1" applyAlignment="1">
      <alignment vertical="center" wrapText="1"/>
    </xf>
    <xf numFmtId="0" fontId="21" fillId="9" borderId="18" xfId="14" applyFont="1" applyBorder="1" applyAlignment="1">
      <alignment wrapText="1"/>
    </xf>
    <xf numFmtId="164" fontId="20" fillId="0" borderId="16" xfId="14" applyNumberFormat="1" applyFont="1" applyFill="1" applyBorder="1" applyAlignment="1">
      <alignment horizontal="left"/>
    </xf>
    <xf numFmtId="164" fontId="20" fillId="8" borderId="16" xfId="14" applyNumberFormat="1" applyFont="1" applyFill="1" applyBorder="1" applyAlignment="1">
      <alignment horizontal="left"/>
    </xf>
    <xf numFmtId="0" fontId="21" fillId="12" borderId="31" xfId="22" applyFont="1" applyFill="1" applyBorder="1" applyAlignment="1">
      <alignment horizontal="left"/>
    </xf>
    <xf numFmtId="164" fontId="21" fillId="12" borderId="32" xfId="22" applyNumberFormat="1" applyFont="1" applyFill="1" applyBorder="1" applyAlignment="1">
      <alignment horizontal="left"/>
    </xf>
    <xf numFmtId="0" fontId="21" fillId="12" borderId="33" xfId="22" applyFont="1" applyFill="1" applyBorder="1" applyAlignment="1">
      <alignment horizontal="left"/>
    </xf>
    <xf numFmtId="164" fontId="21" fillId="12" borderId="34" xfId="22" applyNumberFormat="1" applyFont="1" applyFill="1" applyBorder="1" applyAlignment="1">
      <alignment horizontal="left"/>
    </xf>
    <xf numFmtId="9" fontId="21" fillId="12" borderId="34" xfId="22" applyNumberFormat="1" applyFont="1" applyFill="1" applyBorder="1" applyAlignment="1">
      <alignment horizontal="right"/>
    </xf>
    <xf numFmtId="166" fontId="21" fillId="12" borderId="34" xfId="22" applyNumberFormat="1" applyFont="1" applyFill="1" applyBorder="1" applyAlignment="1">
      <alignment horizontal="right"/>
    </xf>
    <xf numFmtId="0" fontId="21" fillId="12" borderId="35" xfId="22" applyFont="1" applyFill="1" applyBorder="1" applyAlignment="1">
      <alignment horizontal="left"/>
    </xf>
    <xf numFmtId="164" fontId="21" fillId="12" borderId="36" xfId="22" applyNumberFormat="1" applyFont="1" applyFill="1" applyBorder="1" applyAlignment="1">
      <alignment horizontal="left"/>
    </xf>
    <xf numFmtId="0" fontId="21" fillId="12" borderId="21" xfId="0" applyFont="1" applyFill="1" applyBorder="1"/>
    <xf numFmtId="0" fontId="21" fillId="12" borderId="37" xfId="0" applyFont="1" applyFill="1" applyBorder="1"/>
    <xf numFmtId="0" fontId="21" fillId="12" borderId="38" xfId="0" applyFont="1" applyFill="1" applyBorder="1"/>
    <xf numFmtId="0" fontId="21" fillId="12" borderId="23" xfId="0" applyFont="1" applyFill="1" applyBorder="1"/>
    <xf numFmtId="0" fontId="21" fillId="12" borderId="39" xfId="0" applyFont="1" applyFill="1" applyBorder="1"/>
    <xf numFmtId="0" fontId="23" fillId="12" borderId="39" xfId="0" applyFont="1" applyFill="1" applyBorder="1"/>
    <xf numFmtId="0" fontId="21" fillId="12" borderId="24" xfId="0" applyFont="1" applyFill="1" applyBorder="1"/>
    <xf numFmtId="0" fontId="21" fillId="12" borderId="41" xfId="22" applyFont="1" applyFill="1" applyBorder="1" applyAlignment="1">
      <alignment horizontal="left"/>
    </xf>
    <xf numFmtId="164" fontId="21" fillId="12" borderId="42" xfId="22" applyNumberFormat="1" applyFont="1" applyFill="1" applyBorder="1" applyAlignment="1">
      <alignment horizontal="left"/>
    </xf>
    <xf numFmtId="164" fontId="21" fillId="14" borderId="15" xfId="0" applyNumberFormat="1" applyFont="1" applyFill="1" applyBorder="1"/>
    <xf numFmtId="0" fontId="21" fillId="11" borderId="0" xfId="0" applyFont="1" applyFill="1"/>
    <xf numFmtId="0" fontId="31" fillId="21" borderId="3" xfId="21" applyFont="1" applyFill="1" applyBorder="1" applyAlignment="1"/>
    <xf numFmtId="164" fontId="20" fillId="0" borderId="16" xfId="13" applyFont="1" applyFill="1" applyBorder="1" applyAlignment="1"/>
    <xf numFmtId="9" fontId="26" fillId="18" borderId="3" xfId="20" applyNumberFormat="1" applyFont="1" applyBorder="1" applyAlignment="1">
      <alignment vertical="center" wrapText="1"/>
    </xf>
    <xf numFmtId="0" fontId="20" fillId="0" borderId="15" xfId="14" applyFont="1" applyFill="1" applyBorder="1" applyAlignment="1">
      <alignment horizontal="right"/>
    </xf>
    <xf numFmtId="0" fontId="32" fillId="12" borderId="7" xfId="0" applyFont="1" applyFill="1" applyBorder="1"/>
    <xf numFmtId="9" fontId="26" fillId="18" borderId="3" xfId="20" applyNumberFormat="1" applyFont="1" applyBorder="1" applyAlignment="1">
      <alignment horizontal="right" vertical="center" wrapText="1"/>
    </xf>
    <xf numFmtId="0" fontId="0" fillId="8" borderId="49" xfId="0" applyFill="1" applyBorder="1"/>
    <xf numFmtId="0" fontId="0" fillId="8" borderId="50" xfId="0" applyFill="1" applyBorder="1"/>
    <xf numFmtId="0" fontId="27" fillId="8" borderId="50" xfId="0" applyFont="1" applyFill="1" applyBorder="1"/>
    <xf numFmtId="0" fontId="0" fillId="8" borderId="46" xfId="0" applyFill="1" applyBorder="1"/>
    <xf numFmtId="0" fontId="28" fillId="16" borderId="51" xfId="0" applyFont="1" applyFill="1" applyBorder="1"/>
    <xf numFmtId="0" fontId="28" fillId="16" borderId="17" xfId="0" applyFont="1" applyFill="1" applyBorder="1"/>
    <xf numFmtId="0" fontId="0" fillId="0" borderId="17" xfId="0" applyBorder="1"/>
    <xf numFmtId="171" fontId="0" fillId="0" borderId="17" xfId="0" applyNumberFormat="1" applyBorder="1" applyAlignment="1">
      <alignment horizontal="right"/>
    </xf>
    <xf numFmtId="169" fontId="0" fillId="0" borderId="24" xfId="18" applyNumberFormat="1" applyFont="1" applyBorder="1"/>
    <xf numFmtId="171" fontId="0" fillId="0" borderId="18" xfId="0" applyNumberFormat="1" applyBorder="1" applyAlignment="1">
      <alignment horizontal="right"/>
    </xf>
    <xf numFmtId="169" fontId="0" fillId="0" borderId="19" xfId="18" applyNumberFormat="1" applyFont="1" applyBorder="1"/>
    <xf numFmtId="169" fontId="0" fillId="0" borderId="19" xfId="18" applyNumberFormat="1" applyFont="1" applyFill="1" applyBorder="1"/>
    <xf numFmtId="0" fontId="0" fillId="0" borderId="18" xfId="0" applyBorder="1" applyAlignment="1">
      <alignment horizontal="right"/>
    </xf>
    <xf numFmtId="14" fontId="0" fillId="0" borderId="18" xfId="0" applyNumberFormat="1" applyBorder="1"/>
    <xf numFmtId="0" fontId="33" fillId="8" borderId="18" xfId="0" applyFont="1" applyFill="1" applyBorder="1"/>
    <xf numFmtId="0" fontId="33" fillId="8" borderId="18" xfId="0" applyFont="1" applyFill="1" applyBorder="1" applyAlignment="1">
      <alignment horizontal="right"/>
    </xf>
    <xf numFmtId="169" fontId="33" fillId="8" borderId="19" xfId="18" applyNumberFormat="1" applyFont="1" applyFill="1" applyBorder="1"/>
    <xf numFmtId="0" fontId="28" fillId="16" borderId="44" xfId="0" applyFont="1" applyFill="1" applyBorder="1"/>
    <xf numFmtId="14" fontId="0" fillId="0" borderId="18" xfId="0" applyNumberFormat="1" applyBorder="1" applyAlignment="1">
      <alignment horizontal="right"/>
    </xf>
    <xf numFmtId="169" fontId="0" fillId="0" borderId="18" xfId="18" applyNumberFormat="1" applyFont="1" applyFill="1" applyBorder="1"/>
    <xf numFmtId="0" fontId="0" fillId="26" borderId="18" xfId="0" applyFill="1" applyBorder="1"/>
    <xf numFmtId="14" fontId="0" fillId="26" borderId="18" xfId="0" applyNumberFormat="1" applyFill="1" applyBorder="1"/>
    <xf numFmtId="169" fontId="0" fillId="26" borderId="18" xfId="18" applyNumberFormat="1" applyFont="1" applyFill="1" applyBorder="1"/>
    <xf numFmtId="0" fontId="0" fillId="0" borderId="20" xfId="0" applyBorder="1"/>
    <xf numFmtId="14" fontId="0" fillId="0" borderId="20" xfId="0" applyNumberFormat="1" applyBorder="1" applyAlignment="1">
      <alignment horizontal="right"/>
    </xf>
    <xf numFmtId="169" fontId="0" fillId="0" borderId="20" xfId="18" applyNumberFormat="1" applyFont="1" applyBorder="1"/>
    <xf numFmtId="14" fontId="0" fillId="8" borderId="44" xfId="0" applyNumberFormat="1" applyFill="1" applyBorder="1" applyAlignment="1">
      <alignment horizontal="right"/>
    </xf>
    <xf numFmtId="0" fontId="33" fillId="8" borderId="44" xfId="0" applyFont="1" applyFill="1" applyBorder="1"/>
    <xf numFmtId="169" fontId="0" fillId="8" borderId="45" xfId="18" applyNumberFormat="1" applyFont="1" applyFill="1" applyBorder="1"/>
    <xf numFmtId="0" fontId="28" fillId="16" borderId="52" xfId="0" applyFont="1" applyFill="1" applyBorder="1"/>
    <xf numFmtId="0" fontId="0" fillId="8" borderId="20" xfId="0" applyFill="1" applyBorder="1"/>
    <xf numFmtId="14" fontId="0" fillId="8" borderId="20" xfId="0" applyNumberFormat="1" applyFill="1" applyBorder="1"/>
    <xf numFmtId="166" fontId="21" fillId="27" borderId="6" xfId="14" applyNumberFormat="1" applyFont="1" applyFill="1"/>
    <xf numFmtId="0" fontId="21" fillId="27" borderId="6" xfId="14" applyFont="1" applyFill="1"/>
    <xf numFmtId="164" fontId="21" fillId="27" borderId="6" xfId="13" applyFont="1" applyFill="1" applyBorder="1"/>
    <xf numFmtId="164" fontId="20" fillId="15" borderId="16" xfId="13" applyFont="1" applyFill="1" applyBorder="1" applyAlignment="1">
      <alignment horizontal="left"/>
    </xf>
    <xf numFmtId="164" fontId="25" fillId="15" borderId="16" xfId="13" applyFont="1" applyFill="1" applyBorder="1" applyAlignment="1">
      <alignment horizontal="left"/>
    </xf>
    <xf numFmtId="0" fontId="30" fillId="0" borderId="0" xfId="0" applyFont="1"/>
    <xf numFmtId="164" fontId="20" fillId="23" borderId="16" xfId="13" applyFont="1" applyFill="1" applyBorder="1" applyAlignment="1">
      <alignment horizontal="left"/>
    </xf>
    <xf numFmtId="0" fontId="20" fillId="0" borderId="55" xfId="14" applyFont="1" applyFill="1" applyBorder="1" applyAlignment="1">
      <alignment horizontal="left"/>
    </xf>
    <xf numFmtId="164" fontId="20" fillId="0" borderId="55" xfId="13" applyFont="1" applyFill="1" applyBorder="1" applyAlignment="1">
      <alignment horizontal="left"/>
    </xf>
    <xf numFmtId="0" fontId="30" fillId="0" borderId="5" xfId="0" applyFont="1" applyBorder="1"/>
    <xf numFmtId="0" fontId="30" fillId="0" borderId="18" xfId="0" applyFont="1" applyBorder="1"/>
    <xf numFmtId="0" fontId="21" fillId="0" borderId="17" xfId="0" applyFont="1" applyBorder="1"/>
    <xf numFmtId="0" fontId="21" fillId="0" borderId="18" xfId="0" applyFont="1" applyBorder="1"/>
    <xf numFmtId="0" fontId="20" fillId="13" borderId="16" xfId="14" applyFont="1" applyFill="1" applyBorder="1" applyAlignment="1">
      <alignment horizontal="left"/>
    </xf>
    <xf numFmtId="164" fontId="20" fillId="13" borderId="16" xfId="13" applyFont="1" applyFill="1" applyBorder="1" applyAlignment="1">
      <alignment horizontal="left"/>
    </xf>
    <xf numFmtId="0" fontId="20" fillId="12" borderId="16" xfId="14" applyFont="1" applyFill="1" applyBorder="1" applyAlignment="1">
      <alignment horizontal="left"/>
    </xf>
    <xf numFmtId="164" fontId="20" fillId="12" borderId="16" xfId="13" applyFont="1" applyFill="1" applyBorder="1" applyAlignment="1">
      <alignment horizontal="left"/>
    </xf>
    <xf numFmtId="0" fontId="20" fillId="27" borderId="16" xfId="14" applyFont="1" applyFill="1" applyBorder="1" applyAlignment="1">
      <alignment horizontal="left"/>
    </xf>
    <xf numFmtId="0" fontId="20" fillId="27" borderId="15" xfId="14" applyFont="1" applyFill="1" applyBorder="1" applyAlignment="1">
      <alignment horizontal="left"/>
    </xf>
    <xf numFmtId="164" fontId="20" fillId="27" borderId="16" xfId="13" applyFont="1" applyFill="1" applyBorder="1" applyAlignment="1">
      <alignment horizontal="left"/>
    </xf>
    <xf numFmtId="0" fontId="21" fillId="12" borderId="22" xfId="0" applyFont="1" applyFill="1" applyBorder="1"/>
    <xf numFmtId="0" fontId="21" fillId="27" borderId="22" xfId="0" applyFont="1" applyFill="1" applyBorder="1"/>
    <xf numFmtId="0" fontId="30" fillId="24" borderId="54" xfId="14" applyFont="1" applyFill="1" applyBorder="1"/>
    <xf numFmtId="164" fontId="30" fillId="24" borderId="54" xfId="14" applyNumberFormat="1" applyFont="1" applyFill="1" applyBorder="1"/>
    <xf numFmtId="164" fontId="30" fillId="24" borderId="54" xfId="13" applyFont="1" applyFill="1" applyBorder="1"/>
    <xf numFmtId="0" fontId="21" fillId="27" borderId="0" xfId="0" applyFont="1" applyFill="1"/>
    <xf numFmtId="164" fontId="21" fillId="12" borderId="0" xfId="13" applyFont="1" applyFill="1"/>
    <xf numFmtId="0" fontId="26" fillId="29" borderId="16" xfId="14" applyFont="1" applyFill="1" applyBorder="1" applyAlignment="1">
      <alignment horizontal="left"/>
    </xf>
    <xf numFmtId="166" fontId="26" fillId="29" borderId="16" xfId="14" applyNumberFormat="1" applyFont="1" applyFill="1" applyBorder="1" applyAlignment="1">
      <alignment horizontal="left"/>
    </xf>
    <xf numFmtId="0" fontId="26" fillId="29" borderId="16" xfId="14" applyFont="1" applyFill="1" applyBorder="1" applyAlignment="1">
      <alignment horizontal="center"/>
    </xf>
    <xf numFmtId="0" fontId="24" fillId="29" borderId="3" xfId="6" applyFont="1" applyFill="1" applyAlignment="1">
      <alignment horizontal="left"/>
    </xf>
    <xf numFmtId="164" fontId="24" fillId="29" borderId="3" xfId="13" applyFont="1" applyFill="1" applyBorder="1" applyAlignment="1">
      <alignment horizontal="left"/>
    </xf>
    <xf numFmtId="0" fontId="24" fillId="29" borderId="30" xfId="6" applyFont="1" applyFill="1" applyBorder="1" applyAlignment="1">
      <alignment horizontal="left"/>
    </xf>
    <xf numFmtId="0" fontId="20" fillId="26" borderId="16" xfId="14" applyFont="1" applyFill="1" applyBorder="1" applyAlignment="1">
      <alignment horizontal="left"/>
    </xf>
    <xf numFmtId="164" fontId="20" fillId="26" borderId="16" xfId="13" applyFont="1" applyFill="1" applyBorder="1" applyAlignment="1">
      <alignment horizontal="left"/>
    </xf>
    <xf numFmtId="164" fontId="21" fillId="0" borderId="5" xfId="13" applyFont="1" applyBorder="1"/>
    <xf numFmtId="164" fontId="30" fillId="0" borderId="0" xfId="13" applyFont="1"/>
    <xf numFmtId="0" fontId="37" fillId="12" borderId="0" xfId="0" applyFont="1" applyFill="1"/>
    <xf numFmtId="164" fontId="30" fillId="0" borderId="0" xfId="0" applyNumberFormat="1" applyFont="1"/>
    <xf numFmtId="164" fontId="21" fillId="13" borderId="0" xfId="13" applyFont="1" applyFill="1"/>
    <xf numFmtId="0" fontId="30" fillId="0" borderId="57" xfId="0" applyFont="1" applyBorder="1"/>
    <xf numFmtId="164" fontId="30" fillId="0" borderId="57" xfId="0" applyNumberFormat="1" applyFont="1" applyBorder="1"/>
    <xf numFmtId="0" fontId="30" fillId="24" borderId="56" xfId="0" applyFont="1" applyFill="1" applyBorder="1"/>
    <xf numFmtId="0" fontId="21" fillId="24" borderId="56" xfId="0" applyFont="1" applyFill="1" applyBorder="1"/>
    <xf numFmtId="0" fontId="36" fillId="24" borderId="56" xfId="23" applyFont="1" applyFill="1" applyBorder="1" applyAlignment="1"/>
    <xf numFmtId="164" fontId="21" fillId="24" borderId="56" xfId="13" applyFont="1" applyFill="1" applyBorder="1"/>
    <xf numFmtId="0" fontId="21" fillId="27" borderId="5" xfId="0" applyFont="1" applyFill="1" applyBorder="1" applyAlignment="1">
      <alignment horizontal="center"/>
    </xf>
    <xf numFmtId="164" fontId="21" fillId="27" borderId="0" xfId="13" applyFont="1" applyFill="1" applyAlignment="1">
      <alignment horizontal="center"/>
    </xf>
    <xf numFmtId="164" fontId="30" fillId="27" borderId="0" xfId="13" applyFont="1" applyFill="1" applyAlignment="1">
      <alignment horizontal="center"/>
    </xf>
    <xf numFmtId="164" fontId="30" fillId="27" borderId="0" xfId="0" applyNumberFormat="1" applyFont="1" applyFill="1"/>
    <xf numFmtId="164" fontId="21" fillId="27" borderId="0" xfId="13" applyFont="1" applyFill="1"/>
    <xf numFmtId="164" fontId="21" fillId="0" borderId="0" xfId="13" applyFont="1" applyBorder="1"/>
    <xf numFmtId="164" fontId="21" fillId="27" borderId="0" xfId="13" applyFont="1" applyFill="1" applyBorder="1" applyAlignment="1">
      <alignment horizontal="center"/>
    </xf>
    <xf numFmtId="166" fontId="20" fillId="8" borderId="16" xfId="14" applyNumberFormat="1" applyFont="1" applyFill="1" applyBorder="1" applyAlignment="1"/>
    <xf numFmtId="164" fontId="20" fillId="8" borderId="16" xfId="13" applyFont="1" applyFill="1" applyBorder="1" applyAlignment="1">
      <alignment horizontal="left"/>
    </xf>
    <xf numFmtId="0" fontId="26" fillId="21" borderId="5" xfId="16" applyFont="1" applyFill="1" applyBorder="1" applyAlignment="1">
      <alignment horizontal="center" vertical="center"/>
    </xf>
    <xf numFmtId="0" fontId="26" fillId="21" borderId="0" xfId="16" applyFont="1" applyFill="1" applyAlignment="1">
      <alignment horizontal="center" vertical="center"/>
    </xf>
    <xf numFmtId="0" fontId="16" fillId="8" borderId="0" xfId="17" applyFont="1" applyFill="1" applyBorder="1" applyAlignment="1">
      <alignment horizontal="right"/>
    </xf>
    <xf numFmtId="166" fontId="23" fillId="12" borderId="0" xfId="13" applyNumberFormat="1" applyFont="1" applyFill="1"/>
    <xf numFmtId="166" fontId="38" fillId="12" borderId="0" xfId="13" applyNumberFormat="1" applyFont="1" applyFill="1" applyBorder="1" applyAlignment="1">
      <alignment horizontal="center"/>
    </xf>
    <xf numFmtId="164" fontId="39" fillId="12" borderId="0" xfId="13" applyFont="1" applyFill="1" applyBorder="1" applyAlignment="1">
      <alignment horizontal="center"/>
    </xf>
    <xf numFmtId="0" fontId="16" fillId="12" borderId="0" xfId="17" applyFont="1" applyFill="1" applyBorder="1" applyAlignment="1">
      <alignment horizontal="right"/>
    </xf>
    <xf numFmtId="164" fontId="21" fillId="12" borderId="0" xfId="0" applyNumberFormat="1" applyFont="1" applyFill="1"/>
    <xf numFmtId="164" fontId="35" fillId="15" borderId="53" xfId="13" applyFont="1" applyFill="1" applyBorder="1" applyAlignment="1">
      <alignment horizontal="left"/>
    </xf>
    <xf numFmtId="0" fontId="21" fillId="15" borderId="0" xfId="0" applyFont="1" applyFill="1"/>
    <xf numFmtId="0" fontId="30" fillId="15" borderId="19" xfId="0" applyFont="1" applyFill="1" applyBorder="1"/>
    <xf numFmtId="0" fontId="21" fillId="15" borderId="48" xfId="0" applyFont="1" applyFill="1" applyBorder="1"/>
    <xf numFmtId="0" fontId="21" fillId="15" borderId="29" xfId="0" applyFont="1" applyFill="1" applyBorder="1"/>
    <xf numFmtId="0" fontId="16" fillId="12" borderId="0" xfId="17" applyFont="1" applyFill="1" applyBorder="1" applyAlignment="1">
      <alignment horizontal="center"/>
    </xf>
    <xf numFmtId="0" fontId="16" fillId="15" borderId="0" xfId="17" applyFont="1" applyFill="1" applyBorder="1" applyAlignment="1">
      <alignment horizontal="center"/>
    </xf>
    <xf numFmtId="0" fontId="21" fillId="13" borderId="22" xfId="0" applyFont="1" applyFill="1" applyBorder="1"/>
    <xf numFmtId="0" fontId="21" fillId="13" borderId="17" xfId="0" applyFont="1" applyFill="1" applyBorder="1"/>
    <xf numFmtId="0" fontId="21" fillId="15" borderId="22" xfId="0" applyFont="1" applyFill="1" applyBorder="1"/>
    <xf numFmtId="0" fontId="21" fillId="15" borderId="17" xfId="0" applyFont="1" applyFill="1" applyBorder="1"/>
    <xf numFmtId="0" fontId="21" fillId="15" borderId="37" xfId="0" applyFont="1" applyFill="1" applyBorder="1"/>
    <xf numFmtId="0" fontId="20" fillId="8" borderId="16" xfId="14" applyFont="1" applyFill="1" applyBorder="1" applyAlignment="1">
      <alignment horizontal="left"/>
    </xf>
    <xf numFmtId="0" fontId="21" fillId="26" borderId="22" xfId="0" applyFont="1" applyFill="1" applyBorder="1"/>
    <xf numFmtId="0" fontId="21" fillId="26" borderId="17" xfId="0" applyFont="1" applyFill="1" applyBorder="1"/>
    <xf numFmtId="0" fontId="21" fillId="12" borderId="18" xfId="0" applyFont="1" applyFill="1" applyBorder="1" applyAlignment="1">
      <alignment horizontal="center"/>
    </xf>
    <xf numFmtId="0" fontId="38" fillId="8" borderId="18" xfId="0" applyFont="1" applyFill="1" applyBorder="1"/>
    <xf numFmtId="164" fontId="26" fillId="29" borderId="16" xfId="13" applyFont="1" applyFill="1" applyBorder="1" applyAlignment="1">
      <alignment horizontal="center"/>
    </xf>
    <xf numFmtId="164" fontId="40" fillId="31" borderId="53" xfId="13" applyFont="1" applyFill="1" applyBorder="1" applyAlignment="1">
      <alignment horizontal="left"/>
    </xf>
    <xf numFmtId="164" fontId="23" fillId="12" borderId="0" xfId="13" applyFont="1" applyFill="1"/>
    <xf numFmtId="164" fontId="21" fillId="15" borderId="0" xfId="13" applyFont="1" applyFill="1" applyBorder="1"/>
    <xf numFmtId="0" fontId="24" fillId="29" borderId="3" xfId="6" applyFont="1" applyFill="1" applyAlignment="1">
      <alignment horizontal="left" vertical="center"/>
    </xf>
    <xf numFmtId="164" fontId="20" fillId="32" borderId="15" xfId="13" applyFont="1" applyFill="1" applyBorder="1" applyAlignment="1">
      <alignment horizontal="left"/>
    </xf>
    <xf numFmtId="164" fontId="26" fillId="22" borderId="3" xfId="15" applyNumberFormat="1" applyFont="1" applyFill="1" applyBorder="1" applyAlignment="1"/>
    <xf numFmtId="0" fontId="29" fillId="12" borderId="0" xfId="0" applyFont="1" applyFill="1"/>
    <xf numFmtId="0" fontId="12" fillId="31" borderId="0" xfId="16" applyFont="1" applyFill="1" applyAlignment="1">
      <alignment horizontal="left"/>
    </xf>
    <xf numFmtId="0" fontId="12" fillId="31" borderId="0" xfId="16" applyFont="1" applyFill="1" applyAlignment="1">
      <alignment horizontal="center"/>
    </xf>
    <xf numFmtId="0" fontId="20" fillId="0" borderId="16" xfId="14" applyFont="1" applyFill="1" applyBorder="1" applyAlignment="1">
      <alignment horizontal="right"/>
    </xf>
    <xf numFmtId="164" fontId="30" fillId="11" borderId="18" xfId="13" applyFont="1" applyFill="1" applyBorder="1"/>
    <xf numFmtId="164" fontId="21" fillId="0" borderId="39" xfId="13" applyFont="1" applyBorder="1"/>
    <xf numFmtId="164" fontId="21" fillId="0" borderId="22" xfId="13" applyFont="1" applyBorder="1"/>
    <xf numFmtId="0" fontId="21" fillId="0" borderId="22" xfId="0" applyFont="1" applyBorder="1"/>
    <xf numFmtId="9" fontId="26" fillId="18" borderId="0" xfId="20" applyNumberFormat="1" applyFont="1" applyBorder="1" applyAlignment="1">
      <alignment horizontal="right" vertical="center" wrapText="1"/>
    </xf>
    <xf numFmtId="0" fontId="30" fillId="11" borderId="48" xfId="0" applyFont="1" applyFill="1" applyBorder="1"/>
    <xf numFmtId="0" fontId="21" fillId="12" borderId="0" xfId="0" applyFont="1" applyFill="1" applyAlignment="1">
      <alignment horizontal="right"/>
    </xf>
    <xf numFmtId="0" fontId="32" fillId="12" borderId="7" xfId="0" applyFont="1" applyFill="1" applyBorder="1" applyAlignment="1">
      <alignment horizontal="right"/>
    </xf>
    <xf numFmtId="0" fontId="30" fillId="11" borderId="48" xfId="0" applyFont="1" applyFill="1" applyBorder="1" applyAlignment="1">
      <alignment horizontal="right"/>
    </xf>
    <xf numFmtId="0" fontId="21" fillId="0" borderId="0" xfId="0" applyFont="1" applyAlignment="1">
      <alignment horizontal="right"/>
    </xf>
    <xf numFmtId="164" fontId="35" fillId="23" borderId="16" xfId="13" applyFont="1" applyFill="1" applyBorder="1" applyAlignment="1">
      <alignment horizontal="left"/>
    </xf>
    <xf numFmtId="0" fontId="21" fillId="0" borderId="0" xfId="0" applyFont="1" applyAlignment="1">
      <alignment horizontal="left"/>
    </xf>
    <xf numFmtId="164" fontId="21" fillId="0" borderId="17" xfId="13" applyFont="1" applyBorder="1"/>
    <xf numFmtId="0" fontId="21" fillId="12" borderId="0" xfId="0" applyFont="1" applyFill="1" applyAlignment="1">
      <alignment horizontal="left"/>
    </xf>
    <xf numFmtId="0" fontId="23" fillId="12" borderId="0" xfId="0" applyFont="1" applyFill="1" applyAlignment="1">
      <alignment horizontal="left"/>
    </xf>
    <xf numFmtId="0" fontId="32" fillId="12" borderId="7" xfId="0" applyFont="1" applyFill="1" applyBorder="1" applyAlignment="1">
      <alignment horizontal="left"/>
    </xf>
    <xf numFmtId="0" fontId="30" fillId="11" borderId="48" xfId="0" applyFont="1" applyFill="1" applyBorder="1" applyAlignment="1">
      <alignment horizontal="left"/>
    </xf>
    <xf numFmtId="0" fontId="21" fillId="14" borderId="15" xfId="0" applyFont="1" applyFill="1" applyBorder="1" applyAlignment="1">
      <alignment horizontal="left"/>
    </xf>
    <xf numFmtId="9" fontId="21" fillId="0" borderId="22" xfId="19" applyFont="1" applyBorder="1"/>
    <xf numFmtId="0" fontId="20" fillId="26" borderId="15" xfId="14" applyNumberFormat="1" applyFont="1" applyFill="1" applyBorder="1" applyAlignment="1">
      <alignment horizontal="left"/>
    </xf>
    <xf numFmtId="166" fontId="20" fillId="26" borderId="15" xfId="14" applyNumberFormat="1" applyFont="1" applyFill="1" applyBorder="1" applyAlignment="1">
      <alignment horizontal="right"/>
    </xf>
    <xf numFmtId="166" fontId="20" fillId="26" borderId="16" xfId="14" applyNumberFormat="1" applyFont="1" applyFill="1" applyBorder="1" applyAlignment="1">
      <alignment horizontal="right"/>
    </xf>
    <xf numFmtId="166" fontId="20" fillId="26" borderId="15" xfId="0" applyNumberFormat="1" applyFont="1" applyFill="1" applyBorder="1" applyAlignment="1">
      <alignment horizontal="right"/>
    </xf>
    <xf numFmtId="0" fontId="20" fillId="26" borderId="0" xfId="0" applyFont="1" applyFill="1"/>
    <xf numFmtId="0" fontId="20" fillId="26" borderId="15" xfId="14" applyFont="1" applyFill="1" applyBorder="1" applyAlignment="1">
      <alignment horizontal="left"/>
    </xf>
    <xf numFmtId="0" fontId="40" fillId="17" borderId="0" xfId="0" applyFont="1" applyFill="1" applyAlignment="1">
      <alignment horizontal="left"/>
    </xf>
    <xf numFmtId="0" fontId="31" fillId="21" borderId="3" xfId="21" applyFont="1" applyFill="1" applyBorder="1" applyAlignment="1">
      <alignment horizontal="right"/>
    </xf>
    <xf numFmtId="0" fontId="24" fillId="29" borderId="3" xfId="6" applyFont="1" applyFill="1" applyAlignment="1">
      <alignment horizontal="center"/>
    </xf>
    <xf numFmtId="0" fontId="24" fillId="29" borderId="3" xfId="6" applyNumberFormat="1" applyFont="1" applyFill="1" applyAlignment="1">
      <alignment horizontal="left"/>
    </xf>
    <xf numFmtId="164" fontId="21" fillId="0" borderId="0" xfId="13" applyFont="1" applyAlignment="1">
      <alignment horizontal="center" vertical="center"/>
    </xf>
    <xf numFmtId="0" fontId="21" fillId="0" borderId="48" xfId="0" applyFont="1" applyBorder="1"/>
    <xf numFmtId="0" fontId="21" fillId="0" borderId="29" xfId="0" applyFont="1" applyBorder="1"/>
    <xf numFmtId="0" fontId="30" fillId="0" borderId="19" xfId="0" applyFont="1" applyBorder="1"/>
    <xf numFmtId="0" fontId="21" fillId="11" borderId="17" xfId="0" applyFont="1" applyFill="1" applyBorder="1"/>
    <xf numFmtId="9" fontId="26" fillId="18" borderId="31" xfId="20" applyNumberFormat="1" applyFont="1" applyBorder="1" applyAlignment="1">
      <alignment vertical="center" wrapText="1"/>
    </xf>
    <xf numFmtId="9" fontId="26" fillId="18" borderId="61" xfId="20" applyNumberFormat="1" applyFont="1" applyBorder="1" applyAlignment="1">
      <alignment horizontal="right" vertical="center" wrapText="1"/>
    </xf>
    <xf numFmtId="9" fontId="26" fillId="18" borderId="32" xfId="20" applyNumberFormat="1" applyFont="1" applyBorder="1" applyAlignment="1">
      <alignment horizontal="right" vertical="center" wrapText="1"/>
    </xf>
    <xf numFmtId="0" fontId="20" fillId="0" borderId="62" xfId="14" applyFont="1" applyFill="1" applyBorder="1" applyAlignment="1">
      <alignment horizontal="left"/>
    </xf>
    <xf numFmtId="0" fontId="20" fillId="0" borderId="63" xfId="14" applyFont="1" applyFill="1" applyBorder="1" applyAlignment="1">
      <alignment horizontal="right"/>
    </xf>
    <xf numFmtId="0" fontId="20" fillId="0" borderId="64" xfId="14" applyFont="1" applyFill="1" applyBorder="1" applyAlignment="1">
      <alignment horizontal="left"/>
    </xf>
    <xf numFmtId="0" fontId="20" fillId="0" borderId="65" xfId="14" applyFont="1" applyFill="1" applyBorder="1" applyAlignment="1">
      <alignment horizontal="right"/>
    </xf>
    <xf numFmtId="0" fontId="30" fillId="11" borderId="0" xfId="0" applyFont="1" applyFill="1"/>
    <xf numFmtId="166" fontId="21" fillId="0" borderId="23" xfId="0" applyNumberFormat="1" applyFont="1" applyBorder="1" applyAlignment="1">
      <alignment horizontal="right"/>
    </xf>
    <xf numFmtId="164" fontId="21" fillId="0" borderId="19" xfId="13" applyFont="1" applyBorder="1" applyAlignment="1">
      <alignment horizontal="center" vertical="center"/>
    </xf>
    <xf numFmtId="166" fontId="21" fillId="0" borderId="19" xfId="0" applyNumberFormat="1" applyFont="1" applyBorder="1"/>
    <xf numFmtId="9" fontId="21" fillId="0" borderId="29" xfId="19" applyFont="1" applyBorder="1"/>
    <xf numFmtId="164" fontId="20" fillId="14" borderId="15" xfId="13" applyFont="1" applyFill="1" applyBorder="1" applyAlignment="1">
      <alignment horizontal="left"/>
    </xf>
    <xf numFmtId="0" fontId="30" fillId="0" borderId="21" xfId="0" applyFont="1" applyBorder="1"/>
    <xf numFmtId="0" fontId="21" fillId="0" borderId="37" xfId="0" applyFont="1" applyBorder="1"/>
    <xf numFmtId="0" fontId="21" fillId="0" borderId="38" xfId="0" applyFont="1" applyBorder="1"/>
    <xf numFmtId="166" fontId="21" fillId="0" borderId="19" xfId="0" applyNumberFormat="1" applyFont="1" applyBorder="1" applyAlignment="1">
      <alignment horizontal="right"/>
    </xf>
    <xf numFmtId="164" fontId="21" fillId="0" borderId="29" xfId="13" applyFont="1" applyBorder="1"/>
    <xf numFmtId="0" fontId="21" fillId="0" borderId="23" xfId="0" applyFont="1" applyBorder="1"/>
    <xf numFmtId="0" fontId="21" fillId="0" borderId="39" xfId="0" applyFont="1" applyBorder="1"/>
    <xf numFmtId="164" fontId="21" fillId="0" borderId="23" xfId="13" applyFont="1" applyBorder="1"/>
    <xf numFmtId="164" fontId="21" fillId="0" borderId="24" xfId="13" applyFont="1" applyBorder="1"/>
    <xf numFmtId="164" fontId="21" fillId="0" borderId="40" xfId="13" applyFont="1" applyBorder="1"/>
    <xf numFmtId="166" fontId="30" fillId="0" borderId="24" xfId="0" applyNumberFormat="1" applyFont="1" applyBorder="1" applyAlignment="1">
      <alignment horizontal="right"/>
    </xf>
    <xf numFmtId="0" fontId="30" fillId="0" borderId="40" xfId="0" applyFont="1" applyBorder="1"/>
    <xf numFmtId="166" fontId="21" fillId="0" borderId="20" xfId="0" applyNumberFormat="1" applyFont="1" applyBorder="1"/>
    <xf numFmtId="166" fontId="30" fillId="0" borderId="17" xfId="0" applyNumberFormat="1" applyFont="1" applyBorder="1"/>
    <xf numFmtId="164" fontId="30" fillId="30" borderId="23" xfId="13" applyFont="1" applyFill="1" applyBorder="1" applyAlignment="1">
      <alignment horizontal="right"/>
    </xf>
    <xf numFmtId="164" fontId="30" fillId="30" borderId="22" xfId="13" applyFont="1" applyFill="1" applyBorder="1" applyAlignment="1">
      <alignment horizontal="right"/>
    </xf>
    <xf numFmtId="164" fontId="30" fillId="30" borderId="39" xfId="13" applyFont="1" applyFill="1" applyBorder="1"/>
    <xf numFmtId="0" fontId="30" fillId="0" borderId="24" xfId="0" applyFont="1" applyBorder="1" applyAlignment="1">
      <alignment horizontal="right"/>
    </xf>
    <xf numFmtId="0" fontId="30" fillId="0" borderId="18" xfId="0" applyFont="1" applyBorder="1" applyAlignment="1">
      <alignment horizontal="center"/>
    </xf>
    <xf numFmtId="0" fontId="21" fillId="9" borderId="6" xfId="14" applyFont="1"/>
    <xf numFmtId="0" fontId="21" fillId="9" borderId="6" xfId="14" applyFont="1" applyAlignment="1">
      <alignment horizontal="left"/>
    </xf>
    <xf numFmtId="0" fontId="21" fillId="8" borderId="17" xfId="0" applyFont="1" applyFill="1" applyBorder="1"/>
    <xf numFmtId="164" fontId="35" fillId="8" borderId="16" xfId="13" applyFont="1" applyFill="1" applyBorder="1" applyAlignment="1">
      <alignment horizontal="left"/>
    </xf>
    <xf numFmtId="0" fontId="20" fillId="8" borderId="15" xfId="14" applyNumberFormat="1" applyFont="1" applyFill="1" applyBorder="1" applyAlignment="1">
      <alignment horizontal="left"/>
    </xf>
    <xf numFmtId="0" fontId="26" fillId="7" borderId="3" xfId="8" applyFont="1" applyAlignment="1"/>
    <xf numFmtId="0" fontId="26" fillId="7" borderId="3" xfId="8" applyFont="1" applyAlignment="1">
      <alignment horizontal="center" vertical="center"/>
    </xf>
    <xf numFmtId="0" fontId="32" fillId="12" borderId="0" xfId="0" applyFont="1" applyFill="1" applyAlignment="1">
      <alignment horizontal="right"/>
    </xf>
    <xf numFmtId="0" fontId="32" fillId="12" borderId="0" xfId="0" applyFont="1" applyFill="1"/>
    <xf numFmtId="0" fontId="32" fillId="12" borderId="0" xfId="0" applyFont="1" applyFill="1" applyAlignment="1">
      <alignment horizontal="left"/>
    </xf>
    <xf numFmtId="164" fontId="26" fillId="22" borderId="3" xfId="13" applyFont="1" applyFill="1" applyBorder="1" applyAlignment="1"/>
    <xf numFmtId="0" fontId="43" fillId="26" borderId="15" xfId="14" applyFont="1" applyFill="1" applyBorder="1" applyAlignment="1">
      <alignment horizontal="left"/>
    </xf>
    <xf numFmtId="0" fontId="43" fillId="8" borderId="15" xfId="14" applyFont="1" applyFill="1" applyBorder="1" applyAlignment="1">
      <alignment horizontal="left"/>
    </xf>
    <xf numFmtId="0" fontId="43" fillId="8" borderId="15" xfId="14" applyFont="1" applyFill="1" applyBorder="1" applyAlignment="1">
      <alignment horizontal="center"/>
    </xf>
    <xf numFmtId="166" fontId="43" fillId="8" borderId="15" xfId="14" applyNumberFormat="1" applyFont="1" applyFill="1" applyBorder="1" applyAlignment="1">
      <alignment horizontal="right"/>
    </xf>
    <xf numFmtId="166" fontId="43" fillId="0" borderId="15" xfId="14" applyNumberFormat="1" applyFont="1" applyFill="1" applyBorder="1" applyAlignment="1">
      <alignment horizontal="right"/>
    </xf>
    <xf numFmtId="0" fontId="43" fillId="0" borderId="15" xfId="14" applyFont="1" applyFill="1" applyBorder="1" applyAlignment="1">
      <alignment horizontal="left"/>
    </xf>
    <xf numFmtId="0" fontId="43" fillId="0" borderId="15" xfId="14" applyFont="1" applyFill="1" applyBorder="1" applyAlignment="1">
      <alignment horizontal="center"/>
    </xf>
    <xf numFmtId="166" fontId="43" fillId="0" borderId="15" xfId="14" applyNumberFormat="1" applyFont="1" applyFill="1" applyBorder="1" applyAlignment="1"/>
    <xf numFmtId="0" fontId="21" fillId="26" borderId="15" xfId="0" applyFont="1" applyFill="1" applyBorder="1" applyAlignment="1">
      <alignment horizontal="right"/>
    </xf>
    <xf numFmtId="0" fontId="21" fillId="26" borderId="15" xfId="0" applyFont="1" applyFill="1" applyBorder="1" applyAlignment="1">
      <alignment horizontal="left"/>
    </xf>
    <xf numFmtId="0" fontId="21" fillId="26" borderId="15" xfId="0" applyFont="1" applyFill="1" applyBorder="1"/>
    <xf numFmtId="0" fontId="21" fillId="26" borderId="15" xfId="0" applyFont="1" applyFill="1" applyBorder="1" applyAlignment="1">
      <alignment horizontal="center"/>
    </xf>
    <xf numFmtId="166" fontId="21" fillId="26" borderId="15" xfId="0" applyNumberFormat="1" applyFont="1" applyFill="1" applyBorder="1" applyAlignment="1">
      <alignment horizontal="right"/>
    </xf>
    <xf numFmtId="0" fontId="21" fillId="0" borderId="57" xfId="0" applyFont="1" applyBorder="1"/>
    <xf numFmtId="0" fontId="26" fillId="22" borderId="18" xfId="14" applyFont="1" applyFill="1" applyBorder="1"/>
    <xf numFmtId="166" fontId="26" fillId="22" borderId="18" xfId="14" applyNumberFormat="1" applyFont="1" applyFill="1" applyBorder="1"/>
    <xf numFmtId="0" fontId="26" fillId="17" borderId="18" xfId="20" applyFont="1" applyFill="1" applyBorder="1"/>
    <xf numFmtId="0" fontId="21" fillId="15" borderId="18" xfId="14" applyFont="1" applyFill="1" applyBorder="1"/>
    <xf numFmtId="164" fontId="21" fillId="15" borderId="18" xfId="13" applyFont="1" applyFill="1" applyBorder="1"/>
    <xf numFmtId="0" fontId="26" fillId="41" borderId="20" xfId="14" applyFont="1" applyFill="1" applyBorder="1"/>
    <xf numFmtId="166" fontId="26" fillId="41" borderId="20" xfId="14" applyNumberFormat="1" applyFont="1" applyFill="1" applyBorder="1" applyProtection="1"/>
    <xf numFmtId="0" fontId="26" fillId="17" borderId="17" xfId="20" applyFont="1" applyFill="1" applyBorder="1"/>
    <xf numFmtId="164" fontId="26" fillId="17" borderId="17" xfId="13" applyFont="1" applyFill="1" applyBorder="1"/>
    <xf numFmtId="164" fontId="26" fillId="17" borderId="17" xfId="13" applyFont="1" applyFill="1" applyBorder="1" applyAlignment="1">
      <alignment horizontal="center"/>
    </xf>
    <xf numFmtId="3" fontId="35" fillId="8" borderId="56" xfId="0" applyNumberFormat="1" applyFont="1" applyFill="1" applyBorder="1"/>
    <xf numFmtId="164" fontId="21" fillId="42" borderId="18" xfId="13" applyFont="1" applyFill="1" applyBorder="1"/>
    <xf numFmtId="0" fontId="30" fillId="37" borderId="18" xfId="0" applyFont="1" applyFill="1" applyBorder="1" applyAlignment="1">
      <alignment vertical="center"/>
    </xf>
    <xf numFmtId="164" fontId="30" fillId="37" borderId="18" xfId="13" applyFont="1" applyFill="1" applyBorder="1" applyAlignment="1">
      <alignment horizontal="center" vertical="center" wrapText="1"/>
    </xf>
    <xf numFmtId="164" fontId="30" fillId="37" borderId="18" xfId="13" applyFont="1" applyFill="1" applyBorder="1" applyAlignment="1">
      <alignment vertical="center" wrapText="1"/>
    </xf>
    <xf numFmtId="164" fontId="21" fillId="0" borderId="18" xfId="13" applyFont="1" applyBorder="1"/>
    <xf numFmtId="164" fontId="30" fillId="23" borderId="18" xfId="13" applyFont="1" applyFill="1" applyBorder="1"/>
    <xf numFmtId="0" fontId="30" fillId="24" borderId="57" xfId="0" applyFont="1" applyFill="1" applyBorder="1"/>
    <xf numFmtId="164" fontId="30" fillId="24" borderId="57" xfId="13" applyFont="1" applyFill="1" applyBorder="1"/>
    <xf numFmtId="164" fontId="30" fillId="27" borderId="57" xfId="13" applyFont="1" applyFill="1" applyBorder="1"/>
    <xf numFmtId="164" fontId="21" fillId="27" borderId="18" xfId="13" applyFont="1" applyFill="1" applyBorder="1"/>
    <xf numFmtId="0" fontId="44" fillId="12" borderId="18" xfId="0" applyFont="1" applyFill="1" applyBorder="1" applyAlignment="1">
      <alignment horizontal="left"/>
    </xf>
    <xf numFmtId="1" fontId="21" fillId="12" borderId="0" xfId="0" applyNumberFormat="1" applyFont="1" applyFill="1" applyAlignment="1">
      <alignment horizontal="left"/>
    </xf>
    <xf numFmtId="1" fontId="32" fillId="12" borderId="7" xfId="0" applyNumberFormat="1" applyFont="1" applyFill="1" applyBorder="1" applyAlignment="1">
      <alignment horizontal="left"/>
    </xf>
    <xf numFmtId="1" fontId="32" fillId="12" borderId="0" xfId="0" applyNumberFormat="1" applyFont="1" applyFill="1" applyAlignment="1">
      <alignment horizontal="left"/>
    </xf>
    <xf numFmtId="1" fontId="20" fillId="0" borderId="15" xfId="13" applyNumberFormat="1" applyFont="1" applyFill="1" applyBorder="1" applyAlignment="1">
      <alignment horizontal="left"/>
    </xf>
    <xf numFmtId="1" fontId="20" fillId="8" borderId="15" xfId="13" applyNumberFormat="1" applyFont="1" applyFill="1" applyBorder="1" applyAlignment="1">
      <alignment horizontal="left"/>
    </xf>
    <xf numFmtId="1" fontId="21" fillId="0" borderId="0" xfId="0" applyNumberFormat="1" applyFont="1" applyAlignment="1">
      <alignment horizontal="left"/>
    </xf>
    <xf numFmtId="166" fontId="20" fillId="8" borderId="15" xfId="14" applyNumberFormat="1" applyFont="1" applyFill="1" applyBorder="1" applyAlignment="1">
      <alignment horizontal="right"/>
    </xf>
    <xf numFmtId="166" fontId="21" fillId="0" borderId="22" xfId="0" applyNumberFormat="1" applyFont="1" applyBorder="1"/>
    <xf numFmtId="166" fontId="21" fillId="11" borderId="23" xfId="0" applyNumberFormat="1" applyFont="1" applyFill="1" applyBorder="1" applyAlignment="1">
      <alignment horizontal="right"/>
    </xf>
    <xf numFmtId="166" fontId="21" fillId="11" borderId="22" xfId="0" applyNumberFormat="1" applyFont="1" applyFill="1" applyBorder="1"/>
    <xf numFmtId="0" fontId="21" fillId="11" borderId="22" xfId="0" applyFont="1" applyFill="1" applyBorder="1"/>
    <xf numFmtId="9" fontId="21" fillId="11" borderId="22" xfId="19" applyFont="1" applyFill="1" applyBorder="1"/>
    <xf numFmtId="166" fontId="21" fillId="0" borderId="24" xfId="0" applyNumberFormat="1" applyFont="1" applyBorder="1" applyAlignment="1">
      <alignment horizontal="right"/>
    </xf>
    <xf numFmtId="166" fontId="21" fillId="0" borderId="17" xfId="0" applyNumberFormat="1" applyFont="1" applyBorder="1"/>
    <xf numFmtId="9" fontId="21" fillId="0" borderId="17" xfId="19" applyFont="1" applyBorder="1"/>
    <xf numFmtId="166" fontId="21" fillId="0" borderId="24" xfId="0" applyNumberFormat="1" applyFont="1" applyBorder="1"/>
    <xf numFmtId="164" fontId="30" fillId="0" borderId="19" xfId="13" applyFont="1" applyBorder="1"/>
    <xf numFmtId="166" fontId="21" fillId="0" borderId="29" xfId="0" applyNumberFormat="1" applyFont="1" applyBorder="1" applyAlignment="1">
      <alignment horizontal="right"/>
    </xf>
    <xf numFmtId="164" fontId="30" fillId="0" borderId="21" xfId="13" applyFont="1" applyBorder="1"/>
    <xf numFmtId="164" fontId="21" fillId="0" borderId="37" xfId="13" applyFont="1" applyBorder="1"/>
    <xf numFmtId="164" fontId="21" fillId="0" borderId="38" xfId="13" applyFont="1" applyBorder="1"/>
    <xf numFmtId="164" fontId="30" fillId="43" borderId="23" xfId="13" applyFont="1" applyFill="1" applyBorder="1"/>
    <xf numFmtId="164" fontId="30" fillId="43" borderId="0" xfId="13" applyFont="1" applyFill="1" applyBorder="1"/>
    <xf numFmtId="164" fontId="30" fillId="43" borderId="39" xfId="13" applyFont="1" applyFill="1" applyBorder="1"/>
    <xf numFmtId="0" fontId="21" fillId="0" borderId="17" xfId="0" applyFont="1" applyBorder="1" applyAlignment="1">
      <alignment horizontal="left"/>
    </xf>
    <xf numFmtId="166" fontId="21" fillId="0" borderId="19" xfId="0" applyNumberFormat="1" applyFont="1" applyBorder="1" applyAlignment="1">
      <alignment horizontal="left"/>
    </xf>
    <xf numFmtId="170" fontId="21" fillId="0" borderId="29" xfId="19" applyNumberFormat="1" applyFont="1" applyBorder="1"/>
    <xf numFmtId="0" fontId="26" fillId="38" borderId="3" xfId="8" applyFont="1" applyFill="1" applyAlignment="1">
      <alignment horizontal="left"/>
    </xf>
    <xf numFmtId="0" fontId="26" fillId="38" borderId="3" xfId="20" applyFont="1" applyFill="1" applyBorder="1" applyAlignment="1">
      <alignment horizontal="center"/>
    </xf>
    <xf numFmtId="0" fontId="26" fillId="7" borderId="69" xfId="8" applyFont="1" applyBorder="1" applyAlignment="1">
      <alignment horizontal="left"/>
    </xf>
    <xf numFmtId="0" fontId="26" fillId="22" borderId="67" xfId="8" applyFont="1" applyFill="1" applyBorder="1" applyAlignment="1">
      <alignment horizontal="left"/>
    </xf>
    <xf numFmtId="0" fontId="26" fillId="39" borderId="67" xfId="20" applyFont="1" applyFill="1" applyBorder="1" applyAlignment="1">
      <alignment horizontal="center"/>
    </xf>
    <xf numFmtId="0" fontId="9" fillId="46" borderId="3" xfId="25" applyFill="1" applyBorder="1" applyAlignment="1">
      <alignment horizontal="left"/>
    </xf>
    <xf numFmtId="0" fontId="20" fillId="0" borderId="18" xfId="14" applyFont="1" applyFill="1" applyBorder="1" applyAlignment="1">
      <alignment horizontal="left"/>
    </xf>
    <xf numFmtId="165" fontId="21" fillId="12" borderId="0" xfId="18" applyFont="1" applyFill="1" applyBorder="1"/>
    <xf numFmtId="165" fontId="32" fillId="12" borderId="7" xfId="18" applyFont="1" applyFill="1" applyBorder="1"/>
    <xf numFmtId="165" fontId="32" fillId="12" borderId="0" xfId="18" applyFont="1" applyFill="1" applyBorder="1"/>
    <xf numFmtId="165" fontId="20" fillId="0" borderId="15" xfId="18" applyFont="1" applyFill="1" applyBorder="1" applyAlignment="1">
      <alignment horizontal="left"/>
    </xf>
    <xf numFmtId="165" fontId="20" fillId="8" borderId="15" xfId="18" applyFont="1" applyFill="1" applyBorder="1" applyAlignment="1">
      <alignment horizontal="left"/>
    </xf>
    <xf numFmtId="165" fontId="21" fillId="0" borderId="15" xfId="18" applyFont="1" applyBorder="1"/>
    <xf numFmtId="165" fontId="20" fillId="0" borderId="0" xfId="18" applyFont="1" applyFill="1" applyBorder="1" applyAlignment="1">
      <alignment horizontal="left"/>
    </xf>
    <xf numFmtId="165" fontId="21" fillId="0" borderId="0" xfId="18" applyFont="1"/>
    <xf numFmtId="0" fontId="40" fillId="17" borderId="37" xfId="0" applyFont="1" applyFill="1" applyBorder="1" applyAlignment="1">
      <alignment horizontal="right"/>
    </xf>
    <xf numFmtId="0" fontId="40" fillId="17" borderId="37" xfId="0" applyFont="1" applyFill="1" applyBorder="1"/>
    <xf numFmtId="1" fontId="40" fillId="17" borderId="37" xfId="0" applyNumberFormat="1" applyFont="1" applyFill="1" applyBorder="1" applyAlignment="1">
      <alignment horizontal="left"/>
    </xf>
    <xf numFmtId="0" fontId="40" fillId="17" borderId="37" xfId="0" applyFont="1" applyFill="1" applyBorder="1" applyAlignment="1">
      <alignment horizontal="left"/>
    </xf>
    <xf numFmtId="164" fontId="26" fillId="38" borderId="67" xfId="21" applyNumberFormat="1" applyFont="1" applyFill="1" applyBorder="1" applyAlignment="1"/>
    <xf numFmtId="0" fontId="30" fillId="11" borderId="37" xfId="0" applyFont="1" applyFill="1" applyBorder="1" applyAlignment="1">
      <alignment horizontal="left"/>
    </xf>
    <xf numFmtId="0" fontId="30" fillId="11" borderId="37" xfId="0" applyFont="1" applyFill="1" applyBorder="1"/>
    <xf numFmtId="165" fontId="30" fillId="11" borderId="37" xfId="18" applyFont="1" applyFill="1" applyBorder="1"/>
    <xf numFmtId="0" fontId="20" fillId="0" borderId="70" xfId="14" applyFont="1" applyFill="1" applyBorder="1" applyAlignment="1">
      <alignment horizontal="right"/>
    </xf>
    <xf numFmtId="166" fontId="20" fillId="0" borderId="55" xfId="14" applyNumberFormat="1" applyFont="1" applyFill="1" applyBorder="1" applyAlignment="1"/>
    <xf numFmtId="1" fontId="20" fillId="0" borderId="70" xfId="13" applyNumberFormat="1" applyFont="1" applyFill="1" applyBorder="1" applyAlignment="1">
      <alignment horizontal="left"/>
    </xf>
    <xf numFmtId="0" fontId="20" fillId="0" borderId="70" xfId="14" applyFont="1" applyFill="1" applyBorder="1" applyAlignment="1">
      <alignment horizontal="left"/>
    </xf>
    <xf numFmtId="164" fontId="20" fillId="0" borderId="70" xfId="13" applyFont="1" applyFill="1" applyBorder="1" applyAlignment="1">
      <alignment horizontal="left"/>
    </xf>
    <xf numFmtId="164" fontId="35" fillId="23" borderId="55" xfId="13" applyFont="1" applyFill="1" applyBorder="1" applyAlignment="1">
      <alignment horizontal="left"/>
    </xf>
    <xf numFmtId="164" fontId="20" fillId="14" borderId="70" xfId="13" applyFont="1" applyFill="1" applyBorder="1" applyAlignment="1">
      <alignment horizontal="left"/>
    </xf>
    <xf numFmtId="0" fontId="20" fillId="0" borderId="70" xfId="14" applyNumberFormat="1" applyFont="1" applyFill="1" applyBorder="1" applyAlignment="1">
      <alignment horizontal="left"/>
    </xf>
    <xf numFmtId="165" fontId="20" fillId="0" borderId="70" xfId="18" applyFont="1" applyFill="1" applyBorder="1" applyAlignment="1">
      <alignment horizontal="left"/>
    </xf>
    <xf numFmtId="0" fontId="20" fillId="0" borderId="55" xfId="14" applyFont="1" applyFill="1" applyBorder="1" applyAlignment="1">
      <alignment horizontal="right"/>
    </xf>
    <xf numFmtId="1" fontId="20" fillId="0" borderId="16" xfId="13" applyNumberFormat="1" applyFont="1" applyFill="1" applyBorder="1" applyAlignment="1">
      <alignment horizontal="left"/>
    </xf>
    <xf numFmtId="164" fontId="20" fillId="14" borderId="16" xfId="13" applyFont="1" applyFill="1" applyBorder="1" applyAlignment="1">
      <alignment horizontal="left"/>
    </xf>
    <xf numFmtId="165" fontId="20" fillId="0" borderId="16" xfId="18" applyFont="1" applyFill="1" applyBorder="1" applyAlignment="1">
      <alignment horizontal="left"/>
    </xf>
    <xf numFmtId="0" fontId="24" fillId="29" borderId="18" xfId="6" applyFont="1" applyFill="1" applyBorder="1" applyAlignment="1">
      <alignment horizontal="left"/>
    </xf>
    <xf numFmtId="1" fontId="24" fillId="29" borderId="18" xfId="6" applyNumberFormat="1" applyFont="1" applyFill="1" applyBorder="1" applyAlignment="1">
      <alignment horizontal="left"/>
    </xf>
    <xf numFmtId="0" fontId="24" fillId="29" borderId="18" xfId="6" applyFont="1" applyFill="1" applyBorder="1" applyAlignment="1">
      <alignment horizontal="left" vertical="center"/>
    </xf>
    <xf numFmtId="0" fontId="24" fillId="29" borderId="18" xfId="6" applyFont="1" applyFill="1" applyBorder="1" applyAlignment="1">
      <alignment horizontal="center"/>
    </xf>
    <xf numFmtId="0" fontId="24" fillId="29" borderId="18" xfId="6" applyFont="1" applyFill="1" applyBorder="1" applyAlignment="1"/>
    <xf numFmtId="0" fontId="24" fillId="29" borderId="18" xfId="6" applyNumberFormat="1" applyFont="1" applyFill="1" applyBorder="1" applyAlignment="1">
      <alignment horizontal="left"/>
    </xf>
    <xf numFmtId="165" fontId="24" fillId="29" borderId="18" xfId="18" applyFont="1" applyFill="1" applyBorder="1" applyAlignment="1">
      <alignment horizontal="left"/>
    </xf>
    <xf numFmtId="0" fontId="20" fillId="0" borderId="18" xfId="14" applyFont="1" applyFill="1" applyBorder="1" applyAlignment="1">
      <alignment horizontal="right"/>
    </xf>
    <xf numFmtId="166" fontId="20" fillId="0" borderId="18" xfId="14" applyNumberFormat="1" applyFont="1" applyFill="1" applyBorder="1" applyAlignment="1"/>
    <xf numFmtId="1" fontId="20" fillId="0" borderId="18" xfId="13" applyNumberFormat="1" applyFont="1" applyFill="1" applyBorder="1" applyAlignment="1">
      <alignment horizontal="left"/>
    </xf>
    <xf numFmtId="164" fontId="20" fillId="0" borderId="18" xfId="13" applyFont="1" applyFill="1" applyBorder="1" applyAlignment="1">
      <alignment horizontal="left"/>
    </xf>
    <xf numFmtId="164" fontId="35" fillId="23" borderId="18" xfId="13" applyFont="1" applyFill="1" applyBorder="1" applyAlignment="1">
      <alignment horizontal="left"/>
    </xf>
    <xf numFmtId="164" fontId="20" fillId="14" borderId="18" xfId="13" applyFont="1" applyFill="1" applyBorder="1" applyAlignment="1">
      <alignment horizontal="left"/>
    </xf>
    <xf numFmtId="0" fontId="20" fillId="0" borderId="18" xfId="14" applyNumberFormat="1" applyFont="1" applyFill="1" applyBorder="1" applyAlignment="1">
      <alignment horizontal="left"/>
    </xf>
    <xf numFmtId="165" fontId="20" fillId="0" borderId="18" xfId="18" applyFont="1" applyFill="1" applyBorder="1" applyAlignment="1">
      <alignment horizontal="left"/>
    </xf>
    <xf numFmtId="164" fontId="9" fillId="18" borderId="3" xfId="20" applyNumberFormat="1" applyBorder="1" applyAlignment="1">
      <alignment horizontal="left"/>
    </xf>
    <xf numFmtId="0" fontId="20" fillId="45" borderId="15" xfId="14" applyFont="1" applyFill="1" applyBorder="1" applyAlignment="1">
      <alignment horizontal="right"/>
    </xf>
    <xf numFmtId="166" fontId="20" fillId="45" borderId="16" xfId="14" applyNumberFormat="1" applyFont="1" applyFill="1" applyBorder="1" applyAlignment="1"/>
    <xf numFmtId="1" fontId="20" fillId="45" borderId="15" xfId="13" applyNumberFormat="1" applyFont="1" applyFill="1" applyBorder="1" applyAlignment="1">
      <alignment horizontal="left"/>
    </xf>
    <xf numFmtId="0" fontId="21" fillId="45" borderId="17" xfId="0" applyFont="1" applyFill="1" applyBorder="1"/>
    <xf numFmtId="0" fontId="20" fillId="45" borderId="15" xfId="14" applyFont="1" applyFill="1" applyBorder="1" applyAlignment="1">
      <alignment horizontal="left"/>
    </xf>
    <xf numFmtId="164" fontId="20" fillId="45" borderId="15" xfId="13" applyFont="1" applyFill="1" applyBorder="1" applyAlignment="1">
      <alignment horizontal="left"/>
    </xf>
    <xf numFmtId="164" fontId="20" fillId="45" borderId="16" xfId="13" applyFont="1" applyFill="1" applyBorder="1" applyAlignment="1">
      <alignment horizontal="left"/>
    </xf>
    <xf numFmtId="164" fontId="35" fillId="45" borderId="16" xfId="13" applyFont="1" applyFill="1" applyBorder="1" applyAlignment="1">
      <alignment horizontal="left"/>
    </xf>
    <xf numFmtId="0" fontId="20" fillId="45" borderId="15" xfId="14" applyNumberFormat="1" applyFont="1" applyFill="1" applyBorder="1" applyAlignment="1">
      <alignment horizontal="left"/>
    </xf>
    <xf numFmtId="165" fontId="20" fillId="45" borderId="15" xfId="18" applyFont="1" applyFill="1" applyBorder="1" applyAlignment="1">
      <alignment horizontal="left"/>
    </xf>
    <xf numFmtId="0" fontId="30" fillId="37" borderId="71" xfId="0" applyFont="1" applyFill="1" applyBorder="1"/>
    <xf numFmtId="173" fontId="21" fillId="0" borderId="18" xfId="18" applyNumberFormat="1" applyFont="1" applyBorder="1" applyAlignment="1">
      <alignment horizontal="center"/>
    </xf>
    <xf numFmtId="0" fontId="9" fillId="44" borderId="3" xfId="25" applyBorder="1" applyAlignment="1">
      <alignment horizontal="center"/>
    </xf>
    <xf numFmtId="173" fontId="30" fillId="0" borderId="56" xfId="18" applyNumberFormat="1" applyFont="1" applyBorder="1" applyAlignment="1">
      <alignment horizontal="center"/>
    </xf>
    <xf numFmtId="0" fontId="30" fillId="15" borderId="48" xfId="0" applyFont="1" applyFill="1" applyBorder="1"/>
    <xf numFmtId="0" fontId="26" fillId="29" borderId="16" xfId="14" applyNumberFormat="1" applyFont="1" applyFill="1" applyBorder="1" applyAlignment="1">
      <alignment horizontal="left"/>
    </xf>
    <xf numFmtId="0" fontId="20" fillId="0" borderId="16" xfId="14" applyNumberFormat="1" applyFont="1" applyFill="1" applyBorder="1" applyAlignment="1"/>
    <xf numFmtId="0" fontId="21" fillId="27" borderId="6" xfId="14" applyNumberFormat="1" applyFont="1" applyFill="1"/>
    <xf numFmtId="0" fontId="20" fillId="47" borderId="16" xfId="14" applyNumberFormat="1" applyFont="1" applyFill="1" applyBorder="1" applyAlignment="1"/>
    <xf numFmtId="0" fontId="35" fillId="0" borderId="63" xfId="14" applyFont="1" applyFill="1" applyBorder="1" applyAlignment="1">
      <alignment horizontal="right"/>
    </xf>
    <xf numFmtId="164" fontId="20" fillId="8" borderId="70" xfId="13" applyFont="1" applyFill="1" applyBorder="1" applyAlignment="1">
      <alignment horizontal="left"/>
    </xf>
    <xf numFmtId="164" fontId="20" fillId="8" borderId="18" xfId="13" applyFont="1" applyFill="1" applyBorder="1" applyAlignment="1">
      <alignment horizontal="left"/>
    </xf>
    <xf numFmtId="164" fontId="20" fillId="26" borderId="16" xfId="13" applyFont="1" applyFill="1" applyBorder="1" applyAlignment="1"/>
    <xf numFmtId="164" fontId="20" fillId="35" borderId="15" xfId="13" applyFont="1" applyFill="1" applyBorder="1" applyAlignment="1">
      <alignment horizontal="left"/>
    </xf>
    <xf numFmtId="164" fontId="20" fillId="40" borderId="15" xfId="13" applyFont="1" applyFill="1" applyBorder="1" applyAlignment="1">
      <alignment horizontal="left"/>
    </xf>
    <xf numFmtId="0" fontId="45" fillId="0" borderId="0" xfId="0" pivotButton="1" applyFont="1"/>
    <xf numFmtId="0" fontId="45" fillId="0" borderId="0" xfId="0" applyFont="1"/>
    <xf numFmtId="0" fontId="45" fillId="0" borderId="0" xfId="0" applyFont="1" applyAlignment="1">
      <alignment horizontal="left"/>
    </xf>
    <xf numFmtId="0" fontId="45" fillId="0" borderId="18" xfId="0" applyFont="1" applyBorder="1" applyAlignment="1">
      <alignment horizontal="left"/>
    </xf>
    <xf numFmtId="0" fontId="45" fillId="0" borderId="18" xfId="0" pivotButton="1" applyFont="1" applyBorder="1" applyAlignment="1">
      <alignment vertical="center"/>
    </xf>
    <xf numFmtId="0" fontId="45" fillId="12" borderId="18" xfId="0" applyFont="1" applyFill="1" applyBorder="1" applyAlignment="1">
      <alignment horizontal="left"/>
    </xf>
    <xf numFmtId="0" fontId="47" fillId="17" borderId="18" xfId="0" applyFont="1" applyFill="1" applyBorder="1"/>
    <xf numFmtId="0" fontId="46" fillId="15" borderId="68" xfId="0" applyFont="1" applyFill="1" applyBorder="1"/>
    <xf numFmtId="0" fontId="48" fillId="24" borderId="58" xfId="0" applyFont="1" applyFill="1" applyBorder="1"/>
    <xf numFmtId="9" fontId="48" fillId="24" borderId="58" xfId="19" applyFont="1" applyFill="1" applyBorder="1"/>
    <xf numFmtId="10" fontId="48" fillId="24" borderId="58" xfId="19" applyNumberFormat="1" applyFont="1" applyFill="1" applyBorder="1"/>
    <xf numFmtId="0" fontId="48" fillId="24" borderId="58" xfId="0" applyFont="1" applyFill="1" applyBorder="1" applyAlignment="1">
      <alignment horizontal="center"/>
    </xf>
    <xf numFmtId="169" fontId="48" fillId="24" borderId="58" xfId="0" applyNumberFormat="1" applyFont="1" applyFill="1" applyBorder="1"/>
    <xf numFmtId="164" fontId="48" fillId="24" borderId="58" xfId="0" applyNumberFormat="1" applyFont="1" applyFill="1" applyBorder="1"/>
    <xf numFmtId="165" fontId="48" fillId="24" borderId="58" xfId="18" applyFont="1" applyFill="1" applyBorder="1"/>
    <xf numFmtId="164" fontId="48" fillId="24" borderId="58" xfId="13" applyFont="1" applyFill="1" applyBorder="1"/>
    <xf numFmtId="164" fontId="48" fillId="24" borderId="58" xfId="13" applyFont="1" applyFill="1" applyBorder="1" applyAlignment="1">
      <alignment horizontal="right"/>
    </xf>
    <xf numFmtId="172" fontId="48" fillId="24" borderId="58" xfId="13" applyNumberFormat="1" applyFont="1" applyFill="1" applyBorder="1"/>
    <xf numFmtId="173" fontId="48" fillId="24" borderId="58" xfId="18" applyNumberFormat="1" applyFont="1" applyFill="1" applyBorder="1"/>
    <xf numFmtId="0" fontId="48" fillId="0" borderId="0" xfId="0" applyFont="1"/>
    <xf numFmtId="0" fontId="49" fillId="29" borderId="60" xfId="0" applyFont="1" applyFill="1" applyBorder="1"/>
    <xf numFmtId="0" fontId="49" fillId="29" borderId="0" xfId="24" applyFont="1" applyFill="1" applyBorder="1"/>
    <xf numFmtId="164" fontId="49" fillId="29" borderId="0" xfId="13" applyFont="1" applyFill="1" applyBorder="1"/>
    <xf numFmtId="164" fontId="49" fillId="29" borderId="3" xfId="6" applyNumberFormat="1" applyFont="1" applyFill="1" applyAlignment="1"/>
    <xf numFmtId="0" fontId="48" fillId="35" borderId="0" xfId="0" applyFont="1" applyFill="1"/>
    <xf numFmtId="164" fontId="49" fillId="17" borderId="3" xfId="6" applyNumberFormat="1" applyFont="1" applyFill="1" applyAlignment="1"/>
    <xf numFmtId="164" fontId="48" fillId="34" borderId="0" xfId="0" applyNumberFormat="1" applyFont="1" applyFill="1"/>
    <xf numFmtId="0" fontId="48" fillId="34" borderId="0" xfId="0" applyFont="1" applyFill="1"/>
    <xf numFmtId="164" fontId="48" fillId="34" borderId="0" xfId="13" applyFont="1" applyFill="1" applyBorder="1"/>
    <xf numFmtId="164" fontId="48" fillId="34" borderId="0" xfId="13" applyFont="1" applyFill="1" applyBorder="1" applyAlignment="1">
      <alignment horizontal="right"/>
    </xf>
    <xf numFmtId="172" fontId="48" fillId="34" borderId="0" xfId="13" applyNumberFormat="1" applyFont="1" applyFill="1" applyBorder="1"/>
    <xf numFmtId="173" fontId="49" fillId="17" borderId="3" xfId="18" applyNumberFormat="1" applyFont="1" applyFill="1" applyBorder="1" applyAlignment="1"/>
    <xf numFmtId="0" fontId="49" fillId="17" borderId="3" xfId="6" applyFont="1" applyFill="1" applyAlignment="1">
      <alignment vertical="center"/>
    </xf>
    <xf numFmtId="0" fontId="49" fillId="17" borderId="3" xfId="6" applyFont="1" applyFill="1" applyAlignment="1">
      <alignment vertical="center" wrapText="1"/>
    </xf>
    <xf numFmtId="0" fontId="49" fillId="29" borderId="3" xfId="6" applyFont="1" applyFill="1" applyAlignment="1">
      <alignment vertical="center"/>
    </xf>
    <xf numFmtId="0" fontId="49" fillId="29" borderId="3" xfId="6" applyFont="1" applyFill="1" applyAlignment="1">
      <alignment vertical="center" wrapText="1"/>
    </xf>
    <xf numFmtId="0" fontId="49" fillId="29" borderId="3" xfId="6" applyFont="1" applyFill="1" applyAlignment="1">
      <alignment horizontal="center" vertical="center" wrapText="1"/>
    </xf>
    <xf numFmtId="165" fontId="49" fillId="22" borderId="3" xfId="18" applyFont="1" applyFill="1" applyBorder="1" applyAlignment="1">
      <alignment horizontal="center" vertical="center" wrapText="1"/>
    </xf>
    <xf numFmtId="166" fontId="50" fillId="29" borderId="3" xfId="6" applyNumberFormat="1" applyFont="1" applyFill="1" applyAlignment="1">
      <alignment horizontal="left" vertical="center" wrapText="1"/>
    </xf>
    <xf numFmtId="164" fontId="49" fillId="29" borderId="3" xfId="6" applyNumberFormat="1" applyFont="1" applyFill="1" applyAlignment="1">
      <alignment horizontal="center" vertical="center" wrapText="1"/>
    </xf>
    <xf numFmtId="172" fontId="49" fillId="29" borderId="3" xfId="13" applyNumberFormat="1" applyFont="1" applyFill="1" applyBorder="1" applyAlignment="1">
      <alignment horizontal="center" wrapText="1"/>
    </xf>
    <xf numFmtId="164" fontId="49" fillId="29" borderId="3" xfId="6" applyNumberFormat="1" applyFont="1" applyFill="1" applyAlignment="1">
      <alignment horizontal="center" wrapText="1"/>
    </xf>
    <xf numFmtId="173" fontId="49" fillId="36" borderId="67" xfId="18" applyNumberFormat="1" applyFont="1" applyFill="1" applyBorder="1" applyAlignment="1">
      <alignment horizontal="center" vertical="center" wrapText="1"/>
    </xf>
    <xf numFmtId="173" fontId="49" fillId="36" borderId="67" xfId="18" applyNumberFormat="1" applyFont="1" applyFill="1" applyBorder="1" applyAlignment="1">
      <alignment horizontal="center" wrapText="1"/>
    </xf>
    <xf numFmtId="164" fontId="49" fillId="36" borderId="67" xfId="6" applyNumberFormat="1" applyFont="1" applyFill="1" applyBorder="1" applyAlignment="1">
      <alignment horizontal="center" wrapText="1"/>
    </xf>
    <xf numFmtId="164" fontId="49" fillId="36" borderId="67" xfId="6" applyNumberFormat="1" applyFont="1" applyFill="1" applyBorder="1" applyAlignment="1">
      <alignment horizontal="center" vertical="center" wrapText="1"/>
    </xf>
    <xf numFmtId="166" fontId="48" fillId="0" borderId="59" xfId="0" applyNumberFormat="1" applyFont="1" applyBorder="1"/>
    <xf numFmtId="0" fontId="48" fillId="0" borderId="17" xfId="0" applyFont="1" applyBorder="1"/>
    <xf numFmtId="0" fontId="48" fillId="0" borderId="18" xfId="0" applyFont="1" applyBorder="1"/>
    <xf numFmtId="169" fontId="48" fillId="0" borderId="17" xfId="18" applyNumberFormat="1" applyFont="1" applyBorder="1"/>
    <xf numFmtId="10" fontId="48" fillId="0" borderId="17" xfId="19" applyNumberFormat="1" applyFont="1" applyBorder="1"/>
    <xf numFmtId="169" fontId="48" fillId="0" borderId="17" xfId="18" applyNumberFormat="1" applyFont="1" applyBorder="1" applyAlignment="1">
      <alignment horizontal="center"/>
    </xf>
    <xf numFmtId="0" fontId="48" fillId="0" borderId="24" xfId="0" applyFont="1" applyBorder="1"/>
    <xf numFmtId="169" fontId="48" fillId="23" borderId="17" xfId="18" applyNumberFormat="1" applyFont="1" applyFill="1" applyBorder="1"/>
    <xf numFmtId="169" fontId="48" fillId="12" borderId="17" xfId="18" applyNumberFormat="1" applyFont="1" applyFill="1" applyBorder="1"/>
    <xf numFmtId="169" fontId="49" fillId="31" borderId="17" xfId="18" applyNumberFormat="1" applyFont="1" applyFill="1" applyBorder="1"/>
    <xf numFmtId="164" fontId="49" fillId="17" borderId="15" xfId="13" applyFont="1" applyFill="1" applyBorder="1" applyAlignment="1">
      <alignment horizontal="left"/>
    </xf>
    <xf numFmtId="169" fontId="49" fillId="25" borderId="17" xfId="18" applyNumberFormat="1" applyFont="1" applyFill="1" applyBorder="1"/>
    <xf numFmtId="164" fontId="49" fillId="40" borderId="15" xfId="13" applyFont="1" applyFill="1" applyBorder="1" applyAlignment="1">
      <alignment horizontal="left"/>
    </xf>
    <xf numFmtId="165" fontId="49" fillId="22" borderId="0" xfId="18" applyFont="1" applyFill="1" applyBorder="1" applyAlignment="1">
      <alignment horizontal="left"/>
    </xf>
    <xf numFmtId="166" fontId="49" fillId="31" borderId="17" xfId="18" applyNumberFormat="1" applyFont="1" applyFill="1" applyBorder="1"/>
    <xf numFmtId="164" fontId="49" fillId="17" borderId="15" xfId="13" applyFont="1" applyFill="1" applyBorder="1" applyAlignment="1">
      <alignment horizontal="center"/>
    </xf>
    <xf numFmtId="164" fontId="49" fillId="31" borderId="17" xfId="13" applyFont="1" applyFill="1" applyBorder="1"/>
    <xf numFmtId="164" fontId="49" fillId="31" borderId="17" xfId="13" applyFont="1" applyFill="1" applyBorder="1" applyAlignment="1">
      <alignment horizontal="right"/>
    </xf>
    <xf numFmtId="172" fontId="49" fillId="17" borderId="15" xfId="13" applyNumberFormat="1" applyFont="1" applyFill="1" applyBorder="1" applyAlignment="1">
      <alignment horizontal="left"/>
    </xf>
    <xf numFmtId="164" fontId="51" fillId="15" borderId="15" xfId="13" applyFont="1" applyFill="1" applyBorder="1" applyAlignment="1">
      <alignment horizontal="left"/>
    </xf>
    <xf numFmtId="164" fontId="51" fillId="15" borderId="66" xfId="13" applyFont="1" applyFill="1" applyBorder="1" applyAlignment="1">
      <alignment horizontal="left"/>
    </xf>
    <xf numFmtId="173" fontId="49" fillId="29" borderId="15" xfId="18" applyNumberFormat="1" applyFont="1" applyFill="1" applyBorder="1" applyAlignment="1">
      <alignment horizontal="left"/>
    </xf>
    <xf numFmtId="169" fontId="49" fillId="29" borderId="15" xfId="14" applyNumberFormat="1" applyFont="1" applyFill="1" applyBorder="1" applyAlignment="1">
      <alignment horizontal="left"/>
    </xf>
    <xf numFmtId="169" fontId="52" fillId="8" borderId="0" xfId="14" applyNumberFormat="1" applyFont="1" applyFill="1" applyBorder="1" applyAlignment="1">
      <alignment horizontal="left"/>
    </xf>
    <xf numFmtId="172" fontId="52" fillId="8" borderId="0" xfId="13" applyNumberFormat="1" applyFont="1" applyFill="1" applyBorder="1" applyAlignment="1">
      <alignment horizontal="left"/>
    </xf>
    <xf numFmtId="164" fontId="48" fillId="0" borderId="17" xfId="13" applyFont="1" applyBorder="1" applyAlignment="1">
      <alignment horizontal="right"/>
    </xf>
    <xf numFmtId="166" fontId="48" fillId="26" borderId="43" xfId="0" applyNumberFormat="1" applyFont="1" applyFill="1" applyBorder="1"/>
    <xf numFmtId="0" fontId="48" fillId="26" borderId="18" xfId="0" applyFont="1" applyFill="1" applyBorder="1"/>
    <xf numFmtId="169" fontId="48" fillId="26" borderId="18" xfId="18" applyNumberFormat="1" applyFont="1" applyFill="1" applyBorder="1"/>
    <xf numFmtId="10" fontId="48" fillId="26" borderId="18" xfId="19" applyNumberFormat="1" applyFont="1" applyFill="1" applyBorder="1"/>
    <xf numFmtId="169" fontId="48" fillId="26" borderId="18" xfId="18" applyNumberFormat="1" applyFont="1" applyFill="1" applyBorder="1" applyAlignment="1">
      <alignment horizontal="center"/>
    </xf>
    <xf numFmtId="0" fontId="48" fillId="26" borderId="19" xfId="0" applyFont="1" applyFill="1" applyBorder="1"/>
    <xf numFmtId="166" fontId="48" fillId="0" borderId="43" xfId="0" applyNumberFormat="1" applyFont="1" applyBorder="1" applyAlignment="1">
      <alignment horizontal="right"/>
    </xf>
    <xf numFmtId="169" fontId="48" fillId="0" borderId="18" xfId="18" applyNumberFormat="1" applyFont="1" applyBorder="1"/>
    <xf numFmtId="10" fontId="48" fillId="0" borderId="18" xfId="19" applyNumberFormat="1" applyFont="1" applyBorder="1"/>
    <xf numFmtId="169" fontId="48" fillId="0" borderId="18" xfId="18" applyNumberFormat="1" applyFont="1" applyBorder="1" applyAlignment="1">
      <alignment horizontal="center"/>
    </xf>
    <xf numFmtId="0" fontId="48" fillId="0" borderId="19" xfId="0" applyFont="1" applyBorder="1"/>
    <xf numFmtId="169" fontId="48" fillId="0" borderId="18" xfId="18" applyNumberFormat="1" applyFont="1" applyFill="1" applyBorder="1"/>
    <xf numFmtId="169" fontId="48" fillId="0" borderId="18" xfId="18" applyNumberFormat="1" applyFont="1" applyFill="1" applyBorder="1" applyAlignment="1">
      <alignment horizontal="center"/>
    </xf>
    <xf numFmtId="0" fontId="48" fillId="0" borderId="18" xfId="0" applyFont="1" applyBorder="1" applyAlignment="1">
      <alignment horizontal="center"/>
    </xf>
    <xf numFmtId="169" fontId="52" fillId="0" borderId="17" xfId="18" applyNumberFormat="1" applyFont="1" applyBorder="1"/>
    <xf numFmtId="0" fontId="48" fillId="26" borderId="18" xfId="0" applyFont="1" applyFill="1" applyBorder="1" applyAlignment="1">
      <alignment horizontal="center"/>
    </xf>
    <xf numFmtId="169" fontId="48" fillId="26" borderId="17" xfId="18" applyNumberFormat="1" applyFont="1" applyFill="1" applyBorder="1"/>
    <xf numFmtId="166" fontId="48" fillId="0" borderId="43" xfId="0" applyNumberFormat="1" applyFont="1" applyBorder="1"/>
    <xf numFmtId="0" fontId="48" fillId="26" borderId="0" xfId="0" applyFont="1" applyFill="1"/>
    <xf numFmtId="166" fontId="48" fillId="26" borderId="43" xfId="0" applyNumberFormat="1" applyFont="1" applyFill="1" applyBorder="1" applyAlignment="1">
      <alignment horizontal="right"/>
    </xf>
    <xf numFmtId="169" fontId="48" fillId="0" borderId="17" xfId="18" applyNumberFormat="1" applyFont="1" applyFill="1" applyBorder="1"/>
    <xf numFmtId="10" fontId="48" fillId="0" borderId="18" xfId="19" applyNumberFormat="1" applyFont="1" applyFill="1" applyBorder="1"/>
    <xf numFmtId="169" fontId="48" fillId="0" borderId="18" xfId="0" applyNumberFormat="1" applyFont="1" applyBorder="1"/>
    <xf numFmtId="166" fontId="48" fillId="0" borderId="47" xfId="0" applyNumberFormat="1" applyFont="1" applyBorder="1"/>
    <xf numFmtId="0" fontId="48" fillId="0" borderId="20" xfId="0" applyFont="1" applyBorder="1"/>
    <xf numFmtId="169" fontId="48" fillId="0" borderId="20" xfId="18" applyNumberFormat="1" applyFont="1" applyBorder="1"/>
    <xf numFmtId="0" fontId="48" fillId="0" borderId="20" xfId="0" applyFont="1" applyBorder="1" applyAlignment="1">
      <alignment horizontal="center"/>
    </xf>
    <xf numFmtId="166" fontId="48" fillId="0" borderId="18" xfId="0" applyNumberFormat="1" applyFont="1" applyBorder="1"/>
    <xf numFmtId="166" fontId="48" fillId="0" borderId="18" xfId="0" applyNumberFormat="1" applyFont="1" applyBorder="1" applyAlignment="1">
      <alignment horizontal="right"/>
    </xf>
    <xf numFmtId="166" fontId="48" fillId="26" borderId="18" xfId="0" applyNumberFormat="1" applyFont="1" applyFill="1" applyBorder="1" applyAlignment="1">
      <alignment horizontal="right"/>
    </xf>
    <xf numFmtId="10" fontId="48" fillId="0" borderId="20" xfId="19" applyNumberFormat="1" applyFont="1" applyBorder="1"/>
    <xf numFmtId="166" fontId="48" fillId="26" borderId="18" xfId="0" applyNumberFormat="1" applyFont="1" applyFill="1" applyBorder="1"/>
    <xf numFmtId="9" fontId="48" fillId="0" borderId="18" xfId="19" applyFont="1" applyBorder="1"/>
    <xf numFmtId="173" fontId="48" fillId="0" borderId="18" xfId="18" applyNumberFormat="1" applyFont="1" applyBorder="1"/>
    <xf numFmtId="9" fontId="48" fillId="0" borderId="18" xfId="19" applyFont="1" applyFill="1" applyBorder="1"/>
    <xf numFmtId="173" fontId="48" fillId="0" borderId="18" xfId="18" applyNumberFormat="1" applyFont="1" applyFill="1" applyBorder="1"/>
    <xf numFmtId="9" fontId="48" fillId="26" borderId="18" xfId="19" applyFont="1" applyFill="1" applyBorder="1"/>
    <xf numFmtId="173" fontId="48" fillId="26" borderId="18" xfId="18" applyNumberFormat="1" applyFont="1" applyFill="1" applyBorder="1"/>
    <xf numFmtId="0" fontId="48" fillId="26" borderId="17" xfId="0" applyFont="1" applyFill="1" applyBorder="1"/>
    <xf numFmtId="0" fontId="48" fillId="14" borderId="18" xfId="0" applyFont="1" applyFill="1" applyBorder="1"/>
    <xf numFmtId="9" fontId="48" fillId="14" borderId="18" xfId="19" applyFont="1" applyFill="1" applyBorder="1"/>
    <xf numFmtId="10" fontId="48" fillId="14" borderId="18" xfId="19" applyNumberFormat="1" applyFont="1" applyFill="1" applyBorder="1"/>
    <xf numFmtId="0" fontId="48" fillId="14" borderId="18" xfId="0" applyFont="1" applyFill="1" applyBorder="1" applyAlignment="1">
      <alignment horizontal="center"/>
    </xf>
    <xf numFmtId="165" fontId="49" fillId="22" borderId="18" xfId="18" applyFont="1" applyFill="1" applyBorder="1"/>
    <xf numFmtId="164" fontId="48" fillId="14" borderId="18" xfId="13" applyFont="1" applyFill="1" applyBorder="1"/>
    <xf numFmtId="164" fontId="48" fillId="14" borderId="18" xfId="13" applyFont="1" applyFill="1" applyBorder="1" applyAlignment="1">
      <alignment horizontal="right"/>
    </xf>
    <xf numFmtId="172" fontId="48" fillId="14" borderId="18" xfId="13" applyNumberFormat="1" applyFont="1" applyFill="1" applyBorder="1"/>
    <xf numFmtId="173" fontId="48" fillId="14" borderId="18" xfId="18" applyNumberFormat="1" applyFont="1" applyFill="1" applyBorder="1"/>
    <xf numFmtId="9" fontId="48" fillId="0" borderId="0" xfId="19" applyFont="1"/>
    <xf numFmtId="10" fontId="48" fillId="0" borderId="0" xfId="19" applyNumberFormat="1" applyFont="1"/>
    <xf numFmtId="0" fontId="48" fillId="0" borderId="0" xfId="0" applyFont="1" applyAlignment="1">
      <alignment horizontal="center"/>
    </xf>
    <xf numFmtId="165" fontId="49" fillId="22" borderId="0" xfId="18" applyFont="1" applyFill="1"/>
    <xf numFmtId="164" fontId="48" fillId="0" borderId="0" xfId="13" applyFont="1"/>
    <xf numFmtId="164" fontId="48" fillId="0" borderId="0" xfId="13" applyFont="1" applyAlignment="1">
      <alignment horizontal="right"/>
    </xf>
    <xf numFmtId="172" fontId="48" fillId="0" borderId="0" xfId="13" applyNumberFormat="1" applyFont="1"/>
    <xf numFmtId="173" fontId="48" fillId="0" borderId="0" xfId="18" applyNumberFormat="1" applyFont="1"/>
    <xf numFmtId="164" fontId="48" fillId="0" borderId="0" xfId="0" applyNumberFormat="1" applyFont="1"/>
    <xf numFmtId="165" fontId="48" fillId="0" borderId="0" xfId="18" applyFont="1"/>
    <xf numFmtId="164" fontId="21" fillId="0" borderId="72" xfId="13" applyFont="1" applyBorder="1"/>
    <xf numFmtId="164" fontId="21" fillId="27" borderId="72" xfId="13" applyFont="1" applyFill="1" applyBorder="1" applyAlignment="1">
      <alignment horizontal="center"/>
    </xf>
    <xf numFmtId="174" fontId="23" fillId="12" borderId="0" xfId="0" applyNumberFormat="1" applyFont="1" applyFill="1"/>
    <xf numFmtId="164" fontId="21" fillId="13" borderId="72" xfId="13" applyFont="1" applyFill="1" applyBorder="1"/>
    <xf numFmtId="0" fontId="30" fillId="0" borderId="56" xfId="0" applyFont="1" applyBorder="1"/>
    <xf numFmtId="164" fontId="30" fillId="27" borderId="73" xfId="13" applyFont="1" applyFill="1" applyBorder="1" applyAlignment="1">
      <alignment horizontal="center"/>
    </xf>
    <xf numFmtId="164" fontId="30" fillId="0" borderId="56" xfId="0" applyNumberFormat="1" applyFont="1" applyBorder="1"/>
    <xf numFmtId="0" fontId="26" fillId="44" borderId="3" xfId="25" applyFont="1" applyBorder="1" applyAlignment="1">
      <alignment horizontal="center"/>
    </xf>
    <xf numFmtId="174" fontId="26" fillId="44" borderId="3" xfId="25" applyNumberFormat="1" applyFont="1" applyBorder="1" applyAlignment="1">
      <alignment horizontal="center"/>
    </xf>
    <xf numFmtId="164" fontId="26" fillId="10" borderId="0" xfId="15" applyNumberFormat="1" applyFont="1"/>
    <xf numFmtId="164" fontId="26" fillId="10" borderId="0" xfId="15" applyNumberFormat="1" applyFont="1" applyAlignment="1">
      <alignment horizontal="center" vertical="center"/>
    </xf>
    <xf numFmtId="174" fontId="26" fillId="10" borderId="0" xfId="15" applyNumberFormat="1" applyFont="1"/>
    <xf numFmtId="164" fontId="21" fillId="11" borderId="0" xfId="13" applyFont="1" applyFill="1"/>
    <xf numFmtId="164" fontId="21" fillId="11" borderId="0" xfId="13" applyFont="1" applyFill="1" applyBorder="1"/>
    <xf numFmtId="164" fontId="39" fillId="11" borderId="0" xfId="13" applyFont="1" applyFill="1" applyBorder="1" applyAlignment="1">
      <alignment horizontal="center"/>
    </xf>
    <xf numFmtId="0" fontId="16" fillId="11" borderId="0" xfId="17" applyFont="1" applyFill="1" applyBorder="1" applyAlignment="1">
      <alignment horizontal="right"/>
    </xf>
    <xf numFmtId="174" fontId="38" fillId="11" borderId="0" xfId="13" applyNumberFormat="1" applyFont="1" applyFill="1" applyBorder="1" applyAlignment="1">
      <alignment horizontal="center"/>
    </xf>
    <xf numFmtId="166" fontId="23" fillId="11" borderId="0" xfId="13" applyNumberFormat="1" applyFont="1" applyFill="1"/>
    <xf numFmtId="164" fontId="26" fillId="0" borderId="5" xfId="13" applyFont="1" applyBorder="1"/>
    <xf numFmtId="164" fontId="26" fillId="18" borderId="74" xfId="20" applyNumberFormat="1" applyFont="1" applyBorder="1" applyAlignment="1">
      <alignment horizontal="right"/>
    </xf>
    <xf numFmtId="0" fontId="26" fillId="18" borderId="74" xfId="20" applyFont="1" applyBorder="1" applyAlignment="1">
      <alignment horizontal="center"/>
    </xf>
    <xf numFmtId="0" fontId="30" fillId="11" borderId="18" xfId="14" applyFont="1" applyFill="1" applyBorder="1"/>
    <xf numFmtId="166" fontId="21" fillId="9" borderId="18" xfId="14" applyNumberFormat="1" applyFont="1" applyBorder="1"/>
    <xf numFmtId="164" fontId="21" fillId="9" borderId="18" xfId="13" applyFont="1" applyFill="1" applyBorder="1"/>
    <xf numFmtId="164" fontId="21" fillId="12" borderId="18" xfId="13" applyFont="1" applyFill="1" applyBorder="1"/>
    <xf numFmtId="164" fontId="21" fillId="23" borderId="18" xfId="13" applyFont="1" applyFill="1" applyBorder="1"/>
    <xf numFmtId="164" fontId="30" fillId="0" borderId="57" xfId="13" applyFont="1" applyBorder="1"/>
    <xf numFmtId="164" fontId="21" fillId="0" borderId="0" xfId="0" applyNumberFormat="1" applyFont="1"/>
    <xf numFmtId="43" fontId="21" fillId="0" borderId="0" xfId="0" applyNumberFormat="1" applyFont="1"/>
    <xf numFmtId="0" fontId="12" fillId="11" borderId="0" xfId="16" quotePrefix="1" applyFont="1" applyFill="1" applyAlignment="1">
      <alignment horizontal="center" vertical="center"/>
    </xf>
    <xf numFmtId="0" fontId="21" fillId="11" borderId="0" xfId="0" quotePrefix="1" applyFont="1" applyFill="1"/>
    <xf numFmtId="14" fontId="0" fillId="0" borderId="0" xfId="0" applyNumberFormat="1"/>
    <xf numFmtId="165" fontId="0" fillId="0" borderId="0" xfId="18" applyFont="1"/>
    <xf numFmtId="0" fontId="0" fillId="9" borderId="6" xfId="14" applyFont="1"/>
    <xf numFmtId="165" fontId="0" fillId="9" borderId="6" xfId="14" applyNumberFormat="1" applyFont="1"/>
    <xf numFmtId="14" fontId="0" fillId="9" borderId="6" xfId="14" applyNumberFormat="1" applyFont="1"/>
    <xf numFmtId="165" fontId="0" fillId="9" borderId="6" xfId="18" applyFont="1" applyFill="1" applyBorder="1"/>
    <xf numFmtId="9" fontId="0" fillId="9" borderId="6" xfId="19" applyFont="1" applyFill="1" applyBorder="1"/>
    <xf numFmtId="0" fontId="0" fillId="9" borderId="6" xfId="14" applyFont="1" applyAlignment="1">
      <alignment horizontal="right"/>
    </xf>
    <xf numFmtId="0" fontId="18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9" fillId="46" borderId="3" xfId="25" applyFill="1" applyBorder="1" applyAlignment="1">
      <alignment horizontal="left"/>
    </xf>
    <xf numFmtId="0" fontId="21" fillId="0" borderId="20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0" fontId="21" fillId="9" borderId="20" xfId="14" applyFont="1" applyBorder="1" applyAlignment="1">
      <alignment horizontal="center" vertical="center" wrapText="1"/>
    </xf>
    <xf numFmtId="0" fontId="21" fillId="9" borderId="22" xfId="14" applyFont="1" applyBorder="1" applyAlignment="1">
      <alignment horizontal="center" vertical="center" wrapText="1"/>
    </xf>
    <xf numFmtId="0" fontId="21" fillId="9" borderId="17" xfId="14" applyFont="1" applyBorder="1" applyAlignment="1">
      <alignment horizontal="center" vertical="center" wrapText="1"/>
    </xf>
    <xf numFmtId="0" fontId="36" fillId="24" borderId="5" xfId="23" applyFont="1" applyFill="1" applyBorder="1" applyAlignment="1">
      <alignment horizontal="center"/>
    </xf>
    <xf numFmtId="0" fontId="21" fillId="14" borderId="5" xfId="0" applyFont="1" applyFill="1" applyBorder="1" applyAlignment="1">
      <alignment horizontal="center"/>
    </xf>
    <xf numFmtId="0" fontId="21" fillId="14" borderId="40" xfId="0" applyFont="1" applyFill="1" applyBorder="1" applyAlignment="1">
      <alignment horizontal="center"/>
    </xf>
  </cellXfs>
  <cellStyles count="26">
    <cellStyle name="% complete" xfId="6" xr:uid="{00000000-0005-0000-0000-000000000000}"/>
    <cellStyle name="% complete (beyond plan) legend" xfId="8" xr:uid="{00000000-0005-0000-0000-000001000000}"/>
    <cellStyle name="40% - Accent6" xfId="22" builtinId="51"/>
    <cellStyle name="Accent2" xfId="20" builtinId="33"/>
    <cellStyle name="Accent3" xfId="24" builtinId="37"/>
    <cellStyle name="Accent4" xfId="21" builtinId="41"/>
    <cellStyle name="Accent5" xfId="25" builtinId="45"/>
    <cellStyle name="Accent6" xfId="15" builtinId="49"/>
    <cellStyle name="Activity" xfId="11" xr:uid="{00000000-0005-0000-0000-000008000000}"/>
    <cellStyle name="Actual (beyond plan) legend" xfId="7" xr:uid="{00000000-0005-0000-0000-000009000000}"/>
    <cellStyle name="Actual legend" xfId="5" xr:uid="{00000000-0005-0000-0000-00000A000000}"/>
    <cellStyle name="Comma" xfId="18" builtinId="3"/>
    <cellStyle name="Comma [0]" xfId="13" builtinId="6"/>
    <cellStyle name="Good" xfId="23" builtinId="26"/>
    <cellStyle name="Hyperlink" xfId="17" builtinId="8"/>
    <cellStyle name="Label" xfId="4" xr:uid="{00000000-0005-0000-0000-00000F000000}"/>
    <cellStyle name="Normal" xfId="0" builtinId="0"/>
    <cellStyle name="Normal 5" xfId="16" xr:uid="{00000000-0005-0000-0000-000011000000}"/>
    <cellStyle name="Note" xfId="14" builtinId="10"/>
    <cellStyle name="Percent" xfId="19" builtinId="5"/>
    <cellStyle name="Percent Complete" xfId="12" xr:uid="{00000000-0005-0000-0000-000014000000}"/>
    <cellStyle name="Period Headers" xfId="10" xr:uid="{00000000-0005-0000-0000-000015000000}"/>
    <cellStyle name="Period Highlight Control" xfId="1" xr:uid="{00000000-0005-0000-0000-000016000000}"/>
    <cellStyle name="Period Value" xfId="2" xr:uid="{00000000-0005-0000-0000-000017000000}"/>
    <cellStyle name="Plan legend" xfId="3" xr:uid="{00000000-0005-0000-0000-000018000000}"/>
    <cellStyle name="Project Headers" xfId="9" xr:uid="{00000000-0005-0000-0000-000019000000}"/>
  </cellStyles>
  <dxfs count="1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0"/>
      </font>
    </dxf>
    <dxf>
      <font>
        <name val="Tahoma"/>
        <scheme val="none"/>
      </font>
    </dxf>
    <dxf>
      <fill>
        <patternFill>
          <fgColor indexed="64"/>
          <bgColor theme="7" tint="0.79998168889431442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color theme="0"/>
      </font>
    </dxf>
    <dxf>
      <fill>
        <patternFill>
          <bgColor rgb="FF00B050"/>
        </patternFill>
      </fill>
    </dxf>
    <dxf>
      <border>
        <bottom style="double">
          <color indexed="64"/>
        </bottom>
      </border>
    </dxf>
    <dxf>
      <font>
        <b/>
      </font>
    </dxf>
    <dxf>
      <fill>
        <patternFill>
          <bgColor theme="9" tint="0.59999389629810485"/>
        </patternFill>
      </fill>
    </dxf>
    <dxf>
      <font>
        <color auto="1"/>
      </font>
    </dxf>
    <dxf>
      <fill>
        <patternFill>
          <bgColor rgb="FFFFC000"/>
        </patternFill>
      </fill>
    </dxf>
    <dxf>
      <font>
        <b val="0"/>
      </font>
    </dxf>
    <dxf>
      <fill>
        <patternFill>
          <bgColor rgb="FFC00000"/>
        </patternFill>
      </fill>
    </dxf>
    <dxf>
      <font>
        <b val="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</dxfs>
  <tableStyles count="0" defaultTableStyle="TableStyleMedium2" defaultPivotStyle="PivotStyleLight16"/>
  <colors>
    <mruColors>
      <color rgb="FF0000CC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Collections!A1"/><Relationship Id="rId13" Type="http://schemas.openxmlformats.org/officeDocument/2006/relationships/hyperlink" Target="#'P&amp;L'!A1"/><Relationship Id="rId3" Type="http://schemas.openxmlformats.org/officeDocument/2006/relationships/hyperlink" Target="#'About-us'!A1"/><Relationship Id="rId7" Type="http://schemas.openxmlformats.org/officeDocument/2006/relationships/hyperlink" Target="#'Expenses-Tracker'!A1"/><Relationship Id="rId12" Type="http://schemas.openxmlformats.org/officeDocument/2006/relationships/hyperlink" Target="#BS!A1"/><Relationship Id="rId2" Type="http://schemas.openxmlformats.org/officeDocument/2006/relationships/hyperlink" Target="#CoverPage!A1"/><Relationship Id="rId1" Type="http://schemas.openxmlformats.org/officeDocument/2006/relationships/image" Target="../media/image1.png"/><Relationship Id="rId6" Type="http://schemas.openxmlformats.org/officeDocument/2006/relationships/hyperlink" Target="#'Start-up Costs'!A1"/><Relationship Id="rId11" Type="http://schemas.openxmlformats.org/officeDocument/2006/relationships/hyperlink" Target="#'Disbursed-June'!A1"/><Relationship Id="rId5" Type="http://schemas.openxmlformats.org/officeDocument/2006/relationships/hyperlink" Target="#'Client-db'!A1"/><Relationship Id="rId10" Type="http://schemas.openxmlformats.org/officeDocument/2006/relationships/hyperlink" Target="#'Disbursed-July'!A1"/><Relationship Id="rId4" Type="http://schemas.openxmlformats.org/officeDocument/2006/relationships/hyperlink" Target="#'Products+Services'!A1"/><Relationship Id="rId9" Type="http://schemas.openxmlformats.org/officeDocument/2006/relationships/hyperlink" Target="#'Disbursed-May'!A1"/><Relationship Id="rId14" Type="http://schemas.openxmlformats.org/officeDocument/2006/relationships/hyperlink" Target="#'Trial-Bal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7</xdr:col>
      <xdr:colOff>9525</xdr:colOff>
      <xdr:row>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1258E-C8F1-4DB3-8529-7D791753A3F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3543300" cy="5905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</xdr:row>
      <xdr:rowOff>133350</xdr:rowOff>
    </xdr:from>
    <xdr:to>
      <xdr:col>4</xdr:col>
      <xdr:colOff>276225</xdr:colOff>
      <xdr:row>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F00C6-F4F3-43BB-A331-D8E170E4F6A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438150"/>
          <a:ext cx="3600450" cy="8763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57150</xdr:colOff>
      <xdr:row>12</xdr:row>
      <xdr:rowOff>114300</xdr:rowOff>
    </xdr:from>
    <xdr:to>
      <xdr:col>2</xdr:col>
      <xdr:colOff>1381125</xdr:colOff>
      <xdr:row>16</xdr:row>
      <xdr:rowOff>0</xdr:rowOff>
    </xdr:to>
    <xdr:sp macro="" textlink="">
      <xdr:nvSpPr>
        <xdr:cNvPr id="3" name="Arrow: Right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7856AF-C5B2-4980-BF04-F123FA5B1AEE}"/>
            </a:ext>
          </a:extLst>
        </xdr:cNvPr>
        <xdr:cNvSpPr/>
      </xdr:nvSpPr>
      <xdr:spPr>
        <a:xfrm>
          <a:off x="381000" y="2181225"/>
          <a:ext cx="1323975" cy="609600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cap="none" spc="0">
              <a:ln w="0"/>
              <a:solidFill>
                <a:srgbClr val="0000CC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Cover Page</a:t>
          </a:r>
          <a:endParaRPr lang="x-none" sz="1100" b="0" cap="none" spc="0">
            <a:ln w="0"/>
            <a:solidFill>
              <a:srgbClr val="0000CC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1590675</xdr:colOff>
      <xdr:row>12</xdr:row>
      <xdr:rowOff>133350</xdr:rowOff>
    </xdr:from>
    <xdr:to>
      <xdr:col>3</xdr:col>
      <xdr:colOff>714375</xdr:colOff>
      <xdr:row>16</xdr:row>
      <xdr:rowOff>19050</xdr:rowOff>
    </xdr:to>
    <xdr:sp macro="" textlink="">
      <xdr:nvSpPr>
        <xdr:cNvPr id="4" name="Arrow: Right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AA1E78-AB9A-4B92-82E0-BE661F186397}"/>
            </a:ext>
          </a:extLst>
        </xdr:cNvPr>
        <xdr:cNvSpPr/>
      </xdr:nvSpPr>
      <xdr:spPr>
        <a:xfrm>
          <a:off x="1914525" y="2200275"/>
          <a:ext cx="1323975" cy="609600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cap="none" spc="0">
              <a:ln w="0"/>
              <a:solidFill>
                <a:srgbClr val="0000CC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About us</a:t>
          </a:r>
          <a:endParaRPr lang="x-none" sz="1100" b="0" cap="none" spc="0">
            <a:ln w="0"/>
            <a:solidFill>
              <a:srgbClr val="0000CC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1019175</xdr:colOff>
      <xdr:row>12</xdr:row>
      <xdr:rowOff>133350</xdr:rowOff>
    </xdr:from>
    <xdr:to>
      <xdr:col>4</xdr:col>
      <xdr:colOff>1171575</xdr:colOff>
      <xdr:row>16</xdr:row>
      <xdr:rowOff>19050</xdr:rowOff>
    </xdr:to>
    <xdr:sp macro="" textlink="">
      <xdr:nvSpPr>
        <xdr:cNvPr id="5" name="Arrow: Right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C12E749-56DA-4371-A875-BCF7B7B63C80}"/>
            </a:ext>
          </a:extLst>
        </xdr:cNvPr>
        <xdr:cNvSpPr/>
      </xdr:nvSpPr>
      <xdr:spPr>
        <a:xfrm>
          <a:off x="3543300" y="2200275"/>
          <a:ext cx="1733550" cy="609600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0" cap="none" spc="0">
              <a:ln w="0"/>
              <a:solidFill>
                <a:srgbClr val="0000CC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Products</a:t>
          </a:r>
          <a:r>
            <a:rPr lang="en-US" sz="1100" b="0" cap="none" spc="0" baseline="0">
              <a:ln w="0"/>
              <a:solidFill>
                <a:srgbClr val="0000CC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&amp; S</a:t>
          </a:r>
          <a:r>
            <a:rPr lang="en-US" sz="1100" b="0" cap="none" spc="0">
              <a:ln w="0"/>
              <a:solidFill>
                <a:srgbClr val="0000CC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ervices</a:t>
          </a:r>
          <a:endParaRPr lang="x-none" sz="1100" b="0" cap="none" spc="0">
            <a:ln w="0"/>
            <a:solidFill>
              <a:srgbClr val="0000CC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47626</xdr:colOff>
      <xdr:row>19</xdr:row>
      <xdr:rowOff>66675</xdr:rowOff>
    </xdr:from>
    <xdr:to>
      <xdr:col>2</xdr:col>
      <xdr:colOff>1276350</xdr:colOff>
      <xdr:row>21</xdr:row>
      <xdr:rowOff>9525</xdr:rowOff>
    </xdr:to>
    <xdr:sp macro="" textlink="">
      <xdr:nvSpPr>
        <xdr:cNvPr id="6" name="Rectangle: Rounded Corners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87047EE-5D12-4D4C-8CDA-B783592981EC}"/>
            </a:ext>
          </a:extLst>
        </xdr:cNvPr>
        <xdr:cNvSpPr/>
      </xdr:nvSpPr>
      <xdr:spPr>
        <a:xfrm>
          <a:off x="371476" y="3400425"/>
          <a:ext cx="1228724" cy="30480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Client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Data-Entry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28575</xdr:colOff>
      <xdr:row>25</xdr:row>
      <xdr:rowOff>104775</xdr:rowOff>
    </xdr:from>
    <xdr:to>
      <xdr:col>2</xdr:col>
      <xdr:colOff>1085851</xdr:colOff>
      <xdr:row>27</xdr:row>
      <xdr:rowOff>47625</xdr:rowOff>
    </xdr:to>
    <xdr:sp macro="" textlink="">
      <xdr:nvSpPr>
        <xdr:cNvPr id="7" name="Rectangle: Rounded Corners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6E4C3A-7A59-4977-822B-E4417227FB7E}"/>
            </a:ext>
          </a:extLst>
        </xdr:cNvPr>
        <xdr:cNvSpPr/>
      </xdr:nvSpPr>
      <xdr:spPr>
        <a:xfrm>
          <a:off x="352425" y="4524375"/>
          <a:ext cx="1057276" cy="3048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Start-up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Costs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1905001</xdr:colOff>
      <xdr:row>19</xdr:row>
      <xdr:rowOff>47625</xdr:rowOff>
    </xdr:from>
    <xdr:to>
      <xdr:col>3</xdr:col>
      <xdr:colOff>942976</xdr:colOff>
      <xdr:row>20</xdr:row>
      <xdr:rowOff>171450</xdr:rowOff>
    </xdr:to>
    <xdr:sp macro="" textlink="">
      <xdr:nvSpPr>
        <xdr:cNvPr id="8" name="Rectangle: Rounded Corners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4BD6868-783E-4B4A-8D29-3373D0AE8735}"/>
            </a:ext>
          </a:extLst>
        </xdr:cNvPr>
        <xdr:cNvSpPr/>
      </xdr:nvSpPr>
      <xdr:spPr>
        <a:xfrm>
          <a:off x="2228851" y="3381375"/>
          <a:ext cx="1238250" cy="30480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Expenses Tracker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1914525</xdr:colOff>
      <xdr:row>21</xdr:row>
      <xdr:rowOff>142875</xdr:rowOff>
    </xdr:from>
    <xdr:to>
      <xdr:col>3</xdr:col>
      <xdr:colOff>952499</xdr:colOff>
      <xdr:row>23</xdr:row>
      <xdr:rowOff>95250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D94A568E-0302-49A6-961C-D6208173929C}"/>
            </a:ext>
          </a:extLst>
        </xdr:cNvPr>
        <xdr:cNvSpPr/>
      </xdr:nvSpPr>
      <xdr:spPr>
        <a:xfrm>
          <a:off x="2238375" y="3838575"/>
          <a:ext cx="1238249" cy="31432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Teller's Balances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38101</xdr:colOff>
      <xdr:row>19</xdr:row>
      <xdr:rowOff>66675</xdr:rowOff>
    </xdr:from>
    <xdr:to>
      <xdr:col>4</xdr:col>
      <xdr:colOff>1209675</xdr:colOff>
      <xdr:row>21</xdr:row>
      <xdr:rowOff>9525</xdr:rowOff>
    </xdr:to>
    <xdr:sp macro="" textlink="">
      <xdr:nvSpPr>
        <xdr:cNvPr id="10" name="Rectangle: Rounded Corners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E55281D-7FCA-497C-BF99-6A135F66B777}"/>
            </a:ext>
          </a:extLst>
        </xdr:cNvPr>
        <xdr:cNvSpPr/>
      </xdr:nvSpPr>
      <xdr:spPr>
        <a:xfrm>
          <a:off x="4143376" y="3400425"/>
          <a:ext cx="1171574" cy="30480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Cash Collections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1171574</xdr:colOff>
      <xdr:row>25</xdr:row>
      <xdr:rowOff>123825</xdr:rowOff>
    </xdr:from>
    <xdr:to>
      <xdr:col>3</xdr:col>
      <xdr:colOff>257174</xdr:colOff>
      <xdr:row>27</xdr:row>
      <xdr:rowOff>66675</xdr:rowOff>
    </xdr:to>
    <xdr:sp macro="" textlink="">
      <xdr:nvSpPr>
        <xdr:cNvPr id="11" name="Rectangle: Rounded Corners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C23064-2A32-4549-9996-FC4FAC776E8A}"/>
            </a:ext>
          </a:extLst>
        </xdr:cNvPr>
        <xdr:cNvSpPr/>
      </xdr:nvSpPr>
      <xdr:spPr>
        <a:xfrm>
          <a:off x="1495424" y="4543425"/>
          <a:ext cx="1285875" cy="3048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Disburments-May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200025</xdr:colOff>
      <xdr:row>25</xdr:row>
      <xdr:rowOff>133350</xdr:rowOff>
    </xdr:from>
    <xdr:to>
      <xdr:col>4</xdr:col>
      <xdr:colOff>1257301</xdr:colOff>
      <xdr:row>27</xdr:row>
      <xdr:rowOff>76200</xdr:rowOff>
    </xdr:to>
    <xdr:sp macro="" textlink="">
      <xdr:nvSpPr>
        <xdr:cNvPr id="12" name="Rectangle: Rounded Corners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EFC98EE-4682-4D5C-87E1-015BB8578F33}"/>
            </a:ext>
          </a:extLst>
        </xdr:cNvPr>
        <xdr:cNvSpPr/>
      </xdr:nvSpPr>
      <xdr:spPr>
        <a:xfrm>
          <a:off x="4305300" y="4552950"/>
          <a:ext cx="1057276" cy="3048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Disbursed-July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323850</xdr:colOff>
      <xdr:row>25</xdr:row>
      <xdr:rowOff>133350</xdr:rowOff>
    </xdr:from>
    <xdr:to>
      <xdr:col>4</xdr:col>
      <xdr:colOff>133350</xdr:colOff>
      <xdr:row>27</xdr:row>
      <xdr:rowOff>76200</xdr:rowOff>
    </xdr:to>
    <xdr:sp macro="" textlink="">
      <xdr:nvSpPr>
        <xdr:cNvPr id="13" name="Rectangle: Rounded Corners 1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324B54-4358-4EB1-9876-FF85A28D8D38}"/>
            </a:ext>
          </a:extLst>
        </xdr:cNvPr>
        <xdr:cNvSpPr/>
      </xdr:nvSpPr>
      <xdr:spPr>
        <a:xfrm>
          <a:off x="2847975" y="4552950"/>
          <a:ext cx="1390650" cy="3048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Disbursements-June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485775</xdr:colOff>
      <xdr:row>31</xdr:row>
      <xdr:rowOff>152400</xdr:rowOff>
    </xdr:from>
    <xdr:to>
      <xdr:col>2</xdr:col>
      <xdr:colOff>1543051</xdr:colOff>
      <xdr:row>33</xdr:row>
      <xdr:rowOff>95250</xdr:rowOff>
    </xdr:to>
    <xdr:sp macro="" textlink="">
      <xdr:nvSpPr>
        <xdr:cNvPr id="14" name="Rectangle: Rounded Corners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EE9A6F2-42D1-4578-A0A5-715CD44FF016}"/>
            </a:ext>
          </a:extLst>
        </xdr:cNvPr>
        <xdr:cNvSpPr/>
      </xdr:nvSpPr>
      <xdr:spPr>
        <a:xfrm>
          <a:off x="809625" y="5657850"/>
          <a:ext cx="1057276" cy="3048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Balance Sheet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2038349</xdr:colOff>
      <xdr:row>31</xdr:row>
      <xdr:rowOff>161925</xdr:rowOff>
    </xdr:from>
    <xdr:to>
      <xdr:col>3</xdr:col>
      <xdr:colOff>771525</xdr:colOff>
      <xdr:row>33</xdr:row>
      <xdr:rowOff>104775</xdr:rowOff>
    </xdr:to>
    <xdr:sp macro="" textlink="">
      <xdr:nvSpPr>
        <xdr:cNvPr id="15" name="Rectangle: Rounded Corners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1B2802D-A35F-401E-B0AE-FA6D61217AB3}"/>
            </a:ext>
          </a:extLst>
        </xdr:cNvPr>
        <xdr:cNvSpPr/>
      </xdr:nvSpPr>
      <xdr:spPr>
        <a:xfrm>
          <a:off x="2362199" y="5667375"/>
          <a:ext cx="933451" cy="3048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Profit/Loss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1295400</xdr:colOff>
      <xdr:row>31</xdr:row>
      <xdr:rowOff>161925</xdr:rowOff>
    </xdr:from>
    <xdr:to>
      <xdr:col>4</xdr:col>
      <xdr:colOff>685800</xdr:colOff>
      <xdr:row>33</xdr:row>
      <xdr:rowOff>104775</xdr:rowOff>
    </xdr:to>
    <xdr:sp macro="" textlink="">
      <xdr:nvSpPr>
        <xdr:cNvPr id="17" name="Rectangle: Rounded Corners 16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3524822D-9E71-4DD8-9541-7721A2145622}"/>
            </a:ext>
          </a:extLst>
        </xdr:cNvPr>
        <xdr:cNvSpPr/>
      </xdr:nvSpPr>
      <xdr:spPr>
        <a:xfrm>
          <a:off x="3819525" y="5667375"/>
          <a:ext cx="971550" cy="30480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Trial Balance</a:t>
          </a:r>
          <a:endParaRPr lang="x-none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685800</xdr:colOff>
      <xdr:row>2</xdr:row>
      <xdr:rowOff>28575</xdr:rowOff>
    </xdr:from>
    <xdr:to>
      <xdr:col>2</xdr:col>
      <xdr:colOff>4286250</xdr:colOff>
      <xdr:row>6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ED72B3-91D2-4BE9-9C3C-4B19DB162F68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333375"/>
          <a:ext cx="3600450" cy="8763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91168</xdr:colOff>
      <xdr:row>0</xdr:row>
      <xdr:rowOff>56761</xdr:rowOff>
    </xdr:from>
    <xdr:to>
      <xdr:col>3</xdr:col>
      <xdr:colOff>7386</xdr:colOff>
      <xdr:row>3</xdr:row>
      <xdr:rowOff>104386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992FF-24EF-41B9-BA7D-0B4BD75CCBF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68" y="56761"/>
          <a:ext cx="3162494" cy="60163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171450</xdr:colOff>
      <xdr:row>0</xdr:row>
      <xdr:rowOff>85725</xdr:rowOff>
    </xdr:from>
    <xdr:to>
      <xdr:col>19</xdr:col>
      <xdr:colOff>641685</xdr:colOff>
      <xdr:row>3</xdr:row>
      <xdr:rowOff>103271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CF7021-E549-4E85-9551-378527D81F95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85725"/>
          <a:ext cx="3162300" cy="59055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76201</xdr:colOff>
      <xdr:row>0</xdr:row>
      <xdr:rowOff>66675</xdr:rowOff>
    </xdr:from>
    <xdr:to>
      <xdr:col>9</xdr:col>
      <xdr:colOff>757763</xdr:colOff>
      <xdr:row>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0EDEB9-036A-4EAC-8EB9-18C702708181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6" y="66675"/>
          <a:ext cx="2581274" cy="55245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76201</xdr:colOff>
      <xdr:row>0</xdr:row>
      <xdr:rowOff>66675</xdr:rowOff>
    </xdr:from>
    <xdr:to>
      <xdr:col>8</xdr:col>
      <xdr:colOff>752475</xdr:colOff>
      <xdr:row>3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69470E-07DA-4242-9768-9F7C6CE75A13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6" y="66675"/>
          <a:ext cx="2581274" cy="55245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57150</xdr:rowOff>
    </xdr:from>
    <xdr:to>
      <xdr:col>3</xdr:col>
      <xdr:colOff>589812</xdr:colOff>
      <xdr:row>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3AB600-E79B-4E33-AEC5-9F580ED4D0A7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57150"/>
          <a:ext cx="3162300" cy="59055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762000</xdr:colOff>
      <xdr:row>4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79D39F-97D5-4F11-BD75-1E8F4FED5F5E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3381375" cy="771524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400050</xdr:colOff>
      <xdr:row>4</xdr:row>
      <xdr:rowOff>28575</xdr:rowOff>
    </xdr:from>
    <xdr:to>
      <xdr:col>2</xdr:col>
      <xdr:colOff>4000500</xdr:colOff>
      <xdr:row>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2B6E1-2618-4AA9-8B6E-5495E239F80C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714375"/>
          <a:ext cx="3600450" cy="876300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28575</xdr:rowOff>
    </xdr:from>
    <xdr:to>
      <xdr:col>3</xdr:col>
      <xdr:colOff>47625</xdr:colOff>
      <xdr:row>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EC92CF-A94F-4ADE-AEAF-002DFDFBB72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8575"/>
          <a:ext cx="3162300" cy="590550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38099</xdr:colOff>
      <xdr:row>0</xdr:row>
      <xdr:rowOff>57150</xdr:rowOff>
    </xdr:from>
    <xdr:to>
      <xdr:col>4</xdr:col>
      <xdr:colOff>752474</xdr:colOff>
      <xdr:row>5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102E9C-F8D6-4DF8-9202-CE98027A51B4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4" y="57150"/>
          <a:ext cx="3381375" cy="771525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1562100</xdr:colOff>
      <xdr:row>4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EAC560-DFA1-410B-B3F7-1A6483F7CF7D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3381375" cy="771524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866775</xdr:colOff>
      <xdr:row>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477F85-5487-4EAB-9439-781AF74E14BA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162300" cy="590550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57149</xdr:rowOff>
    </xdr:from>
    <xdr:to>
      <xdr:col>4</xdr:col>
      <xdr:colOff>809625</xdr:colOff>
      <xdr:row>4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FF1D5-DCBE-414E-B842-806D256D3972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7149"/>
          <a:ext cx="3676650" cy="790576"/>
        </a:xfrm>
        <a:prstGeom prst="rect">
          <a:avLst/>
        </a:prstGeom>
        <a:noFill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57149</xdr:rowOff>
    </xdr:from>
    <xdr:to>
      <xdr:col>4</xdr:col>
      <xdr:colOff>752475</xdr:colOff>
      <xdr:row>4</xdr:row>
      <xdr:rowOff>133349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456031-A541-4A3D-B0AB-9EC55622E24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7149"/>
          <a:ext cx="3619500" cy="79057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work\1.RKaggwa's%20Corner\RobertExcels_Temps\Gantt%20project%20planner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Planner"/>
    </sheetNames>
    <sheetDataSet>
      <sheetData sheetId="0">
        <row r="2">
          <cell r="H2">
            <v>20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09.516804282408" createdVersion="4" refreshedVersion="4" minRefreshableVersion="3" recordCount="1997" xr:uid="{00000000-000A-0000-FFFF-FFFF01000000}">
  <cacheSource type="worksheet">
    <worksheetSource ref="A3:AU2000" sheet="Disbursements"/>
  </cacheSource>
  <cacheFields count="47">
    <cacheField name="Trans Date" numFmtId="0">
      <sharedItems containsNonDate="0" containsDate="1" containsString="0" containsBlank="1" minDate="2021-05-10T00:00:00" maxDate="2022-05-21T00:00:00"/>
    </cacheField>
    <cacheField name="ACC ID" numFmtId="0">
      <sharedItems containsString="0" containsBlank="1" containsNumber="1" containsInteger="1" minValue="1" maxValue="362" count="298">
        <n v="3"/>
        <n v="6"/>
        <n v="2"/>
        <n v="14"/>
        <n v="16"/>
        <n v="8"/>
        <n v="9"/>
        <n v="18"/>
        <n v="20"/>
        <n v="11"/>
        <n v="12"/>
        <n v="13"/>
        <n v="15"/>
        <n v="17"/>
        <n v="32"/>
        <n v="34"/>
        <n v="19"/>
        <n v="38"/>
        <n v="40"/>
        <n v="42"/>
        <n v="21"/>
        <n v="22"/>
        <n v="23"/>
        <n v="24"/>
        <n v="30"/>
        <n v="50"/>
        <n v="31"/>
        <n v="33"/>
        <n v="53"/>
        <n v="59"/>
        <n v="35"/>
        <n v="56"/>
        <n v="37"/>
        <n v="41"/>
        <n v="43"/>
        <n v="67"/>
        <n v="44"/>
        <n v="45"/>
        <n v="71"/>
        <n v="46"/>
        <n v="73"/>
        <n v="48"/>
        <n v="49"/>
        <n v="51"/>
        <n v="52"/>
        <n v="54"/>
        <n v="81"/>
        <n v="84"/>
        <n v="55"/>
        <n v="57"/>
        <n v="58"/>
        <n v="83"/>
        <n v="60"/>
        <n v="61"/>
        <n v="62"/>
        <n v="95"/>
        <n v="97"/>
        <n v="63"/>
        <n v="96"/>
        <n v="98"/>
        <n v="99"/>
        <n v="100"/>
        <n v="64"/>
        <n v="65"/>
        <n v="66"/>
        <n v="68"/>
        <n v="70"/>
        <n v="72"/>
        <n v="109"/>
        <n v="74"/>
        <n v="75"/>
        <n v="76"/>
        <n v="77"/>
        <n v="78"/>
        <n v="79"/>
        <n v="69"/>
        <n v="126"/>
        <n v="80"/>
        <n v="82"/>
        <n v="85"/>
        <n v="86"/>
        <n v="87"/>
        <n v="88"/>
        <n v="89"/>
        <n v="90"/>
        <n v="91"/>
        <n v="92"/>
        <n v="135"/>
        <n v="137"/>
        <n v="94"/>
        <n v="138"/>
        <n v="142"/>
        <n v="101"/>
        <n v="102"/>
        <n v="103"/>
        <n v="118"/>
        <n v="104"/>
        <n v="105"/>
        <n v="151"/>
        <n v="106"/>
        <n v="107"/>
        <n v="108"/>
        <n v="150"/>
        <n v="154"/>
        <n v="158"/>
        <n v="111"/>
        <n v="161"/>
        <n v="112"/>
        <n v="160"/>
        <n v="113"/>
        <n v="166"/>
        <n v="114"/>
        <n v="115"/>
        <n v="171"/>
        <n v="116"/>
        <n v="174"/>
        <n v="165"/>
        <n v="117"/>
        <n v="119"/>
        <n v="121"/>
        <n v="123"/>
        <n v="124"/>
        <n v="125"/>
        <n v="127"/>
        <n v="128"/>
        <n v="129"/>
        <n v="176"/>
        <n v="130"/>
        <n v="131"/>
        <n v="132"/>
        <n v="133"/>
        <n v="134"/>
        <n v="136"/>
        <n v="177"/>
        <n v="185"/>
        <n v="139"/>
        <n v="140"/>
        <n v="141"/>
        <n v="196"/>
        <n v="143"/>
        <n v="144"/>
        <n v="198"/>
        <n v="145"/>
        <n v="146"/>
        <n v="147"/>
        <n v="204"/>
        <n v="148"/>
        <n v="149"/>
        <n v="152"/>
        <n v="155"/>
        <n v="156"/>
        <n v="157"/>
        <n v="159"/>
        <n v="163"/>
        <n v="164"/>
        <n v="167"/>
        <n v="216"/>
        <n v="168"/>
        <n v="169"/>
        <n v="170"/>
        <n v="175"/>
        <n v="179"/>
        <n v="180"/>
        <n v="181"/>
        <n v="182"/>
        <n v="183"/>
        <n v="184"/>
        <n v="186"/>
        <n v="187"/>
        <n v="188"/>
        <n v="189"/>
        <n v="190"/>
        <n v="227"/>
        <n v="191"/>
        <n v="192"/>
        <n v="194"/>
        <n v="226"/>
        <n v="235"/>
        <n v="237"/>
        <n v="197"/>
        <n v="199"/>
        <n v="200"/>
        <n v="202"/>
        <n v="205"/>
        <n v="206"/>
        <n v="207"/>
        <n v="208"/>
        <n v="209"/>
        <n v="238"/>
        <n v="210"/>
        <n v="211"/>
        <n v="212"/>
        <n v="213"/>
        <n v="215"/>
        <n v="247"/>
        <n v="217"/>
        <n v="244"/>
        <n v="218"/>
        <n v="257"/>
        <n v="219"/>
        <n v="220"/>
        <n v="221"/>
        <n v="222"/>
        <n v="243"/>
        <n v="228"/>
        <n v="241"/>
        <n v="242"/>
        <n v="250"/>
        <n v="255"/>
        <n v="252"/>
        <n v="239"/>
        <n v="229"/>
        <n v="230"/>
        <n v="232"/>
        <n v="264"/>
        <n v="233"/>
        <n v="260"/>
        <n v="234"/>
        <n v="278"/>
        <n v="259"/>
        <n v="277"/>
        <n v="236"/>
        <n v="240"/>
        <n v="271"/>
        <n v="245"/>
        <n v="246"/>
        <n v="10"/>
        <n v="248"/>
        <n v="251"/>
        <n v="272"/>
        <n v="253"/>
        <n v="254"/>
        <n v="261"/>
        <n v="286"/>
        <n v="262"/>
        <n v="263"/>
        <n v="288"/>
        <n v="265"/>
        <n v="287"/>
        <n v="289"/>
        <n v="276"/>
        <n v="266"/>
        <n v="300"/>
        <n v="292"/>
        <n v="267"/>
        <n v="269"/>
        <n v="295"/>
        <n v="301"/>
        <n v="305"/>
        <n v="1"/>
        <n v="25"/>
        <n v="270"/>
        <n v="29"/>
        <n v="308"/>
        <n v="309"/>
        <n v="284"/>
        <n v="291"/>
        <n v="303"/>
        <n v="304"/>
        <n v="281"/>
        <n v="311"/>
        <n v="313"/>
        <n v="314"/>
        <n v="306"/>
        <n v="317"/>
        <n v="201"/>
        <n v="318"/>
        <n v="321"/>
        <n v="27"/>
        <n v="326"/>
        <n v="325"/>
        <n v="328"/>
        <n v="324"/>
        <n v="323"/>
        <n v="329"/>
        <n v="331"/>
        <n v="330"/>
        <n v="336"/>
        <n v="335"/>
        <n v="337"/>
        <n v="333"/>
        <n v="339"/>
        <n v="338"/>
        <n v="340"/>
        <n v="344"/>
        <n v="343"/>
        <n v="345"/>
        <n v="310"/>
        <n v="342"/>
        <n v="346"/>
        <n v="347"/>
        <n v="351"/>
        <n v="355"/>
        <n v="361"/>
        <n v="362"/>
        <n v="354"/>
        <m/>
        <n v="47" u="1"/>
      </sharedItems>
    </cacheField>
    <cacheField name="LOAN ID" numFmtId="0">
      <sharedItems containsString="0" containsBlank="1" containsNumber="1" containsInteger="1" minValue="1" maxValue="538"/>
    </cacheField>
    <cacheField name="CYCLE" numFmtId="0">
      <sharedItems containsString="0" containsBlank="1" containsNumber="1" containsInteger="1" minValue="1" maxValue="7"/>
    </cacheField>
    <cacheField name="Loan Product" numFmtId="0">
      <sharedItems containsBlank="1"/>
    </cacheField>
    <cacheField name=" PRINCIPAL " numFmtId="0">
      <sharedItems containsString="0" containsBlank="1" containsNumber="1" containsInteger="1" minValue="150000" maxValue="10000000"/>
    </cacheField>
    <cacheField name="PERIOD (Months)" numFmtId="0">
      <sharedItems containsString="0" containsBlank="1" containsNumber="1" containsInteger="1" minValue="1" maxValue="12"/>
    </cacheField>
    <cacheField name="Interest Rate" numFmtId="10">
      <sharedItems containsString="0" containsBlank="1" containsNumber="1" minValue="2.5000000000000001E-2" maxValue="7.4999999999999997E-2"/>
    </cacheField>
    <cacheField name="REPAY'T MODE" numFmtId="0">
      <sharedItems containsBlank="1"/>
    </cacheField>
    <cacheField name="Officer" numFmtId="0">
      <sharedItems containsBlank="1"/>
    </cacheField>
    <cacheField name="CLIENT NAME" numFmtId="0">
      <sharedItems containsBlank="1"/>
    </cacheField>
    <cacheField name="APPN FEES" numFmtId="0">
      <sharedItems containsString="0" containsBlank="1" containsNumber="1" containsInteger="1" minValue="0" maxValue="30000"/>
    </cacheField>
    <cacheField name="APPR FEES" numFmtId="0">
      <sharedItems containsString="0" containsBlank="1" containsNumber="1" containsInteger="1" minValue="0" maxValue="5000"/>
    </cacheField>
    <cacheField name="PROCESSING FEES" numFmtId="0">
      <sharedItems containsString="0" containsBlank="1" containsNumber="1" containsInteger="1" minValue="0" maxValue="160000"/>
    </cacheField>
    <cacheField name="CASH COVER" numFmtId="0">
      <sharedItems containsString="0" containsBlank="1" containsNumber="1" containsInteger="1" minValue="0" maxValue="1000000"/>
    </cacheField>
    <cacheField name="TOTAL INTEREST" numFmtId="0">
      <sharedItems containsBlank="1" containsMixedTypes="1" containsNumber="1" containsInteger="1" minValue="9750" maxValue="2625000"/>
    </cacheField>
    <cacheField name="No. of Installments" numFmtId="0">
      <sharedItems containsBlank="1" containsMixedTypes="1" containsNumber="1" containsInteger="1" minValue="1" maxValue="24"/>
    </cacheField>
    <cacheField name="TOTAL REPAYMENT (P+I)" numFmtId="0">
      <sharedItems containsBlank="1" containsMixedTypes="1" containsNumber="1" containsInteger="1" minValue="159750" maxValue="11500000"/>
    </cacheField>
    <cacheField name="Computed Installment" numFmtId="0">
      <sharedItems containsBlank="1" containsMixedTypes="1" containsNumber="1" minValue="15750" maxValue="8520000"/>
    </cacheField>
    <cacheField name="Acutal Installment" numFmtId="0">
      <sharedItems containsBlank="1" containsMixedTypes="1" containsNumber="1" containsInteger="1" minValue="16000" maxValue="8520000"/>
    </cacheField>
    <cacheField name="Expected Repayment" numFmtId="0">
      <sharedItems containsString="0" containsBlank="1" containsNumber="1" containsInteger="1" minValue="0" maxValue="11502000"/>
    </cacheField>
    <cacheField name="Principal Installment" numFmtId="0">
      <sharedItems containsBlank="1" containsMixedTypes="1" containsNumber="1" minValue="12500" maxValue="8000000"/>
    </cacheField>
    <cacheField name="Interest Installment" numFmtId="0">
      <sharedItems containsBlank="1" containsMixedTypes="1" containsNumber="1" minValue="2500" maxValue="600000"/>
    </cacheField>
    <cacheField name="Interest Payable" numFmtId="165">
      <sharedItems containsBlank="1" containsMixedTypes="1" containsNumber="1" minValue="10000" maxValue="2630000"/>
    </cacheField>
    <cacheField name="First recovery date" numFmtId="0">
      <sharedItems containsDate="1" containsBlank="1" containsMixedTypes="1" minDate="2021-05-18T00:00:00" maxDate="2022-06-21T00:00:00"/>
    </cacheField>
    <cacheField name="Due day" numFmtId="0">
      <sharedItems containsBlank="1"/>
    </cacheField>
    <cacheField name="Grace period (Days)" numFmtId="164">
      <sharedItems containsString="0" containsBlank="1" containsNumber="1" containsInteger="1" minValue="0" maxValue="92"/>
    </cacheField>
    <cacheField name="Loan expiry date" numFmtId="0">
      <sharedItems containsDate="1" containsBlank="1" containsMixedTypes="1" minDate="2021-06-11T00:00:00" maxDate="2023-02-13T00:00:00"/>
    </cacheField>
    <cacheField name="Loan Period (Days)" numFmtId="164">
      <sharedItems containsBlank="1" containsMixedTypes="1" containsNumber="1" containsInteger="1" minValue="28" maxValue="365"/>
    </cacheField>
    <cacheField name="Days Covered" numFmtId="164">
      <sharedItems containsBlank="1" containsMixedTypes="1" containsNumber="1" containsInteger="1" minValue="8" maxValue="173"/>
    </cacheField>
    <cacheField name="Days in Balance" numFmtId="164">
      <sharedItems containsString="0" containsBlank="1" containsNumber="1" containsInteger="1" minValue="0" maxValue="260"/>
    </cacheField>
    <cacheField name="Installments Covered" numFmtId="172">
      <sharedItems containsBlank="1" containsMixedTypes="1" containsNumber="1" minValue="0" maxValue="24"/>
    </cacheField>
    <cacheField name="Expected Recovered Amount" numFmtId="164">
      <sharedItems containsBlank="1" containsMixedTypes="1" containsNumber="1" minValue="0" maxValue="11502000"/>
    </cacheField>
    <cacheField name="Expected Interest Recovered" numFmtId="164">
      <sharedItems containsBlank="1" containsMixedTypes="1" containsNumber="1" minValue="0" maxValue="2400000"/>
    </cacheField>
    <cacheField name="Expected Principal Recovered" numFmtId="164">
      <sharedItems containsBlank="1" containsMixedTypes="1" containsNumber="1" minValue="0" maxValue="10000000"/>
    </cacheField>
    <cacheField name="Expected Loan Balance" numFmtId="164">
      <sharedItems containsBlank="1" containsMixedTypes="1" containsNumber="1" minValue="-20249.999999999884" maxValue="5379677.4193548393"/>
    </cacheField>
    <cacheField name="Interest Collected" numFmtId="164">
      <sharedItems containsString="0" containsBlank="1" containsNumber="1" minValue="0" maxValue="2400000"/>
    </cacheField>
    <cacheField name="Principal Collected" numFmtId="164">
      <sharedItems containsString="0" containsBlank="1" containsNumber="1" minValue="0" maxValue="10000000"/>
    </cacheField>
    <cacheField name="Collected Total" numFmtId="164">
      <sharedItems containsString="0" containsBlank="1" containsNumber="1" minValue="0" maxValue="11502000"/>
    </cacheField>
    <cacheField name="Interest Balance" numFmtId="173">
      <sharedItems containsBlank="1" containsMixedTypes="1" containsNumber="1" minValue="-300000" maxValue="2254285.7142857146"/>
    </cacheField>
    <cacheField name="Principal Balance" numFmtId="173">
      <sharedItems containsBlank="1" containsMixedTypes="1" containsNumber="1" minValue="-10000" maxValue="5500000"/>
    </cacheField>
    <cacheField name="Total Loan Balance" numFmtId="0">
      <sharedItems containsBlank="1" containsMixedTypes="1" containsNumber="1" minValue="-1.4551915228366852E-11" maxValue="7230000"/>
    </cacheField>
    <cacheField name="Arrears" numFmtId="0">
      <sharedItems containsBlank="1" containsMixedTypes="1" containsNumber="1" minValue="5.8207660913467407E-11" maxValue="5776000"/>
    </cacheField>
    <cacheField name="Installments due" numFmtId="0">
      <sharedItems containsString="0" containsBlank="1" containsNumber="1" minValue="0" maxValue="20.238532110091743"/>
    </cacheField>
    <cacheField name="Due Days" numFmtId="0">
      <sharedItems containsString="0" containsBlank="1" containsNumber="1" containsInteger="1" minValue="0" maxValue="151"/>
    </cacheField>
    <cacheField name="Class" numFmtId="0">
      <sharedItems containsBlank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09.516804629631" createdVersion="7" refreshedVersion="4" minRefreshableVersion="3" recordCount="338" xr:uid="{00000000-000A-0000-FFFF-FFFF02000000}">
  <cacheSource type="worksheet">
    <worksheetSource ref="A6:X344" sheet="Clients-Live"/>
  </cacheSource>
  <cacheFields count="24">
    <cacheField name="Client ID" numFmtId="0">
      <sharedItems containsSemiMixedTypes="0" containsString="0" containsNumber="1" containsInteger="1" minValue="1" maxValue="338" count="33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</sharedItems>
    </cacheField>
    <cacheField name="Regn Date" numFmtId="166">
      <sharedItems containsSemiMixedTypes="0" containsNonDate="0" containsDate="1" containsString="0" minDate="2021-05-05T00:00:00" maxDate="2022-03-16T00:00:00"/>
    </cacheField>
    <cacheField name="Account Name" numFmtId="0">
      <sharedItems/>
    </cacheField>
    <cacheField name="Account No." numFmtId="0">
      <sharedItems/>
    </cacheField>
    <cacheField name="Acct Type" numFmtId="0">
      <sharedItems/>
    </cacheField>
    <cacheField name="Contact1" numFmtId="0">
      <sharedItems containsString="0" containsBlank="1" containsNumber="1" containsInteger="1" minValue="77262635" maxValue="792068002"/>
    </cacheField>
    <cacheField name="Contact2" numFmtId="0">
      <sharedItems containsString="0" containsBlank="1" containsNumber="1" containsInteger="1" minValue="701151057" maxValue="793392822"/>
    </cacheField>
    <cacheField name="Gender" numFmtId="0">
      <sharedItems containsBlank="1"/>
    </cacheField>
    <cacheField name="D.O.B" numFmtId="166">
      <sharedItems containsNonDate="0" containsDate="1" containsString="0" containsBlank="1" minDate="1947-08-06T00:00:00" maxDate="2000-08-22T00:00:00"/>
    </cacheField>
    <cacheField name="Age" numFmtId="168">
      <sharedItems containsMixedTypes="1" containsNumber="1" minValue="21.780821917808218" maxValue="74.860273972602741"/>
    </cacheField>
    <cacheField name="Age Class" numFmtId="168">
      <sharedItems/>
    </cacheField>
    <cacheField name="Marital Status" numFmtId="0">
      <sharedItems containsBlank="1"/>
    </cacheField>
    <cacheField name="Resp Officer" numFmtId="0">
      <sharedItems containsNonDate="0" containsString="0" containsBlank="1"/>
    </cacheField>
    <cacheField name="Occupation" numFmtId="0">
      <sharedItems containsBlank="1"/>
    </cacheField>
    <cacheField name="Business Location" numFmtId="0">
      <sharedItems containsBlank="1"/>
    </cacheField>
    <cacheField name="Residence" numFmtId="0">
      <sharedItems containsBlank="1"/>
    </cacheField>
    <cacheField name="ID Type" numFmtId="0">
      <sharedItems containsBlank="1"/>
    </cacheField>
    <cacheField name="ID Num" numFmtId="0">
      <sharedItems containsBlank="1" containsMixedTypes="1" containsNumber="1" containsInteger="1" minValue="846314" maxValue="846314"/>
    </cacheField>
    <cacheField name="ID Expiry Date" numFmtId="166">
      <sharedItems containsDate="1" containsBlank="1" containsMixedTypes="1" minDate="1959-02-25T00:00:00" maxDate="2031-05-28T00:00:00"/>
    </cacheField>
    <cacheField name="Next of Kin (NoK)" numFmtId="166">
      <sharedItems containsBlank="1"/>
    </cacheField>
    <cacheField name="NoK R/Ship" numFmtId="166">
      <sharedItems containsBlank="1"/>
    </cacheField>
    <cacheField name="NoK Contact1" numFmtId="0">
      <sharedItems containsBlank="1" containsMixedTypes="1" containsNumber="1" containsInteger="1" minValue="77857955" maxValue="7777035227"/>
    </cacheField>
    <cacheField name="NoK Contact2" numFmtId="0">
      <sharedItems containsBlank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97">
  <r>
    <d v="2021-09-21T00:00:00"/>
    <x v="0"/>
    <n v="227"/>
    <n v="1"/>
    <s v="BIZ"/>
    <n v="1500000"/>
    <n v="6"/>
    <n v="0.05"/>
    <s v="Monthly"/>
    <s v="Kana"/>
    <s v="YEKA ARIJABU"/>
    <n v="15000"/>
    <n v="5000"/>
    <n v="6000"/>
    <n v="150000"/>
    <n v="450000"/>
    <n v="6"/>
    <n v="1950000"/>
    <n v="325000"/>
    <n v="325000"/>
    <n v="1950000"/>
    <n v="250000"/>
    <n v="75000"/>
    <n v="450000"/>
    <d v="2021-10-21T00:00:00"/>
    <s v="Thu"/>
    <n v="30"/>
    <d v="2022-03-21T00:00:00"/>
    <n v="181"/>
    <s v="Expired"/>
    <n v="0"/>
    <n v="6"/>
    <n v="1950000"/>
    <n v="450000"/>
    <n v="1500000"/>
    <n v="0"/>
    <n v="450000"/>
    <n v="1500000"/>
    <n v="1950000"/>
    <n v="0"/>
    <n v="0"/>
    <n v="0"/>
    <s v=""/>
    <n v="0"/>
    <n v="0"/>
    <s v="Cleared"/>
    <s v="Ok"/>
  </r>
  <r>
    <d v="2021-05-11T00:00:00"/>
    <x v="1"/>
    <n v="2"/>
    <n v="1"/>
    <s v="BIZ"/>
    <n v="2000000"/>
    <n v="6"/>
    <n v="0.05"/>
    <s v="Monthly"/>
    <s v="Aroma"/>
    <s v="AMUTE BASHIR"/>
    <n v="10000"/>
    <n v="5000"/>
    <n v="0"/>
    <n v="200000"/>
    <n v="600000"/>
    <n v="6"/>
    <n v="2600000"/>
    <n v="433333.33333333331"/>
    <n v="434000"/>
    <n v="2604000"/>
    <n v="333333.33333333331"/>
    <n v="100666.66666666669"/>
    <n v="604000.00000000012"/>
    <d v="2021-06-11T00:00:00"/>
    <s v="Frid"/>
    <n v="31"/>
    <d v="2021-11-11T00:00:00"/>
    <n v="184"/>
    <s v="Expired"/>
    <n v="0"/>
    <n v="6"/>
    <n v="2604000"/>
    <n v="604000.00000000012"/>
    <n v="2000000"/>
    <n v="0"/>
    <n v="604000.00000000012"/>
    <n v="2000000"/>
    <n v="2604000"/>
    <n v="0"/>
    <n v="0"/>
    <n v="0"/>
    <s v=""/>
    <n v="0"/>
    <n v="0"/>
    <s v="Cleared"/>
    <s v="Ok"/>
  </r>
  <r>
    <d v="2021-07-05T00:00:00"/>
    <x v="1"/>
    <n v="100"/>
    <n v="2"/>
    <s v="BIZ"/>
    <n v="6000000"/>
    <n v="6"/>
    <n v="0.05"/>
    <s v="Monthly"/>
    <s v="Aroma"/>
    <s v="AMUTE BASHIR"/>
    <n v="10000"/>
    <n v="5000"/>
    <n v="0"/>
    <n v="600000"/>
    <n v="1800000"/>
    <n v="6"/>
    <n v="7800000"/>
    <n v="1300000"/>
    <n v="1300000"/>
    <n v="7800000"/>
    <n v="1000000"/>
    <n v="300000"/>
    <n v="1800000"/>
    <d v="2021-08-05T00:00:00"/>
    <s v="Thu"/>
    <n v="31"/>
    <d v="2022-01-05T00:00:00"/>
    <n v="184"/>
    <s v="Expired"/>
    <n v="0"/>
    <n v="6"/>
    <n v="7800000"/>
    <n v="1800000"/>
    <n v="6000000"/>
    <n v="0"/>
    <n v="1800000"/>
    <n v="6000000"/>
    <n v="7800000"/>
    <n v="0"/>
    <n v="0"/>
    <n v="0"/>
    <s v=""/>
    <n v="0"/>
    <n v="0"/>
    <s v="Cleared"/>
    <s v="Ok"/>
  </r>
  <r>
    <d v="2021-05-14T00:00:00"/>
    <x v="2"/>
    <n v="4"/>
    <n v="1"/>
    <s v="BIZ"/>
    <n v="1000000"/>
    <n v="6"/>
    <n v="0.05"/>
    <s v="Monthly"/>
    <s v="Aroma"/>
    <s v="LEYA ROSE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6-14T00:00:00"/>
    <s v="Mon"/>
    <n v="31"/>
    <d v="2021-11-14T00:00:00"/>
    <n v="184"/>
    <s v="Expired"/>
    <n v="0"/>
    <n v="6"/>
    <n v="1302000"/>
    <n v="302000.00000000006"/>
    <n v="1000000"/>
    <n v="0"/>
    <n v="302000.00000000006"/>
    <n v="1000000"/>
    <n v="1302000"/>
    <n v="0"/>
    <n v="0"/>
    <n v="0"/>
    <s v=""/>
    <n v="0"/>
    <n v="0"/>
    <s v="Cleared"/>
    <s v="Ok"/>
  </r>
  <r>
    <d v="2021-05-17T00:00:00"/>
    <x v="3"/>
    <n v="5"/>
    <n v="1"/>
    <s v="BIZ"/>
    <n v="1000000"/>
    <n v="6"/>
    <n v="0.05"/>
    <s v="Monthly"/>
    <s v="Kana"/>
    <s v="ASIKU ROMANO ADEBUA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6-17T00:00:00"/>
    <s v="Thu"/>
    <n v="31"/>
    <d v="2021-11-17T00:00:00"/>
    <n v="184"/>
    <s v="Expired"/>
    <n v="0"/>
    <n v="6"/>
    <n v="1302000"/>
    <n v="302000.00000000006"/>
    <n v="1000000"/>
    <n v="0"/>
    <n v="257000.00000000003"/>
    <n v="944999.99999999988"/>
    <n v="1202000"/>
    <n v="45000.000000000029"/>
    <n v="55000.000000000116"/>
    <n v="100000.00000000015"/>
    <n v="100000.00000000015"/>
    <n v="0.46082949308755827"/>
    <n v="14"/>
    <s v="1.(0-30) Days"/>
    <s v="Ok"/>
  </r>
  <r>
    <d v="2021-05-19T00:00:00"/>
    <x v="4"/>
    <n v="6"/>
    <n v="1"/>
    <s v="SFL"/>
    <n v="600000"/>
    <n v="3"/>
    <n v="7.4999999999999997E-2"/>
    <s v="Monthly"/>
    <s v="Jerome"/>
    <s v="OKELLO ACTION"/>
    <n v="10000"/>
    <n v="5000"/>
    <n v="0"/>
    <n v="60000"/>
    <n v="135000"/>
    <n v="3"/>
    <n v="735000"/>
    <n v="245000"/>
    <n v="245000"/>
    <n v="735000"/>
    <n v="200000"/>
    <n v="45000"/>
    <n v="135000"/>
    <d v="2021-06-19T00:00:00"/>
    <s v="Sat"/>
    <n v="31"/>
    <d v="2021-08-19T00:00:00"/>
    <n v="92"/>
    <s v="Expired"/>
    <n v="0"/>
    <n v="3"/>
    <n v="735000"/>
    <n v="135000"/>
    <n v="600000"/>
    <n v="0"/>
    <n v="50000"/>
    <n v="400000"/>
    <n v="450000"/>
    <n v="85000"/>
    <n v="200000"/>
    <n v="285000"/>
    <n v="285000"/>
    <n v="1.1632653061224489"/>
    <n v="35"/>
    <s v="2.(31-60) Days"/>
    <s v="Ok"/>
  </r>
  <r>
    <d v="2021-05-10T00:00:00"/>
    <x v="5"/>
    <n v="1"/>
    <n v="1"/>
    <s v="BIZ"/>
    <n v="300000"/>
    <n v="6"/>
    <n v="0.05"/>
    <s v="Monthly"/>
    <s v="Jerome"/>
    <s v="ALEMI THOMAS"/>
    <n v="10000"/>
    <n v="5000"/>
    <n v="0"/>
    <n v="30000"/>
    <n v="90000"/>
    <n v="6"/>
    <n v="390000"/>
    <n v="65000"/>
    <n v="65000"/>
    <n v="390000"/>
    <n v="50000"/>
    <n v="15000"/>
    <n v="90000"/>
    <d v="2021-06-10T00:00:00"/>
    <s v="Thu"/>
    <n v="31"/>
    <d v="2021-11-10T00:00:00"/>
    <n v="184"/>
    <s v="Expired"/>
    <n v="0"/>
    <n v="6"/>
    <n v="390000"/>
    <n v="90000"/>
    <n v="300000"/>
    <n v="0"/>
    <n v="90000"/>
    <n v="300000"/>
    <n v="390000"/>
    <n v="0"/>
    <n v="0"/>
    <n v="0"/>
    <s v=""/>
    <n v="0"/>
    <n v="0"/>
    <s v="Cleared"/>
    <s v="Ok"/>
  </r>
  <r>
    <d v="2021-06-11T00:00:00"/>
    <x v="6"/>
    <n v="45"/>
    <n v="1"/>
    <s v="BIZ"/>
    <n v="600000"/>
    <n v="4"/>
    <n v="0.05"/>
    <s v="Monthly"/>
    <s v="Kana"/>
    <s v="TABAN DAVID YAYA"/>
    <n v="10000"/>
    <n v="5000"/>
    <n v="0"/>
    <n v="60000"/>
    <n v="120000"/>
    <n v="4"/>
    <n v="720000"/>
    <n v="180000"/>
    <n v="180000"/>
    <n v="720000"/>
    <n v="150000"/>
    <n v="30000"/>
    <n v="120000"/>
    <d v="2021-07-11T00:00:00"/>
    <s v="Sun"/>
    <n v="30"/>
    <d v="2021-10-11T00:00:00"/>
    <n v="122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5-21T00:00:00"/>
    <x v="7"/>
    <n v="9"/>
    <n v="1"/>
    <s v="BIZ"/>
    <n v="2000000"/>
    <n v="6"/>
    <n v="0.05"/>
    <s v="Weekly"/>
    <s v="Kana"/>
    <s v="ARIYE PEACE"/>
    <n v="10000"/>
    <n v="5000"/>
    <n v="0"/>
    <n v="200000"/>
    <n v="600000"/>
    <n v="24"/>
    <n v="2600000"/>
    <n v="108333.33333333333"/>
    <n v="109000"/>
    <n v="2616000"/>
    <n v="83333.333333333328"/>
    <n v="25666.666666666672"/>
    <n v="616000.00000000012"/>
    <d v="2021-05-28T00:00:00"/>
    <s v="Frid"/>
    <n v="7"/>
    <d v="2021-11-21T00:00:00"/>
    <n v="184"/>
    <s v="Expired"/>
    <n v="0"/>
    <n v="24"/>
    <n v="2616000"/>
    <n v="616000.00000000012"/>
    <n v="2000000"/>
    <n v="0"/>
    <n v="616000.00000000012"/>
    <n v="1999799.9999999998"/>
    <n v="2615800"/>
    <n v="0"/>
    <n v="200.00000000023283"/>
    <n v="200.00000000023283"/>
    <n v="200.00000000023283"/>
    <n v="1.8348623853232369E-3"/>
    <n v="1"/>
    <s v="1.(0-30) Days"/>
    <s v="Ok"/>
  </r>
  <r>
    <d v="2021-09-16T00:00:00"/>
    <x v="6"/>
    <n v="221"/>
    <n v="2"/>
    <s v="BIZ"/>
    <n v="1200000"/>
    <n v="4"/>
    <n v="0.05"/>
    <s v="Monthly"/>
    <s v="Kana"/>
    <s v="TABAN DAVID YAYA"/>
    <n v="15000"/>
    <n v="5000"/>
    <n v="8000"/>
    <n v="120000"/>
    <n v="240000"/>
    <n v="4"/>
    <n v="1440000"/>
    <n v="360000"/>
    <n v="360000"/>
    <n v="1440000"/>
    <n v="300000"/>
    <n v="60000"/>
    <n v="240000"/>
    <d v="2021-10-16T00:00:00"/>
    <s v="Sat"/>
    <n v="30"/>
    <d v="2022-01-16T00:00:00"/>
    <n v="122"/>
    <s v="Expired"/>
    <n v="0"/>
    <n v="4"/>
    <n v="1440000"/>
    <n v="240000"/>
    <n v="1200000"/>
    <n v="0"/>
    <n v="240000"/>
    <n v="1200000"/>
    <n v="1440000"/>
    <n v="0"/>
    <n v="0"/>
    <n v="0"/>
    <s v=""/>
    <n v="0"/>
    <n v="0"/>
    <s v="Cleared"/>
    <s v="Ok"/>
  </r>
  <r>
    <d v="2021-05-24T00:00:00"/>
    <x v="8"/>
    <n v="11"/>
    <n v="1"/>
    <s v="BIZ"/>
    <n v="600000"/>
    <n v="4"/>
    <n v="0.05"/>
    <s v="Monthly"/>
    <s v="Aroma"/>
    <s v="ANDEZO KEVIN"/>
    <n v="10000"/>
    <n v="5000"/>
    <n v="0"/>
    <n v="60000"/>
    <n v="120000"/>
    <n v="4"/>
    <n v="720000"/>
    <n v="180000"/>
    <n v="180000"/>
    <n v="720000"/>
    <n v="150000"/>
    <n v="30000"/>
    <n v="120000"/>
    <d v="2021-06-24T00:00:00"/>
    <s v="Thu"/>
    <n v="31"/>
    <d v="2021-09-24T00:00:00"/>
    <n v="123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5-22T00:00:00"/>
    <x v="9"/>
    <n v="10"/>
    <n v="1"/>
    <s v="BIZ"/>
    <n v="500000"/>
    <n v="6"/>
    <n v="0.05"/>
    <s v="Monthly"/>
    <s v="Jerome"/>
    <s v="ARIME JUMA"/>
    <n v="10000"/>
    <n v="5000"/>
    <n v="0"/>
    <n v="50000"/>
    <n v="150000"/>
    <n v="6"/>
    <n v="650000"/>
    <n v="108333.33333333333"/>
    <n v="109000"/>
    <n v="654000"/>
    <n v="83333.333333333328"/>
    <n v="25666.666666666672"/>
    <n v="154000.00000000003"/>
    <d v="2021-06-22T00:00:00"/>
    <s v="Tue"/>
    <n v="31"/>
    <d v="2021-11-22T00:00:00"/>
    <n v="184"/>
    <s v="Expired"/>
    <n v="0"/>
    <n v="6"/>
    <n v="654000"/>
    <n v="154000.00000000003"/>
    <n v="500000"/>
    <n v="0"/>
    <n v="153333.33333333334"/>
    <n v="496666.66666666663"/>
    <n v="650000"/>
    <n v="666.66666666668607"/>
    <n v="3333.3333333333721"/>
    <n v="4000.0000000000582"/>
    <n v="4000.0000000000582"/>
    <n v="3.6697247706422555E-2"/>
    <n v="2"/>
    <s v="1.(0-30) Days"/>
    <s v="Ok"/>
  </r>
  <r>
    <d v="2021-05-11T00:00:00"/>
    <x v="10"/>
    <n v="3"/>
    <n v="1"/>
    <s v="SLA"/>
    <n v="300000"/>
    <n v="1"/>
    <n v="7.4999999999999997E-2"/>
    <s v="Weekly"/>
    <s v="Kana"/>
    <s v="DRELIA SIMON DEADSON"/>
    <n v="10000"/>
    <n v="5000"/>
    <n v="0"/>
    <n v="30000"/>
    <n v="22500"/>
    <n v="4"/>
    <n v="322500"/>
    <n v="80625"/>
    <n v="81000"/>
    <n v="324000"/>
    <n v="75000"/>
    <n v="6000"/>
    <n v="24000"/>
    <d v="2021-05-18T00:00:00"/>
    <s v="Tue"/>
    <n v="7"/>
    <d v="2021-06-11T00:00:00"/>
    <n v="31"/>
    <s v="Expired"/>
    <n v="0"/>
    <n v="4"/>
    <n v="324000"/>
    <n v="24000"/>
    <n v="300000"/>
    <n v="0"/>
    <n v="24000"/>
    <n v="300000"/>
    <n v="324000"/>
    <n v="0"/>
    <n v="0"/>
    <n v="0"/>
    <s v=""/>
    <n v="0"/>
    <n v="0"/>
    <s v="Cleared"/>
    <s v="Ok"/>
  </r>
  <r>
    <d v="2021-07-13T00:00:00"/>
    <x v="10"/>
    <n v="113"/>
    <n v="2"/>
    <s v="QUICK"/>
    <n v="250000"/>
    <n v="1"/>
    <n v="7.4999999999999997E-2"/>
    <s v="Monthly"/>
    <s v="Kana"/>
    <s v="DRELIA SIMON DEADSON"/>
    <n v="10000"/>
    <n v="5000"/>
    <n v="2500"/>
    <n v="25000"/>
    <n v="18750"/>
    <n v="1"/>
    <n v="268750"/>
    <n v="268750"/>
    <n v="269000"/>
    <n v="269000"/>
    <n v="250000"/>
    <n v="19000"/>
    <n v="19000"/>
    <d v="2021-08-13T00:00:00"/>
    <s v="Frid"/>
    <n v="31"/>
    <d v="2021-08-13T00:00:00"/>
    <n v="31"/>
    <s v="Expired"/>
    <n v="0"/>
    <n v="1"/>
    <n v="269000"/>
    <n v="19000"/>
    <n v="250000"/>
    <n v="0"/>
    <n v="19000"/>
    <n v="121800"/>
    <n v="140800"/>
    <n v="0"/>
    <n v="128200"/>
    <n v="128200"/>
    <n v="128200"/>
    <n v="0.47657992565055762"/>
    <n v="15"/>
    <s v="1.(0-30) Days"/>
    <s v="Ok"/>
  </r>
  <r>
    <d v="2021-06-21T00:00:00"/>
    <x v="11"/>
    <n v="67"/>
    <n v="1"/>
    <s v="BIZ"/>
    <n v="1000000"/>
    <n v="6"/>
    <n v="0.05"/>
    <s v="Monthly"/>
    <s v="Jerome"/>
    <s v="ALLONE AMOS DAMAI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7-21T00:00:00"/>
    <s v="Wed"/>
    <n v="30"/>
    <d v="2021-12-21T00:00:00"/>
    <n v="183"/>
    <s v="Expired"/>
    <n v="0"/>
    <n v="6"/>
    <n v="1302000"/>
    <n v="302000.00000000006"/>
    <n v="1000000"/>
    <n v="0"/>
    <n v="302000.00000000006"/>
    <n v="1000000"/>
    <n v="1302000"/>
    <n v="0"/>
    <n v="0"/>
    <n v="0"/>
    <s v=""/>
    <n v="0"/>
    <n v="0"/>
    <s v="Cleared"/>
    <s v="Ok"/>
  </r>
  <r>
    <d v="2021-05-20T00:00:00"/>
    <x v="12"/>
    <n v="8"/>
    <n v="1"/>
    <s v="BIZ"/>
    <n v="2000000"/>
    <n v="6"/>
    <n v="0.05"/>
    <s v="Monthly"/>
    <s v="Aroma"/>
    <s v="NATOSHA LUCY"/>
    <n v="10000"/>
    <n v="5000"/>
    <n v="0"/>
    <n v="200000"/>
    <n v="600000"/>
    <n v="6"/>
    <n v="2600000"/>
    <n v="433333.33333333331"/>
    <n v="434000"/>
    <n v="2604000"/>
    <n v="333333.33333333331"/>
    <n v="100666.66666666669"/>
    <n v="604000.00000000012"/>
    <d v="2021-06-20T00:00:00"/>
    <s v="Sun"/>
    <n v="31"/>
    <d v="2021-11-20T00:00:00"/>
    <n v="184"/>
    <s v="Expired"/>
    <n v="0"/>
    <n v="6"/>
    <n v="2604000"/>
    <n v="604000.00000000012"/>
    <n v="2000000"/>
    <n v="0"/>
    <n v="604000.00000000012"/>
    <n v="2000000"/>
    <n v="2604000"/>
    <n v="0"/>
    <n v="0"/>
    <n v="0"/>
    <s v=""/>
    <n v="0"/>
    <n v="0"/>
    <s v="Cleared"/>
    <s v="Ok"/>
  </r>
  <r>
    <d v="2021-05-20T00:00:00"/>
    <x v="13"/>
    <n v="7"/>
    <n v="1"/>
    <s v="BIZ"/>
    <n v="1500000"/>
    <n v="6"/>
    <n v="0.05"/>
    <s v="Monthly"/>
    <s v="Kana"/>
    <s v="MAMBU BAYI"/>
    <n v="10000"/>
    <n v="5000"/>
    <n v="0"/>
    <n v="150000"/>
    <n v="450000"/>
    <n v="6"/>
    <n v="1950000"/>
    <n v="325000"/>
    <n v="325000"/>
    <n v="1950000"/>
    <n v="250000"/>
    <n v="75000"/>
    <n v="450000"/>
    <d v="2021-06-20T00:00:00"/>
    <s v="Sun"/>
    <n v="31"/>
    <d v="2021-11-20T00:00:00"/>
    <n v="184"/>
    <s v="Expired"/>
    <n v="0"/>
    <n v="6"/>
    <n v="1950000"/>
    <n v="450000"/>
    <n v="1500000"/>
    <n v="0"/>
    <n v="450000"/>
    <n v="1500000"/>
    <n v="1950000"/>
    <n v="0"/>
    <n v="0"/>
    <n v="0"/>
    <s v=""/>
    <n v="0"/>
    <n v="0"/>
    <s v="Cleared"/>
    <s v="Ok"/>
  </r>
  <r>
    <d v="2021-05-26T00:00:00"/>
    <x v="14"/>
    <n v="15"/>
    <n v="1"/>
    <s v="BIZ"/>
    <n v="500000"/>
    <n v="5"/>
    <n v="0.05"/>
    <s v="Monthly"/>
    <s v="Jerome"/>
    <s v="BAKO LINA ESERU"/>
    <n v="10000"/>
    <n v="5000"/>
    <n v="0"/>
    <n v="50000"/>
    <n v="125000"/>
    <n v="5"/>
    <n v="625000"/>
    <n v="125000"/>
    <n v="125000"/>
    <n v="625000"/>
    <n v="100000"/>
    <n v="25000"/>
    <n v="125000"/>
    <d v="2021-06-26T00:00:00"/>
    <s v="Sat"/>
    <n v="31"/>
    <d v="2021-10-26T00:00:00"/>
    <n v="153"/>
    <s v="Expired"/>
    <n v="0"/>
    <n v="5"/>
    <n v="625000"/>
    <n v="125000"/>
    <n v="500000"/>
    <n v="0"/>
    <n v="125000"/>
    <n v="500000"/>
    <n v="625000"/>
    <n v="0"/>
    <n v="0"/>
    <n v="0"/>
    <s v=""/>
    <n v="0"/>
    <n v="0"/>
    <s v="Cleared"/>
    <s v="Ok"/>
  </r>
  <r>
    <d v="2021-05-29T00:00:00"/>
    <x v="15"/>
    <n v="19"/>
    <n v="1"/>
    <s v="BIZ"/>
    <n v="1000000"/>
    <n v="3"/>
    <n v="0.05"/>
    <s v="Monthly"/>
    <s v="Jerome"/>
    <s v="APEKURU FLORENCE"/>
    <n v="10000"/>
    <n v="5000"/>
    <n v="0"/>
    <n v="100000"/>
    <n v="150000"/>
    <n v="3"/>
    <n v="1150000"/>
    <n v="383333.33333333331"/>
    <n v="384000"/>
    <n v="1152000"/>
    <n v="333333.33333333331"/>
    <n v="50666.666666666686"/>
    <n v="152000.00000000006"/>
    <d v="2021-06-29T00:00:00"/>
    <s v="Tue"/>
    <n v="31"/>
    <d v="2021-08-29T00:00:00"/>
    <n v="92"/>
    <s v="Expired"/>
    <n v="0"/>
    <n v="3"/>
    <n v="1152000"/>
    <n v="152000.00000000006"/>
    <n v="1000000"/>
    <n v="0"/>
    <n v="152000.00000000006"/>
    <n v="1000000"/>
    <n v="1152000"/>
    <n v="0"/>
    <n v="0"/>
    <n v="0"/>
    <s v=""/>
    <n v="0"/>
    <n v="0"/>
    <s v="Cleared"/>
    <s v="Ok"/>
  </r>
  <r>
    <d v="2021-11-09T00:00:00"/>
    <x v="7"/>
    <n v="317"/>
    <n v="2"/>
    <s v="BIZ"/>
    <n v="3000000"/>
    <n v="6"/>
    <n v="0.05"/>
    <s v="Monthly"/>
    <s v="Kana"/>
    <s v="ARIYE PEACE"/>
    <n v="25000"/>
    <n v="5000"/>
    <n v="30000"/>
    <n v="300000"/>
    <n v="900000"/>
    <n v="6"/>
    <n v="3900000"/>
    <n v="650000"/>
    <n v="650000"/>
    <n v="3900000"/>
    <n v="500000"/>
    <n v="150000"/>
    <n v="900000"/>
    <d v="2021-12-09T00:00:00"/>
    <s v="Thu"/>
    <n v="30"/>
    <d v="2022-05-09T00:00:00"/>
    <n v="181"/>
    <s v="Expired"/>
    <n v="0"/>
    <n v="6"/>
    <n v="3900000"/>
    <n v="900000"/>
    <n v="3000000"/>
    <n v="0"/>
    <n v="1200000"/>
    <n v="1724000"/>
    <n v="2924000"/>
    <n v="-300000"/>
    <n v="1276000"/>
    <n v="976000"/>
    <n v="976000"/>
    <n v="1.5015384615384615"/>
    <n v="46"/>
    <s v="2.(31-60) Days"/>
    <s v="Error on Entry"/>
  </r>
  <r>
    <d v="2021-05-25T00:00:00"/>
    <x v="16"/>
    <n v="12"/>
    <n v="1"/>
    <s v="BIZ"/>
    <n v="400000"/>
    <n v="4"/>
    <n v="0.05"/>
    <s v="Monthly"/>
    <s v="Aroma"/>
    <s v="ANGUPARU MOLLY"/>
    <n v="10000"/>
    <n v="5000"/>
    <n v="0"/>
    <n v="40000"/>
    <n v="80000"/>
    <n v="4"/>
    <n v="480000"/>
    <n v="120000"/>
    <n v="120000"/>
    <n v="480000"/>
    <n v="100000"/>
    <n v="20000"/>
    <n v="80000"/>
    <d v="2021-06-25T00:00:00"/>
    <s v="Frid"/>
    <n v="31"/>
    <d v="2021-09-25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6-01T00:00:00"/>
    <x v="17"/>
    <n v="22"/>
    <n v="1"/>
    <s v="QUICK"/>
    <n v="2000000"/>
    <n v="1"/>
    <n v="7.4999999999999997E-2"/>
    <s v="Monthly"/>
    <s v="Jerome"/>
    <s v="ANGUZU CHRIS RONALD"/>
    <n v="10000"/>
    <n v="5000"/>
    <n v="0"/>
    <n v="200000"/>
    <n v="150000"/>
    <n v="1"/>
    <n v="2150000"/>
    <n v="2150000"/>
    <n v="2150000"/>
    <n v="2150000"/>
    <n v="2000000"/>
    <n v="150000"/>
    <n v="150000"/>
    <d v="2021-07-01T00:00:00"/>
    <s v="Thu"/>
    <n v="30"/>
    <d v="2021-07-01T00:00:00"/>
    <n v="30"/>
    <s v="Expired"/>
    <n v="0"/>
    <n v="1"/>
    <n v="2150000"/>
    <n v="150000"/>
    <n v="2000000"/>
    <n v="0"/>
    <n v="150000"/>
    <n v="2000000"/>
    <n v="2150000"/>
    <n v="0"/>
    <n v="0"/>
    <n v="0"/>
    <s v=""/>
    <n v="0"/>
    <n v="0"/>
    <s v="Cleared"/>
    <s v="Ok"/>
  </r>
  <r>
    <d v="2021-06-01T00:00:00"/>
    <x v="18"/>
    <n v="24"/>
    <n v="1"/>
    <s v="BIZ"/>
    <n v="500000"/>
    <n v="4"/>
    <n v="0.05"/>
    <s v="Monthly"/>
    <s v="Aroma"/>
    <s v="TABU JANE"/>
    <n v="10000"/>
    <n v="5000"/>
    <n v="0"/>
    <n v="50000"/>
    <n v="100000"/>
    <n v="4"/>
    <n v="600000"/>
    <n v="150000"/>
    <n v="150000"/>
    <n v="600000"/>
    <n v="125000"/>
    <n v="25000"/>
    <n v="100000"/>
    <d v="2021-07-01T00:00:00"/>
    <s v="Thu"/>
    <n v="30"/>
    <d v="2021-10-01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8-04T00:00:00"/>
    <x v="16"/>
    <n v="152"/>
    <n v="2"/>
    <s v="BIZ"/>
    <n v="700000"/>
    <n v="4"/>
    <n v="0.05"/>
    <s v="Monthly"/>
    <s v="Aroma"/>
    <s v="ANGUPARU MOLLY"/>
    <n v="15000"/>
    <n v="5000"/>
    <n v="7000"/>
    <n v="70000"/>
    <n v="140000"/>
    <n v="4"/>
    <n v="840000"/>
    <n v="210000"/>
    <n v="210000"/>
    <n v="840000"/>
    <n v="175000"/>
    <n v="35000"/>
    <n v="140000"/>
    <d v="2021-09-04T00:00:00"/>
    <s v="Sat"/>
    <n v="31"/>
    <d v="2021-12-04T00:00:00"/>
    <n v="122"/>
    <s v="Expired"/>
    <n v="0"/>
    <n v="4"/>
    <n v="840000"/>
    <n v="140000"/>
    <n v="700000"/>
    <n v="0"/>
    <n v="140000"/>
    <n v="700000"/>
    <n v="840000"/>
    <n v="0"/>
    <n v="0"/>
    <n v="0"/>
    <s v=""/>
    <n v="0"/>
    <n v="0"/>
    <s v="Cleared"/>
    <s v="Ok"/>
  </r>
  <r>
    <d v="2021-08-31T00:00:00"/>
    <x v="8"/>
    <n v="194"/>
    <n v="2"/>
    <s v="BIZ"/>
    <n v="800000"/>
    <n v="5"/>
    <n v="0.05"/>
    <s v="Monthly"/>
    <s v="Aroma"/>
    <s v="ANDEZO KEVIN"/>
    <n v="15000"/>
    <n v="5000"/>
    <n v="8000"/>
    <n v="80000"/>
    <n v="200000"/>
    <n v="5"/>
    <n v="1000000"/>
    <n v="200000"/>
    <n v="200000"/>
    <n v="1000000"/>
    <n v="160000"/>
    <n v="40000"/>
    <n v="200000"/>
    <d v="2021-09-30T00:00:00"/>
    <s v="Thu"/>
    <n v="30"/>
    <d v="2022-01-31T00:00:00"/>
    <n v="153"/>
    <s v="Expired"/>
    <n v="0"/>
    <n v="5"/>
    <n v="1000000"/>
    <n v="200000"/>
    <n v="800000"/>
    <n v="0"/>
    <n v="200000"/>
    <n v="800000"/>
    <n v="1000000"/>
    <n v="0"/>
    <n v="0"/>
    <n v="0"/>
    <s v=""/>
    <n v="0"/>
    <n v="0"/>
    <s v="Cleared"/>
    <s v="Ok"/>
  </r>
  <r>
    <d v="2021-06-02T00:00:00"/>
    <x v="19"/>
    <n v="27"/>
    <n v="1"/>
    <s v="BIZ"/>
    <n v="200000"/>
    <n v="2"/>
    <n v="0.05"/>
    <s v="Monthly"/>
    <s v="Jerome"/>
    <s v="ABAU   NOLA"/>
    <n v="10000"/>
    <n v="5000"/>
    <n v="0"/>
    <n v="20000"/>
    <n v="20000"/>
    <n v="2"/>
    <n v="220000"/>
    <n v="110000"/>
    <n v="110000"/>
    <n v="220000"/>
    <n v="100000"/>
    <n v="10000"/>
    <n v="20000"/>
    <d v="2021-07-02T00:00:00"/>
    <s v="Frid"/>
    <n v="30"/>
    <d v="2021-08-02T00:00:00"/>
    <n v="61"/>
    <s v="Expired"/>
    <n v="0"/>
    <n v="2"/>
    <n v="220000"/>
    <n v="20000"/>
    <n v="200000"/>
    <n v="0"/>
    <n v="20000"/>
    <n v="200000"/>
    <n v="220000"/>
    <n v="0"/>
    <n v="0"/>
    <n v="0"/>
    <s v=""/>
    <n v="0"/>
    <n v="0"/>
    <s v="Cleared"/>
    <s v="Ok"/>
  </r>
  <r>
    <d v="2021-05-26T00:00:00"/>
    <x v="20"/>
    <n v="17"/>
    <n v="1"/>
    <s v="BIZ"/>
    <n v="300000"/>
    <n v="4"/>
    <n v="0.05"/>
    <s v="Monthly"/>
    <s v="Aroma"/>
    <s v="ESABORU EUNICE"/>
    <n v="10000"/>
    <n v="5000"/>
    <n v="0"/>
    <n v="30000"/>
    <n v="60000"/>
    <n v="4"/>
    <n v="360000"/>
    <n v="90000"/>
    <n v="90000"/>
    <n v="360000"/>
    <n v="75000"/>
    <n v="15000"/>
    <n v="60000"/>
    <d v="2021-06-26T00:00:00"/>
    <s v="Sat"/>
    <n v="31"/>
    <d v="2021-09-26T00:00:00"/>
    <n v="123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5-25T00:00:00"/>
    <x v="21"/>
    <n v="13"/>
    <n v="1"/>
    <s v="BIZ"/>
    <n v="1000000"/>
    <n v="6"/>
    <n v="0.05"/>
    <s v="Monthly"/>
    <s v="Jerome"/>
    <s v="DATA ISMAIL FATARI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6-25T00:00:00"/>
    <s v="Frid"/>
    <n v="31"/>
    <d v="2021-11-25T00:00:00"/>
    <n v="184"/>
    <s v="Expired"/>
    <n v="0"/>
    <n v="6"/>
    <n v="1302000"/>
    <n v="302000.00000000006"/>
    <n v="1000000"/>
    <n v="0"/>
    <n v="302000.00000000006"/>
    <n v="1000000"/>
    <n v="1302000"/>
    <n v="0"/>
    <n v="0"/>
    <n v="0"/>
    <s v=""/>
    <n v="0"/>
    <n v="0"/>
    <s v="Cleared"/>
    <s v="Ok"/>
  </r>
  <r>
    <d v="2021-05-25T00:00:00"/>
    <x v="22"/>
    <n v="14"/>
    <n v="1"/>
    <s v="BIZ"/>
    <n v="600000"/>
    <n v="6"/>
    <n v="0.05"/>
    <s v="Weekly"/>
    <s v="Kana"/>
    <s v="BADARU KEVIN ATELIONGA"/>
    <n v="10000"/>
    <n v="5000"/>
    <n v="0"/>
    <n v="60000"/>
    <n v="180000"/>
    <n v="24"/>
    <n v="780000"/>
    <n v="32500"/>
    <n v="33000"/>
    <n v="792000"/>
    <n v="25000"/>
    <n v="8000"/>
    <n v="192000"/>
    <d v="2021-06-01T00:00:00"/>
    <s v="Tue"/>
    <n v="7"/>
    <d v="2021-11-25T00:00:00"/>
    <n v="184"/>
    <s v="Expired"/>
    <n v="0"/>
    <n v="24"/>
    <n v="792000"/>
    <n v="192000"/>
    <n v="600000"/>
    <n v="0"/>
    <n v="192000"/>
    <n v="600000"/>
    <n v="792000"/>
    <n v="0"/>
    <n v="0"/>
    <n v="0"/>
    <s v=""/>
    <n v="0"/>
    <n v="0"/>
    <s v="Cleared"/>
    <s v="Ok"/>
  </r>
  <r>
    <d v="2021-08-28T00:00:00"/>
    <x v="22"/>
    <n v="190"/>
    <n v="2"/>
    <s v="BIZ"/>
    <n v="700000"/>
    <n v="5"/>
    <n v="0.05"/>
    <s v="Monthly"/>
    <s v="Kana"/>
    <s v="BADARU KEVIN ATELIONGA"/>
    <n v="20000"/>
    <n v="5000"/>
    <n v="7000"/>
    <n v="70000"/>
    <n v="175000"/>
    <n v="5"/>
    <n v="875000"/>
    <n v="175000"/>
    <n v="175000"/>
    <n v="875000"/>
    <n v="140000"/>
    <n v="35000"/>
    <n v="175000"/>
    <d v="2021-09-28T00:00:00"/>
    <s v="Tue"/>
    <n v="31"/>
    <d v="2022-01-28T00:00:00"/>
    <n v="153"/>
    <s v="Expired"/>
    <n v="0"/>
    <n v="5"/>
    <n v="875000"/>
    <n v="175000"/>
    <n v="700000"/>
    <n v="0"/>
    <n v="175000"/>
    <n v="700000"/>
    <n v="875000"/>
    <n v="0"/>
    <n v="0"/>
    <n v="0"/>
    <s v=""/>
    <n v="0"/>
    <n v="0"/>
    <s v="Cleared"/>
    <s v="Ok"/>
  </r>
  <r>
    <d v="2022-01-05T00:00:00"/>
    <x v="23"/>
    <n v="388"/>
    <n v="1"/>
    <s v="STL"/>
    <n v="400000"/>
    <n v="3"/>
    <n v="2.5000000000000001E-2"/>
    <s v="Monthly"/>
    <s v="Aroma"/>
    <s v="VITA JEROME"/>
    <n v="10000"/>
    <n v="0"/>
    <n v="4000"/>
    <n v="0"/>
    <n v="30000"/>
    <n v="3"/>
    <n v="430000"/>
    <n v="143333.33333333334"/>
    <n v="144000"/>
    <n v="432000"/>
    <n v="133333.33333333334"/>
    <n v="10666.666666666657"/>
    <n v="31999.999999999971"/>
    <d v="2022-02-05T00:00:00"/>
    <s v="Sat"/>
    <n v="31"/>
    <d v="2022-04-05T00:00:00"/>
    <n v="90"/>
    <s v="Expired"/>
    <n v="0"/>
    <n v="3"/>
    <n v="432000"/>
    <n v="31999.999999999971"/>
    <n v="400000"/>
    <n v="0"/>
    <n v="31999.999999999971"/>
    <n v="400000"/>
    <n v="432000"/>
    <n v="0"/>
    <n v="0"/>
    <n v="0"/>
    <s v=""/>
    <n v="0"/>
    <n v="0"/>
    <s v="Cleared"/>
    <s v="Ok"/>
  </r>
  <r>
    <d v="2021-05-26T00:00:00"/>
    <x v="24"/>
    <n v="18"/>
    <n v="1"/>
    <s v="BIZ"/>
    <n v="400000"/>
    <n v="4"/>
    <n v="0.05"/>
    <s v="Monthly"/>
    <s v="Aroma"/>
    <s v="SITARAYA PATRICIA IDERU"/>
    <n v="10000"/>
    <n v="5000"/>
    <n v="0"/>
    <n v="40000"/>
    <n v="80000"/>
    <n v="4"/>
    <n v="480000"/>
    <n v="120000"/>
    <n v="120000"/>
    <n v="480000"/>
    <n v="100000"/>
    <n v="20000"/>
    <n v="80000"/>
    <d v="2021-06-26T00:00:00"/>
    <s v="Sat"/>
    <n v="31"/>
    <d v="2021-09-26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6-04T00:00:00"/>
    <x v="25"/>
    <n v="30"/>
    <n v="1"/>
    <s v="BIZ"/>
    <n v="1000000"/>
    <n v="3"/>
    <n v="0.05"/>
    <s v="Monthly"/>
    <s v="Jerome"/>
    <s v="WACHEKE HARRIET"/>
    <n v="10000"/>
    <n v="5000"/>
    <n v="0"/>
    <n v="100000"/>
    <n v="150000"/>
    <n v="3"/>
    <n v="1150000"/>
    <n v="383333.33333333331"/>
    <n v="384000"/>
    <n v="1152000"/>
    <n v="333333.33333333331"/>
    <n v="50666.666666666686"/>
    <n v="152000.00000000006"/>
    <d v="2021-07-04T00:00:00"/>
    <s v="Sun"/>
    <n v="30"/>
    <d v="2021-09-04T00:00:00"/>
    <n v="92"/>
    <s v="Expired"/>
    <n v="0"/>
    <n v="3"/>
    <n v="1152000"/>
    <n v="152000.00000000006"/>
    <n v="1000000"/>
    <n v="0"/>
    <n v="152000.00000000006"/>
    <n v="1000000"/>
    <n v="1152000"/>
    <n v="0"/>
    <n v="0"/>
    <n v="0"/>
    <s v=""/>
    <n v="0"/>
    <n v="0"/>
    <s v="Cleared"/>
    <s v="Ok"/>
  </r>
  <r>
    <d v="2021-05-26T00:00:00"/>
    <x v="26"/>
    <n v="16"/>
    <n v="1"/>
    <s v="BIZ"/>
    <n v="500000"/>
    <n v="5"/>
    <n v="0.05"/>
    <s v="Monthly"/>
    <s v="Kana"/>
    <s v="MUNDURU HARRIET"/>
    <n v="10000"/>
    <n v="5000"/>
    <n v="0"/>
    <n v="50000"/>
    <n v="125000"/>
    <n v="5"/>
    <n v="625000"/>
    <n v="125000"/>
    <n v="125000"/>
    <n v="625000"/>
    <n v="100000"/>
    <n v="25000"/>
    <n v="125000"/>
    <d v="2021-06-26T00:00:00"/>
    <s v="Sat"/>
    <n v="31"/>
    <d v="2021-10-26T00:00:00"/>
    <n v="153"/>
    <s v="Expired"/>
    <n v="0"/>
    <n v="5"/>
    <n v="625000"/>
    <n v="125000"/>
    <n v="500000"/>
    <n v="0"/>
    <n v="125000"/>
    <n v="500000"/>
    <n v="625000"/>
    <n v="0"/>
    <n v="0"/>
    <n v="0"/>
    <s v=""/>
    <n v="0"/>
    <n v="0"/>
    <s v="Cleared"/>
    <s v="Ok"/>
  </r>
  <r>
    <d v="2021-10-07T00:00:00"/>
    <x v="26"/>
    <n v="260"/>
    <n v="2"/>
    <s v="BIZ"/>
    <n v="600000"/>
    <n v="5"/>
    <n v="0.05"/>
    <s v="Monthly"/>
    <s v="Kana"/>
    <s v="MUNDURU HARRIET"/>
    <n v="20000"/>
    <n v="5000"/>
    <n v="6000"/>
    <n v="60000"/>
    <n v="150000"/>
    <n v="5"/>
    <n v="750000"/>
    <n v="150000"/>
    <n v="150000"/>
    <n v="750000"/>
    <n v="120000"/>
    <n v="30000"/>
    <n v="150000"/>
    <d v="2021-11-07T00:00:00"/>
    <s v="Sun"/>
    <n v="31"/>
    <d v="2022-03-07T00:00:00"/>
    <n v="151"/>
    <s v="Expired"/>
    <n v="0"/>
    <n v="5"/>
    <n v="750000"/>
    <n v="150000"/>
    <n v="600000"/>
    <n v="0"/>
    <n v="150000"/>
    <n v="600000"/>
    <n v="750000"/>
    <n v="0"/>
    <n v="0"/>
    <n v="0"/>
    <s v=""/>
    <n v="0"/>
    <n v="0"/>
    <s v="Cleared"/>
    <s v="Ok"/>
  </r>
  <r>
    <d v="2021-06-02T00:00:00"/>
    <x v="27"/>
    <n v="26"/>
    <n v="1"/>
    <s v="BIZ"/>
    <n v="2000000"/>
    <n v="6"/>
    <n v="0.05"/>
    <s v="Weekly"/>
    <s v="Kana"/>
    <s v="MUZEE OMAR"/>
    <n v="10000"/>
    <n v="5000"/>
    <n v="0"/>
    <n v="200000"/>
    <n v="600000"/>
    <n v="24"/>
    <n v="2600000"/>
    <n v="108333.33333333333"/>
    <n v="109000"/>
    <n v="2616000"/>
    <n v="83333.333333333328"/>
    <n v="25666.666666666672"/>
    <n v="616000.00000000012"/>
    <d v="2021-06-09T00:00:00"/>
    <s v="Wed"/>
    <n v="7"/>
    <d v="2021-12-02T00:00:00"/>
    <n v="183"/>
    <s v="Expired"/>
    <n v="0"/>
    <n v="24"/>
    <n v="2616000"/>
    <n v="616000.00000000012"/>
    <n v="2000000"/>
    <n v="0"/>
    <n v="616000.00000000012"/>
    <n v="2000000"/>
    <n v="2616000"/>
    <n v="0"/>
    <n v="0"/>
    <n v="0"/>
    <s v=""/>
    <n v="0"/>
    <n v="0"/>
    <s v="Cleared"/>
    <s v="Ok"/>
  </r>
  <r>
    <d v="2021-06-08T00:00:00"/>
    <x v="28"/>
    <n v="36"/>
    <n v="1"/>
    <s v="BIZ"/>
    <n v="800000"/>
    <n v="5"/>
    <n v="0.05"/>
    <s v="Monthly"/>
    <s v="Aroma"/>
    <s v="KALSUMU INNOCENT"/>
    <n v="10000"/>
    <n v="5000"/>
    <n v="0"/>
    <n v="80000"/>
    <n v="200000"/>
    <n v="5"/>
    <n v="1000000"/>
    <n v="200000"/>
    <n v="200000"/>
    <n v="1000000"/>
    <n v="160000"/>
    <n v="40000"/>
    <n v="200000"/>
    <d v="2021-07-08T00:00:00"/>
    <s v="Thu"/>
    <n v="30"/>
    <d v="2021-11-08T00:00:00"/>
    <n v="153"/>
    <s v="Expired"/>
    <n v="0"/>
    <n v="5"/>
    <n v="1000000"/>
    <n v="200000"/>
    <n v="800000"/>
    <n v="0"/>
    <n v="200000"/>
    <n v="800000"/>
    <n v="1000000"/>
    <n v="0"/>
    <n v="0"/>
    <n v="0"/>
    <s v=""/>
    <n v="0"/>
    <n v="0"/>
    <s v="Cleared"/>
    <s v="Ok"/>
  </r>
  <r>
    <d v="2021-10-19T00:00:00"/>
    <x v="15"/>
    <n v="283"/>
    <n v="2"/>
    <s v="SLA"/>
    <n v="250000"/>
    <n v="3"/>
    <n v="7.4999999999999997E-2"/>
    <s v="Monthly"/>
    <s v="Jerome"/>
    <s v="APEKURU FLORENCE"/>
    <n v="25000"/>
    <n v="5000"/>
    <n v="20000"/>
    <n v="25000"/>
    <n v="56250"/>
    <n v="3"/>
    <n v="306250"/>
    <n v="102083.33333333333"/>
    <n v="103000"/>
    <n v="309000"/>
    <n v="83333.333333333328"/>
    <n v="19666.666666666672"/>
    <n v="59000.000000000015"/>
    <d v="2021-11-19T00:00:00"/>
    <s v="Frid"/>
    <n v="31"/>
    <d v="2022-01-19T00:00:00"/>
    <n v="92"/>
    <s v="Expired"/>
    <n v="0"/>
    <n v="3"/>
    <n v="309000"/>
    <n v="59000.000000000015"/>
    <n v="250000"/>
    <n v="0"/>
    <n v="59000.000000000015"/>
    <n v="250000"/>
    <n v="309000"/>
    <n v="0"/>
    <n v="0"/>
    <n v="0"/>
    <s v=""/>
    <n v="0"/>
    <n v="0"/>
    <s v="Cleared"/>
    <s v="Ok"/>
  </r>
  <r>
    <d v="2021-06-10T00:00:00"/>
    <x v="29"/>
    <n v="39"/>
    <n v="1"/>
    <s v="BIZ"/>
    <n v="500000"/>
    <n v="4"/>
    <n v="0.05"/>
    <s v="Monthly"/>
    <s v="Aroma"/>
    <s v="ONZIA AGNES"/>
    <n v="10000"/>
    <n v="5000"/>
    <n v="0"/>
    <n v="50000"/>
    <n v="100000"/>
    <n v="4"/>
    <n v="600000"/>
    <n v="150000"/>
    <n v="150000"/>
    <n v="600000"/>
    <n v="125000"/>
    <n v="25000"/>
    <n v="100000"/>
    <d v="2021-07-10T00:00:00"/>
    <s v="Sat"/>
    <n v="30"/>
    <d v="2021-10-10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5-31T00:00:00"/>
    <x v="30"/>
    <n v="20"/>
    <n v="1"/>
    <s v="BIZ"/>
    <n v="500000"/>
    <n v="4"/>
    <n v="0.05"/>
    <s v="Monthly"/>
    <s v="Kana"/>
    <s v="ALEZUYO DOCUS"/>
    <n v="10000"/>
    <n v="5000"/>
    <n v="0"/>
    <n v="50000"/>
    <n v="100000"/>
    <n v="4"/>
    <n v="600000"/>
    <n v="150000"/>
    <n v="150000"/>
    <n v="600000"/>
    <n v="125000"/>
    <n v="25000"/>
    <n v="100000"/>
    <d v="2021-06-30T00:00:00"/>
    <s v="Wed"/>
    <n v="30"/>
    <d v="2021-09-30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6-11T00:00:00"/>
    <x v="31"/>
    <n v="43"/>
    <n v="1"/>
    <s v="BIZ"/>
    <n v="200000"/>
    <n v="4"/>
    <n v="0.05"/>
    <s v="Monthly"/>
    <s v="Kana"/>
    <s v="ALOMO ZABIBU"/>
    <n v="10000"/>
    <n v="5000"/>
    <n v="0"/>
    <n v="20000"/>
    <n v="40000"/>
    <n v="4"/>
    <n v="240000"/>
    <n v="60000"/>
    <n v="60000"/>
    <n v="240000"/>
    <n v="50000"/>
    <n v="10000"/>
    <n v="40000"/>
    <d v="2021-07-11T00:00:00"/>
    <s v="Sun"/>
    <n v="30"/>
    <d v="2021-10-11T00:00:00"/>
    <n v="122"/>
    <s v="Expired"/>
    <n v="0"/>
    <n v="4"/>
    <n v="240000"/>
    <n v="40000"/>
    <n v="200000"/>
    <n v="0"/>
    <n v="40000"/>
    <n v="200000"/>
    <n v="240000"/>
    <n v="0"/>
    <n v="0"/>
    <n v="0"/>
    <s v=""/>
    <n v="0"/>
    <n v="0"/>
    <s v="Cleared"/>
    <s v="Ok"/>
  </r>
  <r>
    <d v="2021-08-05T00:00:00"/>
    <x v="30"/>
    <n v="155"/>
    <n v="2"/>
    <s v="BIZ"/>
    <n v="1000000"/>
    <n v="5"/>
    <n v="0.05"/>
    <s v="Monthly"/>
    <s v="Jerome"/>
    <s v="ALEZUYO DOCUS"/>
    <n v="15000"/>
    <n v="5000"/>
    <n v="10000"/>
    <n v="100000"/>
    <n v="250000"/>
    <n v="5"/>
    <n v="1250000"/>
    <n v="250000"/>
    <n v="250000"/>
    <n v="1250000"/>
    <n v="200000"/>
    <n v="50000"/>
    <n v="250000"/>
    <d v="2021-09-05T00:00:00"/>
    <s v="Sun"/>
    <n v="31"/>
    <d v="2022-01-05T00:00:00"/>
    <n v="153"/>
    <s v="Expired"/>
    <n v="0"/>
    <n v="5"/>
    <n v="1250000"/>
    <n v="250000"/>
    <n v="1000000"/>
    <n v="0"/>
    <n v="249000"/>
    <n v="461000.00000000006"/>
    <n v="710000"/>
    <n v="1000"/>
    <n v="539000"/>
    <n v="540000"/>
    <n v="540000"/>
    <n v="2.16"/>
    <n v="65"/>
    <s v="3.(61-90) Days"/>
    <s v="Ok"/>
  </r>
  <r>
    <d v="2021-05-31T00:00:00"/>
    <x v="32"/>
    <n v="21"/>
    <n v="1"/>
    <s v="QUICK"/>
    <n v="1000000"/>
    <n v="1"/>
    <n v="7.4999999999999997E-2"/>
    <s v="Monthly"/>
    <s v="Kana"/>
    <s v="WANDWALI AMISI"/>
    <n v="10000"/>
    <n v="5000"/>
    <n v="0"/>
    <n v="100000"/>
    <n v="75000"/>
    <n v="1"/>
    <n v="1075000"/>
    <n v="1075000"/>
    <n v="1075000"/>
    <n v="1075000"/>
    <n v="1000000"/>
    <n v="75000"/>
    <n v="75000"/>
    <d v="2021-06-30T00:00:00"/>
    <s v="Wed"/>
    <n v="30"/>
    <d v="2021-06-30T00:00:00"/>
    <n v="30"/>
    <s v="Expired"/>
    <n v="0"/>
    <n v="1"/>
    <n v="1075000"/>
    <n v="75000"/>
    <n v="1000000"/>
    <n v="0"/>
    <n v="75000"/>
    <n v="1000000"/>
    <n v="1075000"/>
    <n v="0"/>
    <n v="0"/>
    <n v="0"/>
    <s v=""/>
    <n v="0"/>
    <n v="0"/>
    <s v="Cleared"/>
    <s v="Ok"/>
  </r>
  <r>
    <d v="2021-06-01T00:00:00"/>
    <x v="33"/>
    <n v="23"/>
    <n v="1"/>
    <s v="SLA"/>
    <n v="500000"/>
    <n v="1"/>
    <n v="7.4999999999999997E-2"/>
    <s v="Monthly"/>
    <s v="Aroma"/>
    <s v="ANGUYO RONALD"/>
    <n v="10000"/>
    <n v="5000"/>
    <n v="0"/>
    <n v="50000"/>
    <n v="37500"/>
    <n v="1"/>
    <n v="537500"/>
    <n v="537500"/>
    <n v="538000"/>
    <n v="538000"/>
    <n v="500000"/>
    <n v="38000"/>
    <n v="38000"/>
    <d v="2021-07-01T00:00:00"/>
    <s v="Thu"/>
    <n v="30"/>
    <d v="2021-07-01T00:00:00"/>
    <n v="30"/>
    <s v="Expired"/>
    <n v="0"/>
    <n v="1"/>
    <n v="538000"/>
    <n v="38000"/>
    <n v="500000"/>
    <n v="0"/>
    <n v="38000"/>
    <n v="500000"/>
    <n v="538000"/>
    <n v="0"/>
    <n v="0"/>
    <n v="0"/>
    <s v=""/>
    <n v="0"/>
    <n v="0"/>
    <s v="Cleared"/>
    <s v="Ok"/>
  </r>
  <r>
    <d v="2021-07-01T00:00:00"/>
    <x v="33"/>
    <n v="90"/>
    <n v="2"/>
    <s v="SLA"/>
    <n v="500000"/>
    <n v="1"/>
    <n v="7.4999999999999997E-2"/>
    <s v="Monthly"/>
    <s v="Aroma"/>
    <s v="ANGUYO RONALD"/>
    <n v="10000"/>
    <n v="5000"/>
    <n v="0"/>
    <n v="50000"/>
    <n v="37500"/>
    <n v="1"/>
    <n v="537500"/>
    <n v="537500"/>
    <n v="538000"/>
    <n v="538000"/>
    <n v="500000"/>
    <n v="38000"/>
    <n v="38000"/>
    <d v="2021-08-01T00:00:00"/>
    <s v="Sun"/>
    <n v="31"/>
    <d v="2021-08-01T00:00:00"/>
    <n v="31"/>
    <s v="Expired"/>
    <n v="0"/>
    <n v="1"/>
    <n v="538000"/>
    <n v="38000"/>
    <n v="500000"/>
    <n v="0"/>
    <n v="38000"/>
    <n v="500000"/>
    <n v="538000"/>
    <n v="0"/>
    <n v="0"/>
    <n v="0"/>
    <s v=""/>
    <n v="0"/>
    <n v="0"/>
    <s v="Cleared"/>
    <s v="Ok"/>
  </r>
  <r>
    <d v="2021-10-01T00:00:00"/>
    <x v="33"/>
    <n v="242"/>
    <n v="5"/>
    <s v="SLA"/>
    <n v="1000000"/>
    <n v="1"/>
    <n v="7.4999999999999997E-2"/>
    <s v="Monthly"/>
    <s v="Aroma"/>
    <s v="ANGUYO RONALD"/>
    <n v="15000"/>
    <n v="5000"/>
    <n v="5000"/>
    <n v="100000"/>
    <n v="75000"/>
    <n v="1"/>
    <n v="1075000"/>
    <n v="1075000"/>
    <n v="1075000"/>
    <n v="1075000"/>
    <n v="1000000"/>
    <n v="75000"/>
    <n v="75000"/>
    <d v="2021-11-01T00:00:00"/>
    <s v="Mon"/>
    <n v="31"/>
    <d v="2021-11-01T00:00:00"/>
    <n v="31"/>
    <s v="Expired"/>
    <n v="0"/>
    <n v="1"/>
    <n v="1075000"/>
    <n v="75000"/>
    <n v="1000000"/>
    <n v="0"/>
    <n v="75000"/>
    <n v="1000000"/>
    <n v="1075000"/>
    <n v="0"/>
    <n v="0"/>
    <n v="0"/>
    <s v=""/>
    <n v="0"/>
    <n v="0"/>
    <s v="Cleared"/>
    <s v="Ok"/>
  </r>
  <r>
    <d v="2021-10-06T00:00:00"/>
    <x v="19"/>
    <n v="251"/>
    <n v="2"/>
    <s v="BIZ"/>
    <n v="180000"/>
    <n v="3"/>
    <n v="0.05"/>
    <s v="Monthly"/>
    <s v="Jerome"/>
    <s v="ABAU   NOLA"/>
    <n v="25000"/>
    <n v="5000"/>
    <n v="15000"/>
    <n v="18000"/>
    <n v="27000"/>
    <n v="3"/>
    <n v="207000"/>
    <n v="69000"/>
    <n v="69000"/>
    <n v="207000"/>
    <n v="60000"/>
    <n v="9000"/>
    <n v="27000"/>
    <d v="2021-11-06T00:00:00"/>
    <s v="Sat"/>
    <n v="31"/>
    <d v="2022-01-06T00:00:00"/>
    <n v="92"/>
    <s v="Expired"/>
    <n v="0"/>
    <n v="3"/>
    <n v="207000"/>
    <n v="27000"/>
    <n v="180000"/>
    <n v="0"/>
    <n v="27000"/>
    <n v="180000"/>
    <n v="207000"/>
    <n v="0"/>
    <n v="0"/>
    <n v="0"/>
    <s v=""/>
    <n v="0"/>
    <n v="0"/>
    <s v="Cleared"/>
    <s v="Ok"/>
  </r>
  <r>
    <d v="2021-06-04T00:00:00"/>
    <x v="34"/>
    <n v="28"/>
    <n v="1"/>
    <s v="BIZ"/>
    <n v="300000"/>
    <n v="4"/>
    <n v="0.05"/>
    <s v="Monthly"/>
    <s v="Kana"/>
    <s v="APUNIKI LOICE"/>
    <n v="10000"/>
    <n v="5000"/>
    <n v="0"/>
    <n v="30000"/>
    <n v="60000"/>
    <n v="4"/>
    <n v="360000"/>
    <n v="90000"/>
    <n v="90000"/>
    <n v="360000"/>
    <n v="75000"/>
    <n v="15000"/>
    <n v="60000"/>
    <d v="2021-07-04T00:00:00"/>
    <s v="Sun"/>
    <n v="30"/>
    <d v="2021-10-04T00:00:00"/>
    <n v="122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8-07T00:00:00"/>
    <x v="34"/>
    <n v="160"/>
    <n v="2"/>
    <s v="BIZ"/>
    <n v="500000"/>
    <n v="4"/>
    <n v="0.05"/>
    <s v="Monthly"/>
    <s v="Kana"/>
    <s v="APUNIKI LOICE"/>
    <n v="15000"/>
    <n v="5000"/>
    <n v="3000"/>
    <n v="50000"/>
    <n v="100000"/>
    <n v="4"/>
    <n v="600000"/>
    <n v="150000"/>
    <n v="150000"/>
    <n v="600000"/>
    <n v="125000"/>
    <n v="25000"/>
    <n v="100000"/>
    <d v="2021-09-07T00:00:00"/>
    <s v="Tue"/>
    <n v="31"/>
    <d v="2021-12-07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6-12T00:00:00"/>
    <x v="35"/>
    <n v="49"/>
    <n v="1"/>
    <s v="BIZ"/>
    <n v="500000"/>
    <n v="4"/>
    <n v="0.05"/>
    <s v="Monthly"/>
    <s v="Aroma"/>
    <s v="KEBITA SAUDA"/>
    <n v="10000"/>
    <n v="5000"/>
    <n v="0"/>
    <n v="50000"/>
    <n v="100000"/>
    <n v="4"/>
    <n v="600000"/>
    <n v="150000"/>
    <n v="150000"/>
    <n v="600000"/>
    <n v="125000"/>
    <n v="25000"/>
    <n v="100000"/>
    <d v="2021-07-12T00:00:00"/>
    <s v="Mon"/>
    <n v="30"/>
    <d v="2021-10-12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6-04T00:00:00"/>
    <x v="36"/>
    <n v="31"/>
    <n v="1"/>
    <s v="BIZ"/>
    <n v="500000"/>
    <n v="4"/>
    <n v="0.05"/>
    <s v="Monthly"/>
    <s v="Aroma"/>
    <s v="CANDIRU HELLEN"/>
    <n v="10000"/>
    <n v="5000"/>
    <n v="0"/>
    <n v="50000"/>
    <n v="100000"/>
    <n v="4"/>
    <n v="600000"/>
    <n v="150000"/>
    <n v="150000"/>
    <n v="600000"/>
    <n v="125000"/>
    <n v="25000"/>
    <n v="100000"/>
    <d v="2021-07-04T00:00:00"/>
    <s v="Sun"/>
    <n v="30"/>
    <d v="2021-10-04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7-24T00:00:00"/>
    <x v="36"/>
    <n v="129"/>
    <n v="2"/>
    <s v="BIZ"/>
    <n v="1000000"/>
    <n v="6"/>
    <n v="0.05"/>
    <s v="Monthly"/>
    <s v="Aroma"/>
    <s v="CANDIRU HELLEN"/>
    <n v="10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1-08-24T00:00:00"/>
    <s v="Tue"/>
    <n v="31"/>
    <d v="2022-01-24T00:00:00"/>
    <n v="184"/>
    <s v="Expired"/>
    <n v="0"/>
    <n v="6"/>
    <n v="1302000"/>
    <n v="302000.00000000006"/>
    <n v="1000000"/>
    <n v="0"/>
    <n v="302000.00000000006"/>
    <n v="1000000"/>
    <n v="1302000"/>
    <n v="0"/>
    <n v="0"/>
    <n v="0"/>
    <s v=""/>
    <n v="0"/>
    <n v="0"/>
    <s v="Cleared"/>
    <s v="Ok"/>
  </r>
  <r>
    <d v="2021-06-02T00:00:00"/>
    <x v="37"/>
    <n v="25"/>
    <n v="1"/>
    <s v="BIZ"/>
    <n v="1100000"/>
    <n v="2"/>
    <n v="0.05"/>
    <s v="Monthly"/>
    <s v="Jerome"/>
    <s v="SANYA DONALD"/>
    <n v="10000"/>
    <n v="5000"/>
    <n v="0"/>
    <n v="110000"/>
    <n v="110000"/>
    <n v="2"/>
    <n v="1210000"/>
    <n v="605000"/>
    <n v="605000"/>
    <n v="1210000"/>
    <n v="550000"/>
    <n v="55000"/>
    <n v="110000"/>
    <d v="2021-07-02T00:00:00"/>
    <s v="Frid"/>
    <n v="30"/>
    <d v="2021-08-02T00:00:00"/>
    <n v="61"/>
    <s v="Expired"/>
    <n v="0"/>
    <n v="2"/>
    <n v="1210000"/>
    <n v="110000"/>
    <n v="1100000"/>
    <n v="0"/>
    <n v="110000"/>
    <n v="1100000"/>
    <n v="1210000"/>
    <n v="0"/>
    <n v="0"/>
    <n v="0"/>
    <s v=""/>
    <n v="0"/>
    <n v="0"/>
    <s v="Cleared"/>
    <s v="Ok"/>
  </r>
  <r>
    <d v="2021-06-15T00:00:00"/>
    <x v="38"/>
    <n v="56"/>
    <n v="1"/>
    <s v="BIZ"/>
    <n v="1500000"/>
    <n v="6"/>
    <n v="0.05"/>
    <s v="Monthly"/>
    <s v="Jerome"/>
    <s v="AYIKORU HARIET BAUDI"/>
    <n v="10000"/>
    <n v="5000"/>
    <n v="0"/>
    <n v="150000"/>
    <n v="450000"/>
    <n v="6"/>
    <n v="1950000"/>
    <n v="325000"/>
    <n v="325000"/>
    <n v="1950000"/>
    <n v="250000"/>
    <n v="75000"/>
    <n v="450000"/>
    <d v="2021-07-15T00:00:00"/>
    <s v="Thu"/>
    <n v="30"/>
    <d v="2021-12-15T00:00:00"/>
    <n v="183"/>
    <s v="Expired"/>
    <n v="0"/>
    <n v="6"/>
    <n v="1950000"/>
    <n v="450000"/>
    <n v="1500000"/>
    <n v="0"/>
    <n v="450000"/>
    <n v="1500000"/>
    <n v="1950000"/>
    <n v="0"/>
    <n v="0"/>
    <n v="0"/>
    <s v=""/>
    <n v="0"/>
    <n v="0"/>
    <s v="Cleared"/>
    <s v="Ok"/>
  </r>
  <r>
    <d v="2021-06-07T00:00:00"/>
    <x v="39"/>
    <n v="35"/>
    <n v="1"/>
    <s v="BIZ"/>
    <n v="1500000"/>
    <n v="6"/>
    <n v="0.05"/>
    <s v="Monthly"/>
    <s v="Kana"/>
    <s v="ALIO YUDA"/>
    <n v="10000"/>
    <n v="5000"/>
    <n v="0"/>
    <n v="150000"/>
    <n v="450000"/>
    <n v="6"/>
    <n v="1950000"/>
    <n v="325000"/>
    <n v="325000"/>
    <n v="1950000"/>
    <n v="250000"/>
    <n v="75000"/>
    <n v="450000"/>
    <d v="2021-07-07T00:00:00"/>
    <s v="Wed"/>
    <n v="30"/>
    <d v="2021-12-07T00:00:00"/>
    <n v="183"/>
    <s v="Expired"/>
    <n v="0"/>
    <n v="6"/>
    <n v="1950000"/>
    <n v="450000"/>
    <n v="1500000"/>
    <n v="0"/>
    <n v="450000"/>
    <n v="1500000"/>
    <n v="1950000"/>
    <n v="0"/>
    <n v="0"/>
    <n v="0"/>
    <s v=""/>
    <n v="0"/>
    <n v="0"/>
    <s v="Cleared"/>
    <s v="Ok"/>
  </r>
  <r>
    <d v="2021-06-15T00:00:00"/>
    <x v="40"/>
    <n v="54"/>
    <n v="1"/>
    <s v="BIZ"/>
    <n v="500000"/>
    <n v="4"/>
    <n v="0.05"/>
    <s v="Monthly"/>
    <s v="Kana"/>
    <s v="AJONYE DEBORA"/>
    <n v="10000"/>
    <n v="5000"/>
    <n v="0"/>
    <n v="50000"/>
    <n v="100000"/>
    <n v="4"/>
    <n v="600000"/>
    <n v="150000"/>
    <n v="150000"/>
    <n v="600000"/>
    <n v="125000"/>
    <n v="25000"/>
    <n v="100000"/>
    <d v="2021-07-15T00:00:00"/>
    <s v="Thu"/>
    <n v="30"/>
    <d v="2021-10-15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6-04T00:00:00"/>
    <x v="1"/>
    <n v="29"/>
    <n v="1"/>
    <s v="BIZ"/>
    <n v="700000"/>
    <n v="5"/>
    <n v="0.05"/>
    <s v="Monthly"/>
    <s v="Kana"/>
    <s v="AMUTE BASHIR"/>
    <n v="10000"/>
    <n v="5000"/>
    <n v="0"/>
    <n v="70000"/>
    <n v="175000"/>
    <n v="5"/>
    <n v="875000"/>
    <n v="175000"/>
    <n v="175000"/>
    <n v="875000"/>
    <n v="140000"/>
    <n v="35000"/>
    <n v="175000"/>
    <d v="2021-07-04T00:00:00"/>
    <s v="Sun"/>
    <n v="30"/>
    <d v="2021-11-04T00:00:00"/>
    <n v="153"/>
    <s v="Expired"/>
    <n v="0"/>
    <n v="5"/>
    <n v="875000"/>
    <n v="175000"/>
    <n v="700000"/>
    <n v="0"/>
    <n v="0"/>
    <n v="0"/>
    <n v="0"/>
    <n v="175000"/>
    <n v="700000"/>
    <n v="875000"/>
    <n v="875000"/>
    <n v="5"/>
    <n v="150"/>
    <s v="4.(91-365) Days"/>
    <s v="Ok"/>
  </r>
  <r>
    <d v="2021-06-04T00:00:00"/>
    <x v="41"/>
    <n v="32"/>
    <n v="1"/>
    <s v="BIZ"/>
    <n v="500000"/>
    <n v="4"/>
    <n v="0.05"/>
    <s v="Monthly"/>
    <s v="Aroma"/>
    <s v="BAKO KASIA"/>
    <n v="10000"/>
    <n v="5000"/>
    <n v="0"/>
    <n v="50000"/>
    <n v="100000"/>
    <n v="4"/>
    <n v="600000"/>
    <n v="150000"/>
    <n v="150000"/>
    <n v="600000"/>
    <n v="125000"/>
    <n v="25000"/>
    <n v="100000"/>
    <d v="2021-07-04T00:00:00"/>
    <s v="Sun"/>
    <n v="30"/>
    <d v="2021-10-04T00:00:00"/>
    <n v="122"/>
    <s v="Expired"/>
    <n v="0"/>
    <n v="4"/>
    <n v="600000"/>
    <n v="100000"/>
    <n v="500000"/>
    <n v="0"/>
    <n v="100000"/>
    <n v="355000"/>
    <n v="455000"/>
    <n v="0"/>
    <n v="145000"/>
    <n v="145000"/>
    <n v="145000"/>
    <n v="0.96666666666666667"/>
    <n v="29"/>
    <s v="1.(0-30) Days"/>
    <s v="Ok"/>
  </r>
  <r>
    <d v="2021-06-04T00:00:00"/>
    <x v="42"/>
    <n v="33"/>
    <n v="1"/>
    <s v="BIZ"/>
    <n v="500000"/>
    <n v="4"/>
    <n v="0.05"/>
    <s v="Monthly"/>
    <s v="Aroma"/>
    <s v="MAWUZU SARAH"/>
    <n v="10000"/>
    <n v="5000"/>
    <n v="0"/>
    <n v="50000"/>
    <n v="100000"/>
    <n v="4"/>
    <n v="600000"/>
    <n v="150000"/>
    <n v="150000"/>
    <n v="600000"/>
    <n v="125000"/>
    <n v="25000"/>
    <n v="100000"/>
    <d v="2021-07-04T00:00:00"/>
    <s v="Sun"/>
    <n v="30"/>
    <d v="2021-10-04T00:00:00"/>
    <n v="122"/>
    <s v="Expired"/>
    <n v="0"/>
    <n v="4"/>
    <n v="600000"/>
    <n v="100000"/>
    <n v="500000"/>
    <n v="0"/>
    <n v="100000"/>
    <n v="465000"/>
    <n v="565000"/>
    <n v="0"/>
    <n v="35000"/>
    <n v="35000"/>
    <n v="35000"/>
    <n v="0.23333333333333334"/>
    <n v="7"/>
    <s v="1.(0-30) Days"/>
    <s v="Ok"/>
  </r>
  <r>
    <d v="2021-09-16T00:00:00"/>
    <x v="25"/>
    <n v="220"/>
    <n v="2"/>
    <s v="BIZ"/>
    <n v="400000"/>
    <n v="3"/>
    <n v="0.05"/>
    <s v="Monthly"/>
    <s v="Jerome"/>
    <s v="WACHEKE HARRIET"/>
    <n v="20000"/>
    <n v="5000"/>
    <n v="6500"/>
    <n v="40000"/>
    <n v="60000"/>
    <n v="3"/>
    <n v="460000"/>
    <n v="153333.33333333334"/>
    <n v="154000"/>
    <n v="462000"/>
    <n v="133333.33333333334"/>
    <n v="20666.666666666657"/>
    <n v="61999.999999999971"/>
    <d v="2021-10-16T00:00:00"/>
    <s v="Sat"/>
    <n v="30"/>
    <d v="2021-12-16T00:00:00"/>
    <n v="91"/>
    <s v="Expired"/>
    <n v="0"/>
    <n v="3"/>
    <n v="462000"/>
    <n v="61999.999999999971"/>
    <n v="400000"/>
    <n v="0"/>
    <n v="61999.999999999971"/>
    <n v="400000"/>
    <n v="462000"/>
    <n v="0"/>
    <n v="0"/>
    <n v="0"/>
    <s v=""/>
    <n v="0"/>
    <n v="0"/>
    <s v="Cleared"/>
    <s v="Ok"/>
  </r>
  <r>
    <d v="2021-06-05T00:00:00"/>
    <x v="43"/>
    <n v="34"/>
    <n v="1"/>
    <s v="BIZ"/>
    <n v="1500000"/>
    <n v="6"/>
    <n v="0.05"/>
    <s v="Monthly"/>
    <s v="Jerome"/>
    <s v="AYILE STEPHEN"/>
    <n v="10000"/>
    <n v="5000"/>
    <n v="0"/>
    <n v="150000"/>
    <n v="450000"/>
    <n v="6"/>
    <n v="1950000"/>
    <n v="325000"/>
    <n v="325000"/>
    <n v="1950000"/>
    <n v="250000"/>
    <n v="75000"/>
    <n v="450000"/>
    <d v="2021-07-05T00:00:00"/>
    <s v="Mon"/>
    <n v="30"/>
    <d v="2021-12-05T00:00:00"/>
    <n v="183"/>
    <s v="Expired"/>
    <n v="0"/>
    <n v="6"/>
    <n v="1950000"/>
    <n v="450000"/>
    <n v="1500000"/>
    <n v="0"/>
    <n v="450000"/>
    <n v="1500000"/>
    <n v="1950000"/>
    <n v="0"/>
    <n v="0"/>
    <n v="0"/>
    <s v=""/>
    <n v="0"/>
    <n v="0"/>
    <s v="Cleared"/>
    <s v="Ok"/>
  </r>
  <r>
    <d v="2021-06-08T00:00:00"/>
    <x v="44"/>
    <n v="38"/>
    <n v="1"/>
    <s v="BIZ"/>
    <n v="500000"/>
    <n v="4"/>
    <n v="0.05"/>
    <s v="Monthly"/>
    <s v="Kana"/>
    <s v="EDEZU PEACE IRENE"/>
    <n v="10000"/>
    <n v="5000"/>
    <n v="0"/>
    <n v="50000"/>
    <n v="100000"/>
    <n v="4"/>
    <n v="600000"/>
    <n v="150000"/>
    <n v="150000"/>
    <n v="600000"/>
    <n v="125000"/>
    <n v="25000"/>
    <n v="100000"/>
    <d v="2021-07-08T00:00:00"/>
    <s v="Thu"/>
    <n v="30"/>
    <d v="2021-10-08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10-18T00:00:00"/>
    <x v="44"/>
    <n v="275"/>
    <n v="2"/>
    <s v="BIZ"/>
    <n v="500000"/>
    <n v="4"/>
    <n v="0.05"/>
    <s v="Monthly"/>
    <s v="Kana"/>
    <s v="EDEZU PEACE IRENE"/>
    <n v="20000"/>
    <n v="5000"/>
    <n v="6000"/>
    <n v="50000"/>
    <n v="100000"/>
    <n v="4"/>
    <n v="600000"/>
    <n v="150000"/>
    <n v="150000"/>
    <n v="600000"/>
    <n v="125000"/>
    <n v="25000"/>
    <n v="100000"/>
    <d v="2021-11-18T00:00:00"/>
    <s v="Thu"/>
    <n v="31"/>
    <d v="2022-02-18T00:00:00"/>
    <n v="123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6-08T00:00:00"/>
    <x v="45"/>
    <n v="37"/>
    <n v="1"/>
    <s v="BIZ"/>
    <n v="600000"/>
    <n v="5"/>
    <n v="0.05"/>
    <s v="Monthly"/>
    <s v="Kana"/>
    <s v="MANENO ANIFA"/>
    <n v="10000"/>
    <n v="5000"/>
    <n v="0"/>
    <n v="60000"/>
    <n v="150000"/>
    <n v="5"/>
    <n v="750000"/>
    <n v="150000"/>
    <n v="150000"/>
    <n v="750000"/>
    <n v="120000"/>
    <n v="30000"/>
    <n v="150000"/>
    <d v="2021-07-08T00:00:00"/>
    <s v="Thu"/>
    <n v="30"/>
    <d v="2021-11-08T00:00:00"/>
    <n v="153"/>
    <s v="Expired"/>
    <n v="0"/>
    <n v="5"/>
    <n v="750000"/>
    <n v="150000"/>
    <n v="600000"/>
    <n v="0"/>
    <n v="150000"/>
    <n v="600000"/>
    <n v="750000"/>
    <n v="0"/>
    <n v="0"/>
    <n v="0"/>
    <s v=""/>
    <n v="0"/>
    <n v="0"/>
    <s v="Cleared"/>
    <s v="Ok"/>
  </r>
  <r>
    <d v="2021-06-19T00:00:00"/>
    <x v="46"/>
    <n v="65"/>
    <n v="1"/>
    <s v="BIZ"/>
    <n v="1000000"/>
    <n v="6"/>
    <n v="0.05"/>
    <s v="Monthly"/>
    <s v="Aroma"/>
    <s v="ADAM ZAITUN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7-19T00:00:00"/>
    <s v="Mon"/>
    <n v="30"/>
    <d v="2021-12-19T00:00:00"/>
    <n v="183"/>
    <s v="Expired"/>
    <n v="0"/>
    <n v="6"/>
    <n v="1302000"/>
    <n v="302000.00000000006"/>
    <n v="1000000"/>
    <n v="0"/>
    <n v="251000"/>
    <n v="696000"/>
    <n v="947000"/>
    <n v="51000.000000000058"/>
    <n v="304000"/>
    <n v="355000.00000000006"/>
    <n v="355000.00000000006"/>
    <n v="1.6359447004608298"/>
    <n v="50"/>
    <s v="2.(31-60) Days"/>
    <s v="Ok"/>
  </r>
  <r>
    <d v="2021-08-31T00:00:00"/>
    <x v="45"/>
    <n v="195"/>
    <n v="2"/>
    <s v="BIZ"/>
    <n v="800000"/>
    <n v="5"/>
    <n v="0.05"/>
    <s v="Monthly"/>
    <s v="Kana"/>
    <s v="MANENO ANIFA"/>
    <n v="15000"/>
    <n v="5000"/>
    <n v="8000"/>
    <n v="80000"/>
    <n v="200000"/>
    <n v="5"/>
    <n v="1000000"/>
    <n v="200000"/>
    <n v="200000"/>
    <n v="1000000"/>
    <n v="160000"/>
    <n v="40000"/>
    <n v="200000"/>
    <d v="2021-09-30T00:00:00"/>
    <s v="Thu"/>
    <n v="30"/>
    <d v="2022-01-31T00:00:00"/>
    <n v="153"/>
    <s v="Expired"/>
    <n v="0"/>
    <n v="5"/>
    <n v="1000000"/>
    <n v="200000"/>
    <n v="800000"/>
    <n v="0"/>
    <n v="214000"/>
    <n v="405000"/>
    <n v="619000"/>
    <n v="-14000"/>
    <n v="395000"/>
    <n v="381000"/>
    <n v="381000"/>
    <n v="1.905"/>
    <n v="58"/>
    <s v="2.(31-60) Days"/>
    <s v="Error on Entry"/>
  </r>
  <r>
    <d v="2021-06-21T00:00:00"/>
    <x v="47"/>
    <n v="66"/>
    <n v="1"/>
    <s v="BIZ"/>
    <n v="2000000"/>
    <n v="6"/>
    <n v="0.05"/>
    <s v="Monthly"/>
    <s v="Jerome"/>
    <s v="OMEGA  CHARLES"/>
    <n v="10000"/>
    <n v="5000"/>
    <n v="0"/>
    <n v="200000"/>
    <n v="600000"/>
    <n v="6"/>
    <n v="2600000"/>
    <n v="433333.33333333331"/>
    <n v="434000"/>
    <n v="2604000"/>
    <n v="333333.33333333331"/>
    <n v="100666.66666666669"/>
    <n v="604000.00000000012"/>
    <d v="2021-07-21T00:00:00"/>
    <s v="Wed"/>
    <n v="30"/>
    <d v="2021-12-21T00:00:00"/>
    <n v="183"/>
    <s v="Expired"/>
    <n v="0"/>
    <n v="6"/>
    <n v="2604000"/>
    <n v="604000.00000000012"/>
    <n v="2000000"/>
    <n v="0"/>
    <n v="604000.00000000012"/>
    <n v="1535999.9999999998"/>
    <n v="2140000"/>
    <n v="0"/>
    <n v="464000.00000000023"/>
    <n v="464000.00000000023"/>
    <n v="464000.00000000023"/>
    <n v="1.0691244239631341"/>
    <n v="33"/>
    <s v="2.(31-60) Days"/>
    <s v="Ok"/>
  </r>
  <r>
    <d v="2021-06-12T00:00:00"/>
    <x v="48"/>
    <n v="48"/>
    <n v="1"/>
    <s v="BIZ"/>
    <n v="300000"/>
    <n v="4"/>
    <n v="0.05"/>
    <s v="Monthly"/>
    <s v="Jerome"/>
    <s v="SOKOLA SHARON"/>
    <n v="10000"/>
    <n v="5000"/>
    <n v="0"/>
    <n v="30000"/>
    <n v="60000"/>
    <n v="4"/>
    <n v="360000"/>
    <n v="90000"/>
    <n v="90000"/>
    <n v="360000"/>
    <n v="75000"/>
    <n v="15000"/>
    <n v="60000"/>
    <d v="2021-07-12T00:00:00"/>
    <s v="Mon"/>
    <n v="30"/>
    <d v="2021-10-12T00:00:00"/>
    <n v="122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9-21T00:00:00"/>
    <x v="31"/>
    <n v="226"/>
    <n v="2"/>
    <s v="BIZ"/>
    <n v="400000"/>
    <n v="4"/>
    <n v="0.05"/>
    <s v="Monthly"/>
    <s v="Kana"/>
    <s v="ALOMO ZABIBU"/>
    <n v="20000"/>
    <n v="5000"/>
    <n v="6000"/>
    <n v="40000"/>
    <n v="80000"/>
    <n v="4"/>
    <n v="480000"/>
    <n v="120000"/>
    <n v="120000"/>
    <n v="480000"/>
    <n v="100000"/>
    <n v="20000"/>
    <n v="80000"/>
    <d v="2021-10-21T00:00:00"/>
    <s v="Thu"/>
    <n v="30"/>
    <d v="2022-01-21T00:00:00"/>
    <n v="122"/>
    <s v="Expired"/>
    <n v="0"/>
    <n v="4"/>
    <n v="480000"/>
    <n v="80000"/>
    <n v="400000"/>
    <n v="0"/>
    <n v="50000"/>
    <n v="400000"/>
    <n v="450000"/>
    <n v="30000"/>
    <n v="0"/>
    <n v="30000"/>
    <n v="30000"/>
    <n v="0.25"/>
    <n v="8"/>
    <s v="1.(0-30) Days"/>
    <s v="Ok"/>
  </r>
  <r>
    <d v="2021-06-11T00:00:00"/>
    <x v="49"/>
    <n v="41"/>
    <n v="1"/>
    <s v="BIZ"/>
    <n v="200000"/>
    <n v="4"/>
    <n v="0.05"/>
    <s v="Monthly"/>
    <s v="Jerome"/>
    <s v="ASERU SCOVIA"/>
    <n v="10000"/>
    <n v="5000"/>
    <n v="0"/>
    <n v="20000"/>
    <n v="40000"/>
    <n v="4"/>
    <n v="240000"/>
    <n v="60000"/>
    <n v="60000"/>
    <n v="240000"/>
    <n v="50000"/>
    <n v="10000"/>
    <n v="40000"/>
    <d v="2021-07-11T00:00:00"/>
    <s v="Sun"/>
    <n v="30"/>
    <d v="2021-10-11T00:00:00"/>
    <n v="122"/>
    <s v="Expired"/>
    <n v="0"/>
    <n v="4"/>
    <n v="240000"/>
    <n v="40000"/>
    <n v="200000"/>
    <n v="0"/>
    <n v="35000"/>
    <n v="180000"/>
    <n v="215000"/>
    <n v="5000"/>
    <n v="20000"/>
    <n v="25000"/>
    <n v="25000"/>
    <n v="0.41666666666666669"/>
    <n v="13"/>
    <s v="1.(0-30) Days"/>
    <s v="Ok"/>
  </r>
  <r>
    <d v="2021-06-11T00:00:00"/>
    <x v="50"/>
    <n v="46"/>
    <n v="1"/>
    <s v="BIZ"/>
    <n v="600000"/>
    <n v="4"/>
    <n v="0.05"/>
    <s v="Monthly"/>
    <s v="Aroma"/>
    <s v="ALIRU AMINA "/>
    <n v="10000"/>
    <n v="5000"/>
    <n v="0"/>
    <n v="60000"/>
    <n v="120000"/>
    <n v="4"/>
    <n v="720000"/>
    <n v="180000"/>
    <n v="180000"/>
    <n v="720000"/>
    <n v="150000"/>
    <n v="30000"/>
    <n v="120000"/>
    <d v="2021-07-11T00:00:00"/>
    <s v="Sun"/>
    <n v="30"/>
    <d v="2021-10-11T00:00:00"/>
    <n v="122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6-23T00:00:00"/>
    <x v="51"/>
    <n v="72"/>
    <n v="1"/>
    <s v="BIZ"/>
    <n v="400000"/>
    <n v="4"/>
    <n v="0.05"/>
    <s v="Monthly"/>
    <s v="Aroma"/>
    <s v="NEVER ZULAIKA"/>
    <n v="10000"/>
    <n v="5000"/>
    <n v="0"/>
    <n v="40000"/>
    <n v="80000"/>
    <n v="4"/>
    <n v="480000"/>
    <n v="120000"/>
    <n v="120000"/>
    <n v="480000"/>
    <n v="100000"/>
    <n v="20000"/>
    <n v="80000"/>
    <d v="2021-07-23T00:00:00"/>
    <s v="Frid"/>
    <n v="30"/>
    <d v="2021-10-23T00:00:00"/>
    <n v="122"/>
    <s v="Expired"/>
    <n v="0"/>
    <n v="4"/>
    <n v="480000"/>
    <n v="80000"/>
    <n v="400000"/>
    <n v="0"/>
    <n v="45000"/>
    <n v="355000"/>
    <n v="400000"/>
    <n v="35000"/>
    <n v="45000"/>
    <n v="80000"/>
    <n v="80000"/>
    <n v="0.66666666666666663"/>
    <n v="20"/>
    <s v="1.(0-30) Days"/>
    <s v="Ok"/>
  </r>
  <r>
    <d v="2021-10-19T00:00:00"/>
    <x v="29"/>
    <n v="284"/>
    <n v="2"/>
    <s v="BIZ"/>
    <n v="600000"/>
    <n v="4"/>
    <n v="0.05"/>
    <s v="Monthly"/>
    <s v="Aroma"/>
    <s v="ONZIA AGNES"/>
    <n v="15000"/>
    <n v="5000"/>
    <n v="4000"/>
    <n v="60000"/>
    <n v="120000"/>
    <n v="4"/>
    <n v="720000"/>
    <n v="180000"/>
    <n v="180000"/>
    <n v="720000"/>
    <n v="150000"/>
    <n v="30000"/>
    <n v="120000"/>
    <d v="2021-11-19T00:00:00"/>
    <s v="Frid"/>
    <n v="31"/>
    <d v="2022-02-19T00:00:00"/>
    <n v="123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6-16T00:00:00"/>
    <x v="52"/>
    <n v="60"/>
    <n v="1"/>
    <s v="BIZ"/>
    <n v="400000"/>
    <n v="4"/>
    <n v="0.05"/>
    <s v="Monthly"/>
    <s v="Aroma"/>
    <s v="MATURU ALICE"/>
    <n v="10000"/>
    <n v="5000"/>
    <n v="0"/>
    <n v="40000"/>
    <n v="80000"/>
    <n v="4"/>
    <n v="480000"/>
    <n v="120000"/>
    <n v="120000"/>
    <n v="480000"/>
    <n v="100000"/>
    <n v="20000"/>
    <n v="80000"/>
    <d v="2021-07-16T00:00:00"/>
    <s v="Frid"/>
    <n v="30"/>
    <d v="2021-10-16T00:00:00"/>
    <n v="122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9-03T00:00:00"/>
    <x v="52"/>
    <n v="200"/>
    <n v="2"/>
    <s v="BIZ"/>
    <n v="600000"/>
    <n v="4"/>
    <n v="0.05"/>
    <s v="Monthly"/>
    <s v="Aroma"/>
    <s v="MATURU ALICE"/>
    <n v="15000"/>
    <n v="5000"/>
    <n v="6000"/>
    <n v="60000"/>
    <n v="120000"/>
    <n v="4"/>
    <n v="720000"/>
    <n v="180000"/>
    <n v="180000"/>
    <n v="720000"/>
    <n v="150000"/>
    <n v="30000"/>
    <n v="120000"/>
    <d v="2021-10-03T00:00:00"/>
    <s v="Sun"/>
    <n v="30"/>
    <d v="2022-01-03T00:00:00"/>
    <n v="122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6-11T00:00:00"/>
    <x v="53"/>
    <n v="42"/>
    <n v="1"/>
    <s v="BIZ"/>
    <n v="300000"/>
    <n v="4"/>
    <n v="0.05"/>
    <s v="Monthly"/>
    <s v="Jerome"/>
    <s v="AREDU RUKIA"/>
    <n v="10000"/>
    <n v="5000"/>
    <n v="0"/>
    <n v="30000"/>
    <n v="60000"/>
    <n v="4"/>
    <n v="360000"/>
    <n v="90000"/>
    <n v="90000"/>
    <n v="360000"/>
    <n v="75000"/>
    <n v="15000"/>
    <n v="60000"/>
    <d v="2021-07-11T00:00:00"/>
    <s v="Sun"/>
    <n v="30"/>
    <d v="2021-10-11T00:00:00"/>
    <n v="122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6-11T00:00:00"/>
    <x v="54"/>
    <n v="44"/>
    <n v="1"/>
    <s v="BIZ"/>
    <n v="1000000"/>
    <n v="6"/>
    <n v="0.05"/>
    <s v="Monthly"/>
    <s v="Kana"/>
    <s v="DUDU ARIKE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7-11T00:00:00"/>
    <s v="Sun"/>
    <n v="30"/>
    <d v="2021-12-11T00:00:00"/>
    <n v="183"/>
    <s v="Expired"/>
    <n v="0"/>
    <n v="6"/>
    <n v="1302000"/>
    <n v="302000.00000000006"/>
    <n v="1000000"/>
    <n v="0"/>
    <n v="302000.00000000006"/>
    <n v="997999.99999999988"/>
    <n v="1300000"/>
    <n v="0"/>
    <n v="2000.0000000001164"/>
    <n v="2000.0000000001164"/>
    <n v="2000.0000000001164"/>
    <n v="9.2165898617516881E-3"/>
    <n v="1"/>
    <s v="1.(0-30) Days"/>
    <s v="Ok"/>
  </r>
  <r>
    <d v="2021-06-24T00:00:00"/>
    <x v="55"/>
    <n v="76"/>
    <n v="1"/>
    <s v="BIZ"/>
    <n v="700000"/>
    <n v="5"/>
    <n v="0.05"/>
    <s v="Monthly"/>
    <s v="Kana"/>
    <s v="MUNDURU SIFA"/>
    <n v="10000"/>
    <n v="5000"/>
    <n v="0"/>
    <n v="70000"/>
    <n v="175000"/>
    <n v="5"/>
    <n v="875000"/>
    <n v="175000"/>
    <n v="175000"/>
    <n v="875000"/>
    <n v="140000"/>
    <n v="35000"/>
    <n v="175000"/>
    <d v="2021-07-24T00:00:00"/>
    <s v="Sat"/>
    <n v="30"/>
    <d v="2021-11-24T00:00:00"/>
    <n v="153"/>
    <s v="Expired"/>
    <n v="0"/>
    <n v="5"/>
    <n v="875000"/>
    <n v="175000"/>
    <n v="700000"/>
    <n v="0"/>
    <n v="70000"/>
    <n v="250500"/>
    <n v="320500"/>
    <n v="105000"/>
    <n v="449500"/>
    <n v="554500"/>
    <n v="554500"/>
    <n v="3.1685714285714286"/>
    <n v="96"/>
    <s v="4.(91-365) Days"/>
    <s v="Ok"/>
  </r>
  <r>
    <d v="2021-06-24T00:00:00"/>
    <x v="56"/>
    <n v="79"/>
    <n v="1"/>
    <s v="BIZ"/>
    <n v="2000000"/>
    <n v="1"/>
    <n v="0.05"/>
    <s v="Monthly"/>
    <s v="Jerome"/>
    <s v="DRANDUA JOB CHRISPUS"/>
    <n v="10000"/>
    <n v="5000"/>
    <n v="0"/>
    <n v="200000"/>
    <n v="100000"/>
    <n v="1"/>
    <n v="2100000"/>
    <n v="2100000"/>
    <n v="2100000"/>
    <n v="2100000"/>
    <n v="2000000"/>
    <n v="100000"/>
    <n v="100000"/>
    <d v="2021-07-24T00:00:00"/>
    <s v="Sat"/>
    <n v="30"/>
    <d v="2021-07-24T00:00:00"/>
    <n v="30"/>
    <s v="Expired"/>
    <n v="0"/>
    <n v="1"/>
    <n v="2100000"/>
    <n v="100000"/>
    <n v="2000000"/>
    <n v="0"/>
    <n v="100000"/>
    <n v="2000000"/>
    <n v="2100000"/>
    <n v="0"/>
    <n v="0"/>
    <n v="0"/>
    <s v=""/>
    <n v="0"/>
    <n v="0"/>
    <s v="Cleared"/>
    <s v="Ok"/>
  </r>
  <r>
    <d v="2021-06-12T00:00:00"/>
    <x v="57"/>
    <n v="50"/>
    <n v="1"/>
    <s v="BIZ"/>
    <n v="400000"/>
    <n v="5"/>
    <n v="0.05"/>
    <s v="Monthly"/>
    <s v="Kana"/>
    <s v="AWURU KADARA"/>
    <n v="10000"/>
    <n v="5000"/>
    <n v="0"/>
    <n v="40000"/>
    <n v="100000"/>
    <n v="5"/>
    <n v="500000"/>
    <n v="100000"/>
    <n v="100000"/>
    <n v="500000"/>
    <n v="80000"/>
    <n v="20000"/>
    <n v="100000"/>
    <d v="2021-07-12T00:00:00"/>
    <s v="Mon"/>
    <n v="30"/>
    <d v="2021-11-12T00:00:00"/>
    <n v="153"/>
    <s v="Expired"/>
    <n v="0"/>
    <n v="5"/>
    <n v="500000"/>
    <n v="100000"/>
    <n v="400000"/>
    <n v="0"/>
    <n v="100000"/>
    <n v="400000"/>
    <n v="500000"/>
    <n v="0"/>
    <n v="0"/>
    <n v="0"/>
    <s v=""/>
    <n v="0"/>
    <n v="0"/>
    <s v="Cleared"/>
    <s v="Ok"/>
  </r>
  <r>
    <d v="2021-08-18T00:00:00"/>
    <x v="57"/>
    <n v="173"/>
    <n v="2"/>
    <s v="BIZ"/>
    <n v="700000"/>
    <n v="5"/>
    <n v="0.05"/>
    <s v="Monthly"/>
    <s v="Kana"/>
    <s v="AWURU KADARA"/>
    <n v="25000"/>
    <n v="5000"/>
    <n v="7000"/>
    <n v="70000"/>
    <n v="175000"/>
    <n v="5"/>
    <n v="875000"/>
    <n v="175000"/>
    <n v="175000"/>
    <n v="875000"/>
    <n v="140000"/>
    <n v="35000"/>
    <n v="175000"/>
    <d v="2021-09-18T00:00:00"/>
    <s v="Sat"/>
    <n v="31"/>
    <d v="2022-01-18T00:00:00"/>
    <n v="153"/>
    <s v="Expired"/>
    <n v="0"/>
    <n v="5"/>
    <n v="875000"/>
    <n v="175000"/>
    <n v="700000"/>
    <n v="0"/>
    <n v="175000"/>
    <n v="700000"/>
    <n v="875000"/>
    <n v="0"/>
    <n v="0"/>
    <n v="0"/>
    <s v=""/>
    <n v="0"/>
    <n v="0"/>
    <s v="Cleared"/>
    <s v="Ok"/>
  </r>
  <r>
    <d v="2021-06-28T00:00:00"/>
    <x v="58"/>
    <n v="87"/>
    <n v="1"/>
    <s v="BIZ"/>
    <n v="600000"/>
    <n v="4"/>
    <n v="0.05"/>
    <s v="Monthly"/>
    <s v="Aroma"/>
    <s v="AKANDU NIGHT YONGORO"/>
    <n v="10000"/>
    <n v="5000"/>
    <n v="0"/>
    <n v="60000"/>
    <n v="120000"/>
    <n v="4"/>
    <n v="720000"/>
    <n v="180000"/>
    <n v="180000"/>
    <n v="720000"/>
    <n v="150000"/>
    <n v="30000"/>
    <n v="120000"/>
    <d v="2021-07-28T00:00:00"/>
    <s v="Wed"/>
    <n v="30"/>
    <d v="2021-10-28T00:00:00"/>
    <n v="122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6-28T00:00:00"/>
    <x v="59"/>
    <n v="81"/>
    <n v="1"/>
    <s v="BIZ"/>
    <n v="500000"/>
    <n v="4"/>
    <n v="0.05"/>
    <s v="Monthly"/>
    <s v="Kana"/>
    <s v="AMANIYO CLARA"/>
    <n v="10000"/>
    <n v="5000"/>
    <n v="0"/>
    <n v="50000"/>
    <n v="100000"/>
    <n v="4"/>
    <n v="600000"/>
    <n v="150000"/>
    <n v="150000"/>
    <n v="600000"/>
    <n v="125000"/>
    <n v="25000"/>
    <n v="100000"/>
    <d v="2021-07-28T00:00:00"/>
    <s v="Wed"/>
    <n v="30"/>
    <d v="2021-10-28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6-28T00:00:00"/>
    <x v="60"/>
    <n v="83"/>
    <n v="1"/>
    <s v="BIZ"/>
    <n v="600000"/>
    <n v="5"/>
    <n v="0.05"/>
    <s v="Monthly"/>
    <s v="Aroma"/>
    <s v="SIJALI ASINA SIS"/>
    <n v="10000"/>
    <n v="5000"/>
    <n v="0"/>
    <n v="60000"/>
    <n v="150000"/>
    <n v="5"/>
    <n v="750000"/>
    <n v="150000"/>
    <n v="150000"/>
    <n v="750000"/>
    <n v="120000"/>
    <n v="30000"/>
    <n v="150000"/>
    <d v="2021-07-28T00:00:00"/>
    <s v="Wed"/>
    <n v="30"/>
    <d v="2021-11-28T00:00:00"/>
    <n v="153"/>
    <s v="Expired"/>
    <n v="0"/>
    <n v="5"/>
    <n v="750000"/>
    <n v="150000"/>
    <n v="600000"/>
    <n v="0"/>
    <n v="150000"/>
    <n v="600000"/>
    <n v="750000"/>
    <n v="0"/>
    <n v="0"/>
    <n v="0"/>
    <s v=""/>
    <n v="0"/>
    <n v="0"/>
    <s v="Cleared"/>
    <s v="Ok"/>
  </r>
  <r>
    <d v="2021-06-28T00:00:00"/>
    <x v="61"/>
    <n v="82"/>
    <n v="1"/>
    <s v="BIZ"/>
    <n v="300000"/>
    <n v="4"/>
    <n v="0.05"/>
    <s v="Monthly"/>
    <s v="Kana"/>
    <s v="LETAYO DORCUS"/>
    <n v="10000"/>
    <n v="5000"/>
    <n v="0"/>
    <n v="30000"/>
    <n v="60000"/>
    <n v="4"/>
    <n v="360000"/>
    <n v="90000"/>
    <n v="90000"/>
    <n v="360000"/>
    <n v="75000"/>
    <n v="15000"/>
    <n v="60000"/>
    <d v="2021-07-28T00:00:00"/>
    <s v="Wed"/>
    <n v="30"/>
    <d v="2021-10-28T00:00:00"/>
    <n v="122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6-11T00:00:00"/>
    <x v="62"/>
    <n v="40"/>
    <n v="1"/>
    <s v="BIZ"/>
    <n v="500000"/>
    <n v="4"/>
    <n v="0.05"/>
    <s v="Monthly"/>
    <s v="Aroma"/>
    <s v="AKINO JUDITH"/>
    <n v="10000"/>
    <n v="5000"/>
    <n v="0"/>
    <n v="50000"/>
    <n v="100000"/>
    <n v="4"/>
    <n v="600000"/>
    <n v="150000"/>
    <n v="150000"/>
    <n v="600000"/>
    <n v="125000"/>
    <n v="25000"/>
    <n v="100000"/>
    <d v="2021-07-11T00:00:00"/>
    <s v="Sun"/>
    <n v="30"/>
    <d v="2021-10-11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6-11T00:00:00"/>
    <x v="63"/>
    <n v="47"/>
    <n v="1"/>
    <s v="BIZ"/>
    <n v="1000000"/>
    <n v="6"/>
    <n v="0.05"/>
    <s v="Monthly"/>
    <s v="Jerome"/>
    <s v="NDAWULA GERALD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7-11T00:00:00"/>
    <s v="Sun"/>
    <n v="30"/>
    <d v="2021-12-11T00:00:00"/>
    <n v="183"/>
    <s v="Expired"/>
    <n v="0"/>
    <n v="6"/>
    <n v="1302000"/>
    <n v="302000.00000000006"/>
    <n v="1000000"/>
    <n v="0"/>
    <n v="302000.00000000006"/>
    <n v="999999.99999999977"/>
    <n v="1301999.9999999998"/>
    <n v="0"/>
    <n v="2.3283064365386963E-10"/>
    <n v="2.3283064365386963E-10"/>
    <n v="2.3283064365386963E-10"/>
    <n v="1.072952274902625E-15"/>
    <n v="1"/>
    <s v="Cleared"/>
    <s v="Ok"/>
  </r>
  <r>
    <d v="2021-06-14T00:00:00"/>
    <x v="64"/>
    <n v="53"/>
    <n v="1"/>
    <s v="BIZ"/>
    <n v="2000000"/>
    <n v="6"/>
    <n v="0.05"/>
    <s v="Weekly"/>
    <s v="Kana"/>
    <s v="DENAYA NYAMAZA"/>
    <n v="10000"/>
    <n v="5000"/>
    <n v="0"/>
    <n v="200000"/>
    <n v="600000"/>
    <n v="24"/>
    <n v="2600000"/>
    <n v="108333.33333333333"/>
    <n v="109000"/>
    <n v="2616000"/>
    <n v="83333.333333333328"/>
    <n v="25666.666666666672"/>
    <n v="616000.00000000012"/>
    <d v="2021-06-21T00:00:00"/>
    <s v="Mon"/>
    <n v="7"/>
    <d v="2021-12-14T00:00:00"/>
    <n v="183"/>
    <s v="Expired"/>
    <n v="0"/>
    <n v="24"/>
    <n v="2616000"/>
    <n v="616000.00000000012"/>
    <n v="2000000"/>
    <n v="0"/>
    <n v="616000.00000000012"/>
    <n v="1999999.9999999998"/>
    <n v="2616000"/>
    <n v="0"/>
    <n v="2.3283064365386963E-10"/>
    <n v="2.3283064365386963E-10"/>
    <n v="2.3283064365386963E-10"/>
    <n v="2.1360609509529322E-15"/>
    <n v="1"/>
    <s v="Cleared"/>
    <s v="Ok"/>
  </r>
  <r>
    <d v="2021-10-16T00:00:00"/>
    <x v="35"/>
    <n v="272"/>
    <n v="2"/>
    <s v="BIZ"/>
    <n v="600000"/>
    <n v="4"/>
    <n v="0.05"/>
    <s v="Monthly"/>
    <s v="Aroma"/>
    <s v="KEBITA SAUDA"/>
    <n v="15000"/>
    <n v="5000"/>
    <n v="2000"/>
    <n v="60000"/>
    <n v="120000"/>
    <n v="4"/>
    <n v="720000"/>
    <n v="180000"/>
    <n v="180000"/>
    <n v="720000"/>
    <n v="150000"/>
    <n v="30000"/>
    <n v="120000"/>
    <d v="2021-11-16T00:00:00"/>
    <s v="Tue"/>
    <n v="31"/>
    <d v="2022-02-16T00:00:00"/>
    <n v="123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6-14T00:00:00"/>
    <x v="65"/>
    <n v="51"/>
    <n v="1"/>
    <s v="BIZ"/>
    <n v="700000"/>
    <n v="6"/>
    <n v="0.05"/>
    <s v="Monthly"/>
    <s v="Kana"/>
    <s v="CHANDIA  RAHIMA"/>
    <n v="10000"/>
    <n v="5000"/>
    <n v="0"/>
    <n v="70000"/>
    <n v="210000"/>
    <n v="6"/>
    <n v="910000"/>
    <n v="151666.66666666666"/>
    <n v="152000"/>
    <n v="912000"/>
    <n v="116666.66666666667"/>
    <n v="35333.333333333328"/>
    <n v="211999.99999999997"/>
    <d v="2021-07-14T00:00:00"/>
    <s v="Wed"/>
    <n v="30"/>
    <d v="2021-12-14T00:00:00"/>
    <n v="183"/>
    <s v="Expired"/>
    <n v="0"/>
    <n v="6"/>
    <n v="912000"/>
    <n v="211999.99999999997"/>
    <n v="700000"/>
    <n v="0"/>
    <n v="211999.99999999997"/>
    <n v="698000"/>
    <n v="910000"/>
    <n v="0"/>
    <n v="2000"/>
    <n v="2000"/>
    <n v="2000"/>
    <n v="1.3157894736842105E-2"/>
    <n v="1"/>
    <s v="1.(0-30) Days"/>
    <s v="Ok"/>
  </r>
  <r>
    <d v="2021-06-14T00:00:00"/>
    <x v="66"/>
    <n v="52"/>
    <n v="1"/>
    <s v="BIZ"/>
    <n v="800000"/>
    <n v="6"/>
    <n v="0.05"/>
    <s v="Monthly"/>
    <s v="Aroma"/>
    <s v="BUGA ALIKIA PHILLIP"/>
    <n v="10000"/>
    <n v="5000"/>
    <n v="0"/>
    <n v="80000"/>
    <n v="240000"/>
    <n v="6"/>
    <n v="1040000"/>
    <n v="173333.33333333334"/>
    <n v="174000"/>
    <n v="1044000"/>
    <n v="133333.33333333334"/>
    <n v="40666.666666666657"/>
    <n v="243999.99999999994"/>
    <d v="2021-07-14T00:00:00"/>
    <s v="Wed"/>
    <n v="30"/>
    <d v="2021-12-14T00:00:00"/>
    <n v="183"/>
    <s v="Expired"/>
    <n v="0"/>
    <n v="6"/>
    <n v="1044000"/>
    <n v="243999.99999999994"/>
    <n v="800000"/>
    <n v="0"/>
    <n v="243999.99999999994"/>
    <n v="800000"/>
    <n v="1044000"/>
    <n v="0"/>
    <n v="0"/>
    <n v="0"/>
    <s v=""/>
    <n v="0"/>
    <n v="0"/>
    <s v="Cleared"/>
    <s v="Ok"/>
  </r>
  <r>
    <d v="2021-11-12T00:00:00"/>
    <x v="38"/>
    <n v="326"/>
    <n v="2"/>
    <s v="BIZ"/>
    <n v="2000000"/>
    <n v="5"/>
    <n v="0.05"/>
    <s v="Monthly"/>
    <s v="Jerome"/>
    <s v="AYIKORU HARIET BAUDI"/>
    <n v="25000"/>
    <n v="5000"/>
    <n v="26000"/>
    <n v="200000"/>
    <n v="500000"/>
    <n v="5"/>
    <n v="2500000"/>
    <n v="500000"/>
    <n v="500000"/>
    <n v="2500000"/>
    <n v="400000"/>
    <n v="100000"/>
    <n v="500000"/>
    <d v="2021-12-12T00:00:00"/>
    <s v="Sun"/>
    <n v="30"/>
    <d v="2022-04-12T00:00:00"/>
    <n v="151"/>
    <s v="Expired"/>
    <n v="0"/>
    <n v="5"/>
    <n v="2500000"/>
    <n v="500000"/>
    <n v="2000000"/>
    <n v="0"/>
    <n v="500000"/>
    <n v="2000000"/>
    <n v="2500000"/>
    <n v="0"/>
    <n v="0"/>
    <n v="0"/>
    <s v=""/>
    <n v="0"/>
    <n v="0"/>
    <s v="Cleared"/>
    <s v="Ok"/>
  </r>
  <r>
    <d v="2021-06-15T00:00:00"/>
    <x v="67"/>
    <n v="57"/>
    <n v="1"/>
    <s v="BIZ"/>
    <n v="1000000"/>
    <n v="6"/>
    <n v="0.05"/>
    <s v="Monthly"/>
    <s v="Aroma"/>
    <s v="MUNDURU MERCY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7-15T00:00:00"/>
    <s v="Thu"/>
    <n v="30"/>
    <d v="2021-12-15T00:00:00"/>
    <n v="183"/>
    <s v="Expired"/>
    <n v="0"/>
    <n v="6"/>
    <n v="1302000"/>
    <n v="302000.00000000006"/>
    <n v="1000000"/>
    <n v="0"/>
    <n v="302000.00000000006"/>
    <n v="998200"/>
    <n v="1300200"/>
    <n v="0"/>
    <n v="1800"/>
    <n v="1800"/>
    <n v="1800"/>
    <n v="8.2949308755760377E-3"/>
    <n v="1"/>
    <s v="1.(0-30) Days"/>
    <s v="Ok"/>
  </r>
  <r>
    <d v="2021-07-02T00:00:00"/>
    <x v="68"/>
    <n v="93"/>
    <n v="1"/>
    <s v="BIZ"/>
    <n v="300000"/>
    <n v="1"/>
    <n v="0.05"/>
    <s v="Monthly"/>
    <s v="Kana"/>
    <s v="TABU KISA"/>
    <n v="10000"/>
    <n v="5000"/>
    <n v="0"/>
    <n v="30000"/>
    <n v="15000"/>
    <n v="1"/>
    <n v="315000"/>
    <n v="315000"/>
    <n v="315000"/>
    <n v="315000"/>
    <n v="300000"/>
    <n v="15000"/>
    <n v="15000"/>
    <d v="2021-08-02T00:00:00"/>
    <s v="Mon"/>
    <n v="31"/>
    <d v="2021-08-02T00:00:00"/>
    <n v="31"/>
    <s v="Expired"/>
    <n v="0"/>
    <n v="1"/>
    <n v="315000"/>
    <n v="15000"/>
    <n v="300000"/>
    <n v="0"/>
    <n v="15000"/>
    <n v="300000"/>
    <n v="315000"/>
    <n v="0"/>
    <n v="0"/>
    <n v="0"/>
    <s v=""/>
    <n v="0"/>
    <n v="0"/>
    <s v="Cleared"/>
    <s v="Ok"/>
  </r>
  <r>
    <d v="2021-09-30T00:00:00"/>
    <x v="40"/>
    <n v="240"/>
    <n v="2"/>
    <s v="BIZ"/>
    <n v="600000"/>
    <n v="5"/>
    <n v="0.05"/>
    <s v="Monthly"/>
    <s v="Kana"/>
    <s v="AJONYE DEBORA"/>
    <n v="15000"/>
    <n v="5000"/>
    <n v="4000"/>
    <n v="60000"/>
    <n v="150000"/>
    <n v="5"/>
    <n v="750000"/>
    <n v="150000"/>
    <n v="150000"/>
    <n v="750000"/>
    <n v="120000"/>
    <n v="30000"/>
    <n v="150000"/>
    <d v="2021-10-30T00:00:00"/>
    <s v="Sat"/>
    <n v="30"/>
    <d v="2022-02-28T00:00:00"/>
    <n v="151"/>
    <s v="Expired"/>
    <n v="0"/>
    <n v="5"/>
    <n v="750000"/>
    <n v="150000"/>
    <n v="600000"/>
    <n v="0"/>
    <n v="150000"/>
    <n v="600000"/>
    <n v="750000"/>
    <n v="0"/>
    <n v="0"/>
    <n v="0"/>
    <s v=""/>
    <n v="0"/>
    <n v="0"/>
    <s v="Cleared"/>
    <s v="Ok"/>
  </r>
  <r>
    <d v="2021-06-15T00:00:00"/>
    <x v="69"/>
    <n v="59"/>
    <n v="1"/>
    <s v="BIZ"/>
    <n v="300000"/>
    <n v="4"/>
    <n v="0.05"/>
    <s v="Monthly"/>
    <s v="Aroma"/>
    <s v="YUKUWE AISHA"/>
    <n v="10000"/>
    <n v="5000"/>
    <n v="0"/>
    <n v="30000"/>
    <n v="60000"/>
    <n v="4"/>
    <n v="360000"/>
    <n v="90000"/>
    <n v="90000"/>
    <n v="360000"/>
    <n v="75000"/>
    <n v="15000"/>
    <n v="60000"/>
    <d v="2021-07-15T00:00:00"/>
    <s v="Thu"/>
    <n v="30"/>
    <d v="2021-10-15T00:00:00"/>
    <n v="122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6-15T00:00:00"/>
    <x v="70"/>
    <n v="55"/>
    <n v="1"/>
    <s v="BIZ"/>
    <n v="400000"/>
    <n v="3"/>
    <n v="0.05"/>
    <s v="Monthly"/>
    <s v="Jerome"/>
    <s v="MUKULIA JAMES"/>
    <n v="10000"/>
    <n v="5000"/>
    <n v="0"/>
    <n v="40000"/>
    <n v="60000"/>
    <n v="3"/>
    <n v="460000"/>
    <n v="153333.33333333334"/>
    <n v="154000"/>
    <n v="462000"/>
    <n v="133333.33333333334"/>
    <n v="20666.666666666657"/>
    <n v="61999.999999999971"/>
    <d v="2021-07-15T00:00:00"/>
    <s v="Thu"/>
    <n v="30"/>
    <d v="2021-09-15T00:00:00"/>
    <n v="92"/>
    <s v="Expired"/>
    <n v="0"/>
    <n v="3"/>
    <n v="462000"/>
    <n v="61999.999999999971"/>
    <n v="400000"/>
    <n v="0"/>
    <n v="61999.999999999971"/>
    <n v="400000"/>
    <n v="462000"/>
    <n v="0"/>
    <n v="0"/>
    <n v="0"/>
    <s v=""/>
    <n v="0"/>
    <n v="0"/>
    <s v="Cleared"/>
    <s v="Ok"/>
  </r>
  <r>
    <d v="2021-08-18T00:00:00"/>
    <x v="70"/>
    <n v="174"/>
    <n v="2"/>
    <s v="BIZ"/>
    <n v="700000"/>
    <n v="5"/>
    <n v="0.05"/>
    <s v="Monthly"/>
    <s v="Jerome"/>
    <s v="MUKULIA JAMES"/>
    <n v="25000"/>
    <n v="5000"/>
    <n v="20000"/>
    <n v="70000"/>
    <n v="175000"/>
    <n v="5"/>
    <n v="875000"/>
    <n v="175000"/>
    <n v="175000"/>
    <n v="875000"/>
    <n v="140000"/>
    <n v="35000"/>
    <n v="175000"/>
    <d v="2021-09-18T00:00:00"/>
    <s v="Sat"/>
    <n v="31"/>
    <d v="2022-01-18T00:00:00"/>
    <n v="153"/>
    <s v="Expired"/>
    <n v="0"/>
    <n v="5"/>
    <n v="875000"/>
    <n v="175000"/>
    <n v="700000"/>
    <n v="0"/>
    <n v="175000"/>
    <n v="700000"/>
    <n v="875000"/>
    <n v="0"/>
    <n v="0"/>
    <n v="0"/>
    <s v=""/>
    <n v="0"/>
    <n v="0"/>
    <s v="Cleared"/>
    <s v="Ok"/>
  </r>
  <r>
    <d v="2021-06-15T00:00:00"/>
    <x v="71"/>
    <n v="58"/>
    <n v="1"/>
    <s v="BIZ"/>
    <n v="300000"/>
    <n v="4"/>
    <n v="0.05"/>
    <s v="Monthly"/>
    <s v="Aroma"/>
    <s v="DAWA AISHA"/>
    <n v="10000"/>
    <n v="5000"/>
    <n v="0"/>
    <n v="30000"/>
    <n v="60000"/>
    <n v="4"/>
    <n v="360000"/>
    <n v="90000"/>
    <n v="90000"/>
    <n v="360000"/>
    <n v="75000"/>
    <n v="15000"/>
    <n v="60000"/>
    <d v="2021-07-15T00:00:00"/>
    <s v="Thu"/>
    <n v="30"/>
    <d v="2021-10-15T00:00:00"/>
    <n v="122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8-24T00:00:00"/>
    <x v="71"/>
    <n v="187"/>
    <n v="2"/>
    <s v="BIZ"/>
    <n v="600000"/>
    <n v="4"/>
    <n v="0.05"/>
    <s v="Monthly"/>
    <s v="Aroma"/>
    <s v="DAWA AISHA"/>
    <n v="15000"/>
    <n v="5000"/>
    <n v="6000"/>
    <n v="60000"/>
    <n v="120000"/>
    <n v="4"/>
    <n v="720000"/>
    <n v="180000"/>
    <n v="180000"/>
    <n v="720000"/>
    <n v="150000"/>
    <n v="30000"/>
    <n v="120000"/>
    <d v="2021-09-24T00:00:00"/>
    <s v="Frid"/>
    <n v="31"/>
    <d v="2021-12-24T00:00:00"/>
    <n v="122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6-16T00:00:00"/>
    <x v="72"/>
    <n v="61"/>
    <n v="1"/>
    <s v="BIZ"/>
    <n v="1000000"/>
    <n v="6"/>
    <n v="0.05"/>
    <s v="Monthly"/>
    <s v="Kana"/>
    <s v="CACA FATUMA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7-16T00:00:00"/>
    <s v="Frid"/>
    <n v="30"/>
    <d v="2021-12-16T00:00:00"/>
    <n v="183"/>
    <s v="Expired"/>
    <n v="0"/>
    <n v="6"/>
    <n v="1302000"/>
    <n v="302000.00000000006"/>
    <n v="1000000"/>
    <n v="0"/>
    <n v="302000.00000000006"/>
    <n v="998000"/>
    <n v="1300000"/>
    <n v="0"/>
    <n v="2000"/>
    <n v="2000"/>
    <n v="2000"/>
    <n v="9.2165898617511521E-3"/>
    <n v="1"/>
    <s v="1.(0-30) Days"/>
    <s v="Ok"/>
  </r>
  <r>
    <d v="2021-06-17T00:00:00"/>
    <x v="73"/>
    <n v="62"/>
    <n v="1"/>
    <s v="BIZ"/>
    <n v="700000"/>
    <n v="5"/>
    <n v="0.05"/>
    <s v="Monthly"/>
    <s v="Jerome"/>
    <s v="DIPIYO BEATRICE JOHN"/>
    <n v="10000"/>
    <n v="5000"/>
    <n v="0"/>
    <n v="70000"/>
    <n v="175000"/>
    <n v="5"/>
    <n v="875000"/>
    <n v="175000"/>
    <n v="175000"/>
    <n v="875000"/>
    <n v="140000"/>
    <n v="35000"/>
    <n v="175000"/>
    <d v="2021-07-17T00:00:00"/>
    <s v="Sat"/>
    <n v="30"/>
    <d v="2021-11-17T00:00:00"/>
    <n v="153"/>
    <s v="Expired"/>
    <n v="0"/>
    <n v="5"/>
    <n v="875000"/>
    <n v="175000"/>
    <n v="700000"/>
    <n v="0"/>
    <n v="175000"/>
    <n v="700000"/>
    <n v="875000"/>
    <n v="0"/>
    <n v="0"/>
    <n v="0"/>
    <s v=""/>
    <n v="0"/>
    <n v="0"/>
    <s v="Cleared"/>
    <s v="Ok"/>
  </r>
  <r>
    <d v="2021-06-19T00:00:00"/>
    <x v="74"/>
    <n v="64"/>
    <n v="1"/>
    <s v="BIZ"/>
    <n v="1000000"/>
    <n v="5"/>
    <n v="0.05"/>
    <s v="Weekly"/>
    <s v="Aroma"/>
    <s v="PASI SENYA"/>
    <n v="10000"/>
    <n v="5000"/>
    <n v="0"/>
    <n v="100000"/>
    <n v="250000"/>
    <n v="20"/>
    <n v="1250000"/>
    <n v="62500"/>
    <n v="63000"/>
    <n v="1260000"/>
    <n v="50000"/>
    <n v="13000"/>
    <n v="260000"/>
    <d v="2021-06-26T00:00:00"/>
    <s v="Sat"/>
    <n v="7"/>
    <d v="2021-11-19T00:00:00"/>
    <n v="153"/>
    <s v="Expired"/>
    <n v="0"/>
    <n v="20"/>
    <n v="1260000"/>
    <n v="260000"/>
    <n v="1000000"/>
    <n v="0"/>
    <n v="260000"/>
    <n v="1000000"/>
    <n v="1260000"/>
    <n v="0"/>
    <n v="0"/>
    <n v="0"/>
    <s v=""/>
    <n v="0"/>
    <n v="0"/>
    <s v="Cleared"/>
    <s v="Ok"/>
  </r>
  <r>
    <d v="2021-07-07T00:00:00"/>
    <x v="75"/>
    <n v="106"/>
    <n v="1"/>
    <s v="BIZ"/>
    <n v="300000"/>
    <n v="4"/>
    <n v="0.05"/>
    <s v="Monthly"/>
    <s v="Jerome"/>
    <s v="SADIA JOYCE"/>
    <n v="10000"/>
    <n v="5000"/>
    <n v="3000"/>
    <n v="30000"/>
    <n v="60000"/>
    <n v="4"/>
    <n v="360000"/>
    <n v="90000"/>
    <n v="90000"/>
    <n v="360000"/>
    <n v="75000"/>
    <n v="15000"/>
    <n v="60000"/>
    <d v="2021-08-07T00:00:00"/>
    <s v="Sat"/>
    <n v="31"/>
    <d v="2021-11-07T00:00:00"/>
    <n v="123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7-07T00:00:00"/>
    <x v="76"/>
    <n v="108"/>
    <n v="1"/>
    <s v="SLA"/>
    <n v="700000"/>
    <n v="1"/>
    <n v="7.4999999999999997E-2"/>
    <s v="Monthly"/>
    <s v="Jerome"/>
    <s v="OGWAL STEPHEN GERALD"/>
    <n v="10000"/>
    <n v="5000"/>
    <n v="7000"/>
    <n v="70000"/>
    <n v="52500"/>
    <n v="1"/>
    <n v="752500"/>
    <n v="752500"/>
    <n v="753000"/>
    <n v="753000"/>
    <n v="700000"/>
    <n v="53000"/>
    <n v="53000"/>
    <d v="2021-08-07T00:00:00"/>
    <s v="Sat"/>
    <n v="31"/>
    <d v="2021-08-07T00:00:00"/>
    <n v="31"/>
    <s v="Expired"/>
    <n v="0"/>
    <n v="1"/>
    <n v="753000"/>
    <n v="53000"/>
    <n v="700000"/>
    <n v="0"/>
    <n v="53000"/>
    <n v="700000"/>
    <n v="753000"/>
    <n v="0"/>
    <n v="0"/>
    <n v="0"/>
    <s v=""/>
    <n v="0"/>
    <n v="0"/>
    <s v="Cleared"/>
    <s v="Ok"/>
  </r>
  <r>
    <d v="2021-06-18T00:00:00"/>
    <x v="77"/>
    <n v="63"/>
    <n v="1"/>
    <s v="BIZ"/>
    <n v="1000000"/>
    <n v="5"/>
    <n v="0.05"/>
    <s v="Monthly"/>
    <s v="Kana"/>
    <s v="ARIYE AISHA"/>
    <n v="10000"/>
    <n v="5000"/>
    <n v="0"/>
    <n v="100000"/>
    <n v="250000"/>
    <n v="5"/>
    <n v="1250000"/>
    <n v="250000"/>
    <n v="250000"/>
    <n v="1250000"/>
    <n v="200000"/>
    <n v="50000"/>
    <n v="250000"/>
    <d v="2021-07-18T00:00:00"/>
    <s v="Sun"/>
    <n v="30"/>
    <d v="2021-11-18T00:00:00"/>
    <n v="153"/>
    <s v="Expired"/>
    <n v="0"/>
    <n v="5"/>
    <n v="1250000"/>
    <n v="250000"/>
    <n v="1000000"/>
    <n v="0"/>
    <n v="250000"/>
    <n v="1000000"/>
    <n v="1250000"/>
    <n v="0"/>
    <n v="0"/>
    <n v="0"/>
    <s v=""/>
    <n v="0"/>
    <n v="0"/>
    <s v="Cleared"/>
    <s v="Ok"/>
  </r>
  <r>
    <d v="2021-06-23T00:00:00"/>
    <x v="78"/>
    <n v="71"/>
    <n v="1"/>
    <s v="BIZ"/>
    <n v="300000"/>
    <n v="4"/>
    <n v="0.05"/>
    <s v="Monthly"/>
    <s v="Kana"/>
    <s v="ADUNA MANENO"/>
    <n v="10000"/>
    <n v="5000"/>
    <n v="0"/>
    <n v="30000"/>
    <n v="60000"/>
    <n v="4"/>
    <n v="360000"/>
    <n v="90000"/>
    <n v="90000"/>
    <n v="360000"/>
    <n v="75000"/>
    <n v="15000"/>
    <n v="60000"/>
    <d v="2021-07-23T00:00:00"/>
    <s v="Frid"/>
    <n v="30"/>
    <d v="2021-10-23T00:00:00"/>
    <n v="122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6-21T00:00:00"/>
    <x v="79"/>
    <n v="68"/>
    <n v="1"/>
    <s v="BIZ"/>
    <n v="1000000"/>
    <n v="3"/>
    <n v="0.05"/>
    <s v="Monthly"/>
    <s v="Kana"/>
    <s v="CEASER SWALEH"/>
    <n v="10000"/>
    <n v="5000"/>
    <n v="0"/>
    <n v="100000"/>
    <n v="150000"/>
    <n v="3"/>
    <n v="1150000"/>
    <n v="383333.33333333331"/>
    <n v="384000"/>
    <n v="1152000"/>
    <n v="333333.33333333331"/>
    <n v="50666.666666666686"/>
    <n v="152000.00000000006"/>
    <d v="2021-07-21T00:00:00"/>
    <s v="Wed"/>
    <n v="30"/>
    <d v="2021-09-21T00:00:00"/>
    <n v="92"/>
    <s v="Expired"/>
    <n v="0"/>
    <n v="3"/>
    <n v="1152000"/>
    <n v="152000.00000000006"/>
    <n v="1000000"/>
    <n v="0"/>
    <n v="152000.00000000006"/>
    <n v="1000000"/>
    <n v="1152000"/>
    <n v="0"/>
    <n v="0"/>
    <n v="0"/>
    <s v=""/>
    <n v="0"/>
    <n v="0"/>
    <s v="Cleared"/>
    <s v="Ok"/>
  </r>
  <r>
    <d v="2021-07-15T00:00:00"/>
    <x v="79"/>
    <n v="119"/>
    <n v="2"/>
    <s v="BIZ"/>
    <n v="2000000"/>
    <n v="6"/>
    <n v="0.05"/>
    <s v="Monthly"/>
    <s v="Kana"/>
    <s v="CEASER SWALEH"/>
    <n v="10000"/>
    <n v="5000"/>
    <n v="40000"/>
    <n v="200000"/>
    <n v="600000"/>
    <n v="6"/>
    <n v="2600000"/>
    <n v="433333.33333333331"/>
    <n v="434000"/>
    <n v="2604000"/>
    <n v="333333.33333333331"/>
    <n v="100666.66666666669"/>
    <n v="604000.00000000012"/>
    <d v="2021-08-15T00:00:00"/>
    <s v="Sun"/>
    <n v="31"/>
    <d v="2022-01-15T00:00:00"/>
    <n v="184"/>
    <s v="Expired"/>
    <n v="0"/>
    <n v="6"/>
    <n v="2604000"/>
    <n v="604000.00000000012"/>
    <n v="2000000"/>
    <n v="0"/>
    <n v="604000.00000000012"/>
    <n v="2000000"/>
    <n v="2604000"/>
    <n v="0"/>
    <n v="0"/>
    <n v="0"/>
    <s v=""/>
    <n v="0"/>
    <n v="0"/>
    <s v="Cleared"/>
    <s v="Ok"/>
  </r>
  <r>
    <d v="2021-06-24T00:00:00"/>
    <x v="80"/>
    <n v="73"/>
    <n v="1"/>
    <s v="BIZ"/>
    <n v="500000"/>
    <n v="4"/>
    <n v="0.05"/>
    <s v="Monthly"/>
    <s v="Aroma"/>
    <s v="AMANIYO JOYCE"/>
    <n v="10000"/>
    <n v="5000"/>
    <n v="0"/>
    <n v="50000"/>
    <n v="100000"/>
    <n v="4"/>
    <n v="600000"/>
    <n v="150000"/>
    <n v="150000"/>
    <n v="600000"/>
    <n v="125000"/>
    <n v="25000"/>
    <n v="100000"/>
    <d v="2021-07-24T00:00:00"/>
    <s v="Sat"/>
    <n v="30"/>
    <d v="2021-10-24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8-23T00:00:00"/>
    <x v="80"/>
    <n v="231"/>
    <n v="2"/>
    <s v="BIZ"/>
    <n v="1000000"/>
    <n v="6"/>
    <n v="0.05"/>
    <s v="Monthly"/>
    <s v="Aroma"/>
    <s v="AMANIYO JOYCE"/>
    <n v="25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1-09-23T00:00:00"/>
    <s v="Thu"/>
    <n v="31"/>
    <d v="2022-02-23T00:00:00"/>
    <n v="184"/>
    <s v="Expired"/>
    <n v="0"/>
    <n v="6"/>
    <n v="1302000"/>
    <n v="302000.00000000006"/>
    <n v="1000000"/>
    <n v="0"/>
    <n v="302000.00000000006"/>
    <n v="990099.99999999977"/>
    <n v="1292099.9999999998"/>
    <n v="0"/>
    <n v="9900.0000000002328"/>
    <n v="9900.0000000002328"/>
    <n v="9900.0000000002328"/>
    <n v="4.5622119815669278E-2"/>
    <n v="2"/>
    <s v="1.(0-30) Days"/>
    <s v="Ok"/>
  </r>
  <r>
    <d v="2021-06-22T00:00:00"/>
    <x v="81"/>
    <n v="70"/>
    <n v="1"/>
    <s v="BIZ"/>
    <n v="700000"/>
    <n v="5"/>
    <n v="0.05"/>
    <s v="Monthly"/>
    <s v="Aroma"/>
    <s v="FAIDA ZUBEDA"/>
    <n v="10000"/>
    <n v="5000"/>
    <n v="0"/>
    <n v="70000"/>
    <n v="175000"/>
    <n v="5"/>
    <n v="875000"/>
    <n v="175000"/>
    <n v="175000"/>
    <n v="875000"/>
    <n v="140000"/>
    <n v="35000"/>
    <n v="175000"/>
    <d v="2021-07-22T00:00:00"/>
    <s v="Thu"/>
    <n v="30"/>
    <d v="2021-11-22T00:00:00"/>
    <n v="153"/>
    <s v="Expired"/>
    <n v="0"/>
    <n v="5"/>
    <n v="875000"/>
    <n v="175000"/>
    <n v="700000"/>
    <n v="0"/>
    <n v="175000"/>
    <n v="605000"/>
    <n v="780000"/>
    <n v="0"/>
    <n v="95000"/>
    <n v="95000"/>
    <n v="95000"/>
    <n v="0.54285714285714282"/>
    <n v="17"/>
    <s v="1.(0-30) Days"/>
    <s v="Ok"/>
  </r>
  <r>
    <d v="2021-06-22T00:00:00"/>
    <x v="82"/>
    <n v="69"/>
    <n v="1"/>
    <s v="BIZ"/>
    <n v="200000"/>
    <n v="3"/>
    <n v="0.05"/>
    <s v="Monthly"/>
    <s v="Kana"/>
    <s v="FAIDA HARRIET"/>
    <n v="10000"/>
    <n v="5000"/>
    <n v="0"/>
    <n v="20000"/>
    <n v="30000"/>
    <n v="3"/>
    <n v="230000"/>
    <n v="76666.666666666672"/>
    <n v="77000"/>
    <n v="231000"/>
    <n v="66666.666666666672"/>
    <n v="10333.333333333328"/>
    <n v="30999.999999999985"/>
    <d v="2021-07-22T00:00:00"/>
    <s v="Thu"/>
    <n v="30"/>
    <d v="2021-09-22T00:00:00"/>
    <n v="92"/>
    <s v="Expired"/>
    <n v="0"/>
    <n v="3"/>
    <n v="231000"/>
    <n v="30999.999999999985"/>
    <n v="200000"/>
    <n v="0"/>
    <n v="30999.999999999985"/>
    <n v="200000"/>
    <n v="231000"/>
    <n v="0"/>
    <n v="0"/>
    <n v="0"/>
    <s v=""/>
    <n v="0"/>
    <n v="0"/>
    <s v="Cleared"/>
    <s v="Ok"/>
  </r>
  <r>
    <d v="2021-08-12T00:00:00"/>
    <x v="82"/>
    <n v="169"/>
    <n v="2"/>
    <s v="BIZ"/>
    <n v="300000"/>
    <n v="4"/>
    <n v="0.05"/>
    <s v="Monthly"/>
    <s v="Kana"/>
    <s v="FAIDA HARRIET"/>
    <n v="20000"/>
    <n v="5000"/>
    <n v="3000"/>
    <n v="30000"/>
    <n v="60000"/>
    <n v="4"/>
    <n v="360000"/>
    <n v="90000"/>
    <n v="90000"/>
    <n v="360000"/>
    <n v="75000"/>
    <n v="15000"/>
    <n v="60000"/>
    <d v="2021-09-12T00:00:00"/>
    <s v="Sun"/>
    <n v="31"/>
    <d v="2021-12-12T00:00:00"/>
    <n v="122"/>
    <s v="Expired"/>
    <n v="0"/>
    <n v="4"/>
    <n v="360000"/>
    <n v="60000"/>
    <n v="300000"/>
    <n v="0"/>
    <n v="60000"/>
    <n v="299000"/>
    <n v="359000"/>
    <n v="0"/>
    <n v="1000"/>
    <n v="1000"/>
    <n v="1000"/>
    <n v="1.1111111111111112E-2"/>
    <n v="1"/>
    <s v="1.(0-30) Days"/>
    <s v="Ok"/>
  </r>
  <r>
    <d v="2021-06-24T00:00:00"/>
    <x v="83"/>
    <n v="78"/>
    <n v="1"/>
    <s v="BIZ"/>
    <n v="700000"/>
    <n v="6"/>
    <n v="0.05"/>
    <s v="Monthly"/>
    <s v="Jerome"/>
    <s v="ANDA FLORENCE"/>
    <n v="10000"/>
    <n v="5000"/>
    <n v="0"/>
    <n v="70000"/>
    <n v="210000"/>
    <n v="6"/>
    <n v="910000"/>
    <n v="151666.66666666666"/>
    <n v="152000"/>
    <n v="912000"/>
    <n v="116666.66666666667"/>
    <n v="35333.333333333328"/>
    <n v="211999.99999999997"/>
    <d v="2021-07-24T00:00:00"/>
    <s v="Sat"/>
    <n v="30"/>
    <d v="2021-12-24T00:00:00"/>
    <n v="183"/>
    <s v="Expired"/>
    <n v="0"/>
    <n v="6"/>
    <n v="912000"/>
    <n v="211999.99999999997"/>
    <n v="700000"/>
    <n v="0"/>
    <n v="211999.99999999997"/>
    <n v="700000"/>
    <n v="912000"/>
    <n v="0"/>
    <n v="0"/>
    <n v="0"/>
    <s v=""/>
    <n v="0"/>
    <n v="0"/>
    <s v="Cleared"/>
    <s v="Ok"/>
  </r>
  <r>
    <d v="2021-06-24T00:00:00"/>
    <x v="84"/>
    <n v="77"/>
    <n v="1"/>
    <s v="BIZ"/>
    <n v="800000"/>
    <n v="6"/>
    <n v="0.05"/>
    <s v="Monthly"/>
    <s v="Aroma"/>
    <s v="ZABIBU RAJAB SAIDI"/>
    <n v="10000"/>
    <n v="5000"/>
    <n v="0"/>
    <n v="80000"/>
    <n v="240000"/>
    <n v="6"/>
    <n v="1040000"/>
    <n v="173333.33333333334"/>
    <n v="174000"/>
    <n v="1044000"/>
    <n v="133333.33333333334"/>
    <n v="40666.666666666657"/>
    <n v="243999.99999999994"/>
    <d v="2021-07-24T00:00:00"/>
    <s v="Sat"/>
    <n v="30"/>
    <d v="2021-12-24T00:00:00"/>
    <n v="183"/>
    <s v="Expired"/>
    <n v="0"/>
    <n v="6"/>
    <n v="1044000"/>
    <n v="243999.99999999994"/>
    <n v="800000"/>
    <n v="0"/>
    <n v="243999.99999999994"/>
    <n v="796000"/>
    <n v="1040000"/>
    <n v="0"/>
    <n v="4000"/>
    <n v="4000"/>
    <n v="4000"/>
    <n v="2.2988505747126436E-2"/>
    <n v="1"/>
    <s v="1.(0-30) Days"/>
    <s v="Ok"/>
  </r>
  <r>
    <d v="2021-06-24T00:00:00"/>
    <x v="85"/>
    <n v="75"/>
    <n v="1"/>
    <s v="BIZ"/>
    <n v="200000"/>
    <n v="4"/>
    <n v="0.05"/>
    <s v="Monthly"/>
    <s v="Jerome"/>
    <s v="CHANDIRU SALILA"/>
    <n v="10000"/>
    <n v="5000"/>
    <n v="0"/>
    <n v="20000"/>
    <n v="40000"/>
    <n v="4"/>
    <n v="240000"/>
    <n v="60000"/>
    <n v="60000"/>
    <n v="240000"/>
    <n v="50000"/>
    <n v="10000"/>
    <n v="40000"/>
    <d v="2021-07-24T00:00:00"/>
    <s v="Sat"/>
    <n v="30"/>
    <d v="2021-10-24T00:00:00"/>
    <n v="122"/>
    <s v="Expired"/>
    <n v="0"/>
    <n v="4"/>
    <n v="240000"/>
    <n v="40000"/>
    <n v="200000"/>
    <n v="0"/>
    <n v="40000"/>
    <n v="200000"/>
    <n v="240000"/>
    <n v="0"/>
    <n v="0"/>
    <n v="0"/>
    <s v=""/>
    <n v="0"/>
    <n v="0"/>
    <s v="Cleared"/>
    <s v="Ok"/>
  </r>
  <r>
    <d v="2021-06-24T00:00:00"/>
    <x v="86"/>
    <n v="74"/>
    <n v="1"/>
    <s v="BIZ"/>
    <n v="700000"/>
    <n v="5"/>
    <n v="0.05"/>
    <s v="Monthly"/>
    <s v="Aroma"/>
    <s v="FAIDA ZAKIYA"/>
    <n v="10000"/>
    <n v="5000"/>
    <n v="0"/>
    <n v="70000"/>
    <n v="175000"/>
    <n v="5"/>
    <n v="875000"/>
    <n v="175000"/>
    <n v="175000"/>
    <n v="875000"/>
    <n v="140000"/>
    <n v="35000"/>
    <n v="175000"/>
    <d v="2021-07-24T00:00:00"/>
    <s v="Sat"/>
    <n v="30"/>
    <d v="2021-11-24T00:00:00"/>
    <n v="153"/>
    <s v="Expired"/>
    <n v="0"/>
    <n v="5"/>
    <n v="875000"/>
    <n v="175000"/>
    <n v="700000"/>
    <n v="0"/>
    <n v="175000"/>
    <n v="700000"/>
    <n v="875000"/>
    <n v="0"/>
    <n v="0"/>
    <n v="0"/>
    <s v=""/>
    <n v="0"/>
    <n v="0"/>
    <s v="Cleared"/>
    <s v="Ok"/>
  </r>
  <r>
    <d v="2021-07-16T00:00:00"/>
    <x v="87"/>
    <n v="120"/>
    <n v="1"/>
    <s v="BIZ"/>
    <n v="700000"/>
    <n v="5"/>
    <n v="0.05"/>
    <s v="Monthly"/>
    <s v="Kana"/>
    <s v="SARIF SAIDI"/>
    <n v="10000"/>
    <n v="5000"/>
    <n v="7000"/>
    <n v="70000"/>
    <n v="175000"/>
    <n v="5"/>
    <n v="875000"/>
    <n v="175000"/>
    <n v="175000"/>
    <n v="875000"/>
    <n v="140000"/>
    <n v="35000"/>
    <n v="175000"/>
    <d v="2021-08-16T00:00:00"/>
    <s v="Mon"/>
    <n v="31"/>
    <d v="2021-12-16T00:00:00"/>
    <n v="153"/>
    <s v="Expired"/>
    <n v="0"/>
    <n v="5"/>
    <n v="875000"/>
    <n v="175000"/>
    <n v="700000"/>
    <n v="0"/>
    <n v="71333.333333333328"/>
    <n v="553666.66666666674"/>
    <n v="625000.00000000012"/>
    <n v="103666.66666666667"/>
    <n v="146333.33333333326"/>
    <n v="249999.99999999994"/>
    <n v="249999.99999999994"/>
    <n v="1.4285714285714282"/>
    <n v="43"/>
    <s v="2.(31-60) Days"/>
    <s v="Ok"/>
  </r>
  <r>
    <d v="2021-07-17T00:00:00"/>
    <x v="88"/>
    <n v="121"/>
    <n v="1"/>
    <s v="BIZ"/>
    <n v="500000"/>
    <n v="2"/>
    <n v="0.05"/>
    <s v="Monthly"/>
    <s v="Jerome"/>
    <s v="YAKANI CHARLES"/>
    <n v="10000"/>
    <n v="5000"/>
    <n v="5000"/>
    <n v="50000"/>
    <n v="50000"/>
    <n v="2"/>
    <n v="550000"/>
    <n v="275000"/>
    <n v="275000"/>
    <n v="550000"/>
    <n v="250000"/>
    <n v="25000"/>
    <n v="50000"/>
    <d v="2021-08-17T00:00:00"/>
    <s v="Tue"/>
    <n v="31"/>
    <d v="2021-09-17T00:00:00"/>
    <n v="62"/>
    <s v="Expired"/>
    <n v="0"/>
    <n v="2"/>
    <n v="550000"/>
    <n v="50000"/>
    <n v="500000"/>
    <n v="0"/>
    <n v="50000"/>
    <n v="500000"/>
    <n v="550000"/>
    <n v="0"/>
    <n v="0"/>
    <n v="0"/>
    <s v=""/>
    <n v="0"/>
    <n v="0"/>
    <s v="Cleared"/>
    <s v="Ok"/>
  </r>
  <r>
    <d v="2021-06-28T00:00:00"/>
    <x v="89"/>
    <n v="84"/>
    <n v="1"/>
    <s v="BIZ"/>
    <n v="400000"/>
    <n v="4"/>
    <n v="0.05"/>
    <s v="Monthly"/>
    <s v="Kana"/>
    <s v="NGINYA RICHARD"/>
    <n v="10000"/>
    <n v="5000"/>
    <n v="0"/>
    <n v="40000"/>
    <n v="80000"/>
    <n v="4"/>
    <n v="480000"/>
    <n v="120000"/>
    <n v="120000"/>
    <n v="480000"/>
    <n v="100000"/>
    <n v="20000"/>
    <n v="80000"/>
    <d v="2021-07-28T00:00:00"/>
    <s v="Wed"/>
    <n v="30"/>
    <d v="2021-10-28T00:00:00"/>
    <n v="122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7-22T00:00:00"/>
    <x v="90"/>
    <n v="126"/>
    <n v="1"/>
    <s v="BIZ"/>
    <n v="600000"/>
    <n v="3"/>
    <n v="0.05"/>
    <s v="Monthly"/>
    <s v="Kana"/>
    <s v="BEATRICE AMANDRU"/>
    <n v="10000"/>
    <n v="5000"/>
    <n v="6000"/>
    <n v="60000"/>
    <n v="90000"/>
    <n v="3"/>
    <n v="690000"/>
    <n v="230000"/>
    <n v="230000"/>
    <n v="690000"/>
    <n v="200000"/>
    <n v="30000"/>
    <n v="90000"/>
    <d v="2021-08-22T00:00:00"/>
    <s v="Sun"/>
    <n v="31"/>
    <d v="2021-10-22T00:00:00"/>
    <n v="92"/>
    <s v="Expired"/>
    <n v="0"/>
    <n v="3"/>
    <n v="690000"/>
    <n v="90000"/>
    <n v="600000"/>
    <n v="0"/>
    <n v="90000"/>
    <n v="600000"/>
    <n v="690000"/>
    <n v="0"/>
    <n v="0"/>
    <n v="0"/>
    <s v=""/>
    <n v="0"/>
    <n v="0"/>
    <s v="Cleared"/>
    <s v="Ok"/>
  </r>
  <r>
    <d v="2021-10-05T00:00:00"/>
    <x v="58"/>
    <n v="248"/>
    <n v="2"/>
    <s v="BIZ"/>
    <n v="700000"/>
    <n v="4"/>
    <n v="0.05"/>
    <s v="Monthly"/>
    <s v="Aroma"/>
    <s v="AKANDU NIGHT YONGORO"/>
    <n v="20000"/>
    <n v="5000"/>
    <n v="7000"/>
    <n v="70000"/>
    <n v="140000"/>
    <n v="4"/>
    <n v="840000"/>
    <n v="210000"/>
    <n v="210000"/>
    <n v="840000"/>
    <n v="175000"/>
    <n v="35000"/>
    <n v="140000"/>
    <d v="2021-11-05T00:00:00"/>
    <s v="Frid"/>
    <n v="31"/>
    <d v="2022-02-05T00:00:00"/>
    <n v="123"/>
    <s v="Expired"/>
    <n v="0"/>
    <n v="4"/>
    <n v="840000"/>
    <n v="140000"/>
    <n v="700000"/>
    <n v="0"/>
    <n v="140000"/>
    <n v="700000"/>
    <n v="840000"/>
    <n v="0"/>
    <n v="0"/>
    <n v="0"/>
    <s v=""/>
    <n v="0"/>
    <n v="0"/>
    <s v="Cleared"/>
    <s v="Ok"/>
  </r>
  <r>
    <d v="2021-09-03T00:00:00"/>
    <x v="56"/>
    <n v="202"/>
    <n v="3"/>
    <s v="BIZ"/>
    <n v="10000000"/>
    <n v="3"/>
    <n v="0.05"/>
    <s v="Monthly"/>
    <s v="Jerome"/>
    <s v="DRANDUA JOB CHRISPUS"/>
    <n v="15000"/>
    <n v="5000"/>
    <n v="100000"/>
    <n v="1000000"/>
    <n v="1500000"/>
    <n v="3"/>
    <n v="11500000"/>
    <n v="3833333.3333333335"/>
    <n v="3834000"/>
    <n v="11502000"/>
    <n v="3333333.3333333335"/>
    <n v="500666.66666666651"/>
    <n v="1501999.9999999995"/>
    <d v="2021-10-03T00:00:00"/>
    <s v="Sun"/>
    <n v="30"/>
    <d v="2021-12-03T00:00:00"/>
    <n v="91"/>
    <s v="Expired"/>
    <n v="0"/>
    <n v="3"/>
    <n v="11502000"/>
    <n v="1501999.9999999995"/>
    <n v="10000000"/>
    <n v="0"/>
    <n v="1501999.9999999995"/>
    <n v="10000000"/>
    <n v="11502000"/>
    <n v="0"/>
    <n v="0"/>
    <n v="0"/>
    <s v=""/>
    <n v="0"/>
    <n v="0"/>
    <s v="Cleared"/>
    <s v="Ok"/>
  </r>
  <r>
    <d v="2021-08-22T00:00:00"/>
    <x v="59"/>
    <n v="232"/>
    <n v="2"/>
    <s v="BIZ"/>
    <n v="700000"/>
    <n v="5"/>
    <n v="0.05"/>
    <s v="Monthly"/>
    <s v="Kana"/>
    <s v="AMANIYO CLARA"/>
    <n v="15000"/>
    <n v="5000"/>
    <n v="7000"/>
    <n v="70000"/>
    <n v="175000"/>
    <n v="5"/>
    <n v="875000"/>
    <n v="175000"/>
    <n v="175000"/>
    <n v="875000"/>
    <n v="140000"/>
    <n v="35000"/>
    <n v="175000"/>
    <d v="2021-09-22T00:00:00"/>
    <s v="Wed"/>
    <n v="31"/>
    <d v="2022-01-22T00:00:00"/>
    <n v="153"/>
    <s v="Expired"/>
    <n v="0"/>
    <n v="5"/>
    <n v="875000"/>
    <n v="175000"/>
    <n v="700000"/>
    <n v="0"/>
    <n v="175000"/>
    <n v="310000"/>
    <n v="485000"/>
    <n v="0"/>
    <n v="390000"/>
    <n v="390000"/>
    <n v="390000"/>
    <n v="2.2285714285714286"/>
    <n v="67"/>
    <s v="3.(61-90) Days"/>
    <s v="Ok"/>
  </r>
  <r>
    <d v="2021-07-23T00:00:00"/>
    <x v="91"/>
    <n v="128"/>
    <n v="1"/>
    <s v="BIZ"/>
    <n v="1000000"/>
    <n v="6"/>
    <n v="0.05"/>
    <s v="Monthly"/>
    <s v="Kana"/>
    <s v="TABU MARY"/>
    <n v="10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1-08-23T00:00:00"/>
    <s v="Mon"/>
    <n v="31"/>
    <d v="2022-01-23T00:00:00"/>
    <n v="184"/>
    <s v="Expired"/>
    <n v="0"/>
    <n v="6"/>
    <n v="1302000"/>
    <n v="302000.00000000006"/>
    <n v="1000000"/>
    <n v="0"/>
    <n v="302000.00000000006"/>
    <n v="998000"/>
    <n v="1300000"/>
    <n v="0"/>
    <n v="2000"/>
    <n v="2000"/>
    <n v="2000"/>
    <n v="9.2165898617511521E-3"/>
    <n v="1"/>
    <s v="1.(0-30) Days"/>
    <s v="Ok"/>
  </r>
  <r>
    <d v="2021-08-24T00:00:00"/>
    <x v="61"/>
    <n v="184"/>
    <n v="2"/>
    <s v="BIZ"/>
    <n v="500000"/>
    <n v="4"/>
    <n v="0.05"/>
    <s v="Monthly"/>
    <s v="Kana"/>
    <s v="LETAYO DORCUS"/>
    <n v="15000"/>
    <n v="5000"/>
    <n v="5000"/>
    <n v="50000"/>
    <n v="100000"/>
    <n v="4"/>
    <n v="600000"/>
    <n v="150000"/>
    <n v="150000"/>
    <n v="600000"/>
    <n v="125000"/>
    <n v="25000"/>
    <n v="100000"/>
    <d v="2021-09-24T00:00:00"/>
    <s v="Frid"/>
    <n v="31"/>
    <d v="2021-12-24T00:00:00"/>
    <n v="122"/>
    <s v="Expired"/>
    <n v="0"/>
    <n v="4"/>
    <n v="600000"/>
    <n v="100000"/>
    <n v="500000"/>
    <n v="0"/>
    <n v="100000"/>
    <n v="210000"/>
    <n v="310000"/>
    <n v="0"/>
    <n v="290000"/>
    <n v="290000"/>
    <n v="290000"/>
    <n v="1.9333333333333333"/>
    <n v="58"/>
    <s v="2.(31-60) Days"/>
    <s v="Ok"/>
  </r>
  <r>
    <d v="2021-06-26T00:00:00"/>
    <x v="92"/>
    <n v="80"/>
    <n v="1"/>
    <s v="QUICK"/>
    <n v="2000000"/>
    <n v="1"/>
    <n v="7.4999999999999997E-2"/>
    <s v="Monthly"/>
    <s v="Kana"/>
    <s v="AYIKO STEPHEN"/>
    <n v="10000"/>
    <n v="5000"/>
    <n v="0"/>
    <n v="200000"/>
    <n v="150000"/>
    <n v="1"/>
    <n v="2150000"/>
    <n v="2150000"/>
    <n v="2150000"/>
    <n v="2150000"/>
    <n v="2000000"/>
    <n v="150000"/>
    <n v="150000"/>
    <d v="2021-07-26T00:00:00"/>
    <s v="Mon"/>
    <n v="30"/>
    <d v="2021-07-26T00:00:00"/>
    <n v="30"/>
    <s v="Expired"/>
    <n v="0"/>
    <n v="1"/>
    <n v="2150000"/>
    <n v="150000"/>
    <n v="2000000"/>
    <n v="0"/>
    <n v="150000"/>
    <n v="2000000"/>
    <n v="2150000"/>
    <n v="0"/>
    <n v="0"/>
    <n v="0"/>
    <s v=""/>
    <n v="0"/>
    <n v="0"/>
    <s v="Cleared"/>
    <s v="Ok"/>
  </r>
  <r>
    <d v="2021-07-06T00:00:00"/>
    <x v="93"/>
    <n v="102"/>
    <n v="1"/>
    <s v="BIZ"/>
    <n v="200000"/>
    <n v="3"/>
    <n v="0.05"/>
    <s v="Monthly"/>
    <s v="Kana"/>
    <s v="BATALI GODFREY JOHN"/>
    <n v="10000"/>
    <n v="5000"/>
    <n v="2000"/>
    <n v="20000"/>
    <n v="30000"/>
    <n v="3"/>
    <n v="230000"/>
    <n v="76666.666666666672"/>
    <n v="77000"/>
    <n v="231000"/>
    <n v="66666.666666666672"/>
    <n v="10333.333333333328"/>
    <n v="30999.999999999985"/>
    <d v="2021-08-06T00:00:00"/>
    <s v="Frid"/>
    <n v="31"/>
    <d v="2021-10-06T00:00:00"/>
    <n v="92"/>
    <s v="Expired"/>
    <n v="0"/>
    <n v="3"/>
    <n v="231000"/>
    <n v="30999.999999999985"/>
    <n v="200000"/>
    <n v="0"/>
    <n v="30999.999999999985"/>
    <n v="199000"/>
    <n v="230000"/>
    <n v="0"/>
    <n v="1000"/>
    <n v="1000"/>
    <n v="1000"/>
    <n v="1.2987012987012988E-2"/>
    <n v="1"/>
    <s v="1.(0-30) Days"/>
    <s v="Ok"/>
  </r>
  <r>
    <d v="2021-12-15T00:00:00"/>
    <x v="93"/>
    <n v="382"/>
    <n v="2"/>
    <s v="BIZ"/>
    <n v="150000"/>
    <n v="2"/>
    <n v="0.05"/>
    <s v="Monthly"/>
    <s v="Kana"/>
    <s v="BATALI GODFREY JOHN"/>
    <n v="15000"/>
    <n v="5000"/>
    <n v="5000"/>
    <n v="15000"/>
    <n v="15000"/>
    <n v="2"/>
    <n v="165000"/>
    <n v="82500"/>
    <n v="83000"/>
    <n v="166000"/>
    <n v="75000"/>
    <n v="8000"/>
    <n v="16000"/>
    <d v="2022-01-15T00:00:00"/>
    <s v="Sat"/>
    <n v="31"/>
    <d v="2022-02-15T00:00:00"/>
    <n v="62"/>
    <s v="Expired"/>
    <n v="0"/>
    <n v="2"/>
    <n v="166000"/>
    <n v="16000"/>
    <n v="150000"/>
    <n v="0"/>
    <n v="16000"/>
    <n v="149000"/>
    <n v="165000"/>
    <n v="0"/>
    <n v="1000"/>
    <n v="1000"/>
    <n v="1000"/>
    <n v="1.2048192771084338E-2"/>
    <n v="1"/>
    <s v="1.(0-30) Days"/>
    <s v="Ok"/>
  </r>
  <r>
    <d v="2021-06-28T00:00:00"/>
    <x v="94"/>
    <n v="88"/>
    <n v="1"/>
    <s v="BIZ"/>
    <n v="400000"/>
    <n v="4"/>
    <n v="0.05"/>
    <s v="Monthly"/>
    <s v="Aroma"/>
    <s v="CHANDIRU ZABIB"/>
    <n v="10000"/>
    <n v="5000"/>
    <n v="0"/>
    <n v="40000"/>
    <n v="80000"/>
    <n v="4"/>
    <n v="480000"/>
    <n v="120000"/>
    <n v="120000"/>
    <n v="480000"/>
    <n v="100000"/>
    <n v="20000"/>
    <n v="80000"/>
    <d v="2021-07-28T00:00:00"/>
    <s v="Wed"/>
    <n v="30"/>
    <d v="2021-10-28T00:00:00"/>
    <n v="122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10-12T00:00:00"/>
    <x v="94"/>
    <n v="266"/>
    <n v="2"/>
    <s v="BIZ"/>
    <n v="500000"/>
    <n v="4"/>
    <n v="0.05"/>
    <s v="Monthly"/>
    <s v="Aroma"/>
    <s v="CHANDIRU ZABIB"/>
    <n v="15000"/>
    <n v="5000"/>
    <n v="5000"/>
    <n v="50000"/>
    <n v="100000"/>
    <n v="4"/>
    <n v="600000"/>
    <n v="150000"/>
    <n v="150000"/>
    <n v="600000"/>
    <n v="125000"/>
    <n v="25000"/>
    <n v="100000"/>
    <d v="2021-11-12T00:00:00"/>
    <s v="Frid"/>
    <n v="31"/>
    <d v="2022-02-12T00:00:00"/>
    <n v="123"/>
    <s v="Expired"/>
    <n v="0"/>
    <n v="4"/>
    <n v="600000"/>
    <n v="100000"/>
    <n v="500000"/>
    <n v="0"/>
    <n v="100000"/>
    <n v="350000"/>
    <n v="450000"/>
    <n v="0"/>
    <n v="150000"/>
    <n v="150000"/>
    <n v="150000"/>
    <n v="1"/>
    <n v="30"/>
    <s v="1.(0-30) Days"/>
    <s v="Ok"/>
  </r>
  <r>
    <d v="2021-07-25T00:00:00"/>
    <x v="95"/>
    <n v="109"/>
    <n v="1"/>
    <s v="BIZ"/>
    <n v="1000000"/>
    <n v="6"/>
    <n v="0.05"/>
    <s v="Monthly"/>
    <s v="Aroma"/>
    <s v="ONYANGO CHARLES JOGOO"/>
    <n v="10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1-08-25T00:00:00"/>
    <s v="Wed"/>
    <n v="31"/>
    <d v="2022-01-25T00:00:00"/>
    <n v="184"/>
    <s v="Expired"/>
    <n v="0"/>
    <n v="6"/>
    <n v="1302000"/>
    <n v="302000.00000000006"/>
    <n v="1000000"/>
    <n v="0"/>
    <n v="302000.00000000006"/>
    <n v="998000"/>
    <n v="1300000"/>
    <n v="0"/>
    <n v="2000"/>
    <n v="2000"/>
    <n v="2000"/>
    <n v="9.2165898617511521E-3"/>
    <n v="1"/>
    <s v="1.(0-30) Days"/>
    <s v="Ok"/>
  </r>
  <r>
    <d v="2021-06-30T00:00:00"/>
    <x v="96"/>
    <n v="86"/>
    <n v="1"/>
    <s v="BIZ"/>
    <n v="500000"/>
    <n v="4"/>
    <n v="0.05"/>
    <s v="Monthly"/>
    <s v="Jerome"/>
    <s v="IDIRA ALIMA"/>
    <n v="10000"/>
    <n v="5000"/>
    <n v="0"/>
    <n v="50000"/>
    <n v="100000"/>
    <n v="4"/>
    <n v="600000"/>
    <n v="150000"/>
    <n v="150000"/>
    <n v="600000"/>
    <n v="125000"/>
    <n v="25000"/>
    <n v="100000"/>
    <d v="2021-07-30T00:00:00"/>
    <s v="Frid"/>
    <n v="30"/>
    <d v="2021-10-30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6-30T00:00:00"/>
    <x v="97"/>
    <n v="85"/>
    <n v="1"/>
    <s v="BIZ"/>
    <n v="300000"/>
    <n v="4"/>
    <n v="0.05"/>
    <s v="Monthly"/>
    <s v="Jerome"/>
    <s v="NUKA ROSE"/>
    <n v="10000"/>
    <n v="5000"/>
    <n v="0"/>
    <n v="30000"/>
    <n v="60000"/>
    <n v="4"/>
    <n v="360000"/>
    <n v="90000"/>
    <n v="90000"/>
    <n v="360000"/>
    <n v="75000"/>
    <n v="15000"/>
    <n v="60000"/>
    <d v="2021-07-30T00:00:00"/>
    <s v="Frid"/>
    <n v="30"/>
    <d v="2021-10-30T00:00:00"/>
    <n v="122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7-28T00:00:00"/>
    <x v="76"/>
    <n v="137"/>
    <n v="2"/>
    <s v="SLA"/>
    <n v="1500000"/>
    <n v="3"/>
    <n v="7.4999999999999997E-2"/>
    <s v="Monthly"/>
    <s v="Jerome"/>
    <s v="OGWAL STEPHEN GERALD"/>
    <n v="10000"/>
    <n v="5000"/>
    <n v="15000"/>
    <n v="150000"/>
    <n v="337500"/>
    <n v="3"/>
    <n v="1837500"/>
    <n v="612500"/>
    <n v="613000"/>
    <n v="1839000"/>
    <n v="500000"/>
    <n v="113000"/>
    <n v="339000"/>
    <d v="2021-08-28T00:00:00"/>
    <s v="Sat"/>
    <n v="31"/>
    <d v="2021-10-28T00:00:00"/>
    <n v="92"/>
    <s v="Expired"/>
    <n v="0"/>
    <n v="3"/>
    <n v="1839000"/>
    <n v="339000"/>
    <n v="1500000"/>
    <n v="0"/>
    <n v="339000"/>
    <n v="1500000"/>
    <n v="1839000"/>
    <n v="0"/>
    <n v="0"/>
    <n v="0"/>
    <s v=""/>
    <n v="0"/>
    <n v="0"/>
    <s v="Cleared"/>
    <s v="Ok"/>
  </r>
  <r>
    <d v="2021-07-28T00:00:00"/>
    <x v="98"/>
    <n v="138"/>
    <n v="1"/>
    <s v="BIZ"/>
    <n v="1000000"/>
    <n v="1"/>
    <n v="0.05"/>
    <s v="Monthly"/>
    <s v="Jerome"/>
    <s v="MORRO HASSAN"/>
    <n v="10000"/>
    <n v="5000"/>
    <n v="10000"/>
    <n v="100000"/>
    <n v="50000"/>
    <n v="1"/>
    <n v="1050000"/>
    <n v="1050000"/>
    <n v="1050000"/>
    <n v="1050000"/>
    <n v="1000000"/>
    <n v="50000"/>
    <n v="50000"/>
    <d v="2021-08-28T00:00:00"/>
    <s v="Sat"/>
    <n v="31"/>
    <d v="2021-08-28T00:00:00"/>
    <n v="31"/>
    <s v="Expired"/>
    <n v="0"/>
    <n v="1"/>
    <n v="1050000"/>
    <n v="50000"/>
    <n v="1000000"/>
    <n v="0"/>
    <n v="50000"/>
    <n v="1000000"/>
    <n v="1050000"/>
    <n v="0"/>
    <n v="0"/>
    <n v="0"/>
    <s v=""/>
    <n v="0"/>
    <n v="0"/>
    <s v="Cleared"/>
    <s v="Ok"/>
  </r>
  <r>
    <d v="2021-06-30T00:00:00"/>
    <x v="99"/>
    <n v="89"/>
    <n v="1"/>
    <s v="BIZ"/>
    <n v="200000"/>
    <n v="3"/>
    <n v="0.05"/>
    <s v="Weekly"/>
    <s v="Kana"/>
    <s v="ORODRIYO  NUSURA"/>
    <n v="10000"/>
    <n v="5000"/>
    <n v="0"/>
    <n v="20000"/>
    <n v="30000"/>
    <n v="12"/>
    <n v="230000"/>
    <n v="19166.666666666668"/>
    <n v="20000"/>
    <n v="240000"/>
    <n v="16666.666666666668"/>
    <n v="3333.3333333333321"/>
    <n v="39999.999999999985"/>
    <d v="2021-07-07T00:00:00"/>
    <s v="Wed"/>
    <n v="7"/>
    <d v="2021-09-30T00:00:00"/>
    <n v="92"/>
    <s v="Expired"/>
    <n v="0"/>
    <n v="12"/>
    <n v="240000"/>
    <n v="39999.999999999985"/>
    <n v="200000"/>
    <n v="0"/>
    <n v="40000"/>
    <n v="200000"/>
    <n v="240000"/>
    <n v="-1.4551915228366852E-11"/>
    <n v="0"/>
    <n v="-1.4551915228366852E-11"/>
    <s v=""/>
    <n v="0"/>
    <n v="0"/>
    <s v="Cleared"/>
    <s v="Error on Entry"/>
  </r>
  <r>
    <d v="2021-07-03T00:00:00"/>
    <x v="100"/>
    <n v="96"/>
    <n v="1"/>
    <s v="BIZ"/>
    <n v="200000"/>
    <n v="3"/>
    <n v="7.4999999999999997E-2"/>
    <s v="Monthly"/>
    <s v="Kana"/>
    <s v="LAKONY PETER"/>
    <n v="10000"/>
    <n v="5000"/>
    <n v="0"/>
    <n v="20000"/>
    <n v="45000"/>
    <n v="3"/>
    <n v="245000"/>
    <n v="81666.666666666672"/>
    <n v="82000"/>
    <n v="246000"/>
    <n v="66666.666666666672"/>
    <n v="15333.333333333328"/>
    <n v="45999.999999999985"/>
    <d v="2021-08-03T00:00:00"/>
    <s v="Tue"/>
    <n v="31"/>
    <d v="2021-10-03T00:00:00"/>
    <n v="92"/>
    <s v="Expired"/>
    <n v="0"/>
    <n v="3"/>
    <n v="246000"/>
    <n v="45999.999999999985"/>
    <n v="200000"/>
    <n v="0"/>
    <n v="24000"/>
    <n v="189000"/>
    <n v="213000"/>
    <n v="21999.999999999985"/>
    <n v="11000"/>
    <n v="32999.999999999985"/>
    <n v="32999.999999999985"/>
    <n v="0.4024390243902437"/>
    <n v="13"/>
    <s v="1.(0-30) Days"/>
    <s v="Ok"/>
  </r>
  <r>
    <d v="2021-07-01T00:00:00"/>
    <x v="101"/>
    <n v="91"/>
    <n v="1"/>
    <s v="BIZ"/>
    <n v="600000"/>
    <n v="4"/>
    <n v="0.05"/>
    <s v="Monthly"/>
    <s v="Jerome"/>
    <s v="DUDU JOICE"/>
    <n v="10000"/>
    <n v="5000"/>
    <n v="0"/>
    <n v="60000"/>
    <n v="120000"/>
    <n v="4"/>
    <n v="720000"/>
    <n v="180000"/>
    <n v="180000"/>
    <n v="720000"/>
    <n v="150000"/>
    <n v="30000"/>
    <n v="120000"/>
    <d v="2021-08-01T00:00:00"/>
    <s v="Sun"/>
    <n v="31"/>
    <d v="2021-11-01T00:00:00"/>
    <n v="123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7-30T00:00:00"/>
    <x v="56"/>
    <n v="142"/>
    <n v="2"/>
    <s v="BIZ"/>
    <n v="2000000"/>
    <n v="1"/>
    <n v="0.05"/>
    <s v="Monthly"/>
    <s v="Jerome"/>
    <s v="DRANDUA JOB CHRISPUS"/>
    <n v="10000"/>
    <n v="5000"/>
    <n v="20000"/>
    <n v="200000"/>
    <n v="100000"/>
    <n v="1"/>
    <n v="2100000"/>
    <n v="2100000"/>
    <n v="2100000"/>
    <n v="2100000"/>
    <n v="2000000"/>
    <n v="100000"/>
    <n v="100000"/>
    <d v="2021-08-30T00:00:00"/>
    <s v="Mon"/>
    <n v="31"/>
    <d v="2021-08-30T00:00:00"/>
    <n v="31"/>
    <s v="Expired"/>
    <n v="0"/>
    <n v="1"/>
    <n v="2100000"/>
    <n v="100000"/>
    <n v="2000000"/>
    <n v="0"/>
    <n v="100000"/>
    <n v="2000000"/>
    <n v="2100000"/>
    <n v="0"/>
    <n v="0"/>
    <n v="0"/>
    <s v=""/>
    <n v="0"/>
    <n v="0"/>
    <s v="Cleared"/>
    <s v="Ok"/>
  </r>
  <r>
    <d v="2021-07-30T00:00:00"/>
    <x v="102"/>
    <n v="145"/>
    <n v="1"/>
    <s v="BIZ"/>
    <n v="1400000"/>
    <n v="6"/>
    <n v="0.05"/>
    <s v="Monthly"/>
    <s v="Jerome"/>
    <s v="ALOKE KENNEDY"/>
    <n v="10000"/>
    <n v="5000"/>
    <n v="14000"/>
    <n v="140000"/>
    <n v="420000"/>
    <n v="6"/>
    <n v="1820000"/>
    <n v="303333.33333333331"/>
    <n v="304000"/>
    <n v="1824000"/>
    <n v="233333.33333333334"/>
    <n v="70666.666666666657"/>
    <n v="423999.99999999994"/>
    <d v="2021-08-30T00:00:00"/>
    <s v="Mon"/>
    <n v="31"/>
    <d v="2022-01-30T00:00:00"/>
    <n v="184"/>
    <s v="Expired"/>
    <n v="0"/>
    <n v="6"/>
    <n v="1824000"/>
    <n v="423999.99999999994"/>
    <n v="1400000"/>
    <n v="0"/>
    <n v="150000"/>
    <n v="150000"/>
    <n v="300000"/>
    <n v="273999.99999999994"/>
    <n v="1250000"/>
    <n v="1524000"/>
    <n v="1524000"/>
    <n v="5.0131578947368425"/>
    <n v="151"/>
    <s v="4.(91-365) Days"/>
    <s v="Ok"/>
  </r>
  <r>
    <d v="2021-07-30T00:00:00"/>
    <x v="103"/>
    <n v="140"/>
    <n v="1"/>
    <s v="BIZ"/>
    <n v="1800000"/>
    <n v="6"/>
    <n v="0.05"/>
    <s v="Monthly"/>
    <s v="Aroma"/>
    <s v="ERIMU SAMSON"/>
    <n v="10000"/>
    <n v="5000"/>
    <n v="18000"/>
    <n v="180000"/>
    <n v="540000"/>
    <n v="6"/>
    <n v="2340000"/>
    <n v="390000"/>
    <n v="390000"/>
    <n v="2340000"/>
    <n v="300000"/>
    <n v="90000"/>
    <n v="540000"/>
    <d v="2021-08-30T00:00:00"/>
    <s v="Mon"/>
    <n v="31"/>
    <d v="2022-01-30T00:00:00"/>
    <n v="184"/>
    <s v="Expired"/>
    <n v="0"/>
    <n v="6"/>
    <n v="2340000"/>
    <n v="540000"/>
    <n v="1800000"/>
    <n v="0"/>
    <n v="305333.33333333331"/>
    <n v="824666.66666666674"/>
    <n v="1130000"/>
    <n v="234666.66666666669"/>
    <n v="975333.33333333326"/>
    <n v="1210000"/>
    <n v="1210000"/>
    <n v="3.1025641025641026"/>
    <n v="94"/>
    <s v="4.(91-365) Days"/>
    <s v="Ok"/>
  </r>
  <r>
    <d v="2021-09-29T00:00:00"/>
    <x v="68"/>
    <n v="237"/>
    <n v="2"/>
    <s v="BIZ"/>
    <n v="500000"/>
    <n v="2"/>
    <n v="0.05"/>
    <s v="Monthly"/>
    <s v="Kana"/>
    <s v="TABU KISA"/>
    <n v="15000"/>
    <n v="5000"/>
    <n v="4000"/>
    <n v="50000"/>
    <n v="50000"/>
    <n v="2"/>
    <n v="550000"/>
    <n v="275000"/>
    <n v="275000"/>
    <n v="550000"/>
    <n v="250000"/>
    <n v="25000"/>
    <n v="50000"/>
    <d v="2021-10-29T00:00:00"/>
    <s v="Frid"/>
    <n v="30"/>
    <d v="2021-11-29T00:00:00"/>
    <n v="61"/>
    <s v="Expired"/>
    <n v="0"/>
    <n v="2"/>
    <n v="550000"/>
    <n v="50000"/>
    <n v="500000"/>
    <n v="0"/>
    <n v="50000"/>
    <n v="490100"/>
    <n v="540100"/>
    <n v="0"/>
    <n v="9900"/>
    <n v="9900"/>
    <n v="9900"/>
    <n v="3.5999999999999997E-2"/>
    <n v="2"/>
    <s v="1.(0-30) Days"/>
    <s v="Ok"/>
  </r>
  <r>
    <d v="2021-07-30T00:00:00"/>
    <x v="104"/>
    <n v="144"/>
    <n v="1"/>
    <s v="BIZ"/>
    <n v="400000"/>
    <n v="2"/>
    <n v="0.05"/>
    <s v="Monthly"/>
    <s v="Aroma"/>
    <s v="METALORO STEPHEN"/>
    <n v="10000"/>
    <n v="5000"/>
    <n v="4000"/>
    <n v="40000"/>
    <n v="40000"/>
    <n v="2"/>
    <n v="440000"/>
    <n v="220000"/>
    <n v="220000"/>
    <n v="440000"/>
    <n v="200000"/>
    <n v="20000"/>
    <n v="40000"/>
    <d v="2021-08-30T00:00:00"/>
    <s v="Mon"/>
    <n v="31"/>
    <d v="2021-09-30T00:00:00"/>
    <n v="62"/>
    <s v="Expired"/>
    <n v="0"/>
    <n v="2"/>
    <n v="440000"/>
    <n v="40000"/>
    <n v="400000"/>
    <n v="0"/>
    <n v="40000"/>
    <n v="400000"/>
    <n v="440000"/>
    <n v="0"/>
    <n v="0"/>
    <n v="0"/>
    <s v=""/>
    <n v="0"/>
    <n v="0"/>
    <s v="Cleared"/>
    <s v="Ok"/>
  </r>
  <r>
    <d v="2021-08-02T00:00:00"/>
    <x v="33"/>
    <n v="147"/>
    <n v="3"/>
    <s v="SLA"/>
    <n v="1000000"/>
    <n v="1"/>
    <n v="7.4999999999999997E-2"/>
    <s v="Monthly"/>
    <s v="Aroma"/>
    <s v="ANGUYO RONALD"/>
    <n v="20000"/>
    <n v="5000"/>
    <n v="10000"/>
    <n v="100000"/>
    <n v="75000"/>
    <n v="1"/>
    <n v="1075000"/>
    <n v="1075000"/>
    <n v="1075000"/>
    <n v="1075000"/>
    <n v="1000000"/>
    <n v="75000"/>
    <n v="75000"/>
    <d v="2021-09-02T00:00:00"/>
    <s v="Thu"/>
    <n v="31"/>
    <d v="2021-09-02T00:00:00"/>
    <n v="31"/>
    <s v="Expired"/>
    <n v="0"/>
    <n v="1"/>
    <n v="1075000"/>
    <n v="75000"/>
    <n v="1000000"/>
    <n v="0"/>
    <n v="75000"/>
    <n v="1000000"/>
    <n v="1075000"/>
    <n v="0"/>
    <n v="0"/>
    <n v="0"/>
    <s v=""/>
    <n v="0"/>
    <n v="0"/>
    <s v="Cleared"/>
    <s v="Ok"/>
  </r>
  <r>
    <d v="2021-07-02T00:00:00"/>
    <x v="105"/>
    <n v="94"/>
    <n v="1"/>
    <s v="SLA"/>
    <n v="400000"/>
    <n v="3"/>
    <n v="7.4999999999999997E-2"/>
    <s v="Monthly"/>
    <s v="Kana"/>
    <s v="ANDAKU CHARLES JULIAN"/>
    <n v="10000"/>
    <n v="5000"/>
    <n v="0"/>
    <n v="40000"/>
    <n v="90000"/>
    <n v="3"/>
    <n v="490000"/>
    <n v="163333.33333333334"/>
    <n v="164000"/>
    <n v="492000"/>
    <n v="133333.33333333334"/>
    <n v="30666.666666666657"/>
    <n v="91999.999999999971"/>
    <d v="2021-08-02T00:00:00"/>
    <s v="Mon"/>
    <n v="31"/>
    <d v="2021-10-02T00:00:00"/>
    <n v="92"/>
    <s v="Expired"/>
    <n v="0"/>
    <n v="3"/>
    <n v="492000"/>
    <n v="91999.999999999971"/>
    <n v="400000"/>
    <n v="0"/>
    <n v="91999.999999999971"/>
    <n v="398000"/>
    <n v="490000"/>
    <n v="0"/>
    <n v="2000"/>
    <n v="2000"/>
    <n v="2000"/>
    <n v="1.2195121951219513E-2"/>
    <n v="1"/>
    <s v="1.(0-30) Days"/>
    <s v="Ok"/>
  </r>
  <r>
    <d v="2021-08-02T00:00:00"/>
    <x v="106"/>
    <n v="146"/>
    <n v="1"/>
    <s v="QUICK"/>
    <n v="5000000"/>
    <n v="1"/>
    <n v="7.4999999999999997E-2"/>
    <s v="Monthly"/>
    <s v="Kana"/>
    <s v="OKUYO BERNARD"/>
    <n v="30000"/>
    <n v="5000"/>
    <n v="50000"/>
    <n v="500000"/>
    <n v="375000"/>
    <n v="1"/>
    <n v="5375000"/>
    <n v="5375000"/>
    <n v="5375000"/>
    <n v="5375000"/>
    <n v="5000000"/>
    <n v="375000"/>
    <n v="375000"/>
    <d v="2021-09-02T00:00:00"/>
    <s v="Thu"/>
    <n v="31"/>
    <d v="2021-09-02T00:00:00"/>
    <n v="31"/>
    <s v="Expired"/>
    <n v="0"/>
    <n v="1"/>
    <n v="5375000"/>
    <n v="375000"/>
    <n v="5000000"/>
    <n v="0"/>
    <n v="375000"/>
    <n v="5000000"/>
    <n v="5375000"/>
    <n v="0"/>
    <n v="0"/>
    <n v="0"/>
    <s v=""/>
    <n v="0"/>
    <n v="0"/>
    <s v="Cleared"/>
    <s v="Ok"/>
  </r>
  <r>
    <d v="2021-09-29T00:00:00"/>
    <x v="105"/>
    <n v="236"/>
    <n v="2"/>
    <s v="SLA"/>
    <n v="800000"/>
    <n v="3"/>
    <n v="7.4999999999999997E-2"/>
    <s v="Monthly"/>
    <s v="Kana"/>
    <s v="ANDAKU CHARLES JULIAN"/>
    <n v="15000"/>
    <n v="5000"/>
    <n v="4000"/>
    <n v="80000"/>
    <n v="180000"/>
    <n v="3"/>
    <n v="980000"/>
    <n v="326666.66666666669"/>
    <n v="327000"/>
    <n v="981000"/>
    <n v="266666.66666666669"/>
    <n v="60333.333333333314"/>
    <n v="180999.99999999994"/>
    <d v="2021-10-29T00:00:00"/>
    <s v="Frid"/>
    <n v="30"/>
    <d v="2021-12-29T00:00:00"/>
    <n v="91"/>
    <s v="Expired"/>
    <n v="0"/>
    <n v="3"/>
    <n v="981000"/>
    <n v="180999.99999999994"/>
    <n v="800000"/>
    <n v="0"/>
    <n v="180999.99999999994"/>
    <n v="799000"/>
    <n v="980000"/>
    <n v="0"/>
    <n v="1000"/>
    <n v="1000"/>
    <n v="1000"/>
    <n v="3.0581039755351682E-3"/>
    <n v="1"/>
    <s v="1.(0-30) Days"/>
    <s v="Ok"/>
  </r>
  <r>
    <d v="2021-07-06T00:00:00"/>
    <x v="107"/>
    <n v="101"/>
    <n v="1"/>
    <s v="BIZ"/>
    <n v="500000"/>
    <n v="4"/>
    <n v="0.05"/>
    <s v="Monthly"/>
    <s v="Jerome"/>
    <s v="NURA JOYCE"/>
    <n v="10000"/>
    <n v="5000"/>
    <n v="5000"/>
    <n v="50000"/>
    <n v="100000"/>
    <n v="4"/>
    <n v="600000"/>
    <n v="150000"/>
    <n v="150000"/>
    <n v="600000"/>
    <n v="125000"/>
    <n v="25000"/>
    <n v="100000"/>
    <d v="2021-08-06T00:00:00"/>
    <s v="Frid"/>
    <n v="31"/>
    <d v="2021-11-06T00:00:00"/>
    <n v="123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8-03T00:00:00"/>
    <x v="108"/>
    <n v="151"/>
    <n v="1"/>
    <s v="BIZ"/>
    <n v="300000"/>
    <n v="3"/>
    <n v="0.05"/>
    <s v="Monthly"/>
    <s v="Aroma"/>
    <s v="CHANDI ZANABU"/>
    <n v="15000"/>
    <n v="5000"/>
    <n v="3000"/>
    <n v="30000"/>
    <n v="45000"/>
    <n v="3"/>
    <n v="345000"/>
    <n v="115000"/>
    <n v="115000"/>
    <n v="345000"/>
    <n v="100000"/>
    <n v="15000"/>
    <n v="45000"/>
    <d v="2021-09-03T00:00:00"/>
    <s v="Frid"/>
    <n v="31"/>
    <d v="2021-11-03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07-01T00:00:00"/>
    <x v="109"/>
    <n v="92"/>
    <n v="1"/>
    <s v="BIZ"/>
    <n v="500000"/>
    <n v="4"/>
    <n v="0.05"/>
    <s v="Monthly"/>
    <s v="Aroma"/>
    <s v="ATIKU AMULE ISAAC"/>
    <n v="10000"/>
    <n v="5000"/>
    <n v="0"/>
    <n v="50000"/>
    <n v="100000"/>
    <n v="4"/>
    <n v="600000"/>
    <n v="150000"/>
    <n v="150000"/>
    <n v="600000"/>
    <n v="125000"/>
    <n v="25000"/>
    <n v="100000"/>
    <d v="2021-08-01T00:00:00"/>
    <s v="Sun"/>
    <n v="31"/>
    <d v="2021-11-01T00:00:00"/>
    <n v="123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8-04T00:00:00"/>
    <x v="110"/>
    <n v="153"/>
    <n v="1"/>
    <s v="BIZ"/>
    <n v="200000"/>
    <n v="3"/>
    <n v="0.05"/>
    <s v="Monthly"/>
    <s v="Kana"/>
    <s v="INJIKURU ROSE"/>
    <n v="15000"/>
    <n v="5000"/>
    <n v="2000"/>
    <n v="20000"/>
    <n v="30000"/>
    <n v="3"/>
    <n v="230000"/>
    <n v="76666.666666666672"/>
    <n v="77000"/>
    <n v="231000"/>
    <n v="66666.666666666672"/>
    <n v="10333.333333333328"/>
    <n v="30999.999999999985"/>
    <d v="2021-09-04T00:00:00"/>
    <s v="Sat"/>
    <n v="31"/>
    <d v="2021-11-04T00:00:00"/>
    <n v="92"/>
    <s v="Expired"/>
    <n v="0"/>
    <n v="3"/>
    <n v="231000"/>
    <n v="30999.999999999985"/>
    <n v="200000"/>
    <n v="0"/>
    <n v="30999.999999999985"/>
    <n v="76000.000000000015"/>
    <n v="107000"/>
    <n v="0"/>
    <n v="123999.99999999999"/>
    <n v="123999.99999999999"/>
    <n v="123999.99999999999"/>
    <n v="1.6103896103896103"/>
    <n v="49"/>
    <s v="2.(31-60) Days"/>
    <s v="Ok"/>
  </r>
  <r>
    <d v="2021-07-03T00:00:00"/>
    <x v="111"/>
    <n v="97"/>
    <n v="1"/>
    <s v="BIZ"/>
    <n v="300000"/>
    <n v="3"/>
    <n v="0.05"/>
    <s v="Weekly"/>
    <s v="Aroma"/>
    <s v="ONZIA EMMILY"/>
    <n v="10000"/>
    <n v="5000"/>
    <n v="0"/>
    <n v="30000"/>
    <n v="45000"/>
    <n v="12"/>
    <n v="345000"/>
    <n v="28750"/>
    <n v="29000"/>
    <n v="348000"/>
    <n v="25000"/>
    <n v="4000"/>
    <n v="48000"/>
    <d v="2021-07-10T00:00:00"/>
    <s v="Sat"/>
    <n v="7"/>
    <d v="2021-10-03T00:00:00"/>
    <n v="92"/>
    <s v="Expired"/>
    <n v="0"/>
    <n v="12"/>
    <n v="348000"/>
    <n v="48000"/>
    <n v="300000"/>
    <n v="0"/>
    <n v="48000"/>
    <n v="300000"/>
    <n v="348000"/>
    <n v="0"/>
    <n v="0"/>
    <n v="0"/>
    <s v=""/>
    <n v="0"/>
    <n v="0"/>
    <s v="Cleared"/>
    <s v="Ok"/>
  </r>
  <r>
    <d v="2021-08-07T00:00:00"/>
    <x v="111"/>
    <n v="161"/>
    <n v="2"/>
    <s v="BIZ"/>
    <n v="600000"/>
    <n v="3"/>
    <n v="0.05"/>
    <s v="Weekly"/>
    <s v="Aroma"/>
    <s v="ONZIA EMMILY"/>
    <n v="15000"/>
    <n v="5000"/>
    <n v="4000"/>
    <n v="60000"/>
    <n v="90000"/>
    <n v="12"/>
    <n v="690000"/>
    <n v="57500"/>
    <n v="58000"/>
    <n v="696000"/>
    <n v="50000"/>
    <n v="8000"/>
    <n v="96000"/>
    <d v="2021-08-14T00:00:00"/>
    <s v="Sat"/>
    <n v="7"/>
    <d v="2021-11-07T00:00:00"/>
    <n v="92"/>
    <s v="Expired"/>
    <n v="0"/>
    <n v="12"/>
    <n v="696000"/>
    <n v="96000"/>
    <n v="600000"/>
    <n v="0"/>
    <n v="96000"/>
    <n v="600000"/>
    <n v="696000"/>
    <n v="0"/>
    <n v="0"/>
    <n v="0"/>
    <s v=""/>
    <n v="0"/>
    <n v="0"/>
    <s v="Cleared"/>
    <s v="Ok"/>
  </r>
  <r>
    <d v="2021-10-08T00:00:00"/>
    <x v="111"/>
    <n v="262"/>
    <n v="3"/>
    <s v="BIZ"/>
    <n v="1200000"/>
    <n v="4"/>
    <n v="0.05"/>
    <s v="Monthly"/>
    <s v="Aroma"/>
    <s v="ONZIA EMMILY"/>
    <n v="20000"/>
    <n v="5000"/>
    <n v="16000"/>
    <n v="120000"/>
    <n v="240000"/>
    <n v="4"/>
    <n v="1440000"/>
    <n v="360000"/>
    <n v="360000"/>
    <n v="1440000"/>
    <n v="300000"/>
    <n v="60000"/>
    <n v="240000"/>
    <d v="2021-11-08T00:00:00"/>
    <s v="Mon"/>
    <n v="31"/>
    <d v="2022-02-08T00:00:00"/>
    <n v="123"/>
    <s v="Expired"/>
    <n v="0"/>
    <n v="4"/>
    <n v="1440000"/>
    <n v="240000"/>
    <n v="1200000"/>
    <n v="0"/>
    <n v="240000"/>
    <n v="1200000"/>
    <n v="1440000"/>
    <n v="0"/>
    <n v="0"/>
    <n v="0"/>
    <s v=""/>
    <n v="0"/>
    <n v="0"/>
    <s v="Cleared"/>
    <s v="Ok"/>
  </r>
  <r>
    <d v="2021-07-05T00:00:00"/>
    <x v="112"/>
    <n v="98"/>
    <n v="1"/>
    <s v="BIZ"/>
    <n v="1000000"/>
    <n v="6"/>
    <n v="0.05"/>
    <s v="Monthly"/>
    <s v="Kana"/>
    <s v="AYIKE SAUDA"/>
    <n v="10000"/>
    <n v="5000"/>
    <n v="0"/>
    <n v="100000"/>
    <n v="300000"/>
    <n v="6"/>
    <n v="1300000"/>
    <n v="216666.66666666666"/>
    <n v="217000"/>
    <n v="1302000"/>
    <n v="166666.66666666666"/>
    <n v="50333.333333333343"/>
    <n v="302000.00000000006"/>
    <d v="2021-08-05T00:00:00"/>
    <s v="Thu"/>
    <n v="31"/>
    <d v="2022-01-05T00:00:00"/>
    <n v="184"/>
    <s v="Expired"/>
    <n v="0"/>
    <n v="6"/>
    <n v="1302000"/>
    <n v="302000.00000000006"/>
    <n v="1000000"/>
    <n v="0"/>
    <n v="302000.00000000006"/>
    <n v="998700"/>
    <n v="1300700"/>
    <n v="0"/>
    <n v="1300"/>
    <n v="1300"/>
    <n v="1300"/>
    <n v="5.9907834101382493E-3"/>
    <n v="1"/>
    <s v="1.(0-30) Days"/>
    <s v="Ok"/>
  </r>
  <r>
    <d v="2021-08-05T00:00:00"/>
    <x v="113"/>
    <n v="158"/>
    <n v="1"/>
    <s v="QUICK"/>
    <n v="300000"/>
    <n v="1"/>
    <n v="7.4999999999999997E-2"/>
    <s v="Monthly"/>
    <s v="Kana"/>
    <s v="BADAKA GIFT JOEL"/>
    <n v="15000"/>
    <n v="5000"/>
    <n v="3000"/>
    <n v="30000"/>
    <n v="22500"/>
    <n v="1"/>
    <n v="322500"/>
    <n v="322500"/>
    <n v="323000"/>
    <n v="323000"/>
    <n v="300000"/>
    <n v="23000"/>
    <n v="23000"/>
    <d v="2021-09-05T00:00:00"/>
    <s v="Sun"/>
    <n v="31"/>
    <d v="2021-09-05T00:00:00"/>
    <n v="31"/>
    <s v="Expired"/>
    <n v="0"/>
    <n v="1"/>
    <n v="323000"/>
    <n v="23000"/>
    <n v="300000"/>
    <n v="0"/>
    <n v="23000"/>
    <n v="299500"/>
    <n v="322500"/>
    <n v="0"/>
    <n v="500"/>
    <n v="500"/>
    <n v="500"/>
    <n v="1.5479876160990713E-3"/>
    <n v="1"/>
    <s v="1.(0-30) Days"/>
    <s v="Ok"/>
  </r>
  <r>
    <d v="2021-07-05T00:00:00"/>
    <x v="114"/>
    <n v="95"/>
    <n v="1"/>
    <s v="BIZ"/>
    <n v="200000"/>
    <n v="3"/>
    <n v="0.05"/>
    <s v="Weekly"/>
    <s v="Kana"/>
    <s v="ONZIA LUCY"/>
    <n v="10000"/>
    <n v="5000"/>
    <n v="0"/>
    <n v="20000"/>
    <n v="30000"/>
    <n v="12"/>
    <n v="230000"/>
    <n v="19166.666666666668"/>
    <n v="20000"/>
    <n v="240000"/>
    <n v="16666.666666666668"/>
    <n v="3333.3333333333321"/>
    <n v="39999.999999999985"/>
    <d v="2021-07-12T00:00:00"/>
    <s v="Mon"/>
    <n v="7"/>
    <d v="2021-10-05T00:00:00"/>
    <n v="92"/>
    <s v="Expired"/>
    <n v="0"/>
    <n v="12"/>
    <n v="240000"/>
    <n v="39999.999999999985"/>
    <n v="200000"/>
    <n v="0"/>
    <n v="40000"/>
    <n v="200000"/>
    <n v="240000"/>
    <n v="-1.4551915228366852E-11"/>
    <n v="0"/>
    <n v="-1.4551915228366852E-11"/>
    <s v=""/>
    <n v="0"/>
    <n v="0"/>
    <s v="Cleared"/>
    <s v="Error on Entry"/>
  </r>
  <r>
    <d v="2021-09-21T00:00:00"/>
    <x v="114"/>
    <n v="229"/>
    <n v="2"/>
    <s v="BIZ"/>
    <n v="300000"/>
    <n v="3"/>
    <n v="0.05"/>
    <s v="Weekly"/>
    <s v="Kana"/>
    <s v="ONZIA LUCY"/>
    <n v="20000"/>
    <n v="5000"/>
    <n v="8000"/>
    <n v="30000"/>
    <n v="45000"/>
    <n v="12"/>
    <n v="345000"/>
    <n v="28750"/>
    <n v="29000"/>
    <n v="348000"/>
    <n v="25000"/>
    <n v="4000"/>
    <n v="48000"/>
    <d v="2021-09-28T00:00:00"/>
    <s v="Tue"/>
    <n v="7"/>
    <d v="2021-12-21T00:00:00"/>
    <n v="91"/>
    <s v="Expired"/>
    <n v="0"/>
    <n v="12"/>
    <n v="348000"/>
    <n v="48000"/>
    <n v="300000"/>
    <n v="0"/>
    <n v="48000"/>
    <n v="295800"/>
    <n v="343800"/>
    <n v="0"/>
    <n v="4200"/>
    <n v="4200"/>
    <n v="4200"/>
    <n v="0.14482758620689656"/>
    <n v="2"/>
    <s v="1.(0-30) Days"/>
    <s v="Ok"/>
  </r>
  <r>
    <d v="2021-12-09T00:00:00"/>
    <x v="114"/>
    <n v="361"/>
    <n v="3"/>
    <s v="BIZ"/>
    <n v="400000"/>
    <n v="4"/>
    <n v="0.05"/>
    <s v="Monthly"/>
    <s v="Kana"/>
    <s v="ONZIA LUCY"/>
    <n v="15000"/>
    <n v="5000"/>
    <n v="4000"/>
    <n v="40000"/>
    <n v="80000"/>
    <n v="4"/>
    <n v="480000"/>
    <n v="120000"/>
    <n v="120000"/>
    <n v="480000"/>
    <n v="100000"/>
    <n v="20000"/>
    <n v="80000"/>
    <d v="2022-01-09T00:00:00"/>
    <s v="Sun"/>
    <n v="31"/>
    <d v="2022-04-09T00:00:00"/>
    <n v="121"/>
    <s v="Expired"/>
    <n v="0"/>
    <n v="4"/>
    <n v="480000"/>
    <n v="80000"/>
    <n v="400000"/>
    <n v="0"/>
    <n v="80000"/>
    <n v="244000"/>
    <n v="324000"/>
    <n v="0"/>
    <n v="156000"/>
    <n v="156000"/>
    <n v="156000"/>
    <n v="1.3"/>
    <n v="39"/>
    <s v="2.(31-60) Days"/>
    <s v="Ok"/>
  </r>
  <r>
    <d v="2021-08-07T00:00:00"/>
    <x v="115"/>
    <n v="162"/>
    <n v="1"/>
    <s v="BIZ"/>
    <n v="250000"/>
    <n v="2"/>
    <n v="0.05"/>
    <s v="Monthly"/>
    <s v="Aroma"/>
    <s v="METALORO   MOSES"/>
    <n v="15000"/>
    <n v="5000"/>
    <n v="2500"/>
    <n v="25000"/>
    <n v="25000"/>
    <n v="2"/>
    <n v="275000"/>
    <n v="137500"/>
    <n v="138000"/>
    <n v="276000"/>
    <n v="125000"/>
    <n v="13000"/>
    <n v="26000"/>
    <d v="2021-09-07T00:00:00"/>
    <s v="Tue"/>
    <n v="31"/>
    <d v="2021-10-07T00:00:00"/>
    <n v="61"/>
    <s v="Expired"/>
    <n v="0"/>
    <n v="2"/>
    <n v="276000"/>
    <n v="26000"/>
    <n v="250000"/>
    <n v="0"/>
    <n v="25000"/>
    <n v="250000"/>
    <n v="275000"/>
    <n v="1000"/>
    <n v="0"/>
    <n v="1000"/>
    <n v="1000"/>
    <n v="7.246376811594203E-3"/>
    <n v="1"/>
    <s v="1.(0-30) Days"/>
    <s v="Ok"/>
  </r>
  <r>
    <d v="2021-08-10T00:00:00"/>
    <x v="116"/>
    <n v="163"/>
    <n v="1"/>
    <s v="BIZ"/>
    <n v="700000"/>
    <n v="4"/>
    <n v="0.05"/>
    <s v="Monthly"/>
    <s v="Kana"/>
    <s v="BOBOYA BRAN"/>
    <n v="20000"/>
    <n v="5000"/>
    <n v="7000"/>
    <n v="70000"/>
    <n v="140000"/>
    <n v="4"/>
    <n v="840000"/>
    <n v="210000"/>
    <n v="210000"/>
    <n v="840000"/>
    <n v="175000"/>
    <n v="35000"/>
    <n v="140000"/>
    <d v="2021-09-10T00:00:00"/>
    <s v="Frid"/>
    <n v="31"/>
    <d v="2021-12-10T00:00:00"/>
    <n v="122"/>
    <s v="Expired"/>
    <n v="0"/>
    <n v="4"/>
    <n v="840000"/>
    <n v="140000"/>
    <n v="700000"/>
    <n v="0"/>
    <n v="140000"/>
    <n v="380000"/>
    <n v="520000"/>
    <n v="0"/>
    <n v="320000"/>
    <n v="320000"/>
    <n v="320000"/>
    <n v="1.5238095238095237"/>
    <n v="46"/>
    <s v="2.(31-60) Days"/>
    <s v="Ok"/>
  </r>
  <r>
    <d v="2021-07-05T00:00:00"/>
    <x v="117"/>
    <n v="99"/>
    <n v="1"/>
    <s v="BIZ"/>
    <n v="700000"/>
    <n v="6"/>
    <n v="0.05"/>
    <s v="Monthly"/>
    <s v="Aroma"/>
    <s v="MAWA JACKSON"/>
    <n v="10000"/>
    <n v="5000"/>
    <n v="0"/>
    <n v="70000"/>
    <n v="210000"/>
    <n v="6"/>
    <n v="910000"/>
    <n v="151666.66666666666"/>
    <n v="152000"/>
    <n v="912000"/>
    <n v="116666.66666666667"/>
    <n v="35333.333333333328"/>
    <n v="211999.99999999997"/>
    <d v="2021-08-05T00:00:00"/>
    <s v="Thu"/>
    <n v="31"/>
    <d v="2022-01-05T00:00:00"/>
    <n v="184"/>
    <s v="Expired"/>
    <n v="0"/>
    <n v="6"/>
    <n v="912000"/>
    <n v="211999.99999999997"/>
    <n v="700000"/>
    <n v="0"/>
    <n v="211999.99999999997"/>
    <n v="700000"/>
    <n v="912000"/>
    <n v="0"/>
    <n v="0"/>
    <n v="0"/>
    <s v=""/>
    <n v="0"/>
    <n v="0"/>
    <s v="Cleared"/>
    <s v="Ok"/>
  </r>
  <r>
    <d v="2021-07-06T00:00:00"/>
    <x v="118"/>
    <n v="103"/>
    <n v="1"/>
    <s v="SLA"/>
    <n v="2000000"/>
    <n v="3"/>
    <n v="7.4999999999999997E-2"/>
    <s v="Monthly"/>
    <s v="Jerome"/>
    <s v="STELLA KONGAI"/>
    <n v="10000"/>
    <n v="5000"/>
    <n v="20000"/>
    <n v="200000"/>
    <n v="450000"/>
    <n v="3"/>
    <n v="2450000"/>
    <n v="816666.66666666663"/>
    <n v="817000"/>
    <n v="2451000"/>
    <n v="666666.66666666663"/>
    <n v="150333.33333333337"/>
    <n v="451000.00000000012"/>
    <d v="2021-08-06T00:00:00"/>
    <s v="Frid"/>
    <n v="31"/>
    <d v="2021-10-06T00:00:00"/>
    <n v="92"/>
    <s v="Expired"/>
    <n v="0"/>
    <n v="3"/>
    <n v="2451000"/>
    <n v="451000.00000000012"/>
    <n v="2000000"/>
    <n v="0"/>
    <n v="451000.00000000012"/>
    <n v="1999999.9999999998"/>
    <n v="2451000"/>
    <n v="0"/>
    <n v="2.3283064365386963E-10"/>
    <n v="2.3283064365386963E-10"/>
    <n v="2.3283064365386963E-10"/>
    <n v="2.8498242797291265E-16"/>
    <n v="1"/>
    <s v="Cleared"/>
    <s v="Ok"/>
  </r>
  <r>
    <d v="2021-10-06T00:00:00"/>
    <x v="118"/>
    <n v="253"/>
    <n v="2"/>
    <s v="SLA"/>
    <n v="2000000"/>
    <n v="3"/>
    <n v="7.4999999999999997E-2"/>
    <s v="Monthly"/>
    <s v="Jerome"/>
    <s v="STELLA KONGAI"/>
    <n v="15000"/>
    <n v="5000"/>
    <n v="8000"/>
    <n v="200000"/>
    <n v="450000"/>
    <n v="3"/>
    <n v="2450000"/>
    <n v="816666.66666666663"/>
    <n v="817000"/>
    <n v="2451000"/>
    <n v="666666.66666666663"/>
    <n v="150333.33333333337"/>
    <n v="451000.00000000012"/>
    <d v="2021-11-06T00:00:00"/>
    <s v="Sat"/>
    <n v="31"/>
    <d v="2022-01-06T00:00:00"/>
    <n v="92"/>
    <s v="Expired"/>
    <n v="0"/>
    <n v="3"/>
    <n v="2451000"/>
    <n v="451000.00000000012"/>
    <n v="2000000"/>
    <n v="0"/>
    <n v="451000.00000000012"/>
    <n v="1999999.9999999998"/>
    <n v="2451000"/>
    <n v="0"/>
    <n v="2.3283064365386963E-10"/>
    <n v="2.3283064365386963E-10"/>
    <n v="2.3283064365386963E-10"/>
    <n v="2.8498242797291265E-16"/>
    <n v="1"/>
    <s v="Cleared"/>
    <s v="Ok"/>
  </r>
  <r>
    <d v="2021-07-08T00:00:00"/>
    <x v="119"/>
    <n v="105"/>
    <n v="1"/>
    <s v="BIZ"/>
    <n v="800000"/>
    <n v="4"/>
    <n v="0.05"/>
    <s v="Monthly"/>
    <s v="Aroma"/>
    <s v="AMAYO CHARLES"/>
    <n v="10000"/>
    <n v="5000"/>
    <n v="8000"/>
    <n v="80000"/>
    <n v="160000"/>
    <n v="4"/>
    <n v="960000"/>
    <n v="240000"/>
    <n v="240000"/>
    <n v="960000"/>
    <n v="200000"/>
    <n v="40000"/>
    <n v="160000"/>
    <d v="2021-08-08T00:00:00"/>
    <s v="Sun"/>
    <n v="31"/>
    <d v="2021-11-08T00:00:00"/>
    <n v="123"/>
    <s v="Expired"/>
    <n v="0"/>
    <n v="4"/>
    <n v="960000"/>
    <n v="160000"/>
    <n v="800000"/>
    <n v="0"/>
    <n v="160000"/>
    <n v="610000"/>
    <n v="770000"/>
    <n v="0"/>
    <n v="190000"/>
    <n v="190000"/>
    <n v="190000"/>
    <n v="0.79166666666666663"/>
    <n v="24"/>
    <s v="1.(0-30) Days"/>
    <s v="Ok"/>
  </r>
  <r>
    <d v="2021-07-12T00:00:00"/>
    <x v="120"/>
    <n v="107"/>
    <n v="1"/>
    <s v="BIZ"/>
    <n v="500000"/>
    <n v="4"/>
    <n v="0.05"/>
    <s v="Monthly"/>
    <s v="Aroma"/>
    <s v="INZIKURU JANET"/>
    <n v="10000"/>
    <n v="5000"/>
    <n v="5000"/>
    <n v="50000"/>
    <n v="100000"/>
    <n v="4"/>
    <n v="600000"/>
    <n v="150000"/>
    <n v="150000"/>
    <n v="600000"/>
    <n v="125000"/>
    <n v="25000"/>
    <n v="100000"/>
    <d v="2021-08-12T00:00:00"/>
    <s v="Thu"/>
    <n v="31"/>
    <d v="2021-11-12T00:00:00"/>
    <n v="123"/>
    <s v="Expired"/>
    <n v="0"/>
    <n v="4"/>
    <n v="600000"/>
    <n v="100000"/>
    <n v="500000"/>
    <n v="0"/>
    <n v="115000"/>
    <n v="275000"/>
    <n v="390000"/>
    <n v="-15000"/>
    <n v="225000"/>
    <n v="210000"/>
    <n v="210000"/>
    <n v="1.4"/>
    <n v="42"/>
    <s v="2.(31-60) Days"/>
    <s v="Error on Entry"/>
  </r>
  <r>
    <d v="2021-07-08T00:00:00"/>
    <x v="121"/>
    <n v="199"/>
    <n v="1"/>
    <s v="BIZ"/>
    <n v="600000"/>
    <n v="4"/>
    <n v="0.05"/>
    <s v="Monthly"/>
    <s v="Aroma"/>
    <s v="TIKO ZABIBU"/>
    <n v="10000"/>
    <n v="5000"/>
    <n v="6000"/>
    <n v="60000"/>
    <n v="120000"/>
    <n v="4"/>
    <n v="720000"/>
    <n v="180000"/>
    <n v="180000"/>
    <n v="720000"/>
    <n v="150000"/>
    <n v="30000"/>
    <n v="120000"/>
    <d v="2021-08-08T00:00:00"/>
    <s v="Sun"/>
    <n v="31"/>
    <d v="2021-11-08T00:00:00"/>
    <n v="123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7-10T00:00:00"/>
    <x v="122"/>
    <n v="111"/>
    <n v="1"/>
    <s v="BIZ"/>
    <n v="400000"/>
    <n v="4"/>
    <n v="0.05"/>
    <s v="Monthly"/>
    <s v="Aroma"/>
    <s v="SUNDAY SCOVIA"/>
    <n v="10000"/>
    <n v="5000"/>
    <n v="4000"/>
    <n v="40000"/>
    <n v="80000"/>
    <n v="4"/>
    <n v="480000"/>
    <n v="120000"/>
    <n v="120000"/>
    <n v="480000"/>
    <n v="100000"/>
    <n v="20000"/>
    <n v="80000"/>
    <d v="2021-08-10T00:00:00"/>
    <s v="Tue"/>
    <n v="31"/>
    <d v="2021-11-10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7-10T00:00:00"/>
    <x v="123"/>
    <n v="110"/>
    <n v="1"/>
    <s v="BIZ"/>
    <n v="400000"/>
    <n v="3"/>
    <n v="0.05"/>
    <s v="Monthly"/>
    <s v="Aroma"/>
    <s v="TIKO RUKIA"/>
    <n v="10000"/>
    <n v="5000"/>
    <n v="4000"/>
    <n v="40000"/>
    <n v="60000"/>
    <n v="3"/>
    <n v="460000"/>
    <n v="153333.33333333334"/>
    <n v="154000"/>
    <n v="462000"/>
    <n v="133333.33333333334"/>
    <n v="20666.666666666657"/>
    <n v="61999.999999999971"/>
    <d v="2021-08-10T00:00:00"/>
    <s v="Tue"/>
    <n v="31"/>
    <d v="2021-10-10T00:00:00"/>
    <n v="92"/>
    <s v="Expired"/>
    <n v="0"/>
    <n v="3"/>
    <n v="462000"/>
    <n v="61999.999999999971"/>
    <n v="400000"/>
    <n v="0"/>
    <n v="61999.999999999971"/>
    <n v="317400"/>
    <n v="379400"/>
    <n v="0"/>
    <n v="82600"/>
    <n v="82600"/>
    <n v="82600"/>
    <n v="0.53636363636363638"/>
    <n v="17"/>
    <s v="1.(0-30) Days"/>
    <s v="Ok"/>
  </r>
  <r>
    <d v="2021-07-12T00:00:00"/>
    <x v="124"/>
    <n v="112"/>
    <n v="1"/>
    <s v="BIZ"/>
    <n v="300000"/>
    <n v="4"/>
    <n v="0.05"/>
    <s v="Monthly"/>
    <s v="Jerome"/>
    <s v="AJONYE BETTY"/>
    <n v="10000"/>
    <n v="5000"/>
    <n v="6000"/>
    <n v="30000"/>
    <n v="60000"/>
    <n v="4"/>
    <n v="360000"/>
    <n v="90000"/>
    <n v="90000"/>
    <n v="360000"/>
    <n v="75000"/>
    <n v="15000"/>
    <n v="60000"/>
    <d v="2021-08-12T00:00:00"/>
    <s v="Thu"/>
    <n v="31"/>
    <d v="2021-11-12T00:00:00"/>
    <n v="123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07-15T00:00:00"/>
    <x v="125"/>
    <n v="118"/>
    <n v="1"/>
    <s v="BIZ"/>
    <n v="1500000"/>
    <n v="3"/>
    <n v="0.05"/>
    <s v="Monthly"/>
    <s v="Aroma"/>
    <s v="BAKO ASINA"/>
    <n v="10000"/>
    <n v="5000"/>
    <n v="15000"/>
    <n v="150000"/>
    <n v="225000"/>
    <n v="3"/>
    <n v="1725000"/>
    <n v="575000"/>
    <n v="575000"/>
    <n v="1725000"/>
    <n v="500000"/>
    <n v="75000"/>
    <n v="225000"/>
    <d v="2021-08-15T00:00:00"/>
    <s v="Sun"/>
    <n v="31"/>
    <d v="2021-10-15T00:00:00"/>
    <n v="92"/>
    <s v="Expired"/>
    <n v="0"/>
    <n v="3"/>
    <n v="1725000"/>
    <n v="225000"/>
    <n v="1500000"/>
    <n v="0"/>
    <n v="225000"/>
    <n v="1500000"/>
    <n v="1725000"/>
    <n v="0"/>
    <n v="0"/>
    <n v="0"/>
    <s v=""/>
    <n v="0"/>
    <n v="0"/>
    <s v="Cleared"/>
    <s v="Ok"/>
  </r>
  <r>
    <d v="2021-11-17T00:00:00"/>
    <x v="125"/>
    <n v="332"/>
    <n v="2"/>
    <s v="BIZ"/>
    <n v="2000000"/>
    <n v="2"/>
    <n v="0.05"/>
    <s v="Monthly"/>
    <s v="Aroma"/>
    <s v="BAKO ASINA"/>
    <n v="30000"/>
    <n v="5000"/>
    <n v="60000"/>
    <n v="200000"/>
    <n v="200000"/>
    <n v="2"/>
    <n v="2200000"/>
    <n v="1100000"/>
    <n v="1100000"/>
    <n v="2200000"/>
    <n v="1000000"/>
    <n v="100000"/>
    <n v="200000"/>
    <d v="2021-12-17T00:00:00"/>
    <s v="Frid"/>
    <n v="30"/>
    <d v="2022-01-17T00:00:00"/>
    <n v="61"/>
    <s v="Expired"/>
    <n v="0"/>
    <n v="2"/>
    <n v="2200000"/>
    <n v="200000"/>
    <n v="2000000"/>
    <n v="0"/>
    <n v="200000"/>
    <n v="2000000"/>
    <n v="2200000"/>
    <n v="0"/>
    <n v="0"/>
    <n v="0"/>
    <s v=""/>
    <n v="0"/>
    <n v="0"/>
    <s v="Cleared"/>
    <s v="Ok"/>
  </r>
  <r>
    <d v="2021-08-19T00:00:00"/>
    <x v="126"/>
    <n v="201"/>
    <n v="1"/>
    <s v="BIZ"/>
    <n v="1200000"/>
    <n v="4"/>
    <n v="0.05"/>
    <s v="Monthly"/>
    <s v="Aroma"/>
    <s v="AJONYE JANE SINANDUGU"/>
    <n v="25000"/>
    <n v="5000"/>
    <n v="24000"/>
    <n v="120000"/>
    <n v="240000"/>
    <n v="4"/>
    <n v="1440000"/>
    <n v="360000"/>
    <n v="360000"/>
    <n v="1440000"/>
    <n v="300000"/>
    <n v="60000"/>
    <n v="240000"/>
    <d v="2021-09-19T00:00:00"/>
    <s v="Sun"/>
    <n v="31"/>
    <d v="2021-12-19T00:00:00"/>
    <n v="122"/>
    <s v="Expired"/>
    <n v="0"/>
    <n v="4"/>
    <n v="1440000"/>
    <n v="240000"/>
    <n v="1200000"/>
    <n v="0"/>
    <n v="240000"/>
    <n v="1200000"/>
    <n v="1440000"/>
    <n v="0"/>
    <n v="0"/>
    <n v="0"/>
    <s v=""/>
    <n v="0"/>
    <n v="0"/>
    <s v="Cleared"/>
    <s v="Ok"/>
  </r>
  <r>
    <d v="2021-07-14T00:00:00"/>
    <x v="127"/>
    <n v="114"/>
    <n v="1"/>
    <s v="BIZ"/>
    <n v="700000"/>
    <n v="3"/>
    <n v="0.05"/>
    <s v="Quarterly"/>
    <s v="Kana"/>
    <s v="AYILE JOHN MAX"/>
    <n v="10000"/>
    <n v="5000"/>
    <n v="7000"/>
    <n v="70000"/>
    <n v="105000"/>
    <n v="1"/>
    <n v="805000"/>
    <n v="805000"/>
    <n v="805000"/>
    <n v="805000"/>
    <n v="700000"/>
    <n v="105000"/>
    <n v="105000"/>
    <d v="2021-10-14T00:00:00"/>
    <s v="Thu"/>
    <n v="92"/>
    <d v="2021-10-14T00:00:00"/>
    <n v="92"/>
    <s v="Expired"/>
    <n v="0"/>
    <n v="1"/>
    <n v="805000"/>
    <n v="105000"/>
    <n v="700000"/>
    <n v="0"/>
    <n v="45000"/>
    <n v="575000"/>
    <n v="620000"/>
    <n v="60000"/>
    <n v="125000"/>
    <n v="185000"/>
    <n v="185000"/>
    <n v="0.22981366459627328"/>
    <n v="21"/>
    <s v="1.(0-30) Days"/>
    <s v="Ok"/>
  </r>
  <r>
    <d v="2021-07-15T00:00:00"/>
    <x v="128"/>
    <n v="115"/>
    <n v="1"/>
    <s v="BIZ"/>
    <n v="200000"/>
    <n v="3"/>
    <n v="0.05"/>
    <s v="Monthly"/>
    <s v="Kana"/>
    <s v="CANDIRU ZAKIA"/>
    <n v="10000"/>
    <n v="5000"/>
    <n v="2000"/>
    <n v="20000"/>
    <n v="30000"/>
    <n v="3"/>
    <n v="230000"/>
    <n v="76666.666666666672"/>
    <n v="77000"/>
    <n v="231000"/>
    <n v="66666.666666666672"/>
    <n v="10333.333333333328"/>
    <n v="30999.999999999985"/>
    <d v="2021-08-15T00:00:00"/>
    <s v="Sun"/>
    <n v="31"/>
    <d v="2021-10-15T00:00:00"/>
    <n v="92"/>
    <s v="Expired"/>
    <n v="0"/>
    <n v="3"/>
    <n v="231000"/>
    <n v="30999.999999999985"/>
    <n v="200000"/>
    <n v="0"/>
    <n v="30999.999999999985"/>
    <n v="200000"/>
    <n v="231000"/>
    <n v="0"/>
    <n v="0"/>
    <n v="0"/>
    <s v=""/>
    <n v="0"/>
    <n v="0"/>
    <s v="Cleared"/>
    <s v="Ok"/>
  </r>
  <r>
    <d v="2021-07-26T00:00:00"/>
    <x v="129"/>
    <n v="134"/>
    <n v="1"/>
    <s v="BIZ"/>
    <n v="300000"/>
    <n v="3"/>
    <n v="0.05"/>
    <s v="Monthly"/>
    <s v="Aroma"/>
    <s v="MANIYO JOICE"/>
    <n v="10000"/>
    <n v="5000"/>
    <n v="3000"/>
    <n v="30000"/>
    <n v="45000"/>
    <n v="3"/>
    <n v="345000"/>
    <n v="115000"/>
    <n v="115000"/>
    <n v="345000"/>
    <n v="100000"/>
    <n v="15000"/>
    <n v="45000"/>
    <d v="2021-08-26T00:00:00"/>
    <s v="Thu"/>
    <n v="31"/>
    <d v="2021-10-26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07-15T00:00:00"/>
    <x v="130"/>
    <n v="116"/>
    <n v="1"/>
    <s v="BIZ"/>
    <n v="500000"/>
    <n v="5"/>
    <n v="0.05"/>
    <s v="Monthly"/>
    <s v="Jerome"/>
    <s v="JABE MARY"/>
    <n v="10000"/>
    <n v="5000"/>
    <n v="5000"/>
    <n v="50000"/>
    <n v="125000"/>
    <n v="5"/>
    <n v="625000"/>
    <n v="125000"/>
    <n v="125000"/>
    <n v="625000"/>
    <n v="100000"/>
    <n v="25000"/>
    <n v="125000"/>
    <d v="2021-08-15T00:00:00"/>
    <s v="Sun"/>
    <n v="31"/>
    <d v="2021-12-15T00:00:00"/>
    <n v="153"/>
    <s v="Expired"/>
    <n v="0"/>
    <n v="5"/>
    <n v="625000"/>
    <n v="125000"/>
    <n v="500000"/>
    <n v="0"/>
    <n v="125000"/>
    <n v="500000"/>
    <n v="625000"/>
    <n v="0"/>
    <n v="0"/>
    <n v="0"/>
    <s v=""/>
    <n v="0"/>
    <n v="0"/>
    <s v="Cleared"/>
    <s v="Ok"/>
  </r>
  <r>
    <d v="2021-07-16T00:00:00"/>
    <x v="131"/>
    <n v="117"/>
    <n v="1"/>
    <s v="BIZ"/>
    <n v="400000"/>
    <n v="4"/>
    <n v="0.05"/>
    <s v="Monthly"/>
    <s v="Jerome"/>
    <s v="TABU NATALIYA"/>
    <n v="10000"/>
    <n v="5000"/>
    <n v="4000"/>
    <n v="40000"/>
    <n v="80000"/>
    <n v="4"/>
    <n v="480000"/>
    <n v="120000"/>
    <n v="120000"/>
    <n v="480000"/>
    <n v="100000"/>
    <n v="20000"/>
    <n v="80000"/>
    <d v="2021-08-16T00:00:00"/>
    <s v="Mon"/>
    <n v="31"/>
    <d v="2021-11-16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7-19T00:00:00"/>
    <x v="132"/>
    <n v="122"/>
    <n v="1"/>
    <s v="BIZ"/>
    <n v="400000"/>
    <n v="4"/>
    <n v="0.05"/>
    <s v="Monthly"/>
    <s v="Kana"/>
    <s v="LEMERIGA GODWILL JOSEPH"/>
    <n v="10000"/>
    <n v="5000"/>
    <n v="4000"/>
    <n v="40000"/>
    <n v="80000"/>
    <n v="4"/>
    <n v="480000"/>
    <n v="120000"/>
    <n v="120000"/>
    <n v="480000"/>
    <n v="100000"/>
    <n v="20000"/>
    <n v="80000"/>
    <d v="2021-08-19T00:00:00"/>
    <s v="Thu"/>
    <n v="31"/>
    <d v="2021-11-19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7-29T00:00:00"/>
    <x v="88"/>
    <n v="139"/>
    <n v="2"/>
    <s v="BIZ"/>
    <n v="1200000"/>
    <n v="4"/>
    <n v="0.05"/>
    <s v="Monthly"/>
    <s v="Jerome"/>
    <s v="YAKANI CHARLES"/>
    <n v="10000"/>
    <n v="5000"/>
    <n v="12000"/>
    <n v="120000"/>
    <n v="240000"/>
    <n v="4"/>
    <n v="1440000"/>
    <n v="360000"/>
    <n v="360000"/>
    <n v="1440000"/>
    <n v="300000"/>
    <n v="60000"/>
    <n v="240000"/>
    <d v="2021-08-29T00:00:00"/>
    <s v="Sun"/>
    <n v="31"/>
    <d v="2021-11-29T00:00:00"/>
    <n v="123"/>
    <s v="Expired"/>
    <n v="0"/>
    <n v="4"/>
    <n v="1440000"/>
    <n v="240000"/>
    <n v="1200000"/>
    <n v="0"/>
    <n v="240000"/>
    <n v="1200000"/>
    <n v="1440000"/>
    <n v="0"/>
    <n v="0"/>
    <n v="0"/>
    <s v=""/>
    <n v="0"/>
    <n v="0"/>
    <s v="Cleared"/>
    <s v="Ok"/>
  </r>
  <r>
    <d v="2021-08-23T00:00:00"/>
    <x v="133"/>
    <n v="183"/>
    <n v="1"/>
    <s v="BIZ"/>
    <n v="2000000"/>
    <n v="6"/>
    <n v="0.05"/>
    <s v="Weekly"/>
    <s v="Aroma"/>
    <s v="EFIT GIFT"/>
    <n v="25000"/>
    <n v="5000"/>
    <n v="40000"/>
    <n v="200000"/>
    <n v="600000"/>
    <n v="24"/>
    <n v="2600000"/>
    <n v="108333.33333333333"/>
    <n v="109000"/>
    <n v="2616000"/>
    <n v="83333.333333333328"/>
    <n v="25666.666666666672"/>
    <n v="616000.00000000012"/>
    <d v="2021-08-30T00:00:00"/>
    <s v="Mon"/>
    <n v="7"/>
    <d v="2022-02-23T00:00:00"/>
    <n v="184"/>
    <s v="Expired"/>
    <n v="0"/>
    <n v="24"/>
    <n v="2616000"/>
    <n v="616000.00000000012"/>
    <n v="2000000"/>
    <n v="0"/>
    <n v="616000.00000000012"/>
    <n v="1983999.9999999995"/>
    <n v="2599999.9999999995"/>
    <n v="0"/>
    <n v="16000.000000000466"/>
    <n v="16000.000000000466"/>
    <n v="16000.000000000466"/>
    <n v="0.14678899082569236"/>
    <n v="2"/>
    <s v="1.(0-30) Days"/>
    <s v="Ok"/>
  </r>
  <r>
    <d v="2021-09-29T00:00:00"/>
    <x v="90"/>
    <n v="235"/>
    <n v="2"/>
    <s v="BIZ"/>
    <n v="600000"/>
    <n v="2"/>
    <n v="0.05"/>
    <s v="Monthly"/>
    <s v="Kana"/>
    <s v="BEATRICE AMANDRU"/>
    <n v="15000"/>
    <n v="5000"/>
    <n v="4000"/>
    <n v="60000"/>
    <n v="60000"/>
    <n v="2"/>
    <n v="660000"/>
    <n v="330000"/>
    <n v="330000"/>
    <n v="660000"/>
    <n v="300000"/>
    <n v="30000"/>
    <n v="60000"/>
    <d v="2021-10-29T00:00:00"/>
    <s v="Frid"/>
    <n v="30"/>
    <d v="2021-11-29T00:00:00"/>
    <n v="61"/>
    <s v="Expired"/>
    <n v="0"/>
    <n v="2"/>
    <n v="660000"/>
    <n v="60000"/>
    <n v="600000"/>
    <n v="0"/>
    <n v="60000"/>
    <n v="600000"/>
    <n v="660000"/>
    <n v="0"/>
    <n v="0"/>
    <n v="0"/>
    <s v=""/>
    <n v="0"/>
    <n v="0"/>
    <s v="Cleared"/>
    <s v="Ok"/>
  </r>
  <r>
    <d v="2021-08-23T00:00:00"/>
    <x v="134"/>
    <n v="182"/>
    <n v="1"/>
    <s v="BIZ"/>
    <n v="1000000"/>
    <n v="4"/>
    <n v="0.05"/>
    <s v="Monthly"/>
    <s v="Kana"/>
    <s v="APAYI HARRIET"/>
    <n v="20000"/>
    <n v="5000"/>
    <n v="10000"/>
    <n v="100000"/>
    <n v="200000"/>
    <n v="4"/>
    <n v="1200000"/>
    <n v="300000"/>
    <n v="300000"/>
    <n v="1200000"/>
    <n v="250000"/>
    <n v="50000"/>
    <n v="200000"/>
    <d v="2021-09-23T00:00:00"/>
    <s v="Thu"/>
    <n v="31"/>
    <d v="2021-12-23T00:00:00"/>
    <n v="122"/>
    <s v="Expired"/>
    <n v="0"/>
    <n v="4"/>
    <n v="1200000"/>
    <n v="200000"/>
    <n v="1000000"/>
    <n v="0"/>
    <n v="200000"/>
    <n v="1000000"/>
    <n v="1200000"/>
    <n v="0"/>
    <n v="0"/>
    <n v="0"/>
    <s v=""/>
    <n v="0"/>
    <n v="0"/>
    <s v="Cleared"/>
    <s v="Ok"/>
  </r>
  <r>
    <d v="2021-12-14T00:00:00"/>
    <x v="90"/>
    <n v="371"/>
    <n v="3"/>
    <s v="BIZ"/>
    <n v="600000"/>
    <n v="2"/>
    <n v="0.05"/>
    <s v="Monthly"/>
    <s v="Kana"/>
    <s v="BEATRICE AMANDRU"/>
    <n v="15000"/>
    <n v="5000"/>
    <n v="5000"/>
    <n v="60000"/>
    <n v="60000"/>
    <n v="2"/>
    <n v="660000"/>
    <n v="330000"/>
    <n v="330000"/>
    <n v="660000"/>
    <n v="300000"/>
    <n v="30000"/>
    <n v="60000"/>
    <d v="2022-01-14T00:00:00"/>
    <s v="Frid"/>
    <n v="31"/>
    <d v="2022-02-14T00:00:00"/>
    <n v="62"/>
    <s v="Expired"/>
    <n v="0"/>
    <n v="2"/>
    <n v="660000"/>
    <n v="60000"/>
    <n v="600000"/>
    <n v="0"/>
    <n v="60000"/>
    <n v="600000"/>
    <n v="660000"/>
    <n v="0"/>
    <n v="0"/>
    <n v="0"/>
    <s v=""/>
    <n v="0"/>
    <n v="0"/>
    <s v="Cleared"/>
    <s v="Ok"/>
  </r>
  <r>
    <d v="2021-07-22T00:00:00"/>
    <x v="135"/>
    <n v="123"/>
    <n v="1"/>
    <s v="BIZ"/>
    <n v="300000"/>
    <n v="3"/>
    <n v="0.05"/>
    <s v="Monthly"/>
    <s v="Jerome"/>
    <s v="DRICHIRU MAIMUNA "/>
    <n v="10000"/>
    <n v="5000"/>
    <n v="6000"/>
    <n v="30000"/>
    <n v="45000"/>
    <n v="3"/>
    <n v="345000"/>
    <n v="115000"/>
    <n v="115000"/>
    <n v="345000"/>
    <n v="100000"/>
    <n v="15000"/>
    <n v="45000"/>
    <d v="2021-08-22T00:00:00"/>
    <s v="Sun"/>
    <n v="31"/>
    <d v="2021-10-22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07-22T00:00:00"/>
    <x v="136"/>
    <n v="125"/>
    <n v="1"/>
    <s v="BIZ"/>
    <n v="500000"/>
    <n v="3"/>
    <n v="0.05"/>
    <s v="Monthly"/>
    <s v="Aroma"/>
    <s v="AYIKORU MARIAM"/>
    <n v="10000"/>
    <n v="5000"/>
    <n v="10000"/>
    <n v="50000"/>
    <n v="75000"/>
    <n v="3"/>
    <n v="575000"/>
    <n v="191666.66666666666"/>
    <n v="192000"/>
    <n v="576000"/>
    <n v="166666.66666666666"/>
    <n v="25333.333333333343"/>
    <n v="76000.000000000029"/>
    <d v="2021-08-22T00:00:00"/>
    <s v="Sun"/>
    <n v="31"/>
    <d v="2021-10-22T00:00:00"/>
    <n v="92"/>
    <s v="Expired"/>
    <n v="0"/>
    <n v="3"/>
    <n v="576000"/>
    <n v="76000.000000000029"/>
    <n v="500000"/>
    <n v="0"/>
    <n v="76000.000000000029"/>
    <n v="499999.99999999994"/>
    <n v="576000"/>
    <n v="0"/>
    <n v="5.8207660913467407E-11"/>
    <n v="5.8207660913467407E-11"/>
    <n v="5.8207660913467407E-11"/>
    <n v="3.0316490059097607E-16"/>
    <n v="1"/>
    <s v="Cleared"/>
    <s v="Ok"/>
  </r>
  <r>
    <d v="2021-07-22T00:00:00"/>
    <x v="137"/>
    <n v="124"/>
    <n v="1"/>
    <s v="BIZ"/>
    <n v="400000"/>
    <n v="3"/>
    <n v="0.05"/>
    <s v="Monthly"/>
    <s v="Jerome"/>
    <s v="DRAMANI WILFRED"/>
    <n v="10000"/>
    <n v="5000"/>
    <n v="8000"/>
    <n v="40000"/>
    <n v="60000"/>
    <n v="3"/>
    <n v="460000"/>
    <n v="153333.33333333334"/>
    <n v="154000"/>
    <n v="462000"/>
    <n v="133333.33333333334"/>
    <n v="20666.666666666657"/>
    <n v="61999.999999999971"/>
    <d v="2021-08-22T00:00:00"/>
    <s v="Sun"/>
    <n v="31"/>
    <d v="2021-10-22T00:00:00"/>
    <n v="92"/>
    <s v="Expired"/>
    <n v="0"/>
    <n v="3"/>
    <n v="462000"/>
    <n v="61999.999999999971"/>
    <n v="400000"/>
    <n v="0"/>
    <n v="61999.999999999971"/>
    <n v="398000"/>
    <n v="460000"/>
    <n v="0"/>
    <n v="2000"/>
    <n v="2000"/>
    <n v="2000"/>
    <n v="1.2987012987012988E-2"/>
    <n v="1"/>
    <s v="1.(0-30) Days"/>
    <s v="Ok"/>
  </r>
  <r>
    <d v="2021-08-27T00:00:00"/>
    <x v="33"/>
    <n v="188"/>
    <n v="4"/>
    <s v="SLA"/>
    <n v="1000000"/>
    <n v="1"/>
    <n v="7.4999999999999997E-2"/>
    <s v="Monthly"/>
    <s v="Aroma"/>
    <s v="ANGUYO RONALD"/>
    <n v="20000"/>
    <n v="5000"/>
    <n v="10000"/>
    <n v="100000"/>
    <n v="75000"/>
    <n v="1"/>
    <n v="1075000"/>
    <n v="1075000"/>
    <n v="1075000"/>
    <n v="1075000"/>
    <n v="1000000"/>
    <n v="75000"/>
    <n v="75000"/>
    <d v="2021-09-27T00:00:00"/>
    <s v="Mon"/>
    <n v="31"/>
    <d v="2021-09-27T00:00:00"/>
    <n v="31"/>
    <s v="Expired"/>
    <n v="0"/>
    <n v="1"/>
    <n v="1075000"/>
    <n v="75000"/>
    <n v="1000000"/>
    <n v="0"/>
    <n v="75000"/>
    <n v="1000000"/>
    <n v="1075000"/>
    <n v="0"/>
    <n v="0"/>
    <n v="0"/>
    <s v=""/>
    <n v="0"/>
    <n v="0"/>
    <s v="Cleared"/>
    <s v="Ok"/>
  </r>
  <r>
    <d v="2021-08-27T00:00:00"/>
    <x v="138"/>
    <n v="189"/>
    <n v="1"/>
    <s v="BIZ"/>
    <n v="600000"/>
    <n v="4"/>
    <n v="0.05"/>
    <s v="Monthly"/>
    <s v="Jerome"/>
    <s v="AKISU JOICE"/>
    <n v="20000"/>
    <n v="5000"/>
    <n v="6000"/>
    <n v="60000"/>
    <n v="120000"/>
    <n v="4"/>
    <n v="720000"/>
    <n v="180000"/>
    <n v="180000"/>
    <n v="720000"/>
    <n v="150000"/>
    <n v="30000"/>
    <n v="120000"/>
    <d v="2021-09-27T00:00:00"/>
    <s v="Mon"/>
    <n v="31"/>
    <d v="2021-12-27T00:00:00"/>
    <n v="122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9-06T00:00:00"/>
    <x v="137"/>
    <n v="207"/>
    <n v="2"/>
    <s v="BIZ"/>
    <n v="700000"/>
    <n v="5"/>
    <n v="0.05"/>
    <s v="Monthly"/>
    <s v="Jerome"/>
    <s v="DRAMANI WILFRED"/>
    <n v="25000"/>
    <n v="5000"/>
    <n v="20000"/>
    <n v="70000"/>
    <n v="175000"/>
    <n v="5"/>
    <n v="875000"/>
    <n v="175000"/>
    <n v="175000"/>
    <n v="875000"/>
    <n v="140000"/>
    <n v="35000"/>
    <n v="175000"/>
    <d v="2021-10-06T00:00:00"/>
    <s v="Wed"/>
    <n v="30"/>
    <d v="2022-02-06T00:00:00"/>
    <n v="153"/>
    <s v="Expired"/>
    <n v="0"/>
    <n v="5"/>
    <n v="875000"/>
    <n v="175000"/>
    <n v="700000"/>
    <n v="0"/>
    <n v="175000"/>
    <n v="361000"/>
    <n v="536000"/>
    <n v="0"/>
    <n v="339000"/>
    <n v="339000"/>
    <n v="339000"/>
    <n v="1.9371428571428571"/>
    <n v="59"/>
    <s v="2.(31-60) Days"/>
    <s v="Ok"/>
  </r>
  <r>
    <d v="2021-07-23T00:00:00"/>
    <x v="139"/>
    <n v="127"/>
    <n v="1"/>
    <s v="BIZ"/>
    <n v="3000000"/>
    <n v="3"/>
    <n v="0.05"/>
    <s v="Monthly"/>
    <s v="Kana"/>
    <s v="MORO HAKIM"/>
    <n v="10000"/>
    <n v="5000"/>
    <n v="60000"/>
    <n v="300000"/>
    <n v="450000"/>
    <n v="3"/>
    <n v="3450000"/>
    <n v="1150000"/>
    <n v="1150000"/>
    <n v="3450000"/>
    <n v="1000000"/>
    <n v="150000"/>
    <n v="450000"/>
    <d v="2021-08-23T00:00:00"/>
    <s v="Mon"/>
    <n v="31"/>
    <d v="2021-10-23T00:00:00"/>
    <n v="92"/>
    <s v="Expired"/>
    <n v="0"/>
    <n v="3"/>
    <n v="3450000"/>
    <n v="450000"/>
    <n v="3000000"/>
    <n v="0"/>
    <n v="450000"/>
    <n v="2999999.9999999995"/>
    <n v="3449999.9999999995"/>
    <n v="0"/>
    <n v="4.6566128730773926E-10"/>
    <n v="4.6566128730773926E-10"/>
    <n v="4.6566128730773926E-10"/>
    <n v="4.0492285852846893E-16"/>
    <n v="1"/>
    <s v="Cleared"/>
    <s v="Ok"/>
  </r>
  <r>
    <d v="2021-07-24T00:00:00"/>
    <x v="140"/>
    <n v="131"/>
    <n v="1"/>
    <s v="BIZ"/>
    <n v="500000"/>
    <n v="5"/>
    <n v="0.05"/>
    <s v="Monthly"/>
    <s v="Jerome"/>
    <s v="GBENINGA RUKIA"/>
    <n v="10000"/>
    <n v="5000"/>
    <n v="5000"/>
    <n v="50000"/>
    <n v="125000"/>
    <n v="5"/>
    <n v="625000"/>
    <n v="125000"/>
    <n v="125000"/>
    <n v="625000"/>
    <n v="100000"/>
    <n v="25000"/>
    <n v="125000"/>
    <d v="2021-08-24T00:00:00"/>
    <s v="Tue"/>
    <n v="31"/>
    <d v="2021-12-24T00:00:00"/>
    <n v="153"/>
    <s v="Expired"/>
    <n v="0"/>
    <n v="5"/>
    <n v="625000"/>
    <n v="125000"/>
    <n v="500000"/>
    <n v="0"/>
    <n v="125000"/>
    <n v="500000"/>
    <n v="625000"/>
    <n v="0"/>
    <n v="0"/>
    <n v="0"/>
    <s v=""/>
    <n v="0"/>
    <n v="0"/>
    <s v="Cleared"/>
    <s v="Ok"/>
  </r>
  <r>
    <d v="2021-08-30T00:00:00"/>
    <x v="141"/>
    <n v="191"/>
    <n v="1"/>
    <s v="BIZ"/>
    <n v="500000"/>
    <n v="4"/>
    <n v="0.05"/>
    <s v="Monthly"/>
    <s v="Aroma"/>
    <s v="ETOLE BIAJO"/>
    <n v="15000"/>
    <n v="5000"/>
    <n v="5000"/>
    <n v="50000"/>
    <n v="100000"/>
    <n v="4"/>
    <n v="600000"/>
    <n v="150000"/>
    <n v="150000"/>
    <n v="600000"/>
    <n v="125000"/>
    <n v="25000"/>
    <n v="100000"/>
    <d v="2021-09-30T00:00:00"/>
    <s v="Thu"/>
    <n v="31"/>
    <d v="2021-12-30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7-24T00:00:00"/>
    <x v="142"/>
    <n v="132"/>
    <n v="1"/>
    <s v="BIZ"/>
    <n v="400000"/>
    <n v="4"/>
    <n v="0.05"/>
    <s v="Monthly"/>
    <s v="Kana"/>
    <s v="NIGHT ASARA"/>
    <n v="10000"/>
    <n v="5000"/>
    <n v="8000"/>
    <n v="40000"/>
    <n v="80000"/>
    <n v="4"/>
    <n v="480000"/>
    <n v="120000"/>
    <n v="120000"/>
    <n v="480000"/>
    <n v="100000"/>
    <n v="20000"/>
    <n v="80000"/>
    <d v="2021-08-24T00:00:00"/>
    <s v="Tue"/>
    <n v="31"/>
    <d v="2021-11-24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7-24T00:00:00"/>
    <x v="143"/>
    <n v="133"/>
    <n v="1"/>
    <s v="BIZ"/>
    <n v="400000"/>
    <n v="4"/>
    <n v="0.05"/>
    <s v="Monthly"/>
    <s v="Kana"/>
    <s v="IMBIRA AISHA"/>
    <n v="10000"/>
    <n v="5000"/>
    <n v="4000"/>
    <n v="40000"/>
    <n v="80000"/>
    <n v="4"/>
    <n v="480000"/>
    <n v="120000"/>
    <n v="120000"/>
    <n v="480000"/>
    <n v="100000"/>
    <n v="20000"/>
    <n v="80000"/>
    <d v="2021-08-24T00:00:00"/>
    <s v="Tue"/>
    <n v="31"/>
    <d v="2021-11-24T00:00:00"/>
    <n v="123"/>
    <s v="Expired"/>
    <n v="0"/>
    <n v="4"/>
    <n v="480000"/>
    <n v="80000"/>
    <n v="400000"/>
    <n v="0"/>
    <n v="80000"/>
    <n v="370000"/>
    <n v="450000"/>
    <n v="0"/>
    <n v="30000"/>
    <n v="30000"/>
    <n v="30000"/>
    <n v="0.25"/>
    <n v="8"/>
    <s v="1.(0-30) Days"/>
    <s v="Ok"/>
  </r>
  <r>
    <d v="2021-07-24T00:00:00"/>
    <x v="144"/>
    <n v="130"/>
    <n v="1"/>
    <s v="BIZ"/>
    <n v="600000"/>
    <n v="3"/>
    <n v="0.05"/>
    <s v="Monthly"/>
    <s v="Jerome"/>
    <s v="DRICIRU MARGRET"/>
    <n v="10000"/>
    <n v="5000"/>
    <n v="12000"/>
    <n v="60000"/>
    <n v="90000"/>
    <n v="3"/>
    <n v="690000"/>
    <n v="230000"/>
    <n v="230000"/>
    <n v="690000"/>
    <n v="200000"/>
    <n v="30000"/>
    <n v="90000"/>
    <d v="2021-08-24T00:00:00"/>
    <s v="Tue"/>
    <n v="31"/>
    <d v="2021-10-24T00:00:00"/>
    <n v="92"/>
    <s v="Expired"/>
    <n v="0"/>
    <n v="3"/>
    <n v="690000"/>
    <n v="90000"/>
    <n v="600000"/>
    <n v="0"/>
    <n v="90000"/>
    <n v="600000"/>
    <n v="690000"/>
    <n v="0"/>
    <n v="0"/>
    <n v="0"/>
    <s v=""/>
    <n v="0"/>
    <n v="0"/>
    <s v="Cleared"/>
    <s v="Ok"/>
  </r>
  <r>
    <d v="2021-09-03T00:00:00"/>
    <x v="144"/>
    <n v="203"/>
    <n v="2"/>
    <s v="BIZ"/>
    <n v="1200000"/>
    <n v="5"/>
    <n v="0.05"/>
    <s v="Monthly"/>
    <s v="Jerome"/>
    <s v="DRICIRU MARGRET"/>
    <n v="25000"/>
    <n v="5000"/>
    <n v="40000"/>
    <n v="120000"/>
    <n v="300000"/>
    <n v="5"/>
    <n v="1500000"/>
    <n v="300000"/>
    <n v="300000"/>
    <n v="1500000"/>
    <n v="240000"/>
    <n v="60000"/>
    <n v="300000"/>
    <d v="2021-10-03T00:00:00"/>
    <s v="Sun"/>
    <n v="30"/>
    <d v="2022-02-03T00:00:00"/>
    <n v="153"/>
    <s v="Expired"/>
    <n v="0"/>
    <n v="5"/>
    <n v="1500000"/>
    <n v="300000"/>
    <n v="1200000"/>
    <n v="0"/>
    <n v="300000"/>
    <n v="1200000"/>
    <n v="1500000"/>
    <n v="0"/>
    <n v="0"/>
    <n v="0"/>
    <s v=""/>
    <n v="0"/>
    <n v="0"/>
    <s v="Cleared"/>
    <s v="Ok"/>
  </r>
  <r>
    <d v="2021-09-02T00:00:00"/>
    <x v="145"/>
    <n v="198"/>
    <n v="1"/>
    <s v="QUICK"/>
    <n v="1000000"/>
    <n v="1"/>
    <n v="7.4999999999999997E-2"/>
    <s v="Monthly"/>
    <s v="Kana"/>
    <s v="DRAMADRI AHUMED OKUNI"/>
    <n v="20000"/>
    <n v="5000"/>
    <n v="10000"/>
    <n v="100000"/>
    <n v="75000"/>
    <n v="1"/>
    <n v="1075000"/>
    <n v="1075000"/>
    <n v="1075000"/>
    <n v="1075000"/>
    <n v="1000000"/>
    <n v="75000"/>
    <n v="75000"/>
    <d v="2021-10-02T00:00:00"/>
    <s v="Sat"/>
    <n v="30"/>
    <d v="2021-10-02T00:00:00"/>
    <n v="30"/>
    <s v="Expired"/>
    <n v="0"/>
    <n v="1"/>
    <n v="1075000"/>
    <n v="75000"/>
    <n v="1000000"/>
    <n v="0"/>
    <n v="75000"/>
    <n v="1000000"/>
    <n v="1075000"/>
    <n v="0"/>
    <n v="0"/>
    <n v="0"/>
    <s v=""/>
    <n v="0"/>
    <n v="0"/>
    <s v="Cleared"/>
    <s v="Ok"/>
  </r>
  <r>
    <d v="2021-07-27T00:00:00"/>
    <x v="146"/>
    <n v="135"/>
    <n v="1"/>
    <s v="BIZ"/>
    <n v="400000"/>
    <n v="4"/>
    <n v="0.05"/>
    <s v="Monthly"/>
    <s v="Jerome"/>
    <s v="GBOKA ZAIDA"/>
    <n v="10000"/>
    <n v="5000"/>
    <n v="4000"/>
    <n v="40000"/>
    <n v="80000"/>
    <n v="4"/>
    <n v="480000"/>
    <n v="120000"/>
    <n v="120000"/>
    <n v="480000"/>
    <n v="100000"/>
    <n v="20000"/>
    <n v="80000"/>
    <d v="2021-08-27T00:00:00"/>
    <s v="Frid"/>
    <n v="31"/>
    <d v="2021-11-27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7-29T00:00:00"/>
    <x v="147"/>
    <n v="141"/>
    <n v="1"/>
    <s v="BIZ"/>
    <n v="400000"/>
    <n v="4"/>
    <n v="0.05"/>
    <s v="Weekly"/>
    <s v="Aroma"/>
    <s v="SIKA AMIDRA"/>
    <n v="10000"/>
    <n v="5000"/>
    <n v="4000"/>
    <n v="40000"/>
    <n v="80000"/>
    <n v="16"/>
    <n v="480000"/>
    <n v="30000"/>
    <n v="30000"/>
    <n v="480000"/>
    <n v="25000"/>
    <n v="5000"/>
    <n v="80000"/>
    <d v="2021-08-05T00:00:00"/>
    <s v="Thu"/>
    <n v="7"/>
    <d v="2021-11-29T00:00:00"/>
    <n v="123"/>
    <s v="Expired"/>
    <n v="0"/>
    <n v="16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8-30T00:00:00"/>
    <x v="98"/>
    <n v="193"/>
    <n v="2"/>
    <s v="BIZ"/>
    <n v="2000000"/>
    <n v="2"/>
    <n v="0.05"/>
    <s v="Monthly"/>
    <s v="Jerome"/>
    <s v="MORRO HASSAN"/>
    <n v="30000"/>
    <n v="5000"/>
    <n v="20000"/>
    <n v="200000"/>
    <n v="200000"/>
    <n v="2"/>
    <n v="2200000"/>
    <n v="1100000"/>
    <n v="1100000"/>
    <n v="2200000"/>
    <n v="1000000"/>
    <n v="100000"/>
    <n v="200000"/>
    <d v="2021-09-30T00:00:00"/>
    <s v="Thu"/>
    <n v="31"/>
    <d v="2021-10-30T00:00:00"/>
    <n v="61"/>
    <s v="Expired"/>
    <n v="0"/>
    <n v="2"/>
    <n v="2200000"/>
    <n v="200000"/>
    <n v="2000000"/>
    <n v="0"/>
    <n v="200000"/>
    <n v="2000000"/>
    <n v="2200000"/>
    <n v="0"/>
    <n v="0"/>
    <n v="0"/>
    <s v=""/>
    <n v="0"/>
    <n v="0"/>
    <s v="Cleared"/>
    <s v="Ok"/>
  </r>
  <r>
    <d v="2021-07-28T00:00:00"/>
    <x v="148"/>
    <n v="136"/>
    <n v="1"/>
    <s v="BIZ"/>
    <n v="700000"/>
    <n v="5"/>
    <n v="0.05"/>
    <s v="Monthly"/>
    <s v="Aroma"/>
    <s v="ASE ZAINABU"/>
    <n v="10000"/>
    <n v="5000"/>
    <n v="7000"/>
    <n v="70000"/>
    <n v="175000"/>
    <n v="5"/>
    <n v="875000"/>
    <n v="175000"/>
    <n v="175000"/>
    <n v="875000"/>
    <n v="140000"/>
    <n v="35000"/>
    <n v="175000"/>
    <d v="2021-08-28T00:00:00"/>
    <s v="Sat"/>
    <n v="31"/>
    <d v="2021-12-28T00:00:00"/>
    <n v="153"/>
    <s v="Expired"/>
    <n v="0"/>
    <n v="5"/>
    <n v="875000"/>
    <n v="175000"/>
    <n v="700000"/>
    <n v="0"/>
    <n v="175000"/>
    <n v="700000"/>
    <n v="875000"/>
    <n v="0"/>
    <n v="0"/>
    <n v="0"/>
    <s v=""/>
    <n v="0"/>
    <n v="0"/>
    <s v="Cleared"/>
    <s v="Ok"/>
  </r>
  <r>
    <d v="2021-07-30T00:00:00"/>
    <x v="149"/>
    <n v="143"/>
    <n v="1"/>
    <s v="BIZ"/>
    <n v="300000"/>
    <n v="4"/>
    <n v="0.05"/>
    <s v="Monthly"/>
    <s v="Aroma"/>
    <s v="AROMBORAC SIAMA"/>
    <n v="10000"/>
    <n v="5000"/>
    <n v="6000"/>
    <n v="30000"/>
    <n v="60000"/>
    <n v="4"/>
    <n v="360000"/>
    <n v="90000"/>
    <n v="90000"/>
    <n v="360000"/>
    <n v="75000"/>
    <n v="15000"/>
    <n v="60000"/>
    <d v="2021-08-30T00:00:00"/>
    <s v="Mon"/>
    <n v="31"/>
    <d v="2021-11-30T00:00:00"/>
    <n v="123"/>
    <s v="Expired"/>
    <n v="0"/>
    <n v="4"/>
    <n v="360000"/>
    <n v="60000"/>
    <n v="300000"/>
    <n v="0"/>
    <n v="60000"/>
    <n v="260000"/>
    <n v="320000"/>
    <n v="0"/>
    <n v="40000"/>
    <n v="40000"/>
    <n v="40000"/>
    <n v="0.44444444444444442"/>
    <n v="14"/>
    <s v="1.(0-30) Days"/>
    <s v="Ok"/>
  </r>
  <r>
    <d v="2021-08-03T00:00:00"/>
    <x v="150"/>
    <n v="149"/>
    <n v="1"/>
    <s v="BIZ"/>
    <n v="400000"/>
    <n v="3"/>
    <n v="0.05"/>
    <s v="Monthly"/>
    <s v="Aroma"/>
    <s v="ONIBA AISHA "/>
    <n v="20000"/>
    <n v="5000"/>
    <n v="8000"/>
    <n v="40000"/>
    <n v="60000"/>
    <n v="3"/>
    <n v="460000"/>
    <n v="153333.33333333334"/>
    <n v="154000"/>
    <n v="462000"/>
    <n v="133333.33333333334"/>
    <n v="20666.666666666657"/>
    <n v="61999.999999999971"/>
    <d v="2021-09-03T00:00:00"/>
    <s v="Frid"/>
    <n v="31"/>
    <d v="2021-11-03T00:00:00"/>
    <n v="92"/>
    <s v="Expired"/>
    <n v="0"/>
    <n v="3"/>
    <n v="462000"/>
    <n v="61999.999999999971"/>
    <n v="400000"/>
    <n v="0"/>
    <n v="61999.999999999971"/>
    <n v="398000"/>
    <n v="460000"/>
    <n v="0"/>
    <n v="2000"/>
    <n v="2000"/>
    <n v="2000"/>
    <n v="1.2987012987012988E-2"/>
    <n v="1"/>
    <s v="1.(0-30) Days"/>
    <s v="Ok"/>
  </r>
  <r>
    <d v="2021-11-12T00:00:00"/>
    <x v="150"/>
    <n v="325"/>
    <n v="3"/>
    <s v="BIZ"/>
    <n v="2000000"/>
    <n v="1"/>
    <n v="0.05"/>
    <s v="Monthly"/>
    <s v="Aroma"/>
    <s v="ONIBA AISHA "/>
    <n v="15000"/>
    <n v="5000"/>
    <n v="8000"/>
    <n v="200000"/>
    <n v="100000"/>
    <n v="1"/>
    <n v="2100000"/>
    <n v="2100000"/>
    <n v="2100000"/>
    <n v="2100000"/>
    <n v="2000000"/>
    <n v="100000"/>
    <n v="100000"/>
    <d v="2021-12-12T00:00:00"/>
    <s v="Sun"/>
    <n v="30"/>
    <d v="2021-12-12T00:00:00"/>
    <n v="30"/>
    <s v="Expired"/>
    <n v="0"/>
    <n v="1"/>
    <n v="2100000"/>
    <n v="100000"/>
    <n v="2000000"/>
    <n v="0"/>
    <n v="100000"/>
    <n v="2000000"/>
    <n v="2100000"/>
    <n v="0"/>
    <n v="0"/>
    <n v="0"/>
    <s v=""/>
    <n v="0"/>
    <n v="0"/>
    <s v="Cleared"/>
    <s v="Ok"/>
  </r>
  <r>
    <d v="2021-08-02T00:00:00"/>
    <x v="151"/>
    <n v="148"/>
    <n v="1"/>
    <s v="BIZ"/>
    <n v="500000"/>
    <n v="4"/>
    <n v="0.05"/>
    <s v="Monthly"/>
    <s v="Kana"/>
    <s v="AYITE MARGERT"/>
    <n v="15000"/>
    <n v="5000"/>
    <n v="5000"/>
    <n v="50000"/>
    <n v="100000"/>
    <n v="4"/>
    <n v="600000"/>
    <n v="150000"/>
    <n v="150000"/>
    <n v="600000"/>
    <n v="125000"/>
    <n v="25000"/>
    <n v="100000"/>
    <d v="2021-09-02T00:00:00"/>
    <s v="Thu"/>
    <n v="31"/>
    <d v="2021-12-02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8-03T00:00:00"/>
    <x v="152"/>
    <n v="150"/>
    <n v="1"/>
    <s v="BIZ"/>
    <n v="500000"/>
    <n v="4"/>
    <n v="0.05"/>
    <s v="Monthly"/>
    <s v="Aroma"/>
    <s v="ALICE AMINA"/>
    <n v="15000"/>
    <n v="5000"/>
    <n v="5000"/>
    <n v="50000"/>
    <n v="100000"/>
    <n v="4"/>
    <n v="600000"/>
    <n v="150000"/>
    <n v="150000"/>
    <n v="600000"/>
    <n v="125000"/>
    <n v="25000"/>
    <n v="100000"/>
    <d v="2021-09-03T00:00:00"/>
    <s v="Frid"/>
    <n v="31"/>
    <d v="2021-12-03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10-13T00:00:00"/>
    <x v="108"/>
    <n v="267"/>
    <n v="2"/>
    <s v="BIZ"/>
    <n v="500000"/>
    <n v="4"/>
    <n v="0.05"/>
    <s v="Monthly"/>
    <s v="Aroma"/>
    <s v="CHANDI ZANABU"/>
    <n v="15000"/>
    <n v="5000"/>
    <n v="3000"/>
    <n v="50000"/>
    <n v="100000"/>
    <n v="4"/>
    <n v="600000"/>
    <n v="150000"/>
    <n v="150000"/>
    <n v="600000"/>
    <n v="125000"/>
    <n v="25000"/>
    <n v="100000"/>
    <d v="2021-11-13T00:00:00"/>
    <s v="Sat"/>
    <n v="31"/>
    <d v="2022-02-13T00:00:00"/>
    <n v="123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10-08T00:00:00"/>
    <x v="106"/>
    <n v="261"/>
    <n v="2"/>
    <s v="QUICK"/>
    <n v="2000000"/>
    <n v="1"/>
    <n v="7.4999999999999997E-2"/>
    <s v="Monthly"/>
    <s v="Kana"/>
    <s v="OKUYO BERNARD"/>
    <n v="20000"/>
    <n v="5000"/>
    <n v="13000"/>
    <n v="200000"/>
    <n v="150000"/>
    <n v="1"/>
    <n v="2150000"/>
    <n v="2150000"/>
    <n v="2150000"/>
    <n v="2150000"/>
    <n v="2000000"/>
    <n v="150000"/>
    <n v="150000"/>
    <d v="2021-11-08T00:00:00"/>
    <s v="Mon"/>
    <n v="31"/>
    <d v="2021-11-08T00:00:00"/>
    <n v="31"/>
    <s v="Expired"/>
    <n v="0"/>
    <n v="1"/>
    <n v="2150000"/>
    <n v="150000"/>
    <n v="2000000"/>
    <n v="0"/>
    <n v="150000"/>
    <n v="2000000"/>
    <n v="2150000"/>
    <n v="0"/>
    <n v="0"/>
    <n v="0"/>
    <s v=""/>
    <n v="0"/>
    <n v="0"/>
    <s v="Cleared"/>
    <s v="Ok"/>
  </r>
  <r>
    <d v="2021-08-05T00:00:00"/>
    <x v="153"/>
    <n v="156"/>
    <n v="1"/>
    <s v="BIZ"/>
    <n v="300000"/>
    <n v="3"/>
    <n v="0.05"/>
    <s v="Monthly"/>
    <s v="Aroma"/>
    <s v="CHANDIRU RAMULA"/>
    <n v="20000"/>
    <n v="5000"/>
    <n v="6000"/>
    <n v="30000"/>
    <n v="45000"/>
    <n v="3"/>
    <n v="345000"/>
    <n v="115000"/>
    <n v="115000"/>
    <n v="345000"/>
    <n v="100000"/>
    <n v="15000"/>
    <n v="45000"/>
    <d v="2021-09-05T00:00:00"/>
    <s v="Sun"/>
    <n v="31"/>
    <d v="2021-11-05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08-05T00:00:00"/>
    <x v="154"/>
    <n v="154"/>
    <n v="1"/>
    <s v="BIZ"/>
    <n v="2000000"/>
    <n v="6"/>
    <n v="0.05"/>
    <s v="Weekly"/>
    <s v="Kana"/>
    <s v="ARIKE SWAIB"/>
    <n v="25000"/>
    <n v="5000"/>
    <n v="40000"/>
    <n v="200000"/>
    <n v="600000"/>
    <n v="24"/>
    <n v="2600000"/>
    <n v="108333.33333333333"/>
    <n v="109000"/>
    <n v="2616000"/>
    <n v="83333.333333333328"/>
    <n v="25666.666666666672"/>
    <n v="616000.00000000012"/>
    <d v="2021-08-12T00:00:00"/>
    <s v="Thu"/>
    <n v="7"/>
    <d v="2022-02-05T00:00:00"/>
    <n v="184"/>
    <s v="Expired"/>
    <n v="0"/>
    <n v="24"/>
    <n v="2616000"/>
    <n v="616000.00000000012"/>
    <n v="2000000"/>
    <n v="0"/>
    <n v="616000.00000000012"/>
    <n v="1984000"/>
    <n v="2600000"/>
    <n v="0"/>
    <n v="16000"/>
    <n v="16000"/>
    <n v="16000"/>
    <n v="0.14678899082568808"/>
    <n v="2"/>
    <s v="1.(0-30) Days"/>
    <s v="Ok"/>
  </r>
  <r>
    <d v="2021-08-05T00:00:00"/>
    <x v="155"/>
    <n v="157"/>
    <n v="1"/>
    <s v="BIZ"/>
    <n v="1000000"/>
    <n v="6"/>
    <n v="0.05"/>
    <s v="Monthly"/>
    <s v="Aroma"/>
    <s v="DRICHA KADIJA"/>
    <n v="20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1-09-05T00:00:00"/>
    <s v="Sun"/>
    <n v="31"/>
    <d v="2022-02-05T00:00:00"/>
    <n v="184"/>
    <s v="Expired"/>
    <n v="0"/>
    <n v="6"/>
    <n v="1302000"/>
    <n v="302000.00000000006"/>
    <n v="1000000"/>
    <n v="0"/>
    <n v="302000.00000000006"/>
    <n v="998000"/>
    <n v="1300000"/>
    <n v="0"/>
    <n v="2000"/>
    <n v="2000"/>
    <n v="2000"/>
    <n v="9.2165898617511521E-3"/>
    <n v="1"/>
    <s v="1.(0-30) Days"/>
    <s v="Ok"/>
  </r>
  <r>
    <d v="2021-09-09T00:00:00"/>
    <x v="156"/>
    <n v="215"/>
    <n v="1"/>
    <s v="BIZ"/>
    <n v="2000000"/>
    <n v="6"/>
    <n v="0.05"/>
    <s v="Weekly"/>
    <s v="Jerome"/>
    <s v="ALIGA ASHIRAF"/>
    <n v="25000"/>
    <n v="5000"/>
    <n v="40000"/>
    <n v="200000"/>
    <n v="600000"/>
    <n v="24"/>
    <n v="2600000"/>
    <n v="108333.33333333333"/>
    <n v="109000"/>
    <n v="2616000"/>
    <n v="83333.333333333328"/>
    <n v="25666.666666666672"/>
    <n v="616000.00000000012"/>
    <d v="2021-09-16T00:00:00"/>
    <s v="Thu"/>
    <n v="7"/>
    <d v="2022-03-09T00:00:00"/>
    <n v="181"/>
    <s v="Expired"/>
    <n v="0"/>
    <n v="24"/>
    <n v="2616000"/>
    <n v="616000.00000000012"/>
    <n v="2000000"/>
    <n v="0"/>
    <n v="125666.66666666669"/>
    <n v="284333.33333333331"/>
    <n v="410000"/>
    <n v="490333.33333333343"/>
    <n v="1715666.6666666667"/>
    <n v="2206000"/>
    <n v="2206000"/>
    <n v="20.238532110091743"/>
    <n v="142"/>
    <s v="4.(91-365) Days"/>
    <s v="Ok"/>
  </r>
  <r>
    <d v="2021-09-11T00:00:00"/>
    <x v="150"/>
    <n v="216"/>
    <n v="2"/>
    <s v="BIZ"/>
    <n v="800000"/>
    <n v="5"/>
    <n v="0.05"/>
    <s v="Monthly"/>
    <s v="Aroma"/>
    <s v="ONIBA AISHA "/>
    <n v="20000"/>
    <n v="5000"/>
    <n v="8000"/>
    <n v="80000"/>
    <n v="200000"/>
    <n v="5"/>
    <n v="1000000"/>
    <n v="200000"/>
    <n v="200000"/>
    <n v="1000000"/>
    <n v="160000"/>
    <n v="40000"/>
    <n v="200000"/>
    <d v="2021-10-11T00:00:00"/>
    <s v="Mon"/>
    <n v="30"/>
    <d v="2022-02-11T00:00:00"/>
    <n v="153"/>
    <s v="Expired"/>
    <n v="0"/>
    <n v="5"/>
    <n v="1000000"/>
    <n v="200000"/>
    <n v="800000"/>
    <n v="0"/>
    <n v="200000"/>
    <n v="800000"/>
    <n v="1000000"/>
    <n v="0"/>
    <n v="0"/>
    <n v="0"/>
    <s v=""/>
    <n v="0"/>
    <n v="0"/>
    <s v="Cleared"/>
    <s v="Ok"/>
  </r>
  <r>
    <d v="2021-08-06T00:00:00"/>
    <x v="157"/>
    <n v="159"/>
    <n v="1"/>
    <s v="BIZ"/>
    <n v="5000000"/>
    <n v="5"/>
    <n v="0.05"/>
    <s v="Monthly"/>
    <s v="Kana"/>
    <s v="ALORO FREDERICK"/>
    <n v="15000"/>
    <n v="5000"/>
    <n v="50000"/>
    <n v="500000"/>
    <n v="1250000"/>
    <n v="5"/>
    <n v="6250000"/>
    <n v="1250000"/>
    <n v="1250000"/>
    <n v="6250000"/>
    <n v="1000000"/>
    <n v="250000"/>
    <n v="1250000"/>
    <d v="2021-09-06T00:00:00"/>
    <s v="Mon"/>
    <n v="31"/>
    <d v="2022-01-06T00:00:00"/>
    <n v="153"/>
    <s v="Expired"/>
    <n v="0"/>
    <n v="5"/>
    <n v="6250000"/>
    <n v="1250000"/>
    <n v="5000000"/>
    <n v="0"/>
    <n v="1250000"/>
    <n v="5000000"/>
    <n v="6250000"/>
    <n v="0"/>
    <n v="0"/>
    <n v="0"/>
    <s v=""/>
    <n v="0"/>
    <n v="0"/>
    <s v="Cleared"/>
    <s v="Ok"/>
  </r>
  <r>
    <d v="2021-09-15T00:00:00"/>
    <x v="62"/>
    <n v="218"/>
    <n v="2"/>
    <s v="BIZ"/>
    <n v="700000"/>
    <n v="5"/>
    <n v="0.05"/>
    <s v="Monthly"/>
    <s v="Aroma"/>
    <s v="AKINO JUDITH"/>
    <n v="20000"/>
    <n v="5000"/>
    <n v="7000"/>
    <n v="70000"/>
    <n v="175000"/>
    <n v="5"/>
    <n v="875000"/>
    <n v="175000"/>
    <n v="175000"/>
    <n v="875000"/>
    <n v="140000"/>
    <n v="35000"/>
    <n v="175000"/>
    <d v="2021-10-15T00:00:00"/>
    <s v="Frid"/>
    <n v="30"/>
    <d v="2022-02-15T00:00:00"/>
    <n v="153"/>
    <s v="Expired"/>
    <n v="0"/>
    <n v="5"/>
    <n v="875000"/>
    <n v="175000"/>
    <n v="700000"/>
    <n v="0"/>
    <n v="20000"/>
    <n v="155000"/>
    <n v="175000"/>
    <n v="155000"/>
    <n v="545000"/>
    <n v="700000"/>
    <n v="700000"/>
    <n v="4"/>
    <n v="120"/>
    <s v="4.(91-365) Days"/>
    <s v="Ok"/>
  </r>
  <r>
    <d v="2021-08-16T00:00:00"/>
    <x v="158"/>
    <n v="176"/>
    <n v="1"/>
    <s v="BIZ"/>
    <n v="2000000"/>
    <n v="6"/>
    <n v="0.05"/>
    <s v="Weekly"/>
    <s v="Kana"/>
    <s v="KATO KENNEDY"/>
    <n v="20000"/>
    <n v="5000"/>
    <n v="20000"/>
    <n v="200000"/>
    <n v="600000"/>
    <n v="24"/>
    <n v="2600000"/>
    <n v="108333.33333333333"/>
    <n v="109000"/>
    <n v="2616000"/>
    <n v="83333.333333333328"/>
    <n v="25666.666666666672"/>
    <n v="616000.00000000012"/>
    <d v="2021-08-23T00:00:00"/>
    <s v="Mon"/>
    <n v="7"/>
    <d v="2022-02-16T00:00:00"/>
    <n v="184"/>
    <s v="Expired"/>
    <n v="0"/>
    <n v="24"/>
    <n v="2616000"/>
    <n v="616000.00000000012"/>
    <n v="2000000"/>
    <n v="0"/>
    <n v="616000.00000000012"/>
    <n v="2000000"/>
    <n v="2616000"/>
    <n v="0"/>
    <n v="0"/>
    <n v="0"/>
    <s v=""/>
    <n v="0"/>
    <n v="0"/>
    <s v="Cleared"/>
    <s v="Ok"/>
  </r>
  <r>
    <d v="2021-08-10T00:00:00"/>
    <x v="159"/>
    <n v="164"/>
    <n v="1"/>
    <s v="BIZ"/>
    <n v="400000"/>
    <n v="3"/>
    <n v="0.05"/>
    <s v="Monthly"/>
    <s v="Jerome"/>
    <s v="KABEBI RAIMA "/>
    <n v="20000"/>
    <n v="5000"/>
    <n v="4000"/>
    <n v="40000"/>
    <n v="60000"/>
    <n v="3"/>
    <n v="460000"/>
    <n v="153333.33333333334"/>
    <n v="154000"/>
    <n v="462000"/>
    <n v="133333.33333333334"/>
    <n v="20666.666666666657"/>
    <n v="61999.999999999971"/>
    <d v="2021-09-10T00:00:00"/>
    <s v="Frid"/>
    <n v="31"/>
    <d v="2021-11-10T00:00:00"/>
    <n v="92"/>
    <s v="Expired"/>
    <n v="0"/>
    <n v="3"/>
    <n v="462000"/>
    <n v="61999.999999999971"/>
    <n v="400000"/>
    <n v="0"/>
    <n v="61999.999999999971"/>
    <n v="400000"/>
    <n v="462000"/>
    <n v="0"/>
    <n v="0"/>
    <n v="0"/>
    <s v=""/>
    <n v="0"/>
    <n v="0"/>
    <s v="Cleared"/>
    <s v="Ok"/>
  </r>
  <r>
    <d v="2021-11-26T00:00:00"/>
    <x v="113"/>
    <n v="349"/>
    <n v="2"/>
    <s v="SLA"/>
    <n v="650000"/>
    <n v="2"/>
    <n v="7.4999999999999997E-2"/>
    <s v="Monthly"/>
    <s v="Kana"/>
    <s v="BADAKA GIFT JOEL"/>
    <n v="20000"/>
    <n v="5000"/>
    <n v="10000"/>
    <n v="65000"/>
    <n v="97500"/>
    <n v="2"/>
    <n v="747500"/>
    <n v="373750"/>
    <n v="374000"/>
    <n v="748000"/>
    <n v="325000"/>
    <n v="49000"/>
    <n v="98000"/>
    <d v="2021-12-26T00:00:00"/>
    <s v="Sun"/>
    <n v="30"/>
    <d v="2022-01-26T00:00:00"/>
    <n v="61"/>
    <s v="Expired"/>
    <n v="0"/>
    <n v="2"/>
    <n v="748000"/>
    <n v="98000"/>
    <n v="650000"/>
    <n v="0"/>
    <n v="98000"/>
    <n v="650000"/>
    <n v="748000"/>
    <n v="0"/>
    <n v="0"/>
    <n v="0"/>
    <s v=""/>
    <n v="0"/>
    <n v="0"/>
    <s v="Cleared"/>
    <s v="Ok"/>
  </r>
  <r>
    <d v="2021-08-10T00:00:00"/>
    <x v="160"/>
    <n v="166"/>
    <n v="1"/>
    <s v="BIZ"/>
    <n v="300000"/>
    <n v="3"/>
    <n v="0.05"/>
    <s v="Weekly"/>
    <s v="Aroma"/>
    <s v="ZUBEDA WAIGA"/>
    <n v="25000"/>
    <n v="5000"/>
    <n v="3000"/>
    <n v="30000"/>
    <n v="45000"/>
    <n v="12"/>
    <n v="345000"/>
    <n v="28750"/>
    <n v="29000"/>
    <n v="348000"/>
    <n v="25000"/>
    <n v="4000"/>
    <n v="48000"/>
    <d v="2021-08-17T00:00:00"/>
    <s v="Tue"/>
    <n v="7"/>
    <d v="2021-11-10T00:00:00"/>
    <n v="92"/>
    <s v="Expired"/>
    <n v="0"/>
    <n v="12"/>
    <n v="348000"/>
    <n v="48000"/>
    <n v="300000"/>
    <n v="0"/>
    <n v="48000"/>
    <n v="297000"/>
    <n v="345000"/>
    <n v="0"/>
    <n v="3000"/>
    <n v="3000"/>
    <n v="3000"/>
    <n v="0.10344827586206896"/>
    <n v="1"/>
    <s v="1.(0-30) Days"/>
    <s v="Ok"/>
  </r>
  <r>
    <d v="2021-08-11T00:00:00"/>
    <x v="161"/>
    <n v="167"/>
    <n v="1"/>
    <s v="BIZ"/>
    <n v="300000"/>
    <n v="3"/>
    <n v="0.05"/>
    <s v="Monthly"/>
    <s v="Jerome"/>
    <s v="GERIA VIOLA"/>
    <n v="25000"/>
    <n v="5000"/>
    <n v="20000"/>
    <n v="30000"/>
    <n v="45000"/>
    <n v="3"/>
    <n v="345000"/>
    <n v="115000"/>
    <n v="115000"/>
    <n v="345000"/>
    <n v="100000"/>
    <n v="15000"/>
    <n v="45000"/>
    <d v="2021-09-11T00:00:00"/>
    <s v="Sat"/>
    <n v="31"/>
    <d v="2021-11-11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08-23T00:00:00"/>
    <x v="162"/>
    <n v="185"/>
    <n v="1"/>
    <s v="SLA"/>
    <n v="700000"/>
    <n v="3"/>
    <n v="7.4999999999999997E-2"/>
    <s v="Monthly"/>
    <s v="Jerome"/>
    <s v="IJOSIGA ISMAIL"/>
    <n v="20000"/>
    <n v="5000"/>
    <n v="6000"/>
    <n v="70000"/>
    <n v="157500"/>
    <n v="3"/>
    <n v="857500"/>
    <n v="285833.33333333331"/>
    <n v="286000"/>
    <n v="858000"/>
    <n v="233333.33333333334"/>
    <n v="52666.666666666657"/>
    <n v="157999.99999999997"/>
    <d v="2021-09-23T00:00:00"/>
    <s v="Thu"/>
    <n v="31"/>
    <d v="2021-11-23T00:00:00"/>
    <n v="92"/>
    <s v="Expired"/>
    <n v="0"/>
    <n v="3"/>
    <n v="858000"/>
    <n v="157999.99999999997"/>
    <n v="700000"/>
    <n v="0"/>
    <n v="157999.99999999997"/>
    <n v="604500"/>
    <n v="762500"/>
    <n v="0"/>
    <n v="95500"/>
    <n v="95500"/>
    <n v="95500"/>
    <n v="0.33391608391608391"/>
    <n v="11"/>
    <s v="1.(0-30) Days"/>
    <s v="Ok"/>
  </r>
  <r>
    <d v="2021-08-12T00:00:00"/>
    <x v="163"/>
    <n v="168"/>
    <n v="1"/>
    <s v="BIZ"/>
    <n v="300000"/>
    <n v="3"/>
    <n v="0.05"/>
    <s v="Monthly"/>
    <s v="Kana"/>
    <s v="LEKURU CHRISTINE"/>
    <n v="15000"/>
    <n v="5000"/>
    <n v="3000"/>
    <n v="30000"/>
    <n v="45000"/>
    <n v="3"/>
    <n v="345000"/>
    <n v="115000"/>
    <n v="115000"/>
    <n v="345000"/>
    <n v="100000"/>
    <n v="15000"/>
    <n v="45000"/>
    <d v="2021-09-12T00:00:00"/>
    <s v="Sun"/>
    <n v="31"/>
    <d v="2021-11-12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08-19T00:00:00"/>
    <x v="164"/>
    <n v="175"/>
    <n v="1"/>
    <s v="BIZ"/>
    <n v="300000"/>
    <n v="3"/>
    <n v="0.05"/>
    <s v="Monthly"/>
    <s v="Aroma"/>
    <s v="ANITE ZAM"/>
    <n v="20000"/>
    <n v="5000"/>
    <n v="3000"/>
    <n v="30000"/>
    <n v="45000"/>
    <n v="3"/>
    <n v="345000"/>
    <n v="115000"/>
    <n v="115000"/>
    <n v="345000"/>
    <n v="100000"/>
    <n v="15000"/>
    <n v="45000"/>
    <d v="2021-09-19T00:00:00"/>
    <s v="Sun"/>
    <n v="31"/>
    <d v="2021-11-19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09-21T00:00:00"/>
    <x v="18"/>
    <n v="230"/>
    <n v="2"/>
    <s v="BIZ"/>
    <n v="1000000"/>
    <n v="6"/>
    <n v="0.05"/>
    <s v="Monthly"/>
    <s v="Aroma"/>
    <s v="TABU JANE"/>
    <n v="20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1-10-21T00:00:00"/>
    <s v="Thu"/>
    <n v="30"/>
    <d v="2022-03-21T00:00:00"/>
    <n v="181"/>
    <s v="Expired"/>
    <n v="0"/>
    <n v="6"/>
    <n v="1302000"/>
    <n v="302000.00000000006"/>
    <n v="1000000"/>
    <n v="0"/>
    <n v="322000.00000000006"/>
    <n v="730699.99999999988"/>
    <n v="1052700"/>
    <n v="-20000"/>
    <n v="269300.00000000012"/>
    <n v="249300.00000000012"/>
    <n v="249300.00000000012"/>
    <n v="1.1488479262672817"/>
    <n v="35"/>
    <s v="2.(31-60) Days"/>
    <s v="Error on Entry"/>
  </r>
  <r>
    <d v="2021-08-16T00:00:00"/>
    <x v="165"/>
    <n v="171"/>
    <n v="1"/>
    <s v="BIZ"/>
    <n v="600000"/>
    <n v="4"/>
    <n v="0.05"/>
    <s v="Monthly"/>
    <s v="Jerome"/>
    <s v="NIGHT AMINA HUSSEIN"/>
    <n v="15000"/>
    <n v="5000"/>
    <n v="6000"/>
    <n v="60000"/>
    <n v="120000"/>
    <n v="4"/>
    <n v="720000"/>
    <n v="180000"/>
    <n v="180000"/>
    <n v="720000"/>
    <n v="150000"/>
    <n v="30000"/>
    <n v="120000"/>
    <d v="2021-09-16T00:00:00"/>
    <s v="Thu"/>
    <n v="31"/>
    <d v="2021-12-16T00:00:00"/>
    <n v="122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8-16T00:00:00"/>
    <x v="166"/>
    <n v="170"/>
    <n v="1"/>
    <s v="BIZ"/>
    <n v="800000"/>
    <n v="4"/>
    <n v="0.05"/>
    <s v="Monthly"/>
    <s v="Aroma"/>
    <s v="OCOKORU GLORIA"/>
    <n v="15000"/>
    <n v="5000"/>
    <n v="8000"/>
    <n v="80000"/>
    <n v="160000"/>
    <n v="4"/>
    <n v="960000"/>
    <n v="240000"/>
    <n v="240000"/>
    <n v="960000"/>
    <n v="200000"/>
    <n v="40000"/>
    <n v="160000"/>
    <d v="2021-09-16T00:00:00"/>
    <s v="Thu"/>
    <n v="31"/>
    <d v="2021-12-16T00:00:00"/>
    <n v="122"/>
    <s v="Expired"/>
    <n v="0"/>
    <n v="4"/>
    <n v="960000"/>
    <n v="160000"/>
    <n v="800000"/>
    <n v="0"/>
    <n v="160000"/>
    <n v="800000"/>
    <n v="960000"/>
    <n v="0"/>
    <n v="0"/>
    <n v="0"/>
    <s v=""/>
    <n v="0"/>
    <n v="0"/>
    <s v="Cleared"/>
    <s v="Ok"/>
  </r>
  <r>
    <d v="2021-08-16T00:00:00"/>
    <x v="167"/>
    <n v="172"/>
    <n v="1"/>
    <s v="QUICK"/>
    <n v="700000"/>
    <n v="1"/>
    <n v="7.4999999999999997E-2"/>
    <s v="Monthly"/>
    <s v="Jerome"/>
    <s v="GIFT JAMES"/>
    <n v="15000"/>
    <n v="5000"/>
    <n v="7000"/>
    <n v="70000"/>
    <n v="52500"/>
    <n v="1"/>
    <n v="752500"/>
    <n v="752500"/>
    <n v="753000"/>
    <n v="753000"/>
    <n v="700000"/>
    <n v="53000"/>
    <n v="53000"/>
    <d v="2021-09-16T00:00:00"/>
    <s v="Thu"/>
    <n v="31"/>
    <d v="2021-09-16T00:00:00"/>
    <n v="31"/>
    <s v="Expired"/>
    <n v="0"/>
    <n v="1"/>
    <n v="753000"/>
    <n v="53000"/>
    <n v="700000"/>
    <n v="0"/>
    <n v="53000"/>
    <n v="700000"/>
    <n v="753000"/>
    <n v="0"/>
    <n v="0"/>
    <n v="0"/>
    <s v=""/>
    <n v="0"/>
    <n v="0"/>
    <s v="Cleared"/>
    <s v="Ok"/>
  </r>
  <r>
    <d v="2021-10-06T00:00:00"/>
    <x v="167"/>
    <n v="255"/>
    <n v="2"/>
    <s v="SLA"/>
    <n v="600000"/>
    <n v="2"/>
    <n v="7.4999999999999997E-2"/>
    <s v="Monthly"/>
    <s v="Jerome"/>
    <s v="GIFT JAMES"/>
    <n v="15000"/>
    <n v="5000"/>
    <n v="4000"/>
    <n v="60000"/>
    <n v="90000"/>
    <n v="2"/>
    <n v="690000"/>
    <n v="345000"/>
    <n v="345000"/>
    <n v="690000"/>
    <n v="300000"/>
    <n v="45000"/>
    <n v="90000"/>
    <d v="2021-11-06T00:00:00"/>
    <s v="Sat"/>
    <n v="31"/>
    <d v="2021-12-06T00:00:00"/>
    <n v="61"/>
    <s v="Expired"/>
    <n v="0"/>
    <n v="2"/>
    <n v="690000"/>
    <n v="90000"/>
    <n v="600000"/>
    <n v="0"/>
    <n v="90000"/>
    <n v="600000"/>
    <n v="690000"/>
    <n v="0"/>
    <n v="0"/>
    <n v="0"/>
    <s v=""/>
    <n v="0"/>
    <n v="0"/>
    <s v="Cleared"/>
    <s v="Ok"/>
  </r>
  <r>
    <d v="2021-09-28T00:00:00"/>
    <x v="132"/>
    <n v="234"/>
    <n v="2"/>
    <s v="BIZ"/>
    <n v="600000"/>
    <n v="5"/>
    <n v="0.05"/>
    <s v="Monthly"/>
    <s v="Kana"/>
    <s v="LEMERIGA GODWILL JOSEPH"/>
    <n v="20000"/>
    <n v="5000"/>
    <n v="6000"/>
    <n v="60000"/>
    <n v="150000"/>
    <n v="5"/>
    <n v="750000"/>
    <n v="150000"/>
    <n v="150000"/>
    <n v="750000"/>
    <n v="120000"/>
    <n v="30000"/>
    <n v="150000"/>
    <d v="2021-10-28T00:00:00"/>
    <s v="Thu"/>
    <n v="30"/>
    <d v="2022-02-28T00:00:00"/>
    <n v="153"/>
    <s v="Expired"/>
    <n v="0"/>
    <n v="5"/>
    <n v="750000"/>
    <n v="150000"/>
    <n v="600000"/>
    <n v="0"/>
    <n v="150000"/>
    <n v="600000"/>
    <n v="750000"/>
    <n v="0"/>
    <n v="0"/>
    <n v="0"/>
    <s v=""/>
    <n v="0"/>
    <n v="0"/>
    <s v="Cleared"/>
    <s v="Ok"/>
  </r>
  <r>
    <d v="2021-08-20T00:00:00"/>
    <x v="168"/>
    <n v="179"/>
    <n v="1"/>
    <s v="BIZ"/>
    <n v="400000"/>
    <n v="4"/>
    <n v="0.05"/>
    <s v="Monthly"/>
    <s v="Aroma"/>
    <s v="AJIO HARRIET "/>
    <n v="15000"/>
    <n v="5000"/>
    <n v="4000"/>
    <n v="40000"/>
    <n v="80000"/>
    <n v="4"/>
    <n v="480000"/>
    <n v="120000"/>
    <n v="120000"/>
    <n v="480000"/>
    <n v="100000"/>
    <n v="20000"/>
    <n v="80000"/>
    <d v="2021-09-20T00:00:00"/>
    <s v="Mon"/>
    <n v="31"/>
    <d v="2021-12-20T00:00:00"/>
    <n v="122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8-20T00:00:00"/>
    <x v="169"/>
    <n v="180"/>
    <n v="1"/>
    <s v="BIZ"/>
    <n v="400000"/>
    <n v="3"/>
    <n v="0.05"/>
    <s v="Monthly"/>
    <s v="Aroma"/>
    <s v="ADIRU HELLEN"/>
    <n v="15000"/>
    <n v="5000"/>
    <n v="4000"/>
    <n v="40000"/>
    <n v="60000"/>
    <n v="3"/>
    <n v="460000"/>
    <n v="153333.33333333334"/>
    <n v="154000"/>
    <n v="462000"/>
    <n v="133333.33333333334"/>
    <n v="20666.666666666657"/>
    <n v="61999.999999999971"/>
    <d v="2021-09-20T00:00:00"/>
    <s v="Mon"/>
    <n v="31"/>
    <d v="2021-11-20T00:00:00"/>
    <n v="92"/>
    <s v="Expired"/>
    <n v="0"/>
    <n v="3"/>
    <n v="462000"/>
    <n v="61999.999999999971"/>
    <n v="400000"/>
    <n v="0"/>
    <n v="61999.999999999971"/>
    <n v="398000"/>
    <n v="460000"/>
    <n v="0"/>
    <n v="2000"/>
    <n v="2000"/>
    <n v="2000"/>
    <n v="1.2987012987012988E-2"/>
    <n v="1"/>
    <s v="1.(0-30) Days"/>
    <s v="Ok"/>
  </r>
  <r>
    <d v="2021-08-20T00:00:00"/>
    <x v="170"/>
    <n v="178"/>
    <n v="1"/>
    <s v="BIZ"/>
    <n v="400000"/>
    <n v="4"/>
    <n v="0.05"/>
    <s v="Monthly"/>
    <s v="Jerome"/>
    <s v="AYIDA SELUWA"/>
    <n v="15000"/>
    <n v="5000"/>
    <n v="4000"/>
    <n v="40000"/>
    <n v="80000"/>
    <n v="4"/>
    <n v="480000"/>
    <n v="120000"/>
    <n v="120000"/>
    <n v="480000"/>
    <n v="100000"/>
    <n v="20000"/>
    <n v="80000"/>
    <d v="2021-09-20T00:00:00"/>
    <s v="Mon"/>
    <n v="31"/>
    <d v="2021-12-20T00:00:00"/>
    <n v="122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8-19T00:00:00"/>
    <x v="171"/>
    <n v="177"/>
    <n v="1"/>
    <s v="BIZ"/>
    <n v="400000"/>
    <n v="4"/>
    <n v="0.05"/>
    <s v="Monthly"/>
    <s v="Kana"/>
    <s v="TAISA AMINA"/>
    <n v="15000"/>
    <n v="5000"/>
    <n v="4000"/>
    <n v="40000"/>
    <n v="80000"/>
    <n v="4"/>
    <n v="480000"/>
    <n v="120000"/>
    <n v="120000"/>
    <n v="480000"/>
    <n v="100000"/>
    <n v="20000"/>
    <n v="80000"/>
    <d v="2021-09-19T00:00:00"/>
    <s v="Sun"/>
    <n v="31"/>
    <d v="2021-12-19T00:00:00"/>
    <n v="122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9-30T00:00:00"/>
    <x v="172"/>
    <n v="238"/>
    <n v="1"/>
    <s v="BIZ"/>
    <n v="800000"/>
    <n v="3"/>
    <n v="0.05"/>
    <s v="Monthly"/>
    <s v="Jerome"/>
    <s v="MUZEE OBEN SAM"/>
    <n v="20000"/>
    <n v="5000"/>
    <n v="8000"/>
    <n v="80000"/>
    <n v="120000"/>
    <n v="3"/>
    <n v="920000"/>
    <n v="306666.66666666669"/>
    <n v="307000"/>
    <n v="921000"/>
    <n v="266666.66666666669"/>
    <n v="40333.333333333314"/>
    <n v="120999.99999999994"/>
    <d v="2021-10-30T00:00:00"/>
    <s v="Sat"/>
    <n v="30"/>
    <d v="2021-12-30T00:00:00"/>
    <n v="91"/>
    <s v="Expired"/>
    <n v="0"/>
    <n v="3"/>
    <n v="921000"/>
    <n v="120999.99999999994"/>
    <n v="800000"/>
    <n v="0"/>
    <n v="120999.99999999994"/>
    <n v="799000"/>
    <n v="920000"/>
    <n v="0"/>
    <n v="1000"/>
    <n v="1000"/>
    <n v="1000"/>
    <n v="3.2573289902280132E-3"/>
    <n v="1"/>
    <s v="1.(0-30) Days"/>
    <s v="Ok"/>
  </r>
  <r>
    <d v="2021-09-06T00:00:00"/>
    <x v="173"/>
    <n v="210"/>
    <n v="1"/>
    <s v="BIZ"/>
    <n v="400000"/>
    <n v="3"/>
    <n v="0.05"/>
    <s v="Monthly"/>
    <s v="Kana"/>
    <s v="AYOZU JESCA TAIBO"/>
    <n v="15000"/>
    <n v="5000"/>
    <n v="4000"/>
    <n v="40000"/>
    <n v="60000"/>
    <n v="3"/>
    <n v="460000"/>
    <n v="153333.33333333334"/>
    <n v="154000"/>
    <n v="462000"/>
    <n v="133333.33333333334"/>
    <n v="20666.666666666657"/>
    <n v="61999.999999999971"/>
    <d v="2021-10-06T00:00:00"/>
    <s v="Wed"/>
    <n v="30"/>
    <d v="2021-12-06T00:00:00"/>
    <n v="91"/>
    <s v="Expired"/>
    <n v="0"/>
    <n v="3"/>
    <n v="462000"/>
    <n v="61999.999999999971"/>
    <n v="400000"/>
    <n v="0"/>
    <n v="61999.999999999971"/>
    <n v="400000"/>
    <n v="462000"/>
    <n v="0"/>
    <n v="0"/>
    <n v="0"/>
    <s v=""/>
    <n v="0"/>
    <n v="0"/>
    <s v="Cleared"/>
    <s v="Ok"/>
  </r>
  <r>
    <d v="2021-08-23T00:00:00"/>
    <x v="174"/>
    <n v="181"/>
    <n v="1"/>
    <s v="BIZ"/>
    <n v="300000"/>
    <n v="3"/>
    <n v="0.05"/>
    <s v="Monthly"/>
    <s v="Kana"/>
    <s v="MAZARAU AISHA"/>
    <n v="20000"/>
    <n v="5000"/>
    <n v="6000"/>
    <n v="30000"/>
    <n v="45000"/>
    <n v="3"/>
    <n v="345000"/>
    <n v="115000"/>
    <n v="115000"/>
    <n v="345000"/>
    <n v="100000"/>
    <n v="15000"/>
    <n v="45000"/>
    <d v="2021-09-23T00:00:00"/>
    <s v="Thu"/>
    <n v="31"/>
    <d v="2021-11-23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08-24T00:00:00"/>
    <x v="175"/>
    <n v="186"/>
    <n v="1"/>
    <s v="BIZ"/>
    <n v="500000"/>
    <n v="4"/>
    <n v="0.05"/>
    <s v="Monthly"/>
    <s v="Aroma"/>
    <s v="NYOLA SHERIFA AHMED"/>
    <n v="15000"/>
    <n v="5000"/>
    <n v="5000"/>
    <n v="50000"/>
    <n v="100000"/>
    <n v="4"/>
    <n v="600000"/>
    <n v="150000"/>
    <n v="150000"/>
    <n v="600000"/>
    <n v="125000"/>
    <n v="25000"/>
    <n v="100000"/>
    <d v="2021-09-24T00:00:00"/>
    <s v="Frid"/>
    <n v="31"/>
    <d v="2021-12-24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10-02T00:00:00"/>
    <x v="176"/>
    <n v="245"/>
    <n v="2"/>
    <s v="QUICK"/>
    <n v="200000"/>
    <n v="1"/>
    <n v="7.4999999999999997E-2"/>
    <s v="Monthly"/>
    <s v="Jerome"/>
    <s v="MATURU NEEMA"/>
    <n v="15000"/>
    <n v="5000"/>
    <n v="2000"/>
    <n v="20000"/>
    <n v="15000"/>
    <n v="1"/>
    <n v="215000"/>
    <n v="215000"/>
    <n v="215000"/>
    <n v="215000"/>
    <n v="200000"/>
    <n v="15000"/>
    <n v="15000"/>
    <d v="2021-11-02T00:00:00"/>
    <s v="Tue"/>
    <n v="31"/>
    <d v="2021-11-02T00:00:00"/>
    <n v="31"/>
    <s v="Expired"/>
    <n v="0"/>
    <n v="1"/>
    <n v="215000"/>
    <n v="15000"/>
    <n v="200000"/>
    <n v="0"/>
    <n v="0"/>
    <n v="0"/>
    <n v="0"/>
    <n v="15000"/>
    <n v="200000"/>
    <n v="215000"/>
    <n v="215000"/>
    <n v="1"/>
    <n v="30"/>
    <s v="1.(0-30) Days"/>
    <s v="Ok"/>
  </r>
  <r>
    <d v="2021-10-02T00:00:00"/>
    <x v="177"/>
    <n v="243"/>
    <n v="1"/>
    <s v="SLA"/>
    <n v="1000000"/>
    <n v="1"/>
    <n v="7.4999999999999997E-2"/>
    <s v="Monthly"/>
    <s v="Jerome"/>
    <s v="AMULE ISAAC"/>
    <n v="20000"/>
    <n v="5000"/>
    <n v="10000"/>
    <n v="100000"/>
    <n v="75000"/>
    <n v="1"/>
    <n v="1075000"/>
    <n v="1075000"/>
    <n v="1075000"/>
    <n v="1075000"/>
    <n v="1000000"/>
    <n v="75000"/>
    <n v="75000"/>
    <d v="2021-11-02T00:00:00"/>
    <s v="Tue"/>
    <n v="31"/>
    <d v="2021-11-02T00:00:00"/>
    <n v="31"/>
    <s v="Expired"/>
    <n v="0"/>
    <n v="1"/>
    <n v="1075000"/>
    <n v="75000"/>
    <n v="1000000"/>
    <n v="0"/>
    <n v="75000"/>
    <n v="1000000"/>
    <n v="1075000"/>
    <n v="0"/>
    <n v="0"/>
    <n v="0"/>
    <s v=""/>
    <n v="0"/>
    <n v="0"/>
    <s v="Cleared"/>
    <s v="Ok"/>
  </r>
  <r>
    <d v="2021-10-02T00:00:00"/>
    <x v="178"/>
    <n v="244"/>
    <n v="1"/>
    <s v="BIZ"/>
    <n v="500000"/>
    <n v="4"/>
    <n v="0.05"/>
    <s v="Monthly"/>
    <s v="Kana"/>
    <s v="EZRA INNOCENT"/>
    <n v="15000"/>
    <n v="5000"/>
    <n v="5000"/>
    <n v="50000"/>
    <n v="100000"/>
    <n v="4"/>
    <n v="600000"/>
    <n v="150000"/>
    <n v="150000"/>
    <n v="600000"/>
    <n v="125000"/>
    <n v="25000"/>
    <n v="100000"/>
    <d v="2021-11-02T00:00:00"/>
    <s v="Tue"/>
    <n v="31"/>
    <d v="2022-02-02T00:00:00"/>
    <n v="123"/>
    <s v="Expired"/>
    <n v="0"/>
    <n v="4"/>
    <n v="600000"/>
    <n v="100000"/>
    <n v="500000"/>
    <n v="0"/>
    <n v="100000"/>
    <n v="200000"/>
    <n v="300000"/>
    <n v="0"/>
    <n v="300000"/>
    <n v="300000"/>
    <n v="300000"/>
    <n v="2"/>
    <n v="60"/>
    <s v="2.(31-60) Days"/>
    <s v="Ok"/>
  </r>
  <r>
    <d v="2021-08-30T00:00:00"/>
    <x v="179"/>
    <n v="192"/>
    <n v="1"/>
    <s v="BIZ"/>
    <n v="400000"/>
    <n v="4"/>
    <n v="0.05"/>
    <s v="Monthly"/>
    <s v="Aroma"/>
    <s v="SIYESA JAMILA"/>
    <n v="15000"/>
    <n v="5000"/>
    <n v="4000"/>
    <n v="40000"/>
    <n v="80000"/>
    <n v="4"/>
    <n v="480000"/>
    <n v="120000"/>
    <n v="120000"/>
    <n v="480000"/>
    <n v="100000"/>
    <n v="20000"/>
    <n v="80000"/>
    <d v="2021-09-30T00:00:00"/>
    <s v="Thu"/>
    <n v="31"/>
    <d v="2021-12-30T00:00:00"/>
    <n v="122"/>
    <s v="Expired"/>
    <n v="0"/>
    <n v="4"/>
    <n v="480000"/>
    <n v="80000"/>
    <n v="400000"/>
    <n v="0"/>
    <n v="60000"/>
    <n v="340000"/>
    <n v="400000"/>
    <n v="20000"/>
    <n v="60000"/>
    <n v="80000"/>
    <n v="80000"/>
    <n v="0.66666666666666663"/>
    <n v="20"/>
    <s v="1.(0-30) Days"/>
    <s v="Ok"/>
  </r>
  <r>
    <d v="2021-09-01T00:00:00"/>
    <x v="180"/>
    <n v="196"/>
    <n v="1"/>
    <s v="QUICK"/>
    <n v="700000"/>
    <n v="1"/>
    <n v="7.4999999999999997E-2"/>
    <s v="Monthly"/>
    <s v="Jerome"/>
    <s v="OTHIM JIMMY"/>
    <n v="20000"/>
    <n v="5000"/>
    <n v="7000"/>
    <n v="70000"/>
    <n v="52500"/>
    <n v="1"/>
    <n v="752500"/>
    <n v="752500"/>
    <n v="753000"/>
    <n v="753000"/>
    <n v="700000"/>
    <n v="53000"/>
    <n v="53000"/>
    <d v="2021-10-01T00:00:00"/>
    <s v="Frid"/>
    <n v="30"/>
    <d v="2021-10-01T00:00:00"/>
    <n v="30"/>
    <s v="Expired"/>
    <n v="0"/>
    <n v="1"/>
    <n v="753000"/>
    <n v="53000"/>
    <n v="700000"/>
    <n v="0"/>
    <n v="50000"/>
    <n v="632500"/>
    <n v="682500"/>
    <n v="3000"/>
    <n v="67500"/>
    <n v="70500"/>
    <n v="70500"/>
    <n v="9.3625498007968128E-2"/>
    <n v="3"/>
    <s v="1.(0-30) Days"/>
    <s v="Ok"/>
  </r>
  <r>
    <d v="2021-10-16T00:00:00"/>
    <x v="180"/>
    <n v="273"/>
    <n v="2"/>
    <s v="QUICK"/>
    <n v="300000"/>
    <n v="1"/>
    <n v="7.4999999999999997E-2"/>
    <s v="Monthly"/>
    <s v="Jerome"/>
    <s v="OTHIM JIMMY"/>
    <n v="30000"/>
    <n v="5000"/>
    <n v="25000"/>
    <n v="30000"/>
    <n v="22500"/>
    <n v="1"/>
    <n v="322500"/>
    <n v="322500"/>
    <n v="323000"/>
    <n v="323000"/>
    <n v="300000"/>
    <n v="23000"/>
    <n v="23000"/>
    <d v="2021-11-16T00:00:00"/>
    <s v="Tue"/>
    <n v="31"/>
    <d v="2021-11-16T00:00:00"/>
    <n v="31"/>
    <s v="Expired"/>
    <n v="0"/>
    <n v="1"/>
    <n v="323000"/>
    <n v="23000"/>
    <n v="300000"/>
    <n v="0"/>
    <n v="23000"/>
    <n v="299500"/>
    <n v="322500"/>
    <n v="0"/>
    <n v="500"/>
    <n v="500"/>
    <n v="500"/>
    <n v="1.5479876160990713E-3"/>
    <n v="1"/>
    <s v="1.(0-30) Days"/>
    <s v="Ok"/>
  </r>
  <r>
    <d v="2021-09-16T00:00:00"/>
    <x v="181"/>
    <n v="222"/>
    <n v="1"/>
    <s v="BIZ"/>
    <n v="300000"/>
    <n v="3"/>
    <n v="0.05"/>
    <s v="Monthly"/>
    <s v="Jerome"/>
    <s v="SERIYA FLORENCE"/>
    <n v="15000"/>
    <n v="5000"/>
    <n v="3000"/>
    <n v="30000"/>
    <n v="45000"/>
    <n v="3"/>
    <n v="345000"/>
    <n v="115000"/>
    <n v="115000"/>
    <n v="345000"/>
    <n v="100000"/>
    <n v="15000"/>
    <n v="45000"/>
    <d v="2021-10-16T00:00:00"/>
    <s v="Sat"/>
    <n v="30"/>
    <d v="2021-12-16T00:00:00"/>
    <n v="91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09-01T00:00:00"/>
    <x v="182"/>
    <n v="197"/>
    <n v="1"/>
    <s v="BIZ"/>
    <n v="1500000"/>
    <n v="3"/>
    <n v="0.05"/>
    <s v="Weekly"/>
    <s v="Aroma"/>
    <s v="MUSEMA SWAIBU"/>
    <n v="25000"/>
    <n v="5000"/>
    <n v="24000"/>
    <n v="150000"/>
    <n v="225000"/>
    <n v="12"/>
    <n v="1725000"/>
    <n v="143750"/>
    <n v="144000"/>
    <n v="1728000"/>
    <n v="125000"/>
    <n v="19000"/>
    <n v="228000"/>
    <d v="2021-09-08T00:00:00"/>
    <s v="Wed"/>
    <n v="7"/>
    <d v="2021-12-01T00:00:00"/>
    <n v="91"/>
    <s v="Expired"/>
    <n v="0"/>
    <n v="12"/>
    <n v="1728000"/>
    <n v="228000"/>
    <n v="1500000"/>
    <n v="0"/>
    <n v="228000"/>
    <n v="1497000"/>
    <n v="1725000"/>
    <n v="0"/>
    <n v="3000"/>
    <n v="3000"/>
    <n v="3000"/>
    <n v="2.0833333333333332E-2"/>
    <n v="1"/>
    <s v="1.(0-30) Days"/>
    <s v="Ok"/>
  </r>
  <r>
    <d v="2021-10-06T00:00:00"/>
    <x v="96"/>
    <n v="252"/>
    <n v="2"/>
    <s v="BIZ"/>
    <n v="700000"/>
    <n v="5"/>
    <n v="0.05"/>
    <s v="Monthly"/>
    <s v="Jerome"/>
    <s v="IDIRA ALIMA"/>
    <n v="20000"/>
    <n v="5000"/>
    <n v="7000"/>
    <n v="70000"/>
    <n v="175000"/>
    <n v="5"/>
    <n v="875000"/>
    <n v="175000"/>
    <n v="175000"/>
    <n v="875000"/>
    <n v="140000"/>
    <n v="35000"/>
    <n v="175000"/>
    <d v="2021-11-06T00:00:00"/>
    <s v="Sat"/>
    <n v="31"/>
    <d v="2022-03-06T00:00:00"/>
    <n v="151"/>
    <s v="Expired"/>
    <n v="0"/>
    <n v="5"/>
    <n v="875000"/>
    <n v="175000"/>
    <n v="700000"/>
    <n v="0"/>
    <n v="195000"/>
    <n v="610000"/>
    <n v="805000"/>
    <n v="-20000"/>
    <n v="90000"/>
    <n v="70000"/>
    <n v="70000"/>
    <n v="0.4"/>
    <n v="12"/>
    <s v="1.(0-30) Days"/>
    <s v="Error on Entry"/>
  </r>
  <r>
    <d v="2021-09-07T00:00:00"/>
    <x v="183"/>
    <n v="212"/>
    <n v="1"/>
    <s v="BIZ"/>
    <n v="400000"/>
    <n v="4"/>
    <n v="0.05"/>
    <s v="Weekly"/>
    <s v="Jerome"/>
    <s v="OPIRU ALICE"/>
    <n v="25000"/>
    <n v="5000"/>
    <n v="20000"/>
    <n v="40000"/>
    <n v="80000"/>
    <n v="16"/>
    <n v="480000"/>
    <n v="30000"/>
    <n v="30000"/>
    <n v="480000"/>
    <n v="25000"/>
    <n v="5000"/>
    <n v="80000"/>
    <d v="2021-09-14T00:00:00"/>
    <s v="Tue"/>
    <n v="7"/>
    <d v="2022-01-07T00:00:00"/>
    <n v="122"/>
    <s v="Expired"/>
    <n v="0"/>
    <n v="16"/>
    <n v="480000"/>
    <n v="80000"/>
    <n v="400000"/>
    <n v="0"/>
    <n v="80000"/>
    <n v="370000"/>
    <n v="450000"/>
    <n v="0"/>
    <n v="30000"/>
    <n v="30000"/>
    <n v="30000"/>
    <n v="1"/>
    <n v="7"/>
    <s v="1.(0-30) Days"/>
    <s v="Ok"/>
  </r>
  <r>
    <d v="2021-09-07T00:00:00"/>
    <x v="184"/>
    <n v="214"/>
    <n v="1"/>
    <s v="BIZ"/>
    <n v="400000"/>
    <n v="4"/>
    <n v="0.05"/>
    <s v="Monthly"/>
    <s v="Kana"/>
    <s v="AMILE AISHA"/>
    <n v="15000"/>
    <n v="5000"/>
    <n v="4000"/>
    <n v="40000"/>
    <n v="80000"/>
    <n v="4"/>
    <n v="480000"/>
    <n v="120000"/>
    <n v="120000"/>
    <n v="480000"/>
    <n v="100000"/>
    <n v="20000"/>
    <n v="80000"/>
    <d v="2021-10-07T00:00:00"/>
    <s v="Thu"/>
    <n v="30"/>
    <d v="2022-01-07T00:00:00"/>
    <n v="122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09-03T00:00:00"/>
    <x v="185"/>
    <n v="205"/>
    <n v="1"/>
    <s v="BIZ"/>
    <n v="400000"/>
    <n v="3"/>
    <n v="0.05"/>
    <s v="Monthly"/>
    <s v="Aroma"/>
    <s v="DRARU IRENE"/>
    <n v="20000"/>
    <n v="5000"/>
    <n v="4000"/>
    <n v="40000"/>
    <n v="60000"/>
    <n v="3"/>
    <n v="460000"/>
    <n v="153333.33333333334"/>
    <n v="154000"/>
    <n v="462000"/>
    <n v="133333.33333333334"/>
    <n v="20666.666666666657"/>
    <n v="61999.999999999971"/>
    <d v="2021-10-03T00:00:00"/>
    <s v="Sun"/>
    <n v="30"/>
    <d v="2021-12-03T00:00:00"/>
    <n v="91"/>
    <s v="Expired"/>
    <n v="0"/>
    <n v="3"/>
    <n v="462000"/>
    <n v="61999.999999999971"/>
    <n v="400000"/>
    <n v="0"/>
    <n v="61999.999999999971"/>
    <n v="398200"/>
    <n v="460200"/>
    <n v="0"/>
    <n v="1800"/>
    <n v="1800"/>
    <n v="1800"/>
    <n v="1.1688311688311689E-2"/>
    <n v="1"/>
    <s v="1.(0-30) Days"/>
    <s v="Ok"/>
  </r>
  <r>
    <d v="2021-09-03T00:00:00"/>
    <x v="186"/>
    <n v="204"/>
    <n v="1"/>
    <s v="BIZ"/>
    <n v="200000"/>
    <n v="2"/>
    <n v="0.05"/>
    <s v="Monthly"/>
    <s v="Kana"/>
    <s v="TIKO RAIMA"/>
    <n v="15000"/>
    <n v="5000"/>
    <n v="2000"/>
    <n v="20000"/>
    <n v="20000"/>
    <n v="2"/>
    <n v="220000"/>
    <n v="110000"/>
    <n v="110000"/>
    <n v="220000"/>
    <n v="100000"/>
    <n v="10000"/>
    <n v="20000"/>
    <d v="2021-10-03T00:00:00"/>
    <s v="Sun"/>
    <n v="30"/>
    <d v="2021-11-03T00:00:00"/>
    <n v="61"/>
    <s v="Expired"/>
    <n v="0"/>
    <n v="2"/>
    <n v="220000"/>
    <n v="20000"/>
    <n v="200000"/>
    <n v="0"/>
    <n v="20000"/>
    <n v="200000"/>
    <n v="220000"/>
    <n v="0"/>
    <n v="0"/>
    <n v="0"/>
    <s v=""/>
    <n v="0"/>
    <n v="0"/>
    <s v="Cleared"/>
    <s v="Ok"/>
  </r>
  <r>
    <d v="2021-09-06T00:00:00"/>
    <x v="187"/>
    <n v="209"/>
    <n v="1"/>
    <s v="BIZ"/>
    <n v="600000"/>
    <n v="4"/>
    <n v="0.05"/>
    <s v="Monthly"/>
    <s v="Kana"/>
    <s v="ADUI ISMAIL"/>
    <n v="15000"/>
    <n v="5000"/>
    <n v="6000"/>
    <n v="60000"/>
    <n v="120000"/>
    <n v="4"/>
    <n v="720000"/>
    <n v="180000"/>
    <n v="180000"/>
    <n v="720000"/>
    <n v="150000"/>
    <n v="30000"/>
    <n v="120000"/>
    <d v="2021-10-06T00:00:00"/>
    <s v="Wed"/>
    <n v="30"/>
    <d v="2022-01-06T00:00:00"/>
    <n v="122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10-07T00:00:00"/>
    <x v="14"/>
    <n v="258"/>
    <n v="2"/>
    <s v="BIZ"/>
    <n v="600000"/>
    <n v="5"/>
    <n v="0.05"/>
    <s v="Monthly"/>
    <s v="Jerome"/>
    <s v="BAKO LINA ESERU"/>
    <n v="20000"/>
    <n v="5000"/>
    <n v="6000"/>
    <n v="60000"/>
    <n v="150000"/>
    <n v="5"/>
    <n v="750000"/>
    <n v="150000"/>
    <n v="150000"/>
    <n v="750000"/>
    <n v="120000"/>
    <n v="30000"/>
    <n v="150000"/>
    <d v="2021-11-07T00:00:00"/>
    <s v="Sun"/>
    <n v="31"/>
    <d v="2022-03-07T00:00:00"/>
    <n v="151"/>
    <s v="Expired"/>
    <n v="0"/>
    <n v="5"/>
    <n v="750000"/>
    <n v="150000"/>
    <n v="600000"/>
    <n v="0"/>
    <n v="150000"/>
    <n v="600000"/>
    <n v="750000"/>
    <n v="0"/>
    <n v="0"/>
    <n v="0"/>
    <s v=""/>
    <n v="0"/>
    <n v="0"/>
    <s v="Cleared"/>
    <s v="Ok"/>
  </r>
  <r>
    <d v="2021-10-07T00:00:00"/>
    <x v="97"/>
    <n v="259"/>
    <n v="2"/>
    <s v="BIZ"/>
    <n v="400000"/>
    <n v="5"/>
    <n v="0.05"/>
    <s v="Monthly"/>
    <s v="Jerome"/>
    <s v="NUKA ROSE"/>
    <n v="15000"/>
    <n v="5000"/>
    <n v="4000"/>
    <n v="40000"/>
    <n v="100000"/>
    <n v="5"/>
    <n v="500000"/>
    <n v="100000"/>
    <n v="100000"/>
    <n v="500000"/>
    <n v="80000"/>
    <n v="20000"/>
    <n v="100000"/>
    <d v="2021-11-07T00:00:00"/>
    <s v="Sun"/>
    <n v="31"/>
    <d v="2022-03-07T00:00:00"/>
    <n v="151"/>
    <s v="Expired"/>
    <n v="0"/>
    <n v="5"/>
    <n v="500000"/>
    <n v="100000"/>
    <n v="400000"/>
    <n v="0"/>
    <n v="100000"/>
    <n v="400000"/>
    <n v="500000"/>
    <n v="0"/>
    <n v="0"/>
    <n v="0"/>
    <s v=""/>
    <n v="0"/>
    <n v="0"/>
    <s v="Cleared"/>
    <s v="Ok"/>
  </r>
  <r>
    <d v="2021-10-07T00:00:00"/>
    <x v="188"/>
    <n v="257"/>
    <n v="1"/>
    <s v="BIZ"/>
    <n v="500000"/>
    <n v="5"/>
    <n v="0.05"/>
    <s v="Monthly"/>
    <s v="Jerome"/>
    <s v="ANGAIKA SAID"/>
    <n v="15000"/>
    <n v="5000"/>
    <n v="5000"/>
    <n v="50000"/>
    <n v="125000"/>
    <n v="5"/>
    <n v="625000"/>
    <n v="125000"/>
    <n v="125000"/>
    <n v="625000"/>
    <n v="100000"/>
    <n v="25000"/>
    <n v="125000"/>
    <d v="2021-11-07T00:00:00"/>
    <s v="Sun"/>
    <n v="31"/>
    <d v="2022-03-07T00:00:00"/>
    <n v="151"/>
    <s v="Expired"/>
    <n v="0"/>
    <n v="5"/>
    <n v="625000"/>
    <n v="125000"/>
    <n v="500000"/>
    <n v="0"/>
    <n v="125000"/>
    <n v="500000"/>
    <n v="625000"/>
    <n v="0"/>
    <n v="0"/>
    <n v="0"/>
    <s v=""/>
    <n v="0"/>
    <n v="0"/>
    <s v="Cleared"/>
    <s v="Ok"/>
  </r>
  <r>
    <d v="2021-09-07T00:00:00"/>
    <x v="189"/>
    <n v="213"/>
    <n v="1"/>
    <s v="BIZ"/>
    <n v="500000"/>
    <n v="4"/>
    <n v="0.05"/>
    <s v="Monthly"/>
    <s v="Kana"/>
    <s v="ADRILI ZAHARA"/>
    <n v="25000"/>
    <n v="5000"/>
    <n v="5000"/>
    <n v="50000"/>
    <n v="100000"/>
    <n v="4"/>
    <n v="600000"/>
    <n v="150000"/>
    <n v="150000"/>
    <n v="600000"/>
    <n v="125000"/>
    <n v="25000"/>
    <n v="100000"/>
    <d v="2021-10-07T00:00:00"/>
    <s v="Thu"/>
    <n v="30"/>
    <d v="2022-01-07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9-07T00:00:00"/>
    <x v="190"/>
    <n v="211"/>
    <n v="1"/>
    <s v="BIZ"/>
    <n v="800000"/>
    <n v="5"/>
    <n v="0.05"/>
    <s v="Monthly"/>
    <s v="Aroma"/>
    <s v="WILARU JOYCE"/>
    <n v="20000"/>
    <n v="5000"/>
    <n v="8000"/>
    <n v="80000"/>
    <n v="200000"/>
    <n v="5"/>
    <n v="1000000"/>
    <n v="200000"/>
    <n v="200000"/>
    <n v="1000000"/>
    <n v="160000"/>
    <n v="40000"/>
    <n v="200000"/>
    <d v="2021-10-07T00:00:00"/>
    <s v="Thu"/>
    <n v="30"/>
    <d v="2022-02-07T00:00:00"/>
    <n v="153"/>
    <s v="Expired"/>
    <n v="0"/>
    <n v="5"/>
    <n v="1000000"/>
    <n v="200000"/>
    <n v="800000"/>
    <n v="0"/>
    <n v="200000"/>
    <n v="800000"/>
    <n v="1000000"/>
    <n v="0"/>
    <n v="0"/>
    <n v="0"/>
    <s v=""/>
    <n v="0"/>
    <n v="0"/>
    <s v="Cleared"/>
    <s v="Ok"/>
  </r>
  <r>
    <d v="2021-09-03T00:00:00"/>
    <x v="191"/>
    <n v="206"/>
    <n v="1"/>
    <s v="SLA"/>
    <n v="650000"/>
    <n v="3"/>
    <n v="7.4999999999999997E-2"/>
    <s v="Monthly"/>
    <s v="Aroma"/>
    <s v="ACIDRI WILLIAM"/>
    <n v="15000"/>
    <n v="5000"/>
    <n v="6500"/>
    <n v="65000"/>
    <n v="146250"/>
    <n v="3"/>
    <n v="796250"/>
    <n v="265416.66666666669"/>
    <n v="266000"/>
    <n v="798000"/>
    <n v="216666.66666666666"/>
    <n v="49333.333333333343"/>
    <n v="148000.00000000003"/>
    <d v="2021-10-03T00:00:00"/>
    <s v="Sun"/>
    <n v="30"/>
    <d v="2021-12-03T00:00:00"/>
    <n v="91"/>
    <s v="Expired"/>
    <n v="0"/>
    <n v="3"/>
    <n v="798000"/>
    <n v="148000.00000000003"/>
    <n v="650000"/>
    <n v="0"/>
    <n v="148000.00000000003"/>
    <n v="648200"/>
    <n v="796200"/>
    <n v="0"/>
    <n v="1800"/>
    <n v="1800"/>
    <n v="1800"/>
    <n v="6.7669172932330827E-3"/>
    <n v="1"/>
    <s v="1.(0-30) Days"/>
    <s v="Ok"/>
  </r>
  <r>
    <d v="2021-10-11T00:00:00"/>
    <x v="109"/>
    <n v="263"/>
    <n v="2"/>
    <s v="BIZ"/>
    <n v="700000"/>
    <n v="6"/>
    <n v="0.05"/>
    <s v="Monthly"/>
    <s v="Aroma"/>
    <s v="ATIKU AMULE ISAAC"/>
    <n v="20000"/>
    <n v="5000"/>
    <n v="7000"/>
    <n v="70000"/>
    <n v="210000"/>
    <n v="6"/>
    <n v="910000"/>
    <n v="151666.66666666666"/>
    <n v="152000"/>
    <n v="912000"/>
    <n v="116666.66666666667"/>
    <n v="35333.333333333328"/>
    <n v="211999.99999999997"/>
    <d v="2021-11-11T00:00:00"/>
    <s v="Thu"/>
    <n v="31"/>
    <d v="2022-04-11T00:00:00"/>
    <n v="182"/>
    <s v="Expired"/>
    <n v="0"/>
    <n v="6"/>
    <n v="912000"/>
    <n v="211999.99999999997"/>
    <n v="700000"/>
    <n v="0"/>
    <n v="211999.99999999997"/>
    <n v="628200"/>
    <n v="840200"/>
    <n v="0"/>
    <n v="71800"/>
    <n v="71800"/>
    <n v="71800"/>
    <n v="0.4723684210526316"/>
    <n v="15"/>
    <s v="1.(0-30) Days"/>
    <s v="Ok"/>
  </r>
  <r>
    <d v="2021-09-06T00:00:00"/>
    <x v="192"/>
    <n v="208"/>
    <n v="1"/>
    <s v="BIZ"/>
    <n v="500000"/>
    <n v="4"/>
    <n v="0.05"/>
    <s v="Monthly"/>
    <s v="Aroma"/>
    <s v="ATIKURU NADIA"/>
    <n v="15000"/>
    <n v="5000"/>
    <n v="5000"/>
    <n v="50000"/>
    <n v="100000"/>
    <n v="4"/>
    <n v="600000"/>
    <n v="150000"/>
    <n v="150000"/>
    <n v="600000"/>
    <n v="125000"/>
    <n v="25000"/>
    <n v="100000"/>
    <d v="2021-10-06T00:00:00"/>
    <s v="Wed"/>
    <n v="30"/>
    <d v="2022-01-06T00:00:00"/>
    <n v="122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9-15T00:00:00"/>
    <x v="193"/>
    <n v="219"/>
    <n v="1"/>
    <s v="SLA"/>
    <n v="900000"/>
    <n v="3"/>
    <n v="7.4999999999999997E-2"/>
    <s v="Monthly"/>
    <s v="Kana"/>
    <s v="BRANI MUSA"/>
    <n v="25000"/>
    <n v="5000"/>
    <n v="20000"/>
    <n v="90000"/>
    <n v="202500"/>
    <n v="3"/>
    <n v="1102500"/>
    <n v="367500"/>
    <n v="368000"/>
    <n v="1104000"/>
    <n v="300000"/>
    <n v="68000"/>
    <n v="204000"/>
    <d v="2021-10-15T00:00:00"/>
    <s v="Frid"/>
    <n v="30"/>
    <d v="2021-12-15T00:00:00"/>
    <n v="91"/>
    <s v="Expired"/>
    <n v="0"/>
    <n v="3"/>
    <n v="1104000"/>
    <n v="204000"/>
    <n v="900000"/>
    <n v="0"/>
    <n v="204000"/>
    <n v="900000"/>
    <n v="1104000"/>
    <n v="0"/>
    <n v="0"/>
    <n v="0"/>
    <s v=""/>
    <n v="0"/>
    <n v="0"/>
    <s v="Cleared"/>
    <s v="Ok"/>
  </r>
  <r>
    <d v="2021-10-12T00:00:00"/>
    <x v="194"/>
    <n v="265"/>
    <n v="1"/>
    <s v="BIZ"/>
    <n v="900000"/>
    <n v="4"/>
    <n v="0.05"/>
    <s v="Monthly"/>
    <s v="Jerome"/>
    <s v="CHANDIRU SCHOLAR"/>
    <n v="20000"/>
    <n v="5000"/>
    <n v="9000"/>
    <n v="90000"/>
    <n v="180000"/>
    <n v="4"/>
    <n v="1080000"/>
    <n v="270000"/>
    <n v="270000"/>
    <n v="1080000"/>
    <n v="225000"/>
    <n v="45000"/>
    <n v="180000"/>
    <d v="2021-11-12T00:00:00"/>
    <s v="Frid"/>
    <n v="31"/>
    <d v="2022-02-12T00:00:00"/>
    <n v="123"/>
    <s v="Expired"/>
    <n v="0"/>
    <n v="4"/>
    <n v="1080000"/>
    <n v="180000"/>
    <n v="900000"/>
    <n v="0"/>
    <n v="60000"/>
    <n v="390000"/>
    <n v="450000"/>
    <n v="120000"/>
    <n v="510000"/>
    <n v="630000"/>
    <n v="630000"/>
    <n v="2.3333333333333335"/>
    <n v="70"/>
    <s v="3.(61-90) Days"/>
    <s v="Ok"/>
  </r>
  <r>
    <d v="2021-09-14T00:00:00"/>
    <x v="195"/>
    <n v="217"/>
    <n v="1"/>
    <s v="BIZ"/>
    <n v="300000"/>
    <n v="2"/>
    <n v="0.05"/>
    <s v="Monthly"/>
    <s v="Kana"/>
    <s v="JAMBA MOSES"/>
    <n v="30000"/>
    <n v="5000"/>
    <n v="50000"/>
    <n v="30000"/>
    <n v="30000"/>
    <n v="2"/>
    <n v="330000"/>
    <n v="165000"/>
    <n v="165000"/>
    <n v="330000"/>
    <n v="150000"/>
    <n v="15000"/>
    <n v="30000"/>
    <d v="2021-10-14T00:00:00"/>
    <s v="Thu"/>
    <n v="30"/>
    <d v="2021-11-14T00:00:00"/>
    <n v="61"/>
    <s v="Expired"/>
    <n v="0"/>
    <n v="2"/>
    <n v="330000"/>
    <n v="30000"/>
    <n v="300000"/>
    <n v="0"/>
    <n v="30000"/>
    <n v="300000"/>
    <n v="330000"/>
    <n v="0"/>
    <n v="0"/>
    <n v="0"/>
    <s v=""/>
    <n v="0"/>
    <n v="0"/>
    <s v="Cleared"/>
    <s v="Ok"/>
  </r>
  <r>
    <d v="2021-11-22T00:00:00"/>
    <x v="195"/>
    <n v="341"/>
    <n v="2"/>
    <s v="BIZ"/>
    <n v="400000"/>
    <n v="3"/>
    <n v="0.05"/>
    <s v="Monthly"/>
    <s v="Kana"/>
    <s v="JAMBA MOSES"/>
    <n v="15000"/>
    <n v="5000"/>
    <n v="3000"/>
    <n v="40000"/>
    <n v="60000"/>
    <n v="3"/>
    <n v="460000"/>
    <n v="153333.33333333334"/>
    <n v="154000"/>
    <n v="462000"/>
    <n v="133333.33333333334"/>
    <n v="20666.666666666657"/>
    <n v="61999.999999999971"/>
    <d v="2021-12-22T00:00:00"/>
    <s v="Wed"/>
    <n v="30"/>
    <d v="2022-02-22T00:00:00"/>
    <n v="92"/>
    <s v="Expired"/>
    <n v="0"/>
    <n v="3"/>
    <n v="462000"/>
    <n v="61999.999999999971"/>
    <n v="400000"/>
    <n v="0"/>
    <n v="61999.999999999971"/>
    <n v="398200"/>
    <n v="460200"/>
    <n v="0"/>
    <n v="1800"/>
    <n v="1800"/>
    <n v="1800"/>
    <n v="1.1688311688311689E-2"/>
    <n v="1"/>
    <s v="1.(0-30) Days"/>
    <s v="Ok"/>
  </r>
  <r>
    <d v="2021-10-14T00:00:00"/>
    <x v="196"/>
    <n v="269"/>
    <n v="1"/>
    <s v="BIZ"/>
    <n v="500000"/>
    <n v="5"/>
    <n v="0.05"/>
    <s v="Monthly"/>
    <s v="Kana"/>
    <s v="GISMA HAMID ALI"/>
    <n v="15000"/>
    <n v="5000"/>
    <n v="5000"/>
    <n v="50000"/>
    <n v="125000"/>
    <n v="5"/>
    <n v="625000"/>
    <n v="125000"/>
    <n v="125000"/>
    <n v="625000"/>
    <n v="100000"/>
    <n v="25000"/>
    <n v="125000"/>
    <d v="2021-11-14T00:00:00"/>
    <s v="Sun"/>
    <n v="31"/>
    <d v="2022-03-14T00:00:00"/>
    <n v="151"/>
    <s v="Expired"/>
    <n v="0"/>
    <n v="5"/>
    <n v="625000"/>
    <n v="125000"/>
    <n v="500000"/>
    <n v="0"/>
    <n v="125000"/>
    <n v="500000"/>
    <n v="625000"/>
    <n v="0"/>
    <n v="0"/>
    <n v="0"/>
    <s v=""/>
    <n v="0"/>
    <n v="0"/>
    <s v="Cleared"/>
    <s v="Ok"/>
  </r>
  <r>
    <d v="2021-09-18T00:00:00"/>
    <x v="197"/>
    <n v="223"/>
    <n v="1"/>
    <s v="BIZ"/>
    <n v="1500000"/>
    <n v="6"/>
    <n v="0.05"/>
    <s v="Monthly"/>
    <s v="Kana"/>
    <s v="BUSURA OMAR"/>
    <n v="15000"/>
    <n v="5000"/>
    <n v="6000"/>
    <n v="150000"/>
    <n v="450000"/>
    <n v="6"/>
    <n v="1950000"/>
    <n v="325000"/>
    <n v="325000"/>
    <n v="1950000"/>
    <n v="250000"/>
    <n v="75000"/>
    <n v="450000"/>
    <d v="2021-10-18T00:00:00"/>
    <s v="Mon"/>
    <n v="30"/>
    <d v="2022-03-18T00:00:00"/>
    <n v="181"/>
    <s v="Expired"/>
    <n v="0"/>
    <n v="6"/>
    <n v="1950000"/>
    <n v="450000"/>
    <n v="1500000"/>
    <n v="0"/>
    <n v="450000"/>
    <n v="1500000"/>
    <n v="1950000"/>
    <n v="0"/>
    <n v="0"/>
    <n v="0"/>
    <s v=""/>
    <n v="0"/>
    <n v="0"/>
    <s v="Cleared"/>
    <s v="Ok"/>
  </r>
  <r>
    <d v="2021-10-15T00:00:00"/>
    <x v="198"/>
    <n v="270"/>
    <n v="1"/>
    <s v="BIZ"/>
    <n v="1700000"/>
    <n v="1"/>
    <n v="0.05"/>
    <s v="Monthly"/>
    <s v="Jerome"/>
    <s v="CHANDIGA CYRUS"/>
    <n v="25000"/>
    <n v="5000"/>
    <n v="34000"/>
    <n v="170000"/>
    <n v="85000"/>
    <n v="1"/>
    <n v="1785000"/>
    <n v="1785000"/>
    <n v="1785000"/>
    <n v="1785000"/>
    <n v="1700000"/>
    <n v="85000"/>
    <n v="85000"/>
    <d v="2021-11-15T00:00:00"/>
    <s v="Mon"/>
    <n v="31"/>
    <d v="2021-11-15T00:00:00"/>
    <n v="31"/>
    <s v="Expired"/>
    <n v="0"/>
    <n v="1"/>
    <n v="1785000"/>
    <n v="85000"/>
    <n v="1700000"/>
    <n v="0"/>
    <n v="0"/>
    <n v="0"/>
    <n v="0"/>
    <n v="85000"/>
    <n v="1700000"/>
    <n v="1785000"/>
    <n v="1785000"/>
    <n v="1"/>
    <n v="30"/>
    <s v="1.(0-30) Days"/>
    <s v="Ok"/>
  </r>
  <r>
    <d v="2021-09-21T00:00:00"/>
    <x v="199"/>
    <n v="228"/>
    <n v="1"/>
    <s v="BIZ"/>
    <n v="200000"/>
    <n v="3"/>
    <n v="0.05"/>
    <s v="Monthly"/>
    <s v="Aroma"/>
    <s v="MALIKO JAMILA"/>
    <n v="20000"/>
    <n v="5000"/>
    <n v="7000"/>
    <n v="20000"/>
    <n v="30000"/>
    <n v="3"/>
    <n v="230000"/>
    <n v="76666.666666666672"/>
    <n v="77000"/>
    <n v="231000"/>
    <n v="66666.666666666672"/>
    <n v="10333.333333333328"/>
    <n v="30999.999999999985"/>
    <d v="2021-10-21T00:00:00"/>
    <s v="Thu"/>
    <n v="30"/>
    <d v="2021-12-21T00:00:00"/>
    <n v="91"/>
    <s v="Expired"/>
    <n v="0"/>
    <n v="3"/>
    <n v="231000"/>
    <n v="30999.999999999985"/>
    <n v="200000"/>
    <n v="0"/>
    <n v="30999.999999999985"/>
    <n v="199000"/>
    <n v="230000"/>
    <n v="0"/>
    <n v="1000"/>
    <n v="1000"/>
    <n v="1000"/>
    <n v="1.2987012987012988E-2"/>
    <n v="1"/>
    <s v="1.(0-30) Days"/>
    <s v="Ok"/>
  </r>
  <r>
    <d v="2021-09-18T00:00:00"/>
    <x v="200"/>
    <n v="224"/>
    <n v="1"/>
    <s v="BIZ"/>
    <n v="2500000"/>
    <n v="6"/>
    <n v="0.05"/>
    <s v="Monthly"/>
    <s v="Jerome"/>
    <s v="DRAGUMA SIRAJI"/>
    <n v="20000"/>
    <n v="5000"/>
    <n v="14000"/>
    <n v="250000"/>
    <n v="750000"/>
    <n v="6"/>
    <n v="3250000"/>
    <n v="541666.66666666663"/>
    <n v="542000"/>
    <n v="3252000"/>
    <n v="416666.66666666669"/>
    <n v="125333.33333333331"/>
    <n v="751999.99999999988"/>
    <d v="2021-10-18T00:00:00"/>
    <s v="Mon"/>
    <n v="30"/>
    <d v="2022-03-18T00:00:00"/>
    <n v="181"/>
    <s v="Expired"/>
    <n v="0"/>
    <n v="6"/>
    <n v="3252000"/>
    <n v="751999.99999999988"/>
    <n v="2500000"/>
    <n v="0"/>
    <n v="751999.99999999988"/>
    <n v="2500000"/>
    <n v="3252000"/>
    <n v="0"/>
    <n v="0"/>
    <n v="0"/>
    <s v=""/>
    <n v="0"/>
    <n v="0"/>
    <s v="Cleared"/>
    <s v="Ok"/>
  </r>
  <r>
    <d v="2021-09-20T00:00:00"/>
    <x v="201"/>
    <n v="225"/>
    <n v="1"/>
    <s v="BIZ"/>
    <n v="1000000"/>
    <n v="4"/>
    <n v="0.05"/>
    <s v="Monthly"/>
    <s v="Jerome"/>
    <s v="NAMUDDU MARY"/>
    <n v="15000"/>
    <n v="5000"/>
    <n v="3000"/>
    <n v="100000"/>
    <n v="200000"/>
    <n v="4"/>
    <n v="1200000"/>
    <n v="300000"/>
    <n v="300000"/>
    <n v="1200000"/>
    <n v="250000"/>
    <n v="50000"/>
    <n v="200000"/>
    <d v="2021-10-20T00:00:00"/>
    <s v="Wed"/>
    <n v="30"/>
    <d v="2022-01-20T00:00:00"/>
    <n v="122"/>
    <s v="Expired"/>
    <n v="0"/>
    <n v="4"/>
    <n v="1200000"/>
    <n v="200000"/>
    <n v="1000000"/>
    <n v="0"/>
    <n v="200000"/>
    <n v="1000000"/>
    <n v="1200000"/>
    <n v="0"/>
    <n v="0"/>
    <n v="0"/>
    <s v=""/>
    <n v="0"/>
    <n v="0"/>
    <s v="Cleared"/>
    <s v="Ok"/>
  </r>
  <r>
    <d v="2021-10-05T00:00:00"/>
    <x v="202"/>
    <n v="249"/>
    <n v="1"/>
    <s v="BIZ"/>
    <n v="600000"/>
    <n v="4"/>
    <n v="0.05"/>
    <s v="Monthly"/>
    <s v="Aroma"/>
    <s v="ITITU ZAIDA"/>
    <n v="15000"/>
    <n v="5000"/>
    <n v="3000"/>
    <n v="60000"/>
    <n v="120000"/>
    <n v="4"/>
    <n v="720000"/>
    <n v="180000"/>
    <n v="180000"/>
    <n v="720000"/>
    <n v="150000"/>
    <n v="30000"/>
    <n v="120000"/>
    <d v="2021-11-05T00:00:00"/>
    <s v="Frid"/>
    <n v="31"/>
    <d v="2022-02-05T00:00:00"/>
    <n v="123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1-09-27T00:00:00"/>
    <x v="176"/>
    <n v="233"/>
    <n v="1"/>
    <s v="QUICK"/>
    <n v="1000000"/>
    <n v="1"/>
    <n v="7.4999999999999997E-2"/>
    <s v="Monthly"/>
    <s v="Jerome"/>
    <s v="MATURU NEEMA"/>
    <n v="20000"/>
    <n v="5000"/>
    <n v="6000"/>
    <n v="100000"/>
    <n v="75000"/>
    <n v="1"/>
    <n v="1075000"/>
    <n v="1075000"/>
    <n v="1075000"/>
    <n v="1075000"/>
    <n v="1000000"/>
    <n v="75000"/>
    <n v="75000"/>
    <d v="2021-10-27T00:00:00"/>
    <s v="Wed"/>
    <n v="30"/>
    <d v="2021-10-27T00:00:00"/>
    <n v="30"/>
    <s v="Expired"/>
    <n v="0"/>
    <n v="1"/>
    <n v="1075000"/>
    <n v="75000"/>
    <n v="1000000"/>
    <n v="0"/>
    <n v="75000"/>
    <n v="1000000"/>
    <n v="1075000"/>
    <n v="0"/>
    <n v="0"/>
    <n v="0"/>
    <s v=""/>
    <n v="0"/>
    <n v="0"/>
    <s v="Cleared"/>
    <s v="Ok"/>
  </r>
  <r>
    <d v="2021-10-18T00:00:00"/>
    <x v="203"/>
    <n v="274"/>
    <n v="1"/>
    <s v="BIZ"/>
    <n v="500000"/>
    <n v="4"/>
    <n v="0.05"/>
    <s v="Monthly"/>
    <s v="Kana"/>
    <s v="AMANIYO FARIDA"/>
    <n v="15000"/>
    <n v="5000"/>
    <n v="5000"/>
    <n v="50000"/>
    <n v="100000"/>
    <n v="4"/>
    <n v="600000"/>
    <n v="150000"/>
    <n v="150000"/>
    <n v="600000"/>
    <n v="125000"/>
    <n v="25000"/>
    <n v="100000"/>
    <d v="2021-11-18T00:00:00"/>
    <s v="Thu"/>
    <n v="31"/>
    <d v="2022-02-18T00:00:00"/>
    <n v="123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09-30T00:00:00"/>
    <x v="204"/>
    <n v="239"/>
    <n v="1"/>
    <s v="BIZ"/>
    <n v="2000000"/>
    <n v="3"/>
    <n v="0.05"/>
    <s v="Monthly"/>
    <s v="Aroma"/>
    <s v="DADA ISAAC"/>
    <n v="15000"/>
    <n v="5000"/>
    <n v="8000"/>
    <n v="200000"/>
    <n v="300000"/>
    <n v="3"/>
    <n v="2300000"/>
    <n v="766666.66666666663"/>
    <n v="767000"/>
    <n v="2301000"/>
    <n v="666666.66666666663"/>
    <n v="100333.33333333337"/>
    <n v="301000.00000000012"/>
    <d v="2021-10-30T00:00:00"/>
    <s v="Sat"/>
    <n v="30"/>
    <d v="2021-12-30T00:00:00"/>
    <n v="91"/>
    <s v="Expired"/>
    <n v="0"/>
    <n v="3"/>
    <n v="2301000"/>
    <n v="301000.00000000012"/>
    <n v="2000000"/>
    <n v="0"/>
    <n v="301000.00000000012"/>
    <n v="1999000"/>
    <n v="2300000"/>
    <n v="0"/>
    <n v="1000"/>
    <n v="1000"/>
    <n v="1000"/>
    <n v="1.3037809647979139E-3"/>
    <n v="1"/>
    <s v="1.(0-30) Days"/>
    <s v="Ok"/>
  </r>
  <r>
    <d v="2021-11-11T00:00:00"/>
    <x v="204"/>
    <n v="320"/>
    <n v="2"/>
    <s v="BIZ"/>
    <n v="400000"/>
    <n v="1"/>
    <n v="0.05"/>
    <s v="Monthly"/>
    <s v="Aroma"/>
    <s v="DADA ISAAC"/>
    <n v="20000"/>
    <n v="5000"/>
    <n v="6000"/>
    <n v="40000"/>
    <n v="20000"/>
    <n v="1"/>
    <n v="420000"/>
    <n v="420000"/>
    <n v="420000"/>
    <n v="420000"/>
    <n v="400000"/>
    <n v="20000"/>
    <n v="20000"/>
    <d v="2021-12-11T00:00:00"/>
    <s v="Sat"/>
    <n v="30"/>
    <d v="2021-12-11T00:00:00"/>
    <n v="30"/>
    <s v="Expired"/>
    <n v="0"/>
    <n v="1"/>
    <n v="420000"/>
    <n v="20000"/>
    <n v="400000"/>
    <n v="0"/>
    <n v="20000"/>
    <n v="400000"/>
    <n v="420000"/>
    <n v="0"/>
    <n v="0"/>
    <n v="0"/>
    <s v=""/>
    <n v="0"/>
    <n v="0"/>
    <s v="Cleared"/>
    <s v="Ok"/>
  </r>
  <r>
    <d v="2021-10-19T00:00:00"/>
    <x v="60"/>
    <n v="278"/>
    <n v="2"/>
    <s v="BIZ"/>
    <n v="800000"/>
    <n v="6"/>
    <n v="0.05"/>
    <s v="Monthly"/>
    <s v="Aroma"/>
    <s v="SIJALI ASINA SIS"/>
    <n v="20000"/>
    <n v="5000"/>
    <n v="8000"/>
    <n v="80000"/>
    <n v="240000"/>
    <n v="6"/>
    <n v="1040000"/>
    <n v="173333.33333333334"/>
    <n v="174000"/>
    <n v="1044000"/>
    <n v="133333.33333333334"/>
    <n v="40666.666666666657"/>
    <n v="243999.99999999994"/>
    <d v="2021-11-19T00:00:00"/>
    <s v="Frid"/>
    <n v="31"/>
    <d v="2022-04-19T00:00:00"/>
    <n v="182"/>
    <s v="Expired"/>
    <n v="0"/>
    <n v="6"/>
    <n v="1044000"/>
    <n v="243999.99999999994"/>
    <n v="800000"/>
    <n v="0"/>
    <n v="243999.99999999994"/>
    <n v="800000"/>
    <n v="1044000"/>
    <n v="0"/>
    <n v="0"/>
    <n v="0"/>
    <s v=""/>
    <n v="0"/>
    <n v="0"/>
    <s v="Cleared"/>
    <s v="Ok"/>
  </r>
  <r>
    <d v="2021-10-19T00:00:00"/>
    <x v="205"/>
    <n v="282"/>
    <n v="1"/>
    <s v="BIZ"/>
    <n v="500000"/>
    <n v="5"/>
    <n v="0.05"/>
    <s v="Monthly"/>
    <s v="Jerome"/>
    <s v="SIRIKA FARIDA"/>
    <n v="15000"/>
    <n v="5000"/>
    <n v="5000"/>
    <n v="50000"/>
    <n v="125000"/>
    <n v="5"/>
    <n v="625000"/>
    <n v="125000"/>
    <n v="125000"/>
    <n v="625000"/>
    <n v="100000"/>
    <n v="25000"/>
    <n v="125000"/>
    <d v="2021-11-19T00:00:00"/>
    <s v="Frid"/>
    <n v="31"/>
    <d v="2022-03-19T00:00:00"/>
    <n v="151"/>
    <s v="Expired"/>
    <n v="0"/>
    <n v="5"/>
    <n v="625000"/>
    <n v="125000"/>
    <n v="500000"/>
    <n v="0"/>
    <n v="125000"/>
    <n v="343000"/>
    <n v="468000"/>
    <n v="0"/>
    <n v="157000"/>
    <n v="157000"/>
    <n v="157000"/>
    <n v="1.256"/>
    <n v="38"/>
    <s v="2.(31-60) Days"/>
    <s v="Ok"/>
  </r>
  <r>
    <d v="2021-10-19T00:00:00"/>
    <x v="206"/>
    <n v="277"/>
    <n v="1"/>
    <s v="BIZ"/>
    <n v="1000000"/>
    <n v="6"/>
    <n v="0.05"/>
    <s v="Monthly"/>
    <s v="Jerome"/>
    <s v="BAKOKO FLAVIA"/>
    <n v="20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1-11-19T00:00:00"/>
    <s v="Frid"/>
    <n v="31"/>
    <d v="2022-04-19T00:00:00"/>
    <n v="182"/>
    <s v="Expired"/>
    <n v="0"/>
    <n v="6"/>
    <n v="1302000"/>
    <n v="302000.00000000006"/>
    <n v="1000000"/>
    <n v="0"/>
    <n v="302000.00000000012"/>
    <n v="998299.99999999988"/>
    <n v="1300300"/>
    <n v="-5.8207660913467407E-11"/>
    <n v="1700.0000000001164"/>
    <n v="1700.0000000000582"/>
    <n v="1700.0000000000582"/>
    <n v="7.8341013824887468E-3"/>
    <n v="1"/>
    <s v="1.(0-30) Days"/>
    <s v="Error on Entry"/>
  </r>
  <r>
    <d v="2021-10-19T00:00:00"/>
    <x v="207"/>
    <n v="281"/>
    <n v="1"/>
    <s v="BIZ"/>
    <n v="300000"/>
    <n v="3"/>
    <n v="0.05"/>
    <s v="Monthly"/>
    <s v="Kana"/>
    <s v="SAKAYA AMINA"/>
    <n v="15000"/>
    <n v="5000"/>
    <n v="3000"/>
    <n v="30000"/>
    <n v="45000"/>
    <n v="3"/>
    <n v="345000"/>
    <n v="115000"/>
    <n v="115000"/>
    <n v="345000"/>
    <n v="100000"/>
    <n v="15000"/>
    <n v="45000"/>
    <d v="2021-11-19T00:00:00"/>
    <s v="Frid"/>
    <n v="31"/>
    <d v="2022-01-19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11-24T00:00:00"/>
    <x v="204"/>
    <n v="344"/>
    <n v="3"/>
    <s v="BIZ"/>
    <n v="1000000"/>
    <n v="1"/>
    <n v="0.05"/>
    <s v="Monthly"/>
    <s v="Aroma"/>
    <s v="DADA ISAAC"/>
    <n v="15000"/>
    <n v="5000"/>
    <n v="2000"/>
    <n v="100000"/>
    <n v="50000"/>
    <n v="1"/>
    <n v="1050000"/>
    <n v="1050000"/>
    <n v="1050000"/>
    <n v="1050000"/>
    <n v="1000000"/>
    <n v="50000"/>
    <n v="50000"/>
    <d v="2021-12-24T00:00:00"/>
    <s v="Frid"/>
    <n v="30"/>
    <d v="2021-12-24T00:00:00"/>
    <n v="30"/>
    <s v="Expired"/>
    <n v="0"/>
    <n v="1"/>
    <n v="1050000"/>
    <n v="50000"/>
    <n v="1000000"/>
    <n v="0"/>
    <n v="50000"/>
    <n v="1000000"/>
    <n v="1050000"/>
    <n v="0"/>
    <n v="0"/>
    <n v="0"/>
    <s v=""/>
    <n v="0"/>
    <n v="0"/>
    <s v="Cleared"/>
    <s v="Ok"/>
  </r>
  <r>
    <d v="2021-10-19T00:00:00"/>
    <x v="208"/>
    <n v="280"/>
    <n v="1"/>
    <s v="BIZ"/>
    <n v="1000000"/>
    <n v="6"/>
    <n v="0.05"/>
    <s v="Monthly"/>
    <s v="Jerome"/>
    <s v="YOBUTA JOHN"/>
    <n v="20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1-11-19T00:00:00"/>
    <s v="Frid"/>
    <n v="31"/>
    <d v="2022-04-19T00:00:00"/>
    <n v="182"/>
    <s v="Expired"/>
    <n v="0"/>
    <n v="6"/>
    <n v="1302000"/>
    <n v="302000.00000000006"/>
    <n v="1000000"/>
    <n v="0"/>
    <n v="302000.00000000006"/>
    <n v="854999.99999999988"/>
    <n v="1157000"/>
    <n v="0"/>
    <n v="145000.00000000012"/>
    <n v="145000.00000000012"/>
    <n v="145000.00000000012"/>
    <n v="0.66820276497695907"/>
    <n v="21"/>
    <s v="1.(0-30) Days"/>
    <s v="Ok"/>
  </r>
  <r>
    <d v="2021-10-21T00:00:00"/>
    <x v="48"/>
    <n v="288"/>
    <n v="2"/>
    <s v="BIZ"/>
    <n v="700000"/>
    <n v="4"/>
    <n v="0.05"/>
    <s v="Monthly"/>
    <s v="Jerome"/>
    <s v="SOKOLA SHARON"/>
    <n v="20000"/>
    <n v="5000"/>
    <n v="7000"/>
    <n v="70000"/>
    <n v="140000"/>
    <n v="4"/>
    <n v="840000"/>
    <n v="210000"/>
    <n v="210000"/>
    <n v="840000"/>
    <n v="175000"/>
    <n v="35000"/>
    <n v="140000"/>
    <d v="2021-11-21T00:00:00"/>
    <s v="Sun"/>
    <n v="31"/>
    <d v="2022-02-21T00:00:00"/>
    <n v="123"/>
    <s v="Expired"/>
    <n v="0"/>
    <n v="4"/>
    <n v="840000"/>
    <n v="140000"/>
    <n v="700000"/>
    <n v="0"/>
    <n v="140000"/>
    <n v="355000"/>
    <n v="495000"/>
    <n v="0"/>
    <n v="345000"/>
    <n v="345000"/>
    <n v="345000"/>
    <n v="1.6428571428571428"/>
    <n v="50"/>
    <s v="2.(31-60) Days"/>
    <s v="Ok"/>
  </r>
  <r>
    <d v="2021-10-21T00:00:00"/>
    <x v="69"/>
    <n v="287"/>
    <n v="2"/>
    <s v="BIZ"/>
    <n v="300000"/>
    <n v="4"/>
    <n v="0.05"/>
    <s v="Monthly"/>
    <s v="Aroma"/>
    <s v="YUKUWE AISHA"/>
    <n v="15000"/>
    <n v="5000"/>
    <n v="3000"/>
    <n v="30000"/>
    <n v="60000"/>
    <n v="4"/>
    <n v="360000"/>
    <n v="90000"/>
    <n v="90000"/>
    <n v="360000"/>
    <n v="75000"/>
    <n v="15000"/>
    <n v="60000"/>
    <d v="2021-11-21T00:00:00"/>
    <s v="Sun"/>
    <n v="31"/>
    <d v="2022-02-21T00:00:00"/>
    <n v="123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10-21T00:00:00"/>
    <x v="124"/>
    <n v="289"/>
    <n v="2"/>
    <s v="BIZ"/>
    <n v="400000"/>
    <n v="4"/>
    <n v="0.05"/>
    <s v="Monthly"/>
    <s v="Jerome"/>
    <s v="AJONYE BETTY"/>
    <n v="15000"/>
    <n v="5000"/>
    <n v="4000"/>
    <n v="40000"/>
    <n v="80000"/>
    <n v="4"/>
    <n v="480000"/>
    <n v="120000"/>
    <n v="120000"/>
    <n v="480000"/>
    <n v="100000"/>
    <n v="20000"/>
    <n v="80000"/>
    <d v="2021-11-21T00:00:00"/>
    <s v="Sun"/>
    <n v="31"/>
    <d v="2022-02-21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10-21T00:00:00"/>
    <x v="209"/>
    <n v="286"/>
    <n v="1"/>
    <s v="BIZ"/>
    <n v="400000"/>
    <n v="4"/>
    <n v="0.05"/>
    <s v="Monthly"/>
    <s v="Jerome"/>
    <s v="ANGUCIA JESCA"/>
    <n v="15000"/>
    <n v="5000"/>
    <n v="4000"/>
    <n v="40000"/>
    <n v="80000"/>
    <n v="4"/>
    <n v="480000"/>
    <n v="120000"/>
    <n v="120000"/>
    <n v="480000"/>
    <n v="100000"/>
    <n v="20000"/>
    <n v="80000"/>
    <d v="2021-11-21T00:00:00"/>
    <s v="Sun"/>
    <n v="31"/>
    <d v="2022-02-21T00:00:00"/>
    <n v="123"/>
    <s v="Expired"/>
    <n v="0"/>
    <n v="4"/>
    <n v="480000"/>
    <n v="80000"/>
    <n v="400000"/>
    <n v="0"/>
    <n v="80000"/>
    <n v="330000"/>
    <n v="410000"/>
    <n v="0"/>
    <n v="70000"/>
    <n v="70000"/>
    <n v="70000"/>
    <n v="0.58333333333333337"/>
    <n v="18"/>
    <s v="1.(0-30) Days"/>
    <s v="Ok"/>
  </r>
  <r>
    <d v="2021-12-13T00:00:00"/>
    <x v="204"/>
    <n v="369"/>
    <n v="4"/>
    <s v="BIZ"/>
    <n v="2000000"/>
    <n v="1"/>
    <n v="0.05"/>
    <s v="Monthly"/>
    <s v="Aroma"/>
    <s v="DADA ISAAC"/>
    <n v="15000"/>
    <n v="5000"/>
    <n v="3000"/>
    <n v="200000"/>
    <n v="100000"/>
    <n v="1"/>
    <n v="2100000"/>
    <n v="2100000"/>
    <n v="2100000"/>
    <n v="2100000"/>
    <n v="2000000"/>
    <n v="100000"/>
    <n v="100000"/>
    <d v="2022-01-13T00:00:00"/>
    <s v="Thu"/>
    <n v="31"/>
    <d v="2022-01-13T00:00:00"/>
    <n v="31"/>
    <s v="Expired"/>
    <n v="0"/>
    <n v="1"/>
    <n v="2100000"/>
    <n v="100000"/>
    <n v="2000000"/>
    <n v="0"/>
    <n v="100000"/>
    <n v="2000000"/>
    <n v="2100000"/>
    <n v="0"/>
    <n v="0"/>
    <n v="0"/>
    <s v=""/>
    <n v="0"/>
    <n v="0"/>
    <s v="Cleared"/>
    <s v="Ok"/>
  </r>
  <r>
    <d v="2021-10-22T00:00:00"/>
    <x v="53"/>
    <n v="290"/>
    <n v="2"/>
    <s v="BIZ"/>
    <n v="300000"/>
    <n v="4"/>
    <n v="0.05"/>
    <s v="Monthly"/>
    <s v="Jerome"/>
    <s v="AREDU RUKIA"/>
    <n v="15000"/>
    <n v="5000"/>
    <n v="3000"/>
    <n v="30000"/>
    <n v="60000"/>
    <n v="4"/>
    <n v="360000"/>
    <n v="90000"/>
    <n v="90000"/>
    <n v="360000"/>
    <n v="75000"/>
    <n v="15000"/>
    <n v="60000"/>
    <d v="2021-11-22T00:00:00"/>
    <s v="Mon"/>
    <n v="31"/>
    <d v="2022-02-22T00:00:00"/>
    <n v="123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10-23T00:00:00"/>
    <x v="210"/>
    <n v="291"/>
    <n v="1"/>
    <s v="BIZ"/>
    <n v="600000"/>
    <n v="4"/>
    <n v="0.05"/>
    <s v="Monthly"/>
    <s v="Kana"/>
    <s v="HABIBU ABOYI ALLI"/>
    <n v="20000"/>
    <n v="5000"/>
    <n v="6000"/>
    <n v="60000"/>
    <n v="120000"/>
    <n v="4"/>
    <n v="720000"/>
    <n v="180000"/>
    <n v="180000"/>
    <n v="720000"/>
    <n v="150000"/>
    <n v="30000"/>
    <n v="120000"/>
    <d v="2021-11-23T00:00:00"/>
    <s v="Tue"/>
    <n v="31"/>
    <d v="2022-02-23T00:00:00"/>
    <n v="123"/>
    <s v="Expired"/>
    <n v="0"/>
    <n v="4"/>
    <n v="720000"/>
    <n v="120000"/>
    <n v="600000"/>
    <n v="0"/>
    <n v="120000"/>
    <n v="600000"/>
    <n v="720000"/>
    <n v="0"/>
    <n v="0"/>
    <n v="0"/>
    <s v=""/>
    <n v="0"/>
    <n v="0"/>
    <s v="Cleared"/>
    <s v="Ok"/>
  </r>
  <r>
    <d v="2022-01-20T00:00:00"/>
    <x v="204"/>
    <n v="412"/>
    <n v="5"/>
    <s v="BIZ"/>
    <n v="2500000"/>
    <n v="1"/>
    <n v="6.5000000000000002E-2"/>
    <s v="Weekly"/>
    <s v="Kana"/>
    <s v="DADA ISAAC"/>
    <n v="20000"/>
    <n v="5000"/>
    <n v="50000"/>
    <n v="250000"/>
    <n v="162500"/>
    <n v="4"/>
    <n v="2662500"/>
    <n v="665625"/>
    <n v="666000"/>
    <n v="2664000"/>
    <n v="625000"/>
    <n v="41000"/>
    <n v="164000"/>
    <d v="2022-01-27T00:00:00"/>
    <s v="Thu"/>
    <n v="7"/>
    <d v="2022-02-20T00:00:00"/>
    <n v="31"/>
    <s v="Expired"/>
    <n v="0"/>
    <n v="4"/>
    <n v="2664000"/>
    <n v="164000"/>
    <n v="2500000"/>
    <n v="0"/>
    <n v="164000"/>
    <n v="2498500"/>
    <n v="2662500"/>
    <n v="0"/>
    <n v="1500"/>
    <n v="1500"/>
    <n v="1500"/>
    <n v="2.2522522522522522E-3"/>
    <n v="1"/>
    <s v="1.(0-30) Days"/>
    <s v="Ok"/>
  </r>
  <r>
    <d v="2021-10-25T00:00:00"/>
    <x v="2"/>
    <n v="293"/>
    <n v="2"/>
    <s v="BIZ"/>
    <n v="200000"/>
    <n v="1"/>
    <n v="0.05"/>
    <s v="Monthly"/>
    <s v="Aroma"/>
    <s v="LEYA ROSE"/>
    <n v="15000"/>
    <n v="5000"/>
    <n v="2000"/>
    <n v="20000"/>
    <n v="10000"/>
    <n v="1"/>
    <n v="210000"/>
    <n v="210000"/>
    <n v="210000"/>
    <n v="210000"/>
    <n v="200000"/>
    <n v="10000"/>
    <n v="10000"/>
    <d v="2021-11-25T00:00:00"/>
    <s v="Thu"/>
    <n v="31"/>
    <d v="2021-11-25T00:00:00"/>
    <n v="31"/>
    <s v="Expired"/>
    <n v="0"/>
    <n v="1"/>
    <n v="210000"/>
    <n v="10000"/>
    <n v="200000"/>
    <n v="0"/>
    <n v="10000"/>
    <n v="200000"/>
    <n v="210000"/>
    <n v="0"/>
    <n v="0"/>
    <n v="0"/>
    <s v=""/>
    <n v="0"/>
    <n v="0"/>
    <s v="Cleared"/>
    <s v="Ok"/>
  </r>
  <r>
    <d v="2021-10-06T00:00:00"/>
    <x v="211"/>
    <n v="254"/>
    <n v="1"/>
    <s v="BIZ"/>
    <n v="1000000"/>
    <n v="4"/>
    <n v="0.05"/>
    <s v="Monthly"/>
    <s v="Kana"/>
    <s v="DAWA ANNET"/>
    <n v="15000"/>
    <n v="5000"/>
    <n v="4000"/>
    <n v="100000"/>
    <n v="200000"/>
    <n v="4"/>
    <n v="1200000"/>
    <n v="300000"/>
    <n v="300000"/>
    <n v="1200000"/>
    <n v="250000"/>
    <n v="50000"/>
    <n v="200000"/>
    <d v="2021-11-06T00:00:00"/>
    <s v="Sat"/>
    <n v="31"/>
    <d v="2022-02-06T00:00:00"/>
    <n v="123"/>
    <s v="Expired"/>
    <n v="0"/>
    <n v="4"/>
    <n v="1200000"/>
    <n v="200000"/>
    <n v="1000000"/>
    <n v="0"/>
    <n v="200000"/>
    <n v="1000000"/>
    <n v="1200000"/>
    <n v="0"/>
    <n v="0"/>
    <n v="0"/>
    <s v=""/>
    <n v="0"/>
    <n v="0"/>
    <s v="Cleared"/>
    <s v="Ok"/>
  </r>
  <r>
    <d v="2021-09-30T00:00:00"/>
    <x v="212"/>
    <n v="241"/>
    <n v="1"/>
    <s v="BIZ"/>
    <n v="600000"/>
    <n v="2"/>
    <n v="0.05"/>
    <s v="Monthly"/>
    <s v="Kana"/>
    <s v="ANGAIKA SALFA"/>
    <n v="15000"/>
    <n v="5000"/>
    <n v="3000"/>
    <n v="60000"/>
    <n v="60000"/>
    <n v="2"/>
    <n v="660000"/>
    <n v="330000"/>
    <n v="330000"/>
    <n v="660000"/>
    <n v="300000"/>
    <n v="30000"/>
    <n v="60000"/>
    <d v="2021-10-30T00:00:00"/>
    <s v="Sat"/>
    <n v="30"/>
    <d v="2021-11-30T00:00:00"/>
    <n v="61"/>
    <s v="Expired"/>
    <n v="0"/>
    <n v="2"/>
    <n v="660000"/>
    <n v="60000"/>
    <n v="600000"/>
    <n v="0"/>
    <n v="60000"/>
    <n v="600000"/>
    <n v="660000"/>
    <n v="0"/>
    <n v="0"/>
    <n v="0"/>
    <s v=""/>
    <n v="0"/>
    <n v="0"/>
    <s v="Cleared"/>
    <s v="Ok"/>
  </r>
  <r>
    <d v="2021-10-27T00:00:00"/>
    <x v="76"/>
    <n v="296"/>
    <n v="3"/>
    <s v="SLA"/>
    <n v="1500000"/>
    <n v="3"/>
    <n v="7.4999999999999997E-2"/>
    <s v="Monthly"/>
    <s v="Jerome"/>
    <s v="OGWAL STEPHEN GERALD"/>
    <n v="25000"/>
    <n v="5000"/>
    <n v="30000"/>
    <n v="150000"/>
    <n v="337500"/>
    <n v="3"/>
    <n v="1837500"/>
    <n v="612500"/>
    <n v="613000"/>
    <n v="1839000"/>
    <n v="500000"/>
    <n v="113000"/>
    <n v="339000"/>
    <d v="2021-11-27T00:00:00"/>
    <s v="Sat"/>
    <n v="31"/>
    <d v="2022-01-27T00:00:00"/>
    <n v="92"/>
    <s v="Expired"/>
    <n v="0"/>
    <n v="3"/>
    <n v="1839000"/>
    <n v="339000"/>
    <n v="1500000"/>
    <n v="0"/>
    <n v="339000"/>
    <n v="1498500.0000000002"/>
    <n v="1837500.0000000002"/>
    <n v="0"/>
    <n v="1499.9999999997672"/>
    <n v="1499.9999999997672"/>
    <n v="1499.9999999997672"/>
    <n v="2.4469820554645469E-3"/>
    <n v="1"/>
    <s v="1.(0-30) Days"/>
    <s v="Ok"/>
  </r>
  <r>
    <d v="2021-10-06T00:00:00"/>
    <x v="213"/>
    <n v="250"/>
    <n v="1"/>
    <s v="BIZ"/>
    <n v="1000000"/>
    <n v="1"/>
    <n v="0.05"/>
    <s v="Monthly"/>
    <s v="Aroma"/>
    <s v="LEMERIGA GEOFFREY"/>
    <n v="15000"/>
    <n v="5000"/>
    <n v="2000"/>
    <n v="100000"/>
    <n v="50000"/>
    <n v="1"/>
    <n v="1050000"/>
    <n v="1050000"/>
    <n v="1050000"/>
    <n v="1050000"/>
    <n v="1000000"/>
    <n v="50000"/>
    <n v="50000"/>
    <d v="2021-11-06T00:00:00"/>
    <s v="Sat"/>
    <n v="31"/>
    <d v="2021-11-06T00:00:00"/>
    <n v="31"/>
    <s v="Expired"/>
    <n v="0"/>
    <n v="1"/>
    <n v="1050000"/>
    <n v="50000"/>
    <n v="1000000"/>
    <n v="0"/>
    <n v="50000"/>
    <n v="1000000"/>
    <n v="1050000"/>
    <n v="0"/>
    <n v="0"/>
    <n v="0"/>
    <s v=""/>
    <n v="0"/>
    <n v="0"/>
    <s v="Cleared"/>
    <s v="Ok"/>
  </r>
  <r>
    <d v="2021-10-27T00:00:00"/>
    <x v="214"/>
    <n v="298"/>
    <n v="1"/>
    <s v="BIZ"/>
    <n v="5000000"/>
    <n v="6"/>
    <n v="0.05"/>
    <s v="Monthly"/>
    <s v="Jerome"/>
    <s v="AMORI JOHN BAPTIST"/>
    <n v="30000"/>
    <n v="5000"/>
    <n v="100000"/>
    <n v="500000"/>
    <n v="1500000"/>
    <n v="6"/>
    <n v="6500000"/>
    <n v="1083333.3333333333"/>
    <n v="1084000"/>
    <n v="6504000"/>
    <n v="833333.33333333337"/>
    <n v="250666.66666666663"/>
    <n v="1503999.9999999998"/>
    <d v="2021-11-27T00:00:00"/>
    <s v="Sat"/>
    <n v="31"/>
    <d v="2022-04-27T00:00:00"/>
    <n v="182"/>
    <s v="Expired"/>
    <n v="0"/>
    <n v="6"/>
    <n v="6504000"/>
    <n v="1503999.9999999998"/>
    <n v="5000000"/>
    <n v="0"/>
    <n v="1503999.9999999998"/>
    <n v="5000000"/>
    <n v="6504000"/>
    <n v="0"/>
    <n v="0"/>
    <n v="0"/>
    <s v=""/>
    <n v="0"/>
    <n v="0"/>
    <s v="Cleared"/>
    <s v="Ok"/>
  </r>
  <r>
    <d v="2021-10-30T00:00:00"/>
    <x v="66"/>
    <n v="299"/>
    <n v="2"/>
    <s v="BIZ"/>
    <n v="1200000"/>
    <n v="6"/>
    <n v="0.05"/>
    <s v="Monthly"/>
    <s v="Aroma"/>
    <s v="BUGA ALIKIA PHILLIP"/>
    <n v="25000"/>
    <n v="5000"/>
    <n v="24000"/>
    <n v="120000"/>
    <n v="360000"/>
    <n v="6"/>
    <n v="1560000"/>
    <n v="260000"/>
    <n v="260000"/>
    <n v="1560000"/>
    <n v="200000"/>
    <n v="60000"/>
    <n v="360000"/>
    <d v="2021-11-30T00:00:00"/>
    <s v="Tue"/>
    <n v="31"/>
    <d v="2022-04-30T00:00:00"/>
    <n v="182"/>
    <s v="Expired"/>
    <n v="0"/>
    <n v="6"/>
    <n v="1560000"/>
    <n v="360000"/>
    <n v="1200000"/>
    <n v="0"/>
    <n v="331333.33333333331"/>
    <n v="922666.66666666663"/>
    <n v="1254000"/>
    <n v="28666.666666666686"/>
    <n v="277333.33333333337"/>
    <n v="306000.00000000006"/>
    <n v="306000.00000000006"/>
    <n v="1.1769230769230772"/>
    <n v="36"/>
    <s v="2.(31-60) Days"/>
    <s v="Ok"/>
  </r>
  <r>
    <d v="2021-11-03T00:00:00"/>
    <x v="64"/>
    <n v="300"/>
    <n v="2"/>
    <s v="BIZ"/>
    <n v="2000000"/>
    <n v="6"/>
    <n v="0.05"/>
    <s v="Weekly"/>
    <s v="Kana"/>
    <s v="DENAYA NYAMAZA"/>
    <n v="25000"/>
    <n v="5000"/>
    <n v="40000"/>
    <n v="200000"/>
    <n v="600000"/>
    <n v="24"/>
    <n v="2600000"/>
    <n v="108333.33333333333"/>
    <n v="109000"/>
    <n v="2616000"/>
    <n v="83333.333333333328"/>
    <n v="25666.666666666672"/>
    <n v="616000.00000000012"/>
    <d v="2021-11-10T00:00:00"/>
    <s v="Wed"/>
    <n v="7"/>
    <d v="2022-05-03T00:00:00"/>
    <n v="181"/>
    <s v="Expired"/>
    <n v="0"/>
    <n v="24"/>
    <n v="2616000"/>
    <n v="616000.00000000012"/>
    <n v="2000000"/>
    <n v="0"/>
    <n v="602666.66666666663"/>
    <n v="1565333.3333333328"/>
    <n v="2167999.9999999995"/>
    <n v="13333.333333333489"/>
    <n v="434666.66666666721"/>
    <n v="448000.0000000007"/>
    <n v="448000.0000000007"/>
    <n v="4.1100917431192725"/>
    <n v="29"/>
    <s v="1.(0-30) Days"/>
    <s v="Ok"/>
  </r>
  <r>
    <d v="2021-11-03T00:00:00"/>
    <x v="89"/>
    <n v="305"/>
    <n v="2"/>
    <s v="BIZ"/>
    <n v="300000"/>
    <n v="4"/>
    <n v="0.05"/>
    <s v="Monthly"/>
    <s v="Kana"/>
    <s v="NGINYA RICHARD"/>
    <n v="15000"/>
    <n v="5000"/>
    <n v="3000"/>
    <n v="30000"/>
    <n v="60000"/>
    <n v="4"/>
    <n v="360000"/>
    <n v="90000"/>
    <n v="90000"/>
    <n v="360000"/>
    <n v="75000"/>
    <n v="15000"/>
    <n v="60000"/>
    <d v="2021-12-03T00:00:00"/>
    <s v="Frid"/>
    <n v="30"/>
    <d v="2022-03-03T00:00:00"/>
    <n v="120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11-03T00:00:00"/>
    <x v="146"/>
    <n v="304"/>
    <n v="2"/>
    <s v="BIZ"/>
    <n v="500000"/>
    <n v="5"/>
    <n v="0.05"/>
    <s v="Monthly"/>
    <s v="Jerome"/>
    <s v="GBOKA ZAIDA"/>
    <n v="15000"/>
    <n v="5000"/>
    <n v="5000"/>
    <n v="50000"/>
    <n v="125000"/>
    <n v="5"/>
    <n v="625000"/>
    <n v="125000"/>
    <n v="125000"/>
    <n v="625000"/>
    <n v="100000"/>
    <n v="25000"/>
    <n v="125000"/>
    <d v="2021-12-03T00:00:00"/>
    <s v="Frid"/>
    <n v="30"/>
    <d v="2022-04-03T00:00:00"/>
    <n v="151"/>
    <s v="Expired"/>
    <n v="0"/>
    <n v="5"/>
    <n v="625000"/>
    <n v="125000"/>
    <n v="500000"/>
    <n v="0"/>
    <n v="150000"/>
    <n v="275000"/>
    <n v="425000"/>
    <n v="-25000"/>
    <n v="225000"/>
    <n v="200000"/>
    <n v="200000"/>
    <n v="1.6"/>
    <n v="48"/>
    <s v="2.(31-60) Days"/>
    <s v="Error on Entry"/>
  </r>
  <r>
    <d v="2021-11-03T00:00:00"/>
    <x v="159"/>
    <n v="302"/>
    <n v="2"/>
    <s v="BIZ"/>
    <n v="500000"/>
    <n v="5"/>
    <n v="0.05"/>
    <s v="Monthly"/>
    <s v="Jerome"/>
    <s v="KABEBI RAIMA "/>
    <n v="15000"/>
    <n v="5000"/>
    <n v="5000"/>
    <n v="50000"/>
    <n v="125000"/>
    <n v="5"/>
    <n v="625000"/>
    <n v="125000"/>
    <n v="125000"/>
    <n v="625000"/>
    <n v="100000"/>
    <n v="25000"/>
    <n v="125000"/>
    <d v="2021-12-03T00:00:00"/>
    <s v="Frid"/>
    <n v="30"/>
    <d v="2022-04-03T00:00:00"/>
    <n v="151"/>
    <s v="Expired"/>
    <n v="0"/>
    <n v="5"/>
    <n v="625000"/>
    <n v="125000"/>
    <n v="500000"/>
    <n v="0"/>
    <n v="125000"/>
    <n v="500000"/>
    <n v="625000"/>
    <n v="0"/>
    <n v="0"/>
    <n v="0"/>
    <s v=""/>
    <n v="0"/>
    <n v="0"/>
    <s v="Cleared"/>
    <s v="Ok"/>
  </r>
  <r>
    <d v="2021-11-03T00:00:00"/>
    <x v="126"/>
    <n v="301"/>
    <n v="2"/>
    <s v="BIZ"/>
    <n v="3000000"/>
    <n v="6"/>
    <n v="0.05"/>
    <s v="Monthly"/>
    <s v="Aroma"/>
    <s v="AJONYE JANE SINANDUGU"/>
    <n v="30000"/>
    <n v="5000"/>
    <n v="60000"/>
    <n v="300000"/>
    <n v="900000"/>
    <n v="6"/>
    <n v="3900000"/>
    <n v="650000"/>
    <n v="650000"/>
    <n v="3900000"/>
    <n v="500000"/>
    <n v="150000"/>
    <n v="900000"/>
    <d v="2021-12-03T00:00:00"/>
    <s v="Frid"/>
    <n v="30"/>
    <d v="2022-05-03T00:00:00"/>
    <n v="181"/>
    <s v="Expired"/>
    <n v="0"/>
    <n v="6"/>
    <n v="3900000"/>
    <n v="900000"/>
    <n v="3000000"/>
    <n v="0"/>
    <n v="900000"/>
    <n v="3000000"/>
    <n v="3900000"/>
    <n v="0"/>
    <n v="0"/>
    <n v="0"/>
    <s v=""/>
    <n v="0"/>
    <n v="0"/>
    <s v="Cleared"/>
    <s v="Ok"/>
  </r>
  <r>
    <d v="2021-10-04T00:00:00"/>
    <x v="215"/>
    <n v="246"/>
    <n v="1"/>
    <s v="BIZ"/>
    <n v="500000"/>
    <n v="4"/>
    <n v="0.05"/>
    <s v="Monthly"/>
    <s v="Aroma"/>
    <s v="KAMOYO HARRIET"/>
    <n v="15000"/>
    <n v="5000"/>
    <n v="4000"/>
    <n v="50000"/>
    <n v="100000"/>
    <n v="4"/>
    <n v="600000"/>
    <n v="150000"/>
    <n v="150000"/>
    <n v="600000"/>
    <n v="125000"/>
    <n v="25000"/>
    <n v="100000"/>
    <d v="2021-11-04T00:00:00"/>
    <s v="Thu"/>
    <n v="31"/>
    <d v="2022-02-04T00:00:00"/>
    <n v="123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11-03T00:00:00"/>
    <x v="216"/>
    <n v="303"/>
    <n v="1"/>
    <s v="BIZ"/>
    <n v="300000"/>
    <n v="4"/>
    <n v="0.05"/>
    <s v="Weekly"/>
    <s v="Jerome"/>
    <s v="ATAYI GRACE"/>
    <n v="15000"/>
    <n v="5000"/>
    <n v="3000"/>
    <n v="30000"/>
    <n v="60000"/>
    <n v="16"/>
    <n v="360000"/>
    <n v="22500"/>
    <n v="23000"/>
    <n v="368000"/>
    <n v="18750"/>
    <n v="4250"/>
    <n v="68000"/>
    <d v="2021-11-10T00:00:00"/>
    <s v="Wed"/>
    <n v="7"/>
    <d v="2022-03-03T00:00:00"/>
    <n v="120"/>
    <s v="Expired"/>
    <n v="0"/>
    <n v="16"/>
    <n v="368000"/>
    <n v="68000"/>
    <n v="300000"/>
    <n v="0"/>
    <n v="68000"/>
    <n v="292000"/>
    <n v="360000"/>
    <n v="0"/>
    <n v="8000"/>
    <n v="8000"/>
    <n v="8000"/>
    <n v="0.34782608695652173"/>
    <n v="3"/>
    <s v="1.(0-30) Days"/>
    <s v="Ok"/>
  </r>
  <r>
    <d v="2021-10-18T00:00:00"/>
    <x v="217"/>
    <n v="276"/>
    <n v="1"/>
    <s v="BIZ"/>
    <n v="1000000"/>
    <n v="3"/>
    <n v="0.05"/>
    <s v="Monthly"/>
    <s v="Aroma"/>
    <s v="SUDI YASIR"/>
    <n v="20000"/>
    <n v="5000"/>
    <n v="10000"/>
    <n v="100000"/>
    <n v="150000"/>
    <n v="3"/>
    <n v="1150000"/>
    <n v="383333.33333333331"/>
    <n v="384000"/>
    <n v="1152000"/>
    <n v="333333.33333333331"/>
    <n v="50666.666666666686"/>
    <n v="152000.00000000006"/>
    <d v="2021-11-18T00:00:00"/>
    <s v="Thu"/>
    <n v="31"/>
    <d v="2022-01-18T00:00:00"/>
    <n v="92"/>
    <s v="Expired"/>
    <n v="0"/>
    <n v="3"/>
    <n v="1152000"/>
    <n v="152000.00000000006"/>
    <n v="1000000"/>
    <n v="0"/>
    <n v="152000.00000000006"/>
    <n v="998000"/>
    <n v="1150000"/>
    <n v="0"/>
    <n v="2000"/>
    <n v="2000"/>
    <n v="2000"/>
    <n v="5.208333333333333E-3"/>
    <n v="1"/>
    <s v="1.(0-30) Days"/>
    <s v="Ok"/>
  </r>
  <r>
    <d v="2021-11-04T00:00:00"/>
    <x v="218"/>
    <n v="308"/>
    <n v="1"/>
    <s v="BIZ"/>
    <n v="200000"/>
    <n v="4"/>
    <n v="0.05"/>
    <s v="Monthly"/>
    <s v="Jerome"/>
    <s v="AATE SUZAN"/>
    <n v="15000"/>
    <n v="5000"/>
    <n v="2000"/>
    <n v="20000"/>
    <n v="40000"/>
    <n v="4"/>
    <n v="240000"/>
    <n v="60000"/>
    <n v="60000"/>
    <n v="240000"/>
    <n v="50000"/>
    <n v="10000"/>
    <n v="40000"/>
    <d v="2021-12-04T00:00:00"/>
    <s v="Sat"/>
    <n v="30"/>
    <d v="2022-03-04T00:00:00"/>
    <n v="120"/>
    <s v="Expired"/>
    <n v="0"/>
    <n v="4"/>
    <n v="240000"/>
    <n v="40000"/>
    <n v="200000"/>
    <n v="0"/>
    <n v="50000"/>
    <n v="155000"/>
    <n v="205000"/>
    <n v="-10000"/>
    <n v="45000"/>
    <n v="35000"/>
    <n v="35000"/>
    <n v="0.58333333333333337"/>
    <n v="18"/>
    <s v="1.(0-30) Days"/>
    <s v="Error on Entry"/>
  </r>
  <r>
    <d v="2021-11-05T00:00:00"/>
    <x v="75"/>
    <n v="311"/>
    <n v="2"/>
    <s v="BIZ"/>
    <n v="400000"/>
    <n v="4"/>
    <n v="0.05"/>
    <s v="Monthly"/>
    <s v="Jerome"/>
    <s v="SADIA JOYCE"/>
    <n v="15000"/>
    <n v="5000"/>
    <n v="4000"/>
    <n v="40000"/>
    <n v="80000"/>
    <n v="4"/>
    <n v="480000"/>
    <n v="120000"/>
    <n v="120000"/>
    <n v="480000"/>
    <n v="100000"/>
    <n v="20000"/>
    <n v="80000"/>
    <d v="2021-12-05T00:00:00"/>
    <s v="Sun"/>
    <n v="30"/>
    <d v="2022-03-05T00:00:00"/>
    <n v="120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11-05T00:00:00"/>
    <x v="169"/>
    <n v="328"/>
    <n v="2"/>
    <s v="BIZ"/>
    <n v="600000"/>
    <n v="4"/>
    <n v="0.05"/>
    <s v="Monthly"/>
    <s v="Aroma"/>
    <s v="ADIRU HELLEN"/>
    <n v="20000"/>
    <n v="5000"/>
    <n v="6000"/>
    <n v="60000"/>
    <n v="120000"/>
    <n v="4"/>
    <n v="720000"/>
    <n v="180000"/>
    <n v="180000"/>
    <n v="720000"/>
    <n v="150000"/>
    <n v="30000"/>
    <n v="120000"/>
    <d v="2021-12-05T00:00:00"/>
    <s v="Sun"/>
    <n v="30"/>
    <d v="2022-03-05T00:00:00"/>
    <n v="120"/>
    <s v="Expired"/>
    <n v="0"/>
    <n v="4"/>
    <n v="720000"/>
    <n v="120000"/>
    <n v="600000"/>
    <n v="0"/>
    <n v="120000"/>
    <n v="419000"/>
    <n v="539000"/>
    <n v="0"/>
    <n v="181000"/>
    <n v="181000"/>
    <n v="181000"/>
    <n v="1.0055555555555555"/>
    <n v="31"/>
    <s v="2.(31-60) Days"/>
    <s v="Ok"/>
  </r>
  <r>
    <d v="2021-11-05T00:00:00"/>
    <x v="219"/>
    <n v="310"/>
    <n v="1"/>
    <s v="BIZ"/>
    <n v="200000"/>
    <n v="3"/>
    <n v="0.05"/>
    <s v="Monthly"/>
    <s v="Kana"/>
    <s v="SALAMA GIFT"/>
    <n v="15000"/>
    <n v="5000"/>
    <n v="2000"/>
    <n v="20000"/>
    <n v="30000"/>
    <n v="3"/>
    <n v="230000"/>
    <n v="76666.666666666672"/>
    <n v="77000"/>
    <n v="231000"/>
    <n v="66666.666666666672"/>
    <n v="10333.333333333328"/>
    <n v="30999.999999999985"/>
    <d v="2021-12-05T00:00:00"/>
    <s v="Sun"/>
    <n v="30"/>
    <d v="2022-02-05T00:00:00"/>
    <n v="92"/>
    <s v="Expired"/>
    <n v="0"/>
    <n v="3"/>
    <n v="231000"/>
    <n v="30999.999999999985"/>
    <n v="200000"/>
    <n v="0"/>
    <n v="30999.999999999985"/>
    <n v="199000"/>
    <n v="230000"/>
    <n v="0"/>
    <n v="1000"/>
    <n v="1000"/>
    <n v="1000"/>
    <n v="1.2987012987012988E-2"/>
    <n v="1"/>
    <s v="1.(0-30) Days"/>
    <s v="Ok"/>
  </r>
  <r>
    <d v="2021-11-05T00:00:00"/>
    <x v="220"/>
    <n v="309"/>
    <n v="1"/>
    <s v="BIZ"/>
    <n v="2500000"/>
    <n v="3"/>
    <n v="0.05"/>
    <s v="Monthly"/>
    <s v="Aroma"/>
    <s v="WAYI DAVID"/>
    <n v="30000"/>
    <n v="5000"/>
    <n v="50000"/>
    <n v="250000"/>
    <n v="375000"/>
    <n v="3"/>
    <n v="2875000"/>
    <n v="958333.33333333337"/>
    <n v="959000"/>
    <n v="2877000"/>
    <n v="833333.33333333337"/>
    <n v="125666.66666666663"/>
    <n v="376999.99999999988"/>
    <d v="2021-12-05T00:00:00"/>
    <s v="Sun"/>
    <n v="30"/>
    <d v="2022-02-05T00:00:00"/>
    <n v="92"/>
    <s v="Expired"/>
    <n v="0"/>
    <n v="3"/>
    <n v="2877000"/>
    <n v="376999.99999999988"/>
    <n v="2500000"/>
    <n v="0"/>
    <n v="376999.99999999988"/>
    <n v="2498200"/>
    <n v="2875200"/>
    <n v="0"/>
    <n v="1800"/>
    <n v="1800"/>
    <n v="1800"/>
    <n v="1.8769551616266945E-3"/>
    <n v="1"/>
    <s v="1.(0-30) Days"/>
    <s v="Ok"/>
  </r>
  <r>
    <d v="2021-11-06T00:00:00"/>
    <x v="98"/>
    <n v="312"/>
    <n v="3"/>
    <s v="BIZ"/>
    <n v="2000000"/>
    <n v="4"/>
    <n v="0.05"/>
    <s v="Monthly"/>
    <s v="Jerome"/>
    <s v="MORRO HASSAN"/>
    <n v="25000"/>
    <n v="5000"/>
    <n v="40000"/>
    <n v="200000"/>
    <n v="400000"/>
    <n v="4"/>
    <n v="2400000"/>
    <n v="600000"/>
    <n v="600000"/>
    <n v="2400000"/>
    <n v="500000"/>
    <n v="100000"/>
    <n v="400000"/>
    <d v="2021-12-06T00:00:00"/>
    <s v="Mon"/>
    <n v="30"/>
    <d v="2022-03-06T00:00:00"/>
    <n v="120"/>
    <s v="Expired"/>
    <n v="0"/>
    <n v="4"/>
    <n v="2400000"/>
    <n v="400000"/>
    <n v="2000000"/>
    <n v="0"/>
    <n v="340000"/>
    <n v="300000"/>
    <n v="640000"/>
    <n v="60000"/>
    <n v="1700000"/>
    <n v="1760000"/>
    <n v="1760000"/>
    <n v="2.9333333333333331"/>
    <n v="88"/>
    <s v="3.(61-90) Days"/>
    <s v="Ok"/>
  </r>
  <r>
    <d v="2021-10-05T00:00:00"/>
    <x v="221"/>
    <n v="247"/>
    <n v="1"/>
    <s v="BIZ"/>
    <n v="1000000"/>
    <n v="3"/>
    <n v="0.05"/>
    <s v="Monthly"/>
    <s v="Kana"/>
    <s v="AMIJI LUCY"/>
    <n v="15000"/>
    <n v="5000"/>
    <n v="3000"/>
    <n v="100000"/>
    <n v="150000"/>
    <n v="3"/>
    <n v="1150000"/>
    <n v="383333.33333333331"/>
    <n v="384000"/>
    <n v="1152000"/>
    <n v="333333.33333333331"/>
    <n v="50666.666666666686"/>
    <n v="152000.00000000006"/>
    <d v="2021-11-05T00:00:00"/>
    <s v="Frid"/>
    <n v="31"/>
    <d v="2022-01-05T00:00:00"/>
    <n v="92"/>
    <s v="Expired"/>
    <n v="0"/>
    <n v="3"/>
    <n v="1152000"/>
    <n v="152000.00000000006"/>
    <n v="1000000"/>
    <n v="0"/>
    <n v="152000.00000000006"/>
    <n v="997999.99999999988"/>
    <n v="1150000"/>
    <n v="0"/>
    <n v="2000.0000000001164"/>
    <n v="2000.0000000001164"/>
    <n v="2000.0000000001164"/>
    <n v="5.2083333333336366E-3"/>
    <n v="1"/>
    <s v="1.(0-30) Days"/>
    <s v="Ok"/>
  </r>
  <r>
    <d v="2021-10-07T00:00:00"/>
    <x v="222"/>
    <n v="256"/>
    <n v="1"/>
    <s v="QUICK"/>
    <n v="1500000"/>
    <n v="1"/>
    <n v="7.4999999999999997E-2"/>
    <s v="Monthly"/>
    <s v="Aroma"/>
    <s v="AYIKORU WINNIE"/>
    <n v="15000"/>
    <n v="5000"/>
    <n v="10000"/>
    <n v="150000"/>
    <n v="112500"/>
    <n v="1"/>
    <n v="1612500"/>
    <n v="1612500"/>
    <n v="1613000"/>
    <n v="1613000"/>
    <n v="1500000"/>
    <n v="113000"/>
    <n v="113000"/>
    <d v="2021-11-07T00:00:00"/>
    <s v="Sun"/>
    <n v="31"/>
    <d v="2021-11-07T00:00:00"/>
    <n v="31"/>
    <s v="Expired"/>
    <n v="0"/>
    <n v="1"/>
    <n v="1613000"/>
    <n v="113000"/>
    <n v="1500000"/>
    <n v="0"/>
    <n v="113000"/>
    <n v="1499500"/>
    <n v="1612500"/>
    <n v="0"/>
    <n v="500"/>
    <n v="500"/>
    <n v="500"/>
    <n v="3.0998140111593303E-4"/>
    <n v="1"/>
    <s v="1.(0-30) Days"/>
    <s v="Ok"/>
  </r>
  <r>
    <d v="2021-11-09T00:00:00"/>
    <x v="72"/>
    <n v="315"/>
    <n v="2"/>
    <s v="BIZ"/>
    <n v="1500000"/>
    <n v="6"/>
    <n v="0.05"/>
    <s v="Monthly"/>
    <s v="Kana"/>
    <s v="CACA FATUMA"/>
    <n v="25000"/>
    <n v="5000"/>
    <n v="30000"/>
    <n v="150000"/>
    <n v="450000"/>
    <n v="6"/>
    <n v="1950000"/>
    <n v="325000"/>
    <n v="325000"/>
    <n v="1950000"/>
    <n v="250000"/>
    <n v="75000"/>
    <n v="450000"/>
    <d v="2021-12-09T00:00:00"/>
    <s v="Thu"/>
    <n v="30"/>
    <d v="2022-05-09T00:00:00"/>
    <n v="181"/>
    <s v="Expired"/>
    <n v="0"/>
    <n v="6"/>
    <n v="1950000"/>
    <n v="450000"/>
    <n v="1500000"/>
    <n v="0"/>
    <n v="450000"/>
    <n v="1500000"/>
    <n v="1950000"/>
    <n v="0"/>
    <n v="0"/>
    <n v="0"/>
    <s v=""/>
    <n v="0"/>
    <n v="0"/>
    <s v="Cleared"/>
    <s v="Ok"/>
  </r>
  <r>
    <d v="2021-11-09T00:00:00"/>
    <x v="84"/>
    <n v="316"/>
    <n v="2"/>
    <s v="BIZ"/>
    <n v="1000000"/>
    <n v="6"/>
    <n v="0.05"/>
    <s v="Monthly"/>
    <s v="Aroma"/>
    <s v="ZABIBU RAJAB SAIDI"/>
    <n v="20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1-12-09T00:00:00"/>
    <s v="Thu"/>
    <n v="30"/>
    <d v="2022-05-09T00:00:00"/>
    <n v="181"/>
    <s v="Expired"/>
    <n v="0"/>
    <n v="6"/>
    <n v="1302000"/>
    <n v="302000.00000000006"/>
    <n v="1000000"/>
    <n v="0"/>
    <n v="352333.33333333337"/>
    <n v="564366.66666666663"/>
    <n v="916700"/>
    <n v="-50333.333333333314"/>
    <n v="435633.33333333337"/>
    <n v="385300.00000000006"/>
    <n v="385300.00000000006"/>
    <n v="1.7755760368663598"/>
    <n v="54"/>
    <s v="2.(31-60) Days"/>
    <s v="Error on Entry"/>
  </r>
  <r>
    <d v="2021-11-09T00:00:00"/>
    <x v="101"/>
    <n v="314"/>
    <n v="2"/>
    <s v="BIZ"/>
    <n v="1000000"/>
    <n v="5"/>
    <n v="0.05"/>
    <s v="Monthly"/>
    <s v="Jerome"/>
    <s v="DUDU JOICE"/>
    <n v="20000"/>
    <n v="5000"/>
    <n v="10000"/>
    <n v="100000"/>
    <n v="250000"/>
    <n v="5"/>
    <n v="1250000"/>
    <n v="250000"/>
    <n v="250000"/>
    <n v="1250000"/>
    <n v="200000"/>
    <n v="50000"/>
    <n v="250000"/>
    <d v="2021-12-09T00:00:00"/>
    <s v="Thu"/>
    <n v="30"/>
    <d v="2022-04-09T00:00:00"/>
    <n v="151"/>
    <s v="Expired"/>
    <n v="0"/>
    <n v="5"/>
    <n v="1250000"/>
    <n v="250000"/>
    <n v="1000000"/>
    <n v="0"/>
    <n v="240000"/>
    <n v="560000"/>
    <n v="800000"/>
    <n v="10000"/>
    <n v="440000"/>
    <n v="450000"/>
    <n v="450000"/>
    <n v="1.8"/>
    <n v="54"/>
    <s v="2.(31-60) Days"/>
    <s v="Ok"/>
  </r>
  <r>
    <d v="2021-11-10T00:00:00"/>
    <x v="139"/>
    <n v="318"/>
    <n v="2"/>
    <s v="BIZ"/>
    <n v="4000000"/>
    <n v="4"/>
    <n v="0.05"/>
    <s v="Monthly"/>
    <s v="Kana"/>
    <s v="MORO HAKIM"/>
    <n v="30000"/>
    <n v="5000"/>
    <n v="80000"/>
    <n v="400000"/>
    <n v="800000"/>
    <n v="4"/>
    <n v="4800000"/>
    <n v="1200000"/>
    <n v="1200000"/>
    <n v="4800000"/>
    <n v="1000000"/>
    <n v="200000"/>
    <n v="800000"/>
    <d v="2021-12-10T00:00:00"/>
    <s v="Frid"/>
    <n v="30"/>
    <d v="2022-03-10T00:00:00"/>
    <n v="120"/>
    <s v="Expired"/>
    <n v="0"/>
    <n v="4"/>
    <n v="4800000"/>
    <n v="800000"/>
    <n v="4000000"/>
    <n v="0"/>
    <n v="800000"/>
    <n v="4000000"/>
    <n v="4800000"/>
    <n v="0"/>
    <n v="0"/>
    <n v="0"/>
    <s v=""/>
    <n v="0"/>
    <n v="0"/>
    <s v="Cleared"/>
    <s v="Ok"/>
  </r>
  <r>
    <d v="2021-11-10T00:00:00"/>
    <x v="223"/>
    <n v="319"/>
    <n v="1"/>
    <s v="BIZ"/>
    <n v="400000"/>
    <n v="4"/>
    <n v="0.05"/>
    <s v="Monthly"/>
    <s v="Kana"/>
    <s v="ALORO SAIDI"/>
    <n v="15000"/>
    <n v="5000"/>
    <n v="4000"/>
    <n v="40000"/>
    <n v="80000"/>
    <n v="4"/>
    <n v="480000"/>
    <n v="120000"/>
    <n v="120000"/>
    <n v="480000"/>
    <n v="100000"/>
    <n v="20000"/>
    <n v="80000"/>
    <d v="2021-12-10T00:00:00"/>
    <s v="Frid"/>
    <n v="30"/>
    <d v="2022-03-10T00:00:00"/>
    <n v="120"/>
    <s v="Expired"/>
    <n v="0"/>
    <n v="4"/>
    <n v="480000"/>
    <n v="80000"/>
    <n v="400000"/>
    <n v="0"/>
    <n v="80000"/>
    <n v="370000"/>
    <n v="450000"/>
    <n v="0"/>
    <n v="30000"/>
    <n v="30000"/>
    <n v="30000"/>
    <n v="0.25"/>
    <n v="8"/>
    <s v="1.(0-30) Days"/>
    <s v="Ok"/>
  </r>
  <r>
    <d v="2021-11-11T00:00:00"/>
    <x v="25"/>
    <n v="321"/>
    <n v="3"/>
    <s v="BIZ"/>
    <n v="1000000"/>
    <n v="3"/>
    <n v="0.05"/>
    <s v="Monthly"/>
    <s v="Jerome"/>
    <s v="WACHEKE HARRIET"/>
    <n v="20000"/>
    <n v="5000"/>
    <n v="10000"/>
    <n v="100000"/>
    <n v="150000"/>
    <n v="3"/>
    <n v="1150000"/>
    <n v="383333.33333333331"/>
    <n v="384000"/>
    <n v="1152000"/>
    <n v="333333.33333333331"/>
    <n v="50666.666666666686"/>
    <n v="152000.00000000006"/>
    <d v="2021-12-11T00:00:00"/>
    <s v="Sat"/>
    <n v="30"/>
    <d v="2022-02-11T00:00:00"/>
    <n v="92"/>
    <s v="Expired"/>
    <n v="0"/>
    <n v="3"/>
    <n v="1152000"/>
    <n v="152000.00000000006"/>
    <n v="1000000"/>
    <n v="0"/>
    <n v="152000.00000000006"/>
    <n v="983000"/>
    <n v="1135000"/>
    <n v="0"/>
    <n v="17000"/>
    <n v="17000"/>
    <n v="17000"/>
    <n v="4.4270833333333336E-2"/>
    <n v="2"/>
    <s v="1.(0-30) Days"/>
    <s v="Ok"/>
  </r>
  <r>
    <d v="2021-11-11T00:00:00"/>
    <x v="28"/>
    <n v="329"/>
    <n v="2"/>
    <s v="BIZ"/>
    <n v="900000"/>
    <n v="6"/>
    <n v="0.05"/>
    <s v="Monthly"/>
    <s v="Aroma"/>
    <s v="KALSUMU INNOCENT"/>
    <n v="20000"/>
    <n v="5000"/>
    <n v="9000"/>
    <n v="90000"/>
    <n v="270000"/>
    <n v="6"/>
    <n v="1170000"/>
    <n v="195000"/>
    <n v="195000"/>
    <n v="1170000"/>
    <n v="150000"/>
    <n v="45000"/>
    <n v="270000"/>
    <d v="2021-12-11T00:00:00"/>
    <s v="Sat"/>
    <n v="30"/>
    <d v="2022-05-11T00:00:00"/>
    <n v="181"/>
    <s v="Expired"/>
    <n v="0"/>
    <n v="6"/>
    <n v="1170000"/>
    <n v="270000"/>
    <n v="900000"/>
    <n v="0"/>
    <n v="270000"/>
    <n v="900000"/>
    <n v="1170000"/>
    <n v="0"/>
    <n v="0"/>
    <n v="0"/>
    <s v=""/>
    <n v="0"/>
    <n v="0"/>
    <s v="Cleared"/>
    <s v="Ok"/>
  </r>
  <r>
    <d v="2021-11-11T00:00:00"/>
    <x v="131"/>
    <n v="324"/>
    <n v="2"/>
    <s v="BIZ"/>
    <n v="400000"/>
    <n v="4"/>
    <n v="0.05"/>
    <s v="Monthly"/>
    <s v="Jerome"/>
    <s v="TABU NATALIYA"/>
    <n v="15000"/>
    <n v="5000"/>
    <n v="4000"/>
    <n v="40000"/>
    <n v="80000"/>
    <n v="4"/>
    <n v="480000"/>
    <n v="120000"/>
    <n v="120000"/>
    <n v="480000"/>
    <n v="100000"/>
    <n v="20000"/>
    <n v="80000"/>
    <d v="2021-12-11T00:00:00"/>
    <s v="Sat"/>
    <n v="30"/>
    <d v="2022-03-11T00:00:00"/>
    <n v="120"/>
    <s v="Expired"/>
    <n v="0"/>
    <n v="4"/>
    <n v="480000"/>
    <n v="80000"/>
    <n v="400000"/>
    <n v="0"/>
    <n v="80000"/>
    <n v="330000"/>
    <n v="410000"/>
    <n v="0"/>
    <n v="70000"/>
    <n v="70000"/>
    <n v="70000"/>
    <n v="0.58333333333333337"/>
    <n v="18"/>
    <s v="1.(0-30) Days"/>
    <s v="Ok"/>
  </r>
  <r>
    <d v="2021-11-11T00:00:00"/>
    <x v="87"/>
    <n v="323"/>
    <n v="2"/>
    <s v="BIZ"/>
    <n v="1200000"/>
    <n v="6"/>
    <n v="0.05"/>
    <s v="Monthly"/>
    <s v="Kana"/>
    <s v="SARIF SAIDI"/>
    <n v="25000"/>
    <n v="5000"/>
    <n v="24000"/>
    <n v="120000"/>
    <n v="360000"/>
    <n v="6"/>
    <n v="1560000"/>
    <n v="260000"/>
    <n v="260000"/>
    <n v="1560000"/>
    <n v="200000"/>
    <n v="60000"/>
    <n v="360000"/>
    <d v="2021-12-11T00:00:00"/>
    <s v="Sat"/>
    <n v="30"/>
    <d v="2022-05-11T00:00:00"/>
    <n v="181"/>
    <s v="Expired"/>
    <n v="0"/>
    <n v="6"/>
    <n v="1560000"/>
    <n v="360000"/>
    <n v="1200000"/>
    <n v="0"/>
    <n v="210666.66666666669"/>
    <n v="439333.33333333331"/>
    <n v="650000"/>
    <n v="149333.33333333331"/>
    <n v="760666.66666666674"/>
    <n v="910000"/>
    <n v="910000"/>
    <n v="3.5"/>
    <n v="105"/>
    <s v="4.(91-365) Days"/>
    <s v="Ok"/>
  </r>
  <r>
    <d v="2021-11-11T00:00:00"/>
    <x v="186"/>
    <n v="322"/>
    <n v="2"/>
    <s v="BIZ"/>
    <n v="300000"/>
    <n v="3"/>
    <n v="0.05"/>
    <s v="Monthly"/>
    <s v="Kana"/>
    <s v="TIKO RAIMA"/>
    <n v="15000"/>
    <n v="5000"/>
    <n v="3000"/>
    <n v="30000"/>
    <n v="45000"/>
    <n v="3"/>
    <n v="345000"/>
    <n v="115000"/>
    <n v="115000"/>
    <n v="345000"/>
    <n v="100000"/>
    <n v="15000"/>
    <n v="45000"/>
    <d v="2021-12-11T00:00:00"/>
    <s v="Sat"/>
    <n v="30"/>
    <d v="2022-02-11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10-26T00:00:00"/>
    <x v="222"/>
    <n v="295"/>
    <n v="2"/>
    <s v="QUICK"/>
    <n v="600000"/>
    <n v="1"/>
    <n v="7.4999999999999997E-2"/>
    <s v="Weekly"/>
    <s v="Aroma"/>
    <s v="AYIKORU WINNIE"/>
    <n v="20000"/>
    <n v="5000"/>
    <n v="10000"/>
    <n v="60000"/>
    <n v="45000"/>
    <n v="4"/>
    <n v="645000"/>
    <n v="161250"/>
    <n v="162000"/>
    <n v="648000"/>
    <n v="150000"/>
    <n v="12000"/>
    <n v="48000"/>
    <d v="2021-11-02T00:00:00"/>
    <s v="Tue"/>
    <n v="7"/>
    <d v="2021-11-26T00:00:00"/>
    <n v="31"/>
    <s v="Expired"/>
    <n v="0"/>
    <n v="4"/>
    <n v="648000"/>
    <n v="48000"/>
    <n v="600000"/>
    <n v="0"/>
    <n v="48000"/>
    <n v="597000"/>
    <n v="645000"/>
    <n v="0"/>
    <n v="3000"/>
    <n v="3000"/>
    <n v="3000"/>
    <n v="1.8518518518518517E-2"/>
    <n v="1"/>
    <s v="1.(0-30) Days"/>
    <s v="Ok"/>
  </r>
  <r>
    <d v="2021-10-12T00:00:00"/>
    <x v="224"/>
    <n v="264"/>
    <n v="1"/>
    <s v="SLA"/>
    <n v="1300000"/>
    <n v="1"/>
    <n v="7.4999999999999997E-2"/>
    <s v="Monthly"/>
    <s v="Aroma"/>
    <s v="ONJIMA BASHIR"/>
    <n v="20000"/>
    <n v="5000"/>
    <n v="18000"/>
    <n v="130000"/>
    <n v="97500"/>
    <n v="1"/>
    <n v="1397500"/>
    <n v="1397500"/>
    <n v="1398000"/>
    <n v="1398000"/>
    <n v="1300000"/>
    <n v="98000"/>
    <n v="98000"/>
    <d v="2021-11-12T00:00:00"/>
    <s v="Frid"/>
    <n v="31"/>
    <d v="2021-11-12T00:00:00"/>
    <n v="31"/>
    <s v="Expired"/>
    <n v="0"/>
    <n v="1"/>
    <n v="1398000"/>
    <n v="98000"/>
    <n v="1300000"/>
    <n v="0"/>
    <n v="98000"/>
    <n v="1299500"/>
    <n v="1397500"/>
    <n v="0"/>
    <n v="500"/>
    <n v="500"/>
    <n v="500"/>
    <n v="3.5765379113018598E-4"/>
    <n v="1"/>
    <s v="1.(0-30) Days"/>
    <s v="Ok"/>
  </r>
  <r>
    <d v="2021-10-16T00:00:00"/>
    <x v="225"/>
    <n v="271"/>
    <n v="1"/>
    <s v="BIZ"/>
    <n v="400000"/>
    <n v="4"/>
    <n v="0.05"/>
    <s v="Monthly"/>
    <s v="Kana"/>
    <s v="ALOMO ZAIDA"/>
    <n v="20000"/>
    <n v="5000"/>
    <n v="10000"/>
    <n v="40000"/>
    <n v="80000"/>
    <n v="4"/>
    <n v="480000"/>
    <n v="120000"/>
    <n v="120000"/>
    <n v="480000"/>
    <n v="100000"/>
    <n v="20000"/>
    <n v="80000"/>
    <d v="2021-11-16T00:00:00"/>
    <s v="Tue"/>
    <n v="31"/>
    <d v="2022-02-16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11-15T00:00:00"/>
    <x v="85"/>
    <n v="327"/>
    <n v="2"/>
    <s v="BIZ"/>
    <n v="200000"/>
    <n v="4"/>
    <n v="0.05"/>
    <s v="Monthly"/>
    <s v="Jerome"/>
    <s v="CHANDIRU SALILA"/>
    <n v="15000"/>
    <n v="5000"/>
    <n v="2000"/>
    <n v="20000"/>
    <n v="40000"/>
    <n v="4"/>
    <n v="240000"/>
    <n v="60000"/>
    <n v="60000"/>
    <n v="240000"/>
    <n v="50000"/>
    <n v="10000"/>
    <n v="40000"/>
    <d v="2021-12-15T00:00:00"/>
    <s v="Wed"/>
    <n v="30"/>
    <d v="2022-03-15T00:00:00"/>
    <n v="120"/>
    <s v="Expired"/>
    <n v="0"/>
    <n v="4"/>
    <n v="240000"/>
    <n v="40000"/>
    <n v="200000"/>
    <n v="0"/>
    <n v="40000"/>
    <n v="200000"/>
    <n v="240000"/>
    <n v="0"/>
    <n v="0"/>
    <n v="0"/>
    <s v=""/>
    <n v="0"/>
    <n v="0"/>
    <s v="Cleared"/>
    <s v="Ok"/>
  </r>
  <r>
    <d v="2021-11-17T00:00:00"/>
    <x v="226"/>
    <n v="334"/>
    <n v="1"/>
    <s v="BIZ"/>
    <n v="500000"/>
    <n v="5"/>
    <n v="0.05"/>
    <s v="Monthly"/>
    <s v="Kana"/>
    <s v="WARU ARIEYE VALENTINA CHARLES"/>
    <n v="15000"/>
    <n v="5000"/>
    <n v="5000"/>
    <n v="50000"/>
    <n v="125000"/>
    <n v="5"/>
    <n v="625000"/>
    <n v="125000"/>
    <n v="125000"/>
    <n v="625000"/>
    <n v="100000"/>
    <n v="25000"/>
    <n v="125000"/>
    <d v="2021-12-17T00:00:00"/>
    <s v="Frid"/>
    <n v="30"/>
    <d v="2022-04-17T00:00:00"/>
    <n v="151"/>
    <s v="Expired"/>
    <n v="0"/>
    <n v="5"/>
    <n v="625000"/>
    <n v="125000"/>
    <n v="500000"/>
    <n v="0"/>
    <n v="125000"/>
    <n v="500000"/>
    <n v="625000"/>
    <n v="0"/>
    <n v="0"/>
    <n v="0"/>
    <s v=""/>
    <n v="0"/>
    <n v="0"/>
    <s v="Cleared"/>
    <s v="Ok"/>
  </r>
  <r>
    <d v="2021-10-13T00:00:00"/>
    <x v="227"/>
    <n v="268"/>
    <n v="1"/>
    <s v="SLA"/>
    <n v="3000000"/>
    <n v="3"/>
    <n v="7.4999999999999997E-2"/>
    <s v="Monthly"/>
    <s v="Jerome"/>
    <s v="LETARU GLORIA"/>
    <n v="15000"/>
    <n v="5000"/>
    <n v="8000"/>
    <n v="300000"/>
    <n v="675000"/>
    <n v="3"/>
    <n v="3675000"/>
    <n v="1225000"/>
    <n v="1225000"/>
    <n v="3675000"/>
    <n v="1000000"/>
    <n v="225000"/>
    <n v="675000"/>
    <d v="2021-11-13T00:00:00"/>
    <s v="Sat"/>
    <n v="31"/>
    <d v="2022-01-13T00:00:00"/>
    <n v="92"/>
    <s v="Expired"/>
    <n v="0"/>
    <n v="3"/>
    <n v="3675000"/>
    <n v="675000"/>
    <n v="3000000"/>
    <n v="0"/>
    <n v="675000"/>
    <n v="3000000"/>
    <n v="3675000"/>
    <n v="0"/>
    <n v="0"/>
    <n v="0"/>
    <s v=""/>
    <n v="0"/>
    <n v="0"/>
    <s v="Cleared"/>
    <s v="Ok"/>
  </r>
  <r>
    <d v="2021-11-17T00:00:00"/>
    <x v="161"/>
    <n v="330"/>
    <n v="2"/>
    <s v="BIZ"/>
    <n v="400000"/>
    <n v="5"/>
    <n v="0.05"/>
    <s v="Monthly"/>
    <s v="Jerome"/>
    <s v="GERIA VIOLA"/>
    <n v="15000"/>
    <n v="5000"/>
    <n v="4000"/>
    <n v="40000"/>
    <n v="100000"/>
    <n v="5"/>
    <n v="500000"/>
    <n v="100000"/>
    <n v="100000"/>
    <n v="500000"/>
    <n v="80000"/>
    <n v="20000"/>
    <n v="100000"/>
    <d v="2021-12-17T00:00:00"/>
    <s v="Frid"/>
    <n v="30"/>
    <d v="2022-04-17T00:00:00"/>
    <n v="151"/>
    <s v="Expired"/>
    <n v="0"/>
    <n v="5"/>
    <n v="500000"/>
    <n v="100000"/>
    <n v="400000"/>
    <n v="0"/>
    <n v="100000"/>
    <n v="400000"/>
    <n v="500000"/>
    <n v="0"/>
    <n v="0"/>
    <n v="0"/>
    <s v=""/>
    <n v="0"/>
    <n v="0"/>
    <s v="Cleared"/>
    <s v="Ok"/>
  </r>
  <r>
    <d v="2021-11-03T00:00:00"/>
    <x v="228"/>
    <n v="306"/>
    <n v="1"/>
    <s v="BIZ"/>
    <n v="400000"/>
    <n v="2"/>
    <n v="0.05"/>
    <s v="Monthly"/>
    <s v="Jerome"/>
    <s v="SIDA ZAINABU"/>
    <n v="15000"/>
    <n v="5000"/>
    <n v="5000"/>
    <n v="40000"/>
    <n v="40000"/>
    <n v="2"/>
    <n v="440000"/>
    <n v="220000"/>
    <n v="220000"/>
    <n v="440000"/>
    <n v="200000"/>
    <n v="20000"/>
    <n v="40000"/>
    <d v="2021-12-03T00:00:00"/>
    <s v="Frid"/>
    <n v="30"/>
    <d v="2022-01-03T00:00:00"/>
    <n v="61"/>
    <s v="Expired"/>
    <n v="0"/>
    <n v="2"/>
    <n v="440000"/>
    <n v="40000"/>
    <n v="400000"/>
    <n v="0"/>
    <n v="40000"/>
    <n v="400000"/>
    <n v="440000"/>
    <n v="0"/>
    <n v="0"/>
    <n v="0"/>
    <s v=""/>
    <n v="0"/>
    <n v="0"/>
    <s v="Cleared"/>
    <s v="Ok"/>
  </r>
  <r>
    <d v="2021-11-17T00:00:00"/>
    <x v="229"/>
    <n v="331"/>
    <n v="1"/>
    <s v="BIZ"/>
    <n v="400000"/>
    <n v="4"/>
    <n v="0.05"/>
    <s v="Monthly"/>
    <s v="Jerome"/>
    <s v="AFEKU EMMANUEL"/>
    <n v="15000"/>
    <n v="5000"/>
    <n v="4000"/>
    <n v="40000"/>
    <n v="80000"/>
    <n v="4"/>
    <n v="480000"/>
    <n v="120000"/>
    <n v="120000"/>
    <n v="480000"/>
    <n v="100000"/>
    <n v="20000"/>
    <n v="80000"/>
    <d v="2021-12-17T00:00:00"/>
    <s v="Frid"/>
    <n v="30"/>
    <d v="2022-03-17T00:00:00"/>
    <n v="120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11-18T00:00:00"/>
    <x v="121"/>
    <n v="335"/>
    <n v="2"/>
    <s v="BIZ"/>
    <n v="800000"/>
    <n v="5"/>
    <n v="0.05"/>
    <s v="Monthly"/>
    <s v="Aroma"/>
    <s v="TIKO ZABIBU"/>
    <n v="20000"/>
    <n v="5000"/>
    <n v="8000"/>
    <n v="80000"/>
    <n v="200000"/>
    <n v="5"/>
    <n v="1000000"/>
    <n v="200000"/>
    <n v="200000"/>
    <n v="1000000"/>
    <n v="160000"/>
    <n v="40000"/>
    <n v="200000"/>
    <d v="2021-12-18T00:00:00"/>
    <s v="Sat"/>
    <n v="30"/>
    <d v="2022-04-18T00:00:00"/>
    <n v="151"/>
    <s v="Expired"/>
    <n v="0"/>
    <n v="5"/>
    <n v="1000000"/>
    <n v="200000"/>
    <n v="800000"/>
    <n v="0"/>
    <n v="200000"/>
    <n v="800000"/>
    <n v="1000000"/>
    <n v="0"/>
    <n v="0"/>
    <n v="0"/>
    <s v=""/>
    <n v="0"/>
    <n v="0"/>
    <s v="Cleared"/>
    <s v="Ok"/>
  </r>
  <r>
    <d v="2021-10-15T00:00:00"/>
    <x v="230"/>
    <n v="359"/>
    <n v="1"/>
    <s v="SLA"/>
    <n v="1500000"/>
    <n v="3"/>
    <n v="7.4999999999999997E-2"/>
    <s v="Monthly"/>
    <s v="Jerome"/>
    <s v="JAKUMA VINCENT"/>
    <n v="25000"/>
    <n v="5000"/>
    <n v="30000"/>
    <n v="150000"/>
    <n v="337500"/>
    <n v="3"/>
    <n v="1837500"/>
    <n v="612500"/>
    <n v="613000"/>
    <n v="1839000"/>
    <n v="500000"/>
    <n v="113000"/>
    <n v="339000"/>
    <d v="2021-11-15T00:00:00"/>
    <s v="Mon"/>
    <n v="31"/>
    <d v="2022-01-15T00:00:00"/>
    <n v="92"/>
    <s v="Expired"/>
    <n v="0"/>
    <n v="3"/>
    <n v="1839000"/>
    <n v="339000"/>
    <n v="1500000"/>
    <n v="0"/>
    <n v="339000"/>
    <n v="1311000"/>
    <n v="1650000"/>
    <n v="0"/>
    <n v="189000"/>
    <n v="189000"/>
    <n v="189000"/>
    <n v="0.30831973898858073"/>
    <n v="10"/>
    <s v="1.(0-30) Days"/>
    <s v="Ok"/>
  </r>
  <r>
    <d v="2021-11-19T00:00:00"/>
    <x v="107"/>
    <n v="337"/>
    <n v="2"/>
    <s v="BIZ"/>
    <n v="600000"/>
    <n v="5"/>
    <n v="0.05"/>
    <s v="Monthly"/>
    <s v="Jerome"/>
    <s v="NURA JOYCE"/>
    <n v="20000"/>
    <n v="5000"/>
    <n v="6000"/>
    <n v="60000"/>
    <n v="150000"/>
    <n v="5"/>
    <n v="750000"/>
    <n v="150000"/>
    <n v="150000"/>
    <n v="750000"/>
    <n v="120000"/>
    <n v="30000"/>
    <n v="150000"/>
    <d v="2021-12-19T00:00:00"/>
    <s v="Sun"/>
    <n v="30"/>
    <d v="2022-04-19T00:00:00"/>
    <n v="151"/>
    <s v="Expired"/>
    <n v="0"/>
    <n v="5"/>
    <n v="750000"/>
    <n v="150000"/>
    <n v="600000"/>
    <n v="0"/>
    <n v="125333.33333333334"/>
    <n v="579666.66666666663"/>
    <n v="705000"/>
    <n v="24666.666666666657"/>
    <n v="20333.333333333372"/>
    <n v="45000.000000000029"/>
    <n v="45000.000000000029"/>
    <n v="0.30000000000000021"/>
    <n v="10"/>
    <s v="1.(0-30) Days"/>
    <s v="Ok"/>
  </r>
  <r>
    <d v="2021-10-19T00:00:00"/>
    <x v="231"/>
    <n v="279"/>
    <n v="1"/>
    <s v="BIZ"/>
    <n v="400000"/>
    <n v="4"/>
    <n v="0.05"/>
    <s v="Monthly"/>
    <s v="Kana"/>
    <s v="ANITE AGNES"/>
    <n v="20000"/>
    <n v="5000"/>
    <n v="10000"/>
    <n v="40000"/>
    <n v="80000"/>
    <n v="4"/>
    <n v="480000"/>
    <n v="120000"/>
    <n v="120000"/>
    <n v="480000"/>
    <n v="100000"/>
    <n v="20000"/>
    <n v="80000"/>
    <d v="2021-11-19T00:00:00"/>
    <s v="Frid"/>
    <n v="31"/>
    <d v="2022-02-19T00:00:00"/>
    <n v="123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11-22T00:00:00"/>
    <x v="173"/>
    <n v="340"/>
    <n v="2"/>
    <s v="BIZ"/>
    <n v="400000"/>
    <n v="3"/>
    <n v="0.05"/>
    <s v="Monthly"/>
    <s v="Kana"/>
    <s v="AYOZU JESCA TAIBO"/>
    <n v="15000"/>
    <n v="5000"/>
    <n v="4000"/>
    <n v="40000"/>
    <n v="60000"/>
    <n v="3"/>
    <n v="460000"/>
    <n v="153333.33333333334"/>
    <n v="154000"/>
    <n v="462000"/>
    <n v="133333.33333333334"/>
    <n v="20666.666666666657"/>
    <n v="61999.999999999971"/>
    <d v="2021-12-22T00:00:00"/>
    <s v="Wed"/>
    <n v="30"/>
    <d v="2022-02-22T00:00:00"/>
    <n v="92"/>
    <s v="Expired"/>
    <n v="0"/>
    <n v="3"/>
    <n v="462000"/>
    <n v="61999.999999999971"/>
    <n v="400000"/>
    <n v="0"/>
    <n v="34666.666666666657"/>
    <n v="385333.33333333337"/>
    <n v="420000"/>
    <n v="27333.333333333314"/>
    <n v="14666.666666666628"/>
    <n v="41999.999999999942"/>
    <n v="41999.999999999942"/>
    <n v="0.27272727272727237"/>
    <n v="9"/>
    <s v="1.(0-30) Days"/>
    <s v="Ok"/>
  </r>
  <r>
    <d v="2021-10-23T00:00:00"/>
    <x v="232"/>
    <n v="292"/>
    <n v="1"/>
    <s v="BIZ"/>
    <n v="300000"/>
    <n v="3"/>
    <n v="0.05"/>
    <s v="Monthly"/>
    <s v="Jerome"/>
    <s v="AMANIYO STELLA"/>
    <n v="30000"/>
    <n v="5000"/>
    <n v="6000"/>
    <n v="30000"/>
    <n v="45000"/>
    <n v="3"/>
    <n v="345000"/>
    <n v="115000"/>
    <n v="115000"/>
    <n v="345000"/>
    <n v="100000"/>
    <n v="15000"/>
    <n v="45000"/>
    <d v="2021-11-23T00:00:00"/>
    <s v="Tue"/>
    <n v="31"/>
    <d v="2022-01-23T00:00:00"/>
    <n v="92"/>
    <s v="Expired"/>
    <n v="0"/>
    <n v="3"/>
    <n v="345000"/>
    <n v="45000"/>
    <n v="300000"/>
    <n v="0"/>
    <n v="45000"/>
    <n v="300000"/>
    <n v="345000"/>
    <n v="0"/>
    <n v="0"/>
    <n v="0"/>
    <s v=""/>
    <n v="0"/>
    <n v="0"/>
    <s v="Cleared"/>
    <s v="Ok"/>
  </r>
  <r>
    <d v="2021-11-22T00:00:00"/>
    <x v="233"/>
    <n v="339"/>
    <n v="1"/>
    <s v="BIZ"/>
    <n v="2000000"/>
    <n v="3"/>
    <n v="0.05"/>
    <s v="Monthly"/>
    <s v="Kana"/>
    <s v="DIRIA IRENE"/>
    <n v="25000"/>
    <n v="5000"/>
    <n v="40000"/>
    <n v="200000"/>
    <n v="300000"/>
    <n v="3"/>
    <n v="2300000"/>
    <n v="766666.66666666663"/>
    <n v="767000"/>
    <n v="2301000"/>
    <n v="666666.66666666663"/>
    <n v="100333.33333333337"/>
    <n v="301000.00000000012"/>
    <d v="2021-12-22T00:00:00"/>
    <s v="Wed"/>
    <n v="30"/>
    <d v="2022-02-22T00:00:00"/>
    <n v="92"/>
    <s v="Expired"/>
    <n v="0"/>
    <n v="3"/>
    <n v="2301000"/>
    <n v="301000.00000000012"/>
    <n v="2000000"/>
    <n v="0"/>
    <n v="9000"/>
    <n v="671000"/>
    <n v="680000"/>
    <n v="292000.00000000012"/>
    <n v="1329000"/>
    <n v="1621000"/>
    <n v="1621000"/>
    <n v="2.1134289439374183"/>
    <n v="64"/>
    <s v="3.(61-90) Days"/>
    <s v="Ok"/>
  </r>
  <r>
    <d v="2021-11-23T00:00:00"/>
    <x v="181"/>
    <n v="342"/>
    <n v="2"/>
    <s v="BIZ"/>
    <n v="500000"/>
    <n v="5"/>
    <n v="0.05"/>
    <s v="Monthly"/>
    <s v="Jerome"/>
    <s v="SERIYA FLORENCE"/>
    <n v="15000"/>
    <n v="5000"/>
    <n v="5000"/>
    <n v="50000"/>
    <n v="125000"/>
    <n v="5"/>
    <n v="625000"/>
    <n v="125000"/>
    <n v="125000"/>
    <n v="625000"/>
    <n v="100000"/>
    <n v="25000"/>
    <n v="125000"/>
    <d v="2021-12-23T00:00:00"/>
    <s v="Thu"/>
    <n v="30"/>
    <d v="2022-04-23T00:00:00"/>
    <n v="151"/>
    <s v="Expired"/>
    <n v="0"/>
    <n v="5"/>
    <n v="625000"/>
    <n v="125000"/>
    <n v="500000"/>
    <n v="0"/>
    <n v="125000"/>
    <n v="500000"/>
    <n v="625000"/>
    <n v="0"/>
    <n v="0"/>
    <n v="0"/>
    <s v=""/>
    <n v="0"/>
    <n v="0"/>
    <s v="Cleared"/>
    <s v="Ok"/>
  </r>
  <r>
    <d v="2021-11-24T00:00:00"/>
    <x v="151"/>
    <n v="345"/>
    <n v="2"/>
    <s v="BIZ"/>
    <n v="700000"/>
    <n v="5"/>
    <n v="0.05"/>
    <s v="Monthly"/>
    <s v="Kana"/>
    <s v="AYITE MARGERT"/>
    <n v="20000"/>
    <n v="5000"/>
    <n v="7000"/>
    <n v="70000"/>
    <n v="175000"/>
    <n v="5"/>
    <n v="875000"/>
    <n v="175000"/>
    <n v="175000"/>
    <n v="875000"/>
    <n v="140000"/>
    <n v="35000"/>
    <n v="175000"/>
    <d v="2021-12-24T00:00:00"/>
    <s v="Frid"/>
    <n v="30"/>
    <d v="2022-04-24T00:00:00"/>
    <n v="151"/>
    <s v="Expired"/>
    <n v="0"/>
    <n v="5"/>
    <n v="875000"/>
    <n v="175000"/>
    <n v="700000"/>
    <n v="0"/>
    <n v="175000"/>
    <n v="700000"/>
    <n v="875000"/>
    <n v="0"/>
    <n v="0"/>
    <n v="0"/>
    <s v=""/>
    <n v="0"/>
    <n v="0"/>
    <s v="Cleared"/>
    <s v="Ok"/>
  </r>
  <r>
    <d v="2021-11-24T00:00:00"/>
    <x v="193"/>
    <n v="343"/>
    <n v="2"/>
    <s v="BIZ"/>
    <n v="1700000"/>
    <n v="6"/>
    <n v="0.05"/>
    <s v="Monthly"/>
    <s v="Kana"/>
    <s v="BRANI MUSA"/>
    <n v="25000"/>
    <n v="5000"/>
    <n v="34000"/>
    <n v="170000"/>
    <n v="510000"/>
    <n v="6"/>
    <n v="2210000"/>
    <n v="368333.33333333331"/>
    <n v="369000"/>
    <n v="2214000"/>
    <n v="283333.33333333331"/>
    <n v="85666.666666666686"/>
    <n v="514000.00000000012"/>
    <d v="2021-12-24T00:00:00"/>
    <s v="Frid"/>
    <n v="30"/>
    <d v="2022-05-24T00:00:00"/>
    <n v="181"/>
    <s v="Expired"/>
    <n v="0"/>
    <n v="6"/>
    <n v="2214000"/>
    <n v="514000.00000000012"/>
    <n v="1700000"/>
    <n v="0"/>
    <n v="367333.33333333337"/>
    <n v="432666.66666666663"/>
    <n v="800000"/>
    <n v="146666.66666666674"/>
    <n v="1267333.3333333335"/>
    <n v="1414000.0000000002"/>
    <n v="1414000.0000000002"/>
    <n v="3.8319783197831985"/>
    <n v="115"/>
    <s v="4.(91-365) Days"/>
    <s v="Ok"/>
  </r>
  <r>
    <d v="2021-10-27T00:00:00"/>
    <x v="234"/>
    <n v="297"/>
    <n v="1"/>
    <s v="BIZ"/>
    <n v="200000"/>
    <n v="3"/>
    <n v="0.05"/>
    <s v="Monthly"/>
    <s v="Kana"/>
    <s v="ALONE ZAITUN"/>
    <n v="20000"/>
    <n v="5000"/>
    <n v="10000"/>
    <n v="20000"/>
    <n v="30000"/>
    <n v="3"/>
    <n v="230000"/>
    <n v="76666.666666666672"/>
    <n v="77000"/>
    <n v="231000"/>
    <n v="66666.666666666672"/>
    <n v="10333.333333333328"/>
    <n v="30999.999999999985"/>
    <d v="2021-11-27T00:00:00"/>
    <s v="Sat"/>
    <n v="31"/>
    <d v="2022-01-27T00:00:00"/>
    <n v="92"/>
    <s v="Expired"/>
    <n v="0"/>
    <n v="3"/>
    <n v="231000"/>
    <n v="30999.999999999985"/>
    <n v="200000"/>
    <n v="0"/>
    <n v="30999.999999999985"/>
    <n v="199000"/>
    <n v="230000"/>
    <n v="0"/>
    <n v="1000"/>
    <n v="1000"/>
    <n v="1000"/>
    <n v="1.2987012987012988E-2"/>
    <n v="1"/>
    <s v="1.(0-30) Days"/>
    <s v="Ok"/>
  </r>
  <r>
    <d v="2021-11-03T00:00:00"/>
    <x v="235"/>
    <n v="307"/>
    <n v="1"/>
    <s v="BIZ"/>
    <n v="1500000"/>
    <n v="3"/>
    <n v="0.05"/>
    <s v="Monthly"/>
    <s v="Kana"/>
    <s v="DATA SAFI DUIKI"/>
    <n v="20000"/>
    <n v="5000"/>
    <n v="20000"/>
    <n v="150000"/>
    <n v="225000"/>
    <n v="3"/>
    <n v="1725000"/>
    <n v="575000"/>
    <n v="575000"/>
    <n v="1725000"/>
    <n v="500000"/>
    <n v="75000"/>
    <n v="225000"/>
    <d v="2021-12-03T00:00:00"/>
    <s v="Frid"/>
    <n v="30"/>
    <d v="2022-02-03T00:00:00"/>
    <n v="92"/>
    <s v="Expired"/>
    <n v="0"/>
    <n v="3"/>
    <n v="1725000"/>
    <n v="225000"/>
    <n v="1500000"/>
    <n v="0"/>
    <n v="225000"/>
    <n v="1500000"/>
    <n v="1725000"/>
    <n v="0"/>
    <n v="0"/>
    <n v="0"/>
    <s v=""/>
    <n v="0"/>
    <n v="0"/>
    <s v="Cleared"/>
    <s v="Ok"/>
  </r>
  <r>
    <d v="2021-11-24T00:00:00"/>
    <x v="236"/>
    <n v="347"/>
    <n v="1"/>
    <s v="BIZ"/>
    <n v="1400000"/>
    <n v="6"/>
    <n v="0.05"/>
    <s v="Monthly"/>
    <s v="Jerome"/>
    <s v="MITU LAWRENCE"/>
    <n v="25000"/>
    <n v="5000"/>
    <n v="28000"/>
    <n v="140000"/>
    <n v="420000"/>
    <n v="6"/>
    <n v="1820000"/>
    <n v="303333.33333333331"/>
    <n v="304000"/>
    <n v="1824000"/>
    <n v="233333.33333333334"/>
    <n v="70666.666666666657"/>
    <n v="423999.99999999994"/>
    <d v="2021-12-24T00:00:00"/>
    <s v="Frid"/>
    <n v="30"/>
    <d v="2022-05-24T00:00:00"/>
    <n v="181"/>
    <s v="Expired"/>
    <n v="0"/>
    <n v="6"/>
    <n v="1824000"/>
    <n v="423999.99999999994"/>
    <n v="1400000"/>
    <n v="0"/>
    <n v="312333.33333333331"/>
    <n v="417666.66666666674"/>
    <n v="730000"/>
    <n v="111666.66666666663"/>
    <n v="982333.33333333326"/>
    <n v="1094000"/>
    <n v="1094000"/>
    <n v="3.5986842105263159"/>
    <n v="108"/>
    <s v="4.(91-365) Days"/>
    <s v="Ok"/>
  </r>
  <r>
    <d v="2021-11-25T00:00:00"/>
    <x v="150"/>
    <n v="348"/>
    <n v="4"/>
    <s v="BIZ"/>
    <n v="3500000"/>
    <n v="2"/>
    <n v="0.05"/>
    <s v="Monthly"/>
    <s v="Aroma"/>
    <s v="ONIBA AISHA "/>
    <n v="30000"/>
    <n v="5000"/>
    <n v="70000"/>
    <n v="350000"/>
    <n v="350000"/>
    <n v="2"/>
    <n v="3850000"/>
    <n v="1925000"/>
    <n v="1925000"/>
    <n v="3850000"/>
    <n v="1750000"/>
    <n v="175000"/>
    <n v="350000"/>
    <d v="2021-12-25T00:00:00"/>
    <s v="Sat"/>
    <n v="30"/>
    <d v="2022-01-25T00:00:00"/>
    <n v="61"/>
    <s v="Expired"/>
    <n v="0"/>
    <n v="2"/>
    <n v="3850000"/>
    <n v="350000"/>
    <n v="3500000"/>
    <n v="0"/>
    <n v="625000"/>
    <n v="3225000"/>
    <n v="3850000"/>
    <n v="-275000"/>
    <n v="275000"/>
    <n v="0"/>
    <s v=""/>
    <n v="0"/>
    <n v="0"/>
    <s v="Cleared"/>
    <s v="Error on Entry"/>
  </r>
  <r>
    <d v="2021-10-21T00:00:00"/>
    <x v="237"/>
    <n v="285"/>
    <n v="1"/>
    <s v="QUICK"/>
    <n v="1000000"/>
    <n v="1"/>
    <n v="7.4999999999999997E-2"/>
    <s v="Monthly"/>
    <s v="Kana"/>
    <s v="OCATRE CHARLES"/>
    <n v="25000"/>
    <n v="5000"/>
    <n v="20000"/>
    <n v="100000"/>
    <n v="75000"/>
    <n v="1"/>
    <n v="1075000"/>
    <n v="1075000"/>
    <n v="1075000"/>
    <n v="1075000"/>
    <n v="1000000"/>
    <n v="75000"/>
    <n v="75000"/>
    <d v="2021-11-21T00:00:00"/>
    <s v="Sun"/>
    <n v="31"/>
    <d v="2021-11-21T00:00:00"/>
    <n v="31"/>
    <s v="Expired"/>
    <n v="0"/>
    <n v="1"/>
    <n v="1075000"/>
    <n v="75000"/>
    <n v="1000000"/>
    <n v="0"/>
    <n v="75000"/>
    <n v="1000000"/>
    <n v="1075000"/>
    <n v="0"/>
    <n v="0"/>
    <n v="0"/>
    <s v=""/>
    <n v="0"/>
    <n v="0"/>
    <s v="Cleared"/>
    <s v="Ok"/>
  </r>
  <r>
    <d v="2021-11-17T00:00:00"/>
    <x v="237"/>
    <n v="333"/>
    <n v="2"/>
    <s v="SLA"/>
    <n v="2000000"/>
    <n v="2"/>
    <n v="7.4999999999999997E-2"/>
    <s v="Monthly"/>
    <s v="Kana"/>
    <s v="OCATRE CHARLES"/>
    <n v="15000"/>
    <n v="5000"/>
    <n v="8000"/>
    <n v="200000"/>
    <n v="300000"/>
    <n v="2"/>
    <n v="2300000"/>
    <n v="1150000"/>
    <n v="1150000"/>
    <n v="2300000"/>
    <n v="1000000"/>
    <n v="150000"/>
    <n v="300000"/>
    <d v="2021-12-17T00:00:00"/>
    <s v="Frid"/>
    <n v="30"/>
    <d v="2022-01-17T00:00:00"/>
    <n v="61"/>
    <s v="Expired"/>
    <n v="0"/>
    <n v="2"/>
    <n v="2300000"/>
    <n v="300000"/>
    <n v="2000000"/>
    <n v="0"/>
    <n v="300000"/>
    <n v="2000000"/>
    <n v="2300000"/>
    <n v="0"/>
    <n v="0"/>
    <n v="0"/>
    <s v=""/>
    <n v="0"/>
    <n v="0"/>
    <s v="Cleared"/>
    <s v="Ok"/>
  </r>
  <r>
    <d v="2021-12-03T00:00:00"/>
    <x v="238"/>
    <n v="350"/>
    <n v="1"/>
    <s v="BIZ"/>
    <n v="600000"/>
    <n v="5"/>
    <n v="0.05"/>
    <s v="Monthly"/>
    <s v="Jerome"/>
    <s v="FAITH JOSEPHINE"/>
    <n v="20000"/>
    <n v="5000"/>
    <n v="6000"/>
    <n v="60000"/>
    <n v="150000"/>
    <n v="5"/>
    <n v="750000"/>
    <n v="150000"/>
    <n v="150000"/>
    <n v="750000"/>
    <n v="120000"/>
    <n v="30000"/>
    <n v="150000"/>
    <d v="2022-01-03T00:00:00"/>
    <s v="Mon"/>
    <n v="31"/>
    <d v="2022-05-03T00:00:00"/>
    <n v="151"/>
    <s v="Expired"/>
    <n v="0"/>
    <n v="5"/>
    <n v="750000"/>
    <n v="150000"/>
    <n v="600000"/>
    <n v="0"/>
    <n v="150000"/>
    <n v="600000"/>
    <n v="750000"/>
    <n v="0"/>
    <n v="0"/>
    <n v="0"/>
    <s v=""/>
    <n v="0"/>
    <n v="0"/>
    <s v="Cleared"/>
    <s v="Ok"/>
  </r>
  <r>
    <d v="2021-12-04T00:00:00"/>
    <x v="73"/>
    <n v="351"/>
    <n v="2"/>
    <s v="BIZ"/>
    <n v="1800000"/>
    <n v="4"/>
    <n v="0.05"/>
    <s v="Monthly"/>
    <s v="Kana"/>
    <s v="DIPIYO BEATRICE JOHN"/>
    <n v="25000"/>
    <n v="5000"/>
    <n v="36000"/>
    <n v="180000"/>
    <n v="360000"/>
    <n v="4"/>
    <n v="2160000"/>
    <n v="540000"/>
    <n v="540000"/>
    <n v="2160000"/>
    <n v="450000"/>
    <n v="90000"/>
    <n v="360000"/>
    <d v="2022-01-04T00:00:00"/>
    <s v="Tue"/>
    <n v="31"/>
    <d v="2022-04-04T00:00:00"/>
    <n v="121"/>
    <s v="Expired"/>
    <n v="0"/>
    <n v="4"/>
    <n v="2160000"/>
    <n v="360000"/>
    <n v="1800000"/>
    <n v="0"/>
    <n v="360000"/>
    <n v="1800000"/>
    <n v="2160000"/>
    <n v="0"/>
    <n v="0"/>
    <n v="0"/>
    <s v=""/>
    <n v="0"/>
    <n v="0"/>
    <s v="Cleared"/>
    <s v="Ok"/>
  </r>
  <r>
    <d v="2021-12-04T00:00:00"/>
    <x v="83"/>
    <n v="356"/>
    <n v="2"/>
    <s v="BIZ"/>
    <n v="700000"/>
    <n v="4"/>
    <n v="0.05"/>
    <s v="Monthly"/>
    <s v="Jerome"/>
    <s v="ANDA FLORENCE"/>
    <n v="20000"/>
    <n v="5000"/>
    <n v="7000"/>
    <n v="70000"/>
    <n v="140000"/>
    <n v="4"/>
    <n v="840000"/>
    <n v="210000"/>
    <n v="210000"/>
    <n v="840000"/>
    <n v="175000"/>
    <n v="35000"/>
    <n v="140000"/>
    <d v="2022-01-04T00:00:00"/>
    <s v="Tue"/>
    <n v="31"/>
    <d v="2022-04-04T00:00:00"/>
    <n v="121"/>
    <s v="Expired"/>
    <n v="0"/>
    <n v="4"/>
    <n v="840000"/>
    <n v="140000"/>
    <n v="700000"/>
    <n v="0"/>
    <n v="138000"/>
    <n v="595000"/>
    <n v="733000"/>
    <n v="2000"/>
    <n v="105000"/>
    <n v="107000"/>
    <n v="107000"/>
    <n v="0.50952380952380949"/>
    <n v="16"/>
    <s v="1.(0-30) Days"/>
    <s v="Ok"/>
  </r>
  <r>
    <d v="2021-12-04T00:00:00"/>
    <x v="149"/>
    <n v="355"/>
    <n v="2"/>
    <s v="BIZ"/>
    <n v="200000"/>
    <n v="3"/>
    <n v="0.05"/>
    <s v="Monthly"/>
    <s v="Aroma"/>
    <s v="AROMBORAC SIAMA"/>
    <n v="15000"/>
    <n v="5000"/>
    <n v="2000"/>
    <n v="20000"/>
    <n v="30000"/>
    <n v="3"/>
    <n v="230000"/>
    <n v="76666.666666666672"/>
    <n v="77000"/>
    <n v="231000"/>
    <n v="66666.666666666672"/>
    <n v="10333.333333333328"/>
    <n v="30999.999999999985"/>
    <d v="2022-01-04T00:00:00"/>
    <s v="Tue"/>
    <n v="31"/>
    <d v="2022-03-04T00:00:00"/>
    <n v="90"/>
    <s v="Expired"/>
    <n v="0"/>
    <n v="3"/>
    <n v="231000"/>
    <n v="30999.999999999985"/>
    <n v="200000"/>
    <n v="0"/>
    <n v="30999.999999999985"/>
    <n v="198700"/>
    <n v="229700"/>
    <n v="0"/>
    <n v="1300"/>
    <n v="1300"/>
    <n v="1300"/>
    <n v="1.6883116883116882E-2"/>
    <n v="1"/>
    <s v="1.(0-30) Days"/>
    <s v="Ok"/>
  </r>
  <r>
    <d v="2021-12-04T00:00:00"/>
    <x v="174"/>
    <n v="354"/>
    <n v="2"/>
    <s v="BIZ"/>
    <n v="400000"/>
    <n v="4"/>
    <n v="0.05"/>
    <s v="Monthly"/>
    <s v="Kana"/>
    <s v="MAZARAU AISHA"/>
    <n v="15000"/>
    <n v="5000"/>
    <n v="4000"/>
    <n v="40000"/>
    <n v="80000"/>
    <n v="4"/>
    <n v="480000"/>
    <n v="120000"/>
    <n v="120000"/>
    <n v="480000"/>
    <n v="100000"/>
    <n v="20000"/>
    <n v="80000"/>
    <d v="2022-01-04T00:00:00"/>
    <s v="Tue"/>
    <n v="31"/>
    <d v="2022-04-04T00:00:00"/>
    <n v="121"/>
    <s v="Expired"/>
    <n v="0"/>
    <n v="4"/>
    <n v="480000"/>
    <n v="80000"/>
    <n v="400000"/>
    <n v="0"/>
    <n v="100000"/>
    <n v="280000"/>
    <n v="380000"/>
    <n v="-20000"/>
    <n v="120000"/>
    <n v="100000"/>
    <n v="100000"/>
    <n v="0.83333333333333337"/>
    <n v="25"/>
    <s v="1.(0-30) Days"/>
    <s v="Error on Entry"/>
  </r>
  <r>
    <d v="2021-12-04T00:00:00"/>
    <x v="239"/>
    <n v="353"/>
    <n v="1"/>
    <s v="BIZ"/>
    <n v="500000"/>
    <n v="4"/>
    <n v="0.05"/>
    <s v="Monthly"/>
    <s v="Kana"/>
    <s v="NAUME NIGHT"/>
    <n v="15000"/>
    <n v="5000"/>
    <n v="5000"/>
    <n v="50000"/>
    <n v="100000"/>
    <n v="4"/>
    <n v="600000"/>
    <n v="150000"/>
    <n v="150000"/>
    <n v="600000"/>
    <n v="125000"/>
    <n v="25000"/>
    <n v="100000"/>
    <d v="2022-01-04T00:00:00"/>
    <s v="Tue"/>
    <n v="31"/>
    <d v="2022-04-04T00:00:00"/>
    <n v="121"/>
    <s v="Expired"/>
    <n v="0"/>
    <n v="4"/>
    <n v="600000"/>
    <n v="100000"/>
    <n v="500000"/>
    <n v="0"/>
    <n v="100000"/>
    <n v="500000"/>
    <n v="600000"/>
    <n v="0"/>
    <n v="0"/>
    <n v="0"/>
    <s v=""/>
    <n v="0"/>
    <n v="0"/>
    <s v="Cleared"/>
    <s v="Ok"/>
  </r>
  <r>
    <d v="2021-12-06T00:00:00"/>
    <x v="70"/>
    <n v="357"/>
    <n v="3"/>
    <s v="BIZ"/>
    <n v="700000"/>
    <n v="5"/>
    <n v="0.05"/>
    <s v="Monthly"/>
    <s v="Jerome"/>
    <s v="MUKULIA JAMES"/>
    <n v="20000"/>
    <n v="5000"/>
    <n v="7000"/>
    <n v="70000"/>
    <n v="175000"/>
    <n v="5"/>
    <n v="875000"/>
    <n v="175000"/>
    <n v="175000"/>
    <n v="875000"/>
    <n v="140000"/>
    <n v="35000"/>
    <n v="175000"/>
    <d v="2022-01-06T00:00:00"/>
    <s v="Thu"/>
    <n v="31"/>
    <d v="2022-05-06T00:00:00"/>
    <n v="151"/>
    <s v="Expired"/>
    <n v="0"/>
    <n v="5"/>
    <n v="875000"/>
    <n v="175000"/>
    <n v="700000"/>
    <n v="0"/>
    <n v="165666.66666666666"/>
    <n v="284333.33333333337"/>
    <n v="450000"/>
    <n v="9333.333333333343"/>
    <n v="415666.66666666663"/>
    <n v="425000"/>
    <n v="425000"/>
    <n v="2.4285714285714284"/>
    <n v="73"/>
    <s v="3.(61-90) Days"/>
    <s v="Ok"/>
  </r>
  <r>
    <d v="2021-12-06T00:00:00"/>
    <x v="240"/>
    <n v="358"/>
    <n v="1"/>
    <s v="BIZ"/>
    <n v="1500000"/>
    <n v="6"/>
    <n v="0.05"/>
    <s v="Monthly"/>
    <s v="Jerome"/>
    <s v="MANDELA SWAIBU"/>
    <n v="25000"/>
    <n v="5000"/>
    <n v="30000"/>
    <n v="150000"/>
    <n v="450000"/>
    <n v="6"/>
    <n v="1950000"/>
    <n v="325000"/>
    <n v="325000"/>
    <n v="1950000"/>
    <n v="250000"/>
    <n v="75000"/>
    <n v="450000"/>
    <d v="2022-01-06T00:00:00"/>
    <s v="Thu"/>
    <n v="31"/>
    <d v="2022-06-06T00:00:00"/>
    <n v="182"/>
    <n v="173"/>
    <n v="9"/>
    <n v="5.580645161290323"/>
    <n v="1813709.6774193549"/>
    <n v="418548.38709677424"/>
    <n v="1395161.2903225808"/>
    <n v="136290.32258064509"/>
    <n v="289000"/>
    <n v="561000"/>
    <n v="850000"/>
    <n v="161000"/>
    <n v="939000"/>
    <n v="1100000"/>
    <n v="963709.67741935491"/>
    <n v="2.9652605459057075"/>
    <n v="89"/>
    <s v="3.(61-90) Days"/>
    <s v="Ok"/>
  </r>
  <r>
    <d v="2021-12-07T00:00:00"/>
    <x v="134"/>
    <n v="360"/>
    <n v="2"/>
    <s v="BIZ"/>
    <n v="1500000"/>
    <n v="6"/>
    <n v="0.05"/>
    <s v="Monthly"/>
    <s v="Kana"/>
    <s v="APAYI HARRIET"/>
    <n v="25000"/>
    <n v="5000"/>
    <n v="30000"/>
    <n v="150000"/>
    <n v="450000"/>
    <n v="6"/>
    <n v="1950000"/>
    <n v="325000"/>
    <n v="325000"/>
    <n v="1950000"/>
    <n v="250000"/>
    <n v="75000"/>
    <n v="450000"/>
    <d v="2022-01-07T00:00:00"/>
    <s v="Frid"/>
    <n v="31"/>
    <d v="2022-06-07T00:00:00"/>
    <n v="182"/>
    <n v="172"/>
    <n v="10"/>
    <n v="5.5483870967741939"/>
    <n v="1803225.8064516131"/>
    <n v="416129.03225806454"/>
    <n v="1387096.7741935486"/>
    <n v="146774.19354838692"/>
    <n v="232000"/>
    <n v="1092000"/>
    <n v="1324000"/>
    <n v="218000"/>
    <n v="408000"/>
    <n v="626000"/>
    <n v="479225.80645161308"/>
    <n v="1.4745409429280403"/>
    <n v="45"/>
    <s v="2.(31-60) Days"/>
    <s v="Ok"/>
  </r>
  <r>
    <d v="2021-12-09T00:00:00"/>
    <x v="9"/>
    <n v="363"/>
    <n v="2"/>
    <s v="BIZ"/>
    <n v="700000"/>
    <n v="6"/>
    <n v="0.05"/>
    <s v="Monthly"/>
    <s v="Jerome"/>
    <s v="ARIME JUMA"/>
    <n v="20000"/>
    <n v="5000"/>
    <n v="7000"/>
    <n v="70000"/>
    <n v="210000"/>
    <n v="6"/>
    <n v="910000"/>
    <n v="151666.66666666666"/>
    <n v="152000"/>
    <n v="912000"/>
    <n v="116666.66666666667"/>
    <n v="35333.333333333328"/>
    <n v="211999.99999999997"/>
    <d v="2022-01-09T00:00:00"/>
    <s v="Sun"/>
    <n v="31"/>
    <d v="2022-06-09T00:00:00"/>
    <n v="182"/>
    <n v="170"/>
    <n v="12"/>
    <n v="5.4838709677419351"/>
    <n v="833548.38709677418"/>
    <n v="193763.44086021502"/>
    <n v="639784.94623655907"/>
    <n v="78451.612903225818"/>
    <n v="10000"/>
    <n v="90000"/>
    <n v="100000"/>
    <n v="201999.99999999997"/>
    <n v="610000"/>
    <n v="812000"/>
    <n v="733548.38709677418"/>
    <n v="4.8259762308998297"/>
    <n v="145"/>
    <s v="4.(91-365) Days"/>
    <s v="Ok"/>
  </r>
  <r>
    <d v="2021-12-09T00:00:00"/>
    <x v="36"/>
    <n v="362"/>
    <n v="3"/>
    <s v="BIZ"/>
    <n v="1500000"/>
    <n v="6"/>
    <n v="0.05"/>
    <s v="Monthly"/>
    <s v="Aroma"/>
    <s v="CANDIRU HELLEN"/>
    <n v="25000"/>
    <n v="5000"/>
    <n v="30000"/>
    <n v="150000"/>
    <n v="450000"/>
    <n v="6"/>
    <n v="1950000"/>
    <n v="325000"/>
    <n v="325000"/>
    <n v="1950000"/>
    <n v="250000"/>
    <n v="75000"/>
    <n v="450000"/>
    <d v="2022-01-09T00:00:00"/>
    <s v="Sun"/>
    <n v="31"/>
    <d v="2022-06-09T00:00:00"/>
    <n v="182"/>
    <n v="170"/>
    <n v="12"/>
    <n v="5.4838709677419351"/>
    <n v="1782258.064516129"/>
    <n v="411290.32258064515"/>
    <n v="1370967.7419354839"/>
    <n v="167741.93548387103"/>
    <n v="300000"/>
    <n v="865000"/>
    <n v="1165000"/>
    <n v="150000"/>
    <n v="635000"/>
    <n v="785000"/>
    <n v="617258.06451612897"/>
    <n v="1.8992555831265507"/>
    <n v="57"/>
    <s v="2.(31-60) Days"/>
    <s v="Ok"/>
  </r>
  <r>
    <d v="2021-11-18T00:00:00"/>
    <x v="241"/>
    <n v="336"/>
    <n v="1"/>
    <s v="BIZ"/>
    <n v="400000"/>
    <n v="4"/>
    <n v="0.05"/>
    <s v="Monthly"/>
    <s v="Aroma"/>
    <s v="TAIBO AMANA"/>
    <n v="25000"/>
    <n v="5000"/>
    <n v="15000"/>
    <n v="40000"/>
    <n v="80000"/>
    <n v="4"/>
    <n v="480000"/>
    <n v="120000"/>
    <n v="120000"/>
    <n v="480000"/>
    <n v="100000"/>
    <n v="20000"/>
    <n v="80000"/>
    <d v="2021-12-18T00:00:00"/>
    <s v="Sat"/>
    <n v="30"/>
    <d v="2022-03-18T00:00:00"/>
    <n v="120"/>
    <s v="Expired"/>
    <n v="0"/>
    <n v="4"/>
    <n v="480000"/>
    <n v="80000"/>
    <n v="400000"/>
    <n v="0"/>
    <n v="80000"/>
    <n v="325000"/>
    <n v="405000"/>
    <n v="0"/>
    <n v="75000"/>
    <n v="75000"/>
    <n v="75000"/>
    <n v="0.625"/>
    <n v="19"/>
    <s v="1.(0-30) Days"/>
    <s v="Ok"/>
  </r>
  <r>
    <d v="2021-12-09T00:00:00"/>
    <x v="242"/>
    <n v="364"/>
    <n v="1"/>
    <s v="BIZ"/>
    <n v="500000"/>
    <n v="4"/>
    <n v="0.05"/>
    <s v="Monthly"/>
    <s v="Aroma"/>
    <s v="AYA ZAINABU"/>
    <n v="15000"/>
    <n v="5000"/>
    <n v="5000"/>
    <n v="50000"/>
    <n v="100000"/>
    <n v="4"/>
    <n v="600000"/>
    <n v="150000"/>
    <n v="150000"/>
    <n v="600000"/>
    <n v="125000"/>
    <n v="25000"/>
    <n v="100000"/>
    <d v="2022-01-09T00:00:00"/>
    <s v="Sun"/>
    <n v="31"/>
    <d v="2022-04-09T00:00:00"/>
    <n v="121"/>
    <s v="Expired"/>
    <n v="0"/>
    <n v="4"/>
    <n v="600000"/>
    <n v="100000"/>
    <n v="500000"/>
    <n v="0"/>
    <n v="135000"/>
    <n v="320000"/>
    <n v="455000"/>
    <n v="-35000"/>
    <n v="180000"/>
    <n v="145000"/>
    <n v="145000"/>
    <n v="0.96666666666666667"/>
    <n v="29"/>
    <s v="1.(0-30) Days"/>
    <s v="Error on Entry"/>
  </r>
  <r>
    <d v="2021-12-10T00:00:00"/>
    <x v="167"/>
    <n v="366"/>
    <n v="3"/>
    <s v="BIZ"/>
    <n v="2000000"/>
    <n v="6"/>
    <n v="0.05"/>
    <s v="Monthly"/>
    <s v="Jerome"/>
    <s v="GIFT JAMES"/>
    <n v="25000"/>
    <n v="5000"/>
    <n v="40000"/>
    <n v="200000"/>
    <n v="600000"/>
    <n v="6"/>
    <n v="2600000"/>
    <n v="433333.33333333331"/>
    <n v="434000"/>
    <n v="2604000"/>
    <n v="333333.33333333331"/>
    <n v="100666.66666666669"/>
    <n v="604000.00000000012"/>
    <d v="2022-01-10T00:00:00"/>
    <s v="Mon"/>
    <n v="31"/>
    <d v="2022-06-10T00:00:00"/>
    <n v="182"/>
    <n v="169"/>
    <n v="13"/>
    <n v="5.4516129032258061"/>
    <n v="2366000"/>
    <n v="548795.69892473123"/>
    <n v="1817204.3010752685"/>
    <n v="238000"/>
    <n v="314333.33333333337"/>
    <n v="1383666.6666666665"/>
    <n v="1698000"/>
    <n v="289666.66666666674"/>
    <n v="616333.33333333349"/>
    <n v="906000.00000000023"/>
    <n v="668000.00000000023"/>
    <n v="1.5391705069124428"/>
    <n v="47"/>
    <s v="2.(31-60) Days"/>
    <s v="Ok"/>
  </r>
  <r>
    <d v="2021-12-10T00:00:00"/>
    <x v="191"/>
    <n v="365"/>
    <n v="2"/>
    <s v="SLA"/>
    <n v="750000"/>
    <n v="3"/>
    <n v="7.4999999999999997E-2"/>
    <s v="Monthly"/>
    <s v="Aroma"/>
    <s v="ACIDRI WILLIAM"/>
    <n v="20000"/>
    <n v="5000"/>
    <n v="7500"/>
    <n v="75000"/>
    <n v="168750"/>
    <n v="3"/>
    <n v="918750"/>
    <n v="306250"/>
    <n v="307000"/>
    <n v="921000"/>
    <n v="250000"/>
    <n v="57000"/>
    <n v="171000"/>
    <d v="2022-01-10T00:00:00"/>
    <s v="Mon"/>
    <n v="31"/>
    <d v="2022-03-10T00:00:00"/>
    <n v="90"/>
    <s v="Expired"/>
    <n v="0"/>
    <n v="3"/>
    <n v="921000"/>
    <n v="171000"/>
    <n v="750000"/>
    <n v="0"/>
    <n v="171000"/>
    <n v="747900"/>
    <n v="918900"/>
    <n v="0"/>
    <n v="2100"/>
    <n v="2100"/>
    <n v="2100"/>
    <n v="6.8403908794788275E-3"/>
    <n v="1"/>
    <s v="1.(0-30) Days"/>
    <s v="Ok"/>
  </r>
  <r>
    <d v="2021-12-11T00:00:00"/>
    <x v="178"/>
    <n v="367"/>
    <n v="2"/>
    <s v="BIZ"/>
    <n v="1200000"/>
    <n v="6"/>
    <n v="0.05"/>
    <s v="Monthly"/>
    <s v="Kana"/>
    <s v="EZRA INNOCENT"/>
    <n v="25000"/>
    <n v="5000"/>
    <n v="24000"/>
    <n v="120000"/>
    <n v="360000"/>
    <n v="6"/>
    <n v="1560000"/>
    <n v="260000"/>
    <n v="260000"/>
    <n v="1560000"/>
    <n v="200000"/>
    <n v="60000"/>
    <n v="360000"/>
    <d v="2022-01-11T00:00:00"/>
    <s v="Tue"/>
    <n v="31"/>
    <d v="2022-06-11T00:00:00"/>
    <n v="182"/>
    <n v="168"/>
    <n v="14"/>
    <n v="5.419354838709677"/>
    <n v="1409032.2580645161"/>
    <n v="325161.29032258061"/>
    <n v="1083870.9677419355"/>
    <n v="150967.74193548388"/>
    <n v="127000"/>
    <n v="323000"/>
    <n v="450000"/>
    <n v="233000"/>
    <n v="877000"/>
    <n v="1110000"/>
    <n v="959032.25806451612"/>
    <n v="3.6885856079404467"/>
    <n v="111"/>
    <s v="4.(91-365) Days"/>
    <s v="Ok"/>
  </r>
  <r>
    <d v="2021-12-11T00:00:00"/>
    <x v="243"/>
    <n v="368"/>
    <n v="1"/>
    <s v="SLA"/>
    <n v="8000000"/>
    <n v="4"/>
    <n v="7.4999999999999997E-2"/>
    <s v="Monthly"/>
    <s v="Jerome"/>
    <s v="AFEKU DENIS"/>
    <n v="30000"/>
    <n v="5000"/>
    <n v="160000"/>
    <n v="800000"/>
    <n v="2400000"/>
    <n v="4"/>
    <n v="10400000"/>
    <n v="2600000"/>
    <n v="2600000"/>
    <n v="10400000"/>
    <n v="2000000"/>
    <n v="600000"/>
    <n v="2400000"/>
    <d v="2022-01-11T00:00:00"/>
    <s v="Tue"/>
    <n v="31"/>
    <d v="2022-04-11T00:00:00"/>
    <n v="121"/>
    <s v="Expired"/>
    <n v="0"/>
    <n v="4"/>
    <n v="10400000"/>
    <n v="2400000"/>
    <n v="8000000"/>
    <n v="0"/>
    <n v="2400000"/>
    <n v="4310000"/>
    <n v="6710000"/>
    <n v="0"/>
    <n v="3690000"/>
    <n v="3690000"/>
    <n v="3690000"/>
    <n v="1.4192307692307693"/>
    <n v="43"/>
    <s v="2.(31-60) Days"/>
    <s v="Ok"/>
  </r>
  <r>
    <d v="2021-11-24T00:00:00"/>
    <x v="244"/>
    <n v="346"/>
    <n v="1"/>
    <s v="BIZ"/>
    <n v="150000"/>
    <n v="2"/>
    <n v="0.05"/>
    <s v="Monthly"/>
    <s v="Kana"/>
    <s v="KAMUSIRI JULIUS"/>
    <n v="25000"/>
    <n v="5000"/>
    <n v="15000"/>
    <n v="15000"/>
    <n v="15000"/>
    <n v="2"/>
    <n v="165000"/>
    <n v="82500"/>
    <n v="83000"/>
    <n v="166000"/>
    <n v="75000"/>
    <n v="8000"/>
    <n v="16000"/>
    <d v="2021-12-24T00:00:00"/>
    <s v="Frid"/>
    <n v="30"/>
    <d v="2022-01-24T00:00:00"/>
    <n v="61"/>
    <s v="Expired"/>
    <n v="0"/>
    <n v="2"/>
    <n v="166000"/>
    <n v="16000"/>
    <n v="150000"/>
    <n v="0"/>
    <n v="16000"/>
    <n v="135000"/>
    <n v="151000"/>
    <n v="0"/>
    <n v="15000"/>
    <n v="15000"/>
    <n v="15000"/>
    <n v="0.18072289156626506"/>
    <n v="6"/>
    <s v="1.(0-30) Days"/>
    <s v="Ok"/>
  </r>
  <r>
    <d v="2021-12-14T00:00:00"/>
    <x v="31"/>
    <n v="376"/>
    <n v="3"/>
    <s v="BIZ"/>
    <n v="500000"/>
    <n v="5"/>
    <n v="0.05"/>
    <s v="Monthly"/>
    <s v="Kana"/>
    <s v="ALOMO ZABIBU"/>
    <n v="15000"/>
    <n v="5000"/>
    <n v="5000"/>
    <n v="50000"/>
    <n v="125000"/>
    <n v="5"/>
    <n v="625000"/>
    <n v="125000"/>
    <n v="125000"/>
    <n v="625000"/>
    <n v="100000"/>
    <n v="25000"/>
    <n v="125000"/>
    <d v="2022-01-14T00:00:00"/>
    <s v="Frid"/>
    <n v="31"/>
    <d v="2022-05-14T00:00:00"/>
    <n v="151"/>
    <s v="Expired"/>
    <n v="0"/>
    <n v="5"/>
    <n v="625000"/>
    <n v="125000"/>
    <n v="500000"/>
    <n v="0"/>
    <n v="38000"/>
    <n v="162000"/>
    <n v="200000"/>
    <n v="87000"/>
    <n v="338000"/>
    <n v="425000"/>
    <n v="425000"/>
    <n v="3.4"/>
    <n v="102"/>
    <s v="4.(91-365) Days"/>
    <s v="Ok"/>
  </r>
  <r>
    <d v="2021-12-14T00:00:00"/>
    <x v="57"/>
    <n v="375"/>
    <n v="3"/>
    <s v="BIZ"/>
    <n v="700000"/>
    <n v="5"/>
    <n v="0.05"/>
    <s v="Monthly"/>
    <s v="Kana"/>
    <s v="AWURU KADARA"/>
    <n v="20000"/>
    <n v="5000"/>
    <n v="7000"/>
    <n v="70000"/>
    <n v="175000"/>
    <n v="5"/>
    <n v="875000"/>
    <n v="175000"/>
    <n v="175000"/>
    <n v="875000"/>
    <n v="140000"/>
    <n v="35000"/>
    <n v="175000"/>
    <d v="2022-01-14T00:00:00"/>
    <s v="Frid"/>
    <n v="31"/>
    <d v="2022-05-14T00:00:00"/>
    <n v="151"/>
    <s v="Expired"/>
    <n v="0"/>
    <n v="5"/>
    <n v="875000"/>
    <n v="175000"/>
    <n v="700000"/>
    <n v="0"/>
    <n v="263000"/>
    <n v="612000"/>
    <n v="875000"/>
    <n v="-88000"/>
    <n v="88000"/>
    <n v="0"/>
    <s v=""/>
    <n v="0"/>
    <n v="0"/>
    <s v="Cleared"/>
    <s v="Error on Entry"/>
  </r>
  <r>
    <d v="2021-12-14T00:00:00"/>
    <x v="67"/>
    <n v="370"/>
    <n v="2"/>
    <s v="BIZ"/>
    <n v="1200000"/>
    <n v="6"/>
    <n v="0.05"/>
    <s v="Monthly"/>
    <s v="Aroma"/>
    <s v="MUNDURU MERCY"/>
    <n v="25000"/>
    <n v="5000"/>
    <n v="24000"/>
    <n v="120000"/>
    <n v="360000"/>
    <n v="6"/>
    <n v="1560000"/>
    <n v="260000"/>
    <n v="260000"/>
    <n v="1560000"/>
    <n v="200000"/>
    <n v="60000"/>
    <n v="360000"/>
    <d v="2022-01-14T00:00:00"/>
    <s v="Frid"/>
    <n v="31"/>
    <d v="2022-06-14T00:00:00"/>
    <n v="182"/>
    <n v="165"/>
    <n v="17"/>
    <n v="5.32258064516129"/>
    <n v="1383870.9677419355"/>
    <n v="319354.83870967739"/>
    <n v="1064516.1290322579"/>
    <n v="176129.03225806449"/>
    <n v="360000"/>
    <n v="1200000"/>
    <n v="1560000"/>
    <n v="0"/>
    <n v="0"/>
    <n v="0"/>
    <s v=""/>
    <n v="0"/>
    <n v="0"/>
    <s v="Cleared"/>
    <s v="Ok"/>
  </r>
  <r>
    <d v="2021-12-14T00:00:00"/>
    <x v="111"/>
    <n v="373"/>
    <n v="4"/>
    <s v="BIZ"/>
    <n v="2500000"/>
    <n v="5"/>
    <n v="0.05"/>
    <s v="Monthly"/>
    <s v="Aroma"/>
    <s v="ONZIA EMMILY"/>
    <n v="30000"/>
    <n v="5000"/>
    <n v="50000"/>
    <n v="250000"/>
    <n v="625000"/>
    <n v="5"/>
    <n v="3125000"/>
    <n v="625000"/>
    <n v="625000"/>
    <n v="3125000"/>
    <n v="500000"/>
    <n v="125000"/>
    <n v="625000"/>
    <d v="2022-01-14T00:00:00"/>
    <s v="Frid"/>
    <n v="31"/>
    <d v="2022-05-14T00:00:00"/>
    <n v="151"/>
    <s v="Expired"/>
    <n v="0"/>
    <n v="5"/>
    <n v="3125000"/>
    <n v="625000"/>
    <n v="2500000"/>
    <n v="0"/>
    <n v="150666.66666666669"/>
    <n v="849333.33333333326"/>
    <n v="1000000"/>
    <n v="474333.33333333331"/>
    <n v="1650666.6666666667"/>
    <n v="2125000"/>
    <n v="2125000"/>
    <n v="3.4"/>
    <n v="102"/>
    <s v="4.(91-365) Days"/>
    <s v="Ok"/>
  </r>
  <r>
    <d v="2021-10-26T00:00:00"/>
    <x v="245"/>
    <n v="294"/>
    <n v="1"/>
    <s v="QUICK"/>
    <n v="500000"/>
    <n v="1"/>
    <n v="7.4999999999999997E-2"/>
    <s v="Monthly"/>
    <s v="Kana"/>
    <s v="YANYA ROBINA"/>
    <n v="20000"/>
    <n v="5000"/>
    <n v="6000"/>
    <n v="50000"/>
    <n v="37500"/>
    <n v="1"/>
    <n v="537500"/>
    <n v="537500"/>
    <n v="538000"/>
    <n v="538000"/>
    <n v="500000"/>
    <n v="38000"/>
    <n v="38000"/>
    <d v="2021-11-26T00:00:00"/>
    <s v="Frid"/>
    <n v="31"/>
    <d v="2021-11-26T00:00:00"/>
    <n v="31"/>
    <s v="Expired"/>
    <n v="0"/>
    <n v="1"/>
    <n v="538000"/>
    <n v="38000"/>
    <n v="500000"/>
    <n v="0"/>
    <n v="38000"/>
    <n v="499500"/>
    <n v="537500"/>
    <n v="0"/>
    <n v="500"/>
    <n v="500"/>
    <n v="500"/>
    <n v="9.2936802973977691E-4"/>
    <n v="1"/>
    <s v="1.(0-30) Days"/>
    <s v="Ok"/>
  </r>
  <r>
    <d v="2021-12-14T00:00:00"/>
    <x v="207"/>
    <n v="374"/>
    <n v="2"/>
    <s v="BIZ"/>
    <n v="400000"/>
    <n v="4"/>
    <n v="0.05"/>
    <s v="Monthly"/>
    <s v="Kana"/>
    <s v="SAKAYA AMINA"/>
    <n v="15000"/>
    <n v="5000"/>
    <n v="4000"/>
    <n v="40000"/>
    <n v="80000"/>
    <n v="4"/>
    <n v="480000"/>
    <n v="120000"/>
    <n v="120000"/>
    <n v="480000"/>
    <n v="100000"/>
    <n v="20000"/>
    <n v="80000"/>
    <d v="2022-01-14T00:00:00"/>
    <s v="Frid"/>
    <n v="31"/>
    <d v="2022-04-14T00:00:00"/>
    <n v="121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1-12-14T00:00:00"/>
    <x v="246"/>
    <n v="377"/>
    <n v="1"/>
    <s v="BIZ"/>
    <n v="1000000"/>
    <n v="6"/>
    <n v="0.05"/>
    <s v="Monthly"/>
    <s v="Jerome"/>
    <s v="ABIYO RICHARD ENAKU"/>
    <n v="20000"/>
    <n v="5000"/>
    <n v="10000"/>
    <n v="100000"/>
    <n v="300000"/>
    <n v="6"/>
    <n v="1300000"/>
    <n v="216666.66666666666"/>
    <n v="217000"/>
    <n v="1302000"/>
    <n v="166666.66666666666"/>
    <n v="50333.333333333343"/>
    <n v="302000.00000000006"/>
    <d v="2022-01-14T00:00:00"/>
    <s v="Frid"/>
    <n v="31"/>
    <d v="2022-06-14T00:00:00"/>
    <n v="182"/>
    <n v="165"/>
    <n v="17"/>
    <n v="5.32258064516129"/>
    <n v="1155000"/>
    <n v="267903.22580645164"/>
    <n v="887096.77419354825"/>
    <n v="147000"/>
    <n v="226000.00000000003"/>
    <n v="858699.99999999988"/>
    <n v="1084700"/>
    <n v="76000.000000000029"/>
    <n v="141300.00000000012"/>
    <n v="217300.00000000015"/>
    <n v="70300.000000000146"/>
    <n v="0.32396313364055368"/>
    <n v="10"/>
    <s v="1.(0-30) Days"/>
    <s v="Ok"/>
  </r>
  <r>
    <d v="2021-12-14T00:00:00"/>
    <x v="247"/>
    <n v="372"/>
    <n v="1"/>
    <s v="BIZ"/>
    <n v="1500000"/>
    <n v="6"/>
    <n v="0.05"/>
    <s v="Monthly"/>
    <s v="Jerome"/>
    <s v="MAYANJA DAVID"/>
    <n v="25000"/>
    <n v="5000"/>
    <n v="30000"/>
    <n v="150000"/>
    <n v="450000"/>
    <n v="6"/>
    <n v="1950000"/>
    <n v="325000"/>
    <n v="325000"/>
    <n v="1950000"/>
    <n v="250000"/>
    <n v="75000"/>
    <n v="450000"/>
    <d v="2022-01-14T00:00:00"/>
    <s v="Frid"/>
    <n v="31"/>
    <d v="2022-06-14T00:00:00"/>
    <n v="182"/>
    <n v="165"/>
    <n v="17"/>
    <n v="5.32258064516129"/>
    <n v="1729838.7096774192"/>
    <n v="399193.54838709673"/>
    <n v="1330645.1612903224"/>
    <n v="220161.29032258084"/>
    <n v="500000"/>
    <n v="1100000"/>
    <n v="1600000"/>
    <n v="-50000"/>
    <n v="400000"/>
    <n v="350000"/>
    <n v="129838.70967741916"/>
    <n v="0.39950372208436663"/>
    <n v="12"/>
    <s v="1.(0-30) Days"/>
    <s v="Error on Entry"/>
  </r>
  <r>
    <d v="2021-12-15T00:00:00"/>
    <x v="21"/>
    <n v="381"/>
    <n v="2"/>
    <s v="BIZ"/>
    <n v="700000"/>
    <n v="4"/>
    <n v="0.05"/>
    <s v="Monthly"/>
    <s v="Jerome"/>
    <s v="DATA ISMAIL FATARI"/>
    <n v="20000"/>
    <n v="5000"/>
    <n v="7000"/>
    <n v="70000"/>
    <n v="140000"/>
    <n v="4"/>
    <n v="840000"/>
    <n v="210000"/>
    <n v="210000"/>
    <n v="840000"/>
    <n v="175000"/>
    <n v="35000"/>
    <n v="140000"/>
    <d v="2022-01-15T00:00:00"/>
    <s v="Sat"/>
    <n v="31"/>
    <d v="2022-04-15T00:00:00"/>
    <n v="121"/>
    <s v="Expired"/>
    <n v="0"/>
    <n v="4"/>
    <n v="840000"/>
    <n v="140000"/>
    <n v="700000"/>
    <n v="0"/>
    <n v="140000"/>
    <n v="30000"/>
    <n v="170000"/>
    <n v="0"/>
    <n v="670000"/>
    <n v="670000"/>
    <n v="670000"/>
    <n v="3.1904761904761907"/>
    <n v="96"/>
    <s v="4.(91-365) Days"/>
    <s v="Ok"/>
  </r>
  <r>
    <d v="2021-12-15T00:00:00"/>
    <x v="82"/>
    <n v="380"/>
    <n v="3"/>
    <s v="BIZ"/>
    <n v="300000"/>
    <n v="4"/>
    <n v="0.05"/>
    <s v="Monthly"/>
    <s v="Kana"/>
    <s v="FAIDA HARRIET"/>
    <n v="15000"/>
    <n v="5000"/>
    <n v="3000"/>
    <n v="30000"/>
    <n v="60000"/>
    <n v="4"/>
    <n v="360000"/>
    <n v="90000"/>
    <n v="90000"/>
    <n v="360000"/>
    <n v="75000"/>
    <n v="15000"/>
    <n v="60000"/>
    <d v="2022-01-15T00:00:00"/>
    <s v="Sat"/>
    <n v="31"/>
    <d v="2022-04-15T00:00:00"/>
    <n v="121"/>
    <s v="Expired"/>
    <n v="0"/>
    <n v="4"/>
    <n v="360000"/>
    <n v="60000"/>
    <n v="300000"/>
    <n v="0"/>
    <n v="60000"/>
    <n v="300000"/>
    <n v="360000"/>
    <n v="0"/>
    <n v="0"/>
    <n v="0"/>
    <s v=""/>
    <n v="0"/>
    <n v="0"/>
    <s v="Cleared"/>
    <s v="Ok"/>
  </r>
  <r>
    <d v="2021-12-03T00:00:00"/>
    <x v="245"/>
    <n v="352"/>
    <n v="2"/>
    <s v="QUICK"/>
    <n v="500000"/>
    <n v="1"/>
    <n v="7.4999999999999997E-2"/>
    <s v="Monthly"/>
    <s v="Kana"/>
    <s v="YANYA ROBINA"/>
    <n v="25000"/>
    <n v="5000"/>
    <n v="20000"/>
    <n v="50000"/>
    <n v="37500"/>
    <n v="1"/>
    <n v="537500"/>
    <n v="537500"/>
    <n v="538000"/>
    <n v="538000"/>
    <n v="500000"/>
    <n v="38000"/>
    <n v="38000"/>
    <d v="2022-01-03T00:00:00"/>
    <s v="Mon"/>
    <n v="31"/>
    <d v="2022-01-03T00:00:00"/>
    <n v="31"/>
    <s v="Expired"/>
    <n v="0"/>
    <n v="1"/>
    <n v="538000"/>
    <n v="38000"/>
    <n v="500000"/>
    <n v="0"/>
    <n v="38000"/>
    <n v="499500"/>
    <n v="537500"/>
    <n v="0"/>
    <n v="500"/>
    <n v="500"/>
    <n v="500"/>
    <n v="9.2936802973977691E-4"/>
    <n v="1"/>
    <s v="1.(0-30) Days"/>
    <s v="Ok"/>
  </r>
  <r>
    <d v="2021-12-15T00:00:00"/>
    <x v="91"/>
    <n v="383"/>
    <n v="6"/>
    <s v="BIZ"/>
    <n v="1500000"/>
    <n v="6"/>
    <n v="0.05"/>
    <s v="Monthly"/>
    <s v="Kana"/>
    <s v="TABU MARY"/>
    <n v="25000"/>
    <n v="5000"/>
    <n v="30000"/>
    <n v="150000"/>
    <n v="450000"/>
    <n v="6"/>
    <n v="1950000"/>
    <n v="325000"/>
    <n v="325000"/>
    <n v="1950000"/>
    <n v="250000"/>
    <n v="75000"/>
    <n v="450000"/>
    <d v="2022-01-15T00:00:00"/>
    <s v="Sat"/>
    <n v="31"/>
    <d v="2022-06-15T00:00:00"/>
    <n v="182"/>
    <n v="164"/>
    <n v="18"/>
    <n v="5.290322580645161"/>
    <n v="1719354.8387096773"/>
    <n v="396774.19354838709"/>
    <n v="1322580.6451612902"/>
    <n v="230645.16129032266"/>
    <n v="450000"/>
    <n v="1500000"/>
    <n v="1950000"/>
    <n v="0"/>
    <n v="0"/>
    <n v="0"/>
    <s v=""/>
    <n v="0"/>
    <n v="0"/>
    <s v="Cleared"/>
    <s v="Ok"/>
  </r>
  <r>
    <d v="2021-12-15T00:00:00"/>
    <x v="189"/>
    <n v="379"/>
    <n v="2"/>
    <s v="BIZ"/>
    <n v="700000"/>
    <n v="5"/>
    <n v="0.05"/>
    <s v="Monthly"/>
    <s v="Kana"/>
    <s v="ADRILI ZAHARA"/>
    <n v="20000"/>
    <n v="5000"/>
    <n v="7000"/>
    <n v="70000"/>
    <n v="175000"/>
    <n v="5"/>
    <n v="875000"/>
    <n v="175000"/>
    <n v="175000"/>
    <n v="875000"/>
    <n v="140000"/>
    <n v="35000"/>
    <n v="175000"/>
    <d v="2022-01-15T00:00:00"/>
    <s v="Sat"/>
    <n v="31"/>
    <d v="2022-05-15T00:00:00"/>
    <n v="151"/>
    <s v="Expired"/>
    <n v="0"/>
    <n v="5"/>
    <n v="875000"/>
    <n v="175000"/>
    <n v="700000"/>
    <n v="0"/>
    <n v="165000"/>
    <n v="710000"/>
    <n v="875000"/>
    <n v="10000"/>
    <n v="-10000"/>
    <n v="0"/>
    <s v=""/>
    <n v="0"/>
    <n v="0"/>
    <s v="Cleared"/>
    <s v="Error on Entry"/>
  </r>
  <r>
    <d v="2021-12-15T00:00:00"/>
    <x v="192"/>
    <n v="378"/>
    <n v="2"/>
    <s v="BIZ"/>
    <n v="1000000"/>
    <n v="4"/>
    <n v="0.05"/>
    <s v="Monthly"/>
    <s v="Aroma"/>
    <s v="ATIKURU NADIA"/>
    <n v="20000"/>
    <n v="5000"/>
    <n v="10000"/>
    <n v="100000"/>
    <n v="200000"/>
    <n v="4"/>
    <n v="1200000"/>
    <n v="300000"/>
    <n v="300000"/>
    <n v="1200000"/>
    <n v="250000"/>
    <n v="50000"/>
    <n v="200000"/>
    <d v="2022-01-15T00:00:00"/>
    <s v="Sat"/>
    <n v="31"/>
    <d v="2022-04-15T00:00:00"/>
    <n v="121"/>
    <s v="Expired"/>
    <n v="0"/>
    <n v="4"/>
    <n v="1200000"/>
    <n v="200000"/>
    <n v="1000000"/>
    <n v="0"/>
    <n v="200000"/>
    <n v="1000000"/>
    <n v="1200000"/>
    <n v="0"/>
    <n v="0"/>
    <n v="0"/>
    <s v=""/>
    <n v="0"/>
    <n v="0"/>
    <s v="Cleared"/>
    <s v="Ok"/>
  </r>
  <r>
    <d v="2021-12-16T00:00:00"/>
    <x v="248"/>
    <n v="384"/>
    <n v="1"/>
    <s v="SLA"/>
    <n v="400000"/>
    <n v="4"/>
    <n v="7.4999999999999997E-2"/>
    <s v="Monthly"/>
    <s v="Kana"/>
    <s v="ANDIKU KALOLI"/>
    <n v="15000"/>
    <n v="5000"/>
    <n v="4000"/>
    <n v="40000"/>
    <n v="120000"/>
    <n v="4"/>
    <n v="520000"/>
    <n v="130000"/>
    <n v="130000"/>
    <n v="520000"/>
    <n v="100000"/>
    <n v="30000"/>
    <n v="120000"/>
    <d v="2022-01-16T00:00:00"/>
    <s v="Sun"/>
    <n v="31"/>
    <d v="2022-04-16T00:00:00"/>
    <n v="121"/>
    <s v="Expired"/>
    <n v="0"/>
    <n v="4"/>
    <n v="520000"/>
    <n v="120000"/>
    <n v="400000"/>
    <n v="0"/>
    <n v="120000"/>
    <n v="400000"/>
    <n v="520000"/>
    <n v="0"/>
    <n v="0"/>
    <n v="0"/>
    <s v=""/>
    <n v="0"/>
    <n v="0"/>
    <s v="Cleared"/>
    <s v="Ok"/>
  </r>
  <r>
    <d v="2022-01-02T00:00:00"/>
    <x v="249"/>
    <n v="387"/>
    <n v="1"/>
    <s v="STL"/>
    <n v="3000000"/>
    <n v="12"/>
    <n v="2.5000000000000001E-2"/>
    <s v="Monthly"/>
    <s v="Kana"/>
    <s v="TABAN NICHOLAS"/>
    <n v="10000"/>
    <n v="0"/>
    <n v="30000"/>
    <n v="0"/>
    <n v="900000"/>
    <n v="12"/>
    <n v="3900000"/>
    <n v="325000"/>
    <n v="325000"/>
    <n v="3900000"/>
    <n v="250000"/>
    <n v="75000"/>
    <n v="900000"/>
    <d v="2022-02-02T00:00:00"/>
    <s v="Wed"/>
    <n v="31"/>
    <d v="2023-01-02T00:00:00"/>
    <n v="365"/>
    <n v="146"/>
    <n v="219"/>
    <n v="4.709677419354839"/>
    <n v="1530645.1612903227"/>
    <n v="353225.80645161291"/>
    <n v="1177419.3548387098"/>
    <n v="2369354.8387096776"/>
    <n v="225000"/>
    <n v="1400000"/>
    <n v="1625000"/>
    <n v="675000"/>
    <n v="1600000"/>
    <n v="2275000"/>
    <s v=""/>
    <n v="0"/>
    <n v="0"/>
    <s v="Clean"/>
    <s v="Ok"/>
  </r>
  <r>
    <d v="2022-01-02T00:00:00"/>
    <x v="250"/>
    <n v="386"/>
    <n v="1"/>
    <s v="STL"/>
    <n v="1200000"/>
    <n v="12"/>
    <n v="2.5000000000000001E-2"/>
    <s v="Monthly"/>
    <s v="Jerome"/>
    <s v="AROMA BOSCO"/>
    <n v="10000"/>
    <n v="0"/>
    <n v="12000"/>
    <n v="0"/>
    <n v="360000"/>
    <n v="12"/>
    <n v="1560000"/>
    <n v="130000"/>
    <n v="130000"/>
    <n v="1560000"/>
    <n v="100000"/>
    <n v="30000"/>
    <n v="360000"/>
    <d v="2022-02-02T00:00:00"/>
    <s v="Wed"/>
    <n v="31"/>
    <d v="2023-01-02T00:00:00"/>
    <n v="365"/>
    <n v="146"/>
    <n v="219"/>
    <n v="4.709677419354839"/>
    <n v="612258.06451612909"/>
    <n v="141290.32258064518"/>
    <n v="470967.74193548388"/>
    <n v="947741.93548387091"/>
    <n v="160666.66666666666"/>
    <n v="489333.33333333337"/>
    <n v="650000"/>
    <n v="199333.33333333334"/>
    <n v="710666.66666666663"/>
    <n v="910000"/>
    <s v=""/>
    <n v="0"/>
    <n v="0"/>
    <s v="Clean"/>
    <s v="Ok"/>
  </r>
  <r>
    <d v="2022-01-04T00:00:00"/>
    <x v="157"/>
    <n v="385"/>
    <n v="2"/>
    <s v="BIZ"/>
    <n v="5000000"/>
    <n v="5"/>
    <n v="6.5000000000000002E-2"/>
    <s v="Monthly"/>
    <s v="Kana"/>
    <s v="ALORO FREDERICK"/>
    <n v="30000"/>
    <n v="5000"/>
    <n v="100000"/>
    <n v="500000"/>
    <n v="1625000"/>
    <n v="5"/>
    <n v="6625000"/>
    <n v="1325000"/>
    <n v="1325000"/>
    <n v="6625000"/>
    <n v="1000000"/>
    <n v="325000"/>
    <n v="1625000"/>
    <d v="2022-02-04T00:00:00"/>
    <s v="Frid"/>
    <n v="31"/>
    <d v="2022-06-04T00:00:00"/>
    <n v="151"/>
    <n v="144"/>
    <n v="7"/>
    <n v="4.645161290322581"/>
    <n v="6154838.7096774196"/>
    <n v="1509677.4193548388"/>
    <n v="4645161.2903225813"/>
    <n v="470161.29032258037"/>
    <n v="975000"/>
    <n v="4325000"/>
    <n v="5300000"/>
    <n v="650000"/>
    <n v="675000"/>
    <n v="1325000"/>
    <n v="854838.70967741963"/>
    <n v="0.64516129032258085"/>
    <n v="20"/>
    <s v="1.(0-30) Days"/>
    <s v="Ok"/>
  </r>
  <r>
    <d v="2021-11-08T00:00:00"/>
    <x v="251"/>
    <n v="313"/>
    <n v="1"/>
    <s v="SFL"/>
    <n v="350000"/>
    <n v="3"/>
    <n v="7.4999999999999997E-2"/>
    <s v="Monthly"/>
    <s v="Jerome"/>
    <s v="AJOBE SAMUEL"/>
    <n v="20000"/>
    <n v="5000"/>
    <n v="10000"/>
    <n v="35000"/>
    <n v="78750"/>
    <n v="3"/>
    <n v="428750"/>
    <n v="142916.66666666666"/>
    <n v="143000"/>
    <n v="429000"/>
    <n v="116666.66666666667"/>
    <n v="26333.333333333328"/>
    <n v="78999.999999999985"/>
    <d v="2021-12-08T00:00:00"/>
    <s v="Wed"/>
    <n v="30"/>
    <d v="2022-02-08T00:00:00"/>
    <n v="92"/>
    <s v="Expired"/>
    <n v="0"/>
    <n v="3"/>
    <n v="429000"/>
    <n v="78999.999999999985"/>
    <n v="350000"/>
    <n v="0"/>
    <n v="78999.999999999985"/>
    <n v="350000"/>
    <n v="429000"/>
    <n v="0"/>
    <n v="0"/>
    <n v="0"/>
    <s v=""/>
    <n v="0"/>
    <n v="0"/>
    <s v="Cleared"/>
    <s v="Ok"/>
  </r>
  <r>
    <d v="2022-01-06T00:00:00"/>
    <x v="252"/>
    <n v="389"/>
    <n v="1"/>
    <s v="STL"/>
    <n v="1800000"/>
    <n v="12"/>
    <n v="2.5000000000000001E-2"/>
    <s v="Monthly"/>
    <s v="Kana"/>
    <s v="AJIBA ROSEMARY EMMANUEL"/>
    <n v="10000"/>
    <n v="0"/>
    <n v="18000"/>
    <n v="0"/>
    <n v="540000"/>
    <n v="12"/>
    <n v="2340000"/>
    <n v="195000"/>
    <n v="195000"/>
    <n v="2340000"/>
    <n v="150000"/>
    <n v="45000"/>
    <n v="540000"/>
    <d v="2022-02-06T00:00:00"/>
    <s v="Sun"/>
    <n v="31"/>
    <d v="2023-01-06T00:00:00"/>
    <n v="365"/>
    <n v="142"/>
    <n v="223"/>
    <n v="4.580645161290323"/>
    <n v="893225.80645161297"/>
    <n v="206129.03225806454"/>
    <n v="687096.77419354848"/>
    <n v="1446774.1935483869"/>
    <n v="155666.66666666666"/>
    <n v="624333.33333333337"/>
    <n v="780000"/>
    <n v="384333.33333333337"/>
    <n v="1175666.6666666665"/>
    <n v="1560000"/>
    <n v="113225.80645161308"/>
    <n v="0.58064516129032351"/>
    <n v="18"/>
    <s v="1.(0-30) Days"/>
    <s v="Ok"/>
  </r>
  <r>
    <d v="2022-01-07T00:00:00"/>
    <x v="253"/>
    <n v="390"/>
    <n v="1"/>
    <s v="SLA"/>
    <n v="2100000"/>
    <n v="3"/>
    <n v="7.4999999999999997E-2"/>
    <s v="Monthly"/>
    <s v="Kana"/>
    <s v="AYILA CHRISTOPHER"/>
    <n v="30000"/>
    <n v="5000"/>
    <n v="42000"/>
    <n v="210000"/>
    <n v="472500"/>
    <n v="3"/>
    <n v="2572500"/>
    <n v="857500"/>
    <n v="858000"/>
    <n v="2574000"/>
    <n v="700000"/>
    <n v="158000"/>
    <n v="474000"/>
    <d v="2022-02-07T00:00:00"/>
    <s v="Mon"/>
    <n v="31"/>
    <d v="2022-04-07T00:00:00"/>
    <n v="90"/>
    <s v="Expired"/>
    <n v="0"/>
    <n v="3"/>
    <n v="2574000"/>
    <n v="474000"/>
    <n v="2100000"/>
    <n v="0"/>
    <n v="474000"/>
    <n v="2100000"/>
    <n v="2574000"/>
    <n v="0"/>
    <n v="0"/>
    <n v="0"/>
    <s v=""/>
    <n v="0"/>
    <n v="0"/>
    <s v="Cleared"/>
    <s v="Ok"/>
  </r>
  <r>
    <d v="2022-01-10T00:00:00"/>
    <x v="254"/>
    <n v="391"/>
    <n v="1"/>
    <s v="BIZ"/>
    <n v="1000000"/>
    <n v="4"/>
    <n v="6.5000000000000002E-2"/>
    <s v="Weekly"/>
    <s v="Kana"/>
    <s v="NAMBOZO HALIMA"/>
    <n v="20000"/>
    <n v="5000"/>
    <n v="20000"/>
    <n v="100000"/>
    <n v="260000"/>
    <n v="16"/>
    <n v="1260000"/>
    <n v="78750"/>
    <n v="79000"/>
    <n v="1264000"/>
    <n v="62500"/>
    <n v="16500"/>
    <n v="264000"/>
    <d v="2022-01-17T00:00:00"/>
    <s v="Mon"/>
    <n v="7"/>
    <d v="2022-05-10T00:00:00"/>
    <n v="120"/>
    <s v="Expired"/>
    <n v="0"/>
    <n v="16"/>
    <n v="1264000"/>
    <n v="264000"/>
    <n v="1000000"/>
    <n v="0"/>
    <n v="264000"/>
    <n v="1000000"/>
    <n v="1264000"/>
    <n v="0"/>
    <n v="0"/>
    <n v="0"/>
    <s v=""/>
    <n v="0"/>
    <n v="0"/>
    <s v="Cleared"/>
    <s v="Ok"/>
  </r>
  <r>
    <d v="2021-11-19T00:00:00"/>
    <x v="255"/>
    <n v="338"/>
    <n v="1"/>
    <s v="BIZ"/>
    <n v="3000000"/>
    <n v="3"/>
    <n v="0.05"/>
    <s v="Monthly"/>
    <s v="Aroma"/>
    <s v="MALISH WAWASON"/>
    <n v="15000"/>
    <n v="5000"/>
    <n v="8000"/>
    <n v="300000"/>
    <n v="450000"/>
    <n v="3"/>
    <n v="3450000"/>
    <n v="1150000"/>
    <n v="1150000"/>
    <n v="3450000"/>
    <n v="1000000"/>
    <n v="150000"/>
    <n v="450000"/>
    <d v="2021-12-19T00:00:00"/>
    <s v="Sun"/>
    <n v="30"/>
    <d v="2022-02-19T00:00:00"/>
    <n v="92"/>
    <s v="Expired"/>
    <n v="0"/>
    <n v="3"/>
    <n v="3450000"/>
    <n v="450000"/>
    <n v="3000000"/>
    <n v="0"/>
    <n v="450000"/>
    <n v="3000000"/>
    <n v="3450000"/>
    <n v="0"/>
    <n v="0"/>
    <n v="0"/>
    <s v=""/>
    <n v="0"/>
    <n v="0"/>
    <s v="Cleared"/>
    <s v="Ok"/>
  </r>
  <r>
    <d v="2022-01-12T00:00:00"/>
    <x v="39"/>
    <n v="400"/>
    <n v="2"/>
    <s v="BIZ"/>
    <n v="1300000"/>
    <n v="6"/>
    <n v="6.5000000000000002E-2"/>
    <s v="Weekly"/>
    <s v="Kana"/>
    <s v="ALIO YUDA"/>
    <n v="25000"/>
    <n v="5000"/>
    <n v="26000"/>
    <n v="130000"/>
    <n v="507000"/>
    <n v="24"/>
    <n v="1807000"/>
    <n v="75291.666666666672"/>
    <n v="76000"/>
    <n v="1824000"/>
    <n v="54166.666666666664"/>
    <n v="21833.333333333336"/>
    <n v="524000.00000000006"/>
    <d v="2022-01-19T00:00:00"/>
    <s v="Wed"/>
    <n v="7"/>
    <d v="2022-07-12T00:00:00"/>
    <n v="181"/>
    <n v="136"/>
    <n v="45"/>
    <n v="19.428571428571427"/>
    <n v="1476571.4285714284"/>
    <n v="424190.47619047621"/>
    <n v="1052380.9523809522"/>
    <n v="347428.57142857159"/>
    <n v="387166.66666666663"/>
    <n v="822833.33333333302"/>
    <n v="1209999.9999999995"/>
    <n v="136833.33333333343"/>
    <n v="477166.66666666698"/>
    <n v="614000.00000000047"/>
    <n v="266571.42857142887"/>
    <n v="3.507518796992485"/>
    <n v="25"/>
    <s v="1.(0-30) Days"/>
    <s v="Ok"/>
  </r>
  <r>
    <d v="2022-01-12T00:00:00"/>
    <x v="148"/>
    <n v="393"/>
    <n v="2"/>
    <s v="BIZ"/>
    <n v="500000"/>
    <n v="4"/>
    <n v="6.5000000000000002E-2"/>
    <s v="Weekly"/>
    <s v="Aroma"/>
    <s v="ASE ZAINABU"/>
    <n v="15000"/>
    <n v="5000"/>
    <n v="10000"/>
    <n v="50000"/>
    <n v="130000"/>
    <n v="16"/>
    <n v="630000"/>
    <n v="39375"/>
    <n v="40000"/>
    <n v="640000"/>
    <n v="31250"/>
    <n v="8750"/>
    <n v="140000"/>
    <d v="2022-01-19T00:00:00"/>
    <s v="Wed"/>
    <n v="7"/>
    <d v="2022-05-12T00:00:00"/>
    <n v="120"/>
    <s v="Expired"/>
    <n v="0"/>
    <n v="16"/>
    <n v="640000"/>
    <n v="140000"/>
    <n v="500000"/>
    <n v="0"/>
    <n v="65000"/>
    <n v="253000"/>
    <n v="318000"/>
    <n v="75000"/>
    <n v="247000"/>
    <n v="322000"/>
    <n v="322000"/>
    <n v="8.0500000000000007"/>
    <n v="57"/>
    <s v="2.(31-60) Days"/>
    <s v="Ok"/>
  </r>
  <r>
    <d v="2022-01-12T00:00:00"/>
    <x v="158"/>
    <n v="394"/>
    <n v="2"/>
    <s v="BIZ"/>
    <n v="1000000"/>
    <n v="6"/>
    <n v="6.5000000000000002E-2"/>
    <s v="Weekly"/>
    <s v="Kana"/>
    <s v="KATO KENNEDY"/>
    <n v="20000"/>
    <n v="5000"/>
    <n v="20000"/>
    <n v="100000"/>
    <n v="390000"/>
    <n v="24"/>
    <n v="1390000"/>
    <n v="57916.666666666664"/>
    <n v="58000"/>
    <n v="1392000"/>
    <n v="41666.666666666664"/>
    <n v="16333.333333333336"/>
    <n v="392000.00000000006"/>
    <d v="2022-01-19T00:00:00"/>
    <s v="Wed"/>
    <n v="7"/>
    <d v="2022-07-12T00:00:00"/>
    <n v="181"/>
    <n v="136"/>
    <n v="45"/>
    <n v="19.428571428571427"/>
    <n v="1126857.1428571427"/>
    <n v="317333.33333333337"/>
    <n v="809523.80952380947"/>
    <n v="265142.85714285728"/>
    <n v="272333.33333333343"/>
    <n v="771666.66666666663"/>
    <n v="1044000"/>
    <n v="119666.66666666663"/>
    <n v="228333.33333333337"/>
    <n v="348000"/>
    <n v="82857.142857142724"/>
    <n v="1.4285714285714264"/>
    <n v="10"/>
    <s v="1.(0-30) Days"/>
    <s v="Ok"/>
  </r>
  <r>
    <d v="2022-01-12T00:00:00"/>
    <x v="170"/>
    <n v="401"/>
    <n v="2"/>
    <s v="BIZ"/>
    <n v="500000"/>
    <n v="5"/>
    <n v="6.5000000000000002E-2"/>
    <s v="Weekly"/>
    <s v="Jerome"/>
    <s v="AYIDA SELUWA"/>
    <n v="15000"/>
    <n v="5000"/>
    <n v="10000"/>
    <n v="50000"/>
    <n v="162500"/>
    <n v="20"/>
    <n v="662500"/>
    <n v="33125"/>
    <n v="34000"/>
    <n v="680000"/>
    <n v="25000"/>
    <n v="9000"/>
    <n v="180000"/>
    <d v="2022-01-19T00:00:00"/>
    <s v="Wed"/>
    <n v="7"/>
    <d v="2022-06-12T00:00:00"/>
    <n v="151"/>
    <n v="136"/>
    <n v="15"/>
    <n v="19.428571428571427"/>
    <n v="660571.42857142852"/>
    <n v="174857.14285714284"/>
    <n v="485714.28571428568"/>
    <n v="19428.571428571478"/>
    <n v="91666.666666666672"/>
    <n v="239333.33333333331"/>
    <n v="331000"/>
    <n v="88333.333333333328"/>
    <n v="260666.66666666669"/>
    <n v="349000"/>
    <n v="329571.42857142852"/>
    <n v="9.6932773109243691"/>
    <n v="68"/>
    <s v="3.(61-90) Days"/>
    <s v="Ok"/>
  </r>
  <r>
    <d v="2022-01-12T00:00:00"/>
    <x v="183"/>
    <n v="396"/>
    <n v="2"/>
    <s v="BIZ"/>
    <n v="500000"/>
    <n v="4"/>
    <n v="6.5000000000000002E-2"/>
    <s v="Weekly"/>
    <s v="Jerome"/>
    <s v="OPIRU ALICE"/>
    <n v="15000"/>
    <n v="5000"/>
    <n v="10000"/>
    <n v="50000"/>
    <n v="130000"/>
    <n v="16"/>
    <n v="630000"/>
    <n v="39375"/>
    <n v="40000"/>
    <n v="640000"/>
    <n v="31250"/>
    <n v="8750"/>
    <n v="140000"/>
    <d v="2022-01-19T00:00:00"/>
    <s v="Wed"/>
    <n v="7"/>
    <d v="2022-05-12T00:00:00"/>
    <n v="120"/>
    <s v="Expired"/>
    <n v="0"/>
    <n v="16"/>
    <n v="640000"/>
    <n v="140000"/>
    <n v="500000"/>
    <n v="0"/>
    <n v="175000"/>
    <n v="176400"/>
    <n v="351400"/>
    <n v="-35000"/>
    <n v="323600"/>
    <n v="288600"/>
    <n v="288600"/>
    <n v="7.2149999999999999"/>
    <n v="51"/>
    <s v="2.(31-60) Days"/>
    <s v="Error on Entry"/>
  </r>
  <r>
    <d v="2022-01-12T00:00:00"/>
    <x v="177"/>
    <n v="395"/>
    <n v="2"/>
    <s v="SLA"/>
    <n v="1500000"/>
    <n v="2"/>
    <n v="7.4999999999999997E-2"/>
    <s v="Monthly"/>
    <s v="Aroma"/>
    <s v="AMULE ISAAC"/>
    <n v="25000"/>
    <n v="5000"/>
    <n v="30000"/>
    <n v="150000"/>
    <n v="225000"/>
    <n v="2"/>
    <n v="1725000"/>
    <n v="862500"/>
    <n v="863000"/>
    <n v="1726000"/>
    <n v="750000"/>
    <n v="113000"/>
    <n v="226000"/>
    <d v="2022-02-12T00:00:00"/>
    <s v="Sat"/>
    <n v="31"/>
    <d v="2022-03-12T00:00:00"/>
    <n v="59"/>
    <s v="Expired"/>
    <n v="0"/>
    <n v="2"/>
    <n v="1726000"/>
    <n v="226000"/>
    <n v="1500000"/>
    <n v="0"/>
    <n v="226000"/>
    <n v="1500000"/>
    <n v="1726000"/>
    <n v="0"/>
    <n v="0"/>
    <n v="0"/>
    <s v=""/>
    <n v="0"/>
    <n v="0"/>
    <s v="Cleared"/>
    <s v="Ok"/>
  </r>
  <r>
    <d v="2022-01-12T00:00:00"/>
    <x v="256"/>
    <n v="397"/>
    <n v="1"/>
    <s v="SLA"/>
    <n v="500000"/>
    <n v="3"/>
    <n v="7.4999999999999997E-2"/>
    <s v="Monthly"/>
    <s v="Jerome"/>
    <s v="LEMAKU SWAIB"/>
    <n v="15000"/>
    <n v="5000"/>
    <n v="10000"/>
    <n v="50000"/>
    <n v="112500"/>
    <n v="3"/>
    <n v="612500"/>
    <n v="204166.66666666666"/>
    <n v="205000"/>
    <n v="615000"/>
    <n v="166666.66666666666"/>
    <n v="38333.333333333343"/>
    <n v="115000.00000000003"/>
    <d v="2022-02-12T00:00:00"/>
    <s v="Sat"/>
    <n v="31"/>
    <d v="2022-04-12T00:00:00"/>
    <n v="90"/>
    <s v="Expired"/>
    <n v="0"/>
    <n v="3"/>
    <n v="615000"/>
    <n v="115000.00000000003"/>
    <n v="500000"/>
    <n v="0"/>
    <n v="115000.00000000003"/>
    <n v="500000"/>
    <n v="615000"/>
    <n v="0"/>
    <n v="0"/>
    <n v="0"/>
    <s v=""/>
    <n v="0"/>
    <n v="0"/>
    <s v="Cleared"/>
    <s v="Ok"/>
  </r>
  <r>
    <d v="2022-01-12T00:00:00"/>
    <x v="257"/>
    <n v="399"/>
    <n v="1"/>
    <s v="BIZ"/>
    <n v="500000"/>
    <n v="4"/>
    <n v="6.5000000000000002E-2"/>
    <s v="Weekly"/>
    <s v="Jerome"/>
    <s v="APAYI DOROTHY"/>
    <n v="15000"/>
    <n v="5000"/>
    <n v="10000"/>
    <n v="50000"/>
    <n v="130000"/>
    <n v="16"/>
    <n v="630000"/>
    <n v="39375"/>
    <n v="40000"/>
    <n v="640000"/>
    <n v="31250"/>
    <n v="8750"/>
    <n v="140000"/>
    <d v="2022-01-19T00:00:00"/>
    <s v="Wed"/>
    <n v="7"/>
    <d v="2022-05-12T00:00:00"/>
    <n v="120"/>
    <s v="Expired"/>
    <n v="0"/>
    <n v="16"/>
    <n v="640000"/>
    <n v="140000"/>
    <n v="500000"/>
    <n v="0"/>
    <n v="148750"/>
    <n v="255250"/>
    <n v="404000"/>
    <n v="-8750"/>
    <n v="244750"/>
    <n v="236000"/>
    <n v="236000"/>
    <n v="5.9"/>
    <n v="42"/>
    <s v="2.(31-60) Days"/>
    <s v="Error on Entry"/>
  </r>
  <r>
    <d v="2022-01-12T00:00:00"/>
    <x v="258"/>
    <n v="398"/>
    <n v="1"/>
    <s v="BIZ"/>
    <n v="400000"/>
    <n v="4"/>
    <n v="6.5000000000000002E-2"/>
    <s v="Weekly"/>
    <s v="Kana"/>
    <s v="ATAKO GLORIA"/>
    <n v="15000"/>
    <n v="5000"/>
    <n v="8000"/>
    <n v="40000"/>
    <n v="104000"/>
    <n v="16"/>
    <n v="504000"/>
    <n v="31500"/>
    <n v="32000"/>
    <n v="512000"/>
    <n v="25000"/>
    <n v="7000"/>
    <n v="112000"/>
    <d v="2022-01-19T00:00:00"/>
    <s v="Wed"/>
    <n v="7"/>
    <d v="2022-05-12T00:00:00"/>
    <n v="120"/>
    <s v="Expired"/>
    <n v="0"/>
    <n v="16"/>
    <n v="512000"/>
    <n v="112000"/>
    <n v="400000"/>
    <n v="0"/>
    <n v="111000"/>
    <n v="393000"/>
    <n v="504000"/>
    <n v="1000"/>
    <n v="7000"/>
    <n v="8000"/>
    <n v="8000"/>
    <n v="0.25"/>
    <n v="2"/>
    <s v="1.(0-30) Days"/>
    <s v="Ok"/>
  </r>
  <r>
    <d v="2022-01-13T00:00:00"/>
    <x v="22"/>
    <n v="402"/>
    <n v="3"/>
    <s v="BIZ"/>
    <n v="500000"/>
    <n v="5"/>
    <n v="6.5000000000000002E-2"/>
    <s v="Weekly"/>
    <s v="Kana"/>
    <s v="BADARU KEVIN ATELIONGA"/>
    <n v="15000"/>
    <n v="5000"/>
    <n v="10000"/>
    <n v="50000"/>
    <n v="162500"/>
    <n v="20"/>
    <n v="662500"/>
    <n v="33125"/>
    <n v="34000"/>
    <n v="680000"/>
    <n v="25000"/>
    <n v="9000"/>
    <n v="180000"/>
    <d v="2022-01-20T00:00:00"/>
    <s v="Thu"/>
    <n v="7"/>
    <d v="2022-06-13T00:00:00"/>
    <n v="151"/>
    <n v="135"/>
    <n v="16"/>
    <n v="19.285714285714285"/>
    <n v="655714.28571428568"/>
    <n v="173571.42857142855"/>
    <n v="482142.8571428571"/>
    <n v="24285.714285714319"/>
    <n v="109166.66666666667"/>
    <n v="56833.333333333328"/>
    <n v="166000"/>
    <n v="70833.333333333328"/>
    <n v="443166.66666666669"/>
    <n v="514000"/>
    <n v="489714.28571428568"/>
    <n v="14.403361344537814"/>
    <n v="101"/>
    <s v="4.(91-365) Days"/>
    <s v="Ok"/>
  </r>
  <r>
    <d v="2022-01-13T00:00:00"/>
    <x v="190"/>
    <n v="403"/>
    <n v="2"/>
    <s v="BIZ"/>
    <n v="1300000"/>
    <n v="5"/>
    <n v="6.5000000000000002E-2"/>
    <s v="Weekly"/>
    <s v="Aroma"/>
    <s v="WILARU JOYCE"/>
    <n v="25000"/>
    <n v="5000"/>
    <n v="26000"/>
    <n v="130000"/>
    <n v="422500"/>
    <n v="20"/>
    <n v="1722500"/>
    <n v="86125"/>
    <n v="87000"/>
    <n v="1740000"/>
    <n v="65000"/>
    <n v="22000"/>
    <n v="440000"/>
    <d v="2022-01-20T00:00:00"/>
    <s v="Thu"/>
    <n v="7"/>
    <d v="2022-06-13T00:00:00"/>
    <n v="151"/>
    <n v="135"/>
    <n v="16"/>
    <n v="19.285714285714285"/>
    <n v="1677857.1428571427"/>
    <n v="424285.71428571426"/>
    <n v="1253571.4285714284"/>
    <n v="62142.857142857276"/>
    <n v="284666.66666666669"/>
    <n v="735333.33333333326"/>
    <n v="1020000"/>
    <n v="155333.33333333331"/>
    <n v="564666.66666666674"/>
    <n v="720000"/>
    <n v="657857.14285714272"/>
    <n v="7.5615763546798016"/>
    <n v="53"/>
    <s v="2.(31-60) Days"/>
    <s v="Ok"/>
  </r>
  <r>
    <d v="2022-01-14T00:00:00"/>
    <x v="19"/>
    <n v="405"/>
    <n v="3"/>
    <s v="BIZ"/>
    <n v="250000"/>
    <n v="4"/>
    <n v="6.5000000000000002E-2"/>
    <s v="Weekly"/>
    <s v="Jerome"/>
    <s v="ABAU   NOLA"/>
    <n v="15000"/>
    <n v="5000"/>
    <n v="5000"/>
    <n v="25000"/>
    <n v="65000"/>
    <n v="16"/>
    <n v="315000"/>
    <n v="19687.5"/>
    <n v="20000"/>
    <n v="320000"/>
    <n v="15625"/>
    <n v="4375"/>
    <n v="70000"/>
    <d v="2022-01-21T00:00:00"/>
    <s v="Frid"/>
    <n v="7"/>
    <d v="2022-05-14T00:00:00"/>
    <n v="120"/>
    <s v="Expired"/>
    <n v="0"/>
    <n v="16"/>
    <n v="320000"/>
    <n v="70000"/>
    <n v="250000"/>
    <n v="0"/>
    <n v="70000"/>
    <n v="250000"/>
    <n v="320000"/>
    <n v="0"/>
    <n v="0"/>
    <n v="0"/>
    <s v=""/>
    <n v="0"/>
    <n v="0"/>
    <s v="Cleared"/>
    <s v="Ok"/>
  </r>
  <r>
    <d v="2022-01-14T00:00:00"/>
    <x v="259"/>
    <n v="406"/>
    <n v="1"/>
    <s v="BIZ"/>
    <n v="350000"/>
    <n v="4"/>
    <n v="6.5000000000000002E-2"/>
    <s v="Weekly"/>
    <s v="Jerome"/>
    <s v="BAKO ZUBEDA"/>
    <n v="15000"/>
    <n v="5000"/>
    <n v="7000"/>
    <n v="35000"/>
    <n v="91000"/>
    <n v="16"/>
    <n v="441000"/>
    <n v="27562.5"/>
    <n v="28000"/>
    <n v="448000"/>
    <n v="21875"/>
    <n v="6125"/>
    <n v="98000"/>
    <d v="2022-01-21T00:00:00"/>
    <s v="Frid"/>
    <n v="7"/>
    <d v="2022-05-14T00:00:00"/>
    <n v="120"/>
    <s v="Expired"/>
    <n v="0"/>
    <n v="16"/>
    <n v="448000"/>
    <n v="98000"/>
    <n v="350000"/>
    <n v="0"/>
    <n v="98000"/>
    <n v="343600"/>
    <n v="441600"/>
    <n v="0"/>
    <n v="6400"/>
    <n v="6400"/>
    <n v="6400"/>
    <n v="0.22857142857142856"/>
    <n v="2"/>
    <s v="1.(0-30) Days"/>
    <s v="Ok"/>
  </r>
  <r>
    <d v="2022-01-10T00:00:00"/>
    <x v="260"/>
    <n v="392"/>
    <n v="1"/>
    <s v="SLA"/>
    <n v="500000"/>
    <n v="1"/>
    <n v="7.4999999999999997E-2"/>
    <s v="Monthly"/>
    <s v="Aroma"/>
    <s v="PATRICK OKUONZI"/>
    <n v="30000"/>
    <n v="5000"/>
    <n v="30000"/>
    <n v="50000"/>
    <n v="37500"/>
    <n v="1"/>
    <n v="537500"/>
    <n v="537500"/>
    <n v="538000"/>
    <n v="538000"/>
    <n v="500000"/>
    <n v="38000"/>
    <n v="38000"/>
    <d v="2022-02-10T00:00:00"/>
    <s v="Thu"/>
    <n v="31"/>
    <d v="2022-02-10T00:00:00"/>
    <n v="31"/>
    <s v="Expired"/>
    <n v="0"/>
    <n v="1"/>
    <n v="538000"/>
    <n v="38000"/>
    <n v="500000"/>
    <n v="0"/>
    <n v="38000"/>
    <n v="500000"/>
    <n v="538000"/>
    <n v="0"/>
    <n v="0"/>
    <n v="0"/>
    <s v=""/>
    <n v="0"/>
    <n v="0"/>
    <s v="Cleared"/>
    <s v="Ok"/>
  </r>
  <r>
    <d v="2022-01-17T00:00:00"/>
    <x v="75"/>
    <n v="411"/>
    <n v="3"/>
    <s v="BIZ"/>
    <n v="600000"/>
    <n v="6"/>
    <n v="6.5000000000000002E-2"/>
    <s v="Weekly"/>
    <s v="Jerome"/>
    <s v="SADIA JOYCE"/>
    <n v="20000"/>
    <n v="5000"/>
    <n v="12000"/>
    <n v="60000"/>
    <n v="234000"/>
    <n v="24"/>
    <n v="834000"/>
    <n v="34750"/>
    <n v="35000"/>
    <n v="840000"/>
    <n v="25000"/>
    <n v="10000"/>
    <n v="240000"/>
    <d v="2022-01-24T00:00:00"/>
    <s v="Mon"/>
    <n v="7"/>
    <d v="2022-07-17T00:00:00"/>
    <n v="181"/>
    <n v="131"/>
    <n v="50"/>
    <n v="18.714285714285715"/>
    <n v="655000"/>
    <n v="187142.85714285716"/>
    <n v="467857.1428571429"/>
    <n v="185000"/>
    <n v="35000"/>
    <n v="265000"/>
    <n v="300000"/>
    <n v="205000"/>
    <n v="335000"/>
    <n v="540000"/>
    <n v="355000"/>
    <n v="10.142857142857142"/>
    <n v="71"/>
    <s v="3.(61-90) Days"/>
    <s v="Ok"/>
  </r>
  <r>
    <d v="2022-01-17T00:00:00"/>
    <x v="125"/>
    <n v="409"/>
    <n v="3"/>
    <s v="BIZ"/>
    <n v="3000000"/>
    <n v="3"/>
    <n v="6.5000000000000002E-2"/>
    <s v="Monthly"/>
    <s v="Aroma"/>
    <s v="BAKO ASINA"/>
    <n v="30000"/>
    <n v="5000"/>
    <n v="60000"/>
    <n v="300000"/>
    <n v="585000"/>
    <n v="3"/>
    <n v="3585000"/>
    <n v="1195000"/>
    <n v="1195000"/>
    <n v="3585000"/>
    <n v="1000000"/>
    <n v="195000"/>
    <n v="585000"/>
    <d v="2022-02-17T00:00:00"/>
    <s v="Thu"/>
    <n v="31"/>
    <d v="2022-04-17T00:00:00"/>
    <n v="90"/>
    <s v="Expired"/>
    <n v="0"/>
    <n v="3"/>
    <n v="3585000"/>
    <n v="585000"/>
    <n v="3000000"/>
    <n v="0"/>
    <n v="585000"/>
    <n v="3000000"/>
    <n v="3585000"/>
    <n v="0"/>
    <n v="0"/>
    <n v="0"/>
    <s v=""/>
    <n v="0"/>
    <n v="0"/>
    <s v="Cleared"/>
    <s v="Ok"/>
  </r>
  <r>
    <d v="2022-01-17T00:00:00"/>
    <x v="88"/>
    <n v="408"/>
    <n v="3"/>
    <s v="BIZ"/>
    <n v="1600000"/>
    <n v="5"/>
    <n v="6.5000000000000002E-2"/>
    <s v="Weekly"/>
    <s v="Jerome"/>
    <s v="YAKANI CHARLES"/>
    <n v="25000"/>
    <n v="5000"/>
    <n v="32000"/>
    <n v="160000"/>
    <n v="520000"/>
    <n v="20"/>
    <n v="2120000"/>
    <n v="106000"/>
    <n v="106000"/>
    <n v="2120000"/>
    <n v="80000"/>
    <n v="26000"/>
    <n v="520000"/>
    <d v="2022-01-24T00:00:00"/>
    <s v="Mon"/>
    <n v="7"/>
    <d v="2022-06-17T00:00:00"/>
    <n v="151"/>
    <n v="131"/>
    <n v="20"/>
    <n v="18.714285714285715"/>
    <n v="1983714.2857142859"/>
    <n v="486571.42857142858"/>
    <n v="1497142.8571428573"/>
    <n v="136285.71428571409"/>
    <n v="72666.666666666657"/>
    <n v="851333.33333333337"/>
    <n v="924000"/>
    <n v="447333.33333333337"/>
    <n v="748666.66666666663"/>
    <n v="1196000"/>
    <n v="1059714.2857142859"/>
    <n v="9.9973045822102442"/>
    <n v="70"/>
    <s v="3.(61-90) Days"/>
    <s v="Ok"/>
  </r>
  <r>
    <d v="2022-01-17T00:00:00"/>
    <x v="201"/>
    <n v="407"/>
    <n v="2"/>
    <s v="BIZ"/>
    <n v="1000000"/>
    <n v="4"/>
    <n v="6.5000000000000002E-2"/>
    <s v="Weekly"/>
    <s v="Jerome"/>
    <s v="NAMUDDU MARY"/>
    <n v="20000"/>
    <n v="5000"/>
    <n v="20000"/>
    <n v="100000"/>
    <n v="260000"/>
    <n v="16"/>
    <n v="1260000"/>
    <n v="78750"/>
    <n v="79000"/>
    <n v="1264000"/>
    <n v="62500"/>
    <n v="16500"/>
    <n v="264000"/>
    <d v="2022-01-24T00:00:00"/>
    <s v="Mon"/>
    <n v="7"/>
    <d v="2022-05-17T00:00:00"/>
    <n v="120"/>
    <s v="Expired"/>
    <n v="0"/>
    <n v="16"/>
    <n v="1264000"/>
    <n v="264000"/>
    <n v="1000000"/>
    <n v="0"/>
    <n v="264000"/>
    <n v="1000000"/>
    <n v="1264000"/>
    <n v="0"/>
    <n v="0"/>
    <n v="0"/>
    <s v=""/>
    <n v="0"/>
    <n v="0"/>
    <s v="Cleared"/>
    <s v="Ok"/>
  </r>
  <r>
    <d v="2022-01-17T00:00:00"/>
    <x v="261"/>
    <n v="410"/>
    <n v="1"/>
    <s v="SFL"/>
    <n v="1400000"/>
    <n v="6"/>
    <n v="7.4999999999999997E-2"/>
    <s v="Monthly"/>
    <s v="Kana"/>
    <s v="TWAHA GBAGBE"/>
    <n v="25000"/>
    <n v="5000"/>
    <n v="28000"/>
    <n v="140000"/>
    <n v="630000"/>
    <n v="6"/>
    <n v="2030000"/>
    <n v="338333.33333333331"/>
    <n v="339000"/>
    <n v="2034000"/>
    <n v="233333.33333333334"/>
    <n v="105666.66666666666"/>
    <n v="634000"/>
    <d v="2022-02-17T00:00:00"/>
    <s v="Thu"/>
    <n v="31"/>
    <d v="2022-07-17T00:00:00"/>
    <n v="181"/>
    <n v="131"/>
    <n v="50"/>
    <n v="4.225806451612903"/>
    <n v="1432548.3870967741"/>
    <n v="446526.88172043004"/>
    <n v="986021.50537634408"/>
    <n v="601451.61290322593"/>
    <n v="442666.66666666663"/>
    <n v="867333.33333333349"/>
    <n v="1310000"/>
    <n v="191333.33333333337"/>
    <n v="532666.66666666651"/>
    <n v="723999.99999999988"/>
    <n v="122548.38709677395"/>
    <n v="0.36149966695213553"/>
    <n v="11"/>
    <s v="1.(0-30) Days"/>
    <s v="Ok"/>
  </r>
  <r>
    <d v="2022-01-20T00:00:00"/>
    <x v="79"/>
    <n v="413"/>
    <n v="3"/>
    <s v="BIZ"/>
    <n v="2500000"/>
    <n v="4"/>
    <n v="6.5000000000000002E-2"/>
    <s v="Monthly"/>
    <s v="Kana"/>
    <s v="CEASER SWALEH"/>
    <n v="30000"/>
    <n v="5000"/>
    <n v="50000"/>
    <n v="250000"/>
    <n v="650000"/>
    <n v="4"/>
    <n v="3150000"/>
    <n v="787500"/>
    <n v="788000"/>
    <n v="3152000"/>
    <n v="625000"/>
    <n v="163000"/>
    <n v="652000"/>
    <d v="2022-02-20T00:00:00"/>
    <s v="Sun"/>
    <n v="31"/>
    <d v="2022-05-20T00:00:00"/>
    <n v="120"/>
    <s v="Expired"/>
    <n v="0"/>
    <n v="4"/>
    <n v="3152000"/>
    <n v="652000"/>
    <n v="2500000"/>
    <n v="0"/>
    <n v="902000"/>
    <n v="981500"/>
    <n v="1883500"/>
    <n v="-250000"/>
    <n v="1518500"/>
    <n v="1268500"/>
    <n v="1268500"/>
    <n v="1.609771573604061"/>
    <n v="49"/>
    <s v="2.(31-60) Days"/>
    <s v="Error on Entry"/>
  </r>
  <r>
    <d v="2022-01-14T00:00:00"/>
    <x v="262"/>
    <n v="404"/>
    <n v="1"/>
    <s v="QUICK"/>
    <n v="800000"/>
    <n v="1"/>
    <n v="7.4999999999999997E-2"/>
    <s v="Monthly"/>
    <s v="Kana"/>
    <s v="SHAMIM ALIGAH"/>
    <n v="15000"/>
    <n v="5000"/>
    <n v="16000"/>
    <n v="80000"/>
    <n v="60000"/>
    <n v="1"/>
    <n v="860000"/>
    <n v="860000"/>
    <n v="860000"/>
    <n v="860000"/>
    <n v="800000"/>
    <n v="60000"/>
    <n v="60000"/>
    <d v="2022-02-14T00:00:00"/>
    <s v="Mon"/>
    <n v="31"/>
    <d v="2022-02-14T00:00:00"/>
    <n v="31"/>
    <s v="Expired"/>
    <n v="0"/>
    <n v="1"/>
    <n v="860000"/>
    <n v="60000"/>
    <n v="800000"/>
    <n v="0"/>
    <n v="60000"/>
    <n v="800000"/>
    <n v="860000"/>
    <n v="0"/>
    <n v="0"/>
    <n v="0"/>
    <s v=""/>
    <n v="0"/>
    <n v="0"/>
    <s v="Cleared"/>
    <s v="Ok"/>
  </r>
  <r>
    <d v="2022-01-25T00:00:00"/>
    <x v="23"/>
    <n v="415"/>
    <n v="2"/>
    <s v="STL"/>
    <n v="800000"/>
    <n v="7"/>
    <n v="2.5000000000000001E-2"/>
    <s v="Monthly"/>
    <s v="Kana"/>
    <s v="VITA JEROME"/>
    <n v="10000"/>
    <n v="0"/>
    <n v="8000"/>
    <n v="0"/>
    <n v="140000"/>
    <n v="7"/>
    <n v="940000"/>
    <n v="134285.71428571429"/>
    <n v="135000"/>
    <n v="945000"/>
    <n v="114285.71428571429"/>
    <n v="20714.28571428571"/>
    <n v="144999.99999999997"/>
    <d v="2022-02-25T00:00:00"/>
    <s v="Frid"/>
    <n v="31"/>
    <d v="2022-08-25T00:00:00"/>
    <n v="212"/>
    <n v="123"/>
    <n v="89"/>
    <n v="3.967741935483871"/>
    <n v="535645.16129032255"/>
    <n v="82188.940092165882"/>
    <n v="453456.22119815671"/>
    <n v="409354.83870967745"/>
    <n v="144999.99999999997"/>
    <n v="795000"/>
    <n v="940000"/>
    <n v="0"/>
    <n v="5000"/>
    <n v="5000"/>
    <s v=""/>
    <n v="0"/>
    <n v="0"/>
    <s v="Clean"/>
    <s v="Ok"/>
  </r>
  <r>
    <d v="2022-01-25T00:00:00"/>
    <x v="263"/>
    <n v="416"/>
    <n v="1"/>
    <s v="BIZ"/>
    <n v="1000000"/>
    <n v="6"/>
    <n v="6.5000000000000002E-2"/>
    <s v="Weekly"/>
    <s v="Jerome"/>
    <s v="DEPAYA MARY"/>
    <n v="20000"/>
    <n v="5000"/>
    <n v="20000"/>
    <n v="100000"/>
    <n v="390000"/>
    <n v="24"/>
    <n v="1390000"/>
    <n v="57916.666666666664"/>
    <n v="58000"/>
    <n v="1392000"/>
    <n v="41666.666666666664"/>
    <n v="16333.333333333336"/>
    <n v="392000.00000000006"/>
    <d v="2022-02-01T00:00:00"/>
    <s v="Tue"/>
    <n v="7"/>
    <d v="2022-07-25T00:00:00"/>
    <n v="181"/>
    <n v="123"/>
    <n v="58"/>
    <n v="17.571428571428573"/>
    <n v="1019142.8571428573"/>
    <n v="287000.00000000006"/>
    <n v="732142.85714285716"/>
    <n v="372857.14285714272"/>
    <n v="49000.000000000007"/>
    <n v="160999.99999999997"/>
    <n v="209999.99999999997"/>
    <n v="343000.00000000006"/>
    <n v="839000"/>
    <n v="1182000"/>
    <n v="809142.85714285728"/>
    <n v="13.95073891625616"/>
    <n v="98"/>
    <s v="4.(91-365) Days"/>
    <s v="Ok"/>
  </r>
  <r>
    <d v="2022-01-25T00:00:00"/>
    <x v="264"/>
    <n v="414"/>
    <n v="1"/>
    <s v="SFL"/>
    <n v="800000"/>
    <n v="5"/>
    <n v="7.4999999999999997E-2"/>
    <s v="Weekly"/>
    <s v="Kana"/>
    <s v="DRIWARU JANE"/>
    <n v="20000"/>
    <n v="5000"/>
    <n v="16000"/>
    <n v="80000"/>
    <n v="300000"/>
    <n v="20"/>
    <n v="1100000"/>
    <n v="55000"/>
    <n v="55000"/>
    <n v="1100000"/>
    <n v="40000"/>
    <n v="15000"/>
    <n v="300000"/>
    <d v="2022-02-01T00:00:00"/>
    <s v="Tue"/>
    <n v="7"/>
    <d v="2022-06-25T00:00:00"/>
    <n v="151"/>
    <n v="123"/>
    <n v="28"/>
    <n v="17.571428571428573"/>
    <n v="966428.57142857148"/>
    <n v="263571.42857142858"/>
    <n v="702857.14285714296"/>
    <n v="133571.42857142852"/>
    <n v="130000"/>
    <n v="265000"/>
    <n v="395000"/>
    <n v="170000"/>
    <n v="535000"/>
    <n v="705000"/>
    <n v="571428.57142857148"/>
    <n v="10.389610389610391"/>
    <n v="73"/>
    <s v="3.(61-90) Days"/>
    <s v="Ok"/>
  </r>
  <r>
    <d v="2022-01-29T00:00:00"/>
    <x v="1"/>
    <n v="418"/>
    <n v="3"/>
    <s v="BIZ"/>
    <n v="5000000"/>
    <n v="6"/>
    <n v="6.5000000000000002E-2"/>
    <s v="Monthly"/>
    <s v="Aroma"/>
    <s v="AMUTE BASHIR"/>
    <n v="30000"/>
    <n v="5000"/>
    <n v="100000"/>
    <n v="500000"/>
    <n v="1950000"/>
    <n v="6"/>
    <n v="6950000"/>
    <n v="1158333.3333333333"/>
    <n v="1159000"/>
    <n v="6954000"/>
    <n v="833333.33333333337"/>
    <n v="325666.66666666663"/>
    <n v="1953999.9999999998"/>
    <d v="2022-02-28T00:00:00"/>
    <s v="Mon"/>
    <n v="30"/>
    <d v="2022-07-29T00:00:00"/>
    <n v="181"/>
    <n v="119"/>
    <n v="62"/>
    <n v="3.9666666666666668"/>
    <n v="4597366.666666667"/>
    <n v="1291811.111111111"/>
    <n v="3305555.555555556"/>
    <n v="2356633.333333333"/>
    <n v="600000"/>
    <n v="0"/>
    <n v="600000"/>
    <n v="1353999.9999999998"/>
    <n v="5000000"/>
    <n v="6354000"/>
    <n v="3997366.666666667"/>
    <n v="3.4489790048892726"/>
    <n v="104"/>
    <s v="4.(91-365) Days"/>
    <s v="Ok"/>
  </r>
  <r>
    <d v="2022-01-29T00:00:00"/>
    <x v="265"/>
    <n v="419"/>
    <n v="1"/>
    <s v="BIZ"/>
    <n v="800000"/>
    <n v="6"/>
    <n v="6.5000000000000002E-2"/>
    <s v="Weekly"/>
    <s v="Jerome"/>
    <s v="DALILI HASSAN"/>
    <n v="20000"/>
    <n v="5000"/>
    <n v="16000"/>
    <n v="80000"/>
    <n v="312000"/>
    <n v="24"/>
    <n v="1112000"/>
    <n v="46333.333333333336"/>
    <n v="47000"/>
    <n v="1128000"/>
    <n v="33333.333333333336"/>
    <n v="13666.666666666664"/>
    <n v="327999.99999999994"/>
    <d v="2022-02-05T00:00:00"/>
    <s v="Sat"/>
    <n v="7"/>
    <d v="2022-07-29T00:00:00"/>
    <n v="181"/>
    <n v="119"/>
    <n v="62"/>
    <n v="17"/>
    <n v="799000"/>
    <n v="232333.33333333328"/>
    <n v="566666.66666666674"/>
    <n v="329000"/>
    <n v="123333.33333333328"/>
    <n v="254666.66666666674"/>
    <n v="378000"/>
    <n v="204666.66666666666"/>
    <n v="545333.33333333326"/>
    <n v="749999.99999999988"/>
    <n v="420999.99999999988"/>
    <n v="8.9574468085106353"/>
    <n v="63"/>
    <s v="3.(61-90) Days"/>
    <s v="Ok"/>
  </r>
  <r>
    <d v="2022-01-29T00:00:00"/>
    <x v="266"/>
    <n v="417"/>
    <n v="1"/>
    <s v="SFL"/>
    <n v="700000"/>
    <n v="3"/>
    <n v="7.4999999999999997E-2"/>
    <s v="Monthly"/>
    <s v="Kana"/>
    <s v="ARUBE PETER"/>
    <n v="20000"/>
    <n v="5000"/>
    <n v="14000"/>
    <n v="70000"/>
    <n v="157500"/>
    <n v="3"/>
    <n v="857500"/>
    <n v="285833.33333333331"/>
    <n v="286000"/>
    <n v="858000"/>
    <n v="233333.33333333334"/>
    <n v="52666.666666666657"/>
    <n v="157999.99999999997"/>
    <d v="2022-02-28T00:00:00"/>
    <s v="Mon"/>
    <n v="30"/>
    <d v="2022-04-29T00:00:00"/>
    <n v="90"/>
    <s v="Expired"/>
    <n v="0"/>
    <n v="3"/>
    <n v="858000"/>
    <n v="157999.99999999997"/>
    <n v="700000"/>
    <n v="0"/>
    <n v="105333.33333333331"/>
    <n v="434666.66666666669"/>
    <n v="540000"/>
    <n v="52666.666666666657"/>
    <n v="265333.33333333331"/>
    <n v="318000"/>
    <n v="318000"/>
    <n v="1.1118881118881119"/>
    <n v="34"/>
    <s v="2.(31-60) Days"/>
    <s v="Ok"/>
  </r>
  <r>
    <d v="2022-02-01T00:00:00"/>
    <x v="260"/>
    <n v="420"/>
    <n v="2"/>
    <s v="SFL"/>
    <n v="500000"/>
    <n v="1"/>
    <n v="7.4999999999999997E-2"/>
    <s v="Monthly"/>
    <s v="Aroma"/>
    <s v="PATRICK OKUONZI"/>
    <n v="15000"/>
    <n v="5000"/>
    <n v="10000"/>
    <n v="50000"/>
    <n v="37500"/>
    <n v="1"/>
    <n v="537500"/>
    <n v="537500"/>
    <n v="538000"/>
    <n v="538000"/>
    <n v="500000"/>
    <n v="38000"/>
    <n v="38000"/>
    <d v="2022-03-01T00:00:00"/>
    <s v="Tue"/>
    <n v="28"/>
    <d v="2022-03-01T00:00:00"/>
    <n v="28"/>
    <s v="Expired"/>
    <n v="0"/>
    <n v="1"/>
    <n v="538000"/>
    <n v="38000"/>
    <n v="500000"/>
    <n v="0"/>
    <n v="38000"/>
    <n v="500000"/>
    <n v="538000"/>
    <n v="0"/>
    <n v="0"/>
    <n v="0"/>
    <s v=""/>
    <n v="0"/>
    <n v="0"/>
    <s v="Cleared"/>
    <s v="Ok"/>
  </r>
  <r>
    <d v="2022-02-02T00:00:00"/>
    <x v="6"/>
    <n v="423"/>
    <n v="3"/>
    <s v="BIZ"/>
    <n v="600000"/>
    <n v="4"/>
    <n v="6.5000000000000002E-2"/>
    <s v="Monthly"/>
    <s v="Kana"/>
    <s v="TABAN DAVID YAYA"/>
    <n v="20000"/>
    <n v="5000"/>
    <n v="12000"/>
    <n v="60000"/>
    <n v="156000"/>
    <n v="4"/>
    <n v="756000"/>
    <n v="189000"/>
    <n v="189000"/>
    <n v="756000"/>
    <n v="150000"/>
    <n v="39000"/>
    <n v="156000"/>
    <d v="2022-03-02T00:00:00"/>
    <s v="Wed"/>
    <n v="28"/>
    <d v="2022-06-02T00:00:00"/>
    <n v="120"/>
    <n v="115"/>
    <n v="5"/>
    <n v="4.1071428571428568"/>
    <n v="776249.99999999988"/>
    <n v="160178.57142857142"/>
    <n v="616071.42857142852"/>
    <n v="-20249.999999999884"/>
    <n v="156000"/>
    <n v="600000"/>
    <n v="756000"/>
    <n v="0"/>
    <n v="0"/>
    <n v="0"/>
    <n v="20249.999999999884"/>
    <n v="0.10714285714285653"/>
    <n v="4"/>
    <s v="Cleared"/>
    <s v="Ok"/>
  </r>
  <r>
    <d v="2022-02-02T00:00:00"/>
    <x v="113"/>
    <n v="422"/>
    <n v="3"/>
    <s v="SLA"/>
    <n v="650000"/>
    <n v="2"/>
    <n v="7.4999999999999997E-2"/>
    <s v="Monthly"/>
    <s v="Kana"/>
    <s v="BADAKA GIFT JOEL"/>
    <n v="20000"/>
    <n v="5000"/>
    <n v="13000"/>
    <n v="65000"/>
    <n v="97500"/>
    <n v="2"/>
    <n v="747500"/>
    <n v="373750"/>
    <n v="374000"/>
    <n v="748000"/>
    <n v="325000"/>
    <n v="49000"/>
    <n v="98000"/>
    <d v="2022-03-02T00:00:00"/>
    <s v="Wed"/>
    <n v="28"/>
    <d v="2022-04-02T00:00:00"/>
    <n v="59"/>
    <s v="Expired"/>
    <n v="0"/>
    <n v="2"/>
    <n v="748000"/>
    <n v="98000"/>
    <n v="650000"/>
    <n v="0"/>
    <n v="98000"/>
    <n v="649600"/>
    <n v="747600"/>
    <n v="0"/>
    <n v="400"/>
    <n v="400"/>
    <n v="400"/>
    <n v="1.0695187165775401E-3"/>
    <n v="1"/>
    <s v="1.(0-30) Days"/>
    <s v="Ok"/>
  </r>
  <r>
    <d v="2022-02-02T00:00:00"/>
    <x v="204"/>
    <n v="421"/>
    <n v="6"/>
    <s v="BIZ"/>
    <n v="500000"/>
    <n v="4"/>
    <n v="6.5000000000000002E-2"/>
    <s v="Monthly"/>
    <s v="Aroma"/>
    <s v="DADA ISAAC"/>
    <n v="15000"/>
    <n v="5000"/>
    <n v="10000"/>
    <n v="50000"/>
    <n v="130000"/>
    <n v="4"/>
    <n v="630000"/>
    <n v="157500"/>
    <n v="158000"/>
    <n v="632000"/>
    <n v="125000"/>
    <n v="33000"/>
    <n v="132000"/>
    <d v="2022-03-02T00:00:00"/>
    <s v="Wed"/>
    <n v="28"/>
    <d v="2022-06-02T00:00:00"/>
    <n v="120"/>
    <n v="115"/>
    <n v="5"/>
    <n v="4.1071428571428568"/>
    <n v="648928.57142857136"/>
    <n v="135535.71428571426"/>
    <n v="513392.8571428571"/>
    <n v="-16928.571428571362"/>
    <n v="132000"/>
    <n v="499500"/>
    <n v="631500"/>
    <n v="0"/>
    <n v="500"/>
    <n v="500"/>
    <n v="17428.571428571362"/>
    <n v="0.11030741410488204"/>
    <n v="4"/>
    <s v="1.(0-30) Days"/>
    <s v="Ok"/>
  </r>
  <r>
    <d v="2022-02-04T00:00:00"/>
    <x v="40"/>
    <n v="426"/>
    <n v="3"/>
    <s v="BIZ"/>
    <n v="800000"/>
    <n v="5"/>
    <n v="6.5000000000000002E-2"/>
    <s v="Weekly"/>
    <s v="Kana"/>
    <s v="AJONYE DEBORA"/>
    <n v="20000"/>
    <n v="5000"/>
    <n v="16000"/>
    <n v="80000"/>
    <n v="260000"/>
    <n v="20"/>
    <n v="1060000"/>
    <n v="53000"/>
    <n v="53000"/>
    <n v="1060000"/>
    <n v="40000"/>
    <n v="13000"/>
    <n v="260000"/>
    <d v="2022-02-11T00:00:00"/>
    <s v="Frid"/>
    <n v="7"/>
    <d v="2022-07-04T00:00:00"/>
    <n v="150"/>
    <n v="113"/>
    <n v="37"/>
    <n v="16.142857142857142"/>
    <n v="855571.42857142852"/>
    <n v="209857.14285714284"/>
    <n v="645714.28571428568"/>
    <n v="204428.57142857148"/>
    <n v="191333.33333333331"/>
    <n v="496666.66666666669"/>
    <n v="688000"/>
    <n v="68666.666666666686"/>
    <n v="303333.33333333331"/>
    <n v="372000"/>
    <n v="167571.42857142852"/>
    <n v="3.161725067385444"/>
    <n v="23"/>
    <s v="1.(0-30) Days"/>
    <s v="Ok"/>
  </r>
  <r>
    <d v="2022-02-04T00:00:00"/>
    <x v="56"/>
    <n v="424"/>
    <n v="4"/>
    <s v="BIZ"/>
    <n v="4000000"/>
    <n v="1"/>
    <n v="6.5000000000000002E-2"/>
    <s v="Monthly"/>
    <s v="Jerome"/>
    <s v="DRANDUA JOB CHRISPUS"/>
    <n v="30000"/>
    <n v="5000"/>
    <n v="80000"/>
    <n v="400000"/>
    <n v="260000"/>
    <n v="1"/>
    <n v="4260000"/>
    <n v="4260000"/>
    <n v="4260000"/>
    <n v="4260000"/>
    <n v="4000000"/>
    <n v="260000"/>
    <n v="260000"/>
    <d v="2022-03-04T00:00:00"/>
    <s v="Frid"/>
    <n v="28"/>
    <d v="2022-03-04T00:00:00"/>
    <n v="28"/>
    <s v="Expired"/>
    <n v="0"/>
    <n v="1"/>
    <n v="4260000"/>
    <n v="260000"/>
    <n v="4000000"/>
    <n v="0"/>
    <n v="260000"/>
    <n v="4000000"/>
    <n v="4260000"/>
    <n v="0"/>
    <n v="0"/>
    <n v="0"/>
    <s v=""/>
    <n v="0"/>
    <n v="0"/>
    <s v="Cleared"/>
    <s v="Ok"/>
  </r>
  <r>
    <d v="2022-02-04T00:00:00"/>
    <x v="228"/>
    <n v="425"/>
    <n v="2"/>
    <s v="BIZ"/>
    <n v="500000"/>
    <n v="2"/>
    <n v="6.5000000000000002E-2"/>
    <s v="Monthly"/>
    <s v="Jerome"/>
    <s v="SIDA ZAINABU"/>
    <n v="15000"/>
    <n v="5000"/>
    <n v="10000"/>
    <n v="50000"/>
    <n v="65000"/>
    <n v="2"/>
    <n v="565000"/>
    <n v="282500"/>
    <n v="283000"/>
    <n v="566000"/>
    <n v="250000"/>
    <n v="33000"/>
    <n v="66000"/>
    <d v="2022-03-04T00:00:00"/>
    <s v="Frid"/>
    <n v="28"/>
    <d v="2022-04-04T00:00:00"/>
    <n v="59"/>
    <s v="Expired"/>
    <n v="0"/>
    <n v="2"/>
    <n v="566000"/>
    <n v="66000"/>
    <n v="500000"/>
    <n v="0"/>
    <n v="66000"/>
    <n v="499000"/>
    <n v="565000"/>
    <n v="0"/>
    <n v="1000"/>
    <n v="1000"/>
    <n v="1000"/>
    <n v="3.5335689045936395E-3"/>
    <n v="1"/>
    <s v="1.(0-30) Days"/>
    <s v="Ok"/>
  </r>
  <r>
    <d v="2022-02-07T00:00:00"/>
    <x v="249"/>
    <n v="428"/>
    <n v="2"/>
    <s v="STL"/>
    <n v="500000"/>
    <n v="2"/>
    <n v="2.5000000000000001E-2"/>
    <s v="Monthly"/>
    <s v="Kana"/>
    <s v="TABAN NICHOLAS"/>
    <n v="10000"/>
    <n v="0"/>
    <n v="5000"/>
    <n v="0"/>
    <n v="25000"/>
    <n v="2"/>
    <n v="525000"/>
    <n v="262500"/>
    <n v="263000"/>
    <n v="526000"/>
    <n v="250000"/>
    <n v="13000"/>
    <n v="26000"/>
    <d v="2022-03-07T00:00:00"/>
    <s v="Mon"/>
    <n v="28"/>
    <d v="2022-04-07T00:00:00"/>
    <n v="59"/>
    <s v="Expired"/>
    <n v="0"/>
    <n v="2"/>
    <n v="526000"/>
    <n v="26000"/>
    <n v="500000"/>
    <n v="0"/>
    <n v="26000"/>
    <n v="500000"/>
    <n v="526000"/>
    <n v="0"/>
    <n v="0"/>
    <n v="0"/>
    <s v=""/>
    <n v="0"/>
    <n v="0"/>
    <s v="Cleared"/>
    <s v="Ok"/>
  </r>
  <r>
    <d v="2022-02-07T00:00:00"/>
    <x v="8"/>
    <n v="427"/>
    <n v="3"/>
    <s v="BIZ"/>
    <n v="1000000"/>
    <n v="5"/>
    <n v="6.5000000000000002E-2"/>
    <s v="Weekly"/>
    <s v="Aroma"/>
    <s v="ANDEZO KEVIN"/>
    <n v="20000"/>
    <n v="5000"/>
    <n v="20000"/>
    <n v="100000"/>
    <n v="325000"/>
    <n v="20"/>
    <n v="1325000"/>
    <n v="66250"/>
    <n v="67000"/>
    <n v="1340000"/>
    <n v="50000"/>
    <n v="17000"/>
    <n v="340000"/>
    <d v="2022-02-14T00:00:00"/>
    <s v="Mon"/>
    <n v="7"/>
    <d v="2022-07-07T00:00:00"/>
    <n v="150"/>
    <n v="110"/>
    <n v="40"/>
    <n v="15.714285714285714"/>
    <n v="1052857.1428571427"/>
    <n v="267142.8571428571"/>
    <n v="785714.28571428568"/>
    <n v="287142.85714285728"/>
    <n v="15000"/>
    <n v="52000"/>
    <n v="67000"/>
    <n v="325000"/>
    <n v="948000"/>
    <n v="1273000"/>
    <n v="985857.14285714272"/>
    <n v="14.714285714285712"/>
    <n v="103"/>
    <s v="4.(91-365) Days"/>
    <s v="Ok"/>
  </r>
  <r>
    <d v="2022-02-07T00:00:00"/>
    <x v="118"/>
    <n v="430"/>
    <n v="3"/>
    <s v="SLA"/>
    <n v="600000"/>
    <n v="1"/>
    <n v="7.4999999999999997E-2"/>
    <s v="Monthly"/>
    <s v="Jerome"/>
    <s v="STELLA KONGAI"/>
    <n v="20000"/>
    <n v="5000"/>
    <n v="12000"/>
    <n v="60000"/>
    <n v="45000"/>
    <n v="1"/>
    <n v="645000"/>
    <n v="645000"/>
    <n v="645000"/>
    <n v="645000"/>
    <n v="600000"/>
    <n v="45000"/>
    <n v="45000"/>
    <d v="2022-03-07T00:00:00"/>
    <s v="Mon"/>
    <n v="28"/>
    <d v="2022-03-07T00:00:00"/>
    <n v="28"/>
    <s v="Expired"/>
    <n v="0"/>
    <n v="1"/>
    <n v="645000"/>
    <n v="45000"/>
    <n v="600000"/>
    <n v="0"/>
    <n v="45000"/>
    <n v="600000"/>
    <n v="645000"/>
    <n v="0"/>
    <n v="0"/>
    <n v="0"/>
    <s v=""/>
    <n v="0"/>
    <n v="0"/>
    <s v="Cleared"/>
    <s v="Ok"/>
  </r>
  <r>
    <d v="2022-02-07T00:00:00"/>
    <x v="232"/>
    <n v="429"/>
    <n v="2"/>
    <s v="BIZ"/>
    <n v="250000"/>
    <n v="2"/>
    <n v="6.5000000000000002E-2"/>
    <s v="Monthly"/>
    <s v="Jerome"/>
    <s v="AMANIYO STELLA"/>
    <n v="15000"/>
    <n v="5000"/>
    <n v="5000"/>
    <n v="25000"/>
    <n v="32500"/>
    <n v="2"/>
    <n v="282500"/>
    <n v="141250"/>
    <n v="142000"/>
    <n v="284000"/>
    <n v="125000"/>
    <n v="17000"/>
    <n v="34000"/>
    <d v="2022-03-07T00:00:00"/>
    <s v="Mon"/>
    <n v="28"/>
    <d v="2022-04-07T00:00:00"/>
    <n v="59"/>
    <s v="Expired"/>
    <n v="0"/>
    <n v="2"/>
    <n v="284000"/>
    <n v="34000"/>
    <n v="250000"/>
    <n v="0"/>
    <n v="34000"/>
    <n v="248600"/>
    <n v="282600"/>
    <n v="0"/>
    <n v="1400"/>
    <n v="1400"/>
    <n v="1400"/>
    <n v="9.8591549295774655E-3"/>
    <n v="1"/>
    <s v="1.(0-30) Days"/>
    <s v="Ok"/>
  </r>
  <r>
    <d v="2022-02-08T00:00:00"/>
    <x v="267"/>
    <n v="431"/>
    <n v="1"/>
    <s v="SLA"/>
    <n v="700000"/>
    <n v="2"/>
    <n v="7.4999999999999997E-2"/>
    <s v="Monthly"/>
    <s v="Aroma"/>
    <s v="ANDERU MONICA"/>
    <n v="20000"/>
    <n v="5000"/>
    <n v="14000"/>
    <n v="70000"/>
    <n v="105000"/>
    <n v="2"/>
    <n v="805000"/>
    <n v="402500"/>
    <n v="403000"/>
    <n v="806000"/>
    <n v="350000"/>
    <n v="53000"/>
    <n v="106000"/>
    <d v="2022-03-08T00:00:00"/>
    <s v="Tue"/>
    <n v="28"/>
    <d v="2022-04-08T00:00:00"/>
    <n v="59"/>
    <s v="Expired"/>
    <n v="0"/>
    <n v="2"/>
    <n v="806000"/>
    <n v="106000"/>
    <n v="700000"/>
    <n v="0"/>
    <n v="106000"/>
    <n v="700000"/>
    <n v="806000"/>
    <n v="0"/>
    <n v="0"/>
    <n v="0"/>
    <s v=""/>
    <n v="0"/>
    <n v="0"/>
    <s v="Cleared"/>
    <s v="Ok"/>
  </r>
  <r>
    <d v="2022-02-09T00:00:00"/>
    <x v="58"/>
    <n v="432"/>
    <n v="3"/>
    <s v="BIZ"/>
    <n v="900000"/>
    <n v="5"/>
    <n v="6.5000000000000002E-2"/>
    <s v="Weekly"/>
    <s v="Aroma"/>
    <s v="AKANDU NIGHT YONGORO"/>
    <n v="20000"/>
    <n v="5000"/>
    <n v="18000"/>
    <n v="90000"/>
    <n v="292500"/>
    <n v="20"/>
    <n v="1192500"/>
    <n v="59625"/>
    <n v="60000"/>
    <n v="1200000"/>
    <n v="45000"/>
    <n v="15000"/>
    <n v="300000"/>
    <d v="2022-02-16T00:00:00"/>
    <s v="Wed"/>
    <n v="7"/>
    <d v="2022-07-09T00:00:00"/>
    <n v="150"/>
    <n v="108"/>
    <n v="42"/>
    <n v="15.428571428571429"/>
    <n v="925714.28571428568"/>
    <n v="231428.57142857142"/>
    <n v="694285.71428571432"/>
    <n v="274285.71428571432"/>
    <n v="75000"/>
    <n v="463700"/>
    <n v="538700"/>
    <n v="225000"/>
    <n v="436300"/>
    <n v="661300"/>
    <n v="387014.28571428568"/>
    <n v="6.4502380952380944"/>
    <n v="46"/>
    <s v="2.(31-60) Days"/>
    <s v="Ok"/>
  </r>
  <r>
    <d v="2022-02-12T00:00:00"/>
    <x v="268"/>
    <n v="436"/>
    <n v="1"/>
    <s v="STL"/>
    <n v="1800000"/>
    <n v="12"/>
    <n v="2.5000000000000001E-2"/>
    <s v="Monthly"/>
    <s v="Jerome"/>
    <s v="KANA GIFT"/>
    <n v="10000"/>
    <n v="0"/>
    <n v="18000"/>
    <n v="0"/>
    <n v="540000"/>
    <n v="12"/>
    <n v="2340000"/>
    <n v="195000"/>
    <n v="195000"/>
    <n v="2340000"/>
    <n v="150000"/>
    <n v="45000"/>
    <n v="540000"/>
    <d v="2022-03-12T00:00:00"/>
    <s v="Sat"/>
    <n v="28"/>
    <d v="2023-02-12T00:00:00"/>
    <n v="365"/>
    <n v="105"/>
    <n v="260"/>
    <n v="3.75"/>
    <n v="731250"/>
    <n v="168750"/>
    <n v="562500"/>
    <n v="1608750"/>
    <n v="135000"/>
    <n v="450000"/>
    <n v="585000"/>
    <n v="405000"/>
    <n v="1350000"/>
    <n v="1755000"/>
    <n v="146250"/>
    <n v="0.75"/>
    <n v="23"/>
    <s v="1.(0-30) Days"/>
    <s v="Ok"/>
  </r>
  <r>
    <d v="2022-02-12T00:00:00"/>
    <x v="144"/>
    <n v="434"/>
    <n v="3"/>
    <s v="BIZ"/>
    <n v="1200000"/>
    <n v="5"/>
    <n v="6.5000000000000002E-2"/>
    <s v="Monthly"/>
    <s v="Jerome"/>
    <s v="DRICIRU MARGRET"/>
    <n v="25000"/>
    <n v="5000"/>
    <n v="24000"/>
    <n v="120000"/>
    <n v="390000"/>
    <n v="5"/>
    <n v="1590000"/>
    <n v="318000"/>
    <n v="318000"/>
    <n v="1590000"/>
    <n v="240000"/>
    <n v="78000"/>
    <n v="390000"/>
    <d v="2022-03-12T00:00:00"/>
    <s v="Sat"/>
    <n v="28"/>
    <d v="2022-07-12T00:00:00"/>
    <n v="150"/>
    <n v="105"/>
    <n v="45"/>
    <n v="3.75"/>
    <n v="1192500"/>
    <n v="292500"/>
    <n v="900000"/>
    <n v="397500"/>
    <n v="234000"/>
    <n v="720000"/>
    <n v="954000"/>
    <n v="156000"/>
    <n v="480000"/>
    <n v="636000"/>
    <n v="238500"/>
    <n v="0.75"/>
    <n v="23"/>
    <s v="1.(0-30) Days"/>
    <s v="Ok"/>
  </r>
  <r>
    <d v="2022-02-12T00:00:00"/>
    <x v="160"/>
    <n v="433"/>
    <n v="2"/>
    <s v="BIZ"/>
    <n v="150000"/>
    <n v="1"/>
    <n v="6.5000000000000002E-2"/>
    <s v="Weekly"/>
    <s v="Aroma"/>
    <s v="ZUBEDA WAIGA"/>
    <n v="15000"/>
    <n v="5000"/>
    <n v="3000"/>
    <n v="15000"/>
    <n v="9750"/>
    <n v="4"/>
    <n v="159750"/>
    <n v="39937.5"/>
    <n v="40000"/>
    <n v="160000"/>
    <n v="37500"/>
    <n v="2500"/>
    <n v="10000"/>
    <d v="2022-02-19T00:00:00"/>
    <s v="Sat"/>
    <n v="7"/>
    <d v="2022-03-12T00:00:00"/>
    <n v="28"/>
    <s v="Expired"/>
    <n v="0"/>
    <n v="4"/>
    <n v="160000"/>
    <n v="10000"/>
    <n v="150000"/>
    <n v="0"/>
    <n v="10000"/>
    <n v="149800"/>
    <n v="159800"/>
    <n v="0"/>
    <n v="200"/>
    <n v="200"/>
    <n v="200"/>
    <n v="5.0000000000000001E-3"/>
    <n v="1"/>
    <s v="1.(0-30) Days"/>
    <s v="Ok"/>
  </r>
  <r>
    <d v="2022-02-12T00:00:00"/>
    <x v="251"/>
    <n v="435"/>
    <n v="2"/>
    <s v="SFL"/>
    <n v="600000"/>
    <n v="3"/>
    <n v="7.4999999999999997E-2"/>
    <s v="Monthly"/>
    <s v="Jerome"/>
    <s v="AJOBE SAMUEL"/>
    <n v="20000"/>
    <n v="5000"/>
    <n v="12000"/>
    <n v="60000"/>
    <n v="135000"/>
    <n v="3"/>
    <n v="735000"/>
    <n v="245000"/>
    <n v="245000"/>
    <n v="735000"/>
    <n v="200000"/>
    <n v="45000"/>
    <n v="135000"/>
    <d v="2022-03-12T00:00:00"/>
    <s v="Sat"/>
    <n v="28"/>
    <d v="2022-05-12T00:00:00"/>
    <n v="89"/>
    <s v="Expired"/>
    <n v="0"/>
    <n v="3"/>
    <n v="735000"/>
    <n v="135000"/>
    <n v="600000"/>
    <n v="0"/>
    <n v="135000"/>
    <n v="215000"/>
    <n v="350000"/>
    <n v="0"/>
    <n v="385000"/>
    <n v="385000"/>
    <n v="385000"/>
    <n v="1.5714285714285714"/>
    <n v="48"/>
    <s v="2.(31-60) Days"/>
    <s v="Ok"/>
  </r>
  <r>
    <d v="2022-02-21T00:00:00"/>
    <x v="38"/>
    <n v="437"/>
    <n v="3"/>
    <s v="BIZ"/>
    <n v="4000000"/>
    <n v="1"/>
    <n v="6.5000000000000002E-2"/>
    <s v="Monthly"/>
    <s v="Jerome"/>
    <s v="AYIKORU HARIET BAUDI"/>
    <n v="30000"/>
    <n v="5000"/>
    <n v="80000"/>
    <n v="400000"/>
    <n v="260000"/>
    <n v="1"/>
    <n v="4260000"/>
    <n v="4260000"/>
    <n v="4260000"/>
    <n v="4260000"/>
    <n v="4000000"/>
    <n v="260000"/>
    <n v="260000"/>
    <d v="2022-03-21T00:00:00"/>
    <s v="Mon"/>
    <n v="28"/>
    <d v="2022-03-21T00:00:00"/>
    <n v="28"/>
    <s v="Expired"/>
    <n v="0"/>
    <n v="1"/>
    <n v="4260000"/>
    <n v="260000"/>
    <n v="4000000"/>
    <n v="0"/>
    <n v="260000"/>
    <n v="4000000"/>
    <n v="4260000"/>
    <n v="0"/>
    <n v="0"/>
    <n v="0"/>
    <s v=""/>
    <n v="0"/>
    <n v="0"/>
    <s v="Cleared"/>
    <s v="Ok"/>
  </r>
  <r>
    <d v="2022-02-18T00:00:00"/>
    <x v="198"/>
    <n v="438"/>
    <n v="2"/>
    <s v="SLA"/>
    <n v="150000"/>
    <n v="1"/>
    <n v="7.4999999999999997E-2"/>
    <s v="Monthly"/>
    <s v="Jerome"/>
    <s v="CHANDIGA CYRUS"/>
    <n v="15000"/>
    <n v="5000"/>
    <n v="3000"/>
    <n v="15000"/>
    <n v="11250"/>
    <n v="1"/>
    <n v="161250"/>
    <n v="161250"/>
    <n v="162000"/>
    <n v="162000"/>
    <n v="150000"/>
    <n v="12000"/>
    <n v="12000"/>
    <d v="2022-03-18T00:00:00"/>
    <s v="Frid"/>
    <n v="28"/>
    <d v="2022-03-18T00:00:00"/>
    <n v="28"/>
    <s v="Expired"/>
    <n v="0"/>
    <n v="1"/>
    <n v="162000"/>
    <n v="12000"/>
    <n v="150000"/>
    <n v="0"/>
    <n v="24000"/>
    <n v="137300"/>
    <n v="161300"/>
    <n v="-12000"/>
    <n v="12700"/>
    <n v="700"/>
    <n v="700"/>
    <n v="4.3209876543209872E-3"/>
    <n v="1"/>
    <s v="1.(0-30) Days"/>
    <s v="Error on Entry"/>
  </r>
  <r>
    <d v="2022-02-18T00:00:00"/>
    <x v="262"/>
    <n v="439"/>
    <n v="2"/>
    <s v="BIZ"/>
    <n v="1500000"/>
    <n v="1"/>
    <n v="6.5000000000000002E-2"/>
    <s v="Monthly"/>
    <s v="Kana"/>
    <s v="SHAMIM ALIGAH"/>
    <n v="25000"/>
    <n v="5000"/>
    <n v="30000"/>
    <n v="150000"/>
    <n v="97500"/>
    <n v="1"/>
    <n v="1597500"/>
    <n v="1597500"/>
    <n v="1598000"/>
    <n v="1598000"/>
    <n v="1500000"/>
    <n v="98000"/>
    <n v="98000"/>
    <d v="2022-03-18T00:00:00"/>
    <s v="Frid"/>
    <n v="28"/>
    <d v="2022-03-18T00:00:00"/>
    <n v="28"/>
    <s v="Expired"/>
    <n v="0"/>
    <n v="1"/>
    <n v="1598000"/>
    <n v="98000"/>
    <n v="1500000"/>
    <n v="0"/>
    <n v="98000"/>
    <n v="1499500"/>
    <n v="1597500"/>
    <n v="0"/>
    <n v="500"/>
    <n v="500"/>
    <n v="500"/>
    <n v="3.1289111389236547E-4"/>
    <n v="1"/>
    <s v="1.(0-30) Days"/>
    <s v="Ok"/>
  </r>
  <r>
    <d v="2022-02-23T00:00:00"/>
    <x v="165"/>
    <n v="440"/>
    <n v="2"/>
    <s v="BIZ"/>
    <n v="400000"/>
    <n v="3"/>
    <n v="6.5000000000000002E-2"/>
    <s v="Weekly"/>
    <s v="Jerome"/>
    <s v="NIGHT AMINA HUSSEIN"/>
    <n v="15000"/>
    <n v="5000"/>
    <n v="8000"/>
    <n v="40000"/>
    <n v="78000"/>
    <n v="12"/>
    <n v="478000"/>
    <n v="39833.333333333336"/>
    <n v="40000"/>
    <n v="480000"/>
    <n v="33333.333333333336"/>
    <n v="6666.6666666666642"/>
    <n v="79999.999999999971"/>
    <d v="2022-03-02T00:00:00"/>
    <s v="Wed"/>
    <n v="7"/>
    <d v="2022-05-23T00:00:00"/>
    <n v="89"/>
    <s v="Expired"/>
    <n v="0"/>
    <n v="12"/>
    <n v="480000"/>
    <n v="79999.999999999971"/>
    <n v="400000"/>
    <n v="0"/>
    <n v="6666.6666666666642"/>
    <n v="233333.33333333334"/>
    <n v="240000"/>
    <n v="73333.333333333314"/>
    <n v="166666.66666666666"/>
    <n v="239999.99999999997"/>
    <n v="239999.99999999997"/>
    <n v="5.9999999999999991"/>
    <n v="42"/>
    <s v="2.(31-60) Days"/>
    <s v="Ok"/>
  </r>
  <r>
    <d v="2022-02-23T00:00:00"/>
    <x v="188"/>
    <n v="441"/>
    <n v="2"/>
    <s v="BIZ"/>
    <n v="700000"/>
    <n v="6"/>
    <n v="6.5000000000000002E-2"/>
    <s v="Weekly"/>
    <s v="Jerome"/>
    <s v="ANGAIKA SAID"/>
    <n v="20000"/>
    <n v="5000"/>
    <n v="14000"/>
    <n v="70000"/>
    <n v="273000"/>
    <n v="24"/>
    <n v="973000"/>
    <n v="40541.666666666664"/>
    <n v="41000"/>
    <n v="984000"/>
    <n v="29166.666666666668"/>
    <n v="11833.333333333332"/>
    <n v="284000"/>
    <d v="2022-03-02T00:00:00"/>
    <s v="Wed"/>
    <n v="7"/>
    <d v="2022-08-23T00:00:00"/>
    <n v="181"/>
    <n v="94"/>
    <n v="87"/>
    <n v="13.428571428571429"/>
    <n v="550571.42857142864"/>
    <n v="158904.76190476189"/>
    <n v="391666.66666666669"/>
    <n v="433428.57142857136"/>
    <n v="106499.99999999997"/>
    <n v="242099.99999999997"/>
    <n v="348599.99999999994"/>
    <n v="177500.00000000003"/>
    <n v="457900"/>
    <n v="635400"/>
    <n v="201971.42857142864"/>
    <n v="4.9261324041811863"/>
    <n v="35"/>
    <s v="2.(31-60) Days"/>
    <s v="Ok"/>
  </r>
  <r>
    <d v="2022-02-23T00:00:00"/>
    <x v="90"/>
    <n v="442"/>
    <n v="4"/>
    <s v="BIZ"/>
    <n v="1000000"/>
    <n v="2"/>
    <n v="6.5000000000000002E-2"/>
    <s v="Monthly"/>
    <s v="Kana"/>
    <s v="BEATRICE AMANDRU"/>
    <n v="20000"/>
    <n v="5000"/>
    <n v="20000"/>
    <n v="100000"/>
    <n v="130000"/>
    <n v="2"/>
    <n v="1130000"/>
    <n v="565000"/>
    <n v="565000"/>
    <n v="1130000"/>
    <n v="500000"/>
    <n v="65000"/>
    <n v="130000"/>
    <d v="2022-03-23T00:00:00"/>
    <s v="Wed"/>
    <n v="28"/>
    <d v="2022-04-23T00:00:00"/>
    <n v="59"/>
    <s v="Expired"/>
    <n v="0"/>
    <n v="2"/>
    <n v="1130000"/>
    <n v="130000"/>
    <n v="1000000"/>
    <n v="0"/>
    <n v="260000"/>
    <n v="140000"/>
    <n v="400000"/>
    <n v="-130000"/>
    <n v="860000"/>
    <n v="730000"/>
    <n v="730000"/>
    <n v="1.2920353982300885"/>
    <n v="39"/>
    <s v="2.(31-60) Days"/>
    <s v="Error on Entry"/>
  </r>
  <r>
    <d v="2022-02-28T00:00:00"/>
    <x v="0"/>
    <n v="443"/>
    <n v="2"/>
    <s v="BIZ"/>
    <n v="2000000"/>
    <n v="6"/>
    <n v="6.5000000000000002E-2"/>
    <s v="Weekly"/>
    <s v="Kana"/>
    <s v="YEKA ARIJABU"/>
    <n v="25000"/>
    <n v="5000"/>
    <n v="40000"/>
    <n v="200000"/>
    <n v="780000"/>
    <n v="24"/>
    <n v="2780000"/>
    <n v="115833.33333333333"/>
    <n v="116000"/>
    <n v="2784000"/>
    <n v="83333.333333333328"/>
    <n v="32666.666666666672"/>
    <n v="784000.00000000012"/>
    <d v="2022-03-07T00:00:00"/>
    <s v="Mon"/>
    <n v="7"/>
    <d v="2022-08-28T00:00:00"/>
    <n v="181"/>
    <n v="89"/>
    <n v="92"/>
    <n v="12.714285714285714"/>
    <n v="1474857.1428571427"/>
    <n v="415333.33333333337"/>
    <n v="1059523.8095238095"/>
    <n v="1309142.8571428573"/>
    <n v="359333.33333333349"/>
    <n v="695666.66666666663"/>
    <n v="1055000"/>
    <n v="424666.66666666663"/>
    <n v="1304333.3333333335"/>
    <n v="1729000"/>
    <n v="419857.14285714272"/>
    <n v="3.6194581280788167"/>
    <n v="26"/>
    <s v="1.(0-30) Days"/>
    <s v="Ok"/>
  </r>
  <r>
    <d v="2022-02-28T00:00:00"/>
    <x v="133"/>
    <n v="444"/>
    <n v="2"/>
    <s v="BIZ"/>
    <n v="1500000"/>
    <n v="6"/>
    <n v="6.5000000000000002E-2"/>
    <s v="Weekly"/>
    <s v="Aroma"/>
    <s v="EFIT GIFT"/>
    <n v="25000"/>
    <n v="5000"/>
    <n v="30000"/>
    <n v="150000"/>
    <n v="585000"/>
    <n v="24"/>
    <n v="2085000"/>
    <n v="86875"/>
    <n v="87000"/>
    <n v="2088000"/>
    <n v="62500"/>
    <n v="24500"/>
    <n v="588000"/>
    <d v="2022-03-07T00:00:00"/>
    <s v="Mon"/>
    <n v="7"/>
    <d v="2022-08-28T00:00:00"/>
    <n v="181"/>
    <n v="89"/>
    <n v="92"/>
    <n v="12.714285714285714"/>
    <n v="1106142.857142857"/>
    <n v="311500"/>
    <n v="794642.85714285704"/>
    <n v="981857.14285714296"/>
    <n v="196000"/>
    <n v="514000"/>
    <n v="710000"/>
    <n v="392000"/>
    <n v="986000"/>
    <n v="1378000"/>
    <n v="396142.85714285704"/>
    <n v="4.553366174055828"/>
    <n v="32"/>
    <s v="2.(31-60) Days"/>
    <s v="Ok"/>
  </r>
  <r>
    <d v="2022-03-01T00:00:00"/>
    <x v="76"/>
    <n v="445"/>
    <n v="4"/>
    <s v="SLA"/>
    <n v="1500000"/>
    <n v="3"/>
    <n v="7.4999999999999997E-2"/>
    <s v="Monthly"/>
    <s v="Jerome"/>
    <s v="OGWAL STEPHEN GERALD"/>
    <n v="25000"/>
    <n v="5000"/>
    <n v="30000"/>
    <n v="150000"/>
    <n v="337500"/>
    <n v="3"/>
    <n v="1837500"/>
    <n v="612500"/>
    <n v="613000"/>
    <n v="1839000"/>
    <n v="500000"/>
    <n v="113000"/>
    <n v="339000"/>
    <d v="2022-04-01T00:00:00"/>
    <s v="Frid"/>
    <n v="31"/>
    <d v="2022-06-01T00:00:00"/>
    <n v="92"/>
    <n v="88"/>
    <n v="4"/>
    <n v="2.838709677419355"/>
    <n v="1740129.0322580647"/>
    <n v="320774.19354838709"/>
    <n v="1419354.8387096776"/>
    <n v="98870.967741935281"/>
    <n v="226000"/>
    <n v="997000"/>
    <n v="1223000"/>
    <n v="113000"/>
    <n v="503000"/>
    <n v="616000"/>
    <n v="517129.03225806472"/>
    <n v="0.843603641530285"/>
    <n v="26"/>
    <s v="1.(0-30) Days"/>
    <s v="Ok"/>
  </r>
  <r>
    <d v="2021-09-14T00:00:00"/>
    <x v="99"/>
    <n v="104"/>
    <n v="2"/>
    <s v="BIZ"/>
    <n v="400000"/>
    <n v="4"/>
    <n v="0.05"/>
    <s v="Monthly"/>
    <s v="Kana"/>
    <s v="ORODRIYO  NUSURA"/>
    <n v="15000"/>
    <n v="5000"/>
    <n v="4000"/>
    <n v="40000"/>
    <n v="80000"/>
    <n v="4"/>
    <n v="480000"/>
    <n v="120000"/>
    <n v="120000"/>
    <n v="480000"/>
    <n v="100000"/>
    <n v="20000"/>
    <n v="80000"/>
    <d v="2021-10-14T00:00:00"/>
    <s v="Thu"/>
    <n v="30"/>
    <d v="2022-01-14T00:00:00"/>
    <n v="122"/>
    <s v="Expired"/>
    <n v="0"/>
    <n v="4"/>
    <n v="480000"/>
    <n v="80000"/>
    <n v="400000"/>
    <n v="0"/>
    <n v="80000"/>
    <n v="400000"/>
    <n v="480000"/>
    <n v="0"/>
    <n v="0"/>
    <n v="0"/>
    <s v=""/>
    <n v="0"/>
    <n v="0"/>
    <s v="Cleared"/>
    <s v="Ok"/>
  </r>
  <r>
    <d v="2022-03-03T00:00:00"/>
    <x v="269"/>
    <n v="446"/>
    <n v="1"/>
    <s v="BIZ"/>
    <n v="2200000"/>
    <n v="6"/>
    <n v="6.5000000000000002E-2"/>
    <s v="Monthly"/>
    <s v="Aroma"/>
    <s v="AJUKI HARRIET"/>
    <n v="30000"/>
    <n v="5000"/>
    <n v="44000"/>
    <n v="220000"/>
    <n v="858000"/>
    <n v="6"/>
    <n v="3058000"/>
    <n v="509666.66666666669"/>
    <n v="510000"/>
    <n v="3060000"/>
    <n v="366666.66666666669"/>
    <n v="143333.33333333331"/>
    <n v="859999.99999999988"/>
    <d v="2022-04-03T00:00:00"/>
    <s v="Sun"/>
    <n v="31"/>
    <d v="2022-09-03T00:00:00"/>
    <n v="184"/>
    <n v="86"/>
    <n v="98"/>
    <n v="2.774193548387097"/>
    <n v="1414838.7096774194"/>
    <n v="397634.40860215051"/>
    <n v="1017204.301075269"/>
    <n v="1645161.2903225806"/>
    <n v="286666.66666666663"/>
    <n v="733333.33333333337"/>
    <n v="1020000"/>
    <n v="573333.33333333326"/>
    <n v="1466666.6666666665"/>
    <n v="2039999.9999999998"/>
    <n v="394838.70967741916"/>
    <n v="0.77419354838709642"/>
    <n v="24"/>
    <s v="1.(0-30) Days"/>
    <s v="Ok"/>
  </r>
  <r>
    <d v="2022-03-03T00:00:00"/>
    <x v="69"/>
    <n v="447"/>
    <n v="3"/>
    <s v="BIZ"/>
    <n v="200000"/>
    <n v="4"/>
    <n v="6.5000000000000002E-2"/>
    <s v="Weekly"/>
    <s v="Aroma"/>
    <s v="YUKUWE AISHA"/>
    <n v="15000"/>
    <n v="5000"/>
    <n v="4000"/>
    <n v="20000"/>
    <n v="52000"/>
    <n v="16"/>
    <n v="252000"/>
    <n v="15750"/>
    <n v="16000"/>
    <n v="256000"/>
    <n v="12500"/>
    <n v="3500"/>
    <n v="56000"/>
    <d v="2022-03-10T00:00:00"/>
    <s v="Thu"/>
    <n v="7"/>
    <d v="2022-07-03T00:00:00"/>
    <n v="122"/>
    <n v="86"/>
    <n v="36"/>
    <n v="12.285714285714286"/>
    <n v="196571.42857142858"/>
    <n v="43000"/>
    <n v="153571.42857142858"/>
    <n v="59428.57142857142"/>
    <n v="38500"/>
    <n v="136500"/>
    <n v="175000"/>
    <n v="17500"/>
    <n v="63500"/>
    <n v="81000"/>
    <n v="21571.42857142858"/>
    <n v="1.3482142857142863"/>
    <n v="10"/>
    <s v="1.(0-30) Days"/>
    <s v="Ok"/>
  </r>
  <r>
    <d v="2022-03-03T00:00:00"/>
    <x v="270"/>
    <n v="448"/>
    <n v="1"/>
    <s v="BIZ"/>
    <n v="400000"/>
    <n v="3"/>
    <n v="6.5000000000000002E-2"/>
    <s v="Weekly"/>
    <s v="Jerome"/>
    <s v="MUNGUFENI RAMSEY"/>
    <n v="15000"/>
    <n v="5000"/>
    <n v="8000"/>
    <n v="40000"/>
    <n v="78000"/>
    <n v="12"/>
    <n v="478000"/>
    <n v="39833.333333333336"/>
    <n v="40000"/>
    <n v="480000"/>
    <n v="33333.333333333336"/>
    <n v="6666.6666666666642"/>
    <n v="79999.999999999971"/>
    <d v="2022-03-10T00:00:00"/>
    <s v="Thu"/>
    <n v="7"/>
    <d v="2022-06-03T00:00:00"/>
    <n v="92"/>
    <n v="86"/>
    <n v="6"/>
    <n v="12.285714285714286"/>
    <n v="491428.57142857148"/>
    <n v="81904.761904761879"/>
    <n v="409523.80952380958"/>
    <n v="-11428.571428571478"/>
    <n v="6666.6666666666642"/>
    <n v="93333.333333333343"/>
    <n v="100000"/>
    <n v="73333.333333333314"/>
    <n v="306666.66666666663"/>
    <n v="379999.99999999994"/>
    <n v="391428.57142857142"/>
    <n v="9.7857142857142847"/>
    <n v="69"/>
    <s v="3.(61-90) Days"/>
    <s v="Ok"/>
  </r>
  <r>
    <d v="2022-03-05T00:00:00"/>
    <x v="271"/>
    <n v="449"/>
    <n v="1"/>
    <s v="BIZ"/>
    <n v="2000000"/>
    <n v="2"/>
    <n v="6.5000000000000002E-2"/>
    <s v="Monthly"/>
    <s v="Kana"/>
    <s v="AGOTIA JOYCE"/>
    <n v="25000"/>
    <n v="5000"/>
    <n v="40000"/>
    <n v="200000"/>
    <n v="260000"/>
    <n v="2"/>
    <n v="2260000"/>
    <n v="1130000"/>
    <n v="1130000"/>
    <n v="2260000"/>
    <n v="1000000"/>
    <n v="130000"/>
    <n v="260000"/>
    <d v="2022-04-05T00:00:00"/>
    <s v="Tue"/>
    <n v="31"/>
    <d v="2022-05-05T00:00:00"/>
    <n v="61"/>
    <s v="Expired"/>
    <n v="0"/>
    <n v="2"/>
    <n v="2260000"/>
    <n v="260000"/>
    <n v="2000000"/>
    <n v="0"/>
    <n v="260000"/>
    <n v="2000000"/>
    <n v="2260000"/>
    <n v="0"/>
    <n v="0"/>
    <n v="0"/>
    <s v=""/>
    <n v="0"/>
    <n v="0"/>
    <s v="Cleared"/>
    <s v="Ok"/>
  </r>
  <r>
    <d v="2022-03-05T00:00:00"/>
    <x v="272"/>
    <n v="450"/>
    <n v="1"/>
    <s v="BIZ"/>
    <n v="1000000"/>
    <n v="6"/>
    <n v="6.5000000000000002E-2"/>
    <s v="Weekly"/>
    <s v="Kana"/>
    <s v="ARIKE KOKOLE YASSIN"/>
    <n v="20000"/>
    <n v="5000"/>
    <n v="20000"/>
    <n v="100000"/>
    <n v="390000"/>
    <n v="24"/>
    <n v="1390000"/>
    <n v="57916.666666666664"/>
    <n v="58000"/>
    <n v="1392000"/>
    <n v="41666.666666666664"/>
    <n v="16333.333333333336"/>
    <n v="392000.00000000006"/>
    <d v="2022-03-12T00:00:00"/>
    <s v="Sat"/>
    <n v="7"/>
    <d v="2022-09-05T00:00:00"/>
    <n v="184"/>
    <n v="84"/>
    <n v="100"/>
    <n v="12"/>
    <n v="696000"/>
    <n v="196000.00000000003"/>
    <n v="500000"/>
    <n v="696000"/>
    <n v="98000.000000000029"/>
    <n v="322000"/>
    <n v="420000"/>
    <n v="294000"/>
    <n v="678000"/>
    <n v="972000"/>
    <n v="276000"/>
    <n v="4.7586206896551726"/>
    <n v="34"/>
    <s v="2.(31-60) Days"/>
    <s v="Ok"/>
  </r>
  <r>
    <d v="2022-03-05T00:00:00"/>
    <x v="135"/>
    <n v="451"/>
    <n v="2"/>
    <s v="BIZ"/>
    <n v="300000"/>
    <n v="3"/>
    <n v="6.5000000000000002E-2"/>
    <s v="Weekly"/>
    <s v="Jerome"/>
    <s v="DRICHIRU MAIMUNA "/>
    <n v="15000"/>
    <n v="5000"/>
    <n v="6000"/>
    <n v="30000"/>
    <n v="58500"/>
    <n v="12"/>
    <n v="358500"/>
    <n v="29875"/>
    <n v="30000"/>
    <n v="360000"/>
    <n v="25000"/>
    <n v="5000"/>
    <n v="60000"/>
    <d v="2022-03-12T00:00:00"/>
    <s v="Sat"/>
    <n v="7"/>
    <d v="2022-06-05T00:00:00"/>
    <n v="92"/>
    <n v="84"/>
    <n v="8"/>
    <n v="12"/>
    <n v="360000"/>
    <n v="60000"/>
    <n v="300000"/>
    <n v="0"/>
    <n v="30000"/>
    <n v="193000"/>
    <n v="223000"/>
    <n v="30000"/>
    <n v="107000"/>
    <n v="137000"/>
    <n v="137000"/>
    <n v="4.5666666666666664"/>
    <n v="32"/>
    <s v="2.(31-60) Days"/>
    <s v="Ok"/>
  </r>
  <r>
    <d v="2022-03-05T00:00:00"/>
    <x v="273"/>
    <n v="452"/>
    <n v="1"/>
    <s v="BIZ"/>
    <n v="2500000"/>
    <n v="3"/>
    <n v="6.5000000000000002E-2"/>
    <s v="Monthly"/>
    <s v="Jerome"/>
    <s v="OBIT HAKIM ADROTI"/>
    <n v="30000"/>
    <n v="5000"/>
    <n v="50000"/>
    <n v="250000"/>
    <n v="487500"/>
    <n v="3"/>
    <n v="2987500"/>
    <n v="995833.33333333337"/>
    <n v="996000"/>
    <n v="2988000"/>
    <n v="833333.33333333337"/>
    <n v="162666.66666666663"/>
    <n v="487999.99999999988"/>
    <d v="2022-04-05T00:00:00"/>
    <s v="Tue"/>
    <n v="31"/>
    <d v="2022-06-05T00:00:00"/>
    <n v="92"/>
    <n v="84"/>
    <n v="8"/>
    <n v="2.7096774193548385"/>
    <n v="2698838.7096774192"/>
    <n v="440774.19354838697"/>
    <n v="2258064.5161290322"/>
    <n v="289161.29032258084"/>
    <n v="0"/>
    <n v="0"/>
    <n v="0"/>
    <n v="487999.99999999988"/>
    <n v="2500000"/>
    <n v="2988000"/>
    <n v="2698838.7096774192"/>
    <n v="2.7096774193548385"/>
    <n v="82"/>
    <s v="3.(61-90) Days"/>
    <s v="Ok"/>
  </r>
  <r>
    <d v="2022-03-07T00:00:00"/>
    <x v="56"/>
    <n v="453"/>
    <n v="5"/>
    <s v="BIZ"/>
    <n v="6000000"/>
    <n v="1"/>
    <n v="6.5000000000000002E-2"/>
    <s v="Monthly"/>
    <s v="Jerome"/>
    <s v="DRANDUA JOB CHRISPUS"/>
    <n v="30000"/>
    <n v="5000"/>
    <n v="120000"/>
    <n v="600000"/>
    <n v="390000"/>
    <n v="1"/>
    <n v="6390000"/>
    <n v="6390000"/>
    <n v="6390000"/>
    <n v="6390000"/>
    <n v="6000000"/>
    <n v="390000"/>
    <n v="390000"/>
    <d v="2022-04-07T00:00:00"/>
    <s v="Thu"/>
    <n v="31"/>
    <d v="2022-04-07T00:00:00"/>
    <n v="31"/>
    <s v="Expired"/>
    <n v="0"/>
    <n v="1"/>
    <n v="6390000"/>
    <n v="390000"/>
    <n v="6000000"/>
    <n v="0"/>
    <n v="390000"/>
    <n v="6000000"/>
    <n v="6390000"/>
    <n v="0"/>
    <n v="0"/>
    <n v="0"/>
    <s v=""/>
    <n v="0"/>
    <n v="0"/>
    <s v="Cleared"/>
    <s v="Ok"/>
  </r>
  <r>
    <d v="2022-03-09T00:00:00"/>
    <x v="211"/>
    <n v="454"/>
    <n v="2"/>
    <s v="BIZ"/>
    <n v="1200000"/>
    <n v="6"/>
    <n v="6.5000000000000002E-2"/>
    <s v="Monthly"/>
    <s v="Kana"/>
    <s v="DAWA ANNET"/>
    <n v="25000"/>
    <n v="5000"/>
    <n v="24000"/>
    <n v="120000"/>
    <n v="468000"/>
    <n v="6"/>
    <n v="1668000"/>
    <n v="278000"/>
    <n v="278000"/>
    <n v="1668000"/>
    <n v="200000"/>
    <n v="78000"/>
    <n v="468000"/>
    <d v="2022-04-09T00:00:00"/>
    <s v="Sat"/>
    <n v="31"/>
    <d v="2022-09-09T00:00:00"/>
    <n v="184"/>
    <n v="80"/>
    <n v="104"/>
    <n v="2.5806451612903225"/>
    <n v="717419.3548387097"/>
    <n v="201290.32258064515"/>
    <n v="516129.03225806449"/>
    <n v="950580.6451612903"/>
    <n v="264000"/>
    <n v="722000"/>
    <n v="986000"/>
    <n v="204000"/>
    <n v="478000"/>
    <n v="682000"/>
    <s v=""/>
    <n v="0"/>
    <n v="0"/>
    <s v="Clean"/>
    <s v="Ok"/>
  </r>
  <r>
    <d v="2022-03-09T00:00:00"/>
    <x v="274"/>
    <n v="455"/>
    <n v="1"/>
    <s v="BIZ"/>
    <n v="1500000"/>
    <n v="2"/>
    <n v="6.5000000000000002E-2"/>
    <s v="Monthly"/>
    <s v="Kana"/>
    <s v="NSUBUGA DAVID"/>
    <n v="25000"/>
    <n v="5000"/>
    <n v="30000"/>
    <n v="150000"/>
    <n v="195000"/>
    <n v="2"/>
    <n v="1695000"/>
    <n v="847500"/>
    <n v="848000"/>
    <n v="1696000"/>
    <n v="750000"/>
    <n v="98000"/>
    <n v="196000"/>
    <d v="2022-04-09T00:00:00"/>
    <s v="Sat"/>
    <n v="31"/>
    <d v="2022-05-09T00:00:00"/>
    <n v="61"/>
    <s v="Expired"/>
    <n v="0"/>
    <n v="2"/>
    <n v="1696000"/>
    <n v="196000"/>
    <n v="1500000"/>
    <n v="0"/>
    <n v="196000"/>
    <n v="1499000"/>
    <n v="1695000"/>
    <n v="0"/>
    <n v="1000"/>
    <n v="1000"/>
    <n v="1000"/>
    <n v="1.1792452830188679E-3"/>
    <n v="1"/>
    <s v="1.(0-30) Days"/>
    <s v="Ok"/>
  </r>
  <r>
    <d v="2022-03-09T00:00:00"/>
    <x v="197"/>
    <n v="456"/>
    <n v="2"/>
    <s v="BIZ"/>
    <n v="600000"/>
    <n v="6"/>
    <n v="6.5000000000000002E-2"/>
    <s v="Weekly"/>
    <s v="Kana"/>
    <s v="BUSURA OMAR"/>
    <n v="20000"/>
    <n v="5000"/>
    <n v="12000"/>
    <n v="60000"/>
    <n v="234000"/>
    <n v="24"/>
    <n v="834000"/>
    <n v="34750"/>
    <n v="35000"/>
    <n v="840000"/>
    <n v="25000"/>
    <n v="10000"/>
    <n v="240000"/>
    <d v="2022-03-16T00:00:00"/>
    <s v="Wed"/>
    <n v="7"/>
    <d v="2022-09-09T00:00:00"/>
    <n v="184"/>
    <n v="80"/>
    <n v="104"/>
    <n v="11.428571428571429"/>
    <n v="400000"/>
    <n v="114285.71428571429"/>
    <n v="285714.28571428574"/>
    <n v="440000"/>
    <n v="40000"/>
    <n v="270000"/>
    <n v="310000"/>
    <n v="200000"/>
    <n v="330000"/>
    <n v="530000"/>
    <n v="90000"/>
    <n v="2.5714285714285716"/>
    <n v="18"/>
    <s v="1.(0-30) Days"/>
    <s v="Ok"/>
  </r>
  <r>
    <d v="2022-03-10T00:00:00"/>
    <x v="275"/>
    <n v="457"/>
    <n v="1"/>
    <s v="SLA"/>
    <n v="400000"/>
    <n v="2"/>
    <n v="7.4999999999999997E-2"/>
    <s v="Monthly"/>
    <s v="Kana"/>
    <s v="DRANIKU ALBERT"/>
    <n v="15000"/>
    <n v="5000"/>
    <n v="8000"/>
    <n v="40000"/>
    <n v="60000"/>
    <n v="2"/>
    <n v="460000"/>
    <n v="230000"/>
    <n v="230000"/>
    <n v="460000"/>
    <n v="200000"/>
    <n v="30000"/>
    <n v="60000"/>
    <d v="2022-04-10T00:00:00"/>
    <s v="Sun"/>
    <n v="31"/>
    <d v="2022-05-10T00:00:00"/>
    <n v="61"/>
    <s v="Expired"/>
    <n v="0"/>
    <n v="2"/>
    <n v="460000"/>
    <n v="60000"/>
    <n v="400000"/>
    <n v="0"/>
    <n v="30000"/>
    <n v="120000"/>
    <n v="150000"/>
    <n v="30000"/>
    <n v="280000"/>
    <n v="310000"/>
    <n v="310000"/>
    <n v="1.3478260869565217"/>
    <n v="41"/>
    <s v="2.(31-60) Days"/>
    <s v="Ok"/>
  </r>
  <r>
    <d v="2022-03-11T00:00:00"/>
    <x v="168"/>
    <n v="458"/>
    <n v="2"/>
    <s v="BIZ"/>
    <n v="500000"/>
    <n v="4"/>
    <n v="6.5000000000000002E-2"/>
    <s v="Monthly"/>
    <s v="Aroma"/>
    <s v="AJIO HARRIET "/>
    <n v="15000"/>
    <n v="5000"/>
    <n v="10000"/>
    <n v="50000"/>
    <n v="130000"/>
    <n v="4"/>
    <n v="630000"/>
    <n v="157500"/>
    <n v="158000"/>
    <n v="632000"/>
    <n v="125000"/>
    <n v="33000"/>
    <n v="132000"/>
    <d v="2022-04-11T00:00:00"/>
    <s v="Mon"/>
    <n v="31"/>
    <d v="2022-07-11T00:00:00"/>
    <n v="122"/>
    <n v="78"/>
    <n v="44"/>
    <n v="2.5161290322580645"/>
    <n v="397548.38709677418"/>
    <n v="83032.258064516122"/>
    <n v="314516.12903225806"/>
    <n v="234451.61290322582"/>
    <n v="66000"/>
    <n v="231000"/>
    <n v="297000"/>
    <n v="66000"/>
    <n v="269000"/>
    <n v="335000"/>
    <n v="100548.38709677418"/>
    <n v="0.6363821968150265"/>
    <n v="20"/>
    <s v="1.(0-30) Days"/>
    <s v="Ok"/>
  </r>
  <r>
    <d v="2022-03-11T00:00:00"/>
    <x v="94"/>
    <n v="459"/>
    <n v="3"/>
    <s v="BIZ"/>
    <n v="500000"/>
    <n v="4"/>
    <n v="6.5000000000000002E-2"/>
    <s v="Monthly"/>
    <s v="Aroma"/>
    <s v="CHANDIRU ZABIB"/>
    <n v="15000"/>
    <n v="5000"/>
    <n v="10000"/>
    <n v="50000"/>
    <n v="130000"/>
    <n v="4"/>
    <n v="630000"/>
    <n v="157500"/>
    <n v="158000"/>
    <n v="632000"/>
    <n v="125000"/>
    <n v="33000"/>
    <n v="132000"/>
    <d v="2022-04-11T00:00:00"/>
    <s v="Mon"/>
    <n v="31"/>
    <d v="2022-07-11T00:00:00"/>
    <n v="122"/>
    <n v="78"/>
    <n v="44"/>
    <n v="2.5161290322580645"/>
    <n v="397548.38709677418"/>
    <n v="83032.258064516122"/>
    <n v="314516.12903225806"/>
    <n v="234451.61290322582"/>
    <n v="66000"/>
    <n v="249000"/>
    <n v="315000"/>
    <n v="66000"/>
    <n v="251000"/>
    <n v="317000"/>
    <n v="82548.387096774182"/>
    <n v="0.52245814618211506"/>
    <n v="16"/>
    <s v="1.(0-30) Days"/>
    <s v="Ok"/>
  </r>
  <r>
    <d v="2022-03-11T00:00:00"/>
    <x v="2"/>
    <n v="460"/>
    <n v="3"/>
    <s v="BIZ"/>
    <n v="300000"/>
    <n v="1"/>
    <n v="6.5000000000000002E-2"/>
    <s v="Monthly"/>
    <s v="Aroma"/>
    <s v="LEYA ROSE"/>
    <n v="15000"/>
    <n v="5000"/>
    <n v="6000"/>
    <n v="30000"/>
    <n v="19500"/>
    <n v="1"/>
    <n v="319500"/>
    <n v="319500"/>
    <n v="320000"/>
    <n v="320000"/>
    <n v="300000"/>
    <n v="20000"/>
    <n v="20000"/>
    <d v="2022-04-11T00:00:00"/>
    <s v="Mon"/>
    <n v="31"/>
    <d v="2022-04-11T00:00:00"/>
    <n v="31"/>
    <s v="Expired"/>
    <n v="0"/>
    <n v="1"/>
    <n v="320000"/>
    <n v="20000"/>
    <n v="300000"/>
    <n v="0"/>
    <n v="20000"/>
    <n v="269500"/>
    <n v="289500"/>
    <n v="0"/>
    <n v="30500"/>
    <n v="30500"/>
    <n v="30500"/>
    <n v="9.5312499999999994E-2"/>
    <n v="3"/>
    <s v="1.(0-30) Days"/>
    <s v="Ok"/>
  </r>
  <r>
    <d v="2022-03-11T00:00:00"/>
    <x v="14"/>
    <n v="461"/>
    <n v="3"/>
    <s v="BIZ"/>
    <n v="500000"/>
    <n v="5"/>
    <n v="6.5000000000000002E-2"/>
    <s v="Monthly"/>
    <s v="Jerome"/>
    <s v="BAKO LINA ESERU"/>
    <n v="15000"/>
    <n v="5000"/>
    <n v="10000"/>
    <n v="50000"/>
    <n v="162500"/>
    <n v="5"/>
    <n v="662500"/>
    <n v="132500"/>
    <n v="133000"/>
    <n v="665000"/>
    <n v="100000"/>
    <n v="33000"/>
    <n v="165000"/>
    <d v="2022-04-11T00:00:00"/>
    <s v="Mon"/>
    <n v="31"/>
    <d v="2022-08-11T00:00:00"/>
    <n v="153"/>
    <n v="78"/>
    <n v="75"/>
    <n v="2.5161290322580645"/>
    <n v="334645.16129032261"/>
    <n v="83032.258064516122"/>
    <n v="251612.90322580645"/>
    <n v="330354.83870967739"/>
    <n v="66000"/>
    <n v="166500"/>
    <n v="232500"/>
    <n v="99000"/>
    <n v="333500"/>
    <n v="432500"/>
    <n v="102145.16129032261"/>
    <n v="0.76800873150618498"/>
    <n v="24"/>
    <s v="1.(0-30) Days"/>
    <s v="Ok"/>
  </r>
  <r>
    <d v="2022-03-11T00:00:00"/>
    <x v="276"/>
    <n v="462"/>
    <n v="1"/>
    <s v="BIZ"/>
    <n v="350000"/>
    <n v="3"/>
    <n v="6.5000000000000002E-2"/>
    <s v="Monthly"/>
    <s v="Kana"/>
    <s v="BACIA AISHA"/>
    <n v="15000"/>
    <n v="5000"/>
    <n v="7000"/>
    <n v="35000"/>
    <n v="68250"/>
    <n v="3"/>
    <n v="418250"/>
    <n v="139416.66666666666"/>
    <n v="140000"/>
    <n v="420000"/>
    <n v="116666.66666666667"/>
    <n v="23333.333333333328"/>
    <n v="69999.999999999985"/>
    <d v="2022-04-11T00:00:00"/>
    <s v="Mon"/>
    <n v="31"/>
    <d v="2022-06-11T00:00:00"/>
    <n v="92"/>
    <n v="78"/>
    <n v="14"/>
    <n v="2.5161290322580645"/>
    <n v="352258.06451612903"/>
    <n v="58709.677419354826"/>
    <n v="293548.38709677418"/>
    <n v="67741.93548387097"/>
    <n v="107133.33333333331"/>
    <n v="311166.66666666669"/>
    <n v="418300"/>
    <n v="-37133.333333333328"/>
    <n v="38833.333333333314"/>
    <n v="1699.9999999999854"/>
    <s v=""/>
    <n v="0"/>
    <n v="0"/>
    <s v="Clean"/>
    <s v="Error on Entry"/>
  </r>
  <r>
    <d v="2022-03-11T00:00:00"/>
    <x v="124"/>
    <n v="463"/>
    <n v="3"/>
    <s v="BIZ"/>
    <n v="250000"/>
    <n v="3"/>
    <n v="6.5000000000000002E-2"/>
    <s v="Weekly"/>
    <s v="Jerome"/>
    <s v="AJONYE BETTY"/>
    <n v="15000"/>
    <n v="5000"/>
    <n v="5000"/>
    <n v="25000"/>
    <n v="48750"/>
    <n v="12"/>
    <n v="298750"/>
    <n v="24895.833333333332"/>
    <n v="25000"/>
    <n v="300000"/>
    <n v="20833.333333333332"/>
    <n v="4166.6666666666679"/>
    <n v="50000.000000000015"/>
    <d v="2022-03-18T00:00:00"/>
    <s v="Frid"/>
    <n v="7"/>
    <d v="2022-06-11T00:00:00"/>
    <n v="92"/>
    <n v="78"/>
    <n v="14"/>
    <n v="11.142857142857142"/>
    <n v="278571.42857142858"/>
    <n v="46428.571428571442"/>
    <n v="232142.85714285713"/>
    <n v="21428.57142857142"/>
    <n v="29166.666666666675"/>
    <n v="170833.33333333334"/>
    <n v="200000.00000000003"/>
    <n v="20833.333333333339"/>
    <n v="79166.666666666657"/>
    <n v="100000"/>
    <n v="78571.42857142858"/>
    <n v="3.1428571428571432"/>
    <n v="22"/>
    <s v="1.(0-30) Days"/>
    <s v="Ok"/>
  </r>
  <r>
    <d v="2022-03-11T00:00:00"/>
    <x v="89"/>
    <n v="464"/>
    <n v="3"/>
    <s v="BIZ"/>
    <n v="300000"/>
    <n v="4"/>
    <n v="6.5000000000000002E-2"/>
    <s v="Monthly"/>
    <s v="Kana"/>
    <s v="NGINYA RICHARD"/>
    <n v="15000"/>
    <n v="5000"/>
    <n v="6000"/>
    <n v="30000"/>
    <n v="78000"/>
    <n v="4"/>
    <n v="378000"/>
    <n v="94500"/>
    <n v="95000"/>
    <n v="380000"/>
    <n v="75000"/>
    <n v="20000"/>
    <n v="80000"/>
    <d v="2022-04-11T00:00:00"/>
    <s v="Mon"/>
    <n v="31"/>
    <d v="2022-07-11T00:00:00"/>
    <n v="122"/>
    <n v="78"/>
    <n v="44"/>
    <n v="2.5161290322580645"/>
    <n v="239032.25806451612"/>
    <n v="50322.580645161288"/>
    <n v="188709.67741935485"/>
    <n v="140967.74193548388"/>
    <n v="40000"/>
    <n v="149000"/>
    <n v="189000"/>
    <n v="40000"/>
    <n v="151000"/>
    <n v="191000"/>
    <n v="50032.258064516122"/>
    <n v="0.52665534804753811"/>
    <n v="16"/>
    <s v="1.(0-30) Days"/>
    <s v="Ok"/>
  </r>
  <r>
    <d v="2022-03-11T00:00:00"/>
    <x v="277"/>
    <n v="465"/>
    <n v="1"/>
    <s v="SLA"/>
    <n v="2000000"/>
    <n v="2"/>
    <n v="7.4999999999999997E-2"/>
    <s v="Monthly"/>
    <s v="Aroma"/>
    <s v="BONGO PATRICK NAMISI"/>
    <n v="25000"/>
    <n v="5000"/>
    <n v="40000"/>
    <n v="200000"/>
    <n v="300000"/>
    <n v="2"/>
    <n v="2300000"/>
    <n v="1150000"/>
    <n v="1150000"/>
    <n v="2300000"/>
    <n v="1000000"/>
    <n v="150000"/>
    <n v="300000"/>
    <d v="2022-04-11T00:00:00"/>
    <s v="Mon"/>
    <n v="31"/>
    <d v="2022-05-11T00:00:00"/>
    <n v="61"/>
    <s v="Expired"/>
    <n v="0"/>
    <n v="2"/>
    <n v="2300000"/>
    <n v="300000"/>
    <n v="2000000"/>
    <n v="0"/>
    <n v="300000"/>
    <n v="2000000"/>
    <n v="2300000"/>
    <n v="0"/>
    <n v="0"/>
    <n v="0"/>
    <s v=""/>
    <n v="0"/>
    <n v="0"/>
    <s v="Cleared"/>
    <s v="Ok"/>
  </r>
  <r>
    <d v="2022-03-12T00:00:00"/>
    <x v="160"/>
    <n v="466"/>
    <n v="3"/>
    <s v="BIZ"/>
    <n v="400000"/>
    <n v="4"/>
    <n v="6.5000000000000002E-2"/>
    <s v="Weekly"/>
    <s v="Aroma"/>
    <s v="ZUBEDA WAIGA"/>
    <n v="15000"/>
    <n v="5000"/>
    <n v="8000"/>
    <n v="40000"/>
    <n v="104000"/>
    <n v="16"/>
    <n v="504000"/>
    <n v="31500"/>
    <n v="32000"/>
    <n v="512000"/>
    <n v="25000"/>
    <n v="7000"/>
    <n v="112000"/>
    <d v="2022-03-19T00:00:00"/>
    <s v="Sat"/>
    <n v="7"/>
    <d v="2022-07-12T00:00:00"/>
    <n v="122"/>
    <n v="77"/>
    <n v="45"/>
    <n v="11"/>
    <n v="352000"/>
    <n v="77000"/>
    <n v="275000"/>
    <n v="160000"/>
    <n v="28000"/>
    <n v="96500"/>
    <n v="124500"/>
    <n v="84000"/>
    <n v="303500"/>
    <n v="387500"/>
    <n v="227500"/>
    <n v="7.109375"/>
    <n v="50"/>
    <s v="2.(31-60) Days"/>
    <s v="Ok"/>
  </r>
  <r>
    <d v="2022-03-15T00:00:00"/>
    <x v="278"/>
    <n v="467"/>
    <n v="1"/>
    <s v="SFL"/>
    <n v="1500000"/>
    <n v="3"/>
    <n v="7.4999999999999997E-2"/>
    <s v="Monthly"/>
    <s v="Kana"/>
    <s v="FOGO FRANCIS DRANI"/>
    <n v="25000"/>
    <n v="5000"/>
    <n v="30000"/>
    <n v="150000"/>
    <n v="337500"/>
    <n v="3"/>
    <n v="1837500"/>
    <n v="612500"/>
    <n v="613000"/>
    <n v="1839000"/>
    <n v="500000"/>
    <n v="113000"/>
    <n v="339000"/>
    <d v="2022-04-15T00:00:00"/>
    <s v="Frid"/>
    <n v="31"/>
    <d v="2022-06-15T00:00:00"/>
    <n v="92"/>
    <n v="74"/>
    <n v="18"/>
    <n v="2.3870967741935485"/>
    <n v="1463290.3225806453"/>
    <n v="269741.93548387097"/>
    <n v="1193548.3870967743"/>
    <n v="375709.67741935467"/>
    <n v="426000"/>
    <n v="484000"/>
    <n v="910000"/>
    <n v="-87000"/>
    <n v="1016000"/>
    <n v="929000"/>
    <n v="553290.32258064533"/>
    <n v="0.90259432721149324"/>
    <n v="28"/>
    <s v="1.(0-30) Days"/>
    <s v="Error on Entry"/>
  </r>
  <r>
    <d v="2022-03-16T00:00:00"/>
    <x v="195"/>
    <n v="468"/>
    <n v="3"/>
    <s v="BIZ"/>
    <n v="150000"/>
    <n v="2"/>
    <n v="6.5000000000000002E-2"/>
    <s v="Monthly"/>
    <s v="Kana"/>
    <s v="JAMBA MOSES"/>
    <n v="15000"/>
    <n v="5000"/>
    <n v="3000"/>
    <n v="15000"/>
    <n v="19500"/>
    <n v="2"/>
    <n v="169500"/>
    <n v="84750"/>
    <n v="85000"/>
    <n v="170000"/>
    <n v="75000"/>
    <n v="10000"/>
    <n v="20000"/>
    <d v="2022-04-16T00:00:00"/>
    <s v="Sat"/>
    <n v="31"/>
    <d v="2022-05-16T00:00:00"/>
    <n v="61"/>
    <s v="Expired"/>
    <n v="0"/>
    <n v="2"/>
    <n v="170000"/>
    <n v="20000"/>
    <n v="150000"/>
    <n v="0"/>
    <n v="30000"/>
    <n v="139500"/>
    <n v="169500"/>
    <n v="-10000"/>
    <n v="10500"/>
    <n v="500"/>
    <n v="500"/>
    <n v="5.8823529411764705E-3"/>
    <n v="1"/>
    <s v="1.(0-30) Days"/>
    <s v="Error on Entry"/>
  </r>
  <r>
    <d v="2022-03-16T00:00:00"/>
    <x v="215"/>
    <n v="469"/>
    <n v="2"/>
    <s v="BIZ"/>
    <n v="500000"/>
    <n v="4"/>
    <n v="6.5000000000000002E-2"/>
    <s v="Monthly"/>
    <s v="Aroma"/>
    <s v="KAMOYO HARRIET"/>
    <n v="15000"/>
    <n v="5000"/>
    <n v="10000"/>
    <n v="50000"/>
    <n v="130000"/>
    <n v="4"/>
    <n v="630000"/>
    <n v="157500"/>
    <n v="158000"/>
    <n v="632000"/>
    <n v="125000"/>
    <n v="33000"/>
    <n v="132000"/>
    <d v="2022-04-16T00:00:00"/>
    <s v="Sat"/>
    <n v="31"/>
    <d v="2022-07-16T00:00:00"/>
    <n v="122"/>
    <n v="73"/>
    <n v="49"/>
    <n v="2.3548387096774195"/>
    <n v="372064.5161290323"/>
    <n v="77709.677419354848"/>
    <n v="294354.83870967745"/>
    <n v="259935.4838709677"/>
    <n v="66000"/>
    <n v="199000"/>
    <n v="265000"/>
    <n v="66000"/>
    <n v="301000"/>
    <n v="367000"/>
    <n v="107064.5161290323"/>
    <n v="0.67762351980400193"/>
    <n v="21"/>
    <s v="1.(0-30) Days"/>
    <s v="Ok"/>
  </r>
  <r>
    <d v="2022-03-17T00:00:00"/>
    <x v="210"/>
    <n v="470"/>
    <n v="2"/>
    <s v="SLA"/>
    <n v="1000000"/>
    <n v="10"/>
    <n v="7.4999999999999997E-2"/>
    <s v="Monthly"/>
    <s v="Kana"/>
    <s v="HABIBU ABOYI ALLI"/>
    <n v="20000"/>
    <n v="5000"/>
    <n v="20000"/>
    <n v="100000"/>
    <n v="750000"/>
    <n v="10"/>
    <n v="1750000"/>
    <n v="175000"/>
    <n v="175000"/>
    <n v="1750000"/>
    <n v="100000"/>
    <n v="75000"/>
    <n v="750000"/>
    <d v="2022-04-17T00:00:00"/>
    <s v="Sun"/>
    <n v="31"/>
    <d v="2023-01-17T00:00:00"/>
    <n v="306"/>
    <n v="72"/>
    <n v="234"/>
    <n v="2.3225806451612905"/>
    <n v="406451.61290322582"/>
    <n v="174193.54838709679"/>
    <n v="232258.06451612906"/>
    <n v="1343548.3870967743"/>
    <n v="75000"/>
    <n v="100000"/>
    <n v="175000"/>
    <n v="675000"/>
    <n v="900000"/>
    <n v="1575000"/>
    <n v="231451.6129032257"/>
    <n v="1.3225806451612898"/>
    <n v="40"/>
    <s v="2.(31-60) Days"/>
    <s v="Ok"/>
  </r>
  <r>
    <d v="2022-03-17T00:00:00"/>
    <x v="279"/>
    <n v="471"/>
    <n v="1"/>
    <s v="BIZ"/>
    <n v="400000"/>
    <n v="4"/>
    <n v="6.5000000000000002E-2"/>
    <s v="Monthly"/>
    <s v="Jerome"/>
    <s v="AYISA AJONYE"/>
    <n v="15000"/>
    <n v="5000"/>
    <n v="8000"/>
    <n v="40000"/>
    <n v="104000"/>
    <n v="4"/>
    <n v="504000"/>
    <n v="126000"/>
    <n v="126000"/>
    <n v="504000"/>
    <n v="100000"/>
    <n v="26000"/>
    <n v="104000"/>
    <d v="2022-04-17T00:00:00"/>
    <s v="Sun"/>
    <n v="31"/>
    <d v="2022-07-17T00:00:00"/>
    <n v="122"/>
    <n v="72"/>
    <n v="50"/>
    <n v="2.3225806451612905"/>
    <n v="292645.16129032261"/>
    <n v="60387.096774193553"/>
    <n v="232258.06451612906"/>
    <n v="211354.83870967739"/>
    <n v="98000"/>
    <n v="102000"/>
    <n v="200000"/>
    <n v="6000"/>
    <n v="298000"/>
    <n v="304000"/>
    <n v="92645.161290322605"/>
    <n v="0.73527905785970327"/>
    <n v="23"/>
    <s v="1.(0-30) Days"/>
    <s v="Ok"/>
  </r>
  <r>
    <d v="2022-03-19T00:00:00"/>
    <x v="280"/>
    <n v="472"/>
    <n v="1"/>
    <s v="BIZ"/>
    <n v="500000"/>
    <n v="4"/>
    <n v="6.5000000000000002E-2"/>
    <s v="Weekly"/>
    <s v="Aroma"/>
    <s v="OSORU HELLEN"/>
    <n v="15000"/>
    <n v="5000"/>
    <n v="10000"/>
    <n v="50000"/>
    <n v="130000"/>
    <n v="16"/>
    <n v="630000"/>
    <n v="39375"/>
    <n v="40000"/>
    <n v="640000"/>
    <n v="31250"/>
    <n v="8750"/>
    <n v="140000"/>
    <d v="2022-03-26T00:00:00"/>
    <s v="Sat"/>
    <n v="7"/>
    <d v="2022-07-19T00:00:00"/>
    <n v="122"/>
    <n v="70"/>
    <n v="52"/>
    <n v="10"/>
    <n v="400000"/>
    <n v="87500"/>
    <n v="312500"/>
    <n v="240000"/>
    <n v="52500"/>
    <n v="205100"/>
    <n v="257600"/>
    <n v="87500"/>
    <n v="294900"/>
    <n v="382400"/>
    <n v="142400"/>
    <n v="3.56"/>
    <n v="25"/>
    <s v="1.(0-30) Days"/>
    <s v="Ok"/>
  </r>
  <r>
    <d v="2022-03-19T00:00:00"/>
    <x v="43"/>
    <n v="473"/>
    <n v="2"/>
    <s v="BIZ"/>
    <n v="600000"/>
    <n v="6"/>
    <n v="6.5000000000000002E-2"/>
    <s v="Monthly"/>
    <s v="Jerome"/>
    <s v="AYILE STEPHEN"/>
    <n v="20000"/>
    <n v="5000"/>
    <n v="12000"/>
    <n v="60000"/>
    <n v="234000"/>
    <n v="6"/>
    <n v="834000"/>
    <n v="139000"/>
    <n v="139000"/>
    <n v="834000"/>
    <n v="100000"/>
    <n v="39000"/>
    <n v="234000"/>
    <d v="2022-04-19T00:00:00"/>
    <s v="Tue"/>
    <n v="31"/>
    <d v="2022-09-19T00:00:00"/>
    <n v="184"/>
    <n v="70"/>
    <n v="114"/>
    <n v="2.2580645161290325"/>
    <n v="313870.96774193551"/>
    <n v="88064.516129032272"/>
    <n v="225806.45161290324"/>
    <n v="520129.03225806449"/>
    <n v="78000"/>
    <n v="203000"/>
    <n v="281000"/>
    <n v="156000"/>
    <n v="397000"/>
    <n v="553000"/>
    <n v="32870.967741935514"/>
    <n v="0.23648178231608283"/>
    <n v="8"/>
    <s v="1.(0-30) Days"/>
    <s v="Ok"/>
  </r>
  <r>
    <d v="2022-03-19T00:00:00"/>
    <x v="26"/>
    <n v="474"/>
    <n v="3"/>
    <s v="BIZ"/>
    <n v="350000"/>
    <n v="3"/>
    <n v="6.5000000000000002E-2"/>
    <s v="Monthly"/>
    <s v="Jerome"/>
    <s v="MUNDURU HARRIET"/>
    <n v="15000"/>
    <n v="5000"/>
    <n v="7000"/>
    <n v="35000"/>
    <n v="68250"/>
    <n v="3"/>
    <n v="418250"/>
    <n v="139416.66666666666"/>
    <n v="140000"/>
    <n v="420000"/>
    <n v="116666.66666666667"/>
    <n v="23333.333333333328"/>
    <n v="69999.999999999985"/>
    <d v="2022-04-19T00:00:00"/>
    <s v="Tue"/>
    <n v="31"/>
    <d v="2022-06-19T00:00:00"/>
    <n v="92"/>
    <n v="70"/>
    <n v="22"/>
    <n v="2.2580645161290325"/>
    <n v="316129.03225806454"/>
    <n v="52688.172043010745"/>
    <n v="263440.86021505378"/>
    <n v="103870.96774193546"/>
    <n v="91666.666666666657"/>
    <n v="187333.33333333334"/>
    <n v="279000"/>
    <n v="-21666.666666666672"/>
    <n v="162666.66666666666"/>
    <n v="141000"/>
    <n v="37129.032258064544"/>
    <n v="0.26520737327188959"/>
    <n v="8"/>
    <s v="1.(0-30) Days"/>
    <s v="Error on Entry"/>
  </r>
  <r>
    <d v="2022-03-21T00:00:00"/>
    <x v="281"/>
    <n v="475"/>
    <n v="1"/>
    <s v="BIZ"/>
    <n v="3000000"/>
    <n v="6"/>
    <n v="6.5000000000000002E-2"/>
    <s v="Monthly"/>
    <s v="Kana"/>
    <s v="GIRE ELIZABETH"/>
    <n v="30000"/>
    <n v="5000"/>
    <n v="60000"/>
    <n v="300000"/>
    <n v="1170000"/>
    <n v="6"/>
    <n v="4170000"/>
    <n v="695000"/>
    <n v="695000"/>
    <n v="4170000"/>
    <n v="500000"/>
    <n v="195000"/>
    <n v="1170000"/>
    <d v="2022-04-21T00:00:00"/>
    <s v="Thu"/>
    <n v="31"/>
    <d v="2022-09-21T00:00:00"/>
    <n v="184"/>
    <n v="68"/>
    <n v="116"/>
    <n v="2.193548387096774"/>
    <n v="1524516.1290322579"/>
    <n v="427741.93548387091"/>
    <n v="1096774.1935483869"/>
    <n v="2645483.8709677421"/>
    <n v="485000"/>
    <n v="905000"/>
    <n v="1390000"/>
    <n v="685000"/>
    <n v="2095000"/>
    <n v="2780000"/>
    <n v="134516.12903225794"/>
    <n v="0.19354838709677402"/>
    <n v="6"/>
    <s v="1.(0-30) Days"/>
    <s v="Ok"/>
  </r>
  <r>
    <d v="2022-03-21T00:00:00"/>
    <x v="216"/>
    <n v="476"/>
    <n v="2"/>
    <s v="BIZ"/>
    <n v="350000"/>
    <n v="4"/>
    <n v="6.5000000000000002E-2"/>
    <s v="Monthly"/>
    <s v="Jerome"/>
    <s v="ATAYI GRACE"/>
    <n v="15000"/>
    <n v="5000"/>
    <n v="7000"/>
    <n v="35000"/>
    <n v="91000"/>
    <n v="4"/>
    <n v="441000"/>
    <n v="110250"/>
    <n v="111000"/>
    <n v="444000"/>
    <n v="87500"/>
    <n v="23500"/>
    <n v="94000"/>
    <d v="2022-04-21T00:00:00"/>
    <s v="Thu"/>
    <n v="31"/>
    <d v="2022-07-21T00:00:00"/>
    <n v="122"/>
    <n v="68"/>
    <n v="54"/>
    <n v="2.193548387096774"/>
    <n v="243483.87096774191"/>
    <n v="51548.38709677419"/>
    <n v="191935.48387096773"/>
    <n v="200516.12903225809"/>
    <n v="94000"/>
    <n v="96000"/>
    <n v="190000"/>
    <n v="0"/>
    <n v="254000"/>
    <n v="254000"/>
    <n v="53483.87096774191"/>
    <n v="0.48183667538506225"/>
    <n v="15"/>
    <s v="1.(0-30) Days"/>
    <s v="Ok"/>
  </r>
  <r>
    <d v="2022-03-21T00:00:00"/>
    <x v="139"/>
    <n v="477"/>
    <n v="3"/>
    <s v="BIZ"/>
    <n v="5000000"/>
    <n v="5"/>
    <n v="6.5000000000000002E-2"/>
    <s v="Monthly"/>
    <s v="Kana"/>
    <s v="MORO HAKIM"/>
    <n v="30000"/>
    <n v="5000"/>
    <n v="100000"/>
    <n v="500000"/>
    <n v="1625000"/>
    <n v="5"/>
    <n v="6625000"/>
    <n v="1325000"/>
    <n v="1325000"/>
    <n v="6625000"/>
    <n v="1000000"/>
    <n v="325000"/>
    <n v="1625000"/>
    <d v="2022-04-21T00:00:00"/>
    <s v="Thu"/>
    <n v="31"/>
    <d v="2022-08-21T00:00:00"/>
    <n v="153"/>
    <n v="68"/>
    <n v="85"/>
    <n v="2.193548387096774"/>
    <n v="2906451.6129032257"/>
    <n v="712903.22580645152"/>
    <n v="2193548.3870967738"/>
    <n v="3718548.3870967743"/>
    <n v="650000"/>
    <n v="2000000"/>
    <n v="2650000"/>
    <n v="975000"/>
    <n v="3000000"/>
    <n v="3975000"/>
    <n v="256451.6129032257"/>
    <n v="0.1935483870967741"/>
    <n v="6"/>
    <s v="1.(0-30) Days"/>
    <s v="Ok"/>
  </r>
  <r>
    <d v="2022-03-22T00:00:00"/>
    <x v="177"/>
    <n v="478"/>
    <n v="3"/>
    <s v="SLA"/>
    <n v="1200000"/>
    <n v="2"/>
    <n v="7.4999999999999997E-2"/>
    <s v="Monthly"/>
    <s v="Aroma"/>
    <s v="AMULE ISAAC"/>
    <n v="25000"/>
    <n v="5000"/>
    <n v="24000"/>
    <n v="120000"/>
    <n v="180000"/>
    <n v="2"/>
    <n v="1380000"/>
    <n v="690000"/>
    <n v="690000"/>
    <n v="1380000"/>
    <n v="600000"/>
    <n v="90000"/>
    <n v="180000"/>
    <d v="2022-04-22T00:00:00"/>
    <s v="Frid"/>
    <n v="31"/>
    <d v="2022-05-22T00:00:00"/>
    <n v="61"/>
    <s v="Expired"/>
    <n v="0"/>
    <n v="2"/>
    <n v="1380000"/>
    <n v="180000"/>
    <n v="1200000"/>
    <n v="0"/>
    <n v="90000"/>
    <n v="260000"/>
    <n v="350000"/>
    <n v="90000"/>
    <n v="940000"/>
    <n v="1030000"/>
    <n v="1030000"/>
    <n v="1.4927536231884058"/>
    <n v="45"/>
    <s v="2.(31-60) Days"/>
    <s v="Ok"/>
  </r>
  <r>
    <d v="2022-03-22T00:00:00"/>
    <x v="53"/>
    <n v="479"/>
    <n v="3"/>
    <s v="BIZ"/>
    <n v="300000"/>
    <n v="4"/>
    <n v="6.5000000000000002E-2"/>
    <s v="Monthly"/>
    <s v="Jerome"/>
    <s v="AREDU RUKIA"/>
    <n v="15000"/>
    <n v="5000"/>
    <n v="6000"/>
    <n v="30000"/>
    <n v="78000"/>
    <n v="4"/>
    <n v="378000"/>
    <n v="94500"/>
    <n v="95000"/>
    <n v="380000"/>
    <n v="75000"/>
    <n v="20000"/>
    <n v="80000"/>
    <d v="2022-04-22T00:00:00"/>
    <s v="Frid"/>
    <n v="31"/>
    <d v="2022-07-22T00:00:00"/>
    <n v="122"/>
    <n v="67"/>
    <n v="55"/>
    <n v="2.161290322580645"/>
    <n v="205322.58064516127"/>
    <n v="43225.806451612902"/>
    <n v="162096.77419354836"/>
    <n v="174677.41935483873"/>
    <n v="40000"/>
    <n v="149000"/>
    <n v="189000"/>
    <n v="40000"/>
    <n v="151000"/>
    <n v="191000"/>
    <n v="16322.580645161273"/>
    <n v="0.17181663837011868"/>
    <n v="6"/>
    <s v="1.(0-30) Days"/>
    <s v="Ok"/>
  </r>
  <r>
    <d v="2022-03-22T00:00:00"/>
    <x v="282"/>
    <n v="480"/>
    <n v="1"/>
    <s v="BIZ"/>
    <n v="300000"/>
    <n v="4"/>
    <n v="6.5000000000000002E-2"/>
    <s v="Weekly"/>
    <s v="Aroma"/>
    <s v="ASERU MARY"/>
    <n v="15000"/>
    <n v="5000"/>
    <n v="6000"/>
    <n v="30000"/>
    <n v="78000"/>
    <n v="16"/>
    <n v="378000"/>
    <n v="23625"/>
    <n v="24000"/>
    <n v="384000"/>
    <n v="18750"/>
    <n v="5250"/>
    <n v="84000"/>
    <d v="2022-03-29T00:00:00"/>
    <s v="Tue"/>
    <n v="7"/>
    <d v="2022-07-22T00:00:00"/>
    <n v="122"/>
    <n v="67"/>
    <n v="55"/>
    <n v="9.5714285714285712"/>
    <n v="229714.28571428571"/>
    <n v="50250"/>
    <n v="179464.28571428571"/>
    <n v="154285.71428571429"/>
    <n v="47250"/>
    <n v="166250"/>
    <n v="213500"/>
    <n v="36750"/>
    <n v="133750"/>
    <n v="170500"/>
    <n v="16214.28571428571"/>
    <n v="0.67559523809523792"/>
    <n v="5"/>
    <s v="1.(0-30) Days"/>
    <s v="Ok"/>
  </r>
  <r>
    <d v="2022-03-23T00:00:00"/>
    <x v="283"/>
    <n v="481"/>
    <n v="1"/>
    <s v="BIZ"/>
    <n v="600000"/>
    <n v="5"/>
    <n v="6.5000000000000002E-2"/>
    <s v="Weekly"/>
    <s v="Aroma"/>
    <s v="NIGHT RAIMA"/>
    <n v="20000"/>
    <n v="5000"/>
    <n v="12000"/>
    <n v="60000"/>
    <n v="195000"/>
    <n v="20"/>
    <n v="795000"/>
    <n v="39750"/>
    <n v="40000"/>
    <n v="800000"/>
    <n v="30000"/>
    <n v="10000"/>
    <n v="200000"/>
    <d v="2022-03-30T00:00:00"/>
    <s v="Wed"/>
    <n v="7"/>
    <d v="2022-08-23T00:00:00"/>
    <n v="153"/>
    <n v="66"/>
    <n v="87"/>
    <n v="9.4285714285714288"/>
    <n v="377142.85714285716"/>
    <n v="94285.71428571429"/>
    <n v="282857.14285714284"/>
    <n v="422857.14285714284"/>
    <n v="90000"/>
    <n v="270000"/>
    <n v="360000"/>
    <n v="110000"/>
    <n v="330000"/>
    <n v="440000"/>
    <n v="17142.857142857159"/>
    <n v="0.42857142857142899"/>
    <n v="3"/>
    <s v="1.(0-30) Days"/>
    <s v="Ok"/>
  </r>
  <r>
    <d v="2022-03-25T00:00:00"/>
    <x v="87"/>
    <n v="482"/>
    <n v="3"/>
    <s v="BIZ"/>
    <n v="550000"/>
    <n v="5"/>
    <n v="6.5000000000000002E-2"/>
    <s v="Monthly"/>
    <s v="Kana"/>
    <s v="SARIF SAIDI"/>
    <n v="20000"/>
    <n v="5000"/>
    <n v="11000"/>
    <n v="55000"/>
    <n v="178750"/>
    <n v="5"/>
    <n v="728750"/>
    <n v="145750"/>
    <n v="146000"/>
    <n v="730000"/>
    <n v="110000"/>
    <n v="36000"/>
    <n v="180000"/>
    <d v="2022-04-25T00:00:00"/>
    <s v="Mon"/>
    <n v="31"/>
    <d v="2022-08-25T00:00:00"/>
    <n v="153"/>
    <n v="64"/>
    <n v="89"/>
    <n v="2.064516129032258"/>
    <n v="301419.3548387097"/>
    <n v="74322.580645161288"/>
    <n v="227096.77419354839"/>
    <n v="428580.6451612903"/>
    <n v="0"/>
    <n v="0"/>
    <n v="0"/>
    <n v="180000"/>
    <n v="550000"/>
    <n v="730000"/>
    <n v="301419.3548387097"/>
    <n v="2.064516129032258"/>
    <n v="62"/>
    <s v="3.(61-90) Days"/>
    <s v="Ok"/>
  </r>
  <r>
    <d v="2022-03-25T00:00:00"/>
    <x v="249"/>
    <n v="483"/>
    <n v="3"/>
    <s v="STL"/>
    <n v="5500000"/>
    <n v="2"/>
    <n v="2.5000000000000001E-2"/>
    <s v="Monthly"/>
    <s v="Aroma"/>
    <s v="TABAN NICHOLAS"/>
    <n v="10000"/>
    <n v="0"/>
    <n v="55000"/>
    <n v="0"/>
    <n v="275000"/>
    <n v="2"/>
    <n v="5775000"/>
    <n v="2887500"/>
    <n v="2888000"/>
    <n v="5776000"/>
    <n v="2750000"/>
    <n v="138000"/>
    <n v="276000"/>
    <d v="2022-04-25T00:00:00"/>
    <s v="Mon"/>
    <n v="31"/>
    <d v="2022-05-25T00:00:00"/>
    <n v="61"/>
    <s v="Expired"/>
    <n v="0"/>
    <n v="2"/>
    <n v="5776000"/>
    <n v="276000"/>
    <n v="5500000"/>
    <n v="0"/>
    <n v="0"/>
    <n v="0"/>
    <n v="0"/>
    <n v="276000"/>
    <n v="5500000"/>
    <n v="5776000"/>
    <n v="5776000"/>
    <n v="2"/>
    <n v="60"/>
    <s v="2.(31-60) Days"/>
    <s v="Ok"/>
  </r>
  <r>
    <d v="2022-03-25T00:00:00"/>
    <x v="284"/>
    <n v="484"/>
    <n v="1"/>
    <s v="BIZ"/>
    <n v="1000000"/>
    <n v="4"/>
    <n v="6.5000000000000002E-2"/>
    <s v="Monthly"/>
    <s v="Aroma"/>
    <s v="ADAM MUSA LEMERIGA"/>
    <n v="20000"/>
    <n v="5000"/>
    <n v="20000"/>
    <n v="100000"/>
    <n v="260000"/>
    <n v="4"/>
    <n v="1260000"/>
    <n v="315000"/>
    <n v="315000"/>
    <n v="1260000"/>
    <n v="250000"/>
    <n v="65000"/>
    <n v="260000"/>
    <d v="2022-04-25T00:00:00"/>
    <s v="Mon"/>
    <n v="31"/>
    <d v="2022-07-25T00:00:00"/>
    <n v="122"/>
    <n v="64"/>
    <n v="58"/>
    <n v="2.064516129032258"/>
    <n v="650322.58064516122"/>
    <n v="134193.54838709676"/>
    <n v="516129.03225806449"/>
    <n v="609677.41935483878"/>
    <n v="130000"/>
    <n v="190000"/>
    <n v="320000"/>
    <n v="130000"/>
    <n v="810000"/>
    <n v="940000"/>
    <n v="330322.58064516122"/>
    <n v="1.048643113159242"/>
    <n v="32"/>
    <s v="2.(31-60) Days"/>
    <s v="Ok"/>
  </r>
  <r>
    <d v="2022-03-25T00:00:00"/>
    <x v="285"/>
    <n v="485"/>
    <n v="1"/>
    <s v="BIZ"/>
    <n v="3000000"/>
    <n v="6"/>
    <n v="6.5000000000000002E-2"/>
    <s v="Monthly"/>
    <s v="Aroma"/>
    <s v="MAMBO EDWARD"/>
    <n v="30000"/>
    <n v="5000"/>
    <n v="60000"/>
    <n v="300000"/>
    <n v="1170000"/>
    <n v="6"/>
    <n v="4170000"/>
    <n v="695000"/>
    <n v="695000"/>
    <n v="4170000"/>
    <n v="500000"/>
    <n v="195000"/>
    <n v="1170000"/>
    <d v="2022-04-25T00:00:00"/>
    <s v="Mon"/>
    <n v="31"/>
    <d v="2022-09-25T00:00:00"/>
    <n v="184"/>
    <n v="64"/>
    <n v="120"/>
    <n v="2.064516129032258"/>
    <n v="1434838.7096774194"/>
    <n v="402580.6451612903"/>
    <n v="1032258.064516129"/>
    <n v="2735161.2903225804"/>
    <n v="585000"/>
    <n v="114500"/>
    <n v="699500"/>
    <n v="585000"/>
    <n v="2885500"/>
    <n v="3470500"/>
    <n v="735338.70967741963"/>
    <n v="1.0580413088883736"/>
    <n v="32"/>
    <s v="2.(31-60) Days"/>
    <s v="Ok"/>
  </r>
  <r>
    <d v="2022-03-25T00:00:00"/>
    <x v="38"/>
    <n v="486"/>
    <n v="4"/>
    <s v="BIZ"/>
    <n v="5000000"/>
    <n v="1"/>
    <n v="6.5000000000000002E-2"/>
    <s v="Monthly"/>
    <s v="Jerome"/>
    <s v="AYIKORU HARIET BAUDI"/>
    <n v="30000"/>
    <n v="5000"/>
    <n v="100000"/>
    <n v="500000"/>
    <n v="325000"/>
    <n v="1"/>
    <n v="5325000"/>
    <n v="5325000"/>
    <n v="5325000"/>
    <n v="5325000"/>
    <n v="5000000"/>
    <n v="325000"/>
    <n v="325000"/>
    <d v="2022-04-25T00:00:00"/>
    <s v="Mon"/>
    <n v="31"/>
    <d v="2022-04-25T00:00:00"/>
    <n v="31"/>
    <s v="Expired"/>
    <n v="0"/>
    <n v="1"/>
    <n v="5325000"/>
    <n v="325000"/>
    <n v="5000000"/>
    <n v="0"/>
    <n v="325000"/>
    <n v="5000000"/>
    <n v="5325000"/>
    <n v="0"/>
    <n v="0"/>
    <n v="0"/>
    <s v=""/>
    <n v="0"/>
    <n v="0"/>
    <s v="Cleared"/>
    <s v="Ok"/>
  </r>
  <r>
    <d v="2022-03-25T00:00:00"/>
    <x v="227"/>
    <n v="487"/>
    <n v="2"/>
    <s v="SLA"/>
    <n v="5000000"/>
    <n v="7"/>
    <n v="7.4999999999999997E-2"/>
    <s v="Monthly"/>
    <s v="Jerome"/>
    <s v="LETARU GLORIA"/>
    <n v="30000"/>
    <n v="5000"/>
    <n v="100000"/>
    <n v="500000"/>
    <n v="2625000"/>
    <n v="7"/>
    <n v="7625000"/>
    <n v="1089285.7142857143"/>
    <n v="1090000"/>
    <n v="7630000"/>
    <n v="714285.71428571432"/>
    <n v="375714.28571428568"/>
    <n v="2630000"/>
    <d v="2022-04-25T00:00:00"/>
    <s v="Mon"/>
    <n v="31"/>
    <d v="2022-10-25T00:00:00"/>
    <n v="214"/>
    <n v="64"/>
    <n v="150"/>
    <n v="2.064516129032258"/>
    <n v="2250322.5806451612"/>
    <n v="775668.20276497689"/>
    <n v="1474654.3778801844"/>
    <n v="5379677.4193548393"/>
    <n v="375714.28571428568"/>
    <n v="24285.714285714319"/>
    <n v="400000"/>
    <n v="2254285.7142857146"/>
    <n v="4975714.2857142854"/>
    <n v="7230000"/>
    <n v="1850322.5806451607"/>
    <n v="1.6975436519680374"/>
    <n v="51"/>
    <s v="2.(31-60) Days"/>
    <s v="Ok"/>
  </r>
  <r>
    <d v="2022-03-25T00:00:00"/>
    <x v="262"/>
    <n v="488"/>
    <n v="3"/>
    <s v="BIZ"/>
    <n v="2500000"/>
    <n v="2"/>
    <n v="6.5000000000000002E-2"/>
    <s v="Monthly"/>
    <s v="Kana"/>
    <s v="SHAMIM ALIGAH"/>
    <n v="30000"/>
    <n v="5000"/>
    <n v="50000"/>
    <n v="250000"/>
    <n v="325000"/>
    <n v="2"/>
    <n v="2825000"/>
    <n v="1412500"/>
    <n v="1413000"/>
    <n v="2826000"/>
    <n v="1250000"/>
    <n v="163000"/>
    <n v="326000"/>
    <d v="2022-04-25T00:00:00"/>
    <s v="Mon"/>
    <n v="31"/>
    <d v="2022-05-25T00:00:00"/>
    <n v="61"/>
    <s v="Expired"/>
    <n v="0"/>
    <n v="2"/>
    <n v="2826000"/>
    <n v="326000"/>
    <n v="2500000"/>
    <n v="0"/>
    <n v="163000"/>
    <n v="1237000"/>
    <n v="1400000"/>
    <n v="163000"/>
    <n v="1263000"/>
    <n v="1426000"/>
    <n v="1426000"/>
    <n v="1.0092002830856335"/>
    <n v="31"/>
    <s v="2.(31-60) Days"/>
    <s v="Ok"/>
  </r>
  <r>
    <d v="2022-03-25T00:00:00"/>
    <x v="207"/>
    <n v="489"/>
    <n v="3"/>
    <s v="BIZ"/>
    <n v="500000"/>
    <n v="4"/>
    <n v="6.5000000000000002E-2"/>
    <s v="Monthly"/>
    <s v="Kana"/>
    <s v="SAKAYA AMINA"/>
    <n v="15000"/>
    <n v="5000"/>
    <n v="10000"/>
    <n v="50000"/>
    <n v="130000"/>
    <n v="4"/>
    <n v="630000"/>
    <n v="157500"/>
    <n v="158000"/>
    <n v="632000"/>
    <n v="125000"/>
    <n v="33000"/>
    <n v="132000"/>
    <d v="2022-04-25T00:00:00"/>
    <s v="Mon"/>
    <n v="31"/>
    <d v="2022-07-25T00:00:00"/>
    <n v="122"/>
    <n v="64"/>
    <n v="58"/>
    <n v="2.064516129032258"/>
    <n v="326193.54838709679"/>
    <n v="68129.032258064515"/>
    <n v="258064.51612903224"/>
    <n v="305806.45161290321"/>
    <n v="33000"/>
    <n v="254500"/>
    <n v="287500"/>
    <n v="99000"/>
    <n v="245500"/>
    <n v="344500"/>
    <n v="38693.548387096787"/>
    <n v="0.24489587586770117"/>
    <n v="8"/>
    <s v="1.(0-30) Days"/>
    <s v="Ok"/>
  </r>
  <r>
    <d v="2022-03-25T00:00:00"/>
    <x v="286"/>
    <n v="490"/>
    <n v="1"/>
    <s v="QUICK"/>
    <n v="300000"/>
    <n v="1"/>
    <n v="7.4999999999999997E-2"/>
    <s v="Monthly"/>
    <s v="Kana"/>
    <s v="MENGE ABDURAHAMAN RATIB"/>
    <n v="15000"/>
    <n v="5000"/>
    <n v="6000"/>
    <n v="30000"/>
    <n v="22500"/>
    <n v="1"/>
    <n v="322500"/>
    <n v="322500"/>
    <n v="323000"/>
    <n v="323000"/>
    <n v="300000"/>
    <n v="23000"/>
    <n v="23000"/>
    <d v="2022-04-25T00:00:00"/>
    <s v="Mon"/>
    <n v="31"/>
    <d v="2022-04-25T00:00:00"/>
    <n v="31"/>
    <s v="Expired"/>
    <n v="0"/>
    <n v="1"/>
    <n v="323000"/>
    <n v="23000"/>
    <n v="300000"/>
    <n v="0"/>
    <n v="23000"/>
    <n v="300000"/>
    <n v="323000"/>
    <n v="0"/>
    <n v="0"/>
    <n v="0"/>
    <s v=""/>
    <n v="0"/>
    <n v="0"/>
    <s v="Cleared"/>
    <s v="Ok"/>
  </r>
  <r>
    <d v="2022-03-25T00:00:00"/>
    <x v="260"/>
    <n v="491"/>
    <n v="3"/>
    <s v="SLA"/>
    <n v="400000"/>
    <n v="1"/>
    <n v="7.4999999999999997E-2"/>
    <s v="Monthly"/>
    <s v="Aroma"/>
    <s v="PATRICK OKUONZI"/>
    <n v="15000"/>
    <n v="5000"/>
    <n v="8000"/>
    <n v="40000"/>
    <n v="30000"/>
    <n v="1"/>
    <n v="430000"/>
    <n v="430000"/>
    <n v="430000"/>
    <n v="430000"/>
    <n v="400000"/>
    <n v="30000"/>
    <n v="30000"/>
    <d v="2022-04-25T00:00:00"/>
    <s v="Mon"/>
    <n v="31"/>
    <d v="2022-04-25T00:00:00"/>
    <n v="31"/>
    <s v="Expired"/>
    <n v="0"/>
    <n v="1"/>
    <n v="430000"/>
    <n v="30000"/>
    <n v="400000"/>
    <n v="0"/>
    <n v="30000"/>
    <n v="400000"/>
    <n v="430000"/>
    <n v="0"/>
    <n v="0"/>
    <n v="0"/>
    <s v=""/>
    <n v="0"/>
    <n v="0"/>
    <s v="Cleared"/>
    <s v="Ok"/>
  </r>
  <r>
    <d v="2022-04-02T00:00:00"/>
    <x v="287"/>
    <n v="492"/>
    <n v="1"/>
    <s v="BIZ"/>
    <n v="3000000"/>
    <n v="4"/>
    <n v="6.5000000000000002E-2"/>
    <s v="Monthly"/>
    <s v="Jerome"/>
    <s v="TUKEI JOB"/>
    <n v="30000"/>
    <n v="5000"/>
    <n v="60000"/>
    <n v="300000"/>
    <n v="780000"/>
    <n v="4"/>
    <n v="3780000"/>
    <n v="945000"/>
    <n v="945000"/>
    <n v="3780000"/>
    <n v="750000"/>
    <n v="195000"/>
    <n v="780000"/>
    <d v="2022-05-02T00:00:00"/>
    <s v="Mon"/>
    <n v="30"/>
    <d v="2022-08-02T00:00:00"/>
    <n v="122"/>
    <n v="56"/>
    <n v="66"/>
    <n v="1.8666666666666667"/>
    <n v="1764000"/>
    <n v="364000"/>
    <n v="1400000"/>
    <n v="2016000"/>
    <n v="390000"/>
    <n v="540000"/>
    <n v="930000"/>
    <n v="390000"/>
    <n v="2460000"/>
    <n v="2850000"/>
    <n v="834000"/>
    <n v="0.88253968253968251"/>
    <n v="27"/>
    <s v="1.(0-30) Days"/>
    <s v="Ok"/>
  </r>
  <r>
    <d v="2022-04-02T00:00:00"/>
    <x v="126"/>
    <n v="493"/>
    <n v="3"/>
    <s v="BIZ"/>
    <n v="5000000"/>
    <n v="6"/>
    <n v="6.5000000000000002E-2"/>
    <s v="Monthly"/>
    <s v="Aroma"/>
    <s v="AJONYE JANE SINANDUGU"/>
    <n v="30000"/>
    <n v="5000"/>
    <n v="100000"/>
    <n v="500000"/>
    <n v="1950000"/>
    <n v="6"/>
    <n v="6950000"/>
    <n v="1158333.3333333333"/>
    <n v="1159000"/>
    <n v="6954000"/>
    <n v="833333.33333333337"/>
    <n v="325666.66666666663"/>
    <n v="1953999.9999999998"/>
    <d v="2022-05-02T00:00:00"/>
    <s v="Mon"/>
    <n v="30"/>
    <d v="2022-10-02T00:00:00"/>
    <n v="183"/>
    <n v="56"/>
    <n v="127"/>
    <n v="1.8666666666666667"/>
    <n v="2163466.6666666665"/>
    <n v="607911.11111111101"/>
    <n v="1555555.5555555557"/>
    <n v="4790533.333333334"/>
    <n v="325666.66666666663"/>
    <n v="833333.33333333337"/>
    <n v="1159000"/>
    <n v="1628333.333333333"/>
    <n v="4166666.6666666665"/>
    <n v="5795000"/>
    <n v="1004466.666666666"/>
    <n v="0.86666666666666614"/>
    <n v="26"/>
    <s v="1.(0-30) Days"/>
    <s v="Ok"/>
  </r>
  <r>
    <d v="2022-04-02T00:00:00"/>
    <x v="60"/>
    <n v="494"/>
    <n v="3"/>
    <s v="BIZ"/>
    <n v="1000000"/>
    <n v="6"/>
    <n v="6.5000000000000002E-2"/>
    <s v="Monthly"/>
    <s v="Aroma"/>
    <s v="SIJALI ASINA SIS"/>
    <n v="20000"/>
    <n v="5000"/>
    <n v="20000"/>
    <n v="100000"/>
    <n v="390000"/>
    <n v="6"/>
    <n v="1390000"/>
    <n v="231666.66666666666"/>
    <n v="232000"/>
    <n v="1392000"/>
    <n v="166666.66666666666"/>
    <n v="65333.333333333343"/>
    <n v="392000.00000000006"/>
    <d v="2022-05-02T00:00:00"/>
    <s v="Mon"/>
    <n v="30"/>
    <d v="2022-10-02T00:00:00"/>
    <n v="183"/>
    <n v="56"/>
    <n v="127"/>
    <n v="1.8666666666666667"/>
    <n v="433066.66666666669"/>
    <n v="121955.55555555558"/>
    <n v="311111.11111111112"/>
    <n v="958933.33333333326"/>
    <n v="97033.333333333343"/>
    <n v="134666.66666666666"/>
    <n v="231700"/>
    <n v="294966.66666666674"/>
    <n v="865333.33333333337"/>
    <n v="1160300"/>
    <n v="201366.66666666674"/>
    <n v="0.86795977011494285"/>
    <n v="27"/>
    <s v="1.(0-30) Days"/>
    <s v="Ok"/>
  </r>
  <r>
    <d v="2022-04-04T00:00:00"/>
    <x v="68"/>
    <n v="495"/>
    <n v="3"/>
    <s v="BIZ"/>
    <n v="300000"/>
    <n v="3"/>
    <n v="6.5000000000000002E-2"/>
    <s v="Weekly"/>
    <s v="Kana"/>
    <s v="TABU KISA"/>
    <n v="15000"/>
    <n v="5000"/>
    <n v="6000"/>
    <n v="30000"/>
    <n v="58500"/>
    <n v="12"/>
    <n v="358500"/>
    <n v="29875"/>
    <n v="30000"/>
    <n v="360000"/>
    <n v="25000"/>
    <n v="5000"/>
    <n v="60000"/>
    <d v="2022-04-11T00:00:00"/>
    <s v="Mon"/>
    <n v="7"/>
    <d v="2022-07-04T00:00:00"/>
    <n v="91"/>
    <n v="54"/>
    <n v="37"/>
    <n v="7.7142857142857144"/>
    <n v="231428.57142857142"/>
    <n v="38571.428571428572"/>
    <n v="192857.14285714287"/>
    <n v="128571.42857142858"/>
    <n v="25000"/>
    <n v="134000"/>
    <n v="159000"/>
    <n v="35000"/>
    <n v="166000"/>
    <n v="201000"/>
    <n v="72428.57142857142"/>
    <n v="2.4142857142857141"/>
    <n v="17"/>
    <s v="1.(0-30) Days"/>
    <s v="Ok"/>
  </r>
  <r>
    <d v="2022-04-04T00:00:00"/>
    <x v="288"/>
    <n v="496"/>
    <n v="1"/>
    <s v="BIZ"/>
    <n v="500000"/>
    <n v="5"/>
    <n v="6.5000000000000002E-2"/>
    <s v="Monthly"/>
    <s v="Jerome"/>
    <s v="NYAUSI SHABAN LAWRENCE"/>
    <n v="15000"/>
    <n v="5000"/>
    <n v="10000"/>
    <n v="50000"/>
    <n v="162500"/>
    <n v="5"/>
    <n v="662500"/>
    <n v="132500"/>
    <n v="133000"/>
    <n v="665000"/>
    <n v="100000"/>
    <n v="33000"/>
    <n v="165000"/>
    <d v="2022-05-04T00:00:00"/>
    <s v="Wed"/>
    <n v="30"/>
    <d v="2022-09-04T00:00:00"/>
    <n v="153"/>
    <n v="54"/>
    <n v="99"/>
    <n v="1.8"/>
    <n v="239400"/>
    <n v="59400"/>
    <n v="180000"/>
    <n v="425600"/>
    <n v="46000"/>
    <n v="87000"/>
    <n v="133000"/>
    <n v="119000"/>
    <n v="413000"/>
    <n v="532000"/>
    <n v="106400"/>
    <n v="0.8"/>
    <n v="24"/>
    <s v="1.(0-30) Days"/>
    <s v="Ok"/>
  </r>
  <r>
    <d v="2022-04-05T00:00:00"/>
    <x v="239"/>
    <n v="497"/>
    <n v="2"/>
    <s v="BIZ"/>
    <n v="600000"/>
    <n v="5"/>
    <n v="6.5000000000000002E-2"/>
    <s v="Monthly"/>
    <s v="Kana"/>
    <s v="NAUME NIGHT"/>
    <n v="20000"/>
    <n v="5000"/>
    <n v="12000"/>
    <n v="60000"/>
    <n v="195000"/>
    <n v="5"/>
    <n v="795000"/>
    <n v="159000"/>
    <n v="159000"/>
    <n v="795000"/>
    <n v="120000"/>
    <n v="39000"/>
    <n v="195000"/>
    <d v="2022-05-05T00:00:00"/>
    <s v="Thu"/>
    <n v="30"/>
    <d v="2022-09-05T00:00:00"/>
    <n v="153"/>
    <n v="53"/>
    <n v="100"/>
    <n v="1.7666666666666666"/>
    <n v="280900"/>
    <n v="68900"/>
    <n v="212000"/>
    <n v="514100"/>
    <n v="39000"/>
    <n v="120000"/>
    <n v="159000"/>
    <n v="156000"/>
    <n v="480000"/>
    <n v="636000"/>
    <n v="121900"/>
    <n v="0.76666666666666672"/>
    <n v="23"/>
    <s v="1.(0-30) Days"/>
    <s v="Ok"/>
  </r>
  <r>
    <d v="2022-04-05T00:00:00"/>
    <x v="19"/>
    <n v="498"/>
    <n v="4"/>
    <s v="BIZ"/>
    <n v="250000"/>
    <n v="3"/>
    <n v="6.5000000000000002E-2"/>
    <s v="Monthly"/>
    <s v="Jerome"/>
    <s v="ABAU   NOLA"/>
    <n v="15000"/>
    <n v="5000"/>
    <n v="5000"/>
    <n v="25000"/>
    <n v="48750"/>
    <n v="3"/>
    <n v="298750"/>
    <n v="99583.333333333328"/>
    <n v="100000"/>
    <n v="300000"/>
    <n v="83333.333333333328"/>
    <n v="16666.666666666672"/>
    <n v="50000.000000000015"/>
    <d v="2022-05-05T00:00:00"/>
    <s v="Thu"/>
    <n v="30"/>
    <d v="2022-07-05T00:00:00"/>
    <n v="91"/>
    <n v="53"/>
    <n v="38"/>
    <n v="1.7666666666666666"/>
    <n v="176666.66666666666"/>
    <n v="29444.444444444453"/>
    <n v="147222.22222222222"/>
    <n v="123333.33333333334"/>
    <n v="98333.333333333358"/>
    <n v="54666.666666666642"/>
    <n v="153000"/>
    <n v="-48333.333333333343"/>
    <n v="195333.33333333337"/>
    <n v="147000.00000000003"/>
    <n v="23666.666666666686"/>
    <n v="0.23666666666666686"/>
    <n v="8"/>
    <s v="1.(0-30) Days"/>
    <s v="Error on Entry"/>
  </r>
  <r>
    <d v="2022-04-05T00:00:00"/>
    <x v="289"/>
    <n v="499"/>
    <n v="1"/>
    <s v="BIZ"/>
    <n v="1000000"/>
    <n v="4"/>
    <n v="6.5000000000000002E-2"/>
    <s v="Monthly"/>
    <s v="Kana"/>
    <s v="BAKO MASUMBUKA AJUGA"/>
    <n v="20000"/>
    <n v="5000"/>
    <n v="20000"/>
    <n v="100000"/>
    <n v="260000"/>
    <n v="4"/>
    <n v="1260000"/>
    <n v="315000"/>
    <n v="315000"/>
    <n v="1260000"/>
    <n v="250000"/>
    <n v="65000"/>
    <n v="260000"/>
    <d v="2022-05-05T00:00:00"/>
    <s v="Thu"/>
    <n v="30"/>
    <d v="2022-08-05T00:00:00"/>
    <n v="122"/>
    <n v="53"/>
    <n v="69"/>
    <n v="1.7666666666666666"/>
    <n v="556500"/>
    <n v="114833.33333333333"/>
    <n v="441666.66666666663"/>
    <n v="703500"/>
    <n v="65000"/>
    <n v="250000"/>
    <n v="315000"/>
    <n v="195000"/>
    <n v="750000"/>
    <n v="945000"/>
    <n v="241500"/>
    <n v="0.76666666666666672"/>
    <n v="23"/>
    <s v="1.(0-30) Days"/>
    <s v="Ok"/>
  </r>
  <r>
    <d v="2022-04-06T00:00:00"/>
    <x v="290"/>
    <n v="500"/>
    <n v="1"/>
    <s v="BIZ"/>
    <n v="400000"/>
    <n v="4"/>
    <n v="6.5000000000000002E-2"/>
    <s v="Monthly"/>
    <s v="Aroma"/>
    <s v="AJONYE FATUMA"/>
    <n v="15000"/>
    <n v="5000"/>
    <n v="8000"/>
    <n v="40000"/>
    <n v="104000"/>
    <n v="4"/>
    <n v="504000"/>
    <n v="126000"/>
    <n v="126000"/>
    <n v="504000"/>
    <n v="100000"/>
    <n v="26000"/>
    <n v="104000"/>
    <d v="2022-05-06T00:00:00"/>
    <s v="Frid"/>
    <n v="30"/>
    <d v="2022-08-06T00:00:00"/>
    <n v="122"/>
    <n v="52"/>
    <n v="70"/>
    <n v="1.7333333333333334"/>
    <n v="218400"/>
    <n v="45066.666666666672"/>
    <n v="173333.33333333334"/>
    <n v="285600"/>
    <n v="26000"/>
    <n v="100000"/>
    <n v="126000"/>
    <n v="78000"/>
    <n v="300000"/>
    <n v="378000"/>
    <n v="92400"/>
    <n v="0.73333333333333328"/>
    <n v="22"/>
    <s v="1.(0-30) Days"/>
    <s v="Ok"/>
  </r>
  <r>
    <d v="2022-04-06T00:00:00"/>
    <x v="106"/>
    <n v="501"/>
    <n v="3"/>
    <s v="BIZ"/>
    <n v="5000000"/>
    <n v="1"/>
    <n v="6.5000000000000002E-2"/>
    <s v="Monthly"/>
    <s v="Kana"/>
    <s v="OKUYO BERNARD"/>
    <n v="30000"/>
    <n v="5000"/>
    <n v="100000"/>
    <n v="500000"/>
    <n v="325000"/>
    <n v="1"/>
    <n v="5325000"/>
    <n v="5325000"/>
    <n v="5325000"/>
    <n v="5325000"/>
    <n v="5000000"/>
    <n v="325000"/>
    <n v="325000"/>
    <d v="2022-05-06T00:00:00"/>
    <s v="Frid"/>
    <n v="30"/>
    <d v="2022-05-06T00:00:00"/>
    <n v="30"/>
    <s v="Expired"/>
    <n v="0"/>
    <n v="1"/>
    <n v="5325000"/>
    <n v="325000"/>
    <n v="5000000"/>
    <n v="0"/>
    <n v="325000"/>
    <n v="675000"/>
    <n v="1000000"/>
    <n v="0"/>
    <n v="4325000"/>
    <n v="4325000"/>
    <n v="4325000"/>
    <n v="0.81220657276995301"/>
    <n v="25"/>
    <s v="1.(0-30) Days"/>
    <s v="Ok"/>
  </r>
  <r>
    <d v="2022-04-09T00:00:00"/>
    <x v="67"/>
    <n v="502"/>
    <n v="3"/>
    <s v="BIZ"/>
    <n v="1800000"/>
    <n v="6"/>
    <n v="6.5000000000000002E-2"/>
    <s v="Monthly"/>
    <s v="Aroma"/>
    <s v="MUNDURU MERCY"/>
    <n v="25000"/>
    <n v="5000"/>
    <n v="36000"/>
    <n v="180000"/>
    <n v="702000"/>
    <n v="6"/>
    <n v="2502000"/>
    <n v="417000"/>
    <n v="417000"/>
    <n v="2502000"/>
    <n v="300000"/>
    <n v="117000"/>
    <n v="702000"/>
    <d v="2022-05-09T00:00:00"/>
    <s v="Mon"/>
    <n v="30"/>
    <d v="2022-10-09T00:00:00"/>
    <n v="183"/>
    <n v="49"/>
    <n v="134"/>
    <n v="1.6333333333333333"/>
    <n v="681100"/>
    <n v="191100"/>
    <n v="490000"/>
    <n v="1820900"/>
    <n v="117000"/>
    <n v="300000"/>
    <n v="417000"/>
    <n v="585000"/>
    <n v="1500000"/>
    <n v="2085000"/>
    <n v="264100"/>
    <n v="0.6333333333333333"/>
    <n v="19"/>
    <s v="1.(0-30) Days"/>
    <s v="Ok"/>
  </r>
  <r>
    <d v="2022-04-09T00:00:00"/>
    <x v="271"/>
    <n v="503"/>
    <n v="2"/>
    <s v="BIZ"/>
    <n v="3000000"/>
    <n v="4"/>
    <n v="6.5000000000000002E-2"/>
    <s v="Monthly"/>
    <s v="Kana"/>
    <s v="AGOTIA JOYCE"/>
    <n v="30000"/>
    <n v="5000"/>
    <n v="60000"/>
    <n v="300000"/>
    <n v="780000"/>
    <n v="4"/>
    <n v="3780000"/>
    <n v="945000"/>
    <n v="945000"/>
    <n v="3780000"/>
    <n v="750000"/>
    <n v="195000"/>
    <n v="780000"/>
    <d v="2022-05-09T00:00:00"/>
    <s v="Mon"/>
    <n v="30"/>
    <d v="2022-08-09T00:00:00"/>
    <n v="122"/>
    <n v="49"/>
    <n v="73"/>
    <n v="1.6333333333333333"/>
    <n v="1543500"/>
    <n v="318500"/>
    <n v="1225000"/>
    <n v="2236500"/>
    <n v="195000"/>
    <n v="1000000"/>
    <n v="1195000"/>
    <n v="585000"/>
    <n v="2000000"/>
    <n v="2585000"/>
    <n v="348500"/>
    <n v="0.36878306878306877"/>
    <n v="12"/>
    <s v="1.(0-30) Days"/>
    <s v="Ok"/>
  </r>
  <r>
    <d v="2022-04-12T00:00:00"/>
    <x v="291"/>
    <n v="504"/>
    <n v="1"/>
    <s v="QUICK"/>
    <n v="1000000"/>
    <n v="1"/>
    <n v="7.4999999999999997E-2"/>
    <s v="Monthly"/>
    <s v="Kana"/>
    <s v="KAGGWA ROBERT"/>
    <n v="20000"/>
    <n v="5000"/>
    <n v="20000"/>
    <n v="100000"/>
    <n v="75000"/>
    <n v="1"/>
    <n v="1075000"/>
    <n v="1075000"/>
    <n v="1075000"/>
    <n v="1075000"/>
    <n v="1000000"/>
    <n v="75000"/>
    <n v="75000"/>
    <d v="2022-05-12T00:00:00"/>
    <s v="Thu"/>
    <n v="30"/>
    <d v="2022-05-12T00:00:00"/>
    <n v="30"/>
    <s v="Expired"/>
    <n v="0"/>
    <n v="1"/>
    <n v="1075000"/>
    <n v="75000"/>
    <n v="1000000"/>
    <n v="0"/>
    <n v="150000"/>
    <n v="925000"/>
    <n v="1075000"/>
    <n v="-75000"/>
    <n v="75000"/>
    <n v="0"/>
    <s v=""/>
    <n v="0"/>
    <n v="0"/>
    <s v="Cleared"/>
    <s v="Error on Entry"/>
  </r>
  <r>
    <d v="2022-04-12T00:00:00"/>
    <x v="23"/>
    <n v="505"/>
    <n v="3"/>
    <s v="STL"/>
    <n v="1400000"/>
    <n v="9"/>
    <n v="2.5000000000000001E-2"/>
    <s v="Monthly"/>
    <s v="Kana"/>
    <s v="VITA JEROME"/>
    <n v="10000"/>
    <n v="0"/>
    <n v="14000"/>
    <n v="0"/>
    <n v="315000"/>
    <n v="9"/>
    <n v="1715000"/>
    <n v="190555.55555555556"/>
    <n v="191000"/>
    <n v="1719000"/>
    <n v="155555.55555555556"/>
    <n v="35444.444444444438"/>
    <n v="318999.99999999994"/>
    <d v="2022-05-12T00:00:00"/>
    <s v="Thu"/>
    <n v="30"/>
    <d v="2023-01-12T00:00:00"/>
    <n v="275"/>
    <n v="46"/>
    <n v="229"/>
    <n v="1.5333333333333334"/>
    <n v="292866.66666666669"/>
    <n v="54348.148148148139"/>
    <n v="238518.51851851854"/>
    <n v="1426133.3333333333"/>
    <n v="70888.888888888876"/>
    <n v="311111.11111111112"/>
    <n v="382000"/>
    <n v="248111.11111111107"/>
    <n v="1088888.888888889"/>
    <n v="1337000"/>
    <s v=""/>
    <n v="0"/>
    <n v="0"/>
    <s v="Clean"/>
    <s v="Ok"/>
  </r>
  <r>
    <d v="2022-04-12T00:00:00"/>
    <x v="161"/>
    <n v="506"/>
    <n v="3"/>
    <s v="BIZ"/>
    <n v="700000"/>
    <n v="4"/>
    <n v="6.5000000000000002E-2"/>
    <s v="Monthly"/>
    <s v="Jerome"/>
    <s v="GERIA VIOLA"/>
    <n v="20000"/>
    <n v="5000"/>
    <n v="14000"/>
    <n v="70000"/>
    <n v="182000"/>
    <n v="4"/>
    <n v="882000"/>
    <n v="220500"/>
    <n v="221000"/>
    <n v="884000"/>
    <n v="175000"/>
    <n v="46000"/>
    <n v="184000"/>
    <d v="2022-05-12T00:00:00"/>
    <s v="Thu"/>
    <n v="30"/>
    <d v="2022-08-12T00:00:00"/>
    <n v="122"/>
    <n v="46"/>
    <n v="76"/>
    <n v="1.5333333333333334"/>
    <n v="338866.66666666669"/>
    <n v="70533.333333333343"/>
    <n v="268333.33333333337"/>
    <n v="545133.33333333326"/>
    <n v="81000"/>
    <n v="154000"/>
    <n v="235000"/>
    <n v="103000"/>
    <n v="546000"/>
    <n v="649000"/>
    <n v="103866.66666666674"/>
    <n v="0.4699849170437409"/>
    <n v="15"/>
    <s v="1.(0-30) Days"/>
    <s v="Ok"/>
  </r>
  <r>
    <d v="2022-04-13T00:00:00"/>
    <x v="6"/>
    <n v="507"/>
    <n v="4"/>
    <s v="BIZ"/>
    <n v="550000"/>
    <n v="4"/>
    <n v="6.5000000000000002E-2"/>
    <s v="Monthly"/>
    <s v="Kana"/>
    <s v="TABAN DAVID YAYA"/>
    <n v="20000"/>
    <n v="5000"/>
    <n v="11000"/>
    <n v="55000"/>
    <n v="143000"/>
    <n v="4"/>
    <n v="693000"/>
    <n v="173250"/>
    <n v="174000"/>
    <n v="696000"/>
    <n v="137500"/>
    <n v="36500"/>
    <n v="146000"/>
    <d v="2022-05-13T00:00:00"/>
    <s v="Frid"/>
    <n v="30"/>
    <d v="2022-08-13T00:00:00"/>
    <n v="122"/>
    <n v="45"/>
    <n v="77"/>
    <n v="1.5"/>
    <n v="261000"/>
    <n v="54750"/>
    <n v="206250"/>
    <n v="435000"/>
    <n v="139500"/>
    <n v="120500"/>
    <n v="260000"/>
    <n v="6500"/>
    <n v="429500"/>
    <n v="436000"/>
    <n v="1000"/>
    <n v="5.7471264367816091E-3"/>
    <n v="1"/>
    <s v="1.(0-30) Days"/>
    <s v="Ok"/>
  </r>
  <r>
    <d v="2022-04-13T00:00:00"/>
    <x v="154"/>
    <n v="508"/>
    <n v="2"/>
    <s v="BIZ"/>
    <n v="1550000"/>
    <n v="6"/>
    <n v="6.5000000000000002E-2"/>
    <s v="Weekly"/>
    <s v="Kana"/>
    <s v="ARIKE SWAIB"/>
    <n v="25000"/>
    <n v="5000"/>
    <n v="31000"/>
    <n v="155000"/>
    <n v="604500"/>
    <n v="24"/>
    <n v="2154500"/>
    <n v="89770.833333333328"/>
    <n v="90000"/>
    <n v="2160000"/>
    <n v="64583.333333333336"/>
    <n v="25416.666666666664"/>
    <n v="610000"/>
    <d v="2022-04-20T00:00:00"/>
    <s v="Wed"/>
    <n v="7"/>
    <d v="2022-10-13T00:00:00"/>
    <n v="183"/>
    <n v="45"/>
    <n v="138"/>
    <n v="6.4285714285714288"/>
    <n v="578571.42857142864"/>
    <n v="163392.85714285713"/>
    <n v="415178.57142857148"/>
    <n v="1581428.5714285714"/>
    <n v="177916.66666666663"/>
    <n v="437083.33333333331"/>
    <n v="615000"/>
    <n v="432083.33333333337"/>
    <n v="1112916.6666666667"/>
    <n v="1545000"/>
    <s v=""/>
    <n v="0"/>
    <n v="0"/>
    <s v="Clean"/>
    <s v="Ok"/>
  </r>
  <r>
    <d v="2022-04-13T00:00:00"/>
    <x v="11"/>
    <n v="509"/>
    <n v="2"/>
    <s v="BIZ"/>
    <n v="1000000"/>
    <n v="6"/>
    <n v="6.5000000000000002E-2"/>
    <s v="Monthly"/>
    <s v="Jerome"/>
    <s v="ALLONE AMOS DAMAI"/>
    <n v="20000"/>
    <n v="5000"/>
    <n v="20000"/>
    <n v="100000"/>
    <n v="390000"/>
    <n v="6"/>
    <n v="1390000"/>
    <n v="231666.66666666666"/>
    <n v="232000"/>
    <n v="1392000"/>
    <n v="166666.66666666666"/>
    <n v="65333.333333333343"/>
    <n v="392000.00000000006"/>
    <d v="2022-05-13T00:00:00"/>
    <s v="Frid"/>
    <n v="30"/>
    <d v="2022-10-13T00:00:00"/>
    <n v="183"/>
    <n v="45"/>
    <n v="138"/>
    <n v="1.5"/>
    <n v="348000"/>
    <n v="98000.000000000015"/>
    <n v="250000"/>
    <n v="1044000"/>
    <n v="65333.333333333343"/>
    <n v="166366.66666666666"/>
    <n v="231700"/>
    <n v="326666.66666666674"/>
    <n v="833633.33333333337"/>
    <n v="1160300"/>
    <n v="116300"/>
    <n v="0.50129310344827582"/>
    <n v="16"/>
    <s v="1.(0-30) Days"/>
    <s v="Ok"/>
  </r>
  <r>
    <d v="2022-04-13T00:00:00"/>
    <x v="56"/>
    <n v="510"/>
    <n v="6"/>
    <s v="BIZ"/>
    <n v="8000000"/>
    <n v="1"/>
    <n v="6.5000000000000002E-2"/>
    <s v="Monthly"/>
    <s v="Jerome"/>
    <s v="DRANDUA JOB CHRISPUS"/>
    <n v="30000"/>
    <n v="5000"/>
    <n v="160000"/>
    <n v="800000"/>
    <n v="520000"/>
    <n v="1"/>
    <n v="8520000"/>
    <n v="8520000"/>
    <n v="8520000"/>
    <n v="8520000"/>
    <n v="8000000"/>
    <n v="520000"/>
    <n v="520000"/>
    <d v="2022-05-13T00:00:00"/>
    <s v="Frid"/>
    <n v="30"/>
    <d v="2022-05-13T00:00:00"/>
    <n v="30"/>
    <s v="Expired"/>
    <n v="0"/>
    <n v="1"/>
    <n v="8520000"/>
    <n v="520000"/>
    <n v="8000000"/>
    <n v="0"/>
    <n v="520000"/>
    <n v="8000000"/>
    <n v="8520000"/>
    <n v="0"/>
    <n v="0"/>
    <n v="0"/>
    <s v=""/>
    <n v="0"/>
    <n v="0"/>
    <s v="Cleared"/>
    <s v="Ok"/>
  </r>
  <r>
    <d v="2022-04-21T00:00:00"/>
    <x v="256"/>
    <n v="511"/>
    <n v="2"/>
    <s v="SLA"/>
    <n v="450000"/>
    <n v="3"/>
    <n v="7.4999999999999997E-2"/>
    <s v="Monthly"/>
    <s v="Jerome"/>
    <s v="LEMAKU SWAIB"/>
    <n v="15000"/>
    <n v="5000"/>
    <n v="9000"/>
    <n v="45000"/>
    <n v="101250"/>
    <n v="3"/>
    <n v="551250"/>
    <n v="183750"/>
    <n v="184000"/>
    <n v="552000"/>
    <n v="150000"/>
    <n v="34000"/>
    <n v="102000"/>
    <d v="2022-05-21T00:00:00"/>
    <s v="Sat"/>
    <n v="30"/>
    <d v="2022-07-21T00:00:00"/>
    <n v="91"/>
    <n v="37"/>
    <n v="54"/>
    <n v="1.2333333333333334"/>
    <n v="226933.33333333334"/>
    <n v="41933.333333333336"/>
    <n v="185000"/>
    <n v="325066.66666666663"/>
    <n v="34000"/>
    <n v="126000"/>
    <n v="160000"/>
    <n v="68000"/>
    <n v="324000"/>
    <n v="392000"/>
    <n v="66933.333333333372"/>
    <n v="0.36376811594202918"/>
    <n v="11"/>
    <s v="1.(0-30) Days"/>
    <s v="Ok"/>
  </r>
  <r>
    <d v="2022-04-21T00:00:00"/>
    <x v="136"/>
    <n v="512"/>
    <n v="2"/>
    <s v="BIZ"/>
    <n v="500000"/>
    <n v="1"/>
    <n v="6.5000000000000002E-2"/>
    <s v="Monthly"/>
    <s v="Aroma"/>
    <s v="AYIKORU MARIAM"/>
    <n v="15000"/>
    <n v="5000"/>
    <n v="10000"/>
    <n v="50000"/>
    <n v="32500"/>
    <n v="1"/>
    <n v="532500"/>
    <n v="532500"/>
    <n v="533000"/>
    <n v="533000"/>
    <n v="500000"/>
    <n v="33000"/>
    <n v="33000"/>
    <d v="2022-05-21T00:00:00"/>
    <s v="Sat"/>
    <n v="30"/>
    <d v="2022-05-21T00:00:00"/>
    <n v="30"/>
    <s v="Expired"/>
    <n v="0"/>
    <n v="1"/>
    <n v="533000"/>
    <n v="33000"/>
    <n v="500000"/>
    <n v="0"/>
    <n v="33000"/>
    <n v="167000"/>
    <n v="200000"/>
    <n v="0"/>
    <n v="333000"/>
    <n v="333000"/>
    <n v="333000"/>
    <n v="0.62476547842401498"/>
    <n v="19"/>
    <s v="1.(0-30) Days"/>
    <s v="Ok"/>
  </r>
  <r>
    <d v="2022-04-21T00:00:00"/>
    <x v="125"/>
    <n v="513"/>
    <n v="4"/>
    <s v="BIZ"/>
    <n v="3000000"/>
    <n v="3"/>
    <n v="6.5000000000000002E-2"/>
    <s v="Monthly"/>
    <s v="Aroma"/>
    <s v="BAKO ASINA"/>
    <n v="30000"/>
    <n v="5000"/>
    <n v="60000"/>
    <n v="300000"/>
    <n v="585000"/>
    <n v="3"/>
    <n v="3585000"/>
    <n v="1195000"/>
    <n v="1195000"/>
    <n v="3585000"/>
    <n v="1000000"/>
    <n v="195000"/>
    <n v="585000"/>
    <d v="2022-05-21T00:00:00"/>
    <s v="Sat"/>
    <n v="30"/>
    <d v="2022-07-21T00:00:00"/>
    <n v="91"/>
    <n v="37"/>
    <n v="54"/>
    <n v="1.2333333333333334"/>
    <n v="1473833.3333333335"/>
    <n v="240500"/>
    <n v="1233333.3333333335"/>
    <n v="2111166.6666666665"/>
    <n v="195000"/>
    <n v="805000"/>
    <n v="1000000"/>
    <n v="390000"/>
    <n v="2195000"/>
    <n v="2585000"/>
    <n v="473833.33333333349"/>
    <n v="0.39651324965132512"/>
    <n v="12"/>
    <s v="1.(0-30) Days"/>
    <s v="Ok"/>
  </r>
  <r>
    <d v="2022-04-23T00:00:00"/>
    <x v="228"/>
    <n v="514"/>
    <n v="4"/>
    <s v="BIZ"/>
    <n v="500000"/>
    <n v="3"/>
    <n v="6.5000000000000002E-2"/>
    <s v="Monthly"/>
    <s v="Jerome"/>
    <s v="SIDA ZAINABU"/>
    <n v="15000"/>
    <n v="5000"/>
    <n v="10000"/>
    <n v="50000"/>
    <n v="97500"/>
    <n v="3"/>
    <n v="597500"/>
    <n v="199166.66666666666"/>
    <n v="200000"/>
    <n v="600000"/>
    <n v="166666.66666666666"/>
    <n v="33333.333333333343"/>
    <n v="100000.00000000003"/>
    <d v="2022-05-23T00:00:00"/>
    <s v="Mon"/>
    <n v="30"/>
    <d v="2022-07-23T00:00:00"/>
    <n v="91"/>
    <n v="35"/>
    <n v="56"/>
    <n v="1.1666666666666667"/>
    <n v="233333.33333333334"/>
    <n v="38888.888888888905"/>
    <n v="194444.44444444444"/>
    <n v="366666.66666666663"/>
    <n v="0"/>
    <n v="0"/>
    <n v="0"/>
    <n v="100000.00000000003"/>
    <n v="500000"/>
    <n v="600000"/>
    <n v="233333.33333333337"/>
    <n v="1.166666666666667"/>
    <n v="35"/>
    <s v="2.(31-60) Days"/>
    <s v="Ok"/>
  </r>
  <r>
    <d v="2022-04-23T00:00:00"/>
    <x v="73"/>
    <n v="515"/>
    <n v="3"/>
    <s v="SLA"/>
    <n v="600000"/>
    <n v="3"/>
    <n v="7.4999999999999997E-2"/>
    <s v="Monthly"/>
    <s v="Jerome"/>
    <s v="DIPIYO BEATRICE JOHN"/>
    <n v="20000"/>
    <n v="5000"/>
    <n v="12000"/>
    <n v="60000"/>
    <n v="135000"/>
    <n v="3"/>
    <n v="735000"/>
    <n v="245000"/>
    <n v="245000"/>
    <n v="735000"/>
    <n v="200000"/>
    <n v="45000"/>
    <n v="135000"/>
    <d v="2022-05-23T00:00:00"/>
    <s v="Mon"/>
    <n v="30"/>
    <d v="2022-07-23T00:00:00"/>
    <n v="91"/>
    <n v="35"/>
    <n v="56"/>
    <n v="1.1666666666666667"/>
    <n v="285833.33333333337"/>
    <n v="52500"/>
    <n v="233333.33333333334"/>
    <n v="449166.66666666663"/>
    <n v="45000"/>
    <n v="200000"/>
    <n v="245000"/>
    <n v="90000"/>
    <n v="400000"/>
    <n v="490000"/>
    <n v="40833.333333333372"/>
    <n v="0.16666666666666682"/>
    <n v="5"/>
    <s v="1.(0-30) Days"/>
    <s v="Ok"/>
  </r>
  <r>
    <d v="2022-04-23T00:00:00"/>
    <x v="121"/>
    <n v="516"/>
    <n v="3"/>
    <s v="BIZ"/>
    <n v="700000"/>
    <n v="5"/>
    <n v="6.5000000000000002E-2"/>
    <s v="Monthly"/>
    <s v="Aroma"/>
    <s v="TIKO ZABIBU"/>
    <n v="20000"/>
    <n v="5000"/>
    <n v="14000"/>
    <n v="70000"/>
    <n v="227500"/>
    <n v="5"/>
    <n v="927500"/>
    <n v="185500"/>
    <n v="186000"/>
    <n v="930000"/>
    <n v="140000"/>
    <n v="46000"/>
    <n v="230000"/>
    <d v="2022-05-23T00:00:00"/>
    <s v="Mon"/>
    <n v="30"/>
    <d v="2022-09-23T00:00:00"/>
    <n v="153"/>
    <n v="35"/>
    <n v="118"/>
    <n v="1.1666666666666667"/>
    <n v="217000"/>
    <n v="53666.666666666672"/>
    <n v="163333.33333333334"/>
    <n v="713000"/>
    <n v="46000"/>
    <n v="74000"/>
    <n v="120000"/>
    <n v="184000"/>
    <n v="626000"/>
    <n v="810000"/>
    <n v="97000"/>
    <n v="0.521505376344086"/>
    <n v="16"/>
    <s v="1.(0-30) Days"/>
    <s v="Ok"/>
  </r>
  <r>
    <d v="2022-04-25T00:00:00"/>
    <x v="292"/>
    <n v="517"/>
    <n v="1"/>
    <s v="BIZ"/>
    <n v="1200000"/>
    <n v="5"/>
    <n v="6.5000000000000002E-2"/>
    <s v="Monthly"/>
    <s v="Aroma"/>
    <s v="KANYA NAIMA"/>
    <n v="25000"/>
    <n v="5000"/>
    <n v="24000"/>
    <n v="120000"/>
    <n v="390000"/>
    <n v="5"/>
    <n v="1590000"/>
    <n v="318000"/>
    <n v="318000"/>
    <n v="1590000"/>
    <n v="240000"/>
    <n v="78000"/>
    <n v="390000"/>
    <d v="2022-05-25T00:00:00"/>
    <s v="Wed"/>
    <n v="30"/>
    <d v="2022-09-25T00:00:00"/>
    <n v="153"/>
    <n v="33"/>
    <n v="120"/>
    <n v="1.1000000000000001"/>
    <n v="349800"/>
    <n v="85800"/>
    <n v="264000"/>
    <n v="1240200"/>
    <n v="78000"/>
    <n v="240000"/>
    <n v="318000"/>
    <n v="312000"/>
    <n v="960000"/>
    <n v="1272000"/>
    <n v="31800"/>
    <n v="0.1"/>
    <n v="3"/>
    <s v="1.(0-30) Days"/>
    <s v="Ok"/>
  </r>
  <r>
    <d v="2022-04-28T00:00:00"/>
    <x v="181"/>
    <n v="518"/>
    <n v="3"/>
    <s v="BIZ"/>
    <n v="600000"/>
    <n v="6"/>
    <n v="6.5000000000000002E-2"/>
    <s v="Monthly"/>
    <s v="Jerome"/>
    <s v="SERIYA FLORENCE"/>
    <n v="20000"/>
    <n v="5000"/>
    <n v="12000"/>
    <n v="60000"/>
    <n v="234000"/>
    <n v="6"/>
    <n v="834000"/>
    <n v="139000"/>
    <n v="139000"/>
    <n v="834000"/>
    <n v="100000"/>
    <n v="39000"/>
    <n v="234000"/>
    <d v="2022-05-28T00:00:00"/>
    <s v="Sat"/>
    <n v="30"/>
    <d v="2022-10-28T00:00:00"/>
    <n v="183"/>
    <n v="30"/>
    <n v="153"/>
    <n v="0"/>
    <n v="0"/>
    <n v="0"/>
    <n v="0"/>
    <n v="834000"/>
    <n v="0"/>
    <n v="0"/>
    <n v="0"/>
    <n v="234000"/>
    <n v="600000"/>
    <n v="834000"/>
    <s v=""/>
    <n v="0"/>
    <n v="0"/>
    <s v="Clean"/>
    <s v="Ok"/>
  </r>
  <r>
    <d v="2022-04-28T00:00:00"/>
    <x v="108"/>
    <n v="519"/>
    <n v="3"/>
    <s v="BIZ"/>
    <n v="500000"/>
    <n v="5"/>
    <n v="6.5000000000000002E-2"/>
    <s v="Monthly"/>
    <s v="Aroma"/>
    <s v="CHANDI ZANABU"/>
    <n v="15000"/>
    <n v="5000"/>
    <n v="10000"/>
    <n v="50000"/>
    <n v="162500"/>
    <n v="5"/>
    <n v="662500"/>
    <n v="132500"/>
    <n v="133000"/>
    <n v="665000"/>
    <n v="100000"/>
    <n v="33000"/>
    <n v="165000"/>
    <d v="2022-05-28T00:00:00"/>
    <s v="Sat"/>
    <n v="30"/>
    <d v="2022-09-28T00:00:00"/>
    <n v="153"/>
    <n v="30"/>
    <n v="123"/>
    <n v="0"/>
    <n v="0"/>
    <n v="0"/>
    <n v="0"/>
    <n v="665000"/>
    <n v="0"/>
    <n v="0"/>
    <n v="0"/>
    <n v="165000"/>
    <n v="500000"/>
    <n v="665000"/>
    <s v=""/>
    <n v="0"/>
    <n v="0"/>
    <s v="Clean"/>
    <s v="Ok"/>
  </r>
  <r>
    <d v="2022-04-28T00:00:00"/>
    <x v="151"/>
    <n v="520"/>
    <n v="3"/>
    <s v="BIZ"/>
    <n v="700000"/>
    <n v="5"/>
    <n v="6.5000000000000002E-2"/>
    <s v="Monthly"/>
    <s v="Kana"/>
    <s v="AYITE MARGERT"/>
    <n v="20000"/>
    <n v="5000"/>
    <n v="14000"/>
    <n v="70000"/>
    <n v="227500"/>
    <n v="5"/>
    <n v="927500"/>
    <n v="185500"/>
    <n v="186000"/>
    <n v="930000"/>
    <n v="140000"/>
    <n v="46000"/>
    <n v="230000"/>
    <d v="2022-05-28T00:00:00"/>
    <s v="Sat"/>
    <n v="30"/>
    <d v="2022-09-28T00:00:00"/>
    <n v="153"/>
    <n v="30"/>
    <n v="123"/>
    <n v="0"/>
    <n v="0"/>
    <n v="0"/>
    <n v="0"/>
    <n v="930000"/>
    <n v="0"/>
    <n v="0"/>
    <n v="0"/>
    <n v="230000"/>
    <n v="700000"/>
    <n v="930000"/>
    <s v=""/>
    <n v="0"/>
    <n v="0"/>
    <s v="Clean"/>
    <s v="Ok"/>
  </r>
  <r>
    <d v="2022-04-28T00:00:00"/>
    <x v="267"/>
    <n v="521"/>
    <n v="2"/>
    <s v="SLA"/>
    <n v="1000000"/>
    <n v="2"/>
    <n v="7.4999999999999997E-2"/>
    <s v="Monthly"/>
    <s v="Aroma"/>
    <s v="ANDERU MONICA"/>
    <n v="20000"/>
    <n v="5000"/>
    <n v="20000"/>
    <n v="100000"/>
    <n v="150000"/>
    <n v="2"/>
    <n v="1150000"/>
    <n v="575000"/>
    <n v="575000"/>
    <n v="1150000"/>
    <n v="500000"/>
    <n v="75000"/>
    <n v="150000"/>
    <d v="2022-05-28T00:00:00"/>
    <s v="Sat"/>
    <n v="30"/>
    <d v="2022-06-28T00:00:00"/>
    <n v="61"/>
    <n v="30"/>
    <n v="31"/>
    <n v="0"/>
    <n v="0"/>
    <n v="0"/>
    <n v="0"/>
    <n v="1150000"/>
    <n v="75000"/>
    <n v="225000"/>
    <n v="300000"/>
    <n v="75000"/>
    <n v="775000"/>
    <n v="850000"/>
    <s v=""/>
    <n v="0"/>
    <n v="0"/>
    <s v="Clean"/>
    <s v="Ok"/>
  </r>
  <r>
    <d v="2022-04-28T00:00:00"/>
    <x v="238"/>
    <n v="522"/>
    <n v="2"/>
    <s v="BIZ"/>
    <n v="600000"/>
    <n v="5"/>
    <n v="6.5000000000000002E-2"/>
    <s v="Monthly"/>
    <s v="Jerome"/>
    <s v="FAITH JOSEPHINE"/>
    <n v="20000"/>
    <n v="5000"/>
    <n v="12000"/>
    <n v="60000"/>
    <n v="195000"/>
    <n v="5"/>
    <n v="795000"/>
    <n v="159000"/>
    <n v="159000"/>
    <n v="795000"/>
    <n v="120000"/>
    <n v="39000"/>
    <n v="195000"/>
    <d v="2022-05-28T00:00:00"/>
    <s v="Sat"/>
    <n v="30"/>
    <d v="2022-09-28T00:00:00"/>
    <n v="153"/>
    <n v="30"/>
    <n v="123"/>
    <n v="0"/>
    <n v="0"/>
    <n v="0"/>
    <n v="0"/>
    <n v="795000"/>
    <n v="0"/>
    <n v="0"/>
    <n v="0"/>
    <n v="195000"/>
    <n v="600000"/>
    <n v="795000"/>
    <s v=""/>
    <n v="0"/>
    <n v="0"/>
    <s v="Clean"/>
    <s v="Ok"/>
  </r>
  <r>
    <d v="2022-05-05T00:00:00"/>
    <x v="35"/>
    <n v="523"/>
    <n v="3"/>
    <s v="BIZ"/>
    <n v="400000"/>
    <n v="4"/>
    <n v="6.5000000000000002E-2"/>
    <s v="Monthly"/>
    <s v="Aroma"/>
    <s v="KEBITA SAUDA"/>
    <n v="15000"/>
    <n v="5000"/>
    <n v="8000"/>
    <n v="40000"/>
    <n v="104000"/>
    <n v="4"/>
    <n v="504000"/>
    <n v="126000"/>
    <n v="126000"/>
    <n v="504000"/>
    <n v="100000"/>
    <n v="26000"/>
    <n v="104000"/>
    <d v="2022-06-05T00:00:00"/>
    <s v="Sun"/>
    <n v="31"/>
    <d v="2022-09-05T00:00:00"/>
    <n v="123"/>
    <n v="23"/>
    <n v="100"/>
    <n v="0"/>
    <n v="0"/>
    <n v="0"/>
    <n v="0"/>
    <n v="504000"/>
    <n v="26000"/>
    <n v="14000"/>
    <n v="40000"/>
    <n v="78000"/>
    <n v="386000"/>
    <n v="464000"/>
    <s v=""/>
    <n v="0"/>
    <n v="0"/>
    <s v="Clean"/>
    <s v="Ok"/>
  </r>
  <r>
    <d v="2022-05-05T00:00:00"/>
    <x v="204"/>
    <n v="524"/>
    <n v="7"/>
    <s v="BIZ"/>
    <n v="800000"/>
    <n v="4"/>
    <n v="6.5000000000000002E-2"/>
    <s v="Monthly"/>
    <s v="Aroma"/>
    <s v="DADA ISAAC"/>
    <n v="20000"/>
    <n v="5000"/>
    <n v="16000"/>
    <n v="80000"/>
    <n v="208000"/>
    <n v="4"/>
    <n v="1008000"/>
    <n v="252000"/>
    <n v="252000"/>
    <n v="1008000"/>
    <n v="200000"/>
    <n v="52000"/>
    <n v="208000"/>
    <d v="2022-06-05T00:00:00"/>
    <s v="Sun"/>
    <n v="31"/>
    <d v="2022-09-05T00:00:00"/>
    <n v="123"/>
    <n v="23"/>
    <n v="100"/>
    <n v="0"/>
    <n v="0"/>
    <n v="0"/>
    <n v="0"/>
    <n v="1008000"/>
    <n v="0"/>
    <n v="0"/>
    <n v="0"/>
    <n v="208000"/>
    <n v="800000"/>
    <n v="1008000"/>
    <s v=""/>
    <n v="0"/>
    <n v="0"/>
    <s v="Clean"/>
    <s v="Ok"/>
  </r>
  <r>
    <d v="2022-05-06T00:00:00"/>
    <x v="254"/>
    <n v="525"/>
    <n v="2"/>
    <s v="BIZ"/>
    <n v="1500000"/>
    <n v="5"/>
    <n v="6.5000000000000002E-2"/>
    <s v="Monthly"/>
    <s v="Kana"/>
    <s v="NAMBOZO HALIMA"/>
    <n v="25000"/>
    <n v="5000"/>
    <n v="30000"/>
    <n v="150000"/>
    <n v="487500"/>
    <n v="5"/>
    <n v="1987500"/>
    <n v="397500"/>
    <n v="398000"/>
    <n v="1990000"/>
    <n v="300000"/>
    <n v="98000"/>
    <n v="490000"/>
    <d v="2022-06-06T00:00:00"/>
    <s v="Mon"/>
    <n v="31"/>
    <d v="2022-10-06T00:00:00"/>
    <n v="153"/>
    <n v="22"/>
    <n v="131"/>
    <n v="0"/>
    <n v="0"/>
    <n v="0"/>
    <n v="0"/>
    <n v="1990000"/>
    <n v="98000"/>
    <n v="102000"/>
    <n v="200000"/>
    <n v="392000"/>
    <n v="1398000"/>
    <n v="1790000"/>
    <s v=""/>
    <n v="0"/>
    <n v="0"/>
    <s v="Clean"/>
    <s v="Ok"/>
  </r>
  <r>
    <d v="2022-05-06T00:00:00"/>
    <x v="293"/>
    <n v="526"/>
    <n v="1"/>
    <s v="BIZ"/>
    <n v="500000"/>
    <n v="1"/>
    <n v="6.5000000000000002E-2"/>
    <s v="Monthly"/>
    <s v="Kana"/>
    <s v="MUSA ZAKARIA"/>
    <n v="15000"/>
    <n v="5000"/>
    <n v="10000"/>
    <n v="50000"/>
    <n v="32500"/>
    <n v="1"/>
    <n v="532500"/>
    <n v="532500"/>
    <n v="533000"/>
    <n v="533000"/>
    <n v="500000"/>
    <n v="33000"/>
    <n v="33000"/>
    <d v="2022-06-06T00:00:00"/>
    <s v="Mon"/>
    <n v="31"/>
    <d v="2022-06-06T00:00:00"/>
    <n v="31"/>
    <n v="22"/>
    <n v="9"/>
    <n v="0"/>
    <n v="0"/>
    <n v="0"/>
    <n v="0"/>
    <n v="533000"/>
    <n v="0"/>
    <n v="0"/>
    <n v="0"/>
    <n v="33000"/>
    <n v="500000"/>
    <n v="533000"/>
    <s v=""/>
    <n v="0"/>
    <n v="0"/>
    <s v="Clean"/>
    <s v="Ok"/>
  </r>
  <r>
    <d v="2022-05-09T00:00:00"/>
    <x v="294"/>
    <n v="527"/>
    <n v="1"/>
    <s v="QUICK"/>
    <n v="300000"/>
    <n v="1"/>
    <n v="7.4999999999999997E-2"/>
    <s v="Monthly"/>
    <s v="Jerome"/>
    <s v="LUPAI DAVID"/>
    <n v="15000"/>
    <n v="5000"/>
    <n v="6000"/>
    <n v="30000"/>
    <n v="22500"/>
    <n v="1"/>
    <n v="322500"/>
    <n v="322500"/>
    <n v="323000"/>
    <n v="323000"/>
    <n v="300000"/>
    <n v="23000"/>
    <n v="23000"/>
    <d v="2022-06-09T00:00:00"/>
    <s v="Thu"/>
    <n v="31"/>
    <d v="2022-06-09T00:00:00"/>
    <n v="31"/>
    <n v="19"/>
    <n v="12"/>
    <n v="0"/>
    <n v="0"/>
    <n v="0"/>
    <n v="0"/>
    <n v="323000"/>
    <n v="23000"/>
    <n v="147000"/>
    <n v="170000"/>
    <n v="0"/>
    <n v="153000"/>
    <n v="153000"/>
    <s v=""/>
    <n v="0"/>
    <n v="0"/>
    <s v="Clean"/>
    <s v="Ok"/>
  </r>
  <r>
    <d v="2022-05-10T00:00:00"/>
    <x v="274"/>
    <n v="528"/>
    <n v="2"/>
    <s v="BIZ"/>
    <n v="1000000"/>
    <n v="2"/>
    <n v="6.5000000000000002E-2"/>
    <s v="Monthly"/>
    <s v="Kana"/>
    <s v="NSUBUGA DAVID"/>
    <n v="20000"/>
    <n v="5000"/>
    <n v="20000"/>
    <n v="100000"/>
    <n v="130000"/>
    <n v="2"/>
    <n v="1130000"/>
    <n v="565000"/>
    <n v="565000"/>
    <n v="1130000"/>
    <n v="500000"/>
    <n v="65000"/>
    <n v="130000"/>
    <d v="2022-06-10T00:00:00"/>
    <s v="Frid"/>
    <n v="31"/>
    <d v="2022-07-10T00:00:00"/>
    <n v="61"/>
    <n v="18"/>
    <n v="43"/>
    <n v="0"/>
    <n v="0"/>
    <n v="0"/>
    <n v="0"/>
    <n v="1130000"/>
    <n v="0"/>
    <n v="0"/>
    <n v="0"/>
    <n v="130000"/>
    <n v="1000000"/>
    <n v="1130000"/>
    <s v=""/>
    <n v="0"/>
    <n v="0"/>
    <s v="Clean"/>
    <s v="Ok"/>
  </r>
  <r>
    <d v="2022-05-10T00:00:00"/>
    <x v="72"/>
    <n v="529"/>
    <n v="3"/>
    <s v="BIZ"/>
    <n v="2000000"/>
    <n v="6"/>
    <n v="6.5000000000000002E-2"/>
    <s v="Monthly"/>
    <s v="Kana"/>
    <s v="CACA FATUMA"/>
    <n v="25000"/>
    <n v="5000"/>
    <n v="40000"/>
    <n v="200000"/>
    <n v="780000"/>
    <n v="6"/>
    <n v="2780000"/>
    <n v="463333.33333333331"/>
    <n v="464000"/>
    <n v="2784000"/>
    <n v="333333.33333333331"/>
    <n v="130666.66666666669"/>
    <n v="784000.00000000012"/>
    <d v="2022-06-10T00:00:00"/>
    <s v="Frid"/>
    <n v="31"/>
    <d v="2022-11-10T00:00:00"/>
    <n v="184"/>
    <n v="18"/>
    <n v="166"/>
    <n v="0"/>
    <n v="0"/>
    <n v="0"/>
    <n v="0"/>
    <n v="2784000"/>
    <n v="0"/>
    <n v="0"/>
    <n v="0"/>
    <n v="784000.00000000012"/>
    <n v="2000000"/>
    <n v="2784000"/>
    <s v=""/>
    <n v="0"/>
    <n v="0"/>
    <s v="Clean"/>
    <s v="Ok"/>
  </r>
  <r>
    <d v="2022-05-10T00:00:00"/>
    <x v="9"/>
    <n v="530"/>
    <n v="3"/>
    <s v="BIZ"/>
    <n v="400000"/>
    <n v="3"/>
    <n v="6.5000000000000002E-2"/>
    <s v="Monthly"/>
    <s v="Jerome"/>
    <s v="ARIME JUMA"/>
    <n v="15000"/>
    <n v="5000"/>
    <n v="8000"/>
    <n v="40000"/>
    <n v="78000"/>
    <n v="3"/>
    <n v="478000"/>
    <n v="159333.33333333334"/>
    <n v="160000"/>
    <n v="480000"/>
    <n v="133333.33333333334"/>
    <n v="26666.666666666657"/>
    <n v="79999.999999999971"/>
    <d v="2022-06-10T00:00:00"/>
    <s v="Frid"/>
    <n v="31"/>
    <d v="2022-08-10T00:00:00"/>
    <n v="92"/>
    <n v="18"/>
    <n v="74"/>
    <n v="0"/>
    <n v="0"/>
    <n v="0"/>
    <n v="0"/>
    <n v="480000"/>
    <n v="0"/>
    <n v="0"/>
    <n v="0"/>
    <n v="79999.999999999971"/>
    <n v="400000"/>
    <n v="480000"/>
    <s v=""/>
    <n v="0"/>
    <n v="0"/>
    <s v="Clean"/>
    <s v="Ok"/>
  </r>
  <r>
    <d v="2022-05-10T00:00:00"/>
    <x v="295"/>
    <n v="531"/>
    <n v="1"/>
    <s v="BIZ"/>
    <n v="200000"/>
    <n v="3"/>
    <n v="6.5000000000000002E-2"/>
    <s v="Monthly"/>
    <s v="Jerome"/>
    <s v="EYOTARU DORCUS"/>
    <n v="15000"/>
    <n v="5000"/>
    <n v="4000"/>
    <n v="20000"/>
    <n v="39000"/>
    <n v="3"/>
    <n v="239000"/>
    <n v="79666.666666666672"/>
    <n v="80000"/>
    <n v="240000"/>
    <n v="66666.666666666672"/>
    <n v="13333.333333333328"/>
    <n v="39999.999999999985"/>
    <d v="2022-06-10T00:00:00"/>
    <s v="Frid"/>
    <n v="31"/>
    <d v="2022-08-10T00:00:00"/>
    <n v="92"/>
    <n v="18"/>
    <n v="74"/>
    <n v="0"/>
    <n v="0"/>
    <n v="0"/>
    <n v="0"/>
    <n v="240000"/>
    <n v="13333.333333333328"/>
    <n v="6666.6666666666715"/>
    <n v="20000"/>
    <n v="26666.666666666657"/>
    <n v="193333.33333333331"/>
    <n v="219999.99999999997"/>
    <s v=""/>
    <n v="0"/>
    <n v="0"/>
    <s v="Clean"/>
    <s v="Ok"/>
  </r>
  <r>
    <d v="2022-05-19T00:00:00"/>
    <x v="56"/>
    <n v="532"/>
    <n v="7"/>
    <s v="BIZ"/>
    <n v="4500000"/>
    <n v="1"/>
    <n v="6.5000000000000002E-2"/>
    <s v="Monthly"/>
    <s v="Jerome"/>
    <s v="DRANDUA JOB CHRISPUS"/>
    <n v="30000"/>
    <n v="5000"/>
    <n v="90000"/>
    <n v="450000"/>
    <n v="292500"/>
    <n v="1"/>
    <n v="4792500"/>
    <n v="4792500"/>
    <n v="4793000"/>
    <n v="4793000"/>
    <n v="4500000"/>
    <n v="293000"/>
    <n v="293000"/>
    <d v="2022-06-19T00:00:00"/>
    <s v="Sun"/>
    <n v="31"/>
    <d v="2022-06-19T00:00:00"/>
    <n v="31"/>
    <n v="9"/>
    <n v="22"/>
    <n v="0"/>
    <n v="0"/>
    <n v="0"/>
    <n v="0"/>
    <n v="4793000"/>
    <n v="0"/>
    <n v="0"/>
    <n v="0"/>
    <n v="293000"/>
    <n v="4500000"/>
    <n v="4793000"/>
    <s v=""/>
    <n v="0"/>
    <n v="0"/>
    <s v="Clean"/>
    <s v="Ok"/>
  </r>
  <r>
    <d v="2022-05-19T00:00:00"/>
    <x v="258"/>
    <n v="533"/>
    <n v="2"/>
    <s v="BIZ"/>
    <n v="500000"/>
    <n v="5"/>
    <n v="6.5000000000000002E-2"/>
    <s v="Monthly"/>
    <s v="Kana"/>
    <s v="ATAKO GLORIA"/>
    <n v="15000"/>
    <n v="5000"/>
    <n v="10000"/>
    <n v="50000"/>
    <n v="162500"/>
    <n v="5"/>
    <n v="662500"/>
    <n v="132500"/>
    <n v="133000"/>
    <n v="665000"/>
    <n v="100000"/>
    <n v="33000"/>
    <n v="165000"/>
    <d v="2022-06-19T00:00:00"/>
    <s v="Sun"/>
    <n v="31"/>
    <d v="2022-10-19T00:00:00"/>
    <n v="153"/>
    <n v="9"/>
    <n v="144"/>
    <n v="0"/>
    <n v="0"/>
    <n v="0"/>
    <n v="0"/>
    <n v="665000"/>
    <n v="0"/>
    <n v="0"/>
    <n v="0"/>
    <n v="165000"/>
    <n v="500000"/>
    <n v="665000"/>
    <s v=""/>
    <n v="0"/>
    <n v="0"/>
    <s v="Clean"/>
    <s v="Ok"/>
  </r>
  <r>
    <d v="2022-05-19T00:00:00"/>
    <x v="91"/>
    <n v="534"/>
    <n v="3"/>
    <s v="BIZ"/>
    <n v="1500000"/>
    <n v="6"/>
    <n v="6.5000000000000002E-2"/>
    <s v="Monthly"/>
    <s v="Kana"/>
    <s v="TABU MARY"/>
    <n v="25000"/>
    <n v="5000"/>
    <n v="30000"/>
    <n v="150000"/>
    <n v="585000"/>
    <n v="6"/>
    <n v="2085000"/>
    <n v="347500"/>
    <n v="348000"/>
    <n v="2088000"/>
    <n v="250000"/>
    <n v="98000"/>
    <n v="588000"/>
    <d v="2022-06-19T00:00:00"/>
    <s v="Sun"/>
    <n v="31"/>
    <d v="2022-11-19T00:00:00"/>
    <n v="184"/>
    <n v="9"/>
    <n v="175"/>
    <n v="0"/>
    <n v="0"/>
    <n v="0"/>
    <n v="0"/>
    <n v="2088000"/>
    <n v="0"/>
    <n v="0"/>
    <n v="0"/>
    <n v="588000"/>
    <n v="1500000"/>
    <n v="2088000"/>
    <s v=""/>
    <n v="0"/>
    <n v="0"/>
    <s v="Clean"/>
    <s v="Ok"/>
  </r>
  <r>
    <d v="2022-05-19T00:00:00"/>
    <x v="24"/>
    <n v="535"/>
    <n v="2"/>
    <s v="BIZ"/>
    <n v="400000"/>
    <n v="4"/>
    <n v="6.5000000000000002E-2"/>
    <s v="Monthly"/>
    <s v="Aroma"/>
    <s v="SITARAYA PATRICIA IDERU"/>
    <n v="15000"/>
    <n v="5000"/>
    <n v="8000"/>
    <n v="40000"/>
    <n v="104000"/>
    <n v="4"/>
    <n v="504000"/>
    <n v="126000"/>
    <n v="126000"/>
    <n v="504000"/>
    <n v="100000"/>
    <n v="26000"/>
    <n v="104000"/>
    <d v="2022-06-19T00:00:00"/>
    <s v="Sun"/>
    <n v="31"/>
    <d v="2022-09-19T00:00:00"/>
    <n v="123"/>
    <n v="9"/>
    <n v="114"/>
    <n v="0"/>
    <n v="0"/>
    <n v="0"/>
    <n v="0"/>
    <n v="504000"/>
    <n v="0"/>
    <n v="0"/>
    <n v="0"/>
    <n v="104000"/>
    <n v="400000"/>
    <n v="504000"/>
    <s v=""/>
    <n v="0"/>
    <n v="0"/>
    <s v="Clean"/>
    <s v="Ok"/>
  </r>
  <r>
    <d v="2022-05-19T00:00:00"/>
    <x v="28"/>
    <n v="536"/>
    <n v="3"/>
    <s v="BIZ"/>
    <n v="1000000"/>
    <n v="6"/>
    <n v="6.5000000000000002E-2"/>
    <s v="Monthly"/>
    <s v="Aroma"/>
    <s v="KALSUMU INNOCENT"/>
    <n v="20000"/>
    <n v="5000"/>
    <n v="20000"/>
    <n v="100000"/>
    <n v="390000"/>
    <n v="6"/>
    <n v="1390000"/>
    <n v="231666.66666666666"/>
    <n v="232000"/>
    <n v="1392000"/>
    <n v="166666.66666666666"/>
    <n v="65333.333333333343"/>
    <n v="392000.00000000006"/>
    <d v="2022-06-19T00:00:00"/>
    <s v="Sun"/>
    <n v="31"/>
    <d v="2022-11-19T00:00:00"/>
    <n v="184"/>
    <n v="9"/>
    <n v="175"/>
    <n v="0"/>
    <n v="0"/>
    <n v="0"/>
    <n v="0"/>
    <n v="1392000"/>
    <n v="0"/>
    <n v="0"/>
    <n v="0"/>
    <n v="392000.00000000006"/>
    <n v="1000000"/>
    <n v="1392000"/>
    <s v=""/>
    <n v="0"/>
    <n v="0"/>
    <s v="Clean"/>
    <s v="Ok"/>
  </r>
  <r>
    <d v="2022-05-20T00:00:00"/>
    <x v="229"/>
    <n v="537"/>
    <n v="2"/>
    <s v="SLA"/>
    <n v="400000"/>
    <n v="5"/>
    <n v="7.4999999999999997E-2"/>
    <s v="Monthly"/>
    <s v="Jerome"/>
    <s v="AFEKU EMMANUEL"/>
    <n v="15000"/>
    <n v="5000"/>
    <n v="8000"/>
    <n v="40000"/>
    <n v="150000"/>
    <n v="5"/>
    <n v="550000"/>
    <n v="110000"/>
    <n v="110000"/>
    <n v="550000"/>
    <n v="80000"/>
    <n v="30000"/>
    <n v="150000"/>
    <d v="2022-06-20T00:00:00"/>
    <s v="Mon"/>
    <n v="31"/>
    <d v="2022-10-20T00:00:00"/>
    <n v="153"/>
    <n v="8"/>
    <n v="145"/>
    <n v="0"/>
    <n v="0"/>
    <n v="0"/>
    <n v="0"/>
    <n v="550000"/>
    <n v="0"/>
    <n v="0"/>
    <n v="0"/>
    <n v="150000"/>
    <n v="400000"/>
    <n v="550000"/>
    <s v=""/>
    <n v="0"/>
    <n v="0"/>
    <s v="Clean"/>
    <s v="Ok"/>
  </r>
  <r>
    <d v="2022-05-20T00:00:00"/>
    <x v="201"/>
    <n v="538"/>
    <n v="3"/>
    <s v="BIZ"/>
    <n v="1000000"/>
    <n v="4"/>
    <n v="6.5000000000000002E-2"/>
    <s v="Monthly"/>
    <s v="Jerome"/>
    <s v="NAMUDDU MARY"/>
    <n v="20000"/>
    <n v="5000"/>
    <n v="20000"/>
    <n v="100000"/>
    <n v="260000"/>
    <n v="4"/>
    <n v="1260000"/>
    <n v="315000"/>
    <n v="315000"/>
    <n v="1260000"/>
    <n v="250000"/>
    <n v="65000"/>
    <n v="260000"/>
    <d v="2022-06-20T00:00:00"/>
    <s v="Mon"/>
    <n v="31"/>
    <d v="2022-09-20T00:00:00"/>
    <n v="123"/>
    <n v="8"/>
    <n v="115"/>
    <n v="0"/>
    <n v="0"/>
    <n v="0"/>
    <n v="0"/>
    <n v="1260000"/>
    <n v="0"/>
    <n v="0"/>
    <n v="0"/>
    <n v="260000"/>
    <n v="1000000"/>
    <n v="1260000"/>
    <s v=""/>
    <n v="0"/>
    <n v="0"/>
    <s v="Clean"/>
    <s v="Ok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s v=""/>
    <n v="0"/>
    <n v="0"/>
    <n v="0"/>
    <n v="0"/>
    <s v=""/>
    <s v=""/>
    <s v=""/>
    <s v=""/>
    <s v=""/>
    <n v="0"/>
    <s v=""/>
    <s v=""/>
    <s v=""/>
    <s v=""/>
    <s v=""/>
    <n v="0"/>
    <s v=""/>
    <s v=""/>
    <s v=""/>
    <n v="0"/>
    <s v=""/>
    <s v=""/>
    <s v=""/>
    <s v=""/>
    <s v=""/>
    <n v="0"/>
    <n v="0"/>
    <n v="0"/>
    <s v=""/>
    <s v=""/>
    <s v=""/>
    <s v=""/>
    <n v="0"/>
    <n v="0"/>
    <s v=""/>
    <s v=""/>
  </r>
  <r>
    <m/>
    <x v="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8">
  <r>
    <x v="0"/>
    <d v="2021-05-05T00:00:00"/>
    <s v="TABAN NICHOLAS"/>
    <s v="2002000001"/>
    <s v="STAF"/>
    <n v="772816130"/>
    <m/>
    <s v="Male"/>
    <d v="1979-05-12T00:00:00"/>
    <n v="43.073972602739723"/>
    <s v="Valid Age"/>
    <s v="Married"/>
    <m/>
    <s v="Banker/staff"/>
    <s v="Plot 24 Central Road"/>
    <s v="Gbulagbulanga Village"/>
    <s v="National ID"/>
    <s v="CM790661013D1J"/>
    <s v="18/11/2024"/>
    <s v="Wacheke Harriet"/>
    <s v="Spouse"/>
    <n v="779120402"/>
    <m/>
    <m/>
  </r>
  <r>
    <x v="1"/>
    <d v="2021-05-05T00:00:00"/>
    <s v="LEYA ROSE"/>
    <s v="2002000002"/>
    <s v="CUST"/>
    <n v="774280803"/>
    <m/>
    <s v="Female"/>
    <d v="1947-10-06T00:00:00"/>
    <n v="74.69315068493151"/>
    <s v="Over Age"/>
    <s v="Married"/>
    <m/>
    <s v="Business woman"/>
    <s v="Amiji road"/>
    <s v="Gbulagbulanga Village"/>
    <s v="National ID"/>
    <s v="CF47066100A02J"/>
    <d v="2025-06-24T00:00:00"/>
    <s v="Baiga Ronald"/>
    <s v="Son"/>
    <n v="774565105"/>
    <m/>
    <m/>
  </r>
  <r>
    <x v="2"/>
    <d v="2021-05-06T00:00:00"/>
    <s v="YEKA ARIJABU"/>
    <s v="2002000003"/>
    <s v="CUST"/>
    <n v="757733949"/>
    <m/>
    <s v="Male"/>
    <d v="1968-07-22T00:00:00"/>
    <n v="53.884931506849313"/>
    <s v="Valid Age"/>
    <s v="Married"/>
    <m/>
    <s v="Businessman"/>
    <s v="Mijale Road"/>
    <s v="Mida"/>
    <s v="National ID"/>
    <s v="CM68066106QNKH"/>
    <d v="2030-01-02T00:00:00"/>
    <m/>
    <m/>
    <m/>
    <m/>
    <s v="Card replacement"/>
  </r>
  <r>
    <x v="3"/>
    <d v="2021-05-06T00:00:00"/>
    <s v="EDERU EMMILLY"/>
    <s v="2002000004"/>
    <s v="CUST"/>
    <n v="783838700"/>
    <m/>
    <s v="Female"/>
    <d v="1987-06-15T00:00:00"/>
    <n v="34.975342465753428"/>
    <s v="Valid Age"/>
    <s v="Married"/>
    <m/>
    <s v="Business woman"/>
    <s v="None"/>
    <s v="Yibongo village"/>
    <s v="National ID"/>
    <s v="CF87066102FH4C"/>
    <d v="2025-06-24T00:00:00"/>
    <s v="Twaha Gbagbe"/>
    <s v="Spouse"/>
    <n v="772675451"/>
    <m/>
    <m/>
  </r>
  <r>
    <x v="4"/>
    <d v="2021-05-06T00:00:00"/>
    <s v="AYIKI MAWA"/>
    <s v="2002000005"/>
    <s v="CUST"/>
    <n v="778191587"/>
    <m/>
    <s v="Male"/>
    <d v="1988-05-25T00:00:00"/>
    <n v="34.030136986301372"/>
    <s v="Valid Age"/>
    <s v="Married"/>
    <m/>
    <s v="Business Man"/>
    <s v="Markert Lane"/>
    <s v="Isoko Village"/>
    <s v="National ID"/>
    <s v="CM88066100W3ZL"/>
    <d v="2024-11-30T00:00:00"/>
    <s v="Sabote Sunday"/>
    <s v="Son"/>
    <n v="775414452"/>
    <m/>
    <m/>
  </r>
  <r>
    <x v="5"/>
    <d v="2021-05-07T00:00:00"/>
    <s v="AMUTE BASHIR"/>
    <s v="2002000006"/>
    <s v="CUST"/>
    <n v="774186765"/>
    <m/>
    <s v="Male"/>
    <d v="1968-05-11T00:00:00"/>
    <n v="54.082191780821915"/>
    <s v="Valid Age"/>
    <s v="Married"/>
    <m/>
    <s v="Business Man"/>
    <s v="Angirigo Village"/>
    <s v="Arumaji Village"/>
    <s v="National ID"/>
    <s v="CM68066100PORJ"/>
    <d v="2025-06-24T00:00:00"/>
    <s v="Ayikule Mubrak"/>
    <s v="Son"/>
    <s v="None"/>
    <m/>
    <m/>
  </r>
  <r>
    <x v="6"/>
    <d v="2021-05-08T00:00:00"/>
    <s v="CHANGE MOHAMMUDU"/>
    <s v="2002000007"/>
    <s v="CUST"/>
    <n v="781198580"/>
    <m/>
    <s v="Male"/>
    <d v="1979-12-12T00:00:00"/>
    <n v="42.487671232876714"/>
    <s v="Valid Age"/>
    <s v="Married"/>
    <m/>
    <s v="Business Man"/>
    <s v="Sinyani Village"/>
    <s v="Arumaji Village"/>
    <s v="National ID"/>
    <s v="CM79066101V1CH"/>
    <d v="2029-12-17T00:00:00"/>
    <s v="Linda Shiham"/>
    <s v="Daughter"/>
    <s v="None"/>
    <m/>
    <m/>
  </r>
  <r>
    <x v="7"/>
    <d v="2021-05-08T00:00:00"/>
    <s v="ALEMI THOMAS"/>
    <s v="2002000008"/>
    <s v="CUST"/>
    <n v="787955322"/>
    <m/>
    <s v="Male"/>
    <d v="1993-08-02T00:00:00"/>
    <n v="28.838356164383562"/>
    <s v="Valid Age"/>
    <s v="Married"/>
    <m/>
    <s v="Business Man"/>
    <s v="Market Square"/>
    <s v="Market Square Village"/>
    <s v="National ID"/>
    <s v="CM93066100TFKE"/>
    <m/>
    <s v="kana Moes"/>
    <s v="Son"/>
    <n v="782348745"/>
    <m/>
    <m/>
  </r>
  <r>
    <x v="8"/>
    <d v="2021-05-08T00:00:00"/>
    <s v="TABAN DAVID YAYA"/>
    <s v="2002000009"/>
    <s v="CUST"/>
    <n v="770608989"/>
    <m/>
    <s v="Male"/>
    <d v="1985-12-10T00:00:00"/>
    <n v="36.487671232876714"/>
    <s v="Valid Age"/>
    <s v="Married"/>
    <m/>
    <s v="Business Man"/>
    <s v="Alimakodra Village"/>
    <s v="Alimakodra Village"/>
    <s v="National ID"/>
    <s v="CM85066102CT4C"/>
    <d v="2025-06-25T00:00:00"/>
    <s v="Apuku LUCY"/>
    <s v="Wife"/>
    <n v="775663589"/>
    <m/>
    <m/>
  </r>
  <r>
    <x v="9"/>
    <d v="2021-05-08T00:00:00"/>
    <s v="WARU ARIEYE VALENTINA CHARLES"/>
    <s v="2002000010"/>
    <s v="CUST"/>
    <n v="781421992"/>
    <m/>
    <s v="Female"/>
    <d v="2000-02-14T00:00:00"/>
    <n v="22.298630136986301"/>
    <s v="Valid Age"/>
    <s v="Single"/>
    <m/>
    <s v="None"/>
    <s v="None"/>
    <s v="Pakayo Village"/>
    <s v="SSD ID"/>
    <n v="846314"/>
    <s v="None"/>
    <s v="Zubeda"/>
    <s v="Sister"/>
    <n v="781421992"/>
    <m/>
    <m/>
  </r>
  <r>
    <x v="10"/>
    <d v="2021-05-08T00:00:00"/>
    <s v="ARIME JUMA"/>
    <s v="2002000011"/>
    <s v="CUST"/>
    <n v="780427424"/>
    <m/>
    <s v="Male"/>
    <d v="1958-07-23T00:00:00"/>
    <n v="63.890410958904113"/>
    <s v="Over Age"/>
    <s v="Married"/>
    <m/>
    <s v="Farmer"/>
    <s v="Gbogbu Village"/>
    <s v="Gbogbu Village"/>
    <s v="National ID"/>
    <s v="CM580661011GWD"/>
    <d v="2024-11-09T00:00:00"/>
    <s v="Nobert Nasur"/>
    <s v="Son"/>
    <s v="None"/>
    <m/>
    <m/>
  </r>
  <r>
    <x v="11"/>
    <d v="2021-05-10T00:00:00"/>
    <s v="DRELIA SIMON DEADSON"/>
    <s v="2002000012"/>
    <s v="CUST"/>
    <n v="774084455"/>
    <m/>
    <s v="Male"/>
    <d v="1977-12-25T00:00:00"/>
    <n v="44.452054794520549"/>
    <s v="Valid Age"/>
    <s v="Married"/>
    <m/>
    <s v="Porter"/>
    <s v="Sinyani Village"/>
    <s v="Sinyani Village"/>
    <s v="National ID"/>
    <s v="CM77066103566C"/>
    <d v="2025-11-17T00:00:00"/>
    <s v="Mirembe Caro"/>
    <s v="Wife"/>
    <n v="774151944"/>
    <m/>
    <m/>
  </r>
  <r>
    <x v="12"/>
    <d v="2021-05-10T00:00:00"/>
    <s v="ALLONE AMOS DAMAI"/>
    <s v="2002000013"/>
    <s v="CUST"/>
    <n v="783606732"/>
    <m/>
    <s v="Male"/>
    <d v="1947-08-06T00:00:00"/>
    <n v="74.860273972602741"/>
    <s v="Over Age"/>
    <s v="Married"/>
    <m/>
    <s v="Farmer"/>
    <s v="Lobojo Village"/>
    <s v="Lobojo Village"/>
    <s v="National ID"/>
    <s v="CM47066100YKDJ"/>
    <d v="2024-10-27T00:00:00"/>
    <s v="Asiku Emanuel"/>
    <s v="Son"/>
    <n v="783606732"/>
    <m/>
    <m/>
  </r>
  <r>
    <x v="13"/>
    <d v="2021-05-14T00:00:00"/>
    <s v="ASIKU ROMANO ADEBUA"/>
    <s v="2002000014"/>
    <s v="CUST"/>
    <n v="773482402"/>
    <n v="784778091"/>
    <s v="Male"/>
    <d v="1992-07-20T00:00:00"/>
    <n v="29.873972602739727"/>
    <s v="Valid Age"/>
    <s v="Married"/>
    <m/>
    <s v="Teacher"/>
    <s v="Degbelenga Village"/>
    <s v="Ombaci Market"/>
    <s v="National ID"/>
    <s v="CM92002103665A"/>
    <s v="None"/>
    <s v="Ojogo Simon"/>
    <s v="Son"/>
    <n v="788407951"/>
    <m/>
    <m/>
  </r>
  <r>
    <x v="14"/>
    <d v="2021-05-15T00:00:00"/>
    <s v="NATOSHA LUCY"/>
    <s v="2002000015"/>
    <s v="CUST"/>
    <n v="787955883"/>
    <m/>
    <s v="Female"/>
    <d v="1980-12-06T00:00:00"/>
    <n v="41.5013698630137"/>
    <s v="Valid Age"/>
    <s v="Married"/>
    <m/>
    <s v="Business woman"/>
    <s v="Central Cell"/>
    <s v="Yibongo village"/>
    <s v="National ID"/>
    <s v="CF80066102FF4A"/>
    <s v="None"/>
    <s v="Winny Taibo"/>
    <s v="Sister"/>
    <n v="392552445"/>
    <m/>
    <m/>
  </r>
  <r>
    <x v="15"/>
    <d v="2021-05-18T00:00:00"/>
    <s v="OKELLO ACTION"/>
    <s v="2002000016"/>
    <s v="CUST"/>
    <n v="773194718"/>
    <m/>
    <s v="Male"/>
    <d v="1988-07-22T00:00:00"/>
    <n v="33.871232876712327"/>
    <s v="Valid Age"/>
    <s v="Married"/>
    <m/>
    <s v="Prison Warder"/>
    <s v="Gbukutu Prinons"/>
    <s v="Gbukutu cell"/>
    <s v="National ID"/>
    <s v="CM8808810411UE"/>
    <d v="2025-03-31T00:00:00"/>
    <s v="Geria Oliver "/>
    <s v="Wife"/>
    <n v="779858448"/>
    <m/>
    <m/>
  </r>
  <r>
    <x v="16"/>
    <d v="2021-05-19T00:00:00"/>
    <s v="MAMBU BAYI"/>
    <s v="2002000017"/>
    <s v="CUST"/>
    <n v="779924172"/>
    <m/>
    <s v="Male"/>
    <d v="1988-01-01T00:00:00"/>
    <n v="34.42739726027397"/>
    <s v="Valid Age"/>
    <s v="Married"/>
    <m/>
    <s v="Business Man"/>
    <s v="Irepenga Cell"/>
    <s v="Irepenga Cell"/>
    <s v="National ID"/>
    <s v="CM88066102TD4J"/>
    <d v="2025-06-25T00:00:00"/>
    <s v="Mansur Amin"/>
    <s v="Father"/>
    <n v="782349000"/>
    <m/>
    <m/>
  </r>
  <r>
    <x v="17"/>
    <d v="2021-05-19T00:00:00"/>
    <s v="ARIYE PEACE"/>
    <s v="2002000018"/>
    <s v="CUST"/>
    <n v="792068002"/>
    <m/>
    <s v="Female"/>
    <d v="1984-01-25T00:00:00"/>
    <n v="38.364383561643834"/>
    <s v="Valid Age"/>
    <s v="Married"/>
    <m/>
    <s v="Business woman"/>
    <s v="Lipa Cell"/>
    <s v="Lipa Cell"/>
    <s v="National ID"/>
    <s v="CF84066102E12K"/>
    <d v="2025-06-24T00:00:00"/>
    <s v="Bran Abui"/>
    <s v="Son"/>
    <n v="772088625"/>
    <m/>
    <m/>
  </r>
  <r>
    <x v="18"/>
    <d v="2021-05-21T00:00:00"/>
    <s v="ANGUPARU MOLLY"/>
    <s v="2002000019"/>
    <s v="CUST"/>
    <n v="772158785"/>
    <n v="774071248"/>
    <s v="Female"/>
    <d v="1992-11-07T00:00:00"/>
    <n v="29.572602739726026"/>
    <s v="Valid Age"/>
    <s v="Married"/>
    <m/>
    <s v="Business woman"/>
    <s v="Ombaci Cell"/>
    <s v="Ombaci Market"/>
    <s v="National ID"/>
    <s v="CF920771026X3J"/>
    <d v="2025-07-05T00:00:00"/>
    <s v="Ungua Denis"/>
    <s v="Husband"/>
    <n v="793500892"/>
    <m/>
    <m/>
  </r>
  <r>
    <x v="19"/>
    <d v="2021-05-21T00:00:00"/>
    <s v="ANDEZO KEVIN"/>
    <s v="2002000020"/>
    <s v="CUST"/>
    <n v="787667944"/>
    <m/>
    <s v="Female"/>
    <d v="1990-06-30T00:00:00"/>
    <n v="31.931506849315067"/>
    <s v="Valid Age"/>
    <s v="Married"/>
    <m/>
    <s v="Business woman"/>
    <s v="Ombaci Cell"/>
    <s v="Ombaci Market"/>
    <s v="National ID"/>
    <s v="CF90077104UTE"/>
    <d v="2025-07-05T00:00:00"/>
    <s v="Matuga Justo"/>
    <s v="Husband"/>
    <n v="789603836"/>
    <m/>
    <m/>
  </r>
  <r>
    <x v="20"/>
    <d v="2021-05-24T00:00:00"/>
    <s v="ESABORU EUNICE"/>
    <s v="2002000021"/>
    <s v="CUST"/>
    <n v="775650775"/>
    <m/>
    <s v="Female"/>
    <d v="1989-08-15T00:00:00"/>
    <n v="32.805479452054797"/>
    <s v="Valid Age"/>
    <s v="Married"/>
    <m/>
    <s v="Business woman"/>
    <s v="Abele  Cell"/>
    <s v="Erepenga Village"/>
    <s v="National ID"/>
    <s v="CF89002108PCEK"/>
    <d v="2025-06-26T00:00:00"/>
    <s v="Geofrey Eyotre"/>
    <s v="Husband"/>
    <n v="777240338"/>
    <m/>
    <m/>
  </r>
  <r>
    <x v="21"/>
    <d v="2021-05-24T00:00:00"/>
    <s v="DATA ISMAIL FATARI"/>
    <s v="2002000022"/>
    <s v="CUST"/>
    <n v="786361864"/>
    <m/>
    <s v="Male"/>
    <d v="1992-11-28T00:00:00"/>
    <n v="29.515068493150686"/>
    <s v="Valid Age"/>
    <s v="Married"/>
    <m/>
    <s v="Business Man"/>
    <s v="Sinyani Village"/>
    <s v="Nyeluwa"/>
    <s v="National ID"/>
    <s v="CM92066100A3TA"/>
    <d v="2025-06-25T00:00:00"/>
    <s v="Zainab Eunice"/>
    <s v="Wife"/>
    <n v="777434979"/>
    <m/>
    <m/>
  </r>
  <r>
    <x v="22"/>
    <d v="2021-05-24T00:00:00"/>
    <s v="BADARU KEVIN ATELIONGA"/>
    <s v="2002000023"/>
    <s v="CUST"/>
    <n v="774106932"/>
    <m/>
    <s v="Female"/>
    <d v="1983-11-28T00:00:00"/>
    <n v="38.523287671232879"/>
    <s v="Valid Age"/>
    <s v="Married"/>
    <m/>
    <s v="Business woman"/>
    <s v="Ombaci Cell"/>
    <s v="Yibongo village"/>
    <s v="National ID"/>
    <s v="CF83066102TYMK"/>
    <d v="2025-06-25T00:00:00"/>
    <s v="Russell Regina"/>
    <s v="Daughter"/>
    <s v="None"/>
    <m/>
    <m/>
  </r>
  <r>
    <x v="23"/>
    <d v="2021-05-24T00:00:00"/>
    <s v="VITA JEROME"/>
    <s v="2002000024"/>
    <s v="STAF"/>
    <n v="788750237"/>
    <m/>
    <s v="Male"/>
    <d v="1996-09-29T00:00:00"/>
    <n v="25.676712328767124"/>
    <s v="Valid Age"/>
    <s v="Single"/>
    <m/>
    <s v="Banker/staff"/>
    <s v="Plot 24 Central Road"/>
    <s v="Market Square Village"/>
    <s v="National ID"/>
    <s v="CM960661009MQE"/>
    <d v="2025-06-25T00:00:00"/>
    <m/>
    <m/>
    <m/>
    <m/>
    <m/>
  </r>
  <r>
    <x v="24"/>
    <d v="2021-05-24T00:00:00"/>
    <s v="AROMA BOSCO"/>
    <s v="2002000025"/>
    <s v="STAF"/>
    <n v="785027816"/>
    <m/>
    <s v="Male"/>
    <m/>
    <s v=""/>
    <s v=""/>
    <s v="Married"/>
    <m/>
    <s v="Banker/staff"/>
    <s v="Plot 24 Central Road"/>
    <m/>
    <m/>
    <m/>
    <m/>
    <m/>
    <m/>
    <m/>
    <m/>
    <m/>
  </r>
  <r>
    <x v="25"/>
    <d v="2021-05-24T00:00:00"/>
    <s v="AMIJI HARRIET"/>
    <s v="2002000026"/>
    <s v="STAF"/>
    <n v="781182712"/>
    <n v="792466157"/>
    <s v="Female"/>
    <m/>
    <s v=""/>
    <s v=""/>
    <s v="Married"/>
    <m/>
    <s v="Banker/staff"/>
    <s v="Plot 24 Central Road"/>
    <m/>
    <m/>
    <m/>
    <m/>
    <m/>
    <m/>
    <m/>
    <m/>
    <m/>
  </r>
  <r>
    <x v="26"/>
    <d v="2021-05-24T00:00:00"/>
    <s v="KANA GIFT"/>
    <s v="2002000027"/>
    <s v="STAF"/>
    <n v="787607828"/>
    <m/>
    <s v="Male"/>
    <m/>
    <s v=""/>
    <s v=""/>
    <s v="Single"/>
    <m/>
    <s v="Banker/staff"/>
    <s v="Plot 24 Central Road"/>
    <m/>
    <m/>
    <m/>
    <m/>
    <m/>
    <m/>
    <m/>
    <m/>
    <m/>
  </r>
  <r>
    <x v="27"/>
    <d v="2021-05-24T00:00:00"/>
    <s v="FAIDA GRACE"/>
    <s v="2002000028"/>
    <s v="STAF"/>
    <n v="778195161"/>
    <m/>
    <s v="Female"/>
    <m/>
    <s v=""/>
    <s v=""/>
    <s v="Married"/>
    <m/>
    <s v="Banker/staff"/>
    <s v="Plot 24 Central Road"/>
    <m/>
    <m/>
    <m/>
    <m/>
    <m/>
    <m/>
    <m/>
    <m/>
    <m/>
  </r>
  <r>
    <x v="28"/>
    <d v="2021-05-24T00:00:00"/>
    <s v="AJIBA ROSEMARY EMMANUEL"/>
    <s v="2002000029"/>
    <s v="STAF"/>
    <n v="775636518"/>
    <m/>
    <s v="Female"/>
    <m/>
    <s v=""/>
    <s v=""/>
    <s v="Married"/>
    <m/>
    <s v="Banker/staff"/>
    <s v="Plot 24 Central Road"/>
    <m/>
    <m/>
    <m/>
    <m/>
    <m/>
    <m/>
    <m/>
    <m/>
    <m/>
  </r>
  <r>
    <x v="29"/>
    <d v="2021-05-25T00:00:00"/>
    <s v="SITARAYA PATRICIA IDERU"/>
    <s v="2002000030"/>
    <s v="CUST"/>
    <n v="786510762"/>
    <m/>
    <s v="Female"/>
    <d v="1988-02-01T00:00:00"/>
    <n v="34.342465753424655"/>
    <s v="Valid Age"/>
    <s v="Married"/>
    <m/>
    <s v="Business woman"/>
    <s v="Ombaci Cell"/>
    <s v="Anyipira Cell"/>
    <s v="National ID"/>
    <s v="CF88053100ZRYD"/>
    <d v="2021-06-24T00:00:00"/>
    <s v="Toko Godfrey"/>
    <s v="Son"/>
    <s v="None"/>
    <m/>
    <m/>
  </r>
  <r>
    <x v="30"/>
    <d v="2021-05-25T00:00:00"/>
    <s v="MUNDURU HARRIET"/>
    <s v="2002000031"/>
    <s v="CUST"/>
    <n v="787860915"/>
    <m/>
    <s v="Female"/>
    <d v="1988-06-29T00:00:00"/>
    <n v="33.934246575342463"/>
    <s v="Valid Age"/>
    <s v="Married"/>
    <m/>
    <s v="Business woman"/>
    <s v="Ombaci Cell"/>
    <s v="Yibongo village"/>
    <s v="National ID"/>
    <s v="CF880531044HNA"/>
    <d v="2025-06-24T00:00:00"/>
    <s v="Eyotaru Scovia"/>
    <s v="Sister"/>
    <n v="787639295"/>
    <m/>
    <m/>
  </r>
  <r>
    <x v="31"/>
    <d v="2021-05-25T00:00:00"/>
    <s v="BAKO LINA ESERU"/>
    <s v="2002000032"/>
    <s v="CUST"/>
    <n v="788014533"/>
    <m/>
    <s v="Female"/>
    <d v="1984-09-06T00:00:00"/>
    <n v="37.747945205479454"/>
    <s v="Valid Age"/>
    <s v="Married"/>
    <m/>
    <s v="Business woman"/>
    <s v="Ombaci Cell"/>
    <s v="Dikasinga"/>
    <s v="National ID"/>
    <s v="CF84053104Q9QC"/>
    <d v="2025-06-24T00:00:00"/>
    <s v="Sakaya Caroline"/>
    <s v="Sister"/>
    <n v="788014533"/>
    <m/>
    <m/>
  </r>
  <r>
    <x v="32"/>
    <d v="2021-05-26T00:00:00"/>
    <s v="MUZEE OMAR"/>
    <s v="2002000033"/>
    <s v="CUST"/>
    <n v="788618017"/>
    <m/>
    <s v="Male"/>
    <d v="1996-07-20T00:00:00"/>
    <n v="25.87123287671233"/>
    <s v="Valid Age"/>
    <s v="Married"/>
    <m/>
    <s v="Business Man"/>
    <s v="Sinyani Village"/>
    <s v="Sinyani Village"/>
    <s v="National ID"/>
    <s v="CM96066102F6MC"/>
    <d v="2025-06-24T00:00:00"/>
    <s v="Adam Habib"/>
    <s v="Father"/>
    <n v="788618017"/>
    <m/>
    <m/>
  </r>
  <r>
    <x v="33"/>
    <d v="2021-05-27T00:00:00"/>
    <s v="APEKURU FLORENCE"/>
    <s v="2002000034"/>
    <s v="CUST"/>
    <n v="777515872"/>
    <m/>
    <s v="Female"/>
    <d v="1985-06-14T00:00:00"/>
    <n v="36.978082191780821"/>
    <s v="Valid Age"/>
    <s v="Married"/>
    <m/>
    <s v="Business woman"/>
    <s v="Market Square"/>
    <s v="Abele cell"/>
    <s v="National ID"/>
    <s v="CF8500210EK9XJ"/>
    <d v="2027-05-08T00:00:00"/>
    <s v="Richard Jonathan"/>
    <s v="Husband"/>
    <n v="773992022"/>
    <m/>
    <m/>
  </r>
  <r>
    <x v="34"/>
    <d v="2021-05-27T00:00:00"/>
    <s v="ALEZUYO DOCUS"/>
    <s v="2002000035"/>
    <s v="CUST"/>
    <n v="773190904"/>
    <m/>
    <s v="Female"/>
    <d v="1997-08-06T00:00:00"/>
    <n v="24.824657534246576"/>
    <s v="Valid Age"/>
    <s v="Married"/>
    <m/>
    <s v="Business woman"/>
    <s v="Ombaci Cell"/>
    <s v="Yibongo village"/>
    <s v="National ID"/>
    <s v="CF97077104YV0J"/>
    <d v="2025-07-05T00:00:00"/>
    <s v="Amaniyo Christine"/>
    <s v="Friend "/>
    <n v="780561145"/>
    <m/>
    <m/>
  </r>
  <r>
    <x v="35"/>
    <d v="2021-05-27T00:00:00"/>
    <s v="AMANIYO CHRISTINE"/>
    <s v="2002000036"/>
    <s v="CUST"/>
    <n v="785813073"/>
    <m/>
    <s v="Female"/>
    <d v="1990-05-27T00:00:00"/>
    <n v="32.024657534246572"/>
    <s v="Valid Age"/>
    <s v="Married"/>
    <m/>
    <s v="Business woman"/>
    <s v="Ombaci Cell"/>
    <s v="Yibongo village"/>
    <s v="National ID"/>
    <s v="CF9000210D94LF"/>
    <d v="2025-06-24T00:00:00"/>
    <s v="Arike Joel"/>
    <s v="Son"/>
    <s v="None"/>
    <m/>
    <m/>
  </r>
  <r>
    <x v="36"/>
    <d v="2021-05-28T00:00:00"/>
    <s v="WANDWALI AMISI"/>
    <s v="2002000037"/>
    <s v="CUST"/>
    <n v="394003556"/>
    <m/>
    <s v="Male"/>
    <d v="1984-09-15T00:00:00"/>
    <n v="37.723287671232875"/>
    <s v="Valid Age"/>
    <s v="Married"/>
    <m/>
    <s v="Business Man"/>
    <s v="Ombaci Cell"/>
    <s v="Mijale "/>
    <s v="National ID"/>
    <s v="CM84026101EVFK"/>
    <d v="2024-11-09T00:00:00"/>
    <s v="Hassan Mubahti"/>
    <s v="Brother"/>
    <n v="784461509"/>
    <m/>
    <m/>
  </r>
  <r>
    <x v="37"/>
    <d v="2021-05-31T00:00:00"/>
    <s v="ANGUZU CHRIS RONALD"/>
    <s v="2002000038"/>
    <s v="CUST"/>
    <n v="784651660"/>
    <m/>
    <s v="Male"/>
    <d v="1990-12-21T00:00:00"/>
    <n v="31.454794520547946"/>
    <s v="Valid Age"/>
    <s v="Married"/>
    <m/>
    <s v="Driver"/>
    <s v="WFP"/>
    <s v="Apa"/>
    <s v="National ID"/>
    <s v="CM9004010288HC"/>
    <d v="2025-06-25T00:00:00"/>
    <s v="Tajitha Faith"/>
    <s v="Wife"/>
    <n v="776578913"/>
    <m/>
    <m/>
  </r>
  <r>
    <x v="38"/>
    <d v="2021-05-31T00:00:00"/>
    <s v="ORODRIYO SUMAYA HARRIET"/>
    <s v="2002000039"/>
    <s v="CUST"/>
    <m/>
    <m/>
    <m/>
    <m/>
    <s v=""/>
    <s v=""/>
    <m/>
    <m/>
    <m/>
    <m/>
    <m/>
    <m/>
    <m/>
    <m/>
    <m/>
    <m/>
    <m/>
    <m/>
    <m/>
  </r>
  <r>
    <x v="39"/>
    <d v="2021-05-31T00:00:00"/>
    <s v="TABU JANE"/>
    <s v="2002000040"/>
    <s v="CUST"/>
    <n v="783663742"/>
    <m/>
    <s v="Female"/>
    <d v="1985-06-17T00:00:00"/>
    <n v="36.969863013698628"/>
    <s v="Valid Age"/>
    <s v="Married"/>
    <m/>
    <s v="Business woman"/>
    <s v="Ombaci Cell"/>
    <s v="Yibongo village"/>
    <s v="National ID"/>
    <s v="CF850661015VTL"/>
    <d v="2025-06-25T00:00:00"/>
    <s v="Joan Julie"/>
    <s v="Daughter"/>
    <n v="787532909"/>
    <m/>
    <m/>
  </r>
  <r>
    <x v="40"/>
    <d v="2021-06-01T00:00:00"/>
    <s v="ANGUYO RONALD"/>
    <s v="2002000041"/>
    <s v="CUST"/>
    <n v="775043483"/>
    <m/>
    <s v="Male"/>
    <d v="1993-12-24T00:00:00"/>
    <n v="28.443835616438356"/>
    <s v="Valid Age"/>
    <s v="Married"/>
    <m/>
    <s v="Teacher "/>
    <s v="Leiko"/>
    <s v="Anjinjin"/>
    <s v="National ID"/>
    <s v="CM93077103FAJK"/>
    <d v="2025-07-05T00:00:00"/>
    <s v="Mungudri Menaham"/>
    <s v="Collegue"/>
    <n v="775043483"/>
    <m/>
    <m/>
  </r>
  <r>
    <x v="41"/>
    <d v="2021-06-01T00:00:00"/>
    <s v="ABAU   NOLA"/>
    <s v="2002000042"/>
    <s v="CUST"/>
    <n v="785691539"/>
    <m/>
    <s v="Female"/>
    <d v="1991-03-20T00:00:00"/>
    <n v="31.210958904109589"/>
    <s v="Valid Age"/>
    <s v="Married"/>
    <m/>
    <s v="Business woman"/>
    <s v="Ombaci Cell"/>
    <s v="Gbulagbulanga Village"/>
    <s v="National ID"/>
    <s v="CF91066102VHNC"/>
    <d v="2025-06-24T00:00:00"/>
    <s v="Chandiga Cyrus"/>
    <s v="Brother"/>
    <n v="785691539"/>
    <m/>
    <m/>
  </r>
  <r>
    <x v="42"/>
    <d v="2021-06-02T00:00:00"/>
    <s v="APUNIKI LOICE"/>
    <s v="2002000043"/>
    <s v="CUST"/>
    <n v="784305779"/>
    <m/>
    <s v="Female"/>
    <d v="1995-05-12T00:00:00"/>
    <n v="27.063013698630137"/>
    <s v="Valid Age"/>
    <s v="Married"/>
    <m/>
    <s v="Business woman"/>
    <s v="Nyangilia"/>
    <s v="Nyangilia"/>
    <s v="National ID"/>
    <s v="CF94066102JHKG"/>
    <d v="2025-06-25T00:00:00"/>
    <s v="Ngota Moses"/>
    <s v="Husband"/>
    <n v="788807520"/>
    <m/>
    <m/>
  </r>
  <r>
    <x v="43"/>
    <d v="2021-06-02T00:00:00"/>
    <s v="CANDIRU HELLEN"/>
    <s v="2002000044"/>
    <s v="CUST"/>
    <n v="780607321"/>
    <m/>
    <s v="Female"/>
    <d v="1976-10-04T00:00:00"/>
    <n v="45.676712328767124"/>
    <s v="Valid Age"/>
    <s v="Married"/>
    <m/>
    <s v="Business woman"/>
    <s v="Abele  Cell"/>
    <s v="Abele cell"/>
    <s v="National ID"/>
    <s v="CF76066101JNHG"/>
    <d v="2025-06-25T00:00:00"/>
    <s v="Gedeon Idoru"/>
    <s v="Husband"/>
    <n v="793941470"/>
    <m/>
    <m/>
  </r>
  <r>
    <x v="44"/>
    <d v="2021-06-02T00:00:00"/>
    <s v="SANYA DONALD"/>
    <s v="2002000045"/>
    <s v="CUST"/>
    <n v="785290818"/>
    <m/>
    <s v="Male"/>
    <d v="1980-10-14T00:00:00"/>
    <n v="41.646575342465752"/>
    <s v="Valid Age"/>
    <s v="Married"/>
    <m/>
    <s v="Business Man"/>
    <s v="Gaagaa"/>
    <s v="Gaagaa"/>
    <s v="National ID"/>
    <s v="CM800661003Q2L"/>
    <d v="2024-09-27T00:00:00"/>
    <s v="Atiki Clovis Pitia"/>
    <s v="Brother"/>
    <n v="772366782"/>
    <m/>
    <m/>
  </r>
  <r>
    <x v="45"/>
    <d v="2021-06-02T00:00:00"/>
    <s v="ALIO YUDA"/>
    <s v="2002000046"/>
    <s v="CUST"/>
    <n v="789959791"/>
    <m/>
    <s v="Male"/>
    <d v="1966-05-07T00:00:00"/>
    <n v="56.095890410958901"/>
    <s v="Over Age"/>
    <s v="Married"/>
    <m/>
    <s v="Business Man"/>
    <s v="Midia"/>
    <s v="Midia"/>
    <s v="National ID"/>
    <s v="CM66066101UQ3E"/>
    <d v="2025-06-25T00:00:00"/>
    <s v="Onzia Betty"/>
    <s v="Wife"/>
    <n v="771278110"/>
    <m/>
    <m/>
  </r>
  <r>
    <x v="46"/>
    <d v="2021-06-02T00:00:00"/>
    <s v="DAWA AMINA"/>
    <s v="2002000047"/>
    <s v="CUST"/>
    <n v="786456610"/>
    <m/>
    <s v="Female"/>
    <d v="1991-10-15T00:00:00"/>
    <n v="30.638356164383563"/>
    <s v="Valid Age"/>
    <s v="Married"/>
    <m/>
    <s v="Business woman"/>
    <s v="Ombaci Cell"/>
    <s v="Malenga"/>
    <s v="National ID"/>
    <s v="CF91066103HE8K"/>
    <d v="2025-06-24T00:00:00"/>
    <s v="Anguyo Sharif"/>
    <s v="Son"/>
    <s v="None"/>
    <m/>
    <m/>
  </r>
  <r>
    <x v="47"/>
    <d v="2021-06-02T00:00:00"/>
    <s v="BAKO KASIA"/>
    <s v="2002000048"/>
    <s v="CUST"/>
    <n v="786306630"/>
    <m/>
    <s v="Female"/>
    <d v="1986-07-30T00:00:00"/>
    <n v="35.852054794520548"/>
    <s v="Valid Age"/>
    <s v="Married"/>
    <m/>
    <s v="Business woman"/>
    <s v="Ombaci Cell"/>
    <s v="Ombaci Market"/>
    <s v="National ID"/>
    <s v="CF860531035A9J"/>
    <d v="2025-07-02T00:00:00"/>
    <s v="Maturu Alice"/>
    <s v="Daughter"/>
    <s v="None"/>
    <m/>
    <m/>
  </r>
  <r>
    <x v="48"/>
    <d v="2021-06-02T00:00:00"/>
    <s v="MAWUZU SARAH"/>
    <s v="2002000049"/>
    <s v="CUST"/>
    <n v="775084116"/>
    <m/>
    <s v="Female"/>
    <d v="1985-06-12T00:00:00"/>
    <n v="36.983561643835614"/>
    <s v="Valid Age"/>
    <s v="Married"/>
    <m/>
    <s v="Business woman"/>
    <s v="Ombaci Cell"/>
    <s v="Yibongo village"/>
    <s v="National ID"/>
    <s v="CF85053101WQKA"/>
    <d v="2025-06-25T00:00:00"/>
    <s v="Abdulaziz Speak"/>
    <s v="Son"/>
    <s v="None"/>
    <m/>
    <m/>
  </r>
  <r>
    <x v="49"/>
    <d v="2021-06-04T00:00:00"/>
    <s v="WACHEKE HARRIET"/>
    <s v="2002000050"/>
    <s v="CUST"/>
    <n v="772816130"/>
    <m/>
    <s v="Female"/>
    <d v="1998-10-14T00:00:00"/>
    <n v="23.635616438356163"/>
    <s v="Valid Age"/>
    <s v="Married"/>
    <m/>
    <s v="Business woman"/>
    <s v="Sinyani Village"/>
    <s v="Abele cell"/>
    <s v="National ID"/>
    <s v="CF98066102HP9K"/>
    <d v="2025-06-25T00:00:00"/>
    <s v="Taban Nicholas"/>
    <s v="Spouse"/>
    <n v="772816130"/>
    <m/>
    <m/>
  </r>
  <r>
    <x v="50"/>
    <d v="2021-06-04T00:00:00"/>
    <s v="AYILE STEPHEN"/>
    <s v="2002000051"/>
    <s v="CUST"/>
    <n v="785406407"/>
    <m/>
    <s v="Male"/>
    <d v="1996-12-25T00:00:00"/>
    <n v="25.438356164383563"/>
    <s v="Valid Age"/>
    <s v="Married"/>
    <m/>
    <s v="Business Man"/>
    <s v="Koboko"/>
    <s v="Midia"/>
    <s v="National ID"/>
    <s v="CM96066102JUUE"/>
    <d v="2025-06-24T00:00:00"/>
    <s v="Issa Moumba"/>
    <s v="Brother"/>
    <n v="786285515"/>
    <m/>
    <m/>
  </r>
  <r>
    <x v="51"/>
    <d v="2021-06-07T00:00:00"/>
    <s v="EDEZU PEACE IRENE"/>
    <s v="2002000052"/>
    <s v="CUST"/>
    <n v="789363050"/>
    <m/>
    <s v="Female"/>
    <d v="1985-05-17T00:00:00"/>
    <n v="37.054794520547944"/>
    <s v="Valid Age"/>
    <s v="Married"/>
    <m/>
    <s v="Business woman"/>
    <s v="Anjinjin"/>
    <s v="Anjinjin"/>
    <s v="National ID"/>
    <s v="CF850771028FMK"/>
    <d v="2025-06-17T00:00:00"/>
    <s v="Adiga Kennedy"/>
    <s v="Brother"/>
    <n v="784323140"/>
    <m/>
    <m/>
  </r>
  <r>
    <x v="52"/>
    <d v="2021-06-07T00:00:00"/>
    <s v="KALSUMU INNOCENT"/>
    <s v="2002000053"/>
    <s v="CUST"/>
    <n v="776066291"/>
    <m/>
    <s v="Female"/>
    <d v="1988-01-01T00:00:00"/>
    <n v="34.42739726027397"/>
    <s v="Valid Age"/>
    <s v="Married"/>
    <m/>
    <s v="Business woman"/>
    <s v="Ombaci Cell"/>
    <s v="Drunyo"/>
    <s v="National ID"/>
    <s v="CF88029101QW9C"/>
    <d v="2025-06-25T00:00:00"/>
    <s v="Osobasi Siraj"/>
    <s v="Son"/>
    <s v="None"/>
    <m/>
    <m/>
  </r>
  <r>
    <x v="53"/>
    <d v="2021-06-07T00:00:00"/>
    <s v="MANENO ANIFA"/>
    <s v="2002000054"/>
    <s v="CUST"/>
    <n v="776814060"/>
    <m/>
    <s v="Female"/>
    <d v="1984-11-12T00:00:00"/>
    <n v="37.564383561643837"/>
    <s v="Valid Age"/>
    <s v="Married"/>
    <m/>
    <s v="Business woman"/>
    <s v="Ombaci Cell"/>
    <s v="Yibongo village"/>
    <s v="National ID"/>
    <s v="CF84066101W70H"/>
    <d v="2025-06-24T00:00:00"/>
    <s v="Ase Zainabu"/>
    <s v="Sister"/>
    <n v="776814060"/>
    <m/>
    <m/>
  </r>
  <r>
    <x v="54"/>
    <d v="2021-06-07T00:00:00"/>
    <s v="SOKOLA SHARON"/>
    <s v="2002000055"/>
    <s v="CUST"/>
    <n v="786116052"/>
    <m/>
    <s v="Female"/>
    <d v="1999-03-10T00:00:00"/>
    <n v="23.232876712328768"/>
    <s v="Valid Age"/>
    <s v="Married"/>
    <m/>
    <s v="Business woman"/>
    <s v="Abele  market"/>
    <s v="Abele cell"/>
    <s v="National ID"/>
    <s v="CF99066106U6FG"/>
    <d v="2029-12-17T00:00:00"/>
    <s v="Dawa Arafah"/>
    <s v="Daughter"/>
    <s v="None"/>
    <m/>
    <m/>
  </r>
  <r>
    <x v="55"/>
    <d v="2021-06-07T00:00:00"/>
    <s v="ALOMO ZABIBU"/>
    <s v="2002000056"/>
    <s v="CUST"/>
    <n v="786553852"/>
    <m/>
    <s v="Female"/>
    <d v="1986-04-15T00:00:00"/>
    <n v="36.142465753424659"/>
    <s v="Valid Age"/>
    <s v="Married"/>
    <m/>
    <s v="Business woman"/>
    <s v="Abele market"/>
    <s v="Abele cell"/>
    <s v="National ID"/>
    <s v="CF8905310336PA"/>
    <d v="2025-07-07T00:00:00"/>
    <s v="Lesson Razak"/>
    <s v="Son"/>
    <s v="None"/>
    <m/>
    <m/>
  </r>
  <r>
    <x v="56"/>
    <d v="2021-06-07T00:00:00"/>
    <s v="ASERU SCOVIA"/>
    <s v="2002000057"/>
    <s v="CUST"/>
    <n v="785150087"/>
    <m/>
    <s v="Female"/>
    <d v="1989-08-14T00:00:00"/>
    <n v="32.80821917808219"/>
    <s v="Valid Age"/>
    <s v="Married"/>
    <m/>
    <s v="Business woman"/>
    <s v="Abele market"/>
    <s v="Abele cell"/>
    <s v="National ID"/>
    <s v="CF89002107D5VJ"/>
    <d v="2025-07-03T00:00:00"/>
    <s v="Fetaru Benitah"/>
    <s v="Daughter"/>
    <s v="None"/>
    <m/>
    <m/>
  </r>
  <r>
    <x v="57"/>
    <d v="2021-06-08T00:00:00"/>
    <s v="ALIRU AMINA "/>
    <s v="2002000058"/>
    <s v="CUST"/>
    <n v="789364591"/>
    <m/>
    <s v="Female"/>
    <d v="1981-09-19T00:00:00"/>
    <n v="40.715068493150682"/>
    <s v="Valid Age"/>
    <s v="Married"/>
    <m/>
    <s v="Business woman"/>
    <s v="Ombaci Cell"/>
    <s v="Ombaci Market"/>
    <s v="National ID"/>
    <s v="CF81066101UHFF"/>
    <d v="2025-06-24T00:00:00"/>
    <s v="Musema Musa"/>
    <s v="Son"/>
    <s v="None"/>
    <m/>
    <m/>
  </r>
  <r>
    <x v="58"/>
    <d v="2021-06-08T00:00:00"/>
    <s v="ONZIA AGNES"/>
    <s v="2002000059"/>
    <s v="CUST"/>
    <n v="780780112"/>
    <m/>
    <s v="Female"/>
    <d v="1974-03-07T00:00:00"/>
    <n v="48.257534246575339"/>
    <s v="Valid Age"/>
    <s v="Married"/>
    <m/>
    <s v="Business woman"/>
    <s v="Abele market"/>
    <s v="Kululu cell"/>
    <s v="National ID"/>
    <s v="CF7406610313CA"/>
    <d v="2025-06-24T00:00:00"/>
    <s v="Asiki Peter"/>
    <s v="Son"/>
    <s v="None"/>
    <m/>
    <m/>
  </r>
  <r>
    <x v="59"/>
    <d v="2021-06-08T00:00:00"/>
    <s v="MATURU ALICE"/>
    <s v="2002000060"/>
    <s v="CUST"/>
    <n v="785285697"/>
    <m/>
    <s v="Female"/>
    <d v="1980-10-05T00:00:00"/>
    <n v="41.671232876712331"/>
    <s v="Valid Age"/>
    <s v="Married"/>
    <m/>
    <s v="Business woman"/>
    <s v="Ombaci market"/>
    <s v="ombaci cell"/>
    <s v="National ID"/>
    <s v="CF80077102QJXK"/>
    <d v="2025-06-24T00:00:00"/>
    <s v="Adriko Brian"/>
    <s v="Son"/>
    <n v="789584999"/>
    <m/>
    <m/>
  </r>
  <r>
    <x v="60"/>
    <d v="2021-06-08T00:00:00"/>
    <s v="AREDU RUKIA"/>
    <s v="2002000061"/>
    <s v="CUST"/>
    <n v="774034136"/>
    <m/>
    <s v="Female"/>
    <d v="1972-04-19T00:00:00"/>
    <n v="50.139726027397259"/>
    <s v="Valid Age"/>
    <s v="Married"/>
    <m/>
    <s v="Business woman"/>
    <s v="Sinyani Cell"/>
    <s v="Sinyani Village"/>
    <s v="National ID"/>
    <s v="CF72066102KW9A"/>
    <d v="2024-06-24T00:00:00"/>
    <s v="Ayikoru Rehma"/>
    <s v="Daughter"/>
    <s v="None"/>
    <m/>
    <m/>
  </r>
  <r>
    <x v="61"/>
    <d v="2021-06-08T00:00:00"/>
    <s v="DUDU ARIKE"/>
    <s v="2002000062"/>
    <s v="CUST"/>
    <n v="787603337"/>
    <m/>
    <s v="Female"/>
    <d v="1965-05-11T00:00:00"/>
    <n v="57.084931506849315"/>
    <s v="Over Age"/>
    <s v="Married"/>
    <m/>
    <s v="Business woman"/>
    <s v="Sinyani Cell"/>
    <s v="Sinyani Village"/>
    <s v="National ID"/>
    <s v="CF65066101X7UF"/>
    <d v="2025-06-24T00:00:00"/>
    <s v="Yukuwe Fatuma"/>
    <s v="Daughter"/>
    <n v="777057009"/>
    <m/>
    <m/>
  </r>
  <r>
    <x v="62"/>
    <d v="2021-06-08T00:00:00"/>
    <s v="AWURU KADARA"/>
    <s v="2002000063"/>
    <s v="CUST"/>
    <n v="789088030"/>
    <m/>
    <s v="Female"/>
    <d v="1965-04-20T00:00:00"/>
    <n v="57.142465753424659"/>
    <s v="Over Age"/>
    <s v="Married"/>
    <m/>
    <s v="Business woman"/>
    <s v="Abele market"/>
    <s v="Abele cell"/>
    <s v="National ID"/>
    <s v="CF65066101UHTK"/>
    <d v="2025-06-24T00:00:00"/>
    <s v="None"/>
    <s v="None"/>
    <s v="None"/>
    <m/>
    <m/>
  </r>
  <r>
    <x v="63"/>
    <d v="2021-06-08T00:00:00"/>
    <s v="AKINO JUDITH"/>
    <s v="2002000064"/>
    <s v="CUST"/>
    <n v="779386782"/>
    <m/>
    <s v="Female"/>
    <d v="1990-01-08T00:00:00"/>
    <n v="32.405479452054792"/>
    <s v="Valid Age"/>
    <s v="Married"/>
    <m/>
    <s v="Business woman"/>
    <s v="Abele market"/>
    <s v="Abele cell"/>
    <s v="National ID"/>
    <s v="CF900771019Y6J"/>
    <d v="2025-06-24T00:00:00"/>
    <s v="Lamwaka Tyra Ruth"/>
    <s v="Daughter"/>
    <s v="None"/>
    <m/>
    <m/>
  </r>
  <r>
    <x v="64"/>
    <d v="2021-06-10T00:00:00"/>
    <s v="NDAWULA GERALD"/>
    <s v="2002000065"/>
    <s v="CUST"/>
    <n v="775624305"/>
    <m/>
    <s v="Male"/>
    <d v="1973-08-12T00:00:00"/>
    <n v="48.824657534246576"/>
    <s v="Valid Age"/>
    <s v="Single"/>
    <m/>
    <s v="Business Man"/>
    <s v="Sinyani Cell"/>
    <s v="Sinyani Village"/>
    <s v="National ID"/>
    <s v="CM730821052NGL"/>
    <d v="2025-06-24T00:00:00"/>
    <s v="Julius Wandungu"/>
    <s v="Brother"/>
    <n v="772785622"/>
    <m/>
    <m/>
  </r>
  <r>
    <x v="65"/>
    <d v="2021-06-11T00:00:00"/>
    <s v="DENAYA NYAMAZA"/>
    <s v="2002000066"/>
    <s v="CUST"/>
    <n v="770710018"/>
    <m/>
    <s v="Male"/>
    <d v="1998-07-12T00:00:00"/>
    <n v="23.893150684931506"/>
    <s v="Valid Age"/>
    <s v="Married"/>
    <m/>
    <s v="Business Man"/>
    <s v="Lipa Cell"/>
    <s v="Mondukudu Cell"/>
    <s v="National ID"/>
    <s v="CM98066101H0DG"/>
    <d v="2025-06-24T00:00:00"/>
    <s v="Shamim Raima Bint Iddi"/>
    <s v="Sister"/>
    <n v="770710018"/>
    <m/>
    <m/>
  </r>
  <r>
    <x v="66"/>
    <d v="2021-06-11T00:00:00"/>
    <s v="KEBITA SAUDA"/>
    <s v="2002000067"/>
    <s v="CUST"/>
    <n v="779985949"/>
    <m/>
    <s v="Female"/>
    <d v="1982-01-01T00:00:00"/>
    <n v="40.43013698630137"/>
    <s v="Valid Age"/>
    <s v="Married"/>
    <m/>
    <s v="Business woman"/>
    <s v="Abele Cell"/>
    <s v="Abele cell"/>
    <s v="National ID"/>
    <s v="CM840661004HGK"/>
    <d v="2025-06-25T00:00:00"/>
    <s v="Mawa Yakani"/>
    <s v="Son"/>
    <s v="None"/>
    <m/>
    <m/>
  </r>
  <r>
    <x v="67"/>
    <d v="2021-06-11T00:00:00"/>
    <s v="CHANDIA  RAHIMA"/>
    <s v="2002000068"/>
    <s v="CUST"/>
    <n v="771376503"/>
    <m/>
    <s v="Female"/>
    <d v="1989-11-08T00:00:00"/>
    <n v="32.57260273972603"/>
    <s v="Valid Age"/>
    <s v="Married"/>
    <m/>
    <s v="Business woman"/>
    <s v="Ombachi Market"/>
    <s v="Ombachi Cell"/>
    <s v="National ID"/>
    <s v="CF89029102F7GH"/>
    <d v="2025-07-06T00:00:00"/>
    <s v="Beya Majuma"/>
    <s v="Daughter"/>
    <s v="None"/>
    <m/>
    <m/>
  </r>
  <r>
    <x v="68"/>
    <d v="2021-06-11T00:00:00"/>
    <s v="SADIA JOYCE"/>
    <s v="2002000069"/>
    <s v="CUST"/>
    <n v="774279052"/>
    <m/>
    <s v="Female"/>
    <d v="1974-03-23T00:00:00"/>
    <n v="48.213698630136989"/>
    <s v="Valid Age"/>
    <s v="Married"/>
    <m/>
    <s v="Teacher"/>
    <s v="Yibongo Village"/>
    <s v="Yibongo village"/>
    <s v="National ID"/>
    <s v="CF74066102KTRJ"/>
    <d v="2025-06-25T00:00:00"/>
    <s v="Simon Lema"/>
    <s v="Husband"/>
    <n v="774813602"/>
    <m/>
    <m/>
  </r>
  <r>
    <x v="69"/>
    <d v="2021-06-14T00:00:00"/>
    <s v="BUGA ALIKIA PHILLIP"/>
    <s v="2002000070"/>
    <s v="CUST"/>
    <n v="782961179"/>
    <m/>
    <s v="Male"/>
    <d v="1962-12-12T00:00:00"/>
    <n v="59.4986301369863"/>
    <s v="Over Age"/>
    <s v="Married"/>
    <m/>
    <s v="Business Man"/>
    <s v="Koboko"/>
    <s v="Dikasinga"/>
    <s v="National ID"/>
    <s v="CM62002108HPTD"/>
    <d v="2025-09-10T00:00:00"/>
    <s v="Never Flavia "/>
    <s v="Daughter"/>
    <s v="None"/>
    <m/>
    <m/>
  </r>
  <r>
    <x v="70"/>
    <d v="2021-06-14T00:00:00"/>
    <s v="AYIKORU HARIET BAUDI"/>
    <s v="2002000071"/>
    <s v="CUST"/>
    <n v="782553810"/>
    <m/>
    <s v="Female"/>
    <d v="1977-12-19T00:00:00"/>
    <n v="44.468493150684928"/>
    <s v="Valid Age"/>
    <s v="Married"/>
    <m/>
    <s v="Business woman"/>
    <s v="Abele market"/>
    <s v="Abele cell"/>
    <s v="National ID"/>
    <s v="CF770531000DH2F"/>
    <d v="2025-06-24T00:00:00"/>
    <s v="Enzama Jeremy"/>
    <s v="Husband"/>
    <n v="780936335"/>
    <m/>
    <m/>
  </r>
  <r>
    <x v="71"/>
    <d v="2021-06-14T00:00:00"/>
    <s v="MUNDURU MERCY"/>
    <s v="2002000072"/>
    <s v="CUST"/>
    <n v="775990522"/>
    <m/>
    <s v="Female"/>
    <d v="1982-11-11T00:00:00"/>
    <n v="39.56986301369863"/>
    <s v="Valid Age"/>
    <s v="Married"/>
    <m/>
    <s v="Business woman"/>
    <s v="Abele market"/>
    <s v="Abele cell"/>
    <s v="National ID"/>
    <s v="CF82002106NMYL"/>
    <d v="2025-06-24T00:00:00"/>
    <s v="Aluonzi Emmanuel"/>
    <s v="Son"/>
    <n v="783485587"/>
    <m/>
    <m/>
  </r>
  <r>
    <x v="72"/>
    <d v="2021-06-14T00:00:00"/>
    <s v="AJONYE DEBORA"/>
    <s v="2002000073"/>
    <s v="CUST"/>
    <n v="772443148"/>
    <m/>
    <s v="Female"/>
    <d v="1958-08-26T00:00:00"/>
    <n v="63.797260273972604"/>
    <s v="Over Age"/>
    <s v="Married"/>
    <m/>
    <s v="Business woman"/>
    <s v="Ombachi Market"/>
    <s v="Ombachi Cell"/>
    <s v="National ID"/>
    <s v="CF58066101DTAH"/>
    <d v="2025-06-25T00:00:00"/>
    <s v="Peter Yeka"/>
    <s v="Son"/>
    <s v="None"/>
    <m/>
    <m/>
  </r>
  <r>
    <x v="73"/>
    <d v="2021-06-14T00:00:00"/>
    <s v="YUKUWE AISHA"/>
    <s v="2002000074"/>
    <s v="CUST"/>
    <n v="781929918"/>
    <m/>
    <s v="Male"/>
    <d v="1975-08-01T00:00:00"/>
    <n v="46.854794520547948"/>
    <s v="Valid Age"/>
    <s v="Married"/>
    <m/>
    <s v="Business woman"/>
    <s v="Arumaji"/>
    <s v="Arumaji Village"/>
    <s v="National ID"/>
    <s v="CF75002100FYUJ"/>
    <d v="2025-06-24T00:00:00"/>
    <s v="Swaib Babu"/>
    <s v="Son"/>
    <n v="771679200"/>
    <m/>
    <m/>
  </r>
  <r>
    <x v="74"/>
    <d v="2021-06-14T00:00:00"/>
    <s v="MUKULIA JAMES"/>
    <s v="2002000075"/>
    <s v="CUST"/>
    <n v="780674875"/>
    <m/>
    <s v="Male"/>
    <d v="1975-07-25T00:00:00"/>
    <n v="46.873972602739727"/>
    <s v="Valid Age"/>
    <s v="Married"/>
    <m/>
    <s v="Business Man"/>
    <s v="Ombachi Market"/>
    <s v="Ombachi Cell"/>
    <s v="National ID"/>
    <s v="CM75066102PVTH"/>
    <d v="2025-06-24T00:00:00"/>
    <s v="Tabu Nataliya"/>
    <s v="Wife"/>
    <s v="None"/>
    <m/>
    <m/>
  </r>
  <r>
    <x v="75"/>
    <d v="2021-06-15T00:00:00"/>
    <s v="DAWA AISHA"/>
    <s v="2002000076"/>
    <s v="CUST"/>
    <n v="783760795"/>
    <m/>
    <s v="Female"/>
    <d v="1982-02-10T00:00:00"/>
    <n v="40.320547945205476"/>
    <s v="Valid Age"/>
    <s v="Married"/>
    <m/>
    <s v="Business woman"/>
    <s v="Abele market"/>
    <s v="Abele cell"/>
    <s v="National ID"/>
    <s v="CF82066102MQFE"/>
    <d v="2025-06-24T00:00:00"/>
    <s v="Asiku Moses Moro"/>
    <s v="Husband"/>
    <n v="783407745"/>
    <m/>
    <m/>
  </r>
  <r>
    <x v="76"/>
    <d v="2021-06-15T00:00:00"/>
    <s v="CACA FATUMA"/>
    <s v="2002000077"/>
    <s v="CUST"/>
    <n v="774007615"/>
    <m/>
    <s v="Female"/>
    <d v="1971-09-24T00:00:00"/>
    <n v="50.709589041095889"/>
    <s v="Valid Age"/>
    <s v="Married"/>
    <m/>
    <s v="Business woman"/>
    <s v="Koboko"/>
    <s v="Yibongo village"/>
    <s v="National ID"/>
    <s v="CF71053100DYJK"/>
    <d v="2025-06-24T00:00:00"/>
    <s v="Rashid Kawale"/>
    <s v="Son"/>
    <s v="None"/>
    <m/>
    <m/>
  </r>
  <r>
    <x v="77"/>
    <d v="2021-06-16T00:00:00"/>
    <s v="DIPIYO BEATRICE JOHN"/>
    <s v="2002000078"/>
    <s v="CUST"/>
    <n v="773331625"/>
    <m/>
    <s v="Female"/>
    <d v="1984-10-08T00:00:00"/>
    <n v="37.660273972602738"/>
    <s v="Valid Age"/>
    <s v="Married"/>
    <m/>
    <s v="Business woman"/>
    <s v="Abele market"/>
    <s v="Abele cell"/>
    <s v="National ID"/>
    <s v="CF840661039M1E"/>
    <d v="2025-06-24T00:00:00"/>
    <s v="Anifa Comfort"/>
    <s v="Daughter"/>
    <s v="None"/>
    <m/>
    <m/>
  </r>
  <r>
    <x v="78"/>
    <d v="2021-06-16T00:00:00"/>
    <s v="PASI SENYA"/>
    <s v="2002000079"/>
    <s v="CUST"/>
    <n v="782033950"/>
    <m/>
    <s v="Female"/>
    <d v="1992-04-11T00:00:00"/>
    <n v="30.147945205479452"/>
    <s v="Valid Age"/>
    <s v="Married"/>
    <m/>
    <s v="Business woman"/>
    <s v="Sinyani Cell"/>
    <s v="Lipa Cell"/>
    <s v="National ID"/>
    <s v="CF92066102MCCL"/>
    <d v="2025-06-25T00:00:00"/>
    <s v="Anthony Given"/>
    <s v="Son"/>
    <s v="None"/>
    <m/>
    <m/>
  </r>
  <r>
    <x v="79"/>
    <d v="2021-06-16T00:00:00"/>
    <s v="ARIYE AISHA"/>
    <s v="2002000080"/>
    <s v="CUST"/>
    <n v="789987009"/>
    <m/>
    <s v="Female"/>
    <d v="1978-12-12T00:00:00"/>
    <n v="43.487671232876714"/>
    <s v="Valid Age"/>
    <s v="Married"/>
    <m/>
    <s v="Business woman"/>
    <s v="Lipa Cell"/>
    <s v="Lipa Cell"/>
    <s v="National ID"/>
    <s v="CF780661033R5G"/>
    <d v="2025-06-24T00:00:00"/>
    <s v="Palata Evelyn"/>
    <s v="Daughter"/>
    <s v="None"/>
    <m/>
    <m/>
  </r>
  <r>
    <x v="80"/>
    <d v="2021-06-17T00:00:00"/>
    <s v="ADAM ZAITUN"/>
    <s v="2002000081"/>
    <s v="CUST"/>
    <n v="776790410"/>
    <m/>
    <s v="Female"/>
    <d v="1988-03-11T00:00:00"/>
    <n v="34.235616438356168"/>
    <s v="Valid Age"/>
    <s v="Married"/>
    <m/>
    <s v="Business woman"/>
    <s v="Ombachi Market"/>
    <s v="Yibongo village"/>
    <s v="National ID"/>
    <s v="CF88033107GMXA"/>
    <d v="2025-06-24T00:00:00"/>
    <s v="Kokole Khamis"/>
    <s v="Husband"/>
    <s v="None"/>
    <m/>
    <m/>
  </r>
  <r>
    <x v="81"/>
    <d v="2021-06-18T00:00:00"/>
    <s v="ADUNA MANENO"/>
    <s v="2002000082"/>
    <s v="CUST"/>
    <n v="760439261"/>
    <m/>
    <s v="Female"/>
    <d v="1990-01-01T00:00:00"/>
    <n v="32.424657534246577"/>
    <s v="Valid Age"/>
    <s v="Married"/>
    <m/>
    <s v="Business woman"/>
    <s v="Abele market"/>
    <s v="Abele cell"/>
    <s v="National ID"/>
    <s v="CF900661030WJG"/>
    <d v="2025-06-25T00:00:00"/>
    <s v="Amos Sadam"/>
    <s v="Son"/>
    <s v="None"/>
    <m/>
    <m/>
  </r>
  <r>
    <x v="82"/>
    <d v="2021-06-18T00:00:00"/>
    <s v="NEVER ZULAIKA"/>
    <s v="2002000083"/>
    <s v="CUST"/>
    <n v="784649981"/>
    <m/>
    <s v="Female"/>
    <d v="1991-04-08T00:00:00"/>
    <n v="31.158904109589042"/>
    <s v="Valid Age"/>
    <s v="Married"/>
    <m/>
    <s v="Business woman"/>
    <s v="Market Square"/>
    <s v="Lurunu"/>
    <s v="National ID"/>
    <s v="CF91066102ET7A"/>
    <d v="2025-06-25T00:00:00"/>
    <s v="Ayozu Fadila  "/>
    <s v="Sister"/>
    <n v="778408202"/>
    <m/>
    <m/>
  </r>
  <r>
    <x v="83"/>
    <d v="2021-06-18T00:00:00"/>
    <s v="OMEGA  CHARLES"/>
    <s v="2002000084"/>
    <s v="CUST"/>
    <n v="788274101"/>
    <m/>
    <s v="Male"/>
    <d v="1994-11-01T00:00:00"/>
    <n v="27.589041095890412"/>
    <s v="Valid Age"/>
    <s v="Married"/>
    <m/>
    <s v="Business Man"/>
    <s v="Midia"/>
    <s v="Mindrabe"/>
    <s v="National ID"/>
    <s v="CM94066102JVGD"/>
    <d v="2025-06-25T00:00:00"/>
    <s v="Moikili Jackson"/>
    <s v="Brother"/>
    <s v="None"/>
    <m/>
    <m/>
  </r>
  <r>
    <x v="84"/>
    <d v="2021-06-21T00:00:00"/>
    <s v="CEASER SWALEH"/>
    <s v="2002000085"/>
    <s v="CUST"/>
    <n v="775586706"/>
    <m/>
    <s v="Male"/>
    <d v="1982-05-14T00:00:00"/>
    <n v="40.065753424657537"/>
    <s v="Valid Age"/>
    <s v="Married"/>
    <m/>
    <s v="Business Man"/>
    <s v="Koboko"/>
    <s v="Abele cell"/>
    <s v="National ID"/>
    <s v="CM82066101VHDC"/>
    <d v="2025-06-25T00:00:00"/>
    <s v="Abui Habib"/>
    <s v="Brother"/>
    <n v="774032374"/>
    <m/>
    <m/>
  </r>
  <r>
    <x v="85"/>
    <d v="2021-06-21T00:00:00"/>
    <s v="AMANIYO JOYCE"/>
    <s v="2002000086"/>
    <s v="CUST"/>
    <n v="777570311"/>
    <m/>
    <s v="Female"/>
    <d v="1984-05-15T00:00:00"/>
    <n v="38.060273972602737"/>
    <s v="Valid Age"/>
    <s v="Married"/>
    <m/>
    <s v="Business woman"/>
    <s v="Lipa Cell"/>
    <s v="Lipa Cell"/>
    <s v="National ID"/>
    <s v="CF84002106L3JE"/>
    <d v="2025-06-24T00:00:00"/>
    <s v="Asianju Christine"/>
    <s v="Daughter"/>
    <s v="None"/>
    <m/>
    <m/>
  </r>
  <r>
    <x v="86"/>
    <d v="2021-06-21T00:00:00"/>
    <s v="FAIDA ZUBEDA"/>
    <s v="2002000087"/>
    <s v="CUST"/>
    <n v="775636307"/>
    <m/>
    <s v="Female"/>
    <d v="1984-05-21T00:00:00"/>
    <n v="38.043835616438358"/>
    <s v="Valid Age"/>
    <s v="Married"/>
    <m/>
    <s v="Business woman"/>
    <s v="Ombachi Market"/>
    <s v="Yibongo village"/>
    <s v="National ID"/>
    <s v="CF84066101CRPC"/>
    <d v="2025-06-24T00:00:00"/>
    <s v="Faruku Ayiko"/>
    <s v="Son"/>
    <s v="None"/>
    <m/>
    <m/>
  </r>
  <r>
    <x v="87"/>
    <d v="2021-06-21T00:00:00"/>
    <s v="FAIDA HARRIET"/>
    <s v="2002000088"/>
    <s v="CUST"/>
    <n v="785380303"/>
    <m/>
    <s v="Female"/>
    <d v="1979-07-05T00:00:00"/>
    <n v="42.926027397260277"/>
    <s v="Valid Age"/>
    <s v="Married"/>
    <m/>
    <s v="Business woman"/>
    <s v="Abele Cell"/>
    <s v="Abele cell"/>
    <s v="National ID"/>
    <s v="CF79068101X4KF"/>
    <d v="2025-06-24T00:00:00"/>
    <s v="Ivan Bangutu"/>
    <s v="Son"/>
    <n v="774070173"/>
    <m/>
    <m/>
  </r>
  <r>
    <x v="88"/>
    <d v="2021-06-22T00:00:00"/>
    <s v="ANDA FLORENCE"/>
    <s v="2002000089"/>
    <s v="CUST"/>
    <n v="785966794"/>
    <m/>
    <s v="Female"/>
    <d v="1977-07-19T00:00:00"/>
    <n v="44.887671232876713"/>
    <s v="Valid Age"/>
    <s v="Married"/>
    <m/>
    <s v="Business woman"/>
    <s v="Ombachi Market"/>
    <s v="Yibongo village"/>
    <s v="National ID"/>
    <s v="CF770661035XML"/>
    <d v="2025-06-25T00:00:00"/>
    <s v="Moses Mawa"/>
    <s v="Son"/>
    <s v="None"/>
    <m/>
    <m/>
  </r>
  <r>
    <x v="89"/>
    <d v="2021-06-22T00:00:00"/>
    <s v="ZABIBU RAJAB SAIDI"/>
    <s v="2002000090"/>
    <s v="CUST"/>
    <n v="779629338"/>
    <m/>
    <s v="Female"/>
    <d v="1980-09-03T00:00:00"/>
    <n v="41.758904109589039"/>
    <s v="Valid Age"/>
    <s v="Married"/>
    <m/>
    <s v="Business woman"/>
    <s v="Yibongo Village"/>
    <s v="Yibongo village"/>
    <s v="National ID"/>
    <s v="CF800051026QTH"/>
    <d v="2025-06-24T00:00:00"/>
    <s v="Juma Emmanuel"/>
    <s v="Son"/>
    <n v="781604399"/>
    <m/>
    <m/>
  </r>
  <r>
    <x v="90"/>
    <d v="2021-06-22T00:00:00"/>
    <s v="CHANDIRU SALILA"/>
    <s v="2002000091"/>
    <s v="STAF"/>
    <n v="785785679"/>
    <m/>
    <s v="Female"/>
    <d v="1970-02-13T00:00:00"/>
    <n v="52.320547945205476"/>
    <s v="Valid Age"/>
    <s v="Married"/>
    <m/>
    <s v="Business woman"/>
    <s v="Ombachi Market"/>
    <s v="Yibongo village"/>
    <s v="National ID"/>
    <s v="CF70053102DRKG"/>
    <d v="2025-09-09T00:00:00"/>
    <s v="Asiki Kennedy"/>
    <s v="Brother"/>
    <n v="787158824"/>
    <m/>
    <m/>
  </r>
  <r>
    <x v="91"/>
    <d v="2021-06-22T00:00:00"/>
    <s v="FAIDA ZAKIYA"/>
    <s v="2002000092"/>
    <s v="CUST"/>
    <n v="779163014"/>
    <m/>
    <s v="Female"/>
    <d v="1993-09-18T00:00:00"/>
    <n v="28.709589041095889"/>
    <s v="Valid Age"/>
    <s v="Married"/>
    <m/>
    <s v="Business woman"/>
    <s v="Ombachi Market"/>
    <s v="Yibongo village"/>
    <s v="National ID"/>
    <s v="CF930531018JVG"/>
    <d v="2025-06-25T00:00:00"/>
    <s v="Amida Shida"/>
    <s v="Sister"/>
    <n v="786837398"/>
    <m/>
    <m/>
  </r>
  <r>
    <x v="92"/>
    <d v="2021-06-23T00:00:00"/>
    <s v="YOSSA BRAXTON JOHN"/>
    <s v="2002000093"/>
    <s v="STAF"/>
    <n v="782996597"/>
    <m/>
    <s v="Male"/>
    <d v="1972-02-11T00:00:00"/>
    <n v="50.326027397260276"/>
    <s v="Valid Age"/>
    <s v="Married"/>
    <m/>
    <m/>
    <m/>
    <m/>
    <s v="National ID"/>
    <s v="CM72066100414E"/>
    <d v="2025-07-05T00:00:00"/>
    <s v="Setaku Milton"/>
    <s v="Son"/>
    <n v="777094424"/>
    <m/>
    <m/>
  </r>
  <r>
    <x v="93"/>
    <d v="2021-06-23T00:00:00"/>
    <s v="NGINYA RICHARD"/>
    <s v="2002000094"/>
    <s v="CUST"/>
    <n v="774040571"/>
    <m/>
    <s v="Male"/>
    <d v="1974-01-01T00:00:00"/>
    <n v="48.435616438356163"/>
    <s v="Valid Age"/>
    <s v="Married"/>
    <m/>
    <s v="Business Man"/>
    <s v="Midia"/>
    <s v="Indriba"/>
    <s v="National ID"/>
    <s v="CM74066102K45L"/>
    <d v="2025-07-03T00:00:00"/>
    <s v="Joan Harriet"/>
    <s v="Wife"/>
    <n v="781458210"/>
    <m/>
    <m/>
  </r>
  <r>
    <x v="94"/>
    <d v="2021-06-23T00:00:00"/>
    <s v="MUNDURU SIFA"/>
    <s v="2002000095"/>
    <s v="CUST"/>
    <n v="774053613"/>
    <m/>
    <s v="Female"/>
    <d v="1991-10-05T00:00:00"/>
    <n v="30.665753424657535"/>
    <s v="Valid Age"/>
    <s v="Married"/>
    <m/>
    <s v="Business woman"/>
    <s v="Ombachi Market"/>
    <s v="Ombachi Cell"/>
    <s v="National ID"/>
    <s v="CF1066103HE8K"/>
    <d v="2025-06-24T00:00:00"/>
    <s v="Khemisa Gboka"/>
    <s v="Collegue"/>
    <s v="None"/>
    <m/>
    <m/>
  </r>
  <r>
    <x v="95"/>
    <d v="2021-06-24T00:00:00"/>
    <s v="AKANDU NIGHT YONGORO"/>
    <s v="2002000096"/>
    <s v="CUST"/>
    <n v="789276577"/>
    <m/>
    <s v="Female"/>
    <d v="1980-08-17T00:00:00"/>
    <n v="41.805479452054797"/>
    <s v="Valid Age"/>
    <s v="Married"/>
    <m/>
    <s v="Business woman"/>
    <s v="Ombachi Market"/>
    <s v="Dikasinga"/>
    <s v="National ID"/>
    <s v="CF80066103HJHK"/>
    <d v="2025-07-03T00:00:00"/>
    <s v="Wayiga Shiraj"/>
    <s v="Brother"/>
    <s v="None"/>
    <m/>
    <m/>
  </r>
  <r>
    <x v="96"/>
    <d v="2021-06-24T00:00:00"/>
    <s v="DRANDUA JOB CHRISPUS"/>
    <s v="2002000097"/>
    <s v="CUST"/>
    <n v="777470336"/>
    <m/>
    <s v="Male"/>
    <d v="1987-06-21T00:00:00"/>
    <n v="34.958904109589042"/>
    <s v="Valid Age"/>
    <s v="Married"/>
    <m/>
    <s v="Business Man"/>
    <s v="Sinyani Cell"/>
    <s v="Kululu cell"/>
    <s v="National ID"/>
    <s v="CM87002105G58K"/>
    <d v="2025-06-25T00:00:00"/>
    <s v="Sonny Magrate"/>
    <s v="Daughter"/>
    <s v="None"/>
    <m/>
    <m/>
  </r>
  <r>
    <x v="97"/>
    <d v="2021-06-24T00:00:00"/>
    <s v="AMANIYO CLARA"/>
    <s v="2002000098"/>
    <s v="CUST"/>
    <n v="779766607"/>
    <m/>
    <s v="Female"/>
    <d v="1977-01-01T00:00:00"/>
    <n v="45.43287671232877"/>
    <s v="Valid Age"/>
    <s v="Married"/>
    <m/>
    <s v="Business woman"/>
    <m/>
    <m/>
    <s v="National ID"/>
    <s v="CF7707710312OG"/>
    <d v="2024-09-11T00:00:00"/>
    <s v="Data Aldo"/>
    <s v="Brother"/>
    <n v="793297376"/>
    <m/>
    <m/>
  </r>
  <r>
    <x v="98"/>
    <d v="2021-06-24T00:00:00"/>
    <s v="SIJALI ASINA SIS"/>
    <s v="2002000099"/>
    <s v="CUST"/>
    <n v="778680545"/>
    <m/>
    <s v="Female"/>
    <d v="1996-01-15T00:00:00"/>
    <n v="26.383561643835616"/>
    <s v="Valid Age"/>
    <s v="Married"/>
    <m/>
    <s v="Business woman"/>
    <s v="Midia"/>
    <s v="Mijale "/>
    <s v="National ID"/>
    <s v="CF96066101XM8G"/>
    <d v="2025-06-24T00:00:00"/>
    <s v="Achidri Akim"/>
    <s v="Brother"/>
    <n v="77857955"/>
    <m/>
    <m/>
  </r>
  <r>
    <x v="99"/>
    <d v="2021-06-24T00:00:00"/>
    <s v="LETAYO DORCUS"/>
    <s v="2002000100"/>
    <s v="CUST"/>
    <n v="774071248"/>
    <m/>
    <s v="Female"/>
    <d v="1990-01-01T00:00:00"/>
    <n v="32.424657534246577"/>
    <s v="Valid Age"/>
    <s v="Married"/>
    <m/>
    <s v="Business woman"/>
    <s v="Ombachi Market"/>
    <s v="Ombachi Cell"/>
    <s v="National ID"/>
    <s v="CF9007710274KH"/>
    <d v="2021-06-24T00:00:00"/>
    <s v="Atayi Amida"/>
    <s v="Daughter"/>
    <s v="None"/>
    <m/>
    <m/>
  </r>
  <r>
    <x v="100"/>
    <d v="2021-06-26T00:00:00"/>
    <s v="AYIKO STEPHEN"/>
    <s v="2002000101"/>
    <s v="CUST"/>
    <n v="77262635"/>
    <m/>
    <s v="Male"/>
    <d v="1966-12-23T00:00:00"/>
    <n v="55.465753424657535"/>
    <s v="Valid Age"/>
    <s v="Married"/>
    <m/>
    <s v="Business Man"/>
    <s v="Arumaji"/>
    <s v="Arumaji Village"/>
    <s v="National ID"/>
    <s v="CM6606610014AH"/>
    <d v="2024-11-27T00:00:00"/>
    <s v="Glad  Getrude "/>
    <s v="Wife"/>
    <n v="785199672"/>
    <m/>
    <m/>
  </r>
  <r>
    <x v="101"/>
    <d v="2021-06-26T00:00:00"/>
    <s v="BATALI GODFREY JOHN"/>
    <s v="2002000102"/>
    <s v="CUST"/>
    <n v="786968044"/>
    <m/>
    <s v="Male"/>
    <d v="1995-04-02T00:00:00"/>
    <n v="27.172602739726027"/>
    <s v="Valid Age"/>
    <s v="Married"/>
    <m/>
    <s v="Business Man"/>
    <s v="Midia"/>
    <s v="Midia"/>
    <s v="National ID"/>
    <s v="CM950661015TF"/>
    <d v="2025-06-24T00:00:00"/>
    <s v="Anifa Sumbua"/>
    <s v="Wife"/>
    <n v="751434986"/>
    <m/>
    <m/>
  </r>
  <r>
    <x v="102"/>
    <d v="2021-06-28T00:00:00"/>
    <s v="CHANDIRU ZABIB"/>
    <s v="2002000103"/>
    <s v="CUST"/>
    <n v="780128467"/>
    <m/>
    <s v="Female"/>
    <d v="1979-10-10T00:00:00"/>
    <n v="42.660273972602738"/>
    <s v="Valid Age"/>
    <s v="Married"/>
    <m/>
    <s v="Business woman"/>
    <s v="Ombachi Market"/>
    <s v="Ombachi Cell"/>
    <s v="National ID"/>
    <s v="CF7905310295JJ"/>
    <d v="2025-06-24T00:00:00"/>
    <s v="Awuga Safik"/>
    <s v="Son"/>
    <s v="None"/>
    <m/>
    <m/>
  </r>
  <r>
    <x v="103"/>
    <d v="2021-06-28T00:00:00"/>
    <s v="IDIRA ALIMA"/>
    <s v="2002000104"/>
    <s v="CUST"/>
    <n v="788635530"/>
    <m/>
    <s v="Female"/>
    <d v="1972-12-12T00:00:00"/>
    <n v="49.490410958904107"/>
    <s v="Valid Age"/>
    <s v="Married"/>
    <m/>
    <s v="Business woman"/>
    <s v="Ombachi Market"/>
    <s v="Ombachi Cell"/>
    <s v="National ID"/>
    <s v="CF7206610375JC"/>
    <d v="2025-06-25T00:00:00"/>
    <s v="Ropani Kalsum"/>
    <s v="Daughter"/>
    <s v="None"/>
    <m/>
    <m/>
  </r>
  <r>
    <x v="104"/>
    <d v="2021-06-28T00:00:00"/>
    <s v="NUKA ROSE"/>
    <s v="2002000105"/>
    <s v="CUST"/>
    <n v="788635530"/>
    <m/>
    <s v="Female"/>
    <d v="1975-09-25T00:00:00"/>
    <n v="46.704109589041096"/>
    <s v="Valid Age"/>
    <s v="Married"/>
    <m/>
    <s v="Business woman"/>
    <s v="Ombachi Market"/>
    <s v="Ombachi Cell"/>
    <s v="National ID"/>
    <s v="CF75066102K1VF"/>
    <d v="2025-06-25T00:00:00"/>
    <s v="Kereke Clara"/>
    <s v="Daughter"/>
    <s v="None"/>
    <m/>
    <m/>
  </r>
  <r>
    <x v="105"/>
    <d v="2021-06-29T00:00:00"/>
    <s v="ORODRIYO  NUSURA"/>
    <s v="2002000106"/>
    <s v="CUST"/>
    <n v="784647393"/>
    <m/>
    <s v="Female"/>
    <d v="1975-09-15T00:00:00"/>
    <n v="46.731506849315068"/>
    <s v="Valid Age"/>
    <s v="Married"/>
    <m/>
    <s v="Business woman"/>
    <s v="Abele market"/>
    <s v="Abele cell"/>
    <s v="National ID"/>
    <s v="CF750771011ZUG"/>
    <d v="2025-06-25T00:00:00"/>
    <s v="Faiza"/>
    <s v="Daughter"/>
    <s v="None"/>
    <m/>
    <m/>
  </r>
  <r>
    <x v="106"/>
    <d v="2021-06-29T00:00:00"/>
    <s v="LAKONY PETER"/>
    <s v="2002000107"/>
    <s v="CUST"/>
    <n v="782085978"/>
    <m/>
    <s v="Male"/>
    <d v="1982-11-05T00:00:00"/>
    <n v="39.586301369863016"/>
    <s v="Valid Age"/>
    <s v="Married"/>
    <m/>
    <s v="Business Man"/>
    <s v="Gbukutu Prinons"/>
    <s v="Gbukutu cell"/>
    <s v="National ID"/>
    <s v="CM2110100EKFH"/>
    <d v="2024-11-20T00:00:00"/>
    <s v="Oyela Consy"/>
    <s v="Wife"/>
    <n v="795968234"/>
    <m/>
    <m/>
  </r>
  <r>
    <x v="107"/>
    <d v="2021-06-30T00:00:00"/>
    <s v="DUDU JOICE"/>
    <s v="2002000108"/>
    <s v="CUST"/>
    <n v="777043035"/>
    <m/>
    <s v="Female"/>
    <d v="1974-08-17T00:00:00"/>
    <n v="47.81095890410959"/>
    <s v="Valid Age"/>
    <s v="Married"/>
    <m/>
    <s v="Business woman"/>
    <s v="Ombachi Market"/>
    <s v="Ombachi Cell"/>
    <s v="National ID"/>
    <s v="CF74066107598F"/>
    <d v="2030-09-10T00:00:00"/>
    <s v="Victor Sabir"/>
    <s v="Son"/>
    <n v="703676577"/>
    <s v="Replacement of passbook"/>
    <m/>
  </r>
  <r>
    <x v="108"/>
    <d v="2021-06-30T00:00:00"/>
    <s v="TABU KISA"/>
    <s v="2002000109"/>
    <s v="CUST"/>
    <n v="778376198"/>
    <m/>
    <s v="Female"/>
    <d v="1985-05-14T00:00:00"/>
    <n v="37.063013698630137"/>
    <s v="Valid Age"/>
    <s v="Married"/>
    <m/>
    <s v="Business woman"/>
    <s v="Nyarilo"/>
    <s v="Nyarilo"/>
    <s v="National ID"/>
    <s v="CF85066101AFKG"/>
    <d v="2025-06-24T00:00:00"/>
    <s v="Morning Eve"/>
    <s v="Daughter"/>
    <m/>
    <m/>
    <m/>
  </r>
  <r>
    <x v="109"/>
    <d v="2021-07-01T00:00:00"/>
    <s v="APEKURU FLORENCE"/>
    <s v="2002000110"/>
    <s v="CUST"/>
    <n v="777515872"/>
    <m/>
    <s v="Female"/>
    <m/>
    <s v=""/>
    <s v=""/>
    <s v="Married"/>
    <m/>
    <s v="Business woman"/>
    <m/>
    <m/>
    <s v="National ID"/>
    <m/>
    <m/>
    <m/>
    <m/>
    <m/>
    <m/>
    <s v="Replacement of passbook"/>
  </r>
  <r>
    <x v="110"/>
    <d v="2021-07-01T00:00:00"/>
    <s v="ANDAKU CHARLES JULIAN"/>
    <s v="2002000111"/>
    <s v="CUST"/>
    <n v="778376198"/>
    <m/>
    <s v="Male"/>
    <d v="1964-03-15T00:00:00"/>
    <n v="58.241095890410961"/>
    <s v="Over Age"/>
    <s v="Married"/>
    <m/>
    <s v="Teacher"/>
    <s v="St Charles Lwanga"/>
    <s v="Lwanga Quarters"/>
    <s v="National ID"/>
    <s v="CM64002103XN5L"/>
    <d v="2025-06-24T00:00:00"/>
    <s v="Amandu Juspers"/>
    <s v="Son"/>
    <n v="788445708"/>
    <m/>
    <m/>
  </r>
  <r>
    <x v="111"/>
    <d v="2021-07-01T00:00:00"/>
    <s v="NURA JOYCE"/>
    <s v="2002000112"/>
    <s v="CUST"/>
    <n v="782728232"/>
    <m/>
    <s v="Female"/>
    <d v="1985-07-05T00:00:00"/>
    <n v="36.920547945205477"/>
    <s v="Valid Age"/>
    <s v="Married"/>
    <m/>
    <s v="Business Man"/>
    <s v="Ombachi Market"/>
    <s v="Yibongo cell"/>
    <s v="National ID"/>
    <s v="CF85066101QW7L"/>
    <d v="2025-06-25T00:00:00"/>
    <s v="Taipeles Taban"/>
    <s v="Son"/>
    <n v="783283901"/>
    <m/>
    <m/>
  </r>
  <r>
    <x v="112"/>
    <d v="2021-07-01T00:00:00"/>
    <s v="ATIKU AMULE ISAAC"/>
    <s v="2002000113"/>
    <s v="CUST"/>
    <n v="773165638"/>
    <m/>
    <s v="Male"/>
    <d v="1965-03-19T00:00:00"/>
    <n v="57.230136986301368"/>
    <s v="Over Age"/>
    <s v="Married"/>
    <m/>
    <s v="Business Man"/>
    <s v="Mindrabe village"/>
    <s v="Mindrabe village  "/>
    <s v="National ID"/>
    <s v="CM650661019D1H"/>
    <d v="2025-06-25T00:00:00"/>
    <s v="Atiki Cyril"/>
    <s v="Son"/>
    <n v="781675176"/>
    <m/>
    <m/>
  </r>
  <r>
    <x v="113"/>
    <d v="2021-07-02T00:00:00"/>
    <s v="ONZIA EMMILY"/>
    <s v="2002000114"/>
    <s v="CUST"/>
    <n v="776072755"/>
    <m/>
    <s v="Female"/>
    <d v="1977-08-27T00:00:00"/>
    <n v="44.780821917808218"/>
    <s v="Valid Age"/>
    <s v="Married"/>
    <m/>
    <s v="Business woman"/>
    <s v="Nyarilo cell"/>
    <s v="Nyarilo cell"/>
    <s v="National ID"/>
    <s v="CF770661030GZK"/>
    <d v="2025-06-24T00:00:00"/>
    <s v="Milton Banga"/>
    <s v="Husband"/>
    <n v="786277172"/>
    <m/>
    <m/>
  </r>
  <r>
    <x v="114"/>
    <d v="2021-07-02T00:00:00"/>
    <s v="AYIKE SAUDA"/>
    <s v="2002000115"/>
    <s v="CUST"/>
    <n v="771880572"/>
    <m/>
    <s v="Female"/>
    <d v="1981-08-04T00:00:00"/>
    <n v="40.841095890410962"/>
    <s v="Valid Age"/>
    <s v="Married"/>
    <m/>
    <s v="Business woman"/>
    <s v="Ombachi Market"/>
    <s v="Anyufira"/>
    <s v="National ID"/>
    <s v="CF81066102PWTL"/>
    <d v="2025-06-24T00:00:00"/>
    <s v="ayile omar"/>
    <s v="Son"/>
    <n v="772726671"/>
    <m/>
    <m/>
  </r>
  <r>
    <x v="115"/>
    <d v="2021-07-02T00:00:00"/>
    <s v="ONZIA LUCY"/>
    <s v="2002000116"/>
    <s v="CUST"/>
    <n v="776339123"/>
    <m/>
    <s v="Female"/>
    <d v="1963-04-10T00:00:00"/>
    <n v="59.172602739726024"/>
    <s v="Over Age"/>
    <s v="Married"/>
    <m/>
    <s v="Business woman"/>
    <s v="Lipa Cell"/>
    <s v="Lipa Cell"/>
    <s v="National ID"/>
    <s v="CF6306610319RD"/>
    <d v="2025-06-24T00:00:00"/>
    <s v="Jamali  Dickson"/>
    <s v="Son"/>
    <n v="789694303"/>
    <m/>
    <m/>
  </r>
  <r>
    <x v="116"/>
    <d v="2021-07-03T00:00:00"/>
    <s v="MAWA JACKSON"/>
    <s v="2002000117"/>
    <s v="CUST"/>
    <n v="777893617"/>
    <m/>
    <s v="Male"/>
    <d v="1991-05-16T00:00:00"/>
    <n v="31.054794520547944"/>
    <s v="Valid Age"/>
    <s v="Married"/>
    <m/>
    <s v="Business Man"/>
    <s v="Mijale"/>
    <s v="Mijale cell"/>
    <s v="National ID"/>
    <s v="CM9106610351HG"/>
    <d v="2025-06-24T00:00:00"/>
    <s v="Mondrutua Morris"/>
    <s v="Son"/>
    <n v="786616431"/>
    <m/>
    <m/>
  </r>
  <r>
    <x v="117"/>
    <d v="2021-07-03T00:00:00"/>
    <s v="ONYANGO CHARLES JOGOO"/>
    <s v="2002000118"/>
    <s v="CUST"/>
    <n v="771891800"/>
    <m/>
    <s v="Male"/>
    <d v="1970-01-07T00:00:00"/>
    <n v="52.421917808219177"/>
    <s v="Valid Age"/>
    <s v="Married"/>
    <m/>
    <s v="Business Man"/>
    <s v="Sinyani Cell"/>
    <s v="Lipa Cell"/>
    <s v="National ID"/>
    <s v="CM70066101RCFE"/>
    <d v="2025-06-25T00:00:00"/>
    <s v="Amiji Lucy"/>
    <s v="Sister"/>
    <n v="775799832"/>
    <m/>
    <m/>
  </r>
  <r>
    <x v="118"/>
    <d v="2021-07-03T00:00:00"/>
    <s v="STELLA KONGAI"/>
    <s v="2002000119"/>
    <s v="CUST"/>
    <n v="782798138"/>
    <m/>
    <s v="Female"/>
    <d v="1971-08-28T00:00:00"/>
    <n v="50.783561643835618"/>
    <s v="Valid Age"/>
    <s v="Married"/>
    <m/>
    <s v="Social worker"/>
    <s v="Ombachi cell"/>
    <s v="Ombachi Cell"/>
    <s v="National ID"/>
    <s v="CF710431028CLK"/>
    <d v="2025-02-25T00:00:00"/>
    <s v="Gorete Asio"/>
    <s v="Daughter"/>
    <n v="772594347"/>
    <m/>
    <m/>
  </r>
  <r>
    <x v="119"/>
    <d v="2021-07-05T00:00:00"/>
    <s v="ALORO SADIKI"/>
    <s v="2002000120"/>
    <s v="CUST"/>
    <n v="775515324"/>
    <m/>
    <s v="Male"/>
    <d v="1985-05-01T00:00:00"/>
    <n v="37.098630136986301"/>
    <s v="Valid Age"/>
    <s v="Married"/>
    <m/>
    <s v="Business Man"/>
    <s v="Medela village"/>
    <s v="Medelavillage"/>
    <s v="National ID"/>
    <s v="CM850661022MPC"/>
    <d v="2025-06-24T00:00:00"/>
    <s v="Safiki Sadiki"/>
    <s v="Son"/>
    <s v="None"/>
    <m/>
    <m/>
  </r>
  <r>
    <x v="120"/>
    <d v="2021-07-05T00:00:00"/>
    <s v="AMAYO CHARLES"/>
    <s v="2002000121"/>
    <s v="CUST"/>
    <n v="788232971"/>
    <m/>
    <s v="Male"/>
    <d v="1973-06-05T00:00:00"/>
    <n v="49.010958904109586"/>
    <s v="Valid Age"/>
    <s v="Married"/>
    <m/>
    <s v="Business Man"/>
    <s v="Mijale cell "/>
    <s v="Mondukudu Cell"/>
    <s v="National ID"/>
    <s v="CM730021071T8D"/>
    <d v="2025-06-25T00:00:00"/>
    <s v="Ocokoru Gloria"/>
    <s v="Daughter"/>
    <s v="None"/>
    <m/>
    <m/>
  </r>
  <r>
    <x v="121"/>
    <d v="2021-07-06T00:00:00"/>
    <s v="NABWETEME MILLY"/>
    <s v="2002000122"/>
    <s v="CUST"/>
    <n v="777673427"/>
    <m/>
    <s v="Female"/>
    <d v="1988-04-24T00:00:00"/>
    <n v="34.115068493150687"/>
    <s v="Valid Age"/>
    <s v="Married"/>
    <m/>
    <s v="Business woman"/>
    <s v="Sinyani Cell"/>
    <s v="Sinyani Village"/>
    <s v="National ID"/>
    <s v="CF87091100A8RD"/>
    <d v="2024-11-06T00:00:00"/>
    <s v="Nantongo"/>
    <s v="Sister"/>
    <n v="789809419"/>
    <m/>
    <m/>
  </r>
  <r>
    <x v="122"/>
    <d v="2021-07-06T00:00:00"/>
    <s v="INZIKURU JANET"/>
    <s v="2002000123"/>
    <s v="CUST"/>
    <n v="773578982"/>
    <m/>
    <s v="Female"/>
    <d v="1988-04-24T00:00:00"/>
    <n v="34.115068493150687"/>
    <s v="Valid Age"/>
    <s v="Married"/>
    <m/>
    <s v="Business woman"/>
    <s v="Ombachi Market"/>
    <s v="Ombachi Cell"/>
    <s v="National ID"/>
    <s v="CF8800210C6CFL"/>
    <d v="2025-07-02T00:00:00"/>
    <s v="Drasiku Denis"/>
    <s v="Son"/>
    <s v="None"/>
    <m/>
    <m/>
  </r>
  <r>
    <x v="123"/>
    <d v="2021-07-07T00:00:00"/>
    <s v="TIKO ZABIBU"/>
    <s v="2002000124"/>
    <s v="CUST"/>
    <n v="786495781"/>
    <m/>
    <s v="Female"/>
    <d v="1984-08-07T00:00:00"/>
    <n v="37.830136986301369"/>
    <s v="Valid Age"/>
    <s v="Married"/>
    <m/>
    <s v="Business woman"/>
    <s v="Ombachi Market"/>
    <s v="Mijale village"/>
    <s v="National ID"/>
    <s v="CF84066102LMHF"/>
    <d v="2025-06-25T00:00:00"/>
    <s v="Samira Fungaro"/>
    <s v="Daughter"/>
    <s v="None"/>
    <m/>
    <m/>
  </r>
  <r>
    <x v="124"/>
    <d v="2021-07-08T00:00:00"/>
    <s v="SUNDAY SCOVIA"/>
    <s v="2002000125"/>
    <s v="CUST"/>
    <n v="760025937"/>
    <m/>
    <s v="Female"/>
    <d v="1998-06-04T00:00:00"/>
    <n v="23.997260273972604"/>
    <s v="Valid Age"/>
    <s v="Married"/>
    <m/>
    <s v="Business woman"/>
    <s v="Ombachi Market"/>
    <s v="Yibongo cell"/>
    <s v="National ID"/>
    <s v="CF9806610288DD"/>
    <m/>
    <s v="Jesca Rukia"/>
    <s v="Daughter"/>
    <s v="None"/>
    <m/>
    <m/>
  </r>
  <r>
    <x v="125"/>
    <d v="2021-07-08T00:00:00"/>
    <s v="OGWAL STEPHEN GERALD"/>
    <s v="2002000126"/>
    <s v="CUST"/>
    <n v="777039041"/>
    <m/>
    <s v="Male"/>
    <d v="1988-10-30T00:00:00"/>
    <n v="33.597260273972601"/>
    <s v="Valid Age"/>
    <s v="Married"/>
    <m/>
    <s v="Social worker"/>
    <s v="Lipa Cell"/>
    <s v="Lipa Cell"/>
    <s v="National ID"/>
    <s v="CM88001101JMCF"/>
    <d v="2024-11-12T00:00:00"/>
    <s v="Karen Akut"/>
    <s v="Son"/>
    <n v="783549974"/>
    <m/>
    <m/>
  </r>
  <r>
    <x v="126"/>
    <d v="2021-07-09T00:00:00"/>
    <s v="TIKO RUKIA"/>
    <s v="2002000127"/>
    <s v="CUST"/>
    <n v="772867685"/>
    <m/>
    <s v="Female"/>
    <d v="1979-08-05T00:00:00"/>
    <n v="42.841095890410962"/>
    <s v="Valid Age"/>
    <s v="Married"/>
    <m/>
    <s v="Business woman"/>
    <s v="Mijale village"/>
    <s v="Ombachi market"/>
    <s v="National ID"/>
    <s v="CF79066102PNHC"/>
    <d v="2025-06-25T00:00:00"/>
    <s v="Lemeriga Yasin"/>
    <s v="Son"/>
    <s v="None"/>
    <m/>
    <m/>
  </r>
  <r>
    <x v="127"/>
    <d v="2021-07-09T00:00:00"/>
    <s v="AJONYE BETTY"/>
    <s v="2002000128"/>
    <s v="CUST"/>
    <n v="779664637"/>
    <m/>
    <s v="Female"/>
    <d v="1982-07-16T00:00:00"/>
    <n v="39.893150684931506"/>
    <s v="Valid Age"/>
    <s v="Married"/>
    <m/>
    <s v="Business woman"/>
    <s v="Lipa Cell"/>
    <s v="Koboko market"/>
    <s v="National ID"/>
    <s v="CF820661019TUG"/>
    <d v="2025-06-24T00:00:00"/>
    <s v="Sijali  Queen"/>
    <s v="Sister"/>
    <n v="760417448"/>
    <m/>
    <m/>
  </r>
  <r>
    <x v="128"/>
    <d v="2021-07-12T00:00:00"/>
    <s v="BAKO ASINA"/>
    <s v="2002000129"/>
    <s v="CUST"/>
    <n v="778760073"/>
    <m/>
    <s v="Female"/>
    <d v="1992-05-17T00:00:00"/>
    <n v="30.049315068493151"/>
    <s v="Valid Age"/>
    <s v="Married"/>
    <m/>
    <s v="Business woman"/>
    <s v="Ombaci Cell"/>
    <s v="Mijale "/>
    <s v="National ID"/>
    <s v="CF92029102V37L"/>
    <d v="2025-07-07T00:00:00"/>
    <s v="Agiga Adinan"/>
    <s v="Husband"/>
    <n v="773813428"/>
    <m/>
    <m/>
  </r>
  <r>
    <x v="129"/>
    <d v="2021-07-13T00:00:00"/>
    <s v="AYILE JOHN MAX"/>
    <s v="2002000130"/>
    <s v="CUST"/>
    <n v="786063738"/>
    <m/>
    <s v="Male"/>
    <d v="1991-06-05T00:00:00"/>
    <n v="31"/>
    <s v="Valid Age"/>
    <s v="Married"/>
    <m/>
    <s v="Business Man"/>
    <s v="Market Square"/>
    <s v="Enjabi"/>
    <s v="National ID"/>
    <s v="CM91066103JVOH"/>
    <d v="2025-06-24T00:00:00"/>
    <s v="Tom Lemeri"/>
    <s v="Father"/>
    <n v="774186170"/>
    <m/>
    <m/>
  </r>
  <r>
    <x v="130"/>
    <d v="2021-07-13T00:00:00"/>
    <s v="CANDIRU ZAKIA"/>
    <s v="2002000131"/>
    <s v="CUST"/>
    <n v="788868192"/>
    <m/>
    <s v="Female"/>
    <d v="1978-03-07T00:00:00"/>
    <n v="44.254794520547946"/>
    <s v="Valid Age"/>
    <s v="Married"/>
    <m/>
    <s v="Business woman"/>
    <s v="Ombaci Cell"/>
    <s v="ombaci cell"/>
    <s v="National ID"/>
    <s v="CF780531049JWL"/>
    <d v="2025-06-25T00:00:00"/>
    <s v="Faida Shalama"/>
    <s v="Daughter"/>
    <s v="None"/>
    <m/>
    <m/>
  </r>
  <r>
    <x v="131"/>
    <d v="2021-07-14T00:00:00"/>
    <s v="MANIYO JOICE"/>
    <s v="2002000132"/>
    <s v="CUST"/>
    <n v="787603768"/>
    <m/>
    <s v="Female"/>
    <d v="1979-11-10T00:00:00"/>
    <n v="42.575342465753423"/>
    <s v="Valid Age"/>
    <s v="Married"/>
    <m/>
    <s v="Business woman"/>
    <s v="Mobile (with Koboko Muncipal)"/>
    <s v="Yibongo B"/>
    <s v="National ID"/>
    <s v="CF7900210LKCGJ"/>
    <d v="2030-01-02T00:00:00"/>
    <s v="Dought Amafeku"/>
    <s v="Son"/>
    <s v="None"/>
    <m/>
    <m/>
  </r>
  <r>
    <x v="132"/>
    <d v="2021-07-14T00:00:00"/>
    <s v="JABE MARY"/>
    <s v="2002000133"/>
    <s v="CUST"/>
    <n v="778824717"/>
    <m/>
    <s v="Female"/>
    <d v="1971-04-15T00:00:00"/>
    <n v="51.153424657534245"/>
    <s v="Valid Age"/>
    <s v="Married"/>
    <m/>
    <s v="Business woman"/>
    <s v="Ombachi Market"/>
    <s v="Dikasinga"/>
    <s v="National ID"/>
    <s v="CF710661025N5C"/>
    <d v="2025-06-24T00:00:00"/>
    <s v="Data Robert"/>
    <s v="Son"/>
    <n v="770765276"/>
    <m/>
    <m/>
  </r>
  <r>
    <x v="133"/>
    <d v="2021-07-15T00:00:00"/>
    <s v="TABU NATALIYA"/>
    <s v="2002000134"/>
    <s v="CUST"/>
    <n v="780674875"/>
    <m/>
    <s v="Female"/>
    <d v="1988-08-12T00:00:00"/>
    <n v="33.813698630136983"/>
    <s v="Valid Age"/>
    <s v="Married"/>
    <m/>
    <s v="Business woman"/>
    <s v="Ombachi Market"/>
    <s v="Yibongo village"/>
    <s v="National ID"/>
    <s v="CF88066103QMXH"/>
    <d v="2025-09-09T00:00:00"/>
    <s v="Betty Cheka "/>
    <s v="Daughter"/>
    <s v="None"/>
    <m/>
    <m/>
  </r>
  <r>
    <x v="134"/>
    <d v="2021-07-16T00:00:00"/>
    <s v="SARIF SAIDI"/>
    <s v="2002000135"/>
    <s v="CUST"/>
    <n v="770832060"/>
    <m/>
    <s v="Male"/>
    <d v="1996-08-02T00:00:00"/>
    <n v="25.835616438356166"/>
    <s v="Valid Age"/>
    <s v="Married"/>
    <m/>
    <s v="Business Man"/>
    <s v="Gbulagbulanga"/>
    <s v="Gbulagbulanga Village"/>
    <s v="National ID"/>
    <s v="CM960661020UNJ"/>
    <d v="2025-06-24T00:00:00"/>
    <s v="Sakia Swib"/>
    <s v="Brother"/>
    <s v="None"/>
    <m/>
    <m/>
  </r>
  <r>
    <x v="135"/>
    <d v="2021-07-16T00:00:00"/>
    <s v="LEMERIGA GODWILL JOSEPH"/>
    <s v="2002000136"/>
    <s v="CUST"/>
    <n v="772962109"/>
    <m/>
    <s v="Male"/>
    <d v="1998-08-14T00:00:00"/>
    <n v="23.802739726027397"/>
    <s v="Valid Age"/>
    <s v="Married"/>
    <m/>
    <s v="Business Man"/>
    <s v="Lipa Cell"/>
    <s v="Lipa Cell"/>
    <s v="National ID"/>
    <s v="CM98066103VTG"/>
    <d v="2025-07-05T00:00:00"/>
    <s v="Akim David "/>
    <s v="Brother"/>
    <n v="393240168"/>
    <m/>
    <m/>
  </r>
  <r>
    <x v="136"/>
    <d v="2021-07-16T00:00:00"/>
    <s v="YAKANI CHARLES"/>
    <s v="2002000137"/>
    <s v="CUST"/>
    <n v="782881119"/>
    <m/>
    <s v="Male"/>
    <d v="1962-06-26T00:00:00"/>
    <n v="59.961643835616435"/>
    <s v="Over Age"/>
    <s v="Married"/>
    <m/>
    <s v="Agriculturalist"/>
    <s v="Ainga Cell"/>
    <s v="Nyangilia"/>
    <s v="National ID"/>
    <s v="CM62066102G42C"/>
    <d v="2025-06-25T00:00:00"/>
    <s v="Daniel Tella"/>
    <s v="Brother"/>
    <n v="787153466"/>
    <m/>
    <m/>
  </r>
  <r>
    <x v="137"/>
    <d v="2021-07-21T00:00:00"/>
    <s v="BEATRICE AMANDRU"/>
    <s v="2002000138"/>
    <s v="CUST"/>
    <n v="786824429"/>
    <m/>
    <s v="Female"/>
    <d v="1987-04-24T00:00:00"/>
    <n v="35.11780821917808"/>
    <s v="Valid Age"/>
    <s v="Married"/>
    <m/>
    <s v="Business woman"/>
    <s v="Mijale "/>
    <s v="Mijale Midia"/>
    <s v="National ID"/>
    <s v="CF870661008E1D"/>
    <d v="2024-11-20T00:00:00"/>
    <s v="Sethe Kana"/>
    <s v="Son"/>
    <n v="760249945"/>
    <m/>
    <m/>
  </r>
  <r>
    <x v="138"/>
    <d v="2021-07-21T00:00:00"/>
    <s v="DRICHIRU MAIMUNA "/>
    <s v="2002000139"/>
    <s v="CUST"/>
    <n v="782075383"/>
    <m/>
    <s v="Female"/>
    <d v="1980-08-16T00:00:00"/>
    <n v="41.80821917808219"/>
    <s v="Valid Age"/>
    <s v="Married"/>
    <m/>
    <s v="Business woman"/>
    <s v="Mijale "/>
    <s v="Mijale Midia"/>
    <s v="National ID"/>
    <s v="CF80066106R5EF"/>
    <d v="2025-06-24T00:00:00"/>
    <s v="Yassin Zabib Andisi"/>
    <s v="Daughter"/>
    <s v="None"/>
    <m/>
    <m/>
  </r>
  <r>
    <x v="139"/>
    <d v="2021-07-21T00:00:00"/>
    <s v="AYIKORU MARIAM"/>
    <s v="2002000140"/>
    <s v="CUST"/>
    <n v="780450864"/>
    <m/>
    <s v="Female"/>
    <d v="1996-09-14T00:00:00"/>
    <n v="25.717808219178082"/>
    <s v="Valid Age"/>
    <s v="Married"/>
    <m/>
    <s v="Business woman"/>
    <s v="Ombachi Market"/>
    <s v="Ombachi Cell"/>
    <s v="National ID"/>
    <s v="CF96077107CXDK"/>
    <d v="2028-06-07T00:00:00"/>
    <s v="Ramadan Nasir"/>
    <s v="Son"/>
    <s v="None"/>
    <m/>
    <m/>
  </r>
  <r>
    <x v="140"/>
    <d v="2021-07-21T00:00:00"/>
    <s v="DRAMANI WILFRED"/>
    <s v="2002000141"/>
    <s v="CUST"/>
    <n v="782992325"/>
    <m/>
    <s v="Male"/>
    <d v="1978-09-10T00:00:00"/>
    <n v="43.742465753424661"/>
    <s v="Valid Age"/>
    <s v="Married"/>
    <m/>
    <s v="Business Man"/>
    <s v="Ombachi Market"/>
    <s v="Yibongo cell"/>
    <s v="National ID"/>
    <s v="CM780771047LJG"/>
    <d v="2025-07-05T00:00:00"/>
    <s v="Mungufeni Gerald"/>
    <s v="Son"/>
    <s v="None"/>
    <m/>
    <m/>
  </r>
  <r>
    <x v="141"/>
    <d v="2021-07-21T00:00:00"/>
    <s v="TABU MARY"/>
    <s v="2002000142"/>
    <s v="CUST"/>
    <n v="775329562"/>
    <m/>
    <s v="Female"/>
    <d v="1992-08-15T00:00:00"/>
    <n v="29.802739726027397"/>
    <s v="Valid Age"/>
    <s v="Married"/>
    <m/>
    <s v="Business woman"/>
    <s v="Lipa Cell"/>
    <s v="Lipa Cell"/>
    <s v="National ID"/>
    <s v="CF920661034R3F"/>
    <d v="2025-06-21T00:00:00"/>
    <s v="Lubari Gift"/>
    <s v="Son"/>
    <s v="None"/>
    <m/>
    <m/>
  </r>
  <r>
    <x v="142"/>
    <d v="2021-07-22T00:00:00"/>
    <s v="MORO HAKIM"/>
    <s v="2002000143"/>
    <s v="CUST"/>
    <n v="779321449"/>
    <m/>
    <s v="Male"/>
    <d v="1975-10-05T00:00:00"/>
    <n v="46.676712328767124"/>
    <s v="Valid Age"/>
    <s v="Married"/>
    <m/>
    <s v="Business woman"/>
    <s v="keri"/>
    <s v="keri"/>
    <s v="National ID"/>
    <s v="CM750661022V2L"/>
    <d v="2025-06-25T00:00:00"/>
    <s v="Apayi  Amina"/>
    <s v="Wife"/>
    <n v="781552468"/>
    <m/>
    <m/>
  </r>
  <r>
    <x v="143"/>
    <d v="2021-07-22T00:00:00"/>
    <s v="GBENINGA RUKIA"/>
    <s v="2002000144"/>
    <s v="CUST"/>
    <n v="777091422"/>
    <m/>
    <s v="Female"/>
    <d v="1986-02-19T00:00:00"/>
    <n v="36.293150684931504"/>
    <s v="Valid Age"/>
    <s v="Married"/>
    <m/>
    <s v="Business woman"/>
    <s v="Market Square"/>
    <s v="Yibongo cell"/>
    <s v="National ID"/>
    <s v="CF86066100C30L"/>
    <d v="2025-06-25T00:00:00"/>
    <s v="Feni Rasul"/>
    <s v="Son"/>
    <s v="None"/>
    <m/>
    <m/>
  </r>
  <r>
    <x v="144"/>
    <d v="2021-07-22T00:00:00"/>
    <s v="NIGHT ASARA"/>
    <s v="2002000145"/>
    <s v="CUST"/>
    <n v="777785607"/>
    <m/>
    <s v="Female"/>
    <d v="1983-12-07T00:00:00"/>
    <n v="38.4986301369863"/>
    <s v="Valid Age"/>
    <s v="Married"/>
    <m/>
    <s v="Business woman"/>
    <s v="Abuja Cell"/>
    <s v="Abuja Cell"/>
    <s v="National ID"/>
    <s v="CF830661070LVH"/>
    <d v="2030-03-18T00:00:00"/>
    <s v="Driwaru Sauda"/>
    <s v="Daughter"/>
    <s v="None"/>
    <m/>
    <m/>
  </r>
  <r>
    <x v="145"/>
    <d v="2021-07-22T00:00:00"/>
    <s v="IMBIRA AISHA"/>
    <s v="2002000146"/>
    <s v="CUST"/>
    <n v="776471601"/>
    <m/>
    <s v="Female"/>
    <d v="1968-02-26T00:00:00"/>
    <n v="54.287671232876711"/>
    <s v="Valid Age"/>
    <s v="Married"/>
    <m/>
    <s v="Business woman"/>
    <s v="Market Square"/>
    <s v="Mondukudu Cell"/>
    <s v="National ID"/>
    <s v="CF68053102MG5C"/>
    <d v="2025-06-24T00:00:00"/>
    <s v="Tipele Amidu"/>
    <s v="Son"/>
    <s v="None"/>
    <m/>
    <m/>
  </r>
  <r>
    <x v="146"/>
    <d v="2021-07-23T00:00:00"/>
    <s v="DRICIRU MARGRET"/>
    <s v="2002000147"/>
    <s v="CUST"/>
    <n v="773217464"/>
    <m/>
    <s v="Female"/>
    <d v="1960-09-09T00:00:00"/>
    <n v="61.756164383561647"/>
    <s v="Over Age"/>
    <s v="Married"/>
    <m/>
    <s v="Business woman"/>
    <s v="Abuja Cell"/>
    <s v="Abuja Cell"/>
    <s v="National ID"/>
    <s v="CF60077101A3CK"/>
    <d v="2025-06-24T00:00:00"/>
    <s v="Akuaku Kiziti"/>
    <s v="Son"/>
    <s v="None"/>
    <m/>
    <m/>
  </r>
  <r>
    <x v="147"/>
    <d v="2021-07-24T00:00:00"/>
    <s v="GBOKA ZAIDA"/>
    <s v="2002000148"/>
    <s v="CUST"/>
    <n v="781615209"/>
    <m/>
    <s v="Female"/>
    <d v="1963-01-01T00:00:00"/>
    <n v="59.443835616438356"/>
    <s v="Over Age"/>
    <s v="Married"/>
    <m/>
    <s v="Business woman"/>
    <s v="Mijale"/>
    <s v="Mijale"/>
    <s v="National ID"/>
    <s v="CF63066100R38J"/>
    <d v="2025-06-24T00:00:00"/>
    <s v="Majuma Ahmad"/>
    <s v="Daughter"/>
    <s v="None"/>
    <m/>
    <m/>
  </r>
  <r>
    <x v="148"/>
    <d v="2021-07-26T00:00:00"/>
    <s v="SIKA AMIDRA"/>
    <s v="2002000149"/>
    <s v="CUST"/>
    <n v="776471601"/>
    <m/>
    <s v="Female"/>
    <d v="1990-08-14T00:00:00"/>
    <n v="31.80821917808219"/>
    <s v="Valid Age"/>
    <s v="Married"/>
    <m/>
    <s v="Business woman"/>
    <s v="koboko market"/>
    <s v="Kulubu cell"/>
    <s v="National ID"/>
    <s v="CF90066101LY7D"/>
    <d v="2025-06-24T00:00:00"/>
    <s v="Zabib Ceaser"/>
    <s v="Daughter"/>
    <s v="None"/>
    <m/>
    <m/>
  </r>
  <r>
    <x v="149"/>
    <d v="2021-07-27T00:00:00"/>
    <s v="ALOKE KENNEDY"/>
    <s v="2002000150"/>
    <s v="CUST"/>
    <n v="775377910"/>
    <m/>
    <s v="Male"/>
    <d v="1996-04-01T00:00:00"/>
    <n v="26.172602739726027"/>
    <s v="Valid Age"/>
    <s v="Single"/>
    <m/>
    <s v="Boda boda rider"/>
    <s v="Sinyani Cell"/>
    <s v="Sinyani Village"/>
    <s v="LC LETTER"/>
    <m/>
    <m/>
    <s v="Feni Francis"/>
    <s v="Brother"/>
    <n v="786483686"/>
    <m/>
    <m/>
  </r>
  <r>
    <x v="150"/>
    <d v="2021-07-27T00:00:00"/>
    <s v="MORRO HASSAN"/>
    <s v="2002000151"/>
    <s v="CUST"/>
    <n v="786307686"/>
    <m/>
    <s v="Male"/>
    <d v="1982-06-06T00:00:00"/>
    <n v="40.0027397260274"/>
    <s v="Valid Age"/>
    <s v="Married"/>
    <m/>
    <s v="Business Man"/>
    <s v="Central cell"/>
    <s v="Central cell"/>
    <s v="National ID"/>
    <s v="CM8206610318KG"/>
    <d v="2025-06-22T00:00:00"/>
    <s v="Al-haji Diouf Hassan"/>
    <s v="Son"/>
    <s v="None"/>
    <m/>
    <m/>
  </r>
  <r>
    <x v="151"/>
    <d v="2021-07-27T00:00:00"/>
    <s v="ASE ZAINABU"/>
    <s v="2002000152"/>
    <s v="CUST"/>
    <n v="776814060"/>
    <m/>
    <s v="Female"/>
    <d v="1959-02-10T00:00:00"/>
    <n v="63.336986301369862"/>
    <s v="Over Age"/>
    <s v="Window"/>
    <m/>
    <s v="Business woman"/>
    <s v="Ombachi Market"/>
    <s v="Mijale village"/>
    <s v="National ID"/>
    <s v="CF59066101UTKF"/>
    <d v="1959-02-25T00:00:00"/>
    <s v="Maliamungu yasin"/>
    <s v="Son"/>
    <s v="None"/>
    <m/>
    <m/>
  </r>
  <r>
    <x v="152"/>
    <d v="2021-07-28T00:00:00"/>
    <s v="ALEMI SEBI"/>
    <s v="2002000153"/>
    <s v="CUST"/>
    <n v="781693289"/>
    <m/>
    <s v="Male"/>
    <d v="1970-01-01T00:00:00"/>
    <n v="52.438356164383563"/>
    <s v="Valid Age"/>
    <s v="Married"/>
    <m/>
    <s v="Business Man"/>
    <s v="Arumaji"/>
    <s v="Arumaji"/>
    <s v="National ID"/>
    <s v="CM70066102F93J"/>
    <d v="2025-07-24T00:00:00"/>
    <s v="Ngota Swali"/>
    <s v="Son"/>
    <s v="None"/>
    <m/>
    <m/>
  </r>
  <r>
    <x v="153"/>
    <d v="2021-07-28T00:00:00"/>
    <s v="ERIMU SAMSON"/>
    <s v="2002000154"/>
    <s v="CUST"/>
    <n v="772784778"/>
    <m/>
    <s v="Male"/>
    <d v="1986-12-09T00:00:00"/>
    <n v="35.490410958904107"/>
    <s v="Valid Age"/>
    <s v="Married"/>
    <m/>
    <s v="Business Man"/>
    <s v="kololo(keri)"/>
    <s v="kololo"/>
    <s v="National ID"/>
    <s v="CM860541026TJA"/>
    <d v="2025-06-19T00:00:00"/>
    <s v="Hayat Sarah"/>
    <s v="Wife"/>
    <n v="786599382"/>
    <m/>
    <m/>
  </r>
  <r>
    <x v="154"/>
    <d v="2021-07-29T00:00:00"/>
    <s v="AROMBORAC SIAMA"/>
    <s v="2002000155"/>
    <s v="CUST"/>
    <n v="785400486"/>
    <m/>
    <s v="Female"/>
    <d v="1951-06-17T00:00:00"/>
    <n v="70.9945205479452"/>
    <s v="Over Age"/>
    <s v="Married"/>
    <m/>
    <s v="Business woman"/>
    <s v="Nyarilo cell"/>
    <s v="Nyarilo cell"/>
    <s v="National ID"/>
    <s v="CF510871033LLL"/>
    <d v="2025-06-24T00:00:00"/>
    <s v="Opio Hassan"/>
    <s v="Son"/>
    <n v="7777035227"/>
    <m/>
    <m/>
  </r>
  <r>
    <x v="155"/>
    <d v="2021-08-02T00:00:00"/>
    <s v="ONIBA AISHA "/>
    <s v="2002000156"/>
    <s v="CUST"/>
    <n v="775995875"/>
    <m/>
    <s v="Female"/>
    <d v="1977-09-19T00:00:00"/>
    <n v="44.717808219178082"/>
    <s v="Valid Age"/>
    <s v="Married"/>
    <m/>
    <s v="Bussiness Woman"/>
    <s v="Market Square"/>
    <s v="Mijale"/>
    <s v="National ID"/>
    <s v="CF77053102FJRC"/>
    <d v="2025-06-24T00:00:00"/>
    <s v="Wahab Oku"/>
    <s v="Son"/>
    <n v="789414519"/>
    <m/>
    <s v="Complete"/>
  </r>
  <r>
    <x v="156"/>
    <d v="2021-07-29T00:00:00"/>
    <s v="AYITE MARGERT"/>
    <s v="2002000157"/>
    <s v="CUST"/>
    <n v="772509334"/>
    <m/>
    <s v="Female"/>
    <d v="1972-08-24T00:00:00"/>
    <n v="49.791780821917811"/>
    <s v="Valid Age"/>
    <s v="Divorced"/>
    <m/>
    <s v="Business woman"/>
    <s v="Yibongo cell"/>
    <s v="Yibongo cell"/>
    <s v="National ID"/>
    <s v="CF72066101YUJE"/>
    <d v="2025-06-24T00:00:00"/>
    <s v="Fred Asiki"/>
    <s v="Son"/>
    <s v="None"/>
    <m/>
    <m/>
  </r>
  <r>
    <x v="157"/>
    <d v="2021-07-30T00:00:00"/>
    <s v="METALORO STEPHEN"/>
    <s v="2002000158"/>
    <s v="CUST"/>
    <n v="775090562"/>
    <m/>
    <s v="Male"/>
    <d v="1984-03-03T00:00:00"/>
    <n v="38.260273972602739"/>
    <s v="Valid Age"/>
    <s v="Married"/>
    <m/>
    <s v="Businesss man"/>
    <s v="Indriba village"/>
    <s v="Indriba village"/>
    <s v="National ID"/>
    <s v="CM84066100ZIYC"/>
    <d v="2024-11-08T00:00:00"/>
    <s v="Asiki Albert"/>
    <s v="Son"/>
    <s v="None"/>
    <m/>
    <m/>
  </r>
  <r>
    <x v="158"/>
    <d v="2021-07-30T00:00:00"/>
    <s v="ALICE AMINA"/>
    <s v="2002000159"/>
    <s v="CUST"/>
    <n v="779776045"/>
    <m/>
    <s v="Female"/>
    <d v="1981-10-11T00:00:00"/>
    <n v="40.654794520547945"/>
    <s v="Valid Age"/>
    <s v="Married"/>
    <m/>
    <s v="Business woman"/>
    <s v="Ombachi  market"/>
    <s v="Yibongo"/>
    <s v="National ID"/>
    <s v="CF1053108WU8C"/>
    <d v="2030-03-20T00:00:00"/>
    <s v="Hassan Imran"/>
    <s v="Son"/>
    <s v="None"/>
    <m/>
    <m/>
  </r>
  <r>
    <x v="159"/>
    <d v="2021-07-30T00:00:00"/>
    <s v="CHANDI ZANABU"/>
    <s v="2002000160"/>
    <s v="CUST"/>
    <m/>
    <m/>
    <s v="Female"/>
    <d v="1961-09-25T00:00:00"/>
    <n v="60.712328767123289"/>
    <s v="Over Age"/>
    <s v="Window"/>
    <m/>
    <s v="Business woman"/>
    <s v="Ombachi Market"/>
    <s v="Yibongo cell"/>
    <s v="National ID"/>
    <s v="CF61066102FJ3D"/>
    <d v="2025-06-24T00:00:00"/>
    <s v="Fadil imran"/>
    <s v="Son"/>
    <s v="None"/>
    <m/>
    <m/>
  </r>
  <r>
    <x v="160"/>
    <d v="2021-08-02T00:00:00"/>
    <s v="OKUYO BERNARD"/>
    <s v="2002000161"/>
    <s v="CUST"/>
    <n v="776846975"/>
    <m/>
    <s v="Male"/>
    <d v="1982-11-24T00:00:00"/>
    <n v="39.534246575342465"/>
    <s v="Valid Age"/>
    <s v="Married"/>
    <m/>
    <s v="Bussiness Man"/>
    <s v="Kampala"/>
    <m/>
    <s v="National ID"/>
    <s v="CM820771015Z3L"/>
    <d v="2028-06-08T00:00:00"/>
    <s v="Asua Daniel"/>
    <s v="Brother"/>
    <n v="772784119"/>
    <m/>
    <s v="Complete"/>
  </r>
  <r>
    <x v="161"/>
    <d v="2021-08-02T00:00:00"/>
    <s v="DEPAYA JOYCE"/>
    <s v="2002000162"/>
    <s v="CUST"/>
    <n v="787737411"/>
    <m/>
    <s v="Female"/>
    <d v="1988-06-15T00:00:00"/>
    <n v="33.972602739726028"/>
    <s v="Valid Age"/>
    <s v="Married"/>
    <m/>
    <s v="Bussiness Woman"/>
    <s v="Ayinga Cell "/>
    <s v="Ainga village"/>
    <s v="National ID"/>
    <s v="CF88066101J99A"/>
    <d v="2025-06-25T00:00:00"/>
    <s v="Hellen"/>
    <s v="Sister"/>
    <n v="780607321"/>
    <m/>
    <s v="Complete"/>
  </r>
  <r>
    <x v="162"/>
    <d v="2021-08-02T00:00:00"/>
    <s v="CHANDIRU RAMULA"/>
    <s v="2002000163"/>
    <s v="CUST"/>
    <n v="770481530"/>
    <m/>
    <s v="Female"/>
    <d v="1984-08-01T00:00:00"/>
    <n v="37.846575342465755"/>
    <s v="Valid Age"/>
    <s v="Married"/>
    <m/>
    <s v="Bussiness Woman"/>
    <s v="Kulubu Cell"/>
    <s v="Kulubu Village"/>
    <s v="National ID"/>
    <s v="CF840531022DTL"/>
    <d v="2021-06-24T00:00:00"/>
    <s v="Akhiram Aluma"/>
    <s v="Son"/>
    <s v="None"/>
    <m/>
    <s v="Complete"/>
  </r>
  <r>
    <x v="163"/>
    <d v="2021-08-03T00:00:00"/>
    <s v="ARIKE SWAIB"/>
    <s v="2002000164"/>
    <s v="CUST"/>
    <n v="772676785"/>
    <m/>
    <s v="Male"/>
    <d v="1994-01-01T00:00:00"/>
    <n v="28.421917808219177"/>
    <s v="Valid Age"/>
    <s v="Married"/>
    <m/>
    <s v="Bussiness Man"/>
    <s v="Gbukutu Cell"/>
    <s v="Lipa Village"/>
    <s v="National ID"/>
    <s v="CM94066103CELH"/>
    <d v="2025-06-24T00:00:00"/>
    <s v="Bako Rehma"/>
    <s v="Wife"/>
    <n v="787216493"/>
    <m/>
    <s v="Complete"/>
  </r>
  <r>
    <x v="164"/>
    <d v="2021-08-03T00:00:00"/>
    <s v="BOBOYA BRAN"/>
    <s v="2002000165"/>
    <s v="CUST"/>
    <n v="777698226"/>
    <m/>
    <s v="Male"/>
    <d v="1985-12-25T00:00:00"/>
    <n v="36.446575342465756"/>
    <s v="Valid Age"/>
    <s v="Married"/>
    <m/>
    <s v="Bussiness Man"/>
    <s v="Nyangilia Cell"/>
    <s v="Ajinjing Village"/>
    <s v="National ID"/>
    <s v="CM85066103G00E"/>
    <d v="2021-06-25T00:00:00"/>
    <s v="Rokon Khamis"/>
    <s v="Brother"/>
    <n v="781646668"/>
    <m/>
    <s v="Complete"/>
  </r>
  <r>
    <x v="165"/>
    <d v="2021-08-03T00:00:00"/>
    <s v="INJIKURU ROSE"/>
    <s v="2002000166"/>
    <s v="CUST"/>
    <n v="771377349"/>
    <m/>
    <s v="Female"/>
    <d v="1985-01-01T00:00:00"/>
    <n v="37.42739726027397"/>
    <s v="Valid Age"/>
    <s v="Married"/>
    <m/>
    <s v="Bussiness Woman"/>
    <s v="Ombachi Market"/>
    <s v="Anyifira Village"/>
    <s v="National ID"/>
    <s v="CF85077104HVC"/>
    <d v="2025-07-05T00:00:00"/>
    <s v="Drichiru Joan"/>
    <s v="Daughter"/>
    <s v="None"/>
    <m/>
    <s v="Complete"/>
  </r>
  <r>
    <x v="166"/>
    <d v="2021-08-03T00:00:00"/>
    <s v="DRICHA KADIJA"/>
    <s v="2002000167"/>
    <s v="CUST"/>
    <n v="779440494"/>
    <m/>
    <s v="Female"/>
    <d v="1979-05-02T00:00:00"/>
    <n v="43.101369863013701"/>
    <s v="Valid Age"/>
    <s v="Married"/>
    <m/>
    <s v="Bussiness Woman"/>
    <s v="Market Square"/>
    <s v="Anjirico Village"/>
    <s v="National ID"/>
    <s v="CF79066101H95D"/>
    <d v="2025-06-24T00:00:00"/>
    <s v="Boy Rasul"/>
    <s v="Son"/>
    <n v="779332267"/>
    <m/>
    <s v="Complete"/>
  </r>
  <r>
    <x v="167"/>
    <d v="2021-08-04T00:00:00"/>
    <s v="ALORO FREDERICK"/>
    <s v="2002000168"/>
    <s v="CUST"/>
    <n v="772358965"/>
    <m/>
    <s v="Male"/>
    <d v="1975-07-27T00:00:00"/>
    <n v="46.868493150684934"/>
    <s v="Valid Age"/>
    <s v="Married"/>
    <m/>
    <s v="Bussiness Man"/>
    <s v="Market Square"/>
    <s v="Ombachi Village"/>
    <s v="National ID"/>
    <s v="CM75002106G3YA"/>
    <d v="2025-09-06T00:00:00"/>
    <s v="Alemi William "/>
    <s v="Brother"/>
    <n v="772444772"/>
    <m/>
    <s v="Complete"/>
  </r>
  <r>
    <x v="168"/>
    <d v="2021-08-05T00:00:00"/>
    <s v="KATO KENNEDY"/>
    <s v="2002000169"/>
    <s v="CUST"/>
    <n v="392991887"/>
    <m/>
    <s v="Male"/>
    <d v="1997-05-25T00:00:00"/>
    <n v="25.024657534246575"/>
    <s v="Valid Age"/>
    <s v="Single"/>
    <m/>
    <s v="Bussiness Man"/>
    <s v="Ombachi Market"/>
    <s v="Lipa Village"/>
    <s v="National ID"/>
    <s v="CM97066103J70F"/>
    <d v="2025-06-24T00:00:00"/>
    <s v="Ariye Grace"/>
    <s v="Mother"/>
    <n v="776100981"/>
    <m/>
    <s v="Complete"/>
  </r>
  <r>
    <x v="169"/>
    <d v="2021-08-05T00:00:00"/>
    <s v="KABEBI RAIMA "/>
    <s v="2002000170"/>
    <s v="CUST"/>
    <n v="786379543"/>
    <m/>
    <s v="Female"/>
    <d v="1987-01-05T00:00:00"/>
    <n v="35.416438356164385"/>
    <s v="Valid Age"/>
    <s v="Married"/>
    <m/>
    <s v="Bussiness Woman"/>
    <s v="Market Square"/>
    <s v="Anyifira Village"/>
    <s v="National ID"/>
    <s v="CF87066102N2PA"/>
    <d v="2025-06-24T00:00:00"/>
    <s v="Ramadam Abdu"/>
    <s v="Son"/>
    <s v="None"/>
    <m/>
    <s v="Complete"/>
  </r>
  <r>
    <x v="170"/>
    <d v="2021-08-05T00:00:00"/>
    <s v="BADAKA GIFT JOEL"/>
    <s v="2002000171"/>
    <s v="CUST"/>
    <n v="773044440"/>
    <m/>
    <s v="Male"/>
    <d v="1984-04-28T00:00:00"/>
    <n v="38.106849315068494"/>
    <s v="Valid Age"/>
    <s v="Married"/>
    <m/>
    <s v="Banker"/>
    <s v="Market Square"/>
    <s v="Lipa Village"/>
    <s v="National ID"/>
    <s v="CM84077104A9LL"/>
    <d v="2025-06-24T00:00:00"/>
    <s v="Ayakaka Docus"/>
    <s v="Wife"/>
    <n v="778739938"/>
    <m/>
    <s v="Complete"/>
  </r>
  <r>
    <x v="171"/>
    <d v="2021-08-06T00:00:00"/>
    <s v="KATUSIIME CLARA CHEKA"/>
    <s v="2002000172"/>
    <s v="CUST"/>
    <n v="782833844"/>
    <m/>
    <s v="Female"/>
    <d v="1983-08-01T00:00:00"/>
    <n v="38.849315068493148"/>
    <s v="Valid Age"/>
    <s v="Married"/>
    <m/>
    <s v="Bussiness Woman"/>
    <s v="Market Square"/>
    <s v="Ombachi Village"/>
    <s v="National ID"/>
    <s v="CF83066101FNNG"/>
    <d v="2030-08-20T00:00:00"/>
    <s v="Abigel Linder"/>
    <s v="Daughter"/>
    <n v="782833844"/>
    <m/>
    <s v="Complete"/>
  </r>
  <r>
    <x v="172"/>
    <d v="2021-08-06T00:00:00"/>
    <s v="AATE SEKINA"/>
    <s v="2002000173"/>
    <s v="CUST"/>
    <n v="782711690"/>
    <m/>
    <s v="Female"/>
    <d v="1978-11-20T00:00:00"/>
    <n v="43.547945205479451"/>
    <s v="Valid Age"/>
    <s v="Married"/>
    <m/>
    <s v="Bussiness Woman"/>
    <s v="Market Square"/>
    <s v="Ombachi Village"/>
    <s v="National ID"/>
    <s v="CF78053101404K"/>
    <d v="2021-11-13T00:00:00"/>
    <s v="Aate Zaitun"/>
    <s v="Mother"/>
    <n v="782711690"/>
    <m/>
    <s v="Complete"/>
  </r>
  <r>
    <x v="173"/>
    <d v="2021-08-07T00:00:00"/>
    <s v="METALORO   MOSES"/>
    <s v="2002000174"/>
    <s v="CUST"/>
    <n v="777665365"/>
    <m/>
    <s v="Male"/>
    <d v="1992-01-05T00:00:00"/>
    <n v="30.413698630136988"/>
    <s v="Valid Age"/>
    <s v="Married"/>
    <m/>
    <s v="Medical Worker"/>
    <s v="Pioneer"/>
    <s v="Gbukutu Cell"/>
    <s v="National ID"/>
    <s v="CM920066100QK0D"/>
    <d v="2024-11-30T00:00:00"/>
    <s v="Sumaya Amiza"/>
    <s v="Brother"/>
    <n v="760137475"/>
    <m/>
    <s v="Complete"/>
  </r>
  <r>
    <x v="174"/>
    <d v="2021-08-09T00:00:00"/>
    <s v="ZUBEDA WAIGA"/>
    <s v="2002000175"/>
    <s v="CUST"/>
    <n v="788651678"/>
    <m/>
    <s v="Female"/>
    <d v="1985-02-17T00:00:00"/>
    <n v="37.298630136986304"/>
    <s v="Valid Age"/>
    <s v="Married"/>
    <m/>
    <s v="Bussiness Woman"/>
    <s v="Ombachi Market"/>
    <s v="Anyifira Village"/>
    <s v="National ID"/>
    <s v="CM86066101C9XE"/>
    <d v="2021-06-24T00:00:00"/>
    <s v="Farida Never"/>
    <s v="Daughter"/>
    <n v="788321366"/>
    <m/>
    <s v="Complete"/>
  </r>
  <r>
    <x v="175"/>
    <d v="2021-08-09T00:00:00"/>
    <s v="AJONYE JANE SINANDUGU"/>
    <s v="2002000176"/>
    <s v="CUST"/>
    <n v="774085216"/>
    <m/>
    <s v="Female"/>
    <d v="1975-05-02T00:00:00"/>
    <n v="47.104109589041094"/>
    <s v="Valid Age"/>
    <s v="Married"/>
    <m/>
    <s v="Bussiness Woman"/>
    <s v="Boader Market"/>
    <s v="Yibongo Cell "/>
    <s v="National ID"/>
    <s v="CF75066102VCUC"/>
    <d v="2025-06-24T00:00:00"/>
    <s v="Atiki Eric"/>
    <s v="Son"/>
    <n v="772642220"/>
    <m/>
    <s v="Complete"/>
  </r>
  <r>
    <x v="176"/>
    <d v="2021-08-09T00:00:00"/>
    <s v="EFIT GIFT"/>
    <s v="2002000177"/>
    <s v="CUST"/>
    <n v="783258212"/>
    <m/>
    <s v="Male"/>
    <d v="1987-05-01T00:00:00"/>
    <n v="35.098630136986301"/>
    <s v="Valid Age"/>
    <s v="Married"/>
    <m/>
    <s v="Business Man"/>
    <s v="koboko public ss"/>
    <s v="Lipa Village"/>
    <s v="National ID"/>
    <s v="CM74077103LDLK"/>
    <d v="2025-07-05T00:00:00"/>
    <s v="Aleni Giant"/>
    <s v="Son"/>
    <s v="None"/>
    <m/>
    <s v="Complete"/>
  </r>
  <r>
    <x v="177"/>
    <d v="2021-08-09T00:00:00"/>
    <s v="EMUSUGUT DANIEL"/>
    <s v="2002000178"/>
    <s v="CUST"/>
    <n v="771931316"/>
    <m/>
    <s v="Male"/>
    <d v="1990-05-05T00:00:00"/>
    <n v="32.084931506849315"/>
    <s v="Valid Age"/>
    <s v="Married"/>
    <m/>
    <s v="Teacher"/>
    <s v="Ombachi stage"/>
    <s v="Dembelenga cell"/>
    <s v="National ID"/>
    <s v="CM900391063MF"/>
    <d v="2025-08-21T00:00:00"/>
    <s v="Erimu Samson"/>
    <s v="Son"/>
    <n v="778826566"/>
    <m/>
    <s v="Complete"/>
  </r>
  <r>
    <x v="178"/>
    <d v="2021-08-10T00:00:00"/>
    <s v="GERIA VIOLA"/>
    <s v="2002000179"/>
    <s v="CUST"/>
    <n v="776740721"/>
    <m/>
    <s v="Male"/>
    <d v="1994-08-10T00:00:00"/>
    <n v="27.816438356164383"/>
    <s v="Valid Age"/>
    <s v="Married"/>
    <m/>
    <s v="Business woman"/>
    <s v="Anjijin cell"/>
    <s v="Anjijin cell"/>
    <s v="National ID"/>
    <s v="CF940661021C6K"/>
    <d v="2025-06-24T00:00:00"/>
    <s v="Sanya samuel"/>
    <s v="Husband"/>
    <n v="776740721"/>
    <m/>
    <s v="Complete"/>
  </r>
  <r>
    <x v="179"/>
    <d v="2021-08-10T00:00:00"/>
    <s v="IJOSIGA ISMAIL"/>
    <s v="2002000180"/>
    <s v="CUST"/>
    <n v="775888913"/>
    <m/>
    <s v="Male"/>
    <d v="1973-01-01T00:00:00"/>
    <n v="49.435616438356163"/>
    <s v="Valid Age"/>
    <s v="Married"/>
    <m/>
    <s v="Teacher"/>
    <s v="Gurepi cell"/>
    <s v="Gurepi"/>
    <s v="National ID"/>
    <s v="CM73066102607G"/>
    <d v="2025-06-24T00:00:00"/>
    <s v="Ijoyi Khalid"/>
    <s v="Son"/>
    <s v="None"/>
    <m/>
    <s v="Complete"/>
  </r>
  <r>
    <x v="180"/>
    <d v="2021-08-10T00:00:00"/>
    <s v="LEKURU CHRISTINE"/>
    <s v="2002000181"/>
    <s v="CUST"/>
    <n v="774704411"/>
    <m/>
    <s v="Female"/>
    <d v="1994-12-28T00:00:00"/>
    <n v="27.432876712328767"/>
    <s v="Valid Age"/>
    <s v="Married"/>
    <m/>
    <s v="Bussiness Woman"/>
    <s v="Nyarilo cell"/>
    <s v="Nyarilo cell"/>
    <s v="National ID"/>
    <s v="CF940531041RYC"/>
    <d v="2025-09-09T00:00:00"/>
    <s v="Adiru Joyce Doris"/>
    <s v="Sister"/>
    <n v="778736967"/>
    <m/>
    <s v="Complete"/>
  </r>
  <r>
    <x v="181"/>
    <d v="2021-08-11T00:00:00"/>
    <s v="ANITE ZAM"/>
    <s v="2002000182"/>
    <s v="CUST"/>
    <m/>
    <m/>
    <s v="Female"/>
    <d v="1986-07-17T00:00:00"/>
    <n v="35.887671232876713"/>
    <s v="Valid Age"/>
    <s v="Married"/>
    <m/>
    <s v="Bussiness Woman"/>
    <s v="Ombachi Market"/>
    <s v="Ombachi Village"/>
    <s v="National ID"/>
    <s v="CF8605310395PH"/>
    <d v="2025-06-24T00:00:00"/>
    <s v="Debaku Wahab"/>
    <s v="Son"/>
    <s v="None"/>
    <m/>
    <s v="Complete"/>
  </r>
  <r>
    <x v="182"/>
    <d v="2021-08-12T00:00:00"/>
    <s v="NIGHT AMINA HUSSEIN"/>
    <s v="2002000183"/>
    <s v="CUST"/>
    <n v="781501152"/>
    <m/>
    <s v="Female"/>
    <d v="1976-09-17T00:00:00"/>
    <n v="45.723287671232875"/>
    <s v="Valid Age"/>
    <s v="Married"/>
    <m/>
    <s v="Bussiness Woman"/>
    <s v="Keri Market"/>
    <s v="Kuluba"/>
    <s v="National ID"/>
    <s v="CF6066102CFGH"/>
    <d v="2024-06-24T00:00:00"/>
    <s v="Bangutu Sabote"/>
    <s v="Son"/>
    <n v="781044369"/>
    <m/>
    <s v="Complete"/>
  </r>
  <r>
    <x v="183"/>
    <d v="2021-08-12T00:00:00"/>
    <s v="OCOKORU GLORIA"/>
    <s v="2002000184"/>
    <s v="CUST"/>
    <n v="784437253"/>
    <m/>
    <s v="Female"/>
    <d v="1980-08-12T00:00:00"/>
    <n v="41.819178082191783"/>
    <s v="Valid Age"/>
    <s v="Married"/>
    <m/>
    <s v="Bussiness Woman"/>
    <s v="Ombachi Market"/>
    <s v="Anyifira Village"/>
    <s v="National ID"/>
    <s v="CF800771040HND"/>
    <d v="2025-06-24T00:00:00"/>
    <s v="Enzama Kennedy"/>
    <s v="Son"/>
    <s v="None"/>
    <m/>
    <s v="Complete"/>
  </r>
  <r>
    <x v="184"/>
    <d v="2021-08-16T00:00:00"/>
    <s v="APAYI HARRIET"/>
    <s v="2002000185"/>
    <s v="CUST"/>
    <n v="775325339"/>
    <m/>
    <s v="Female"/>
    <d v="1982-07-02T00:00:00"/>
    <n v="39.93150684931507"/>
    <s v="Valid Age"/>
    <s v="Married"/>
    <m/>
    <s v="Bussiness Woman"/>
    <s v="Keri Market"/>
    <s v="Keri-Midia"/>
    <s v="National ID"/>
    <s v="CF8206610129YD"/>
    <d v="2024-11-25T00:00:00"/>
    <s v="Musema Lawrence"/>
    <s v="Son"/>
    <s v="None"/>
    <m/>
    <s v="Complete"/>
  </r>
  <r>
    <x v="185"/>
    <d v="2021-08-16T00:00:00"/>
    <s v="GIFT JAMES"/>
    <s v="2002000186"/>
    <s v="CUST"/>
    <n v="778962096"/>
    <m/>
    <s v="Male"/>
    <d v="1992-04-28T00:00:00"/>
    <n v="30.101369863013698"/>
    <s v="Valid Age"/>
    <s v="Single"/>
    <m/>
    <s v="Business Man"/>
    <s v="Kampala"/>
    <s v="Arumaji "/>
    <s v="National ID"/>
    <s v="CM920661014W1D"/>
    <d v="2024-11-13T00:00:00"/>
    <s v="Rose Witro"/>
    <s v="Mother"/>
    <n v="782667177"/>
    <m/>
    <s v="Complete"/>
  </r>
  <r>
    <x v="186"/>
    <d v="2021-08-17T00:00:00"/>
    <s v="AJIO HARRIET "/>
    <s v="2002000187"/>
    <s v="CUST"/>
    <n v="774565525"/>
    <m/>
    <s v="Female"/>
    <d v="1990-04-19T00:00:00"/>
    <n v="32.128767123287673"/>
    <s v="Valid Age"/>
    <s v="Married"/>
    <m/>
    <s v="Bussiness Woman"/>
    <s v="Abele market"/>
    <s v="Abele cell"/>
    <s v="National ID"/>
    <s v="CF9006610234NJ"/>
    <d v="2025-06-24T00:00:00"/>
    <s v="Bileru Celina "/>
    <s v="Mother"/>
    <s v="None"/>
    <m/>
    <s v="Complete"/>
  </r>
  <r>
    <x v="187"/>
    <d v="2021-08-17T00:00:00"/>
    <s v="ADIRU HELLEN"/>
    <s v="2002000188"/>
    <s v="CUST"/>
    <n v="773556773"/>
    <m/>
    <s v="Female"/>
    <d v="1984-03-02T00:00:00"/>
    <n v="38.263013698630139"/>
    <s v="Valid Age"/>
    <s v="Married"/>
    <m/>
    <s v="Bussiness Woman"/>
    <s v="Lipa"/>
    <s v="Lipa Village"/>
    <s v="National ID"/>
    <s v="CF84053102F9GF"/>
    <d v="2025-06-25T00:00:00"/>
    <s v="Anguzu Alfred"/>
    <s v="Son"/>
    <s v="None"/>
    <m/>
    <s v="Complete"/>
  </r>
  <r>
    <x v="188"/>
    <d v="2021-08-18T00:00:00"/>
    <s v="AYIDA SELUWA"/>
    <s v="2002000189"/>
    <s v="CUST"/>
    <n v="788605788"/>
    <m/>
    <s v="Female"/>
    <d v="1992-03-03T00:00:00"/>
    <n v="30.254794520547946"/>
    <s v="Valid Age"/>
    <s v="Married"/>
    <m/>
    <s v="Bussiness Woman"/>
    <s v="Dembelenga"/>
    <s v="Dembelenga cell"/>
    <s v="National ID"/>
    <s v="CF92066100V73F"/>
    <d v="2024-11-20T00:00:00"/>
    <s v="Ahmed Alafi"/>
    <s v="Son"/>
    <n v="789258767"/>
    <m/>
    <s v="Complete"/>
  </r>
  <r>
    <x v="189"/>
    <d v="2021-08-18T00:00:00"/>
    <s v="TAISA AMINA"/>
    <s v="2002000190"/>
    <s v="CUST"/>
    <n v="778833050"/>
    <m/>
    <s v="Female"/>
    <d v="1980-05-12T00:00:00"/>
    <n v="42.07123287671233"/>
    <s v="Valid Age"/>
    <s v="Married"/>
    <m/>
    <s v="Bussiness Woman"/>
    <s v="Market Square"/>
    <s v="Lurunu"/>
    <s v="National ID"/>
    <s v="CF80066100YCGF"/>
    <d v="2025-06-24T00:00:00"/>
    <s v="Zuberi Ismail"/>
    <s v="Son"/>
    <s v="None"/>
    <m/>
    <m/>
  </r>
  <r>
    <x v="190"/>
    <d v="2021-08-18T00:00:00"/>
    <s v="AYOZU JESCA TAIBO"/>
    <s v="2002000191"/>
    <s v="CUST"/>
    <n v="775096785"/>
    <m/>
    <s v="Female"/>
    <m/>
    <s v=""/>
    <s v=""/>
    <s v="Married"/>
    <m/>
    <s v="Bussiness Woman"/>
    <s v="Keri Market"/>
    <s v="Keri-Midia"/>
    <s v="National ID"/>
    <m/>
    <m/>
    <s v="Malish Moses"/>
    <s v="Husband"/>
    <n v="794313646"/>
    <m/>
    <s v="ID not given"/>
  </r>
  <r>
    <x v="191"/>
    <d v="2021-08-18T00:00:00"/>
    <s v="MAZARAU AISHA"/>
    <s v="2002000192"/>
    <s v="CUST"/>
    <n v="787668410"/>
    <m/>
    <s v="Female"/>
    <d v="1979-08-05T00:00:00"/>
    <n v="42.841095890410962"/>
    <s v="Valid Age"/>
    <s v="Married"/>
    <m/>
    <s v="Bussiness Woman"/>
    <s v="Ombachi Market"/>
    <s v="Ombachi cell"/>
    <s v="National ID"/>
    <s v="CF79066101GMFD"/>
    <d v="2025-06-24T00:00:00"/>
    <s v="Siki Sabiri"/>
    <s v="Son"/>
    <s v="None"/>
    <m/>
    <m/>
  </r>
  <r>
    <x v="192"/>
    <d v="2021-08-18T00:00:00"/>
    <s v="ADIYE MARIAM"/>
    <s v="2002000193"/>
    <s v="CUST"/>
    <n v="791343509"/>
    <m/>
    <s v="Female"/>
    <d v="1972-09-02T00:00:00"/>
    <n v="49.767123287671232"/>
    <s v="Valid Age"/>
    <s v="Married"/>
    <m/>
    <s v="Bussiness Woman"/>
    <s v="Yibongo "/>
    <s v="Yibongo Cell "/>
    <s v="National ID"/>
    <s v="CF72066103AX7F"/>
    <d v="2021-06-24T00:00:00"/>
    <s v="Sijali Iniham"/>
    <s v="Son"/>
    <s v="None"/>
    <m/>
    <m/>
  </r>
  <r>
    <x v="193"/>
    <d v="2021-08-20T00:00:00"/>
    <s v="NYOLA SHERIFA AHMED"/>
    <s v="2002000194"/>
    <s v="CUST"/>
    <n v="789257814"/>
    <m/>
    <s v="Female"/>
    <d v="1994-02-23T00:00:00"/>
    <n v="28.276712328767122"/>
    <s v="Valid Age"/>
    <s v="Married"/>
    <m/>
    <s v="Bussiness Woman"/>
    <s v="Ombachi Market"/>
    <s v="Yibongo Cell "/>
    <s v="National ID"/>
    <s v="CF940661033PEA"/>
    <d v="2024-06-24T00:00:00"/>
    <s v="Christine "/>
    <s v="Sister"/>
    <s v="None"/>
    <m/>
    <m/>
  </r>
  <r>
    <x v="194"/>
    <d v="2021-08-20T00:00:00"/>
    <s v="OJARA RICHARD"/>
    <s v="2002000195"/>
    <s v="CUST"/>
    <n v="774186334"/>
    <m/>
    <s v="Male"/>
    <d v="1979-01-03T00:00:00"/>
    <n v="43.42739726027397"/>
    <s v="Valid Age"/>
    <s v="Married"/>
    <m/>
    <s v="Engineer"/>
    <s v="Nyarilo cell"/>
    <s v="Nyarilo cell"/>
    <s v="National ID"/>
    <s v="CM760051028D6A"/>
    <d v="2025-06-24T00:00:00"/>
    <s v="Alice Loy"/>
    <s v="Wife"/>
    <n v="7774815228"/>
    <m/>
    <m/>
  </r>
  <r>
    <x v="195"/>
    <d v="2021-08-23T00:00:00"/>
    <s v="AKISU JOICE"/>
    <s v="2002000196"/>
    <s v="CUST"/>
    <n v="770712680"/>
    <m/>
    <s v="Female"/>
    <d v="1986-05-03T00:00:00"/>
    <n v="36.093150684931508"/>
    <s v="Valid Age"/>
    <s v="Married"/>
    <m/>
    <s v="Bussiness Woman"/>
    <s v="Keri Market"/>
    <s v="Keri-Midia"/>
    <s v="National ID"/>
    <s v="CF860661015UWH"/>
    <d v="2025-06-25T00:00:00"/>
    <s v="Maneno Viola"/>
    <s v="Daughter"/>
    <s v="None"/>
    <m/>
    <m/>
  </r>
  <r>
    <x v="196"/>
    <d v="2021-08-24T00:00:00"/>
    <s v="SIYESA JAMILA"/>
    <s v="2002000197"/>
    <s v="CUST"/>
    <n v="777621894"/>
    <m/>
    <s v="Female"/>
    <d v="1987-09-02T00:00:00"/>
    <n v="34.758904109589039"/>
    <s v="Valid Age"/>
    <s v="Married"/>
    <m/>
    <s v="Bussiness Woman"/>
    <s v="Mijale "/>
    <s v="Mijale"/>
    <s v="National ID"/>
    <s v="CF87066100WK4C"/>
    <d v="2024-11-20T00:00:00"/>
    <s v="Mustafah Abdulay"/>
    <s v="Father"/>
    <s v="None"/>
    <m/>
    <m/>
  </r>
  <r>
    <x v="197"/>
    <d v="2021-08-27T00:00:00"/>
    <s v="ETOLE BIAJO"/>
    <s v="2002000198"/>
    <s v="CUST"/>
    <n v="782305844"/>
    <m/>
    <s v="Male"/>
    <d v="1972-11-10T00:00:00"/>
    <n v="49.578082191780823"/>
    <s v="Valid Age"/>
    <s v="Married"/>
    <m/>
    <s v="Engineer"/>
    <s v="Ombachi Market"/>
    <s v="Ombachi cell"/>
    <s v="National ID"/>
    <s v="CM72053102L76H"/>
    <d v="2025-06-24T00:00:00"/>
    <s v="Amaniyo Christine"/>
    <s v="Wife"/>
    <n v="777042134"/>
    <m/>
    <s v="Complete"/>
  </r>
  <r>
    <x v="198"/>
    <d v="2021-08-28T00:00:00"/>
    <s v="OTHIM JIMMY"/>
    <s v="2002000199"/>
    <s v="CUST"/>
    <n v="787062741"/>
    <m/>
    <s v="Male"/>
    <d v="1987-09-19T00:00:00"/>
    <n v="34.712328767123289"/>
    <s v="Valid Age"/>
    <s v="Married"/>
    <m/>
    <s v="Engineer"/>
    <s v="Market Square"/>
    <s v="Sinyani Cell"/>
    <s v="National ID"/>
    <s v="CM870331077QYK"/>
    <d v="2025-07-09T00:00:00"/>
    <s v="Piranok Furaha"/>
    <s v="Wife"/>
    <n v="775219679"/>
    <m/>
    <s v="Complete"/>
  </r>
  <r>
    <x v="199"/>
    <d v="2021-08-28T00:00:00"/>
    <s v="SERIYA FLORENCE"/>
    <s v="2002000200"/>
    <s v="CUST"/>
    <n v="776490992"/>
    <n v="793392822"/>
    <s v="Female"/>
    <d v="1988-01-02T00:00:00"/>
    <n v="34.424657534246577"/>
    <s v="Valid Age"/>
    <s v="Married"/>
    <m/>
    <s v="Bussiness Woman"/>
    <s v="Market Square"/>
    <m/>
    <s v="National ID"/>
    <s v="CF880771032HQK"/>
    <d v="2025-06-25T00:00:00"/>
    <m/>
    <m/>
    <m/>
    <m/>
    <s v="Not complete PB not issued yet"/>
  </r>
  <r>
    <x v="200"/>
    <d v="2021-08-30T00:00:00"/>
    <s v="DALILI HASSAN"/>
    <s v="2002000201"/>
    <s v="CUST"/>
    <n v="776209362"/>
    <m/>
    <s v="Male"/>
    <d v="1986-07-19T00:00:00"/>
    <n v="35.88219178082192"/>
    <s v="Valid Age"/>
    <s v="Single"/>
    <m/>
    <s v="Business Man"/>
    <s v="Transport Road"/>
    <s v="Lurunu"/>
    <s v="National ID"/>
    <s v="CM86066101F8HA"/>
    <d v="2025-06-24T00:00:00"/>
    <s v="Muzami Dalili"/>
    <s v="Son"/>
    <s v="None"/>
    <m/>
    <s v="Account opening only"/>
  </r>
  <r>
    <x v="201"/>
    <d v="2021-08-31T00:00:00"/>
    <s v="MUSEMA SWAIBU"/>
    <s v="2002000202"/>
    <s v="CUST"/>
    <n v="771218762"/>
    <m/>
    <s v="Male"/>
    <d v="1995-05-02T00:00:00"/>
    <n v="27.090410958904108"/>
    <s v="Valid Age"/>
    <s v="Married"/>
    <m/>
    <s v="Bodaboda Guy"/>
    <s v="Dembelenga"/>
    <s v="Dembelenga cell"/>
    <s v="National ID"/>
    <s v="CM95066102TUJL"/>
    <d v="2025-06-25T00:00:00"/>
    <s v="Tabu Swadik"/>
    <s v="Father"/>
    <n v="771300234"/>
    <m/>
    <s v="Complete"/>
  </r>
  <r>
    <x v="202"/>
    <d v="2021-09-01T00:00:00"/>
    <s v="AMANDU JUSTUS"/>
    <s v="2002000203"/>
    <s v="CUST"/>
    <n v="771366069"/>
    <n v="788445708"/>
    <s v="Male"/>
    <d v="1976-10-12T00:00:00"/>
    <n v="45.654794520547945"/>
    <s v="Valid Age"/>
    <s v="Married"/>
    <m/>
    <s v="Constructor"/>
    <s v="Maracha"/>
    <s v="Alimakodra cell"/>
    <s v="National ID"/>
    <s v="CM7600210CU3LA"/>
    <m/>
    <m/>
    <m/>
    <m/>
    <m/>
    <m/>
  </r>
  <r>
    <x v="203"/>
    <d v="2021-09-01T00:00:00"/>
    <s v="DRAMADRI AHUMED OKUNI"/>
    <s v="2002000204"/>
    <s v="CUST"/>
    <n v="773301020"/>
    <n v="782907654"/>
    <s v="Male"/>
    <d v="1980-09-23T00:00:00"/>
    <n v="41.704109589041096"/>
    <s v="Valid Age"/>
    <s v="Married"/>
    <m/>
    <s v="Carpenter"/>
    <s v="Gaagaa Cell"/>
    <s v="Abelle cell"/>
    <s v="National ID"/>
    <s v="CM800661027WQK"/>
    <m/>
    <m/>
    <m/>
    <m/>
    <m/>
    <m/>
  </r>
  <r>
    <x v="204"/>
    <d v="2021-09-01T00:00:00"/>
    <s v="OPIRU ALICE"/>
    <s v="2002000205"/>
    <s v="CUST"/>
    <m/>
    <m/>
    <s v="Female"/>
    <d v="1980-10-01T00:00:00"/>
    <n v="41.682191780821917"/>
    <s v="Valid Age"/>
    <s v="Married"/>
    <m/>
    <s v="Business woman"/>
    <s v="Ombaci market"/>
    <s v="Yibongo cell"/>
    <s v="National ID"/>
    <s v="CF80077104MTOL"/>
    <m/>
    <m/>
    <m/>
    <m/>
    <m/>
    <m/>
  </r>
  <r>
    <x v="205"/>
    <d v="2021-09-01T00:00:00"/>
    <s v="AMILE AISHA"/>
    <s v="2002000206"/>
    <s v="CUST"/>
    <m/>
    <m/>
    <s v="Female"/>
    <d v="1970-05-06T00:00:00"/>
    <n v="52.095890410958901"/>
    <s v="Valid Age"/>
    <s v="Married"/>
    <m/>
    <s v="Business woman"/>
    <s v="Ombaci Market"/>
    <s v="Ombaci cell"/>
    <s v="National ID"/>
    <s v="CF70066101UWUH"/>
    <m/>
    <m/>
    <m/>
    <m/>
    <m/>
    <m/>
  </r>
  <r>
    <x v="206"/>
    <d v="2021-09-01T00:00:00"/>
    <s v="DRARU IRENE"/>
    <s v="2002000207"/>
    <s v="CUST"/>
    <n v="778119975"/>
    <m/>
    <s v="Female"/>
    <d v="1991-11-28T00:00:00"/>
    <n v="30.517808219178082"/>
    <s v="Valid Age"/>
    <s v="Married"/>
    <m/>
    <s v="Business woman"/>
    <s v="Dricile Parish"/>
    <s v="Kingaba village"/>
    <s v="National ID"/>
    <s v="CF91053100DNMA"/>
    <m/>
    <m/>
    <m/>
    <m/>
    <m/>
    <m/>
  </r>
  <r>
    <x v="207"/>
    <d v="2021-09-01T00:00:00"/>
    <s v="TIKO RAIMA"/>
    <s v="2002000208"/>
    <s v="CUST"/>
    <n v="778622393"/>
    <m/>
    <s v="Female"/>
    <d v="1989-08-13T00:00:00"/>
    <n v="32.81095890410959"/>
    <s v="Valid Age"/>
    <s v="Married"/>
    <m/>
    <s v="Business woman"/>
    <s v="Ombaci market"/>
    <s v="ombaci cell"/>
    <s v="National ID"/>
    <s v="CF89066102GEUJ"/>
    <m/>
    <m/>
    <m/>
    <m/>
    <m/>
    <m/>
  </r>
  <r>
    <x v="208"/>
    <d v="2021-09-02T00:00:00"/>
    <s v="ADUI ISMAIL"/>
    <s v="2002000209"/>
    <s v="CUST"/>
    <n v="770339216"/>
    <m/>
    <s v="Male"/>
    <d v="1998-05-10T00:00:00"/>
    <n v="24.065753424657533"/>
    <s v="Valid Age"/>
    <s v="Single"/>
    <m/>
    <s v="Business Man"/>
    <s v="Mengo"/>
    <s v="Lipa Village"/>
    <s v="National ID"/>
    <s v="CM98066100Q0GH"/>
    <m/>
    <m/>
    <m/>
    <m/>
    <m/>
    <m/>
  </r>
  <r>
    <x v="209"/>
    <d v="2021-09-02T00:00:00"/>
    <s v="ADRILI ZAHARA"/>
    <s v="2002000210"/>
    <s v="CUST"/>
    <n v="772233537"/>
    <m/>
    <s v="Female"/>
    <d v="1981-05-15T00:00:00"/>
    <n v="41.063013698630137"/>
    <s v="Valid Age"/>
    <s v="Married"/>
    <m/>
    <s v="Business woman"/>
    <s v="Mengo"/>
    <s v="Lipa Village"/>
    <s v="National ID"/>
    <s v="CF81066101AHOL"/>
    <m/>
    <m/>
    <m/>
    <m/>
    <m/>
    <m/>
  </r>
  <r>
    <x v="210"/>
    <d v="2021-09-02T00:00:00"/>
    <s v="WILARU JOYCE"/>
    <s v="2002000211"/>
    <s v="CUST"/>
    <n v="788922998"/>
    <m/>
    <s v="Female"/>
    <d v="1972-07-01T00:00:00"/>
    <n v="49.939726027397263"/>
    <s v="Valid Age"/>
    <s v="Married"/>
    <m/>
    <s v="Business woman"/>
    <s v="mengo"/>
    <s v="Lipa Village"/>
    <s v="National ID"/>
    <s v="CF72066100U2MJ"/>
    <m/>
    <m/>
    <m/>
    <m/>
    <m/>
    <m/>
  </r>
  <r>
    <x v="211"/>
    <d v="2021-09-02T00:00:00"/>
    <s v="ACIDRI WILLIAM"/>
    <s v="2002000212"/>
    <s v="CUST"/>
    <n v="789192628"/>
    <m/>
    <s v="Male"/>
    <d v="1988-08-24T00:00:00"/>
    <n v="33.780821917808218"/>
    <s v="Valid Age"/>
    <s v="Married"/>
    <m/>
    <s v="Civil Servant"/>
    <s v="Mengo"/>
    <s v="Nyarilo Cell"/>
    <s v="National ID"/>
    <s v="CM8806610347LD"/>
    <m/>
    <m/>
    <m/>
    <m/>
    <m/>
    <m/>
  </r>
  <r>
    <x v="212"/>
    <d v="2021-09-02T00:00:00"/>
    <s v="ATIKURU NADIA"/>
    <s v="2002000213"/>
    <s v="CUST"/>
    <n v="770712706"/>
    <m/>
    <s v="Female"/>
    <d v="1983-05-13T00:00:00"/>
    <n v="39.06849315068493"/>
    <s v="Valid Age"/>
    <s v="Married"/>
    <m/>
    <s v="Bussiness Woman"/>
    <s v="Market Square"/>
    <s v="Nyarilo cell"/>
    <s v="National ID"/>
    <s v="CF83002103YR9K"/>
    <m/>
    <m/>
    <m/>
    <m/>
    <m/>
    <m/>
  </r>
  <r>
    <x v="213"/>
    <d v="2021-09-03T00:00:00"/>
    <s v="APAYI LILLY"/>
    <s v="2002000214"/>
    <s v="CUST"/>
    <n v="777220486"/>
    <m/>
    <s v="Female"/>
    <d v="1979-12-20T00:00:00"/>
    <n v="42.465753424657535"/>
    <s v="Valid Age"/>
    <s v="Married"/>
    <m/>
    <s v="Bussiness Woman"/>
    <s v="Ombachi"/>
    <s v="Yibongo"/>
    <s v="National ID"/>
    <s v="CF79066101NR7D"/>
    <d v="2025-06-25T00:00:00"/>
    <m/>
    <m/>
    <m/>
    <m/>
    <m/>
  </r>
  <r>
    <x v="214"/>
    <d v="2021-09-06T00:00:00"/>
    <s v="BRANI MUSA"/>
    <s v="2002000215"/>
    <s v="CUST"/>
    <n v="788277188"/>
    <n v="791180665"/>
    <s v="Male"/>
    <d v="1986-08-15T00:00:00"/>
    <n v="35.80821917808219"/>
    <s v="Valid Age"/>
    <s v="Married"/>
    <m/>
    <s v="Builder"/>
    <s v="Market Square"/>
    <s v="Lipa"/>
    <s v="National ID"/>
    <s v="CM860661027NHK"/>
    <m/>
    <m/>
    <m/>
    <m/>
    <m/>
    <m/>
  </r>
  <r>
    <x v="215"/>
    <d v="2021-09-06T00:00:00"/>
    <s v="ALIGA ASHIRAF"/>
    <s v="2002000216"/>
    <s v="CUST"/>
    <n v="772107047"/>
    <m/>
    <s v="Male"/>
    <d v="1988-05-01T00:00:00"/>
    <n v="34.095890410958901"/>
    <s v="Valid Age"/>
    <s v="Married"/>
    <m/>
    <s v="Boda boda rider"/>
    <s v="Ombachi"/>
    <s v="Lipa"/>
    <s v="National ID"/>
    <s v="TMP000189335G"/>
    <m/>
    <m/>
    <m/>
    <m/>
    <m/>
    <m/>
  </r>
  <r>
    <x v="216"/>
    <d v="2021-09-08T00:00:00"/>
    <s v="JAMBA MOSES"/>
    <s v="2002000217"/>
    <s v="CUST"/>
    <n v="772916396"/>
    <n v="706205792"/>
    <s v="Male"/>
    <d v="1986-08-22T00:00:00"/>
    <n v="35.789041095890411"/>
    <s v="Valid Age"/>
    <s v="Married"/>
    <m/>
    <s v="Bodaboda"/>
    <s v="Market Square"/>
    <s v="Godia"/>
    <s v="National ID"/>
    <s v="CM86066102TH8G"/>
    <d v="2021-06-25T00:00:00"/>
    <m/>
    <m/>
    <m/>
    <m/>
    <m/>
  </r>
  <r>
    <x v="217"/>
    <d v="2021-09-08T00:00:00"/>
    <s v="BUSURA OMAR"/>
    <s v="2002000218"/>
    <s v="CUST"/>
    <n v="788611645"/>
    <m/>
    <s v="Male"/>
    <d v="1997-05-04T00:00:00"/>
    <n v="25.082191780821919"/>
    <s v="Valid Age"/>
    <s v="Married"/>
    <m/>
    <s v="Bodaboda"/>
    <s v="Dowunga"/>
    <s v="Dowunga-Dranya"/>
    <s v="National ID"/>
    <s v="CM670661022LGD"/>
    <d v="2021-06-25T00:00:00"/>
    <m/>
    <m/>
    <m/>
    <m/>
    <m/>
  </r>
  <r>
    <x v="218"/>
    <d v="2021-09-09T00:00:00"/>
    <s v="MALIKO JAMILA"/>
    <s v="2002000219"/>
    <s v="CUST"/>
    <n v="771893399"/>
    <m/>
    <s v="Male"/>
    <d v="1990-05-06T00:00:00"/>
    <n v="32.082191780821915"/>
    <s v="Valid Age"/>
    <s v="Married"/>
    <m/>
    <s v="Bussiness Woman"/>
    <s v="Ombachi Market"/>
    <s v="Ombachi Cell"/>
    <s v="National ID"/>
    <s v="CF90066101Q2CE"/>
    <d v="2021-06-21T00:00:00"/>
    <m/>
    <m/>
    <m/>
    <m/>
    <m/>
  </r>
  <r>
    <x v="219"/>
    <d v="2021-09-13T00:00:00"/>
    <s v="DRAGUMA SIRAJI"/>
    <s v="2002000220"/>
    <s v="CUST"/>
    <n v="772703431"/>
    <m/>
    <s v="Male"/>
    <d v="1974-10-25T00:00:00"/>
    <n v="47.62191780821918"/>
    <s v="Valid Age"/>
    <s v="Married"/>
    <m/>
    <s v="Boda boda rider"/>
    <s v="Ombachi Unity Stage"/>
    <s v="Alimakodra"/>
    <s v="National ID"/>
    <s v="CM740531019Q7E"/>
    <m/>
    <m/>
    <m/>
    <m/>
    <m/>
    <m/>
  </r>
  <r>
    <x v="220"/>
    <d v="2021-09-20T00:00:00"/>
    <s v="NAMUDDU MARY"/>
    <s v="2002000221"/>
    <s v="CUST"/>
    <n v="789809419"/>
    <n v="758350157"/>
    <s v="Female"/>
    <d v="1991-03-01T00:00:00"/>
    <n v="31.263013698630136"/>
    <s v="Valid Age"/>
    <s v="Married"/>
    <m/>
    <s v="Bussiness Woman"/>
    <s v="Sinyani-Samuel Baba Road"/>
    <s v="Sinyani"/>
    <s v="National ID"/>
    <s v="CF910361062G3K"/>
    <m/>
    <m/>
    <m/>
    <m/>
    <m/>
    <m/>
  </r>
  <r>
    <x v="221"/>
    <d v="2021-09-21T00:00:00"/>
    <s v="ITITU ZAIDA"/>
    <s v="2002000222"/>
    <s v="CUST"/>
    <n v="789099733"/>
    <m/>
    <s v="Female"/>
    <d v="1991-01-01T00:00:00"/>
    <n v="31.424657534246574"/>
    <s v="Valid Age"/>
    <s v="Married"/>
    <m/>
    <s v="Business woman"/>
    <s v="Yibongo"/>
    <s v="yibongo"/>
    <s v="National ID"/>
    <s v="CF9102901VQCE"/>
    <s v="25-06-2025"/>
    <m/>
    <m/>
    <m/>
    <m/>
    <m/>
  </r>
  <r>
    <x v="222"/>
    <d v="2021-09-22T00:00:00"/>
    <s v="ANYOLE JOEL"/>
    <s v="2002000223"/>
    <s v="CUST"/>
    <n v="776066058"/>
    <m/>
    <s v="Male"/>
    <d v="1991-01-01T00:00:00"/>
    <n v="31.424657534246574"/>
    <s v="Valid Age"/>
    <s v="Married"/>
    <m/>
    <s v="Business Man"/>
    <s v="Korobulu"/>
    <s v="Ginyako"/>
    <s v="National ID"/>
    <s v="CM95066102WGCG"/>
    <s v="25-06-2025"/>
    <m/>
    <m/>
    <m/>
    <m/>
    <m/>
  </r>
  <r>
    <x v="223"/>
    <d v="2021-09-23T00:00:00"/>
    <s v="MALIAMUNGU ROBERT"/>
    <s v="2002000224"/>
    <s v="CUST"/>
    <n v="393238327"/>
    <n v="770775786"/>
    <s v="Male"/>
    <d v="1986-01-13T00:00:00"/>
    <n v="36.394520547945206"/>
    <s v="Valid Age"/>
    <s v="Married"/>
    <m/>
    <s v="Businessman"/>
    <s v="Aluturu"/>
    <s v="Lurujo"/>
    <s v="National ID"/>
    <s v="CM86066103L3DL"/>
    <s v="13-01-2025"/>
    <m/>
    <m/>
    <m/>
    <m/>
    <m/>
  </r>
  <r>
    <x v="224"/>
    <d v="2021-09-24T00:00:00"/>
    <s v="ABUJERE KASIMU"/>
    <s v="2002000225"/>
    <s v="CUST"/>
    <n v="772992891"/>
    <m/>
    <s v="Male"/>
    <d v="1986-01-02T00:00:00"/>
    <n v="36.424657534246577"/>
    <s v="Valid Age"/>
    <s v="Married"/>
    <m/>
    <s v="Businessman"/>
    <s v="Ombaci"/>
    <s v="Ayilenga"/>
    <s v="National ID"/>
    <s v="CM86066101NXEX"/>
    <s v="25-06-2025"/>
    <m/>
    <m/>
    <m/>
    <m/>
    <m/>
  </r>
  <r>
    <x v="225"/>
    <d v="2021-09-25T00:00:00"/>
    <s v="MATURU NEEMA"/>
    <s v="2002000226"/>
    <s v="CUST"/>
    <n v="780900575"/>
    <m/>
    <s v="Female"/>
    <d v="1991-07-24T00:00:00"/>
    <n v="30.865753424657534"/>
    <s v="Valid Age"/>
    <s v="Married"/>
    <m/>
    <s v="Teacher"/>
    <s v="Dranya"/>
    <s v="Dranya"/>
    <s v="National ID"/>
    <s v="CF91077103RKTL"/>
    <s v="25-06-2025"/>
    <m/>
    <m/>
    <m/>
    <m/>
    <m/>
  </r>
  <r>
    <x v="226"/>
    <d v="2021-09-25T00:00:00"/>
    <s v="MUZEE OBEN SAM"/>
    <s v="2002000227"/>
    <s v="CUST"/>
    <n v="773391460"/>
    <m/>
    <s v="Male"/>
    <d v="1986-06-10T00:00:00"/>
    <n v="35.989041095890414"/>
    <s v="Valid Age"/>
    <s v="Married"/>
    <m/>
    <s v="Businessman"/>
    <s v="Koboko"/>
    <s v="Sinyani"/>
    <s v="National ID"/>
    <s v="CM8606610223RVK"/>
    <s v="24-06-2025"/>
    <m/>
    <m/>
    <m/>
    <m/>
    <m/>
  </r>
  <r>
    <x v="227"/>
    <d v="2021-09-25T00:00:00"/>
    <s v="DADA ISAAC"/>
    <s v="2002000228"/>
    <s v="CUST"/>
    <n v="786998088"/>
    <m/>
    <s v="Male"/>
    <d v="1990-09-30T00:00:00"/>
    <n v="31.67945205479452"/>
    <s v="Valid Age"/>
    <s v="Married"/>
    <m/>
    <s v="Tax officer"/>
    <s v="Nyarilo"/>
    <s v="Abelle"/>
    <s v="National ID"/>
    <s v="CM90066101LQRG"/>
    <d v="2031-02-02T00:00:00"/>
    <m/>
    <m/>
    <m/>
    <m/>
    <m/>
  </r>
  <r>
    <x v="228"/>
    <d v="2021-09-28T00:00:00"/>
    <s v="DAWA ANNET"/>
    <s v="2002000229"/>
    <s v="CUST"/>
    <n v="787623404"/>
    <n v="702144058"/>
    <s v="Female"/>
    <d v="1993-08-18T00:00:00"/>
    <n v="28.794520547945204"/>
    <s v="Valid Age"/>
    <s v="Married"/>
    <m/>
    <s v="Sales officer"/>
    <s v="Sinyani"/>
    <s v="Mengo"/>
    <s v="National ID"/>
    <s v="CF9200210DKJF"/>
    <s v="24-06-2025"/>
    <m/>
    <m/>
    <m/>
    <m/>
    <m/>
  </r>
  <r>
    <x v="229"/>
    <d v="2021-09-29T00:00:00"/>
    <s v="ANGAIKA SALFA"/>
    <s v="2002000230"/>
    <s v="CUST"/>
    <n v="760771768"/>
    <m/>
    <s v="Female"/>
    <d v="2000-08-21T00:00:00"/>
    <n v="21.780821917808218"/>
    <s v="Valid Age"/>
    <s v="Single"/>
    <m/>
    <s v="Businesswoman"/>
    <s v="Central Market"/>
    <s v="Lipa Cell"/>
    <s v="National ID"/>
    <s v="CF00066104G11F"/>
    <d v="2031-05-05T00:00:00"/>
    <m/>
    <m/>
    <m/>
    <m/>
    <m/>
  </r>
  <r>
    <x v="230"/>
    <d v="2021-09-29T00:00:00"/>
    <s v="AWILO JONATHAN"/>
    <s v="2002000231"/>
    <s v="CUST"/>
    <n v="773270453"/>
    <m/>
    <s v="Male"/>
    <d v="1998-02-07T00:00:00"/>
    <n v="24.317808219178083"/>
    <s v="Valid Age"/>
    <s v="Married"/>
    <m/>
    <s v="Businessman"/>
    <s v="Boader Market"/>
    <s v="Asunga village"/>
    <s v="National ID"/>
    <s v="CM98066102GFAE"/>
    <d v="2025-06-24T00:00:00"/>
    <m/>
    <m/>
    <m/>
    <m/>
    <m/>
  </r>
  <r>
    <x v="231"/>
    <d v="2021-09-30T00:00:00"/>
    <s v="LEMERIGA GEOFFREY"/>
    <s v="2002000232"/>
    <s v="CUST"/>
    <n v="789807058"/>
    <m/>
    <s v="Male"/>
    <d v="1993-01-08T00:00:00"/>
    <n v="29.402739726027399"/>
    <s v="Valid Age"/>
    <s v="Married"/>
    <m/>
    <s v="Businessman"/>
    <s v="Mindrabe market"/>
    <s v="Mindabe"/>
    <s v="National ID"/>
    <s v="CM93066101M3XK"/>
    <d v="2025-06-24T00:00:00"/>
    <m/>
    <m/>
    <m/>
    <m/>
    <m/>
  </r>
  <r>
    <x v="232"/>
    <d v="2021-09-30T00:00:00"/>
    <s v="KAMOYO HARRIET"/>
    <s v="2002000233"/>
    <s v="CUST"/>
    <n v="783864616"/>
    <m/>
    <s v="Female"/>
    <d v="1988-11-24T00:00:00"/>
    <n v="33.528767123287672"/>
    <s v="Valid Age"/>
    <s v="Married"/>
    <m/>
    <s v="Businesswoman"/>
    <s v="Ombaci market"/>
    <s v="Malenga"/>
    <s v="National ID"/>
    <s v="CF8802910290VL"/>
    <d v="2025-06-24T00:00:00"/>
    <m/>
    <m/>
    <m/>
    <m/>
    <m/>
  </r>
  <r>
    <x v="233"/>
    <d v="2021-09-30T00:00:00"/>
    <s v="SUDI YASIR"/>
    <s v="2002000234"/>
    <s v="CUST"/>
    <n v="772860101"/>
    <m/>
    <s v="Male"/>
    <d v="1988-03-03T00:00:00"/>
    <n v="34.257534246575339"/>
    <s v="Valid Age"/>
    <s v="Married"/>
    <m/>
    <s v="Businessman"/>
    <s v="koboko market"/>
    <s v="Abelle"/>
    <s v="National ID"/>
    <s v="CM88066105XXYA"/>
    <d v="2025-06-24T00:00:00"/>
    <m/>
    <m/>
    <m/>
    <m/>
    <m/>
  </r>
  <r>
    <x v="234"/>
    <d v="2021-10-01T00:00:00"/>
    <s v="AMULE ISAAC"/>
    <s v="2002000235"/>
    <s v="CUST"/>
    <n v="772868218"/>
    <m/>
    <s v="Male"/>
    <d v="1975-02-23T00:00:00"/>
    <n v="47.290410958904111"/>
    <s v="Valid Age"/>
    <s v="Married"/>
    <m/>
    <s v="Community worker"/>
    <s v="ACAV"/>
    <s v="Gbulagbulanga Village"/>
    <s v="National ID"/>
    <s v="CM750661003QVG"/>
    <d v="2025-06-24T00:00:00"/>
    <m/>
    <m/>
    <m/>
    <m/>
    <m/>
  </r>
  <r>
    <x v="235"/>
    <d v="2021-10-01T00:00:00"/>
    <s v="AMIJI LUCY"/>
    <s v="2002000236"/>
    <s v="CUST"/>
    <n v="775799832"/>
    <m/>
    <s v="Female"/>
    <d v="1964-05-20T00:00:00"/>
    <n v="58.060273972602737"/>
    <s v="Over Age"/>
    <s v="Married"/>
    <m/>
    <s v="Businesswoman"/>
    <s v="Sinyani"/>
    <s v="Sinyani Village"/>
    <s v="National ID"/>
    <s v="CF64066100Y7RD"/>
    <d v="2025-06-24T00:00:00"/>
    <m/>
    <m/>
    <m/>
    <m/>
    <m/>
  </r>
  <r>
    <x v="236"/>
    <d v="2021-10-01T00:00:00"/>
    <s v="EZRA INNOCENT"/>
    <s v="2002000237"/>
    <s v="CUST"/>
    <n v="781184342"/>
    <m/>
    <s v="Male"/>
    <d v="1997-10-20T00:00:00"/>
    <n v="24.61917808219178"/>
    <s v="Valid Age"/>
    <s v="Single"/>
    <m/>
    <s v="Businessman"/>
    <s v="Central Market"/>
    <s v="Lipa cell"/>
    <s v="National ID"/>
    <s v="CM9706610199 TG"/>
    <d v="2025-06-24T00:00:00"/>
    <m/>
    <m/>
    <m/>
    <m/>
    <m/>
  </r>
  <r>
    <x v="237"/>
    <d v="2021-10-02T00:00:00"/>
    <s v="ANGAIKA SAID"/>
    <s v="2002000238"/>
    <s v="CUST"/>
    <n v="786195809"/>
    <m/>
    <s v="Female"/>
    <d v="1984-06-05T00:00:00"/>
    <n v="38.0027397260274"/>
    <s v="Valid Age"/>
    <s v="Married"/>
    <m/>
    <s v="Businesswoman"/>
    <s v="Ombaci market"/>
    <s v="Yibongo"/>
    <s v="National ID"/>
    <s v="CF840661028WJL"/>
    <d v="2025-06-24T00:00:00"/>
    <m/>
    <m/>
    <m/>
    <m/>
    <m/>
  </r>
  <r>
    <x v="238"/>
    <d v="2021-10-05T00:00:00"/>
    <s v="HABIBU ABOYI ALLI"/>
    <s v="2002000239"/>
    <s v="CUST"/>
    <n v="773890322"/>
    <m/>
    <s v="Male"/>
    <d v="1980-08-01T00:00:00"/>
    <n v="41.849315068493148"/>
    <s v="Valid Age"/>
    <s v="Married"/>
    <m/>
    <s v="Businessman"/>
    <s v="Koboko"/>
    <s v="Ponyura"/>
    <s v="National ID"/>
    <s v="CM8006610357VL"/>
    <d v="2025-09-10T00:00:00"/>
    <m/>
    <m/>
    <m/>
    <m/>
    <m/>
  </r>
  <r>
    <x v="239"/>
    <d v="2021-10-07T00:00:00"/>
    <s v="AYIKORU WINNIE"/>
    <s v="2002000240"/>
    <s v="CUST"/>
    <n v="776674441"/>
    <m/>
    <s v="Female"/>
    <d v="1990-11-03T00:00:00"/>
    <n v="31.586301369863012"/>
    <s v="Valid Age"/>
    <s v="Married"/>
    <m/>
    <s v="Businesswoman"/>
    <s v="Sinyani"/>
    <s v="Mengo"/>
    <s v="National ID"/>
    <s v="CF9007710074KL"/>
    <d v="2025-06-24T00:00:00"/>
    <m/>
    <m/>
    <m/>
    <m/>
    <m/>
  </r>
  <r>
    <x v="240"/>
    <d v="2021-10-07T00:00:00"/>
    <s v="SIRIKA FARIDA"/>
    <s v="2002000241"/>
    <s v="CUST"/>
    <n v="774538474"/>
    <m/>
    <s v="Female"/>
    <d v="1986-06-02T00:00:00"/>
    <n v="36.010958904109586"/>
    <s v="Valid Age"/>
    <s v="Married"/>
    <m/>
    <s v="Businesswoman"/>
    <s v="Abele"/>
    <s v="Abelle"/>
    <s v="National ID"/>
    <s v="CF86053102L6PH"/>
    <d v="2025-06-24T00:00:00"/>
    <m/>
    <m/>
    <m/>
    <m/>
    <m/>
  </r>
  <r>
    <x v="241"/>
    <d v="2021-10-07T00:00:00"/>
    <s v="BAKOKO FLAVIA"/>
    <s v="2002000242"/>
    <s v="CUST"/>
    <n v="779770148"/>
    <m/>
    <s v="Female"/>
    <d v="1987-11-26T00:00:00"/>
    <n v="34.526027397260272"/>
    <s v="Valid Age"/>
    <s v="Married"/>
    <m/>
    <s v="Businesswoman"/>
    <s v="Yumbe Town"/>
    <s v="China"/>
    <s v="Voters Slip"/>
    <s v="CF8700210CEUCE"/>
    <d v="2025-06-24T00:00:00"/>
    <m/>
    <m/>
    <m/>
    <m/>
    <m/>
  </r>
  <r>
    <x v="242"/>
    <d v="2021-10-11T00:00:00"/>
    <s v="AMANIYO FARIDA"/>
    <s v="2002000243"/>
    <s v="CUST"/>
    <n v="785387804"/>
    <m/>
    <s v="Female"/>
    <d v="1987-11-26T00:00:00"/>
    <n v="34.526027397260272"/>
    <s v="Valid Age"/>
    <s v="Single"/>
    <m/>
    <s v="Businesswoman"/>
    <s v="Yibongo Cell"/>
    <s v="Ombaci "/>
    <s v="National ID"/>
    <s v="CF94002101MLGL"/>
    <d v="2024-11-20T00:00:00"/>
    <m/>
    <m/>
    <m/>
    <m/>
    <m/>
  </r>
  <r>
    <x v="243"/>
    <d v="2021-10-11T00:00:00"/>
    <s v="GISMA HAMID ALI"/>
    <s v="2002000244"/>
    <s v="CUST"/>
    <m/>
    <m/>
    <s v="Female"/>
    <d v="1994-08-19T00:00:00"/>
    <n v="27.791780821917808"/>
    <s v="Valid Age"/>
    <s v="Single"/>
    <m/>
    <s v="Businesswoman"/>
    <s v="Yibongo cell"/>
    <s v="Ombaci"/>
    <s v="National ID"/>
    <s v="CF94025100CH4J"/>
    <d v="2025-02-13T00:00:00"/>
    <m/>
    <m/>
    <m/>
    <m/>
    <m/>
  </r>
  <r>
    <x v="244"/>
    <d v="2021-10-11T00:00:00"/>
    <s v="ONJIMA BASHIR"/>
    <s v="2002000245"/>
    <s v="CUST"/>
    <n v="774527157"/>
    <n v="701151057"/>
    <s v="Male"/>
    <d v="1984-05-01T00:00:00"/>
    <n v="37.471232876712328"/>
    <s v="Valid Age"/>
    <s v="Single"/>
    <m/>
    <s v="Community worker"/>
    <s v="ACAV"/>
    <s v="Dikasinga"/>
    <s v="National ID"/>
    <s v="CM840921016HAF"/>
    <d v="2024-12-02T00:00:00"/>
    <m/>
    <m/>
    <m/>
    <m/>
    <m/>
  </r>
  <r>
    <x v="245"/>
    <d v="2021-10-11T00:00:00"/>
    <s v="ALOMO ZAIDA"/>
    <s v="2002000246"/>
    <s v="CUST"/>
    <n v="773062611"/>
    <m/>
    <s v="Female"/>
    <d v="1976-05-20T00:00:00"/>
    <n v="46.052054794520551"/>
    <s v="Valid Age"/>
    <s v="Widow"/>
    <m/>
    <s v="Businesswoman"/>
    <s v="Arumaji"/>
    <s v="Mengo"/>
    <s v="National ID"/>
    <s v="CF76066102G77J"/>
    <d v="2025-06-24T00:00:00"/>
    <m/>
    <m/>
    <m/>
    <m/>
    <m/>
  </r>
  <r>
    <x v="246"/>
    <d v="2021-10-12T00:00:00"/>
    <s v="CHANDIRU SCHOLAR"/>
    <s v="2002000247"/>
    <s v="CUST"/>
    <n v="782591876"/>
    <m/>
    <s v="Female"/>
    <d v="1998-01-18T00:00:00"/>
    <n v="24.372602739726027"/>
    <s v="Valid Age"/>
    <s v="Married"/>
    <m/>
    <s v="Businesswoman"/>
    <s v="Market Square"/>
    <s v="Teremunga"/>
    <s v="National ID"/>
    <s v="CF980661037HPL"/>
    <d v="2031-05-27T00:00:00"/>
    <m/>
    <m/>
    <m/>
    <m/>
    <m/>
  </r>
  <r>
    <x v="247"/>
    <d v="2021-10-12T00:00:00"/>
    <s v="LETARU GLORIA"/>
    <s v="2002000248"/>
    <s v="CUST"/>
    <n v="779393121"/>
    <n v="786039771"/>
    <s v="Female"/>
    <d v="1987-01-10T00:00:00"/>
    <n v="35.402739726027399"/>
    <s v="Valid Age"/>
    <s v="Married"/>
    <m/>
    <s v="Civil Servant"/>
    <s v="gbukutu"/>
    <s v="macedonia"/>
    <s v="National ID"/>
    <s v="CF87002107QTCE"/>
    <d v="2025-07-08T00:00:00"/>
    <m/>
    <m/>
    <m/>
    <m/>
    <m/>
  </r>
  <r>
    <x v="248"/>
    <d v="2021-10-13T00:00:00"/>
    <s v="ATIKU SIRAJI"/>
    <s v="2002000249"/>
    <s v="CUST"/>
    <n v="788849666"/>
    <m/>
    <s v="Male"/>
    <d v="1982-06-24T00:00:00"/>
    <n v="39.953424657534249"/>
    <s v="Valid Age"/>
    <s v="Married"/>
    <m/>
    <s v="Businessman"/>
    <s v="Central Market"/>
    <s v="Lurujo"/>
    <s v="National ID"/>
    <s v="CM82066102CRCF"/>
    <d v="2025-06-24T00:00:00"/>
    <m/>
    <m/>
    <m/>
    <m/>
    <m/>
  </r>
  <r>
    <x v="249"/>
    <d v="2021-10-13T00:00:00"/>
    <s v="SAKAYA AMINA"/>
    <s v="2002000250"/>
    <s v="CUST"/>
    <n v="777160954"/>
    <m/>
    <s v="Female"/>
    <d v="1985-07-08T00:00:00"/>
    <n v="36.912328767123284"/>
    <s v="Valid Age"/>
    <s v="Married"/>
    <m/>
    <s v="Businesswoman"/>
    <s v="gborokolongo"/>
    <s v="Lurunu"/>
    <s v="National ID"/>
    <s v="CF85066101GAMD"/>
    <m/>
    <m/>
    <m/>
    <m/>
    <m/>
    <m/>
  </r>
  <r>
    <x v="250"/>
    <d v="2021-10-13T00:00:00"/>
    <s v="SIDA ZAINABU"/>
    <s v="2002000251"/>
    <s v="CUST"/>
    <n v="776679938"/>
    <m/>
    <s v="Female"/>
    <d v="1991-01-01T00:00:00"/>
    <n v="31.424657534246574"/>
    <s v="Valid Age"/>
    <s v="Married"/>
    <m/>
    <s v="Businesswoman"/>
    <s v="Lurunu"/>
    <s v="Lurunu"/>
    <s v="National ID"/>
    <s v="CF91066101UZUK"/>
    <d v="2025-06-25T00:00:00"/>
    <m/>
    <m/>
    <m/>
    <m/>
    <m/>
  </r>
  <r>
    <x v="251"/>
    <d v="2021-10-13T00:00:00"/>
    <s v="ANGUCIA JESCA"/>
    <s v="2002000252"/>
    <s v="CUST"/>
    <n v="773109286"/>
    <m/>
    <s v="Female"/>
    <d v="1990-01-03T00:00:00"/>
    <n v="32.419178082191777"/>
    <s v="Valid Age"/>
    <s v="Married"/>
    <m/>
    <s v="Businesswoman"/>
    <s v="Dengbelenga"/>
    <s v="Malenga"/>
    <s v="National ID"/>
    <s v="CF906610319WH"/>
    <d v="2025-07-05T00:00:00"/>
    <m/>
    <m/>
    <m/>
    <m/>
    <m/>
  </r>
  <r>
    <x v="252"/>
    <d v="2021-10-14T00:00:00"/>
    <s v="JAKUMA VINCENT"/>
    <s v="2002000253"/>
    <s v="CUST"/>
    <n v="774290044"/>
    <m/>
    <s v="Male"/>
    <d v="1988-04-13T00:00:00"/>
    <n v="34.145205479452052"/>
    <s v="Valid Age"/>
    <s v="Married"/>
    <m/>
    <s v="Civil Servant"/>
    <s v="Lipa"/>
    <s v="Lipa"/>
    <s v="National ID"/>
    <s v="CM88033102NP6C"/>
    <d v="2025-01-10T00:00:00"/>
    <m/>
    <m/>
    <m/>
    <m/>
    <m/>
  </r>
  <r>
    <x v="253"/>
    <d v="2021-10-14T00:00:00"/>
    <s v="ANITE AGNES"/>
    <s v="2002000254"/>
    <s v="CUST"/>
    <n v="784405332"/>
    <m/>
    <s v="Female"/>
    <d v="1990-08-20T00:00:00"/>
    <n v="31.791780821917808"/>
    <s v="Valid Age"/>
    <s v="Married"/>
    <m/>
    <s v="Businesswoman"/>
    <s v="Abele market"/>
    <s v="Abele cell"/>
    <s v="National ID"/>
    <s v="CF90066106ZXFF"/>
    <d v="2030-03-18T00:00:00"/>
    <m/>
    <m/>
    <m/>
    <m/>
    <m/>
  </r>
  <r>
    <x v="254"/>
    <d v="2021-10-15T00:00:00"/>
    <s v="YOBUTA JOHN"/>
    <s v="2002000255"/>
    <s v="CUST"/>
    <n v="782448863"/>
    <m/>
    <s v="Male"/>
    <d v="1965-12-28T00:00:00"/>
    <n v="56.452054794520549"/>
    <s v="Over Age"/>
    <s v="Married"/>
    <m/>
    <s v="Businessman"/>
    <s v="Drimu Cell"/>
    <s v="Isoko"/>
    <s v="National ID"/>
    <s v="CM65066100WLPF"/>
    <d v="2024-11-30T00:00:00"/>
    <m/>
    <m/>
    <m/>
    <m/>
    <m/>
  </r>
  <r>
    <x v="255"/>
    <d v="2021-10-15T00:00:00"/>
    <s v="MUNDUGA SONGA"/>
    <s v="2002000256"/>
    <s v="CUST"/>
    <n v="783570901"/>
    <m/>
    <s v="Male"/>
    <d v="1991-10-10T00:00:00"/>
    <n v="30.652054794520549"/>
    <s v="Valid Age"/>
    <s v="Married"/>
    <m/>
    <s v="Businessman"/>
    <s v="Ombaci cell"/>
    <s v="Ombaci"/>
    <s v="National ID"/>
    <s v="CM91066102HNNH"/>
    <d v="2025-06-24T00:00:00"/>
    <m/>
    <m/>
    <m/>
    <m/>
    <m/>
  </r>
  <r>
    <x v="256"/>
    <d v="2021-10-15T00:00:00"/>
    <s v="CHANDIGA CYRUS"/>
    <s v="2002000257"/>
    <s v="CUST"/>
    <n v="785691539"/>
    <m/>
    <s v="Male"/>
    <d v="1992-11-20T00:00:00"/>
    <n v="29.536986301369861"/>
    <s v="Valid Age"/>
    <s v="Single"/>
    <m/>
    <s v="Businessman"/>
    <s v="Sinyani"/>
    <s v="Gbulagbulanga Village"/>
    <s v="National ID"/>
    <s v="CM92066101GVZG"/>
    <d v="1992-10-20T00:00:00"/>
    <m/>
    <m/>
    <m/>
    <m/>
    <m/>
  </r>
  <r>
    <x v="257"/>
    <d v="2021-10-16T00:00:00"/>
    <s v="KOLETA  JESCA"/>
    <s v="2002000258"/>
    <s v="CUST"/>
    <n v="782234007"/>
    <m/>
    <s v="Female"/>
    <d v="1990-06-26T00:00:00"/>
    <n v="31.942465753424656"/>
    <s v="Valid Age"/>
    <s v="Married"/>
    <m/>
    <s v="Businesswoman"/>
    <s v="Ombaci market"/>
    <s v="Ibongo cell"/>
    <s v="National ID"/>
    <s v="CF90066100XE1L"/>
    <d v="2025-06-24T00:00:00"/>
    <m/>
    <m/>
    <m/>
    <m/>
    <m/>
  </r>
  <r>
    <x v="258"/>
    <d v="2021-10-18T00:00:00"/>
    <s v="SALAMA GIFT"/>
    <s v="2002000259"/>
    <s v="CUST"/>
    <n v="785380303"/>
    <m/>
    <s v="Female"/>
    <d v="1998-12-18T00:00:00"/>
    <n v="23.457534246575342"/>
    <s v="Valid Age"/>
    <s v="Married"/>
    <m/>
    <s v="Businesswoman"/>
    <s v="Abele market"/>
    <s v="Repenga village"/>
    <s v="National ID"/>
    <s v="CF830531013J5J"/>
    <d v="2025-06-25T00:00:00"/>
    <m/>
    <m/>
    <m/>
    <m/>
    <m/>
  </r>
  <r>
    <x v="259"/>
    <d v="2021-10-18T00:00:00"/>
    <s v="ATAYI GRACE"/>
    <s v="2002000260"/>
    <s v="CUST"/>
    <n v="786377314"/>
    <m/>
    <s v="Female"/>
    <d v="1976-05-10T00:00:00"/>
    <n v="46.079452054794523"/>
    <s v="Valid Age"/>
    <s v="Single"/>
    <m/>
    <s v="Businesswoman"/>
    <s v="Central Market"/>
    <s v="Mondukudu Cell"/>
    <s v="National ID"/>
    <s v="CF7606610266EG"/>
    <d v="2025-06-24T00:00:00"/>
    <m/>
    <m/>
    <m/>
    <m/>
    <m/>
  </r>
  <r>
    <x v="260"/>
    <d v="2021-10-19T00:00:00"/>
    <s v="AMANIYO STELLA"/>
    <s v="2002000261"/>
    <s v="CUST"/>
    <n v="774174461"/>
    <m/>
    <s v="Female"/>
    <d v="1994-11-08T00:00:00"/>
    <n v="27.56986301369863"/>
    <s v="Valid Age"/>
    <s v="Married"/>
    <m/>
    <s v="Businesswoman"/>
    <s v="Dengbelenga"/>
    <s v="Gbulagbulanga"/>
    <s v="National ID"/>
    <s v="CM84077100XYLG"/>
    <d v="2025-06-24T00:00:00"/>
    <m/>
    <m/>
    <m/>
    <m/>
    <m/>
  </r>
  <r>
    <x v="261"/>
    <d v="2021-10-19T00:00:00"/>
    <s v="ALONE ZAITUN"/>
    <s v="2002000262"/>
    <s v="CUST"/>
    <n v="774174461"/>
    <m/>
    <s v="Female"/>
    <d v="1994-11-08T00:00:00"/>
    <n v="27.56986301369863"/>
    <s v="Valid Age"/>
    <s v="Married"/>
    <m/>
    <s v="Businesswoman"/>
    <s v="Dengbelenga"/>
    <s v="Gbulagbulanga"/>
    <s v="National ID"/>
    <s v="CF86066100THGT"/>
    <d v="2025-06-24T00:00:00"/>
    <m/>
    <m/>
    <m/>
    <m/>
    <m/>
  </r>
  <r>
    <x v="262"/>
    <d v="2021-10-19T00:00:00"/>
    <s v="DATA SAFI DUIKI"/>
    <s v="2002000263"/>
    <s v="CUST"/>
    <n v="775540565"/>
    <m/>
    <s v="Male"/>
    <d v="1996-04-04T00:00:00"/>
    <n v="26.164383561643834"/>
    <s v="Valid Age"/>
    <s v="Married"/>
    <m/>
    <s v="Businessman"/>
    <s v="Ombaci market"/>
    <s v="Mijale"/>
    <s v="National ID"/>
    <s v="CM96066100P0LF"/>
    <d v="2025-06-25T00:00:00"/>
    <m/>
    <m/>
    <m/>
    <m/>
    <m/>
  </r>
  <r>
    <x v="263"/>
    <d v="2021-10-19T00:00:00"/>
    <s v="AMORI JOHN BAPTIST"/>
    <s v="2002000264"/>
    <s v="CUST"/>
    <n v="753073638"/>
    <n v="774208661"/>
    <s v="Male"/>
    <d v="1952-01-31T00:00:00"/>
    <n v="70.369863013698634"/>
    <s v="Over Age"/>
    <s v="Married"/>
    <m/>
    <s v="Businessman"/>
    <s v="Market Square"/>
    <s v="Teremunga"/>
    <s v="National ID"/>
    <s v="CM520661039FAE"/>
    <d v="2025-06-24T00:00:00"/>
    <m/>
    <m/>
    <m/>
    <m/>
    <m/>
  </r>
  <r>
    <x v="264"/>
    <d v="2021-10-20T00:00:00"/>
    <s v="OCATRE CHARLES"/>
    <s v="2002000265"/>
    <s v="CUST"/>
    <n v="773072425"/>
    <n v="754656805"/>
    <s v="Male"/>
    <d v="1964-02-05T00:00:00"/>
    <n v="58.347945205479455"/>
    <s v="Over Age"/>
    <s v="Married"/>
    <m/>
    <s v="Community worker"/>
    <s v="Alimakodra cell"/>
    <s v="Abelle cell"/>
    <s v="National ID"/>
    <s v="CM64077104131F"/>
    <d v="2025-06-24T00:00:00"/>
    <m/>
    <m/>
    <m/>
    <m/>
    <m/>
  </r>
  <r>
    <x v="265"/>
    <d v="2021-10-20T00:00:00"/>
    <s v="TAIBO AMANA"/>
    <s v="2002000266"/>
    <s v="CUST"/>
    <n v="760987140"/>
    <m/>
    <s v="Female"/>
    <d v="1998-03-12T00:00:00"/>
    <n v="24.227397260273971"/>
    <s v="Valid Age"/>
    <s v="Married"/>
    <m/>
    <s v="Businesswoman"/>
    <s v="Ombaci market"/>
    <s v="Anyupira"/>
    <s v="National ID"/>
    <s v="CF83066100W2AJ"/>
    <d v="2024-11-20T00:00:00"/>
    <m/>
    <m/>
    <m/>
    <m/>
    <m/>
  </r>
  <r>
    <x v="266"/>
    <d v="2021-10-21T00:00:00"/>
    <s v="KAMUSIRI JULIUS"/>
    <s v="2002000267"/>
    <s v="CUST"/>
    <n v="787269720"/>
    <m/>
    <s v="Male"/>
    <d v="1998-08-23T00:00:00"/>
    <n v="23.778082191780822"/>
    <s v="Valid Age"/>
    <s v="Single"/>
    <m/>
    <s v="Businessman"/>
    <s v="Samuel Baba road"/>
    <s v="samuel baba road"/>
    <s v="National ID"/>
    <s v="CM961021013CZF"/>
    <d v="2025-06-23T00:00:00"/>
    <m/>
    <m/>
    <m/>
    <m/>
    <m/>
  </r>
  <r>
    <x v="267"/>
    <d v="2021-10-25T00:00:00"/>
    <s v="BATRE SAVIOUR"/>
    <s v="2002000268"/>
    <s v="CUST"/>
    <n v="776567911"/>
    <m/>
    <s v="Male"/>
    <d v="1998-11-10T00:00:00"/>
    <n v="23.561643835616437"/>
    <s v="Valid Age"/>
    <s v="Single"/>
    <m/>
    <s v="Businessman"/>
    <s v="Ombaci market"/>
    <s v="Ombaci ward"/>
    <s v="National ID"/>
    <s v="CM93077104GEJD"/>
    <d v="2025-07-05T00:00:00"/>
    <m/>
    <m/>
    <m/>
    <m/>
    <m/>
  </r>
  <r>
    <x v="268"/>
    <d v="2021-10-25T00:00:00"/>
    <s v="YANYA ROBINA"/>
    <s v="2002000269"/>
    <s v="CUST"/>
    <n v="775078599"/>
    <m/>
    <s v="Female"/>
    <d v="1981-11-10T00:00:00"/>
    <n v="40.57260273972603"/>
    <s v="Valid Age"/>
    <s v="Single"/>
    <m/>
    <s v="Civil Servant"/>
    <s v="Leiko P/S"/>
    <s v="Yibongo"/>
    <s v="National ID"/>
    <s v="CF810661017XLE"/>
    <d v="2024-11-18T00:00:00"/>
    <m/>
    <m/>
    <m/>
    <m/>
    <m/>
  </r>
  <r>
    <x v="269"/>
    <d v="2021-10-26T00:00:00"/>
    <s v="AJOBE SAMUEL"/>
    <s v="2002000270"/>
    <s v="CUST"/>
    <n v="772199466"/>
    <m/>
    <s v="Male"/>
    <d v="1980-04-25T00:00:00"/>
    <n v="42.11780821917808"/>
    <s v="Valid Age"/>
    <s v="Married"/>
    <m/>
    <s v="Businessman"/>
    <s v="Yumbe Town"/>
    <s v="Orebe"/>
    <s v="National ID"/>
    <s v="CM80053103382L"/>
    <d v="2025-07-07T00:00:00"/>
    <m/>
    <m/>
    <m/>
    <m/>
    <m/>
  </r>
  <r>
    <x v="270"/>
    <d v="2021-10-28T00:00:00"/>
    <s v="ALORO SAIDI"/>
    <s v="2002000271"/>
    <s v="CUST"/>
    <n v="760576951"/>
    <m/>
    <s v="Male"/>
    <d v="1984-03-09T00:00:00"/>
    <n v="38.243835616438353"/>
    <s v="Valid Age"/>
    <s v="Married"/>
    <m/>
    <s v="Businessman"/>
    <s v="Central Market"/>
    <s v="Paladu"/>
    <s v="National ID"/>
    <s v="CM84066102FMQA"/>
    <d v="2025-06-24T00:00:00"/>
    <m/>
    <m/>
    <m/>
    <m/>
    <m/>
  </r>
  <r>
    <x v="271"/>
    <d v="2021-10-29T00:00:00"/>
    <s v="AFEKU EMMANUEL"/>
    <s v="2002000272"/>
    <s v="CUST"/>
    <n v="778783788"/>
    <m/>
    <s v="Male"/>
    <d v="1980-05-01T00:00:00"/>
    <n v="42.101369863013701"/>
    <s v="Valid Age"/>
    <s v="Married"/>
    <m/>
    <s v="Businessman"/>
    <s v="maracha"/>
    <s v="mario"/>
    <s v="National ID"/>
    <s v="CM800771016CAF"/>
    <d v="2025-11-09T00:00:00"/>
    <m/>
    <m/>
    <m/>
    <m/>
    <m/>
  </r>
  <r>
    <x v="272"/>
    <d v="2021-11-01T00:00:00"/>
    <s v="TABAN PETER"/>
    <s v="2002000273"/>
    <s v="CUST"/>
    <n v="782222881"/>
    <m/>
    <s v="Male"/>
    <d v="1993-02-14T00:00:00"/>
    <n v="29.301369863013697"/>
    <s v="Valid Age"/>
    <s v="Married"/>
    <m/>
    <s v="Civil Servant"/>
    <s v="Nyeluwa"/>
    <s v="Nyeluwa"/>
    <s v="National ID"/>
    <s v="CM93066101VVDE"/>
    <d v="2025-06-24T00:00:00"/>
    <m/>
    <m/>
    <m/>
    <m/>
    <m/>
  </r>
  <r>
    <x v="273"/>
    <d v="2021-11-02T00:00:00"/>
    <s v="APANGU MUZAMIL"/>
    <s v="2002000274"/>
    <s v="CUST"/>
    <n v="392419577"/>
    <m/>
    <s v="Male"/>
    <d v="1974-03-03T00:00:00"/>
    <n v="48.268493150684932"/>
    <s v="Valid Age"/>
    <s v="Married"/>
    <m/>
    <s v="Civil Servant"/>
    <s v="Ombaci"/>
    <s v="Ombaci"/>
    <s v="National ID"/>
    <s v="CM740661006WHG"/>
    <d v="2025-06-25T00:00:00"/>
    <m/>
    <m/>
    <m/>
    <m/>
    <m/>
  </r>
  <r>
    <x v="274"/>
    <d v="2021-11-03T00:00:00"/>
    <s v="AMILE RUKIA"/>
    <s v="2002000275"/>
    <s v="CUST"/>
    <n v="780093288"/>
    <m/>
    <s v="Female"/>
    <d v="1984-09-19T00:00:00"/>
    <n v="37.712328767123289"/>
    <s v="Valid Age"/>
    <s v="Married"/>
    <m/>
    <s v="Businesswoman"/>
    <s v="Abele"/>
    <s v="Abele cell"/>
    <s v="National ID"/>
    <s v="CF840661033R3F"/>
    <d v="2025-06-24T00:00:00"/>
    <m/>
    <m/>
    <m/>
    <m/>
    <m/>
  </r>
  <r>
    <x v="275"/>
    <d v="2021-11-03T00:00:00"/>
    <s v="MANDELA SWAIBU"/>
    <s v="2002000276"/>
    <s v="CUST"/>
    <n v="771069516"/>
    <m/>
    <s v="Male"/>
    <d v="1982-07-11T00:00:00"/>
    <n v="39.906849315068492"/>
    <s v="Valid Age"/>
    <s v="Married"/>
    <m/>
    <s v="Boda boda Ridder"/>
    <s v="Koboko Hospital Corner"/>
    <s v="Abele cell"/>
    <s v="National ID"/>
    <s v="CM8206610081TC"/>
    <d v="2024-09-25T00:00:00"/>
    <m/>
    <m/>
    <m/>
    <m/>
    <m/>
  </r>
  <r>
    <x v="276"/>
    <d v="2021-11-03T00:00:00"/>
    <s v="WAYI DAVID"/>
    <s v="2002000277"/>
    <s v="CUST"/>
    <n v="772034905"/>
    <m/>
    <s v="Male"/>
    <d v="1988-06-06T00:00:00"/>
    <n v="33.9972602739726"/>
    <s v="Valid Age"/>
    <s v="Married"/>
    <m/>
    <s v="Social worker"/>
    <s v="koboko Municipality"/>
    <s v="Aringa village"/>
    <s v="National ID"/>
    <s v="CM88066102E1EA"/>
    <d v="2025-06-24T00:00:00"/>
    <m/>
    <m/>
    <m/>
    <m/>
    <m/>
  </r>
  <r>
    <x v="277"/>
    <d v="2021-11-03T00:00:00"/>
    <s v="AATE SUZAN"/>
    <s v="2002000278"/>
    <s v="CUST"/>
    <n v="782581659"/>
    <m/>
    <s v="Female"/>
    <d v="1997-01-01T00:00:00"/>
    <n v="25.419178082191781"/>
    <s v="Valid Age"/>
    <s v="Married"/>
    <m/>
    <s v="Businesswoman"/>
    <s v="Panyamuru"/>
    <s v="Sinyani"/>
    <s v="National ID"/>
    <s v="CF97066102FD4K"/>
    <d v="2025-06-24T00:00:00"/>
    <m/>
    <m/>
    <m/>
    <m/>
    <m/>
  </r>
  <r>
    <x v="278"/>
    <d v="2021-11-04T00:00:00"/>
    <s v="CHANDIGA PETER"/>
    <s v="2002000279"/>
    <s v="CUST"/>
    <n v="787426389"/>
    <m/>
    <s v="Male"/>
    <d v="1982-07-11T00:00:00"/>
    <n v="39.906849315068492"/>
    <s v="Valid Age"/>
    <s v="Married"/>
    <m/>
    <s v="Businessman"/>
    <s v="Alenga Village"/>
    <s v="Nyangilia"/>
    <s v="National ID"/>
    <s v="CM820661021NH"/>
    <d v="2025-06-25T00:00:00"/>
    <m/>
    <m/>
    <m/>
    <m/>
    <m/>
  </r>
  <r>
    <x v="279"/>
    <d v="2021-11-04T00:00:00"/>
    <s v="ANYULE JAMALI"/>
    <s v="2002000280"/>
    <s v="CUST"/>
    <n v="779741776"/>
    <m/>
    <s v="Male"/>
    <d v="1998-03-01T00:00:00"/>
    <n v="24.257534246575343"/>
    <s v="Valid Age"/>
    <s v="Married"/>
    <m/>
    <s v="Businessman"/>
    <s v="Ujipaku"/>
    <s v="Ludara"/>
    <s v="National ID"/>
    <s v="CM9806610132PPL"/>
    <d v="2025-06-26T00:00:00"/>
    <m/>
    <m/>
    <m/>
    <m/>
    <m/>
  </r>
  <r>
    <x v="280"/>
    <d v="2021-11-15T00:00:00"/>
    <s v="BAKO ZUBEDA"/>
    <s v="2002000281"/>
    <s v="CUST"/>
    <n v="776050975"/>
    <m/>
    <s v="Female"/>
    <d v="1978-03-08T00:00:00"/>
    <n v="44.252054794520546"/>
    <s v="Valid Age"/>
    <s v="Married"/>
    <m/>
    <s v="Tailor"/>
    <s v="Mobile (with Koboko Muncipal)"/>
    <s v="Lombe"/>
    <s v="National ID"/>
    <s v="CF780661035K1H"/>
    <d v="2025-06-24T00:00:00"/>
    <m/>
    <m/>
    <m/>
    <m/>
    <m/>
  </r>
  <r>
    <x v="281"/>
    <d v="2021-11-16T00:00:00"/>
    <s v="TAYI MODESTO"/>
    <s v="2002000282"/>
    <s v="CUST"/>
    <n v="772440646"/>
    <m/>
    <s v="Male"/>
    <d v="1968-03-11T00:00:00"/>
    <n v="54.249315068493154"/>
    <s v="Valid Age"/>
    <s v="Married"/>
    <m/>
    <s v="Businesswoman"/>
    <s v="Triangle  village"/>
    <s v="Triangle"/>
    <s v="National ID"/>
    <s v="CM56066610213JC"/>
    <d v="2025-06-24T00:00:00"/>
    <m/>
    <m/>
    <m/>
    <m/>
    <m/>
  </r>
  <r>
    <x v="282"/>
    <d v="2021-11-18T00:00:00"/>
    <s v="ASIKI ALEX"/>
    <s v="2002000283"/>
    <s v="CUST"/>
    <n v="788536474"/>
    <m/>
    <s v="Male"/>
    <d v="1997-06-16T00:00:00"/>
    <n v="24.964383561643835"/>
    <s v="Valid Age"/>
    <s v="Single"/>
    <m/>
    <s v="Businessman"/>
    <s v="Abelle"/>
    <s v="Abelle"/>
    <s v="National ID"/>
    <s v="CM97066100RR4G"/>
    <d v="2024-11-09T00:00:00"/>
    <m/>
    <m/>
    <m/>
    <m/>
    <m/>
  </r>
  <r>
    <x v="283"/>
    <d v="2021-11-18T00:00:00"/>
    <s v="MALISH WAWASON"/>
    <s v="2002000284"/>
    <s v="CUST"/>
    <n v="780381553"/>
    <m/>
    <s v="Male"/>
    <d v="1986-06-14T00:00:00"/>
    <n v="35.978082191780821"/>
    <s v="Valid Age"/>
    <s v="Married"/>
    <m/>
    <s v="Civil Servant"/>
    <s v="koboko Municipality"/>
    <s v="Koboko municipal"/>
    <s v="National ID"/>
    <s v="CM866101XWWE"/>
    <d v="2025-06-24T00:00:00"/>
    <m/>
    <m/>
    <m/>
    <m/>
    <m/>
  </r>
  <r>
    <x v="284"/>
    <d v="2021-11-22T00:00:00"/>
    <s v="REMO MUSA AMIN"/>
    <s v="2002000285"/>
    <s v="CUST"/>
    <n v="789002514"/>
    <m/>
    <s v="Male"/>
    <d v="1986-05-03T00:00:00"/>
    <n v="36.093150684931508"/>
    <s v="Valid Age"/>
    <s v="Married"/>
    <m/>
    <s v="Businessman"/>
    <s v="mijale"/>
    <s v="mijale"/>
    <s v="National ID"/>
    <s v="CM86066101XNOA"/>
    <d v="2025-06-25T00:00:00"/>
    <m/>
    <m/>
    <m/>
    <m/>
    <m/>
  </r>
  <r>
    <x v="285"/>
    <d v="2021-11-22T00:00:00"/>
    <s v="DIRIA IRENE"/>
    <s v="2002000286"/>
    <s v="CUST"/>
    <n v="773072513"/>
    <m/>
    <s v="Female"/>
    <d v="1986-08-08T00:00:00"/>
    <n v="35.827397260273976"/>
    <s v="Valid Age"/>
    <s v="Married"/>
    <m/>
    <s v="Civil Servant"/>
    <s v="Juba"/>
    <s v="Abirichi village-ARUA"/>
    <s v="National ID"/>
    <s v="CF860661037P4G"/>
    <d v="2025-06-24T00:00:00"/>
    <m/>
    <m/>
    <m/>
    <m/>
    <m/>
  </r>
  <r>
    <x v="286"/>
    <d v="2021-11-22T00:00:00"/>
    <s v="FAITH JOSEPHINE"/>
    <s v="2002000287"/>
    <s v="CUST"/>
    <m/>
    <m/>
    <s v="Female"/>
    <d v="1990-01-01T00:00:00"/>
    <n v="32.424657534246577"/>
    <s v="Valid Age"/>
    <s v="Married"/>
    <m/>
    <s v="Businesswoman"/>
    <s v="Arumaji Cell"/>
    <s v="Arumaji cell"/>
    <s v="National ID"/>
    <s v="CF90066106QLWF"/>
    <d v="2030-01-09T00:00:00"/>
    <m/>
    <m/>
    <m/>
    <m/>
    <m/>
  </r>
  <r>
    <x v="287"/>
    <d v="2021-11-23T00:00:00"/>
    <s v="MITU LAWRENCE"/>
    <s v="2002000288"/>
    <s v="CUST"/>
    <n v="760420965"/>
    <m/>
    <s v="Male"/>
    <d v="1994-02-11T00:00:00"/>
    <n v="28.30958904109589"/>
    <s v="Valid Age"/>
    <s v="Married"/>
    <m/>
    <s v="Banker"/>
    <s v="Market Square"/>
    <s v="Teremunga"/>
    <s v="National ID"/>
    <s v="CM94066100A27L"/>
    <d v="2024-09-25T00:00:00"/>
    <m/>
    <m/>
    <m/>
    <m/>
    <m/>
  </r>
  <r>
    <x v="288"/>
    <d v="2021-11-23T00:00:00"/>
    <s v="NAUME NIGHT"/>
    <s v="2002000289"/>
    <s v="CUST"/>
    <n v="773073050"/>
    <m/>
    <s v="Female"/>
    <d v="1968-11-23T00:00:00"/>
    <n v="53.545205479452058"/>
    <s v="Valid Age"/>
    <s v="Married"/>
    <m/>
    <s v="Businesswoman"/>
    <s v="Yibongo Cell"/>
    <s v="Yibongo"/>
    <s v="National ID"/>
    <s v="CF68066102MA6F"/>
    <d v="2025-06-25T00:00:00"/>
    <m/>
    <m/>
    <m/>
    <m/>
    <m/>
  </r>
  <r>
    <x v="289"/>
    <d v="2021-11-23T00:00:00"/>
    <s v="DATA GEOFREY"/>
    <s v="2002000290"/>
    <s v="CUST"/>
    <n v="782391043"/>
    <m/>
    <s v="Male"/>
    <d v="1983-12-06T00:00:00"/>
    <n v="38.5013698630137"/>
    <s v="Valid Age"/>
    <s v="Married"/>
    <m/>
    <s v="Businessman"/>
    <s v="Boader Market"/>
    <s v="Do-onga cell"/>
    <s v="National ID"/>
    <s v="CM830661039FYC"/>
    <d v="2025-06-25T00:00:00"/>
    <m/>
    <m/>
    <m/>
    <m/>
    <m/>
  </r>
  <r>
    <x v="290"/>
    <d v="2021-11-24T00:00:00"/>
    <s v="LEMAKU SWAIB"/>
    <s v="2002000291"/>
    <s v="CUST"/>
    <n v="778282368"/>
    <m/>
    <s v="Male"/>
    <d v="1998-04-01T00:00:00"/>
    <n v="24.172602739726027"/>
    <s v="Valid Age"/>
    <s v="Married"/>
    <m/>
    <s v="Manson"/>
    <s v="Arumaji"/>
    <s v="Arumaji Cell"/>
    <s v="National ID"/>
    <s v="CM9807710064DJ"/>
    <d v="2024-10-23T00:00:00"/>
    <m/>
    <m/>
    <m/>
    <m/>
    <m/>
  </r>
  <r>
    <x v="291"/>
    <d v="2021-11-29T00:00:00"/>
    <s v="AFEKU DENIS"/>
    <s v="2002000292"/>
    <s v="CUST"/>
    <n v="788313863"/>
    <m/>
    <s v="Male"/>
    <d v="1988-12-11T00:00:00"/>
    <n v="33.482191780821921"/>
    <s v="Valid Age"/>
    <s v="Married"/>
    <m/>
    <s v="Health Worker"/>
    <s v="Rhino camp"/>
    <s v="Manibe"/>
    <s v="National ID"/>
    <s v="CM88002100JFRD"/>
    <d v="2024-09-15T00:00:00"/>
    <m/>
    <m/>
    <m/>
    <m/>
    <m/>
  </r>
  <r>
    <x v="292"/>
    <d v="2021-11-29T00:00:00"/>
    <s v="AMODO ZAINABU"/>
    <s v="2002000293"/>
    <s v="CUST"/>
    <n v="773940255"/>
    <m/>
    <s v="Female"/>
    <d v="1986-04-14T00:00:00"/>
    <n v="36.145205479452052"/>
    <s v="Valid Age"/>
    <s v="Married"/>
    <m/>
    <s v="Businesswoman"/>
    <s v="Market square"/>
    <s v="Ibongo"/>
    <s v="National ID"/>
    <s v="CF7606602NRXJ"/>
    <d v="2025-06-24T00:00:00"/>
    <m/>
    <m/>
    <m/>
    <m/>
    <m/>
  </r>
  <r>
    <x v="293"/>
    <d v="2021-11-29T00:00:00"/>
    <s v="CHANDIRU ZENABU"/>
    <s v="2002000294"/>
    <s v="CUST"/>
    <n v="773893441"/>
    <m/>
    <s v="Female"/>
    <d v="1976-04-13T00:00:00"/>
    <n v="46.153424657534245"/>
    <s v="Valid Age"/>
    <s v="Married"/>
    <m/>
    <s v="Businesswoman"/>
    <s v="Koboko Municipality"/>
    <s v="Anyipura"/>
    <s v="National ID"/>
    <s v="CF650531029HLF"/>
    <d v="2025-06-25T00:00:00"/>
    <m/>
    <m/>
    <m/>
    <m/>
    <m/>
  </r>
  <r>
    <x v="294"/>
    <d v="2021-11-29T00:00:00"/>
    <s v="ABIYO RICHARD ENAKU"/>
    <s v="2002000295"/>
    <s v="CUST"/>
    <n v="774421409"/>
    <m/>
    <s v="Male"/>
    <d v="1980-02-05T00:00:00"/>
    <n v="42.336986301369862"/>
    <s v="Valid Age"/>
    <s v="Married"/>
    <m/>
    <s v="Businessman"/>
    <s v="Ombachi"/>
    <s v="Ombaci"/>
    <s v="National ID"/>
    <s v="CM8000210D8H5D"/>
    <d v="2025-06-25T00:00:00"/>
    <m/>
    <m/>
    <m/>
    <m/>
    <m/>
  </r>
  <r>
    <x v="295"/>
    <d v="2021-11-29T00:00:00"/>
    <s v="CHANDIRU ZAKIA"/>
    <s v="2002000296"/>
    <s v="CUST"/>
    <n v="780111640"/>
    <m/>
    <s v="Female"/>
    <d v="1984-10-14T00:00:00"/>
    <n v="37.643835616438359"/>
    <s v="Valid Age"/>
    <s v="Married"/>
    <m/>
    <s v="Businesswoman"/>
    <s v="Koboko central market"/>
    <s v="Ibongo"/>
    <s v="National ID"/>
    <s v="CF66029101ND2K"/>
    <d v="2025-06-25T00:00:00"/>
    <m/>
    <m/>
    <m/>
    <m/>
    <m/>
  </r>
  <r>
    <x v="296"/>
    <d v="2021-11-29T00:00:00"/>
    <s v="MORO CHRISTOPHER AWARA"/>
    <s v="2002000297"/>
    <s v="CUST"/>
    <n v="782360306"/>
    <m/>
    <s v="Male"/>
    <d v="1965-11-14T00:00:00"/>
    <n v="56.57260273972603"/>
    <s v="Over Age"/>
    <s v="Married"/>
    <m/>
    <s v="Businessman"/>
    <s v="Market Square"/>
    <s v="Gbulagbulanga"/>
    <s v="National ID"/>
    <s v="CM590661028RHE"/>
    <d v="2028-12-12T00:00:00"/>
    <m/>
    <m/>
    <m/>
    <m/>
    <m/>
  </r>
  <r>
    <x v="297"/>
    <d v="2021-12-04T00:00:00"/>
    <s v="AKULIA STELLA"/>
    <s v="2002000298"/>
    <s v="CUST"/>
    <n v="783820645"/>
    <m/>
    <s v="Female"/>
    <d v="1983-11-08T00:00:00"/>
    <n v="38.578082191780823"/>
    <s v="Valid Age"/>
    <s v="Married"/>
    <m/>
    <s v="Businesswoman"/>
    <s v="keri"/>
    <s v="Anyakalio"/>
    <s v="National ID"/>
    <s v="CF33066101EOMD"/>
    <d v="2024-11-25T00:00:00"/>
    <m/>
    <m/>
    <m/>
    <m/>
    <m/>
  </r>
  <r>
    <x v="298"/>
    <d v="2021-12-04T00:00:00"/>
    <s v="AYOZU FADILA"/>
    <s v="2002000299"/>
    <s v="CUST"/>
    <m/>
    <m/>
    <s v="Female"/>
    <d v="1994-08-10T00:00:00"/>
    <n v="27.816438356164383"/>
    <s v="Valid Age"/>
    <s v="Married"/>
    <m/>
    <s v="Businesswoman"/>
    <s v="Koboko central market"/>
    <s v="Lurunu"/>
    <s v="National ID"/>
    <s v="CF940661022V4H"/>
    <d v="2025-06-25T00:00:00"/>
    <m/>
    <m/>
    <m/>
    <m/>
    <m/>
  </r>
  <r>
    <x v="299"/>
    <d v="2021-12-06T00:00:00"/>
    <s v="AYA ZAINABU"/>
    <s v="2002000300"/>
    <s v="CUST"/>
    <n v="778928819"/>
    <m/>
    <s v="Female"/>
    <d v="1990-01-01T00:00:00"/>
    <n v="32.424657534246577"/>
    <s v="Valid Age"/>
    <s v="Married"/>
    <m/>
    <s v="Businesswoman"/>
    <s v="Samuel Baba road"/>
    <s v="Mijale"/>
    <s v="National ID"/>
    <s v="CF900851016CHQH"/>
    <d v="2024-12-21T00:00:00"/>
    <m/>
    <m/>
    <m/>
    <m/>
    <m/>
  </r>
  <r>
    <x v="300"/>
    <d v="2021-12-06T00:00:00"/>
    <s v="MAYANJA DAVID"/>
    <s v="2002000301"/>
    <s v="CUST"/>
    <n v="782072185"/>
    <m/>
    <s v="Male"/>
    <d v="1980-01-01T00:00:00"/>
    <n v="42.43287671232877"/>
    <s v="Valid Age"/>
    <s v="Married"/>
    <m/>
    <s v="Businessman"/>
    <s v="Amiji Road"/>
    <s v="Sinyani"/>
    <s v="National ID"/>
    <s v="CM80034103LAGH"/>
    <d v="2025-06-24T00:00:00"/>
    <m/>
    <m/>
    <m/>
    <m/>
    <m/>
  </r>
  <r>
    <x v="301"/>
    <d v="2021-12-07T00:00:00"/>
    <s v="ASUSA JAMILA"/>
    <s v="2002000302"/>
    <s v="CUST"/>
    <n v="774140132"/>
    <m/>
    <s v="Female"/>
    <d v="1982-06-28T00:00:00"/>
    <n v="39.942465753424656"/>
    <s v="Valid Age"/>
    <s v="Widow"/>
    <m/>
    <s v="Businesswoman"/>
    <s v="Mobile (with Koboko Muncipal)"/>
    <s v="Yibongo"/>
    <s v="National ID"/>
    <s v="CF82066103661F"/>
    <d v="2025-06-24T00:00:00"/>
    <m/>
    <m/>
    <m/>
    <m/>
    <m/>
  </r>
  <r>
    <x v="302"/>
    <d v="2021-12-09T00:00:00"/>
    <s v="APAYI DOROTHY"/>
    <s v="2002000303"/>
    <s v="CUST"/>
    <n v="772767623"/>
    <m/>
    <s v="Female"/>
    <d v="1975-12-16T00:00:00"/>
    <n v="46.479452054794521"/>
    <s v="Valid Age"/>
    <s v="Married"/>
    <m/>
    <s v="Businesswoman"/>
    <s v="ombachi"/>
    <s v="Yibongo"/>
    <s v="National ID"/>
    <s v="CF75066101JX5F"/>
    <d v="2025-06-24T00:00:00"/>
    <m/>
    <m/>
    <m/>
    <m/>
    <m/>
  </r>
  <r>
    <x v="303"/>
    <d v="2021-12-11T00:00:00"/>
    <s v="ATAKO GLORIA"/>
    <s v="2002000304"/>
    <s v="CUST"/>
    <n v="777893651"/>
    <m/>
    <s v="Female"/>
    <d v="1988-06-14T00:00:00"/>
    <n v="33.975342465753428"/>
    <s v="Valid Age"/>
    <s v="Married"/>
    <m/>
    <s v="Businesswoman"/>
    <s v="Ombaci"/>
    <s v="Lombe"/>
    <s v="National ID"/>
    <s v="CF8800210C6L1YF"/>
    <d v="2025-06-25T00:00:00"/>
    <m/>
    <m/>
    <m/>
    <m/>
    <m/>
  </r>
  <r>
    <x v="304"/>
    <d v="2021-12-15T00:00:00"/>
    <s v="ANDIKU KALOLI"/>
    <s v="2002000305"/>
    <s v="CUST"/>
    <n v="782306172"/>
    <m/>
    <s v="Male"/>
    <d v="1968-04-23T00:00:00"/>
    <n v="54.131506849315066"/>
    <s v="Valid Age"/>
    <s v="Married"/>
    <m/>
    <s v="Civil Servant"/>
    <s v="South Division"/>
    <s v="Gbukutu Cell"/>
    <s v="National ID"/>
    <s v="CM680771026DYF"/>
    <d v="2025-06-24T00:00:00"/>
    <m/>
    <m/>
    <m/>
    <m/>
    <m/>
  </r>
  <r>
    <x v="305"/>
    <d v="2021-12-16T00:00:00"/>
    <s v="DEPAYA MARY"/>
    <s v="2002000306"/>
    <s v="CUST"/>
    <n v="770601035"/>
    <m/>
    <s v="Female"/>
    <d v="1994-08-07T00:00:00"/>
    <n v="27.824657534246576"/>
    <s v="Valid Age"/>
    <s v="Single"/>
    <m/>
    <s v="Businessman"/>
    <s v="Ombaci"/>
    <s v="Drunyo Village"/>
    <s v="National ID"/>
    <s v="CM83066102XNSD"/>
    <d v="2025-04-18T00:00:00"/>
    <m/>
    <m/>
    <m/>
    <m/>
    <m/>
  </r>
  <r>
    <x v="306"/>
    <d v="2022-01-03T00:00:00"/>
    <s v="OBOTE EMMANUEL"/>
    <s v="2002000307"/>
    <s v="CUST"/>
    <n v="783325692"/>
    <m/>
    <s v="Male"/>
    <d v="1983-07-25T00:00:00"/>
    <n v="38.476712328767121"/>
    <s v="Valid Age"/>
    <s v="Married"/>
    <m/>
    <s v="Businessman"/>
    <s v="Ombaci"/>
    <s v="Drunyo Village"/>
    <s v="National ID"/>
    <s v="CM83066102XNSD"/>
    <d v="2025-04-18T00:00:00"/>
    <m/>
    <m/>
    <m/>
    <m/>
    <m/>
  </r>
  <r>
    <x v="307"/>
    <d v="2022-01-05T00:00:00"/>
    <s v="AYILA CHRISTOPHER"/>
    <s v="2002000308"/>
    <s v="CUST"/>
    <n v="773562856"/>
    <m/>
    <s v="Male"/>
    <d v="1968-07-05T00:00:00"/>
    <n v="53.93150684931507"/>
    <s v="Valid Age"/>
    <s v="Married"/>
    <m/>
    <s v="Farmer"/>
    <s v="FETCHA-K"/>
    <s v="Abele cell"/>
    <s v="National ID"/>
    <s v="CM68066101XVUA"/>
    <d v="2025-06-24T00:00:00"/>
    <m/>
    <m/>
    <m/>
    <m/>
    <m/>
  </r>
  <r>
    <x v="308"/>
    <d v="2022-01-06T00:00:00"/>
    <s v="NAMBOZO HALIMA"/>
    <s v="2002000309"/>
    <s v="CUST"/>
    <n v="789027870"/>
    <m/>
    <s v="Female"/>
    <d v="1994-08-20T00:00:00"/>
    <n v="27.789041095890411"/>
    <s v="Valid Age"/>
    <s v="Married"/>
    <m/>
    <s v="Businesswoman"/>
    <s v="Gaagaa market"/>
    <s v="Sinyani Cell"/>
    <s v="National ID"/>
    <s v="CF84026106D37G"/>
    <d v="2025-08-12T00:00:00"/>
    <m/>
    <m/>
    <m/>
    <m/>
    <m/>
  </r>
  <r>
    <x v="309"/>
    <d v="2022-01-07T00:00:00"/>
    <s v="TUKEI JOB"/>
    <s v="2002000310"/>
    <s v="CUST"/>
    <n v="782374424"/>
    <n v="701961160"/>
    <s v="Male"/>
    <d v="1964-07-02T00:00:00"/>
    <n v="57.942465753424656"/>
    <s v="Over Age"/>
    <s v="Married"/>
    <m/>
    <s v="Businessman"/>
    <s v="West Division"/>
    <s v="Isoko cell"/>
    <s v="National ID"/>
    <s v="CM64021103PKMH"/>
    <d v="2025-08-27T00:00:00"/>
    <m/>
    <m/>
    <m/>
    <m/>
    <m/>
  </r>
  <r>
    <x v="310"/>
    <d v="2022-01-08T00:00:00"/>
    <s v="PATRICK OKUONZI"/>
    <s v="2002000311"/>
    <s v="CUST"/>
    <n v="773849454"/>
    <m/>
    <s v="Male"/>
    <d v="1981-10-11T00:00:00"/>
    <n v="40.654794520547945"/>
    <s v="Valid Age"/>
    <s v="Married"/>
    <m/>
    <s v="Banker"/>
    <s v="FINCA"/>
    <s v="Market Square"/>
    <s v="National ID"/>
    <s v="CM810771005T4H"/>
    <d v="2030-02-11T00:00:00"/>
    <m/>
    <m/>
    <m/>
    <m/>
    <m/>
  </r>
  <r>
    <x v="311"/>
    <d v="2022-01-08T00:00:00"/>
    <s v="NAULA SCOVIA"/>
    <s v="2002000312"/>
    <s v="CUST"/>
    <n v="770602341"/>
    <m/>
    <s v="Female"/>
    <d v="1979-11-30T00:00:00"/>
    <n v="42.520547945205479"/>
    <s v="Valid Age"/>
    <s v="Married"/>
    <m/>
    <s v="Businesswoman"/>
    <s v="Sinyani Cell"/>
    <s v="Sinyani Cell"/>
    <s v="National ID"/>
    <s v="CF79102105WA7L"/>
    <d v="2025-06-07T00:00:00"/>
    <m/>
    <m/>
    <m/>
    <m/>
    <m/>
  </r>
  <r>
    <x v="312"/>
    <d v="2022-01-11T00:00:00"/>
    <s v="TWAHA GBAGBE"/>
    <s v="2002000313"/>
    <s v="CUST"/>
    <n v="772675451"/>
    <m/>
    <s v="Male"/>
    <d v="1978-12-25T00:00:00"/>
    <n v="43.452054794520549"/>
    <s v="Valid Age"/>
    <s v="Married"/>
    <m/>
    <s v="Farmer"/>
    <s v="Yibongo"/>
    <s v="Yibongo"/>
    <s v="National ID"/>
    <s v="CM7806610035YH"/>
    <d v="2025-06-24T00:00:00"/>
    <m/>
    <m/>
    <m/>
    <m/>
    <m/>
  </r>
  <r>
    <x v="313"/>
    <d v="2022-01-13T00:00:00"/>
    <s v="SHAMIM ALIGAH"/>
    <s v="2002000314"/>
    <s v="CUST"/>
    <n v="778319000"/>
    <m/>
    <s v="Female"/>
    <d v="1993-12-24T00:00:00"/>
    <n v="28.443835616438356"/>
    <s v="Valid Age"/>
    <s v="Married"/>
    <m/>
    <s v="Businesswoman"/>
    <s v="Dengbelenga"/>
    <s v="Gbulagbulanga"/>
    <s v="Passport"/>
    <s v="B1047524"/>
    <d v="2023-07-23T00:00:00"/>
    <m/>
    <m/>
    <m/>
    <m/>
    <m/>
  </r>
  <r>
    <x v="314"/>
    <d v="2022-01-17T00:00:00"/>
    <s v="BURUGA JAMES"/>
    <s v="2002000315"/>
    <s v="CUST"/>
    <n v="770312266"/>
    <m/>
    <s v="Male"/>
    <d v="1982-06-05T00:00:00"/>
    <n v="40.005479452054793"/>
    <s v="Valid Age"/>
    <s v="Married"/>
    <m/>
    <s v="Businessman"/>
    <s v="Taxi park"/>
    <s v="Nyangilia"/>
    <s v="National ID"/>
    <s v="CM82066102HLYH"/>
    <d v="2025-06-24T00:00:00"/>
    <m/>
    <m/>
    <m/>
    <m/>
    <m/>
  </r>
  <r>
    <x v="315"/>
    <d v="2022-01-18T00:00:00"/>
    <s v="DAKARU GRACE"/>
    <s v="2002000316"/>
    <s v="CUST"/>
    <n v="776342203"/>
    <m/>
    <s v="Female"/>
    <d v="1973-11-27T00:00:00"/>
    <n v="48.183561643835617"/>
    <s v="Valid Age"/>
    <s v="Married"/>
    <m/>
    <s v="Businesswoman"/>
    <s v="Market Square"/>
    <s v="Sinyani Cell"/>
    <s v="National ID"/>
    <s v="CF306610199PH"/>
    <d v="2025-06-25T00:00:00"/>
    <m/>
    <m/>
    <m/>
    <m/>
    <m/>
  </r>
  <r>
    <x v="316"/>
    <d v="2022-01-20T00:00:00"/>
    <s v="DRIWARU JANE"/>
    <s v="2002000317"/>
    <s v="CUST"/>
    <n v="770508515"/>
    <m/>
    <s v="Female"/>
    <d v="1992-04-23T00:00:00"/>
    <n v="29.767123287671232"/>
    <s v="Valid Age"/>
    <s v="Married"/>
    <m/>
    <s v="Businesswoman"/>
    <s v="Small london"/>
    <s v="Erepenga Cell"/>
    <s v="National ID"/>
    <s v="CF92077108E02E"/>
    <d v="2030-06-23T00:00:00"/>
    <m/>
    <m/>
    <m/>
    <m/>
    <m/>
  </r>
  <r>
    <x v="317"/>
    <d v="2022-01-27T00:00:00"/>
    <s v="ARUBE PETER"/>
    <s v="2002000318"/>
    <s v="CUST"/>
    <n v="772860786"/>
    <m/>
    <s v="Male"/>
    <d v="1958-03-02T00:00:00"/>
    <n v="64.282191780821918"/>
    <s v="Over Age"/>
    <s v="Single"/>
    <m/>
    <s v="Teacher"/>
    <s v="Abuku sub county"/>
    <s v="Abuku Subcounty"/>
    <s v="National ID"/>
    <s v="CM580661036ZNJ"/>
    <d v="2025-06-25T00:00:00"/>
    <m/>
    <m/>
    <m/>
    <m/>
    <m/>
  </r>
  <r>
    <x v="318"/>
    <d v="2022-01-27T00:00:00"/>
    <s v="ATIKI PATRICK"/>
    <s v="2002000319"/>
    <s v="CUST"/>
    <n v="786393531"/>
    <m/>
    <s v="Male"/>
    <d v="1997-01-25T00:00:00"/>
    <n v="25.353424657534248"/>
    <s v="Valid Age"/>
    <s v="Married"/>
    <m/>
    <s v="Teacher"/>
    <s v="Indriba village"/>
    <s v="Indriba village"/>
    <s v="National ID"/>
    <s v="CM970661064QYK"/>
    <d v="2030-02-11T00:00:00"/>
    <m/>
    <m/>
    <m/>
    <m/>
    <m/>
  </r>
  <r>
    <x v="319"/>
    <d v="2022-01-28T00:00:00"/>
    <s v="DRILIGA HABIBU"/>
    <s v="2002000320"/>
    <s v="CUST"/>
    <n v="394004272"/>
    <m/>
    <s v="Male"/>
    <d v="1992-04-23T00:00:00"/>
    <n v="30.115068493150684"/>
    <s v="Valid Age"/>
    <s v="Married"/>
    <m/>
    <s v="Builder"/>
    <s v="Lobule"/>
    <s v="Nyarilo"/>
    <m/>
    <m/>
    <m/>
    <m/>
    <m/>
    <m/>
    <m/>
    <m/>
  </r>
  <r>
    <x v="320"/>
    <d v="2022-02-02T00:00:00"/>
    <s v="ANDERU MONICA"/>
    <s v="2002000321"/>
    <s v="CUST"/>
    <n v="784131721"/>
    <m/>
    <s v="Female"/>
    <d v="1989-04-26T00:00:00"/>
    <n v="33.109589041095887"/>
    <s v="Valid Age"/>
    <s v="Married"/>
    <m/>
    <s v="Banker"/>
    <s v="Centenary Bank"/>
    <s v="Abelle cell"/>
    <s v="National ID"/>
    <s v="CF89066100WGNF"/>
    <d v="2024-11-13T00:00:00"/>
    <m/>
    <m/>
    <m/>
    <m/>
    <m/>
  </r>
  <r>
    <x v="321"/>
    <d v="2022-02-23T00:00:00"/>
    <s v="KANA SWAIB"/>
    <s v="2002000322"/>
    <s v="CUST"/>
    <n v="771964495"/>
    <m/>
    <s v="Male"/>
    <d v="1997-01-25T00:00:00"/>
    <n v="25.353424657534248"/>
    <s v="Valid Age"/>
    <s v="Married"/>
    <m/>
    <s v="Electrician"/>
    <s v="Pakayo"/>
    <s v="Pakayo"/>
    <s v="Voters Slip"/>
    <s v="CM970661014UDL"/>
    <m/>
    <m/>
    <m/>
    <m/>
    <m/>
    <m/>
  </r>
  <r>
    <x v="322"/>
    <d v="2022-02-25T00:00:00"/>
    <s v="OBIT HAKIM ADROTI"/>
    <s v="2002000323"/>
    <s v="CUST"/>
    <n v="774084448"/>
    <m/>
    <s v="Male"/>
    <d v="1983-01-01T00:00:00"/>
    <n v="39.43013698630137"/>
    <s v="Valid Age"/>
    <s v="Single"/>
    <m/>
    <s v="Businessman"/>
    <s v="Abelle"/>
    <s v="Abelle"/>
    <s v="National ID"/>
    <s v="CM830531037G3J"/>
    <d v="2025-07-07T00:00:00"/>
    <m/>
    <m/>
    <m/>
    <m/>
    <m/>
  </r>
  <r>
    <x v="323"/>
    <d v="2022-02-25T00:00:00"/>
    <s v="ARIKE KOKOLE YASSIN"/>
    <s v="2002000324"/>
    <s v="CUST"/>
    <n v="782541798"/>
    <m/>
    <s v="Male"/>
    <d v="1962-04-03T00:00:00"/>
    <n v="60.19178082191781"/>
    <s v="Over Age"/>
    <s v="Married"/>
    <m/>
    <s v="Businessman"/>
    <s v="Gaagaa"/>
    <s v="Sinyani cell"/>
    <s v="National ID"/>
    <s v="CM6206610036LE"/>
    <d v="2025-06-25T00:00:00"/>
    <m/>
    <m/>
    <m/>
    <m/>
    <m/>
  </r>
  <r>
    <x v="324"/>
    <d v="2022-02-28T00:00:00"/>
    <s v="MUNGUFENI RAMSEY"/>
    <s v="2002000325"/>
    <s v="CUST"/>
    <n v="394005908"/>
    <m/>
    <s v="Male"/>
    <d v="1993-07-26T00:00:00"/>
    <n v="28.857534246575341"/>
    <s v="Valid Age"/>
    <s v="Married"/>
    <m/>
    <s v="Businessman"/>
    <s v="Market Square"/>
    <s v="Market Square"/>
    <s v="National ID"/>
    <s v="CM93002108FRXH"/>
    <d v="2025-06-25T00:00:00"/>
    <m/>
    <m/>
    <m/>
    <m/>
    <m/>
  </r>
  <r>
    <x v="325"/>
    <d v="2022-03-01T00:00:00"/>
    <s v="AJUKI HARRIET"/>
    <s v="2002000326"/>
    <s v="CUST"/>
    <n v="773664471"/>
    <m/>
    <s v="Female"/>
    <d v="1991-05-02T00:00:00"/>
    <n v="31.093150684931508"/>
    <s v="Valid Age"/>
    <s v="Married"/>
    <m/>
    <s v="Businesswoman"/>
    <s v="Market Square"/>
    <s v="Anjirigo cell"/>
    <s v="National ID"/>
    <s v="CF91066100WZ7H"/>
    <d v="2025-06-24T00:00:00"/>
    <m/>
    <m/>
    <m/>
    <m/>
    <m/>
  </r>
  <r>
    <x v="326"/>
    <d v="2022-03-01T00:00:00"/>
    <s v="WALTER OTEMA"/>
    <s v="2002000327"/>
    <s v="CUST"/>
    <n v="701741200"/>
    <m/>
    <s v="Male"/>
    <d v="1995-09-12T00:00:00"/>
    <n v="26.726027397260275"/>
    <s v="Valid Age"/>
    <s v="Single"/>
    <m/>
    <s v="Music studio"/>
    <s v="Nyarilo"/>
    <s v="Nyarilo cell"/>
    <s v="National ID"/>
    <s v="CM95005103UK2J"/>
    <d v="2025-01-10T00:00:00"/>
    <m/>
    <m/>
    <m/>
    <m/>
    <m/>
  </r>
  <r>
    <x v="327"/>
    <d v="2022-03-03T00:00:00"/>
    <s v="AGOTIA JOYCE"/>
    <s v="2002000328"/>
    <s v="CUST"/>
    <n v="778259866"/>
    <m/>
    <s v="Female"/>
    <d v="1995-09-27T00:00:00"/>
    <n v="26.684931506849313"/>
    <s v="Valid Age"/>
    <s v="Married"/>
    <m/>
    <s v="Businesswoman"/>
    <s v="Taxi park"/>
    <s v="Anjinjini cell"/>
    <s v="National ID"/>
    <s v="CF950771042MNL"/>
    <d v="2025-07-05T00:00:00"/>
    <m/>
    <m/>
    <m/>
    <m/>
    <m/>
  </r>
  <r>
    <x v="328"/>
    <d v="2022-03-07T00:00:00"/>
    <s v="NSUBUGA DAVID"/>
    <s v="2002000329"/>
    <s v="CUST"/>
    <n v="774094309"/>
    <m/>
    <s v="Male"/>
    <d v="1976-03-03T00:00:00"/>
    <n v="46.265753424657532"/>
    <s v="Valid Age"/>
    <s v="Married"/>
    <m/>
    <s v="Businesman"/>
    <s v="Central Market"/>
    <s v="Sinyani"/>
    <s v="National ID"/>
    <s v="CM76093101WLPC"/>
    <d v="2025-06-24T00:00:00"/>
    <m/>
    <m/>
    <m/>
    <m/>
    <m/>
  </r>
  <r>
    <x v="329"/>
    <d v="2022-03-07T00:00:00"/>
    <s v="BACIA AISHA"/>
    <s v="2002000330"/>
    <s v="CUST"/>
    <n v="783505076"/>
    <m/>
    <s v="Female"/>
    <d v="1976-08-13T00:00:00"/>
    <n v="45.819178082191783"/>
    <s v="Valid Age"/>
    <s v="Married"/>
    <m/>
    <s v="Businesswoman"/>
    <s v="Lipa cell"/>
    <s v="Lipa cell"/>
    <s v="National ID"/>
    <s v="CF79066102MJQC"/>
    <d v="2025-06-24T00:00:00"/>
    <m/>
    <m/>
    <m/>
    <m/>
    <m/>
  </r>
  <r>
    <x v="330"/>
    <d v="2022-03-10T00:00:00"/>
    <s v="DRANIKU ALBERT"/>
    <s v="2002000331"/>
    <s v="CUST"/>
    <n v="788184365"/>
    <m/>
    <s v="Male"/>
    <d v="1970-12-02T00:00:00"/>
    <n v="51.520547945205479"/>
    <s v="Valid Age"/>
    <s v="Married"/>
    <m/>
    <s v="Teacher"/>
    <s v="Audi P/S"/>
    <s v="Dimbuni"/>
    <s v="National ID"/>
    <s v="CM700771002MQH"/>
    <d v="2024-10-23T00:00:00"/>
    <m/>
    <m/>
    <m/>
    <m/>
    <m/>
  </r>
  <r>
    <x v="331"/>
    <d v="2022-03-10T00:00:00"/>
    <s v="SSEKITOOLEKO MUGABI"/>
    <s v="2002000332"/>
    <s v="CUST"/>
    <n v="778045281"/>
    <m/>
    <s v="Male"/>
    <d v="1996-01-13T00:00:00"/>
    <n v="26.389041095890413"/>
    <s v="Valid Age"/>
    <s v="Married"/>
    <m/>
    <s v="Radiographer"/>
    <s v="Carlor Medical Services"/>
    <s v="Arumaji Cell"/>
    <s v="National ID"/>
    <s v="CM9604710306JJ"/>
    <d v="2024-12-09T00:00:00"/>
    <m/>
    <m/>
    <m/>
    <m/>
    <m/>
  </r>
  <r>
    <x v="332"/>
    <d v="2022-03-11T00:00:00"/>
    <s v="OSORU HELLEN"/>
    <s v="2002000333"/>
    <s v="CUST"/>
    <n v="782244111"/>
    <m/>
    <s v="Female"/>
    <d v="1989-11-15T00:00:00"/>
    <n v="32.553424657534244"/>
    <s v="Valid Age"/>
    <s v="Married"/>
    <m/>
    <s v="Businesswoman"/>
    <s v="Ombaci market"/>
    <s v="ombaci cell"/>
    <s v="National ID"/>
    <s v="CF890771039VHJ"/>
    <d v="2025-07-05T00:00:00"/>
    <m/>
    <m/>
    <m/>
    <m/>
    <m/>
  </r>
  <r>
    <x v="333"/>
    <d v="2022-03-11T00:00:00"/>
    <s v="MORO YASSINI NURU DRILIGA"/>
    <s v="2002000334"/>
    <s v="CUST"/>
    <n v="785151552"/>
    <n v="776742877"/>
    <s v="Male"/>
    <d v="1971-05-25T00:00:00"/>
    <n v="51.043835616438358"/>
    <s v="Valid Age"/>
    <s v="Married"/>
    <m/>
    <s v="Businessman"/>
    <s v="Pijoke"/>
    <s v="Mijala"/>
    <s v="National ID"/>
    <s v="CM71066103CR7K"/>
    <d v="2025-06-25T00:00:00"/>
    <m/>
    <m/>
    <m/>
    <m/>
    <m/>
  </r>
  <r>
    <x v="334"/>
    <d v="2022-03-11T00:00:00"/>
    <s v="FOGO FRANCIS DRANI"/>
    <s v="2002000335"/>
    <s v="CUST"/>
    <n v="772767027"/>
    <m/>
    <s v="Male"/>
    <d v="1965-12-12T00:00:00"/>
    <n v="56.495890410958907"/>
    <s v="Over Age"/>
    <s v="Married"/>
    <m/>
    <s v="Civil Servant"/>
    <s v="Koboko Modern SS"/>
    <s v="Arumaji Cell"/>
    <s v="National ID"/>
    <s v="CM65002100L0QE"/>
    <d v="2025-06-24T00:00:00"/>
    <m/>
    <m/>
    <m/>
    <m/>
    <m/>
  </r>
  <r>
    <x v="335"/>
    <d v="2022-03-11T00:00:00"/>
    <s v="BONGO PATRICK NAMISI"/>
    <s v="2002000336"/>
    <s v="CUST"/>
    <n v="754243001"/>
    <m/>
    <s v="Male"/>
    <d v="1981-04-14T00:00:00"/>
    <n v="41.147945205479452"/>
    <s v="Valid Age"/>
    <s v="Married"/>
    <m/>
    <s v="Development Worker"/>
    <s v="ACAV"/>
    <s v="Adakada"/>
    <s v="National ID"/>
    <s v="CM81051105RKAH"/>
    <d v="2025-06-24T00:00:00"/>
    <m/>
    <m/>
    <m/>
    <m/>
    <m/>
  </r>
  <r>
    <x v="336"/>
    <d v="2022-03-14T00:00:00"/>
    <s v="AYISA AJONYE"/>
    <s v="2002000337"/>
    <s v="CUST"/>
    <n v="776390737"/>
    <m/>
    <s v="Female"/>
    <d v="1988-05-20T00:00:00"/>
    <n v="34.043835616438358"/>
    <s v="Valid Age"/>
    <s v="Married"/>
    <m/>
    <s v="Businesswoman"/>
    <s v="Arumaji"/>
    <s v="Repenga village"/>
    <s v="National ID"/>
    <s v="CF880661010MRD"/>
    <d v="2024-11-18T00:00:00"/>
    <m/>
    <m/>
    <m/>
    <m/>
    <m/>
  </r>
  <r>
    <x v="337"/>
    <d v="2022-03-15T00:00:00"/>
    <s v="ASERU MARY"/>
    <s v="2002000338"/>
    <s v="CUST"/>
    <n v="786290036"/>
    <m/>
    <s v="Female"/>
    <d v="1984-04-08T00:00:00"/>
    <n v="38.161643835616438"/>
    <s v="Valid Age"/>
    <s v="Widow"/>
    <m/>
    <s v="Businesswoman"/>
    <s v="koboko Taxi park"/>
    <s v="Erepenga Cell"/>
    <s v="National ID"/>
    <s v="CF8400210D8GYC"/>
    <d v="2025-06-25T00:00:0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7" indent="0" outline="1" outlineData="1" multipleFieldFilters="0" rowHeaderCaption="Acct-ID">
  <location ref="B4:B343" firstHeaderRow="1" firstDataRow="1" firstDataCol="1"/>
  <pivotFields count="24">
    <pivotField axis="axisRow" showAll="0" sortType="ascending">
      <items count="3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 t="grand">
      <x/>
    </i>
  </rowItems>
  <colItems count="1">
    <i/>
  </colItems>
  <formats count="32">
    <format dxfId="120">
      <pivotArea type="all" dataOnly="0" outline="0" fieldPosition="0"/>
    </format>
    <format dxfId="119">
      <pivotArea field="0" type="button" dataOnly="0" labelOnly="1" outline="0" axis="axisRow" fieldPosition="0"/>
    </format>
    <format dxfId="11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4">
      <pivotArea dataOnly="0" labelOnly="1" fieldPosition="0">
        <references count="1">
          <reference field="0" count="3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113">
      <pivotArea dataOnly="0" labelOnly="1" grandRow="1" outline="0" fieldPosition="0"/>
    </format>
    <format dxfId="112">
      <pivotArea type="all" dataOnly="0" outline="0" fieldPosition="0"/>
    </format>
    <format dxfId="111">
      <pivotArea field="0" type="button" dataOnly="0" labelOnly="1" outline="0" axis="axisRow" fieldPosition="0"/>
    </format>
    <format dxfId="11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6">
      <pivotArea dataOnly="0" labelOnly="1" fieldPosition="0">
        <references count="1">
          <reference field="0" count="3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105">
      <pivotArea dataOnly="0" labelOnly="1" grandRow="1" outline="0" fieldPosition="0"/>
    </format>
    <format dxfId="104">
      <pivotArea type="all" dataOnly="0" outline="0" fieldPosition="0"/>
    </format>
    <format dxfId="103">
      <pivotArea field="0" type="button" dataOnly="0" labelOnly="1" outline="0" axis="axisRow" fieldPosition="0"/>
    </format>
    <format dxfId="10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8">
      <pivotArea dataOnly="0" labelOnly="1" fieldPosition="0">
        <references count="1">
          <reference field="0" count="3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97">
      <pivotArea dataOnly="0" labelOnly="1" grandRow="1" outline="0" fieldPosition="0"/>
    </format>
    <format dxfId="96">
      <pivotArea field="0" type="button" dataOnly="0" labelOnly="1" outline="0" axis="axisRow" fieldPosition="0"/>
    </format>
    <format dxfId="95">
      <pivotArea dataOnly="0" labelOnly="1" fieldPosition="0">
        <references count="1">
          <reference field="0" count="18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</reference>
        </references>
      </pivotArea>
    </format>
    <format dxfId="9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1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0">
      <pivotArea dataOnly="0" labelOnly="1" fieldPosition="0">
        <references count="1">
          <reference field="0" count="3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8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7" indent="0" outline="1" outlineData="1" multipleFieldFilters="0" rowHeaderCaption="Acct ID">
  <location ref="A4:A343" firstHeaderRow="1" firstDataRow="1" firstDataCol="1"/>
  <pivotFields count="24">
    <pivotField axis="axisRow" showAll="0">
      <items count="3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 t="grand">
      <x/>
    </i>
  </rowItems>
  <colItems count="1">
    <i/>
  </colItems>
  <formats count="53">
    <format dxfId="88">
      <pivotArea type="all" dataOnly="0" outline="0" fieldPosition="0"/>
    </format>
    <format dxfId="87">
      <pivotArea field="0" type="button" dataOnly="0" labelOnly="1" outline="0" axis="axisRow" fieldPosition="0"/>
    </format>
    <format dxfId="8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2">
      <pivotArea dataOnly="0" labelOnly="1" fieldPosition="0">
        <references count="1">
          <reference field="0" count="3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81">
      <pivotArea dataOnly="0" labelOnly="1" grandRow="1" outline="0" fieldPosition="0"/>
    </format>
    <format dxfId="80">
      <pivotArea type="all" dataOnly="0" outline="0" fieldPosition="0"/>
    </format>
    <format dxfId="79">
      <pivotArea field="0" type="button" dataOnly="0" labelOnly="1" outline="0" axis="axisRow" fieldPosition="0"/>
    </format>
    <format dxfId="7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4">
      <pivotArea dataOnly="0" labelOnly="1" fieldPosition="0">
        <references count="1">
          <reference field="0" count="3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73">
      <pivotArea dataOnly="0" labelOnly="1" grandRow="1" outline="0" fieldPosition="0"/>
    </format>
    <format dxfId="72">
      <pivotArea field="0" type="button" dataOnly="0" labelOnly="1" outline="0" axis="axisRow" fieldPosition="0"/>
    </format>
    <format dxfId="71">
      <pivotArea type="all" dataOnly="0" outline="0" fieldPosition="0"/>
    </format>
    <format dxfId="70">
      <pivotArea field="0" type="button" dataOnly="0" labelOnly="1" outline="0" axis="axisRow" fieldPosition="0"/>
    </format>
    <format dxfId="6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6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5">
      <pivotArea dataOnly="0" labelOnly="1" fieldPosition="0">
        <references count="1">
          <reference field="0" count="3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64">
      <pivotArea dataOnly="0" labelOnly="1" grandRow="1" outline="0" fieldPosition="0"/>
    </format>
    <format dxfId="63">
      <pivotArea type="all" dataOnly="0" outline="0" fieldPosition="0"/>
    </format>
    <format dxfId="62">
      <pivotArea field="0" type="button" dataOnly="0" labelOnly="1" outline="0" axis="axisRow" fieldPosition="0"/>
    </format>
    <format dxfId="6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7">
      <pivotArea dataOnly="0" labelOnly="1" fieldPosition="0">
        <references count="1">
          <reference field="0" count="3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56">
      <pivotArea dataOnly="0" labelOnly="1" grandRow="1" outline="0" fieldPosition="0"/>
    </format>
    <format dxfId="55">
      <pivotArea type="all" dataOnly="0" outline="0" fieldPosition="0"/>
    </format>
    <format dxfId="54">
      <pivotArea field="0" type="button" dataOnly="0" labelOnly="1" outline="0" axis="axisRow" fieldPosition="0"/>
    </format>
    <format dxfId="5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9">
      <pivotArea dataOnly="0" labelOnly="1" fieldPosition="0">
        <references count="1">
          <reference field="0" count="3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</reference>
        </references>
      </pivotArea>
    </format>
    <format dxfId="48">
      <pivotArea dataOnly="0" labelOnly="1" grandRow="1" outline="0" fieldPosition="0"/>
    </format>
    <format dxfId="47">
      <pivotArea field="0" type="button" dataOnly="0" labelOnly="1" outline="0" axis="axisRow" fieldPosition="0"/>
    </format>
    <format dxfId="46">
      <pivotArea field="0" type="button" dataOnly="0" labelOnly="1" outline="0" axis="axisRow" fieldPosition="0"/>
    </format>
    <format dxfId="45">
      <pivotArea field="0" type="button" dataOnly="0" labelOnly="1" outline="0" axis="axisRow" fieldPosition="0"/>
    </format>
    <format dxfId="44">
      <pivotArea field="0" type="button" dataOnly="0" labelOnly="1" outline="0" axis="axisRow" fieldPosition="0"/>
    </format>
    <format dxfId="43">
      <pivotArea field="0" type="button" dataOnly="0" labelOnly="1" outline="0" axis="axisRow" fieldPosition="0"/>
    </format>
    <format dxfId="42">
      <pivotArea dataOnly="0" labelOnly="1" grandRow="1" outline="0" fieldPosition="0"/>
    </format>
    <format dxfId="41">
      <pivotArea dataOnly="0" labelOnly="1" grandRow="1" outline="0" fieldPosition="0"/>
    </format>
    <format dxfId="40">
      <pivotArea dataOnly="0" labelOnly="1" grandRow="1" outline="0" fieldPosition="0"/>
    </format>
    <format dxfId="39">
      <pivotArea field="0" type="button" dataOnly="0" labelOnly="1" outline="0" axis="axisRow" fieldPosition="0"/>
    </format>
    <format dxfId="38">
      <pivotArea field="0" type="button" dataOnly="0" labelOnly="1" outline="0" axis="axisRow" fieldPosition="0"/>
    </format>
    <format dxfId="37">
      <pivotArea dataOnly="0" labelOnly="1" grandRow="1" outline="0" fieldPosition="0"/>
    </format>
    <format dxfId="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Client IDs">
  <location ref="B3:C301" firstHeaderRow="1" firstDataRow="1" firstDataCol="1"/>
  <pivotFields count="47">
    <pivotField showAll="0"/>
    <pivotField axis="axisRow" showAll="0">
      <items count="299">
        <item x="249"/>
        <item x="2"/>
        <item x="0"/>
        <item x="1"/>
        <item x="5"/>
        <item x="6"/>
        <item x="226"/>
        <item x="9"/>
        <item x="10"/>
        <item x="11"/>
        <item x="3"/>
        <item x="12"/>
        <item x="4"/>
        <item x="13"/>
        <item x="7"/>
        <item x="16"/>
        <item x="8"/>
        <item x="20"/>
        <item x="21"/>
        <item x="22"/>
        <item x="23"/>
        <item x="250"/>
        <item x="268"/>
        <item x="252"/>
        <item x="24"/>
        <item x="26"/>
        <item x="14"/>
        <item x="27"/>
        <item x="15"/>
        <item x="30"/>
        <item x="32"/>
        <item x="17"/>
        <item x="18"/>
        <item x="33"/>
        <item x="19"/>
        <item x="34"/>
        <item x="36"/>
        <item x="37"/>
        <item x="39"/>
        <item m="1" x="297"/>
        <item x="41"/>
        <item x="42"/>
        <item x="25"/>
        <item x="43"/>
        <item x="44"/>
        <item x="28"/>
        <item x="45"/>
        <item x="48"/>
        <item x="31"/>
        <item x="49"/>
        <item x="50"/>
        <item x="29"/>
        <item x="52"/>
        <item x="53"/>
        <item x="54"/>
        <item x="57"/>
        <item x="62"/>
        <item x="63"/>
        <item x="64"/>
        <item x="35"/>
        <item x="65"/>
        <item x="75"/>
        <item x="66"/>
        <item x="38"/>
        <item x="67"/>
        <item x="40"/>
        <item x="69"/>
        <item x="70"/>
        <item x="71"/>
        <item x="72"/>
        <item x="73"/>
        <item x="74"/>
        <item x="77"/>
        <item x="46"/>
        <item x="78"/>
        <item x="51"/>
        <item x="47"/>
        <item x="79"/>
        <item x="80"/>
        <item x="81"/>
        <item x="82"/>
        <item x="83"/>
        <item x="84"/>
        <item x="85"/>
        <item x="86"/>
        <item x="89"/>
        <item x="55"/>
        <item x="58"/>
        <item x="56"/>
        <item x="59"/>
        <item x="60"/>
        <item x="61"/>
        <item x="92"/>
        <item x="93"/>
        <item x="94"/>
        <item x="96"/>
        <item x="97"/>
        <item x="99"/>
        <item x="100"/>
        <item x="101"/>
        <item x="68"/>
        <item x="105"/>
        <item x="107"/>
        <item x="109"/>
        <item x="111"/>
        <item x="112"/>
        <item x="114"/>
        <item x="117"/>
        <item x="95"/>
        <item x="118"/>
        <item x="119"/>
        <item x="120"/>
        <item x="121"/>
        <item x="122"/>
        <item x="76"/>
        <item x="123"/>
        <item x="124"/>
        <item x="125"/>
        <item x="127"/>
        <item x="128"/>
        <item x="129"/>
        <item x="130"/>
        <item x="131"/>
        <item x="87"/>
        <item x="132"/>
        <item x="88"/>
        <item x="90"/>
        <item x="135"/>
        <item x="136"/>
        <item x="137"/>
        <item x="91"/>
        <item x="139"/>
        <item x="140"/>
        <item x="142"/>
        <item x="143"/>
        <item x="144"/>
        <item x="146"/>
        <item x="147"/>
        <item x="102"/>
        <item x="98"/>
        <item x="148"/>
        <item x="103"/>
        <item x="149"/>
        <item x="150"/>
        <item x="151"/>
        <item x="104"/>
        <item x="152"/>
        <item x="108"/>
        <item x="106"/>
        <item x="153"/>
        <item x="154"/>
        <item x="116"/>
        <item x="110"/>
        <item x="155"/>
        <item x="157"/>
        <item x="158"/>
        <item x="159"/>
        <item x="113"/>
        <item x="115"/>
        <item x="160"/>
        <item x="126"/>
        <item x="133"/>
        <item x="161"/>
        <item x="162"/>
        <item x="163"/>
        <item x="164"/>
        <item x="165"/>
        <item x="166"/>
        <item x="134"/>
        <item x="167"/>
        <item x="168"/>
        <item x="169"/>
        <item x="170"/>
        <item x="171"/>
        <item x="173"/>
        <item x="174"/>
        <item x="175"/>
        <item x="138"/>
        <item x="179"/>
        <item x="141"/>
        <item x="180"/>
        <item x="181"/>
        <item x="265"/>
        <item x="182"/>
        <item x="145"/>
        <item x="183"/>
        <item x="184"/>
        <item x="185"/>
        <item x="186"/>
        <item x="187"/>
        <item x="189"/>
        <item x="190"/>
        <item x="191"/>
        <item x="192"/>
        <item x="193"/>
        <item x="156"/>
        <item x="195"/>
        <item x="197"/>
        <item x="199"/>
        <item x="200"/>
        <item x="201"/>
        <item x="202"/>
        <item x="176"/>
        <item x="172"/>
        <item x="204"/>
        <item x="211"/>
        <item x="212"/>
        <item x="213"/>
        <item x="215"/>
        <item x="217"/>
        <item x="177"/>
        <item x="221"/>
        <item x="178"/>
        <item x="188"/>
        <item x="210"/>
        <item x="222"/>
        <item x="205"/>
        <item x="206"/>
        <item x="203"/>
        <item x="196"/>
        <item x="224"/>
        <item x="225"/>
        <item x="194"/>
        <item x="227"/>
        <item x="207"/>
        <item x="228"/>
        <item x="209"/>
        <item x="230"/>
        <item x="231"/>
        <item x="208"/>
        <item x="198"/>
        <item x="219"/>
        <item x="216"/>
        <item x="232"/>
        <item x="234"/>
        <item x="235"/>
        <item x="214"/>
        <item x="237"/>
        <item x="241"/>
        <item x="244"/>
        <item x="245"/>
        <item x="251"/>
        <item x="223"/>
        <item x="229"/>
        <item x="240"/>
        <item x="220"/>
        <item x="218"/>
        <item x="259"/>
        <item x="255"/>
        <item x="233"/>
        <item x="238"/>
        <item x="236"/>
        <item x="239"/>
        <item x="256"/>
        <item x="243"/>
        <item x="246"/>
        <item x="242"/>
        <item x="247"/>
        <item x="257"/>
        <item x="258"/>
        <item x="248"/>
        <item x="263"/>
        <item x="253"/>
        <item x="254"/>
        <item x="260"/>
        <item x="261"/>
        <item x="262"/>
        <item x="264"/>
        <item x="266"/>
        <item x="267"/>
        <item x="296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 t="grand">
      <x/>
    </i>
  </rowItems>
  <colItems count="1">
    <i/>
  </colItems>
  <dataFields count="1">
    <dataField name="Lns" fld="2" subtotal="count" baseField="0" baseItem="0"/>
  </dataFields>
  <formats count="2">
    <format dxfId="35">
      <pivotArea type="all" dataOnly="0" outline="0" fieldPosition="0"/>
    </format>
    <format dxfId="3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53"/>
  <sheetViews>
    <sheetView showGridLines="0" topLeftCell="A6" workbookViewId="0">
      <selection activeCell="E7" sqref="E7"/>
    </sheetView>
  </sheetViews>
  <sheetFormatPr defaultRowHeight="12.75" x14ac:dyDescent="0.2"/>
  <cols>
    <col min="1" max="1" width="3.42578125" style="38" customWidth="1"/>
    <col min="2" max="2" width="10.5703125" style="38" bestFit="1" customWidth="1"/>
    <col min="3" max="3" width="9.5703125" style="38" bestFit="1" customWidth="1"/>
    <col min="4" max="4" width="11.42578125" style="38" bestFit="1" customWidth="1"/>
    <col min="5" max="5" width="10" style="38" bestFit="1" customWidth="1"/>
    <col min="6" max="6" width="3.7109375" style="38" bestFit="1" customWidth="1"/>
    <col min="7" max="7" width="4.85546875" style="38" bestFit="1" customWidth="1"/>
    <col min="8" max="8" width="19.85546875" style="38" customWidth="1"/>
    <col min="9" max="9" width="16.85546875" style="38" bestFit="1" customWidth="1"/>
    <col min="10" max="16384" width="9.140625" style="38"/>
  </cols>
  <sheetData>
    <row r="1" spans="1:10" x14ac:dyDescent="0.2">
      <c r="A1" s="37"/>
      <c r="B1" s="37"/>
      <c r="C1" s="37"/>
      <c r="D1" s="37"/>
      <c r="E1" s="37"/>
      <c r="F1" s="37"/>
      <c r="G1" s="37"/>
      <c r="H1" s="37"/>
      <c r="I1" s="37"/>
      <c r="J1" s="37"/>
    </row>
    <row r="2" spans="1:10" x14ac:dyDescent="0.2">
      <c r="A2" s="37"/>
      <c r="B2" s="37"/>
      <c r="C2" s="37"/>
      <c r="D2" s="37"/>
      <c r="E2" s="37"/>
      <c r="F2" s="37"/>
      <c r="G2" s="37"/>
      <c r="H2" s="37"/>
      <c r="I2" s="37"/>
      <c r="J2" s="37"/>
    </row>
    <row r="3" spans="1:10" x14ac:dyDescent="0.2">
      <c r="A3" s="37"/>
      <c r="B3" s="37"/>
      <c r="C3" s="37"/>
      <c r="D3" s="37"/>
      <c r="E3" s="37"/>
      <c r="F3" s="37"/>
      <c r="G3" s="37"/>
      <c r="H3" s="37"/>
      <c r="I3" s="37"/>
      <c r="J3" s="37"/>
    </row>
    <row r="4" spans="1:10" ht="13.5" thickBot="1" x14ac:dyDescent="0.25">
      <c r="A4" s="39"/>
      <c r="B4" s="39"/>
      <c r="C4" s="39"/>
      <c r="D4" s="39"/>
      <c r="E4" s="39"/>
      <c r="F4" s="39"/>
      <c r="G4" s="39"/>
      <c r="H4" s="39"/>
      <c r="I4" s="39"/>
      <c r="J4" s="39"/>
    </row>
    <row r="5" spans="1:10" ht="13.5" thickTop="1" x14ac:dyDescent="0.2">
      <c r="A5" s="128"/>
      <c r="B5" s="128"/>
      <c r="C5" s="128"/>
      <c r="D5" s="128"/>
      <c r="E5" s="128"/>
      <c r="F5" s="128"/>
      <c r="G5" s="128"/>
      <c r="H5" s="128"/>
      <c r="I5" s="128"/>
      <c r="J5" s="128"/>
    </row>
    <row r="6" spans="1:10" x14ac:dyDescent="0.2">
      <c r="A6" s="128"/>
      <c r="B6" s="128" t="s">
        <v>845</v>
      </c>
      <c r="C6" s="128"/>
      <c r="D6" s="128"/>
      <c r="E6" s="635" t="s">
        <v>2535</v>
      </c>
      <c r="F6" s="128"/>
      <c r="G6" s="128"/>
      <c r="H6" s="245" t="s">
        <v>973</v>
      </c>
      <c r="I6" s="245" t="s">
        <v>974</v>
      </c>
      <c r="J6" s="128"/>
    </row>
    <row r="7" spans="1:10" ht="13.5" thickBot="1" x14ac:dyDescent="0.25">
      <c r="A7" s="128"/>
      <c r="B7" s="128">
        <v>0</v>
      </c>
      <c r="C7" s="128" t="s">
        <v>846</v>
      </c>
      <c r="D7" s="128"/>
      <c r="E7" s="128"/>
      <c r="F7" s="128"/>
      <c r="G7" s="128"/>
      <c r="H7" s="237" t="s">
        <v>975</v>
      </c>
      <c r="I7" s="239" t="s">
        <v>976</v>
      </c>
      <c r="J7" s="128"/>
    </row>
    <row r="8" spans="1:10" ht="14.25" thickTop="1" thickBot="1" x14ac:dyDescent="0.25">
      <c r="A8" s="128"/>
      <c r="B8" s="128">
        <v>18</v>
      </c>
      <c r="C8" s="128" t="s">
        <v>849</v>
      </c>
      <c r="D8" s="128"/>
      <c r="E8" s="134" t="s">
        <v>995</v>
      </c>
      <c r="F8" s="262" t="s">
        <v>900</v>
      </c>
      <c r="G8" s="128"/>
      <c r="H8" s="237" t="s">
        <v>977</v>
      </c>
      <c r="I8" s="239" t="s">
        <v>978</v>
      </c>
      <c r="J8" s="128"/>
    </row>
    <row r="9" spans="1:10" ht="13.5" thickTop="1" x14ac:dyDescent="0.2">
      <c r="A9" s="128"/>
      <c r="B9" s="128">
        <v>56</v>
      </c>
      <c r="C9" s="128" t="s">
        <v>847</v>
      </c>
      <c r="D9" s="128"/>
      <c r="E9" s="132" t="s">
        <v>997</v>
      </c>
      <c r="F9" s="132">
        <v>1</v>
      </c>
      <c r="G9" s="128"/>
      <c r="H9" s="237"/>
      <c r="I9" s="239"/>
      <c r="J9" s="128"/>
    </row>
    <row r="10" spans="1:10" ht="13.5" thickBot="1" x14ac:dyDescent="0.25">
      <c r="A10" s="128"/>
      <c r="B10" s="128"/>
      <c r="C10" s="128"/>
      <c r="D10" s="128"/>
      <c r="E10" s="132" t="s">
        <v>998</v>
      </c>
      <c r="F10" s="132">
        <v>2</v>
      </c>
      <c r="G10" s="128"/>
      <c r="H10" s="237"/>
      <c r="I10" s="239"/>
      <c r="J10" s="128"/>
    </row>
    <row r="11" spans="1:10" ht="14.25" thickTop="1" thickBot="1" x14ac:dyDescent="0.25">
      <c r="A11" s="128"/>
      <c r="B11" s="131" t="s">
        <v>854</v>
      </c>
      <c r="C11" s="134" t="s">
        <v>865</v>
      </c>
      <c r="D11" s="128"/>
      <c r="E11" s="132" t="s">
        <v>999</v>
      </c>
      <c r="F11" s="132">
        <v>3</v>
      </c>
      <c r="G11" s="128"/>
      <c r="H11" s="238"/>
      <c r="I11" s="240"/>
      <c r="J11" s="128"/>
    </row>
    <row r="12" spans="1:10" ht="13.5" thickTop="1" x14ac:dyDescent="0.2">
      <c r="A12" s="128"/>
      <c r="B12" s="34" t="s">
        <v>861</v>
      </c>
      <c r="C12" s="132">
        <v>7</v>
      </c>
      <c r="D12" s="128"/>
      <c r="E12" s="132" t="s">
        <v>1000</v>
      </c>
      <c r="F12" s="132">
        <v>4</v>
      </c>
      <c r="G12" s="128"/>
      <c r="H12" s="128"/>
      <c r="I12" s="128"/>
      <c r="J12" s="128"/>
    </row>
    <row r="13" spans="1:10" x14ac:dyDescent="0.2">
      <c r="A13" s="128"/>
      <c r="B13" s="34" t="s">
        <v>859</v>
      </c>
      <c r="C13" s="132">
        <v>4</v>
      </c>
      <c r="D13" s="128"/>
      <c r="E13" s="132" t="s">
        <v>996</v>
      </c>
      <c r="F13" s="132">
        <v>5</v>
      </c>
      <c r="G13" s="128"/>
      <c r="H13" s="128"/>
      <c r="I13" s="246" t="s">
        <v>980</v>
      </c>
      <c r="J13" s="128"/>
    </row>
    <row r="14" spans="1:10" x14ac:dyDescent="0.2">
      <c r="A14" s="128"/>
      <c r="B14" s="34" t="s">
        <v>909</v>
      </c>
      <c r="C14" s="132">
        <v>8</v>
      </c>
      <c r="D14" s="128"/>
      <c r="E14" s="132" t="s">
        <v>1001</v>
      </c>
      <c r="F14" s="132">
        <v>6</v>
      </c>
      <c r="G14" s="128"/>
      <c r="H14" s="128"/>
      <c r="I14" s="243" t="s">
        <v>975</v>
      </c>
      <c r="J14" s="128"/>
    </row>
    <row r="15" spans="1:10" x14ac:dyDescent="0.2">
      <c r="A15" s="128"/>
      <c r="B15" s="34" t="s">
        <v>908</v>
      </c>
      <c r="C15" s="132">
        <f>4*3</f>
        <v>12</v>
      </c>
      <c r="D15" s="128"/>
      <c r="E15" s="132" t="s">
        <v>1002</v>
      </c>
      <c r="F15" s="132">
        <v>7</v>
      </c>
      <c r="G15" s="128"/>
      <c r="H15" s="128"/>
      <c r="I15" s="243" t="s">
        <v>977</v>
      </c>
      <c r="J15" s="128"/>
    </row>
    <row r="16" spans="1:10" x14ac:dyDescent="0.2">
      <c r="A16" s="128"/>
      <c r="B16" s="34" t="s">
        <v>910</v>
      </c>
      <c r="C16" s="132">
        <f>4*6</f>
        <v>24</v>
      </c>
      <c r="D16" s="128"/>
      <c r="E16" s="132" t="s">
        <v>1003</v>
      </c>
      <c r="F16" s="132">
        <v>8</v>
      </c>
      <c r="G16" s="128"/>
      <c r="H16" s="128"/>
      <c r="I16" s="243" t="s">
        <v>976</v>
      </c>
      <c r="J16" s="128"/>
    </row>
    <row r="17" spans="1:10" x14ac:dyDescent="0.2">
      <c r="A17" s="128"/>
      <c r="B17" s="34" t="s">
        <v>911</v>
      </c>
      <c r="C17" s="132">
        <f>4*12</f>
        <v>48</v>
      </c>
      <c r="D17" s="128"/>
      <c r="E17" s="132" t="s">
        <v>1004</v>
      </c>
      <c r="F17" s="132">
        <v>9</v>
      </c>
      <c r="G17" s="128"/>
      <c r="H17" s="128"/>
      <c r="I17" s="243" t="s">
        <v>978</v>
      </c>
      <c r="J17" s="128"/>
    </row>
    <row r="18" spans="1:10" x14ac:dyDescent="0.2">
      <c r="A18" s="128"/>
      <c r="B18" s="34"/>
      <c r="C18" s="34"/>
      <c r="D18" s="128"/>
      <c r="E18" s="132" t="s">
        <v>1005</v>
      </c>
      <c r="F18" s="132">
        <v>10</v>
      </c>
      <c r="G18" s="128"/>
      <c r="H18" s="128"/>
      <c r="I18" s="243" t="s">
        <v>2082</v>
      </c>
      <c r="J18" s="128"/>
    </row>
    <row r="19" spans="1:10" x14ac:dyDescent="0.2">
      <c r="A19" s="128"/>
      <c r="B19" s="128"/>
      <c r="C19" s="128"/>
      <c r="D19" s="128"/>
      <c r="E19" s="132" t="s">
        <v>1006</v>
      </c>
      <c r="F19" s="132">
        <v>11</v>
      </c>
      <c r="G19" s="128"/>
      <c r="H19" s="128"/>
      <c r="I19" s="243"/>
      <c r="J19" s="128"/>
    </row>
    <row r="20" spans="1:10" x14ac:dyDescent="0.2">
      <c r="A20" s="128"/>
      <c r="B20" s="128"/>
      <c r="C20" s="128"/>
      <c r="D20" s="128"/>
      <c r="E20" s="132" t="s">
        <v>1007</v>
      </c>
      <c r="F20" s="132">
        <v>12</v>
      </c>
      <c r="G20" s="128"/>
      <c r="H20" s="128"/>
      <c r="I20" s="244"/>
      <c r="J20" s="128"/>
    </row>
    <row r="21" spans="1:10" x14ac:dyDescent="0.2">
      <c r="A21" s="128"/>
      <c r="B21" s="128"/>
      <c r="C21" s="128"/>
      <c r="D21" s="128"/>
      <c r="E21" s="128"/>
      <c r="F21" s="128"/>
      <c r="G21" s="128"/>
      <c r="H21" s="128"/>
      <c r="I21" s="128"/>
      <c r="J21" s="128"/>
    </row>
    <row r="22" spans="1:10" x14ac:dyDescent="0.2">
      <c r="A22" s="128"/>
      <c r="B22" s="299" t="s">
        <v>1324</v>
      </c>
      <c r="C22" s="128"/>
      <c r="D22" s="128"/>
      <c r="E22" s="128"/>
      <c r="F22" s="128"/>
      <c r="G22" s="128"/>
      <c r="H22" s="128"/>
      <c r="I22" s="128"/>
      <c r="J22" s="128"/>
    </row>
    <row r="23" spans="1:10" ht="13.5" thickBot="1" x14ac:dyDescent="0.25">
      <c r="A23" s="128"/>
      <c r="B23" s="292" t="s">
        <v>854</v>
      </c>
      <c r="C23" s="293" t="s">
        <v>1325</v>
      </c>
      <c r="D23" s="294" t="s">
        <v>1326</v>
      </c>
      <c r="E23" s="294" t="s">
        <v>1363</v>
      </c>
      <c r="F23" s="128"/>
      <c r="G23" s="324" t="s">
        <v>1363</v>
      </c>
      <c r="H23" s="324" t="s">
        <v>1364</v>
      </c>
      <c r="I23" s="128"/>
      <c r="J23" s="128"/>
    </row>
    <row r="24" spans="1:10" ht="13.5" thickTop="1" x14ac:dyDescent="0.2">
      <c r="A24" s="128"/>
      <c r="B24" s="295" t="s">
        <v>861</v>
      </c>
      <c r="C24" s="132">
        <f>1/4</f>
        <v>0.25</v>
      </c>
      <c r="D24" s="296">
        <f t="shared" ref="D24:D29" si="0">12/C24</f>
        <v>48</v>
      </c>
      <c r="E24" s="296">
        <v>7</v>
      </c>
      <c r="F24" s="128"/>
      <c r="G24" s="324">
        <v>0</v>
      </c>
      <c r="H24" s="325" t="s">
        <v>1365</v>
      </c>
      <c r="I24" s="128"/>
      <c r="J24" s="128"/>
    </row>
    <row r="25" spans="1:10" x14ac:dyDescent="0.2">
      <c r="A25" s="128"/>
      <c r="B25" s="295" t="s">
        <v>859</v>
      </c>
      <c r="C25" s="132">
        <v>1</v>
      </c>
      <c r="D25" s="296">
        <f t="shared" si="0"/>
        <v>12</v>
      </c>
      <c r="E25" s="296">
        <v>30</v>
      </c>
      <c r="F25" s="128"/>
      <c r="G25" s="324">
        <v>31</v>
      </c>
      <c r="H25" s="325" t="s">
        <v>1366</v>
      </c>
      <c r="I25" s="128"/>
      <c r="J25" s="128"/>
    </row>
    <row r="26" spans="1:10" x14ac:dyDescent="0.2">
      <c r="A26" s="128"/>
      <c r="B26" s="295" t="s">
        <v>909</v>
      </c>
      <c r="C26" s="132">
        <v>2</v>
      </c>
      <c r="D26" s="296">
        <f t="shared" si="0"/>
        <v>6</v>
      </c>
      <c r="E26" s="296">
        <v>60</v>
      </c>
      <c r="F26" s="128"/>
      <c r="G26" s="324">
        <v>61</v>
      </c>
      <c r="H26" s="325" t="s">
        <v>1367</v>
      </c>
      <c r="I26" s="128"/>
      <c r="J26" s="128"/>
    </row>
    <row r="27" spans="1:10" x14ac:dyDescent="0.2">
      <c r="A27" s="128"/>
      <c r="B27" s="295" t="s">
        <v>908</v>
      </c>
      <c r="C27" s="132">
        <v>3</v>
      </c>
      <c r="D27" s="296">
        <f t="shared" si="0"/>
        <v>4</v>
      </c>
      <c r="E27" s="296">
        <v>90</v>
      </c>
      <c r="F27" s="128"/>
      <c r="G27" s="324">
        <v>91</v>
      </c>
      <c r="H27" s="325" t="s">
        <v>1368</v>
      </c>
      <c r="I27" s="128"/>
      <c r="J27" s="128"/>
    </row>
    <row r="28" spans="1:10" x14ac:dyDescent="0.2">
      <c r="A28" s="128"/>
      <c r="B28" s="295" t="s">
        <v>910</v>
      </c>
      <c r="C28" s="132">
        <v>6</v>
      </c>
      <c r="D28" s="296">
        <f t="shared" si="0"/>
        <v>2</v>
      </c>
      <c r="E28" s="296">
        <v>180</v>
      </c>
      <c r="F28" s="128"/>
      <c r="G28" s="324">
        <v>366</v>
      </c>
      <c r="H28" s="325" t="s">
        <v>1369</v>
      </c>
      <c r="I28" s="128"/>
      <c r="J28" s="128"/>
    </row>
    <row r="29" spans="1:10" x14ac:dyDescent="0.2">
      <c r="A29" s="128"/>
      <c r="B29" s="297" t="s">
        <v>911</v>
      </c>
      <c r="C29" s="298">
        <v>12</v>
      </c>
      <c r="D29" s="296">
        <f t="shared" si="0"/>
        <v>1</v>
      </c>
      <c r="E29" s="296">
        <v>365</v>
      </c>
      <c r="F29" s="128"/>
      <c r="G29" s="128"/>
      <c r="H29" s="128"/>
      <c r="I29" s="128"/>
      <c r="J29" s="128"/>
    </row>
    <row r="30" spans="1:10" x14ac:dyDescent="0.2">
      <c r="A30" s="128"/>
      <c r="B30" s="128"/>
      <c r="C30" s="128"/>
      <c r="D30" s="128"/>
      <c r="E30" s="128"/>
      <c r="F30" s="128"/>
      <c r="G30" s="128"/>
      <c r="H30" s="128"/>
      <c r="I30" s="128"/>
      <c r="J30" s="128"/>
    </row>
    <row r="31" spans="1:10" x14ac:dyDescent="0.2">
      <c r="A31" s="128"/>
      <c r="B31" s="128"/>
      <c r="C31" s="128"/>
      <c r="D31" s="128"/>
      <c r="E31" s="128"/>
      <c r="F31" s="128"/>
      <c r="G31" s="128"/>
      <c r="H31" s="128"/>
      <c r="I31" s="128"/>
      <c r="J31" s="128"/>
    </row>
    <row r="32" spans="1:10" x14ac:dyDescent="0.2">
      <c r="A32" s="128"/>
      <c r="B32" s="128"/>
      <c r="C32" s="128"/>
      <c r="D32" s="128"/>
      <c r="E32" s="128"/>
      <c r="F32" s="128"/>
      <c r="G32" s="128"/>
      <c r="H32" s="469" t="s">
        <v>2074</v>
      </c>
      <c r="I32" s="128"/>
      <c r="J32" s="128"/>
    </row>
    <row r="33" spans="1:10" x14ac:dyDescent="0.2">
      <c r="A33" s="128"/>
      <c r="B33" s="128"/>
      <c r="C33" s="128"/>
      <c r="D33" s="128"/>
      <c r="E33" s="128"/>
      <c r="F33" s="128"/>
      <c r="G33" s="128"/>
      <c r="H33" s="296" t="s">
        <v>2076</v>
      </c>
      <c r="I33" s="128"/>
      <c r="J33" s="128"/>
    </row>
    <row r="34" spans="1:10" x14ac:dyDescent="0.2">
      <c r="A34" s="128"/>
      <c r="B34" s="128"/>
      <c r="C34" s="128"/>
      <c r="D34" s="128"/>
      <c r="E34" s="128"/>
      <c r="F34" s="128"/>
      <c r="G34" s="128"/>
      <c r="H34" s="296" t="s">
        <v>2077</v>
      </c>
      <c r="I34" s="128"/>
      <c r="J34" s="128"/>
    </row>
    <row r="35" spans="1:10" x14ac:dyDescent="0.2">
      <c r="A35" s="128"/>
      <c r="B35" s="128"/>
      <c r="C35" s="128"/>
      <c r="D35" s="128"/>
      <c r="E35" s="128"/>
      <c r="F35" s="128"/>
      <c r="G35" s="128"/>
      <c r="H35" s="296" t="s">
        <v>2078</v>
      </c>
      <c r="I35" s="128"/>
      <c r="J35" s="128"/>
    </row>
    <row r="36" spans="1:10" x14ac:dyDescent="0.2">
      <c r="A36" s="128"/>
      <c r="B36" s="128"/>
      <c r="C36" s="128"/>
      <c r="D36" s="128"/>
      <c r="E36" s="128"/>
      <c r="F36" s="128"/>
      <c r="G36" s="128"/>
      <c r="H36" s="296" t="s">
        <v>993</v>
      </c>
      <c r="I36" s="128"/>
      <c r="J36" s="128"/>
    </row>
    <row r="37" spans="1:10" x14ac:dyDescent="0.2">
      <c r="A37" s="128"/>
      <c r="B37" s="128"/>
      <c r="C37" s="128"/>
      <c r="D37" s="128"/>
      <c r="E37" s="128"/>
      <c r="F37" s="128"/>
      <c r="G37" s="128"/>
      <c r="H37" s="296" t="s">
        <v>2081</v>
      </c>
      <c r="I37" s="128"/>
      <c r="J37" s="128"/>
    </row>
    <row r="38" spans="1:10" x14ac:dyDescent="0.2">
      <c r="A38" s="128"/>
      <c r="B38" s="128"/>
      <c r="C38" s="128"/>
      <c r="D38" s="128"/>
      <c r="E38" s="128"/>
      <c r="F38" s="128"/>
      <c r="G38" s="128"/>
      <c r="H38" s="296" t="s">
        <v>2079</v>
      </c>
      <c r="I38" s="128"/>
      <c r="J38" s="128"/>
    </row>
    <row r="39" spans="1:10" x14ac:dyDescent="0.2">
      <c r="A39" s="128"/>
      <c r="B39" s="128"/>
      <c r="C39" s="128"/>
      <c r="D39" s="128"/>
      <c r="E39" s="128"/>
      <c r="F39" s="128"/>
      <c r="G39" s="128"/>
      <c r="H39" s="296" t="s">
        <v>2075</v>
      </c>
      <c r="I39" s="128"/>
      <c r="J39" s="128"/>
    </row>
    <row r="40" spans="1:10" x14ac:dyDescent="0.2">
      <c r="A40" s="128"/>
      <c r="B40" s="128"/>
      <c r="C40" s="128"/>
      <c r="D40" s="128"/>
      <c r="E40" s="128"/>
      <c r="F40" s="128"/>
      <c r="G40" s="128"/>
      <c r="H40" s="296" t="s">
        <v>2080</v>
      </c>
      <c r="I40" s="128"/>
      <c r="J40" s="128"/>
    </row>
    <row r="41" spans="1:10" x14ac:dyDescent="0.2">
      <c r="A41" s="128"/>
      <c r="B41" s="128"/>
      <c r="C41" s="128"/>
      <c r="D41" s="128"/>
      <c r="E41" s="128"/>
      <c r="F41" s="128"/>
      <c r="G41" s="128"/>
      <c r="H41" s="296" t="s">
        <v>2016</v>
      </c>
      <c r="I41" s="128"/>
      <c r="J41" s="128"/>
    </row>
    <row r="42" spans="1:10" x14ac:dyDescent="0.2">
      <c r="A42" s="128"/>
      <c r="B42" s="128"/>
      <c r="C42" s="128"/>
      <c r="D42" s="128"/>
      <c r="E42" s="128"/>
      <c r="F42" s="128"/>
      <c r="G42" s="128"/>
      <c r="H42" s="296" t="s">
        <v>2101</v>
      </c>
      <c r="I42" s="128"/>
      <c r="J42" s="128"/>
    </row>
    <row r="43" spans="1:10" x14ac:dyDescent="0.2">
      <c r="A43" s="128"/>
      <c r="B43" s="128"/>
      <c r="C43" s="128"/>
      <c r="D43" s="128"/>
      <c r="E43" s="128"/>
      <c r="F43" s="128"/>
      <c r="G43" s="128"/>
      <c r="H43" s="296"/>
      <c r="I43" s="128"/>
      <c r="J43" s="128"/>
    </row>
    <row r="44" spans="1:10" x14ac:dyDescent="0.2">
      <c r="A44" s="128"/>
      <c r="B44" s="128"/>
      <c r="C44" s="128"/>
      <c r="D44" s="128"/>
      <c r="E44" s="128"/>
      <c r="F44" s="128"/>
      <c r="G44" s="128"/>
      <c r="H44" s="296"/>
      <c r="I44" s="128"/>
      <c r="J44" s="128"/>
    </row>
    <row r="45" spans="1:10" x14ac:dyDescent="0.2">
      <c r="A45" s="128"/>
      <c r="B45" s="128"/>
      <c r="C45" s="128"/>
      <c r="D45" s="128"/>
      <c r="E45" s="128"/>
      <c r="F45" s="128"/>
      <c r="G45" s="128"/>
      <c r="H45" s="296"/>
      <c r="I45" s="128"/>
      <c r="J45" s="128"/>
    </row>
    <row r="46" spans="1:10" x14ac:dyDescent="0.2">
      <c r="A46" s="128"/>
      <c r="B46" s="128"/>
      <c r="C46" s="128"/>
      <c r="D46" s="128"/>
      <c r="E46" s="128"/>
      <c r="F46" s="128"/>
      <c r="G46" s="128"/>
      <c r="H46" s="296"/>
      <c r="I46" s="128"/>
      <c r="J46" s="128"/>
    </row>
    <row r="47" spans="1:10" x14ac:dyDescent="0.2">
      <c r="A47" s="128"/>
      <c r="B47" s="128"/>
      <c r="C47" s="128"/>
      <c r="D47" s="128"/>
      <c r="E47" s="128"/>
      <c r="F47" s="128"/>
      <c r="G47" s="128"/>
      <c r="H47" s="296"/>
      <c r="I47" s="128"/>
      <c r="J47" s="128"/>
    </row>
    <row r="48" spans="1:10" x14ac:dyDescent="0.2">
      <c r="A48" s="128"/>
      <c r="B48" s="128"/>
      <c r="C48" s="128"/>
      <c r="D48" s="128"/>
      <c r="E48" s="128"/>
      <c r="F48" s="128"/>
      <c r="G48" s="128"/>
      <c r="H48" s="296"/>
      <c r="I48" s="128"/>
      <c r="J48" s="128"/>
    </row>
    <row r="49" spans="1:10" x14ac:dyDescent="0.2">
      <c r="A49" s="128"/>
      <c r="B49" s="128"/>
      <c r="C49" s="128"/>
      <c r="D49" s="128"/>
      <c r="E49" s="128"/>
      <c r="F49" s="128"/>
      <c r="G49" s="128"/>
      <c r="H49" s="296"/>
      <c r="I49" s="128"/>
      <c r="J49" s="128"/>
    </row>
    <row r="50" spans="1:10" x14ac:dyDescent="0.2">
      <c r="A50" s="128"/>
      <c r="B50" s="128"/>
      <c r="C50" s="128"/>
      <c r="D50" s="128"/>
      <c r="E50" s="128"/>
      <c r="F50" s="128"/>
      <c r="G50" s="128"/>
      <c r="H50" s="128"/>
      <c r="I50" s="128"/>
      <c r="J50" s="128"/>
    </row>
    <row r="51" spans="1:10" x14ac:dyDescent="0.2">
      <c r="A51" s="128"/>
      <c r="B51" s="128"/>
      <c r="C51" s="128"/>
      <c r="D51" s="128"/>
      <c r="E51" s="128"/>
      <c r="F51" s="128"/>
      <c r="G51" s="128"/>
      <c r="H51" s="128"/>
      <c r="I51" s="128"/>
      <c r="J51" s="128"/>
    </row>
    <row r="52" spans="1:10" x14ac:dyDescent="0.2">
      <c r="A52" s="128"/>
      <c r="B52" s="128"/>
      <c r="C52" s="128"/>
      <c r="D52" s="128"/>
      <c r="E52" s="128"/>
      <c r="F52" s="128"/>
      <c r="G52" s="128"/>
      <c r="H52" s="128"/>
      <c r="I52" s="128"/>
      <c r="J52" s="128"/>
    </row>
    <row r="53" spans="1:10" x14ac:dyDescent="0.2">
      <c r="A53" s="128"/>
      <c r="B53" s="128"/>
      <c r="C53" s="128"/>
      <c r="D53" s="128"/>
      <c r="E53" s="128"/>
      <c r="F53" s="128"/>
      <c r="G53" s="128"/>
      <c r="H53" s="128"/>
      <c r="I53" s="128"/>
      <c r="J53" s="128"/>
    </row>
  </sheetData>
  <sheetProtection algorithmName="SHA-512" hashValue="bfaMUncmXjFEuocoTafbzfZqj934gjVohnyFilE6Q5R8IcDYvO2S/KyFHc3J4zIZOyaI5aZAhxdUp4wgkHqIaQ==" saltValue="2hfRoQhBhVkk1Lx0suWihQ==" spinCount="100000" sheet="1" objects="1" scenarios="1"/>
  <phoneticPr fontId="2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9"/>
  <sheetViews>
    <sheetView showGridLines="0" view="pageBreakPreview" topLeftCell="A27" zoomScaleNormal="100" zoomScaleSheetLayoutView="100" workbookViewId="0">
      <selection activeCell="D35" sqref="D35"/>
    </sheetView>
  </sheetViews>
  <sheetFormatPr defaultRowHeight="15" x14ac:dyDescent="0.25"/>
  <cols>
    <col min="1" max="1" width="2.140625" style="1" customWidth="1"/>
    <col min="2" max="2" width="2.7109375" style="1" customWidth="1"/>
    <col min="3" max="3" width="33" style="1" customWidth="1"/>
    <col min="4" max="4" width="23.7109375" style="1" customWidth="1"/>
    <col min="5" max="5" width="19.5703125" style="1" customWidth="1"/>
    <col min="6" max="6" width="2.7109375" style="1" customWidth="1"/>
    <col min="7" max="7" width="2.5703125" style="1" customWidth="1"/>
  </cols>
  <sheetData>
    <row r="1" spans="1:6" ht="8.25" customHeight="1" thickBot="1" x14ac:dyDescent="0.3">
      <c r="A1" s="1" t="s">
        <v>2304</v>
      </c>
    </row>
    <row r="2" spans="1:6" ht="7.5" customHeight="1" thickTop="1" x14ac:dyDescent="0.25">
      <c r="B2" s="3"/>
      <c r="C2" s="22"/>
      <c r="D2" s="22"/>
      <c r="E2" s="22"/>
      <c r="F2" s="5"/>
    </row>
    <row r="3" spans="1:6" x14ac:dyDescent="0.25">
      <c r="B3" s="6"/>
      <c r="C3" s="7"/>
      <c r="D3" s="7"/>
      <c r="E3" s="7"/>
      <c r="F3" s="8"/>
    </row>
    <row r="4" spans="1:6" x14ac:dyDescent="0.25">
      <c r="B4" s="6"/>
      <c r="C4" s="7"/>
      <c r="D4" s="7"/>
      <c r="E4" s="7"/>
      <c r="F4" s="8"/>
    </row>
    <row r="5" spans="1:6" x14ac:dyDescent="0.25">
      <c r="B5" s="6"/>
      <c r="C5" s="7"/>
      <c r="D5" s="7"/>
      <c r="E5" s="7"/>
      <c r="F5" s="8"/>
    </row>
    <row r="6" spans="1:6" x14ac:dyDescent="0.25">
      <c r="B6" s="6"/>
      <c r="C6" s="7"/>
      <c r="D6" s="7"/>
      <c r="E6" s="7"/>
      <c r="F6" s="8"/>
    </row>
    <row r="7" spans="1:6" x14ac:dyDescent="0.25">
      <c r="B7" s="6"/>
      <c r="C7" s="7"/>
      <c r="D7" s="7"/>
      <c r="E7" s="7"/>
      <c r="F7" s="8"/>
    </row>
    <row r="8" spans="1:6" x14ac:dyDescent="0.25">
      <c r="B8" s="6"/>
      <c r="C8" s="7"/>
      <c r="D8" s="7"/>
      <c r="E8" s="7"/>
      <c r="F8" s="8"/>
    </row>
    <row r="9" spans="1:6" s="1" customFormat="1" ht="14.25" x14ac:dyDescent="0.2">
      <c r="B9" s="6"/>
      <c r="C9" s="31"/>
      <c r="D9" s="32" t="s">
        <v>17</v>
      </c>
      <c r="E9" s="33">
        <f ca="1">TODAY()</f>
        <v>45187</v>
      </c>
      <c r="F9" s="8"/>
    </row>
    <row r="10" spans="1:6" s="1" customFormat="1" ht="14.25" x14ac:dyDescent="0.2">
      <c r="B10" s="6"/>
      <c r="C10" s="17"/>
      <c r="D10" s="17"/>
      <c r="E10" s="17"/>
      <c r="F10" s="8"/>
    </row>
    <row r="11" spans="1:6" s="1" customFormat="1" ht="14.25" x14ac:dyDescent="0.2">
      <c r="B11" s="6"/>
      <c r="C11" s="222" t="s">
        <v>18</v>
      </c>
      <c r="D11" s="17"/>
      <c r="E11" s="634"/>
      <c r="F11" s="8"/>
    </row>
    <row r="12" spans="1:6" s="1" customFormat="1" ht="14.25" x14ac:dyDescent="0.2">
      <c r="B12" s="6"/>
      <c r="C12" s="223" t="s">
        <v>19</v>
      </c>
      <c r="D12" s="17"/>
      <c r="E12" s="17"/>
      <c r="F12" s="8"/>
    </row>
    <row r="13" spans="1:6" s="1" customFormat="1" ht="14.25" x14ac:dyDescent="0.2">
      <c r="B13" s="6"/>
      <c r="C13" s="17"/>
      <c r="D13" s="17"/>
      <c r="E13" s="17"/>
      <c r="F13" s="8"/>
    </row>
    <row r="14" spans="1:6" s="1" customFormat="1" ht="14.25" x14ac:dyDescent="0.2">
      <c r="B14" s="6"/>
      <c r="C14" s="24"/>
      <c r="D14" s="24"/>
      <c r="E14" s="24"/>
      <c r="F14" s="8"/>
    </row>
    <row r="15" spans="1:6" s="1" customFormat="1" ht="14.25" x14ac:dyDescent="0.2">
      <c r="B15" s="6"/>
      <c r="C15" s="24"/>
      <c r="D15" s="24"/>
      <c r="E15" s="24"/>
      <c r="F15" s="8"/>
    </row>
    <row r="16" spans="1:6" s="1" customFormat="1" ht="14.25" x14ac:dyDescent="0.2">
      <c r="B16" s="6"/>
      <c r="C16" s="24"/>
      <c r="D16" s="24"/>
      <c r="E16" s="24"/>
      <c r="F16" s="8"/>
    </row>
    <row r="17" spans="2:6" s="1" customFormat="1" ht="14.25" x14ac:dyDescent="0.2">
      <c r="B17" s="6"/>
      <c r="C17" s="24"/>
      <c r="D17" s="24"/>
      <c r="E17" s="24"/>
      <c r="F17" s="8"/>
    </row>
    <row r="18" spans="2:6" s="1" customFormat="1" ht="14.25" x14ac:dyDescent="0.2">
      <c r="B18" s="6"/>
      <c r="C18" s="24"/>
      <c r="D18" s="24"/>
      <c r="E18" s="24"/>
      <c r="F18" s="8"/>
    </row>
    <row r="19" spans="2:6" s="1" customFormat="1" ht="14.25" x14ac:dyDescent="0.2">
      <c r="B19" s="6"/>
      <c r="C19" s="255" t="s">
        <v>987</v>
      </c>
      <c r="D19" s="256"/>
      <c r="E19" s="256"/>
      <c r="F19" s="8"/>
    </row>
    <row r="20" spans="2:6" s="1" customFormat="1" ht="14.25" x14ac:dyDescent="0.2">
      <c r="B20" s="6"/>
      <c r="C20" s="24"/>
      <c r="D20" s="24"/>
      <c r="E20" s="24"/>
      <c r="F20" s="8"/>
    </row>
    <row r="21" spans="2:6" s="1" customFormat="1" ht="14.25" x14ac:dyDescent="0.2">
      <c r="B21" s="6"/>
      <c r="C21" s="24"/>
      <c r="D21" s="24"/>
      <c r="E21" s="24"/>
      <c r="F21" s="8"/>
    </row>
    <row r="22" spans="2:6" s="1" customFormat="1" ht="14.25" x14ac:dyDescent="0.2">
      <c r="B22" s="6"/>
      <c r="C22" s="24"/>
      <c r="D22" s="24"/>
      <c r="E22" s="24"/>
      <c r="F22" s="8"/>
    </row>
    <row r="23" spans="2:6" s="1" customFormat="1" ht="14.25" x14ac:dyDescent="0.2">
      <c r="B23" s="6"/>
      <c r="C23" s="24"/>
      <c r="D23" s="24"/>
      <c r="E23" s="24"/>
      <c r="F23" s="8"/>
    </row>
    <row r="24" spans="2:6" s="1" customFormat="1" ht="14.25" x14ac:dyDescent="0.2">
      <c r="B24" s="6"/>
      <c r="C24" s="24"/>
      <c r="D24" s="24"/>
      <c r="E24" s="24"/>
      <c r="F24" s="8"/>
    </row>
    <row r="25" spans="2:6" s="1" customFormat="1" ht="14.25" x14ac:dyDescent="0.2">
      <c r="B25" s="6"/>
      <c r="C25" s="255" t="s">
        <v>988</v>
      </c>
      <c r="D25" s="256"/>
      <c r="E25" s="256"/>
      <c r="F25" s="8"/>
    </row>
    <row r="26" spans="2:6" s="1" customFormat="1" ht="14.25" x14ac:dyDescent="0.2">
      <c r="B26" s="6"/>
      <c r="C26" s="24"/>
      <c r="D26" s="24"/>
      <c r="E26" s="24"/>
      <c r="F26" s="8"/>
    </row>
    <row r="27" spans="2:6" s="1" customFormat="1" ht="14.25" x14ac:dyDescent="0.2">
      <c r="B27" s="6"/>
      <c r="C27" s="24"/>
      <c r="D27" s="24"/>
      <c r="E27" s="24"/>
      <c r="F27" s="8"/>
    </row>
    <row r="28" spans="2:6" s="1" customFormat="1" ht="14.25" x14ac:dyDescent="0.2">
      <c r="B28" s="6"/>
      <c r="C28" s="24"/>
      <c r="D28" s="24"/>
      <c r="E28" s="24"/>
      <c r="F28" s="8"/>
    </row>
    <row r="29" spans="2:6" s="1" customFormat="1" ht="14.25" x14ac:dyDescent="0.2">
      <c r="B29" s="6"/>
      <c r="C29" s="24"/>
      <c r="D29" s="24"/>
      <c r="E29" s="24"/>
      <c r="F29" s="8"/>
    </row>
    <row r="30" spans="2:6" s="1" customFormat="1" ht="14.25" x14ac:dyDescent="0.2">
      <c r="B30" s="6"/>
      <c r="C30" s="24"/>
      <c r="D30" s="24"/>
      <c r="E30" s="24"/>
      <c r="F30" s="8"/>
    </row>
    <row r="31" spans="2:6" s="1" customFormat="1" ht="14.25" x14ac:dyDescent="0.2">
      <c r="B31" s="6"/>
      <c r="C31" s="255" t="s">
        <v>989</v>
      </c>
      <c r="D31" s="256"/>
      <c r="E31" s="256"/>
      <c r="F31" s="8"/>
    </row>
    <row r="32" spans="2:6" s="1" customFormat="1" ht="14.25" x14ac:dyDescent="0.2">
      <c r="B32" s="6"/>
      <c r="C32" s="24"/>
      <c r="D32" s="24"/>
      <c r="E32" s="24"/>
      <c r="F32" s="8"/>
    </row>
    <row r="33" spans="2:6" s="1" customFormat="1" ht="14.25" x14ac:dyDescent="0.2">
      <c r="B33" s="6"/>
      <c r="C33" s="24"/>
      <c r="D33" s="24"/>
      <c r="E33" s="24"/>
      <c r="F33" s="8"/>
    </row>
    <row r="34" spans="2:6" s="1" customFormat="1" ht="14.25" x14ac:dyDescent="0.2">
      <c r="B34" s="6"/>
      <c r="C34" s="24"/>
      <c r="D34" s="24"/>
      <c r="E34" s="24"/>
      <c r="F34" s="8"/>
    </row>
    <row r="35" spans="2:6" s="1" customFormat="1" ht="14.25" x14ac:dyDescent="0.2">
      <c r="B35" s="6"/>
      <c r="C35" s="24"/>
      <c r="D35" s="24"/>
      <c r="E35" s="24"/>
      <c r="F35" s="8"/>
    </row>
    <row r="36" spans="2:6" s="1" customFormat="1" ht="14.25" x14ac:dyDescent="0.2">
      <c r="B36" s="6"/>
      <c r="C36" s="24"/>
      <c r="D36" s="24"/>
      <c r="E36" s="24"/>
      <c r="F36" s="8"/>
    </row>
    <row r="37" spans="2:6" s="1" customFormat="1" ht="14.25" x14ac:dyDescent="0.2">
      <c r="B37" s="6"/>
      <c r="C37" s="24"/>
      <c r="D37" s="24"/>
      <c r="E37" s="24"/>
      <c r="F37" s="8"/>
    </row>
    <row r="38" spans="2:6" s="1" customFormat="1" ht="14.25" x14ac:dyDescent="0.2">
      <c r="B38" s="6"/>
      <c r="C38" s="24"/>
      <c r="D38" s="24"/>
      <c r="E38" s="24"/>
      <c r="F38" s="8"/>
    </row>
    <row r="39" spans="2:6" s="1" customFormat="1" ht="14.25" x14ac:dyDescent="0.2">
      <c r="B39" s="6"/>
      <c r="C39" s="24"/>
      <c r="D39" s="24"/>
      <c r="E39" s="24"/>
      <c r="F39" s="8"/>
    </row>
    <row r="40" spans="2:6" s="1" customFormat="1" ht="14.25" x14ac:dyDescent="0.2">
      <c r="B40" s="6"/>
      <c r="C40" s="24"/>
      <c r="D40" s="24"/>
      <c r="E40" s="24"/>
      <c r="F40" s="8"/>
    </row>
    <row r="41" spans="2:6" s="1" customFormat="1" ht="14.25" x14ac:dyDescent="0.2">
      <c r="B41" s="6"/>
      <c r="C41" s="24"/>
      <c r="D41" s="24"/>
      <c r="E41" s="24"/>
      <c r="F41" s="8"/>
    </row>
    <row r="42" spans="2:6" s="1" customFormat="1" ht="14.25" x14ac:dyDescent="0.2">
      <c r="B42" s="6"/>
      <c r="C42" s="24"/>
      <c r="D42" s="24"/>
      <c r="E42" s="24"/>
      <c r="F42" s="8"/>
    </row>
    <row r="43" spans="2:6" s="1" customFormat="1" ht="14.25" x14ac:dyDescent="0.2">
      <c r="B43" s="6"/>
      <c r="C43" s="24"/>
      <c r="D43" s="24"/>
      <c r="E43" s="24"/>
      <c r="F43" s="8"/>
    </row>
    <row r="44" spans="2:6" s="1" customFormat="1" ht="14.25" x14ac:dyDescent="0.2">
      <c r="B44" s="6"/>
      <c r="C44" s="24"/>
      <c r="D44" s="24"/>
      <c r="E44" s="24"/>
      <c r="F44" s="8"/>
    </row>
    <row r="45" spans="2:6" s="1" customFormat="1" ht="14.25" x14ac:dyDescent="0.2">
      <c r="B45" s="6"/>
      <c r="C45" s="24"/>
      <c r="D45" s="24"/>
      <c r="E45" s="24"/>
      <c r="F45" s="8"/>
    </row>
    <row r="46" spans="2:6" s="1" customFormat="1" ht="14.25" x14ac:dyDescent="0.2">
      <c r="B46" s="6"/>
      <c r="C46" s="24"/>
      <c r="D46" s="24"/>
      <c r="E46" s="24"/>
      <c r="F46" s="8"/>
    </row>
    <row r="47" spans="2:6" s="1" customFormat="1" ht="14.25" x14ac:dyDescent="0.2">
      <c r="B47" s="6"/>
      <c r="C47" s="24"/>
      <c r="D47" s="24"/>
      <c r="E47" s="24"/>
      <c r="F47" s="8"/>
    </row>
    <row r="48" spans="2:6" s="1" customFormat="1" thickBot="1" x14ac:dyDescent="0.25">
      <c r="B48" s="19"/>
      <c r="C48" s="20"/>
      <c r="D48" s="20"/>
      <c r="E48" s="20"/>
      <c r="F48" s="21"/>
    </row>
    <row r="49" s="1" customFormat="1" thickTop="1" x14ac:dyDescent="0.2"/>
  </sheetData>
  <sheetProtection algorithmName="SHA-512" hashValue="G3ikAmWLyGJXiAjBdESkEPTXYO3RDqWZg9KvpY6Cm7z/CvgPVHtSPoFqkmRCrl7OBiC/MW4fBqz/vq71O8WZPQ==" saltValue="qI28v6UZ2tiN2tTKkbfRkA==" spinCount="100000" sheet="1" objects="1" scenarios="1"/>
  <pageMargins left="0.78740157480314965" right="0.19685039370078741" top="0.74803149606299213" bottom="0.74803149606299213" header="0.31496062992125984" footer="0.31496062992125984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E3D46-A767-4FD7-84DE-106C9C5ECB15}">
  <dimension ref="B2:C49"/>
  <sheetViews>
    <sheetView topLeftCell="A2" workbookViewId="0">
      <selection activeCell="I11" sqref="I11"/>
    </sheetView>
  </sheetViews>
  <sheetFormatPr defaultRowHeight="15" x14ac:dyDescent="0.25"/>
  <cols>
    <col min="2" max="2" width="23.140625" bestFit="1" customWidth="1"/>
    <col min="3" max="3" width="15.28515625" bestFit="1" customWidth="1"/>
  </cols>
  <sheetData>
    <row r="2" spans="2:3" x14ac:dyDescent="0.25">
      <c r="B2" s="636"/>
      <c r="C2" s="637"/>
    </row>
    <row r="3" spans="2:3" x14ac:dyDescent="0.25">
      <c r="B3" s="638" t="s">
        <v>835</v>
      </c>
      <c r="C3" s="641">
        <v>50000000</v>
      </c>
    </row>
    <row r="4" spans="2:3" x14ac:dyDescent="0.25">
      <c r="B4" s="639" t="s">
        <v>2536</v>
      </c>
      <c r="C4" s="642">
        <v>0.15</v>
      </c>
    </row>
    <row r="5" spans="2:3" x14ac:dyDescent="0.25">
      <c r="B5" s="640" t="s">
        <v>2537</v>
      </c>
      <c r="C5" s="641">
        <v>24</v>
      </c>
    </row>
    <row r="6" spans="2:3" x14ac:dyDescent="0.25">
      <c r="B6" s="640" t="s">
        <v>2538</v>
      </c>
      <c r="C6" s="643" t="s">
        <v>2539</v>
      </c>
    </row>
    <row r="7" spans="2:3" x14ac:dyDescent="0.25">
      <c r="B7" s="640" t="s">
        <v>2540</v>
      </c>
      <c r="C7" s="643" t="s">
        <v>859</v>
      </c>
    </row>
    <row r="8" spans="2:3" x14ac:dyDescent="0.25">
      <c r="B8" s="640" t="s">
        <v>836</v>
      </c>
      <c r="C8" s="640">
        <v>44733</v>
      </c>
    </row>
    <row r="9" spans="2:3" x14ac:dyDescent="0.25">
      <c r="B9" s="640" t="s">
        <v>1441</v>
      </c>
      <c r="C9" s="640">
        <v>44733</v>
      </c>
    </row>
    <row r="10" spans="2:3" x14ac:dyDescent="0.25">
      <c r="B10" s="640" t="s">
        <v>842</v>
      </c>
      <c r="C10" s="641">
        <f>PMT(C4,C5,-C3)</f>
        <v>7771491.4811081076</v>
      </c>
    </row>
    <row r="11" spans="2:3" x14ac:dyDescent="0.25">
      <c r="B11" s="640"/>
      <c r="C11" s="641">
        <f>C10*C5</f>
        <v>186515795.54659459</v>
      </c>
    </row>
    <row r="12" spans="2:3" x14ac:dyDescent="0.25">
      <c r="B12" s="636"/>
    </row>
    <row r="13" spans="2:3" x14ac:dyDescent="0.25">
      <c r="B13" s="636"/>
    </row>
    <row r="14" spans="2:3" x14ac:dyDescent="0.25">
      <c r="B14" s="636"/>
    </row>
    <row r="15" spans="2:3" x14ac:dyDescent="0.25">
      <c r="B15" s="636"/>
    </row>
    <row r="16" spans="2:3" x14ac:dyDescent="0.25">
      <c r="B16" s="636"/>
    </row>
    <row r="17" spans="2:2" x14ac:dyDescent="0.25">
      <c r="B17" s="636"/>
    </row>
    <row r="18" spans="2:2" x14ac:dyDescent="0.25">
      <c r="B18" s="636"/>
    </row>
    <row r="19" spans="2:2" x14ac:dyDescent="0.25">
      <c r="B19" s="636"/>
    </row>
    <row r="20" spans="2:2" x14ac:dyDescent="0.25">
      <c r="B20" s="636"/>
    </row>
    <row r="21" spans="2:2" x14ac:dyDescent="0.25">
      <c r="B21" s="636"/>
    </row>
    <row r="22" spans="2:2" x14ac:dyDescent="0.25">
      <c r="B22" s="636"/>
    </row>
    <row r="23" spans="2:2" x14ac:dyDescent="0.25">
      <c r="B23" s="636"/>
    </row>
    <row r="24" spans="2:2" x14ac:dyDescent="0.25">
      <c r="B24" s="636"/>
    </row>
    <row r="25" spans="2:2" x14ac:dyDescent="0.25">
      <c r="B25" s="636"/>
    </row>
    <row r="26" spans="2:2" x14ac:dyDescent="0.25">
      <c r="B26" s="636"/>
    </row>
    <row r="27" spans="2:2" x14ac:dyDescent="0.25">
      <c r="B27" s="636"/>
    </row>
    <row r="28" spans="2:2" x14ac:dyDescent="0.25">
      <c r="B28" s="636"/>
    </row>
    <row r="29" spans="2:2" x14ac:dyDescent="0.25">
      <c r="B29" s="636"/>
    </row>
    <row r="30" spans="2:2" x14ac:dyDescent="0.25">
      <c r="B30" s="636"/>
    </row>
    <row r="31" spans="2:2" x14ac:dyDescent="0.25">
      <c r="B31" s="636"/>
    </row>
    <row r="32" spans="2:2" x14ac:dyDescent="0.25">
      <c r="B32" s="636"/>
    </row>
    <row r="33" spans="2:2" x14ac:dyDescent="0.25">
      <c r="B33" s="636"/>
    </row>
    <row r="34" spans="2:2" x14ac:dyDescent="0.25">
      <c r="B34" s="636"/>
    </row>
    <row r="35" spans="2:2" x14ac:dyDescent="0.25">
      <c r="B35" s="636"/>
    </row>
    <row r="36" spans="2:2" x14ac:dyDescent="0.25">
      <c r="B36" s="636"/>
    </row>
    <row r="37" spans="2:2" x14ac:dyDescent="0.25">
      <c r="B37" s="636"/>
    </row>
    <row r="38" spans="2:2" x14ac:dyDescent="0.25">
      <c r="B38" s="636"/>
    </row>
    <row r="39" spans="2:2" x14ac:dyDescent="0.25">
      <c r="B39" s="636"/>
    </row>
    <row r="40" spans="2:2" x14ac:dyDescent="0.25">
      <c r="B40" s="636"/>
    </row>
    <row r="41" spans="2:2" x14ac:dyDescent="0.25">
      <c r="B41" s="636"/>
    </row>
    <row r="42" spans="2:2" x14ac:dyDescent="0.25">
      <c r="B42" s="636"/>
    </row>
    <row r="43" spans="2:2" x14ac:dyDescent="0.25">
      <c r="B43" s="636"/>
    </row>
    <row r="44" spans="2:2" x14ac:dyDescent="0.25">
      <c r="B44" s="636"/>
    </row>
    <row r="45" spans="2:2" x14ac:dyDescent="0.25">
      <c r="B45" s="636"/>
    </row>
    <row r="46" spans="2:2" x14ac:dyDescent="0.25">
      <c r="B46" s="636"/>
    </row>
    <row r="47" spans="2:2" x14ac:dyDescent="0.25">
      <c r="B47" s="636"/>
    </row>
    <row r="48" spans="2:2" x14ac:dyDescent="0.25">
      <c r="B48" s="636"/>
    </row>
    <row r="49" spans="2:2" x14ac:dyDescent="0.25">
      <c r="B49" s="636"/>
    </row>
  </sheetData>
  <dataValidations count="2">
    <dataValidation type="list" allowBlank="1" showInputMessage="1" showErrorMessage="1" sqref="C6" xr:uid="{2CCEA02E-2C4D-49A1-9306-97152BA852E5}">
      <formula1>"Flat,Reducing"</formula1>
    </dataValidation>
    <dataValidation type="list" allowBlank="1" showInputMessage="1" showErrorMessage="1" sqref="C7" xr:uid="{169B790C-DFDB-4766-9B72-01B615807048}">
      <formula1>"Weekly,Bi-Weekly,Monthly,Bi-Monthly,Quarterly,Termly,Bi-Annually,Annually"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E47"/>
  <sheetViews>
    <sheetView showGridLines="0" view="pageBreakPreview" zoomScaleNormal="100" zoomScaleSheetLayoutView="100" workbookViewId="0">
      <selection activeCell="D7" sqref="D7"/>
    </sheetView>
  </sheetViews>
  <sheetFormatPr defaultRowHeight="15" x14ac:dyDescent="0.25"/>
  <cols>
    <col min="1" max="1" width="2.28515625" style="1" customWidth="1"/>
    <col min="2" max="2" width="2.7109375" style="1" customWidth="1"/>
    <col min="3" max="3" width="78.7109375" style="1" customWidth="1"/>
    <col min="4" max="4" width="4.28515625" style="1" customWidth="1"/>
    <col min="5" max="5" width="1.85546875" style="1" customWidth="1"/>
  </cols>
  <sheetData>
    <row r="1" spans="2:4" ht="8.25" customHeight="1" thickBot="1" x14ac:dyDescent="0.3"/>
    <row r="2" spans="2:4" ht="15.75" thickTop="1" x14ac:dyDescent="0.25">
      <c r="B2" s="3"/>
      <c r="C2" s="4" t="s">
        <v>9</v>
      </c>
      <c r="D2" s="5"/>
    </row>
    <row r="3" spans="2:4" x14ac:dyDescent="0.25">
      <c r="B3" s="6"/>
      <c r="C3" s="7"/>
      <c r="D3" s="8"/>
    </row>
    <row r="4" spans="2:4" x14ac:dyDescent="0.25">
      <c r="B4" s="6"/>
      <c r="C4" s="7"/>
      <c r="D4" s="8"/>
    </row>
    <row r="5" spans="2:4" x14ac:dyDescent="0.25">
      <c r="B5" s="6"/>
      <c r="C5" s="7"/>
      <c r="D5" s="8"/>
    </row>
    <row r="6" spans="2:4" x14ac:dyDescent="0.25">
      <c r="B6" s="6"/>
      <c r="C6" s="7"/>
      <c r="D6" s="8"/>
    </row>
    <row r="7" spans="2:4" ht="15" customHeight="1" x14ac:dyDescent="0.25">
      <c r="B7" s="6"/>
      <c r="C7" s="9"/>
      <c r="D7" s="8"/>
    </row>
    <row r="8" spans="2:4" x14ac:dyDescent="0.25">
      <c r="B8" s="6"/>
      <c r="C8" s="10"/>
      <c r="D8" s="8"/>
    </row>
    <row r="9" spans="2:4" s="1" customFormat="1" ht="14.25" x14ac:dyDescent="0.2">
      <c r="B9" s="6"/>
      <c r="C9" s="11" t="s">
        <v>10</v>
      </c>
      <c r="D9" s="8"/>
    </row>
    <row r="10" spans="2:4" s="1" customFormat="1" ht="14.25" x14ac:dyDescent="0.2">
      <c r="B10" s="6"/>
      <c r="C10" s="10"/>
      <c r="D10" s="8"/>
    </row>
    <row r="11" spans="2:4" s="1" customFormat="1" ht="14.25" x14ac:dyDescent="0.2">
      <c r="B11" s="6"/>
      <c r="D11" s="8"/>
    </row>
    <row r="12" spans="2:4" s="1" customFormat="1" ht="14.25" x14ac:dyDescent="0.2">
      <c r="B12" s="6"/>
      <c r="C12" s="645" t="s">
        <v>11</v>
      </c>
      <c r="D12" s="646"/>
    </row>
    <row r="13" spans="2:4" s="1" customFormat="1" ht="14.25" x14ac:dyDescent="0.2">
      <c r="B13" s="6"/>
      <c r="C13" s="647" t="s">
        <v>831</v>
      </c>
      <c r="D13" s="648"/>
    </row>
    <row r="14" spans="2:4" s="1" customFormat="1" ht="14.25" x14ac:dyDescent="0.2">
      <c r="B14" s="6"/>
      <c r="C14" s="12" t="s">
        <v>1655</v>
      </c>
      <c r="D14" s="13"/>
    </row>
    <row r="15" spans="2:4" s="1" customFormat="1" ht="14.25" x14ac:dyDescent="0.2">
      <c r="B15" s="6"/>
      <c r="C15" s="12" t="s">
        <v>832</v>
      </c>
      <c r="D15" s="13"/>
    </row>
    <row r="16" spans="2:4" s="1" customFormat="1" ht="14.25" x14ac:dyDescent="0.2">
      <c r="B16" s="6"/>
      <c r="C16" s="12" t="s">
        <v>833</v>
      </c>
      <c r="D16" s="13"/>
    </row>
    <row r="17" spans="2:4" s="1" customFormat="1" ht="14.25" x14ac:dyDescent="0.2">
      <c r="B17" s="6"/>
      <c r="C17" s="12" t="s">
        <v>834</v>
      </c>
      <c r="D17" s="13"/>
    </row>
    <row r="18" spans="2:4" s="1" customFormat="1" ht="14.25" x14ac:dyDescent="0.2">
      <c r="B18" s="6"/>
      <c r="C18" s="14"/>
      <c r="D18" s="15"/>
    </row>
    <row r="19" spans="2:4" s="1" customFormat="1" ht="14.25" x14ac:dyDescent="0.2">
      <c r="B19" s="6"/>
      <c r="C19" s="16" t="s">
        <v>12</v>
      </c>
      <c r="D19" s="15"/>
    </row>
    <row r="20" spans="2:4" s="1" customFormat="1" ht="14.25" x14ac:dyDescent="0.2">
      <c r="B20" s="6"/>
      <c r="C20" s="644" t="s">
        <v>1657</v>
      </c>
      <c r="D20" s="15"/>
    </row>
    <row r="21" spans="2:4" s="1" customFormat="1" ht="14.25" x14ac:dyDescent="0.2">
      <c r="B21" s="6"/>
      <c r="C21" s="644"/>
      <c r="D21" s="15"/>
    </row>
    <row r="22" spans="2:4" s="1" customFormat="1" ht="14.25" x14ac:dyDescent="0.2">
      <c r="B22" s="6"/>
      <c r="C22" s="14"/>
      <c r="D22" s="15"/>
    </row>
    <row r="23" spans="2:4" s="1" customFormat="1" ht="14.25" x14ac:dyDescent="0.2">
      <c r="B23" s="6"/>
      <c r="C23" s="16" t="s">
        <v>13</v>
      </c>
      <c r="D23" s="15"/>
    </row>
    <row r="24" spans="2:4" s="1" customFormat="1" ht="14.25" customHeight="1" x14ac:dyDescent="0.2">
      <c r="B24" s="6"/>
      <c r="C24" s="644" t="s">
        <v>1656</v>
      </c>
      <c r="D24" s="15"/>
    </row>
    <row r="25" spans="2:4" s="1" customFormat="1" ht="14.25" x14ac:dyDescent="0.2">
      <c r="B25" s="6"/>
      <c r="C25" s="644"/>
      <c r="D25" s="15"/>
    </row>
    <row r="26" spans="2:4" s="1" customFormat="1" ht="14.25" x14ac:dyDescent="0.2">
      <c r="B26" s="6"/>
      <c r="C26" s="17"/>
      <c r="D26" s="8"/>
    </row>
    <row r="27" spans="2:4" s="1" customFormat="1" ht="14.25" x14ac:dyDescent="0.2">
      <c r="B27" s="6"/>
      <c r="C27" s="16" t="s">
        <v>14</v>
      </c>
      <c r="D27" s="8"/>
    </row>
    <row r="28" spans="2:4" s="1" customFormat="1" ht="14.25" x14ac:dyDescent="0.2">
      <c r="B28" s="6"/>
      <c r="C28" s="12"/>
      <c r="D28" s="8"/>
    </row>
    <row r="29" spans="2:4" s="1" customFormat="1" ht="14.25" x14ac:dyDescent="0.2">
      <c r="B29" s="6"/>
      <c r="C29" s="12" t="s">
        <v>1658</v>
      </c>
      <c r="D29" s="8"/>
    </row>
    <row r="30" spans="2:4" s="1" customFormat="1" ht="14.25" x14ac:dyDescent="0.2">
      <c r="B30" s="6"/>
      <c r="C30" s="12" t="s">
        <v>1659</v>
      </c>
      <c r="D30" s="8"/>
    </row>
    <row r="31" spans="2:4" s="1" customFormat="1" ht="14.25" x14ac:dyDescent="0.2">
      <c r="B31" s="6"/>
      <c r="C31" s="12" t="s">
        <v>1660</v>
      </c>
      <c r="D31" s="8"/>
    </row>
    <row r="32" spans="2:4" s="1" customFormat="1" ht="14.25" x14ac:dyDescent="0.2">
      <c r="B32" s="6"/>
      <c r="C32" s="12" t="s">
        <v>1661</v>
      </c>
      <c r="D32" s="8"/>
    </row>
    <row r="33" spans="2:4" s="1" customFormat="1" ht="14.25" x14ac:dyDescent="0.2">
      <c r="B33" s="6"/>
      <c r="C33" s="17"/>
      <c r="D33" s="8"/>
    </row>
    <row r="34" spans="2:4" s="1" customFormat="1" ht="14.25" x14ac:dyDescent="0.2">
      <c r="B34" s="6"/>
      <c r="C34" s="16" t="s">
        <v>15</v>
      </c>
      <c r="D34" s="8"/>
    </row>
    <row r="35" spans="2:4" s="1" customFormat="1" ht="14.25" x14ac:dyDescent="0.2">
      <c r="B35" s="6"/>
      <c r="C35" s="644"/>
      <c r="D35" s="8"/>
    </row>
    <row r="36" spans="2:4" s="1" customFormat="1" ht="14.25" x14ac:dyDescent="0.2">
      <c r="B36" s="6"/>
      <c r="C36" s="644"/>
      <c r="D36" s="8"/>
    </row>
    <row r="37" spans="2:4" s="1" customFormat="1" ht="14.25" x14ac:dyDescent="0.2">
      <c r="B37" s="6"/>
      <c r="C37" s="17"/>
      <c r="D37" s="8"/>
    </row>
    <row r="38" spans="2:4" x14ac:dyDescent="0.25">
      <c r="B38" s="6"/>
      <c r="C38" s="16" t="s">
        <v>16</v>
      </c>
      <c r="D38" s="8"/>
    </row>
    <row r="39" spans="2:4" x14ac:dyDescent="0.25">
      <c r="B39" s="6"/>
      <c r="C39" s="18" t="s">
        <v>1662</v>
      </c>
      <c r="D39" s="8"/>
    </row>
    <row r="40" spans="2:4" x14ac:dyDescent="0.25">
      <c r="B40" s="6"/>
      <c r="C40" s="18" t="s">
        <v>1663</v>
      </c>
      <c r="D40" s="8"/>
    </row>
    <row r="41" spans="2:4" x14ac:dyDescent="0.25">
      <c r="B41" s="6"/>
      <c r="C41" s="18" t="s">
        <v>1665</v>
      </c>
      <c r="D41" s="8"/>
    </row>
    <row r="42" spans="2:4" x14ac:dyDescent="0.25">
      <c r="B42" s="6"/>
      <c r="C42" s="18" t="s">
        <v>1664</v>
      </c>
      <c r="D42" s="8"/>
    </row>
    <row r="43" spans="2:4" x14ac:dyDescent="0.25">
      <c r="B43" s="6"/>
      <c r="C43" s="18" t="s">
        <v>1666</v>
      </c>
      <c r="D43" s="8"/>
    </row>
    <row r="44" spans="2:4" x14ac:dyDescent="0.25">
      <c r="B44" s="6"/>
      <c r="C44" s="18"/>
      <c r="D44" s="8"/>
    </row>
    <row r="45" spans="2:4" x14ac:dyDescent="0.25">
      <c r="B45" s="6"/>
      <c r="C45" s="17"/>
      <c r="D45" s="8"/>
    </row>
    <row r="46" spans="2:4" ht="15.75" thickBot="1" x14ac:dyDescent="0.3">
      <c r="B46" s="19"/>
      <c r="C46" s="20"/>
      <c r="D46" s="21"/>
    </row>
    <row r="47" spans="2:4" ht="9" customHeight="1" thickTop="1" x14ac:dyDescent="0.25"/>
  </sheetData>
  <sheetProtection algorithmName="SHA-512" hashValue="IsR8CB3GUOZzyHSecFB6nM6pbBmL5XeOng6I7IXT6gzcoKRzPkdUMfOaz77in21quoj7LGe6Oy4HuwqSh+LLWA==" saltValue="mUIH8niwOMSAdz7RBu3QLw==" spinCount="100000" sheet="1" objects="1" scenarios="1"/>
  <mergeCells count="5">
    <mergeCell ref="C24:C25"/>
    <mergeCell ref="C35:C36"/>
    <mergeCell ref="C12:D12"/>
    <mergeCell ref="C13:D13"/>
    <mergeCell ref="C20:C21"/>
  </mergeCells>
  <conditionalFormatting sqref="C2">
    <cfRule type="duplicateValues" dxfId="33" priority="1"/>
  </conditionalFormatting>
  <hyperlinks>
    <hyperlink ref="C2" location="Menu!A1" display="Back to Menu" xr:uid="{00000000-0004-0000-0000-000000000000}"/>
  </hyperlinks>
  <pageMargins left="0.59055118110236227" right="0.59055118110236227" top="0.74803149606299213" bottom="0.74803149606299213" header="0.31496062992125984" footer="0.31496062992125984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X1100"/>
  <sheetViews>
    <sheetView showGridLines="0" zoomScale="98" zoomScaleNormal="98" workbookViewId="0">
      <pane ySplit="6" topLeftCell="A23" activePane="bottomLeft" state="frozen"/>
      <selection activeCell="D1" sqref="D1:D1048576"/>
      <selection pane="bottomLeft" activeCell="A23" sqref="A23"/>
    </sheetView>
  </sheetViews>
  <sheetFormatPr defaultRowHeight="12.75" x14ac:dyDescent="0.2"/>
  <cols>
    <col min="1" max="1" width="5.140625" style="267" bestFit="1" customWidth="1"/>
    <col min="2" max="2" width="11.7109375" style="38" bestFit="1" customWidth="1"/>
    <col min="3" max="3" width="31.85546875" style="269" bestFit="1" customWidth="1"/>
    <col min="4" max="4" width="13" style="38" bestFit="1" customWidth="1"/>
    <col min="5" max="5" width="11.28515625" style="38" bestFit="1" customWidth="1"/>
    <col min="6" max="6" width="12.7109375" style="269" bestFit="1" customWidth="1"/>
    <col min="7" max="7" width="11.85546875" style="38" bestFit="1" customWidth="1"/>
    <col min="8" max="8" width="9.140625" style="38" bestFit="1" customWidth="1"/>
    <col min="9" max="9" width="12.140625" style="281" customWidth="1"/>
    <col min="10" max="10" width="7.85546875" style="49" bestFit="1" customWidth="1"/>
    <col min="11" max="11" width="13" style="49" bestFit="1" customWidth="1"/>
    <col min="12" max="12" width="14.5703125" style="56" bestFit="1" customWidth="1"/>
    <col min="13" max="13" width="13.28515625" style="38" bestFit="1" customWidth="1"/>
    <col min="14" max="14" width="18.85546875" style="38" bestFit="1" customWidth="1"/>
    <col min="15" max="15" width="27" style="38" bestFit="1" customWidth="1"/>
    <col min="16" max="16" width="19.28515625" style="38" bestFit="1" customWidth="1"/>
    <col min="17" max="17" width="9.85546875" style="38" bestFit="1" customWidth="1"/>
    <col min="18" max="18" width="16.7109375" style="38" bestFit="1" customWidth="1"/>
    <col min="19" max="19" width="12.42578125" style="38" bestFit="1" customWidth="1"/>
    <col min="20" max="20" width="17.28515625" style="38" bestFit="1" customWidth="1"/>
    <col min="21" max="21" width="12.42578125" style="38" customWidth="1"/>
    <col min="22" max="23" width="14.140625" style="38" bestFit="1" customWidth="1"/>
    <col min="24" max="24" width="26.7109375" style="38" bestFit="1" customWidth="1"/>
    <col min="25" max="16384" width="9.140625" style="38"/>
  </cols>
  <sheetData>
    <row r="1" spans="1:24" x14ac:dyDescent="0.2">
      <c r="A1" s="264"/>
      <c r="B1" s="37"/>
      <c r="C1" s="271"/>
      <c r="D1" s="37"/>
      <c r="E1" s="37"/>
      <c r="F1" s="271"/>
      <c r="G1" s="37"/>
      <c r="H1" s="46"/>
      <c r="I1" s="46"/>
      <c r="J1" s="46"/>
      <c r="K1" s="46"/>
      <c r="L1" s="53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</row>
    <row r="2" spans="1:24" ht="13.5" thickBot="1" x14ac:dyDescent="0.25">
      <c r="A2" s="264"/>
      <c r="B2" s="37"/>
      <c r="C2" s="271"/>
      <c r="D2" s="37"/>
      <c r="E2" s="46"/>
      <c r="F2" s="271"/>
      <c r="G2" s="37"/>
      <c r="H2" s="46"/>
      <c r="I2" s="46"/>
      <c r="J2" s="46"/>
      <c r="K2" s="46"/>
      <c r="L2" s="53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</row>
    <row r="3" spans="1:24" ht="16.5" thickTop="1" thickBot="1" x14ac:dyDescent="0.3">
      <c r="A3" s="264"/>
      <c r="B3" s="37"/>
      <c r="C3" s="272">
        <v>2002000000</v>
      </c>
      <c r="D3" s="37"/>
      <c r="E3" s="284" t="s">
        <v>853</v>
      </c>
      <c r="F3" s="129">
        <f>COUNTA(C:C)-3</f>
        <v>368</v>
      </c>
      <c r="G3" s="46"/>
      <c r="H3" s="46"/>
      <c r="I3" s="236" t="s">
        <v>9</v>
      </c>
      <c r="J3" s="46"/>
      <c r="K3" s="46"/>
      <c r="L3" s="53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</row>
    <row r="4" spans="1:24" ht="14.25" thickTop="1" thickBot="1" x14ac:dyDescent="0.25">
      <c r="A4" s="265"/>
      <c r="B4" s="133">
        <f>COLUMN()</f>
        <v>2</v>
      </c>
      <c r="C4" s="273">
        <f>COLUMN()</f>
        <v>3</v>
      </c>
      <c r="D4" s="133">
        <f>COLUMN()</f>
        <v>4</v>
      </c>
      <c r="E4" s="133">
        <f>COLUMN()</f>
        <v>5</v>
      </c>
      <c r="F4" s="273">
        <f>COLUMN()</f>
        <v>6</v>
      </c>
      <c r="G4" s="133">
        <f>COLUMN()</f>
        <v>7</v>
      </c>
      <c r="H4" s="133">
        <f>COLUMN()</f>
        <v>8</v>
      </c>
      <c r="I4" s="133">
        <f>COLUMN()</f>
        <v>9</v>
      </c>
      <c r="J4" s="133">
        <f>COLUMN()</f>
        <v>10</v>
      </c>
      <c r="K4" s="133">
        <f>COLUMN()</f>
        <v>11</v>
      </c>
      <c r="L4" s="133">
        <f>COLUMN()</f>
        <v>12</v>
      </c>
      <c r="M4" s="133">
        <f>COLUMN()</f>
        <v>13</v>
      </c>
      <c r="N4" s="133">
        <f>COLUMN()</f>
        <v>14</v>
      </c>
      <c r="O4" s="133">
        <f>COLUMN()</f>
        <v>15</v>
      </c>
      <c r="P4" s="133">
        <f>COLUMN()</f>
        <v>16</v>
      </c>
      <c r="Q4" s="133">
        <f>COLUMN()</f>
        <v>17</v>
      </c>
      <c r="R4" s="133">
        <f>COLUMN()</f>
        <v>18</v>
      </c>
      <c r="S4" s="133">
        <f>COLUMN()</f>
        <v>19</v>
      </c>
      <c r="T4" s="133">
        <f>COLUMN()</f>
        <v>20</v>
      </c>
      <c r="U4" s="133">
        <f>COLUMN()</f>
        <v>21</v>
      </c>
      <c r="V4" s="133">
        <f>COLUMN()</f>
        <v>22</v>
      </c>
      <c r="W4" s="133">
        <f>COLUMN()</f>
        <v>23</v>
      </c>
      <c r="X4" s="133">
        <f>COLUMN()</f>
        <v>24</v>
      </c>
    </row>
    <row r="5" spans="1:24" s="172" customFormat="1" ht="14.25" thickTop="1" thickBot="1" x14ac:dyDescent="0.25">
      <c r="A5" s="266"/>
      <c r="B5" s="263" t="s">
        <v>982</v>
      </c>
      <c r="C5" s="274"/>
      <c r="D5" s="263"/>
      <c r="E5" s="263"/>
      <c r="F5" s="274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263"/>
      <c r="S5" s="263"/>
      <c r="T5" s="263"/>
      <c r="U5" s="263"/>
      <c r="V5" s="263"/>
      <c r="W5" s="263"/>
      <c r="X5" s="263"/>
    </row>
    <row r="6" spans="1:24" ht="14.25" thickTop="1" thickBot="1" x14ac:dyDescent="0.25">
      <c r="A6" s="197" t="s">
        <v>2502</v>
      </c>
      <c r="B6" s="197" t="s">
        <v>21</v>
      </c>
      <c r="C6" s="197" t="s">
        <v>22</v>
      </c>
      <c r="D6" s="197" t="s">
        <v>23</v>
      </c>
      <c r="E6" s="197" t="s">
        <v>24</v>
      </c>
      <c r="F6" s="286" t="s">
        <v>27</v>
      </c>
      <c r="G6" s="197" t="s">
        <v>28</v>
      </c>
      <c r="H6" s="197" t="s">
        <v>29</v>
      </c>
      <c r="I6" s="285" t="s">
        <v>30</v>
      </c>
      <c r="J6" s="198" t="s">
        <v>1</v>
      </c>
      <c r="K6" s="198" t="s">
        <v>848</v>
      </c>
      <c r="L6" s="285" t="s">
        <v>31</v>
      </c>
      <c r="M6" s="197" t="s">
        <v>26</v>
      </c>
      <c r="N6" s="197" t="s">
        <v>32</v>
      </c>
      <c r="O6" s="197" t="s">
        <v>33</v>
      </c>
      <c r="P6" s="197" t="s">
        <v>34</v>
      </c>
      <c r="Q6" s="197" t="s">
        <v>35</v>
      </c>
      <c r="R6" s="285" t="s">
        <v>36</v>
      </c>
      <c r="S6" s="197" t="s">
        <v>37</v>
      </c>
      <c r="T6" s="197" t="s">
        <v>38</v>
      </c>
      <c r="U6" s="197" t="s">
        <v>39</v>
      </c>
      <c r="V6" s="286" t="s">
        <v>40</v>
      </c>
      <c r="W6" s="197" t="s">
        <v>41</v>
      </c>
      <c r="X6" s="197" t="s">
        <v>42</v>
      </c>
    </row>
    <row r="7" spans="1:24" ht="13.5" thickTop="1" x14ac:dyDescent="0.2">
      <c r="A7" s="257">
        <v>1</v>
      </c>
      <c r="B7" s="44">
        <v>44321</v>
      </c>
      <c r="C7" s="35" t="s">
        <v>44</v>
      </c>
      <c r="D7" s="40" t="str">
        <f>IF(A7="","",LEFT($C$3,LEN($C$3)-LEN(A7))&amp;A7)</f>
        <v>2002000001</v>
      </c>
      <c r="E7" s="35" t="s">
        <v>25</v>
      </c>
      <c r="F7" s="51">
        <v>772816130</v>
      </c>
      <c r="G7" s="35"/>
      <c r="H7" s="35" t="s">
        <v>83</v>
      </c>
      <c r="I7" s="279">
        <v>28987</v>
      </c>
      <c r="J7" s="50">
        <f ca="1">IF(I7="","",(TODAY()-$I7)/365)</f>
        <v>44.38356164383562</v>
      </c>
      <c r="K7" s="50" t="str">
        <f ca="1">IFERROR(VLOOKUP($J7,Ref!$B$7:$C$9,2),"")</f>
        <v>Valid Age</v>
      </c>
      <c r="L7" s="54" t="s">
        <v>85</v>
      </c>
      <c r="M7" s="35"/>
      <c r="N7" s="35" t="s">
        <v>87</v>
      </c>
      <c r="O7" s="35" t="s">
        <v>1280</v>
      </c>
      <c r="P7" s="35" t="s">
        <v>112</v>
      </c>
      <c r="Q7" s="35" t="s">
        <v>127</v>
      </c>
      <c r="R7" s="35" t="s">
        <v>128</v>
      </c>
      <c r="S7" s="42" t="s">
        <v>992</v>
      </c>
      <c r="T7" s="42" t="s">
        <v>160</v>
      </c>
      <c r="U7" s="42" t="s">
        <v>161</v>
      </c>
      <c r="V7" s="57">
        <v>779120402</v>
      </c>
      <c r="W7" s="35"/>
      <c r="X7" s="35"/>
    </row>
    <row r="8" spans="1:24" x14ac:dyDescent="0.2">
      <c r="A8" s="132">
        <v>2</v>
      </c>
      <c r="B8" s="44">
        <v>44321</v>
      </c>
      <c r="C8" s="34" t="s">
        <v>45</v>
      </c>
      <c r="D8" s="40" t="str">
        <f t="shared" ref="D8:D71" si="0">IF(A8="","",LEFT($C$3,LEN($C$3)-LEN(A8))&amp;A8)</f>
        <v>2002000002</v>
      </c>
      <c r="E8" s="34" t="s">
        <v>82</v>
      </c>
      <c r="F8" s="52">
        <v>774280803</v>
      </c>
      <c r="G8" s="34"/>
      <c r="H8" s="34" t="s">
        <v>84</v>
      </c>
      <c r="I8" s="279">
        <v>17446</v>
      </c>
      <c r="J8" s="50">
        <f t="shared" ref="J8:J71" ca="1" si="1">IF(I8="","",(TODAY()-$I8)/365)</f>
        <v>76.0027397260274</v>
      </c>
      <c r="K8" s="50" t="str">
        <f ca="1">IFERROR(VLOOKUP($J8,Ref!$B$7:$C$9,2),"")</f>
        <v>Over Age</v>
      </c>
      <c r="L8" s="55" t="s">
        <v>85</v>
      </c>
      <c r="M8" s="34"/>
      <c r="N8" s="34" t="s">
        <v>88</v>
      </c>
      <c r="O8" s="34" t="s">
        <v>95</v>
      </c>
      <c r="P8" s="34" t="s">
        <v>112</v>
      </c>
      <c r="Q8" s="34" t="s">
        <v>127</v>
      </c>
      <c r="R8" s="34" t="s">
        <v>129</v>
      </c>
      <c r="S8" s="42">
        <v>45832</v>
      </c>
      <c r="T8" s="42" t="s">
        <v>162</v>
      </c>
      <c r="U8" s="42" t="s">
        <v>163</v>
      </c>
      <c r="V8" s="57">
        <v>774565105</v>
      </c>
      <c r="W8" s="34"/>
      <c r="X8" s="34"/>
    </row>
    <row r="9" spans="1:24" x14ac:dyDescent="0.2">
      <c r="A9" s="257">
        <v>3</v>
      </c>
      <c r="B9" s="44">
        <v>44322</v>
      </c>
      <c r="C9" s="34" t="s">
        <v>1667</v>
      </c>
      <c r="D9" s="40" t="str">
        <f t="shared" si="0"/>
        <v>2002000003</v>
      </c>
      <c r="E9" s="34" t="s">
        <v>82</v>
      </c>
      <c r="F9" s="52">
        <v>757733949</v>
      </c>
      <c r="G9" s="34"/>
      <c r="H9" s="34" t="s">
        <v>83</v>
      </c>
      <c r="I9" s="279">
        <v>25041</v>
      </c>
      <c r="J9" s="50">
        <f t="shared" ca="1" si="1"/>
        <v>55.194520547945203</v>
      </c>
      <c r="K9" s="50" t="str">
        <f ca="1">IFERROR(VLOOKUP($J9,Ref!$B$7:$C$9,2),"")</f>
        <v>Valid Age</v>
      </c>
      <c r="L9" s="55" t="s">
        <v>85</v>
      </c>
      <c r="M9" s="34"/>
      <c r="N9" s="34" t="s">
        <v>1411</v>
      </c>
      <c r="O9" s="34" t="s">
        <v>1668</v>
      </c>
      <c r="P9" s="34" t="s">
        <v>1669</v>
      </c>
      <c r="Q9" s="34" t="s">
        <v>127</v>
      </c>
      <c r="R9" s="34" t="s">
        <v>1670</v>
      </c>
      <c r="S9" s="42">
        <v>47485</v>
      </c>
      <c r="T9" s="42"/>
      <c r="U9" s="42"/>
      <c r="V9" s="57"/>
      <c r="W9" s="34"/>
      <c r="X9" s="34" t="s">
        <v>1671</v>
      </c>
    </row>
    <row r="10" spans="1:24" x14ac:dyDescent="0.2">
      <c r="A10" s="132">
        <v>4</v>
      </c>
      <c r="B10" s="44">
        <v>44322</v>
      </c>
      <c r="C10" s="34" t="s">
        <v>46</v>
      </c>
      <c r="D10" s="40" t="str">
        <f t="shared" si="0"/>
        <v>2002000004</v>
      </c>
      <c r="E10" s="34" t="s">
        <v>82</v>
      </c>
      <c r="F10" s="52">
        <v>783838700</v>
      </c>
      <c r="G10" s="34"/>
      <c r="H10" s="34" t="s">
        <v>84</v>
      </c>
      <c r="I10" s="279">
        <v>31943</v>
      </c>
      <c r="J10" s="50">
        <f t="shared" ca="1" si="1"/>
        <v>36.284931506849318</v>
      </c>
      <c r="K10" s="50" t="str">
        <f ca="1">IFERROR(VLOOKUP($J10,Ref!$B$7:$C$9,2),"")</f>
        <v>Valid Age</v>
      </c>
      <c r="L10" s="55" t="s">
        <v>85</v>
      </c>
      <c r="M10" s="34"/>
      <c r="N10" s="34" t="s">
        <v>88</v>
      </c>
      <c r="O10" s="34" t="s">
        <v>90</v>
      </c>
      <c r="P10" s="34" t="s">
        <v>113</v>
      </c>
      <c r="Q10" s="34" t="s">
        <v>127</v>
      </c>
      <c r="R10" s="34" t="s">
        <v>130</v>
      </c>
      <c r="S10" s="42">
        <v>45832</v>
      </c>
      <c r="T10" s="42" t="s">
        <v>164</v>
      </c>
      <c r="U10" s="42" t="s">
        <v>161</v>
      </c>
      <c r="V10" s="57">
        <v>772675451</v>
      </c>
      <c r="W10" s="34"/>
      <c r="X10" s="34"/>
    </row>
    <row r="11" spans="1:24" x14ac:dyDescent="0.2">
      <c r="A11" s="257">
        <v>5</v>
      </c>
      <c r="B11" s="44">
        <v>44322</v>
      </c>
      <c r="C11" s="34" t="s">
        <v>47</v>
      </c>
      <c r="D11" s="40" t="str">
        <f t="shared" si="0"/>
        <v>2002000005</v>
      </c>
      <c r="E11" s="34" t="s">
        <v>82</v>
      </c>
      <c r="F11" s="52">
        <v>778191587</v>
      </c>
      <c r="G11" s="34"/>
      <c r="H11" s="34" t="s">
        <v>83</v>
      </c>
      <c r="I11" s="279">
        <v>32288</v>
      </c>
      <c r="J11" s="50">
        <f t="shared" ca="1" si="1"/>
        <v>35.339726027397262</v>
      </c>
      <c r="K11" s="50" t="str">
        <f ca="1">IFERROR(VLOOKUP($J11,Ref!$B$7:$C$9,2),"")</f>
        <v>Valid Age</v>
      </c>
      <c r="L11" s="55" t="s">
        <v>85</v>
      </c>
      <c r="M11" s="34"/>
      <c r="N11" s="34" t="s">
        <v>89</v>
      </c>
      <c r="O11" s="34" t="s">
        <v>96</v>
      </c>
      <c r="P11" s="34" t="s">
        <v>114</v>
      </c>
      <c r="Q11" s="34" t="s">
        <v>127</v>
      </c>
      <c r="R11" s="34" t="s">
        <v>131</v>
      </c>
      <c r="S11" s="42">
        <v>45626</v>
      </c>
      <c r="T11" s="42" t="s">
        <v>165</v>
      </c>
      <c r="U11" s="42" t="s">
        <v>163</v>
      </c>
      <c r="V11" s="57">
        <v>775414452</v>
      </c>
      <c r="W11" s="34"/>
      <c r="X11" s="34"/>
    </row>
    <row r="12" spans="1:24" x14ac:dyDescent="0.2">
      <c r="A12" s="132">
        <v>6</v>
      </c>
      <c r="B12" s="44">
        <v>44323</v>
      </c>
      <c r="C12" s="34" t="s">
        <v>48</v>
      </c>
      <c r="D12" s="40" t="str">
        <f t="shared" si="0"/>
        <v>2002000006</v>
      </c>
      <c r="E12" s="34" t="s">
        <v>82</v>
      </c>
      <c r="F12" s="52">
        <v>774186765</v>
      </c>
      <c r="G12" s="34"/>
      <c r="H12" s="34" t="s">
        <v>83</v>
      </c>
      <c r="I12" s="279">
        <v>24969</v>
      </c>
      <c r="J12" s="50">
        <f t="shared" ca="1" si="1"/>
        <v>55.391780821917806</v>
      </c>
      <c r="K12" s="50" t="str">
        <f ca="1">IFERROR(VLOOKUP($J12,Ref!$B$7:$C$9,2),"")</f>
        <v>Valid Age</v>
      </c>
      <c r="L12" s="55" t="s">
        <v>85</v>
      </c>
      <c r="M12" s="34"/>
      <c r="N12" s="34" t="s">
        <v>89</v>
      </c>
      <c r="O12" s="34" t="s">
        <v>97</v>
      </c>
      <c r="P12" s="34" t="s">
        <v>115</v>
      </c>
      <c r="Q12" s="34" t="s">
        <v>127</v>
      </c>
      <c r="R12" s="34" t="s">
        <v>132</v>
      </c>
      <c r="S12" s="42">
        <v>45832</v>
      </c>
      <c r="T12" s="42" t="s">
        <v>166</v>
      </c>
      <c r="U12" s="42" t="s">
        <v>163</v>
      </c>
      <c r="V12" s="57" t="s">
        <v>90</v>
      </c>
      <c r="W12" s="34"/>
      <c r="X12" s="34"/>
    </row>
    <row r="13" spans="1:24" x14ac:dyDescent="0.2">
      <c r="A13" s="257">
        <v>7</v>
      </c>
      <c r="B13" s="44">
        <v>44324</v>
      </c>
      <c r="C13" s="34" t="s">
        <v>49</v>
      </c>
      <c r="D13" s="40" t="str">
        <f t="shared" si="0"/>
        <v>2002000007</v>
      </c>
      <c r="E13" s="34" t="s">
        <v>82</v>
      </c>
      <c r="F13" s="52">
        <v>781198580</v>
      </c>
      <c r="G13" s="34"/>
      <c r="H13" s="34" t="s">
        <v>83</v>
      </c>
      <c r="I13" s="279">
        <v>29201</v>
      </c>
      <c r="J13" s="50">
        <f t="shared" ca="1" si="1"/>
        <v>43.797260273972604</v>
      </c>
      <c r="K13" s="50" t="str">
        <f ca="1">IFERROR(VLOOKUP($J13,Ref!$B$7:$C$9,2),"")</f>
        <v>Valid Age</v>
      </c>
      <c r="L13" s="55" t="s">
        <v>85</v>
      </c>
      <c r="M13" s="34"/>
      <c r="N13" s="34" t="s">
        <v>89</v>
      </c>
      <c r="O13" s="34" t="s">
        <v>98</v>
      </c>
      <c r="P13" s="34" t="s">
        <v>115</v>
      </c>
      <c r="Q13" s="34" t="s">
        <v>127</v>
      </c>
      <c r="R13" s="34" t="s">
        <v>133</v>
      </c>
      <c r="S13" s="42">
        <v>47469</v>
      </c>
      <c r="T13" s="42" t="s">
        <v>167</v>
      </c>
      <c r="U13" s="42" t="s">
        <v>168</v>
      </c>
      <c r="V13" s="57" t="s">
        <v>90</v>
      </c>
      <c r="W13" s="34"/>
      <c r="X13" s="34"/>
    </row>
    <row r="14" spans="1:24" x14ac:dyDescent="0.2">
      <c r="A14" s="132">
        <v>8</v>
      </c>
      <c r="B14" s="44">
        <v>44324</v>
      </c>
      <c r="C14" s="34" t="s">
        <v>50</v>
      </c>
      <c r="D14" s="40" t="str">
        <f t="shared" si="0"/>
        <v>2002000008</v>
      </c>
      <c r="E14" s="34" t="s">
        <v>82</v>
      </c>
      <c r="F14" s="52">
        <v>787955322</v>
      </c>
      <c r="G14" s="34"/>
      <c r="H14" s="34" t="s">
        <v>83</v>
      </c>
      <c r="I14" s="279">
        <v>34183</v>
      </c>
      <c r="J14" s="50">
        <f t="shared" ca="1" si="1"/>
        <v>30.147945205479452</v>
      </c>
      <c r="K14" s="50" t="str">
        <f ca="1">IFERROR(VLOOKUP($J14,Ref!$B$7:$C$9,2),"")</f>
        <v>Valid Age</v>
      </c>
      <c r="L14" s="55" t="s">
        <v>85</v>
      </c>
      <c r="M14" s="34"/>
      <c r="N14" s="34" t="s">
        <v>89</v>
      </c>
      <c r="O14" s="34" t="s">
        <v>99</v>
      </c>
      <c r="P14" s="34" t="s">
        <v>116</v>
      </c>
      <c r="Q14" s="34" t="s">
        <v>127</v>
      </c>
      <c r="R14" s="34" t="s">
        <v>134</v>
      </c>
      <c r="S14" s="42"/>
      <c r="T14" s="42" t="s">
        <v>169</v>
      </c>
      <c r="U14" s="42" t="s">
        <v>163</v>
      </c>
      <c r="V14" s="57">
        <v>782348745</v>
      </c>
      <c r="W14" s="34"/>
      <c r="X14" s="34"/>
    </row>
    <row r="15" spans="1:24" x14ac:dyDescent="0.2">
      <c r="A15" s="257">
        <v>9</v>
      </c>
      <c r="B15" s="45">
        <v>44324</v>
      </c>
      <c r="C15" s="34" t="s">
        <v>51</v>
      </c>
      <c r="D15" s="40" t="str">
        <f t="shared" si="0"/>
        <v>2002000009</v>
      </c>
      <c r="E15" s="34" t="s">
        <v>82</v>
      </c>
      <c r="F15" s="52">
        <v>770608989</v>
      </c>
      <c r="G15" s="34"/>
      <c r="H15" s="34" t="s">
        <v>83</v>
      </c>
      <c r="I15" s="278">
        <v>31391</v>
      </c>
      <c r="J15" s="50">
        <f t="shared" ca="1" si="1"/>
        <v>37.797260273972604</v>
      </c>
      <c r="K15" s="50" t="str">
        <f ca="1">IFERROR(VLOOKUP($J15,Ref!$B$7:$C$9,2),"")</f>
        <v>Valid Age</v>
      </c>
      <c r="L15" s="55" t="s">
        <v>85</v>
      </c>
      <c r="M15" s="34"/>
      <c r="N15" s="34" t="s">
        <v>89</v>
      </c>
      <c r="O15" s="34" t="s">
        <v>100</v>
      </c>
      <c r="P15" s="34" t="s">
        <v>100</v>
      </c>
      <c r="Q15" s="34" t="s">
        <v>127</v>
      </c>
      <c r="R15" s="34" t="s">
        <v>135</v>
      </c>
      <c r="S15" s="43">
        <v>45833</v>
      </c>
      <c r="T15" s="43" t="s">
        <v>170</v>
      </c>
      <c r="U15" s="43" t="s">
        <v>171</v>
      </c>
      <c r="V15" s="58">
        <v>775663589</v>
      </c>
      <c r="W15" s="34"/>
      <c r="X15" s="34"/>
    </row>
    <row r="16" spans="1:24" x14ac:dyDescent="0.2">
      <c r="A16" s="132">
        <v>10</v>
      </c>
      <c r="B16" s="45">
        <v>44324</v>
      </c>
      <c r="C16" s="34" t="s">
        <v>52</v>
      </c>
      <c r="D16" s="40" t="str">
        <f t="shared" si="0"/>
        <v>2002000010</v>
      </c>
      <c r="E16" s="34" t="s">
        <v>82</v>
      </c>
      <c r="F16" s="52">
        <v>781421992</v>
      </c>
      <c r="G16" s="34"/>
      <c r="H16" s="34" t="s">
        <v>84</v>
      </c>
      <c r="I16" s="278">
        <v>36570</v>
      </c>
      <c r="J16" s="50">
        <f t="shared" ca="1" si="1"/>
        <v>23.608219178082191</v>
      </c>
      <c r="K16" s="50" t="str">
        <f ca="1">IFERROR(VLOOKUP($J16,Ref!$B$7:$C$9,2),"")</f>
        <v>Valid Age</v>
      </c>
      <c r="L16" s="55" t="s">
        <v>86</v>
      </c>
      <c r="M16" s="34"/>
      <c r="N16" s="34" t="s">
        <v>90</v>
      </c>
      <c r="O16" s="34" t="s">
        <v>90</v>
      </c>
      <c r="P16" s="34" t="s">
        <v>117</v>
      </c>
      <c r="Q16" s="34" t="s">
        <v>136</v>
      </c>
      <c r="R16" s="34">
        <v>846314</v>
      </c>
      <c r="S16" s="43" t="s">
        <v>90</v>
      </c>
      <c r="T16" s="43" t="s">
        <v>172</v>
      </c>
      <c r="U16" s="43" t="s">
        <v>173</v>
      </c>
      <c r="V16" s="58">
        <v>781421992</v>
      </c>
      <c r="W16" s="34"/>
      <c r="X16" s="34"/>
    </row>
    <row r="17" spans="1:24" x14ac:dyDescent="0.2">
      <c r="A17" s="257">
        <v>11</v>
      </c>
      <c r="B17" s="45">
        <v>44324</v>
      </c>
      <c r="C17" s="34" t="s">
        <v>53</v>
      </c>
      <c r="D17" s="40" t="str">
        <f t="shared" si="0"/>
        <v>2002000011</v>
      </c>
      <c r="E17" s="34" t="s">
        <v>82</v>
      </c>
      <c r="F17" s="52">
        <v>780427424</v>
      </c>
      <c r="G17" s="34"/>
      <c r="H17" s="34" t="s">
        <v>83</v>
      </c>
      <c r="I17" s="278">
        <v>21389</v>
      </c>
      <c r="J17" s="50">
        <f t="shared" ca="1" si="1"/>
        <v>65.2</v>
      </c>
      <c r="K17" s="50" t="str">
        <f ca="1">IFERROR(VLOOKUP($J17,Ref!$B$7:$C$9,2),"")</f>
        <v>Over Age</v>
      </c>
      <c r="L17" s="55" t="s">
        <v>85</v>
      </c>
      <c r="M17" s="34"/>
      <c r="N17" s="34" t="s">
        <v>91</v>
      </c>
      <c r="O17" s="34" t="s">
        <v>101</v>
      </c>
      <c r="P17" s="34" t="s">
        <v>101</v>
      </c>
      <c r="Q17" s="34" t="s">
        <v>127</v>
      </c>
      <c r="R17" s="34" t="s">
        <v>137</v>
      </c>
      <c r="S17" s="43">
        <v>45605</v>
      </c>
      <c r="T17" s="43" t="s">
        <v>174</v>
      </c>
      <c r="U17" s="43" t="s">
        <v>163</v>
      </c>
      <c r="V17" s="58" t="s">
        <v>90</v>
      </c>
      <c r="W17" s="34"/>
      <c r="X17" s="34"/>
    </row>
    <row r="18" spans="1:24" x14ac:dyDescent="0.2">
      <c r="A18" s="132">
        <v>12</v>
      </c>
      <c r="B18" s="45">
        <v>44326</v>
      </c>
      <c r="C18" s="34" t="s">
        <v>54</v>
      </c>
      <c r="D18" s="40" t="str">
        <f t="shared" si="0"/>
        <v>2002000012</v>
      </c>
      <c r="E18" s="34" t="s">
        <v>82</v>
      </c>
      <c r="F18" s="52">
        <v>774084455</v>
      </c>
      <c r="G18" s="34"/>
      <c r="H18" s="34" t="s">
        <v>83</v>
      </c>
      <c r="I18" s="278">
        <v>28484</v>
      </c>
      <c r="J18" s="50">
        <f t="shared" ca="1" si="1"/>
        <v>45.761643835616439</v>
      </c>
      <c r="K18" s="50" t="str">
        <f ca="1">IFERROR(VLOOKUP($J18,Ref!$B$7:$C$9,2),"")</f>
        <v>Valid Age</v>
      </c>
      <c r="L18" s="55" t="s">
        <v>85</v>
      </c>
      <c r="M18" s="34"/>
      <c r="N18" s="34" t="s">
        <v>92</v>
      </c>
      <c r="O18" s="34" t="s">
        <v>98</v>
      </c>
      <c r="P18" s="34" t="s">
        <v>98</v>
      </c>
      <c r="Q18" s="34" t="s">
        <v>127</v>
      </c>
      <c r="R18" s="34" t="s">
        <v>138</v>
      </c>
      <c r="S18" s="43">
        <v>45978</v>
      </c>
      <c r="T18" s="43" t="s">
        <v>175</v>
      </c>
      <c r="U18" s="43" t="s">
        <v>171</v>
      </c>
      <c r="V18" s="58">
        <v>774151944</v>
      </c>
      <c r="W18" s="34"/>
      <c r="X18" s="34"/>
    </row>
    <row r="19" spans="1:24" x14ac:dyDescent="0.2">
      <c r="A19" s="132">
        <v>13</v>
      </c>
      <c r="B19" s="45">
        <v>44326</v>
      </c>
      <c r="C19" s="34" t="s">
        <v>55</v>
      </c>
      <c r="D19" s="40" t="str">
        <f t="shared" si="0"/>
        <v>2002000013</v>
      </c>
      <c r="E19" s="34" t="s">
        <v>82</v>
      </c>
      <c r="F19" s="52">
        <v>783606732</v>
      </c>
      <c r="G19" s="34"/>
      <c r="H19" s="34" t="s">
        <v>83</v>
      </c>
      <c r="I19" s="278">
        <v>17385</v>
      </c>
      <c r="J19" s="50">
        <f t="shared" ca="1" si="1"/>
        <v>76.169863013698631</v>
      </c>
      <c r="K19" s="50" t="str">
        <f ca="1">IFERROR(VLOOKUP($J19,Ref!$B$7:$C$9,2),"")</f>
        <v>Over Age</v>
      </c>
      <c r="L19" s="55" t="s">
        <v>85</v>
      </c>
      <c r="M19" s="34"/>
      <c r="N19" s="34" t="s">
        <v>91</v>
      </c>
      <c r="O19" s="34" t="s">
        <v>102</v>
      </c>
      <c r="P19" s="34" t="s">
        <v>102</v>
      </c>
      <c r="Q19" s="34" t="s">
        <v>127</v>
      </c>
      <c r="R19" s="34" t="s">
        <v>139</v>
      </c>
      <c r="S19" s="43">
        <v>45592</v>
      </c>
      <c r="T19" s="43" t="s">
        <v>176</v>
      </c>
      <c r="U19" s="43" t="s">
        <v>163</v>
      </c>
      <c r="V19" s="58">
        <v>783606732</v>
      </c>
      <c r="W19" s="34"/>
      <c r="X19" s="34"/>
    </row>
    <row r="20" spans="1:24" x14ac:dyDescent="0.2">
      <c r="A20" s="257">
        <v>14</v>
      </c>
      <c r="B20" s="45">
        <v>44330</v>
      </c>
      <c r="C20" s="34" t="s">
        <v>56</v>
      </c>
      <c r="D20" s="40" t="str">
        <f t="shared" si="0"/>
        <v>2002000014</v>
      </c>
      <c r="E20" s="34" t="s">
        <v>82</v>
      </c>
      <c r="F20" s="52">
        <v>773482402</v>
      </c>
      <c r="G20" s="34">
        <v>784778091</v>
      </c>
      <c r="H20" s="34" t="s">
        <v>83</v>
      </c>
      <c r="I20" s="278">
        <v>33805</v>
      </c>
      <c r="J20" s="50">
        <f t="shared" ca="1" si="1"/>
        <v>31.183561643835617</v>
      </c>
      <c r="K20" s="50" t="str">
        <f ca="1">IFERROR(VLOOKUP($J20,Ref!$B$7:$C$9,2),"")</f>
        <v>Valid Age</v>
      </c>
      <c r="L20" s="55" t="s">
        <v>85</v>
      </c>
      <c r="M20" s="34"/>
      <c r="N20" s="34" t="s">
        <v>93</v>
      </c>
      <c r="O20" s="34" t="s">
        <v>103</v>
      </c>
      <c r="P20" s="34" t="s">
        <v>118</v>
      </c>
      <c r="Q20" s="34" t="s">
        <v>127</v>
      </c>
      <c r="R20" s="34" t="s">
        <v>140</v>
      </c>
      <c r="S20" s="43" t="s">
        <v>90</v>
      </c>
      <c r="T20" s="43" t="s">
        <v>177</v>
      </c>
      <c r="U20" s="43" t="s">
        <v>163</v>
      </c>
      <c r="V20" s="58">
        <v>788407951</v>
      </c>
      <c r="W20" s="34"/>
      <c r="X20" s="34"/>
    </row>
    <row r="21" spans="1:24" x14ac:dyDescent="0.2">
      <c r="A21" s="132">
        <v>15</v>
      </c>
      <c r="B21" s="45">
        <v>44331</v>
      </c>
      <c r="C21" s="34" t="s">
        <v>57</v>
      </c>
      <c r="D21" s="40" t="str">
        <f t="shared" si="0"/>
        <v>2002000015</v>
      </c>
      <c r="E21" s="34" t="s">
        <v>82</v>
      </c>
      <c r="F21" s="52">
        <v>787955883</v>
      </c>
      <c r="G21" s="34"/>
      <c r="H21" s="34" t="s">
        <v>84</v>
      </c>
      <c r="I21" s="278">
        <v>29561</v>
      </c>
      <c r="J21" s="50">
        <f t="shared" ca="1" si="1"/>
        <v>42.81095890410959</v>
      </c>
      <c r="K21" s="50" t="str">
        <f ca="1">IFERROR(VLOOKUP($J21,Ref!$B$7:$C$9,2),"")</f>
        <v>Valid Age</v>
      </c>
      <c r="L21" s="55" t="s">
        <v>85</v>
      </c>
      <c r="M21" s="34"/>
      <c r="N21" s="34" t="s">
        <v>88</v>
      </c>
      <c r="O21" s="34" t="s">
        <v>104</v>
      </c>
      <c r="P21" s="34" t="s">
        <v>113</v>
      </c>
      <c r="Q21" s="34" t="s">
        <v>127</v>
      </c>
      <c r="R21" s="34" t="s">
        <v>141</v>
      </c>
      <c r="S21" s="43" t="s">
        <v>90</v>
      </c>
      <c r="T21" s="43" t="s">
        <v>178</v>
      </c>
      <c r="U21" s="43" t="s">
        <v>173</v>
      </c>
      <c r="V21" s="58">
        <v>392552445</v>
      </c>
      <c r="W21" s="34"/>
      <c r="X21" s="34"/>
    </row>
    <row r="22" spans="1:24" x14ac:dyDescent="0.2">
      <c r="A22" s="257">
        <v>16</v>
      </c>
      <c r="B22" s="45">
        <v>44334</v>
      </c>
      <c r="C22" s="34" t="s">
        <v>58</v>
      </c>
      <c r="D22" s="40" t="str">
        <f t="shared" si="0"/>
        <v>2002000016</v>
      </c>
      <c r="E22" s="34" t="s">
        <v>82</v>
      </c>
      <c r="F22" s="52">
        <v>773194718</v>
      </c>
      <c r="G22" s="34"/>
      <c r="H22" s="34" t="s">
        <v>83</v>
      </c>
      <c r="I22" s="278">
        <v>32346</v>
      </c>
      <c r="J22" s="50">
        <f t="shared" ca="1" si="1"/>
        <v>35.180821917808217</v>
      </c>
      <c r="K22" s="50" t="str">
        <f ca="1">IFERROR(VLOOKUP($J22,Ref!$B$7:$C$9,2),"")</f>
        <v>Valid Age</v>
      </c>
      <c r="L22" s="55" t="s">
        <v>85</v>
      </c>
      <c r="M22" s="34"/>
      <c r="N22" s="34" t="s">
        <v>94</v>
      </c>
      <c r="O22" s="34" t="s">
        <v>105</v>
      </c>
      <c r="P22" s="34" t="s">
        <v>119</v>
      </c>
      <c r="Q22" s="34" t="s">
        <v>127</v>
      </c>
      <c r="R22" s="34" t="s">
        <v>142</v>
      </c>
      <c r="S22" s="43">
        <v>45747</v>
      </c>
      <c r="T22" s="43" t="s">
        <v>179</v>
      </c>
      <c r="U22" s="43" t="s">
        <v>171</v>
      </c>
      <c r="V22" s="58">
        <v>779858448</v>
      </c>
      <c r="W22" s="34"/>
      <c r="X22" s="34"/>
    </row>
    <row r="23" spans="1:24" x14ac:dyDescent="0.2">
      <c r="A23" s="132">
        <v>17</v>
      </c>
      <c r="B23" s="45">
        <v>44335</v>
      </c>
      <c r="C23" s="34" t="s">
        <v>883</v>
      </c>
      <c r="D23" s="40" t="str">
        <f t="shared" si="0"/>
        <v>2002000017</v>
      </c>
      <c r="E23" s="34" t="s">
        <v>82</v>
      </c>
      <c r="F23" s="52">
        <v>779924172</v>
      </c>
      <c r="G23" s="34"/>
      <c r="H23" s="34" t="s">
        <v>83</v>
      </c>
      <c r="I23" s="278">
        <v>32143</v>
      </c>
      <c r="J23" s="50">
        <f t="shared" ca="1" si="1"/>
        <v>35.736986301369861</v>
      </c>
      <c r="K23" s="50" t="str">
        <f ca="1">IFERROR(VLOOKUP($J23,Ref!$B$7:$C$9,2),"")</f>
        <v>Valid Age</v>
      </c>
      <c r="L23" s="55" t="s">
        <v>85</v>
      </c>
      <c r="M23" s="34"/>
      <c r="N23" s="34" t="s">
        <v>89</v>
      </c>
      <c r="O23" s="34" t="s">
        <v>106</v>
      </c>
      <c r="P23" s="34" t="s">
        <v>106</v>
      </c>
      <c r="Q23" s="34" t="s">
        <v>127</v>
      </c>
      <c r="R23" s="34" t="s">
        <v>143</v>
      </c>
      <c r="S23" s="43">
        <v>45833</v>
      </c>
      <c r="T23" s="43" t="s">
        <v>180</v>
      </c>
      <c r="U23" s="43" t="s">
        <v>181</v>
      </c>
      <c r="V23" s="58">
        <v>782349000</v>
      </c>
      <c r="W23" s="34"/>
      <c r="X23" s="34"/>
    </row>
    <row r="24" spans="1:24" x14ac:dyDescent="0.2">
      <c r="A24" s="257">
        <v>18</v>
      </c>
      <c r="B24" s="45">
        <v>44335</v>
      </c>
      <c r="C24" s="34" t="s">
        <v>59</v>
      </c>
      <c r="D24" s="40" t="str">
        <f t="shared" si="0"/>
        <v>2002000018</v>
      </c>
      <c r="E24" s="34" t="s">
        <v>82</v>
      </c>
      <c r="F24" s="52">
        <v>792068002</v>
      </c>
      <c r="G24" s="34"/>
      <c r="H24" s="34" t="s">
        <v>84</v>
      </c>
      <c r="I24" s="278">
        <v>30706</v>
      </c>
      <c r="J24" s="50">
        <f t="shared" ca="1" si="1"/>
        <v>39.673972602739724</v>
      </c>
      <c r="K24" s="50" t="str">
        <f ca="1">IFERROR(VLOOKUP($J24,Ref!$B$7:$C$9,2),"")</f>
        <v>Valid Age</v>
      </c>
      <c r="L24" s="55" t="s">
        <v>85</v>
      </c>
      <c r="M24" s="34"/>
      <c r="N24" s="34" t="s">
        <v>88</v>
      </c>
      <c r="O24" s="34" t="s">
        <v>107</v>
      </c>
      <c r="P24" s="34" t="s">
        <v>107</v>
      </c>
      <c r="Q24" s="34" t="s">
        <v>127</v>
      </c>
      <c r="R24" s="34" t="s">
        <v>144</v>
      </c>
      <c r="S24" s="43">
        <v>45832</v>
      </c>
      <c r="T24" s="43" t="s">
        <v>182</v>
      </c>
      <c r="U24" s="43" t="s">
        <v>163</v>
      </c>
      <c r="V24" s="58">
        <v>772088625</v>
      </c>
      <c r="W24" s="34"/>
      <c r="X24" s="34"/>
    </row>
    <row r="25" spans="1:24" x14ac:dyDescent="0.2">
      <c r="A25" s="132">
        <v>19</v>
      </c>
      <c r="B25" s="45">
        <v>44337</v>
      </c>
      <c r="C25" s="34" t="s">
        <v>60</v>
      </c>
      <c r="D25" s="40" t="str">
        <f t="shared" si="0"/>
        <v>2002000019</v>
      </c>
      <c r="E25" s="34" t="s">
        <v>82</v>
      </c>
      <c r="F25" s="52">
        <v>772158785</v>
      </c>
      <c r="G25" s="34">
        <v>774071248</v>
      </c>
      <c r="H25" s="34" t="s">
        <v>84</v>
      </c>
      <c r="I25" s="278">
        <v>33915</v>
      </c>
      <c r="J25" s="50">
        <f t="shared" ca="1" si="1"/>
        <v>30.882191780821916</v>
      </c>
      <c r="K25" s="50" t="str">
        <f ca="1">IFERROR(VLOOKUP($J25,Ref!$B$7:$C$9,2),"")</f>
        <v>Valid Age</v>
      </c>
      <c r="L25" s="55" t="s">
        <v>85</v>
      </c>
      <c r="M25" s="34"/>
      <c r="N25" s="34" t="s">
        <v>88</v>
      </c>
      <c r="O25" s="34" t="s">
        <v>108</v>
      </c>
      <c r="P25" s="34" t="s">
        <v>118</v>
      </c>
      <c r="Q25" s="34" t="s">
        <v>127</v>
      </c>
      <c r="R25" s="34" t="s">
        <v>145</v>
      </c>
      <c r="S25" s="43">
        <v>45843</v>
      </c>
      <c r="T25" s="43" t="s">
        <v>183</v>
      </c>
      <c r="U25" s="43" t="s">
        <v>184</v>
      </c>
      <c r="V25" s="58">
        <v>793500892</v>
      </c>
      <c r="W25" s="34"/>
      <c r="X25" s="34"/>
    </row>
    <row r="26" spans="1:24" x14ac:dyDescent="0.2">
      <c r="A26" s="257">
        <v>20</v>
      </c>
      <c r="B26" s="45">
        <v>44337</v>
      </c>
      <c r="C26" s="34" t="s">
        <v>61</v>
      </c>
      <c r="D26" s="40" t="str">
        <f t="shared" si="0"/>
        <v>2002000020</v>
      </c>
      <c r="E26" s="34" t="s">
        <v>82</v>
      </c>
      <c r="F26" s="52">
        <v>787667944</v>
      </c>
      <c r="G26" s="34"/>
      <c r="H26" s="34" t="s">
        <v>84</v>
      </c>
      <c r="I26" s="278">
        <v>33054</v>
      </c>
      <c r="J26" s="50">
        <f t="shared" ca="1" si="1"/>
        <v>33.241095890410961</v>
      </c>
      <c r="K26" s="50" t="str">
        <f ca="1">IFERROR(VLOOKUP($J26,Ref!$B$7:$C$9,2),"")</f>
        <v>Valid Age</v>
      </c>
      <c r="L26" s="55" t="s">
        <v>85</v>
      </c>
      <c r="M26" s="34"/>
      <c r="N26" s="34" t="s">
        <v>88</v>
      </c>
      <c r="O26" s="34" t="s">
        <v>108</v>
      </c>
      <c r="P26" s="34" t="s">
        <v>118</v>
      </c>
      <c r="Q26" s="34" t="s">
        <v>127</v>
      </c>
      <c r="R26" s="34" t="s">
        <v>146</v>
      </c>
      <c r="S26" s="43">
        <v>45843</v>
      </c>
      <c r="T26" s="43" t="s">
        <v>185</v>
      </c>
      <c r="U26" s="43" t="s">
        <v>184</v>
      </c>
      <c r="V26" s="58">
        <v>789603836</v>
      </c>
      <c r="W26" s="34"/>
      <c r="X26" s="34"/>
    </row>
    <row r="27" spans="1:24" x14ac:dyDescent="0.2">
      <c r="A27" s="132">
        <v>21</v>
      </c>
      <c r="B27" s="45">
        <v>44340</v>
      </c>
      <c r="C27" s="34" t="s">
        <v>62</v>
      </c>
      <c r="D27" s="40" t="str">
        <f t="shared" si="0"/>
        <v>2002000021</v>
      </c>
      <c r="E27" s="34" t="s">
        <v>82</v>
      </c>
      <c r="F27" s="52">
        <v>775650775</v>
      </c>
      <c r="G27" s="34"/>
      <c r="H27" s="34" t="s">
        <v>84</v>
      </c>
      <c r="I27" s="278">
        <v>32735</v>
      </c>
      <c r="J27" s="50">
        <f t="shared" ca="1" si="1"/>
        <v>34.115068493150687</v>
      </c>
      <c r="K27" s="50" t="str">
        <f ca="1">IFERROR(VLOOKUP($J27,Ref!$B$7:$C$9,2),"")</f>
        <v>Valid Age</v>
      </c>
      <c r="L27" s="55" t="s">
        <v>85</v>
      </c>
      <c r="M27" s="34"/>
      <c r="N27" s="34" t="s">
        <v>88</v>
      </c>
      <c r="O27" s="34" t="s">
        <v>109</v>
      </c>
      <c r="P27" s="34" t="s">
        <v>120</v>
      </c>
      <c r="Q27" s="34" t="s">
        <v>127</v>
      </c>
      <c r="R27" s="34" t="s">
        <v>147</v>
      </c>
      <c r="S27" s="43">
        <v>45834</v>
      </c>
      <c r="T27" s="43" t="s">
        <v>186</v>
      </c>
      <c r="U27" s="43" t="s">
        <v>184</v>
      </c>
      <c r="V27" s="58">
        <v>777240338</v>
      </c>
      <c r="W27" s="34"/>
      <c r="X27" s="34"/>
    </row>
    <row r="28" spans="1:24" x14ac:dyDescent="0.2">
      <c r="A28" s="257">
        <v>22</v>
      </c>
      <c r="B28" s="45">
        <v>44340</v>
      </c>
      <c r="C28" s="34" t="s">
        <v>63</v>
      </c>
      <c r="D28" s="40" t="str">
        <f t="shared" si="0"/>
        <v>2002000022</v>
      </c>
      <c r="E28" s="34" t="s">
        <v>82</v>
      </c>
      <c r="F28" s="52">
        <v>786361864</v>
      </c>
      <c r="G28" s="34"/>
      <c r="H28" s="34" t="s">
        <v>83</v>
      </c>
      <c r="I28" s="278">
        <v>33936</v>
      </c>
      <c r="J28" s="50">
        <f t="shared" ca="1" si="1"/>
        <v>30.824657534246576</v>
      </c>
      <c r="K28" s="50" t="str">
        <f ca="1">IFERROR(VLOOKUP($J28,Ref!$B$7:$C$9,2),"")</f>
        <v>Valid Age</v>
      </c>
      <c r="L28" s="55" t="s">
        <v>85</v>
      </c>
      <c r="M28" s="34"/>
      <c r="N28" s="34" t="s">
        <v>89</v>
      </c>
      <c r="O28" s="34" t="s">
        <v>98</v>
      </c>
      <c r="P28" s="34" t="s">
        <v>121</v>
      </c>
      <c r="Q28" s="34" t="s">
        <v>127</v>
      </c>
      <c r="R28" s="34" t="s">
        <v>148</v>
      </c>
      <c r="S28" s="43">
        <v>45833</v>
      </c>
      <c r="T28" s="43" t="s">
        <v>187</v>
      </c>
      <c r="U28" s="43" t="s">
        <v>171</v>
      </c>
      <c r="V28" s="58">
        <v>777434979</v>
      </c>
      <c r="W28" s="34"/>
      <c r="X28" s="34"/>
    </row>
    <row r="29" spans="1:24" x14ac:dyDescent="0.2">
      <c r="A29" s="132">
        <v>23</v>
      </c>
      <c r="B29" s="45">
        <v>44340</v>
      </c>
      <c r="C29" s="34" t="s">
        <v>64</v>
      </c>
      <c r="D29" s="40" t="str">
        <f t="shared" si="0"/>
        <v>2002000023</v>
      </c>
      <c r="E29" s="34" t="s">
        <v>82</v>
      </c>
      <c r="F29" s="52">
        <v>774106932</v>
      </c>
      <c r="G29" s="34"/>
      <c r="H29" s="34" t="s">
        <v>84</v>
      </c>
      <c r="I29" s="278">
        <v>30648</v>
      </c>
      <c r="J29" s="50">
        <f t="shared" ca="1" si="1"/>
        <v>39.832876712328769</v>
      </c>
      <c r="K29" s="50" t="str">
        <f ca="1">IFERROR(VLOOKUP($J29,Ref!$B$7:$C$9,2),"")</f>
        <v>Valid Age</v>
      </c>
      <c r="L29" s="55" t="s">
        <v>85</v>
      </c>
      <c r="M29" s="34"/>
      <c r="N29" s="34" t="s">
        <v>88</v>
      </c>
      <c r="O29" s="34" t="s">
        <v>108</v>
      </c>
      <c r="P29" s="34" t="s">
        <v>113</v>
      </c>
      <c r="Q29" s="34" t="s">
        <v>127</v>
      </c>
      <c r="R29" s="34" t="s">
        <v>149</v>
      </c>
      <c r="S29" s="43">
        <v>45833</v>
      </c>
      <c r="T29" s="43" t="s">
        <v>188</v>
      </c>
      <c r="U29" s="43" t="s">
        <v>168</v>
      </c>
      <c r="V29" s="58" t="s">
        <v>90</v>
      </c>
      <c r="W29" s="34"/>
      <c r="X29" s="34"/>
    </row>
    <row r="30" spans="1:24" x14ac:dyDescent="0.2">
      <c r="A30" s="257">
        <v>24</v>
      </c>
      <c r="B30" s="45">
        <v>44340</v>
      </c>
      <c r="C30" s="34" t="s">
        <v>65</v>
      </c>
      <c r="D30" s="40" t="str">
        <f t="shared" si="0"/>
        <v>2002000024</v>
      </c>
      <c r="E30" s="34" t="s">
        <v>25</v>
      </c>
      <c r="F30" s="52">
        <v>788750237</v>
      </c>
      <c r="G30" s="34"/>
      <c r="H30" s="34" t="s">
        <v>83</v>
      </c>
      <c r="I30" s="278">
        <v>35337</v>
      </c>
      <c r="J30" s="50">
        <f t="shared" ca="1" si="1"/>
        <v>26.986301369863014</v>
      </c>
      <c r="K30" s="50" t="str">
        <f ca="1">IFERROR(VLOOKUP($J30,Ref!$B$7:$C$9,2),"")</f>
        <v>Valid Age</v>
      </c>
      <c r="L30" s="55" t="s">
        <v>86</v>
      </c>
      <c r="M30" s="34"/>
      <c r="N30" s="34" t="s">
        <v>1279</v>
      </c>
      <c r="O30" s="34" t="s">
        <v>1281</v>
      </c>
      <c r="P30" s="34" t="s">
        <v>116</v>
      </c>
      <c r="Q30" s="34" t="s">
        <v>127</v>
      </c>
      <c r="R30" s="34" t="s">
        <v>1282</v>
      </c>
      <c r="S30" s="43">
        <v>45833</v>
      </c>
      <c r="T30" s="43"/>
      <c r="U30" s="43"/>
      <c r="V30" s="58"/>
      <c r="W30" s="34"/>
      <c r="X30" s="34"/>
    </row>
    <row r="31" spans="1:24" x14ac:dyDescent="0.2">
      <c r="A31" s="132">
        <v>25</v>
      </c>
      <c r="B31" s="45">
        <v>44340</v>
      </c>
      <c r="C31" s="34" t="s">
        <v>66</v>
      </c>
      <c r="D31" s="40" t="str">
        <f t="shared" si="0"/>
        <v>2002000025</v>
      </c>
      <c r="E31" s="34" t="s">
        <v>25</v>
      </c>
      <c r="F31" s="52">
        <v>785027816</v>
      </c>
      <c r="G31" s="34"/>
      <c r="H31" s="34" t="s">
        <v>83</v>
      </c>
      <c r="I31" s="278"/>
      <c r="J31" s="50" t="str">
        <f t="shared" ca="1" si="1"/>
        <v/>
      </c>
      <c r="K31" s="50" t="str">
        <f ca="1">IFERROR(VLOOKUP($J31,Ref!$B$7:$C$9,2),"")</f>
        <v/>
      </c>
      <c r="L31" s="55" t="s">
        <v>85</v>
      </c>
      <c r="M31" s="34"/>
      <c r="N31" s="34" t="s">
        <v>1279</v>
      </c>
      <c r="O31" s="34" t="s">
        <v>1281</v>
      </c>
      <c r="P31" s="34"/>
      <c r="Q31" s="34"/>
      <c r="R31" s="34"/>
      <c r="S31" s="43"/>
      <c r="T31" s="43"/>
      <c r="U31" s="43"/>
      <c r="V31" s="58"/>
      <c r="W31" s="34"/>
      <c r="X31" s="34"/>
    </row>
    <row r="32" spans="1:24" x14ac:dyDescent="0.2">
      <c r="A32" s="257">
        <v>26</v>
      </c>
      <c r="B32" s="45">
        <v>44340</v>
      </c>
      <c r="C32" s="34" t="s">
        <v>67</v>
      </c>
      <c r="D32" s="40" t="str">
        <f t="shared" si="0"/>
        <v>2002000026</v>
      </c>
      <c r="E32" s="34" t="s">
        <v>25</v>
      </c>
      <c r="F32" s="52">
        <v>781182712</v>
      </c>
      <c r="G32" s="34">
        <v>792466157</v>
      </c>
      <c r="H32" s="34" t="s">
        <v>84</v>
      </c>
      <c r="I32" s="278"/>
      <c r="J32" s="50" t="str">
        <f t="shared" ca="1" si="1"/>
        <v/>
      </c>
      <c r="K32" s="50" t="str">
        <f ca="1">IFERROR(VLOOKUP($J32,Ref!$B$7:$C$9,2),"")</f>
        <v/>
      </c>
      <c r="L32" s="55" t="s">
        <v>85</v>
      </c>
      <c r="M32" s="34"/>
      <c r="N32" s="34" t="s">
        <v>1279</v>
      </c>
      <c r="O32" s="34" t="s">
        <v>1281</v>
      </c>
      <c r="P32" s="34"/>
      <c r="Q32" s="34"/>
      <c r="R32" s="34"/>
      <c r="S32" s="43"/>
      <c r="T32" s="43"/>
      <c r="U32" s="43"/>
      <c r="V32" s="58"/>
      <c r="W32" s="34"/>
      <c r="X32" s="34"/>
    </row>
    <row r="33" spans="1:24" x14ac:dyDescent="0.2">
      <c r="A33" s="132">
        <v>27</v>
      </c>
      <c r="B33" s="45">
        <v>44340</v>
      </c>
      <c r="C33" s="34" t="s">
        <v>68</v>
      </c>
      <c r="D33" s="40" t="str">
        <f t="shared" si="0"/>
        <v>2002000027</v>
      </c>
      <c r="E33" s="34" t="s">
        <v>25</v>
      </c>
      <c r="F33" s="52">
        <v>787607828</v>
      </c>
      <c r="G33" s="34"/>
      <c r="H33" s="34" t="s">
        <v>83</v>
      </c>
      <c r="I33" s="278"/>
      <c r="J33" s="50" t="str">
        <f t="shared" ca="1" si="1"/>
        <v/>
      </c>
      <c r="K33" s="50" t="str">
        <f ca="1">IFERROR(VLOOKUP($J33,Ref!$B$7:$C$9,2),"")</f>
        <v/>
      </c>
      <c r="L33" s="55" t="s">
        <v>86</v>
      </c>
      <c r="M33" s="34"/>
      <c r="N33" s="34" t="s">
        <v>1279</v>
      </c>
      <c r="O33" s="34" t="s">
        <v>1281</v>
      </c>
      <c r="P33" s="34"/>
      <c r="Q33" s="34"/>
      <c r="R33" s="34"/>
      <c r="S33" s="43"/>
      <c r="T33" s="43"/>
      <c r="U33" s="43"/>
      <c r="V33" s="58"/>
      <c r="W33" s="34"/>
      <c r="X33" s="34"/>
    </row>
    <row r="34" spans="1:24" x14ac:dyDescent="0.2">
      <c r="A34" s="257">
        <v>28</v>
      </c>
      <c r="B34" s="45">
        <v>44340</v>
      </c>
      <c r="C34" s="34" t="s">
        <v>69</v>
      </c>
      <c r="D34" s="40" t="str">
        <f t="shared" si="0"/>
        <v>2002000028</v>
      </c>
      <c r="E34" s="34" t="s">
        <v>25</v>
      </c>
      <c r="F34" s="52">
        <v>778195161</v>
      </c>
      <c r="G34" s="34"/>
      <c r="H34" s="34" t="s">
        <v>84</v>
      </c>
      <c r="I34" s="278"/>
      <c r="J34" s="50" t="str">
        <f t="shared" ca="1" si="1"/>
        <v/>
      </c>
      <c r="K34" s="50" t="str">
        <f ca="1">IFERROR(VLOOKUP($J34,Ref!$B$7:$C$9,2),"")</f>
        <v/>
      </c>
      <c r="L34" s="55" t="s">
        <v>85</v>
      </c>
      <c r="M34" s="34"/>
      <c r="N34" s="34" t="s">
        <v>1279</v>
      </c>
      <c r="O34" s="34" t="s">
        <v>1281</v>
      </c>
      <c r="P34" s="34"/>
      <c r="Q34" s="34"/>
      <c r="R34" s="34"/>
      <c r="S34" s="43"/>
      <c r="T34" s="43"/>
      <c r="U34" s="43"/>
      <c r="V34" s="58"/>
      <c r="W34" s="34"/>
      <c r="X34" s="34"/>
    </row>
    <row r="35" spans="1:24" x14ac:dyDescent="0.2">
      <c r="A35" s="132">
        <v>29</v>
      </c>
      <c r="B35" s="45">
        <v>44340</v>
      </c>
      <c r="C35" s="34" t="s">
        <v>70</v>
      </c>
      <c r="D35" s="40" t="str">
        <f t="shared" si="0"/>
        <v>2002000029</v>
      </c>
      <c r="E35" s="34" t="s">
        <v>25</v>
      </c>
      <c r="F35" s="52">
        <v>775636518</v>
      </c>
      <c r="G35" s="34"/>
      <c r="H35" s="34" t="s">
        <v>84</v>
      </c>
      <c r="I35" s="278"/>
      <c r="J35" s="50" t="str">
        <f t="shared" ca="1" si="1"/>
        <v/>
      </c>
      <c r="K35" s="50" t="str">
        <f ca="1">IFERROR(VLOOKUP($J35,Ref!$B$7:$C$9,2),"")</f>
        <v/>
      </c>
      <c r="L35" s="55" t="s">
        <v>85</v>
      </c>
      <c r="M35" s="34"/>
      <c r="N35" s="34" t="s">
        <v>1279</v>
      </c>
      <c r="O35" s="34" t="s">
        <v>1281</v>
      </c>
      <c r="P35" s="34"/>
      <c r="Q35" s="34"/>
      <c r="R35" s="34"/>
      <c r="S35" s="43"/>
      <c r="T35" s="43"/>
      <c r="U35" s="43"/>
      <c r="V35" s="58"/>
      <c r="W35" s="34"/>
      <c r="X35" s="34"/>
    </row>
    <row r="36" spans="1:24" x14ac:dyDescent="0.2">
      <c r="A36" s="257">
        <v>30</v>
      </c>
      <c r="B36" s="45">
        <v>44341</v>
      </c>
      <c r="C36" s="34" t="s">
        <v>71</v>
      </c>
      <c r="D36" s="40" t="str">
        <f t="shared" si="0"/>
        <v>2002000030</v>
      </c>
      <c r="E36" s="34" t="s">
        <v>82</v>
      </c>
      <c r="F36" s="52">
        <v>786510762</v>
      </c>
      <c r="G36" s="34"/>
      <c r="H36" s="34" t="s">
        <v>84</v>
      </c>
      <c r="I36" s="278">
        <v>32174</v>
      </c>
      <c r="J36" s="50">
        <f t="shared" ca="1" si="1"/>
        <v>35.652054794520545</v>
      </c>
      <c r="K36" s="50" t="str">
        <f ca="1">IFERROR(VLOOKUP($J36,Ref!$B$7:$C$9,2),"")</f>
        <v>Valid Age</v>
      </c>
      <c r="L36" s="55" t="s">
        <v>85</v>
      </c>
      <c r="M36" s="34"/>
      <c r="N36" s="34" t="s">
        <v>88</v>
      </c>
      <c r="O36" s="34" t="s">
        <v>108</v>
      </c>
      <c r="P36" s="34" t="s">
        <v>122</v>
      </c>
      <c r="Q36" s="34" t="s">
        <v>127</v>
      </c>
      <c r="R36" s="34" t="s">
        <v>150</v>
      </c>
      <c r="S36" s="43">
        <v>44371</v>
      </c>
      <c r="T36" s="43" t="s">
        <v>189</v>
      </c>
      <c r="U36" s="43" t="s">
        <v>163</v>
      </c>
      <c r="V36" s="58" t="s">
        <v>90</v>
      </c>
      <c r="W36" s="34"/>
      <c r="X36" s="34"/>
    </row>
    <row r="37" spans="1:24" x14ac:dyDescent="0.2">
      <c r="A37" s="132">
        <v>31</v>
      </c>
      <c r="B37" s="45">
        <v>44341</v>
      </c>
      <c r="C37" s="34" t="s">
        <v>72</v>
      </c>
      <c r="D37" s="40" t="str">
        <f t="shared" si="0"/>
        <v>2002000031</v>
      </c>
      <c r="E37" s="34" t="s">
        <v>82</v>
      </c>
      <c r="F37" s="52">
        <v>787860915</v>
      </c>
      <c r="G37" s="34"/>
      <c r="H37" s="34" t="s">
        <v>84</v>
      </c>
      <c r="I37" s="278">
        <v>32323</v>
      </c>
      <c r="J37" s="50">
        <f t="shared" ca="1" si="1"/>
        <v>35.243835616438353</v>
      </c>
      <c r="K37" s="50" t="str">
        <f ca="1">IFERROR(VLOOKUP($J37,Ref!$B$7:$C$9,2),"")</f>
        <v>Valid Age</v>
      </c>
      <c r="L37" s="55" t="s">
        <v>85</v>
      </c>
      <c r="M37" s="34"/>
      <c r="N37" s="34" t="s">
        <v>88</v>
      </c>
      <c r="O37" s="34" t="s">
        <v>108</v>
      </c>
      <c r="P37" s="34" t="s">
        <v>113</v>
      </c>
      <c r="Q37" s="34" t="s">
        <v>127</v>
      </c>
      <c r="R37" s="34" t="s">
        <v>151</v>
      </c>
      <c r="S37" s="43">
        <v>45832</v>
      </c>
      <c r="T37" s="43" t="s">
        <v>190</v>
      </c>
      <c r="U37" s="43" t="s">
        <v>173</v>
      </c>
      <c r="V37" s="58">
        <v>787639295</v>
      </c>
      <c r="W37" s="34"/>
      <c r="X37" s="34"/>
    </row>
    <row r="38" spans="1:24" x14ac:dyDescent="0.2">
      <c r="A38" s="257">
        <v>32</v>
      </c>
      <c r="B38" s="45">
        <v>44341</v>
      </c>
      <c r="C38" s="34" t="s">
        <v>73</v>
      </c>
      <c r="D38" s="40" t="str">
        <f t="shared" si="0"/>
        <v>2002000032</v>
      </c>
      <c r="E38" s="34" t="s">
        <v>82</v>
      </c>
      <c r="F38" s="52">
        <v>788014533</v>
      </c>
      <c r="G38" s="34"/>
      <c r="H38" s="34" t="s">
        <v>84</v>
      </c>
      <c r="I38" s="278">
        <v>30931</v>
      </c>
      <c r="J38" s="50">
        <f t="shared" ca="1" si="1"/>
        <v>39.057534246575344</v>
      </c>
      <c r="K38" s="50" t="str">
        <f ca="1">IFERROR(VLOOKUP($J38,Ref!$B$7:$C$9,2),"")</f>
        <v>Valid Age</v>
      </c>
      <c r="L38" s="55" t="s">
        <v>85</v>
      </c>
      <c r="M38" s="34"/>
      <c r="N38" s="34" t="s">
        <v>88</v>
      </c>
      <c r="O38" s="34" t="s">
        <v>108</v>
      </c>
      <c r="P38" s="34" t="s">
        <v>123</v>
      </c>
      <c r="Q38" s="34" t="s">
        <v>127</v>
      </c>
      <c r="R38" s="34" t="s">
        <v>152</v>
      </c>
      <c r="S38" s="43">
        <v>45832</v>
      </c>
      <c r="T38" s="43" t="s">
        <v>191</v>
      </c>
      <c r="U38" s="43" t="s">
        <v>173</v>
      </c>
      <c r="V38" s="58">
        <v>788014533</v>
      </c>
      <c r="W38" s="34"/>
      <c r="X38" s="34"/>
    </row>
    <row r="39" spans="1:24" x14ac:dyDescent="0.2">
      <c r="A39" s="132">
        <v>33</v>
      </c>
      <c r="B39" s="45">
        <v>44342</v>
      </c>
      <c r="C39" s="34" t="s">
        <v>74</v>
      </c>
      <c r="D39" s="40" t="str">
        <f t="shared" si="0"/>
        <v>2002000033</v>
      </c>
      <c r="E39" s="34" t="s">
        <v>82</v>
      </c>
      <c r="F39" s="52">
        <v>788618017</v>
      </c>
      <c r="G39" s="34"/>
      <c r="H39" s="34" t="s">
        <v>83</v>
      </c>
      <c r="I39" s="278">
        <v>35266</v>
      </c>
      <c r="J39" s="50">
        <f t="shared" ca="1" si="1"/>
        <v>27.18082191780822</v>
      </c>
      <c r="K39" s="50" t="str">
        <f ca="1">IFERROR(VLOOKUP($J39,Ref!$B$7:$C$9,2),"")</f>
        <v>Valid Age</v>
      </c>
      <c r="L39" s="55" t="s">
        <v>85</v>
      </c>
      <c r="M39" s="34"/>
      <c r="N39" s="34" t="s">
        <v>89</v>
      </c>
      <c r="O39" s="34" t="s">
        <v>98</v>
      </c>
      <c r="P39" s="34" t="s">
        <v>98</v>
      </c>
      <c r="Q39" s="34" t="s">
        <v>127</v>
      </c>
      <c r="R39" s="34" t="s">
        <v>153</v>
      </c>
      <c r="S39" s="43">
        <v>45832</v>
      </c>
      <c r="T39" s="43" t="s">
        <v>192</v>
      </c>
      <c r="U39" s="43" t="s">
        <v>181</v>
      </c>
      <c r="V39" s="58">
        <v>788618017</v>
      </c>
      <c r="W39" s="34"/>
      <c r="X39" s="34"/>
    </row>
    <row r="40" spans="1:24" x14ac:dyDescent="0.2">
      <c r="A40" s="257">
        <v>34</v>
      </c>
      <c r="B40" s="45">
        <v>44343</v>
      </c>
      <c r="C40" s="34" t="s">
        <v>75</v>
      </c>
      <c r="D40" s="40" t="str">
        <f t="shared" si="0"/>
        <v>2002000034</v>
      </c>
      <c r="E40" s="34" t="s">
        <v>82</v>
      </c>
      <c r="F40" s="277">
        <v>777515872</v>
      </c>
      <c r="G40" s="34"/>
      <c r="H40" s="34" t="s">
        <v>84</v>
      </c>
      <c r="I40" s="278">
        <v>31212</v>
      </c>
      <c r="J40" s="50">
        <f t="shared" ca="1" si="1"/>
        <v>38.287671232876711</v>
      </c>
      <c r="K40" s="50" t="str">
        <f ca="1">IFERROR(VLOOKUP($J40,Ref!$B$7:$C$9,2),"")</f>
        <v>Valid Age</v>
      </c>
      <c r="L40" s="55" t="s">
        <v>85</v>
      </c>
      <c r="M40" s="34"/>
      <c r="N40" s="34" t="s">
        <v>88</v>
      </c>
      <c r="O40" s="34" t="s">
        <v>99</v>
      </c>
      <c r="P40" s="34" t="s">
        <v>124</v>
      </c>
      <c r="Q40" s="34" t="s">
        <v>127</v>
      </c>
      <c r="R40" s="34" t="s">
        <v>154</v>
      </c>
      <c r="S40" s="43">
        <v>46515</v>
      </c>
      <c r="T40" s="43" t="s">
        <v>193</v>
      </c>
      <c r="U40" s="43" t="s">
        <v>184</v>
      </c>
      <c r="V40" s="58">
        <v>773992022</v>
      </c>
      <c r="W40" s="34"/>
      <c r="X40" s="34"/>
    </row>
    <row r="41" spans="1:24" x14ac:dyDescent="0.2">
      <c r="A41" s="132">
        <v>35</v>
      </c>
      <c r="B41" s="45">
        <v>44343</v>
      </c>
      <c r="C41" s="34" t="s">
        <v>76</v>
      </c>
      <c r="D41" s="40" t="str">
        <f t="shared" si="0"/>
        <v>2002000035</v>
      </c>
      <c r="E41" s="34" t="s">
        <v>82</v>
      </c>
      <c r="F41" s="52">
        <v>773190904</v>
      </c>
      <c r="G41" s="34"/>
      <c r="H41" s="34" t="s">
        <v>84</v>
      </c>
      <c r="I41" s="278">
        <v>35648</v>
      </c>
      <c r="J41" s="50">
        <f t="shared" ca="1" si="1"/>
        <v>26.134246575342466</v>
      </c>
      <c r="K41" s="50" t="str">
        <f ca="1">IFERROR(VLOOKUP($J41,Ref!$B$7:$C$9,2),"")</f>
        <v>Valid Age</v>
      </c>
      <c r="L41" s="55" t="s">
        <v>85</v>
      </c>
      <c r="M41" s="34"/>
      <c r="N41" s="34" t="s">
        <v>88</v>
      </c>
      <c r="O41" s="34" t="s">
        <v>108</v>
      </c>
      <c r="P41" s="34" t="s">
        <v>113</v>
      </c>
      <c r="Q41" s="34" t="s">
        <v>127</v>
      </c>
      <c r="R41" s="34" t="s">
        <v>155</v>
      </c>
      <c r="S41" s="43">
        <v>45843</v>
      </c>
      <c r="T41" s="43" t="s">
        <v>194</v>
      </c>
      <c r="U41" s="43" t="s">
        <v>195</v>
      </c>
      <c r="V41" s="58">
        <v>780561145</v>
      </c>
      <c r="W41" s="34"/>
      <c r="X41" s="34"/>
    </row>
    <row r="42" spans="1:24" x14ac:dyDescent="0.2">
      <c r="A42" s="257">
        <v>36</v>
      </c>
      <c r="B42" s="45">
        <v>44343</v>
      </c>
      <c r="C42" s="34" t="s">
        <v>77</v>
      </c>
      <c r="D42" s="40" t="str">
        <f t="shared" si="0"/>
        <v>2002000036</v>
      </c>
      <c r="E42" s="34" t="s">
        <v>82</v>
      </c>
      <c r="F42" s="52">
        <v>785813073</v>
      </c>
      <c r="G42" s="34"/>
      <c r="H42" s="34" t="s">
        <v>84</v>
      </c>
      <c r="I42" s="278">
        <v>33020</v>
      </c>
      <c r="J42" s="50">
        <f t="shared" ca="1" si="1"/>
        <v>33.334246575342469</v>
      </c>
      <c r="K42" s="50" t="str">
        <f ca="1">IFERROR(VLOOKUP($J42,Ref!$B$7:$C$9,2),"")</f>
        <v>Valid Age</v>
      </c>
      <c r="L42" s="55" t="s">
        <v>85</v>
      </c>
      <c r="M42" s="34"/>
      <c r="N42" s="34" t="s">
        <v>88</v>
      </c>
      <c r="O42" s="34" t="s">
        <v>108</v>
      </c>
      <c r="P42" s="34" t="s">
        <v>113</v>
      </c>
      <c r="Q42" s="34" t="s">
        <v>127</v>
      </c>
      <c r="R42" s="34" t="s">
        <v>156</v>
      </c>
      <c r="S42" s="43">
        <v>45832</v>
      </c>
      <c r="T42" s="43" t="s">
        <v>196</v>
      </c>
      <c r="U42" s="43" t="s">
        <v>163</v>
      </c>
      <c r="V42" s="58" t="s">
        <v>90</v>
      </c>
      <c r="W42" s="34"/>
      <c r="X42" s="34"/>
    </row>
    <row r="43" spans="1:24" x14ac:dyDescent="0.2">
      <c r="A43" s="132">
        <v>37</v>
      </c>
      <c r="B43" s="45">
        <v>44344</v>
      </c>
      <c r="C43" s="34" t="s">
        <v>78</v>
      </c>
      <c r="D43" s="40" t="str">
        <f t="shared" si="0"/>
        <v>2002000037</v>
      </c>
      <c r="E43" s="34" t="s">
        <v>82</v>
      </c>
      <c r="F43" s="52">
        <v>394003556</v>
      </c>
      <c r="G43" s="34"/>
      <c r="H43" s="34" t="s">
        <v>83</v>
      </c>
      <c r="I43" s="278">
        <v>30940</v>
      </c>
      <c r="J43" s="50">
        <f t="shared" ca="1" si="1"/>
        <v>39.032876712328765</v>
      </c>
      <c r="K43" s="50" t="str">
        <f ca="1">IFERROR(VLOOKUP($J43,Ref!$B$7:$C$9,2),"")</f>
        <v>Valid Age</v>
      </c>
      <c r="L43" s="55" t="s">
        <v>85</v>
      </c>
      <c r="M43" s="34"/>
      <c r="N43" s="34" t="s">
        <v>89</v>
      </c>
      <c r="O43" s="34" t="s">
        <v>108</v>
      </c>
      <c r="P43" s="34" t="s">
        <v>125</v>
      </c>
      <c r="Q43" s="34" t="s">
        <v>127</v>
      </c>
      <c r="R43" s="34" t="s">
        <v>157</v>
      </c>
      <c r="S43" s="43">
        <v>45605</v>
      </c>
      <c r="T43" s="43" t="s">
        <v>197</v>
      </c>
      <c r="U43" s="43" t="s">
        <v>198</v>
      </c>
      <c r="V43" s="58">
        <v>784461509</v>
      </c>
      <c r="W43" s="34"/>
      <c r="X43" s="34"/>
    </row>
    <row r="44" spans="1:24" x14ac:dyDescent="0.2">
      <c r="A44" s="257">
        <v>38</v>
      </c>
      <c r="B44" s="45">
        <v>44347</v>
      </c>
      <c r="C44" s="34" t="s">
        <v>79</v>
      </c>
      <c r="D44" s="40" t="str">
        <f t="shared" si="0"/>
        <v>2002000038</v>
      </c>
      <c r="E44" s="34" t="s">
        <v>82</v>
      </c>
      <c r="F44" s="52">
        <v>784651660</v>
      </c>
      <c r="G44" s="34"/>
      <c r="H44" s="34" t="s">
        <v>83</v>
      </c>
      <c r="I44" s="278">
        <v>33228</v>
      </c>
      <c r="J44" s="50">
        <f t="shared" ca="1" si="1"/>
        <v>32.764383561643832</v>
      </c>
      <c r="K44" s="50" t="str">
        <f ca="1">IFERROR(VLOOKUP($J44,Ref!$B$7:$C$9,2),"")</f>
        <v>Valid Age</v>
      </c>
      <c r="L44" s="55" t="s">
        <v>85</v>
      </c>
      <c r="M44" s="34"/>
      <c r="N44" s="34" t="s">
        <v>110</v>
      </c>
      <c r="O44" s="34" t="s">
        <v>111</v>
      </c>
      <c r="P44" s="34" t="s">
        <v>126</v>
      </c>
      <c r="Q44" s="34" t="s">
        <v>127</v>
      </c>
      <c r="R44" s="34" t="s">
        <v>158</v>
      </c>
      <c r="S44" s="43">
        <v>45833</v>
      </c>
      <c r="T44" s="43" t="s">
        <v>199</v>
      </c>
      <c r="U44" s="43" t="s">
        <v>171</v>
      </c>
      <c r="V44" s="58">
        <v>776578913</v>
      </c>
      <c r="W44" s="34"/>
      <c r="X44" s="34"/>
    </row>
    <row r="45" spans="1:24" x14ac:dyDescent="0.2">
      <c r="A45" s="132">
        <v>39</v>
      </c>
      <c r="B45" s="45">
        <v>44347</v>
      </c>
      <c r="C45" s="34" t="s">
        <v>80</v>
      </c>
      <c r="D45" s="40" t="str">
        <f t="shared" si="0"/>
        <v>2002000039</v>
      </c>
      <c r="E45" s="34" t="s">
        <v>82</v>
      </c>
      <c r="F45" s="52"/>
      <c r="G45" s="34"/>
      <c r="H45" s="34"/>
      <c r="I45" s="278"/>
      <c r="J45" s="50" t="str">
        <f t="shared" ca="1" si="1"/>
        <v/>
      </c>
      <c r="K45" s="50" t="str">
        <f ca="1">IFERROR(VLOOKUP($J45,Ref!$B$7:$C$9,2),"")</f>
        <v/>
      </c>
      <c r="L45" s="55"/>
      <c r="M45" s="34"/>
      <c r="N45" s="34"/>
      <c r="O45" s="34"/>
      <c r="P45" s="34"/>
      <c r="Q45" s="34"/>
      <c r="R45" s="34"/>
      <c r="S45" s="43"/>
      <c r="T45" s="43"/>
      <c r="U45" s="43"/>
      <c r="V45" s="58"/>
      <c r="W45" s="34"/>
      <c r="X45" s="34"/>
    </row>
    <row r="46" spans="1:24" x14ac:dyDescent="0.2">
      <c r="A46" s="132">
        <v>40</v>
      </c>
      <c r="B46" s="45">
        <v>44347</v>
      </c>
      <c r="C46" s="34" t="s">
        <v>81</v>
      </c>
      <c r="D46" s="40" t="str">
        <f t="shared" si="0"/>
        <v>2002000040</v>
      </c>
      <c r="E46" s="34" t="s">
        <v>82</v>
      </c>
      <c r="F46" s="52">
        <v>783663742</v>
      </c>
      <c r="G46" s="34"/>
      <c r="H46" s="34" t="s">
        <v>84</v>
      </c>
      <c r="I46" s="278">
        <v>31215</v>
      </c>
      <c r="J46" s="50">
        <f t="shared" ca="1" si="1"/>
        <v>38.279452054794518</v>
      </c>
      <c r="K46" s="50" t="str">
        <f ca="1">IFERROR(VLOOKUP($J46,Ref!$B$7:$C$9,2),"")</f>
        <v>Valid Age</v>
      </c>
      <c r="L46" s="55" t="s">
        <v>85</v>
      </c>
      <c r="M46" s="34"/>
      <c r="N46" s="34" t="s">
        <v>88</v>
      </c>
      <c r="O46" s="34" t="s">
        <v>108</v>
      </c>
      <c r="P46" s="34" t="s">
        <v>113</v>
      </c>
      <c r="Q46" s="34" t="s">
        <v>127</v>
      </c>
      <c r="R46" s="34" t="s">
        <v>159</v>
      </c>
      <c r="S46" s="43">
        <v>45833</v>
      </c>
      <c r="T46" s="43" t="s">
        <v>200</v>
      </c>
      <c r="U46" s="43" t="s">
        <v>168</v>
      </c>
      <c r="V46" s="58">
        <v>787532909</v>
      </c>
      <c r="W46" s="34"/>
      <c r="X46" s="34"/>
    </row>
    <row r="47" spans="1:24" x14ac:dyDescent="0.2">
      <c r="A47" s="132">
        <v>41</v>
      </c>
      <c r="B47" s="45">
        <v>44348</v>
      </c>
      <c r="C47" s="34" t="s">
        <v>202</v>
      </c>
      <c r="D47" s="40" t="str">
        <f t="shared" si="0"/>
        <v>2002000041</v>
      </c>
      <c r="E47" s="34" t="s">
        <v>82</v>
      </c>
      <c r="F47" s="52">
        <v>775043483</v>
      </c>
      <c r="G47" s="34"/>
      <c r="H47" s="34" t="s">
        <v>83</v>
      </c>
      <c r="I47" s="278">
        <v>34327</v>
      </c>
      <c r="J47" s="50">
        <f t="shared" ca="1" si="1"/>
        <v>29.753424657534246</v>
      </c>
      <c r="K47" s="50" t="str">
        <f ca="1">IFERROR(VLOOKUP($J47,Ref!$B$7:$C$9,2),"")</f>
        <v>Valid Age</v>
      </c>
      <c r="L47" s="55" t="s">
        <v>85</v>
      </c>
      <c r="M47" s="34"/>
      <c r="N47" s="34" t="s">
        <v>298</v>
      </c>
      <c r="O47" s="34" t="s">
        <v>299</v>
      </c>
      <c r="P47" s="34" t="s">
        <v>300</v>
      </c>
      <c r="Q47" s="34" t="s">
        <v>127</v>
      </c>
      <c r="R47" s="34" t="s">
        <v>301</v>
      </c>
      <c r="S47" s="43">
        <v>45843</v>
      </c>
      <c r="T47" s="43" t="s">
        <v>302</v>
      </c>
      <c r="U47" s="43" t="s">
        <v>303</v>
      </c>
      <c r="V47" s="58">
        <v>775043483</v>
      </c>
      <c r="W47" s="34"/>
      <c r="X47" s="34"/>
    </row>
    <row r="48" spans="1:24" x14ac:dyDescent="0.2">
      <c r="A48" s="132">
        <v>42</v>
      </c>
      <c r="B48" s="45">
        <v>44348</v>
      </c>
      <c r="C48" s="34" t="s">
        <v>203</v>
      </c>
      <c r="D48" s="40" t="str">
        <f t="shared" si="0"/>
        <v>2002000042</v>
      </c>
      <c r="E48" s="34" t="s">
        <v>82</v>
      </c>
      <c r="F48" s="52">
        <v>785691539</v>
      </c>
      <c r="G48" s="34"/>
      <c r="H48" s="34" t="s">
        <v>84</v>
      </c>
      <c r="I48" s="278">
        <v>33317</v>
      </c>
      <c r="J48" s="50">
        <f t="shared" ca="1" si="1"/>
        <v>32.520547945205479</v>
      </c>
      <c r="K48" s="50" t="str">
        <f ca="1">IFERROR(VLOOKUP($J48,Ref!$B$7:$C$9,2),"")</f>
        <v>Valid Age</v>
      </c>
      <c r="L48" s="55" t="s">
        <v>85</v>
      </c>
      <c r="M48" s="34"/>
      <c r="N48" s="34" t="s">
        <v>88</v>
      </c>
      <c r="O48" s="34" t="s">
        <v>108</v>
      </c>
      <c r="P48" s="34" t="s">
        <v>112</v>
      </c>
      <c r="Q48" s="34" t="s">
        <v>127</v>
      </c>
      <c r="R48" s="34" t="s">
        <v>304</v>
      </c>
      <c r="S48" s="43">
        <v>45832</v>
      </c>
      <c r="T48" s="43" t="s">
        <v>305</v>
      </c>
      <c r="U48" s="43" t="s">
        <v>198</v>
      </c>
      <c r="V48" s="58">
        <v>785691539</v>
      </c>
      <c r="W48" s="34"/>
      <c r="X48" s="34"/>
    </row>
    <row r="49" spans="1:24" x14ac:dyDescent="0.2">
      <c r="A49" s="132">
        <v>43</v>
      </c>
      <c r="B49" s="45">
        <v>44349</v>
      </c>
      <c r="C49" s="34" t="s">
        <v>204</v>
      </c>
      <c r="D49" s="40" t="str">
        <f t="shared" si="0"/>
        <v>2002000043</v>
      </c>
      <c r="E49" s="34" t="s">
        <v>82</v>
      </c>
      <c r="F49" s="52">
        <v>784305779</v>
      </c>
      <c r="G49" s="34"/>
      <c r="H49" s="34" t="s">
        <v>84</v>
      </c>
      <c r="I49" s="278">
        <v>34831</v>
      </c>
      <c r="J49" s="50">
        <f t="shared" ca="1" si="1"/>
        <v>28.372602739726027</v>
      </c>
      <c r="K49" s="50" t="str">
        <f ca="1">IFERROR(VLOOKUP($J49,Ref!$B$7:$C$9,2),"")</f>
        <v>Valid Age</v>
      </c>
      <c r="L49" s="55" t="s">
        <v>85</v>
      </c>
      <c r="M49" s="34"/>
      <c r="N49" s="34" t="s">
        <v>88</v>
      </c>
      <c r="O49" s="34" t="s">
        <v>306</v>
      </c>
      <c r="P49" s="34" t="s">
        <v>306</v>
      </c>
      <c r="Q49" s="34" t="s">
        <v>127</v>
      </c>
      <c r="R49" s="34" t="s">
        <v>307</v>
      </c>
      <c r="S49" s="43">
        <v>45833</v>
      </c>
      <c r="T49" s="43" t="s">
        <v>308</v>
      </c>
      <c r="U49" s="43" t="s">
        <v>184</v>
      </c>
      <c r="V49" s="58">
        <v>788807520</v>
      </c>
      <c r="W49" s="34"/>
      <c r="X49" s="34"/>
    </row>
    <row r="50" spans="1:24" x14ac:dyDescent="0.2">
      <c r="A50" s="132">
        <v>44</v>
      </c>
      <c r="B50" s="45">
        <v>44349</v>
      </c>
      <c r="C50" s="34" t="s">
        <v>205</v>
      </c>
      <c r="D50" s="40" t="str">
        <f t="shared" si="0"/>
        <v>2002000044</v>
      </c>
      <c r="E50" s="34" t="s">
        <v>82</v>
      </c>
      <c r="F50" s="52">
        <v>780607321</v>
      </c>
      <c r="G50" s="34"/>
      <c r="H50" s="34" t="s">
        <v>84</v>
      </c>
      <c r="I50" s="278">
        <v>28037</v>
      </c>
      <c r="J50" s="50">
        <f t="shared" ca="1" si="1"/>
        <v>46.986301369863014</v>
      </c>
      <c r="K50" s="50" t="str">
        <f ca="1">IFERROR(VLOOKUP($J50,Ref!$B$7:$C$9,2),"")</f>
        <v>Valid Age</v>
      </c>
      <c r="L50" s="55" t="s">
        <v>85</v>
      </c>
      <c r="M50" s="34"/>
      <c r="N50" s="34" t="s">
        <v>88</v>
      </c>
      <c r="O50" s="34" t="s">
        <v>109</v>
      </c>
      <c r="P50" s="34" t="s">
        <v>124</v>
      </c>
      <c r="Q50" s="34" t="s">
        <v>127</v>
      </c>
      <c r="R50" s="34" t="s">
        <v>309</v>
      </c>
      <c r="S50" s="43">
        <v>45833</v>
      </c>
      <c r="T50" s="43" t="s">
        <v>310</v>
      </c>
      <c r="U50" s="43" t="s">
        <v>184</v>
      </c>
      <c r="V50" s="58">
        <v>793941470</v>
      </c>
      <c r="W50" s="34"/>
      <c r="X50" s="34"/>
    </row>
    <row r="51" spans="1:24" x14ac:dyDescent="0.2">
      <c r="A51" s="132">
        <v>45</v>
      </c>
      <c r="B51" s="45">
        <v>44349</v>
      </c>
      <c r="C51" s="34" t="s">
        <v>206</v>
      </c>
      <c r="D51" s="40" t="str">
        <f t="shared" si="0"/>
        <v>2002000045</v>
      </c>
      <c r="E51" s="34" t="s">
        <v>82</v>
      </c>
      <c r="F51" s="52">
        <v>785290818</v>
      </c>
      <c r="G51" s="34"/>
      <c r="H51" s="34" t="s">
        <v>83</v>
      </c>
      <c r="I51" s="278">
        <v>29508</v>
      </c>
      <c r="J51" s="50">
        <f t="shared" ca="1" si="1"/>
        <v>42.956164383561642</v>
      </c>
      <c r="K51" s="50" t="str">
        <f ca="1">IFERROR(VLOOKUP($J51,Ref!$B$7:$C$9,2),"")</f>
        <v>Valid Age</v>
      </c>
      <c r="L51" s="55" t="s">
        <v>85</v>
      </c>
      <c r="M51" s="34"/>
      <c r="N51" s="34" t="s">
        <v>89</v>
      </c>
      <c r="O51" s="34" t="s">
        <v>311</v>
      </c>
      <c r="P51" s="34" t="s">
        <v>311</v>
      </c>
      <c r="Q51" s="34" t="s">
        <v>127</v>
      </c>
      <c r="R51" s="34" t="s">
        <v>312</v>
      </c>
      <c r="S51" s="43">
        <v>45562</v>
      </c>
      <c r="T51" s="43" t="s">
        <v>313</v>
      </c>
      <c r="U51" s="43" t="s">
        <v>198</v>
      </c>
      <c r="V51" s="58">
        <v>772366782</v>
      </c>
      <c r="W51" s="34"/>
      <c r="X51" s="34"/>
    </row>
    <row r="52" spans="1:24" x14ac:dyDescent="0.2">
      <c r="A52" s="132">
        <v>46</v>
      </c>
      <c r="B52" s="45">
        <v>44349</v>
      </c>
      <c r="C52" s="34" t="s">
        <v>207</v>
      </c>
      <c r="D52" s="40" t="str">
        <f t="shared" si="0"/>
        <v>2002000046</v>
      </c>
      <c r="E52" s="34" t="s">
        <v>82</v>
      </c>
      <c r="F52" s="52">
        <v>789959791</v>
      </c>
      <c r="G52" s="34"/>
      <c r="H52" s="34" t="s">
        <v>83</v>
      </c>
      <c r="I52" s="278">
        <v>24234</v>
      </c>
      <c r="J52" s="50">
        <f t="shared" ca="1" si="1"/>
        <v>57.405479452054792</v>
      </c>
      <c r="K52" s="50" t="str">
        <f ca="1">IFERROR(VLOOKUP($J52,Ref!$B$7:$C$9,2),"")</f>
        <v>Over Age</v>
      </c>
      <c r="L52" s="55" t="s">
        <v>85</v>
      </c>
      <c r="M52" s="34"/>
      <c r="N52" s="34" t="s">
        <v>89</v>
      </c>
      <c r="O52" s="34" t="s">
        <v>314</v>
      </c>
      <c r="P52" s="34" t="s">
        <v>314</v>
      </c>
      <c r="Q52" s="34" t="s">
        <v>127</v>
      </c>
      <c r="R52" s="34" t="s">
        <v>315</v>
      </c>
      <c r="S52" s="43">
        <v>45833</v>
      </c>
      <c r="T52" s="43" t="s">
        <v>316</v>
      </c>
      <c r="U52" s="43" t="s">
        <v>171</v>
      </c>
      <c r="V52" s="58">
        <v>771278110</v>
      </c>
      <c r="W52" s="34"/>
      <c r="X52" s="34"/>
    </row>
    <row r="53" spans="1:24" x14ac:dyDescent="0.2">
      <c r="A53" s="132">
        <v>47</v>
      </c>
      <c r="B53" s="45">
        <v>44349</v>
      </c>
      <c r="C53" s="34" t="s">
        <v>208</v>
      </c>
      <c r="D53" s="40" t="str">
        <f t="shared" si="0"/>
        <v>2002000047</v>
      </c>
      <c r="E53" s="34" t="s">
        <v>82</v>
      </c>
      <c r="F53" s="52">
        <v>786456610</v>
      </c>
      <c r="G53" s="34"/>
      <c r="H53" s="34" t="s">
        <v>84</v>
      </c>
      <c r="I53" s="278">
        <v>33526</v>
      </c>
      <c r="J53" s="50">
        <f t="shared" ca="1" si="1"/>
        <v>31.947945205479453</v>
      </c>
      <c r="K53" s="50" t="str">
        <f ca="1">IFERROR(VLOOKUP($J53,Ref!$B$7:$C$9,2),"")</f>
        <v>Valid Age</v>
      </c>
      <c r="L53" s="55" t="s">
        <v>85</v>
      </c>
      <c r="M53" s="34"/>
      <c r="N53" s="34" t="s">
        <v>88</v>
      </c>
      <c r="O53" s="34" t="s">
        <v>108</v>
      </c>
      <c r="P53" s="34" t="s">
        <v>317</v>
      </c>
      <c r="Q53" s="34" t="s">
        <v>127</v>
      </c>
      <c r="R53" s="34" t="s">
        <v>318</v>
      </c>
      <c r="S53" s="43">
        <v>45832</v>
      </c>
      <c r="T53" s="43" t="s">
        <v>319</v>
      </c>
      <c r="U53" s="43" t="s">
        <v>163</v>
      </c>
      <c r="V53" s="58" t="s">
        <v>90</v>
      </c>
      <c r="W53" s="34"/>
      <c r="X53" s="34"/>
    </row>
    <row r="54" spans="1:24" x14ac:dyDescent="0.2">
      <c r="A54" s="132">
        <v>48</v>
      </c>
      <c r="B54" s="45">
        <v>44349</v>
      </c>
      <c r="C54" s="34" t="s">
        <v>209</v>
      </c>
      <c r="D54" s="40" t="str">
        <f t="shared" si="0"/>
        <v>2002000048</v>
      </c>
      <c r="E54" s="34" t="s">
        <v>82</v>
      </c>
      <c r="F54" s="52">
        <v>786306630</v>
      </c>
      <c r="G54" s="34"/>
      <c r="H54" s="34" t="s">
        <v>84</v>
      </c>
      <c r="I54" s="278">
        <v>31623</v>
      </c>
      <c r="J54" s="50">
        <f t="shared" ca="1" si="1"/>
        <v>37.161643835616438</v>
      </c>
      <c r="K54" s="50" t="str">
        <f ca="1">IFERROR(VLOOKUP($J54,Ref!$B$7:$C$9,2),"")</f>
        <v>Valid Age</v>
      </c>
      <c r="L54" s="55" t="s">
        <v>85</v>
      </c>
      <c r="M54" s="34"/>
      <c r="N54" s="34" t="s">
        <v>88</v>
      </c>
      <c r="O54" s="34" t="s">
        <v>108</v>
      </c>
      <c r="P54" s="34" t="s">
        <v>118</v>
      </c>
      <c r="Q54" s="34" t="s">
        <v>127</v>
      </c>
      <c r="R54" s="34" t="s">
        <v>320</v>
      </c>
      <c r="S54" s="43">
        <v>45840</v>
      </c>
      <c r="T54" s="43" t="s">
        <v>321</v>
      </c>
      <c r="U54" s="43" t="s">
        <v>168</v>
      </c>
      <c r="V54" s="58" t="s">
        <v>90</v>
      </c>
      <c r="W54" s="34"/>
      <c r="X54" s="34"/>
    </row>
    <row r="55" spans="1:24" x14ac:dyDescent="0.2">
      <c r="A55" s="132">
        <v>49</v>
      </c>
      <c r="B55" s="45">
        <v>44349</v>
      </c>
      <c r="C55" s="34" t="s">
        <v>210</v>
      </c>
      <c r="D55" s="40" t="str">
        <f t="shared" si="0"/>
        <v>2002000049</v>
      </c>
      <c r="E55" s="34" t="s">
        <v>82</v>
      </c>
      <c r="F55" s="52">
        <v>775084116</v>
      </c>
      <c r="G55" s="34"/>
      <c r="H55" s="34" t="s">
        <v>84</v>
      </c>
      <c r="I55" s="278">
        <v>31210</v>
      </c>
      <c r="J55" s="50">
        <f t="shared" ca="1" si="1"/>
        <v>38.293150684931504</v>
      </c>
      <c r="K55" s="50" t="str">
        <f ca="1">IFERROR(VLOOKUP($J55,Ref!$B$7:$C$9,2),"")</f>
        <v>Valid Age</v>
      </c>
      <c r="L55" s="55" t="s">
        <v>85</v>
      </c>
      <c r="M55" s="34"/>
      <c r="N55" s="34" t="s">
        <v>88</v>
      </c>
      <c r="O55" s="34" t="s">
        <v>108</v>
      </c>
      <c r="P55" s="34" t="s">
        <v>113</v>
      </c>
      <c r="Q55" s="34" t="s">
        <v>127</v>
      </c>
      <c r="R55" s="34" t="s">
        <v>322</v>
      </c>
      <c r="S55" s="43">
        <v>45833</v>
      </c>
      <c r="T55" s="43" t="s">
        <v>323</v>
      </c>
      <c r="U55" s="43" t="s">
        <v>163</v>
      </c>
      <c r="V55" s="58" t="s">
        <v>90</v>
      </c>
      <c r="W55" s="34"/>
      <c r="X55" s="34"/>
    </row>
    <row r="56" spans="1:24" x14ac:dyDescent="0.2">
      <c r="A56" s="132">
        <v>50</v>
      </c>
      <c r="B56" s="45">
        <v>44351</v>
      </c>
      <c r="C56" s="34" t="s">
        <v>211</v>
      </c>
      <c r="D56" s="40" t="str">
        <f t="shared" si="0"/>
        <v>2002000050</v>
      </c>
      <c r="E56" s="34" t="s">
        <v>82</v>
      </c>
      <c r="F56" s="52">
        <v>772816130</v>
      </c>
      <c r="G56" s="34"/>
      <c r="H56" s="34" t="s">
        <v>84</v>
      </c>
      <c r="I56" s="278">
        <v>36082</v>
      </c>
      <c r="J56" s="50">
        <f t="shared" ca="1" si="1"/>
        <v>24.945205479452056</v>
      </c>
      <c r="K56" s="50" t="str">
        <f ca="1">IFERROR(VLOOKUP($J56,Ref!$B$7:$C$9,2),"")</f>
        <v>Valid Age</v>
      </c>
      <c r="L56" s="55" t="s">
        <v>85</v>
      </c>
      <c r="M56" s="34"/>
      <c r="N56" s="34" t="s">
        <v>88</v>
      </c>
      <c r="O56" s="34" t="s">
        <v>98</v>
      </c>
      <c r="P56" s="34" t="s">
        <v>124</v>
      </c>
      <c r="Q56" s="34" t="s">
        <v>127</v>
      </c>
      <c r="R56" s="34" t="s">
        <v>324</v>
      </c>
      <c r="S56" s="43">
        <v>45833</v>
      </c>
      <c r="T56" s="43" t="s">
        <v>325</v>
      </c>
      <c r="U56" s="43" t="s">
        <v>161</v>
      </c>
      <c r="V56" s="58">
        <v>772816130</v>
      </c>
      <c r="W56" s="34"/>
      <c r="X56" s="34"/>
    </row>
    <row r="57" spans="1:24" x14ac:dyDescent="0.2">
      <c r="A57" s="132">
        <v>51</v>
      </c>
      <c r="B57" s="45">
        <v>44351</v>
      </c>
      <c r="C57" s="34" t="s">
        <v>212</v>
      </c>
      <c r="D57" s="40" t="str">
        <f t="shared" si="0"/>
        <v>2002000051</v>
      </c>
      <c r="E57" s="34" t="s">
        <v>82</v>
      </c>
      <c r="F57" s="52">
        <v>785406407</v>
      </c>
      <c r="G57" s="34"/>
      <c r="H57" s="34" t="s">
        <v>83</v>
      </c>
      <c r="I57" s="278">
        <v>35424</v>
      </c>
      <c r="J57" s="50">
        <f t="shared" ca="1" si="1"/>
        <v>26.747945205479454</v>
      </c>
      <c r="K57" s="50" t="str">
        <f ca="1">IFERROR(VLOOKUP($J57,Ref!$B$7:$C$9,2),"")</f>
        <v>Valid Age</v>
      </c>
      <c r="L57" s="55" t="s">
        <v>85</v>
      </c>
      <c r="M57" s="34"/>
      <c r="N57" s="34" t="s">
        <v>89</v>
      </c>
      <c r="O57" s="34" t="s">
        <v>326</v>
      </c>
      <c r="P57" s="34" t="s">
        <v>314</v>
      </c>
      <c r="Q57" s="34" t="s">
        <v>127</v>
      </c>
      <c r="R57" s="34" t="s">
        <v>327</v>
      </c>
      <c r="S57" s="43">
        <v>45832</v>
      </c>
      <c r="T57" s="43" t="s">
        <v>328</v>
      </c>
      <c r="U57" s="43" t="s">
        <v>198</v>
      </c>
      <c r="V57" s="58">
        <v>786285515</v>
      </c>
      <c r="W57" s="34"/>
      <c r="X57" s="34"/>
    </row>
    <row r="58" spans="1:24" x14ac:dyDescent="0.2">
      <c r="A58" s="132">
        <v>52</v>
      </c>
      <c r="B58" s="45">
        <v>44354</v>
      </c>
      <c r="C58" s="34" t="s">
        <v>213</v>
      </c>
      <c r="D58" s="40" t="str">
        <f t="shared" si="0"/>
        <v>2002000052</v>
      </c>
      <c r="E58" s="34" t="s">
        <v>82</v>
      </c>
      <c r="F58" s="52">
        <v>789363050</v>
      </c>
      <c r="G58" s="34"/>
      <c r="H58" s="34" t="s">
        <v>84</v>
      </c>
      <c r="I58" s="278">
        <v>31184</v>
      </c>
      <c r="J58" s="50">
        <f t="shared" ca="1" si="1"/>
        <v>38.364383561643834</v>
      </c>
      <c r="K58" s="50" t="str">
        <f ca="1">IFERROR(VLOOKUP($J58,Ref!$B$7:$C$9,2),"")</f>
        <v>Valid Age</v>
      </c>
      <c r="L58" s="55" t="s">
        <v>85</v>
      </c>
      <c r="M58" s="34"/>
      <c r="N58" s="34" t="s">
        <v>88</v>
      </c>
      <c r="O58" s="34" t="s">
        <v>300</v>
      </c>
      <c r="P58" s="34" t="s">
        <v>300</v>
      </c>
      <c r="Q58" s="34" t="s">
        <v>127</v>
      </c>
      <c r="R58" s="34" t="s">
        <v>329</v>
      </c>
      <c r="S58" s="43">
        <v>45825</v>
      </c>
      <c r="T58" s="43" t="s">
        <v>330</v>
      </c>
      <c r="U58" s="43" t="s">
        <v>198</v>
      </c>
      <c r="V58" s="58">
        <v>784323140</v>
      </c>
      <c r="W58" s="34"/>
      <c r="X58" s="34"/>
    </row>
    <row r="59" spans="1:24" x14ac:dyDescent="0.2">
      <c r="A59" s="132">
        <v>53</v>
      </c>
      <c r="B59" s="45">
        <v>44354</v>
      </c>
      <c r="C59" s="34" t="s">
        <v>214</v>
      </c>
      <c r="D59" s="40" t="str">
        <f t="shared" si="0"/>
        <v>2002000053</v>
      </c>
      <c r="E59" s="34" t="s">
        <v>82</v>
      </c>
      <c r="F59" s="52">
        <v>776066291</v>
      </c>
      <c r="G59" s="34"/>
      <c r="H59" s="34" t="s">
        <v>84</v>
      </c>
      <c r="I59" s="278">
        <v>32143</v>
      </c>
      <c r="J59" s="50">
        <f t="shared" ca="1" si="1"/>
        <v>35.736986301369861</v>
      </c>
      <c r="K59" s="50" t="str">
        <f ca="1">IFERROR(VLOOKUP($J59,Ref!$B$7:$C$9,2),"")</f>
        <v>Valid Age</v>
      </c>
      <c r="L59" s="55" t="s">
        <v>85</v>
      </c>
      <c r="M59" s="34"/>
      <c r="N59" s="34" t="s">
        <v>88</v>
      </c>
      <c r="O59" s="34" t="s">
        <v>108</v>
      </c>
      <c r="P59" s="34" t="s">
        <v>331</v>
      </c>
      <c r="Q59" s="34" t="s">
        <v>127</v>
      </c>
      <c r="R59" s="34" t="s">
        <v>332</v>
      </c>
      <c r="S59" s="43">
        <v>45833</v>
      </c>
      <c r="T59" s="43" t="s">
        <v>333</v>
      </c>
      <c r="U59" s="43" t="s">
        <v>163</v>
      </c>
      <c r="V59" s="58" t="s">
        <v>90</v>
      </c>
      <c r="W59" s="34"/>
      <c r="X59" s="34"/>
    </row>
    <row r="60" spans="1:24" x14ac:dyDescent="0.2">
      <c r="A60" s="132">
        <v>54</v>
      </c>
      <c r="B60" s="45">
        <v>44354</v>
      </c>
      <c r="C60" s="34" t="s">
        <v>215</v>
      </c>
      <c r="D60" s="40" t="str">
        <f t="shared" si="0"/>
        <v>2002000054</v>
      </c>
      <c r="E60" s="34" t="s">
        <v>82</v>
      </c>
      <c r="F60" s="52">
        <v>776814060</v>
      </c>
      <c r="G60" s="34"/>
      <c r="H60" s="34" t="s">
        <v>84</v>
      </c>
      <c r="I60" s="278">
        <v>30998</v>
      </c>
      <c r="J60" s="50">
        <f t="shared" ca="1" si="1"/>
        <v>38.873972602739727</v>
      </c>
      <c r="K60" s="50" t="str">
        <f ca="1">IFERROR(VLOOKUP($J60,Ref!$B$7:$C$9,2),"")</f>
        <v>Valid Age</v>
      </c>
      <c r="L60" s="55" t="s">
        <v>85</v>
      </c>
      <c r="M60" s="34"/>
      <c r="N60" s="34" t="s">
        <v>88</v>
      </c>
      <c r="O60" s="34" t="s">
        <v>108</v>
      </c>
      <c r="P60" s="34" t="s">
        <v>113</v>
      </c>
      <c r="Q60" s="34" t="s">
        <v>127</v>
      </c>
      <c r="R60" s="34" t="s">
        <v>334</v>
      </c>
      <c r="S60" s="43">
        <v>45832</v>
      </c>
      <c r="T60" s="43" t="s">
        <v>335</v>
      </c>
      <c r="U60" s="43" t="s">
        <v>173</v>
      </c>
      <c r="V60" s="58">
        <v>776814060</v>
      </c>
      <c r="W60" s="34"/>
      <c r="X60" s="34"/>
    </row>
    <row r="61" spans="1:24" x14ac:dyDescent="0.2">
      <c r="A61" s="132">
        <v>55</v>
      </c>
      <c r="B61" s="45">
        <v>44354</v>
      </c>
      <c r="C61" s="34" t="s">
        <v>216</v>
      </c>
      <c r="D61" s="40" t="str">
        <f t="shared" si="0"/>
        <v>2002000055</v>
      </c>
      <c r="E61" s="34" t="s">
        <v>82</v>
      </c>
      <c r="F61" s="52">
        <v>786116052</v>
      </c>
      <c r="G61" s="34"/>
      <c r="H61" s="34" t="s">
        <v>84</v>
      </c>
      <c r="I61" s="278">
        <v>36229</v>
      </c>
      <c r="J61" s="50">
        <f t="shared" ca="1" si="1"/>
        <v>24.542465753424658</v>
      </c>
      <c r="K61" s="50" t="str">
        <f ca="1">IFERROR(VLOOKUP($J61,Ref!$B$7:$C$9,2),"")</f>
        <v>Valid Age</v>
      </c>
      <c r="L61" s="55" t="s">
        <v>85</v>
      </c>
      <c r="M61" s="34"/>
      <c r="N61" s="34" t="s">
        <v>88</v>
      </c>
      <c r="O61" s="34" t="s">
        <v>336</v>
      </c>
      <c r="P61" s="34" t="s">
        <v>124</v>
      </c>
      <c r="Q61" s="34" t="s">
        <v>127</v>
      </c>
      <c r="R61" s="34" t="s">
        <v>337</v>
      </c>
      <c r="S61" s="43">
        <v>47469</v>
      </c>
      <c r="T61" s="43" t="s">
        <v>338</v>
      </c>
      <c r="U61" s="43" t="s">
        <v>168</v>
      </c>
      <c r="V61" s="58" t="s">
        <v>90</v>
      </c>
      <c r="W61" s="34"/>
      <c r="X61" s="34"/>
    </row>
    <row r="62" spans="1:24" x14ac:dyDescent="0.2">
      <c r="A62" s="132">
        <v>56</v>
      </c>
      <c r="B62" s="45">
        <v>44354</v>
      </c>
      <c r="C62" s="34" t="s">
        <v>217</v>
      </c>
      <c r="D62" s="40" t="str">
        <f t="shared" si="0"/>
        <v>2002000056</v>
      </c>
      <c r="E62" s="34" t="s">
        <v>82</v>
      </c>
      <c r="F62" s="52">
        <v>786553852</v>
      </c>
      <c r="G62" s="34"/>
      <c r="H62" s="34" t="s">
        <v>84</v>
      </c>
      <c r="I62" s="278">
        <v>31517</v>
      </c>
      <c r="J62" s="50">
        <f t="shared" ca="1" si="1"/>
        <v>37.452054794520549</v>
      </c>
      <c r="K62" s="50" t="str">
        <f ca="1">IFERROR(VLOOKUP($J62,Ref!$B$7:$C$9,2),"")</f>
        <v>Valid Age</v>
      </c>
      <c r="L62" s="55" t="s">
        <v>85</v>
      </c>
      <c r="M62" s="34"/>
      <c r="N62" s="34" t="s">
        <v>88</v>
      </c>
      <c r="O62" s="34" t="s">
        <v>339</v>
      </c>
      <c r="P62" s="34" t="s">
        <v>124</v>
      </c>
      <c r="Q62" s="34" t="s">
        <v>127</v>
      </c>
      <c r="R62" s="34" t="s">
        <v>340</v>
      </c>
      <c r="S62" s="43">
        <v>45845</v>
      </c>
      <c r="T62" s="43" t="s">
        <v>341</v>
      </c>
      <c r="U62" s="43" t="s">
        <v>163</v>
      </c>
      <c r="V62" s="58" t="s">
        <v>90</v>
      </c>
      <c r="W62" s="34"/>
      <c r="X62" s="34"/>
    </row>
    <row r="63" spans="1:24" x14ac:dyDescent="0.2">
      <c r="A63" s="132">
        <v>57</v>
      </c>
      <c r="B63" s="45">
        <v>44354</v>
      </c>
      <c r="C63" s="34" t="s">
        <v>218</v>
      </c>
      <c r="D63" s="40" t="str">
        <f t="shared" si="0"/>
        <v>2002000057</v>
      </c>
      <c r="E63" s="34" t="s">
        <v>82</v>
      </c>
      <c r="F63" s="52">
        <v>785150087</v>
      </c>
      <c r="G63" s="34"/>
      <c r="H63" s="34" t="s">
        <v>84</v>
      </c>
      <c r="I63" s="278">
        <v>32734</v>
      </c>
      <c r="J63" s="50">
        <f t="shared" ca="1" si="1"/>
        <v>34.11780821917808</v>
      </c>
      <c r="K63" s="50" t="str">
        <f ca="1">IFERROR(VLOOKUP($J63,Ref!$B$7:$C$9,2),"")</f>
        <v>Valid Age</v>
      </c>
      <c r="L63" s="55" t="s">
        <v>85</v>
      </c>
      <c r="M63" s="34"/>
      <c r="N63" s="34" t="s">
        <v>88</v>
      </c>
      <c r="O63" s="34" t="s">
        <v>339</v>
      </c>
      <c r="P63" s="34" t="s">
        <v>124</v>
      </c>
      <c r="Q63" s="34" t="s">
        <v>127</v>
      </c>
      <c r="R63" s="34" t="s">
        <v>342</v>
      </c>
      <c r="S63" s="43">
        <v>45841</v>
      </c>
      <c r="T63" s="43" t="s">
        <v>343</v>
      </c>
      <c r="U63" s="43" t="s">
        <v>168</v>
      </c>
      <c r="V63" s="58" t="s">
        <v>90</v>
      </c>
      <c r="W63" s="34"/>
      <c r="X63" s="34"/>
    </row>
    <row r="64" spans="1:24" x14ac:dyDescent="0.2">
      <c r="A64" s="132">
        <v>58</v>
      </c>
      <c r="B64" s="45">
        <v>44355</v>
      </c>
      <c r="C64" s="34" t="s">
        <v>219</v>
      </c>
      <c r="D64" s="40" t="str">
        <f t="shared" si="0"/>
        <v>2002000058</v>
      </c>
      <c r="E64" s="34" t="s">
        <v>82</v>
      </c>
      <c r="F64" s="52">
        <v>789364591</v>
      </c>
      <c r="G64" s="34"/>
      <c r="H64" s="34" t="s">
        <v>84</v>
      </c>
      <c r="I64" s="278">
        <v>29848</v>
      </c>
      <c r="J64" s="50">
        <f t="shared" ca="1" si="1"/>
        <v>42.024657534246572</v>
      </c>
      <c r="K64" s="50" t="str">
        <f ca="1">IFERROR(VLOOKUP($J64,Ref!$B$7:$C$9,2),"")</f>
        <v>Valid Age</v>
      </c>
      <c r="L64" s="55" t="s">
        <v>85</v>
      </c>
      <c r="M64" s="34"/>
      <c r="N64" s="34" t="s">
        <v>88</v>
      </c>
      <c r="O64" s="34" t="s">
        <v>108</v>
      </c>
      <c r="P64" s="34" t="s">
        <v>118</v>
      </c>
      <c r="Q64" s="34" t="s">
        <v>127</v>
      </c>
      <c r="R64" s="34" t="s">
        <v>344</v>
      </c>
      <c r="S64" s="43">
        <v>45832</v>
      </c>
      <c r="T64" s="43" t="s">
        <v>345</v>
      </c>
      <c r="U64" s="43" t="s">
        <v>163</v>
      </c>
      <c r="V64" s="58" t="s">
        <v>90</v>
      </c>
      <c r="W64" s="34"/>
      <c r="X64" s="34"/>
    </row>
    <row r="65" spans="1:24" x14ac:dyDescent="0.2">
      <c r="A65" s="132">
        <v>59</v>
      </c>
      <c r="B65" s="45">
        <v>44355</v>
      </c>
      <c r="C65" s="34" t="s">
        <v>220</v>
      </c>
      <c r="D65" s="40" t="str">
        <f t="shared" si="0"/>
        <v>2002000059</v>
      </c>
      <c r="E65" s="34" t="s">
        <v>82</v>
      </c>
      <c r="F65" s="52">
        <v>780780112</v>
      </c>
      <c r="G65" s="34"/>
      <c r="H65" s="34" t="s">
        <v>84</v>
      </c>
      <c r="I65" s="278">
        <v>27095</v>
      </c>
      <c r="J65" s="50">
        <f t="shared" ca="1" si="1"/>
        <v>49.56712328767123</v>
      </c>
      <c r="K65" s="50" t="str">
        <f ca="1">IFERROR(VLOOKUP($J65,Ref!$B$7:$C$9,2),"")</f>
        <v>Valid Age</v>
      </c>
      <c r="L65" s="55" t="s">
        <v>85</v>
      </c>
      <c r="M65" s="34"/>
      <c r="N65" s="34" t="s">
        <v>88</v>
      </c>
      <c r="O65" s="34" t="s">
        <v>339</v>
      </c>
      <c r="P65" s="34" t="s">
        <v>346</v>
      </c>
      <c r="Q65" s="34" t="s">
        <v>127</v>
      </c>
      <c r="R65" s="34" t="s">
        <v>347</v>
      </c>
      <c r="S65" s="43">
        <v>45832</v>
      </c>
      <c r="T65" s="43" t="s">
        <v>348</v>
      </c>
      <c r="U65" s="43" t="s">
        <v>163</v>
      </c>
      <c r="V65" s="58" t="s">
        <v>90</v>
      </c>
      <c r="W65" s="34"/>
      <c r="X65" s="34"/>
    </row>
    <row r="66" spans="1:24" x14ac:dyDescent="0.2">
      <c r="A66" s="132">
        <v>60</v>
      </c>
      <c r="B66" s="45">
        <v>44355</v>
      </c>
      <c r="C66" s="34" t="s">
        <v>221</v>
      </c>
      <c r="D66" s="40" t="str">
        <f t="shared" si="0"/>
        <v>2002000060</v>
      </c>
      <c r="E66" s="34" t="s">
        <v>82</v>
      </c>
      <c r="F66" s="52">
        <v>785285697</v>
      </c>
      <c r="G66" s="34"/>
      <c r="H66" s="34" t="s">
        <v>84</v>
      </c>
      <c r="I66" s="278">
        <v>29499</v>
      </c>
      <c r="J66" s="50">
        <f t="shared" ca="1" si="1"/>
        <v>42.980821917808221</v>
      </c>
      <c r="K66" s="50" t="str">
        <f ca="1">IFERROR(VLOOKUP($J66,Ref!$B$7:$C$9,2),"")</f>
        <v>Valid Age</v>
      </c>
      <c r="L66" s="55" t="s">
        <v>85</v>
      </c>
      <c r="M66" s="34"/>
      <c r="N66" s="34" t="s">
        <v>88</v>
      </c>
      <c r="O66" s="34" t="s">
        <v>349</v>
      </c>
      <c r="P66" s="34" t="s">
        <v>350</v>
      </c>
      <c r="Q66" s="34" t="s">
        <v>127</v>
      </c>
      <c r="R66" s="34" t="s">
        <v>351</v>
      </c>
      <c r="S66" s="43">
        <v>45832</v>
      </c>
      <c r="T66" s="43" t="s">
        <v>352</v>
      </c>
      <c r="U66" s="43" t="s">
        <v>353</v>
      </c>
      <c r="V66" s="58">
        <v>789584999</v>
      </c>
      <c r="W66" s="34"/>
      <c r="X66" s="34"/>
    </row>
    <row r="67" spans="1:24" x14ac:dyDescent="0.2">
      <c r="A67" s="132">
        <v>61</v>
      </c>
      <c r="B67" s="45">
        <v>44355</v>
      </c>
      <c r="C67" s="34" t="s">
        <v>222</v>
      </c>
      <c r="D67" s="40" t="str">
        <f t="shared" si="0"/>
        <v>2002000061</v>
      </c>
      <c r="E67" s="34" t="s">
        <v>82</v>
      </c>
      <c r="F67" s="52">
        <v>774034136</v>
      </c>
      <c r="G67" s="34"/>
      <c r="H67" s="34" t="s">
        <v>84</v>
      </c>
      <c r="I67" s="278">
        <v>26408</v>
      </c>
      <c r="J67" s="50">
        <f t="shared" ca="1" si="1"/>
        <v>51.449315068493149</v>
      </c>
      <c r="K67" s="50" t="str">
        <f ca="1">IFERROR(VLOOKUP($J67,Ref!$B$7:$C$9,2),"")</f>
        <v>Valid Age</v>
      </c>
      <c r="L67" s="55" t="s">
        <v>85</v>
      </c>
      <c r="M67" s="34"/>
      <c r="N67" s="34" t="s">
        <v>88</v>
      </c>
      <c r="O67" s="34" t="s">
        <v>354</v>
      </c>
      <c r="P67" s="34" t="s">
        <v>98</v>
      </c>
      <c r="Q67" s="34" t="s">
        <v>127</v>
      </c>
      <c r="R67" s="34" t="s">
        <v>355</v>
      </c>
      <c r="S67" s="43">
        <v>45467</v>
      </c>
      <c r="T67" s="43" t="s">
        <v>356</v>
      </c>
      <c r="U67" s="43" t="s">
        <v>168</v>
      </c>
      <c r="V67" s="58" t="s">
        <v>90</v>
      </c>
      <c r="W67" s="34"/>
      <c r="X67" s="34"/>
    </row>
    <row r="68" spans="1:24" x14ac:dyDescent="0.2">
      <c r="A68" s="132">
        <v>62</v>
      </c>
      <c r="B68" s="45">
        <v>44355</v>
      </c>
      <c r="C68" s="34" t="s">
        <v>223</v>
      </c>
      <c r="D68" s="40" t="str">
        <f t="shared" si="0"/>
        <v>2002000062</v>
      </c>
      <c r="E68" s="34" t="s">
        <v>82</v>
      </c>
      <c r="F68" s="52">
        <v>787603337</v>
      </c>
      <c r="G68" s="34"/>
      <c r="H68" s="34" t="s">
        <v>84</v>
      </c>
      <c r="I68" s="278">
        <v>23873</v>
      </c>
      <c r="J68" s="50">
        <f t="shared" ca="1" si="1"/>
        <v>58.394520547945206</v>
      </c>
      <c r="K68" s="50" t="str">
        <f ca="1">IFERROR(VLOOKUP($J68,Ref!$B$7:$C$9,2),"")</f>
        <v>Over Age</v>
      </c>
      <c r="L68" s="55" t="s">
        <v>85</v>
      </c>
      <c r="M68" s="34"/>
      <c r="N68" s="34" t="s">
        <v>88</v>
      </c>
      <c r="O68" s="34" t="s">
        <v>354</v>
      </c>
      <c r="P68" s="34" t="s">
        <v>98</v>
      </c>
      <c r="Q68" s="34" t="s">
        <v>127</v>
      </c>
      <c r="R68" s="34" t="s">
        <v>357</v>
      </c>
      <c r="S68" s="43">
        <v>45832</v>
      </c>
      <c r="T68" s="43" t="s">
        <v>358</v>
      </c>
      <c r="U68" s="43" t="s">
        <v>168</v>
      </c>
      <c r="V68" s="58">
        <v>777057009</v>
      </c>
      <c r="W68" s="34"/>
      <c r="X68" s="34"/>
    </row>
    <row r="69" spans="1:24" x14ac:dyDescent="0.2">
      <c r="A69" s="132">
        <v>63</v>
      </c>
      <c r="B69" s="45">
        <v>44355</v>
      </c>
      <c r="C69" s="34" t="s">
        <v>224</v>
      </c>
      <c r="D69" s="40" t="str">
        <f t="shared" si="0"/>
        <v>2002000063</v>
      </c>
      <c r="E69" s="34" t="s">
        <v>82</v>
      </c>
      <c r="F69" s="52">
        <v>789088030</v>
      </c>
      <c r="G69" s="34"/>
      <c r="H69" s="34" t="s">
        <v>84</v>
      </c>
      <c r="I69" s="278">
        <v>23852</v>
      </c>
      <c r="J69" s="50">
        <f t="shared" ca="1" si="1"/>
        <v>58.452054794520549</v>
      </c>
      <c r="K69" s="50" t="str">
        <f ca="1">IFERROR(VLOOKUP($J69,Ref!$B$7:$C$9,2),"")</f>
        <v>Over Age</v>
      </c>
      <c r="L69" s="55" t="s">
        <v>85</v>
      </c>
      <c r="M69" s="34"/>
      <c r="N69" s="34" t="s">
        <v>88</v>
      </c>
      <c r="O69" s="34" t="s">
        <v>339</v>
      </c>
      <c r="P69" s="34" t="s">
        <v>124</v>
      </c>
      <c r="Q69" s="34" t="s">
        <v>127</v>
      </c>
      <c r="R69" s="34" t="s">
        <v>359</v>
      </c>
      <c r="S69" s="43">
        <v>45832</v>
      </c>
      <c r="T69" s="43" t="s">
        <v>90</v>
      </c>
      <c r="U69" s="43" t="s">
        <v>90</v>
      </c>
      <c r="V69" s="58" t="s">
        <v>90</v>
      </c>
      <c r="W69" s="34"/>
      <c r="X69" s="34"/>
    </row>
    <row r="70" spans="1:24" x14ac:dyDescent="0.2">
      <c r="A70" s="132">
        <v>64</v>
      </c>
      <c r="B70" s="45">
        <v>44355</v>
      </c>
      <c r="C70" s="34" t="s">
        <v>225</v>
      </c>
      <c r="D70" s="40" t="str">
        <f t="shared" si="0"/>
        <v>2002000064</v>
      </c>
      <c r="E70" s="34" t="s">
        <v>82</v>
      </c>
      <c r="F70" s="52">
        <v>779386782</v>
      </c>
      <c r="G70" s="34"/>
      <c r="H70" s="34" t="s">
        <v>84</v>
      </c>
      <c r="I70" s="278">
        <v>32881</v>
      </c>
      <c r="J70" s="50">
        <f t="shared" ca="1" si="1"/>
        <v>33.715068493150682</v>
      </c>
      <c r="K70" s="50" t="str">
        <f ca="1">IFERROR(VLOOKUP($J70,Ref!$B$7:$C$9,2),"")</f>
        <v>Valid Age</v>
      </c>
      <c r="L70" s="55" t="s">
        <v>85</v>
      </c>
      <c r="M70" s="34"/>
      <c r="N70" s="34" t="s">
        <v>88</v>
      </c>
      <c r="O70" s="34" t="s">
        <v>339</v>
      </c>
      <c r="P70" s="34" t="s">
        <v>124</v>
      </c>
      <c r="Q70" s="34" t="s">
        <v>127</v>
      </c>
      <c r="R70" s="34" t="s">
        <v>360</v>
      </c>
      <c r="S70" s="43">
        <v>45832</v>
      </c>
      <c r="T70" s="43" t="s">
        <v>361</v>
      </c>
      <c r="U70" s="43" t="s">
        <v>168</v>
      </c>
      <c r="V70" s="58" t="s">
        <v>90</v>
      </c>
      <c r="W70" s="34"/>
      <c r="X70" s="34"/>
    </row>
    <row r="71" spans="1:24" x14ac:dyDescent="0.2">
      <c r="A71" s="132">
        <v>65</v>
      </c>
      <c r="B71" s="45">
        <v>44357</v>
      </c>
      <c r="C71" s="34" t="s">
        <v>226</v>
      </c>
      <c r="D71" s="40" t="str">
        <f t="shared" si="0"/>
        <v>2002000065</v>
      </c>
      <c r="E71" s="34" t="s">
        <v>82</v>
      </c>
      <c r="F71" s="52">
        <v>775624305</v>
      </c>
      <c r="G71" s="34"/>
      <c r="H71" s="34" t="s">
        <v>83</v>
      </c>
      <c r="I71" s="278">
        <v>26888</v>
      </c>
      <c r="J71" s="50">
        <f t="shared" ca="1" si="1"/>
        <v>50.134246575342466</v>
      </c>
      <c r="K71" s="50" t="str">
        <f ca="1">IFERROR(VLOOKUP($J71,Ref!$B$7:$C$9,2),"")</f>
        <v>Valid Age</v>
      </c>
      <c r="L71" s="55" t="s">
        <v>86</v>
      </c>
      <c r="M71" s="34"/>
      <c r="N71" s="34" t="s">
        <v>89</v>
      </c>
      <c r="O71" s="34" t="s">
        <v>354</v>
      </c>
      <c r="P71" s="34" t="s">
        <v>98</v>
      </c>
      <c r="Q71" s="34" t="s">
        <v>127</v>
      </c>
      <c r="R71" s="34" t="s">
        <v>362</v>
      </c>
      <c r="S71" s="43">
        <v>45832</v>
      </c>
      <c r="T71" s="43" t="s">
        <v>363</v>
      </c>
      <c r="U71" s="43" t="s">
        <v>198</v>
      </c>
      <c r="V71" s="58">
        <v>772785622</v>
      </c>
      <c r="W71" s="34"/>
      <c r="X71" s="34"/>
    </row>
    <row r="72" spans="1:24" x14ac:dyDescent="0.2">
      <c r="A72" s="132">
        <v>66</v>
      </c>
      <c r="B72" s="45">
        <v>44358</v>
      </c>
      <c r="C72" s="34" t="s">
        <v>227</v>
      </c>
      <c r="D72" s="40" t="str">
        <f t="shared" ref="D72:D135" si="2">IF(A72="","",LEFT($C$3,LEN($C$3)-LEN(A72))&amp;A72)</f>
        <v>2002000066</v>
      </c>
      <c r="E72" s="34" t="s">
        <v>82</v>
      </c>
      <c r="F72" s="52">
        <v>770710018</v>
      </c>
      <c r="G72" s="34"/>
      <c r="H72" s="34" t="s">
        <v>83</v>
      </c>
      <c r="I72" s="278">
        <v>35988</v>
      </c>
      <c r="J72" s="50">
        <f t="shared" ref="J72:J135" ca="1" si="3">IF(I72="","",(TODAY()-$I72)/365)</f>
        <v>25.202739726027396</v>
      </c>
      <c r="K72" s="50" t="str">
        <f ca="1">IFERROR(VLOOKUP($J72,Ref!$B$7:$C$9,2),"")</f>
        <v>Valid Age</v>
      </c>
      <c r="L72" s="55" t="s">
        <v>85</v>
      </c>
      <c r="M72" s="34"/>
      <c r="N72" s="34" t="s">
        <v>89</v>
      </c>
      <c r="O72" s="34" t="s">
        <v>107</v>
      </c>
      <c r="P72" s="34" t="s">
        <v>364</v>
      </c>
      <c r="Q72" s="34" t="s">
        <v>127</v>
      </c>
      <c r="R72" s="34" t="s">
        <v>365</v>
      </c>
      <c r="S72" s="43">
        <v>45832</v>
      </c>
      <c r="T72" s="43" t="s">
        <v>366</v>
      </c>
      <c r="U72" s="43" t="s">
        <v>173</v>
      </c>
      <c r="V72" s="58">
        <v>770710018</v>
      </c>
      <c r="W72" s="34"/>
      <c r="X72" s="34"/>
    </row>
    <row r="73" spans="1:24" x14ac:dyDescent="0.2">
      <c r="A73" s="132">
        <v>67</v>
      </c>
      <c r="B73" s="45">
        <v>44358</v>
      </c>
      <c r="C73" s="34" t="s">
        <v>228</v>
      </c>
      <c r="D73" s="40" t="str">
        <f t="shared" si="2"/>
        <v>2002000067</v>
      </c>
      <c r="E73" s="34" t="s">
        <v>82</v>
      </c>
      <c r="F73" s="52">
        <v>779985949</v>
      </c>
      <c r="G73" s="34"/>
      <c r="H73" s="34" t="s">
        <v>84</v>
      </c>
      <c r="I73" s="278">
        <v>29952</v>
      </c>
      <c r="J73" s="50">
        <f t="shared" ca="1" si="3"/>
        <v>41.739726027397261</v>
      </c>
      <c r="K73" s="50" t="str">
        <f ca="1">IFERROR(VLOOKUP($J73,Ref!$B$7:$C$9,2),"")</f>
        <v>Valid Age</v>
      </c>
      <c r="L73" s="55" t="s">
        <v>85</v>
      </c>
      <c r="M73" s="34"/>
      <c r="N73" s="34" t="s">
        <v>88</v>
      </c>
      <c r="O73" s="34" t="s">
        <v>367</v>
      </c>
      <c r="P73" s="34" t="s">
        <v>124</v>
      </c>
      <c r="Q73" s="34" t="s">
        <v>127</v>
      </c>
      <c r="R73" s="34" t="s">
        <v>368</v>
      </c>
      <c r="S73" s="43">
        <v>45833</v>
      </c>
      <c r="T73" s="43" t="s">
        <v>369</v>
      </c>
      <c r="U73" s="43" t="s">
        <v>163</v>
      </c>
      <c r="V73" s="58" t="s">
        <v>90</v>
      </c>
      <c r="W73" s="34"/>
      <c r="X73" s="34"/>
    </row>
    <row r="74" spans="1:24" x14ac:dyDescent="0.2">
      <c r="A74" s="132">
        <v>68</v>
      </c>
      <c r="B74" s="45">
        <v>44358</v>
      </c>
      <c r="C74" s="34" t="s">
        <v>229</v>
      </c>
      <c r="D74" s="40" t="str">
        <f t="shared" si="2"/>
        <v>2002000068</v>
      </c>
      <c r="E74" s="34" t="s">
        <v>82</v>
      </c>
      <c r="F74" s="52">
        <v>771376503</v>
      </c>
      <c r="G74" s="34"/>
      <c r="H74" s="34" t="s">
        <v>84</v>
      </c>
      <c r="I74" s="278">
        <v>32820</v>
      </c>
      <c r="J74" s="50">
        <f t="shared" ca="1" si="3"/>
        <v>33.88219178082192</v>
      </c>
      <c r="K74" s="50" t="str">
        <f ca="1">IFERROR(VLOOKUP($J74,Ref!$B$7:$C$9,2),"")</f>
        <v>Valid Age</v>
      </c>
      <c r="L74" s="55" t="s">
        <v>85</v>
      </c>
      <c r="M74" s="34"/>
      <c r="N74" s="34" t="s">
        <v>88</v>
      </c>
      <c r="O74" s="34" t="s">
        <v>370</v>
      </c>
      <c r="P74" s="34" t="s">
        <v>371</v>
      </c>
      <c r="Q74" s="34" t="s">
        <v>127</v>
      </c>
      <c r="R74" s="34" t="s">
        <v>372</v>
      </c>
      <c r="S74" s="43">
        <v>45844</v>
      </c>
      <c r="T74" s="43" t="s">
        <v>373</v>
      </c>
      <c r="U74" s="43" t="s">
        <v>168</v>
      </c>
      <c r="V74" s="58" t="s">
        <v>90</v>
      </c>
      <c r="W74" s="34"/>
      <c r="X74" s="34"/>
    </row>
    <row r="75" spans="1:24" x14ac:dyDescent="0.2">
      <c r="A75" s="132">
        <v>69</v>
      </c>
      <c r="B75" s="45">
        <v>44358</v>
      </c>
      <c r="C75" s="34" t="s">
        <v>230</v>
      </c>
      <c r="D75" s="40" t="str">
        <f t="shared" si="2"/>
        <v>2002000069</v>
      </c>
      <c r="E75" s="34" t="s">
        <v>82</v>
      </c>
      <c r="F75" s="52">
        <v>774279052</v>
      </c>
      <c r="G75" s="34"/>
      <c r="H75" s="34" t="s">
        <v>84</v>
      </c>
      <c r="I75" s="278">
        <v>27111</v>
      </c>
      <c r="J75" s="50">
        <f t="shared" ca="1" si="3"/>
        <v>49.523287671232879</v>
      </c>
      <c r="K75" s="50" t="str">
        <f ca="1">IFERROR(VLOOKUP($J75,Ref!$B$7:$C$9,2),"")</f>
        <v>Valid Age</v>
      </c>
      <c r="L75" s="55" t="s">
        <v>85</v>
      </c>
      <c r="M75" s="34"/>
      <c r="N75" s="34" t="s">
        <v>93</v>
      </c>
      <c r="O75" s="34" t="s">
        <v>374</v>
      </c>
      <c r="P75" s="34" t="s">
        <v>113</v>
      </c>
      <c r="Q75" s="34" t="s">
        <v>127</v>
      </c>
      <c r="R75" s="34" t="s">
        <v>375</v>
      </c>
      <c r="S75" s="43">
        <v>45833</v>
      </c>
      <c r="T75" s="43" t="s">
        <v>376</v>
      </c>
      <c r="U75" s="43" t="s">
        <v>184</v>
      </c>
      <c r="V75" s="58">
        <v>774813602</v>
      </c>
      <c r="W75" s="34"/>
      <c r="X75" s="34"/>
    </row>
    <row r="76" spans="1:24" x14ac:dyDescent="0.2">
      <c r="A76" s="132">
        <v>70</v>
      </c>
      <c r="B76" s="45">
        <v>44361</v>
      </c>
      <c r="C76" s="34" t="s">
        <v>231</v>
      </c>
      <c r="D76" s="40" t="str">
        <f t="shared" si="2"/>
        <v>2002000070</v>
      </c>
      <c r="E76" s="34" t="s">
        <v>82</v>
      </c>
      <c r="F76" s="52">
        <v>782961179</v>
      </c>
      <c r="G76" s="34"/>
      <c r="H76" s="34" t="s">
        <v>83</v>
      </c>
      <c r="I76" s="278">
        <v>22992</v>
      </c>
      <c r="J76" s="50">
        <f t="shared" ca="1" si="3"/>
        <v>60.80821917808219</v>
      </c>
      <c r="K76" s="50" t="str">
        <f ca="1">IFERROR(VLOOKUP($J76,Ref!$B$7:$C$9,2),"")</f>
        <v>Over Age</v>
      </c>
      <c r="L76" s="55" t="s">
        <v>85</v>
      </c>
      <c r="M76" s="34"/>
      <c r="N76" s="34" t="s">
        <v>89</v>
      </c>
      <c r="O76" s="34" t="s">
        <v>326</v>
      </c>
      <c r="P76" s="34" t="s">
        <v>123</v>
      </c>
      <c r="Q76" s="34" t="s">
        <v>127</v>
      </c>
      <c r="R76" s="34" t="s">
        <v>377</v>
      </c>
      <c r="S76" s="43">
        <v>45910</v>
      </c>
      <c r="T76" s="43" t="s">
        <v>378</v>
      </c>
      <c r="U76" s="43" t="s">
        <v>168</v>
      </c>
      <c r="V76" s="58" t="s">
        <v>90</v>
      </c>
      <c r="W76" s="34"/>
      <c r="X76" s="34"/>
    </row>
    <row r="77" spans="1:24" x14ac:dyDescent="0.2">
      <c r="A77" s="132">
        <v>71</v>
      </c>
      <c r="B77" s="45">
        <v>44361</v>
      </c>
      <c r="C77" s="34" t="s">
        <v>232</v>
      </c>
      <c r="D77" s="40" t="str">
        <f t="shared" si="2"/>
        <v>2002000071</v>
      </c>
      <c r="E77" s="34" t="s">
        <v>82</v>
      </c>
      <c r="F77" s="52">
        <v>782553810</v>
      </c>
      <c r="G77" s="34"/>
      <c r="H77" s="34" t="s">
        <v>84</v>
      </c>
      <c r="I77" s="278">
        <v>28478</v>
      </c>
      <c r="J77" s="50">
        <f t="shared" ca="1" si="3"/>
        <v>45.778082191780825</v>
      </c>
      <c r="K77" s="50" t="str">
        <f ca="1">IFERROR(VLOOKUP($J77,Ref!$B$7:$C$9,2),"")</f>
        <v>Valid Age</v>
      </c>
      <c r="L77" s="55" t="s">
        <v>85</v>
      </c>
      <c r="M77" s="34"/>
      <c r="N77" s="34" t="s">
        <v>88</v>
      </c>
      <c r="O77" s="34" t="s">
        <v>339</v>
      </c>
      <c r="P77" s="34" t="s">
        <v>124</v>
      </c>
      <c r="Q77" s="34" t="s">
        <v>127</v>
      </c>
      <c r="R77" s="34" t="s">
        <v>379</v>
      </c>
      <c r="S77" s="43">
        <v>45832</v>
      </c>
      <c r="T77" s="43" t="s">
        <v>380</v>
      </c>
      <c r="U77" s="43" t="s">
        <v>184</v>
      </c>
      <c r="V77" s="58">
        <v>780936335</v>
      </c>
      <c r="W77" s="34"/>
      <c r="X77" s="34"/>
    </row>
    <row r="78" spans="1:24" x14ac:dyDescent="0.2">
      <c r="A78" s="132">
        <v>72</v>
      </c>
      <c r="B78" s="45">
        <v>44361</v>
      </c>
      <c r="C78" s="34" t="s">
        <v>233</v>
      </c>
      <c r="D78" s="40" t="str">
        <f t="shared" si="2"/>
        <v>2002000072</v>
      </c>
      <c r="E78" s="34" t="s">
        <v>82</v>
      </c>
      <c r="F78" s="52">
        <v>775990522</v>
      </c>
      <c r="G78" s="34"/>
      <c r="H78" s="34" t="s">
        <v>84</v>
      </c>
      <c r="I78" s="278">
        <v>30266</v>
      </c>
      <c r="J78" s="50">
        <f t="shared" ca="1" si="3"/>
        <v>40.87945205479452</v>
      </c>
      <c r="K78" s="50" t="str">
        <f ca="1">IFERROR(VLOOKUP($J78,Ref!$B$7:$C$9,2),"")</f>
        <v>Valid Age</v>
      </c>
      <c r="L78" s="55" t="s">
        <v>85</v>
      </c>
      <c r="M78" s="34"/>
      <c r="N78" s="34" t="s">
        <v>88</v>
      </c>
      <c r="O78" s="34" t="s">
        <v>339</v>
      </c>
      <c r="P78" s="34" t="s">
        <v>124</v>
      </c>
      <c r="Q78" s="34" t="s">
        <v>127</v>
      </c>
      <c r="R78" s="34" t="s">
        <v>381</v>
      </c>
      <c r="S78" s="43">
        <v>45832</v>
      </c>
      <c r="T78" s="43" t="s">
        <v>382</v>
      </c>
      <c r="U78" s="43" t="s">
        <v>163</v>
      </c>
      <c r="V78" s="58">
        <v>783485587</v>
      </c>
      <c r="W78" s="34"/>
      <c r="X78" s="34"/>
    </row>
    <row r="79" spans="1:24" x14ac:dyDescent="0.2">
      <c r="A79" s="132">
        <v>73</v>
      </c>
      <c r="B79" s="45">
        <v>44361</v>
      </c>
      <c r="C79" s="34" t="s">
        <v>234</v>
      </c>
      <c r="D79" s="40" t="str">
        <f t="shared" si="2"/>
        <v>2002000073</v>
      </c>
      <c r="E79" s="34" t="s">
        <v>82</v>
      </c>
      <c r="F79" s="52">
        <v>772443148</v>
      </c>
      <c r="G79" s="34"/>
      <c r="H79" s="34" t="s">
        <v>84</v>
      </c>
      <c r="I79" s="278">
        <v>21423</v>
      </c>
      <c r="J79" s="50">
        <f t="shared" ca="1" si="3"/>
        <v>65.106849315068487</v>
      </c>
      <c r="K79" s="50" t="str">
        <f ca="1">IFERROR(VLOOKUP($J79,Ref!$B$7:$C$9,2),"")</f>
        <v>Over Age</v>
      </c>
      <c r="L79" s="55" t="s">
        <v>85</v>
      </c>
      <c r="M79" s="34"/>
      <c r="N79" s="34" t="s">
        <v>88</v>
      </c>
      <c r="O79" s="34" t="s">
        <v>370</v>
      </c>
      <c r="P79" s="34" t="s">
        <v>371</v>
      </c>
      <c r="Q79" s="34" t="s">
        <v>127</v>
      </c>
      <c r="R79" s="34" t="s">
        <v>383</v>
      </c>
      <c r="S79" s="43">
        <v>45833</v>
      </c>
      <c r="T79" s="43" t="s">
        <v>384</v>
      </c>
      <c r="U79" s="43" t="s">
        <v>163</v>
      </c>
      <c r="V79" s="58" t="s">
        <v>90</v>
      </c>
      <c r="W79" s="34"/>
      <c r="X79" s="34"/>
    </row>
    <row r="80" spans="1:24" x14ac:dyDescent="0.2">
      <c r="A80" s="132">
        <v>74</v>
      </c>
      <c r="B80" s="45">
        <v>44361</v>
      </c>
      <c r="C80" s="34" t="s">
        <v>235</v>
      </c>
      <c r="D80" s="40" t="str">
        <f t="shared" si="2"/>
        <v>2002000074</v>
      </c>
      <c r="E80" s="34" t="s">
        <v>82</v>
      </c>
      <c r="F80" s="52">
        <v>781929918</v>
      </c>
      <c r="G80" s="34"/>
      <c r="H80" s="34" t="s">
        <v>83</v>
      </c>
      <c r="I80" s="278">
        <v>27607</v>
      </c>
      <c r="J80" s="50">
        <f t="shared" ca="1" si="3"/>
        <v>48.164383561643838</v>
      </c>
      <c r="K80" s="50" t="str">
        <f ca="1">IFERROR(VLOOKUP($J80,Ref!$B$7:$C$9,2),"")</f>
        <v>Valid Age</v>
      </c>
      <c r="L80" s="55" t="s">
        <v>85</v>
      </c>
      <c r="M80" s="34"/>
      <c r="N80" s="34" t="s">
        <v>88</v>
      </c>
      <c r="O80" s="34" t="s">
        <v>385</v>
      </c>
      <c r="P80" s="34" t="s">
        <v>115</v>
      </c>
      <c r="Q80" s="34" t="s">
        <v>127</v>
      </c>
      <c r="R80" s="34" t="s">
        <v>386</v>
      </c>
      <c r="S80" s="43">
        <v>45832</v>
      </c>
      <c r="T80" s="43" t="s">
        <v>387</v>
      </c>
      <c r="U80" s="43" t="s">
        <v>163</v>
      </c>
      <c r="V80" s="58">
        <v>771679200</v>
      </c>
      <c r="W80" s="34"/>
      <c r="X80" s="34"/>
    </row>
    <row r="81" spans="1:24" x14ac:dyDescent="0.2">
      <c r="A81" s="132">
        <v>75</v>
      </c>
      <c r="B81" s="45">
        <v>44361</v>
      </c>
      <c r="C81" s="34" t="s">
        <v>236</v>
      </c>
      <c r="D81" s="40" t="str">
        <f t="shared" si="2"/>
        <v>2002000075</v>
      </c>
      <c r="E81" s="34" t="s">
        <v>82</v>
      </c>
      <c r="F81" s="52">
        <v>780674875</v>
      </c>
      <c r="G81" s="34"/>
      <c r="H81" s="34" t="s">
        <v>83</v>
      </c>
      <c r="I81" s="278">
        <v>27600</v>
      </c>
      <c r="J81" s="50">
        <f t="shared" ca="1" si="3"/>
        <v>48.183561643835617</v>
      </c>
      <c r="K81" s="50" t="str">
        <f ca="1">IFERROR(VLOOKUP($J81,Ref!$B$7:$C$9,2),"")</f>
        <v>Valid Age</v>
      </c>
      <c r="L81" s="55" t="s">
        <v>85</v>
      </c>
      <c r="M81" s="34"/>
      <c r="N81" s="34" t="s">
        <v>89</v>
      </c>
      <c r="O81" s="34" t="s">
        <v>370</v>
      </c>
      <c r="P81" s="34" t="s">
        <v>371</v>
      </c>
      <c r="Q81" s="34" t="s">
        <v>127</v>
      </c>
      <c r="R81" s="34" t="s">
        <v>388</v>
      </c>
      <c r="S81" s="43">
        <v>45832</v>
      </c>
      <c r="T81" s="43" t="s">
        <v>389</v>
      </c>
      <c r="U81" s="43" t="s">
        <v>171</v>
      </c>
      <c r="V81" s="58" t="s">
        <v>90</v>
      </c>
      <c r="W81" s="34"/>
      <c r="X81" s="34"/>
    </row>
    <row r="82" spans="1:24" x14ac:dyDescent="0.2">
      <c r="A82" s="132">
        <v>76</v>
      </c>
      <c r="B82" s="45">
        <v>44362</v>
      </c>
      <c r="C82" s="34" t="s">
        <v>237</v>
      </c>
      <c r="D82" s="40" t="str">
        <f t="shared" si="2"/>
        <v>2002000076</v>
      </c>
      <c r="E82" s="34" t="s">
        <v>82</v>
      </c>
      <c r="F82" s="52">
        <v>783760795</v>
      </c>
      <c r="G82" s="34"/>
      <c r="H82" s="34" t="s">
        <v>84</v>
      </c>
      <c r="I82" s="278">
        <v>29992</v>
      </c>
      <c r="J82" s="50">
        <f t="shared" ca="1" si="3"/>
        <v>41.630136986301373</v>
      </c>
      <c r="K82" s="50" t="str">
        <f ca="1">IFERROR(VLOOKUP($J82,Ref!$B$7:$C$9,2),"")</f>
        <v>Valid Age</v>
      </c>
      <c r="L82" s="55" t="s">
        <v>85</v>
      </c>
      <c r="M82" s="34"/>
      <c r="N82" s="34" t="s">
        <v>88</v>
      </c>
      <c r="O82" s="34" t="s">
        <v>339</v>
      </c>
      <c r="P82" s="34" t="s">
        <v>124</v>
      </c>
      <c r="Q82" s="34" t="s">
        <v>127</v>
      </c>
      <c r="R82" s="34" t="s">
        <v>390</v>
      </c>
      <c r="S82" s="43">
        <v>45832</v>
      </c>
      <c r="T82" s="43" t="s">
        <v>391</v>
      </c>
      <c r="U82" s="43" t="s">
        <v>184</v>
      </c>
      <c r="V82" s="58">
        <v>783407745</v>
      </c>
      <c r="W82" s="34"/>
      <c r="X82" s="34"/>
    </row>
    <row r="83" spans="1:24" x14ac:dyDescent="0.2">
      <c r="A83" s="132">
        <v>77</v>
      </c>
      <c r="B83" s="45">
        <v>44362</v>
      </c>
      <c r="C83" s="34" t="s">
        <v>238</v>
      </c>
      <c r="D83" s="40" t="str">
        <f t="shared" si="2"/>
        <v>2002000077</v>
      </c>
      <c r="E83" s="34" t="s">
        <v>82</v>
      </c>
      <c r="F83" s="52">
        <v>774007615</v>
      </c>
      <c r="G83" s="34"/>
      <c r="H83" s="34" t="s">
        <v>84</v>
      </c>
      <c r="I83" s="278">
        <v>26200</v>
      </c>
      <c r="J83" s="50">
        <f t="shared" ca="1" si="3"/>
        <v>52.019178082191779</v>
      </c>
      <c r="K83" s="50" t="str">
        <f ca="1">IFERROR(VLOOKUP($J83,Ref!$B$7:$C$9,2),"")</f>
        <v>Valid Age</v>
      </c>
      <c r="L83" s="55" t="s">
        <v>85</v>
      </c>
      <c r="M83" s="34"/>
      <c r="N83" s="34" t="s">
        <v>88</v>
      </c>
      <c r="O83" s="34" t="s">
        <v>326</v>
      </c>
      <c r="P83" s="34" t="s">
        <v>113</v>
      </c>
      <c r="Q83" s="34" t="s">
        <v>127</v>
      </c>
      <c r="R83" s="34" t="s">
        <v>392</v>
      </c>
      <c r="S83" s="43">
        <v>45832</v>
      </c>
      <c r="T83" s="43" t="s">
        <v>393</v>
      </c>
      <c r="U83" s="43" t="s">
        <v>163</v>
      </c>
      <c r="V83" s="58" t="s">
        <v>90</v>
      </c>
      <c r="W83" s="34"/>
      <c r="X83" s="34"/>
    </row>
    <row r="84" spans="1:24" x14ac:dyDescent="0.2">
      <c r="A84" s="132">
        <v>78</v>
      </c>
      <c r="B84" s="45">
        <v>44363</v>
      </c>
      <c r="C84" s="34" t="s">
        <v>239</v>
      </c>
      <c r="D84" s="40" t="str">
        <f t="shared" si="2"/>
        <v>2002000078</v>
      </c>
      <c r="E84" s="34" t="s">
        <v>82</v>
      </c>
      <c r="F84" s="52">
        <v>773331625</v>
      </c>
      <c r="G84" s="34"/>
      <c r="H84" s="34" t="s">
        <v>84</v>
      </c>
      <c r="I84" s="278">
        <v>30963</v>
      </c>
      <c r="J84" s="50">
        <f t="shared" ca="1" si="3"/>
        <v>38.969863013698628</v>
      </c>
      <c r="K84" s="50" t="str">
        <f ca="1">IFERROR(VLOOKUP($J84,Ref!$B$7:$C$9,2),"")</f>
        <v>Valid Age</v>
      </c>
      <c r="L84" s="55" t="s">
        <v>85</v>
      </c>
      <c r="M84" s="34"/>
      <c r="N84" s="34" t="s">
        <v>88</v>
      </c>
      <c r="O84" s="34" t="s">
        <v>339</v>
      </c>
      <c r="P84" s="34" t="s">
        <v>124</v>
      </c>
      <c r="Q84" s="34" t="s">
        <v>127</v>
      </c>
      <c r="R84" s="34" t="s">
        <v>394</v>
      </c>
      <c r="S84" s="43">
        <v>45832</v>
      </c>
      <c r="T84" s="43" t="s">
        <v>395</v>
      </c>
      <c r="U84" s="43" t="s">
        <v>168</v>
      </c>
      <c r="V84" s="58" t="s">
        <v>90</v>
      </c>
      <c r="W84" s="34"/>
      <c r="X84" s="34"/>
    </row>
    <row r="85" spans="1:24" x14ac:dyDescent="0.2">
      <c r="A85" s="132">
        <v>79</v>
      </c>
      <c r="B85" s="45">
        <v>44363</v>
      </c>
      <c r="C85" s="34" t="s">
        <v>240</v>
      </c>
      <c r="D85" s="40" t="str">
        <f t="shared" si="2"/>
        <v>2002000079</v>
      </c>
      <c r="E85" s="34" t="s">
        <v>82</v>
      </c>
      <c r="F85" s="52">
        <v>782033950</v>
      </c>
      <c r="G85" s="34"/>
      <c r="H85" s="34" t="s">
        <v>84</v>
      </c>
      <c r="I85" s="278">
        <v>33705</v>
      </c>
      <c r="J85" s="50">
        <f t="shared" ca="1" si="3"/>
        <v>31.457534246575342</v>
      </c>
      <c r="K85" s="50" t="str">
        <f ca="1">IFERROR(VLOOKUP($J85,Ref!$B$7:$C$9,2),"")</f>
        <v>Valid Age</v>
      </c>
      <c r="L85" s="55" t="s">
        <v>85</v>
      </c>
      <c r="M85" s="34"/>
      <c r="N85" s="34" t="s">
        <v>88</v>
      </c>
      <c r="O85" s="34" t="s">
        <v>354</v>
      </c>
      <c r="P85" s="34" t="s">
        <v>107</v>
      </c>
      <c r="Q85" s="34" t="s">
        <v>127</v>
      </c>
      <c r="R85" s="34" t="s">
        <v>396</v>
      </c>
      <c r="S85" s="43">
        <v>45833</v>
      </c>
      <c r="T85" s="43" t="s">
        <v>397</v>
      </c>
      <c r="U85" s="43" t="s">
        <v>163</v>
      </c>
      <c r="V85" s="58" t="s">
        <v>90</v>
      </c>
      <c r="W85" s="34"/>
      <c r="X85" s="34"/>
    </row>
    <row r="86" spans="1:24" x14ac:dyDescent="0.2">
      <c r="A86" s="132">
        <v>80</v>
      </c>
      <c r="B86" s="45">
        <v>44363</v>
      </c>
      <c r="C86" s="34" t="s">
        <v>241</v>
      </c>
      <c r="D86" s="40" t="str">
        <f t="shared" si="2"/>
        <v>2002000080</v>
      </c>
      <c r="E86" s="34" t="s">
        <v>82</v>
      </c>
      <c r="F86" s="52">
        <v>789987009</v>
      </c>
      <c r="G86" s="34"/>
      <c r="H86" s="34" t="s">
        <v>84</v>
      </c>
      <c r="I86" s="278">
        <v>28836</v>
      </c>
      <c r="J86" s="50">
        <f t="shared" ca="1" si="3"/>
        <v>44.797260273972604</v>
      </c>
      <c r="K86" s="50" t="str">
        <f ca="1">IFERROR(VLOOKUP($J86,Ref!$B$7:$C$9,2),"")</f>
        <v>Valid Age</v>
      </c>
      <c r="L86" s="55" t="s">
        <v>85</v>
      </c>
      <c r="M86" s="34"/>
      <c r="N86" s="34" t="s">
        <v>88</v>
      </c>
      <c r="O86" s="34" t="s">
        <v>107</v>
      </c>
      <c r="P86" s="34" t="s">
        <v>107</v>
      </c>
      <c r="Q86" s="34" t="s">
        <v>127</v>
      </c>
      <c r="R86" s="34" t="s">
        <v>398</v>
      </c>
      <c r="S86" s="43">
        <v>45832</v>
      </c>
      <c r="T86" s="43" t="s">
        <v>399</v>
      </c>
      <c r="U86" s="43" t="s">
        <v>168</v>
      </c>
      <c r="V86" s="58" t="s">
        <v>90</v>
      </c>
      <c r="W86" s="34"/>
      <c r="X86" s="34"/>
    </row>
    <row r="87" spans="1:24" x14ac:dyDescent="0.2">
      <c r="A87" s="132">
        <v>81</v>
      </c>
      <c r="B87" s="45">
        <v>44364</v>
      </c>
      <c r="C87" s="34" t="s">
        <v>242</v>
      </c>
      <c r="D87" s="40" t="str">
        <f t="shared" si="2"/>
        <v>2002000081</v>
      </c>
      <c r="E87" s="34" t="s">
        <v>82</v>
      </c>
      <c r="F87" s="52">
        <v>776790410</v>
      </c>
      <c r="G87" s="34"/>
      <c r="H87" s="34" t="s">
        <v>84</v>
      </c>
      <c r="I87" s="278">
        <v>32213</v>
      </c>
      <c r="J87" s="50">
        <f t="shared" ca="1" si="3"/>
        <v>35.545205479452058</v>
      </c>
      <c r="K87" s="50" t="str">
        <f ca="1">IFERROR(VLOOKUP($J87,Ref!$B$7:$C$9,2),"")</f>
        <v>Valid Age</v>
      </c>
      <c r="L87" s="55" t="s">
        <v>85</v>
      </c>
      <c r="M87" s="34"/>
      <c r="N87" s="34" t="s">
        <v>88</v>
      </c>
      <c r="O87" s="34" t="s">
        <v>370</v>
      </c>
      <c r="P87" s="34" t="s">
        <v>113</v>
      </c>
      <c r="Q87" s="34" t="s">
        <v>127</v>
      </c>
      <c r="R87" s="34" t="s">
        <v>400</v>
      </c>
      <c r="S87" s="43">
        <v>45832</v>
      </c>
      <c r="T87" s="43" t="s">
        <v>401</v>
      </c>
      <c r="U87" s="43" t="s">
        <v>184</v>
      </c>
      <c r="V87" s="58" t="s">
        <v>90</v>
      </c>
      <c r="W87" s="34"/>
      <c r="X87" s="34"/>
    </row>
    <row r="88" spans="1:24" x14ac:dyDescent="0.2">
      <c r="A88" s="132">
        <v>82</v>
      </c>
      <c r="B88" s="45">
        <v>44365</v>
      </c>
      <c r="C88" s="34" t="s">
        <v>243</v>
      </c>
      <c r="D88" s="40" t="str">
        <f t="shared" si="2"/>
        <v>2002000082</v>
      </c>
      <c r="E88" s="34" t="s">
        <v>82</v>
      </c>
      <c r="F88" s="52">
        <v>760439261</v>
      </c>
      <c r="G88" s="34"/>
      <c r="H88" s="34" t="s">
        <v>84</v>
      </c>
      <c r="I88" s="278">
        <v>32874</v>
      </c>
      <c r="J88" s="50">
        <f t="shared" ca="1" si="3"/>
        <v>33.734246575342468</v>
      </c>
      <c r="K88" s="50" t="str">
        <f ca="1">IFERROR(VLOOKUP($J88,Ref!$B$7:$C$9,2),"")</f>
        <v>Valid Age</v>
      </c>
      <c r="L88" s="55" t="s">
        <v>85</v>
      </c>
      <c r="M88" s="34"/>
      <c r="N88" s="34" t="s">
        <v>88</v>
      </c>
      <c r="O88" s="34" t="s">
        <v>339</v>
      </c>
      <c r="P88" s="34" t="s">
        <v>124</v>
      </c>
      <c r="Q88" s="34" t="s">
        <v>127</v>
      </c>
      <c r="R88" s="34" t="s">
        <v>402</v>
      </c>
      <c r="S88" s="43">
        <v>45833</v>
      </c>
      <c r="T88" s="43" t="s">
        <v>403</v>
      </c>
      <c r="U88" s="43" t="s">
        <v>163</v>
      </c>
      <c r="V88" s="58" t="s">
        <v>90</v>
      </c>
      <c r="W88" s="34"/>
      <c r="X88" s="34"/>
    </row>
    <row r="89" spans="1:24" x14ac:dyDescent="0.2">
      <c r="A89" s="132">
        <v>83</v>
      </c>
      <c r="B89" s="45">
        <v>44365</v>
      </c>
      <c r="C89" s="34" t="s">
        <v>244</v>
      </c>
      <c r="D89" s="40" t="str">
        <f t="shared" si="2"/>
        <v>2002000083</v>
      </c>
      <c r="E89" s="34" t="s">
        <v>82</v>
      </c>
      <c r="F89" s="52">
        <v>784649981</v>
      </c>
      <c r="G89" s="34"/>
      <c r="H89" s="34" t="s">
        <v>84</v>
      </c>
      <c r="I89" s="278">
        <v>33336</v>
      </c>
      <c r="J89" s="50">
        <f t="shared" ca="1" si="3"/>
        <v>32.468493150684928</v>
      </c>
      <c r="K89" s="50" t="str">
        <f ca="1">IFERROR(VLOOKUP($J89,Ref!$B$7:$C$9,2),"")</f>
        <v>Valid Age</v>
      </c>
      <c r="L89" s="55" t="s">
        <v>85</v>
      </c>
      <c r="M89" s="34"/>
      <c r="N89" s="34" t="s">
        <v>88</v>
      </c>
      <c r="O89" s="34" t="s">
        <v>99</v>
      </c>
      <c r="P89" s="34" t="s">
        <v>404</v>
      </c>
      <c r="Q89" s="34" t="s">
        <v>127</v>
      </c>
      <c r="R89" s="34" t="s">
        <v>405</v>
      </c>
      <c r="S89" s="43">
        <v>45833</v>
      </c>
      <c r="T89" s="43" t="s">
        <v>406</v>
      </c>
      <c r="U89" s="43" t="s">
        <v>173</v>
      </c>
      <c r="V89" s="58">
        <v>778408202</v>
      </c>
      <c r="W89" s="34"/>
      <c r="X89" s="34"/>
    </row>
    <row r="90" spans="1:24" x14ac:dyDescent="0.2">
      <c r="A90" s="132">
        <v>84</v>
      </c>
      <c r="B90" s="45">
        <v>44365</v>
      </c>
      <c r="C90" s="34" t="s">
        <v>245</v>
      </c>
      <c r="D90" s="40" t="str">
        <f t="shared" si="2"/>
        <v>2002000084</v>
      </c>
      <c r="E90" s="34" t="s">
        <v>82</v>
      </c>
      <c r="F90" s="52">
        <v>788274101</v>
      </c>
      <c r="G90" s="34"/>
      <c r="H90" s="34" t="s">
        <v>83</v>
      </c>
      <c r="I90" s="278">
        <v>34639</v>
      </c>
      <c r="J90" s="50">
        <f t="shared" ca="1" si="3"/>
        <v>28.898630136986302</v>
      </c>
      <c r="K90" s="50" t="str">
        <f ca="1">IFERROR(VLOOKUP($J90,Ref!$B$7:$C$9,2),"")</f>
        <v>Valid Age</v>
      </c>
      <c r="L90" s="55" t="s">
        <v>85</v>
      </c>
      <c r="M90" s="34"/>
      <c r="N90" s="34" t="s">
        <v>89</v>
      </c>
      <c r="O90" s="34" t="s">
        <v>314</v>
      </c>
      <c r="P90" s="34" t="s">
        <v>407</v>
      </c>
      <c r="Q90" s="34" t="s">
        <v>127</v>
      </c>
      <c r="R90" s="34" t="s">
        <v>408</v>
      </c>
      <c r="S90" s="43">
        <v>45833</v>
      </c>
      <c r="T90" s="43" t="s">
        <v>409</v>
      </c>
      <c r="U90" s="43" t="s">
        <v>198</v>
      </c>
      <c r="V90" s="58" t="s">
        <v>90</v>
      </c>
      <c r="W90" s="34"/>
      <c r="X90" s="34"/>
    </row>
    <row r="91" spans="1:24" x14ac:dyDescent="0.2">
      <c r="A91" s="132">
        <v>85</v>
      </c>
      <c r="B91" s="45">
        <v>44368</v>
      </c>
      <c r="C91" s="34" t="s">
        <v>246</v>
      </c>
      <c r="D91" s="40" t="str">
        <f t="shared" si="2"/>
        <v>2002000085</v>
      </c>
      <c r="E91" s="34" t="s">
        <v>82</v>
      </c>
      <c r="F91" s="52">
        <v>775586706</v>
      </c>
      <c r="G91" s="34"/>
      <c r="H91" s="34" t="s">
        <v>83</v>
      </c>
      <c r="I91" s="278">
        <v>30085</v>
      </c>
      <c r="J91" s="50">
        <f t="shared" ca="1" si="3"/>
        <v>41.375342465753427</v>
      </c>
      <c r="K91" s="50" t="str">
        <f ca="1">IFERROR(VLOOKUP($J91,Ref!$B$7:$C$9,2),"")</f>
        <v>Valid Age</v>
      </c>
      <c r="L91" s="55" t="s">
        <v>85</v>
      </c>
      <c r="M91" s="34"/>
      <c r="N91" s="34" t="s">
        <v>89</v>
      </c>
      <c r="O91" s="34" t="s">
        <v>326</v>
      </c>
      <c r="P91" s="34" t="s">
        <v>124</v>
      </c>
      <c r="Q91" s="34" t="s">
        <v>127</v>
      </c>
      <c r="R91" s="34" t="s">
        <v>410</v>
      </c>
      <c r="S91" s="43">
        <v>45833</v>
      </c>
      <c r="T91" s="43" t="s">
        <v>411</v>
      </c>
      <c r="U91" s="43" t="s">
        <v>198</v>
      </c>
      <c r="V91" s="58">
        <v>774032374</v>
      </c>
      <c r="W91" s="34"/>
      <c r="X91" s="34"/>
    </row>
    <row r="92" spans="1:24" x14ac:dyDescent="0.2">
      <c r="A92" s="132">
        <v>86</v>
      </c>
      <c r="B92" s="45">
        <v>44368</v>
      </c>
      <c r="C92" s="34" t="s">
        <v>247</v>
      </c>
      <c r="D92" s="40" t="str">
        <f t="shared" si="2"/>
        <v>2002000086</v>
      </c>
      <c r="E92" s="34" t="s">
        <v>82</v>
      </c>
      <c r="F92" s="52">
        <v>777570311</v>
      </c>
      <c r="G92" s="34"/>
      <c r="H92" s="34" t="s">
        <v>84</v>
      </c>
      <c r="I92" s="278">
        <v>30817</v>
      </c>
      <c r="J92" s="50">
        <f t="shared" ca="1" si="3"/>
        <v>39.369863013698627</v>
      </c>
      <c r="K92" s="50" t="str">
        <f ca="1">IFERROR(VLOOKUP($J92,Ref!$B$7:$C$9,2),"")</f>
        <v>Valid Age</v>
      </c>
      <c r="L92" s="55" t="s">
        <v>85</v>
      </c>
      <c r="M92" s="34"/>
      <c r="N92" s="34" t="s">
        <v>88</v>
      </c>
      <c r="O92" s="34" t="s">
        <v>107</v>
      </c>
      <c r="P92" s="34" t="s">
        <v>107</v>
      </c>
      <c r="Q92" s="34" t="s">
        <v>127</v>
      </c>
      <c r="R92" s="34" t="s">
        <v>412</v>
      </c>
      <c r="S92" s="43">
        <v>45832</v>
      </c>
      <c r="T92" s="43" t="s">
        <v>413</v>
      </c>
      <c r="U92" s="43" t="s">
        <v>168</v>
      </c>
      <c r="V92" s="58" t="s">
        <v>90</v>
      </c>
      <c r="W92" s="34"/>
      <c r="X92" s="34"/>
    </row>
    <row r="93" spans="1:24" x14ac:dyDescent="0.2">
      <c r="A93" s="132">
        <v>87</v>
      </c>
      <c r="B93" s="45">
        <v>44368</v>
      </c>
      <c r="C93" s="34" t="s">
        <v>248</v>
      </c>
      <c r="D93" s="40" t="str">
        <f t="shared" si="2"/>
        <v>2002000087</v>
      </c>
      <c r="E93" s="34" t="s">
        <v>82</v>
      </c>
      <c r="F93" s="52">
        <v>775636307</v>
      </c>
      <c r="G93" s="34"/>
      <c r="H93" s="34" t="s">
        <v>84</v>
      </c>
      <c r="I93" s="278">
        <v>30823</v>
      </c>
      <c r="J93" s="50">
        <f t="shared" ca="1" si="3"/>
        <v>39.353424657534248</v>
      </c>
      <c r="K93" s="50" t="str">
        <f ca="1">IFERROR(VLOOKUP($J93,Ref!$B$7:$C$9,2),"")</f>
        <v>Valid Age</v>
      </c>
      <c r="L93" s="55" t="s">
        <v>85</v>
      </c>
      <c r="M93" s="34"/>
      <c r="N93" s="34" t="s">
        <v>88</v>
      </c>
      <c r="O93" s="34" t="s">
        <v>370</v>
      </c>
      <c r="P93" s="34" t="s">
        <v>113</v>
      </c>
      <c r="Q93" s="34" t="s">
        <v>127</v>
      </c>
      <c r="R93" s="34" t="s">
        <v>414</v>
      </c>
      <c r="S93" s="43">
        <v>45832</v>
      </c>
      <c r="T93" s="43" t="s">
        <v>415</v>
      </c>
      <c r="U93" s="43" t="s">
        <v>163</v>
      </c>
      <c r="V93" s="58" t="s">
        <v>90</v>
      </c>
      <c r="W93" s="34"/>
      <c r="X93" s="34"/>
    </row>
    <row r="94" spans="1:24" x14ac:dyDescent="0.2">
      <c r="A94" s="132">
        <v>88</v>
      </c>
      <c r="B94" s="45">
        <v>44368</v>
      </c>
      <c r="C94" s="34" t="s">
        <v>249</v>
      </c>
      <c r="D94" s="40" t="str">
        <f t="shared" si="2"/>
        <v>2002000088</v>
      </c>
      <c r="E94" s="34" t="s">
        <v>82</v>
      </c>
      <c r="F94" s="52">
        <v>785380303</v>
      </c>
      <c r="G94" s="34"/>
      <c r="H94" s="34" t="s">
        <v>84</v>
      </c>
      <c r="I94" s="278">
        <v>29041</v>
      </c>
      <c r="J94" s="50">
        <f t="shared" ca="1" si="3"/>
        <v>44.235616438356168</v>
      </c>
      <c r="K94" s="50" t="str">
        <f ca="1">IFERROR(VLOOKUP($J94,Ref!$B$7:$C$9,2),"")</f>
        <v>Valid Age</v>
      </c>
      <c r="L94" s="55" t="s">
        <v>85</v>
      </c>
      <c r="M94" s="34"/>
      <c r="N94" s="34" t="s">
        <v>88</v>
      </c>
      <c r="O94" s="34" t="s">
        <v>367</v>
      </c>
      <c r="P94" s="34" t="s">
        <v>124</v>
      </c>
      <c r="Q94" s="34" t="s">
        <v>127</v>
      </c>
      <c r="R94" s="34" t="s">
        <v>416</v>
      </c>
      <c r="S94" s="43">
        <v>45832</v>
      </c>
      <c r="T94" s="43" t="s">
        <v>417</v>
      </c>
      <c r="U94" s="43" t="s">
        <v>163</v>
      </c>
      <c r="V94" s="58">
        <v>774070173</v>
      </c>
      <c r="W94" s="34"/>
      <c r="X94" s="34"/>
    </row>
    <row r="95" spans="1:24" x14ac:dyDescent="0.2">
      <c r="A95" s="132">
        <v>89</v>
      </c>
      <c r="B95" s="45">
        <v>44369</v>
      </c>
      <c r="C95" s="34" t="s">
        <v>250</v>
      </c>
      <c r="D95" s="40" t="str">
        <f t="shared" si="2"/>
        <v>2002000089</v>
      </c>
      <c r="E95" s="34" t="s">
        <v>82</v>
      </c>
      <c r="F95" s="52">
        <v>785966794</v>
      </c>
      <c r="G95" s="34"/>
      <c r="H95" s="34" t="s">
        <v>84</v>
      </c>
      <c r="I95" s="278">
        <v>28325</v>
      </c>
      <c r="J95" s="50">
        <f t="shared" ca="1" si="3"/>
        <v>46.197260273972603</v>
      </c>
      <c r="K95" s="50" t="str">
        <f ca="1">IFERROR(VLOOKUP($J95,Ref!$B$7:$C$9,2),"")</f>
        <v>Valid Age</v>
      </c>
      <c r="L95" s="55" t="s">
        <v>85</v>
      </c>
      <c r="M95" s="34"/>
      <c r="N95" s="34" t="s">
        <v>88</v>
      </c>
      <c r="O95" s="34" t="s">
        <v>370</v>
      </c>
      <c r="P95" s="34" t="s">
        <v>113</v>
      </c>
      <c r="Q95" s="34" t="s">
        <v>127</v>
      </c>
      <c r="R95" s="34" t="s">
        <v>418</v>
      </c>
      <c r="S95" s="43">
        <v>45833</v>
      </c>
      <c r="T95" s="43" t="s">
        <v>419</v>
      </c>
      <c r="U95" s="43" t="s">
        <v>163</v>
      </c>
      <c r="V95" s="58" t="s">
        <v>90</v>
      </c>
      <c r="W95" s="34"/>
      <c r="X95" s="34"/>
    </row>
    <row r="96" spans="1:24" x14ac:dyDescent="0.2">
      <c r="A96" s="132">
        <v>90</v>
      </c>
      <c r="B96" s="45">
        <v>44369</v>
      </c>
      <c r="C96" s="34" t="s">
        <v>251</v>
      </c>
      <c r="D96" s="40" t="str">
        <f t="shared" si="2"/>
        <v>2002000090</v>
      </c>
      <c r="E96" s="34" t="s">
        <v>82</v>
      </c>
      <c r="F96" s="52">
        <v>779629338</v>
      </c>
      <c r="G96" s="34"/>
      <c r="H96" s="34" t="s">
        <v>84</v>
      </c>
      <c r="I96" s="278">
        <v>29467</v>
      </c>
      <c r="J96" s="50">
        <f t="shared" ca="1" si="3"/>
        <v>43.06849315068493</v>
      </c>
      <c r="K96" s="50" t="str">
        <f ca="1">IFERROR(VLOOKUP($J96,Ref!$B$7:$C$9,2),"")</f>
        <v>Valid Age</v>
      </c>
      <c r="L96" s="55" t="s">
        <v>85</v>
      </c>
      <c r="M96" s="34"/>
      <c r="N96" s="34" t="s">
        <v>88</v>
      </c>
      <c r="O96" s="34" t="s">
        <v>374</v>
      </c>
      <c r="P96" s="34" t="s">
        <v>113</v>
      </c>
      <c r="Q96" s="34" t="s">
        <v>127</v>
      </c>
      <c r="R96" s="34" t="s">
        <v>420</v>
      </c>
      <c r="S96" s="43">
        <v>45832</v>
      </c>
      <c r="T96" s="43" t="s">
        <v>421</v>
      </c>
      <c r="U96" s="43" t="s">
        <v>163</v>
      </c>
      <c r="V96" s="58">
        <v>781604399</v>
      </c>
      <c r="W96" s="34"/>
      <c r="X96" s="34"/>
    </row>
    <row r="97" spans="1:24" x14ac:dyDescent="0.2">
      <c r="A97" s="132">
        <v>91</v>
      </c>
      <c r="B97" s="45">
        <v>44369</v>
      </c>
      <c r="C97" s="34" t="s">
        <v>252</v>
      </c>
      <c r="D97" s="40" t="str">
        <f t="shared" si="2"/>
        <v>2002000091</v>
      </c>
      <c r="E97" s="34" t="s">
        <v>25</v>
      </c>
      <c r="F97" s="52">
        <v>785785679</v>
      </c>
      <c r="G97" s="34"/>
      <c r="H97" s="34" t="s">
        <v>84</v>
      </c>
      <c r="I97" s="278">
        <v>25612</v>
      </c>
      <c r="J97" s="50">
        <f t="shared" ca="1" si="3"/>
        <v>53.630136986301373</v>
      </c>
      <c r="K97" s="50" t="str">
        <f ca="1">IFERROR(VLOOKUP($J97,Ref!$B$7:$C$9,2),"")</f>
        <v>Valid Age</v>
      </c>
      <c r="L97" s="55" t="s">
        <v>85</v>
      </c>
      <c r="M97" s="34"/>
      <c r="N97" s="34" t="s">
        <v>88</v>
      </c>
      <c r="O97" s="34" t="s">
        <v>370</v>
      </c>
      <c r="P97" s="34" t="s">
        <v>113</v>
      </c>
      <c r="Q97" s="34" t="s">
        <v>127</v>
      </c>
      <c r="R97" s="34" t="s">
        <v>422</v>
      </c>
      <c r="S97" s="43">
        <v>45909</v>
      </c>
      <c r="T97" s="43" t="s">
        <v>423</v>
      </c>
      <c r="U97" s="43" t="s">
        <v>198</v>
      </c>
      <c r="V97" s="58">
        <v>787158824</v>
      </c>
      <c r="W97" s="34"/>
      <c r="X97" s="34"/>
    </row>
    <row r="98" spans="1:24" x14ac:dyDescent="0.2">
      <c r="A98" s="132">
        <v>92</v>
      </c>
      <c r="B98" s="45">
        <v>44369</v>
      </c>
      <c r="C98" s="34" t="s">
        <v>253</v>
      </c>
      <c r="D98" s="40" t="str">
        <f t="shared" si="2"/>
        <v>2002000092</v>
      </c>
      <c r="E98" s="34" t="s">
        <v>82</v>
      </c>
      <c r="F98" s="52">
        <v>779163014</v>
      </c>
      <c r="G98" s="34"/>
      <c r="H98" s="34" t="s">
        <v>84</v>
      </c>
      <c r="I98" s="278">
        <v>34230</v>
      </c>
      <c r="J98" s="50">
        <f t="shared" ca="1" si="3"/>
        <v>30.019178082191782</v>
      </c>
      <c r="K98" s="50" t="str">
        <f ca="1">IFERROR(VLOOKUP($J98,Ref!$B$7:$C$9,2),"")</f>
        <v>Valid Age</v>
      </c>
      <c r="L98" s="55" t="s">
        <v>85</v>
      </c>
      <c r="M98" s="34"/>
      <c r="N98" s="34" t="s">
        <v>88</v>
      </c>
      <c r="O98" s="34" t="s">
        <v>370</v>
      </c>
      <c r="P98" s="34" t="s">
        <v>113</v>
      </c>
      <c r="Q98" s="34" t="s">
        <v>127</v>
      </c>
      <c r="R98" s="34" t="s">
        <v>424</v>
      </c>
      <c r="S98" s="43">
        <v>45833</v>
      </c>
      <c r="T98" s="43" t="s">
        <v>425</v>
      </c>
      <c r="U98" s="43" t="s">
        <v>173</v>
      </c>
      <c r="V98" s="58">
        <v>786837398</v>
      </c>
      <c r="W98" s="34"/>
      <c r="X98" s="34"/>
    </row>
    <row r="99" spans="1:24" x14ac:dyDescent="0.2">
      <c r="A99" s="132">
        <v>93</v>
      </c>
      <c r="B99" s="45">
        <v>44370</v>
      </c>
      <c r="C99" s="34" t="s">
        <v>254</v>
      </c>
      <c r="D99" s="40" t="str">
        <f t="shared" si="2"/>
        <v>2002000093</v>
      </c>
      <c r="E99" s="34" t="s">
        <v>25</v>
      </c>
      <c r="F99" s="52">
        <v>782996597</v>
      </c>
      <c r="G99" s="34"/>
      <c r="H99" s="34" t="s">
        <v>83</v>
      </c>
      <c r="I99" s="278">
        <v>26340</v>
      </c>
      <c r="J99" s="50">
        <f t="shared" ca="1" si="3"/>
        <v>51.635616438356166</v>
      </c>
      <c r="K99" s="50" t="str">
        <f ca="1">IFERROR(VLOOKUP($J99,Ref!$B$7:$C$9,2),"")</f>
        <v>Valid Age</v>
      </c>
      <c r="L99" s="55" t="s">
        <v>85</v>
      </c>
      <c r="M99" s="34"/>
      <c r="N99" s="34"/>
      <c r="O99" s="34"/>
      <c r="P99" s="34"/>
      <c r="Q99" s="34" t="s">
        <v>127</v>
      </c>
      <c r="R99" s="34" t="s">
        <v>426</v>
      </c>
      <c r="S99" s="43">
        <v>45843</v>
      </c>
      <c r="T99" s="43" t="s">
        <v>427</v>
      </c>
      <c r="U99" s="43" t="s">
        <v>163</v>
      </c>
      <c r="V99" s="58">
        <v>777094424</v>
      </c>
      <c r="W99" s="34"/>
      <c r="X99" s="34"/>
    </row>
    <row r="100" spans="1:24" x14ac:dyDescent="0.2">
      <c r="A100" s="132">
        <v>94</v>
      </c>
      <c r="B100" s="45">
        <v>44370</v>
      </c>
      <c r="C100" s="34" t="s">
        <v>255</v>
      </c>
      <c r="D100" s="40" t="str">
        <f t="shared" si="2"/>
        <v>2002000094</v>
      </c>
      <c r="E100" s="34" t="s">
        <v>82</v>
      </c>
      <c r="F100" s="52">
        <v>774040571</v>
      </c>
      <c r="G100" s="34"/>
      <c r="H100" s="34" t="s">
        <v>83</v>
      </c>
      <c r="I100" s="278">
        <v>27030</v>
      </c>
      <c r="J100" s="50">
        <f t="shared" ca="1" si="3"/>
        <v>49.745205479452054</v>
      </c>
      <c r="K100" s="50" t="str">
        <f ca="1">IFERROR(VLOOKUP($J100,Ref!$B$7:$C$9,2),"")</f>
        <v>Valid Age</v>
      </c>
      <c r="L100" s="55" t="s">
        <v>85</v>
      </c>
      <c r="M100" s="34"/>
      <c r="N100" s="34" t="s">
        <v>89</v>
      </c>
      <c r="O100" s="34" t="s">
        <v>314</v>
      </c>
      <c r="P100" s="34" t="s">
        <v>428</v>
      </c>
      <c r="Q100" s="34" t="s">
        <v>127</v>
      </c>
      <c r="R100" s="34" t="s">
        <v>429</v>
      </c>
      <c r="S100" s="43">
        <v>45841</v>
      </c>
      <c r="T100" s="43" t="s">
        <v>430</v>
      </c>
      <c r="U100" s="43" t="s">
        <v>171</v>
      </c>
      <c r="V100" s="58">
        <v>781458210</v>
      </c>
      <c r="W100" s="34"/>
      <c r="X100" s="34"/>
    </row>
    <row r="101" spans="1:24" x14ac:dyDescent="0.2">
      <c r="A101" s="132">
        <v>95</v>
      </c>
      <c r="B101" s="45">
        <v>44370</v>
      </c>
      <c r="C101" s="34" t="s">
        <v>256</v>
      </c>
      <c r="D101" s="40" t="str">
        <f t="shared" si="2"/>
        <v>2002000095</v>
      </c>
      <c r="E101" s="34" t="s">
        <v>82</v>
      </c>
      <c r="F101" s="52">
        <v>774053613</v>
      </c>
      <c r="G101" s="34"/>
      <c r="H101" s="34" t="s">
        <v>84</v>
      </c>
      <c r="I101" s="278">
        <v>33516</v>
      </c>
      <c r="J101" s="50">
        <f t="shared" ca="1" si="3"/>
        <v>31.975342465753425</v>
      </c>
      <c r="K101" s="50" t="str">
        <f ca="1">IFERROR(VLOOKUP($J101,Ref!$B$7:$C$9,2),"")</f>
        <v>Valid Age</v>
      </c>
      <c r="L101" s="55" t="s">
        <v>85</v>
      </c>
      <c r="M101" s="34"/>
      <c r="N101" s="34" t="s">
        <v>88</v>
      </c>
      <c r="O101" s="34" t="s">
        <v>370</v>
      </c>
      <c r="P101" s="34" t="s">
        <v>371</v>
      </c>
      <c r="Q101" s="34" t="s">
        <v>127</v>
      </c>
      <c r="R101" s="34" t="s">
        <v>431</v>
      </c>
      <c r="S101" s="43">
        <v>45832</v>
      </c>
      <c r="T101" s="43" t="s">
        <v>432</v>
      </c>
      <c r="U101" s="43" t="s">
        <v>303</v>
      </c>
      <c r="V101" s="58" t="s">
        <v>90</v>
      </c>
      <c r="W101" s="34"/>
      <c r="X101" s="34"/>
    </row>
    <row r="102" spans="1:24" x14ac:dyDescent="0.2">
      <c r="A102" s="132">
        <v>96</v>
      </c>
      <c r="B102" s="45">
        <v>44371</v>
      </c>
      <c r="C102" s="34" t="s">
        <v>257</v>
      </c>
      <c r="D102" s="40" t="str">
        <f t="shared" si="2"/>
        <v>2002000096</v>
      </c>
      <c r="E102" s="34" t="s">
        <v>82</v>
      </c>
      <c r="F102" s="52">
        <v>789276577</v>
      </c>
      <c r="G102" s="34"/>
      <c r="H102" s="34" t="s">
        <v>84</v>
      </c>
      <c r="I102" s="278">
        <v>29450</v>
      </c>
      <c r="J102" s="50">
        <f t="shared" ca="1" si="3"/>
        <v>43.115068493150687</v>
      </c>
      <c r="K102" s="50" t="str">
        <f ca="1">IFERROR(VLOOKUP($J102,Ref!$B$7:$C$9,2),"")</f>
        <v>Valid Age</v>
      </c>
      <c r="L102" s="55" t="s">
        <v>85</v>
      </c>
      <c r="M102" s="34"/>
      <c r="N102" s="34" t="s">
        <v>88</v>
      </c>
      <c r="O102" s="34" t="s">
        <v>370</v>
      </c>
      <c r="P102" s="34" t="s">
        <v>123</v>
      </c>
      <c r="Q102" s="34" t="s">
        <v>127</v>
      </c>
      <c r="R102" s="34" t="s">
        <v>433</v>
      </c>
      <c r="S102" s="43">
        <v>45841</v>
      </c>
      <c r="T102" s="43" t="s">
        <v>434</v>
      </c>
      <c r="U102" s="43" t="s">
        <v>198</v>
      </c>
      <c r="V102" s="58" t="s">
        <v>90</v>
      </c>
      <c r="W102" s="34"/>
      <c r="X102" s="34"/>
    </row>
    <row r="103" spans="1:24" x14ac:dyDescent="0.2">
      <c r="A103" s="132">
        <v>97</v>
      </c>
      <c r="B103" s="45">
        <v>44371</v>
      </c>
      <c r="C103" s="34" t="s">
        <v>258</v>
      </c>
      <c r="D103" s="40" t="str">
        <f t="shared" si="2"/>
        <v>2002000097</v>
      </c>
      <c r="E103" s="34" t="s">
        <v>82</v>
      </c>
      <c r="F103" s="52">
        <v>777470336</v>
      </c>
      <c r="G103" s="34"/>
      <c r="H103" s="34" t="s">
        <v>83</v>
      </c>
      <c r="I103" s="278">
        <v>31949</v>
      </c>
      <c r="J103" s="50">
        <f t="shared" ca="1" si="3"/>
        <v>36.268493150684932</v>
      </c>
      <c r="K103" s="50" t="str">
        <f ca="1">IFERROR(VLOOKUP($J103,Ref!$B$7:$C$9,2),"")</f>
        <v>Valid Age</v>
      </c>
      <c r="L103" s="55" t="s">
        <v>85</v>
      </c>
      <c r="M103" s="34"/>
      <c r="N103" s="34" t="s">
        <v>89</v>
      </c>
      <c r="O103" s="34" t="s">
        <v>354</v>
      </c>
      <c r="P103" s="34" t="s">
        <v>346</v>
      </c>
      <c r="Q103" s="34" t="s">
        <v>127</v>
      </c>
      <c r="R103" s="34" t="s">
        <v>435</v>
      </c>
      <c r="S103" s="43">
        <v>45833</v>
      </c>
      <c r="T103" s="43" t="s">
        <v>436</v>
      </c>
      <c r="U103" s="43" t="s">
        <v>168</v>
      </c>
      <c r="V103" s="58" t="s">
        <v>90</v>
      </c>
      <c r="W103" s="34"/>
      <c r="X103" s="34"/>
    </row>
    <row r="104" spans="1:24" x14ac:dyDescent="0.2">
      <c r="A104" s="132">
        <v>98</v>
      </c>
      <c r="B104" s="45">
        <v>44371</v>
      </c>
      <c r="C104" s="34" t="s">
        <v>259</v>
      </c>
      <c r="D104" s="40" t="str">
        <f t="shared" si="2"/>
        <v>2002000098</v>
      </c>
      <c r="E104" s="34" t="s">
        <v>82</v>
      </c>
      <c r="F104" s="52">
        <v>779766607</v>
      </c>
      <c r="G104" s="34"/>
      <c r="H104" s="34" t="s">
        <v>84</v>
      </c>
      <c r="I104" s="278">
        <v>28126</v>
      </c>
      <c r="J104" s="50">
        <f t="shared" ca="1" si="3"/>
        <v>46.742465753424661</v>
      </c>
      <c r="K104" s="50" t="str">
        <f ca="1">IFERROR(VLOOKUP($J104,Ref!$B$7:$C$9,2),"")</f>
        <v>Valid Age</v>
      </c>
      <c r="L104" s="55" t="s">
        <v>85</v>
      </c>
      <c r="M104" s="34"/>
      <c r="N104" s="34" t="s">
        <v>88</v>
      </c>
      <c r="O104" s="34"/>
      <c r="P104" s="34"/>
      <c r="Q104" s="34" t="s">
        <v>127</v>
      </c>
      <c r="R104" s="34" t="s">
        <v>437</v>
      </c>
      <c r="S104" s="43">
        <v>45546</v>
      </c>
      <c r="T104" s="43" t="s">
        <v>438</v>
      </c>
      <c r="U104" s="43" t="s">
        <v>198</v>
      </c>
      <c r="V104" s="58">
        <v>793297376</v>
      </c>
      <c r="W104" s="34"/>
      <c r="X104" s="34"/>
    </row>
    <row r="105" spans="1:24" x14ac:dyDescent="0.2">
      <c r="A105" s="132">
        <v>99</v>
      </c>
      <c r="B105" s="45">
        <v>44371</v>
      </c>
      <c r="C105" s="34" t="s">
        <v>260</v>
      </c>
      <c r="D105" s="40" t="str">
        <f t="shared" si="2"/>
        <v>2002000099</v>
      </c>
      <c r="E105" s="34" t="s">
        <v>82</v>
      </c>
      <c r="F105" s="52">
        <v>778680545</v>
      </c>
      <c r="G105" s="34"/>
      <c r="H105" s="34" t="s">
        <v>84</v>
      </c>
      <c r="I105" s="278">
        <v>35079</v>
      </c>
      <c r="J105" s="50">
        <f t="shared" ca="1" si="3"/>
        <v>27.693150684931506</v>
      </c>
      <c r="K105" s="50" t="str">
        <f ca="1">IFERROR(VLOOKUP($J105,Ref!$B$7:$C$9,2),"")</f>
        <v>Valid Age</v>
      </c>
      <c r="L105" s="55" t="s">
        <v>85</v>
      </c>
      <c r="M105" s="34"/>
      <c r="N105" s="34" t="s">
        <v>88</v>
      </c>
      <c r="O105" s="34" t="s">
        <v>314</v>
      </c>
      <c r="P105" s="34" t="s">
        <v>125</v>
      </c>
      <c r="Q105" s="34" t="s">
        <v>127</v>
      </c>
      <c r="R105" s="34" t="s">
        <v>439</v>
      </c>
      <c r="S105" s="43">
        <v>45832</v>
      </c>
      <c r="T105" s="43" t="s">
        <v>440</v>
      </c>
      <c r="U105" s="43" t="s">
        <v>198</v>
      </c>
      <c r="V105" s="58">
        <v>77857955</v>
      </c>
      <c r="W105" s="34"/>
      <c r="X105" s="34"/>
    </row>
    <row r="106" spans="1:24" x14ac:dyDescent="0.2">
      <c r="A106" s="132">
        <v>100</v>
      </c>
      <c r="B106" s="45">
        <v>44371</v>
      </c>
      <c r="C106" s="34" t="s">
        <v>261</v>
      </c>
      <c r="D106" s="40" t="str">
        <f t="shared" si="2"/>
        <v>2002000100</v>
      </c>
      <c r="E106" s="34" t="s">
        <v>82</v>
      </c>
      <c r="F106" s="52">
        <v>774071248</v>
      </c>
      <c r="G106" s="34"/>
      <c r="H106" s="34" t="s">
        <v>84</v>
      </c>
      <c r="I106" s="278">
        <v>32874</v>
      </c>
      <c r="J106" s="50">
        <f t="shared" ca="1" si="3"/>
        <v>33.734246575342468</v>
      </c>
      <c r="K106" s="50" t="str">
        <f ca="1">IFERROR(VLOOKUP($J106,Ref!$B$7:$C$9,2),"")</f>
        <v>Valid Age</v>
      </c>
      <c r="L106" s="55" t="s">
        <v>85</v>
      </c>
      <c r="M106" s="34"/>
      <c r="N106" s="34" t="s">
        <v>88</v>
      </c>
      <c r="O106" s="34" t="s">
        <v>370</v>
      </c>
      <c r="P106" s="34" t="s">
        <v>371</v>
      </c>
      <c r="Q106" s="34" t="s">
        <v>127</v>
      </c>
      <c r="R106" s="34" t="s">
        <v>441</v>
      </c>
      <c r="S106" s="43">
        <v>44371</v>
      </c>
      <c r="T106" s="43" t="s">
        <v>442</v>
      </c>
      <c r="U106" s="43" t="s">
        <v>168</v>
      </c>
      <c r="V106" s="58" t="s">
        <v>90</v>
      </c>
      <c r="W106" s="34"/>
      <c r="X106" s="34"/>
    </row>
    <row r="107" spans="1:24" x14ac:dyDescent="0.2">
      <c r="A107" s="132">
        <v>101</v>
      </c>
      <c r="B107" s="45">
        <v>44373</v>
      </c>
      <c r="C107" s="34" t="s">
        <v>262</v>
      </c>
      <c r="D107" s="40" t="str">
        <f t="shared" si="2"/>
        <v>2002000101</v>
      </c>
      <c r="E107" s="34" t="s">
        <v>82</v>
      </c>
      <c r="F107" s="52">
        <v>77262635</v>
      </c>
      <c r="G107" s="34"/>
      <c r="H107" s="34" t="s">
        <v>83</v>
      </c>
      <c r="I107" s="278">
        <v>24464</v>
      </c>
      <c r="J107" s="50">
        <f t="shared" ca="1" si="3"/>
        <v>56.775342465753425</v>
      </c>
      <c r="K107" s="50" t="str">
        <f ca="1">IFERROR(VLOOKUP($J107,Ref!$B$7:$C$9,2),"")</f>
        <v>Over Age</v>
      </c>
      <c r="L107" s="55" t="s">
        <v>85</v>
      </c>
      <c r="M107" s="34"/>
      <c r="N107" s="34" t="s">
        <v>89</v>
      </c>
      <c r="O107" s="34" t="s">
        <v>385</v>
      </c>
      <c r="P107" s="34" t="s">
        <v>115</v>
      </c>
      <c r="Q107" s="34" t="s">
        <v>127</v>
      </c>
      <c r="R107" s="34" t="s">
        <v>443</v>
      </c>
      <c r="S107" s="43">
        <v>45623</v>
      </c>
      <c r="T107" s="43" t="s">
        <v>444</v>
      </c>
      <c r="U107" s="43" t="s">
        <v>171</v>
      </c>
      <c r="V107" s="58">
        <v>785199672</v>
      </c>
      <c r="W107" s="34"/>
      <c r="X107" s="34"/>
    </row>
    <row r="108" spans="1:24" x14ac:dyDescent="0.2">
      <c r="A108" s="132">
        <v>102</v>
      </c>
      <c r="B108" s="45">
        <v>44373</v>
      </c>
      <c r="C108" s="34" t="s">
        <v>263</v>
      </c>
      <c r="D108" s="40" t="str">
        <f t="shared" si="2"/>
        <v>2002000102</v>
      </c>
      <c r="E108" s="34" t="s">
        <v>82</v>
      </c>
      <c r="F108" s="52">
        <v>786968044</v>
      </c>
      <c r="G108" s="34"/>
      <c r="H108" s="34" t="s">
        <v>83</v>
      </c>
      <c r="I108" s="278">
        <v>34791</v>
      </c>
      <c r="J108" s="50">
        <f t="shared" ca="1" si="3"/>
        <v>28.482191780821918</v>
      </c>
      <c r="K108" s="50" t="str">
        <f ca="1">IFERROR(VLOOKUP($J108,Ref!$B$7:$C$9,2),"")</f>
        <v>Valid Age</v>
      </c>
      <c r="L108" s="55" t="s">
        <v>85</v>
      </c>
      <c r="M108" s="34"/>
      <c r="N108" s="34" t="s">
        <v>89</v>
      </c>
      <c r="O108" s="34" t="s">
        <v>314</v>
      </c>
      <c r="P108" s="34" t="s">
        <v>314</v>
      </c>
      <c r="Q108" s="34" t="s">
        <v>127</v>
      </c>
      <c r="R108" s="34" t="s">
        <v>445</v>
      </c>
      <c r="S108" s="43">
        <v>45832</v>
      </c>
      <c r="T108" s="43" t="s">
        <v>446</v>
      </c>
      <c r="U108" s="43" t="s">
        <v>171</v>
      </c>
      <c r="V108" s="58">
        <v>751434986</v>
      </c>
      <c r="W108" s="34"/>
      <c r="X108" s="34"/>
    </row>
    <row r="109" spans="1:24" x14ac:dyDescent="0.2">
      <c r="A109" s="132">
        <v>103</v>
      </c>
      <c r="B109" s="45">
        <v>44375</v>
      </c>
      <c r="C109" s="34" t="s">
        <v>264</v>
      </c>
      <c r="D109" s="40" t="str">
        <f t="shared" si="2"/>
        <v>2002000103</v>
      </c>
      <c r="E109" s="34" t="s">
        <v>82</v>
      </c>
      <c r="F109" s="52">
        <v>780128467</v>
      </c>
      <c r="G109" s="34"/>
      <c r="H109" s="34" t="s">
        <v>84</v>
      </c>
      <c r="I109" s="278">
        <v>29138</v>
      </c>
      <c r="J109" s="50">
        <f t="shared" ca="1" si="3"/>
        <v>43.969863013698628</v>
      </c>
      <c r="K109" s="50" t="str">
        <f ca="1">IFERROR(VLOOKUP($J109,Ref!$B$7:$C$9,2),"")</f>
        <v>Valid Age</v>
      </c>
      <c r="L109" s="55" t="s">
        <v>85</v>
      </c>
      <c r="M109" s="34"/>
      <c r="N109" s="34" t="s">
        <v>88</v>
      </c>
      <c r="O109" s="34" t="s">
        <v>370</v>
      </c>
      <c r="P109" s="34" t="s">
        <v>371</v>
      </c>
      <c r="Q109" s="34" t="s">
        <v>127</v>
      </c>
      <c r="R109" s="34" t="s">
        <v>447</v>
      </c>
      <c r="S109" s="43">
        <v>45832</v>
      </c>
      <c r="T109" s="43" t="s">
        <v>448</v>
      </c>
      <c r="U109" s="43" t="s">
        <v>163</v>
      </c>
      <c r="V109" s="58" t="s">
        <v>90</v>
      </c>
      <c r="W109" s="34"/>
      <c r="X109" s="34"/>
    </row>
    <row r="110" spans="1:24" x14ac:dyDescent="0.2">
      <c r="A110" s="132">
        <v>104</v>
      </c>
      <c r="B110" s="45">
        <v>44375</v>
      </c>
      <c r="C110" s="34" t="s">
        <v>265</v>
      </c>
      <c r="D110" s="40" t="str">
        <f t="shared" si="2"/>
        <v>2002000104</v>
      </c>
      <c r="E110" s="34" t="s">
        <v>82</v>
      </c>
      <c r="F110" s="52">
        <v>788635530</v>
      </c>
      <c r="G110" s="34"/>
      <c r="H110" s="34" t="s">
        <v>84</v>
      </c>
      <c r="I110" s="278">
        <v>26645</v>
      </c>
      <c r="J110" s="50">
        <f t="shared" ca="1" si="3"/>
        <v>50.8</v>
      </c>
      <c r="K110" s="50" t="str">
        <f ca="1">IFERROR(VLOOKUP($J110,Ref!$B$7:$C$9,2),"")</f>
        <v>Valid Age</v>
      </c>
      <c r="L110" s="55" t="s">
        <v>85</v>
      </c>
      <c r="M110" s="34"/>
      <c r="N110" s="34" t="s">
        <v>88</v>
      </c>
      <c r="O110" s="34" t="s">
        <v>370</v>
      </c>
      <c r="P110" s="34" t="s">
        <v>371</v>
      </c>
      <c r="Q110" s="34" t="s">
        <v>127</v>
      </c>
      <c r="R110" s="34" t="s">
        <v>449</v>
      </c>
      <c r="S110" s="43">
        <v>45833</v>
      </c>
      <c r="T110" s="43" t="s">
        <v>450</v>
      </c>
      <c r="U110" s="43" t="s">
        <v>168</v>
      </c>
      <c r="V110" s="58" t="s">
        <v>90</v>
      </c>
      <c r="W110" s="34"/>
      <c r="X110" s="34"/>
    </row>
    <row r="111" spans="1:24" x14ac:dyDescent="0.2">
      <c r="A111" s="132">
        <v>105</v>
      </c>
      <c r="B111" s="45">
        <v>44375</v>
      </c>
      <c r="C111" s="34" t="s">
        <v>266</v>
      </c>
      <c r="D111" s="40" t="str">
        <f t="shared" si="2"/>
        <v>2002000105</v>
      </c>
      <c r="E111" s="34" t="s">
        <v>82</v>
      </c>
      <c r="F111" s="52">
        <v>788635530</v>
      </c>
      <c r="G111" s="34"/>
      <c r="H111" s="34" t="s">
        <v>84</v>
      </c>
      <c r="I111" s="278">
        <v>27662</v>
      </c>
      <c r="J111" s="50">
        <f t="shared" ca="1" si="3"/>
        <v>48.013698630136986</v>
      </c>
      <c r="K111" s="50" t="str">
        <f ca="1">IFERROR(VLOOKUP($J111,Ref!$B$7:$C$9,2),"")</f>
        <v>Valid Age</v>
      </c>
      <c r="L111" s="55" t="s">
        <v>85</v>
      </c>
      <c r="M111" s="34"/>
      <c r="N111" s="34" t="s">
        <v>88</v>
      </c>
      <c r="O111" s="34" t="s">
        <v>370</v>
      </c>
      <c r="P111" s="34" t="s">
        <v>371</v>
      </c>
      <c r="Q111" s="34" t="s">
        <v>127</v>
      </c>
      <c r="R111" s="34" t="s">
        <v>451</v>
      </c>
      <c r="S111" s="43">
        <v>45833</v>
      </c>
      <c r="T111" s="43" t="s">
        <v>452</v>
      </c>
      <c r="U111" s="43" t="s">
        <v>168</v>
      </c>
      <c r="V111" s="58" t="s">
        <v>90</v>
      </c>
      <c r="W111" s="34"/>
      <c r="X111" s="34"/>
    </row>
    <row r="112" spans="1:24" x14ac:dyDescent="0.2">
      <c r="A112" s="132">
        <v>106</v>
      </c>
      <c r="B112" s="45">
        <v>44376</v>
      </c>
      <c r="C112" s="34" t="s">
        <v>267</v>
      </c>
      <c r="D112" s="40" t="str">
        <f t="shared" si="2"/>
        <v>2002000106</v>
      </c>
      <c r="E112" s="34" t="s">
        <v>82</v>
      </c>
      <c r="F112" s="52">
        <v>784647393</v>
      </c>
      <c r="G112" s="34"/>
      <c r="H112" s="34" t="s">
        <v>84</v>
      </c>
      <c r="I112" s="278">
        <v>27652</v>
      </c>
      <c r="J112" s="50">
        <f t="shared" ca="1" si="3"/>
        <v>48.041095890410958</v>
      </c>
      <c r="K112" s="50" t="str">
        <f ca="1">IFERROR(VLOOKUP($J112,Ref!$B$7:$C$9,2),"")</f>
        <v>Valid Age</v>
      </c>
      <c r="L112" s="55" t="s">
        <v>85</v>
      </c>
      <c r="M112" s="34"/>
      <c r="N112" s="34" t="s">
        <v>88</v>
      </c>
      <c r="O112" s="34" t="s">
        <v>339</v>
      </c>
      <c r="P112" s="34" t="s">
        <v>124</v>
      </c>
      <c r="Q112" s="34" t="s">
        <v>127</v>
      </c>
      <c r="R112" s="34" t="s">
        <v>453</v>
      </c>
      <c r="S112" s="43">
        <v>45833</v>
      </c>
      <c r="T112" s="43" t="s">
        <v>454</v>
      </c>
      <c r="U112" s="43" t="s">
        <v>168</v>
      </c>
      <c r="V112" s="58" t="s">
        <v>90</v>
      </c>
      <c r="W112" s="34"/>
      <c r="X112" s="34"/>
    </row>
    <row r="113" spans="1:24" x14ac:dyDescent="0.2">
      <c r="A113" s="132">
        <v>107</v>
      </c>
      <c r="B113" s="45">
        <v>44376</v>
      </c>
      <c r="C113" s="34" t="s">
        <v>268</v>
      </c>
      <c r="D113" s="40" t="str">
        <f t="shared" si="2"/>
        <v>2002000107</v>
      </c>
      <c r="E113" s="34" t="s">
        <v>82</v>
      </c>
      <c r="F113" s="52">
        <v>782085978</v>
      </c>
      <c r="G113" s="34"/>
      <c r="H113" s="34" t="s">
        <v>83</v>
      </c>
      <c r="I113" s="278">
        <v>30260</v>
      </c>
      <c r="J113" s="50">
        <f t="shared" ca="1" si="3"/>
        <v>40.895890410958906</v>
      </c>
      <c r="K113" s="50" t="str">
        <f ca="1">IFERROR(VLOOKUP($J113,Ref!$B$7:$C$9,2),"")</f>
        <v>Valid Age</v>
      </c>
      <c r="L113" s="55" t="s">
        <v>85</v>
      </c>
      <c r="M113" s="34"/>
      <c r="N113" s="34" t="s">
        <v>89</v>
      </c>
      <c r="O113" s="34" t="s">
        <v>105</v>
      </c>
      <c r="P113" s="34" t="s">
        <v>119</v>
      </c>
      <c r="Q113" s="34" t="s">
        <v>127</v>
      </c>
      <c r="R113" s="34" t="s">
        <v>455</v>
      </c>
      <c r="S113" s="43">
        <v>45616</v>
      </c>
      <c r="T113" s="43" t="s">
        <v>456</v>
      </c>
      <c r="U113" s="43" t="s">
        <v>171</v>
      </c>
      <c r="V113" s="58">
        <v>795968234</v>
      </c>
      <c r="W113" s="34"/>
      <c r="X113" s="34"/>
    </row>
    <row r="114" spans="1:24" x14ac:dyDescent="0.2">
      <c r="A114" s="132">
        <v>108</v>
      </c>
      <c r="B114" s="45">
        <v>44377</v>
      </c>
      <c r="C114" s="34" t="s">
        <v>269</v>
      </c>
      <c r="D114" s="40" t="str">
        <f t="shared" si="2"/>
        <v>2002000108</v>
      </c>
      <c r="E114" s="34" t="s">
        <v>82</v>
      </c>
      <c r="F114" s="52">
        <v>777043035</v>
      </c>
      <c r="G114" s="34"/>
      <c r="H114" s="34" t="s">
        <v>84</v>
      </c>
      <c r="I114" s="278">
        <v>27258</v>
      </c>
      <c r="J114" s="50">
        <f t="shared" ca="1" si="3"/>
        <v>49.12054794520548</v>
      </c>
      <c r="K114" s="50" t="str">
        <f ca="1">IFERROR(VLOOKUP($J114,Ref!$B$7:$C$9,2),"")</f>
        <v>Valid Age</v>
      </c>
      <c r="L114" s="55" t="s">
        <v>85</v>
      </c>
      <c r="M114" s="34"/>
      <c r="N114" s="34" t="s">
        <v>88</v>
      </c>
      <c r="O114" s="34" t="s">
        <v>370</v>
      </c>
      <c r="P114" s="34" t="s">
        <v>371</v>
      </c>
      <c r="Q114" s="34" t="s">
        <v>127</v>
      </c>
      <c r="R114" s="34" t="s">
        <v>457</v>
      </c>
      <c r="S114" s="43">
        <v>47736</v>
      </c>
      <c r="T114" s="43" t="s">
        <v>458</v>
      </c>
      <c r="U114" s="43" t="s">
        <v>163</v>
      </c>
      <c r="V114" s="58">
        <v>703676577</v>
      </c>
      <c r="W114" s="34" t="s">
        <v>462</v>
      </c>
      <c r="X114" s="34"/>
    </row>
    <row r="115" spans="1:24" x14ac:dyDescent="0.2">
      <c r="A115" s="132">
        <v>109</v>
      </c>
      <c r="B115" s="45">
        <v>44377</v>
      </c>
      <c r="C115" s="34" t="s">
        <v>270</v>
      </c>
      <c r="D115" s="40" t="str">
        <f t="shared" si="2"/>
        <v>2002000109</v>
      </c>
      <c r="E115" s="34" t="s">
        <v>82</v>
      </c>
      <c r="F115" s="52">
        <v>778376198</v>
      </c>
      <c r="G115" s="34"/>
      <c r="H115" s="34" t="s">
        <v>84</v>
      </c>
      <c r="I115" s="278">
        <v>31181</v>
      </c>
      <c r="J115" s="50">
        <f t="shared" ca="1" si="3"/>
        <v>38.372602739726027</v>
      </c>
      <c r="K115" s="50" t="str">
        <f ca="1">IFERROR(VLOOKUP($J115,Ref!$B$7:$C$9,2),"")</f>
        <v>Valid Age</v>
      </c>
      <c r="L115" s="55" t="s">
        <v>85</v>
      </c>
      <c r="M115" s="34"/>
      <c r="N115" s="34" t="s">
        <v>88</v>
      </c>
      <c r="O115" s="34" t="s">
        <v>459</v>
      </c>
      <c r="P115" s="34" t="s">
        <v>459</v>
      </c>
      <c r="Q115" s="34" t="s">
        <v>127</v>
      </c>
      <c r="R115" s="34" t="s">
        <v>460</v>
      </c>
      <c r="S115" s="43">
        <v>45832</v>
      </c>
      <c r="T115" s="43" t="s">
        <v>461</v>
      </c>
      <c r="U115" s="43" t="s">
        <v>168</v>
      </c>
      <c r="V115" s="58"/>
      <c r="W115" s="34"/>
      <c r="X115" s="34"/>
    </row>
    <row r="116" spans="1:24" x14ac:dyDescent="0.2">
      <c r="A116" s="132">
        <v>110</v>
      </c>
      <c r="B116" s="43">
        <v>44378</v>
      </c>
      <c r="C116" s="34" t="s">
        <v>75</v>
      </c>
      <c r="D116" s="40" t="str">
        <f t="shared" si="2"/>
        <v>2002000110</v>
      </c>
      <c r="E116" s="34" t="s">
        <v>82</v>
      </c>
      <c r="F116" s="52">
        <v>777515872</v>
      </c>
      <c r="G116" s="34"/>
      <c r="H116" s="34" t="s">
        <v>84</v>
      </c>
      <c r="I116" s="278"/>
      <c r="J116" s="50" t="str">
        <f t="shared" ca="1" si="3"/>
        <v/>
      </c>
      <c r="K116" s="50" t="str">
        <f ca="1">IFERROR(VLOOKUP($J116,Ref!$B$7:$C$9,2),"")</f>
        <v/>
      </c>
      <c r="L116" s="55" t="s">
        <v>85</v>
      </c>
      <c r="M116" s="34"/>
      <c r="N116" s="34" t="s">
        <v>88</v>
      </c>
      <c r="O116" s="34"/>
      <c r="P116" s="34"/>
      <c r="Q116" s="34" t="s">
        <v>127</v>
      </c>
      <c r="R116" s="34"/>
      <c r="S116" s="43"/>
      <c r="T116" s="43"/>
      <c r="U116" s="43"/>
      <c r="V116" s="58"/>
      <c r="W116" s="34"/>
      <c r="X116" s="34" t="s">
        <v>462</v>
      </c>
    </row>
    <row r="117" spans="1:24" x14ac:dyDescent="0.2">
      <c r="A117" s="132">
        <v>111</v>
      </c>
      <c r="B117" s="43">
        <v>44378</v>
      </c>
      <c r="C117" s="34" t="s">
        <v>271</v>
      </c>
      <c r="D117" s="40" t="str">
        <f t="shared" si="2"/>
        <v>2002000111</v>
      </c>
      <c r="E117" s="34" t="s">
        <v>82</v>
      </c>
      <c r="F117" s="52">
        <v>778376198</v>
      </c>
      <c r="G117" s="34"/>
      <c r="H117" s="34" t="s">
        <v>83</v>
      </c>
      <c r="I117" s="278">
        <v>23451</v>
      </c>
      <c r="J117" s="50">
        <f t="shared" ca="1" si="3"/>
        <v>59.550684931506851</v>
      </c>
      <c r="K117" s="50" t="str">
        <f ca="1">IFERROR(VLOOKUP($J117,Ref!$B$7:$C$9,2),"")</f>
        <v>Over Age</v>
      </c>
      <c r="L117" s="55" t="s">
        <v>85</v>
      </c>
      <c r="M117" s="34"/>
      <c r="N117" s="34" t="s">
        <v>93</v>
      </c>
      <c r="O117" s="34" t="s">
        <v>463</v>
      </c>
      <c r="P117" s="34" t="s">
        <v>464</v>
      </c>
      <c r="Q117" s="34" t="s">
        <v>127</v>
      </c>
      <c r="R117" s="34" t="s">
        <v>465</v>
      </c>
      <c r="S117" s="43">
        <v>45832</v>
      </c>
      <c r="T117" s="43" t="s">
        <v>466</v>
      </c>
      <c r="U117" s="43" t="s">
        <v>163</v>
      </c>
      <c r="V117" s="58">
        <v>788445708</v>
      </c>
      <c r="W117" s="34"/>
      <c r="X117" s="34"/>
    </row>
    <row r="118" spans="1:24" x14ac:dyDescent="0.2">
      <c r="A118" s="132">
        <v>112</v>
      </c>
      <c r="B118" s="43">
        <v>44378</v>
      </c>
      <c r="C118" s="34" t="s">
        <v>272</v>
      </c>
      <c r="D118" s="40" t="str">
        <f t="shared" si="2"/>
        <v>2002000112</v>
      </c>
      <c r="E118" s="34" t="s">
        <v>82</v>
      </c>
      <c r="F118" s="52">
        <v>782728232</v>
      </c>
      <c r="G118" s="34"/>
      <c r="H118" s="34" t="s">
        <v>84</v>
      </c>
      <c r="I118" s="278">
        <v>31233</v>
      </c>
      <c r="J118" s="50">
        <f t="shared" ca="1" si="3"/>
        <v>38.230136986301368</v>
      </c>
      <c r="K118" s="50" t="str">
        <f ca="1">IFERROR(VLOOKUP($J118,Ref!$B$7:$C$9,2),"")</f>
        <v>Valid Age</v>
      </c>
      <c r="L118" s="55" t="s">
        <v>85</v>
      </c>
      <c r="M118" s="34"/>
      <c r="N118" s="34" t="s">
        <v>89</v>
      </c>
      <c r="O118" s="34" t="s">
        <v>370</v>
      </c>
      <c r="P118" s="34" t="s">
        <v>467</v>
      </c>
      <c r="Q118" s="34" t="s">
        <v>127</v>
      </c>
      <c r="R118" s="34" t="s">
        <v>468</v>
      </c>
      <c r="S118" s="43">
        <v>45833</v>
      </c>
      <c r="T118" s="43" t="s">
        <v>469</v>
      </c>
      <c r="U118" s="43" t="s">
        <v>163</v>
      </c>
      <c r="V118" s="58">
        <v>783283901</v>
      </c>
      <c r="W118" s="34"/>
      <c r="X118" s="34"/>
    </row>
    <row r="119" spans="1:24" x14ac:dyDescent="0.2">
      <c r="A119" s="132">
        <v>113</v>
      </c>
      <c r="B119" s="43">
        <v>44378</v>
      </c>
      <c r="C119" s="34" t="s">
        <v>273</v>
      </c>
      <c r="D119" s="40" t="str">
        <f t="shared" si="2"/>
        <v>2002000113</v>
      </c>
      <c r="E119" s="34" t="s">
        <v>82</v>
      </c>
      <c r="F119" s="52">
        <v>773165638</v>
      </c>
      <c r="G119" s="34"/>
      <c r="H119" s="34" t="s">
        <v>83</v>
      </c>
      <c r="I119" s="278">
        <v>23820</v>
      </c>
      <c r="J119" s="50">
        <f t="shared" ca="1" si="3"/>
        <v>58.539726027397258</v>
      </c>
      <c r="K119" s="50" t="str">
        <f ca="1">IFERROR(VLOOKUP($J119,Ref!$B$7:$C$9,2),"")</f>
        <v>Over Age</v>
      </c>
      <c r="L119" s="55" t="s">
        <v>85</v>
      </c>
      <c r="M119" s="34"/>
      <c r="N119" s="34" t="s">
        <v>89</v>
      </c>
      <c r="O119" s="34" t="s">
        <v>470</v>
      </c>
      <c r="P119" s="34" t="s">
        <v>471</v>
      </c>
      <c r="Q119" s="34" t="s">
        <v>127</v>
      </c>
      <c r="R119" s="34" t="s">
        <v>472</v>
      </c>
      <c r="S119" s="43">
        <v>45833</v>
      </c>
      <c r="T119" s="43" t="s">
        <v>473</v>
      </c>
      <c r="U119" s="43" t="s">
        <v>163</v>
      </c>
      <c r="V119" s="58">
        <v>781675176</v>
      </c>
      <c r="W119" s="34"/>
      <c r="X119" s="34"/>
    </row>
    <row r="120" spans="1:24" x14ac:dyDescent="0.2">
      <c r="A120" s="132">
        <v>114</v>
      </c>
      <c r="B120" s="43">
        <v>44379</v>
      </c>
      <c r="C120" s="34" t="s">
        <v>274</v>
      </c>
      <c r="D120" s="40" t="str">
        <f t="shared" si="2"/>
        <v>2002000114</v>
      </c>
      <c r="E120" s="34" t="s">
        <v>82</v>
      </c>
      <c r="F120" s="52">
        <v>776072755</v>
      </c>
      <c r="G120" s="34"/>
      <c r="H120" s="34" t="s">
        <v>84</v>
      </c>
      <c r="I120" s="278">
        <v>28364</v>
      </c>
      <c r="J120" s="50">
        <f t="shared" ca="1" si="3"/>
        <v>46.090410958904108</v>
      </c>
      <c r="K120" s="50" t="str">
        <f ca="1">IFERROR(VLOOKUP($J120,Ref!$B$7:$C$9,2),"")</f>
        <v>Valid Age</v>
      </c>
      <c r="L120" s="55" t="s">
        <v>85</v>
      </c>
      <c r="M120" s="34"/>
      <c r="N120" s="34" t="s">
        <v>88</v>
      </c>
      <c r="O120" s="34" t="s">
        <v>474</v>
      </c>
      <c r="P120" s="34" t="s">
        <v>474</v>
      </c>
      <c r="Q120" s="34" t="s">
        <v>127</v>
      </c>
      <c r="R120" s="34" t="s">
        <v>475</v>
      </c>
      <c r="S120" s="43">
        <v>45832</v>
      </c>
      <c r="T120" s="43" t="s">
        <v>476</v>
      </c>
      <c r="U120" s="43" t="s">
        <v>184</v>
      </c>
      <c r="V120" s="58">
        <v>786277172</v>
      </c>
      <c r="W120" s="34"/>
      <c r="X120" s="34"/>
    </row>
    <row r="121" spans="1:24" x14ac:dyDescent="0.2">
      <c r="A121" s="132">
        <v>115</v>
      </c>
      <c r="B121" s="43">
        <v>44379</v>
      </c>
      <c r="C121" s="34" t="s">
        <v>275</v>
      </c>
      <c r="D121" s="40" t="str">
        <f t="shared" si="2"/>
        <v>2002000115</v>
      </c>
      <c r="E121" s="34" t="s">
        <v>82</v>
      </c>
      <c r="F121" s="52">
        <v>771880572</v>
      </c>
      <c r="G121" s="34"/>
      <c r="H121" s="34" t="s">
        <v>84</v>
      </c>
      <c r="I121" s="278">
        <v>29802</v>
      </c>
      <c r="J121" s="50">
        <f t="shared" ca="1" si="3"/>
        <v>42.150684931506852</v>
      </c>
      <c r="K121" s="50" t="str">
        <f ca="1">IFERROR(VLOOKUP($J121,Ref!$B$7:$C$9,2),"")</f>
        <v>Valid Age</v>
      </c>
      <c r="L121" s="55" t="s">
        <v>85</v>
      </c>
      <c r="M121" s="34"/>
      <c r="N121" s="34" t="s">
        <v>88</v>
      </c>
      <c r="O121" s="34" t="s">
        <v>370</v>
      </c>
      <c r="P121" s="34" t="s">
        <v>477</v>
      </c>
      <c r="Q121" s="34" t="s">
        <v>127</v>
      </c>
      <c r="R121" s="34" t="s">
        <v>478</v>
      </c>
      <c r="S121" s="43">
        <v>45832</v>
      </c>
      <c r="T121" s="43" t="s">
        <v>479</v>
      </c>
      <c r="U121" s="43" t="s">
        <v>163</v>
      </c>
      <c r="V121" s="58">
        <v>772726671</v>
      </c>
      <c r="W121" s="34"/>
      <c r="X121" s="34"/>
    </row>
    <row r="122" spans="1:24" x14ac:dyDescent="0.2">
      <c r="A122" s="132">
        <v>116</v>
      </c>
      <c r="B122" s="43">
        <v>44379</v>
      </c>
      <c r="C122" s="34" t="s">
        <v>276</v>
      </c>
      <c r="D122" s="40" t="str">
        <f t="shared" si="2"/>
        <v>2002000116</v>
      </c>
      <c r="E122" s="34" t="s">
        <v>82</v>
      </c>
      <c r="F122" s="52">
        <v>776339123</v>
      </c>
      <c r="G122" s="34"/>
      <c r="H122" s="34" t="s">
        <v>84</v>
      </c>
      <c r="I122" s="278">
        <v>23111</v>
      </c>
      <c r="J122" s="50">
        <f t="shared" ca="1" si="3"/>
        <v>60.482191780821921</v>
      </c>
      <c r="K122" s="50" t="str">
        <f ca="1">IFERROR(VLOOKUP($J122,Ref!$B$7:$C$9,2),"")</f>
        <v>Over Age</v>
      </c>
      <c r="L122" s="55" t="s">
        <v>85</v>
      </c>
      <c r="M122" s="34"/>
      <c r="N122" s="34" t="s">
        <v>88</v>
      </c>
      <c r="O122" s="34" t="s">
        <v>107</v>
      </c>
      <c r="P122" s="34" t="s">
        <v>107</v>
      </c>
      <c r="Q122" s="34" t="s">
        <v>127</v>
      </c>
      <c r="R122" s="34" t="s">
        <v>480</v>
      </c>
      <c r="S122" s="43">
        <v>45832</v>
      </c>
      <c r="T122" s="43" t="s">
        <v>481</v>
      </c>
      <c r="U122" s="43" t="s">
        <v>163</v>
      </c>
      <c r="V122" s="58">
        <v>789694303</v>
      </c>
      <c r="W122" s="34"/>
      <c r="X122" s="34"/>
    </row>
    <row r="123" spans="1:24" x14ac:dyDescent="0.2">
      <c r="A123" s="132">
        <v>117</v>
      </c>
      <c r="B123" s="43">
        <v>44380</v>
      </c>
      <c r="C123" s="34" t="s">
        <v>277</v>
      </c>
      <c r="D123" s="40" t="str">
        <f t="shared" si="2"/>
        <v>2002000117</v>
      </c>
      <c r="E123" s="34" t="s">
        <v>82</v>
      </c>
      <c r="F123" s="52">
        <v>777893617</v>
      </c>
      <c r="G123" s="34"/>
      <c r="H123" s="34" t="s">
        <v>83</v>
      </c>
      <c r="I123" s="278">
        <v>33374</v>
      </c>
      <c r="J123" s="50">
        <f t="shared" ca="1" si="3"/>
        <v>32.364383561643834</v>
      </c>
      <c r="K123" s="50" t="str">
        <f ca="1">IFERROR(VLOOKUP($J123,Ref!$B$7:$C$9,2),"")</f>
        <v>Valid Age</v>
      </c>
      <c r="L123" s="55" t="s">
        <v>85</v>
      </c>
      <c r="M123" s="34"/>
      <c r="N123" s="34" t="s">
        <v>89</v>
      </c>
      <c r="O123" s="34" t="s">
        <v>482</v>
      </c>
      <c r="P123" s="34" t="s">
        <v>483</v>
      </c>
      <c r="Q123" s="34" t="s">
        <v>127</v>
      </c>
      <c r="R123" s="34" t="s">
        <v>484</v>
      </c>
      <c r="S123" s="43">
        <v>45832</v>
      </c>
      <c r="T123" s="43" t="s">
        <v>485</v>
      </c>
      <c r="U123" s="43" t="s">
        <v>163</v>
      </c>
      <c r="V123" s="58">
        <v>786616431</v>
      </c>
      <c r="W123" s="34"/>
      <c r="X123" s="34"/>
    </row>
    <row r="124" spans="1:24" x14ac:dyDescent="0.2">
      <c r="A124" s="132">
        <v>118</v>
      </c>
      <c r="B124" s="43">
        <v>44380</v>
      </c>
      <c r="C124" s="34" t="s">
        <v>278</v>
      </c>
      <c r="D124" s="40" t="str">
        <f t="shared" si="2"/>
        <v>2002000118</v>
      </c>
      <c r="E124" s="34" t="s">
        <v>82</v>
      </c>
      <c r="F124" s="52">
        <v>771891800</v>
      </c>
      <c r="G124" s="34"/>
      <c r="H124" s="34" t="s">
        <v>83</v>
      </c>
      <c r="I124" s="278">
        <v>25575</v>
      </c>
      <c r="J124" s="50">
        <f t="shared" ca="1" si="3"/>
        <v>53.731506849315068</v>
      </c>
      <c r="K124" s="50" t="str">
        <f ca="1">IFERROR(VLOOKUP($J124,Ref!$B$7:$C$9,2),"")</f>
        <v>Valid Age</v>
      </c>
      <c r="L124" s="55" t="s">
        <v>85</v>
      </c>
      <c r="M124" s="34"/>
      <c r="N124" s="34" t="s">
        <v>89</v>
      </c>
      <c r="O124" s="34" t="s">
        <v>354</v>
      </c>
      <c r="P124" s="34" t="s">
        <v>107</v>
      </c>
      <c r="Q124" s="34" t="s">
        <v>127</v>
      </c>
      <c r="R124" s="34" t="s">
        <v>486</v>
      </c>
      <c r="S124" s="43">
        <v>45833</v>
      </c>
      <c r="T124" s="43" t="s">
        <v>487</v>
      </c>
      <c r="U124" s="43" t="s">
        <v>173</v>
      </c>
      <c r="V124" s="58">
        <v>775799832</v>
      </c>
      <c r="W124" s="34"/>
      <c r="X124" s="34"/>
    </row>
    <row r="125" spans="1:24" x14ac:dyDescent="0.2">
      <c r="A125" s="132">
        <v>119</v>
      </c>
      <c r="B125" s="43">
        <v>44380</v>
      </c>
      <c r="C125" s="34" t="s">
        <v>279</v>
      </c>
      <c r="D125" s="40" t="str">
        <f t="shared" si="2"/>
        <v>2002000119</v>
      </c>
      <c r="E125" s="34" t="s">
        <v>82</v>
      </c>
      <c r="F125" s="52">
        <v>782798138</v>
      </c>
      <c r="G125" s="34"/>
      <c r="H125" s="34" t="s">
        <v>84</v>
      </c>
      <c r="I125" s="278">
        <v>26173</v>
      </c>
      <c r="J125" s="50">
        <f t="shared" ca="1" si="3"/>
        <v>52.093150684931508</v>
      </c>
      <c r="K125" s="50" t="str">
        <f ca="1">IFERROR(VLOOKUP($J125,Ref!$B$7:$C$9,2),"")</f>
        <v>Valid Age</v>
      </c>
      <c r="L125" s="55" t="s">
        <v>85</v>
      </c>
      <c r="M125" s="34"/>
      <c r="N125" s="34" t="s">
        <v>488</v>
      </c>
      <c r="O125" s="34" t="s">
        <v>489</v>
      </c>
      <c r="P125" s="34" t="s">
        <v>371</v>
      </c>
      <c r="Q125" s="34" t="s">
        <v>127</v>
      </c>
      <c r="R125" s="34" t="s">
        <v>490</v>
      </c>
      <c r="S125" s="43">
        <v>45713</v>
      </c>
      <c r="T125" s="43" t="s">
        <v>491</v>
      </c>
      <c r="U125" s="43" t="s">
        <v>168</v>
      </c>
      <c r="V125" s="58">
        <v>772594347</v>
      </c>
      <c r="W125" s="34"/>
      <c r="X125" s="34"/>
    </row>
    <row r="126" spans="1:24" x14ac:dyDescent="0.2">
      <c r="A126" s="132">
        <v>120</v>
      </c>
      <c r="B126" s="43">
        <v>44382</v>
      </c>
      <c r="C126" s="34" t="s">
        <v>280</v>
      </c>
      <c r="D126" s="40" t="str">
        <f t="shared" si="2"/>
        <v>2002000120</v>
      </c>
      <c r="E126" s="34" t="s">
        <v>82</v>
      </c>
      <c r="F126" s="52">
        <v>775515324</v>
      </c>
      <c r="G126" s="34"/>
      <c r="H126" s="34" t="s">
        <v>83</v>
      </c>
      <c r="I126" s="278">
        <v>31168</v>
      </c>
      <c r="J126" s="50">
        <f t="shared" ca="1" si="3"/>
        <v>38.408219178082192</v>
      </c>
      <c r="K126" s="50" t="str">
        <f ca="1">IFERROR(VLOOKUP($J126,Ref!$B$7:$C$9,2),"")</f>
        <v>Valid Age</v>
      </c>
      <c r="L126" s="55" t="s">
        <v>85</v>
      </c>
      <c r="M126" s="34"/>
      <c r="N126" s="34" t="s">
        <v>89</v>
      </c>
      <c r="O126" s="34" t="s">
        <v>492</v>
      </c>
      <c r="P126" s="34" t="s">
        <v>493</v>
      </c>
      <c r="Q126" s="34" t="s">
        <v>127</v>
      </c>
      <c r="R126" s="34" t="s">
        <v>494</v>
      </c>
      <c r="S126" s="43">
        <v>45832</v>
      </c>
      <c r="T126" s="43" t="s">
        <v>495</v>
      </c>
      <c r="U126" s="43" t="s">
        <v>163</v>
      </c>
      <c r="V126" s="58" t="s">
        <v>90</v>
      </c>
      <c r="W126" s="34"/>
      <c r="X126" s="34"/>
    </row>
    <row r="127" spans="1:24" x14ac:dyDescent="0.2">
      <c r="A127" s="132">
        <v>121</v>
      </c>
      <c r="B127" s="43">
        <v>44382</v>
      </c>
      <c r="C127" s="34" t="s">
        <v>281</v>
      </c>
      <c r="D127" s="40" t="str">
        <f t="shared" si="2"/>
        <v>2002000121</v>
      </c>
      <c r="E127" s="34" t="s">
        <v>82</v>
      </c>
      <c r="F127" s="52">
        <v>788232971</v>
      </c>
      <c r="G127" s="34"/>
      <c r="H127" s="34" t="s">
        <v>83</v>
      </c>
      <c r="I127" s="278">
        <v>26820</v>
      </c>
      <c r="J127" s="50">
        <f t="shared" ca="1" si="3"/>
        <v>50.320547945205476</v>
      </c>
      <c r="K127" s="50" t="str">
        <f ca="1">IFERROR(VLOOKUP($J127,Ref!$B$7:$C$9,2),"")</f>
        <v>Valid Age</v>
      </c>
      <c r="L127" s="55" t="s">
        <v>85</v>
      </c>
      <c r="M127" s="34"/>
      <c r="N127" s="34" t="s">
        <v>89</v>
      </c>
      <c r="O127" s="34" t="s">
        <v>496</v>
      </c>
      <c r="P127" s="34" t="s">
        <v>364</v>
      </c>
      <c r="Q127" s="34" t="s">
        <v>127</v>
      </c>
      <c r="R127" s="34" t="s">
        <v>497</v>
      </c>
      <c r="S127" s="43">
        <v>45833</v>
      </c>
      <c r="T127" s="43" t="s">
        <v>498</v>
      </c>
      <c r="U127" s="43" t="s">
        <v>168</v>
      </c>
      <c r="V127" s="58" t="s">
        <v>90</v>
      </c>
      <c r="W127" s="34"/>
      <c r="X127" s="34"/>
    </row>
    <row r="128" spans="1:24" x14ac:dyDescent="0.2">
      <c r="A128" s="132">
        <v>122</v>
      </c>
      <c r="B128" s="43">
        <v>44383</v>
      </c>
      <c r="C128" s="34" t="s">
        <v>282</v>
      </c>
      <c r="D128" s="40" t="str">
        <f t="shared" si="2"/>
        <v>2002000122</v>
      </c>
      <c r="E128" s="34" t="s">
        <v>82</v>
      </c>
      <c r="F128" s="52">
        <v>777673427</v>
      </c>
      <c r="G128" s="34"/>
      <c r="H128" s="34" t="s">
        <v>84</v>
      </c>
      <c r="I128" s="278">
        <v>32257</v>
      </c>
      <c r="J128" s="50">
        <f t="shared" ca="1" si="3"/>
        <v>35.424657534246577</v>
      </c>
      <c r="K128" s="50" t="str">
        <f ca="1">IFERROR(VLOOKUP($J128,Ref!$B$7:$C$9,2),"")</f>
        <v>Valid Age</v>
      </c>
      <c r="L128" s="55" t="s">
        <v>85</v>
      </c>
      <c r="M128" s="34"/>
      <c r="N128" s="34" t="s">
        <v>88</v>
      </c>
      <c r="O128" s="34" t="s">
        <v>354</v>
      </c>
      <c r="P128" s="34" t="s">
        <v>98</v>
      </c>
      <c r="Q128" s="34" t="s">
        <v>127</v>
      </c>
      <c r="R128" s="34" t="s">
        <v>499</v>
      </c>
      <c r="S128" s="43">
        <v>45602</v>
      </c>
      <c r="T128" s="43" t="s">
        <v>500</v>
      </c>
      <c r="U128" s="43" t="s">
        <v>173</v>
      </c>
      <c r="V128" s="58">
        <v>789809419</v>
      </c>
      <c r="W128" s="34"/>
      <c r="X128" s="34"/>
    </row>
    <row r="129" spans="1:24" x14ac:dyDescent="0.2">
      <c r="A129" s="132">
        <v>123</v>
      </c>
      <c r="B129" s="43">
        <v>44383</v>
      </c>
      <c r="C129" s="34" t="s">
        <v>283</v>
      </c>
      <c r="D129" s="40" t="str">
        <f t="shared" si="2"/>
        <v>2002000123</v>
      </c>
      <c r="E129" s="34" t="s">
        <v>82</v>
      </c>
      <c r="F129" s="52">
        <v>773578982</v>
      </c>
      <c r="G129" s="34"/>
      <c r="H129" s="34" t="s">
        <v>84</v>
      </c>
      <c r="I129" s="278">
        <v>32257</v>
      </c>
      <c r="J129" s="50">
        <f t="shared" ca="1" si="3"/>
        <v>35.424657534246577</v>
      </c>
      <c r="K129" s="50" t="str">
        <f ca="1">IFERROR(VLOOKUP($J129,Ref!$B$7:$C$9,2),"")</f>
        <v>Valid Age</v>
      </c>
      <c r="L129" s="55" t="s">
        <v>85</v>
      </c>
      <c r="M129" s="34"/>
      <c r="N129" s="34" t="s">
        <v>88</v>
      </c>
      <c r="O129" s="34" t="s">
        <v>370</v>
      </c>
      <c r="P129" s="34" t="s">
        <v>371</v>
      </c>
      <c r="Q129" s="34" t="s">
        <v>127</v>
      </c>
      <c r="R129" s="34" t="s">
        <v>501</v>
      </c>
      <c r="S129" s="43">
        <v>45840</v>
      </c>
      <c r="T129" s="43" t="s">
        <v>502</v>
      </c>
      <c r="U129" s="43" t="s">
        <v>163</v>
      </c>
      <c r="V129" s="58" t="s">
        <v>90</v>
      </c>
      <c r="W129" s="34"/>
      <c r="X129" s="34"/>
    </row>
    <row r="130" spans="1:24" x14ac:dyDescent="0.2">
      <c r="A130" s="132">
        <v>124</v>
      </c>
      <c r="B130" s="43">
        <v>44384</v>
      </c>
      <c r="C130" s="34" t="s">
        <v>284</v>
      </c>
      <c r="D130" s="40" t="str">
        <f t="shared" si="2"/>
        <v>2002000124</v>
      </c>
      <c r="E130" s="34" t="s">
        <v>82</v>
      </c>
      <c r="F130" s="52">
        <v>786495781</v>
      </c>
      <c r="G130" s="34"/>
      <c r="H130" s="34" t="s">
        <v>84</v>
      </c>
      <c r="I130" s="278">
        <v>30901</v>
      </c>
      <c r="J130" s="50">
        <f t="shared" ca="1" si="3"/>
        <v>39.139726027397259</v>
      </c>
      <c r="K130" s="50" t="str">
        <f ca="1">IFERROR(VLOOKUP($J130,Ref!$B$7:$C$9,2),"")</f>
        <v>Valid Age</v>
      </c>
      <c r="L130" s="55" t="s">
        <v>85</v>
      </c>
      <c r="M130" s="34"/>
      <c r="N130" s="34" t="s">
        <v>88</v>
      </c>
      <c r="O130" s="34" t="s">
        <v>370</v>
      </c>
      <c r="P130" s="34" t="s">
        <v>503</v>
      </c>
      <c r="Q130" s="34" t="s">
        <v>127</v>
      </c>
      <c r="R130" s="34" t="s">
        <v>504</v>
      </c>
      <c r="S130" s="43">
        <v>45833</v>
      </c>
      <c r="T130" s="43" t="s">
        <v>505</v>
      </c>
      <c r="U130" s="43" t="s">
        <v>168</v>
      </c>
      <c r="V130" s="58" t="s">
        <v>90</v>
      </c>
      <c r="W130" s="34"/>
      <c r="X130" s="34"/>
    </row>
    <row r="131" spans="1:24" x14ac:dyDescent="0.2">
      <c r="A131" s="132">
        <v>125</v>
      </c>
      <c r="B131" s="43">
        <v>44385</v>
      </c>
      <c r="C131" s="34" t="s">
        <v>285</v>
      </c>
      <c r="D131" s="40" t="str">
        <f t="shared" si="2"/>
        <v>2002000125</v>
      </c>
      <c r="E131" s="34" t="s">
        <v>82</v>
      </c>
      <c r="F131" s="52">
        <v>760025937</v>
      </c>
      <c r="G131" s="34"/>
      <c r="H131" s="34" t="s">
        <v>84</v>
      </c>
      <c r="I131" s="278">
        <v>35950</v>
      </c>
      <c r="J131" s="50">
        <f t="shared" ca="1" si="3"/>
        <v>25.306849315068494</v>
      </c>
      <c r="K131" s="50" t="str">
        <f ca="1">IFERROR(VLOOKUP($J131,Ref!$B$7:$C$9,2),"")</f>
        <v>Valid Age</v>
      </c>
      <c r="L131" s="55" t="s">
        <v>85</v>
      </c>
      <c r="M131" s="34"/>
      <c r="N131" s="34" t="s">
        <v>88</v>
      </c>
      <c r="O131" s="34" t="s">
        <v>370</v>
      </c>
      <c r="P131" s="34" t="s">
        <v>467</v>
      </c>
      <c r="Q131" s="34" t="s">
        <v>127</v>
      </c>
      <c r="R131" s="34" t="s">
        <v>506</v>
      </c>
      <c r="S131" s="43"/>
      <c r="T131" s="43" t="s">
        <v>507</v>
      </c>
      <c r="U131" s="43" t="s">
        <v>168</v>
      </c>
      <c r="V131" s="58" t="s">
        <v>90</v>
      </c>
      <c r="W131" s="34"/>
      <c r="X131" s="34"/>
    </row>
    <row r="132" spans="1:24" x14ac:dyDescent="0.2">
      <c r="A132" s="132">
        <v>126</v>
      </c>
      <c r="B132" s="43">
        <v>44385</v>
      </c>
      <c r="C132" s="34" t="s">
        <v>286</v>
      </c>
      <c r="D132" s="40" t="str">
        <f t="shared" si="2"/>
        <v>2002000126</v>
      </c>
      <c r="E132" s="34" t="s">
        <v>82</v>
      </c>
      <c r="F132" s="52">
        <v>777039041</v>
      </c>
      <c r="G132" s="34"/>
      <c r="H132" s="34" t="s">
        <v>83</v>
      </c>
      <c r="I132" s="278">
        <v>32446</v>
      </c>
      <c r="J132" s="50">
        <f t="shared" ca="1" si="3"/>
        <v>34.906849315068492</v>
      </c>
      <c r="K132" s="50" t="str">
        <f ca="1">IFERROR(VLOOKUP($J132,Ref!$B$7:$C$9,2),"")</f>
        <v>Valid Age</v>
      </c>
      <c r="L132" s="55" t="s">
        <v>85</v>
      </c>
      <c r="M132" s="34"/>
      <c r="N132" s="34" t="s">
        <v>488</v>
      </c>
      <c r="O132" s="34" t="s">
        <v>107</v>
      </c>
      <c r="P132" s="34" t="s">
        <v>107</v>
      </c>
      <c r="Q132" s="34" t="s">
        <v>127</v>
      </c>
      <c r="R132" s="34" t="s">
        <v>508</v>
      </c>
      <c r="S132" s="43">
        <v>45608</v>
      </c>
      <c r="T132" s="43" t="s">
        <v>509</v>
      </c>
      <c r="U132" s="43" t="s">
        <v>163</v>
      </c>
      <c r="V132" s="58">
        <v>783549974</v>
      </c>
      <c r="W132" s="34"/>
      <c r="X132" s="34"/>
    </row>
    <row r="133" spans="1:24" x14ac:dyDescent="0.2">
      <c r="A133" s="132">
        <v>127</v>
      </c>
      <c r="B133" s="43">
        <v>44386</v>
      </c>
      <c r="C133" s="34" t="s">
        <v>287</v>
      </c>
      <c r="D133" s="40" t="str">
        <f t="shared" si="2"/>
        <v>2002000127</v>
      </c>
      <c r="E133" s="34" t="s">
        <v>82</v>
      </c>
      <c r="F133" s="52">
        <v>772867685</v>
      </c>
      <c r="G133" s="34"/>
      <c r="H133" s="34" t="s">
        <v>84</v>
      </c>
      <c r="I133" s="278">
        <v>29072</v>
      </c>
      <c r="J133" s="50">
        <f t="shared" ca="1" si="3"/>
        <v>44.150684931506852</v>
      </c>
      <c r="K133" s="50" t="str">
        <f ca="1">IFERROR(VLOOKUP($J133,Ref!$B$7:$C$9,2),"")</f>
        <v>Valid Age</v>
      </c>
      <c r="L133" s="55" t="s">
        <v>85</v>
      </c>
      <c r="M133" s="34"/>
      <c r="N133" s="34" t="s">
        <v>88</v>
      </c>
      <c r="O133" s="34" t="s">
        <v>503</v>
      </c>
      <c r="P133" s="34" t="s">
        <v>510</v>
      </c>
      <c r="Q133" s="34" t="s">
        <v>127</v>
      </c>
      <c r="R133" s="34" t="s">
        <v>511</v>
      </c>
      <c r="S133" s="43">
        <v>45833</v>
      </c>
      <c r="T133" s="43" t="s">
        <v>512</v>
      </c>
      <c r="U133" s="43" t="s">
        <v>163</v>
      </c>
      <c r="V133" s="58" t="s">
        <v>90</v>
      </c>
      <c r="W133" s="34"/>
      <c r="X133" s="34"/>
    </row>
    <row r="134" spans="1:24" x14ac:dyDescent="0.2">
      <c r="A134" s="132">
        <v>128</v>
      </c>
      <c r="B134" s="43">
        <v>44386</v>
      </c>
      <c r="C134" s="34" t="s">
        <v>288</v>
      </c>
      <c r="D134" s="40" t="str">
        <f t="shared" si="2"/>
        <v>2002000128</v>
      </c>
      <c r="E134" s="34" t="s">
        <v>82</v>
      </c>
      <c r="F134" s="52">
        <v>779664637</v>
      </c>
      <c r="G134" s="34"/>
      <c r="H134" s="34" t="s">
        <v>84</v>
      </c>
      <c r="I134" s="278">
        <v>30148</v>
      </c>
      <c r="J134" s="50">
        <f t="shared" ca="1" si="3"/>
        <v>41.202739726027396</v>
      </c>
      <c r="K134" s="50" t="str">
        <f ca="1">IFERROR(VLOOKUP($J134,Ref!$B$7:$C$9,2),"")</f>
        <v>Valid Age</v>
      </c>
      <c r="L134" s="55" t="s">
        <v>85</v>
      </c>
      <c r="M134" s="34"/>
      <c r="N134" s="34" t="s">
        <v>88</v>
      </c>
      <c r="O134" s="34" t="s">
        <v>107</v>
      </c>
      <c r="P134" s="34" t="s">
        <v>1033</v>
      </c>
      <c r="Q134" s="34" t="s">
        <v>127</v>
      </c>
      <c r="R134" s="34" t="s">
        <v>513</v>
      </c>
      <c r="S134" s="43">
        <v>45832</v>
      </c>
      <c r="T134" s="43" t="s">
        <v>514</v>
      </c>
      <c r="U134" s="43" t="s">
        <v>173</v>
      </c>
      <c r="V134" s="58">
        <v>760417448</v>
      </c>
      <c r="W134" s="34"/>
      <c r="X134" s="34"/>
    </row>
    <row r="135" spans="1:24" x14ac:dyDescent="0.2">
      <c r="A135" s="132">
        <v>129</v>
      </c>
      <c r="B135" s="43">
        <v>44389</v>
      </c>
      <c r="C135" s="34" t="s">
        <v>289</v>
      </c>
      <c r="D135" s="40" t="str">
        <f t="shared" si="2"/>
        <v>2002000129</v>
      </c>
      <c r="E135" s="34" t="s">
        <v>82</v>
      </c>
      <c r="F135" s="52">
        <v>778760073</v>
      </c>
      <c r="G135" s="34"/>
      <c r="H135" s="34" t="s">
        <v>84</v>
      </c>
      <c r="I135" s="278">
        <v>33741</v>
      </c>
      <c r="J135" s="50">
        <f t="shared" ca="1" si="3"/>
        <v>31.358904109589041</v>
      </c>
      <c r="K135" s="50" t="str">
        <f ca="1">IFERROR(VLOOKUP($J135,Ref!$B$7:$C$9,2),"")</f>
        <v>Valid Age</v>
      </c>
      <c r="L135" s="55" t="s">
        <v>85</v>
      </c>
      <c r="M135" s="34"/>
      <c r="N135" s="34" t="s">
        <v>88</v>
      </c>
      <c r="O135" s="34" t="s">
        <v>108</v>
      </c>
      <c r="P135" s="34" t="s">
        <v>125</v>
      </c>
      <c r="Q135" s="34" t="s">
        <v>127</v>
      </c>
      <c r="R135" s="34" t="s">
        <v>515</v>
      </c>
      <c r="S135" s="43">
        <v>45845</v>
      </c>
      <c r="T135" s="43" t="s">
        <v>516</v>
      </c>
      <c r="U135" s="43" t="s">
        <v>184</v>
      </c>
      <c r="V135" s="58">
        <v>773813428</v>
      </c>
      <c r="W135" s="34"/>
      <c r="X135" s="34"/>
    </row>
    <row r="136" spans="1:24" x14ac:dyDescent="0.2">
      <c r="A136" s="132">
        <v>130</v>
      </c>
      <c r="B136" s="43">
        <v>44390</v>
      </c>
      <c r="C136" s="34" t="s">
        <v>290</v>
      </c>
      <c r="D136" s="40" t="str">
        <f t="shared" ref="D136:D199" si="4">IF(A136="","",LEFT($C$3,LEN($C$3)-LEN(A136))&amp;A136)</f>
        <v>2002000130</v>
      </c>
      <c r="E136" s="34" t="s">
        <v>82</v>
      </c>
      <c r="F136" s="52">
        <v>786063738</v>
      </c>
      <c r="G136" s="34"/>
      <c r="H136" s="34" t="s">
        <v>83</v>
      </c>
      <c r="I136" s="278">
        <v>33394</v>
      </c>
      <c r="J136" s="50">
        <f t="shared" ref="J136:J199" ca="1" si="5">IF(I136="","",(TODAY()-$I136)/365)</f>
        <v>32.30958904109589</v>
      </c>
      <c r="K136" s="50" t="str">
        <f ca="1">IFERROR(VLOOKUP($J136,Ref!$B$7:$C$9,2),"")</f>
        <v>Valid Age</v>
      </c>
      <c r="L136" s="55" t="s">
        <v>85</v>
      </c>
      <c r="M136" s="34"/>
      <c r="N136" s="34" t="s">
        <v>89</v>
      </c>
      <c r="O136" s="34" t="s">
        <v>99</v>
      </c>
      <c r="P136" s="34" t="s">
        <v>517</v>
      </c>
      <c r="Q136" s="34" t="s">
        <v>127</v>
      </c>
      <c r="R136" s="34" t="s">
        <v>518</v>
      </c>
      <c r="S136" s="43">
        <v>45832</v>
      </c>
      <c r="T136" s="43" t="s">
        <v>519</v>
      </c>
      <c r="U136" s="43" t="s">
        <v>181</v>
      </c>
      <c r="V136" s="58">
        <v>774186170</v>
      </c>
      <c r="W136" s="34"/>
      <c r="X136" s="34"/>
    </row>
    <row r="137" spans="1:24" x14ac:dyDescent="0.2">
      <c r="A137" s="132">
        <v>131</v>
      </c>
      <c r="B137" s="43">
        <v>44390</v>
      </c>
      <c r="C137" s="34" t="s">
        <v>291</v>
      </c>
      <c r="D137" s="40" t="str">
        <f t="shared" si="4"/>
        <v>2002000131</v>
      </c>
      <c r="E137" s="34" t="s">
        <v>82</v>
      </c>
      <c r="F137" s="52">
        <v>788868192</v>
      </c>
      <c r="G137" s="34"/>
      <c r="H137" s="34" t="s">
        <v>84</v>
      </c>
      <c r="I137" s="278">
        <v>28556</v>
      </c>
      <c r="J137" s="50">
        <f t="shared" ca="1" si="5"/>
        <v>45.564383561643837</v>
      </c>
      <c r="K137" s="50" t="str">
        <f ca="1">IFERROR(VLOOKUP($J137,Ref!$B$7:$C$9,2),"")</f>
        <v>Valid Age</v>
      </c>
      <c r="L137" s="55" t="s">
        <v>85</v>
      </c>
      <c r="M137" s="34"/>
      <c r="N137" s="34" t="s">
        <v>88</v>
      </c>
      <c r="O137" s="34" t="s">
        <v>108</v>
      </c>
      <c r="P137" s="34" t="s">
        <v>350</v>
      </c>
      <c r="Q137" s="34" t="s">
        <v>127</v>
      </c>
      <c r="R137" s="34" t="s">
        <v>520</v>
      </c>
      <c r="S137" s="43">
        <v>45833</v>
      </c>
      <c r="T137" s="43" t="s">
        <v>521</v>
      </c>
      <c r="U137" s="43" t="s">
        <v>168</v>
      </c>
      <c r="V137" s="58" t="s">
        <v>90</v>
      </c>
      <c r="W137" s="34"/>
      <c r="X137" s="34"/>
    </row>
    <row r="138" spans="1:24" x14ac:dyDescent="0.2">
      <c r="A138" s="132">
        <v>132</v>
      </c>
      <c r="B138" s="43">
        <v>44391</v>
      </c>
      <c r="C138" s="34" t="s">
        <v>292</v>
      </c>
      <c r="D138" s="40" t="str">
        <f t="shared" si="4"/>
        <v>2002000132</v>
      </c>
      <c r="E138" s="34" t="s">
        <v>82</v>
      </c>
      <c r="F138" s="52">
        <v>787603768</v>
      </c>
      <c r="G138" s="34"/>
      <c r="H138" s="34" t="s">
        <v>84</v>
      </c>
      <c r="I138" s="278">
        <v>29169</v>
      </c>
      <c r="J138" s="50">
        <f t="shared" ca="1" si="5"/>
        <v>43.884931506849313</v>
      </c>
      <c r="K138" s="50" t="str">
        <f ca="1">IFERROR(VLOOKUP($J138,Ref!$B$7:$C$9,2),"")</f>
        <v>Valid Age</v>
      </c>
      <c r="L138" s="55" t="s">
        <v>85</v>
      </c>
      <c r="M138" s="34"/>
      <c r="N138" s="34" t="s">
        <v>522</v>
      </c>
      <c r="O138" s="34" t="s">
        <v>523</v>
      </c>
      <c r="P138" s="34" t="s">
        <v>524</v>
      </c>
      <c r="Q138" s="34" t="s">
        <v>127</v>
      </c>
      <c r="R138" s="34" t="s">
        <v>525</v>
      </c>
      <c r="S138" s="43">
        <v>47485</v>
      </c>
      <c r="T138" s="43" t="s">
        <v>526</v>
      </c>
      <c r="U138" s="43" t="s">
        <v>163</v>
      </c>
      <c r="V138" s="58" t="s">
        <v>90</v>
      </c>
      <c r="W138" s="34"/>
      <c r="X138" s="34"/>
    </row>
    <row r="139" spans="1:24" x14ac:dyDescent="0.2">
      <c r="A139" s="132">
        <v>133</v>
      </c>
      <c r="B139" s="43">
        <v>44391</v>
      </c>
      <c r="C139" s="34" t="s">
        <v>293</v>
      </c>
      <c r="D139" s="40" t="str">
        <f t="shared" si="4"/>
        <v>2002000133</v>
      </c>
      <c r="E139" s="34" t="s">
        <v>82</v>
      </c>
      <c r="F139" s="52">
        <v>778824717</v>
      </c>
      <c r="G139" s="34"/>
      <c r="H139" s="34" t="s">
        <v>84</v>
      </c>
      <c r="I139" s="278">
        <v>26038</v>
      </c>
      <c r="J139" s="50">
        <f t="shared" ca="1" si="5"/>
        <v>52.463013698630135</v>
      </c>
      <c r="K139" s="50" t="str">
        <f ca="1">IFERROR(VLOOKUP($J139,Ref!$B$7:$C$9,2),"")</f>
        <v>Valid Age</v>
      </c>
      <c r="L139" s="55" t="s">
        <v>85</v>
      </c>
      <c r="M139" s="34"/>
      <c r="N139" s="34" t="s">
        <v>88</v>
      </c>
      <c r="O139" s="34" t="s">
        <v>370</v>
      </c>
      <c r="P139" s="34" t="s">
        <v>123</v>
      </c>
      <c r="Q139" s="34" t="s">
        <v>127</v>
      </c>
      <c r="R139" s="34" t="s">
        <v>527</v>
      </c>
      <c r="S139" s="43">
        <v>45832</v>
      </c>
      <c r="T139" s="43" t="s">
        <v>528</v>
      </c>
      <c r="U139" s="43" t="s">
        <v>163</v>
      </c>
      <c r="V139" s="58">
        <v>770765276</v>
      </c>
      <c r="W139" s="34"/>
      <c r="X139" s="34"/>
    </row>
    <row r="140" spans="1:24" x14ac:dyDescent="0.2">
      <c r="A140" s="132">
        <v>134</v>
      </c>
      <c r="B140" s="43">
        <v>44392</v>
      </c>
      <c r="C140" s="34" t="s">
        <v>294</v>
      </c>
      <c r="D140" s="40" t="str">
        <f t="shared" si="4"/>
        <v>2002000134</v>
      </c>
      <c r="E140" s="34" t="s">
        <v>82</v>
      </c>
      <c r="F140" s="52">
        <v>780674875</v>
      </c>
      <c r="G140" s="34"/>
      <c r="H140" s="34" t="s">
        <v>84</v>
      </c>
      <c r="I140" s="278">
        <v>32367</v>
      </c>
      <c r="J140" s="50">
        <f t="shared" ca="1" si="5"/>
        <v>35.123287671232873</v>
      </c>
      <c r="K140" s="50" t="str">
        <f ca="1">IFERROR(VLOOKUP($J140,Ref!$B$7:$C$9,2),"")</f>
        <v>Valid Age</v>
      </c>
      <c r="L140" s="55" t="s">
        <v>85</v>
      </c>
      <c r="M140" s="34"/>
      <c r="N140" s="34" t="s">
        <v>88</v>
      </c>
      <c r="O140" s="34" t="s">
        <v>370</v>
      </c>
      <c r="P140" s="34" t="s">
        <v>113</v>
      </c>
      <c r="Q140" s="34" t="s">
        <v>127</v>
      </c>
      <c r="R140" s="34" t="s">
        <v>529</v>
      </c>
      <c r="S140" s="43">
        <v>45909</v>
      </c>
      <c r="T140" s="43" t="s">
        <v>530</v>
      </c>
      <c r="U140" s="43" t="s">
        <v>168</v>
      </c>
      <c r="V140" s="58" t="s">
        <v>90</v>
      </c>
      <c r="W140" s="34"/>
      <c r="X140" s="34"/>
    </row>
    <row r="141" spans="1:24" x14ac:dyDescent="0.2">
      <c r="A141" s="132">
        <v>135</v>
      </c>
      <c r="B141" s="43">
        <v>44393</v>
      </c>
      <c r="C141" s="34" t="s">
        <v>295</v>
      </c>
      <c r="D141" s="40" t="str">
        <f t="shared" si="4"/>
        <v>2002000135</v>
      </c>
      <c r="E141" s="34" t="s">
        <v>82</v>
      </c>
      <c r="F141" s="52">
        <v>770832060</v>
      </c>
      <c r="G141" s="34"/>
      <c r="H141" s="34" t="s">
        <v>83</v>
      </c>
      <c r="I141" s="278">
        <v>35279</v>
      </c>
      <c r="J141" s="50">
        <f t="shared" ca="1" si="5"/>
        <v>27.145205479452056</v>
      </c>
      <c r="K141" s="50" t="str">
        <f ca="1">IFERROR(VLOOKUP($J141,Ref!$B$7:$C$9,2),"")</f>
        <v>Valid Age</v>
      </c>
      <c r="L141" s="55" t="s">
        <v>85</v>
      </c>
      <c r="M141" s="34"/>
      <c r="N141" s="34" t="s">
        <v>89</v>
      </c>
      <c r="O141" s="34" t="s">
        <v>531</v>
      </c>
      <c r="P141" s="34" t="s">
        <v>112</v>
      </c>
      <c r="Q141" s="34" t="s">
        <v>127</v>
      </c>
      <c r="R141" s="34" t="s">
        <v>532</v>
      </c>
      <c r="S141" s="43">
        <v>45832</v>
      </c>
      <c r="T141" s="43" t="s">
        <v>533</v>
      </c>
      <c r="U141" s="43" t="s">
        <v>198</v>
      </c>
      <c r="V141" s="58" t="s">
        <v>90</v>
      </c>
      <c r="W141" s="34"/>
      <c r="X141" s="34"/>
    </row>
    <row r="142" spans="1:24" x14ac:dyDescent="0.2">
      <c r="A142" s="132">
        <v>136</v>
      </c>
      <c r="B142" s="43">
        <v>44393</v>
      </c>
      <c r="C142" s="34" t="s">
        <v>296</v>
      </c>
      <c r="D142" s="40" t="str">
        <f t="shared" si="4"/>
        <v>2002000136</v>
      </c>
      <c r="E142" s="34" t="s">
        <v>82</v>
      </c>
      <c r="F142" s="52">
        <v>772962109</v>
      </c>
      <c r="G142" s="34"/>
      <c r="H142" s="34" t="s">
        <v>83</v>
      </c>
      <c r="I142" s="278">
        <v>36021</v>
      </c>
      <c r="J142" s="50">
        <f t="shared" ca="1" si="5"/>
        <v>25.112328767123287</v>
      </c>
      <c r="K142" s="50" t="str">
        <f ca="1">IFERROR(VLOOKUP($J142,Ref!$B$7:$C$9,2),"")</f>
        <v>Valid Age</v>
      </c>
      <c r="L142" s="55" t="s">
        <v>85</v>
      </c>
      <c r="M142" s="34"/>
      <c r="N142" s="34" t="s">
        <v>89</v>
      </c>
      <c r="O142" s="34" t="s">
        <v>107</v>
      </c>
      <c r="P142" s="34" t="s">
        <v>107</v>
      </c>
      <c r="Q142" s="34" t="s">
        <v>127</v>
      </c>
      <c r="R142" s="34" t="s">
        <v>534</v>
      </c>
      <c r="S142" s="43">
        <v>45843</v>
      </c>
      <c r="T142" s="43" t="s">
        <v>535</v>
      </c>
      <c r="U142" s="43" t="s">
        <v>198</v>
      </c>
      <c r="V142" s="58">
        <v>393240168</v>
      </c>
      <c r="W142" s="34"/>
      <c r="X142" s="34"/>
    </row>
    <row r="143" spans="1:24" x14ac:dyDescent="0.2">
      <c r="A143" s="132">
        <v>137</v>
      </c>
      <c r="B143" s="43">
        <v>44393</v>
      </c>
      <c r="C143" s="34" t="s">
        <v>297</v>
      </c>
      <c r="D143" s="40" t="str">
        <f t="shared" si="4"/>
        <v>2002000137</v>
      </c>
      <c r="E143" s="34" t="s">
        <v>82</v>
      </c>
      <c r="F143" s="52">
        <v>782881119</v>
      </c>
      <c r="G143" s="34"/>
      <c r="H143" s="34" t="s">
        <v>83</v>
      </c>
      <c r="I143" s="278">
        <v>22823</v>
      </c>
      <c r="J143" s="50">
        <f t="shared" ca="1" si="5"/>
        <v>61.271232876712325</v>
      </c>
      <c r="K143" s="50" t="str">
        <f ca="1">IFERROR(VLOOKUP($J143,Ref!$B$7:$C$9,2),"")</f>
        <v>Over Age</v>
      </c>
      <c r="L143" s="55" t="s">
        <v>85</v>
      </c>
      <c r="M143" s="34"/>
      <c r="N143" s="34" t="s">
        <v>536</v>
      </c>
      <c r="O143" s="34" t="s">
        <v>537</v>
      </c>
      <c r="P143" s="34" t="s">
        <v>306</v>
      </c>
      <c r="Q143" s="34" t="s">
        <v>127</v>
      </c>
      <c r="R143" s="34" t="s">
        <v>538</v>
      </c>
      <c r="S143" s="43">
        <v>45833</v>
      </c>
      <c r="T143" s="43" t="s">
        <v>539</v>
      </c>
      <c r="U143" s="43" t="s">
        <v>198</v>
      </c>
      <c r="V143" s="58">
        <v>787153466</v>
      </c>
      <c r="W143" s="34"/>
      <c r="X143" s="34"/>
    </row>
    <row r="144" spans="1:24" x14ac:dyDescent="0.2">
      <c r="A144" s="132">
        <v>138</v>
      </c>
      <c r="B144" s="43">
        <v>44398</v>
      </c>
      <c r="C144" s="34" t="s">
        <v>1009</v>
      </c>
      <c r="D144" s="40" t="str">
        <f t="shared" si="4"/>
        <v>2002000138</v>
      </c>
      <c r="E144" s="34" t="s">
        <v>82</v>
      </c>
      <c r="F144" s="52">
        <v>786824429</v>
      </c>
      <c r="G144" s="34"/>
      <c r="H144" s="34" t="s">
        <v>84</v>
      </c>
      <c r="I144" s="278">
        <v>31891</v>
      </c>
      <c r="J144" s="50">
        <f t="shared" ca="1" si="5"/>
        <v>36.42739726027397</v>
      </c>
      <c r="K144" s="50" t="str">
        <f ca="1">IFERROR(VLOOKUP($J144,Ref!$B$7:$C$9,2),"")</f>
        <v>Valid Age</v>
      </c>
      <c r="L144" s="55" t="s">
        <v>85</v>
      </c>
      <c r="M144" s="34"/>
      <c r="N144" s="34" t="s">
        <v>88</v>
      </c>
      <c r="O144" s="34" t="s">
        <v>125</v>
      </c>
      <c r="P144" s="34" t="s">
        <v>1034</v>
      </c>
      <c r="Q144" s="34" t="s">
        <v>127</v>
      </c>
      <c r="R144" s="34" t="s">
        <v>1035</v>
      </c>
      <c r="S144" s="43">
        <v>45616</v>
      </c>
      <c r="T144" s="43" t="s">
        <v>1036</v>
      </c>
      <c r="U144" s="43" t="s">
        <v>163</v>
      </c>
      <c r="V144" s="58">
        <v>760249945</v>
      </c>
      <c r="W144" s="34"/>
      <c r="X144" s="34"/>
    </row>
    <row r="145" spans="1:24" x14ac:dyDescent="0.2">
      <c r="A145" s="132">
        <v>139</v>
      </c>
      <c r="B145" s="43">
        <v>44398</v>
      </c>
      <c r="C145" s="34" t="s">
        <v>1010</v>
      </c>
      <c r="D145" s="40" t="str">
        <f t="shared" si="4"/>
        <v>2002000139</v>
      </c>
      <c r="E145" s="34" t="s">
        <v>82</v>
      </c>
      <c r="F145" s="52">
        <v>782075383</v>
      </c>
      <c r="G145" s="34"/>
      <c r="H145" s="34" t="s">
        <v>84</v>
      </c>
      <c r="I145" s="278">
        <v>29449</v>
      </c>
      <c r="J145" s="50">
        <f t="shared" ca="1" si="5"/>
        <v>43.11780821917808</v>
      </c>
      <c r="K145" s="50" t="str">
        <f ca="1">IFERROR(VLOOKUP($J145,Ref!$B$7:$C$9,2),"")</f>
        <v>Valid Age</v>
      </c>
      <c r="L145" s="55" t="s">
        <v>85</v>
      </c>
      <c r="M145" s="34"/>
      <c r="N145" s="34" t="s">
        <v>88</v>
      </c>
      <c r="O145" s="34" t="s">
        <v>125</v>
      </c>
      <c r="P145" s="34" t="s">
        <v>1034</v>
      </c>
      <c r="Q145" s="34" t="s">
        <v>127</v>
      </c>
      <c r="R145" s="34" t="s">
        <v>1037</v>
      </c>
      <c r="S145" s="43">
        <v>45832</v>
      </c>
      <c r="T145" s="43" t="s">
        <v>1038</v>
      </c>
      <c r="U145" s="43" t="s">
        <v>168</v>
      </c>
      <c r="V145" s="58" t="s">
        <v>90</v>
      </c>
      <c r="W145" s="34"/>
      <c r="X145" s="34"/>
    </row>
    <row r="146" spans="1:24" x14ac:dyDescent="0.2">
      <c r="A146" s="132">
        <v>140</v>
      </c>
      <c r="B146" s="43">
        <v>44398</v>
      </c>
      <c r="C146" s="34" t="s">
        <v>1011</v>
      </c>
      <c r="D146" s="40" t="str">
        <f t="shared" si="4"/>
        <v>2002000140</v>
      </c>
      <c r="E146" s="34" t="s">
        <v>82</v>
      </c>
      <c r="F146" s="52">
        <v>780450864</v>
      </c>
      <c r="G146" s="34"/>
      <c r="H146" s="34" t="s">
        <v>84</v>
      </c>
      <c r="I146" s="278">
        <v>35322</v>
      </c>
      <c r="J146" s="50">
        <f t="shared" ca="1" si="5"/>
        <v>27.027397260273972</v>
      </c>
      <c r="K146" s="50" t="str">
        <f ca="1">IFERROR(VLOOKUP($J146,Ref!$B$7:$C$9,2),"")</f>
        <v>Valid Age</v>
      </c>
      <c r="L146" s="55" t="s">
        <v>85</v>
      </c>
      <c r="M146" s="34"/>
      <c r="N146" s="34" t="s">
        <v>88</v>
      </c>
      <c r="O146" s="34" t="s">
        <v>370</v>
      </c>
      <c r="P146" s="34" t="s">
        <v>371</v>
      </c>
      <c r="Q146" s="34" t="s">
        <v>127</v>
      </c>
      <c r="R146" s="34" t="s">
        <v>1039</v>
      </c>
      <c r="S146" s="43">
        <v>46911</v>
      </c>
      <c r="T146" s="43" t="s">
        <v>1040</v>
      </c>
      <c r="U146" s="43" t="s">
        <v>163</v>
      </c>
      <c r="V146" s="58" t="s">
        <v>90</v>
      </c>
      <c r="W146" s="34"/>
      <c r="X146" s="34"/>
    </row>
    <row r="147" spans="1:24" x14ac:dyDescent="0.2">
      <c r="A147" s="132">
        <v>141</v>
      </c>
      <c r="B147" s="43">
        <v>44398</v>
      </c>
      <c r="C147" s="34" t="s">
        <v>1012</v>
      </c>
      <c r="D147" s="40" t="str">
        <f t="shared" si="4"/>
        <v>2002000141</v>
      </c>
      <c r="E147" s="34" t="s">
        <v>82</v>
      </c>
      <c r="F147" s="52">
        <v>782992325</v>
      </c>
      <c r="G147" s="34"/>
      <c r="H147" s="34" t="s">
        <v>83</v>
      </c>
      <c r="I147" s="278">
        <v>28743</v>
      </c>
      <c r="J147" s="50">
        <f t="shared" ca="1" si="5"/>
        <v>45.052054794520551</v>
      </c>
      <c r="K147" s="50" t="str">
        <f ca="1">IFERROR(VLOOKUP($J147,Ref!$B$7:$C$9,2),"")</f>
        <v>Valid Age</v>
      </c>
      <c r="L147" s="55" t="s">
        <v>85</v>
      </c>
      <c r="M147" s="34"/>
      <c r="N147" s="34" t="s">
        <v>89</v>
      </c>
      <c r="O147" s="34" t="s">
        <v>370</v>
      </c>
      <c r="P147" s="34" t="s">
        <v>467</v>
      </c>
      <c r="Q147" s="34" t="s">
        <v>127</v>
      </c>
      <c r="R147" s="34" t="s">
        <v>1041</v>
      </c>
      <c r="S147" s="43">
        <v>45843</v>
      </c>
      <c r="T147" s="43" t="s">
        <v>1042</v>
      </c>
      <c r="U147" s="43" t="s">
        <v>163</v>
      </c>
      <c r="V147" s="58" t="s">
        <v>90</v>
      </c>
      <c r="W147" s="34"/>
      <c r="X147" s="34"/>
    </row>
    <row r="148" spans="1:24" x14ac:dyDescent="0.2">
      <c r="A148" s="132">
        <v>142</v>
      </c>
      <c r="B148" s="43">
        <v>44398</v>
      </c>
      <c r="C148" s="34" t="s">
        <v>1013</v>
      </c>
      <c r="D148" s="40" t="str">
        <f t="shared" si="4"/>
        <v>2002000142</v>
      </c>
      <c r="E148" s="34" t="s">
        <v>82</v>
      </c>
      <c r="F148" s="52">
        <v>775329562</v>
      </c>
      <c r="G148" s="34"/>
      <c r="H148" s="34" t="s">
        <v>84</v>
      </c>
      <c r="I148" s="278">
        <v>33831</v>
      </c>
      <c r="J148" s="50">
        <f t="shared" ca="1" si="5"/>
        <v>31.112328767123287</v>
      </c>
      <c r="K148" s="50" t="str">
        <f ca="1">IFERROR(VLOOKUP($J148,Ref!$B$7:$C$9,2),"")</f>
        <v>Valid Age</v>
      </c>
      <c r="L148" s="55" t="s">
        <v>85</v>
      </c>
      <c r="M148" s="34"/>
      <c r="N148" s="34" t="s">
        <v>88</v>
      </c>
      <c r="O148" s="34" t="s">
        <v>107</v>
      </c>
      <c r="P148" s="34" t="s">
        <v>107</v>
      </c>
      <c r="Q148" s="34" t="s">
        <v>127</v>
      </c>
      <c r="R148" s="34" t="s">
        <v>1043</v>
      </c>
      <c r="S148" s="43">
        <v>45829</v>
      </c>
      <c r="T148" s="43" t="s">
        <v>1044</v>
      </c>
      <c r="U148" s="43" t="s">
        <v>163</v>
      </c>
      <c r="V148" s="58" t="s">
        <v>90</v>
      </c>
      <c r="W148" s="34"/>
      <c r="X148" s="34"/>
    </row>
    <row r="149" spans="1:24" x14ac:dyDescent="0.2">
      <c r="A149" s="132">
        <v>143</v>
      </c>
      <c r="B149" s="43">
        <v>44399</v>
      </c>
      <c r="C149" s="34" t="s">
        <v>1014</v>
      </c>
      <c r="D149" s="40" t="str">
        <f t="shared" si="4"/>
        <v>2002000143</v>
      </c>
      <c r="E149" s="34" t="s">
        <v>82</v>
      </c>
      <c r="F149" s="52">
        <v>779321449</v>
      </c>
      <c r="G149" s="34"/>
      <c r="H149" s="34" t="s">
        <v>83</v>
      </c>
      <c r="I149" s="278">
        <v>27672</v>
      </c>
      <c r="J149" s="50">
        <f t="shared" ca="1" si="5"/>
        <v>47.986301369863014</v>
      </c>
      <c r="K149" s="50" t="str">
        <f ca="1">IFERROR(VLOOKUP($J149,Ref!$B$7:$C$9,2),"")</f>
        <v>Valid Age</v>
      </c>
      <c r="L149" s="55" t="s">
        <v>85</v>
      </c>
      <c r="M149" s="34"/>
      <c r="N149" s="34" t="s">
        <v>88</v>
      </c>
      <c r="O149" s="34" t="s">
        <v>1045</v>
      </c>
      <c r="P149" s="34" t="s">
        <v>1045</v>
      </c>
      <c r="Q149" s="34" t="s">
        <v>127</v>
      </c>
      <c r="R149" s="34" t="s">
        <v>1046</v>
      </c>
      <c r="S149" s="43">
        <v>45833</v>
      </c>
      <c r="T149" s="43" t="s">
        <v>1047</v>
      </c>
      <c r="U149" s="43" t="s">
        <v>171</v>
      </c>
      <c r="V149" s="58">
        <v>781552468</v>
      </c>
      <c r="W149" s="34"/>
      <c r="X149" s="34"/>
    </row>
    <row r="150" spans="1:24" x14ac:dyDescent="0.2">
      <c r="A150" s="132">
        <v>144</v>
      </c>
      <c r="B150" s="43">
        <v>44399</v>
      </c>
      <c r="C150" s="34" t="s">
        <v>1015</v>
      </c>
      <c r="D150" s="40" t="str">
        <f t="shared" si="4"/>
        <v>2002000144</v>
      </c>
      <c r="E150" s="34" t="s">
        <v>82</v>
      </c>
      <c r="F150" s="52">
        <v>777091422</v>
      </c>
      <c r="G150" s="34"/>
      <c r="H150" s="34" t="s">
        <v>84</v>
      </c>
      <c r="I150" s="278">
        <v>31462</v>
      </c>
      <c r="J150" s="50">
        <f t="shared" ca="1" si="5"/>
        <v>37.602739726027394</v>
      </c>
      <c r="K150" s="50" t="str">
        <f ca="1">IFERROR(VLOOKUP($J150,Ref!$B$7:$C$9,2),"")</f>
        <v>Valid Age</v>
      </c>
      <c r="L150" s="55" t="s">
        <v>85</v>
      </c>
      <c r="M150" s="34"/>
      <c r="N150" s="34" t="s">
        <v>88</v>
      </c>
      <c r="O150" s="34" t="s">
        <v>99</v>
      </c>
      <c r="P150" s="34" t="s">
        <v>467</v>
      </c>
      <c r="Q150" s="34" t="s">
        <v>127</v>
      </c>
      <c r="R150" s="34" t="s">
        <v>1048</v>
      </c>
      <c r="S150" s="43">
        <v>45833</v>
      </c>
      <c r="T150" s="43" t="s">
        <v>1049</v>
      </c>
      <c r="U150" s="43" t="s">
        <v>163</v>
      </c>
      <c r="V150" s="58" t="s">
        <v>90</v>
      </c>
      <c r="W150" s="34"/>
      <c r="X150" s="34"/>
    </row>
    <row r="151" spans="1:24" x14ac:dyDescent="0.2">
      <c r="A151" s="132">
        <v>145</v>
      </c>
      <c r="B151" s="43">
        <v>44399</v>
      </c>
      <c r="C151" s="34" t="s">
        <v>1016</v>
      </c>
      <c r="D151" s="40" t="str">
        <f t="shared" si="4"/>
        <v>2002000145</v>
      </c>
      <c r="E151" s="34" t="s">
        <v>82</v>
      </c>
      <c r="F151" s="52">
        <v>777785607</v>
      </c>
      <c r="G151" s="34"/>
      <c r="H151" s="34" t="s">
        <v>84</v>
      </c>
      <c r="I151" s="278">
        <v>30657</v>
      </c>
      <c r="J151" s="50">
        <f t="shared" ca="1" si="5"/>
        <v>39.80821917808219</v>
      </c>
      <c r="K151" s="50" t="str">
        <f ca="1">IFERROR(VLOOKUP($J151,Ref!$B$7:$C$9,2),"")</f>
        <v>Valid Age</v>
      </c>
      <c r="L151" s="55" t="s">
        <v>85</v>
      </c>
      <c r="M151" s="34"/>
      <c r="N151" s="34" t="s">
        <v>88</v>
      </c>
      <c r="O151" s="34" t="s">
        <v>1050</v>
      </c>
      <c r="P151" s="34" t="s">
        <v>1050</v>
      </c>
      <c r="Q151" s="34" t="s">
        <v>127</v>
      </c>
      <c r="R151" s="34" t="s">
        <v>1051</v>
      </c>
      <c r="S151" s="43">
        <v>47560</v>
      </c>
      <c r="T151" s="43" t="s">
        <v>1052</v>
      </c>
      <c r="U151" s="43" t="s">
        <v>168</v>
      </c>
      <c r="V151" s="58" t="s">
        <v>90</v>
      </c>
      <c r="W151" s="34"/>
      <c r="X151" s="34"/>
    </row>
    <row r="152" spans="1:24" x14ac:dyDescent="0.2">
      <c r="A152" s="132">
        <v>146</v>
      </c>
      <c r="B152" s="43">
        <v>44399</v>
      </c>
      <c r="C152" s="34" t="s">
        <v>1017</v>
      </c>
      <c r="D152" s="40" t="str">
        <f t="shared" si="4"/>
        <v>2002000146</v>
      </c>
      <c r="E152" s="34" t="s">
        <v>82</v>
      </c>
      <c r="F152" s="52">
        <v>776471601</v>
      </c>
      <c r="G152" s="34"/>
      <c r="H152" s="34" t="s">
        <v>84</v>
      </c>
      <c r="I152" s="278">
        <v>24894</v>
      </c>
      <c r="J152" s="50">
        <f t="shared" ca="1" si="5"/>
        <v>55.597260273972601</v>
      </c>
      <c r="K152" s="50" t="str">
        <f ca="1">IFERROR(VLOOKUP($J152,Ref!$B$7:$C$9,2),"")</f>
        <v>Valid Age</v>
      </c>
      <c r="L152" s="55" t="s">
        <v>85</v>
      </c>
      <c r="M152" s="34"/>
      <c r="N152" s="34" t="s">
        <v>88</v>
      </c>
      <c r="O152" s="34" t="s">
        <v>99</v>
      </c>
      <c r="P152" s="34" t="s">
        <v>364</v>
      </c>
      <c r="Q152" s="34" t="s">
        <v>127</v>
      </c>
      <c r="R152" s="34" t="s">
        <v>1053</v>
      </c>
      <c r="S152" s="43">
        <v>45832</v>
      </c>
      <c r="T152" s="43" t="s">
        <v>1054</v>
      </c>
      <c r="U152" s="43" t="s">
        <v>163</v>
      </c>
      <c r="V152" s="58" t="s">
        <v>90</v>
      </c>
      <c r="W152" s="34"/>
      <c r="X152" s="34"/>
    </row>
    <row r="153" spans="1:24" x14ac:dyDescent="0.2">
      <c r="A153" s="132">
        <v>147</v>
      </c>
      <c r="B153" s="43">
        <v>44400</v>
      </c>
      <c r="C153" s="34" t="s">
        <v>1018</v>
      </c>
      <c r="D153" s="40" t="str">
        <f t="shared" si="4"/>
        <v>2002000147</v>
      </c>
      <c r="E153" s="34" t="s">
        <v>82</v>
      </c>
      <c r="F153" s="52">
        <v>773217464</v>
      </c>
      <c r="G153" s="34"/>
      <c r="H153" s="34" t="s">
        <v>84</v>
      </c>
      <c r="I153" s="278">
        <v>22168</v>
      </c>
      <c r="J153" s="50">
        <f t="shared" ca="1" si="5"/>
        <v>63.065753424657537</v>
      </c>
      <c r="K153" s="50" t="str">
        <f ca="1">IFERROR(VLOOKUP($J153,Ref!$B$7:$C$9,2),"")</f>
        <v>Over Age</v>
      </c>
      <c r="L153" s="55" t="s">
        <v>85</v>
      </c>
      <c r="M153" s="34"/>
      <c r="N153" s="34" t="s">
        <v>88</v>
      </c>
      <c r="O153" s="34" t="s">
        <v>1050</v>
      </c>
      <c r="P153" s="34" t="s">
        <v>1050</v>
      </c>
      <c r="Q153" s="34" t="s">
        <v>127</v>
      </c>
      <c r="R153" s="34" t="s">
        <v>1055</v>
      </c>
      <c r="S153" s="43">
        <v>45832</v>
      </c>
      <c r="T153" s="43" t="s">
        <v>1056</v>
      </c>
      <c r="U153" s="43" t="s">
        <v>163</v>
      </c>
      <c r="V153" s="58" t="s">
        <v>90</v>
      </c>
      <c r="W153" s="34"/>
      <c r="X153" s="34"/>
    </row>
    <row r="154" spans="1:24" x14ac:dyDescent="0.2">
      <c r="A154" s="132">
        <v>148</v>
      </c>
      <c r="B154" s="43">
        <v>44401</v>
      </c>
      <c r="C154" s="34" t="s">
        <v>1019</v>
      </c>
      <c r="D154" s="40" t="str">
        <f t="shared" si="4"/>
        <v>2002000148</v>
      </c>
      <c r="E154" s="34" t="s">
        <v>82</v>
      </c>
      <c r="F154" s="52">
        <v>781615209</v>
      </c>
      <c r="G154" s="34"/>
      <c r="H154" s="34" t="s">
        <v>84</v>
      </c>
      <c r="I154" s="278">
        <v>23012</v>
      </c>
      <c r="J154" s="50">
        <f t="shared" ca="1" si="5"/>
        <v>60.753424657534246</v>
      </c>
      <c r="K154" s="50" t="str">
        <f ca="1">IFERROR(VLOOKUP($J154,Ref!$B$7:$C$9,2),"")</f>
        <v>Over Age</v>
      </c>
      <c r="L154" s="55" t="s">
        <v>85</v>
      </c>
      <c r="M154" s="34"/>
      <c r="N154" s="34" t="s">
        <v>88</v>
      </c>
      <c r="O154" s="34" t="s">
        <v>482</v>
      </c>
      <c r="P154" s="34" t="s">
        <v>482</v>
      </c>
      <c r="Q154" s="34" t="s">
        <v>127</v>
      </c>
      <c r="R154" s="34" t="s">
        <v>1057</v>
      </c>
      <c r="S154" s="43">
        <v>45832</v>
      </c>
      <c r="T154" s="43" t="s">
        <v>1058</v>
      </c>
      <c r="U154" s="43" t="s">
        <v>168</v>
      </c>
      <c r="V154" s="58" t="s">
        <v>90</v>
      </c>
      <c r="W154" s="34"/>
      <c r="X154" s="34"/>
    </row>
    <row r="155" spans="1:24" x14ac:dyDescent="0.2">
      <c r="A155" s="132">
        <v>149</v>
      </c>
      <c r="B155" s="43">
        <v>44403</v>
      </c>
      <c r="C155" s="34" t="s">
        <v>1020</v>
      </c>
      <c r="D155" s="40" t="str">
        <f t="shared" si="4"/>
        <v>2002000149</v>
      </c>
      <c r="E155" s="34" t="s">
        <v>82</v>
      </c>
      <c r="F155" s="52">
        <v>776471601</v>
      </c>
      <c r="G155" s="34"/>
      <c r="H155" s="34" t="s">
        <v>84</v>
      </c>
      <c r="I155" s="278">
        <v>33099</v>
      </c>
      <c r="J155" s="50">
        <f t="shared" ca="1" si="5"/>
        <v>33.11780821917808</v>
      </c>
      <c r="K155" s="50" t="str">
        <f ca="1">IFERROR(VLOOKUP($J155,Ref!$B$7:$C$9,2),"")</f>
        <v>Valid Age</v>
      </c>
      <c r="L155" s="55" t="s">
        <v>85</v>
      </c>
      <c r="M155" s="34"/>
      <c r="N155" s="34" t="s">
        <v>88</v>
      </c>
      <c r="O155" s="34" t="s">
        <v>1059</v>
      </c>
      <c r="P155" s="34" t="s">
        <v>1060</v>
      </c>
      <c r="Q155" s="34" t="s">
        <v>127</v>
      </c>
      <c r="R155" s="34" t="s">
        <v>1061</v>
      </c>
      <c r="S155" s="43">
        <v>45832</v>
      </c>
      <c r="T155" s="43" t="s">
        <v>1062</v>
      </c>
      <c r="U155" s="43" t="s">
        <v>168</v>
      </c>
      <c r="V155" s="58" t="s">
        <v>90</v>
      </c>
      <c r="W155" s="34"/>
      <c r="X155" s="34"/>
    </row>
    <row r="156" spans="1:24" x14ac:dyDescent="0.2">
      <c r="A156" s="132">
        <v>150</v>
      </c>
      <c r="B156" s="43">
        <v>44404</v>
      </c>
      <c r="C156" s="34" t="s">
        <v>1021</v>
      </c>
      <c r="D156" s="40" t="str">
        <f t="shared" si="4"/>
        <v>2002000150</v>
      </c>
      <c r="E156" s="34" t="s">
        <v>82</v>
      </c>
      <c r="F156" s="52">
        <v>775377910</v>
      </c>
      <c r="G156" s="34"/>
      <c r="H156" s="34" t="s">
        <v>83</v>
      </c>
      <c r="I156" s="278">
        <v>35156</v>
      </c>
      <c r="J156" s="50">
        <f t="shared" ca="1" si="5"/>
        <v>27.482191780821918</v>
      </c>
      <c r="K156" s="50" t="str">
        <f ca="1">IFERROR(VLOOKUP($J156,Ref!$B$7:$C$9,2),"")</f>
        <v>Valid Age</v>
      </c>
      <c r="L156" s="55" t="s">
        <v>86</v>
      </c>
      <c r="M156" s="34"/>
      <c r="N156" s="34" t="s">
        <v>1063</v>
      </c>
      <c r="O156" s="34" t="s">
        <v>354</v>
      </c>
      <c r="P156" s="34" t="s">
        <v>98</v>
      </c>
      <c r="Q156" s="34" t="s">
        <v>1064</v>
      </c>
      <c r="R156" s="34"/>
      <c r="S156" s="43"/>
      <c r="T156" s="43" t="s">
        <v>1065</v>
      </c>
      <c r="U156" s="43" t="s">
        <v>198</v>
      </c>
      <c r="V156" s="58">
        <v>786483686</v>
      </c>
      <c r="W156" s="34"/>
      <c r="X156" s="34"/>
    </row>
    <row r="157" spans="1:24" x14ac:dyDescent="0.2">
      <c r="A157" s="132">
        <v>151</v>
      </c>
      <c r="B157" s="43">
        <v>44404</v>
      </c>
      <c r="C157" s="34" t="s">
        <v>1022</v>
      </c>
      <c r="D157" s="40" t="str">
        <f t="shared" si="4"/>
        <v>2002000151</v>
      </c>
      <c r="E157" s="34" t="s">
        <v>82</v>
      </c>
      <c r="F157" s="52">
        <v>786307686</v>
      </c>
      <c r="G157" s="34"/>
      <c r="H157" s="34" t="s">
        <v>83</v>
      </c>
      <c r="I157" s="278">
        <v>30108</v>
      </c>
      <c r="J157" s="50">
        <f t="shared" ca="1" si="5"/>
        <v>41.31232876712329</v>
      </c>
      <c r="K157" s="50" t="str">
        <f ca="1">IFERROR(VLOOKUP($J157,Ref!$B$7:$C$9,2),"")</f>
        <v>Valid Age</v>
      </c>
      <c r="L157" s="55" t="s">
        <v>85</v>
      </c>
      <c r="M157" s="34"/>
      <c r="N157" s="34" t="s">
        <v>89</v>
      </c>
      <c r="O157" s="34" t="s">
        <v>1066</v>
      </c>
      <c r="P157" s="34" t="s">
        <v>1066</v>
      </c>
      <c r="Q157" s="34" t="s">
        <v>127</v>
      </c>
      <c r="R157" s="34" t="s">
        <v>1067</v>
      </c>
      <c r="S157" s="43">
        <v>45830</v>
      </c>
      <c r="T157" s="43" t="s">
        <v>1068</v>
      </c>
      <c r="U157" s="43" t="s">
        <v>163</v>
      </c>
      <c r="V157" s="58" t="s">
        <v>90</v>
      </c>
      <c r="W157" s="34"/>
      <c r="X157" s="34"/>
    </row>
    <row r="158" spans="1:24" x14ac:dyDescent="0.2">
      <c r="A158" s="132">
        <v>152</v>
      </c>
      <c r="B158" s="43">
        <v>44404</v>
      </c>
      <c r="C158" s="34" t="s">
        <v>1023</v>
      </c>
      <c r="D158" s="40" t="str">
        <f t="shared" si="4"/>
        <v>2002000152</v>
      </c>
      <c r="E158" s="34" t="s">
        <v>82</v>
      </c>
      <c r="F158" s="52">
        <v>776814060</v>
      </c>
      <c r="G158" s="34"/>
      <c r="H158" s="34" t="s">
        <v>84</v>
      </c>
      <c r="I158" s="278">
        <v>21591</v>
      </c>
      <c r="J158" s="50">
        <f t="shared" ca="1" si="5"/>
        <v>64.646575342465752</v>
      </c>
      <c r="K158" s="50" t="str">
        <f ca="1">IFERROR(VLOOKUP($J158,Ref!$B$7:$C$9,2),"")</f>
        <v>Over Age</v>
      </c>
      <c r="L158" s="55" t="s">
        <v>1031</v>
      </c>
      <c r="M158" s="34"/>
      <c r="N158" s="34" t="s">
        <v>88</v>
      </c>
      <c r="O158" s="34" t="s">
        <v>370</v>
      </c>
      <c r="P158" s="34" t="s">
        <v>503</v>
      </c>
      <c r="Q158" s="34" t="s">
        <v>127</v>
      </c>
      <c r="R158" s="34" t="s">
        <v>1069</v>
      </c>
      <c r="S158" s="43">
        <v>21606</v>
      </c>
      <c r="T158" s="43" t="s">
        <v>1070</v>
      </c>
      <c r="U158" s="43" t="s">
        <v>163</v>
      </c>
      <c r="V158" s="58" t="s">
        <v>90</v>
      </c>
      <c r="W158" s="34"/>
      <c r="X158" s="34"/>
    </row>
    <row r="159" spans="1:24" x14ac:dyDescent="0.2">
      <c r="A159" s="132">
        <v>153</v>
      </c>
      <c r="B159" s="43">
        <v>44405</v>
      </c>
      <c r="C159" s="34" t="s">
        <v>1024</v>
      </c>
      <c r="D159" s="40" t="str">
        <f t="shared" si="4"/>
        <v>2002000153</v>
      </c>
      <c r="E159" s="34" t="s">
        <v>82</v>
      </c>
      <c r="F159" s="52">
        <v>781693289</v>
      </c>
      <c r="G159" s="34"/>
      <c r="H159" s="34" t="s">
        <v>83</v>
      </c>
      <c r="I159" s="278">
        <v>25569</v>
      </c>
      <c r="J159" s="50">
        <f t="shared" ca="1" si="5"/>
        <v>53.747945205479454</v>
      </c>
      <c r="K159" s="50" t="str">
        <f ca="1">IFERROR(VLOOKUP($J159,Ref!$B$7:$C$9,2),"")</f>
        <v>Valid Age</v>
      </c>
      <c r="L159" s="55" t="s">
        <v>85</v>
      </c>
      <c r="M159" s="34"/>
      <c r="N159" s="34" t="s">
        <v>89</v>
      </c>
      <c r="O159" s="34" t="s">
        <v>385</v>
      </c>
      <c r="P159" s="34" t="s">
        <v>385</v>
      </c>
      <c r="Q159" s="34" t="s">
        <v>127</v>
      </c>
      <c r="R159" s="34" t="s">
        <v>1071</v>
      </c>
      <c r="S159" s="43">
        <v>45862</v>
      </c>
      <c r="T159" s="43" t="s">
        <v>1072</v>
      </c>
      <c r="U159" s="43" t="s">
        <v>163</v>
      </c>
      <c r="V159" s="58" t="s">
        <v>90</v>
      </c>
      <c r="W159" s="34"/>
      <c r="X159" s="34"/>
    </row>
    <row r="160" spans="1:24" x14ac:dyDescent="0.2">
      <c r="A160" s="132">
        <v>154</v>
      </c>
      <c r="B160" s="43">
        <v>44405</v>
      </c>
      <c r="C160" s="34" t="s">
        <v>1025</v>
      </c>
      <c r="D160" s="40" t="str">
        <f t="shared" si="4"/>
        <v>2002000154</v>
      </c>
      <c r="E160" s="34" t="s">
        <v>82</v>
      </c>
      <c r="F160" s="52">
        <v>772784778</v>
      </c>
      <c r="G160" s="34"/>
      <c r="H160" s="34" t="s">
        <v>83</v>
      </c>
      <c r="I160" s="278">
        <v>31755</v>
      </c>
      <c r="J160" s="50">
        <f t="shared" ca="1" si="5"/>
        <v>36.799999999999997</v>
      </c>
      <c r="K160" s="50" t="str">
        <f ca="1">IFERROR(VLOOKUP($J160,Ref!$B$7:$C$9,2),"")</f>
        <v>Valid Age</v>
      </c>
      <c r="L160" s="55" t="s">
        <v>85</v>
      </c>
      <c r="M160" s="34"/>
      <c r="N160" s="34" t="s">
        <v>89</v>
      </c>
      <c r="O160" s="34" t="s">
        <v>1073</v>
      </c>
      <c r="P160" s="34" t="s">
        <v>1074</v>
      </c>
      <c r="Q160" s="34" t="s">
        <v>127</v>
      </c>
      <c r="R160" s="34" t="s">
        <v>1075</v>
      </c>
      <c r="S160" s="43">
        <v>45827</v>
      </c>
      <c r="T160" s="43" t="s">
        <v>1076</v>
      </c>
      <c r="U160" s="43" t="s">
        <v>1077</v>
      </c>
      <c r="V160" s="58">
        <v>786599382</v>
      </c>
      <c r="W160" s="34"/>
      <c r="X160" s="34"/>
    </row>
    <row r="161" spans="1:24" x14ac:dyDescent="0.2">
      <c r="A161" s="132">
        <v>155</v>
      </c>
      <c r="B161" s="43">
        <v>44406</v>
      </c>
      <c r="C161" s="34" t="s">
        <v>1026</v>
      </c>
      <c r="D161" s="40" t="str">
        <f t="shared" si="4"/>
        <v>2002000155</v>
      </c>
      <c r="E161" s="34" t="s">
        <v>82</v>
      </c>
      <c r="F161" s="52">
        <v>785400486</v>
      </c>
      <c r="G161" s="34"/>
      <c r="H161" s="34" t="s">
        <v>84</v>
      </c>
      <c r="I161" s="278">
        <v>18796</v>
      </c>
      <c r="J161" s="50">
        <f t="shared" ca="1" si="5"/>
        <v>72.30410958904109</v>
      </c>
      <c r="K161" s="50" t="str">
        <f ca="1">IFERROR(VLOOKUP($J161,Ref!$B$7:$C$9,2),"")</f>
        <v>Over Age</v>
      </c>
      <c r="L161" s="55" t="s">
        <v>85</v>
      </c>
      <c r="M161" s="34"/>
      <c r="N161" s="34" t="s">
        <v>88</v>
      </c>
      <c r="O161" s="34" t="s">
        <v>474</v>
      </c>
      <c r="P161" s="34" t="s">
        <v>474</v>
      </c>
      <c r="Q161" s="34" t="s">
        <v>127</v>
      </c>
      <c r="R161" s="34" t="s">
        <v>1078</v>
      </c>
      <c r="S161" s="43">
        <v>45832</v>
      </c>
      <c r="T161" s="43" t="s">
        <v>1079</v>
      </c>
      <c r="U161" s="43" t="s">
        <v>163</v>
      </c>
      <c r="V161" s="58">
        <v>7777035227</v>
      </c>
      <c r="W161" s="34"/>
      <c r="X161" s="34"/>
    </row>
    <row r="162" spans="1:24" x14ac:dyDescent="0.2">
      <c r="A162" s="132">
        <v>156</v>
      </c>
      <c r="B162" s="43">
        <v>44410</v>
      </c>
      <c r="C162" s="34" t="s">
        <v>1092</v>
      </c>
      <c r="D162" s="40" t="str">
        <f t="shared" si="4"/>
        <v>2002000156</v>
      </c>
      <c r="E162" s="34" t="s">
        <v>82</v>
      </c>
      <c r="F162" s="52">
        <v>775995875</v>
      </c>
      <c r="G162" s="34"/>
      <c r="H162" s="34" t="s">
        <v>84</v>
      </c>
      <c r="I162" s="278">
        <v>28387</v>
      </c>
      <c r="J162" s="50">
        <f t="shared" ca="1" si="5"/>
        <v>46.027397260273972</v>
      </c>
      <c r="K162" s="50" t="str">
        <f ca="1">IFERROR(VLOOKUP($J162,Ref!$B$7:$C$9,2),"")</f>
        <v>Valid Age</v>
      </c>
      <c r="L162" s="55" t="s">
        <v>85</v>
      </c>
      <c r="M162" s="34"/>
      <c r="N162" s="34" t="s">
        <v>1134</v>
      </c>
      <c r="O162" s="34" t="s">
        <v>99</v>
      </c>
      <c r="P162" s="34" t="s">
        <v>482</v>
      </c>
      <c r="Q162" s="34" t="s">
        <v>127</v>
      </c>
      <c r="R162" s="34" t="s">
        <v>1135</v>
      </c>
      <c r="S162" s="43">
        <v>45832</v>
      </c>
      <c r="T162" s="43" t="s">
        <v>1136</v>
      </c>
      <c r="U162" s="43" t="s">
        <v>163</v>
      </c>
      <c r="V162" s="58">
        <v>789414519</v>
      </c>
      <c r="W162" s="34"/>
      <c r="X162" s="34" t="s">
        <v>1254</v>
      </c>
    </row>
    <row r="163" spans="1:24" x14ac:dyDescent="0.2">
      <c r="A163" s="132">
        <v>157</v>
      </c>
      <c r="B163" s="43">
        <v>44406</v>
      </c>
      <c r="C163" s="34" t="s">
        <v>1027</v>
      </c>
      <c r="D163" s="40" t="str">
        <f t="shared" si="4"/>
        <v>2002000157</v>
      </c>
      <c r="E163" s="34" t="s">
        <v>82</v>
      </c>
      <c r="F163" s="52">
        <v>772509334</v>
      </c>
      <c r="G163" s="34"/>
      <c r="H163" s="34" t="s">
        <v>84</v>
      </c>
      <c r="I163" s="278">
        <v>26535</v>
      </c>
      <c r="J163" s="50">
        <f t="shared" ca="1" si="5"/>
        <v>51.101369863013701</v>
      </c>
      <c r="K163" s="50" t="str">
        <f ca="1">IFERROR(VLOOKUP($J163,Ref!$B$7:$C$9,2),"")</f>
        <v>Valid Age</v>
      </c>
      <c r="L163" s="55" t="s">
        <v>1032</v>
      </c>
      <c r="M163" s="34"/>
      <c r="N163" s="34" t="s">
        <v>88</v>
      </c>
      <c r="O163" s="34" t="s">
        <v>467</v>
      </c>
      <c r="P163" s="34" t="s">
        <v>467</v>
      </c>
      <c r="Q163" s="34" t="s">
        <v>127</v>
      </c>
      <c r="R163" s="34" t="s">
        <v>1080</v>
      </c>
      <c r="S163" s="43">
        <v>45832</v>
      </c>
      <c r="T163" s="43" t="s">
        <v>1081</v>
      </c>
      <c r="U163" s="43" t="s">
        <v>163</v>
      </c>
      <c r="V163" s="58" t="s">
        <v>90</v>
      </c>
      <c r="W163" s="34"/>
      <c r="X163" s="34"/>
    </row>
    <row r="164" spans="1:24" x14ac:dyDescent="0.2">
      <c r="A164" s="132">
        <v>158</v>
      </c>
      <c r="B164" s="43">
        <v>44407</v>
      </c>
      <c r="C164" s="282" t="s">
        <v>1028</v>
      </c>
      <c r="D164" s="40" t="str">
        <f t="shared" si="4"/>
        <v>2002000158</v>
      </c>
      <c r="E164" s="34" t="s">
        <v>82</v>
      </c>
      <c r="F164" s="277">
        <v>775090562</v>
      </c>
      <c r="G164" s="34"/>
      <c r="H164" s="34" t="s">
        <v>83</v>
      </c>
      <c r="I164" s="278">
        <v>30744</v>
      </c>
      <c r="J164" s="50">
        <f t="shared" ca="1" si="5"/>
        <v>39.56986301369863</v>
      </c>
      <c r="K164" s="50" t="str">
        <f ca="1">IFERROR(VLOOKUP($J164,Ref!$B$7:$C$9,2),"")</f>
        <v>Valid Age</v>
      </c>
      <c r="L164" s="55" t="s">
        <v>85</v>
      </c>
      <c r="M164" s="62"/>
      <c r="N164" s="34" t="s">
        <v>1082</v>
      </c>
      <c r="O164" s="34" t="s">
        <v>1083</v>
      </c>
      <c r="P164" s="34" t="s">
        <v>1083</v>
      </c>
      <c r="Q164" s="34" t="s">
        <v>127</v>
      </c>
      <c r="R164" s="34" t="s">
        <v>1084</v>
      </c>
      <c r="S164" s="43">
        <v>45604</v>
      </c>
      <c r="T164" s="43" t="s">
        <v>1085</v>
      </c>
      <c r="U164" s="43" t="s">
        <v>163</v>
      </c>
      <c r="V164" s="58" t="s">
        <v>90</v>
      </c>
      <c r="W164" s="34"/>
      <c r="X164" s="34"/>
    </row>
    <row r="165" spans="1:24" x14ac:dyDescent="0.2">
      <c r="A165" s="132">
        <v>159</v>
      </c>
      <c r="B165" s="43">
        <v>44407</v>
      </c>
      <c r="C165" s="282" t="s">
        <v>1029</v>
      </c>
      <c r="D165" s="40" t="str">
        <f t="shared" si="4"/>
        <v>2002000159</v>
      </c>
      <c r="E165" s="34" t="s">
        <v>82</v>
      </c>
      <c r="F165" s="277">
        <v>779776045</v>
      </c>
      <c r="G165" s="34"/>
      <c r="H165" s="34" t="s">
        <v>84</v>
      </c>
      <c r="I165" s="278">
        <v>29870</v>
      </c>
      <c r="J165" s="50">
        <f t="shared" ca="1" si="5"/>
        <v>41.964383561643835</v>
      </c>
      <c r="K165" s="50" t="str">
        <f ca="1">IFERROR(VLOOKUP($J165,Ref!$B$7:$C$9,2),"")</f>
        <v>Valid Age</v>
      </c>
      <c r="L165" s="55" t="s">
        <v>85</v>
      </c>
      <c r="M165" s="62"/>
      <c r="N165" s="34" t="s">
        <v>88</v>
      </c>
      <c r="O165" s="34" t="s">
        <v>1086</v>
      </c>
      <c r="P165" s="34" t="s">
        <v>1087</v>
      </c>
      <c r="Q165" s="34" t="s">
        <v>127</v>
      </c>
      <c r="R165" s="34" t="s">
        <v>1088</v>
      </c>
      <c r="S165" s="43">
        <v>47562</v>
      </c>
      <c r="T165" s="43" t="s">
        <v>1089</v>
      </c>
      <c r="U165" s="43" t="s">
        <v>163</v>
      </c>
      <c r="V165" s="58" t="s">
        <v>90</v>
      </c>
      <c r="W165" s="34"/>
      <c r="X165" s="34"/>
    </row>
    <row r="166" spans="1:24" x14ac:dyDescent="0.2">
      <c r="A166" s="132">
        <v>160</v>
      </c>
      <c r="B166" s="43">
        <v>44407</v>
      </c>
      <c r="C166" s="34" t="s">
        <v>1030</v>
      </c>
      <c r="D166" s="40" t="str">
        <f t="shared" si="4"/>
        <v>2002000160</v>
      </c>
      <c r="E166" s="34" t="s">
        <v>82</v>
      </c>
      <c r="F166" s="52"/>
      <c r="G166" s="34"/>
      <c r="H166" s="34" t="s">
        <v>84</v>
      </c>
      <c r="I166" s="278">
        <v>22549</v>
      </c>
      <c r="J166" s="50">
        <f t="shared" ca="1" si="5"/>
        <v>62.021917808219179</v>
      </c>
      <c r="K166" s="50" t="str">
        <f ca="1">IFERROR(VLOOKUP($J166,Ref!$B$7:$C$9,2),"")</f>
        <v>Over Age</v>
      </c>
      <c r="L166" s="55" t="s">
        <v>1031</v>
      </c>
      <c r="M166" s="34"/>
      <c r="N166" s="34" t="s">
        <v>88</v>
      </c>
      <c r="O166" s="34" t="s">
        <v>370</v>
      </c>
      <c r="P166" s="34" t="s">
        <v>467</v>
      </c>
      <c r="Q166" s="34" t="s">
        <v>127</v>
      </c>
      <c r="R166" s="34" t="s">
        <v>1090</v>
      </c>
      <c r="S166" s="43">
        <v>45832</v>
      </c>
      <c r="T166" s="43" t="s">
        <v>1091</v>
      </c>
      <c r="U166" s="43" t="s">
        <v>163</v>
      </c>
      <c r="V166" s="58" t="s">
        <v>90</v>
      </c>
      <c r="W166" s="34"/>
      <c r="X166" s="34"/>
    </row>
    <row r="167" spans="1:24" x14ac:dyDescent="0.2">
      <c r="A167" s="132">
        <v>161</v>
      </c>
      <c r="B167" s="43">
        <v>44410</v>
      </c>
      <c r="C167" s="34" t="s">
        <v>1093</v>
      </c>
      <c r="D167" s="40" t="str">
        <f t="shared" si="4"/>
        <v>2002000161</v>
      </c>
      <c r="E167" s="34" t="s">
        <v>82</v>
      </c>
      <c r="F167" s="52">
        <v>776846975</v>
      </c>
      <c r="G167" s="34"/>
      <c r="H167" s="34" t="s">
        <v>83</v>
      </c>
      <c r="I167" s="278">
        <v>30279</v>
      </c>
      <c r="J167" s="50">
        <f t="shared" ca="1" si="5"/>
        <v>40.843835616438355</v>
      </c>
      <c r="K167" s="50" t="str">
        <f ca="1">IFERROR(VLOOKUP($J167,Ref!$B$7:$C$9,2),"")</f>
        <v>Valid Age</v>
      </c>
      <c r="L167" s="55" t="s">
        <v>85</v>
      </c>
      <c r="M167" s="34"/>
      <c r="N167" s="34" t="s">
        <v>1137</v>
      </c>
      <c r="O167" s="34" t="s">
        <v>1138</v>
      </c>
      <c r="P167" s="34"/>
      <c r="Q167" s="34" t="s">
        <v>127</v>
      </c>
      <c r="R167" s="34" t="s">
        <v>1139</v>
      </c>
      <c r="S167" s="43">
        <v>46912</v>
      </c>
      <c r="T167" s="43" t="s">
        <v>1140</v>
      </c>
      <c r="U167" s="43" t="s">
        <v>198</v>
      </c>
      <c r="V167" s="58">
        <v>772784119</v>
      </c>
      <c r="W167" s="34"/>
      <c r="X167" s="34" t="s">
        <v>1254</v>
      </c>
    </row>
    <row r="168" spans="1:24" x14ac:dyDescent="0.2">
      <c r="A168" s="132">
        <v>162</v>
      </c>
      <c r="B168" s="43">
        <v>44410</v>
      </c>
      <c r="C168" s="34" t="s">
        <v>1094</v>
      </c>
      <c r="D168" s="40" t="str">
        <f t="shared" si="4"/>
        <v>2002000162</v>
      </c>
      <c r="E168" s="34" t="s">
        <v>82</v>
      </c>
      <c r="F168" s="52">
        <v>787737411</v>
      </c>
      <c r="G168" s="34"/>
      <c r="H168" s="34" t="s">
        <v>84</v>
      </c>
      <c r="I168" s="278">
        <v>32309</v>
      </c>
      <c r="J168" s="50">
        <f t="shared" ca="1" si="5"/>
        <v>35.282191780821918</v>
      </c>
      <c r="K168" s="50" t="str">
        <f ca="1">IFERROR(VLOOKUP($J168,Ref!$B$7:$C$9,2),"")</f>
        <v>Valid Age</v>
      </c>
      <c r="L168" s="55" t="s">
        <v>85</v>
      </c>
      <c r="M168" s="34"/>
      <c r="N168" s="34" t="s">
        <v>1134</v>
      </c>
      <c r="O168" s="34" t="s">
        <v>1141</v>
      </c>
      <c r="P168" s="34" t="s">
        <v>1142</v>
      </c>
      <c r="Q168" s="34" t="s">
        <v>127</v>
      </c>
      <c r="R168" s="34" t="s">
        <v>1143</v>
      </c>
      <c r="S168" s="43">
        <v>45833</v>
      </c>
      <c r="T168" s="43" t="s">
        <v>1144</v>
      </c>
      <c r="U168" s="43" t="s">
        <v>173</v>
      </c>
      <c r="V168" s="58">
        <v>780607321</v>
      </c>
      <c r="W168" s="34"/>
      <c r="X168" s="34" t="s">
        <v>1254</v>
      </c>
    </row>
    <row r="169" spans="1:24" x14ac:dyDescent="0.2">
      <c r="A169" s="132">
        <v>163</v>
      </c>
      <c r="B169" s="43">
        <v>44410</v>
      </c>
      <c r="C169" s="34" t="s">
        <v>1095</v>
      </c>
      <c r="D169" s="40" t="str">
        <f t="shared" si="4"/>
        <v>2002000163</v>
      </c>
      <c r="E169" s="34" t="s">
        <v>82</v>
      </c>
      <c r="F169" s="52">
        <v>770481530</v>
      </c>
      <c r="G169" s="34"/>
      <c r="H169" s="34" t="s">
        <v>84</v>
      </c>
      <c r="I169" s="278">
        <v>30895</v>
      </c>
      <c r="J169" s="50">
        <f t="shared" ca="1" si="5"/>
        <v>39.156164383561645</v>
      </c>
      <c r="K169" s="50" t="str">
        <f ca="1">IFERROR(VLOOKUP($J169,Ref!$B$7:$C$9,2),"")</f>
        <v>Valid Age</v>
      </c>
      <c r="L169" s="55" t="s">
        <v>85</v>
      </c>
      <c r="M169" s="34"/>
      <c r="N169" s="34" t="s">
        <v>1134</v>
      </c>
      <c r="O169" s="34" t="s">
        <v>1145</v>
      </c>
      <c r="P169" s="34" t="s">
        <v>1146</v>
      </c>
      <c r="Q169" s="34" t="s">
        <v>127</v>
      </c>
      <c r="R169" s="34" t="s">
        <v>1147</v>
      </c>
      <c r="S169" s="43">
        <v>44371</v>
      </c>
      <c r="T169" s="43" t="s">
        <v>1148</v>
      </c>
      <c r="U169" s="43" t="s">
        <v>163</v>
      </c>
      <c r="V169" s="58" t="s">
        <v>90</v>
      </c>
      <c r="W169" s="34"/>
      <c r="X169" s="34" t="s">
        <v>1254</v>
      </c>
    </row>
    <row r="170" spans="1:24" x14ac:dyDescent="0.2">
      <c r="A170" s="132">
        <v>164</v>
      </c>
      <c r="B170" s="43">
        <v>44411</v>
      </c>
      <c r="C170" s="34" t="s">
        <v>1096</v>
      </c>
      <c r="D170" s="40" t="str">
        <f t="shared" si="4"/>
        <v>2002000164</v>
      </c>
      <c r="E170" s="34" t="s">
        <v>82</v>
      </c>
      <c r="F170" s="52">
        <v>772676785</v>
      </c>
      <c r="G170" s="34"/>
      <c r="H170" s="34" t="s">
        <v>83</v>
      </c>
      <c r="I170" s="278">
        <v>34335</v>
      </c>
      <c r="J170" s="50">
        <f t="shared" ca="1" si="5"/>
        <v>29.731506849315068</v>
      </c>
      <c r="K170" s="50" t="str">
        <f ca="1">IFERROR(VLOOKUP($J170,Ref!$B$7:$C$9,2),"")</f>
        <v>Valid Age</v>
      </c>
      <c r="L170" s="55" t="s">
        <v>85</v>
      </c>
      <c r="M170" s="34"/>
      <c r="N170" s="34" t="s">
        <v>1137</v>
      </c>
      <c r="O170" s="34" t="s">
        <v>1149</v>
      </c>
      <c r="P170" s="34" t="s">
        <v>1150</v>
      </c>
      <c r="Q170" s="34" t="s">
        <v>127</v>
      </c>
      <c r="R170" s="34" t="s">
        <v>1151</v>
      </c>
      <c r="S170" s="43">
        <v>45832</v>
      </c>
      <c r="T170" s="43" t="s">
        <v>1152</v>
      </c>
      <c r="U170" s="43" t="s">
        <v>171</v>
      </c>
      <c r="V170" s="58">
        <v>787216493</v>
      </c>
      <c r="W170" s="34"/>
      <c r="X170" s="34" t="s">
        <v>1254</v>
      </c>
    </row>
    <row r="171" spans="1:24" x14ac:dyDescent="0.2">
      <c r="A171" s="132">
        <v>165</v>
      </c>
      <c r="B171" s="43">
        <v>44411</v>
      </c>
      <c r="C171" s="34" t="s">
        <v>1097</v>
      </c>
      <c r="D171" s="40" t="str">
        <f t="shared" si="4"/>
        <v>2002000165</v>
      </c>
      <c r="E171" s="34" t="s">
        <v>82</v>
      </c>
      <c r="F171" s="52">
        <v>777698226</v>
      </c>
      <c r="G171" s="34"/>
      <c r="H171" s="34" t="s">
        <v>83</v>
      </c>
      <c r="I171" s="278">
        <v>31406</v>
      </c>
      <c r="J171" s="50">
        <f t="shared" ca="1" si="5"/>
        <v>37.756164383561647</v>
      </c>
      <c r="K171" s="50" t="str">
        <f ca="1">IFERROR(VLOOKUP($J171,Ref!$B$7:$C$9,2),"")</f>
        <v>Valid Age</v>
      </c>
      <c r="L171" s="55" t="s">
        <v>85</v>
      </c>
      <c r="M171" s="34"/>
      <c r="N171" s="34" t="s">
        <v>1137</v>
      </c>
      <c r="O171" s="34" t="s">
        <v>1153</v>
      </c>
      <c r="P171" s="34" t="s">
        <v>1154</v>
      </c>
      <c r="Q171" s="34" t="s">
        <v>127</v>
      </c>
      <c r="R171" s="34" t="s">
        <v>1155</v>
      </c>
      <c r="S171" s="43">
        <v>44372</v>
      </c>
      <c r="T171" s="43" t="s">
        <v>1156</v>
      </c>
      <c r="U171" s="43" t="s">
        <v>198</v>
      </c>
      <c r="V171" s="58">
        <v>781646668</v>
      </c>
      <c r="W171" s="34"/>
      <c r="X171" s="34" t="s">
        <v>1254</v>
      </c>
    </row>
    <row r="172" spans="1:24" x14ac:dyDescent="0.2">
      <c r="A172" s="132">
        <v>166</v>
      </c>
      <c r="B172" s="43">
        <v>44411</v>
      </c>
      <c r="C172" s="34" t="s">
        <v>1098</v>
      </c>
      <c r="D172" s="40" t="str">
        <f t="shared" si="4"/>
        <v>2002000166</v>
      </c>
      <c r="E172" s="34" t="s">
        <v>82</v>
      </c>
      <c r="F172" s="52">
        <v>771377349</v>
      </c>
      <c r="G172" s="34"/>
      <c r="H172" s="34" t="s">
        <v>84</v>
      </c>
      <c r="I172" s="278">
        <v>31048</v>
      </c>
      <c r="J172" s="50">
        <f t="shared" ca="1" si="5"/>
        <v>38.736986301369861</v>
      </c>
      <c r="K172" s="50" t="str">
        <f ca="1">IFERROR(VLOOKUP($J172,Ref!$B$7:$C$9,2),"")</f>
        <v>Valid Age</v>
      </c>
      <c r="L172" s="55" t="s">
        <v>85</v>
      </c>
      <c r="M172" s="34"/>
      <c r="N172" s="34" t="s">
        <v>1134</v>
      </c>
      <c r="O172" s="34" t="s">
        <v>370</v>
      </c>
      <c r="P172" s="34" t="s">
        <v>1157</v>
      </c>
      <c r="Q172" s="34" t="s">
        <v>127</v>
      </c>
      <c r="R172" s="34" t="s">
        <v>1158</v>
      </c>
      <c r="S172" s="43">
        <v>45843</v>
      </c>
      <c r="T172" s="43" t="s">
        <v>1159</v>
      </c>
      <c r="U172" s="43" t="s">
        <v>168</v>
      </c>
      <c r="V172" s="58" t="s">
        <v>90</v>
      </c>
      <c r="W172" s="34"/>
      <c r="X172" s="34" t="s">
        <v>1254</v>
      </c>
    </row>
    <row r="173" spans="1:24" x14ac:dyDescent="0.2">
      <c r="A173" s="132">
        <v>167</v>
      </c>
      <c r="B173" s="43">
        <v>44411</v>
      </c>
      <c r="C173" s="34" t="s">
        <v>1099</v>
      </c>
      <c r="D173" s="40" t="str">
        <f t="shared" si="4"/>
        <v>2002000167</v>
      </c>
      <c r="E173" s="34" t="s">
        <v>82</v>
      </c>
      <c r="F173" s="52">
        <v>779440494</v>
      </c>
      <c r="G173" s="34"/>
      <c r="H173" s="34" t="s">
        <v>84</v>
      </c>
      <c r="I173" s="278">
        <v>28977</v>
      </c>
      <c r="J173" s="50">
        <f t="shared" ca="1" si="5"/>
        <v>44.410958904109592</v>
      </c>
      <c r="K173" s="50" t="str">
        <f ca="1">IFERROR(VLOOKUP($J173,Ref!$B$7:$C$9,2),"")</f>
        <v>Valid Age</v>
      </c>
      <c r="L173" s="55" t="s">
        <v>85</v>
      </c>
      <c r="M173" s="34"/>
      <c r="N173" s="34" t="s">
        <v>1134</v>
      </c>
      <c r="O173" s="34" t="s">
        <v>99</v>
      </c>
      <c r="P173" s="34" t="s">
        <v>1160</v>
      </c>
      <c r="Q173" s="34" t="s">
        <v>127</v>
      </c>
      <c r="R173" s="34" t="s">
        <v>1161</v>
      </c>
      <c r="S173" s="43">
        <v>45832</v>
      </c>
      <c r="T173" s="43" t="s">
        <v>1162</v>
      </c>
      <c r="U173" s="43" t="s">
        <v>163</v>
      </c>
      <c r="V173" s="58">
        <v>779332267</v>
      </c>
      <c r="W173" s="34"/>
      <c r="X173" s="34" t="s">
        <v>1254</v>
      </c>
    </row>
    <row r="174" spans="1:24" x14ac:dyDescent="0.2">
      <c r="A174" s="132">
        <v>168</v>
      </c>
      <c r="B174" s="43">
        <v>44412</v>
      </c>
      <c r="C174" s="34" t="s">
        <v>707</v>
      </c>
      <c r="D174" s="40" t="str">
        <f t="shared" si="4"/>
        <v>2002000168</v>
      </c>
      <c r="E174" s="34" t="s">
        <v>82</v>
      </c>
      <c r="F174" s="52">
        <v>772358965</v>
      </c>
      <c r="G174" s="34"/>
      <c r="H174" s="34" t="s">
        <v>83</v>
      </c>
      <c r="I174" s="278">
        <v>27602</v>
      </c>
      <c r="J174" s="50">
        <f t="shared" ca="1" si="5"/>
        <v>48.178082191780824</v>
      </c>
      <c r="K174" s="50" t="str">
        <f ca="1">IFERROR(VLOOKUP($J174,Ref!$B$7:$C$9,2),"")</f>
        <v>Valid Age</v>
      </c>
      <c r="L174" s="55" t="s">
        <v>85</v>
      </c>
      <c r="M174" s="34"/>
      <c r="N174" s="34" t="s">
        <v>1137</v>
      </c>
      <c r="O174" s="34" t="s">
        <v>99</v>
      </c>
      <c r="P174" s="34" t="s">
        <v>1163</v>
      </c>
      <c r="Q174" s="34" t="s">
        <v>127</v>
      </c>
      <c r="R174" s="34" t="s">
        <v>1164</v>
      </c>
      <c r="S174" s="43">
        <v>45906</v>
      </c>
      <c r="T174" s="43" t="s">
        <v>1165</v>
      </c>
      <c r="U174" s="43" t="s">
        <v>198</v>
      </c>
      <c r="V174" s="58">
        <v>772444772</v>
      </c>
      <c r="W174" s="34"/>
      <c r="X174" s="34" t="s">
        <v>1254</v>
      </c>
    </row>
    <row r="175" spans="1:24" x14ac:dyDescent="0.2">
      <c r="A175" s="132">
        <v>169</v>
      </c>
      <c r="B175" s="43">
        <v>44413</v>
      </c>
      <c r="C175" s="34" t="s">
        <v>1100</v>
      </c>
      <c r="D175" s="40" t="str">
        <f t="shared" si="4"/>
        <v>2002000169</v>
      </c>
      <c r="E175" s="34" t="s">
        <v>82</v>
      </c>
      <c r="F175" s="52">
        <v>392991887</v>
      </c>
      <c r="G175" s="34"/>
      <c r="H175" s="34" t="s">
        <v>83</v>
      </c>
      <c r="I175" s="278">
        <v>35575</v>
      </c>
      <c r="J175" s="50">
        <f t="shared" ca="1" si="5"/>
        <v>26.334246575342465</v>
      </c>
      <c r="K175" s="50" t="str">
        <f ca="1">IFERROR(VLOOKUP($J175,Ref!$B$7:$C$9,2),"")</f>
        <v>Valid Age</v>
      </c>
      <c r="L175" s="55" t="s">
        <v>86</v>
      </c>
      <c r="M175" s="34"/>
      <c r="N175" s="34" t="s">
        <v>1137</v>
      </c>
      <c r="O175" s="34" t="s">
        <v>370</v>
      </c>
      <c r="P175" s="34" t="s">
        <v>1150</v>
      </c>
      <c r="Q175" s="34" t="s">
        <v>127</v>
      </c>
      <c r="R175" s="34" t="s">
        <v>1166</v>
      </c>
      <c r="S175" s="43">
        <v>45832</v>
      </c>
      <c r="T175" s="43" t="s">
        <v>1167</v>
      </c>
      <c r="U175" s="43" t="s">
        <v>1168</v>
      </c>
      <c r="V175" s="58">
        <v>776100981</v>
      </c>
      <c r="W175" s="34"/>
      <c r="X175" s="34" t="s">
        <v>1254</v>
      </c>
    </row>
    <row r="176" spans="1:24" x14ac:dyDescent="0.2">
      <c r="A176" s="132">
        <v>170</v>
      </c>
      <c r="B176" s="43">
        <v>44413</v>
      </c>
      <c r="C176" s="34" t="s">
        <v>1101</v>
      </c>
      <c r="D176" s="40" t="str">
        <f t="shared" si="4"/>
        <v>2002000170</v>
      </c>
      <c r="E176" s="34" t="s">
        <v>82</v>
      </c>
      <c r="F176" s="52">
        <v>786379543</v>
      </c>
      <c r="G176" s="34"/>
      <c r="H176" s="34" t="s">
        <v>84</v>
      </c>
      <c r="I176" s="278">
        <v>31782</v>
      </c>
      <c r="J176" s="50">
        <f t="shared" ca="1" si="5"/>
        <v>36.726027397260275</v>
      </c>
      <c r="K176" s="50" t="str">
        <f ca="1">IFERROR(VLOOKUP($J176,Ref!$B$7:$C$9,2),"")</f>
        <v>Valid Age</v>
      </c>
      <c r="L176" s="55" t="s">
        <v>85</v>
      </c>
      <c r="M176" s="34"/>
      <c r="N176" s="34" t="s">
        <v>1134</v>
      </c>
      <c r="O176" s="34" t="s">
        <v>99</v>
      </c>
      <c r="P176" s="34" t="s">
        <v>1157</v>
      </c>
      <c r="Q176" s="34" t="s">
        <v>127</v>
      </c>
      <c r="R176" s="34" t="s">
        <v>1169</v>
      </c>
      <c r="S176" s="43">
        <v>45832</v>
      </c>
      <c r="T176" s="43" t="s">
        <v>1170</v>
      </c>
      <c r="U176" s="43" t="s">
        <v>163</v>
      </c>
      <c r="V176" s="58" t="s">
        <v>90</v>
      </c>
      <c r="W176" s="34"/>
      <c r="X176" s="34" t="s">
        <v>1254</v>
      </c>
    </row>
    <row r="177" spans="1:24" x14ac:dyDescent="0.2">
      <c r="A177" s="132">
        <v>171</v>
      </c>
      <c r="B177" s="43">
        <v>44413</v>
      </c>
      <c r="C177" s="34" t="s">
        <v>1102</v>
      </c>
      <c r="D177" s="40" t="str">
        <f t="shared" si="4"/>
        <v>2002000171</v>
      </c>
      <c r="E177" s="34" t="s">
        <v>82</v>
      </c>
      <c r="F177" s="52">
        <v>773044440</v>
      </c>
      <c r="G177" s="34"/>
      <c r="H177" s="34" t="s">
        <v>83</v>
      </c>
      <c r="I177" s="278">
        <v>30800</v>
      </c>
      <c r="J177" s="50">
        <f t="shared" ca="1" si="5"/>
        <v>39.416438356164385</v>
      </c>
      <c r="K177" s="50" t="str">
        <f ca="1">IFERROR(VLOOKUP($J177,Ref!$B$7:$C$9,2),"")</f>
        <v>Valid Age</v>
      </c>
      <c r="L177" s="55" t="s">
        <v>85</v>
      </c>
      <c r="M177" s="34"/>
      <c r="N177" s="34" t="s">
        <v>1171</v>
      </c>
      <c r="O177" s="34" t="s">
        <v>99</v>
      </c>
      <c r="P177" s="34" t="s">
        <v>1150</v>
      </c>
      <c r="Q177" s="34" t="s">
        <v>127</v>
      </c>
      <c r="R177" s="34" t="s">
        <v>1172</v>
      </c>
      <c r="S177" s="43">
        <v>45832</v>
      </c>
      <c r="T177" s="43" t="s">
        <v>1173</v>
      </c>
      <c r="U177" s="43" t="s">
        <v>171</v>
      </c>
      <c r="V177" s="58">
        <v>778739938</v>
      </c>
      <c r="W177" s="34"/>
      <c r="X177" s="34" t="s">
        <v>1254</v>
      </c>
    </row>
    <row r="178" spans="1:24" x14ac:dyDescent="0.2">
      <c r="A178" s="132">
        <v>172</v>
      </c>
      <c r="B178" s="43">
        <v>44414</v>
      </c>
      <c r="C178" s="34" t="s">
        <v>1103</v>
      </c>
      <c r="D178" s="40" t="str">
        <f t="shared" si="4"/>
        <v>2002000172</v>
      </c>
      <c r="E178" s="34" t="s">
        <v>82</v>
      </c>
      <c r="F178" s="52">
        <v>782833844</v>
      </c>
      <c r="G178" s="34"/>
      <c r="H178" s="34" t="s">
        <v>84</v>
      </c>
      <c r="I178" s="278">
        <v>30529</v>
      </c>
      <c r="J178" s="50">
        <f t="shared" ca="1" si="5"/>
        <v>40.158904109589038</v>
      </c>
      <c r="K178" s="50" t="str">
        <f ca="1">IFERROR(VLOOKUP($J178,Ref!$B$7:$C$9,2),"")</f>
        <v>Valid Age</v>
      </c>
      <c r="L178" s="55" t="s">
        <v>85</v>
      </c>
      <c r="M178" s="34"/>
      <c r="N178" s="34" t="s">
        <v>1134</v>
      </c>
      <c r="O178" s="34" t="s">
        <v>99</v>
      </c>
      <c r="P178" s="34" t="s">
        <v>1163</v>
      </c>
      <c r="Q178" s="34" t="s">
        <v>127</v>
      </c>
      <c r="R178" s="34" t="s">
        <v>1174</v>
      </c>
      <c r="S178" s="43">
        <v>47715</v>
      </c>
      <c r="T178" s="43" t="s">
        <v>1175</v>
      </c>
      <c r="U178" s="43" t="s">
        <v>168</v>
      </c>
      <c r="V178" s="58">
        <v>782833844</v>
      </c>
      <c r="W178" s="34"/>
      <c r="X178" s="34" t="s">
        <v>1254</v>
      </c>
    </row>
    <row r="179" spans="1:24" x14ac:dyDescent="0.2">
      <c r="A179" s="132">
        <v>173</v>
      </c>
      <c r="B179" s="43">
        <v>44414</v>
      </c>
      <c r="C179" s="34" t="s">
        <v>1104</v>
      </c>
      <c r="D179" s="40" t="str">
        <f t="shared" si="4"/>
        <v>2002000173</v>
      </c>
      <c r="E179" s="34" t="s">
        <v>82</v>
      </c>
      <c r="F179" s="52">
        <v>782711690</v>
      </c>
      <c r="G179" s="34"/>
      <c r="H179" s="34" t="s">
        <v>84</v>
      </c>
      <c r="I179" s="278">
        <v>28814</v>
      </c>
      <c r="J179" s="50">
        <f t="shared" ca="1" si="5"/>
        <v>44.857534246575341</v>
      </c>
      <c r="K179" s="50" t="str">
        <f ca="1">IFERROR(VLOOKUP($J179,Ref!$B$7:$C$9,2),"")</f>
        <v>Valid Age</v>
      </c>
      <c r="L179" s="55" t="s">
        <v>85</v>
      </c>
      <c r="M179" s="34"/>
      <c r="N179" s="34" t="s">
        <v>1134</v>
      </c>
      <c r="O179" s="34" t="s">
        <v>99</v>
      </c>
      <c r="P179" s="34" t="s">
        <v>1163</v>
      </c>
      <c r="Q179" s="34" t="s">
        <v>127</v>
      </c>
      <c r="R179" s="34" t="s">
        <v>1176</v>
      </c>
      <c r="S179" s="43">
        <v>44513</v>
      </c>
      <c r="T179" s="43" t="s">
        <v>1177</v>
      </c>
      <c r="U179" s="43" t="s">
        <v>1168</v>
      </c>
      <c r="V179" s="58">
        <v>782711690</v>
      </c>
      <c r="W179" s="34"/>
      <c r="X179" s="34" t="s">
        <v>1254</v>
      </c>
    </row>
    <row r="180" spans="1:24" x14ac:dyDescent="0.2">
      <c r="A180" s="132">
        <v>174</v>
      </c>
      <c r="B180" s="43">
        <v>44415</v>
      </c>
      <c r="C180" s="34" t="s">
        <v>1105</v>
      </c>
      <c r="D180" s="40" t="str">
        <f t="shared" si="4"/>
        <v>2002000174</v>
      </c>
      <c r="E180" s="34" t="s">
        <v>82</v>
      </c>
      <c r="F180" s="52">
        <v>777665365</v>
      </c>
      <c r="G180" s="34"/>
      <c r="H180" s="34" t="s">
        <v>83</v>
      </c>
      <c r="I180" s="278">
        <v>33608</v>
      </c>
      <c r="J180" s="50">
        <f t="shared" ca="1" si="5"/>
        <v>31.723287671232878</v>
      </c>
      <c r="K180" s="50" t="str">
        <f ca="1">IFERROR(VLOOKUP($J180,Ref!$B$7:$C$9,2),"")</f>
        <v>Valid Age</v>
      </c>
      <c r="L180" s="55" t="s">
        <v>85</v>
      </c>
      <c r="M180" s="34"/>
      <c r="N180" s="34" t="s">
        <v>1178</v>
      </c>
      <c r="O180" s="34" t="s">
        <v>1179</v>
      </c>
      <c r="P180" s="34" t="s">
        <v>1149</v>
      </c>
      <c r="Q180" s="34" t="s">
        <v>127</v>
      </c>
      <c r="R180" s="34" t="s">
        <v>1180</v>
      </c>
      <c r="S180" s="43">
        <v>45626</v>
      </c>
      <c r="T180" s="43" t="s">
        <v>1181</v>
      </c>
      <c r="U180" s="43" t="s">
        <v>198</v>
      </c>
      <c r="V180" s="58">
        <v>760137475</v>
      </c>
      <c r="W180" s="34"/>
      <c r="X180" s="34" t="s">
        <v>1254</v>
      </c>
    </row>
    <row r="181" spans="1:24" x14ac:dyDescent="0.2">
      <c r="A181" s="132">
        <v>175</v>
      </c>
      <c r="B181" s="43">
        <v>44417</v>
      </c>
      <c r="C181" s="34" t="s">
        <v>1106</v>
      </c>
      <c r="D181" s="40" t="str">
        <f t="shared" si="4"/>
        <v>2002000175</v>
      </c>
      <c r="E181" s="34" t="s">
        <v>82</v>
      </c>
      <c r="F181" s="52">
        <v>788651678</v>
      </c>
      <c r="G181" s="34"/>
      <c r="H181" s="34" t="s">
        <v>84</v>
      </c>
      <c r="I181" s="278">
        <v>31095</v>
      </c>
      <c r="J181" s="50">
        <f t="shared" ca="1" si="5"/>
        <v>38.608219178082194</v>
      </c>
      <c r="K181" s="50" t="str">
        <f ca="1">IFERROR(VLOOKUP($J181,Ref!$B$7:$C$9,2),"")</f>
        <v>Valid Age</v>
      </c>
      <c r="L181" s="55" t="s">
        <v>85</v>
      </c>
      <c r="M181" s="34"/>
      <c r="N181" s="34" t="s">
        <v>1134</v>
      </c>
      <c r="O181" s="34" t="s">
        <v>370</v>
      </c>
      <c r="P181" s="34" t="s">
        <v>1157</v>
      </c>
      <c r="Q181" s="34" t="s">
        <v>127</v>
      </c>
      <c r="R181" s="34" t="s">
        <v>1182</v>
      </c>
      <c r="S181" s="43">
        <v>44371</v>
      </c>
      <c r="T181" s="43" t="s">
        <v>1183</v>
      </c>
      <c r="U181" s="43" t="s">
        <v>168</v>
      </c>
      <c r="V181" s="58">
        <v>788321366</v>
      </c>
      <c r="W181" s="34"/>
      <c r="X181" s="34" t="s">
        <v>1254</v>
      </c>
    </row>
    <row r="182" spans="1:24" x14ac:dyDescent="0.2">
      <c r="A182" s="132">
        <v>176</v>
      </c>
      <c r="B182" s="43">
        <v>44417</v>
      </c>
      <c r="C182" s="34" t="s">
        <v>1107</v>
      </c>
      <c r="D182" s="40" t="str">
        <f t="shared" si="4"/>
        <v>2002000176</v>
      </c>
      <c r="E182" s="34" t="s">
        <v>82</v>
      </c>
      <c r="F182" s="52">
        <v>774085216</v>
      </c>
      <c r="G182" s="34"/>
      <c r="H182" s="34" t="s">
        <v>84</v>
      </c>
      <c r="I182" s="278">
        <v>27516</v>
      </c>
      <c r="J182" s="50">
        <f t="shared" ca="1" si="5"/>
        <v>48.413698630136984</v>
      </c>
      <c r="K182" s="50" t="str">
        <f ca="1">IFERROR(VLOOKUP($J182,Ref!$B$7:$C$9,2),"")</f>
        <v>Valid Age</v>
      </c>
      <c r="L182" s="55" t="s">
        <v>85</v>
      </c>
      <c r="M182" s="34"/>
      <c r="N182" s="34" t="s">
        <v>1134</v>
      </c>
      <c r="O182" s="34" t="s">
        <v>1184</v>
      </c>
      <c r="P182" s="34" t="s">
        <v>1185</v>
      </c>
      <c r="Q182" s="34" t="s">
        <v>127</v>
      </c>
      <c r="R182" s="34" t="s">
        <v>1186</v>
      </c>
      <c r="S182" s="43">
        <v>45832</v>
      </c>
      <c r="T182" s="43" t="s">
        <v>1187</v>
      </c>
      <c r="U182" s="43" t="s">
        <v>163</v>
      </c>
      <c r="V182" s="58">
        <v>772642220</v>
      </c>
      <c r="W182" s="34"/>
      <c r="X182" s="34" t="s">
        <v>1254</v>
      </c>
    </row>
    <row r="183" spans="1:24" x14ac:dyDescent="0.2">
      <c r="A183" s="132">
        <v>177</v>
      </c>
      <c r="B183" s="43">
        <v>44417</v>
      </c>
      <c r="C183" s="34" t="s">
        <v>1108</v>
      </c>
      <c r="D183" s="40" t="str">
        <f t="shared" si="4"/>
        <v>2002000177</v>
      </c>
      <c r="E183" s="34" t="s">
        <v>82</v>
      </c>
      <c r="F183" s="52">
        <v>783258212</v>
      </c>
      <c r="G183" s="34"/>
      <c r="H183" s="34" t="s">
        <v>83</v>
      </c>
      <c r="I183" s="278">
        <v>31898</v>
      </c>
      <c r="J183" s="50">
        <f t="shared" ca="1" si="5"/>
        <v>36.408219178082192</v>
      </c>
      <c r="K183" s="50" t="str">
        <f ca="1">IFERROR(VLOOKUP($J183,Ref!$B$7:$C$9,2),"")</f>
        <v>Valid Age</v>
      </c>
      <c r="L183" s="55" t="s">
        <v>85</v>
      </c>
      <c r="M183" s="34"/>
      <c r="N183" s="34" t="s">
        <v>1188</v>
      </c>
      <c r="O183" s="34" t="s">
        <v>1189</v>
      </c>
      <c r="P183" s="34" t="s">
        <v>1150</v>
      </c>
      <c r="Q183" s="34" t="s">
        <v>127</v>
      </c>
      <c r="R183" s="34" t="s">
        <v>1190</v>
      </c>
      <c r="S183" s="43">
        <v>45843</v>
      </c>
      <c r="T183" s="43" t="s">
        <v>1191</v>
      </c>
      <c r="U183" s="43" t="s">
        <v>353</v>
      </c>
      <c r="V183" s="58" t="s">
        <v>90</v>
      </c>
      <c r="W183" s="34"/>
      <c r="X183" s="34" t="s">
        <v>1254</v>
      </c>
    </row>
    <row r="184" spans="1:24" x14ac:dyDescent="0.2">
      <c r="A184" s="132">
        <v>178</v>
      </c>
      <c r="B184" s="43">
        <v>44417</v>
      </c>
      <c r="C184" s="34" t="s">
        <v>1109</v>
      </c>
      <c r="D184" s="40" t="str">
        <f t="shared" si="4"/>
        <v>2002000178</v>
      </c>
      <c r="E184" s="34" t="s">
        <v>82</v>
      </c>
      <c r="F184" s="52">
        <v>771931316</v>
      </c>
      <c r="G184" s="34"/>
      <c r="H184" s="34" t="s">
        <v>83</v>
      </c>
      <c r="I184" s="278">
        <v>32998</v>
      </c>
      <c r="J184" s="50">
        <f t="shared" ca="1" si="5"/>
        <v>33.394520547945206</v>
      </c>
      <c r="K184" s="50" t="str">
        <f ca="1">IFERROR(VLOOKUP($J184,Ref!$B$7:$C$9,2),"")</f>
        <v>Valid Age</v>
      </c>
      <c r="L184" s="55" t="s">
        <v>85</v>
      </c>
      <c r="M184" s="34"/>
      <c r="N184" s="34" t="s">
        <v>93</v>
      </c>
      <c r="O184" s="34" t="s">
        <v>1192</v>
      </c>
      <c r="P184" s="34" t="s">
        <v>1193</v>
      </c>
      <c r="Q184" s="34" t="s">
        <v>127</v>
      </c>
      <c r="R184" s="34" t="s">
        <v>1194</v>
      </c>
      <c r="S184" s="43">
        <v>45890</v>
      </c>
      <c r="T184" s="43" t="s">
        <v>1195</v>
      </c>
      <c r="U184" s="43" t="s">
        <v>163</v>
      </c>
      <c r="V184" s="58">
        <v>778826566</v>
      </c>
      <c r="W184" s="34"/>
      <c r="X184" s="34" t="s">
        <v>1254</v>
      </c>
    </row>
    <row r="185" spans="1:24" x14ac:dyDescent="0.2">
      <c r="A185" s="132">
        <v>179</v>
      </c>
      <c r="B185" s="43">
        <v>44418</v>
      </c>
      <c r="C185" s="34" t="s">
        <v>1110</v>
      </c>
      <c r="D185" s="40" t="str">
        <f t="shared" si="4"/>
        <v>2002000179</v>
      </c>
      <c r="E185" s="34" t="s">
        <v>82</v>
      </c>
      <c r="F185" s="52">
        <v>776740721</v>
      </c>
      <c r="G185" s="34"/>
      <c r="H185" s="34" t="s">
        <v>83</v>
      </c>
      <c r="I185" s="278">
        <v>34556</v>
      </c>
      <c r="J185" s="50">
        <f t="shared" ca="1" si="5"/>
        <v>29.126027397260273</v>
      </c>
      <c r="K185" s="50" t="str">
        <f ca="1">IFERROR(VLOOKUP($J185,Ref!$B$7:$C$9,2),"")</f>
        <v>Valid Age</v>
      </c>
      <c r="L185" s="55" t="s">
        <v>85</v>
      </c>
      <c r="M185" s="34"/>
      <c r="N185" s="34" t="s">
        <v>88</v>
      </c>
      <c r="O185" s="34" t="s">
        <v>1196</v>
      </c>
      <c r="P185" s="34" t="s">
        <v>1196</v>
      </c>
      <c r="Q185" s="34" t="s">
        <v>127</v>
      </c>
      <c r="R185" s="34" t="s">
        <v>1197</v>
      </c>
      <c r="S185" s="43">
        <v>45832</v>
      </c>
      <c r="T185" s="43" t="s">
        <v>1198</v>
      </c>
      <c r="U185" s="43" t="s">
        <v>184</v>
      </c>
      <c r="V185" s="58">
        <v>776740721</v>
      </c>
      <c r="W185" s="34"/>
      <c r="X185" s="34" t="s">
        <v>1254</v>
      </c>
    </row>
    <row r="186" spans="1:24" x14ac:dyDescent="0.2">
      <c r="A186" s="132">
        <v>180</v>
      </c>
      <c r="B186" s="43">
        <v>44418</v>
      </c>
      <c r="C186" s="34" t="s">
        <v>1111</v>
      </c>
      <c r="D186" s="40" t="str">
        <f t="shared" si="4"/>
        <v>2002000180</v>
      </c>
      <c r="E186" s="34" t="s">
        <v>82</v>
      </c>
      <c r="F186" s="52">
        <v>775888913</v>
      </c>
      <c r="G186" s="34"/>
      <c r="H186" s="34" t="s">
        <v>83</v>
      </c>
      <c r="I186" s="278">
        <v>26665</v>
      </c>
      <c r="J186" s="50">
        <f t="shared" ca="1" si="5"/>
        <v>50.745205479452054</v>
      </c>
      <c r="K186" s="50" t="str">
        <f ca="1">IFERROR(VLOOKUP($J186,Ref!$B$7:$C$9,2),"")</f>
        <v>Valid Age</v>
      </c>
      <c r="L186" s="55" t="s">
        <v>85</v>
      </c>
      <c r="M186" s="34"/>
      <c r="N186" s="34" t="s">
        <v>93</v>
      </c>
      <c r="O186" s="34" t="s">
        <v>1199</v>
      </c>
      <c r="P186" s="34" t="s">
        <v>1200</v>
      </c>
      <c r="Q186" s="34" t="s">
        <v>127</v>
      </c>
      <c r="R186" s="34" t="s">
        <v>1201</v>
      </c>
      <c r="S186" s="43">
        <v>45832</v>
      </c>
      <c r="T186" s="43" t="s">
        <v>1202</v>
      </c>
      <c r="U186" s="43" t="s">
        <v>163</v>
      </c>
      <c r="V186" s="58" t="s">
        <v>90</v>
      </c>
      <c r="W186" s="34"/>
      <c r="X186" s="34" t="s">
        <v>1254</v>
      </c>
    </row>
    <row r="187" spans="1:24" x14ac:dyDescent="0.2">
      <c r="A187" s="132">
        <v>181</v>
      </c>
      <c r="B187" s="43">
        <v>44418</v>
      </c>
      <c r="C187" s="34" t="s">
        <v>1112</v>
      </c>
      <c r="D187" s="40" t="str">
        <f t="shared" si="4"/>
        <v>2002000181</v>
      </c>
      <c r="E187" s="34" t="s">
        <v>82</v>
      </c>
      <c r="F187" s="52">
        <v>774704411</v>
      </c>
      <c r="G187" s="34"/>
      <c r="H187" s="34" t="s">
        <v>84</v>
      </c>
      <c r="I187" s="278">
        <v>34696</v>
      </c>
      <c r="J187" s="50">
        <f t="shared" ca="1" si="5"/>
        <v>28.742465753424657</v>
      </c>
      <c r="K187" s="50" t="str">
        <f ca="1">IFERROR(VLOOKUP($J187,Ref!$B$7:$C$9,2),"")</f>
        <v>Valid Age</v>
      </c>
      <c r="L187" s="55" t="s">
        <v>85</v>
      </c>
      <c r="M187" s="34"/>
      <c r="N187" s="34" t="s">
        <v>1134</v>
      </c>
      <c r="O187" s="34" t="s">
        <v>474</v>
      </c>
      <c r="P187" s="34" t="s">
        <v>474</v>
      </c>
      <c r="Q187" s="34" t="s">
        <v>127</v>
      </c>
      <c r="R187" s="34" t="s">
        <v>1203</v>
      </c>
      <c r="S187" s="43">
        <v>45909</v>
      </c>
      <c r="T187" s="43" t="s">
        <v>1204</v>
      </c>
      <c r="U187" s="43" t="s">
        <v>173</v>
      </c>
      <c r="V187" s="58">
        <v>778736967</v>
      </c>
      <c r="W187" s="34"/>
      <c r="X187" s="34" t="s">
        <v>1254</v>
      </c>
    </row>
    <row r="188" spans="1:24" x14ac:dyDescent="0.2">
      <c r="A188" s="132">
        <v>182</v>
      </c>
      <c r="B188" s="43">
        <v>44419</v>
      </c>
      <c r="C188" s="34" t="s">
        <v>1113</v>
      </c>
      <c r="D188" s="40" t="str">
        <f t="shared" si="4"/>
        <v>2002000182</v>
      </c>
      <c r="E188" s="34" t="s">
        <v>82</v>
      </c>
      <c r="F188" s="52"/>
      <c r="G188" s="34"/>
      <c r="H188" s="34" t="s">
        <v>84</v>
      </c>
      <c r="I188" s="278">
        <v>31610</v>
      </c>
      <c r="J188" s="50">
        <f t="shared" ca="1" si="5"/>
        <v>37.197260273972603</v>
      </c>
      <c r="K188" s="50" t="str">
        <f ca="1">IFERROR(VLOOKUP($J188,Ref!$B$7:$C$9,2),"")</f>
        <v>Valid Age</v>
      </c>
      <c r="L188" s="55" t="s">
        <v>85</v>
      </c>
      <c r="M188" s="34"/>
      <c r="N188" s="34" t="s">
        <v>1134</v>
      </c>
      <c r="O188" s="34" t="s">
        <v>370</v>
      </c>
      <c r="P188" s="34" t="s">
        <v>1163</v>
      </c>
      <c r="Q188" s="34" t="s">
        <v>127</v>
      </c>
      <c r="R188" s="34" t="s">
        <v>1205</v>
      </c>
      <c r="S188" s="43">
        <v>45832</v>
      </c>
      <c r="T188" s="43" t="s">
        <v>1206</v>
      </c>
      <c r="U188" s="43" t="s">
        <v>163</v>
      </c>
      <c r="V188" s="58" t="s">
        <v>90</v>
      </c>
      <c r="W188" s="34"/>
      <c r="X188" s="34" t="s">
        <v>1254</v>
      </c>
    </row>
    <row r="189" spans="1:24" x14ac:dyDescent="0.2">
      <c r="A189" s="132">
        <v>183</v>
      </c>
      <c r="B189" s="43">
        <v>44420</v>
      </c>
      <c r="C189" s="34" t="s">
        <v>1114</v>
      </c>
      <c r="D189" s="40" t="str">
        <f t="shared" si="4"/>
        <v>2002000183</v>
      </c>
      <c r="E189" s="34" t="s">
        <v>82</v>
      </c>
      <c r="F189" s="52">
        <v>781501152</v>
      </c>
      <c r="G189" s="34"/>
      <c r="H189" s="34" t="s">
        <v>84</v>
      </c>
      <c r="I189" s="278">
        <v>28020</v>
      </c>
      <c r="J189" s="50">
        <f t="shared" ca="1" si="5"/>
        <v>47.032876712328765</v>
      </c>
      <c r="K189" s="50" t="str">
        <f ca="1">IFERROR(VLOOKUP($J189,Ref!$B$7:$C$9,2),"")</f>
        <v>Valid Age</v>
      </c>
      <c r="L189" s="55" t="s">
        <v>85</v>
      </c>
      <c r="M189" s="34"/>
      <c r="N189" s="34" t="s">
        <v>1134</v>
      </c>
      <c r="O189" s="34" t="s">
        <v>1207</v>
      </c>
      <c r="P189" s="34" t="s">
        <v>1208</v>
      </c>
      <c r="Q189" s="34" t="s">
        <v>127</v>
      </c>
      <c r="R189" s="34" t="s">
        <v>1209</v>
      </c>
      <c r="S189" s="43">
        <v>45467</v>
      </c>
      <c r="T189" s="43" t="s">
        <v>1210</v>
      </c>
      <c r="U189" s="43" t="s">
        <v>163</v>
      </c>
      <c r="V189" s="58">
        <v>781044369</v>
      </c>
      <c r="W189" s="34"/>
      <c r="X189" s="34" t="s">
        <v>1254</v>
      </c>
    </row>
    <row r="190" spans="1:24" x14ac:dyDescent="0.2">
      <c r="A190" s="132">
        <v>184</v>
      </c>
      <c r="B190" s="43">
        <v>44420</v>
      </c>
      <c r="C190" s="34" t="s">
        <v>1115</v>
      </c>
      <c r="D190" s="40" t="str">
        <f t="shared" si="4"/>
        <v>2002000184</v>
      </c>
      <c r="E190" s="34" t="s">
        <v>82</v>
      </c>
      <c r="F190" s="52">
        <v>784437253</v>
      </c>
      <c r="G190" s="34"/>
      <c r="H190" s="34" t="s">
        <v>84</v>
      </c>
      <c r="I190" s="278">
        <v>29445</v>
      </c>
      <c r="J190" s="50">
        <f t="shared" ca="1" si="5"/>
        <v>43.128767123287673</v>
      </c>
      <c r="K190" s="50" t="str">
        <f ca="1">IFERROR(VLOOKUP($J190,Ref!$B$7:$C$9,2),"")</f>
        <v>Valid Age</v>
      </c>
      <c r="L190" s="55" t="s">
        <v>85</v>
      </c>
      <c r="M190" s="34"/>
      <c r="N190" s="34" t="s">
        <v>1134</v>
      </c>
      <c r="O190" s="34" t="s">
        <v>370</v>
      </c>
      <c r="P190" s="34" t="s">
        <v>1157</v>
      </c>
      <c r="Q190" s="34" t="s">
        <v>127</v>
      </c>
      <c r="R190" s="34" t="s">
        <v>1211</v>
      </c>
      <c r="S190" s="43">
        <v>45832</v>
      </c>
      <c r="T190" s="43" t="s">
        <v>1212</v>
      </c>
      <c r="U190" s="43" t="s">
        <v>163</v>
      </c>
      <c r="V190" s="58" t="s">
        <v>90</v>
      </c>
      <c r="W190" s="34"/>
      <c r="X190" s="34" t="s">
        <v>1254</v>
      </c>
    </row>
    <row r="191" spans="1:24" x14ac:dyDescent="0.2">
      <c r="A191" s="132">
        <v>185</v>
      </c>
      <c r="B191" s="43">
        <v>44424</v>
      </c>
      <c r="C191" s="34" t="s">
        <v>1116</v>
      </c>
      <c r="D191" s="40" t="str">
        <f t="shared" si="4"/>
        <v>2002000185</v>
      </c>
      <c r="E191" s="34" t="s">
        <v>82</v>
      </c>
      <c r="F191" s="52">
        <v>775325339</v>
      </c>
      <c r="G191" s="34"/>
      <c r="H191" s="34" t="s">
        <v>84</v>
      </c>
      <c r="I191" s="278">
        <v>30134</v>
      </c>
      <c r="J191" s="50">
        <f t="shared" ca="1" si="5"/>
        <v>41.241095890410961</v>
      </c>
      <c r="K191" s="50" t="str">
        <f ca="1">IFERROR(VLOOKUP($J191,Ref!$B$7:$C$9,2),"")</f>
        <v>Valid Age</v>
      </c>
      <c r="L191" s="55" t="s">
        <v>85</v>
      </c>
      <c r="M191" s="34"/>
      <c r="N191" s="34" t="s">
        <v>1134</v>
      </c>
      <c r="O191" s="34" t="s">
        <v>1207</v>
      </c>
      <c r="P191" s="34" t="s">
        <v>1213</v>
      </c>
      <c r="Q191" s="34" t="s">
        <v>127</v>
      </c>
      <c r="R191" s="34" t="s">
        <v>1214</v>
      </c>
      <c r="S191" s="43">
        <v>45621</v>
      </c>
      <c r="T191" s="43" t="s">
        <v>1215</v>
      </c>
      <c r="U191" s="43" t="s">
        <v>163</v>
      </c>
      <c r="V191" s="58" t="s">
        <v>90</v>
      </c>
      <c r="W191" s="34"/>
      <c r="X191" s="34" t="s">
        <v>1254</v>
      </c>
    </row>
    <row r="192" spans="1:24" x14ac:dyDescent="0.2">
      <c r="A192" s="132">
        <v>186</v>
      </c>
      <c r="B192" s="43">
        <v>44424</v>
      </c>
      <c r="C192" s="34" t="s">
        <v>1117</v>
      </c>
      <c r="D192" s="40" t="str">
        <f t="shared" si="4"/>
        <v>2002000186</v>
      </c>
      <c r="E192" s="34" t="s">
        <v>82</v>
      </c>
      <c r="F192" s="52">
        <v>778962096</v>
      </c>
      <c r="G192" s="34"/>
      <c r="H192" s="34" t="s">
        <v>83</v>
      </c>
      <c r="I192" s="278">
        <v>33722</v>
      </c>
      <c r="J192" s="50">
        <f t="shared" ca="1" si="5"/>
        <v>31.410958904109588</v>
      </c>
      <c r="K192" s="50" t="str">
        <f ca="1">IFERROR(VLOOKUP($J192,Ref!$B$7:$C$9,2),"")</f>
        <v>Valid Age</v>
      </c>
      <c r="L192" s="55" t="s">
        <v>86</v>
      </c>
      <c r="M192" s="34"/>
      <c r="N192" s="34" t="s">
        <v>1188</v>
      </c>
      <c r="O192" s="34" t="s">
        <v>1138</v>
      </c>
      <c r="P192" s="34" t="s">
        <v>1216</v>
      </c>
      <c r="Q192" s="34" t="s">
        <v>127</v>
      </c>
      <c r="R192" s="34" t="s">
        <v>1217</v>
      </c>
      <c r="S192" s="43">
        <v>45609</v>
      </c>
      <c r="T192" s="43" t="s">
        <v>1218</v>
      </c>
      <c r="U192" s="43" t="s">
        <v>1168</v>
      </c>
      <c r="V192" s="58">
        <v>782667177</v>
      </c>
      <c r="W192" s="34"/>
      <c r="X192" s="34" t="s">
        <v>1254</v>
      </c>
    </row>
    <row r="193" spans="1:24" x14ac:dyDescent="0.2">
      <c r="A193" s="132">
        <v>187</v>
      </c>
      <c r="B193" s="43">
        <v>44425</v>
      </c>
      <c r="C193" s="34" t="s">
        <v>1118</v>
      </c>
      <c r="D193" s="40" t="str">
        <f t="shared" si="4"/>
        <v>2002000187</v>
      </c>
      <c r="E193" s="34" t="s">
        <v>82</v>
      </c>
      <c r="F193" s="52">
        <v>774565525</v>
      </c>
      <c r="G193" s="34"/>
      <c r="H193" s="34" t="s">
        <v>84</v>
      </c>
      <c r="I193" s="278">
        <v>32982</v>
      </c>
      <c r="J193" s="50">
        <f t="shared" ca="1" si="5"/>
        <v>33.438356164383563</v>
      </c>
      <c r="K193" s="50" t="str">
        <f ca="1">IFERROR(VLOOKUP($J193,Ref!$B$7:$C$9,2),"")</f>
        <v>Valid Age</v>
      </c>
      <c r="L193" s="55" t="s">
        <v>85</v>
      </c>
      <c r="M193" s="34"/>
      <c r="N193" s="34" t="s">
        <v>1134</v>
      </c>
      <c r="O193" s="34" t="s">
        <v>339</v>
      </c>
      <c r="P193" s="34" t="s">
        <v>124</v>
      </c>
      <c r="Q193" s="34" t="s">
        <v>127</v>
      </c>
      <c r="R193" s="34" t="s">
        <v>1219</v>
      </c>
      <c r="S193" s="43">
        <v>45832</v>
      </c>
      <c r="T193" s="43" t="s">
        <v>1220</v>
      </c>
      <c r="U193" s="43" t="s">
        <v>1168</v>
      </c>
      <c r="V193" s="58" t="s">
        <v>90</v>
      </c>
      <c r="W193" s="34"/>
      <c r="X193" s="34" t="s">
        <v>1254</v>
      </c>
    </row>
    <row r="194" spans="1:24" x14ac:dyDescent="0.2">
      <c r="A194" s="132">
        <v>188</v>
      </c>
      <c r="B194" s="43">
        <v>44425</v>
      </c>
      <c r="C194" s="34" t="s">
        <v>1119</v>
      </c>
      <c r="D194" s="40" t="str">
        <f t="shared" si="4"/>
        <v>2002000188</v>
      </c>
      <c r="E194" s="34" t="s">
        <v>82</v>
      </c>
      <c r="F194" s="52">
        <v>773556773</v>
      </c>
      <c r="G194" s="34"/>
      <c r="H194" s="34" t="s">
        <v>84</v>
      </c>
      <c r="I194" s="278">
        <v>30743</v>
      </c>
      <c r="J194" s="50">
        <f t="shared" ca="1" si="5"/>
        <v>39.57260273972603</v>
      </c>
      <c r="K194" s="50" t="str">
        <f ca="1">IFERROR(VLOOKUP($J194,Ref!$B$7:$C$9,2),"")</f>
        <v>Valid Age</v>
      </c>
      <c r="L194" s="55" t="s">
        <v>85</v>
      </c>
      <c r="M194" s="34"/>
      <c r="N194" s="34" t="s">
        <v>1134</v>
      </c>
      <c r="O194" s="34" t="s">
        <v>1221</v>
      </c>
      <c r="P194" s="34" t="s">
        <v>1150</v>
      </c>
      <c r="Q194" s="34" t="s">
        <v>127</v>
      </c>
      <c r="R194" s="34" t="s">
        <v>1222</v>
      </c>
      <c r="S194" s="43">
        <v>45833</v>
      </c>
      <c r="T194" s="43" t="s">
        <v>1223</v>
      </c>
      <c r="U194" s="43" t="s">
        <v>163</v>
      </c>
      <c r="V194" s="58" t="s">
        <v>90</v>
      </c>
      <c r="W194" s="34"/>
      <c r="X194" s="34" t="s">
        <v>1254</v>
      </c>
    </row>
    <row r="195" spans="1:24" x14ac:dyDescent="0.2">
      <c r="A195" s="132">
        <v>189</v>
      </c>
      <c r="B195" s="43">
        <v>44426</v>
      </c>
      <c r="C195" s="34" t="s">
        <v>1120</v>
      </c>
      <c r="D195" s="40" t="str">
        <f t="shared" si="4"/>
        <v>2002000189</v>
      </c>
      <c r="E195" s="34" t="s">
        <v>82</v>
      </c>
      <c r="F195" s="52">
        <v>788605788</v>
      </c>
      <c r="G195" s="34"/>
      <c r="H195" s="34" t="s">
        <v>84</v>
      </c>
      <c r="I195" s="278">
        <v>33666</v>
      </c>
      <c r="J195" s="50">
        <f t="shared" ca="1" si="5"/>
        <v>31.564383561643837</v>
      </c>
      <c r="K195" s="50" t="str">
        <f ca="1">IFERROR(VLOOKUP($J195,Ref!$B$7:$C$9,2),"")</f>
        <v>Valid Age</v>
      </c>
      <c r="L195" s="55" t="s">
        <v>85</v>
      </c>
      <c r="M195" s="34"/>
      <c r="N195" s="34" t="s">
        <v>1134</v>
      </c>
      <c r="O195" s="34" t="s">
        <v>1224</v>
      </c>
      <c r="P195" s="34" t="s">
        <v>1193</v>
      </c>
      <c r="Q195" s="34" t="s">
        <v>127</v>
      </c>
      <c r="R195" s="34" t="s">
        <v>1225</v>
      </c>
      <c r="S195" s="43">
        <v>45616</v>
      </c>
      <c r="T195" s="43" t="s">
        <v>1226</v>
      </c>
      <c r="U195" s="43" t="s">
        <v>163</v>
      </c>
      <c r="V195" s="58">
        <v>789258767</v>
      </c>
      <c r="W195" s="34"/>
      <c r="X195" s="34" t="s">
        <v>1254</v>
      </c>
    </row>
    <row r="196" spans="1:24" x14ac:dyDescent="0.2">
      <c r="A196" s="132">
        <v>190</v>
      </c>
      <c r="B196" s="43">
        <v>44426</v>
      </c>
      <c r="C196" s="34" t="s">
        <v>1121</v>
      </c>
      <c r="D196" s="40" t="str">
        <f t="shared" si="4"/>
        <v>2002000190</v>
      </c>
      <c r="E196" s="34" t="s">
        <v>82</v>
      </c>
      <c r="F196" s="52">
        <v>778833050</v>
      </c>
      <c r="G196" s="34"/>
      <c r="H196" s="34" t="s">
        <v>84</v>
      </c>
      <c r="I196" s="278">
        <v>29353</v>
      </c>
      <c r="J196" s="50">
        <f t="shared" ca="1" si="5"/>
        <v>43.38082191780822</v>
      </c>
      <c r="K196" s="50" t="str">
        <f ca="1">IFERROR(VLOOKUP($J196,Ref!$B$7:$C$9,2),"")</f>
        <v>Valid Age</v>
      </c>
      <c r="L196" s="55" t="s">
        <v>85</v>
      </c>
      <c r="M196" s="34"/>
      <c r="N196" s="34" t="s">
        <v>1134</v>
      </c>
      <c r="O196" s="34" t="s">
        <v>99</v>
      </c>
      <c r="P196" s="34" t="s">
        <v>404</v>
      </c>
      <c r="Q196" s="34" t="s">
        <v>127</v>
      </c>
      <c r="R196" s="34" t="s">
        <v>1227</v>
      </c>
      <c r="S196" s="43">
        <v>45832</v>
      </c>
      <c r="T196" s="43" t="s">
        <v>1228</v>
      </c>
      <c r="U196" s="43" t="s">
        <v>163</v>
      </c>
      <c r="V196" s="58" t="s">
        <v>90</v>
      </c>
      <c r="W196" s="34"/>
      <c r="X196" s="34"/>
    </row>
    <row r="197" spans="1:24" x14ac:dyDescent="0.2">
      <c r="A197" s="132">
        <v>191</v>
      </c>
      <c r="B197" s="43">
        <v>44426</v>
      </c>
      <c r="C197" s="34" t="s">
        <v>1122</v>
      </c>
      <c r="D197" s="40" t="str">
        <f t="shared" si="4"/>
        <v>2002000191</v>
      </c>
      <c r="E197" s="34" t="s">
        <v>82</v>
      </c>
      <c r="F197" s="52">
        <v>775096785</v>
      </c>
      <c r="G197" s="34"/>
      <c r="H197" s="34" t="s">
        <v>84</v>
      </c>
      <c r="I197" s="278"/>
      <c r="J197" s="50" t="str">
        <f t="shared" ca="1" si="5"/>
        <v/>
      </c>
      <c r="K197" s="50" t="str">
        <f ca="1">IFERROR(VLOOKUP($J197,Ref!$B$7:$C$9,2),"")</f>
        <v/>
      </c>
      <c r="L197" s="55" t="s">
        <v>85</v>
      </c>
      <c r="M197" s="34"/>
      <c r="N197" s="34" t="s">
        <v>1134</v>
      </c>
      <c r="O197" s="34" t="s">
        <v>1207</v>
      </c>
      <c r="P197" s="34" t="s">
        <v>1213</v>
      </c>
      <c r="Q197" s="34" t="s">
        <v>127</v>
      </c>
      <c r="R197" s="34"/>
      <c r="S197" s="43"/>
      <c r="T197" s="43" t="s">
        <v>1229</v>
      </c>
      <c r="U197" s="43" t="s">
        <v>184</v>
      </c>
      <c r="V197" s="58">
        <v>794313646</v>
      </c>
      <c r="W197" s="34"/>
      <c r="X197" s="34" t="s">
        <v>1255</v>
      </c>
    </row>
    <row r="198" spans="1:24" x14ac:dyDescent="0.2">
      <c r="A198" s="132">
        <v>192</v>
      </c>
      <c r="B198" s="43">
        <v>44426</v>
      </c>
      <c r="C198" s="34" t="s">
        <v>1123</v>
      </c>
      <c r="D198" s="40" t="str">
        <f t="shared" si="4"/>
        <v>2002000192</v>
      </c>
      <c r="E198" s="34" t="s">
        <v>82</v>
      </c>
      <c r="F198" s="52">
        <v>787668410</v>
      </c>
      <c r="G198" s="34"/>
      <c r="H198" s="34" t="s">
        <v>84</v>
      </c>
      <c r="I198" s="278">
        <v>29072</v>
      </c>
      <c r="J198" s="50">
        <f t="shared" ca="1" si="5"/>
        <v>44.150684931506852</v>
      </c>
      <c r="K198" s="50" t="str">
        <f ca="1">IFERROR(VLOOKUP($J198,Ref!$B$7:$C$9,2),"")</f>
        <v>Valid Age</v>
      </c>
      <c r="L198" s="55" t="s">
        <v>85</v>
      </c>
      <c r="M198" s="34"/>
      <c r="N198" s="34" t="s">
        <v>1134</v>
      </c>
      <c r="O198" s="34" t="s">
        <v>370</v>
      </c>
      <c r="P198" s="34" t="s">
        <v>489</v>
      </c>
      <c r="Q198" s="34" t="s">
        <v>127</v>
      </c>
      <c r="R198" s="34" t="s">
        <v>1230</v>
      </c>
      <c r="S198" s="43">
        <v>45832</v>
      </c>
      <c r="T198" s="43" t="s">
        <v>1231</v>
      </c>
      <c r="U198" s="43" t="s">
        <v>163</v>
      </c>
      <c r="V198" s="58" t="s">
        <v>90</v>
      </c>
      <c r="W198" s="34"/>
      <c r="X198" s="34"/>
    </row>
    <row r="199" spans="1:24" x14ac:dyDescent="0.2">
      <c r="A199" s="132">
        <v>193</v>
      </c>
      <c r="B199" s="43">
        <v>44426</v>
      </c>
      <c r="C199" s="34" t="s">
        <v>1124</v>
      </c>
      <c r="D199" s="40" t="str">
        <f t="shared" si="4"/>
        <v>2002000193</v>
      </c>
      <c r="E199" s="34" t="s">
        <v>82</v>
      </c>
      <c r="F199" s="52">
        <v>791343509</v>
      </c>
      <c r="G199" s="34"/>
      <c r="H199" s="34" t="s">
        <v>84</v>
      </c>
      <c r="I199" s="278">
        <v>26544</v>
      </c>
      <c r="J199" s="50">
        <f t="shared" ca="1" si="5"/>
        <v>51.076712328767123</v>
      </c>
      <c r="K199" s="50" t="str">
        <f ca="1">IFERROR(VLOOKUP($J199,Ref!$B$7:$C$9,2),"")</f>
        <v>Valid Age</v>
      </c>
      <c r="L199" s="55" t="s">
        <v>85</v>
      </c>
      <c r="M199" s="34"/>
      <c r="N199" s="34" t="s">
        <v>1134</v>
      </c>
      <c r="O199" s="34" t="s">
        <v>1232</v>
      </c>
      <c r="P199" s="34" t="s">
        <v>1185</v>
      </c>
      <c r="Q199" s="34" t="s">
        <v>127</v>
      </c>
      <c r="R199" s="34" t="s">
        <v>1233</v>
      </c>
      <c r="S199" s="43">
        <v>44371</v>
      </c>
      <c r="T199" s="43" t="s">
        <v>1234</v>
      </c>
      <c r="U199" s="43" t="s">
        <v>163</v>
      </c>
      <c r="V199" s="58" t="s">
        <v>90</v>
      </c>
      <c r="W199" s="34"/>
      <c r="X199" s="34"/>
    </row>
    <row r="200" spans="1:24" x14ac:dyDescent="0.2">
      <c r="A200" s="132">
        <v>194</v>
      </c>
      <c r="B200" s="43">
        <v>44428</v>
      </c>
      <c r="C200" s="34" t="s">
        <v>1125</v>
      </c>
      <c r="D200" s="40" t="str">
        <f t="shared" ref="D200:D263" si="6">IF(A200="","",LEFT($C$3,LEN($C$3)-LEN(A200))&amp;A200)</f>
        <v>2002000194</v>
      </c>
      <c r="E200" s="34" t="s">
        <v>82</v>
      </c>
      <c r="F200" s="52">
        <v>789257814</v>
      </c>
      <c r="G200" s="34"/>
      <c r="H200" s="34" t="s">
        <v>84</v>
      </c>
      <c r="I200" s="278">
        <v>34388</v>
      </c>
      <c r="J200" s="50">
        <f t="shared" ref="J200:J263" ca="1" si="7">IF(I200="","",(TODAY()-$I200)/365)</f>
        <v>29.586301369863012</v>
      </c>
      <c r="K200" s="50" t="str">
        <f ca="1">IFERROR(VLOOKUP($J200,Ref!$B$7:$C$9,2),"")</f>
        <v>Valid Age</v>
      </c>
      <c r="L200" s="55" t="s">
        <v>85</v>
      </c>
      <c r="M200" s="34"/>
      <c r="N200" s="34" t="s">
        <v>1134</v>
      </c>
      <c r="O200" s="34" t="s">
        <v>370</v>
      </c>
      <c r="P200" s="34" t="s">
        <v>1185</v>
      </c>
      <c r="Q200" s="34" t="s">
        <v>127</v>
      </c>
      <c r="R200" s="34" t="s">
        <v>1235</v>
      </c>
      <c r="S200" s="43">
        <v>45467</v>
      </c>
      <c r="T200" s="43" t="s">
        <v>1236</v>
      </c>
      <c r="U200" s="43" t="s">
        <v>173</v>
      </c>
      <c r="V200" s="58" t="s">
        <v>90</v>
      </c>
      <c r="W200" s="34"/>
      <c r="X200" s="34"/>
    </row>
    <row r="201" spans="1:24" x14ac:dyDescent="0.2">
      <c r="A201" s="132">
        <v>195</v>
      </c>
      <c r="B201" s="43">
        <v>44428</v>
      </c>
      <c r="C201" s="34" t="s">
        <v>1126</v>
      </c>
      <c r="D201" s="40" t="str">
        <f t="shared" si="6"/>
        <v>2002000195</v>
      </c>
      <c r="E201" s="34" t="s">
        <v>82</v>
      </c>
      <c r="F201" s="52">
        <v>774186334</v>
      </c>
      <c r="G201" s="34"/>
      <c r="H201" s="34" t="s">
        <v>83</v>
      </c>
      <c r="I201" s="278">
        <v>28858</v>
      </c>
      <c r="J201" s="50">
        <f t="shared" ca="1" si="7"/>
        <v>44.736986301369861</v>
      </c>
      <c r="K201" s="50" t="str">
        <f ca="1">IFERROR(VLOOKUP($J201,Ref!$B$7:$C$9,2),"")</f>
        <v>Valid Age</v>
      </c>
      <c r="L201" s="55" t="s">
        <v>85</v>
      </c>
      <c r="M201" s="34"/>
      <c r="N201" s="34" t="s">
        <v>1237</v>
      </c>
      <c r="O201" s="34" t="s">
        <v>474</v>
      </c>
      <c r="P201" s="34" t="s">
        <v>474</v>
      </c>
      <c r="Q201" s="34" t="s">
        <v>127</v>
      </c>
      <c r="R201" s="34" t="s">
        <v>1238</v>
      </c>
      <c r="S201" s="43">
        <v>45832</v>
      </c>
      <c r="T201" s="43" t="s">
        <v>1239</v>
      </c>
      <c r="U201" s="43" t="s">
        <v>171</v>
      </c>
      <c r="V201" s="58">
        <v>7774815228</v>
      </c>
      <c r="W201" s="34"/>
      <c r="X201" s="34"/>
    </row>
    <row r="202" spans="1:24" x14ac:dyDescent="0.2">
      <c r="A202" s="132">
        <v>196</v>
      </c>
      <c r="B202" s="43">
        <v>44431</v>
      </c>
      <c r="C202" s="34" t="s">
        <v>1127</v>
      </c>
      <c r="D202" s="40" t="str">
        <f t="shared" si="6"/>
        <v>2002000196</v>
      </c>
      <c r="E202" s="34" t="s">
        <v>82</v>
      </c>
      <c r="F202" s="52">
        <v>770712680</v>
      </c>
      <c r="G202" s="34"/>
      <c r="H202" s="34" t="s">
        <v>84</v>
      </c>
      <c r="I202" s="278">
        <v>31535</v>
      </c>
      <c r="J202" s="50">
        <f t="shared" ca="1" si="7"/>
        <v>37.402739726027399</v>
      </c>
      <c r="K202" s="50" t="str">
        <f ca="1">IFERROR(VLOOKUP($J202,Ref!$B$7:$C$9,2),"")</f>
        <v>Valid Age</v>
      </c>
      <c r="L202" s="55" t="s">
        <v>85</v>
      </c>
      <c r="M202" s="34"/>
      <c r="N202" s="34" t="s">
        <v>1134</v>
      </c>
      <c r="O202" s="34" t="s">
        <v>1207</v>
      </c>
      <c r="P202" s="34" t="s">
        <v>1213</v>
      </c>
      <c r="Q202" s="34" t="s">
        <v>127</v>
      </c>
      <c r="R202" s="34" t="s">
        <v>1240</v>
      </c>
      <c r="S202" s="43">
        <v>45833</v>
      </c>
      <c r="T202" s="43" t="s">
        <v>1241</v>
      </c>
      <c r="U202" s="43" t="s">
        <v>168</v>
      </c>
      <c r="V202" s="58" t="s">
        <v>90</v>
      </c>
      <c r="W202" s="34"/>
      <c r="X202" s="34"/>
    </row>
    <row r="203" spans="1:24" x14ac:dyDescent="0.2">
      <c r="A203" s="132">
        <v>197</v>
      </c>
      <c r="B203" s="43">
        <v>44432</v>
      </c>
      <c r="C203" s="34" t="s">
        <v>1128</v>
      </c>
      <c r="D203" s="40" t="str">
        <f t="shared" si="6"/>
        <v>2002000197</v>
      </c>
      <c r="E203" s="34" t="s">
        <v>82</v>
      </c>
      <c r="F203" s="52">
        <v>777621894</v>
      </c>
      <c r="G203" s="34"/>
      <c r="H203" s="34" t="s">
        <v>84</v>
      </c>
      <c r="I203" s="278">
        <v>32022</v>
      </c>
      <c r="J203" s="50">
        <f t="shared" ca="1" si="7"/>
        <v>36.06849315068493</v>
      </c>
      <c r="K203" s="50" t="str">
        <f ca="1">IFERROR(VLOOKUP($J203,Ref!$B$7:$C$9,2),"")</f>
        <v>Valid Age</v>
      </c>
      <c r="L203" s="55" t="s">
        <v>85</v>
      </c>
      <c r="M203" s="34"/>
      <c r="N203" s="34" t="s">
        <v>1134</v>
      </c>
      <c r="O203" s="34" t="s">
        <v>125</v>
      </c>
      <c r="P203" s="34" t="s">
        <v>482</v>
      </c>
      <c r="Q203" s="34" t="s">
        <v>127</v>
      </c>
      <c r="R203" s="34" t="s">
        <v>1242</v>
      </c>
      <c r="S203" s="43">
        <v>45616</v>
      </c>
      <c r="T203" s="43" t="s">
        <v>1243</v>
      </c>
      <c r="U203" s="43" t="s">
        <v>181</v>
      </c>
      <c r="V203" s="58" t="s">
        <v>90</v>
      </c>
      <c r="W203" s="34"/>
      <c r="X203" s="34"/>
    </row>
    <row r="204" spans="1:24" x14ac:dyDescent="0.2">
      <c r="A204" s="132">
        <v>198</v>
      </c>
      <c r="B204" s="43">
        <v>44435</v>
      </c>
      <c r="C204" s="34" t="s">
        <v>1129</v>
      </c>
      <c r="D204" s="40" t="str">
        <f t="shared" si="6"/>
        <v>2002000198</v>
      </c>
      <c r="E204" s="34" t="s">
        <v>82</v>
      </c>
      <c r="F204" s="52">
        <v>782305844</v>
      </c>
      <c r="G204" s="34"/>
      <c r="H204" s="34" t="s">
        <v>83</v>
      </c>
      <c r="I204" s="278">
        <v>26613</v>
      </c>
      <c r="J204" s="50">
        <f t="shared" ca="1" si="7"/>
        <v>50.887671232876713</v>
      </c>
      <c r="K204" s="50" t="str">
        <f ca="1">IFERROR(VLOOKUP($J204,Ref!$B$7:$C$9,2),"")</f>
        <v>Valid Age</v>
      </c>
      <c r="L204" s="55" t="s">
        <v>85</v>
      </c>
      <c r="M204" s="34"/>
      <c r="N204" s="34" t="s">
        <v>1237</v>
      </c>
      <c r="O204" s="34" t="s">
        <v>370</v>
      </c>
      <c r="P204" s="34" t="s">
        <v>489</v>
      </c>
      <c r="Q204" s="34" t="s">
        <v>127</v>
      </c>
      <c r="R204" s="34" t="s">
        <v>1244</v>
      </c>
      <c r="S204" s="43">
        <v>45832</v>
      </c>
      <c r="T204" s="43" t="s">
        <v>194</v>
      </c>
      <c r="U204" s="43" t="s">
        <v>171</v>
      </c>
      <c r="V204" s="58">
        <v>777042134</v>
      </c>
      <c r="W204" s="34"/>
      <c r="X204" s="34" t="s">
        <v>1254</v>
      </c>
    </row>
    <row r="205" spans="1:24" x14ac:dyDescent="0.2">
      <c r="A205" s="132">
        <v>199</v>
      </c>
      <c r="B205" s="43">
        <v>44436</v>
      </c>
      <c r="C205" s="34" t="s">
        <v>1130</v>
      </c>
      <c r="D205" s="40" t="str">
        <f t="shared" si="6"/>
        <v>2002000199</v>
      </c>
      <c r="E205" s="34" t="s">
        <v>82</v>
      </c>
      <c r="F205" s="52">
        <v>787062741</v>
      </c>
      <c r="G205" s="34"/>
      <c r="H205" s="34" t="s">
        <v>83</v>
      </c>
      <c r="I205" s="278">
        <v>32039</v>
      </c>
      <c r="J205" s="50">
        <f t="shared" ca="1" si="7"/>
        <v>36.021917808219179</v>
      </c>
      <c r="K205" s="50" t="str">
        <f ca="1">IFERROR(VLOOKUP($J205,Ref!$B$7:$C$9,2),"")</f>
        <v>Valid Age</v>
      </c>
      <c r="L205" s="55" t="s">
        <v>85</v>
      </c>
      <c r="M205" s="34"/>
      <c r="N205" s="34" t="s">
        <v>1237</v>
      </c>
      <c r="O205" s="34" t="s">
        <v>99</v>
      </c>
      <c r="P205" s="34" t="s">
        <v>354</v>
      </c>
      <c r="Q205" s="34" t="s">
        <v>127</v>
      </c>
      <c r="R205" s="34" t="s">
        <v>1245</v>
      </c>
      <c r="S205" s="43">
        <v>45847</v>
      </c>
      <c r="T205" s="43" t="s">
        <v>1246</v>
      </c>
      <c r="U205" s="43" t="s">
        <v>171</v>
      </c>
      <c r="V205" s="58">
        <v>775219679</v>
      </c>
      <c r="W205" s="34"/>
      <c r="X205" s="34" t="s">
        <v>1254</v>
      </c>
    </row>
    <row r="206" spans="1:24" x14ac:dyDescent="0.2">
      <c r="A206" s="132">
        <v>200</v>
      </c>
      <c r="B206" s="43">
        <v>44436</v>
      </c>
      <c r="C206" s="34" t="s">
        <v>1131</v>
      </c>
      <c r="D206" s="40" t="str">
        <f t="shared" si="6"/>
        <v>2002000200</v>
      </c>
      <c r="E206" s="34" t="s">
        <v>82</v>
      </c>
      <c r="F206" s="52">
        <v>776490992</v>
      </c>
      <c r="G206" s="34">
        <v>793392822</v>
      </c>
      <c r="H206" s="34" t="s">
        <v>84</v>
      </c>
      <c r="I206" s="278">
        <v>32144</v>
      </c>
      <c r="J206" s="50">
        <f t="shared" ca="1" si="7"/>
        <v>35.734246575342468</v>
      </c>
      <c r="K206" s="50" t="str">
        <f ca="1">IFERROR(VLOOKUP($J206,Ref!$B$7:$C$9,2),"")</f>
        <v>Valid Age</v>
      </c>
      <c r="L206" s="55" t="s">
        <v>85</v>
      </c>
      <c r="M206" s="34"/>
      <c r="N206" s="34" t="s">
        <v>1134</v>
      </c>
      <c r="O206" s="34" t="s">
        <v>99</v>
      </c>
      <c r="P206" s="34"/>
      <c r="Q206" s="34" t="s">
        <v>127</v>
      </c>
      <c r="R206" s="34" t="s">
        <v>1247</v>
      </c>
      <c r="S206" s="43">
        <v>45833</v>
      </c>
      <c r="T206" s="43"/>
      <c r="U206" s="43"/>
      <c r="V206" s="58"/>
      <c r="W206" s="34"/>
      <c r="X206" s="34" t="s">
        <v>1256</v>
      </c>
    </row>
    <row r="207" spans="1:24" x14ac:dyDescent="0.2">
      <c r="A207" s="132">
        <v>201</v>
      </c>
      <c r="B207" s="43">
        <v>44438</v>
      </c>
      <c r="C207" s="34" t="s">
        <v>1132</v>
      </c>
      <c r="D207" s="40" t="str">
        <f t="shared" si="6"/>
        <v>2002000201</v>
      </c>
      <c r="E207" s="34" t="s">
        <v>82</v>
      </c>
      <c r="F207" s="52">
        <v>776209362</v>
      </c>
      <c r="G207" s="34"/>
      <c r="H207" s="34" t="s">
        <v>83</v>
      </c>
      <c r="I207" s="278">
        <v>31612</v>
      </c>
      <c r="J207" s="50">
        <f t="shared" ca="1" si="7"/>
        <v>37.19178082191781</v>
      </c>
      <c r="K207" s="50" t="str">
        <f ca="1">IFERROR(VLOOKUP($J207,Ref!$B$7:$C$9,2),"")</f>
        <v>Valid Age</v>
      </c>
      <c r="L207" s="55" t="s">
        <v>86</v>
      </c>
      <c r="M207" s="34"/>
      <c r="N207" s="34" t="s">
        <v>1188</v>
      </c>
      <c r="O207" s="34" t="s">
        <v>1248</v>
      </c>
      <c r="P207" s="34" t="s">
        <v>404</v>
      </c>
      <c r="Q207" s="34" t="s">
        <v>127</v>
      </c>
      <c r="R207" s="34" t="s">
        <v>1249</v>
      </c>
      <c r="S207" s="43">
        <v>45832</v>
      </c>
      <c r="T207" s="43" t="s">
        <v>1250</v>
      </c>
      <c r="U207" s="43" t="s">
        <v>163</v>
      </c>
      <c r="V207" s="58" t="s">
        <v>90</v>
      </c>
      <c r="W207" s="34"/>
      <c r="X207" s="34" t="s">
        <v>1257</v>
      </c>
    </row>
    <row r="208" spans="1:24" x14ac:dyDescent="0.2">
      <c r="A208" s="132">
        <v>202</v>
      </c>
      <c r="B208" s="43">
        <v>44439</v>
      </c>
      <c r="C208" s="34" t="s">
        <v>1133</v>
      </c>
      <c r="D208" s="40" t="str">
        <f t="shared" si="6"/>
        <v>2002000202</v>
      </c>
      <c r="E208" s="34" t="s">
        <v>82</v>
      </c>
      <c r="F208" s="52">
        <v>771218762</v>
      </c>
      <c r="G208" s="34"/>
      <c r="H208" s="34" t="s">
        <v>83</v>
      </c>
      <c r="I208" s="278">
        <v>34821</v>
      </c>
      <c r="J208" s="50">
        <f t="shared" ca="1" si="7"/>
        <v>28.4</v>
      </c>
      <c r="K208" s="50" t="str">
        <f ca="1">IFERROR(VLOOKUP($J208,Ref!$B$7:$C$9,2),"")</f>
        <v>Valid Age</v>
      </c>
      <c r="L208" s="55" t="s">
        <v>85</v>
      </c>
      <c r="M208" s="34"/>
      <c r="N208" s="34" t="s">
        <v>1251</v>
      </c>
      <c r="O208" s="34" t="s">
        <v>1224</v>
      </c>
      <c r="P208" s="34" t="s">
        <v>1193</v>
      </c>
      <c r="Q208" s="34" t="s">
        <v>127</v>
      </c>
      <c r="R208" s="34" t="s">
        <v>1252</v>
      </c>
      <c r="S208" s="43">
        <v>45833</v>
      </c>
      <c r="T208" s="43" t="s">
        <v>1253</v>
      </c>
      <c r="U208" s="43" t="s">
        <v>181</v>
      </c>
      <c r="V208" s="58">
        <v>771300234</v>
      </c>
      <c r="W208" s="34"/>
      <c r="X208" s="34" t="s">
        <v>1254</v>
      </c>
    </row>
    <row r="209" spans="1:24" x14ac:dyDescent="0.2">
      <c r="A209" s="132">
        <v>203</v>
      </c>
      <c r="B209" s="43">
        <v>44440</v>
      </c>
      <c r="C209" s="34" t="s">
        <v>1265</v>
      </c>
      <c r="D209" s="40" t="str">
        <f t="shared" si="6"/>
        <v>2002000203</v>
      </c>
      <c r="E209" s="34" t="s">
        <v>82</v>
      </c>
      <c r="F209" s="52">
        <v>771366069</v>
      </c>
      <c r="G209" s="34">
        <v>788445708</v>
      </c>
      <c r="H209" s="34" t="s">
        <v>83</v>
      </c>
      <c r="I209" s="278">
        <v>28045</v>
      </c>
      <c r="J209" s="50">
        <f t="shared" ca="1" si="7"/>
        <v>46.964383561643835</v>
      </c>
      <c r="K209" s="50" t="str">
        <f ca="1">IFERROR(VLOOKUP($J209,Ref!$B$7:$C$9,2),"")</f>
        <v>Valid Age</v>
      </c>
      <c r="L209" s="55" t="s">
        <v>85</v>
      </c>
      <c r="M209" s="34"/>
      <c r="N209" s="34" t="s">
        <v>1283</v>
      </c>
      <c r="O209" s="34" t="s">
        <v>1284</v>
      </c>
      <c r="P209" s="34" t="s">
        <v>1285</v>
      </c>
      <c r="Q209" s="34" t="s">
        <v>127</v>
      </c>
      <c r="R209" s="34" t="s">
        <v>1286</v>
      </c>
      <c r="S209" s="43"/>
      <c r="T209" s="43"/>
      <c r="U209" s="43"/>
      <c r="V209" s="58"/>
      <c r="W209" s="34"/>
      <c r="X209" s="34"/>
    </row>
    <row r="210" spans="1:24" x14ac:dyDescent="0.2">
      <c r="A210" s="132">
        <v>204</v>
      </c>
      <c r="B210" s="43">
        <v>44440</v>
      </c>
      <c r="C210" s="34" t="s">
        <v>1266</v>
      </c>
      <c r="D210" s="40" t="str">
        <f t="shared" si="6"/>
        <v>2002000204</v>
      </c>
      <c r="E210" s="34" t="s">
        <v>82</v>
      </c>
      <c r="F210" s="52">
        <v>773301020</v>
      </c>
      <c r="G210" s="34">
        <v>782907654</v>
      </c>
      <c r="H210" s="34" t="s">
        <v>83</v>
      </c>
      <c r="I210" s="278">
        <v>29487</v>
      </c>
      <c r="J210" s="50">
        <f t="shared" ca="1" si="7"/>
        <v>43.013698630136986</v>
      </c>
      <c r="K210" s="50" t="str">
        <f ca="1">IFERROR(VLOOKUP($J210,Ref!$B$7:$C$9,2),"")</f>
        <v>Valid Age</v>
      </c>
      <c r="L210" s="55" t="s">
        <v>85</v>
      </c>
      <c r="M210" s="34"/>
      <c r="N210" s="34" t="s">
        <v>1287</v>
      </c>
      <c r="O210" s="34" t="s">
        <v>1288</v>
      </c>
      <c r="P210" s="34" t="s">
        <v>1289</v>
      </c>
      <c r="Q210" s="34" t="s">
        <v>127</v>
      </c>
      <c r="R210" s="34" t="s">
        <v>1290</v>
      </c>
      <c r="S210" s="43"/>
      <c r="T210" s="43"/>
      <c r="U210" s="43"/>
      <c r="V210" s="58"/>
      <c r="W210" s="34"/>
      <c r="X210" s="34"/>
    </row>
    <row r="211" spans="1:24" x14ac:dyDescent="0.2">
      <c r="A211" s="132">
        <v>205</v>
      </c>
      <c r="B211" s="43">
        <v>44440</v>
      </c>
      <c r="C211" s="34" t="s">
        <v>1267</v>
      </c>
      <c r="D211" s="40" t="str">
        <f t="shared" si="6"/>
        <v>2002000205</v>
      </c>
      <c r="E211" s="34" t="s">
        <v>82</v>
      </c>
      <c r="F211" s="52"/>
      <c r="G211" s="34"/>
      <c r="H211" s="34" t="s">
        <v>84</v>
      </c>
      <c r="I211" s="278">
        <v>29495</v>
      </c>
      <c r="J211" s="50">
        <f t="shared" ca="1" si="7"/>
        <v>42.991780821917807</v>
      </c>
      <c r="K211" s="50" t="str">
        <f ca="1">IFERROR(VLOOKUP($J211,Ref!$B$7:$C$9,2),"")</f>
        <v>Valid Age</v>
      </c>
      <c r="L211" s="55" t="s">
        <v>85</v>
      </c>
      <c r="M211" s="34"/>
      <c r="N211" s="34" t="s">
        <v>522</v>
      </c>
      <c r="O211" s="34" t="s">
        <v>349</v>
      </c>
      <c r="P211" s="34" t="s">
        <v>467</v>
      </c>
      <c r="Q211" s="34" t="s">
        <v>127</v>
      </c>
      <c r="R211" s="34" t="s">
        <v>1291</v>
      </c>
      <c r="S211" s="43"/>
      <c r="T211" s="43"/>
      <c r="U211" s="43"/>
      <c r="V211" s="58"/>
      <c r="W211" s="34"/>
      <c r="X211" s="34"/>
    </row>
    <row r="212" spans="1:24" x14ac:dyDescent="0.2">
      <c r="A212" s="132">
        <v>206</v>
      </c>
      <c r="B212" s="43">
        <v>44440</v>
      </c>
      <c r="C212" s="34" t="s">
        <v>1268</v>
      </c>
      <c r="D212" s="40" t="str">
        <f t="shared" si="6"/>
        <v>2002000206</v>
      </c>
      <c r="E212" s="34" t="s">
        <v>82</v>
      </c>
      <c r="F212" s="52"/>
      <c r="G212" s="34"/>
      <c r="H212" s="34" t="s">
        <v>84</v>
      </c>
      <c r="I212" s="278">
        <v>25694</v>
      </c>
      <c r="J212" s="50">
        <f t="shared" ca="1" si="7"/>
        <v>53.405479452054792</v>
      </c>
      <c r="K212" s="50" t="str">
        <f ca="1">IFERROR(VLOOKUP($J212,Ref!$B$7:$C$9,2),"")</f>
        <v>Valid Age</v>
      </c>
      <c r="L212" s="55" t="s">
        <v>85</v>
      </c>
      <c r="M212" s="34"/>
      <c r="N212" s="34" t="s">
        <v>88</v>
      </c>
      <c r="O212" s="34" t="s">
        <v>118</v>
      </c>
      <c r="P212" s="34" t="s">
        <v>1292</v>
      </c>
      <c r="Q212" s="34" t="s">
        <v>127</v>
      </c>
      <c r="R212" s="34" t="s">
        <v>1293</v>
      </c>
      <c r="S212" s="43"/>
      <c r="T212" s="43"/>
      <c r="U212" s="43"/>
      <c r="V212" s="58"/>
      <c r="W212" s="34"/>
      <c r="X212" s="34"/>
    </row>
    <row r="213" spans="1:24" x14ac:dyDescent="0.2">
      <c r="A213" s="132">
        <v>207</v>
      </c>
      <c r="B213" s="43">
        <v>44440</v>
      </c>
      <c r="C213" s="34" t="s">
        <v>1269</v>
      </c>
      <c r="D213" s="40" t="str">
        <f t="shared" si="6"/>
        <v>2002000207</v>
      </c>
      <c r="E213" s="34" t="s">
        <v>82</v>
      </c>
      <c r="F213" s="52">
        <v>778119975</v>
      </c>
      <c r="G213" s="34"/>
      <c r="H213" s="34" t="s">
        <v>84</v>
      </c>
      <c r="I213" s="278">
        <v>33570</v>
      </c>
      <c r="J213" s="50">
        <f t="shared" ca="1" si="7"/>
        <v>31.827397260273973</v>
      </c>
      <c r="K213" s="50" t="str">
        <f ca="1">IFERROR(VLOOKUP($J213,Ref!$B$7:$C$9,2),"")</f>
        <v>Valid Age</v>
      </c>
      <c r="L213" s="55" t="s">
        <v>85</v>
      </c>
      <c r="M213" s="34"/>
      <c r="N213" s="34" t="s">
        <v>88</v>
      </c>
      <c r="O213" s="34" t="s">
        <v>1294</v>
      </c>
      <c r="P213" s="34" t="s">
        <v>1295</v>
      </c>
      <c r="Q213" s="34" t="s">
        <v>127</v>
      </c>
      <c r="R213" s="34" t="s">
        <v>1296</v>
      </c>
      <c r="S213" s="43"/>
      <c r="T213" s="43"/>
      <c r="U213" s="43"/>
      <c r="V213" s="58"/>
      <c r="W213" s="34"/>
      <c r="X213" s="34"/>
    </row>
    <row r="214" spans="1:24" x14ac:dyDescent="0.2">
      <c r="A214" s="132">
        <v>208</v>
      </c>
      <c r="B214" s="43">
        <v>44440</v>
      </c>
      <c r="C214" s="34" t="s">
        <v>1270</v>
      </c>
      <c r="D214" s="40" t="str">
        <f t="shared" si="6"/>
        <v>2002000208</v>
      </c>
      <c r="E214" s="34" t="s">
        <v>82</v>
      </c>
      <c r="F214" s="52">
        <v>778622393</v>
      </c>
      <c r="G214" s="34"/>
      <c r="H214" s="34" t="s">
        <v>84</v>
      </c>
      <c r="I214" s="278">
        <v>32733</v>
      </c>
      <c r="J214" s="50">
        <f t="shared" ca="1" si="7"/>
        <v>34.12054794520548</v>
      </c>
      <c r="K214" s="50" t="str">
        <f ca="1">IFERROR(VLOOKUP($J214,Ref!$B$7:$C$9,2),"")</f>
        <v>Valid Age</v>
      </c>
      <c r="L214" s="55" t="s">
        <v>85</v>
      </c>
      <c r="M214" s="34"/>
      <c r="N214" s="34" t="s">
        <v>88</v>
      </c>
      <c r="O214" s="34" t="s">
        <v>349</v>
      </c>
      <c r="P214" s="34" t="s">
        <v>350</v>
      </c>
      <c r="Q214" s="34" t="s">
        <v>127</v>
      </c>
      <c r="R214" s="34" t="s">
        <v>1297</v>
      </c>
      <c r="S214" s="43"/>
      <c r="T214" s="43"/>
      <c r="U214" s="43"/>
      <c r="V214" s="58"/>
      <c r="W214" s="34"/>
      <c r="X214" s="34"/>
    </row>
    <row r="215" spans="1:24" x14ac:dyDescent="0.2">
      <c r="A215" s="132">
        <v>209</v>
      </c>
      <c r="B215" s="43">
        <v>44441</v>
      </c>
      <c r="C215" s="34" t="s">
        <v>1271</v>
      </c>
      <c r="D215" s="40" t="str">
        <f t="shared" si="6"/>
        <v>2002000209</v>
      </c>
      <c r="E215" s="34" t="s">
        <v>82</v>
      </c>
      <c r="F215" s="52">
        <v>770339216</v>
      </c>
      <c r="G215" s="34"/>
      <c r="H215" s="34" t="s">
        <v>83</v>
      </c>
      <c r="I215" s="278">
        <v>35925</v>
      </c>
      <c r="J215" s="50">
        <f t="shared" ca="1" si="7"/>
        <v>25.375342465753423</v>
      </c>
      <c r="K215" s="50" t="str">
        <f ca="1">IFERROR(VLOOKUP($J215,Ref!$B$7:$C$9,2),"")</f>
        <v>Valid Age</v>
      </c>
      <c r="L215" s="55" t="s">
        <v>86</v>
      </c>
      <c r="M215" s="34"/>
      <c r="N215" s="34" t="s">
        <v>89</v>
      </c>
      <c r="O215" s="34" t="s">
        <v>1298</v>
      </c>
      <c r="P215" s="34" t="s">
        <v>1150</v>
      </c>
      <c r="Q215" s="34" t="s">
        <v>127</v>
      </c>
      <c r="R215" s="34" t="s">
        <v>1299</v>
      </c>
      <c r="S215" s="43"/>
      <c r="T215" s="43"/>
      <c r="U215" s="43"/>
      <c r="V215" s="58"/>
      <c r="W215" s="34"/>
      <c r="X215" s="34"/>
    </row>
    <row r="216" spans="1:24" x14ac:dyDescent="0.2">
      <c r="A216" s="132">
        <v>210</v>
      </c>
      <c r="B216" s="43">
        <v>44441</v>
      </c>
      <c r="C216" s="34" t="s">
        <v>1272</v>
      </c>
      <c r="D216" s="40" t="str">
        <f t="shared" si="6"/>
        <v>2002000210</v>
      </c>
      <c r="E216" s="34" t="s">
        <v>82</v>
      </c>
      <c r="F216" s="52">
        <v>772233537</v>
      </c>
      <c r="G216" s="34"/>
      <c r="H216" s="34" t="s">
        <v>84</v>
      </c>
      <c r="I216" s="278">
        <v>29721</v>
      </c>
      <c r="J216" s="50">
        <f t="shared" ca="1" si="7"/>
        <v>42.372602739726027</v>
      </c>
      <c r="K216" s="50" t="str">
        <f ca="1">IFERROR(VLOOKUP($J216,Ref!$B$7:$C$9,2),"")</f>
        <v>Valid Age</v>
      </c>
      <c r="L216" s="55" t="s">
        <v>85</v>
      </c>
      <c r="M216" s="34"/>
      <c r="N216" s="34" t="s">
        <v>522</v>
      </c>
      <c r="O216" s="34" t="s">
        <v>1298</v>
      </c>
      <c r="P216" s="34" t="s">
        <v>1150</v>
      </c>
      <c r="Q216" s="34" t="s">
        <v>127</v>
      </c>
      <c r="R216" s="34" t="s">
        <v>1300</v>
      </c>
      <c r="S216" s="43"/>
      <c r="T216" s="43"/>
      <c r="U216" s="43"/>
      <c r="V216" s="58"/>
      <c r="W216" s="34"/>
      <c r="X216" s="34"/>
    </row>
    <row r="217" spans="1:24" x14ac:dyDescent="0.2">
      <c r="A217" s="132">
        <v>211</v>
      </c>
      <c r="B217" s="43">
        <v>44441</v>
      </c>
      <c r="C217" s="34" t="s">
        <v>1273</v>
      </c>
      <c r="D217" s="40" t="str">
        <f t="shared" si="6"/>
        <v>2002000211</v>
      </c>
      <c r="E217" s="34" t="s">
        <v>82</v>
      </c>
      <c r="F217" s="52">
        <v>788922998</v>
      </c>
      <c r="G217" s="34"/>
      <c r="H217" s="34" t="s">
        <v>84</v>
      </c>
      <c r="I217" s="278">
        <v>26481</v>
      </c>
      <c r="J217" s="50">
        <f t="shared" ca="1" si="7"/>
        <v>51.249315068493154</v>
      </c>
      <c r="K217" s="50" t="str">
        <f ca="1">IFERROR(VLOOKUP($J217,Ref!$B$7:$C$9,2),"")</f>
        <v>Valid Age</v>
      </c>
      <c r="L217" s="55" t="s">
        <v>85</v>
      </c>
      <c r="M217" s="34"/>
      <c r="N217" s="34" t="s">
        <v>522</v>
      </c>
      <c r="O217" s="34" t="s">
        <v>1301</v>
      </c>
      <c r="P217" s="34" t="s">
        <v>1150</v>
      </c>
      <c r="Q217" s="34" t="s">
        <v>127</v>
      </c>
      <c r="R217" s="34" t="s">
        <v>1302</v>
      </c>
      <c r="S217" s="43"/>
      <c r="T217" s="43"/>
      <c r="U217" s="43"/>
      <c r="V217" s="58"/>
      <c r="W217" s="34"/>
      <c r="X217" s="34"/>
    </row>
    <row r="218" spans="1:24" x14ac:dyDescent="0.2">
      <c r="A218" s="132">
        <v>212</v>
      </c>
      <c r="B218" s="43">
        <v>44441</v>
      </c>
      <c r="C218" s="34" t="s">
        <v>1278</v>
      </c>
      <c r="D218" s="40" t="str">
        <f t="shared" si="6"/>
        <v>2002000212</v>
      </c>
      <c r="E218" s="34" t="s">
        <v>82</v>
      </c>
      <c r="F218" s="52">
        <v>789192628</v>
      </c>
      <c r="G218" s="34"/>
      <c r="H218" s="34" t="s">
        <v>83</v>
      </c>
      <c r="I218" s="278">
        <v>32379</v>
      </c>
      <c r="J218" s="50">
        <f t="shared" ca="1" si="7"/>
        <v>35.090410958904108</v>
      </c>
      <c r="K218" s="50" t="str">
        <f ca="1">IFERROR(VLOOKUP($J218,Ref!$B$7:$C$9,2),"")</f>
        <v>Valid Age</v>
      </c>
      <c r="L218" s="55" t="s">
        <v>85</v>
      </c>
      <c r="M218" s="34"/>
      <c r="N218" s="34" t="s">
        <v>1303</v>
      </c>
      <c r="O218" s="34" t="s">
        <v>1298</v>
      </c>
      <c r="P218" s="34" t="s">
        <v>1304</v>
      </c>
      <c r="Q218" s="34" t="s">
        <v>127</v>
      </c>
      <c r="R218" s="34" t="s">
        <v>1305</v>
      </c>
      <c r="S218" s="43"/>
      <c r="T218" s="43"/>
      <c r="U218" s="43"/>
      <c r="V218" s="58"/>
      <c r="W218" s="34"/>
      <c r="X218" s="34"/>
    </row>
    <row r="219" spans="1:24" x14ac:dyDescent="0.2">
      <c r="A219" s="132">
        <v>213</v>
      </c>
      <c r="B219" s="278">
        <v>44441</v>
      </c>
      <c r="C219" s="335" t="s">
        <v>1374</v>
      </c>
      <c r="D219" s="40" t="str">
        <f t="shared" si="6"/>
        <v>2002000213</v>
      </c>
      <c r="E219" s="34" t="s">
        <v>82</v>
      </c>
      <c r="F219" s="52">
        <v>770712706</v>
      </c>
      <c r="G219" s="336"/>
      <c r="H219" s="336" t="s">
        <v>84</v>
      </c>
      <c r="I219" s="278">
        <v>30449</v>
      </c>
      <c r="J219" s="50">
        <f t="shared" ca="1" si="7"/>
        <v>40.37808219178082</v>
      </c>
      <c r="K219" s="50" t="str">
        <f ca="1">IFERROR(VLOOKUP($J219,Ref!$B$7:$C$9,2),"")</f>
        <v>Valid Age</v>
      </c>
      <c r="L219" s="337" t="s">
        <v>85</v>
      </c>
      <c r="M219" s="34"/>
      <c r="N219" s="336" t="s">
        <v>1134</v>
      </c>
      <c r="O219" s="336" t="s">
        <v>99</v>
      </c>
      <c r="P219" s="336" t="s">
        <v>474</v>
      </c>
      <c r="Q219" s="336" t="s">
        <v>127</v>
      </c>
      <c r="R219" s="336" t="s">
        <v>1375</v>
      </c>
      <c r="S219" s="338"/>
      <c r="T219" s="43"/>
      <c r="U219" s="43"/>
      <c r="V219" s="58"/>
      <c r="W219" s="34"/>
      <c r="X219" s="34"/>
    </row>
    <row r="220" spans="1:24" x14ac:dyDescent="0.2">
      <c r="A220" s="132">
        <v>214</v>
      </c>
      <c r="B220" s="43">
        <v>44442</v>
      </c>
      <c r="C220" s="340" t="s">
        <v>1376</v>
      </c>
      <c r="D220" s="40" t="str">
        <f t="shared" si="6"/>
        <v>2002000214</v>
      </c>
      <c r="E220" s="34" t="s">
        <v>82</v>
      </c>
      <c r="F220" s="52">
        <v>777220486</v>
      </c>
      <c r="G220" s="340"/>
      <c r="H220" s="340" t="s">
        <v>84</v>
      </c>
      <c r="I220" s="278">
        <v>29209</v>
      </c>
      <c r="J220" s="50">
        <f t="shared" ca="1" si="7"/>
        <v>43.775342465753425</v>
      </c>
      <c r="K220" s="50" t="str">
        <f ca="1">IFERROR(VLOOKUP($J220,Ref!$B$7:$C$9,2),"")</f>
        <v>Valid Age</v>
      </c>
      <c r="L220" s="341" t="s">
        <v>85</v>
      </c>
      <c r="M220" s="34"/>
      <c r="N220" s="340" t="s">
        <v>1134</v>
      </c>
      <c r="O220" s="340" t="s">
        <v>1377</v>
      </c>
      <c r="P220" s="340" t="s">
        <v>1087</v>
      </c>
      <c r="Q220" s="340" t="s">
        <v>127</v>
      </c>
      <c r="R220" s="340" t="s">
        <v>1378</v>
      </c>
      <c r="S220" s="339">
        <v>45833</v>
      </c>
      <c r="T220" s="43"/>
      <c r="U220" s="43"/>
      <c r="V220" s="58"/>
      <c r="W220" s="34"/>
      <c r="X220" s="34"/>
    </row>
    <row r="221" spans="1:24" x14ac:dyDescent="0.2">
      <c r="A221" s="132">
        <v>215</v>
      </c>
      <c r="B221" s="43">
        <v>44445</v>
      </c>
      <c r="C221" s="340" t="s">
        <v>1379</v>
      </c>
      <c r="D221" s="40" t="str">
        <f t="shared" si="6"/>
        <v>2002000215</v>
      </c>
      <c r="E221" s="34" t="s">
        <v>82</v>
      </c>
      <c r="F221" s="52">
        <v>788277188</v>
      </c>
      <c r="G221" s="340">
        <v>791180665</v>
      </c>
      <c r="H221" s="340" t="s">
        <v>83</v>
      </c>
      <c r="I221" s="278">
        <v>31639</v>
      </c>
      <c r="J221" s="50">
        <f t="shared" ca="1" si="7"/>
        <v>37.11780821917808</v>
      </c>
      <c r="K221" s="50" t="str">
        <f ca="1">IFERROR(VLOOKUP($J221,Ref!$B$7:$C$9,2),"")</f>
        <v>Valid Age</v>
      </c>
      <c r="L221" s="341" t="s">
        <v>85</v>
      </c>
      <c r="M221" s="34"/>
      <c r="N221" s="340" t="s">
        <v>1380</v>
      </c>
      <c r="O221" s="340" t="s">
        <v>99</v>
      </c>
      <c r="P221" s="340" t="s">
        <v>1221</v>
      </c>
      <c r="Q221" s="340" t="s">
        <v>127</v>
      </c>
      <c r="R221" s="340" t="s">
        <v>1381</v>
      </c>
      <c r="S221" s="339"/>
      <c r="T221" s="43"/>
      <c r="U221" s="43"/>
      <c r="V221" s="58"/>
      <c r="W221" s="34"/>
      <c r="X221" s="34"/>
    </row>
    <row r="222" spans="1:24" x14ac:dyDescent="0.2">
      <c r="A222" s="132">
        <v>216</v>
      </c>
      <c r="B222" s="45">
        <v>44445</v>
      </c>
      <c r="C222" s="340" t="s">
        <v>1382</v>
      </c>
      <c r="D222" s="40" t="str">
        <f t="shared" si="6"/>
        <v>2002000216</v>
      </c>
      <c r="E222" s="34" t="s">
        <v>82</v>
      </c>
      <c r="F222" s="52">
        <v>772107047</v>
      </c>
      <c r="G222" s="340"/>
      <c r="H222" s="340" t="s">
        <v>83</v>
      </c>
      <c r="I222" s="278">
        <v>32264</v>
      </c>
      <c r="J222" s="50">
        <f t="shared" ca="1" si="7"/>
        <v>35.405479452054792</v>
      </c>
      <c r="K222" s="50" t="str">
        <f ca="1">IFERROR(VLOOKUP($J222,Ref!$B$7:$C$9,2),"")</f>
        <v>Valid Age</v>
      </c>
      <c r="L222" s="341" t="s">
        <v>85</v>
      </c>
      <c r="M222" s="34"/>
      <c r="N222" s="340" t="s">
        <v>1063</v>
      </c>
      <c r="O222" s="340" t="s">
        <v>1377</v>
      </c>
      <c r="P222" s="340" t="s">
        <v>1221</v>
      </c>
      <c r="Q222" s="340" t="s">
        <v>127</v>
      </c>
      <c r="R222" s="340" t="s">
        <v>1383</v>
      </c>
      <c r="S222" s="339"/>
      <c r="T222" s="43"/>
      <c r="U222" s="43"/>
      <c r="V222" s="58"/>
      <c r="W222" s="34"/>
      <c r="X222" s="34"/>
    </row>
    <row r="223" spans="1:24" x14ac:dyDescent="0.2">
      <c r="A223" s="132">
        <v>217</v>
      </c>
      <c r="B223" s="45">
        <v>44447</v>
      </c>
      <c r="C223" s="340" t="s">
        <v>1384</v>
      </c>
      <c r="D223" s="40" t="str">
        <f t="shared" si="6"/>
        <v>2002000217</v>
      </c>
      <c r="E223" s="34" t="s">
        <v>82</v>
      </c>
      <c r="F223" s="52">
        <v>772916396</v>
      </c>
      <c r="G223" s="340">
        <v>706205792</v>
      </c>
      <c r="H223" s="340" t="s">
        <v>83</v>
      </c>
      <c r="I223" s="278">
        <v>31646</v>
      </c>
      <c r="J223" s="50">
        <f t="shared" ca="1" si="7"/>
        <v>37.098630136986301</v>
      </c>
      <c r="K223" s="50" t="str">
        <f ca="1">IFERROR(VLOOKUP($J223,Ref!$B$7:$C$9,2),"")</f>
        <v>Valid Age</v>
      </c>
      <c r="L223" s="341" t="s">
        <v>85</v>
      </c>
      <c r="M223" s="34"/>
      <c r="N223" s="340" t="s">
        <v>1385</v>
      </c>
      <c r="O223" s="340" t="s">
        <v>99</v>
      </c>
      <c r="P223" s="340" t="s">
        <v>1386</v>
      </c>
      <c r="Q223" s="340" t="s">
        <v>127</v>
      </c>
      <c r="R223" s="340" t="s">
        <v>1387</v>
      </c>
      <c r="S223" s="339">
        <v>44372</v>
      </c>
      <c r="T223" s="43"/>
      <c r="U223" s="43"/>
      <c r="V223" s="58"/>
      <c r="W223" s="34"/>
      <c r="X223" s="34"/>
    </row>
    <row r="224" spans="1:24" x14ac:dyDescent="0.2">
      <c r="A224" s="132">
        <v>218</v>
      </c>
      <c r="B224" s="45">
        <v>44447</v>
      </c>
      <c r="C224" s="340" t="s">
        <v>1388</v>
      </c>
      <c r="D224" s="40" t="str">
        <f t="shared" si="6"/>
        <v>2002000218</v>
      </c>
      <c r="E224" s="34" t="s">
        <v>82</v>
      </c>
      <c r="F224" s="52">
        <v>788611645</v>
      </c>
      <c r="G224" s="340"/>
      <c r="H224" s="340" t="s">
        <v>83</v>
      </c>
      <c r="I224" s="278">
        <v>35554</v>
      </c>
      <c r="J224" s="50">
        <f t="shared" ca="1" si="7"/>
        <v>26.391780821917809</v>
      </c>
      <c r="K224" s="50" t="str">
        <f ca="1">IFERROR(VLOOKUP($J224,Ref!$B$7:$C$9,2),"")</f>
        <v>Valid Age</v>
      </c>
      <c r="L224" s="341" t="s">
        <v>85</v>
      </c>
      <c r="M224" s="34"/>
      <c r="N224" s="340" t="s">
        <v>1385</v>
      </c>
      <c r="O224" s="340" t="s">
        <v>1389</v>
      </c>
      <c r="P224" s="340" t="s">
        <v>1390</v>
      </c>
      <c r="Q224" s="340" t="s">
        <v>127</v>
      </c>
      <c r="R224" s="340" t="s">
        <v>1391</v>
      </c>
      <c r="S224" s="339">
        <v>44372</v>
      </c>
      <c r="T224" s="43"/>
      <c r="U224" s="43"/>
      <c r="V224" s="58"/>
      <c r="W224" s="34"/>
      <c r="X224" s="34"/>
    </row>
    <row r="225" spans="1:24" x14ac:dyDescent="0.2">
      <c r="A225" s="132">
        <v>219</v>
      </c>
      <c r="B225" s="45">
        <v>44448</v>
      </c>
      <c r="C225" s="340" t="s">
        <v>1392</v>
      </c>
      <c r="D225" s="40" t="str">
        <f t="shared" si="6"/>
        <v>2002000219</v>
      </c>
      <c r="E225" s="34" t="s">
        <v>82</v>
      </c>
      <c r="F225" s="52">
        <v>771893399</v>
      </c>
      <c r="G225" s="340"/>
      <c r="H225" s="340" t="s">
        <v>83</v>
      </c>
      <c r="I225" s="278">
        <v>32999</v>
      </c>
      <c r="J225" s="50">
        <f t="shared" ca="1" si="7"/>
        <v>33.391780821917806</v>
      </c>
      <c r="K225" s="50" t="str">
        <f ca="1">IFERROR(VLOOKUP($J225,Ref!$B$7:$C$9,2),"")</f>
        <v>Valid Age</v>
      </c>
      <c r="L225" s="341" t="s">
        <v>85</v>
      </c>
      <c r="M225" s="34"/>
      <c r="N225" s="340" t="s">
        <v>1134</v>
      </c>
      <c r="O225" s="340" t="s">
        <v>370</v>
      </c>
      <c r="P225" s="340" t="s">
        <v>371</v>
      </c>
      <c r="Q225" s="340" t="s">
        <v>127</v>
      </c>
      <c r="R225" s="340" t="s">
        <v>1393</v>
      </c>
      <c r="S225" s="339">
        <v>44368</v>
      </c>
      <c r="T225" s="43"/>
      <c r="U225" s="43"/>
      <c r="V225" s="58"/>
      <c r="W225" s="34"/>
      <c r="X225" s="34"/>
    </row>
    <row r="226" spans="1:24" x14ac:dyDescent="0.2">
      <c r="A226" s="132">
        <v>220</v>
      </c>
      <c r="B226" s="45">
        <v>44452</v>
      </c>
      <c r="C226" s="340" t="s">
        <v>1394</v>
      </c>
      <c r="D226" s="40" t="str">
        <f t="shared" si="6"/>
        <v>2002000220</v>
      </c>
      <c r="E226" s="34" t="s">
        <v>82</v>
      </c>
      <c r="F226" s="52">
        <v>772703431</v>
      </c>
      <c r="G226" s="340"/>
      <c r="H226" s="340" t="s">
        <v>83</v>
      </c>
      <c r="I226" s="278">
        <v>27327</v>
      </c>
      <c r="J226" s="50">
        <f t="shared" ca="1" si="7"/>
        <v>48.93150684931507</v>
      </c>
      <c r="K226" s="50" t="str">
        <f ca="1">IFERROR(VLOOKUP($J226,Ref!$B$7:$C$9,2),"")</f>
        <v>Valid Age</v>
      </c>
      <c r="L226" s="341" t="s">
        <v>85</v>
      </c>
      <c r="M226" s="34"/>
      <c r="N226" s="340" t="s">
        <v>1063</v>
      </c>
      <c r="O226" s="340" t="s">
        <v>1395</v>
      </c>
      <c r="P226" s="340" t="s">
        <v>1396</v>
      </c>
      <c r="Q226" s="340" t="s">
        <v>127</v>
      </c>
      <c r="R226" s="340" t="s">
        <v>1397</v>
      </c>
      <c r="S226" s="339"/>
      <c r="T226" s="43"/>
      <c r="U226" s="43"/>
      <c r="V226" s="58"/>
      <c r="W226" s="34"/>
      <c r="X226" s="34"/>
    </row>
    <row r="227" spans="1:24" x14ac:dyDescent="0.2">
      <c r="A227" s="132">
        <v>221</v>
      </c>
      <c r="B227" s="45">
        <v>44459</v>
      </c>
      <c r="C227" s="340" t="s">
        <v>1398</v>
      </c>
      <c r="D227" s="40" t="str">
        <f t="shared" si="6"/>
        <v>2002000221</v>
      </c>
      <c r="E227" s="34" t="s">
        <v>82</v>
      </c>
      <c r="F227" s="52">
        <v>789809419</v>
      </c>
      <c r="G227" s="340">
        <v>758350157</v>
      </c>
      <c r="H227" s="340" t="s">
        <v>84</v>
      </c>
      <c r="I227" s="278">
        <v>33298</v>
      </c>
      <c r="J227" s="50">
        <f t="shared" ca="1" si="7"/>
        <v>32.57260273972603</v>
      </c>
      <c r="K227" s="50" t="str">
        <f ca="1">IFERROR(VLOOKUP($J227,Ref!$B$7:$C$9,2),"")</f>
        <v>Valid Age</v>
      </c>
      <c r="L227" s="341" t="s">
        <v>85</v>
      </c>
      <c r="M227" s="34"/>
      <c r="N227" s="340" t="s">
        <v>1134</v>
      </c>
      <c r="O227" s="340" t="s">
        <v>1399</v>
      </c>
      <c r="P227" s="340" t="s">
        <v>1400</v>
      </c>
      <c r="Q227" s="340" t="s">
        <v>127</v>
      </c>
      <c r="R227" s="340" t="s">
        <v>1401</v>
      </c>
      <c r="S227" s="339"/>
      <c r="T227" s="43"/>
      <c r="U227" s="43"/>
      <c r="V227" s="58"/>
      <c r="W227" s="34"/>
      <c r="X227" s="34"/>
    </row>
    <row r="228" spans="1:24" x14ac:dyDescent="0.2">
      <c r="A228" s="132">
        <v>222</v>
      </c>
      <c r="B228" s="45">
        <v>44460</v>
      </c>
      <c r="C228" s="34" t="s">
        <v>1402</v>
      </c>
      <c r="D228" s="40" t="str">
        <f t="shared" si="6"/>
        <v>2002000222</v>
      </c>
      <c r="E228" s="34" t="s">
        <v>82</v>
      </c>
      <c r="F228" s="52">
        <v>789099733</v>
      </c>
      <c r="G228" s="34"/>
      <c r="H228" s="34" t="s">
        <v>84</v>
      </c>
      <c r="I228" s="278">
        <v>33239</v>
      </c>
      <c r="J228" s="50">
        <f t="shared" ca="1" si="7"/>
        <v>32.734246575342468</v>
      </c>
      <c r="K228" s="50" t="str">
        <f ca="1">IFERROR(VLOOKUP($J228,Ref!$B$7:$C$9,2),"")</f>
        <v>Valid Age</v>
      </c>
      <c r="L228" s="55" t="s">
        <v>85</v>
      </c>
      <c r="M228" s="34"/>
      <c r="N228" s="34" t="s">
        <v>88</v>
      </c>
      <c r="O228" s="34" t="s">
        <v>1087</v>
      </c>
      <c r="P228" s="34" t="s">
        <v>1403</v>
      </c>
      <c r="Q228" s="34" t="s">
        <v>127</v>
      </c>
      <c r="R228" s="34" t="s">
        <v>1404</v>
      </c>
      <c r="S228" s="43" t="s">
        <v>1405</v>
      </c>
      <c r="T228" s="43"/>
      <c r="U228" s="43"/>
      <c r="V228" s="58"/>
      <c r="W228" s="34"/>
      <c r="X228" s="34"/>
    </row>
    <row r="229" spans="1:24" x14ac:dyDescent="0.2">
      <c r="A229" s="132">
        <v>223</v>
      </c>
      <c r="B229" s="45">
        <v>44461</v>
      </c>
      <c r="C229" s="34" t="s">
        <v>1406</v>
      </c>
      <c r="D229" s="40" t="str">
        <f t="shared" si="6"/>
        <v>2002000223</v>
      </c>
      <c r="E229" s="34" t="s">
        <v>82</v>
      </c>
      <c r="F229" s="52">
        <v>776066058</v>
      </c>
      <c r="G229" s="34"/>
      <c r="H229" s="34" t="s">
        <v>83</v>
      </c>
      <c r="I229" s="278">
        <v>33239</v>
      </c>
      <c r="J229" s="50">
        <f t="shared" ca="1" si="7"/>
        <v>32.734246575342468</v>
      </c>
      <c r="K229" s="50" t="str">
        <f ca="1">IFERROR(VLOOKUP($J229,Ref!$B$7:$C$9,2),"")</f>
        <v>Valid Age</v>
      </c>
      <c r="L229" s="55" t="s">
        <v>85</v>
      </c>
      <c r="M229" s="34"/>
      <c r="N229" s="34" t="s">
        <v>89</v>
      </c>
      <c r="O229" s="34" t="s">
        <v>1407</v>
      </c>
      <c r="P229" s="34" t="s">
        <v>1408</v>
      </c>
      <c r="Q229" s="34" t="s">
        <v>127</v>
      </c>
      <c r="R229" s="34" t="s">
        <v>1409</v>
      </c>
      <c r="S229" s="43" t="s">
        <v>1405</v>
      </c>
      <c r="T229" s="43"/>
      <c r="U229" s="43"/>
      <c r="V229" s="58"/>
      <c r="W229" s="34"/>
      <c r="X229" s="34"/>
    </row>
    <row r="230" spans="1:24" x14ac:dyDescent="0.2">
      <c r="A230" s="132">
        <v>224</v>
      </c>
      <c r="B230" s="45">
        <v>44462</v>
      </c>
      <c r="C230" s="34" t="s">
        <v>1410</v>
      </c>
      <c r="D230" s="40" t="str">
        <f t="shared" si="6"/>
        <v>2002000224</v>
      </c>
      <c r="E230" s="34" t="s">
        <v>82</v>
      </c>
      <c r="F230" s="52">
        <v>393238327</v>
      </c>
      <c r="G230" s="34">
        <v>770775786</v>
      </c>
      <c r="H230" s="34" t="s">
        <v>83</v>
      </c>
      <c r="I230" s="278">
        <v>31425</v>
      </c>
      <c r="J230" s="50">
        <f t="shared" ca="1" si="7"/>
        <v>37.704109589041096</v>
      </c>
      <c r="K230" s="50" t="str">
        <f ca="1">IFERROR(VLOOKUP($J230,Ref!$B$7:$C$9,2),"")</f>
        <v>Valid Age</v>
      </c>
      <c r="L230" s="55" t="s">
        <v>85</v>
      </c>
      <c r="M230" s="34"/>
      <c r="N230" s="34" t="s">
        <v>1411</v>
      </c>
      <c r="O230" s="34" t="s">
        <v>1412</v>
      </c>
      <c r="P230" s="34" t="s">
        <v>1413</v>
      </c>
      <c r="Q230" s="34" t="s">
        <v>127</v>
      </c>
      <c r="R230" s="34" t="s">
        <v>1414</v>
      </c>
      <c r="S230" s="43" t="s">
        <v>1415</v>
      </c>
      <c r="T230" s="43"/>
      <c r="U230" s="43"/>
      <c r="V230" s="58"/>
      <c r="W230" s="34"/>
      <c r="X230" s="34"/>
    </row>
    <row r="231" spans="1:24" x14ac:dyDescent="0.2">
      <c r="A231" s="132">
        <v>225</v>
      </c>
      <c r="B231" s="45">
        <v>44463</v>
      </c>
      <c r="C231" s="34" t="s">
        <v>1416</v>
      </c>
      <c r="D231" s="40" t="str">
        <f t="shared" si="6"/>
        <v>2002000225</v>
      </c>
      <c r="E231" s="34" t="s">
        <v>82</v>
      </c>
      <c r="F231" s="52">
        <v>772992891</v>
      </c>
      <c r="G231" s="34"/>
      <c r="H231" s="34" t="s">
        <v>83</v>
      </c>
      <c r="I231" s="278">
        <v>31414</v>
      </c>
      <c r="J231" s="50">
        <f t="shared" ca="1" si="7"/>
        <v>37.734246575342468</v>
      </c>
      <c r="K231" s="50" t="str">
        <f ca="1">IFERROR(VLOOKUP($J231,Ref!$B$7:$C$9,2),"")</f>
        <v>Valid Age</v>
      </c>
      <c r="L231" s="55" t="s">
        <v>85</v>
      </c>
      <c r="M231" s="34"/>
      <c r="N231" s="34" t="s">
        <v>1411</v>
      </c>
      <c r="O231" s="34" t="s">
        <v>1417</v>
      </c>
      <c r="P231" s="34" t="s">
        <v>1418</v>
      </c>
      <c r="Q231" s="34" t="s">
        <v>127</v>
      </c>
      <c r="R231" s="34" t="s">
        <v>1419</v>
      </c>
      <c r="S231" s="43" t="s">
        <v>1405</v>
      </c>
      <c r="T231" s="43"/>
      <c r="U231" s="43"/>
      <c r="V231" s="58"/>
      <c r="W231" s="34"/>
      <c r="X231" s="34"/>
    </row>
    <row r="232" spans="1:24" x14ac:dyDescent="0.2">
      <c r="A232" s="132">
        <v>226</v>
      </c>
      <c r="B232" s="45">
        <v>44464</v>
      </c>
      <c r="C232" s="34" t="s">
        <v>1420</v>
      </c>
      <c r="D232" s="40" t="str">
        <f t="shared" si="6"/>
        <v>2002000226</v>
      </c>
      <c r="E232" s="34" t="s">
        <v>82</v>
      </c>
      <c r="F232" s="52">
        <v>780900575</v>
      </c>
      <c r="G232" s="34"/>
      <c r="H232" s="34" t="s">
        <v>84</v>
      </c>
      <c r="I232" s="278">
        <v>33443</v>
      </c>
      <c r="J232" s="50">
        <f t="shared" ca="1" si="7"/>
        <v>32.175342465753424</v>
      </c>
      <c r="K232" s="50" t="str">
        <f ca="1">IFERROR(VLOOKUP($J232,Ref!$B$7:$C$9,2),"")</f>
        <v>Valid Age</v>
      </c>
      <c r="L232" s="55" t="s">
        <v>85</v>
      </c>
      <c r="M232" s="34"/>
      <c r="N232" s="34" t="s">
        <v>93</v>
      </c>
      <c r="O232" s="34" t="s">
        <v>1421</v>
      </c>
      <c r="P232" s="34" t="s">
        <v>1421</v>
      </c>
      <c r="Q232" s="34" t="s">
        <v>127</v>
      </c>
      <c r="R232" s="34" t="s">
        <v>1422</v>
      </c>
      <c r="S232" s="43" t="s">
        <v>1405</v>
      </c>
      <c r="T232" s="43"/>
      <c r="U232" s="43"/>
      <c r="V232" s="58"/>
      <c r="W232" s="34"/>
      <c r="X232" s="34"/>
    </row>
    <row r="233" spans="1:24" x14ac:dyDescent="0.2">
      <c r="A233" s="343">
        <v>227</v>
      </c>
      <c r="B233" s="45">
        <v>44464</v>
      </c>
      <c r="C233" s="344" t="s">
        <v>1423</v>
      </c>
      <c r="D233" s="40" t="str">
        <f t="shared" si="6"/>
        <v>2002000227</v>
      </c>
      <c r="E233" s="345" t="s">
        <v>82</v>
      </c>
      <c r="F233" s="344">
        <v>773391460</v>
      </c>
      <c r="G233" s="345"/>
      <c r="H233" s="34" t="s">
        <v>83</v>
      </c>
      <c r="I233" s="278">
        <v>31573</v>
      </c>
      <c r="J233" s="50">
        <f t="shared" ca="1" si="7"/>
        <v>37.298630136986304</v>
      </c>
      <c r="K233" s="50" t="str">
        <f ca="1">IFERROR(VLOOKUP($J233,Ref!$B$7:$C$9,2),"")</f>
        <v>Valid Age</v>
      </c>
      <c r="L233" s="346" t="s">
        <v>85</v>
      </c>
      <c r="M233" s="345"/>
      <c r="N233" s="345" t="s">
        <v>1411</v>
      </c>
      <c r="O233" s="345" t="s">
        <v>326</v>
      </c>
      <c r="P233" s="345" t="s">
        <v>1400</v>
      </c>
      <c r="Q233" s="34" t="s">
        <v>127</v>
      </c>
      <c r="R233" s="345" t="s">
        <v>1424</v>
      </c>
      <c r="S233" s="43" t="s">
        <v>1425</v>
      </c>
      <c r="T233" s="347"/>
      <c r="U233" s="347"/>
      <c r="V233" s="343"/>
      <c r="W233" s="345"/>
      <c r="X233" s="345"/>
    </row>
    <row r="234" spans="1:24" x14ac:dyDescent="0.2">
      <c r="A234" s="343">
        <v>228</v>
      </c>
      <c r="B234" s="45">
        <v>44464</v>
      </c>
      <c r="C234" s="344" t="s">
        <v>1426</v>
      </c>
      <c r="D234" s="40" t="str">
        <f t="shared" si="6"/>
        <v>2002000228</v>
      </c>
      <c r="E234" s="345" t="s">
        <v>82</v>
      </c>
      <c r="F234" s="344">
        <v>786998088</v>
      </c>
      <c r="G234" s="345"/>
      <c r="H234" s="34" t="s">
        <v>83</v>
      </c>
      <c r="I234" s="278">
        <v>33146</v>
      </c>
      <c r="J234" s="50">
        <f t="shared" ca="1" si="7"/>
        <v>32.989041095890414</v>
      </c>
      <c r="K234" s="50" t="str">
        <f ca="1">IFERROR(VLOOKUP($J234,Ref!$B$7:$C$9,2),"")</f>
        <v>Valid Age</v>
      </c>
      <c r="L234" s="346" t="s">
        <v>85</v>
      </c>
      <c r="M234" s="345"/>
      <c r="N234" s="345" t="s">
        <v>1427</v>
      </c>
      <c r="O234" s="345" t="s">
        <v>459</v>
      </c>
      <c r="P234" s="345" t="s">
        <v>1428</v>
      </c>
      <c r="Q234" s="34" t="s">
        <v>127</v>
      </c>
      <c r="R234" s="345" t="s">
        <v>1429</v>
      </c>
      <c r="S234" s="43">
        <v>47881</v>
      </c>
      <c r="T234" s="347"/>
      <c r="U234" s="347"/>
      <c r="V234" s="343"/>
      <c r="W234" s="345"/>
      <c r="X234" s="345"/>
    </row>
    <row r="235" spans="1:24" x14ac:dyDescent="0.2">
      <c r="A235" s="343">
        <v>229</v>
      </c>
      <c r="B235" s="45">
        <v>44467</v>
      </c>
      <c r="C235" s="344" t="s">
        <v>1430</v>
      </c>
      <c r="D235" s="40" t="str">
        <f t="shared" si="6"/>
        <v>2002000229</v>
      </c>
      <c r="E235" s="345" t="s">
        <v>82</v>
      </c>
      <c r="F235" s="344">
        <v>787623404</v>
      </c>
      <c r="G235" s="345">
        <v>702144058</v>
      </c>
      <c r="H235" s="34" t="s">
        <v>84</v>
      </c>
      <c r="I235" s="278">
        <v>34199</v>
      </c>
      <c r="J235" s="50">
        <f t="shared" ca="1" si="7"/>
        <v>30.104109589041094</v>
      </c>
      <c r="K235" s="50" t="str">
        <f ca="1">IFERROR(VLOOKUP($J235,Ref!$B$7:$C$9,2),"")</f>
        <v>Valid Age</v>
      </c>
      <c r="L235" s="346" t="s">
        <v>85</v>
      </c>
      <c r="M235" s="345"/>
      <c r="N235" s="345" t="s">
        <v>1431</v>
      </c>
      <c r="O235" s="345" t="s">
        <v>1400</v>
      </c>
      <c r="P235" s="345" t="s">
        <v>1298</v>
      </c>
      <c r="Q235" s="34" t="s">
        <v>127</v>
      </c>
      <c r="R235" s="345" t="s">
        <v>1454</v>
      </c>
      <c r="S235" s="43" t="s">
        <v>1425</v>
      </c>
      <c r="T235" s="347"/>
      <c r="U235" s="347"/>
      <c r="V235" s="343"/>
      <c r="W235" s="345"/>
      <c r="X235" s="345"/>
    </row>
    <row r="236" spans="1:24" x14ac:dyDescent="0.2">
      <c r="A236" s="343">
        <v>230</v>
      </c>
      <c r="B236" s="45">
        <v>44468</v>
      </c>
      <c r="C236" s="344" t="s">
        <v>1450</v>
      </c>
      <c r="D236" s="40" t="str">
        <f t="shared" si="6"/>
        <v>2002000230</v>
      </c>
      <c r="E236" s="345" t="s">
        <v>82</v>
      </c>
      <c r="F236" s="344">
        <v>760771768</v>
      </c>
      <c r="G236" s="345"/>
      <c r="H236" s="34" t="s">
        <v>84</v>
      </c>
      <c r="I236" s="278">
        <v>36759</v>
      </c>
      <c r="J236" s="50">
        <f t="shared" ca="1" si="7"/>
        <v>23.090410958904108</v>
      </c>
      <c r="K236" s="50" t="str">
        <f ca="1">IFERROR(VLOOKUP($J236,Ref!$B$7:$C$9,2),"")</f>
        <v>Valid Age</v>
      </c>
      <c r="L236" s="346" t="s">
        <v>86</v>
      </c>
      <c r="M236" s="345"/>
      <c r="N236" s="345" t="s">
        <v>1451</v>
      </c>
      <c r="O236" s="345" t="s">
        <v>1452</v>
      </c>
      <c r="P236" s="345" t="s">
        <v>107</v>
      </c>
      <c r="Q236" s="34" t="s">
        <v>127</v>
      </c>
      <c r="R236" s="345" t="s">
        <v>1453</v>
      </c>
      <c r="S236" s="43">
        <v>47973</v>
      </c>
      <c r="T236" s="43"/>
      <c r="U236" s="347"/>
      <c r="V236" s="343"/>
      <c r="W236" s="345"/>
      <c r="X236" s="345"/>
    </row>
    <row r="237" spans="1:24" x14ac:dyDescent="0.2">
      <c r="A237" s="132">
        <v>231</v>
      </c>
      <c r="B237" s="45">
        <v>44468</v>
      </c>
      <c r="C237" s="34" t="s">
        <v>1455</v>
      </c>
      <c r="D237" s="40" t="str">
        <f t="shared" si="6"/>
        <v>2002000231</v>
      </c>
      <c r="E237" s="34" t="s">
        <v>82</v>
      </c>
      <c r="F237" s="52">
        <v>773270453</v>
      </c>
      <c r="G237" s="34"/>
      <c r="H237" s="34" t="s">
        <v>83</v>
      </c>
      <c r="I237" s="278">
        <v>35833</v>
      </c>
      <c r="J237" s="50">
        <f t="shared" ca="1" si="7"/>
        <v>25.627397260273973</v>
      </c>
      <c r="K237" s="50" t="str">
        <f ca="1">IFERROR(VLOOKUP($J237,Ref!$B$7:$C$9,2),"")</f>
        <v>Valid Age</v>
      </c>
      <c r="L237" s="55" t="s">
        <v>85</v>
      </c>
      <c r="M237" s="34"/>
      <c r="N237" s="34" t="s">
        <v>1411</v>
      </c>
      <c r="O237" s="34" t="s">
        <v>1184</v>
      </c>
      <c r="P237" s="34" t="s">
        <v>1456</v>
      </c>
      <c r="Q237" s="34" t="s">
        <v>127</v>
      </c>
      <c r="R237" s="34" t="s">
        <v>1457</v>
      </c>
      <c r="S237" s="43">
        <v>45832</v>
      </c>
      <c r="T237" s="43"/>
      <c r="U237" s="43"/>
      <c r="V237" s="58"/>
      <c r="W237" s="34"/>
      <c r="X237" s="34"/>
    </row>
    <row r="238" spans="1:24" x14ac:dyDescent="0.2">
      <c r="A238" s="132">
        <v>232</v>
      </c>
      <c r="B238" s="45">
        <v>44469</v>
      </c>
      <c r="C238" s="34" t="s">
        <v>1458</v>
      </c>
      <c r="D238" s="40" t="str">
        <f t="shared" si="6"/>
        <v>2002000232</v>
      </c>
      <c r="E238" s="34" t="s">
        <v>82</v>
      </c>
      <c r="F238" s="52">
        <v>789807058</v>
      </c>
      <c r="G238" s="34"/>
      <c r="H238" s="34" t="s">
        <v>83</v>
      </c>
      <c r="I238" s="278">
        <v>33977</v>
      </c>
      <c r="J238" s="50">
        <f t="shared" ca="1" si="7"/>
        <v>30.712328767123289</v>
      </c>
      <c r="K238" s="50" t="str">
        <f ca="1">IFERROR(VLOOKUP($J238,Ref!$B$7:$C$9,2),"")</f>
        <v>Valid Age</v>
      </c>
      <c r="L238" s="55" t="s">
        <v>85</v>
      </c>
      <c r="M238" s="34"/>
      <c r="N238" s="34" t="s">
        <v>1411</v>
      </c>
      <c r="O238" s="34" t="s">
        <v>1459</v>
      </c>
      <c r="P238" s="34" t="s">
        <v>1460</v>
      </c>
      <c r="Q238" s="34" t="s">
        <v>127</v>
      </c>
      <c r="R238" s="34" t="s">
        <v>1461</v>
      </c>
      <c r="S238" s="43">
        <v>45832</v>
      </c>
      <c r="T238" s="43"/>
      <c r="U238" s="43"/>
      <c r="V238" s="58"/>
      <c r="W238" s="34"/>
      <c r="X238" s="34"/>
    </row>
    <row r="239" spans="1:24" x14ac:dyDescent="0.2">
      <c r="A239" s="132">
        <v>233</v>
      </c>
      <c r="B239" s="45">
        <v>44469</v>
      </c>
      <c r="C239" s="34" t="s">
        <v>1462</v>
      </c>
      <c r="D239" s="40" t="str">
        <f t="shared" si="6"/>
        <v>2002000233</v>
      </c>
      <c r="E239" s="34" t="s">
        <v>82</v>
      </c>
      <c r="F239" s="52">
        <v>783864616</v>
      </c>
      <c r="G239" s="34"/>
      <c r="H239" s="34" t="s">
        <v>84</v>
      </c>
      <c r="I239" s="278">
        <v>32471</v>
      </c>
      <c r="J239" s="50">
        <f t="shared" ca="1" si="7"/>
        <v>34.838356164383562</v>
      </c>
      <c r="K239" s="50" t="str">
        <f ca="1">IFERROR(VLOOKUP($J239,Ref!$B$7:$C$9,2),"")</f>
        <v>Valid Age</v>
      </c>
      <c r="L239" s="55" t="s">
        <v>85</v>
      </c>
      <c r="M239" s="34"/>
      <c r="N239" s="34" t="s">
        <v>1451</v>
      </c>
      <c r="O239" s="34" t="s">
        <v>349</v>
      </c>
      <c r="P239" s="34" t="s">
        <v>317</v>
      </c>
      <c r="Q239" s="34" t="s">
        <v>127</v>
      </c>
      <c r="R239" s="34" t="s">
        <v>1463</v>
      </c>
      <c r="S239" s="43">
        <v>45832</v>
      </c>
      <c r="T239" s="43"/>
      <c r="U239" s="43"/>
      <c r="V239" s="58"/>
      <c r="W239" s="34"/>
      <c r="X239" s="34"/>
    </row>
    <row r="240" spans="1:24" x14ac:dyDescent="0.2">
      <c r="A240" s="132">
        <v>234</v>
      </c>
      <c r="B240" s="45">
        <v>44469</v>
      </c>
      <c r="C240" s="34" t="s">
        <v>1464</v>
      </c>
      <c r="D240" s="40" t="str">
        <f t="shared" si="6"/>
        <v>2002000234</v>
      </c>
      <c r="E240" s="34" t="s">
        <v>82</v>
      </c>
      <c r="F240" s="52">
        <v>772860101</v>
      </c>
      <c r="G240" s="34"/>
      <c r="H240" s="34" t="s">
        <v>83</v>
      </c>
      <c r="I240" s="278">
        <v>32205</v>
      </c>
      <c r="J240" s="50">
        <f t="shared" ca="1" si="7"/>
        <v>35.56712328767123</v>
      </c>
      <c r="K240" s="50" t="str">
        <f ca="1">IFERROR(VLOOKUP($J240,Ref!$B$7:$C$9,2),"")</f>
        <v>Valid Age</v>
      </c>
      <c r="L240" s="55" t="s">
        <v>85</v>
      </c>
      <c r="M240" s="34"/>
      <c r="N240" s="34" t="s">
        <v>1411</v>
      </c>
      <c r="O240" s="34" t="s">
        <v>1059</v>
      </c>
      <c r="P240" s="34" t="s">
        <v>1428</v>
      </c>
      <c r="Q240" s="34" t="s">
        <v>127</v>
      </c>
      <c r="R240" s="34" t="s">
        <v>1465</v>
      </c>
      <c r="S240" s="43">
        <v>45832</v>
      </c>
      <c r="T240" s="43"/>
      <c r="U240" s="43"/>
      <c r="V240" s="58"/>
      <c r="W240" s="34"/>
      <c r="X240" s="34"/>
    </row>
    <row r="241" spans="1:24" x14ac:dyDescent="0.2">
      <c r="A241" s="132">
        <v>235</v>
      </c>
      <c r="B241" s="342">
        <v>44470</v>
      </c>
      <c r="C241" s="34" t="s">
        <v>1466</v>
      </c>
      <c r="D241" s="40" t="str">
        <f t="shared" si="6"/>
        <v>2002000235</v>
      </c>
      <c r="E241" s="34" t="s">
        <v>82</v>
      </c>
      <c r="F241" s="52">
        <v>772868218</v>
      </c>
      <c r="G241" s="34"/>
      <c r="H241" s="34" t="s">
        <v>83</v>
      </c>
      <c r="I241" s="278">
        <v>27448</v>
      </c>
      <c r="J241" s="50">
        <f t="shared" ca="1" si="7"/>
        <v>48.6</v>
      </c>
      <c r="K241" s="50" t="str">
        <f ca="1">IFERROR(VLOOKUP($J241,Ref!$B$7:$C$9,2),"")</f>
        <v>Valid Age</v>
      </c>
      <c r="L241" s="55" t="s">
        <v>85</v>
      </c>
      <c r="M241" s="34"/>
      <c r="N241" s="34" t="s">
        <v>1467</v>
      </c>
      <c r="O241" s="34" t="s">
        <v>1468</v>
      </c>
      <c r="P241" s="34" t="s">
        <v>112</v>
      </c>
      <c r="Q241" s="34" t="s">
        <v>127</v>
      </c>
      <c r="R241" s="34" t="s">
        <v>1469</v>
      </c>
      <c r="S241" s="43">
        <v>45832</v>
      </c>
      <c r="T241" s="43"/>
      <c r="U241" s="43"/>
      <c r="V241" s="58"/>
      <c r="W241" s="34"/>
      <c r="X241" s="34"/>
    </row>
    <row r="242" spans="1:24" x14ac:dyDescent="0.2">
      <c r="A242" s="132">
        <v>236</v>
      </c>
      <c r="B242" s="342">
        <v>44470</v>
      </c>
      <c r="C242" s="34" t="s">
        <v>1470</v>
      </c>
      <c r="D242" s="40" t="str">
        <f t="shared" si="6"/>
        <v>2002000236</v>
      </c>
      <c r="E242" s="34" t="s">
        <v>82</v>
      </c>
      <c r="F242" s="52">
        <v>775799832</v>
      </c>
      <c r="G242" s="34"/>
      <c r="H242" s="34" t="s">
        <v>84</v>
      </c>
      <c r="I242" s="278">
        <v>23517</v>
      </c>
      <c r="J242" s="50">
        <f t="shared" ca="1" si="7"/>
        <v>59.369863013698627</v>
      </c>
      <c r="K242" s="50" t="str">
        <f ca="1">IFERROR(VLOOKUP($J242,Ref!$B$7:$C$9,2),"")</f>
        <v>Over Age</v>
      </c>
      <c r="L242" s="55" t="s">
        <v>85</v>
      </c>
      <c r="M242" s="34"/>
      <c r="N242" s="34" t="s">
        <v>1451</v>
      </c>
      <c r="O242" s="34" t="s">
        <v>1400</v>
      </c>
      <c r="P242" s="34" t="s">
        <v>98</v>
      </c>
      <c r="Q242" s="34" t="s">
        <v>127</v>
      </c>
      <c r="R242" s="34" t="s">
        <v>1471</v>
      </c>
      <c r="S242" s="43">
        <v>45832</v>
      </c>
      <c r="T242" s="43"/>
      <c r="U242" s="43"/>
      <c r="V242" s="58"/>
      <c r="W242" s="34"/>
      <c r="X242" s="34"/>
    </row>
    <row r="243" spans="1:24" x14ac:dyDescent="0.2">
      <c r="A243" s="132">
        <v>237</v>
      </c>
      <c r="B243" s="342">
        <v>44470</v>
      </c>
      <c r="C243" s="34" t="s">
        <v>1472</v>
      </c>
      <c r="D243" s="40" t="str">
        <f t="shared" si="6"/>
        <v>2002000237</v>
      </c>
      <c r="E243" s="34" t="s">
        <v>82</v>
      </c>
      <c r="F243" s="52">
        <v>781184342</v>
      </c>
      <c r="G243" s="34"/>
      <c r="H243" s="34" t="s">
        <v>83</v>
      </c>
      <c r="I243" s="278">
        <v>35723</v>
      </c>
      <c r="J243" s="50">
        <f t="shared" ca="1" si="7"/>
        <v>25.92876712328767</v>
      </c>
      <c r="K243" s="50" t="str">
        <f ca="1">IFERROR(VLOOKUP($J243,Ref!$B$7:$C$9,2),"")</f>
        <v>Valid Age</v>
      </c>
      <c r="L243" s="55" t="s">
        <v>86</v>
      </c>
      <c r="M243" s="34"/>
      <c r="N243" s="34" t="s">
        <v>1411</v>
      </c>
      <c r="O243" s="34" t="s">
        <v>1452</v>
      </c>
      <c r="P243" s="34" t="s">
        <v>1473</v>
      </c>
      <c r="Q243" s="34" t="s">
        <v>127</v>
      </c>
      <c r="R243" s="34" t="s">
        <v>1474</v>
      </c>
      <c r="S243" s="43">
        <v>45832</v>
      </c>
      <c r="T243" s="43"/>
      <c r="U243" s="43"/>
      <c r="V243" s="58"/>
      <c r="W243" s="34"/>
      <c r="X243" s="34"/>
    </row>
    <row r="244" spans="1:24" x14ac:dyDescent="0.2">
      <c r="A244" s="132">
        <v>238</v>
      </c>
      <c r="B244" s="342">
        <v>44471</v>
      </c>
      <c r="C244" s="34" t="s">
        <v>1475</v>
      </c>
      <c r="D244" s="40" t="str">
        <f t="shared" si="6"/>
        <v>2002000238</v>
      </c>
      <c r="E244" s="34" t="s">
        <v>82</v>
      </c>
      <c r="F244" s="52">
        <v>786195809</v>
      </c>
      <c r="G244" s="34"/>
      <c r="H244" s="34" t="s">
        <v>84</v>
      </c>
      <c r="I244" s="278">
        <v>30838</v>
      </c>
      <c r="J244" s="50">
        <f t="shared" ca="1" si="7"/>
        <v>39.31232876712329</v>
      </c>
      <c r="K244" s="50" t="str">
        <f ca="1">IFERROR(VLOOKUP($J244,Ref!$B$7:$C$9,2),"")</f>
        <v>Valid Age</v>
      </c>
      <c r="L244" s="55" t="s">
        <v>85</v>
      </c>
      <c r="M244" s="34"/>
      <c r="N244" s="34" t="s">
        <v>1451</v>
      </c>
      <c r="O244" s="34" t="s">
        <v>349</v>
      </c>
      <c r="P244" s="34" t="s">
        <v>1087</v>
      </c>
      <c r="Q244" s="34" t="s">
        <v>127</v>
      </c>
      <c r="R244" s="34" t="s">
        <v>1476</v>
      </c>
      <c r="S244" s="43">
        <v>45832</v>
      </c>
      <c r="T244" s="43"/>
      <c r="U244" s="43"/>
      <c r="V244" s="58"/>
      <c r="W244" s="34"/>
      <c r="X244" s="34"/>
    </row>
    <row r="245" spans="1:24" x14ac:dyDescent="0.2">
      <c r="A245" s="132">
        <v>239</v>
      </c>
      <c r="B245" s="342">
        <v>44474</v>
      </c>
      <c r="C245" s="34" t="s">
        <v>1477</v>
      </c>
      <c r="D245" s="40" t="str">
        <f t="shared" si="6"/>
        <v>2002000239</v>
      </c>
      <c r="E245" s="34" t="s">
        <v>82</v>
      </c>
      <c r="F245" s="52">
        <v>773890322</v>
      </c>
      <c r="G245" s="34"/>
      <c r="H245" s="34" t="s">
        <v>83</v>
      </c>
      <c r="I245" s="278">
        <v>29434</v>
      </c>
      <c r="J245" s="50">
        <f t="shared" ca="1" si="7"/>
        <v>43.158904109589038</v>
      </c>
      <c r="K245" s="50" t="str">
        <f ca="1">IFERROR(VLOOKUP($J245,Ref!$B$7:$C$9,2),"")</f>
        <v>Valid Age</v>
      </c>
      <c r="L245" s="55" t="s">
        <v>85</v>
      </c>
      <c r="M245" s="34"/>
      <c r="N245" s="34" t="s">
        <v>1411</v>
      </c>
      <c r="O245" s="34" t="s">
        <v>326</v>
      </c>
      <c r="P245" s="34" t="s">
        <v>1478</v>
      </c>
      <c r="Q245" s="34" t="s">
        <v>127</v>
      </c>
      <c r="R245" s="34" t="s">
        <v>1479</v>
      </c>
      <c r="S245" s="43">
        <v>45910</v>
      </c>
      <c r="T245" s="43"/>
      <c r="U245" s="43"/>
      <c r="V245" s="58"/>
      <c r="W245" s="34"/>
      <c r="X245" s="34"/>
    </row>
    <row r="246" spans="1:24" x14ac:dyDescent="0.2">
      <c r="A246" s="132">
        <v>240</v>
      </c>
      <c r="B246" s="342">
        <v>44476</v>
      </c>
      <c r="C246" s="34" t="s">
        <v>1480</v>
      </c>
      <c r="D246" s="40" t="str">
        <f t="shared" si="6"/>
        <v>2002000240</v>
      </c>
      <c r="E246" s="34" t="s">
        <v>82</v>
      </c>
      <c r="F246" s="52">
        <v>776674441</v>
      </c>
      <c r="G246" s="34"/>
      <c r="H246" s="34" t="s">
        <v>84</v>
      </c>
      <c r="I246" s="278">
        <v>33180</v>
      </c>
      <c r="J246" s="50">
        <f t="shared" ca="1" si="7"/>
        <v>32.895890410958906</v>
      </c>
      <c r="K246" s="50" t="str">
        <f ca="1">IFERROR(VLOOKUP($J246,Ref!$B$7:$C$9,2),"")</f>
        <v>Valid Age</v>
      </c>
      <c r="L246" s="55" t="s">
        <v>85</v>
      </c>
      <c r="M246" s="34"/>
      <c r="N246" s="34" t="s">
        <v>1451</v>
      </c>
      <c r="O246" s="34" t="s">
        <v>1400</v>
      </c>
      <c r="P246" s="34" t="s">
        <v>1298</v>
      </c>
      <c r="Q246" s="34" t="s">
        <v>127</v>
      </c>
      <c r="R246" s="34" t="s">
        <v>1481</v>
      </c>
      <c r="S246" s="43">
        <v>45832</v>
      </c>
      <c r="T246" s="43"/>
      <c r="U246" s="43"/>
      <c r="V246" s="58"/>
      <c r="W246" s="34"/>
      <c r="X246" s="34"/>
    </row>
    <row r="247" spans="1:24" x14ac:dyDescent="0.2">
      <c r="A247" s="132">
        <v>241</v>
      </c>
      <c r="B247" s="342">
        <v>44476</v>
      </c>
      <c r="C247" s="34" t="s">
        <v>1482</v>
      </c>
      <c r="D247" s="40" t="str">
        <f t="shared" si="6"/>
        <v>2002000241</v>
      </c>
      <c r="E247" s="34" t="s">
        <v>82</v>
      </c>
      <c r="F247" s="52">
        <v>774538474</v>
      </c>
      <c r="G247" s="34"/>
      <c r="H247" s="34" t="s">
        <v>84</v>
      </c>
      <c r="I247" s="278">
        <v>31565</v>
      </c>
      <c r="J247" s="50">
        <f t="shared" ca="1" si="7"/>
        <v>37.320547945205476</v>
      </c>
      <c r="K247" s="50" t="str">
        <f ca="1">IFERROR(VLOOKUP($J247,Ref!$B$7:$C$9,2),"")</f>
        <v>Valid Age</v>
      </c>
      <c r="L247" s="55" t="s">
        <v>85</v>
      </c>
      <c r="M247" s="34"/>
      <c r="N247" s="34" t="s">
        <v>1451</v>
      </c>
      <c r="O247" s="34" t="s">
        <v>1483</v>
      </c>
      <c r="P247" s="34" t="s">
        <v>1428</v>
      </c>
      <c r="Q247" s="34" t="s">
        <v>127</v>
      </c>
      <c r="R247" s="34" t="s">
        <v>1484</v>
      </c>
      <c r="S247" s="43">
        <v>45832</v>
      </c>
      <c r="T247" s="43"/>
      <c r="U247" s="43"/>
      <c r="V247" s="58"/>
      <c r="W247" s="34"/>
      <c r="X247" s="34"/>
    </row>
    <row r="248" spans="1:24" x14ac:dyDescent="0.2">
      <c r="A248" s="132">
        <v>242</v>
      </c>
      <c r="B248" s="342">
        <v>44476</v>
      </c>
      <c r="C248" s="34" t="s">
        <v>1485</v>
      </c>
      <c r="D248" s="40" t="str">
        <f t="shared" si="6"/>
        <v>2002000242</v>
      </c>
      <c r="E248" s="34" t="s">
        <v>82</v>
      </c>
      <c r="F248" s="52">
        <v>779770148</v>
      </c>
      <c r="G248" s="34"/>
      <c r="H248" s="34" t="s">
        <v>84</v>
      </c>
      <c r="I248" s="278">
        <v>32107</v>
      </c>
      <c r="J248" s="50">
        <f t="shared" ca="1" si="7"/>
        <v>35.835616438356162</v>
      </c>
      <c r="K248" s="50" t="str">
        <f ca="1">IFERROR(VLOOKUP($J248,Ref!$B$7:$C$9,2),"")</f>
        <v>Valid Age</v>
      </c>
      <c r="L248" s="55" t="s">
        <v>85</v>
      </c>
      <c r="M248" s="34"/>
      <c r="N248" s="34" t="s">
        <v>1451</v>
      </c>
      <c r="O248" s="34" t="s">
        <v>1486</v>
      </c>
      <c r="P248" s="34" t="s">
        <v>1487</v>
      </c>
      <c r="Q248" s="34" t="s">
        <v>1488</v>
      </c>
      <c r="R248" s="34" t="s">
        <v>1489</v>
      </c>
      <c r="S248" s="43">
        <v>45832</v>
      </c>
      <c r="T248" s="43"/>
      <c r="U248" s="43"/>
      <c r="V248" s="58"/>
      <c r="W248" s="34"/>
      <c r="X248" s="34"/>
    </row>
    <row r="249" spans="1:24" x14ac:dyDescent="0.2">
      <c r="A249" s="132">
        <v>243</v>
      </c>
      <c r="B249" s="342">
        <v>44480</v>
      </c>
      <c r="C249" s="34" t="s">
        <v>1672</v>
      </c>
      <c r="D249" s="40" t="str">
        <f t="shared" si="6"/>
        <v>2002000243</v>
      </c>
      <c r="E249" s="34" t="s">
        <v>82</v>
      </c>
      <c r="F249" s="52">
        <v>785387804</v>
      </c>
      <c r="G249" s="34"/>
      <c r="H249" s="34" t="s">
        <v>84</v>
      </c>
      <c r="I249" s="278">
        <v>32107</v>
      </c>
      <c r="J249" s="50">
        <f t="shared" ca="1" si="7"/>
        <v>35.835616438356162</v>
      </c>
      <c r="K249" s="50" t="str">
        <f ca="1">IFERROR(VLOOKUP($J249,Ref!$B$7:$C$9,2),"")</f>
        <v>Valid Age</v>
      </c>
      <c r="L249" s="55" t="s">
        <v>86</v>
      </c>
      <c r="M249" s="34"/>
      <c r="N249" s="34" t="s">
        <v>1451</v>
      </c>
      <c r="O249" s="34" t="s">
        <v>1676</v>
      </c>
      <c r="P249" s="34" t="s">
        <v>1677</v>
      </c>
      <c r="Q249" s="34" t="s">
        <v>127</v>
      </c>
      <c r="R249" s="34" t="s">
        <v>1685</v>
      </c>
      <c r="S249" s="43">
        <v>45616</v>
      </c>
      <c r="T249" s="43"/>
      <c r="U249" s="43"/>
      <c r="V249" s="58"/>
      <c r="W249" s="34"/>
      <c r="X249" s="34"/>
    </row>
    <row r="250" spans="1:24" x14ac:dyDescent="0.2">
      <c r="A250" s="132">
        <v>244</v>
      </c>
      <c r="B250" s="342">
        <v>44480</v>
      </c>
      <c r="C250" s="34" t="s">
        <v>1675</v>
      </c>
      <c r="D250" s="40" t="str">
        <f t="shared" si="6"/>
        <v>2002000244</v>
      </c>
      <c r="E250" s="34" t="s">
        <v>82</v>
      </c>
      <c r="F250" s="52"/>
      <c r="G250" s="34"/>
      <c r="H250" s="34" t="s">
        <v>84</v>
      </c>
      <c r="I250" s="278">
        <v>34565</v>
      </c>
      <c r="J250" s="50">
        <f t="shared" ca="1" si="7"/>
        <v>29.101369863013698</v>
      </c>
      <c r="K250" s="50" t="str">
        <f ca="1">IFERROR(VLOOKUP($J250,Ref!$B$7:$C$9,2),"")</f>
        <v>Valid Age</v>
      </c>
      <c r="L250" s="55" t="s">
        <v>86</v>
      </c>
      <c r="M250" s="34"/>
      <c r="N250" s="34" t="s">
        <v>1451</v>
      </c>
      <c r="O250" s="34" t="s">
        <v>467</v>
      </c>
      <c r="P250" s="34" t="s">
        <v>1417</v>
      </c>
      <c r="Q250" s="34" t="s">
        <v>127</v>
      </c>
      <c r="R250" s="34" t="s">
        <v>1678</v>
      </c>
      <c r="S250" s="43">
        <v>45701</v>
      </c>
      <c r="T250" s="43"/>
      <c r="U250" s="43"/>
      <c r="V250" s="58"/>
      <c r="W250" s="34"/>
      <c r="X250" s="34"/>
    </row>
    <row r="251" spans="1:24" x14ac:dyDescent="0.2">
      <c r="A251" s="132">
        <v>245</v>
      </c>
      <c r="B251" s="342">
        <v>44480</v>
      </c>
      <c r="C251" s="34" t="s">
        <v>1673</v>
      </c>
      <c r="D251" s="40" t="str">
        <f t="shared" si="6"/>
        <v>2002000245</v>
      </c>
      <c r="E251" s="34" t="s">
        <v>82</v>
      </c>
      <c r="F251" s="52">
        <v>774527157</v>
      </c>
      <c r="G251" s="34">
        <v>701151057</v>
      </c>
      <c r="H251" s="34" t="s">
        <v>83</v>
      </c>
      <c r="I251" s="278">
        <v>30803</v>
      </c>
      <c r="J251" s="50">
        <v>37.471232876712328</v>
      </c>
      <c r="K251" s="50" t="s">
        <v>849</v>
      </c>
      <c r="L251" s="55" t="s">
        <v>86</v>
      </c>
      <c r="M251" s="34"/>
      <c r="N251" s="34" t="s">
        <v>1467</v>
      </c>
      <c r="O251" s="34" t="s">
        <v>1468</v>
      </c>
      <c r="P251" s="34" t="s">
        <v>123</v>
      </c>
      <c r="Q251" s="34" t="s">
        <v>127</v>
      </c>
      <c r="R251" s="34" t="s">
        <v>1674</v>
      </c>
      <c r="S251" s="43">
        <v>45628</v>
      </c>
      <c r="T251" s="43"/>
      <c r="U251" s="43"/>
      <c r="V251" s="58"/>
      <c r="W251" s="34"/>
      <c r="X251" s="34"/>
    </row>
    <row r="252" spans="1:24" x14ac:dyDescent="0.2">
      <c r="A252" s="132">
        <v>246</v>
      </c>
      <c r="B252" s="342">
        <v>44480</v>
      </c>
      <c r="C252" s="34" t="s">
        <v>1679</v>
      </c>
      <c r="D252" s="40" t="str">
        <f t="shared" si="6"/>
        <v>2002000246</v>
      </c>
      <c r="E252" s="34" t="s">
        <v>82</v>
      </c>
      <c r="F252" s="52">
        <v>773062611</v>
      </c>
      <c r="G252" s="34"/>
      <c r="H252" s="34" t="s">
        <v>84</v>
      </c>
      <c r="I252" s="278">
        <v>27900</v>
      </c>
      <c r="J252" s="50">
        <f t="shared" ca="1" si="7"/>
        <v>47.361643835616441</v>
      </c>
      <c r="K252" s="50" t="str">
        <f ca="1">IFERROR(VLOOKUP($J252,Ref!$B$7:$C$9,2),"")</f>
        <v>Valid Age</v>
      </c>
      <c r="L252" s="55" t="s">
        <v>1680</v>
      </c>
      <c r="M252" s="34"/>
      <c r="N252" s="34" t="s">
        <v>1451</v>
      </c>
      <c r="O252" s="34" t="s">
        <v>385</v>
      </c>
      <c r="P252" s="34" t="s">
        <v>1298</v>
      </c>
      <c r="Q252" s="34" t="s">
        <v>127</v>
      </c>
      <c r="R252" s="34" t="s">
        <v>1681</v>
      </c>
      <c r="S252" s="43">
        <v>45832</v>
      </c>
      <c r="T252" s="43"/>
      <c r="U252" s="43"/>
      <c r="V252" s="58"/>
      <c r="W252" s="34"/>
      <c r="X252" s="34"/>
    </row>
    <row r="253" spans="1:24" x14ac:dyDescent="0.2">
      <c r="A253" s="132">
        <v>247</v>
      </c>
      <c r="B253" s="342">
        <v>44481</v>
      </c>
      <c r="C253" s="34" t="s">
        <v>1682</v>
      </c>
      <c r="D253" s="40" t="str">
        <f t="shared" si="6"/>
        <v>2002000247</v>
      </c>
      <c r="E253" s="34" t="s">
        <v>82</v>
      </c>
      <c r="F253" s="52">
        <v>782591876</v>
      </c>
      <c r="G253" s="34"/>
      <c r="H253" s="34" t="s">
        <v>84</v>
      </c>
      <c r="I253" s="278">
        <v>35813</v>
      </c>
      <c r="J253" s="50">
        <f t="shared" ca="1" si="7"/>
        <v>25.682191780821917</v>
      </c>
      <c r="K253" s="50" t="str">
        <f ca="1">IFERROR(VLOOKUP($J253,Ref!$B$7:$C$9,2),"")</f>
        <v>Valid Age</v>
      </c>
      <c r="L253" s="55" t="s">
        <v>85</v>
      </c>
      <c r="M253" s="34"/>
      <c r="N253" s="34" t="s">
        <v>1451</v>
      </c>
      <c r="O253" s="34" t="s">
        <v>99</v>
      </c>
      <c r="P253" s="34" t="s">
        <v>1683</v>
      </c>
      <c r="Q253" s="34" t="s">
        <v>127</v>
      </c>
      <c r="R253" s="34" t="s">
        <v>1684</v>
      </c>
      <c r="S253" s="43">
        <v>47995</v>
      </c>
      <c r="T253" s="43"/>
      <c r="U253" s="43"/>
      <c r="V253" s="58"/>
      <c r="W253" s="34"/>
      <c r="X253" s="34"/>
    </row>
    <row r="254" spans="1:24" x14ac:dyDescent="0.2">
      <c r="A254" s="132">
        <v>248</v>
      </c>
      <c r="B254" s="342">
        <v>44481</v>
      </c>
      <c r="C254" s="34" t="s">
        <v>1686</v>
      </c>
      <c r="D254" s="40" t="str">
        <f t="shared" si="6"/>
        <v>2002000248</v>
      </c>
      <c r="E254" s="34" t="s">
        <v>82</v>
      </c>
      <c r="F254" s="52">
        <v>779393121</v>
      </c>
      <c r="G254" s="34">
        <v>786039771</v>
      </c>
      <c r="H254" s="34" t="s">
        <v>84</v>
      </c>
      <c r="I254" s="278">
        <v>31787</v>
      </c>
      <c r="J254" s="50">
        <f t="shared" ca="1" si="7"/>
        <v>36.712328767123289</v>
      </c>
      <c r="K254" s="50" t="str">
        <f ca="1">IFERROR(VLOOKUP($J254,Ref!$B$7:$C$9,2),"")</f>
        <v>Valid Age</v>
      </c>
      <c r="L254" s="55" t="s">
        <v>85</v>
      </c>
      <c r="M254" s="34"/>
      <c r="N254" s="34" t="s">
        <v>1303</v>
      </c>
      <c r="O254" s="34" t="s">
        <v>1687</v>
      </c>
      <c r="P254" s="34" t="s">
        <v>1688</v>
      </c>
      <c r="Q254" s="34" t="s">
        <v>127</v>
      </c>
      <c r="R254" s="34" t="s">
        <v>1689</v>
      </c>
      <c r="S254" s="43">
        <v>45846</v>
      </c>
      <c r="T254" s="43"/>
      <c r="U254" s="43"/>
      <c r="V254" s="58"/>
      <c r="W254" s="34"/>
      <c r="X254" s="34"/>
    </row>
    <row r="255" spans="1:24" x14ac:dyDescent="0.2">
      <c r="A255" s="132">
        <v>249</v>
      </c>
      <c r="B255" s="342">
        <v>44482</v>
      </c>
      <c r="C255" s="34" t="s">
        <v>1690</v>
      </c>
      <c r="D255" s="40" t="str">
        <f t="shared" si="6"/>
        <v>2002000249</v>
      </c>
      <c r="E255" s="34" t="s">
        <v>82</v>
      </c>
      <c r="F255" s="52">
        <v>788849666</v>
      </c>
      <c r="G255" s="34"/>
      <c r="H255" s="34" t="s">
        <v>83</v>
      </c>
      <c r="I255" s="278">
        <v>30126</v>
      </c>
      <c r="J255" s="50">
        <f t="shared" ca="1" si="7"/>
        <v>41.263013698630139</v>
      </c>
      <c r="K255" s="50" t="str">
        <f ca="1">IFERROR(VLOOKUP($J255,Ref!$B$7:$C$9,2),"")</f>
        <v>Valid Age</v>
      </c>
      <c r="L255" s="55" t="s">
        <v>85</v>
      </c>
      <c r="M255" s="34"/>
      <c r="N255" s="34" t="s">
        <v>1411</v>
      </c>
      <c r="O255" s="34" t="s">
        <v>1452</v>
      </c>
      <c r="P255" s="34" t="s">
        <v>1413</v>
      </c>
      <c r="Q255" s="34" t="s">
        <v>127</v>
      </c>
      <c r="R255" s="34" t="s">
        <v>1691</v>
      </c>
      <c r="S255" s="43">
        <v>45832</v>
      </c>
      <c r="T255" s="43"/>
      <c r="U255" s="43"/>
      <c r="V255" s="58"/>
      <c r="W255" s="34"/>
      <c r="X255" s="34"/>
    </row>
    <row r="256" spans="1:24" x14ac:dyDescent="0.2">
      <c r="A256" s="132">
        <v>250</v>
      </c>
      <c r="B256" s="342">
        <v>44482</v>
      </c>
      <c r="C256" s="34" t="s">
        <v>1692</v>
      </c>
      <c r="D256" s="40" t="str">
        <f t="shared" si="6"/>
        <v>2002000250</v>
      </c>
      <c r="E256" s="34" t="s">
        <v>82</v>
      </c>
      <c r="F256" s="52">
        <v>777160954</v>
      </c>
      <c r="G256" s="34"/>
      <c r="H256" s="34" t="s">
        <v>84</v>
      </c>
      <c r="I256" s="278">
        <v>31236</v>
      </c>
      <c r="J256" s="50">
        <f t="shared" ca="1" si="7"/>
        <v>38.221917808219175</v>
      </c>
      <c r="K256" s="50" t="str">
        <f ca="1">IFERROR(VLOOKUP($J256,Ref!$B$7:$C$9,2),"")</f>
        <v>Valid Age</v>
      </c>
      <c r="L256" s="55" t="s">
        <v>85</v>
      </c>
      <c r="M256" s="34"/>
      <c r="N256" s="34" t="s">
        <v>1451</v>
      </c>
      <c r="O256" s="34" t="s">
        <v>1693</v>
      </c>
      <c r="P256" s="34" t="s">
        <v>404</v>
      </c>
      <c r="Q256" s="34" t="s">
        <v>127</v>
      </c>
      <c r="R256" s="34" t="s">
        <v>1694</v>
      </c>
      <c r="S256" s="43"/>
      <c r="T256" s="43"/>
      <c r="U256" s="43"/>
      <c r="V256" s="58"/>
      <c r="W256" s="34"/>
      <c r="X256" s="34"/>
    </row>
    <row r="257" spans="1:24" x14ac:dyDescent="0.2">
      <c r="A257" s="132">
        <v>251</v>
      </c>
      <c r="B257" s="342">
        <v>44482</v>
      </c>
      <c r="C257" s="34" t="s">
        <v>1695</v>
      </c>
      <c r="D257" s="40" t="str">
        <f t="shared" si="6"/>
        <v>2002000251</v>
      </c>
      <c r="E257" s="34" t="s">
        <v>82</v>
      </c>
      <c r="F257" s="52">
        <v>776679938</v>
      </c>
      <c r="G257" s="34"/>
      <c r="H257" s="34" t="s">
        <v>84</v>
      </c>
      <c r="I257" s="278">
        <v>33239</v>
      </c>
      <c r="J257" s="50">
        <f t="shared" ca="1" si="7"/>
        <v>32.734246575342468</v>
      </c>
      <c r="K257" s="50" t="str">
        <f ca="1">IFERROR(VLOOKUP($J257,Ref!$B$7:$C$9,2),"")</f>
        <v>Valid Age</v>
      </c>
      <c r="L257" s="55" t="s">
        <v>85</v>
      </c>
      <c r="M257" s="34"/>
      <c r="N257" s="34" t="s">
        <v>1451</v>
      </c>
      <c r="O257" s="34" t="s">
        <v>404</v>
      </c>
      <c r="P257" s="34" t="s">
        <v>404</v>
      </c>
      <c r="Q257" s="34" t="s">
        <v>127</v>
      </c>
      <c r="R257" s="34" t="s">
        <v>1696</v>
      </c>
      <c r="S257" s="43">
        <v>45833</v>
      </c>
      <c r="T257" s="43"/>
      <c r="U257" s="43"/>
      <c r="V257" s="58"/>
      <c r="W257" s="34"/>
      <c r="X257" s="34"/>
    </row>
    <row r="258" spans="1:24" x14ac:dyDescent="0.2">
      <c r="A258" s="132">
        <v>252</v>
      </c>
      <c r="B258" s="342">
        <v>44482</v>
      </c>
      <c r="C258" s="34" t="s">
        <v>1697</v>
      </c>
      <c r="D258" s="40" t="str">
        <f t="shared" si="6"/>
        <v>2002000252</v>
      </c>
      <c r="E258" s="34" t="s">
        <v>82</v>
      </c>
      <c r="F258" s="52">
        <v>773109286</v>
      </c>
      <c r="G258" s="34"/>
      <c r="H258" s="34" t="s">
        <v>84</v>
      </c>
      <c r="I258" s="278">
        <v>32876</v>
      </c>
      <c r="J258" s="50">
        <f t="shared" ca="1" si="7"/>
        <v>33.728767123287675</v>
      </c>
      <c r="K258" s="50" t="str">
        <f ca="1">IFERROR(VLOOKUP($J258,Ref!$B$7:$C$9,2),"")</f>
        <v>Valid Age</v>
      </c>
      <c r="L258" s="55" t="s">
        <v>85</v>
      </c>
      <c r="M258" s="34"/>
      <c r="N258" s="34" t="s">
        <v>1451</v>
      </c>
      <c r="O258" s="34" t="s">
        <v>1698</v>
      </c>
      <c r="P258" s="34" t="s">
        <v>317</v>
      </c>
      <c r="Q258" s="34" t="s">
        <v>127</v>
      </c>
      <c r="R258" s="34" t="s">
        <v>1699</v>
      </c>
      <c r="S258" s="43">
        <v>45843</v>
      </c>
      <c r="T258" s="43"/>
      <c r="U258" s="43"/>
      <c r="V258" s="58"/>
      <c r="W258" s="34"/>
      <c r="X258" s="34"/>
    </row>
    <row r="259" spans="1:24" x14ac:dyDescent="0.2">
      <c r="A259" s="132">
        <v>253</v>
      </c>
      <c r="B259" s="342">
        <v>44483</v>
      </c>
      <c r="C259" s="34" t="s">
        <v>1704</v>
      </c>
      <c r="D259" s="40" t="str">
        <f t="shared" si="6"/>
        <v>2002000253</v>
      </c>
      <c r="E259" s="34" t="s">
        <v>82</v>
      </c>
      <c r="F259" s="52">
        <v>774290044</v>
      </c>
      <c r="G259" s="34"/>
      <c r="H259" s="34" t="s">
        <v>83</v>
      </c>
      <c r="I259" s="278">
        <v>32246</v>
      </c>
      <c r="J259" s="50">
        <f t="shared" ca="1" si="7"/>
        <v>35.454794520547942</v>
      </c>
      <c r="K259" s="50" t="str">
        <f ca="1">IFERROR(VLOOKUP($J259,Ref!$B$7:$C$9,2),"")</f>
        <v>Valid Age</v>
      </c>
      <c r="L259" s="55" t="s">
        <v>85</v>
      </c>
      <c r="M259" s="34"/>
      <c r="N259" s="34" t="s">
        <v>1303</v>
      </c>
      <c r="O259" s="34" t="s">
        <v>1221</v>
      </c>
      <c r="P259" s="34" t="s">
        <v>1221</v>
      </c>
      <c r="Q259" s="34" t="s">
        <v>127</v>
      </c>
      <c r="R259" s="34" t="s">
        <v>1705</v>
      </c>
      <c r="S259" s="43">
        <v>45667</v>
      </c>
      <c r="T259" s="43"/>
      <c r="U259" s="43"/>
      <c r="V259" s="58"/>
      <c r="W259" s="34"/>
      <c r="X259" s="34"/>
    </row>
    <row r="260" spans="1:24" x14ac:dyDescent="0.2">
      <c r="A260" s="132">
        <v>254</v>
      </c>
      <c r="B260" s="342">
        <v>44483</v>
      </c>
      <c r="C260" s="34" t="s">
        <v>1706</v>
      </c>
      <c r="D260" s="40" t="str">
        <f t="shared" si="6"/>
        <v>2002000254</v>
      </c>
      <c r="E260" s="34" t="s">
        <v>82</v>
      </c>
      <c r="F260" s="52">
        <v>784405332</v>
      </c>
      <c r="G260" s="34"/>
      <c r="H260" s="34" t="s">
        <v>84</v>
      </c>
      <c r="I260" s="278">
        <v>33105</v>
      </c>
      <c r="J260" s="50">
        <f t="shared" ca="1" si="7"/>
        <v>33.101369863013701</v>
      </c>
      <c r="K260" s="50" t="str">
        <f ca="1">IFERROR(VLOOKUP($J260,Ref!$B$7:$C$9,2),"")</f>
        <v>Valid Age</v>
      </c>
      <c r="L260" s="55" t="s">
        <v>85</v>
      </c>
      <c r="M260" s="34"/>
      <c r="N260" s="34" t="s">
        <v>1451</v>
      </c>
      <c r="O260" s="34" t="s">
        <v>339</v>
      </c>
      <c r="P260" s="34" t="s">
        <v>124</v>
      </c>
      <c r="Q260" s="34" t="s">
        <v>127</v>
      </c>
      <c r="R260" s="34" t="s">
        <v>1707</v>
      </c>
      <c r="S260" s="43">
        <v>47560</v>
      </c>
      <c r="T260" s="43"/>
      <c r="U260" s="43"/>
      <c r="V260" s="58"/>
      <c r="W260" s="34"/>
      <c r="X260" s="34"/>
    </row>
    <row r="261" spans="1:24" x14ac:dyDescent="0.2">
      <c r="A261" s="132">
        <v>255</v>
      </c>
      <c r="B261" s="342">
        <v>44484</v>
      </c>
      <c r="C261" s="34" t="s">
        <v>1708</v>
      </c>
      <c r="D261" s="40" t="str">
        <f t="shared" si="6"/>
        <v>2002000255</v>
      </c>
      <c r="E261" s="34" t="s">
        <v>82</v>
      </c>
      <c r="F261" s="52">
        <v>782448863</v>
      </c>
      <c r="G261" s="34"/>
      <c r="H261" s="34" t="s">
        <v>83</v>
      </c>
      <c r="I261" s="278">
        <v>24104</v>
      </c>
      <c r="J261" s="50">
        <f t="shared" ca="1" si="7"/>
        <v>57.761643835616439</v>
      </c>
      <c r="K261" s="50" t="str">
        <f ca="1">IFERROR(VLOOKUP($J261,Ref!$B$7:$C$9,2),"")</f>
        <v>Over Age</v>
      </c>
      <c r="L261" s="55" t="s">
        <v>85</v>
      </c>
      <c r="M261" s="34"/>
      <c r="N261" s="34" t="s">
        <v>1411</v>
      </c>
      <c r="O261" s="34" t="s">
        <v>1709</v>
      </c>
      <c r="P261" s="34" t="s">
        <v>1710</v>
      </c>
      <c r="Q261" s="34" t="s">
        <v>127</v>
      </c>
      <c r="R261" s="34" t="s">
        <v>1711</v>
      </c>
      <c r="S261" s="43">
        <v>45626</v>
      </c>
      <c r="T261" s="43"/>
      <c r="U261" s="43"/>
      <c r="V261" s="58"/>
      <c r="W261" s="34"/>
      <c r="X261" s="34"/>
    </row>
    <row r="262" spans="1:24" x14ac:dyDescent="0.2">
      <c r="A262" s="132">
        <v>256</v>
      </c>
      <c r="B262" s="342">
        <v>44484</v>
      </c>
      <c r="C262" s="34" t="s">
        <v>1712</v>
      </c>
      <c r="D262" s="40" t="str">
        <f t="shared" si="6"/>
        <v>2002000256</v>
      </c>
      <c r="E262" s="34" t="s">
        <v>82</v>
      </c>
      <c r="F262" s="52">
        <v>783570901</v>
      </c>
      <c r="G262" s="34"/>
      <c r="H262" s="34" t="s">
        <v>83</v>
      </c>
      <c r="I262" s="278">
        <v>33521</v>
      </c>
      <c r="J262" s="50">
        <f t="shared" ca="1" si="7"/>
        <v>31.961643835616439</v>
      </c>
      <c r="K262" s="50" t="str">
        <f ca="1">IFERROR(VLOOKUP($J262,Ref!$B$7:$C$9,2),"")</f>
        <v>Valid Age</v>
      </c>
      <c r="L262" s="55" t="s">
        <v>85</v>
      </c>
      <c r="M262" s="34"/>
      <c r="N262" s="34" t="s">
        <v>1411</v>
      </c>
      <c r="O262" s="34" t="s">
        <v>1292</v>
      </c>
      <c r="P262" s="34" t="s">
        <v>1417</v>
      </c>
      <c r="Q262" s="34" t="s">
        <v>127</v>
      </c>
      <c r="R262" s="34" t="s">
        <v>1713</v>
      </c>
      <c r="S262" s="43">
        <v>45832</v>
      </c>
      <c r="T262" s="43"/>
      <c r="U262" s="43"/>
      <c r="V262" s="58"/>
      <c r="W262" s="34"/>
      <c r="X262" s="34"/>
    </row>
    <row r="263" spans="1:24" x14ac:dyDescent="0.2">
      <c r="A263" s="132">
        <v>257</v>
      </c>
      <c r="B263" s="342">
        <v>44484</v>
      </c>
      <c r="C263" s="34" t="s">
        <v>1714</v>
      </c>
      <c r="D263" s="40" t="str">
        <f t="shared" si="6"/>
        <v>2002000257</v>
      </c>
      <c r="E263" s="34" t="s">
        <v>82</v>
      </c>
      <c r="F263" s="52">
        <v>785691539</v>
      </c>
      <c r="G263" s="34"/>
      <c r="H263" s="34" t="s">
        <v>83</v>
      </c>
      <c r="I263" s="278">
        <v>33928</v>
      </c>
      <c r="J263" s="50">
        <f t="shared" ca="1" si="7"/>
        <v>30.846575342465755</v>
      </c>
      <c r="K263" s="50" t="str">
        <f ca="1">IFERROR(VLOOKUP($J263,Ref!$B$7:$C$9,2),"")</f>
        <v>Valid Age</v>
      </c>
      <c r="L263" s="55" t="s">
        <v>86</v>
      </c>
      <c r="M263" s="34"/>
      <c r="N263" s="34" t="s">
        <v>1411</v>
      </c>
      <c r="O263" s="34" t="s">
        <v>1400</v>
      </c>
      <c r="P263" s="34" t="s">
        <v>112</v>
      </c>
      <c r="Q263" s="34" t="s">
        <v>127</v>
      </c>
      <c r="R263" s="34" t="s">
        <v>1715</v>
      </c>
      <c r="S263" s="43">
        <v>33897</v>
      </c>
      <c r="T263" s="43"/>
      <c r="U263" s="43"/>
      <c r="V263" s="58"/>
      <c r="W263" s="34"/>
      <c r="X263" s="34"/>
    </row>
    <row r="264" spans="1:24" x14ac:dyDescent="0.2">
      <c r="A264" s="132">
        <v>258</v>
      </c>
      <c r="B264" s="342">
        <v>44485</v>
      </c>
      <c r="C264" s="34" t="s">
        <v>1717</v>
      </c>
      <c r="D264" s="40" t="str">
        <f t="shared" ref="D264:D327" si="8">IF(A264="","",LEFT($C$3,LEN($C$3)-LEN(A264))&amp;A264)</f>
        <v>2002000258</v>
      </c>
      <c r="E264" s="34" t="s">
        <v>82</v>
      </c>
      <c r="F264" s="52">
        <v>782234007</v>
      </c>
      <c r="G264" s="34"/>
      <c r="H264" s="34" t="s">
        <v>84</v>
      </c>
      <c r="I264" s="278">
        <v>33050</v>
      </c>
      <c r="J264" s="50">
        <f t="shared" ref="J264:J327" ca="1" si="9">IF(I264="","",(TODAY()-$I264)/365)</f>
        <v>33.252054794520546</v>
      </c>
      <c r="K264" s="50" t="str">
        <f ca="1">IFERROR(VLOOKUP($J264,Ref!$B$7:$C$9,2),"")</f>
        <v>Valid Age</v>
      </c>
      <c r="L264" s="55" t="s">
        <v>85</v>
      </c>
      <c r="M264" s="34"/>
      <c r="N264" s="34" t="s">
        <v>1451</v>
      </c>
      <c r="O264" s="34" t="s">
        <v>349</v>
      </c>
      <c r="P264" s="34" t="s">
        <v>1718</v>
      </c>
      <c r="Q264" s="34" t="s">
        <v>127</v>
      </c>
      <c r="R264" s="34" t="s">
        <v>1719</v>
      </c>
      <c r="S264" s="43">
        <v>45832</v>
      </c>
      <c r="T264" s="43"/>
      <c r="U264" s="43"/>
      <c r="V264" s="58"/>
      <c r="W264" s="34"/>
      <c r="X264" s="34"/>
    </row>
    <row r="265" spans="1:24" x14ac:dyDescent="0.2">
      <c r="A265" s="132">
        <v>259</v>
      </c>
      <c r="B265" s="342">
        <v>44487</v>
      </c>
      <c r="C265" s="34" t="s">
        <v>1720</v>
      </c>
      <c r="D265" s="40" t="str">
        <f t="shared" si="8"/>
        <v>2002000259</v>
      </c>
      <c r="E265" s="34" t="s">
        <v>82</v>
      </c>
      <c r="F265" s="52">
        <v>785380303</v>
      </c>
      <c r="G265" s="34"/>
      <c r="H265" s="34" t="s">
        <v>84</v>
      </c>
      <c r="I265" s="278">
        <v>36147</v>
      </c>
      <c r="J265" s="50">
        <f t="shared" ca="1" si="9"/>
        <v>24.767123287671232</v>
      </c>
      <c r="K265" s="50" t="str">
        <f ca="1">IFERROR(VLOOKUP($J265,Ref!$B$7:$C$9,2),"")</f>
        <v>Valid Age</v>
      </c>
      <c r="L265" s="55" t="s">
        <v>85</v>
      </c>
      <c r="M265" s="34"/>
      <c r="N265" s="34" t="s">
        <v>1451</v>
      </c>
      <c r="O265" s="34" t="s">
        <v>339</v>
      </c>
      <c r="P265" s="34" t="s">
        <v>1721</v>
      </c>
      <c r="Q265" s="34" t="s">
        <v>127</v>
      </c>
      <c r="R265" s="34" t="s">
        <v>1722</v>
      </c>
      <c r="S265" s="43">
        <v>45833</v>
      </c>
      <c r="T265" s="43"/>
      <c r="U265" s="43"/>
      <c r="V265" s="58"/>
      <c r="W265" s="34"/>
      <c r="X265" s="34"/>
    </row>
    <row r="266" spans="1:24" x14ac:dyDescent="0.2">
      <c r="A266" s="132">
        <v>260</v>
      </c>
      <c r="B266" s="342">
        <v>44487</v>
      </c>
      <c r="C266" s="34" t="s">
        <v>1755</v>
      </c>
      <c r="D266" s="40" t="str">
        <f t="shared" si="8"/>
        <v>2002000260</v>
      </c>
      <c r="E266" s="34" t="s">
        <v>82</v>
      </c>
      <c r="F266" s="52">
        <v>786377314</v>
      </c>
      <c r="G266" s="34"/>
      <c r="H266" s="34" t="s">
        <v>84</v>
      </c>
      <c r="I266" s="278">
        <v>27890</v>
      </c>
      <c r="J266" s="50">
        <f t="shared" ca="1" si="9"/>
        <v>47.389041095890413</v>
      </c>
      <c r="K266" s="50" t="str">
        <f ca="1">IFERROR(VLOOKUP($J266,Ref!$B$7:$C$9,2),"")</f>
        <v>Valid Age</v>
      </c>
      <c r="L266" s="55" t="s">
        <v>86</v>
      </c>
      <c r="M266" s="34"/>
      <c r="N266" s="34" t="s">
        <v>1451</v>
      </c>
      <c r="O266" s="34" t="s">
        <v>1452</v>
      </c>
      <c r="P266" s="34" t="s">
        <v>364</v>
      </c>
      <c r="Q266" s="34" t="s">
        <v>127</v>
      </c>
      <c r="R266" s="34" t="s">
        <v>1756</v>
      </c>
      <c r="S266" s="43">
        <v>45832</v>
      </c>
      <c r="T266" s="43"/>
      <c r="U266" s="43"/>
      <c r="V266" s="58"/>
      <c r="W266" s="34"/>
      <c r="X266" s="34"/>
    </row>
    <row r="267" spans="1:24" x14ac:dyDescent="0.2">
      <c r="A267" s="132">
        <v>261</v>
      </c>
      <c r="B267" s="342">
        <v>44488</v>
      </c>
      <c r="C267" s="34" t="s">
        <v>1723</v>
      </c>
      <c r="D267" s="40" t="str">
        <f t="shared" si="8"/>
        <v>2002000261</v>
      </c>
      <c r="E267" s="34" t="s">
        <v>82</v>
      </c>
      <c r="F267" s="52">
        <v>774174461</v>
      </c>
      <c r="G267" s="34"/>
      <c r="H267" s="34" t="s">
        <v>84</v>
      </c>
      <c r="I267" s="278">
        <v>34646</v>
      </c>
      <c r="J267" s="50">
        <f t="shared" ca="1" si="9"/>
        <v>28.87945205479452</v>
      </c>
      <c r="K267" s="50" t="str">
        <f ca="1">IFERROR(VLOOKUP($J267,Ref!$B$7:$C$9,2),"")</f>
        <v>Valid Age</v>
      </c>
      <c r="L267" s="55" t="s">
        <v>85</v>
      </c>
      <c r="M267" s="34"/>
      <c r="N267" s="34" t="s">
        <v>1451</v>
      </c>
      <c r="O267" s="34" t="s">
        <v>1698</v>
      </c>
      <c r="P267" s="34" t="s">
        <v>531</v>
      </c>
      <c r="Q267" s="34" t="s">
        <v>127</v>
      </c>
      <c r="R267" s="34" t="s">
        <v>1724</v>
      </c>
      <c r="S267" s="43">
        <v>45832</v>
      </c>
      <c r="T267" s="43"/>
      <c r="U267" s="43"/>
      <c r="V267" s="58"/>
      <c r="W267" s="34"/>
      <c r="X267" s="34"/>
    </row>
    <row r="268" spans="1:24" x14ac:dyDescent="0.2">
      <c r="A268" s="132">
        <v>262</v>
      </c>
      <c r="B268" s="342">
        <v>44488</v>
      </c>
      <c r="C268" s="34" t="s">
        <v>1725</v>
      </c>
      <c r="D268" s="40" t="str">
        <f t="shared" si="8"/>
        <v>2002000262</v>
      </c>
      <c r="E268" s="34" t="s">
        <v>82</v>
      </c>
      <c r="F268" s="52">
        <v>774174461</v>
      </c>
      <c r="G268" s="34"/>
      <c r="H268" s="34" t="s">
        <v>84</v>
      </c>
      <c r="I268" s="278">
        <v>34646</v>
      </c>
      <c r="J268" s="50">
        <f t="shared" ca="1" si="9"/>
        <v>28.87945205479452</v>
      </c>
      <c r="K268" s="50" t="str">
        <f ca="1">IFERROR(VLOOKUP($J268,Ref!$B$7:$C$9,2),"")</f>
        <v>Valid Age</v>
      </c>
      <c r="L268" s="55" t="s">
        <v>85</v>
      </c>
      <c r="M268" s="34"/>
      <c r="N268" s="34" t="s">
        <v>1451</v>
      </c>
      <c r="O268" s="34" t="s">
        <v>1698</v>
      </c>
      <c r="P268" s="34" t="s">
        <v>531</v>
      </c>
      <c r="Q268" s="34" t="s">
        <v>127</v>
      </c>
      <c r="R268" s="34" t="s">
        <v>1726</v>
      </c>
      <c r="S268" s="43">
        <v>45832</v>
      </c>
      <c r="T268" s="43"/>
      <c r="U268" s="43"/>
      <c r="V268" s="58"/>
      <c r="W268" s="34"/>
      <c r="X268" s="34"/>
    </row>
    <row r="269" spans="1:24" x14ac:dyDescent="0.2">
      <c r="A269" s="132">
        <v>263</v>
      </c>
      <c r="B269" s="342">
        <v>44488</v>
      </c>
      <c r="C269" s="34" t="s">
        <v>1727</v>
      </c>
      <c r="D269" s="40" t="str">
        <f t="shared" si="8"/>
        <v>2002000263</v>
      </c>
      <c r="E269" s="34" t="s">
        <v>82</v>
      </c>
      <c r="F269" s="52">
        <v>775540565</v>
      </c>
      <c r="G269" s="34"/>
      <c r="H269" s="34" t="s">
        <v>83</v>
      </c>
      <c r="I269" s="278">
        <v>35159</v>
      </c>
      <c r="J269" s="50">
        <f t="shared" ca="1" si="9"/>
        <v>27.473972602739725</v>
      </c>
      <c r="K269" s="50" t="str">
        <f ca="1">IFERROR(VLOOKUP($J269,Ref!$B$7:$C$9,2),"")</f>
        <v>Valid Age</v>
      </c>
      <c r="L269" s="55" t="s">
        <v>85</v>
      </c>
      <c r="M269" s="34"/>
      <c r="N269" s="34" t="s">
        <v>1411</v>
      </c>
      <c r="O269" s="34" t="s">
        <v>349</v>
      </c>
      <c r="P269" s="34" t="s">
        <v>482</v>
      </c>
      <c r="Q269" s="34" t="s">
        <v>127</v>
      </c>
      <c r="R269" s="34" t="s">
        <v>1728</v>
      </c>
      <c r="S269" s="43">
        <v>45833</v>
      </c>
      <c r="T269" s="43"/>
      <c r="U269" s="43"/>
      <c r="V269" s="58"/>
      <c r="W269" s="34"/>
      <c r="X269" s="34"/>
    </row>
    <row r="270" spans="1:24" x14ac:dyDescent="0.2">
      <c r="A270" s="132">
        <v>264</v>
      </c>
      <c r="B270" s="342">
        <v>44488</v>
      </c>
      <c r="C270" s="34" t="s">
        <v>1729</v>
      </c>
      <c r="D270" s="40" t="str">
        <f t="shared" si="8"/>
        <v>2002000264</v>
      </c>
      <c r="E270" s="34" t="s">
        <v>82</v>
      </c>
      <c r="F270" s="52">
        <v>753073638</v>
      </c>
      <c r="G270" s="34">
        <v>774208661</v>
      </c>
      <c r="H270" s="34" t="s">
        <v>83</v>
      </c>
      <c r="I270" s="278">
        <v>19024</v>
      </c>
      <c r="J270" s="50">
        <f t="shared" ca="1" si="9"/>
        <v>71.679452054794524</v>
      </c>
      <c r="K270" s="50" t="str">
        <f ca="1">IFERROR(VLOOKUP($J270,Ref!$B$7:$C$9,2),"")</f>
        <v>Over Age</v>
      </c>
      <c r="L270" s="55" t="s">
        <v>85</v>
      </c>
      <c r="M270" s="34"/>
      <c r="N270" s="34" t="s">
        <v>1411</v>
      </c>
      <c r="O270" s="34" t="s">
        <v>99</v>
      </c>
      <c r="P270" s="34" t="s">
        <v>1683</v>
      </c>
      <c r="Q270" s="34" t="s">
        <v>127</v>
      </c>
      <c r="R270" s="34" t="s">
        <v>1730</v>
      </c>
      <c r="S270" s="43">
        <v>45832</v>
      </c>
      <c r="T270" s="43"/>
      <c r="U270" s="43"/>
      <c r="V270" s="58"/>
      <c r="W270" s="34"/>
      <c r="X270" s="34"/>
    </row>
    <row r="271" spans="1:24" x14ac:dyDescent="0.2">
      <c r="A271" s="132">
        <v>265</v>
      </c>
      <c r="B271" s="342">
        <v>44489</v>
      </c>
      <c r="C271" s="34" t="s">
        <v>1731</v>
      </c>
      <c r="D271" s="40" t="str">
        <f t="shared" si="8"/>
        <v>2002000265</v>
      </c>
      <c r="E271" s="34" t="s">
        <v>82</v>
      </c>
      <c r="F271" s="52">
        <v>773072425</v>
      </c>
      <c r="G271" s="34">
        <v>754656805</v>
      </c>
      <c r="H271" s="34" t="s">
        <v>83</v>
      </c>
      <c r="I271" s="278">
        <v>23412</v>
      </c>
      <c r="J271" s="50">
        <f t="shared" ca="1" si="9"/>
        <v>59.657534246575345</v>
      </c>
      <c r="K271" s="50" t="str">
        <f ca="1">IFERROR(VLOOKUP($J271,Ref!$B$7:$C$9,2),"")</f>
        <v>Over Age</v>
      </c>
      <c r="L271" s="55" t="s">
        <v>85</v>
      </c>
      <c r="M271" s="34"/>
      <c r="N271" s="34" t="s">
        <v>1467</v>
      </c>
      <c r="O271" s="34" t="s">
        <v>1285</v>
      </c>
      <c r="P271" s="34" t="s">
        <v>1289</v>
      </c>
      <c r="Q271" s="34" t="s">
        <v>127</v>
      </c>
      <c r="R271" s="34" t="s">
        <v>1732</v>
      </c>
      <c r="S271" s="43">
        <v>45832</v>
      </c>
      <c r="T271" s="43"/>
      <c r="U271" s="43"/>
      <c r="V271" s="58"/>
      <c r="W271" s="34"/>
      <c r="X271" s="34"/>
    </row>
    <row r="272" spans="1:24" x14ac:dyDescent="0.2">
      <c r="A272" s="132">
        <v>266</v>
      </c>
      <c r="B272" s="342">
        <v>44489</v>
      </c>
      <c r="C272" s="34" t="s">
        <v>1733</v>
      </c>
      <c r="D272" s="40" t="str">
        <f t="shared" si="8"/>
        <v>2002000266</v>
      </c>
      <c r="E272" s="34" t="s">
        <v>82</v>
      </c>
      <c r="F272" s="52">
        <v>760987140</v>
      </c>
      <c r="G272" s="34"/>
      <c r="H272" s="34" t="s">
        <v>84</v>
      </c>
      <c r="I272" s="278">
        <v>35866</v>
      </c>
      <c r="J272" s="50">
        <f t="shared" ca="1" si="9"/>
        <v>25.536986301369861</v>
      </c>
      <c r="K272" s="50" t="str">
        <f ca="1">IFERROR(VLOOKUP($J272,Ref!$B$7:$C$9,2),"")</f>
        <v>Valid Age</v>
      </c>
      <c r="L272" s="55" t="s">
        <v>85</v>
      </c>
      <c r="M272" s="34"/>
      <c r="N272" s="34" t="s">
        <v>1451</v>
      </c>
      <c r="O272" s="34" t="s">
        <v>349</v>
      </c>
      <c r="P272" s="34" t="s">
        <v>1734</v>
      </c>
      <c r="Q272" s="34" t="s">
        <v>127</v>
      </c>
      <c r="R272" s="34" t="s">
        <v>1735</v>
      </c>
      <c r="S272" s="43">
        <v>45616</v>
      </c>
      <c r="T272" s="43"/>
      <c r="U272" s="43"/>
      <c r="V272" s="58"/>
      <c r="W272" s="34"/>
      <c r="X272" s="34"/>
    </row>
    <row r="273" spans="1:24" x14ac:dyDescent="0.2">
      <c r="A273" s="132">
        <v>267</v>
      </c>
      <c r="B273" s="342">
        <v>44490</v>
      </c>
      <c r="C273" s="34" t="s">
        <v>1737</v>
      </c>
      <c r="D273" s="40" t="str">
        <f t="shared" si="8"/>
        <v>2002000267</v>
      </c>
      <c r="E273" s="34" t="s">
        <v>82</v>
      </c>
      <c r="F273" s="52">
        <v>787269720</v>
      </c>
      <c r="G273" s="34"/>
      <c r="H273" s="34" t="s">
        <v>83</v>
      </c>
      <c r="I273" s="278">
        <v>36030</v>
      </c>
      <c r="J273" s="50">
        <f t="shared" ca="1" si="9"/>
        <v>25.087671232876712</v>
      </c>
      <c r="K273" s="50" t="str">
        <f ca="1">IFERROR(VLOOKUP($J273,Ref!$B$7:$C$9,2),"")</f>
        <v>Valid Age</v>
      </c>
      <c r="L273" s="55" t="s">
        <v>86</v>
      </c>
      <c r="M273" s="34"/>
      <c r="N273" s="34" t="s">
        <v>1411</v>
      </c>
      <c r="O273" s="34" t="s">
        <v>1738</v>
      </c>
      <c r="P273" s="34" t="s">
        <v>1739</v>
      </c>
      <c r="Q273" s="34" t="s">
        <v>127</v>
      </c>
      <c r="R273" s="34" t="s">
        <v>1740</v>
      </c>
      <c r="S273" s="43">
        <v>45831</v>
      </c>
      <c r="T273" s="43"/>
      <c r="U273" s="43"/>
      <c r="V273" s="58"/>
      <c r="W273" s="34"/>
      <c r="X273" s="34"/>
    </row>
    <row r="274" spans="1:24" x14ac:dyDescent="0.2">
      <c r="A274" s="132">
        <v>268</v>
      </c>
      <c r="B274" s="342">
        <v>44494</v>
      </c>
      <c r="C274" s="34" t="s">
        <v>1743</v>
      </c>
      <c r="D274" s="40" t="str">
        <f t="shared" si="8"/>
        <v>2002000268</v>
      </c>
      <c r="E274" s="34" t="s">
        <v>82</v>
      </c>
      <c r="F274" s="52">
        <v>776567911</v>
      </c>
      <c r="G274" s="34"/>
      <c r="H274" s="34" t="s">
        <v>83</v>
      </c>
      <c r="I274" s="278">
        <v>36109</v>
      </c>
      <c r="J274" s="50">
        <f t="shared" ca="1" si="9"/>
        <v>24.87123287671233</v>
      </c>
      <c r="K274" s="50" t="str">
        <f ca="1">IFERROR(VLOOKUP($J274,Ref!$B$7:$C$9,2),"")</f>
        <v>Valid Age</v>
      </c>
      <c r="L274" s="55" t="s">
        <v>86</v>
      </c>
      <c r="M274" s="34"/>
      <c r="N274" s="34" t="s">
        <v>1411</v>
      </c>
      <c r="O274" s="34" t="s">
        <v>349</v>
      </c>
      <c r="P274" s="34" t="s">
        <v>1745</v>
      </c>
      <c r="Q274" s="34" t="s">
        <v>127</v>
      </c>
      <c r="R274" s="34" t="s">
        <v>1744</v>
      </c>
      <c r="S274" s="43">
        <v>45843</v>
      </c>
      <c r="T274" s="43"/>
      <c r="U274" s="43"/>
      <c r="V274" s="58"/>
      <c r="W274" s="34"/>
      <c r="X274" s="34"/>
    </row>
    <row r="275" spans="1:24" x14ac:dyDescent="0.2">
      <c r="A275" s="132">
        <v>269</v>
      </c>
      <c r="B275" s="342">
        <v>44494</v>
      </c>
      <c r="C275" s="34" t="s">
        <v>1746</v>
      </c>
      <c r="D275" s="40" t="str">
        <f t="shared" si="8"/>
        <v>2002000269</v>
      </c>
      <c r="E275" s="34" t="s">
        <v>82</v>
      </c>
      <c r="F275" s="52">
        <v>775078599</v>
      </c>
      <c r="G275" s="34"/>
      <c r="H275" s="34" t="s">
        <v>84</v>
      </c>
      <c r="I275" s="278">
        <v>29900</v>
      </c>
      <c r="J275" s="50">
        <f t="shared" ca="1" si="9"/>
        <v>41.88219178082192</v>
      </c>
      <c r="K275" s="50" t="str">
        <f ca="1">IFERROR(VLOOKUP($J275,Ref!$B$7:$C$9,2),"")</f>
        <v>Valid Age</v>
      </c>
      <c r="L275" s="55" t="s">
        <v>86</v>
      </c>
      <c r="M275" s="34"/>
      <c r="N275" s="34" t="s">
        <v>1303</v>
      </c>
      <c r="O275" s="34" t="s">
        <v>1747</v>
      </c>
      <c r="P275" s="34" t="s">
        <v>1087</v>
      </c>
      <c r="Q275" s="34" t="s">
        <v>127</v>
      </c>
      <c r="R275" s="34" t="s">
        <v>1748</v>
      </c>
      <c r="S275" s="43">
        <v>45614</v>
      </c>
      <c r="T275" s="43"/>
      <c r="U275" s="43"/>
      <c r="V275" s="58"/>
      <c r="W275" s="34"/>
      <c r="X275" s="34"/>
    </row>
    <row r="276" spans="1:24" x14ac:dyDescent="0.2">
      <c r="A276" s="132">
        <v>270</v>
      </c>
      <c r="B276" s="342">
        <v>44495</v>
      </c>
      <c r="C276" s="34" t="s">
        <v>1749</v>
      </c>
      <c r="D276" s="40" t="str">
        <f t="shared" si="8"/>
        <v>2002000270</v>
      </c>
      <c r="E276" s="34" t="s">
        <v>82</v>
      </c>
      <c r="F276" s="52">
        <v>772199466</v>
      </c>
      <c r="G276" s="34"/>
      <c r="H276" s="34" t="s">
        <v>83</v>
      </c>
      <c r="I276" s="278">
        <v>29336</v>
      </c>
      <c r="J276" s="50">
        <f t="shared" ca="1" si="9"/>
        <v>43.42739726027397</v>
      </c>
      <c r="K276" s="50" t="str">
        <f ca="1">IFERROR(VLOOKUP($J276,Ref!$B$7:$C$9,2),"")</f>
        <v>Valid Age</v>
      </c>
      <c r="L276" s="55" t="s">
        <v>85</v>
      </c>
      <c r="M276" s="34"/>
      <c r="N276" s="34" t="s">
        <v>1411</v>
      </c>
      <c r="O276" s="34" t="s">
        <v>1486</v>
      </c>
      <c r="P276" s="34" t="s">
        <v>1750</v>
      </c>
      <c r="Q276" s="34" t="s">
        <v>127</v>
      </c>
      <c r="R276" s="34" t="s">
        <v>1751</v>
      </c>
      <c r="S276" s="43">
        <v>45845</v>
      </c>
      <c r="T276" s="43"/>
      <c r="U276" s="43"/>
      <c r="V276" s="58"/>
      <c r="W276" s="34"/>
      <c r="X276" s="34"/>
    </row>
    <row r="277" spans="1:24" x14ac:dyDescent="0.2">
      <c r="A277" s="132">
        <v>271</v>
      </c>
      <c r="B277" s="342">
        <v>44497</v>
      </c>
      <c r="C277" s="34" t="s">
        <v>1757</v>
      </c>
      <c r="D277" s="40" t="str">
        <f t="shared" si="8"/>
        <v>2002000271</v>
      </c>
      <c r="E277" s="34" t="s">
        <v>82</v>
      </c>
      <c r="F277" s="52">
        <v>760576951</v>
      </c>
      <c r="G277" s="34"/>
      <c r="H277" s="34" t="s">
        <v>83</v>
      </c>
      <c r="I277" s="278">
        <v>30750</v>
      </c>
      <c r="J277" s="50">
        <f t="shared" ca="1" si="9"/>
        <v>39.553424657534244</v>
      </c>
      <c r="K277" s="50" t="str">
        <f ca="1">IFERROR(VLOOKUP($J277,Ref!$B$7:$C$9,2),"")</f>
        <v>Valid Age</v>
      </c>
      <c r="L277" s="55" t="s">
        <v>85</v>
      </c>
      <c r="M277" s="34"/>
      <c r="N277" s="34" t="s">
        <v>1411</v>
      </c>
      <c r="O277" s="34" t="s">
        <v>1452</v>
      </c>
      <c r="P277" s="34" t="s">
        <v>1758</v>
      </c>
      <c r="Q277" s="34" t="s">
        <v>127</v>
      </c>
      <c r="R277" s="34" t="s">
        <v>1759</v>
      </c>
      <c r="S277" s="43">
        <v>45832</v>
      </c>
      <c r="T277" s="43"/>
      <c r="U277" s="43"/>
      <c r="V277" s="58"/>
      <c r="W277" s="34"/>
      <c r="X277" s="34"/>
    </row>
    <row r="278" spans="1:24" x14ac:dyDescent="0.2">
      <c r="A278" s="132">
        <v>272</v>
      </c>
      <c r="B278" s="342">
        <v>44498</v>
      </c>
      <c r="C278" s="34" t="s">
        <v>1763</v>
      </c>
      <c r="D278" s="40" t="str">
        <f t="shared" si="8"/>
        <v>2002000272</v>
      </c>
      <c r="E278" s="34" t="s">
        <v>82</v>
      </c>
      <c r="F278" s="52">
        <v>778783788</v>
      </c>
      <c r="G278" s="34"/>
      <c r="H278" s="34" t="s">
        <v>83</v>
      </c>
      <c r="I278" s="278">
        <v>29342</v>
      </c>
      <c r="J278" s="50">
        <f t="shared" ca="1" si="9"/>
        <v>43.410958904109592</v>
      </c>
      <c r="K278" s="50" t="str">
        <f ca="1">IFERROR(VLOOKUP($J278,Ref!$B$7:$C$9,2),"")</f>
        <v>Valid Age</v>
      </c>
      <c r="L278" s="55" t="s">
        <v>85</v>
      </c>
      <c r="M278" s="34"/>
      <c r="N278" s="34" t="s">
        <v>1411</v>
      </c>
      <c r="O278" s="34" t="s">
        <v>1764</v>
      </c>
      <c r="P278" s="34" t="s">
        <v>1765</v>
      </c>
      <c r="Q278" s="34" t="s">
        <v>127</v>
      </c>
      <c r="R278" s="34" t="s">
        <v>1766</v>
      </c>
      <c r="S278" s="43">
        <v>45970</v>
      </c>
      <c r="T278" s="43"/>
      <c r="U278" s="43"/>
      <c r="V278" s="58"/>
      <c r="W278" s="34"/>
      <c r="X278" s="34"/>
    </row>
    <row r="279" spans="1:24" x14ac:dyDescent="0.2">
      <c r="A279" s="132">
        <v>273</v>
      </c>
      <c r="B279" s="342">
        <v>44501</v>
      </c>
      <c r="C279" s="34" t="s">
        <v>1767</v>
      </c>
      <c r="D279" s="40" t="str">
        <f t="shared" si="8"/>
        <v>2002000273</v>
      </c>
      <c r="E279" s="34" t="s">
        <v>82</v>
      </c>
      <c r="F279" s="52">
        <v>782222881</v>
      </c>
      <c r="G279" s="34"/>
      <c r="H279" s="34" t="s">
        <v>83</v>
      </c>
      <c r="I279" s="278">
        <v>34014</v>
      </c>
      <c r="J279" s="50">
        <f t="shared" ca="1" si="9"/>
        <v>30.610958904109587</v>
      </c>
      <c r="K279" s="50" t="str">
        <f ca="1">IFERROR(VLOOKUP($J279,Ref!$B$7:$C$9,2),"")</f>
        <v>Valid Age</v>
      </c>
      <c r="L279" s="55" t="s">
        <v>85</v>
      </c>
      <c r="M279" s="34"/>
      <c r="N279" s="34" t="s">
        <v>1303</v>
      </c>
      <c r="O279" s="34" t="s">
        <v>121</v>
      </c>
      <c r="P279" s="34" t="s">
        <v>121</v>
      </c>
      <c r="Q279" s="34" t="s">
        <v>127</v>
      </c>
      <c r="R279" s="34" t="s">
        <v>1768</v>
      </c>
      <c r="S279" s="43">
        <v>45832</v>
      </c>
      <c r="T279" s="43"/>
      <c r="U279" s="43"/>
      <c r="V279" s="58"/>
      <c r="W279" s="34"/>
      <c r="X279" s="34"/>
    </row>
    <row r="280" spans="1:24" x14ac:dyDescent="0.2">
      <c r="A280" s="132">
        <v>274</v>
      </c>
      <c r="B280" s="342">
        <v>44502</v>
      </c>
      <c r="C280" s="34" t="s">
        <v>1771</v>
      </c>
      <c r="D280" s="40" t="str">
        <f t="shared" si="8"/>
        <v>2002000274</v>
      </c>
      <c r="E280" s="34" t="s">
        <v>82</v>
      </c>
      <c r="F280" s="52">
        <v>392419577</v>
      </c>
      <c r="G280" s="34"/>
      <c r="H280" s="34" t="s">
        <v>83</v>
      </c>
      <c r="I280" s="278">
        <v>27091</v>
      </c>
      <c r="J280" s="50">
        <f t="shared" ca="1" si="9"/>
        <v>49.578082191780823</v>
      </c>
      <c r="K280" s="50" t="str">
        <f ca="1">IFERROR(VLOOKUP($J280,Ref!$B$7:$C$9,2),"")</f>
        <v>Valid Age</v>
      </c>
      <c r="L280" s="55" t="s">
        <v>85</v>
      </c>
      <c r="M280" s="34"/>
      <c r="N280" s="34" t="s">
        <v>1303</v>
      </c>
      <c r="O280" s="34" t="s">
        <v>1417</v>
      </c>
      <c r="P280" s="34" t="s">
        <v>1417</v>
      </c>
      <c r="Q280" s="34" t="s">
        <v>127</v>
      </c>
      <c r="R280" s="34" t="s">
        <v>1772</v>
      </c>
      <c r="S280" s="43">
        <v>45833</v>
      </c>
      <c r="T280" s="43"/>
      <c r="U280" s="43"/>
      <c r="V280" s="58"/>
      <c r="W280" s="34"/>
      <c r="X280" s="34"/>
    </row>
    <row r="281" spans="1:24" x14ac:dyDescent="0.2">
      <c r="A281" s="132">
        <v>275</v>
      </c>
      <c r="B281" s="342">
        <v>44503</v>
      </c>
      <c r="C281" s="34" t="s">
        <v>1773</v>
      </c>
      <c r="D281" s="40" t="str">
        <f t="shared" si="8"/>
        <v>2002000275</v>
      </c>
      <c r="E281" s="34" t="s">
        <v>82</v>
      </c>
      <c r="F281" s="52">
        <v>780093288</v>
      </c>
      <c r="G281" s="34"/>
      <c r="H281" s="34" t="s">
        <v>84</v>
      </c>
      <c r="I281" s="278">
        <v>30944</v>
      </c>
      <c r="J281" s="50">
        <f t="shared" ca="1" si="9"/>
        <v>39.021917808219179</v>
      </c>
      <c r="K281" s="50" t="str">
        <f ca="1">IFERROR(VLOOKUP($J281,Ref!$B$7:$C$9,2),"")</f>
        <v>Valid Age</v>
      </c>
      <c r="L281" s="55" t="s">
        <v>85</v>
      </c>
      <c r="M281" s="34"/>
      <c r="N281" s="34" t="s">
        <v>1451</v>
      </c>
      <c r="O281" s="34" t="s">
        <v>1483</v>
      </c>
      <c r="P281" s="34" t="s">
        <v>124</v>
      </c>
      <c r="Q281" s="34" t="s">
        <v>127</v>
      </c>
      <c r="R281" s="34" t="s">
        <v>1774</v>
      </c>
      <c r="S281" s="43">
        <v>45832</v>
      </c>
      <c r="T281" s="43"/>
      <c r="U281" s="43"/>
      <c r="V281" s="58"/>
      <c r="W281" s="34"/>
      <c r="X281" s="34"/>
    </row>
    <row r="282" spans="1:24" x14ac:dyDescent="0.2">
      <c r="A282" s="132">
        <v>276</v>
      </c>
      <c r="B282" s="342">
        <v>44503</v>
      </c>
      <c r="C282" s="34" t="s">
        <v>1775</v>
      </c>
      <c r="D282" s="40" t="str">
        <f t="shared" si="8"/>
        <v>2002000276</v>
      </c>
      <c r="E282" s="34" t="s">
        <v>82</v>
      </c>
      <c r="F282" s="52">
        <v>771069516</v>
      </c>
      <c r="G282" s="34"/>
      <c r="H282" s="34" t="s">
        <v>83</v>
      </c>
      <c r="I282" s="278">
        <v>30143</v>
      </c>
      <c r="J282" s="50">
        <f t="shared" ca="1" si="9"/>
        <v>41.216438356164382</v>
      </c>
      <c r="K282" s="50" t="str">
        <f ca="1">IFERROR(VLOOKUP($J282,Ref!$B$7:$C$9,2),"")</f>
        <v>Valid Age</v>
      </c>
      <c r="L282" s="55" t="s">
        <v>85</v>
      </c>
      <c r="M282" s="34"/>
      <c r="N282" s="34" t="s">
        <v>1776</v>
      </c>
      <c r="O282" s="34" t="s">
        <v>1777</v>
      </c>
      <c r="P282" s="34" t="s">
        <v>124</v>
      </c>
      <c r="Q282" s="34" t="s">
        <v>127</v>
      </c>
      <c r="R282" s="34" t="s">
        <v>1778</v>
      </c>
      <c r="S282" s="43">
        <v>45560</v>
      </c>
      <c r="T282" s="43"/>
      <c r="U282" s="43"/>
      <c r="V282" s="58"/>
      <c r="W282" s="34"/>
      <c r="X282" s="34"/>
    </row>
    <row r="283" spans="1:24" x14ac:dyDescent="0.2">
      <c r="A283" s="132">
        <v>277</v>
      </c>
      <c r="B283" s="342">
        <v>44503</v>
      </c>
      <c r="C283" s="34" t="s">
        <v>1779</v>
      </c>
      <c r="D283" s="40" t="str">
        <f t="shared" si="8"/>
        <v>2002000277</v>
      </c>
      <c r="E283" s="34" t="s">
        <v>82</v>
      </c>
      <c r="F283" s="52">
        <v>772034905</v>
      </c>
      <c r="G283" s="34"/>
      <c r="H283" s="34" t="s">
        <v>83</v>
      </c>
      <c r="I283" s="278">
        <v>32300</v>
      </c>
      <c r="J283" s="50">
        <f t="shared" ca="1" si="9"/>
        <v>35.30684931506849</v>
      </c>
      <c r="K283" s="50" t="str">
        <f ca="1">IFERROR(VLOOKUP($J283,Ref!$B$7:$C$9,2),"")</f>
        <v>Valid Age</v>
      </c>
      <c r="L283" s="55" t="s">
        <v>85</v>
      </c>
      <c r="M283" s="34"/>
      <c r="N283" s="34" t="s">
        <v>488</v>
      </c>
      <c r="O283" s="34" t="s">
        <v>1780</v>
      </c>
      <c r="P283" s="34" t="s">
        <v>1781</v>
      </c>
      <c r="Q283" s="34" t="s">
        <v>127</v>
      </c>
      <c r="R283" s="34" t="s">
        <v>1782</v>
      </c>
      <c r="S283" s="43">
        <v>45832</v>
      </c>
      <c r="T283" s="43"/>
      <c r="U283" s="43"/>
      <c r="V283" s="58"/>
      <c r="W283" s="34"/>
      <c r="X283" s="34"/>
    </row>
    <row r="284" spans="1:24" x14ac:dyDescent="0.2">
      <c r="A284" s="132">
        <v>278</v>
      </c>
      <c r="B284" s="342">
        <v>44503</v>
      </c>
      <c r="C284" s="34" t="s">
        <v>1783</v>
      </c>
      <c r="D284" s="40" t="str">
        <f t="shared" si="8"/>
        <v>2002000278</v>
      </c>
      <c r="E284" s="34" t="s">
        <v>82</v>
      </c>
      <c r="F284" s="52">
        <v>782581659</v>
      </c>
      <c r="G284" s="34"/>
      <c r="H284" s="34" t="s">
        <v>84</v>
      </c>
      <c r="I284" s="278">
        <v>35431</v>
      </c>
      <c r="J284" s="50">
        <f t="shared" ca="1" si="9"/>
        <v>26.728767123287671</v>
      </c>
      <c r="K284" s="50" t="str">
        <f ca="1">IFERROR(VLOOKUP($J284,Ref!$B$7:$C$9,2),"")</f>
        <v>Valid Age</v>
      </c>
      <c r="L284" s="55" t="s">
        <v>85</v>
      </c>
      <c r="M284" s="34"/>
      <c r="N284" s="34" t="s">
        <v>1451</v>
      </c>
      <c r="O284" s="34" t="s">
        <v>1784</v>
      </c>
      <c r="P284" s="34" t="s">
        <v>1400</v>
      </c>
      <c r="Q284" s="34" t="s">
        <v>127</v>
      </c>
      <c r="R284" s="34" t="s">
        <v>1785</v>
      </c>
      <c r="S284" s="43">
        <v>45832</v>
      </c>
      <c r="T284" s="43"/>
      <c r="U284" s="43"/>
      <c r="V284" s="58"/>
      <c r="W284" s="34"/>
      <c r="X284" s="34"/>
    </row>
    <row r="285" spans="1:24" x14ac:dyDescent="0.2">
      <c r="A285" s="132">
        <v>279</v>
      </c>
      <c r="B285" s="342">
        <v>44504</v>
      </c>
      <c r="C285" s="34" t="s">
        <v>1786</v>
      </c>
      <c r="D285" s="40" t="str">
        <f t="shared" si="8"/>
        <v>2002000279</v>
      </c>
      <c r="E285" s="34" t="s">
        <v>82</v>
      </c>
      <c r="F285" s="52">
        <v>787426389</v>
      </c>
      <c r="G285" s="34"/>
      <c r="H285" s="34" t="s">
        <v>83</v>
      </c>
      <c r="I285" s="278">
        <v>30143</v>
      </c>
      <c r="J285" s="50">
        <f t="shared" ca="1" si="9"/>
        <v>41.216438356164382</v>
      </c>
      <c r="K285" s="50" t="str">
        <f ca="1">IFERROR(VLOOKUP($J285,Ref!$B$7:$C$9,2),"")</f>
        <v>Valid Age</v>
      </c>
      <c r="L285" s="55" t="s">
        <v>85</v>
      </c>
      <c r="M285" s="34"/>
      <c r="N285" s="34" t="s">
        <v>1411</v>
      </c>
      <c r="O285" s="34" t="s">
        <v>1787</v>
      </c>
      <c r="P285" s="34" t="s">
        <v>306</v>
      </c>
      <c r="Q285" s="34" t="s">
        <v>127</v>
      </c>
      <c r="R285" s="34" t="s">
        <v>1788</v>
      </c>
      <c r="S285" s="43">
        <v>45833</v>
      </c>
      <c r="T285" s="43"/>
      <c r="U285" s="43"/>
      <c r="V285" s="58"/>
      <c r="W285" s="34"/>
      <c r="X285" s="34"/>
    </row>
    <row r="286" spans="1:24" x14ac:dyDescent="0.2">
      <c r="A286" s="132">
        <v>280</v>
      </c>
      <c r="B286" s="342">
        <v>44504</v>
      </c>
      <c r="C286" s="34" t="s">
        <v>1795</v>
      </c>
      <c r="D286" s="40" t="str">
        <f t="shared" si="8"/>
        <v>2002000280</v>
      </c>
      <c r="E286" s="34" t="s">
        <v>82</v>
      </c>
      <c r="F286" s="52">
        <v>779741776</v>
      </c>
      <c r="G286" s="34"/>
      <c r="H286" s="34" t="s">
        <v>83</v>
      </c>
      <c r="I286" s="278">
        <v>35855</v>
      </c>
      <c r="J286" s="50">
        <f t="shared" ca="1" si="9"/>
        <v>25.567123287671233</v>
      </c>
      <c r="K286" s="50" t="str">
        <f ca="1">IFERROR(VLOOKUP($J286,Ref!$B$7:$C$9,2),"")</f>
        <v>Valid Age</v>
      </c>
      <c r="L286" s="55" t="s">
        <v>85</v>
      </c>
      <c r="M286" s="34"/>
      <c r="N286" s="34" t="s">
        <v>1411</v>
      </c>
      <c r="O286" s="34" t="s">
        <v>1796</v>
      </c>
      <c r="P286" s="34" t="s">
        <v>1797</v>
      </c>
      <c r="Q286" s="34" t="s">
        <v>127</v>
      </c>
      <c r="R286" s="34" t="s">
        <v>1798</v>
      </c>
      <c r="S286" s="43">
        <v>45834</v>
      </c>
      <c r="T286" s="43"/>
      <c r="U286" s="43"/>
      <c r="V286" s="58"/>
      <c r="W286" s="34"/>
      <c r="X286" s="34"/>
    </row>
    <row r="287" spans="1:24" x14ac:dyDescent="0.2">
      <c r="A287" s="132">
        <v>281</v>
      </c>
      <c r="B287" s="342">
        <v>44515</v>
      </c>
      <c r="C287" s="34" t="s">
        <v>1806</v>
      </c>
      <c r="D287" s="40" t="str">
        <f t="shared" si="8"/>
        <v>2002000281</v>
      </c>
      <c r="E287" s="34" t="s">
        <v>82</v>
      </c>
      <c r="F287" s="52">
        <v>776050975</v>
      </c>
      <c r="G287" s="34"/>
      <c r="H287" s="34" t="s">
        <v>84</v>
      </c>
      <c r="I287" s="278">
        <v>28557</v>
      </c>
      <c r="J287" s="50">
        <f t="shared" ca="1" si="9"/>
        <v>45.561643835616437</v>
      </c>
      <c r="K287" s="50" t="str">
        <f ca="1">IFERROR(VLOOKUP($J287,Ref!$B$7:$C$9,2),"")</f>
        <v>Valid Age</v>
      </c>
      <c r="L287" s="55" t="s">
        <v>85</v>
      </c>
      <c r="M287" s="34"/>
      <c r="N287" s="34" t="s">
        <v>1807</v>
      </c>
      <c r="O287" s="34" t="s">
        <v>523</v>
      </c>
      <c r="P287" s="34" t="s">
        <v>1808</v>
      </c>
      <c r="Q287" s="34" t="s">
        <v>127</v>
      </c>
      <c r="R287" s="34" t="s">
        <v>1809</v>
      </c>
      <c r="S287" s="43">
        <v>45832</v>
      </c>
      <c r="T287" s="43"/>
      <c r="U287" s="43"/>
      <c r="V287" s="58"/>
      <c r="W287" s="34"/>
      <c r="X287" s="34"/>
    </row>
    <row r="288" spans="1:24" x14ac:dyDescent="0.2">
      <c r="A288" s="132">
        <v>282</v>
      </c>
      <c r="B288" s="342">
        <v>44516</v>
      </c>
      <c r="C288" s="34" t="s">
        <v>1810</v>
      </c>
      <c r="D288" s="40" t="str">
        <f t="shared" si="8"/>
        <v>2002000282</v>
      </c>
      <c r="E288" s="34" t="s">
        <v>82</v>
      </c>
      <c r="F288" s="52">
        <v>772440646</v>
      </c>
      <c r="G288" s="34"/>
      <c r="H288" s="34" t="s">
        <v>83</v>
      </c>
      <c r="I288" s="278">
        <v>24908</v>
      </c>
      <c r="J288" s="50">
        <f t="shared" ca="1" si="9"/>
        <v>55.558904109589044</v>
      </c>
      <c r="K288" s="50" t="str">
        <f ca="1">IFERROR(VLOOKUP($J288,Ref!$B$7:$C$9,2),"")</f>
        <v>Valid Age</v>
      </c>
      <c r="L288" s="55" t="s">
        <v>85</v>
      </c>
      <c r="M288" s="34"/>
      <c r="N288" s="34" t="s">
        <v>1451</v>
      </c>
      <c r="O288" s="34" t="s">
        <v>1811</v>
      </c>
      <c r="P288" s="34" t="s">
        <v>1812</v>
      </c>
      <c r="Q288" s="34" t="s">
        <v>127</v>
      </c>
      <c r="R288" s="34" t="s">
        <v>1813</v>
      </c>
      <c r="S288" s="43">
        <v>45832</v>
      </c>
      <c r="T288" s="43"/>
      <c r="U288" s="43"/>
      <c r="V288" s="58"/>
      <c r="W288" s="34"/>
      <c r="X288" s="34"/>
    </row>
    <row r="289" spans="1:24" x14ac:dyDescent="0.2">
      <c r="A289" s="132">
        <v>283</v>
      </c>
      <c r="B289" s="342">
        <v>44518</v>
      </c>
      <c r="C289" s="34" t="s">
        <v>1819</v>
      </c>
      <c r="D289" s="40" t="str">
        <f t="shared" si="8"/>
        <v>2002000283</v>
      </c>
      <c r="E289" s="34" t="s">
        <v>82</v>
      </c>
      <c r="F289" s="52">
        <v>788536474</v>
      </c>
      <c r="G289" s="34"/>
      <c r="H289" s="34" t="s">
        <v>83</v>
      </c>
      <c r="I289" s="278">
        <v>35597</v>
      </c>
      <c r="J289" s="50">
        <f t="shared" ca="1" si="9"/>
        <v>26.273972602739725</v>
      </c>
      <c r="K289" s="50" t="str">
        <f ca="1">IFERROR(VLOOKUP($J289,Ref!$B$7:$C$9,2),"")</f>
        <v>Valid Age</v>
      </c>
      <c r="L289" s="55" t="s">
        <v>86</v>
      </c>
      <c r="M289" s="34"/>
      <c r="N289" s="34" t="s">
        <v>1411</v>
      </c>
      <c r="O289" s="34" t="s">
        <v>1428</v>
      </c>
      <c r="P289" s="34" t="s">
        <v>1428</v>
      </c>
      <c r="Q289" s="34" t="s">
        <v>127</v>
      </c>
      <c r="R289" s="34" t="s">
        <v>1820</v>
      </c>
      <c r="S289" s="43">
        <v>45605</v>
      </c>
      <c r="T289" s="43"/>
      <c r="U289" s="43"/>
      <c r="V289" s="58"/>
      <c r="W289" s="34"/>
      <c r="X289" s="34"/>
    </row>
    <row r="290" spans="1:24" x14ac:dyDescent="0.2">
      <c r="A290" s="132">
        <v>284</v>
      </c>
      <c r="B290" s="342">
        <v>44518</v>
      </c>
      <c r="C290" s="34" t="s">
        <v>1821</v>
      </c>
      <c r="D290" s="40" t="str">
        <f t="shared" si="8"/>
        <v>2002000284</v>
      </c>
      <c r="E290" s="34" t="s">
        <v>82</v>
      </c>
      <c r="F290" s="52">
        <v>780381553</v>
      </c>
      <c r="G290" s="34"/>
      <c r="H290" s="34" t="s">
        <v>83</v>
      </c>
      <c r="I290" s="278">
        <v>31577</v>
      </c>
      <c r="J290" s="50">
        <f t="shared" ca="1" si="9"/>
        <v>37.287671232876711</v>
      </c>
      <c r="K290" s="50" t="str">
        <f ca="1">IFERROR(VLOOKUP($J290,Ref!$B$7:$C$9,2),"")</f>
        <v>Valid Age</v>
      </c>
      <c r="L290" s="55" t="s">
        <v>85</v>
      </c>
      <c r="M290" s="34"/>
      <c r="N290" s="34" t="s">
        <v>1303</v>
      </c>
      <c r="O290" s="34" t="s">
        <v>1780</v>
      </c>
      <c r="P290" s="34" t="s">
        <v>1822</v>
      </c>
      <c r="Q290" s="34" t="s">
        <v>127</v>
      </c>
      <c r="R290" s="34" t="s">
        <v>1823</v>
      </c>
      <c r="S290" s="43">
        <v>45832</v>
      </c>
      <c r="T290" s="43"/>
      <c r="U290" s="43"/>
      <c r="V290" s="58"/>
      <c r="W290" s="34"/>
      <c r="X290" s="34"/>
    </row>
    <row r="291" spans="1:24" x14ac:dyDescent="0.2">
      <c r="A291" s="132">
        <v>285</v>
      </c>
      <c r="B291" s="342">
        <v>44522</v>
      </c>
      <c r="C291" s="34" t="s">
        <v>1824</v>
      </c>
      <c r="D291" s="40" t="str">
        <f t="shared" si="8"/>
        <v>2002000285</v>
      </c>
      <c r="E291" s="34" t="s">
        <v>82</v>
      </c>
      <c r="F291" s="52">
        <v>789002514</v>
      </c>
      <c r="G291" s="34"/>
      <c r="H291" s="34" t="s">
        <v>83</v>
      </c>
      <c r="I291" s="278">
        <v>31535</v>
      </c>
      <c r="J291" s="50">
        <f t="shared" ca="1" si="9"/>
        <v>37.402739726027399</v>
      </c>
      <c r="K291" s="50" t="str">
        <f ca="1">IFERROR(VLOOKUP($J291,Ref!$B$7:$C$9,2),"")</f>
        <v>Valid Age</v>
      </c>
      <c r="L291" s="55" t="s">
        <v>85</v>
      </c>
      <c r="M291" s="34"/>
      <c r="N291" s="34" t="s">
        <v>1411</v>
      </c>
      <c r="O291" s="34" t="s">
        <v>1825</v>
      </c>
      <c r="P291" s="34" t="s">
        <v>1825</v>
      </c>
      <c r="Q291" s="34" t="s">
        <v>127</v>
      </c>
      <c r="R291" s="34" t="s">
        <v>1826</v>
      </c>
      <c r="S291" s="43">
        <v>45833</v>
      </c>
      <c r="T291" s="43"/>
      <c r="U291" s="43"/>
      <c r="V291" s="58"/>
      <c r="W291" s="34"/>
      <c r="X291" s="34"/>
    </row>
    <row r="292" spans="1:24" x14ac:dyDescent="0.2">
      <c r="A292" s="132">
        <v>286</v>
      </c>
      <c r="B292" s="342">
        <v>44522</v>
      </c>
      <c r="C292" s="34" t="s">
        <v>1827</v>
      </c>
      <c r="D292" s="40" t="str">
        <f t="shared" si="8"/>
        <v>2002000286</v>
      </c>
      <c r="E292" s="34" t="s">
        <v>82</v>
      </c>
      <c r="F292" s="52">
        <v>773072513</v>
      </c>
      <c r="G292" s="34"/>
      <c r="H292" s="34" t="s">
        <v>84</v>
      </c>
      <c r="I292" s="278">
        <v>31632</v>
      </c>
      <c r="J292" s="50">
        <f t="shared" ca="1" si="9"/>
        <v>37.136986301369866</v>
      </c>
      <c r="K292" s="50" t="str">
        <f ca="1">IFERROR(VLOOKUP($J292,Ref!$B$7:$C$9,2),"")</f>
        <v>Valid Age</v>
      </c>
      <c r="L292" s="55" t="s">
        <v>85</v>
      </c>
      <c r="M292" s="34"/>
      <c r="N292" s="34" t="s">
        <v>1303</v>
      </c>
      <c r="O292" s="34" t="s">
        <v>1828</v>
      </c>
      <c r="P292" s="34" t="s">
        <v>1829</v>
      </c>
      <c r="Q292" s="34" t="s">
        <v>127</v>
      </c>
      <c r="R292" s="34" t="s">
        <v>1830</v>
      </c>
      <c r="S292" s="43">
        <v>45832</v>
      </c>
      <c r="T292" s="43"/>
      <c r="U292" s="43"/>
      <c r="V292" s="58"/>
      <c r="W292" s="34"/>
      <c r="X292" s="34"/>
    </row>
    <row r="293" spans="1:24" x14ac:dyDescent="0.2">
      <c r="A293" s="132">
        <v>287</v>
      </c>
      <c r="B293" s="342">
        <v>44522</v>
      </c>
      <c r="C293" s="34" t="s">
        <v>1831</v>
      </c>
      <c r="D293" s="40" t="str">
        <f t="shared" si="8"/>
        <v>2002000287</v>
      </c>
      <c r="E293" s="34" t="s">
        <v>82</v>
      </c>
      <c r="F293" s="52"/>
      <c r="G293" s="34"/>
      <c r="H293" s="34" t="s">
        <v>84</v>
      </c>
      <c r="I293" s="278">
        <v>32874</v>
      </c>
      <c r="J293" s="50">
        <f t="shared" ca="1" si="9"/>
        <v>33.734246575342468</v>
      </c>
      <c r="K293" s="50" t="str">
        <f ca="1">IFERROR(VLOOKUP($J293,Ref!$B$7:$C$9,2),"")</f>
        <v>Valid Age</v>
      </c>
      <c r="L293" s="55" t="s">
        <v>85</v>
      </c>
      <c r="M293" s="34"/>
      <c r="N293" s="34" t="s">
        <v>1451</v>
      </c>
      <c r="O293" s="34" t="s">
        <v>1832</v>
      </c>
      <c r="P293" s="34" t="s">
        <v>1833</v>
      </c>
      <c r="Q293" s="34" t="s">
        <v>127</v>
      </c>
      <c r="R293" s="34" t="s">
        <v>1834</v>
      </c>
      <c r="S293" s="43">
        <v>47492</v>
      </c>
      <c r="T293" s="43"/>
      <c r="U293" s="43"/>
      <c r="V293" s="58"/>
      <c r="W293" s="34"/>
      <c r="X293" s="34"/>
    </row>
    <row r="294" spans="1:24" x14ac:dyDescent="0.2">
      <c r="A294" s="132">
        <v>288</v>
      </c>
      <c r="B294" s="342">
        <v>44523</v>
      </c>
      <c r="C294" s="34" t="s">
        <v>1835</v>
      </c>
      <c r="D294" s="40" t="str">
        <f t="shared" si="8"/>
        <v>2002000288</v>
      </c>
      <c r="E294" s="34" t="s">
        <v>82</v>
      </c>
      <c r="F294" s="52">
        <v>760420965</v>
      </c>
      <c r="G294" s="34"/>
      <c r="H294" s="34" t="s">
        <v>83</v>
      </c>
      <c r="I294" s="278">
        <v>34376</v>
      </c>
      <c r="J294" s="50">
        <f t="shared" ca="1" si="9"/>
        <v>29.61917808219178</v>
      </c>
      <c r="K294" s="50" t="str">
        <f ca="1">IFERROR(VLOOKUP($J294,Ref!$B$7:$C$9,2),"")</f>
        <v>Valid Age</v>
      </c>
      <c r="L294" s="55" t="s">
        <v>85</v>
      </c>
      <c r="M294" s="34"/>
      <c r="N294" s="34" t="s">
        <v>1171</v>
      </c>
      <c r="O294" s="34" t="s">
        <v>99</v>
      </c>
      <c r="P294" s="34" t="s">
        <v>1683</v>
      </c>
      <c r="Q294" s="34" t="s">
        <v>127</v>
      </c>
      <c r="R294" s="34" t="s">
        <v>1836</v>
      </c>
      <c r="S294" s="43">
        <v>45560</v>
      </c>
      <c r="T294" s="43"/>
      <c r="U294" s="43"/>
      <c r="V294" s="58"/>
      <c r="W294" s="34"/>
      <c r="X294" s="34"/>
    </row>
    <row r="295" spans="1:24" x14ac:dyDescent="0.2">
      <c r="A295" s="132">
        <v>289</v>
      </c>
      <c r="B295" s="342">
        <v>44523</v>
      </c>
      <c r="C295" s="34" t="s">
        <v>1837</v>
      </c>
      <c r="D295" s="40" t="str">
        <f t="shared" si="8"/>
        <v>2002000289</v>
      </c>
      <c r="E295" s="34" t="s">
        <v>82</v>
      </c>
      <c r="F295" s="52">
        <v>773073050</v>
      </c>
      <c r="G295" s="34"/>
      <c r="H295" s="34" t="s">
        <v>84</v>
      </c>
      <c r="I295" s="278">
        <v>25165</v>
      </c>
      <c r="J295" s="50">
        <f t="shared" ca="1" si="9"/>
        <v>54.854794520547948</v>
      </c>
      <c r="K295" s="50" t="str">
        <f ca="1">IFERROR(VLOOKUP($J295,Ref!$B$7:$C$9,2),"")</f>
        <v>Valid Age</v>
      </c>
      <c r="L295" s="55" t="s">
        <v>85</v>
      </c>
      <c r="M295" s="34"/>
      <c r="N295" s="34" t="s">
        <v>1451</v>
      </c>
      <c r="O295" s="34" t="s">
        <v>1676</v>
      </c>
      <c r="P295" s="34" t="s">
        <v>1087</v>
      </c>
      <c r="Q295" s="34" t="s">
        <v>127</v>
      </c>
      <c r="R295" s="34" t="s">
        <v>1838</v>
      </c>
      <c r="S295" s="43">
        <v>45833</v>
      </c>
      <c r="T295" s="43"/>
      <c r="U295" s="43"/>
      <c r="V295" s="58"/>
      <c r="W295" s="34"/>
      <c r="X295" s="34"/>
    </row>
    <row r="296" spans="1:24" x14ac:dyDescent="0.2">
      <c r="A296" s="132">
        <v>290</v>
      </c>
      <c r="B296" s="342">
        <v>44523</v>
      </c>
      <c r="C296" s="34" t="s">
        <v>1839</v>
      </c>
      <c r="D296" s="40" t="str">
        <f t="shared" si="8"/>
        <v>2002000290</v>
      </c>
      <c r="E296" s="34" t="s">
        <v>82</v>
      </c>
      <c r="F296" s="52">
        <v>782391043</v>
      </c>
      <c r="G296" s="34"/>
      <c r="H296" s="34" t="s">
        <v>83</v>
      </c>
      <c r="I296" s="278">
        <v>30656</v>
      </c>
      <c r="J296" s="50">
        <f t="shared" ca="1" si="9"/>
        <v>39.81095890410959</v>
      </c>
      <c r="K296" s="50" t="str">
        <f ca="1">IFERROR(VLOOKUP($J296,Ref!$B$7:$C$9,2),"")</f>
        <v>Valid Age</v>
      </c>
      <c r="L296" s="55" t="s">
        <v>85</v>
      </c>
      <c r="M296" s="34"/>
      <c r="N296" s="34" t="s">
        <v>1411</v>
      </c>
      <c r="O296" s="34" t="s">
        <v>1184</v>
      </c>
      <c r="P296" s="34" t="s">
        <v>1840</v>
      </c>
      <c r="Q296" s="34" t="s">
        <v>127</v>
      </c>
      <c r="R296" s="34" t="s">
        <v>1841</v>
      </c>
      <c r="S296" s="43">
        <v>45833</v>
      </c>
      <c r="T296" s="43"/>
      <c r="U296" s="43"/>
      <c r="V296" s="58"/>
      <c r="W296" s="34"/>
      <c r="X296" s="34"/>
    </row>
    <row r="297" spans="1:24" x14ac:dyDescent="0.2">
      <c r="A297" s="132">
        <v>291</v>
      </c>
      <c r="B297" s="342">
        <v>44524</v>
      </c>
      <c r="C297" s="34" t="s">
        <v>1845</v>
      </c>
      <c r="D297" s="40" t="str">
        <f t="shared" si="8"/>
        <v>2002000291</v>
      </c>
      <c r="E297" s="34" t="s">
        <v>82</v>
      </c>
      <c r="F297" s="52">
        <v>778282368</v>
      </c>
      <c r="G297" s="34"/>
      <c r="H297" s="34" t="s">
        <v>83</v>
      </c>
      <c r="I297" s="278">
        <v>35886</v>
      </c>
      <c r="J297" s="50">
        <f t="shared" ca="1" si="9"/>
        <v>25.482191780821918</v>
      </c>
      <c r="K297" s="50" t="str">
        <f ca="1">IFERROR(VLOOKUP($J297,Ref!$B$7:$C$9,2),"")</f>
        <v>Valid Age</v>
      </c>
      <c r="L297" s="55" t="s">
        <v>85</v>
      </c>
      <c r="M297" s="34"/>
      <c r="N297" s="34" t="s">
        <v>1846</v>
      </c>
      <c r="O297" s="34" t="s">
        <v>385</v>
      </c>
      <c r="P297" s="34" t="s">
        <v>1832</v>
      </c>
      <c r="Q297" s="34" t="s">
        <v>127</v>
      </c>
      <c r="R297" s="34" t="s">
        <v>1847</v>
      </c>
      <c r="S297" s="43">
        <v>45588</v>
      </c>
      <c r="T297" s="43"/>
      <c r="U297" s="43"/>
      <c r="V297" s="58"/>
      <c r="W297" s="34"/>
      <c r="X297" s="34"/>
    </row>
    <row r="298" spans="1:24" x14ac:dyDescent="0.2">
      <c r="A298" s="132">
        <v>292</v>
      </c>
      <c r="B298" s="342">
        <v>44529</v>
      </c>
      <c r="C298" s="34" t="s">
        <v>1870</v>
      </c>
      <c r="D298" s="40" t="str">
        <f t="shared" si="8"/>
        <v>2002000292</v>
      </c>
      <c r="E298" s="34" t="s">
        <v>82</v>
      </c>
      <c r="F298" s="52">
        <v>788313863</v>
      </c>
      <c r="G298" s="34"/>
      <c r="H298" s="34" t="s">
        <v>83</v>
      </c>
      <c r="I298" s="278">
        <v>32488</v>
      </c>
      <c r="J298" s="50">
        <f t="shared" ca="1" si="9"/>
        <v>34.791780821917811</v>
      </c>
      <c r="K298" s="50" t="str">
        <f ca="1">IFERROR(VLOOKUP($J298,Ref!$B$7:$C$9,2),"")</f>
        <v>Valid Age</v>
      </c>
      <c r="L298" s="55" t="s">
        <v>85</v>
      </c>
      <c r="M298" s="34"/>
      <c r="N298" s="34" t="s">
        <v>1871</v>
      </c>
      <c r="O298" s="34" t="s">
        <v>1872</v>
      </c>
      <c r="P298" s="34" t="s">
        <v>1873</v>
      </c>
      <c r="Q298" s="34" t="s">
        <v>127</v>
      </c>
      <c r="R298" s="34" t="s">
        <v>1874</v>
      </c>
      <c r="S298" s="43">
        <v>45550</v>
      </c>
      <c r="T298" s="43"/>
      <c r="U298" s="43"/>
      <c r="V298" s="58"/>
      <c r="W298" s="34"/>
      <c r="X298" s="34"/>
    </row>
    <row r="299" spans="1:24" x14ac:dyDescent="0.2">
      <c r="A299" s="132">
        <v>293</v>
      </c>
      <c r="B299" s="342">
        <v>44529</v>
      </c>
      <c r="C299" s="34" t="s">
        <v>1862</v>
      </c>
      <c r="D299" s="40" t="str">
        <f t="shared" si="8"/>
        <v>2002000293</v>
      </c>
      <c r="E299" s="34" t="s">
        <v>82</v>
      </c>
      <c r="F299" s="52">
        <v>773940255</v>
      </c>
      <c r="G299" s="34"/>
      <c r="H299" s="34" t="s">
        <v>84</v>
      </c>
      <c r="I299" s="278">
        <v>31516</v>
      </c>
      <c r="J299" s="50">
        <f t="shared" ca="1" si="9"/>
        <v>37.454794520547942</v>
      </c>
      <c r="K299" s="50" t="str">
        <f ca="1">IFERROR(VLOOKUP($J299,Ref!$B$7:$C$9,2),"")</f>
        <v>Valid Age</v>
      </c>
      <c r="L299" s="55" t="s">
        <v>85</v>
      </c>
      <c r="M299" s="34"/>
      <c r="N299" s="34" t="s">
        <v>1451</v>
      </c>
      <c r="O299" s="34" t="s">
        <v>1863</v>
      </c>
      <c r="P299" s="34" t="s">
        <v>1864</v>
      </c>
      <c r="Q299" s="34" t="s">
        <v>127</v>
      </c>
      <c r="R299" s="34" t="s">
        <v>1865</v>
      </c>
      <c r="S299" s="43">
        <v>45832</v>
      </c>
      <c r="T299" s="43"/>
      <c r="U299" s="43"/>
      <c r="V299" s="58"/>
      <c r="W299" s="34"/>
      <c r="X299" s="34"/>
    </row>
    <row r="300" spans="1:24" x14ac:dyDescent="0.2">
      <c r="A300" s="132">
        <v>294</v>
      </c>
      <c r="B300" s="342">
        <v>44529</v>
      </c>
      <c r="C300" s="34" t="s">
        <v>1866</v>
      </c>
      <c r="D300" s="40" t="str">
        <f t="shared" si="8"/>
        <v>2002000294</v>
      </c>
      <c r="E300" s="34" t="s">
        <v>82</v>
      </c>
      <c r="F300" s="52">
        <v>773893441</v>
      </c>
      <c r="G300" s="34"/>
      <c r="H300" s="34" t="s">
        <v>84</v>
      </c>
      <c r="I300" s="278">
        <v>27863</v>
      </c>
      <c r="J300" s="50">
        <f t="shared" ca="1" si="9"/>
        <v>47.463013698630135</v>
      </c>
      <c r="K300" s="50" t="str">
        <f ca="1">IFERROR(VLOOKUP($J300,Ref!$B$7:$C$9,2),"")</f>
        <v>Valid Age</v>
      </c>
      <c r="L300" s="55" t="s">
        <v>85</v>
      </c>
      <c r="M300" s="34"/>
      <c r="N300" s="34" t="s">
        <v>1451</v>
      </c>
      <c r="O300" s="34" t="s">
        <v>1867</v>
      </c>
      <c r="P300" s="34" t="s">
        <v>1868</v>
      </c>
      <c r="Q300" s="34" t="s">
        <v>127</v>
      </c>
      <c r="R300" s="34" t="s">
        <v>1869</v>
      </c>
      <c r="S300" s="43">
        <v>45833</v>
      </c>
      <c r="T300" s="43"/>
      <c r="U300" s="43"/>
      <c r="V300" s="58"/>
      <c r="W300" s="34"/>
      <c r="X300" s="34"/>
    </row>
    <row r="301" spans="1:24" x14ac:dyDescent="0.2">
      <c r="A301" s="132">
        <v>295</v>
      </c>
      <c r="B301" s="342">
        <v>44529</v>
      </c>
      <c r="C301" s="34" t="s">
        <v>1875</v>
      </c>
      <c r="D301" s="40" t="str">
        <f t="shared" si="8"/>
        <v>2002000295</v>
      </c>
      <c r="E301" s="34" t="s">
        <v>82</v>
      </c>
      <c r="F301" s="52">
        <v>774421409</v>
      </c>
      <c r="G301" s="34"/>
      <c r="H301" s="34" t="s">
        <v>83</v>
      </c>
      <c r="I301" s="278">
        <v>29256</v>
      </c>
      <c r="J301" s="50">
        <f t="shared" ca="1" si="9"/>
        <v>43.646575342465752</v>
      </c>
      <c r="K301" s="50" t="str">
        <f ca="1">IFERROR(VLOOKUP($J301,Ref!$B$7:$C$9,2),"")</f>
        <v>Valid Age</v>
      </c>
      <c r="L301" s="55" t="s">
        <v>85</v>
      </c>
      <c r="M301" s="34"/>
      <c r="N301" s="34" t="s">
        <v>1411</v>
      </c>
      <c r="O301" s="34" t="s">
        <v>1377</v>
      </c>
      <c r="P301" s="34" t="s">
        <v>1417</v>
      </c>
      <c r="Q301" s="34" t="s">
        <v>127</v>
      </c>
      <c r="R301" s="34" t="s">
        <v>1876</v>
      </c>
      <c r="S301" s="43">
        <v>45833</v>
      </c>
      <c r="T301" s="43"/>
      <c r="U301" s="43"/>
      <c r="V301" s="58"/>
      <c r="W301" s="34"/>
      <c r="X301" s="34"/>
    </row>
    <row r="302" spans="1:24" x14ac:dyDescent="0.2">
      <c r="A302" s="132">
        <v>296</v>
      </c>
      <c r="B302" s="342">
        <v>44529</v>
      </c>
      <c r="C302" s="34" t="s">
        <v>1877</v>
      </c>
      <c r="D302" s="40" t="str">
        <f t="shared" si="8"/>
        <v>2002000296</v>
      </c>
      <c r="E302" s="34" t="s">
        <v>82</v>
      </c>
      <c r="F302" s="52">
        <v>780111640</v>
      </c>
      <c r="G302" s="34"/>
      <c r="H302" s="34" t="s">
        <v>84</v>
      </c>
      <c r="I302" s="278">
        <v>30969</v>
      </c>
      <c r="J302" s="50">
        <f t="shared" ca="1" si="9"/>
        <v>38.953424657534249</v>
      </c>
      <c r="K302" s="50" t="str">
        <f ca="1">IFERROR(VLOOKUP($J302,Ref!$B$7:$C$9,2),"")</f>
        <v>Valid Age</v>
      </c>
      <c r="L302" s="55" t="s">
        <v>85</v>
      </c>
      <c r="M302" s="34"/>
      <c r="N302" s="34" t="s">
        <v>1451</v>
      </c>
      <c r="O302" s="34" t="s">
        <v>1878</v>
      </c>
      <c r="P302" s="34" t="s">
        <v>1864</v>
      </c>
      <c r="Q302" s="34" t="s">
        <v>127</v>
      </c>
      <c r="R302" s="34" t="s">
        <v>1879</v>
      </c>
      <c r="S302" s="43">
        <v>45833</v>
      </c>
      <c r="T302" s="43"/>
      <c r="U302" s="43"/>
      <c r="V302" s="58"/>
      <c r="W302" s="34"/>
      <c r="X302" s="34"/>
    </row>
    <row r="303" spans="1:24" x14ac:dyDescent="0.2">
      <c r="A303" s="132">
        <v>297</v>
      </c>
      <c r="B303" s="342">
        <v>44529</v>
      </c>
      <c r="C303" s="34" t="s">
        <v>1880</v>
      </c>
      <c r="D303" s="40" t="str">
        <f t="shared" si="8"/>
        <v>2002000297</v>
      </c>
      <c r="E303" s="34" t="s">
        <v>82</v>
      </c>
      <c r="F303" s="52">
        <v>782360306</v>
      </c>
      <c r="G303" s="34"/>
      <c r="H303" s="34" t="s">
        <v>83</v>
      </c>
      <c r="I303" s="278">
        <v>24060</v>
      </c>
      <c r="J303" s="50">
        <f t="shared" ca="1" si="9"/>
        <v>57.88219178082192</v>
      </c>
      <c r="K303" s="50" t="str">
        <f ca="1">IFERROR(VLOOKUP($J303,Ref!$B$7:$C$9,2),"")</f>
        <v>Over Age</v>
      </c>
      <c r="L303" s="55" t="s">
        <v>85</v>
      </c>
      <c r="M303" s="34"/>
      <c r="N303" s="34" t="s">
        <v>1411</v>
      </c>
      <c r="O303" s="34" t="s">
        <v>99</v>
      </c>
      <c r="P303" s="34" t="s">
        <v>531</v>
      </c>
      <c r="Q303" s="34" t="s">
        <v>127</v>
      </c>
      <c r="R303" s="34" t="s">
        <v>1881</v>
      </c>
      <c r="S303" s="43">
        <v>47099</v>
      </c>
      <c r="T303" s="43"/>
      <c r="U303" s="43"/>
      <c r="V303" s="58"/>
      <c r="W303" s="34"/>
      <c r="X303" s="34"/>
    </row>
    <row r="304" spans="1:24" x14ac:dyDescent="0.2">
      <c r="A304" s="132">
        <v>298</v>
      </c>
      <c r="B304" s="342">
        <v>44534</v>
      </c>
      <c r="C304" s="34" t="s">
        <v>1888</v>
      </c>
      <c r="D304" s="40" t="str">
        <f t="shared" si="8"/>
        <v>2002000298</v>
      </c>
      <c r="E304" s="34" t="s">
        <v>82</v>
      </c>
      <c r="F304" s="52">
        <v>783820645</v>
      </c>
      <c r="G304" s="34"/>
      <c r="H304" s="34" t="s">
        <v>84</v>
      </c>
      <c r="I304" s="278">
        <v>30628</v>
      </c>
      <c r="J304" s="50">
        <f t="shared" ca="1" si="9"/>
        <v>39.887671232876713</v>
      </c>
      <c r="K304" s="50" t="str">
        <f ca="1">IFERROR(VLOOKUP($J304,Ref!$B$7:$C$9,2),"")</f>
        <v>Valid Age</v>
      </c>
      <c r="L304" s="55" t="s">
        <v>85</v>
      </c>
      <c r="M304" s="34"/>
      <c r="N304" s="34" t="s">
        <v>1451</v>
      </c>
      <c r="O304" s="34" t="s">
        <v>1045</v>
      </c>
      <c r="P304" s="34" t="s">
        <v>1889</v>
      </c>
      <c r="Q304" s="34" t="s">
        <v>127</v>
      </c>
      <c r="R304" s="34" t="s">
        <v>1890</v>
      </c>
      <c r="S304" s="43">
        <v>45621</v>
      </c>
      <c r="T304" s="43"/>
      <c r="U304" s="43"/>
      <c r="V304" s="58"/>
      <c r="W304" s="34"/>
      <c r="X304" s="34"/>
    </row>
    <row r="305" spans="1:24" x14ac:dyDescent="0.2">
      <c r="A305" s="132">
        <v>299</v>
      </c>
      <c r="B305" s="342">
        <v>44534</v>
      </c>
      <c r="C305" s="34" t="s">
        <v>1891</v>
      </c>
      <c r="D305" s="40" t="str">
        <f t="shared" si="8"/>
        <v>2002000299</v>
      </c>
      <c r="E305" s="34" t="s">
        <v>82</v>
      </c>
      <c r="F305" s="52"/>
      <c r="G305" s="34"/>
      <c r="H305" s="34" t="s">
        <v>84</v>
      </c>
      <c r="I305" s="278">
        <v>34556</v>
      </c>
      <c r="J305" s="50">
        <f t="shared" ca="1" si="9"/>
        <v>29.126027397260273</v>
      </c>
      <c r="K305" s="50" t="str">
        <f ca="1">IFERROR(VLOOKUP($J305,Ref!$B$7:$C$9,2),"")</f>
        <v>Valid Age</v>
      </c>
      <c r="L305" s="55" t="s">
        <v>85</v>
      </c>
      <c r="M305" s="34"/>
      <c r="N305" s="34" t="s">
        <v>1451</v>
      </c>
      <c r="O305" s="34" t="s">
        <v>1878</v>
      </c>
      <c r="P305" s="34" t="s">
        <v>404</v>
      </c>
      <c r="Q305" s="34" t="s">
        <v>127</v>
      </c>
      <c r="R305" s="34" t="s">
        <v>1892</v>
      </c>
      <c r="S305" s="43">
        <v>45833</v>
      </c>
      <c r="T305" s="43"/>
      <c r="U305" s="43"/>
      <c r="V305" s="58"/>
      <c r="W305" s="34"/>
      <c r="X305" s="34"/>
    </row>
    <row r="306" spans="1:24" x14ac:dyDescent="0.2">
      <c r="A306" s="132">
        <v>300</v>
      </c>
      <c r="B306" s="342">
        <v>44536</v>
      </c>
      <c r="C306" s="34" t="s">
        <v>1895</v>
      </c>
      <c r="D306" s="40" t="str">
        <f t="shared" si="8"/>
        <v>2002000300</v>
      </c>
      <c r="E306" s="34" t="s">
        <v>82</v>
      </c>
      <c r="F306" s="52">
        <v>778928819</v>
      </c>
      <c r="G306" s="34"/>
      <c r="H306" s="34" t="s">
        <v>84</v>
      </c>
      <c r="I306" s="278">
        <v>32874</v>
      </c>
      <c r="J306" s="50">
        <f t="shared" ca="1" si="9"/>
        <v>33.734246575342468</v>
      </c>
      <c r="K306" s="50" t="str">
        <f ca="1">IFERROR(VLOOKUP($J306,Ref!$B$7:$C$9,2),"")</f>
        <v>Valid Age</v>
      </c>
      <c r="L306" s="55" t="s">
        <v>85</v>
      </c>
      <c r="M306" s="34"/>
      <c r="N306" s="34" t="s">
        <v>1451</v>
      </c>
      <c r="O306" s="34" t="s">
        <v>1738</v>
      </c>
      <c r="P306" s="34" t="s">
        <v>482</v>
      </c>
      <c r="Q306" s="34" t="s">
        <v>127</v>
      </c>
      <c r="R306" s="34" t="s">
        <v>1896</v>
      </c>
      <c r="S306" s="43">
        <v>45647</v>
      </c>
      <c r="T306" s="43"/>
      <c r="U306" s="43"/>
      <c r="V306" s="58"/>
      <c r="W306" s="34"/>
      <c r="X306" s="34"/>
    </row>
    <row r="307" spans="1:24" x14ac:dyDescent="0.2">
      <c r="A307" s="132">
        <v>301</v>
      </c>
      <c r="B307" s="342">
        <v>44536</v>
      </c>
      <c r="C307" s="34" t="s">
        <v>1897</v>
      </c>
      <c r="D307" s="40" t="str">
        <f t="shared" si="8"/>
        <v>2002000301</v>
      </c>
      <c r="E307" s="34" t="s">
        <v>82</v>
      </c>
      <c r="F307" s="52">
        <v>782072185</v>
      </c>
      <c r="G307" s="34"/>
      <c r="H307" s="34" t="s">
        <v>83</v>
      </c>
      <c r="I307" s="278">
        <v>29221</v>
      </c>
      <c r="J307" s="50">
        <f t="shared" ca="1" si="9"/>
        <v>43.742465753424661</v>
      </c>
      <c r="K307" s="50" t="str">
        <f ca="1">IFERROR(VLOOKUP($J307,Ref!$B$7:$C$9,2),"")</f>
        <v>Valid Age</v>
      </c>
      <c r="L307" s="55" t="s">
        <v>85</v>
      </c>
      <c r="M307" s="34"/>
      <c r="N307" s="34" t="s">
        <v>1411</v>
      </c>
      <c r="O307" s="34" t="s">
        <v>1898</v>
      </c>
      <c r="P307" s="34" t="s">
        <v>1400</v>
      </c>
      <c r="Q307" s="34" t="s">
        <v>127</v>
      </c>
      <c r="R307" s="34" t="s">
        <v>1899</v>
      </c>
      <c r="S307" s="43">
        <v>45832</v>
      </c>
      <c r="T307" s="43"/>
      <c r="U307" s="43"/>
      <c r="V307" s="58"/>
      <c r="W307" s="34"/>
      <c r="X307" s="34"/>
    </row>
    <row r="308" spans="1:24" x14ac:dyDescent="0.2">
      <c r="A308" s="132">
        <v>302</v>
      </c>
      <c r="B308" s="342">
        <v>44537</v>
      </c>
      <c r="C308" s="34" t="s">
        <v>1901</v>
      </c>
      <c r="D308" s="40" t="str">
        <f t="shared" si="8"/>
        <v>2002000302</v>
      </c>
      <c r="E308" s="34" t="s">
        <v>82</v>
      </c>
      <c r="F308" s="52">
        <v>774140132</v>
      </c>
      <c r="G308" s="34"/>
      <c r="H308" s="34" t="s">
        <v>84</v>
      </c>
      <c r="I308" s="278">
        <v>30130</v>
      </c>
      <c r="J308" s="50">
        <f t="shared" ca="1" si="9"/>
        <v>41.252054794520546</v>
      </c>
      <c r="K308" s="50" t="str">
        <f ca="1">IFERROR(VLOOKUP($J308,Ref!$B$7:$C$9,2),"")</f>
        <v>Valid Age</v>
      </c>
      <c r="L308" s="55" t="s">
        <v>1680</v>
      </c>
      <c r="M308" s="34"/>
      <c r="N308" s="34" t="s">
        <v>1451</v>
      </c>
      <c r="O308" s="34" t="s">
        <v>523</v>
      </c>
      <c r="P308" s="34" t="s">
        <v>1087</v>
      </c>
      <c r="Q308" s="34" t="s">
        <v>127</v>
      </c>
      <c r="R308" s="34" t="s">
        <v>1902</v>
      </c>
      <c r="S308" s="43">
        <v>45832</v>
      </c>
      <c r="T308" s="43"/>
      <c r="U308" s="43"/>
      <c r="V308" s="58"/>
      <c r="W308" s="34"/>
      <c r="X308" s="34"/>
    </row>
    <row r="309" spans="1:24" x14ac:dyDescent="0.2">
      <c r="A309" s="132">
        <v>303</v>
      </c>
      <c r="B309" s="342">
        <v>44539</v>
      </c>
      <c r="C309" s="34" t="s">
        <v>1911</v>
      </c>
      <c r="D309" s="40" t="str">
        <f t="shared" si="8"/>
        <v>2002000303</v>
      </c>
      <c r="E309" s="34" t="s">
        <v>82</v>
      </c>
      <c r="F309" s="52">
        <v>772767623</v>
      </c>
      <c r="G309" s="34"/>
      <c r="H309" s="34" t="s">
        <v>84</v>
      </c>
      <c r="I309" s="278">
        <v>27744</v>
      </c>
      <c r="J309" s="50">
        <f t="shared" ca="1" si="9"/>
        <v>47.789041095890411</v>
      </c>
      <c r="K309" s="50" t="str">
        <f ca="1">IFERROR(VLOOKUP($J309,Ref!$B$7:$C$9,2),"")</f>
        <v>Valid Age</v>
      </c>
      <c r="L309" s="55" t="s">
        <v>85</v>
      </c>
      <c r="M309" s="34"/>
      <c r="N309" s="34" t="s">
        <v>1451</v>
      </c>
      <c r="O309" s="34" t="s">
        <v>1912</v>
      </c>
      <c r="P309" s="34" t="s">
        <v>1087</v>
      </c>
      <c r="Q309" s="34" t="s">
        <v>127</v>
      </c>
      <c r="R309" s="34" t="s">
        <v>1913</v>
      </c>
      <c r="S309" s="43">
        <v>45832</v>
      </c>
      <c r="T309" s="43"/>
      <c r="U309" s="43"/>
      <c r="V309" s="58"/>
      <c r="W309" s="34"/>
      <c r="X309" s="34"/>
    </row>
    <row r="310" spans="1:24" x14ac:dyDescent="0.2">
      <c r="A310" s="132">
        <v>304</v>
      </c>
      <c r="B310" s="342">
        <v>44541</v>
      </c>
      <c r="C310" s="34" t="s">
        <v>1915</v>
      </c>
      <c r="D310" s="40" t="str">
        <f t="shared" si="8"/>
        <v>2002000304</v>
      </c>
      <c r="E310" s="34" t="s">
        <v>82</v>
      </c>
      <c r="F310" s="52">
        <v>777893651</v>
      </c>
      <c r="G310" s="34"/>
      <c r="H310" s="34" t="s">
        <v>84</v>
      </c>
      <c r="I310" s="278">
        <v>32308</v>
      </c>
      <c r="J310" s="50">
        <f t="shared" ca="1" si="9"/>
        <v>35.284931506849318</v>
      </c>
      <c r="K310" s="50" t="str">
        <f ca="1">IFERROR(VLOOKUP($J310,Ref!$B$7:$C$9,2),"")</f>
        <v>Valid Age</v>
      </c>
      <c r="L310" s="55" t="s">
        <v>85</v>
      </c>
      <c r="M310" s="34"/>
      <c r="N310" s="34" t="s">
        <v>1451</v>
      </c>
      <c r="O310" s="34" t="s">
        <v>1417</v>
      </c>
      <c r="P310" s="34" t="s">
        <v>1808</v>
      </c>
      <c r="Q310" s="34" t="s">
        <v>127</v>
      </c>
      <c r="R310" s="34" t="s">
        <v>1916</v>
      </c>
      <c r="S310" s="43">
        <v>45833</v>
      </c>
      <c r="T310" s="43"/>
      <c r="U310" s="43"/>
      <c r="V310" s="58"/>
      <c r="W310" s="34"/>
      <c r="X310" s="34"/>
    </row>
    <row r="311" spans="1:24" x14ac:dyDescent="0.2">
      <c r="A311" s="132">
        <v>305</v>
      </c>
      <c r="B311" s="342">
        <v>44545</v>
      </c>
      <c r="C311" s="34" t="s">
        <v>1921</v>
      </c>
      <c r="D311" s="40" t="str">
        <f t="shared" si="8"/>
        <v>2002000305</v>
      </c>
      <c r="E311" s="34" t="s">
        <v>82</v>
      </c>
      <c r="F311" s="52">
        <v>782306172</v>
      </c>
      <c r="G311" s="34"/>
      <c r="H311" s="34" t="s">
        <v>83</v>
      </c>
      <c r="I311" s="278">
        <v>24951</v>
      </c>
      <c r="J311" s="50">
        <f t="shared" ca="1" si="9"/>
        <v>55.441095890410956</v>
      </c>
      <c r="K311" s="50" t="str">
        <f ca="1">IFERROR(VLOOKUP($J311,Ref!$B$7:$C$9,2),"")</f>
        <v>Valid Age</v>
      </c>
      <c r="L311" s="55" t="s">
        <v>85</v>
      </c>
      <c r="M311" s="34"/>
      <c r="N311" s="34" t="s">
        <v>1303</v>
      </c>
      <c r="O311" s="34" t="s">
        <v>1922</v>
      </c>
      <c r="P311" s="34" t="s">
        <v>1149</v>
      </c>
      <c r="Q311" s="34" t="s">
        <v>127</v>
      </c>
      <c r="R311" s="34" t="s">
        <v>1923</v>
      </c>
      <c r="S311" s="43">
        <v>45832</v>
      </c>
      <c r="T311" s="43"/>
      <c r="U311" s="43"/>
      <c r="V311" s="58"/>
      <c r="W311" s="34"/>
      <c r="X311" s="34"/>
    </row>
    <row r="312" spans="1:24" x14ac:dyDescent="0.2">
      <c r="A312" s="132">
        <v>306</v>
      </c>
      <c r="B312" s="342">
        <v>44546</v>
      </c>
      <c r="C312" s="34" t="s">
        <v>1954</v>
      </c>
      <c r="D312" s="40" t="str">
        <f t="shared" si="8"/>
        <v>2002000306</v>
      </c>
      <c r="E312" s="34" t="s">
        <v>82</v>
      </c>
      <c r="F312" s="52">
        <v>770601035</v>
      </c>
      <c r="G312" s="34"/>
      <c r="H312" s="34" t="s">
        <v>84</v>
      </c>
      <c r="I312" s="278">
        <v>34553</v>
      </c>
      <c r="J312" s="50">
        <f t="shared" ca="1" si="9"/>
        <v>29.134246575342466</v>
      </c>
      <c r="K312" s="50" t="str">
        <f ca="1">IFERROR(VLOOKUP($J312,Ref!$B$7:$C$9,2),"")</f>
        <v>Valid Age</v>
      </c>
      <c r="L312" s="55" t="s">
        <v>86</v>
      </c>
      <c r="M312" s="34"/>
      <c r="N312" s="34" t="s">
        <v>1411</v>
      </c>
      <c r="O312" s="36" t="s">
        <v>1417</v>
      </c>
      <c r="P312" s="36" t="s">
        <v>1952</v>
      </c>
      <c r="Q312" s="36" t="s">
        <v>127</v>
      </c>
      <c r="R312" s="36" t="s">
        <v>1953</v>
      </c>
      <c r="S312" s="377">
        <v>45765</v>
      </c>
      <c r="T312" s="43"/>
      <c r="U312" s="43"/>
      <c r="V312" s="58"/>
      <c r="W312" s="34"/>
      <c r="X312" s="34"/>
    </row>
    <row r="313" spans="1:24" x14ac:dyDescent="0.2">
      <c r="A313" s="132">
        <v>307</v>
      </c>
      <c r="B313" s="342">
        <v>44564</v>
      </c>
      <c r="C313" s="34" t="s">
        <v>1951</v>
      </c>
      <c r="D313" s="40" t="str">
        <f t="shared" si="8"/>
        <v>2002000307</v>
      </c>
      <c r="E313" s="34" t="s">
        <v>82</v>
      </c>
      <c r="F313" s="52">
        <v>783325692</v>
      </c>
      <c r="G313" s="34"/>
      <c r="H313" s="34" t="s">
        <v>83</v>
      </c>
      <c r="I313" s="278">
        <v>30522</v>
      </c>
      <c r="J313" s="50">
        <v>38.476712328767121</v>
      </c>
      <c r="K313" s="50" t="s">
        <v>849</v>
      </c>
      <c r="L313" s="55" t="s">
        <v>85</v>
      </c>
      <c r="M313" s="34"/>
      <c r="N313" s="34" t="s">
        <v>1411</v>
      </c>
      <c r="O313" s="34" t="s">
        <v>1417</v>
      </c>
      <c r="P313" s="34" t="s">
        <v>1952</v>
      </c>
      <c r="Q313" s="34" t="s">
        <v>127</v>
      </c>
      <c r="R313" s="34" t="s">
        <v>1953</v>
      </c>
      <c r="S313" s="43">
        <v>45765</v>
      </c>
      <c r="T313" s="43"/>
      <c r="U313" s="43"/>
      <c r="V313" s="58"/>
      <c r="W313" s="34"/>
      <c r="X313" s="34"/>
    </row>
    <row r="314" spans="1:24" x14ac:dyDescent="0.2">
      <c r="A314" s="132">
        <v>308</v>
      </c>
      <c r="B314" s="342">
        <v>44566</v>
      </c>
      <c r="C314" s="34" t="s">
        <v>1955</v>
      </c>
      <c r="D314" s="40" t="str">
        <f t="shared" si="8"/>
        <v>2002000308</v>
      </c>
      <c r="E314" s="34" t="s">
        <v>82</v>
      </c>
      <c r="F314" s="52">
        <v>773562856</v>
      </c>
      <c r="G314" s="34"/>
      <c r="H314" s="34" t="s">
        <v>83</v>
      </c>
      <c r="I314" s="278">
        <v>25024</v>
      </c>
      <c r="J314" s="50">
        <f t="shared" ca="1" si="9"/>
        <v>55.241095890410961</v>
      </c>
      <c r="K314" s="50" t="str">
        <f ca="1">IFERROR(VLOOKUP($J314,Ref!$B$7:$C$9,2),"")</f>
        <v>Valid Age</v>
      </c>
      <c r="L314" s="55" t="s">
        <v>85</v>
      </c>
      <c r="M314" s="34"/>
      <c r="N314" s="34" t="s">
        <v>91</v>
      </c>
      <c r="O314" s="34" t="s">
        <v>1956</v>
      </c>
      <c r="P314" s="34" t="s">
        <v>124</v>
      </c>
      <c r="Q314" s="34" t="s">
        <v>127</v>
      </c>
      <c r="R314" s="34" t="s">
        <v>1957</v>
      </c>
      <c r="S314" s="43">
        <v>45832</v>
      </c>
      <c r="T314" s="43"/>
      <c r="U314" s="43"/>
      <c r="V314" s="58"/>
      <c r="W314" s="34"/>
      <c r="X314" s="34"/>
    </row>
    <row r="315" spans="1:24" x14ac:dyDescent="0.2">
      <c r="A315" s="132">
        <v>309</v>
      </c>
      <c r="B315" s="342">
        <v>44567</v>
      </c>
      <c r="C315" s="34" t="s">
        <v>1958</v>
      </c>
      <c r="D315" s="40" t="str">
        <f t="shared" si="8"/>
        <v>2002000309</v>
      </c>
      <c r="E315" s="34" t="s">
        <v>82</v>
      </c>
      <c r="F315" s="52">
        <v>789027870</v>
      </c>
      <c r="G315" s="34"/>
      <c r="H315" s="34" t="s">
        <v>84</v>
      </c>
      <c r="I315" s="278">
        <v>34566</v>
      </c>
      <c r="J315" s="50">
        <f t="shared" ca="1" si="9"/>
        <v>29.098630136986301</v>
      </c>
      <c r="K315" s="50" t="str">
        <f ca="1">IFERROR(VLOOKUP($J315,Ref!$B$7:$C$9,2),"")</f>
        <v>Valid Age</v>
      </c>
      <c r="L315" s="55" t="s">
        <v>85</v>
      </c>
      <c r="M315" s="34"/>
      <c r="N315" s="34" t="s">
        <v>1451</v>
      </c>
      <c r="O315" s="34" t="s">
        <v>1959</v>
      </c>
      <c r="P315" s="34" t="s">
        <v>354</v>
      </c>
      <c r="Q315" s="34" t="s">
        <v>127</v>
      </c>
      <c r="R315" s="34" t="s">
        <v>1960</v>
      </c>
      <c r="S315" s="43">
        <v>45881</v>
      </c>
      <c r="T315" s="43"/>
      <c r="U315" s="43"/>
      <c r="V315" s="58"/>
      <c r="W315" s="34"/>
      <c r="X315" s="34"/>
    </row>
    <row r="316" spans="1:24" x14ac:dyDescent="0.2">
      <c r="A316" s="132">
        <v>310</v>
      </c>
      <c r="B316" s="342">
        <v>44568</v>
      </c>
      <c r="C316" s="34" t="s">
        <v>1961</v>
      </c>
      <c r="D316" s="40" t="str">
        <f t="shared" si="8"/>
        <v>2002000310</v>
      </c>
      <c r="E316" s="34" t="s">
        <v>82</v>
      </c>
      <c r="F316" s="52">
        <v>782374424</v>
      </c>
      <c r="G316" s="34">
        <v>701961160</v>
      </c>
      <c r="H316" s="34" t="s">
        <v>83</v>
      </c>
      <c r="I316" s="278">
        <v>23560</v>
      </c>
      <c r="J316" s="50">
        <f t="shared" ca="1" si="9"/>
        <v>59.252054794520546</v>
      </c>
      <c r="K316" s="50" t="str">
        <f ca="1">IFERROR(VLOOKUP($J316,Ref!$B$7:$C$9,2),"")</f>
        <v>Over Age</v>
      </c>
      <c r="L316" s="55" t="s">
        <v>85</v>
      </c>
      <c r="M316" s="34"/>
      <c r="N316" s="34" t="s">
        <v>1411</v>
      </c>
      <c r="O316" s="34" t="s">
        <v>1962</v>
      </c>
      <c r="P316" s="34" t="s">
        <v>1963</v>
      </c>
      <c r="Q316" s="34" t="s">
        <v>127</v>
      </c>
      <c r="R316" s="34" t="s">
        <v>1964</v>
      </c>
      <c r="S316" s="43">
        <v>45896</v>
      </c>
      <c r="T316" s="43"/>
      <c r="U316" s="43"/>
      <c r="V316" s="58"/>
      <c r="W316" s="34"/>
      <c r="X316" s="34"/>
    </row>
    <row r="317" spans="1:24" x14ac:dyDescent="0.2">
      <c r="A317" s="132">
        <v>311</v>
      </c>
      <c r="B317" s="342">
        <v>44569</v>
      </c>
      <c r="C317" s="34" t="s">
        <v>1965</v>
      </c>
      <c r="D317" s="40" t="str">
        <f t="shared" si="8"/>
        <v>2002000311</v>
      </c>
      <c r="E317" s="34" t="s">
        <v>82</v>
      </c>
      <c r="F317" s="52">
        <v>773849454</v>
      </c>
      <c r="G317" s="34"/>
      <c r="H317" s="34" t="s">
        <v>83</v>
      </c>
      <c r="I317" s="278">
        <v>29870</v>
      </c>
      <c r="J317" s="50">
        <f t="shared" ca="1" si="9"/>
        <v>41.964383561643835</v>
      </c>
      <c r="K317" s="50" t="str">
        <f ca="1">IFERROR(VLOOKUP($J317,Ref!$B$7:$C$9,2),"")</f>
        <v>Valid Age</v>
      </c>
      <c r="L317" s="55" t="s">
        <v>85</v>
      </c>
      <c r="M317" s="34"/>
      <c r="N317" s="34" t="s">
        <v>1171</v>
      </c>
      <c r="O317" s="34" t="s">
        <v>1966</v>
      </c>
      <c r="P317" s="34" t="s">
        <v>99</v>
      </c>
      <c r="Q317" s="34" t="s">
        <v>127</v>
      </c>
      <c r="R317" s="34" t="s">
        <v>1967</v>
      </c>
      <c r="S317" s="43">
        <v>47525</v>
      </c>
      <c r="T317" s="43"/>
      <c r="U317" s="43"/>
      <c r="V317" s="58"/>
      <c r="W317" s="34"/>
      <c r="X317" s="34"/>
    </row>
    <row r="318" spans="1:24" x14ac:dyDescent="0.2">
      <c r="A318" s="132">
        <v>312</v>
      </c>
      <c r="B318" s="342">
        <v>44569</v>
      </c>
      <c r="C318" s="34" t="s">
        <v>1968</v>
      </c>
      <c r="D318" s="40" t="str">
        <f t="shared" si="8"/>
        <v>2002000312</v>
      </c>
      <c r="E318" s="34" t="s">
        <v>82</v>
      </c>
      <c r="F318" s="52">
        <v>770602341</v>
      </c>
      <c r="G318" s="34"/>
      <c r="H318" s="34" t="s">
        <v>84</v>
      </c>
      <c r="I318" s="278">
        <v>29189</v>
      </c>
      <c r="J318" s="50">
        <f t="shared" ca="1" si="9"/>
        <v>43.830136986301369</v>
      </c>
      <c r="K318" s="50" t="str">
        <f ca="1">IFERROR(VLOOKUP($J318,Ref!$B$7:$C$9,2),"")</f>
        <v>Valid Age</v>
      </c>
      <c r="L318" s="55" t="s">
        <v>85</v>
      </c>
      <c r="M318" s="34"/>
      <c r="N318" s="34" t="s">
        <v>1451</v>
      </c>
      <c r="O318" s="34" t="s">
        <v>354</v>
      </c>
      <c r="P318" s="34" t="s">
        <v>354</v>
      </c>
      <c r="Q318" s="34" t="s">
        <v>127</v>
      </c>
      <c r="R318" s="34" t="s">
        <v>1969</v>
      </c>
      <c r="S318" s="43">
        <v>45815</v>
      </c>
      <c r="T318" s="43"/>
      <c r="U318" s="43"/>
      <c r="V318" s="58"/>
      <c r="W318" s="34"/>
      <c r="X318" s="34"/>
    </row>
    <row r="319" spans="1:24" x14ac:dyDescent="0.2">
      <c r="A319" s="132">
        <v>313</v>
      </c>
      <c r="B319" s="342">
        <v>44572</v>
      </c>
      <c r="C319" s="34" t="s">
        <v>2217</v>
      </c>
      <c r="D319" s="40" t="str">
        <f t="shared" si="8"/>
        <v>2002000313</v>
      </c>
      <c r="E319" s="34" t="s">
        <v>82</v>
      </c>
      <c r="F319" s="52">
        <v>772675451</v>
      </c>
      <c r="G319" s="34"/>
      <c r="H319" s="34" t="s">
        <v>83</v>
      </c>
      <c r="I319" s="278">
        <v>28849</v>
      </c>
      <c r="J319" s="50">
        <f t="shared" ca="1" si="9"/>
        <v>44.761643835616439</v>
      </c>
      <c r="K319" s="50" t="str">
        <f ca="1">IFERROR(VLOOKUP($J319,Ref!$B$7:$C$9,2),"")</f>
        <v>Valid Age</v>
      </c>
      <c r="L319" s="55" t="s">
        <v>85</v>
      </c>
      <c r="M319" s="34"/>
      <c r="N319" s="34" t="s">
        <v>91</v>
      </c>
      <c r="O319" s="34" t="s">
        <v>1087</v>
      </c>
      <c r="P319" s="34" t="s">
        <v>1087</v>
      </c>
      <c r="Q319" s="34" t="s">
        <v>127</v>
      </c>
      <c r="R319" s="34" t="s">
        <v>1970</v>
      </c>
      <c r="S319" s="43">
        <v>45832</v>
      </c>
      <c r="T319" s="43"/>
      <c r="U319" s="43"/>
      <c r="V319" s="58"/>
      <c r="W319" s="34"/>
      <c r="X319" s="34"/>
    </row>
    <row r="320" spans="1:24" x14ac:dyDescent="0.2">
      <c r="A320" s="132">
        <v>314</v>
      </c>
      <c r="B320" s="342">
        <v>44574</v>
      </c>
      <c r="C320" s="34" t="s">
        <v>1977</v>
      </c>
      <c r="D320" s="40" t="str">
        <f t="shared" si="8"/>
        <v>2002000314</v>
      </c>
      <c r="E320" s="34" t="s">
        <v>82</v>
      </c>
      <c r="F320" s="52">
        <v>778319000</v>
      </c>
      <c r="G320" s="34"/>
      <c r="H320" s="34" t="s">
        <v>84</v>
      </c>
      <c r="I320" s="278">
        <v>34327</v>
      </c>
      <c r="J320" s="50">
        <f t="shared" ca="1" si="9"/>
        <v>29.753424657534246</v>
      </c>
      <c r="K320" s="50" t="str">
        <f ca="1">IFERROR(VLOOKUP($J320,Ref!$B$7:$C$9,2),"")</f>
        <v>Valid Age</v>
      </c>
      <c r="L320" s="55" t="s">
        <v>85</v>
      </c>
      <c r="M320" s="34"/>
      <c r="N320" s="34" t="s">
        <v>1451</v>
      </c>
      <c r="O320" s="34" t="s">
        <v>1698</v>
      </c>
      <c r="P320" s="34" t="s">
        <v>531</v>
      </c>
      <c r="Q320" s="34" t="s">
        <v>1978</v>
      </c>
      <c r="R320" s="34" t="s">
        <v>1979</v>
      </c>
      <c r="S320" s="43">
        <v>45130</v>
      </c>
      <c r="T320" s="43"/>
      <c r="U320" s="43"/>
      <c r="V320" s="58"/>
      <c r="W320" s="34"/>
      <c r="X320" s="34"/>
    </row>
    <row r="321" spans="1:24" x14ac:dyDescent="0.2">
      <c r="A321" s="132">
        <v>315</v>
      </c>
      <c r="B321" s="342">
        <v>44578</v>
      </c>
      <c r="C321" s="34" t="s">
        <v>1981</v>
      </c>
      <c r="D321" s="40" t="str">
        <f t="shared" si="8"/>
        <v>2002000315</v>
      </c>
      <c r="E321" s="34" t="s">
        <v>82</v>
      </c>
      <c r="F321" s="52">
        <v>770312266</v>
      </c>
      <c r="G321" s="34"/>
      <c r="H321" s="34" t="s">
        <v>83</v>
      </c>
      <c r="I321" s="278">
        <v>30107</v>
      </c>
      <c r="J321" s="50">
        <f t="shared" ca="1" si="9"/>
        <v>41.315068493150683</v>
      </c>
      <c r="K321" s="50" t="str">
        <f ca="1">IFERROR(VLOOKUP($J321,Ref!$B$7:$C$9,2),"")</f>
        <v>Valid Age</v>
      </c>
      <c r="L321" s="55" t="s">
        <v>85</v>
      </c>
      <c r="M321" s="34"/>
      <c r="N321" s="34" t="s">
        <v>1411</v>
      </c>
      <c r="O321" s="34" t="s">
        <v>1982</v>
      </c>
      <c r="P321" s="34" t="s">
        <v>306</v>
      </c>
      <c r="Q321" s="34" t="s">
        <v>127</v>
      </c>
      <c r="R321" s="34" t="s">
        <v>1983</v>
      </c>
      <c r="S321" s="43">
        <v>45832</v>
      </c>
      <c r="T321" s="43"/>
      <c r="U321" s="43"/>
      <c r="V321" s="58"/>
      <c r="W321" s="34"/>
      <c r="X321" s="34"/>
    </row>
    <row r="322" spans="1:24" x14ac:dyDescent="0.2">
      <c r="A322" s="132">
        <v>316</v>
      </c>
      <c r="B322" s="342">
        <v>44579</v>
      </c>
      <c r="C322" s="34" t="s">
        <v>1991</v>
      </c>
      <c r="D322" s="40" t="s">
        <v>1992</v>
      </c>
      <c r="E322" s="34" t="s">
        <v>82</v>
      </c>
      <c r="F322" s="52">
        <v>776342203</v>
      </c>
      <c r="G322" s="34"/>
      <c r="H322" s="34" t="s">
        <v>84</v>
      </c>
      <c r="I322" s="278">
        <v>26995</v>
      </c>
      <c r="J322" s="50">
        <v>48.183561643835617</v>
      </c>
      <c r="K322" s="50" t="s">
        <v>849</v>
      </c>
      <c r="L322" s="55" t="s">
        <v>85</v>
      </c>
      <c r="M322" s="34"/>
      <c r="N322" s="34" t="s">
        <v>1451</v>
      </c>
      <c r="O322" s="34" t="s">
        <v>99</v>
      </c>
      <c r="P322" s="34" t="s">
        <v>354</v>
      </c>
      <c r="Q322" s="34" t="s">
        <v>127</v>
      </c>
      <c r="R322" s="34" t="s">
        <v>1993</v>
      </c>
      <c r="S322" s="43">
        <v>45833</v>
      </c>
      <c r="T322" s="43"/>
      <c r="U322" s="43"/>
      <c r="V322" s="58"/>
      <c r="W322" s="34"/>
      <c r="X322" s="34"/>
    </row>
    <row r="323" spans="1:24" x14ac:dyDescent="0.2">
      <c r="A323" s="132">
        <v>317</v>
      </c>
      <c r="B323" s="342">
        <v>44581</v>
      </c>
      <c r="C323" s="34" t="s">
        <v>1986</v>
      </c>
      <c r="D323" s="40" t="s">
        <v>1987</v>
      </c>
      <c r="E323" s="34" t="s">
        <v>82</v>
      </c>
      <c r="F323" s="52">
        <v>770508515</v>
      </c>
      <c r="G323" s="34"/>
      <c r="H323" s="34" t="s">
        <v>84</v>
      </c>
      <c r="I323" s="278">
        <v>33717</v>
      </c>
      <c r="J323" s="50">
        <v>29.767123287671232</v>
      </c>
      <c r="K323" s="50" t="s">
        <v>849</v>
      </c>
      <c r="L323" s="55" t="s">
        <v>85</v>
      </c>
      <c r="M323" s="34"/>
      <c r="N323" s="34" t="s">
        <v>1451</v>
      </c>
      <c r="O323" s="34" t="s">
        <v>1988</v>
      </c>
      <c r="P323" s="34" t="s">
        <v>1989</v>
      </c>
      <c r="Q323" s="34" t="s">
        <v>127</v>
      </c>
      <c r="R323" s="34" t="s">
        <v>1990</v>
      </c>
      <c r="S323" s="43">
        <v>47657</v>
      </c>
      <c r="T323" s="43"/>
      <c r="U323" s="43"/>
      <c r="V323" s="58"/>
      <c r="W323" s="34"/>
      <c r="X323" s="34"/>
    </row>
    <row r="324" spans="1:24" x14ac:dyDescent="0.2">
      <c r="A324" s="132">
        <v>318</v>
      </c>
      <c r="B324" s="342">
        <v>44588</v>
      </c>
      <c r="C324" s="34" t="s">
        <v>2005</v>
      </c>
      <c r="D324" s="40" t="str">
        <f t="shared" si="8"/>
        <v>2002000318</v>
      </c>
      <c r="E324" s="34" t="s">
        <v>82</v>
      </c>
      <c r="F324" s="52">
        <v>772860786</v>
      </c>
      <c r="G324" s="34"/>
      <c r="H324" s="34" t="s">
        <v>83</v>
      </c>
      <c r="I324" s="278">
        <v>21246</v>
      </c>
      <c r="J324" s="50">
        <f t="shared" ca="1" si="9"/>
        <v>65.591780821917808</v>
      </c>
      <c r="K324" s="50" t="str">
        <f ca="1">IFERROR(VLOOKUP($J324,Ref!$B$7:$C$9,2),"")</f>
        <v>Over Age</v>
      </c>
      <c r="L324" s="55" t="s">
        <v>86</v>
      </c>
      <c r="M324" s="34"/>
      <c r="N324" s="34" t="s">
        <v>93</v>
      </c>
      <c r="O324" s="34" t="s">
        <v>2006</v>
      </c>
      <c r="P324" s="34" t="s">
        <v>2007</v>
      </c>
      <c r="Q324" s="34" t="s">
        <v>127</v>
      </c>
      <c r="R324" s="34" t="s">
        <v>2008</v>
      </c>
      <c r="S324" s="43">
        <v>45833</v>
      </c>
      <c r="T324" s="43"/>
      <c r="U324" s="43"/>
      <c r="V324" s="58"/>
      <c r="W324" s="34"/>
      <c r="X324" s="34"/>
    </row>
    <row r="325" spans="1:24" x14ac:dyDescent="0.2">
      <c r="A325" s="132">
        <v>319</v>
      </c>
      <c r="B325" s="342">
        <v>44588</v>
      </c>
      <c r="C325" s="34" t="s">
        <v>2009</v>
      </c>
      <c r="D325" s="40" t="str">
        <f t="shared" si="8"/>
        <v>2002000319</v>
      </c>
      <c r="E325" s="34" t="s">
        <v>82</v>
      </c>
      <c r="F325" s="52">
        <v>786393531</v>
      </c>
      <c r="G325" s="34"/>
      <c r="H325" s="34" t="s">
        <v>83</v>
      </c>
      <c r="I325" s="278">
        <v>35455</v>
      </c>
      <c r="J325" s="50">
        <f t="shared" ca="1" si="9"/>
        <v>26.663013698630138</v>
      </c>
      <c r="K325" s="50" t="str">
        <f ca="1">IFERROR(VLOOKUP($J325,Ref!$B$7:$C$9,2),"")</f>
        <v>Valid Age</v>
      </c>
      <c r="L325" s="55" t="s">
        <v>85</v>
      </c>
      <c r="M325" s="34"/>
      <c r="N325" s="34" t="s">
        <v>93</v>
      </c>
      <c r="O325" s="34" t="s">
        <v>1083</v>
      </c>
      <c r="P325" s="34" t="s">
        <v>1083</v>
      </c>
      <c r="Q325" s="34" t="s">
        <v>127</v>
      </c>
      <c r="R325" s="34" t="s">
        <v>2010</v>
      </c>
      <c r="S325" s="43">
        <v>47525</v>
      </c>
      <c r="T325" s="43"/>
      <c r="U325" s="43"/>
      <c r="V325" s="58"/>
      <c r="W325" s="34"/>
      <c r="X325" s="34"/>
    </row>
    <row r="326" spans="1:24" x14ac:dyDescent="0.2">
      <c r="A326" s="132">
        <v>320</v>
      </c>
      <c r="B326" s="342">
        <v>44589</v>
      </c>
      <c r="C326" s="34" t="s">
        <v>2038</v>
      </c>
      <c r="D326" s="40" t="str">
        <f t="shared" si="8"/>
        <v>2002000320</v>
      </c>
      <c r="E326" s="34" t="s">
        <v>82</v>
      </c>
      <c r="F326" s="52">
        <v>394004272</v>
      </c>
      <c r="G326" s="34"/>
      <c r="H326" s="34" t="s">
        <v>83</v>
      </c>
      <c r="I326" s="278">
        <v>33717</v>
      </c>
      <c r="J326" s="50">
        <f t="shared" ca="1" si="9"/>
        <v>31.424657534246574</v>
      </c>
      <c r="K326" s="50" t="str">
        <f ca="1">IFERROR(VLOOKUP($J326,Ref!$B$7:$C$9,2),"")</f>
        <v>Valid Age</v>
      </c>
      <c r="L326" s="55" t="s">
        <v>85</v>
      </c>
      <c r="M326" s="34"/>
      <c r="N326" s="34" t="s">
        <v>1380</v>
      </c>
      <c r="O326" s="34" t="s">
        <v>2012</v>
      </c>
      <c r="P326" s="34" t="s">
        <v>459</v>
      </c>
      <c r="Q326" s="34"/>
      <c r="R326" s="34"/>
      <c r="S326" s="43"/>
      <c r="T326" s="43"/>
      <c r="U326" s="43"/>
      <c r="V326" s="58"/>
      <c r="W326" s="34"/>
      <c r="X326" s="34"/>
    </row>
    <row r="327" spans="1:24" x14ac:dyDescent="0.2">
      <c r="A327" s="132">
        <v>321</v>
      </c>
      <c r="B327" s="342">
        <v>44594</v>
      </c>
      <c r="C327" s="34" t="s">
        <v>2020</v>
      </c>
      <c r="D327" s="40" t="str">
        <f t="shared" si="8"/>
        <v>2002000321</v>
      </c>
      <c r="E327" s="34" t="s">
        <v>82</v>
      </c>
      <c r="F327" s="52">
        <v>784131721</v>
      </c>
      <c r="G327" s="34"/>
      <c r="H327" s="34" t="s">
        <v>84</v>
      </c>
      <c r="I327" s="278">
        <v>32624</v>
      </c>
      <c r="J327" s="50">
        <f t="shared" ca="1" si="9"/>
        <v>34.419178082191777</v>
      </c>
      <c r="K327" s="50" t="str">
        <f ca="1">IFERROR(VLOOKUP($J327,Ref!$B$7:$C$9,2),"")</f>
        <v>Valid Age</v>
      </c>
      <c r="L327" s="55" t="s">
        <v>85</v>
      </c>
      <c r="M327" s="34"/>
      <c r="N327" s="34" t="s">
        <v>1171</v>
      </c>
      <c r="O327" s="34" t="s">
        <v>679</v>
      </c>
      <c r="P327" s="34" t="s">
        <v>1289</v>
      </c>
      <c r="Q327" s="34" t="s">
        <v>127</v>
      </c>
      <c r="R327" s="34" t="s">
        <v>2021</v>
      </c>
      <c r="S327" s="43">
        <v>45609</v>
      </c>
      <c r="T327" s="43"/>
      <c r="U327" s="43"/>
      <c r="V327" s="58"/>
      <c r="W327" s="34"/>
      <c r="X327" s="34"/>
    </row>
    <row r="328" spans="1:24" x14ac:dyDescent="0.2">
      <c r="A328" s="132">
        <v>322</v>
      </c>
      <c r="B328" s="342">
        <v>44615</v>
      </c>
      <c r="C328" s="34" t="s">
        <v>2114</v>
      </c>
      <c r="D328" s="40" t="str">
        <f t="shared" ref="D328:D391" si="10">IF(A328="","",LEFT($C$3,LEN($C$3)-LEN(A328))&amp;A328)</f>
        <v>2002000322</v>
      </c>
      <c r="E328" s="34" t="s">
        <v>82</v>
      </c>
      <c r="F328" s="52">
        <v>771964495</v>
      </c>
      <c r="G328" s="34"/>
      <c r="H328" s="34" t="s">
        <v>83</v>
      </c>
      <c r="I328" s="278">
        <v>35455</v>
      </c>
      <c r="J328" s="50">
        <f t="shared" ref="J328:J343" ca="1" si="11">IF(I328="","",(TODAY()-$I328)/365)</f>
        <v>26.663013698630138</v>
      </c>
      <c r="K328" s="50" t="str">
        <f ca="1">IFERROR(VLOOKUP($J328,Ref!$B$7:$C$9,2),"")</f>
        <v>Valid Age</v>
      </c>
      <c r="L328" s="55" t="s">
        <v>85</v>
      </c>
      <c r="M328" s="34"/>
      <c r="N328" s="34" t="s">
        <v>2119</v>
      </c>
      <c r="O328" s="34" t="s">
        <v>2120</v>
      </c>
      <c r="P328" s="34" t="s">
        <v>2120</v>
      </c>
      <c r="Q328" s="34" t="s">
        <v>1488</v>
      </c>
      <c r="R328" s="34" t="s">
        <v>2121</v>
      </c>
      <c r="S328" s="43"/>
      <c r="T328" s="43"/>
      <c r="U328" s="43"/>
      <c r="V328" s="58"/>
      <c r="W328" s="34"/>
      <c r="X328" s="34"/>
    </row>
    <row r="329" spans="1:24" x14ac:dyDescent="0.2">
      <c r="A329" s="132">
        <v>323</v>
      </c>
      <c r="B329" s="342">
        <v>44617</v>
      </c>
      <c r="C329" s="34" t="s">
        <v>2117</v>
      </c>
      <c r="D329" s="40" t="str">
        <f t="shared" si="10"/>
        <v>2002000323</v>
      </c>
      <c r="E329" s="34" t="s">
        <v>82</v>
      </c>
      <c r="F329" s="52">
        <v>774084448</v>
      </c>
      <c r="G329" s="34"/>
      <c r="H329" s="34" t="s">
        <v>83</v>
      </c>
      <c r="I329" s="278">
        <v>30317</v>
      </c>
      <c r="J329" s="50">
        <f t="shared" ca="1" si="11"/>
        <v>40.739726027397261</v>
      </c>
      <c r="K329" s="50" t="str">
        <f ca="1">IFERROR(VLOOKUP($J329,Ref!$B$7:$C$9,2),"")</f>
        <v>Valid Age</v>
      </c>
      <c r="L329" s="55" t="s">
        <v>86</v>
      </c>
      <c r="M329" s="34"/>
      <c r="N329" s="34" t="s">
        <v>1411</v>
      </c>
      <c r="O329" s="34" t="s">
        <v>1428</v>
      </c>
      <c r="P329" s="34" t="s">
        <v>1428</v>
      </c>
      <c r="Q329" s="34" t="s">
        <v>127</v>
      </c>
      <c r="R329" s="34" t="s">
        <v>2122</v>
      </c>
      <c r="S329" s="43">
        <v>45845</v>
      </c>
      <c r="T329" s="43"/>
      <c r="U329" s="43"/>
      <c r="V329" s="58"/>
      <c r="W329" s="34"/>
      <c r="X329" s="34"/>
    </row>
    <row r="330" spans="1:24" x14ac:dyDescent="0.2">
      <c r="A330" s="132">
        <v>324</v>
      </c>
      <c r="B330" s="342">
        <v>44617</v>
      </c>
      <c r="C330" s="34" t="s">
        <v>2118</v>
      </c>
      <c r="D330" s="40" t="str">
        <f t="shared" si="10"/>
        <v>2002000324</v>
      </c>
      <c r="E330" s="34" t="s">
        <v>82</v>
      </c>
      <c r="F330" s="52">
        <v>782541798</v>
      </c>
      <c r="G330" s="34"/>
      <c r="H330" s="34" t="s">
        <v>83</v>
      </c>
      <c r="I330" s="278">
        <v>22739</v>
      </c>
      <c r="J330" s="50">
        <f t="shared" ca="1" si="11"/>
        <v>61.5013698630137</v>
      </c>
      <c r="K330" s="50" t="str">
        <f ca="1">IFERROR(VLOOKUP($J330,Ref!$B$7:$C$9,2),"")</f>
        <v>Over Age</v>
      </c>
      <c r="L330" s="55" t="s">
        <v>85</v>
      </c>
      <c r="M330" s="34"/>
      <c r="N330" s="34" t="s">
        <v>1411</v>
      </c>
      <c r="O330" s="34" t="s">
        <v>311</v>
      </c>
      <c r="P330" s="34" t="s">
        <v>2123</v>
      </c>
      <c r="Q330" s="34" t="s">
        <v>127</v>
      </c>
      <c r="R330" s="34" t="s">
        <v>2124</v>
      </c>
      <c r="S330" s="43">
        <v>45833</v>
      </c>
      <c r="T330" s="43"/>
      <c r="U330" s="43"/>
      <c r="V330" s="58"/>
      <c r="W330" s="34"/>
      <c r="X330" s="34"/>
    </row>
    <row r="331" spans="1:24" x14ac:dyDescent="0.2">
      <c r="A331" s="132">
        <v>325</v>
      </c>
      <c r="B331" s="342">
        <v>44620</v>
      </c>
      <c r="C331" s="34" t="s">
        <v>2125</v>
      </c>
      <c r="D331" s="40" t="str">
        <f t="shared" si="10"/>
        <v>2002000325</v>
      </c>
      <c r="E331" s="34" t="s">
        <v>82</v>
      </c>
      <c r="F331" s="52">
        <v>394005908</v>
      </c>
      <c r="G331" s="34"/>
      <c r="H331" s="34" t="s">
        <v>83</v>
      </c>
      <c r="I331" s="278">
        <v>34176</v>
      </c>
      <c r="J331" s="50">
        <f t="shared" ca="1" si="11"/>
        <v>30.167123287671235</v>
      </c>
      <c r="K331" s="50" t="str">
        <f ca="1">IFERROR(VLOOKUP($J331,Ref!$B$7:$C$9,2),"")</f>
        <v>Valid Age</v>
      </c>
      <c r="L331" s="55" t="s">
        <v>85</v>
      </c>
      <c r="M331" s="34"/>
      <c r="N331" s="34" t="s">
        <v>1411</v>
      </c>
      <c r="O331" s="34" t="s">
        <v>99</v>
      </c>
      <c r="P331" s="34" t="s">
        <v>99</v>
      </c>
      <c r="Q331" s="34" t="s">
        <v>127</v>
      </c>
      <c r="R331" s="34" t="s">
        <v>2126</v>
      </c>
      <c r="S331" s="43">
        <v>45833</v>
      </c>
      <c r="T331" s="43"/>
      <c r="U331" s="43"/>
      <c r="V331" s="58"/>
      <c r="W331" s="34"/>
      <c r="X331" s="34"/>
    </row>
    <row r="332" spans="1:24" x14ac:dyDescent="0.2">
      <c r="A332" s="132">
        <v>326</v>
      </c>
      <c r="B332" s="342">
        <v>44621</v>
      </c>
      <c r="C332" s="34" t="s">
        <v>2131</v>
      </c>
      <c r="D332" s="40" t="str">
        <f t="shared" si="10"/>
        <v>2002000326</v>
      </c>
      <c r="E332" s="34" t="s">
        <v>82</v>
      </c>
      <c r="F332" s="52">
        <v>773664471</v>
      </c>
      <c r="G332" s="34"/>
      <c r="H332" s="34" t="s">
        <v>84</v>
      </c>
      <c r="I332" s="278">
        <v>33360</v>
      </c>
      <c r="J332" s="50">
        <f t="shared" ca="1" si="11"/>
        <v>32.402739726027399</v>
      </c>
      <c r="K332" s="50" t="str">
        <f ca="1">IFERROR(VLOOKUP($J332,Ref!$B$7:$C$9,2),"")</f>
        <v>Valid Age</v>
      </c>
      <c r="L332" s="55" t="s">
        <v>85</v>
      </c>
      <c r="M332" s="34"/>
      <c r="N332" s="34" t="s">
        <v>1451</v>
      </c>
      <c r="O332" s="34" t="s">
        <v>99</v>
      </c>
      <c r="P332" s="34" t="s">
        <v>2133</v>
      </c>
      <c r="Q332" s="34" t="s">
        <v>127</v>
      </c>
      <c r="R332" s="34" t="s">
        <v>2134</v>
      </c>
      <c r="S332" s="43">
        <v>45832</v>
      </c>
      <c r="T332" s="43"/>
      <c r="U332" s="43"/>
      <c r="V332" s="58"/>
      <c r="W332" s="34"/>
      <c r="X332" s="34"/>
    </row>
    <row r="333" spans="1:24" x14ac:dyDescent="0.2">
      <c r="A333" s="132">
        <v>327</v>
      </c>
      <c r="B333" s="342">
        <v>44621</v>
      </c>
      <c r="C333" s="34" t="s">
        <v>2132</v>
      </c>
      <c r="D333" s="40" t="str">
        <f t="shared" si="10"/>
        <v>2002000327</v>
      </c>
      <c r="E333" s="34" t="s">
        <v>82</v>
      </c>
      <c r="F333" s="52">
        <v>701741200</v>
      </c>
      <c r="G333" s="34"/>
      <c r="H333" s="34" t="s">
        <v>83</v>
      </c>
      <c r="I333" s="278">
        <v>34954</v>
      </c>
      <c r="J333" s="50">
        <f t="shared" ca="1" si="11"/>
        <v>28.035616438356165</v>
      </c>
      <c r="K333" s="50" t="str">
        <f ca="1">IFERROR(VLOOKUP($J333,Ref!$B$7:$C$9,2),"")</f>
        <v>Valid Age</v>
      </c>
      <c r="L333" s="55" t="s">
        <v>86</v>
      </c>
      <c r="M333" s="34"/>
      <c r="N333" s="34" t="s">
        <v>2135</v>
      </c>
      <c r="O333" s="34" t="s">
        <v>459</v>
      </c>
      <c r="P333" s="34" t="s">
        <v>474</v>
      </c>
      <c r="Q333" s="34" t="s">
        <v>127</v>
      </c>
      <c r="R333" s="34" t="s">
        <v>2136</v>
      </c>
      <c r="S333" s="43">
        <v>45667</v>
      </c>
      <c r="T333" s="43"/>
      <c r="U333" s="43"/>
      <c r="V333" s="58"/>
      <c r="W333" s="34"/>
      <c r="X333" s="34"/>
    </row>
    <row r="334" spans="1:24" x14ac:dyDescent="0.2">
      <c r="A334" s="132">
        <v>328</v>
      </c>
      <c r="B334" s="342">
        <v>44623</v>
      </c>
      <c r="C334" s="34" t="s">
        <v>2146</v>
      </c>
      <c r="D334" s="40" t="str">
        <f t="shared" si="10"/>
        <v>2002000328</v>
      </c>
      <c r="E334" s="34" t="s">
        <v>82</v>
      </c>
      <c r="F334" s="52">
        <v>778259866</v>
      </c>
      <c r="G334" s="34"/>
      <c r="H334" s="34" t="s">
        <v>84</v>
      </c>
      <c r="I334" s="278">
        <v>34969</v>
      </c>
      <c r="J334" s="50">
        <f t="shared" ca="1" si="11"/>
        <v>27.994520547945207</v>
      </c>
      <c r="K334" s="50" t="str">
        <f ca="1">IFERROR(VLOOKUP($J334,Ref!$B$7:$C$9,2),"")</f>
        <v>Valid Age</v>
      </c>
      <c r="L334" s="55" t="s">
        <v>85</v>
      </c>
      <c r="M334" s="34"/>
      <c r="N334" s="34" t="s">
        <v>1451</v>
      </c>
      <c r="O334" s="34" t="s">
        <v>1982</v>
      </c>
      <c r="P334" s="34" t="s">
        <v>2147</v>
      </c>
      <c r="Q334" s="34" t="s">
        <v>127</v>
      </c>
      <c r="R334" s="34" t="s">
        <v>2148</v>
      </c>
      <c r="S334" s="43">
        <v>45843</v>
      </c>
      <c r="T334" s="43"/>
      <c r="U334" s="43"/>
      <c r="V334" s="58"/>
      <c r="W334" s="34"/>
      <c r="X334" s="34"/>
    </row>
    <row r="335" spans="1:24" x14ac:dyDescent="0.2">
      <c r="A335" s="132">
        <v>329</v>
      </c>
      <c r="B335" s="342">
        <v>44627</v>
      </c>
      <c r="C335" s="34" t="s">
        <v>2178</v>
      </c>
      <c r="D335" s="40" t="str">
        <f t="shared" si="10"/>
        <v>2002000329</v>
      </c>
      <c r="E335" s="34" t="s">
        <v>82</v>
      </c>
      <c r="F335" s="52">
        <v>774094309</v>
      </c>
      <c r="G335" s="34"/>
      <c r="H335" s="34" t="s">
        <v>83</v>
      </c>
      <c r="I335" s="278">
        <v>27822</v>
      </c>
      <c r="J335" s="50">
        <f t="shared" ca="1" si="11"/>
        <v>47.575342465753423</v>
      </c>
      <c r="K335" s="50" t="str">
        <f ca="1">IFERROR(VLOOKUP($J335,Ref!$B$7:$C$9,2),"")</f>
        <v>Valid Age</v>
      </c>
      <c r="L335" s="55" t="s">
        <v>85</v>
      </c>
      <c r="M335" s="34"/>
      <c r="N335" s="34" t="s">
        <v>2179</v>
      </c>
      <c r="O335" s="34" t="s">
        <v>1452</v>
      </c>
      <c r="P335" s="34" t="s">
        <v>1400</v>
      </c>
      <c r="Q335" s="34" t="s">
        <v>127</v>
      </c>
      <c r="R335" s="34" t="s">
        <v>2180</v>
      </c>
      <c r="S335" s="43">
        <v>45832</v>
      </c>
      <c r="T335" s="43"/>
      <c r="U335" s="43"/>
      <c r="V335" s="58"/>
      <c r="W335" s="34"/>
      <c r="X335" s="34"/>
    </row>
    <row r="336" spans="1:24" x14ac:dyDescent="0.2">
      <c r="A336" s="132">
        <v>330</v>
      </c>
      <c r="B336" s="342">
        <v>44627</v>
      </c>
      <c r="C336" s="34" t="s">
        <v>2181</v>
      </c>
      <c r="D336" s="40" t="str">
        <f t="shared" si="10"/>
        <v>2002000330</v>
      </c>
      <c r="E336" s="34" t="s">
        <v>82</v>
      </c>
      <c r="F336" s="52">
        <v>783505076</v>
      </c>
      <c r="G336" s="34"/>
      <c r="H336" s="34" t="s">
        <v>84</v>
      </c>
      <c r="I336" s="278">
        <v>27985</v>
      </c>
      <c r="J336" s="50">
        <f t="shared" ca="1" si="11"/>
        <v>47.128767123287673</v>
      </c>
      <c r="K336" s="50" t="str">
        <f ca="1">IFERROR(VLOOKUP($J336,Ref!$B$7:$C$9,2),"")</f>
        <v>Valid Age</v>
      </c>
      <c r="L336" s="55" t="s">
        <v>85</v>
      </c>
      <c r="M336" s="34"/>
      <c r="N336" s="34" t="s">
        <v>1451</v>
      </c>
      <c r="O336" s="34" t="s">
        <v>1473</v>
      </c>
      <c r="P336" s="34" t="s">
        <v>1473</v>
      </c>
      <c r="Q336" s="34" t="s">
        <v>127</v>
      </c>
      <c r="R336" s="34" t="s">
        <v>2182</v>
      </c>
      <c r="S336" s="43">
        <v>45832</v>
      </c>
      <c r="T336" s="43"/>
      <c r="U336" s="43"/>
      <c r="V336" s="58"/>
      <c r="W336" s="34"/>
      <c r="X336" s="34"/>
    </row>
    <row r="337" spans="1:24" x14ac:dyDescent="0.2">
      <c r="A337" s="132">
        <v>331</v>
      </c>
      <c r="B337" s="342">
        <v>44630</v>
      </c>
      <c r="C337" s="34" t="s">
        <v>2192</v>
      </c>
      <c r="D337" s="40" t="str">
        <f t="shared" si="10"/>
        <v>2002000331</v>
      </c>
      <c r="E337" s="34" t="s">
        <v>82</v>
      </c>
      <c r="F337" s="52">
        <v>788184365</v>
      </c>
      <c r="G337" s="34"/>
      <c r="H337" s="34" t="s">
        <v>83</v>
      </c>
      <c r="I337" s="278">
        <v>25904</v>
      </c>
      <c r="J337" s="50">
        <f t="shared" ca="1" si="11"/>
        <v>52.830136986301369</v>
      </c>
      <c r="K337" s="50" t="str">
        <f ca="1">IFERROR(VLOOKUP($J337,Ref!$B$7:$C$9,2),"")</f>
        <v>Valid Age</v>
      </c>
      <c r="L337" s="55" t="s">
        <v>85</v>
      </c>
      <c r="M337" s="34"/>
      <c r="N337" s="34" t="s">
        <v>93</v>
      </c>
      <c r="O337" s="34" t="s">
        <v>2193</v>
      </c>
      <c r="P337" s="34" t="s">
        <v>2194</v>
      </c>
      <c r="Q337" s="34" t="s">
        <v>127</v>
      </c>
      <c r="R337" s="34" t="s">
        <v>2195</v>
      </c>
      <c r="S337" s="43">
        <v>45588</v>
      </c>
      <c r="T337" s="43"/>
      <c r="U337" s="43"/>
      <c r="V337" s="58"/>
      <c r="W337" s="34"/>
      <c r="X337" s="34"/>
    </row>
    <row r="338" spans="1:24" x14ac:dyDescent="0.2">
      <c r="A338" s="132">
        <v>332</v>
      </c>
      <c r="B338" s="342">
        <v>44630</v>
      </c>
      <c r="C338" s="34" t="s">
        <v>2197</v>
      </c>
      <c r="D338" s="40" t="str">
        <f t="shared" si="10"/>
        <v>2002000332</v>
      </c>
      <c r="E338" s="34" t="s">
        <v>82</v>
      </c>
      <c r="F338" s="52">
        <v>778045281</v>
      </c>
      <c r="G338" s="34"/>
      <c r="H338" s="34" t="s">
        <v>83</v>
      </c>
      <c r="I338" s="278">
        <v>35077</v>
      </c>
      <c r="J338" s="50">
        <f t="shared" ca="1" si="11"/>
        <v>27.698630136986303</v>
      </c>
      <c r="K338" s="50" t="str">
        <f ca="1">IFERROR(VLOOKUP($J338,Ref!$B$7:$C$9,2),"")</f>
        <v>Valid Age</v>
      </c>
      <c r="L338" s="55" t="s">
        <v>85</v>
      </c>
      <c r="M338" s="34"/>
      <c r="N338" s="34" t="s">
        <v>2199</v>
      </c>
      <c r="O338" s="34" t="s">
        <v>2200</v>
      </c>
      <c r="P338" s="34" t="s">
        <v>1832</v>
      </c>
      <c r="Q338" s="34" t="s">
        <v>127</v>
      </c>
      <c r="R338" s="34" t="s">
        <v>2201</v>
      </c>
      <c r="S338" s="43">
        <v>45635</v>
      </c>
      <c r="T338" s="43"/>
      <c r="U338" s="43"/>
      <c r="V338" s="58"/>
      <c r="W338" s="34"/>
      <c r="X338" s="34"/>
    </row>
    <row r="339" spans="1:24" x14ac:dyDescent="0.2">
      <c r="A339" s="132">
        <v>333</v>
      </c>
      <c r="B339" s="342">
        <v>44631</v>
      </c>
      <c r="C339" s="34" t="s">
        <v>2202</v>
      </c>
      <c r="D339" s="40" t="str">
        <f t="shared" si="10"/>
        <v>2002000333</v>
      </c>
      <c r="E339" s="34" t="s">
        <v>82</v>
      </c>
      <c r="F339" s="52">
        <v>782244111</v>
      </c>
      <c r="G339" s="34"/>
      <c r="H339" s="34" t="s">
        <v>84</v>
      </c>
      <c r="I339" s="278">
        <v>32827</v>
      </c>
      <c r="J339" s="50">
        <f t="shared" ca="1" si="11"/>
        <v>33.863013698630134</v>
      </c>
      <c r="K339" s="50" t="str">
        <f ca="1">IFERROR(VLOOKUP($J339,Ref!$B$7:$C$9,2),"")</f>
        <v>Valid Age</v>
      </c>
      <c r="L339" s="55" t="s">
        <v>85</v>
      </c>
      <c r="M339" s="34"/>
      <c r="N339" s="34" t="s">
        <v>1451</v>
      </c>
      <c r="O339" s="34" t="s">
        <v>349</v>
      </c>
      <c r="P339" s="34" t="s">
        <v>350</v>
      </c>
      <c r="Q339" s="34" t="s">
        <v>127</v>
      </c>
      <c r="R339" s="34" t="s">
        <v>2203</v>
      </c>
      <c r="S339" s="43">
        <v>45843</v>
      </c>
      <c r="T339" s="43"/>
      <c r="U339" s="43"/>
      <c r="V339" s="58"/>
      <c r="W339" s="34"/>
      <c r="X339" s="34"/>
    </row>
    <row r="340" spans="1:24" x14ac:dyDescent="0.2">
      <c r="A340" s="132">
        <v>334</v>
      </c>
      <c r="B340" s="342">
        <v>44631</v>
      </c>
      <c r="C340" s="34" t="s">
        <v>2204</v>
      </c>
      <c r="D340" s="40" t="str">
        <f t="shared" si="10"/>
        <v>2002000334</v>
      </c>
      <c r="E340" s="34" t="s">
        <v>82</v>
      </c>
      <c r="F340" s="52">
        <v>785151552</v>
      </c>
      <c r="G340" s="34">
        <v>776742877</v>
      </c>
      <c r="H340" s="34" t="s">
        <v>83</v>
      </c>
      <c r="I340" s="278">
        <v>26078</v>
      </c>
      <c r="J340" s="50">
        <f t="shared" ca="1" si="11"/>
        <v>52.353424657534248</v>
      </c>
      <c r="K340" s="50" t="str">
        <f ca="1">IFERROR(VLOOKUP($J340,Ref!$B$7:$C$9,2),"")</f>
        <v>Valid Age</v>
      </c>
      <c r="L340" s="55" t="s">
        <v>85</v>
      </c>
      <c r="M340" s="34"/>
      <c r="N340" s="34" t="s">
        <v>1411</v>
      </c>
      <c r="O340" s="34" t="s">
        <v>2205</v>
      </c>
      <c r="P340" s="34" t="s">
        <v>2206</v>
      </c>
      <c r="Q340" s="34" t="s">
        <v>127</v>
      </c>
      <c r="R340" s="34" t="s">
        <v>2207</v>
      </c>
      <c r="S340" s="43">
        <v>45833</v>
      </c>
      <c r="T340" s="43"/>
      <c r="U340" s="43"/>
      <c r="V340" s="58"/>
      <c r="W340" s="34"/>
      <c r="X340" s="34"/>
    </row>
    <row r="341" spans="1:24" x14ac:dyDescent="0.2">
      <c r="A341" s="132">
        <v>335</v>
      </c>
      <c r="B341" s="342">
        <v>44631</v>
      </c>
      <c r="C341" s="34" t="s">
        <v>2208</v>
      </c>
      <c r="D341" s="40" t="str">
        <f t="shared" si="10"/>
        <v>2002000335</v>
      </c>
      <c r="E341" s="34" t="s">
        <v>82</v>
      </c>
      <c r="F341" s="52">
        <v>772767027</v>
      </c>
      <c r="G341" s="34"/>
      <c r="H341" s="34" t="s">
        <v>83</v>
      </c>
      <c r="I341" s="278">
        <v>24088</v>
      </c>
      <c r="J341" s="50">
        <f t="shared" ca="1" si="11"/>
        <v>57.805479452054797</v>
      </c>
      <c r="K341" s="50" t="str">
        <f ca="1">IFERROR(VLOOKUP($J341,Ref!$B$7:$C$9,2),"")</f>
        <v>Over Age</v>
      </c>
      <c r="L341" s="55" t="s">
        <v>85</v>
      </c>
      <c r="M341" s="34"/>
      <c r="N341" s="34" t="s">
        <v>1303</v>
      </c>
      <c r="O341" s="34" t="s">
        <v>2209</v>
      </c>
      <c r="P341" s="34" t="s">
        <v>1832</v>
      </c>
      <c r="Q341" s="34" t="s">
        <v>127</v>
      </c>
      <c r="R341" s="34" t="s">
        <v>2210</v>
      </c>
      <c r="S341" s="43">
        <v>45832</v>
      </c>
      <c r="T341" s="43"/>
      <c r="U341" s="43"/>
      <c r="V341" s="58"/>
      <c r="W341" s="34"/>
      <c r="X341" s="34"/>
    </row>
    <row r="342" spans="1:24" x14ac:dyDescent="0.2">
      <c r="A342" s="132">
        <v>336</v>
      </c>
      <c r="B342" s="342">
        <v>44631</v>
      </c>
      <c r="C342" s="34" t="s">
        <v>2211</v>
      </c>
      <c r="D342" s="40" t="str">
        <f t="shared" si="10"/>
        <v>2002000336</v>
      </c>
      <c r="E342" s="34" t="s">
        <v>82</v>
      </c>
      <c r="F342" s="52">
        <v>754243001</v>
      </c>
      <c r="G342" s="34"/>
      <c r="H342" s="34" t="s">
        <v>83</v>
      </c>
      <c r="I342" s="278">
        <v>29690</v>
      </c>
      <c r="J342" s="50">
        <f t="shared" ca="1" si="11"/>
        <v>42.457534246575342</v>
      </c>
      <c r="K342" s="50" t="str">
        <f ca="1">IFERROR(VLOOKUP($J342,Ref!$B$7:$C$9,2),"")</f>
        <v>Valid Age</v>
      </c>
      <c r="L342" s="55" t="s">
        <v>85</v>
      </c>
      <c r="M342" s="34"/>
      <c r="N342" s="34" t="s">
        <v>2212</v>
      </c>
      <c r="O342" s="34" t="s">
        <v>1468</v>
      </c>
      <c r="P342" s="34" t="s">
        <v>2213</v>
      </c>
      <c r="Q342" s="34" t="s">
        <v>127</v>
      </c>
      <c r="R342" s="34" t="s">
        <v>2214</v>
      </c>
      <c r="S342" s="43">
        <v>45832</v>
      </c>
      <c r="T342" s="43"/>
      <c r="U342" s="43"/>
      <c r="V342" s="58"/>
      <c r="W342" s="34"/>
      <c r="X342" s="34"/>
    </row>
    <row r="343" spans="1:24" x14ac:dyDescent="0.2">
      <c r="A343" s="132">
        <v>337</v>
      </c>
      <c r="B343" s="342">
        <v>44634</v>
      </c>
      <c r="C343" s="34" t="s">
        <v>2218</v>
      </c>
      <c r="D343" s="40" t="str">
        <f t="shared" si="10"/>
        <v>2002000337</v>
      </c>
      <c r="E343" s="34" t="s">
        <v>82</v>
      </c>
      <c r="F343" s="52">
        <v>776390737</v>
      </c>
      <c r="G343" s="34"/>
      <c r="H343" s="34" t="s">
        <v>84</v>
      </c>
      <c r="I343" s="278">
        <v>32283</v>
      </c>
      <c r="J343" s="50">
        <f t="shared" ca="1" si="11"/>
        <v>35.353424657534248</v>
      </c>
      <c r="K343" s="50" t="str">
        <f ca="1">IFERROR(VLOOKUP($J343,Ref!$B$7:$C$9,2),"")</f>
        <v>Valid Age</v>
      </c>
      <c r="L343" s="55" t="s">
        <v>85</v>
      </c>
      <c r="M343" s="34"/>
      <c r="N343" s="34" t="s">
        <v>1451</v>
      </c>
      <c r="O343" s="34" t="s">
        <v>385</v>
      </c>
      <c r="P343" s="34" t="s">
        <v>1721</v>
      </c>
      <c r="Q343" s="34" t="s">
        <v>127</v>
      </c>
      <c r="R343" s="34" t="s">
        <v>2219</v>
      </c>
      <c r="S343" s="43">
        <v>45614</v>
      </c>
      <c r="T343" s="43"/>
      <c r="U343" s="43"/>
      <c r="V343" s="58"/>
      <c r="W343" s="34"/>
      <c r="X343" s="34"/>
    </row>
    <row r="344" spans="1:24" x14ac:dyDescent="0.2">
      <c r="A344" s="132">
        <v>338</v>
      </c>
      <c r="B344" s="342">
        <v>44635</v>
      </c>
      <c r="C344" s="34" t="s">
        <v>2221</v>
      </c>
      <c r="D344" s="40" t="str">
        <f t="shared" si="10"/>
        <v>2002000338</v>
      </c>
      <c r="E344" s="34" t="s">
        <v>82</v>
      </c>
      <c r="F344" s="52">
        <v>786290036</v>
      </c>
      <c r="G344" s="34"/>
      <c r="H344" s="34" t="s">
        <v>84</v>
      </c>
      <c r="I344" s="278">
        <v>30780</v>
      </c>
      <c r="J344" s="50">
        <f t="shared" ref="J344:J407" ca="1" si="12">IF(I344="","",(TODAY()-$I344)/365)</f>
        <v>39.471232876712328</v>
      </c>
      <c r="K344" s="50" t="str">
        <f ca="1">IFERROR(VLOOKUP($J344,Ref!$B$7:$C$9,2),"")</f>
        <v>Valid Age</v>
      </c>
      <c r="L344" s="55" t="s">
        <v>1680</v>
      </c>
      <c r="M344" s="34"/>
      <c r="N344" s="34" t="s">
        <v>1451</v>
      </c>
      <c r="O344" s="34" t="s">
        <v>2222</v>
      </c>
      <c r="P344" s="34" t="s">
        <v>1989</v>
      </c>
      <c r="Q344" s="34" t="s">
        <v>127</v>
      </c>
      <c r="R344" s="34" t="s">
        <v>2223</v>
      </c>
      <c r="S344" s="43">
        <v>45833</v>
      </c>
      <c r="T344" s="43"/>
      <c r="U344" s="43"/>
      <c r="V344" s="58"/>
      <c r="W344" s="34"/>
      <c r="X344" s="34"/>
    </row>
    <row r="345" spans="1:24" x14ac:dyDescent="0.2">
      <c r="A345" s="132">
        <v>339</v>
      </c>
      <c r="B345" s="342">
        <v>44638</v>
      </c>
      <c r="C345" s="34" t="s">
        <v>2227</v>
      </c>
      <c r="D345" s="40" t="str">
        <f t="shared" si="10"/>
        <v>2002000339</v>
      </c>
      <c r="E345" s="34" t="s">
        <v>82</v>
      </c>
      <c r="F345" s="52">
        <v>394004651</v>
      </c>
      <c r="G345" s="34"/>
      <c r="H345" s="34" t="s">
        <v>84</v>
      </c>
      <c r="I345" s="278">
        <v>31620</v>
      </c>
      <c r="J345" s="50">
        <f t="shared" ca="1" si="12"/>
        <v>37.169863013698631</v>
      </c>
      <c r="K345" s="50" t="str">
        <f ca="1">IFERROR(VLOOKUP($J345,Ref!$B$7:$C$9,2),"")</f>
        <v>Valid Age</v>
      </c>
      <c r="L345" s="55" t="s">
        <v>86</v>
      </c>
      <c r="M345" s="34"/>
      <c r="N345" s="34" t="s">
        <v>1451</v>
      </c>
      <c r="O345" s="34" t="s">
        <v>2229</v>
      </c>
      <c r="P345" s="34" t="s">
        <v>354</v>
      </c>
      <c r="Q345" s="34" t="s">
        <v>127</v>
      </c>
      <c r="R345" s="34" t="s">
        <v>2230</v>
      </c>
      <c r="S345" s="43">
        <v>45560</v>
      </c>
      <c r="T345" s="43"/>
      <c r="U345" s="43"/>
      <c r="V345" s="58"/>
      <c r="W345" s="34"/>
      <c r="X345" s="34"/>
    </row>
    <row r="346" spans="1:24" x14ac:dyDescent="0.2">
      <c r="A346" s="132">
        <v>340</v>
      </c>
      <c r="B346" s="342">
        <v>44639</v>
      </c>
      <c r="C346" s="34" t="s">
        <v>2231</v>
      </c>
      <c r="D346" s="40" t="str">
        <f t="shared" si="10"/>
        <v>2002000340</v>
      </c>
      <c r="E346" s="34" t="s">
        <v>82</v>
      </c>
      <c r="F346" s="52">
        <v>781615361</v>
      </c>
      <c r="G346" s="34"/>
      <c r="H346" s="34" t="s">
        <v>84</v>
      </c>
      <c r="I346" s="278">
        <v>34649</v>
      </c>
      <c r="J346" s="50">
        <f t="shared" ca="1" si="12"/>
        <v>28.87123287671233</v>
      </c>
      <c r="K346" s="50" t="str">
        <f ca="1">IFERROR(VLOOKUP($J346,Ref!$B$7:$C$9,2),"")</f>
        <v>Valid Age</v>
      </c>
      <c r="L346" s="55" t="s">
        <v>85</v>
      </c>
      <c r="M346" s="34"/>
      <c r="N346" s="34" t="s">
        <v>1451</v>
      </c>
      <c r="O346" s="34" t="s">
        <v>99</v>
      </c>
      <c r="P346" s="34" t="s">
        <v>354</v>
      </c>
      <c r="Q346" s="34" t="s">
        <v>127</v>
      </c>
      <c r="R346" s="34" t="s">
        <v>2233</v>
      </c>
      <c r="S346" s="43">
        <v>45832</v>
      </c>
      <c r="T346" s="43"/>
      <c r="U346" s="43"/>
      <c r="V346" s="58"/>
      <c r="W346" s="34"/>
      <c r="X346" s="34"/>
    </row>
    <row r="347" spans="1:24" x14ac:dyDescent="0.2">
      <c r="A347" s="132">
        <v>341</v>
      </c>
      <c r="B347" s="342">
        <v>44639</v>
      </c>
      <c r="C347" s="34" t="s">
        <v>2232</v>
      </c>
      <c r="D347" s="40" t="str">
        <f t="shared" si="10"/>
        <v>2002000341</v>
      </c>
      <c r="E347" s="34" t="s">
        <v>82</v>
      </c>
      <c r="F347" s="52">
        <v>776615154</v>
      </c>
      <c r="G347" s="34">
        <v>758693839</v>
      </c>
      <c r="H347" s="34" t="s">
        <v>84</v>
      </c>
      <c r="I347" s="278">
        <v>36808</v>
      </c>
      <c r="J347" s="50">
        <f t="shared" ca="1" si="12"/>
        <v>22.956164383561642</v>
      </c>
      <c r="K347" s="50" t="str">
        <f ca="1">IFERROR(VLOOKUP($J347,Ref!$B$7:$C$9,2),"")</f>
        <v>Valid Age</v>
      </c>
      <c r="L347" s="55" t="s">
        <v>86</v>
      </c>
      <c r="M347" s="34"/>
      <c r="N347" s="34" t="s">
        <v>1451</v>
      </c>
      <c r="O347" s="34" t="s">
        <v>1738</v>
      </c>
      <c r="P347" s="34" t="s">
        <v>354</v>
      </c>
      <c r="Q347" s="34" t="s">
        <v>127</v>
      </c>
      <c r="R347" s="34" t="s">
        <v>2234</v>
      </c>
      <c r="S347" s="43">
        <v>47736</v>
      </c>
      <c r="T347" s="43"/>
      <c r="U347" s="43"/>
      <c r="V347" s="58"/>
      <c r="W347" s="34"/>
      <c r="X347" s="34"/>
    </row>
    <row r="348" spans="1:24" x14ac:dyDescent="0.2">
      <c r="A348" s="132">
        <v>342</v>
      </c>
      <c r="B348" s="342">
        <v>44641</v>
      </c>
      <c r="C348" s="34" t="s">
        <v>2238</v>
      </c>
      <c r="D348" s="40" t="str">
        <f t="shared" si="10"/>
        <v>2002000342</v>
      </c>
      <c r="E348" s="34" t="s">
        <v>82</v>
      </c>
      <c r="F348" s="52">
        <v>774407243</v>
      </c>
      <c r="G348" s="34"/>
      <c r="H348" s="34" t="s">
        <v>83</v>
      </c>
      <c r="I348" s="278">
        <v>31444</v>
      </c>
      <c r="J348" s="50">
        <f t="shared" ca="1" si="12"/>
        <v>37.652054794520545</v>
      </c>
      <c r="K348" s="50" t="str">
        <f ca="1">IFERROR(VLOOKUP($J348,Ref!$B$7:$C$9,2),"")</f>
        <v>Valid Age</v>
      </c>
      <c r="L348" s="55" t="s">
        <v>86</v>
      </c>
      <c r="M348" s="34"/>
      <c r="N348" s="34" t="s">
        <v>1411</v>
      </c>
      <c r="O348" s="34"/>
      <c r="P348" s="34" t="s">
        <v>1683</v>
      </c>
      <c r="Q348" s="34" t="s">
        <v>127</v>
      </c>
      <c r="R348" s="34" t="s">
        <v>2254</v>
      </c>
      <c r="S348" s="43">
        <v>45832</v>
      </c>
      <c r="T348" s="43"/>
      <c r="U348" s="43"/>
      <c r="V348" s="58"/>
      <c r="W348" s="34"/>
      <c r="X348" s="34"/>
    </row>
    <row r="349" spans="1:24" x14ac:dyDescent="0.2">
      <c r="A349" s="132">
        <v>343</v>
      </c>
      <c r="B349" s="342">
        <v>44643</v>
      </c>
      <c r="C349" s="34" t="s">
        <v>2242</v>
      </c>
      <c r="D349" s="40" t="str">
        <f t="shared" si="10"/>
        <v>2002000343</v>
      </c>
      <c r="E349" s="34" t="s">
        <v>82</v>
      </c>
      <c r="F349" s="52">
        <v>777271807</v>
      </c>
      <c r="G349" s="34"/>
      <c r="H349" s="34" t="s">
        <v>83</v>
      </c>
      <c r="I349" s="278">
        <v>32875</v>
      </c>
      <c r="J349" s="50">
        <f t="shared" ca="1" si="12"/>
        <v>33.731506849315068</v>
      </c>
      <c r="K349" s="50" t="str">
        <f ca="1">IFERROR(VLOOKUP($J349,Ref!$B$7:$C$9,2),"")</f>
        <v>Valid Age</v>
      </c>
      <c r="L349" s="55" t="s">
        <v>86</v>
      </c>
      <c r="M349" s="34"/>
      <c r="N349" s="34" t="s">
        <v>1411</v>
      </c>
      <c r="O349" s="34" t="s">
        <v>2243</v>
      </c>
      <c r="P349" s="34" t="s">
        <v>2244</v>
      </c>
      <c r="Q349" s="34" t="s">
        <v>127</v>
      </c>
      <c r="R349" s="34" t="s">
        <v>2245</v>
      </c>
      <c r="S349" s="43">
        <v>45832</v>
      </c>
      <c r="T349" s="43"/>
      <c r="U349" s="43"/>
      <c r="V349" s="58"/>
      <c r="W349" s="34"/>
      <c r="X349" s="34"/>
    </row>
    <row r="350" spans="1:24" x14ac:dyDescent="0.2">
      <c r="A350" s="132">
        <v>344</v>
      </c>
      <c r="B350" s="342">
        <v>44643</v>
      </c>
      <c r="C350" s="34" t="s">
        <v>2246</v>
      </c>
      <c r="D350" s="40" t="str">
        <f t="shared" si="10"/>
        <v>2002000344</v>
      </c>
      <c r="E350" s="34" t="s">
        <v>82</v>
      </c>
      <c r="F350" s="52">
        <v>786938472</v>
      </c>
      <c r="G350" s="34"/>
      <c r="H350" s="34" t="s">
        <v>83</v>
      </c>
      <c r="I350" s="278">
        <v>34448</v>
      </c>
      <c r="J350" s="50">
        <f t="shared" ca="1" si="12"/>
        <v>29.421917808219177</v>
      </c>
      <c r="K350" s="50" t="str">
        <f ca="1">IFERROR(VLOOKUP($J350,Ref!$B$7:$C$9,2),"")</f>
        <v>Valid Age</v>
      </c>
      <c r="L350" s="55" t="s">
        <v>86</v>
      </c>
      <c r="M350" s="34"/>
      <c r="N350" s="34" t="s">
        <v>1411</v>
      </c>
      <c r="O350" s="34" t="s">
        <v>2247</v>
      </c>
      <c r="P350" s="34" t="s">
        <v>121</v>
      </c>
      <c r="Q350" s="34" t="s">
        <v>127</v>
      </c>
      <c r="R350" s="34" t="s">
        <v>2248</v>
      </c>
      <c r="S350" s="43">
        <v>45833</v>
      </c>
      <c r="T350" s="43"/>
      <c r="U350" s="43"/>
      <c r="V350" s="58"/>
      <c r="W350" s="34"/>
      <c r="X350" s="34"/>
    </row>
    <row r="351" spans="1:24" x14ac:dyDescent="0.2">
      <c r="A351" s="132">
        <v>345</v>
      </c>
      <c r="B351" s="342">
        <v>44643</v>
      </c>
      <c r="C351" s="34" t="s">
        <v>2249</v>
      </c>
      <c r="D351" s="40" t="str">
        <f t="shared" si="10"/>
        <v>2002000345</v>
      </c>
      <c r="E351" s="34" t="s">
        <v>82</v>
      </c>
      <c r="F351" s="52">
        <v>783669994</v>
      </c>
      <c r="G351" s="34"/>
      <c r="H351" s="34" t="s">
        <v>83</v>
      </c>
      <c r="I351" s="278">
        <v>28745</v>
      </c>
      <c r="J351" s="50">
        <f t="shared" ca="1" si="12"/>
        <v>45.046575342465751</v>
      </c>
      <c r="K351" s="50" t="str">
        <f ca="1">IFERROR(VLOOKUP($J351,Ref!$B$7:$C$9,2),"")</f>
        <v>Valid Age</v>
      </c>
      <c r="L351" s="55" t="s">
        <v>86</v>
      </c>
      <c r="M351" s="34"/>
      <c r="N351" s="34" t="s">
        <v>1411</v>
      </c>
      <c r="O351" s="34" t="s">
        <v>2250</v>
      </c>
      <c r="P351" s="34" t="s">
        <v>1289</v>
      </c>
      <c r="Q351" s="34" t="s">
        <v>127</v>
      </c>
      <c r="R351" s="34" t="s">
        <v>2253</v>
      </c>
      <c r="S351" s="43">
        <v>45734</v>
      </c>
      <c r="T351" s="43"/>
      <c r="U351" s="43"/>
      <c r="V351" s="58"/>
      <c r="W351" s="34"/>
      <c r="X351" s="34"/>
    </row>
    <row r="352" spans="1:24" x14ac:dyDescent="0.2">
      <c r="A352" s="132">
        <v>346</v>
      </c>
      <c r="B352" s="342">
        <v>44643</v>
      </c>
      <c r="C352" s="34" t="s">
        <v>2251</v>
      </c>
      <c r="D352" s="40" t="str">
        <f t="shared" si="10"/>
        <v>2002000346</v>
      </c>
      <c r="E352" s="34" t="s">
        <v>82</v>
      </c>
      <c r="F352" s="52">
        <v>775883710</v>
      </c>
      <c r="G352" s="34"/>
      <c r="H352" s="34" t="s">
        <v>84</v>
      </c>
      <c r="I352" s="278">
        <v>27192</v>
      </c>
      <c r="J352" s="50">
        <f ca="1">IF(I352="","",(TODAY()-$I352)/365)</f>
        <v>49.301369863013697</v>
      </c>
      <c r="K352" s="50" t="str">
        <f ca="1">IFERROR(VLOOKUP($J352,Ref!$B$7:$C$9,2),"")</f>
        <v>Valid Age</v>
      </c>
      <c r="L352" s="55" t="s">
        <v>85</v>
      </c>
      <c r="M352" s="34"/>
      <c r="N352" s="34" t="s">
        <v>1451</v>
      </c>
      <c r="O352" s="34" t="s">
        <v>1400</v>
      </c>
      <c r="P352" s="34" t="s">
        <v>2123</v>
      </c>
      <c r="Q352" s="34" t="s">
        <v>127</v>
      </c>
      <c r="R352" s="34" t="s">
        <v>2252</v>
      </c>
      <c r="S352" s="43">
        <v>45833</v>
      </c>
      <c r="T352" s="43"/>
      <c r="U352" s="43"/>
      <c r="V352" s="58"/>
      <c r="W352" s="34"/>
      <c r="X352" s="34"/>
    </row>
    <row r="353" spans="1:24" x14ac:dyDescent="0.2">
      <c r="A353" s="132">
        <v>347</v>
      </c>
      <c r="B353" s="342">
        <v>44645</v>
      </c>
      <c r="C353" s="34" t="s">
        <v>2300</v>
      </c>
      <c r="D353" s="40" t="str">
        <f t="shared" si="10"/>
        <v>2002000347</v>
      </c>
      <c r="E353" s="34" t="s">
        <v>82</v>
      </c>
      <c r="F353" s="52">
        <v>761322340</v>
      </c>
      <c r="G353" s="34">
        <v>779207291</v>
      </c>
      <c r="H353" s="34" t="s">
        <v>84</v>
      </c>
      <c r="I353" s="278">
        <v>28856</v>
      </c>
      <c r="J353" s="50">
        <f t="shared" ca="1" si="12"/>
        <v>44.742465753424661</v>
      </c>
      <c r="K353" s="50" t="str">
        <f ca="1">IFERROR(VLOOKUP($J353,Ref!$B$7:$C$9,2),"")</f>
        <v>Valid Age</v>
      </c>
      <c r="L353" s="55" t="s">
        <v>86</v>
      </c>
      <c r="M353" s="34"/>
      <c r="N353" s="34" t="s">
        <v>1451</v>
      </c>
      <c r="O353" s="34" t="s">
        <v>99</v>
      </c>
      <c r="P353" s="34" t="s">
        <v>311</v>
      </c>
      <c r="Q353" s="34" t="s">
        <v>127</v>
      </c>
      <c r="R353" s="34" t="s">
        <v>2256</v>
      </c>
      <c r="S353" s="43">
        <v>45832</v>
      </c>
      <c r="T353" s="43"/>
      <c r="U353" s="43"/>
      <c r="V353" s="58"/>
      <c r="W353" s="34"/>
      <c r="X353" s="34"/>
    </row>
    <row r="354" spans="1:24" x14ac:dyDescent="0.2">
      <c r="A354" s="132">
        <v>348</v>
      </c>
      <c r="B354" s="342">
        <v>44650</v>
      </c>
      <c r="C354" s="34" t="s">
        <v>2266</v>
      </c>
      <c r="D354" s="40" t="str">
        <f t="shared" si="10"/>
        <v>2002000348</v>
      </c>
      <c r="E354" s="34" t="s">
        <v>82</v>
      </c>
      <c r="F354" s="52">
        <v>772747817</v>
      </c>
      <c r="G354" s="34"/>
      <c r="H354" s="34" t="s">
        <v>83</v>
      </c>
      <c r="I354" s="278">
        <v>35920</v>
      </c>
      <c r="J354" s="50">
        <f t="shared" ca="1" si="12"/>
        <v>25.389041095890413</v>
      </c>
      <c r="K354" s="50" t="str">
        <f ca="1">IFERROR(VLOOKUP($J354,Ref!$B$7:$C$9,2),"")</f>
        <v>Valid Age</v>
      </c>
      <c r="L354" s="55" t="s">
        <v>85</v>
      </c>
      <c r="M354" s="34"/>
      <c r="N354" s="34" t="s">
        <v>2268</v>
      </c>
      <c r="O354" s="34" t="s">
        <v>2269</v>
      </c>
      <c r="P354" s="34" t="s">
        <v>1150</v>
      </c>
      <c r="Q354" s="34" t="s">
        <v>127</v>
      </c>
      <c r="R354" s="34" t="s">
        <v>2270</v>
      </c>
      <c r="S354" s="43">
        <v>45840</v>
      </c>
      <c r="T354" s="43"/>
      <c r="U354" s="43"/>
      <c r="V354" s="58"/>
      <c r="W354" s="34"/>
      <c r="X354" s="34"/>
    </row>
    <row r="355" spans="1:24" x14ac:dyDescent="0.2">
      <c r="A355" s="132">
        <v>349</v>
      </c>
      <c r="B355" s="342">
        <v>44652</v>
      </c>
      <c r="C355" s="34" t="s">
        <v>2272</v>
      </c>
      <c r="D355" s="40" t="str">
        <f t="shared" si="10"/>
        <v>2002000349</v>
      </c>
      <c r="E355" s="34" t="s">
        <v>82</v>
      </c>
      <c r="F355" s="52">
        <v>776549504</v>
      </c>
      <c r="G355" s="34"/>
      <c r="H355" s="34" t="s">
        <v>84</v>
      </c>
      <c r="I355" s="278">
        <v>33789</v>
      </c>
      <c r="J355" s="50">
        <f t="shared" ca="1" si="12"/>
        <v>31.227397260273971</v>
      </c>
      <c r="K355" s="50" t="str">
        <f ca="1">IFERROR(VLOOKUP($J355,Ref!$B$7:$C$9,2),"")</f>
        <v>Valid Age</v>
      </c>
      <c r="L355" s="55" t="s">
        <v>86</v>
      </c>
      <c r="M355" s="34"/>
      <c r="N355" s="34" t="s">
        <v>1451</v>
      </c>
      <c r="O355" s="34" t="s">
        <v>99</v>
      </c>
      <c r="P355" s="34" t="s">
        <v>2273</v>
      </c>
      <c r="Q355" s="34" t="s">
        <v>127</v>
      </c>
      <c r="R355" s="34" t="s">
        <v>2274</v>
      </c>
      <c r="S355" s="43">
        <v>45832</v>
      </c>
      <c r="T355" s="43"/>
      <c r="U355" s="43"/>
      <c r="V355" s="58"/>
      <c r="W355" s="34"/>
      <c r="X355" s="34"/>
    </row>
    <row r="356" spans="1:24" x14ac:dyDescent="0.2">
      <c r="A356" s="132">
        <v>350</v>
      </c>
      <c r="B356" s="342">
        <v>44652</v>
      </c>
      <c r="C356" s="34" t="s">
        <v>2275</v>
      </c>
      <c r="D356" s="40" t="str">
        <f t="shared" si="10"/>
        <v>2002000350</v>
      </c>
      <c r="E356" s="34" t="s">
        <v>82</v>
      </c>
      <c r="F356" s="52">
        <v>777085522</v>
      </c>
      <c r="G356" s="34"/>
      <c r="H356" s="34" t="s">
        <v>83</v>
      </c>
      <c r="I356" s="278">
        <v>32500</v>
      </c>
      <c r="J356" s="50">
        <f t="shared" ca="1" si="12"/>
        <v>34.758904109589039</v>
      </c>
      <c r="K356" s="50" t="str">
        <f ca="1">IFERROR(VLOOKUP($J356,Ref!$B$7:$C$9,2),"")</f>
        <v>Valid Age</v>
      </c>
      <c r="L356" s="55" t="s">
        <v>86</v>
      </c>
      <c r="M356" s="34"/>
      <c r="N356" s="34" t="s">
        <v>91</v>
      </c>
      <c r="O356" s="34" t="s">
        <v>2276</v>
      </c>
      <c r="P356" s="34" t="s">
        <v>2277</v>
      </c>
      <c r="Q356" s="34" t="s">
        <v>127</v>
      </c>
      <c r="R356" s="34" t="s">
        <v>2278</v>
      </c>
      <c r="S356" s="43">
        <v>47985</v>
      </c>
      <c r="T356" s="43"/>
      <c r="U356" s="43"/>
      <c r="V356" s="58"/>
      <c r="W356" s="34"/>
      <c r="X356" s="34"/>
    </row>
    <row r="357" spans="1:24" x14ac:dyDescent="0.2">
      <c r="A357" s="132">
        <v>351</v>
      </c>
      <c r="B357" s="342">
        <v>44663</v>
      </c>
      <c r="C357" s="34" t="s">
        <v>2301</v>
      </c>
      <c r="D357" s="40" t="str">
        <f t="shared" si="10"/>
        <v>2002000351</v>
      </c>
      <c r="E357" s="34" t="s">
        <v>82</v>
      </c>
      <c r="F357" s="52">
        <v>782934272</v>
      </c>
      <c r="G357" s="34"/>
      <c r="H357" s="34" t="s">
        <v>83</v>
      </c>
      <c r="I357" s="278"/>
      <c r="J357" s="50" t="str">
        <f t="shared" ca="1" si="12"/>
        <v/>
      </c>
      <c r="K357" s="50" t="str">
        <f ca="1">IFERROR(VLOOKUP($J357,Ref!$B$7:$C$9,2),"")</f>
        <v/>
      </c>
      <c r="L357" s="55"/>
      <c r="M357" s="34"/>
      <c r="N357" s="34"/>
      <c r="O357" s="34"/>
      <c r="P357" s="34"/>
      <c r="Q357" s="34"/>
      <c r="R357" s="34"/>
      <c r="S357" s="43"/>
      <c r="T357" s="43"/>
      <c r="U357" s="43"/>
      <c r="V357" s="58"/>
      <c r="W357" s="34"/>
      <c r="X357" s="34"/>
    </row>
    <row r="358" spans="1:24" x14ac:dyDescent="0.2">
      <c r="A358" s="132">
        <v>352</v>
      </c>
      <c r="B358" s="342">
        <v>44664</v>
      </c>
      <c r="C358" s="34" t="s">
        <v>2303</v>
      </c>
      <c r="D358" s="40" t="str">
        <f t="shared" si="10"/>
        <v>2002000352</v>
      </c>
      <c r="E358" s="34" t="s">
        <v>82</v>
      </c>
      <c r="F358" s="52">
        <v>757288723</v>
      </c>
      <c r="G358" s="34"/>
      <c r="H358" s="34" t="s">
        <v>83</v>
      </c>
      <c r="I358" s="278">
        <v>27942</v>
      </c>
      <c r="J358" s="50">
        <f t="shared" ca="1" si="12"/>
        <v>47.246575342465754</v>
      </c>
      <c r="K358" s="50" t="str">
        <f ca="1">IFERROR(VLOOKUP($J358,Ref!$B$7:$C$9,2),"")</f>
        <v>Valid Age</v>
      </c>
      <c r="L358" s="55" t="s">
        <v>85</v>
      </c>
      <c r="M358" s="34"/>
      <c r="N358" s="34" t="s">
        <v>1411</v>
      </c>
      <c r="O358" s="34" t="s">
        <v>1982</v>
      </c>
      <c r="P358" s="34" t="s">
        <v>2305</v>
      </c>
      <c r="Q358" s="34" t="s">
        <v>127</v>
      </c>
      <c r="R358" s="34" t="s">
        <v>2306</v>
      </c>
      <c r="S358" s="43">
        <v>45832</v>
      </c>
      <c r="T358" s="43"/>
      <c r="U358" s="43"/>
      <c r="V358" s="58"/>
      <c r="W358" s="34"/>
      <c r="X358" s="34"/>
    </row>
    <row r="359" spans="1:24" x14ac:dyDescent="0.2">
      <c r="A359" s="132">
        <v>353</v>
      </c>
      <c r="B359" s="342">
        <v>44670</v>
      </c>
      <c r="C359" s="34" t="s">
        <v>2310</v>
      </c>
      <c r="D359" s="40" t="str">
        <f t="shared" si="10"/>
        <v>2002000353</v>
      </c>
      <c r="E359" s="34" t="s">
        <v>82</v>
      </c>
      <c r="F359" s="52"/>
      <c r="G359" s="34"/>
      <c r="H359" s="34" t="s">
        <v>84</v>
      </c>
      <c r="I359" s="278">
        <v>28413</v>
      </c>
      <c r="J359" s="50">
        <f t="shared" ca="1" si="12"/>
        <v>45.956164383561642</v>
      </c>
      <c r="K359" s="50" t="str">
        <f ca="1">IFERROR(VLOOKUP($J359,Ref!$B$7:$C$9,2),"")</f>
        <v>Valid Age</v>
      </c>
      <c r="L359" s="55" t="s">
        <v>86</v>
      </c>
      <c r="M359" s="34"/>
      <c r="N359" s="34" t="s">
        <v>1451</v>
      </c>
      <c r="O359" s="34" t="s">
        <v>1864</v>
      </c>
      <c r="P359" s="34" t="s">
        <v>1864</v>
      </c>
      <c r="Q359" s="34" t="s">
        <v>127</v>
      </c>
      <c r="R359" s="34" t="s">
        <v>2311</v>
      </c>
      <c r="S359" s="43">
        <v>45832</v>
      </c>
      <c r="T359" s="43"/>
      <c r="U359" s="43"/>
      <c r="V359" s="58"/>
      <c r="W359" s="34"/>
      <c r="X359" s="34"/>
    </row>
    <row r="360" spans="1:24" x14ac:dyDescent="0.2">
      <c r="A360" s="132">
        <v>354</v>
      </c>
      <c r="B360" s="342">
        <v>44672</v>
      </c>
      <c r="C360" s="34" t="s">
        <v>2317</v>
      </c>
      <c r="D360" s="40" t="str">
        <f t="shared" si="10"/>
        <v>2002000354</v>
      </c>
      <c r="E360" s="34" t="s">
        <v>82</v>
      </c>
      <c r="F360" s="52">
        <v>787285433</v>
      </c>
      <c r="G360" s="34"/>
      <c r="H360" s="34" t="s">
        <v>84</v>
      </c>
      <c r="I360" s="278">
        <v>32612</v>
      </c>
      <c r="J360" s="50">
        <f t="shared" ca="1" si="12"/>
        <v>34.452054794520549</v>
      </c>
      <c r="K360" s="50" t="str">
        <f ca="1">IFERROR(VLOOKUP($J360,Ref!$B$7:$C$9,2),"")</f>
        <v>Valid Age</v>
      </c>
      <c r="L360" s="55" t="s">
        <v>85</v>
      </c>
      <c r="M360" s="34"/>
      <c r="N360" s="34" t="s">
        <v>1451</v>
      </c>
      <c r="O360" s="34" t="s">
        <v>1863</v>
      </c>
      <c r="P360" s="34" t="s">
        <v>2318</v>
      </c>
      <c r="Q360" s="34" t="s">
        <v>127</v>
      </c>
      <c r="R360" s="34" t="s">
        <v>2319</v>
      </c>
      <c r="S360" s="43">
        <v>45832</v>
      </c>
      <c r="T360" s="43"/>
      <c r="U360" s="43"/>
      <c r="V360" s="58"/>
      <c r="W360" s="34"/>
      <c r="X360" s="34"/>
    </row>
    <row r="361" spans="1:24" x14ac:dyDescent="0.2">
      <c r="A361" s="132">
        <v>355</v>
      </c>
      <c r="B361" s="342">
        <v>44672</v>
      </c>
      <c r="C361" s="34" t="s">
        <v>2320</v>
      </c>
      <c r="D361" s="40" t="str">
        <f t="shared" si="10"/>
        <v>2002000355</v>
      </c>
      <c r="E361" s="34" t="s">
        <v>82</v>
      </c>
      <c r="F361" s="52">
        <v>783556900</v>
      </c>
      <c r="G361" s="34"/>
      <c r="H361" s="34" t="s">
        <v>84</v>
      </c>
      <c r="I361" s="278">
        <v>30281</v>
      </c>
      <c r="J361" s="50">
        <f t="shared" ca="1" si="12"/>
        <v>40.838356164383562</v>
      </c>
      <c r="K361" s="50" t="str">
        <f ca="1">IFERROR(VLOOKUP($J361,Ref!$B$7:$C$9,2),"")</f>
        <v>Valid Age</v>
      </c>
      <c r="L361" s="55" t="s">
        <v>86</v>
      </c>
      <c r="M361" s="34"/>
      <c r="N361" s="34" t="s">
        <v>1451</v>
      </c>
      <c r="O361" s="34" t="s">
        <v>1863</v>
      </c>
      <c r="P361" s="34" t="s">
        <v>385</v>
      </c>
      <c r="Q361" s="34" t="s">
        <v>127</v>
      </c>
      <c r="R361" s="34" t="s">
        <v>2321</v>
      </c>
      <c r="S361" s="43"/>
      <c r="T361" s="43"/>
      <c r="U361" s="43"/>
      <c r="V361" s="58"/>
      <c r="W361" s="34"/>
      <c r="X361" s="34"/>
    </row>
    <row r="362" spans="1:24" x14ac:dyDescent="0.2">
      <c r="A362" s="132">
        <v>356</v>
      </c>
      <c r="B362" s="342">
        <v>44673</v>
      </c>
      <c r="C362" s="34" t="s">
        <v>2322</v>
      </c>
      <c r="D362" s="40" t="str">
        <f t="shared" si="10"/>
        <v>2002000356</v>
      </c>
      <c r="E362" s="34" t="s">
        <v>82</v>
      </c>
      <c r="F362" s="52">
        <v>783278785</v>
      </c>
      <c r="G362" s="34">
        <v>772618929</v>
      </c>
      <c r="H362" s="34" t="s">
        <v>83</v>
      </c>
      <c r="I362" s="278">
        <v>24335</v>
      </c>
      <c r="J362" s="50">
        <f t="shared" ca="1" si="12"/>
        <v>57.128767123287673</v>
      </c>
      <c r="K362" s="50" t="str">
        <f ca="1">IFERROR(VLOOKUP($J362,Ref!$B$7:$C$9,2),"")</f>
        <v>Over Age</v>
      </c>
      <c r="L362" s="55" t="s">
        <v>85</v>
      </c>
      <c r="M362" s="34"/>
      <c r="N362" s="34" t="s">
        <v>1380</v>
      </c>
      <c r="O362" s="34" t="s">
        <v>326</v>
      </c>
      <c r="P362" s="34" t="s">
        <v>1221</v>
      </c>
      <c r="Q362" s="34" t="s">
        <v>127</v>
      </c>
      <c r="R362" s="34" t="s">
        <v>2323</v>
      </c>
      <c r="S362" s="43"/>
      <c r="T362" s="43"/>
      <c r="U362" s="43"/>
      <c r="V362" s="58"/>
      <c r="W362" s="34"/>
      <c r="X362" s="34"/>
    </row>
    <row r="363" spans="1:24" x14ac:dyDescent="0.2">
      <c r="A363" s="132">
        <v>357</v>
      </c>
      <c r="B363" s="342">
        <v>44678</v>
      </c>
      <c r="C363" s="34" t="s">
        <v>2334</v>
      </c>
      <c r="D363" s="40" t="str">
        <f t="shared" si="10"/>
        <v>2002000357</v>
      </c>
      <c r="E363" s="34" t="s">
        <v>82</v>
      </c>
      <c r="F363" s="52">
        <v>773515988</v>
      </c>
      <c r="G363" s="34"/>
      <c r="H363" s="34" t="s">
        <v>83</v>
      </c>
      <c r="I363" s="278">
        <v>30792</v>
      </c>
      <c r="J363" s="50">
        <f t="shared" ca="1" si="12"/>
        <v>39.438356164383563</v>
      </c>
      <c r="K363" s="50" t="str">
        <f ca="1">IFERROR(VLOOKUP($J363,Ref!$B$7:$C$9,2),"")</f>
        <v>Valid Age</v>
      </c>
      <c r="L363" s="55" t="s">
        <v>85</v>
      </c>
      <c r="M363" s="34"/>
      <c r="N363" s="34" t="s">
        <v>1411</v>
      </c>
      <c r="O363" s="34" t="s">
        <v>1417</v>
      </c>
      <c r="P363" s="34" t="s">
        <v>1417</v>
      </c>
      <c r="Q363" s="34" t="s">
        <v>127</v>
      </c>
      <c r="R363" s="34" t="s">
        <v>2335</v>
      </c>
      <c r="S363" s="43">
        <v>45832</v>
      </c>
      <c r="T363" s="43"/>
      <c r="U363" s="43"/>
      <c r="V363" s="58"/>
      <c r="W363" s="34"/>
      <c r="X363" s="34"/>
    </row>
    <row r="364" spans="1:24" x14ac:dyDescent="0.2">
      <c r="A364" s="132">
        <v>358</v>
      </c>
      <c r="B364" s="342">
        <v>44679</v>
      </c>
      <c r="C364" s="34" t="s">
        <v>2382</v>
      </c>
      <c r="D364" s="40" t="str">
        <f t="shared" si="10"/>
        <v>2002000358</v>
      </c>
      <c r="E364" s="34" t="s">
        <v>82</v>
      </c>
      <c r="F364" s="52">
        <v>772510729</v>
      </c>
      <c r="G364" s="34"/>
      <c r="H364" s="34" t="s">
        <v>83</v>
      </c>
      <c r="I364" s="278">
        <v>25926</v>
      </c>
      <c r="J364" s="50">
        <f t="shared" ca="1" si="12"/>
        <v>52.769863013698632</v>
      </c>
      <c r="K364" s="50" t="str">
        <f ca="1">IFERROR(VLOOKUP($J364,Ref!$B$7:$C$9,2),"")</f>
        <v>Valid Age</v>
      </c>
      <c r="L364" s="55" t="s">
        <v>86</v>
      </c>
      <c r="M364" s="34"/>
      <c r="N364" s="34" t="s">
        <v>1411</v>
      </c>
      <c r="O364" s="34" t="s">
        <v>1304</v>
      </c>
      <c r="P364" s="34" t="s">
        <v>1221</v>
      </c>
      <c r="Q364" s="34" t="s">
        <v>127</v>
      </c>
      <c r="R364" s="34" t="s">
        <v>2383</v>
      </c>
      <c r="S364" s="43">
        <v>45910</v>
      </c>
      <c r="T364" s="43"/>
      <c r="U364" s="43"/>
      <c r="V364" s="58"/>
      <c r="W364" s="34"/>
      <c r="X364" s="34"/>
    </row>
    <row r="365" spans="1:24" x14ac:dyDescent="0.2">
      <c r="A365" s="132">
        <v>359</v>
      </c>
      <c r="B365" s="342">
        <v>44684</v>
      </c>
      <c r="C365" s="34" t="s">
        <v>2390</v>
      </c>
      <c r="D365" s="40" t="str">
        <f t="shared" si="10"/>
        <v>2002000359</v>
      </c>
      <c r="E365" s="34" t="s">
        <v>82</v>
      </c>
      <c r="F365" s="52">
        <v>788443470</v>
      </c>
      <c r="G365" s="34"/>
      <c r="H365" s="34" t="s">
        <v>84</v>
      </c>
      <c r="I365" s="278">
        <v>30437</v>
      </c>
      <c r="J365" s="50">
        <f t="shared" ca="1" si="12"/>
        <v>40.410958904109592</v>
      </c>
      <c r="K365" s="50" t="str">
        <f ca="1">IFERROR(VLOOKUP($J365,Ref!$B$7:$C$9,2),"")</f>
        <v>Valid Age</v>
      </c>
      <c r="L365" s="55" t="s">
        <v>85</v>
      </c>
      <c r="M365" s="34"/>
      <c r="N365" s="34" t="s">
        <v>1451</v>
      </c>
      <c r="O365" s="34" t="s">
        <v>1483</v>
      </c>
      <c r="P365" s="34" t="s">
        <v>1483</v>
      </c>
      <c r="Q365" s="34" t="s">
        <v>127</v>
      </c>
      <c r="R365" s="34" t="s">
        <v>2391</v>
      </c>
      <c r="S365" s="43">
        <v>45832</v>
      </c>
      <c r="T365" s="43"/>
      <c r="U365" s="43"/>
      <c r="V365" s="58"/>
      <c r="W365" s="34"/>
      <c r="X365" s="34"/>
    </row>
    <row r="366" spans="1:24" x14ac:dyDescent="0.2">
      <c r="A366" s="132">
        <v>360</v>
      </c>
      <c r="B366" s="342">
        <v>44684</v>
      </c>
      <c r="C366" s="34" t="s">
        <v>2392</v>
      </c>
      <c r="D366" s="40" t="str">
        <f t="shared" si="10"/>
        <v>2002000360</v>
      </c>
      <c r="E366" s="34" t="s">
        <v>82</v>
      </c>
      <c r="F366" s="52">
        <v>777272434</v>
      </c>
      <c r="G366" s="34"/>
      <c r="H366" s="34" t="s">
        <v>84</v>
      </c>
      <c r="I366" s="278">
        <v>30550</v>
      </c>
      <c r="J366" s="50">
        <f t="shared" ca="1" si="12"/>
        <v>40.101369863013701</v>
      </c>
      <c r="K366" s="50" t="str">
        <f ca="1">IFERROR(VLOOKUP($J366,Ref!$B$7:$C$9,2),"")</f>
        <v>Valid Age</v>
      </c>
      <c r="L366" s="55" t="s">
        <v>85</v>
      </c>
      <c r="M366" s="34"/>
      <c r="N366" s="34" t="s">
        <v>1451</v>
      </c>
      <c r="O366" s="34" t="s">
        <v>2393</v>
      </c>
      <c r="P366" s="34" t="s">
        <v>2394</v>
      </c>
      <c r="Q366" s="34" t="s">
        <v>127</v>
      </c>
      <c r="R366" s="34" t="s">
        <v>2395</v>
      </c>
      <c r="S366" s="43">
        <v>45925</v>
      </c>
      <c r="T366" s="43"/>
      <c r="U366" s="43"/>
      <c r="V366" s="58"/>
      <c r="W366" s="34"/>
      <c r="X366" s="34"/>
    </row>
    <row r="367" spans="1:24" x14ac:dyDescent="0.2">
      <c r="A367" s="132">
        <v>361</v>
      </c>
      <c r="B367" s="342">
        <v>44686</v>
      </c>
      <c r="C367" s="34" t="s">
        <v>2398</v>
      </c>
      <c r="D367" s="40" t="str">
        <f t="shared" si="10"/>
        <v>2002000361</v>
      </c>
      <c r="E367" s="34" t="s">
        <v>82</v>
      </c>
      <c r="F367" s="52">
        <v>774960213</v>
      </c>
      <c r="G367" s="34">
        <v>772806710</v>
      </c>
      <c r="H367" s="34" t="s">
        <v>83</v>
      </c>
      <c r="I367" s="278">
        <v>25674</v>
      </c>
      <c r="J367" s="50">
        <f t="shared" ca="1" si="12"/>
        <v>53.460273972602742</v>
      </c>
      <c r="K367" s="50" t="str">
        <f ca="1">IFERROR(VLOOKUP($J367,Ref!$B$7:$C$9,2),"")</f>
        <v>Valid Age</v>
      </c>
      <c r="L367" s="55" t="s">
        <v>85</v>
      </c>
      <c r="M367" s="34"/>
      <c r="N367" s="34" t="s">
        <v>2399</v>
      </c>
      <c r="O367" s="34" t="s">
        <v>2400</v>
      </c>
      <c r="P367" s="34" t="s">
        <v>1698</v>
      </c>
      <c r="Q367" s="34" t="s">
        <v>127</v>
      </c>
      <c r="R367" s="34" t="s">
        <v>2401</v>
      </c>
      <c r="S367" s="43">
        <v>45832</v>
      </c>
      <c r="T367" s="43"/>
      <c r="U367" s="43"/>
      <c r="V367" s="58"/>
      <c r="W367" s="34"/>
      <c r="X367" s="34"/>
    </row>
    <row r="368" spans="1:24" x14ac:dyDescent="0.2">
      <c r="A368" s="132">
        <v>362</v>
      </c>
      <c r="B368" s="342">
        <v>44688</v>
      </c>
      <c r="C368" s="34" t="s">
        <v>2403</v>
      </c>
      <c r="D368" s="40" t="str">
        <f t="shared" si="10"/>
        <v>2002000362</v>
      </c>
      <c r="E368" s="34" t="s">
        <v>82</v>
      </c>
      <c r="F368" s="52">
        <v>787480272</v>
      </c>
      <c r="G368" s="34">
        <v>777188033</v>
      </c>
      <c r="H368" s="34" t="s">
        <v>83</v>
      </c>
      <c r="I368" s="278">
        <v>26845</v>
      </c>
      <c r="J368" s="50">
        <f t="shared" ca="1" si="12"/>
        <v>50.252054794520546</v>
      </c>
      <c r="K368" s="50" t="str">
        <f ca="1">IFERROR(VLOOKUP($J368,Ref!$B$7:$C$9,2),"")</f>
        <v>Valid Age</v>
      </c>
      <c r="L368" s="55" t="s">
        <v>86</v>
      </c>
      <c r="M368" s="34"/>
      <c r="N368" s="34" t="s">
        <v>2404</v>
      </c>
      <c r="O368" s="34" t="s">
        <v>1889</v>
      </c>
      <c r="P368" s="34" t="s">
        <v>2405</v>
      </c>
      <c r="Q368" s="34" t="s">
        <v>127</v>
      </c>
      <c r="R368" s="34" t="s">
        <v>2406</v>
      </c>
      <c r="S368" s="43">
        <v>45833</v>
      </c>
      <c r="T368" s="43"/>
      <c r="U368" s="43"/>
      <c r="V368" s="58"/>
      <c r="W368" s="34"/>
      <c r="X368" s="34"/>
    </row>
    <row r="369" spans="1:24" x14ac:dyDescent="0.2">
      <c r="A369" s="132">
        <v>363</v>
      </c>
      <c r="B369" s="342">
        <v>44692</v>
      </c>
      <c r="C369" s="34" t="s">
        <v>2415</v>
      </c>
      <c r="D369" s="40" t="str">
        <f t="shared" si="10"/>
        <v>2002000363</v>
      </c>
      <c r="E369" s="34" t="s">
        <v>82</v>
      </c>
      <c r="F369" s="52">
        <v>774629591</v>
      </c>
      <c r="G369" s="34">
        <v>394004884</v>
      </c>
      <c r="H369" s="34" t="s">
        <v>83</v>
      </c>
      <c r="I369" s="278">
        <v>31212</v>
      </c>
      <c r="J369" s="50">
        <f t="shared" ca="1" si="12"/>
        <v>38.287671232876711</v>
      </c>
      <c r="K369" s="50" t="str">
        <f ca="1">IFERROR(VLOOKUP($J369,Ref!$B$7:$C$9,2),"")</f>
        <v>Valid Age</v>
      </c>
      <c r="L369" s="55" t="s">
        <v>85</v>
      </c>
      <c r="M369" s="34"/>
      <c r="N369" s="34" t="s">
        <v>1411</v>
      </c>
      <c r="O369" s="34" t="s">
        <v>1400</v>
      </c>
      <c r="P369" s="34" t="s">
        <v>1400</v>
      </c>
      <c r="Q369" s="34" t="s">
        <v>127</v>
      </c>
      <c r="R369" s="34" t="s">
        <v>2416</v>
      </c>
      <c r="S369" s="43">
        <v>45834</v>
      </c>
      <c r="T369" s="43"/>
      <c r="U369" s="43"/>
      <c r="V369" s="58"/>
      <c r="W369" s="34"/>
      <c r="X369" s="34"/>
    </row>
    <row r="370" spans="1:24" x14ac:dyDescent="0.2">
      <c r="A370" s="132">
        <v>364</v>
      </c>
      <c r="B370" s="342">
        <v>44693</v>
      </c>
      <c r="C370" s="34" t="s">
        <v>2419</v>
      </c>
      <c r="D370" s="40" t="str">
        <f t="shared" si="10"/>
        <v>2002000364</v>
      </c>
      <c r="E370" s="34" t="s">
        <v>82</v>
      </c>
      <c r="F370" s="52">
        <v>785263747</v>
      </c>
      <c r="G370" s="34"/>
      <c r="H370" s="34" t="s">
        <v>84</v>
      </c>
      <c r="I370" s="278">
        <v>28112</v>
      </c>
      <c r="J370" s="50">
        <f t="shared" ca="1" si="12"/>
        <v>46.780821917808218</v>
      </c>
      <c r="K370" s="50" t="str">
        <f ca="1">IFERROR(VLOOKUP($J370,Ref!$B$7:$C$9,2),"")</f>
        <v>Valid Age</v>
      </c>
      <c r="L370" s="55" t="s">
        <v>86</v>
      </c>
      <c r="M370" s="34"/>
      <c r="N370" s="34" t="s">
        <v>1451</v>
      </c>
      <c r="O370" s="34" t="s">
        <v>2420</v>
      </c>
      <c r="P370" s="34" t="s">
        <v>123</v>
      </c>
      <c r="Q370" s="34" t="s">
        <v>127</v>
      </c>
      <c r="R370" s="34" t="s">
        <v>2421</v>
      </c>
      <c r="S370" s="43"/>
      <c r="T370" s="43"/>
      <c r="U370" s="43"/>
      <c r="V370" s="58"/>
      <c r="W370" s="34"/>
      <c r="X370" s="34"/>
    </row>
    <row r="371" spans="1:24" x14ac:dyDescent="0.2">
      <c r="A371" s="132">
        <v>365</v>
      </c>
      <c r="B371" s="342">
        <v>44704</v>
      </c>
      <c r="C371" s="34" t="s">
        <v>2434</v>
      </c>
      <c r="D371" s="40" t="str">
        <f t="shared" si="10"/>
        <v>2002000365</v>
      </c>
      <c r="E371" s="34" t="s">
        <v>82</v>
      </c>
      <c r="F371" s="52">
        <v>784774711</v>
      </c>
      <c r="G371" s="34"/>
      <c r="H371" s="34" t="s">
        <v>84</v>
      </c>
      <c r="I371" s="278">
        <v>29221</v>
      </c>
      <c r="J371" s="50">
        <f t="shared" ca="1" si="12"/>
        <v>43.742465753424661</v>
      </c>
      <c r="K371" s="50" t="str">
        <f ca="1">IFERROR(VLOOKUP($J371,Ref!$B$7:$C$9,2),"")</f>
        <v>Valid Age</v>
      </c>
      <c r="L371" s="55" t="s">
        <v>1680</v>
      </c>
      <c r="M371" s="34"/>
      <c r="N371" s="34" t="s">
        <v>1451</v>
      </c>
      <c r="O371" s="34"/>
      <c r="P371" s="34"/>
      <c r="Q371" s="34" t="s">
        <v>127</v>
      </c>
      <c r="R371" s="34"/>
      <c r="S371" s="43"/>
      <c r="T371" s="43"/>
      <c r="U371" s="43"/>
      <c r="V371" s="58"/>
      <c r="W371" s="34"/>
      <c r="X371" s="34"/>
    </row>
    <row r="372" spans="1:24" x14ac:dyDescent="0.2">
      <c r="A372" s="132">
        <v>366</v>
      </c>
      <c r="B372" s="342">
        <v>44707</v>
      </c>
      <c r="C372" s="34" t="s">
        <v>2438</v>
      </c>
      <c r="D372" s="40" t="str">
        <f t="shared" si="10"/>
        <v>2002000366</v>
      </c>
      <c r="E372" s="34" t="s">
        <v>82</v>
      </c>
      <c r="F372" s="52">
        <v>772431836</v>
      </c>
      <c r="G372" s="34"/>
      <c r="H372" s="34" t="s">
        <v>83</v>
      </c>
      <c r="I372" s="278">
        <v>31810</v>
      </c>
      <c r="J372" s="50">
        <f t="shared" ca="1" si="12"/>
        <v>36.649315068493152</v>
      </c>
      <c r="K372" s="50" t="str">
        <f ca="1">IFERROR(VLOOKUP($J372,Ref!$B$7:$C$9,2),"")</f>
        <v>Valid Age</v>
      </c>
      <c r="L372" s="55" t="s">
        <v>85</v>
      </c>
      <c r="M372" s="34"/>
      <c r="N372" s="34" t="s">
        <v>1411</v>
      </c>
      <c r="O372" s="34" t="s">
        <v>1417</v>
      </c>
      <c r="P372" s="34" t="s">
        <v>1289</v>
      </c>
      <c r="Q372" s="34" t="s">
        <v>127</v>
      </c>
      <c r="R372" s="34" t="s">
        <v>2439</v>
      </c>
      <c r="S372" s="43">
        <v>45834</v>
      </c>
      <c r="T372" s="43"/>
      <c r="U372" s="43"/>
      <c r="V372" s="58"/>
      <c r="W372" s="34"/>
      <c r="X372" s="34"/>
    </row>
    <row r="373" spans="1:24" x14ac:dyDescent="0.2">
      <c r="A373" s="132">
        <v>367</v>
      </c>
      <c r="B373" s="342">
        <v>44714</v>
      </c>
      <c r="C373" s="34" t="s">
        <v>2499</v>
      </c>
      <c r="D373" s="40" t="str">
        <f t="shared" si="10"/>
        <v>2002000367</v>
      </c>
      <c r="E373" s="34" t="s">
        <v>82</v>
      </c>
      <c r="F373" s="52">
        <v>779958978</v>
      </c>
      <c r="G373" s="34"/>
      <c r="H373" s="34" t="s">
        <v>83</v>
      </c>
      <c r="I373" s="278">
        <v>36408</v>
      </c>
      <c r="J373" s="50">
        <f t="shared" ca="1" si="12"/>
        <v>24.052054794520547</v>
      </c>
      <c r="K373" s="50" t="str">
        <f ca="1">IFERROR(VLOOKUP($J373,Ref!$B$7:$C$9,2),"")</f>
        <v>Valid Age</v>
      </c>
      <c r="L373" s="55" t="s">
        <v>86</v>
      </c>
      <c r="M373" s="34"/>
      <c r="N373" s="34" t="s">
        <v>1411</v>
      </c>
      <c r="O373" s="34" t="s">
        <v>1221</v>
      </c>
      <c r="P373" s="34" t="s">
        <v>1221</v>
      </c>
      <c r="Q373" s="34" t="s">
        <v>127</v>
      </c>
      <c r="R373" s="34" t="s">
        <v>2500</v>
      </c>
      <c r="S373" s="43">
        <v>47560</v>
      </c>
      <c r="T373" s="43"/>
      <c r="U373" s="43"/>
      <c r="V373" s="58"/>
      <c r="W373" s="34"/>
      <c r="X373" s="34"/>
    </row>
    <row r="374" spans="1:24" x14ac:dyDescent="0.2">
      <c r="A374" s="132">
        <v>368</v>
      </c>
      <c r="B374" s="342">
        <v>44715</v>
      </c>
      <c r="C374" s="34" t="s">
        <v>2501</v>
      </c>
      <c r="D374" s="40" t="str">
        <f t="shared" si="10"/>
        <v>2002000368</v>
      </c>
      <c r="E374" s="34" t="s">
        <v>82</v>
      </c>
      <c r="F374" s="52">
        <v>780765503</v>
      </c>
      <c r="G374" s="34"/>
      <c r="H374" s="34" t="s">
        <v>84</v>
      </c>
      <c r="I374" s="278"/>
      <c r="J374" s="50" t="str">
        <f t="shared" ca="1" si="12"/>
        <v/>
      </c>
      <c r="K374" s="50" t="str">
        <f ca="1">IFERROR(VLOOKUP($J374,Ref!$B$7:$C$9,2),"")</f>
        <v/>
      </c>
      <c r="L374" s="55"/>
      <c r="M374" s="34"/>
      <c r="N374" s="34"/>
      <c r="O374" s="34"/>
      <c r="P374" s="34"/>
      <c r="Q374" s="34"/>
      <c r="R374" s="34"/>
      <c r="S374" s="43"/>
      <c r="T374" s="43"/>
      <c r="U374" s="43"/>
      <c r="V374" s="58"/>
      <c r="W374" s="34"/>
      <c r="X374" s="34"/>
    </row>
    <row r="375" spans="1:24" x14ac:dyDescent="0.2">
      <c r="A375" s="132">
        <v>369</v>
      </c>
      <c r="B375" s="342"/>
      <c r="C375" s="34"/>
      <c r="D375" s="40" t="str">
        <f t="shared" si="10"/>
        <v>2002000369</v>
      </c>
      <c r="E375" s="34"/>
      <c r="F375" s="52"/>
      <c r="G375" s="34"/>
      <c r="H375" s="34"/>
      <c r="I375" s="278"/>
      <c r="J375" s="50" t="str">
        <f t="shared" ca="1" si="12"/>
        <v/>
      </c>
      <c r="K375" s="50" t="str">
        <f ca="1">IFERROR(VLOOKUP($J375,Ref!$B$7:$C$9,2),"")</f>
        <v/>
      </c>
      <c r="L375" s="55"/>
      <c r="M375" s="34"/>
      <c r="N375" s="34"/>
      <c r="O375" s="34"/>
      <c r="P375" s="34"/>
      <c r="Q375" s="34"/>
      <c r="R375" s="34"/>
      <c r="S375" s="43"/>
      <c r="T375" s="43"/>
      <c r="U375" s="43"/>
      <c r="V375" s="58"/>
      <c r="W375" s="34"/>
      <c r="X375" s="34"/>
    </row>
    <row r="376" spans="1:24" x14ac:dyDescent="0.2">
      <c r="A376" s="132">
        <v>370</v>
      </c>
      <c r="B376" s="342"/>
      <c r="C376" s="34"/>
      <c r="D376" s="40" t="str">
        <f t="shared" si="10"/>
        <v>2002000370</v>
      </c>
      <c r="E376" s="34"/>
      <c r="F376" s="52"/>
      <c r="G376" s="34"/>
      <c r="H376" s="34"/>
      <c r="I376" s="278"/>
      <c r="J376" s="50" t="str">
        <f t="shared" ca="1" si="12"/>
        <v/>
      </c>
      <c r="K376" s="50" t="str">
        <f ca="1">IFERROR(VLOOKUP($J376,Ref!$B$7:$C$9,2),"")</f>
        <v/>
      </c>
      <c r="L376" s="55"/>
      <c r="M376" s="34"/>
      <c r="N376" s="34"/>
      <c r="O376" s="34"/>
      <c r="P376" s="34"/>
      <c r="Q376" s="34"/>
      <c r="R376" s="34"/>
      <c r="S376" s="43"/>
      <c r="T376" s="43"/>
      <c r="U376" s="43"/>
      <c r="V376" s="58"/>
      <c r="W376" s="34"/>
      <c r="X376" s="34"/>
    </row>
    <row r="377" spans="1:24" x14ac:dyDescent="0.2">
      <c r="A377" s="132">
        <v>371</v>
      </c>
      <c r="B377" s="342"/>
      <c r="C377" s="34"/>
      <c r="D377" s="40" t="str">
        <f t="shared" si="10"/>
        <v>2002000371</v>
      </c>
      <c r="E377" s="34"/>
      <c r="F377" s="52"/>
      <c r="G377" s="34"/>
      <c r="H377" s="34"/>
      <c r="I377" s="278"/>
      <c r="J377" s="50" t="str">
        <f t="shared" ca="1" si="12"/>
        <v/>
      </c>
      <c r="K377" s="50" t="str">
        <f ca="1">IFERROR(VLOOKUP($J377,Ref!$B$7:$C$9,2),"")</f>
        <v/>
      </c>
      <c r="L377" s="55"/>
      <c r="M377" s="34"/>
      <c r="N377" s="34"/>
      <c r="O377" s="34"/>
      <c r="P377" s="34"/>
      <c r="Q377" s="34"/>
      <c r="R377" s="34"/>
      <c r="S377" s="43"/>
      <c r="T377" s="43"/>
      <c r="U377" s="43"/>
      <c r="V377" s="58"/>
      <c r="W377" s="34"/>
      <c r="X377" s="34"/>
    </row>
    <row r="378" spans="1:24" x14ac:dyDescent="0.2">
      <c r="A378" s="132">
        <v>372</v>
      </c>
      <c r="B378" s="342"/>
      <c r="C378" s="34"/>
      <c r="D378" s="40" t="str">
        <f t="shared" si="10"/>
        <v>2002000372</v>
      </c>
      <c r="E378" s="34"/>
      <c r="F378" s="52"/>
      <c r="G378" s="34"/>
      <c r="H378" s="34"/>
      <c r="I378" s="278"/>
      <c r="J378" s="50" t="str">
        <f t="shared" ca="1" si="12"/>
        <v/>
      </c>
      <c r="K378" s="50" t="str">
        <f ca="1">IFERROR(VLOOKUP($J378,Ref!$B$7:$C$9,2),"")</f>
        <v/>
      </c>
      <c r="L378" s="55"/>
      <c r="M378" s="34"/>
      <c r="N378" s="34"/>
      <c r="O378" s="34"/>
      <c r="P378" s="34"/>
      <c r="Q378" s="34"/>
      <c r="R378" s="34"/>
      <c r="S378" s="43"/>
      <c r="T378" s="43"/>
      <c r="U378" s="43"/>
      <c r="V378" s="58"/>
      <c r="W378" s="34"/>
      <c r="X378" s="34"/>
    </row>
    <row r="379" spans="1:24" x14ac:dyDescent="0.2">
      <c r="A379" s="132">
        <v>373</v>
      </c>
      <c r="B379" s="342"/>
      <c r="C379" s="34"/>
      <c r="D379" s="40" t="str">
        <f t="shared" si="10"/>
        <v>2002000373</v>
      </c>
      <c r="E379" s="34"/>
      <c r="F379" s="52"/>
      <c r="G379" s="34"/>
      <c r="H379" s="34"/>
      <c r="I379" s="278"/>
      <c r="J379" s="50" t="str">
        <f t="shared" ca="1" si="12"/>
        <v/>
      </c>
      <c r="K379" s="50" t="str">
        <f ca="1">IFERROR(VLOOKUP($J379,Ref!$B$7:$C$9,2),"")</f>
        <v/>
      </c>
      <c r="L379" s="55"/>
      <c r="M379" s="34"/>
      <c r="N379" s="34"/>
      <c r="O379" s="34"/>
      <c r="P379" s="34"/>
      <c r="Q379" s="34"/>
      <c r="R379" s="34"/>
      <c r="S379" s="43"/>
      <c r="T379" s="43"/>
      <c r="U379" s="43"/>
      <c r="V379" s="58"/>
      <c r="W379" s="34"/>
      <c r="X379" s="34"/>
    </row>
    <row r="380" spans="1:24" x14ac:dyDescent="0.2">
      <c r="A380" s="132">
        <v>374</v>
      </c>
      <c r="B380" s="342"/>
      <c r="C380" s="34"/>
      <c r="D380" s="40" t="str">
        <f t="shared" si="10"/>
        <v>2002000374</v>
      </c>
      <c r="E380" s="34"/>
      <c r="F380" s="52"/>
      <c r="G380" s="34"/>
      <c r="H380" s="34"/>
      <c r="I380" s="278"/>
      <c r="J380" s="50" t="str">
        <f t="shared" ca="1" si="12"/>
        <v/>
      </c>
      <c r="K380" s="50" t="str">
        <f ca="1">IFERROR(VLOOKUP($J380,Ref!$B$7:$C$9,2),"")</f>
        <v/>
      </c>
      <c r="L380" s="55"/>
      <c r="M380" s="34"/>
      <c r="N380" s="34"/>
      <c r="O380" s="34"/>
      <c r="P380" s="34"/>
      <c r="Q380" s="34"/>
      <c r="R380" s="34"/>
      <c r="S380" s="43"/>
      <c r="T380" s="43"/>
      <c r="U380" s="43"/>
      <c r="V380" s="58"/>
      <c r="W380" s="34"/>
      <c r="X380" s="34"/>
    </row>
    <row r="381" spans="1:24" x14ac:dyDescent="0.2">
      <c r="A381" s="132">
        <v>375</v>
      </c>
      <c r="B381" s="342"/>
      <c r="C381" s="34"/>
      <c r="D381" s="40" t="str">
        <f t="shared" si="10"/>
        <v>2002000375</v>
      </c>
      <c r="E381" s="34"/>
      <c r="F381" s="52"/>
      <c r="G381" s="34"/>
      <c r="H381" s="34"/>
      <c r="I381" s="278"/>
      <c r="J381" s="50" t="str">
        <f t="shared" ca="1" si="12"/>
        <v/>
      </c>
      <c r="K381" s="50" t="str">
        <f ca="1">IFERROR(VLOOKUP($J381,Ref!$B$7:$C$9,2),"")</f>
        <v/>
      </c>
      <c r="L381" s="55"/>
      <c r="M381" s="34"/>
      <c r="N381" s="34"/>
      <c r="O381" s="34"/>
      <c r="P381" s="34"/>
      <c r="Q381" s="34"/>
      <c r="R381" s="34"/>
      <c r="S381" s="43"/>
      <c r="T381" s="43"/>
      <c r="U381" s="43"/>
      <c r="V381" s="58"/>
      <c r="W381" s="34"/>
      <c r="X381" s="34"/>
    </row>
    <row r="382" spans="1:24" x14ac:dyDescent="0.2">
      <c r="A382" s="132">
        <v>376</v>
      </c>
      <c r="B382" s="342"/>
      <c r="C382" s="34"/>
      <c r="D382" s="40" t="str">
        <f t="shared" si="10"/>
        <v>2002000376</v>
      </c>
      <c r="E382" s="34"/>
      <c r="F382" s="52"/>
      <c r="G382" s="34"/>
      <c r="H382" s="34"/>
      <c r="I382" s="278"/>
      <c r="J382" s="50" t="str">
        <f t="shared" ca="1" si="12"/>
        <v/>
      </c>
      <c r="K382" s="50" t="str">
        <f ca="1">IFERROR(VLOOKUP($J382,Ref!$B$7:$C$9,2),"")</f>
        <v/>
      </c>
      <c r="L382" s="55"/>
      <c r="M382" s="34"/>
      <c r="N382" s="34"/>
      <c r="O382" s="34"/>
      <c r="P382" s="34"/>
      <c r="Q382" s="34"/>
      <c r="R382" s="34"/>
      <c r="S382" s="43"/>
      <c r="T382" s="43"/>
      <c r="U382" s="43"/>
      <c r="V382" s="58"/>
      <c r="W382" s="34"/>
      <c r="X382" s="34"/>
    </row>
    <row r="383" spans="1:24" x14ac:dyDescent="0.2">
      <c r="A383" s="132">
        <v>377</v>
      </c>
      <c r="B383" s="342"/>
      <c r="C383" s="34"/>
      <c r="D383" s="40" t="str">
        <f t="shared" si="10"/>
        <v>2002000377</v>
      </c>
      <c r="E383" s="34"/>
      <c r="F383" s="52"/>
      <c r="G383" s="34"/>
      <c r="H383" s="34"/>
      <c r="I383" s="278"/>
      <c r="J383" s="50" t="str">
        <f t="shared" ca="1" si="12"/>
        <v/>
      </c>
      <c r="K383" s="50" t="str">
        <f ca="1">IFERROR(VLOOKUP($J383,Ref!$B$7:$C$9,2),"")</f>
        <v/>
      </c>
      <c r="L383" s="55"/>
      <c r="M383" s="34"/>
      <c r="N383" s="34"/>
      <c r="O383" s="34"/>
      <c r="P383" s="34"/>
      <c r="Q383" s="34"/>
      <c r="R383" s="34"/>
      <c r="S383" s="43"/>
      <c r="T383" s="43"/>
      <c r="U383" s="43"/>
      <c r="V383" s="58"/>
      <c r="W383" s="34"/>
      <c r="X383" s="34"/>
    </row>
    <row r="384" spans="1:24" x14ac:dyDescent="0.2">
      <c r="A384" s="132">
        <v>378</v>
      </c>
      <c r="B384" s="342"/>
      <c r="C384" s="34"/>
      <c r="D384" s="40" t="str">
        <f t="shared" si="10"/>
        <v>2002000378</v>
      </c>
      <c r="E384" s="34"/>
      <c r="F384" s="52"/>
      <c r="G384" s="34"/>
      <c r="H384" s="34"/>
      <c r="I384" s="278"/>
      <c r="J384" s="50" t="str">
        <f t="shared" ca="1" si="12"/>
        <v/>
      </c>
      <c r="K384" s="50" t="str">
        <f ca="1">IFERROR(VLOOKUP($J384,Ref!$B$7:$C$9,2),"")</f>
        <v/>
      </c>
      <c r="L384" s="55"/>
      <c r="M384" s="34"/>
      <c r="N384" s="34"/>
      <c r="O384" s="34"/>
      <c r="P384" s="34"/>
      <c r="Q384" s="34"/>
      <c r="R384" s="34"/>
      <c r="S384" s="43"/>
      <c r="T384" s="43"/>
      <c r="U384" s="43"/>
      <c r="V384" s="58"/>
      <c r="W384" s="34"/>
      <c r="X384" s="34"/>
    </row>
    <row r="385" spans="1:24" x14ac:dyDescent="0.2">
      <c r="A385" s="132">
        <v>379</v>
      </c>
      <c r="B385" s="342"/>
      <c r="C385" s="34"/>
      <c r="D385" s="40" t="str">
        <f t="shared" si="10"/>
        <v>2002000379</v>
      </c>
      <c r="E385" s="34"/>
      <c r="F385" s="52"/>
      <c r="G385" s="34"/>
      <c r="H385" s="34"/>
      <c r="I385" s="278"/>
      <c r="J385" s="50" t="str">
        <f t="shared" ca="1" si="12"/>
        <v/>
      </c>
      <c r="K385" s="50" t="str">
        <f ca="1">IFERROR(VLOOKUP($J385,Ref!$B$7:$C$9,2),"")</f>
        <v/>
      </c>
      <c r="L385" s="55"/>
      <c r="M385" s="34"/>
      <c r="N385" s="34"/>
      <c r="O385" s="34"/>
      <c r="P385" s="34"/>
      <c r="Q385" s="34"/>
      <c r="R385" s="34"/>
      <c r="S385" s="43"/>
      <c r="T385" s="43"/>
      <c r="U385" s="43"/>
      <c r="V385" s="58"/>
      <c r="W385" s="34"/>
      <c r="X385" s="34"/>
    </row>
    <row r="386" spans="1:24" x14ac:dyDescent="0.2">
      <c r="A386" s="132">
        <v>380</v>
      </c>
      <c r="B386" s="342"/>
      <c r="C386" s="34"/>
      <c r="D386" s="40" t="str">
        <f t="shared" si="10"/>
        <v>2002000380</v>
      </c>
      <c r="E386" s="34"/>
      <c r="F386" s="52"/>
      <c r="G386" s="34"/>
      <c r="H386" s="34"/>
      <c r="I386" s="278"/>
      <c r="J386" s="50" t="str">
        <f t="shared" ca="1" si="12"/>
        <v/>
      </c>
      <c r="K386" s="50" t="str">
        <f ca="1">IFERROR(VLOOKUP($J386,Ref!$B$7:$C$9,2),"")</f>
        <v/>
      </c>
      <c r="L386" s="55"/>
      <c r="M386" s="34"/>
      <c r="N386" s="34"/>
      <c r="O386" s="34"/>
      <c r="P386" s="34"/>
      <c r="Q386" s="34"/>
      <c r="R386" s="34"/>
      <c r="S386" s="43"/>
      <c r="T386" s="43"/>
      <c r="U386" s="43"/>
      <c r="V386" s="58"/>
      <c r="W386" s="34"/>
      <c r="X386" s="34"/>
    </row>
    <row r="387" spans="1:24" x14ac:dyDescent="0.2">
      <c r="A387" s="132">
        <v>381</v>
      </c>
      <c r="B387" s="342"/>
      <c r="C387" s="34"/>
      <c r="D387" s="40" t="str">
        <f t="shared" si="10"/>
        <v>2002000381</v>
      </c>
      <c r="E387" s="34"/>
      <c r="F387" s="52"/>
      <c r="G387" s="34"/>
      <c r="H387" s="34"/>
      <c r="I387" s="278"/>
      <c r="J387" s="50" t="str">
        <f t="shared" ca="1" si="12"/>
        <v/>
      </c>
      <c r="K387" s="50" t="str">
        <f ca="1">IFERROR(VLOOKUP($J387,Ref!$B$7:$C$9,2),"")</f>
        <v/>
      </c>
      <c r="L387" s="55"/>
      <c r="M387" s="34"/>
      <c r="N387" s="34"/>
      <c r="O387" s="34"/>
      <c r="P387" s="34"/>
      <c r="Q387" s="34"/>
      <c r="R387" s="34"/>
      <c r="S387" s="43"/>
      <c r="T387" s="43"/>
      <c r="U387" s="43"/>
      <c r="V387" s="58"/>
      <c r="W387" s="34"/>
      <c r="X387" s="34"/>
    </row>
    <row r="388" spans="1:24" x14ac:dyDescent="0.2">
      <c r="A388" s="132">
        <v>382</v>
      </c>
      <c r="B388" s="342"/>
      <c r="C388" s="34"/>
      <c r="D388" s="40" t="str">
        <f t="shared" si="10"/>
        <v>2002000382</v>
      </c>
      <c r="E388" s="34"/>
      <c r="F388" s="52"/>
      <c r="G388" s="34"/>
      <c r="H388" s="34"/>
      <c r="I388" s="278"/>
      <c r="J388" s="50" t="str">
        <f t="shared" ca="1" si="12"/>
        <v/>
      </c>
      <c r="K388" s="50" t="str">
        <f ca="1">IFERROR(VLOOKUP($J388,Ref!$B$7:$C$9,2),"")</f>
        <v/>
      </c>
      <c r="L388" s="55"/>
      <c r="M388" s="34"/>
      <c r="N388" s="34"/>
      <c r="O388" s="34"/>
      <c r="P388" s="34"/>
      <c r="Q388" s="34"/>
      <c r="R388" s="34"/>
      <c r="S388" s="43"/>
      <c r="T388" s="43"/>
      <c r="U388" s="43"/>
      <c r="V388" s="58"/>
      <c r="W388" s="34"/>
      <c r="X388" s="34"/>
    </row>
    <row r="389" spans="1:24" x14ac:dyDescent="0.2">
      <c r="A389" s="132">
        <v>383</v>
      </c>
      <c r="B389" s="342"/>
      <c r="C389" s="34"/>
      <c r="D389" s="40" t="str">
        <f t="shared" si="10"/>
        <v>2002000383</v>
      </c>
      <c r="E389" s="34"/>
      <c r="F389" s="52"/>
      <c r="G389" s="34"/>
      <c r="H389" s="34"/>
      <c r="I389" s="278"/>
      <c r="J389" s="50" t="str">
        <f t="shared" ca="1" si="12"/>
        <v/>
      </c>
      <c r="K389" s="50" t="str">
        <f ca="1">IFERROR(VLOOKUP($J389,Ref!$B$7:$C$9,2),"")</f>
        <v/>
      </c>
      <c r="L389" s="55"/>
      <c r="M389" s="34"/>
      <c r="N389" s="34"/>
      <c r="O389" s="34"/>
      <c r="P389" s="34"/>
      <c r="Q389" s="34"/>
      <c r="R389" s="34"/>
      <c r="S389" s="43"/>
      <c r="T389" s="43"/>
      <c r="U389" s="43"/>
      <c r="V389" s="58"/>
      <c r="W389" s="34"/>
      <c r="X389" s="34"/>
    </row>
    <row r="390" spans="1:24" x14ac:dyDescent="0.2">
      <c r="A390" s="132">
        <v>384</v>
      </c>
      <c r="B390" s="342"/>
      <c r="C390" s="34"/>
      <c r="D390" s="40" t="str">
        <f t="shared" si="10"/>
        <v>2002000384</v>
      </c>
      <c r="E390" s="34"/>
      <c r="F390" s="52"/>
      <c r="G390" s="34"/>
      <c r="H390" s="34"/>
      <c r="I390" s="278"/>
      <c r="J390" s="50" t="str">
        <f t="shared" ca="1" si="12"/>
        <v/>
      </c>
      <c r="K390" s="50" t="str">
        <f ca="1">IFERROR(VLOOKUP($J390,Ref!$B$7:$C$9,2),"")</f>
        <v/>
      </c>
      <c r="L390" s="55"/>
      <c r="M390" s="34"/>
      <c r="N390" s="34"/>
      <c r="O390" s="34"/>
      <c r="P390" s="34"/>
      <c r="Q390" s="34"/>
      <c r="R390" s="34"/>
      <c r="S390" s="43"/>
      <c r="T390" s="43"/>
      <c r="U390" s="43"/>
      <c r="V390" s="58"/>
      <c r="W390" s="34"/>
      <c r="X390" s="34"/>
    </row>
    <row r="391" spans="1:24" x14ac:dyDescent="0.2">
      <c r="A391" s="132">
        <v>385</v>
      </c>
      <c r="B391" s="342"/>
      <c r="C391" s="34"/>
      <c r="D391" s="40" t="str">
        <f t="shared" si="10"/>
        <v>2002000385</v>
      </c>
      <c r="E391" s="34"/>
      <c r="F391" s="52"/>
      <c r="G391" s="34"/>
      <c r="H391" s="34"/>
      <c r="I391" s="278"/>
      <c r="J391" s="50" t="str">
        <f t="shared" ca="1" si="12"/>
        <v/>
      </c>
      <c r="K391" s="50" t="str">
        <f ca="1">IFERROR(VLOOKUP($J391,Ref!$B$7:$C$9,2),"")</f>
        <v/>
      </c>
      <c r="L391" s="55"/>
      <c r="M391" s="34"/>
      <c r="N391" s="34"/>
      <c r="O391" s="34"/>
      <c r="P391" s="34"/>
      <c r="Q391" s="34"/>
      <c r="R391" s="34"/>
      <c r="S391" s="43"/>
      <c r="T391" s="43"/>
      <c r="U391" s="43"/>
      <c r="V391" s="58"/>
      <c r="W391" s="34"/>
      <c r="X391" s="34"/>
    </row>
    <row r="392" spans="1:24" x14ac:dyDescent="0.2">
      <c r="A392" s="132">
        <v>386</v>
      </c>
      <c r="B392" s="342"/>
      <c r="C392" s="34"/>
      <c r="D392" s="40" t="str">
        <f t="shared" ref="D392:D455" si="13">IF(A392="","",LEFT($C$3,LEN($C$3)-LEN(A392))&amp;A392)</f>
        <v>2002000386</v>
      </c>
      <c r="E392" s="34"/>
      <c r="F392" s="52"/>
      <c r="G392" s="34"/>
      <c r="H392" s="34"/>
      <c r="I392" s="278"/>
      <c r="J392" s="50" t="str">
        <f t="shared" ca="1" si="12"/>
        <v/>
      </c>
      <c r="K392" s="50" t="str">
        <f ca="1">IFERROR(VLOOKUP($J392,Ref!$B$7:$C$9,2),"")</f>
        <v/>
      </c>
      <c r="L392" s="55"/>
      <c r="M392" s="34"/>
      <c r="N392" s="34"/>
      <c r="O392" s="34"/>
      <c r="P392" s="34"/>
      <c r="Q392" s="34"/>
      <c r="R392" s="34"/>
      <c r="S392" s="43"/>
      <c r="T392" s="43"/>
      <c r="U392" s="43"/>
      <c r="V392" s="58"/>
      <c r="W392" s="34"/>
      <c r="X392" s="34"/>
    </row>
    <row r="393" spans="1:24" x14ac:dyDescent="0.2">
      <c r="A393" s="132">
        <v>387</v>
      </c>
      <c r="B393" s="342"/>
      <c r="C393" s="34"/>
      <c r="D393" s="40" t="str">
        <f t="shared" si="13"/>
        <v>2002000387</v>
      </c>
      <c r="E393" s="34"/>
      <c r="F393" s="52"/>
      <c r="G393" s="34"/>
      <c r="H393" s="34"/>
      <c r="I393" s="278"/>
      <c r="J393" s="50" t="str">
        <f t="shared" ca="1" si="12"/>
        <v/>
      </c>
      <c r="K393" s="50" t="str">
        <f ca="1">IFERROR(VLOOKUP($J393,Ref!$B$7:$C$9,2),"")</f>
        <v/>
      </c>
      <c r="L393" s="55"/>
      <c r="M393" s="34"/>
      <c r="N393" s="34"/>
      <c r="O393" s="34"/>
      <c r="P393" s="34"/>
      <c r="Q393" s="34"/>
      <c r="R393" s="34"/>
      <c r="S393" s="43"/>
      <c r="T393" s="43"/>
      <c r="U393" s="43"/>
      <c r="V393" s="58"/>
      <c r="W393" s="34"/>
      <c r="X393" s="34"/>
    </row>
    <row r="394" spans="1:24" x14ac:dyDescent="0.2">
      <c r="A394" s="132">
        <v>388</v>
      </c>
      <c r="B394" s="342"/>
      <c r="C394" s="34"/>
      <c r="D394" s="40" t="str">
        <f t="shared" si="13"/>
        <v>2002000388</v>
      </c>
      <c r="E394" s="34"/>
      <c r="F394" s="52"/>
      <c r="G394" s="34"/>
      <c r="H394" s="34"/>
      <c r="I394" s="278"/>
      <c r="J394" s="50" t="str">
        <f t="shared" ca="1" si="12"/>
        <v/>
      </c>
      <c r="K394" s="50" t="str">
        <f ca="1">IFERROR(VLOOKUP($J394,Ref!$B$7:$C$9,2),"")</f>
        <v/>
      </c>
      <c r="L394" s="55"/>
      <c r="M394" s="34"/>
      <c r="N394" s="34"/>
      <c r="O394" s="34"/>
      <c r="P394" s="34"/>
      <c r="Q394" s="34"/>
      <c r="R394" s="34"/>
      <c r="S394" s="43"/>
      <c r="T394" s="43"/>
      <c r="U394" s="43"/>
      <c r="V394" s="58"/>
      <c r="W394" s="34"/>
      <c r="X394" s="34"/>
    </row>
    <row r="395" spans="1:24" x14ac:dyDescent="0.2">
      <c r="A395" s="132">
        <v>389</v>
      </c>
      <c r="B395" s="342"/>
      <c r="C395" s="34"/>
      <c r="D395" s="40" t="str">
        <f t="shared" si="13"/>
        <v>2002000389</v>
      </c>
      <c r="E395" s="34"/>
      <c r="F395" s="52"/>
      <c r="G395" s="34"/>
      <c r="H395" s="34"/>
      <c r="I395" s="278"/>
      <c r="J395" s="50" t="str">
        <f t="shared" ca="1" si="12"/>
        <v/>
      </c>
      <c r="K395" s="50" t="str">
        <f ca="1">IFERROR(VLOOKUP($J395,Ref!$B$7:$C$9,2),"")</f>
        <v/>
      </c>
      <c r="L395" s="55"/>
      <c r="M395" s="34"/>
      <c r="N395" s="34"/>
      <c r="O395" s="34"/>
      <c r="P395" s="34"/>
      <c r="Q395" s="34"/>
      <c r="R395" s="34"/>
      <c r="S395" s="43"/>
      <c r="T395" s="43"/>
      <c r="U395" s="43"/>
      <c r="V395" s="58"/>
      <c r="W395" s="34"/>
      <c r="X395" s="34"/>
    </row>
    <row r="396" spans="1:24" x14ac:dyDescent="0.2">
      <c r="A396" s="132">
        <v>390</v>
      </c>
      <c r="B396" s="342"/>
      <c r="C396" s="34"/>
      <c r="D396" s="40" t="str">
        <f t="shared" si="13"/>
        <v>2002000390</v>
      </c>
      <c r="E396" s="34"/>
      <c r="F396" s="52"/>
      <c r="G396" s="34"/>
      <c r="H396" s="34"/>
      <c r="I396" s="278"/>
      <c r="J396" s="50" t="str">
        <f t="shared" ca="1" si="12"/>
        <v/>
      </c>
      <c r="K396" s="50" t="str">
        <f ca="1">IFERROR(VLOOKUP($J396,Ref!$B$7:$C$9,2),"")</f>
        <v/>
      </c>
      <c r="L396" s="55"/>
      <c r="M396" s="34"/>
      <c r="N396" s="34"/>
      <c r="O396" s="34"/>
      <c r="P396" s="34"/>
      <c r="Q396" s="34"/>
      <c r="R396" s="34"/>
      <c r="S396" s="43"/>
      <c r="T396" s="43"/>
      <c r="U396" s="43"/>
      <c r="V396" s="58"/>
      <c r="W396" s="34"/>
      <c r="X396" s="34"/>
    </row>
    <row r="397" spans="1:24" x14ac:dyDescent="0.2">
      <c r="A397" s="132">
        <v>391</v>
      </c>
      <c r="B397" s="342"/>
      <c r="C397" s="34"/>
      <c r="D397" s="40" t="str">
        <f t="shared" si="13"/>
        <v>2002000391</v>
      </c>
      <c r="E397" s="34"/>
      <c r="F397" s="52"/>
      <c r="G397" s="34"/>
      <c r="H397" s="34"/>
      <c r="I397" s="278"/>
      <c r="J397" s="50" t="str">
        <f t="shared" ca="1" si="12"/>
        <v/>
      </c>
      <c r="K397" s="50" t="str">
        <f ca="1">IFERROR(VLOOKUP($J397,Ref!$B$7:$C$9,2),"")</f>
        <v/>
      </c>
      <c r="L397" s="55"/>
      <c r="M397" s="34"/>
      <c r="N397" s="34"/>
      <c r="O397" s="34"/>
      <c r="P397" s="34"/>
      <c r="Q397" s="34"/>
      <c r="R397" s="34"/>
      <c r="S397" s="43"/>
      <c r="T397" s="43"/>
      <c r="U397" s="43"/>
      <c r="V397" s="58"/>
      <c r="W397" s="34"/>
      <c r="X397" s="34"/>
    </row>
    <row r="398" spans="1:24" x14ac:dyDescent="0.2">
      <c r="A398" s="132">
        <v>392</v>
      </c>
      <c r="B398" s="342"/>
      <c r="C398" s="34"/>
      <c r="D398" s="40" t="str">
        <f t="shared" si="13"/>
        <v>2002000392</v>
      </c>
      <c r="E398" s="34"/>
      <c r="F398" s="52"/>
      <c r="G398" s="34"/>
      <c r="H398" s="34"/>
      <c r="I398" s="278"/>
      <c r="J398" s="50" t="str">
        <f t="shared" ca="1" si="12"/>
        <v/>
      </c>
      <c r="K398" s="50" t="str">
        <f ca="1">IFERROR(VLOOKUP($J398,Ref!$B$7:$C$9,2),"")</f>
        <v/>
      </c>
      <c r="L398" s="55"/>
      <c r="M398" s="34"/>
      <c r="N398" s="34"/>
      <c r="O398" s="34"/>
      <c r="P398" s="34"/>
      <c r="Q398" s="34"/>
      <c r="R398" s="34"/>
      <c r="S398" s="43"/>
      <c r="T398" s="43"/>
      <c r="U398" s="43"/>
      <c r="V398" s="58"/>
      <c r="W398" s="34"/>
      <c r="X398" s="34"/>
    </row>
    <row r="399" spans="1:24" x14ac:dyDescent="0.2">
      <c r="A399" s="132">
        <v>393</v>
      </c>
      <c r="B399" s="342"/>
      <c r="C399" s="34"/>
      <c r="D399" s="40" t="str">
        <f t="shared" si="13"/>
        <v>2002000393</v>
      </c>
      <c r="E399" s="34"/>
      <c r="F399" s="52"/>
      <c r="G399" s="34"/>
      <c r="H399" s="34"/>
      <c r="I399" s="278"/>
      <c r="J399" s="50" t="str">
        <f t="shared" ca="1" si="12"/>
        <v/>
      </c>
      <c r="K399" s="50" t="str">
        <f ca="1">IFERROR(VLOOKUP($J399,Ref!$B$7:$C$9,2),"")</f>
        <v/>
      </c>
      <c r="L399" s="55"/>
      <c r="M399" s="34"/>
      <c r="N399" s="34"/>
      <c r="O399" s="34"/>
      <c r="P399" s="34"/>
      <c r="Q399" s="34"/>
      <c r="R399" s="34"/>
      <c r="S399" s="43"/>
      <c r="T399" s="43"/>
      <c r="U399" s="43"/>
      <c r="V399" s="58"/>
      <c r="W399" s="34"/>
      <c r="X399" s="34"/>
    </row>
    <row r="400" spans="1:24" x14ac:dyDescent="0.2">
      <c r="A400" s="132">
        <v>394</v>
      </c>
      <c r="B400" s="342"/>
      <c r="C400" s="34"/>
      <c r="D400" s="40" t="str">
        <f t="shared" si="13"/>
        <v>2002000394</v>
      </c>
      <c r="E400" s="34"/>
      <c r="F400" s="52"/>
      <c r="G400" s="34"/>
      <c r="H400" s="34"/>
      <c r="I400" s="278"/>
      <c r="J400" s="50" t="str">
        <f t="shared" ca="1" si="12"/>
        <v/>
      </c>
      <c r="K400" s="50" t="str">
        <f ca="1">IFERROR(VLOOKUP($J400,Ref!$B$7:$C$9,2),"")</f>
        <v/>
      </c>
      <c r="L400" s="55"/>
      <c r="M400" s="34"/>
      <c r="N400" s="34"/>
      <c r="O400" s="34"/>
      <c r="P400" s="34"/>
      <c r="Q400" s="34"/>
      <c r="R400" s="34"/>
      <c r="S400" s="43"/>
      <c r="T400" s="43"/>
      <c r="U400" s="43"/>
      <c r="V400" s="58"/>
      <c r="W400" s="34"/>
      <c r="X400" s="34"/>
    </row>
    <row r="401" spans="1:24" x14ac:dyDescent="0.2">
      <c r="A401" s="132">
        <v>395</v>
      </c>
      <c r="B401" s="342"/>
      <c r="C401" s="34"/>
      <c r="D401" s="40" t="str">
        <f t="shared" si="13"/>
        <v>2002000395</v>
      </c>
      <c r="E401" s="34"/>
      <c r="F401" s="52"/>
      <c r="G401" s="34"/>
      <c r="H401" s="34"/>
      <c r="I401" s="278"/>
      <c r="J401" s="50" t="str">
        <f t="shared" ca="1" si="12"/>
        <v/>
      </c>
      <c r="K401" s="50" t="str">
        <f ca="1">IFERROR(VLOOKUP($J401,Ref!$B$7:$C$9,2),"")</f>
        <v/>
      </c>
      <c r="L401" s="55"/>
      <c r="M401" s="34"/>
      <c r="N401" s="34"/>
      <c r="O401" s="34"/>
      <c r="P401" s="34"/>
      <c r="Q401" s="34"/>
      <c r="R401" s="34"/>
      <c r="S401" s="43"/>
      <c r="T401" s="43"/>
      <c r="U401" s="43"/>
      <c r="V401" s="58"/>
      <c r="W401" s="34"/>
      <c r="X401" s="34"/>
    </row>
    <row r="402" spans="1:24" x14ac:dyDescent="0.2">
      <c r="A402" s="132">
        <v>396</v>
      </c>
      <c r="B402" s="342"/>
      <c r="C402" s="34"/>
      <c r="D402" s="40" t="str">
        <f t="shared" si="13"/>
        <v>2002000396</v>
      </c>
      <c r="E402" s="34"/>
      <c r="F402" s="52"/>
      <c r="G402" s="34"/>
      <c r="H402" s="34"/>
      <c r="I402" s="278"/>
      <c r="J402" s="50" t="str">
        <f t="shared" ca="1" si="12"/>
        <v/>
      </c>
      <c r="K402" s="50" t="str">
        <f ca="1">IFERROR(VLOOKUP($J402,Ref!$B$7:$C$9,2),"")</f>
        <v/>
      </c>
      <c r="L402" s="55"/>
      <c r="M402" s="34"/>
      <c r="N402" s="34"/>
      <c r="O402" s="34"/>
      <c r="P402" s="34"/>
      <c r="Q402" s="34"/>
      <c r="R402" s="34"/>
      <c r="S402" s="43"/>
      <c r="T402" s="43"/>
      <c r="U402" s="43"/>
      <c r="V402" s="58"/>
      <c r="W402" s="34"/>
      <c r="X402" s="34"/>
    </row>
    <row r="403" spans="1:24" x14ac:dyDescent="0.2">
      <c r="A403" s="132">
        <v>397</v>
      </c>
      <c r="B403" s="342"/>
      <c r="C403" s="34"/>
      <c r="D403" s="40" t="str">
        <f t="shared" si="13"/>
        <v>2002000397</v>
      </c>
      <c r="E403" s="34"/>
      <c r="F403" s="52"/>
      <c r="G403" s="34"/>
      <c r="H403" s="34"/>
      <c r="I403" s="278"/>
      <c r="J403" s="50" t="str">
        <f t="shared" ca="1" si="12"/>
        <v/>
      </c>
      <c r="K403" s="50" t="str">
        <f ca="1">IFERROR(VLOOKUP($J403,Ref!$B$7:$C$9,2),"")</f>
        <v/>
      </c>
      <c r="L403" s="55"/>
      <c r="M403" s="34"/>
      <c r="N403" s="34"/>
      <c r="O403" s="34"/>
      <c r="P403" s="34"/>
      <c r="Q403" s="34"/>
      <c r="R403" s="34"/>
      <c r="S403" s="43"/>
      <c r="T403" s="43"/>
      <c r="U403" s="43"/>
      <c r="V403" s="58"/>
      <c r="W403" s="34"/>
      <c r="X403" s="34"/>
    </row>
    <row r="404" spans="1:24" x14ac:dyDescent="0.2">
      <c r="A404" s="132">
        <v>398</v>
      </c>
      <c r="B404" s="342"/>
      <c r="C404" s="34"/>
      <c r="D404" s="40" t="str">
        <f t="shared" si="13"/>
        <v>2002000398</v>
      </c>
      <c r="E404" s="34"/>
      <c r="F404" s="52"/>
      <c r="G404" s="34"/>
      <c r="H404" s="34"/>
      <c r="I404" s="278"/>
      <c r="J404" s="50" t="str">
        <f t="shared" ca="1" si="12"/>
        <v/>
      </c>
      <c r="K404" s="50" t="str">
        <f ca="1">IFERROR(VLOOKUP($J404,Ref!$B$7:$C$9,2),"")</f>
        <v/>
      </c>
      <c r="L404" s="55"/>
      <c r="M404" s="34"/>
      <c r="N404" s="34"/>
      <c r="O404" s="34"/>
      <c r="P404" s="34"/>
      <c r="Q404" s="34"/>
      <c r="R404" s="34"/>
      <c r="S404" s="43"/>
      <c r="T404" s="43"/>
      <c r="U404" s="43"/>
      <c r="V404" s="58"/>
      <c r="W404" s="34"/>
      <c r="X404" s="34"/>
    </row>
    <row r="405" spans="1:24" x14ac:dyDescent="0.2">
      <c r="A405" s="132">
        <v>399</v>
      </c>
      <c r="B405" s="342"/>
      <c r="C405" s="34"/>
      <c r="D405" s="40" t="str">
        <f t="shared" si="13"/>
        <v>2002000399</v>
      </c>
      <c r="E405" s="34"/>
      <c r="F405" s="52"/>
      <c r="G405" s="34"/>
      <c r="H405" s="34"/>
      <c r="I405" s="278"/>
      <c r="J405" s="50" t="str">
        <f t="shared" ca="1" si="12"/>
        <v/>
      </c>
      <c r="K405" s="50" t="str">
        <f ca="1">IFERROR(VLOOKUP($J405,Ref!$B$7:$C$9,2),"")</f>
        <v/>
      </c>
      <c r="L405" s="55"/>
      <c r="M405" s="34"/>
      <c r="N405" s="34"/>
      <c r="O405" s="34"/>
      <c r="P405" s="34"/>
      <c r="Q405" s="34"/>
      <c r="R405" s="34"/>
      <c r="S405" s="43"/>
      <c r="T405" s="43"/>
      <c r="U405" s="43"/>
      <c r="V405" s="58"/>
      <c r="W405" s="34"/>
      <c r="X405" s="34"/>
    </row>
    <row r="406" spans="1:24" x14ac:dyDescent="0.2">
      <c r="A406" s="132">
        <v>400</v>
      </c>
      <c r="B406" s="342"/>
      <c r="C406" s="34"/>
      <c r="D406" s="40" t="str">
        <f t="shared" si="13"/>
        <v>2002000400</v>
      </c>
      <c r="E406" s="34"/>
      <c r="F406" s="52"/>
      <c r="G406" s="34"/>
      <c r="H406" s="34"/>
      <c r="I406" s="278"/>
      <c r="J406" s="50" t="str">
        <f t="shared" ca="1" si="12"/>
        <v/>
      </c>
      <c r="K406" s="50" t="str">
        <f ca="1">IFERROR(VLOOKUP($J406,Ref!$B$7:$C$9,2),"")</f>
        <v/>
      </c>
      <c r="L406" s="55"/>
      <c r="M406" s="34"/>
      <c r="N406" s="34"/>
      <c r="O406" s="34"/>
      <c r="P406" s="34"/>
      <c r="Q406" s="34"/>
      <c r="R406" s="34"/>
      <c r="S406" s="43"/>
      <c r="T406" s="43"/>
      <c r="U406" s="43"/>
      <c r="V406" s="58"/>
      <c r="W406" s="34"/>
      <c r="X406" s="34"/>
    </row>
    <row r="407" spans="1:24" x14ac:dyDescent="0.2">
      <c r="A407" s="132">
        <v>401</v>
      </c>
      <c r="B407" s="342"/>
      <c r="C407" s="34"/>
      <c r="D407" s="40" t="str">
        <f t="shared" si="13"/>
        <v>2002000401</v>
      </c>
      <c r="E407" s="34"/>
      <c r="F407" s="52"/>
      <c r="G407" s="34"/>
      <c r="H407" s="34"/>
      <c r="I407" s="278"/>
      <c r="J407" s="50" t="str">
        <f t="shared" ca="1" si="12"/>
        <v/>
      </c>
      <c r="K407" s="50" t="str">
        <f ca="1">IFERROR(VLOOKUP($J407,Ref!$B$7:$C$9,2),"")</f>
        <v/>
      </c>
      <c r="L407" s="55"/>
      <c r="M407" s="34"/>
      <c r="N407" s="34"/>
      <c r="O407" s="34"/>
      <c r="P407" s="34"/>
      <c r="Q407" s="34"/>
      <c r="R407" s="34"/>
      <c r="S407" s="43"/>
      <c r="T407" s="43"/>
      <c r="U407" s="43"/>
      <c r="V407" s="58"/>
      <c r="W407" s="34"/>
      <c r="X407" s="34"/>
    </row>
    <row r="408" spans="1:24" x14ac:dyDescent="0.2">
      <c r="A408" s="132">
        <v>402</v>
      </c>
      <c r="B408" s="342"/>
      <c r="C408" s="34"/>
      <c r="D408" s="40" t="str">
        <f t="shared" si="13"/>
        <v>2002000402</v>
      </c>
      <c r="E408" s="34"/>
      <c r="F408" s="52"/>
      <c r="G408" s="34"/>
      <c r="H408" s="34"/>
      <c r="I408" s="278"/>
      <c r="J408" s="50" t="str">
        <f t="shared" ref="J408:J471" ca="1" si="14">IF(I408="","",(TODAY()-$I408)/365)</f>
        <v/>
      </c>
      <c r="K408" s="50" t="str">
        <f ca="1">IFERROR(VLOOKUP($J408,Ref!$B$7:$C$9,2),"")</f>
        <v/>
      </c>
      <c r="L408" s="55"/>
      <c r="M408" s="34"/>
      <c r="N408" s="34"/>
      <c r="O408" s="34"/>
      <c r="P408" s="34"/>
      <c r="Q408" s="34"/>
      <c r="R408" s="34"/>
      <c r="S408" s="43"/>
      <c r="T408" s="43"/>
      <c r="U408" s="43"/>
      <c r="V408" s="58"/>
      <c r="W408" s="34"/>
      <c r="X408" s="34"/>
    </row>
    <row r="409" spans="1:24" x14ac:dyDescent="0.2">
      <c r="A409" s="132">
        <v>403</v>
      </c>
      <c r="B409" s="342"/>
      <c r="C409" s="34"/>
      <c r="D409" s="40" t="str">
        <f t="shared" si="13"/>
        <v>2002000403</v>
      </c>
      <c r="E409" s="34"/>
      <c r="F409" s="52"/>
      <c r="G409" s="34"/>
      <c r="H409" s="34"/>
      <c r="I409" s="278"/>
      <c r="J409" s="50" t="str">
        <f t="shared" ca="1" si="14"/>
        <v/>
      </c>
      <c r="K409" s="50" t="str">
        <f ca="1">IFERROR(VLOOKUP($J409,Ref!$B$7:$C$9,2),"")</f>
        <v/>
      </c>
      <c r="L409" s="55"/>
      <c r="M409" s="34"/>
      <c r="N409" s="34"/>
      <c r="O409" s="34"/>
      <c r="P409" s="34"/>
      <c r="Q409" s="34"/>
      <c r="R409" s="34"/>
      <c r="S409" s="43"/>
      <c r="T409" s="43"/>
      <c r="U409" s="43"/>
      <c r="V409" s="58"/>
      <c r="W409" s="34"/>
      <c r="X409" s="34"/>
    </row>
    <row r="410" spans="1:24" x14ac:dyDescent="0.2">
      <c r="A410" s="132">
        <v>404</v>
      </c>
      <c r="B410" s="342"/>
      <c r="C410" s="34"/>
      <c r="D410" s="40" t="str">
        <f t="shared" si="13"/>
        <v>2002000404</v>
      </c>
      <c r="E410" s="34"/>
      <c r="F410" s="52"/>
      <c r="G410" s="34"/>
      <c r="H410" s="34"/>
      <c r="I410" s="278"/>
      <c r="J410" s="50" t="str">
        <f t="shared" ca="1" si="14"/>
        <v/>
      </c>
      <c r="K410" s="50" t="str">
        <f ca="1">IFERROR(VLOOKUP($J410,Ref!$B$7:$C$9,2),"")</f>
        <v/>
      </c>
      <c r="L410" s="55"/>
      <c r="M410" s="34"/>
      <c r="N410" s="34"/>
      <c r="O410" s="34"/>
      <c r="P410" s="34"/>
      <c r="Q410" s="34"/>
      <c r="R410" s="34"/>
      <c r="S410" s="43"/>
      <c r="T410" s="43"/>
      <c r="U410" s="43"/>
      <c r="V410" s="58"/>
      <c r="W410" s="34"/>
      <c r="X410" s="34"/>
    </row>
    <row r="411" spans="1:24" x14ac:dyDescent="0.2">
      <c r="A411" s="132">
        <v>405</v>
      </c>
      <c r="B411" s="342"/>
      <c r="C411" s="34"/>
      <c r="D411" s="40" t="str">
        <f t="shared" si="13"/>
        <v>2002000405</v>
      </c>
      <c r="E411" s="34"/>
      <c r="F411" s="52"/>
      <c r="G411" s="34"/>
      <c r="H411" s="34"/>
      <c r="I411" s="278"/>
      <c r="J411" s="50" t="str">
        <f t="shared" ca="1" si="14"/>
        <v/>
      </c>
      <c r="K411" s="50" t="str">
        <f ca="1">IFERROR(VLOOKUP($J411,Ref!$B$7:$C$9,2),"")</f>
        <v/>
      </c>
      <c r="L411" s="55"/>
      <c r="M411" s="34"/>
      <c r="N411" s="34"/>
      <c r="O411" s="34"/>
      <c r="P411" s="34"/>
      <c r="Q411" s="34"/>
      <c r="R411" s="34"/>
      <c r="S411" s="43"/>
      <c r="T411" s="43"/>
      <c r="U411" s="43"/>
      <c r="V411" s="58"/>
      <c r="W411" s="34"/>
      <c r="X411" s="34"/>
    </row>
    <row r="412" spans="1:24" x14ac:dyDescent="0.2">
      <c r="A412" s="132">
        <v>406</v>
      </c>
      <c r="B412" s="342"/>
      <c r="C412" s="34"/>
      <c r="D412" s="40" t="str">
        <f t="shared" si="13"/>
        <v>2002000406</v>
      </c>
      <c r="E412" s="34"/>
      <c r="F412" s="52"/>
      <c r="G412" s="34"/>
      <c r="H412" s="34"/>
      <c r="I412" s="278"/>
      <c r="J412" s="50" t="str">
        <f t="shared" ca="1" si="14"/>
        <v/>
      </c>
      <c r="K412" s="50" t="str">
        <f ca="1">IFERROR(VLOOKUP($J412,Ref!$B$7:$C$9,2),"")</f>
        <v/>
      </c>
      <c r="L412" s="55"/>
      <c r="M412" s="34"/>
      <c r="N412" s="34"/>
      <c r="O412" s="34"/>
      <c r="P412" s="34"/>
      <c r="Q412" s="34"/>
      <c r="R412" s="34"/>
      <c r="S412" s="43"/>
      <c r="T412" s="43"/>
      <c r="U412" s="43"/>
      <c r="V412" s="58"/>
      <c r="W412" s="34"/>
      <c r="X412" s="34"/>
    </row>
    <row r="413" spans="1:24" x14ac:dyDescent="0.2">
      <c r="A413" s="132">
        <v>407</v>
      </c>
      <c r="B413" s="342"/>
      <c r="C413" s="34"/>
      <c r="D413" s="40" t="str">
        <f t="shared" si="13"/>
        <v>2002000407</v>
      </c>
      <c r="E413" s="34"/>
      <c r="F413" s="52"/>
      <c r="G413" s="34"/>
      <c r="H413" s="34"/>
      <c r="I413" s="278"/>
      <c r="J413" s="50" t="str">
        <f t="shared" ca="1" si="14"/>
        <v/>
      </c>
      <c r="K413" s="50" t="str">
        <f ca="1">IFERROR(VLOOKUP($J413,Ref!$B$7:$C$9,2),"")</f>
        <v/>
      </c>
      <c r="L413" s="55"/>
      <c r="M413" s="34"/>
      <c r="N413" s="34"/>
      <c r="O413" s="34"/>
      <c r="P413" s="34"/>
      <c r="Q413" s="34"/>
      <c r="R413" s="34"/>
      <c r="S413" s="43"/>
      <c r="T413" s="43"/>
      <c r="U413" s="43"/>
      <c r="V413" s="58"/>
      <c r="W413" s="34"/>
      <c r="X413" s="34"/>
    </row>
    <row r="414" spans="1:24" x14ac:dyDescent="0.2">
      <c r="A414" s="132">
        <v>408</v>
      </c>
      <c r="B414" s="342"/>
      <c r="C414" s="34"/>
      <c r="D414" s="40" t="str">
        <f t="shared" si="13"/>
        <v>2002000408</v>
      </c>
      <c r="E414" s="34"/>
      <c r="F414" s="52"/>
      <c r="G414" s="34"/>
      <c r="H414" s="34"/>
      <c r="I414" s="278"/>
      <c r="J414" s="50" t="str">
        <f t="shared" ca="1" si="14"/>
        <v/>
      </c>
      <c r="K414" s="50" t="str">
        <f ca="1">IFERROR(VLOOKUP($J414,Ref!$B$7:$C$9,2),"")</f>
        <v/>
      </c>
      <c r="L414" s="55"/>
      <c r="M414" s="34"/>
      <c r="N414" s="34"/>
      <c r="O414" s="34"/>
      <c r="P414" s="34"/>
      <c r="Q414" s="34"/>
      <c r="R414" s="34"/>
      <c r="S414" s="43"/>
      <c r="T414" s="43"/>
      <c r="U414" s="43"/>
      <c r="V414" s="58"/>
      <c r="W414" s="34"/>
      <c r="X414" s="34"/>
    </row>
    <row r="415" spans="1:24" x14ac:dyDescent="0.2">
      <c r="A415" s="132">
        <v>409</v>
      </c>
      <c r="B415" s="342"/>
      <c r="C415" s="34"/>
      <c r="D415" s="40" t="str">
        <f t="shared" si="13"/>
        <v>2002000409</v>
      </c>
      <c r="E415" s="34"/>
      <c r="F415" s="52"/>
      <c r="G415" s="34"/>
      <c r="H415" s="34"/>
      <c r="I415" s="278"/>
      <c r="J415" s="50" t="str">
        <f t="shared" ca="1" si="14"/>
        <v/>
      </c>
      <c r="K415" s="50" t="str">
        <f ca="1">IFERROR(VLOOKUP($J415,Ref!$B$7:$C$9,2),"")</f>
        <v/>
      </c>
      <c r="L415" s="55"/>
      <c r="M415" s="34"/>
      <c r="N415" s="34"/>
      <c r="O415" s="34"/>
      <c r="P415" s="34"/>
      <c r="Q415" s="34"/>
      <c r="R415" s="34"/>
      <c r="S415" s="43"/>
      <c r="T415" s="43"/>
      <c r="U415" s="43"/>
      <c r="V415" s="58"/>
      <c r="W415" s="34"/>
      <c r="X415" s="34"/>
    </row>
    <row r="416" spans="1:24" x14ac:dyDescent="0.2">
      <c r="A416" s="132">
        <v>410</v>
      </c>
      <c r="B416" s="342"/>
      <c r="C416" s="34"/>
      <c r="D416" s="40" t="str">
        <f t="shared" si="13"/>
        <v>2002000410</v>
      </c>
      <c r="E416" s="34"/>
      <c r="F416" s="52"/>
      <c r="G416" s="34"/>
      <c r="H416" s="34"/>
      <c r="I416" s="278"/>
      <c r="J416" s="50" t="str">
        <f t="shared" ca="1" si="14"/>
        <v/>
      </c>
      <c r="K416" s="50" t="str">
        <f ca="1">IFERROR(VLOOKUP($J416,Ref!$B$7:$C$9,2),"")</f>
        <v/>
      </c>
      <c r="L416" s="55"/>
      <c r="M416" s="34"/>
      <c r="N416" s="34"/>
      <c r="O416" s="34"/>
      <c r="P416" s="34"/>
      <c r="Q416" s="34"/>
      <c r="R416" s="34"/>
      <c r="S416" s="43"/>
      <c r="T416" s="43"/>
      <c r="U416" s="43"/>
      <c r="V416" s="58"/>
      <c r="W416" s="34"/>
      <c r="X416" s="34"/>
    </row>
    <row r="417" spans="1:24" x14ac:dyDescent="0.2">
      <c r="A417" s="132">
        <v>411</v>
      </c>
      <c r="B417" s="342"/>
      <c r="C417" s="34"/>
      <c r="D417" s="40" t="str">
        <f t="shared" si="13"/>
        <v>2002000411</v>
      </c>
      <c r="E417" s="34"/>
      <c r="F417" s="52"/>
      <c r="G417" s="34"/>
      <c r="H417" s="34"/>
      <c r="I417" s="278"/>
      <c r="J417" s="50" t="str">
        <f t="shared" ca="1" si="14"/>
        <v/>
      </c>
      <c r="K417" s="50" t="str">
        <f ca="1">IFERROR(VLOOKUP($J417,Ref!$B$7:$C$9,2),"")</f>
        <v/>
      </c>
      <c r="L417" s="55"/>
      <c r="M417" s="34"/>
      <c r="N417" s="34"/>
      <c r="O417" s="34"/>
      <c r="P417" s="34"/>
      <c r="Q417" s="34"/>
      <c r="R417" s="34"/>
      <c r="S417" s="43"/>
      <c r="T417" s="43"/>
      <c r="U417" s="43"/>
      <c r="V417" s="58"/>
      <c r="W417" s="34"/>
      <c r="X417" s="34"/>
    </row>
    <row r="418" spans="1:24" x14ac:dyDescent="0.2">
      <c r="A418" s="132">
        <v>412</v>
      </c>
      <c r="B418" s="342"/>
      <c r="C418" s="34"/>
      <c r="D418" s="40" t="str">
        <f t="shared" si="13"/>
        <v>2002000412</v>
      </c>
      <c r="E418" s="34"/>
      <c r="F418" s="52"/>
      <c r="G418" s="34"/>
      <c r="H418" s="34"/>
      <c r="I418" s="278"/>
      <c r="J418" s="50" t="str">
        <f t="shared" ca="1" si="14"/>
        <v/>
      </c>
      <c r="K418" s="50" t="str">
        <f ca="1">IFERROR(VLOOKUP($J418,Ref!$B$7:$C$9,2),"")</f>
        <v/>
      </c>
      <c r="L418" s="55"/>
      <c r="M418" s="34"/>
      <c r="N418" s="34"/>
      <c r="O418" s="34"/>
      <c r="P418" s="34"/>
      <c r="Q418" s="34"/>
      <c r="R418" s="34"/>
      <c r="S418" s="43"/>
      <c r="T418" s="43"/>
      <c r="U418" s="43"/>
      <c r="V418" s="58"/>
      <c r="W418" s="34"/>
      <c r="X418" s="34"/>
    </row>
    <row r="419" spans="1:24" x14ac:dyDescent="0.2">
      <c r="A419" s="132">
        <v>413</v>
      </c>
      <c r="B419" s="342"/>
      <c r="C419" s="34"/>
      <c r="D419" s="40" t="str">
        <f t="shared" si="13"/>
        <v>2002000413</v>
      </c>
      <c r="E419" s="34"/>
      <c r="F419" s="52"/>
      <c r="G419" s="34"/>
      <c r="H419" s="34"/>
      <c r="I419" s="278"/>
      <c r="J419" s="50" t="str">
        <f t="shared" ca="1" si="14"/>
        <v/>
      </c>
      <c r="K419" s="50" t="str">
        <f ca="1">IFERROR(VLOOKUP($J419,Ref!$B$7:$C$9,2),"")</f>
        <v/>
      </c>
      <c r="L419" s="55"/>
      <c r="M419" s="34"/>
      <c r="N419" s="34"/>
      <c r="O419" s="34"/>
      <c r="P419" s="34"/>
      <c r="Q419" s="34"/>
      <c r="R419" s="34"/>
      <c r="S419" s="43"/>
      <c r="T419" s="43"/>
      <c r="U419" s="43"/>
      <c r="V419" s="58"/>
      <c r="W419" s="34"/>
      <c r="X419" s="34"/>
    </row>
    <row r="420" spans="1:24" x14ac:dyDescent="0.2">
      <c r="A420" s="132">
        <v>414</v>
      </c>
      <c r="B420" s="342"/>
      <c r="C420" s="34"/>
      <c r="D420" s="40" t="str">
        <f t="shared" si="13"/>
        <v>2002000414</v>
      </c>
      <c r="E420" s="34"/>
      <c r="F420" s="52"/>
      <c r="G420" s="34"/>
      <c r="H420" s="34"/>
      <c r="I420" s="278"/>
      <c r="J420" s="50" t="str">
        <f t="shared" ca="1" si="14"/>
        <v/>
      </c>
      <c r="K420" s="50" t="str">
        <f ca="1">IFERROR(VLOOKUP($J420,Ref!$B$7:$C$9,2),"")</f>
        <v/>
      </c>
      <c r="L420" s="55"/>
      <c r="M420" s="34"/>
      <c r="N420" s="34"/>
      <c r="O420" s="34"/>
      <c r="P420" s="34"/>
      <c r="Q420" s="34"/>
      <c r="R420" s="34"/>
      <c r="S420" s="43"/>
      <c r="T420" s="43"/>
      <c r="U420" s="43"/>
      <c r="V420" s="58"/>
      <c r="W420" s="34"/>
      <c r="X420" s="34"/>
    </row>
    <row r="421" spans="1:24" x14ac:dyDescent="0.2">
      <c r="A421" s="132">
        <v>415</v>
      </c>
      <c r="B421" s="342"/>
      <c r="C421" s="34"/>
      <c r="D421" s="40" t="str">
        <f t="shared" si="13"/>
        <v>2002000415</v>
      </c>
      <c r="E421" s="34"/>
      <c r="F421" s="52"/>
      <c r="G421" s="34"/>
      <c r="H421" s="34"/>
      <c r="I421" s="278"/>
      <c r="J421" s="50" t="str">
        <f t="shared" ca="1" si="14"/>
        <v/>
      </c>
      <c r="K421" s="50" t="str">
        <f ca="1">IFERROR(VLOOKUP($J421,Ref!$B$7:$C$9,2),"")</f>
        <v/>
      </c>
      <c r="L421" s="55"/>
      <c r="M421" s="34"/>
      <c r="N421" s="34"/>
      <c r="O421" s="34"/>
      <c r="P421" s="34"/>
      <c r="Q421" s="34"/>
      <c r="R421" s="34"/>
      <c r="S421" s="43"/>
      <c r="T421" s="43"/>
      <c r="U421" s="43"/>
      <c r="V421" s="58"/>
      <c r="W421" s="34"/>
      <c r="X421" s="34"/>
    </row>
    <row r="422" spans="1:24" x14ac:dyDescent="0.2">
      <c r="A422" s="132">
        <v>416</v>
      </c>
      <c r="B422" s="342"/>
      <c r="C422" s="34"/>
      <c r="D422" s="40" t="str">
        <f t="shared" si="13"/>
        <v>2002000416</v>
      </c>
      <c r="E422" s="34"/>
      <c r="F422" s="52"/>
      <c r="G422" s="34"/>
      <c r="H422" s="34"/>
      <c r="I422" s="278"/>
      <c r="J422" s="50" t="str">
        <f t="shared" ca="1" si="14"/>
        <v/>
      </c>
      <c r="K422" s="50" t="str">
        <f ca="1">IFERROR(VLOOKUP($J422,Ref!$B$7:$C$9,2),"")</f>
        <v/>
      </c>
      <c r="L422" s="55"/>
      <c r="M422" s="34"/>
      <c r="N422" s="34"/>
      <c r="O422" s="34"/>
      <c r="P422" s="34"/>
      <c r="Q422" s="34"/>
      <c r="R422" s="34"/>
      <c r="S422" s="43"/>
      <c r="T422" s="43"/>
      <c r="U422" s="43"/>
      <c r="V422" s="58"/>
      <c r="W422" s="34"/>
      <c r="X422" s="34"/>
    </row>
    <row r="423" spans="1:24" x14ac:dyDescent="0.2">
      <c r="A423" s="132">
        <v>417</v>
      </c>
      <c r="B423" s="342"/>
      <c r="C423" s="34"/>
      <c r="D423" s="40" t="str">
        <f t="shared" si="13"/>
        <v>2002000417</v>
      </c>
      <c r="E423" s="34"/>
      <c r="F423" s="52"/>
      <c r="G423" s="34"/>
      <c r="H423" s="34"/>
      <c r="I423" s="278"/>
      <c r="J423" s="50" t="str">
        <f t="shared" ca="1" si="14"/>
        <v/>
      </c>
      <c r="K423" s="50" t="str">
        <f ca="1">IFERROR(VLOOKUP($J423,Ref!$B$7:$C$9,2),"")</f>
        <v/>
      </c>
      <c r="L423" s="55"/>
      <c r="M423" s="34"/>
      <c r="N423" s="34"/>
      <c r="O423" s="34"/>
      <c r="P423" s="34"/>
      <c r="Q423" s="34"/>
      <c r="R423" s="34"/>
      <c r="S423" s="43"/>
      <c r="T423" s="43"/>
      <c r="U423" s="43"/>
      <c r="V423" s="58"/>
      <c r="W423" s="34"/>
      <c r="X423" s="34"/>
    </row>
    <row r="424" spans="1:24" x14ac:dyDescent="0.2">
      <c r="A424" s="132">
        <v>418</v>
      </c>
      <c r="B424" s="342"/>
      <c r="C424" s="34"/>
      <c r="D424" s="40" t="str">
        <f t="shared" si="13"/>
        <v>2002000418</v>
      </c>
      <c r="E424" s="34"/>
      <c r="F424" s="52"/>
      <c r="G424" s="34"/>
      <c r="H424" s="34"/>
      <c r="I424" s="278"/>
      <c r="J424" s="50" t="str">
        <f t="shared" ca="1" si="14"/>
        <v/>
      </c>
      <c r="K424" s="50" t="str">
        <f ca="1">IFERROR(VLOOKUP($J424,Ref!$B$7:$C$9,2),"")</f>
        <v/>
      </c>
      <c r="L424" s="55"/>
      <c r="M424" s="34"/>
      <c r="N424" s="34"/>
      <c r="O424" s="34"/>
      <c r="P424" s="34"/>
      <c r="Q424" s="34"/>
      <c r="R424" s="34"/>
      <c r="S424" s="43"/>
      <c r="T424" s="43"/>
      <c r="U424" s="43"/>
      <c r="V424" s="58"/>
      <c r="W424" s="34"/>
      <c r="X424" s="34"/>
    </row>
    <row r="425" spans="1:24" x14ac:dyDescent="0.2">
      <c r="A425" s="132">
        <v>419</v>
      </c>
      <c r="B425" s="342"/>
      <c r="C425" s="34"/>
      <c r="D425" s="40" t="str">
        <f t="shared" si="13"/>
        <v>2002000419</v>
      </c>
      <c r="E425" s="34"/>
      <c r="F425" s="52"/>
      <c r="G425" s="34"/>
      <c r="H425" s="34"/>
      <c r="I425" s="278"/>
      <c r="J425" s="50" t="str">
        <f t="shared" ca="1" si="14"/>
        <v/>
      </c>
      <c r="K425" s="50" t="str">
        <f ca="1">IFERROR(VLOOKUP($J425,Ref!$B$7:$C$9,2),"")</f>
        <v/>
      </c>
      <c r="L425" s="55"/>
      <c r="M425" s="34"/>
      <c r="N425" s="34"/>
      <c r="O425" s="34"/>
      <c r="P425" s="34"/>
      <c r="Q425" s="34"/>
      <c r="R425" s="34"/>
      <c r="S425" s="43"/>
      <c r="T425" s="43"/>
      <c r="U425" s="43"/>
      <c r="V425" s="58"/>
      <c r="W425" s="34"/>
      <c r="X425" s="34"/>
    </row>
    <row r="426" spans="1:24" x14ac:dyDescent="0.2">
      <c r="A426" s="132">
        <v>420</v>
      </c>
      <c r="B426" s="342"/>
      <c r="C426" s="34"/>
      <c r="D426" s="40" t="str">
        <f t="shared" si="13"/>
        <v>2002000420</v>
      </c>
      <c r="E426" s="34"/>
      <c r="F426" s="52"/>
      <c r="G426" s="34"/>
      <c r="H426" s="34"/>
      <c r="I426" s="278"/>
      <c r="J426" s="50" t="str">
        <f t="shared" ca="1" si="14"/>
        <v/>
      </c>
      <c r="K426" s="50" t="str">
        <f ca="1">IFERROR(VLOOKUP($J426,Ref!$B$7:$C$9,2),"")</f>
        <v/>
      </c>
      <c r="L426" s="55"/>
      <c r="M426" s="34"/>
      <c r="N426" s="34"/>
      <c r="O426" s="34"/>
      <c r="P426" s="34"/>
      <c r="Q426" s="34"/>
      <c r="R426" s="34"/>
      <c r="S426" s="43"/>
      <c r="T426" s="43"/>
      <c r="U426" s="43"/>
      <c r="V426" s="58"/>
      <c r="W426" s="34"/>
      <c r="X426" s="34"/>
    </row>
    <row r="427" spans="1:24" x14ac:dyDescent="0.2">
      <c r="A427" s="132">
        <v>421</v>
      </c>
      <c r="B427" s="342"/>
      <c r="C427" s="34"/>
      <c r="D427" s="40" t="str">
        <f t="shared" si="13"/>
        <v>2002000421</v>
      </c>
      <c r="E427" s="34"/>
      <c r="F427" s="52"/>
      <c r="G427" s="34"/>
      <c r="H427" s="34"/>
      <c r="I427" s="278"/>
      <c r="J427" s="50" t="str">
        <f t="shared" ca="1" si="14"/>
        <v/>
      </c>
      <c r="K427" s="50" t="str">
        <f ca="1">IFERROR(VLOOKUP($J427,Ref!$B$7:$C$9,2),"")</f>
        <v/>
      </c>
      <c r="L427" s="55"/>
      <c r="M427" s="34"/>
      <c r="N427" s="34"/>
      <c r="O427" s="34"/>
      <c r="P427" s="34"/>
      <c r="Q427" s="34"/>
      <c r="R427" s="34"/>
      <c r="S427" s="43"/>
      <c r="T427" s="43"/>
      <c r="U427" s="43"/>
      <c r="V427" s="58"/>
      <c r="W427" s="34"/>
      <c r="X427" s="34"/>
    </row>
    <row r="428" spans="1:24" x14ac:dyDescent="0.2">
      <c r="A428" s="132">
        <v>422</v>
      </c>
      <c r="B428" s="342"/>
      <c r="C428" s="34"/>
      <c r="D428" s="40" t="str">
        <f t="shared" si="13"/>
        <v>2002000422</v>
      </c>
      <c r="E428" s="34"/>
      <c r="F428" s="52"/>
      <c r="G428" s="34"/>
      <c r="H428" s="34"/>
      <c r="I428" s="278"/>
      <c r="J428" s="50" t="str">
        <f t="shared" ca="1" si="14"/>
        <v/>
      </c>
      <c r="K428" s="50" t="str">
        <f ca="1">IFERROR(VLOOKUP($J428,Ref!$B$7:$C$9,2),"")</f>
        <v/>
      </c>
      <c r="L428" s="55"/>
      <c r="M428" s="34"/>
      <c r="N428" s="34"/>
      <c r="O428" s="34"/>
      <c r="P428" s="34"/>
      <c r="Q428" s="34"/>
      <c r="R428" s="34"/>
      <c r="S428" s="43"/>
      <c r="T428" s="43"/>
      <c r="U428" s="43"/>
      <c r="V428" s="58"/>
      <c r="W428" s="34"/>
      <c r="X428" s="34"/>
    </row>
    <row r="429" spans="1:24" x14ac:dyDescent="0.2">
      <c r="A429" s="132">
        <v>423</v>
      </c>
      <c r="B429" s="342"/>
      <c r="C429" s="34"/>
      <c r="D429" s="40" t="str">
        <f t="shared" si="13"/>
        <v>2002000423</v>
      </c>
      <c r="E429" s="34"/>
      <c r="F429" s="52"/>
      <c r="G429" s="34"/>
      <c r="H429" s="34"/>
      <c r="I429" s="278"/>
      <c r="J429" s="50" t="str">
        <f t="shared" ca="1" si="14"/>
        <v/>
      </c>
      <c r="K429" s="50" t="str">
        <f ca="1">IFERROR(VLOOKUP($J429,Ref!$B$7:$C$9,2),"")</f>
        <v/>
      </c>
      <c r="L429" s="55"/>
      <c r="M429" s="34"/>
      <c r="N429" s="34"/>
      <c r="O429" s="34"/>
      <c r="P429" s="34"/>
      <c r="Q429" s="34"/>
      <c r="R429" s="34"/>
      <c r="S429" s="43"/>
      <c r="T429" s="43"/>
      <c r="U429" s="43"/>
      <c r="V429" s="58"/>
      <c r="W429" s="34"/>
      <c r="X429" s="34"/>
    </row>
    <row r="430" spans="1:24" x14ac:dyDescent="0.2">
      <c r="A430" s="132">
        <v>424</v>
      </c>
      <c r="B430" s="342"/>
      <c r="C430" s="34"/>
      <c r="D430" s="40" t="str">
        <f t="shared" si="13"/>
        <v>2002000424</v>
      </c>
      <c r="E430" s="34"/>
      <c r="F430" s="52"/>
      <c r="G430" s="34"/>
      <c r="H430" s="34"/>
      <c r="I430" s="278"/>
      <c r="J430" s="50" t="str">
        <f t="shared" ca="1" si="14"/>
        <v/>
      </c>
      <c r="K430" s="50" t="str">
        <f ca="1">IFERROR(VLOOKUP($J430,Ref!$B$7:$C$9,2),"")</f>
        <v/>
      </c>
      <c r="L430" s="55"/>
      <c r="M430" s="34"/>
      <c r="N430" s="34"/>
      <c r="O430" s="34"/>
      <c r="P430" s="34"/>
      <c r="Q430" s="34"/>
      <c r="R430" s="34"/>
      <c r="S430" s="43"/>
      <c r="T430" s="43"/>
      <c r="U430" s="43"/>
      <c r="V430" s="58"/>
      <c r="W430" s="34"/>
      <c r="X430" s="34"/>
    </row>
    <row r="431" spans="1:24" x14ac:dyDescent="0.2">
      <c r="A431" s="132">
        <v>425</v>
      </c>
      <c r="B431" s="342"/>
      <c r="C431" s="34"/>
      <c r="D431" s="40" t="str">
        <f t="shared" si="13"/>
        <v>2002000425</v>
      </c>
      <c r="E431" s="34"/>
      <c r="F431" s="52"/>
      <c r="G431" s="34"/>
      <c r="H431" s="34"/>
      <c r="I431" s="278"/>
      <c r="J431" s="50" t="str">
        <f t="shared" ca="1" si="14"/>
        <v/>
      </c>
      <c r="K431" s="50" t="str">
        <f ca="1">IFERROR(VLOOKUP($J431,Ref!$B$7:$C$9,2),"")</f>
        <v/>
      </c>
      <c r="L431" s="55"/>
      <c r="M431" s="34"/>
      <c r="N431" s="34"/>
      <c r="O431" s="34"/>
      <c r="P431" s="34"/>
      <c r="Q431" s="34"/>
      <c r="R431" s="34"/>
      <c r="S431" s="43"/>
      <c r="T431" s="43"/>
      <c r="U431" s="43"/>
      <c r="V431" s="58"/>
      <c r="W431" s="34"/>
      <c r="X431" s="34"/>
    </row>
    <row r="432" spans="1:24" x14ac:dyDescent="0.2">
      <c r="A432" s="132">
        <v>426</v>
      </c>
      <c r="B432" s="342"/>
      <c r="C432" s="34"/>
      <c r="D432" s="40" t="str">
        <f t="shared" si="13"/>
        <v>2002000426</v>
      </c>
      <c r="E432" s="34"/>
      <c r="F432" s="52"/>
      <c r="G432" s="34"/>
      <c r="H432" s="34"/>
      <c r="I432" s="278"/>
      <c r="J432" s="50" t="str">
        <f t="shared" ca="1" si="14"/>
        <v/>
      </c>
      <c r="K432" s="50" t="str">
        <f ca="1">IFERROR(VLOOKUP($J432,Ref!$B$7:$C$9,2),"")</f>
        <v/>
      </c>
      <c r="L432" s="55"/>
      <c r="M432" s="34"/>
      <c r="N432" s="34"/>
      <c r="O432" s="34"/>
      <c r="P432" s="34"/>
      <c r="Q432" s="34"/>
      <c r="R432" s="34"/>
      <c r="S432" s="43"/>
      <c r="T432" s="43"/>
      <c r="U432" s="43"/>
      <c r="V432" s="58"/>
      <c r="W432" s="34"/>
      <c r="X432" s="34"/>
    </row>
    <row r="433" spans="1:24" x14ac:dyDescent="0.2">
      <c r="A433" s="132">
        <v>427</v>
      </c>
      <c r="B433" s="342"/>
      <c r="C433" s="34"/>
      <c r="D433" s="40" t="str">
        <f t="shared" si="13"/>
        <v>2002000427</v>
      </c>
      <c r="E433" s="34"/>
      <c r="F433" s="52"/>
      <c r="G433" s="34"/>
      <c r="H433" s="34"/>
      <c r="I433" s="278"/>
      <c r="J433" s="50" t="str">
        <f t="shared" ca="1" si="14"/>
        <v/>
      </c>
      <c r="K433" s="50" t="str">
        <f ca="1">IFERROR(VLOOKUP($J433,Ref!$B$7:$C$9,2),"")</f>
        <v/>
      </c>
      <c r="L433" s="55"/>
      <c r="M433" s="34"/>
      <c r="N433" s="34"/>
      <c r="O433" s="34"/>
      <c r="P433" s="34"/>
      <c r="Q433" s="34"/>
      <c r="R433" s="34"/>
      <c r="S433" s="43"/>
      <c r="T433" s="43"/>
      <c r="U433" s="43"/>
      <c r="V433" s="58"/>
      <c r="W433" s="34"/>
      <c r="X433" s="34"/>
    </row>
    <row r="434" spans="1:24" x14ac:dyDescent="0.2">
      <c r="A434" s="132">
        <v>428</v>
      </c>
      <c r="B434" s="342"/>
      <c r="C434" s="34"/>
      <c r="D434" s="40" t="str">
        <f t="shared" si="13"/>
        <v>2002000428</v>
      </c>
      <c r="E434" s="34"/>
      <c r="F434" s="52"/>
      <c r="G434" s="34"/>
      <c r="H434" s="34"/>
      <c r="I434" s="278"/>
      <c r="J434" s="50" t="str">
        <f t="shared" ca="1" si="14"/>
        <v/>
      </c>
      <c r="K434" s="50" t="str">
        <f ca="1">IFERROR(VLOOKUP($J434,Ref!$B$7:$C$9,2),"")</f>
        <v/>
      </c>
      <c r="L434" s="55"/>
      <c r="M434" s="34"/>
      <c r="N434" s="34"/>
      <c r="O434" s="34"/>
      <c r="P434" s="34"/>
      <c r="Q434" s="34"/>
      <c r="R434" s="34"/>
      <c r="S434" s="43"/>
      <c r="T434" s="43"/>
      <c r="U434" s="43"/>
      <c r="V434" s="58"/>
      <c r="W434" s="34"/>
      <c r="X434" s="34"/>
    </row>
    <row r="435" spans="1:24" x14ac:dyDescent="0.2">
      <c r="A435" s="132">
        <v>429</v>
      </c>
      <c r="B435" s="342"/>
      <c r="C435" s="34"/>
      <c r="D435" s="40" t="str">
        <f t="shared" si="13"/>
        <v>2002000429</v>
      </c>
      <c r="E435" s="34"/>
      <c r="F435" s="52"/>
      <c r="G435" s="34"/>
      <c r="H435" s="34"/>
      <c r="I435" s="278"/>
      <c r="J435" s="50" t="str">
        <f t="shared" ca="1" si="14"/>
        <v/>
      </c>
      <c r="K435" s="50" t="str">
        <f ca="1">IFERROR(VLOOKUP($J435,Ref!$B$7:$C$9,2),"")</f>
        <v/>
      </c>
      <c r="L435" s="55"/>
      <c r="M435" s="34"/>
      <c r="N435" s="34"/>
      <c r="O435" s="34"/>
      <c r="P435" s="34"/>
      <c r="Q435" s="34"/>
      <c r="R435" s="34"/>
      <c r="S435" s="43"/>
      <c r="T435" s="43"/>
      <c r="U435" s="43"/>
      <c r="V435" s="58"/>
      <c r="W435" s="34"/>
      <c r="X435" s="34"/>
    </row>
    <row r="436" spans="1:24" x14ac:dyDescent="0.2">
      <c r="A436" s="132">
        <v>430</v>
      </c>
      <c r="B436" s="342"/>
      <c r="C436" s="34"/>
      <c r="D436" s="40" t="str">
        <f t="shared" si="13"/>
        <v>2002000430</v>
      </c>
      <c r="E436" s="34"/>
      <c r="F436" s="52"/>
      <c r="G436" s="34"/>
      <c r="H436" s="34"/>
      <c r="I436" s="278"/>
      <c r="J436" s="50" t="str">
        <f t="shared" ca="1" si="14"/>
        <v/>
      </c>
      <c r="K436" s="50" t="str">
        <f ca="1">IFERROR(VLOOKUP($J436,Ref!$B$7:$C$9,2),"")</f>
        <v/>
      </c>
      <c r="L436" s="55"/>
      <c r="M436" s="34"/>
      <c r="N436" s="34"/>
      <c r="O436" s="34"/>
      <c r="P436" s="34"/>
      <c r="Q436" s="34"/>
      <c r="R436" s="34"/>
      <c r="S436" s="43"/>
      <c r="T436" s="43"/>
      <c r="U436" s="43"/>
      <c r="V436" s="58"/>
      <c r="W436" s="34"/>
      <c r="X436" s="34"/>
    </row>
    <row r="437" spans="1:24" x14ac:dyDescent="0.2">
      <c r="A437" s="132">
        <v>431</v>
      </c>
      <c r="B437" s="342"/>
      <c r="C437" s="34"/>
      <c r="D437" s="40" t="str">
        <f t="shared" si="13"/>
        <v>2002000431</v>
      </c>
      <c r="E437" s="34"/>
      <c r="F437" s="52"/>
      <c r="G437" s="34"/>
      <c r="H437" s="34"/>
      <c r="I437" s="278"/>
      <c r="J437" s="50" t="str">
        <f t="shared" ca="1" si="14"/>
        <v/>
      </c>
      <c r="K437" s="50" t="str">
        <f ca="1">IFERROR(VLOOKUP($J437,Ref!$B$7:$C$9,2),"")</f>
        <v/>
      </c>
      <c r="L437" s="55"/>
      <c r="M437" s="34"/>
      <c r="N437" s="34"/>
      <c r="O437" s="34"/>
      <c r="P437" s="34"/>
      <c r="Q437" s="34"/>
      <c r="R437" s="34"/>
      <c r="S437" s="43"/>
      <c r="T437" s="43"/>
      <c r="U437" s="43"/>
      <c r="V437" s="58"/>
      <c r="W437" s="34"/>
      <c r="X437" s="34"/>
    </row>
    <row r="438" spans="1:24" x14ac:dyDescent="0.2">
      <c r="A438" s="132">
        <v>432</v>
      </c>
      <c r="B438" s="342"/>
      <c r="C438" s="34"/>
      <c r="D438" s="40" t="str">
        <f t="shared" si="13"/>
        <v>2002000432</v>
      </c>
      <c r="E438" s="34"/>
      <c r="F438" s="52"/>
      <c r="G438" s="34"/>
      <c r="H438" s="34"/>
      <c r="I438" s="278"/>
      <c r="J438" s="50" t="str">
        <f t="shared" ca="1" si="14"/>
        <v/>
      </c>
      <c r="K438" s="50" t="str">
        <f ca="1">IFERROR(VLOOKUP($J438,Ref!$B$7:$C$9,2),"")</f>
        <v/>
      </c>
      <c r="L438" s="55"/>
      <c r="M438" s="34"/>
      <c r="N438" s="34"/>
      <c r="O438" s="34"/>
      <c r="P438" s="34"/>
      <c r="Q438" s="34"/>
      <c r="R438" s="34"/>
      <c r="S438" s="43"/>
      <c r="T438" s="43"/>
      <c r="U438" s="43"/>
      <c r="V438" s="58"/>
      <c r="W438" s="34"/>
      <c r="X438" s="34"/>
    </row>
    <row r="439" spans="1:24" x14ac:dyDescent="0.2">
      <c r="A439" s="132">
        <v>433</v>
      </c>
      <c r="B439" s="342"/>
      <c r="C439" s="34"/>
      <c r="D439" s="40" t="str">
        <f t="shared" si="13"/>
        <v>2002000433</v>
      </c>
      <c r="E439" s="34"/>
      <c r="F439" s="52"/>
      <c r="G439" s="34"/>
      <c r="H439" s="34"/>
      <c r="I439" s="278"/>
      <c r="J439" s="50" t="str">
        <f t="shared" ca="1" si="14"/>
        <v/>
      </c>
      <c r="K439" s="50" t="str">
        <f ca="1">IFERROR(VLOOKUP($J439,Ref!$B$7:$C$9,2),"")</f>
        <v/>
      </c>
      <c r="L439" s="55"/>
      <c r="M439" s="34"/>
      <c r="N439" s="34"/>
      <c r="O439" s="34"/>
      <c r="P439" s="34"/>
      <c r="Q439" s="34"/>
      <c r="R439" s="34"/>
      <c r="S439" s="43"/>
      <c r="T439" s="43"/>
      <c r="U439" s="43"/>
      <c r="V439" s="58"/>
      <c r="W439" s="34"/>
      <c r="X439" s="34"/>
    </row>
    <row r="440" spans="1:24" x14ac:dyDescent="0.2">
      <c r="A440" s="132">
        <v>434</v>
      </c>
      <c r="B440" s="342"/>
      <c r="C440" s="34"/>
      <c r="D440" s="40" t="str">
        <f t="shared" si="13"/>
        <v>2002000434</v>
      </c>
      <c r="E440" s="34"/>
      <c r="F440" s="52"/>
      <c r="G440" s="34"/>
      <c r="H440" s="34"/>
      <c r="I440" s="278"/>
      <c r="J440" s="50" t="str">
        <f t="shared" ca="1" si="14"/>
        <v/>
      </c>
      <c r="K440" s="50" t="str">
        <f ca="1">IFERROR(VLOOKUP($J440,Ref!$B$7:$C$9,2),"")</f>
        <v/>
      </c>
      <c r="L440" s="55"/>
      <c r="M440" s="34"/>
      <c r="N440" s="34"/>
      <c r="O440" s="34"/>
      <c r="P440" s="34"/>
      <c r="Q440" s="34"/>
      <c r="R440" s="34"/>
      <c r="S440" s="43"/>
      <c r="T440" s="43"/>
      <c r="U440" s="43"/>
      <c r="V440" s="58"/>
      <c r="W440" s="34"/>
      <c r="X440" s="34"/>
    </row>
    <row r="441" spans="1:24" x14ac:dyDescent="0.2">
      <c r="A441" s="132">
        <v>435</v>
      </c>
      <c r="B441" s="342"/>
      <c r="C441" s="34"/>
      <c r="D441" s="40" t="str">
        <f t="shared" si="13"/>
        <v>2002000435</v>
      </c>
      <c r="E441" s="34"/>
      <c r="F441" s="52"/>
      <c r="G441" s="34"/>
      <c r="H441" s="34"/>
      <c r="I441" s="278"/>
      <c r="J441" s="50" t="str">
        <f t="shared" ca="1" si="14"/>
        <v/>
      </c>
      <c r="K441" s="50" t="str">
        <f ca="1">IFERROR(VLOOKUP($J441,Ref!$B$7:$C$9,2),"")</f>
        <v/>
      </c>
      <c r="L441" s="55"/>
      <c r="M441" s="34"/>
      <c r="N441" s="34"/>
      <c r="O441" s="34"/>
      <c r="P441" s="34"/>
      <c r="Q441" s="34"/>
      <c r="R441" s="34"/>
      <c r="S441" s="43"/>
      <c r="T441" s="43"/>
      <c r="U441" s="43"/>
      <c r="V441" s="58"/>
      <c r="W441" s="34"/>
      <c r="X441" s="34"/>
    </row>
    <row r="442" spans="1:24" x14ac:dyDescent="0.2">
      <c r="A442" s="132">
        <v>436</v>
      </c>
      <c r="B442" s="342"/>
      <c r="C442" s="34"/>
      <c r="D442" s="40" t="str">
        <f t="shared" si="13"/>
        <v>2002000436</v>
      </c>
      <c r="E442" s="34"/>
      <c r="F442" s="52"/>
      <c r="G442" s="34"/>
      <c r="H442" s="34"/>
      <c r="I442" s="278"/>
      <c r="J442" s="50" t="str">
        <f t="shared" ca="1" si="14"/>
        <v/>
      </c>
      <c r="K442" s="50" t="str">
        <f ca="1">IFERROR(VLOOKUP($J442,Ref!$B$7:$C$9,2),"")</f>
        <v/>
      </c>
      <c r="L442" s="55"/>
      <c r="M442" s="34"/>
      <c r="N442" s="34"/>
      <c r="O442" s="34"/>
      <c r="P442" s="34"/>
      <c r="Q442" s="34"/>
      <c r="R442" s="34"/>
      <c r="S442" s="43"/>
      <c r="T442" s="43"/>
      <c r="U442" s="43"/>
      <c r="V442" s="58"/>
      <c r="W442" s="34"/>
      <c r="X442" s="34"/>
    </row>
    <row r="443" spans="1:24" x14ac:dyDescent="0.2">
      <c r="A443" s="132">
        <v>437</v>
      </c>
      <c r="B443" s="342"/>
      <c r="C443" s="34"/>
      <c r="D443" s="40" t="str">
        <f t="shared" si="13"/>
        <v>2002000437</v>
      </c>
      <c r="E443" s="34"/>
      <c r="F443" s="52"/>
      <c r="G443" s="34"/>
      <c r="H443" s="34"/>
      <c r="I443" s="278"/>
      <c r="J443" s="50" t="str">
        <f t="shared" ca="1" si="14"/>
        <v/>
      </c>
      <c r="K443" s="50" t="str">
        <f ca="1">IFERROR(VLOOKUP($J443,Ref!$B$7:$C$9,2),"")</f>
        <v/>
      </c>
      <c r="L443" s="55"/>
      <c r="M443" s="34"/>
      <c r="N443" s="34"/>
      <c r="O443" s="34"/>
      <c r="P443" s="34"/>
      <c r="Q443" s="34"/>
      <c r="R443" s="34"/>
      <c r="S443" s="43"/>
      <c r="T443" s="43"/>
      <c r="U443" s="43"/>
      <c r="V443" s="58"/>
      <c r="W443" s="34"/>
      <c r="X443" s="34"/>
    </row>
    <row r="444" spans="1:24" x14ac:dyDescent="0.2">
      <c r="A444" s="132">
        <v>438</v>
      </c>
      <c r="B444" s="342"/>
      <c r="C444" s="34"/>
      <c r="D444" s="40" t="str">
        <f t="shared" si="13"/>
        <v>2002000438</v>
      </c>
      <c r="E444" s="34"/>
      <c r="F444" s="52"/>
      <c r="G444" s="34"/>
      <c r="H444" s="34"/>
      <c r="I444" s="278"/>
      <c r="J444" s="50" t="str">
        <f t="shared" ca="1" si="14"/>
        <v/>
      </c>
      <c r="K444" s="50" t="str">
        <f ca="1">IFERROR(VLOOKUP($J444,Ref!$B$7:$C$9,2),"")</f>
        <v/>
      </c>
      <c r="L444" s="55"/>
      <c r="M444" s="34"/>
      <c r="N444" s="34"/>
      <c r="O444" s="34"/>
      <c r="P444" s="34"/>
      <c r="Q444" s="34"/>
      <c r="R444" s="34"/>
      <c r="S444" s="43"/>
      <c r="T444" s="43"/>
      <c r="U444" s="43"/>
      <c r="V444" s="58"/>
      <c r="W444" s="34"/>
      <c r="X444" s="34"/>
    </row>
    <row r="445" spans="1:24" x14ac:dyDescent="0.2">
      <c r="A445" s="132">
        <v>439</v>
      </c>
      <c r="B445" s="342"/>
      <c r="C445" s="34"/>
      <c r="D445" s="40" t="str">
        <f t="shared" si="13"/>
        <v>2002000439</v>
      </c>
      <c r="E445" s="34"/>
      <c r="F445" s="52"/>
      <c r="G445" s="34"/>
      <c r="H445" s="34"/>
      <c r="I445" s="278"/>
      <c r="J445" s="50" t="str">
        <f t="shared" ca="1" si="14"/>
        <v/>
      </c>
      <c r="K445" s="50" t="str">
        <f ca="1">IFERROR(VLOOKUP($J445,Ref!$B$7:$C$9,2),"")</f>
        <v/>
      </c>
      <c r="L445" s="55"/>
      <c r="M445" s="34"/>
      <c r="N445" s="34"/>
      <c r="O445" s="34"/>
      <c r="P445" s="34"/>
      <c r="Q445" s="34"/>
      <c r="R445" s="34"/>
      <c r="S445" s="43"/>
      <c r="T445" s="43"/>
      <c r="U445" s="43"/>
      <c r="V445" s="58"/>
      <c r="W445" s="34"/>
      <c r="X445" s="34"/>
    </row>
    <row r="446" spans="1:24" x14ac:dyDescent="0.2">
      <c r="A446" s="132">
        <v>440</v>
      </c>
      <c r="B446" s="342"/>
      <c r="C446" s="34"/>
      <c r="D446" s="40" t="str">
        <f t="shared" si="13"/>
        <v>2002000440</v>
      </c>
      <c r="E446" s="34"/>
      <c r="F446" s="52"/>
      <c r="G446" s="34"/>
      <c r="H446" s="34"/>
      <c r="I446" s="278"/>
      <c r="J446" s="50" t="str">
        <f t="shared" ca="1" si="14"/>
        <v/>
      </c>
      <c r="K446" s="50" t="str">
        <f ca="1">IFERROR(VLOOKUP($J446,Ref!$B$7:$C$9,2),"")</f>
        <v/>
      </c>
      <c r="L446" s="55"/>
      <c r="M446" s="34"/>
      <c r="N446" s="34"/>
      <c r="O446" s="34"/>
      <c r="P446" s="34"/>
      <c r="Q446" s="34"/>
      <c r="R446" s="34"/>
      <c r="S446" s="43"/>
      <c r="T446" s="43"/>
      <c r="U446" s="43"/>
      <c r="V446" s="58"/>
      <c r="W446" s="34"/>
      <c r="X446" s="34"/>
    </row>
    <row r="447" spans="1:24" x14ac:dyDescent="0.2">
      <c r="A447" s="132">
        <v>441</v>
      </c>
      <c r="B447" s="342"/>
      <c r="C447" s="34"/>
      <c r="D447" s="40" t="str">
        <f t="shared" si="13"/>
        <v>2002000441</v>
      </c>
      <c r="E447" s="34"/>
      <c r="F447" s="52"/>
      <c r="G447" s="34"/>
      <c r="H447" s="34"/>
      <c r="I447" s="278"/>
      <c r="J447" s="50" t="str">
        <f t="shared" ca="1" si="14"/>
        <v/>
      </c>
      <c r="K447" s="50" t="str">
        <f ca="1">IFERROR(VLOOKUP($J447,Ref!$B$7:$C$9,2),"")</f>
        <v/>
      </c>
      <c r="L447" s="55"/>
      <c r="M447" s="34"/>
      <c r="N447" s="34"/>
      <c r="O447" s="34"/>
      <c r="P447" s="34"/>
      <c r="Q447" s="34"/>
      <c r="R447" s="34"/>
      <c r="S447" s="43"/>
      <c r="T447" s="43"/>
      <c r="U447" s="43"/>
      <c r="V447" s="58"/>
      <c r="W447" s="34"/>
      <c r="X447" s="34"/>
    </row>
    <row r="448" spans="1:24" x14ac:dyDescent="0.2">
      <c r="A448" s="132">
        <v>442</v>
      </c>
      <c r="B448" s="342"/>
      <c r="C448" s="34"/>
      <c r="D448" s="40" t="str">
        <f t="shared" si="13"/>
        <v>2002000442</v>
      </c>
      <c r="E448" s="34"/>
      <c r="F448" s="52"/>
      <c r="G448" s="34"/>
      <c r="H448" s="34"/>
      <c r="I448" s="278"/>
      <c r="J448" s="50" t="str">
        <f t="shared" ca="1" si="14"/>
        <v/>
      </c>
      <c r="K448" s="50" t="str">
        <f ca="1">IFERROR(VLOOKUP($J448,Ref!$B$7:$C$9,2),"")</f>
        <v/>
      </c>
      <c r="L448" s="55"/>
      <c r="M448" s="34"/>
      <c r="N448" s="34"/>
      <c r="O448" s="34"/>
      <c r="P448" s="34"/>
      <c r="Q448" s="34"/>
      <c r="R448" s="34"/>
      <c r="S448" s="43"/>
      <c r="T448" s="43"/>
      <c r="U448" s="43"/>
      <c r="V448" s="58"/>
      <c r="W448" s="34"/>
      <c r="X448" s="34"/>
    </row>
    <row r="449" spans="1:24" x14ac:dyDescent="0.2">
      <c r="A449" s="132">
        <v>443</v>
      </c>
      <c r="B449" s="342"/>
      <c r="C449" s="34"/>
      <c r="D449" s="40" t="str">
        <f t="shared" si="13"/>
        <v>2002000443</v>
      </c>
      <c r="E449" s="34"/>
      <c r="F449" s="52"/>
      <c r="G449" s="34"/>
      <c r="H449" s="34"/>
      <c r="I449" s="278"/>
      <c r="J449" s="50" t="str">
        <f t="shared" ca="1" si="14"/>
        <v/>
      </c>
      <c r="K449" s="50" t="str">
        <f ca="1">IFERROR(VLOOKUP($J449,Ref!$B$7:$C$9,2),"")</f>
        <v/>
      </c>
      <c r="L449" s="55"/>
      <c r="M449" s="34"/>
      <c r="N449" s="34"/>
      <c r="O449" s="34"/>
      <c r="P449" s="34"/>
      <c r="Q449" s="34"/>
      <c r="R449" s="34"/>
      <c r="S449" s="43"/>
      <c r="T449" s="43"/>
      <c r="U449" s="43"/>
      <c r="V449" s="58"/>
      <c r="W449" s="34"/>
      <c r="X449" s="34"/>
    </row>
    <row r="450" spans="1:24" x14ac:dyDescent="0.2">
      <c r="A450" s="132">
        <v>444</v>
      </c>
      <c r="B450" s="342"/>
      <c r="C450" s="34"/>
      <c r="D450" s="40" t="str">
        <f t="shared" si="13"/>
        <v>2002000444</v>
      </c>
      <c r="E450" s="34"/>
      <c r="F450" s="52"/>
      <c r="G450" s="34"/>
      <c r="H450" s="34"/>
      <c r="I450" s="278"/>
      <c r="J450" s="50" t="str">
        <f t="shared" ca="1" si="14"/>
        <v/>
      </c>
      <c r="K450" s="50" t="str">
        <f ca="1">IFERROR(VLOOKUP($J450,Ref!$B$7:$C$9,2),"")</f>
        <v/>
      </c>
      <c r="L450" s="55"/>
      <c r="M450" s="34"/>
      <c r="N450" s="34"/>
      <c r="O450" s="34"/>
      <c r="P450" s="34"/>
      <c r="Q450" s="34"/>
      <c r="R450" s="34"/>
      <c r="S450" s="43"/>
      <c r="T450" s="43"/>
      <c r="U450" s="43"/>
      <c r="V450" s="58"/>
      <c r="W450" s="34"/>
      <c r="X450" s="34"/>
    </row>
    <row r="451" spans="1:24" x14ac:dyDescent="0.2">
      <c r="A451" s="132">
        <v>445</v>
      </c>
      <c r="B451" s="342"/>
      <c r="C451" s="34"/>
      <c r="D451" s="40" t="str">
        <f t="shared" si="13"/>
        <v>2002000445</v>
      </c>
      <c r="E451" s="34"/>
      <c r="F451" s="52"/>
      <c r="G451" s="34"/>
      <c r="H451" s="34"/>
      <c r="I451" s="278"/>
      <c r="J451" s="50" t="str">
        <f t="shared" ca="1" si="14"/>
        <v/>
      </c>
      <c r="K451" s="50" t="str">
        <f ca="1">IFERROR(VLOOKUP($J451,Ref!$B$7:$C$9,2),"")</f>
        <v/>
      </c>
      <c r="L451" s="55"/>
      <c r="M451" s="34"/>
      <c r="N451" s="34"/>
      <c r="O451" s="34"/>
      <c r="P451" s="34"/>
      <c r="Q451" s="34"/>
      <c r="R451" s="34"/>
      <c r="S451" s="43"/>
      <c r="T451" s="43"/>
      <c r="U451" s="43"/>
      <c r="V451" s="58"/>
      <c r="W451" s="34"/>
      <c r="X451" s="34"/>
    </row>
    <row r="452" spans="1:24" x14ac:dyDescent="0.2">
      <c r="A452" s="132">
        <v>446</v>
      </c>
      <c r="B452" s="342"/>
      <c r="C452" s="34"/>
      <c r="D452" s="40" t="str">
        <f t="shared" si="13"/>
        <v>2002000446</v>
      </c>
      <c r="E452" s="34"/>
      <c r="F452" s="52"/>
      <c r="G452" s="34"/>
      <c r="H452" s="34"/>
      <c r="I452" s="278"/>
      <c r="J452" s="50" t="str">
        <f t="shared" ca="1" si="14"/>
        <v/>
      </c>
      <c r="K452" s="50" t="str">
        <f ca="1">IFERROR(VLOOKUP($J452,Ref!$B$7:$C$9,2),"")</f>
        <v/>
      </c>
      <c r="L452" s="55"/>
      <c r="M452" s="34"/>
      <c r="N452" s="34"/>
      <c r="O452" s="34"/>
      <c r="P452" s="34"/>
      <c r="Q452" s="34"/>
      <c r="R452" s="34"/>
      <c r="S452" s="43"/>
      <c r="T452" s="43"/>
      <c r="U452" s="43"/>
      <c r="V452" s="58"/>
      <c r="W452" s="34"/>
      <c r="X452" s="34"/>
    </row>
    <row r="453" spans="1:24" x14ac:dyDescent="0.2">
      <c r="A453" s="132">
        <v>447</v>
      </c>
      <c r="B453" s="342"/>
      <c r="C453" s="34"/>
      <c r="D453" s="40" t="str">
        <f t="shared" si="13"/>
        <v>2002000447</v>
      </c>
      <c r="E453" s="34"/>
      <c r="F453" s="52"/>
      <c r="G453" s="34"/>
      <c r="H453" s="34"/>
      <c r="I453" s="278"/>
      <c r="J453" s="50" t="str">
        <f t="shared" ca="1" si="14"/>
        <v/>
      </c>
      <c r="K453" s="50" t="str">
        <f ca="1">IFERROR(VLOOKUP($J453,Ref!$B$7:$C$9,2),"")</f>
        <v/>
      </c>
      <c r="L453" s="55"/>
      <c r="M453" s="34"/>
      <c r="N453" s="34"/>
      <c r="O453" s="34"/>
      <c r="P453" s="34"/>
      <c r="Q453" s="34"/>
      <c r="R453" s="34"/>
      <c r="S453" s="43"/>
      <c r="T453" s="43"/>
      <c r="U453" s="43"/>
      <c r="V453" s="58"/>
      <c r="W453" s="34"/>
      <c r="X453" s="34"/>
    </row>
    <row r="454" spans="1:24" x14ac:dyDescent="0.2">
      <c r="A454" s="132">
        <v>448</v>
      </c>
      <c r="B454" s="342"/>
      <c r="C454" s="34"/>
      <c r="D454" s="40" t="str">
        <f t="shared" si="13"/>
        <v>2002000448</v>
      </c>
      <c r="E454" s="34"/>
      <c r="F454" s="52"/>
      <c r="G454" s="34"/>
      <c r="H454" s="34"/>
      <c r="I454" s="278"/>
      <c r="J454" s="50" t="str">
        <f t="shared" ca="1" si="14"/>
        <v/>
      </c>
      <c r="K454" s="50" t="str">
        <f ca="1">IFERROR(VLOOKUP($J454,Ref!$B$7:$C$9,2),"")</f>
        <v/>
      </c>
      <c r="L454" s="55"/>
      <c r="M454" s="34"/>
      <c r="N454" s="34"/>
      <c r="O454" s="34"/>
      <c r="P454" s="34"/>
      <c r="Q454" s="34"/>
      <c r="R454" s="34"/>
      <c r="S454" s="43"/>
      <c r="T454" s="43"/>
      <c r="U454" s="43"/>
      <c r="V454" s="58"/>
      <c r="W454" s="34"/>
      <c r="X454" s="34"/>
    </row>
    <row r="455" spans="1:24" x14ac:dyDescent="0.2">
      <c r="A455" s="132">
        <v>449</v>
      </c>
      <c r="B455" s="342"/>
      <c r="C455" s="34"/>
      <c r="D455" s="40" t="str">
        <f t="shared" si="13"/>
        <v>2002000449</v>
      </c>
      <c r="E455" s="34"/>
      <c r="F455" s="52"/>
      <c r="G455" s="34"/>
      <c r="H455" s="34"/>
      <c r="I455" s="278"/>
      <c r="J455" s="50" t="str">
        <f t="shared" ca="1" si="14"/>
        <v/>
      </c>
      <c r="K455" s="50" t="str">
        <f ca="1">IFERROR(VLOOKUP($J455,Ref!$B$7:$C$9,2),"")</f>
        <v/>
      </c>
      <c r="L455" s="55"/>
      <c r="M455" s="34"/>
      <c r="N455" s="34"/>
      <c r="O455" s="34"/>
      <c r="P455" s="34"/>
      <c r="Q455" s="34"/>
      <c r="R455" s="34"/>
      <c r="S455" s="43"/>
      <c r="T455" s="43"/>
      <c r="U455" s="43"/>
      <c r="V455" s="58"/>
      <c r="W455" s="34"/>
      <c r="X455" s="34"/>
    </row>
    <row r="456" spans="1:24" x14ac:dyDescent="0.2">
      <c r="A456" s="132">
        <v>450</v>
      </c>
      <c r="B456" s="342"/>
      <c r="C456" s="34"/>
      <c r="D456" s="40" t="str">
        <f t="shared" ref="D456:D519" si="15">IF(A456="","",LEFT($C$3,LEN($C$3)-LEN(A456))&amp;A456)</f>
        <v>2002000450</v>
      </c>
      <c r="E456" s="34"/>
      <c r="F456" s="52"/>
      <c r="G456" s="34"/>
      <c r="H456" s="34"/>
      <c r="I456" s="278"/>
      <c r="J456" s="50" t="str">
        <f t="shared" ca="1" si="14"/>
        <v/>
      </c>
      <c r="K456" s="50" t="str">
        <f ca="1">IFERROR(VLOOKUP($J456,Ref!$B$7:$C$9,2),"")</f>
        <v/>
      </c>
      <c r="L456" s="55"/>
      <c r="M456" s="34"/>
      <c r="N456" s="34"/>
      <c r="O456" s="34"/>
      <c r="P456" s="34"/>
      <c r="Q456" s="34"/>
      <c r="R456" s="34"/>
      <c r="S456" s="43"/>
      <c r="T456" s="43"/>
      <c r="U456" s="43"/>
      <c r="V456" s="58"/>
      <c r="W456" s="34"/>
      <c r="X456" s="34"/>
    </row>
    <row r="457" spans="1:24" x14ac:dyDescent="0.2">
      <c r="A457" s="132">
        <v>451</v>
      </c>
      <c r="B457" s="342"/>
      <c r="C457" s="34"/>
      <c r="D457" s="40" t="str">
        <f t="shared" si="15"/>
        <v>2002000451</v>
      </c>
      <c r="E457" s="34"/>
      <c r="F457" s="52"/>
      <c r="G457" s="34"/>
      <c r="H457" s="34"/>
      <c r="I457" s="278"/>
      <c r="J457" s="50" t="str">
        <f t="shared" ca="1" si="14"/>
        <v/>
      </c>
      <c r="K457" s="50" t="str">
        <f ca="1">IFERROR(VLOOKUP($J457,Ref!$B$7:$C$9,2),"")</f>
        <v/>
      </c>
      <c r="L457" s="55"/>
      <c r="M457" s="34"/>
      <c r="N457" s="34"/>
      <c r="O457" s="34"/>
      <c r="P457" s="34"/>
      <c r="Q457" s="34"/>
      <c r="R457" s="34"/>
      <c r="S457" s="43"/>
      <c r="T457" s="43"/>
      <c r="U457" s="43"/>
      <c r="V457" s="58"/>
      <c r="W457" s="34"/>
      <c r="X457" s="34"/>
    </row>
    <row r="458" spans="1:24" x14ac:dyDescent="0.2">
      <c r="A458" s="132">
        <v>452</v>
      </c>
      <c r="B458" s="342"/>
      <c r="C458" s="34"/>
      <c r="D458" s="40" t="str">
        <f t="shared" si="15"/>
        <v>2002000452</v>
      </c>
      <c r="E458" s="34"/>
      <c r="F458" s="52"/>
      <c r="G458" s="34"/>
      <c r="H458" s="34"/>
      <c r="I458" s="278"/>
      <c r="J458" s="50" t="str">
        <f t="shared" ca="1" si="14"/>
        <v/>
      </c>
      <c r="K458" s="50" t="str">
        <f ca="1">IFERROR(VLOOKUP($J458,Ref!$B$7:$C$9,2),"")</f>
        <v/>
      </c>
      <c r="L458" s="55"/>
      <c r="M458" s="34"/>
      <c r="N458" s="34"/>
      <c r="O458" s="34"/>
      <c r="P458" s="34"/>
      <c r="Q458" s="34"/>
      <c r="R458" s="34"/>
      <c r="S458" s="43"/>
      <c r="T458" s="43"/>
      <c r="U458" s="43"/>
      <c r="V458" s="58"/>
      <c r="W458" s="34"/>
      <c r="X458" s="34"/>
    </row>
    <row r="459" spans="1:24" x14ac:dyDescent="0.2">
      <c r="A459" s="132">
        <v>453</v>
      </c>
      <c r="B459" s="342"/>
      <c r="C459" s="34"/>
      <c r="D459" s="40" t="str">
        <f t="shared" si="15"/>
        <v>2002000453</v>
      </c>
      <c r="E459" s="34"/>
      <c r="F459" s="52"/>
      <c r="G459" s="34"/>
      <c r="H459" s="34"/>
      <c r="I459" s="278"/>
      <c r="J459" s="50" t="str">
        <f t="shared" ca="1" si="14"/>
        <v/>
      </c>
      <c r="K459" s="50" t="str">
        <f ca="1">IFERROR(VLOOKUP($J459,Ref!$B$7:$C$9,2),"")</f>
        <v/>
      </c>
      <c r="L459" s="55"/>
      <c r="M459" s="34"/>
      <c r="N459" s="34"/>
      <c r="O459" s="34"/>
      <c r="P459" s="34"/>
      <c r="Q459" s="34"/>
      <c r="R459" s="34"/>
      <c r="S459" s="43"/>
      <c r="T459" s="43"/>
      <c r="U459" s="43"/>
      <c r="V459" s="58"/>
      <c r="W459" s="34"/>
      <c r="X459" s="34"/>
    </row>
    <row r="460" spans="1:24" x14ac:dyDescent="0.2">
      <c r="A460" s="132">
        <v>454</v>
      </c>
      <c r="B460" s="342"/>
      <c r="C460" s="34"/>
      <c r="D460" s="40" t="str">
        <f t="shared" si="15"/>
        <v>2002000454</v>
      </c>
      <c r="E460" s="34"/>
      <c r="F460" s="52"/>
      <c r="G460" s="34"/>
      <c r="H460" s="34"/>
      <c r="I460" s="278"/>
      <c r="J460" s="50" t="str">
        <f t="shared" ca="1" si="14"/>
        <v/>
      </c>
      <c r="K460" s="50" t="str">
        <f ca="1">IFERROR(VLOOKUP($J460,Ref!$B$7:$C$9,2),"")</f>
        <v/>
      </c>
      <c r="L460" s="55"/>
      <c r="M460" s="34"/>
      <c r="N460" s="34"/>
      <c r="O460" s="34"/>
      <c r="P460" s="34"/>
      <c r="Q460" s="34"/>
      <c r="R460" s="34"/>
      <c r="S460" s="43"/>
      <c r="T460" s="43"/>
      <c r="U460" s="43"/>
      <c r="V460" s="58"/>
      <c r="W460" s="34"/>
      <c r="X460" s="34"/>
    </row>
    <row r="461" spans="1:24" x14ac:dyDescent="0.2">
      <c r="A461" s="132">
        <v>455</v>
      </c>
      <c r="B461" s="342"/>
      <c r="C461" s="34"/>
      <c r="D461" s="40" t="str">
        <f t="shared" si="15"/>
        <v>2002000455</v>
      </c>
      <c r="E461" s="34"/>
      <c r="F461" s="52"/>
      <c r="G461" s="34"/>
      <c r="H461" s="34"/>
      <c r="I461" s="278"/>
      <c r="J461" s="50" t="str">
        <f t="shared" ca="1" si="14"/>
        <v/>
      </c>
      <c r="K461" s="50" t="str">
        <f ca="1">IFERROR(VLOOKUP($J461,Ref!$B$7:$C$9,2),"")</f>
        <v/>
      </c>
      <c r="L461" s="55"/>
      <c r="M461" s="34"/>
      <c r="N461" s="34"/>
      <c r="O461" s="34"/>
      <c r="P461" s="34"/>
      <c r="Q461" s="34"/>
      <c r="R461" s="34"/>
      <c r="S461" s="43"/>
      <c r="T461" s="43"/>
      <c r="U461" s="43"/>
      <c r="V461" s="58"/>
      <c r="W461" s="34"/>
      <c r="X461" s="34"/>
    </row>
    <row r="462" spans="1:24" x14ac:dyDescent="0.2">
      <c r="A462" s="132">
        <v>456</v>
      </c>
      <c r="B462" s="342"/>
      <c r="C462" s="34"/>
      <c r="D462" s="40" t="str">
        <f t="shared" si="15"/>
        <v>2002000456</v>
      </c>
      <c r="E462" s="34"/>
      <c r="F462" s="52"/>
      <c r="G462" s="34"/>
      <c r="H462" s="34"/>
      <c r="I462" s="278"/>
      <c r="J462" s="50" t="str">
        <f t="shared" ca="1" si="14"/>
        <v/>
      </c>
      <c r="K462" s="50" t="str">
        <f ca="1">IFERROR(VLOOKUP($J462,Ref!$B$7:$C$9,2),"")</f>
        <v/>
      </c>
      <c r="L462" s="55"/>
      <c r="M462" s="34"/>
      <c r="N462" s="34"/>
      <c r="O462" s="34"/>
      <c r="P462" s="34"/>
      <c r="Q462" s="34"/>
      <c r="R462" s="34"/>
      <c r="S462" s="43"/>
      <c r="T462" s="43"/>
      <c r="U462" s="43"/>
      <c r="V462" s="58"/>
      <c r="W462" s="34"/>
      <c r="X462" s="34"/>
    </row>
    <row r="463" spans="1:24" x14ac:dyDescent="0.2">
      <c r="A463" s="132">
        <v>457</v>
      </c>
      <c r="B463" s="342"/>
      <c r="C463" s="34"/>
      <c r="D463" s="40" t="str">
        <f t="shared" si="15"/>
        <v>2002000457</v>
      </c>
      <c r="E463" s="34"/>
      <c r="F463" s="52"/>
      <c r="G463" s="34"/>
      <c r="H463" s="34"/>
      <c r="I463" s="278"/>
      <c r="J463" s="50" t="str">
        <f t="shared" ca="1" si="14"/>
        <v/>
      </c>
      <c r="K463" s="50" t="str">
        <f ca="1">IFERROR(VLOOKUP($J463,Ref!$B$7:$C$9,2),"")</f>
        <v/>
      </c>
      <c r="L463" s="55"/>
      <c r="M463" s="34"/>
      <c r="N463" s="34"/>
      <c r="O463" s="34"/>
      <c r="P463" s="34"/>
      <c r="Q463" s="34"/>
      <c r="R463" s="34"/>
      <c r="S463" s="43"/>
      <c r="T463" s="43"/>
      <c r="U463" s="43"/>
      <c r="V463" s="58"/>
      <c r="W463" s="34"/>
      <c r="X463" s="34"/>
    </row>
    <row r="464" spans="1:24" x14ac:dyDescent="0.2">
      <c r="A464" s="132">
        <v>458</v>
      </c>
      <c r="B464" s="342"/>
      <c r="C464" s="34"/>
      <c r="D464" s="40" t="str">
        <f t="shared" si="15"/>
        <v>2002000458</v>
      </c>
      <c r="E464" s="34"/>
      <c r="F464" s="52"/>
      <c r="G464" s="34"/>
      <c r="H464" s="34"/>
      <c r="I464" s="278"/>
      <c r="J464" s="50" t="str">
        <f t="shared" ca="1" si="14"/>
        <v/>
      </c>
      <c r="K464" s="50" t="str">
        <f ca="1">IFERROR(VLOOKUP($J464,Ref!$B$7:$C$9,2),"")</f>
        <v/>
      </c>
      <c r="L464" s="55"/>
      <c r="M464" s="34"/>
      <c r="N464" s="34"/>
      <c r="O464" s="34"/>
      <c r="P464" s="34"/>
      <c r="Q464" s="34"/>
      <c r="R464" s="34"/>
      <c r="S464" s="43"/>
      <c r="T464" s="43"/>
      <c r="U464" s="43"/>
      <c r="V464" s="58"/>
      <c r="W464" s="34"/>
      <c r="X464" s="34"/>
    </row>
    <row r="465" spans="1:24" x14ac:dyDescent="0.2">
      <c r="A465" s="132">
        <v>459</v>
      </c>
      <c r="B465" s="342"/>
      <c r="C465" s="34"/>
      <c r="D465" s="40" t="str">
        <f t="shared" si="15"/>
        <v>2002000459</v>
      </c>
      <c r="E465" s="34"/>
      <c r="F465" s="52"/>
      <c r="G465" s="34"/>
      <c r="H465" s="34"/>
      <c r="I465" s="278"/>
      <c r="J465" s="50" t="str">
        <f t="shared" ca="1" si="14"/>
        <v/>
      </c>
      <c r="K465" s="50" t="str">
        <f ca="1">IFERROR(VLOOKUP($J465,Ref!$B$7:$C$9,2),"")</f>
        <v/>
      </c>
      <c r="L465" s="55"/>
      <c r="M465" s="34"/>
      <c r="N465" s="34"/>
      <c r="O465" s="34"/>
      <c r="P465" s="34"/>
      <c r="Q465" s="34"/>
      <c r="R465" s="34"/>
      <c r="S465" s="43"/>
      <c r="T465" s="43"/>
      <c r="U465" s="43"/>
      <c r="V465" s="58"/>
      <c r="W465" s="34"/>
      <c r="X465" s="34"/>
    </row>
    <row r="466" spans="1:24" x14ac:dyDescent="0.2">
      <c r="A466" s="132">
        <v>460</v>
      </c>
      <c r="B466" s="342"/>
      <c r="C466" s="34"/>
      <c r="D466" s="40" t="str">
        <f t="shared" si="15"/>
        <v>2002000460</v>
      </c>
      <c r="E466" s="34"/>
      <c r="F466" s="52"/>
      <c r="G466" s="34"/>
      <c r="H466" s="34"/>
      <c r="I466" s="278"/>
      <c r="J466" s="50" t="str">
        <f t="shared" ca="1" si="14"/>
        <v/>
      </c>
      <c r="K466" s="50" t="str">
        <f ca="1">IFERROR(VLOOKUP($J466,Ref!$B$7:$C$9,2),"")</f>
        <v/>
      </c>
      <c r="L466" s="55"/>
      <c r="M466" s="34"/>
      <c r="N466" s="34"/>
      <c r="O466" s="34"/>
      <c r="P466" s="34"/>
      <c r="Q466" s="34"/>
      <c r="R466" s="34"/>
      <c r="S466" s="43"/>
      <c r="T466" s="43"/>
      <c r="U466" s="43"/>
      <c r="V466" s="58"/>
      <c r="W466" s="34"/>
      <c r="X466" s="34"/>
    </row>
    <row r="467" spans="1:24" x14ac:dyDescent="0.2">
      <c r="A467" s="132">
        <v>461</v>
      </c>
      <c r="B467" s="342"/>
      <c r="C467" s="34"/>
      <c r="D467" s="40" t="str">
        <f t="shared" si="15"/>
        <v>2002000461</v>
      </c>
      <c r="E467" s="34"/>
      <c r="F467" s="52"/>
      <c r="G467" s="34"/>
      <c r="H467" s="34"/>
      <c r="I467" s="278"/>
      <c r="J467" s="50" t="str">
        <f t="shared" ca="1" si="14"/>
        <v/>
      </c>
      <c r="K467" s="50" t="str">
        <f ca="1">IFERROR(VLOOKUP($J467,Ref!$B$7:$C$9,2),"")</f>
        <v/>
      </c>
      <c r="L467" s="55"/>
      <c r="M467" s="34"/>
      <c r="N467" s="34"/>
      <c r="O467" s="34"/>
      <c r="P467" s="34"/>
      <c r="Q467" s="34"/>
      <c r="R467" s="34"/>
      <c r="S467" s="43"/>
      <c r="T467" s="43"/>
      <c r="U467" s="43"/>
      <c r="V467" s="58"/>
      <c r="W467" s="34"/>
      <c r="X467" s="34"/>
    </row>
    <row r="468" spans="1:24" x14ac:dyDescent="0.2">
      <c r="A468" s="132">
        <v>462</v>
      </c>
      <c r="B468" s="342"/>
      <c r="C468" s="34"/>
      <c r="D468" s="40" t="str">
        <f t="shared" si="15"/>
        <v>2002000462</v>
      </c>
      <c r="E468" s="34"/>
      <c r="F468" s="52"/>
      <c r="G468" s="34"/>
      <c r="H468" s="34"/>
      <c r="I468" s="278"/>
      <c r="J468" s="50" t="str">
        <f t="shared" ca="1" si="14"/>
        <v/>
      </c>
      <c r="K468" s="50" t="str">
        <f ca="1">IFERROR(VLOOKUP($J468,Ref!$B$7:$C$9,2),"")</f>
        <v/>
      </c>
      <c r="L468" s="55"/>
      <c r="M468" s="34"/>
      <c r="N468" s="34"/>
      <c r="O468" s="34"/>
      <c r="P468" s="34"/>
      <c r="Q468" s="34"/>
      <c r="R468" s="34"/>
      <c r="S468" s="43"/>
      <c r="T468" s="43"/>
      <c r="U468" s="43"/>
      <c r="V468" s="58"/>
      <c r="W468" s="34"/>
      <c r="X468" s="34"/>
    </row>
    <row r="469" spans="1:24" x14ac:dyDescent="0.2">
      <c r="A469" s="132">
        <v>463</v>
      </c>
      <c r="B469" s="342"/>
      <c r="C469" s="34"/>
      <c r="D469" s="40" t="str">
        <f t="shared" si="15"/>
        <v>2002000463</v>
      </c>
      <c r="E469" s="34"/>
      <c r="F469" s="52"/>
      <c r="G469" s="34"/>
      <c r="H469" s="34"/>
      <c r="I469" s="278"/>
      <c r="J469" s="50" t="str">
        <f t="shared" ca="1" si="14"/>
        <v/>
      </c>
      <c r="K469" s="50" t="str">
        <f ca="1">IFERROR(VLOOKUP($J469,Ref!$B$7:$C$9,2),"")</f>
        <v/>
      </c>
      <c r="L469" s="55"/>
      <c r="M469" s="34"/>
      <c r="N469" s="34"/>
      <c r="O469" s="34"/>
      <c r="P469" s="34"/>
      <c r="Q469" s="34"/>
      <c r="R469" s="34"/>
      <c r="S469" s="43"/>
      <c r="T469" s="43"/>
      <c r="U469" s="43"/>
      <c r="V469" s="58"/>
      <c r="W469" s="34"/>
      <c r="X469" s="34"/>
    </row>
    <row r="470" spans="1:24" x14ac:dyDescent="0.2">
      <c r="A470" s="132">
        <v>464</v>
      </c>
      <c r="B470" s="342"/>
      <c r="C470" s="34"/>
      <c r="D470" s="40" t="str">
        <f t="shared" si="15"/>
        <v>2002000464</v>
      </c>
      <c r="E470" s="34"/>
      <c r="F470" s="52"/>
      <c r="G470" s="34"/>
      <c r="H470" s="34"/>
      <c r="I470" s="278"/>
      <c r="J470" s="50" t="str">
        <f t="shared" ca="1" si="14"/>
        <v/>
      </c>
      <c r="K470" s="50" t="str">
        <f ca="1">IFERROR(VLOOKUP($J470,Ref!$B$7:$C$9,2),"")</f>
        <v/>
      </c>
      <c r="L470" s="55"/>
      <c r="M470" s="34"/>
      <c r="N470" s="34"/>
      <c r="O470" s="34"/>
      <c r="P470" s="34"/>
      <c r="Q470" s="34"/>
      <c r="R470" s="34"/>
      <c r="S470" s="43"/>
      <c r="T470" s="43"/>
      <c r="U470" s="43"/>
      <c r="V470" s="58"/>
      <c r="W470" s="34"/>
      <c r="X470" s="34"/>
    </row>
    <row r="471" spans="1:24" x14ac:dyDescent="0.2">
      <c r="A471" s="132">
        <v>465</v>
      </c>
      <c r="B471" s="342"/>
      <c r="C471" s="34"/>
      <c r="D471" s="40" t="str">
        <f t="shared" si="15"/>
        <v>2002000465</v>
      </c>
      <c r="E471" s="34"/>
      <c r="F471" s="52"/>
      <c r="G471" s="34"/>
      <c r="H471" s="34"/>
      <c r="I471" s="278"/>
      <c r="J471" s="50" t="str">
        <f t="shared" ca="1" si="14"/>
        <v/>
      </c>
      <c r="K471" s="50" t="str">
        <f ca="1">IFERROR(VLOOKUP($J471,Ref!$B$7:$C$9,2),"")</f>
        <v/>
      </c>
      <c r="L471" s="55"/>
      <c r="M471" s="34"/>
      <c r="N471" s="34"/>
      <c r="O471" s="34"/>
      <c r="P471" s="34"/>
      <c r="Q471" s="34"/>
      <c r="R471" s="34"/>
      <c r="S471" s="43"/>
      <c r="T471" s="43"/>
      <c r="U471" s="43"/>
      <c r="V471" s="58"/>
      <c r="W471" s="34"/>
      <c r="X471" s="34"/>
    </row>
    <row r="472" spans="1:24" x14ac:dyDescent="0.2">
      <c r="A472" s="132">
        <v>466</v>
      </c>
      <c r="B472" s="342"/>
      <c r="C472" s="34"/>
      <c r="D472" s="40" t="str">
        <f t="shared" si="15"/>
        <v>2002000466</v>
      </c>
      <c r="E472" s="34"/>
      <c r="F472" s="52"/>
      <c r="G472" s="34"/>
      <c r="H472" s="34"/>
      <c r="I472" s="278"/>
      <c r="J472" s="50" t="str">
        <f t="shared" ref="J472:J535" ca="1" si="16">IF(I472="","",(TODAY()-$I472)/365)</f>
        <v/>
      </c>
      <c r="K472" s="50" t="str">
        <f ca="1">IFERROR(VLOOKUP($J472,Ref!$B$7:$C$9,2),"")</f>
        <v/>
      </c>
      <c r="L472" s="55"/>
      <c r="M472" s="34"/>
      <c r="N472" s="34"/>
      <c r="O472" s="34"/>
      <c r="P472" s="34"/>
      <c r="Q472" s="34"/>
      <c r="R472" s="34"/>
      <c r="S472" s="43"/>
      <c r="T472" s="43"/>
      <c r="U472" s="43"/>
      <c r="V472" s="58"/>
      <c r="W472" s="34"/>
      <c r="X472" s="34"/>
    </row>
    <row r="473" spans="1:24" x14ac:dyDescent="0.2">
      <c r="A473" s="132">
        <v>467</v>
      </c>
      <c r="B473" s="342"/>
      <c r="C473" s="34"/>
      <c r="D473" s="40" t="str">
        <f t="shared" si="15"/>
        <v>2002000467</v>
      </c>
      <c r="E473" s="34"/>
      <c r="F473" s="52"/>
      <c r="G473" s="34"/>
      <c r="H473" s="34"/>
      <c r="I473" s="278"/>
      <c r="J473" s="50" t="str">
        <f t="shared" ca="1" si="16"/>
        <v/>
      </c>
      <c r="K473" s="50" t="str">
        <f ca="1">IFERROR(VLOOKUP($J473,Ref!$B$7:$C$9,2),"")</f>
        <v/>
      </c>
      <c r="L473" s="55"/>
      <c r="M473" s="34"/>
      <c r="N473" s="34"/>
      <c r="O473" s="34"/>
      <c r="P473" s="34"/>
      <c r="Q473" s="34"/>
      <c r="R473" s="34"/>
      <c r="S473" s="43"/>
      <c r="T473" s="43"/>
      <c r="U473" s="43"/>
      <c r="V473" s="58"/>
      <c r="W473" s="34"/>
      <c r="X473" s="34"/>
    </row>
    <row r="474" spans="1:24" x14ac:dyDescent="0.2">
      <c r="A474" s="132">
        <v>468</v>
      </c>
      <c r="B474" s="342"/>
      <c r="C474" s="34"/>
      <c r="D474" s="40" t="str">
        <f t="shared" si="15"/>
        <v>2002000468</v>
      </c>
      <c r="E474" s="34"/>
      <c r="F474" s="52"/>
      <c r="G474" s="34"/>
      <c r="H474" s="34"/>
      <c r="I474" s="278"/>
      <c r="J474" s="50" t="str">
        <f t="shared" ca="1" si="16"/>
        <v/>
      </c>
      <c r="K474" s="50" t="str">
        <f ca="1">IFERROR(VLOOKUP($J474,Ref!$B$7:$C$9,2),"")</f>
        <v/>
      </c>
      <c r="L474" s="55"/>
      <c r="M474" s="34"/>
      <c r="N474" s="34"/>
      <c r="O474" s="34"/>
      <c r="P474" s="34"/>
      <c r="Q474" s="34"/>
      <c r="R474" s="34"/>
      <c r="S474" s="43"/>
      <c r="T474" s="43"/>
      <c r="U474" s="43"/>
      <c r="V474" s="58"/>
      <c r="W474" s="34"/>
      <c r="X474" s="34"/>
    </row>
    <row r="475" spans="1:24" x14ac:dyDescent="0.2">
      <c r="A475" s="132">
        <v>469</v>
      </c>
      <c r="B475" s="342"/>
      <c r="C475" s="34"/>
      <c r="D475" s="40" t="str">
        <f t="shared" si="15"/>
        <v>2002000469</v>
      </c>
      <c r="E475" s="34"/>
      <c r="F475" s="52"/>
      <c r="G475" s="34"/>
      <c r="H475" s="34"/>
      <c r="I475" s="278"/>
      <c r="J475" s="50" t="str">
        <f t="shared" ca="1" si="16"/>
        <v/>
      </c>
      <c r="K475" s="50" t="str">
        <f ca="1">IFERROR(VLOOKUP($J475,Ref!$B$7:$C$9,2),"")</f>
        <v/>
      </c>
      <c r="L475" s="55"/>
      <c r="M475" s="34"/>
      <c r="N475" s="34"/>
      <c r="O475" s="34"/>
      <c r="P475" s="34"/>
      <c r="Q475" s="34"/>
      <c r="R475" s="34"/>
      <c r="S475" s="43"/>
      <c r="T475" s="43"/>
      <c r="U475" s="43"/>
      <c r="V475" s="58"/>
      <c r="W475" s="34"/>
      <c r="X475" s="34"/>
    </row>
    <row r="476" spans="1:24" x14ac:dyDescent="0.2">
      <c r="A476" s="132">
        <v>470</v>
      </c>
      <c r="B476" s="342"/>
      <c r="C476" s="34"/>
      <c r="D476" s="40" t="str">
        <f t="shared" si="15"/>
        <v>2002000470</v>
      </c>
      <c r="E476" s="34"/>
      <c r="F476" s="52"/>
      <c r="G476" s="34"/>
      <c r="H476" s="34"/>
      <c r="I476" s="278"/>
      <c r="J476" s="50" t="str">
        <f t="shared" ca="1" si="16"/>
        <v/>
      </c>
      <c r="K476" s="50" t="str">
        <f ca="1">IFERROR(VLOOKUP($J476,Ref!$B$7:$C$9,2),"")</f>
        <v/>
      </c>
      <c r="L476" s="55"/>
      <c r="M476" s="34"/>
      <c r="N476" s="34"/>
      <c r="O476" s="34"/>
      <c r="P476" s="34"/>
      <c r="Q476" s="34"/>
      <c r="R476" s="34"/>
      <c r="S476" s="43"/>
      <c r="T476" s="43"/>
      <c r="U476" s="43"/>
      <c r="V476" s="58"/>
      <c r="W476" s="34"/>
      <c r="X476" s="34"/>
    </row>
    <row r="477" spans="1:24" x14ac:dyDescent="0.2">
      <c r="A477" s="132">
        <v>471</v>
      </c>
      <c r="B477" s="342"/>
      <c r="C477" s="34"/>
      <c r="D477" s="40" t="str">
        <f t="shared" si="15"/>
        <v>2002000471</v>
      </c>
      <c r="E477" s="34"/>
      <c r="F477" s="52"/>
      <c r="G477" s="34"/>
      <c r="H477" s="34"/>
      <c r="I477" s="278"/>
      <c r="J477" s="50" t="str">
        <f t="shared" ca="1" si="16"/>
        <v/>
      </c>
      <c r="K477" s="50" t="str">
        <f ca="1">IFERROR(VLOOKUP($J477,Ref!$B$7:$C$9,2),"")</f>
        <v/>
      </c>
      <c r="L477" s="55"/>
      <c r="M477" s="34"/>
      <c r="N477" s="34"/>
      <c r="O477" s="34"/>
      <c r="P477" s="34"/>
      <c r="Q477" s="34"/>
      <c r="R477" s="34"/>
      <c r="S477" s="43"/>
      <c r="T477" s="43"/>
      <c r="U477" s="43"/>
      <c r="V477" s="58"/>
      <c r="W477" s="34"/>
      <c r="X477" s="34"/>
    </row>
    <row r="478" spans="1:24" x14ac:dyDescent="0.2">
      <c r="A478" s="132">
        <v>472</v>
      </c>
      <c r="B478" s="342"/>
      <c r="C478" s="34"/>
      <c r="D478" s="40" t="str">
        <f t="shared" si="15"/>
        <v>2002000472</v>
      </c>
      <c r="E478" s="34"/>
      <c r="F478" s="52"/>
      <c r="G478" s="34"/>
      <c r="H478" s="34"/>
      <c r="I478" s="278"/>
      <c r="J478" s="50" t="str">
        <f t="shared" ca="1" si="16"/>
        <v/>
      </c>
      <c r="K478" s="50" t="str">
        <f ca="1">IFERROR(VLOOKUP($J478,Ref!$B$7:$C$9,2),"")</f>
        <v/>
      </c>
      <c r="L478" s="55"/>
      <c r="M478" s="34"/>
      <c r="N478" s="34"/>
      <c r="O478" s="34"/>
      <c r="P478" s="34"/>
      <c r="Q478" s="34"/>
      <c r="R478" s="34"/>
      <c r="S478" s="43"/>
      <c r="T478" s="43"/>
      <c r="U478" s="43"/>
      <c r="V478" s="58"/>
      <c r="W478" s="34"/>
      <c r="X478" s="34"/>
    </row>
    <row r="479" spans="1:24" x14ac:dyDescent="0.2">
      <c r="A479" s="132">
        <v>473</v>
      </c>
      <c r="B479" s="342"/>
      <c r="C479" s="34"/>
      <c r="D479" s="40" t="str">
        <f t="shared" si="15"/>
        <v>2002000473</v>
      </c>
      <c r="E479" s="34"/>
      <c r="F479" s="52"/>
      <c r="G479" s="34"/>
      <c r="H479" s="34"/>
      <c r="I479" s="278"/>
      <c r="J479" s="50" t="str">
        <f t="shared" ca="1" si="16"/>
        <v/>
      </c>
      <c r="K479" s="50" t="str">
        <f ca="1">IFERROR(VLOOKUP($J479,Ref!$B$7:$C$9,2),"")</f>
        <v/>
      </c>
      <c r="L479" s="55"/>
      <c r="M479" s="34"/>
      <c r="N479" s="34"/>
      <c r="O479" s="34"/>
      <c r="P479" s="34"/>
      <c r="Q479" s="34"/>
      <c r="R479" s="34"/>
      <c r="S479" s="43"/>
      <c r="T479" s="43"/>
      <c r="U479" s="43"/>
      <c r="V479" s="58"/>
      <c r="W479" s="34"/>
      <c r="X479" s="34"/>
    </row>
    <row r="480" spans="1:24" x14ac:dyDescent="0.2">
      <c r="A480" s="132">
        <v>474</v>
      </c>
      <c r="B480" s="342"/>
      <c r="C480" s="34"/>
      <c r="D480" s="40" t="str">
        <f t="shared" si="15"/>
        <v>2002000474</v>
      </c>
      <c r="E480" s="34"/>
      <c r="F480" s="52"/>
      <c r="G480" s="34"/>
      <c r="H480" s="34"/>
      <c r="I480" s="278"/>
      <c r="J480" s="50" t="str">
        <f t="shared" ca="1" si="16"/>
        <v/>
      </c>
      <c r="K480" s="50" t="str">
        <f ca="1">IFERROR(VLOOKUP($J480,Ref!$B$7:$C$9,2),"")</f>
        <v/>
      </c>
      <c r="L480" s="55"/>
      <c r="M480" s="34"/>
      <c r="N480" s="34"/>
      <c r="O480" s="34"/>
      <c r="P480" s="34"/>
      <c r="Q480" s="34"/>
      <c r="R480" s="34"/>
      <c r="S480" s="43"/>
      <c r="T480" s="43"/>
      <c r="U480" s="43"/>
      <c r="V480" s="58"/>
      <c r="W480" s="34"/>
      <c r="X480" s="34"/>
    </row>
    <row r="481" spans="1:24" x14ac:dyDescent="0.2">
      <c r="A481" s="132">
        <v>475</v>
      </c>
      <c r="B481" s="342"/>
      <c r="C481" s="34"/>
      <c r="D481" s="40" t="str">
        <f t="shared" si="15"/>
        <v>2002000475</v>
      </c>
      <c r="E481" s="34"/>
      <c r="F481" s="52"/>
      <c r="G481" s="34"/>
      <c r="H481" s="34"/>
      <c r="I481" s="278"/>
      <c r="J481" s="50" t="str">
        <f t="shared" ca="1" si="16"/>
        <v/>
      </c>
      <c r="K481" s="50" t="str">
        <f ca="1">IFERROR(VLOOKUP($J481,Ref!$B$7:$C$9,2),"")</f>
        <v/>
      </c>
      <c r="L481" s="55"/>
      <c r="M481" s="34"/>
      <c r="N481" s="34"/>
      <c r="O481" s="34"/>
      <c r="P481" s="34"/>
      <c r="Q481" s="34"/>
      <c r="R481" s="34"/>
      <c r="S481" s="43"/>
      <c r="T481" s="43"/>
      <c r="U481" s="43"/>
      <c r="V481" s="58"/>
      <c r="W481" s="34"/>
      <c r="X481" s="34"/>
    </row>
    <row r="482" spans="1:24" x14ac:dyDescent="0.2">
      <c r="A482" s="132">
        <v>476</v>
      </c>
      <c r="B482" s="342"/>
      <c r="C482" s="34"/>
      <c r="D482" s="40" t="str">
        <f t="shared" si="15"/>
        <v>2002000476</v>
      </c>
      <c r="E482" s="34"/>
      <c r="F482" s="52"/>
      <c r="G482" s="34"/>
      <c r="H482" s="34"/>
      <c r="I482" s="278"/>
      <c r="J482" s="50" t="str">
        <f t="shared" ca="1" si="16"/>
        <v/>
      </c>
      <c r="K482" s="50" t="str">
        <f ca="1">IFERROR(VLOOKUP($J482,Ref!$B$7:$C$9,2),"")</f>
        <v/>
      </c>
      <c r="L482" s="55"/>
      <c r="M482" s="34"/>
      <c r="N482" s="34"/>
      <c r="O482" s="34"/>
      <c r="P482" s="34"/>
      <c r="Q482" s="34"/>
      <c r="R482" s="34"/>
      <c r="S482" s="43"/>
      <c r="T482" s="43"/>
      <c r="U482" s="43"/>
      <c r="V482" s="58"/>
      <c r="W482" s="34"/>
      <c r="X482" s="34"/>
    </row>
    <row r="483" spans="1:24" x14ac:dyDescent="0.2">
      <c r="A483" s="132">
        <v>477</v>
      </c>
      <c r="B483" s="342"/>
      <c r="C483" s="34"/>
      <c r="D483" s="40" t="str">
        <f t="shared" si="15"/>
        <v>2002000477</v>
      </c>
      <c r="E483" s="34"/>
      <c r="F483" s="52"/>
      <c r="G483" s="34"/>
      <c r="H483" s="34"/>
      <c r="I483" s="278"/>
      <c r="J483" s="50" t="str">
        <f t="shared" ca="1" si="16"/>
        <v/>
      </c>
      <c r="K483" s="50" t="str">
        <f ca="1">IFERROR(VLOOKUP($J483,Ref!$B$7:$C$9,2),"")</f>
        <v/>
      </c>
      <c r="L483" s="55"/>
      <c r="M483" s="34"/>
      <c r="N483" s="34"/>
      <c r="O483" s="34"/>
      <c r="P483" s="34"/>
      <c r="Q483" s="34"/>
      <c r="R483" s="34"/>
      <c r="S483" s="43"/>
      <c r="T483" s="43"/>
      <c r="U483" s="43"/>
      <c r="V483" s="58"/>
      <c r="W483" s="34"/>
      <c r="X483" s="34"/>
    </row>
    <row r="484" spans="1:24" x14ac:dyDescent="0.2">
      <c r="A484" s="132">
        <v>478</v>
      </c>
      <c r="B484" s="342"/>
      <c r="C484" s="34"/>
      <c r="D484" s="40" t="str">
        <f t="shared" si="15"/>
        <v>2002000478</v>
      </c>
      <c r="E484" s="34"/>
      <c r="F484" s="52"/>
      <c r="G484" s="34"/>
      <c r="H484" s="34"/>
      <c r="I484" s="278"/>
      <c r="J484" s="50" t="str">
        <f t="shared" ca="1" si="16"/>
        <v/>
      </c>
      <c r="K484" s="50" t="str">
        <f ca="1">IFERROR(VLOOKUP($J484,Ref!$B$7:$C$9,2),"")</f>
        <v/>
      </c>
      <c r="L484" s="55"/>
      <c r="M484" s="34"/>
      <c r="N484" s="34"/>
      <c r="O484" s="34"/>
      <c r="P484" s="34"/>
      <c r="Q484" s="34"/>
      <c r="R484" s="34"/>
      <c r="S484" s="43"/>
      <c r="T484" s="43"/>
      <c r="U484" s="43"/>
      <c r="V484" s="58"/>
      <c r="W484" s="34"/>
      <c r="X484" s="34"/>
    </row>
    <row r="485" spans="1:24" x14ac:dyDescent="0.2">
      <c r="A485" s="132">
        <v>479</v>
      </c>
      <c r="B485" s="342"/>
      <c r="C485" s="34"/>
      <c r="D485" s="40" t="str">
        <f t="shared" si="15"/>
        <v>2002000479</v>
      </c>
      <c r="E485" s="34"/>
      <c r="F485" s="52"/>
      <c r="G485" s="34"/>
      <c r="H485" s="34"/>
      <c r="I485" s="278"/>
      <c r="J485" s="50" t="str">
        <f t="shared" ca="1" si="16"/>
        <v/>
      </c>
      <c r="K485" s="50" t="str">
        <f ca="1">IFERROR(VLOOKUP($J485,Ref!$B$7:$C$9,2),"")</f>
        <v/>
      </c>
      <c r="L485" s="55"/>
      <c r="M485" s="34"/>
      <c r="N485" s="34"/>
      <c r="O485" s="34"/>
      <c r="P485" s="34"/>
      <c r="Q485" s="34"/>
      <c r="R485" s="34"/>
      <c r="S485" s="43"/>
      <c r="T485" s="43"/>
      <c r="U485" s="43"/>
      <c r="V485" s="58"/>
      <c r="W485" s="34"/>
      <c r="X485" s="34"/>
    </row>
    <row r="486" spans="1:24" x14ac:dyDescent="0.2">
      <c r="A486" s="132">
        <v>480</v>
      </c>
      <c r="B486" s="342"/>
      <c r="C486" s="34"/>
      <c r="D486" s="40" t="str">
        <f t="shared" si="15"/>
        <v>2002000480</v>
      </c>
      <c r="E486" s="34"/>
      <c r="F486" s="52"/>
      <c r="G486" s="34"/>
      <c r="H486" s="34"/>
      <c r="I486" s="278"/>
      <c r="J486" s="50" t="str">
        <f t="shared" ca="1" si="16"/>
        <v/>
      </c>
      <c r="K486" s="50" t="str">
        <f ca="1">IFERROR(VLOOKUP($J486,Ref!$B$7:$C$9,2),"")</f>
        <v/>
      </c>
      <c r="L486" s="55"/>
      <c r="M486" s="34"/>
      <c r="N486" s="34"/>
      <c r="O486" s="34"/>
      <c r="P486" s="34"/>
      <c r="Q486" s="34"/>
      <c r="R486" s="34"/>
      <c r="S486" s="43"/>
      <c r="T486" s="43"/>
      <c r="U486" s="43"/>
      <c r="V486" s="58"/>
      <c r="W486" s="34"/>
      <c r="X486" s="34"/>
    </row>
    <row r="487" spans="1:24" x14ac:dyDescent="0.2">
      <c r="A487" s="132">
        <v>481</v>
      </c>
      <c r="B487" s="342"/>
      <c r="C487" s="34"/>
      <c r="D487" s="40" t="str">
        <f t="shared" si="15"/>
        <v>2002000481</v>
      </c>
      <c r="E487" s="34"/>
      <c r="F487" s="52"/>
      <c r="G487" s="34"/>
      <c r="H487" s="34"/>
      <c r="I487" s="278"/>
      <c r="J487" s="50" t="str">
        <f t="shared" ca="1" si="16"/>
        <v/>
      </c>
      <c r="K487" s="50" t="str">
        <f ca="1">IFERROR(VLOOKUP($J487,Ref!$B$7:$C$9,2),"")</f>
        <v/>
      </c>
      <c r="L487" s="55"/>
      <c r="M487" s="34"/>
      <c r="N487" s="34"/>
      <c r="O487" s="34"/>
      <c r="P487" s="34"/>
      <c r="Q487" s="34"/>
      <c r="R487" s="34"/>
      <c r="S487" s="43"/>
      <c r="T487" s="43"/>
      <c r="U487" s="43"/>
      <c r="V487" s="58"/>
      <c r="W487" s="34"/>
      <c r="X487" s="34"/>
    </row>
    <row r="488" spans="1:24" x14ac:dyDescent="0.2">
      <c r="A488" s="132">
        <v>482</v>
      </c>
      <c r="B488" s="342"/>
      <c r="C488" s="34"/>
      <c r="D488" s="40" t="str">
        <f t="shared" si="15"/>
        <v>2002000482</v>
      </c>
      <c r="E488" s="34"/>
      <c r="F488" s="52"/>
      <c r="G488" s="34"/>
      <c r="H488" s="34"/>
      <c r="I488" s="278"/>
      <c r="J488" s="50" t="str">
        <f t="shared" ca="1" si="16"/>
        <v/>
      </c>
      <c r="K488" s="50" t="str">
        <f ca="1">IFERROR(VLOOKUP($J488,Ref!$B$7:$C$9,2),"")</f>
        <v/>
      </c>
      <c r="L488" s="55"/>
      <c r="M488" s="34"/>
      <c r="N488" s="34"/>
      <c r="O488" s="34"/>
      <c r="P488" s="34"/>
      <c r="Q488" s="34"/>
      <c r="R488" s="34"/>
      <c r="S488" s="43"/>
      <c r="T488" s="43"/>
      <c r="U488" s="43"/>
      <c r="V488" s="58"/>
      <c r="W488" s="34"/>
      <c r="X488" s="34"/>
    </row>
    <row r="489" spans="1:24" x14ac:dyDescent="0.2">
      <c r="A489" s="132">
        <v>483</v>
      </c>
      <c r="B489" s="342"/>
      <c r="C489" s="34"/>
      <c r="D489" s="40" t="str">
        <f t="shared" si="15"/>
        <v>2002000483</v>
      </c>
      <c r="E489" s="34"/>
      <c r="F489" s="52"/>
      <c r="G489" s="34"/>
      <c r="H489" s="34"/>
      <c r="I489" s="278"/>
      <c r="J489" s="50" t="str">
        <f t="shared" ca="1" si="16"/>
        <v/>
      </c>
      <c r="K489" s="50" t="str">
        <f ca="1">IFERROR(VLOOKUP($J489,Ref!$B$7:$C$9,2),"")</f>
        <v/>
      </c>
      <c r="L489" s="55"/>
      <c r="M489" s="34"/>
      <c r="N489" s="34"/>
      <c r="O489" s="34"/>
      <c r="P489" s="34"/>
      <c r="Q489" s="34"/>
      <c r="R489" s="34"/>
      <c r="S489" s="43"/>
      <c r="T489" s="43"/>
      <c r="U489" s="43"/>
      <c r="V489" s="58"/>
      <c r="W489" s="34"/>
      <c r="X489" s="34"/>
    </row>
    <row r="490" spans="1:24" x14ac:dyDescent="0.2">
      <c r="A490" s="132">
        <v>484</v>
      </c>
      <c r="B490" s="342"/>
      <c r="C490" s="34"/>
      <c r="D490" s="40" t="str">
        <f t="shared" si="15"/>
        <v>2002000484</v>
      </c>
      <c r="E490" s="34"/>
      <c r="F490" s="52"/>
      <c r="G490" s="34"/>
      <c r="H490" s="34"/>
      <c r="I490" s="278"/>
      <c r="J490" s="50" t="str">
        <f t="shared" ca="1" si="16"/>
        <v/>
      </c>
      <c r="K490" s="50" t="str">
        <f ca="1">IFERROR(VLOOKUP($J490,Ref!$B$7:$C$9,2),"")</f>
        <v/>
      </c>
      <c r="L490" s="55"/>
      <c r="M490" s="34"/>
      <c r="N490" s="34"/>
      <c r="O490" s="34"/>
      <c r="P490" s="34"/>
      <c r="Q490" s="34"/>
      <c r="R490" s="34"/>
      <c r="S490" s="43"/>
      <c r="T490" s="43"/>
      <c r="U490" s="43"/>
      <c r="V490" s="58"/>
      <c r="W490" s="34"/>
      <c r="X490" s="34"/>
    </row>
    <row r="491" spans="1:24" x14ac:dyDescent="0.2">
      <c r="A491" s="132">
        <v>485</v>
      </c>
      <c r="B491" s="342"/>
      <c r="C491" s="34"/>
      <c r="D491" s="40" t="str">
        <f t="shared" si="15"/>
        <v>2002000485</v>
      </c>
      <c r="E491" s="34"/>
      <c r="F491" s="52"/>
      <c r="G491" s="34"/>
      <c r="H491" s="34"/>
      <c r="I491" s="278"/>
      <c r="J491" s="50" t="str">
        <f t="shared" ca="1" si="16"/>
        <v/>
      </c>
      <c r="K491" s="50" t="str">
        <f ca="1">IFERROR(VLOOKUP($J491,Ref!$B$7:$C$9,2),"")</f>
        <v/>
      </c>
      <c r="L491" s="55"/>
      <c r="M491" s="34"/>
      <c r="N491" s="34"/>
      <c r="O491" s="34"/>
      <c r="P491" s="34"/>
      <c r="Q491" s="34"/>
      <c r="R491" s="34"/>
      <c r="S491" s="43"/>
      <c r="T491" s="43"/>
      <c r="U491" s="43"/>
      <c r="V491" s="58"/>
      <c r="W491" s="34"/>
      <c r="X491" s="34"/>
    </row>
    <row r="492" spans="1:24" x14ac:dyDescent="0.2">
      <c r="A492" s="132">
        <v>486</v>
      </c>
      <c r="B492" s="342"/>
      <c r="C492" s="34"/>
      <c r="D492" s="40" t="str">
        <f t="shared" si="15"/>
        <v>2002000486</v>
      </c>
      <c r="E492" s="34"/>
      <c r="F492" s="52"/>
      <c r="G492" s="34"/>
      <c r="H492" s="34"/>
      <c r="I492" s="278"/>
      <c r="J492" s="50" t="str">
        <f t="shared" ca="1" si="16"/>
        <v/>
      </c>
      <c r="K492" s="50" t="str">
        <f ca="1">IFERROR(VLOOKUP($J492,Ref!$B$7:$C$9,2),"")</f>
        <v/>
      </c>
      <c r="L492" s="55"/>
      <c r="M492" s="34"/>
      <c r="N492" s="34"/>
      <c r="O492" s="34"/>
      <c r="P492" s="34"/>
      <c r="Q492" s="34"/>
      <c r="R492" s="34"/>
      <c r="S492" s="43"/>
      <c r="T492" s="43"/>
      <c r="U492" s="43"/>
      <c r="V492" s="58"/>
      <c r="W492" s="34"/>
      <c r="X492" s="34"/>
    </row>
    <row r="493" spans="1:24" x14ac:dyDescent="0.2">
      <c r="A493" s="132">
        <v>487</v>
      </c>
      <c r="B493" s="342"/>
      <c r="C493" s="34"/>
      <c r="D493" s="40" t="str">
        <f t="shared" si="15"/>
        <v>2002000487</v>
      </c>
      <c r="E493" s="34"/>
      <c r="F493" s="52"/>
      <c r="G493" s="34"/>
      <c r="H493" s="34"/>
      <c r="I493" s="278"/>
      <c r="J493" s="50" t="str">
        <f t="shared" ca="1" si="16"/>
        <v/>
      </c>
      <c r="K493" s="50" t="str">
        <f ca="1">IFERROR(VLOOKUP($J493,Ref!$B$7:$C$9,2),"")</f>
        <v/>
      </c>
      <c r="L493" s="55"/>
      <c r="M493" s="34"/>
      <c r="N493" s="34"/>
      <c r="O493" s="34"/>
      <c r="P493" s="34"/>
      <c r="Q493" s="34"/>
      <c r="R493" s="34"/>
      <c r="S493" s="43"/>
      <c r="T493" s="43"/>
      <c r="U493" s="43"/>
      <c r="V493" s="58"/>
      <c r="W493" s="34"/>
      <c r="X493" s="34"/>
    </row>
    <row r="494" spans="1:24" x14ac:dyDescent="0.2">
      <c r="A494" s="132">
        <v>488</v>
      </c>
      <c r="B494" s="342"/>
      <c r="C494" s="34"/>
      <c r="D494" s="40" t="str">
        <f t="shared" si="15"/>
        <v>2002000488</v>
      </c>
      <c r="E494" s="34"/>
      <c r="F494" s="52"/>
      <c r="G494" s="34"/>
      <c r="H494" s="34"/>
      <c r="I494" s="278"/>
      <c r="J494" s="50" t="str">
        <f t="shared" ca="1" si="16"/>
        <v/>
      </c>
      <c r="K494" s="50" t="str">
        <f ca="1">IFERROR(VLOOKUP($J494,Ref!$B$7:$C$9,2),"")</f>
        <v/>
      </c>
      <c r="L494" s="55"/>
      <c r="M494" s="34"/>
      <c r="N494" s="34"/>
      <c r="O494" s="34"/>
      <c r="P494" s="34"/>
      <c r="Q494" s="34"/>
      <c r="R494" s="34"/>
      <c r="S494" s="43"/>
      <c r="T494" s="43"/>
      <c r="U494" s="43"/>
      <c r="V494" s="58"/>
      <c r="W494" s="34"/>
      <c r="X494" s="34"/>
    </row>
    <row r="495" spans="1:24" x14ac:dyDescent="0.2">
      <c r="A495" s="132">
        <v>489</v>
      </c>
      <c r="B495" s="342"/>
      <c r="C495" s="34"/>
      <c r="D495" s="40" t="str">
        <f t="shared" si="15"/>
        <v>2002000489</v>
      </c>
      <c r="E495" s="34"/>
      <c r="F495" s="52"/>
      <c r="G495" s="34"/>
      <c r="H495" s="34"/>
      <c r="I495" s="278"/>
      <c r="J495" s="50" t="str">
        <f t="shared" ca="1" si="16"/>
        <v/>
      </c>
      <c r="K495" s="50" t="str">
        <f ca="1">IFERROR(VLOOKUP($J495,Ref!$B$7:$C$9,2),"")</f>
        <v/>
      </c>
      <c r="L495" s="55"/>
      <c r="M495" s="34"/>
      <c r="N495" s="34"/>
      <c r="O495" s="34"/>
      <c r="P495" s="34"/>
      <c r="Q495" s="34"/>
      <c r="R495" s="34"/>
      <c r="S495" s="43"/>
      <c r="T495" s="43"/>
      <c r="U495" s="43"/>
      <c r="V495" s="58"/>
      <c r="W495" s="34"/>
      <c r="X495" s="34"/>
    </row>
    <row r="496" spans="1:24" x14ac:dyDescent="0.2">
      <c r="A496" s="132">
        <v>490</v>
      </c>
      <c r="B496" s="342"/>
      <c r="C496" s="34"/>
      <c r="D496" s="40" t="str">
        <f t="shared" si="15"/>
        <v>2002000490</v>
      </c>
      <c r="E496" s="34"/>
      <c r="F496" s="52"/>
      <c r="G496" s="34"/>
      <c r="H496" s="34"/>
      <c r="I496" s="278"/>
      <c r="J496" s="50" t="str">
        <f t="shared" ca="1" si="16"/>
        <v/>
      </c>
      <c r="K496" s="50" t="str">
        <f ca="1">IFERROR(VLOOKUP($J496,Ref!$B$7:$C$9,2),"")</f>
        <v/>
      </c>
      <c r="L496" s="55"/>
      <c r="M496" s="34"/>
      <c r="N496" s="34"/>
      <c r="O496" s="34"/>
      <c r="P496" s="34"/>
      <c r="Q496" s="34"/>
      <c r="R496" s="34"/>
      <c r="S496" s="43"/>
      <c r="T496" s="43"/>
      <c r="U496" s="43"/>
      <c r="V496" s="58"/>
      <c r="W496" s="34"/>
      <c r="X496" s="34"/>
    </row>
    <row r="497" spans="1:24" x14ac:dyDescent="0.2">
      <c r="A497" s="132">
        <v>491</v>
      </c>
      <c r="B497" s="342"/>
      <c r="C497" s="34"/>
      <c r="D497" s="40" t="str">
        <f t="shared" si="15"/>
        <v>2002000491</v>
      </c>
      <c r="E497" s="34"/>
      <c r="F497" s="52"/>
      <c r="G497" s="34"/>
      <c r="H497" s="34"/>
      <c r="I497" s="278"/>
      <c r="J497" s="50" t="str">
        <f t="shared" ca="1" si="16"/>
        <v/>
      </c>
      <c r="K497" s="50" t="str">
        <f ca="1">IFERROR(VLOOKUP($J497,Ref!$B$7:$C$9,2),"")</f>
        <v/>
      </c>
      <c r="L497" s="55"/>
      <c r="M497" s="34"/>
      <c r="N497" s="34"/>
      <c r="O497" s="34"/>
      <c r="P497" s="34"/>
      <c r="Q497" s="34"/>
      <c r="R497" s="34"/>
      <c r="S497" s="43"/>
      <c r="T497" s="43"/>
      <c r="U497" s="43"/>
      <c r="V497" s="58"/>
      <c r="W497" s="34"/>
      <c r="X497" s="34"/>
    </row>
    <row r="498" spans="1:24" x14ac:dyDescent="0.2">
      <c r="A498" s="132">
        <v>492</v>
      </c>
      <c r="B498" s="342"/>
      <c r="C498" s="34"/>
      <c r="D498" s="40" t="str">
        <f t="shared" si="15"/>
        <v>2002000492</v>
      </c>
      <c r="E498" s="34"/>
      <c r="F498" s="52"/>
      <c r="G498" s="34"/>
      <c r="H498" s="34"/>
      <c r="I498" s="278"/>
      <c r="J498" s="50" t="str">
        <f t="shared" ca="1" si="16"/>
        <v/>
      </c>
      <c r="K498" s="50" t="str">
        <f ca="1">IFERROR(VLOOKUP($J498,Ref!$B$7:$C$9,2),"")</f>
        <v/>
      </c>
      <c r="L498" s="55"/>
      <c r="M498" s="34"/>
      <c r="N498" s="34"/>
      <c r="O498" s="34"/>
      <c r="P498" s="34"/>
      <c r="Q498" s="34"/>
      <c r="R498" s="34"/>
      <c r="S498" s="43"/>
      <c r="T498" s="43"/>
      <c r="U498" s="43"/>
      <c r="V498" s="58"/>
      <c r="W498" s="34"/>
      <c r="X498" s="34"/>
    </row>
    <row r="499" spans="1:24" x14ac:dyDescent="0.2">
      <c r="A499" s="132">
        <v>493</v>
      </c>
      <c r="B499" s="342"/>
      <c r="C499" s="34"/>
      <c r="D499" s="40" t="str">
        <f t="shared" si="15"/>
        <v>2002000493</v>
      </c>
      <c r="E499" s="34"/>
      <c r="F499" s="52"/>
      <c r="G499" s="34"/>
      <c r="H499" s="34"/>
      <c r="I499" s="278"/>
      <c r="J499" s="50" t="str">
        <f t="shared" ca="1" si="16"/>
        <v/>
      </c>
      <c r="K499" s="50" t="str">
        <f ca="1">IFERROR(VLOOKUP($J499,Ref!$B$7:$C$9,2),"")</f>
        <v/>
      </c>
      <c r="L499" s="55"/>
      <c r="M499" s="34"/>
      <c r="N499" s="34"/>
      <c r="O499" s="34"/>
      <c r="P499" s="34"/>
      <c r="Q499" s="34"/>
      <c r="R499" s="34"/>
      <c r="S499" s="43"/>
      <c r="T499" s="43"/>
      <c r="U499" s="43"/>
      <c r="V499" s="58"/>
      <c r="W499" s="34"/>
      <c r="X499" s="34"/>
    </row>
    <row r="500" spans="1:24" x14ac:dyDescent="0.2">
      <c r="A500" s="132">
        <v>494</v>
      </c>
      <c r="B500" s="342"/>
      <c r="C500" s="34"/>
      <c r="D500" s="40" t="str">
        <f t="shared" si="15"/>
        <v>2002000494</v>
      </c>
      <c r="E500" s="34"/>
      <c r="F500" s="52"/>
      <c r="G500" s="34"/>
      <c r="H500" s="34"/>
      <c r="I500" s="278"/>
      <c r="J500" s="50" t="str">
        <f t="shared" ca="1" si="16"/>
        <v/>
      </c>
      <c r="K500" s="50" t="str">
        <f ca="1">IFERROR(VLOOKUP($J500,Ref!$B$7:$C$9,2),"")</f>
        <v/>
      </c>
      <c r="L500" s="55"/>
      <c r="M500" s="34"/>
      <c r="N500" s="34"/>
      <c r="O500" s="34"/>
      <c r="P500" s="34"/>
      <c r="Q500" s="34"/>
      <c r="R500" s="34"/>
      <c r="S500" s="43"/>
      <c r="T500" s="43"/>
      <c r="U500" s="43"/>
      <c r="V500" s="58"/>
      <c r="W500" s="34"/>
      <c r="X500" s="34"/>
    </row>
    <row r="501" spans="1:24" x14ac:dyDescent="0.2">
      <c r="A501" s="132">
        <v>495</v>
      </c>
      <c r="B501" s="342"/>
      <c r="C501" s="34"/>
      <c r="D501" s="40" t="str">
        <f t="shared" si="15"/>
        <v>2002000495</v>
      </c>
      <c r="E501" s="34"/>
      <c r="F501" s="52"/>
      <c r="G501" s="34"/>
      <c r="H501" s="34"/>
      <c r="I501" s="278"/>
      <c r="J501" s="50" t="str">
        <f t="shared" ca="1" si="16"/>
        <v/>
      </c>
      <c r="K501" s="50" t="str">
        <f ca="1">IFERROR(VLOOKUP($J501,Ref!$B$7:$C$9,2),"")</f>
        <v/>
      </c>
      <c r="L501" s="55"/>
      <c r="M501" s="34"/>
      <c r="N501" s="34"/>
      <c r="O501" s="34"/>
      <c r="P501" s="34"/>
      <c r="Q501" s="34"/>
      <c r="R501" s="34"/>
      <c r="S501" s="43"/>
      <c r="T501" s="43"/>
      <c r="U501" s="43"/>
      <c r="V501" s="58"/>
      <c r="W501" s="34"/>
      <c r="X501" s="34"/>
    </row>
    <row r="502" spans="1:24" x14ac:dyDescent="0.2">
      <c r="A502" s="132">
        <v>496</v>
      </c>
      <c r="B502" s="342"/>
      <c r="C502" s="34"/>
      <c r="D502" s="40" t="str">
        <f t="shared" si="15"/>
        <v>2002000496</v>
      </c>
      <c r="E502" s="34"/>
      <c r="F502" s="52"/>
      <c r="G502" s="34"/>
      <c r="H502" s="34"/>
      <c r="I502" s="278"/>
      <c r="J502" s="50" t="str">
        <f t="shared" ca="1" si="16"/>
        <v/>
      </c>
      <c r="K502" s="50" t="str">
        <f ca="1">IFERROR(VLOOKUP($J502,Ref!$B$7:$C$9,2),"")</f>
        <v/>
      </c>
      <c r="L502" s="55"/>
      <c r="M502" s="34"/>
      <c r="N502" s="34"/>
      <c r="O502" s="34"/>
      <c r="P502" s="34"/>
      <c r="Q502" s="34"/>
      <c r="R502" s="34"/>
      <c r="S502" s="43"/>
      <c r="T502" s="43"/>
      <c r="U502" s="43"/>
      <c r="V502" s="58"/>
      <c r="W502" s="34"/>
      <c r="X502" s="34"/>
    </row>
    <row r="503" spans="1:24" x14ac:dyDescent="0.2">
      <c r="A503" s="132">
        <v>497</v>
      </c>
      <c r="B503" s="342"/>
      <c r="C503" s="34"/>
      <c r="D503" s="40" t="str">
        <f t="shared" si="15"/>
        <v>2002000497</v>
      </c>
      <c r="E503" s="34"/>
      <c r="F503" s="52"/>
      <c r="G503" s="34"/>
      <c r="H503" s="34"/>
      <c r="I503" s="278"/>
      <c r="J503" s="50" t="str">
        <f t="shared" ca="1" si="16"/>
        <v/>
      </c>
      <c r="K503" s="50" t="str">
        <f ca="1">IFERROR(VLOOKUP($J503,Ref!$B$7:$C$9,2),"")</f>
        <v/>
      </c>
      <c r="L503" s="55"/>
      <c r="M503" s="34"/>
      <c r="N503" s="34"/>
      <c r="O503" s="34"/>
      <c r="P503" s="34"/>
      <c r="Q503" s="34"/>
      <c r="R503" s="34"/>
      <c r="S503" s="43"/>
      <c r="T503" s="43"/>
      <c r="U503" s="43"/>
      <c r="V503" s="58"/>
      <c r="W503" s="34"/>
      <c r="X503" s="34"/>
    </row>
    <row r="504" spans="1:24" x14ac:dyDescent="0.2">
      <c r="A504" s="132">
        <v>498</v>
      </c>
      <c r="B504" s="342"/>
      <c r="C504" s="34"/>
      <c r="D504" s="40" t="str">
        <f t="shared" si="15"/>
        <v>2002000498</v>
      </c>
      <c r="E504" s="34"/>
      <c r="F504" s="52"/>
      <c r="G504" s="34"/>
      <c r="H504" s="34"/>
      <c r="I504" s="278"/>
      <c r="J504" s="50" t="str">
        <f t="shared" ca="1" si="16"/>
        <v/>
      </c>
      <c r="K504" s="50" t="str">
        <f ca="1">IFERROR(VLOOKUP($J504,Ref!$B$7:$C$9,2),"")</f>
        <v/>
      </c>
      <c r="L504" s="55"/>
      <c r="M504" s="34"/>
      <c r="N504" s="34"/>
      <c r="O504" s="34"/>
      <c r="P504" s="34"/>
      <c r="Q504" s="34"/>
      <c r="R504" s="34"/>
      <c r="S504" s="43"/>
      <c r="T504" s="43"/>
      <c r="U504" s="43"/>
      <c r="V504" s="58"/>
      <c r="W504" s="34"/>
      <c r="X504" s="34"/>
    </row>
    <row r="505" spans="1:24" x14ac:dyDescent="0.2">
      <c r="A505" s="132">
        <v>499</v>
      </c>
      <c r="B505" s="342"/>
      <c r="C505" s="34"/>
      <c r="D505" s="40" t="str">
        <f t="shared" si="15"/>
        <v>2002000499</v>
      </c>
      <c r="E505" s="34"/>
      <c r="F505" s="52"/>
      <c r="G505" s="34"/>
      <c r="H505" s="34"/>
      <c r="I505" s="278"/>
      <c r="J505" s="50" t="str">
        <f t="shared" ca="1" si="16"/>
        <v/>
      </c>
      <c r="K505" s="50" t="str">
        <f ca="1">IFERROR(VLOOKUP($J505,Ref!$B$7:$C$9,2),"")</f>
        <v/>
      </c>
      <c r="L505" s="55"/>
      <c r="M505" s="34"/>
      <c r="N505" s="34"/>
      <c r="O505" s="34"/>
      <c r="P505" s="34"/>
      <c r="Q505" s="34"/>
      <c r="R505" s="34"/>
      <c r="S505" s="43"/>
      <c r="T505" s="43"/>
      <c r="U505" s="43"/>
      <c r="V505" s="58"/>
      <c r="W505" s="34"/>
      <c r="X505" s="34"/>
    </row>
    <row r="506" spans="1:24" x14ac:dyDescent="0.2">
      <c r="A506" s="132">
        <v>500</v>
      </c>
      <c r="B506" s="342"/>
      <c r="C506" s="34"/>
      <c r="D506" s="40" t="str">
        <f t="shared" si="15"/>
        <v>2002000500</v>
      </c>
      <c r="E506" s="34"/>
      <c r="F506" s="52"/>
      <c r="G506" s="34"/>
      <c r="H506" s="34"/>
      <c r="I506" s="278"/>
      <c r="J506" s="50" t="str">
        <f t="shared" ca="1" si="16"/>
        <v/>
      </c>
      <c r="K506" s="50" t="str">
        <f ca="1">IFERROR(VLOOKUP($J506,Ref!$B$7:$C$9,2),"")</f>
        <v/>
      </c>
      <c r="L506" s="55"/>
      <c r="M506" s="34"/>
      <c r="N506" s="34"/>
      <c r="O506" s="34"/>
      <c r="P506" s="34"/>
      <c r="Q506" s="34"/>
      <c r="R506" s="34"/>
      <c r="S506" s="43"/>
      <c r="T506" s="43"/>
      <c r="U506" s="43"/>
      <c r="V506" s="58"/>
      <c r="W506" s="34"/>
      <c r="X506" s="34"/>
    </row>
    <row r="507" spans="1:24" x14ac:dyDescent="0.2">
      <c r="A507" s="132">
        <v>501</v>
      </c>
      <c r="B507" s="342"/>
      <c r="C507" s="34"/>
      <c r="D507" s="40" t="str">
        <f t="shared" si="15"/>
        <v>2002000501</v>
      </c>
      <c r="E507" s="34"/>
      <c r="F507" s="52"/>
      <c r="G507" s="34"/>
      <c r="H507" s="34"/>
      <c r="I507" s="278"/>
      <c r="J507" s="50" t="str">
        <f t="shared" ca="1" si="16"/>
        <v/>
      </c>
      <c r="K507" s="50" t="str">
        <f ca="1">IFERROR(VLOOKUP($J507,Ref!$B$7:$C$9,2),"")</f>
        <v/>
      </c>
      <c r="L507" s="55"/>
      <c r="M507" s="34"/>
      <c r="N507" s="34"/>
      <c r="O507" s="34"/>
      <c r="P507" s="34"/>
      <c r="Q507" s="34"/>
      <c r="R507" s="34"/>
      <c r="S507" s="43"/>
      <c r="T507" s="43"/>
      <c r="U507" s="43"/>
      <c r="V507" s="58"/>
      <c r="W507" s="34"/>
      <c r="X507" s="34"/>
    </row>
    <row r="508" spans="1:24" x14ac:dyDescent="0.2">
      <c r="A508" s="132">
        <v>502</v>
      </c>
      <c r="B508" s="342"/>
      <c r="C508" s="34"/>
      <c r="D508" s="40" t="str">
        <f t="shared" si="15"/>
        <v>2002000502</v>
      </c>
      <c r="E508" s="34"/>
      <c r="F508" s="52"/>
      <c r="G508" s="34"/>
      <c r="H508" s="34"/>
      <c r="I508" s="278"/>
      <c r="J508" s="50" t="str">
        <f t="shared" ca="1" si="16"/>
        <v/>
      </c>
      <c r="K508" s="50" t="str">
        <f ca="1">IFERROR(VLOOKUP($J508,Ref!$B$7:$C$9,2),"")</f>
        <v/>
      </c>
      <c r="L508" s="55"/>
      <c r="M508" s="34"/>
      <c r="N508" s="34"/>
      <c r="O508" s="34"/>
      <c r="P508" s="34"/>
      <c r="Q508" s="34"/>
      <c r="R508" s="34"/>
      <c r="S508" s="43"/>
      <c r="T508" s="43"/>
      <c r="U508" s="43"/>
      <c r="V508" s="58"/>
      <c r="W508" s="34"/>
      <c r="X508" s="34"/>
    </row>
    <row r="509" spans="1:24" x14ac:dyDescent="0.2">
      <c r="A509" s="132">
        <v>503</v>
      </c>
      <c r="B509" s="342"/>
      <c r="C509" s="34"/>
      <c r="D509" s="40" t="str">
        <f t="shared" si="15"/>
        <v>2002000503</v>
      </c>
      <c r="E509" s="34"/>
      <c r="F509" s="52"/>
      <c r="G509" s="34"/>
      <c r="H509" s="34"/>
      <c r="I509" s="278"/>
      <c r="J509" s="50" t="str">
        <f t="shared" ca="1" si="16"/>
        <v/>
      </c>
      <c r="K509" s="50" t="str">
        <f ca="1">IFERROR(VLOOKUP($J509,Ref!$B$7:$C$9,2),"")</f>
        <v/>
      </c>
      <c r="L509" s="55"/>
      <c r="M509" s="34"/>
      <c r="N509" s="34"/>
      <c r="O509" s="34"/>
      <c r="P509" s="34"/>
      <c r="Q509" s="34"/>
      <c r="R509" s="34"/>
      <c r="S509" s="43"/>
      <c r="T509" s="43"/>
      <c r="U509" s="43"/>
      <c r="V509" s="58"/>
      <c r="W509" s="34"/>
      <c r="X509" s="34"/>
    </row>
    <row r="510" spans="1:24" x14ac:dyDescent="0.2">
      <c r="A510" s="132">
        <v>504</v>
      </c>
      <c r="B510" s="342"/>
      <c r="C510" s="34"/>
      <c r="D510" s="40" t="str">
        <f t="shared" si="15"/>
        <v>2002000504</v>
      </c>
      <c r="E510" s="34"/>
      <c r="F510" s="52"/>
      <c r="G510" s="34"/>
      <c r="H510" s="34"/>
      <c r="I510" s="278"/>
      <c r="J510" s="50" t="str">
        <f t="shared" ca="1" si="16"/>
        <v/>
      </c>
      <c r="K510" s="50" t="str">
        <f ca="1">IFERROR(VLOOKUP($J510,Ref!$B$7:$C$9,2),"")</f>
        <v/>
      </c>
      <c r="L510" s="55"/>
      <c r="M510" s="34"/>
      <c r="N510" s="34"/>
      <c r="O510" s="34"/>
      <c r="P510" s="34"/>
      <c r="Q510" s="34"/>
      <c r="R510" s="34"/>
      <c r="S510" s="43"/>
      <c r="T510" s="43"/>
      <c r="U510" s="43"/>
      <c r="V510" s="58"/>
      <c r="W510" s="34"/>
      <c r="X510" s="34"/>
    </row>
    <row r="511" spans="1:24" x14ac:dyDescent="0.2">
      <c r="A511" s="132">
        <v>505</v>
      </c>
      <c r="B511" s="342"/>
      <c r="C511" s="34"/>
      <c r="D511" s="40" t="str">
        <f t="shared" si="15"/>
        <v>2002000505</v>
      </c>
      <c r="E511" s="34"/>
      <c r="F511" s="52"/>
      <c r="G511" s="34"/>
      <c r="H511" s="34"/>
      <c r="I511" s="278"/>
      <c r="J511" s="50" t="str">
        <f t="shared" ca="1" si="16"/>
        <v/>
      </c>
      <c r="K511" s="50" t="str">
        <f ca="1">IFERROR(VLOOKUP($J511,Ref!$B$7:$C$9,2),"")</f>
        <v/>
      </c>
      <c r="L511" s="55"/>
      <c r="M511" s="34"/>
      <c r="N511" s="34"/>
      <c r="O511" s="34"/>
      <c r="P511" s="34"/>
      <c r="Q511" s="34"/>
      <c r="R511" s="34"/>
      <c r="S511" s="43"/>
      <c r="T511" s="43"/>
      <c r="U511" s="43"/>
      <c r="V511" s="58"/>
      <c r="W511" s="34"/>
      <c r="X511" s="34"/>
    </row>
    <row r="512" spans="1:24" x14ac:dyDescent="0.2">
      <c r="A512" s="132">
        <v>506</v>
      </c>
      <c r="B512" s="342"/>
      <c r="C512" s="34"/>
      <c r="D512" s="40" t="str">
        <f t="shared" si="15"/>
        <v>2002000506</v>
      </c>
      <c r="E512" s="34"/>
      <c r="F512" s="52"/>
      <c r="G512" s="34"/>
      <c r="H512" s="34"/>
      <c r="I512" s="278"/>
      <c r="J512" s="50" t="str">
        <f t="shared" ca="1" si="16"/>
        <v/>
      </c>
      <c r="K512" s="50" t="str">
        <f ca="1">IFERROR(VLOOKUP($J512,Ref!$B$7:$C$9,2),"")</f>
        <v/>
      </c>
      <c r="L512" s="55"/>
      <c r="M512" s="34"/>
      <c r="N512" s="34"/>
      <c r="O512" s="34"/>
      <c r="P512" s="34"/>
      <c r="Q512" s="34"/>
      <c r="R512" s="34"/>
      <c r="S512" s="43"/>
      <c r="T512" s="43"/>
      <c r="U512" s="43"/>
      <c r="V512" s="58"/>
      <c r="W512" s="34"/>
      <c r="X512" s="34"/>
    </row>
    <row r="513" spans="1:24" x14ac:dyDescent="0.2">
      <c r="A513" s="132">
        <v>507</v>
      </c>
      <c r="B513" s="342"/>
      <c r="C513" s="34"/>
      <c r="D513" s="40" t="str">
        <f t="shared" si="15"/>
        <v>2002000507</v>
      </c>
      <c r="E513" s="34"/>
      <c r="F513" s="52"/>
      <c r="G513" s="34"/>
      <c r="H513" s="34"/>
      <c r="I513" s="278"/>
      <c r="J513" s="50" t="str">
        <f t="shared" ca="1" si="16"/>
        <v/>
      </c>
      <c r="K513" s="50" t="str">
        <f ca="1">IFERROR(VLOOKUP($J513,Ref!$B$7:$C$9,2),"")</f>
        <v/>
      </c>
      <c r="L513" s="55"/>
      <c r="M513" s="34"/>
      <c r="N513" s="34"/>
      <c r="O513" s="34"/>
      <c r="P513" s="34"/>
      <c r="Q513" s="34"/>
      <c r="R513" s="34"/>
      <c r="S513" s="43"/>
      <c r="T513" s="43"/>
      <c r="U513" s="43"/>
      <c r="V513" s="58"/>
      <c r="W513" s="34"/>
      <c r="X513" s="34"/>
    </row>
    <row r="514" spans="1:24" x14ac:dyDescent="0.2">
      <c r="A514" s="132">
        <v>508</v>
      </c>
      <c r="B514" s="342"/>
      <c r="C514" s="34"/>
      <c r="D514" s="40" t="str">
        <f t="shared" si="15"/>
        <v>2002000508</v>
      </c>
      <c r="E514" s="34"/>
      <c r="F514" s="52"/>
      <c r="G514" s="34"/>
      <c r="H514" s="34"/>
      <c r="I514" s="278"/>
      <c r="J514" s="50" t="str">
        <f t="shared" ca="1" si="16"/>
        <v/>
      </c>
      <c r="K514" s="50" t="str">
        <f ca="1">IFERROR(VLOOKUP($J514,Ref!$B$7:$C$9,2),"")</f>
        <v/>
      </c>
      <c r="L514" s="55"/>
      <c r="M514" s="34"/>
      <c r="N514" s="34"/>
      <c r="O514" s="34"/>
      <c r="P514" s="34"/>
      <c r="Q514" s="34"/>
      <c r="R514" s="34"/>
      <c r="S514" s="43"/>
      <c r="T514" s="43"/>
      <c r="U514" s="43"/>
      <c r="V514" s="58"/>
      <c r="W514" s="34"/>
      <c r="X514" s="34"/>
    </row>
    <row r="515" spans="1:24" x14ac:dyDescent="0.2">
      <c r="A515" s="132">
        <v>509</v>
      </c>
      <c r="B515" s="342"/>
      <c r="C515" s="34"/>
      <c r="D515" s="40" t="str">
        <f t="shared" si="15"/>
        <v>2002000509</v>
      </c>
      <c r="E515" s="34"/>
      <c r="F515" s="52"/>
      <c r="G515" s="34"/>
      <c r="H515" s="34"/>
      <c r="I515" s="278"/>
      <c r="J515" s="50" t="str">
        <f t="shared" ca="1" si="16"/>
        <v/>
      </c>
      <c r="K515" s="50" t="str">
        <f ca="1">IFERROR(VLOOKUP($J515,Ref!$B$7:$C$9,2),"")</f>
        <v/>
      </c>
      <c r="L515" s="55"/>
      <c r="M515" s="34"/>
      <c r="N515" s="34"/>
      <c r="O515" s="34"/>
      <c r="P515" s="34"/>
      <c r="Q515" s="34"/>
      <c r="R515" s="34"/>
      <c r="S515" s="43"/>
      <c r="T515" s="43"/>
      <c r="U515" s="43"/>
      <c r="V515" s="58"/>
      <c r="W515" s="34"/>
      <c r="X515" s="34"/>
    </row>
    <row r="516" spans="1:24" x14ac:dyDescent="0.2">
      <c r="A516" s="132">
        <v>510</v>
      </c>
      <c r="B516" s="342"/>
      <c r="C516" s="34"/>
      <c r="D516" s="40" t="str">
        <f t="shared" si="15"/>
        <v>2002000510</v>
      </c>
      <c r="E516" s="34"/>
      <c r="F516" s="52"/>
      <c r="G516" s="34"/>
      <c r="H516" s="34"/>
      <c r="I516" s="278"/>
      <c r="J516" s="50" t="str">
        <f t="shared" ca="1" si="16"/>
        <v/>
      </c>
      <c r="K516" s="50" t="str">
        <f ca="1">IFERROR(VLOOKUP($J516,Ref!$B$7:$C$9,2),"")</f>
        <v/>
      </c>
      <c r="L516" s="55"/>
      <c r="M516" s="34"/>
      <c r="N516" s="34"/>
      <c r="O516" s="34"/>
      <c r="P516" s="34"/>
      <c r="Q516" s="34"/>
      <c r="R516" s="34"/>
      <c r="S516" s="43"/>
      <c r="T516" s="43"/>
      <c r="U516" s="43"/>
      <c r="V516" s="58"/>
      <c r="W516" s="34"/>
      <c r="X516" s="34"/>
    </row>
    <row r="517" spans="1:24" x14ac:dyDescent="0.2">
      <c r="A517" s="132">
        <v>511</v>
      </c>
      <c r="B517" s="342"/>
      <c r="C517" s="34"/>
      <c r="D517" s="40" t="str">
        <f t="shared" si="15"/>
        <v>2002000511</v>
      </c>
      <c r="E517" s="34"/>
      <c r="F517" s="52"/>
      <c r="G517" s="34"/>
      <c r="H517" s="34"/>
      <c r="I517" s="278"/>
      <c r="J517" s="50" t="str">
        <f t="shared" ca="1" si="16"/>
        <v/>
      </c>
      <c r="K517" s="50" t="str">
        <f ca="1">IFERROR(VLOOKUP($J517,Ref!$B$7:$C$9,2),"")</f>
        <v/>
      </c>
      <c r="L517" s="55"/>
      <c r="M517" s="34"/>
      <c r="N517" s="34"/>
      <c r="O517" s="34"/>
      <c r="P517" s="34"/>
      <c r="Q517" s="34"/>
      <c r="R517" s="34"/>
      <c r="S517" s="43"/>
      <c r="T517" s="43"/>
      <c r="U517" s="43"/>
      <c r="V517" s="58"/>
      <c r="W517" s="34"/>
      <c r="X517" s="34"/>
    </row>
    <row r="518" spans="1:24" x14ac:dyDescent="0.2">
      <c r="A518" s="132">
        <v>512</v>
      </c>
      <c r="B518" s="342"/>
      <c r="C518" s="34"/>
      <c r="D518" s="40" t="str">
        <f t="shared" si="15"/>
        <v>2002000512</v>
      </c>
      <c r="E518" s="34"/>
      <c r="F518" s="52"/>
      <c r="G518" s="34"/>
      <c r="H518" s="34"/>
      <c r="I518" s="278"/>
      <c r="J518" s="50" t="str">
        <f t="shared" ca="1" si="16"/>
        <v/>
      </c>
      <c r="K518" s="50" t="str">
        <f ca="1">IFERROR(VLOOKUP($J518,Ref!$B$7:$C$9,2),"")</f>
        <v/>
      </c>
      <c r="L518" s="55"/>
      <c r="M518" s="34"/>
      <c r="N518" s="34"/>
      <c r="O518" s="34"/>
      <c r="P518" s="34"/>
      <c r="Q518" s="34"/>
      <c r="R518" s="34"/>
      <c r="S518" s="43"/>
      <c r="T518" s="43"/>
      <c r="U518" s="43"/>
      <c r="V518" s="58"/>
      <c r="W518" s="34"/>
      <c r="X518" s="34"/>
    </row>
    <row r="519" spans="1:24" x14ac:dyDescent="0.2">
      <c r="A519" s="132">
        <v>513</v>
      </c>
      <c r="B519" s="342"/>
      <c r="C519" s="34"/>
      <c r="D519" s="40" t="str">
        <f t="shared" si="15"/>
        <v>2002000513</v>
      </c>
      <c r="E519" s="34"/>
      <c r="F519" s="52"/>
      <c r="G519" s="34"/>
      <c r="H519" s="34"/>
      <c r="I519" s="278"/>
      <c r="J519" s="50" t="str">
        <f t="shared" ca="1" si="16"/>
        <v/>
      </c>
      <c r="K519" s="50" t="str">
        <f ca="1">IFERROR(VLOOKUP($J519,Ref!$B$7:$C$9,2),"")</f>
        <v/>
      </c>
      <c r="L519" s="55"/>
      <c r="M519" s="34"/>
      <c r="N519" s="34"/>
      <c r="O519" s="34"/>
      <c r="P519" s="34"/>
      <c r="Q519" s="34"/>
      <c r="R519" s="34"/>
      <c r="S519" s="43"/>
      <c r="T519" s="43"/>
      <c r="U519" s="43"/>
      <c r="V519" s="58"/>
      <c r="W519" s="34"/>
      <c r="X519" s="34"/>
    </row>
    <row r="520" spans="1:24" x14ac:dyDescent="0.2">
      <c r="A520" s="132">
        <v>514</v>
      </c>
      <c r="B520" s="342"/>
      <c r="C520" s="34"/>
      <c r="D520" s="40" t="str">
        <f t="shared" ref="D520:D583" si="17">IF(A520="","",LEFT($C$3,LEN($C$3)-LEN(A520))&amp;A520)</f>
        <v>2002000514</v>
      </c>
      <c r="E520" s="34"/>
      <c r="F520" s="52"/>
      <c r="G520" s="34"/>
      <c r="H520" s="34"/>
      <c r="I520" s="278"/>
      <c r="J520" s="50" t="str">
        <f t="shared" ca="1" si="16"/>
        <v/>
      </c>
      <c r="K520" s="50" t="str">
        <f ca="1">IFERROR(VLOOKUP($J520,Ref!$B$7:$C$9,2),"")</f>
        <v/>
      </c>
      <c r="L520" s="55"/>
      <c r="M520" s="34"/>
      <c r="N520" s="34"/>
      <c r="O520" s="34"/>
      <c r="P520" s="34"/>
      <c r="Q520" s="34"/>
      <c r="R520" s="34"/>
      <c r="S520" s="43"/>
      <c r="T520" s="43"/>
      <c r="U520" s="43"/>
      <c r="V520" s="58"/>
      <c r="W520" s="34"/>
      <c r="X520" s="34"/>
    </row>
    <row r="521" spans="1:24" x14ac:dyDescent="0.2">
      <c r="A521" s="132">
        <v>515</v>
      </c>
      <c r="B521" s="342"/>
      <c r="C521" s="34"/>
      <c r="D521" s="40" t="str">
        <f t="shared" si="17"/>
        <v>2002000515</v>
      </c>
      <c r="E521" s="34"/>
      <c r="F521" s="52"/>
      <c r="G521" s="34"/>
      <c r="H521" s="34"/>
      <c r="I521" s="278"/>
      <c r="J521" s="50" t="str">
        <f t="shared" ca="1" si="16"/>
        <v/>
      </c>
      <c r="K521" s="50" t="str">
        <f ca="1">IFERROR(VLOOKUP($J521,Ref!$B$7:$C$9,2),"")</f>
        <v/>
      </c>
      <c r="L521" s="55"/>
      <c r="M521" s="34"/>
      <c r="N521" s="34"/>
      <c r="O521" s="34"/>
      <c r="P521" s="34"/>
      <c r="Q521" s="34"/>
      <c r="R521" s="34"/>
      <c r="S521" s="43"/>
      <c r="T521" s="43"/>
      <c r="U521" s="43"/>
      <c r="V521" s="58"/>
      <c r="W521" s="34"/>
      <c r="X521" s="34"/>
    </row>
    <row r="522" spans="1:24" x14ac:dyDescent="0.2">
      <c r="A522" s="132">
        <v>516</v>
      </c>
      <c r="B522" s="342"/>
      <c r="C522" s="34"/>
      <c r="D522" s="40" t="str">
        <f t="shared" si="17"/>
        <v>2002000516</v>
      </c>
      <c r="E522" s="34"/>
      <c r="F522" s="52"/>
      <c r="G522" s="34"/>
      <c r="H522" s="34"/>
      <c r="I522" s="278"/>
      <c r="J522" s="50" t="str">
        <f t="shared" ca="1" si="16"/>
        <v/>
      </c>
      <c r="K522" s="50" t="str">
        <f ca="1">IFERROR(VLOOKUP($J522,Ref!$B$7:$C$9,2),"")</f>
        <v/>
      </c>
      <c r="L522" s="55"/>
      <c r="M522" s="34"/>
      <c r="N522" s="34"/>
      <c r="O522" s="34"/>
      <c r="P522" s="34"/>
      <c r="Q522" s="34"/>
      <c r="R522" s="34"/>
      <c r="S522" s="43"/>
      <c r="T522" s="43"/>
      <c r="U522" s="43"/>
      <c r="V522" s="58"/>
      <c r="W522" s="34"/>
      <c r="X522" s="34"/>
    </row>
    <row r="523" spans="1:24" x14ac:dyDescent="0.2">
      <c r="A523" s="132">
        <v>517</v>
      </c>
      <c r="B523" s="342"/>
      <c r="C523" s="34"/>
      <c r="D523" s="40" t="str">
        <f t="shared" si="17"/>
        <v>2002000517</v>
      </c>
      <c r="E523" s="34"/>
      <c r="F523" s="52"/>
      <c r="G523" s="34"/>
      <c r="H523" s="34"/>
      <c r="I523" s="278"/>
      <c r="J523" s="50" t="str">
        <f t="shared" ca="1" si="16"/>
        <v/>
      </c>
      <c r="K523" s="50" t="str">
        <f ca="1">IFERROR(VLOOKUP($J523,Ref!$B$7:$C$9,2),"")</f>
        <v/>
      </c>
      <c r="L523" s="55"/>
      <c r="M523" s="34"/>
      <c r="N523" s="34"/>
      <c r="O523" s="34"/>
      <c r="P523" s="34"/>
      <c r="Q523" s="34"/>
      <c r="R523" s="34"/>
      <c r="S523" s="43"/>
      <c r="T523" s="43"/>
      <c r="U523" s="43"/>
      <c r="V523" s="58"/>
      <c r="W523" s="34"/>
      <c r="X523" s="34"/>
    </row>
    <row r="524" spans="1:24" x14ac:dyDescent="0.2">
      <c r="A524" s="132">
        <v>518</v>
      </c>
      <c r="B524" s="342"/>
      <c r="C524" s="34"/>
      <c r="D524" s="40" t="str">
        <f t="shared" si="17"/>
        <v>2002000518</v>
      </c>
      <c r="E524" s="34"/>
      <c r="F524" s="52"/>
      <c r="G524" s="34"/>
      <c r="H524" s="34"/>
      <c r="I524" s="278"/>
      <c r="J524" s="50" t="str">
        <f t="shared" ca="1" si="16"/>
        <v/>
      </c>
      <c r="K524" s="50" t="str">
        <f ca="1">IFERROR(VLOOKUP($J524,Ref!$B$7:$C$9,2),"")</f>
        <v/>
      </c>
      <c r="L524" s="55"/>
      <c r="M524" s="34"/>
      <c r="N524" s="34"/>
      <c r="O524" s="34"/>
      <c r="P524" s="34"/>
      <c r="Q524" s="34"/>
      <c r="R524" s="34"/>
      <c r="S524" s="43"/>
      <c r="T524" s="43"/>
      <c r="U524" s="43"/>
      <c r="V524" s="58"/>
      <c r="W524" s="34"/>
      <c r="X524" s="34"/>
    </row>
    <row r="525" spans="1:24" x14ac:dyDescent="0.2">
      <c r="A525" s="132">
        <v>519</v>
      </c>
      <c r="B525" s="342"/>
      <c r="C525" s="34"/>
      <c r="D525" s="40" t="str">
        <f t="shared" si="17"/>
        <v>2002000519</v>
      </c>
      <c r="E525" s="34"/>
      <c r="F525" s="52"/>
      <c r="G525" s="34"/>
      <c r="H525" s="34"/>
      <c r="I525" s="278"/>
      <c r="J525" s="50" t="str">
        <f t="shared" ca="1" si="16"/>
        <v/>
      </c>
      <c r="K525" s="50" t="str">
        <f ca="1">IFERROR(VLOOKUP($J525,Ref!$B$7:$C$9,2),"")</f>
        <v/>
      </c>
      <c r="L525" s="55"/>
      <c r="M525" s="34"/>
      <c r="N525" s="34"/>
      <c r="O525" s="34"/>
      <c r="P525" s="34"/>
      <c r="Q525" s="34"/>
      <c r="R525" s="34"/>
      <c r="S525" s="43"/>
      <c r="T525" s="43"/>
      <c r="U525" s="43"/>
      <c r="V525" s="58"/>
      <c r="W525" s="34"/>
      <c r="X525" s="34"/>
    </row>
    <row r="526" spans="1:24" x14ac:dyDescent="0.2">
      <c r="A526" s="132">
        <v>520</v>
      </c>
      <c r="B526" s="342"/>
      <c r="C526" s="34"/>
      <c r="D526" s="40" t="str">
        <f t="shared" si="17"/>
        <v>2002000520</v>
      </c>
      <c r="E526" s="34"/>
      <c r="F526" s="52"/>
      <c r="G526" s="34"/>
      <c r="H526" s="34"/>
      <c r="I526" s="278"/>
      <c r="J526" s="50" t="str">
        <f t="shared" ca="1" si="16"/>
        <v/>
      </c>
      <c r="K526" s="50" t="str">
        <f ca="1">IFERROR(VLOOKUP($J526,Ref!$B$7:$C$9,2),"")</f>
        <v/>
      </c>
      <c r="L526" s="55"/>
      <c r="M526" s="34"/>
      <c r="N526" s="34"/>
      <c r="O526" s="34"/>
      <c r="P526" s="34"/>
      <c r="Q526" s="34"/>
      <c r="R526" s="34"/>
      <c r="S526" s="43"/>
      <c r="T526" s="43"/>
      <c r="U526" s="43"/>
      <c r="V526" s="58"/>
      <c r="W526" s="34"/>
      <c r="X526" s="34"/>
    </row>
    <row r="527" spans="1:24" x14ac:dyDescent="0.2">
      <c r="A527" s="132">
        <v>521</v>
      </c>
      <c r="B527" s="342"/>
      <c r="C527" s="34"/>
      <c r="D527" s="40" t="str">
        <f t="shared" si="17"/>
        <v>2002000521</v>
      </c>
      <c r="E527" s="34"/>
      <c r="F527" s="52"/>
      <c r="G527" s="34"/>
      <c r="H527" s="34"/>
      <c r="I527" s="278"/>
      <c r="J527" s="50" t="str">
        <f t="shared" ca="1" si="16"/>
        <v/>
      </c>
      <c r="K527" s="50" t="str">
        <f ca="1">IFERROR(VLOOKUP($J527,Ref!$B$7:$C$9,2),"")</f>
        <v/>
      </c>
      <c r="L527" s="55"/>
      <c r="M527" s="34"/>
      <c r="N527" s="34"/>
      <c r="O527" s="34"/>
      <c r="P527" s="34"/>
      <c r="Q527" s="34"/>
      <c r="R527" s="34"/>
      <c r="S527" s="43"/>
      <c r="T527" s="43"/>
      <c r="U527" s="43"/>
      <c r="V527" s="58"/>
      <c r="W527" s="34"/>
      <c r="X527" s="34"/>
    </row>
    <row r="528" spans="1:24" x14ac:dyDescent="0.2">
      <c r="A528" s="132">
        <v>522</v>
      </c>
      <c r="B528" s="342"/>
      <c r="C528" s="34"/>
      <c r="D528" s="40" t="str">
        <f t="shared" si="17"/>
        <v>2002000522</v>
      </c>
      <c r="E528" s="34"/>
      <c r="F528" s="52"/>
      <c r="G528" s="34"/>
      <c r="H528" s="34"/>
      <c r="I528" s="278"/>
      <c r="J528" s="50" t="str">
        <f t="shared" ca="1" si="16"/>
        <v/>
      </c>
      <c r="K528" s="50" t="str">
        <f ca="1">IFERROR(VLOOKUP($J528,Ref!$B$7:$C$9,2),"")</f>
        <v/>
      </c>
      <c r="L528" s="55"/>
      <c r="M528" s="34"/>
      <c r="N528" s="34"/>
      <c r="O528" s="34"/>
      <c r="P528" s="34"/>
      <c r="Q528" s="34"/>
      <c r="R528" s="34"/>
      <c r="S528" s="43"/>
      <c r="T528" s="43"/>
      <c r="U528" s="43"/>
      <c r="V528" s="58"/>
      <c r="W528" s="34"/>
      <c r="X528" s="34"/>
    </row>
    <row r="529" spans="1:24" x14ac:dyDescent="0.2">
      <c r="A529" s="132">
        <v>523</v>
      </c>
      <c r="B529" s="342"/>
      <c r="C529" s="34"/>
      <c r="D529" s="40" t="str">
        <f t="shared" si="17"/>
        <v>2002000523</v>
      </c>
      <c r="E529" s="34"/>
      <c r="F529" s="52"/>
      <c r="G529" s="34"/>
      <c r="H529" s="34"/>
      <c r="I529" s="278"/>
      <c r="J529" s="50" t="str">
        <f t="shared" ca="1" si="16"/>
        <v/>
      </c>
      <c r="K529" s="50" t="str">
        <f ca="1">IFERROR(VLOOKUP($J529,Ref!$B$7:$C$9,2),"")</f>
        <v/>
      </c>
      <c r="L529" s="55"/>
      <c r="M529" s="34"/>
      <c r="N529" s="34"/>
      <c r="O529" s="34"/>
      <c r="P529" s="34"/>
      <c r="Q529" s="34"/>
      <c r="R529" s="34"/>
      <c r="S529" s="43"/>
      <c r="T529" s="43"/>
      <c r="U529" s="43"/>
      <c r="V529" s="58"/>
      <c r="W529" s="34"/>
      <c r="X529" s="34"/>
    </row>
    <row r="530" spans="1:24" x14ac:dyDescent="0.2">
      <c r="A530" s="132">
        <v>524</v>
      </c>
      <c r="B530" s="342"/>
      <c r="C530" s="34"/>
      <c r="D530" s="40" t="str">
        <f t="shared" si="17"/>
        <v>2002000524</v>
      </c>
      <c r="E530" s="34"/>
      <c r="F530" s="52"/>
      <c r="G530" s="34"/>
      <c r="H530" s="34"/>
      <c r="I530" s="278"/>
      <c r="J530" s="50" t="str">
        <f t="shared" ca="1" si="16"/>
        <v/>
      </c>
      <c r="K530" s="50" t="str">
        <f ca="1">IFERROR(VLOOKUP($J530,Ref!$B$7:$C$9,2),"")</f>
        <v/>
      </c>
      <c r="L530" s="55"/>
      <c r="M530" s="34"/>
      <c r="N530" s="34"/>
      <c r="O530" s="34"/>
      <c r="P530" s="34"/>
      <c r="Q530" s="34"/>
      <c r="R530" s="34"/>
      <c r="S530" s="43"/>
      <c r="T530" s="43"/>
      <c r="U530" s="43"/>
      <c r="V530" s="58"/>
      <c r="W530" s="34"/>
      <c r="X530" s="34"/>
    </row>
    <row r="531" spans="1:24" x14ac:dyDescent="0.2">
      <c r="A531" s="132">
        <v>525</v>
      </c>
      <c r="B531" s="342"/>
      <c r="C531" s="34"/>
      <c r="D531" s="40" t="str">
        <f t="shared" si="17"/>
        <v>2002000525</v>
      </c>
      <c r="E531" s="34"/>
      <c r="F531" s="52"/>
      <c r="G531" s="34"/>
      <c r="H531" s="34"/>
      <c r="I531" s="278"/>
      <c r="J531" s="50" t="str">
        <f t="shared" ca="1" si="16"/>
        <v/>
      </c>
      <c r="K531" s="50" t="str">
        <f ca="1">IFERROR(VLOOKUP($J531,Ref!$B$7:$C$9,2),"")</f>
        <v/>
      </c>
      <c r="L531" s="55"/>
      <c r="M531" s="34"/>
      <c r="N531" s="34"/>
      <c r="O531" s="34"/>
      <c r="P531" s="34"/>
      <c r="Q531" s="34"/>
      <c r="R531" s="34"/>
      <c r="S531" s="43"/>
      <c r="T531" s="43"/>
      <c r="U531" s="43"/>
      <c r="V531" s="58"/>
      <c r="W531" s="34"/>
      <c r="X531" s="34"/>
    </row>
    <row r="532" spans="1:24" x14ac:dyDescent="0.2">
      <c r="A532" s="132">
        <v>526</v>
      </c>
      <c r="B532" s="342"/>
      <c r="C532" s="34"/>
      <c r="D532" s="40" t="str">
        <f t="shared" si="17"/>
        <v>2002000526</v>
      </c>
      <c r="E532" s="34"/>
      <c r="F532" s="52"/>
      <c r="G532" s="34"/>
      <c r="H532" s="34"/>
      <c r="I532" s="278"/>
      <c r="J532" s="50" t="str">
        <f t="shared" ca="1" si="16"/>
        <v/>
      </c>
      <c r="K532" s="50" t="str">
        <f ca="1">IFERROR(VLOOKUP($J532,Ref!$B$7:$C$9,2),"")</f>
        <v/>
      </c>
      <c r="L532" s="55"/>
      <c r="M532" s="34"/>
      <c r="N532" s="34"/>
      <c r="O532" s="34"/>
      <c r="P532" s="34"/>
      <c r="Q532" s="34"/>
      <c r="R532" s="34"/>
      <c r="S532" s="43"/>
      <c r="T532" s="43"/>
      <c r="U532" s="43"/>
      <c r="V532" s="58"/>
      <c r="W532" s="34"/>
      <c r="X532" s="34"/>
    </row>
    <row r="533" spans="1:24" x14ac:dyDescent="0.2">
      <c r="A533" s="132">
        <v>527</v>
      </c>
      <c r="B533" s="342"/>
      <c r="C533" s="34"/>
      <c r="D533" s="40" t="str">
        <f t="shared" si="17"/>
        <v>2002000527</v>
      </c>
      <c r="E533" s="34"/>
      <c r="F533" s="52"/>
      <c r="G533" s="34"/>
      <c r="H533" s="34"/>
      <c r="I533" s="278"/>
      <c r="J533" s="50" t="str">
        <f t="shared" ca="1" si="16"/>
        <v/>
      </c>
      <c r="K533" s="50" t="str">
        <f ca="1">IFERROR(VLOOKUP($J533,Ref!$B$7:$C$9,2),"")</f>
        <v/>
      </c>
      <c r="L533" s="55"/>
      <c r="M533" s="34"/>
      <c r="N533" s="34"/>
      <c r="O533" s="34"/>
      <c r="P533" s="34"/>
      <c r="Q533" s="34"/>
      <c r="R533" s="34"/>
      <c r="S533" s="43"/>
      <c r="T533" s="43"/>
      <c r="U533" s="43"/>
      <c r="V533" s="58"/>
      <c r="W533" s="34"/>
      <c r="X533" s="34"/>
    </row>
    <row r="534" spans="1:24" x14ac:dyDescent="0.2">
      <c r="A534" s="132">
        <v>528</v>
      </c>
      <c r="B534" s="342"/>
      <c r="C534" s="34"/>
      <c r="D534" s="40" t="str">
        <f t="shared" si="17"/>
        <v>2002000528</v>
      </c>
      <c r="E534" s="34"/>
      <c r="F534" s="52"/>
      <c r="G534" s="34"/>
      <c r="H534" s="34"/>
      <c r="I534" s="278"/>
      <c r="J534" s="50" t="str">
        <f t="shared" ca="1" si="16"/>
        <v/>
      </c>
      <c r="K534" s="50" t="str">
        <f ca="1">IFERROR(VLOOKUP($J534,Ref!$B$7:$C$9,2),"")</f>
        <v/>
      </c>
      <c r="L534" s="55"/>
      <c r="M534" s="34"/>
      <c r="N534" s="34"/>
      <c r="O534" s="34"/>
      <c r="P534" s="34"/>
      <c r="Q534" s="34"/>
      <c r="R534" s="34"/>
      <c r="S534" s="43"/>
      <c r="T534" s="43"/>
      <c r="U534" s="43"/>
      <c r="V534" s="58"/>
      <c r="W534" s="34"/>
      <c r="X534" s="34"/>
    </row>
    <row r="535" spans="1:24" x14ac:dyDescent="0.2">
      <c r="A535" s="132">
        <v>529</v>
      </c>
      <c r="B535" s="342"/>
      <c r="C535" s="34"/>
      <c r="D535" s="40" t="str">
        <f t="shared" si="17"/>
        <v>2002000529</v>
      </c>
      <c r="E535" s="34"/>
      <c r="F535" s="52"/>
      <c r="G535" s="34"/>
      <c r="H535" s="34"/>
      <c r="I535" s="278"/>
      <c r="J535" s="50" t="str">
        <f t="shared" ca="1" si="16"/>
        <v/>
      </c>
      <c r="K535" s="50" t="str">
        <f ca="1">IFERROR(VLOOKUP($J535,Ref!$B$7:$C$9,2),"")</f>
        <v/>
      </c>
      <c r="L535" s="55"/>
      <c r="M535" s="34"/>
      <c r="N535" s="34"/>
      <c r="O535" s="34"/>
      <c r="P535" s="34"/>
      <c r="Q535" s="34"/>
      <c r="R535" s="34"/>
      <c r="S535" s="43"/>
      <c r="T535" s="43"/>
      <c r="U535" s="43"/>
      <c r="V535" s="58"/>
      <c r="W535" s="34"/>
      <c r="X535" s="34"/>
    </row>
    <row r="536" spans="1:24" x14ac:dyDescent="0.2">
      <c r="A536" s="132">
        <v>530</v>
      </c>
      <c r="B536" s="342"/>
      <c r="C536" s="34"/>
      <c r="D536" s="40" t="str">
        <f t="shared" si="17"/>
        <v>2002000530</v>
      </c>
      <c r="E536" s="34"/>
      <c r="F536" s="52"/>
      <c r="G536" s="34"/>
      <c r="H536" s="34"/>
      <c r="I536" s="278"/>
      <c r="J536" s="50" t="str">
        <f t="shared" ref="J536:J599" ca="1" si="18">IF(I536="","",(TODAY()-$I536)/365)</f>
        <v/>
      </c>
      <c r="K536" s="50" t="str">
        <f ca="1">IFERROR(VLOOKUP($J536,Ref!$B$7:$C$9,2),"")</f>
        <v/>
      </c>
      <c r="L536" s="55"/>
      <c r="M536" s="34"/>
      <c r="N536" s="34"/>
      <c r="O536" s="34"/>
      <c r="P536" s="34"/>
      <c r="Q536" s="34"/>
      <c r="R536" s="34"/>
      <c r="S536" s="43"/>
      <c r="T536" s="43"/>
      <c r="U536" s="43"/>
      <c r="V536" s="58"/>
      <c r="W536" s="34"/>
      <c r="X536" s="34"/>
    </row>
    <row r="537" spans="1:24" x14ac:dyDescent="0.2">
      <c r="A537" s="132">
        <v>531</v>
      </c>
      <c r="B537" s="342"/>
      <c r="C537" s="34"/>
      <c r="D537" s="40" t="str">
        <f t="shared" si="17"/>
        <v>2002000531</v>
      </c>
      <c r="E537" s="34"/>
      <c r="F537" s="52"/>
      <c r="G537" s="34"/>
      <c r="H537" s="34"/>
      <c r="I537" s="278"/>
      <c r="J537" s="50" t="str">
        <f t="shared" ca="1" si="18"/>
        <v/>
      </c>
      <c r="K537" s="50" t="str">
        <f ca="1">IFERROR(VLOOKUP($J537,Ref!$B$7:$C$9,2),"")</f>
        <v/>
      </c>
      <c r="L537" s="55"/>
      <c r="M537" s="34"/>
      <c r="N537" s="34"/>
      <c r="O537" s="34"/>
      <c r="P537" s="34"/>
      <c r="Q537" s="34"/>
      <c r="R537" s="34"/>
      <c r="S537" s="43"/>
      <c r="T537" s="43"/>
      <c r="U537" s="43"/>
      <c r="V537" s="58"/>
      <c r="W537" s="34"/>
      <c r="X537" s="34"/>
    </row>
    <row r="538" spans="1:24" x14ac:dyDescent="0.2">
      <c r="A538" s="132">
        <v>532</v>
      </c>
      <c r="B538" s="342"/>
      <c r="C538" s="34"/>
      <c r="D538" s="40" t="str">
        <f t="shared" si="17"/>
        <v>2002000532</v>
      </c>
      <c r="E538" s="34"/>
      <c r="F538" s="52"/>
      <c r="G538" s="34"/>
      <c r="H538" s="34"/>
      <c r="I538" s="278"/>
      <c r="J538" s="50" t="str">
        <f t="shared" ca="1" si="18"/>
        <v/>
      </c>
      <c r="K538" s="50" t="str">
        <f ca="1">IFERROR(VLOOKUP($J538,Ref!$B$7:$C$9,2),"")</f>
        <v/>
      </c>
      <c r="L538" s="55"/>
      <c r="M538" s="34"/>
      <c r="N538" s="34"/>
      <c r="O538" s="34"/>
      <c r="P538" s="34"/>
      <c r="Q538" s="34"/>
      <c r="R538" s="34"/>
      <c r="S538" s="43"/>
      <c r="T538" s="43"/>
      <c r="U538" s="43"/>
      <c r="V538" s="58"/>
      <c r="W538" s="34"/>
      <c r="X538" s="34"/>
    </row>
    <row r="539" spans="1:24" x14ac:dyDescent="0.2">
      <c r="A539" s="132">
        <v>533</v>
      </c>
      <c r="B539" s="342"/>
      <c r="C539" s="34"/>
      <c r="D539" s="40" t="str">
        <f t="shared" si="17"/>
        <v>2002000533</v>
      </c>
      <c r="E539" s="34"/>
      <c r="F539" s="52"/>
      <c r="G539" s="34"/>
      <c r="H539" s="34"/>
      <c r="I539" s="278"/>
      <c r="J539" s="50" t="str">
        <f t="shared" ca="1" si="18"/>
        <v/>
      </c>
      <c r="K539" s="50" t="str">
        <f ca="1">IFERROR(VLOOKUP($J539,Ref!$B$7:$C$9,2),"")</f>
        <v/>
      </c>
      <c r="L539" s="55"/>
      <c r="M539" s="34"/>
      <c r="N539" s="34"/>
      <c r="O539" s="34"/>
      <c r="P539" s="34"/>
      <c r="Q539" s="34"/>
      <c r="R539" s="34"/>
      <c r="S539" s="43"/>
      <c r="T539" s="43"/>
      <c r="U539" s="43"/>
      <c r="V539" s="58"/>
      <c r="W539" s="34"/>
      <c r="X539" s="34"/>
    </row>
    <row r="540" spans="1:24" x14ac:dyDescent="0.2">
      <c r="A540" s="132">
        <v>534</v>
      </c>
      <c r="B540" s="342"/>
      <c r="C540" s="34"/>
      <c r="D540" s="40" t="str">
        <f t="shared" si="17"/>
        <v>2002000534</v>
      </c>
      <c r="E540" s="34"/>
      <c r="F540" s="52"/>
      <c r="G540" s="34"/>
      <c r="H540" s="34"/>
      <c r="I540" s="278"/>
      <c r="J540" s="50" t="str">
        <f t="shared" ca="1" si="18"/>
        <v/>
      </c>
      <c r="K540" s="50" t="str">
        <f ca="1">IFERROR(VLOOKUP($J540,Ref!$B$7:$C$9,2),"")</f>
        <v/>
      </c>
      <c r="L540" s="55"/>
      <c r="M540" s="34"/>
      <c r="N540" s="34"/>
      <c r="O540" s="34"/>
      <c r="P540" s="34"/>
      <c r="Q540" s="34"/>
      <c r="R540" s="34"/>
      <c r="S540" s="43"/>
      <c r="T540" s="43"/>
      <c r="U540" s="43"/>
      <c r="V540" s="58"/>
      <c r="W540" s="34"/>
      <c r="X540" s="34"/>
    </row>
    <row r="541" spans="1:24" x14ac:dyDescent="0.2">
      <c r="A541" s="132">
        <v>535</v>
      </c>
      <c r="B541" s="342"/>
      <c r="C541" s="34"/>
      <c r="D541" s="40" t="str">
        <f t="shared" si="17"/>
        <v>2002000535</v>
      </c>
      <c r="E541" s="34"/>
      <c r="F541" s="52"/>
      <c r="G541" s="34"/>
      <c r="H541" s="34"/>
      <c r="I541" s="278"/>
      <c r="J541" s="50" t="str">
        <f t="shared" ca="1" si="18"/>
        <v/>
      </c>
      <c r="K541" s="50" t="str">
        <f ca="1">IFERROR(VLOOKUP($J541,Ref!$B$7:$C$9,2),"")</f>
        <v/>
      </c>
      <c r="L541" s="55"/>
      <c r="M541" s="34"/>
      <c r="N541" s="34"/>
      <c r="O541" s="34"/>
      <c r="P541" s="34"/>
      <c r="Q541" s="34"/>
      <c r="R541" s="34"/>
      <c r="S541" s="43"/>
      <c r="T541" s="43"/>
      <c r="U541" s="43"/>
      <c r="V541" s="58"/>
      <c r="W541" s="34"/>
      <c r="X541" s="34"/>
    </row>
    <row r="542" spans="1:24" x14ac:dyDescent="0.2">
      <c r="A542" s="132">
        <v>536</v>
      </c>
      <c r="B542" s="342"/>
      <c r="C542" s="34"/>
      <c r="D542" s="40" t="str">
        <f t="shared" si="17"/>
        <v>2002000536</v>
      </c>
      <c r="E542" s="34"/>
      <c r="F542" s="52"/>
      <c r="G542" s="34"/>
      <c r="H542" s="34"/>
      <c r="I542" s="278"/>
      <c r="J542" s="50" t="str">
        <f t="shared" ca="1" si="18"/>
        <v/>
      </c>
      <c r="K542" s="50" t="str">
        <f ca="1">IFERROR(VLOOKUP($J542,Ref!$B$7:$C$9,2),"")</f>
        <v/>
      </c>
      <c r="L542" s="55"/>
      <c r="M542" s="34"/>
      <c r="N542" s="34"/>
      <c r="O542" s="34"/>
      <c r="P542" s="34"/>
      <c r="Q542" s="34"/>
      <c r="R542" s="34"/>
      <c r="S542" s="43"/>
      <c r="T542" s="43"/>
      <c r="U542" s="43"/>
      <c r="V542" s="58"/>
      <c r="W542" s="34"/>
      <c r="X542" s="34"/>
    </row>
    <row r="543" spans="1:24" x14ac:dyDescent="0.2">
      <c r="A543" s="132">
        <v>537</v>
      </c>
      <c r="B543" s="342"/>
      <c r="C543" s="34"/>
      <c r="D543" s="40" t="str">
        <f t="shared" si="17"/>
        <v>2002000537</v>
      </c>
      <c r="E543" s="34"/>
      <c r="F543" s="52"/>
      <c r="G543" s="34"/>
      <c r="H543" s="34"/>
      <c r="I543" s="278"/>
      <c r="J543" s="50" t="str">
        <f t="shared" ca="1" si="18"/>
        <v/>
      </c>
      <c r="K543" s="50" t="str">
        <f ca="1">IFERROR(VLOOKUP($J543,Ref!$B$7:$C$9,2),"")</f>
        <v/>
      </c>
      <c r="L543" s="55"/>
      <c r="M543" s="34"/>
      <c r="N543" s="34"/>
      <c r="O543" s="34"/>
      <c r="P543" s="34"/>
      <c r="Q543" s="34"/>
      <c r="R543" s="34"/>
      <c r="S543" s="43"/>
      <c r="T543" s="43"/>
      <c r="U543" s="43"/>
      <c r="V543" s="58"/>
      <c r="W543" s="34"/>
      <c r="X543" s="34"/>
    </row>
    <row r="544" spans="1:24" x14ac:dyDescent="0.2">
      <c r="A544" s="132">
        <v>538</v>
      </c>
      <c r="B544" s="342"/>
      <c r="C544" s="34"/>
      <c r="D544" s="40" t="str">
        <f t="shared" si="17"/>
        <v>2002000538</v>
      </c>
      <c r="E544" s="34"/>
      <c r="F544" s="52"/>
      <c r="G544" s="34"/>
      <c r="H544" s="34"/>
      <c r="I544" s="278"/>
      <c r="J544" s="50" t="str">
        <f t="shared" ca="1" si="18"/>
        <v/>
      </c>
      <c r="K544" s="50" t="str">
        <f ca="1">IFERROR(VLOOKUP($J544,Ref!$B$7:$C$9,2),"")</f>
        <v/>
      </c>
      <c r="L544" s="55"/>
      <c r="M544" s="34"/>
      <c r="N544" s="34"/>
      <c r="O544" s="34"/>
      <c r="P544" s="34"/>
      <c r="Q544" s="34"/>
      <c r="R544" s="34"/>
      <c r="S544" s="43"/>
      <c r="T544" s="43"/>
      <c r="U544" s="43"/>
      <c r="V544" s="58"/>
      <c r="W544" s="34"/>
      <c r="X544" s="34"/>
    </row>
    <row r="545" spans="1:24" x14ac:dyDescent="0.2">
      <c r="A545" s="132">
        <v>539</v>
      </c>
      <c r="B545" s="342"/>
      <c r="C545" s="34"/>
      <c r="D545" s="40" t="str">
        <f t="shared" si="17"/>
        <v>2002000539</v>
      </c>
      <c r="E545" s="34"/>
      <c r="F545" s="52"/>
      <c r="G545" s="34"/>
      <c r="H545" s="34"/>
      <c r="I545" s="278"/>
      <c r="J545" s="50" t="str">
        <f t="shared" ca="1" si="18"/>
        <v/>
      </c>
      <c r="K545" s="50" t="str">
        <f ca="1">IFERROR(VLOOKUP($J545,Ref!$B$7:$C$9,2),"")</f>
        <v/>
      </c>
      <c r="L545" s="55"/>
      <c r="M545" s="34"/>
      <c r="N545" s="34"/>
      <c r="O545" s="34"/>
      <c r="P545" s="34"/>
      <c r="Q545" s="34"/>
      <c r="R545" s="34"/>
      <c r="S545" s="43"/>
      <c r="T545" s="43"/>
      <c r="U545" s="43"/>
      <c r="V545" s="58"/>
      <c r="W545" s="34"/>
      <c r="X545" s="34"/>
    </row>
    <row r="546" spans="1:24" x14ac:dyDescent="0.2">
      <c r="A546" s="132">
        <v>540</v>
      </c>
      <c r="B546" s="342"/>
      <c r="C546" s="34"/>
      <c r="D546" s="40" t="str">
        <f t="shared" si="17"/>
        <v>2002000540</v>
      </c>
      <c r="E546" s="34"/>
      <c r="F546" s="52"/>
      <c r="G546" s="34"/>
      <c r="H546" s="34"/>
      <c r="I546" s="278"/>
      <c r="J546" s="50" t="str">
        <f t="shared" ca="1" si="18"/>
        <v/>
      </c>
      <c r="K546" s="50" t="str">
        <f ca="1">IFERROR(VLOOKUP($J546,Ref!$B$7:$C$9,2),"")</f>
        <v/>
      </c>
      <c r="L546" s="55"/>
      <c r="M546" s="34"/>
      <c r="N546" s="34"/>
      <c r="O546" s="34"/>
      <c r="P546" s="34"/>
      <c r="Q546" s="34"/>
      <c r="R546" s="34"/>
      <c r="S546" s="43"/>
      <c r="T546" s="43"/>
      <c r="U546" s="43"/>
      <c r="V546" s="58"/>
      <c r="W546" s="34"/>
      <c r="X546" s="34"/>
    </row>
    <row r="547" spans="1:24" x14ac:dyDescent="0.2">
      <c r="A547" s="132">
        <v>541</v>
      </c>
      <c r="B547" s="342"/>
      <c r="C547" s="34"/>
      <c r="D547" s="40" t="str">
        <f t="shared" si="17"/>
        <v>2002000541</v>
      </c>
      <c r="E547" s="34"/>
      <c r="F547" s="52"/>
      <c r="G547" s="34"/>
      <c r="H547" s="34"/>
      <c r="I547" s="278"/>
      <c r="J547" s="50" t="str">
        <f t="shared" ca="1" si="18"/>
        <v/>
      </c>
      <c r="K547" s="50" t="str">
        <f ca="1">IFERROR(VLOOKUP($J547,Ref!$B$7:$C$9,2),"")</f>
        <v/>
      </c>
      <c r="L547" s="55"/>
      <c r="M547" s="34"/>
      <c r="N547" s="34"/>
      <c r="O547" s="34"/>
      <c r="P547" s="34"/>
      <c r="Q547" s="34"/>
      <c r="R547" s="34"/>
      <c r="S547" s="43"/>
      <c r="T547" s="43"/>
      <c r="U547" s="43"/>
      <c r="V547" s="58"/>
      <c r="W547" s="34"/>
      <c r="X547" s="34"/>
    </row>
    <row r="548" spans="1:24" x14ac:dyDescent="0.2">
      <c r="A548" s="132">
        <v>542</v>
      </c>
      <c r="B548" s="342"/>
      <c r="C548" s="34"/>
      <c r="D548" s="40" t="str">
        <f t="shared" si="17"/>
        <v>2002000542</v>
      </c>
      <c r="E548" s="34"/>
      <c r="F548" s="52"/>
      <c r="G548" s="34"/>
      <c r="H548" s="34"/>
      <c r="I548" s="278"/>
      <c r="J548" s="50" t="str">
        <f t="shared" ca="1" si="18"/>
        <v/>
      </c>
      <c r="K548" s="50" t="str">
        <f ca="1">IFERROR(VLOOKUP($J548,Ref!$B$7:$C$9,2),"")</f>
        <v/>
      </c>
      <c r="L548" s="55"/>
      <c r="M548" s="34"/>
      <c r="N548" s="34"/>
      <c r="O548" s="34"/>
      <c r="P548" s="34"/>
      <c r="Q548" s="34"/>
      <c r="R548" s="34"/>
      <c r="S548" s="43"/>
      <c r="T548" s="43"/>
      <c r="U548" s="43"/>
      <c r="V548" s="58"/>
      <c r="W548" s="34"/>
      <c r="X548" s="34"/>
    </row>
    <row r="549" spans="1:24" x14ac:dyDescent="0.2">
      <c r="A549" s="132">
        <v>543</v>
      </c>
      <c r="B549" s="342"/>
      <c r="C549" s="34"/>
      <c r="D549" s="40" t="str">
        <f t="shared" si="17"/>
        <v>2002000543</v>
      </c>
      <c r="E549" s="34"/>
      <c r="F549" s="52"/>
      <c r="G549" s="34"/>
      <c r="H549" s="34"/>
      <c r="I549" s="278"/>
      <c r="J549" s="50" t="str">
        <f t="shared" ca="1" si="18"/>
        <v/>
      </c>
      <c r="K549" s="50" t="str">
        <f ca="1">IFERROR(VLOOKUP($J549,Ref!$B$7:$C$9,2),"")</f>
        <v/>
      </c>
      <c r="L549" s="55"/>
      <c r="M549" s="34"/>
      <c r="N549" s="34"/>
      <c r="O549" s="34"/>
      <c r="P549" s="34"/>
      <c r="Q549" s="34"/>
      <c r="R549" s="34"/>
      <c r="S549" s="43"/>
      <c r="T549" s="43"/>
      <c r="U549" s="43"/>
      <c r="V549" s="58"/>
      <c r="W549" s="34"/>
      <c r="X549" s="34"/>
    </row>
    <row r="550" spans="1:24" x14ac:dyDescent="0.2">
      <c r="A550" s="132">
        <v>544</v>
      </c>
      <c r="B550" s="342"/>
      <c r="C550" s="34"/>
      <c r="D550" s="40" t="str">
        <f t="shared" si="17"/>
        <v>2002000544</v>
      </c>
      <c r="E550" s="34"/>
      <c r="F550" s="52"/>
      <c r="G550" s="34"/>
      <c r="H550" s="34"/>
      <c r="I550" s="278"/>
      <c r="J550" s="50" t="str">
        <f t="shared" ca="1" si="18"/>
        <v/>
      </c>
      <c r="K550" s="50" t="str">
        <f ca="1">IFERROR(VLOOKUP($J550,Ref!$B$7:$C$9,2),"")</f>
        <v/>
      </c>
      <c r="L550" s="55"/>
      <c r="M550" s="34"/>
      <c r="N550" s="34"/>
      <c r="O550" s="34"/>
      <c r="P550" s="34"/>
      <c r="Q550" s="34"/>
      <c r="R550" s="34"/>
      <c r="S550" s="43"/>
      <c r="T550" s="43"/>
      <c r="U550" s="43"/>
      <c r="V550" s="58"/>
      <c r="W550" s="34"/>
      <c r="X550" s="34"/>
    </row>
    <row r="551" spans="1:24" x14ac:dyDescent="0.2">
      <c r="A551" s="132">
        <v>545</v>
      </c>
      <c r="B551" s="342"/>
      <c r="C551" s="34"/>
      <c r="D551" s="40" t="str">
        <f t="shared" si="17"/>
        <v>2002000545</v>
      </c>
      <c r="E551" s="34"/>
      <c r="F551" s="52"/>
      <c r="G551" s="34"/>
      <c r="H551" s="34"/>
      <c r="I551" s="278"/>
      <c r="J551" s="50" t="str">
        <f t="shared" ca="1" si="18"/>
        <v/>
      </c>
      <c r="K551" s="50" t="str">
        <f ca="1">IFERROR(VLOOKUP($J551,Ref!$B$7:$C$9,2),"")</f>
        <v/>
      </c>
      <c r="L551" s="55"/>
      <c r="M551" s="34"/>
      <c r="N551" s="34"/>
      <c r="O551" s="34"/>
      <c r="P551" s="34"/>
      <c r="Q551" s="34"/>
      <c r="R551" s="34"/>
      <c r="S551" s="43"/>
      <c r="T551" s="43"/>
      <c r="U551" s="43"/>
      <c r="V551" s="58"/>
      <c r="W551" s="34"/>
      <c r="X551" s="34"/>
    </row>
    <row r="552" spans="1:24" x14ac:dyDescent="0.2">
      <c r="A552" s="132">
        <v>546</v>
      </c>
      <c r="B552" s="342"/>
      <c r="C552" s="34"/>
      <c r="D552" s="40" t="str">
        <f t="shared" si="17"/>
        <v>2002000546</v>
      </c>
      <c r="E552" s="34"/>
      <c r="F552" s="52"/>
      <c r="G552" s="34"/>
      <c r="H552" s="34"/>
      <c r="I552" s="278"/>
      <c r="J552" s="50" t="str">
        <f t="shared" ca="1" si="18"/>
        <v/>
      </c>
      <c r="K552" s="50" t="str">
        <f ca="1">IFERROR(VLOOKUP($J552,Ref!$B$7:$C$9,2),"")</f>
        <v/>
      </c>
      <c r="L552" s="55"/>
      <c r="M552" s="34"/>
      <c r="N552" s="34"/>
      <c r="O552" s="34"/>
      <c r="P552" s="34"/>
      <c r="Q552" s="34"/>
      <c r="R552" s="34"/>
      <c r="S552" s="43"/>
      <c r="T552" s="43"/>
      <c r="U552" s="43"/>
      <c r="V552" s="58"/>
      <c r="W552" s="34"/>
      <c r="X552" s="34"/>
    </row>
    <row r="553" spans="1:24" x14ac:dyDescent="0.2">
      <c r="A553" s="132">
        <v>547</v>
      </c>
      <c r="B553" s="342"/>
      <c r="C553" s="34"/>
      <c r="D553" s="40" t="str">
        <f t="shared" si="17"/>
        <v>2002000547</v>
      </c>
      <c r="E553" s="34"/>
      <c r="F553" s="52"/>
      <c r="G553" s="34"/>
      <c r="H553" s="34"/>
      <c r="I553" s="278"/>
      <c r="J553" s="50" t="str">
        <f t="shared" ca="1" si="18"/>
        <v/>
      </c>
      <c r="K553" s="50" t="str">
        <f ca="1">IFERROR(VLOOKUP($J553,Ref!$B$7:$C$9,2),"")</f>
        <v/>
      </c>
      <c r="L553" s="55"/>
      <c r="M553" s="34"/>
      <c r="N553" s="34"/>
      <c r="O553" s="34"/>
      <c r="P553" s="34"/>
      <c r="Q553" s="34"/>
      <c r="R553" s="34"/>
      <c r="S553" s="43"/>
      <c r="T553" s="43"/>
      <c r="U553" s="43"/>
      <c r="V553" s="58"/>
      <c r="W553" s="34"/>
      <c r="X553" s="34"/>
    </row>
    <row r="554" spans="1:24" x14ac:dyDescent="0.2">
      <c r="A554" s="132">
        <v>548</v>
      </c>
      <c r="B554" s="342"/>
      <c r="C554" s="34"/>
      <c r="D554" s="40" t="str">
        <f t="shared" si="17"/>
        <v>2002000548</v>
      </c>
      <c r="E554" s="34"/>
      <c r="F554" s="52"/>
      <c r="G554" s="34"/>
      <c r="H554" s="34"/>
      <c r="I554" s="278"/>
      <c r="J554" s="50" t="str">
        <f t="shared" ca="1" si="18"/>
        <v/>
      </c>
      <c r="K554" s="50" t="str">
        <f ca="1">IFERROR(VLOOKUP($J554,Ref!$B$7:$C$9,2),"")</f>
        <v/>
      </c>
      <c r="L554" s="55"/>
      <c r="M554" s="34"/>
      <c r="N554" s="34"/>
      <c r="O554" s="34"/>
      <c r="P554" s="34"/>
      <c r="Q554" s="34"/>
      <c r="R554" s="34"/>
      <c r="S554" s="43"/>
      <c r="T554" s="43"/>
      <c r="U554" s="43"/>
      <c r="V554" s="58"/>
      <c r="W554" s="34"/>
      <c r="X554" s="34"/>
    </row>
    <row r="555" spans="1:24" x14ac:dyDescent="0.2">
      <c r="A555" s="132">
        <v>549</v>
      </c>
      <c r="B555" s="342"/>
      <c r="C555" s="34"/>
      <c r="D555" s="40" t="str">
        <f t="shared" si="17"/>
        <v>2002000549</v>
      </c>
      <c r="E555" s="34"/>
      <c r="F555" s="52"/>
      <c r="G555" s="34"/>
      <c r="H555" s="34"/>
      <c r="I555" s="278"/>
      <c r="J555" s="50" t="str">
        <f t="shared" ca="1" si="18"/>
        <v/>
      </c>
      <c r="K555" s="50" t="str">
        <f ca="1">IFERROR(VLOOKUP($J555,Ref!$B$7:$C$9,2),"")</f>
        <v/>
      </c>
      <c r="L555" s="55"/>
      <c r="M555" s="34"/>
      <c r="N555" s="34"/>
      <c r="O555" s="34"/>
      <c r="P555" s="34"/>
      <c r="Q555" s="34"/>
      <c r="R555" s="34"/>
      <c r="S555" s="43"/>
      <c r="T555" s="43"/>
      <c r="U555" s="43"/>
      <c r="V555" s="58"/>
      <c r="W555" s="34"/>
      <c r="X555" s="34"/>
    </row>
    <row r="556" spans="1:24" x14ac:dyDescent="0.2">
      <c r="A556" s="132">
        <v>550</v>
      </c>
      <c r="B556" s="342"/>
      <c r="C556" s="34"/>
      <c r="D556" s="40" t="str">
        <f t="shared" si="17"/>
        <v>2002000550</v>
      </c>
      <c r="E556" s="34"/>
      <c r="F556" s="52"/>
      <c r="G556" s="34"/>
      <c r="H556" s="34"/>
      <c r="I556" s="278"/>
      <c r="J556" s="50" t="str">
        <f t="shared" ca="1" si="18"/>
        <v/>
      </c>
      <c r="K556" s="50" t="str">
        <f ca="1">IFERROR(VLOOKUP($J556,Ref!$B$7:$C$9,2),"")</f>
        <v/>
      </c>
      <c r="L556" s="55"/>
      <c r="M556" s="34"/>
      <c r="N556" s="34"/>
      <c r="O556" s="34"/>
      <c r="P556" s="34"/>
      <c r="Q556" s="34"/>
      <c r="R556" s="34"/>
      <c r="S556" s="43"/>
      <c r="T556" s="43"/>
      <c r="U556" s="43"/>
      <c r="V556" s="58"/>
      <c r="W556" s="34"/>
      <c r="X556" s="34"/>
    </row>
    <row r="557" spans="1:24" x14ac:dyDescent="0.2">
      <c r="A557" s="132">
        <v>551</v>
      </c>
      <c r="B557" s="342"/>
      <c r="C557" s="34"/>
      <c r="D557" s="40" t="str">
        <f t="shared" si="17"/>
        <v>2002000551</v>
      </c>
      <c r="E557" s="34"/>
      <c r="F557" s="52"/>
      <c r="G557" s="34"/>
      <c r="H557" s="34"/>
      <c r="I557" s="278"/>
      <c r="J557" s="50" t="str">
        <f t="shared" ca="1" si="18"/>
        <v/>
      </c>
      <c r="K557" s="50" t="str">
        <f ca="1">IFERROR(VLOOKUP($J557,Ref!$B$7:$C$9,2),"")</f>
        <v/>
      </c>
      <c r="L557" s="55"/>
      <c r="M557" s="34"/>
      <c r="N557" s="34"/>
      <c r="O557" s="34"/>
      <c r="P557" s="34"/>
      <c r="Q557" s="34"/>
      <c r="R557" s="34"/>
      <c r="S557" s="43"/>
      <c r="T557" s="43"/>
      <c r="U557" s="43"/>
      <c r="V557" s="58"/>
      <c r="W557" s="34"/>
      <c r="X557" s="34"/>
    </row>
    <row r="558" spans="1:24" x14ac:dyDescent="0.2">
      <c r="A558" s="132">
        <v>552</v>
      </c>
      <c r="B558" s="342"/>
      <c r="C558" s="34"/>
      <c r="D558" s="40" t="str">
        <f t="shared" si="17"/>
        <v>2002000552</v>
      </c>
      <c r="E558" s="34"/>
      <c r="F558" s="52"/>
      <c r="G558" s="34"/>
      <c r="H558" s="34"/>
      <c r="I558" s="278"/>
      <c r="J558" s="50" t="str">
        <f t="shared" ca="1" si="18"/>
        <v/>
      </c>
      <c r="K558" s="50" t="str">
        <f ca="1">IFERROR(VLOOKUP($J558,Ref!$B$7:$C$9,2),"")</f>
        <v/>
      </c>
      <c r="L558" s="55"/>
      <c r="M558" s="34"/>
      <c r="N558" s="34"/>
      <c r="O558" s="34"/>
      <c r="P558" s="34"/>
      <c r="Q558" s="34"/>
      <c r="R558" s="34"/>
      <c r="S558" s="43"/>
      <c r="T558" s="43"/>
      <c r="U558" s="43"/>
      <c r="V558" s="58"/>
      <c r="W558" s="34"/>
      <c r="X558" s="34"/>
    </row>
    <row r="559" spans="1:24" x14ac:dyDescent="0.2">
      <c r="A559" s="132">
        <v>553</v>
      </c>
      <c r="B559" s="342"/>
      <c r="C559" s="34"/>
      <c r="D559" s="40" t="str">
        <f t="shared" si="17"/>
        <v>2002000553</v>
      </c>
      <c r="E559" s="34"/>
      <c r="F559" s="52"/>
      <c r="G559" s="34"/>
      <c r="H559" s="34"/>
      <c r="I559" s="278"/>
      <c r="J559" s="50" t="str">
        <f t="shared" ca="1" si="18"/>
        <v/>
      </c>
      <c r="K559" s="50" t="str">
        <f ca="1">IFERROR(VLOOKUP($J559,Ref!$B$7:$C$9,2),"")</f>
        <v/>
      </c>
      <c r="L559" s="55"/>
      <c r="M559" s="34"/>
      <c r="N559" s="34"/>
      <c r="O559" s="34"/>
      <c r="P559" s="34"/>
      <c r="Q559" s="34"/>
      <c r="R559" s="34"/>
      <c r="S559" s="43"/>
      <c r="T559" s="43"/>
      <c r="U559" s="43"/>
      <c r="V559" s="58"/>
      <c r="W559" s="34"/>
      <c r="X559" s="34"/>
    </row>
    <row r="560" spans="1:24" x14ac:dyDescent="0.2">
      <c r="A560" s="132">
        <v>554</v>
      </c>
      <c r="B560" s="342"/>
      <c r="C560" s="34"/>
      <c r="D560" s="40" t="str">
        <f t="shared" si="17"/>
        <v>2002000554</v>
      </c>
      <c r="E560" s="34"/>
      <c r="F560" s="52"/>
      <c r="G560" s="34"/>
      <c r="H560" s="34"/>
      <c r="I560" s="278"/>
      <c r="J560" s="50" t="str">
        <f t="shared" ca="1" si="18"/>
        <v/>
      </c>
      <c r="K560" s="50" t="str">
        <f ca="1">IFERROR(VLOOKUP($J560,Ref!$B$7:$C$9,2),"")</f>
        <v/>
      </c>
      <c r="L560" s="55"/>
      <c r="M560" s="34"/>
      <c r="N560" s="34"/>
      <c r="O560" s="34"/>
      <c r="P560" s="34"/>
      <c r="Q560" s="34"/>
      <c r="R560" s="34"/>
      <c r="S560" s="43"/>
      <c r="T560" s="43"/>
      <c r="U560" s="43"/>
      <c r="V560" s="58"/>
      <c r="W560" s="34"/>
      <c r="X560" s="34"/>
    </row>
    <row r="561" spans="1:24" x14ac:dyDescent="0.2">
      <c r="A561" s="132">
        <v>555</v>
      </c>
      <c r="B561" s="342"/>
      <c r="C561" s="34"/>
      <c r="D561" s="40" t="str">
        <f t="shared" si="17"/>
        <v>2002000555</v>
      </c>
      <c r="E561" s="34"/>
      <c r="F561" s="52"/>
      <c r="G561" s="34"/>
      <c r="H561" s="34"/>
      <c r="I561" s="278"/>
      <c r="J561" s="50" t="str">
        <f t="shared" ca="1" si="18"/>
        <v/>
      </c>
      <c r="K561" s="50" t="str">
        <f ca="1">IFERROR(VLOOKUP($J561,Ref!$B$7:$C$9,2),"")</f>
        <v/>
      </c>
      <c r="L561" s="55"/>
      <c r="M561" s="34"/>
      <c r="N561" s="34"/>
      <c r="O561" s="34"/>
      <c r="P561" s="34"/>
      <c r="Q561" s="34"/>
      <c r="R561" s="34"/>
      <c r="S561" s="43"/>
      <c r="T561" s="43"/>
      <c r="U561" s="43"/>
      <c r="V561" s="58"/>
      <c r="W561" s="34"/>
      <c r="X561" s="34"/>
    </row>
    <row r="562" spans="1:24" x14ac:dyDescent="0.2">
      <c r="A562" s="132">
        <v>556</v>
      </c>
      <c r="B562" s="342"/>
      <c r="C562" s="34"/>
      <c r="D562" s="40" t="str">
        <f t="shared" si="17"/>
        <v>2002000556</v>
      </c>
      <c r="E562" s="34"/>
      <c r="F562" s="52"/>
      <c r="G562" s="34"/>
      <c r="H562" s="34"/>
      <c r="I562" s="278"/>
      <c r="J562" s="50" t="str">
        <f t="shared" ca="1" si="18"/>
        <v/>
      </c>
      <c r="K562" s="50" t="str">
        <f ca="1">IFERROR(VLOOKUP($J562,Ref!$B$7:$C$9,2),"")</f>
        <v/>
      </c>
      <c r="L562" s="55"/>
      <c r="M562" s="34"/>
      <c r="N562" s="34"/>
      <c r="O562" s="34"/>
      <c r="P562" s="34"/>
      <c r="Q562" s="34"/>
      <c r="R562" s="34"/>
      <c r="S562" s="43"/>
      <c r="T562" s="43"/>
      <c r="U562" s="43"/>
      <c r="V562" s="58"/>
      <c r="W562" s="34"/>
      <c r="X562" s="34"/>
    </row>
    <row r="563" spans="1:24" x14ac:dyDescent="0.2">
      <c r="A563" s="132">
        <v>557</v>
      </c>
      <c r="B563" s="342"/>
      <c r="C563" s="34"/>
      <c r="D563" s="40" t="str">
        <f t="shared" si="17"/>
        <v>2002000557</v>
      </c>
      <c r="E563" s="34"/>
      <c r="F563" s="52"/>
      <c r="G563" s="34"/>
      <c r="H563" s="34"/>
      <c r="I563" s="278"/>
      <c r="J563" s="50" t="str">
        <f t="shared" ca="1" si="18"/>
        <v/>
      </c>
      <c r="K563" s="50" t="str">
        <f ca="1">IFERROR(VLOOKUP($J563,Ref!$B$7:$C$9,2),"")</f>
        <v/>
      </c>
      <c r="L563" s="55"/>
      <c r="M563" s="34"/>
      <c r="N563" s="34"/>
      <c r="O563" s="34"/>
      <c r="P563" s="34"/>
      <c r="Q563" s="34"/>
      <c r="R563" s="34"/>
      <c r="S563" s="43"/>
      <c r="T563" s="43"/>
      <c r="U563" s="43"/>
      <c r="V563" s="58"/>
      <c r="W563" s="34"/>
      <c r="X563" s="34"/>
    </row>
    <row r="564" spans="1:24" x14ac:dyDescent="0.2">
      <c r="A564" s="132">
        <v>558</v>
      </c>
      <c r="B564" s="342"/>
      <c r="C564" s="34"/>
      <c r="D564" s="40" t="str">
        <f t="shared" si="17"/>
        <v>2002000558</v>
      </c>
      <c r="E564" s="34"/>
      <c r="F564" s="52"/>
      <c r="G564" s="34"/>
      <c r="H564" s="34"/>
      <c r="I564" s="278"/>
      <c r="J564" s="50" t="str">
        <f t="shared" ca="1" si="18"/>
        <v/>
      </c>
      <c r="K564" s="50" t="str">
        <f ca="1">IFERROR(VLOOKUP($J564,Ref!$B$7:$C$9,2),"")</f>
        <v/>
      </c>
      <c r="L564" s="55"/>
      <c r="M564" s="34"/>
      <c r="N564" s="34"/>
      <c r="O564" s="34"/>
      <c r="P564" s="34"/>
      <c r="Q564" s="34"/>
      <c r="R564" s="34"/>
      <c r="S564" s="43"/>
      <c r="T564" s="43"/>
      <c r="U564" s="43"/>
      <c r="V564" s="58"/>
      <c r="W564" s="34"/>
      <c r="X564" s="34"/>
    </row>
    <row r="565" spans="1:24" x14ac:dyDescent="0.2">
      <c r="A565" s="132">
        <v>559</v>
      </c>
      <c r="B565" s="342"/>
      <c r="C565" s="34"/>
      <c r="D565" s="40" t="str">
        <f t="shared" si="17"/>
        <v>2002000559</v>
      </c>
      <c r="E565" s="34"/>
      <c r="F565" s="52"/>
      <c r="G565" s="34"/>
      <c r="H565" s="34"/>
      <c r="I565" s="278"/>
      <c r="J565" s="50" t="str">
        <f t="shared" ca="1" si="18"/>
        <v/>
      </c>
      <c r="K565" s="50" t="str">
        <f ca="1">IFERROR(VLOOKUP($J565,Ref!$B$7:$C$9,2),"")</f>
        <v/>
      </c>
      <c r="L565" s="55"/>
      <c r="M565" s="34"/>
      <c r="N565" s="34"/>
      <c r="O565" s="34"/>
      <c r="P565" s="34"/>
      <c r="Q565" s="34"/>
      <c r="R565" s="34"/>
      <c r="S565" s="43"/>
      <c r="T565" s="43"/>
      <c r="U565" s="43"/>
      <c r="V565" s="58"/>
      <c r="W565" s="34"/>
      <c r="X565" s="34"/>
    </row>
    <row r="566" spans="1:24" x14ac:dyDescent="0.2">
      <c r="A566" s="132">
        <v>560</v>
      </c>
      <c r="B566" s="342"/>
      <c r="C566" s="34"/>
      <c r="D566" s="40" t="str">
        <f t="shared" si="17"/>
        <v>2002000560</v>
      </c>
      <c r="E566" s="34"/>
      <c r="F566" s="52"/>
      <c r="G566" s="34"/>
      <c r="H566" s="34"/>
      <c r="I566" s="278"/>
      <c r="J566" s="50" t="str">
        <f t="shared" ca="1" si="18"/>
        <v/>
      </c>
      <c r="K566" s="50" t="str">
        <f ca="1">IFERROR(VLOOKUP($J566,Ref!$B$7:$C$9,2),"")</f>
        <v/>
      </c>
      <c r="L566" s="55"/>
      <c r="M566" s="34"/>
      <c r="N566" s="34"/>
      <c r="O566" s="34"/>
      <c r="P566" s="34"/>
      <c r="Q566" s="34"/>
      <c r="R566" s="34"/>
      <c r="S566" s="43"/>
      <c r="T566" s="43"/>
      <c r="U566" s="43"/>
      <c r="V566" s="58"/>
      <c r="W566" s="34"/>
      <c r="X566" s="34"/>
    </row>
    <row r="567" spans="1:24" x14ac:dyDescent="0.2">
      <c r="A567" s="132">
        <v>561</v>
      </c>
      <c r="B567" s="342"/>
      <c r="C567" s="34"/>
      <c r="D567" s="40" t="str">
        <f t="shared" si="17"/>
        <v>2002000561</v>
      </c>
      <c r="E567" s="34"/>
      <c r="F567" s="52"/>
      <c r="G567" s="34"/>
      <c r="H567" s="34"/>
      <c r="I567" s="278"/>
      <c r="J567" s="50" t="str">
        <f t="shared" ca="1" si="18"/>
        <v/>
      </c>
      <c r="K567" s="50" t="str">
        <f ca="1">IFERROR(VLOOKUP($J567,Ref!$B$7:$C$9,2),"")</f>
        <v/>
      </c>
      <c r="L567" s="55"/>
      <c r="M567" s="34"/>
      <c r="N567" s="34"/>
      <c r="O567" s="34"/>
      <c r="P567" s="34"/>
      <c r="Q567" s="34"/>
      <c r="R567" s="34"/>
      <c r="S567" s="43"/>
      <c r="T567" s="43"/>
      <c r="U567" s="43"/>
      <c r="V567" s="58"/>
      <c r="W567" s="34"/>
      <c r="X567" s="34"/>
    </row>
    <row r="568" spans="1:24" x14ac:dyDescent="0.2">
      <c r="A568" s="132">
        <v>562</v>
      </c>
      <c r="B568" s="342"/>
      <c r="C568" s="34"/>
      <c r="D568" s="40" t="str">
        <f t="shared" si="17"/>
        <v>2002000562</v>
      </c>
      <c r="E568" s="34"/>
      <c r="F568" s="52"/>
      <c r="G568" s="34"/>
      <c r="H568" s="34"/>
      <c r="I568" s="278"/>
      <c r="J568" s="50" t="str">
        <f t="shared" ca="1" si="18"/>
        <v/>
      </c>
      <c r="K568" s="50" t="str">
        <f ca="1">IFERROR(VLOOKUP($J568,Ref!$B$7:$C$9,2),"")</f>
        <v/>
      </c>
      <c r="L568" s="55"/>
      <c r="M568" s="34"/>
      <c r="N568" s="34"/>
      <c r="O568" s="34"/>
      <c r="P568" s="34"/>
      <c r="Q568" s="34"/>
      <c r="R568" s="34"/>
      <c r="S568" s="43"/>
      <c r="T568" s="43"/>
      <c r="U568" s="43"/>
      <c r="V568" s="58"/>
      <c r="W568" s="34"/>
      <c r="X568" s="34"/>
    </row>
    <row r="569" spans="1:24" x14ac:dyDescent="0.2">
      <c r="A569" s="132">
        <v>563</v>
      </c>
      <c r="B569" s="342"/>
      <c r="C569" s="34"/>
      <c r="D569" s="40" t="str">
        <f t="shared" si="17"/>
        <v>2002000563</v>
      </c>
      <c r="E569" s="34"/>
      <c r="F569" s="52"/>
      <c r="G569" s="34"/>
      <c r="H569" s="34"/>
      <c r="I569" s="278"/>
      <c r="J569" s="50" t="str">
        <f t="shared" ca="1" si="18"/>
        <v/>
      </c>
      <c r="K569" s="50" t="str">
        <f ca="1">IFERROR(VLOOKUP($J569,Ref!$B$7:$C$9,2),"")</f>
        <v/>
      </c>
      <c r="L569" s="55"/>
      <c r="M569" s="34"/>
      <c r="N569" s="34"/>
      <c r="O569" s="34"/>
      <c r="P569" s="34"/>
      <c r="Q569" s="34"/>
      <c r="R569" s="34"/>
      <c r="S569" s="43"/>
      <c r="T569" s="43"/>
      <c r="U569" s="43"/>
      <c r="V569" s="58"/>
      <c r="W569" s="34"/>
      <c r="X569" s="34"/>
    </row>
    <row r="570" spans="1:24" x14ac:dyDescent="0.2">
      <c r="A570" s="132">
        <v>564</v>
      </c>
      <c r="B570" s="342"/>
      <c r="C570" s="34"/>
      <c r="D570" s="40" t="str">
        <f t="shared" si="17"/>
        <v>2002000564</v>
      </c>
      <c r="E570" s="34"/>
      <c r="F570" s="52"/>
      <c r="G570" s="34"/>
      <c r="H570" s="34"/>
      <c r="I570" s="278"/>
      <c r="J570" s="50" t="str">
        <f t="shared" ca="1" si="18"/>
        <v/>
      </c>
      <c r="K570" s="50" t="str">
        <f ca="1">IFERROR(VLOOKUP($J570,Ref!$B$7:$C$9,2),"")</f>
        <v/>
      </c>
      <c r="L570" s="55"/>
      <c r="M570" s="34"/>
      <c r="N570" s="34"/>
      <c r="O570" s="34"/>
      <c r="P570" s="34"/>
      <c r="Q570" s="34"/>
      <c r="R570" s="34"/>
      <c r="S570" s="43"/>
      <c r="T570" s="43"/>
      <c r="U570" s="43"/>
      <c r="V570" s="58"/>
      <c r="W570" s="34"/>
      <c r="X570" s="34"/>
    </row>
    <row r="571" spans="1:24" x14ac:dyDescent="0.2">
      <c r="A571" s="132">
        <v>565</v>
      </c>
      <c r="B571" s="342"/>
      <c r="C571" s="34"/>
      <c r="D571" s="40" t="str">
        <f t="shared" si="17"/>
        <v>2002000565</v>
      </c>
      <c r="E571" s="34"/>
      <c r="F571" s="52"/>
      <c r="G571" s="34"/>
      <c r="H571" s="34"/>
      <c r="I571" s="278"/>
      <c r="J571" s="50" t="str">
        <f t="shared" ca="1" si="18"/>
        <v/>
      </c>
      <c r="K571" s="50" t="str">
        <f ca="1">IFERROR(VLOOKUP($J571,Ref!$B$7:$C$9,2),"")</f>
        <v/>
      </c>
      <c r="L571" s="55"/>
      <c r="M571" s="34"/>
      <c r="N571" s="34"/>
      <c r="O571" s="34"/>
      <c r="P571" s="34"/>
      <c r="Q571" s="34"/>
      <c r="R571" s="34"/>
      <c r="S571" s="43"/>
      <c r="T571" s="43"/>
      <c r="U571" s="43"/>
      <c r="V571" s="58"/>
      <c r="W571" s="34"/>
      <c r="X571" s="34"/>
    </row>
    <row r="572" spans="1:24" x14ac:dyDescent="0.2">
      <c r="A572" s="132">
        <v>566</v>
      </c>
      <c r="B572" s="342"/>
      <c r="C572" s="34"/>
      <c r="D572" s="40" t="str">
        <f t="shared" si="17"/>
        <v>2002000566</v>
      </c>
      <c r="E572" s="34"/>
      <c r="F572" s="52"/>
      <c r="G572" s="34"/>
      <c r="H572" s="34"/>
      <c r="I572" s="278"/>
      <c r="J572" s="50" t="str">
        <f t="shared" ca="1" si="18"/>
        <v/>
      </c>
      <c r="K572" s="50" t="str">
        <f ca="1">IFERROR(VLOOKUP($J572,Ref!$B$7:$C$9,2),"")</f>
        <v/>
      </c>
      <c r="L572" s="55"/>
      <c r="M572" s="34"/>
      <c r="N572" s="34"/>
      <c r="O572" s="34"/>
      <c r="P572" s="34"/>
      <c r="Q572" s="34"/>
      <c r="R572" s="34"/>
      <c r="S572" s="43"/>
      <c r="T572" s="43"/>
      <c r="U572" s="43"/>
      <c r="V572" s="58"/>
      <c r="W572" s="34"/>
      <c r="X572" s="34"/>
    </row>
    <row r="573" spans="1:24" x14ac:dyDescent="0.2">
      <c r="A573" s="132">
        <v>567</v>
      </c>
      <c r="B573" s="342"/>
      <c r="C573" s="34"/>
      <c r="D573" s="40" t="str">
        <f t="shared" si="17"/>
        <v>2002000567</v>
      </c>
      <c r="E573" s="34"/>
      <c r="F573" s="52"/>
      <c r="G573" s="34"/>
      <c r="H573" s="34"/>
      <c r="I573" s="278"/>
      <c r="J573" s="50" t="str">
        <f t="shared" ca="1" si="18"/>
        <v/>
      </c>
      <c r="K573" s="50" t="str">
        <f ca="1">IFERROR(VLOOKUP($J573,Ref!$B$7:$C$9,2),"")</f>
        <v/>
      </c>
      <c r="L573" s="55"/>
      <c r="M573" s="34"/>
      <c r="N573" s="34"/>
      <c r="O573" s="34"/>
      <c r="P573" s="34"/>
      <c r="Q573" s="34"/>
      <c r="R573" s="34"/>
      <c r="S573" s="43"/>
      <c r="T573" s="43"/>
      <c r="U573" s="43"/>
      <c r="V573" s="58"/>
      <c r="W573" s="34"/>
      <c r="X573" s="34"/>
    </row>
    <row r="574" spans="1:24" x14ac:dyDescent="0.2">
      <c r="A574" s="132">
        <v>568</v>
      </c>
      <c r="B574" s="342"/>
      <c r="C574" s="34"/>
      <c r="D574" s="40" t="str">
        <f t="shared" si="17"/>
        <v>2002000568</v>
      </c>
      <c r="E574" s="34"/>
      <c r="F574" s="52"/>
      <c r="G574" s="34"/>
      <c r="H574" s="34"/>
      <c r="I574" s="278"/>
      <c r="J574" s="50" t="str">
        <f t="shared" ca="1" si="18"/>
        <v/>
      </c>
      <c r="K574" s="50" t="str">
        <f ca="1">IFERROR(VLOOKUP($J574,Ref!$B$7:$C$9,2),"")</f>
        <v/>
      </c>
      <c r="L574" s="55"/>
      <c r="M574" s="34"/>
      <c r="N574" s="34"/>
      <c r="O574" s="34"/>
      <c r="P574" s="34"/>
      <c r="Q574" s="34"/>
      <c r="R574" s="34"/>
      <c r="S574" s="43"/>
      <c r="T574" s="43"/>
      <c r="U574" s="43"/>
      <c r="V574" s="58"/>
      <c r="W574" s="34"/>
      <c r="X574" s="34"/>
    </row>
    <row r="575" spans="1:24" x14ac:dyDescent="0.2">
      <c r="A575" s="132">
        <v>569</v>
      </c>
      <c r="B575" s="342"/>
      <c r="C575" s="34"/>
      <c r="D575" s="40" t="str">
        <f t="shared" si="17"/>
        <v>2002000569</v>
      </c>
      <c r="E575" s="34"/>
      <c r="F575" s="52"/>
      <c r="G575" s="34"/>
      <c r="H575" s="34"/>
      <c r="I575" s="278"/>
      <c r="J575" s="50" t="str">
        <f t="shared" ca="1" si="18"/>
        <v/>
      </c>
      <c r="K575" s="50" t="str">
        <f ca="1">IFERROR(VLOOKUP($J575,Ref!$B$7:$C$9,2),"")</f>
        <v/>
      </c>
      <c r="L575" s="55"/>
      <c r="M575" s="34"/>
      <c r="N575" s="34"/>
      <c r="O575" s="34"/>
      <c r="P575" s="34"/>
      <c r="Q575" s="34"/>
      <c r="R575" s="34"/>
      <c r="S575" s="43"/>
      <c r="T575" s="43"/>
      <c r="U575" s="43"/>
      <c r="V575" s="58"/>
      <c r="W575" s="34"/>
      <c r="X575" s="34"/>
    </row>
    <row r="576" spans="1:24" x14ac:dyDescent="0.2">
      <c r="A576" s="132">
        <v>570</v>
      </c>
      <c r="B576" s="342"/>
      <c r="C576" s="34"/>
      <c r="D576" s="40" t="str">
        <f t="shared" si="17"/>
        <v>2002000570</v>
      </c>
      <c r="E576" s="34"/>
      <c r="F576" s="52"/>
      <c r="G576" s="34"/>
      <c r="H576" s="34"/>
      <c r="I576" s="278"/>
      <c r="J576" s="50" t="str">
        <f t="shared" ca="1" si="18"/>
        <v/>
      </c>
      <c r="K576" s="50" t="str">
        <f ca="1">IFERROR(VLOOKUP($J576,Ref!$B$7:$C$9,2),"")</f>
        <v/>
      </c>
      <c r="L576" s="55"/>
      <c r="M576" s="34"/>
      <c r="N576" s="34"/>
      <c r="O576" s="34"/>
      <c r="P576" s="34"/>
      <c r="Q576" s="34"/>
      <c r="R576" s="34"/>
      <c r="S576" s="43"/>
      <c r="T576" s="43"/>
      <c r="U576" s="43"/>
      <c r="V576" s="58"/>
      <c r="W576" s="34"/>
      <c r="X576" s="34"/>
    </row>
    <row r="577" spans="1:24" x14ac:dyDescent="0.2">
      <c r="A577" s="132">
        <v>571</v>
      </c>
      <c r="B577" s="342"/>
      <c r="C577" s="34"/>
      <c r="D577" s="40" t="str">
        <f t="shared" si="17"/>
        <v>2002000571</v>
      </c>
      <c r="E577" s="34"/>
      <c r="F577" s="52"/>
      <c r="G577" s="34"/>
      <c r="H577" s="34"/>
      <c r="I577" s="278"/>
      <c r="J577" s="50" t="str">
        <f t="shared" ca="1" si="18"/>
        <v/>
      </c>
      <c r="K577" s="50" t="str">
        <f ca="1">IFERROR(VLOOKUP($J577,Ref!$B$7:$C$9,2),"")</f>
        <v/>
      </c>
      <c r="L577" s="55"/>
      <c r="M577" s="34"/>
      <c r="N577" s="34"/>
      <c r="O577" s="34"/>
      <c r="P577" s="34"/>
      <c r="Q577" s="34"/>
      <c r="R577" s="34"/>
      <c r="S577" s="43"/>
      <c r="T577" s="43"/>
      <c r="U577" s="43"/>
      <c r="V577" s="58"/>
      <c r="W577" s="34"/>
      <c r="X577" s="34"/>
    </row>
    <row r="578" spans="1:24" x14ac:dyDescent="0.2">
      <c r="A578" s="132">
        <v>572</v>
      </c>
      <c r="B578" s="342"/>
      <c r="C578" s="34"/>
      <c r="D578" s="40" t="str">
        <f t="shared" si="17"/>
        <v>2002000572</v>
      </c>
      <c r="E578" s="34"/>
      <c r="F578" s="52"/>
      <c r="G578" s="34"/>
      <c r="H578" s="34"/>
      <c r="I578" s="278"/>
      <c r="J578" s="50" t="str">
        <f t="shared" ca="1" si="18"/>
        <v/>
      </c>
      <c r="K578" s="50" t="str">
        <f ca="1">IFERROR(VLOOKUP($J578,Ref!$B$7:$C$9,2),"")</f>
        <v/>
      </c>
      <c r="L578" s="55"/>
      <c r="M578" s="34"/>
      <c r="N578" s="34"/>
      <c r="O578" s="34"/>
      <c r="P578" s="34"/>
      <c r="Q578" s="34"/>
      <c r="R578" s="34"/>
      <c r="S578" s="43"/>
      <c r="T578" s="43"/>
      <c r="U578" s="43"/>
      <c r="V578" s="58"/>
      <c r="W578" s="34"/>
      <c r="X578" s="34"/>
    </row>
    <row r="579" spans="1:24" x14ac:dyDescent="0.2">
      <c r="A579" s="132">
        <v>573</v>
      </c>
      <c r="B579" s="342"/>
      <c r="C579" s="34"/>
      <c r="D579" s="40" t="str">
        <f t="shared" si="17"/>
        <v>2002000573</v>
      </c>
      <c r="E579" s="34"/>
      <c r="F579" s="52"/>
      <c r="G579" s="34"/>
      <c r="H579" s="34"/>
      <c r="I579" s="278"/>
      <c r="J579" s="50" t="str">
        <f t="shared" ca="1" si="18"/>
        <v/>
      </c>
      <c r="K579" s="50" t="str">
        <f ca="1">IFERROR(VLOOKUP($J579,Ref!$B$7:$C$9,2),"")</f>
        <v/>
      </c>
      <c r="L579" s="55"/>
      <c r="M579" s="34"/>
      <c r="N579" s="34"/>
      <c r="O579" s="34"/>
      <c r="P579" s="34"/>
      <c r="Q579" s="34"/>
      <c r="R579" s="34"/>
      <c r="S579" s="43"/>
      <c r="T579" s="43"/>
      <c r="U579" s="43"/>
      <c r="V579" s="58"/>
      <c r="W579" s="34"/>
      <c r="X579" s="34"/>
    </row>
    <row r="580" spans="1:24" x14ac:dyDescent="0.2">
      <c r="A580" s="132">
        <v>574</v>
      </c>
      <c r="B580" s="342"/>
      <c r="C580" s="34"/>
      <c r="D580" s="40" t="str">
        <f t="shared" si="17"/>
        <v>2002000574</v>
      </c>
      <c r="E580" s="34"/>
      <c r="F580" s="52"/>
      <c r="G580" s="34"/>
      <c r="H580" s="34"/>
      <c r="I580" s="278"/>
      <c r="J580" s="50" t="str">
        <f t="shared" ca="1" si="18"/>
        <v/>
      </c>
      <c r="K580" s="50" t="str">
        <f ca="1">IFERROR(VLOOKUP($J580,Ref!$B$7:$C$9,2),"")</f>
        <v/>
      </c>
      <c r="L580" s="55"/>
      <c r="M580" s="34"/>
      <c r="N580" s="34"/>
      <c r="O580" s="34"/>
      <c r="P580" s="34"/>
      <c r="Q580" s="34"/>
      <c r="R580" s="34"/>
      <c r="S580" s="43"/>
      <c r="T580" s="43"/>
      <c r="U580" s="43"/>
      <c r="V580" s="58"/>
      <c r="W580" s="34"/>
      <c r="X580" s="34"/>
    </row>
    <row r="581" spans="1:24" x14ac:dyDescent="0.2">
      <c r="A581" s="132">
        <v>575</v>
      </c>
      <c r="B581" s="342"/>
      <c r="C581" s="34"/>
      <c r="D581" s="40" t="str">
        <f t="shared" si="17"/>
        <v>2002000575</v>
      </c>
      <c r="E581" s="34"/>
      <c r="F581" s="52"/>
      <c r="G581" s="34"/>
      <c r="H581" s="34"/>
      <c r="I581" s="278"/>
      <c r="J581" s="50" t="str">
        <f t="shared" ca="1" si="18"/>
        <v/>
      </c>
      <c r="K581" s="50" t="str">
        <f ca="1">IFERROR(VLOOKUP($J581,Ref!$B$7:$C$9,2),"")</f>
        <v/>
      </c>
      <c r="L581" s="55"/>
      <c r="M581" s="34"/>
      <c r="N581" s="34"/>
      <c r="O581" s="34"/>
      <c r="P581" s="34"/>
      <c r="Q581" s="34"/>
      <c r="R581" s="34"/>
      <c r="S581" s="43"/>
      <c r="T581" s="43"/>
      <c r="U581" s="43"/>
      <c r="V581" s="58"/>
      <c r="W581" s="34"/>
      <c r="X581" s="34"/>
    </row>
    <row r="582" spans="1:24" x14ac:dyDescent="0.2">
      <c r="A582" s="132">
        <v>576</v>
      </c>
      <c r="B582" s="342"/>
      <c r="C582" s="34"/>
      <c r="D582" s="40" t="str">
        <f t="shared" si="17"/>
        <v>2002000576</v>
      </c>
      <c r="E582" s="34"/>
      <c r="F582" s="52"/>
      <c r="G582" s="34"/>
      <c r="H582" s="34"/>
      <c r="I582" s="278"/>
      <c r="J582" s="50" t="str">
        <f t="shared" ca="1" si="18"/>
        <v/>
      </c>
      <c r="K582" s="50" t="str">
        <f ca="1">IFERROR(VLOOKUP($J582,Ref!$B$7:$C$9,2),"")</f>
        <v/>
      </c>
      <c r="L582" s="55"/>
      <c r="M582" s="34"/>
      <c r="N582" s="34"/>
      <c r="O582" s="34"/>
      <c r="P582" s="34"/>
      <c r="Q582" s="34"/>
      <c r="R582" s="34"/>
      <c r="S582" s="43"/>
      <c r="T582" s="43"/>
      <c r="U582" s="43"/>
      <c r="V582" s="58"/>
      <c r="W582" s="34"/>
      <c r="X582" s="34"/>
    </row>
    <row r="583" spans="1:24" x14ac:dyDescent="0.2">
      <c r="A583" s="132">
        <v>577</v>
      </c>
      <c r="B583" s="342"/>
      <c r="C583" s="34"/>
      <c r="D583" s="40" t="str">
        <f t="shared" si="17"/>
        <v>2002000577</v>
      </c>
      <c r="E583" s="34"/>
      <c r="F583" s="52"/>
      <c r="G583" s="34"/>
      <c r="H583" s="34"/>
      <c r="I583" s="278"/>
      <c r="J583" s="50" t="str">
        <f t="shared" ca="1" si="18"/>
        <v/>
      </c>
      <c r="K583" s="50" t="str">
        <f ca="1">IFERROR(VLOOKUP($J583,Ref!$B$7:$C$9,2),"")</f>
        <v/>
      </c>
      <c r="L583" s="55"/>
      <c r="M583" s="34"/>
      <c r="N583" s="34"/>
      <c r="O583" s="34"/>
      <c r="P583" s="34"/>
      <c r="Q583" s="34"/>
      <c r="R583" s="34"/>
      <c r="S583" s="43"/>
      <c r="T583" s="43"/>
      <c r="U583" s="43"/>
      <c r="V583" s="58"/>
      <c r="W583" s="34"/>
      <c r="X583" s="34"/>
    </row>
    <row r="584" spans="1:24" x14ac:dyDescent="0.2">
      <c r="A584" s="132">
        <v>578</v>
      </c>
      <c r="B584" s="342"/>
      <c r="C584" s="34"/>
      <c r="D584" s="40" t="str">
        <f t="shared" ref="D584:D647" si="19">IF(A584="","",LEFT($C$3,LEN($C$3)-LEN(A584))&amp;A584)</f>
        <v>2002000578</v>
      </c>
      <c r="E584" s="34"/>
      <c r="F584" s="52"/>
      <c r="G584" s="34"/>
      <c r="H584" s="34"/>
      <c r="I584" s="278"/>
      <c r="J584" s="50" t="str">
        <f t="shared" ca="1" si="18"/>
        <v/>
      </c>
      <c r="K584" s="50" t="str">
        <f ca="1">IFERROR(VLOOKUP($J584,Ref!$B$7:$C$9,2),"")</f>
        <v/>
      </c>
      <c r="L584" s="55"/>
      <c r="M584" s="34"/>
      <c r="N584" s="34"/>
      <c r="O584" s="34"/>
      <c r="P584" s="34"/>
      <c r="Q584" s="34"/>
      <c r="R584" s="34"/>
      <c r="S584" s="43"/>
      <c r="T584" s="43"/>
      <c r="U584" s="43"/>
      <c r="V584" s="58"/>
      <c r="W584" s="34"/>
      <c r="X584" s="34"/>
    </row>
    <row r="585" spans="1:24" x14ac:dyDescent="0.2">
      <c r="A585" s="132">
        <v>579</v>
      </c>
      <c r="B585" s="342"/>
      <c r="C585" s="34"/>
      <c r="D585" s="40" t="str">
        <f t="shared" si="19"/>
        <v>2002000579</v>
      </c>
      <c r="E585" s="34"/>
      <c r="F585" s="52"/>
      <c r="G585" s="34"/>
      <c r="H585" s="34"/>
      <c r="I585" s="278"/>
      <c r="J585" s="50" t="str">
        <f t="shared" ca="1" si="18"/>
        <v/>
      </c>
      <c r="K585" s="50" t="str">
        <f ca="1">IFERROR(VLOOKUP($J585,Ref!$B$7:$C$9,2),"")</f>
        <v/>
      </c>
      <c r="L585" s="55"/>
      <c r="M585" s="34"/>
      <c r="N585" s="34"/>
      <c r="O585" s="34"/>
      <c r="P585" s="34"/>
      <c r="Q585" s="34"/>
      <c r="R585" s="34"/>
      <c r="S585" s="43"/>
      <c r="T585" s="43"/>
      <c r="U585" s="43"/>
      <c r="V585" s="58"/>
      <c r="W585" s="34"/>
      <c r="X585" s="34"/>
    </row>
    <row r="586" spans="1:24" x14ac:dyDescent="0.2">
      <c r="A586" s="132">
        <v>580</v>
      </c>
      <c r="B586" s="342"/>
      <c r="C586" s="34"/>
      <c r="D586" s="40" t="str">
        <f t="shared" si="19"/>
        <v>2002000580</v>
      </c>
      <c r="E586" s="34"/>
      <c r="F586" s="52"/>
      <c r="G586" s="34"/>
      <c r="H586" s="34"/>
      <c r="I586" s="278"/>
      <c r="J586" s="50" t="str">
        <f t="shared" ca="1" si="18"/>
        <v/>
      </c>
      <c r="K586" s="50" t="str">
        <f ca="1">IFERROR(VLOOKUP($J586,Ref!$B$7:$C$9,2),"")</f>
        <v/>
      </c>
      <c r="L586" s="55"/>
      <c r="M586" s="34"/>
      <c r="N586" s="34"/>
      <c r="O586" s="34"/>
      <c r="P586" s="34"/>
      <c r="Q586" s="34"/>
      <c r="R586" s="34"/>
      <c r="S586" s="43"/>
      <c r="T586" s="43"/>
      <c r="U586" s="43"/>
      <c r="V586" s="58"/>
      <c r="W586" s="34"/>
      <c r="X586" s="34"/>
    </row>
    <row r="587" spans="1:24" x14ac:dyDescent="0.2">
      <c r="A587" s="132">
        <v>581</v>
      </c>
      <c r="B587" s="342"/>
      <c r="C587" s="34"/>
      <c r="D587" s="40" t="str">
        <f t="shared" si="19"/>
        <v>2002000581</v>
      </c>
      <c r="E587" s="34"/>
      <c r="F587" s="52"/>
      <c r="G587" s="34"/>
      <c r="H587" s="34"/>
      <c r="I587" s="278"/>
      <c r="J587" s="50" t="str">
        <f t="shared" ca="1" si="18"/>
        <v/>
      </c>
      <c r="K587" s="50" t="str">
        <f ca="1">IFERROR(VLOOKUP($J587,Ref!$B$7:$C$9,2),"")</f>
        <v/>
      </c>
      <c r="L587" s="55"/>
      <c r="M587" s="34"/>
      <c r="N587" s="34"/>
      <c r="O587" s="34"/>
      <c r="P587" s="34"/>
      <c r="Q587" s="34"/>
      <c r="R587" s="34"/>
      <c r="S587" s="43"/>
      <c r="T587" s="43"/>
      <c r="U587" s="43"/>
      <c r="V587" s="58"/>
      <c r="W587" s="34"/>
      <c r="X587" s="34"/>
    </row>
    <row r="588" spans="1:24" x14ac:dyDescent="0.2">
      <c r="A588" s="132">
        <v>582</v>
      </c>
      <c r="B588" s="342"/>
      <c r="C588" s="34"/>
      <c r="D588" s="40" t="str">
        <f t="shared" si="19"/>
        <v>2002000582</v>
      </c>
      <c r="E588" s="34"/>
      <c r="F588" s="52"/>
      <c r="G588" s="34"/>
      <c r="H588" s="34"/>
      <c r="I588" s="278"/>
      <c r="J588" s="50" t="str">
        <f t="shared" ca="1" si="18"/>
        <v/>
      </c>
      <c r="K588" s="50" t="str">
        <f ca="1">IFERROR(VLOOKUP($J588,Ref!$B$7:$C$9,2),"")</f>
        <v/>
      </c>
      <c r="L588" s="55"/>
      <c r="M588" s="34"/>
      <c r="N588" s="34"/>
      <c r="O588" s="34"/>
      <c r="P588" s="34"/>
      <c r="Q588" s="34"/>
      <c r="R588" s="34"/>
      <c r="S588" s="43"/>
      <c r="T588" s="43"/>
      <c r="U588" s="43"/>
      <c r="V588" s="58"/>
      <c r="W588" s="34"/>
      <c r="X588" s="34"/>
    </row>
    <row r="589" spans="1:24" x14ac:dyDescent="0.2">
      <c r="A589" s="132">
        <v>583</v>
      </c>
      <c r="B589" s="342"/>
      <c r="C589" s="34"/>
      <c r="D589" s="40" t="str">
        <f t="shared" si="19"/>
        <v>2002000583</v>
      </c>
      <c r="E589" s="34"/>
      <c r="F589" s="52"/>
      <c r="G589" s="34"/>
      <c r="H589" s="34"/>
      <c r="I589" s="278"/>
      <c r="J589" s="50" t="str">
        <f t="shared" ca="1" si="18"/>
        <v/>
      </c>
      <c r="K589" s="50" t="str">
        <f ca="1">IFERROR(VLOOKUP($J589,Ref!$B$7:$C$9,2),"")</f>
        <v/>
      </c>
      <c r="L589" s="55"/>
      <c r="M589" s="34"/>
      <c r="N589" s="34"/>
      <c r="O589" s="34"/>
      <c r="P589" s="34"/>
      <c r="Q589" s="34"/>
      <c r="R589" s="34"/>
      <c r="S589" s="43"/>
      <c r="T589" s="43"/>
      <c r="U589" s="43"/>
      <c r="V589" s="58"/>
      <c r="W589" s="34"/>
      <c r="X589" s="34"/>
    </row>
    <row r="590" spans="1:24" x14ac:dyDescent="0.2">
      <c r="A590" s="132">
        <v>584</v>
      </c>
      <c r="B590" s="342"/>
      <c r="C590" s="34"/>
      <c r="D590" s="40" t="str">
        <f t="shared" si="19"/>
        <v>2002000584</v>
      </c>
      <c r="E590" s="34"/>
      <c r="F590" s="52"/>
      <c r="G590" s="34"/>
      <c r="H590" s="34"/>
      <c r="I590" s="278"/>
      <c r="J590" s="50" t="str">
        <f t="shared" ca="1" si="18"/>
        <v/>
      </c>
      <c r="K590" s="50" t="str">
        <f ca="1">IFERROR(VLOOKUP($J590,Ref!$B$7:$C$9,2),"")</f>
        <v/>
      </c>
      <c r="L590" s="55"/>
      <c r="M590" s="34"/>
      <c r="N590" s="34"/>
      <c r="O590" s="34"/>
      <c r="P590" s="34"/>
      <c r="Q590" s="34"/>
      <c r="R590" s="34"/>
      <c r="S590" s="43"/>
      <c r="T590" s="43"/>
      <c r="U590" s="43"/>
      <c r="V590" s="58"/>
      <c r="W590" s="34"/>
      <c r="X590" s="34"/>
    </row>
    <row r="591" spans="1:24" x14ac:dyDescent="0.2">
      <c r="A591" s="132">
        <v>585</v>
      </c>
      <c r="B591" s="342"/>
      <c r="C591" s="34"/>
      <c r="D591" s="40" t="str">
        <f t="shared" si="19"/>
        <v>2002000585</v>
      </c>
      <c r="E591" s="34"/>
      <c r="F591" s="52"/>
      <c r="G591" s="34"/>
      <c r="H591" s="34"/>
      <c r="I591" s="278"/>
      <c r="J591" s="50" t="str">
        <f t="shared" ca="1" si="18"/>
        <v/>
      </c>
      <c r="K591" s="50" t="str">
        <f ca="1">IFERROR(VLOOKUP($J591,Ref!$B$7:$C$9,2),"")</f>
        <v/>
      </c>
      <c r="L591" s="55"/>
      <c r="M591" s="34"/>
      <c r="N591" s="34"/>
      <c r="O591" s="34"/>
      <c r="P591" s="34"/>
      <c r="Q591" s="34"/>
      <c r="R591" s="34"/>
      <c r="S591" s="43"/>
      <c r="T591" s="43"/>
      <c r="U591" s="43"/>
      <c r="V591" s="58"/>
      <c r="W591" s="34"/>
      <c r="X591" s="34"/>
    </row>
    <row r="592" spans="1:24" x14ac:dyDescent="0.2">
      <c r="A592" s="132">
        <v>586</v>
      </c>
      <c r="B592" s="342"/>
      <c r="C592" s="34"/>
      <c r="D592" s="40" t="str">
        <f t="shared" si="19"/>
        <v>2002000586</v>
      </c>
      <c r="E592" s="34"/>
      <c r="F592" s="52"/>
      <c r="G592" s="34"/>
      <c r="H592" s="34"/>
      <c r="I592" s="278"/>
      <c r="J592" s="50" t="str">
        <f t="shared" ca="1" si="18"/>
        <v/>
      </c>
      <c r="K592" s="50" t="str">
        <f ca="1">IFERROR(VLOOKUP($J592,Ref!$B$7:$C$9,2),"")</f>
        <v/>
      </c>
      <c r="L592" s="55"/>
      <c r="M592" s="34"/>
      <c r="N592" s="34"/>
      <c r="O592" s="34"/>
      <c r="P592" s="34"/>
      <c r="Q592" s="34"/>
      <c r="R592" s="34"/>
      <c r="S592" s="43"/>
      <c r="T592" s="43"/>
      <c r="U592" s="43"/>
      <c r="V592" s="58"/>
      <c r="W592" s="34"/>
      <c r="X592" s="34"/>
    </row>
    <row r="593" spans="1:24" x14ac:dyDescent="0.2">
      <c r="A593" s="132">
        <v>587</v>
      </c>
      <c r="B593" s="342"/>
      <c r="C593" s="34"/>
      <c r="D593" s="40" t="str">
        <f t="shared" si="19"/>
        <v>2002000587</v>
      </c>
      <c r="E593" s="34"/>
      <c r="F593" s="52"/>
      <c r="G593" s="34"/>
      <c r="H593" s="34"/>
      <c r="I593" s="278"/>
      <c r="J593" s="50" t="str">
        <f t="shared" ca="1" si="18"/>
        <v/>
      </c>
      <c r="K593" s="50" t="str">
        <f ca="1">IFERROR(VLOOKUP($J593,Ref!$B$7:$C$9,2),"")</f>
        <v/>
      </c>
      <c r="L593" s="55"/>
      <c r="M593" s="34"/>
      <c r="N593" s="34"/>
      <c r="O593" s="34"/>
      <c r="P593" s="34"/>
      <c r="Q593" s="34"/>
      <c r="R593" s="34"/>
      <c r="S593" s="43"/>
      <c r="T593" s="43"/>
      <c r="U593" s="43"/>
      <c r="V593" s="58"/>
      <c r="W593" s="34"/>
      <c r="X593" s="34"/>
    </row>
    <row r="594" spans="1:24" x14ac:dyDescent="0.2">
      <c r="A594" s="132">
        <v>588</v>
      </c>
      <c r="B594" s="342"/>
      <c r="C594" s="34"/>
      <c r="D594" s="40" t="str">
        <f t="shared" si="19"/>
        <v>2002000588</v>
      </c>
      <c r="E594" s="34"/>
      <c r="F594" s="52"/>
      <c r="G594" s="34"/>
      <c r="H594" s="34"/>
      <c r="I594" s="278"/>
      <c r="J594" s="50" t="str">
        <f t="shared" ca="1" si="18"/>
        <v/>
      </c>
      <c r="K594" s="50" t="str">
        <f ca="1">IFERROR(VLOOKUP($J594,Ref!$B$7:$C$9,2),"")</f>
        <v/>
      </c>
      <c r="L594" s="55"/>
      <c r="M594" s="34"/>
      <c r="N594" s="34"/>
      <c r="O594" s="34"/>
      <c r="P594" s="34"/>
      <c r="Q594" s="34"/>
      <c r="R594" s="34"/>
      <c r="S594" s="43"/>
      <c r="T594" s="43"/>
      <c r="U594" s="43"/>
      <c r="V594" s="58"/>
      <c r="W594" s="34"/>
      <c r="X594" s="34"/>
    </row>
    <row r="595" spans="1:24" x14ac:dyDescent="0.2">
      <c r="A595" s="132">
        <v>589</v>
      </c>
      <c r="B595" s="342"/>
      <c r="C595" s="34"/>
      <c r="D595" s="40" t="str">
        <f t="shared" si="19"/>
        <v>2002000589</v>
      </c>
      <c r="E595" s="34"/>
      <c r="F595" s="52"/>
      <c r="G595" s="34"/>
      <c r="H595" s="34"/>
      <c r="I595" s="278"/>
      <c r="J595" s="50" t="str">
        <f t="shared" ca="1" si="18"/>
        <v/>
      </c>
      <c r="K595" s="50" t="str">
        <f ca="1">IFERROR(VLOOKUP($J595,Ref!$B$7:$C$9,2),"")</f>
        <v/>
      </c>
      <c r="L595" s="55"/>
      <c r="M595" s="34"/>
      <c r="N595" s="34"/>
      <c r="O595" s="34"/>
      <c r="P595" s="34"/>
      <c r="Q595" s="34"/>
      <c r="R595" s="34"/>
      <c r="S595" s="43"/>
      <c r="T595" s="43"/>
      <c r="U595" s="43"/>
      <c r="V595" s="58"/>
      <c r="W595" s="34"/>
      <c r="X595" s="34"/>
    </row>
    <row r="596" spans="1:24" x14ac:dyDescent="0.2">
      <c r="A596" s="132">
        <v>590</v>
      </c>
      <c r="B596" s="342"/>
      <c r="C596" s="34"/>
      <c r="D596" s="40" t="str">
        <f t="shared" si="19"/>
        <v>2002000590</v>
      </c>
      <c r="E596" s="34"/>
      <c r="F596" s="52"/>
      <c r="G596" s="34"/>
      <c r="H596" s="34"/>
      <c r="I596" s="278"/>
      <c r="J596" s="50" t="str">
        <f t="shared" ca="1" si="18"/>
        <v/>
      </c>
      <c r="K596" s="50" t="str">
        <f ca="1">IFERROR(VLOOKUP($J596,Ref!$B$7:$C$9,2),"")</f>
        <v/>
      </c>
      <c r="L596" s="55"/>
      <c r="M596" s="34"/>
      <c r="N596" s="34"/>
      <c r="O596" s="34"/>
      <c r="P596" s="34"/>
      <c r="Q596" s="34"/>
      <c r="R596" s="34"/>
      <c r="S596" s="43"/>
      <c r="T596" s="43"/>
      <c r="U596" s="43"/>
      <c r="V596" s="58"/>
      <c r="W596" s="34"/>
      <c r="X596" s="34"/>
    </row>
    <row r="597" spans="1:24" x14ac:dyDescent="0.2">
      <c r="A597" s="132">
        <v>591</v>
      </c>
      <c r="B597" s="342"/>
      <c r="C597" s="34"/>
      <c r="D597" s="40" t="str">
        <f t="shared" si="19"/>
        <v>2002000591</v>
      </c>
      <c r="E597" s="34"/>
      <c r="F597" s="52"/>
      <c r="G597" s="34"/>
      <c r="H597" s="34"/>
      <c r="I597" s="278"/>
      <c r="J597" s="50" t="str">
        <f t="shared" ca="1" si="18"/>
        <v/>
      </c>
      <c r="K597" s="50" t="str">
        <f ca="1">IFERROR(VLOOKUP($J597,Ref!$B$7:$C$9,2),"")</f>
        <v/>
      </c>
      <c r="L597" s="55"/>
      <c r="M597" s="34"/>
      <c r="N597" s="34"/>
      <c r="O597" s="34"/>
      <c r="P597" s="34"/>
      <c r="Q597" s="34"/>
      <c r="R597" s="34"/>
      <c r="S597" s="43"/>
      <c r="T597" s="43"/>
      <c r="U597" s="43"/>
      <c r="V597" s="58"/>
      <c r="W597" s="34"/>
      <c r="X597" s="34"/>
    </row>
    <row r="598" spans="1:24" x14ac:dyDescent="0.2">
      <c r="A598" s="132">
        <v>592</v>
      </c>
      <c r="B598" s="342"/>
      <c r="C598" s="34"/>
      <c r="D598" s="40" t="str">
        <f t="shared" si="19"/>
        <v>2002000592</v>
      </c>
      <c r="E598" s="34"/>
      <c r="F598" s="52"/>
      <c r="G598" s="34"/>
      <c r="H598" s="34"/>
      <c r="I598" s="278"/>
      <c r="J598" s="50" t="str">
        <f t="shared" ca="1" si="18"/>
        <v/>
      </c>
      <c r="K598" s="50" t="str">
        <f ca="1">IFERROR(VLOOKUP($J598,Ref!$B$7:$C$9,2),"")</f>
        <v/>
      </c>
      <c r="L598" s="55"/>
      <c r="M598" s="34"/>
      <c r="N598" s="34"/>
      <c r="O598" s="34"/>
      <c r="P598" s="34"/>
      <c r="Q598" s="34"/>
      <c r="R598" s="34"/>
      <c r="S598" s="43"/>
      <c r="T598" s="43"/>
      <c r="U598" s="43"/>
      <c r="V598" s="58"/>
      <c r="W598" s="34"/>
      <c r="X598" s="34"/>
    </row>
    <row r="599" spans="1:24" x14ac:dyDescent="0.2">
      <c r="A599" s="132">
        <v>593</v>
      </c>
      <c r="B599" s="342"/>
      <c r="C599" s="34"/>
      <c r="D599" s="40" t="str">
        <f t="shared" si="19"/>
        <v>2002000593</v>
      </c>
      <c r="E599" s="34"/>
      <c r="F599" s="52"/>
      <c r="G599" s="34"/>
      <c r="H599" s="34"/>
      <c r="I599" s="278"/>
      <c r="J599" s="50" t="str">
        <f t="shared" ca="1" si="18"/>
        <v/>
      </c>
      <c r="K599" s="50" t="str">
        <f ca="1">IFERROR(VLOOKUP($J599,Ref!$B$7:$C$9,2),"")</f>
        <v/>
      </c>
      <c r="L599" s="55"/>
      <c r="M599" s="34"/>
      <c r="N599" s="34"/>
      <c r="O599" s="34"/>
      <c r="P599" s="34"/>
      <c r="Q599" s="34"/>
      <c r="R599" s="34"/>
      <c r="S599" s="43"/>
      <c r="T599" s="43"/>
      <c r="U599" s="43"/>
      <c r="V599" s="58"/>
      <c r="W599" s="34"/>
      <c r="X599" s="34"/>
    </row>
    <row r="600" spans="1:24" x14ac:dyDescent="0.2">
      <c r="A600" s="132">
        <v>594</v>
      </c>
      <c r="B600" s="342"/>
      <c r="C600" s="34"/>
      <c r="D600" s="40" t="str">
        <f t="shared" si="19"/>
        <v>2002000594</v>
      </c>
      <c r="E600" s="34"/>
      <c r="F600" s="52"/>
      <c r="G600" s="34"/>
      <c r="H600" s="34"/>
      <c r="I600" s="278"/>
      <c r="J600" s="50" t="str">
        <f t="shared" ref="J600:J663" ca="1" si="20">IF(I600="","",(TODAY()-$I600)/365)</f>
        <v/>
      </c>
      <c r="K600" s="50" t="str">
        <f ca="1">IFERROR(VLOOKUP($J600,Ref!$B$7:$C$9,2),"")</f>
        <v/>
      </c>
      <c r="L600" s="55"/>
      <c r="M600" s="34"/>
      <c r="N600" s="34"/>
      <c r="O600" s="34"/>
      <c r="P600" s="34"/>
      <c r="Q600" s="34"/>
      <c r="R600" s="34"/>
      <c r="S600" s="43"/>
      <c r="T600" s="43"/>
      <c r="U600" s="43"/>
      <c r="V600" s="58"/>
      <c r="W600" s="34"/>
      <c r="X600" s="34"/>
    </row>
    <row r="601" spans="1:24" x14ac:dyDescent="0.2">
      <c r="A601" s="132">
        <v>595</v>
      </c>
      <c r="B601" s="342"/>
      <c r="C601" s="34"/>
      <c r="D601" s="40" t="str">
        <f t="shared" si="19"/>
        <v>2002000595</v>
      </c>
      <c r="E601" s="34"/>
      <c r="F601" s="52"/>
      <c r="G601" s="34"/>
      <c r="H601" s="34"/>
      <c r="I601" s="278"/>
      <c r="J601" s="50" t="str">
        <f t="shared" ca="1" si="20"/>
        <v/>
      </c>
      <c r="K601" s="50" t="str">
        <f ca="1">IFERROR(VLOOKUP($J601,Ref!$B$7:$C$9,2),"")</f>
        <v/>
      </c>
      <c r="L601" s="55"/>
      <c r="M601" s="34"/>
      <c r="N601" s="34"/>
      <c r="O601" s="34"/>
      <c r="P601" s="34"/>
      <c r="Q601" s="34"/>
      <c r="R601" s="34"/>
      <c r="S601" s="43"/>
      <c r="T601" s="43"/>
      <c r="U601" s="43"/>
      <c r="V601" s="58"/>
      <c r="W601" s="34"/>
      <c r="X601" s="34"/>
    </row>
    <row r="602" spans="1:24" x14ac:dyDescent="0.2">
      <c r="A602" s="132">
        <v>596</v>
      </c>
      <c r="B602" s="342"/>
      <c r="C602" s="34"/>
      <c r="D602" s="40" t="str">
        <f t="shared" si="19"/>
        <v>2002000596</v>
      </c>
      <c r="E602" s="34"/>
      <c r="F602" s="52"/>
      <c r="G602" s="34"/>
      <c r="H602" s="34"/>
      <c r="I602" s="278"/>
      <c r="J602" s="50" t="str">
        <f t="shared" ca="1" si="20"/>
        <v/>
      </c>
      <c r="K602" s="50" t="str">
        <f ca="1">IFERROR(VLOOKUP($J602,Ref!$B$7:$C$9,2),"")</f>
        <v/>
      </c>
      <c r="L602" s="55"/>
      <c r="M602" s="34"/>
      <c r="N602" s="34"/>
      <c r="O602" s="34"/>
      <c r="P602" s="34"/>
      <c r="Q602" s="34"/>
      <c r="R602" s="34"/>
      <c r="S602" s="43"/>
      <c r="T602" s="43"/>
      <c r="U602" s="43"/>
      <c r="V602" s="58"/>
      <c r="W602" s="34"/>
      <c r="X602" s="34"/>
    </row>
    <row r="603" spans="1:24" x14ac:dyDescent="0.2">
      <c r="A603" s="132">
        <v>597</v>
      </c>
      <c r="B603" s="342"/>
      <c r="C603" s="34"/>
      <c r="D603" s="40" t="str">
        <f t="shared" si="19"/>
        <v>2002000597</v>
      </c>
      <c r="E603" s="34"/>
      <c r="F603" s="52"/>
      <c r="G603" s="34"/>
      <c r="H603" s="34"/>
      <c r="I603" s="278"/>
      <c r="J603" s="50" t="str">
        <f t="shared" ca="1" si="20"/>
        <v/>
      </c>
      <c r="K603" s="50" t="str">
        <f ca="1">IFERROR(VLOOKUP($J603,Ref!$B$7:$C$9,2),"")</f>
        <v/>
      </c>
      <c r="L603" s="55"/>
      <c r="M603" s="34"/>
      <c r="N603" s="34"/>
      <c r="O603" s="34"/>
      <c r="P603" s="34"/>
      <c r="Q603" s="34"/>
      <c r="R603" s="34"/>
      <c r="S603" s="43"/>
      <c r="T603" s="43"/>
      <c r="U603" s="43"/>
      <c r="V603" s="58"/>
      <c r="W603" s="34"/>
      <c r="X603" s="34"/>
    </row>
    <row r="604" spans="1:24" x14ac:dyDescent="0.2">
      <c r="A604" s="132">
        <v>598</v>
      </c>
      <c r="B604" s="342"/>
      <c r="C604" s="34"/>
      <c r="D604" s="40" t="str">
        <f t="shared" si="19"/>
        <v>2002000598</v>
      </c>
      <c r="E604" s="34"/>
      <c r="F604" s="52"/>
      <c r="G604" s="34"/>
      <c r="H604" s="34"/>
      <c r="I604" s="278"/>
      <c r="J604" s="50" t="str">
        <f t="shared" ca="1" si="20"/>
        <v/>
      </c>
      <c r="K604" s="50" t="str">
        <f ca="1">IFERROR(VLOOKUP($J604,Ref!$B$7:$C$9,2),"")</f>
        <v/>
      </c>
      <c r="L604" s="55"/>
      <c r="M604" s="34"/>
      <c r="N604" s="34"/>
      <c r="O604" s="34"/>
      <c r="P604" s="34"/>
      <c r="Q604" s="34"/>
      <c r="R604" s="34"/>
      <c r="S604" s="43"/>
      <c r="T604" s="43"/>
      <c r="U604" s="43"/>
      <c r="V604" s="58"/>
      <c r="W604" s="34"/>
      <c r="X604" s="34"/>
    </row>
    <row r="605" spans="1:24" x14ac:dyDescent="0.2">
      <c r="A605" s="132">
        <v>599</v>
      </c>
      <c r="B605" s="342"/>
      <c r="C605" s="34"/>
      <c r="D605" s="40" t="str">
        <f t="shared" si="19"/>
        <v>2002000599</v>
      </c>
      <c r="E605" s="34"/>
      <c r="F605" s="52"/>
      <c r="G605" s="34"/>
      <c r="H605" s="34"/>
      <c r="I605" s="278"/>
      <c r="J605" s="50" t="str">
        <f t="shared" ca="1" si="20"/>
        <v/>
      </c>
      <c r="K605" s="50" t="str">
        <f ca="1">IFERROR(VLOOKUP($J605,Ref!$B$7:$C$9,2),"")</f>
        <v/>
      </c>
      <c r="L605" s="55"/>
      <c r="M605" s="34"/>
      <c r="N605" s="34"/>
      <c r="O605" s="34"/>
      <c r="P605" s="34"/>
      <c r="Q605" s="34"/>
      <c r="R605" s="34"/>
      <c r="S605" s="43"/>
      <c r="T605" s="43"/>
      <c r="U605" s="43"/>
      <c r="V605" s="58"/>
      <c r="W605" s="34"/>
      <c r="X605" s="34"/>
    </row>
    <row r="606" spans="1:24" x14ac:dyDescent="0.2">
      <c r="A606" s="132">
        <v>600</v>
      </c>
      <c r="B606" s="342"/>
      <c r="C606" s="34"/>
      <c r="D606" s="40" t="str">
        <f t="shared" si="19"/>
        <v>2002000600</v>
      </c>
      <c r="E606" s="34"/>
      <c r="F606" s="52"/>
      <c r="G606" s="34"/>
      <c r="H606" s="34"/>
      <c r="I606" s="278"/>
      <c r="J606" s="50" t="str">
        <f t="shared" ca="1" si="20"/>
        <v/>
      </c>
      <c r="K606" s="50" t="str">
        <f ca="1">IFERROR(VLOOKUP($J606,Ref!$B$7:$C$9,2),"")</f>
        <v/>
      </c>
      <c r="L606" s="55"/>
      <c r="M606" s="34"/>
      <c r="N606" s="34"/>
      <c r="O606" s="34"/>
      <c r="P606" s="34"/>
      <c r="Q606" s="34"/>
      <c r="R606" s="34"/>
      <c r="S606" s="43"/>
      <c r="T606" s="43"/>
      <c r="U606" s="43"/>
      <c r="V606" s="58"/>
      <c r="W606" s="34"/>
      <c r="X606" s="34"/>
    </row>
    <row r="607" spans="1:24" x14ac:dyDescent="0.2">
      <c r="A607" s="132">
        <v>601</v>
      </c>
      <c r="B607" s="342"/>
      <c r="C607" s="34"/>
      <c r="D607" s="40" t="str">
        <f t="shared" si="19"/>
        <v>2002000601</v>
      </c>
      <c r="E607" s="34"/>
      <c r="F607" s="52"/>
      <c r="G607" s="34"/>
      <c r="H607" s="34"/>
      <c r="I607" s="278"/>
      <c r="J607" s="50" t="str">
        <f t="shared" ca="1" si="20"/>
        <v/>
      </c>
      <c r="K607" s="50" t="str">
        <f ca="1">IFERROR(VLOOKUP($J607,Ref!$B$7:$C$9,2),"")</f>
        <v/>
      </c>
      <c r="L607" s="55"/>
      <c r="M607" s="34"/>
      <c r="N607" s="34"/>
      <c r="O607" s="34"/>
      <c r="P607" s="34"/>
      <c r="Q607" s="34"/>
      <c r="R607" s="34"/>
      <c r="S607" s="43"/>
      <c r="T607" s="43"/>
      <c r="U607" s="43"/>
      <c r="V607" s="58"/>
      <c r="W607" s="34"/>
      <c r="X607" s="34"/>
    </row>
    <row r="608" spans="1:24" x14ac:dyDescent="0.2">
      <c r="A608" s="132">
        <v>602</v>
      </c>
      <c r="B608" s="342"/>
      <c r="C608" s="34"/>
      <c r="D608" s="40" t="str">
        <f t="shared" si="19"/>
        <v>2002000602</v>
      </c>
      <c r="E608" s="34"/>
      <c r="F608" s="52"/>
      <c r="G608" s="34"/>
      <c r="H608" s="34"/>
      <c r="I608" s="278"/>
      <c r="J608" s="50" t="str">
        <f t="shared" ca="1" si="20"/>
        <v/>
      </c>
      <c r="K608" s="50" t="str">
        <f ca="1">IFERROR(VLOOKUP($J608,Ref!$B$7:$C$9,2),"")</f>
        <v/>
      </c>
      <c r="L608" s="55"/>
      <c r="M608" s="34"/>
      <c r="N608" s="34"/>
      <c r="O608" s="34"/>
      <c r="P608" s="34"/>
      <c r="Q608" s="34"/>
      <c r="R608" s="34"/>
      <c r="S608" s="43"/>
      <c r="T608" s="43"/>
      <c r="U608" s="43"/>
      <c r="V608" s="58"/>
      <c r="W608" s="34"/>
      <c r="X608" s="34"/>
    </row>
    <row r="609" spans="1:24" x14ac:dyDescent="0.2">
      <c r="A609" s="132">
        <v>603</v>
      </c>
      <c r="B609" s="342"/>
      <c r="C609" s="34"/>
      <c r="D609" s="40" t="str">
        <f t="shared" si="19"/>
        <v>2002000603</v>
      </c>
      <c r="E609" s="34"/>
      <c r="F609" s="52"/>
      <c r="G609" s="34"/>
      <c r="H609" s="34"/>
      <c r="I609" s="278"/>
      <c r="J609" s="50" t="str">
        <f t="shared" ca="1" si="20"/>
        <v/>
      </c>
      <c r="K609" s="50" t="str">
        <f ca="1">IFERROR(VLOOKUP($J609,Ref!$B$7:$C$9,2),"")</f>
        <v/>
      </c>
      <c r="L609" s="55"/>
      <c r="M609" s="34"/>
      <c r="N609" s="34"/>
      <c r="O609" s="34"/>
      <c r="P609" s="34"/>
      <c r="Q609" s="34"/>
      <c r="R609" s="34"/>
      <c r="S609" s="43"/>
      <c r="T609" s="43"/>
      <c r="U609" s="43"/>
      <c r="V609" s="58"/>
      <c r="W609" s="34"/>
      <c r="X609" s="34"/>
    </row>
    <row r="610" spans="1:24" x14ac:dyDescent="0.2">
      <c r="A610" s="132">
        <v>604</v>
      </c>
      <c r="B610" s="342"/>
      <c r="C610" s="34"/>
      <c r="D610" s="40" t="str">
        <f t="shared" si="19"/>
        <v>2002000604</v>
      </c>
      <c r="E610" s="34"/>
      <c r="F610" s="52"/>
      <c r="G610" s="34"/>
      <c r="H610" s="34"/>
      <c r="I610" s="278"/>
      <c r="J610" s="50" t="str">
        <f t="shared" ca="1" si="20"/>
        <v/>
      </c>
      <c r="K610" s="50" t="str">
        <f ca="1">IFERROR(VLOOKUP($J610,Ref!$B$7:$C$9,2),"")</f>
        <v/>
      </c>
      <c r="L610" s="55"/>
      <c r="M610" s="34"/>
      <c r="N610" s="34"/>
      <c r="O610" s="34"/>
      <c r="P610" s="34"/>
      <c r="Q610" s="34"/>
      <c r="R610" s="34"/>
      <c r="S610" s="43"/>
      <c r="T610" s="43"/>
      <c r="U610" s="43"/>
      <c r="V610" s="58"/>
      <c r="W610" s="34"/>
      <c r="X610" s="34"/>
    </row>
    <row r="611" spans="1:24" x14ac:dyDescent="0.2">
      <c r="A611" s="132">
        <v>605</v>
      </c>
      <c r="B611" s="342"/>
      <c r="C611" s="34"/>
      <c r="D611" s="40" t="str">
        <f t="shared" si="19"/>
        <v>2002000605</v>
      </c>
      <c r="E611" s="34"/>
      <c r="F611" s="52"/>
      <c r="G611" s="34"/>
      <c r="H611" s="34"/>
      <c r="I611" s="278"/>
      <c r="J611" s="50" t="str">
        <f t="shared" ca="1" si="20"/>
        <v/>
      </c>
      <c r="K611" s="50" t="str">
        <f ca="1">IFERROR(VLOOKUP($J611,Ref!$B$7:$C$9,2),"")</f>
        <v/>
      </c>
      <c r="L611" s="55"/>
      <c r="M611" s="34"/>
      <c r="N611" s="34"/>
      <c r="O611" s="34"/>
      <c r="P611" s="34"/>
      <c r="Q611" s="34"/>
      <c r="R611" s="34"/>
      <c r="S611" s="43"/>
      <c r="T611" s="43"/>
      <c r="U611" s="43"/>
      <c r="V611" s="58"/>
      <c r="W611" s="34"/>
      <c r="X611" s="34"/>
    </row>
    <row r="612" spans="1:24" x14ac:dyDescent="0.2">
      <c r="A612" s="132">
        <v>606</v>
      </c>
      <c r="B612" s="342"/>
      <c r="C612" s="34"/>
      <c r="D612" s="40" t="str">
        <f t="shared" si="19"/>
        <v>2002000606</v>
      </c>
      <c r="E612" s="34"/>
      <c r="F612" s="52"/>
      <c r="G612" s="34"/>
      <c r="H612" s="34"/>
      <c r="I612" s="278"/>
      <c r="J612" s="50" t="str">
        <f t="shared" ca="1" si="20"/>
        <v/>
      </c>
      <c r="K612" s="50" t="str">
        <f ca="1">IFERROR(VLOOKUP($J612,Ref!$B$7:$C$9,2),"")</f>
        <v/>
      </c>
      <c r="L612" s="55"/>
      <c r="M612" s="34"/>
      <c r="N612" s="34"/>
      <c r="O612" s="34"/>
      <c r="P612" s="34"/>
      <c r="Q612" s="34"/>
      <c r="R612" s="34"/>
      <c r="S612" s="43"/>
      <c r="T612" s="43"/>
      <c r="U612" s="43"/>
      <c r="V612" s="58"/>
      <c r="W612" s="34"/>
      <c r="X612" s="34"/>
    </row>
    <row r="613" spans="1:24" x14ac:dyDescent="0.2">
      <c r="A613" s="132">
        <v>607</v>
      </c>
      <c r="B613" s="342"/>
      <c r="C613" s="34"/>
      <c r="D613" s="40" t="str">
        <f t="shared" si="19"/>
        <v>2002000607</v>
      </c>
      <c r="E613" s="34"/>
      <c r="F613" s="52"/>
      <c r="G613" s="34"/>
      <c r="H613" s="34"/>
      <c r="I613" s="278"/>
      <c r="J613" s="50" t="str">
        <f t="shared" ca="1" si="20"/>
        <v/>
      </c>
      <c r="K613" s="50" t="str">
        <f ca="1">IFERROR(VLOOKUP($J613,Ref!$B$7:$C$9,2),"")</f>
        <v/>
      </c>
      <c r="L613" s="55"/>
      <c r="M613" s="34"/>
      <c r="N613" s="34"/>
      <c r="O613" s="34"/>
      <c r="P613" s="34"/>
      <c r="Q613" s="34"/>
      <c r="R613" s="34"/>
      <c r="S613" s="43"/>
      <c r="T613" s="43"/>
      <c r="U613" s="43"/>
      <c r="V613" s="58"/>
      <c r="W613" s="34"/>
      <c r="X613" s="34"/>
    </row>
    <row r="614" spans="1:24" x14ac:dyDescent="0.2">
      <c r="A614" s="132">
        <v>608</v>
      </c>
      <c r="B614" s="342"/>
      <c r="C614" s="34"/>
      <c r="D614" s="40" t="str">
        <f t="shared" si="19"/>
        <v>2002000608</v>
      </c>
      <c r="E614" s="34"/>
      <c r="F614" s="52"/>
      <c r="G614" s="34"/>
      <c r="H614" s="34"/>
      <c r="I614" s="278"/>
      <c r="J614" s="50" t="str">
        <f t="shared" ca="1" si="20"/>
        <v/>
      </c>
      <c r="K614" s="50" t="str">
        <f ca="1">IFERROR(VLOOKUP($J614,Ref!$B$7:$C$9,2),"")</f>
        <v/>
      </c>
      <c r="L614" s="55"/>
      <c r="M614" s="34"/>
      <c r="N614" s="34"/>
      <c r="O614" s="34"/>
      <c r="P614" s="34"/>
      <c r="Q614" s="34"/>
      <c r="R614" s="34"/>
      <c r="S614" s="43"/>
      <c r="T614" s="43"/>
      <c r="U614" s="43"/>
      <c r="V614" s="58"/>
      <c r="W614" s="34"/>
      <c r="X614" s="34"/>
    </row>
    <row r="615" spans="1:24" x14ac:dyDescent="0.2">
      <c r="A615" s="132">
        <v>609</v>
      </c>
      <c r="B615" s="342"/>
      <c r="C615" s="34"/>
      <c r="D615" s="40" t="str">
        <f t="shared" si="19"/>
        <v>2002000609</v>
      </c>
      <c r="E615" s="34"/>
      <c r="F615" s="52"/>
      <c r="G615" s="34"/>
      <c r="H615" s="34"/>
      <c r="I615" s="278"/>
      <c r="J615" s="50" t="str">
        <f t="shared" ca="1" si="20"/>
        <v/>
      </c>
      <c r="K615" s="50" t="str">
        <f ca="1">IFERROR(VLOOKUP($J615,Ref!$B$7:$C$9,2),"")</f>
        <v/>
      </c>
      <c r="L615" s="55"/>
      <c r="M615" s="34"/>
      <c r="N615" s="34"/>
      <c r="O615" s="34"/>
      <c r="P615" s="34"/>
      <c r="Q615" s="34"/>
      <c r="R615" s="34"/>
      <c r="S615" s="43"/>
      <c r="T615" s="43"/>
      <c r="U615" s="43"/>
      <c r="V615" s="58"/>
      <c r="W615" s="34"/>
      <c r="X615" s="34"/>
    </row>
    <row r="616" spans="1:24" x14ac:dyDescent="0.2">
      <c r="A616" s="132">
        <v>610</v>
      </c>
      <c r="B616" s="342"/>
      <c r="C616" s="34"/>
      <c r="D616" s="40" t="str">
        <f t="shared" si="19"/>
        <v>2002000610</v>
      </c>
      <c r="E616" s="34"/>
      <c r="F616" s="52"/>
      <c r="G616" s="34"/>
      <c r="H616" s="34"/>
      <c r="I616" s="278"/>
      <c r="J616" s="50" t="str">
        <f t="shared" ca="1" si="20"/>
        <v/>
      </c>
      <c r="K616" s="50" t="str">
        <f ca="1">IFERROR(VLOOKUP($J616,Ref!$B$7:$C$9,2),"")</f>
        <v/>
      </c>
      <c r="L616" s="55"/>
      <c r="M616" s="34"/>
      <c r="N616" s="34"/>
      <c r="O616" s="34"/>
      <c r="P616" s="34"/>
      <c r="Q616" s="34"/>
      <c r="R616" s="34"/>
      <c r="S616" s="43"/>
      <c r="T616" s="43"/>
      <c r="U616" s="43"/>
      <c r="V616" s="58"/>
      <c r="W616" s="34"/>
      <c r="X616" s="34"/>
    </row>
    <row r="617" spans="1:24" x14ac:dyDescent="0.2">
      <c r="A617" s="132">
        <v>611</v>
      </c>
      <c r="B617" s="342"/>
      <c r="C617" s="34"/>
      <c r="D617" s="40" t="str">
        <f t="shared" si="19"/>
        <v>2002000611</v>
      </c>
      <c r="E617" s="34"/>
      <c r="F617" s="52"/>
      <c r="G617" s="34"/>
      <c r="H617" s="34"/>
      <c r="I617" s="278"/>
      <c r="J617" s="50" t="str">
        <f t="shared" ca="1" si="20"/>
        <v/>
      </c>
      <c r="K617" s="50" t="str">
        <f ca="1">IFERROR(VLOOKUP($J617,Ref!$B$7:$C$9,2),"")</f>
        <v/>
      </c>
      <c r="L617" s="55"/>
      <c r="M617" s="34"/>
      <c r="N617" s="34"/>
      <c r="O617" s="34"/>
      <c r="P617" s="34"/>
      <c r="Q617" s="34"/>
      <c r="R617" s="34"/>
      <c r="S617" s="43"/>
      <c r="T617" s="43"/>
      <c r="U617" s="43"/>
      <c r="V617" s="58"/>
      <c r="W617" s="34"/>
      <c r="X617" s="34"/>
    </row>
    <row r="618" spans="1:24" x14ac:dyDescent="0.2">
      <c r="A618" s="132">
        <v>612</v>
      </c>
      <c r="B618" s="342"/>
      <c r="C618" s="34"/>
      <c r="D618" s="40" t="str">
        <f t="shared" si="19"/>
        <v>2002000612</v>
      </c>
      <c r="E618" s="34"/>
      <c r="F618" s="52"/>
      <c r="G618" s="34"/>
      <c r="H618" s="34"/>
      <c r="I618" s="278"/>
      <c r="J618" s="50" t="str">
        <f t="shared" ca="1" si="20"/>
        <v/>
      </c>
      <c r="K618" s="50" t="str">
        <f ca="1">IFERROR(VLOOKUP($J618,Ref!$B$7:$C$9,2),"")</f>
        <v/>
      </c>
      <c r="L618" s="55"/>
      <c r="M618" s="34"/>
      <c r="N618" s="34"/>
      <c r="O618" s="34"/>
      <c r="P618" s="34"/>
      <c r="Q618" s="34"/>
      <c r="R618" s="34"/>
      <c r="S618" s="43"/>
      <c r="T618" s="43"/>
      <c r="U618" s="43"/>
      <c r="V618" s="58"/>
      <c r="W618" s="34"/>
      <c r="X618" s="34"/>
    </row>
    <row r="619" spans="1:24" x14ac:dyDescent="0.2">
      <c r="A619" s="132">
        <v>613</v>
      </c>
      <c r="B619" s="342"/>
      <c r="C619" s="34"/>
      <c r="D619" s="40" t="str">
        <f t="shared" si="19"/>
        <v>2002000613</v>
      </c>
      <c r="E619" s="34"/>
      <c r="F619" s="52"/>
      <c r="G619" s="34"/>
      <c r="H619" s="34"/>
      <c r="I619" s="278"/>
      <c r="J619" s="50" t="str">
        <f t="shared" ca="1" si="20"/>
        <v/>
      </c>
      <c r="K619" s="50" t="str">
        <f ca="1">IFERROR(VLOOKUP($J619,Ref!$B$7:$C$9,2),"")</f>
        <v/>
      </c>
      <c r="L619" s="55"/>
      <c r="M619" s="34"/>
      <c r="N619" s="34"/>
      <c r="O619" s="34"/>
      <c r="P619" s="34"/>
      <c r="Q619" s="34"/>
      <c r="R619" s="34"/>
      <c r="S619" s="43"/>
      <c r="T619" s="43"/>
      <c r="U619" s="43"/>
      <c r="V619" s="58"/>
      <c r="W619" s="34"/>
      <c r="X619" s="34"/>
    </row>
    <row r="620" spans="1:24" x14ac:dyDescent="0.2">
      <c r="A620" s="132">
        <v>614</v>
      </c>
      <c r="B620" s="342"/>
      <c r="C620" s="34"/>
      <c r="D620" s="40" t="str">
        <f t="shared" si="19"/>
        <v>2002000614</v>
      </c>
      <c r="E620" s="34"/>
      <c r="F620" s="52"/>
      <c r="G620" s="34"/>
      <c r="H620" s="34"/>
      <c r="I620" s="278"/>
      <c r="J620" s="50" t="str">
        <f t="shared" ca="1" si="20"/>
        <v/>
      </c>
      <c r="K620" s="50" t="str">
        <f ca="1">IFERROR(VLOOKUP($J620,Ref!$B$7:$C$9,2),"")</f>
        <v/>
      </c>
      <c r="L620" s="55"/>
      <c r="M620" s="34"/>
      <c r="N620" s="34"/>
      <c r="O620" s="34"/>
      <c r="P620" s="34"/>
      <c r="Q620" s="34"/>
      <c r="R620" s="34"/>
      <c r="S620" s="43"/>
      <c r="T620" s="43"/>
      <c r="U620" s="43"/>
      <c r="V620" s="58"/>
      <c r="W620" s="34"/>
      <c r="X620" s="34"/>
    </row>
    <row r="621" spans="1:24" x14ac:dyDescent="0.2">
      <c r="A621" s="132">
        <v>615</v>
      </c>
      <c r="B621" s="342"/>
      <c r="C621" s="34"/>
      <c r="D621" s="40" t="str">
        <f t="shared" si="19"/>
        <v>2002000615</v>
      </c>
      <c r="E621" s="34"/>
      <c r="F621" s="52"/>
      <c r="G621" s="34"/>
      <c r="H621" s="34"/>
      <c r="I621" s="278"/>
      <c r="J621" s="50" t="str">
        <f t="shared" ca="1" si="20"/>
        <v/>
      </c>
      <c r="K621" s="50" t="str">
        <f ca="1">IFERROR(VLOOKUP($J621,Ref!$B$7:$C$9,2),"")</f>
        <v/>
      </c>
      <c r="L621" s="55"/>
      <c r="M621" s="34"/>
      <c r="N621" s="34"/>
      <c r="O621" s="34"/>
      <c r="P621" s="34"/>
      <c r="Q621" s="34"/>
      <c r="R621" s="34"/>
      <c r="S621" s="43"/>
      <c r="T621" s="43"/>
      <c r="U621" s="43"/>
      <c r="V621" s="58"/>
      <c r="W621" s="34"/>
      <c r="X621" s="34"/>
    </row>
    <row r="622" spans="1:24" x14ac:dyDescent="0.2">
      <c r="A622" s="132">
        <v>616</v>
      </c>
      <c r="B622" s="342"/>
      <c r="C622" s="34"/>
      <c r="D622" s="40" t="str">
        <f t="shared" si="19"/>
        <v>2002000616</v>
      </c>
      <c r="E622" s="34"/>
      <c r="F622" s="52"/>
      <c r="G622" s="34"/>
      <c r="H622" s="34"/>
      <c r="I622" s="278"/>
      <c r="J622" s="50" t="str">
        <f t="shared" ca="1" si="20"/>
        <v/>
      </c>
      <c r="K622" s="50" t="str">
        <f ca="1">IFERROR(VLOOKUP($J622,Ref!$B$7:$C$9,2),"")</f>
        <v/>
      </c>
      <c r="L622" s="55"/>
      <c r="M622" s="34"/>
      <c r="N622" s="34"/>
      <c r="O622" s="34"/>
      <c r="P622" s="34"/>
      <c r="Q622" s="34"/>
      <c r="R622" s="34"/>
      <c r="S622" s="43"/>
      <c r="T622" s="43"/>
      <c r="U622" s="43"/>
      <c r="V622" s="58"/>
      <c r="W622" s="34"/>
      <c r="X622" s="34"/>
    </row>
    <row r="623" spans="1:24" x14ac:dyDescent="0.2">
      <c r="A623" s="132">
        <v>617</v>
      </c>
      <c r="B623" s="342"/>
      <c r="C623" s="34"/>
      <c r="D623" s="40" t="str">
        <f t="shared" si="19"/>
        <v>2002000617</v>
      </c>
      <c r="E623" s="34"/>
      <c r="F623" s="52"/>
      <c r="G623" s="34"/>
      <c r="H623" s="34"/>
      <c r="I623" s="278"/>
      <c r="J623" s="50" t="str">
        <f t="shared" ca="1" si="20"/>
        <v/>
      </c>
      <c r="K623" s="50" t="str">
        <f ca="1">IFERROR(VLOOKUP($J623,Ref!$B$7:$C$9,2),"")</f>
        <v/>
      </c>
      <c r="L623" s="55"/>
      <c r="M623" s="34"/>
      <c r="N623" s="34"/>
      <c r="O623" s="34"/>
      <c r="P623" s="34"/>
      <c r="Q623" s="34"/>
      <c r="R623" s="34"/>
      <c r="S623" s="43"/>
      <c r="T623" s="43"/>
      <c r="U623" s="43"/>
      <c r="V623" s="58"/>
      <c r="W623" s="34"/>
      <c r="X623" s="34"/>
    </row>
    <row r="624" spans="1:24" x14ac:dyDescent="0.2">
      <c r="A624" s="132">
        <v>618</v>
      </c>
      <c r="B624" s="342"/>
      <c r="C624" s="34"/>
      <c r="D624" s="40" t="str">
        <f t="shared" si="19"/>
        <v>2002000618</v>
      </c>
      <c r="E624" s="34"/>
      <c r="F624" s="52"/>
      <c r="G624" s="34"/>
      <c r="H624" s="34"/>
      <c r="I624" s="278"/>
      <c r="J624" s="50" t="str">
        <f t="shared" ca="1" si="20"/>
        <v/>
      </c>
      <c r="K624" s="50" t="str">
        <f ca="1">IFERROR(VLOOKUP($J624,Ref!$B$7:$C$9,2),"")</f>
        <v/>
      </c>
      <c r="L624" s="55"/>
      <c r="M624" s="34"/>
      <c r="N624" s="34"/>
      <c r="O624" s="34"/>
      <c r="P624" s="34"/>
      <c r="Q624" s="34"/>
      <c r="R624" s="34"/>
      <c r="S624" s="43"/>
      <c r="T624" s="43"/>
      <c r="U624" s="43"/>
      <c r="V624" s="58"/>
      <c r="W624" s="34"/>
      <c r="X624" s="34"/>
    </row>
    <row r="625" spans="1:24" x14ac:dyDescent="0.2">
      <c r="A625" s="132">
        <v>619</v>
      </c>
      <c r="B625" s="342"/>
      <c r="C625" s="34"/>
      <c r="D625" s="40" t="str">
        <f t="shared" si="19"/>
        <v>2002000619</v>
      </c>
      <c r="E625" s="34"/>
      <c r="F625" s="52"/>
      <c r="G625" s="34"/>
      <c r="H625" s="34"/>
      <c r="I625" s="278"/>
      <c r="J625" s="50" t="str">
        <f t="shared" ca="1" si="20"/>
        <v/>
      </c>
      <c r="K625" s="50" t="str">
        <f ca="1">IFERROR(VLOOKUP($J625,Ref!$B$7:$C$9,2),"")</f>
        <v/>
      </c>
      <c r="L625" s="55"/>
      <c r="M625" s="34"/>
      <c r="N625" s="34"/>
      <c r="O625" s="34"/>
      <c r="P625" s="34"/>
      <c r="Q625" s="34"/>
      <c r="R625" s="34"/>
      <c r="S625" s="43"/>
      <c r="T625" s="43"/>
      <c r="U625" s="43"/>
      <c r="V625" s="58"/>
      <c r="W625" s="34"/>
      <c r="X625" s="34"/>
    </row>
    <row r="626" spans="1:24" x14ac:dyDescent="0.2">
      <c r="A626" s="132">
        <v>620</v>
      </c>
      <c r="B626" s="342"/>
      <c r="C626" s="34"/>
      <c r="D626" s="40" t="str">
        <f t="shared" si="19"/>
        <v>2002000620</v>
      </c>
      <c r="E626" s="34"/>
      <c r="F626" s="52"/>
      <c r="G626" s="34"/>
      <c r="H626" s="34"/>
      <c r="I626" s="278"/>
      <c r="J626" s="50" t="str">
        <f t="shared" ca="1" si="20"/>
        <v/>
      </c>
      <c r="K626" s="50" t="str">
        <f ca="1">IFERROR(VLOOKUP($J626,Ref!$B$7:$C$9,2),"")</f>
        <v/>
      </c>
      <c r="L626" s="55"/>
      <c r="M626" s="34"/>
      <c r="N626" s="34"/>
      <c r="O626" s="34"/>
      <c r="P626" s="34"/>
      <c r="Q626" s="34"/>
      <c r="R626" s="34"/>
      <c r="S626" s="43"/>
      <c r="T626" s="43"/>
      <c r="U626" s="43"/>
      <c r="V626" s="58"/>
      <c r="W626" s="34"/>
      <c r="X626" s="34"/>
    </row>
    <row r="627" spans="1:24" x14ac:dyDescent="0.2">
      <c r="A627" s="132">
        <v>621</v>
      </c>
      <c r="B627" s="342"/>
      <c r="C627" s="34"/>
      <c r="D627" s="40" t="str">
        <f t="shared" si="19"/>
        <v>2002000621</v>
      </c>
      <c r="E627" s="34"/>
      <c r="F627" s="52"/>
      <c r="G627" s="34"/>
      <c r="H627" s="34"/>
      <c r="I627" s="278"/>
      <c r="J627" s="50" t="str">
        <f t="shared" ca="1" si="20"/>
        <v/>
      </c>
      <c r="K627" s="50" t="str">
        <f ca="1">IFERROR(VLOOKUP($J627,Ref!$B$7:$C$9,2),"")</f>
        <v/>
      </c>
      <c r="L627" s="55"/>
      <c r="M627" s="34"/>
      <c r="N627" s="34"/>
      <c r="O627" s="34"/>
      <c r="P627" s="34"/>
      <c r="Q627" s="34"/>
      <c r="R627" s="34"/>
      <c r="S627" s="43"/>
      <c r="T627" s="43"/>
      <c r="U627" s="43"/>
      <c r="V627" s="58"/>
      <c r="W627" s="34"/>
      <c r="X627" s="34"/>
    </row>
    <row r="628" spans="1:24" x14ac:dyDescent="0.2">
      <c r="A628" s="132">
        <v>622</v>
      </c>
      <c r="B628" s="342"/>
      <c r="C628" s="34"/>
      <c r="D628" s="40" t="str">
        <f t="shared" si="19"/>
        <v>2002000622</v>
      </c>
      <c r="E628" s="34"/>
      <c r="F628" s="52"/>
      <c r="G628" s="34"/>
      <c r="H628" s="34"/>
      <c r="I628" s="278"/>
      <c r="J628" s="50" t="str">
        <f t="shared" ca="1" si="20"/>
        <v/>
      </c>
      <c r="K628" s="50" t="str">
        <f ca="1">IFERROR(VLOOKUP($J628,Ref!$B$7:$C$9,2),"")</f>
        <v/>
      </c>
      <c r="L628" s="55"/>
      <c r="M628" s="34"/>
      <c r="N628" s="34"/>
      <c r="O628" s="34"/>
      <c r="P628" s="34"/>
      <c r="Q628" s="34"/>
      <c r="R628" s="34"/>
      <c r="S628" s="43"/>
      <c r="T628" s="43"/>
      <c r="U628" s="43"/>
      <c r="V628" s="58"/>
      <c r="W628" s="34"/>
      <c r="X628" s="34"/>
    </row>
    <row r="629" spans="1:24" x14ac:dyDescent="0.2">
      <c r="A629" s="132">
        <v>623</v>
      </c>
      <c r="B629" s="342"/>
      <c r="C629" s="34"/>
      <c r="D629" s="40" t="str">
        <f t="shared" si="19"/>
        <v>2002000623</v>
      </c>
      <c r="E629" s="34"/>
      <c r="F629" s="52"/>
      <c r="G629" s="34"/>
      <c r="H629" s="34"/>
      <c r="I629" s="278"/>
      <c r="J629" s="50" t="str">
        <f t="shared" ca="1" si="20"/>
        <v/>
      </c>
      <c r="K629" s="50" t="str">
        <f ca="1">IFERROR(VLOOKUP($J629,Ref!$B$7:$C$9,2),"")</f>
        <v/>
      </c>
      <c r="L629" s="55"/>
      <c r="M629" s="34"/>
      <c r="N629" s="34"/>
      <c r="O629" s="34"/>
      <c r="P629" s="34"/>
      <c r="Q629" s="34"/>
      <c r="R629" s="34"/>
      <c r="S629" s="43"/>
      <c r="T629" s="43"/>
      <c r="U629" s="43"/>
      <c r="V629" s="58"/>
      <c r="W629" s="34"/>
      <c r="X629" s="34"/>
    </row>
    <row r="630" spans="1:24" x14ac:dyDescent="0.2">
      <c r="A630" s="132">
        <v>624</v>
      </c>
      <c r="B630" s="342"/>
      <c r="C630" s="34"/>
      <c r="D630" s="40" t="str">
        <f t="shared" si="19"/>
        <v>2002000624</v>
      </c>
      <c r="E630" s="34"/>
      <c r="F630" s="52"/>
      <c r="G630" s="34"/>
      <c r="H630" s="34"/>
      <c r="I630" s="278"/>
      <c r="J630" s="50" t="str">
        <f t="shared" ca="1" si="20"/>
        <v/>
      </c>
      <c r="K630" s="50" t="str">
        <f ca="1">IFERROR(VLOOKUP($J630,Ref!$B$7:$C$9,2),"")</f>
        <v/>
      </c>
      <c r="L630" s="55"/>
      <c r="M630" s="34"/>
      <c r="N630" s="34"/>
      <c r="O630" s="34"/>
      <c r="P630" s="34"/>
      <c r="Q630" s="34"/>
      <c r="R630" s="34"/>
      <c r="S630" s="43"/>
      <c r="T630" s="43"/>
      <c r="U630" s="43"/>
      <c r="V630" s="58"/>
      <c r="W630" s="34"/>
      <c r="X630" s="34"/>
    </row>
    <row r="631" spans="1:24" x14ac:dyDescent="0.2">
      <c r="A631" s="132">
        <v>625</v>
      </c>
      <c r="B631" s="342"/>
      <c r="C631" s="34"/>
      <c r="D631" s="40" t="str">
        <f t="shared" si="19"/>
        <v>2002000625</v>
      </c>
      <c r="E631" s="34"/>
      <c r="F631" s="52"/>
      <c r="G631" s="34"/>
      <c r="H631" s="34"/>
      <c r="I631" s="278"/>
      <c r="J631" s="50" t="str">
        <f t="shared" ca="1" si="20"/>
        <v/>
      </c>
      <c r="K631" s="50" t="str">
        <f ca="1">IFERROR(VLOOKUP($J631,Ref!$B$7:$C$9,2),"")</f>
        <v/>
      </c>
      <c r="L631" s="55"/>
      <c r="M631" s="34"/>
      <c r="N631" s="34"/>
      <c r="O631" s="34"/>
      <c r="P631" s="34"/>
      <c r="Q631" s="34"/>
      <c r="R631" s="34"/>
      <c r="S631" s="43"/>
      <c r="T631" s="43"/>
      <c r="U631" s="43"/>
      <c r="V631" s="58"/>
      <c r="W631" s="34"/>
      <c r="X631" s="34"/>
    </row>
    <row r="632" spans="1:24" x14ac:dyDescent="0.2">
      <c r="A632" s="132">
        <v>626</v>
      </c>
      <c r="B632" s="342"/>
      <c r="C632" s="34"/>
      <c r="D632" s="40" t="str">
        <f t="shared" si="19"/>
        <v>2002000626</v>
      </c>
      <c r="E632" s="34"/>
      <c r="F632" s="52"/>
      <c r="G632" s="34"/>
      <c r="H632" s="34"/>
      <c r="I632" s="278"/>
      <c r="J632" s="50" t="str">
        <f t="shared" ca="1" si="20"/>
        <v/>
      </c>
      <c r="K632" s="50" t="str">
        <f ca="1">IFERROR(VLOOKUP($J632,Ref!$B$7:$C$9,2),"")</f>
        <v/>
      </c>
      <c r="L632" s="55"/>
      <c r="M632" s="34"/>
      <c r="N632" s="34"/>
      <c r="O632" s="34"/>
      <c r="P632" s="34"/>
      <c r="Q632" s="34"/>
      <c r="R632" s="34"/>
      <c r="S632" s="43"/>
      <c r="T632" s="43"/>
      <c r="U632" s="43"/>
      <c r="V632" s="58"/>
      <c r="W632" s="34"/>
      <c r="X632" s="34"/>
    </row>
    <row r="633" spans="1:24" x14ac:dyDescent="0.2">
      <c r="A633" s="132">
        <v>627</v>
      </c>
      <c r="B633" s="342"/>
      <c r="C633" s="34"/>
      <c r="D633" s="40" t="str">
        <f t="shared" si="19"/>
        <v>2002000627</v>
      </c>
      <c r="E633" s="34"/>
      <c r="F633" s="52"/>
      <c r="G633" s="34"/>
      <c r="H633" s="34"/>
      <c r="I633" s="278"/>
      <c r="J633" s="50" t="str">
        <f t="shared" ca="1" si="20"/>
        <v/>
      </c>
      <c r="K633" s="50" t="str">
        <f ca="1">IFERROR(VLOOKUP($J633,Ref!$B$7:$C$9,2),"")</f>
        <v/>
      </c>
      <c r="L633" s="55"/>
      <c r="M633" s="34"/>
      <c r="N633" s="34"/>
      <c r="O633" s="34"/>
      <c r="P633" s="34"/>
      <c r="Q633" s="34"/>
      <c r="R633" s="34"/>
      <c r="S633" s="43"/>
      <c r="T633" s="43"/>
      <c r="U633" s="43"/>
      <c r="V633" s="58"/>
      <c r="W633" s="34"/>
      <c r="X633" s="34"/>
    </row>
    <row r="634" spans="1:24" x14ac:dyDescent="0.2">
      <c r="A634" s="132">
        <v>628</v>
      </c>
      <c r="B634" s="342"/>
      <c r="C634" s="34"/>
      <c r="D634" s="40" t="str">
        <f t="shared" si="19"/>
        <v>2002000628</v>
      </c>
      <c r="E634" s="34"/>
      <c r="F634" s="52"/>
      <c r="G634" s="34"/>
      <c r="H634" s="34"/>
      <c r="I634" s="278"/>
      <c r="J634" s="50" t="str">
        <f t="shared" ca="1" si="20"/>
        <v/>
      </c>
      <c r="K634" s="50" t="str">
        <f ca="1">IFERROR(VLOOKUP($J634,Ref!$B$7:$C$9,2),"")</f>
        <v/>
      </c>
      <c r="L634" s="55"/>
      <c r="M634" s="34"/>
      <c r="N634" s="34"/>
      <c r="O634" s="34"/>
      <c r="P634" s="34"/>
      <c r="Q634" s="34"/>
      <c r="R634" s="34"/>
      <c r="S634" s="43"/>
      <c r="T634" s="43"/>
      <c r="U634" s="43"/>
      <c r="V634" s="58"/>
      <c r="W634" s="34"/>
      <c r="X634" s="34"/>
    </row>
    <row r="635" spans="1:24" x14ac:dyDescent="0.2">
      <c r="A635" s="132">
        <v>629</v>
      </c>
      <c r="B635" s="342"/>
      <c r="C635" s="34"/>
      <c r="D635" s="40" t="str">
        <f t="shared" si="19"/>
        <v>2002000629</v>
      </c>
      <c r="E635" s="34"/>
      <c r="F635" s="52"/>
      <c r="G635" s="34"/>
      <c r="H635" s="34"/>
      <c r="I635" s="278"/>
      <c r="J635" s="50" t="str">
        <f t="shared" ca="1" si="20"/>
        <v/>
      </c>
      <c r="K635" s="50" t="str">
        <f ca="1">IFERROR(VLOOKUP($J635,Ref!$B$7:$C$9,2),"")</f>
        <v/>
      </c>
      <c r="L635" s="55"/>
      <c r="M635" s="34"/>
      <c r="N635" s="34"/>
      <c r="O635" s="34"/>
      <c r="P635" s="34"/>
      <c r="Q635" s="34"/>
      <c r="R635" s="34"/>
      <c r="S635" s="43"/>
      <c r="T635" s="43"/>
      <c r="U635" s="43"/>
      <c r="V635" s="58"/>
      <c r="W635" s="34"/>
      <c r="X635" s="34"/>
    </row>
    <row r="636" spans="1:24" x14ac:dyDescent="0.2">
      <c r="A636" s="132">
        <v>630</v>
      </c>
      <c r="B636" s="342"/>
      <c r="C636" s="34"/>
      <c r="D636" s="40" t="str">
        <f t="shared" si="19"/>
        <v>2002000630</v>
      </c>
      <c r="E636" s="34"/>
      <c r="F636" s="52"/>
      <c r="G636" s="34"/>
      <c r="H636" s="34"/>
      <c r="I636" s="278"/>
      <c r="J636" s="50" t="str">
        <f t="shared" ca="1" si="20"/>
        <v/>
      </c>
      <c r="K636" s="50" t="str">
        <f ca="1">IFERROR(VLOOKUP($J636,Ref!$B$7:$C$9,2),"")</f>
        <v/>
      </c>
      <c r="L636" s="55"/>
      <c r="M636" s="34"/>
      <c r="N636" s="34"/>
      <c r="O636" s="34"/>
      <c r="P636" s="34"/>
      <c r="Q636" s="34"/>
      <c r="R636" s="34"/>
      <c r="S636" s="43"/>
      <c r="T636" s="43"/>
      <c r="U636" s="43"/>
      <c r="V636" s="58"/>
      <c r="W636" s="34"/>
      <c r="X636" s="34"/>
    </row>
    <row r="637" spans="1:24" x14ac:dyDescent="0.2">
      <c r="A637" s="132">
        <v>631</v>
      </c>
      <c r="B637" s="342"/>
      <c r="C637" s="34"/>
      <c r="D637" s="40" t="str">
        <f t="shared" si="19"/>
        <v>2002000631</v>
      </c>
      <c r="E637" s="34"/>
      <c r="F637" s="52"/>
      <c r="G637" s="34"/>
      <c r="H637" s="34"/>
      <c r="I637" s="278"/>
      <c r="J637" s="50" t="str">
        <f t="shared" ca="1" si="20"/>
        <v/>
      </c>
      <c r="K637" s="50" t="str">
        <f ca="1">IFERROR(VLOOKUP($J637,Ref!$B$7:$C$9,2),"")</f>
        <v/>
      </c>
      <c r="L637" s="55"/>
      <c r="M637" s="34"/>
      <c r="N637" s="34"/>
      <c r="O637" s="34"/>
      <c r="P637" s="34"/>
      <c r="Q637" s="34"/>
      <c r="R637" s="34"/>
      <c r="S637" s="43"/>
      <c r="T637" s="43"/>
      <c r="U637" s="43"/>
      <c r="V637" s="58"/>
      <c r="W637" s="34"/>
      <c r="X637" s="34"/>
    </row>
    <row r="638" spans="1:24" x14ac:dyDescent="0.2">
      <c r="A638" s="132">
        <v>632</v>
      </c>
      <c r="B638" s="342"/>
      <c r="C638" s="34"/>
      <c r="D638" s="40" t="str">
        <f t="shared" si="19"/>
        <v>2002000632</v>
      </c>
      <c r="E638" s="34"/>
      <c r="F638" s="52"/>
      <c r="G638" s="34"/>
      <c r="H638" s="34"/>
      <c r="I638" s="278"/>
      <c r="J638" s="50" t="str">
        <f t="shared" ca="1" si="20"/>
        <v/>
      </c>
      <c r="K638" s="50" t="str">
        <f ca="1">IFERROR(VLOOKUP($J638,Ref!$B$7:$C$9,2),"")</f>
        <v/>
      </c>
      <c r="L638" s="55"/>
      <c r="M638" s="34"/>
      <c r="N638" s="34"/>
      <c r="O638" s="34"/>
      <c r="P638" s="34"/>
      <c r="Q638" s="34"/>
      <c r="R638" s="34"/>
      <c r="S638" s="43"/>
      <c r="T638" s="43"/>
      <c r="U638" s="43"/>
      <c r="V638" s="58"/>
      <c r="W638" s="34"/>
      <c r="X638" s="34"/>
    </row>
    <row r="639" spans="1:24" x14ac:dyDescent="0.2">
      <c r="A639" s="132">
        <v>633</v>
      </c>
      <c r="B639" s="342"/>
      <c r="C639" s="34"/>
      <c r="D639" s="40" t="str">
        <f t="shared" si="19"/>
        <v>2002000633</v>
      </c>
      <c r="E639" s="34"/>
      <c r="F639" s="52"/>
      <c r="G639" s="34"/>
      <c r="H639" s="34"/>
      <c r="I639" s="278"/>
      <c r="J639" s="50" t="str">
        <f t="shared" ca="1" si="20"/>
        <v/>
      </c>
      <c r="K639" s="50" t="str">
        <f ca="1">IFERROR(VLOOKUP($J639,Ref!$B$7:$C$9,2),"")</f>
        <v/>
      </c>
      <c r="L639" s="55"/>
      <c r="M639" s="34"/>
      <c r="N639" s="34"/>
      <c r="O639" s="34"/>
      <c r="P639" s="34"/>
      <c r="Q639" s="34"/>
      <c r="R639" s="34"/>
      <c r="S639" s="43"/>
      <c r="T639" s="43"/>
      <c r="U639" s="43"/>
      <c r="V639" s="58"/>
      <c r="W639" s="34"/>
      <c r="X639" s="34"/>
    </row>
    <row r="640" spans="1:24" x14ac:dyDescent="0.2">
      <c r="A640" s="132">
        <v>634</v>
      </c>
      <c r="B640" s="342"/>
      <c r="C640" s="34"/>
      <c r="D640" s="40" t="str">
        <f t="shared" si="19"/>
        <v>2002000634</v>
      </c>
      <c r="E640" s="34"/>
      <c r="F640" s="52"/>
      <c r="G640" s="34"/>
      <c r="H640" s="34"/>
      <c r="I640" s="278"/>
      <c r="J640" s="50" t="str">
        <f t="shared" ca="1" si="20"/>
        <v/>
      </c>
      <c r="K640" s="50" t="str">
        <f ca="1">IFERROR(VLOOKUP($J640,Ref!$B$7:$C$9,2),"")</f>
        <v/>
      </c>
      <c r="L640" s="55"/>
      <c r="M640" s="34"/>
      <c r="N640" s="34"/>
      <c r="O640" s="34"/>
      <c r="P640" s="34"/>
      <c r="Q640" s="34"/>
      <c r="R640" s="34"/>
      <c r="S640" s="43"/>
      <c r="T640" s="43"/>
      <c r="U640" s="43"/>
      <c r="V640" s="58"/>
      <c r="W640" s="34"/>
      <c r="X640" s="34"/>
    </row>
    <row r="641" spans="1:24" x14ac:dyDescent="0.2">
      <c r="A641" s="132">
        <v>635</v>
      </c>
      <c r="B641" s="342"/>
      <c r="C641" s="34"/>
      <c r="D641" s="40" t="str">
        <f t="shared" si="19"/>
        <v>2002000635</v>
      </c>
      <c r="E641" s="34"/>
      <c r="F641" s="52"/>
      <c r="G641" s="34"/>
      <c r="H641" s="34"/>
      <c r="I641" s="278"/>
      <c r="J641" s="50" t="str">
        <f t="shared" ca="1" si="20"/>
        <v/>
      </c>
      <c r="K641" s="50" t="str">
        <f ca="1">IFERROR(VLOOKUP($J641,Ref!$B$7:$C$9,2),"")</f>
        <v/>
      </c>
      <c r="L641" s="55"/>
      <c r="M641" s="34"/>
      <c r="N641" s="34"/>
      <c r="O641" s="34"/>
      <c r="P641" s="34"/>
      <c r="Q641" s="34"/>
      <c r="R641" s="34"/>
      <c r="S641" s="43"/>
      <c r="T641" s="43"/>
      <c r="U641" s="43"/>
      <c r="V641" s="58"/>
      <c r="W641" s="34"/>
      <c r="X641" s="34"/>
    </row>
    <row r="642" spans="1:24" x14ac:dyDescent="0.2">
      <c r="A642" s="132">
        <v>636</v>
      </c>
      <c r="B642" s="342"/>
      <c r="C642" s="34"/>
      <c r="D642" s="40" t="str">
        <f t="shared" si="19"/>
        <v>2002000636</v>
      </c>
      <c r="E642" s="34"/>
      <c r="F642" s="52"/>
      <c r="G642" s="34"/>
      <c r="H642" s="34"/>
      <c r="I642" s="278"/>
      <c r="J642" s="50" t="str">
        <f t="shared" ca="1" si="20"/>
        <v/>
      </c>
      <c r="K642" s="50" t="str">
        <f ca="1">IFERROR(VLOOKUP($J642,Ref!$B$7:$C$9,2),"")</f>
        <v/>
      </c>
      <c r="L642" s="55"/>
      <c r="M642" s="34"/>
      <c r="N642" s="34"/>
      <c r="O642" s="34"/>
      <c r="P642" s="34"/>
      <c r="Q642" s="34"/>
      <c r="R642" s="34"/>
      <c r="S642" s="43"/>
      <c r="T642" s="43"/>
      <c r="U642" s="43"/>
      <c r="V642" s="58"/>
      <c r="W642" s="34"/>
      <c r="X642" s="34"/>
    </row>
    <row r="643" spans="1:24" x14ac:dyDescent="0.2">
      <c r="A643" s="132">
        <v>637</v>
      </c>
      <c r="B643" s="342"/>
      <c r="C643" s="34"/>
      <c r="D643" s="40" t="str">
        <f t="shared" si="19"/>
        <v>2002000637</v>
      </c>
      <c r="E643" s="34"/>
      <c r="F643" s="52"/>
      <c r="G643" s="34"/>
      <c r="H643" s="34"/>
      <c r="I643" s="278"/>
      <c r="J643" s="50" t="str">
        <f t="shared" ca="1" si="20"/>
        <v/>
      </c>
      <c r="K643" s="50" t="str">
        <f ca="1">IFERROR(VLOOKUP($J643,Ref!$B$7:$C$9,2),"")</f>
        <v/>
      </c>
      <c r="L643" s="55"/>
      <c r="M643" s="34"/>
      <c r="N643" s="34"/>
      <c r="O643" s="34"/>
      <c r="P643" s="34"/>
      <c r="Q643" s="34"/>
      <c r="R643" s="34"/>
      <c r="S643" s="43"/>
      <c r="T643" s="43"/>
      <c r="U643" s="43"/>
      <c r="V643" s="58"/>
      <c r="W643" s="34"/>
      <c r="X643" s="34"/>
    </row>
    <row r="644" spans="1:24" x14ac:dyDescent="0.2">
      <c r="A644" s="132">
        <v>638</v>
      </c>
      <c r="B644" s="342"/>
      <c r="C644" s="34"/>
      <c r="D644" s="40" t="str">
        <f t="shared" si="19"/>
        <v>2002000638</v>
      </c>
      <c r="E644" s="34"/>
      <c r="F644" s="52"/>
      <c r="G644" s="34"/>
      <c r="H644" s="34"/>
      <c r="I644" s="278"/>
      <c r="J644" s="50" t="str">
        <f t="shared" ca="1" si="20"/>
        <v/>
      </c>
      <c r="K644" s="50" t="str">
        <f ca="1">IFERROR(VLOOKUP($J644,Ref!$B$7:$C$9,2),"")</f>
        <v/>
      </c>
      <c r="L644" s="55"/>
      <c r="M644" s="34"/>
      <c r="N644" s="34"/>
      <c r="O644" s="34"/>
      <c r="P644" s="34"/>
      <c r="Q644" s="34"/>
      <c r="R644" s="34"/>
      <c r="S644" s="43"/>
      <c r="T644" s="43"/>
      <c r="U644" s="43"/>
      <c r="V644" s="58"/>
      <c r="W644" s="34"/>
      <c r="X644" s="34"/>
    </row>
    <row r="645" spans="1:24" x14ac:dyDescent="0.2">
      <c r="A645" s="132">
        <v>639</v>
      </c>
      <c r="B645" s="342"/>
      <c r="C645" s="34"/>
      <c r="D645" s="40" t="str">
        <f t="shared" si="19"/>
        <v>2002000639</v>
      </c>
      <c r="E645" s="34"/>
      <c r="F645" s="52"/>
      <c r="G645" s="34"/>
      <c r="H645" s="34"/>
      <c r="I645" s="278"/>
      <c r="J645" s="50" t="str">
        <f t="shared" ca="1" si="20"/>
        <v/>
      </c>
      <c r="K645" s="50" t="str">
        <f ca="1">IFERROR(VLOOKUP($J645,Ref!$B$7:$C$9,2),"")</f>
        <v/>
      </c>
      <c r="L645" s="55"/>
      <c r="M645" s="34"/>
      <c r="N645" s="34"/>
      <c r="O645" s="34"/>
      <c r="P645" s="34"/>
      <c r="Q645" s="34"/>
      <c r="R645" s="34"/>
      <c r="S645" s="43"/>
      <c r="T645" s="43"/>
      <c r="U645" s="43"/>
      <c r="V645" s="58"/>
      <c r="W645" s="34"/>
      <c r="X645" s="34"/>
    </row>
    <row r="646" spans="1:24" x14ac:dyDescent="0.2">
      <c r="A646" s="132">
        <v>640</v>
      </c>
      <c r="B646" s="342"/>
      <c r="C646" s="34"/>
      <c r="D646" s="40" t="str">
        <f t="shared" si="19"/>
        <v>2002000640</v>
      </c>
      <c r="E646" s="34"/>
      <c r="F646" s="52"/>
      <c r="G646" s="34"/>
      <c r="H646" s="34"/>
      <c r="I646" s="278"/>
      <c r="J646" s="50" t="str">
        <f t="shared" ca="1" si="20"/>
        <v/>
      </c>
      <c r="K646" s="50" t="str">
        <f ca="1">IFERROR(VLOOKUP($J646,Ref!$B$7:$C$9,2),"")</f>
        <v/>
      </c>
      <c r="L646" s="55"/>
      <c r="M646" s="34"/>
      <c r="N646" s="34"/>
      <c r="O646" s="34"/>
      <c r="P646" s="34"/>
      <c r="Q646" s="34"/>
      <c r="R646" s="34"/>
      <c r="S646" s="43"/>
      <c r="T646" s="43"/>
      <c r="U646" s="43"/>
      <c r="V646" s="58"/>
      <c r="W646" s="34"/>
      <c r="X646" s="34"/>
    </row>
    <row r="647" spans="1:24" x14ac:dyDescent="0.2">
      <c r="A647" s="132">
        <v>641</v>
      </c>
      <c r="B647" s="342"/>
      <c r="C647" s="34"/>
      <c r="D647" s="40" t="str">
        <f t="shared" si="19"/>
        <v>2002000641</v>
      </c>
      <c r="E647" s="34"/>
      <c r="F647" s="52"/>
      <c r="G647" s="34"/>
      <c r="H647" s="34"/>
      <c r="I647" s="278"/>
      <c r="J647" s="50" t="str">
        <f t="shared" ca="1" si="20"/>
        <v/>
      </c>
      <c r="K647" s="50" t="str">
        <f ca="1">IFERROR(VLOOKUP($J647,Ref!$B$7:$C$9,2),"")</f>
        <v/>
      </c>
      <c r="L647" s="55"/>
      <c r="M647" s="34"/>
      <c r="N647" s="34"/>
      <c r="O647" s="34"/>
      <c r="P647" s="34"/>
      <c r="Q647" s="34"/>
      <c r="R647" s="34"/>
      <c r="S647" s="43"/>
      <c r="T647" s="43"/>
      <c r="U647" s="43"/>
      <c r="V647" s="58"/>
      <c r="W647" s="34"/>
      <c r="X647" s="34"/>
    </row>
    <row r="648" spans="1:24" x14ac:dyDescent="0.2">
      <c r="A648" s="132">
        <v>642</v>
      </c>
      <c r="B648" s="342"/>
      <c r="C648" s="34"/>
      <c r="D648" s="40" t="str">
        <f t="shared" ref="D648:D711" si="21">IF(A648="","",LEFT($C$3,LEN($C$3)-LEN(A648))&amp;A648)</f>
        <v>2002000642</v>
      </c>
      <c r="E648" s="34"/>
      <c r="F648" s="52"/>
      <c r="G648" s="34"/>
      <c r="H648" s="34"/>
      <c r="I648" s="278"/>
      <c r="J648" s="50" t="str">
        <f t="shared" ca="1" si="20"/>
        <v/>
      </c>
      <c r="K648" s="50" t="str">
        <f ca="1">IFERROR(VLOOKUP($J648,Ref!$B$7:$C$9,2),"")</f>
        <v/>
      </c>
      <c r="L648" s="55"/>
      <c r="M648" s="34"/>
      <c r="N648" s="34"/>
      <c r="O648" s="34"/>
      <c r="P648" s="34"/>
      <c r="Q648" s="34"/>
      <c r="R648" s="34"/>
      <c r="S648" s="43"/>
      <c r="T648" s="43"/>
      <c r="U648" s="43"/>
      <c r="V648" s="58"/>
      <c r="W648" s="34"/>
      <c r="X648" s="34"/>
    </row>
    <row r="649" spans="1:24" x14ac:dyDescent="0.2">
      <c r="A649" s="132">
        <v>643</v>
      </c>
      <c r="B649" s="342"/>
      <c r="C649" s="34"/>
      <c r="D649" s="40" t="str">
        <f t="shared" si="21"/>
        <v>2002000643</v>
      </c>
      <c r="E649" s="34"/>
      <c r="F649" s="52"/>
      <c r="G649" s="34"/>
      <c r="H649" s="34"/>
      <c r="I649" s="278"/>
      <c r="J649" s="50" t="str">
        <f t="shared" ca="1" si="20"/>
        <v/>
      </c>
      <c r="K649" s="50" t="str">
        <f ca="1">IFERROR(VLOOKUP($J649,Ref!$B$7:$C$9,2),"")</f>
        <v/>
      </c>
      <c r="L649" s="55"/>
      <c r="M649" s="34"/>
      <c r="N649" s="34"/>
      <c r="O649" s="34"/>
      <c r="P649" s="34"/>
      <c r="Q649" s="34"/>
      <c r="R649" s="34"/>
      <c r="S649" s="43"/>
      <c r="T649" s="43"/>
      <c r="U649" s="43"/>
      <c r="V649" s="58"/>
      <c r="W649" s="34"/>
      <c r="X649" s="34"/>
    </row>
    <row r="650" spans="1:24" x14ac:dyDescent="0.2">
      <c r="A650" s="132">
        <v>644</v>
      </c>
      <c r="B650" s="342"/>
      <c r="C650" s="34"/>
      <c r="D650" s="40" t="str">
        <f t="shared" si="21"/>
        <v>2002000644</v>
      </c>
      <c r="E650" s="34"/>
      <c r="F650" s="52"/>
      <c r="G650" s="34"/>
      <c r="H650" s="34"/>
      <c r="I650" s="278"/>
      <c r="J650" s="50" t="str">
        <f t="shared" ca="1" si="20"/>
        <v/>
      </c>
      <c r="K650" s="50" t="str">
        <f ca="1">IFERROR(VLOOKUP($J650,Ref!$B$7:$C$9,2),"")</f>
        <v/>
      </c>
      <c r="L650" s="55"/>
      <c r="M650" s="34"/>
      <c r="N650" s="34"/>
      <c r="O650" s="34"/>
      <c r="P650" s="34"/>
      <c r="Q650" s="34"/>
      <c r="R650" s="34"/>
      <c r="S650" s="43"/>
      <c r="T650" s="43"/>
      <c r="U650" s="43"/>
      <c r="V650" s="58"/>
      <c r="W650" s="34"/>
      <c r="X650" s="34"/>
    </row>
    <row r="651" spans="1:24" x14ac:dyDescent="0.2">
      <c r="A651" s="132">
        <v>645</v>
      </c>
      <c r="B651" s="342"/>
      <c r="C651" s="34"/>
      <c r="D651" s="40" t="str">
        <f t="shared" si="21"/>
        <v>2002000645</v>
      </c>
      <c r="E651" s="34"/>
      <c r="F651" s="52"/>
      <c r="G651" s="34"/>
      <c r="H651" s="34"/>
      <c r="I651" s="278"/>
      <c r="J651" s="50" t="str">
        <f t="shared" ca="1" si="20"/>
        <v/>
      </c>
      <c r="K651" s="50" t="str">
        <f ca="1">IFERROR(VLOOKUP($J651,Ref!$B$7:$C$9,2),"")</f>
        <v/>
      </c>
      <c r="L651" s="55"/>
      <c r="M651" s="34"/>
      <c r="N651" s="34"/>
      <c r="O651" s="34"/>
      <c r="P651" s="34"/>
      <c r="Q651" s="34"/>
      <c r="R651" s="34"/>
      <c r="S651" s="43"/>
      <c r="T651" s="43"/>
      <c r="U651" s="43"/>
      <c r="V651" s="58"/>
      <c r="W651" s="34"/>
      <c r="X651" s="34"/>
    </row>
    <row r="652" spans="1:24" x14ac:dyDescent="0.2">
      <c r="A652" s="132">
        <v>646</v>
      </c>
      <c r="B652" s="342"/>
      <c r="C652" s="34"/>
      <c r="D652" s="40" t="str">
        <f t="shared" si="21"/>
        <v>2002000646</v>
      </c>
      <c r="E652" s="34"/>
      <c r="F652" s="52"/>
      <c r="G652" s="34"/>
      <c r="H652" s="34"/>
      <c r="I652" s="278"/>
      <c r="J652" s="50" t="str">
        <f t="shared" ca="1" si="20"/>
        <v/>
      </c>
      <c r="K652" s="50" t="str">
        <f ca="1">IFERROR(VLOOKUP($J652,Ref!$B$7:$C$9,2),"")</f>
        <v/>
      </c>
      <c r="L652" s="55"/>
      <c r="M652" s="34"/>
      <c r="N652" s="34"/>
      <c r="O652" s="34"/>
      <c r="P652" s="34"/>
      <c r="Q652" s="34"/>
      <c r="R652" s="34"/>
      <c r="S652" s="43"/>
      <c r="T652" s="43"/>
      <c r="U652" s="43"/>
      <c r="V652" s="58"/>
      <c r="W652" s="34"/>
      <c r="X652" s="34"/>
    </row>
    <row r="653" spans="1:24" x14ac:dyDescent="0.2">
      <c r="A653" s="132">
        <v>647</v>
      </c>
      <c r="B653" s="342"/>
      <c r="C653" s="34"/>
      <c r="D653" s="40" t="str">
        <f t="shared" si="21"/>
        <v>2002000647</v>
      </c>
      <c r="E653" s="34"/>
      <c r="F653" s="52"/>
      <c r="G653" s="34"/>
      <c r="H653" s="34"/>
      <c r="I653" s="278"/>
      <c r="J653" s="50" t="str">
        <f t="shared" ca="1" si="20"/>
        <v/>
      </c>
      <c r="K653" s="50" t="str">
        <f ca="1">IFERROR(VLOOKUP($J653,Ref!$B$7:$C$9,2),"")</f>
        <v/>
      </c>
      <c r="L653" s="55"/>
      <c r="M653" s="34"/>
      <c r="N653" s="34"/>
      <c r="O653" s="34"/>
      <c r="P653" s="34"/>
      <c r="Q653" s="34"/>
      <c r="R653" s="34"/>
      <c r="S653" s="43"/>
      <c r="T653" s="43"/>
      <c r="U653" s="43"/>
      <c r="V653" s="58"/>
      <c r="W653" s="34"/>
      <c r="X653" s="34"/>
    </row>
    <row r="654" spans="1:24" x14ac:dyDescent="0.2">
      <c r="A654" s="132">
        <v>648</v>
      </c>
      <c r="B654" s="342"/>
      <c r="C654" s="34"/>
      <c r="D654" s="40" t="str">
        <f t="shared" si="21"/>
        <v>2002000648</v>
      </c>
      <c r="E654" s="34"/>
      <c r="F654" s="52"/>
      <c r="G654" s="34"/>
      <c r="H654" s="34"/>
      <c r="I654" s="278"/>
      <c r="J654" s="50" t="str">
        <f t="shared" ca="1" si="20"/>
        <v/>
      </c>
      <c r="K654" s="50" t="str">
        <f ca="1">IFERROR(VLOOKUP($J654,Ref!$B$7:$C$9,2),"")</f>
        <v/>
      </c>
      <c r="L654" s="55"/>
      <c r="M654" s="34"/>
      <c r="N654" s="34"/>
      <c r="O654" s="34"/>
      <c r="P654" s="34"/>
      <c r="Q654" s="34"/>
      <c r="R654" s="34"/>
      <c r="S654" s="43"/>
      <c r="T654" s="43"/>
      <c r="U654" s="43"/>
      <c r="V654" s="58"/>
      <c r="W654" s="34"/>
      <c r="X654" s="34"/>
    </row>
    <row r="655" spans="1:24" x14ac:dyDescent="0.2">
      <c r="A655" s="132">
        <v>649</v>
      </c>
      <c r="B655" s="342"/>
      <c r="C655" s="34"/>
      <c r="D655" s="40" t="str">
        <f t="shared" si="21"/>
        <v>2002000649</v>
      </c>
      <c r="E655" s="34"/>
      <c r="F655" s="52"/>
      <c r="G655" s="34"/>
      <c r="H655" s="34"/>
      <c r="I655" s="278"/>
      <c r="J655" s="50" t="str">
        <f t="shared" ca="1" si="20"/>
        <v/>
      </c>
      <c r="K655" s="50" t="str">
        <f ca="1">IFERROR(VLOOKUP($J655,Ref!$B$7:$C$9,2),"")</f>
        <v/>
      </c>
      <c r="L655" s="55"/>
      <c r="M655" s="34"/>
      <c r="N655" s="34"/>
      <c r="O655" s="34"/>
      <c r="P655" s="34"/>
      <c r="Q655" s="34"/>
      <c r="R655" s="34"/>
      <c r="S655" s="43"/>
      <c r="T655" s="43"/>
      <c r="U655" s="43"/>
      <c r="V655" s="58"/>
      <c r="W655" s="34"/>
      <c r="X655" s="34"/>
    </row>
    <row r="656" spans="1:24" x14ac:dyDescent="0.2">
      <c r="A656" s="132">
        <v>650</v>
      </c>
      <c r="B656" s="342"/>
      <c r="C656" s="34"/>
      <c r="D656" s="40" t="str">
        <f t="shared" si="21"/>
        <v>2002000650</v>
      </c>
      <c r="E656" s="34"/>
      <c r="F656" s="52"/>
      <c r="G656" s="34"/>
      <c r="H656" s="34"/>
      <c r="I656" s="278"/>
      <c r="J656" s="50" t="str">
        <f t="shared" ca="1" si="20"/>
        <v/>
      </c>
      <c r="K656" s="50" t="str">
        <f ca="1">IFERROR(VLOOKUP($J656,Ref!$B$7:$C$9,2),"")</f>
        <v/>
      </c>
      <c r="L656" s="55"/>
      <c r="M656" s="34"/>
      <c r="N656" s="34"/>
      <c r="O656" s="34"/>
      <c r="P656" s="34"/>
      <c r="Q656" s="34"/>
      <c r="R656" s="34"/>
      <c r="S656" s="43"/>
      <c r="T656" s="43"/>
      <c r="U656" s="43"/>
      <c r="V656" s="58"/>
      <c r="W656" s="34"/>
      <c r="X656" s="34"/>
    </row>
    <row r="657" spans="1:24" x14ac:dyDescent="0.2">
      <c r="A657" s="132">
        <v>651</v>
      </c>
      <c r="B657" s="342"/>
      <c r="C657" s="34"/>
      <c r="D657" s="40" t="str">
        <f t="shared" si="21"/>
        <v>2002000651</v>
      </c>
      <c r="E657" s="34"/>
      <c r="F657" s="52"/>
      <c r="G657" s="34"/>
      <c r="H657" s="34"/>
      <c r="I657" s="278"/>
      <c r="J657" s="50" t="str">
        <f t="shared" ca="1" si="20"/>
        <v/>
      </c>
      <c r="K657" s="50" t="str">
        <f ca="1">IFERROR(VLOOKUP($J657,Ref!$B$7:$C$9,2),"")</f>
        <v/>
      </c>
      <c r="L657" s="55"/>
      <c r="M657" s="34"/>
      <c r="N657" s="34"/>
      <c r="O657" s="34"/>
      <c r="P657" s="34"/>
      <c r="Q657" s="34"/>
      <c r="R657" s="34"/>
      <c r="S657" s="43"/>
      <c r="T657" s="43"/>
      <c r="U657" s="43"/>
      <c r="V657" s="58"/>
      <c r="W657" s="34"/>
      <c r="X657" s="34"/>
    </row>
    <row r="658" spans="1:24" x14ac:dyDescent="0.2">
      <c r="A658" s="132">
        <v>652</v>
      </c>
      <c r="B658" s="342"/>
      <c r="C658" s="34"/>
      <c r="D658" s="40" t="str">
        <f t="shared" si="21"/>
        <v>2002000652</v>
      </c>
      <c r="E658" s="34"/>
      <c r="F658" s="52"/>
      <c r="G658" s="34"/>
      <c r="H658" s="34"/>
      <c r="I658" s="278"/>
      <c r="J658" s="50" t="str">
        <f t="shared" ca="1" si="20"/>
        <v/>
      </c>
      <c r="K658" s="50" t="str">
        <f ca="1">IFERROR(VLOOKUP($J658,Ref!$B$7:$C$9,2),"")</f>
        <v/>
      </c>
      <c r="L658" s="55"/>
      <c r="M658" s="34"/>
      <c r="N658" s="34"/>
      <c r="O658" s="34"/>
      <c r="P658" s="34"/>
      <c r="Q658" s="34"/>
      <c r="R658" s="34"/>
      <c r="S658" s="43"/>
      <c r="T658" s="43"/>
      <c r="U658" s="43"/>
      <c r="V658" s="58"/>
      <c r="W658" s="34"/>
      <c r="X658" s="34"/>
    </row>
    <row r="659" spans="1:24" x14ac:dyDescent="0.2">
      <c r="A659" s="132">
        <v>653</v>
      </c>
      <c r="B659" s="342"/>
      <c r="C659" s="34"/>
      <c r="D659" s="40" t="str">
        <f t="shared" si="21"/>
        <v>2002000653</v>
      </c>
      <c r="E659" s="34"/>
      <c r="F659" s="52"/>
      <c r="G659" s="34"/>
      <c r="H659" s="34"/>
      <c r="I659" s="278"/>
      <c r="J659" s="50" t="str">
        <f t="shared" ca="1" si="20"/>
        <v/>
      </c>
      <c r="K659" s="50" t="str">
        <f ca="1">IFERROR(VLOOKUP($J659,Ref!$B$7:$C$9,2),"")</f>
        <v/>
      </c>
      <c r="L659" s="55"/>
      <c r="M659" s="34"/>
      <c r="N659" s="34"/>
      <c r="O659" s="34"/>
      <c r="P659" s="34"/>
      <c r="Q659" s="34"/>
      <c r="R659" s="34"/>
      <c r="S659" s="43"/>
      <c r="T659" s="43"/>
      <c r="U659" s="43"/>
      <c r="V659" s="58"/>
      <c r="W659" s="34"/>
      <c r="X659" s="34"/>
    </row>
    <row r="660" spans="1:24" x14ac:dyDescent="0.2">
      <c r="A660" s="132">
        <v>654</v>
      </c>
      <c r="B660" s="342"/>
      <c r="C660" s="34"/>
      <c r="D660" s="40" t="str">
        <f t="shared" si="21"/>
        <v>2002000654</v>
      </c>
      <c r="E660" s="34"/>
      <c r="F660" s="52"/>
      <c r="G660" s="34"/>
      <c r="H660" s="34"/>
      <c r="I660" s="278"/>
      <c r="J660" s="50" t="str">
        <f t="shared" ca="1" si="20"/>
        <v/>
      </c>
      <c r="K660" s="50" t="str">
        <f ca="1">IFERROR(VLOOKUP($J660,Ref!$B$7:$C$9,2),"")</f>
        <v/>
      </c>
      <c r="L660" s="55"/>
      <c r="M660" s="34"/>
      <c r="N660" s="34"/>
      <c r="O660" s="34"/>
      <c r="P660" s="34"/>
      <c r="Q660" s="34"/>
      <c r="R660" s="34"/>
      <c r="S660" s="43"/>
      <c r="T660" s="43"/>
      <c r="U660" s="43"/>
      <c r="V660" s="58"/>
      <c r="W660" s="34"/>
      <c r="X660" s="34"/>
    </row>
    <row r="661" spans="1:24" x14ac:dyDescent="0.2">
      <c r="A661" s="132">
        <v>655</v>
      </c>
      <c r="B661" s="342"/>
      <c r="C661" s="34"/>
      <c r="D661" s="40" t="str">
        <f t="shared" si="21"/>
        <v>2002000655</v>
      </c>
      <c r="E661" s="34"/>
      <c r="F661" s="52"/>
      <c r="G661" s="34"/>
      <c r="H661" s="34"/>
      <c r="I661" s="278"/>
      <c r="J661" s="50" t="str">
        <f t="shared" ca="1" si="20"/>
        <v/>
      </c>
      <c r="K661" s="50" t="str">
        <f ca="1">IFERROR(VLOOKUP($J661,Ref!$B$7:$C$9,2),"")</f>
        <v/>
      </c>
      <c r="L661" s="55"/>
      <c r="M661" s="34"/>
      <c r="N661" s="34"/>
      <c r="O661" s="34"/>
      <c r="P661" s="34"/>
      <c r="Q661" s="34"/>
      <c r="R661" s="34"/>
      <c r="S661" s="43"/>
      <c r="T661" s="43"/>
      <c r="U661" s="43"/>
      <c r="V661" s="58"/>
      <c r="W661" s="34"/>
      <c r="X661" s="34"/>
    </row>
    <row r="662" spans="1:24" x14ac:dyDescent="0.2">
      <c r="A662" s="132">
        <v>656</v>
      </c>
      <c r="B662" s="342"/>
      <c r="C662" s="34"/>
      <c r="D662" s="40" t="str">
        <f t="shared" si="21"/>
        <v>2002000656</v>
      </c>
      <c r="E662" s="34"/>
      <c r="F662" s="52"/>
      <c r="G662" s="34"/>
      <c r="H662" s="34"/>
      <c r="I662" s="278"/>
      <c r="J662" s="50" t="str">
        <f t="shared" ca="1" si="20"/>
        <v/>
      </c>
      <c r="K662" s="50" t="str">
        <f ca="1">IFERROR(VLOOKUP($J662,Ref!$B$7:$C$9,2),"")</f>
        <v/>
      </c>
      <c r="L662" s="55"/>
      <c r="M662" s="34"/>
      <c r="N662" s="34"/>
      <c r="O662" s="34"/>
      <c r="P662" s="34"/>
      <c r="Q662" s="34"/>
      <c r="R662" s="34"/>
      <c r="S662" s="43"/>
      <c r="T662" s="43"/>
      <c r="U662" s="43"/>
      <c r="V662" s="58"/>
      <c r="W662" s="34"/>
      <c r="X662" s="34"/>
    </row>
    <row r="663" spans="1:24" x14ac:dyDescent="0.2">
      <c r="A663" s="132">
        <v>657</v>
      </c>
      <c r="B663" s="342"/>
      <c r="C663" s="34"/>
      <c r="D663" s="40" t="str">
        <f t="shared" si="21"/>
        <v>2002000657</v>
      </c>
      <c r="E663" s="34"/>
      <c r="F663" s="52"/>
      <c r="G663" s="34"/>
      <c r="H663" s="34"/>
      <c r="I663" s="278"/>
      <c r="J663" s="50" t="str">
        <f t="shared" ca="1" si="20"/>
        <v/>
      </c>
      <c r="K663" s="50" t="str">
        <f ca="1">IFERROR(VLOOKUP($J663,Ref!$B$7:$C$9,2),"")</f>
        <v/>
      </c>
      <c r="L663" s="55"/>
      <c r="M663" s="34"/>
      <c r="N663" s="34"/>
      <c r="O663" s="34"/>
      <c r="P663" s="34"/>
      <c r="Q663" s="34"/>
      <c r="R663" s="34"/>
      <c r="S663" s="43"/>
      <c r="T663" s="43"/>
      <c r="U663" s="43"/>
      <c r="V663" s="58"/>
      <c r="W663" s="34"/>
      <c r="X663" s="34"/>
    </row>
    <row r="664" spans="1:24" x14ac:dyDescent="0.2">
      <c r="A664" s="132">
        <v>658</v>
      </c>
      <c r="B664" s="342"/>
      <c r="C664" s="34"/>
      <c r="D664" s="40" t="str">
        <f t="shared" si="21"/>
        <v>2002000658</v>
      </c>
      <c r="E664" s="34"/>
      <c r="F664" s="52"/>
      <c r="G664" s="34"/>
      <c r="H664" s="34"/>
      <c r="I664" s="278"/>
      <c r="J664" s="50" t="str">
        <f t="shared" ref="J664:J727" ca="1" si="22">IF(I664="","",(TODAY()-$I664)/365)</f>
        <v/>
      </c>
      <c r="K664" s="50" t="str">
        <f ca="1">IFERROR(VLOOKUP($J664,Ref!$B$7:$C$9,2),"")</f>
        <v/>
      </c>
      <c r="L664" s="55"/>
      <c r="M664" s="34"/>
      <c r="N664" s="34"/>
      <c r="O664" s="34"/>
      <c r="P664" s="34"/>
      <c r="Q664" s="34"/>
      <c r="R664" s="34"/>
      <c r="S664" s="43"/>
      <c r="T664" s="43"/>
      <c r="U664" s="43"/>
      <c r="V664" s="58"/>
      <c r="W664" s="34"/>
      <c r="X664" s="34"/>
    </row>
    <row r="665" spans="1:24" x14ac:dyDescent="0.2">
      <c r="A665" s="132">
        <v>659</v>
      </c>
      <c r="B665" s="342"/>
      <c r="C665" s="34"/>
      <c r="D665" s="40" t="str">
        <f t="shared" si="21"/>
        <v>2002000659</v>
      </c>
      <c r="E665" s="34"/>
      <c r="F665" s="52"/>
      <c r="G665" s="34"/>
      <c r="H665" s="34"/>
      <c r="I665" s="278"/>
      <c r="J665" s="50" t="str">
        <f t="shared" ca="1" si="22"/>
        <v/>
      </c>
      <c r="K665" s="50" t="str">
        <f ca="1">IFERROR(VLOOKUP($J665,Ref!$B$7:$C$9,2),"")</f>
        <v/>
      </c>
      <c r="L665" s="55"/>
      <c r="M665" s="34"/>
      <c r="N665" s="34"/>
      <c r="O665" s="34"/>
      <c r="P665" s="34"/>
      <c r="Q665" s="34"/>
      <c r="R665" s="34"/>
      <c r="S665" s="43"/>
      <c r="T665" s="43"/>
      <c r="U665" s="43"/>
      <c r="V665" s="58"/>
      <c r="W665" s="34"/>
      <c r="X665" s="34"/>
    </row>
    <row r="666" spans="1:24" x14ac:dyDescent="0.2">
      <c r="A666" s="132">
        <v>660</v>
      </c>
      <c r="B666" s="342"/>
      <c r="C666" s="34"/>
      <c r="D666" s="40" t="str">
        <f t="shared" si="21"/>
        <v>2002000660</v>
      </c>
      <c r="E666" s="34"/>
      <c r="F666" s="52"/>
      <c r="G666" s="34"/>
      <c r="H666" s="34"/>
      <c r="I666" s="278"/>
      <c r="J666" s="50" t="str">
        <f t="shared" ca="1" si="22"/>
        <v/>
      </c>
      <c r="K666" s="50" t="str">
        <f ca="1">IFERROR(VLOOKUP($J666,Ref!$B$7:$C$9,2),"")</f>
        <v/>
      </c>
      <c r="L666" s="55"/>
      <c r="M666" s="34"/>
      <c r="N666" s="34"/>
      <c r="O666" s="34"/>
      <c r="P666" s="34"/>
      <c r="Q666" s="34"/>
      <c r="R666" s="34"/>
      <c r="S666" s="43"/>
      <c r="T666" s="43"/>
      <c r="U666" s="43"/>
      <c r="V666" s="58"/>
      <c r="W666" s="34"/>
      <c r="X666" s="34"/>
    </row>
    <row r="667" spans="1:24" x14ac:dyDescent="0.2">
      <c r="A667" s="132">
        <v>661</v>
      </c>
      <c r="B667" s="342"/>
      <c r="C667" s="34"/>
      <c r="D667" s="40" t="str">
        <f t="shared" si="21"/>
        <v>2002000661</v>
      </c>
      <c r="E667" s="34"/>
      <c r="F667" s="52"/>
      <c r="G667" s="34"/>
      <c r="H667" s="34"/>
      <c r="I667" s="278"/>
      <c r="J667" s="50" t="str">
        <f t="shared" ca="1" si="22"/>
        <v/>
      </c>
      <c r="K667" s="50" t="str">
        <f ca="1">IFERROR(VLOOKUP($J667,Ref!$B$7:$C$9,2),"")</f>
        <v/>
      </c>
      <c r="L667" s="55"/>
      <c r="M667" s="34"/>
      <c r="N667" s="34"/>
      <c r="O667" s="34"/>
      <c r="P667" s="34"/>
      <c r="Q667" s="34"/>
      <c r="R667" s="34"/>
      <c r="S667" s="43"/>
      <c r="T667" s="43"/>
      <c r="U667" s="43"/>
      <c r="V667" s="58"/>
      <c r="W667" s="34"/>
      <c r="X667" s="34"/>
    </row>
    <row r="668" spans="1:24" x14ac:dyDescent="0.2">
      <c r="A668" s="132">
        <v>662</v>
      </c>
      <c r="B668" s="342"/>
      <c r="C668" s="34"/>
      <c r="D668" s="40" t="str">
        <f t="shared" si="21"/>
        <v>2002000662</v>
      </c>
      <c r="E668" s="34"/>
      <c r="F668" s="52"/>
      <c r="G668" s="34"/>
      <c r="H668" s="34"/>
      <c r="I668" s="278"/>
      <c r="J668" s="50" t="str">
        <f t="shared" ca="1" si="22"/>
        <v/>
      </c>
      <c r="K668" s="50" t="str">
        <f ca="1">IFERROR(VLOOKUP($J668,Ref!$B$7:$C$9,2),"")</f>
        <v/>
      </c>
      <c r="L668" s="55"/>
      <c r="M668" s="34"/>
      <c r="N668" s="34"/>
      <c r="O668" s="34"/>
      <c r="P668" s="34"/>
      <c r="Q668" s="34"/>
      <c r="R668" s="34"/>
      <c r="S668" s="43"/>
      <c r="T668" s="43"/>
      <c r="U668" s="43"/>
      <c r="V668" s="58"/>
      <c r="W668" s="34"/>
      <c r="X668" s="34"/>
    </row>
    <row r="669" spans="1:24" x14ac:dyDescent="0.2">
      <c r="A669" s="132">
        <v>663</v>
      </c>
      <c r="B669" s="342"/>
      <c r="C669" s="34"/>
      <c r="D669" s="40" t="str">
        <f t="shared" si="21"/>
        <v>2002000663</v>
      </c>
      <c r="E669" s="34"/>
      <c r="F669" s="52"/>
      <c r="G669" s="34"/>
      <c r="H669" s="34"/>
      <c r="I669" s="278"/>
      <c r="J669" s="50" t="str">
        <f t="shared" ca="1" si="22"/>
        <v/>
      </c>
      <c r="K669" s="50" t="str">
        <f ca="1">IFERROR(VLOOKUP($J669,Ref!$B$7:$C$9,2),"")</f>
        <v/>
      </c>
      <c r="L669" s="55"/>
      <c r="M669" s="34"/>
      <c r="N669" s="34"/>
      <c r="O669" s="34"/>
      <c r="P669" s="34"/>
      <c r="Q669" s="34"/>
      <c r="R669" s="34"/>
      <c r="S669" s="43"/>
      <c r="T669" s="43"/>
      <c r="U669" s="43"/>
      <c r="V669" s="58"/>
      <c r="W669" s="34"/>
      <c r="X669" s="34"/>
    </row>
    <row r="670" spans="1:24" x14ac:dyDescent="0.2">
      <c r="A670" s="132">
        <v>664</v>
      </c>
      <c r="B670" s="342"/>
      <c r="C670" s="34"/>
      <c r="D670" s="40" t="str">
        <f t="shared" si="21"/>
        <v>2002000664</v>
      </c>
      <c r="E670" s="34"/>
      <c r="F670" s="52"/>
      <c r="G670" s="34"/>
      <c r="H670" s="34"/>
      <c r="I670" s="278"/>
      <c r="J670" s="50" t="str">
        <f t="shared" ca="1" si="22"/>
        <v/>
      </c>
      <c r="K670" s="50" t="str">
        <f ca="1">IFERROR(VLOOKUP($J670,Ref!$B$7:$C$9,2),"")</f>
        <v/>
      </c>
      <c r="L670" s="55"/>
      <c r="M670" s="34"/>
      <c r="N670" s="34"/>
      <c r="O670" s="34"/>
      <c r="P670" s="34"/>
      <c r="Q670" s="34"/>
      <c r="R670" s="34"/>
      <c r="S670" s="43"/>
      <c r="T670" s="43"/>
      <c r="U670" s="43"/>
      <c r="V670" s="58"/>
      <c r="W670" s="34"/>
      <c r="X670" s="34"/>
    </row>
    <row r="671" spans="1:24" x14ac:dyDescent="0.2">
      <c r="A671" s="132">
        <v>665</v>
      </c>
      <c r="B671" s="342"/>
      <c r="C671" s="34"/>
      <c r="D671" s="40" t="str">
        <f t="shared" si="21"/>
        <v>2002000665</v>
      </c>
      <c r="E671" s="34"/>
      <c r="F671" s="52"/>
      <c r="G671" s="34"/>
      <c r="H671" s="34"/>
      <c r="I671" s="278"/>
      <c r="J671" s="50" t="str">
        <f t="shared" ca="1" si="22"/>
        <v/>
      </c>
      <c r="K671" s="50" t="str">
        <f ca="1">IFERROR(VLOOKUP($J671,Ref!$B$7:$C$9,2),"")</f>
        <v/>
      </c>
      <c r="L671" s="55"/>
      <c r="M671" s="34"/>
      <c r="N671" s="34"/>
      <c r="O671" s="34"/>
      <c r="P671" s="34"/>
      <c r="Q671" s="34"/>
      <c r="R671" s="34"/>
      <c r="S671" s="43"/>
      <c r="T671" s="43"/>
      <c r="U671" s="43"/>
      <c r="V671" s="58"/>
      <c r="W671" s="34"/>
      <c r="X671" s="34"/>
    </row>
    <row r="672" spans="1:24" x14ac:dyDescent="0.2">
      <c r="A672" s="132">
        <v>666</v>
      </c>
      <c r="B672" s="342"/>
      <c r="C672" s="34"/>
      <c r="D672" s="40" t="str">
        <f t="shared" si="21"/>
        <v>2002000666</v>
      </c>
      <c r="E672" s="34"/>
      <c r="F672" s="52"/>
      <c r="G672" s="34"/>
      <c r="H672" s="34"/>
      <c r="I672" s="278"/>
      <c r="J672" s="50" t="str">
        <f t="shared" ca="1" si="22"/>
        <v/>
      </c>
      <c r="K672" s="50" t="str">
        <f ca="1">IFERROR(VLOOKUP($J672,Ref!$B$7:$C$9,2),"")</f>
        <v/>
      </c>
      <c r="L672" s="55"/>
      <c r="M672" s="34"/>
      <c r="N672" s="34"/>
      <c r="O672" s="34"/>
      <c r="P672" s="34"/>
      <c r="Q672" s="34"/>
      <c r="R672" s="34"/>
      <c r="S672" s="43"/>
      <c r="T672" s="43"/>
      <c r="U672" s="43"/>
      <c r="V672" s="58"/>
      <c r="W672" s="34"/>
      <c r="X672" s="34"/>
    </row>
    <row r="673" spans="1:24" x14ac:dyDescent="0.2">
      <c r="A673" s="132">
        <v>667</v>
      </c>
      <c r="B673" s="342"/>
      <c r="C673" s="34"/>
      <c r="D673" s="40" t="str">
        <f t="shared" si="21"/>
        <v>2002000667</v>
      </c>
      <c r="E673" s="34"/>
      <c r="F673" s="52"/>
      <c r="G673" s="34"/>
      <c r="H673" s="34"/>
      <c r="I673" s="278"/>
      <c r="J673" s="50" t="str">
        <f t="shared" ca="1" si="22"/>
        <v/>
      </c>
      <c r="K673" s="50" t="str">
        <f ca="1">IFERROR(VLOOKUP($J673,Ref!$B$7:$C$9,2),"")</f>
        <v/>
      </c>
      <c r="L673" s="55"/>
      <c r="M673" s="34"/>
      <c r="N673" s="34"/>
      <c r="O673" s="34"/>
      <c r="P673" s="34"/>
      <c r="Q673" s="34"/>
      <c r="R673" s="34"/>
      <c r="S673" s="43"/>
      <c r="T673" s="43"/>
      <c r="U673" s="43"/>
      <c r="V673" s="58"/>
      <c r="W673" s="34"/>
      <c r="X673" s="34"/>
    </row>
    <row r="674" spans="1:24" x14ac:dyDescent="0.2">
      <c r="A674" s="132">
        <v>668</v>
      </c>
      <c r="B674" s="342"/>
      <c r="C674" s="34"/>
      <c r="D674" s="40" t="str">
        <f t="shared" si="21"/>
        <v>2002000668</v>
      </c>
      <c r="E674" s="34"/>
      <c r="F674" s="52"/>
      <c r="G674" s="34"/>
      <c r="H674" s="34"/>
      <c r="I674" s="278"/>
      <c r="J674" s="50" t="str">
        <f t="shared" ca="1" si="22"/>
        <v/>
      </c>
      <c r="K674" s="50" t="str">
        <f ca="1">IFERROR(VLOOKUP($J674,Ref!$B$7:$C$9,2),"")</f>
        <v/>
      </c>
      <c r="L674" s="55"/>
      <c r="M674" s="34"/>
      <c r="N674" s="34"/>
      <c r="O674" s="34"/>
      <c r="P674" s="34"/>
      <c r="Q674" s="34"/>
      <c r="R674" s="34"/>
      <c r="S674" s="43"/>
      <c r="T674" s="43"/>
      <c r="U674" s="43"/>
      <c r="V674" s="58"/>
      <c r="W674" s="34"/>
      <c r="X674" s="34"/>
    </row>
    <row r="675" spans="1:24" x14ac:dyDescent="0.2">
      <c r="A675" s="132">
        <v>669</v>
      </c>
      <c r="B675" s="342"/>
      <c r="C675" s="34"/>
      <c r="D675" s="40" t="str">
        <f t="shared" si="21"/>
        <v>2002000669</v>
      </c>
      <c r="E675" s="34"/>
      <c r="F675" s="52"/>
      <c r="G675" s="34"/>
      <c r="H675" s="34"/>
      <c r="I675" s="278"/>
      <c r="J675" s="50" t="str">
        <f t="shared" ca="1" si="22"/>
        <v/>
      </c>
      <c r="K675" s="50" t="str">
        <f ca="1">IFERROR(VLOOKUP($J675,Ref!$B$7:$C$9,2),"")</f>
        <v/>
      </c>
      <c r="L675" s="55"/>
      <c r="M675" s="34"/>
      <c r="N675" s="34"/>
      <c r="O675" s="34"/>
      <c r="P675" s="34"/>
      <c r="Q675" s="34"/>
      <c r="R675" s="34"/>
      <c r="S675" s="43"/>
      <c r="T675" s="43"/>
      <c r="U675" s="43"/>
      <c r="V675" s="58"/>
      <c r="W675" s="34"/>
      <c r="X675" s="34"/>
    </row>
    <row r="676" spans="1:24" x14ac:dyDescent="0.2">
      <c r="A676" s="132">
        <v>670</v>
      </c>
      <c r="B676" s="342"/>
      <c r="C676" s="34"/>
      <c r="D676" s="40" t="str">
        <f t="shared" si="21"/>
        <v>2002000670</v>
      </c>
      <c r="E676" s="34"/>
      <c r="F676" s="52"/>
      <c r="G676" s="34"/>
      <c r="H676" s="34"/>
      <c r="I676" s="278"/>
      <c r="J676" s="50" t="str">
        <f t="shared" ca="1" si="22"/>
        <v/>
      </c>
      <c r="K676" s="50" t="str">
        <f ca="1">IFERROR(VLOOKUP($J676,Ref!$B$7:$C$9,2),"")</f>
        <v/>
      </c>
      <c r="L676" s="55"/>
      <c r="M676" s="34"/>
      <c r="N676" s="34"/>
      <c r="O676" s="34"/>
      <c r="P676" s="34"/>
      <c r="Q676" s="34"/>
      <c r="R676" s="34"/>
      <c r="S676" s="43"/>
      <c r="T676" s="43"/>
      <c r="U676" s="43"/>
      <c r="V676" s="58"/>
      <c r="W676" s="34"/>
      <c r="X676" s="34"/>
    </row>
    <row r="677" spans="1:24" x14ac:dyDescent="0.2">
      <c r="A677" s="132">
        <v>671</v>
      </c>
      <c r="B677" s="342"/>
      <c r="C677" s="34"/>
      <c r="D677" s="40" t="str">
        <f t="shared" si="21"/>
        <v>2002000671</v>
      </c>
      <c r="E677" s="34"/>
      <c r="F677" s="52"/>
      <c r="G677" s="34"/>
      <c r="H677" s="34"/>
      <c r="I677" s="278"/>
      <c r="J677" s="50" t="str">
        <f t="shared" ca="1" si="22"/>
        <v/>
      </c>
      <c r="K677" s="50" t="str">
        <f ca="1">IFERROR(VLOOKUP($J677,Ref!$B$7:$C$9,2),"")</f>
        <v/>
      </c>
      <c r="L677" s="55"/>
      <c r="M677" s="34"/>
      <c r="N677" s="34"/>
      <c r="O677" s="34"/>
      <c r="P677" s="34"/>
      <c r="Q677" s="34"/>
      <c r="R677" s="34"/>
      <c r="S677" s="43"/>
      <c r="T677" s="43"/>
      <c r="U677" s="43"/>
      <c r="V677" s="58"/>
      <c r="W677" s="34"/>
      <c r="X677" s="34"/>
    </row>
    <row r="678" spans="1:24" x14ac:dyDescent="0.2">
      <c r="A678" s="132">
        <v>672</v>
      </c>
      <c r="B678" s="342"/>
      <c r="C678" s="34"/>
      <c r="D678" s="40" t="str">
        <f t="shared" si="21"/>
        <v>2002000672</v>
      </c>
      <c r="E678" s="34"/>
      <c r="F678" s="52"/>
      <c r="G678" s="34"/>
      <c r="H678" s="34"/>
      <c r="I678" s="278"/>
      <c r="J678" s="50" t="str">
        <f t="shared" ca="1" si="22"/>
        <v/>
      </c>
      <c r="K678" s="50" t="str">
        <f ca="1">IFERROR(VLOOKUP($J678,Ref!$B$7:$C$9,2),"")</f>
        <v/>
      </c>
      <c r="L678" s="55"/>
      <c r="M678" s="34"/>
      <c r="N678" s="34"/>
      <c r="O678" s="34"/>
      <c r="P678" s="34"/>
      <c r="Q678" s="34"/>
      <c r="R678" s="34"/>
      <c r="S678" s="43"/>
      <c r="T678" s="43"/>
      <c r="U678" s="43"/>
      <c r="V678" s="58"/>
      <c r="W678" s="34"/>
      <c r="X678" s="34"/>
    </row>
    <row r="679" spans="1:24" x14ac:dyDescent="0.2">
      <c r="A679" s="132">
        <v>673</v>
      </c>
      <c r="B679" s="342"/>
      <c r="C679" s="34"/>
      <c r="D679" s="40" t="str">
        <f t="shared" si="21"/>
        <v>2002000673</v>
      </c>
      <c r="E679" s="34"/>
      <c r="F679" s="52"/>
      <c r="G679" s="34"/>
      <c r="H679" s="34"/>
      <c r="I679" s="278"/>
      <c r="J679" s="50" t="str">
        <f t="shared" ca="1" si="22"/>
        <v/>
      </c>
      <c r="K679" s="50" t="str">
        <f ca="1">IFERROR(VLOOKUP($J679,Ref!$B$7:$C$9,2),"")</f>
        <v/>
      </c>
      <c r="L679" s="55"/>
      <c r="M679" s="34"/>
      <c r="N679" s="34"/>
      <c r="O679" s="34"/>
      <c r="P679" s="34"/>
      <c r="Q679" s="34"/>
      <c r="R679" s="34"/>
      <c r="S679" s="43"/>
      <c r="T679" s="43"/>
      <c r="U679" s="43"/>
      <c r="V679" s="58"/>
      <c r="W679" s="34"/>
      <c r="X679" s="34"/>
    </row>
    <row r="680" spans="1:24" x14ac:dyDescent="0.2">
      <c r="A680" s="132">
        <v>674</v>
      </c>
      <c r="B680" s="342"/>
      <c r="C680" s="34"/>
      <c r="D680" s="40" t="str">
        <f t="shared" si="21"/>
        <v>2002000674</v>
      </c>
      <c r="E680" s="34"/>
      <c r="F680" s="52"/>
      <c r="G680" s="34"/>
      <c r="H680" s="34"/>
      <c r="I680" s="278"/>
      <c r="J680" s="50" t="str">
        <f t="shared" ca="1" si="22"/>
        <v/>
      </c>
      <c r="K680" s="50" t="str">
        <f ca="1">IFERROR(VLOOKUP($J680,Ref!$B$7:$C$9,2),"")</f>
        <v/>
      </c>
      <c r="L680" s="55"/>
      <c r="M680" s="34"/>
      <c r="N680" s="34"/>
      <c r="O680" s="34"/>
      <c r="P680" s="34"/>
      <c r="Q680" s="34"/>
      <c r="R680" s="34"/>
      <c r="S680" s="43"/>
      <c r="T680" s="43"/>
      <c r="U680" s="43"/>
      <c r="V680" s="58"/>
      <c r="W680" s="34"/>
      <c r="X680" s="34"/>
    </row>
    <row r="681" spans="1:24" x14ac:dyDescent="0.2">
      <c r="A681" s="132">
        <v>675</v>
      </c>
      <c r="B681" s="342"/>
      <c r="C681" s="34"/>
      <c r="D681" s="40" t="str">
        <f t="shared" si="21"/>
        <v>2002000675</v>
      </c>
      <c r="E681" s="34"/>
      <c r="F681" s="52"/>
      <c r="G681" s="34"/>
      <c r="H681" s="34"/>
      <c r="I681" s="278"/>
      <c r="J681" s="50" t="str">
        <f t="shared" ca="1" si="22"/>
        <v/>
      </c>
      <c r="K681" s="50" t="str">
        <f ca="1">IFERROR(VLOOKUP($J681,Ref!$B$7:$C$9,2),"")</f>
        <v/>
      </c>
      <c r="L681" s="55"/>
      <c r="M681" s="34"/>
      <c r="N681" s="34"/>
      <c r="O681" s="34"/>
      <c r="P681" s="34"/>
      <c r="Q681" s="34"/>
      <c r="R681" s="34"/>
      <c r="S681" s="43"/>
      <c r="T681" s="43"/>
      <c r="U681" s="43"/>
      <c r="V681" s="58"/>
      <c r="W681" s="34"/>
      <c r="X681" s="34"/>
    </row>
    <row r="682" spans="1:24" x14ac:dyDescent="0.2">
      <c r="A682" s="132">
        <v>676</v>
      </c>
      <c r="B682" s="342"/>
      <c r="C682" s="34"/>
      <c r="D682" s="40" t="str">
        <f t="shared" si="21"/>
        <v>2002000676</v>
      </c>
      <c r="E682" s="34"/>
      <c r="F682" s="52"/>
      <c r="G682" s="34"/>
      <c r="H682" s="34"/>
      <c r="I682" s="278"/>
      <c r="J682" s="50" t="str">
        <f t="shared" ca="1" si="22"/>
        <v/>
      </c>
      <c r="K682" s="50" t="str">
        <f ca="1">IFERROR(VLOOKUP($J682,Ref!$B$7:$C$9,2),"")</f>
        <v/>
      </c>
      <c r="L682" s="55"/>
      <c r="M682" s="34"/>
      <c r="N682" s="34"/>
      <c r="O682" s="34"/>
      <c r="P682" s="34"/>
      <c r="Q682" s="34"/>
      <c r="R682" s="34"/>
      <c r="S682" s="43"/>
      <c r="T682" s="43"/>
      <c r="U682" s="43"/>
      <c r="V682" s="58"/>
      <c r="W682" s="34"/>
      <c r="X682" s="34"/>
    </row>
    <row r="683" spans="1:24" x14ac:dyDescent="0.2">
      <c r="A683" s="132">
        <v>677</v>
      </c>
      <c r="B683" s="342"/>
      <c r="C683" s="34"/>
      <c r="D683" s="40" t="str">
        <f t="shared" si="21"/>
        <v>2002000677</v>
      </c>
      <c r="E683" s="34"/>
      <c r="F683" s="52"/>
      <c r="G683" s="34"/>
      <c r="H683" s="34"/>
      <c r="I683" s="278"/>
      <c r="J683" s="50" t="str">
        <f t="shared" ca="1" si="22"/>
        <v/>
      </c>
      <c r="K683" s="50" t="str">
        <f ca="1">IFERROR(VLOOKUP($J683,Ref!$B$7:$C$9,2),"")</f>
        <v/>
      </c>
      <c r="L683" s="55"/>
      <c r="M683" s="34"/>
      <c r="N683" s="34"/>
      <c r="O683" s="34"/>
      <c r="P683" s="34"/>
      <c r="Q683" s="34"/>
      <c r="R683" s="34"/>
      <c r="S683" s="43"/>
      <c r="T683" s="43"/>
      <c r="U683" s="43"/>
      <c r="V683" s="58"/>
      <c r="W683" s="34"/>
      <c r="X683" s="34"/>
    </row>
    <row r="684" spans="1:24" x14ac:dyDescent="0.2">
      <c r="A684" s="132">
        <v>678</v>
      </c>
      <c r="B684" s="342"/>
      <c r="C684" s="34"/>
      <c r="D684" s="40" t="str">
        <f t="shared" si="21"/>
        <v>2002000678</v>
      </c>
      <c r="E684" s="34"/>
      <c r="F684" s="52"/>
      <c r="G684" s="34"/>
      <c r="H684" s="34"/>
      <c r="I684" s="278"/>
      <c r="J684" s="50" t="str">
        <f t="shared" ca="1" si="22"/>
        <v/>
      </c>
      <c r="K684" s="50" t="str">
        <f ca="1">IFERROR(VLOOKUP($J684,Ref!$B$7:$C$9,2),"")</f>
        <v/>
      </c>
      <c r="L684" s="55"/>
      <c r="M684" s="34"/>
      <c r="N684" s="34"/>
      <c r="O684" s="34"/>
      <c r="P684" s="34"/>
      <c r="Q684" s="34"/>
      <c r="R684" s="34"/>
      <c r="S684" s="43"/>
      <c r="T684" s="43"/>
      <c r="U684" s="43"/>
      <c r="V684" s="58"/>
      <c r="W684" s="34"/>
      <c r="X684" s="34"/>
    </row>
    <row r="685" spans="1:24" x14ac:dyDescent="0.2">
      <c r="A685" s="132">
        <v>679</v>
      </c>
      <c r="B685" s="342"/>
      <c r="C685" s="34"/>
      <c r="D685" s="40" t="str">
        <f t="shared" si="21"/>
        <v>2002000679</v>
      </c>
      <c r="E685" s="34"/>
      <c r="F685" s="52"/>
      <c r="G685" s="34"/>
      <c r="H685" s="34"/>
      <c r="I685" s="278"/>
      <c r="J685" s="50" t="str">
        <f t="shared" ca="1" si="22"/>
        <v/>
      </c>
      <c r="K685" s="50" t="str">
        <f ca="1">IFERROR(VLOOKUP($J685,Ref!$B$7:$C$9,2),"")</f>
        <v/>
      </c>
      <c r="L685" s="55"/>
      <c r="M685" s="34"/>
      <c r="N685" s="34"/>
      <c r="O685" s="34"/>
      <c r="P685" s="34"/>
      <c r="Q685" s="34"/>
      <c r="R685" s="34"/>
      <c r="S685" s="43"/>
      <c r="T685" s="43"/>
      <c r="U685" s="43"/>
      <c r="V685" s="58"/>
      <c r="W685" s="34"/>
      <c r="X685" s="34"/>
    </row>
    <row r="686" spans="1:24" x14ac:dyDescent="0.2">
      <c r="A686" s="132">
        <v>680</v>
      </c>
      <c r="B686" s="342"/>
      <c r="C686" s="34"/>
      <c r="D686" s="40" t="str">
        <f t="shared" si="21"/>
        <v>2002000680</v>
      </c>
      <c r="E686" s="34"/>
      <c r="F686" s="52"/>
      <c r="G686" s="34"/>
      <c r="H686" s="34"/>
      <c r="I686" s="278"/>
      <c r="J686" s="50" t="str">
        <f t="shared" ca="1" si="22"/>
        <v/>
      </c>
      <c r="K686" s="50" t="str">
        <f ca="1">IFERROR(VLOOKUP($J686,Ref!$B$7:$C$9,2),"")</f>
        <v/>
      </c>
      <c r="L686" s="55"/>
      <c r="M686" s="34"/>
      <c r="N686" s="34"/>
      <c r="O686" s="34"/>
      <c r="P686" s="34"/>
      <c r="Q686" s="34"/>
      <c r="R686" s="34"/>
      <c r="S686" s="43"/>
      <c r="T686" s="43"/>
      <c r="U686" s="43"/>
      <c r="V686" s="58"/>
      <c r="W686" s="34"/>
      <c r="X686" s="34"/>
    </row>
    <row r="687" spans="1:24" x14ac:dyDescent="0.2">
      <c r="A687" s="132">
        <v>681</v>
      </c>
      <c r="B687" s="342"/>
      <c r="C687" s="34"/>
      <c r="D687" s="40" t="str">
        <f t="shared" si="21"/>
        <v>2002000681</v>
      </c>
      <c r="E687" s="34"/>
      <c r="F687" s="52"/>
      <c r="G687" s="34"/>
      <c r="H687" s="34"/>
      <c r="I687" s="278"/>
      <c r="J687" s="50" t="str">
        <f t="shared" ca="1" si="22"/>
        <v/>
      </c>
      <c r="K687" s="50" t="str">
        <f ca="1">IFERROR(VLOOKUP($J687,Ref!$B$7:$C$9,2),"")</f>
        <v/>
      </c>
      <c r="L687" s="55"/>
      <c r="M687" s="34"/>
      <c r="N687" s="34"/>
      <c r="O687" s="34"/>
      <c r="P687" s="34"/>
      <c r="Q687" s="34"/>
      <c r="R687" s="34"/>
      <c r="S687" s="43"/>
      <c r="T687" s="43"/>
      <c r="U687" s="43"/>
      <c r="V687" s="58"/>
      <c r="W687" s="34"/>
      <c r="X687" s="34"/>
    </row>
    <row r="688" spans="1:24" x14ac:dyDescent="0.2">
      <c r="A688" s="132">
        <v>682</v>
      </c>
      <c r="B688" s="342"/>
      <c r="C688" s="34"/>
      <c r="D688" s="40" t="str">
        <f t="shared" si="21"/>
        <v>2002000682</v>
      </c>
      <c r="E688" s="34"/>
      <c r="F688" s="52"/>
      <c r="G688" s="34"/>
      <c r="H688" s="34"/>
      <c r="I688" s="278"/>
      <c r="J688" s="50" t="str">
        <f t="shared" ca="1" si="22"/>
        <v/>
      </c>
      <c r="K688" s="50" t="str">
        <f ca="1">IFERROR(VLOOKUP($J688,Ref!$B$7:$C$9,2),"")</f>
        <v/>
      </c>
      <c r="L688" s="55"/>
      <c r="M688" s="34"/>
      <c r="N688" s="34"/>
      <c r="O688" s="34"/>
      <c r="P688" s="34"/>
      <c r="Q688" s="34"/>
      <c r="R688" s="34"/>
      <c r="S688" s="43"/>
      <c r="T688" s="43"/>
      <c r="U688" s="43"/>
      <c r="V688" s="58"/>
      <c r="W688" s="34"/>
      <c r="X688" s="34"/>
    </row>
    <row r="689" spans="1:24" x14ac:dyDescent="0.2">
      <c r="A689" s="132">
        <v>683</v>
      </c>
      <c r="B689" s="342"/>
      <c r="C689" s="34"/>
      <c r="D689" s="40" t="str">
        <f t="shared" si="21"/>
        <v>2002000683</v>
      </c>
      <c r="E689" s="34"/>
      <c r="F689" s="52"/>
      <c r="G689" s="34"/>
      <c r="H689" s="34"/>
      <c r="I689" s="278"/>
      <c r="J689" s="50" t="str">
        <f t="shared" ca="1" si="22"/>
        <v/>
      </c>
      <c r="K689" s="50" t="str">
        <f ca="1">IFERROR(VLOOKUP($J689,Ref!$B$7:$C$9,2),"")</f>
        <v/>
      </c>
      <c r="L689" s="55"/>
      <c r="M689" s="34"/>
      <c r="N689" s="34"/>
      <c r="O689" s="34"/>
      <c r="P689" s="34"/>
      <c r="Q689" s="34"/>
      <c r="R689" s="34"/>
      <c r="S689" s="43"/>
      <c r="T689" s="43"/>
      <c r="U689" s="43"/>
      <c r="V689" s="58"/>
      <c r="W689" s="34"/>
      <c r="X689" s="34"/>
    </row>
    <row r="690" spans="1:24" x14ac:dyDescent="0.2">
      <c r="A690" s="132">
        <v>684</v>
      </c>
      <c r="B690" s="342"/>
      <c r="C690" s="34"/>
      <c r="D690" s="40" t="str">
        <f t="shared" si="21"/>
        <v>2002000684</v>
      </c>
      <c r="E690" s="34"/>
      <c r="F690" s="52"/>
      <c r="G690" s="34"/>
      <c r="H690" s="34"/>
      <c r="I690" s="278"/>
      <c r="J690" s="50" t="str">
        <f t="shared" ca="1" si="22"/>
        <v/>
      </c>
      <c r="K690" s="50" t="str">
        <f ca="1">IFERROR(VLOOKUP($J690,Ref!$B$7:$C$9,2),"")</f>
        <v/>
      </c>
      <c r="L690" s="55"/>
      <c r="M690" s="34"/>
      <c r="N690" s="34"/>
      <c r="O690" s="34"/>
      <c r="P690" s="34"/>
      <c r="Q690" s="34"/>
      <c r="R690" s="34"/>
      <c r="S690" s="43"/>
      <c r="T690" s="43"/>
      <c r="U690" s="43"/>
      <c r="V690" s="58"/>
      <c r="W690" s="34"/>
      <c r="X690" s="34"/>
    </row>
    <row r="691" spans="1:24" x14ac:dyDescent="0.2">
      <c r="A691" s="132">
        <v>685</v>
      </c>
      <c r="B691" s="342"/>
      <c r="C691" s="34"/>
      <c r="D691" s="40" t="str">
        <f t="shared" si="21"/>
        <v>2002000685</v>
      </c>
      <c r="E691" s="34"/>
      <c r="F691" s="52"/>
      <c r="G691" s="34"/>
      <c r="H691" s="34"/>
      <c r="I691" s="278"/>
      <c r="J691" s="50" t="str">
        <f t="shared" ca="1" si="22"/>
        <v/>
      </c>
      <c r="K691" s="50" t="str">
        <f ca="1">IFERROR(VLOOKUP($J691,Ref!$B$7:$C$9,2),"")</f>
        <v/>
      </c>
      <c r="L691" s="55"/>
      <c r="M691" s="34"/>
      <c r="N691" s="34"/>
      <c r="O691" s="34"/>
      <c r="P691" s="34"/>
      <c r="Q691" s="34"/>
      <c r="R691" s="34"/>
      <c r="S691" s="43"/>
      <c r="T691" s="43"/>
      <c r="U691" s="43"/>
      <c r="V691" s="58"/>
      <c r="W691" s="34"/>
      <c r="X691" s="34"/>
    </row>
    <row r="692" spans="1:24" x14ac:dyDescent="0.2">
      <c r="A692" s="132">
        <v>686</v>
      </c>
      <c r="B692" s="342"/>
      <c r="C692" s="34"/>
      <c r="D692" s="40" t="str">
        <f t="shared" si="21"/>
        <v>2002000686</v>
      </c>
      <c r="E692" s="34"/>
      <c r="F692" s="52"/>
      <c r="G692" s="34"/>
      <c r="H692" s="34"/>
      <c r="I692" s="278"/>
      <c r="J692" s="50" t="str">
        <f t="shared" ca="1" si="22"/>
        <v/>
      </c>
      <c r="K692" s="50" t="str">
        <f ca="1">IFERROR(VLOOKUP($J692,Ref!$B$7:$C$9,2),"")</f>
        <v/>
      </c>
      <c r="L692" s="55"/>
      <c r="M692" s="34"/>
      <c r="N692" s="34"/>
      <c r="O692" s="34"/>
      <c r="P692" s="34"/>
      <c r="Q692" s="34"/>
      <c r="R692" s="34"/>
      <c r="S692" s="43"/>
      <c r="T692" s="43"/>
      <c r="U692" s="43"/>
      <c r="V692" s="58"/>
      <c r="W692" s="34"/>
      <c r="X692" s="34"/>
    </row>
    <row r="693" spans="1:24" x14ac:dyDescent="0.2">
      <c r="A693" s="132">
        <v>687</v>
      </c>
      <c r="B693" s="342"/>
      <c r="C693" s="34"/>
      <c r="D693" s="40" t="str">
        <f t="shared" si="21"/>
        <v>2002000687</v>
      </c>
      <c r="E693" s="34"/>
      <c r="F693" s="52"/>
      <c r="G693" s="34"/>
      <c r="H693" s="34"/>
      <c r="I693" s="278"/>
      <c r="J693" s="50" t="str">
        <f t="shared" ca="1" si="22"/>
        <v/>
      </c>
      <c r="K693" s="50" t="str">
        <f ca="1">IFERROR(VLOOKUP($J693,Ref!$B$7:$C$9,2),"")</f>
        <v/>
      </c>
      <c r="L693" s="55"/>
      <c r="M693" s="34"/>
      <c r="N693" s="34"/>
      <c r="O693" s="34"/>
      <c r="P693" s="34"/>
      <c r="Q693" s="34"/>
      <c r="R693" s="34"/>
      <c r="S693" s="43"/>
      <c r="T693" s="43"/>
      <c r="U693" s="43"/>
      <c r="V693" s="58"/>
      <c r="W693" s="34"/>
      <c r="X693" s="34"/>
    </row>
    <row r="694" spans="1:24" x14ac:dyDescent="0.2">
      <c r="A694" s="132">
        <v>688</v>
      </c>
      <c r="B694" s="342"/>
      <c r="C694" s="34"/>
      <c r="D694" s="40" t="str">
        <f t="shared" si="21"/>
        <v>2002000688</v>
      </c>
      <c r="E694" s="34"/>
      <c r="F694" s="52"/>
      <c r="G694" s="34"/>
      <c r="H694" s="34"/>
      <c r="I694" s="278"/>
      <c r="J694" s="50" t="str">
        <f t="shared" ca="1" si="22"/>
        <v/>
      </c>
      <c r="K694" s="50" t="str">
        <f ca="1">IFERROR(VLOOKUP($J694,Ref!$B$7:$C$9,2),"")</f>
        <v/>
      </c>
      <c r="L694" s="55"/>
      <c r="M694" s="34"/>
      <c r="N694" s="34"/>
      <c r="O694" s="34"/>
      <c r="P694" s="34"/>
      <c r="Q694" s="34"/>
      <c r="R694" s="34"/>
      <c r="S694" s="43"/>
      <c r="T694" s="43"/>
      <c r="U694" s="43"/>
      <c r="V694" s="58"/>
      <c r="W694" s="34"/>
      <c r="X694" s="34"/>
    </row>
    <row r="695" spans="1:24" x14ac:dyDescent="0.2">
      <c r="A695" s="132">
        <v>689</v>
      </c>
      <c r="B695" s="342"/>
      <c r="C695" s="34"/>
      <c r="D695" s="40" t="str">
        <f t="shared" si="21"/>
        <v>2002000689</v>
      </c>
      <c r="E695" s="34"/>
      <c r="F695" s="52"/>
      <c r="G695" s="34"/>
      <c r="H695" s="34"/>
      <c r="I695" s="278"/>
      <c r="J695" s="50" t="str">
        <f t="shared" ca="1" si="22"/>
        <v/>
      </c>
      <c r="K695" s="50" t="str">
        <f ca="1">IFERROR(VLOOKUP($J695,Ref!$B$7:$C$9,2),"")</f>
        <v/>
      </c>
      <c r="L695" s="55"/>
      <c r="M695" s="34"/>
      <c r="N695" s="34"/>
      <c r="O695" s="34"/>
      <c r="P695" s="34"/>
      <c r="Q695" s="34"/>
      <c r="R695" s="34"/>
      <c r="S695" s="43"/>
      <c r="T695" s="43"/>
      <c r="U695" s="43"/>
      <c r="V695" s="58"/>
      <c r="W695" s="34"/>
      <c r="X695" s="34"/>
    </row>
    <row r="696" spans="1:24" x14ac:dyDescent="0.2">
      <c r="A696" s="132">
        <v>690</v>
      </c>
      <c r="B696" s="342"/>
      <c r="C696" s="34"/>
      <c r="D696" s="40" t="str">
        <f t="shared" si="21"/>
        <v>2002000690</v>
      </c>
      <c r="E696" s="34"/>
      <c r="F696" s="52"/>
      <c r="G696" s="34"/>
      <c r="H696" s="34"/>
      <c r="I696" s="278"/>
      <c r="J696" s="50" t="str">
        <f t="shared" ca="1" si="22"/>
        <v/>
      </c>
      <c r="K696" s="50" t="str">
        <f ca="1">IFERROR(VLOOKUP($J696,Ref!$B$7:$C$9,2),"")</f>
        <v/>
      </c>
      <c r="L696" s="55"/>
      <c r="M696" s="34"/>
      <c r="N696" s="34"/>
      <c r="O696" s="34"/>
      <c r="P696" s="34"/>
      <c r="Q696" s="34"/>
      <c r="R696" s="34"/>
      <c r="S696" s="43"/>
      <c r="T696" s="43"/>
      <c r="U696" s="43"/>
      <c r="V696" s="58"/>
      <c r="W696" s="34"/>
      <c r="X696" s="34"/>
    </row>
    <row r="697" spans="1:24" x14ac:dyDescent="0.2">
      <c r="A697" s="132">
        <v>691</v>
      </c>
      <c r="B697" s="342"/>
      <c r="C697" s="34"/>
      <c r="D697" s="40" t="str">
        <f t="shared" si="21"/>
        <v>2002000691</v>
      </c>
      <c r="E697" s="34"/>
      <c r="F697" s="52"/>
      <c r="G697" s="34"/>
      <c r="H697" s="34"/>
      <c r="I697" s="278"/>
      <c r="J697" s="50" t="str">
        <f t="shared" ca="1" si="22"/>
        <v/>
      </c>
      <c r="K697" s="50" t="str">
        <f ca="1">IFERROR(VLOOKUP($J697,Ref!$B$7:$C$9,2),"")</f>
        <v/>
      </c>
      <c r="L697" s="55"/>
      <c r="M697" s="34"/>
      <c r="N697" s="34"/>
      <c r="O697" s="34"/>
      <c r="P697" s="34"/>
      <c r="Q697" s="34"/>
      <c r="R697" s="34"/>
      <c r="S697" s="43"/>
      <c r="T697" s="43"/>
      <c r="U697" s="43"/>
      <c r="V697" s="58"/>
      <c r="W697" s="34"/>
      <c r="X697" s="34"/>
    </row>
    <row r="698" spans="1:24" x14ac:dyDescent="0.2">
      <c r="A698" s="132">
        <v>692</v>
      </c>
      <c r="B698" s="342"/>
      <c r="C698" s="34"/>
      <c r="D698" s="40" t="str">
        <f t="shared" si="21"/>
        <v>2002000692</v>
      </c>
      <c r="E698" s="34"/>
      <c r="F698" s="52"/>
      <c r="G698" s="34"/>
      <c r="H698" s="34"/>
      <c r="I698" s="278"/>
      <c r="J698" s="50" t="str">
        <f t="shared" ca="1" si="22"/>
        <v/>
      </c>
      <c r="K698" s="50" t="str">
        <f ca="1">IFERROR(VLOOKUP($J698,Ref!$B$7:$C$9,2),"")</f>
        <v/>
      </c>
      <c r="L698" s="55"/>
      <c r="M698" s="34"/>
      <c r="N698" s="34"/>
      <c r="O698" s="34"/>
      <c r="P698" s="34"/>
      <c r="Q698" s="34"/>
      <c r="R698" s="34"/>
      <c r="S698" s="43"/>
      <c r="T698" s="43"/>
      <c r="U698" s="43"/>
      <c r="V698" s="58"/>
      <c r="W698" s="34"/>
      <c r="X698" s="34"/>
    </row>
    <row r="699" spans="1:24" x14ac:dyDescent="0.2">
      <c r="A699" s="132">
        <v>693</v>
      </c>
      <c r="B699" s="342"/>
      <c r="C699" s="34"/>
      <c r="D699" s="40" t="str">
        <f t="shared" si="21"/>
        <v>2002000693</v>
      </c>
      <c r="E699" s="34"/>
      <c r="F699" s="52"/>
      <c r="G699" s="34"/>
      <c r="H699" s="34"/>
      <c r="I699" s="278"/>
      <c r="J699" s="50" t="str">
        <f t="shared" ca="1" si="22"/>
        <v/>
      </c>
      <c r="K699" s="50" t="str">
        <f ca="1">IFERROR(VLOOKUP($J699,Ref!$B$7:$C$9,2),"")</f>
        <v/>
      </c>
      <c r="L699" s="55"/>
      <c r="M699" s="34"/>
      <c r="N699" s="34"/>
      <c r="O699" s="34"/>
      <c r="P699" s="34"/>
      <c r="Q699" s="34"/>
      <c r="R699" s="34"/>
      <c r="S699" s="43"/>
      <c r="T699" s="43"/>
      <c r="U699" s="43"/>
      <c r="V699" s="58"/>
      <c r="W699" s="34"/>
      <c r="X699" s="34"/>
    </row>
    <row r="700" spans="1:24" x14ac:dyDescent="0.2">
      <c r="A700" s="132">
        <v>694</v>
      </c>
      <c r="B700" s="342"/>
      <c r="C700" s="34"/>
      <c r="D700" s="40" t="str">
        <f t="shared" si="21"/>
        <v>2002000694</v>
      </c>
      <c r="E700" s="34"/>
      <c r="F700" s="52"/>
      <c r="G700" s="34"/>
      <c r="H700" s="34"/>
      <c r="I700" s="278"/>
      <c r="J700" s="50" t="str">
        <f t="shared" ca="1" si="22"/>
        <v/>
      </c>
      <c r="K700" s="50" t="str">
        <f ca="1">IFERROR(VLOOKUP($J700,Ref!$B$7:$C$9,2),"")</f>
        <v/>
      </c>
      <c r="L700" s="55"/>
      <c r="M700" s="34"/>
      <c r="N700" s="34"/>
      <c r="O700" s="34"/>
      <c r="P700" s="34"/>
      <c r="Q700" s="34"/>
      <c r="R700" s="34"/>
      <c r="S700" s="43"/>
      <c r="T700" s="43"/>
      <c r="U700" s="43"/>
      <c r="V700" s="58"/>
      <c r="W700" s="34"/>
      <c r="X700" s="34"/>
    </row>
    <row r="701" spans="1:24" x14ac:dyDescent="0.2">
      <c r="A701" s="132">
        <v>695</v>
      </c>
      <c r="B701" s="342"/>
      <c r="C701" s="34"/>
      <c r="D701" s="40" t="str">
        <f t="shared" si="21"/>
        <v>2002000695</v>
      </c>
      <c r="E701" s="34"/>
      <c r="F701" s="52"/>
      <c r="G701" s="34"/>
      <c r="H701" s="34"/>
      <c r="I701" s="278"/>
      <c r="J701" s="50" t="str">
        <f t="shared" ca="1" si="22"/>
        <v/>
      </c>
      <c r="K701" s="50" t="str">
        <f ca="1">IFERROR(VLOOKUP($J701,Ref!$B$7:$C$9,2),"")</f>
        <v/>
      </c>
      <c r="L701" s="55"/>
      <c r="M701" s="34"/>
      <c r="N701" s="34"/>
      <c r="O701" s="34"/>
      <c r="P701" s="34"/>
      <c r="Q701" s="34"/>
      <c r="R701" s="34"/>
      <c r="S701" s="43"/>
      <c r="T701" s="43"/>
      <c r="U701" s="43"/>
      <c r="V701" s="58"/>
      <c r="W701" s="34"/>
      <c r="X701" s="34"/>
    </row>
    <row r="702" spans="1:24" x14ac:dyDescent="0.2">
      <c r="A702" s="132">
        <v>696</v>
      </c>
      <c r="B702" s="342"/>
      <c r="C702" s="34"/>
      <c r="D702" s="40" t="str">
        <f t="shared" si="21"/>
        <v>2002000696</v>
      </c>
      <c r="E702" s="34"/>
      <c r="F702" s="52"/>
      <c r="G702" s="34"/>
      <c r="H702" s="34"/>
      <c r="I702" s="278"/>
      <c r="J702" s="50" t="str">
        <f t="shared" ca="1" si="22"/>
        <v/>
      </c>
      <c r="K702" s="50" t="str">
        <f ca="1">IFERROR(VLOOKUP($J702,Ref!$B$7:$C$9,2),"")</f>
        <v/>
      </c>
      <c r="L702" s="55"/>
      <c r="M702" s="34"/>
      <c r="N702" s="34"/>
      <c r="O702" s="34"/>
      <c r="P702" s="34"/>
      <c r="Q702" s="34"/>
      <c r="R702" s="34"/>
      <c r="S702" s="43"/>
      <c r="T702" s="43"/>
      <c r="U702" s="43"/>
      <c r="V702" s="58"/>
      <c r="W702" s="34"/>
      <c r="X702" s="34"/>
    </row>
    <row r="703" spans="1:24" x14ac:dyDescent="0.2">
      <c r="A703" s="132">
        <v>697</v>
      </c>
      <c r="B703" s="342"/>
      <c r="C703" s="34"/>
      <c r="D703" s="40" t="str">
        <f t="shared" si="21"/>
        <v>2002000697</v>
      </c>
      <c r="E703" s="34"/>
      <c r="F703" s="52"/>
      <c r="G703" s="34"/>
      <c r="H703" s="34"/>
      <c r="I703" s="278"/>
      <c r="J703" s="50" t="str">
        <f t="shared" ca="1" si="22"/>
        <v/>
      </c>
      <c r="K703" s="50" t="str">
        <f ca="1">IFERROR(VLOOKUP($J703,Ref!$B$7:$C$9,2),"")</f>
        <v/>
      </c>
      <c r="L703" s="55"/>
      <c r="M703" s="34"/>
      <c r="N703" s="34"/>
      <c r="O703" s="34"/>
      <c r="P703" s="34"/>
      <c r="Q703" s="34"/>
      <c r="R703" s="34"/>
      <c r="S703" s="43"/>
      <c r="T703" s="43"/>
      <c r="U703" s="43"/>
      <c r="V703" s="58"/>
      <c r="W703" s="34"/>
      <c r="X703" s="34"/>
    </row>
    <row r="704" spans="1:24" x14ac:dyDescent="0.2">
      <c r="A704" s="132">
        <v>698</v>
      </c>
      <c r="B704" s="342"/>
      <c r="C704" s="34"/>
      <c r="D704" s="40" t="str">
        <f t="shared" si="21"/>
        <v>2002000698</v>
      </c>
      <c r="E704" s="34"/>
      <c r="F704" s="52"/>
      <c r="G704" s="34"/>
      <c r="H704" s="34"/>
      <c r="I704" s="278"/>
      <c r="J704" s="50" t="str">
        <f t="shared" ca="1" si="22"/>
        <v/>
      </c>
      <c r="K704" s="50" t="str">
        <f ca="1">IFERROR(VLOOKUP($J704,Ref!$B$7:$C$9,2),"")</f>
        <v/>
      </c>
      <c r="L704" s="55"/>
      <c r="M704" s="34"/>
      <c r="N704" s="34"/>
      <c r="O704" s="34"/>
      <c r="P704" s="34"/>
      <c r="Q704" s="34"/>
      <c r="R704" s="34"/>
      <c r="S704" s="43"/>
      <c r="T704" s="43"/>
      <c r="U704" s="43"/>
      <c r="V704" s="58"/>
      <c r="W704" s="34"/>
      <c r="X704" s="34"/>
    </row>
    <row r="705" spans="1:24" x14ac:dyDescent="0.2">
      <c r="A705" s="132">
        <v>699</v>
      </c>
      <c r="B705" s="342"/>
      <c r="C705" s="34"/>
      <c r="D705" s="40" t="str">
        <f t="shared" si="21"/>
        <v>2002000699</v>
      </c>
      <c r="E705" s="34"/>
      <c r="F705" s="52"/>
      <c r="G705" s="34"/>
      <c r="H705" s="34"/>
      <c r="I705" s="278"/>
      <c r="J705" s="50" t="str">
        <f t="shared" ca="1" si="22"/>
        <v/>
      </c>
      <c r="K705" s="50" t="str">
        <f ca="1">IFERROR(VLOOKUP($J705,Ref!$B$7:$C$9,2),"")</f>
        <v/>
      </c>
      <c r="L705" s="55"/>
      <c r="M705" s="34"/>
      <c r="N705" s="34"/>
      <c r="O705" s="34"/>
      <c r="P705" s="34"/>
      <c r="Q705" s="34"/>
      <c r="R705" s="34"/>
      <c r="S705" s="43"/>
      <c r="T705" s="43"/>
      <c r="U705" s="43"/>
      <c r="V705" s="58"/>
      <c r="W705" s="34"/>
      <c r="X705" s="34"/>
    </row>
    <row r="706" spans="1:24" x14ac:dyDescent="0.2">
      <c r="A706" s="132">
        <v>700</v>
      </c>
      <c r="B706" s="342"/>
      <c r="C706" s="34"/>
      <c r="D706" s="40" t="str">
        <f t="shared" si="21"/>
        <v>2002000700</v>
      </c>
      <c r="E706" s="34"/>
      <c r="F706" s="52"/>
      <c r="G706" s="34"/>
      <c r="H706" s="34"/>
      <c r="I706" s="278"/>
      <c r="J706" s="50" t="str">
        <f t="shared" ca="1" si="22"/>
        <v/>
      </c>
      <c r="K706" s="50" t="str">
        <f ca="1">IFERROR(VLOOKUP($J706,Ref!$B$7:$C$9,2),"")</f>
        <v/>
      </c>
      <c r="L706" s="55"/>
      <c r="M706" s="34"/>
      <c r="N706" s="34"/>
      <c r="O706" s="34"/>
      <c r="P706" s="34"/>
      <c r="Q706" s="34"/>
      <c r="R706" s="34"/>
      <c r="S706" s="43"/>
      <c r="T706" s="43"/>
      <c r="U706" s="43"/>
      <c r="V706" s="58"/>
      <c r="W706" s="34"/>
      <c r="X706" s="34"/>
    </row>
    <row r="707" spans="1:24" x14ac:dyDescent="0.2">
      <c r="A707" s="132">
        <v>701</v>
      </c>
      <c r="B707" s="342"/>
      <c r="C707" s="34"/>
      <c r="D707" s="40" t="str">
        <f t="shared" si="21"/>
        <v>2002000701</v>
      </c>
      <c r="E707" s="34"/>
      <c r="F707" s="52"/>
      <c r="G707" s="34"/>
      <c r="H707" s="34"/>
      <c r="I707" s="278"/>
      <c r="J707" s="50" t="str">
        <f t="shared" ca="1" si="22"/>
        <v/>
      </c>
      <c r="K707" s="50" t="str">
        <f ca="1">IFERROR(VLOOKUP($J707,Ref!$B$7:$C$9,2),"")</f>
        <v/>
      </c>
      <c r="L707" s="55"/>
      <c r="M707" s="34"/>
      <c r="N707" s="34"/>
      <c r="O707" s="34"/>
      <c r="P707" s="34"/>
      <c r="Q707" s="34"/>
      <c r="R707" s="34"/>
      <c r="S707" s="43"/>
      <c r="T707" s="43"/>
      <c r="U707" s="43"/>
      <c r="V707" s="58"/>
      <c r="W707" s="34"/>
      <c r="X707" s="34"/>
    </row>
    <row r="708" spans="1:24" x14ac:dyDescent="0.2">
      <c r="A708" s="132">
        <v>702</v>
      </c>
      <c r="B708" s="342"/>
      <c r="C708" s="34"/>
      <c r="D708" s="40" t="str">
        <f t="shared" si="21"/>
        <v>2002000702</v>
      </c>
      <c r="E708" s="34"/>
      <c r="F708" s="52"/>
      <c r="G708" s="34"/>
      <c r="H708" s="34"/>
      <c r="I708" s="278"/>
      <c r="J708" s="50" t="str">
        <f t="shared" ca="1" si="22"/>
        <v/>
      </c>
      <c r="K708" s="50" t="str">
        <f ca="1">IFERROR(VLOOKUP($J708,Ref!$B$7:$C$9,2),"")</f>
        <v/>
      </c>
      <c r="L708" s="55"/>
      <c r="M708" s="34"/>
      <c r="N708" s="34"/>
      <c r="O708" s="34"/>
      <c r="P708" s="34"/>
      <c r="Q708" s="34"/>
      <c r="R708" s="34"/>
      <c r="S708" s="43"/>
      <c r="T708" s="43"/>
      <c r="U708" s="43"/>
      <c r="V708" s="58"/>
      <c r="W708" s="34"/>
      <c r="X708" s="34"/>
    </row>
    <row r="709" spans="1:24" x14ac:dyDescent="0.2">
      <c r="A709" s="132">
        <v>703</v>
      </c>
      <c r="B709" s="342"/>
      <c r="C709" s="34"/>
      <c r="D709" s="40" t="str">
        <f t="shared" si="21"/>
        <v>2002000703</v>
      </c>
      <c r="E709" s="34"/>
      <c r="F709" s="52"/>
      <c r="G709" s="34"/>
      <c r="H709" s="34"/>
      <c r="I709" s="278"/>
      <c r="J709" s="50" t="str">
        <f t="shared" ca="1" si="22"/>
        <v/>
      </c>
      <c r="K709" s="50" t="str">
        <f ca="1">IFERROR(VLOOKUP($J709,Ref!$B$7:$C$9,2),"")</f>
        <v/>
      </c>
      <c r="L709" s="55"/>
      <c r="M709" s="34"/>
      <c r="N709" s="34"/>
      <c r="O709" s="34"/>
      <c r="P709" s="34"/>
      <c r="Q709" s="34"/>
      <c r="R709" s="34"/>
      <c r="S709" s="43"/>
      <c r="T709" s="43"/>
      <c r="U709" s="43"/>
      <c r="V709" s="58"/>
      <c r="W709" s="34"/>
      <c r="X709" s="34"/>
    </row>
    <row r="710" spans="1:24" x14ac:dyDescent="0.2">
      <c r="A710" s="132">
        <v>704</v>
      </c>
      <c r="B710" s="342"/>
      <c r="C710" s="34"/>
      <c r="D710" s="40" t="str">
        <f t="shared" si="21"/>
        <v>2002000704</v>
      </c>
      <c r="E710" s="34"/>
      <c r="F710" s="52"/>
      <c r="G710" s="34"/>
      <c r="H710" s="34"/>
      <c r="I710" s="278"/>
      <c r="J710" s="50" t="str">
        <f t="shared" ca="1" si="22"/>
        <v/>
      </c>
      <c r="K710" s="50" t="str">
        <f ca="1">IFERROR(VLOOKUP($J710,Ref!$B$7:$C$9,2),"")</f>
        <v/>
      </c>
      <c r="L710" s="55"/>
      <c r="M710" s="34"/>
      <c r="N710" s="34"/>
      <c r="O710" s="34"/>
      <c r="P710" s="34"/>
      <c r="Q710" s="34"/>
      <c r="R710" s="34"/>
      <c r="S710" s="43"/>
      <c r="T710" s="43"/>
      <c r="U710" s="43"/>
      <c r="V710" s="58"/>
      <c r="W710" s="34"/>
      <c r="X710" s="34"/>
    </row>
    <row r="711" spans="1:24" x14ac:dyDescent="0.2">
      <c r="A711" s="132">
        <v>705</v>
      </c>
      <c r="B711" s="342"/>
      <c r="C711" s="34"/>
      <c r="D711" s="40" t="str">
        <f t="shared" si="21"/>
        <v>2002000705</v>
      </c>
      <c r="E711" s="34"/>
      <c r="F711" s="52"/>
      <c r="G711" s="34"/>
      <c r="H711" s="34"/>
      <c r="I711" s="278"/>
      <c r="J711" s="50" t="str">
        <f t="shared" ca="1" si="22"/>
        <v/>
      </c>
      <c r="K711" s="50" t="str">
        <f ca="1">IFERROR(VLOOKUP($J711,Ref!$B$7:$C$9,2),"")</f>
        <v/>
      </c>
      <c r="L711" s="55"/>
      <c r="M711" s="34"/>
      <c r="N711" s="34"/>
      <c r="O711" s="34"/>
      <c r="P711" s="34"/>
      <c r="Q711" s="34"/>
      <c r="R711" s="34"/>
      <c r="S711" s="43"/>
      <c r="T711" s="43"/>
      <c r="U711" s="43"/>
      <c r="V711" s="58"/>
      <c r="W711" s="34"/>
      <c r="X711" s="34"/>
    </row>
    <row r="712" spans="1:24" x14ac:dyDescent="0.2">
      <c r="A712" s="132">
        <v>706</v>
      </c>
      <c r="B712" s="342"/>
      <c r="C712" s="34"/>
      <c r="D712" s="40" t="str">
        <f t="shared" ref="D712:D775" si="23">IF(A712="","",LEFT($C$3,LEN($C$3)-LEN(A712))&amp;A712)</f>
        <v>2002000706</v>
      </c>
      <c r="E712" s="34"/>
      <c r="F712" s="52"/>
      <c r="G712" s="34"/>
      <c r="H712" s="34"/>
      <c r="I712" s="278"/>
      <c r="J712" s="50" t="str">
        <f t="shared" ca="1" si="22"/>
        <v/>
      </c>
      <c r="K712" s="50" t="str">
        <f ca="1">IFERROR(VLOOKUP($J712,Ref!$B$7:$C$9,2),"")</f>
        <v/>
      </c>
      <c r="L712" s="55"/>
      <c r="M712" s="34"/>
      <c r="N712" s="34"/>
      <c r="O712" s="34"/>
      <c r="P712" s="34"/>
      <c r="Q712" s="34"/>
      <c r="R712" s="34"/>
      <c r="S712" s="43"/>
      <c r="T712" s="43"/>
      <c r="U712" s="43"/>
      <c r="V712" s="58"/>
      <c r="W712" s="34"/>
      <c r="X712" s="34"/>
    </row>
    <row r="713" spans="1:24" x14ac:dyDescent="0.2">
      <c r="A713" s="132">
        <v>707</v>
      </c>
      <c r="B713" s="342"/>
      <c r="C713" s="34"/>
      <c r="D713" s="40" t="str">
        <f t="shared" si="23"/>
        <v>2002000707</v>
      </c>
      <c r="E713" s="34"/>
      <c r="F713" s="52"/>
      <c r="G713" s="34"/>
      <c r="H713" s="34"/>
      <c r="I713" s="278"/>
      <c r="J713" s="50" t="str">
        <f t="shared" ca="1" si="22"/>
        <v/>
      </c>
      <c r="K713" s="50" t="str">
        <f ca="1">IFERROR(VLOOKUP($J713,Ref!$B$7:$C$9,2),"")</f>
        <v/>
      </c>
      <c r="L713" s="55"/>
      <c r="M713" s="34"/>
      <c r="N713" s="34"/>
      <c r="O713" s="34"/>
      <c r="P713" s="34"/>
      <c r="Q713" s="34"/>
      <c r="R713" s="34"/>
      <c r="S713" s="43"/>
      <c r="T713" s="43"/>
      <c r="U713" s="43"/>
      <c r="V713" s="58"/>
      <c r="W713" s="34"/>
      <c r="X713" s="34"/>
    </row>
    <row r="714" spans="1:24" x14ac:dyDescent="0.2">
      <c r="A714" s="132">
        <v>708</v>
      </c>
      <c r="B714" s="342"/>
      <c r="C714" s="34"/>
      <c r="D714" s="40" t="str">
        <f t="shared" si="23"/>
        <v>2002000708</v>
      </c>
      <c r="E714" s="34"/>
      <c r="F714" s="52"/>
      <c r="G714" s="34"/>
      <c r="H714" s="34"/>
      <c r="I714" s="278"/>
      <c r="J714" s="50" t="str">
        <f t="shared" ca="1" si="22"/>
        <v/>
      </c>
      <c r="K714" s="50" t="str">
        <f ca="1">IFERROR(VLOOKUP($J714,Ref!$B$7:$C$9,2),"")</f>
        <v/>
      </c>
      <c r="L714" s="55"/>
      <c r="M714" s="34"/>
      <c r="N714" s="34"/>
      <c r="O714" s="34"/>
      <c r="P714" s="34"/>
      <c r="Q714" s="34"/>
      <c r="R714" s="34"/>
      <c r="S714" s="43"/>
      <c r="T714" s="43"/>
      <c r="U714" s="43"/>
      <c r="V714" s="58"/>
      <c r="W714" s="34"/>
      <c r="X714" s="34"/>
    </row>
    <row r="715" spans="1:24" x14ac:dyDescent="0.2">
      <c r="A715" s="132">
        <v>709</v>
      </c>
      <c r="B715" s="342"/>
      <c r="C715" s="34"/>
      <c r="D715" s="40" t="str">
        <f t="shared" si="23"/>
        <v>2002000709</v>
      </c>
      <c r="E715" s="34"/>
      <c r="F715" s="52"/>
      <c r="G715" s="34"/>
      <c r="H715" s="34"/>
      <c r="I715" s="278"/>
      <c r="J715" s="50" t="str">
        <f t="shared" ca="1" si="22"/>
        <v/>
      </c>
      <c r="K715" s="50" t="str">
        <f ca="1">IFERROR(VLOOKUP($J715,Ref!$B$7:$C$9,2),"")</f>
        <v/>
      </c>
      <c r="L715" s="55"/>
      <c r="M715" s="34"/>
      <c r="N715" s="34"/>
      <c r="O715" s="34"/>
      <c r="P715" s="34"/>
      <c r="Q715" s="34"/>
      <c r="R715" s="34"/>
      <c r="S715" s="43"/>
      <c r="T715" s="43"/>
      <c r="U715" s="43"/>
      <c r="V715" s="58"/>
      <c r="W715" s="34"/>
      <c r="X715" s="34"/>
    </row>
    <row r="716" spans="1:24" x14ac:dyDescent="0.2">
      <c r="A716" s="132">
        <v>710</v>
      </c>
      <c r="B716" s="342"/>
      <c r="C716" s="34"/>
      <c r="D716" s="40" t="str">
        <f t="shared" si="23"/>
        <v>2002000710</v>
      </c>
      <c r="E716" s="34"/>
      <c r="F716" s="52"/>
      <c r="G716" s="34"/>
      <c r="H716" s="34"/>
      <c r="I716" s="278"/>
      <c r="J716" s="50" t="str">
        <f t="shared" ca="1" si="22"/>
        <v/>
      </c>
      <c r="K716" s="50" t="str">
        <f ca="1">IFERROR(VLOOKUP($J716,Ref!$B$7:$C$9,2),"")</f>
        <v/>
      </c>
      <c r="L716" s="55"/>
      <c r="M716" s="34"/>
      <c r="N716" s="34"/>
      <c r="O716" s="34"/>
      <c r="P716" s="34"/>
      <c r="Q716" s="34"/>
      <c r="R716" s="34"/>
      <c r="S716" s="43"/>
      <c r="T716" s="43"/>
      <c r="U716" s="43"/>
      <c r="V716" s="58"/>
      <c r="W716" s="34"/>
      <c r="X716" s="34"/>
    </row>
    <row r="717" spans="1:24" x14ac:dyDescent="0.2">
      <c r="A717" s="132">
        <v>711</v>
      </c>
      <c r="B717" s="342"/>
      <c r="C717" s="34"/>
      <c r="D717" s="40" t="str">
        <f t="shared" si="23"/>
        <v>2002000711</v>
      </c>
      <c r="E717" s="34"/>
      <c r="F717" s="52"/>
      <c r="G717" s="34"/>
      <c r="H717" s="34"/>
      <c r="I717" s="278"/>
      <c r="J717" s="50" t="str">
        <f t="shared" ca="1" si="22"/>
        <v/>
      </c>
      <c r="K717" s="50" t="str">
        <f ca="1">IFERROR(VLOOKUP($J717,Ref!$B$7:$C$9,2),"")</f>
        <v/>
      </c>
      <c r="L717" s="55"/>
      <c r="M717" s="34"/>
      <c r="N717" s="34"/>
      <c r="O717" s="34"/>
      <c r="P717" s="34"/>
      <c r="Q717" s="34"/>
      <c r="R717" s="34"/>
      <c r="S717" s="43"/>
      <c r="T717" s="43"/>
      <c r="U717" s="43"/>
      <c r="V717" s="58"/>
      <c r="W717" s="34"/>
      <c r="X717" s="34"/>
    </row>
    <row r="718" spans="1:24" x14ac:dyDescent="0.2">
      <c r="A718" s="132">
        <v>712</v>
      </c>
      <c r="B718" s="342"/>
      <c r="C718" s="34"/>
      <c r="D718" s="40" t="str">
        <f t="shared" si="23"/>
        <v>2002000712</v>
      </c>
      <c r="E718" s="34"/>
      <c r="F718" s="52"/>
      <c r="G718" s="34"/>
      <c r="H718" s="34"/>
      <c r="I718" s="278"/>
      <c r="J718" s="50" t="str">
        <f t="shared" ca="1" si="22"/>
        <v/>
      </c>
      <c r="K718" s="50" t="str">
        <f ca="1">IFERROR(VLOOKUP($J718,Ref!$B$7:$C$9,2),"")</f>
        <v/>
      </c>
      <c r="L718" s="55"/>
      <c r="M718" s="34"/>
      <c r="N718" s="34"/>
      <c r="O718" s="34"/>
      <c r="P718" s="34"/>
      <c r="Q718" s="34"/>
      <c r="R718" s="34"/>
      <c r="S718" s="43"/>
      <c r="T718" s="43"/>
      <c r="U718" s="43"/>
      <c r="V718" s="58"/>
      <c r="W718" s="34"/>
      <c r="X718" s="34"/>
    </row>
    <row r="719" spans="1:24" x14ac:dyDescent="0.2">
      <c r="A719" s="132">
        <v>713</v>
      </c>
      <c r="B719" s="342"/>
      <c r="C719" s="34"/>
      <c r="D719" s="40" t="str">
        <f t="shared" si="23"/>
        <v>2002000713</v>
      </c>
      <c r="E719" s="34"/>
      <c r="F719" s="52"/>
      <c r="G719" s="34"/>
      <c r="H719" s="34"/>
      <c r="I719" s="278"/>
      <c r="J719" s="50" t="str">
        <f t="shared" ca="1" si="22"/>
        <v/>
      </c>
      <c r="K719" s="50" t="str">
        <f ca="1">IFERROR(VLOOKUP($J719,Ref!$B$7:$C$9,2),"")</f>
        <v/>
      </c>
      <c r="L719" s="55"/>
      <c r="M719" s="34"/>
      <c r="N719" s="34"/>
      <c r="O719" s="34"/>
      <c r="P719" s="34"/>
      <c r="Q719" s="34"/>
      <c r="R719" s="34"/>
      <c r="S719" s="43"/>
      <c r="T719" s="43"/>
      <c r="U719" s="43"/>
      <c r="V719" s="58"/>
      <c r="W719" s="34"/>
      <c r="X719" s="34"/>
    </row>
    <row r="720" spans="1:24" x14ac:dyDescent="0.2">
      <c r="A720" s="132">
        <v>714</v>
      </c>
      <c r="B720" s="342"/>
      <c r="C720" s="34"/>
      <c r="D720" s="40" t="str">
        <f t="shared" si="23"/>
        <v>2002000714</v>
      </c>
      <c r="E720" s="34"/>
      <c r="F720" s="52"/>
      <c r="G720" s="34"/>
      <c r="H720" s="34"/>
      <c r="I720" s="278"/>
      <c r="J720" s="50" t="str">
        <f t="shared" ca="1" si="22"/>
        <v/>
      </c>
      <c r="K720" s="50" t="str">
        <f ca="1">IFERROR(VLOOKUP($J720,Ref!$B$7:$C$9,2),"")</f>
        <v/>
      </c>
      <c r="L720" s="55"/>
      <c r="M720" s="34"/>
      <c r="N720" s="34"/>
      <c r="O720" s="34"/>
      <c r="P720" s="34"/>
      <c r="Q720" s="34"/>
      <c r="R720" s="34"/>
      <c r="S720" s="43"/>
      <c r="T720" s="43"/>
      <c r="U720" s="43"/>
      <c r="V720" s="58"/>
      <c r="W720" s="34"/>
      <c r="X720" s="34"/>
    </row>
    <row r="721" spans="1:24" x14ac:dyDescent="0.2">
      <c r="A721" s="132">
        <v>715</v>
      </c>
      <c r="B721" s="342"/>
      <c r="C721" s="34"/>
      <c r="D721" s="40" t="str">
        <f t="shared" si="23"/>
        <v>2002000715</v>
      </c>
      <c r="E721" s="34"/>
      <c r="F721" s="52"/>
      <c r="G721" s="34"/>
      <c r="H721" s="34"/>
      <c r="I721" s="278"/>
      <c r="J721" s="50" t="str">
        <f t="shared" ca="1" si="22"/>
        <v/>
      </c>
      <c r="K721" s="50" t="str">
        <f ca="1">IFERROR(VLOOKUP($J721,Ref!$B$7:$C$9,2),"")</f>
        <v/>
      </c>
      <c r="L721" s="55"/>
      <c r="M721" s="34"/>
      <c r="N721" s="34"/>
      <c r="O721" s="34"/>
      <c r="P721" s="34"/>
      <c r="Q721" s="34"/>
      <c r="R721" s="34"/>
      <c r="S721" s="43"/>
      <c r="T721" s="43"/>
      <c r="U721" s="43"/>
      <c r="V721" s="58"/>
      <c r="W721" s="34"/>
      <c r="X721" s="34"/>
    </row>
    <row r="722" spans="1:24" x14ac:dyDescent="0.2">
      <c r="A722" s="132">
        <v>716</v>
      </c>
      <c r="B722" s="342"/>
      <c r="C722" s="34"/>
      <c r="D722" s="40" t="str">
        <f t="shared" si="23"/>
        <v>2002000716</v>
      </c>
      <c r="E722" s="34"/>
      <c r="F722" s="52"/>
      <c r="G722" s="34"/>
      <c r="H722" s="34"/>
      <c r="I722" s="278"/>
      <c r="J722" s="50" t="str">
        <f t="shared" ca="1" si="22"/>
        <v/>
      </c>
      <c r="K722" s="50" t="str">
        <f ca="1">IFERROR(VLOOKUP($J722,Ref!$B$7:$C$9,2),"")</f>
        <v/>
      </c>
      <c r="L722" s="55"/>
      <c r="M722" s="34"/>
      <c r="N722" s="34"/>
      <c r="O722" s="34"/>
      <c r="P722" s="34"/>
      <c r="Q722" s="34"/>
      <c r="R722" s="34"/>
      <c r="S722" s="43"/>
      <c r="T722" s="43"/>
      <c r="U722" s="43"/>
      <c r="V722" s="58"/>
      <c r="W722" s="34"/>
      <c r="X722" s="34"/>
    </row>
    <row r="723" spans="1:24" x14ac:dyDescent="0.2">
      <c r="A723" s="132">
        <v>717</v>
      </c>
      <c r="B723" s="342"/>
      <c r="C723" s="34"/>
      <c r="D723" s="40" t="str">
        <f t="shared" si="23"/>
        <v>2002000717</v>
      </c>
      <c r="E723" s="34"/>
      <c r="F723" s="52"/>
      <c r="G723" s="34"/>
      <c r="H723" s="34"/>
      <c r="I723" s="278"/>
      <c r="J723" s="50" t="str">
        <f t="shared" ca="1" si="22"/>
        <v/>
      </c>
      <c r="K723" s="50" t="str">
        <f ca="1">IFERROR(VLOOKUP($J723,Ref!$B$7:$C$9,2),"")</f>
        <v/>
      </c>
      <c r="L723" s="55"/>
      <c r="M723" s="34"/>
      <c r="N723" s="34"/>
      <c r="O723" s="34"/>
      <c r="P723" s="34"/>
      <c r="Q723" s="34"/>
      <c r="R723" s="34"/>
      <c r="S723" s="43"/>
      <c r="T723" s="43"/>
      <c r="U723" s="43"/>
      <c r="V723" s="58"/>
      <c r="W723" s="34"/>
      <c r="X723" s="34"/>
    </row>
    <row r="724" spans="1:24" x14ac:dyDescent="0.2">
      <c r="A724" s="132">
        <v>718</v>
      </c>
      <c r="B724" s="342"/>
      <c r="C724" s="34"/>
      <c r="D724" s="40" t="str">
        <f t="shared" si="23"/>
        <v>2002000718</v>
      </c>
      <c r="E724" s="34"/>
      <c r="F724" s="52"/>
      <c r="G724" s="34"/>
      <c r="H724" s="34"/>
      <c r="I724" s="278"/>
      <c r="J724" s="50" t="str">
        <f t="shared" ca="1" si="22"/>
        <v/>
      </c>
      <c r="K724" s="50" t="str">
        <f ca="1">IFERROR(VLOOKUP($J724,Ref!$B$7:$C$9,2),"")</f>
        <v/>
      </c>
      <c r="L724" s="55"/>
      <c r="M724" s="34"/>
      <c r="N724" s="34"/>
      <c r="O724" s="34"/>
      <c r="P724" s="34"/>
      <c r="Q724" s="34"/>
      <c r="R724" s="34"/>
      <c r="S724" s="43"/>
      <c r="T724" s="43"/>
      <c r="U724" s="43"/>
      <c r="V724" s="58"/>
      <c r="W724" s="34"/>
      <c r="X724" s="34"/>
    </row>
    <row r="725" spans="1:24" x14ac:dyDescent="0.2">
      <c r="A725" s="132">
        <v>719</v>
      </c>
      <c r="B725" s="342"/>
      <c r="C725" s="34"/>
      <c r="D725" s="40" t="str">
        <f t="shared" si="23"/>
        <v>2002000719</v>
      </c>
      <c r="E725" s="34"/>
      <c r="F725" s="52"/>
      <c r="G725" s="34"/>
      <c r="H725" s="34"/>
      <c r="I725" s="278"/>
      <c r="J725" s="50" t="str">
        <f t="shared" ca="1" si="22"/>
        <v/>
      </c>
      <c r="K725" s="50" t="str">
        <f ca="1">IFERROR(VLOOKUP($J725,Ref!$B$7:$C$9,2),"")</f>
        <v/>
      </c>
      <c r="L725" s="55"/>
      <c r="M725" s="34"/>
      <c r="N725" s="34"/>
      <c r="O725" s="34"/>
      <c r="P725" s="34"/>
      <c r="Q725" s="34"/>
      <c r="R725" s="34"/>
      <c r="S725" s="43"/>
      <c r="T725" s="43"/>
      <c r="U725" s="43"/>
      <c r="V725" s="58"/>
      <c r="W725" s="34"/>
      <c r="X725" s="34"/>
    </row>
    <row r="726" spans="1:24" x14ac:dyDescent="0.2">
      <c r="A726" s="132">
        <v>720</v>
      </c>
      <c r="B726" s="342"/>
      <c r="C726" s="34"/>
      <c r="D726" s="40" t="str">
        <f t="shared" si="23"/>
        <v>2002000720</v>
      </c>
      <c r="E726" s="34"/>
      <c r="F726" s="52"/>
      <c r="G726" s="34"/>
      <c r="H726" s="34"/>
      <c r="I726" s="278"/>
      <c r="J726" s="50" t="str">
        <f t="shared" ca="1" si="22"/>
        <v/>
      </c>
      <c r="K726" s="50" t="str">
        <f ca="1">IFERROR(VLOOKUP($J726,Ref!$B$7:$C$9,2),"")</f>
        <v/>
      </c>
      <c r="L726" s="55"/>
      <c r="M726" s="34"/>
      <c r="N726" s="34"/>
      <c r="O726" s="34"/>
      <c r="P726" s="34"/>
      <c r="Q726" s="34"/>
      <c r="R726" s="34"/>
      <c r="S726" s="43"/>
      <c r="T726" s="43"/>
      <c r="U726" s="43"/>
      <c r="V726" s="58"/>
      <c r="W726" s="34"/>
      <c r="X726" s="34"/>
    </row>
    <row r="727" spans="1:24" x14ac:dyDescent="0.2">
      <c r="A727" s="132">
        <v>721</v>
      </c>
      <c r="B727" s="342"/>
      <c r="C727" s="34"/>
      <c r="D727" s="40" t="str">
        <f t="shared" si="23"/>
        <v>2002000721</v>
      </c>
      <c r="E727" s="34"/>
      <c r="F727" s="52"/>
      <c r="G727" s="34"/>
      <c r="H727" s="34"/>
      <c r="I727" s="278"/>
      <c r="J727" s="50" t="str">
        <f t="shared" ca="1" si="22"/>
        <v/>
      </c>
      <c r="K727" s="50" t="str">
        <f ca="1">IFERROR(VLOOKUP($J727,Ref!$B$7:$C$9,2),"")</f>
        <v/>
      </c>
      <c r="L727" s="55"/>
      <c r="M727" s="34"/>
      <c r="N727" s="34"/>
      <c r="O727" s="34"/>
      <c r="P727" s="34"/>
      <c r="Q727" s="34"/>
      <c r="R727" s="34"/>
      <c r="S727" s="43"/>
      <c r="T727" s="43"/>
      <c r="U727" s="43"/>
      <c r="V727" s="58"/>
      <c r="W727" s="34"/>
      <c r="X727" s="34"/>
    </row>
    <row r="728" spans="1:24" x14ac:dyDescent="0.2">
      <c r="A728" s="132">
        <v>722</v>
      </c>
      <c r="B728" s="342"/>
      <c r="C728" s="34"/>
      <c r="D728" s="40" t="str">
        <f t="shared" si="23"/>
        <v>2002000722</v>
      </c>
      <c r="E728" s="34"/>
      <c r="F728" s="52"/>
      <c r="G728" s="34"/>
      <c r="H728" s="34"/>
      <c r="I728" s="278"/>
      <c r="J728" s="50" t="str">
        <f t="shared" ref="J728:J791" ca="1" si="24">IF(I728="","",(TODAY()-$I728)/365)</f>
        <v/>
      </c>
      <c r="K728" s="50" t="str">
        <f ca="1">IFERROR(VLOOKUP($J728,Ref!$B$7:$C$9,2),"")</f>
        <v/>
      </c>
      <c r="L728" s="55"/>
      <c r="M728" s="34"/>
      <c r="N728" s="34"/>
      <c r="O728" s="34"/>
      <c r="P728" s="34"/>
      <c r="Q728" s="34"/>
      <c r="R728" s="34"/>
      <c r="S728" s="43"/>
      <c r="T728" s="43"/>
      <c r="U728" s="43"/>
      <c r="V728" s="58"/>
      <c r="W728" s="34"/>
      <c r="X728" s="34"/>
    </row>
    <row r="729" spans="1:24" x14ac:dyDescent="0.2">
      <c r="A729" s="132">
        <v>723</v>
      </c>
      <c r="B729" s="342"/>
      <c r="C729" s="34"/>
      <c r="D729" s="40" t="str">
        <f t="shared" si="23"/>
        <v>2002000723</v>
      </c>
      <c r="E729" s="34"/>
      <c r="F729" s="52"/>
      <c r="G729" s="34"/>
      <c r="H729" s="34"/>
      <c r="I729" s="278"/>
      <c r="J729" s="50" t="str">
        <f t="shared" ca="1" si="24"/>
        <v/>
      </c>
      <c r="K729" s="50" t="str">
        <f ca="1">IFERROR(VLOOKUP($J729,Ref!$B$7:$C$9,2),"")</f>
        <v/>
      </c>
      <c r="L729" s="55"/>
      <c r="M729" s="34"/>
      <c r="N729" s="34"/>
      <c r="O729" s="34"/>
      <c r="P729" s="34"/>
      <c r="Q729" s="34"/>
      <c r="R729" s="34"/>
      <c r="S729" s="43"/>
      <c r="T729" s="43"/>
      <c r="U729" s="43"/>
      <c r="V729" s="58"/>
      <c r="W729" s="34"/>
      <c r="X729" s="34"/>
    </row>
    <row r="730" spans="1:24" x14ac:dyDescent="0.2">
      <c r="A730" s="132">
        <v>724</v>
      </c>
      <c r="B730" s="342"/>
      <c r="C730" s="34"/>
      <c r="D730" s="40" t="str">
        <f t="shared" si="23"/>
        <v>2002000724</v>
      </c>
      <c r="E730" s="34"/>
      <c r="F730" s="52"/>
      <c r="G730" s="34"/>
      <c r="H730" s="34"/>
      <c r="I730" s="278"/>
      <c r="J730" s="50" t="str">
        <f t="shared" ca="1" si="24"/>
        <v/>
      </c>
      <c r="K730" s="50" t="str">
        <f ca="1">IFERROR(VLOOKUP($J730,Ref!$B$7:$C$9,2),"")</f>
        <v/>
      </c>
      <c r="L730" s="55"/>
      <c r="M730" s="34"/>
      <c r="N730" s="34"/>
      <c r="O730" s="34"/>
      <c r="P730" s="34"/>
      <c r="Q730" s="34"/>
      <c r="R730" s="34"/>
      <c r="S730" s="43"/>
      <c r="T730" s="43"/>
      <c r="U730" s="43"/>
      <c r="V730" s="58"/>
      <c r="W730" s="34"/>
      <c r="X730" s="34"/>
    </row>
    <row r="731" spans="1:24" x14ac:dyDescent="0.2">
      <c r="A731" s="132">
        <v>725</v>
      </c>
      <c r="B731" s="342"/>
      <c r="C731" s="34"/>
      <c r="D731" s="40" t="str">
        <f t="shared" si="23"/>
        <v>2002000725</v>
      </c>
      <c r="E731" s="34"/>
      <c r="F731" s="52"/>
      <c r="G731" s="34"/>
      <c r="H731" s="34"/>
      <c r="I731" s="278"/>
      <c r="J731" s="50" t="str">
        <f t="shared" ca="1" si="24"/>
        <v/>
      </c>
      <c r="K731" s="50" t="str">
        <f ca="1">IFERROR(VLOOKUP($J731,Ref!$B$7:$C$9,2),"")</f>
        <v/>
      </c>
      <c r="L731" s="55"/>
      <c r="M731" s="34"/>
      <c r="N731" s="34"/>
      <c r="O731" s="34"/>
      <c r="P731" s="34"/>
      <c r="Q731" s="34"/>
      <c r="R731" s="34"/>
      <c r="S731" s="43"/>
      <c r="T731" s="43"/>
      <c r="U731" s="43"/>
      <c r="V731" s="58"/>
      <c r="W731" s="34"/>
      <c r="X731" s="34"/>
    </row>
    <row r="732" spans="1:24" x14ac:dyDescent="0.2">
      <c r="A732" s="132">
        <v>726</v>
      </c>
      <c r="B732" s="342"/>
      <c r="C732" s="34"/>
      <c r="D732" s="40" t="str">
        <f t="shared" si="23"/>
        <v>2002000726</v>
      </c>
      <c r="E732" s="34"/>
      <c r="F732" s="52"/>
      <c r="G732" s="34"/>
      <c r="H732" s="34"/>
      <c r="I732" s="278"/>
      <c r="J732" s="50" t="str">
        <f t="shared" ca="1" si="24"/>
        <v/>
      </c>
      <c r="K732" s="50" t="str">
        <f ca="1">IFERROR(VLOOKUP($J732,Ref!$B$7:$C$9,2),"")</f>
        <v/>
      </c>
      <c r="L732" s="55"/>
      <c r="M732" s="34"/>
      <c r="N732" s="34"/>
      <c r="O732" s="34"/>
      <c r="P732" s="34"/>
      <c r="Q732" s="34"/>
      <c r="R732" s="34"/>
      <c r="S732" s="43"/>
      <c r="T732" s="43"/>
      <c r="U732" s="43"/>
      <c r="V732" s="58"/>
      <c r="W732" s="34"/>
      <c r="X732" s="34"/>
    </row>
    <row r="733" spans="1:24" x14ac:dyDescent="0.2">
      <c r="A733" s="132">
        <v>727</v>
      </c>
      <c r="B733" s="342"/>
      <c r="C733" s="34"/>
      <c r="D733" s="40" t="str">
        <f t="shared" si="23"/>
        <v>2002000727</v>
      </c>
      <c r="E733" s="34"/>
      <c r="F733" s="52"/>
      <c r="G733" s="34"/>
      <c r="H733" s="34"/>
      <c r="I733" s="278"/>
      <c r="J733" s="50" t="str">
        <f t="shared" ca="1" si="24"/>
        <v/>
      </c>
      <c r="K733" s="50" t="str">
        <f ca="1">IFERROR(VLOOKUP($J733,Ref!$B$7:$C$9,2),"")</f>
        <v/>
      </c>
      <c r="L733" s="55"/>
      <c r="M733" s="34"/>
      <c r="N733" s="34"/>
      <c r="O733" s="34"/>
      <c r="P733" s="34"/>
      <c r="Q733" s="34"/>
      <c r="R733" s="34"/>
      <c r="S733" s="43"/>
      <c r="T733" s="43"/>
      <c r="U733" s="43"/>
      <c r="V733" s="58"/>
      <c r="W733" s="34"/>
      <c r="X733" s="34"/>
    </row>
    <row r="734" spans="1:24" x14ac:dyDescent="0.2">
      <c r="A734" s="132">
        <v>728</v>
      </c>
      <c r="B734" s="342"/>
      <c r="C734" s="34"/>
      <c r="D734" s="40" t="str">
        <f t="shared" si="23"/>
        <v>2002000728</v>
      </c>
      <c r="E734" s="34"/>
      <c r="F734" s="52"/>
      <c r="G734" s="34"/>
      <c r="H734" s="34"/>
      <c r="I734" s="278"/>
      <c r="J734" s="50" t="str">
        <f t="shared" ca="1" si="24"/>
        <v/>
      </c>
      <c r="K734" s="50" t="str">
        <f ca="1">IFERROR(VLOOKUP($J734,Ref!$B$7:$C$9,2),"")</f>
        <v/>
      </c>
      <c r="L734" s="55"/>
      <c r="M734" s="34"/>
      <c r="N734" s="34"/>
      <c r="O734" s="34"/>
      <c r="P734" s="34"/>
      <c r="Q734" s="34"/>
      <c r="R734" s="34"/>
      <c r="S734" s="43"/>
      <c r="T734" s="43"/>
      <c r="U734" s="43"/>
      <c r="V734" s="58"/>
      <c r="W734" s="34"/>
      <c r="X734" s="34"/>
    </row>
    <row r="735" spans="1:24" x14ac:dyDescent="0.2">
      <c r="A735" s="132">
        <v>729</v>
      </c>
      <c r="B735" s="342"/>
      <c r="C735" s="34"/>
      <c r="D735" s="40" t="str">
        <f t="shared" si="23"/>
        <v>2002000729</v>
      </c>
      <c r="E735" s="34"/>
      <c r="F735" s="52"/>
      <c r="G735" s="34"/>
      <c r="H735" s="34"/>
      <c r="I735" s="278"/>
      <c r="J735" s="50" t="str">
        <f t="shared" ca="1" si="24"/>
        <v/>
      </c>
      <c r="K735" s="50" t="str">
        <f ca="1">IFERROR(VLOOKUP($J735,Ref!$B$7:$C$9,2),"")</f>
        <v/>
      </c>
      <c r="L735" s="55"/>
      <c r="M735" s="34"/>
      <c r="N735" s="34"/>
      <c r="O735" s="34"/>
      <c r="P735" s="34"/>
      <c r="Q735" s="34"/>
      <c r="R735" s="34"/>
      <c r="S735" s="43"/>
      <c r="T735" s="43"/>
      <c r="U735" s="43"/>
      <c r="V735" s="58"/>
      <c r="W735" s="34"/>
      <c r="X735" s="34"/>
    </row>
    <row r="736" spans="1:24" x14ac:dyDescent="0.2">
      <c r="A736" s="132">
        <v>730</v>
      </c>
      <c r="B736" s="342"/>
      <c r="C736" s="34"/>
      <c r="D736" s="40" t="str">
        <f t="shared" si="23"/>
        <v>2002000730</v>
      </c>
      <c r="E736" s="34"/>
      <c r="F736" s="52"/>
      <c r="G736" s="34"/>
      <c r="H736" s="34"/>
      <c r="I736" s="278"/>
      <c r="J736" s="50" t="str">
        <f t="shared" ca="1" si="24"/>
        <v/>
      </c>
      <c r="K736" s="50" t="str">
        <f ca="1">IFERROR(VLOOKUP($J736,Ref!$B$7:$C$9,2),"")</f>
        <v/>
      </c>
      <c r="L736" s="55"/>
      <c r="M736" s="34"/>
      <c r="N736" s="34"/>
      <c r="O736" s="34"/>
      <c r="P736" s="34"/>
      <c r="Q736" s="34"/>
      <c r="R736" s="34"/>
      <c r="S736" s="43"/>
      <c r="T736" s="43"/>
      <c r="U736" s="43"/>
      <c r="V736" s="58"/>
      <c r="W736" s="34"/>
      <c r="X736" s="34"/>
    </row>
    <row r="737" spans="1:24" x14ac:dyDescent="0.2">
      <c r="A737" s="132">
        <v>731</v>
      </c>
      <c r="B737" s="342"/>
      <c r="C737" s="34"/>
      <c r="D737" s="40" t="str">
        <f t="shared" si="23"/>
        <v>2002000731</v>
      </c>
      <c r="E737" s="34"/>
      <c r="F737" s="52"/>
      <c r="G737" s="34"/>
      <c r="H737" s="34"/>
      <c r="I737" s="278"/>
      <c r="J737" s="50" t="str">
        <f t="shared" ca="1" si="24"/>
        <v/>
      </c>
      <c r="K737" s="50" t="str">
        <f ca="1">IFERROR(VLOOKUP($J737,Ref!$B$7:$C$9,2),"")</f>
        <v/>
      </c>
      <c r="L737" s="55"/>
      <c r="M737" s="34"/>
      <c r="N737" s="34"/>
      <c r="O737" s="34"/>
      <c r="P737" s="34"/>
      <c r="Q737" s="34"/>
      <c r="R737" s="34"/>
      <c r="S737" s="43"/>
      <c r="T737" s="43"/>
      <c r="U737" s="43"/>
      <c r="V737" s="58"/>
      <c r="W737" s="34"/>
      <c r="X737" s="34"/>
    </row>
    <row r="738" spans="1:24" x14ac:dyDescent="0.2">
      <c r="A738" s="132">
        <v>732</v>
      </c>
      <c r="B738" s="342"/>
      <c r="C738" s="34"/>
      <c r="D738" s="40" t="str">
        <f t="shared" si="23"/>
        <v>2002000732</v>
      </c>
      <c r="E738" s="34"/>
      <c r="F738" s="52"/>
      <c r="G738" s="34"/>
      <c r="H738" s="34"/>
      <c r="I738" s="278"/>
      <c r="J738" s="50" t="str">
        <f t="shared" ca="1" si="24"/>
        <v/>
      </c>
      <c r="K738" s="50" t="str">
        <f ca="1">IFERROR(VLOOKUP($J738,Ref!$B$7:$C$9,2),"")</f>
        <v/>
      </c>
      <c r="L738" s="55"/>
      <c r="M738" s="34"/>
      <c r="N738" s="34"/>
      <c r="O738" s="34"/>
      <c r="P738" s="34"/>
      <c r="Q738" s="34"/>
      <c r="R738" s="34"/>
      <c r="S738" s="43"/>
      <c r="T738" s="43"/>
      <c r="U738" s="43"/>
      <c r="V738" s="58"/>
      <c r="W738" s="34"/>
      <c r="X738" s="34"/>
    </row>
    <row r="739" spans="1:24" x14ac:dyDescent="0.2">
      <c r="A739" s="132">
        <v>733</v>
      </c>
      <c r="B739" s="342"/>
      <c r="C739" s="34"/>
      <c r="D739" s="40" t="str">
        <f t="shared" si="23"/>
        <v>2002000733</v>
      </c>
      <c r="E739" s="34"/>
      <c r="F739" s="52"/>
      <c r="G739" s="34"/>
      <c r="H739" s="34"/>
      <c r="I739" s="278"/>
      <c r="J739" s="50" t="str">
        <f t="shared" ca="1" si="24"/>
        <v/>
      </c>
      <c r="K739" s="50" t="str">
        <f ca="1">IFERROR(VLOOKUP($J739,Ref!$B$7:$C$9,2),"")</f>
        <v/>
      </c>
      <c r="L739" s="55"/>
      <c r="M739" s="34"/>
      <c r="N739" s="34"/>
      <c r="O739" s="34"/>
      <c r="P739" s="34"/>
      <c r="Q739" s="34"/>
      <c r="R739" s="34"/>
      <c r="S739" s="43"/>
      <c r="T739" s="43"/>
      <c r="U739" s="43"/>
      <c r="V739" s="58"/>
      <c r="W739" s="34"/>
      <c r="X739" s="34"/>
    </row>
    <row r="740" spans="1:24" x14ac:dyDescent="0.2">
      <c r="A740" s="132">
        <v>734</v>
      </c>
      <c r="B740" s="342"/>
      <c r="C740" s="34"/>
      <c r="D740" s="40" t="str">
        <f t="shared" si="23"/>
        <v>2002000734</v>
      </c>
      <c r="E740" s="34"/>
      <c r="F740" s="52"/>
      <c r="G740" s="34"/>
      <c r="H740" s="34"/>
      <c r="I740" s="278"/>
      <c r="J740" s="50" t="str">
        <f t="shared" ca="1" si="24"/>
        <v/>
      </c>
      <c r="K740" s="50" t="str">
        <f ca="1">IFERROR(VLOOKUP($J740,Ref!$B$7:$C$9,2),"")</f>
        <v/>
      </c>
      <c r="L740" s="55"/>
      <c r="M740" s="34"/>
      <c r="N740" s="34"/>
      <c r="O740" s="34"/>
      <c r="P740" s="34"/>
      <c r="Q740" s="34"/>
      <c r="R740" s="34"/>
      <c r="S740" s="43"/>
      <c r="T740" s="43"/>
      <c r="U740" s="43"/>
      <c r="V740" s="58"/>
      <c r="W740" s="34"/>
      <c r="X740" s="34"/>
    </row>
    <row r="741" spans="1:24" x14ac:dyDescent="0.2">
      <c r="A741" s="132">
        <v>735</v>
      </c>
      <c r="B741" s="342"/>
      <c r="C741" s="34"/>
      <c r="D741" s="40" t="str">
        <f t="shared" si="23"/>
        <v>2002000735</v>
      </c>
      <c r="E741" s="34"/>
      <c r="F741" s="52"/>
      <c r="G741" s="34"/>
      <c r="H741" s="34"/>
      <c r="I741" s="278"/>
      <c r="J741" s="50" t="str">
        <f t="shared" ca="1" si="24"/>
        <v/>
      </c>
      <c r="K741" s="50" t="str">
        <f ca="1">IFERROR(VLOOKUP($J741,Ref!$B$7:$C$9,2),"")</f>
        <v/>
      </c>
      <c r="L741" s="55"/>
      <c r="M741" s="34"/>
      <c r="N741" s="34"/>
      <c r="O741" s="34"/>
      <c r="P741" s="34"/>
      <c r="Q741" s="34"/>
      <c r="R741" s="34"/>
      <c r="S741" s="43"/>
      <c r="T741" s="43"/>
      <c r="U741" s="43"/>
      <c r="V741" s="58"/>
      <c r="W741" s="34"/>
      <c r="X741" s="34"/>
    </row>
    <row r="742" spans="1:24" x14ac:dyDescent="0.2">
      <c r="A742" s="132">
        <v>736</v>
      </c>
      <c r="B742" s="342"/>
      <c r="C742" s="34"/>
      <c r="D742" s="40" t="str">
        <f t="shared" si="23"/>
        <v>2002000736</v>
      </c>
      <c r="E742" s="34"/>
      <c r="F742" s="52"/>
      <c r="G742" s="34"/>
      <c r="H742" s="34"/>
      <c r="I742" s="278"/>
      <c r="J742" s="50" t="str">
        <f t="shared" ca="1" si="24"/>
        <v/>
      </c>
      <c r="K742" s="50" t="str">
        <f ca="1">IFERROR(VLOOKUP($J742,Ref!$B$7:$C$9,2),"")</f>
        <v/>
      </c>
      <c r="L742" s="55"/>
      <c r="M742" s="34"/>
      <c r="N742" s="34"/>
      <c r="O742" s="34"/>
      <c r="P742" s="34"/>
      <c r="Q742" s="34"/>
      <c r="R742" s="34"/>
      <c r="S742" s="43"/>
      <c r="T742" s="43"/>
      <c r="U742" s="43"/>
      <c r="V742" s="58"/>
      <c r="W742" s="34"/>
      <c r="X742" s="34"/>
    </row>
    <row r="743" spans="1:24" x14ac:dyDescent="0.2">
      <c r="A743" s="132">
        <v>737</v>
      </c>
      <c r="B743" s="342"/>
      <c r="C743" s="34"/>
      <c r="D743" s="40" t="str">
        <f t="shared" si="23"/>
        <v>2002000737</v>
      </c>
      <c r="E743" s="34"/>
      <c r="F743" s="52"/>
      <c r="G743" s="34"/>
      <c r="H743" s="34"/>
      <c r="I743" s="278"/>
      <c r="J743" s="50" t="str">
        <f t="shared" ca="1" si="24"/>
        <v/>
      </c>
      <c r="K743" s="50" t="str">
        <f ca="1">IFERROR(VLOOKUP($J743,Ref!$B$7:$C$9,2),"")</f>
        <v/>
      </c>
      <c r="L743" s="55"/>
      <c r="M743" s="34"/>
      <c r="N743" s="34"/>
      <c r="O743" s="34"/>
      <c r="P743" s="34"/>
      <c r="Q743" s="34"/>
      <c r="R743" s="34"/>
      <c r="S743" s="43"/>
      <c r="T743" s="43"/>
      <c r="U743" s="43"/>
      <c r="V743" s="58"/>
      <c r="W743" s="34"/>
      <c r="X743" s="34"/>
    </row>
    <row r="744" spans="1:24" x14ac:dyDescent="0.2">
      <c r="A744" s="132">
        <v>738</v>
      </c>
      <c r="B744" s="342"/>
      <c r="C744" s="34"/>
      <c r="D744" s="40" t="str">
        <f t="shared" si="23"/>
        <v>2002000738</v>
      </c>
      <c r="E744" s="34"/>
      <c r="F744" s="52"/>
      <c r="G744" s="34"/>
      <c r="H744" s="34"/>
      <c r="I744" s="278"/>
      <c r="J744" s="50" t="str">
        <f t="shared" ca="1" si="24"/>
        <v/>
      </c>
      <c r="K744" s="50" t="str">
        <f ca="1">IFERROR(VLOOKUP($J744,Ref!$B$7:$C$9,2),"")</f>
        <v/>
      </c>
      <c r="L744" s="55"/>
      <c r="M744" s="34"/>
      <c r="N744" s="34"/>
      <c r="O744" s="34"/>
      <c r="P744" s="34"/>
      <c r="Q744" s="34"/>
      <c r="R744" s="34"/>
      <c r="S744" s="43"/>
      <c r="T744" s="43"/>
      <c r="U744" s="43"/>
      <c r="V744" s="58"/>
      <c r="W744" s="34"/>
      <c r="X744" s="34"/>
    </row>
    <row r="745" spans="1:24" x14ac:dyDescent="0.2">
      <c r="A745" s="132">
        <v>739</v>
      </c>
      <c r="B745" s="342"/>
      <c r="C745" s="34"/>
      <c r="D745" s="40" t="str">
        <f t="shared" si="23"/>
        <v>2002000739</v>
      </c>
      <c r="E745" s="34"/>
      <c r="F745" s="52"/>
      <c r="G745" s="34"/>
      <c r="H745" s="34"/>
      <c r="I745" s="278"/>
      <c r="J745" s="50" t="str">
        <f t="shared" ca="1" si="24"/>
        <v/>
      </c>
      <c r="K745" s="50" t="str">
        <f ca="1">IFERROR(VLOOKUP($J745,Ref!$B$7:$C$9,2),"")</f>
        <v/>
      </c>
      <c r="L745" s="55"/>
      <c r="M745" s="34"/>
      <c r="N745" s="34"/>
      <c r="O745" s="34"/>
      <c r="P745" s="34"/>
      <c r="Q745" s="34"/>
      <c r="R745" s="34"/>
      <c r="S745" s="43"/>
      <c r="T745" s="43"/>
      <c r="U745" s="43"/>
      <c r="V745" s="58"/>
      <c r="W745" s="34"/>
      <c r="X745" s="34"/>
    </row>
    <row r="746" spans="1:24" x14ac:dyDescent="0.2">
      <c r="A746" s="132">
        <v>740</v>
      </c>
      <c r="B746" s="342"/>
      <c r="C746" s="34"/>
      <c r="D746" s="40" t="str">
        <f t="shared" si="23"/>
        <v>2002000740</v>
      </c>
      <c r="E746" s="34"/>
      <c r="F746" s="52"/>
      <c r="G746" s="34"/>
      <c r="H746" s="34"/>
      <c r="I746" s="278"/>
      <c r="J746" s="50" t="str">
        <f t="shared" ca="1" si="24"/>
        <v/>
      </c>
      <c r="K746" s="50" t="str">
        <f ca="1">IFERROR(VLOOKUP($J746,Ref!$B$7:$C$9,2),"")</f>
        <v/>
      </c>
      <c r="L746" s="55"/>
      <c r="M746" s="34"/>
      <c r="N746" s="34"/>
      <c r="O746" s="34"/>
      <c r="P746" s="34"/>
      <c r="Q746" s="34"/>
      <c r="R746" s="34"/>
      <c r="S746" s="43"/>
      <c r="T746" s="43"/>
      <c r="U746" s="43"/>
      <c r="V746" s="58"/>
      <c r="W746" s="34"/>
      <c r="X746" s="34"/>
    </row>
    <row r="747" spans="1:24" x14ac:dyDescent="0.2">
      <c r="A747" s="132">
        <v>741</v>
      </c>
      <c r="B747" s="342"/>
      <c r="C747" s="34"/>
      <c r="D747" s="40" t="str">
        <f t="shared" si="23"/>
        <v>2002000741</v>
      </c>
      <c r="E747" s="34"/>
      <c r="F747" s="52"/>
      <c r="G747" s="34"/>
      <c r="H747" s="34"/>
      <c r="I747" s="278"/>
      <c r="J747" s="50" t="str">
        <f t="shared" ca="1" si="24"/>
        <v/>
      </c>
      <c r="K747" s="50" t="str">
        <f ca="1">IFERROR(VLOOKUP($J747,Ref!$B$7:$C$9,2),"")</f>
        <v/>
      </c>
      <c r="L747" s="55"/>
      <c r="M747" s="34"/>
      <c r="N747" s="34"/>
      <c r="O747" s="34"/>
      <c r="P747" s="34"/>
      <c r="Q747" s="34"/>
      <c r="R747" s="34"/>
      <c r="S747" s="43"/>
      <c r="T747" s="43"/>
      <c r="U747" s="43"/>
      <c r="V747" s="58"/>
      <c r="W747" s="34"/>
      <c r="X747" s="34"/>
    </row>
    <row r="748" spans="1:24" x14ac:dyDescent="0.2">
      <c r="A748" s="132">
        <v>742</v>
      </c>
      <c r="B748" s="342"/>
      <c r="C748" s="34"/>
      <c r="D748" s="40" t="str">
        <f t="shared" si="23"/>
        <v>2002000742</v>
      </c>
      <c r="E748" s="34"/>
      <c r="F748" s="52"/>
      <c r="G748" s="34"/>
      <c r="H748" s="34"/>
      <c r="I748" s="278"/>
      <c r="J748" s="50" t="str">
        <f t="shared" ca="1" si="24"/>
        <v/>
      </c>
      <c r="K748" s="50" t="str">
        <f ca="1">IFERROR(VLOOKUP($J748,Ref!$B$7:$C$9,2),"")</f>
        <v/>
      </c>
      <c r="L748" s="55"/>
      <c r="M748" s="34"/>
      <c r="N748" s="34"/>
      <c r="O748" s="34"/>
      <c r="P748" s="34"/>
      <c r="Q748" s="34"/>
      <c r="R748" s="34"/>
      <c r="S748" s="43"/>
      <c r="T748" s="43"/>
      <c r="U748" s="43"/>
      <c r="V748" s="58"/>
      <c r="W748" s="34"/>
      <c r="X748" s="34"/>
    </row>
    <row r="749" spans="1:24" x14ac:dyDescent="0.2">
      <c r="A749" s="132">
        <v>743</v>
      </c>
      <c r="B749" s="342"/>
      <c r="C749" s="34"/>
      <c r="D749" s="40" t="str">
        <f t="shared" si="23"/>
        <v>2002000743</v>
      </c>
      <c r="E749" s="34"/>
      <c r="F749" s="52"/>
      <c r="G749" s="34"/>
      <c r="H749" s="34"/>
      <c r="I749" s="278"/>
      <c r="J749" s="50" t="str">
        <f t="shared" ca="1" si="24"/>
        <v/>
      </c>
      <c r="K749" s="50" t="str">
        <f ca="1">IFERROR(VLOOKUP($J749,Ref!$B$7:$C$9,2),"")</f>
        <v/>
      </c>
      <c r="L749" s="55"/>
      <c r="M749" s="34"/>
      <c r="N749" s="34"/>
      <c r="O749" s="34"/>
      <c r="P749" s="34"/>
      <c r="Q749" s="34"/>
      <c r="R749" s="34"/>
      <c r="S749" s="43"/>
      <c r="T749" s="43"/>
      <c r="U749" s="43"/>
      <c r="V749" s="58"/>
      <c r="W749" s="34"/>
      <c r="X749" s="34"/>
    </row>
    <row r="750" spans="1:24" x14ac:dyDescent="0.2">
      <c r="A750" s="132">
        <v>744</v>
      </c>
      <c r="B750" s="342"/>
      <c r="C750" s="34"/>
      <c r="D750" s="40" t="str">
        <f t="shared" si="23"/>
        <v>2002000744</v>
      </c>
      <c r="E750" s="34"/>
      <c r="F750" s="52"/>
      <c r="G750" s="34"/>
      <c r="H750" s="34"/>
      <c r="I750" s="278"/>
      <c r="J750" s="50" t="str">
        <f t="shared" ca="1" si="24"/>
        <v/>
      </c>
      <c r="K750" s="50" t="str">
        <f ca="1">IFERROR(VLOOKUP($J750,Ref!$B$7:$C$9,2),"")</f>
        <v/>
      </c>
      <c r="L750" s="55"/>
      <c r="M750" s="34"/>
      <c r="N750" s="34"/>
      <c r="O750" s="34"/>
      <c r="P750" s="34"/>
      <c r="Q750" s="34"/>
      <c r="R750" s="34"/>
      <c r="S750" s="43"/>
      <c r="T750" s="43"/>
      <c r="U750" s="43"/>
      <c r="V750" s="58"/>
      <c r="W750" s="34"/>
      <c r="X750" s="34"/>
    </row>
    <row r="751" spans="1:24" x14ac:dyDescent="0.2">
      <c r="A751" s="132">
        <v>745</v>
      </c>
      <c r="B751" s="342"/>
      <c r="C751" s="34"/>
      <c r="D751" s="40" t="str">
        <f t="shared" si="23"/>
        <v>2002000745</v>
      </c>
      <c r="E751" s="34"/>
      <c r="F751" s="52"/>
      <c r="G751" s="34"/>
      <c r="H751" s="34"/>
      <c r="I751" s="278"/>
      <c r="J751" s="50" t="str">
        <f t="shared" ca="1" si="24"/>
        <v/>
      </c>
      <c r="K751" s="50" t="str">
        <f ca="1">IFERROR(VLOOKUP($J751,Ref!$B$7:$C$9,2),"")</f>
        <v/>
      </c>
      <c r="L751" s="55"/>
      <c r="M751" s="34"/>
      <c r="N751" s="34"/>
      <c r="O751" s="34"/>
      <c r="P751" s="34"/>
      <c r="Q751" s="34"/>
      <c r="R751" s="34"/>
      <c r="S751" s="43"/>
      <c r="T751" s="43"/>
      <c r="U751" s="43"/>
      <c r="V751" s="58"/>
      <c r="W751" s="34"/>
      <c r="X751" s="34"/>
    </row>
    <row r="752" spans="1:24" x14ac:dyDescent="0.2">
      <c r="A752" s="132">
        <v>746</v>
      </c>
      <c r="B752" s="342"/>
      <c r="C752" s="34"/>
      <c r="D752" s="40" t="str">
        <f t="shared" si="23"/>
        <v>2002000746</v>
      </c>
      <c r="E752" s="34"/>
      <c r="F752" s="52"/>
      <c r="G752" s="34"/>
      <c r="H752" s="34"/>
      <c r="I752" s="278"/>
      <c r="J752" s="50" t="str">
        <f t="shared" ca="1" si="24"/>
        <v/>
      </c>
      <c r="K752" s="50" t="str">
        <f ca="1">IFERROR(VLOOKUP($J752,Ref!$B$7:$C$9,2),"")</f>
        <v/>
      </c>
      <c r="L752" s="55"/>
      <c r="M752" s="34"/>
      <c r="N752" s="34"/>
      <c r="O752" s="34"/>
      <c r="P752" s="34"/>
      <c r="Q752" s="34"/>
      <c r="R752" s="34"/>
      <c r="S752" s="43"/>
      <c r="T752" s="43"/>
      <c r="U752" s="43"/>
      <c r="V752" s="58"/>
      <c r="W752" s="34"/>
      <c r="X752" s="34"/>
    </row>
    <row r="753" spans="1:24" x14ac:dyDescent="0.2">
      <c r="A753" s="132">
        <v>747</v>
      </c>
      <c r="B753" s="342"/>
      <c r="C753" s="34"/>
      <c r="D753" s="40" t="str">
        <f t="shared" si="23"/>
        <v>2002000747</v>
      </c>
      <c r="E753" s="34"/>
      <c r="F753" s="52"/>
      <c r="G753" s="34"/>
      <c r="H753" s="34"/>
      <c r="I753" s="278"/>
      <c r="J753" s="50" t="str">
        <f t="shared" ca="1" si="24"/>
        <v/>
      </c>
      <c r="K753" s="50" t="str">
        <f ca="1">IFERROR(VLOOKUP($J753,Ref!$B$7:$C$9,2),"")</f>
        <v/>
      </c>
      <c r="L753" s="55"/>
      <c r="M753" s="34"/>
      <c r="N753" s="34"/>
      <c r="O753" s="34"/>
      <c r="P753" s="34"/>
      <c r="Q753" s="34"/>
      <c r="R753" s="34"/>
      <c r="S753" s="43"/>
      <c r="T753" s="43"/>
      <c r="U753" s="43"/>
      <c r="V753" s="58"/>
      <c r="W753" s="34"/>
      <c r="X753" s="34"/>
    </row>
    <row r="754" spans="1:24" x14ac:dyDescent="0.2">
      <c r="A754" s="132">
        <v>748</v>
      </c>
      <c r="B754" s="342"/>
      <c r="C754" s="34"/>
      <c r="D754" s="40" t="str">
        <f t="shared" si="23"/>
        <v>2002000748</v>
      </c>
      <c r="E754" s="34"/>
      <c r="F754" s="52"/>
      <c r="G754" s="34"/>
      <c r="H754" s="34"/>
      <c r="I754" s="278"/>
      <c r="J754" s="50" t="str">
        <f t="shared" ca="1" si="24"/>
        <v/>
      </c>
      <c r="K754" s="50" t="str">
        <f ca="1">IFERROR(VLOOKUP($J754,Ref!$B$7:$C$9,2),"")</f>
        <v/>
      </c>
      <c r="L754" s="55"/>
      <c r="M754" s="34"/>
      <c r="N754" s="34"/>
      <c r="O754" s="34"/>
      <c r="P754" s="34"/>
      <c r="Q754" s="34"/>
      <c r="R754" s="34"/>
      <c r="S754" s="43"/>
      <c r="T754" s="43"/>
      <c r="U754" s="43"/>
      <c r="V754" s="58"/>
      <c r="W754" s="34"/>
      <c r="X754" s="34"/>
    </row>
    <row r="755" spans="1:24" x14ac:dyDescent="0.2">
      <c r="A755" s="132">
        <v>749</v>
      </c>
      <c r="B755" s="342"/>
      <c r="C755" s="34"/>
      <c r="D755" s="40" t="str">
        <f t="shared" si="23"/>
        <v>2002000749</v>
      </c>
      <c r="E755" s="34"/>
      <c r="F755" s="52"/>
      <c r="G755" s="34"/>
      <c r="H755" s="34"/>
      <c r="I755" s="278"/>
      <c r="J755" s="50" t="str">
        <f t="shared" ca="1" si="24"/>
        <v/>
      </c>
      <c r="K755" s="50" t="str">
        <f ca="1">IFERROR(VLOOKUP($J755,Ref!$B$7:$C$9,2),"")</f>
        <v/>
      </c>
      <c r="L755" s="55"/>
      <c r="M755" s="34"/>
      <c r="N755" s="34"/>
      <c r="O755" s="34"/>
      <c r="P755" s="34"/>
      <c r="Q755" s="34"/>
      <c r="R755" s="34"/>
      <c r="S755" s="43"/>
      <c r="T755" s="43"/>
      <c r="U755" s="43"/>
      <c r="V755" s="58"/>
      <c r="W755" s="34"/>
      <c r="X755" s="34"/>
    </row>
    <row r="756" spans="1:24" x14ac:dyDescent="0.2">
      <c r="A756" s="132">
        <v>750</v>
      </c>
      <c r="B756" s="342"/>
      <c r="C756" s="34"/>
      <c r="D756" s="40" t="str">
        <f t="shared" si="23"/>
        <v>2002000750</v>
      </c>
      <c r="E756" s="34"/>
      <c r="F756" s="52"/>
      <c r="G756" s="34"/>
      <c r="H756" s="34"/>
      <c r="I756" s="278"/>
      <c r="J756" s="50" t="str">
        <f t="shared" ca="1" si="24"/>
        <v/>
      </c>
      <c r="K756" s="50" t="str">
        <f ca="1">IFERROR(VLOOKUP($J756,Ref!$B$7:$C$9,2),"")</f>
        <v/>
      </c>
      <c r="L756" s="55"/>
      <c r="M756" s="34"/>
      <c r="N756" s="34"/>
      <c r="O756" s="34"/>
      <c r="P756" s="34"/>
      <c r="Q756" s="34"/>
      <c r="R756" s="34"/>
      <c r="S756" s="43"/>
      <c r="T756" s="43"/>
      <c r="U756" s="43"/>
      <c r="V756" s="58"/>
      <c r="W756" s="34"/>
      <c r="X756" s="34"/>
    </row>
    <row r="757" spans="1:24" x14ac:dyDescent="0.2">
      <c r="A757" s="132">
        <v>751</v>
      </c>
      <c r="B757" s="342"/>
      <c r="C757" s="34"/>
      <c r="D757" s="40" t="str">
        <f t="shared" si="23"/>
        <v>2002000751</v>
      </c>
      <c r="E757" s="34"/>
      <c r="F757" s="52"/>
      <c r="G757" s="34"/>
      <c r="H757" s="34"/>
      <c r="I757" s="278"/>
      <c r="J757" s="50" t="str">
        <f t="shared" ca="1" si="24"/>
        <v/>
      </c>
      <c r="K757" s="50" t="str">
        <f ca="1">IFERROR(VLOOKUP($J757,Ref!$B$7:$C$9,2),"")</f>
        <v/>
      </c>
      <c r="L757" s="55"/>
      <c r="M757" s="34"/>
      <c r="N757" s="34"/>
      <c r="O757" s="34"/>
      <c r="P757" s="34"/>
      <c r="Q757" s="34"/>
      <c r="R757" s="34"/>
      <c r="S757" s="43"/>
      <c r="T757" s="43"/>
      <c r="U757" s="43"/>
      <c r="V757" s="58"/>
      <c r="W757" s="34"/>
      <c r="X757" s="34"/>
    </row>
    <row r="758" spans="1:24" x14ac:dyDescent="0.2">
      <c r="A758" s="132">
        <v>752</v>
      </c>
      <c r="B758" s="342"/>
      <c r="C758" s="34"/>
      <c r="D758" s="40" t="str">
        <f t="shared" si="23"/>
        <v>2002000752</v>
      </c>
      <c r="E758" s="34"/>
      <c r="F758" s="52"/>
      <c r="G758" s="34"/>
      <c r="H758" s="34"/>
      <c r="I758" s="278"/>
      <c r="J758" s="50" t="str">
        <f t="shared" ca="1" si="24"/>
        <v/>
      </c>
      <c r="K758" s="50" t="str">
        <f ca="1">IFERROR(VLOOKUP($J758,Ref!$B$7:$C$9,2),"")</f>
        <v/>
      </c>
      <c r="L758" s="55"/>
      <c r="M758" s="34"/>
      <c r="N758" s="34"/>
      <c r="O758" s="34"/>
      <c r="P758" s="34"/>
      <c r="Q758" s="34"/>
      <c r="R758" s="34"/>
      <c r="S758" s="43"/>
      <c r="T758" s="43"/>
      <c r="U758" s="43"/>
      <c r="V758" s="58"/>
      <c r="W758" s="34"/>
      <c r="X758" s="34"/>
    </row>
    <row r="759" spans="1:24" x14ac:dyDescent="0.2">
      <c r="A759" s="132">
        <v>753</v>
      </c>
      <c r="B759" s="342"/>
      <c r="C759" s="34"/>
      <c r="D759" s="40" t="str">
        <f t="shared" si="23"/>
        <v>2002000753</v>
      </c>
      <c r="E759" s="34"/>
      <c r="F759" s="52"/>
      <c r="G759" s="34"/>
      <c r="H759" s="34"/>
      <c r="I759" s="278"/>
      <c r="J759" s="50" t="str">
        <f t="shared" ca="1" si="24"/>
        <v/>
      </c>
      <c r="K759" s="50" t="str">
        <f ca="1">IFERROR(VLOOKUP($J759,Ref!$B$7:$C$9,2),"")</f>
        <v/>
      </c>
      <c r="L759" s="55"/>
      <c r="M759" s="34"/>
      <c r="N759" s="34"/>
      <c r="O759" s="34"/>
      <c r="P759" s="34"/>
      <c r="Q759" s="34"/>
      <c r="R759" s="34"/>
      <c r="S759" s="43"/>
      <c r="T759" s="43"/>
      <c r="U759" s="43"/>
      <c r="V759" s="58"/>
      <c r="W759" s="34"/>
      <c r="X759" s="34"/>
    </row>
    <row r="760" spans="1:24" x14ac:dyDescent="0.2">
      <c r="A760" s="132">
        <v>754</v>
      </c>
      <c r="B760" s="342"/>
      <c r="C760" s="34"/>
      <c r="D760" s="40" t="str">
        <f t="shared" si="23"/>
        <v>2002000754</v>
      </c>
      <c r="E760" s="34"/>
      <c r="F760" s="52"/>
      <c r="G760" s="34"/>
      <c r="H760" s="34"/>
      <c r="I760" s="278"/>
      <c r="J760" s="50" t="str">
        <f t="shared" ca="1" si="24"/>
        <v/>
      </c>
      <c r="K760" s="50" t="str">
        <f ca="1">IFERROR(VLOOKUP($J760,Ref!$B$7:$C$9,2),"")</f>
        <v/>
      </c>
      <c r="L760" s="55"/>
      <c r="M760" s="34"/>
      <c r="N760" s="34"/>
      <c r="O760" s="34"/>
      <c r="P760" s="34"/>
      <c r="Q760" s="34"/>
      <c r="R760" s="34"/>
      <c r="S760" s="43"/>
      <c r="T760" s="43"/>
      <c r="U760" s="43"/>
      <c r="V760" s="58"/>
      <c r="W760" s="34"/>
      <c r="X760" s="34"/>
    </row>
    <row r="761" spans="1:24" x14ac:dyDescent="0.2">
      <c r="A761" s="132">
        <v>755</v>
      </c>
      <c r="B761" s="342"/>
      <c r="C761" s="34"/>
      <c r="D761" s="40" t="str">
        <f t="shared" si="23"/>
        <v>2002000755</v>
      </c>
      <c r="E761" s="34"/>
      <c r="F761" s="52"/>
      <c r="G761" s="34"/>
      <c r="H761" s="34"/>
      <c r="I761" s="278"/>
      <c r="J761" s="50" t="str">
        <f t="shared" ca="1" si="24"/>
        <v/>
      </c>
      <c r="K761" s="50" t="str">
        <f ca="1">IFERROR(VLOOKUP($J761,Ref!$B$7:$C$9,2),"")</f>
        <v/>
      </c>
      <c r="L761" s="55"/>
      <c r="M761" s="34"/>
      <c r="N761" s="34"/>
      <c r="O761" s="34"/>
      <c r="P761" s="34"/>
      <c r="Q761" s="34"/>
      <c r="R761" s="34"/>
      <c r="S761" s="43"/>
      <c r="T761" s="43"/>
      <c r="U761" s="43"/>
      <c r="V761" s="58"/>
      <c r="W761" s="34"/>
      <c r="X761" s="34"/>
    </row>
    <row r="762" spans="1:24" x14ac:dyDescent="0.2">
      <c r="A762" s="132">
        <v>756</v>
      </c>
      <c r="B762" s="342"/>
      <c r="C762" s="34"/>
      <c r="D762" s="40" t="str">
        <f t="shared" si="23"/>
        <v>2002000756</v>
      </c>
      <c r="E762" s="34"/>
      <c r="F762" s="52"/>
      <c r="G762" s="34"/>
      <c r="H762" s="34"/>
      <c r="I762" s="278"/>
      <c r="J762" s="50" t="str">
        <f t="shared" ca="1" si="24"/>
        <v/>
      </c>
      <c r="K762" s="50" t="str">
        <f ca="1">IFERROR(VLOOKUP($J762,Ref!$B$7:$C$9,2),"")</f>
        <v/>
      </c>
      <c r="L762" s="55"/>
      <c r="M762" s="34"/>
      <c r="N762" s="34"/>
      <c r="O762" s="34"/>
      <c r="P762" s="34"/>
      <c r="Q762" s="34"/>
      <c r="R762" s="34"/>
      <c r="S762" s="43"/>
      <c r="T762" s="43"/>
      <c r="U762" s="43"/>
      <c r="V762" s="58"/>
      <c r="W762" s="34"/>
      <c r="X762" s="34"/>
    </row>
    <row r="763" spans="1:24" x14ac:dyDescent="0.2">
      <c r="A763" s="132">
        <v>757</v>
      </c>
      <c r="B763" s="342"/>
      <c r="C763" s="34"/>
      <c r="D763" s="40" t="str">
        <f t="shared" si="23"/>
        <v>2002000757</v>
      </c>
      <c r="E763" s="34"/>
      <c r="F763" s="52"/>
      <c r="G763" s="34"/>
      <c r="H763" s="34"/>
      <c r="I763" s="278"/>
      <c r="J763" s="50" t="str">
        <f t="shared" ca="1" si="24"/>
        <v/>
      </c>
      <c r="K763" s="50" t="str">
        <f ca="1">IFERROR(VLOOKUP($J763,Ref!$B$7:$C$9,2),"")</f>
        <v/>
      </c>
      <c r="L763" s="55"/>
      <c r="M763" s="34"/>
      <c r="N763" s="34"/>
      <c r="O763" s="34"/>
      <c r="P763" s="34"/>
      <c r="Q763" s="34"/>
      <c r="R763" s="34"/>
      <c r="S763" s="43"/>
      <c r="T763" s="43"/>
      <c r="U763" s="43"/>
      <c r="V763" s="58"/>
      <c r="W763" s="34"/>
      <c r="X763" s="34"/>
    </row>
    <row r="764" spans="1:24" x14ac:dyDescent="0.2">
      <c r="A764" s="132">
        <v>758</v>
      </c>
      <c r="B764" s="342"/>
      <c r="C764" s="34"/>
      <c r="D764" s="40" t="str">
        <f t="shared" si="23"/>
        <v>2002000758</v>
      </c>
      <c r="E764" s="34"/>
      <c r="F764" s="52"/>
      <c r="G764" s="34"/>
      <c r="H764" s="34"/>
      <c r="I764" s="278"/>
      <c r="J764" s="50" t="str">
        <f t="shared" ca="1" si="24"/>
        <v/>
      </c>
      <c r="K764" s="50" t="str">
        <f ca="1">IFERROR(VLOOKUP($J764,Ref!$B$7:$C$9,2),"")</f>
        <v/>
      </c>
      <c r="L764" s="55"/>
      <c r="M764" s="34"/>
      <c r="N764" s="34"/>
      <c r="O764" s="34"/>
      <c r="P764" s="34"/>
      <c r="Q764" s="34"/>
      <c r="R764" s="34"/>
      <c r="S764" s="43"/>
      <c r="T764" s="43"/>
      <c r="U764" s="43"/>
      <c r="V764" s="58"/>
      <c r="W764" s="34"/>
      <c r="X764" s="34"/>
    </row>
    <row r="765" spans="1:24" x14ac:dyDescent="0.2">
      <c r="A765" s="132">
        <v>759</v>
      </c>
      <c r="B765" s="342"/>
      <c r="C765" s="34"/>
      <c r="D765" s="40" t="str">
        <f t="shared" si="23"/>
        <v>2002000759</v>
      </c>
      <c r="E765" s="34"/>
      <c r="F765" s="52"/>
      <c r="G765" s="34"/>
      <c r="H765" s="34"/>
      <c r="I765" s="278"/>
      <c r="J765" s="50" t="str">
        <f t="shared" ca="1" si="24"/>
        <v/>
      </c>
      <c r="K765" s="50" t="str">
        <f ca="1">IFERROR(VLOOKUP($J765,Ref!$B$7:$C$9,2),"")</f>
        <v/>
      </c>
      <c r="L765" s="55"/>
      <c r="M765" s="34"/>
      <c r="N765" s="34"/>
      <c r="O765" s="34"/>
      <c r="P765" s="34"/>
      <c r="Q765" s="34"/>
      <c r="R765" s="34"/>
      <c r="S765" s="43"/>
      <c r="T765" s="43"/>
      <c r="U765" s="43"/>
      <c r="V765" s="58"/>
      <c r="W765" s="34"/>
      <c r="X765" s="34"/>
    </row>
    <row r="766" spans="1:24" x14ac:dyDescent="0.2">
      <c r="A766" s="132">
        <v>760</v>
      </c>
      <c r="B766" s="342"/>
      <c r="C766" s="34"/>
      <c r="D766" s="40" t="str">
        <f t="shared" si="23"/>
        <v>2002000760</v>
      </c>
      <c r="E766" s="34"/>
      <c r="F766" s="52"/>
      <c r="G766" s="34"/>
      <c r="H766" s="34"/>
      <c r="I766" s="278"/>
      <c r="J766" s="50" t="str">
        <f t="shared" ca="1" si="24"/>
        <v/>
      </c>
      <c r="K766" s="50" t="str">
        <f ca="1">IFERROR(VLOOKUP($J766,Ref!$B$7:$C$9,2),"")</f>
        <v/>
      </c>
      <c r="L766" s="55"/>
      <c r="M766" s="34"/>
      <c r="N766" s="34"/>
      <c r="O766" s="34"/>
      <c r="P766" s="34"/>
      <c r="Q766" s="34"/>
      <c r="R766" s="34"/>
      <c r="S766" s="43"/>
      <c r="T766" s="43"/>
      <c r="U766" s="43"/>
      <c r="V766" s="58"/>
      <c r="W766" s="34"/>
      <c r="X766" s="34"/>
    </row>
    <row r="767" spans="1:24" x14ac:dyDescent="0.2">
      <c r="A767" s="132">
        <v>761</v>
      </c>
      <c r="B767" s="342"/>
      <c r="C767" s="34"/>
      <c r="D767" s="40" t="str">
        <f t="shared" si="23"/>
        <v>2002000761</v>
      </c>
      <c r="E767" s="34"/>
      <c r="F767" s="52"/>
      <c r="G767" s="34"/>
      <c r="H767" s="34"/>
      <c r="I767" s="278"/>
      <c r="J767" s="50" t="str">
        <f t="shared" ca="1" si="24"/>
        <v/>
      </c>
      <c r="K767" s="50" t="str">
        <f ca="1">IFERROR(VLOOKUP($J767,Ref!$B$7:$C$9,2),"")</f>
        <v/>
      </c>
      <c r="L767" s="55"/>
      <c r="M767" s="34"/>
      <c r="N767" s="34"/>
      <c r="O767" s="34"/>
      <c r="P767" s="34"/>
      <c r="Q767" s="34"/>
      <c r="R767" s="34"/>
      <c r="S767" s="43"/>
      <c r="T767" s="43"/>
      <c r="U767" s="43"/>
      <c r="V767" s="58"/>
      <c r="W767" s="34"/>
      <c r="X767" s="34"/>
    </row>
    <row r="768" spans="1:24" x14ac:dyDescent="0.2">
      <c r="A768" s="132">
        <v>762</v>
      </c>
      <c r="B768" s="342"/>
      <c r="C768" s="34"/>
      <c r="D768" s="40" t="str">
        <f t="shared" si="23"/>
        <v>2002000762</v>
      </c>
      <c r="E768" s="34"/>
      <c r="F768" s="52"/>
      <c r="G768" s="34"/>
      <c r="H768" s="34"/>
      <c r="I768" s="278"/>
      <c r="J768" s="50" t="str">
        <f t="shared" ca="1" si="24"/>
        <v/>
      </c>
      <c r="K768" s="50" t="str">
        <f ca="1">IFERROR(VLOOKUP($J768,Ref!$B$7:$C$9,2),"")</f>
        <v/>
      </c>
      <c r="L768" s="55"/>
      <c r="M768" s="34"/>
      <c r="N768" s="34"/>
      <c r="O768" s="34"/>
      <c r="P768" s="34"/>
      <c r="Q768" s="34"/>
      <c r="R768" s="34"/>
      <c r="S768" s="43"/>
      <c r="T768" s="43"/>
      <c r="U768" s="43"/>
      <c r="V768" s="58"/>
      <c r="W768" s="34"/>
      <c r="X768" s="34"/>
    </row>
    <row r="769" spans="1:24" x14ac:dyDescent="0.2">
      <c r="A769" s="132">
        <v>763</v>
      </c>
      <c r="B769" s="342"/>
      <c r="C769" s="34"/>
      <c r="D769" s="40" t="str">
        <f t="shared" si="23"/>
        <v>2002000763</v>
      </c>
      <c r="E769" s="34"/>
      <c r="F769" s="52"/>
      <c r="G769" s="34"/>
      <c r="H769" s="34"/>
      <c r="I769" s="278"/>
      <c r="J769" s="50" t="str">
        <f t="shared" ca="1" si="24"/>
        <v/>
      </c>
      <c r="K769" s="50" t="str">
        <f ca="1">IFERROR(VLOOKUP($J769,Ref!$B$7:$C$9,2),"")</f>
        <v/>
      </c>
      <c r="L769" s="55"/>
      <c r="M769" s="34"/>
      <c r="N769" s="34"/>
      <c r="O769" s="34"/>
      <c r="P769" s="34"/>
      <c r="Q769" s="34"/>
      <c r="R769" s="34"/>
      <c r="S769" s="43"/>
      <c r="T769" s="43"/>
      <c r="U769" s="43"/>
      <c r="V769" s="58"/>
      <c r="W769" s="34"/>
      <c r="X769" s="34"/>
    </row>
    <row r="770" spans="1:24" x14ac:dyDescent="0.2">
      <c r="A770" s="132">
        <v>764</v>
      </c>
      <c r="B770" s="342"/>
      <c r="C770" s="34"/>
      <c r="D770" s="40" t="str">
        <f t="shared" si="23"/>
        <v>2002000764</v>
      </c>
      <c r="E770" s="34"/>
      <c r="F770" s="52"/>
      <c r="G770" s="34"/>
      <c r="H770" s="34"/>
      <c r="I770" s="278"/>
      <c r="J770" s="50" t="str">
        <f t="shared" ca="1" si="24"/>
        <v/>
      </c>
      <c r="K770" s="50" t="str">
        <f ca="1">IFERROR(VLOOKUP($J770,Ref!$B$7:$C$9,2),"")</f>
        <v/>
      </c>
      <c r="L770" s="55"/>
      <c r="M770" s="34"/>
      <c r="N770" s="34"/>
      <c r="O770" s="34"/>
      <c r="P770" s="34"/>
      <c r="Q770" s="34"/>
      <c r="R770" s="34"/>
      <c r="S770" s="43"/>
      <c r="T770" s="43"/>
      <c r="U770" s="43"/>
      <c r="V770" s="58"/>
      <c r="W770" s="34"/>
      <c r="X770" s="34"/>
    </row>
    <row r="771" spans="1:24" x14ac:dyDescent="0.2">
      <c r="A771" s="132">
        <v>765</v>
      </c>
      <c r="B771" s="342"/>
      <c r="C771" s="34"/>
      <c r="D771" s="40" t="str">
        <f t="shared" si="23"/>
        <v>2002000765</v>
      </c>
      <c r="E771" s="34"/>
      <c r="F771" s="52"/>
      <c r="G771" s="34"/>
      <c r="H771" s="34"/>
      <c r="I771" s="278"/>
      <c r="J771" s="50" t="str">
        <f t="shared" ca="1" si="24"/>
        <v/>
      </c>
      <c r="K771" s="50" t="str">
        <f ca="1">IFERROR(VLOOKUP($J771,Ref!$B$7:$C$9,2),"")</f>
        <v/>
      </c>
      <c r="L771" s="55"/>
      <c r="M771" s="34"/>
      <c r="N771" s="34"/>
      <c r="O771" s="34"/>
      <c r="P771" s="34"/>
      <c r="Q771" s="34"/>
      <c r="R771" s="34"/>
      <c r="S771" s="43"/>
      <c r="T771" s="43"/>
      <c r="U771" s="43"/>
      <c r="V771" s="58"/>
      <c r="W771" s="34"/>
      <c r="X771" s="34"/>
    </row>
    <row r="772" spans="1:24" x14ac:dyDescent="0.2">
      <c r="A772" s="132">
        <v>766</v>
      </c>
      <c r="B772" s="342"/>
      <c r="C772" s="34"/>
      <c r="D772" s="40" t="str">
        <f t="shared" si="23"/>
        <v>2002000766</v>
      </c>
      <c r="E772" s="34"/>
      <c r="F772" s="52"/>
      <c r="G772" s="34"/>
      <c r="H772" s="34"/>
      <c r="I772" s="278"/>
      <c r="J772" s="50" t="str">
        <f t="shared" ca="1" si="24"/>
        <v/>
      </c>
      <c r="K772" s="50" t="str">
        <f ca="1">IFERROR(VLOOKUP($J772,Ref!$B$7:$C$9,2),"")</f>
        <v/>
      </c>
      <c r="L772" s="55"/>
      <c r="M772" s="34"/>
      <c r="N772" s="34"/>
      <c r="O772" s="34"/>
      <c r="P772" s="34"/>
      <c r="Q772" s="34"/>
      <c r="R772" s="34"/>
      <c r="S772" s="43"/>
      <c r="T772" s="43"/>
      <c r="U772" s="43"/>
      <c r="V772" s="58"/>
      <c r="W772" s="34"/>
      <c r="X772" s="34"/>
    </row>
    <row r="773" spans="1:24" x14ac:dyDescent="0.2">
      <c r="A773" s="132">
        <v>767</v>
      </c>
      <c r="B773" s="342"/>
      <c r="C773" s="34"/>
      <c r="D773" s="40" t="str">
        <f t="shared" si="23"/>
        <v>2002000767</v>
      </c>
      <c r="E773" s="34"/>
      <c r="F773" s="52"/>
      <c r="G773" s="34"/>
      <c r="H773" s="34"/>
      <c r="I773" s="278"/>
      <c r="J773" s="50" t="str">
        <f t="shared" ca="1" si="24"/>
        <v/>
      </c>
      <c r="K773" s="50" t="str">
        <f ca="1">IFERROR(VLOOKUP($J773,Ref!$B$7:$C$9,2),"")</f>
        <v/>
      </c>
      <c r="L773" s="55"/>
      <c r="M773" s="34"/>
      <c r="N773" s="34"/>
      <c r="O773" s="34"/>
      <c r="P773" s="34"/>
      <c r="Q773" s="34"/>
      <c r="R773" s="34"/>
      <c r="S773" s="43"/>
      <c r="T773" s="43"/>
      <c r="U773" s="43"/>
      <c r="V773" s="58"/>
      <c r="W773" s="34"/>
      <c r="X773" s="34"/>
    </row>
    <row r="774" spans="1:24" x14ac:dyDescent="0.2">
      <c r="A774" s="132">
        <v>768</v>
      </c>
      <c r="B774" s="342"/>
      <c r="C774" s="34"/>
      <c r="D774" s="40" t="str">
        <f t="shared" si="23"/>
        <v>2002000768</v>
      </c>
      <c r="E774" s="34"/>
      <c r="F774" s="52"/>
      <c r="G774" s="34"/>
      <c r="H774" s="34"/>
      <c r="I774" s="278"/>
      <c r="J774" s="50" t="str">
        <f t="shared" ca="1" si="24"/>
        <v/>
      </c>
      <c r="K774" s="50" t="str">
        <f ca="1">IFERROR(VLOOKUP($J774,Ref!$B$7:$C$9,2),"")</f>
        <v/>
      </c>
      <c r="L774" s="55"/>
      <c r="M774" s="34"/>
      <c r="N774" s="34"/>
      <c r="O774" s="34"/>
      <c r="P774" s="34"/>
      <c r="Q774" s="34"/>
      <c r="R774" s="34"/>
      <c r="S774" s="43"/>
      <c r="T774" s="43"/>
      <c r="U774" s="43"/>
      <c r="V774" s="58"/>
      <c r="W774" s="34"/>
      <c r="X774" s="34"/>
    </row>
    <row r="775" spans="1:24" x14ac:dyDescent="0.2">
      <c r="A775" s="132">
        <v>769</v>
      </c>
      <c r="B775" s="342"/>
      <c r="C775" s="34"/>
      <c r="D775" s="40" t="str">
        <f t="shared" si="23"/>
        <v>2002000769</v>
      </c>
      <c r="E775" s="34"/>
      <c r="F775" s="52"/>
      <c r="G775" s="34"/>
      <c r="H775" s="34"/>
      <c r="I775" s="278"/>
      <c r="J775" s="50" t="str">
        <f t="shared" ca="1" si="24"/>
        <v/>
      </c>
      <c r="K775" s="50" t="str">
        <f ca="1">IFERROR(VLOOKUP($J775,Ref!$B$7:$C$9,2),"")</f>
        <v/>
      </c>
      <c r="L775" s="55"/>
      <c r="M775" s="34"/>
      <c r="N775" s="34"/>
      <c r="O775" s="34"/>
      <c r="P775" s="34"/>
      <c r="Q775" s="34"/>
      <c r="R775" s="34"/>
      <c r="S775" s="43"/>
      <c r="T775" s="43"/>
      <c r="U775" s="43"/>
      <c r="V775" s="58"/>
      <c r="W775" s="34"/>
      <c r="X775" s="34"/>
    </row>
    <row r="776" spans="1:24" x14ac:dyDescent="0.2">
      <c r="A776" s="132">
        <v>770</v>
      </c>
      <c r="B776" s="342"/>
      <c r="C776" s="34"/>
      <c r="D776" s="40" t="str">
        <f t="shared" ref="D776:D839" si="25">IF(A776="","",LEFT($C$3,LEN($C$3)-LEN(A776))&amp;A776)</f>
        <v>2002000770</v>
      </c>
      <c r="E776" s="34"/>
      <c r="F776" s="52"/>
      <c r="G776" s="34"/>
      <c r="H776" s="34"/>
      <c r="I776" s="278"/>
      <c r="J776" s="50" t="str">
        <f t="shared" ca="1" si="24"/>
        <v/>
      </c>
      <c r="K776" s="50" t="str">
        <f ca="1">IFERROR(VLOOKUP($J776,Ref!$B$7:$C$9,2),"")</f>
        <v/>
      </c>
      <c r="L776" s="55"/>
      <c r="M776" s="34"/>
      <c r="N776" s="34"/>
      <c r="O776" s="34"/>
      <c r="P776" s="34"/>
      <c r="Q776" s="34"/>
      <c r="R776" s="34"/>
      <c r="S776" s="43"/>
      <c r="T776" s="43"/>
      <c r="U776" s="43"/>
      <c r="V776" s="58"/>
      <c r="W776" s="34"/>
      <c r="X776" s="34"/>
    </row>
    <row r="777" spans="1:24" x14ac:dyDescent="0.2">
      <c r="A777" s="132">
        <v>771</v>
      </c>
      <c r="B777" s="342"/>
      <c r="C777" s="34"/>
      <c r="D777" s="40" t="str">
        <f t="shared" si="25"/>
        <v>2002000771</v>
      </c>
      <c r="E777" s="34"/>
      <c r="F777" s="52"/>
      <c r="G777" s="34"/>
      <c r="H777" s="34"/>
      <c r="I777" s="278"/>
      <c r="J777" s="50" t="str">
        <f t="shared" ca="1" si="24"/>
        <v/>
      </c>
      <c r="K777" s="50" t="str">
        <f ca="1">IFERROR(VLOOKUP($J777,Ref!$B$7:$C$9,2),"")</f>
        <v/>
      </c>
      <c r="L777" s="55"/>
      <c r="M777" s="34"/>
      <c r="N777" s="34"/>
      <c r="O777" s="34"/>
      <c r="P777" s="34"/>
      <c r="Q777" s="34"/>
      <c r="R777" s="34"/>
      <c r="S777" s="43"/>
      <c r="T777" s="43"/>
      <c r="U777" s="43"/>
      <c r="V777" s="58"/>
      <c r="W777" s="34"/>
      <c r="X777" s="34"/>
    </row>
    <row r="778" spans="1:24" x14ac:dyDescent="0.2">
      <c r="A778" s="132">
        <v>772</v>
      </c>
      <c r="B778" s="342"/>
      <c r="C778" s="34"/>
      <c r="D778" s="40" t="str">
        <f t="shared" si="25"/>
        <v>2002000772</v>
      </c>
      <c r="E778" s="34"/>
      <c r="F778" s="52"/>
      <c r="G778" s="34"/>
      <c r="H778" s="34"/>
      <c r="I778" s="278"/>
      <c r="J778" s="50" t="str">
        <f t="shared" ca="1" si="24"/>
        <v/>
      </c>
      <c r="K778" s="50" t="str">
        <f ca="1">IFERROR(VLOOKUP($J778,Ref!$B$7:$C$9,2),"")</f>
        <v/>
      </c>
      <c r="L778" s="55"/>
      <c r="M778" s="34"/>
      <c r="N778" s="34"/>
      <c r="O778" s="34"/>
      <c r="P778" s="34"/>
      <c r="Q778" s="34"/>
      <c r="R778" s="34"/>
      <c r="S778" s="43"/>
      <c r="T778" s="43"/>
      <c r="U778" s="43"/>
      <c r="V778" s="58"/>
      <c r="W778" s="34"/>
      <c r="X778" s="34"/>
    </row>
    <row r="779" spans="1:24" x14ac:dyDescent="0.2">
      <c r="A779" s="132">
        <v>773</v>
      </c>
      <c r="B779" s="342"/>
      <c r="C779" s="34"/>
      <c r="D779" s="40" t="str">
        <f t="shared" si="25"/>
        <v>2002000773</v>
      </c>
      <c r="E779" s="34"/>
      <c r="F779" s="52"/>
      <c r="G779" s="34"/>
      <c r="H779" s="34"/>
      <c r="I779" s="278"/>
      <c r="J779" s="50" t="str">
        <f t="shared" ca="1" si="24"/>
        <v/>
      </c>
      <c r="K779" s="50" t="str">
        <f ca="1">IFERROR(VLOOKUP($J779,Ref!$B$7:$C$9,2),"")</f>
        <v/>
      </c>
      <c r="L779" s="55"/>
      <c r="M779" s="34"/>
      <c r="N779" s="34"/>
      <c r="O779" s="34"/>
      <c r="P779" s="34"/>
      <c r="Q779" s="34"/>
      <c r="R779" s="34"/>
      <c r="S779" s="43"/>
      <c r="T779" s="43"/>
      <c r="U779" s="43"/>
      <c r="V779" s="58"/>
      <c r="W779" s="34"/>
      <c r="X779" s="34"/>
    </row>
    <row r="780" spans="1:24" x14ac:dyDescent="0.2">
      <c r="A780" s="132">
        <v>774</v>
      </c>
      <c r="B780" s="342"/>
      <c r="C780" s="34"/>
      <c r="D780" s="40" t="str">
        <f t="shared" si="25"/>
        <v>2002000774</v>
      </c>
      <c r="E780" s="34"/>
      <c r="F780" s="52"/>
      <c r="G780" s="34"/>
      <c r="H780" s="34"/>
      <c r="I780" s="278"/>
      <c r="J780" s="50" t="str">
        <f t="shared" ca="1" si="24"/>
        <v/>
      </c>
      <c r="K780" s="50" t="str">
        <f ca="1">IFERROR(VLOOKUP($J780,Ref!$B$7:$C$9,2),"")</f>
        <v/>
      </c>
      <c r="L780" s="55"/>
      <c r="M780" s="34"/>
      <c r="N780" s="34"/>
      <c r="O780" s="34"/>
      <c r="P780" s="34"/>
      <c r="Q780" s="34"/>
      <c r="R780" s="34"/>
      <c r="S780" s="43"/>
      <c r="T780" s="43"/>
      <c r="U780" s="43"/>
      <c r="V780" s="58"/>
      <c r="W780" s="34"/>
      <c r="X780" s="34"/>
    </row>
    <row r="781" spans="1:24" x14ac:dyDescent="0.2">
      <c r="A781" s="132">
        <v>775</v>
      </c>
      <c r="B781" s="342"/>
      <c r="C781" s="34"/>
      <c r="D781" s="40" t="str">
        <f t="shared" si="25"/>
        <v>2002000775</v>
      </c>
      <c r="E781" s="34"/>
      <c r="F781" s="52"/>
      <c r="G781" s="34"/>
      <c r="H781" s="34"/>
      <c r="I781" s="278"/>
      <c r="J781" s="50" t="str">
        <f t="shared" ca="1" si="24"/>
        <v/>
      </c>
      <c r="K781" s="50" t="str">
        <f ca="1">IFERROR(VLOOKUP($J781,Ref!$B$7:$C$9,2),"")</f>
        <v/>
      </c>
      <c r="L781" s="55"/>
      <c r="M781" s="34"/>
      <c r="N781" s="34"/>
      <c r="O781" s="34"/>
      <c r="P781" s="34"/>
      <c r="Q781" s="34"/>
      <c r="R781" s="34"/>
      <c r="S781" s="43"/>
      <c r="T781" s="43"/>
      <c r="U781" s="43"/>
      <c r="V781" s="58"/>
      <c r="W781" s="34"/>
      <c r="X781" s="34"/>
    </row>
    <row r="782" spans="1:24" x14ac:dyDescent="0.2">
      <c r="A782" s="132">
        <v>776</v>
      </c>
      <c r="B782" s="342"/>
      <c r="C782" s="34"/>
      <c r="D782" s="40" t="str">
        <f t="shared" si="25"/>
        <v>2002000776</v>
      </c>
      <c r="E782" s="34"/>
      <c r="F782" s="52"/>
      <c r="G782" s="34"/>
      <c r="H782" s="34"/>
      <c r="I782" s="278"/>
      <c r="J782" s="50" t="str">
        <f t="shared" ca="1" si="24"/>
        <v/>
      </c>
      <c r="K782" s="50" t="str">
        <f ca="1">IFERROR(VLOOKUP($J782,Ref!$B$7:$C$9,2),"")</f>
        <v/>
      </c>
      <c r="L782" s="55"/>
      <c r="M782" s="34"/>
      <c r="N782" s="34"/>
      <c r="O782" s="34"/>
      <c r="P782" s="34"/>
      <c r="Q782" s="34"/>
      <c r="R782" s="34"/>
      <c r="S782" s="43"/>
      <c r="T782" s="43"/>
      <c r="U782" s="43"/>
      <c r="V782" s="58"/>
      <c r="W782" s="34"/>
      <c r="X782" s="34"/>
    </row>
    <row r="783" spans="1:24" x14ac:dyDescent="0.2">
      <c r="A783" s="132">
        <v>777</v>
      </c>
      <c r="B783" s="342"/>
      <c r="C783" s="34"/>
      <c r="D783" s="40" t="str">
        <f t="shared" si="25"/>
        <v>2002000777</v>
      </c>
      <c r="E783" s="34"/>
      <c r="F783" s="52"/>
      <c r="G783" s="34"/>
      <c r="H783" s="34"/>
      <c r="I783" s="278"/>
      <c r="J783" s="50" t="str">
        <f t="shared" ca="1" si="24"/>
        <v/>
      </c>
      <c r="K783" s="50" t="str">
        <f ca="1">IFERROR(VLOOKUP($J783,Ref!$B$7:$C$9,2),"")</f>
        <v/>
      </c>
      <c r="L783" s="55"/>
      <c r="M783" s="34"/>
      <c r="N783" s="34"/>
      <c r="O783" s="34"/>
      <c r="P783" s="34"/>
      <c r="Q783" s="34"/>
      <c r="R783" s="34"/>
      <c r="S783" s="43"/>
      <c r="T783" s="43"/>
      <c r="U783" s="43"/>
      <c r="V783" s="58"/>
      <c r="W783" s="34"/>
      <c r="X783" s="34"/>
    </row>
    <row r="784" spans="1:24" x14ac:dyDescent="0.2">
      <c r="A784" s="132">
        <v>778</v>
      </c>
      <c r="B784" s="342"/>
      <c r="C784" s="34"/>
      <c r="D784" s="40" t="str">
        <f t="shared" si="25"/>
        <v>2002000778</v>
      </c>
      <c r="E784" s="34"/>
      <c r="F784" s="52"/>
      <c r="G784" s="34"/>
      <c r="H784" s="34"/>
      <c r="I784" s="278"/>
      <c r="J784" s="50" t="str">
        <f t="shared" ca="1" si="24"/>
        <v/>
      </c>
      <c r="K784" s="50" t="str">
        <f ca="1">IFERROR(VLOOKUP($J784,Ref!$B$7:$C$9,2),"")</f>
        <v/>
      </c>
      <c r="L784" s="55"/>
      <c r="M784" s="34"/>
      <c r="N784" s="34"/>
      <c r="O784" s="34"/>
      <c r="P784" s="34"/>
      <c r="Q784" s="34"/>
      <c r="R784" s="34"/>
      <c r="S784" s="43"/>
      <c r="T784" s="43"/>
      <c r="U784" s="43"/>
      <c r="V784" s="58"/>
      <c r="W784" s="34"/>
      <c r="X784" s="34"/>
    </row>
    <row r="785" spans="1:24" x14ac:dyDescent="0.2">
      <c r="A785" s="132">
        <v>779</v>
      </c>
      <c r="B785" s="342"/>
      <c r="C785" s="34"/>
      <c r="D785" s="40" t="str">
        <f t="shared" si="25"/>
        <v>2002000779</v>
      </c>
      <c r="E785" s="34"/>
      <c r="F785" s="52"/>
      <c r="G785" s="34"/>
      <c r="H785" s="34"/>
      <c r="I785" s="278"/>
      <c r="J785" s="50" t="str">
        <f t="shared" ca="1" si="24"/>
        <v/>
      </c>
      <c r="K785" s="50" t="str">
        <f ca="1">IFERROR(VLOOKUP($J785,Ref!$B$7:$C$9,2),"")</f>
        <v/>
      </c>
      <c r="L785" s="55"/>
      <c r="M785" s="34"/>
      <c r="N785" s="34"/>
      <c r="O785" s="34"/>
      <c r="P785" s="34"/>
      <c r="Q785" s="34"/>
      <c r="R785" s="34"/>
      <c r="S785" s="43"/>
      <c r="T785" s="43"/>
      <c r="U785" s="43"/>
      <c r="V785" s="58"/>
      <c r="W785" s="34"/>
      <c r="X785" s="34"/>
    </row>
    <row r="786" spans="1:24" x14ac:dyDescent="0.2">
      <c r="A786" s="132">
        <v>780</v>
      </c>
      <c r="B786" s="342"/>
      <c r="C786" s="34"/>
      <c r="D786" s="40" t="str">
        <f t="shared" si="25"/>
        <v>2002000780</v>
      </c>
      <c r="E786" s="34"/>
      <c r="F786" s="52"/>
      <c r="G786" s="34"/>
      <c r="H786" s="34"/>
      <c r="I786" s="278"/>
      <c r="J786" s="50" t="str">
        <f t="shared" ca="1" si="24"/>
        <v/>
      </c>
      <c r="K786" s="50" t="str">
        <f ca="1">IFERROR(VLOOKUP($J786,Ref!$B$7:$C$9,2),"")</f>
        <v/>
      </c>
      <c r="L786" s="55"/>
      <c r="M786" s="34"/>
      <c r="N786" s="34"/>
      <c r="O786" s="34"/>
      <c r="P786" s="34"/>
      <c r="Q786" s="34"/>
      <c r="R786" s="34"/>
      <c r="S786" s="43"/>
      <c r="T786" s="43"/>
      <c r="U786" s="43"/>
      <c r="V786" s="58"/>
      <c r="W786" s="34"/>
      <c r="X786" s="34"/>
    </row>
    <row r="787" spans="1:24" x14ac:dyDescent="0.2">
      <c r="A787" s="132">
        <v>781</v>
      </c>
      <c r="B787" s="342"/>
      <c r="C787" s="34"/>
      <c r="D787" s="40" t="str">
        <f t="shared" si="25"/>
        <v>2002000781</v>
      </c>
      <c r="E787" s="34"/>
      <c r="F787" s="52"/>
      <c r="G787" s="34"/>
      <c r="H787" s="34"/>
      <c r="I787" s="278"/>
      <c r="J787" s="50" t="str">
        <f t="shared" ca="1" si="24"/>
        <v/>
      </c>
      <c r="K787" s="50" t="str">
        <f ca="1">IFERROR(VLOOKUP($J787,Ref!$B$7:$C$9,2),"")</f>
        <v/>
      </c>
      <c r="L787" s="55"/>
      <c r="M787" s="34"/>
      <c r="N787" s="34"/>
      <c r="O787" s="34"/>
      <c r="P787" s="34"/>
      <c r="Q787" s="34"/>
      <c r="R787" s="34"/>
      <c r="S787" s="43"/>
      <c r="T787" s="43"/>
      <c r="U787" s="43"/>
      <c r="V787" s="58"/>
      <c r="W787" s="34"/>
      <c r="X787" s="34"/>
    </row>
    <row r="788" spans="1:24" x14ac:dyDescent="0.2">
      <c r="A788" s="132">
        <v>782</v>
      </c>
      <c r="B788" s="342"/>
      <c r="C788" s="34"/>
      <c r="D788" s="40" t="str">
        <f t="shared" si="25"/>
        <v>2002000782</v>
      </c>
      <c r="E788" s="34"/>
      <c r="F788" s="52"/>
      <c r="G788" s="34"/>
      <c r="H788" s="34"/>
      <c r="I788" s="278"/>
      <c r="J788" s="50" t="str">
        <f t="shared" ca="1" si="24"/>
        <v/>
      </c>
      <c r="K788" s="50" t="str">
        <f ca="1">IFERROR(VLOOKUP($J788,Ref!$B$7:$C$9,2),"")</f>
        <v/>
      </c>
      <c r="L788" s="55"/>
      <c r="M788" s="34"/>
      <c r="N788" s="34"/>
      <c r="O788" s="34"/>
      <c r="P788" s="34"/>
      <c r="Q788" s="34"/>
      <c r="R788" s="34"/>
      <c r="S788" s="43"/>
      <c r="T788" s="43"/>
      <c r="U788" s="43"/>
      <c r="V788" s="58"/>
      <c r="W788" s="34"/>
      <c r="X788" s="34"/>
    </row>
    <row r="789" spans="1:24" x14ac:dyDescent="0.2">
      <c r="A789" s="132">
        <v>783</v>
      </c>
      <c r="B789" s="342"/>
      <c r="C789" s="34"/>
      <c r="D789" s="40" t="str">
        <f t="shared" si="25"/>
        <v>2002000783</v>
      </c>
      <c r="E789" s="34"/>
      <c r="F789" s="52"/>
      <c r="G789" s="34"/>
      <c r="H789" s="34"/>
      <c r="I789" s="278"/>
      <c r="J789" s="50" t="str">
        <f t="shared" ca="1" si="24"/>
        <v/>
      </c>
      <c r="K789" s="50" t="str">
        <f ca="1">IFERROR(VLOOKUP($J789,Ref!$B$7:$C$9,2),"")</f>
        <v/>
      </c>
      <c r="L789" s="55"/>
      <c r="M789" s="34"/>
      <c r="N789" s="34"/>
      <c r="O789" s="34"/>
      <c r="P789" s="34"/>
      <c r="Q789" s="34"/>
      <c r="R789" s="34"/>
      <c r="S789" s="43"/>
      <c r="T789" s="43"/>
      <c r="U789" s="43"/>
      <c r="V789" s="58"/>
      <c r="W789" s="34"/>
      <c r="X789" s="34"/>
    </row>
    <row r="790" spans="1:24" x14ac:dyDescent="0.2">
      <c r="A790" s="132">
        <v>784</v>
      </c>
      <c r="B790" s="342"/>
      <c r="C790" s="34"/>
      <c r="D790" s="40" t="str">
        <f t="shared" si="25"/>
        <v>2002000784</v>
      </c>
      <c r="E790" s="34"/>
      <c r="F790" s="52"/>
      <c r="G790" s="34"/>
      <c r="H790" s="34"/>
      <c r="I790" s="278"/>
      <c r="J790" s="50" t="str">
        <f t="shared" ca="1" si="24"/>
        <v/>
      </c>
      <c r="K790" s="50" t="str">
        <f ca="1">IFERROR(VLOOKUP($J790,Ref!$B$7:$C$9,2),"")</f>
        <v/>
      </c>
      <c r="L790" s="55"/>
      <c r="M790" s="34"/>
      <c r="N790" s="34"/>
      <c r="O790" s="34"/>
      <c r="P790" s="34"/>
      <c r="Q790" s="34"/>
      <c r="R790" s="34"/>
      <c r="S790" s="43"/>
      <c r="T790" s="43"/>
      <c r="U790" s="43"/>
      <c r="V790" s="58"/>
      <c r="W790" s="34"/>
      <c r="X790" s="34"/>
    </row>
    <row r="791" spans="1:24" x14ac:dyDescent="0.2">
      <c r="A791" s="132">
        <v>785</v>
      </c>
      <c r="B791" s="342"/>
      <c r="C791" s="34"/>
      <c r="D791" s="40" t="str">
        <f t="shared" si="25"/>
        <v>2002000785</v>
      </c>
      <c r="E791" s="34"/>
      <c r="F791" s="52"/>
      <c r="G791" s="34"/>
      <c r="H791" s="34"/>
      <c r="I791" s="278"/>
      <c r="J791" s="50" t="str">
        <f t="shared" ca="1" si="24"/>
        <v/>
      </c>
      <c r="K791" s="50" t="str">
        <f ca="1">IFERROR(VLOOKUP($J791,Ref!$B$7:$C$9,2),"")</f>
        <v/>
      </c>
      <c r="L791" s="55"/>
      <c r="M791" s="34"/>
      <c r="N791" s="34"/>
      <c r="O791" s="34"/>
      <c r="P791" s="34"/>
      <c r="Q791" s="34"/>
      <c r="R791" s="34"/>
      <c r="S791" s="43"/>
      <c r="T791" s="43"/>
      <c r="U791" s="43"/>
      <c r="V791" s="58"/>
      <c r="W791" s="34"/>
      <c r="X791" s="34"/>
    </row>
    <row r="792" spans="1:24" x14ac:dyDescent="0.2">
      <c r="A792" s="132">
        <v>786</v>
      </c>
      <c r="B792" s="342"/>
      <c r="C792" s="34"/>
      <c r="D792" s="40" t="str">
        <f t="shared" si="25"/>
        <v>2002000786</v>
      </c>
      <c r="E792" s="34"/>
      <c r="F792" s="52"/>
      <c r="G792" s="34"/>
      <c r="H792" s="34"/>
      <c r="I792" s="278"/>
      <c r="J792" s="50" t="str">
        <f t="shared" ref="J792:J855" ca="1" si="26">IF(I792="","",(TODAY()-$I792)/365)</f>
        <v/>
      </c>
      <c r="K792" s="50" t="str">
        <f ca="1">IFERROR(VLOOKUP($J792,Ref!$B$7:$C$9,2),"")</f>
        <v/>
      </c>
      <c r="L792" s="55"/>
      <c r="M792" s="34"/>
      <c r="N792" s="34"/>
      <c r="O792" s="34"/>
      <c r="P792" s="34"/>
      <c r="Q792" s="34"/>
      <c r="R792" s="34"/>
      <c r="S792" s="43"/>
      <c r="T792" s="43"/>
      <c r="U792" s="43"/>
      <c r="V792" s="58"/>
      <c r="W792" s="34"/>
      <c r="X792" s="34"/>
    </row>
    <row r="793" spans="1:24" x14ac:dyDescent="0.2">
      <c r="A793" s="132">
        <v>787</v>
      </c>
      <c r="B793" s="342"/>
      <c r="C793" s="34"/>
      <c r="D793" s="40" t="str">
        <f t="shared" si="25"/>
        <v>2002000787</v>
      </c>
      <c r="E793" s="34"/>
      <c r="F793" s="52"/>
      <c r="G793" s="34"/>
      <c r="H793" s="34"/>
      <c r="I793" s="278"/>
      <c r="J793" s="50" t="str">
        <f t="shared" ca="1" si="26"/>
        <v/>
      </c>
      <c r="K793" s="50" t="str">
        <f ca="1">IFERROR(VLOOKUP($J793,Ref!$B$7:$C$9,2),"")</f>
        <v/>
      </c>
      <c r="L793" s="55"/>
      <c r="M793" s="34"/>
      <c r="N793" s="34"/>
      <c r="O793" s="34"/>
      <c r="P793" s="34"/>
      <c r="Q793" s="34"/>
      <c r="R793" s="34"/>
      <c r="S793" s="43"/>
      <c r="T793" s="43"/>
      <c r="U793" s="43"/>
      <c r="V793" s="58"/>
      <c r="W793" s="34"/>
      <c r="X793" s="34"/>
    </row>
    <row r="794" spans="1:24" x14ac:dyDescent="0.2">
      <c r="A794" s="132">
        <v>788</v>
      </c>
      <c r="B794" s="342"/>
      <c r="C794" s="34"/>
      <c r="D794" s="40" t="str">
        <f t="shared" si="25"/>
        <v>2002000788</v>
      </c>
      <c r="E794" s="34"/>
      <c r="F794" s="52"/>
      <c r="G794" s="34"/>
      <c r="H794" s="34"/>
      <c r="I794" s="278"/>
      <c r="J794" s="50" t="str">
        <f t="shared" ca="1" si="26"/>
        <v/>
      </c>
      <c r="K794" s="50" t="str">
        <f ca="1">IFERROR(VLOOKUP($J794,Ref!$B$7:$C$9,2),"")</f>
        <v/>
      </c>
      <c r="L794" s="55"/>
      <c r="M794" s="34"/>
      <c r="N794" s="34"/>
      <c r="O794" s="34"/>
      <c r="P794" s="34"/>
      <c r="Q794" s="34"/>
      <c r="R794" s="34"/>
      <c r="S794" s="43"/>
      <c r="T794" s="43"/>
      <c r="U794" s="43"/>
      <c r="V794" s="58"/>
      <c r="W794" s="34"/>
      <c r="X794" s="34"/>
    </row>
    <row r="795" spans="1:24" x14ac:dyDescent="0.2">
      <c r="A795" s="132">
        <v>789</v>
      </c>
      <c r="B795" s="342"/>
      <c r="C795" s="34"/>
      <c r="D795" s="40" t="str">
        <f t="shared" si="25"/>
        <v>2002000789</v>
      </c>
      <c r="E795" s="34"/>
      <c r="F795" s="52"/>
      <c r="G795" s="34"/>
      <c r="H795" s="34"/>
      <c r="I795" s="278"/>
      <c r="J795" s="50" t="str">
        <f t="shared" ca="1" si="26"/>
        <v/>
      </c>
      <c r="K795" s="50" t="str">
        <f ca="1">IFERROR(VLOOKUP($J795,Ref!$B$7:$C$9,2),"")</f>
        <v/>
      </c>
      <c r="L795" s="55"/>
      <c r="M795" s="34"/>
      <c r="N795" s="34"/>
      <c r="O795" s="34"/>
      <c r="P795" s="34"/>
      <c r="Q795" s="34"/>
      <c r="R795" s="34"/>
      <c r="S795" s="43"/>
      <c r="T795" s="43"/>
      <c r="U795" s="43"/>
      <c r="V795" s="58"/>
      <c r="W795" s="34"/>
      <c r="X795" s="34"/>
    </row>
    <row r="796" spans="1:24" x14ac:dyDescent="0.2">
      <c r="A796" s="132">
        <v>790</v>
      </c>
      <c r="B796" s="342"/>
      <c r="C796" s="34"/>
      <c r="D796" s="40" t="str">
        <f t="shared" si="25"/>
        <v>2002000790</v>
      </c>
      <c r="E796" s="34"/>
      <c r="F796" s="52"/>
      <c r="G796" s="34"/>
      <c r="H796" s="34"/>
      <c r="I796" s="278"/>
      <c r="J796" s="50" t="str">
        <f t="shared" ca="1" si="26"/>
        <v/>
      </c>
      <c r="K796" s="50" t="str">
        <f ca="1">IFERROR(VLOOKUP($J796,Ref!$B$7:$C$9,2),"")</f>
        <v/>
      </c>
      <c r="L796" s="55"/>
      <c r="M796" s="34"/>
      <c r="N796" s="34"/>
      <c r="O796" s="34"/>
      <c r="P796" s="34"/>
      <c r="Q796" s="34"/>
      <c r="R796" s="34"/>
      <c r="S796" s="43"/>
      <c r="T796" s="43"/>
      <c r="U796" s="43"/>
      <c r="V796" s="58"/>
      <c r="W796" s="34"/>
      <c r="X796" s="34"/>
    </row>
    <row r="797" spans="1:24" x14ac:dyDescent="0.2">
      <c r="A797" s="132">
        <v>791</v>
      </c>
      <c r="B797" s="342"/>
      <c r="C797" s="34"/>
      <c r="D797" s="40" t="str">
        <f t="shared" si="25"/>
        <v>2002000791</v>
      </c>
      <c r="E797" s="34"/>
      <c r="F797" s="52"/>
      <c r="G797" s="34"/>
      <c r="H797" s="34"/>
      <c r="I797" s="278"/>
      <c r="J797" s="50" t="str">
        <f t="shared" ca="1" si="26"/>
        <v/>
      </c>
      <c r="K797" s="50" t="str">
        <f ca="1">IFERROR(VLOOKUP($J797,Ref!$B$7:$C$9,2),"")</f>
        <v/>
      </c>
      <c r="L797" s="55"/>
      <c r="M797" s="34"/>
      <c r="N797" s="34"/>
      <c r="O797" s="34"/>
      <c r="P797" s="34"/>
      <c r="Q797" s="34"/>
      <c r="R797" s="34"/>
      <c r="S797" s="43"/>
      <c r="T797" s="43"/>
      <c r="U797" s="43"/>
      <c r="V797" s="58"/>
      <c r="W797" s="34"/>
      <c r="X797" s="34"/>
    </row>
    <row r="798" spans="1:24" x14ac:dyDescent="0.2">
      <c r="A798" s="132">
        <v>792</v>
      </c>
      <c r="B798" s="342"/>
      <c r="C798" s="34"/>
      <c r="D798" s="40" t="str">
        <f t="shared" si="25"/>
        <v>2002000792</v>
      </c>
      <c r="E798" s="34"/>
      <c r="F798" s="52"/>
      <c r="G798" s="34"/>
      <c r="H798" s="34"/>
      <c r="I798" s="278"/>
      <c r="J798" s="50" t="str">
        <f t="shared" ca="1" si="26"/>
        <v/>
      </c>
      <c r="K798" s="50" t="str">
        <f ca="1">IFERROR(VLOOKUP($J798,Ref!$B$7:$C$9,2),"")</f>
        <v/>
      </c>
      <c r="L798" s="55"/>
      <c r="M798" s="34"/>
      <c r="N798" s="34"/>
      <c r="O798" s="34"/>
      <c r="P798" s="34"/>
      <c r="Q798" s="34"/>
      <c r="R798" s="34"/>
      <c r="S798" s="43"/>
      <c r="T798" s="43"/>
      <c r="U798" s="43"/>
      <c r="V798" s="58"/>
      <c r="W798" s="34"/>
      <c r="X798" s="34"/>
    </row>
    <row r="799" spans="1:24" x14ac:dyDescent="0.2">
      <c r="A799" s="132">
        <v>793</v>
      </c>
      <c r="B799" s="342"/>
      <c r="C799" s="34"/>
      <c r="D799" s="40" t="str">
        <f t="shared" si="25"/>
        <v>2002000793</v>
      </c>
      <c r="E799" s="34"/>
      <c r="F799" s="52"/>
      <c r="G799" s="34"/>
      <c r="H799" s="34"/>
      <c r="I799" s="278"/>
      <c r="J799" s="50" t="str">
        <f t="shared" ca="1" si="26"/>
        <v/>
      </c>
      <c r="K799" s="50" t="str">
        <f ca="1">IFERROR(VLOOKUP($J799,Ref!$B$7:$C$9,2),"")</f>
        <v/>
      </c>
      <c r="L799" s="55"/>
      <c r="M799" s="34"/>
      <c r="N799" s="34"/>
      <c r="O799" s="34"/>
      <c r="P799" s="34"/>
      <c r="Q799" s="34"/>
      <c r="R799" s="34"/>
      <c r="S799" s="43"/>
      <c r="T799" s="43"/>
      <c r="U799" s="43"/>
      <c r="V799" s="58"/>
      <c r="W799" s="34"/>
      <c r="X799" s="34"/>
    </row>
    <row r="800" spans="1:24" x14ac:dyDescent="0.2">
      <c r="A800" s="132">
        <v>794</v>
      </c>
      <c r="B800" s="342"/>
      <c r="C800" s="34"/>
      <c r="D800" s="40" t="str">
        <f t="shared" si="25"/>
        <v>2002000794</v>
      </c>
      <c r="E800" s="34"/>
      <c r="F800" s="52"/>
      <c r="G800" s="34"/>
      <c r="H800" s="34"/>
      <c r="I800" s="278"/>
      <c r="J800" s="50" t="str">
        <f t="shared" ca="1" si="26"/>
        <v/>
      </c>
      <c r="K800" s="50" t="str">
        <f ca="1">IFERROR(VLOOKUP($J800,Ref!$B$7:$C$9,2),"")</f>
        <v/>
      </c>
      <c r="L800" s="55"/>
      <c r="M800" s="34"/>
      <c r="N800" s="34"/>
      <c r="O800" s="34"/>
      <c r="P800" s="34"/>
      <c r="Q800" s="34"/>
      <c r="R800" s="34"/>
      <c r="S800" s="43"/>
      <c r="T800" s="43"/>
      <c r="U800" s="43"/>
      <c r="V800" s="58"/>
      <c r="W800" s="34"/>
      <c r="X800" s="34"/>
    </row>
    <row r="801" spans="1:24" x14ac:dyDescent="0.2">
      <c r="A801" s="132">
        <v>795</v>
      </c>
      <c r="B801" s="342"/>
      <c r="C801" s="34"/>
      <c r="D801" s="40" t="str">
        <f t="shared" si="25"/>
        <v>2002000795</v>
      </c>
      <c r="E801" s="34"/>
      <c r="F801" s="52"/>
      <c r="G801" s="34"/>
      <c r="H801" s="34"/>
      <c r="I801" s="278"/>
      <c r="J801" s="50" t="str">
        <f t="shared" ca="1" si="26"/>
        <v/>
      </c>
      <c r="K801" s="50" t="str">
        <f ca="1">IFERROR(VLOOKUP($J801,Ref!$B$7:$C$9,2),"")</f>
        <v/>
      </c>
      <c r="L801" s="55"/>
      <c r="M801" s="34"/>
      <c r="N801" s="34"/>
      <c r="O801" s="34"/>
      <c r="P801" s="34"/>
      <c r="Q801" s="34"/>
      <c r="R801" s="34"/>
      <c r="S801" s="43"/>
      <c r="T801" s="43"/>
      <c r="U801" s="43"/>
      <c r="V801" s="58"/>
      <c r="W801" s="34"/>
      <c r="X801" s="34"/>
    </row>
    <row r="802" spans="1:24" x14ac:dyDescent="0.2">
      <c r="A802" s="132">
        <v>796</v>
      </c>
      <c r="B802" s="342"/>
      <c r="C802" s="34"/>
      <c r="D802" s="40" t="str">
        <f t="shared" si="25"/>
        <v>2002000796</v>
      </c>
      <c r="E802" s="34"/>
      <c r="F802" s="52"/>
      <c r="G802" s="34"/>
      <c r="H802" s="34"/>
      <c r="I802" s="278"/>
      <c r="J802" s="50" t="str">
        <f t="shared" ca="1" si="26"/>
        <v/>
      </c>
      <c r="K802" s="50" t="str">
        <f ca="1">IFERROR(VLOOKUP($J802,Ref!$B$7:$C$9,2),"")</f>
        <v/>
      </c>
      <c r="L802" s="55"/>
      <c r="M802" s="34"/>
      <c r="N802" s="34"/>
      <c r="O802" s="34"/>
      <c r="P802" s="34"/>
      <c r="Q802" s="34"/>
      <c r="R802" s="34"/>
      <c r="S802" s="43"/>
      <c r="T802" s="43"/>
      <c r="U802" s="43"/>
      <c r="V802" s="58"/>
      <c r="W802" s="34"/>
      <c r="X802" s="34"/>
    </row>
    <row r="803" spans="1:24" x14ac:dyDescent="0.2">
      <c r="A803" s="132">
        <v>797</v>
      </c>
      <c r="B803" s="342"/>
      <c r="C803" s="34"/>
      <c r="D803" s="40" t="str">
        <f t="shared" si="25"/>
        <v>2002000797</v>
      </c>
      <c r="E803" s="34"/>
      <c r="F803" s="52"/>
      <c r="G803" s="34"/>
      <c r="H803" s="34"/>
      <c r="I803" s="278"/>
      <c r="J803" s="50" t="str">
        <f t="shared" ca="1" si="26"/>
        <v/>
      </c>
      <c r="K803" s="50" t="str">
        <f ca="1">IFERROR(VLOOKUP($J803,Ref!$B$7:$C$9,2),"")</f>
        <v/>
      </c>
      <c r="L803" s="55"/>
      <c r="M803" s="34"/>
      <c r="N803" s="34"/>
      <c r="O803" s="34"/>
      <c r="P803" s="34"/>
      <c r="Q803" s="34"/>
      <c r="R803" s="34"/>
      <c r="S803" s="43"/>
      <c r="T803" s="43"/>
      <c r="U803" s="43"/>
      <c r="V803" s="58"/>
      <c r="W803" s="34"/>
      <c r="X803" s="34"/>
    </row>
    <row r="804" spans="1:24" x14ac:dyDescent="0.2">
      <c r="A804" s="132">
        <v>798</v>
      </c>
      <c r="B804" s="342"/>
      <c r="C804" s="34"/>
      <c r="D804" s="40" t="str">
        <f t="shared" si="25"/>
        <v>2002000798</v>
      </c>
      <c r="E804" s="34"/>
      <c r="F804" s="52"/>
      <c r="G804" s="34"/>
      <c r="H804" s="34"/>
      <c r="I804" s="278"/>
      <c r="J804" s="50" t="str">
        <f t="shared" ca="1" si="26"/>
        <v/>
      </c>
      <c r="K804" s="50" t="str">
        <f ca="1">IFERROR(VLOOKUP($J804,Ref!$B$7:$C$9,2),"")</f>
        <v/>
      </c>
      <c r="L804" s="55"/>
      <c r="M804" s="34"/>
      <c r="N804" s="34"/>
      <c r="O804" s="34"/>
      <c r="P804" s="34"/>
      <c r="Q804" s="34"/>
      <c r="R804" s="34"/>
      <c r="S804" s="43"/>
      <c r="T804" s="43"/>
      <c r="U804" s="43"/>
      <c r="V804" s="58"/>
      <c r="W804" s="34"/>
      <c r="X804" s="34"/>
    </row>
    <row r="805" spans="1:24" x14ac:dyDescent="0.2">
      <c r="A805" s="132">
        <v>799</v>
      </c>
      <c r="B805" s="342"/>
      <c r="C805" s="34"/>
      <c r="D805" s="40" t="str">
        <f t="shared" si="25"/>
        <v>2002000799</v>
      </c>
      <c r="E805" s="34"/>
      <c r="F805" s="52"/>
      <c r="G805" s="34"/>
      <c r="H805" s="34"/>
      <c r="I805" s="278"/>
      <c r="J805" s="50" t="str">
        <f t="shared" ca="1" si="26"/>
        <v/>
      </c>
      <c r="K805" s="50" t="str">
        <f ca="1">IFERROR(VLOOKUP($J805,Ref!$B$7:$C$9,2),"")</f>
        <v/>
      </c>
      <c r="L805" s="55"/>
      <c r="M805" s="34"/>
      <c r="N805" s="34"/>
      <c r="O805" s="34"/>
      <c r="P805" s="34"/>
      <c r="Q805" s="34"/>
      <c r="R805" s="34"/>
      <c r="S805" s="43"/>
      <c r="T805" s="43"/>
      <c r="U805" s="43"/>
      <c r="V805" s="58"/>
      <c r="W805" s="34"/>
      <c r="X805" s="34"/>
    </row>
    <row r="806" spans="1:24" x14ac:dyDescent="0.2">
      <c r="A806" s="132">
        <v>800</v>
      </c>
      <c r="B806" s="342"/>
      <c r="C806" s="34"/>
      <c r="D806" s="40" t="str">
        <f t="shared" si="25"/>
        <v>2002000800</v>
      </c>
      <c r="E806" s="34"/>
      <c r="F806" s="52"/>
      <c r="G806" s="34"/>
      <c r="H806" s="34"/>
      <c r="I806" s="278"/>
      <c r="J806" s="50" t="str">
        <f t="shared" ca="1" si="26"/>
        <v/>
      </c>
      <c r="K806" s="50" t="str">
        <f ca="1">IFERROR(VLOOKUP($J806,Ref!$B$7:$C$9,2),"")</f>
        <v/>
      </c>
      <c r="L806" s="55"/>
      <c r="M806" s="34"/>
      <c r="N806" s="34"/>
      <c r="O806" s="34"/>
      <c r="P806" s="34"/>
      <c r="Q806" s="34"/>
      <c r="R806" s="34"/>
      <c r="S806" s="43"/>
      <c r="T806" s="43"/>
      <c r="U806" s="43"/>
      <c r="V806" s="58"/>
      <c r="W806" s="34"/>
      <c r="X806" s="34"/>
    </row>
    <row r="807" spans="1:24" x14ac:dyDescent="0.2">
      <c r="A807" s="132">
        <v>801</v>
      </c>
      <c r="B807" s="342"/>
      <c r="C807" s="34"/>
      <c r="D807" s="40" t="str">
        <f t="shared" si="25"/>
        <v>2002000801</v>
      </c>
      <c r="E807" s="34"/>
      <c r="F807" s="52"/>
      <c r="G807" s="34"/>
      <c r="H807" s="34"/>
      <c r="I807" s="278"/>
      <c r="J807" s="50" t="str">
        <f t="shared" ca="1" si="26"/>
        <v/>
      </c>
      <c r="K807" s="50" t="str">
        <f ca="1">IFERROR(VLOOKUP($J807,Ref!$B$7:$C$9,2),"")</f>
        <v/>
      </c>
      <c r="L807" s="55"/>
      <c r="M807" s="34"/>
      <c r="N807" s="34"/>
      <c r="O807" s="34"/>
      <c r="P807" s="34"/>
      <c r="Q807" s="34"/>
      <c r="R807" s="34"/>
      <c r="S807" s="43"/>
      <c r="T807" s="43"/>
      <c r="U807" s="43"/>
      <c r="V807" s="58"/>
      <c r="W807" s="34"/>
      <c r="X807" s="34"/>
    </row>
    <row r="808" spans="1:24" x14ac:dyDescent="0.2">
      <c r="A808" s="132">
        <v>802</v>
      </c>
      <c r="B808" s="342"/>
      <c r="C808" s="34"/>
      <c r="D808" s="40" t="str">
        <f t="shared" si="25"/>
        <v>2002000802</v>
      </c>
      <c r="E808" s="34"/>
      <c r="F808" s="52"/>
      <c r="G808" s="34"/>
      <c r="H808" s="34"/>
      <c r="I808" s="278"/>
      <c r="J808" s="50" t="str">
        <f t="shared" ca="1" si="26"/>
        <v/>
      </c>
      <c r="K808" s="50" t="str">
        <f ca="1">IFERROR(VLOOKUP($J808,Ref!$B$7:$C$9,2),"")</f>
        <v/>
      </c>
      <c r="L808" s="55"/>
      <c r="M808" s="34"/>
      <c r="N808" s="34"/>
      <c r="O808" s="34"/>
      <c r="P808" s="34"/>
      <c r="Q808" s="34"/>
      <c r="R808" s="34"/>
      <c r="S808" s="43"/>
      <c r="T808" s="43"/>
      <c r="U808" s="43"/>
      <c r="V808" s="58"/>
      <c r="W808" s="34"/>
      <c r="X808" s="34"/>
    </row>
    <row r="809" spans="1:24" x14ac:dyDescent="0.2">
      <c r="A809" s="132">
        <v>803</v>
      </c>
      <c r="B809" s="342"/>
      <c r="C809" s="34"/>
      <c r="D809" s="40" t="str">
        <f t="shared" si="25"/>
        <v>2002000803</v>
      </c>
      <c r="E809" s="34"/>
      <c r="F809" s="52"/>
      <c r="G809" s="34"/>
      <c r="H809" s="34"/>
      <c r="I809" s="278"/>
      <c r="J809" s="50" t="str">
        <f t="shared" ca="1" si="26"/>
        <v/>
      </c>
      <c r="K809" s="50" t="str">
        <f ca="1">IFERROR(VLOOKUP($J809,Ref!$B$7:$C$9,2),"")</f>
        <v/>
      </c>
      <c r="L809" s="55"/>
      <c r="M809" s="34"/>
      <c r="N809" s="34"/>
      <c r="O809" s="34"/>
      <c r="P809" s="34"/>
      <c r="Q809" s="34"/>
      <c r="R809" s="34"/>
      <c r="S809" s="43"/>
      <c r="T809" s="43"/>
      <c r="U809" s="43"/>
      <c r="V809" s="58"/>
      <c r="W809" s="34"/>
      <c r="X809" s="34"/>
    </row>
    <row r="810" spans="1:24" x14ac:dyDescent="0.2">
      <c r="A810" s="132">
        <v>804</v>
      </c>
      <c r="B810" s="342"/>
      <c r="C810" s="34"/>
      <c r="D810" s="40" t="str">
        <f t="shared" si="25"/>
        <v>2002000804</v>
      </c>
      <c r="E810" s="34"/>
      <c r="F810" s="52"/>
      <c r="G810" s="34"/>
      <c r="H810" s="34"/>
      <c r="I810" s="278"/>
      <c r="J810" s="50" t="str">
        <f t="shared" ca="1" si="26"/>
        <v/>
      </c>
      <c r="K810" s="50" t="str">
        <f ca="1">IFERROR(VLOOKUP($J810,Ref!$B$7:$C$9,2),"")</f>
        <v/>
      </c>
      <c r="L810" s="55"/>
      <c r="M810" s="34"/>
      <c r="N810" s="34"/>
      <c r="O810" s="34"/>
      <c r="P810" s="34"/>
      <c r="Q810" s="34"/>
      <c r="R810" s="34"/>
      <c r="S810" s="43"/>
      <c r="T810" s="43"/>
      <c r="U810" s="43"/>
      <c r="V810" s="58"/>
      <c r="W810" s="34"/>
      <c r="X810" s="34"/>
    </row>
    <row r="811" spans="1:24" x14ac:dyDescent="0.2">
      <c r="A811" s="132">
        <v>805</v>
      </c>
      <c r="B811" s="342"/>
      <c r="C811" s="34"/>
      <c r="D811" s="40" t="str">
        <f t="shared" si="25"/>
        <v>2002000805</v>
      </c>
      <c r="E811" s="34"/>
      <c r="F811" s="52"/>
      <c r="G811" s="34"/>
      <c r="H811" s="34"/>
      <c r="I811" s="278"/>
      <c r="J811" s="50" t="str">
        <f t="shared" ca="1" si="26"/>
        <v/>
      </c>
      <c r="K811" s="50" t="str">
        <f ca="1">IFERROR(VLOOKUP($J811,Ref!$B$7:$C$9,2),"")</f>
        <v/>
      </c>
      <c r="L811" s="55"/>
      <c r="M811" s="34"/>
      <c r="N811" s="34"/>
      <c r="O811" s="34"/>
      <c r="P811" s="34"/>
      <c r="Q811" s="34"/>
      <c r="R811" s="34"/>
      <c r="S811" s="43"/>
      <c r="T811" s="43"/>
      <c r="U811" s="43"/>
      <c r="V811" s="58"/>
      <c r="W811" s="34"/>
      <c r="X811" s="34"/>
    </row>
    <row r="812" spans="1:24" x14ac:dyDescent="0.2">
      <c r="A812" s="132">
        <v>806</v>
      </c>
      <c r="B812" s="342"/>
      <c r="C812" s="34"/>
      <c r="D812" s="40" t="str">
        <f t="shared" si="25"/>
        <v>2002000806</v>
      </c>
      <c r="E812" s="34"/>
      <c r="F812" s="52"/>
      <c r="G812" s="34"/>
      <c r="H812" s="34"/>
      <c r="I812" s="278"/>
      <c r="J812" s="50" t="str">
        <f t="shared" ca="1" si="26"/>
        <v/>
      </c>
      <c r="K812" s="50" t="str">
        <f ca="1">IFERROR(VLOOKUP($J812,Ref!$B$7:$C$9,2),"")</f>
        <v/>
      </c>
      <c r="L812" s="55"/>
      <c r="M812" s="34"/>
      <c r="N812" s="34"/>
      <c r="O812" s="34"/>
      <c r="P812" s="34"/>
      <c r="Q812" s="34"/>
      <c r="R812" s="34"/>
      <c r="S812" s="43"/>
      <c r="T812" s="43"/>
      <c r="U812" s="43"/>
      <c r="V812" s="58"/>
      <c r="W812" s="34"/>
      <c r="X812" s="34"/>
    </row>
    <row r="813" spans="1:24" x14ac:dyDescent="0.2">
      <c r="A813" s="132">
        <v>807</v>
      </c>
      <c r="B813" s="342"/>
      <c r="C813" s="34"/>
      <c r="D813" s="40" t="str">
        <f t="shared" si="25"/>
        <v>2002000807</v>
      </c>
      <c r="E813" s="34"/>
      <c r="F813" s="52"/>
      <c r="G813" s="34"/>
      <c r="H813" s="34"/>
      <c r="I813" s="278"/>
      <c r="J813" s="50" t="str">
        <f t="shared" ca="1" si="26"/>
        <v/>
      </c>
      <c r="K813" s="50" t="str">
        <f ca="1">IFERROR(VLOOKUP($J813,Ref!$B$7:$C$9,2),"")</f>
        <v/>
      </c>
      <c r="L813" s="55"/>
      <c r="M813" s="34"/>
      <c r="N813" s="34"/>
      <c r="O813" s="34"/>
      <c r="P813" s="34"/>
      <c r="Q813" s="34"/>
      <c r="R813" s="34"/>
      <c r="S813" s="43"/>
      <c r="T813" s="43"/>
      <c r="U813" s="43"/>
      <c r="V813" s="58"/>
      <c r="W813" s="34"/>
      <c r="X813" s="34"/>
    </row>
    <row r="814" spans="1:24" x14ac:dyDescent="0.2">
      <c r="A814" s="132">
        <v>808</v>
      </c>
      <c r="B814" s="342"/>
      <c r="C814" s="34"/>
      <c r="D814" s="40" t="str">
        <f t="shared" si="25"/>
        <v>2002000808</v>
      </c>
      <c r="E814" s="34"/>
      <c r="F814" s="52"/>
      <c r="G814" s="34"/>
      <c r="H814" s="34"/>
      <c r="I814" s="278"/>
      <c r="J814" s="50" t="str">
        <f t="shared" ca="1" si="26"/>
        <v/>
      </c>
      <c r="K814" s="50" t="str">
        <f ca="1">IFERROR(VLOOKUP($J814,Ref!$B$7:$C$9,2),"")</f>
        <v/>
      </c>
      <c r="L814" s="55"/>
      <c r="M814" s="34"/>
      <c r="N814" s="34"/>
      <c r="O814" s="34"/>
      <c r="P814" s="34"/>
      <c r="Q814" s="34"/>
      <c r="R814" s="34"/>
      <c r="S814" s="43"/>
      <c r="T814" s="43"/>
      <c r="U814" s="43"/>
      <c r="V814" s="58"/>
      <c r="W814" s="34"/>
      <c r="X814" s="34"/>
    </row>
    <row r="815" spans="1:24" x14ac:dyDescent="0.2">
      <c r="A815" s="132">
        <v>809</v>
      </c>
      <c r="B815" s="342"/>
      <c r="C815" s="34"/>
      <c r="D815" s="40" t="str">
        <f t="shared" si="25"/>
        <v>2002000809</v>
      </c>
      <c r="E815" s="34"/>
      <c r="F815" s="52"/>
      <c r="G815" s="34"/>
      <c r="H815" s="34"/>
      <c r="I815" s="278"/>
      <c r="J815" s="50" t="str">
        <f t="shared" ca="1" si="26"/>
        <v/>
      </c>
      <c r="K815" s="50" t="str">
        <f ca="1">IFERROR(VLOOKUP($J815,Ref!$B$7:$C$9,2),"")</f>
        <v/>
      </c>
      <c r="L815" s="55"/>
      <c r="M815" s="34"/>
      <c r="N815" s="34"/>
      <c r="O815" s="34"/>
      <c r="P815" s="34"/>
      <c r="Q815" s="34"/>
      <c r="R815" s="34"/>
      <c r="S815" s="43"/>
      <c r="T815" s="43"/>
      <c r="U815" s="43"/>
      <c r="V815" s="58"/>
      <c r="W815" s="34"/>
      <c r="X815" s="34"/>
    </row>
    <row r="816" spans="1:24" x14ac:dyDescent="0.2">
      <c r="A816" s="132">
        <v>810</v>
      </c>
      <c r="B816" s="342"/>
      <c r="C816" s="34"/>
      <c r="D816" s="40" t="str">
        <f t="shared" si="25"/>
        <v>2002000810</v>
      </c>
      <c r="E816" s="34"/>
      <c r="F816" s="52"/>
      <c r="G816" s="34"/>
      <c r="H816" s="34"/>
      <c r="I816" s="278"/>
      <c r="J816" s="50" t="str">
        <f t="shared" ca="1" si="26"/>
        <v/>
      </c>
      <c r="K816" s="50" t="str">
        <f ca="1">IFERROR(VLOOKUP($J816,Ref!$B$7:$C$9,2),"")</f>
        <v/>
      </c>
      <c r="L816" s="55"/>
      <c r="M816" s="34"/>
      <c r="N816" s="34"/>
      <c r="O816" s="34"/>
      <c r="P816" s="34"/>
      <c r="Q816" s="34"/>
      <c r="R816" s="34"/>
      <c r="S816" s="43"/>
      <c r="T816" s="43"/>
      <c r="U816" s="43"/>
      <c r="V816" s="58"/>
      <c r="W816" s="34"/>
      <c r="X816" s="34"/>
    </row>
    <row r="817" spans="1:24" x14ac:dyDescent="0.2">
      <c r="A817" s="132">
        <v>811</v>
      </c>
      <c r="B817" s="342"/>
      <c r="C817" s="34"/>
      <c r="D817" s="40" t="str">
        <f t="shared" si="25"/>
        <v>2002000811</v>
      </c>
      <c r="E817" s="34"/>
      <c r="F817" s="52"/>
      <c r="G817" s="34"/>
      <c r="H817" s="34"/>
      <c r="I817" s="278"/>
      <c r="J817" s="50" t="str">
        <f t="shared" ca="1" si="26"/>
        <v/>
      </c>
      <c r="K817" s="50" t="str">
        <f ca="1">IFERROR(VLOOKUP($J817,Ref!$B$7:$C$9,2),"")</f>
        <v/>
      </c>
      <c r="L817" s="55"/>
      <c r="M817" s="34"/>
      <c r="N817" s="34"/>
      <c r="O817" s="34"/>
      <c r="P817" s="34"/>
      <c r="Q817" s="34"/>
      <c r="R817" s="34"/>
      <c r="S817" s="43"/>
      <c r="T817" s="43"/>
      <c r="U817" s="43"/>
      <c r="V817" s="58"/>
      <c r="W817" s="34"/>
      <c r="X817" s="34"/>
    </row>
    <row r="818" spans="1:24" x14ac:dyDescent="0.2">
      <c r="A818" s="132">
        <v>812</v>
      </c>
      <c r="B818" s="342"/>
      <c r="C818" s="34"/>
      <c r="D818" s="40" t="str">
        <f t="shared" si="25"/>
        <v>2002000812</v>
      </c>
      <c r="E818" s="34"/>
      <c r="F818" s="52"/>
      <c r="G818" s="34"/>
      <c r="H818" s="34"/>
      <c r="I818" s="278"/>
      <c r="J818" s="50" t="str">
        <f t="shared" ca="1" si="26"/>
        <v/>
      </c>
      <c r="K818" s="50" t="str">
        <f ca="1">IFERROR(VLOOKUP($J818,Ref!$B$7:$C$9,2),"")</f>
        <v/>
      </c>
      <c r="L818" s="55"/>
      <c r="M818" s="34"/>
      <c r="N818" s="34"/>
      <c r="O818" s="34"/>
      <c r="P818" s="34"/>
      <c r="Q818" s="34"/>
      <c r="R818" s="34"/>
      <c r="S818" s="43"/>
      <c r="T818" s="43"/>
      <c r="U818" s="43"/>
      <c r="V818" s="58"/>
      <c r="W818" s="34"/>
      <c r="X818" s="34"/>
    </row>
    <row r="819" spans="1:24" x14ac:dyDescent="0.2">
      <c r="A819" s="132">
        <v>813</v>
      </c>
      <c r="B819" s="342"/>
      <c r="C819" s="34"/>
      <c r="D819" s="40" t="str">
        <f t="shared" si="25"/>
        <v>2002000813</v>
      </c>
      <c r="E819" s="34"/>
      <c r="F819" s="52"/>
      <c r="G819" s="34"/>
      <c r="H819" s="34"/>
      <c r="I819" s="278"/>
      <c r="J819" s="50" t="str">
        <f t="shared" ca="1" si="26"/>
        <v/>
      </c>
      <c r="K819" s="50" t="str">
        <f ca="1">IFERROR(VLOOKUP($J819,Ref!$B$7:$C$9,2),"")</f>
        <v/>
      </c>
      <c r="L819" s="55"/>
      <c r="M819" s="34"/>
      <c r="N819" s="34"/>
      <c r="O819" s="34"/>
      <c r="P819" s="34"/>
      <c r="Q819" s="34"/>
      <c r="R819" s="34"/>
      <c r="S819" s="43"/>
      <c r="T819" s="43"/>
      <c r="U819" s="43"/>
      <c r="V819" s="58"/>
      <c r="W819" s="34"/>
      <c r="X819" s="34"/>
    </row>
    <row r="820" spans="1:24" x14ac:dyDescent="0.2">
      <c r="A820" s="132">
        <v>814</v>
      </c>
      <c r="B820" s="342"/>
      <c r="C820" s="34"/>
      <c r="D820" s="40" t="str">
        <f t="shared" si="25"/>
        <v>2002000814</v>
      </c>
      <c r="E820" s="34"/>
      <c r="F820" s="52"/>
      <c r="G820" s="34"/>
      <c r="H820" s="34"/>
      <c r="I820" s="278"/>
      <c r="J820" s="50" t="str">
        <f t="shared" ca="1" si="26"/>
        <v/>
      </c>
      <c r="K820" s="50" t="str">
        <f ca="1">IFERROR(VLOOKUP($J820,Ref!$B$7:$C$9,2),"")</f>
        <v/>
      </c>
      <c r="L820" s="55"/>
      <c r="M820" s="34"/>
      <c r="N820" s="34"/>
      <c r="O820" s="34"/>
      <c r="P820" s="34"/>
      <c r="Q820" s="34"/>
      <c r="R820" s="34"/>
      <c r="S820" s="43"/>
      <c r="T820" s="43"/>
      <c r="U820" s="43"/>
      <c r="V820" s="58"/>
      <c r="W820" s="34"/>
      <c r="X820" s="34"/>
    </row>
    <row r="821" spans="1:24" x14ac:dyDescent="0.2">
      <c r="A821" s="132">
        <v>815</v>
      </c>
      <c r="B821" s="342"/>
      <c r="C821" s="34"/>
      <c r="D821" s="40" t="str">
        <f t="shared" si="25"/>
        <v>2002000815</v>
      </c>
      <c r="E821" s="34"/>
      <c r="F821" s="52"/>
      <c r="G821" s="34"/>
      <c r="H821" s="34"/>
      <c r="I821" s="278"/>
      <c r="J821" s="50" t="str">
        <f t="shared" ca="1" si="26"/>
        <v/>
      </c>
      <c r="K821" s="50" t="str">
        <f ca="1">IFERROR(VLOOKUP($J821,Ref!$B$7:$C$9,2),"")</f>
        <v/>
      </c>
      <c r="L821" s="55"/>
      <c r="M821" s="34"/>
      <c r="N821" s="34"/>
      <c r="O821" s="34"/>
      <c r="P821" s="34"/>
      <c r="Q821" s="34"/>
      <c r="R821" s="34"/>
      <c r="S821" s="43"/>
      <c r="T821" s="43"/>
      <c r="U821" s="43"/>
      <c r="V821" s="58"/>
      <c r="W821" s="34"/>
      <c r="X821" s="34"/>
    </row>
    <row r="822" spans="1:24" x14ac:dyDescent="0.2">
      <c r="A822" s="132">
        <v>816</v>
      </c>
      <c r="B822" s="342"/>
      <c r="C822" s="34"/>
      <c r="D822" s="40" t="str">
        <f t="shared" si="25"/>
        <v>2002000816</v>
      </c>
      <c r="E822" s="34"/>
      <c r="F822" s="52"/>
      <c r="G822" s="34"/>
      <c r="H822" s="34"/>
      <c r="I822" s="278"/>
      <c r="J822" s="50" t="str">
        <f t="shared" ca="1" si="26"/>
        <v/>
      </c>
      <c r="K822" s="50" t="str">
        <f ca="1">IFERROR(VLOOKUP($J822,Ref!$B$7:$C$9,2),"")</f>
        <v/>
      </c>
      <c r="L822" s="55"/>
      <c r="M822" s="34"/>
      <c r="N822" s="34"/>
      <c r="O822" s="34"/>
      <c r="P822" s="34"/>
      <c r="Q822" s="34"/>
      <c r="R822" s="34"/>
      <c r="S822" s="43"/>
      <c r="T822" s="43"/>
      <c r="U822" s="43"/>
      <c r="V822" s="58"/>
      <c r="W822" s="34"/>
      <c r="X822" s="34"/>
    </row>
    <row r="823" spans="1:24" x14ac:dyDescent="0.2">
      <c r="A823" s="132">
        <v>817</v>
      </c>
      <c r="B823" s="342"/>
      <c r="C823" s="34"/>
      <c r="D823" s="40" t="str">
        <f t="shared" si="25"/>
        <v>2002000817</v>
      </c>
      <c r="E823" s="34"/>
      <c r="F823" s="52"/>
      <c r="G823" s="34"/>
      <c r="H823" s="34"/>
      <c r="I823" s="278"/>
      <c r="J823" s="50" t="str">
        <f t="shared" ca="1" si="26"/>
        <v/>
      </c>
      <c r="K823" s="50" t="str">
        <f ca="1">IFERROR(VLOOKUP($J823,Ref!$B$7:$C$9,2),"")</f>
        <v/>
      </c>
      <c r="L823" s="55"/>
      <c r="M823" s="34"/>
      <c r="N823" s="34"/>
      <c r="O823" s="34"/>
      <c r="P823" s="34"/>
      <c r="Q823" s="34"/>
      <c r="R823" s="34"/>
      <c r="S823" s="43"/>
      <c r="T823" s="43"/>
      <c r="U823" s="43"/>
      <c r="V823" s="58"/>
      <c r="W823" s="34"/>
      <c r="X823" s="34"/>
    </row>
    <row r="824" spans="1:24" x14ac:dyDescent="0.2">
      <c r="A824" s="132">
        <v>818</v>
      </c>
      <c r="B824" s="342"/>
      <c r="C824" s="34"/>
      <c r="D824" s="40" t="str">
        <f t="shared" si="25"/>
        <v>2002000818</v>
      </c>
      <c r="E824" s="34"/>
      <c r="F824" s="52"/>
      <c r="G824" s="34"/>
      <c r="H824" s="34"/>
      <c r="I824" s="278"/>
      <c r="J824" s="50" t="str">
        <f t="shared" ca="1" si="26"/>
        <v/>
      </c>
      <c r="K824" s="50" t="str">
        <f ca="1">IFERROR(VLOOKUP($J824,Ref!$B$7:$C$9,2),"")</f>
        <v/>
      </c>
      <c r="L824" s="55"/>
      <c r="M824" s="34"/>
      <c r="N824" s="34"/>
      <c r="O824" s="34"/>
      <c r="P824" s="34"/>
      <c r="Q824" s="34"/>
      <c r="R824" s="34"/>
      <c r="S824" s="43"/>
      <c r="T824" s="43"/>
      <c r="U824" s="43"/>
      <c r="V824" s="58"/>
      <c r="W824" s="34"/>
      <c r="X824" s="34"/>
    </row>
    <row r="825" spans="1:24" x14ac:dyDescent="0.2">
      <c r="A825" s="132">
        <v>819</v>
      </c>
      <c r="B825" s="342"/>
      <c r="C825" s="34"/>
      <c r="D825" s="40" t="str">
        <f t="shared" si="25"/>
        <v>2002000819</v>
      </c>
      <c r="E825" s="34"/>
      <c r="F825" s="52"/>
      <c r="G825" s="34"/>
      <c r="H825" s="34"/>
      <c r="I825" s="278"/>
      <c r="J825" s="50" t="str">
        <f t="shared" ca="1" si="26"/>
        <v/>
      </c>
      <c r="K825" s="50" t="str">
        <f ca="1">IFERROR(VLOOKUP($J825,Ref!$B$7:$C$9,2),"")</f>
        <v/>
      </c>
      <c r="L825" s="55"/>
      <c r="M825" s="34"/>
      <c r="N825" s="34"/>
      <c r="O825" s="34"/>
      <c r="P825" s="34"/>
      <c r="Q825" s="34"/>
      <c r="R825" s="34"/>
      <c r="S825" s="43"/>
      <c r="T825" s="43"/>
      <c r="U825" s="43"/>
      <c r="V825" s="58"/>
      <c r="W825" s="34"/>
      <c r="X825" s="34"/>
    </row>
    <row r="826" spans="1:24" x14ac:dyDescent="0.2">
      <c r="A826" s="132">
        <v>820</v>
      </c>
      <c r="B826" s="342"/>
      <c r="C826" s="34"/>
      <c r="D826" s="40" t="str">
        <f t="shared" si="25"/>
        <v>2002000820</v>
      </c>
      <c r="E826" s="34"/>
      <c r="F826" s="52"/>
      <c r="G826" s="34"/>
      <c r="H826" s="34"/>
      <c r="I826" s="278"/>
      <c r="J826" s="50" t="str">
        <f t="shared" ca="1" si="26"/>
        <v/>
      </c>
      <c r="K826" s="50" t="str">
        <f ca="1">IFERROR(VLOOKUP($J826,Ref!$B$7:$C$9,2),"")</f>
        <v/>
      </c>
      <c r="L826" s="55"/>
      <c r="M826" s="34"/>
      <c r="N826" s="34"/>
      <c r="O826" s="34"/>
      <c r="P826" s="34"/>
      <c r="Q826" s="34"/>
      <c r="R826" s="34"/>
      <c r="S826" s="43"/>
      <c r="T826" s="43"/>
      <c r="U826" s="43"/>
      <c r="V826" s="58"/>
      <c r="W826" s="34"/>
      <c r="X826" s="34"/>
    </row>
    <row r="827" spans="1:24" x14ac:dyDescent="0.2">
      <c r="A827" s="132">
        <v>821</v>
      </c>
      <c r="B827" s="342"/>
      <c r="C827" s="34"/>
      <c r="D827" s="40" t="str">
        <f t="shared" si="25"/>
        <v>2002000821</v>
      </c>
      <c r="E827" s="34"/>
      <c r="F827" s="52"/>
      <c r="G827" s="34"/>
      <c r="H827" s="34"/>
      <c r="I827" s="278"/>
      <c r="J827" s="50" t="str">
        <f t="shared" ca="1" si="26"/>
        <v/>
      </c>
      <c r="K827" s="50" t="str">
        <f ca="1">IFERROR(VLOOKUP($J827,Ref!$B$7:$C$9,2),"")</f>
        <v/>
      </c>
      <c r="L827" s="55"/>
      <c r="M827" s="34"/>
      <c r="N827" s="34"/>
      <c r="O827" s="34"/>
      <c r="P827" s="34"/>
      <c r="Q827" s="34"/>
      <c r="R827" s="34"/>
      <c r="S827" s="43"/>
      <c r="T827" s="43"/>
      <c r="U827" s="43"/>
      <c r="V827" s="58"/>
      <c r="W827" s="34"/>
      <c r="X827" s="34"/>
    </row>
    <row r="828" spans="1:24" x14ac:dyDescent="0.2">
      <c r="A828" s="132">
        <v>822</v>
      </c>
      <c r="B828" s="342"/>
      <c r="C828" s="34"/>
      <c r="D828" s="40" t="str">
        <f t="shared" si="25"/>
        <v>2002000822</v>
      </c>
      <c r="E828" s="34"/>
      <c r="F828" s="52"/>
      <c r="G828" s="34"/>
      <c r="H828" s="34"/>
      <c r="I828" s="278"/>
      <c r="J828" s="50" t="str">
        <f t="shared" ca="1" si="26"/>
        <v/>
      </c>
      <c r="K828" s="50" t="str">
        <f ca="1">IFERROR(VLOOKUP($J828,Ref!$B$7:$C$9,2),"")</f>
        <v/>
      </c>
      <c r="L828" s="55"/>
      <c r="M828" s="34"/>
      <c r="N828" s="34"/>
      <c r="O828" s="34"/>
      <c r="P828" s="34"/>
      <c r="Q828" s="34"/>
      <c r="R828" s="34"/>
      <c r="S828" s="43"/>
      <c r="T828" s="43"/>
      <c r="U828" s="43"/>
      <c r="V828" s="58"/>
      <c r="W828" s="34"/>
      <c r="X828" s="34"/>
    </row>
    <row r="829" spans="1:24" x14ac:dyDescent="0.2">
      <c r="A829" s="132">
        <v>823</v>
      </c>
      <c r="B829" s="342"/>
      <c r="C829" s="34"/>
      <c r="D829" s="40" t="str">
        <f t="shared" si="25"/>
        <v>2002000823</v>
      </c>
      <c r="E829" s="34"/>
      <c r="F829" s="52"/>
      <c r="G829" s="34"/>
      <c r="H829" s="34"/>
      <c r="I829" s="278"/>
      <c r="J829" s="50" t="str">
        <f t="shared" ca="1" si="26"/>
        <v/>
      </c>
      <c r="K829" s="50" t="str">
        <f ca="1">IFERROR(VLOOKUP($J829,Ref!$B$7:$C$9,2),"")</f>
        <v/>
      </c>
      <c r="L829" s="55"/>
      <c r="M829" s="34"/>
      <c r="N829" s="34"/>
      <c r="O829" s="34"/>
      <c r="P829" s="34"/>
      <c r="Q829" s="34"/>
      <c r="R829" s="34"/>
      <c r="S829" s="43"/>
      <c r="T829" s="43"/>
      <c r="U829" s="43"/>
      <c r="V829" s="58"/>
      <c r="W829" s="34"/>
      <c r="X829" s="34"/>
    </row>
    <row r="830" spans="1:24" x14ac:dyDescent="0.2">
      <c r="A830" s="132">
        <v>824</v>
      </c>
      <c r="B830" s="342"/>
      <c r="C830" s="34"/>
      <c r="D830" s="40" t="str">
        <f t="shared" si="25"/>
        <v>2002000824</v>
      </c>
      <c r="E830" s="34"/>
      <c r="F830" s="52"/>
      <c r="G830" s="34"/>
      <c r="H830" s="34"/>
      <c r="I830" s="278"/>
      <c r="J830" s="50" t="str">
        <f t="shared" ca="1" si="26"/>
        <v/>
      </c>
      <c r="K830" s="50" t="str">
        <f ca="1">IFERROR(VLOOKUP($J830,Ref!$B$7:$C$9,2),"")</f>
        <v/>
      </c>
      <c r="L830" s="55"/>
      <c r="M830" s="34"/>
      <c r="N830" s="34"/>
      <c r="O830" s="34"/>
      <c r="P830" s="34"/>
      <c r="Q830" s="34"/>
      <c r="R830" s="34"/>
      <c r="S830" s="43"/>
      <c r="T830" s="43"/>
      <c r="U830" s="43"/>
      <c r="V830" s="58"/>
      <c r="W830" s="34"/>
      <c r="X830" s="34"/>
    </row>
    <row r="831" spans="1:24" x14ac:dyDescent="0.2">
      <c r="A831" s="132">
        <v>825</v>
      </c>
      <c r="B831" s="342"/>
      <c r="C831" s="34"/>
      <c r="D831" s="40" t="str">
        <f t="shared" si="25"/>
        <v>2002000825</v>
      </c>
      <c r="E831" s="34"/>
      <c r="F831" s="52"/>
      <c r="G831" s="34"/>
      <c r="H831" s="34"/>
      <c r="I831" s="278"/>
      <c r="J831" s="50" t="str">
        <f t="shared" ca="1" si="26"/>
        <v/>
      </c>
      <c r="K831" s="50" t="str">
        <f ca="1">IFERROR(VLOOKUP($J831,Ref!$B$7:$C$9,2),"")</f>
        <v/>
      </c>
      <c r="L831" s="55"/>
      <c r="M831" s="34"/>
      <c r="N831" s="34"/>
      <c r="O831" s="34"/>
      <c r="P831" s="34"/>
      <c r="Q831" s="34"/>
      <c r="R831" s="34"/>
      <c r="S831" s="43"/>
      <c r="T831" s="43"/>
      <c r="U831" s="43"/>
      <c r="V831" s="58"/>
      <c r="W831" s="34"/>
      <c r="X831" s="34"/>
    </row>
    <row r="832" spans="1:24" x14ac:dyDescent="0.2">
      <c r="A832" s="132">
        <v>826</v>
      </c>
      <c r="B832" s="342"/>
      <c r="C832" s="34"/>
      <c r="D832" s="40" t="str">
        <f t="shared" si="25"/>
        <v>2002000826</v>
      </c>
      <c r="E832" s="34"/>
      <c r="F832" s="52"/>
      <c r="G832" s="34"/>
      <c r="H832" s="34"/>
      <c r="I832" s="278"/>
      <c r="J832" s="50" t="str">
        <f t="shared" ca="1" si="26"/>
        <v/>
      </c>
      <c r="K832" s="50" t="str">
        <f ca="1">IFERROR(VLOOKUP($J832,Ref!$B$7:$C$9,2),"")</f>
        <v/>
      </c>
      <c r="L832" s="55"/>
      <c r="M832" s="34"/>
      <c r="N832" s="34"/>
      <c r="O832" s="34"/>
      <c r="P832" s="34"/>
      <c r="Q832" s="34"/>
      <c r="R832" s="34"/>
      <c r="S832" s="43"/>
      <c r="T832" s="43"/>
      <c r="U832" s="43"/>
      <c r="V832" s="58"/>
      <c r="W832" s="34"/>
      <c r="X832" s="34"/>
    </row>
    <row r="833" spans="1:24" x14ac:dyDescent="0.2">
      <c r="A833" s="132">
        <v>827</v>
      </c>
      <c r="B833" s="342"/>
      <c r="C833" s="34"/>
      <c r="D833" s="40" t="str">
        <f t="shared" si="25"/>
        <v>2002000827</v>
      </c>
      <c r="E833" s="34"/>
      <c r="F833" s="52"/>
      <c r="G833" s="34"/>
      <c r="H833" s="34"/>
      <c r="I833" s="278"/>
      <c r="J833" s="50" t="str">
        <f t="shared" ca="1" si="26"/>
        <v/>
      </c>
      <c r="K833" s="50" t="str">
        <f ca="1">IFERROR(VLOOKUP($J833,Ref!$B$7:$C$9,2),"")</f>
        <v/>
      </c>
      <c r="L833" s="55"/>
      <c r="M833" s="34"/>
      <c r="N833" s="34"/>
      <c r="O833" s="34"/>
      <c r="P833" s="34"/>
      <c r="Q833" s="34"/>
      <c r="R833" s="34"/>
      <c r="S833" s="43"/>
      <c r="T833" s="43"/>
      <c r="U833" s="43"/>
      <c r="V833" s="58"/>
      <c r="W833" s="34"/>
      <c r="X833" s="34"/>
    </row>
    <row r="834" spans="1:24" x14ac:dyDescent="0.2">
      <c r="A834" s="132">
        <v>828</v>
      </c>
      <c r="B834" s="342"/>
      <c r="C834" s="34"/>
      <c r="D834" s="40" t="str">
        <f t="shared" si="25"/>
        <v>2002000828</v>
      </c>
      <c r="E834" s="34"/>
      <c r="F834" s="52"/>
      <c r="G834" s="34"/>
      <c r="H834" s="34"/>
      <c r="I834" s="278"/>
      <c r="J834" s="50" t="str">
        <f t="shared" ca="1" si="26"/>
        <v/>
      </c>
      <c r="K834" s="50" t="str">
        <f ca="1">IFERROR(VLOOKUP($J834,Ref!$B$7:$C$9,2),"")</f>
        <v/>
      </c>
      <c r="L834" s="55"/>
      <c r="M834" s="34"/>
      <c r="N834" s="34"/>
      <c r="O834" s="34"/>
      <c r="P834" s="34"/>
      <c r="Q834" s="34"/>
      <c r="R834" s="34"/>
      <c r="S834" s="43"/>
      <c r="T834" s="43"/>
      <c r="U834" s="43"/>
      <c r="V834" s="58"/>
      <c r="W834" s="34"/>
      <c r="X834" s="34"/>
    </row>
    <row r="835" spans="1:24" x14ac:dyDescent="0.2">
      <c r="A835" s="132">
        <v>829</v>
      </c>
      <c r="B835" s="342"/>
      <c r="C835" s="34"/>
      <c r="D835" s="40" t="str">
        <f t="shared" si="25"/>
        <v>2002000829</v>
      </c>
      <c r="E835" s="34"/>
      <c r="F835" s="52"/>
      <c r="G835" s="34"/>
      <c r="H835" s="34"/>
      <c r="I835" s="278"/>
      <c r="J835" s="50" t="str">
        <f t="shared" ca="1" si="26"/>
        <v/>
      </c>
      <c r="K835" s="50" t="str">
        <f ca="1">IFERROR(VLOOKUP($J835,Ref!$B$7:$C$9,2),"")</f>
        <v/>
      </c>
      <c r="L835" s="55"/>
      <c r="M835" s="34"/>
      <c r="N835" s="34"/>
      <c r="O835" s="34"/>
      <c r="P835" s="34"/>
      <c r="Q835" s="34"/>
      <c r="R835" s="34"/>
      <c r="S835" s="43"/>
      <c r="T835" s="43"/>
      <c r="U835" s="43"/>
      <c r="V835" s="58"/>
      <c r="W835" s="34"/>
      <c r="X835" s="34"/>
    </row>
    <row r="836" spans="1:24" x14ac:dyDescent="0.2">
      <c r="A836" s="132">
        <v>830</v>
      </c>
      <c r="B836" s="342"/>
      <c r="C836" s="34"/>
      <c r="D836" s="40" t="str">
        <f t="shared" si="25"/>
        <v>2002000830</v>
      </c>
      <c r="E836" s="34"/>
      <c r="F836" s="52"/>
      <c r="G836" s="34"/>
      <c r="H836" s="34"/>
      <c r="I836" s="278"/>
      <c r="J836" s="50" t="str">
        <f t="shared" ca="1" si="26"/>
        <v/>
      </c>
      <c r="K836" s="50" t="str">
        <f ca="1">IFERROR(VLOOKUP($J836,Ref!$B$7:$C$9,2),"")</f>
        <v/>
      </c>
      <c r="L836" s="55"/>
      <c r="M836" s="34"/>
      <c r="N836" s="34"/>
      <c r="O836" s="34"/>
      <c r="P836" s="34"/>
      <c r="Q836" s="34"/>
      <c r="R836" s="34"/>
      <c r="S836" s="43"/>
      <c r="T836" s="43"/>
      <c r="U836" s="43"/>
      <c r="V836" s="58"/>
      <c r="W836" s="34"/>
      <c r="X836" s="34"/>
    </row>
    <row r="837" spans="1:24" x14ac:dyDescent="0.2">
      <c r="A837" s="132">
        <v>831</v>
      </c>
      <c r="B837" s="342"/>
      <c r="C837" s="34"/>
      <c r="D837" s="40" t="str">
        <f t="shared" si="25"/>
        <v>2002000831</v>
      </c>
      <c r="E837" s="34"/>
      <c r="F837" s="52"/>
      <c r="G837" s="34"/>
      <c r="H837" s="34"/>
      <c r="I837" s="278"/>
      <c r="J837" s="50" t="str">
        <f t="shared" ca="1" si="26"/>
        <v/>
      </c>
      <c r="K837" s="50" t="str">
        <f ca="1">IFERROR(VLOOKUP($J837,Ref!$B$7:$C$9,2),"")</f>
        <v/>
      </c>
      <c r="L837" s="55"/>
      <c r="M837" s="34"/>
      <c r="N837" s="34"/>
      <c r="O837" s="34"/>
      <c r="P837" s="34"/>
      <c r="Q837" s="34"/>
      <c r="R837" s="34"/>
      <c r="S837" s="43"/>
      <c r="T837" s="43"/>
      <c r="U837" s="43"/>
      <c r="V837" s="58"/>
      <c r="W837" s="34"/>
      <c r="X837" s="34"/>
    </row>
    <row r="838" spans="1:24" x14ac:dyDescent="0.2">
      <c r="A838" s="132">
        <v>832</v>
      </c>
      <c r="B838" s="342"/>
      <c r="C838" s="34"/>
      <c r="D838" s="40" t="str">
        <f t="shared" si="25"/>
        <v>2002000832</v>
      </c>
      <c r="E838" s="34"/>
      <c r="F838" s="52"/>
      <c r="G838" s="34"/>
      <c r="H838" s="34"/>
      <c r="I838" s="278"/>
      <c r="J838" s="50" t="str">
        <f t="shared" ca="1" si="26"/>
        <v/>
      </c>
      <c r="K838" s="50" t="str">
        <f ca="1">IFERROR(VLOOKUP($J838,Ref!$B$7:$C$9,2),"")</f>
        <v/>
      </c>
      <c r="L838" s="55"/>
      <c r="M838" s="34"/>
      <c r="N838" s="34"/>
      <c r="O838" s="34"/>
      <c r="P838" s="34"/>
      <c r="Q838" s="34"/>
      <c r="R838" s="34"/>
      <c r="S838" s="43"/>
      <c r="T838" s="43"/>
      <c r="U838" s="43"/>
      <c r="V838" s="58"/>
      <c r="W838" s="34"/>
      <c r="X838" s="34"/>
    </row>
    <row r="839" spans="1:24" x14ac:dyDescent="0.2">
      <c r="A839" s="132">
        <v>833</v>
      </c>
      <c r="B839" s="342"/>
      <c r="C839" s="34"/>
      <c r="D839" s="40" t="str">
        <f t="shared" si="25"/>
        <v>2002000833</v>
      </c>
      <c r="E839" s="34"/>
      <c r="F839" s="52"/>
      <c r="G839" s="34"/>
      <c r="H839" s="34"/>
      <c r="I839" s="278"/>
      <c r="J839" s="50" t="str">
        <f t="shared" ca="1" si="26"/>
        <v/>
      </c>
      <c r="K839" s="50" t="str">
        <f ca="1">IFERROR(VLOOKUP($J839,Ref!$B$7:$C$9,2),"")</f>
        <v/>
      </c>
      <c r="L839" s="55"/>
      <c r="M839" s="34"/>
      <c r="N839" s="34"/>
      <c r="O839" s="34"/>
      <c r="P839" s="34"/>
      <c r="Q839" s="34"/>
      <c r="R839" s="34"/>
      <c r="S839" s="43"/>
      <c r="T839" s="43"/>
      <c r="U839" s="43"/>
      <c r="V839" s="58"/>
      <c r="W839" s="34"/>
      <c r="X839" s="34"/>
    </row>
    <row r="840" spans="1:24" x14ac:dyDescent="0.2">
      <c r="A840" s="132">
        <v>834</v>
      </c>
      <c r="B840" s="342"/>
      <c r="C840" s="34"/>
      <c r="D840" s="40" t="str">
        <f t="shared" ref="D840:D903" si="27">IF(A840="","",LEFT($C$3,LEN($C$3)-LEN(A840))&amp;A840)</f>
        <v>2002000834</v>
      </c>
      <c r="E840" s="34"/>
      <c r="F840" s="52"/>
      <c r="G840" s="34"/>
      <c r="H840" s="34"/>
      <c r="I840" s="278"/>
      <c r="J840" s="50" t="str">
        <f t="shared" ca="1" si="26"/>
        <v/>
      </c>
      <c r="K840" s="50" t="str">
        <f ca="1">IFERROR(VLOOKUP($J840,Ref!$B$7:$C$9,2),"")</f>
        <v/>
      </c>
      <c r="L840" s="55"/>
      <c r="M840" s="34"/>
      <c r="N840" s="34"/>
      <c r="O840" s="34"/>
      <c r="P840" s="34"/>
      <c r="Q840" s="34"/>
      <c r="R840" s="34"/>
      <c r="S840" s="43"/>
      <c r="T840" s="43"/>
      <c r="U840" s="43"/>
      <c r="V840" s="58"/>
      <c r="W840" s="34"/>
      <c r="X840" s="34"/>
    </row>
    <row r="841" spans="1:24" x14ac:dyDescent="0.2">
      <c r="A841" s="132">
        <v>835</v>
      </c>
      <c r="B841" s="342"/>
      <c r="C841" s="34"/>
      <c r="D841" s="40" t="str">
        <f t="shared" si="27"/>
        <v>2002000835</v>
      </c>
      <c r="E841" s="34"/>
      <c r="F841" s="52"/>
      <c r="G841" s="34"/>
      <c r="H841" s="34"/>
      <c r="I841" s="278"/>
      <c r="J841" s="50" t="str">
        <f t="shared" ca="1" si="26"/>
        <v/>
      </c>
      <c r="K841" s="50" t="str">
        <f ca="1">IFERROR(VLOOKUP($J841,Ref!$B$7:$C$9,2),"")</f>
        <v/>
      </c>
      <c r="L841" s="55"/>
      <c r="M841" s="34"/>
      <c r="N841" s="34"/>
      <c r="O841" s="34"/>
      <c r="P841" s="34"/>
      <c r="Q841" s="34"/>
      <c r="R841" s="34"/>
      <c r="S841" s="43"/>
      <c r="T841" s="43"/>
      <c r="U841" s="43"/>
      <c r="V841" s="58"/>
      <c r="W841" s="34"/>
      <c r="X841" s="34"/>
    </row>
    <row r="842" spans="1:24" x14ac:dyDescent="0.2">
      <c r="A842" s="132">
        <v>836</v>
      </c>
      <c r="B842" s="342"/>
      <c r="C842" s="34"/>
      <c r="D842" s="40" t="str">
        <f t="shared" si="27"/>
        <v>2002000836</v>
      </c>
      <c r="E842" s="34"/>
      <c r="F842" s="52"/>
      <c r="G842" s="34"/>
      <c r="H842" s="34"/>
      <c r="I842" s="278"/>
      <c r="J842" s="50" t="str">
        <f t="shared" ca="1" si="26"/>
        <v/>
      </c>
      <c r="K842" s="50" t="str">
        <f ca="1">IFERROR(VLOOKUP($J842,Ref!$B$7:$C$9,2),"")</f>
        <v/>
      </c>
      <c r="L842" s="55"/>
      <c r="M842" s="34"/>
      <c r="N842" s="34"/>
      <c r="O842" s="34"/>
      <c r="P842" s="34"/>
      <c r="Q842" s="34"/>
      <c r="R842" s="34"/>
      <c r="S842" s="43"/>
      <c r="T842" s="43"/>
      <c r="U842" s="43"/>
      <c r="V842" s="58"/>
      <c r="W842" s="34"/>
      <c r="X842" s="34"/>
    </row>
    <row r="843" spans="1:24" x14ac:dyDescent="0.2">
      <c r="A843" s="132">
        <v>837</v>
      </c>
      <c r="B843" s="342"/>
      <c r="C843" s="34"/>
      <c r="D843" s="40" t="str">
        <f t="shared" si="27"/>
        <v>2002000837</v>
      </c>
      <c r="E843" s="34"/>
      <c r="F843" s="52"/>
      <c r="G843" s="34"/>
      <c r="H843" s="34"/>
      <c r="I843" s="278"/>
      <c r="J843" s="50" t="str">
        <f t="shared" ca="1" si="26"/>
        <v/>
      </c>
      <c r="K843" s="50" t="str">
        <f ca="1">IFERROR(VLOOKUP($J843,Ref!$B$7:$C$9,2),"")</f>
        <v/>
      </c>
      <c r="L843" s="55"/>
      <c r="M843" s="34"/>
      <c r="N843" s="34"/>
      <c r="O843" s="34"/>
      <c r="P843" s="34"/>
      <c r="Q843" s="34"/>
      <c r="R843" s="34"/>
      <c r="S843" s="43"/>
      <c r="T843" s="43"/>
      <c r="U843" s="43"/>
      <c r="V843" s="58"/>
      <c r="W843" s="34"/>
      <c r="X843" s="34"/>
    </row>
    <row r="844" spans="1:24" x14ac:dyDescent="0.2">
      <c r="A844" s="132">
        <v>838</v>
      </c>
      <c r="B844" s="342"/>
      <c r="C844" s="34"/>
      <c r="D844" s="40" t="str">
        <f t="shared" si="27"/>
        <v>2002000838</v>
      </c>
      <c r="E844" s="34"/>
      <c r="F844" s="52"/>
      <c r="G844" s="34"/>
      <c r="H844" s="34"/>
      <c r="I844" s="278"/>
      <c r="J844" s="50" t="str">
        <f t="shared" ca="1" si="26"/>
        <v/>
      </c>
      <c r="K844" s="50" t="str">
        <f ca="1">IFERROR(VLOOKUP($J844,Ref!$B$7:$C$9,2),"")</f>
        <v/>
      </c>
      <c r="L844" s="55"/>
      <c r="M844" s="34"/>
      <c r="N844" s="34"/>
      <c r="O844" s="34"/>
      <c r="P844" s="34"/>
      <c r="Q844" s="34"/>
      <c r="R844" s="34"/>
      <c r="S844" s="43"/>
      <c r="T844" s="43"/>
      <c r="U844" s="43"/>
      <c r="V844" s="58"/>
      <c r="W844" s="34"/>
      <c r="X844" s="34"/>
    </row>
    <row r="845" spans="1:24" x14ac:dyDescent="0.2">
      <c r="A845" s="132">
        <v>839</v>
      </c>
      <c r="B845" s="342"/>
      <c r="C845" s="34"/>
      <c r="D845" s="40" t="str">
        <f t="shared" si="27"/>
        <v>2002000839</v>
      </c>
      <c r="E845" s="34"/>
      <c r="F845" s="52"/>
      <c r="G845" s="34"/>
      <c r="H845" s="34"/>
      <c r="I845" s="278"/>
      <c r="J845" s="50" t="str">
        <f t="shared" ca="1" si="26"/>
        <v/>
      </c>
      <c r="K845" s="50" t="str">
        <f ca="1">IFERROR(VLOOKUP($J845,Ref!$B$7:$C$9,2),"")</f>
        <v/>
      </c>
      <c r="L845" s="55"/>
      <c r="M845" s="34"/>
      <c r="N845" s="34"/>
      <c r="O845" s="34"/>
      <c r="P845" s="34"/>
      <c r="Q845" s="34"/>
      <c r="R845" s="34"/>
      <c r="S845" s="43"/>
      <c r="T845" s="43"/>
      <c r="U845" s="43"/>
      <c r="V845" s="58"/>
      <c r="W845" s="34"/>
      <c r="X845" s="34"/>
    </row>
    <row r="846" spans="1:24" x14ac:dyDescent="0.2">
      <c r="A846" s="132">
        <v>840</v>
      </c>
      <c r="B846" s="342"/>
      <c r="C846" s="34"/>
      <c r="D846" s="40" t="str">
        <f t="shared" si="27"/>
        <v>2002000840</v>
      </c>
      <c r="E846" s="34"/>
      <c r="F846" s="52"/>
      <c r="G846" s="34"/>
      <c r="H846" s="34"/>
      <c r="I846" s="278"/>
      <c r="J846" s="50" t="str">
        <f t="shared" ca="1" si="26"/>
        <v/>
      </c>
      <c r="K846" s="50" t="str">
        <f ca="1">IFERROR(VLOOKUP($J846,Ref!$B$7:$C$9,2),"")</f>
        <v/>
      </c>
      <c r="L846" s="55"/>
      <c r="M846" s="34"/>
      <c r="N846" s="34"/>
      <c r="O846" s="34"/>
      <c r="P846" s="34"/>
      <c r="Q846" s="34"/>
      <c r="R846" s="34"/>
      <c r="S846" s="43"/>
      <c r="T846" s="43"/>
      <c r="U846" s="43"/>
      <c r="V846" s="58"/>
      <c r="W846" s="34"/>
      <c r="X846" s="34"/>
    </row>
    <row r="847" spans="1:24" x14ac:dyDescent="0.2">
      <c r="A847" s="132">
        <v>841</v>
      </c>
      <c r="B847" s="342"/>
      <c r="C847" s="34"/>
      <c r="D847" s="40" t="str">
        <f t="shared" si="27"/>
        <v>2002000841</v>
      </c>
      <c r="E847" s="34"/>
      <c r="F847" s="52"/>
      <c r="G847" s="34"/>
      <c r="H847" s="34"/>
      <c r="I847" s="278"/>
      <c r="J847" s="50" t="str">
        <f t="shared" ca="1" si="26"/>
        <v/>
      </c>
      <c r="K847" s="50" t="str">
        <f ca="1">IFERROR(VLOOKUP($J847,Ref!$B$7:$C$9,2),"")</f>
        <v/>
      </c>
      <c r="L847" s="55"/>
      <c r="M847" s="34"/>
      <c r="N847" s="34"/>
      <c r="O847" s="34"/>
      <c r="P847" s="34"/>
      <c r="Q847" s="34"/>
      <c r="R847" s="34"/>
      <c r="S847" s="43"/>
      <c r="T847" s="43"/>
      <c r="U847" s="43"/>
      <c r="V847" s="58"/>
      <c r="W847" s="34"/>
      <c r="X847" s="34"/>
    </row>
    <row r="848" spans="1:24" x14ac:dyDescent="0.2">
      <c r="A848" s="132">
        <v>842</v>
      </c>
      <c r="B848" s="342"/>
      <c r="C848" s="34"/>
      <c r="D848" s="40" t="str">
        <f t="shared" si="27"/>
        <v>2002000842</v>
      </c>
      <c r="E848" s="34"/>
      <c r="F848" s="52"/>
      <c r="G848" s="34"/>
      <c r="H848" s="34"/>
      <c r="I848" s="278"/>
      <c r="J848" s="50" t="str">
        <f t="shared" ca="1" si="26"/>
        <v/>
      </c>
      <c r="K848" s="50" t="str">
        <f ca="1">IFERROR(VLOOKUP($J848,Ref!$B$7:$C$9,2),"")</f>
        <v/>
      </c>
      <c r="L848" s="55"/>
      <c r="M848" s="34"/>
      <c r="N848" s="34"/>
      <c r="O848" s="34"/>
      <c r="P848" s="34"/>
      <c r="Q848" s="34"/>
      <c r="R848" s="34"/>
      <c r="S848" s="43"/>
      <c r="T848" s="43"/>
      <c r="U848" s="43"/>
      <c r="V848" s="58"/>
      <c r="W848" s="34"/>
      <c r="X848" s="34"/>
    </row>
    <row r="849" spans="1:24" x14ac:dyDescent="0.2">
      <c r="A849" s="132">
        <v>843</v>
      </c>
      <c r="B849" s="342"/>
      <c r="C849" s="34"/>
      <c r="D849" s="40" t="str">
        <f t="shared" si="27"/>
        <v>2002000843</v>
      </c>
      <c r="E849" s="34"/>
      <c r="F849" s="52"/>
      <c r="G849" s="34"/>
      <c r="H849" s="34"/>
      <c r="I849" s="278"/>
      <c r="J849" s="50" t="str">
        <f t="shared" ca="1" si="26"/>
        <v/>
      </c>
      <c r="K849" s="50" t="str">
        <f ca="1">IFERROR(VLOOKUP($J849,Ref!$B$7:$C$9,2),"")</f>
        <v/>
      </c>
      <c r="L849" s="55"/>
      <c r="M849" s="34"/>
      <c r="N849" s="34"/>
      <c r="O849" s="34"/>
      <c r="P849" s="34"/>
      <c r="Q849" s="34"/>
      <c r="R849" s="34"/>
      <c r="S849" s="43"/>
      <c r="T849" s="43"/>
      <c r="U849" s="43"/>
      <c r="V849" s="58"/>
      <c r="W849" s="34"/>
      <c r="X849" s="34"/>
    </row>
    <row r="850" spans="1:24" x14ac:dyDescent="0.2">
      <c r="A850" s="132">
        <v>844</v>
      </c>
      <c r="B850" s="342"/>
      <c r="C850" s="34"/>
      <c r="D850" s="40" t="str">
        <f t="shared" si="27"/>
        <v>2002000844</v>
      </c>
      <c r="E850" s="34"/>
      <c r="F850" s="52"/>
      <c r="G850" s="34"/>
      <c r="H850" s="34"/>
      <c r="I850" s="278"/>
      <c r="J850" s="50" t="str">
        <f t="shared" ca="1" si="26"/>
        <v/>
      </c>
      <c r="K850" s="50" t="str">
        <f ca="1">IFERROR(VLOOKUP($J850,Ref!$B$7:$C$9,2),"")</f>
        <v/>
      </c>
      <c r="L850" s="55"/>
      <c r="M850" s="34"/>
      <c r="N850" s="34"/>
      <c r="O850" s="34"/>
      <c r="P850" s="34"/>
      <c r="Q850" s="34"/>
      <c r="R850" s="34"/>
      <c r="S850" s="43"/>
      <c r="T850" s="43"/>
      <c r="U850" s="43"/>
      <c r="V850" s="58"/>
      <c r="W850" s="34"/>
      <c r="X850" s="34"/>
    </row>
    <row r="851" spans="1:24" x14ac:dyDescent="0.2">
      <c r="A851" s="132">
        <v>845</v>
      </c>
      <c r="B851" s="342"/>
      <c r="C851" s="34"/>
      <c r="D851" s="40" t="str">
        <f t="shared" si="27"/>
        <v>2002000845</v>
      </c>
      <c r="E851" s="34"/>
      <c r="F851" s="52"/>
      <c r="G851" s="34"/>
      <c r="H851" s="34"/>
      <c r="I851" s="278"/>
      <c r="J851" s="50" t="str">
        <f t="shared" ca="1" si="26"/>
        <v/>
      </c>
      <c r="K851" s="50" t="str">
        <f ca="1">IFERROR(VLOOKUP($J851,Ref!$B$7:$C$9,2),"")</f>
        <v/>
      </c>
      <c r="L851" s="55"/>
      <c r="M851" s="34"/>
      <c r="N851" s="34"/>
      <c r="O851" s="34"/>
      <c r="P851" s="34"/>
      <c r="Q851" s="34"/>
      <c r="R851" s="34"/>
      <c r="S851" s="43"/>
      <c r="T851" s="43"/>
      <c r="U851" s="43"/>
      <c r="V851" s="58"/>
      <c r="W851" s="34"/>
      <c r="X851" s="34"/>
    </row>
    <row r="852" spans="1:24" x14ac:dyDescent="0.2">
      <c r="A852" s="132">
        <v>846</v>
      </c>
      <c r="B852" s="342"/>
      <c r="C852" s="34"/>
      <c r="D852" s="40" t="str">
        <f t="shared" si="27"/>
        <v>2002000846</v>
      </c>
      <c r="E852" s="34"/>
      <c r="F852" s="52"/>
      <c r="G852" s="34"/>
      <c r="H852" s="34"/>
      <c r="I852" s="278"/>
      <c r="J852" s="50" t="str">
        <f t="shared" ca="1" si="26"/>
        <v/>
      </c>
      <c r="K852" s="50" t="str">
        <f ca="1">IFERROR(VLOOKUP($J852,Ref!$B$7:$C$9,2),"")</f>
        <v/>
      </c>
      <c r="L852" s="55"/>
      <c r="M852" s="34"/>
      <c r="N852" s="34"/>
      <c r="O852" s="34"/>
      <c r="P852" s="34"/>
      <c r="Q852" s="34"/>
      <c r="R852" s="34"/>
      <c r="S852" s="43"/>
      <c r="T852" s="43"/>
      <c r="U852" s="43"/>
      <c r="V852" s="58"/>
      <c r="W852" s="34"/>
      <c r="X852" s="34"/>
    </row>
    <row r="853" spans="1:24" x14ac:dyDescent="0.2">
      <c r="A853" s="132">
        <v>847</v>
      </c>
      <c r="B853" s="342"/>
      <c r="C853" s="34"/>
      <c r="D853" s="40" t="str">
        <f t="shared" si="27"/>
        <v>2002000847</v>
      </c>
      <c r="E853" s="34"/>
      <c r="F853" s="52"/>
      <c r="G853" s="34"/>
      <c r="H853" s="34"/>
      <c r="I853" s="278"/>
      <c r="J853" s="50" t="str">
        <f t="shared" ca="1" si="26"/>
        <v/>
      </c>
      <c r="K853" s="50" t="str">
        <f ca="1">IFERROR(VLOOKUP($J853,Ref!$B$7:$C$9,2),"")</f>
        <v/>
      </c>
      <c r="L853" s="55"/>
      <c r="M853" s="34"/>
      <c r="N853" s="34"/>
      <c r="O853" s="34"/>
      <c r="P853" s="34"/>
      <c r="Q853" s="34"/>
      <c r="R853" s="34"/>
      <c r="S853" s="43"/>
      <c r="T853" s="43"/>
      <c r="U853" s="43"/>
      <c r="V853" s="58"/>
      <c r="W853" s="34"/>
      <c r="X853" s="34"/>
    </row>
    <row r="854" spans="1:24" x14ac:dyDescent="0.2">
      <c r="A854" s="132">
        <v>848</v>
      </c>
      <c r="B854" s="342"/>
      <c r="C854" s="34"/>
      <c r="D854" s="40" t="str">
        <f t="shared" si="27"/>
        <v>2002000848</v>
      </c>
      <c r="E854" s="34"/>
      <c r="F854" s="52"/>
      <c r="G854" s="34"/>
      <c r="H854" s="34"/>
      <c r="I854" s="278"/>
      <c r="J854" s="50" t="str">
        <f t="shared" ca="1" si="26"/>
        <v/>
      </c>
      <c r="K854" s="50" t="str">
        <f ca="1">IFERROR(VLOOKUP($J854,Ref!$B$7:$C$9,2),"")</f>
        <v/>
      </c>
      <c r="L854" s="55"/>
      <c r="M854" s="34"/>
      <c r="N854" s="34"/>
      <c r="O854" s="34"/>
      <c r="P854" s="34"/>
      <c r="Q854" s="34"/>
      <c r="R854" s="34"/>
      <c r="S854" s="43"/>
      <c r="T854" s="43"/>
      <c r="U854" s="43"/>
      <c r="V854" s="58"/>
      <c r="W854" s="34"/>
      <c r="X854" s="34"/>
    </row>
    <row r="855" spans="1:24" x14ac:dyDescent="0.2">
      <c r="A855" s="132">
        <v>849</v>
      </c>
      <c r="B855" s="342"/>
      <c r="C855" s="34"/>
      <c r="D855" s="40" t="str">
        <f t="shared" si="27"/>
        <v>2002000849</v>
      </c>
      <c r="E855" s="34"/>
      <c r="F855" s="52"/>
      <c r="G855" s="34"/>
      <c r="H855" s="34"/>
      <c r="I855" s="278"/>
      <c r="J855" s="50" t="str">
        <f t="shared" ca="1" si="26"/>
        <v/>
      </c>
      <c r="K855" s="50" t="str">
        <f ca="1">IFERROR(VLOOKUP($J855,Ref!$B$7:$C$9,2),"")</f>
        <v/>
      </c>
      <c r="L855" s="55"/>
      <c r="M855" s="34"/>
      <c r="N855" s="34"/>
      <c r="O855" s="34"/>
      <c r="P855" s="34"/>
      <c r="Q855" s="34"/>
      <c r="R855" s="34"/>
      <c r="S855" s="43"/>
      <c r="T855" s="43"/>
      <c r="U855" s="43"/>
      <c r="V855" s="58"/>
      <c r="W855" s="34"/>
      <c r="X855" s="34"/>
    </row>
    <row r="856" spans="1:24" x14ac:dyDescent="0.2">
      <c r="A856" s="132">
        <v>850</v>
      </c>
      <c r="B856" s="342"/>
      <c r="C856" s="34"/>
      <c r="D856" s="40" t="str">
        <f t="shared" si="27"/>
        <v>2002000850</v>
      </c>
      <c r="E856" s="34"/>
      <c r="F856" s="52"/>
      <c r="G856" s="34"/>
      <c r="H856" s="34"/>
      <c r="I856" s="278"/>
      <c r="J856" s="50" t="str">
        <f t="shared" ref="J856:J919" ca="1" si="28">IF(I856="","",(TODAY()-$I856)/365)</f>
        <v/>
      </c>
      <c r="K856" s="50" t="str">
        <f ca="1">IFERROR(VLOOKUP($J856,Ref!$B$7:$C$9,2),"")</f>
        <v/>
      </c>
      <c r="L856" s="55"/>
      <c r="M856" s="34"/>
      <c r="N856" s="34"/>
      <c r="O856" s="34"/>
      <c r="P856" s="34"/>
      <c r="Q856" s="34"/>
      <c r="R856" s="34"/>
      <c r="S856" s="43"/>
      <c r="T856" s="43"/>
      <c r="U856" s="43"/>
      <c r="V856" s="58"/>
      <c r="W856" s="34"/>
      <c r="X856" s="34"/>
    </row>
    <row r="857" spans="1:24" x14ac:dyDescent="0.2">
      <c r="A857" s="132">
        <v>851</v>
      </c>
      <c r="B857" s="342"/>
      <c r="C857" s="34"/>
      <c r="D857" s="40" t="str">
        <f t="shared" si="27"/>
        <v>2002000851</v>
      </c>
      <c r="E857" s="34"/>
      <c r="F857" s="52"/>
      <c r="G857" s="34"/>
      <c r="H857" s="34"/>
      <c r="I857" s="278"/>
      <c r="J857" s="50" t="str">
        <f t="shared" ca="1" si="28"/>
        <v/>
      </c>
      <c r="K857" s="50" t="str">
        <f ca="1">IFERROR(VLOOKUP($J857,Ref!$B$7:$C$9,2),"")</f>
        <v/>
      </c>
      <c r="L857" s="55"/>
      <c r="M857" s="34"/>
      <c r="N857" s="34"/>
      <c r="O857" s="34"/>
      <c r="P857" s="34"/>
      <c r="Q857" s="34"/>
      <c r="R857" s="34"/>
      <c r="S857" s="43"/>
      <c r="T857" s="43"/>
      <c r="U857" s="43"/>
      <c r="V857" s="58"/>
      <c r="W857" s="34"/>
      <c r="X857" s="34"/>
    </row>
    <row r="858" spans="1:24" x14ac:dyDescent="0.2">
      <c r="A858" s="132">
        <v>852</v>
      </c>
      <c r="B858" s="342"/>
      <c r="C858" s="34"/>
      <c r="D858" s="40" t="str">
        <f t="shared" si="27"/>
        <v>2002000852</v>
      </c>
      <c r="E858" s="34"/>
      <c r="F858" s="52"/>
      <c r="G858" s="34"/>
      <c r="H858" s="34"/>
      <c r="I858" s="278"/>
      <c r="J858" s="50" t="str">
        <f t="shared" ca="1" si="28"/>
        <v/>
      </c>
      <c r="K858" s="50" t="str">
        <f ca="1">IFERROR(VLOOKUP($J858,Ref!$B$7:$C$9,2),"")</f>
        <v/>
      </c>
      <c r="L858" s="55"/>
      <c r="M858" s="34"/>
      <c r="N858" s="34"/>
      <c r="O858" s="34"/>
      <c r="P858" s="34"/>
      <c r="Q858" s="34"/>
      <c r="R858" s="34"/>
      <c r="S858" s="43"/>
      <c r="T858" s="43"/>
      <c r="U858" s="43"/>
      <c r="V858" s="58"/>
      <c r="W858" s="34"/>
      <c r="X858" s="34"/>
    </row>
    <row r="859" spans="1:24" x14ac:dyDescent="0.2">
      <c r="A859" s="132">
        <v>853</v>
      </c>
      <c r="B859" s="342"/>
      <c r="C859" s="34"/>
      <c r="D859" s="40" t="str">
        <f t="shared" si="27"/>
        <v>2002000853</v>
      </c>
      <c r="E859" s="34"/>
      <c r="F859" s="52"/>
      <c r="G859" s="34"/>
      <c r="H859" s="34"/>
      <c r="I859" s="278"/>
      <c r="J859" s="50" t="str">
        <f t="shared" ca="1" si="28"/>
        <v/>
      </c>
      <c r="K859" s="50" t="str">
        <f ca="1">IFERROR(VLOOKUP($J859,Ref!$B$7:$C$9,2),"")</f>
        <v/>
      </c>
      <c r="L859" s="55"/>
      <c r="M859" s="34"/>
      <c r="N859" s="34"/>
      <c r="O859" s="34"/>
      <c r="P859" s="34"/>
      <c r="Q859" s="34"/>
      <c r="R859" s="34"/>
      <c r="S859" s="43"/>
      <c r="T859" s="43"/>
      <c r="U859" s="43"/>
      <c r="V859" s="58"/>
      <c r="W859" s="34"/>
      <c r="X859" s="34"/>
    </row>
    <row r="860" spans="1:24" x14ac:dyDescent="0.2">
      <c r="A860" s="132">
        <v>854</v>
      </c>
      <c r="B860" s="342"/>
      <c r="C860" s="34"/>
      <c r="D860" s="40" t="str">
        <f t="shared" si="27"/>
        <v>2002000854</v>
      </c>
      <c r="E860" s="34"/>
      <c r="F860" s="52"/>
      <c r="G860" s="34"/>
      <c r="H860" s="34"/>
      <c r="I860" s="278"/>
      <c r="J860" s="50" t="str">
        <f t="shared" ca="1" si="28"/>
        <v/>
      </c>
      <c r="K860" s="50" t="str">
        <f ca="1">IFERROR(VLOOKUP($J860,Ref!$B$7:$C$9,2),"")</f>
        <v/>
      </c>
      <c r="L860" s="55"/>
      <c r="M860" s="34"/>
      <c r="N860" s="34"/>
      <c r="O860" s="34"/>
      <c r="P860" s="34"/>
      <c r="Q860" s="34"/>
      <c r="R860" s="34"/>
      <c r="S860" s="43"/>
      <c r="T860" s="43"/>
      <c r="U860" s="43"/>
      <c r="V860" s="58"/>
      <c r="W860" s="34"/>
      <c r="X860" s="34"/>
    </row>
    <row r="861" spans="1:24" x14ac:dyDescent="0.2">
      <c r="A861" s="132">
        <v>855</v>
      </c>
      <c r="B861" s="342"/>
      <c r="C861" s="34"/>
      <c r="D861" s="40" t="str">
        <f t="shared" si="27"/>
        <v>2002000855</v>
      </c>
      <c r="E861" s="34"/>
      <c r="F861" s="52"/>
      <c r="G861" s="34"/>
      <c r="H861" s="34"/>
      <c r="I861" s="278"/>
      <c r="J861" s="50" t="str">
        <f t="shared" ca="1" si="28"/>
        <v/>
      </c>
      <c r="K861" s="50" t="str">
        <f ca="1">IFERROR(VLOOKUP($J861,Ref!$B$7:$C$9,2),"")</f>
        <v/>
      </c>
      <c r="L861" s="55"/>
      <c r="M861" s="34"/>
      <c r="N861" s="34"/>
      <c r="O861" s="34"/>
      <c r="P861" s="34"/>
      <c r="Q861" s="34"/>
      <c r="R861" s="34"/>
      <c r="S861" s="43"/>
      <c r="T861" s="43"/>
      <c r="U861" s="43"/>
      <c r="V861" s="58"/>
      <c r="W861" s="34"/>
      <c r="X861" s="34"/>
    </row>
    <row r="862" spans="1:24" x14ac:dyDescent="0.2">
      <c r="A862" s="132">
        <v>856</v>
      </c>
      <c r="B862" s="342"/>
      <c r="C862" s="34"/>
      <c r="D862" s="40" t="str">
        <f t="shared" si="27"/>
        <v>2002000856</v>
      </c>
      <c r="E862" s="34"/>
      <c r="F862" s="52"/>
      <c r="G862" s="34"/>
      <c r="H862" s="34"/>
      <c r="I862" s="278"/>
      <c r="J862" s="50" t="str">
        <f t="shared" ca="1" si="28"/>
        <v/>
      </c>
      <c r="K862" s="50" t="str">
        <f ca="1">IFERROR(VLOOKUP($J862,Ref!$B$7:$C$9,2),"")</f>
        <v/>
      </c>
      <c r="L862" s="55"/>
      <c r="M862" s="34"/>
      <c r="N862" s="34"/>
      <c r="O862" s="34"/>
      <c r="P862" s="34"/>
      <c r="Q862" s="34"/>
      <c r="R862" s="34"/>
      <c r="S862" s="43"/>
      <c r="T862" s="43"/>
      <c r="U862" s="43"/>
      <c r="V862" s="58"/>
      <c r="W862" s="34"/>
      <c r="X862" s="34"/>
    </row>
    <row r="863" spans="1:24" x14ac:dyDescent="0.2">
      <c r="A863" s="132">
        <v>857</v>
      </c>
      <c r="B863" s="342"/>
      <c r="C863" s="34"/>
      <c r="D863" s="40" t="str">
        <f t="shared" si="27"/>
        <v>2002000857</v>
      </c>
      <c r="E863" s="34"/>
      <c r="F863" s="52"/>
      <c r="G863" s="34"/>
      <c r="H863" s="34"/>
      <c r="I863" s="278"/>
      <c r="J863" s="50" t="str">
        <f t="shared" ca="1" si="28"/>
        <v/>
      </c>
      <c r="K863" s="50" t="str">
        <f ca="1">IFERROR(VLOOKUP($J863,Ref!$B$7:$C$9,2),"")</f>
        <v/>
      </c>
      <c r="L863" s="55"/>
      <c r="M863" s="34"/>
      <c r="N863" s="34"/>
      <c r="O863" s="34"/>
      <c r="P863" s="34"/>
      <c r="Q863" s="34"/>
      <c r="R863" s="34"/>
      <c r="S863" s="43"/>
      <c r="T863" s="43"/>
      <c r="U863" s="43"/>
      <c r="V863" s="58"/>
      <c r="W863" s="34"/>
      <c r="X863" s="34"/>
    </row>
    <row r="864" spans="1:24" x14ac:dyDescent="0.2">
      <c r="A864" s="132">
        <v>858</v>
      </c>
      <c r="B864" s="342"/>
      <c r="C864" s="34"/>
      <c r="D864" s="40" t="str">
        <f t="shared" si="27"/>
        <v>2002000858</v>
      </c>
      <c r="E864" s="34"/>
      <c r="F864" s="52"/>
      <c r="G864" s="34"/>
      <c r="H864" s="34"/>
      <c r="I864" s="278"/>
      <c r="J864" s="50" t="str">
        <f t="shared" ca="1" si="28"/>
        <v/>
      </c>
      <c r="K864" s="50" t="str">
        <f ca="1">IFERROR(VLOOKUP($J864,Ref!$B$7:$C$9,2),"")</f>
        <v/>
      </c>
      <c r="L864" s="55"/>
      <c r="M864" s="34"/>
      <c r="N864" s="34"/>
      <c r="O864" s="34"/>
      <c r="P864" s="34"/>
      <c r="Q864" s="34"/>
      <c r="R864" s="34"/>
      <c r="S864" s="43"/>
      <c r="T864" s="43"/>
      <c r="U864" s="43"/>
      <c r="V864" s="58"/>
      <c r="W864" s="34"/>
      <c r="X864" s="34"/>
    </row>
    <row r="865" spans="1:24" x14ac:dyDescent="0.2">
      <c r="A865" s="132">
        <v>859</v>
      </c>
      <c r="B865" s="342"/>
      <c r="C865" s="34"/>
      <c r="D865" s="40" t="str">
        <f t="shared" si="27"/>
        <v>2002000859</v>
      </c>
      <c r="E865" s="34"/>
      <c r="F865" s="52"/>
      <c r="G865" s="34"/>
      <c r="H865" s="34"/>
      <c r="I865" s="278"/>
      <c r="J865" s="50" t="str">
        <f t="shared" ca="1" si="28"/>
        <v/>
      </c>
      <c r="K865" s="50" t="str">
        <f ca="1">IFERROR(VLOOKUP($J865,Ref!$B$7:$C$9,2),"")</f>
        <v/>
      </c>
      <c r="L865" s="55"/>
      <c r="M865" s="34"/>
      <c r="N865" s="34"/>
      <c r="O865" s="34"/>
      <c r="P865" s="34"/>
      <c r="Q865" s="34"/>
      <c r="R865" s="34"/>
      <c r="S865" s="43"/>
      <c r="T865" s="43"/>
      <c r="U865" s="43"/>
      <c r="V865" s="58"/>
      <c r="W865" s="34"/>
      <c r="X865" s="34"/>
    </row>
    <row r="866" spans="1:24" x14ac:dyDescent="0.2">
      <c r="A866" s="132">
        <v>860</v>
      </c>
      <c r="B866" s="342"/>
      <c r="C866" s="34"/>
      <c r="D866" s="40" t="str">
        <f t="shared" si="27"/>
        <v>2002000860</v>
      </c>
      <c r="E866" s="34"/>
      <c r="F866" s="52"/>
      <c r="G866" s="34"/>
      <c r="H866" s="34"/>
      <c r="I866" s="278"/>
      <c r="J866" s="50" t="str">
        <f t="shared" ca="1" si="28"/>
        <v/>
      </c>
      <c r="K866" s="50" t="str">
        <f ca="1">IFERROR(VLOOKUP($J866,Ref!$B$7:$C$9,2),"")</f>
        <v/>
      </c>
      <c r="L866" s="55"/>
      <c r="M866" s="34"/>
      <c r="N866" s="34"/>
      <c r="O866" s="34"/>
      <c r="P866" s="34"/>
      <c r="Q866" s="34"/>
      <c r="R866" s="34"/>
      <c r="S866" s="43"/>
      <c r="T866" s="43"/>
      <c r="U866" s="43"/>
      <c r="V866" s="58"/>
      <c r="W866" s="34"/>
      <c r="X866" s="34"/>
    </row>
    <row r="867" spans="1:24" x14ac:dyDescent="0.2">
      <c r="A867" s="132">
        <v>861</v>
      </c>
      <c r="B867" s="342"/>
      <c r="C867" s="34"/>
      <c r="D867" s="40" t="str">
        <f t="shared" si="27"/>
        <v>2002000861</v>
      </c>
      <c r="E867" s="34"/>
      <c r="F867" s="52"/>
      <c r="G867" s="34"/>
      <c r="H867" s="34"/>
      <c r="I867" s="278"/>
      <c r="J867" s="50" t="str">
        <f t="shared" ca="1" si="28"/>
        <v/>
      </c>
      <c r="K867" s="50" t="str">
        <f ca="1">IFERROR(VLOOKUP($J867,Ref!$B$7:$C$9,2),"")</f>
        <v/>
      </c>
      <c r="L867" s="55"/>
      <c r="M867" s="34"/>
      <c r="N867" s="34"/>
      <c r="O867" s="34"/>
      <c r="P867" s="34"/>
      <c r="Q867" s="34"/>
      <c r="R867" s="34"/>
      <c r="S867" s="43"/>
      <c r="T867" s="43"/>
      <c r="U867" s="43"/>
      <c r="V867" s="58"/>
      <c r="W867" s="34"/>
      <c r="X867" s="34"/>
    </row>
    <row r="868" spans="1:24" x14ac:dyDescent="0.2">
      <c r="A868" s="132">
        <v>862</v>
      </c>
      <c r="B868" s="342"/>
      <c r="C868" s="34"/>
      <c r="D868" s="40" t="str">
        <f t="shared" si="27"/>
        <v>2002000862</v>
      </c>
      <c r="E868" s="34"/>
      <c r="F868" s="52"/>
      <c r="G868" s="34"/>
      <c r="H868" s="34"/>
      <c r="I868" s="278"/>
      <c r="J868" s="50" t="str">
        <f t="shared" ca="1" si="28"/>
        <v/>
      </c>
      <c r="K868" s="50" t="str">
        <f ca="1">IFERROR(VLOOKUP($J868,Ref!$B$7:$C$9,2),"")</f>
        <v/>
      </c>
      <c r="L868" s="55"/>
      <c r="M868" s="34"/>
      <c r="N868" s="34"/>
      <c r="O868" s="34"/>
      <c r="P868" s="34"/>
      <c r="Q868" s="34"/>
      <c r="R868" s="34"/>
      <c r="S868" s="43"/>
      <c r="T868" s="43"/>
      <c r="U868" s="43"/>
      <c r="V868" s="58"/>
      <c r="W868" s="34"/>
      <c r="X868" s="34"/>
    </row>
    <row r="869" spans="1:24" x14ac:dyDescent="0.2">
      <c r="A869" s="132">
        <v>863</v>
      </c>
      <c r="B869" s="342"/>
      <c r="C869" s="34"/>
      <c r="D869" s="40" t="str">
        <f t="shared" si="27"/>
        <v>2002000863</v>
      </c>
      <c r="E869" s="34"/>
      <c r="F869" s="52"/>
      <c r="G869" s="34"/>
      <c r="H869" s="34"/>
      <c r="I869" s="278"/>
      <c r="J869" s="50" t="str">
        <f t="shared" ca="1" si="28"/>
        <v/>
      </c>
      <c r="K869" s="50" t="str">
        <f ca="1">IFERROR(VLOOKUP($J869,Ref!$B$7:$C$9,2),"")</f>
        <v/>
      </c>
      <c r="L869" s="55"/>
      <c r="M869" s="34"/>
      <c r="N869" s="34"/>
      <c r="O869" s="34"/>
      <c r="P869" s="34"/>
      <c r="Q869" s="34"/>
      <c r="R869" s="34"/>
      <c r="S869" s="43"/>
      <c r="T869" s="43"/>
      <c r="U869" s="43"/>
      <c r="V869" s="58"/>
      <c r="W869" s="34"/>
      <c r="X869" s="34"/>
    </row>
    <row r="870" spans="1:24" x14ac:dyDescent="0.2">
      <c r="A870" s="132">
        <v>864</v>
      </c>
      <c r="B870" s="342"/>
      <c r="C870" s="34"/>
      <c r="D870" s="40" t="str">
        <f t="shared" si="27"/>
        <v>2002000864</v>
      </c>
      <c r="E870" s="34"/>
      <c r="F870" s="52"/>
      <c r="G870" s="34"/>
      <c r="H870" s="34"/>
      <c r="I870" s="278"/>
      <c r="J870" s="50" t="str">
        <f t="shared" ca="1" si="28"/>
        <v/>
      </c>
      <c r="K870" s="50" t="str">
        <f ca="1">IFERROR(VLOOKUP($J870,Ref!$B$7:$C$9,2),"")</f>
        <v/>
      </c>
      <c r="L870" s="55"/>
      <c r="M870" s="34"/>
      <c r="N870" s="34"/>
      <c r="O870" s="34"/>
      <c r="P870" s="34"/>
      <c r="Q870" s="34"/>
      <c r="R870" s="34"/>
      <c r="S870" s="43"/>
      <c r="T870" s="43"/>
      <c r="U870" s="43"/>
      <c r="V870" s="58"/>
      <c r="W870" s="34"/>
      <c r="X870" s="34"/>
    </row>
    <row r="871" spans="1:24" x14ac:dyDescent="0.2">
      <c r="A871" s="132">
        <v>865</v>
      </c>
      <c r="B871" s="342"/>
      <c r="C871" s="34"/>
      <c r="D871" s="40" t="str">
        <f t="shared" si="27"/>
        <v>2002000865</v>
      </c>
      <c r="E871" s="34"/>
      <c r="F871" s="52"/>
      <c r="G871" s="34"/>
      <c r="H871" s="34"/>
      <c r="I871" s="278"/>
      <c r="J871" s="50" t="str">
        <f t="shared" ca="1" si="28"/>
        <v/>
      </c>
      <c r="K871" s="50" t="str">
        <f ca="1">IFERROR(VLOOKUP($J871,Ref!$B$7:$C$9,2),"")</f>
        <v/>
      </c>
      <c r="L871" s="55"/>
      <c r="M871" s="34"/>
      <c r="N871" s="34"/>
      <c r="O871" s="34"/>
      <c r="P871" s="34"/>
      <c r="Q871" s="34"/>
      <c r="R871" s="34"/>
      <c r="S871" s="43"/>
      <c r="T871" s="43"/>
      <c r="U871" s="43"/>
      <c r="V871" s="58"/>
      <c r="W871" s="34"/>
      <c r="X871" s="34"/>
    </row>
    <row r="872" spans="1:24" x14ac:dyDescent="0.2">
      <c r="A872" s="132">
        <v>866</v>
      </c>
      <c r="B872" s="342"/>
      <c r="C872" s="34"/>
      <c r="D872" s="40" t="str">
        <f t="shared" si="27"/>
        <v>2002000866</v>
      </c>
      <c r="E872" s="34"/>
      <c r="F872" s="52"/>
      <c r="G872" s="34"/>
      <c r="H872" s="34"/>
      <c r="I872" s="278"/>
      <c r="J872" s="50" t="str">
        <f t="shared" ca="1" si="28"/>
        <v/>
      </c>
      <c r="K872" s="50" t="str">
        <f ca="1">IFERROR(VLOOKUP($J872,Ref!$B$7:$C$9,2),"")</f>
        <v/>
      </c>
      <c r="L872" s="55"/>
      <c r="M872" s="34"/>
      <c r="N872" s="34"/>
      <c r="O872" s="34"/>
      <c r="P872" s="34"/>
      <c r="Q872" s="34"/>
      <c r="R872" s="34"/>
      <c r="S872" s="43"/>
      <c r="T872" s="43"/>
      <c r="U872" s="43"/>
      <c r="V872" s="58"/>
      <c r="W872" s="34"/>
      <c r="X872" s="34"/>
    </row>
    <row r="873" spans="1:24" x14ac:dyDescent="0.2">
      <c r="A873" s="132">
        <v>867</v>
      </c>
      <c r="B873" s="342"/>
      <c r="C873" s="34"/>
      <c r="D873" s="40" t="str">
        <f t="shared" si="27"/>
        <v>2002000867</v>
      </c>
      <c r="E873" s="34"/>
      <c r="F873" s="52"/>
      <c r="G873" s="34"/>
      <c r="H873" s="34"/>
      <c r="I873" s="278"/>
      <c r="J873" s="50" t="str">
        <f t="shared" ca="1" si="28"/>
        <v/>
      </c>
      <c r="K873" s="50" t="str">
        <f ca="1">IFERROR(VLOOKUP($J873,Ref!$B$7:$C$9,2),"")</f>
        <v/>
      </c>
      <c r="L873" s="55"/>
      <c r="M873" s="34"/>
      <c r="N873" s="34"/>
      <c r="O873" s="34"/>
      <c r="P873" s="34"/>
      <c r="Q873" s="34"/>
      <c r="R873" s="34"/>
      <c r="S873" s="43"/>
      <c r="T873" s="43"/>
      <c r="U873" s="43"/>
      <c r="V873" s="58"/>
      <c r="W873" s="34"/>
      <c r="X873" s="34"/>
    </row>
    <row r="874" spans="1:24" x14ac:dyDescent="0.2">
      <c r="A874" s="132">
        <v>868</v>
      </c>
      <c r="B874" s="342"/>
      <c r="C874" s="34"/>
      <c r="D874" s="40" t="str">
        <f t="shared" si="27"/>
        <v>2002000868</v>
      </c>
      <c r="E874" s="34"/>
      <c r="F874" s="52"/>
      <c r="G874" s="34"/>
      <c r="H874" s="34"/>
      <c r="I874" s="278"/>
      <c r="J874" s="50" t="str">
        <f t="shared" ca="1" si="28"/>
        <v/>
      </c>
      <c r="K874" s="50" t="str">
        <f ca="1">IFERROR(VLOOKUP($J874,Ref!$B$7:$C$9,2),"")</f>
        <v/>
      </c>
      <c r="L874" s="55"/>
      <c r="M874" s="34"/>
      <c r="N874" s="34"/>
      <c r="O874" s="34"/>
      <c r="P874" s="34"/>
      <c r="Q874" s="34"/>
      <c r="R874" s="34"/>
      <c r="S874" s="43"/>
      <c r="T874" s="43"/>
      <c r="U874" s="43"/>
      <c r="V874" s="58"/>
      <c r="W874" s="34"/>
      <c r="X874" s="34"/>
    </row>
    <row r="875" spans="1:24" x14ac:dyDescent="0.2">
      <c r="A875" s="132">
        <v>869</v>
      </c>
      <c r="B875" s="342"/>
      <c r="C875" s="34"/>
      <c r="D875" s="40" t="str">
        <f t="shared" si="27"/>
        <v>2002000869</v>
      </c>
      <c r="E875" s="34"/>
      <c r="F875" s="52"/>
      <c r="G875" s="34"/>
      <c r="H875" s="34"/>
      <c r="I875" s="278"/>
      <c r="J875" s="50" t="str">
        <f t="shared" ca="1" si="28"/>
        <v/>
      </c>
      <c r="K875" s="50" t="str">
        <f ca="1">IFERROR(VLOOKUP($J875,Ref!$B$7:$C$9,2),"")</f>
        <v/>
      </c>
      <c r="L875" s="55"/>
      <c r="M875" s="34"/>
      <c r="N875" s="34"/>
      <c r="O875" s="34"/>
      <c r="P875" s="34"/>
      <c r="Q875" s="34"/>
      <c r="R875" s="34"/>
      <c r="S875" s="43"/>
      <c r="T875" s="43"/>
      <c r="U875" s="43"/>
      <c r="V875" s="58"/>
      <c r="W875" s="34"/>
      <c r="X875" s="34"/>
    </row>
    <row r="876" spans="1:24" x14ac:dyDescent="0.2">
      <c r="A876" s="132">
        <v>870</v>
      </c>
      <c r="B876" s="342"/>
      <c r="C876" s="34"/>
      <c r="D876" s="40" t="str">
        <f t="shared" si="27"/>
        <v>2002000870</v>
      </c>
      <c r="E876" s="34"/>
      <c r="F876" s="52"/>
      <c r="G876" s="34"/>
      <c r="H876" s="34"/>
      <c r="I876" s="278"/>
      <c r="J876" s="50" t="str">
        <f t="shared" ca="1" si="28"/>
        <v/>
      </c>
      <c r="K876" s="50" t="str">
        <f ca="1">IFERROR(VLOOKUP($J876,Ref!$B$7:$C$9,2),"")</f>
        <v/>
      </c>
      <c r="L876" s="55"/>
      <c r="M876" s="34"/>
      <c r="N876" s="34"/>
      <c r="O876" s="34"/>
      <c r="P876" s="34"/>
      <c r="Q876" s="34"/>
      <c r="R876" s="34"/>
      <c r="S876" s="43"/>
      <c r="T876" s="43"/>
      <c r="U876" s="43"/>
      <c r="V876" s="58"/>
      <c r="W876" s="34"/>
      <c r="X876" s="34"/>
    </row>
    <row r="877" spans="1:24" x14ac:dyDescent="0.2">
      <c r="A877" s="132">
        <v>871</v>
      </c>
      <c r="B877" s="342"/>
      <c r="C877" s="34"/>
      <c r="D877" s="40" t="str">
        <f t="shared" si="27"/>
        <v>2002000871</v>
      </c>
      <c r="E877" s="34"/>
      <c r="F877" s="52"/>
      <c r="G877" s="34"/>
      <c r="H877" s="34"/>
      <c r="I877" s="278"/>
      <c r="J877" s="50" t="str">
        <f t="shared" ca="1" si="28"/>
        <v/>
      </c>
      <c r="K877" s="50" t="str">
        <f ca="1">IFERROR(VLOOKUP($J877,Ref!$B$7:$C$9,2),"")</f>
        <v/>
      </c>
      <c r="L877" s="55"/>
      <c r="M877" s="34"/>
      <c r="N877" s="34"/>
      <c r="O877" s="34"/>
      <c r="P877" s="34"/>
      <c r="Q877" s="34"/>
      <c r="R877" s="34"/>
      <c r="S877" s="43"/>
      <c r="T877" s="43"/>
      <c r="U877" s="43"/>
      <c r="V877" s="58"/>
      <c r="W877" s="34"/>
      <c r="X877" s="34"/>
    </row>
    <row r="878" spans="1:24" x14ac:dyDescent="0.2">
      <c r="A878" s="132">
        <v>872</v>
      </c>
      <c r="B878" s="342"/>
      <c r="C878" s="34"/>
      <c r="D878" s="40" t="str">
        <f t="shared" si="27"/>
        <v>2002000872</v>
      </c>
      <c r="E878" s="34"/>
      <c r="F878" s="52"/>
      <c r="G878" s="34"/>
      <c r="H878" s="34"/>
      <c r="I878" s="278"/>
      <c r="J878" s="50" t="str">
        <f t="shared" ca="1" si="28"/>
        <v/>
      </c>
      <c r="K878" s="50" t="str">
        <f ca="1">IFERROR(VLOOKUP($J878,Ref!$B$7:$C$9,2),"")</f>
        <v/>
      </c>
      <c r="L878" s="55"/>
      <c r="M878" s="34"/>
      <c r="N878" s="34"/>
      <c r="O878" s="34"/>
      <c r="P878" s="34"/>
      <c r="Q878" s="34"/>
      <c r="R878" s="34"/>
      <c r="S878" s="43"/>
      <c r="T878" s="43"/>
      <c r="U878" s="43"/>
      <c r="V878" s="58"/>
      <c r="W878" s="34"/>
      <c r="X878" s="34"/>
    </row>
    <row r="879" spans="1:24" x14ac:dyDescent="0.2">
      <c r="A879" s="132">
        <v>873</v>
      </c>
      <c r="B879" s="342"/>
      <c r="C879" s="34"/>
      <c r="D879" s="40" t="str">
        <f t="shared" si="27"/>
        <v>2002000873</v>
      </c>
      <c r="E879" s="34"/>
      <c r="F879" s="52"/>
      <c r="G879" s="34"/>
      <c r="H879" s="34"/>
      <c r="I879" s="278"/>
      <c r="J879" s="50" t="str">
        <f t="shared" ca="1" si="28"/>
        <v/>
      </c>
      <c r="K879" s="50" t="str">
        <f ca="1">IFERROR(VLOOKUP($J879,Ref!$B$7:$C$9,2),"")</f>
        <v/>
      </c>
      <c r="L879" s="55"/>
      <c r="M879" s="34"/>
      <c r="N879" s="34"/>
      <c r="O879" s="34"/>
      <c r="P879" s="34"/>
      <c r="Q879" s="34"/>
      <c r="R879" s="34"/>
      <c r="S879" s="43"/>
      <c r="T879" s="43"/>
      <c r="U879" s="43"/>
      <c r="V879" s="58"/>
      <c r="W879" s="34"/>
      <c r="X879" s="34"/>
    </row>
    <row r="880" spans="1:24" x14ac:dyDescent="0.2">
      <c r="A880" s="132">
        <v>874</v>
      </c>
      <c r="B880" s="342"/>
      <c r="C880" s="34"/>
      <c r="D880" s="40" t="str">
        <f t="shared" si="27"/>
        <v>2002000874</v>
      </c>
      <c r="E880" s="34"/>
      <c r="F880" s="52"/>
      <c r="G880" s="34"/>
      <c r="H880" s="34"/>
      <c r="I880" s="278"/>
      <c r="J880" s="50" t="str">
        <f t="shared" ca="1" si="28"/>
        <v/>
      </c>
      <c r="K880" s="50" t="str">
        <f ca="1">IFERROR(VLOOKUP($J880,Ref!$B$7:$C$9,2),"")</f>
        <v/>
      </c>
      <c r="L880" s="55"/>
      <c r="M880" s="34"/>
      <c r="N880" s="34"/>
      <c r="O880" s="34"/>
      <c r="P880" s="34"/>
      <c r="Q880" s="34"/>
      <c r="R880" s="34"/>
      <c r="S880" s="43"/>
      <c r="T880" s="43"/>
      <c r="U880" s="43"/>
      <c r="V880" s="58"/>
      <c r="W880" s="34"/>
      <c r="X880" s="34"/>
    </row>
    <row r="881" spans="1:24" x14ac:dyDescent="0.2">
      <c r="A881" s="132">
        <v>875</v>
      </c>
      <c r="B881" s="342"/>
      <c r="C881" s="34"/>
      <c r="D881" s="40" t="str">
        <f t="shared" si="27"/>
        <v>2002000875</v>
      </c>
      <c r="E881" s="34"/>
      <c r="F881" s="52"/>
      <c r="G881" s="34"/>
      <c r="H881" s="34"/>
      <c r="I881" s="278"/>
      <c r="J881" s="50" t="str">
        <f t="shared" ca="1" si="28"/>
        <v/>
      </c>
      <c r="K881" s="50" t="str">
        <f ca="1">IFERROR(VLOOKUP($J881,Ref!$B$7:$C$9,2),"")</f>
        <v/>
      </c>
      <c r="L881" s="55"/>
      <c r="M881" s="34"/>
      <c r="N881" s="34"/>
      <c r="O881" s="34"/>
      <c r="P881" s="34"/>
      <c r="Q881" s="34"/>
      <c r="R881" s="34"/>
      <c r="S881" s="43"/>
      <c r="T881" s="43"/>
      <c r="U881" s="43"/>
      <c r="V881" s="58"/>
      <c r="W881" s="34"/>
      <c r="X881" s="34"/>
    </row>
    <row r="882" spans="1:24" x14ac:dyDescent="0.2">
      <c r="A882" s="132">
        <v>876</v>
      </c>
      <c r="B882" s="342"/>
      <c r="C882" s="34"/>
      <c r="D882" s="40" t="str">
        <f t="shared" si="27"/>
        <v>2002000876</v>
      </c>
      <c r="E882" s="34"/>
      <c r="F882" s="52"/>
      <c r="G882" s="34"/>
      <c r="H882" s="34"/>
      <c r="I882" s="278"/>
      <c r="J882" s="50" t="str">
        <f t="shared" ca="1" si="28"/>
        <v/>
      </c>
      <c r="K882" s="50" t="str">
        <f ca="1">IFERROR(VLOOKUP($J882,Ref!$B$7:$C$9,2),"")</f>
        <v/>
      </c>
      <c r="L882" s="55"/>
      <c r="M882" s="34"/>
      <c r="N882" s="34"/>
      <c r="O882" s="34"/>
      <c r="P882" s="34"/>
      <c r="Q882" s="34"/>
      <c r="R882" s="34"/>
      <c r="S882" s="43"/>
      <c r="T882" s="43"/>
      <c r="U882" s="43"/>
      <c r="V882" s="58"/>
      <c r="W882" s="34"/>
      <c r="X882" s="34"/>
    </row>
    <row r="883" spans="1:24" x14ac:dyDescent="0.2">
      <c r="A883" s="132">
        <v>877</v>
      </c>
      <c r="B883" s="342"/>
      <c r="C883" s="34"/>
      <c r="D883" s="40" t="str">
        <f t="shared" si="27"/>
        <v>2002000877</v>
      </c>
      <c r="E883" s="34"/>
      <c r="F883" s="52"/>
      <c r="G883" s="34"/>
      <c r="H883" s="34"/>
      <c r="I883" s="278"/>
      <c r="J883" s="50" t="str">
        <f t="shared" ca="1" si="28"/>
        <v/>
      </c>
      <c r="K883" s="50" t="str">
        <f ca="1">IFERROR(VLOOKUP($J883,Ref!$B$7:$C$9,2),"")</f>
        <v/>
      </c>
      <c r="L883" s="55"/>
      <c r="M883" s="34"/>
      <c r="N883" s="34"/>
      <c r="O883" s="34"/>
      <c r="P883" s="34"/>
      <c r="Q883" s="34"/>
      <c r="R883" s="34"/>
      <c r="S883" s="43"/>
      <c r="T883" s="43"/>
      <c r="U883" s="43"/>
      <c r="V883" s="58"/>
      <c r="W883" s="34"/>
      <c r="X883" s="34"/>
    </row>
    <row r="884" spans="1:24" x14ac:dyDescent="0.2">
      <c r="A884" s="132">
        <v>878</v>
      </c>
      <c r="B884" s="342"/>
      <c r="C884" s="34"/>
      <c r="D884" s="40" t="str">
        <f t="shared" si="27"/>
        <v>2002000878</v>
      </c>
      <c r="E884" s="34"/>
      <c r="F884" s="52"/>
      <c r="G884" s="34"/>
      <c r="H884" s="34"/>
      <c r="I884" s="278"/>
      <c r="J884" s="50" t="str">
        <f t="shared" ca="1" si="28"/>
        <v/>
      </c>
      <c r="K884" s="50" t="str">
        <f ca="1">IFERROR(VLOOKUP($J884,Ref!$B$7:$C$9,2),"")</f>
        <v/>
      </c>
      <c r="L884" s="55"/>
      <c r="M884" s="34"/>
      <c r="N884" s="34"/>
      <c r="O884" s="34"/>
      <c r="P884" s="34"/>
      <c r="Q884" s="34"/>
      <c r="R884" s="34"/>
      <c r="S884" s="43"/>
      <c r="T884" s="43"/>
      <c r="U884" s="43"/>
      <c r="V884" s="58"/>
      <c r="W884" s="34"/>
      <c r="X884" s="34"/>
    </row>
    <row r="885" spans="1:24" x14ac:dyDescent="0.2">
      <c r="A885" s="132">
        <v>879</v>
      </c>
      <c r="B885" s="342"/>
      <c r="C885" s="34"/>
      <c r="D885" s="40" t="str">
        <f t="shared" si="27"/>
        <v>2002000879</v>
      </c>
      <c r="E885" s="34"/>
      <c r="F885" s="52"/>
      <c r="G885" s="34"/>
      <c r="H885" s="34"/>
      <c r="I885" s="278"/>
      <c r="J885" s="50" t="str">
        <f t="shared" ca="1" si="28"/>
        <v/>
      </c>
      <c r="K885" s="50" t="str">
        <f ca="1">IFERROR(VLOOKUP($J885,Ref!$B$7:$C$9,2),"")</f>
        <v/>
      </c>
      <c r="L885" s="55"/>
      <c r="M885" s="34"/>
      <c r="N885" s="34"/>
      <c r="O885" s="34"/>
      <c r="P885" s="34"/>
      <c r="Q885" s="34"/>
      <c r="R885" s="34"/>
      <c r="S885" s="43"/>
      <c r="T885" s="43"/>
      <c r="U885" s="43"/>
      <c r="V885" s="58"/>
      <c r="W885" s="34"/>
      <c r="X885" s="34"/>
    </row>
    <row r="886" spans="1:24" x14ac:dyDescent="0.2">
      <c r="A886" s="132">
        <v>880</v>
      </c>
      <c r="B886" s="342"/>
      <c r="C886" s="34"/>
      <c r="D886" s="40" t="str">
        <f t="shared" si="27"/>
        <v>2002000880</v>
      </c>
      <c r="E886" s="34"/>
      <c r="F886" s="52"/>
      <c r="G886" s="34"/>
      <c r="H886" s="34"/>
      <c r="I886" s="278"/>
      <c r="J886" s="50" t="str">
        <f t="shared" ca="1" si="28"/>
        <v/>
      </c>
      <c r="K886" s="50" t="str">
        <f ca="1">IFERROR(VLOOKUP($J886,Ref!$B$7:$C$9,2),"")</f>
        <v/>
      </c>
      <c r="L886" s="55"/>
      <c r="M886" s="34"/>
      <c r="N886" s="34"/>
      <c r="O886" s="34"/>
      <c r="P886" s="34"/>
      <c r="Q886" s="34"/>
      <c r="R886" s="34"/>
      <c r="S886" s="43"/>
      <c r="T886" s="43"/>
      <c r="U886" s="43"/>
      <c r="V886" s="58"/>
      <c r="W886" s="34"/>
      <c r="X886" s="34"/>
    </row>
    <row r="887" spans="1:24" x14ac:dyDescent="0.2">
      <c r="A887" s="132">
        <v>881</v>
      </c>
      <c r="B887" s="342"/>
      <c r="C887" s="34"/>
      <c r="D887" s="40" t="str">
        <f t="shared" si="27"/>
        <v>2002000881</v>
      </c>
      <c r="E887" s="34"/>
      <c r="F887" s="52"/>
      <c r="G887" s="34"/>
      <c r="H887" s="34"/>
      <c r="I887" s="278"/>
      <c r="J887" s="50" t="str">
        <f t="shared" ca="1" si="28"/>
        <v/>
      </c>
      <c r="K887" s="50" t="str">
        <f ca="1">IFERROR(VLOOKUP($J887,Ref!$B$7:$C$9,2),"")</f>
        <v/>
      </c>
      <c r="L887" s="55"/>
      <c r="M887" s="34"/>
      <c r="N887" s="34"/>
      <c r="O887" s="34"/>
      <c r="P887" s="34"/>
      <c r="Q887" s="34"/>
      <c r="R887" s="34"/>
      <c r="S887" s="43"/>
      <c r="T887" s="43"/>
      <c r="U887" s="43"/>
      <c r="V887" s="58"/>
      <c r="W887" s="34"/>
      <c r="X887" s="34"/>
    </row>
    <row r="888" spans="1:24" x14ac:dyDescent="0.2">
      <c r="A888" s="132">
        <v>882</v>
      </c>
      <c r="B888" s="342"/>
      <c r="C888" s="34"/>
      <c r="D888" s="40" t="str">
        <f t="shared" si="27"/>
        <v>2002000882</v>
      </c>
      <c r="E888" s="34"/>
      <c r="F888" s="52"/>
      <c r="G888" s="34"/>
      <c r="H888" s="34"/>
      <c r="I888" s="278"/>
      <c r="J888" s="50" t="str">
        <f t="shared" ca="1" si="28"/>
        <v/>
      </c>
      <c r="K888" s="50" t="str">
        <f ca="1">IFERROR(VLOOKUP($J888,Ref!$B$7:$C$9,2),"")</f>
        <v/>
      </c>
      <c r="L888" s="55"/>
      <c r="M888" s="34"/>
      <c r="N888" s="34"/>
      <c r="O888" s="34"/>
      <c r="P888" s="34"/>
      <c r="Q888" s="34"/>
      <c r="R888" s="34"/>
      <c r="S888" s="43"/>
      <c r="T888" s="43"/>
      <c r="U888" s="43"/>
      <c r="V888" s="58"/>
      <c r="W888" s="34"/>
      <c r="X888" s="34"/>
    </row>
    <row r="889" spans="1:24" x14ac:dyDescent="0.2">
      <c r="A889" s="132">
        <v>883</v>
      </c>
      <c r="B889" s="342"/>
      <c r="C889" s="34"/>
      <c r="D889" s="40" t="str">
        <f t="shared" si="27"/>
        <v>2002000883</v>
      </c>
      <c r="E889" s="34"/>
      <c r="F889" s="52"/>
      <c r="G889" s="34"/>
      <c r="H889" s="34"/>
      <c r="I889" s="278"/>
      <c r="J889" s="50" t="str">
        <f t="shared" ca="1" si="28"/>
        <v/>
      </c>
      <c r="K889" s="50" t="str">
        <f ca="1">IFERROR(VLOOKUP($J889,Ref!$B$7:$C$9,2),"")</f>
        <v/>
      </c>
      <c r="L889" s="55"/>
      <c r="M889" s="34"/>
      <c r="N889" s="34"/>
      <c r="O889" s="34"/>
      <c r="P889" s="34"/>
      <c r="Q889" s="34"/>
      <c r="R889" s="34"/>
      <c r="S889" s="43"/>
      <c r="T889" s="43"/>
      <c r="U889" s="43"/>
      <c r="V889" s="58"/>
      <c r="W889" s="34"/>
      <c r="X889" s="34"/>
    </row>
    <row r="890" spans="1:24" x14ac:dyDescent="0.2">
      <c r="A890" s="132">
        <v>884</v>
      </c>
      <c r="B890" s="342"/>
      <c r="C890" s="34"/>
      <c r="D890" s="40" t="str">
        <f t="shared" si="27"/>
        <v>2002000884</v>
      </c>
      <c r="E890" s="34"/>
      <c r="F890" s="52"/>
      <c r="G890" s="34"/>
      <c r="H890" s="34"/>
      <c r="I890" s="278"/>
      <c r="J890" s="50" t="str">
        <f t="shared" ca="1" si="28"/>
        <v/>
      </c>
      <c r="K890" s="50" t="str">
        <f ca="1">IFERROR(VLOOKUP($J890,Ref!$B$7:$C$9,2),"")</f>
        <v/>
      </c>
      <c r="L890" s="55"/>
      <c r="M890" s="34"/>
      <c r="N890" s="34"/>
      <c r="O890" s="34"/>
      <c r="P890" s="34"/>
      <c r="Q890" s="34"/>
      <c r="R890" s="34"/>
      <c r="S890" s="43"/>
      <c r="T890" s="43"/>
      <c r="U890" s="43"/>
      <c r="V890" s="58"/>
      <c r="W890" s="34"/>
      <c r="X890" s="34"/>
    </row>
    <row r="891" spans="1:24" x14ac:dyDescent="0.2">
      <c r="A891" s="132">
        <v>885</v>
      </c>
      <c r="B891" s="342"/>
      <c r="C891" s="34"/>
      <c r="D891" s="40" t="str">
        <f t="shared" si="27"/>
        <v>2002000885</v>
      </c>
      <c r="E891" s="34"/>
      <c r="F891" s="52"/>
      <c r="G891" s="34"/>
      <c r="H891" s="34"/>
      <c r="I891" s="278"/>
      <c r="J891" s="50" t="str">
        <f t="shared" ca="1" si="28"/>
        <v/>
      </c>
      <c r="K891" s="50" t="str">
        <f ca="1">IFERROR(VLOOKUP($J891,Ref!$B$7:$C$9,2),"")</f>
        <v/>
      </c>
      <c r="L891" s="55"/>
      <c r="M891" s="34"/>
      <c r="N891" s="34"/>
      <c r="O891" s="34"/>
      <c r="P891" s="34"/>
      <c r="Q891" s="34"/>
      <c r="R891" s="34"/>
      <c r="S891" s="43"/>
      <c r="T891" s="43"/>
      <c r="U891" s="43"/>
      <c r="V891" s="58"/>
      <c r="W891" s="34"/>
      <c r="X891" s="34"/>
    </row>
    <row r="892" spans="1:24" x14ac:dyDescent="0.2">
      <c r="A892" s="132">
        <v>886</v>
      </c>
      <c r="B892" s="342"/>
      <c r="C892" s="34"/>
      <c r="D892" s="40" t="str">
        <f t="shared" si="27"/>
        <v>2002000886</v>
      </c>
      <c r="E892" s="34"/>
      <c r="F892" s="52"/>
      <c r="G892" s="34"/>
      <c r="H892" s="34"/>
      <c r="I892" s="278"/>
      <c r="J892" s="50" t="str">
        <f t="shared" ca="1" si="28"/>
        <v/>
      </c>
      <c r="K892" s="50" t="str">
        <f ca="1">IFERROR(VLOOKUP($J892,Ref!$B$7:$C$9,2),"")</f>
        <v/>
      </c>
      <c r="L892" s="55"/>
      <c r="M892" s="34"/>
      <c r="N892" s="34"/>
      <c r="O892" s="34"/>
      <c r="P892" s="34"/>
      <c r="Q892" s="34"/>
      <c r="R892" s="34"/>
      <c r="S892" s="43"/>
      <c r="T892" s="43"/>
      <c r="U892" s="43"/>
      <c r="V892" s="58"/>
      <c r="W892" s="34"/>
      <c r="X892" s="34"/>
    </row>
    <row r="893" spans="1:24" x14ac:dyDescent="0.2">
      <c r="A893" s="132">
        <v>887</v>
      </c>
      <c r="B893" s="342"/>
      <c r="C893" s="34"/>
      <c r="D893" s="40" t="str">
        <f t="shared" si="27"/>
        <v>2002000887</v>
      </c>
      <c r="E893" s="34"/>
      <c r="F893" s="52"/>
      <c r="G893" s="34"/>
      <c r="H893" s="34"/>
      <c r="I893" s="278"/>
      <c r="J893" s="50" t="str">
        <f t="shared" ca="1" si="28"/>
        <v/>
      </c>
      <c r="K893" s="50" t="str">
        <f ca="1">IFERROR(VLOOKUP($J893,Ref!$B$7:$C$9,2),"")</f>
        <v/>
      </c>
      <c r="L893" s="55"/>
      <c r="M893" s="34"/>
      <c r="N893" s="34"/>
      <c r="O893" s="34"/>
      <c r="P893" s="34"/>
      <c r="Q893" s="34"/>
      <c r="R893" s="34"/>
      <c r="S893" s="43"/>
      <c r="T893" s="43"/>
      <c r="U893" s="43"/>
      <c r="V893" s="58"/>
      <c r="W893" s="34"/>
      <c r="X893" s="34"/>
    </row>
    <row r="894" spans="1:24" x14ac:dyDescent="0.2">
      <c r="A894" s="132">
        <v>888</v>
      </c>
      <c r="B894" s="342"/>
      <c r="C894" s="34"/>
      <c r="D894" s="40" t="str">
        <f t="shared" si="27"/>
        <v>2002000888</v>
      </c>
      <c r="E894" s="34"/>
      <c r="F894" s="52"/>
      <c r="G894" s="34"/>
      <c r="H894" s="34"/>
      <c r="I894" s="278"/>
      <c r="J894" s="50" t="str">
        <f t="shared" ca="1" si="28"/>
        <v/>
      </c>
      <c r="K894" s="50" t="str">
        <f ca="1">IFERROR(VLOOKUP($J894,Ref!$B$7:$C$9,2),"")</f>
        <v/>
      </c>
      <c r="L894" s="55"/>
      <c r="M894" s="34"/>
      <c r="N894" s="34"/>
      <c r="O894" s="34"/>
      <c r="P894" s="34"/>
      <c r="Q894" s="34"/>
      <c r="R894" s="34"/>
      <c r="S894" s="43"/>
      <c r="T894" s="43"/>
      <c r="U894" s="43"/>
      <c r="V894" s="58"/>
      <c r="W894" s="34"/>
      <c r="X894" s="34"/>
    </row>
    <row r="895" spans="1:24" x14ac:dyDescent="0.2">
      <c r="A895" s="132">
        <v>889</v>
      </c>
      <c r="B895" s="342"/>
      <c r="C895" s="34"/>
      <c r="D895" s="40" t="str">
        <f t="shared" si="27"/>
        <v>2002000889</v>
      </c>
      <c r="E895" s="34"/>
      <c r="F895" s="52"/>
      <c r="G895" s="34"/>
      <c r="H895" s="34"/>
      <c r="I895" s="278"/>
      <c r="J895" s="50" t="str">
        <f t="shared" ca="1" si="28"/>
        <v/>
      </c>
      <c r="K895" s="50" t="str">
        <f ca="1">IFERROR(VLOOKUP($J895,Ref!$B$7:$C$9,2),"")</f>
        <v/>
      </c>
      <c r="L895" s="55"/>
      <c r="M895" s="34"/>
      <c r="N895" s="34"/>
      <c r="O895" s="34"/>
      <c r="P895" s="34"/>
      <c r="Q895" s="34"/>
      <c r="R895" s="34"/>
      <c r="S895" s="43"/>
      <c r="T895" s="43"/>
      <c r="U895" s="43"/>
      <c r="V895" s="58"/>
      <c r="W895" s="34"/>
      <c r="X895" s="34"/>
    </row>
    <row r="896" spans="1:24" x14ac:dyDescent="0.2">
      <c r="A896" s="132">
        <v>890</v>
      </c>
      <c r="B896" s="342"/>
      <c r="C896" s="34"/>
      <c r="D896" s="40" t="str">
        <f t="shared" si="27"/>
        <v>2002000890</v>
      </c>
      <c r="E896" s="34"/>
      <c r="F896" s="52"/>
      <c r="G896" s="34"/>
      <c r="H896" s="34"/>
      <c r="I896" s="278"/>
      <c r="J896" s="50" t="str">
        <f t="shared" ca="1" si="28"/>
        <v/>
      </c>
      <c r="K896" s="50" t="str">
        <f ca="1">IFERROR(VLOOKUP($J896,Ref!$B$7:$C$9,2),"")</f>
        <v/>
      </c>
      <c r="L896" s="55"/>
      <c r="M896" s="34"/>
      <c r="N896" s="34"/>
      <c r="O896" s="34"/>
      <c r="P896" s="34"/>
      <c r="Q896" s="34"/>
      <c r="R896" s="34"/>
      <c r="S896" s="43"/>
      <c r="T896" s="43"/>
      <c r="U896" s="43"/>
      <c r="V896" s="58"/>
      <c r="W896" s="34"/>
      <c r="X896" s="34"/>
    </row>
    <row r="897" spans="1:24" x14ac:dyDescent="0.2">
      <c r="A897" s="132">
        <v>891</v>
      </c>
      <c r="B897" s="342"/>
      <c r="C897" s="34"/>
      <c r="D897" s="40" t="str">
        <f t="shared" si="27"/>
        <v>2002000891</v>
      </c>
      <c r="E897" s="34"/>
      <c r="F897" s="52"/>
      <c r="G897" s="34"/>
      <c r="H897" s="34"/>
      <c r="I897" s="278"/>
      <c r="J897" s="50" t="str">
        <f t="shared" ca="1" si="28"/>
        <v/>
      </c>
      <c r="K897" s="50" t="str">
        <f ca="1">IFERROR(VLOOKUP($J897,Ref!$B$7:$C$9,2),"")</f>
        <v/>
      </c>
      <c r="L897" s="55"/>
      <c r="M897" s="34"/>
      <c r="N897" s="34"/>
      <c r="O897" s="34"/>
      <c r="P897" s="34"/>
      <c r="Q897" s="34"/>
      <c r="R897" s="34"/>
      <c r="S897" s="43"/>
      <c r="T897" s="43"/>
      <c r="U897" s="43"/>
      <c r="V897" s="58"/>
      <c r="W897" s="34"/>
      <c r="X897" s="34"/>
    </row>
    <row r="898" spans="1:24" x14ac:dyDescent="0.2">
      <c r="A898" s="132">
        <v>892</v>
      </c>
      <c r="B898" s="342"/>
      <c r="C898" s="34"/>
      <c r="D898" s="40" t="str">
        <f t="shared" si="27"/>
        <v>2002000892</v>
      </c>
      <c r="E898" s="34"/>
      <c r="F898" s="52"/>
      <c r="G898" s="34"/>
      <c r="H898" s="34"/>
      <c r="I898" s="278"/>
      <c r="J898" s="50" t="str">
        <f t="shared" ca="1" si="28"/>
        <v/>
      </c>
      <c r="K898" s="50" t="str">
        <f ca="1">IFERROR(VLOOKUP($J898,Ref!$B$7:$C$9,2),"")</f>
        <v/>
      </c>
      <c r="L898" s="55"/>
      <c r="M898" s="34"/>
      <c r="N898" s="34"/>
      <c r="O898" s="34"/>
      <c r="P898" s="34"/>
      <c r="Q898" s="34"/>
      <c r="R898" s="34"/>
      <c r="S898" s="43"/>
      <c r="T898" s="43"/>
      <c r="U898" s="43"/>
      <c r="V898" s="58"/>
      <c r="W898" s="34"/>
      <c r="X898" s="34"/>
    </row>
    <row r="899" spans="1:24" x14ac:dyDescent="0.2">
      <c r="A899" s="132">
        <v>893</v>
      </c>
      <c r="B899" s="342"/>
      <c r="C899" s="34"/>
      <c r="D899" s="40" t="str">
        <f t="shared" si="27"/>
        <v>2002000893</v>
      </c>
      <c r="E899" s="34"/>
      <c r="F899" s="52"/>
      <c r="G899" s="34"/>
      <c r="H899" s="34"/>
      <c r="I899" s="278"/>
      <c r="J899" s="50" t="str">
        <f t="shared" ca="1" si="28"/>
        <v/>
      </c>
      <c r="K899" s="50" t="str">
        <f ca="1">IFERROR(VLOOKUP($J899,Ref!$B$7:$C$9,2),"")</f>
        <v/>
      </c>
      <c r="L899" s="55"/>
      <c r="M899" s="34"/>
      <c r="N899" s="34"/>
      <c r="O899" s="34"/>
      <c r="P899" s="34"/>
      <c r="Q899" s="34"/>
      <c r="R899" s="34"/>
      <c r="S899" s="43"/>
      <c r="T899" s="43"/>
      <c r="U899" s="43"/>
      <c r="V899" s="58"/>
      <c r="W899" s="34"/>
      <c r="X899" s="34"/>
    </row>
    <row r="900" spans="1:24" x14ac:dyDescent="0.2">
      <c r="A900" s="132">
        <v>894</v>
      </c>
      <c r="B900" s="342"/>
      <c r="C900" s="34"/>
      <c r="D900" s="40" t="str">
        <f t="shared" si="27"/>
        <v>2002000894</v>
      </c>
      <c r="E900" s="34"/>
      <c r="F900" s="52"/>
      <c r="G900" s="34"/>
      <c r="H900" s="34"/>
      <c r="I900" s="278"/>
      <c r="J900" s="50" t="str">
        <f t="shared" ca="1" si="28"/>
        <v/>
      </c>
      <c r="K900" s="50" t="str">
        <f ca="1">IFERROR(VLOOKUP($J900,Ref!$B$7:$C$9,2),"")</f>
        <v/>
      </c>
      <c r="L900" s="55"/>
      <c r="M900" s="34"/>
      <c r="N900" s="34"/>
      <c r="O900" s="34"/>
      <c r="P900" s="34"/>
      <c r="Q900" s="34"/>
      <c r="R900" s="34"/>
      <c r="S900" s="43"/>
      <c r="T900" s="43"/>
      <c r="U900" s="43"/>
      <c r="V900" s="58"/>
      <c r="W900" s="34"/>
      <c r="X900" s="34"/>
    </row>
    <row r="901" spans="1:24" x14ac:dyDescent="0.2">
      <c r="A901" s="132">
        <v>895</v>
      </c>
      <c r="B901" s="342"/>
      <c r="C901" s="34"/>
      <c r="D901" s="40" t="str">
        <f t="shared" si="27"/>
        <v>2002000895</v>
      </c>
      <c r="E901" s="34"/>
      <c r="F901" s="52"/>
      <c r="G901" s="34"/>
      <c r="H901" s="34"/>
      <c r="I901" s="278"/>
      <c r="J901" s="50" t="str">
        <f t="shared" ca="1" si="28"/>
        <v/>
      </c>
      <c r="K901" s="50" t="str">
        <f ca="1">IFERROR(VLOOKUP($J901,Ref!$B$7:$C$9,2),"")</f>
        <v/>
      </c>
      <c r="L901" s="55"/>
      <c r="M901" s="34"/>
      <c r="N901" s="34"/>
      <c r="O901" s="34"/>
      <c r="P901" s="34"/>
      <c r="Q901" s="34"/>
      <c r="R901" s="34"/>
      <c r="S901" s="43"/>
      <c r="T901" s="43"/>
      <c r="U901" s="43"/>
      <c r="V901" s="58"/>
      <c r="W901" s="34"/>
      <c r="X901" s="34"/>
    </row>
    <row r="902" spans="1:24" x14ac:dyDescent="0.2">
      <c r="A902" s="132">
        <v>896</v>
      </c>
      <c r="B902" s="342"/>
      <c r="C902" s="34"/>
      <c r="D902" s="40" t="str">
        <f t="shared" si="27"/>
        <v>2002000896</v>
      </c>
      <c r="E902" s="34"/>
      <c r="F902" s="52"/>
      <c r="G902" s="34"/>
      <c r="H902" s="34"/>
      <c r="I902" s="278"/>
      <c r="J902" s="50" t="str">
        <f t="shared" ca="1" si="28"/>
        <v/>
      </c>
      <c r="K902" s="50" t="str">
        <f ca="1">IFERROR(VLOOKUP($J902,Ref!$B$7:$C$9,2),"")</f>
        <v/>
      </c>
      <c r="L902" s="55"/>
      <c r="M902" s="34"/>
      <c r="N902" s="34"/>
      <c r="O902" s="34"/>
      <c r="P902" s="34"/>
      <c r="Q902" s="34"/>
      <c r="R902" s="34"/>
      <c r="S902" s="43"/>
      <c r="T902" s="43"/>
      <c r="U902" s="43"/>
      <c r="V902" s="58"/>
      <c r="W902" s="34"/>
      <c r="X902" s="34"/>
    </row>
    <row r="903" spans="1:24" x14ac:dyDescent="0.2">
      <c r="A903" s="132">
        <v>897</v>
      </c>
      <c r="B903" s="342"/>
      <c r="C903" s="34"/>
      <c r="D903" s="40" t="str">
        <f t="shared" si="27"/>
        <v>2002000897</v>
      </c>
      <c r="E903" s="34"/>
      <c r="F903" s="52"/>
      <c r="G903" s="34"/>
      <c r="H903" s="34"/>
      <c r="I903" s="278"/>
      <c r="J903" s="50" t="str">
        <f t="shared" ca="1" si="28"/>
        <v/>
      </c>
      <c r="K903" s="50" t="str">
        <f ca="1">IFERROR(VLOOKUP($J903,Ref!$B$7:$C$9,2),"")</f>
        <v/>
      </c>
      <c r="L903" s="55"/>
      <c r="M903" s="34"/>
      <c r="N903" s="34"/>
      <c r="O903" s="34"/>
      <c r="P903" s="34"/>
      <c r="Q903" s="34"/>
      <c r="R903" s="34"/>
      <c r="S903" s="43"/>
      <c r="T903" s="43"/>
      <c r="U903" s="43"/>
      <c r="V903" s="58"/>
      <c r="W903" s="34"/>
      <c r="X903" s="34"/>
    </row>
    <row r="904" spans="1:24" x14ac:dyDescent="0.2">
      <c r="A904" s="132">
        <v>898</v>
      </c>
      <c r="B904" s="342"/>
      <c r="C904" s="34"/>
      <c r="D904" s="40" t="str">
        <f t="shared" ref="D904:D967" si="29">IF(A904="","",LEFT($C$3,LEN($C$3)-LEN(A904))&amp;A904)</f>
        <v>2002000898</v>
      </c>
      <c r="E904" s="34"/>
      <c r="F904" s="52"/>
      <c r="G904" s="34"/>
      <c r="H904" s="34"/>
      <c r="I904" s="278"/>
      <c r="J904" s="50" t="str">
        <f t="shared" ca="1" si="28"/>
        <v/>
      </c>
      <c r="K904" s="50" t="str">
        <f ca="1">IFERROR(VLOOKUP($J904,Ref!$B$7:$C$9,2),"")</f>
        <v/>
      </c>
      <c r="L904" s="55"/>
      <c r="M904" s="34"/>
      <c r="N904" s="34"/>
      <c r="O904" s="34"/>
      <c r="P904" s="34"/>
      <c r="Q904" s="34"/>
      <c r="R904" s="34"/>
      <c r="S904" s="43"/>
      <c r="T904" s="43"/>
      <c r="U904" s="43"/>
      <c r="V904" s="58"/>
      <c r="W904" s="34"/>
      <c r="X904" s="34"/>
    </row>
    <row r="905" spans="1:24" x14ac:dyDescent="0.2">
      <c r="A905" s="132">
        <v>899</v>
      </c>
      <c r="B905" s="342"/>
      <c r="C905" s="34"/>
      <c r="D905" s="40" t="str">
        <f t="shared" si="29"/>
        <v>2002000899</v>
      </c>
      <c r="E905" s="34"/>
      <c r="F905" s="52"/>
      <c r="G905" s="34"/>
      <c r="H905" s="34"/>
      <c r="I905" s="278"/>
      <c r="J905" s="50" t="str">
        <f t="shared" ca="1" si="28"/>
        <v/>
      </c>
      <c r="K905" s="50" t="str">
        <f ca="1">IFERROR(VLOOKUP($J905,Ref!$B$7:$C$9,2),"")</f>
        <v/>
      </c>
      <c r="L905" s="55"/>
      <c r="M905" s="34"/>
      <c r="N905" s="34"/>
      <c r="O905" s="34"/>
      <c r="P905" s="34"/>
      <c r="Q905" s="34"/>
      <c r="R905" s="34"/>
      <c r="S905" s="43"/>
      <c r="T905" s="43"/>
      <c r="U905" s="43"/>
      <c r="V905" s="58"/>
      <c r="W905" s="34"/>
      <c r="X905" s="34"/>
    </row>
    <row r="906" spans="1:24" x14ac:dyDescent="0.2">
      <c r="A906" s="132">
        <v>900</v>
      </c>
      <c r="B906" s="342"/>
      <c r="C906" s="34"/>
      <c r="D906" s="40" t="str">
        <f t="shared" si="29"/>
        <v>2002000900</v>
      </c>
      <c r="E906" s="34"/>
      <c r="F906" s="52"/>
      <c r="G906" s="34"/>
      <c r="H906" s="34"/>
      <c r="I906" s="278"/>
      <c r="J906" s="50" t="str">
        <f t="shared" ca="1" si="28"/>
        <v/>
      </c>
      <c r="K906" s="50" t="str">
        <f ca="1">IFERROR(VLOOKUP($J906,Ref!$B$7:$C$9,2),"")</f>
        <v/>
      </c>
      <c r="L906" s="55"/>
      <c r="M906" s="34"/>
      <c r="N906" s="34"/>
      <c r="O906" s="34"/>
      <c r="P906" s="34"/>
      <c r="Q906" s="34"/>
      <c r="R906" s="34"/>
      <c r="S906" s="43"/>
      <c r="T906" s="43"/>
      <c r="U906" s="43"/>
      <c r="V906" s="58"/>
      <c r="W906" s="34"/>
      <c r="X906" s="34"/>
    </row>
    <row r="907" spans="1:24" x14ac:dyDescent="0.2">
      <c r="A907" s="132">
        <v>901</v>
      </c>
      <c r="B907" s="342"/>
      <c r="C907" s="34"/>
      <c r="D907" s="40" t="str">
        <f t="shared" si="29"/>
        <v>2002000901</v>
      </c>
      <c r="E907" s="34"/>
      <c r="F907" s="52"/>
      <c r="G907" s="34"/>
      <c r="H907" s="34"/>
      <c r="I907" s="278"/>
      <c r="J907" s="50" t="str">
        <f t="shared" ca="1" si="28"/>
        <v/>
      </c>
      <c r="K907" s="50" t="str">
        <f ca="1">IFERROR(VLOOKUP($J907,Ref!$B$7:$C$9,2),"")</f>
        <v/>
      </c>
      <c r="L907" s="55"/>
      <c r="M907" s="34"/>
      <c r="N907" s="34"/>
      <c r="O907" s="34"/>
      <c r="P907" s="34"/>
      <c r="Q907" s="34"/>
      <c r="R907" s="34"/>
      <c r="S907" s="43"/>
      <c r="T907" s="43"/>
      <c r="U907" s="43"/>
      <c r="V907" s="58"/>
      <c r="W907" s="34"/>
      <c r="X907" s="34"/>
    </row>
    <row r="908" spans="1:24" x14ac:dyDescent="0.2">
      <c r="A908" s="132">
        <v>902</v>
      </c>
      <c r="B908" s="342"/>
      <c r="C908" s="34"/>
      <c r="D908" s="40" t="str">
        <f t="shared" si="29"/>
        <v>2002000902</v>
      </c>
      <c r="E908" s="34"/>
      <c r="F908" s="52"/>
      <c r="G908" s="34"/>
      <c r="H908" s="34"/>
      <c r="I908" s="278"/>
      <c r="J908" s="50" t="str">
        <f t="shared" ca="1" si="28"/>
        <v/>
      </c>
      <c r="K908" s="50" t="str">
        <f ca="1">IFERROR(VLOOKUP($J908,Ref!$B$7:$C$9,2),"")</f>
        <v/>
      </c>
      <c r="L908" s="55"/>
      <c r="M908" s="34"/>
      <c r="N908" s="34"/>
      <c r="O908" s="34"/>
      <c r="P908" s="34"/>
      <c r="Q908" s="34"/>
      <c r="R908" s="34"/>
      <c r="S908" s="43"/>
      <c r="T908" s="43"/>
      <c r="U908" s="43"/>
      <c r="V908" s="58"/>
      <c r="W908" s="34"/>
      <c r="X908" s="34"/>
    </row>
    <row r="909" spans="1:24" x14ac:dyDescent="0.2">
      <c r="A909" s="132">
        <v>903</v>
      </c>
      <c r="B909" s="342"/>
      <c r="C909" s="34"/>
      <c r="D909" s="40" t="str">
        <f t="shared" si="29"/>
        <v>2002000903</v>
      </c>
      <c r="E909" s="34"/>
      <c r="F909" s="52"/>
      <c r="G909" s="34"/>
      <c r="H909" s="34"/>
      <c r="I909" s="278"/>
      <c r="J909" s="50" t="str">
        <f t="shared" ca="1" si="28"/>
        <v/>
      </c>
      <c r="K909" s="50" t="str">
        <f ca="1">IFERROR(VLOOKUP($J909,Ref!$B$7:$C$9,2),"")</f>
        <v/>
      </c>
      <c r="L909" s="55"/>
      <c r="M909" s="34"/>
      <c r="N909" s="34"/>
      <c r="O909" s="34"/>
      <c r="P909" s="34"/>
      <c r="Q909" s="34"/>
      <c r="R909" s="34"/>
      <c r="S909" s="43"/>
      <c r="T909" s="43"/>
      <c r="U909" s="43"/>
      <c r="V909" s="58"/>
      <c r="W909" s="34"/>
      <c r="X909" s="34"/>
    </row>
    <row r="910" spans="1:24" x14ac:dyDescent="0.2">
      <c r="A910" s="132">
        <v>904</v>
      </c>
      <c r="B910" s="342"/>
      <c r="C910" s="34"/>
      <c r="D910" s="40" t="str">
        <f t="shared" si="29"/>
        <v>2002000904</v>
      </c>
      <c r="E910" s="34"/>
      <c r="F910" s="52"/>
      <c r="G910" s="34"/>
      <c r="H910" s="34"/>
      <c r="I910" s="278"/>
      <c r="J910" s="50" t="str">
        <f t="shared" ca="1" si="28"/>
        <v/>
      </c>
      <c r="K910" s="50" t="str">
        <f ca="1">IFERROR(VLOOKUP($J910,Ref!$B$7:$C$9,2),"")</f>
        <v/>
      </c>
      <c r="L910" s="55"/>
      <c r="M910" s="34"/>
      <c r="N910" s="34"/>
      <c r="O910" s="34"/>
      <c r="P910" s="34"/>
      <c r="Q910" s="34"/>
      <c r="R910" s="34"/>
      <c r="S910" s="43"/>
      <c r="T910" s="43"/>
      <c r="U910" s="43"/>
      <c r="V910" s="58"/>
      <c r="W910" s="34"/>
      <c r="X910" s="34"/>
    </row>
    <row r="911" spans="1:24" x14ac:dyDescent="0.2">
      <c r="A911" s="132">
        <v>905</v>
      </c>
      <c r="B911" s="342"/>
      <c r="C911" s="34"/>
      <c r="D911" s="40" t="str">
        <f t="shared" si="29"/>
        <v>2002000905</v>
      </c>
      <c r="E911" s="34"/>
      <c r="F911" s="52"/>
      <c r="G911" s="34"/>
      <c r="H911" s="34"/>
      <c r="I911" s="278"/>
      <c r="J911" s="50" t="str">
        <f t="shared" ca="1" si="28"/>
        <v/>
      </c>
      <c r="K911" s="50" t="str">
        <f ca="1">IFERROR(VLOOKUP($J911,Ref!$B$7:$C$9,2),"")</f>
        <v/>
      </c>
      <c r="L911" s="55"/>
      <c r="M911" s="34"/>
      <c r="N911" s="34"/>
      <c r="O911" s="34"/>
      <c r="P911" s="34"/>
      <c r="Q911" s="34"/>
      <c r="R911" s="34"/>
      <c r="S911" s="43"/>
      <c r="T911" s="43"/>
      <c r="U911" s="43"/>
      <c r="V911" s="58"/>
      <c r="W911" s="34"/>
      <c r="X911" s="34"/>
    </row>
    <row r="912" spans="1:24" x14ac:dyDescent="0.2">
      <c r="A912" s="132">
        <v>906</v>
      </c>
      <c r="B912" s="342"/>
      <c r="C912" s="34"/>
      <c r="D912" s="40" t="str">
        <f t="shared" si="29"/>
        <v>2002000906</v>
      </c>
      <c r="E912" s="34"/>
      <c r="F912" s="52"/>
      <c r="G912" s="34"/>
      <c r="H912" s="34"/>
      <c r="I912" s="278"/>
      <c r="J912" s="50" t="str">
        <f t="shared" ca="1" si="28"/>
        <v/>
      </c>
      <c r="K912" s="50" t="str">
        <f ca="1">IFERROR(VLOOKUP($J912,Ref!$B$7:$C$9,2),"")</f>
        <v/>
      </c>
      <c r="L912" s="55"/>
      <c r="M912" s="34"/>
      <c r="N912" s="34"/>
      <c r="O912" s="34"/>
      <c r="P912" s="34"/>
      <c r="Q912" s="34"/>
      <c r="R912" s="34"/>
      <c r="S912" s="43"/>
      <c r="T912" s="43"/>
      <c r="U912" s="43"/>
      <c r="V912" s="58"/>
      <c r="W912" s="34"/>
      <c r="X912" s="34"/>
    </row>
    <row r="913" spans="1:24" x14ac:dyDescent="0.2">
      <c r="A913" s="132">
        <v>907</v>
      </c>
      <c r="B913" s="342"/>
      <c r="C913" s="34"/>
      <c r="D913" s="40" t="str">
        <f t="shared" si="29"/>
        <v>2002000907</v>
      </c>
      <c r="E913" s="34"/>
      <c r="F913" s="52"/>
      <c r="G913" s="34"/>
      <c r="H913" s="34"/>
      <c r="I913" s="278"/>
      <c r="J913" s="50" t="str">
        <f t="shared" ca="1" si="28"/>
        <v/>
      </c>
      <c r="K913" s="50" t="str">
        <f ca="1">IFERROR(VLOOKUP($J913,Ref!$B$7:$C$9,2),"")</f>
        <v/>
      </c>
      <c r="L913" s="55"/>
      <c r="M913" s="34"/>
      <c r="N913" s="34"/>
      <c r="O913" s="34"/>
      <c r="P913" s="34"/>
      <c r="Q913" s="34"/>
      <c r="R913" s="34"/>
      <c r="S913" s="43"/>
      <c r="T913" s="43"/>
      <c r="U913" s="43"/>
      <c r="V913" s="58"/>
      <c r="W913" s="34"/>
      <c r="X913" s="34"/>
    </row>
    <row r="914" spans="1:24" x14ac:dyDescent="0.2">
      <c r="A914" s="132">
        <v>908</v>
      </c>
      <c r="B914" s="342"/>
      <c r="C914" s="34"/>
      <c r="D914" s="40" t="str">
        <f t="shared" si="29"/>
        <v>2002000908</v>
      </c>
      <c r="E914" s="34"/>
      <c r="F914" s="52"/>
      <c r="G914" s="34"/>
      <c r="H914" s="34"/>
      <c r="I914" s="278"/>
      <c r="J914" s="50" t="str">
        <f t="shared" ca="1" si="28"/>
        <v/>
      </c>
      <c r="K914" s="50" t="str">
        <f ca="1">IFERROR(VLOOKUP($J914,Ref!$B$7:$C$9,2),"")</f>
        <v/>
      </c>
      <c r="L914" s="55"/>
      <c r="M914" s="34"/>
      <c r="N914" s="34"/>
      <c r="O914" s="34"/>
      <c r="P914" s="34"/>
      <c r="Q914" s="34"/>
      <c r="R914" s="34"/>
      <c r="S914" s="43"/>
      <c r="T914" s="43"/>
      <c r="U914" s="43"/>
      <c r="V914" s="58"/>
      <c r="W914" s="34"/>
      <c r="X914" s="34"/>
    </row>
    <row r="915" spans="1:24" x14ac:dyDescent="0.2">
      <c r="A915" s="132">
        <v>909</v>
      </c>
      <c r="B915" s="342"/>
      <c r="C915" s="34"/>
      <c r="D915" s="40" t="str">
        <f t="shared" si="29"/>
        <v>2002000909</v>
      </c>
      <c r="E915" s="34"/>
      <c r="F915" s="52"/>
      <c r="G915" s="34"/>
      <c r="H915" s="34"/>
      <c r="I915" s="278"/>
      <c r="J915" s="50" t="str">
        <f t="shared" ca="1" si="28"/>
        <v/>
      </c>
      <c r="K915" s="50" t="str">
        <f ca="1">IFERROR(VLOOKUP($J915,Ref!$B$7:$C$9,2),"")</f>
        <v/>
      </c>
      <c r="L915" s="55"/>
      <c r="M915" s="34"/>
      <c r="N915" s="34"/>
      <c r="O915" s="34"/>
      <c r="P915" s="34"/>
      <c r="Q915" s="34"/>
      <c r="R915" s="34"/>
      <c r="S915" s="43"/>
      <c r="T915" s="43"/>
      <c r="U915" s="43"/>
      <c r="V915" s="58"/>
      <c r="W915" s="34"/>
      <c r="X915" s="34"/>
    </row>
    <row r="916" spans="1:24" x14ac:dyDescent="0.2">
      <c r="A916" s="132">
        <v>910</v>
      </c>
      <c r="B916" s="342"/>
      <c r="C916" s="34"/>
      <c r="D916" s="40" t="str">
        <f t="shared" si="29"/>
        <v>2002000910</v>
      </c>
      <c r="E916" s="34"/>
      <c r="F916" s="52"/>
      <c r="G916" s="34"/>
      <c r="H916" s="34"/>
      <c r="I916" s="278"/>
      <c r="J916" s="50" t="str">
        <f t="shared" ca="1" si="28"/>
        <v/>
      </c>
      <c r="K916" s="50" t="str">
        <f ca="1">IFERROR(VLOOKUP($J916,Ref!$B$7:$C$9,2),"")</f>
        <v/>
      </c>
      <c r="L916" s="55"/>
      <c r="M916" s="34"/>
      <c r="N916" s="34"/>
      <c r="O916" s="34"/>
      <c r="P916" s="34"/>
      <c r="Q916" s="34"/>
      <c r="R916" s="34"/>
      <c r="S916" s="43"/>
      <c r="T916" s="43"/>
      <c r="U916" s="43"/>
      <c r="V916" s="58"/>
      <c r="W916" s="34"/>
      <c r="X916" s="34"/>
    </row>
    <row r="917" spans="1:24" x14ac:dyDescent="0.2">
      <c r="A917" s="132">
        <v>911</v>
      </c>
      <c r="B917" s="342"/>
      <c r="C917" s="34"/>
      <c r="D917" s="40" t="str">
        <f t="shared" si="29"/>
        <v>2002000911</v>
      </c>
      <c r="E917" s="34"/>
      <c r="F917" s="52"/>
      <c r="G917" s="34"/>
      <c r="H917" s="34"/>
      <c r="I917" s="278"/>
      <c r="J917" s="50" t="str">
        <f t="shared" ca="1" si="28"/>
        <v/>
      </c>
      <c r="K917" s="50" t="str">
        <f ca="1">IFERROR(VLOOKUP($J917,Ref!$B$7:$C$9,2),"")</f>
        <v/>
      </c>
      <c r="L917" s="55"/>
      <c r="M917" s="34"/>
      <c r="N917" s="34"/>
      <c r="O917" s="34"/>
      <c r="P917" s="34"/>
      <c r="Q917" s="34"/>
      <c r="R917" s="34"/>
      <c r="S917" s="43"/>
      <c r="T917" s="43"/>
      <c r="U917" s="43"/>
      <c r="V917" s="58"/>
      <c r="W917" s="34"/>
      <c r="X917" s="34"/>
    </row>
    <row r="918" spans="1:24" x14ac:dyDescent="0.2">
      <c r="A918" s="132">
        <v>912</v>
      </c>
      <c r="B918" s="342"/>
      <c r="C918" s="34"/>
      <c r="D918" s="40" t="str">
        <f t="shared" si="29"/>
        <v>2002000912</v>
      </c>
      <c r="E918" s="34"/>
      <c r="F918" s="52"/>
      <c r="G918" s="34"/>
      <c r="H918" s="34"/>
      <c r="I918" s="278"/>
      <c r="J918" s="50" t="str">
        <f t="shared" ca="1" si="28"/>
        <v/>
      </c>
      <c r="K918" s="50" t="str">
        <f ca="1">IFERROR(VLOOKUP($J918,Ref!$B$7:$C$9,2),"")</f>
        <v/>
      </c>
      <c r="L918" s="55"/>
      <c r="M918" s="34"/>
      <c r="N918" s="34"/>
      <c r="O918" s="34"/>
      <c r="P918" s="34"/>
      <c r="Q918" s="34"/>
      <c r="R918" s="34"/>
      <c r="S918" s="43"/>
      <c r="T918" s="43"/>
      <c r="U918" s="43"/>
      <c r="V918" s="58"/>
      <c r="W918" s="34"/>
      <c r="X918" s="34"/>
    </row>
    <row r="919" spans="1:24" x14ac:dyDescent="0.2">
      <c r="A919" s="132">
        <v>913</v>
      </c>
      <c r="B919" s="342"/>
      <c r="C919" s="34"/>
      <c r="D919" s="40" t="str">
        <f t="shared" si="29"/>
        <v>2002000913</v>
      </c>
      <c r="E919" s="34"/>
      <c r="F919" s="52"/>
      <c r="G919" s="34"/>
      <c r="H919" s="34"/>
      <c r="I919" s="278"/>
      <c r="J919" s="50" t="str">
        <f t="shared" ca="1" si="28"/>
        <v/>
      </c>
      <c r="K919" s="50" t="str">
        <f ca="1">IFERROR(VLOOKUP($J919,Ref!$B$7:$C$9,2),"")</f>
        <v/>
      </c>
      <c r="L919" s="55"/>
      <c r="M919" s="34"/>
      <c r="N919" s="34"/>
      <c r="O919" s="34"/>
      <c r="P919" s="34"/>
      <c r="Q919" s="34"/>
      <c r="R919" s="34"/>
      <c r="S919" s="43"/>
      <c r="T919" s="43"/>
      <c r="U919" s="43"/>
      <c r="V919" s="58"/>
      <c r="W919" s="34"/>
      <c r="X919" s="34"/>
    </row>
    <row r="920" spans="1:24" x14ac:dyDescent="0.2">
      <c r="A920" s="132">
        <v>914</v>
      </c>
      <c r="B920" s="342"/>
      <c r="C920" s="34"/>
      <c r="D920" s="40" t="str">
        <f t="shared" si="29"/>
        <v>2002000914</v>
      </c>
      <c r="E920" s="34"/>
      <c r="F920" s="52"/>
      <c r="G920" s="34"/>
      <c r="H920" s="34"/>
      <c r="I920" s="278"/>
      <c r="J920" s="50" t="str">
        <f t="shared" ref="J920:J983" ca="1" si="30">IF(I920="","",(TODAY()-$I920)/365)</f>
        <v/>
      </c>
      <c r="K920" s="50" t="str">
        <f ca="1">IFERROR(VLOOKUP($J920,Ref!$B$7:$C$9,2),"")</f>
        <v/>
      </c>
      <c r="L920" s="55"/>
      <c r="M920" s="34"/>
      <c r="N920" s="34"/>
      <c r="O920" s="34"/>
      <c r="P920" s="34"/>
      <c r="Q920" s="34"/>
      <c r="R920" s="34"/>
      <c r="S920" s="43"/>
      <c r="T920" s="43"/>
      <c r="U920" s="43"/>
      <c r="V920" s="58"/>
      <c r="W920" s="34"/>
      <c r="X920" s="34"/>
    </row>
    <row r="921" spans="1:24" x14ac:dyDescent="0.2">
      <c r="A921" s="132">
        <v>915</v>
      </c>
      <c r="B921" s="342"/>
      <c r="C921" s="34"/>
      <c r="D921" s="40" t="str">
        <f t="shared" si="29"/>
        <v>2002000915</v>
      </c>
      <c r="E921" s="34"/>
      <c r="F921" s="52"/>
      <c r="G921" s="34"/>
      <c r="H921" s="34"/>
      <c r="I921" s="278"/>
      <c r="J921" s="50" t="str">
        <f t="shared" ca="1" si="30"/>
        <v/>
      </c>
      <c r="K921" s="50" t="str">
        <f ca="1">IFERROR(VLOOKUP($J921,Ref!$B$7:$C$9,2),"")</f>
        <v/>
      </c>
      <c r="L921" s="55"/>
      <c r="M921" s="34"/>
      <c r="N921" s="34"/>
      <c r="O921" s="34"/>
      <c r="P921" s="34"/>
      <c r="Q921" s="34"/>
      <c r="R921" s="34"/>
      <c r="S921" s="43"/>
      <c r="T921" s="43"/>
      <c r="U921" s="43"/>
      <c r="V921" s="58"/>
      <c r="W921" s="34"/>
      <c r="X921" s="34"/>
    </row>
    <row r="922" spans="1:24" x14ac:dyDescent="0.2">
      <c r="A922" s="132">
        <v>916</v>
      </c>
      <c r="B922" s="342"/>
      <c r="C922" s="34"/>
      <c r="D922" s="40" t="str">
        <f t="shared" si="29"/>
        <v>2002000916</v>
      </c>
      <c r="E922" s="34"/>
      <c r="F922" s="52"/>
      <c r="G922" s="34"/>
      <c r="H922" s="34"/>
      <c r="I922" s="278"/>
      <c r="J922" s="50" t="str">
        <f t="shared" ca="1" si="30"/>
        <v/>
      </c>
      <c r="K922" s="50" t="str">
        <f ca="1">IFERROR(VLOOKUP($J922,Ref!$B$7:$C$9,2),"")</f>
        <v/>
      </c>
      <c r="L922" s="55"/>
      <c r="M922" s="34"/>
      <c r="N922" s="34"/>
      <c r="O922" s="34"/>
      <c r="P922" s="34"/>
      <c r="Q922" s="34"/>
      <c r="R922" s="34"/>
      <c r="S922" s="43"/>
      <c r="T922" s="43"/>
      <c r="U922" s="43"/>
      <c r="V922" s="58"/>
      <c r="W922" s="34"/>
      <c r="X922" s="34"/>
    </row>
    <row r="923" spans="1:24" x14ac:dyDescent="0.2">
      <c r="A923" s="132">
        <v>917</v>
      </c>
      <c r="B923" s="342"/>
      <c r="C923" s="34"/>
      <c r="D923" s="40" t="str">
        <f t="shared" si="29"/>
        <v>2002000917</v>
      </c>
      <c r="E923" s="34"/>
      <c r="F923" s="52"/>
      <c r="G923" s="34"/>
      <c r="H923" s="34"/>
      <c r="I923" s="278"/>
      <c r="J923" s="50" t="str">
        <f t="shared" ca="1" si="30"/>
        <v/>
      </c>
      <c r="K923" s="50" t="str">
        <f ca="1">IFERROR(VLOOKUP($J923,Ref!$B$7:$C$9,2),"")</f>
        <v/>
      </c>
      <c r="L923" s="55"/>
      <c r="M923" s="34"/>
      <c r="N923" s="34"/>
      <c r="O923" s="34"/>
      <c r="P923" s="34"/>
      <c r="Q923" s="34"/>
      <c r="R923" s="34"/>
      <c r="S923" s="43"/>
      <c r="T923" s="43"/>
      <c r="U923" s="43"/>
      <c r="V923" s="58"/>
      <c r="W923" s="34"/>
      <c r="X923" s="34"/>
    </row>
    <row r="924" spans="1:24" x14ac:dyDescent="0.2">
      <c r="A924" s="132">
        <v>918</v>
      </c>
      <c r="B924" s="342"/>
      <c r="C924" s="34"/>
      <c r="D924" s="40" t="str">
        <f t="shared" si="29"/>
        <v>2002000918</v>
      </c>
      <c r="E924" s="34"/>
      <c r="F924" s="52"/>
      <c r="G924" s="34"/>
      <c r="H924" s="34"/>
      <c r="I924" s="278"/>
      <c r="J924" s="50" t="str">
        <f t="shared" ca="1" si="30"/>
        <v/>
      </c>
      <c r="K924" s="50" t="str">
        <f ca="1">IFERROR(VLOOKUP($J924,Ref!$B$7:$C$9,2),"")</f>
        <v/>
      </c>
      <c r="L924" s="55"/>
      <c r="M924" s="34"/>
      <c r="N924" s="34"/>
      <c r="O924" s="34"/>
      <c r="P924" s="34"/>
      <c r="Q924" s="34"/>
      <c r="R924" s="34"/>
      <c r="S924" s="43"/>
      <c r="T924" s="43"/>
      <c r="U924" s="43"/>
      <c r="V924" s="58"/>
      <c r="W924" s="34"/>
      <c r="X924" s="34"/>
    </row>
    <row r="925" spans="1:24" x14ac:dyDescent="0.2">
      <c r="A925" s="132">
        <v>919</v>
      </c>
      <c r="B925" s="342"/>
      <c r="C925" s="34"/>
      <c r="D925" s="40" t="str">
        <f t="shared" si="29"/>
        <v>2002000919</v>
      </c>
      <c r="E925" s="34"/>
      <c r="F925" s="52"/>
      <c r="G925" s="34"/>
      <c r="H925" s="34"/>
      <c r="I925" s="278"/>
      <c r="J925" s="50" t="str">
        <f t="shared" ca="1" si="30"/>
        <v/>
      </c>
      <c r="K925" s="50" t="str">
        <f ca="1">IFERROR(VLOOKUP($J925,Ref!$B$7:$C$9,2),"")</f>
        <v/>
      </c>
      <c r="L925" s="55"/>
      <c r="M925" s="34"/>
      <c r="N925" s="34"/>
      <c r="O925" s="34"/>
      <c r="P925" s="34"/>
      <c r="Q925" s="34"/>
      <c r="R925" s="34"/>
      <c r="S925" s="43"/>
      <c r="T925" s="43"/>
      <c r="U925" s="43"/>
      <c r="V925" s="58"/>
      <c r="W925" s="34"/>
      <c r="X925" s="34"/>
    </row>
    <row r="926" spans="1:24" x14ac:dyDescent="0.2">
      <c r="A926" s="132">
        <v>920</v>
      </c>
      <c r="B926" s="342"/>
      <c r="C926" s="34"/>
      <c r="D926" s="40" t="str">
        <f t="shared" si="29"/>
        <v>2002000920</v>
      </c>
      <c r="E926" s="34"/>
      <c r="F926" s="52"/>
      <c r="G926" s="34"/>
      <c r="H926" s="34"/>
      <c r="I926" s="278"/>
      <c r="J926" s="50" t="str">
        <f t="shared" ca="1" si="30"/>
        <v/>
      </c>
      <c r="K926" s="50" t="str">
        <f ca="1">IFERROR(VLOOKUP($J926,Ref!$B$7:$C$9,2),"")</f>
        <v/>
      </c>
      <c r="L926" s="55"/>
      <c r="M926" s="34"/>
      <c r="N926" s="34"/>
      <c r="O926" s="34"/>
      <c r="P926" s="34"/>
      <c r="Q926" s="34"/>
      <c r="R926" s="34"/>
      <c r="S926" s="43"/>
      <c r="T926" s="43"/>
      <c r="U926" s="43"/>
      <c r="V926" s="58"/>
      <c r="W926" s="34"/>
      <c r="X926" s="34"/>
    </row>
    <row r="927" spans="1:24" x14ac:dyDescent="0.2">
      <c r="A927" s="132">
        <v>921</v>
      </c>
      <c r="B927" s="342"/>
      <c r="C927" s="34"/>
      <c r="D927" s="40" t="str">
        <f t="shared" si="29"/>
        <v>2002000921</v>
      </c>
      <c r="E927" s="34"/>
      <c r="F927" s="52"/>
      <c r="G927" s="34"/>
      <c r="H927" s="34"/>
      <c r="I927" s="278"/>
      <c r="J927" s="50" t="str">
        <f t="shared" ca="1" si="30"/>
        <v/>
      </c>
      <c r="K927" s="50" t="str">
        <f ca="1">IFERROR(VLOOKUP($J927,Ref!$B$7:$C$9,2),"")</f>
        <v/>
      </c>
      <c r="L927" s="55"/>
      <c r="M927" s="34"/>
      <c r="N927" s="34"/>
      <c r="O927" s="34"/>
      <c r="P927" s="34"/>
      <c r="Q927" s="34"/>
      <c r="R927" s="34"/>
      <c r="S927" s="43"/>
      <c r="T927" s="43"/>
      <c r="U927" s="43"/>
      <c r="V927" s="58"/>
      <c r="W927" s="34"/>
      <c r="X927" s="34"/>
    </row>
    <row r="928" spans="1:24" x14ac:dyDescent="0.2">
      <c r="A928" s="132">
        <v>922</v>
      </c>
      <c r="B928" s="342"/>
      <c r="C928" s="34"/>
      <c r="D928" s="40" t="str">
        <f t="shared" si="29"/>
        <v>2002000922</v>
      </c>
      <c r="E928" s="34"/>
      <c r="F928" s="52"/>
      <c r="G928" s="34"/>
      <c r="H928" s="34"/>
      <c r="I928" s="278"/>
      <c r="J928" s="50" t="str">
        <f t="shared" ca="1" si="30"/>
        <v/>
      </c>
      <c r="K928" s="50" t="str">
        <f ca="1">IFERROR(VLOOKUP($J928,Ref!$B$7:$C$9,2),"")</f>
        <v/>
      </c>
      <c r="L928" s="55"/>
      <c r="M928" s="34"/>
      <c r="N928" s="34"/>
      <c r="O928" s="34"/>
      <c r="P928" s="34"/>
      <c r="Q928" s="34"/>
      <c r="R928" s="34"/>
      <c r="S928" s="43"/>
      <c r="T928" s="43"/>
      <c r="U928" s="43"/>
      <c r="V928" s="58"/>
      <c r="W928" s="34"/>
      <c r="X928" s="34"/>
    </row>
    <row r="929" spans="1:24" x14ac:dyDescent="0.2">
      <c r="A929" s="132">
        <v>923</v>
      </c>
      <c r="B929" s="342"/>
      <c r="C929" s="34"/>
      <c r="D929" s="40" t="str">
        <f t="shared" si="29"/>
        <v>2002000923</v>
      </c>
      <c r="E929" s="34"/>
      <c r="F929" s="52"/>
      <c r="G929" s="34"/>
      <c r="H929" s="34"/>
      <c r="I929" s="278"/>
      <c r="J929" s="50" t="str">
        <f t="shared" ca="1" si="30"/>
        <v/>
      </c>
      <c r="K929" s="50" t="str">
        <f ca="1">IFERROR(VLOOKUP($J929,Ref!$B$7:$C$9,2),"")</f>
        <v/>
      </c>
      <c r="L929" s="55"/>
      <c r="M929" s="34"/>
      <c r="N929" s="34"/>
      <c r="O929" s="34"/>
      <c r="P929" s="34"/>
      <c r="Q929" s="34"/>
      <c r="R929" s="34"/>
      <c r="S929" s="43"/>
      <c r="T929" s="43"/>
      <c r="U929" s="43"/>
      <c r="V929" s="58"/>
      <c r="W929" s="34"/>
      <c r="X929" s="34"/>
    </row>
    <row r="930" spans="1:24" x14ac:dyDescent="0.2">
      <c r="A930" s="132">
        <v>924</v>
      </c>
      <c r="B930" s="342"/>
      <c r="C930" s="34"/>
      <c r="D930" s="40" t="str">
        <f t="shared" si="29"/>
        <v>2002000924</v>
      </c>
      <c r="E930" s="34"/>
      <c r="F930" s="52"/>
      <c r="G930" s="34"/>
      <c r="H930" s="34"/>
      <c r="I930" s="278"/>
      <c r="J930" s="50" t="str">
        <f t="shared" ca="1" si="30"/>
        <v/>
      </c>
      <c r="K930" s="50" t="str">
        <f ca="1">IFERROR(VLOOKUP($J930,Ref!$B$7:$C$9,2),"")</f>
        <v/>
      </c>
      <c r="L930" s="55"/>
      <c r="M930" s="34"/>
      <c r="N930" s="34"/>
      <c r="O930" s="34"/>
      <c r="P930" s="34"/>
      <c r="Q930" s="34"/>
      <c r="R930" s="34"/>
      <c r="S930" s="43"/>
      <c r="T930" s="43"/>
      <c r="U930" s="43"/>
      <c r="V930" s="58"/>
      <c r="W930" s="34"/>
      <c r="X930" s="34"/>
    </row>
    <row r="931" spans="1:24" x14ac:dyDescent="0.2">
      <c r="A931" s="132">
        <v>925</v>
      </c>
      <c r="B931" s="342"/>
      <c r="C931" s="34"/>
      <c r="D931" s="40" t="str">
        <f t="shared" si="29"/>
        <v>2002000925</v>
      </c>
      <c r="E931" s="34"/>
      <c r="F931" s="52"/>
      <c r="G931" s="34"/>
      <c r="H931" s="34"/>
      <c r="I931" s="278"/>
      <c r="J931" s="50" t="str">
        <f t="shared" ca="1" si="30"/>
        <v/>
      </c>
      <c r="K931" s="50" t="str">
        <f ca="1">IFERROR(VLOOKUP($J931,Ref!$B$7:$C$9,2),"")</f>
        <v/>
      </c>
      <c r="L931" s="55"/>
      <c r="M931" s="34"/>
      <c r="N931" s="34"/>
      <c r="O931" s="34"/>
      <c r="P931" s="34"/>
      <c r="Q931" s="34"/>
      <c r="R931" s="34"/>
      <c r="S931" s="43"/>
      <c r="T931" s="43"/>
      <c r="U931" s="43"/>
      <c r="V931" s="58"/>
      <c r="W931" s="34"/>
      <c r="X931" s="34"/>
    </row>
    <row r="932" spans="1:24" x14ac:dyDescent="0.2">
      <c r="A932" s="132">
        <v>926</v>
      </c>
      <c r="B932" s="342"/>
      <c r="C932" s="34"/>
      <c r="D932" s="40" t="str">
        <f t="shared" si="29"/>
        <v>2002000926</v>
      </c>
      <c r="E932" s="34"/>
      <c r="F932" s="52"/>
      <c r="G932" s="34"/>
      <c r="H932" s="34"/>
      <c r="I932" s="278"/>
      <c r="J932" s="50" t="str">
        <f t="shared" ca="1" si="30"/>
        <v/>
      </c>
      <c r="K932" s="50" t="str">
        <f ca="1">IFERROR(VLOOKUP($J932,Ref!$B$7:$C$9,2),"")</f>
        <v/>
      </c>
      <c r="L932" s="55"/>
      <c r="M932" s="34"/>
      <c r="N932" s="34"/>
      <c r="O932" s="34"/>
      <c r="P932" s="34"/>
      <c r="Q932" s="34"/>
      <c r="R932" s="34"/>
      <c r="S932" s="43"/>
      <c r="T932" s="43"/>
      <c r="U932" s="43"/>
      <c r="V932" s="58"/>
      <c r="W932" s="34"/>
      <c r="X932" s="34"/>
    </row>
    <row r="933" spans="1:24" x14ac:dyDescent="0.2">
      <c r="A933" s="132">
        <v>927</v>
      </c>
      <c r="B933" s="342"/>
      <c r="C933" s="34"/>
      <c r="D933" s="40" t="str">
        <f t="shared" si="29"/>
        <v>2002000927</v>
      </c>
      <c r="E933" s="34"/>
      <c r="F933" s="52"/>
      <c r="G933" s="34"/>
      <c r="H933" s="34"/>
      <c r="I933" s="278"/>
      <c r="J933" s="50" t="str">
        <f t="shared" ca="1" si="30"/>
        <v/>
      </c>
      <c r="K933" s="50" t="str">
        <f ca="1">IFERROR(VLOOKUP($J933,Ref!$B$7:$C$9,2),"")</f>
        <v/>
      </c>
      <c r="L933" s="55"/>
      <c r="M933" s="34"/>
      <c r="N933" s="34"/>
      <c r="O933" s="34"/>
      <c r="P933" s="34"/>
      <c r="Q933" s="34"/>
      <c r="R933" s="34"/>
      <c r="S933" s="43"/>
      <c r="T933" s="43"/>
      <c r="U933" s="43"/>
      <c r="V933" s="58"/>
      <c r="W933" s="34"/>
      <c r="X933" s="34"/>
    </row>
    <row r="934" spans="1:24" x14ac:dyDescent="0.2">
      <c r="A934" s="132">
        <v>928</v>
      </c>
      <c r="B934" s="342"/>
      <c r="C934" s="34"/>
      <c r="D934" s="40" t="str">
        <f t="shared" si="29"/>
        <v>2002000928</v>
      </c>
      <c r="E934" s="34"/>
      <c r="F934" s="52"/>
      <c r="G934" s="34"/>
      <c r="H934" s="34"/>
      <c r="I934" s="278"/>
      <c r="J934" s="50" t="str">
        <f t="shared" ca="1" si="30"/>
        <v/>
      </c>
      <c r="K934" s="50" t="str">
        <f ca="1">IFERROR(VLOOKUP($J934,Ref!$B$7:$C$9,2),"")</f>
        <v/>
      </c>
      <c r="L934" s="55"/>
      <c r="M934" s="34"/>
      <c r="N934" s="34"/>
      <c r="O934" s="34"/>
      <c r="P934" s="34"/>
      <c r="Q934" s="34"/>
      <c r="R934" s="34"/>
      <c r="S934" s="43"/>
      <c r="T934" s="43"/>
      <c r="U934" s="43"/>
      <c r="V934" s="58"/>
      <c r="W934" s="34"/>
      <c r="X934" s="34"/>
    </row>
    <row r="935" spans="1:24" x14ac:dyDescent="0.2">
      <c r="A935" s="132">
        <v>929</v>
      </c>
      <c r="B935" s="342"/>
      <c r="C935" s="34"/>
      <c r="D935" s="40" t="str">
        <f t="shared" si="29"/>
        <v>2002000929</v>
      </c>
      <c r="E935" s="34"/>
      <c r="F935" s="52"/>
      <c r="G935" s="34"/>
      <c r="H935" s="34"/>
      <c r="I935" s="278"/>
      <c r="J935" s="50" t="str">
        <f t="shared" ca="1" si="30"/>
        <v/>
      </c>
      <c r="K935" s="50" t="str">
        <f ca="1">IFERROR(VLOOKUP($J935,Ref!$B$7:$C$9,2),"")</f>
        <v/>
      </c>
      <c r="L935" s="55"/>
      <c r="M935" s="34"/>
      <c r="N935" s="34"/>
      <c r="O935" s="34"/>
      <c r="P935" s="34"/>
      <c r="Q935" s="34"/>
      <c r="R935" s="34"/>
      <c r="S935" s="43"/>
      <c r="T935" s="43"/>
      <c r="U935" s="43"/>
      <c r="V935" s="58"/>
      <c r="W935" s="34"/>
      <c r="X935" s="34"/>
    </row>
    <row r="936" spans="1:24" x14ac:dyDescent="0.2">
      <c r="A936" s="132">
        <v>930</v>
      </c>
      <c r="B936" s="342"/>
      <c r="C936" s="34"/>
      <c r="D936" s="40" t="str">
        <f t="shared" si="29"/>
        <v>2002000930</v>
      </c>
      <c r="E936" s="34"/>
      <c r="F936" s="52"/>
      <c r="G936" s="34"/>
      <c r="H936" s="34"/>
      <c r="I936" s="278"/>
      <c r="J936" s="50" t="str">
        <f t="shared" ca="1" si="30"/>
        <v/>
      </c>
      <c r="K936" s="50" t="str">
        <f ca="1">IFERROR(VLOOKUP($J936,Ref!$B$7:$C$9,2),"")</f>
        <v/>
      </c>
      <c r="L936" s="55"/>
      <c r="M936" s="34"/>
      <c r="N936" s="34"/>
      <c r="O936" s="34"/>
      <c r="P936" s="34"/>
      <c r="Q936" s="34"/>
      <c r="R936" s="34"/>
      <c r="S936" s="43"/>
      <c r="T936" s="43"/>
      <c r="U936" s="43"/>
      <c r="V936" s="58"/>
      <c r="W936" s="34"/>
      <c r="X936" s="34"/>
    </row>
    <row r="937" spans="1:24" x14ac:dyDescent="0.2">
      <c r="A937" s="132">
        <v>931</v>
      </c>
      <c r="B937" s="342"/>
      <c r="C937" s="34"/>
      <c r="D937" s="40" t="str">
        <f t="shared" si="29"/>
        <v>2002000931</v>
      </c>
      <c r="E937" s="34"/>
      <c r="F937" s="52"/>
      <c r="G937" s="34"/>
      <c r="H937" s="34"/>
      <c r="I937" s="278"/>
      <c r="J937" s="50" t="str">
        <f t="shared" ca="1" si="30"/>
        <v/>
      </c>
      <c r="K937" s="50" t="str">
        <f ca="1">IFERROR(VLOOKUP($J937,Ref!$B$7:$C$9,2),"")</f>
        <v/>
      </c>
      <c r="L937" s="55"/>
      <c r="M937" s="34"/>
      <c r="N937" s="34"/>
      <c r="O937" s="34"/>
      <c r="P937" s="34"/>
      <c r="Q937" s="34"/>
      <c r="R937" s="34"/>
      <c r="S937" s="43"/>
      <c r="T937" s="43"/>
      <c r="U937" s="43"/>
      <c r="V937" s="58"/>
      <c r="W937" s="34"/>
      <c r="X937" s="34"/>
    </row>
    <row r="938" spans="1:24" x14ac:dyDescent="0.2">
      <c r="A938" s="132">
        <v>932</v>
      </c>
      <c r="B938" s="342"/>
      <c r="C938" s="34"/>
      <c r="D938" s="40" t="str">
        <f t="shared" si="29"/>
        <v>2002000932</v>
      </c>
      <c r="E938" s="34"/>
      <c r="F938" s="52"/>
      <c r="G938" s="34"/>
      <c r="H938" s="34"/>
      <c r="I938" s="278"/>
      <c r="J938" s="50" t="str">
        <f t="shared" ca="1" si="30"/>
        <v/>
      </c>
      <c r="K938" s="50" t="str">
        <f ca="1">IFERROR(VLOOKUP($J938,Ref!$B$7:$C$9,2),"")</f>
        <v/>
      </c>
      <c r="L938" s="55"/>
      <c r="M938" s="34"/>
      <c r="N938" s="34"/>
      <c r="O938" s="34"/>
      <c r="P938" s="34"/>
      <c r="Q938" s="34"/>
      <c r="R938" s="34"/>
      <c r="S938" s="43"/>
      <c r="T938" s="43"/>
      <c r="U938" s="43"/>
      <c r="V938" s="58"/>
      <c r="W938" s="34"/>
      <c r="X938" s="34"/>
    </row>
    <row r="939" spans="1:24" x14ac:dyDescent="0.2">
      <c r="A939" s="132">
        <v>933</v>
      </c>
      <c r="B939" s="342"/>
      <c r="C939" s="34"/>
      <c r="D939" s="40" t="str">
        <f t="shared" si="29"/>
        <v>2002000933</v>
      </c>
      <c r="E939" s="34"/>
      <c r="F939" s="52"/>
      <c r="G939" s="34"/>
      <c r="H939" s="34"/>
      <c r="I939" s="278"/>
      <c r="J939" s="50" t="str">
        <f t="shared" ca="1" si="30"/>
        <v/>
      </c>
      <c r="K939" s="50" t="str">
        <f ca="1">IFERROR(VLOOKUP($J939,Ref!$B$7:$C$9,2),"")</f>
        <v/>
      </c>
      <c r="L939" s="55"/>
      <c r="M939" s="34"/>
      <c r="N939" s="34"/>
      <c r="O939" s="34"/>
      <c r="P939" s="34"/>
      <c r="Q939" s="34"/>
      <c r="R939" s="34"/>
      <c r="S939" s="43"/>
      <c r="T939" s="43"/>
      <c r="U939" s="43"/>
      <c r="V939" s="58"/>
      <c r="W939" s="34"/>
      <c r="X939" s="34"/>
    </row>
    <row r="940" spans="1:24" x14ac:dyDescent="0.2">
      <c r="A940" s="132">
        <v>934</v>
      </c>
      <c r="B940" s="342"/>
      <c r="C940" s="34"/>
      <c r="D940" s="40" t="str">
        <f t="shared" si="29"/>
        <v>2002000934</v>
      </c>
      <c r="E940" s="34"/>
      <c r="F940" s="52"/>
      <c r="G940" s="34"/>
      <c r="H940" s="34"/>
      <c r="I940" s="278"/>
      <c r="J940" s="50" t="str">
        <f t="shared" ca="1" si="30"/>
        <v/>
      </c>
      <c r="K940" s="50" t="str">
        <f ca="1">IFERROR(VLOOKUP($J940,Ref!$B$7:$C$9,2),"")</f>
        <v/>
      </c>
      <c r="L940" s="55"/>
      <c r="M940" s="34"/>
      <c r="N940" s="34"/>
      <c r="O940" s="34"/>
      <c r="P940" s="34"/>
      <c r="Q940" s="34"/>
      <c r="R940" s="34"/>
      <c r="S940" s="43"/>
      <c r="T940" s="43"/>
      <c r="U940" s="43"/>
      <c r="V940" s="58"/>
      <c r="W940" s="34"/>
      <c r="X940" s="34"/>
    </row>
    <row r="941" spans="1:24" x14ac:dyDescent="0.2">
      <c r="A941" s="132">
        <v>935</v>
      </c>
      <c r="B941" s="342"/>
      <c r="C941" s="34"/>
      <c r="D941" s="40" t="str">
        <f t="shared" si="29"/>
        <v>2002000935</v>
      </c>
      <c r="E941" s="34"/>
      <c r="F941" s="52"/>
      <c r="G941" s="34"/>
      <c r="H941" s="34"/>
      <c r="I941" s="278"/>
      <c r="J941" s="50" t="str">
        <f t="shared" ca="1" si="30"/>
        <v/>
      </c>
      <c r="K941" s="50" t="str">
        <f ca="1">IFERROR(VLOOKUP($J941,Ref!$B$7:$C$9,2),"")</f>
        <v/>
      </c>
      <c r="L941" s="55"/>
      <c r="M941" s="34"/>
      <c r="N941" s="34"/>
      <c r="O941" s="34"/>
      <c r="P941" s="34"/>
      <c r="Q941" s="34"/>
      <c r="R941" s="34"/>
      <c r="S941" s="43"/>
      <c r="T941" s="43"/>
      <c r="U941" s="43"/>
      <c r="V941" s="58"/>
      <c r="W941" s="34"/>
      <c r="X941" s="34"/>
    </row>
    <row r="942" spans="1:24" x14ac:dyDescent="0.2">
      <c r="A942" s="132">
        <v>936</v>
      </c>
      <c r="B942" s="342"/>
      <c r="C942" s="34"/>
      <c r="D942" s="40" t="str">
        <f t="shared" si="29"/>
        <v>2002000936</v>
      </c>
      <c r="E942" s="34"/>
      <c r="F942" s="52"/>
      <c r="G942" s="34"/>
      <c r="H942" s="34"/>
      <c r="I942" s="278"/>
      <c r="J942" s="50" t="str">
        <f t="shared" ca="1" si="30"/>
        <v/>
      </c>
      <c r="K942" s="50" t="str">
        <f ca="1">IFERROR(VLOOKUP($J942,Ref!$B$7:$C$9,2),"")</f>
        <v/>
      </c>
      <c r="L942" s="55"/>
      <c r="M942" s="34"/>
      <c r="N942" s="34"/>
      <c r="O942" s="34"/>
      <c r="P942" s="34"/>
      <c r="Q942" s="34"/>
      <c r="R942" s="34"/>
      <c r="S942" s="43"/>
      <c r="T942" s="43"/>
      <c r="U942" s="43"/>
      <c r="V942" s="58"/>
      <c r="W942" s="34"/>
      <c r="X942" s="34"/>
    </row>
    <row r="943" spans="1:24" x14ac:dyDescent="0.2">
      <c r="A943" s="132">
        <v>937</v>
      </c>
      <c r="B943" s="342"/>
      <c r="C943" s="34"/>
      <c r="D943" s="40" t="str">
        <f t="shared" si="29"/>
        <v>2002000937</v>
      </c>
      <c r="E943" s="34"/>
      <c r="F943" s="52"/>
      <c r="G943" s="34"/>
      <c r="H943" s="34"/>
      <c r="I943" s="278"/>
      <c r="J943" s="50" t="str">
        <f t="shared" ca="1" si="30"/>
        <v/>
      </c>
      <c r="K943" s="50" t="str">
        <f ca="1">IFERROR(VLOOKUP($J943,Ref!$B$7:$C$9,2),"")</f>
        <v/>
      </c>
      <c r="L943" s="55"/>
      <c r="M943" s="34"/>
      <c r="N943" s="34"/>
      <c r="O943" s="34"/>
      <c r="P943" s="34"/>
      <c r="Q943" s="34"/>
      <c r="R943" s="34"/>
      <c r="S943" s="43"/>
      <c r="T943" s="43"/>
      <c r="U943" s="43"/>
      <c r="V943" s="58"/>
      <c r="W943" s="34"/>
      <c r="X943" s="34"/>
    </row>
    <row r="944" spans="1:24" x14ac:dyDescent="0.2">
      <c r="A944" s="132">
        <v>938</v>
      </c>
      <c r="B944" s="342"/>
      <c r="C944" s="34"/>
      <c r="D944" s="40" t="str">
        <f t="shared" si="29"/>
        <v>2002000938</v>
      </c>
      <c r="E944" s="34"/>
      <c r="F944" s="52"/>
      <c r="G944" s="34"/>
      <c r="H944" s="34"/>
      <c r="I944" s="278"/>
      <c r="J944" s="50" t="str">
        <f t="shared" ca="1" si="30"/>
        <v/>
      </c>
      <c r="K944" s="50" t="str">
        <f ca="1">IFERROR(VLOOKUP($J944,Ref!$B$7:$C$9,2),"")</f>
        <v/>
      </c>
      <c r="L944" s="55"/>
      <c r="M944" s="34"/>
      <c r="N944" s="34"/>
      <c r="O944" s="34"/>
      <c r="P944" s="34"/>
      <c r="Q944" s="34"/>
      <c r="R944" s="34"/>
      <c r="S944" s="43"/>
      <c r="T944" s="43"/>
      <c r="U944" s="43"/>
      <c r="V944" s="58"/>
      <c r="W944" s="34"/>
      <c r="X944" s="34"/>
    </row>
    <row r="945" spans="1:24" x14ac:dyDescent="0.2">
      <c r="A945" s="132">
        <v>939</v>
      </c>
      <c r="B945" s="342"/>
      <c r="C945" s="34"/>
      <c r="D945" s="40" t="str">
        <f t="shared" si="29"/>
        <v>2002000939</v>
      </c>
      <c r="E945" s="34"/>
      <c r="F945" s="52"/>
      <c r="G945" s="34"/>
      <c r="H945" s="34"/>
      <c r="I945" s="278"/>
      <c r="J945" s="50" t="str">
        <f t="shared" ca="1" si="30"/>
        <v/>
      </c>
      <c r="K945" s="50" t="str">
        <f ca="1">IFERROR(VLOOKUP($J945,Ref!$B$7:$C$9,2),"")</f>
        <v/>
      </c>
      <c r="L945" s="55"/>
      <c r="M945" s="34"/>
      <c r="N945" s="34"/>
      <c r="O945" s="34"/>
      <c r="P945" s="34"/>
      <c r="Q945" s="34"/>
      <c r="R945" s="34"/>
      <c r="S945" s="43"/>
      <c r="T945" s="43"/>
      <c r="U945" s="43"/>
      <c r="V945" s="58"/>
      <c r="W945" s="34"/>
      <c r="X945" s="34"/>
    </row>
    <row r="946" spans="1:24" x14ac:dyDescent="0.2">
      <c r="A946" s="132">
        <v>940</v>
      </c>
      <c r="B946" s="342"/>
      <c r="C946" s="34"/>
      <c r="D946" s="40" t="str">
        <f t="shared" si="29"/>
        <v>2002000940</v>
      </c>
      <c r="E946" s="34"/>
      <c r="F946" s="52"/>
      <c r="G946" s="34"/>
      <c r="H946" s="34"/>
      <c r="I946" s="278"/>
      <c r="J946" s="50" t="str">
        <f t="shared" ca="1" si="30"/>
        <v/>
      </c>
      <c r="K946" s="50" t="str">
        <f ca="1">IFERROR(VLOOKUP($J946,Ref!$B$7:$C$9,2),"")</f>
        <v/>
      </c>
      <c r="L946" s="55"/>
      <c r="M946" s="34"/>
      <c r="N946" s="34"/>
      <c r="O946" s="34"/>
      <c r="P946" s="34"/>
      <c r="Q946" s="34"/>
      <c r="R946" s="34"/>
      <c r="S946" s="43"/>
      <c r="T946" s="43"/>
      <c r="U946" s="43"/>
      <c r="V946" s="58"/>
      <c r="W946" s="34"/>
      <c r="X946" s="34"/>
    </row>
    <row r="947" spans="1:24" x14ac:dyDescent="0.2">
      <c r="A947" s="132">
        <v>941</v>
      </c>
      <c r="B947" s="342"/>
      <c r="C947" s="34"/>
      <c r="D947" s="40" t="str">
        <f t="shared" si="29"/>
        <v>2002000941</v>
      </c>
      <c r="E947" s="34"/>
      <c r="F947" s="52"/>
      <c r="G947" s="34"/>
      <c r="H947" s="34"/>
      <c r="I947" s="278"/>
      <c r="J947" s="50" t="str">
        <f t="shared" ca="1" si="30"/>
        <v/>
      </c>
      <c r="K947" s="50" t="str">
        <f ca="1">IFERROR(VLOOKUP($J947,Ref!$B$7:$C$9,2),"")</f>
        <v/>
      </c>
      <c r="L947" s="55"/>
      <c r="M947" s="34"/>
      <c r="N947" s="34"/>
      <c r="O947" s="34"/>
      <c r="P947" s="34"/>
      <c r="Q947" s="34"/>
      <c r="R947" s="34"/>
      <c r="S947" s="43"/>
      <c r="T947" s="43"/>
      <c r="U947" s="43"/>
      <c r="V947" s="58"/>
      <c r="W947" s="34"/>
      <c r="X947" s="34"/>
    </row>
    <row r="948" spans="1:24" x14ac:dyDescent="0.2">
      <c r="A948" s="132">
        <v>942</v>
      </c>
      <c r="B948" s="342"/>
      <c r="C948" s="34"/>
      <c r="D948" s="40" t="str">
        <f t="shared" si="29"/>
        <v>2002000942</v>
      </c>
      <c r="E948" s="34"/>
      <c r="F948" s="52"/>
      <c r="G948" s="34"/>
      <c r="H948" s="34"/>
      <c r="I948" s="278"/>
      <c r="J948" s="50" t="str">
        <f t="shared" ca="1" si="30"/>
        <v/>
      </c>
      <c r="K948" s="50" t="str">
        <f ca="1">IFERROR(VLOOKUP($J948,Ref!$B$7:$C$9,2),"")</f>
        <v/>
      </c>
      <c r="L948" s="55"/>
      <c r="M948" s="34"/>
      <c r="N948" s="34"/>
      <c r="O948" s="34"/>
      <c r="P948" s="34"/>
      <c r="Q948" s="34"/>
      <c r="R948" s="34"/>
      <c r="S948" s="43"/>
      <c r="T948" s="43"/>
      <c r="U948" s="43"/>
      <c r="V948" s="58"/>
      <c r="W948" s="34"/>
      <c r="X948" s="34"/>
    </row>
    <row r="949" spans="1:24" x14ac:dyDescent="0.2">
      <c r="A949" s="132">
        <v>943</v>
      </c>
      <c r="B949" s="342"/>
      <c r="C949" s="34"/>
      <c r="D949" s="40" t="str">
        <f t="shared" si="29"/>
        <v>2002000943</v>
      </c>
      <c r="E949" s="34"/>
      <c r="F949" s="52"/>
      <c r="G949" s="34"/>
      <c r="H949" s="34"/>
      <c r="I949" s="278"/>
      <c r="J949" s="50" t="str">
        <f t="shared" ca="1" si="30"/>
        <v/>
      </c>
      <c r="K949" s="50" t="str">
        <f ca="1">IFERROR(VLOOKUP($J949,Ref!$B$7:$C$9,2),"")</f>
        <v/>
      </c>
      <c r="L949" s="55"/>
      <c r="M949" s="34"/>
      <c r="N949" s="34"/>
      <c r="O949" s="34"/>
      <c r="P949" s="34"/>
      <c r="Q949" s="34"/>
      <c r="R949" s="34"/>
      <c r="S949" s="43"/>
      <c r="T949" s="43"/>
      <c r="U949" s="43"/>
      <c r="V949" s="58"/>
      <c r="W949" s="34"/>
      <c r="X949" s="34"/>
    </row>
    <row r="950" spans="1:24" x14ac:dyDescent="0.2">
      <c r="A950" s="132">
        <v>944</v>
      </c>
      <c r="B950" s="342"/>
      <c r="C950" s="34"/>
      <c r="D950" s="40" t="str">
        <f t="shared" si="29"/>
        <v>2002000944</v>
      </c>
      <c r="E950" s="34"/>
      <c r="F950" s="52"/>
      <c r="G950" s="34"/>
      <c r="H950" s="34"/>
      <c r="I950" s="278"/>
      <c r="J950" s="50" t="str">
        <f t="shared" ca="1" si="30"/>
        <v/>
      </c>
      <c r="K950" s="50" t="str">
        <f ca="1">IFERROR(VLOOKUP($J950,Ref!$B$7:$C$9,2),"")</f>
        <v/>
      </c>
      <c r="L950" s="55"/>
      <c r="M950" s="34"/>
      <c r="N950" s="34"/>
      <c r="O950" s="34"/>
      <c r="P950" s="34"/>
      <c r="Q950" s="34"/>
      <c r="R950" s="34"/>
      <c r="S950" s="43"/>
      <c r="T950" s="43"/>
      <c r="U950" s="43"/>
      <c r="V950" s="58"/>
      <c r="W950" s="34"/>
      <c r="X950" s="34"/>
    </row>
    <row r="951" spans="1:24" x14ac:dyDescent="0.2">
      <c r="A951" s="132">
        <v>945</v>
      </c>
      <c r="B951" s="342"/>
      <c r="C951" s="34"/>
      <c r="D951" s="40" t="str">
        <f t="shared" si="29"/>
        <v>2002000945</v>
      </c>
      <c r="E951" s="34"/>
      <c r="F951" s="52"/>
      <c r="G951" s="34"/>
      <c r="H951" s="34"/>
      <c r="I951" s="278"/>
      <c r="J951" s="50" t="str">
        <f t="shared" ca="1" si="30"/>
        <v/>
      </c>
      <c r="K951" s="50" t="str">
        <f ca="1">IFERROR(VLOOKUP($J951,Ref!$B$7:$C$9,2),"")</f>
        <v/>
      </c>
      <c r="L951" s="55"/>
      <c r="M951" s="34"/>
      <c r="N951" s="34"/>
      <c r="O951" s="34"/>
      <c r="P951" s="34"/>
      <c r="Q951" s="34"/>
      <c r="R951" s="34"/>
      <c r="S951" s="43"/>
      <c r="T951" s="43"/>
      <c r="U951" s="43"/>
      <c r="V951" s="58"/>
      <c r="W951" s="34"/>
      <c r="X951" s="34"/>
    </row>
    <row r="952" spans="1:24" x14ac:dyDescent="0.2">
      <c r="A952" s="132">
        <v>946</v>
      </c>
      <c r="B952" s="342"/>
      <c r="C952" s="34"/>
      <c r="D952" s="40" t="str">
        <f t="shared" si="29"/>
        <v>2002000946</v>
      </c>
      <c r="E952" s="34"/>
      <c r="F952" s="52"/>
      <c r="G952" s="34"/>
      <c r="H952" s="34"/>
      <c r="I952" s="278"/>
      <c r="J952" s="50" t="str">
        <f t="shared" ca="1" si="30"/>
        <v/>
      </c>
      <c r="K952" s="50" t="str">
        <f ca="1">IFERROR(VLOOKUP($J952,Ref!$B$7:$C$9,2),"")</f>
        <v/>
      </c>
      <c r="L952" s="55"/>
      <c r="M952" s="34"/>
      <c r="N952" s="34"/>
      <c r="O952" s="34"/>
      <c r="P952" s="34"/>
      <c r="Q952" s="34"/>
      <c r="R952" s="34"/>
      <c r="S952" s="43"/>
      <c r="T952" s="43"/>
      <c r="U952" s="43"/>
      <c r="V952" s="58"/>
      <c r="W952" s="34"/>
      <c r="X952" s="34"/>
    </row>
    <row r="953" spans="1:24" x14ac:dyDescent="0.2">
      <c r="A953" s="132">
        <v>947</v>
      </c>
      <c r="B953" s="342"/>
      <c r="C953" s="34"/>
      <c r="D953" s="40" t="str">
        <f t="shared" si="29"/>
        <v>2002000947</v>
      </c>
      <c r="E953" s="34"/>
      <c r="F953" s="52"/>
      <c r="G953" s="34"/>
      <c r="H953" s="34"/>
      <c r="I953" s="278"/>
      <c r="J953" s="50" t="str">
        <f t="shared" ca="1" si="30"/>
        <v/>
      </c>
      <c r="K953" s="50" t="str">
        <f ca="1">IFERROR(VLOOKUP($J953,Ref!$B$7:$C$9,2),"")</f>
        <v/>
      </c>
      <c r="L953" s="55"/>
      <c r="M953" s="34"/>
      <c r="N953" s="34"/>
      <c r="O953" s="34"/>
      <c r="P953" s="34"/>
      <c r="Q953" s="34"/>
      <c r="R953" s="34"/>
      <c r="S953" s="43"/>
      <c r="T953" s="43"/>
      <c r="U953" s="43"/>
      <c r="V953" s="58"/>
      <c r="W953" s="34"/>
      <c r="X953" s="34"/>
    </row>
    <row r="954" spans="1:24" x14ac:dyDescent="0.2">
      <c r="A954" s="132">
        <v>948</v>
      </c>
      <c r="B954" s="342"/>
      <c r="C954" s="34"/>
      <c r="D954" s="40" t="str">
        <f t="shared" si="29"/>
        <v>2002000948</v>
      </c>
      <c r="E954" s="34"/>
      <c r="F954" s="52"/>
      <c r="G954" s="34"/>
      <c r="H954" s="34"/>
      <c r="I954" s="278"/>
      <c r="J954" s="50" t="str">
        <f t="shared" ca="1" si="30"/>
        <v/>
      </c>
      <c r="K954" s="50" t="str">
        <f ca="1">IFERROR(VLOOKUP($J954,Ref!$B$7:$C$9,2),"")</f>
        <v/>
      </c>
      <c r="L954" s="55"/>
      <c r="M954" s="34"/>
      <c r="N954" s="34"/>
      <c r="O954" s="34"/>
      <c r="P954" s="34"/>
      <c r="Q954" s="34"/>
      <c r="R954" s="34"/>
      <c r="S954" s="43"/>
      <c r="T954" s="43"/>
      <c r="U954" s="43"/>
      <c r="V954" s="58"/>
      <c r="W954" s="34"/>
      <c r="X954" s="34"/>
    </row>
    <row r="955" spans="1:24" x14ac:dyDescent="0.2">
      <c r="A955" s="132">
        <v>949</v>
      </c>
      <c r="B955" s="342"/>
      <c r="C955" s="34"/>
      <c r="D955" s="40" t="str">
        <f t="shared" si="29"/>
        <v>2002000949</v>
      </c>
      <c r="E955" s="34"/>
      <c r="F955" s="52"/>
      <c r="G955" s="34"/>
      <c r="H955" s="34"/>
      <c r="I955" s="278"/>
      <c r="J955" s="50" t="str">
        <f t="shared" ca="1" si="30"/>
        <v/>
      </c>
      <c r="K955" s="50" t="str">
        <f ca="1">IFERROR(VLOOKUP($J955,Ref!$B$7:$C$9,2),"")</f>
        <v/>
      </c>
      <c r="L955" s="55"/>
      <c r="M955" s="34"/>
      <c r="N955" s="34"/>
      <c r="O955" s="34"/>
      <c r="P955" s="34"/>
      <c r="Q955" s="34"/>
      <c r="R955" s="34"/>
      <c r="S955" s="43"/>
      <c r="T955" s="43"/>
      <c r="U955" s="43"/>
      <c r="V955" s="58"/>
      <c r="W955" s="34"/>
      <c r="X955" s="34"/>
    </row>
    <row r="956" spans="1:24" x14ac:dyDescent="0.2">
      <c r="A956" s="132">
        <v>950</v>
      </c>
      <c r="B956" s="342"/>
      <c r="C956" s="34"/>
      <c r="D956" s="40" t="str">
        <f t="shared" si="29"/>
        <v>2002000950</v>
      </c>
      <c r="E956" s="34"/>
      <c r="F956" s="52"/>
      <c r="G956" s="34"/>
      <c r="H956" s="34"/>
      <c r="I956" s="278"/>
      <c r="J956" s="50" t="str">
        <f t="shared" ca="1" si="30"/>
        <v/>
      </c>
      <c r="K956" s="50" t="str">
        <f ca="1">IFERROR(VLOOKUP($J956,Ref!$B$7:$C$9,2),"")</f>
        <v/>
      </c>
      <c r="L956" s="55"/>
      <c r="M956" s="34"/>
      <c r="N956" s="34"/>
      <c r="O956" s="34"/>
      <c r="P956" s="34"/>
      <c r="Q956" s="34"/>
      <c r="R956" s="34"/>
      <c r="S956" s="43"/>
      <c r="T956" s="43"/>
      <c r="U956" s="43"/>
      <c r="V956" s="58"/>
      <c r="W956" s="34"/>
      <c r="X956" s="34"/>
    </row>
    <row r="957" spans="1:24" x14ac:dyDescent="0.2">
      <c r="A957" s="132">
        <v>951</v>
      </c>
      <c r="B957" s="342"/>
      <c r="C957" s="34"/>
      <c r="D957" s="40" t="str">
        <f t="shared" si="29"/>
        <v>2002000951</v>
      </c>
      <c r="E957" s="34"/>
      <c r="F957" s="52"/>
      <c r="G957" s="34"/>
      <c r="H957" s="34"/>
      <c r="I957" s="278"/>
      <c r="J957" s="50" t="str">
        <f t="shared" ca="1" si="30"/>
        <v/>
      </c>
      <c r="K957" s="50" t="str">
        <f ca="1">IFERROR(VLOOKUP($J957,Ref!$B$7:$C$9,2),"")</f>
        <v/>
      </c>
      <c r="L957" s="55"/>
      <c r="M957" s="34"/>
      <c r="N957" s="34"/>
      <c r="O957" s="34"/>
      <c r="P957" s="34"/>
      <c r="Q957" s="34"/>
      <c r="R957" s="34"/>
      <c r="S957" s="43"/>
      <c r="T957" s="43"/>
      <c r="U957" s="43"/>
      <c r="V957" s="58"/>
      <c r="W957" s="34"/>
      <c r="X957" s="34"/>
    </row>
    <row r="958" spans="1:24" x14ac:dyDescent="0.2">
      <c r="A958" s="132">
        <v>952</v>
      </c>
      <c r="B958" s="342"/>
      <c r="C958" s="34"/>
      <c r="D958" s="40" t="str">
        <f t="shared" si="29"/>
        <v>2002000952</v>
      </c>
      <c r="E958" s="34"/>
      <c r="F958" s="52"/>
      <c r="G958" s="34"/>
      <c r="H958" s="34"/>
      <c r="I958" s="278"/>
      <c r="J958" s="50" t="str">
        <f t="shared" ca="1" si="30"/>
        <v/>
      </c>
      <c r="K958" s="50" t="str">
        <f ca="1">IFERROR(VLOOKUP($J958,Ref!$B$7:$C$9,2),"")</f>
        <v/>
      </c>
      <c r="L958" s="55"/>
      <c r="M958" s="34"/>
      <c r="N958" s="34"/>
      <c r="O958" s="34"/>
      <c r="P958" s="34"/>
      <c r="Q958" s="34"/>
      <c r="R958" s="34"/>
      <c r="S958" s="43"/>
      <c r="T958" s="43"/>
      <c r="U958" s="43"/>
      <c r="V958" s="58"/>
      <c r="W958" s="34"/>
      <c r="X958" s="34"/>
    </row>
    <row r="959" spans="1:24" x14ac:dyDescent="0.2">
      <c r="A959" s="132">
        <v>953</v>
      </c>
      <c r="B959" s="342"/>
      <c r="C959" s="34"/>
      <c r="D959" s="40" t="str">
        <f t="shared" si="29"/>
        <v>2002000953</v>
      </c>
      <c r="E959" s="34"/>
      <c r="F959" s="52"/>
      <c r="G959" s="34"/>
      <c r="H959" s="34"/>
      <c r="I959" s="278"/>
      <c r="J959" s="50" t="str">
        <f t="shared" ca="1" si="30"/>
        <v/>
      </c>
      <c r="K959" s="50" t="str">
        <f ca="1">IFERROR(VLOOKUP($J959,Ref!$B$7:$C$9,2),"")</f>
        <v/>
      </c>
      <c r="L959" s="55"/>
      <c r="M959" s="34"/>
      <c r="N959" s="34"/>
      <c r="O959" s="34"/>
      <c r="P959" s="34"/>
      <c r="Q959" s="34"/>
      <c r="R959" s="34"/>
      <c r="S959" s="43"/>
      <c r="T959" s="43"/>
      <c r="U959" s="43"/>
      <c r="V959" s="58"/>
      <c r="W959" s="34"/>
      <c r="X959" s="34"/>
    </row>
    <row r="960" spans="1:24" x14ac:dyDescent="0.2">
      <c r="A960" s="132">
        <v>954</v>
      </c>
      <c r="B960" s="342"/>
      <c r="C960" s="34"/>
      <c r="D960" s="40" t="str">
        <f t="shared" si="29"/>
        <v>2002000954</v>
      </c>
      <c r="E960" s="34"/>
      <c r="F960" s="52"/>
      <c r="G960" s="34"/>
      <c r="H960" s="34"/>
      <c r="I960" s="278"/>
      <c r="J960" s="50" t="str">
        <f t="shared" ca="1" si="30"/>
        <v/>
      </c>
      <c r="K960" s="50" t="str">
        <f ca="1">IFERROR(VLOOKUP($J960,Ref!$B$7:$C$9,2),"")</f>
        <v/>
      </c>
      <c r="L960" s="55"/>
      <c r="M960" s="34"/>
      <c r="N960" s="34"/>
      <c r="O960" s="34"/>
      <c r="P960" s="34"/>
      <c r="Q960" s="34"/>
      <c r="R960" s="34"/>
      <c r="S960" s="43"/>
      <c r="T960" s="43"/>
      <c r="U960" s="43"/>
      <c r="V960" s="58"/>
      <c r="W960" s="34"/>
      <c r="X960" s="34"/>
    </row>
    <row r="961" spans="1:24" x14ac:dyDescent="0.2">
      <c r="A961" s="132">
        <v>955</v>
      </c>
      <c r="B961" s="342"/>
      <c r="C961" s="34"/>
      <c r="D961" s="40" t="str">
        <f t="shared" si="29"/>
        <v>2002000955</v>
      </c>
      <c r="E961" s="34"/>
      <c r="F961" s="52"/>
      <c r="G961" s="34"/>
      <c r="H961" s="34"/>
      <c r="I961" s="278"/>
      <c r="J961" s="50" t="str">
        <f t="shared" ca="1" si="30"/>
        <v/>
      </c>
      <c r="K961" s="50" t="str">
        <f ca="1">IFERROR(VLOOKUP($J961,Ref!$B$7:$C$9,2),"")</f>
        <v/>
      </c>
      <c r="L961" s="55"/>
      <c r="M961" s="34"/>
      <c r="N961" s="34"/>
      <c r="O961" s="34"/>
      <c r="P961" s="34"/>
      <c r="Q961" s="34"/>
      <c r="R961" s="34"/>
      <c r="S961" s="43"/>
      <c r="T961" s="43"/>
      <c r="U961" s="43"/>
      <c r="V961" s="58"/>
      <c r="W961" s="34"/>
      <c r="X961" s="34"/>
    </row>
    <row r="962" spans="1:24" x14ac:dyDescent="0.2">
      <c r="A962" s="132">
        <v>956</v>
      </c>
      <c r="B962" s="342"/>
      <c r="C962" s="34"/>
      <c r="D962" s="40" t="str">
        <f t="shared" si="29"/>
        <v>2002000956</v>
      </c>
      <c r="E962" s="34"/>
      <c r="F962" s="52"/>
      <c r="G962" s="34"/>
      <c r="H962" s="34"/>
      <c r="I962" s="278"/>
      <c r="J962" s="50" t="str">
        <f t="shared" ca="1" si="30"/>
        <v/>
      </c>
      <c r="K962" s="50" t="str">
        <f ca="1">IFERROR(VLOOKUP($J962,Ref!$B$7:$C$9,2),"")</f>
        <v/>
      </c>
      <c r="L962" s="55"/>
      <c r="M962" s="34"/>
      <c r="N962" s="34"/>
      <c r="O962" s="34"/>
      <c r="P962" s="34"/>
      <c r="Q962" s="34"/>
      <c r="R962" s="34"/>
      <c r="S962" s="43"/>
      <c r="T962" s="43"/>
      <c r="U962" s="43"/>
      <c r="V962" s="58"/>
      <c r="W962" s="34"/>
      <c r="X962" s="34"/>
    </row>
    <row r="963" spans="1:24" x14ac:dyDescent="0.2">
      <c r="A963" s="132">
        <v>957</v>
      </c>
      <c r="B963" s="342"/>
      <c r="C963" s="34"/>
      <c r="D963" s="40" t="str">
        <f t="shared" si="29"/>
        <v>2002000957</v>
      </c>
      <c r="E963" s="34"/>
      <c r="F963" s="52"/>
      <c r="G963" s="34"/>
      <c r="H963" s="34"/>
      <c r="I963" s="278"/>
      <c r="J963" s="50" t="str">
        <f t="shared" ca="1" si="30"/>
        <v/>
      </c>
      <c r="K963" s="50" t="str">
        <f ca="1">IFERROR(VLOOKUP($J963,Ref!$B$7:$C$9,2),"")</f>
        <v/>
      </c>
      <c r="L963" s="55"/>
      <c r="M963" s="34"/>
      <c r="N963" s="34"/>
      <c r="O963" s="34"/>
      <c r="P963" s="34"/>
      <c r="Q963" s="34"/>
      <c r="R963" s="34"/>
      <c r="S963" s="43"/>
      <c r="T963" s="43"/>
      <c r="U963" s="43"/>
      <c r="V963" s="58"/>
      <c r="W963" s="34"/>
      <c r="X963" s="34"/>
    </row>
    <row r="964" spans="1:24" x14ac:dyDescent="0.2">
      <c r="A964" s="132">
        <v>958</v>
      </c>
      <c r="B964" s="342"/>
      <c r="C964" s="34"/>
      <c r="D964" s="40" t="str">
        <f t="shared" si="29"/>
        <v>2002000958</v>
      </c>
      <c r="E964" s="34"/>
      <c r="F964" s="52"/>
      <c r="G964" s="34"/>
      <c r="H964" s="34"/>
      <c r="I964" s="278"/>
      <c r="J964" s="50" t="str">
        <f t="shared" ca="1" si="30"/>
        <v/>
      </c>
      <c r="K964" s="50" t="str">
        <f ca="1">IFERROR(VLOOKUP($J964,Ref!$B$7:$C$9,2),"")</f>
        <v/>
      </c>
      <c r="L964" s="55"/>
      <c r="M964" s="34"/>
      <c r="N964" s="34"/>
      <c r="O964" s="34"/>
      <c r="P964" s="34"/>
      <c r="Q964" s="34"/>
      <c r="R964" s="34"/>
      <c r="S964" s="43"/>
      <c r="T964" s="43"/>
      <c r="U964" s="43"/>
      <c r="V964" s="58"/>
      <c r="W964" s="34"/>
      <c r="X964" s="34"/>
    </row>
    <row r="965" spans="1:24" x14ac:dyDescent="0.2">
      <c r="A965" s="132">
        <v>959</v>
      </c>
      <c r="B965" s="342"/>
      <c r="C965" s="34"/>
      <c r="D965" s="40" t="str">
        <f t="shared" si="29"/>
        <v>2002000959</v>
      </c>
      <c r="E965" s="34"/>
      <c r="F965" s="52"/>
      <c r="G965" s="34"/>
      <c r="H965" s="34"/>
      <c r="I965" s="278"/>
      <c r="J965" s="50" t="str">
        <f t="shared" ca="1" si="30"/>
        <v/>
      </c>
      <c r="K965" s="50" t="str">
        <f ca="1">IFERROR(VLOOKUP($J965,Ref!$B$7:$C$9,2),"")</f>
        <v/>
      </c>
      <c r="L965" s="55"/>
      <c r="M965" s="34"/>
      <c r="N965" s="34"/>
      <c r="O965" s="34"/>
      <c r="P965" s="34"/>
      <c r="Q965" s="34"/>
      <c r="R965" s="34"/>
      <c r="S965" s="43"/>
      <c r="T965" s="43"/>
      <c r="U965" s="43"/>
      <c r="V965" s="58"/>
      <c r="W965" s="34"/>
      <c r="X965" s="34"/>
    </row>
    <row r="966" spans="1:24" x14ac:dyDescent="0.2">
      <c r="A966" s="132">
        <v>960</v>
      </c>
      <c r="B966" s="342"/>
      <c r="C966" s="34"/>
      <c r="D966" s="40" t="str">
        <f t="shared" si="29"/>
        <v>2002000960</v>
      </c>
      <c r="E966" s="34"/>
      <c r="F966" s="52"/>
      <c r="G966" s="34"/>
      <c r="H966" s="34"/>
      <c r="I966" s="278"/>
      <c r="J966" s="50" t="str">
        <f t="shared" ca="1" si="30"/>
        <v/>
      </c>
      <c r="K966" s="50" t="str">
        <f ca="1">IFERROR(VLOOKUP($J966,Ref!$B$7:$C$9,2),"")</f>
        <v/>
      </c>
      <c r="L966" s="55"/>
      <c r="M966" s="34"/>
      <c r="N966" s="34"/>
      <c r="O966" s="34"/>
      <c r="P966" s="34"/>
      <c r="Q966" s="34"/>
      <c r="R966" s="34"/>
      <c r="S966" s="43"/>
      <c r="T966" s="43"/>
      <c r="U966" s="43"/>
      <c r="V966" s="58"/>
      <c r="W966" s="34"/>
      <c r="X966" s="34"/>
    </row>
    <row r="967" spans="1:24" x14ac:dyDescent="0.2">
      <c r="A967" s="132">
        <v>961</v>
      </c>
      <c r="B967" s="342"/>
      <c r="C967" s="34"/>
      <c r="D967" s="40" t="str">
        <f t="shared" si="29"/>
        <v>2002000961</v>
      </c>
      <c r="E967" s="34"/>
      <c r="F967" s="52"/>
      <c r="G967" s="34"/>
      <c r="H967" s="34"/>
      <c r="I967" s="278"/>
      <c r="J967" s="50" t="str">
        <f t="shared" ca="1" si="30"/>
        <v/>
      </c>
      <c r="K967" s="50" t="str">
        <f ca="1">IFERROR(VLOOKUP($J967,Ref!$B$7:$C$9,2),"")</f>
        <v/>
      </c>
      <c r="L967" s="55"/>
      <c r="M967" s="34"/>
      <c r="N967" s="34"/>
      <c r="O967" s="34"/>
      <c r="P967" s="34"/>
      <c r="Q967" s="34"/>
      <c r="R967" s="34"/>
      <c r="S967" s="43"/>
      <c r="T967" s="43"/>
      <c r="U967" s="43"/>
      <c r="V967" s="58"/>
      <c r="W967" s="34"/>
      <c r="X967" s="34"/>
    </row>
    <row r="968" spans="1:24" x14ac:dyDescent="0.2">
      <c r="A968" s="132">
        <v>962</v>
      </c>
      <c r="B968" s="342"/>
      <c r="C968" s="34"/>
      <c r="D968" s="40" t="str">
        <f t="shared" ref="D968:D1031" si="31">IF(A968="","",LEFT($C$3,LEN($C$3)-LEN(A968))&amp;A968)</f>
        <v>2002000962</v>
      </c>
      <c r="E968" s="34"/>
      <c r="F968" s="52"/>
      <c r="G968" s="34"/>
      <c r="H968" s="34"/>
      <c r="I968" s="278"/>
      <c r="J968" s="50" t="str">
        <f t="shared" ca="1" si="30"/>
        <v/>
      </c>
      <c r="K968" s="50" t="str">
        <f ca="1">IFERROR(VLOOKUP($J968,Ref!$B$7:$C$9,2),"")</f>
        <v/>
      </c>
      <c r="L968" s="55"/>
      <c r="M968" s="34"/>
      <c r="N968" s="34"/>
      <c r="O968" s="34"/>
      <c r="P968" s="34"/>
      <c r="Q968" s="34"/>
      <c r="R968" s="34"/>
      <c r="S968" s="43"/>
      <c r="T968" s="43"/>
      <c r="U968" s="43"/>
      <c r="V968" s="58"/>
      <c r="W968" s="34"/>
      <c r="X968" s="34"/>
    </row>
    <row r="969" spans="1:24" x14ac:dyDescent="0.2">
      <c r="A969" s="132">
        <v>963</v>
      </c>
      <c r="B969" s="342"/>
      <c r="C969" s="34"/>
      <c r="D969" s="40" t="str">
        <f t="shared" si="31"/>
        <v>2002000963</v>
      </c>
      <c r="E969" s="34"/>
      <c r="F969" s="52"/>
      <c r="G969" s="34"/>
      <c r="H969" s="34"/>
      <c r="I969" s="278"/>
      <c r="J969" s="50" t="str">
        <f t="shared" ca="1" si="30"/>
        <v/>
      </c>
      <c r="K969" s="50" t="str">
        <f ca="1">IFERROR(VLOOKUP($J969,Ref!$B$7:$C$9,2),"")</f>
        <v/>
      </c>
      <c r="L969" s="55"/>
      <c r="M969" s="34"/>
      <c r="N969" s="34"/>
      <c r="O969" s="34"/>
      <c r="P969" s="34"/>
      <c r="Q969" s="34"/>
      <c r="R969" s="34"/>
      <c r="S969" s="43"/>
      <c r="T969" s="43"/>
      <c r="U969" s="43"/>
      <c r="V969" s="58"/>
      <c r="W969" s="34"/>
      <c r="X969" s="34"/>
    </row>
    <row r="970" spans="1:24" x14ac:dyDescent="0.2">
      <c r="A970" s="132">
        <v>964</v>
      </c>
      <c r="B970" s="342"/>
      <c r="C970" s="34"/>
      <c r="D970" s="40" t="str">
        <f t="shared" si="31"/>
        <v>2002000964</v>
      </c>
      <c r="E970" s="34"/>
      <c r="F970" s="52"/>
      <c r="G970" s="34"/>
      <c r="H970" s="34"/>
      <c r="I970" s="278"/>
      <c r="J970" s="50" t="str">
        <f t="shared" ca="1" si="30"/>
        <v/>
      </c>
      <c r="K970" s="50" t="str">
        <f ca="1">IFERROR(VLOOKUP($J970,Ref!$B$7:$C$9,2),"")</f>
        <v/>
      </c>
      <c r="L970" s="55"/>
      <c r="M970" s="34"/>
      <c r="N970" s="34"/>
      <c r="O970" s="34"/>
      <c r="P970" s="34"/>
      <c r="Q970" s="34"/>
      <c r="R970" s="34"/>
      <c r="S970" s="43"/>
      <c r="T970" s="43"/>
      <c r="U970" s="43"/>
      <c r="V970" s="58"/>
      <c r="W970" s="34"/>
      <c r="X970" s="34"/>
    </row>
    <row r="971" spans="1:24" x14ac:dyDescent="0.2">
      <c r="A971" s="132">
        <v>965</v>
      </c>
      <c r="B971" s="342"/>
      <c r="C971" s="34"/>
      <c r="D971" s="40" t="str">
        <f t="shared" si="31"/>
        <v>2002000965</v>
      </c>
      <c r="E971" s="34"/>
      <c r="F971" s="52"/>
      <c r="G971" s="34"/>
      <c r="H971" s="34"/>
      <c r="I971" s="278"/>
      <c r="J971" s="50" t="str">
        <f t="shared" ca="1" si="30"/>
        <v/>
      </c>
      <c r="K971" s="50" t="str">
        <f ca="1">IFERROR(VLOOKUP($J971,Ref!$B$7:$C$9,2),"")</f>
        <v/>
      </c>
      <c r="L971" s="55"/>
      <c r="M971" s="34"/>
      <c r="N971" s="34"/>
      <c r="O971" s="34"/>
      <c r="P971" s="34"/>
      <c r="Q971" s="34"/>
      <c r="R971" s="34"/>
      <c r="S971" s="43"/>
      <c r="T971" s="43"/>
      <c r="U971" s="43"/>
      <c r="V971" s="58"/>
      <c r="W971" s="34"/>
      <c r="X971" s="34"/>
    </row>
    <row r="972" spans="1:24" x14ac:dyDescent="0.2">
      <c r="A972" s="132">
        <v>966</v>
      </c>
      <c r="B972" s="342"/>
      <c r="C972" s="34"/>
      <c r="D972" s="40" t="str">
        <f t="shared" si="31"/>
        <v>2002000966</v>
      </c>
      <c r="E972" s="34"/>
      <c r="F972" s="52"/>
      <c r="G972" s="34"/>
      <c r="H972" s="34"/>
      <c r="I972" s="278"/>
      <c r="J972" s="50" t="str">
        <f t="shared" ca="1" si="30"/>
        <v/>
      </c>
      <c r="K972" s="50" t="str">
        <f ca="1">IFERROR(VLOOKUP($J972,Ref!$B$7:$C$9,2),"")</f>
        <v/>
      </c>
      <c r="L972" s="55"/>
      <c r="M972" s="34"/>
      <c r="N972" s="34"/>
      <c r="O972" s="34"/>
      <c r="P972" s="34"/>
      <c r="Q972" s="34"/>
      <c r="R972" s="34"/>
      <c r="S972" s="43"/>
      <c r="T972" s="43"/>
      <c r="U972" s="43"/>
      <c r="V972" s="58"/>
      <c r="W972" s="34"/>
      <c r="X972" s="34"/>
    </row>
    <row r="973" spans="1:24" x14ac:dyDescent="0.2">
      <c r="A973" s="132">
        <v>967</v>
      </c>
      <c r="B973" s="342"/>
      <c r="C973" s="34"/>
      <c r="D973" s="40" t="str">
        <f t="shared" si="31"/>
        <v>2002000967</v>
      </c>
      <c r="E973" s="34"/>
      <c r="F973" s="52"/>
      <c r="G973" s="34"/>
      <c r="H973" s="34"/>
      <c r="I973" s="278"/>
      <c r="J973" s="50" t="str">
        <f t="shared" ca="1" si="30"/>
        <v/>
      </c>
      <c r="K973" s="50" t="str">
        <f ca="1">IFERROR(VLOOKUP($J973,Ref!$B$7:$C$9,2),"")</f>
        <v/>
      </c>
      <c r="L973" s="55"/>
      <c r="M973" s="34"/>
      <c r="N973" s="34"/>
      <c r="O973" s="34"/>
      <c r="P973" s="34"/>
      <c r="Q973" s="34"/>
      <c r="R973" s="34"/>
      <c r="S973" s="43"/>
      <c r="T973" s="43"/>
      <c r="U973" s="43"/>
      <c r="V973" s="58"/>
      <c r="W973" s="34"/>
      <c r="X973" s="34"/>
    </row>
    <row r="974" spans="1:24" x14ac:dyDescent="0.2">
      <c r="A974" s="132">
        <v>968</v>
      </c>
      <c r="B974" s="342"/>
      <c r="C974" s="34"/>
      <c r="D974" s="40" t="str">
        <f t="shared" si="31"/>
        <v>2002000968</v>
      </c>
      <c r="E974" s="34"/>
      <c r="F974" s="52"/>
      <c r="G974" s="34"/>
      <c r="H974" s="34"/>
      <c r="I974" s="278"/>
      <c r="J974" s="50" t="str">
        <f t="shared" ca="1" si="30"/>
        <v/>
      </c>
      <c r="K974" s="50" t="str">
        <f ca="1">IFERROR(VLOOKUP($J974,Ref!$B$7:$C$9,2),"")</f>
        <v/>
      </c>
      <c r="L974" s="55"/>
      <c r="M974" s="34"/>
      <c r="N974" s="34"/>
      <c r="O974" s="34"/>
      <c r="P974" s="34"/>
      <c r="Q974" s="34"/>
      <c r="R974" s="34"/>
      <c r="S974" s="43"/>
      <c r="T974" s="43"/>
      <c r="U974" s="43"/>
      <c r="V974" s="58"/>
      <c r="W974" s="34"/>
      <c r="X974" s="34"/>
    </row>
    <row r="975" spans="1:24" x14ac:dyDescent="0.2">
      <c r="A975" s="132">
        <v>969</v>
      </c>
      <c r="B975" s="342"/>
      <c r="C975" s="34"/>
      <c r="D975" s="40" t="str">
        <f t="shared" si="31"/>
        <v>2002000969</v>
      </c>
      <c r="E975" s="34"/>
      <c r="F975" s="52"/>
      <c r="G975" s="34"/>
      <c r="H975" s="34"/>
      <c r="I975" s="278"/>
      <c r="J975" s="50" t="str">
        <f t="shared" ca="1" si="30"/>
        <v/>
      </c>
      <c r="K975" s="50" t="str">
        <f ca="1">IFERROR(VLOOKUP($J975,Ref!$B$7:$C$9,2),"")</f>
        <v/>
      </c>
      <c r="L975" s="55"/>
      <c r="M975" s="34"/>
      <c r="N975" s="34"/>
      <c r="O975" s="34"/>
      <c r="P975" s="34"/>
      <c r="Q975" s="34"/>
      <c r="R975" s="34"/>
      <c r="S975" s="43"/>
      <c r="T975" s="43"/>
      <c r="U975" s="43"/>
      <c r="V975" s="58"/>
      <c r="W975" s="34"/>
      <c r="X975" s="34"/>
    </row>
    <row r="976" spans="1:24" x14ac:dyDescent="0.2">
      <c r="A976" s="132">
        <v>970</v>
      </c>
      <c r="B976" s="342"/>
      <c r="C976" s="34"/>
      <c r="D976" s="40" t="str">
        <f t="shared" si="31"/>
        <v>2002000970</v>
      </c>
      <c r="E976" s="34"/>
      <c r="F976" s="52"/>
      <c r="G976" s="34"/>
      <c r="H976" s="34"/>
      <c r="I976" s="278"/>
      <c r="J976" s="50" t="str">
        <f t="shared" ca="1" si="30"/>
        <v/>
      </c>
      <c r="K976" s="50" t="str">
        <f ca="1">IFERROR(VLOOKUP($J976,Ref!$B$7:$C$9,2),"")</f>
        <v/>
      </c>
      <c r="L976" s="55"/>
      <c r="M976" s="34"/>
      <c r="N976" s="34"/>
      <c r="O976" s="34"/>
      <c r="P976" s="34"/>
      <c r="Q976" s="34"/>
      <c r="R976" s="34"/>
      <c r="S976" s="43"/>
      <c r="T976" s="43"/>
      <c r="U976" s="43"/>
      <c r="V976" s="58"/>
      <c r="W976" s="34"/>
      <c r="X976" s="34"/>
    </row>
    <row r="977" spans="1:24" x14ac:dyDescent="0.2">
      <c r="A977" s="132">
        <v>971</v>
      </c>
      <c r="B977" s="342"/>
      <c r="C977" s="34"/>
      <c r="D977" s="40" t="str">
        <f t="shared" si="31"/>
        <v>2002000971</v>
      </c>
      <c r="E977" s="34"/>
      <c r="F977" s="52"/>
      <c r="G977" s="34"/>
      <c r="H977" s="34"/>
      <c r="I977" s="278"/>
      <c r="J977" s="50" t="str">
        <f t="shared" ca="1" si="30"/>
        <v/>
      </c>
      <c r="K977" s="50" t="str">
        <f ca="1">IFERROR(VLOOKUP($J977,Ref!$B$7:$C$9,2),"")</f>
        <v/>
      </c>
      <c r="L977" s="55"/>
      <c r="M977" s="34"/>
      <c r="N977" s="34"/>
      <c r="O977" s="34"/>
      <c r="P977" s="34"/>
      <c r="Q977" s="34"/>
      <c r="R977" s="34"/>
      <c r="S977" s="43"/>
      <c r="T977" s="43"/>
      <c r="U977" s="43"/>
      <c r="V977" s="58"/>
      <c r="W977" s="34"/>
      <c r="X977" s="34"/>
    </row>
    <row r="978" spans="1:24" x14ac:dyDescent="0.2">
      <c r="A978" s="132">
        <v>972</v>
      </c>
      <c r="B978" s="342"/>
      <c r="C978" s="34"/>
      <c r="D978" s="40" t="str">
        <f t="shared" si="31"/>
        <v>2002000972</v>
      </c>
      <c r="E978" s="34"/>
      <c r="F978" s="52"/>
      <c r="G978" s="34"/>
      <c r="H978" s="34"/>
      <c r="I978" s="278"/>
      <c r="J978" s="50" t="str">
        <f t="shared" ca="1" si="30"/>
        <v/>
      </c>
      <c r="K978" s="50" t="str">
        <f ca="1">IFERROR(VLOOKUP($J978,Ref!$B$7:$C$9,2),"")</f>
        <v/>
      </c>
      <c r="L978" s="55"/>
      <c r="M978" s="34"/>
      <c r="N978" s="34"/>
      <c r="O978" s="34"/>
      <c r="P978" s="34"/>
      <c r="Q978" s="34"/>
      <c r="R978" s="34"/>
      <c r="S978" s="43"/>
      <c r="T978" s="43"/>
      <c r="U978" s="43"/>
      <c r="V978" s="58"/>
      <c r="W978" s="34"/>
      <c r="X978" s="34"/>
    </row>
    <row r="979" spans="1:24" x14ac:dyDescent="0.2">
      <c r="A979" s="132">
        <v>973</v>
      </c>
      <c r="B979" s="342"/>
      <c r="C979" s="34"/>
      <c r="D979" s="40" t="str">
        <f t="shared" si="31"/>
        <v>2002000973</v>
      </c>
      <c r="E979" s="34"/>
      <c r="F979" s="52"/>
      <c r="G979" s="34"/>
      <c r="H979" s="34"/>
      <c r="I979" s="278"/>
      <c r="J979" s="50" t="str">
        <f t="shared" ca="1" si="30"/>
        <v/>
      </c>
      <c r="K979" s="50" t="str">
        <f ca="1">IFERROR(VLOOKUP($J979,Ref!$B$7:$C$9,2),"")</f>
        <v/>
      </c>
      <c r="L979" s="55"/>
      <c r="M979" s="34"/>
      <c r="N979" s="34"/>
      <c r="O979" s="34"/>
      <c r="P979" s="34"/>
      <c r="Q979" s="34"/>
      <c r="R979" s="34"/>
      <c r="S979" s="43"/>
      <c r="T979" s="43"/>
      <c r="U979" s="43"/>
      <c r="V979" s="58"/>
      <c r="W979" s="34"/>
      <c r="X979" s="34"/>
    </row>
    <row r="980" spans="1:24" x14ac:dyDescent="0.2">
      <c r="A980" s="132">
        <v>974</v>
      </c>
      <c r="B980" s="342"/>
      <c r="C980" s="34"/>
      <c r="D980" s="40" t="str">
        <f t="shared" si="31"/>
        <v>2002000974</v>
      </c>
      <c r="E980" s="34"/>
      <c r="F980" s="52"/>
      <c r="G980" s="34"/>
      <c r="H980" s="34"/>
      <c r="I980" s="278"/>
      <c r="J980" s="50" t="str">
        <f t="shared" ca="1" si="30"/>
        <v/>
      </c>
      <c r="K980" s="50" t="str">
        <f ca="1">IFERROR(VLOOKUP($J980,Ref!$B$7:$C$9,2),"")</f>
        <v/>
      </c>
      <c r="L980" s="55"/>
      <c r="M980" s="34"/>
      <c r="N980" s="34"/>
      <c r="O980" s="34"/>
      <c r="P980" s="34"/>
      <c r="Q980" s="34"/>
      <c r="R980" s="34"/>
      <c r="S980" s="43"/>
      <c r="T980" s="43"/>
      <c r="U980" s="43"/>
      <c r="V980" s="58"/>
      <c r="W980" s="34"/>
      <c r="X980" s="34"/>
    </row>
    <row r="981" spans="1:24" x14ac:dyDescent="0.2">
      <c r="A981" s="132">
        <v>975</v>
      </c>
      <c r="B981" s="342"/>
      <c r="C981" s="34"/>
      <c r="D981" s="40" t="str">
        <f t="shared" si="31"/>
        <v>2002000975</v>
      </c>
      <c r="E981" s="34"/>
      <c r="F981" s="52"/>
      <c r="G981" s="34"/>
      <c r="H981" s="34"/>
      <c r="I981" s="278"/>
      <c r="J981" s="50" t="str">
        <f t="shared" ca="1" si="30"/>
        <v/>
      </c>
      <c r="K981" s="50" t="str">
        <f ca="1">IFERROR(VLOOKUP($J981,Ref!$B$7:$C$9,2),"")</f>
        <v/>
      </c>
      <c r="L981" s="55"/>
      <c r="M981" s="34"/>
      <c r="N981" s="34"/>
      <c r="O981" s="34"/>
      <c r="P981" s="34"/>
      <c r="Q981" s="34"/>
      <c r="R981" s="34"/>
      <c r="S981" s="43"/>
      <c r="T981" s="43"/>
      <c r="U981" s="43"/>
      <c r="V981" s="58"/>
      <c r="W981" s="34"/>
      <c r="X981" s="34"/>
    </row>
    <row r="982" spans="1:24" x14ac:dyDescent="0.2">
      <c r="A982" s="132">
        <v>976</v>
      </c>
      <c r="B982" s="342"/>
      <c r="C982" s="34"/>
      <c r="D982" s="40" t="str">
        <f t="shared" si="31"/>
        <v>2002000976</v>
      </c>
      <c r="E982" s="34"/>
      <c r="F982" s="52"/>
      <c r="G982" s="34"/>
      <c r="H982" s="34"/>
      <c r="I982" s="278"/>
      <c r="J982" s="50" t="str">
        <f t="shared" ca="1" si="30"/>
        <v/>
      </c>
      <c r="K982" s="50" t="str">
        <f ca="1">IFERROR(VLOOKUP($J982,Ref!$B$7:$C$9,2),"")</f>
        <v/>
      </c>
      <c r="L982" s="55"/>
      <c r="M982" s="34"/>
      <c r="N982" s="34"/>
      <c r="O982" s="34"/>
      <c r="P982" s="34"/>
      <c r="Q982" s="34"/>
      <c r="R982" s="34"/>
      <c r="S982" s="43"/>
      <c r="T982" s="43"/>
      <c r="U982" s="43"/>
      <c r="V982" s="58"/>
      <c r="W982" s="34"/>
      <c r="X982" s="34"/>
    </row>
    <row r="983" spans="1:24" x14ac:dyDescent="0.2">
      <c r="A983" s="132">
        <v>977</v>
      </c>
      <c r="B983" s="342"/>
      <c r="C983" s="34"/>
      <c r="D983" s="40" t="str">
        <f t="shared" si="31"/>
        <v>2002000977</v>
      </c>
      <c r="E983" s="34"/>
      <c r="F983" s="52"/>
      <c r="G983" s="34"/>
      <c r="H983" s="34"/>
      <c r="I983" s="278"/>
      <c r="J983" s="50" t="str">
        <f t="shared" ca="1" si="30"/>
        <v/>
      </c>
      <c r="K983" s="50" t="str">
        <f ca="1">IFERROR(VLOOKUP($J983,Ref!$B$7:$C$9,2),"")</f>
        <v/>
      </c>
      <c r="L983" s="55"/>
      <c r="M983" s="34"/>
      <c r="N983" s="34"/>
      <c r="O983" s="34"/>
      <c r="P983" s="34"/>
      <c r="Q983" s="34"/>
      <c r="R983" s="34"/>
      <c r="S983" s="43"/>
      <c r="T983" s="43"/>
      <c r="U983" s="43"/>
      <c r="V983" s="58"/>
      <c r="W983" s="34"/>
      <c r="X983" s="34"/>
    </row>
    <row r="984" spans="1:24" x14ac:dyDescent="0.2">
      <c r="A984" s="132">
        <v>978</v>
      </c>
      <c r="B984" s="342"/>
      <c r="C984" s="34"/>
      <c r="D984" s="40" t="str">
        <f t="shared" si="31"/>
        <v>2002000978</v>
      </c>
      <c r="E984" s="34"/>
      <c r="F984" s="52"/>
      <c r="G984" s="34"/>
      <c r="H984" s="34"/>
      <c r="I984" s="278"/>
      <c r="J984" s="50" t="str">
        <f t="shared" ref="J984:J1047" ca="1" si="32">IF(I984="","",(TODAY()-$I984)/365)</f>
        <v/>
      </c>
      <c r="K984" s="50" t="str">
        <f ca="1">IFERROR(VLOOKUP($J984,Ref!$B$7:$C$9,2),"")</f>
        <v/>
      </c>
      <c r="L984" s="55"/>
      <c r="M984" s="34"/>
      <c r="N984" s="34"/>
      <c r="O984" s="34"/>
      <c r="P984" s="34"/>
      <c r="Q984" s="34"/>
      <c r="R984" s="34"/>
      <c r="S984" s="43"/>
      <c r="T984" s="43"/>
      <c r="U984" s="43"/>
      <c r="V984" s="58"/>
      <c r="W984" s="34"/>
      <c r="X984" s="34"/>
    </row>
    <row r="985" spans="1:24" x14ac:dyDescent="0.2">
      <c r="A985" s="132">
        <v>979</v>
      </c>
      <c r="B985" s="342"/>
      <c r="C985" s="34"/>
      <c r="D985" s="40" t="str">
        <f t="shared" si="31"/>
        <v>2002000979</v>
      </c>
      <c r="E985" s="34"/>
      <c r="F985" s="52"/>
      <c r="G985" s="34"/>
      <c r="H985" s="34"/>
      <c r="I985" s="278"/>
      <c r="J985" s="50" t="str">
        <f t="shared" ca="1" si="32"/>
        <v/>
      </c>
      <c r="K985" s="50" t="str">
        <f ca="1">IFERROR(VLOOKUP($J985,Ref!$B$7:$C$9,2),"")</f>
        <v/>
      </c>
      <c r="L985" s="55"/>
      <c r="M985" s="34"/>
      <c r="N985" s="34"/>
      <c r="O985" s="34"/>
      <c r="P985" s="34"/>
      <c r="Q985" s="34"/>
      <c r="R985" s="34"/>
      <c r="S985" s="43"/>
      <c r="T985" s="43"/>
      <c r="U985" s="43"/>
      <c r="V985" s="58"/>
      <c r="W985" s="34"/>
      <c r="X985" s="34"/>
    </row>
    <row r="986" spans="1:24" x14ac:dyDescent="0.2">
      <c r="A986" s="132">
        <v>980</v>
      </c>
      <c r="B986" s="342"/>
      <c r="C986" s="34"/>
      <c r="D986" s="40" t="str">
        <f t="shared" si="31"/>
        <v>2002000980</v>
      </c>
      <c r="E986" s="34"/>
      <c r="F986" s="52"/>
      <c r="G986" s="34"/>
      <c r="H986" s="34"/>
      <c r="I986" s="278"/>
      <c r="J986" s="50" t="str">
        <f t="shared" ca="1" si="32"/>
        <v/>
      </c>
      <c r="K986" s="50" t="str">
        <f ca="1">IFERROR(VLOOKUP($J986,Ref!$B$7:$C$9,2),"")</f>
        <v/>
      </c>
      <c r="L986" s="55"/>
      <c r="M986" s="34"/>
      <c r="N986" s="34"/>
      <c r="O986" s="34"/>
      <c r="P986" s="34"/>
      <c r="Q986" s="34"/>
      <c r="R986" s="34"/>
      <c r="S986" s="43"/>
      <c r="T986" s="43"/>
      <c r="U986" s="43"/>
      <c r="V986" s="58"/>
      <c r="W986" s="34"/>
      <c r="X986" s="34"/>
    </row>
    <row r="987" spans="1:24" x14ac:dyDescent="0.2">
      <c r="A987" s="132">
        <v>981</v>
      </c>
      <c r="B987" s="342"/>
      <c r="C987" s="34"/>
      <c r="D987" s="40" t="str">
        <f t="shared" si="31"/>
        <v>2002000981</v>
      </c>
      <c r="E987" s="34"/>
      <c r="F987" s="52"/>
      <c r="G987" s="34"/>
      <c r="H987" s="34"/>
      <c r="I987" s="278"/>
      <c r="J987" s="50" t="str">
        <f t="shared" ca="1" si="32"/>
        <v/>
      </c>
      <c r="K987" s="50" t="str">
        <f ca="1">IFERROR(VLOOKUP($J987,Ref!$B$7:$C$9,2),"")</f>
        <v/>
      </c>
      <c r="L987" s="55"/>
      <c r="M987" s="34"/>
      <c r="N987" s="34"/>
      <c r="O987" s="34"/>
      <c r="P987" s="34"/>
      <c r="Q987" s="34"/>
      <c r="R987" s="34"/>
      <c r="S987" s="43"/>
      <c r="T987" s="43"/>
      <c r="U987" s="43"/>
      <c r="V987" s="58"/>
      <c r="W987" s="34"/>
      <c r="X987" s="34"/>
    </row>
    <row r="988" spans="1:24" x14ac:dyDescent="0.2">
      <c r="A988" s="132">
        <v>982</v>
      </c>
      <c r="B988" s="342"/>
      <c r="C988" s="34"/>
      <c r="D988" s="40" t="str">
        <f t="shared" si="31"/>
        <v>2002000982</v>
      </c>
      <c r="E988" s="34"/>
      <c r="F988" s="52"/>
      <c r="G988" s="34"/>
      <c r="H988" s="34"/>
      <c r="I988" s="278"/>
      <c r="J988" s="50" t="str">
        <f t="shared" ca="1" si="32"/>
        <v/>
      </c>
      <c r="K988" s="50" t="str">
        <f ca="1">IFERROR(VLOOKUP($J988,Ref!$B$7:$C$9,2),"")</f>
        <v/>
      </c>
      <c r="L988" s="55"/>
      <c r="M988" s="34"/>
      <c r="N988" s="34"/>
      <c r="O988" s="34"/>
      <c r="P988" s="34"/>
      <c r="Q988" s="34"/>
      <c r="R988" s="34"/>
      <c r="S988" s="43"/>
      <c r="T988" s="43"/>
      <c r="U988" s="43"/>
      <c r="V988" s="58"/>
      <c r="W988" s="34"/>
      <c r="X988" s="34"/>
    </row>
    <row r="989" spans="1:24" x14ac:dyDescent="0.2">
      <c r="A989" s="132">
        <v>983</v>
      </c>
      <c r="B989" s="342"/>
      <c r="C989" s="34"/>
      <c r="D989" s="40" t="str">
        <f t="shared" si="31"/>
        <v>2002000983</v>
      </c>
      <c r="E989" s="34"/>
      <c r="F989" s="52"/>
      <c r="G989" s="34"/>
      <c r="H989" s="34"/>
      <c r="I989" s="278"/>
      <c r="J989" s="50" t="str">
        <f t="shared" ca="1" si="32"/>
        <v/>
      </c>
      <c r="K989" s="50" t="str">
        <f ca="1">IFERROR(VLOOKUP($J989,Ref!$B$7:$C$9,2),"")</f>
        <v/>
      </c>
      <c r="L989" s="55"/>
      <c r="M989" s="34"/>
      <c r="N989" s="34"/>
      <c r="O989" s="34"/>
      <c r="P989" s="34"/>
      <c r="Q989" s="34"/>
      <c r="R989" s="34"/>
      <c r="S989" s="43"/>
      <c r="T989" s="43"/>
      <c r="U989" s="43"/>
      <c r="V989" s="58"/>
      <c r="W989" s="34"/>
      <c r="X989" s="34"/>
    </row>
    <row r="990" spans="1:24" x14ac:dyDescent="0.2">
      <c r="A990" s="132">
        <v>984</v>
      </c>
      <c r="B990" s="342"/>
      <c r="C990" s="34"/>
      <c r="D990" s="40" t="str">
        <f t="shared" si="31"/>
        <v>2002000984</v>
      </c>
      <c r="E990" s="34"/>
      <c r="F990" s="52"/>
      <c r="G990" s="34"/>
      <c r="H990" s="34"/>
      <c r="I990" s="278"/>
      <c r="J990" s="50" t="str">
        <f t="shared" ca="1" si="32"/>
        <v/>
      </c>
      <c r="K990" s="50" t="str">
        <f ca="1">IFERROR(VLOOKUP($J990,Ref!$B$7:$C$9,2),"")</f>
        <v/>
      </c>
      <c r="L990" s="55"/>
      <c r="M990" s="34"/>
      <c r="N990" s="34"/>
      <c r="O990" s="34"/>
      <c r="P990" s="34"/>
      <c r="Q990" s="34"/>
      <c r="R990" s="34"/>
      <c r="S990" s="43"/>
      <c r="T990" s="43"/>
      <c r="U990" s="43"/>
      <c r="V990" s="58"/>
      <c r="W990" s="34"/>
      <c r="X990" s="34"/>
    </row>
    <row r="991" spans="1:24" x14ac:dyDescent="0.2">
      <c r="A991" s="132">
        <v>985</v>
      </c>
      <c r="B991" s="342"/>
      <c r="C991" s="34"/>
      <c r="D991" s="40" t="str">
        <f t="shared" si="31"/>
        <v>2002000985</v>
      </c>
      <c r="E991" s="34"/>
      <c r="F991" s="52"/>
      <c r="G991" s="34"/>
      <c r="H991" s="34"/>
      <c r="I991" s="278"/>
      <c r="J991" s="50" t="str">
        <f t="shared" ca="1" si="32"/>
        <v/>
      </c>
      <c r="K991" s="50" t="str">
        <f ca="1">IFERROR(VLOOKUP($J991,Ref!$B$7:$C$9,2),"")</f>
        <v/>
      </c>
      <c r="L991" s="55"/>
      <c r="M991" s="34"/>
      <c r="N991" s="34"/>
      <c r="O991" s="34"/>
      <c r="P991" s="34"/>
      <c r="Q991" s="34"/>
      <c r="R991" s="34"/>
      <c r="S991" s="43"/>
      <c r="T991" s="43"/>
      <c r="U991" s="43"/>
      <c r="V991" s="58"/>
      <c r="W991" s="34"/>
      <c r="X991" s="34"/>
    </row>
    <row r="992" spans="1:24" x14ac:dyDescent="0.2">
      <c r="A992" s="132">
        <v>986</v>
      </c>
      <c r="B992" s="342"/>
      <c r="C992" s="34"/>
      <c r="D992" s="40" t="str">
        <f t="shared" si="31"/>
        <v>2002000986</v>
      </c>
      <c r="E992" s="34"/>
      <c r="F992" s="52"/>
      <c r="G992" s="34"/>
      <c r="H992" s="34"/>
      <c r="I992" s="278"/>
      <c r="J992" s="50" t="str">
        <f t="shared" ca="1" si="32"/>
        <v/>
      </c>
      <c r="K992" s="50" t="str">
        <f ca="1">IFERROR(VLOOKUP($J992,Ref!$B$7:$C$9,2),"")</f>
        <v/>
      </c>
      <c r="L992" s="55"/>
      <c r="M992" s="34"/>
      <c r="N992" s="34"/>
      <c r="O992" s="34"/>
      <c r="P992" s="34"/>
      <c r="Q992" s="34"/>
      <c r="R992" s="34"/>
      <c r="S992" s="43"/>
      <c r="T992" s="43"/>
      <c r="U992" s="43"/>
      <c r="V992" s="58"/>
      <c r="W992" s="34"/>
      <c r="X992" s="34"/>
    </row>
    <row r="993" spans="1:24" x14ac:dyDescent="0.2">
      <c r="A993" s="132">
        <v>987</v>
      </c>
      <c r="B993" s="342"/>
      <c r="C993" s="34"/>
      <c r="D993" s="40" t="str">
        <f t="shared" si="31"/>
        <v>2002000987</v>
      </c>
      <c r="E993" s="34"/>
      <c r="F993" s="52"/>
      <c r="G993" s="34"/>
      <c r="H993" s="34"/>
      <c r="I993" s="278"/>
      <c r="J993" s="50" t="str">
        <f t="shared" ca="1" si="32"/>
        <v/>
      </c>
      <c r="K993" s="50" t="str">
        <f ca="1">IFERROR(VLOOKUP($J993,Ref!$B$7:$C$9,2),"")</f>
        <v/>
      </c>
      <c r="L993" s="55"/>
      <c r="M993" s="34"/>
      <c r="N993" s="34"/>
      <c r="O993" s="34"/>
      <c r="P993" s="34"/>
      <c r="Q993" s="34"/>
      <c r="R993" s="34"/>
      <c r="S993" s="43"/>
      <c r="T993" s="43"/>
      <c r="U993" s="43"/>
      <c r="V993" s="58"/>
      <c r="W993" s="34"/>
      <c r="X993" s="34"/>
    </row>
    <row r="994" spans="1:24" x14ac:dyDescent="0.2">
      <c r="A994" s="132">
        <v>988</v>
      </c>
      <c r="B994" s="342"/>
      <c r="C994" s="34"/>
      <c r="D994" s="40" t="str">
        <f t="shared" si="31"/>
        <v>2002000988</v>
      </c>
      <c r="E994" s="34"/>
      <c r="F994" s="52"/>
      <c r="G994" s="34"/>
      <c r="H994" s="34"/>
      <c r="I994" s="278"/>
      <c r="J994" s="50" t="str">
        <f t="shared" ca="1" si="32"/>
        <v/>
      </c>
      <c r="K994" s="50" t="str">
        <f ca="1">IFERROR(VLOOKUP($J994,Ref!$B$7:$C$9,2),"")</f>
        <v/>
      </c>
      <c r="L994" s="55"/>
      <c r="M994" s="34"/>
      <c r="N994" s="34"/>
      <c r="O994" s="34"/>
      <c r="P994" s="34"/>
      <c r="Q994" s="34"/>
      <c r="R994" s="34"/>
      <c r="S994" s="43"/>
      <c r="T994" s="43"/>
      <c r="U994" s="43"/>
      <c r="V994" s="58"/>
      <c r="W994" s="34"/>
      <c r="X994" s="34"/>
    </row>
    <row r="995" spans="1:24" x14ac:dyDescent="0.2">
      <c r="A995" s="132">
        <v>989</v>
      </c>
      <c r="B995" s="342"/>
      <c r="C995" s="34"/>
      <c r="D995" s="40" t="str">
        <f t="shared" si="31"/>
        <v>2002000989</v>
      </c>
      <c r="E995" s="34"/>
      <c r="F995" s="52"/>
      <c r="G995" s="34"/>
      <c r="H995" s="34"/>
      <c r="I995" s="278"/>
      <c r="J995" s="50" t="str">
        <f t="shared" ca="1" si="32"/>
        <v/>
      </c>
      <c r="K995" s="50" t="str">
        <f ca="1">IFERROR(VLOOKUP($J995,Ref!$B$7:$C$9,2),"")</f>
        <v/>
      </c>
      <c r="L995" s="55"/>
      <c r="M995" s="34"/>
      <c r="N995" s="34"/>
      <c r="O995" s="34"/>
      <c r="P995" s="34"/>
      <c r="Q995" s="34"/>
      <c r="R995" s="34"/>
      <c r="S995" s="43"/>
      <c r="T995" s="43"/>
      <c r="U995" s="43"/>
      <c r="V995" s="58"/>
      <c r="W995" s="34"/>
      <c r="X995" s="34"/>
    </row>
    <row r="996" spans="1:24" x14ac:dyDescent="0.2">
      <c r="A996" s="132">
        <v>990</v>
      </c>
      <c r="B996" s="342"/>
      <c r="C996" s="34"/>
      <c r="D996" s="40" t="str">
        <f t="shared" si="31"/>
        <v>2002000990</v>
      </c>
      <c r="E996" s="34"/>
      <c r="F996" s="52"/>
      <c r="G996" s="34"/>
      <c r="H996" s="34"/>
      <c r="I996" s="278"/>
      <c r="J996" s="50" t="str">
        <f t="shared" ca="1" si="32"/>
        <v/>
      </c>
      <c r="K996" s="50" t="str">
        <f ca="1">IFERROR(VLOOKUP($J996,Ref!$B$7:$C$9,2),"")</f>
        <v/>
      </c>
      <c r="L996" s="55"/>
      <c r="M996" s="34"/>
      <c r="N996" s="34"/>
      <c r="O996" s="34"/>
      <c r="P996" s="34"/>
      <c r="Q996" s="34"/>
      <c r="R996" s="34"/>
      <c r="S996" s="43"/>
      <c r="T996" s="43"/>
      <c r="U996" s="43"/>
      <c r="V996" s="58"/>
      <c r="W996" s="34"/>
      <c r="X996" s="34"/>
    </row>
    <row r="997" spans="1:24" x14ac:dyDescent="0.2">
      <c r="A997" s="132">
        <v>991</v>
      </c>
      <c r="B997" s="342"/>
      <c r="C997" s="34"/>
      <c r="D997" s="40" t="str">
        <f t="shared" si="31"/>
        <v>2002000991</v>
      </c>
      <c r="E997" s="34"/>
      <c r="F997" s="52"/>
      <c r="G997" s="34"/>
      <c r="H997" s="34"/>
      <c r="I997" s="278"/>
      <c r="J997" s="50" t="str">
        <f t="shared" ca="1" si="32"/>
        <v/>
      </c>
      <c r="K997" s="50" t="str">
        <f ca="1">IFERROR(VLOOKUP($J997,Ref!$B$7:$C$9,2),"")</f>
        <v/>
      </c>
      <c r="L997" s="55"/>
      <c r="M997" s="34"/>
      <c r="N997" s="34"/>
      <c r="O997" s="34"/>
      <c r="P997" s="34"/>
      <c r="Q997" s="34"/>
      <c r="R997" s="34"/>
      <c r="S997" s="43"/>
      <c r="T997" s="43"/>
      <c r="U997" s="43"/>
      <c r="V997" s="58"/>
      <c r="W997" s="34"/>
      <c r="X997" s="34"/>
    </row>
    <row r="998" spans="1:24" x14ac:dyDescent="0.2">
      <c r="A998" s="132">
        <v>992</v>
      </c>
      <c r="B998" s="342"/>
      <c r="C998" s="34"/>
      <c r="D998" s="40" t="str">
        <f t="shared" si="31"/>
        <v>2002000992</v>
      </c>
      <c r="E998" s="34"/>
      <c r="F998" s="52"/>
      <c r="G998" s="34"/>
      <c r="H998" s="34"/>
      <c r="I998" s="278"/>
      <c r="J998" s="50" t="str">
        <f t="shared" ca="1" si="32"/>
        <v/>
      </c>
      <c r="K998" s="50" t="str">
        <f ca="1">IFERROR(VLOOKUP($J998,Ref!$B$7:$C$9,2),"")</f>
        <v/>
      </c>
      <c r="L998" s="55"/>
      <c r="M998" s="34"/>
      <c r="N998" s="34"/>
      <c r="O998" s="34"/>
      <c r="P998" s="34"/>
      <c r="Q998" s="34"/>
      <c r="R998" s="34"/>
      <c r="S998" s="43"/>
      <c r="T998" s="43"/>
      <c r="U998" s="43"/>
      <c r="V998" s="58"/>
      <c r="W998" s="34"/>
      <c r="X998" s="34"/>
    </row>
    <row r="999" spans="1:24" x14ac:dyDescent="0.2">
      <c r="A999" s="132">
        <v>993</v>
      </c>
      <c r="B999" s="342"/>
      <c r="C999" s="34"/>
      <c r="D999" s="40" t="str">
        <f t="shared" si="31"/>
        <v>2002000993</v>
      </c>
      <c r="E999" s="34"/>
      <c r="F999" s="52"/>
      <c r="G999" s="34"/>
      <c r="H999" s="34"/>
      <c r="I999" s="278"/>
      <c r="J999" s="50" t="str">
        <f t="shared" ca="1" si="32"/>
        <v/>
      </c>
      <c r="K999" s="50" t="str">
        <f ca="1">IFERROR(VLOOKUP($J999,Ref!$B$7:$C$9,2),"")</f>
        <v/>
      </c>
      <c r="L999" s="55"/>
      <c r="M999" s="34"/>
      <c r="N999" s="34"/>
      <c r="O999" s="34"/>
      <c r="P999" s="34"/>
      <c r="Q999" s="34"/>
      <c r="R999" s="34"/>
      <c r="S999" s="43"/>
      <c r="T999" s="43"/>
      <c r="U999" s="43"/>
      <c r="V999" s="58"/>
      <c r="W999" s="34"/>
      <c r="X999" s="34"/>
    </row>
    <row r="1000" spans="1:24" x14ac:dyDescent="0.2">
      <c r="A1000" s="132">
        <v>994</v>
      </c>
      <c r="B1000" s="342"/>
      <c r="C1000" s="34"/>
      <c r="D1000" s="40" t="str">
        <f t="shared" si="31"/>
        <v>2002000994</v>
      </c>
      <c r="E1000" s="34"/>
      <c r="F1000" s="52"/>
      <c r="G1000" s="34"/>
      <c r="H1000" s="34"/>
      <c r="I1000" s="278"/>
      <c r="J1000" s="50" t="str">
        <f t="shared" ca="1" si="32"/>
        <v/>
      </c>
      <c r="K1000" s="50" t="str">
        <f ca="1">IFERROR(VLOOKUP($J1000,Ref!$B$7:$C$9,2),"")</f>
        <v/>
      </c>
      <c r="L1000" s="55"/>
      <c r="M1000" s="34"/>
      <c r="N1000" s="34"/>
      <c r="O1000" s="34"/>
      <c r="P1000" s="34"/>
      <c r="Q1000" s="34"/>
      <c r="R1000" s="34"/>
      <c r="S1000" s="43"/>
      <c r="T1000" s="43"/>
      <c r="U1000" s="43"/>
      <c r="V1000" s="58"/>
      <c r="W1000" s="34"/>
      <c r="X1000" s="34"/>
    </row>
    <row r="1001" spans="1:24" x14ac:dyDescent="0.2">
      <c r="A1001" s="132">
        <v>995</v>
      </c>
      <c r="B1001" s="342"/>
      <c r="C1001" s="34"/>
      <c r="D1001" s="40" t="str">
        <f t="shared" si="31"/>
        <v>2002000995</v>
      </c>
      <c r="E1001" s="34"/>
      <c r="F1001" s="52"/>
      <c r="G1001" s="34"/>
      <c r="H1001" s="34"/>
      <c r="I1001" s="278"/>
      <c r="J1001" s="50" t="str">
        <f t="shared" ca="1" si="32"/>
        <v/>
      </c>
      <c r="K1001" s="50" t="str">
        <f ca="1">IFERROR(VLOOKUP($J1001,Ref!$B$7:$C$9,2),"")</f>
        <v/>
      </c>
      <c r="L1001" s="55"/>
      <c r="M1001" s="34"/>
      <c r="N1001" s="34"/>
      <c r="O1001" s="34"/>
      <c r="P1001" s="34"/>
      <c r="Q1001" s="34"/>
      <c r="R1001" s="34"/>
      <c r="S1001" s="43"/>
      <c r="T1001" s="43"/>
      <c r="U1001" s="43"/>
      <c r="V1001" s="58"/>
      <c r="W1001" s="34"/>
      <c r="X1001" s="34"/>
    </row>
    <row r="1002" spans="1:24" x14ac:dyDescent="0.2">
      <c r="A1002" s="132">
        <v>996</v>
      </c>
      <c r="B1002" s="342"/>
      <c r="C1002" s="34"/>
      <c r="D1002" s="40" t="str">
        <f t="shared" si="31"/>
        <v>2002000996</v>
      </c>
      <c r="E1002" s="34"/>
      <c r="F1002" s="52"/>
      <c r="G1002" s="34"/>
      <c r="H1002" s="34"/>
      <c r="I1002" s="278"/>
      <c r="J1002" s="50" t="str">
        <f t="shared" ca="1" si="32"/>
        <v/>
      </c>
      <c r="K1002" s="50" t="str">
        <f ca="1">IFERROR(VLOOKUP($J1002,Ref!$B$7:$C$9,2),"")</f>
        <v/>
      </c>
      <c r="L1002" s="55"/>
      <c r="M1002" s="34"/>
      <c r="N1002" s="34"/>
      <c r="O1002" s="34"/>
      <c r="P1002" s="34"/>
      <c r="Q1002" s="34"/>
      <c r="R1002" s="34"/>
      <c r="S1002" s="43"/>
      <c r="T1002" s="43"/>
      <c r="U1002" s="43"/>
      <c r="V1002" s="58"/>
      <c r="W1002" s="34"/>
      <c r="X1002" s="34"/>
    </row>
    <row r="1003" spans="1:24" x14ac:dyDescent="0.2">
      <c r="A1003" s="132">
        <v>997</v>
      </c>
      <c r="B1003" s="342"/>
      <c r="C1003" s="34"/>
      <c r="D1003" s="40" t="str">
        <f t="shared" si="31"/>
        <v>2002000997</v>
      </c>
      <c r="E1003" s="34"/>
      <c r="F1003" s="52"/>
      <c r="G1003" s="34"/>
      <c r="H1003" s="34"/>
      <c r="I1003" s="278"/>
      <c r="J1003" s="50" t="str">
        <f t="shared" ca="1" si="32"/>
        <v/>
      </c>
      <c r="K1003" s="50" t="str">
        <f ca="1">IFERROR(VLOOKUP($J1003,Ref!$B$7:$C$9,2),"")</f>
        <v/>
      </c>
      <c r="L1003" s="55"/>
      <c r="M1003" s="34"/>
      <c r="N1003" s="34"/>
      <c r="O1003" s="34"/>
      <c r="P1003" s="34"/>
      <c r="Q1003" s="34"/>
      <c r="R1003" s="34"/>
      <c r="S1003" s="43"/>
      <c r="T1003" s="43"/>
      <c r="U1003" s="43"/>
      <c r="V1003" s="58"/>
      <c r="W1003" s="34"/>
      <c r="X1003" s="34"/>
    </row>
    <row r="1004" spans="1:24" x14ac:dyDescent="0.2">
      <c r="A1004" s="132">
        <v>998</v>
      </c>
      <c r="B1004" s="342"/>
      <c r="C1004" s="34"/>
      <c r="D1004" s="40" t="str">
        <f t="shared" si="31"/>
        <v>2002000998</v>
      </c>
      <c r="E1004" s="34"/>
      <c r="F1004" s="52"/>
      <c r="G1004" s="34"/>
      <c r="H1004" s="34"/>
      <c r="I1004" s="278"/>
      <c r="J1004" s="50" t="str">
        <f t="shared" ca="1" si="32"/>
        <v/>
      </c>
      <c r="K1004" s="50" t="str">
        <f ca="1">IFERROR(VLOOKUP($J1004,Ref!$B$7:$C$9,2),"")</f>
        <v/>
      </c>
      <c r="L1004" s="55"/>
      <c r="M1004" s="34"/>
      <c r="N1004" s="34"/>
      <c r="O1004" s="34"/>
      <c r="P1004" s="34"/>
      <c r="Q1004" s="34"/>
      <c r="R1004" s="34"/>
      <c r="S1004" s="43"/>
      <c r="T1004" s="43"/>
      <c r="U1004" s="43"/>
      <c r="V1004" s="58"/>
      <c r="W1004" s="34"/>
      <c r="X1004" s="34"/>
    </row>
    <row r="1005" spans="1:24" x14ac:dyDescent="0.2">
      <c r="A1005" s="132">
        <v>999</v>
      </c>
      <c r="B1005" s="342"/>
      <c r="C1005" s="34"/>
      <c r="D1005" s="40" t="str">
        <f t="shared" si="31"/>
        <v>2002000999</v>
      </c>
      <c r="E1005" s="34"/>
      <c r="F1005" s="52"/>
      <c r="G1005" s="34"/>
      <c r="H1005" s="34"/>
      <c r="I1005" s="278"/>
      <c r="J1005" s="50" t="str">
        <f t="shared" ca="1" si="32"/>
        <v/>
      </c>
      <c r="K1005" s="50" t="str">
        <f ca="1">IFERROR(VLOOKUP($J1005,Ref!$B$7:$C$9,2),"")</f>
        <v/>
      </c>
      <c r="L1005" s="55"/>
      <c r="M1005" s="34"/>
      <c r="N1005" s="34"/>
      <c r="O1005" s="34"/>
      <c r="P1005" s="34"/>
      <c r="Q1005" s="34"/>
      <c r="R1005" s="34"/>
      <c r="S1005" s="43"/>
      <c r="T1005" s="43"/>
      <c r="U1005" s="43"/>
      <c r="V1005" s="58"/>
      <c r="W1005" s="34"/>
      <c r="X1005" s="34"/>
    </row>
    <row r="1006" spans="1:24" x14ac:dyDescent="0.2">
      <c r="A1006" s="132">
        <v>1000</v>
      </c>
      <c r="B1006" s="342"/>
      <c r="C1006" s="34"/>
      <c r="D1006" s="40" t="str">
        <f t="shared" si="31"/>
        <v>2002001000</v>
      </c>
      <c r="E1006" s="34"/>
      <c r="F1006" s="52"/>
      <c r="G1006" s="34"/>
      <c r="H1006" s="34"/>
      <c r="I1006" s="278"/>
      <c r="J1006" s="50" t="str">
        <f t="shared" ca="1" si="32"/>
        <v/>
      </c>
      <c r="K1006" s="50" t="str">
        <f ca="1">IFERROR(VLOOKUP($J1006,Ref!$B$7:$C$9,2),"")</f>
        <v/>
      </c>
      <c r="L1006" s="55"/>
      <c r="M1006" s="34"/>
      <c r="N1006" s="34"/>
      <c r="O1006" s="34"/>
      <c r="P1006" s="34"/>
      <c r="Q1006" s="34"/>
      <c r="R1006" s="34"/>
      <c r="S1006" s="43"/>
      <c r="T1006" s="43"/>
      <c r="U1006" s="43"/>
      <c r="V1006" s="58"/>
      <c r="W1006" s="34"/>
      <c r="X1006" s="34"/>
    </row>
    <row r="1007" spans="1:24" x14ac:dyDescent="0.2">
      <c r="A1007" s="132">
        <v>1001</v>
      </c>
      <c r="B1007" s="342"/>
      <c r="C1007" s="34"/>
      <c r="D1007" s="40" t="str">
        <f t="shared" si="31"/>
        <v>2002001001</v>
      </c>
      <c r="E1007" s="34"/>
      <c r="F1007" s="52"/>
      <c r="G1007" s="34"/>
      <c r="H1007" s="34"/>
      <c r="I1007" s="278"/>
      <c r="J1007" s="50" t="str">
        <f t="shared" ca="1" si="32"/>
        <v/>
      </c>
      <c r="K1007" s="50" t="str">
        <f ca="1">IFERROR(VLOOKUP($J1007,Ref!$B$7:$C$9,2),"")</f>
        <v/>
      </c>
      <c r="L1007" s="55"/>
      <c r="M1007" s="34"/>
      <c r="N1007" s="34"/>
      <c r="O1007" s="34"/>
      <c r="P1007" s="34"/>
      <c r="Q1007" s="34"/>
      <c r="R1007" s="34"/>
      <c r="S1007" s="43"/>
      <c r="T1007" s="43"/>
      <c r="U1007" s="43"/>
      <c r="V1007" s="58"/>
      <c r="W1007" s="34"/>
      <c r="X1007" s="34"/>
    </row>
    <row r="1008" spans="1:24" x14ac:dyDescent="0.2">
      <c r="A1008" s="132">
        <v>1002</v>
      </c>
      <c r="B1008" s="342"/>
      <c r="C1008" s="34"/>
      <c r="D1008" s="40" t="str">
        <f t="shared" si="31"/>
        <v>2002001002</v>
      </c>
      <c r="E1008" s="34"/>
      <c r="F1008" s="52"/>
      <c r="G1008" s="34"/>
      <c r="H1008" s="34"/>
      <c r="I1008" s="278"/>
      <c r="J1008" s="50" t="str">
        <f t="shared" ca="1" si="32"/>
        <v/>
      </c>
      <c r="K1008" s="50" t="str">
        <f ca="1">IFERROR(VLOOKUP($J1008,Ref!$B$7:$C$9,2),"")</f>
        <v/>
      </c>
      <c r="L1008" s="55"/>
      <c r="M1008" s="34"/>
      <c r="N1008" s="34"/>
      <c r="O1008" s="34"/>
      <c r="P1008" s="34"/>
      <c r="Q1008" s="34"/>
      <c r="R1008" s="34"/>
      <c r="S1008" s="43"/>
      <c r="T1008" s="43"/>
      <c r="U1008" s="43"/>
      <c r="V1008" s="58"/>
      <c r="W1008" s="34"/>
      <c r="X1008" s="34"/>
    </row>
    <row r="1009" spans="1:24" x14ac:dyDescent="0.2">
      <c r="A1009" s="132">
        <v>1003</v>
      </c>
      <c r="B1009" s="342"/>
      <c r="C1009" s="34"/>
      <c r="D1009" s="40" t="str">
        <f t="shared" si="31"/>
        <v>2002001003</v>
      </c>
      <c r="E1009" s="34"/>
      <c r="F1009" s="52"/>
      <c r="G1009" s="34"/>
      <c r="H1009" s="34"/>
      <c r="I1009" s="278"/>
      <c r="J1009" s="50" t="str">
        <f t="shared" ca="1" si="32"/>
        <v/>
      </c>
      <c r="K1009" s="50" t="str">
        <f ca="1">IFERROR(VLOOKUP($J1009,Ref!$B$7:$C$9,2),"")</f>
        <v/>
      </c>
      <c r="L1009" s="55"/>
      <c r="M1009" s="34"/>
      <c r="N1009" s="34"/>
      <c r="O1009" s="34"/>
      <c r="P1009" s="34"/>
      <c r="Q1009" s="34"/>
      <c r="R1009" s="34"/>
      <c r="S1009" s="43"/>
      <c r="T1009" s="43"/>
      <c r="U1009" s="43"/>
      <c r="V1009" s="58"/>
      <c r="W1009" s="34"/>
      <c r="X1009" s="34"/>
    </row>
    <row r="1010" spans="1:24" x14ac:dyDescent="0.2">
      <c r="A1010" s="132">
        <v>1004</v>
      </c>
      <c r="B1010" s="342"/>
      <c r="C1010" s="34"/>
      <c r="D1010" s="40" t="str">
        <f t="shared" si="31"/>
        <v>2002001004</v>
      </c>
      <c r="E1010" s="34"/>
      <c r="F1010" s="52"/>
      <c r="G1010" s="34"/>
      <c r="H1010" s="34"/>
      <c r="I1010" s="278"/>
      <c r="J1010" s="50" t="str">
        <f t="shared" ca="1" si="32"/>
        <v/>
      </c>
      <c r="K1010" s="50" t="str">
        <f ca="1">IFERROR(VLOOKUP($J1010,Ref!$B$7:$C$9,2),"")</f>
        <v/>
      </c>
      <c r="L1010" s="55"/>
      <c r="M1010" s="34"/>
      <c r="N1010" s="34"/>
      <c r="O1010" s="34"/>
      <c r="P1010" s="34"/>
      <c r="Q1010" s="34"/>
      <c r="R1010" s="34"/>
      <c r="S1010" s="43"/>
      <c r="T1010" s="43"/>
      <c r="U1010" s="43"/>
      <c r="V1010" s="58"/>
      <c r="W1010" s="34"/>
      <c r="X1010" s="34"/>
    </row>
    <row r="1011" spans="1:24" x14ac:dyDescent="0.2">
      <c r="A1011" s="132">
        <v>1005</v>
      </c>
      <c r="B1011" s="342"/>
      <c r="C1011" s="34"/>
      <c r="D1011" s="40" t="str">
        <f t="shared" si="31"/>
        <v>2002001005</v>
      </c>
      <c r="E1011" s="34"/>
      <c r="F1011" s="52"/>
      <c r="G1011" s="34"/>
      <c r="H1011" s="34"/>
      <c r="I1011" s="278"/>
      <c r="J1011" s="50" t="str">
        <f t="shared" ca="1" si="32"/>
        <v/>
      </c>
      <c r="K1011" s="50" t="str">
        <f ca="1">IFERROR(VLOOKUP($J1011,Ref!$B$7:$C$9,2),"")</f>
        <v/>
      </c>
      <c r="L1011" s="55"/>
      <c r="M1011" s="34"/>
      <c r="N1011" s="34"/>
      <c r="O1011" s="34"/>
      <c r="P1011" s="34"/>
      <c r="Q1011" s="34"/>
      <c r="R1011" s="34"/>
      <c r="S1011" s="43"/>
      <c r="T1011" s="43"/>
      <c r="U1011" s="43"/>
      <c r="V1011" s="58"/>
      <c r="W1011" s="34"/>
      <c r="X1011" s="34"/>
    </row>
    <row r="1012" spans="1:24" x14ac:dyDescent="0.2">
      <c r="A1012" s="132">
        <v>1006</v>
      </c>
      <c r="B1012" s="342"/>
      <c r="C1012" s="34"/>
      <c r="D1012" s="40" t="str">
        <f t="shared" si="31"/>
        <v>2002001006</v>
      </c>
      <c r="E1012" s="34"/>
      <c r="F1012" s="52"/>
      <c r="G1012" s="34"/>
      <c r="H1012" s="34"/>
      <c r="I1012" s="278"/>
      <c r="J1012" s="50" t="str">
        <f t="shared" ca="1" si="32"/>
        <v/>
      </c>
      <c r="K1012" s="50" t="str">
        <f ca="1">IFERROR(VLOOKUP($J1012,Ref!$B$7:$C$9,2),"")</f>
        <v/>
      </c>
      <c r="L1012" s="55"/>
      <c r="M1012" s="34"/>
      <c r="N1012" s="34"/>
      <c r="O1012" s="34"/>
      <c r="P1012" s="34"/>
      <c r="Q1012" s="34"/>
      <c r="R1012" s="34"/>
      <c r="S1012" s="43"/>
      <c r="T1012" s="43"/>
      <c r="U1012" s="43"/>
      <c r="V1012" s="58"/>
      <c r="W1012" s="34"/>
      <c r="X1012" s="34"/>
    </row>
    <row r="1013" spans="1:24" x14ac:dyDescent="0.2">
      <c r="A1013" s="132">
        <v>1007</v>
      </c>
      <c r="B1013" s="342"/>
      <c r="C1013" s="34"/>
      <c r="D1013" s="40" t="str">
        <f t="shared" si="31"/>
        <v>2002001007</v>
      </c>
      <c r="E1013" s="34"/>
      <c r="F1013" s="52"/>
      <c r="G1013" s="34"/>
      <c r="H1013" s="34"/>
      <c r="I1013" s="278"/>
      <c r="J1013" s="50" t="str">
        <f t="shared" ca="1" si="32"/>
        <v/>
      </c>
      <c r="K1013" s="50" t="str">
        <f ca="1">IFERROR(VLOOKUP($J1013,Ref!$B$7:$C$9,2),"")</f>
        <v/>
      </c>
      <c r="L1013" s="55"/>
      <c r="M1013" s="34"/>
      <c r="N1013" s="34"/>
      <c r="O1013" s="34"/>
      <c r="P1013" s="34"/>
      <c r="Q1013" s="34"/>
      <c r="R1013" s="34"/>
      <c r="S1013" s="43"/>
      <c r="T1013" s="43"/>
      <c r="U1013" s="43"/>
      <c r="V1013" s="58"/>
      <c r="W1013" s="34"/>
      <c r="X1013" s="34"/>
    </row>
    <row r="1014" spans="1:24" x14ac:dyDescent="0.2">
      <c r="A1014" s="132">
        <v>1008</v>
      </c>
      <c r="B1014" s="342"/>
      <c r="C1014" s="34"/>
      <c r="D1014" s="40" t="str">
        <f t="shared" si="31"/>
        <v>2002001008</v>
      </c>
      <c r="E1014" s="34"/>
      <c r="F1014" s="52"/>
      <c r="G1014" s="34"/>
      <c r="H1014" s="34"/>
      <c r="I1014" s="278"/>
      <c r="J1014" s="50" t="str">
        <f t="shared" ca="1" si="32"/>
        <v/>
      </c>
      <c r="K1014" s="50" t="str">
        <f ca="1">IFERROR(VLOOKUP($J1014,Ref!$B$7:$C$9,2),"")</f>
        <v/>
      </c>
      <c r="L1014" s="55"/>
      <c r="M1014" s="34"/>
      <c r="N1014" s="34"/>
      <c r="O1014" s="34"/>
      <c r="P1014" s="34"/>
      <c r="Q1014" s="34"/>
      <c r="R1014" s="34"/>
      <c r="S1014" s="43"/>
      <c r="T1014" s="43"/>
      <c r="U1014" s="43"/>
      <c r="V1014" s="58"/>
      <c r="W1014" s="34"/>
      <c r="X1014" s="34"/>
    </row>
    <row r="1015" spans="1:24" x14ac:dyDescent="0.2">
      <c r="A1015" s="132">
        <v>1009</v>
      </c>
      <c r="B1015" s="342"/>
      <c r="C1015" s="34"/>
      <c r="D1015" s="40" t="str">
        <f t="shared" si="31"/>
        <v>2002001009</v>
      </c>
      <c r="E1015" s="34"/>
      <c r="F1015" s="52"/>
      <c r="G1015" s="34"/>
      <c r="H1015" s="34"/>
      <c r="I1015" s="278"/>
      <c r="J1015" s="50" t="str">
        <f t="shared" ca="1" si="32"/>
        <v/>
      </c>
      <c r="K1015" s="50" t="str">
        <f ca="1">IFERROR(VLOOKUP($J1015,Ref!$B$7:$C$9,2),"")</f>
        <v/>
      </c>
      <c r="L1015" s="55"/>
      <c r="M1015" s="34"/>
      <c r="N1015" s="34"/>
      <c r="O1015" s="34"/>
      <c r="P1015" s="34"/>
      <c r="Q1015" s="34"/>
      <c r="R1015" s="34"/>
      <c r="S1015" s="43"/>
      <c r="T1015" s="43"/>
      <c r="U1015" s="43"/>
      <c r="V1015" s="58"/>
      <c r="W1015" s="34"/>
      <c r="X1015" s="34"/>
    </row>
    <row r="1016" spans="1:24" x14ac:dyDescent="0.2">
      <c r="A1016" s="132">
        <v>1010</v>
      </c>
      <c r="B1016" s="342"/>
      <c r="C1016" s="34"/>
      <c r="D1016" s="40" t="str">
        <f t="shared" si="31"/>
        <v>2002001010</v>
      </c>
      <c r="E1016" s="34"/>
      <c r="F1016" s="52"/>
      <c r="G1016" s="34"/>
      <c r="H1016" s="34"/>
      <c r="I1016" s="278"/>
      <c r="J1016" s="50" t="str">
        <f t="shared" ca="1" si="32"/>
        <v/>
      </c>
      <c r="K1016" s="50" t="str">
        <f ca="1">IFERROR(VLOOKUP($J1016,Ref!$B$7:$C$9,2),"")</f>
        <v/>
      </c>
      <c r="L1016" s="55"/>
      <c r="M1016" s="34"/>
      <c r="N1016" s="34"/>
      <c r="O1016" s="34"/>
      <c r="P1016" s="34"/>
      <c r="Q1016" s="34"/>
      <c r="R1016" s="34"/>
      <c r="S1016" s="43"/>
      <c r="T1016" s="43"/>
      <c r="U1016" s="43"/>
      <c r="V1016" s="58"/>
      <c r="W1016" s="34"/>
      <c r="X1016" s="34"/>
    </row>
    <row r="1017" spans="1:24" x14ac:dyDescent="0.2">
      <c r="A1017" s="132">
        <v>1011</v>
      </c>
      <c r="B1017" s="342"/>
      <c r="C1017" s="34"/>
      <c r="D1017" s="40" t="str">
        <f t="shared" si="31"/>
        <v>2002001011</v>
      </c>
      <c r="E1017" s="34"/>
      <c r="F1017" s="52"/>
      <c r="G1017" s="34"/>
      <c r="H1017" s="34"/>
      <c r="I1017" s="278"/>
      <c r="J1017" s="50" t="str">
        <f t="shared" ca="1" si="32"/>
        <v/>
      </c>
      <c r="K1017" s="50" t="str">
        <f ca="1">IFERROR(VLOOKUP($J1017,Ref!$B$7:$C$9,2),"")</f>
        <v/>
      </c>
      <c r="L1017" s="55"/>
      <c r="M1017" s="34"/>
      <c r="N1017" s="34"/>
      <c r="O1017" s="34"/>
      <c r="P1017" s="34"/>
      <c r="Q1017" s="34"/>
      <c r="R1017" s="34"/>
      <c r="S1017" s="43"/>
      <c r="T1017" s="43"/>
      <c r="U1017" s="43"/>
      <c r="V1017" s="58"/>
      <c r="W1017" s="34"/>
      <c r="X1017" s="34"/>
    </row>
    <row r="1018" spans="1:24" x14ac:dyDescent="0.2">
      <c r="A1018" s="132">
        <v>1012</v>
      </c>
      <c r="B1018" s="342"/>
      <c r="C1018" s="34"/>
      <c r="D1018" s="40" t="str">
        <f t="shared" si="31"/>
        <v>2002001012</v>
      </c>
      <c r="E1018" s="34"/>
      <c r="F1018" s="52"/>
      <c r="G1018" s="34"/>
      <c r="H1018" s="34"/>
      <c r="I1018" s="278"/>
      <c r="J1018" s="50" t="str">
        <f t="shared" ca="1" si="32"/>
        <v/>
      </c>
      <c r="K1018" s="50" t="str">
        <f ca="1">IFERROR(VLOOKUP($J1018,Ref!$B$7:$C$9,2),"")</f>
        <v/>
      </c>
      <c r="L1018" s="55"/>
      <c r="M1018" s="34"/>
      <c r="N1018" s="34"/>
      <c r="O1018" s="34"/>
      <c r="P1018" s="34"/>
      <c r="Q1018" s="34"/>
      <c r="R1018" s="34"/>
      <c r="S1018" s="43"/>
      <c r="T1018" s="43"/>
      <c r="U1018" s="43"/>
      <c r="V1018" s="58"/>
      <c r="W1018" s="34"/>
      <c r="X1018" s="34"/>
    </row>
    <row r="1019" spans="1:24" x14ac:dyDescent="0.2">
      <c r="A1019" s="132">
        <v>1013</v>
      </c>
      <c r="B1019" s="342"/>
      <c r="C1019" s="34"/>
      <c r="D1019" s="40" t="str">
        <f t="shared" si="31"/>
        <v>2002001013</v>
      </c>
      <c r="E1019" s="34"/>
      <c r="F1019" s="52"/>
      <c r="G1019" s="34"/>
      <c r="H1019" s="34"/>
      <c r="I1019" s="278"/>
      <c r="J1019" s="50" t="str">
        <f t="shared" ca="1" si="32"/>
        <v/>
      </c>
      <c r="K1019" s="50" t="str">
        <f ca="1">IFERROR(VLOOKUP($J1019,Ref!$B$7:$C$9,2),"")</f>
        <v/>
      </c>
      <c r="L1019" s="55"/>
      <c r="M1019" s="34"/>
      <c r="N1019" s="34"/>
      <c r="O1019" s="34"/>
      <c r="P1019" s="34"/>
      <c r="Q1019" s="34"/>
      <c r="R1019" s="34"/>
      <c r="S1019" s="43"/>
      <c r="T1019" s="43"/>
      <c r="U1019" s="43"/>
      <c r="V1019" s="58"/>
      <c r="W1019" s="34"/>
      <c r="X1019" s="34"/>
    </row>
    <row r="1020" spans="1:24" x14ac:dyDescent="0.2">
      <c r="A1020" s="132">
        <v>1014</v>
      </c>
      <c r="B1020" s="342"/>
      <c r="C1020" s="34"/>
      <c r="D1020" s="40" t="str">
        <f t="shared" si="31"/>
        <v>2002001014</v>
      </c>
      <c r="E1020" s="34"/>
      <c r="F1020" s="52"/>
      <c r="G1020" s="34"/>
      <c r="H1020" s="34"/>
      <c r="I1020" s="278"/>
      <c r="J1020" s="50" t="str">
        <f t="shared" ca="1" si="32"/>
        <v/>
      </c>
      <c r="K1020" s="50" t="str">
        <f ca="1">IFERROR(VLOOKUP($J1020,Ref!$B$7:$C$9,2),"")</f>
        <v/>
      </c>
      <c r="L1020" s="55"/>
      <c r="M1020" s="34"/>
      <c r="N1020" s="34"/>
      <c r="O1020" s="34"/>
      <c r="P1020" s="34"/>
      <c r="Q1020" s="34"/>
      <c r="R1020" s="34"/>
      <c r="S1020" s="43"/>
      <c r="T1020" s="43"/>
      <c r="U1020" s="43"/>
      <c r="V1020" s="58"/>
      <c r="W1020" s="34"/>
      <c r="X1020" s="34"/>
    </row>
    <row r="1021" spans="1:24" x14ac:dyDescent="0.2">
      <c r="A1021" s="132">
        <v>1015</v>
      </c>
      <c r="B1021" s="342"/>
      <c r="C1021" s="34"/>
      <c r="D1021" s="40" t="str">
        <f t="shared" si="31"/>
        <v>2002001015</v>
      </c>
      <c r="E1021" s="34"/>
      <c r="F1021" s="52"/>
      <c r="G1021" s="34"/>
      <c r="H1021" s="34"/>
      <c r="I1021" s="278"/>
      <c r="J1021" s="50" t="str">
        <f t="shared" ca="1" si="32"/>
        <v/>
      </c>
      <c r="K1021" s="50" t="str">
        <f ca="1">IFERROR(VLOOKUP($J1021,Ref!$B$7:$C$9,2),"")</f>
        <v/>
      </c>
      <c r="L1021" s="55"/>
      <c r="M1021" s="34"/>
      <c r="N1021" s="34"/>
      <c r="O1021" s="34"/>
      <c r="P1021" s="34"/>
      <c r="Q1021" s="34"/>
      <c r="R1021" s="34"/>
      <c r="S1021" s="43"/>
      <c r="T1021" s="43"/>
      <c r="U1021" s="43"/>
      <c r="V1021" s="58"/>
      <c r="W1021" s="34"/>
      <c r="X1021" s="34"/>
    </row>
    <row r="1022" spans="1:24" x14ac:dyDescent="0.2">
      <c r="A1022" s="132">
        <v>1016</v>
      </c>
      <c r="B1022" s="342"/>
      <c r="C1022" s="34"/>
      <c r="D1022" s="40" t="str">
        <f t="shared" si="31"/>
        <v>2002001016</v>
      </c>
      <c r="E1022" s="34"/>
      <c r="F1022" s="52"/>
      <c r="G1022" s="34"/>
      <c r="H1022" s="34"/>
      <c r="I1022" s="278"/>
      <c r="J1022" s="50" t="str">
        <f t="shared" ca="1" si="32"/>
        <v/>
      </c>
      <c r="K1022" s="50" t="str">
        <f ca="1">IFERROR(VLOOKUP($J1022,Ref!$B$7:$C$9,2),"")</f>
        <v/>
      </c>
      <c r="L1022" s="55"/>
      <c r="M1022" s="34"/>
      <c r="N1022" s="34"/>
      <c r="O1022" s="34"/>
      <c r="P1022" s="34"/>
      <c r="Q1022" s="34"/>
      <c r="R1022" s="34"/>
      <c r="S1022" s="43"/>
      <c r="T1022" s="43"/>
      <c r="U1022" s="43"/>
      <c r="V1022" s="58"/>
      <c r="W1022" s="34"/>
      <c r="X1022" s="34"/>
    </row>
    <row r="1023" spans="1:24" x14ac:dyDescent="0.2">
      <c r="A1023" s="132">
        <v>1017</v>
      </c>
      <c r="B1023" s="342"/>
      <c r="C1023" s="34"/>
      <c r="D1023" s="40" t="str">
        <f t="shared" si="31"/>
        <v>2002001017</v>
      </c>
      <c r="E1023" s="34"/>
      <c r="F1023" s="52"/>
      <c r="G1023" s="34"/>
      <c r="H1023" s="34"/>
      <c r="I1023" s="278"/>
      <c r="J1023" s="50" t="str">
        <f t="shared" ca="1" si="32"/>
        <v/>
      </c>
      <c r="K1023" s="50" t="str">
        <f ca="1">IFERROR(VLOOKUP($J1023,Ref!$B$7:$C$9,2),"")</f>
        <v/>
      </c>
      <c r="L1023" s="55"/>
      <c r="M1023" s="34"/>
      <c r="N1023" s="34"/>
      <c r="O1023" s="34"/>
      <c r="P1023" s="34"/>
      <c r="Q1023" s="34"/>
      <c r="R1023" s="34"/>
      <c r="S1023" s="43"/>
      <c r="T1023" s="43"/>
      <c r="U1023" s="43"/>
      <c r="V1023" s="58"/>
      <c r="W1023" s="34"/>
      <c r="X1023" s="34"/>
    </row>
    <row r="1024" spans="1:24" x14ac:dyDescent="0.2">
      <c r="A1024" s="132">
        <v>1018</v>
      </c>
      <c r="B1024" s="342"/>
      <c r="C1024" s="34"/>
      <c r="D1024" s="40" t="str">
        <f t="shared" si="31"/>
        <v>2002001018</v>
      </c>
      <c r="E1024" s="34"/>
      <c r="F1024" s="52"/>
      <c r="G1024" s="34"/>
      <c r="H1024" s="34"/>
      <c r="I1024" s="278"/>
      <c r="J1024" s="50" t="str">
        <f t="shared" ca="1" si="32"/>
        <v/>
      </c>
      <c r="K1024" s="50" t="str">
        <f ca="1">IFERROR(VLOOKUP($J1024,Ref!$B$7:$C$9,2),"")</f>
        <v/>
      </c>
      <c r="L1024" s="55"/>
      <c r="M1024" s="34"/>
      <c r="N1024" s="34"/>
      <c r="O1024" s="34"/>
      <c r="P1024" s="34"/>
      <c r="Q1024" s="34"/>
      <c r="R1024" s="34"/>
      <c r="S1024" s="43"/>
      <c r="T1024" s="43"/>
      <c r="U1024" s="43"/>
      <c r="V1024" s="58"/>
      <c r="W1024" s="34"/>
      <c r="X1024" s="34"/>
    </row>
    <row r="1025" spans="1:24" x14ac:dyDescent="0.2">
      <c r="A1025" s="132">
        <v>1019</v>
      </c>
      <c r="B1025" s="342"/>
      <c r="C1025" s="34"/>
      <c r="D1025" s="40" t="str">
        <f t="shared" si="31"/>
        <v>2002001019</v>
      </c>
      <c r="E1025" s="34"/>
      <c r="F1025" s="52"/>
      <c r="G1025" s="34"/>
      <c r="H1025" s="34"/>
      <c r="I1025" s="278"/>
      <c r="J1025" s="50" t="str">
        <f t="shared" ca="1" si="32"/>
        <v/>
      </c>
      <c r="K1025" s="50" t="str">
        <f ca="1">IFERROR(VLOOKUP($J1025,Ref!$B$7:$C$9,2),"")</f>
        <v/>
      </c>
      <c r="L1025" s="55"/>
      <c r="M1025" s="34"/>
      <c r="N1025" s="34"/>
      <c r="O1025" s="34"/>
      <c r="P1025" s="34"/>
      <c r="Q1025" s="34"/>
      <c r="R1025" s="34"/>
      <c r="S1025" s="43"/>
      <c r="T1025" s="43"/>
      <c r="U1025" s="43"/>
      <c r="V1025" s="58"/>
      <c r="W1025" s="34"/>
      <c r="X1025" s="34"/>
    </row>
    <row r="1026" spans="1:24" x14ac:dyDescent="0.2">
      <c r="A1026" s="132">
        <v>1020</v>
      </c>
      <c r="B1026" s="342"/>
      <c r="C1026" s="34"/>
      <c r="D1026" s="40" t="str">
        <f t="shared" si="31"/>
        <v>2002001020</v>
      </c>
      <c r="E1026" s="34"/>
      <c r="F1026" s="52"/>
      <c r="G1026" s="34"/>
      <c r="H1026" s="34"/>
      <c r="I1026" s="278"/>
      <c r="J1026" s="50" t="str">
        <f t="shared" ca="1" si="32"/>
        <v/>
      </c>
      <c r="K1026" s="50" t="str">
        <f ca="1">IFERROR(VLOOKUP($J1026,Ref!$B$7:$C$9,2),"")</f>
        <v/>
      </c>
      <c r="L1026" s="55"/>
      <c r="M1026" s="34"/>
      <c r="N1026" s="34"/>
      <c r="O1026" s="34"/>
      <c r="P1026" s="34"/>
      <c r="Q1026" s="34"/>
      <c r="R1026" s="34"/>
      <c r="S1026" s="43"/>
      <c r="T1026" s="43"/>
      <c r="U1026" s="43"/>
      <c r="V1026" s="58"/>
      <c r="W1026" s="34"/>
      <c r="X1026" s="34"/>
    </row>
    <row r="1027" spans="1:24" x14ac:dyDescent="0.2">
      <c r="A1027" s="132">
        <v>1021</v>
      </c>
      <c r="B1027" s="342"/>
      <c r="C1027" s="34"/>
      <c r="D1027" s="40" t="str">
        <f t="shared" si="31"/>
        <v>2002001021</v>
      </c>
      <c r="E1027" s="34"/>
      <c r="F1027" s="52"/>
      <c r="G1027" s="34"/>
      <c r="H1027" s="34"/>
      <c r="I1027" s="278"/>
      <c r="J1027" s="50" t="str">
        <f t="shared" ca="1" si="32"/>
        <v/>
      </c>
      <c r="K1027" s="50" t="str">
        <f ca="1">IFERROR(VLOOKUP($J1027,Ref!$B$7:$C$9,2),"")</f>
        <v/>
      </c>
      <c r="L1027" s="55"/>
      <c r="M1027" s="34"/>
      <c r="N1027" s="34"/>
      <c r="O1027" s="34"/>
      <c r="P1027" s="34"/>
      <c r="Q1027" s="34"/>
      <c r="R1027" s="34"/>
      <c r="S1027" s="43"/>
      <c r="T1027" s="43"/>
      <c r="U1027" s="43"/>
      <c r="V1027" s="58"/>
      <c r="W1027" s="34"/>
      <c r="X1027" s="34"/>
    </row>
    <row r="1028" spans="1:24" x14ac:dyDescent="0.2">
      <c r="A1028" s="132">
        <v>1022</v>
      </c>
      <c r="B1028" s="342"/>
      <c r="C1028" s="34"/>
      <c r="D1028" s="40" t="str">
        <f t="shared" si="31"/>
        <v>2002001022</v>
      </c>
      <c r="E1028" s="34"/>
      <c r="F1028" s="52"/>
      <c r="G1028" s="34"/>
      <c r="H1028" s="34"/>
      <c r="I1028" s="278"/>
      <c r="J1028" s="50" t="str">
        <f t="shared" ca="1" si="32"/>
        <v/>
      </c>
      <c r="K1028" s="50" t="str">
        <f ca="1">IFERROR(VLOOKUP($J1028,Ref!$B$7:$C$9,2),"")</f>
        <v/>
      </c>
      <c r="L1028" s="55"/>
      <c r="M1028" s="34"/>
      <c r="N1028" s="34"/>
      <c r="O1028" s="34"/>
      <c r="P1028" s="34"/>
      <c r="Q1028" s="34"/>
      <c r="R1028" s="34"/>
      <c r="S1028" s="43"/>
      <c r="T1028" s="43"/>
      <c r="U1028" s="43"/>
      <c r="V1028" s="58"/>
      <c r="W1028" s="34"/>
      <c r="X1028" s="34"/>
    </row>
    <row r="1029" spans="1:24" x14ac:dyDescent="0.2">
      <c r="A1029" s="132">
        <v>1023</v>
      </c>
      <c r="B1029" s="342"/>
      <c r="C1029" s="34"/>
      <c r="D1029" s="40" t="str">
        <f t="shared" si="31"/>
        <v>2002001023</v>
      </c>
      <c r="E1029" s="34"/>
      <c r="F1029" s="52"/>
      <c r="G1029" s="34"/>
      <c r="H1029" s="34"/>
      <c r="I1029" s="278"/>
      <c r="J1029" s="50" t="str">
        <f t="shared" ca="1" si="32"/>
        <v/>
      </c>
      <c r="K1029" s="50" t="str">
        <f ca="1">IFERROR(VLOOKUP($J1029,Ref!$B$7:$C$9,2),"")</f>
        <v/>
      </c>
      <c r="L1029" s="55"/>
      <c r="M1029" s="34"/>
      <c r="N1029" s="34"/>
      <c r="O1029" s="34"/>
      <c r="P1029" s="34"/>
      <c r="Q1029" s="34"/>
      <c r="R1029" s="34"/>
      <c r="S1029" s="43"/>
      <c r="T1029" s="43"/>
      <c r="U1029" s="43"/>
      <c r="V1029" s="58"/>
      <c r="W1029" s="34"/>
      <c r="X1029" s="34"/>
    </row>
    <row r="1030" spans="1:24" x14ac:dyDescent="0.2">
      <c r="A1030" s="132">
        <v>1024</v>
      </c>
      <c r="B1030" s="342"/>
      <c r="C1030" s="34"/>
      <c r="D1030" s="40" t="str">
        <f t="shared" si="31"/>
        <v>2002001024</v>
      </c>
      <c r="E1030" s="34"/>
      <c r="F1030" s="52"/>
      <c r="G1030" s="34"/>
      <c r="H1030" s="34"/>
      <c r="I1030" s="278"/>
      <c r="J1030" s="50" t="str">
        <f t="shared" ca="1" si="32"/>
        <v/>
      </c>
      <c r="K1030" s="50" t="str">
        <f ca="1">IFERROR(VLOOKUP($J1030,Ref!$B$7:$C$9,2),"")</f>
        <v/>
      </c>
      <c r="L1030" s="55"/>
      <c r="M1030" s="34"/>
      <c r="N1030" s="34"/>
      <c r="O1030" s="34"/>
      <c r="P1030" s="34"/>
      <c r="Q1030" s="34"/>
      <c r="R1030" s="34"/>
      <c r="S1030" s="43"/>
      <c r="T1030" s="43"/>
      <c r="U1030" s="43"/>
      <c r="V1030" s="58"/>
      <c r="W1030" s="34"/>
      <c r="X1030" s="34"/>
    </row>
    <row r="1031" spans="1:24" x14ac:dyDescent="0.2">
      <c r="A1031" s="132">
        <v>1025</v>
      </c>
      <c r="B1031" s="342"/>
      <c r="C1031" s="34"/>
      <c r="D1031" s="40" t="str">
        <f t="shared" si="31"/>
        <v>2002001025</v>
      </c>
      <c r="E1031" s="34"/>
      <c r="F1031" s="52"/>
      <c r="G1031" s="34"/>
      <c r="H1031" s="34"/>
      <c r="I1031" s="278"/>
      <c r="J1031" s="50" t="str">
        <f t="shared" ca="1" si="32"/>
        <v/>
      </c>
      <c r="K1031" s="50" t="str">
        <f ca="1">IFERROR(VLOOKUP($J1031,Ref!$B$7:$C$9,2),"")</f>
        <v/>
      </c>
      <c r="L1031" s="55"/>
      <c r="M1031" s="34"/>
      <c r="N1031" s="34"/>
      <c r="O1031" s="34"/>
      <c r="P1031" s="34"/>
      <c r="Q1031" s="34"/>
      <c r="R1031" s="34"/>
      <c r="S1031" s="43"/>
      <c r="T1031" s="43"/>
      <c r="U1031" s="43"/>
      <c r="V1031" s="58"/>
      <c r="W1031" s="34"/>
      <c r="X1031" s="34"/>
    </row>
    <row r="1032" spans="1:24" x14ac:dyDescent="0.2">
      <c r="A1032" s="132">
        <v>1026</v>
      </c>
      <c r="B1032" s="342"/>
      <c r="C1032" s="34"/>
      <c r="D1032" s="40" t="str">
        <f t="shared" ref="D1032:D1095" si="33">IF(A1032="","",LEFT($C$3,LEN($C$3)-LEN(A1032))&amp;A1032)</f>
        <v>2002001026</v>
      </c>
      <c r="E1032" s="34"/>
      <c r="F1032" s="52"/>
      <c r="G1032" s="34"/>
      <c r="H1032" s="34"/>
      <c r="I1032" s="278"/>
      <c r="J1032" s="50" t="str">
        <f t="shared" ca="1" si="32"/>
        <v/>
      </c>
      <c r="K1032" s="50" t="str">
        <f ca="1">IFERROR(VLOOKUP($J1032,Ref!$B$7:$C$9,2),"")</f>
        <v/>
      </c>
      <c r="L1032" s="55"/>
      <c r="M1032" s="34"/>
      <c r="N1032" s="34"/>
      <c r="O1032" s="34"/>
      <c r="P1032" s="34"/>
      <c r="Q1032" s="34"/>
      <c r="R1032" s="34"/>
      <c r="S1032" s="43"/>
      <c r="T1032" s="43"/>
      <c r="U1032" s="43"/>
      <c r="V1032" s="58"/>
      <c r="W1032" s="34"/>
      <c r="X1032" s="34"/>
    </row>
    <row r="1033" spans="1:24" x14ac:dyDescent="0.2">
      <c r="A1033" s="132">
        <v>1027</v>
      </c>
      <c r="B1033" s="342"/>
      <c r="C1033" s="34"/>
      <c r="D1033" s="40" t="str">
        <f t="shared" si="33"/>
        <v>2002001027</v>
      </c>
      <c r="E1033" s="34"/>
      <c r="F1033" s="52"/>
      <c r="G1033" s="34"/>
      <c r="H1033" s="34"/>
      <c r="I1033" s="278"/>
      <c r="J1033" s="50" t="str">
        <f t="shared" ca="1" si="32"/>
        <v/>
      </c>
      <c r="K1033" s="50" t="str">
        <f ca="1">IFERROR(VLOOKUP($J1033,Ref!$B$7:$C$9,2),"")</f>
        <v/>
      </c>
      <c r="L1033" s="55"/>
      <c r="M1033" s="34"/>
      <c r="N1033" s="34"/>
      <c r="O1033" s="34"/>
      <c r="P1033" s="34"/>
      <c r="Q1033" s="34"/>
      <c r="R1033" s="34"/>
      <c r="S1033" s="43"/>
      <c r="T1033" s="43"/>
      <c r="U1033" s="43"/>
      <c r="V1033" s="58"/>
      <c r="W1033" s="34"/>
      <c r="X1033" s="34"/>
    </row>
    <row r="1034" spans="1:24" x14ac:dyDescent="0.2">
      <c r="A1034" s="132">
        <v>1028</v>
      </c>
      <c r="B1034" s="342"/>
      <c r="C1034" s="34"/>
      <c r="D1034" s="40" t="str">
        <f t="shared" si="33"/>
        <v>2002001028</v>
      </c>
      <c r="E1034" s="34"/>
      <c r="F1034" s="52"/>
      <c r="G1034" s="34"/>
      <c r="H1034" s="34"/>
      <c r="I1034" s="278"/>
      <c r="J1034" s="50" t="str">
        <f t="shared" ca="1" si="32"/>
        <v/>
      </c>
      <c r="K1034" s="50" t="str">
        <f ca="1">IFERROR(VLOOKUP($J1034,Ref!$B$7:$C$9,2),"")</f>
        <v/>
      </c>
      <c r="L1034" s="55"/>
      <c r="M1034" s="34"/>
      <c r="N1034" s="34"/>
      <c r="O1034" s="34"/>
      <c r="P1034" s="34"/>
      <c r="Q1034" s="34"/>
      <c r="R1034" s="34"/>
      <c r="S1034" s="43"/>
      <c r="T1034" s="43"/>
      <c r="U1034" s="43"/>
      <c r="V1034" s="58"/>
      <c r="W1034" s="34"/>
      <c r="X1034" s="34"/>
    </row>
    <row r="1035" spans="1:24" x14ac:dyDescent="0.2">
      <c r="A1035" s="132">
        <v>1029</v>
      </c>
      <c r="B1035" s="342"/>
      <c r="C1035" s="34"/>
      <c r="D1035" s="40" t="str">
        <f t="shared" si="33"/>
        <v>2002001029</v>
      </c>
      <c r="E1035" s="34"/>
      <c r="F1035" s="52"/>
      <c r="G1035" s="34"/>
      <c r="H1035" s="34"/>
      <c r="I1035" s="278"/>
      <c r="J1035" s="50" t="str">
        <f t="shared" ca="1" si="32"/>
        <v/>
      </c>
      <c r="K1035" s="50" t="str">
        <f ca="1">IFERROR(VLOOKUP($J1035,Ref!$B$7:$C$9,2),"")</f>
        <v/>
      </c>
      <c r="L1035" s="55"/>
      <c r="M1035" s="34"/>
      <c r="N1035" s="34"/>
      <c r="O1035" s="34"/>
      <c r="P1035" s="34"/>
      <c r="Q1035" s="34"/>
      <c r="R1035" s="34"/>
      <c r="S1035" s="43"/>
      <c r="T1035" s="43"/>
      <c r="U1035" s="43"/>
      <c r="V1035" s="58"/>
      <c r="W1035" s="34"/>
      <c r="X1035" s="34"/>
    </row>
    <row r="1036" spans="1:24" x14ac:dyDescent="0.2">
      <c r="A1036" s="132">
        <v>1030</v>
      </c>
      <c r="B1036" s="342"/>
      <c r="C1036" s="34"/>
      <c r="D1036" s="40" t="str">
        <f t="shared" si="33"/>
        <v>2002001030</v>
      </c>
      <c r="E1036" s="34"/>
      <c r="F1036" s="52"/>
      <c r="G1036" s="34"/>
      <c r="H1036" s="34"/>
      <c r="I1036" s="278"/>
      <c r="J1036" s="50" t="str">
        <f t="shared" ca="1" si="32"/>
        <v/>
      </c>
      <c r="K1036" s="50" t="str">
        <f ca="1">IFERROR(VLOOKUP($J1036,Ref!$B$7:$C$9,2),"")</f>
        <v/>
      </c>
      <c r="L1036" s="55"/>
      <c r="M1036" s="34"/>
      <c r="N1036" s="34"/>
      <c r="O1036" s="34"/>
      <c r="P1036" s="34"/>
      <c r="Q1036" s="34"/>
      <c r="R1036" s="34"/>
      <c r="S1036" s="43"/>
      <c r="T1036" s="43"/>
      <c r="U1036" s="43"/>
      <c r="V1036" s="58"/>
      <c r="W1036" s="34"/>
      <c r="X1036" s="34"/>
    </row>
    <row r="1037" spans="1:24" x14ac:dyDescent="0.2">
      <c r="A1037" s="132">
        <v>1031</v>
      </c>
      <c r="B1037" s="342"/>
      <c r="C1037" s="34"/>
      <c r="D1037" s="40" t="str">
        <f t="shared" si="33"/>
        <v>2002001031</v>
      </c>
      <c r="E1037" s="34"/>
      <c r="F1037" s="52"/>
      <c r="G1037" s="34"/>
      <c r="H1037" s="34"/>
      <c r="I1037" s="278"/>
      <c r="J1037" s="50" t="str">
        <f t="shared" ca="1" si="32"/>
        <v/>
      </c>
      <c r="K1037" s="50" t="str">
        <f ca="1">IFERROR(VLOOKUP($J1037,Ref!$B$7:$C$9,2),"")</f>
        <v/>
      </c>
      <c r="L1037" s="55"/>
      <c r="M1037" s="34"/>
      <c r="N1037" s="34"/>
      <c r="O1037" s="34"/>
      <c r="P1037" s="34"/>
      <c r="Q1037" s="34"/>
      <c r="R1037" s="34"/>
      <c r="S1037" s="43"/>
      <c r="T1037" s="43"/>
      <c r="U1037" s="43"/>
      <c r="V1037" s="58"/>
      <c r="W1037" s="34"/>
      <c r="X1037" s="34"/>
    </row>
    <row r="1038" spans="1:24" x14ac:dyDescent="0.2">
      <c r="A1038" s="132">
        <v>1032</v>
      </c>
      <c r="B1038" s="342"/>
      <c r="C1038" s="34"/>
      <c r="D1038" s="40" t="str">
        <f t="shared" si="33"/>
        <v>2002001032</v>
      </c>
      <c r="E1038" s="34"/>
      <c r="F1038" s="52"/>
      <c r="G1038" s="34"/>
      <c r="H1038" s="34"/>
      <c r="I1038" s="278"/>
      <c r="J1038" s="50" t="str">
        <f t="shared" ca="1" si="32"/>
        <v/>
      </c>
      <c r="K1038" s="50" t="str">
        <f ca="1">IFERROR(VLOOKUP($J1038,Ref!$B$7:$C$9,2),"")</f>
        <v/>
      </c>
      <c r="L1038" s="55"/>
      <c r="M1038" s="34"/>
      <c r="N1038" s="34"/>
      <c r="O1038" s="34"/>
      <c r="P1038" s="34"/>
      <c r="Q1038" s="34"/>
      <c r="R1038" s="34"/>
      <c r="S1038" s="43"/>
      <c r="T1038" s="43"/>
      <c r="U1038" s="43"/>
      <c r="V1038" s="58"/>
      <c r="W1038" s="34"/>
      <c r="X1038" s="34"/>
    </row>
    <row r="1039" spans="1:24" x14ac:dyDescent="0.2">
      <c r="A1039" s="132">
        <v>1033</v>
      </c>
      <c r="B1039" s="342"/>
      <c r="C1039" s="34"/>
      <c r="D1039" s="40" t="str">
        <f t="shared" si="33"/>
        <v>2002001033</v>
      </c>
      <c r="E1039" s="34"/>
      <c r="F1039" s="52"/>
      <c r="G1039" s="34"/>
      <c r="H1039" s="34"/>
      <c r="I1039" s="278"/>
      <c r="J1039" s="50" t="str">
        <f t="shared" ca="1" si="32"/>
        <v/>
      </c>
      <c r="K1039" s="50" t="str">
        <f ca="1">IFERROR(VLOOKUP($J1039,Ref!$B$7:$C$9,2),"")</f>
        <v/>
      </c>
      <c r="L1039" s="55"/>
      <c r="M1039" s="34"/>
      <c r="N1039" s="34"/>
      <c r="O1039" s="34"/>
      <c r="P1039" s="34"/>
      <c r="Q1039" s="34"/>
      <c r="R1039" s="34"/>
      <c r="S1039" s="43"/>
      <c r="T1039" s="43"/>
      <c r="U1039" s="43"/>
      <c r="V1039" s="58"/>
      <c r="W1039" s="34"/>
      <c r="X1039" s="34"/>
    </row>
    <row r="1040" spans="1:24" x14ac:dyDescent="0.2">
      <c r="A1040" s="132">
        <v>1034</v>
      </c>
      <c r="B1040" s="342"/>
      <c r="C1040" s="34"/>
      <c r="D1040" s="40" t="str">
        <f t="shared" si="33"/>
        <v>2002001034</v>
      </c>
      <c r="E1040" s="34"/>
      <c r="F1040" s="52"/>
      <c r="G1040" s="34"/>
      <c r="H1040" s="34"/>
      <c r="I1040" s="278"/>
      <c r="J1040" s="50" t="str">
        <f t="shared" ca="1" si="32"/>
        <v/>
      </c>
      <c r="K1040" s="50" t="str">
        <f ca="1">IFERROR(VLOOKUP($J1040,Ref!$B$7:$C$9,2),"")</f>
        <v/>
      </c>
      <c r="L1040" s="55"/>
      <c r="M1040" s="34"/>
      <c r="N1040" s="34"/>
      <c r="O1040" s="34"/>
      <c r="P1040" s="34"/>
      <c r="Q1040" s="34"/>
      <c r="R1040" s="34"/>
      <c r="S1040" s="43"/>
      <c r="T1040" s="43"/>
      <c r="U1040" s="43"/>
      <c r="V1040" s="58"/>
      <c r="W1040" s="34"/>
      <c r="X1040" s="34"/>
    </row>
    <row r="1041" spans="1:24" x14ac:dyDescent="0.2">
      <c r="A1041" s="132">
        <v>1035</v>
      </c>
      <c r="B1041" s="342"/>
      <c r="C1041" s="34"/>
      <c r="D1041" s="40" t="str">
        <f t="shared" si="33"/>
        <v>2002001035</v>
      </c>
      <c r="E1041" s="34"/>
      <c r="F1041" s="52"/>
      <c r="G1041" s="34"/>
      <c r="H1041" s="34"/>
      <c r="I1041" s="278"/>
      <c r="J1041" s="50" t="str">
        <f t="shared" ca="1" si="32"/>
        <v/>
      </c>
      <c r="K1041" s="50" t="str">
        <f ca="1">IFERROR(VLOOKUP($J1041,Ref!$B$7:$C$9,2),"")</f>
        <v/>
      </c>
      <c r="L1041" s="55"/>
      <c r="M1041" s="34"/>
      <c r="N1041" s="34"/>
      <c r="O1041" s="34"/>
      <c r="P1041" s="34"/>
      <c r="Q1041" s="34"/>
      <c r="R1041" s="34"/>
      <c r="S1041" s="43"/>
      <c r="T1041" s="43"/>
      <c r="U1041" s="43"/>
      <c r="V1041" s="58"/>
      <c r="W1041" s="34"/>
      <c r="X1041" s="34"/>
    </row>
    <row r="1042" spans="1:24" x14ac:dyDescent="0.2">
      <c r="A1042" s="132">
        <v>1036</v>
      </c>
      <c r="B1042" s="342"/>
      <c r="C1042" s="34"/>
      <c r="D1042" s="40" t="str">
        <f t="shared" si="33"/>
        <v>2002001036</v>
      </c>
      <c r="E1042" s="34"/>
      <c r="F1042" s="52"/>
      <c r="G1042" s="34"/>
      <c r="H1042" s="34"/>
      <c r="I1042" s="278"/>
      <c r="J1042" s="50" t="str">
        <f t="shared" ca="1" si="32"/>
        <v/>
      </c>
      <c r="K1042" s="50" t="str">
        <f ca="1">IFERROR(VLOOKUP($J1042,Ref!$B$7:$C$9,2),"")</f>
        <v/>
      </c>
      <c r="L1042" s="55"/>
      <c r="M1042" s="34"/>
      <c r="N1042" s="34"/>
      <c r="O1042" s="34"/>
      <c r="P1042" s="34"/>
      <c r="Q1042" s="34"/>
      <c r="R1042" s="34"/>
      <c r="S1042" s="43"/>
      <c r="T1042" s="43"/>
      <c r="U1042" s="43"/>
      <c r="V1042" s="58"/>
      <c r="W1042" s="34"/>
      <c r="X1042" s="34"/>
    </row>
    <row r="1043" spans="1:24" x14ac:dyDescent="0.2">
      <c r="A1043" s="132">
        <v>1037</v>
      </c>
      <c r="B1043" s="342"/>
      <c r="C1043" s="34"/>
      <c r="D1043" s="40" t="str">
        <f t="shared" si="33"/>
        <v>2002001037</v>
      </c>
      <c r="E1043" s="34"/>
      <c r="F1043" s="52"/>
      <c r="G1043" s="34"/>
      <c r="H1043" s="34"/>
      <c r="I1043" s="278"/>
      <c r="J1043" s="50" t="str">
        <f t="shared" ca="1" si="32"/>
        <v/>
      </c>
      <c r="K1043" s="50" t="str">
        <f ca="1">IFERROR(VLOOKUP($J1043,Ref!$B$7:$C$9,2),"")</f>
        <v/>
      </c>
      <c r="L1043" s="55"/>
      <c r="M1043" s="34"/>
      <c r="N1043" s="34"/>
      <c r="O1043" s="34"/>
      <c r="P1043" s="34"/>
      <c r="Q1043" s="34"/>
      <c r="R1043" s="34"/>
      <c r="S1043" s="43"/>
      <c r="T1043" s="43"/>
      <c r="U1043" s="43"/>
      <c r="V1043" s="58"/>
      <c r="W1043" s="34"/>
      <c r="X1043" s="34"/>
    </row>
    <row r="1044" spans="1:24" x14ac:dyDescent="0.2">
      <c r="A1044" s="132">
        <v>1038</v>
      </c>
      <c r="B1044" s="342"/>
      <c r="C1044" s="34"/>
      <c r="D1044" s="40" t="str">
        <f t="shared" si="33"/>
        <v>2002001038</v>
      </c>
      <c r="E1044" s="34"/>
      <c r="F1044" s="52"/>
      <c r="G1044" s="34"/>
      <c r="H1044" s="34"/>
      <c r="I1044" s="278"/>
      <c r="J1044" s="50" t="str">
        <f t="shared" ca="1" si="32"/>
        <v/>
      </c>
      <c r="K1044" s="50" t="str">
        <f ca="1">IFERROR(VLOOKUP($J1044,Ref!$B$7:$C$9,2),"")</f>
        <v/>
      </c>
      <c r="L1044" s="55"/>
      <c r="M1044" s="34"/>
      <c r="N1044" s="34"/>
      <c r="O1044" s="34"/>
      <c r="P1044" s="34"/>
      <c r="Q1044" s="34"/>
      <c r="R1044" s="34"/>
      <c r="S1044" s="43"/>
      <c r="T1044" s="43"/>
      <c r="U1044" s="43"/>
      <c r="V1044" s="58"/>
      <c r="W1044" s="34"/>
      <c r="X1044" s="34"/>
    </row>
    <row r="1045" spans="1:24" x14ac:dyDescent="0.2">
      <c r="A1045" s="132">
        <v>1039</v>
      </c>
      <c r="B1045" s="342"/>
      <c r="C1045" s="34"/>
      <c r="D1045" s="40" t="str">
        <f t="shared" si="33"/>
        <v>2002001039</v>
      </c>
      <c r="E1045" s="34"/>
      <c r="F1045" s="52"/>
      <c r="G1045" s="34"/>
      <c r="H1045" s="34"/>
      <c r="I1045" s="278"/>
      <c r="J1045" s="50" t="str">
        <f t="shared" ca="1" si="32"/>
        <v/>
      </c>
      <c r="K1045" s="50" t="str">
        <f ca="1">IFERROR(VLOOKUP($J1045,Ref!$B$7:$C$9,2),"")</f>
        <v/>
      </c>
      <c r="L1045" s="55"/>
      <c r="M1045" s="34"/>
      <c r="N1045" s="34"/>
      <c r="O1045" s="34"/>
      <c r="P1045" s="34"/>
      <c r="Q1045" s="34"/>
      <c r="R1045" s="34"/>
      <c r="S1045" s="43"/>
      <c r="T1045" s="43"/>
      <c r="U1045" s="43"/>
      <c r="V1045" s="58"/>
      <c r="W1045" s="34"/>
      <c r="X1045" s="34"/>
    </row>
    <row r="1046" spans="1:24" x14ac:dyDescent="0.2">
      <c r="A1046" s="132">
        <v>1040</v>
      </c>
      <c r="B1046" s="342"/>
      <c r="C1046" s="34"/>
      <c r="D1046" s="40" t="str">
        <f t="shared" si="33"/>
        <v>2002001040</v>
      </c>
      <c r="E1046" s="34"/>
      <c r="F1046" s="52"/>
      <c r="G1046" s="34"/>
      <c r="H1046" s="34"/>
      <c r="I1046" s="278"/>
      <c r="J1046" s="50" t="str">
        <f t="shared" ca="1" si="32"/>
        <v/>
      </c>
      <c r="K1046" s="50" t="str">
        <f ca="1">IFERROR(VLOOKUP($J1046,Ref!$B$7:$C$9,2),"")</f>
        <v/>
      </c>
      <c r="L1046" s="55"/>
      <c r="M1046" s="34"/>
      <c r="N1046" s="34"/>
      <c r="O1046" s="34"/>
      <c r="P1046" s="34"/>
      <c r="Q1046" s="34"/>
      <c r="R1046" s="34"/>
      <c r="S1046" s="43"/>
      <c r="T1046" s="43"/>
      <c r="U1046" s="43"/>
      <c r="V1046" s="58"/>
      <c r="W1046" s="34"/>
      <c r="X1046" s="34"/>
    </row>
    <row r="1047" spans="1:24" x14ac:dyDescent="0.2">
      <c r="A1047" s="132">
        <v>1041</v>
      </c>
      <c r="B1047" s="342"/>
      <c r="C1047" s="34"/>
      <c r="D1047" s="40" t="str">
        <f t="shared" si="33"/>
        <v>2002001041</v>
      </c>
      <c r="E1047" s="34"/>
      <c r="F1047" s="52"/>
      <c r="G1047" s="34"/>
      <c r="H1047" s="34"/>
      <c r="I1047" s="278"/>
      <c r="J1047" s="50" t="str">
        <f t="shared" ca="1" si="32"/>
        <v/>
      </c>
      <c r="K1047" s="50" t="str">
        <f ca="1">IFERROR(VLOOKUP($J1047,Ref!$B$7:$C$9,2),"")</f>
        <v/>
      </c>
      <c r="L1047" s="55"/>
      <c r="M1047" s="34"/>
      <c r="N1047" s="34"/>
      <c r="O1047" s="34"/>
      <c r="P1047" s="34"/>
      <c r="Q1047" s="34"/>
      <c r="R1047" s="34"/>
      <c r="S1047" s="43"/>
      <c r="T1047" s="43"/>
      <c r="U1047" s="43"/>
      <c r="V1047" s="58"/>
      <c r="W1047" s="34"/>
      <c r="X1047" s="34"/>
    </row>
    <row r="1048" spans="1:24" x14ac:dyDescent="0.2">
      <c r="A1048" s="132">
        <v>1042</v>
      </c>
      <c r="B1048" s="342"/>
      <c r="C1048" s="34"/>
      <c r="D1048" s="40" t="str">
        <f t="shared" si="33"/>
        <v>2002001042</v>
      </c>
      <c r="E1048" s="34"/>
      <c r="F1048" s="52"/>
      <c r="G1048" s="34"/>
      <c r="H1048" s="34"/>
      <c r="I1048" s="278"/>
      <c r="J1048" s="50" t="str">
        <f t="shared" ref="J1048:J1099" ca="1" si="34">IF(I1048="","",(TODAY()-$I1048)/365)</f>
        <v/>
      </c>
      <c r="K1048" s="50" t="str">
        <f ca="1">IFERROR(VLOOKUP($J1048,Ref!$B$7:$C$9,2),"")</f>
        <v/>
      </c>
      <c r="L1048" s="55"/>
      <c r="M1048" s="34"/>
      <c r="N1048" s="34"/>
      <c r="O1048" s="34"/>
      <c r="P1048" s="34"/>
      <c r="Q1048" s="34"/>
      <c r="R1048" s="34"/>
      <c r="S1048" s="43"/>
      <c r="T1048" s="43"/>
      <c r="U1048" s="43"/>
      <c r="V1048" s="58"/>
      <c r="W1048" s="34"/>
      <c r="X1048" s="34"/>
    </row>
    <row r="1049" spans="1:24" x14ac:dyDescent="0.2">
      <c r="A1049" s="132">
        <v>1043</v>
      </c>
      <c r="B1049" s="342"/>
      <c r="C1049" s="34"/>
      <c r="D1049" s="40" t="str">
        <f t="shared" si="33"/>
        <v>2002001043</v>
      </c>
      <c r="E1049" s="34"/>
      <c r="F1049" s="52"/>
      <c r="G1049" s="34"/>
      <c r="H1049" s="34"/>
      <c r="I1049" s="278"/>
      <c r="J1049" s="50" t="str">
        <f t="shared" ca="1" si="34"/>
        <v/>
      </c>
      <c r="K1049" s="50" t="str">
        <f ca="1">IFERROR(VLOOKUP($J1049,Ref!$B$7:$C$9,2),"")</f>
        <v/>
      </c>
      <c r="L1049" s="55"/>
      <c r="M1049" s="34"/>
      <c r="N1049" s="34"/>
      <c r="O1049" s="34"/>
      <c r="P1049" s="34"/>
      <c r="Q1049" s="34"/>
      <c r="R1049" s="34"/>
      <c r="S1049" s="43"/>
      <c r="T1049" s="43"/>
      <c r="U1049" s="43"/>
      <c r="V1049" s="58"/>
      <c r="W1049" s="34"/>
      <c r="X1049" s="34"/>
    </row>
    <row r="1050" spans="1:24" x14ac:dyDescent="0.2">
      <c r="A1050" s="132">
        <v>1044</v>
      </c>
      <c r="B1050" s="342"/>
      <c r="C1050" s="34"/>
      <c r="D1050" s="40" t="str">
        <f t="shared" si="33"/>
        <v>2002001044</v>
      </c>
      <c r="E1050" s="34"/>
      <c r="F1050" s="52"/>
      <c r="G1050" s="34"/>
      <c r="H1050" s="34"/>
      <c r="I1050" s="278"/>
      <c r="J1050" s="50" t="str">
        <f t="shared" ca="1" si="34"/>
        <v/>
      </c>
      <c r="K1050" s="50" t="str">
        <f ca="1">IFERROR(VLOOKUP($J1050,Ref!$B$7:$C$9,2),"")</f>
        <v/>
      </c>
      <c r="L1050" s="55"/>
      <c r="M1050" s="34"/>
      <c r="N1050" s="34"/>
      <c r="O1050" s="34"/>
      <c r="P1050" s="34"/>
      <c r="Q1050" s="34"/>
      <c r="R1050" s="34"/>
      <c r="S1050" s="43"/>
      <c r="T1050" s="43"/>
      <c r="U1050" s="43"/>
      <c r="V1050" s="58"/>
      <c r="W1050" s="34"/>
      <c r="X1050" s="34"/>
    </row>
    <row r="1051" spans="1:24" x14ac:dyDescent="0.2">
      <c r="A1051" s="132">
        <v>1045</v>
      </c>
      <c r="B1051" s="342"/>
      <c r="C1051" s="34"/>
      <c r="D1051" s="40" t="str">
        <f t="shared" si="33"/>
        <v>2002001045</v>
      </c>
      <c r="E1051" s="34"/>
      <c r="F1051" s="52"/>
      <c r="G1051" s="34"/>
      <c r="H1051" s="34"/>
      <c r="I1051" s="278"/>
      <c r="J1051" s="50" t="str">
        <f t="shared" ca="1" si="34"/>
        <v/>
      </c>
      <c r="K1051" s="50" t="str">
        <f ca="1">IFERROR(VLOOKUP($J1051,Ref!$B$7:$C$9,2),"")</f>
        <v/>
      </c>
      <c r="L1051" s="55"/>
      <c r="M1051" s="34"/>
      <c r="N1051" s="34"/>
      <c r="O1051" s="34"/>
      <c r="P1051" s="34"/>
      <c r="Q1051" s="34"/>
      <c r="R1051" s="34"/>
      <c r="S1051" s="43"/>
      <c r="T1051" s="43"/>
      <c r="U1051" s="43"/>
      <c r="V1051" s="58"/>
      <c r="W1051" s="34"/>
      <c r="X1051" s="34"/>
    </row>
    <row r="1052" spans="1:24" x14ac:dyDescent="0.2">
      <c r="A1052" s="132">
        <v>1046</v>
      </c>
      <c r="B1052" s="342"/>
      <c r="C1052" s="34"/>
      <c r="D1052" s="40" t="str">
        <f t="shared" si="33"/>
        <v>2002001046</v>
      </c>
      <c r="E1052" s="34"/>
      <c r="F1052" s="52"/>
      <c r="G1052" s="34"/>
      <c r="H1052" s="34"/>
      <c r="I1052" s="278"/>
      <c r="J1052" s="50" t="str">
        <f t="shared" ca="1" si="34"/>
        <v/>
      </c>
      <c r="K1052" s="50" t="str">
        <f ca="1">IFERROR(VLOOKUP($J1052,Ref!$B$7:$C$9,2),"")</f>
        <v/>
      </c>
      <c r="L1052" s="55"/>
      <c r="M1052" s="34"/>
      <c r="N1052" s="34"/>
      <c r="O1052" s="34"/>
      <c r="P1052" s="34"/>
      <c r="Q1052" s="34"/>
      <c r="R1052" s="34"/>
      <c r="S1052" s="43"/>
      <c r="T1052" s="43"/>
      <c r="U1052" s="43"/>
      <c r="V1052" s="58"/>
      <c r="W1052" s="34"/>
      <c r="X1052" s="34"/>
    </row>
    <row r="1053" spans="1:24" x14ac:dyDescent="0.2">
      <c r="A1053" s="132">
        <v>1047</v>
      </c>
      <c r="B1053" s="342"/>
      <c r="C1053" s="34"/>
      <c r="D1053" s="40" t="str">
        <f t="shared" si="33"/>
        <v>2002001047</v>
      </c>
      <c r="E1053" s="34"/>
      <c r="F1053" s="52"/>
      <c r="G1053" s="34"/>
      <c r="H1053" s="34"/>
      <c r="I1053" s="278"/>
      <c r="J1053" s="50" t="str">
        <f t="shared" ca="1" si="34"/>
        <v/>
      </c>
      <c r="K1053" s="50" t="str">
        <f ca="1">IFERROR(VLOOKUP($J1053,Ref!$B$7:$C$9,2),"")</f>
        <v/>
      </c>
      <c r="L1053" s="55"/>
      <c r="M1053" s="34"/>
      <c r="N1053" s="34"/>
      <c r="O1053" s="34"/>
      <c r="P1053" s="34"/>
      <c r="Q1053" s="34"/>
      <c r="R1053" s="34"/>
      <c r="S1053" s="43"/>
      <c r="T1053" s="43"/>
      <c r="U1053" s="43"/>
      <c r="V1053" s="58"/>
      <c r="W1053" s="34"/>
      <c r="X1053" s="34"/>
    </row>
    <row r="1054" spans="1:24" x14ac:dyDescent="0.2">
      <c r="A1054" s="132">
        <v>1048</v>
      </c>
      <c r="B1054" s="342"/>
      <c r="C1054" s="34"/>
      <c r="D1054" s="40" t="str">
        <f t="shared" si="33"/>
        <v>2002001048</v>
      </c>
      <c r="E1054" s="34"/>
      <c r="F1054" s="52"/>
      <c r="G1054" s="34"/>
      <c r="H1054" s="34"/>
      <c r="I1054" s="278"/>
      <c r="J1054" s="50" t="str">
        <f t="shared" ca="1" si="34"/>
        <v/>
      </c>
      <c r="K1054" s="50" t="str">
        <f ca="1">IFERROR(VLOOKUP($J1054,Ref!$B$7:$C$9,2),"")</f>
        <v/>
      </c>
      <c r="L1054" s="55"/>
      <c r="M1054" s="34"/>
      <c r="N1054" s="34"/>
      <c r="O1054" s="34"/>
      <c r="P1054" s="34"/>
      <c r="Q1054" s="34"/>
      <c r="R1054" s="34"/>
      <c r="S1054" s="43"/>
      <c r="T1054" s="43"/>
      <c r="U1054" s="43"/>
      <c r="V1054" s="58"/>
      <c r="W1054" s="34"/>
      <c r="X1054" s="34"/>
    </row>
    <row r="1055" spans="1:24" x14ac:dyDescent="0.2">
      <c r="A1055" s="132">
        <v>1049</v>
      </c>
      <c r="B1055" s="342"/>
      <c r="C1055" s="34"/>
      <c r="D1055" s="40" t="str">
        <f t="shared" si="33"/>
        <v>2002001049</v>
      </c>
      <c r="E1055" s="34"/>
      <c r="F1055" s="52"/>
      <c r="G1055" s="34"/>
      <c r="H1055" s="34"/>
      <c r="I1055" s="278"/>
      <c r="J1055" s="50" t="str">
        <f t="shared" ca="1" si="34"/>
        <v/>
      </c>
      <c r="K1055" s="50" t="str">
        <f ca="1">IFERROR(VLOOKUP($J1055,Ref!$B$7:$C$9,2),"")</f>
        <v/>
      </c>
      <c r="L1055" s="55"/>
      <c r="M1055" s="34"/>
      <c r="N1055" s="34"/>
      <c r="O1055" s="34"/>
      <c r="P1055" s="34"/>
      <c r="Q1055" s="34"/>
      <c r="R1055" s="34"/>
      <c r="S1055" s="43"/>
      <c r="T1055" s="43"/>
      <c r="U1055" s="43"/>
      <c r="V1055" s="58"/>
      <c r="W1055" s="34"/>
      <c r="X1055" s="34"/>
    </row>
    <row r="1056" spans="1:24" x14ac:dyDescent="0.2">
      <c r="A1056" s="132">
        <v>1050</v>
      </c>
      <c r="B1056" s="342"/>
      <c r="C1056" s="34"/>
      <c r="D1056" s="40" t="str">
        <f t="shared" si="33"/>
        <v>2002001050</v>
      </c>
      <c r="E1056" s="34"/>
      <c r="F1056" s="52"/>
      <c r="G1056" s="34"/>
      <c r="H1056" s="34"/>
      <c r="I1056" s="278"/>
      <c r="J1056" s="50" t="str">
        <f t="shared" ca="1" si="34"/>
        <v/>
      </c>
      <c r="K1056" s="50" t="str">
        <f ca="1">IFERROR(VLOOKUP($J1056,Ref!$B$7:$C$9,2),"")</f>
        <v/>
      </c>
      <c r="L1056" s="55"/>
      <c r="M1056" s="34"/>
      <c r="N1056" s="34"/>
      <c r="O1056" s="34"/>
      <c r="P1056" s="34"/>
      <c r="Q1056" s="34"/>
      <c r="R1056" s="34"/>
      <c r="S1056" s="43"/>
      <c r="T1056" s="43"/>
      <c r="U1056" s="43"/>
      <c r="V1056" s="58"/>
      <c r="W1056" s="34"/>
      <c r="X1056" s="34"/>
    </row>
    <row r="1057" spans="1:24" x14ac:dyDescent="0.2">
      <c r="A1057" s="132">
        <v>1051</v>
      </c>
      <c r="B1057" s="342"/>
      <c r="C1057" s="34"/>
      <c r="D1057" s="40" t="str">
        <f t="shared" si="33"/>
        <v>2002001051</v>
      </c>
      <c r="E1057" s="34"/>
      <c r="F1057" s="52"/>
      <c r="G1057" s="34"/>
      <c r="H1057" s="34"/>
      <c r="I1057" s="278"/>
      <c r="J1057" s="50" t="str">
        <f t="shared" ca="1" si="34"/>
        <v/>
      </c>
      <c r="K1057" s="50" t="str">
        <f ca="1">IFERROR(VLOOKUP($J1057,Ref!$B$7:$C$9,2),"")</f>
        <v/>
      </c>
      <c r="L1057" s="55"/>
      <c r="M1057" s="34"/>
      <c r="N1057" s="34"/>
      <c r="O1057" s="34"/>
      <c r="P1057" s="34"/>
      <c r="Q1057" s="34"/>
      <c r="R1057" s="34"/>
      <c r="S1057" s="43"/>
      <c r="T1057" s="43"/>
      <c r="U1057" s="43"/>
      <c r="V1057" s="58"/>
      <c r="W1057" s="34"/>
      <c r="X1057" s="34"/>
    </row>
    <row r="1058" spans="1:24" x14ac:dyDescent="0.2">
      <c r="A1058" s="132">
        <v>1052</v>
      </c>
      <c r="B1058" s="342"/>
      <c r="C1058" s="34"/>
      <c r="D1058" s="40" t="str">
        <f t="shared" si="33"/>
        <v>2002001052</v>
      </c>
      <c r="E1058" s="34"/>
      <c r="F1058" s="52"/>
      <c r="G1058" s="34"/>
      <c r="H1058" s="34"/>
      <c r="I1058" s="278"/>
      <c r="J1058" s="50" t="str">
        <f t="shared" ca="1" si="34"/>
        <v/>
      </c>
      <c r="K1058" s="50" t="str">
        <f ca="1">IFERROR(VLOOKUP($J1058,Ref!$B$7:$C$9,2),"")</f>
        <v/>
      </c>
      <c r="L1058" s="55"/>
      <c r="M1058" s="34"/>
      <c r="N1058" s="34"/>
      <c r="O1058" s="34"/>
      <c r="P1058" s="34"/>
      <c r="Q1058" s="34"/>
      <c r="R1058" s="34"/>
      <c r="S1058" s="43"/>
      <c r="T1058" s="43"/>
      <c r="U1058" s="43"/>
      <c r="V1058" s="58"/>
      <c r="W1058" s="34"/>
      <c r="X1058" s="34"/>
    </row>
    <row r="1059" spans="1:24" x14ac:dyDescent="0.2">
      <c r="A1059" s="132">
        <v>1053</v>
      </c>
      <c r="B1059" s="342"/>
      <c r="C1059" s="34"/>
      <c r="D1059" s="40" t="str">
        <f t="shared" si="33"/>
        <v>2002001053</v>
      </c>
      <c r="E1059" s="34"/>
      <c r="F1059" s="52"/>
      <c r="G1059" s="34"/>
      <c r="H1059" s="34"/>
      <c r="I1059" s="278"/>
      <c r="J1059" s="50" t="str">
        <f t="shared" ca="1" si="34"/>
        <v/>
      </c>
      <c r="K1059" s="50" t="str">
        <f ca="1">IFERROR(VLOOKUP($J1059,Ref!$B$7:$C$9,2),"")</f>
        <v/>
      </c>
      <c r="L1059" s="55"/>
      <c r="M1059" s="34"/>
      <c r="N1059" s="34"/>
      <c r="O1059" s="34"/>
      <c r="P1059" s="34"/>
      <c r="Q1059" s="34"/>
      <c r="R1059" s="34"/>
      <c r="S1059" s="43"/>
      <c r="T1059" s="43"/>
      <c r="U1059" s="43"/>
      <c r="V1059" s="58"/>
      <c r="W1059" s="34"/>
      <c r="X1059" s="34"/>
    </row>
    <row r="1060" spans="1:24" x14ac:dyDescent="0.2">
      <c r="A1060" s="132">
        <v>1054</v>
      </c>
      <c r="B1060" s="342"/>
      <c r="C1060" s="34"/>
      <c r="D1060" s="40" t="str">
        <f t="shared" si="33"/>
        <v>2002001054</v>
      </c>
      <c r="E1060" s="34"/>
      <c r="F1060" s="52"/>
      <c r="G1060" s="34"/>
      <c r="H1060" s="34"/>
      <c r="I1060" s="278"/>
      <c r="J1060" s="50" t="str">
        <f t="shared" ca="1" si="34"/>
        <v/>
      </c>
      <c r="K1060" s="50" t="str">
        <f ca="1">IFERROR(VLOOKUP($J1060,Ref!$B$7:$C$9,2),"")</f>
        <v/>
      </c>
      <c r="L1060" s="55"/>
      <c r="M1060" s="34"/>
      <c r="N1060" s="34"/>
      <c r="O1060" s="34"/>
      <c r="P1060" s="34"/>
      <c r="Q1060" s="34"/>
      <c r="R1060" s="34"/>
      <c r="S1060" s="43"/>
      <c r="T1060" s="43"/>
      <c r="U1060" s="43"/>
      <c r="V1060" s="58"/>
      <c r="W1060" s="34"/>
      <c r="X1060" s="34"/>
    </row>
    <row r="1061" spans="1:24" x14ac:dyDescent="0.2">
      <c r="A1061" s="132">
        <v>1055</v>
      </c>
      <c r="B1061" s="342"/>
      <c r="C1061" s="34"/>
      <c r="D1061" s="40" t="str">
        <f t="shared" si="33"/>
        <v>2002001055</v>
      </c>
      <c r="E1061" s="34"/>
      <c r="F1061" s="52"/>
      <c r="G1061" s="34"/>
      <c r="H1061" s="34"/>
      <c r="I1061" s="278"/>
      <c r="J1061" s="50" t="str">
        <f t="shared" ca="1" si="34"/>
        <v/>
      </c>
      <c r="K1061" s="50" t="str">
        <f ca="1">IFERROR(VLOOKUP($J1061,Ref!$B$7:$C$9,2),"")</f>
        <v/>
      </c>
      <c r="L1061" s="55"/>
      <c r="M1061" s="34"/>
      <c r="N1061" s="34"/>
      <c r="O1061" s="34"/>
      <c r="P1061" s="34"/>
      <c r="Q1061" s="34"/>
      <c r="R1061" s="34"/>
      <c r="S1061" s="43"/>
      <c r="T1061" s="43"/>
      <c r="U1061" s="43"/>
      <c r="V1061" s="58"/>
      <c r="W1061" s="34"/>
      <c r="X1061" s="34"/>
    </row>
    <row r="1062" spans="1:24" x14ac:dyDescent="0.2">
      <c r="A1062" s="132">
        <v>1056</v>
      </c>
      <c r="B1062" s="342"/>
      <c r="C1062" s="34"/>
      <c r="D1062" s="40" t="str">
        <f t="shared" si="33"/>
        <v>2002001056</v>
      </c>
      <c r="E1062" s="34"/>
      <c r="F1062" s="52"/>
      <c r="G1062" s="34"/>
      <c r="H1062" s="34"/>
      <c r="I1062" s="278"/>
      <c r="J1062" s="50" t="str">
        <f t="shared" ca="1" si="34"/>
        <v/>
      </c>
      <c r="K1062" s="50" t="str">
        <f ca="1">IFERROR(VLOOKUP($J1062,Ref!$B$7:$C$9,2),"")</f>
        <v/>
      </c>
      <c r="L1062" s="55"/>
      <c r="M1062" s="34"/>
      <c r="N1062" s="34"/>
      <c r="O1062" s="34"/>
      <c r="P1062" s="34"/>
      <c r="Q1062" s="34"/>
      <c r="R1062" s="34"/>
      <c r="S1062" s="43"/>
      <c r="T1062" s="43"/>
      <c r="U1062" s="43"/>
      <c r="V1062" s="58"/>
      <c r="W1062" s="34"/>
      <c r="X1062" s="34"/>
    </row>
    <row r="1063" spans="1:24" x14ac:dyDescent="0.2">
      <c r="A1063" s="132">
        <v>1057</v>
      </c>
      <c r="B1063" s="342"/>
      <c r="C1063" s="34"/>
      <c r="D1063" s="40" t="str">
        <f t="shared" si="33"/>
        <v>2002001057</v>
      </c>
      <c r="E1063" s="34"/>
      <c r="F1063" s="52"/>
      <c r="G1063" s="34"/>
      <c r="H1063" s="34"/>
      <c r="I1063" s="278"/>
      <c r="J1063" s="50" t="str">
        <f t="shared" ca="1" si="34"/>
        <v/>
      </c>
      <c r="K1063" s="50" t="str">
        <f ca="1">IFERROR(VLOOKUP($J1063,Ref!$B$7:$C$9,2),"")</f>
        <v/>
      </c>
      <c r="L1063" s="55"/>
      <c r="M1063" s="34"/>
      <c r="N1063" s="34"/>
      <c r="O1063" s="34"/>
      <c r="P1063" s="34"/>
      <c r="Q1063" s="34"/>
      <c r="R1063" s="34"/>
      <c r="S1063" s="43"/>
      <c r="T1063" s="43"/>
      <c r="U1063" s="43"/>
      <c r="V1063" s="58"/>
      <c r="W1063" s="34"/>
      <c r="X1063" s="34"/>
    </row>
    <row r="1064" spans="1:24" x14ac:dyDescent="0.2">
      <c r="A1064" s="132">
        <v>1058</v>
      </c>
      <c r="B1064" s="342"/>
      <c r="C1064" s="34"/>
      <c r="D1064" s="40" t="str">
        <f t="shared" si="33"/>
        <v>2002001058</v>
      </c>
      <c r="E1064" s="34"/>
      <c r="F1064" s="52"/>
      <c r="G1064" s="34"/>
      <c r="H1064" s="34"/>
      <c r="I1064" s="278"/>
      <c r="J1064" s="50" t="str">
        <f t="shared" ca="1" si="34"/>
        <v/>
      </c>
      <c r="K1064" s="50" t="str">
        <f ca="1">IFERROR(VLOOKUP($J1064,Ref!$B$7:$C$9,2),"")</f>
        <v/>
      </c>
      <c r="L1064" s="55"/>
      <c r="M1064" s="34"/>
      <c r="N1064" s="34"/>
      <c r="O1064" s="34"/>
      <c r="P1064" s="34"/>
      <c r="Q1064" s="34"/>
      <c r="R1064" s="34"/>
      <c r="S1064" s="43"/>
      <c r="T1064" s="43"/>
      <c r="U1064" s="43"/>
      <c r="V1064" s="58"/>
      <c r="W1064" s="34"/>
      <c r="X1064" s="34"/>
    </row>
    <row r="1065" spans="1:24" x14ac:dyDescent="0.2">
      <c r="A1065" s="132">
        <v>1059</v>
      </c>
      <c r="B1065" s="342"/>
      <c r="C1065" s="34"/>
      <c r="D1065" s="40" t="str">
        <f t="shared" si="33"/>
        <v>2002001059</v>
      </c>
      <c r="E1065" s="34"/>
      <c r="F1065" s="52"/>
      <c r="G1065" s="34"/>
      <c r="H1065" s="34"/>
      <c r="I1065" s="278"/>
      <c r="J1065" s="50" t="str">
        <f t="shared" ca="1" si="34"/>
        <v/>
      </c>
      <c r="K1065" s="50" t="str">
        <f ca="1">IFERROR(VLOOKUP($J1065,Ref!$B$7:$C$9,2),"")</f>
        <v/>
      </c>
      <c r="L1065" s="55"/>
      <c r="M1065" s="34"/>
      <c r="N1065" s="34"/>
      <c r="O1065" s="34"/>
      <c r="P1065" s="34"/>
      <c r="Q1065" s="34"/>
      <c r="R1065" s="34"/>
      <c r="S1065" s="43"/>
      <c r="T1065" s="43"/>
      <c r="U1065" s="43"/>
      <c r="V1065" s="58"/>
      <c r="W1065" s="34"/>
      <c r="X1065" s="34"/>
    </row>
    <row r="1066" spans="1:24" x14ac:dyDescent="0.2">
      <c r="A1066" s="132">
        <v>1060</v>
      </c>
      <c r="B1066" s="342"/>
      <c r="C1066" s="34"/>
      <c r="D1066" s="40" t="str">
        <f t="shared" si="33"/>
        <v>2002001060</v>
      </c>
      <c r="E1066" s="34"/>
      <c r="F1066" s="52"/>
      <c r="G1066" s="34"/>
      <c r="H1066" s="34"/>
      <c r="I1066" s="278"/>
      <c r="J1066" s="50" t="str">
        <f t="shared" ca="1" si="34"/>
        <v/>
      </c>
      <c r="K1066" s="50" t="str">
        <f ca="1">IFERROR(VLOOKUP($J1066,Ref!$B$7:$C$9,2),"")</f>
        <v/>
      </c>
      <c r="L1066" s="55"/>
      <c r="M1066" s="34"/>
      <c r="N1066" s="34"/>
      <c r="O1066" s="34"/>
      <c r="P1066" s="34"/>
      <c r="Q1066" s="34"/>
      <c r="R1066" s="34"/>
      <c r="S1066" s="43"/>
      <c r="T1066" s="43"/>
      <c r="U1066" s="43"/>
      <c r="V1066" s="58"/>
      <c r="W1066" s="34"/>
      <c r="X1066" s="34"/>
    </row>
    <row r="1067" spans="1:24" x14ac:dyDescent="0.2">
      <c r="A1067" s="132">
        <v>1061</v>
      </c>
      <c r="B1067" s="342"/>
      <c r="C1067" s="34"/>
      <c r="D1067" s="40" t="str">
        <f t="shared" si="33"/>
        <v>2002001061</v>
      </c>
      <c r="E1067" s="34"/>
      <c r="F1067" s="52"/>
      <c r="G1067" s="34"/>
      <c r="H1067" s="34"/>
      <c r="I1067" s="278"/>
      <c r="J1067" s="50" t="str">
        <f t="shared" ca="1" si="34"/>
        <v/>
      </c>
      <c r="K1067" s="50" t="str">
        <f ca="1">IFERROR(VLOOKUP($J1067,Ref!$B$7:$C$9,2),"")</f>
        <v/>
      </c>
      <c r="L1067" s="55"/>
      <c r="M1067" s="34"/>
      <c r="N1067" s="34"/>
      <c r="O1067" s="34"/>
      <c r="P1067" s="34"/>
      <c r="Q1067" s="34"/>
      <c r="R1067" s="34"/>
      <c r="S1067" s="43"/>
      <c r="T1067" s="43"/>
      <c r="U1067" s="43"/>
      <c r="V1067" s="58"/>
      <c r="W1067" s="34"/>
      <c r="X1067" s="34"/>
    </row>
    <row r="1068" spans="1:24" x14ac:dyDescent="0.2">
      <c r="A1068" s="132">
        <v>1062</v>
      </c>
      <c r="B1068" s="342"/>
      <c r="C1068" s="34"/>
      <c r="D1068" s="40" t="str">
        <f t="shared" si="33"/>
        <v>2002001062</v>
      </c>
      <c r="E1068" s="34"/>
      <c r="F1068" s="52"/>
      <c r="G1068" s="34"/>
      <c r="H1068" s="34"/>
      <c r="I1068" s="278"/>
      <c r="J1068" s="50" t="str">
        <f t="shared" ca="1" si="34"/>
        <v/>
      </c>
      <c r="K1068" s="50" t="str">
        <f ca="1">IFERROR(VLOOKUP($J1068,Ref!$B$7:$C$9,2),"")</f>
        <v/>
      </c>
      <c r="L1068" s="55"/>
      <c r="M1068" s="34"/>
      <c r="N1068" s="34"/>
      <c r="O1068" s="34"/>
      <c r="P1068" s="34"/>
      <c r="Q1068" s="34"/>
      <c r="R1068" s="34"/>
      <c r="S1068" s="43"/>
      <c r="T1068" s="43"/>
      <c r="U1068" s="43"/>
      <c r="V1068" s="58"/>
      <c r="W1068" s="34"/>
      <c r="X1068" s="34"/>
    </row>
    <row r="1069" spans="1:24" x14ac:dyDescent="0.2">
      <c r="A1069" s="132">
        <v>1063</v>
      </c>
      <c r="B1069" s="342"/>
      <c r="C1069" s="34"/>
      <c r="D1069" s="40" t="str">
        <f t="shared" si="33"/>
        <v>2002001063</v>
      </c>
      <c r="E1069" s="34"/>
      <c r="F1069" s="52"/>
      <c r="G1069" s="34"/>
      <c r="H1069" s="34"/>
      <c r="I1069" s="278"/>
      <c r="J1069" s="50" t="str">
        <f t="shared" ca="1" si="34"/>
        <v/>
      </c>
      <c r="K1069" s="50" t="str">
        <f ca="1">IFERROR(VLOOKUP($J1069,Ref!$B$7:$C$9,2),"")</f>
        <v/>
      </c>
      <c r="L1069" s="55"/>
      <c r="M1069" s="34"/>
      <c r="N1069" s="34"/>
      <c r="O1069" s="34"/>
      <c r="P1069" s="34"/>
      <c r="Q1069" s="34"/>
      <c r="R1069" s="34"/>
      <c r="S1069" s="43"/>
      <c r="T1069" s="43"/>
      <c r="U1069" s="43"/>
      <c r="V1069" s="58"/>
      <c r="W1069" s="34"/>
      <c r="X1069" s="34"/>
    </row>
    <row r="1070" spans="1:24" x14ac:dyDescent="0.2">
      <c r="A1070" s="132">
        <v>1064</v>
      </c>
      <c r="B1070" s="342"/>
      <c r="C1070" s="34"/>
      <c r="D1070" s="40" t="str">
        <f t="shared" si="33"/>
        <v>2002001064</v>
      </c>
      <c r="E1070" s="34"/>
      <c r="F1070" s="52"/>
      <c r="G1070" s="34"/>
      <c r="H1070" s="34"/>
      <c r="I1070" s="278"/>
      <c r="J1070" s="50" t="str">
        <f t="shared" ca="1" si="34"/>
        <v/>
      </c>
      <c r="K1070" s="50" t="str">
        <f ca="1">IFERROR(VLOOKUP($J1070,Ref!$B$7:$C$9,2),"")</f>
        <v/>
      </c>
      <c r="L1070" s="55"/>
      <c r="M1070" s="34"/>
      <c r="N1070" s="34"/>
      <c r="O1070" s="34"/>
      <c r="P1070" s="34"/>
      <c r="Q1070" s="34"/>
      <c r="R1070" s="34"/>
      <c r="S1070" s="43"/>
      <c r="T1070" s="43"/>
      <c r="U1070" s="43"/>
      <c r="V1070" s="58"/>
      <c r="W1070" s="34"/>
      <c r="X1070" s="34"/>
    </row>
    <row r="1071" spans="1:24" x14ac:dyDescent="0.2">
      <c r="A1071" s="132">
        <v>1065</v>
      </c>
      <c r="B1071" s="342"/>
      <c r="C1071" s="34"/>
      <c r="D1071" s="40" t="str">
        <f t="shared" si="33"/>
        <v>2002001065</v>
      </c>
      <c r="E1071" s="34"/>
      <c r="F1071" s="52"/>
      <c r="G1071" s="34"/>
      <c r="H1071" s="34"/>
      <c r="I1071" s="278"/>
      <c r="J1071" s="50" t="str">
        <f t="shared" ca="1" si="34"/>
        <v/>
      </c>
      <c r="K1071" s="50" t="str">
        <f ca="1">IFERROR(VLOOKUP($J1071,Ref!$B$7:$C$9,2),"")</f>
        <v/>
      </c>
      <c r="L1071" s="55"/>
      <c r="M1071" s="34"/>
      <c r="N1071" s="34"/>
      <c r="O1071" s="34"/>
      <c r="P1071" s="34"/>
      <c r="Q1071" s="34"/>
      <c r="R1071" s="34"/>
      <c r="S1071" s="43"/>
      <c r="T1071" s="43"/>
      <c r="U1071" s="43"/>
      <c r="V1071" s="58"/>
      <c r="W1071" s="34"/>
      <c r="X1071" s="34"/>
    </row>
    <row r="1072" spans="1:24" x14ac:dyDescent="0.2">
      <c r="A1072" s="132">
        <v>1066</v>
      </c>
      <c r="B1072" s="342"/>
      <c r="C1072" s="34"/>
      <c r="D1072" s="40" t="str">
        <f t="shared" si="33"/>
        <v>2002001066</v>
      </c>
      <c r="E1072" s="34"/>
      <c r="F1072" s="52"/>
      <c r="G1072" s="34"/>
      <c r="H1072" s="34"/>
      <c r="I1072" s="278"/>
      <c r="J1072" s="50" t="str">
        <f t="shared" ca="1" si="34"/>
        <v/>
      </c>
      <c r="K1072" s="50" t="str">
        <f ca="1">IFERROR(VLOOKUP($J1072,Ref!$B$7:$C$9,2),"")</f>
        <v/>
      </c>
      <c r="L1072" s="55"/>
      <c r="M1072" s="34"/>
      <c r="N1072" s="34"/>
      <c r="O1072" s="34"/>
      <c r="P1072" s="34"/>
      <c r="Q1072" s="34"/>
      <c r="R1072" s="34"/>
      <c r="S1072" s="43"/>
      <c r="T1072" s="43"/>
      <c r="U1072" s="43"/>
      <c r="V1072" s="58"/>
      <c r="W1072" s="34"/>
      <c r="X1072" s="34"/>
    </row>
    <row r="1073" spans="1:24" x14ac:dyDescent="0.2">
      <c r="A1073" s="132">
        <v>1067</v>
      </c>
      <c r="B1073" s="342"/>
      <c r="C1073" s="34"/>
      <c r="D1073" s="40" t="str">
        <f t="shared" si="33"/>
        <v>2002001067</v>
      </c>
      <c r="E1073" s="34"/>
      <c r="F1073" s="52"/>
      <c r="G1073" s="34"/>
      <c r="H1073" s="34"/>
      <c r="I1073" s="278"/>
      <c r="J1073" s="50" t="str">
        <f t="shared" ca="1" si="34"/>
        <v/>
      </c>
      <c r="K1073" s="50" t="str">
        <f ca="1">IFERROR(VLOOKUP($J1073,Ref!$B$7:$C$9,2),"")</f>
        <v/>
      </c>
      <c r="L1073" s="55"/>
      <c r="M1073" s="34"/>
      <c r="N1073" s="34"/>
      <c r="O1073" s="34"/>
      <c r="P1073" s="34"/>
      <c r="Q1073" s="34"/>
      <c r="R1073" s="34"/>
      <c r="S1073" s="43"/>
      <c r="T1073" s="43"/>
      <c r="U1073" s="43"/>
      <c r="V1073" s="58"/>
      <c r="W1073" s="34"/>
      <c r="X1073" s="34"/>
    </row>
    <row r="1074" spans="1:24" x14ac:dyDescent="0.2">
      <c r="A1074" s="132">
        <v>1068</v>
      </c>
      <c r="B1074" s="342"/>
      <c r="C1074" s="34"/>
      <c r="D1074" s="40" t="str">
        <f t="shared" si="33"/>
        <v>2002001068</v>
      </c>
      <c r="E1074" s="34"/>
      <c r="F1074" s="52"/>
      <c r="G1074" s="34"/>
      <c r="H1074" s="34"/>
      <c r="I1074" s="278"/>
      <c r="J1074" s="50" t="str">
        <f t="shared" ca="1" si="34"/>
        <v/>
      </c>
      <c r="K1074" s="50" t="str">
        <f ca="1">IFERROR(VLOOKUP($J1074,Ref!$B$7:$C$9,2),"")</f>
        <v/>
      </c>
      <c r="L1074" s="55"/>
      <c r="M1074" s="34"/>
      <c r="N1074" s="34"/>
      <c r="O1074" s="34"/>
      <c r="P1074" s="34"/>
      <c r="Q1074" s="34"/>
      <c r="R1074" s="34"/>
      <c r="S1074" s="43"/>
      <c r="T1074" s="43"/>
      <c r="U1074" s="43"/>
      <c r="V1074" s="58"/>
      <c r="W1074" s="34"/>
      <c r="X1074" s="34"/>
    </row>
    <row r="1075" spans="1:24" x14ac:dyDescent="0.2">
      <c r="A1075" s="132">
        <v>1069</v>
      </c>
      <c r="B1075" s="342"/>
      <c r="C1075" s="34"/>
      <c r="D1075" s="40" t="str">
        <f t="shared" si="33"/>
        <v>2002001069</v>
      </c>
      <c r="E1075" s="34"/>
      <c r="F1075" s="52"/>
      <c r="G1075" s="34"/>
      <c r="H1075" s="34"/>
      <c r="I1075" s="278"/>
      <c r="J1075" s="50" t="str">
        <f t="shared" ca="1" si="34"/>
        <v/>
      </c>
      <c r="K1075" s="50" t="str">
        <f ca="1">IFERROR(VLOOKUP($J1075,Ref!$B$7:$C$9,2),"")</f>
        <v/>
      </c>
      <c r="L1075" s="55"/>
      <c r="M1075" s="34"/>
      <c r="N1075" s="34"/>
      <c r="O1075" s="34"/>
      <c r="P1075" s="34"/>
      <c r="Q1075" s="34"/>
      <c r="R1075" s="34"/>
      <c r="S1075" s="43"/>
      <c r="T1075" s="43"/>
      <c r="U1075" s="43"/>
      <c r="V1075" s="58"/>
      <c r="W1075" s="34"/>
      <c r="X1075" s="34"/>
    </row>
    <row r="1076" spans="1:24" x14ac:dyDescent="0.2">
      <c r="A1076" s="132">
        <v>1070</v>
      </c>
      <c r="B1076" s="342"/>
      <c r="C1076" s="34"/>
      <c r="D1076" s="40" t="str">
        <f t="shared" si="33"/>
        <v>2002001070</v>
      </c>
      <c r="E1076" s="34"/>
      <c r="F1076" s="52"/>
      <c r="G1076" s="34"/>
      <c r="H1076" s="34"/>
      <c r="I1076" s="278"/>
      <c r="J1076" s="50" t="str">
        <f t="shared" ca="1" si="34"/>
        <v/>
      </c>
      <c r="K1076" s="50" t="str">
        <f ca="1">IFERROR(VLOOKUP($J1076,Ref!$B$7:$C$9,2),"")</f>
        <v/>
      </c>
      <c r="L1076" s="55"/>
      <c r="M1076" s="34"/>
      <c r="N1076" s="34"/>
      <c r="O1076" s="34"/>
      <c r="P1076" s="34"/>
      <c r="Q1076" s="34"/>
      <c r="R1076" s="34"/>
      <c r="S1076" s="43"/>
      <c r="T1076" s="43"/>
      <c r="U1076" s="43"/>
      <c r="V1076" s="58"/>
      <c r="W1076" s="34"/>
      <c r="X1076" s="34"/>
    </row>
    <row r="1077" spans="1:24" x14ac:dyDescent="0.2">
      <c r="A1077" s="132">
        <v>1071</v>
      </c>
      <c r="B1077" s="342"/>
      <c r="C1077" s="34"/>
      <c r="D1077" s="40" t="str">
        <f t="shared" si="33"/>
        <v>2002001071</v>
      </c>
      <c r="E1077" s="34"/>
      <c r="F1077" s="52"/>
      <c r="G1077" s="34"/>
      <c r="H1077" s="34"/>
      <c r="I1077" s="278"/>
      <c r="J1077" s="50" t="str">
        <f t="shared" ca="1" si="34"/>
        <v/>
      </c>
      <c r="K1077" s="50" t="str">
        <f ca="1">IFERROR(VLOOKUP($J1077,Ref!$B$7:$C$9,2),"")</f>
        <v/>
      </c>
      <c r="L1077" s="55"/>
      <c r="M1077" s="34"/>
      <c r="N1077" s="34"/>
      <c r="O1077" s="34"/>
      <c r="P1077" s="34"/>
      <c r="Q1077" s="34"/>
      <c r="R1077" s="34"/>
      <c r="S1077" s="43"/>
      <c r="T1077" s="43"/>
      <c r="U1077" s="43"/>
      <c r="V1077" s="58"/>
      <c r="W1077" s="34"/>
      <c r="X1077" s="34"/>
    </row>
    <row r="1078" spans="1:24" x14ac:dyDescent="0.2">
      <c r="A1078" s="132">
        <v>1072</v>
      </c>
      <c r="B1078" s="342"/>
      <c r="C1078" s="34"/>
      <c r="D1078" s="40" t="str">
        <f t="shared" si="33"/>
        <v>2002001072</v>
      </c>
      <c r="E1078" s="34"/>
      <c r="F1078" s="52"/>
      <c r="G1078" s="34"/>
      <c r="H1078" s="34"/>
      <c r="I1078" s="278"/>
      <c r="J1078" s="50" t="str">
        <f t="shared" ca="1" si="34"/>
        <v/>
      </c>
      <c r="K1078" s="50" t="str">
        <f ca="1">IFERROR(VLOOKUP($J1078,Ref!$B$7:$C$9,2),"")</f>
        <v/>
      </c>
      <c r="L1078" s="55"/>
      <c r="M1078" s="34"/>
      <c r="N1078" s="34"/>
      <c r="O1078" s="34"/>
      <c r="P1078" s="34"/>
      <c r="Q1078" s="34"/>
      <c r="R1078" s="34"/>
      <c r="S1078" s="43"/>
      <c r="T1078" s="43"/>
      <c r="U1078" s="43"/>
      <c r="V1078" s="58"/>
      <c r="W1078" s="34"/>
      <c r="X1078" s="34"/>
    </row>
    <row r="1079" spans="1:24" x14ac:dyDescent="0.2">
      <c r="A1079" s="132">
        <v>1073</v>
      </c>
      <c r="B1079" s="342"/>
      <c r="C1079" s="34"/>
      <c r="D1079" s="40" t="str">
        <f t="shared" si="33"/>
        <v>2002001073</v>
      </c>
      <c r="E1079" s="34"/>
      <c r="F1079" s="52"/>
      <c r="G1079" s="34"/>
      <c r="H1079" s="34"/>
      <c r="I1079" s="278"/>
      <c r="J1079" s="50" t="str">
        <f t="shared" ca="1" si="34"/>
        <v/>
      </c>
      <c r="K1079" s="50" t="str">
        <f ca="1">IFERROR(VLOOKUP($J1079,Ref!$B$7:$C$9,2),"")</f>
        <v/>
      </c>
      <c r="L1079" s="55"/>
      <c r="M1079" s="34"/>
      <c r="N1079" s="34"/>
      <c r="O1079" s="34"/>
      <c r="P1079" s="34"/>
      <c r="Q1079" s="34"/>
      <c r="R1079" s="34"/>
      <c r="S1079" s="43"/>
      <c r="T1079" s="43"/>
      <c r="U1079" s="43"/>
      <c r="V1079" s="58"/>
      <c r="W1079" s="34"/>
      <c r="X1079" s="34"/>
    </row>
    <row r="1080" spans="1:24" x14ac:dyDescent="0.2">
      <c r="A1080" s="132">
        <v>1074</v>
      </c>
      <c r="B1080" s="342"/>
      <c r="C1080" s="34"/>
      <c r="D1080" s="40" t="str">
        <f t="shared" si="33"/>
        <v>2002001074</v>
      </c>
      <c r="E1080" s="34"/>
      <c r="F1080" s="52"/>
      <c r="G1080" s="34"/>
      <c r="H1080" s="34"/>
      <c r="I1080" s="278"/>
      <c r="J1080" s="50" t="str">
        <f t="shared" ca="1" si="34"/>
        <v/>
      </c>
      <c r="K1080" s="50" t="str">
        <f ca="1">IFERROR(VLOOKUP($J1080,Ref!$B$7:$C$9,2),"")</f>
        <v/>
      </c>
      <c r="L1080" s="55"/>
      <c r="M1080" s="34"/>
      <c r="N1080" s="34"/>
      <c r="O1080" s="34"/>
      <c r="P1080" s="34"/>
      <c r="Q1080" s="34"/>
      <c r="R1080" s="34"/>
      <c r="S1080" s="43"/>
      <c r="T1080" s="43"/>
      <c r="U1080" s="43"/>
      <c r="V1080" s="58"/>
      <c r="W1080" s="34"/>
      <c r="X1080" s="34"/>
    </row>
    <row r="1081" spans="1:24" x14ac:dyDescent="0.2">
      <c r="A1081" s="132">
        <v>1075</v>
      </c>
      <c r="B1081" s="342"/>
      <c r="C1081" s="34"/>
      <c r="D1081" s="40" t="str">
        <f t="shared" si="33"/>
        <v>2002001075</v>
      </c>
      <c r="E1081" s="34"/>
      <c r="F1081" s="52"/>
      <c r="G1081" s="34"/>
      <c r="H1081" s="34"/>
      <c r="I1081" s="278"/>
      <c r="J1081" s="50" t="str">
        <f t="shared" ca="1" si="34"/>
        <v/>
      </c>
      <c r="K1081" s="50" t="str">
        <f ca="1">IFERROR(VLOOKUP($J1081,Ref!$B$7:$C$9,2),"")</f>
        <v/>
      </c>
      <c r="L1081" s="55"/>
      <c r="M1081" s="34"/>
      <c r="N1081" s="34"/>
      <c r="O1081" s="34"/>
      <c r="P1081" s="34"/>
      <c r="Q1081" s="34"/>
      <c r="R1081" s="34"/>
      <c r="S1081" s="43"/>
      <c r="T1081" s="43"/>
      <c r="U1081" s="43"/>
      <c r="V1081" s="58"/>
      <c r="W1081" s="34"/>
      <c r="X1081" s="34"/>
    </row>
    <row r="1082" spans="1:24" x14ac:dyDescent="0.2">
      <c r="A1082" s="132">
        <v>1076</v>
      </c>
      <c r="B1082" s="342"/>
      <c r="C1082" s="34"/>
      <c r="D1082" s="40" t="str">
        <f t="shared" si="33"/>
        <v>2002001076</v>
      </c>
      <c r="E1082" s="34"/>
      <c r="F1082" s="52"/>
      <c r="G1082" s="34"/>
      <c r="H1082" s="34"/>
      <c r="I1082" s="278"/>
      <c r="J1082" s="50" t="str">
        <f t="shared" ca="1" si="34"/>
        <v/>
      </c>
      <c r="K1082" s="50" t="str">
        <f ca="1">IFERROR(VLOOKUP($J1082,Ref!$B$7:$C$9,2),"")</f>
        <v/>
      </c>
      <c r="L1082" s="55"/>
      <c r="M1082" s="34"/>
      <c r="N1082" s="34"/>
      <c r="O1082" s="34"/>
      <c r="P1082" s="34"/>
      <c r="Q1082" s="34"/>
      <c r="R1082" s="34"/>
      <c r="S1082" s="43"/>
      <c r="T1082" s="43"/>
      <c r="U1082" s="43"/>
      <c r="V1082" s="58"/>
      <c r="W1082" s="34"/>
      <c r="X1082" s="34"/>
    </row>
    <row r="1083" spans="1:24" x14ac:dyDescent="0.2">
      <c r="A1083" s="132">
        <v>1077</v>
      </c>
      <c r="B1083" s="342"/>
      <c r="C1083" s="34"/>
      <c r="D1083" s="40" t="str">
        <f t="shared" si="33"/>
        <v>2002001077</v>
      </c>
      <c r="E1083" s="34"/>
      <c r="F1083" s="52"/>
      <c r="G1083" s="34"/>
      <c r="H1083" s="34"/>
      <c r="I1083" s="278"/>
      <c r="J1083" s="50" t="str">
        <f t="shared" ca="1" si="34"/>
        <v/>
      </c>
      <c r="K1083" s="50" t="str">
        <f ca="1">IFERROR(VLOOKUP($J1083,Ref!$B$7:$C$9,2),"")</f>
        <v/>
      </c>
      <c r="L1083" s="55"/>
      <c r="M1083" s="34"/>
      <c r="N1083" s="34"/>
      <c r="O1083" s="34"/>
      <c r="P1083" s="34"/>
      <c r="Q1083" s="34"/>
      <c r="R1083" s="34"/>
      <c r="S1083" s="43"/>
      <c r="T1083" s="43"/>
      <c r="U1083" s="43"/>
      <c r="V1083" s="58"/>
      <c r="W1083" s="34"/>
      <c r="X1083" s="34"/>
    </row>
    <row r="1084" spans="1:24" x14ac:dyDescent="0.2">
      <c r="A1084" s="132">
        <v>1078</v>
      </c>
      <c r="B1084" s="342"/>
      <c r="C1084" s="34"/>
      <c r="D1084" s="40" t="str">
        <f t="shared" si="33"/>
        <v>2002001078</v>
      </c>
      <c r="E1084" s="34"/>
      <c r="F1084" s="52"/>
      <c r="G1084" s="34"/>
      <c r="H1084" s="34"/>
      <c r="I1084" s="278"/>
      <c r="J1084" s="50" t="str">
        <f t="shared" ca="1" si="34"/>
        <v/>
      </c>
      <c r="K1084" s="50" t="str">
        <f ca="1">IFERROR(VLOOKUP($J1084,Ref!$B$7:$C$9,2),"")</f>
        <v/>
      </c>
      <c r="L1084" s="55"/>
      <c r="M1084" s="34"/>
      <c r="N1084" s="34"/>
      <c r="O1084" s="34"/>
      <c r="P1084" s="34"/>
      <c r="Q1084" s="34"/>
      <c r="R1084" s="34"/>
      <c r="S1084" s="43"/>
      <c r="T1084" s="43"/>
      <c r="U1084" s="43"/>
      <c r="V1084" s="58"/>
      <c r="W1084" s="34"/>
      <c r="X1084" s="34"/>
    </row>
    <row r="1085" spans="1:24" x14ac:dyDescent="0.2">
      <c r="A1085" s="132">
        <v>1079</v>
      </c>
      <c r="B1085" s="342"/>
      <c r="C1085" s="34"/>
      <c r="D1085" s="40" t="str">
        <f t="shared" si="33"/>
        <v>2002001079</v>
      </c>
      <c r="E1085" s="34"/>
      <c r="F1085" s="52"/>
      <c r="G1085" s="34"/>
      <c r="H1085" s="34"/>
      <c r="I1085" s="278"/>
      <c r="J1085" s="50" t="str">
        <f t="shared" ca="1" si="34"/>
        <v/>
      </c>
      <c r="K1085" s="50" t="str">
        <f ca="1">IFERROR(VLOOKUP($J1085,Ref!$B$7:$C$9,2),"")</f>
        <v/>
      </c>
      <c r="L1085" s="55"/>
      <c r="M1085" s="34"/>
      <c r="N1085" s="34"/>
      <c r="O1085" s="34"/>
      <c r="P1085" s="34"/>
      <c r="Q1085" s="34"/>
      <c r="R1085" s="34"/>
      <c r="S1085" s="43"/>
      <c r="T1085" s="43"/>
      <c r="U1085" s="43"/>
      <c r="V1085" s="58"/>
      <c r="W1085" s="34"/>
      <c r="X1085" s="34"/>
    </row>
    <row r="1086" spans="1:24" x14ac:dyDescent="0.2">
      <c r="A1086" s="132">
        <v>1080</v>
      </c>
      <c r="B1086" s="342"/>
      <c r="C1086" s="34"/>
      <c r="D1086" s="40" t="str">
        <f t="shared" si="33"/>
        <v>2002001080</v>
      </c>
      <c r="E1086" s="34"/>
      <c r="F1086" s="52"/>
      <c r="G1086" s="34"/>
      <c r="H1086" s="34"/>
      <c r="I1086" s="278"/>
      <c r="J1086" s="50" t="str">
        <f t="shared" ca="1" si="34"/>
        <v/>
      </c>
      <c r="K1086" s="50" t="str">
        <f ca="1">IFERROR(VLOOKUP($J1086,Ref!$B$7:$C$9,2),"")</f>
        <v/>
      </c>
      <c r="L1086" s="55"/>
      <c r="M1086" s="34"/>
      <c r="N1086" s="34"/>
      <c r="O1086" s="34"/>
      <c r="P1086" s="34"/>
      <c r="Q1086" s="34"/>
      <c r="R1086" s="34"/>
      <c r="S1086" s="43"/>
      <c r="T1086" s="43"/>
      <c r="U1086" s="43"/>
      <c r="V1086" s="58"/>
      <c r="W1086" s="34"/>
      <c r="X1086" s="34"/>
    </row>
    <row r="1087" spans="1:24" x14ac:dyDescent="0.2">
      <c r="A1087" s="132">
        <v>1081</v>
      </c>
      <c r="B1087" s="342"/>
      <c r="C1087" s="34"/>
      <c r="D1087" s="40" t="str">
        <f t="shared" si="33"/>
        <v>2002001081</v>
      </c>
      <c r="E1087" s="34"/>
      <c r="F1087" s="52"/>
      <c r="G1087" s="34"/>
      <c r="H1087" s="34"/>
      <c r="I1087" s="278"/>
      <c r="J1087" s="50" t="str">
        <f t="shared" ca="1" si="34"/>
        <v/>
      </c>
      <c r="K1087" s="50" t="str">
        <f ca="1">IFERROR(VLOOKUP($J1087,Ref!$B$7:$C$9,2),"")</f>
        <v/>
      </c>
      <c r="L1087" s="55"/>
      <c r="M1087" s="34"/>
      <c r="N1087" s="34"/>
      <c r="O1087" s="34"/>
      <c r="P1087" s="34"/>
      <c r="Q1087" s="34"/>
      <c r="R1087" s="34"/>
      <c r="S1087" s="43"/>
      <c r="T1087" s="43"/>
      <c r="U1087" s="43"/>
      <c r="V1087" s="58"/>
      <c r="W1087" s="34"/>
      <c r="X1087" s="34"/>
    </row>
    <row r="1088" spans="1:24" x14ac:dyDescent="0.2">
      <c r="A1088" s="132">
        <v>1082</v>
      </c>
      <c r="B1088" s="342"/>
      <c r="C1088" s="34"/>
      <c r="D1088" s="40" t="str">
        <f t="shared" si="33"/>
        <v>2002001082</v>
      </c>
      <c r="E1088" s="34"/>
      <c r="F1088" s="52"/>
      <c r="G1088" s="34"/>
      <c r="H1088" s="34"/>
      <c r="I1088" s="278"/>
      <c r="J1088" s="50" t="str">
        <f t="shared" ca="1" si="34"/>
        <v/>
      </c>
      <c r="K1088" s="50" t="str">
        <f ca="1">IFERROR(VLOOKUP($J1088,Ref!$B$7:$C$9,2),"")</f>
        <v/>
      </c>
      <c r="L1088" s="55"/>
      <c r="M1088" s="34"/>
      <c r="N1088" s="34"/>
      <c r="O1088" s="34"/>
      <c r="P1088" s="34"/>
      <c r="Q1088" s="34"/>
      <c r="R1088" s="34"/>
      <c r="S1088" s="43"/>
      <c r="T1088" s="43"/>
      <c r="U1088" s="43"/>
      <c r="V1088" s="58"/>
      <c r="W1088" s="34"/>
      <c r="X1088" s="34"/>
    </row>
    <row r="1089" spans="1:24" x14ac:dyDescent="0.2">
      <c r="A1089" s="132">
        <v>1083</v>
      </c>
      <c r="B1089" s="342"/>
      <c r="C1089" s="34"/>
      <c r="D1089" s="40" t="str">
        <f t="shared" si="33"/>
        <v>2002001083</v>
      </c>
      <c r="E1089" s="34"/>
      <c r="F1089" s="52"/>
      <c r="G1089" s="34"/>
      <c r="H1089" s="34"/>
      <c r="I1089" s="278"/>
      <c r="J1089" s="50" t="str">
        <f t="shared" ca="1" si="34"/>
        <v/>
      </c>
      <c r="K1089" s="50" t="str">
        <f ca="1">IFERROR(VLOOKUP($J1089,Ref!$B$7:$C$9,2),"")</f>
        <v/>
      </c>
      <c r="L1089" s="55"/>
      <c r="M1089" s="34"/>
      <c r="N1089" s="34"/>
      <c r="O1089" s="34"/>
      <c r="P1089" s="34"/>
      <c r="Q1089" s="34"/>
      <c r="R1089" s="34"/>
      <c r="S1089" s="43"/>
      <c r="T1089" s="43"/>
      <c r="U1089" s="43"/>
      <c r="V1089" s="58"/>
      <c r="W1089" s="34"/>
      <c r="X1089" s="34"/>
    </row>
    <row r="1090" spans="1:24" x14ac:dyDescent="0.2">
      <c r="A1090" s="132">
        <v>1084</v>
      </c>
      <c r="B1090" s="342"/>
      <c r="C1090" s="34"/>
      <c r="D1090" s="40" t="str">
        <f t="shared" si="33"/>
        <v>2002001084</v>
      </c>
      <c r="E1090" s="34"/>
      <c r="F1090" s="52"/>
      <c r="G1090" s="34"/>
      <c r="H1090" s="34"/>
      <c r="I1090" s="278"/>
      <c r="J1090" s="50" t="str">
        <f t="shared" ca="1" si="34"/>
        <v/>
      </c>
      <c r="K1090" s="50" t="str">
        <f ca="1">IFERROR(VLOOKUP($J1090,Ref!$B$7:$C$9,2),"")</f>
        <v/>
      </c>
      <c r="L1090" s="55"/>
      <c r="M1090" s="34"/>
      <c r="N1090" s="34"/>
      <c r="O1090" s="34"/>
      <c r="P1090" s="34"/>
      <c r="Q1090" s="34"/>
      <c r="R1090" s="34"/>
      <c r="S1090" s="43"/>
      <c r="T1090" s="43"/>
      <c r="U1090" s="43"/>
      <c r="V1090" s="58"/>
      <c r="W1090" s="34"/>
      <c r="X1090" s="34"/>
    </row>
    <row r="1091" spans="1:24" x14ac:dyDescent="0.2">
      <c r="A1091" s="132">
        <v>1085</v>
      </c>
      <c r="B1091" s="342"/>
      <c r="C1091" s="34"/>
      <c r="D1091" s="40" t="str">
        <f t="shared" si="33"/>
        <v>2002001085</v>
      </c>
      <c r="E1091" s="34"/>
      <c r="F1091" s="52"/>
      <c r="G1091" s="34"/>
      <c r="H1091" s="34"/>
      <c r="I1091" s="278"/>
      <c r="J1091" s="50" t="str">
        <f t="shared" ca="1" si="34"/>
        <v/>
      </c>
      <c r="K1091" s="50" t="str">
        <f ca="1">IFERROR(VLOOKUP($J1091,Ref!$B$7:$C$9,2),"")</f>
        <v/>
      </c>
      <c r="L1091" s="55"/>
      <c r="M1091" s="34"/>
      <c r="N1091" s="34"/>
      <c r="O1091" s="34"/>
      <c r="P1091" s="34"/>
      <c r="Q1091" s="34"/>
      <c r="R1091" s="34"/>
      <c r="S1091" s="43"/>
      <c r="T1091" s="43"/>
      <c r="U1091" s="43"/>
      <c r="V1091" s="58"/>
      <c r="W1091" s="34"/>
      <c r="X1091" s="34"/>
    </row>
    <row r="1092" spans="1:24" x14ac:dyDescent="0.2">
      <c r="A1092" s="132">
        <v>1086</v>
      </c>
      <c r="B1092" s="342"/>
      <c r="C1092" s="34"/>
      <c r="D1092" s="40" t="str">
        <f t="shared" si="33"/>
        <v>2002001086</v>
      </c>
      <c r="E1092" s="34"/>
      <c r="F1092" s="52"/>
      <c r="G1092" s="34"/>
      <c r="H1092" s="34"/>
      <c r="I1092" s="278"/>
      <c r="J1092" s="50" t="str">
        <f t="shared" ca="1" si="34"/>
        <v/>
      </c>
      <c r="K1092" s="50" t="str">
        <f ca="1">IFERROR(VLOOKUP($J1092,Ref!$B$7:$C$9,2),"")</f>
        <v/>
      </c>
      <c r="L1092" s="55"/>
      <c r="M1092" s="34"/>
      <c r="N1092" s="34"/>
      <c r="O1092" s="34"/>
      <c r="P1092" s="34"/>
      <c r="Q1092" s="34"/>
      <c r="R1092" s="34"/>
      <c r="S1092" s="43"/>
      <c r="T1092" s="43"/>
      <c r="U1092" s="43"/>
      <c r="V1092" s="58"/>
      <c r="W1092" s="34"/>
      <c r="X1092" s="34"/>
    </row>
    <row r="1093" spans="1:24" x14ac:dyDescent="0.2">
      <c r="A1093" s="132">
        <v>1087</v>
      </c>
      <c r="B1093" s="342"/>
      <c r="C1093" s="34"/>
      <c r="D1093" s="40" t="str">
        <f t="shared" si="33"/>
        <v>2002001087</v>
      </c>
      <c r="E1093" s="34"/>
      <c r="F1093" s="52"/>
      <c r="G1093" s="34"/>
      <c r="H1093" s="34"/>
      <c r="I1093" s="278"/>
      <c r="J1093" s="50" t="str">
        <f t="shared" ca="1" si="34"/>
        <v/>
      </c>
      <c r="K1093" s="50" t="str">
        <f ca="1">IFERROR(VLOOKUP($J1093,Ref!$B$7:$C$9,2),"")</f>
        <v/>
      </c>
      <c r="L1093" s="55"/>
      <c r="M1093" s="34"/>
      <c r="N1093" s="34"/>
      <c r="O1093" s="34"/>
      <c r="P1093" s="34"/>
      <c r="Q1093" s="34"/>
      <c r="R1093" s="34"/>
      <c r="S1093" s="43"/>
      <c r="T1093" s="43"/>
      <c r="U1093" s="43"/>
      <c r="V1093" s="58"/>
      <c r="W1093" s="34"/>
      <c r="X1093" s="34"/>
    </row>
    <row r="1094" spans="1:24" x14ac:dyDescent="0.2">
      <c r="A1094" s="132">
        <v>1088</v>
      </c>
      <c r="B1094" s="342"/>
      <c r="C1094" s="34"/>
      <c r="D1094" s="40" t="str">
        <f t="shared" si="33"/>
        <v>2002001088</v>
      </c>
      <c r="E1094" s="34"/>
      <c r="F1094" s="52"/>
      <c r="G1094" s="34"/>
      <c r="H1094" s="34"/>
      <c r="I1094" s="278"/>
      <c r="J1094" s="50" t="str">
        <f t="shared" ca="1" si="34"/>
        <v/>
      </c>
      <c r="K1094" s="50" t="str">
        <f ca="1">IFERROR(VLOOKUP($J1094,Ref!$B$7:$C$9,2),"")</f>
        <v/>
      </c>
      <c r="L1094" s="55"/>
      <c r="M1094" s="34"/>
      <c r="N1094" s="34"/>
      <c r="O1094" s="34"/>
      <c r="P1094" s="34"/>
      <c r="Q1094" s="34"/>
      <c r="R1094" s="34"/>
      <c r="S1094" s="43"/>
      <c r="T1094" s="43"/>
      <c r="U1094" s="43"/>
      <c r="V1094" s="58"/>
      <c r="W1094" s="34"/>
      <c r="X1094" s="34"/>
    </row>
    <row r="1095" spans="1:24" x14ac:dyDescent="0.2">
      <c r="A1095" s="132">
        <v>1089</v>
      </c>
      <c r="B1095" s="342"/>
      <c r="C1095" s="34"/>
      <c r="D1095" s="40" t="str">
        <f t="shared" si="33"/>
        <v>2002001089</v>
      </c>
      <c r="E1095" s="34"/>
      <c r="F1095" s="52"/>
      <c r="G1095" s="34"/>
      <c r="H1095" s="34"/>
      <c r="I1095" s="278"/>
      <c r="J1095" s="50" t="str">
        <f t="shared" ca="1" si="34"/>
        <v/>
      </c>
      <c r="K1095" s="50" t="str">
        <f ca="1">IFERROR(VLOOKUP($J1095,Ref!$B$7:$C$9,2),"")</f>
        <v/>
      </c>
      <c r="L1095" s="55"/>
      <c r="M1095" s="34"/>
      <c r="N1095" s="34"/>
      <c r="O1095" s="34"/>
      <c r="P1095" s="34"/>
      <c r="Q1095" s="34"/>
      <c r="R1095" s="34"/>
      <c r="S1095" s="43"/>
      <c r="T1095" s="43"/>
      <c r="U1095" s="43"/>
      <c r="V1095" s="58"/>
      <c r="W1095" s="34"/>
      <c r="X1095" s="34"/>
    </row>
    <row r="1096" spans="1:24" x14ac:dyDescent="0.2">
      <c r="A1096" s="132">
        <v>1090</v>
      </c>
      <c r="B1096" s="342"/>
      <c r="C1096" s="34"/>
      <c r="D1096" s="40" t="str">
        <f>IF(A1096="","",LEFT($C$3,LEN($C$3)-LEN(A1096))&amp;A1096)</f>
        <v>2002001090</v>
      </c>
      <c r="E1096" s="34"/>
      <c r="F1096" s="52"/>
      <c r="G1096" s="34"/>
      <c r="H1096" s="34"/>
      <c r="I1096" s="278"/>
      <c r="J1096" s="50" t="str">
        <f t="shared" ca="1" si="34"/>
        <v/>
      </c>
      <c r="K1096" s="50" t="str">
        <f ca="1">IFERROR(VLOOKUP($J1096,Ref!$B$7:$C$9,2),"")</f>
        <v/>
      </c>
      <c r="L1096" s="55"/>
      <c r="M1096" s="34"/>
      <c r="N1096" s="34"/>
      <c r="O1096" s="34"/>
      <c r="P1096" s="34"/>
      <c r="Q1096" s="34"/>
      <c r="R1096" s="34"/>
      <c r="S1096" s="43"/>
      <c r="T1096" s="43"/>
      <c r="U1096" s="43"/>
      <c r="V1096" s="58"/>
      <c r="W1096" s="34"/>
      <c r="X1096" s="34"/>
    </row>
    <row r="1097" spans="1:24" x14ac:dyDescent="0.2">
      <c r="A1097" s="132">
        <v>1091</v>
      </c>
      <c r="B1097" s="342"/>
      <c r="C1097" s="34"/>
      <c r="D1097" s="40" t="str">
        <f>IF(A1097="","",LEFT($C$3,LEN($C$3)-LEN(A1097))&amp;A1097)</f>
        <v>2002001091</v>
      </c>
      <c r="E1097" s="34"/>
      <c r="F1097" s="52"/>
      <c r="G1097" s="34"/>
      <c r="H1097" s="34"/>
      <c r="I1097" s="278"/>
      <c r="J1097" s="50" t="str">
        <f t="shared" ca="1" si="34"/>
        <v/>
      </c>
      <c r="K1097" s="50" t="str">
        <f ca="1">IFERROR(VLOOKUP($J1097,Ref!$B$7:$C$9,2),"")</f>
        <v/>
      </c>
      <c r="L1097" s="55"/>
      <c r="M1097" s="34"/>
      <c r="N1097" s="34"/>
      <c r="O1097" s="34"/>
      <c r="P1097" s="34"/>
      <c r="Q1097" s="34"/>
      <c r="R1097" s="34"/>
      <c r="S1097" s="43"/>
      <c r="T1097" s="43"/>
      <c r="U1097" s="43"/>
      <c r="V1097" s="58"/>
      <c r="W1097" s="34"/>
      <c r="X1097" s="34"/>
    </row>
    <row r="1098" spans="1:24" x14ac:dyDescent="0.2">
      <c r="A1098" s="132">
        <v>1092</v>
      </c>
      <c r="B1098" s="342"/>
      <c r="C1098" s="34"/>
      <c r="D1098" s="40" t="str">
        <f>IF(A1098="","",LEFT($C$3,LEN($C$3)-LEN(A1098))&amp;A1098)</f>
        <v>2002001092</v>
      </c>
      <c r="E1098" s="34"/>
      <c r="F1098" s="52"/>
      <c r="G1098" s="34"/>
      <c r="H1098" s="34"/>
      <c r="I1098" s="278"/>
      <c r="J1098" s="50" t="str">
        <f t="shared" ca="1" si="34"/>
        <v/>
      </c>
      <c r="K1098" s="50" t="str">
        <f ca="1">IFERROR(VLOOKUP($J1098,Ref!$B$7:$C$9,2),"")</f>
        <v/>
      </c>
      <c r="L1098" s="55"/>
      <c r="M1098" s="34"/>
      <c r="N1098" s="34"/>
      <c r="O1098" s="34"/>
      <c r="P1098" s="34"/>
      <c r="Q1098" s="34"/>
      <c r="R1098" s="34"/>
      <c r="S1098" s="43"/>
      <c r="T1098" s="43"/>
      <c r="U1098" s="43"/>
      <c r="V1098" s="58"/>
      <c r="W1098" s="34"/>
      <c r="X1098" s="34"/>
    </row>
    <row r="1099" spans="1:24" x14ac:dyDescent="0.2">
      <c r="A1099" s="132">
        <v>1093</v>
      </c>
      <c r="B1099" s="342"/>
      <c r="C1099" s="34"/>
      <c r="D1099" s="40" t="str">
        <f>IF(A1099="","",LEFT($C$3,LEN($C$3)-LEN(A1099))&amp;A1099)</f>
        <v>2002001093</v>
      </c>
      <c r="E1099" s="34"/>
      <c r="F1099" s="52"/>
      <c r="G1099" s="34"/>
      <c r="H1099" s="34"/>
      <c r="I1099" s="278"/>
      <c r="J1099" s="50" t="str">
        <f t="shared" ca="1" si="34"/>
        <v/>
      </c>
      <c r="K1099" s="50" t="str">
        <f ca="1">IFERROR(VLOOKUP($J1099,Ref!$B$7:$C$9,2),"")</f>
        <v/>
      </c>
      <c r="L1099" s="55"/>
      <c r="M1099" s="34"/>
      <c r="N1099" s="34"/>
      <c r="O1099" s="34"/>
      <c r="P1099" s="34"/>
      <c r="Q1099" s="34"/>
      <c r="R1099" s="34"/>
      <c r="S1099" s="43"/>
      <c r="T1099" s="43"/>
      <c r="U1099" s="43"/>
      <c r="V1099" s="58"/>
      <c r="W1099" s="34"/>
      <c r="X1099" s="34"/>
    </row>
    <row r="1100" spans="1:24" x14ac:dyDescent="0.2">
      <c r="A1100" s="80"/>
      <c r="B1100" s="76"/>
      <c r="C1100" s="275"/>
      <c r="D1100" s="75"/>
      <c r="E1100" s="75"/>
      <c r="F1100" s="275"/>
      <c r="G1100" s="75"/>
      <c r="H1100" s="75"/>
      <c r="I1100" s="280"/>
      <c r="J1100" s="77"/>
      <c r="K1100" s="77"/>
      <c r="L1100" s="79"/>
      <c r="M1100" s="75"/>
      <c r="N1100" s="75"/>
      <c r="O1100" s="75"/>
      <c r="P1100" s="75"/>
      <c r="Q1100" s="75"/>
      <c r="R1100" s="75"/>
      <c r="S1100" s="78"/>
      <c r="T1100" s="78"/>
      <c r="U1100" s="78"/>
      <c r="V1100" s="80"/>
      <c r="W1100" s="75"/>
      <c r="X1100" s="75"/>
    </row>
  </sheetData>
  <sheetProtection algorithmName="SHA-512" hashValue="PZ4UaZv9xUOhRXYe4jO0Gi4DJwl04uKvvNk9+MxiEf1EaUMOfT8QwAr4OJ/QtgKFOSh5BTuYSvxXcP1LsP8G8Q==" saltValue="QE2Idchzz6ldNgxcYlPTnw==" spinCount="100000" sheet="1" objects="1" scenarios="1"/>
  <autoFilter ref="A6:X1099" xr:uid="{00000000-0009-0000-0000-000003000000}">
    <sortState xmlns:xlrd2="http://schemas.microsoft.com/office/spreadsheetml/2017/richdata2" ref="A7:X343">
      <sortCondition ref="A6"/>
    </sortState>
  </autoFilter>
  <phoneticPr fontId="22" type="noConversion"/>
  <conditionalFormatting sqref="A1:A218 A237:A1048576">
    <cfRule type="duplicateValues" dxfId="32" priority="3"/>
  </conditionalFormatting>
  <conditionalFormatting sqref="A219:A236">
    <cfRule type="duplicateValues" dxfId="31" priority="1"/>
  </conditionalFormatting>
  <conditionalFormatting sqref="I3">
    <cfRule type="duplicateValues" dxfId="30" priority="4"/>
  </conditionalFormatting>
  <conditionalFormatting sqref="J7:J1099">
    <cfRule type="cellIs" dxfId="29" priority="5" operator="lessThan">
      <formula>18</formula>
    </cfRule>
  </conditionalFormatting>
  <dataValidations count="6">
    <dataValidation type="list" allowBlank="1" showInputMessage="1" showErrorMessage="1" prompt="Kindly Pick from the List" sqref="E7:E1100" xr:uid="{00000000-0002-0000-0300-000000000000}">
      <formula1>"STAF,CUST"</formula1>
    </dataValidation>
    <dataValidation type="list" allowBlank="1" showInputMessage="1" showErrorMessage="1" prompt="Kindly Pick from the list" sqref="H7:H1100" xr:uid="{00000000-0002-0000-0300-000001000000}">
      <formula1>"Male,Female"</formula1>
    </dataValidation>
    <dataValidation type="date" allowBlank="1" showInputMessage="1" showErrorMessage="1" error="Invalid Date,_x000a_Use date format dd/mm/yy_x000a_                       or mm/dd/yyy" sqref="S1100 S219:S227 T7:V1100 I7:I1100 A7:B1100" xr:uid="{00000000-0002-0000-0300-000002000000}">
      <formula1>1</formula1>
      <formula2>TODAY()</formula2>
    </dataValidation>
    <dataValidation type="list" allowBlank="1" showInputMessage="1" showErrorMessage="1" prompt="Kindly Pick from the list" sqref="L7:M1100" xr:uid="{00000000-0002-0000-0300-000003000000}">
      <formula1>"Single,Married,Widow"</formula1>
    </dataValidation>
    <dataValidation type="textLength" operator="equal" allowBlank="1" showInputMessage="1" showErrorMessage="1" error="Invalid Number_x000a_Use format 702345678" sqref="F7:G1099" xr:uid="{00000000-0002-0000-0300-000004000000}">
      <formula1>9</formula1>
    </dataValidation>
    <dataValidation allowBlank="1" showInputMessage="1" showErrorMessage="1" error="Invalid Date,_x000a_Use date format dd/mm/yy_x000a_                       or mm/dd/yyy" sqref="S7:S218 S228:S1099" xr:uid="{00000000-0002-0000-0300-000005000000}"/>
  </dataValidations>
  <hyperlinks>
    <hyperlink ref="I3" location="Menu!A1" display="Back to Menu" xr:uid="{00000000-0004-0000-0300-000000000000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AU2015"/>
  <sheetViews>
    <sheetView showGridLines="0" tabSelected="1" zoomScaleNormal="100" workbookViewId="0">
      <pane ySplit="3" topLeftCell="A8" activePane="bottomLeft" state="frozen"/>
      <selection activeCell="D3208" sqref="D3208"/>
      <selection pane="bottomLeft" activeCell="A16" sqref="A16:XFD16"/>
    </sheetView>
  </sheetViews>
  <sheetFormatPr defaultRowHeight="11.25" x14ac:dyDescent="0.15"/>
  <cols>
    <col min="1" max="1" width="13.140625" style="494" bestFit="1" customWidth="1"/>
    <col min="2" max="2" width="9" style="494" bestFit="1" customWidth="1"/>
    <col min="3" max="3" width="10" style="494" customWidth="1"/>
    <col min="4" max="4" width="8.42578125" style="494" customWidth="1"/>
    <col min="5" max="5" width="9.5703125" style="595" customWidth="1"/>
    <col min="6" max="6" width="14.28515625" style="494" bestFit="1" customWidth="1"/>
    <col min="7" max="7" width="10" style="494" customWidth="1"/>
    <col min="8" max="8" width="14.42578125" style="596" customWidth="1"/>
    <col min="9" max="9" width="16.7109375" style="597" customWidth="1"/>
    <col min="10" max="10" width="9" style="494" customWidth="1"/>
    <col min="11" max="11" width="34.28515625" style="494" customWidth="1"/>
    <col min="12" max="12" width="12.7109375" style="494" customWidth="1"/>
    <col min="13" max="13" width="12.85546875" style="494" customWidth="1"/>
    <col min="14" max="14" width="12.5703125" style="494" customWidth="1"/>
    <col min="15" max="15" width="12.42578125" style="494" customWidth="1"/>
    <col min="16" max="16" width="12.7109375" style="494" customWidth="1"/>
    <col min="17" max="17" width="13.140625" style="494" customWidth="1"/>
    <col min="18" max="18" width="17" style="494" customWidth="1"/>
    <col min="19" max="20" width="14.5703125" style="494" customWidth="1"/>
    <col min="21" max="21" width="14.7109375" style="494" customWidth="1"/>
    <col min="22" max="23" width="14.5703125" style="494" customWidth="1"/>
    <col min="24" max="24" width="14.42578125" style="604" customWidth="1"/>
    <col min="25" max="25" width="12.28515625" style="494" customWidth="1"/>
    <col min="26" max="26" width="7.28515625" style="494" customWidth="1"/>
    <col min="27" max="27" width="10.85546875" style="599" customWidth="1"/>
    <col min="28" max="28" width="12.28515625" style="494" customWidth="1"/>
    <col min="29" max="29" width="10.85546875" style="599" customWidth="1"/>
    <col min="30" max="30" width="10.85546875" style="600" customWidth="1"/>
    <col min="31" max="31" width="10.85546875" style="599" customWidth="1"/>
    <col min="32" max="32" width="10.85546875" style="601" customWidth="1"/>
    <col min="33" max="36" width="17.28515625" style="599" customWidth="1"/>
    <col min="37" max="37" width="13.140625" style="599" customWidth="1"/>
    <col min="38" max="38" width="14.28515625" style="599" customWidth="1"/>
    <col min="39" max="39" width="14.85546875" style="599" customWidth="1"/>
    <col min="40" max="40" width="14.28515625" style="602" customWidth="1"/>
    <col min="41" max="41" width="13.85546875" style="602" customWidth="1"/>
    <col min="42" max="43" width="14.7109375" style="599" customWidth="1"/>
    <col min="44" max="45" width="12.42578125" style="599" customWidth="1"/>
    <col min="46" max="46" width="16" style="599" customWidth="1"/>
    <col min="47" max="47" width="14" style="494" customWidth="1"/>
    <col min="48" max="16384" width="9.140625" style="494"/>
  </cols>
  <sheetData>
    <row r="1" spans="1:47" ht="5.25" customHeight="1" thickBot="1" x14ac:dyDescent="0.2">
      <c r="A1" s="483"/>
      <c r="B1" s="483"/>
      <c r="C1" s="483"/>
      <c r="D1" s="483"/>
      <c r="E1" s="484"/>
      <c r="F1" s="483"/>
      <c r="G1" s="483"/>
      <c r="H1" s="485"/>
      <c r="I1" s="486"/>
      <c r="J1" s="483"/>
      <c r="K1" s="487"/>
      <c r="L1" s="483"/>
      <c r="M1" s="483"/>
      <c r="N1" s="483"/>
      <c r="O1" s="483"/>
      <c r="P1" s="483"/>
      <c r="Q1" s="483"/>
      <c r="R1" s="483"/>
      <c r="S1" s="483"/>
      <c r="T1" s="483"/>
      <c r="U1" s="488"/>
      <c r="V1" s="483"/>
      <c r="W1" s="483"/>
      <c r="X1" s="489"/>
      <c r="Y1" s="483"/>
      <c r="Z1" s="483"/>
      <c r="AA1" s="490"/>
      <c r="AB1" s="483"/>
      <c r="AC1" s="490"/>
      <c r="AD1" s="491"/>
      <c r="AE1" s="490"/>
      <c r="AF1" s="492"/>
      <c r="AG1" s="490"/>
      <c r="AH1" s="490"/>
      <c r="AI1" s="490"/>
      <c r="AJ1" s="490"/>
      <c r="AK1" s="490"/>
      <c r="AL1" s="490"/>
      <c r="AM1" s="490"/>
      <c r="AN1" s="493"/>
      <c r="AO1" s="493"/>
      <c r="AP1" s="490"/>
      <c r="AQ1" s="490"/>
      <c r="AR1" s="490"/>
      <c r="AS1" s="490"/>
      <c r="AT1" s="490"/>
      <c r="AU1" s="483"/>
    </row>
    <row r="2" spans="1:47" ht="12.75" thickTop="1" thickBot="1" x14ac:dyDescent="0.2">
      <c r="A2" s="495" t="s">
        <v>1323</v>
      </c>
      <c r="B2" s="496"/>
      <c r="C2" s="496"/>
      <c r="D2" s="496"/>
      <c r="E2" s="497">
        <f>COUNTA(A:A)-2</f>
        <v>543</v>
      </c>
      <c r="F2" s="498">
        <f>SUBTOTAL(9,F4:F999070)</f>
        <v>440780000</v>
      </c>
      <c r="G2" s="499"/>
      <c r="H2" s="499"/>
      <c r="I2" s="499"/>
      <c r="J2" s="499"/>
      <c r="K2" s="499"/>
      <c r="L2" s="500">
        <f>SUBTOTAL(9,L4:L999070)</f>
        <v>7405000</v>
      </c>
      <c r="M2" s="500">
        <f>SUBTOTAL(9,M4:M999070)</f>
        <v>2230000</v>
      </c>
      <c r="N2" s="500">
        <f>SUBTOTAL(9,N4:N999070)</f>
        <v>5731300</v>
      </c>
      <c r="O2" s="500">
        <f>SUBTOTAL(9,O4:O999070)</f>
        <v>43438000</v>
      </c>
      <c r="P2" s="500">
        <f>SUBTOTAL(9,P4:P999070)</f>
        <v>86770750</v>
      </c>
      <c r="Q2" s="500"/>
      <c r="R2" s="500">
        <f t="shared" ref="R2:X2" si="0">SUBTOTAL(9,R4:R999070)</f>
        <v>527550750</v>
      </c>
      <c r="S2" s="500">
        <f t="shared" si="0"/>
        <v>193579208.3333334</v>
      </c>
      <c r="T2" s="500">
        <f t="shared" si="0"/>
        <v>193660000</v>
      </c>
      <c r="U2" s="500">
        <f t="shared" si="0"/>
        <v>528083000</v>
      </c>
      <c r="V2" s="500">
        <f t="shared" si="0"/>
        <v>170208333.33333334</v>
      </c>
      <c r="W2" s="500">
        <f t="shared" si="0"/>
        <v>23451666.666666675</v>
      </c>
      <c r="X2" s="500">
        <f t="shared" si="0"/>
        <v>87303000</v>
      </c>
      <c r="Y2" s="501"/>
      <c r="Z2" s="502"/>
      <c r="AA2" s="503"/>
      <c r="AB2" s="502"/>
      <c r="AC2" s="503"/>
      <c r="AD2" s="504"/>
      <c r="AE2" s="503"/>
      <c r="AF2" s="505"/>
      <c r="AG2" s="500">
        <f t="shared" ref="AG2:AQ2" ca="1" si="1">SUBTOTAL(9,AG4:AG999070)</f>
        <v>528083000</v>
      </c>
      <c r="AH2" s="500">
        <f t="shared" ca="1" si="1"/>
        <v>87303000</v>
      </c>
      <c r="AI2" s="500">
        <f t="shared" ca="1" si="1"/>
        <v>440780000</v>
      </c>
      <c r="AJ2" s="500">
        <f t="shared" ca="1" si="1"/>
        <v>0</v>
      </c>
      <c r="AK2" s="500">
        <f t="shared" si="1"/>
        <v>79870500.000000015</v>
      </c>
      <c r="AL2" s="500">
        <f t="shared" si="1"/>
        <v>383990499.99999994</v>
      </c>
      <c r="AM2" s="500">
        <f t="shared" si="1"/>
        <v>463861000</v>
      </c>
      <c r="AN2" s="506">
        <f t="shared" si="1"/>
        <v>7432499.9999999991</v>
      </c>
      <c r="AO2" s="506">
        <f t="shared" si="1"/>
        <v>56789500</v>
      </c>
      <c r="AP2" s="500">
        <f t="shared" si="1"/>
        <v>64222000</v>
      </c>
      <c r="AQ2" s="500">
        <f t="shared" ca="1" si="1"/>
        <v>64222000</v>
      </c>
      <c r="AR2" s="500"/>
      <c r="AS2" s="500"/>
      <c r="AT2" s="500"/>
      <c r="AU2" s="502"/>
    </row>
    <row r="3" spans="1:47" ht="33" customHeight="1" thickTop="1" thickBot="1" x14ac:dyDescent="0.2">
      <c r="A3" s="507" t="s">
        <v>850</v>
      </c>
      <c r="B3" s="507" t="s">
        <v>1259</v>
      </c>
      <c r="C3" s="507" t="s">
        <v>1261</v>
      </c>
      <c r="D3" s="507" t="s">
        <v>1322</v>
      </c>
      <c r="E3" s="508" t="s">
        <v>1338</v>
      </c>
      <c r="F3" s="507" t="s">
        <v>873</v>
      </c>
      <c r="G3" s="508" t="s">
        <v>1327</v>
      </c>
      <c r="H3" s="507" t="s">
        <v>1328</v>
      </c>
      <c r="I3" s="507" t="s">
        <v>876</v>
      </c>
      <c r="J3" s="507" t="s">
        <v>1262</v>
      </c>
      <c r="K3" s="509" t="s">
        <v>1260</v>
      </c>
      <c r="L3" s="509" t="s">
        <v>874</v>
      </c>
      <c r="M3" s="509" t="s">
        <v>875</v>
      </c>
      <c r="N3" s="510" t="s">
        <v>1340</v>
      </c>
      <c r="O3" s="510" t="s">
        <v>889</v>
      </c>
      <c r="P3" s="510" t="s">
        <v>1356</v>
      </c>
      <c r="Q3" s="510" t="s">
        <v>1329</v>
      </c>
      <c r="R3" s="511" t="s">
        <v>1330</v>
      </c>
      <c r="S3" s="511" t="s">
        <v>1333</v>
      </c>
      <c r="T3" s="511" t="s">
        <v>1334</v>
      </c>
      <c r="U3" s="511" t="s">
        <v>1442</v>
      </c>
      <c r="V3" s="511" t="s">
        <v>1341</v>
      </c>
      <c r="W3" s="511" t="s">
        <v>1342</v>
      </c>
      <c r="X3" s="512" t="s">
        <v>2066</v>
      </c>
      <c r="Y3" s="511" t="s">
        <v>1331</v>
      </c>
      <c r="Z3" s="513" t="s">
        <v>1343</v>
      </c>
      <c r="AA3" s="514" t="s">
        <v>1344</v>
      </c>
      <c r="AB3" s="511" t="s">
        <v>1332</v>
      </c>
      <c r="AC3" s="514" t="s">
        <v>1335</v>
      </c>
      <c r="AD3" s="514" t="s">
        <v>1336</v>
      </c>
      <c r="AE3" s="514" t="s">
        <v>1337</v>
      </c>
      <c r="AF3" s="515" t="s">
        <v>1345</v>
      </c>
      <c r="AG3" s="516" t="s">
        <v>1346</v>
      </c>
      <c r="AH3" s="516" t="s">
        <v>1348</v>
      </c>
      <c r="AI3" s="516" t="s">
        <v>1349</v>
      </c>
      <c r="AJ3" s="516" t="s">
        <v>1347</v>
      </c>
      <c r="AK3" s="514" t="s">
        <v>1350</v>
      </c>
      <c r="AL3" s="514" t="s">
        <v>1351</v>
      </c>
      <c r="AM3" s="516" t="s">
        <v>1352</v>
      </c>
      <c r="AN3" s="517" t="s">
        <v>1353</v>
      </c>
      <c r="AO3" s="518" t="s">
        <v>1354</v>
      </c>
      <c r="AP3" s="519" t="s">
        <v>1355</v>
      </c>
      <c r="AQ3" s="520" t="s">
        <v>1360</v>
      </c>
      <c r="AR3" s="520" t="s">
        <v>1361</v>
      </c>
      <c r="AS3" s="520" t="s">
        <v>1362</v>
      </c>
      <c r="AT3" s="520" t="s">
        <v>1364</v>
      </c>
      <c r="AU3" s="520" t="s">
        <v>42</v>
      </c>
    </row>
    <row r="4" spans="1:47" ht="15" customHeight="1" thickTop="1" x14ac:dyDescent="0.15">
      <c r="A4" s="521">
        <v>44326</v>
      </c>
      <c r="B4" s="522">
        <v>8</v>
      </c>
      <c r="C4" s="523">
        <v>1</v>
      </c>
      <c r="D4" s="523">
        <v>1</v>
      </c>
      <c r="E4" s="523" t="s">
        <v>1274</v>
      </c>
      <c r="F4" s="524">
        <v>300000</v>
      </c>
      <c r="G4" s="524">
        <v>6</v>
      </c>
      <c r="H4" s="525">
        <v>0.05</v>
      </c>
      <c r="I4" s="526" t="s">
        <v>859</v>
      </c>
      <c r="J4" s="527" t="s">
        <v>862</v>
      </c>
      <c r="K4" s="528" t="str">
        <f>IFERROR(VLOOKUP($B4,'Clients-Live'!$A:$C,3,0),"")</f>
        <v>ALEMI THOMAS</v>
      </c>
      <c r="L4" s="528">
        <f>IF(E4="STL",Pricing!$D$38,IF(A4="",0,IF(A4&lt;Pricing!$C$25,Pricing!$D$25,VLOOKUP(Disbursements!$F4,Pricing!$B$29:$D$32,3))))</f>
        <v>10000</v>
      </c>
      <c r="M4" s="528">
        <f>IF(E4="STL",0,IF(F4&gt;0,Pricing!$D$21,0))</f>
        <v>5000</v>
      </c>
      <c r="N4" s="529">
        <f>IF(E4="STL",F4*Pricing!$D$40,IF(A4&lt;=Pricing!$C$4,0,IF(AND(A4&gt;Pricing!$C$4,Disbursements!A4&lt;=Pricing!$C$5),F4*Pricing!$E$5,IF(AND(A4&gt;Pricing!$C$5,Disbursements!A4&lt;=Pricing!$C$7),VLOOKUP(F4,Pricing!$D$7:$E$8,2)*Disbursements!F4,F4*Pricing!$E$9))))</f>
        <v>0</v>
      </c>
      <c r="O4" s="528">
        <f>IF(E4="STL",0,IF($F4&gt;0,$F4*Pricing!$D$17,0))</f>
        <v>30000</v>
      </c>
      <c r="P4" s="530">
        <f>IF($A4="","",$H4*$F4*$G4)</f>
        <v>90000</v>
      </c>
      <c r="Q4" s="531">
        <f>IF($A4="","",$G4/VLOOKUP($I4,Ref!$B$23:$D$29,2,0))</f>
        <v>6</v>
      </c>
      <c r="R4" s="530">
        <f>IF($A4="","",$F4+$P4)</f>
        <v>390000</v>
      </c>
      <c r="S4" s="532">
        <f t="shared" ref="S4:S67" si="2">IF($A4="","",$R4/$Q4)</f>
        <v>65000</v>
      </c>
      <c r="T4" s="531">
        <f t="shared" ref="T4" si="3">IF(R4="","",CEILING(S4,1000))</f>
        <v>65000</v>
      </c>
      <c r="U4" s="533">
        <f t="shared" ref="U4" si="4">IFERROR(T4*Q4,0)</f>
        <v>390000</v>
      </c>
      <c r="V4" s="531">
        <f>IF(T4="","",F4/Q4)</f>
        <v>50000</v>
      </c>
      <c r="W4" s="531">
        <f t="shared" ref="W4" si="5">IF(T4="","",T4-V4)</f>
        <v>15000</v>
      </c>
      <c r="X4" s="534">
        <f t="shared" ref="X4" si="6">IF(A4="","",W4*Q4)</f>
        <v>90000</v>
      </c>
      <c r="Y4" s="535">
        <f>IF($A4="","",IF($I4="weekly",$A4+7,EDATE($A4,VLOOKUP($I4,Ref!$B$24:$C$29,2,0))))</f>
        <v>44357</v>
      </c>
      <c r="Z4" s="536" t="str">
        <f t="shared" ref="Z4" si="7">IFERROR(CHOOSE(WEEKDAY(Y4),"Sun","Mon","Tue","Wed","Thu","Frid","Sat"),"")</f>
        <v>Thu</v>
      </c>
      <c r="AA4" s="531">
        <f>IFERROR(Y4-A4,0)</f>
        <v>31</v>
      </c>
      <c r="AB4" s="535">
        <f t="shared" ref="AB4:AB67" si="8">IF($A4="","",EDATE($A4,$G4))</f>
        <v>44510</v>
      </c>
      <c r="AC4" s="537">
        <f t="shared" ref="AC4:AC67" si="9">IFERROR($AB4-$A4,"")</f>
        <v>184</v>
      </c>
      <c r="AD4" s="538" t="str">
        <f t="shared" ref="AD4:AD67" ca="1" si="10">IFERROR(IF(TODAY()-$A4&lt;$AB4-$A4,TODAY()-$A4,"Expired"),"")</f>
        <v>Expired</v>
      </c>
      <c r="AE4" s="537">
        <f t="shared" ref="AE4:AE67" ca="1" si="11">IFERROR($AC4-$AD4,0)</f>
        <v>0</v>
      </c>
      <c r="AF4" s="539">
        <f t="shared" ref="AF4" ca="1" si="12">IFERROR(IF(AD4="Expired",Q4,IF(AD4&gt;AA4,AD4/AA4,0)),"")</f>
        <v>6</v>
      </c>
      <c r="AG4" s="531">
        <f t="shared" ref="AG4" ca="1" si="13">IFERROR(AF4*T4,"")</f>
        <v>390000</v>
      </c>
      <c r="AH4" s="531">
        <f t="shared" ref="AH4" ca="1" si="14">IFERROR(AF4*W4,"")</f>
        <v>90000</v>
      </c>
      <c r="AI4" s="531">
        <f t="shared" ref="AI4" ca="1" si="15">IFERROR(AF4*V4,"")</f>
        <v>300000</v>
      </c>
      <c r="AJ4" s="531">
        <f ca="1">IF(F4=0,"",U4-AG4)</f>
        <v>0</v>
      </c>
      <c r="AK4" s="540">
        <f>SUMIFS('Live Collections'!$S:$S,'Live Collections'!$D:$D,Disbursements!B4,'Live Collections'!$G:$G,Disbursements!C4)</f>
        <v>90000</v>
      </c>
      <c r="AL4" s="540">
        <f>SUMIFS('Live Collections'!$T:$T,'Live Collections'!$D:$D,Disbursements!B4,'Live Collections'!$G:$G,Disbursements!C4)</f>
        <v>300000</v>
      </c>
      <c r="AM4" s="541">
        <f t="shared" ref="AM4" si="16">SUM(AK4:AL4)</f>
        <v>390000</v>
      </c>
      <c r="AN4" s="542">
        <f t="shared" ref="AN4" si="17">IFERROR(W4*Q4-AK4,"")</f>
        <v>0</v>
      </c>
      <c r="AO4" s="542">
        <f t="shared" ref="AO4" si="18">IF(F4="","",(F4-AL4))</f>
        <v>0</v>
      </c>
      <c r="AP4" s="543">
        <f t="shared" ref="AP4" si="19">IF(F4="","",SUM(AN4:AO4))</f>
        <v>0</v>
      </c>
      <c r="AQ4" s="544" t="str">
        <f t="shared" ref="AQ4" ca="1" si="20">IF(AP4&gt;AJ4,AP4-AJ4,"")</f>
        <v/>
      </c>
      <c r="AR4" s="545">
        <f t="shared" ref="AR4" ca="1" si="21">IFERROR(AQ4/T4,0)</f>
        <v>0</v>
      </c>
      <c r="AS4" s="545">
        <f ca="1">IFERROR(CEILING($AR4*VLOOKUP($I4,Ref!$B$23:$E$29,4,0),1),0)</f>
        <v>0</v>
      </c>
      <c r="AT4" s="545" t="str">
        <f>IF(A4="","",IF(AP4&lt;=1,"Cleared",IF(AS4=0,"Clean",VLOOKUP($AS4,Ref!$G$23:$H$28,2))))</f>
        <v>Cleared</v>
      </c>
      <c r="AU4" s="546" t="str">
        <f>IF(F4="","",IF(OR(AN4&lt;0,AO4&lt;0,AP4&lt;0),"Error on Entry","Ok"))</f>
        <v>Ok</v>
      </c>
    </row>
    <row r="5" spans="1:47" ht="15" customHeight="1" x14ac:dyDescent="0.15">
      <c r="A5" s="547">
        <v>44327</v>
      </c>
      <c r="B5" s="548">
        <v>6</v>
      </c>
      <c r="C5" s="523">
        <v>2</v>
      </c>
      <c r="D5" s="523">
        <v>1</v>
      </c>
      <c r="E5" s="523" t="s">
        <v>1274</v>
      </c>
      <c r="F5" s="549">
        <v>2000000</v>
      </c>
      <c r="G5" s="524">
        <v>6</v>
      </c>
      <c r="H5" s="550">
        <v>0.05</v>
      </c>
      <c r="I5" s="551" t="s">
        <v>859</v>
      </c>
      <c r="J5" s="552" t="s">
        <v>863</v>
      </c>
      <c r="K5" s="528" t="str">
        <f>IFERROR(VLOOKUP($B5,'Clients-Live'!$A:$C,3,0),"")</f>
        <v>AMUTE BASHIR</v>
      </c>
      <c r="L5" s="528">
        <f>IF(E5="STL",Pricing!$D$38,IF(A5="",0,IF(A5&lt;Pricing!$C$25,Pricing!$D$25,VLOOKUP(Disbursements!$F5,Pricing!$B$29:$D$32,3))))</f>
        <v>10000</v>
      </c>
      <c r="M5" s="528">
        <f>IF(E5="STL",0,IF(F5&gt;0,Pricing!$D$21,0))</f>
        <v>5000</v>
      </c>
      <c r="N5" s="529">
        <f>IF(E5="STL",F5*Pricing!$D$40,IF(A5&lt;=Pricing!$C$4,0,IF(AND(A5&gt;Pricing!$C$4,Disbursements!A5&lt;=Pricing!$C$5),F5*Pricing!$E$5,IF(AND(A5&gt;Pricing!$C$5,Disbursements!A5&lt;=Pricing!$C$7),VLOOKUP(F5,Pricing!$D$7:$E$8,2)*Disbursements!F5,F5*Pricing!$E$9))))</f>
        <v>0</v>
      </c>
      <c r="O5" s="528">
        <f>IF(E5="STL",0,IF($F5&gt;0,$F5*Pricing!$D$17,0))</f>
        <v>200000</v>
      </c>
      <c r="P5" s="530">
        <f t="shared" ref="P5:P68" si="22">IF($A5="","",$H5*$F5*$G5)</f>
        <v>600000</v>
      </c>
      <c r="Q5" s="531">
        <f>IF($A5="","",$G5/VLOOKUP($I5,Ref!$B$23:$D$29,2,0))</f>
        <v>6</v>
      </c>
      <c r="R5" s="530">
        <f t="shared" ref="R5:R68" si="23">IF($A5="","",$F5+$P5)</f>
        <v>2600000</v>
      </c>
      <c r="S5" s="532">
        <f t="shared" si="2"/>
        <v>433333.33333333331</v>
      </c>
      <c r="T5" s="531">
        <f>IF(R5="","",CEILING(S5,1000))</f>
        <v>434000</v>
      </c>
      <c r="U5" s="533">
        <f t="shared" ref="U5:U68" si="24">IFERROR(T5*Q5,0)</f>
        <v>2604000</v>
      </c>
      <c r="V5" s="531">
        <f t="shared" ref="V5:V68" si="25">IF(T5="","",F5/Q5)</f>
        <v>333333.33333333331</v>
      </c>
      <c r="W5" s="531">
        <f t="shared" ref="W5:W68" si="26">IF(T5="","",T5-V5)</f>
        <v>100666.66666666669</v>
      </c>
      <c r="X5" s="534">
        <f t="shared" ref="X5:X68" si="27">IF(A5="","",W5*Q5)</f>
        <v>604000.00000000012</v>
      </c>
      <c r="Y5" s="535">
        <f>IF($A5="","",IF($I5="weekly",$A5+7,EDATE($A5,VLOOKUP($I5,Ref!$B$24:$C$29,2,0))))</f>
        <v>44358</v>
      </c>
      <c r="Z5" s="536" t="str">
        <f t="shared" ref="Z5:Z68" si="28">IFERROR(CHOOSE(WEEKDAY(Y5),"Sun","Mon","Tue","Wed","Thu","Frid","Sat"),"")</f>
        <v>Frid</v>
      </c>
      <c r="AA5" s="531">
        <f t="shared" ref="AA5:AA68" si="29">IFERROR(Y5-A5,0)</f>
        <v>31</v>
      </c>
      <c r="AB5" s="535">
        <f t="shared" si="8"/>
        <v>44511</v>
      </c>
      <c r="AC5" s="537">
        <f t="shared" si="9"/>
        <v>184</v>
      </c>
      <c r="AD5" s="538" t="str">
        <f t="shared" ca="1" si="10"/>
        <v>Expired</v>
      </c>
      <c r="AE5" s="537">
        <f t="shared" ca="1" si="11"/>
        <v>0</v>
      </c>
      <c r="AF5" s="539">
        <f t="shared" ref="AF5:AF68" ca="1" si="30">IFERROR(IF(AD5="Expired",Q5,IF(AD5&gt;AA5,AD5/AA5,0)),"")</f>
        <v>6</v>
      </c>
      <c r="AG5" s="531">
        <f t="shared" ref="AG5:AG68" ca="1" si="31">IFERROR(AF5*T5,"")</f>
        <v>2604000</v>
      </c>
      <c r="AH5" s="531">
        <f t="shared" ref="AH5:AH68" ca="1" si="32">IFERROR(AF5*W5,"")</f>
        <v>604000.00000000012</v>
      </c>
      <c r="AI5" s="531">
        <f t="shared" ref="AI5:AI68" ca="1" si="33">IFERROR(AF5*V5,"")</f>
        <v>2000000</v>
      </c>
      <c r="AJ5" s="531">
        <f t="shared" ref="AJ5:AJ68" ca="1" si="34">IF(F5=0,"",U5-AG5)</f>
        <v>0</v>
      </c>
      <c r="AK5" s="540">
        <f>SUMIFS('Live Collections'!$S:$S,'Live Collections'!$D:$D,Disbursements!B5,'Live Collections'!$G:$G,Disbursements!C5)</f>
        <v>604000.00000000012</v>
      </c>
      <c r="AL5" s="540">
        <f>SUMIFS('Live Collections'!$T:$T,'Live Collections'!$D:$D,Disbursements!B5,'Live Collections'!$G:$G,Disbursements!C5)</f>
        <v>2000000</v>
      </c>
      <c r="AM5" s="541">
        <f t="shared" ref="AM5:AM68" si="35">SUM(AK5:AL5)</f>
        <v>2604000</v>
      </c>
      <c r="AN5" s="542">
        <f t="shared" ref="AN5:AN68" si="36">IFERROR(W5*Q5-AK5,"")</f>
        <v>0</v>
      </c>
      <c r="AO5" s="542">
        <f t="shared" ref="AO5:AO68" si="37">IF(F5="","",(F5-AL5))</f>
        <v>0</v>
      </c>
      <c r="AP5" s="543">
        <f t="shared" ref="AP5:AP68" si="38">IF(F5="","",SUM(AN5:AO5))</f>
        <v>0</v>
      </c>
      <c r="AQ5" s="544" t="str">
        <f t="shared" ref="AQ5:AQ68" ca="1" si="39">IF(AP5&gt;AJ5,AP5-AJ5,"")</f>
        <v/>
      </c>
      <c r="AR5" s="545">
        <f t="shared" ref="AR5:AR68" ca="1" si="40">IFERROR(AQ5/T5,0)</f>
        <v>0</v>
      </c>
      <c r="AS5" s="545">
        <f ca="1">IFERROR(CEILING($AR5*VLOOKUP($I5,Ref!$B$23:$E$29,4,0),1),0)</f>
        <v>0</v>
      </c>
      <c r="AT5" s="545" t="str">
        <f>IF(A5="","",IF(AP5&lt;=1,"Cleared",IF(AS5=0,"Clean",VLOOKUP($AS5,Ref!$G$23:$H$28,2))))</f>
        <v>Cleared</v>
      </c>
      <c r="AU5" s="546" t="str">
        <f>IF(F5="","",IF(OR(AN5&lt;0,AO5&lt;0,AP5&lt;0),"Error on Entry","Ok"))</f>
        <v>Ok</v>
      </c>
    </row>
    <row r="6" spans="1:47" ht="15" customHeight="1" x14ac:dyDescent="0.15">
      <c r="A6" s="547">
        <v>44327</v>
      </c>
      <c r="B6" s="548">
        <v>12</v>
      </c>
      <c r="C6" s="523">
        <v>3</v>
      </c>
      <c r="D6" s="523">
        <v>1</v>
      </c>
      <c r="E6" s="523" t="s">
        <v>1275</v>
      </c>
      <c r="F6" s="549">
        <v>300000</v>
      </c>
      <c r="G6" s="524">
        <v>1</v>
      </c>
      <c r="H6" s="550">
        <v>7.4999999999999997E-2</v>
      </c>
      <c r="I6" s="551" t="s">
        <v>861</v>
      </c>
      <c r="J6" s="552" t="s">
        <v>864</v>
      </c>
      <c r="K6" s="528" t="str">
        <f>IFERROR(VLOOKUP($B6,'Clients-Live'!$A:$C,3,0),"")</f>
        <v>DRELIA SIMON DEADSON</v>
      </c>
      <c r="L6" s="528">
        <f>IF(E6="STL",Pricing!$D$38,IF(A6="",0,IF(A6&lt;Pricing!$C$25,Pricing!$D$25,VLOOKUP(Disbursements!$F6,Pricing!$B$29:$D$32,3))))</f>
        <v>10000</v>
      </c>
      <c r="M6" s="528">
        <f>IF(E6="STL",0,IF(F6&gt;0,Pricing!$D$21,0))</f>
        <v>5000</v>
      </c>
      <c r="N6" s="529">
        <f>IF(E6="STL",F6*Pricing!$D$40,IF(A6&lt;=Pricing!$C$4,0,IF(AND(A6&gt;Pricing!$C$4,Disbursements!A6&lt;=Pricing!$C$5),F6*Pricing!$E$5,IF(AND(A6&gt;Pricing!$C$5,Disbursements!A6&lt;=Pricing!$C$7),VLOOKUP(F6,Pricing!$D$7:$E$8,2)*Disbursements!F6,F6*Pricing!$E$9))))</f>
        <v>0</v>
      </c>
      <c r="O6" s="528">
        <f>IF(E6="STL",0,IF($F6&gt;0,$F6*Pricing!$D$17,0))</f>
        <v>30000</v>
      </c>
      <c r="P6" s="530">
        <f t="shared" si="22"/>
        <v>22500</v>
      </c>
      <c r="Q6" s="531">
        <f>IF($A6="","",$G6/VLOOKUP($I6,Ref!$B$23:$D$29,2,0))</f>
        <v>4</v>
      </c>
      <c r="R6" s="530">
        <f t="shared" si="23"/>
        <v>322500</v>
      </c>
      <c r="S6" s="532">
        <f t="shared" si="2"/>
        <v>80625</v>
      </c>
      <c r="T6" s="531">
        <f t="shared" ref="T6:T68" si="41">IF(R6="","",CEILING(S6,1000))</f>
        <v>81000</v>
      </c>
      <c r="U6" s="533">
        <f t="shared" si="24"/>
        <v>324000</v>
      </c>
      <c r="V6" s="531">
        <f t="shared" si="25"/>
        <v>75000</v>
      </c>
      <c r="W6" s="531">
        <f t="shared" si="26"/>
        <v>6000</v>
      </c>
      <c r="X6" s="534">
        <f t="shared" si="27"/>
        <v>24000</v>
      </c>
      <c r="Y6" s="535">
        <f>IF($A6="","",IF($I6="weekly",$A6+7,EDATE($A6,VLOOKUP($I6,Ref!$B$24:$C$29,2,0))))</f>
        <v>44334</v>
      </c>
      <c r="Z6" s="536" t="str">
        <f t="shared" si="28"/>
        <v>Tue</v>
      </c>
      <c r="AA6" s="531">
        <f t="shared" si="29"/>
        <v>7</v>
      </c>
      <c r="AB6" s="535">
        <f t="shared" si="8"/>
        <v>44358</v>
      </c>
      <c r="AC6" s="537">
        <f t="shared" si="9"/>
        <v>31</v>
      </c>
      <c r="AD6" s="538" t="str">
        <f t="shared" ca="1" si="10"/>
        <v>Expired</v>
      </c>
      <c r="AE6" s="537">
        <f t="shared" ca="1" si="11"/>
        <v>0</v>
      </c>
      <c r="AF6" s="539">
        <f t="shared" ca="1" si="30"/>
        <v>4</v>
      </c>
      <c r="AG6" s="531">
        <f t="shared" ca="1" si="31"/>
        <v>324000</v>
      </c>
      <c r="AH6" s="531">
        <f t="shared" ca="1" si="32"/>
        <v>24000</v>
      </c>
      <c r="AI6" s="531">
        <f t="shared" ca="1" si="33"/>
        <v>300000</v>
      </c>
      <c r="AJ6" s="531">
        <f t="shared" ca="1" si="34"/>
        <v>0</v>
      </c>
      <c r="AK6" s="540">
        <f>SUMIFS('Live Collections'!$S:$S,'Live Collections'!$D:$D,Disbursements!B6,'Live Collections'!$G:$G,Disbursements!C6)</f>
        <v>24000</v>
      </c>
      <c r="AL6" s="540">
        <f>SUMIFS('Live Collections'!$T:$T,'Live Collections'!$D:$D,Disbursements!B6,'Live Collections'!$G:$G,Disbursements!C6)</f>
        <v>300000</v>
      </c>
      <c r="AM6" s="541">
        <f t="shared" si="35"/>
        <v>324000</v>
      </c>
      <c r="AN6" s="542">
        <f t="shared" si="36"/>
        <v>0</v>
      </c>
      <c r="AO6" s="542">
        <f t="shared" si="37"/>
        <v>0</v>
      </c>
      <c r="AP6" s="543">
        <f t="shared" si="38"/>
        <v>0</v>
      </c>
      <c r="AQ6" s="544" t="str">
        <f t="shared" ca="1" si="39"/>
        <v/>
      </c>
      <c r="AR6" s="545">
        <f t="shared" ca="1" si="40"/>
        <v>0</v>
      </c>
      <c r="AS6" s="545">
        <f ca="1">IFERROR(CEILING($AR6*VLOOKUP($I6,Ref!$B$23:$E$29,4,0),1),0)</f>
        <v>0</v>
      </c>
      <c r="AT6" s="545" t="str">
        <f>IF(A6="","",IF(AP6&lt;=1,"Cleared",IF(AS6=0,"Clean",VLOOKUP($AS6,Ref!$G$23:$H$28,2))))</f>
        <v>Cleared</v>
      </c>
      <c r="AU6" s="546" t="str">
        <f t="shared" ref="AU6:AU68" si="42">IF(F6="","",IF(OR(AN6&lt;0,AO6&lt;0,AP6&lt;0),"Error on Entry","Ok"))</f>
        <v>Ok</v>
      </c>
    </row>
    <row r="7" spans="1:47" ht="15" customHeight="1" x14ac:dyDescent="0.15">
      <c r="A7" s="553">
        <v>44330</v>
      </c>
      <c r="B7" s="523">
        <v>2</v>
      </c>
      <c r="C7" s="523">
        <v>4</v>
      </c>
      <c r="D7" s="523">
        <v>1</v>
      </c>
      <c r="E7" s="523" t="s">
        <v>1274</v>
      </c>
      <c r="F7" s="554">
        <v>1000000</v>
      </c>
      <c r="G7" s="524">
        <v>6</v>
      </c>
      <c r="H7" s="555">
        <v>0.05</v>
      </c>
      <c r="I7" s="556" t="s">
        <v>859</v>
      </c>
      <c r="J7" s="557" t="s">
        <v>863</v>
      </c>
      <c r="K7" s="528" t="str">
        <f>IFERROR(VLOOKUP($B7,'Clients-Live'!$A:$C,3,0),"")</f>
        <v>LEYA ROSE</v>
      </c>
      <c r="L7" s="528">
        <f>IF(E7="STL",Pricing!$D$38,IF(A7="",0,IF(A7&lt;Pricing!$C$25,Pricing!$D$25,VLOOKUP(Disbursements!$F7,Pricing!$B$29:$D$32,3))))</f>
        <v>10000</v>
      </c>
      <c r="M7" s="528">
        <f>IF(E7="STL",0,IF(F7&gt;0,Pricing!$D$21,0))</f>
        <v>5000</v>
      </c>
      <c r="N7" s="529">
        <f>IF(E7="STL",F7*Pricing!$D$40,IF(A7&lt;=Pricing!$C$4,0,IF(AND(A7&gt;Pricing!$C$4,Disbursements!A7&lt;=Pricing!$C$5),F7*Pricing!$E$5,IF(AND(A7&gt;Pricing!$C$5,Disbursements!A7&lt;=Pricing!$C$7),VLOOKUP(F7,Pricing!$D$7:$E$8,2)*Disbursements!F7,F7*Pricing!$E$9))))</f>
        <v>0</v>
      </c>
      <c r="O7" s="528">
        <f>IF(E7="STL",0,IF($F7&gt;0,$F7*Pricing!$D$17,0))</f>
        <v>100000</v>
      </c>
      <c r="P7" s="530">
        <f t="shared" si="22"/>
        <v>300000</v>
      </c>
      <c r="Q7" s="531">
        <f>IF($A7="","",$G7/VLOOKUP($I7,Ref!$B$23:$D$29,2,0))</f>
        <v>6</v>
      </c>
      <c r="R7" s="530">
        <f t="shared" si="23"/>
        <v>1300000</v>
      </c>
      <c r="S7" s="532">
        <f t="shared" si="2"/>
        <v>216666.66666666666</v>
      </c>
      <c r="T7" s="531">
        <f t="shared" si="41"/>
        <v>217000</v>
      </c>
      <c r="U7" s="533">
        <f t="shared" si="24"/>
        <v>1302000</v>
      </c>
      <c r="V7" s="531">
        <f t="shared" si="25"/>
        <v>166666.66666666666</v>
      </c>
      <c r="W7" s="531">
        <f t="shared" si="26"/>
        <v>50333.333333333343</v>
      </c>
      <c r="X7" s="534">
        <f t="shared" si="27"/>
        <v>302000.00000000006</v>
      </c>
      <c r="Y7" s="535">
        <f>IF($A7="","",IF($I7="weekly",$A7+7,EDATE($A7,VLOOKUP($I7,Ref!$B$24:$C$29,2,0))))</f>
        <v>44361</v>
      </c>
      <c r="Z7" s="536" t="str">
        <f t="shared" si="28"/>
        <v>Mon</v>
      </c>
      <c r="AA7" s="531">
        <f t="shared" si="29"/>
        <v>31</v>
      </c>
      <c r="AB7" s="535">
        <f t="shared" si="8"/>
        <v>44514</v>
      </c>
      <c r="AC7" s="537">
        <f t="shared" si="9"/>
        <v>184</v>
      </c>
      <c r="AD7" s="538" t="str">
        <f t="shared" ca="1" si="10"/>
        <v>Expired</v>
      </c>
      <c r="AE7" s="537">
        <f t="shared" ca="1" si="11"/>
        <v>0</v>
      </c>
      <c r="AF7" s="539">
        <f t="shared" ca="1" si="30"/>
        <v>6</v>
      </c>
      <c r="AG7" s="531">
        <f t="shared" ca="1" si="31"/>
        <v>1302000</v>
      </c>
      <c r="AH7" s="531">
        <f t="shared" ca="1" si="32"/>
        <v>302000.00000000006</v>
      </c>
      <c r="AI7" s="531">
        <f t="shared" ca="1" si="33"/>
        <v>1000000</v>
      </c>
      <c r="AJ7" s="531">
        <f t="shared" ca="1" si="34"/>
        <v>0</v>
      </c>
      <c r="AK7" s="540">
        <f>SUMIFS('Live Collections'!$S:$S,'Live Collections'!$D:$D,Disbursements!B7,'Live Collections'!$G:$G,Disbursements!C7)</f>
        <v>302000.00000000006</v>
      </c>
      <c r="AL7" s="540">
        <f>SUMIFS('Live Collections'!$T:$T,'Live Collections'!$D:$D,Disbursements!B7,'Live Collections'!$G:$G,Disbursements!C7)</f>
        <v>1000000</v>
      </c>
      <c r="AM7" s="541">
        <f t="shared" si="35"/>
        <v>1302000</v>
      </c>
      <c r="AN7" s="542">
        <f t="shared" si="36"/>
        <v>0</v>
      </c>
      <c r="AO7" s="542">
        <f t="shared" si="37"/>
        <v>0</v>
      </c>
      <c r="AP7" s="543">
        <f t="shared" si="38"/>
        <v>0</v>
      </c>
      <c r="AQ7" s="544" t="str">
        <f t="shared" ca="1" si="39"/>
        <v/>
      </c>
      <c r="AR7" s="545">
        <f t="shared" ca="1" si="40"/>
        <v>0</v>
      </c>
      <c r="AS7" s="545">
        <f ca="1">IFERROR(CEILING($AR7*VLOOKUP($I7,Ref!$B$23:$E$29,4,0),1),0)</f>
        <v>0</v>
      </c>
      <c r="AT7" s="545" t="str">
        <f>IF(A7="","",IF(AP7&lt;=1,"Cleared",IF(AS7=0,"Clean",VLOOKUP($AS7,Ref!$G$23:$H$28,2))))</f>
        <v>Cleared</v>
      </c>
      <c r="AU7" s="546" t="str">
        <f t="shared" si="42"/>
        <v>Ok</v>
      </c>
    </row>
    <row r="8" spans="1:47" ht="15" customHeight="1" x14ac:dyDescent="0.15">
      <c r="A8" s="553">
        <v>44333</v>
      </c>
      <c r="B8" s="523">
        <v>14</v>
      </c>
      <c r="C8" s="523">
        <v>5</v>
      </c>
      <c r="D8" s="523">
        <v>1</v>
      </c>
      <c r="E8" s="523" t="s">
        <v>1274</v>
      </c>
      <c r="F8" s="558">
        <v>1000000</v>
      </c>
      <c r="G8" s="524">
        <v>6</v>
      </c>
      <c r="H8" s="555">
        <v>0.05</v>
      </c>
      <c r="I8" s="559" t="s">
        <v>859</v>
      </c>
      <c r="J8" s="557" t="s">
        <v>864</v>
      </c>
      <c r="K8" s="528" t="str">
        <f>IFERROR(VLOOKUP($B8,'Clients-Live'!$A:$C,3,0),"")</f>
        <v>ASIKU ROMANO ADEBUA</v>
      </c>
      <c r="L8" s="528">
        <f>IF(E8="STL",Pricing!$D$38,IF(A8="",0,IF(A8&lt;Pricing!$C$25,Pricing!$D$25,VLOOKUP(Disbursements!$F8,Pricing!$B$29:$D$32,3))))</f>
        <v>10000</v>
      </c>
      <c r="M8" s="528">
        <f>IF(E8="STL",0,IF(F8&gt;0,Pricing!$D$21,0))</f>
        <v>5000</v>
      </c>
      <c r="N8" s="529">
        <f>IF(E8="STL",F8*Pricing!$D$40,IF(A8&lt;=Pricing!$C$4,0,IF(AND(A8&gt;Pricing!$C$4,Disbursements!A8&lt;=Pricing!$C$5),F8*Pricing!$E$5,IF(AND(A8&gt;Pricing!$C$5,Disbursements!A8&lt;=Pricing!$C$7),VLOOKUP(F8,Pricing!$D$7:$E$8,2)*Disbursements!F8,F8*Pricing!$E$9))))</f>
        <v>0</v>
      </c>
      <c r="O8" s="528">
        <f>IF(E8="STL",0,IF($F8&gt;0,$F8*Pricing!$D$17,0))</f>
        <v>100000</v>
      </c>
      <c r="P8" s="530">
        <f t="shared" si="22"/>
        <v>300000</v>
      </c>
      <c r="Q8" s="531">
        <f>IF($A8="","",$G8/VLOOKUP($I8,Ref!$B$23:$D$29,2,0))</f>
        <v>6</v>
      </c>
      <c r="R8" s="530">
        <f t="shared" si="23"/>
        <v>1300000</v>
      </c>
      <c r="S8" s="532">
        <f t="shared" si="2"/>
        <v>216666.66666666666</v>
      </c>
      <c r="T8" s="531">
        <f t="shared" si="41"/>
        <v>217000</v>
      </c>
      <c r="U8" s="533">
        <f t="shared" si="24"/>
        <v>1302000</v>
      </c>
      <c r="V8" s="531">
        <f t="shared" si="25"/>
        <v>166666.66666666666</v>
      </c>
      <c r="W8" s="531">
        <f t="shared" si="26"/>
        <v>50333.333333333343</v>
      </c>
      <c r="X8" s="534">
        <f t="shared" si="27"/>
        <v>302000.00000000006</v>
      </c>
      <c r="Y8" s="535">
        <f>IF($A8="","",IF($I8="weekly",$A8+7,EDATE($A8,VLOOKUP($I8,Ref!$B$24:$C$29,2,0))))</f>
        <v>44364</v>
      </c>
      <c r="Z8" s="536" t="str">
        <f t="shared" si="28"/>
        <v>Thu</v>
      </c>
      <c r="AA8" s="531">
        <f t="shared" si="29"/>
        <v>31</v>
      </c>
      <c r="AB8" s="535">
        <f t="shared" si="8"/>
        <v>44517</v>
      </c>
      <c r="AC8" s="537">
        <f t="shared" si="9"/>
        <v>184</v>
      </c>
      <c r="AD8" s="538" t="str">
        <f t="shared" ca="1" si="10"/>
        <v>Expired</v>
      </c>
      <c r="AE8" s="537">
        <f t="shared" ca="1" si="11"/>
        <v>0</v>
      </c>
      <c r="AF8" s="539">
        <f t="shared" ca="1" si="30"/>
        <v>6</v>
      </c>
      <c r="AG8" s="531">
        <f t="shared" ca="1" si="31"/>
        <v>1302000</v>
      </c>
      <c r="AH8" s="531">
        <f t="shared" ca="1" si="32"/>
        <v>302000.00000000006</v>
      </c>
      <c r="AI8" s="531">
        <f t="shared" ca="1" si="33"/>
        <v>1000000</v>
      </c>
      <c r="AJ8" s="531">
        <f t="shared" ca="1" si="34"/>
        <v>0</v>
      </c>
      <c r="AK8" s="540">
        <f>SUMIFS('Live Collections'!$S:$S,'Live Collections'!$D:$D,Disbursements!B8,'Live Collections'!$G:$G,Disbursements!C8)</f>
        <v>257000.00000000003</v>
      </c>
      <c r="AL8" s="540">
        <f>SUMIFS('Live Collections'!$T:$T,'Live Collections'!$D:$D,Disbursements!B8,'Live Collections'!$G:$G,Disbursements!C8)</f>
        <v>944999.99999999988</v>
      </c>
      <c r="AM8" s="541">
        <f t="shared" si="35"/>
        <v>1202000</v>
      </c>
      <c r="AN8" s="542">
        <f t="shared" si="36"/>
        <v>45000.000000000029</v>
      </c>
      <c r="AO8" s="542">
        <f t="shared" si="37"/>
        <v>55000.000000000116</v>
      </c>
      <c r="AP8" s="543">
        <f t="shared" si="38"/>
        <v>100000.00000000015</v>
      </c>
      <c r="AQ8" s="544">
        <f t="shared" ca="1" si="39"/>
        <v>100000.00000000015</v>
      </c>
      <c r="AR8" s="545">
        <f t="shared" ca="1" si="40"/>
        <v>0.46082949308755827</v>
      </c>
      <c r="AS8" s="545">
        <f ca="1">IFERROR(CEILING($AR8*VLOOKUP($I8,Ref!$B$23:$E$29,4,0),1),0)</f>
        <v>14</v>
      </c>
      <c r="AT8" s="545" t="str">
        <f ca="1">IF(A8="","",IF(AP8&lt;=1,"Cleared",IF(AS8=0,"Clean",VLOOKUP($AS8,Ref!$G$23:$H$28,2))))</f>
        <v>1.(0-30) Days</v>
      </c>
      <c r="AU8" s="546" t="str">
        <f t="shared" si="42"/>
        <v>Ok</v>
      </c>
    </row>
    <row r="9" spans="1:47" ht="15" customHeight="1" x14ac:dyDescent="0.15">
      <c r="A9" s="553">
        <v>44335</v>
      </c>
      <c r="B9" s="523">
        <v>16</v>
      </c>
      <c r="C9" s="523">
        <v>6</v>
      </c>
      <c r="D9" s="523">
        <v>1</v>
      </c>
      <c r="E9" s="523" t="s">
        <v>1276</v>
      </c>
      <c r="F9" s="554">
        <v>600000</v>
      </c>
      <c r="G9" s="524">
        <v>3</v>
      </c>
      <c r="H9" s="555">
        <v>7.4999999999999997E-2</v>
      </c>
      <c r="I9" s="560" t="s">
        <v>859</v>
      </c>
      <c r="J9" s="557" t="s">
        <v>862</v>
      </c>
      <c r="K9" s="528" t="str">
        <f>IFERROR(VLOOKUP($B9,'Clients-Live'!$A:$C,3,0),"")</f>
        <v>OKELLO ACTION</v>
      </c>
      <c r="L9" s="528">
        <f>IF(E9="STL",Pricing!$D$38,IF(A9="",0,IF(A9&lt;Pricing!$C$25,Pricing!$D$25,VLOOKUP(Disbursements!$F9,Pricing!$B$29:$D$32,3))))</f>
        <v>10000</v>
      </c>
      <c r="M9" s="528">
        <f>IF(E9="STL",0,IF(F9&gt;0,Pricing!$D$21,0))</f>
        <v>5000</v>
      </c>
      <c r="N9" s="529">
        <f>IF(E9="STL",F9*Pricing!$D$40,IF(A9&lt;=Pricing!$C$4,0,IF(AND(A9&gt;Pricing!$C$4,Disbursements!A9&lt;=Pricing!$C$5),F9*Pricing!$E$5,IF(AND(A9&gt;Pricing!$C$5,Disbursements!A9&lt;=Pricing!$C$7),VLOOKUP(F9,Pricing!$D$7:$E$8,2)*Disbursements!F9,F9*Pricing!$E$9))))</f>
        <v>0</v>
      </c>
      <c r="O9" s="528">
        <f>IF(E9="STL",0,IF($F9&gt;0,$F9*Pricing!$D$17,0))</f>
        <v>60000</v>
      </c>
      <c r="P9" s="530">
        <f t="shared" si="22"/>
        <v>135000</v>
      </c>
      <c r="Q9" s="531">
        <f>IF($A9="","",$G9/VLOOKUP($I9,Ref!$B$23:$D$29,2,0))</f>
        <v>3</v>
      </c>
      <c r="R9" s="530">
        <f t="shared" si="23"/>
        <v>735000</v>
      </c>
      <c r="S9" s="532">
        <f t="shared" si="2"/>
        <v>245000</v>
      </c>
      <c r="T9" s="531">
        <f t="shared" si="41"/>
        <v>245000</v>
      </c>
      <c r="U9" s="533">
        <f t="shared" si="24"/>
        <v>735000</v>
      </c>
      <c r="V9" s="531">
        <f t="shared" si="25"/>
        <v>200000</v>
      </c>
      <c r="W9" s="531">
        <f t="shared" si="26"/>
        <v>45000</v>
      </c>
      <c r="X9" s="534">
        <f t="shared" si="27"/>
        <v>135000</v>
      </c>
      <c r="Y9" s="535">
        <f>IF($A9="","",IF($I9="weekly",$A9+7,EDATE($A9,VLOOKUP($I9,Ref!$B$24:$C$29,2,0))))</f>
        <v>44366</v>
      </c>
      <c r="Z9" s="536" t="str">
        <f t="shared" si="28"/>
        <v>Sat</v>
      </c>
      <c r="AA9" s="531">
        <f t="shared" si="29"/>
        <v>31</v>
      </c>
      <c r="AB9" s="535">
        <f t="shared" si="8"/>
        <v>44427</v>
      </c>
      <c r="AC9" s="537">
        <f t="shared" si="9"/>
        <v>92</v>
      </c>
      <c r="AD9" s="538" t="str">
        <f t="shared" ca="1" si="10"/>
        <v>Expired</v>
      </c>
      <c r="AE9" s="537">
        <f t="shared" ca="1" si="11"/>
        <v>0</v>
      </c>
      <c r="AF9" s="539">
        <f t="shared" ca="1" si="30"/>
        <v>3</v>
      </c>
      <c r="AG9" s="531">
        <f t="shared" ca="1" si="31"/>
        <v>735000</v>
      </c>
      <c r="AH9" s="531">
        <f t="shared" ca="1" si="32"/>
        <v>135000</v>
      </c>
      <c r="AI9" s="531">
        <f t="shared" ca="1" si="33"/>
        <v>600000</v>
      </c>
      <c r="AJ9" s="531">
        <f t="shared" ca="1" si="34"/>
        <v>0</v>
      </c>
      <c r="AK9" s="540">
        <f>SUMIFS('Live Collections'!$S:$S,'Live Collections'!$D:$D,Disbursements!B9,'Live Collections'!$G:$G,Disbursements!C9)</f>
        <v>50000</v>
      </c>
      <c r="AL9" s="540">
        <f>SUMIFS('Live Collections'!$T:$T,'Live Collections'!$D:$D,Disbursements!B9,'Live Collections'!$G:$G,Disbursements!C9)</f>
        <v>400000</v>
      </c>
      <c r="AM9" s="541">
        <f t="shared" si="35"/>
        <v>450000</v>
      </c>
      <c r="AN9" s="542">
        <f t="shared" si="36"/>
        <v>85000</v>
      </c>
      <c r="AO9" s="542">
        <f t="shared" si="37"/>
        <v>200000</v>
      </c>
      <c r="AP9" s="543">
        <f t="shared" si="38"/>
        <v>285000</v>
      </c>
      <c r="AQ9" s="544">
        <f t="shared" ca="1" si="39"/>
        <v>285000</v>
      </c>
      <c r="AR9" s="545">
        <f t="shared" ca="1" si="40"/>
        <v>1.1632653061224489</v>
      </c>
      <c r="AS9" s="545">
        <f ca="1">IFERROR(CEILING($AR9*VLOOKUP($I9,Ref!$B$23:$E$29,4,0),1),0)</f>
        <v>35</v>
      </c>
      <c r="AT9" s="545" t="str">
        <f ca="1">IF(A9="","",IF(AP9&lt;=1,"Cleared",IF(AS9=0,"Clean",VLOOKUP($AS9,Ref!$G$23:$H$28,2))))</f>
        <v>2.(31-60) Days</v>
      </c>
      <c r="AU9" s="546" t="str">
        <f t="shared" si="42"/>
        <v>Ok</v>
      </c>
    </row>
    <row r="10" spans="1:47" ht="15" customHeight="1" x14ac:dyDescent="0.15">
      <c r="A10" s="553">
        <v>44336</v>
      </c>
      <c r="B10" s="523">
        <v>15</v>
      </c>
      <c r="C10" s="523">
        <v>8</v>
      </c>
      <c r="D10" s="523">
        <v>1</v>
      </c>
      <c r="E10" s="523" t="s">
        <v>1274</v>
      </c>
      <c r="F10" s="554">
        <v>2000000</v>
      </c>
      <c r="G10" s="524">
        <v>6</v>
      </c>
      <c r="H10" s="555">
        <v>0.05</v>
      </c>
      <c r="I10" s="556" t="s">
        <v>859</v>
      </c>
      <c r="J10" s="557" t="s">
        <v>863</v>
      </c>
      <c r="K10" s="528" t="str">
        <f>IFERROR(VLOOKUP($B10,'Clients-Live'!$A:$C,3,0),"")</f>
        <v>NATOSHA LUCY</v>
      </c>
      <c r="L10" s="528">
        <f>IF(E10="STL",Pricing!$D$38,IF(A10="",0,IF(A10&lt;Pricing!$C$25,Pricing!$D$25,VLOOKUP(Disbursements!$F10,Pricing!$B$29:$D$32,3))))</f>
        <v>10000</v>
      </c>
      <c r="M10" s="528">
        <f>IF(E10="STL",0,IF(F10&gt;0,Pricing!$D$21,0))</f>
        <v>5000</v>
      </c>
      <c r="N10" s="529">
        <f>IF(E10="STL",F10*Pricing!$D$40,IF(A10&lt;=Pricing!$C$4,0,IF(AND(A10&gt;Pricing!$C$4,Disbursements!A10&lt;=Pricing!$C$5),F10*Pricing!$E$5,IF(AND(A10&gt;Pricing!$C$5,Disbursements!A10&lt;=Pricing!$C$7),VLOOKUP(F10,Pricing!$D$7:$E$8,2)*Disbursements!F10,F10*Pricing!$E$9))))</f>
        <v>0</v>
      </c>
      <c r="O10" s="528">
        <f>IF(E10="STL",0,IF($F10&gt;0,$F10*Pricing!$D$17,0))</f>
        <v>200000</v>
      </c>
      <c r="P10" s="530">
        <f t="shared" si="22"/>
        <v>600000</v>
      </c>
      <c r="Q10" s="531">
        <f>IF($A10="","",$G10/VLOOKUP($I10,Ref!$B$23:$D$29,2,0))</f>
        <v>6</v>
      </c>
      <c r="R10" s="530">
        <f t="shared" si="23"/>
        <v>2600000</v>
      </c>
      <c r="S10" s="532">
        <f t="shared" si="2"/>
        <v>433333.33333333331</v>
      </c>
      <c r="T10" s="531">
        <f t="shared" si="41"/>
        <v>434000</v>
      </c>
      <c r="U10" s="533">
        <f t="shared" si="24"/>
        <v>2604000</v>
      </c>
      <c r="V10" s="531">
        <f t="shared" si="25"/>
        <v>333333.33333333331</v>
      </c>
      <c r="W10" s="531">
        <f t="shared" si="26"/>
        <v>100666.66666666669</v>
      </c>
      <c r="X10" s="534">
        <f t="shared" si="27"/>
        <v>604000.00000000012</v>
      </c>
      <c r="Y10" s="535">
        <f>IF($A10="","",IF($I10="weekly",$A10+7,EDATE($A10,VLOOKUP($I10,Ref!$B$24:$C$29,2,0))))</f>
        <v>44367</v>
      </c>
      <c r="Z10" s="536" t="str">
        <f t="shared" si="28"/>
        <v>Sun</v>
      </c>
      <c r="AA10" s="531">
        <f t="shared" si="29"/>
        <v>31</v>
      </c>
      <c r="AB10" s="535">
        <f t="shared" si="8"/>
        <v>44520</v>
      </c>
      <c r="AC10" s="537">
        <f t="shared" si="9"/>
        <v>184</v>
      </c>
      <c r="AD10" s="538" t="str">
        <f t="shared" ca="1" si="10"/>
        <v>Expired</v>
      </c>
      <c r="AE10" s="537">
        <f t="shared" ca="1" si="11"/>
        <v>0</v>
      </c>
      <c r="AF10" s="539">
        <f t="shared" ca="1" si="30"/>
        <v>6</v>
      </c>
      <c r="AG10" s="531">
        <f t="shared" ca="1" si="31"/>
        <v>2604000</v>
      </c>
      <c r="AH10" s="531">
        <f t="shared" ca="1" si="32"/>
        <v>604000.00000000012</v>
      </c>
      <c r="AI10" s="531">
        <f t="shared" ca="1" si="33"/>
        <v>2000000</v>
      </c>
      <c r="AJ10" s="531">
        <f t="shared" ca="1" si="34"/>
        <v>0</v>
      </c>
      <c r="AK10" s="540">
        <f>SUMIFS('Live Collections'!$S:$S,'Live Collections'!$D:$D,Disbursements!B10,'Live Collections'!$G:$G,Disbursements!C10)</f>
        <v>604000.00000000012</v>
      </c>
      <c r="AL10" s="540">
        <f>SUMIFS('Live Collections'!$T:$T,'Live Collections'!$D:$D,Disbursements!B10,'Live Collections'!$G:$G,Disbursements!C10)</f>
        <v>2000000</v>
      </c>
      <c r="AM10" s="541">
        <f t="shared" si="35"/>
        <v>2604000</v>
      </c>
      <c r="AN10" s="542">
        <f t="shared" si="36"/>
        <v>0</v>
      </c>
      <c r="AO10" s="542">
        <f t="shared" si="37"/>
        <v>0</v>
      </c>
      <c r="AP10" s="543">
        <f t="shared" si="38"/>
        <v>0</v>
      </c>
      <c r="AQ10" s="544" t="str">
        <f t="shared" ca="1" si="39"/>
        <v/>
      </c>
      <c r="AR10" s="545">
        <f t="shared" ca="1" si="40"/>
        <v>0</v>
      </c>
      <c r="AS10" s="545">
        <f ca="1">IFERROR(CEILING($AR10*VLOOKUP($I10,Ref!$B$23:$E$29,4,0),1),0)</f>
        <v>0</v>
      </c>
      <c r="AT10" s="545" t="str">
        <f>IF(A10="","",IF(AP10&lt;=1,"Cleared",IF(AS10=0,"Clean",VLOOKUP($AS10,Ref!$G$23:$H$28,2))))</f>
        <v>Cleared</v>
      </c>
      <c r="AU10" s="546" t="str">
        <f t="shared" si="42"/>
        <v>Ok</v>
      </c>
    </row>
    <row r="11" spans="1:47" ht="15" customHeight="1" x14ac:dyDescent="0.15">
      <c r="A11" s="553">
        <v>44336</v>
      </c>
      <c r="B11" s="523">
        <v>17</v>
      </c>
      <c r="C11" s="523">
        <v>7</v>
      </c>
      <c r="D11" s="523">
        <v>1</v>
      </c>
      <c r="E11" s="523" t="s">
        <v>1274</v>
      </c>
      <c r="F11" s="554">
        <v>1500000</v>
      </c>
      <c r="G11" s="524">
        <v>6</v>
      </c>
      <c r="H11" s="555">
        <v>0.05</v>
      </c>
      <c r="I11" s="560" t="s">
        <v>859</v>
      </c>
      <c r="J11" s="557" t="s">
        <v>864</v>
      </c>
      <c r="K11" s="528" t="str">
        <f>IFERROR(VLOOKUP($B11,'Clients-Live'!$A:$C,3,0),"")</f>
        <v>MAMBU BAYI</v>
      </c>
      <c r="L11" s="528">
        <f>IF(E11="STL",Pricing!$D$38,IF(A11="",0,IF(A11&lt;Pricing!$C$25,Pricing!$D$25,VLOOKUP(Disbursements!$F11,Pricing!$B$29:$D$32,3))))</f>
        <v>10000</v>
      </c>
      <c r="M11" s="528">
        <f>IF(E11="STL",0,IF(F11&gt;0,Pricing!$D$21,0))</f>
        <v>5000</v>
      </c>
      <c r="N11" s="529">
        <f>IF(E11="STL",F11*Pricing!$D$40,IF(A11&lt;=Pricing!$C$4,0,IF(AND(A11&gt;Pricing!$C$4,Disbursements!A11&lt;=Pricing!$C$5),F11*Pricing!$E$5,IF(AND(A11&gt;Pricing!$C$5,Disbursements!A11&lt;=Pricing!$C$7),VLOOKUP(F11,Pricing!$D$7:$E$8,2)*Disbursements!F11,F11*Pricing!$E$9))))</f>
        <v>0</v>
      </c>
      <c r="O11" s="528">
        <f>IF(E11="STL",0,IF($F11&gt;0,$F11*Pricing!$D$17,0))</f>
        <v>150000</v>
      </c>
      <c r="P11" s="530">
        <f t="shared" si="22"/>
        <v>450000</v>
      </c>
      <c r="Q11" s="531">
        <f>IF($A11="","",$G11/VLOOKUP($I11,Ref!$B$23:$D$29,2,0))</f>
        <v>6</v>
      </c>
      <c r="R11" s="530">
        <f t="shared" si="23"/>
        <v>1950000</v>
      </c>
      <c r="S11" s="532">
        <f t="shared" si="2"/>
        <v>325000</v>
      </c>
      <c r="T11" s="531">
        <f t="shared" si="41"/>
        <v>325000</v>
      </c>
      <c r="U11" s="533">
        <f t="shared" si="24"/>
        <v>1950000</v>
      </c>
      <c r="V11" s="531">
        <f t="shared" si="25"/>
        <v>250000</v>
      </c>
      <c r="W11" s="531">
        <f t="shared" si="26"/>
        <v>75000</v>
      </c>
      <c r="X11" s="534">
        <f t="shared" si="27"/>
        <v>450000</v>
      </c>
      <c r="Y11" s="535">
        <f>IF($A11="","",IF($I11="weekly",$A11+7,EDATE($A11,VLOOKUP($I11,Ref!$B$24:$C$29,2,0))))</f>
        <v>44367</v>
      </c>
      <c r="Z11" s="536" t="str">
        <f t="shared" si="28"/>
        <v>Sun</v>
      </c>
      <c r="AA11" s="531">
        <f t="shared" si="29"/>
        <v>31</v>
      </c>
      <c r="AB11" s="535">
        <f t="shared" si="8"/>
        <v>44520</v>
      </c>
      <c r="AC11" s="537">
        <f t="shared" si="9"/>
        <v>184</v>
      </c>
      <c r="AD11" s="538" t="str">
        <f t="shared" ca="1" si="10"/>
        <v>Expired</v>
      </c>
      <c r="AE11" s="537">
        <f t="shared" ca="1" si="11"/>
        <v>0</v>
      </c>
      <c r="AF11" s="539">
        <f t="shared" ca="1" si="30"/>
        <v>6</v>
      </c>
      <c r="AG11" s="531">
        <f t="shared" ca="1" si="31"/>
        <v>1950000</v>
      </c>
      <c r="AH11" s="531">
        <f t="shared" ca="1" si="32"/>
        <v>450000</v>
      </c>
      <c r="AI11" s="531">
        <f t="shared" ca="1" si="33"/>
        <v>1500000</v>
      </c>
      <c r="AJ11" s="531">
        <f t="shared" ca="1" si="34"/>
        <v>0</v>
      </c>
      <c r="AK11" s="540">
        <f>SUMIFS('Live Collections'!$S:$S,'Live Collections'!$D:$D,Disbursements!B11,'Live Collections'!$G:$G,Disbursements!C11)</f>
        <v>450000</v>
      </c>
      <c r="AL11" s="540">
        <f>SUMIFS('Live Collections'!$T:$T,'Live Collections'!$D:$D,Disbursements!B11,'Live Collections'!$G:$G,Disbursements!C11)</f>
        <v>1500000</v>
      </c>
      <c r="AM11" s="541">
        <f t="shared" si="35"/>
        <v>1950000</v>
      </c>
      <c r="AN11" s="542">
        <f t="shared" si="36"/>
        <v>0</v>
      </c>
      <c r="AO11" s="542">
        <f t="shared" si="37"/>
        <v>0</v>
      </c>
      <c r="AP11" s="543">
        <f t="shared" si="38"/>
        <v>0</v>
      </c>
      <c r="AQ11" s="544" t="str">
        <f t="shared" ca="1" si="39"/>
        <v/>
      </c>
      <c r="AR11" s="545">
        <f t="shared" ca="1" si="40"/>
        <v>0</v>
      </c>
      <c r="AS11" s="545">
        <f ca="1">IFERROR(CEILING($AR11*VLOOKUP($I11,Ref!$B$23:$E$29,4,0),1),0)</f>
        <v>0</v>
      </c>
      <c r="AT11" s="545" t="str">
        <f>IF(A11="","",IF(AP11&lt;=1,"Cleared",IF(AS11=0,"Clean",VLOOKUP($AS11,Ref!$G$23:$H$28,2))))</f>
        <v>Cleared</v>
      </c>
      <c r="AU11" s="546" t="str">
        <f t="shared" si="42"/>
        <v>Ok</v>
      </c>
    </row>
    <row r="12" spans="1:47" ht="15" customHeight="1" x14ac:dyDescent="0.15">
      <c r="A12" s="553">
        <v>44337</v>
      </c>
      <c r="B12" s="523">
        <v>18</v>
      </c>
      <c r="C12" s="523">
        <v>9</v>
      </c>
      <c r="D12" s="523">
        <v>1</v>
      </c>
      <c r="E12" s="523" t="s">
        <v>1274</v>
      </c>
      <c r="F12" s="554">
        <v>2000000</v>
      </c>
      <c r="G12" s="561">
        <v>6</v>
      </c>
      <c r="H12" s="555">
        <v>0.05</v>
      </c>
      <c r="I12" s="560" t="s">
        <v>861</v>
      </c>
      <c r="J12" s="557" t="s">
        <v>864</v>
      </c>
      <c r="K12" s="528" t="str">
        <f>IFERROR(VLOOKUP($B12,'Clients-Live'!$A:$C,3,0),"")</f>
        <v>ARIYE PEACE</v>
      </c>
      <c r="L12" s="528">
        <f>IF(E12="STL",Pricing!$D$38,IF(A12="",0,IF(A12&lt;Pricing!$C$25,Pricing!$D$25,VLOOKUP(Disbursements!$F12,Pricing!$B$29:$D$32,3))))</f>
        <v>10000</v>
      </c>
      <c r="M12" s="528">
        <f>IF(E12="STL",0,IF(F12&gt;0,Pricing!$D$21,0))</f>
        <v>5000</v>
      </c>
      <c r="N12" s="529">
        <f>IF(E12="STL",F12*Pricing!$D$40,IF(A12&lt;=Pricing!$C$4,0,IF(AND(A12&gt;Pricing!$C$4,Disbursements!A12&lt;=Pricing!$C$5),F12*Pricing!$E$5,IF(AND(A12&gt;Pricing!$C$5,Disbursements!A12&lt;=Pricing!$C$7),VLOOKUP(F12,Pricing!$D$7:$E$8,2)*Disbursements!F12,F12*Pricing!$E$9))))</f>
        <v>0</v>
      </c>
      <c r="O12" s="528">
        <f>IF(E12="STL",0,IF($F12&gt;0,$F12*Pricing!$D$17,0))</f>
        <v>200000</v>
      </c>
      <c r="P12" s="530">
        <f t="shared" si="22"/>
        <v>600000</v>
      </c>
      <c r="Q12" s="531">
        <f>IF($A12="","",$G12/VLOOKUP($I12,Ref!$B$23:$D$29,2,0))</f>
        <v>24</v>
      </c>
      <c r="R12" s="530">
        <f t="shared" si="23"/>
        <v>2600000</v>
      </c>
      <c r="S12" s="532">
        <f t="shared" si="2"/>
        <v>108333.33333333333</v>
      </c>
      <c r="T12" s="531">
        <f t="shared" si="41"/>
        <v>109000</v>
      </c>
      <c r="U12" s="533">
        <f t="shared" si="24"/>
        <v>2616000</v>
      </c>
      <c r="V12" s="531">
        <f t="shared" si="25"/>
        <v>83333.333333333328</v>
      </c>
      <c r="W12" s="531">
        <f t="shared" si="26"/>
        <v>25666.666666666672</v>
      </c>
      <c r="X12" s="534">
        <f t="shared" si="27"/>
        <v>616000.00000000012</v>
      </c>
      <c r="Y12" s="535">
        <f>IF($A12="","",IF($I12="weekly",$A12+7,EDATE($A12,VLOOKUP($I12,Ref!$B$24:$C$29,2,0))))</f>
        <v>44344</v>
      </c>
      <c r="Z12" s="536" t="str">
        <f t="shared" si="28"/>
        <v>Frid</v>
      </c>
      <c r="AA12" s="531">
        <f t="shared" si="29"/>
        <v>7</v>
      </c>
      <c r="AB12" s="535">
        <f t="shared" si="8"/>
        <v>44521</v>
      </c>
      <c r="AC12" s="537">
        <f t="shared" si="9"/>
        <v>184</v>
      </c>
      <c r="AD12" s="538" t="str">
        <f t="shared" ca="1" si="10"/>
        <v>Expired</v>
      </c>
      <c r="AE12" s="537">
        <f t="shared" ca="1" si="11"/>
        <v>0</v>
      </c>
      <c r="AF12" s="539">
        <f t="shared" ca="1" si="30"/>
        <v>24</v>
      </c>
      <c r="AG12" s="531">
        <f t="shared" ca="1" si="31"/>
        <v>2616000</v>
      </c>
      <c r="AH12" s="531">
        <f t="shared" ca="1" si="32"/>
        <v>616000.00000000012</v>
      </c>
      <c r="AI12" s="531">
        <f t="shared" ca="1" si="33"/>
        <v>2000000</v>
      </c>
      <c r="AJ12" s="531">
        <f t="shared" ca="1" si="34"/>
        <v>0</v>
      </c>
      <c r="AK12" s="540">
        <f>SUMIFS('Live Collections'!$S:$S,'Live Collections'!$D:$D,Disbursements!B12,'Live Collections'!$G:$G,Disbursements!C12)</f>
        <v>616000.00000000012</v>
      </c>
      <c r="AL12" s="540">
        <f>SUMIFS('Live Collections'!$T:$T,'Live Collections'!$D:$D,Disbursements!B12,'Live Collections'!$G:$G,Disbursements!C12)</f>
        <v>1999799.9999999998</v>
      </c>
      <c r="AM12" s="541">
        <f t="shared" si="35"/>
        <v>2615800</v>
      </c>
      <c r="AN12" s="542">
        <f t="shared" si="36"/>
        <v>0</v>
      </c>
      <c r="AO12" s="542">
        <f t="shared" si="37"/>
        <v>200.00000000023283</v>
      </c>
      <c r="AP12" s="543">
        <f t="shared" si="38"/>
        <v>200.00000000023283</v>
      </c>
      <c r="AQ12" s="544">
        <f t="shared" ca="1" si="39"/>
        <v>200.00000000023283</v>
      </c>
      <c r="AR12" s="545">
        <f t="shared" ca="1" si="40"/>
        <v>1.8348623853232369E-3</v>
      </c>
      <c r="AS12" s="545">
        <f ca="1">IFERROR(CEILING($AR12*VLOOKUP($I12,Ref!$B$23:$E$29,4,0),1),0)</f>
        <v>1</v>
      </c>
      <c r="AT12" s="545" t="str">
        <f ca="1">IF(A12="","",IF(AP12&lt;=1,"Cleared",IF(AS12=0,"Clean",VLOOKUP($AS12,Ref!$G$23:$H$28,2))))</f>
        <v>1.(0-30) Days</v>
      </c>
      <c r="AU12" s="546" t="str">
        <f t="shared" si="42"/>
        <v>Ok</v>
      </c>
    </row>
    <row r="13" spans="1:47" ht="15" customHeight="1" x14ac:dyDescent="0.15">
      <c r="A13" s="553">
        <v>44338</v>
      </c>
      <c r="B13" s="523">
        <v>11</v>
      </c>
      <c r="C13" s="523">
        <v>10</v>
      </c>
      <c r="D13" s="523">
        <v>1</v>
      </c>
      <c r="E13" s="523" t="s">
        <v>1274</v>
      </c>
      <c r="F13" s="554">
        <v>500000</v>
      </c>
      <c r="G13" s="524">
        <v>6</v>
      </c>
      <c r="H13" s="555">
        <v>0.05</v>
      </c>
      <c r="I13" s="560" t="s">
        <v>859</v>
      </c>
      <c r="J13" s="557" t="s">
        <v>862</v>
      </c>
      <c r="K13" s="528" t="str">
        <f>IFERROR(VLOOKUP($B13,'Clients-Live'!$A:$C,3,0),"")</f>
        <v>ARIME JUMA</v>
      </c>
      <c r="L13" s="528">
        <f>IF(E13="STL",Pricing!$D$38,IF(A13="",0,IF(A13&lt;Pricing!$C$25,Pricing!$D$25,VLOOKUP(Disbursements!$F13,Pricing!$B$29:$D$32,3))))</f>
        <v>10000</v>
      </c>
      <c r="M13" s="528">
        <f>IF(E13="STL",0,IF(F13&gt;0,Pricing!$D$21,0))</f>
        <v>5000</v>
      </c>
      <c r="N13" s="529">
        <f>IF(E13="STL",F13*Pricing!$D$40,IF(A13&lt;=Pricing!$C$4,0,IF(AND(A13&gt;Pricing!$C$4,Disbursements!A13&lt;=Pricing!$C$5),F13*Pricing!$E$5,IF(AND(A13&gt;Pricing!$C$5,Disbursements!A13&lt;=Pricing!$C$7),VLOOKUP(F13,Pricing!$D$7:$E$8,2)*Disbursements!F13,F13*Pricing!$E$9))))</f>
        <v>0</v>
      </c>
      <c r="O13" s="528">
        <f>IF(E13="STL",0,IF($F13&gt;0,$F13*Pricing!$D$17,0))</f>
        <v>50000</v>
      </c>
      <c r="P13" s="530">
        <f t="shared" si="22"/>
        <v>150000</v>
      </c>
      <c r="Q13" s="531">
        <f>IF($A13="","",$G13/VLOOKUP($I13,Ref!$B$23:$D$29,2,0))</f>
        <v>6</v>
      </c>
      <c r="R13" s="530">
        <f t="shared" si="23"/>
        <v>650000</v>
      </c>
      <c r="S13" s="532">
        <f t="shared" si="2"/>
        <v>108333.33333333333</v>
      </c>
      <c r="T13" s="531">
        <f t="shared" si="41"/>
        <v>109000</v>
      </c>
      <c r="U13" s="533">
        <f t="shared" si="24"/>
        <v>654000</v>
      </c>
      <c r="V13" s="531">
        <f t="shared" si="25"/>
        <v>83333.333333333328</v>
      </c>
      <c r="W13" s="531">
        <f t="shared" si="26"/>
        <v>25666.666666666672</v>
      </c>
      <c r="X13" s="534">
        <f t="shared" si="27"/>
        <v>154000.00000000003</v>
      </c>
      <c r="Y13" s="535">
        <f>IF($A13="","",IF($I13="weekly",$A13+7,EDATE($A13,VLOOKUP($I13,Ref!$B$24:$C$29,2,0))))</f>
        <v>44369</v>
      </c>
      <c r="Z13" s="536" t="str">
        <f t="shared" si="28"/>
        <v>Tue</v>
      </c>
      <c r="AA13" s="531">
        <f t="shared" si="29"/>
        <v>31</v>
      </c>
      <c r="AB13" s="535">
        <f t="shared" si="8"/>
        <v>44522</v>
      </c>
      <c r="AC13" s="537">
        <f t="shared" si="9"/>
        <v>184</v>
      </c>
      <c r="AD13" s="538" t="str">
        <f t="shared" ca="1" si="10"/>
        <v>Expired</v>
      </c>
      <c r="AE13" s="537">
        <f t="shared" ca="1" si="11"/>
        <v>0</v>
      </c>
      <c r="AF13" s="539">
        <f t="shared" ca="1" si="30"/>
        <v>6</v>
      </c>
      <c r="AG13" s="531">
        <f t="shared" ca="1" si="31"/>
        <v>654000</v>
      </c>
      <c r="AH13" s="531">
        <f t="shared" ca="1" si="32"/>
        <v>154000.00000000003</v>
      </c>
      <c r="AI13" s="531">
        <f t="shared" ca="1" si="33"/>
        <v>500000</v>
      </c>
      <c r="AJ13" s="531">
        <f t="shared" ca="1" si="34"/>
        <v>0</v>
      </c>
      <c r="AK13" s="540">
        <f>SUMIFS('Live Collections'!$S:$S,'Live Collections'!$D:$D,Disbursements!B13,'Live Collections'!$G:$G,Disbursements!C13)</f>
        <v>153333.33333333334</v>
      </c>
      <c r="AL13" s="540">
        <f>SUMIFS('Live Collections'!$T:$T,'Live Collections'!$D:$D,Disbursements!B13,'Live Collections'!$G:$G,Disbursements!C13)</f>
        <v>496666.66666666663</v>
      </c>
      <c r="AM13" s="541">
        <f t="shared" si="35"/>
        <v>650000</v>
      </c>
      <c r="AN13" s="542">
        <f t="shared" si="36"/>
        <v>666.66666666668607</v>
      </c>
      <c r="AO13" s="542">
        <f t="shared" si="37"/>
        <v>3333.3333333333721</v>
      </c>
      <c r="AP13" s="543">
        <f t="shared" si="38"/>
        <v>4000.0000000000582</v>
      </c>
      <c r="AQ13" s="544">
        <f t="shared" ca="1" si="39"/>
        <v>4000.0000000000582</v>
      </c>
      <c r="AR13" s="545">
        <f t="shared" ca="1" si="40"/>
        <v>3.6697247706422555E-2</v>
      </c>
      <c r="AS13" s="545">
        <f ca="1">IFERROR(CEILING($AR13*VLOOKUP($I13,Ref!$B$23:$E$29,4,0),1),0)</f>
        <v>2</v>
      </c>
      <c r="AT13" s="545" t="str">
        <f ca="1">IF(A13="","",IF(AP13&lt;=1,"Cleared",IF(AS13=0,"Clean",VLOOKUP($AS13,Ref!$G$23:$H$28,2))))</f>
        <v>1.(0-30) Days</v>
      </c>
      <c r="AU13" s="546" t="str">
        <f t="shared" si="42"/>
        <v>Ok</v>
      </c>
    </row>
    <row r="14" spans="1:47" ht="15" customHeight="1" x14ac:dyDescent="0.15">
      <c r="A14" s="553">
        <v>44340</v>
      </c>
      <c r="B14" s="523">
        <v>20</v>
      </c>
      <c r="C14" s="523">
        <v>11</v>
      </c>
      <c r="D14" s="523">
        <v>1</v>
      </c>
      <c r="E14" s="523" t="s">
        <v>1274</v>
      </c>
      <c r="F14" s="554">
        <v>600000</v>
      </c>
      <c r="G14" s="524">
        <v>4</v>
      </c>
      <c r="H14" s="555">
        <v>0.05</v>
      </c>
      <c r="I14" s="560" t="s">
        <v>859</v>
      </c>
      <c r="J14" s="557" t="s">
        <v>863</v>
      </c>
      <c r="K14" s="528" t="str">
        <f>IFERROR(VLOOKUP($B14,'Clients-Live'!$A:$C,3,0),"")</f>
        <v>ANDEZO KEVIN</v>
      </c>
      <c r="L14" s="528">
        <f>IF(E14="STL",Pricing!$D$38,IF(A14="",0,IF(A14&lt;Pricing!$C$25,Pricing!$D$25,VLOOKUP(Disbursements!$F14,Pricing!$B$29:$D$32,3))))</f>
        <v>10000</v>
      </c>
      <c r="M14" s="528">
        <f>IF(E14="STL",0,IF(F14&gt;0,Pricing!$D$21,0))</f>
        <v>5000</v>
      </c>
      <c r="N14" s="529">
        <f>IF(E14="STL",F14*Pricing!$D$40,IF(A14&lt;=Pricing!$C$4,0,IF(AND(A14&gt;Pricing!$C$4,Disbursements!A14&lt;=Pricing!$C$5),F14*Pricing!$E$5,IF(AND(A14&gt;Pricing!$C$5,Disbursements!A14&lt;=Pricing!$C$7),VLOOKUP(F14,Pricing!$D$7:$E$8,2)*Disbursements!F14,F14*Pricing!$E$9))))</f>
        <v>0</v>
      </c>
      <c r="O14" s="528">
        <f>IF(E14="STL",0,IF($F14&gt;0,$F14*Pricing!$D$17,0))</f>
        <v>60000</v>
      </c>
      <c r="P14" s="530">
        <f t="shared" si="22"/>
        <v>120000</v>
      </c>
      <c r="Q14" s="531">
        <f>IF($A14="","",$G14/VLOOKUP($I14,Ref!$B$23:$D$29,2,0))</f>
        <v>4</v>
      </c>
      <c r="R14" s="530">
        <f t="shared" si="23"/>
        <v>720000</v>
      </c>
      <c r="S14" s="532">
        <f t="shared" si="2"/>
        <v>180000</v>
      </c>
      <c r="T14" s="531">
        <f t="shared" si="41"/>
        <v>180000</v>
      </c>
      <c r="U14" s="533">
        <f t="shared" si="24"/>
        <v>720000</v>
      </c>
      <c r="V14" s="531">
        <f t="shared" si="25"/>
        <v>150000</v>
      </c>
      <c r="W14" s="531">
        <f t="shared" si="26"/>
        <v>30000</v>
      </c>
      <c r="X14" s="534">
        <f t="shared" si="27"/>
        <v>120000</v>
      </c>
      <c r="Y14" s="535">
        <f>IF($A14="","",IF($I14="weekly",$A14+7,EDATE($A14,VLOOKUP($I14,Ref!$B$24:$C$29,2,0))))</f>
        <v>44371</v>
      </c>
      <c r="Z14" s="536" t="str">
        <f t="shared" si="28"/>
        <v>Thu</v>
      </c>
      <c r="AA14" s="531">
        <f t="shared" si="29"/>
        <v>31</v>
      </c>
      <c r="AB14" s="535">
        <f t="shared" si="8"/>
        <v>44463</v>
      </c>
      <c r="AC14" s="537">
        <f t="shared" si="9"/>
        <v>123</v>
      </c>
      <c r="AD14" s="538" t="str">
        <f t="shared" ca="1" si="10"/>
        <v>Expired</v>
      </c>
      <c r="AE14" s="537">
        <f t="shared" ca="1" si="11"/>
        <v>0</v>
      </c>
      <c r="AF14" s="539">
        <f t="shared" ca="1" si="30"/>
        <v>4</v>
      </c>
      <c r="AG14" s="531">
        <f t="shared" ca="1" si="31"/>
        <v>720000</v>
      </c>
      <c r="AH14" s="531">
        <f t="shared" ca="1" si="32"/>
        <v>120000</v>
      </c>
      <c r="AI14" s="531">
        <f t="shared" ca="1" si="33"/>
        <v>600000</v>
      </c>
      <c r="AJ14" s="531">
        <f t="shared" ca="1" si="34"/>
        <v>0</v>
      </c>
      <c r="AK14" s="540">
        <f>SUMIFS('Live Collections'!$S:$S,'Live Collections'!$D:$D,Disbursements!B14,'Live Collections'!$G:$G,Disbursements!C14)</f>
        <v>120000</v>
      </c>
      <c r="AL14" s="540">
        <f>SUMIFS('Live Collections'!$T:$T,'Live Collections'!$D:$D,Disbursements!B14,'Live Collections'!$G:$G,Disbursements!C14)</f>
        <v>600000</v>
      </c>
      <c r="AM14" s="541">
        <f t="shared" si="35"/>
        <v>720000</v>
      </c>
      <c r="AN14" s="542">
        <f t="shared" si="36"/>
        <v>0</v>
      </c>
      <c r="AO14" s="542">
        <f t="shared" si="37"/>
        <v>0</v>
      </c>
      <c r="AP14" s="543">
        <f t="shared" si="38"/>
        <v>0</v>
      </c>
      <c r="AQ14" s="544" t="str">
        <f t="shared" ca="1" si="39"/>
        <v/>
      </c>
      <c r="AR14" s="545">
        <f t="shared" ca="1" si="40"/>
        <v>0</v>
      </c>
      <c r="AS14" s="545">
        <f ca="1">IFERROR(CEILING($AR14*VLOOKUP($I14,Ref!$B$23:$E$29,4,0),1),0)</f>
        <v>0</v>
      </c>
      <c r="AT14" s="545" t="str">
        <f>IF(A14="","",IF(AP14&lt;=1,"Cleared",IF(AS14=0,"Clean",VLOOKUP($AS14,Ref!$G$23:$H$28,2))))</f>
        <v>Cleared</v>
      </c>
      <c r="AU14" s="546" t="str">
        <f t="shared" si="42"/>
        <v>Ok</v>
      </c>
    </row>
    <row r="15" spans="1:47" ht="15" customHeight="1" x14ac:dyDescent="0.15">
      <c r="A15" s="553">
        <v>44341</v>
      </c>
      <c r="B15" s="523">
        <v>19</v>
      </c>
      <c r="C15" s="523">
        <v>12</v>
      </c>
      <c r="D15" s="523">
        <v>1</v>
      </c>
      <c r="E15" s="523" t="s">
        <v>1274</v>
      </c>
      <c r="F15" s="554">
        <v>400000</v>
      </c>
      <c r="G15" s="524">
        <v>4</v>
      </c>
      <c r="H15" s="555">
        <v>0.05</v>
      </c>
      <c r="I15" s="560" t="s">
        <v>859</v>
      </c>
      <c r="J15" s="557" t="s">
        <v>863</v>
      </c>
      <c r="K15" s="528" t="str">
        <f>IFERROR(VLOOKUP($B15,'Clients-Live'!$A:$C,3,0),"")</f>
        <v>ANGUPARU MOLLY</v>
      </c>
      <c r="L15" s="528">
        <f>IF(E15="STL",Pricing!$D$38,IF(A15="",0,IF(A15&lt;Pricing!$C$25,Pricing!$D$25,VLOOKUP(Disbursements!$F15,Pricing!$B$29:$D$32,3))))</f>
        <v>10000</v>
      </c>
      <c r="M15" s="528">
        <f>IF(E15="STL",0,IF(F15&gt;0,Pricing!$D$21,0))</f>
        <v>5000</v>
      </c>
      <c r="N15" s="529">
        <f>IF(E15="STL",F15*Pricing!$D$40,IF(A15&lt;=Pricing!$C$4,0,IF(AND(A15&gt;Pricing!$C$4,Disbursements!A15&lt;=Pricing!$C$5),F15*Pricing!$E$5,IF(AND(A15&gt;Pricing!$C$5,Disbursements!A15&lt;=Pricing!$C$7),VLOOKUP(F15,Pricing!$D$7:$E$8,2)*Disbursements!F15,F15*Pricing!$E$9))))</f>
        <v>0</v>
      </c>
      <c r="O15" s="528">
        <f>IF(E15="STL",0,IF($F15&gt;0,$F15*Pricing!$D$17,0))</f>
        <v>40000</v>
      </c>
      <c r="P15" s="530">
        <f t="shared" si="22"/>
        <v>80000</v>
      </c>
      <c r="Q15" s="531">
        <f>IF($A15="","",$G15/VLOOKUP($I15,Ref!$B$23:$D$29,2,0))</f>
        <v>4</v>
      </c>
      <c r="R15" s="530">
        <f t="shared" si="23"/>
        <v>480000</v>
      </c>
      <c r="S15" s="532">
        <f t="shared" si="2"/>
        <v>120000</v>
      </c>
      <c r="T15" s="531">
        <f t="shared" si="41"/>
        <v>120000</v>
      </c>
      <c r="U15" s="533">
        <f t="shared" si="24"/>
        <v>480000</v>
      </c>
      <c r="V15" s="531">
        <f t="shared" si="25"/>
        <v>100000</v>
      </c>
      <c r="W15" s="531">
        <f t="shared" si="26"/>
        <v>20000</v>
      </c>
      <c r="X15" s="534">
        <f t="shared" si="27"/>
        <v>80000</v>
      </c>
      <c r="Y15" s="535">
        <f>IF($A15="","",IF($I15="weekly",$A15+7,EDATE($A15,VLOOKUP($I15,Ref!$B$24:$C$29,2,0))))</f>
        <v>44372</v>
      </c>
      <c r="Z15" s="536" t="str">
        <f t="shared" si="28"/>
        <v>Frid</v>
      </c>
      <c r="AA15" s="531">
        <f t="shared" si="29"/>
        <v>31</v>
      </c>
      <c r="AB15" s="535">
        <f t="shared" si="8"/>
        <v>44464</v>
      </c>
      <c r="AC15" s="537">
        <f t="shared" si="9"/>
        <v>123</v>
      </c>
      <c r="AD15" s="538" t="str">
        <f t="shared" ca="1" si="10"/>
        <v>Expired</v>
      </c>
      <c r="AE15" s="537">
        <f t="shared" ca="1" si="11"/>
        <v>0</v>
      </c>
      <c r="AF15" s="539">
        <f t="shared" ca="1" si="30"/>
        <v>4</v>
      </c>
      <c r="AG15" s="531">
        <f t="shared" ca="1" si="31"/>
        <v>480000</v>
      </c>
      <c r="AH15" s="531">
        <f t="shared" ca="1" si="32"/>
        <v>80000</v>
      </c>
      <c r="AI15" s="531">
        <f t="shared" ca="1" si="33"/>
        <v>400000</v>
      </c>
      <c r="AJ15" s="531">
        <f t="shared" ca="1" si="34"/>
        <v>0</v>
      </c>
      <c r="AK15" s="540">
        <f>SUMIFS('Live Collections'!$S:$S,'Live Collections'!$D:$D,Disbursements!B15,'Live Collections'!$G:$G,Disbursements!C15)</f>
        <v>80000</v>
      </c>
      <c r="AL15" s="540">
        <f>SUMIFS('Live Collections'!$T:$T,'Live Collections'!$D:$D,Disbursements!B15,'Live Collections'!$G:$G,Disbursements!C15)</f>
        <v>400000</v>
      </c>
      <c r="AM15" s="541">
        <f t="shared" si="35"/>
        <v>480000</v>
      </c>
      <c r="AN15" s="542">
        <f t="shared" si="36"/>
        <v>0</v>
      </c>
      <c r="AO15" s="542">
        <f t="shared" si="37"/>
        <v>0</v>
      </c>
      <c r="AP15" s="543">
        <f t="shared" si="38"/>
        <v>0</v>
      </c>
      <c r="AQ15" s="544" t="str">
        <f t="shared" ca="1" si="39"/>
        <v/>
      </c>
      <c r="AR15" s="545">
        <f t="shared" ca="1" si="40"/>
        <v>0</v>
      </c>
      <c r="AS15" s="545">
        <f ca="1">IFERROR(CEILING($AR15*VLOOKUP($I15,Ref!$B$23:$E$29,4,0),1),0)</f>
        <v>0</v>
      </c>
      <c r="AT15" s="545" t="str">
        <f>IF(A15="","",IF(AP15&lt;=1,"Cleared",IF(AS15=0,"Clean",VLOOKUP($AS15,Ref!$G$23:$H$28,2))))</f>
        <v>Cleared</v>
      </c>
      <c r="AU15" s="546" t="str">
        <f t="shared" si="42"/>
        <v>Ok</v>
      </c>
    </row>
    <row r="16" spans="1:47" ht="15" customHeight="1" x14ac:dyDescent="0.15">
      <c r="A16" s="553">
        <v>44341</v>
      </c>
      <c r="B16" s="523">
        <v>22</v>
      </c>
      <c r="C16" s="523">
        <v>13</v>
      </c>
      <c r="D16" s="523">
        <v>1</v>
      </c>
      <c r="E16" s="523" t="s">
        <v>1274</v>
      </c>
      <c r="F16" s="554">
        <v>1000000</v>
      </c>
      <c r="G16" s="524">
        <v>6</v>
      </c>
      <c r="H16" s="555">
        <v>0.05</v>
      </c>
      <c r="I16" s="560" t="s">
        <v>859</v>
      </c>
      <c r="J16" s="557" t="s">
        <v>862</v>
      </c>
      <c r="K16" s="528" t="str">
        <f>IFERROR(VLOOKUP($B16,'Clients-Live'!$A:$C,3,0),"")</f>
        <v>DATA ISMAIL FATARI</v>
      </c>
      <c r="L16" s="528">
        <f>IF(E16="STL",Pricing!$D$38,IF(A16="",0,IF(A16&lt;Pricing!$C$25,Pricing!$D$25,VLOOKUP(Disbursements!$F16,Pricing!$B$29:$D$32,3))))</f>
        <v>10000</v>
      </c>
      <c r="M16" s="528">
        <f>IF(E16="STL",0,IF(F16&gt;0,Pricing!$D$21,0))</f>
        <v>5000</v>
      </c>
      <c r="N16" s="529">
        <f>IF(E16="STL",F16*Pricing!$D$40,IF(A16&lt;=Pricing!$C$4,0,IF(AND(A16&gt;Pricing!$C$4,Disbursements!A16&lt;=Pricing!$C$5),F16*Pricing!$E$5,IF(AND(A16&gt;Pricing!$C$5,Disbursements!A16&lt;=Pricing!$C$7),VLOOKUP(F16,Pricing!$D$7:$E$8,2)*Disbursements!F16,F16*Pricing!$E$9))))</f>
        <v>0</v>
      </c>
      <c r="O16" s="528">
        <f>IF(E16="STL",0,IF($F16&gt;0,$F16*Pricing!$D$17,0))</f>
        <v>100000</v>
      </c>
      <c r="P16" s="530">
        <f t="shared" si="22"/>
        <v>300000</v>
      </c>
      <c r="Q16" s="531">
        <f>IF($A16="","",$G16/VLOOKUP($I16,Ref!$B$23:$D$29,2,0))</f>
        <v>6</v>
      </c>
      <c r="R16" s="530">
        <f t="shared" si="23"/>
        <v>1300000</v>
      </c>
      <c r="S16" s="532">
        <f t="shared" si="2"/>
        <v>216666.66666666666</v>
      </c>
      <c r="T16" s="531">
        <f t="shared" si="41"/>
        <v>217000</v>
      </c>
      <c r="U16" s="533">
        <f t="shared" si="24"/>
        <v>1302000</v>
      </c>
      <c r="V16" s="531">
        <f t="shared" si="25"/>
        <v>166666.66666666666</v>
      </c>
      <c r="W16" s="531">
        <f t="shared" si="26"/>
        <v>50333.333333333343</v>
      </c>
      <c r="X16" s="534">
        <f t="shared" si="27"/>
        <v>302000.00000000006</v>
      </c>
      <c r="Y16" s="535">
        <f>IF($A16="","",IF($I16="weekly",$A16+7,EDATE($A16,VLOOKUP($I16,Ref!$B$24:$C$29,2,0))))</f>
        <v>44372</v>
      </c>
      <c r="Z16" s="536" t="str">
        <f t="shared" si="28"/>
        <v>Frid</v>
      </c>
      <c r="AA16" s="531">
        <f t="shared" si="29"/>
        <v>31</v>
      </c>
      <c r="AB16" s="535">
        <f t="shared" si="8"/>
        <v>44525</v>
      </c>
      <c r="AC16" s="537">
        <f t="shared" si="9"/>
        <v>184</v>
      </c>
      <c r="AD16" s="538" t="str">
        <f t="shared" ca="1" si="10"/>
        <v>Expired</v>
      </c>
      <c r="AE16" s="537">
        <f t="shared" ca="1" si="11"/>
        <v>0</v>
      </c>
      <c r="AF16" s="539">
        <f t="shared" ca="1" si="30"/>
        <v>6</v>
      </c>
      <c r="AG16" s="531">
        <f t="shared" ca="1" si="31"/>
        <v>1302000</v>
      </c>
      <c r="AH16" s="531">
        <f t="shared" ca="1" si="32"/>
        <v>302000.00000000006</v>
      </c>
      <c r="AI16" s="531">
        <f t="shared" ca="1" si="33"/>
        <v>1000000</v>
      </c>
      <c r="AJ16" s="531">
        <f t="shared" ca="1" si="34"/>
        <v>0</v>
      </c>
      <c r="AK16" s="540">
        <f>SUMIFS('Live Collections'!$S:$S,'Live Collections'!$D:$D,Disbursements!B16,'Live Collections'!$G:$G,Disbursements!C16)</f>
        <v>302000.00000000006</v>
      </c>
      <c r="AL16" s="540">
        <f>SUMIFS('Live Collections'!$T:$T,'Live Collections'!$D:$D,Disbursements!B16,'Live Collections'!$G:$G,Disbursements!C16)</f>
        <v>1000000</v>
      </c>
      <c r="AM16" s="541">
        <f t="shared" si="35"/>
        <v>1302000</v>
      </c>
      <c r="AN16" s="542">
        <f t="shared" si="36"/>
        <v>0</v>
      </c>
      <c r="AO16" s="542">
        <f t="shared" si="37"/>
        <v>0</v>
      </c>
      <c r="AP16" s="543">
        <f t="shared" si="38"/>
        <v>0</v>
      </c>
      <c r="AQ16" s="544" t="str">
        <f t="shared" ca="1" si="39"/>
        <v/>
      </c>
      <c r="AR16" s="545">
        <f t="shared" ca="1" si="40"/>
        <v>0</v>
      </c>
      <c r="AS16" s="545">
        <f ca="1">IFERROR(CEILING($AR16*VLOOKUP($I16,Ref!$B$23:$E$29,4,0),1),0)</f>
        <v>0</v>
      </c>
      <c r="AT16" s="545" t="str">
        <f>IF(A16="","",IF(AP16&lt;=1,"Cleared",IF(AS16=0,"Clean",VLOOKUP($AS16,Ref!$G$23:$H$28,2))))</f>
        <v>Cleared</v>
      </c>
      <c r="AU16" s="546" t="str">
        <f t="shared" si="42"/>
        <v>Ok</v>
      </c>
    </row>
    <row r="17" spans="1:47" ht="15" customHeight="1" x14ac:dyDescent="0.15">
      <c r="A17" s="553">
        <v>44341</v>
      </c>
      <c r="B17" s="523">
        <v>23</v>
      </c>
      <c r="C17" s="523">
        <v>14</v>
      </c>
      <c r="D17" s="523">
        <v>1</v>
      </c>
      <c r="E17" s="523" t="s">
        <v>1274</v>
      </c>
      <c r="F17" s="554">
        <v>600000</v>
      </c>
      <c r="G17" s="561">
        <f>24/4</f>
        <v>6</v>
      </c>
      <c r="H17" s="555">
        <v>0.05</v>
      </c>
      <c r="I17" s="560" t="s">
        <v>861</v>
      </c>
      <c r="J17" s="557" t="s">
        <v>864</v>
      </c>
      <c r="K17" s="528" t="str">
        <f>IFERROR(VLOOKUP($B17,'Clients-Live'!$A:$C,3,0),"")</f>
        <v>BADARU KEVIN ATELIONGA</v>
      </c>
      <c r="L17" s="528">
        <f>IF(E17="STL",Pricing!$D$38,IF(A17="",0,IF(A17&lt;Pricing!$C$25,Pricing!$D$25,VLOOKUP(Disbursements!$F17,Pricing!$B$29:$D$32,3))))</f>
        <v>10000</v>
      </c>
      <c r="M17" s="528">
        <f>IF(E17="STL",0,IF(F17&gt;0,Pricing!$D$21,0))</f>
        <v>5000</v>
      </c>
      <c r="N17" s="529">
        <f>IF(E17="STL",F17*Pricing!$D$40,IF(A17&lt;=Pricing!$C$4,0,IF(AND(A17&gt;Pricing!$C$4,Disbursements!A17&lt;=Pricing!$C$5),F17*Pricing!$E$5,IF(AND(A17&gt;Pricing!$C$5,Disbursements!A17&lt;=Pricing!$C$7),VLOOKUP(F17,Pricing!$D$7:$E$8,2)*Disbursements!F17,F17*Pricing!$E$9))))</f>
        <v>0</v>
      </c>
      <c r="O17" s="528">
        <f>IF(E17="STL",0,IF($F17&gt;0,$F17*Pricing!$D$17,0))</f>
        <v>60000</v>
      </c>
      <c r="P17" s="530">
        <f t="shared" si="22"/>
        <v>180000</v>
      </c>
      <c r="Q17" s="531">
        <f>IF($A17="","",$G17/VLOOKUP($I17,Ref!$B$23:$D$29,2,0))</f>
        <v>24</v>
      </c>
      <c r="R17" s="530">
        <f t="shared" si="23"/>
        <v>780000</v>
      </c>
      <c r="S17" s="532">
        <f t="shared" si="2"/>
        <v>32500</v>
      </c>
      <c r="T17" s="531">
        <f t="shared" si="41"/>
        <v>33000</v>
      </c>
      <c r="U17" s="533">
        <f t="shared" si="24"/>
        <v>792000</v>
      </c>
      <c r="V17" s="531">
        <f t="shared" si="25"/>
        <v>25000</v>
      </c>
      <c r="W17" s="531">
        <f t="shared" si="26"/>
        <v>8000</v>
      </c>
      <c r="X17" s="534">
        <f t="shared" si="27"/>
        <v>192000</v>
      </c>
      <c r="Y17" s="535">
        <f>IF($A17="","",IF($I17="weekly",$A17+7,EDATE($A17,VLOOKUP($I17,Ref!$B$24:$C$29,2,0))))</f>
        <v>44348</v>
      </c>
      <c r="Z17" s="536" t="str">
        <f t="shared" si="28"/>
        <v>Tue</v>
      </c>
      <c r="AA17" s="531">
        <f t="shared" si="29"/>
        <v>7</v>
      </c>
      <c r="AB17" s="535">
        <f t="shared" si="8"/>
        <v>44525</v>
      </c>
      <c r="AC17" s="537">
        <f t="shared" si="9"/>
        <v>184</v>
      </c>
      <c r="AD17" s="538" t="str">
        <f t="shared" ca="1" si="10"/>
        <v>Expired</v>
      </c>
      <c r="AE17" s="537">
        <f t="shared" ca="1" si="11"/>
        <v>0</v>
      </c>
      <c r="AF17" s="539">
        <f t="shared" ca="1" si="30"/>
        <v>24</v>
      </c>
      <c r="AG17" s="531">
        <f t="shared" ca="1" si="31"/>
        <v>792000</v>
      </c>
      <c r="AH17" s="531">
        <f t="shared" ca="1" si="32"/>
        <v>192000</v>
      </c>
      <c r="AI17" s="531">
        <f t="shared" ca="1" si="33"/>
        <v>600000</v>
      </c>
      <c r="AJ17" s="531">
        <f t="shared" ca="1" si="34"/>
        <v>0</v>
      </c>
      <c r="AK17" s="540">
        <f>SUMIFS('Live Collections'!$S:$S,'Live Collections'!$D:$D,Disbursements!B17,'Live Collections'!$G:$G,Disbursements!C17)</f>
        <v>192000</v>
      </c>
      <c r="AL17" s="540">
        <f>SUMIFS('Live Collections'!$T:$T,'Live Collections'!$D:$D,Disbursements!B17,'Live Collections'!$G:$G,Disbursements!C17)</f>
        <v>600000</v>
      </c>
      <c r="AM17" s="541">
        <f t="shared" si="35"/>
        <v>792000</v>
      </c>
      <c r="AN17" s="542">
        <f t="shared" si="36"/>
        <v>0</v>
      </c>
      <c r="AO17" s="542">
        <f t="shared" si="37"/>
        <v>0</v>
      </c>
      <c r="AP17" s="543">
        <f t="shared" si="38"/>
        <v>0</v>
      </c>
      <c r="AQ17" s="544" t="str">
        <f t="shared" ca="1" si="39"/>
        <v/>
      </c>
      <c r="AR17" s="545">
        <f t="shared" ca="1" si="40"/>
        <v>0</v>
      </c>
      <c r="AS17" s="545">
        <f ca="1">IFERROR(CEILING($AR17*VLOOKUP($I17,Ref!$B$23:$E$29,4,0),1),0)</f>
        <v>0</v>
      </c>
      <c r="AT17" s="545" t="str">
        <f>IF(A17="","",IF(AP17&lt;=1,"Cleared",IF(AS17=0,"Clean",VLOOKUP($AS17,Ref!$G$23:$H$28,2))))</f>
        <v>Cleared</v>
      </c>
      <c r="AU17" s="546" t="str">
        <f t="shared" si="42"/>
        <v>Ok</v>
      </c>
    </row>
    <row r="18" spans="1:47" ht="15" customHeight="1" x14ac:dyDescent="0.15">
      <c r="A18" s="553">
        <v>44342</v>
      </c>
      <c r="B18" s="523">
        <v>32</v>
      </c>
      <c r="C18" s="523">
        <v>15</v>
      </c>
      <c r="D18" s="523">
        <v>1</v>
      </c>
      <c r="E18" s="523" t="s">
        <v>1274</v>
      </c>
      <c r="F18" s="554">
        <v>500000</v>
      </c>
      <c r="G18" s="524">
        <v>5</v>
      </c>
      <c r="H18" s="555">
        <v>0.05</v>
      </c>
      <c r="I18" s="560" t="s">
        <v>859</v>
      </c>
      <c r="J18" s="557" t="s">
        <v>862</v>
      </c>
      <c r="K18" s="528" t="str">
        <f>IFERROR(VLOOKUP($B18,'Clients-Live'!$A:$C,3,0),"")</f>
        <v>BAKO LINA ESERU</v>
      </c>
      <c r="L18" s="528">
        <f>IF(E18="STL",Pricing!$D$38,IF(A18="",0,IF(A18&lt;Pricing!$C$25,Pricing!$D$25,VLOOKUP(Disbursements!$F18,Pricing!$B$29:$D$32,3))))</f>
        <v>10000</v>
      </c>
      <c r="M18" s="528">
        <f>IF(E18="STL",0,IF(F18&gt;0,Pricing!$D$21,0))</f>
        <v>5000</v>
      </c>
      <c r="N18" s="529">
        <f>IF(E18="STL",F18*Pricing!$D$40,IF(A18&lt;=Pricing!$C$4,0,IF(AND(A18&gt;Pricing!$C$4,Disbursements!A18&lt;=Pricing!$C$5),F18*Pricing!$E$5,IF(AND(A18&gt;Pricing!$C$5,Disbursements!A18&lt;=Pricing!$C$7),VLOOKUP(F18,Pricing!$D$7:$E$8,2)*Disbursements!F18,F18*Pricing!$E$9))))</f>
        <v>0</v>
      </c>
      <c r="O18" s="528">
        <f>IF(E18="STL",0,IF($F18&gt;0,$F18*Pricing!$D$17,0))</f>
        <v>50000</v>
      </c>
      <c r="P18" s="530">
        <f t="shared" si="22"/>
        <v>125000</v>
      </c>
      <c r="Q18" s="531">
        <f>IF($A18="","",$G18/VLOOKUP($I18,Ref!$B$23:$D$29,2,0))</f>
        <v>5</v>
      </c>
      <c r="R18" s="530">
        <f t="shared" si="23"/>
        <v>625000</v>
      </c>
      <c r="S18" s="532">
        <f t="shared" si="2"/>
        <v>125000</v>
      </c>
      <c r="T18" s="531">
        <f t="shared" si="41"/>
        <v>125000</v>
      </c>
      <c r="U18" s="533">
        <f t="shared" si="24"/>
        <v>625000</v>
      </c>
      <c r="V18" s="531">
        <f t="shared" si="25"/>
        <v>100000</v>
      </c>
      <c r="W18" s="531">
        <f t="shared" si="26"/>
        <v>25000</v>
      </c>
      <c r="X18" s="534">
        <f t="shared" si="27"/>
        <v>125000</v>
      </c>
      <c r="Y18" s="535">
        <f>IF($A18="","",IF($I18="weekly",$A18+7,EDATE($A18,VLOOKUP($I18,Ref!$B$24:$C$29,2,0))))</f>
        <v>44373</v>
      </c>
      <c r="Z18" s="536" t="str">
        <f t="shared" si="28"/>
        <v>Sat</v>
      </c>
      <c r="AA18" s="531">
        <f t="shared" si="29"/>
        <v>31</v>
      </c>
      <c r="AB18" s="535">
        <f t="shared" si="8"/>
        <v>44495</v>
      </c>
      <c r="AC18" s="537">
        <f t="shared" si="9"/>
        <v>153</v>
      </c>
      <c r="AD18" s="538" t="str">
        <f t="shared" ca="1" si="10"/>
        <v>Expired</v>
      </c>
      <c r="AE18" s="537">
        <f t="shared" ca="1" si="11"/>
        <v>0</v>
      </c>
      <c r="AF18" s="539">
        <f t="shared" ca="1" si="30"/>
        <v>5</v>
      </c>
      <c r="AG18" s="531">
        <f t="shared" ca="1" si="31"/>
        <v>625000</v>
      </c>
      <c r="AH18" s="531">
        <f t="shared" ca="1" si="32"/>
        <v>125000</v>
      </c>
      <c r="AI18" s="531">
        <f t="shared" ca="1" si="33"/>
        <v>500000</v>
      </c>
      <c r="AJ18" s="531">
        <f t="shared" ca="1" si="34"/>
        <v>0</v>
      </c>
      <c r="AK18" s="540">
        <f>SUMIFS('Live Collections'!$S:$S,'Live Collections'!$D:$D,Disbursements!B18,'Live Collections'!$G:$G,Disbursements!C18)</f>
        <v>125000</v>
      </c>
      <c r="AL18" s="540">
        <f>SUMIFS('Live Collections'!$T:$T,'Live Collections'!$D:$D,Disbursements!B18,'Live Collections'!$G:$G,Disbursements!C18)</f>
        <v>500000</v>
      </c>
      <c r="AM18" s="541">
        <f t="shared" si="35"/>
        <v>625000</v>
      </c>
      <c r="AN18" s="542">
        <f t="shared" si="36"/>
        <v>0</v>
      </c>
      <c r="AO18" s="542">
        <f t="shared" si="37"/>
        <v>0</v>
      </c>
      <c r="AP18" s="543">
        <f t="shared" si="38"/>
        <v>0</v>
      </c>
      <c r="AQ18" s="544" t="str">
        <f t="shared" ca="1" si="39"/>
        <v/>
      </c>
      <c r="AR18" s="545">
        <f t="shared" ca="1" si="40"/>
        <v>0</v>
      </c>
      <c r="AS18" s="545">
        <f ca="1">IFERROR(CEILING($AR18*VLOOKUP($I18,Ref!$B$23:$E$29,4,0),1),0)</f>
        <v>0</v>
      </c>
      <c r="AT18" s="545" t="str">
        <f>IF(A18="","",IF(AP18&lt;=1,"Cleared",IF(AS18=0,"Clean",VLOOKUP($AS18,Ref!$G$23:$H$28,2))))</f>
        <v>Cleared</v>
      </c>
      <c r="AU18" s="546" t="str">
        <f t="shared" si="42"/>
        <v>Ok</v>
      </c>
    </row>
    <row r="19" spans="1:47" ht="15" customHeight="1" x14ac:dyDescent="0.15">
      <c r="A19" s="553">
        <v>44342</v>
      </c>
      <c r="B19" s="523">
        <v>21</v>
      </c>
      <c r="C19" s="523">
        <v>17</v>
      </c>
      <c r="D19" s="523">
        <v>1</v>
      </c>
      <c r="E19" s="523" t="s">
        <v>1274</v>
      </c>
      <c r="F19" s="554">
        <v>300000</v>
      </c>
      <c r="G19" s="524">
        <v>4</v>
      </c>
      <c r="H19" s="555">
        <v>0.05</v>
      </c>
      <c r="I19" s="560" t="s">
        <v>859</v>
      </c>
      <c r="J19" s="557" t="s">
        <v>863</v>
      </c>
      <c r="K19" s="528" t="str">
        <f>IFERROR(VLOOKUP($B19,'Clients-Live'!$A:$C,3,0),"")</f>
        <v>ESABORU EUNICE</v>
      </c>
      <c r="L19" s="528">
        <f>IF(E19="STL",Pricing!$D$38,IF(A19="",0,IF(A19&lt;Pricing!$C$25,Pricing!$D$25,VLOOKUP(Disbursements!$F19,Pricing!$B$29:$D$32,3))))</f>
        <v>10000</v>
      </c>
      <c r="M19" s="528">
        <f>IF(E19="STL",0,IF(F19&gt;0,Pricing!$D$21,0))</f>
        <v>5000</v>
      </c>
      <c r="N19" s="529">
        <f>IF(E19="STL",F19*Pricing!$D$40,IF(A19&lt;=Pricing!$C$4,0,IF(AND(A19&gt;Pricing!$C$4,Disbursements!A19&lt;=Pricing!$C$5),F19*Pricing!$E$5,IF(AND(A19&gt;Pricing!$C$5,Disbursements!A19&lt;=Pricing!$C$7),VLOOKUP(F19,Pricing!$D$7:$E$8,2)*Disbursements!F19,F19*Pricing!$E$9))))</f>
        <v>0</v>
      </c>
      <c r="O19" s="528">
        <f>IF(E19="STL",0,IF($F19&gt;0,$F19*Pricing!$D$17,0))</f>
        <v>30000</v>
      </c>
      <c r="P19" s="530">
        <f t="shared" si="22"/>
        <v>60000</v>
      </c>
      <c r="Q19" s="531">
        <f>IF($A19="","",$G19/VLOOKUP($I19,Ref!$B$23:$D$29,2,0))</f>
        <v>4</v>
      </c>
      <c r="R19" s="530">
        <f t="shared" si="23"/>
        <v>360000</v>
      </c>
      <c r="S19" s="532">
        <f t="shared" si="2"/>
        <v>90000</v>
      </c>
      <c r="T19" s="531">
        <f t="shared" si="41"/>
        <v>90000</v>
      </c>
      <c r="U19" s="533">
        <f t="shared" si="24"/>
        <v>360000</v>
      </c>
      <c r="V19" s="531">
        <f t="shared" si="25"/>
        <v>75000</v>
      </c>
      <c r="W19" s="531">
        <f t="shared" si="26"/>
        <v>15000</v>
      </c>
      <c r="X19" s="534">
        <f t="shared" si="27"/>
        <v>60000</v>
      </c>
      <c r="Y19" s="535">
        <f>IF($A19="","",IF($I19="weekly",$A19+7,EDATE($A19,VLOOKUP($I19,Ref!$B$24:$C$29,2,0))))</f>
        <v>44373</v>
      </c>
      <c r="Z19" s="536" t="str">
        <f t="shared" si="28"/>
        <v>Sat</v>
      </c>
      <c r="AA19" s="531">
        <f t="shared" si="29"/>
        <v>31</v>
      </c>
      <c r="AB19" s="535">
        <f t="shared" si="8"/>
        <v>44465</v>
      </c>
      <c r="AC19" s="537">
        <f t="shared" si="9"/>
        <v>123</v>
      </c>
      <c r="AD19" s="538" t="str">
        <f t="shared" ca="1" si="10"/>
        <v>Expired</v>
      </c>
      <c r="AE19" s="537">
        <f t="shared" ca="1" si="11"/>
        <v>0</v>
      </c>
      <c r="AF19" s="539">
        <f t="shared" ca="1" si="30"/>
        <v>4</v>
      </c>
      <c r="AG19" s="531">
        <f t="shared" ca="1" si="31"/>
        <v>360000</v>
      </c>
      <c r="AH19" s="531">
        <f t="shared" ca="1" si="32"/>
        <v>60000</v>
      </c>
      <c r="AI19" s="531">
        <f t="shared" ca="1" si="33"/>
        <v>300000</v>
      </c>
      <c r="AJ19" s="531">
        <f t="shared" ca="1" si="34"/>
        <v>0</v>
      </c>
      <c r="AK19" s="540">
        <f>SUMIFS('Live Collections'!$S:$S,'Live Collections'!$D:$D,Disbursements!B19,'Live Collections'!$G:$G,Disbursements!C19)</f>
        <v>60000</v>
      </c>
      <c r="AL19" s="540">
        <f>SUMIFS('Live Collections'!$T:$T,'Live Collections'!$D:$D,Disbursements!B19,'Live Collections'!$G:$G,Disbursements!C19)</f>
        <v>300000</v>
      </c>
      <c r="AM19" s="541">
        <f t="shared" si="35"/>
        <v>360000</v>
      </c>
      <c r="AN19" s="542">
        <f t="shared" si="36"/>
        <v>0</v>
      </c>
      <c r="AO19" s="542">
        <f t="shared" si="37"/>
        <v>0</v>
      </c>
      <c r="AP19" s="543">
        <f t="shared" si="38"/>
        <v>0</v>
      </c>
      <c r="AQ19" s="544" t="str">
        <f t="shared" ca="1" si="39"/>
        <v/>
      </c>
      <c r="AR19" s="545">
        <f t="shared" ca="1" si="40"/>
        <v>0</v>
      </c>
      <c r="AS19" s="545">
        <f ca="1">IFERROR(CEILING($AR19*VLOOKUP($I19,Ref!$B$23:$E$29,4,0),1),0)</f>
        <v>0</v>
      </c>
      <c r="AT19" s="545" t="str">
        <f>IF(A19="","",IF(AP19&lt;=1,"Cleared",IF(AS19=0,"Clean",VLOOKUP($AS19,Ref!$G$23:$H$28,2))))</f>
        <v>Cleared</v>
      </c>
      <c r="AU19" s="546" t="str">
        <f t="shared" si="42"/>
        <v>Ok</v>
      </c>
    </row>
    <row r="20" spans="1:47" ht="15" customHeight="1" x14ac:dyDescent="0.15">
      <c r="A20" s="553">
        <v>44342</v>
      </c>
      <c r="B20" s="523">
        <v>30</v>
      </c>
      <c r="C20" s="523">
        <v>18</v>
      </c>
      <c r="D20" s="523">
        <v>1</v>
      </c>
      <c r="E20" s="523" t="s">
        <v>1274</v>
      </c>
      <c r="F20" s="549">
        <v>400000</v>
      </c>
      <c r="G20" s="524">
        <v>4</v>
      </c>
      <c r="H20" s="555">
        <v>0.05</v>
      </c>
      <c r="I20" s="560" t="s">
        <v>859</v>
      </c>
      <c r="J20" s="557" t="s">
        <v>863</v>
      </c>
      <c r="K20" s="528" t="str">
        <f>IFERROR(VLOOKUP($B20,'Clients-Live'!$A:$C,3,0),"")</f>
        <v>SITARAYA PATRICIA IDERU</v>
      </c>
      <c r="L20" s="528">
        <f>IF(E20="STL",Pricing!$D$38,IF(A20="",0,IF(A20&lt;Pricing!$C$25,Pricing!$D$25,VLOOKUP(Disbursements!$F20,Pricing!$B$29:$D$32,3))))</f>
        <v>10000</v>
      </c>
      <c r="M20" s="528">
        <f>IF(E20="STL",0,IF(F20&gt;0,Pricing!$D$21,0))</f>
        <v>5000</v>
      </c>
      <c r="N20" s="529">
        <f>IF(E20="STL",F20*Pricing!$D$40,IF(A20&lt;=Pricing!$C$4,0,IF(AND(A20&gt;Pricing!$C$4,Disbursements!A20&lt;=Pricing!$C$5),F20*Pricing!$E$5,IF(AND(A20&gt;Pricing!$C$5,Disbursements!A20&lt;=Pricing!$C$7),VLOOKUP(F20,Pricing!$D$7:$E$8,2)*Disbursements!F20,F20*Pricing!$E$9))))</f>
        <v>0</v>
      </c>
      <c r="O20" s="528">
        <f>IF(E20="STL",0,IF($F20&gt;0,$F20*Pricing!$D$17,0))</f>
        <v>40000</v>
      </c>
      <c r="P20" s="530">
        <f t="shared" si="22"/>
        <v>80000</v>
      </c>
      <c r="Q20" s="531">
        <f>IF($A20="","",$G20/VLOOKUP($I20,Ref!$B$23:$D$29,2,0))</f>
        <v>4</v>
      </c>
      <c r="R20" s="530">
        <f t="shared" si="23"/>
        <v>480000</v>
      </c>
      <c r="S20" s="532">
        <f t="shared" si="2"/>
        <v>120000</v>
      </c>
      <c r="T20" s="531">
        <f t="shared" si="41"/>
        <v>120000</v>
      </c>
      <c r="U20" s="533">
        <f t="shared" si="24"/>
        <v>480000</v>
      </c>
      <c r="V20" s="531">
        <f t="shared" si="25"/>
        <v>100000</v>
      </c>
      <c r="W20" s="531">
        <f t="shared" si="26"/>
        <v>20000</v>
      </c>
      <c r="X20" s="534">
        <f t="shared" si="27"/>
        <v>80000</v>
      </c>
      <c r="Y20" s="535">
        <f>IF($A20="","",IF($I20="weekly",$A20+7,EDATE($A20,VLOOKUP($I20,Ref!$B$24:$C$29,2,0))))</f>
        <v>44373</v>
      </c>
      <c r="Z20" s="536" t="str">
        <f t="shared" si="28"/>
        <v>Sat</v>
      </c>
      <c r="AA20" s="531">
        <f t="shared" si="29"/>
        <v>31</v>
      </c>
      <c r="AB20" s="535">
        <f t="shared" si="8"/>
        <v>44465</v>
      </c>
      <c r="AC20" s="537">
        <f t="shared" si="9"/>
        <v>123</v>
      </c>
      <c r="AD20" s="538" t="str">
        <f t="shared" ca="1" si="10"/>
        <v>Expired</v>
      </c>
      <c r="AE20" s="537">
        <f t="shared" ca="1" si="11"/>
        <v>0</v>
      </c>
      <c r="AF20" s="539">
        <f t="shared" ca="1" si="30"/>
        <v>4</v>
      </c>
      <c r="AG20" s="531">
        <f t="shared" ca="1" si="31"/>
        <v>480000</v>
      </c>
      <c r="AH20" s="531">
        <f t="shared" ca="1" si="32"/>
        <v>80000</v>
      </c>
      <c r="AI20" s="531">
        <f t="shared" ca="1" si="33"/>
        <v>400000</v>
      </c>
      <c r="AJ20" s="531">
        <f t="shared" ca="1" si="34"/>
        <v>0</v>
      </c>
      <c r="AK20" s="540">
        <f>SUMIFS('Live Collections'!$S:$S,'Live Collections'!$D:$D,Disbursements!B20,'Live Collections'!$G:$G,Disbursements!C20)</f>
        <v>80000</v>
      </c>
      <c r="AL20" s="540">
        <f>SUMIFS('Live Collections'!$T:$T,'Live Collections'!$D:$D,Disbursements!B20,'Live Collections'!$G:$G,Disbursements!C20)</f>
        <v>400000</v>
      </c>
      <c r="AM20" s="541">
        <f t="shared" si="35"/>
        <v>480000</v>
      </c>
      <c r="AN20" s="542">
        <f t="shared" si="36"/>
        <v>0</v>
      </c>
      <c r="AO20" s="542">
        <f t="shared" si="37"/>
        <v>0</v>
      </c>
      <c r="AP20" s="543">
        <f t="shared" si="38"/>
        <v>0</v>
      </c>
      <c r="AQ20" s="544" t="str">
        <f t="shared" ca="1" si="39"/>
        <v/>
      </c>
      <c r="AR20" s="545">
        <f t="shared" ca="1" si="40"/>
        <v>0</v>
      </c>
      <c r="AS20" s="545">
        <f ca="1">IFERROR(CEILING($AR20*VLOOKUP($I20,Ref!$B$23:$E$29,4,0),1),0)</f>
        <v>0</v>
      </c>
      <c r="AT20" s="545" t="str">
        <f>IF(A20="","",IF(AP20&lt;=1,"Cleared",IF(AS20=0,"Clean",VLOOKUP($AS20,Ref!$G$23:$H$28,2))))</f>
        <v>Cleared</v>
      </c>
      <c r="AU20" s="546" t="str">
        <f t="shared" si="42"/>
        <v>Ok</v>
      </c>
    </row>
    <row r="21" spans="1:47" ht="15" customHeight="1" x14ac:dyDescent="0.15">
      <c r="A21" s="553">
        <v>44342</v>
      </c>
      <c r="B21" s="523">
        <v>31</v>
      </c>
      <c r="C21" s="523">
        <v>16</v>
      </c>
      <c r="D21" s="523">
        <v>1</v>
      </c>
      <c r="E21" s="523" t="s">
        <v>1274</v>
      </c>
      <c r="F21" s="554">
        <v>500000</v>
      </c>
      <c r="G21" s="524">
        <v>5</v>
      </c>
      <c r="H21" s="555">
        <v>0.05</v>
      </c>
      <c r="I21" s="560" t="s">
        <v>859</v>
      </c>
      <c r="J21" s="557" t="s">
        <v>864</v>
      </c>
      <c r="K21" s="528" t="str">
        <f>IFERROR(VLOOKUP($B21,'Clients-Live'!$A:$C,3,0),"")</f>
        <v>MUNDURU HARRIET</v>
      </c>
      <c r="L21" s="528">
        <f>IF(E21="STL",Pricing!$D$38,IF(A21="",0,IF(A21&lt;Pricing!$C$25,Pricing!$D$25,VLOOKUP(Disbursements!$F21,Pricing!$B$29:$D$32,3))))</f>
        <v>10000</v>
      </c>
      <c r="M21" s="528">
        <f>IF(E21="STL",0,IF(F21&gt;0,Pricing!$D$21,0))</f>
        <v>5000</v>
      </c>
      <c r="N21" s="529">
        <f>IF(E21="STL",F21*Pricing!$D$40,IF(A21&lt;=Pricing!$C$4,0,IF(AND(A21&gt;Pricing!$C$4,Disbursements!A21&lt;=Pricing!$C$5),F21*Pricing!$E$5,IF(AND(A21&gt;Pricing!$C$5,Disbursements!A21&lt;=Pricing!$C$7),VLOOKUP(F21,Pricing!$D$7:$E$8,2)*Disbursements!F21,F21*Pricing!$E$9))))</f>
        <v>0</v>
      </c>
      <c r="O21" s="528">
        <f>IF(E21="STL",0,IF($F21&gt;0,$F21*Pricing!$D$17,0))</f>
        <v>50000</v>
      </c>
      <c r="P21" s="530">
        <f t="shared" si="22"/>
        <v>125000</v>
      </c>
      <c r="Q21" s="531">
        <f>IF($A21="","",$G21/VLOOKUP($I21,Ref!$B$23:$D$29,2,0))</f>
        <v>5</v>
      </c>
      <c r="R21" s="530">
        <f t="shared" si="23"/>
        <v>625000</v>
      </c>
      <c r="S21" s="532">
        <f t="shared" si="2"/>
        <v>125000</v>
      </c>
      <c r="T21" s="531">
        <f t="shared" si="41"/>
        <v>125000</v>
      </c>
      <c r="U21" s="533">
        <f t="shared" si="24"/>
        <v>625000</v>
      </c>
      <c r="V21" s="531">
        <f t="shared" si="25"/>
        <v>100000</v>
      </c>
      <c r="W21" s="531">
        <f t="shared" si="26"/>
        <v>25000</v>
      </c>
      <c r="X21" s="534">
        <f t="shared" si="27"/>
        <v>125000</v>
      </c>
      <c r="Y21" s="535">
        <f>IF($A21="","",IF($I21="weekly",$A21+7,EDATE($A21,VLOOKUP($I21,Ref!$B$24:$C$29,2,0))))</f>
        <v>44373</v>
      </c>
      <c r="Z21" s="536" t="str">
        <f t="shared" si="28"/>
        <v>Sat</v>
      </c>
      <c r="AA21" s="531">
        <f t="shared" si="29"/>
        <v>31</v>
      </c>
      <c r="AB21" s="535">
        <f t="shared" si="8"/>
        <v>44495</v>
      </c>
      <c r="AC21" s="537">
        <f t="shared" si="9"/>
        <v>153</v>
      </c>
      <c r="AD21" s="538" t="str">
        <f t="shared" ca="1" si="10"/>
        <v>Expired</v>
      </c>
      <c r="AE21" s="537">
        <f t="shared" ca="1" si="11"/>
        <v>0</v>
      </c>
      <c r="AF21" s="539">
        <f t="shared" ca="1" si="30"/>
        <v>5</v>
      </c>
      <c r="AG21" s="531">
        <f t="shared" ca="1" si="31"/>
        <v>625000</v>
      </c>
      <c r="AH21" s="531">
        <f t="shared" ca="1" si="32"/>
        <v>125000</v>
      </c>
      <c r="AI21" s="531">
        <f t="shared" ca="1" si="33"/>
        <v>500000</v>
      </c>
      <c r="AJ21" s="531">
        <f t="shared" ca="1" si="34"/>
        <v>0</v>
      </c>
      <c r="AK21" s="540">
        <f>SUMIFS('Live Collections'!$S:$S,'Live Collections'!$D:$D,Disbursements!B21,'Live Collections'!$G:$G,Disbursements!C21)</f>
        <v>125000</v>
      </c>
      <c r="AL21" s="540">
        <f>SUMIFS('Live Collections'!$T:$T,'Live Collections'!$D:$D,Disbursements!B21,'Live Collections'!$G:$G,Disbursements!C21)</f>
        <v>500000</v>
      </c>
      <c r="AM21" s="541">
        <f t="shared" si="35"/>
        <v>625000</v>
      </c>
      <c r="AN21" s="542">
        <f t="shared" si="36"/>
        <v>0</v>
      </c>
      <c r="AO21" s="542">
        <f t="shared" si="37"/>
        <v>0</v>
      </c>
      <c r="AP21" s="543">
        <f t="shared" si="38"/>
        <v>0</v>
      </c>
      <c r="AQ21" s="544" t="str">
        <f t="shared" ca="1" si="39"/>
        <v/>
      </c>
      <c r="AR21" s="545">
        <f t="shared" ca="1" si="40"/>
        <v>0</v>
      </c>
      <c r="AS21" s="545">
        <f ca="1">IFERROR(CEILING($AR21*VLOOKUP($I21,Ref!$B$23:$E$29,4,0),1),0)</f>
        <v>0</v>
      </c>
      <c r="AT21" s="545" t="str">
        <f>IF(A21="","",IF(AP21&lt;=1,"Cleared",IF(AS21=0,"Clean",VLOOKUP($AS21,Ref!$G$23:$H$28,2))))</f>
        <v>Cleared</v>
      </c>
      <c r="AU21" s="546" t="str">
        <f t="shared" si="42"/>
        <v>Ok</v>
      </c>
    </row>
    <row r="22" spans="1:47" ht="15" customHeight="1" x14ac:dyDescent="0.15">
      <c r="A22" s="553">
        <v>44345</v>
      </c>
      <c r="B22" s="523">
        <v>34</v>
      </c>
      <c r="C22" s="523">
        <v>19</v>
      </c>
      <c r="D22" s="523">
        <v>1</v>
      </c>
      <c r="E22" s="523" t="s">
        <v>1274</v>
      </c>
      <c r="F22" s="549">
        <v>1000000</v>
      </c>
      <c r="G22" s="524">
        <v>3</v>
      </c>
      <c r="H22" s="555">
        <v>0.05</v>
      </c>
      <c r="I22" s="560" t="s">
        <v>859</v>
      </c>
      <c r="J22" s="557" t="s">
        <v>862</v>
      </c>
      <c r="K22" s="528" t="str">
        <f>IFERROR(VLOOKUP($B22,'Clients-Live'!$A:$C,3,0),"")</f>
        <v>APEKURU FLORENCE</v>
      </c>
      <c r="L22" s="528">
        <f>IF(E22="STL",Pricing!$D$38,IF(A22="",0,IF(A22&lt;Pricing!$C$25,Pricing!$D$25,VLOOKUP(Disbursements!$F22,Pricing!$B$29:$D$32,3))))</f>
        <v>10000</v>
      </c>
      <c r="M22" s="528">
        <f>IF(E22="STL",0,IF(F22&gt;0,Pricing!$D$21,0))</f>
        <v>5000</v>
      </c>
      <c r="N22" s="529">
        <f>IF(E22="STL",F22*Pricing!$D$40,IF(A22&lt;=Pricing!$C$4,0,IF(AND(A22&gt;Pricing!$C$4,Disbursements!A22&lt;=Pricing!$C$5),F22*Pricing!$E$5,IF(AND(A22&gt;Pricing!$C$5,Disbursements!A22&lt;=Pricing!$C$7),VLOOKUP(F22,Pricing!$D$7:$E$8,2)*Disbursements!F22,F22*Pricing!$E$9))))</f>
        <v>0</v>
      </c>
      <c r="O22" s="528">
        <f>IF(E22="STL",0,IF($F22&gt;0,$F22*Pricing!$D$17,0))</f>
        <v>100000</v>
      </c>
      <c r="P22" s="530">
        <f t="shared" si="22"/>
        <v>150000</v>
      </c>
      <c r="Q22" s="531">
        <f>IF($A22="","",$G22/VLOOKUP($I22,Ref!$B$23:$D$29,2,0))</f>
        <v>3</v>
      </c>
      <c r="R22" s="530">
        <f t="shared" si="23"/>
        <v>1150000</v>
      </c>
      <c r="S22" s="532">
        <f t="shared" si="2"/>
        <v>383333.33333333331</v>
      </c>
      <c r="T22" s="531">
        <f t="shared" si="41"/>
        <v>384000</v>
      </c>
      <c r="U22" s="533">
        <f t="shared" si="24"/>
        <v>1152000</v>
      </c>
      <c r="V22" s="531">
        <f t="shared" si="25"/>
        <v>333333.33333333331</v>
      </c>
      <c r="W22" s="531">
        <f t="shared" si="26"/>
        <v>50666.666666666686</v>
      </c>
      <c r="X22" s="534">
        <f t="shared" si="27"/>
        <v>152000.00000000006</v>
      </c>
      <c r="Y22" s="535">
        <f>IF($A22="","",IF($I22="weekly",$A22+7,EDATE($A22,VLOOKUP($I22,Ref!$B$24:$C$29,2,0))))</f>
        <v>44376</v>
      </c>
      <c r="Z22" s="536" t="str">
        <f t="shared" si="28"/>
        <v>Tue</v>
      </c>
      <c r="AA22" s="531">
        <f t="shared" si="29"/>
        <v>31</v>
      </c>
      <c r="AB22" s="535">
        <f t="shared" si="8"/>
        <v>44437</v>
      </c>
      <c r="AC22" s="537">
        <f t="shared" si="9"/>
        <v>92</v>
      </c>
      <c r="AD22" s="538" t="str">
        <f t="shared" ca="1" si="10"/>
        <v>Expired</v>
      </c>
      <c r="AE22" s="537">
        <f t="shared" ca="1" si="11"/>
        <v>0</v>
      </c>
      <c r="AF22" s="539">
        <f t="shared" ca="1" si="30"/>
        <v>3</v>
      </c>
      <c r="AG22" s="531">
        <f t="shared" ca="1" si="31"/>
        <v>1152000</v>
      </c>
      <c r="AH22" s="531">
        <f t="shared" ca="1" si="32"/>
        <v>152000.00000000006</v>
      </c>
      <c r="AI22" s="531">
        <f t="shared" ca="1" si="33"/>
        <v>1000000</v>
      </c>
      <c r="AJ22" s="531">
        <f t="shared" ca="1" si="34"/>
        <v>0</v>
      </c>
      <c r="AK22" s="540">
        <f>SUMIFS('Live Collections'!$S:$S,'Live Collections'!$D:$D,Disbursements!B22,'Live Collections'!$G:$G,Disbursements!C22)</f>
        <v>152000.00000000006</v>
      </c>
      <c r="AL22" s="540">
        <f>SUMIFS('Live Collections'!$T:$T,'Live Collections'!$D:$D,Disbursements!B22,'Live Collections'!$G:$G,Disbursements!C22)</f>
        <v>1000000</v>
      </c>
      <c r="AM22" s="541">
        <f t="shared" si="35"/>
        <v>1152000</v>
      </c>
      <c r="AN22" s="542">
        <f t="shared" si="36"/>
        <v>0</v>
      </c>
      <c r="AO22" s="542">
        <f t="shared" si="37"/>
        <v>0</v>
      </c>
      <c r="AP22" s="543">
        <f t="shared" si="38"/>
        <v>0</v>
      </c>
      <c r="AQ22" s="544" t="str">
        <f t="shared" ca="1" si="39"/>
        <v/>
      </c>
      <c r="AR22" s="545">
        <f t="shared" ca="1" si="40"/>
        <v>0</v>
      </c>
      <c r="AS22" s="545">
        <f ca="1">IFERROR(CEILING($AR22*VLOOKUP($I22,Ref!$B$23:$E$29,4,0),1),0)</f>
        <v>0</v>
      </c>
      <c r="AT22" s="545" t="str">
        <f>IF(A22="","",IF(AP22&lt;=1,"Cleared",IF(AS22=0,"Clean",VLOOKUP($AS22,Ref!$G$23:$H$28,2))))</f>
        <v>Cleared</v>
      </c>
      <c r="AU22" s="546" t="str">
        <f t="shared" si="42"/>
        <v>Ok</v>
      </c>
    </row>
    <row r="23" spans="1:47" ht="15" customHeight="1" x14ac:dyDescent="0.15">
      <c r="A23" s="553">
        <v>44347</v>
      </c>
      <c r="B23" s="523">
        <v>35</v>
      </c>
      <c r="C23" s="523">
        <v>20</v>
      </c>
      <c r="D23" s="523">
        <v>1</v>
      </c>
      <c r="E23" s="523" t="s">
        <v>1274</v>
      </c>
      <c r="F23" s="549">
        <v>500000</v>
      </c>
      <c r="G23" s="524">
        <v>4</v>
      </c>
      <c r="H23" s="555">
        <v>0.05</v>
      </c>
      <c r="I23" s="560" t="s">
        <v>859</v>
      </c>
      <c r="J23" s="557" t="s">
        <v>864</v>
      </c>
      <c r="K23" s="528" t="str">
        <f>IFERROR(VLOOKUP($B23,'Clients-Live'!$A:$C,3,0),"")</f>
        <v>ALEZUYO DOCUS</v>
      </c>
      <c r="L23" s="528">
        <f>IF(E23="STL",Pricing!$D$38,IF(A23="",0,IF(A23&lt;Pricing!$C$25,Pricing!$D$25,VLOOKUP(Disbursements!$F23,Pricing!$B$29:$D$32,3))))</f>
        <v>10000</v>
      </c>
      <c r="M23" s="528">
        <f>IF(E23="STL",0,IF(F23&gt;0,Pricing!$D$21,0))</f>
        <v>5000</v>
      </c>
      <c r="N23" s="529">
        <f>IF(E23="STL",F23*Pricing!$D$40,IF(A23&lt;=Pricing!$C$4,0,IF(AND(A23&gt;Pricing!$C$4,Disbursements!A23&lt;=Pricing!$C$5),F23*Pricing!$E$5,IF(AND(A23&gt;Pricing!$C$5,Disbursements!A23&lt;=Pricing!$C$7),VLOOKUP(F23,Pricing!$D$7:$E$8,2)*Disbursements!F23,F23*Pricing!$E$9))))</f>
        <v>0</v>
      </c>
      <c r="O23" s="528">
        <f>IF(E23="STL",0,IF($F23&gt;0,$F23*Pricing!$D$17,0))</f>
        <v>50000</v>
      </c>
      <c r="P23" s="530">
        <f t="shared" si="22"/>
        <v>100000</v>
      </c>
      <c r="Q23" s="531">
        <f>IF($A23="","",$G23/VLOOKUP($I23,Ref!$B$23:$D$29,2,0))</f>
        <v>4</v>
      </c>
      <c r="R23" s="530">
        <f t="shared" si="23"/>
        <v>600000</v>
      </c>
      <c r="S23" s="532">
        <f t="shared" si="2"/>
        <v>150000</v>
      </c>
      <c r="T23" s="531">
        <f t="shared" si="41"/>
        <v>150000</v>
      </c>
      <c r="U23" s="533">
        <f t="shared" si="24"/>
        <v>600000</v>
      </c>
      <c r="V23" s="531">
        <f t="shared" si="25"/>
        <v>125000</v>
      </c>
      <c r="W23" s="531">
        <f t="shared" si="26"/>
        <v>25000</v>
      </c>
      <c r="X23" s="534">
        <f t="shared" si="27"/>
        <v>100000</v>
      </c>
      <c r="Y23" s="535">
        <f>IF($A23="","",IF($I23="weekly",$A23+7,EDATE($A23,VLOOKUP($I23,Ref!$B$24:$C$29,2,0))))</f>
        <v>44377</v>
      </c>
      <c r="Z23" s="536" t="str">
        <f t="shared" si="28"/>
        <v>Wed</v>
      </c>
      <c r="AA23" s="531">
        <f t="shared" si="29"/>
        <v>30</v>
      </c>
      <c r="AB23" s="535">
        <f t="shared" si="8"/>
        <v>44469</v>
      </c>
      <c r="AC23" s="537">
        <f t="shared" si="9"/>
        <v>122</v>
      </c>
      <c r="AD23" s="538" t="str">
        <f t="shared" ca="1" si="10"/>
        <v>Expired</v>
      </c>
      <c r="AE23" s="537">
        <f t="shared" ca="1" si="11"/>
        <v>0</v>
      </c>
      <c r="AF23" s="539">
        <f t="shared" ca="1" si="30"/>
        <v>4</v>
      </c>
      <c r="AG23" s="531">
        <f t="shared" ca="1" si="31"/>
        <v>600000</v>
      </c>
      <c r="AH23" s="531">
        <f t="shared" ca="1" si="32"/>
        <v>100000</v>
      </c>
      <c r="AI23" s="531">
        <f t="shared" ca="1" si="33"/>
        <v>500000</v>
      </c>
      <c r="AJ23" s="531">
        <f t="shared" ca="1" si="34"/>
        <v>0</v>
      </c>
      <c r="AK23" s="540">
        <f>SUMIFS('Live Collections'!$S:$S,'Live Collections'!$D:$D,Disbursements!B23,'Live Collections'!$G:$G,Disbursements!C23)</f>
        <v>100000</v>
      </c>
      <c r="AL23" s="540">
        <f>SUMIFS('Live Collections'!$T:$T,'Live Collections'!$D:$D,Disbursements!B23,'Live Collections'!$G:$G,Disbursements!C23)</f>
        <v>500000</v>
      </c>
      <c r="AM23" s="541">
        <f t="shared" si="35"/>
        <v>600000</v>
      </c>
      <c r="AN23" s="542">
        <f t="shared" si="36"/>
        <v>0</v>
      </c>
      <c r="AO23" s="542">
        <f t="shared" si="37"/>
        <v>0</v>
      </c>
      <c r="AP23" s="543">
        <f t="shared" si="38"/>
        <v>0</v>
      </c>
      <c r="AQ23" s="544" t="str">
        <f t="shared" ca="1" si="39"/>
        <v/>
      </c>
      <c r="AR23" s="545">
        <f t="shared" ca="1" si="40"/>
        <v>0</v>
      </c>
      <c r="AS23" s="545">
        <f ca="1">IFERROR(CEILING($AR23*VLOOKUP($I23,Ref!$B$23:$E$29,4,0),1),0)</f>
        <v>0</v>
      </c>
      <c r="AT23" s="545" t="str">
        <f>IF(A23="","",IF(AP23&lt;=1,"Cleared",IF(AS23=0,"Clean",VLOOKUP($AS23,Ref!$G$23:$H$28,2))))</f>
        <v>Cleared</v>
      </c>
      <c r="AU23" s="546" t="str">
        <f t="shared" si="42"/>
        <v>Ok</v>
      </c>
    </row>
    <row r="24" spans="1:47" ht="15" customHeight="1" x14ac:dyDescent="0.15">
      <c r="A24" s="553">
        <v>44347</v>
      </c>
      <c r="B24" s="523">
        <v>37</v>
      </c>
      <c r="C24" s="523">
        <v>21</v>
      </c>
      <c r="D24" s="523">
        <v>1</v>
      </c>
      <c r="E24" s="523" t="s">
        <v>1277</v>
      </c>
      <c r="F24" s="549">
        <v>1000000</v>
      </c>
      <c r="G24" s="524">
        <v>1</v>
      </c>
      <c r="H24" s="555">
        <v>7.4999999999999997E-2</v>
      </c>
      <c r="I24" s="560" t="s">
        <v>859</v>
      </c>
      <c r="J24" s="557" t="s">
        <v>864</v>
      </c>
      <c r="K24" s="528" t="str">
        <f>IFERROR(VLOOKUP($B24,'Clients-Live'!$A:$C,3,0),"")</f>
        <v>WANDWALI AMISI</v>
      </c>
      <c r="L24" s="528">
        <f>IF(E24="STL",Pricing!$D$38,IF(A24="",0,IF(A24&lt;Pricing!$C$25,Pricing!$D$25,VLOOKUP(Disbursements!$F24,Pricing!$B$29:$D$32,3))))</f>
        <v>10000</v>
      </c>
      <c r="M24" s="528">
        <f>IF(E24="STL",0,IF(F24&gt;0,Pricing!$D$21,0))</f>
        <v>5000</v>
      </c>
      <c r="N24" s="529">
        <f>IF(E24="STL",F24*Pricing!$D$40,IF(A24&lt;=Pricing!$C$4,0,IF(AND(A24&gt;Pricing!$C$4,Disbursements!A24&lt;=Pricing!$C$5),F24*Pricing!$E$5,IF(AND(A24&gt;Pricing!$C$5,Disbursements!A24&lt;=Pricing!$C$7),VLOOKUP(F24,Pricing!$D$7:$E$8,2)*Disbursements!F24,F24*Pricing!$E$9))))</f>
        <v>0</v>
      </c>
      <c r="O24" s="528">
        <f>IF(E24="STL",0,IF($F24&gt;0,$F24*Pricing!$D$17,0))</f>
        <v>100000</v>
      </c>
      <c r="P24" s="530">
        <f t="shared" si="22"/>
        <v>75000</v>
      </c>
      <c r="Q24" s="531">
        <f>IF($A24="","",$G24/VLOOKUP($I24,Ref!$B$23:$D$29,2,0))</f>
        <v>1</v>
      </c>
      <c r="R24" s="530">
        <f t="shared" si="23"/>
        <v>1075000</v>
      </c>
      <c r="S24" s="532">
        <f t="shared" si="2"/>
        <v>1075000</v>
      </c>
      <c r="T24" s="531">
        <f t="shared" si="41"/>
        <v>1075000</v>
      </c>
      <c r="U24" s="533">
        <f t="shared" si="24"/>
        <v>1075000</v>
      </c>
      <c r="V24" s="531">
        <f t="shared" si="25"/>
        <v>1000000</v>
      </c>
      <c r="W24" s="531">
        <f t="shared" si="26"/>
        <v>75000</v>
      </c>
      <c r="X24" s="534">
        <f t="shared" si="27"/>
        <v>75000</v>
      </c>
      <c r="Y24" s="535">
        <f>IF($A24="","",IF($I24="weekly",$A24+7,EDATE($A24,VLOOKUP($I24,Ref!$B$24:$C$29,2,0))))</f>
        <v>44377</v>
      </c>
      <c r="Z24" s="536" t="str">
        <f t="shared" si="28"/>
        <v>Wed</v>
      </c>
      <c r="AA24" s="531">
        <f t="shared" si="29"/>
        <v>30</v>
      </c>
      <c r="AB24" s="535">
        <f t="shared" si="8"/>
        <v>44377</v>
      </c>
      <c r="AC24" s="537">
        <f t="shared" si="9"/>
        <v>30</v>
      </c>
      <c r="AD24" s="538" t="str">
        <f t="shared" ca="1" si="10"/>
        <v>Expired</v>
      </c>
      <c r="AE24" s="537">
        <f t="shared" ca="1" si="11"/>
        <v>0</v>
      </c>
      <c r="AF24" s="539">
        <f t="shared" ca="1" si="30"/>
        <v>1</v>
      </c>
      <c r="AG24" s="531">
        <f t="shared" ca="1" si="31"/>
        <v>1075000</v>
      </c>
      <c r="AH24" s="531">
        <f t="shared" ca="1" si="32"/>
        <v>75000</v>
      </c>
      <c r="AI24" s="531">
        <f t="shared" ca="1" si="33"/>
        <v>1000000</v>
      </c>
      <c r="AJ24" s="531">
        <f t="shared" ca="1" si="34"/>
        <v>0</v>
      </c>
      <c r="AK24" s="540">
        <f>SUMIFS('Live Collections'!$S:$S,'Live Collections'!$D:$D,Disbursements!B24,'Live Collections'!$G:$G,Disbursements!C24)</f>
        <v>75000</v>
      </c>
      <c r="AL24" s="540">
        <f>SUMIFS('Live Collections'!$T:$T,'Live Collections'!$D:$D,Disbursements!B24,'Live Collections'!$G:$G,Disbursements!C24)</f>
        <v>1000000</v>
      </c>
      <c r="AM24" s="541">
        <f t="shared" si="35"/>
        <v>1075000</v>
      </c>
      <c r="AN24" s="542">
        <f t="shared" si="36"/>
        <v>0</v>
      </c>
      <c r="AO24" s="542">
        <f t="shared" si="37"/>
        <v>0</v>
      </c>
      <c r="AP24" s="543">
        <f t="shared" si="38"/>
        <v>0</v>
      </c>
      <c r="AQ24" s="544" t="str">
        <f t="shared" ca="1" si="39"/>
        <v/>
      </c>
      <c r="AR24" s="545">
        <f t="shared" ca="1" si="40"/>
        <v>0</v>
      </c>
      <c r="AS24" s="545">
        <f ca="1">IFERROR(CEILING($AR24*VLOOKUP($I24,Ref!$B$23:$E$29,4,0),1),0)</f>
        <v>0</v>
      </c>
      <c r="AT24" s="545" t="str">
        <f>IF(A24="","",IF(AP24&lt;=1,"Cleared",IF(AS24=0,"Clean",VLOOKUP($AS24,Ref!$G$23:$H$28,2))))</f>
        <v>Cleared</v>
      </c>
      <c r="AU24" s="546" t="str">
        <f t="shared" si="42"/>
        <v>Ok</v>
      </c>
    </row>
    <row r="25" spans="1:47" ht="15" customHeight="1" x14ac:dyDescent="0.15">
      <c r="A25" s="547">
        <v>44348</v>
      </c>
      <c r="B25" s="548">
        <v>38</v>
      </c>
      <c r="C25" s="523">
        <v>22</v>
      </c>
      <c r="D25" s="523">
        <v>1</v>
      </c>
      <c r="E25" s="523" t="s">
        <v>1277</v>
      </c>
      <c r="F25" s="549">
        <v>2000000</v>
      </c>
      <c r="G25" s="524">
        <v>1</v>
      </c>
      <c r="H25" s="550">
        <v>7.4999999999999997E-2</v>
      </c>
      <c r="I25" s="562" t="s">
        <v>859</v>
      </c>
      <c r="J25" s="548" t="s">
        <v>862</v>
      </c>
      <c r="K25" s="528" t="str">
        <f>IFERROR(VLOOKUP($B25,'Clients-Live'!$A:$C,3,0),"")</f>
        <v>ANGUZU CHRIS RONALD</v>
      </c>
      <c r="L25" s="528">
        <f>IF(E25="STL",Pricing!$D$38,IF(A25="",0,IF(A25&lt;Pricing!$C$25,Pricing!$D$25,VLOOKUP(Disbursements!$F25,Pricing!$B$29:$D$32,3))))</f>
        <v>10000</v>
      </c>
      <c r="M25" s="528">
        <f>IF(E25="STL",0,IF(F25&gt;0,Pricing!$D$21,0))</f>
        <v>5000</v>
      </c>
      <c r="N25" s="529">
        <f>IF(E25="STL",F25*Pricing!$D$40,IF(A25&lt;=Pricing!$C$4,0,IF(AND(A25&gt;Pricing!$C$4,Disbursements!A25&lt;=Pricing!$C$5),F25*Pricing!$E$5,IF(AND(A25&gt;Pricing!$C$5,Disbursements!A25&lt;=Pricing!$C$7),VLOOKUP(F25,Pricing!$D$7:$E$8,2)*Disbursements!F25,F25*Pricing!$E$9))))</f>
        <v>0</v>
      </c>
      <c r="O25" s="528">
        <f>IF(E25="STL",0,IF($F25&gt;0,$F25*Pricing!$D$17,0))</f>
        <v>200000</v>
      </c>
      <c r="P25" s="530">
        <f t="shared" si="22"/>
        <v>150000</v>
      </c>
      <c r="Q25" s="531">
        <f>IF($A25="","",$G25/VLOOKUP($I25,Ref!$B$23:$D$29,2,0))</f>
        <v>1</v>
      </c>
      <c r="R25" s="530">
        <f t="shared" si="23"/>
        <v>2150000</v>
      </c>
      <c r="S25" s="532">
        <f t="shared" si="2"/>
        <v>2150000</v>
      </c>
      <c r="T25" s="531">
        <f t="shared" si="41"/>
        <v>2150000</v>
      </c>
      <c r="U25" s="533">
        <f t="shared" si="24"/>
        <v>2150000</v>
      </c>
      <c r="V25" s="531">
        <f t="shared" si="25"/>
        <v>2000000</v>
      </c>
      <c r="W25" s="531">
        <f t="shared" si="26"/>
        <v>150000</v>
      </c>
      <c r="X25" s="534">
        <f t="shared" si="27"/>
        <v>150000</v>
      </c>
      <c r="Y25" s="535">
        <f>IF($A25="","",IF($I25="weekly",$A25+7,EDATE($A25,VLOOKUP($I25,Ref!$B$24:$C$29,2,0))))</f>
        <v>44378</v>
      </c>
      <c r="Z25" s="536" t="str">
        <f t="shared" si="28"/>
        <v>Thu</v>
      </c>
      <c r="AA25" s="531">
        <f t="shared" si="29"/>
        <v>30</v>
      </c>
      <c r="AB25" s="535">
        <f t="shared" si="8"/>
        <v>44378</v>
      </c>
      <c r="AC25" s="537">
        <f t="shared" si="9"/>
        <v>30</v>
      </c>
      <c r="AD25" s="538" t="str">
        <f t="shared" ca="1" si="10"/>
        <v>Expired</v>
      </c>
      <c r="AE25" s="537">
        <f t="shared" ca="1" si="11"/>
        <v>0</v>
      </c>
      <c r="AF25" s="539">
        <f t="shared" ca="1" si="30"/>
        <v>1</v>
      </c>
      <c r="AG25" s="531">
        <f t="shared" ca="1" si="31"/>
        <v>2150000</v>
      </c>
      <c r="AH25" s="531">
        <f t="shared" ca="1" si="32"/>
        <v>150000</v>
      </c>
      <c r="AI25" s="531">
        <f t="shared" ca="1" si="33"/>
        <v>2000000</v>
      </c>
      <c r="AJ25" s="531">
        <f t="shared" ca="1" si="34"/>
        <v>0</v>
      </c>
      <c r="AK25" s="540">
        <f>SUMIFS('Live Collections'!$S:$S,'Live Collections'!$D:$D,Disbursements!B25,'Live Collections'!$G:$G,Disbursements!C25)</f>
        <v>150000</v>
      </c>
      <c r="AL25" s="540">
        <f>SUMIFS('Live Collections'!$T:$T,'Live Collections'!$D:$D,Disbursements!B25,'Live Collections'!$G:$G,Disbursements!C25)</f>
        <v>2000000</v>
      </c>
      <c r="AM25" s="541">
        <f t="shared" si="35"/>
        <v>2150000</v>
      </c>
      <c r="AN25" s="542">
        <f t="shared" si="36"/>
        <v>0</v>
      </c>
      <c r="AO25" s="542">
        <f t="shared" si="37"/>
        <v>0</v>
      </c>
      <c r="AP25" s="543">
        <f t="shared" si="38"/>
        <v>0</v>
      </c>
      <c r="AQ25" s="544" t="str">
        <f t="shared" ca="1" si="39"/>
        <v/>
      </c>
      <c r="AR25" s="545">
        <f t="shared" ca="1" si="40"/>
        <v>0</v>
      </c>
      <c r="AS25" s="545">
        <f ca="1">IFERROR(CEILING($AR25*VLOOKUP($I25,Ref!$B$23:$E$29,4,0),1),0)</f>
        <v>0</v>
      </c>
      <c r="AT25" s="545" t="str">
        <f>IF(A25="","",IF(AP25&lt;=1,"Cleared",IF(AS25=0,"Clean",VLOOKUP($AS25,Ref!$G$23:$H$28,2))))</f>
        <v>Cleared</v>
      </c>
      <c r="AU25" s="546" t="str">
        <f t="shared" si="42"/>
        <v>Ok</v>
      </c>
    </row>
    <row r="26" spans="1:47" ht="15" customHeight="1" x14ac:dyDescent="0.15">
      <c r="A26" s="547">
        <v>44348</v>
      </c>
      <c r="B26" s="523">
        <v>40</v>
      </c>
      <c r="C26" s="523">
        <v>24</v>
      </c>
      <c r="D26" s="523">
        <v>1</v>
      </c>
      <c r="E26" s="523" t="s">
        <v>1274</v>
      </c>
      <c r="F26" s="549">
        <v>500000</v>
      </c>
      <c r="G26" s="524">
        <v>4</v>
      </c>
      <c r="H26" s="555">
        <v>0.05</v>
      </c>
      <c r="I26" s="560" t="s">
        <v>859</v>
      </c>
      <c r="J26" s="523" t="s">
        <v>863</v>
      </c>
      <c r="K26" s="528" t="str">
        <f>IFERROR(VLOOKUP($B26,'Clients-Live'!$A:$C,3,0),"")</f>
        <v>TABU JANE</v>
      </c>
      <c r="L26" s="528">
        <f>IF(E26="STL",Pricing!$D$38,IF(A26="",0,IF(A26&lt;Pricing!$C$25,Pricing!$D$25,VLOOKUP(Disbursements!$F26,Pricing!$B$29:$D$32,3))))</f>
        <v>10000</v>
      </c>
      <c r="M26" s="528">
        <f>IF(E26="STL",0,IF(F26&gt;0,Pricing!$D$21,0))</f>
        <v>5000</v>
      </c>
      <c r="N26" s="529">
        <f>IF(E26="STL",F26*Pricing!$D$40,IF(A26&lt;=Pricing!$C$4,0,IF(AND(A26&gt;Pricing!$C$4,Disbursements!A26&lt;=Pricing!$C$5),F26*Pricing!$E$5,IF(AND(A26&gt;Pricing!$C$5,Disbursements!A26&lt;=Pricing!$C$7),VLOOKUP(F26,Pricing!$D$7:$E$8,2)*Disbursements!F26,F26*Pricing!$E$9))))</f>
        <v>0</v>
      </c>
      <c r="O26" s="528">
        <f>IF(E26="STL",0,IF($F26&gt;0,$F26*Pricing!$D$17,0))</f>
        <v>50000</v>
      </c>
      <c r="P26" s="530">
        <f t="shared" si="22"/>
        <v>100000</v>
      </c>
      <c r="Q26" s="531">
        <f>IF($A26="","",$G26/VLOOKUP($I26,Ref!$B$23:$D$29,2,0))</f>
        <v>4</v>
      </c>
      <c r="R26" s="530">
        <f t="shared" si="23"/>
        <v>600000</v>
      </c>
      <c r="S26" s="532">
        <f t="shared" si="2"/>
        <v>150000</v>
      </c>
      <c r="T26" s="531">
        <f t="shared" si="41"/>
        <v>150000</v>
      </c>
      <c r="U26" s="533">
        <f t="shared" si="24"/>
        <v>600000</v>
      </c>
      <c r="V26" s="531">
        <f t="shared" si="25"/>
        <v>125000</v>
      </c>
      <c r="W26" s="531">
        <f t="shared" si="26"/>
        <v>25000</v>
      </c>
      <c r="X26" s="534">
        <f t="shared" si="27"/>
        <v>100000</v>
      </c>
      <c r="Y26" s="535">
        <f>IF($A26="","",IF($I26="weekly",$A26+7,EDATE($A26,VLOOKUP($I26,Ref!$B$24:$C$29,2,0))))</f>
        <v>44378</v>
      </c>
      <c r="Z26" s="536" t="str">
        <f t="shared" si="28"/>
        <v>Thu</v>
      </c>
      <c r="AA26" s="531">
        <f t="shared" si="29"/>
        <v>30</v>
      </c>
      <c r="AB26" s="535">
        <f t="shared" si="8"/>
        <v>44470</v>
      </c>
      <c r="AC26" s="537">
        <f t="shared" si="9"/>
        <v>122</v>
      </c>
      <c r="AD26" s="538" t="str">
        <f t="shared" ca="1" si="10"/>
        <v>Expired</v>
      </c>
      <c r="AE26" s="537">
        <f t="shared" ca="1" si="11"/>
        <v>0</v>
      </c>
      <c r="AF26" s="539">
        <f t="shared" ca="1" si="30"/>
        <v>4</v>
      </c>
      <c r="AG26" s="531">
        <f t="shared" ca="1" si="31"/>
        <v>600000</v>
      </c>
      <c r="AH26" s="531">
        <f t="shared" ca="1" si="32"/>
        <v>100000</v>
      </c>
      <c r="AI26" s="531">
        <f t="shared" ca="1" si="33"/>
        <v>500000</v>
      </c>
      <c r="AJ26" s="531">
        <f t="shared" ca="1" si="34"/>
        <v>0</v>
      </c>
      <c r="AK26" s="540">
        <f>SUMIFS('Live Collections'!$S:$S,'Live Collections'!$D:$D,Disbursements!B26,'Live Collections'!$G:$G,Disbursements!C26)</f>
        <v>100000</v>
      </c>
      <c r="AL26" s="540">
        <f>SUMIFS('Live Collections'!$T:$T,'Live Collections'!$D:$D,Disbursements!B26,'Live Collections'!$G:$G,Disbursements!C26)</f>
        <v>500000</v>
      </c>
      <c r="AM26" s="541">
        <f t="shared" si="35"/>
        <v>600000</v>
      </c>
      <c r="AN26" s="542">
        <f t="shared" si="36"/>
        <v>0</v>
      </c>
      <c r="AO26" s="542">
        <f t="shared" si="37"/>
        <v>0</v>
      </c>
      <c r="AP26" s="543">
        <f t="shared" si="38"/>
        <v>0</v>
      </c>
      <c r="AQ26" s="544" t="str">
        <f t="shared" ca="1" si="39"/>
        <v/>
      </c>
      <c r="AR26" s="545">
        <f t="shared" ca="1" si="40"/>
        <v>0</v>
      </c>
      <c r="AS26" s="545">
        <f ca="1">IFERROR(CEILING($AR26*VLOOKUP($I26,Ref!$B$23:$E$29,4,0),1),0)</f>
        <v>0</v>
      </c>
      <c r="AT26" s="545" t="str">
        <f>IF(A26="","",IF(AP26&lt;=1,"Cleared",IF(AS26=0,"Clean",VLOOKUP($AS26,Ref!$G$23:$H$28,2))))</f>
        <v>Cleared</v>
      </c>
      <c r="AU26" s="546" t="str">
        <f t="shared" si="42"/>
        <v>Ok</v>
      </c>
    </row>
    <row r="27" spans="1:47" ht="15" customHeight="1" x14ac:dyDescent="0.15">
      <c r="A27" s="547">
        <v>44348</v>
      </c>
      <c r="B27" s="548">
        <v>41</v>
      </c>
      <c r="C27" s="523">
        <v>23</v>
      </c>
      <c r="D27" s="523">
        <v>1</v>
      </c>
      <c r="E27" s="523" t="s">
        <v>1275</v>
      </c>
      <c r="F27" s="549">
        <v>500000</v>
      </c>
      <c r="G27" s="524">
        <v>1</v>
      </c>
      <c r="H27" s="550">
        <v>7.4999999999999997E-2</v>
      </c>
      <c r="I27" s="562" t="s">
        <v>859</v>
      </c>
      <c r="J27" s="548" t="s">
        <v>863</v>
      </c>
      <c r="K27" s="528" t="str">
        <f>IFERROR(VLOOKUP($B27,'Clients-Live'!$A:$C,3,0),"")</f>
        <v>ANGUYO RONALD</v>
      </c>
      <c r="L27" s="528">
        <f>IF(E27="STL",Pricing!$D$38,IF(A27="",0,IF(A27&lt;Pricing!$C$25,Pricing!$D$25,VLOOKUP(Disbursements!$F27,Pricing!$B$29:$D$32,3))))</f>
        <v>10000</v>
      </c>
      <c r="M27" s="528">
        <f>IF(E27="STL",0,IF(F27&gt;0,Pricing!$D$21,0))</f>
        <v>5000</v>
      </c>
      <c r="N27" s="529">
        <f>IF(E27="STL",F27*Pricing!$D$40,IF(A27&lt;=Pricing!$C$4,0,IF(AND(A27&gt;Pricing!$C$4,Disbursements!A27&lt;=Pricing!$C$5),F27*Pricing!$E$5,IF(AND(A27&gt;Pricing!$C$5,Disbursements!A27&lt;=Pricing!$C$7),VLOOKUP(F27,Pricing!$D$7:$E$8,2)*Disbursements!F27,F27*Pricing!$E$9))))</f>
        <v>0</v>
      </c>
      <c r="O27" s="528">
        <f>IF(E27="STL",0,IF($F27&gt;0,$F27*Pricing!$D$17,0))</f>
        <v>50000</v>
      </c>
      <c r="P27" s="530">
        <f t="shared" si="22"/>
        <v>37500</v>
      </c>
      <c r="Q27" s="531">
        <f>IF($A27="","",$G27/VLOOKUP($I27,Ref!$B$23:$D$29,2,0))</f>
        <v>1</v>
      </c>
      <c r="R27" s="530">
        <f t="shared" si="23"/>
        <v>537500</v>
      </c>
      <c r="S27" s="532">
        <f t="shared" si="2"/>
        <v>537500</v>
      </c>
      <c r="T27" s="531">
        <f t="shared" si="41"/>
        <v>538000</v>
      </c>
      <c r="U27" s="533">
        <f t="shared" si="24"/>
        <v>538000</v>
      </c>
      <c r="V27" s="531">
        <f t="shared" si="25"/>
        <v>500000</v>
      </c>
      <c r="W27" s="531">
        <f t="shared" si="26"/>
        <v>38000</v>
      </c>
      <c r="X27" s="534">
        <f t="shared" si="27"/>
        <v>38000</v>
      </c>
      <c r="Y27" s="535">
        <f>IF($A27="","",IF($I27="weekly",$A27+7,EDATE($A27,VLOOKUP($I27,Ref!$B$24:$C$29,2,0))))</f>
        <v>44378</v>
      </c>
      <c r="Z27" s="536" t="str">
        <f t="shared" si="28"/>
        <v>Thu</v>
      </c>
      <c r="AA27" s="531">
        <f t="shared" si="29"/>
        <v>30</v>
      </c>
      <c r="AB27" s="535">
        <f t="shared" si="8"/>
        <v>44378</v>
      </c>
      <c r="AC27" s="537">
        <f t="shared" si="9"/>
        <v>30</v>
      </c>
      <c r="AD27" s="538" t="str">
        <f t="shared" ca="1" si="10"/>
        <v>Expired</v>
      </c>
      <c r="AE27" s="537">
        <f t="shared" ca="1" si="11"/>
        <v>0</v>
      </c>
      <c r="AF27" s="539">
        <f t="shared" ca="1" si="30"/>
        <v>1</v>
      </c>
      <c r="AG27" s="531">
        <f t="shared" ca="1" si="31"/>
        <v>538000</v>
      </c>
      <c r="AH27" s="531">
        <f t="shared" ca="1" si="32"/>
        <v>38000</v>
      </c>
      <c r="AI27" s="531">
        <f t="shared" ca="1" si="33"/>
        <v>500000</v>
      </c>
      <c r="AJ27" s="531">
        <f t="shared" ca="1" si="34"/>
        <v>0</v>
      </c>
      <c r="AK27" s="540">
        <f>SUMIFS('Live Collections'!$S:$S,'Live Collections'!$D:$D,Disbursements!B27,'Live Collections'!$G:$G,Disbursements!C27)</f>
        <v>38000</v>
      </c>
      <c r="AL27" s="540">
        <f>SUMIFS('Live Collections'!$T:$T,'Live Collections'!$D:$D,Disbursements!B27,'Live Collections'!$G:$G,Disbursements!C27)</f>
        <v>500000</v>
      </c>
      <c r="AM27" s="541">
        <f t="shared" si="35"/>
        <v>538000</v>
      </c>
      <c r="AN27" s="542">
        <f t="shared" si="36"/>
        <v>0</v>
      </c>
      <c r="AO27" s="542">
        <f t="shared" si="37"/>
        <v>0</v>
      </c>
      <c r="AP27" s="543">
        <f t="shared" si="38"/>
        <v>0</v>
      </c>
      <c r="AQ27" s="544" t="str">
        <f t="shared" ca="1" si="39"/>
        <v/>
      </c>
      <c r="AR27" s="545">
        <f t="shared" ca="1" si="40"/>
        <v>0</v>
      </c>
      <c r="AS27" s="545">
        <f ca="1">IFERROR(CEILING($AR27*VLOOKUP($I27,Ref!$B$23:$E$29,4,0),1),0)</f>
        <v>0</v>
      </c>
      <c r="AT27" s="545" t="str">
        <f>IF(A27="","",IF(AP27&lt;=1,"Cleared",IF(AS27=0,"Clean",VLOOKUP($AS27,Ref!$G$23:$H$28,2))))</f>
        <v>Cleared</v>
      </c>
      <c r="AU27" s="546" t="str">
        <f t="shared" si="42"/>
        <v>Ok</v>
      </c>
    </row>
    <row r="28" spans="1:47" ht="15" customHeight="1" x14ac:dyDescent="0.15">
      <c r="A28" s="547">
        <v>44349</v>
      </c>
      <c r="B28" s="523">
        <v>42</v>
      </c>
      <c r="C28" s="523">
        <v>27</v>
      </c>
      <c r="D28" s="523">
        <v>1</v>
      </c>
      <c r="E28" s="523" t="s">
        <v>1274</v>
      </c>
      <c r="F28" s="549">
        <v>200000</v>
      </c>
      <c r="G28" s="524">
        <v>2</v>
      </c>
      <c r="H28" s="555">
        <v>0.05</v>
      </c>
      <c r="I28" s="560" t="s">
        <v>859</v>
      </c>
      <c r="J28" s="523" t="s">
        <v>862</v>
      </c>
      <c r="K28" s="528" t="str">
        <f>IFERROR(VLOOKUP($B28,'Clients-Live'!$A:$C,3,0),"")</f>
        <v>ABAU   NOLA</v>
      </c>
      <c r="L28" s="528">
        <f>IF(E28="STL",Pricing!$D$38,IF(A28="",0,IF(A28&lt;Pricing!$C$25,Pricing!$D$25,VLOOKUP(Disbursements!$F28,Pricing!$B$29:$D$32,3))))</f>
        <v>10000</v>
      </c>
      <c r="M28" s="528">
        <f>IF(E28="STL",0,IF(F28&gt;0,Pricing!$D$21,0))</f>
        <v>5000</v>
      </c>
      <c r="N28" s="529">
        <f>IF(E28="STL",F28*Pricing!$D$40,IF(A28&lt;=Pricing!$C$4,0,IF(AND(A28&gt;Pricing!$C$4,Disbursements!A28&lt;=Pricing!$C$5),F28*Pricing!$E$5,IF(AND(A28&gt;Pricing!$C$5,Disbursements!A28&lt;=Pricing!$C$7),VLOOKUP(F28,Pricing!$D$7:$E$8,2)*Disbursements!F28,F28*Pricing!$E$9))))</f>
        <v>0</v>
      </c>
      <c r="O28" s="528">
        <f>IF(E28="STL",0,IF($F28&gt;0,$F28*Pricing!$D$17,0))</f>
        <v>20000</v>
      </c>
      <c r="P28" s="530">
        <f t="shared" si="22"/>
        <v>20000</v>
      </c>
      <c r="Q28" s="531">
        <f>IF($A28="","",$G28/VLOOKUP($I28,Ref!$B$23:$D$29,2,0))</f>
        <v>2</v>
      </c>
      <c r="R28" s="530">
        <f t="shared" si="23"/>
        <v>220000</v>
      </c>
      <c r="S28" s="532">
        <f t="shared" si="2"/>
        <v>110000</v>
      </c>
      <c r="T28" s="531">
        <f t="shared" si="41"/>
        <v>110000</v>
      </c>
      <c r="U28" s="533">
        <f t="shared" si="24"/>
        <v>220000</v>
      </c>
      <c r="V28" s="531">
        <f t="shared" si="25"/>
        <v>100000</v>
      </c>
      <c r="W28" s="531">
        <f t="shared" si="26"/>
        <v>10000</v>
      </c>
      <c r="X28" s="534">
        <f t="shared" si="27"/>
        <v>20000</v>
      </c>
      <c r="Y28" s="535">
        <f>IF($A28="","",IF($I28="weekly",$A28+7,EDATE($A28,VLOOKUP($I28,Ref!$B$24:$C$29,2,0))))</f>
        <v>44379</v>
      </c>
      <c r="Z28" s="536" t="str">
        <f t="shared" si="28"/>
        <v>Frid</v>
      </c>
      <c r="AA28" s="531">
        <f t="shared" si="29"/>
        <v>30</v>
      </c>
      <c r="AB28" s="535">
        <f t="shared" si="8"/>
        <v>44410</v>
      </c>
      <c r="AC28" s="537">
        <f t="shared" si="9"/>
        <v>61</v>
      </c>
      <c r="AD28" s="538" t="str">
        <f t="shared" ca="1" si="10"/>
        <v>Expired</v>
      </c>
      <c r="AE28" s="537">
        <f t="shared" ca="1" si="11"/>
        <v>0</v>
      </c>
      <c r="AF28" s="539">
        <f t="shared" ca="1" si="30"/>
        <v>2</v>
      </c>
      <c r="AG28" s="531">
        <f t="shared" ca="1" si="31"/>
        <v>220000</v>
      </c>
      <c r="AH28" s="531">
        <f t="shared" ca="1" si="32"/>
        <v>20000</v>
      </c>
      <c r="AI28" s="531">
        <f t="shared" ca="1" si="33"/>
        <v>200000</v>
      </c>
      <c r="AJ28" s="531">
        <f t="shared" ca="1" si="34"/>
        <v>0</v>
      </c>
      <c r="AK28" s="540">
        <f>SUMIFS('Live Collections'!$S:$S,'Live Collections'!$D:$D,Disbursements!B28,'Live Collections'!$G:$G,Disbursements!C28)</f>
        <v>20000</v>
      </c>
      <c r="AL28" s="540">
        <f>SUMIFS('Live Collections'!$T:$T,'Live Collections'!$D:$D,Disbursements!B28,'Live Collections'!$G:$G,Disbursements!C28)</f>
        <v>200000</v>
      </c>
      <c r="AM28" s="541">
        <f t="shared" si="35"/>
        <v>220000</v>
      </c>
      <c r="AN28" s="542">
        <f t="shared" si="36"/>
        <v>0</v>
      </c>
      <c r="AO28" s="542">
        <f t="shared" si="37"/>
        <v>0</v>
      </c>
      <c r="AP28" s="543">
        <f t="shared" si="38"/>
        <v>0</v>
      </c>
      <c r="AQ28" s="544" t="str">
        <f t="shared" ca="1" si="39"/>
        <v/>
      </c>
      <c r="AR28" s="545">
        <f t="shared" ca="1" si="40"/>
        <v>0</v>
      </c>
      <c r="AS28" s="545">
        <f ca="1">IFERROR(CEILING($AR28*VLOOKUP($I28,Ref!$B$23:$E$29,4,0),1),0)</f>
        <v>0</v>
      </c>
      <c r="AT28" s="545" t="str">
        <f>IF(A28="","",IF(AP28&lt;=1,"Cleared",IF(AS28=0,"Clean",VLOOKUP($AS28,Ref!$G$23:$H$28,2))))</f>
        <v>Cleared</v>
      </c>
      <c r="AU28" s="546" t="str">
        <f t="shared" si="42"/>
        <v>Ok</v>
      </c>
    </row>
    <row r="29" spans="1:47" ht="15" customHeight="1" x14ac:dyDescent="0.15">
      <c r="A29" s="547">
        <v>44349</v>
      </c>
      <c r="B29" s="523">
        <v>33</v>
      </c>
      <c r="C29" s="523">
        <v>26</v>
      </c>
      <c r="D29" s="523">
        <v>1</v>
      </c>
      <c r="E29" s="523" t="s">
        <v>1274</v>
      </c>
      <c r="F29" s="549">
        <v>2000000</v>
      </c>
      <c r="G29" s="561">
        <v>6</v>
      </c>
      <c r="H29" s="555">
        <v>0.05</v>
      </c>
      <c r="I29" s="560" t="s">
        <v>861</v>
      </c>
      <c r="J29" s="523" t="s">
        <v>864</v>
      </c>
      <c r="K29" s="528" t="str">
        <f>IFERROR(VLOOKUP($B29,'Clients-Live'!$A:$C,3,0),"")</f>
        <v>MUZEE OMAR</v>
      </c>
      <c r="L29" s="528">
        <f>IF(E29="STL",Pricing!$D$38,IF(A29="",0,IF(A29&lt;Pricing!$C$25,Pricing!$D$25,VLOOKUP(Disbursements!$F29,Pricing!$B$29:$D$32,3))))</f>
        <v>10000</v>
      </c>
      <c r="M29" s="528">
        <f>IF(E29="STL",0,IF(F29&gt;0,Pricing!$D$21,0))</f>
        <v>5000</v>
      </c>
      <c r="N29" s="529">
        <f>IF(E29="STL",F29*Pricing!$D$40,IF(A29&lt;=Pricing!$C$4,0,IF(AND(A29&gt;Pricing!$C$4,Disbursements!A29&lt;=Pricing!$C$5),F29*Pricing!$E$5,IF(AND(A29&gt;Pricing!$C$5,Disbursements!A29&lt;=Pricing!$C$7),VLOOKUP(F29,Pricing!$D$7:$E$8,2)*Disbursements!F29,F29*Pricing!$E$9))))</f>
        <v>0</v>
      </c>
      <c r="O29" s="528">
        <f>IF(E29="STL",0,IF($F29&gt;0,$F29*Pricing!$D$17,0))</f>
        <v>200000</v>
      </c>
      <c r="P29" s="530">
        <f t="shared" si="22"/>
        <v>600000</v>
      </c>
      <c r="Q29" s="531">
        <f>IF($A29="","",$G29/VLOOKUP($I29,Ref!$B$23:$D$29,2,0))</f>
        <v>24</v>
      </c>
      <c r="R29" s="530">
        <f t="shared" si="23"/>
        <v>2600000</v>
      </c>
      <c r="S29" s="532">
        <f t="shared" si="2"/>
        <v>108333.33333333333</v>
      </c>
      <c r="T29" s="531">
        <f t="shared" si="41"/>
        <v>109000</v>
      </c>
      <c r="U29" s="533">
        <f t="shared" si="24"/>
        <v>2616000</v>
      </c>
      <c r="V29" s="531">
        <f t="shared" si="25"/>
        <v>83333.333333333328</v>
      </c>
      <c r="W29" s="531">
        <f t="shared" si="26"/>
        <v>25666.666666666672</v>
      </c>
      <c r="X29" s="534">
        <f t="shared" si="27"/>
        <v>616000.00000000012</v>
      </c>
      <c r="Y29" s="535">
        <f>IF($A29="","",IF($I29="weekly",$A29+7,EDATE($A29,VLOOKUP($I29,Ref!$B$24:$C$29,2,0))))</f>
        <v>44356</v>
      </c>
      <c r="Z29" s="536" t="str">
        <f t="shared" si="28"/>
        <v>Wed</v>
      </c>
      <c r="AA29" s="531">
        <f t="shared" si="29"/>
        <v>7</v>
      </c>
      <c r="AB29" s="535">
        <f t="shared" si="8"/>
        <v>44532</v>
      </c>
      <c r="AC29" s="537">
        <f t="shared" si="9"/>
        <v>183</v>
      </c>
      <c r="AD29" s="538" t="str">
        <f t="shared" ca="1" si="10"/>
        <v>Expired</v>
      </c>
      <c r="AE29" s="537">
        <f t="shared" ca="1" si="11"/>
        <v>0</v>
      </c>
      <c r="AF29" s="539">
        <f t="shared" ca="1" si="30"/>
        <v>24</v>
      </c>
      <c r="AG29" s="531">
        <f t="shared" ca="1" si="31"/>
        <v>2616000</v>
      </c>
      <c r="AH29" s="531">
        <f t="shared" ca="1" si="32"/>
        <v>616000.00000000012</v>
      </c>
      <c r="AI29" s="531">
        <f t="shared" ca="1" si="33"/>
        <v>2000000</v>
      </c>
      <c r="AJ29" s="531">
        <f t="shared" ca="1" si="34"/>
        <v>0</v>
      </c>
      <c r="AK29" s="540">
        <f>SUMIFS('Live Collections'!$S:$S,'Live Collections'!$D:$D,Disbursements!B29,'Live Collections'!$G:$G,Disbursements!C29)</f>
        <v>616000.00000000012</v>
      </c>
      <c r="AL29" s="540">
        <f>SUMIFS('Live Collections'!$T:$T,'Live Collections'!$D:$D,Disbursements!B29,'Live Collections'!$G:$G,Disbursements!C29)</f>
        <v>2000000</v>
      </c>
      <c r="AM29" s="541">
        <f t="shared" si="35"/>
        <v>2616000</v>
      </c>
      <c r="AN29" s="542">
        <f t="shared" si="36"/>
        <v>0</v>
      </c>
      <c r="AO29" s="542">
        <f t="shared" si="37"/>
        <v>0</v>
      </c>
      <c r="AP29" s="543">
        <f t="shared" si="38"/>
        <v>0</v>
      </c>
      <c r="AQ29" s="544" t="str">
        <f t="shared" ca="1" si="39"/>
        <v/>
      </c>
      <c r="AR29" s="545">
        <f t="shared" ca="1" si="40"/>
        <v>0</v>
      </c>
      <c r="AS29" s="545">
        <f ca="1">IFERROR(CEILING($AR29*VLOOKUP($I29,Ref!$B$23:$E$29,4,0),1),0)</f>
        <v>0</v>
      </c>
      <c r="AT29" s="545" t="str">
        <f>IF(A29="","",IF(AP29&lt;=1,"Cleared",IF(AS29=0,"Clean",VLOOKUP($AS29,Ref!$G$23:$H$28,2))))</f>
        <v>Cleared</v>
      </c>
      <c r="AU29" s="546" t="str">
        <f t="shared" si="42"/>
        <v>Ok</v>
      </c>
    </row>
    <row r="30" spans="1:47" ht="15" customHeight="1" x14ac:dyDescent="0.15">
      <c r="A30" s="547">
        <v>44349</v>
      </c>
      <c r="B30" s="523">
        <v>45</v>
      </c>
      <c r="C30" s="523">
        <v>25</v>
      </c>
      <c r="D30" s="523">
        <v>1</v>
      </c>
      <c r="E30" s="523" t="s">
        <v>1274</v>
      </c>
      <c r="F30" s="549">
        <v>1100000</v>
      </c>
      <c r="G30" s="524">
        <v>2</v>
      </c>
      <c r="H30" s="555">
        <v>0.05</v>
      </c>
      <c r="I30" s="560" t="s">
        <v>859</v>
      </c>
      <c r="J30" s="523" t="s">
        <v>862</v>
      </c>
      <c r="K30" s="528" t="str">
        <f>IFERROR(VLOOKUP($B30,'Clients-Live'!$A:$C,3,0),"")</f>
        <v>SANYA DONALD</v>
      </c>
      <c r="L30" s="528">
        <f>IF(E30="STL",Pricing!$D$38,IF(A30="",0,IF(A30&lt;Pricing!$C$25,Pricing!$D$25,VLOOKUP(Disbursements!$F30,Pricing!$B$29:$D$32,3))))</f>
        <v>10000</v>
      </c>
      <c r="M30" s="528">
        <f>IF(E30="STL",0,IF(F30&gt;0,Pricing!$D$21,0))</f>
        <v>5000</v>
      </c>
      <c r="N30" s="529">
        <f>IF(E30="STL",F30*Pricing!$D$40,IF(A30&lt;=Pricing!$C$4,0,IF(AND(A30&gt;Pricing!$C$4,Disbursements!A30&lt;=Pricing!$C$5),F30*Pricing!$E$5,IF(AND(A30&gt;Pricing!$C$5,Disbursements!A30&lt;=Pricing!$C$7),VLOOKUP(F30,Pricing!$D$7:$E$8,2)*Disbursements!F30,F30*Pricing!$E$9))))</f>
        <v>0</v>
      </c>
      <c r="O30" s="528">
        <f>IF(E30="STL",0,IF($F30&gt;0,$F30*Pricing!$D$17,0))</f>
        <v>110000</v>
      </c>
      <c r="P30" s="530">
        <f t="shared" si="22"/>
        <v>110000</v>
      </c>
      <c r="Q30" s="531">
        <f>IF($A30="","",$G30/VLOOKUP($I30,Ref!$B$23:$D$29,2,0))</f>
        <v>2</v>
      </c>
      <c r="R30" s="530">
        <f t="shared" si="23"/>
        <v>1210000</v>
      </c>
      <c r="S30" s="532">
        <f t="shared" si="2"/>
        <v>605000</v>
      </c>
      <c r="T30" s="531">
        <f t="shared" si="41"/>
        <v>605000</v>
      </c>
      <c r="U30" s="533">
        <f t="shared" si="24"/>
        <v>1210000</v>
      </c>
      <c r="V30" s="531">
        <f t="shared" si="25"/>
        <v>550000</v>
      </c>
      <c r="W30" s="531">
        <f t="shared" si="26"/>
        <v>55000</v>
      </c>
      <c r="X30" s="534">
        <f t="shared" si="27"/>
        <v>110000</v>
      </c>
      <c r="Y30" s="535">
        <f>IF($A30="","",IF($I30="weekly",$A30+7,EDATE($A30,VLOOKUP($I30,Ref!$B$24:$C$29,2,0))))</f>
        <v>44379</v>
      </c>
      <c r="Z30" s="536" t="str">
        <f t="shared" si="28"/>
        <v>Frid</v>
      </c>
      <c r="AA30" s="531">
        <f t="shared" si="29"/>
        <v>30</v>
      </c>
      <c r="AB30" s="535">
        <f t="shared" si="8"/>
        <v>44410</v>
      </c>
      <c r="AC30" s="537">
        <f t="shared" si="9"/>
        <v>61</v>
      </c>
      <c r="AD30" s="538" t="str">
        <f t="shared" ca="1" si="10"/>
        <v>Expired</v>
      </c>
      <c r="AE30" s="537">
        <f t="shared" ca="1" si="11"/>
        <v>0</v>
      </c>
      <c r="AF30" s="539">
        <f t="shared" ca="1" si="30"/>
        <v>2</v>
      </c>
      <c r="AG30" s="531">
        <f t="shared" ca="1" si="31"/>
        <v>1210000</v>
      </c>
      <c r="AH30" s="531">
        <f t="shared" ca="1" si="32"/>
        <v>110000</v>
      </c>
      <c r="AI30" s="531">
        <f t="shared" ca="1" si="33"/>
        <v>1100000</v>
      </c>
      <c r="AJ30" s="531">
        <f t="shared" ca="1" si="34"/>
        <v>0</v>
      </c>
      <c r="AK30" s="540">
        <f>SUMIFS('Live Collections'!$S:$S,'Live Collections'!$D:$D,Disbursements!B30,'Live Collections'!$G:$G,Disbursements!C30)</f>
        <v>110000</v>
      </c>
      <c r="AL30" s="540">
        <f>SUMIFS('Live Collections'!$T:$T,'Live Collections'!$D:$D,Disbursements!B30,'Live Collections'!$G:$G,Disbursements!C30)</f>
        <v>1100000</v>
      </c>
      <c r="AM30" s="541">
        <f t="shared" si="35"/>
        <v>1210000</v>
      </c>
      <c r="AN30" s="542">
        <f t="shared" si="36"/>
        <v>0</v>
      </c>
      <c r="AO30" s="542">
        <f t="shared" si="37"/>
        <v>0</v>
      </c>
      <c r="AP30" s="543">
        <f t="shared" si="38"/>
        <v>0</v>
      </c>
      <c r="AQ30" s="544" t="str">
        <f t="shared" ca="1" si="39"/>
        <v/>
      </c>
      <c r="AR30" s="545">
        <f t="shared" ca="1" si="40"/>
        <v>0</v>
      </c>
      <c r="AS30" s="545">
        <f ca="1">IFERROR(CEILING($AR30*VLOOKUP($I30,Ref!$B$23:$E$29,4,0),1),0)</f>
        <v>0</v>
      </c>
      <c r="AT30" s="545" t="str">
        <f>IF(A30="","",IF(AP30&lt;=1,"Cleared",IF(AS30=0,"Clean",VLOOKUP($AS30,Ref!$G$23:$H$28,2))))</f>
        <v>Cleared</v>
      </c>
      <c r="AU30" s="546" t="str">
        <f t="shared" si="42"/>
        <v>Ok</v>
      </c>
    </row>
    <row r="31" spans="1:47" ht="15" customHeight="1" x14ac:dyDescent="0.15">
      <c r="A31" s="547">
        <v>44351</v>
      </c>
      <c r="B31" s="523">
        <v>50</v>
      </c>
      <c r="C31" s="523">
        <v>30</v>
      </c>
      <c r="D31" s="523">
        <v>1</v>
      </c>
      <c r="E31" s="523" t="s">
        <v>1274</v>
      </c>
      <c r="F31" s="549">
        <v>1000000</v>
      </c>
      <c r="G31" s="524">
        <v>3</v>
      </c>
      <c r="H31" s="555">
        <v>0.05</v>
      </c>
      <c r="I31" s="560" t="s">
        <v>859</v>
      </c>
      <c r="J31" s="523" t="s">
        <v>862</v>
      </c>
      <c r="K31" s="528" t="str">
        <f>IFERROR(VLOOKUP($B31,'Clients-Live'!$A:$C,3,0),"")</f>
        <v>WACHEKE HARRIET</v>
      </c>
      <c r="L31" s="528">
        <f>IF(E31="STL",Pricing!$D$38,IF(A31="",0,IF(A31&lt;Pricing!$C$25,Pricing!$D$25,VLOOKUP(Disbursements!$F31,Pricing!$B$29:$D$32,3))))</f>
        <v>10000</v>
      </c>
      <c r="M31" s="528">
        <f>IF(E31="STL",0,IF(F31&gt;0,Pricing!$D$21,0))</f>
        <v>5000</v>
      </c>
      <c r="N31" s="529">
        <f>IF(E31="STL",F31*Pricing!$D$40,IF(A31&lt;=Pricing!$C$4,0,IF(AND(A31&gt;Pricing!$C$4,Disbursements!A31&lt;=Pricing!$C$5),F31*Pricing!$E$5,IF(AND(A31&gt;Pricing!$C$5,Disbursements!A31&lt;=Pricing!$C$7),VLOOKUP(F31,Pricing!$D$7:$E$8,2)*Disbursements!F31,F31*Pricing!$E$9))))</f>
        <v>0</v>
      </c>
      <c r="O31" s="528">
        <f>IF(E31="STL",0,IF($F31&gt;0,$F31*Pricing!$D$17,0))</f>
        <v>100000</v>
      </c>
      <c r="P31" s="530">
        <f t="shared" si="22"/>
        <v>150000</v>
      </c>
      <c r="Q31" s="531">
        <f>IF($A31="","",$G31/VLOOKUP($I31,Ref!$B$23:$D$29,2,0))</f>
        <v>3</v>
      </c>
      <c r="R31" s="530">
        <f t="shared" si="23"/>
        <v>1150000</v>
      </c>
      <c r="S31" s="532">
        <f t="shared" si="2"/>
        <v>383333.33333333331</v>
      </c>
      <c r="T31" s="531">
        <f t="shared" si="41"/>
        <v>384000</v>
      </c>
      <c r="U31" s="533">
        <f t="shared" si="24"/>
        <v>1152000</v>
      </c>
      <c r="V31" s="531">
        <f t="shared" si="25"/>
        <v>333333.33333333331</v>
      </c>
      <c r="W31" s="531">
        <f t="shared" si="26"/>
        <v>50666.666666666686</v>
      </c>
      <c r="X31" s="534">
        <f t="shared" si="27"/>
        <v>152000.00000000006</v>
      </c>
      <c r="Y31" s="535">
        <f>IF($A31="","",IF($I31="weekly",$A31+7,EDATE($A31,VLOOKUP($I31,Ref!$B$24:$C$29,2,0))))</f>
        <v>44381</v>
      </c>
      <c r="Z31" s="536" t="str">
        <f t="shared" si="28"/>
        <v>Sun</v>
      </c>
      <c r="AA31" s="531">
        <f t="shared" si="29"/>
        <v>30</v>
      </c>
      <c r="AB31" s="535">
        <f t="shared" si="8"/>
        <v>44443</v>
      </c>
      <c r="AC31" s="537">
        <f t="shared" si="9"/>
        <v>92</v>
      </c>
      <c r="AD31" s="538" t="str">
        <f t="shared" ca="1" si="10"/>
        <v>Expired</v>
      </c>
      <c r="AE31" s="537">
        <f t="shared" ca="1" si="11"/>
        <v>0</v>
      </c>
      <c r="AF31" s="539">
        <f t="shared" ca="1" si="30"/>
        <v>3</v>
      </c>
      <c r="AG31" s="531">
        <f t="shared" ca="1" si="31"/>
        <v>1152000</v>
      </c>
      <c r="AH31" s="531">
        <f t="shared" ca="1" si="32"/>
        <v>152000.00000000006</v>
      </c>
      <c r="AI31" s="531">
        <f t="shared" ca="1" si="33"/>
        <v>1000000</v>
      </c>
      <c r="AJ31" s="531">
        <f t="shared" ca="1" si="34"/>
        <v>0</v>
      </c>
      <c r="AK31" s="540">
        <f>SUMIFS('Live Collections'!$S:$S,'Live Collections'!$D:$D,Disbursements!B31,'Live Collections'!$G:$G,Disbursements!C31)</f>
        <v>152000.00000000006</v>
      </c>
      <c r="AL31" s="540">
        <f>SUMIFS('Live Collections'!$T:$T,'Live Collections'!$D:$D,Disbursements!B31,'Live Collections'!$G:$G,Disbursements!C31)</f>
        <v>1000000</v>
      </c>
      <c r="AM31" s="541">
        <f t="shared" si="35"/>
        <v>1152000</v>
      </c>
      <c r="AN31" s="542">
        <f t="shared" si="36"/>
        <v>0</v>
      </c>
      <c r="AO31" s="542">
        <f t="shared" si="37"/>
        <v>0</v>
      </c>
      <c r="AP31" s="543">
        <f t="shared" si="38"/>
        <v>0</v>
      </c>
      <c r="AQ31" s="544" t="str">
        <f t="shared" ca="1" si="39"/>
        <v/>
      </c>
      <c r="AR31" s="545">
        <f t="shared" ca="1" si="40"/>
        <v>0</v>
      </c>
      <c r="AS31" s="545">
        <f ca="1">IFERROR(CEILING($AR31*VLOOKUP($I31,Ref!$B$23:$E$29,4,0),1),0)</f>
        <v>0</v>
      </c>
      <c r="AT31" s="545" t="str">
        <f>IF(A31="","",IF(AP31&lt;=1,"Cleared",IF(AS31=0,"Clean",VLOOKUP($AS31,Ref!$G$23:$H$28,2))))</f>
        <v>Cleared</v>
      </c>
      <c r="AU31" s="546" t="str">
        <f t="shared" si="42"/>
        <v>Ok</v>
      </c>
    </row>
    <row r="32" spans="1:47" ht="15" customHeight="1" x14ac:dyDescent="0.15">
      <c r="A32" s="547">
        <v>44351</v>
      </c>
      <c r="B32" s="548">
        <v>43</v>
      </c>
      <c r="C32" s="523">
        <v>28</v>
      </c>
      <c r="D32" s="523">
        <v>1</v>
      </c>
      <c r="E32" s="523" t="s">
        <v>1274</v>
      </c>
      <c r="F32" s="549">
        <v>300000</v>
      </c>
      <c r="G32" s="563">
        <v>4</v>
      </c>
      <c r="H32" s="550">
        <v>0.05</v>
      </c>
      <c r="I32" s="562" t="s">
        <v>859</v>
      </c>
      <c r="J32" s="548" t="s">
        <v>864</v>
      </c>
      <c r="K32" s="528" t="str">
        <f>IFERROR(VLOOKUP($B32,'Clients-Live'!$A:$C,3,0),"")</f>
        <v>APUNIKI LOICE</v>
      </c>
      <c r="L32" s="528">
        <f>IF(E32="STL",Pricing!$D$38,IF(A32="",0,IF(A32&lt;Pricing!$C$25,Pricing!$D$25,VLOOKUP(Disbursements!$F32,Pricing!$B$29:$D$32,3))))</f>
        <v>10000</v>
      </c>
      <c r="M32" s="528">
        <f>IF(E32="STL",0,IF(F32&gt;0,Pricing!$D$21,0))</f>
        <v>5000</v>
      </c>
      <c r="N32" s="529">
        <f>IF(E32="STL",F32*Pricing!$D$40,IF(A32&lt;=Pricing!$C$4,0,IF(AND(A32&gt;Pricing!$C$4,Disbursements!A32&lt;=Pricing!$C$5),F32*Pricing!$E$5,IF(AND(A32&gt;Pricing!$C$5,Disbursements!A32&lt;=Pricing!$C$7),VLOOKUP(F32,Pricing!$D$7:$E$8,2)*Disbursements!F32,F32*Pricing!$E$9))))</f>
        <v>0</v>
      </c>
      <c r="O32" s="528">
        <f>IF(E32="STL",0,IF($F32&gt;0,$F32*Pricing!$D$17,0))</f>
        <v>30000</v>
      </c>
      <c r="P32" s="530">
        <f t="shared" si="22"/>
        <v>60000</v>
      </c>
      <c r="Q32" s="531">
        <f>IF($A32="","",$G32/VLOOKUP($I32,Ref!$B$23:$D$29,2,0))</f>
        <v>4</v>
      </c>
      <c r="R32" s="530">
        <f t="shared" si="23"/>
        <v>360000</v>
      </c>
      <c r="S32" s="532">
        <f t="shared" si="2"/>
        <v>90000</v>
      </c>
      <c r="T32" s="531">
        <f t="shared" si="41"/>
        <v>90000</v>
      </c>
      <c r="U32" s="533">
        <f t="shared" si="24"/>
        <v>360000</v>
      </c>
      <c r="V32" s="531">
        <f t="shared" si="25"/>
        <v>75000</v>
      </c>
      <c r="W32" s="531">
        <f t="shared" si="26"/>
        <v>15000</v>
      </c>
      <c r="X32" s="534">
        <f t="shared" si="27"/>
        <v>60000</v>
      </c>
      <c r="Y32" s="535">
        <f>IF($A32="","",IF($I32="weekly",$A32+7,EDATE($A32,VLOOKUP($I32,Ref!$B$24:$C$29,2,0))))</f>
        <v>44381</v>
      </c>
      <c r="Z32" s="536" t="str">
        <f t="shared" si="28"/>
        <v>Sun</v>
      </c>
      <c r="AA32" s="531">
        <f t="shared" si="29"/>
        <v>30</v>
      </c>
      <c r="AB32" s="535">
        <f t="shared" si="8"/>
        <v>44473</v>
      </c>
      <c r="AC32" s="537">
        <f t="shared" si="9"/>
        <v>122</v>
      </c>
      <c r="AD32" s="538" t="str">
        <f t="shared" ca="1" si="10"/>
        <v>Expired</v>
      </c>
      <c r="AE32" s="537">
        <f t="shared" ca="1" si="11"/>
        <v>0</v>
      </c>
      <c r="AF32" s="539">
        <f t="shared" ca="1" si="30"/>
        <v>4</v>
      </c>
      <c r="AG32" s="531">
        <f t="shared" ca="1" si="31"/>
        <v>360000</v>
      </c>
      <c r="AH32" s="531">
        <f t="shared" ca="1" si="32"/>
        <v>60000</v>
      </c>
      <c r="AI32" s="531">
        <f t="shared" ca="1" si="33"/>
        <v>300000</v>
      </c>
      <c r="AJ32" s="531">
        <f t="shared" ca="1" si="34"/>
        <v>0</v>
      </c>
      <c r="AK32" s="540">
        <f>SUMIFS('Live Collections'!$S:$S,'Live Collections'!$D:$D,Disbursements!B32,'Live Collections'!$G:$G,Disbursements!C32)</f>
        <v>60000</v>
      </c>
      <c r="AL32" s="540">
        <f>SUMIFS('Live Collections'!$T:$T,'Live Collections'!$D:$D,Disbursements!B32,'Live Collections'!$G:$G,Disbursements!C32)</f>
        <v>300000</v>
      </c>
      <c r="AM32" s="541">
        <f t="shared" si="35"/>
        <v>360000</v>
      </c>
      <c r="AN32" s="542">
        <f t="shared" si="36"/>
        <v>0</v>
      </c>
      <c r="AO32" s="542">
        <f t="shared" si="37"/>
        <v>0</v>
      </c>
      <c r="AP32" s="543">
        <f t="shared" si="38"/>
        <v>0</v>
      </c>
      <c r="AQ32" s="544" t="str">
        <f t="shared" ca="1" si="39"/>
        <v/>
      </c>
      <c r="AR32" s="545">
        <f t="shared" ca="1" si="40"/>
        <v>0</v>
      </c>
      <c r="AS32" s="545">
        <f ca="1">IFERROR(CEILING($AR32*VLOOKUP($I32,Ref!$B$23:$E$29,4,0),1),0)</f>
        <v>0</v>
      </c>
      <c r="AT32" s="545" t="str">
        <f>IF(A32="","",IF(AP32&lt;=1,"Cleared",IF(AS32=0,"Clean",VLOOKUP($AS32,Ref!$G$23:$H$28,2))))</f>
        <v>Cleared</v>
      </c>
      <c r="AU32" s="546" t="str">
        <f t="shared" si="42"/>
        <v>Ok</v>
      </c>
    </row>
    <row r="33" spans="1:47" ht="15" customHeight="1" x14ac:dyDescent="0.15">
      <c r="A33" s="547">
        <v>44351</v>
      </c>
      <c r="B33" s="548">
        <v>44</v>
      </c>
      <c r="C33" s="523">
        <v>31</v>
      </c>
      <c r="D33" s="523">
        <v>1</v>
      </c>
      <c r="E33" s="523" t="s">
        <v>1274</v>
      </c>
      <c r="F33" s="549">
        <v>500000</v>
      </c>
      <c r="G33" s="524">
        <v>4</v>
      </c>
      <c r="H33" s="550">
        <v>0.05</v>
      </c>
      <c r="I33" s="562" t="s">
        <v>859</v>
      </c>
      <c r="J33" s="548" t="s">
        <v>863</v>
      </c>
      <c r="K33" s="528" t="str">
        <f>IFERROR(VLOOKUP($B33,'Clients-Live'!$A:$C,3,0),"")</f>
        <v>CANDIRU HELLEN</v>
      </c>
      <c r="L33" s="528">
        <f>IF(E33="STL",Pricing!$D$38,IF(A33="",0,IF(A33&lt;Pricing!$C$25,Pricing!$D$25,VLOOKUP(Disbursements!$F33,Pricing!$B$29:$D$32,3))))</f>
        <v>10000</v>
      </c>
      <c r="M33" s="528">
        <f>IF(E33="STL",0,IF(F33&gt;0,Pricing!$D$21,0))</f>
        <v>5000</v>
      </c>
      <c r="N33" s="529">
        <f>IF(E33="STL",F33*Pricing!$D$40,IF(A33&lt;=Pricing!$C$4,0,IF(AND(A33&gt;Pricing!$C$4,Disbursements!A33&lt;=Pricing!$C$5),F33*Pricing!$E$5,IF(AND(A33&gt;Pricing!$C$5,Disbursements!A33&lt;=Pricing!$C$7),VLOOKUP(F33,Pricing!$D$7:$E$8,2)*Disbursements!F33,F33*Pricing!$E$9))))</f>
        <v>0</v>
      </c>
      <c r="O33" s="528">
        <f>IF(E33="STL",0,IF($F33&gt;0,$F33*Pricing!$D$17,0))</f>
        <v>50000</v>
      </c>
      <c r="P33" s="530">
        <f t="shared" si="22"/>
        <v>100000</v>
      </c>
      <c r="Q33" s="531">
        <f>IF($A33="","",$G33/VLOOKUP($I33,Ref!$B$23:$D$29,2,0))</f>
        <v>4</v>
      </c>
      <c r="R33" s="530">
        <f t="shared" si="23"/>
        <v>600000</v>
      </c>
      <c r="S33" s="532">
        <f t="shared" si="2"/>
        <v>150000</v>
      </c>
      <c r="T33" s="531">
        <f t="shared" si="41"/>
        <v>150000</v>
      </c>
      <c r="U33" s="533">
        <f t="shared" si="24"/>
        <v>600000</v>
      </c>
      <c r="V33" s="531">
        <f t="shared" si="25"/>
        <v>125000</v>
      </c>
      <c r="W33" s="531">
        <f t="shared" si="26"/>
        <v>25000</v>
      </c>
      <c r="X33" s="534">
        <f t="shared" si="27"/>
        <v>100000</v>
      </c>
      <c r="Y33" s="535">
        <f>IF($A33="","",IF($I33="weekly",$A33+7,EDATE($A33,VLOOKUP($I33,Ref!$B$24:$C$29,2,0))))</f>
        <v>44381</v>
      </c>
      <c r="Z33" s="536" t="str">
        <f t="shared" si="28"/>
        <v>Sun</v>
      </c>
      <c r="AA33" s="531">
        <f t="shared" si="29"/>
        <v>30</v>
      </c>
      <c r="AB33" s="535">
        <f t="shared" si="8"/>
        <v>44473</v>
      </c>
      <c r="AC33" s="537">
        <f t="shared" si="9"/>
        <v>122</v>
      </c>
      <c r="AD33" s="538" t="str">
        <f t="shared" ca="1" si="10"/>
        <v>Expired</v>
      </c>
      <c r="AE33" s="537">
        <f t="shared" ca="1" si="11"/>
        <v>0</v>
      </c>
      <c r="AF33" s="539">
        <f t="shared" ca="1" si="30"/>
        <v>4</v>
      </c>
      <c r="AG33" s="531">
        <f t="shared" ca="1" si="31"/>
        <v>600000</v>
      </c>
      <c r="AH33" s="531">
        <f t="shared" ca="1" si="32"/>
        <v>100000</v>
      </c>
      <c r="AI33" s="531">
        <f t="shared" ca="1" si="33"/>
        <v>500000</v>
      </c>
      <c r="AJ33" s="531">
        <f t="shared" ca="1" si="34"/>
        <v>0</v>
      </c>
      <c r="AK33" s="540">
        <f>SUMIFS('Live Collections'!$S:$S,'Live Collections'!$D:$D,Disbursements!B33,'Live Collections'!$G:$G,Disbursements!C33)</f>
        <v>100000</v>
      </c>
      <c r="AL33" s="540">
        <f>SUMIFS('Live Collections'!$T:$T,'Live Collections'!$D:$D,Disbursements!B33,'Live Collections'!$G:$G,Disbursements!C33)</f>
        <v>500000</v>
      </c>
      <c r="AM33" s="541">
        <f t="shared" si="35"/>
        <v>600000</v>
      </c>
      <c r="AN33" s="542">
        <f t="shared" si="36"/>
        <v>0</v>
      </c>
      <c r="AO33" s="542">
        <f t="shared" si="37"/>
        <v>0</v>
      </c>
      <c r="AP33" s="543">
        <f t="shared" si="38"/>
        <v>0</v>
      </c>
      <c r="AQ33" s="544" t="str">
        <f t="shared" ca="1" si="39"/>
        <v/>
      </c>
      <c r="AR33" s="545">
        <f t="shared" ca="1" si="40"/>
        <v>0</v>
      </c>
      <c r="AS33" s="545">
        <f ca="1">IFERROR(CEILING($AR33*VLOOKUP($I33,Ref!$B$23:$E$29,4,0),1),0)</f>
        <v>0</v>
      </c>
      <c r="AT33" s="545" t="str">
        <f>IF(A33="","",IF(AP33&lt;=1,"Cleared",IF(AS33=0,"Clean",VLOOKUP($AS33,Ref!$G$23:$H$28,2))))</f>
        <v>Cleared</v>
      </c>
      <c r="AU33" s="546" t="str">
        <f t="shared" si="42"/>
        <v>Ok</v>
      </c>
    </row>
    <row r="34" spans="1:47" ht="15" customHeight="1" x14ac:dyDescent="0.15">
      <c r="A34" s="547">
        <v>44351</v>
      </c>
      <c r="B34" s="523">
        <v>6</v>
      </c>
      <c r="C34" s="523">
        <v>29</v>
      </c>
      <c r="D34" s="523">
        <v>1</v>
      </c>
      <c r="E34" s="523" t="s">
        <v>1274</v>
      </c>
      <c r="F34" s="549">
        <v>700000</v>
      </c>
      <c r="G34" s="524">
        <v>5</v>
      </c>
      <c r="H34" s="555">
        <v>0.05</v>
      </c>
      <c r="I34" s="560" t="s">
        <v>859</v>
      </c>
      <c r="J34" s="523" t="s">
        <v>864</v>
      </c>
      <c r="K34" s="528" t="str">
        <f>IFERROR(VLOOKUP($B34,'Clients-Live'!$A:$C,3,0),"")</f>
        <v>AMUTE BASHIR</v>
      </c>
      <c r="L34" s="528">
        <f>IF(E34="STL",Pricing!$D$38,IF(A34="",0,IF(A34&lt;Pricing!$C$25,Pricing!$D$25,VLOOKUP(Disbursements!$F34,Pricing!$B$29:$D$32,3))))</f>
        <v>10000</v>
      </c>
      <c r="M34" s="528">
        <f>IF(E34="STL",0,IF(F34&gt;0,Pricing!$D$21,0))</f>
        <v>5000</v>
      </c>
      <c r="N34" s="529">
        <f>IF(E34="STL",F34*Pricing!$D$40,IF(A34&lt;=Pricing!$C$4,0,IF(AND(A34&gt;Pricing!$C$4,Disbursements!A34&lt;=Pricing!$C$5),F34*Pricing!$E$5,IF(AND(A34&gt;Pricing!$C$5,Disbursements!A34&lt;=Pricing!$C$7),VLOOKUP(F34,Pricing!$D$7:$E$8,2)*Disbursements!F34,F34*Pricing!$E$9))))</f>
        <v>0</v>
      </c>
      <c r="O34" s="528">
        <f>IF(E34="STL",0,IF($F34&gt;0,$F34*Pricing!$D$17,0))</f>
        <v>70000</v>
      </c>
      <c r="P34" s="530">
        <f t="shared" si="22"/>
        <v>175000</v>
      </c>
      <c r="Q34" s="531">
        <f>IF($A34="","",$G34/VLOOKUP($I34,Ref!$B$23:$D$29,2,0))</f>
        <v>5</v>
      </c>
      <c r="R34" s="530">
        <f t="shared" si="23"/>
        <v>875000</v>
      </c>
      <c r="S34" s="532">
        <f t="shared" si="2"/>
        <v>175000</v>
      </c>
      <c r="T34" s="531">
        <f t="shared" si="41"/>
        <v>175000</v>
      </c>
      <c r="U34" s="533">
        <f t="shared" si="24"/>
        <v>875000</v>
      </c>
      <c r="V34" s="531">
        <f t="shared" si="25"/>
        <v>140000</v>
      </c>
      <c r="W34" s="531">
        <f t="shared" si="26"/>
        <v>35000</v>
      </c>
      <c r="X34" s="534">
        <f t="shared" si="27"/>
        <v>175000</v>
      </c>
      <c r="Y34" s="535">
        <f>IF($A34="","",IF($I34="weekly",$A34+7,EDATE($A34,VLOOKUP($I34,Ref!$B$24:$C$29,2,0))))</f>
        <v>44381</v>
      </c>
      <c r="Z34" s="536" t="str">
        <f t="shared" si="28"/>
        <v>Sun</v>
      </c>
      <c r="AA34" s="531">
        <f t="shared" si="29"/>
        <v>30</v>
      </c>
      <c r="AB34" s="535">
        <f t="shared" si="8"/>
        <v>44504</v>
      </c>
      <c r="AC34" s="537">
        <f t="shared" si="9"/>
        <v>153</v>
      </c>
      <c r="AD34" s="538" t="str">
        <f t="shared" ca="1" si="10"/>
        <v>Expired</v>
      </c>
      <c r="AE34" s="537">
        <f t="shared" ca="1" si="11"/>
        <v>0</v>
      </c>
      <c r="AF34" s="539">
        <f t="shared" ca="1" si="30"/>
        <v>5</v>
      </c>
      <c r="AG34" s="531">
        <f t="shared" ca="1" si="31"/>
        <v>875000</v>
      </c>
      <c r="AH34" s="531">
        <f t="shared" ca="1" si="32"/>
        <v>175000</v>
      </c>
      <c r="AI34" s="531">
        <f t="shared" ca="1" si="33"/>
        <v>700000</v>
      </c>
      <c r="AJ34" s="531">
        <f t="shared" ca="1" si="34"/>
        <v>0</v>
      </c>
      <c r="AK34" s="540">
        <f>SUMIFS('Live Collections'!$S:$S,'Live Collections'!$D:$D,Disbursements!B34,'Live Collections'!$G:$G,Disbursements!C34)</f>
        <v>0</v>
      </c>
      <c r="AL34" s="540">
        <f>SUMIFS('Live Collections'!$T:$T,'Live Collections'!$D:$D,Disbursements!B34,'Live Collections'!$G:$G,Disbursements!C34)</f>
        <v>0</v>
      </c>
      <c r="AM34" s="541">
        <f t="shared" si="35"/>
        <v>0</v>
      </c>
      <c r="AN34" s="542">
        <f t="shared" si="36"/>
        <v>175000</v>
      </c>
      <c r="AO34" s="542">
        <f t="shared" si="37"/>
        <v>700000</v>
      </c>
      <c r="AP34" s="543">
        <f t="shared" si="38"/>
        <v>875000</v>
      </c>
      <c r="AQ34" s="544">
        <f t="shared" ca="1" si="39"/>
        <v>875000</v>
      </c>
      <c r="AR34" s="545">
        <f t="shared" ca="1" si="40"/>
        <v>5</v>
      </c>
      <c r="AS34" s="545">
        <f ca="1">IFERROR(CEILING($AR34*VLOOKUP($I34,Ref!$B$23:$E$29,4,0),1),0)</f>
        <v>150</v>
      </c>
      <c r="AT34" s="545" t="str">
        <f ca="1">IF(A34="","",IF(AP34&lt;=1,"Cleared",IF(AS34=0,"Clean",VLOOKUP($AS34,Ref!$G$23:$H$28,2))))</f>
        <v>4.(91-365) Days</v>
      </c>
      <c r="AU34" s="546" t="str">
        <f t="shared" si="42"/>
        <v>Ok</v>
      </c>
    </row>
    <row r="35" spans="1:47" ht="15" customHeight="1" x14ac:dyDescent="0.15">
      <c r="A35" s="547">
        <v>44351</v>
      </c>
      <c r="B35" s="523">
        <v>48</v>
      </c>
      <c r="C35" s="523">
        <v>32</v>
      </c>
      <c r="D35" s="523">
        <v>1</v>
      </c>
      <c r="E35" s="523" t="s">
        <v>1274</v>
      </c>
      <c r="F35" s="549">
        <v>500000</v>
      </c>
      <c r="G35" s="524">
        <v>4</v>
      </c>
      <c r="H35" s="555">
        <v>0.05</v>
      </c>
      <c r="I35" s="560" t="s">
        <v>859</v>
      </c>
      <c r="J35" s="523" t="s">
        <v>863</v>
      </c>
      <c r="K35" s="528" t="str">
        <f>IFERROR(VLOOKUP($B35,'Clients-Live'!$A:$C,3,0),"")</f>
        <v>BAKO KASIA</v>
      </c>
      <c r="L35" s="528">
        <f>IF(E35="STL",Pricing!$D$38,IF(A35="",0,IF(A35&lt;Pricing!$C$25,Pricing!$D$25,VLOOKUP(Disbursements!$F35,Pricing!$B$29:$D$32,3))))</f>
        <v>10000</v>
      </c>
      <c r="M35" s="528">
        <f>IF(E35="STL",0,IF(F35&gt;0,Pricing!$D$21,0))</f>
        <v>5000</v>
      </c>
      <c r="N35" s="529">
        <f>IF(E35="STL",F35*Pricing!$D$40,IF(A35&lt;=Pricing!$C$4,0,IF(AND(A35&gt;Pricing!$C$4,Disbursements!A35&lt;=Pricing!$C$5),F35*Pricing!$E$5,IF(AND(A35&gt;Pricing!$C$5,Disbursements!A35&lt;=Pricing!$C$7),VLOOKUP(F35,Pricing!$D$7:$E$8,2)*Disbursements!F35,F35*Pricing!$E$9))))</f>
        <v>0</v>
      </c>
      <c r="O35" s="528">
        <f>IF(E35="STL",0,IF($F35&gt;0,$F35*Pricing!$D$17,0))</f>
        <v>50000</v>
      </c>
      <c r="P35" s="530">
        <f t="shared" si="22"/>
        <v>100000</v>
      </c>
      <c r="Q35" s="531">
        <f>IF($A35="","",$G35/VLOOKUP($I35,Ref!$B$23:$D$29,2,0))</f>
        <v>4</v>
      </c>
      <c r="R35" s="530">
        <f t="shared" si="23"/>
        <v>600000</v>
      </c>
      <c r="S35" s="532">
        <f t="shared" si="2"/>
        <v>150000</v>
      </c>
      <c r="T35" s="531">
        <f t="shared" si="41"/>
        <v>150000</v>
      </c>
      <c r="U35" s="533">
        <f t="shared" si="24"/>
        <v>600000</v>
      </c>
      <c r="V35" s="531">
        <f t="shared" si="25"/>
        <v>125000</v>
      </c>
      <c r="W35" s="531">
        <f t="shared" si="26"/>
        <v>25000</v>
      </c>
      <c r="X35" s="534">
        <f t="shared" si="27"/>
        <v>100000</v>
      </c>
      <c r="Y35" s="535">
        <f>IF($A35="","",IF($I35="weekly",$A35+7,EDATE($A35,VLOOKUP($I35,Ref!$B$24:$C$29,2,0))))</f>
        <v>44381</v>
      </c>
      <c r="Z35" s="536" t="str">
        <f t="shared" si="28"/>
        <v>Sun</v>
      </c>
      <c r="AA35" s="531">
        <f t="shared" si="29"/>
        <v>30</v>
      </c>
      <c r="AB35" s="535">
        <f t="shared" si="8"/>
        <v>44473</v>
      </c>
      <c r="AC35" s="537">
        <f t="shared" si="9"/>
        <v>122</v>
      </c>
      <c r="AD35" s="538" t="str">
        <f t="shared" ca="1" si="10"/>
        <v>Expired</v>
      </c>
      <c r="AE35" s="537">
        <f t="shared" ca="1" si="11"/>
        <v>0</v>
      </c>
      <c r="AF35" s="539">
        <f t="shared" ca="1" si="30"/>
        <v>4</v>
      </c>
      <c r="AG35" s="531">
        <f t="shared" ca="1" si="31"/>
        <v>600000</v>
      </c>
      <c r="AH35" s="531">
        <f t="shared" ca="1" si="32"/>
        <v>100000</v>
      </c>
      <c r="AI35" s="531">
        <f t="shared" ca="1" si="33"/>
        <v>500000</v>
      </c>
      <c r="AJ35" s="531">
        <f t="shared" ca="1" si="34"/>
        <v>0</v>
      </c>
      <c r="AK35" s="540">
        <f>SUMIFS('Live Collections'!$S:$S,'Live Collections'!$D:$D,Disbursements!B35,'Live Collections'!$G:$G,Disbursements!C35)</f>
        <v>100000</v>
      </c>
      <c r="AL35" s="540">
        <f>SUMIFS('Live Collections'!$T:$T,'Live Collections'!$D:$D,Disbursements!B35,'Live Collections'!$G:$G,Disbursements!C35)</f>
        <v>355000</v>
      </c>
      <c r="AM35" s="541">
        <f t="shared" si="35"/>
        <v>455000</v>
      </c>
      <c r="AN35" s="542">
        <f t="shared" si="36"/>
        <v>0</v>
      </c>
      <c r="AO35" s="542">
        <f t="shared" si="37"/>
        <v>145000</v>
      </c>
      <c r="AP35" s="543">
        <f t="shared" si="38"/>
        <v>145000</v>
      </c>
      <c r="AQ35" s="544">
        <f t="shared" ca="1" si="39"/>
        <v>145000</v>
      </c>
      <c r="AR35" s="545">
        <f t="shared" ca="1" si="40"/>
        <v>0.96666666666666667</v>
      </c>
      <c r="AS35" s="545">
        <f ca="1">IFERROR(CEILING($AR35*VLOOKUP($I35,Ref!$B$23:$E$29,4,0),1),0)</f>
        <v>29</v>
      </c>
      <c r="AT35" s="545" t="str">
        <f ca="1">IF(A35="","",IF(AP35&lt;=1,"Cleared",IF(AS35=0,"Clean",VLOOKUP($AS35,Ref!$G$23:$H$28,2))))</f>
        <v>1.(0-30) Days</v>
      </c>
      <c r="AU35" s="546" t="str">
        <f t="shared" si="42"/>
        <v>Ok</v>
      </c>
    </row>
    <row r="36" spans="1:47" ht="15" customHeight="1" x14ac:dyDescent="0.15">
      <c r="A36" s="564">
        <v>44351</v>
      </c>
      <c r="B36" s="523">
        <v>49</v>
      </c>
      <c r="C36" s="523">
        <v>33</v>
      </c>
      <c r="D36" s="523">
        <v>1</v>
      </c>
      <c r="E36" s="523" t="s">
        <v>1274</v>
      </c>
      <c r="F36" s="549">
        <v>500000</v>
      </c>
      <c r="G36" s="524">
        <v>4</v>
      </c>
      <c r="H36" s="555">
        <v>0.05</v>
      </c>
      <c r="I36" s="560" t="s">
        <v>859</v>
      </c>
      <c r="J36" s="523" t="s">
        <v>863</v>
      </c>
      <c r="K36" s="528" t="str">
        <f>IFERROR(VLOOKUP($B36,'Clients-Live'!$A:$C,3,0),"")</f>
        <v>MAWUZU SARAH</v>
      </c>
      <c r="L36" s="528">
        <f>IF(E36="STL",Pricing!$D$38,IF(A36="",0,IF(A36&lt;Pricing!$C$25,Pricing!$D$25,VLOOKUP(Disbursements!$F36,Pricing!$B$29:$D$32,3))))</f>
        <v>10000</v>
      </c>
      <c r="M36" s="528">
        <f>IF(E36="STL",0,IF(F36&gt;0,Pricing!$D$21,0))</f>
        <v>5000</v>
      </c>
      <c r="N36" s="529">
        <f>IF(E36="STL",F36*Pricing!$D$40,IF(A36&lt;=Pricing!$C$4,0,IF(AND(A36&gt;Pricing!$C$4,Disbursements!A36&lt;=Pricing!$C$5),F36*Pricing!$E$5,IF(AND(A36&gt;Pricing!$C$5,Disbursements!A36&lt;=Pricing!$C$7),VLOOKUP(F36,Pricing!$D$7:$E$8,2)*Disbursements!F36,F36*Pricing!$E$9))))</f>
        <v>0</v>
      </c>
      <c r="O36" s="528">
        <f>IF(E36="STL",0,IF($F36&gt;0,$F36*Pricing!$D$17,0))</f>
        <v>50000</v>
      </c>
      <c r="P36" s="530">
        <f t="shared" si="22"/>
        <v>100000</v>
      </c>
      <c r="Q36" s="531">
        <f>IF($A36="","",$G36/VLOOKUP($I36,Ref!$B$23:$D$29,2,0))</f>
        <v>4</v>
      </c>
      <c r="R36" s="530">
        <f t="shared" si="23"/>
        <v>600000</v>
      </c>
      <c r="S36" s="532">
        <f t="shared" si="2"/>
        <v>150000</v>
      </c>
      <c r="T36" s="531">
        <f t="shared" si="41"/>
        <v>150000</v>
      </c>
      <c r="U36" s="533">
        <f t="shared" si="24"/>
        <v>600000</v>
      </c>
      <c r="V36" s="531">
        <f t="shared" si="25"/>
        <v>125000</v>
      </c>
      <c r="W36" s="531">
        <f t="shared" si="26"/>
        <v>25000</v>
      </c>
      <c r="X36" s="534">
        <f t="shared" si="27"/>
        <v>100000</v>
      </c>
      <c r="Y36" s="535">
        <f>IF($A36="","",IF($I36="weekly",$A36+7,EDATE($A36,VLOOKUP($I36,Ref!$B$24:$C$29,2,0))))</f>
        <v>44381</v>
      </c>
      <c r="Z36" s="536" t="str">
        <f t="shared" si="28"/>
        <v>Sun</v>
      </c>
      <c r="AA36" s="531">
        <f t="shared" si="29"/>
        <v>30</v>
      </c>
      <c r="AB36" s="535">
        <f t="shared" si="8"/>
        <v>44473</v>
      </c>
      <c r="AC36" s="537">
        <f t="shared" si="9"/>
        <v>122</v>
      </c>
      <c r="AD36" s="538" t="str">
        <f t="shared" ca="1" si="10"/>
        <v>Expired</v>
      </c>
      <c r="AE36" s="537">
        <f t="shared" ca="1" si="11"/>
        <v>0</v>
      </c>
      <c r="AF36" s="539">
        <f t="shared" ca="1" si="30"/>
        <v>4</v>
      </c>
      <c r="AG36" s="531">
        <f t="shared" ca="1" si="31"/>
        <v>600000</v>
      </c>
      <c r="AH36" s="531">
        <f t="shared" ca="1" si="32"/>
        <v>100000</v>
      </c>
      <c r="AI36" s="531">
        <f t="shared" ca="1" si="33"/>
        <v>500000</v>
      </c>
      <c r="AJ36" s="531">
        <f t="shared" ca="1" si="34"/>
        <v>0</v>
      </c>
      <c r="AK36" s="540">
        <f>SUMIFS('Live Collections'!$S:$S,'Live Collections'!$D:$D,Disbursements!B36,'Live Collections'!$G:$G,Disbursements!C36)</f>
        <v>100000</v>
      </c>
      <c r="AL36" s="540">
        <f>SUMIFS('Live Collections'!$T:$T,'Live Collections'!$D:$D,Disbursements!B36,'Live Collections'!$G:$G,Disbursements!C36)</f>
        <v>465000</v>
      </c>
      <c r="AM36" s="541">
        <f t="shared" si="35"/>
        <v>565000</v>
      </c>
      <c r="AN36" s="542">
        <f t="shared" si="36"/>
        <v>0</v>
      </c>
      <c r="AO36" s="542">
        <f t="shared" si="37"/>
        <v>35000</v>
      </c>
      <c r="AP36" s="543">
        <f t="shared" si="38"/>
        <v>35000</v>
      </c>
      <c r="AQ36" s="544">
        <f t="shared" ca="1" si="39"/>
        <v>35000</v>
      </c>
      <c r="AR36" s="545">
        <f t="shared" ca="1" si="40"/>
        <v>0.23333333333333334</v>
      </c>
      <c r="AS36" s="545">
        <f ca="1">IFERROR(CEILING($AR36*VLOOKUP($I36,Ref!$B$23:$E$29,4,0),1),0)</f>
        <v>7</v>
      </c>
      <c r="AT36" s="545" t="str">
        <f ca="1">IF(A36="","",IF(AP36&lt;=1,"Cleared",IF(AS36=0,"Clean",VLOOKUP($AS36,Ref!$G$23:$H$28,2))))</f>
        <v>1.(0-30) Days</v>
      </c>
      <c r="AU36" s="546" t="str">
        <f t="shared" si="42"/>
        <v>Ok</v>
      </c>
    </row>
    <row r="37" spans="1:47" ht="15" customHeight="1" x14ac:dyDescent="0.15">
      <c r="A37" s="564">
        <v>44352</v>
      </c>
      <c r="B37" s="523">
        <v>51</v>
      </c>
      <c r="C37" s="523">
        <v>34</v>
      </c>
      <c r="D37" s="523">
        <v>1</v>
      </c>
      <c r="E37" s="523" t="s">
        <v>1274</v>
      </c>
      <c r="F37" s="549">
        <v>1500000</v>
      </c>
      <c r="G37" s="524">
        <v>6</v>
      </c>
      <c r="H37" s="555">
        <v>0.05</v>
      </c>
      <c r="I37" s="560" t="s">
        <v>859</v>
      </c>
      <c r="J37" s="523" t="s">
        <v>862</v>
      </c>
      <c r="K37" s="528" t="str">
        <f>IFERROR(VLOOKUP($B37,'Clients-Live'!$A:$C,3,0),"")</f>
        <v>AYILE STEPHEN</v>
      </c>
      <c r="L37" s="528">
        <f>IF(E37="STL",Pricing!$D$38,IF(A37="",0,IF(A37&lt;Pricing!$C$25,Pricing!$D$25,VLOOKUP(Disbursements!$F37,Pricing!$B$29:$D$32,3))))</f>
        <v>10000</v>
      </c>
      <c r="M37" s="528">
        <f>IF(E37="STL",0,IF(F37&gt;0,Pricing!$D$21,0))</f>
        <v>5000</v>
      </c>
      <c r="N37" s="529">
        <f>IF(E37="STL",F37*Pricing!$D$40,IF(A37&lt;=Pricing!$C$4,0,IF(AND(A37&gt;Pricing!$C$4,Disbursements!A37&lt;=Pricing!$C$5),F37*Pricing!$E$5,IF(AND(A37&gt;Pricing!$C$5,Disbursements!A37&lt;=Pricing!$C$7),VLOOKUP(F37,Pricing!$D$7:$E$8,2)*Disbursements!F37,F37*Pricing!$E$9))))</f>
        <v>0</v>
      </c>
      <c r="O37" s="528">
        <f>IF(E37="STL",0,IF($F37&gt;0,$F37*Pricing!$D$17,0))</f>
        <v>150000</v>
      </c>
      <c r="P37" s="530">
        <f t="shared" si="22"/>
        <v>450000</v>
      </c>
      <c r="Q37" s="531">
        <f>IF($A37="","",$G37/VLOOKUP($I37,Ref!$B$23:$D$29,2,0))</f>
        <v>6</v>
      </c>
      <c r="R37" s="530">
        <f t="shared" si="23"/>
        <v>1950000</v>
      </c>
      <c r="S37" s="532">
        <f t="shared" si="2"/>
        <v>325000</v>
      </c>
      <c r="T37" s="531">
        <f t="shared" si="41"/>
        <v>325000</v>
      </c>
      <c r="U37" s="533">
        <f t="shared" si="24"/>
        <v>1950000</v>
      </c>
      <c r="V37" s="531">
        <f t="shared" si="25"/>
        <v>250000</v>
      </c>
      <c r="W37" s="531">
        <f t="shared" si="26"/>
        <v>75000</v>
      </c>
      <c r="X37" s="534">
        <f t="shared" si="27"/>
        <v>450000</v>
      </c>
      <c r="Y37" s="535">
        <f>IF($A37="","",IF($I37="weekly",$A37+7,EDATE($A37,VLOOKUP($I37,Ref!$B$24:$C$29,2,0))))</f>
        <v>44382</v>
      </c>
      <c r="Z37" s="536" t="str">
        <f t="shared" si="28"/>
        <v>Mon</v>
      </c>
      <c r="AA37" s="531">
        <f t="shared" si="29"/>
        <v>30</v>
      </c>
      <c r="AB37" s="535">
        <f t="shared" si="8"/>
        <v>44535</v>
      </c>
      <c r="AC37" s="537">
        <f t="shared" si="9"/>
        <v>183</v>
      </c>
      <c r="AD37" s="538" t="str">
        <f t="shared" ca="1" si="10"/>
        <v>Expired</v>
      </c>
      <c r="AE37" s="537">
        <f t="shared" ca="1" si="11"/>
        <v>0</v>
      </c>
      <c r="AF37" s="539">
        <f t="shared" ca="1" si="30"/>
        <v>6</v>
      </c>
      <c r="AG37" s="531">
        <f t="shared" ca="1" si="31"/>
        <v>1950000</v>
      </c>
      <c r="AH37" s="531">
        <f t="shared" ca="1" si="32"/>
        <v>450000</v>
      </c>
      <c r="AI37" s="531">
        <f t="shared" ca="1" si="33"/>
        <v>1500000</v>
      </c>
      <c r="AJ37" s="531">
        <f t="shared" ca="1" si="34"/>
        <v>0</v>
      </c>
      <c r="AK37" s="540">
        <f>SUMIFS('Live Collections'!$S:$S,'Live Collections'!$D:$D,Disbursements!B37,'Live Collections'!$G:$G,Disbursements!C37)</f>
        <v>450000</v>
      </c>
      <c r="AL37" s="540">
        <f>SUMIFS('Live Collections'!$T:$T,'Live Collections'!$D:$D,Disbursements!B37,'Live Collections'!$G:$G,Disbursements!C37)</f>
        <v>1500000</v>
      </c>
      <c r="AM37" s="541">
        <f t="shared" si="35"/>
        <v>1950000</v>
      </c>
      <c r="AN37" s="542">
        <f t="shared" si="36"/>
        <v>0</v>
      </c>
      <c r="AO37" s="542">
        <f t="shared" si="37"/>
        <v>0</v>
      </c>
      <c r="AP37" s="543">
        <f t="shared" si="38"/>
        <v>0</v>
      </c>
      <c r="AQ37" s="544" t="str">
        <f t="shared" ca="1" si="39"/>
        <v/>
      </c>
      <c r="AR37" s="545">
        <f t="shared" ca="1" si="40"/>
        <v>0</v>
      </c>
      <c r="AS37" s="545">
        <f ca="1">IFERROR(CEILING($AR37*VLOOKUP($I37,Ref!$B$23:$E$29,4,0),1),0)</f>
        <v>0</v>
      </c>
      <c r="AT37" s="545" t="str">
        <f>IF(A37="","",IF(AP37&lt;=1,"Cleared",IF(AS37=0,"Clean",VLOOKUP($AS37,Ref!$G$23:$H$28,2))))</f>
        <v>Cleared</v>
      </c>
      <c r="AU37" s="546" t="str">
        <f t="shared" si="42"/>
        <v>Ok</v>
      </c>
    </row>
    <row r="38" spans="1:47" ht="15" customHeight="1" x14ac:dyDescent="0.15">
      <c r="A38" s="564">
        <v>44354</v>
      </c>
      <c r="B38" s="523">
        <v>46</v>
      </c>
      <c r="C38" s="523">
        <v>35</v>
      </c>
      <c r="D38" s="523">
        <v>1</v>
      </c>
      <c r="E38" s="523" t="s">
        <v>1274</v>
      </c>
      <c r="F38" s="554">
        <v>1500000</v>
      </c>
      <c r="G38" s="524">
        <v>6</v>
      </c>
      <c r="H38" s="555">
        <v>0.05</v>
      </c>
      <c r="I38" s="560" t="s">
        <v>859</v>
      </c>
      <c r="J38" s="523" t="s">
        <v>864</v>
      </c>
      <c r="K38" s="528" t="str">
        <f>IFERROR(VLOOKUP($B38,'Clients-Live'!$A:$C,3,0),"")</f>
        <v>ALIO YUDA</v>
      </c>
      <c r="L38" s="528">
        <f>IF(E38="STL",Pricing!$D$38,IF(A38="",0,IF(A38&lt;Pricing!$C$25,Pricing!$D$25,VLOOKUP(Disbursements!$F38,Pricing!$B$29:$D$32,3))))</f>
        <v>10000</v>
      </c>
      <c r="M38" s="528">
        <f>IF(E38="STL",0,IF(F38&gt;0,Pricing!$D$21,0))</f>
        <v>5000</v>
      </c>
      <c r="N38" s="529">
        <f>IF(E38="STL",F38*Pricing!$D$40,IF(A38&lt;=Pricing!$C$4,0,IF(AND(A38&gt;Pricing!$C$4,Disbursements!A38&lt;=Pricing!$C$5),F38*Pricing!$E$5,IF(AND(A38&gt;Pricing!$C$5,Disbursements!A38&lt;=Pricing!$C$7),VLOOKUP(F38,Pricing!$D$7:$E$8,2)*Disbursements!F38,F38*Pricing!$E$9))))</f>
        <v>0</v>
      </c>
      <c r="O38" s="528">
        <f>IF(E38="STL",0,IF($F38&gt;0,$F38*Pricing!$D$17,0))</f>
        <v>150000</v>
      </c>
      <c r="P38" s="530">
        <f t="shared" si="22"/>
        <v>450000</v>
      </c>
      <c r="Q38" s="531">
        <f>IF($A38="","",$G38/VLOOKUP($I38,Ref!$B$23:$D$29,2,0))</f>
        <v>6</v>
      </c>
      <c r="R38" s="530">
        <f t="shared" si="23"/>
        <v>1950000</v>
      </c>
      <c r="S38" s="532">
        <f t="shared" si="2"/>
        <v>325000</v>
      </c>
      <c r="T38" s="531">
        <f t="shared" si="41"/>
        <v>325000</v>
      </c>
      <c r="U38" s="533">
        <f t="shared" si="24"/>
        <v>1950000</v>
      </c>
      <c r="V38" s="531">
        <f t="shared" si="25"/>
        <v>250000</v>
      </c>
      <c r="W38" s="531">
        <f t="shared" si="26"/>
        <v>75000</v>
      </c>
      <c r="X38" s="534">
        <f t="shared" si="27"/>
        <v>450000</v>
      </c>
      <c r="Y38" s="535">
        <f>IF($A38="","",IF($I38="weekly",$A38+7,EDATE($A38,VLOOKUP($I38,Ref!$B$24:$C$29,2,0))))</f>
        <v>44384</v>
      </c>
      <c r="Z38" s="536" t="str">
        <f t="shared" si="28"/>
        <v>Wed</v>
      </c>
      <c r="AA38" s="531">
        <f t="shared" si="29"/>
        <v>30</v>
      </c>
      <c r="AB38" s="535">
        <f t="shared" si="8"/>
        <v>44537</v>
      </c>
      <c r="AC38" s="537">
        <f t="shared" si="9"/>
        <v>183</v>
      </c>
      <c r="AD38" s="538" t="str">
        <f t="shared" ca="1" si="10"/>
        <v>Expired</v>
      </c>
      <c r="AE38" s="537">
        <f t="shared" ca="1" si="11"/>
        <v>0</v>
      </c>
      <c r="AF38" s="539">
        <f t="shared" ca="1" si="30"/>
        <v>6</v>
      </c>
      <c r="AG38" s="531">
        <f t="shared" ca="1" si="31"/>
        <v>1950000</v>
      </c>
      <c r="AH38" s="531">
        <f t="shared" ca="1" si="32"/>
        <v>450000</v>
      </c>
      <c r="AI38" s="531">
        <f t="shared" ca="1" si="33"/>
        <v>1500000</v>
      </c>
      <c r="AJ38" s="531">
        <f t="shared" ca="1" si="34"/>
        <v>0</v>
      </c>
      <c r="AK38" s="540">
        <f>SUMIFS('Live Collections'!$S:$S,'Live Collections'!$D:$D,Disbursements!B38,'Live Collections'!$G:$G,Disbursements!C38)</f>
        <v>450000</v>
      </c>
      <c r="AL38" s="540">
        <f>SUMIFS('Live Collections'!$T:$T,'Live Collections'!$D:$D,Disbursements!B38,'Live Collections'!$G:$G,Disbursements!C38)</f>
        <v>1500000</v>
      </c>
      <c r="AM38" s="541">
        <f t="shared" si="35"/>
        <v>1950000</v>
      </c>
      <c r="AN38" s="542">
        <f t="shared" si="36"/>
        <v>0</v>
      </c>
      <c r="AO38" s="542">
        <f t="shared" si="37"/>
        <v>0</v>
      </c>
      <c r="AP38" s="543">
        <f t="shared" si="38"/>
        <v>0</v>
      </c>
      <c r="AQ38" s="544" t="str">
        <f t="shared" ca="1" si="39"/>
        <v/>
      </c>
      <c r="AR38" s="545">
        <f t="shared" ca="1" si="40"/>
        <v>0</v>
      </c>
      <c r="AS38" s="545">
        <f ca="1">IFERROR(CEILING($AR38*VLOOKUP($I38,Ref!$B$23:$E$29,4,0),1),0)</f>
        <v>0</v>
      </c>
      <c r="AT38" s="545" t="str">
        <f>IF(A38="","",IF(AP38&lt;=1,"Cleared",IF(AS38=0,"Clean",VLOOKUP($AS38,Ref!$G$23:$H$28,2))))</f>
        <v>Cleared</v>
      </c>
      <c r="AU38" s="546" t="str">
        <f t="shared" si="42"/>
        <v>Ok</v>
      </c>
    </row>
    <row r="39" spans="1:47" ht="15" customHeight="1" x14ac:dyDescent="0.15">
      <c r="A39" s="564">
        <v>44355</v>
      </c>
      <c r="B39" s="523">
        <v>53</v>
      </c>
      <c r="C39" s="523">
        <v>36</v>
      </c>
      <c r="D39" s="523">
        <v>1</v>
      </c>
      <c r="E39" s="523" t="s">
        <v>1274</v>
      </c>
      <c r="F39" s="554">
        <v>800000</v>
      </c>
      <c r="G39" s="524">
        <v>5</v>
      </c>
      <c r="H39" s="555">
        <v>0.05</v>
      </c>
      <c r="I39" s="560" t="s">
        <v>859</v>
      </c>
      <c r="J39" s="523" t="s">
        <v>863</v>
      </c>
      <c r="K39" s="528" t="str">
        <f>IFERROR(VLOOKUP($B39,'Clients-Live'!$A:$C,3,0),"")</f>
        <v>KALSUMU INNOCENT</v>
      </c>
      <c r="L39" s="528">
        <f>IF(E39="STL",Pricing!$D$38,IF(A39="",0,IF(A39&lt;Pricing!$C$25,Pricing!$D$25,VLOOKUP(Disbursements!$F39,Pricing!$B$29:$D$32,3))))</f>
        <v>10000</v>
      </c>
      <c r="M39" s="528">
        <f>IF(E39="STL",0,IF(F39&gt;0,Pricing!$D$21,0))</f>
        <v>5000</v>
      </c>
      <c r="N39" s="529">
        <f>IF(E39="STL",F39*Pricing!$D$40,IF(A39&lt;=Pricing!$C$4,0,IF(AND(A39&gt;Pricing!$C$4,Disbursements!A39&lt;=Pricing!$C$5),F39*Pricing!$E$5,IF(AND(A39&gt;Pricing!$C$5,Disbursements!A39&lt;=Pricing!$C$7),VLOOKUP(F39,Pricing!$D$7:$E$8,2)*Disbursements!F39,F39*Pricing!$E$9))))</f>
        <v>0</v>
      </c>
      <c r="O39" s="528">
        <f>IF(E39="STL",0,IF($F39&gt;0,$F39*Pricing!$D$17,0))</f>
        <v>80000</v>
      </c>
      <c r="P39" s="530">
        <f t="shared" si="22"/>
        <v>200000</v>
      </c>
      <c r="Q39" s="531">
        <f>IF($A39="","",$G39/VLOOKUP($I39,Ref!$B$23:$D$29,2,0))</f>
        <v>5</v>
      </c>
      <c r="R39" s="530">
        <f t="shared" si="23"/>
        <v>1000000</v>
      </c>
      <c r="S39" s="532">
        <f t="shared" si="2"/>
        <v>200000</v>
      </c>
      <c r="T39" s="531">
        <f t="shared" si="41"/>
        <v>200000</v>
      </c>
      <c r="U39" s="533">
        <f t="shared" si="24"/>
        <v>1000000</v>
      </c>
      <c r="V39" s="531">
        <f t="shared" si="25"/>
        <v>160000</v>
      </c>
      <c r="W39" s="531">
        <f t="shared" si="26"/>
        <v>40000</v>
      </c>
      <c r="X39" s="534">
        <f t="shared" si="27"/>
        <v>200000</v>
      </c>
      <c r="Y39" s="535">
        <f>IF($A39="","",IF($I39="weekly",$A39+7,EDATE($A39,VLOOKUP($I39,Ref!$B$24:$C$29,2,0))))</f>
        <v>44385</v>
      </c>
      <c r="Z39" s="536" t="str">
        <f t="shared" si="28"/>
        <v>Thu</v>
      </c>
      <c r="AA39" s="531">
        <f t="shared" si="29"/>
        <v>30</v>
      </c>
      <c r="AB39" s="535">
        <f t="shared" si="8"/>
        <v>44508</v>
      </c>
      <c r="AC39" s="537">
        <f t="shared" si="9"/>
        <v>153</v>
      </c>
      <c r="AD39" s="538" t="str">
        <f t="shared" ca="1" si="10"/>
        <v>Expired</v>
      </c>
      <c r="AE39" s="537">
        <f t="shared" ca="1" si="11"/>
        <v>0</v>
      </c>
      <c r="AF39" s="539">
        <f t="shared" ca="1" si="30"/>
        <v>5</v>
      </c>
      <c r="AG39" s="531">
        <f t="shared" ca="1" si="31"/>
        <v>1000000</v>
      </c>
      <c r="AH39" s="531">
        <f t="shared" ca="1" si="32"/>
        <v>200000</v>
      </c>
      <c r="AI39" s="531">
        <f t="shared" ca="1" si="33"/>
        <v>800000</v>
      </c>
      <c r="AJ39" s="531">
        <f t="shared" ca="1" si="34"/>
        <v>0</v>
      </c>
      <c r="AK39" s="540">
        <f>SUMIFS('Live Collections'!$S:$S,'Live Collections'!$D:$D,Disbursements!B39,'Live Collections'!$G:$G,Disbursements!C39)</f>
        <v>200000</v>
      </c>
      <c r="AL39" s="540">
        <f>SUMIFS('Live Collections'!$T:$T,'Live Collections'!$D:$D,Disbursements!B39,'Live Collections'!$G:$G,Disbursements!C39)</f>
        <v>800000</v>
      </c>
      <c r="AM39" s="541">
        <f t="shared" si="35"/>
        <v>1000000</v>
      </c>
      <c r="AN39" s="542">
        <f t="shared" si="36"/>
        <v>0</v>
      </c>
      <c r="AO39" s="542">
        <f t="shared" si="37"/>
        <v>0</v>
      </c>
      <c r="AP39" s="543">
        <f t="shared" si="38"/>
        <v>0</v>
      </c>
      <c r="AQ39" s="544" t="str">
        <f t="shared" ca="1" si="39"/>
        <v/>
      </c>
      <c r="AR39" s="545">
        <f t="shared" ca="1" si="40"/>
        <v>0</v>
      </c>
      <c r="AS39" s="545">
        <f ca="1">IFERROR(CEILING($AR39*VLOOKUP($I39,Ref!$B$23:$E$29,4,0),1),0)</f>
        <v>0</v>
      </c>
      <c r="AT39" s="545" t="str">
        <f>IF(A39="","",IF(AP39&lt;=1,"Cleared",IF(AS39=0,"Clean",VLOOKUP($AS39,Ref!$G$23:$H$28,2))))</f>
        <v>Cleared</v>
      </c>
      <c r="AU39" s="546" t="str">
        <f t="shared" si="42"/>
        <v>Ok</v>
      </c>
    </row>
    <row r="40" spans="1:47" ht="15" customHeight="1" x14ac:dyDescent="0.15">
      <c r="A40" s="564">
        <v>44355</v>
      </c>
      <c r="B40" s="523">
        <v>52</v>
      </c>
      <c r="C40" s="523">
        <v>38</v>
      </c>
      <c r="D40" s="523">
        <v>1</v>
      </c>
      <c r="E40" s="523" t="s">
        <v>1274</v>
      </c>
      <c r="F40" s="554">
        <v>500000</v>
      </c>
      <c r="G40" s="524">
        <v>4</v>
      </c>
      <c r="H40" s="555">
        <v>0.05</v>
      </c>
      <c r="I40" s="560" t="s">
        <v>859</v>
      </c>
      <c r="J40" s="523" t="s">
        <v>864</v>
      </c>
      <c r="K40" s="528" t="str">
        <f>IFERROR(VLOOKUP($B40,'Clients-Live'!$A:$C,3,0),"")</f>
        <v>EDEZU PEACE IRENE</v>
      </c>
      <c r="L40" s="528">
        <f>IF(E40="STL",Pricing!$D$38,IF(A40="",0,IF(A40&lt;Pricing!$C$25,Pricing!$D$25,VLOOKUP(Disbursements!$F40,Pricing!$B$29:$D$32,3))))</f>
        <v>10000</v>
      </c>
      <c r="M40" s="528">
        <f>IF(E40="STL",0,IF(F40&gt;0,Pricing!$D$21,0))</f>
        <v>5000</v>
      </c>
      <c r="N40" s="529">
        <f>IF(E40="STL",F40*Pricing!$D$40,IF(A40&lt;=Pricing!$C$4,0,IF(AND(A40&gt;Pricing!$C$4,Disbursements!A40&lt;=Pricing!$C$5),F40*Pricing!$E$5,IF(AND(A40&gt;Pricing!$C$5,Disbursements!A40&lt;=Pricing!$C$7),VLOOKUP(F40,Pricing!$D$7:$E$8,2)*Disbursements!F40,F40*Pricing!$E$9))))</f>
        <v>0</v>
      </c>
      <c r="O40" s="528">
        <f>IF(E40="STL",0,IF($F40&gt;0,$F40*Pricing!$D$17,0))</f>
        <v>50000</v>
      </c>
      <c r="P40" s="530">
        <f t="shared" si="22"/>
        <v>100000</v>
      </c>
      <c r="Q40" s="531">
        <f>IF($A40="","",$G40/VLOOKUP($I40,Ref!$B$23:$D$29,2,0))</f>
        <v>4</v>
      </c>
      <c r="R40" s="530">
        <f t="shared" si="23"/>
        <v>600000</v>
      </c>
      <c r="S40" s="532">
        <f t="shared" si="2"/>
        <v>150000</v>
      </c>
      <c r="T40" s="531">
        <f t="shared" si="41"/>
        <v>150000</v>
      </c>
      <c r="U40" s="533">
        <f t="shared" si="24"/>
        <v>600000</v>
      </c>
      <c r="V40" s="531">
        <f t="shared" si="25"/>
        <v>125000</v>
      </c>
      <c r="W40" s="531">
        <f t="shared" si="26"/>
        <v>25000</v>
      </c>
      <c r="X40" s="534">
        <f t="shared" si="27"/>
        <v>100000</v>
      </c>
      <c r="Y40" s="535">
        <f>IF($A40="","",IF($I40="weekly",$A40+7,EDATE($A40,VLOOKUP($I40,Ref!$B$24:$C$29,2,0))))</f>
        <v>44385</v>
      </c>
      <c r="Z40" s="536" t="str">
        <f t="shared" si="28"/>
        <v>Thu</v>
      </c>
      <c r="AA40" s="531">
        <f t="shared" si="29"/>
        <v>30</v>
      </c>
      <c r="AB40" s="535">
        <f t="shared" si="8"/>
        <v>44477</v>
      </c>
      <c r="AC40" s="537">
        <f t="shared" si="9"/>
        <v>122</v>
      </c>
      <c r="AD40" s="538" t="str">
        <f t="shared" ca="1" si="10"/>
        <v>Expired</v>
      </c>
      <c r="AE40" s="537">
        <f t="shared" ca="1" si="11"/>
        <v>0</v>
      </c>
      <c r="AF40" s="539">
        <f t="shared" ca="1" si="30"/>
        <v>4</v>
      </c>
      <c r="AG40" s="531">
        <f t="shared" ca="1" si="31"/>
        <v>600000</v>
      </c>
      <c r="AH40" s="531">
        <f t="shared" ca="1" si="32"/>
        <v>100000</v>
      </c>
      <c r="AI40" s="531">
        <f t="shared" ca="1" si="33"/>
        <v>500000</v>
      </c>
      <c r="AJ40" s="531">
        <f t="shared" ca="1" si="34"/>
        <v>0</v>
      </c>
      <c r="AK40" s="540">
        <f>SUMIFS('Live Collections'!$S:$S,'Live Collections'!$D:$D,Disbursements!B40,'Live Collections'!$G:$G,Disbursements!C40)</f>
        <v>100000</v>
      </c>
      <c r="AL40" s="540">
        <f>SUMIFS('Live Collections'!$T:$T,'Live Collections'!$D:$D,Disbursements!B40,'Live Collections'!$G:$G,Disbursements!C40)</f>
        <v>500000</v>
      </c>
      <c r="AM40" s="541">
        <f t="shared" si="35"/>
        <v>600000</v>
      </c>
      <c r="AN40" s="542">
        <f t="shared" si="36"/>
        <v>0</v>
      </c>
      <c r="AO40" s="542">
        <f t="shared" si="37"/>
        <v>0</v>
      </c>
      <c r="AP40" s="543">
        <f t="shared" si="38"/>
        <v>0</v>
      </c>
      <c r="AQ40" s="544" t="str">
        <f t="shared" ca="1" si="39"/>
        <v/>
      </c>
      <c r="AR40" s="545">
        <f t="shared" ca="1" si="40"/>
        <v>0</v>
      </c>
      <c r="AS40" s="545">
        <f ca="1">IFERROR(CEILING($AR40*VLOOKUP($I40,Ref!$B$23:$E$29,4,0),1),0)</f>
        <v>0</v>
      </c>
      <c r="AT40" s="545" t="str">
        <f>IF(A40="","",IF(AP40&lt;=1,"Cleared",IF(AS40=0,"Clean",VLOOKUP($AS40,Ref!$G$23:$H$28,2))))</f>
        <v>Cleared</v>
      </c>
      <c r="AU40" s="546" t="str">
        <f t="shared" si="42"/>
        <v>Ok</v>
      </c>
    </row>
    <row r="41" spans="1:47" ht="15" customHeight="1" x14ac:dyDescent="0.15">
      <c r="A41" s="564">
        <v>44355</v>
      </c>
      <c r="B41" s="523">
        <v>54</v>
      </c>
      <c r="C41" s="523">
        <v>37</v>
      </c>
      <c r="D41" s="523">
        <v>1</v>
      </c>
      <c r="E41" s="523" t="s">
        <v>1274</v>
      </c>
      <c r="F41" s="554">
        <v>600000</v>
      </c>
      <c r="G41" s="524">
        <v>5</v>
      </c>
      <c r="H41" s="555">
        <v>0.05</v>
      </c>
      <c r="I41" s="560" t="s">
        <v>859</v>
      </c>
      <c r="J41" s="523" t="s">
        <v>864</v>
      </c>
      <c r="K41" s="528" t="str">
        <f>IFERROR(VLOOKUP($B41,'Clients-Live'!$A:$C,3,0),"")</f>
        <v>MANENO ANIFA</v>
      </c>
      <c r="L41" s="528">
        <f>IF(E41="STL",Pricing!$D$38,IF(A41="",0,IF(A41&lt;Pricing!$C$25,Pricing!$D$25,VLOOKUP(Disbursements!$F41,Pricing!$B$29:$D$32,3))))</f>
        <v>10000</v>
      </c>
      <c r="M41" s="528">
        <f>IF(E41="STL",0,IF(F41&gt;0,Pricing!$D$21,0))</f>
        <v>5000</v>
      </c>
      <c r="N41" s="529">
        <f>IF(E41="STL",F41*Pricing!$D$40,IF(A41&lt;=Pricing!$C$4,0,IF(AND(A41&gt;Pricing!$C$4,Disbursements!A41&lt;=Pricing!$C$5),F41*Pricing!$E$5,IF(AND(A41&gt;Pricing!$C$5,Disbursements!A41&lt;=Pricing!$C$7),VLOOKUP(F41,Pricing!$D$7:$E$8,2)*Disbursements!F41,F41*Pricing!$E$9))))</f>
        <v>0</v>
      </c>
      <c r="O41" s="528">
        <f>IF(E41="STL",0,IF($F41&gt;0,$F41*Pricing!$D$17,0))</f>
        <v>60000</v>
      </c>
      <c r="P41" s="530">
        <f t="shared" si="22"/>
        <v>150000</v>
      </c>
      <c r="Q41" s="531">
        <f>IF($A41="","",$G41/VLOOKUP($I41,Ref!$B$23:$D$29,2,0))</f>
        <v>5</v>
      </c>
      <c r="R41" s="530">
        <f t="shared" si="23"/>
        <v>750000</v>
      </c>
      <c r="S41" s="532">
        <f t="shared" si="2"/>
        <v>150000</v>
      </c>
      <c r="T41" s="531">
        <f t="shared" si="41"/>
        <v>150000</v>
      </c>
      <c r="U41" s="533">
        <f t="shared" si="24"/>
        <v>750000</v>
      </c>
      <c r="V41" s="531">
        <f t="shared" si="25"/>
        <v>120000</v>
      </c>
      <c r="W41" s="531">
        <f t="shared" si="26"/>
        <v>30000</v>
      </c>
      <c r="X41" s="534">
        <f t="shared" si="27"/>
        <v>150000</v>
      </c>
      <c r="Y41" s="535">
        <f>IF($A41="","",IF($I41="weekly",$A41+7,EDATE($A41,VLOOKUP($I41,Ref!$B$24:$C$29,2,0))))</f>
        <v>44385</v>
      </c>
      <c r="Z41" s="536" t="str">
        <f t="shared" si="28"/>
        <v>Thu</v>
      </c>
      <c r="AA41" s="531">
        <f t="shared" si="29"/>
        <v>30</v>
      </c>
      <c r="AB41" s="535">
        <f t="shared" si="8"/>
        <v>44508</v>
      </c>
      <c r="AC41" s="537">
        <f t="shared" si="9"/>
        <v>153</v>
      </c>
      <c r="AD41" s="538" t="str">
        <f t="shared" ca="1" si="10"/>
        <v>Expired</v>
      </c>
      <c r="AE41" s="537">
        <f t="shared" ca="1" si="11"/>
        <v>0</v>
      </c>
      <c r="AF41" s="539">
        <f t="shared" ca="1" si="30"/>
        <v>5</v>
      </c>
      <c r="AG41" s="531">
        <f t="shared" ca="1" si="31"/>
        <v>750000</v>
      </c>
      <c r="AH41" s="531">
        <f t="shared" ca="1" si="32"/>
        <v>150000</v>
      </c>
      <c r="AI41" s="531">
        <f t="shared" ca="1" si="33"/>
        <v>600000</v>
      </c>
      <c r="AJ41" s="531">
        <f t="shared" ca="1" si="34"/>
        <v>0</v>
      </c>
      <c r="AK41" s="540">
        <f>SUMIFS('Live Collections'!$S:$S,'Live Collections'!$D:$D,Disbursements!B41,'Live Collections'!$G:$G,Disbursements!C41)</f>
        <v>150000</v>
      </c>
      <c r="AL41" s="540">
        <f>SUMIFS('Live Collections'!$T:$T,'Live Collections'!$D:$D,Disbursements!B41,'Live Collections'!$G:$G,Disbursements!C41)</f>
        <v>600000</v>
      </c>
      <c r="AM41" s="541">
        <f t="shared" si="35"/>
        <v>750000</v>
      </c>
      <c r="AN41" s="542">
        <f t="shared" si="36"/>
        <v>0</v>
      </c>
      <c r="AO41" s="542">
        <f t="shared" si="37"/>
        <v>0</v>
      </c>
      <c r="AP41" s="543">
        <f t="shared" si="38"/>
        <v>0</v>
      </c>
      <c r="AQ41" s="544" t="str">
        <f t="shared" ca="1" si="39"/>
        <v/>
      </c>
      <c r="AR41" s="545">
        <f t="shared" ca="1" si="40"/>
        <v>0</v>
      </c>
      <c r="AS41" s="545">
        <f ca="1">IFERROR(CEILING($AR41*VLOOKUP($I41,Ref!$B$23:$E$29,4,0),1),0)</f>
        <v>0</v>
      </c>
      <c r="AT41" s="545" t="str">
        <f>IF(A41="","",IF(AP41&lt;=1,"Cleared",IF(AS41=0,"Clean",VLOOKUP($AS41,Ref!$G$23:$H$28,2))))</f>
        <v>Cleared</v>
      </c>
      <c r="AU41" s="546" t="str">
        <f t="shared" si="42"/>
        <v>Ok</v>
      </c>
    </row>
    <row r="42" spans="1:47" ht="15" customHeight="1" x14ac:dyDescent="0.15">
      <c r="A42" s="564">
        <v>44357</v>
      </c>
      <c r="B42" s="523">
        <v>59</v>
      </c>
      <c r="C42" s="523">
        <v>39</v>
      </c>
      <c r="D42" s="523">
        <v>1</v>
      </c>
      <c r="E42" s="523" t="s">
        <v>1274</v>
      </c>
      <c r="F42" s="554">
        <v>500000</v>
      </c>
      <c r="G42" s="524">
        <v>4</v>
      </c>
      <c r="H42" s="555">
        <v>0.05</v>
      </c>
      <c r="I42" s="560" t="s">
        <v>859</v>
      </c>
      <c r="J42" s="523" t="s">
        <v>863</v>
      </c>
      <c r="K42" s="528" t="str">
        <f>IFERROR(VLOOKUP($B42,'Clients-Live'!$A:$C,3,0),"")</f>
        <v>ONZIA AGNES</v>
      </c>
      <c r="L42" s="528">
        <f>IF(E42="STL",Pricing!$D$38,IF(A42="",0,IF(A42&lt;Pricing!$C$25,Pricing!$D$25,VLOOKUP(Disbursements!$F42,Pricing!$B$29:$D$32,3))))</f>
        <v>10000</v>
      </c>
      <c r="M42" s="528">
        <f>IF(E42="STL",0,IF(F42&gt;0,Pricing!$D$21,0))</f>
        <v>5000</v>
      </c>
      <c r="N42" s="529">
        <f>IF(E42="STL",F42*Pricing!$D$40,IF(A42&lt;=Pricing!$C$4,0,IF(AND(A42&gt;Pricing!$C$4,Disbursements!A42&lt;=Pricing!$C$5),F42*Pricing!$E$5,IF(AND(A42&gt;Pricing!$C$5,Disbursements!A42&lt;=Pricing!$C$7),VLOOKUP(F42,Pricing!$D$7:$E$8,2)*Disbursements!F42,F42*Pricing!$E$9))))</f>
        <v>0</v>
      </c>
      <c r="O42" s="528">
        <f>IF(E42="STL",0,IF($F42&gt;0,$F42*Pricing!$D$17,0))</f>
        <v>50000</v>
      </c>
      <c r="P42" s="530">
        <f t="shared" si="22"/>
        <v>100000</v>
      </c>
      <c r="Q42" s="531">
        <f>IF($A42="","",$G42/VLOOKUP($I42,Ref!$B$23:$D$29,2,0))</f>
        <v>4</v>
      </c>
      <c r="R42" s="530">
        <f t="shared" si="23"/>
        <v>600000</v>
      </c>
      <c r="S42" s="532">
        <f t="shared" si="2"/>
        <v>150000</v>
      </c>
      <c r="T42" s="531">
        <f t="shared" si="41"/>
        <v>150000</v>
      </c>
      <c r="U42" s="533">
        <f t="shared" si="24"/>
        <v>600000</v>
      </c>
      <c r="V42" s="531">
        <f t="shared" si="25"/>
        <v>125000</v>
      </c>
      <c r="W42" s="531">
        <f t="shared" si="26"/>
        <v>25000</v>
      </c>
      <c r="X42" s="534">
        <f t="shared" si="27"/>
        <v>100000</v>
      </c>
      <c r="Y42" s="535">
        <f>IF($A42="","",IF($I42="weekly",$A42+7,EDATE($A42,VLOOKUP($I42,Ref!$B$24:$C$29,2,0))))</f>
        <v>44387</v>
      </c>
      <c r="Z42" s="536" t="str">
        <f t="shared" si="28"/>
        <v>Sat</v>
      </c>
      <c r="AA42" s="531">
        <f t="shared" si="29"/>
        <v>30</v>
      </c>
      <c r="AB42" s="535">
        <f t="shared" si="8"/>
        <v>44479</v>
      </c>
      <c r="AC42" s="537">
        <f t="shared" si="9"/>
        <v>122</v>
      </c>
      <c r="AD42" s="538" t="str">
        <f t="shared" ca="1" si="10"/>
        <v>Expired</v>
      </c>
      <c r="AE42" s="537">
        <f t="shared" ca="1" si="11"/>
        <v>0</v>
      </c>
      <c r="AF42" s="539">
        <f t="shared" ca="1" si="30"/>
        <v>4</v>
      </c>
      <c r="AG42" s="531">
        <f t="shared" ca="1" si="31"/>
        <v>600000</v>
      </c>
      <c r="AH42" s="531">
        <f t="shared" ca="1" si="32"/>
        <v>100000</v>
      </c>
      <c r="AI42" s="531">
        <f t="shared" ca="1" si="33"/>
        <v>500000</v>
      </c>
      <c r="AJ42" s="531">
        <f t="shared" ca="1" si="34"/>
        <v>0</v>
      </c>
      <c r="AK42" s="540">
        <f>SUMIFS('Live Collections'!$S:$S,'Live Collections'!$D:$D,Disbursements!B42,'Live Collections'!$G:$G,Disbursements!C42)</f>
        <v>100000</v>
      </c>
      <c r="AL42" s="540">
        <f>SUMIFS('Live Collections'!$T:$T,'Live Collections'!$D:$D,Disbursements!B42,'Live Collections'!$G:$G,Disbursements!C42)</f>
        <v>500000</v>
      </c>
      <c r="AM42" s="541">
        <f t="shared" si="35"/>
        <v>600000</v>
      </c>
      <c r="AN42" s="542">
        <f t="shared" si="36"/>
        <v>0</v>
      </c>
      <c r="AO42" s="542">
        <f t="shared" si="37"/>
        <v>0</v>
      </c>
      <c r="AP42" s="543">
        <f t="shared" si="38"/>
        <v>0</v>
      </c>
      <c r="AQ42" s="544" t="str">
        <f t="shared" ca="1" si="39"/>
        <v/>
      </c>
      <c r="AR42" s="545">
        <f t="shared" ca="1" si="40"/>
        <v>0</v>
      </c>
      <c r="AS42" s="545">
        <f ca="1">IFERROR(CEILING($AR42*VLOOKUP($I42,Ref!$B$23:$E$29,4,0),1),0)</f>
        <v>0</v>
      </c>
      <c r="AT42" s="545" t="str">
        <f>IF(A42="","",IF(AP42&lt;=1,"Cleared",IF(AS42=0,"Clean",VLOOKUP($AS42,Ref!$G$23:$H$28,2))))</f>
        <v>Cleared</v>
      </c>
      <c r="AU42" s="546" t="str">
        <f t="shared" si="42"/>
        <v>Ok</v>
      </c>
    </row>
    <row r="43" spans="1:47" ht="15" customHeight="1" x14ac:dyDescent="0.15">
      <c r="A43" s="564">
        <v>44358</v>
      </c>
      <c r="B43" s="523">
        <v>9</v>
      </c>
      <c r="C43" s="523">
        <v>45</v>
      </c>
      <c r="D43" s="523">
        <v>1</v>
      </c>
      <c r="E43" s="523" t="s">
        <v>1274</v>
      </c>
      <c r="F43" s="554">
        <v>600000</v>
      </c>
      <c r="G43" s="524">
        <v>4</v>
      </c>
      <c r="H43" s="555">
        <v>0.05</v>
      </c>
      <c r="I43" s="560" t="s">
        <v>859</v>
      </c>
      <c r="J43" s="523" t="s">
        <v>864</v>
      </c>
      <c r="K43" s="528" t="str">
        <f>IFERROR(VLOOKUP($B43,'Clients-Live'!$A:$C,3,0),"")</f>
        <v>TABAN DAVID YAYA</v>
      </c>
      <c r="L43" s="528">
        <f>IF(E43="STL",Pricing!$D$38,IF(A43="",0,IF(A43&lt;Pricing!$C$25,Pricing!$D$25,VLOOKUP(Disbursements!$F43,Pricing!$B$29:$D$32,3))))</f>
        <v>10000</v>
      </c>
      <c r="M43" s="528">
        <f>IF(E43="STL",0,IF(F43&gt;0,Pricing!$D$21,0))</f>
        <v>5000</v>
      </c>
      <c r="N43" s="529">
        <f>IF(E43="STL",F43*Pricing!$D$40,IF(A43&lt;=Pricing!$C$4,0,IF(AND(A43&gt;Pricing!$C$4,Disbursements!A43&lt;=Pricing!$C$5),F43*Pricing!$E$5,IF(AND(A43&gt;Pricing!$C$5,Disbursements!A43&lt;=Pricing!$C$7),VLOOKUP(F43,Pricing!$D$7:$E$8,2)*Disbursements!F43,F43*Pricing!$E$9))))</f>
        <v>0</v>
      </c>
      <c r="O43" s="528">
        <f>IF(E43="STL",0,IF($F43&gt;0,$F43*Pricing!$D$17,0))</f>
        <v>60000</v>
      </c>
      <c r="P43" s="530">
        <f t="shared" si="22"/>
        <v>120000</v>
      </c>
      <c r="Q43" s="531">
        <f>IF($A43="","",$G43/VLOOKUP($I43,Ref!$B$23:$D$29,2,0))</f>
        <v>4</v>
      </c>
      <c r="R43" s="530">
        <f t="shared" si="23"/>
        <v>720000</v>
      </c>
      <c r="S43" s="532">
        <f t="shared" si="2"/>
        <v>180000</v>
      </c>
      <c r="T43" s="531">
        <f t="shared" si="41"/>
        <v>180000</v>
      </c>
      <c r="U43" s="533">
        <f t="shared" si="24"/>
        <v>720000</v>
      </c>
      <c r="V43" s="531">
        <f t="shared" si="25"/>
        <v>150000</v>
      </c>
      <c r="W43" s="531">
        <f t="shared" si="26"/>
        <v>30000</v>
      </c>
      <c r="X43" s="534">
        <f t="shared" si="27"/>
        <v>120000</v>
      </c>
      <c r="Y43" s="535">
        <f>IF($A43="","",IF($I43="weekly",$A43+7,EDATE($A43,VLOOKUP($I43,Ref!$B$24:$C$29,2,0))))</f>
        <v>44388</v>
      </c>
      <c r="Z43" s="536" t="str">
        <f t="shared" si="28"/>
        <v>Sun</v>
      </c>
      <c r="AA43" s="531">
        <f t="shared" si="29"/>
        <v>30</v>
      </c>
      <c r="AB43" s="535">
        <f t="shared" si="8"/>
        <v>44480</v>
      </c>
      <c r="AC43" s="537">
        <f t="shared" si="9"/>
        <v>122</v>
      </c>
      <c r="AD43" s="538" t="str">
        <f t="shared" ca="1" si="10"/>
        <v>Expired</v>
      </c>
      <c r="AE43" s="537">
        <f t="shared" ca="1" si="11"/>
        <v>0</v>
      </c>
      <c r="AF43" s="539">
        <f t="shared" ca="1" si="30"/>
        <v>4</v>
      </c>
      <c r="AG43" s="531">
        <f t="shared" ca="1" si="31"/>
        <v>720000</v>
      </c>
      <c r="AH43" s="531">
        <f t="shared" ca="1" si="32"/>
        <v>120000</v>
      </c>
      <c r="AI43" s="531">
        <f t="shared" ca="1" si="33"/>
        <v>600000</v>
      </c>
      <c r="AJ43" s="531">
        <f t="shared" ca="1" si="34"/>
        <v>0</v>
      </c>
      <c r="AK43" s="540">
        <f>SUMIFS('Live Collections'!$S:$S,'Live Collections'!$D:$D,Disbursements!B43,'Live Collections'!$G:$G,Disbursements!C43)</f>
        <v>120000</v>
      </c>
      <c r="AL43" s="540">
        <f>SUMIFS('Live Collections'!$T:$T,'Live Collections'!$D:$D,Disbursements!B43,'Live Collections'!$G:$G,Disbursements!C43)</f>
        <v>600000</v>
      </c>
      <c r="AM43" s="541">
        <f t="shared" si="35"/>
        <v>720000</v>
      </c>
      <c r="AN43" s="542">
        <f t="shared" si="36"/>
        <v>0</v>
      </c>
      <c r="AO43" s="542">
        <f t="shared" si="37"/>
        <v>0</v>
      </c>
      <c r="AP43" s="543">
        <f t="shared" si="38"/>
        <v>0</v>
      </c>
      <c r="AQ43" s="544" t="str">
        <f t="shared" ca="1" si="39"/>
        <v/>
      </c>
      <c r="AR43" s="545">
        <f t="shared" ca="1" si="40"/>
        <v>0</v>
      </c>
      <c r="AS43" s="545">
        <f ca="1">IFERROR(CEILING($AR43*VLOOKUP($I43,Ref!$B$23:$E$29,4,0),1),0)</f>
        <v>0</v>
      </c>
      <c r="AT43" s="545" t="str">
        <f>IF(A43="","",IF(AP43&lt;=1,"Cleared",IF(AS43=0,"Clean",VLOOKUP($AS43,Ref!$G$23:$H$28,2))))</f>
        <v>Cleared</v>
      </c>
      <c r="AU43" s="546" t="str">
        <f t="shared" si="42"/>
        <v>Ok</v>
      </c>
    </row>
    <row r="44" spans="1:47" ht="15" customHeight="1" x14ac:dyDescent="0.15">
      <c r="A44" s="564">
        <v>44358</v>
      </c>
      <c r="B44" s="523">
        <v>56</v>
      </c>
      <c r="C44" s="523">
        <v>43</v>
      </c>
      <c r="D44" s="523">
        <v>1</v>
      </c>
      <c r="E44" s="523" t="s">
        <v>1274</v>
      </c>
      <c r="F44" s="554">
        <v>200000</v>
      </c>
      <c r="G44" s="524">
        <v>4</v>
      </c>
      <c r="H44" s="555">
        <v>0.05</v>
      </c>
      <c r="I44" s="560" t="s">
        <v>859</v>
      </c>
      <c r="J44" s="523" t="s">
        <v>864</v>
      </c>
      <c r="K44" s="528" t="str">
        <f>IFERROR(VLOOKUP($B44,'Clients-Live'!$A:$C,3,0),"")</f>
        <v>ALOMO ZABIBU</v>
      </c>
      <c r="L44" s="528">
        <f>IF(E44="STL",Pricing!$D$38,IF(A44="",0,IF(A44&lt;Pricing!$C$25,Pricing!$D$25,VLOOKUP(Disbursements!$F44,Pricing!$B$29:$D$32,3))))</f>
        <v>10000</v>
      </c>
      <c r="M44" s="528">
        <f>IF(E44="STL",0,IF(F44&gt;0,Pricing!$D$21,0))</f>
        <v>5000</v>
      </c>
      <c r="N44" s="529">
        <f>IF(E44="STL",F44*Pricing!$D$40,IF(A44&lt;=Pricing!$C$4,0,IF(AND(A44&gt;Pricing!$C$4,Disbursements!A44&lt;=Pricing!$C$5),F44*Pricing!$E$5,IF(AND(A44&gt;Pricing!$C$5,Disbursements!A44&lt;=Pricing!$C$7),VLOOKUP(F44,Pricing!$D$7:$E$8,2)*Disbursements!F44,F44*Pricing!$E$9))))</f>
        <v>0</v>
      </c>
      <c r="O44" s="528">
        <f>IF(E44="STL",0,IF($F44&gt;0,$F44*Pricing!$D$17,0))</f>
        <v>20000</v>
      </c>
      <c r="P44" s="530">
        <f t="shared" si="22"/>
        <v>40000</v>
      </c>
      <c r="Q44" s="531">
        <f>IF($A44="","",$G44/VLOOKUP($I44,Ref!$B$23:$D$29,2,0))</f>
        <v>4</v>
      </c>
      <c r="R44" s="530">
        <f t="shared" si="23"/>
        <v>240000</v>
      </c>
      <c r="S44" s="532">
        <f t="shared" si="2"/>
        <v>60000</v>
      </c>
      <c r="T44" s="531">
        <f t="shared" si="41"/>
        <v>60000</v>
      </c>
      <c r="U44" s="533">
        <f t="shared" si="24"/>
        <v>240000</v>
      </c>
      <c r="V44" s="531">
        <f t="shared" si="25"/>
        <v>50000</v>
      </c>
      <c r="W44" s="531">
        <f t="shared" si="26"/>
        <v>10000</v>
      </c>
      <c r="X44" s="534">
        <f t="shared" si="27"/>
        <v>40000</v>
      </c>
      <c r="Y44" s="535">
        <f>IF($A44="","",IF($I44="weekly",$A44+7,EDATE($A44,VLOOKUP($I44,Ref!$B$24:$C$29,2,0))))</f>
        <v>44388</v>
      </c>
      <c r="Z44" s="536" t="str">
        <f t="shared" si="28"/>
        <v>Sun</v>
      </c>
      <c r="AA44" s="531">
        <f t="shared" si="29"/>
        <v>30</v>
      </c>
      <c r="AB44" s="535">
        <f t="shared" si="8"/>
        <v>44480</v>
      </c>
      <c r="AC44" s="537">
        <f t="shared" si="9"/>
        <v>122</v>
      </c>
      <c r="AD44" s="538" t="str">
        <f t="shared" ca="1" si="10"/>
        <v>Expired</v>
      </c>
      <c r="AE44" s="537">
        <f t="shared" ca="1" si="11"/>
        <v>0</v>
      </c>
      <c r="AF44" s="539">
        <f t="shared" ca="1" si="30"/>
        <v>4</v>
      </c>
      <c r="AG44" s="531">
        <f t="shared" ca="1" si="31"/>
        <v>240000</v>
      </c>
      <c r="AH44" s="531">
        <f t="shared" ca="1" si="32"/>
        <v>40000</v>
      </c>
      <c r="AI44" s="531">
        <f t="shared" ca="1" si="33"/>
        <v>200000</v>
      </c>
      <c r="AJ44" s="531">
        <f t="shared" ca="1" si="34"/>
        <v>0</v>
      </c>
      <c r="AK44" s="540">
        <f>SUMIFS('Live Collections'!$S:$S,'Live Collections'!$D:$D,Disbursements!B44,'Live Collections'!$G:$G,Disbursements!C44)</f>
        <v>40000</v>
      </c>
      <c r="AL44" s="540">
        <f>SUMIFS('Live Collections'!$T:$T,'Live Collections'!$D:$D,Disbursements!B44,'Live Collections'!$G:$G,Disbursements!C44)</f>
        <v>200000</v>
      </c>
      <c r="AM44" s="541">
        <f t="shared" si="35"/>
        <v>240000</v>
      </c>
      <c r="AN44" s="542">
        <f t="shared" si="36"/>
        <v>0</v>
      </c>
      <c r="AO44" s="542">
        <f t="shared" si="37"/>
        <v>0</v>
      </c>
      <c r="AP44" s="543">
        <f t="shared" si="38"/>
        <v>0</v>
      </c>
      <c r="AQ44" s="544" t="str">
        <f t="shared" ca="1" si="39"/>
        <v/>
      </c>
      <c r="AR44" s="545">
        <f t="shared" ca="1" si="40"/>
        <v>0</v>
      </c>
      <c r="AS44" s="545">
        <f ca="1">IFERROR(CEILING($AR44*VLOOKUP($I44,Ref!$B$23:$E$29,4,0),1),0)</f>
        <v>0</v>
      </c>
      <c r="AT44" s="545" t="str">
        <f>IF(A44="","",IF(AP44&lt;=1,"Cleared",IF(AS44=0,"Clean",VLOOKUP($AS44,Ref!$G$23:$H$28,2))))</f>
        <v>Cleared</v>
      </c>
      <c r="AU44" s="546" t="str">
        <f t="shared" si="42"/>
        <v>Ok</v>
      </c>
    </row>
    <row r="45" spans="1:47" ht="15" customHeight="1" x14ac:dyDescent="0.15">
      <c r="A45" s="564">
        <v>44358</v>
      </c>
      <c r="B45" s="523">
        <v>57</v>
      </c>
      <c r="C45" s="523">
        <v>41</v>
      </c>
      <c r="D45" s="523">
        <v>1</v>
      </c>
      <c r="E45" s="523" t="s">
        <v>1274</v>
      </c>
      <c r="F45" s="554">
        <v>200000</v>
      </c>
      <c r="G45" s="524">
        <v>4</v>
      </c>
      <c r="H45" s="555">
        <v>0.05</v>
      </c>
      <c r="I45" s="560" t="s">
        <v>859</v>
      </c>
      <c r="J45" s="523" t="s">
        <v>862</v>
      </c>
      <c r="K45" s="528" t="str">
        <f>IFERROR(VLOOKUP($B45,'Clients-Live'!$A:$C,3,0),"")</f>
        <v>ASERU SCOVIA</v>
      </c>
      <c r="L45" s="528">
        <f>IF(E45="STL",Pricing!$D$38,IF(A45="",0,IF(A45&lt;Pricing!$C$25,Pricing!$D$25,VLOOKUP(Disbursements!$F45,Pricing!$B$29:$D$32,3))))</f>
        <v>10000</v>
      </c>
      <c r="M45" s="528">
        <f>IF(E45="STL",0,IF(F45&gt;0,Pricing!$D$21,0))</f>
        <v>5000</v>
      </c>
      <c r="N45" s="529">
        <f>IF(E45="STL",F45*Pricing!$D$40,IF(A45&lt;=Pricing!$C$4,0,IF(AND(A45&gt;Pricing!$C$4,Disbursements!A45&lt;=Pricing!$C$5),F45*Pricing!$E$5,IF(AND(A45&gt;Pricing!$C$5,Disbursements!A45&lt;=Pricing!$C$7),VLOOKUP(F45,Pricing!$D$7:$E$8,2)*Disbursements!F45,F45*Pricing!$E$9))))</f>
        <v>0</v>
      </c>
      <c r="O45" s="528">
        <f>IF(E45="STL",0,IF($F45&gt;0,$F45*Pricing!$D$17,0))</f>
        <v>20000</v>
      </c>
      <c r="P45" s="530">
        <f t="shared" si="22"/>
        <v>40000</v>
      </c>
      <c r="Q45" s="531">
        <f>IF($A45="","",$G45/VLOOKUP($I45,Ref!$B$23:$D$29,2,0))</f>
        <v>4</v>
      </c>
      <c r="R45" s="530">
        <f t="shared" si="23"/>
        <v>240000</v>
      </c>
      <c r="S45" s="532">
        <f t="shared" si="2"/>
        <v>60000</v>
      </c>
      <c r="T45" s="531">
        <f t="shared" si="41"/>
        <v>60000</v>
      </c>
      <c r="U45" s="533">
        <f t="shared" si="24"/>
        <v>240000</v>
      </c>
      <c r="V45" s="531">
        <f t="shared" si="25"/>
        <v>50000</v>
      </c>
      <c r="W45" s="531">
        <f t="shared" si="26"/>
        <v>10000</v>
      </c>
      <c r="X45" s="534">
        <f t="shared" si="27"/>
        <v>40000</v>
      </c>
      <c r="Y45" s="535">
        <f>IF($A45="","",IF($I45="weekly",$A45+7,EDATE($A45,VLOOKUP($I45,Ref!$B$24:$C$29,2,0))))</f>
        <v>44388</v>
      </c>
      <c r="Z45" s="536" t="str">
        <f t="shared" si="28"/>
        <v>Sun</v>
      </c>
      <c r="AA45" s="531">
        <f t="shared" si="29"/>
        <v>30</v>
      </c>
      <c r="AB45" s="535">
        <f t="shared" si="8"/>
        <v>44480</v>
      </c>
      <c r="AC45" s="537">
        <f t="shared" si="9"/>
        <v>122</v>
      </c>
      <c r="AD45" s="538" t="str">
        <f t="shared" ca="1" si="10"/>
        <v>Expired</v>
      </c>
      <c r="AE45" s="537">
        <f t="shared" ca="1" si="11"/>
        <v>0</v>
      </c>
      <c r="AF45" s="539">
        <f t="shared" ca="1" si="30"/>
        <v>4</v>
      </c>
      <c r="AG45" s="531">
        <f t="shared" ca="1" si="31"/>
        <v>240000</v>
      </c>
      <c r="AH45" s="531">
        <f t="shared" ca="1" si="32"/>
        <v>40000</v>
      </c>
      <c r="AI45" s="531">
        <f t="shared" ca="1" si="33"/>
        <v>200000</v>
      </c>
      <c r="AJ45" s="531">
        <f t="shared" ca="1" si="34"/>
        <v>0</v>
      </c>
      <c r="AK45" s="540">
        <f>SUMIFS('Live Collections'!$S:$S,'Live Collections'!$D:$D,Disbursements!B45,'Live Collections'!$G:$G,Disbursements!C45)</f>
        <v>35000</v>
      </c>
      <c r="AL45" s="540">
        <f>SUMIFS('Live Collections'!$T:$T,'Live Collections'!$D:$D,Disbursements!B45,'Live Collections'!$G:$G,Disbursements!C45)</f>
        <v>180000</v>
      </c>
      <c r="AM45" s="541">
        <f t="shared" si="35"/>
        <v>215000</v>
      </c>
      <c r="AN45" s="542">
        <f t="shared" si="36"/>
        <v>5000</v>
      </c>
      <c r="AO45" s="542">
        <f t="shared" si="37"/>
        <v>20000</v>
      </c>
      <c r="AP45" s="543">
        <f t="shared" si="38"/>
        <v>25000</v>
      </c>
      <c r="AQ45" s="544">
        <f t="shared" ca="1" si="39"/>
        <v>25000</v>
      </c>
      <c r="AR45" s="545">
        <f t="shared" ca="1" si="40"/>
        <v>0.41666666666666669</v>
      </c>
      <c r="AS45" s="545">
        <f ca="1">IFERROR(CEILING($AR45*VLOOKUP($I45,Ref!$B$23:$E$29,4,0),1),0)</f>
        <v>13</v>
      </c>
      <c r="AT45" s="545" t="str">
        <f ca="1">IF(A45="","",IF(AP45&lt;=1,"Cleared",IF(AS45=0,"Clean",VLOOKUP($AS45,Ref!$G$23:$H$28,2))))</f>
        <v>1.(0-30) Days</v>
      </c>
      <c r="AU45" s="546" t="str">
        <f t="shared" si="42"/>
        <v>Ok</v>
      </c>
    </row>
    <row r="46" spans="1:47" ht="15" customHeight="1" x14ac:dyDescent="0.15">
      <c r="A46" s="564">
        <v>44358</v>
      </c>
      <c r="B46" s="523">
        <v>58</v>
      </c>
      <c r="C46" s="523">
        <v>46</v>
      </c>
      <c r="D46" s="523">
        <v>1</v>
      </c>
      <c r="E46" s="523" t="s">
        <v>1274</v>
      </c>
      <c r="F46" s="554">
        <v>600000</v>
      </c>
      <c r="G46" s="524">
        <v>4</v>
      </c>
      <c r="H46" s="555">
        <v>0.05</v>
      </c>
      <c r="I46" s="560" t="s">
        <v>859</v>
      </c>
      <c r="J46" s="523" t="s">
        <v>863</v>
      </c>
      <c r="K46" s="528" t="str">
        <f>IFERROR(VLOOKUP($B46,'Clients-Live'!$A:$C,3,0),"")</f>
        <v xml:space="preserve">ALIRU AMINA </v>
      </c>
      <c r="L46" s="528">
        <f>IF(E46="STL",Pricing!$D$38,IF(A46="",0,IF(A46&lt;Pricing!$C$25,Pricing!$D$25,VLOOKUP(Disbursements!$F46,Pricing!$B$29:$D$32,3))))</f>
        <v>10000</v>
      </c>
      <c r="M46" s="528">
        <f>IF(E46="STL",0,IF(F46&gt;0,Pricing!$D$21,0))</f>
        <v>5000</v>
      </c>
      <c r="N46" s="529">
        <f>IF(E46="STL",F46*Pricing!$D$40,IF(A46&lt;=Pricing!$C$4,0,IF(AND(A46&gt;Pricing!$C$4,Disbursements!A46&lt;=Pricing!$C$5),F46*Pricing!$E$5,IF(AND(A46&gt;Pricing!$C$5,Disbursements!A46&lt;=Pricing!$C$7),VLOOKUP(F46,Pricing!$D$7:$E$8,2)*Disbursements!F46,F46*Pricing!$E$9))))</f>
        <v>0</v>
      </c>
      <c r="O46" s="528">
        <f>IF(E46="STL",0,IF($F46&gt;0,$F46*Pricing!$D$17,0))</f>
        <v>60000</v>
      </c>
      <c r="P46" s="530">
        <f t="shared" si="22"/>
        <v>120000</v>
      </c>
      <c r="Q46" s="531">
        <f>IF($A46="","",$G46/VLOOKUP($I46,Ref!$B$23:$D$29,2,0))</f>
        <v>4</v>
      </c>
      <c r="R46" s="530">
        <f t="shared" si="23"/>
        <v>720000</v>
      </c>
      <c r="S46" s="532">
        <f t="shared" si="2"/>
        <v>180000</v>
      </c>
      <c r="T46" s="531">
        <f t="shared" si="41"/>
        <v>180000</v>
      </c>
      <c r="U46" s="533">
        <f t="shared" si="24"/>
        <v>720000</v>
      </c>
      <c r="V46" s="531">
        <f t="shared" si="25"/>
        <v>150000</v>
      </c>
      <c r="W46" s="531">
        <f t="shared" si="26"/>
        <v>30000</v>
      </c>
      <c r="X46" s="534">
        <f t="shared" si="27"/>
        <v>120000</v>
      </c>
      <c r="Y46" s="535">
        <f>IF($A46="","",IF($I46="weekly",$A46+7,EDATE($A46,VLOOKUP($I46,Ref!$B$24:$C$29,2,0))))</f>
        <v>44388</v>
      </c>
      <c r="Z46" s="536" t="str">
        <f t="shared" si="28"/>
        <v>Sun</v>
      </c>
      <c r="AA46" s="531">
        <f t="shared" si="29"/>
        <v>30</v>
      </c>
      <c r="AB46" s="535">
        <f t="shared" si="8"/>
        <v>44480</v>
      </c>
      <c r="AC46" s="537">
        <f t="shared" si="9"/>
        <v>122</v>
      </c>
      <c r="AD46" s="538" t="str">
        <f t="shared" ca="1" si="10"/>
        <v>Expired</v>
      </c>
      <c r="AE46" s="537">
        <f t="shared" ca="1" si="11"/>
        <v>0</v>
      </c>
      <c r="AF46" s="539">
        <f t="shared" ca="1" si="30"/>
        <v>4</v>
      </c>
      <c r="AG46" s="531">
        <f t="shared" ca="1" si="31"/>
        <v>720000</v>
      </c>
      <c r="AH46" s="531">
        <f t="shared" ca="1" si="32"/>
        <v>120000</v>
      </c>
      <c r="AI46" s="531">
        <f t="shared" ca="1" si="33"/>
        <v>600000</v>
      </c>
      <c r="AJ46" s="531">
        <f t="shared" ca="1" si="34"/>
        <v>0</v>
      </c>
      <c r="AK46" s="540">
        <f>SUMIFS('Live Collections'!$S:$S,'Live Collections'!$D:$D,Disbursements!B46,'Live Collections'!$G:$G,Disbursements!C46)</f>
        <v>120000</v>
      </c>
      <c r="AL46" s="540">
        <f>SUMIFS('Live Collections'!$T:$T,'Live Collections'!$D:$D,Disbursements!B46,'Live Collections'!$G:$G,Disbursements!C46)</f>
        <v>600000</v>
      </c>
      <c r="AM46" s="541">
        <f t="shared" si="35"/>
        <v>720000</v>
      </c>
      <c r="AN46" s="542">
        <f t="shared" si="36"/>
        <v>0</v>
      </c>
      <c r="AO46" s="542">
        <f t="shared" si="37"/>
        <v>0</v>
      </c>
      <c r="AP46" s="543">
        <f t="shared" si="38"/>
        <v>0</v>
      </c>
      <c r="AQ46" s="544" t="str">
        <f t="shared" ca="1" si="39"/>
        <v/>
      </c>
      <c r="AR46" s="545">
        <f t="shared" ca="1" si="40"/>
        <v>0</v>
      </c>
      <c r="AS46" s="545">
        <f ca="1">IFERROR(CEILING($AR46*VLOOKUP($I46,Ref!$B$23:$E$29,4,0),1),0)</f>
        <v>0</v>
      </c>
      <c r="AT46" s="545" t="str">
        <f>IF(A46="","",IF(AP46&lt;=1,"Cleared",IF(AS46=0,"Clean",VLOOKUP($AS46,Ref!$G$23:$H$28,2))))</f>
        <v>Cleared</v>
      </c>
      <c r="AU46" s="546" t="str">
        <f t="shared" si="42"/>
        <v>Ok</v>
      </c>
    </row>
    <row r="47" spans="1:47" ht="15" customHeight="1" x14ac:dyDescent="0.15">
      <c r="A47" s="564">
        <v>44358</v>
      </c>
      <c r="B47" s="523">
        <v>61</v>
      </c>
      <c r="C47" s="523">
        <v>42</v>
      </c>
      <c r="D47" s="523">
        <v>1</v>
      </c>
      <c r="E47" s="523" t="s">
        <v>1274</v>
      </c>
      <c r="F47" s="554">
        <v>300000</v>
      </c>
      <c r="G47" s="524">
        <v>4</v>
      </c>
      <c r="H47" s="555">
        <v>0.05</v>
      </c>
      <c r="I47" s="560" t="s">
        <v>859</v>
      </c>
      <c r="J47" s="523" t="s">
        <v>862</v>
      </c>
      <c r="K47" s="528" t="str">
        <f>IFERROR(VLOOKUP($B47,'Clients-Live'!$A:$C,3,0),"")</f>
        <v>AREDU RUKIA</v>
      </c>
      <c r="L47" s="528">
        <f>IF(E47="STL",Pricing!$D$38,IF(A47="",0,IF(A47&lt;Pricing!$C$25,Pricing!$D$25,VLOOKUP(Disbursements!$F47,Pricing!$B$29:$D$32,3))))</f>
        <v>10000</v>
      </c>
      <c r="M47" s="528">
        <f>IF(E47="STL",0,IF(F47&gt;0,Pricing!$D$21,0))</f>
        <v>5000</v>
      </c>
      <c r="N47" s="529">
        <f>IF(E47="STL",F47*Pricing!$D$40,IF(A47&lt;=Pricing!$C$4,0,IF(AND(A47&gt;Pricing!$C$4,Disbursements!A47&lt;=Pricing!$C$5),F47*Pricing!$E$5,IF(AND(A47&gt;Pricing!$C$5,Disbursements!A47&lt;=Pricing!$C$7),VLOOKUP(F47,Pricing!$D$7:$E$8,2)*Disbursements!F47,F47*Pricing!$E$9))))</f>
        <v>0</v>
      </c>
      <c r="O47" s="528">
        <f>IF(E47="STL",0,IF($F47&gt;0,$F47*Pricing!$D$17,0))</f>
        <v>30000</v>
      </c>
      <c r="P47" s="530">
        <f t="shared" si="22"/>
        <v>60000</v>
      </c>
      <c r="Q47" s="531">
        <f>IF($A47="","",$G47/VLOOKUP($I47,Ref!$B$23:$D$29,2,0))</f>
        <v>4</v>
      </c>
      <c r="R47" s="530">
        <f t="shared" si="23"/>
        <v>360000</v>
      </c>
      <c r="S47" s="532">
        <f t="shared" si="2"/>
        <v>90000</v>
      </c>
      <c r="T47" s="531">
        <f t="shared" si="41"/>
        <v>90000</v>
      </c>
      <c r="U47" s="533">
        <f t="shared" si="24"/>
        <v>360000</v>
      </c>
      <c r="V47" s="531">
        <f t="shared" si="25"/>
        <v>75000</v>
      </c>
      <c r="W47" s="531">
        <f t="shared" si="26"/>
        <v>15000</v>
      </c>
      <c r="X47" s="534">
        <f t="shared" si="27"/>
        <v>60000</v>
      </c>
      <c r="Y47" s="535">
        <f>IF($A47="","",IF($I47="weekly",$A47+7,EDATE($A47,VLOOKUP($I47,Ref!$B$24:$C$29,2,0))))</f>
        <v>44388</v>
      </c>
      <c r="Z47" s="536" t="str">
        <f t="shared" si="28"/>
        <v>Sun</v>
      </c>
      <c r="AA47" s="531">
        <f t="shared" si="29"/>
        <v>30</v>
      </c>
      <c r="AB47" s="535">
        <f t="shared" si="8"/>
        <v>44480</v>
      </c>
      <c r="AC47" s="537">
        <f t="shared" si="9"/>
        <v>122</v>
      </c>
      <c r="AD47" s="538" t="str">
        <f t="shared" ca="1" si="10"/>
        <v>Expired</v>
      </c>
      <c r="AE47" s="537">
        <f t="shared" ca="1" si="11"/>
        <v>0</v>
      </c>
      <c r="AF47" s="539">
        <f t="shared" ca="1" si="30"/>
        <v>4</v>
      </c>
      <c r="AG47" s="531">
        <f t="shared" ca="1" si="31"/>
        <v>360000</v>
      </c>
      <c r="AH47" s="531">
        <f t="shared" ca="1" si="32"/>
        <v>60000</v>
      </c>
      <c r="AI47" s="531">
        <f t="shared" ca="1" si="33"/>
        <v>300000</v>
      </c>
      <c r="AJ47" s="531">
        <f t="shared" ca="1" si="34"/>
        <v>0</v>
      </c>
      <c r="AK47" s="540">
        <f>SUMIFS('Live Collections'!$S:$S,'Live Collections'!$D:$D,Disbursements!B47,'Live Collections'!$G:$G,Disbursements!C47)</f>
        <v>60000</v>
      </c>
      <c r="AL47" s="540">
        <f>SUMIFS('Live Collections'!$T:$T,'Live Collections'!$D:$D,Disbursements!B47,'Live Collections'!$G:$G,Disbursements!C47)</f>
        <v>300000</v>
      </c>
      <c r="AM47" s="541">
        <f t="shared" si="35"/>
        <v>360000</v>
      </c>
      <c r="AN47" s="542">
        <f t="shared" si="36"/>
        <v>0</v>
      </c>
      <c r="AO47" s="542">
        <f t="shared" si="37"/>
        <v>0</v>
      </c>
      <c r="AP47" s="543">
        <f t="shared" si="38"/>
        <v>0</v>
      </c>
      <c r="AQ47" s="544" t="str">
        <f t="shared" ca="1" si="39"/>
        <v/>
      </c>
      <c r="AR47" s="545">
        <f t="shared" ca="1" si="40"/>
        <v>0</v>
      </c>
      <c r="AS47" s="545">
        <f ca="1">IFERROR(CEILING($AR47*VLOOKUP($I47,Ref!$B$23:$E$29,4,0),1),0)</f>
        <v>0</v>
      </c>
      <c r="AT47" s="545" t="str">
        <f>IF(A47="","",IF(AP47&lt;=1,"Cleared",IF(AS47=0,"Clean",VLOOKUP($AS47,Ref!$G$23:$H$28,2))))</f>
        <v>Cleared</v>
      </c>
      <c r="AU47" s="546" t="str">
        <f t="shared" si="42"/>
        <v>Ok</v>
      </c>
    </row>
    <row r="48" spans="1:47" ht="15" customHeight="1" x14ac:dyDescent="0.15">
      <c r="A48" s="564">
        <v>44358</v>
      </c>
      <c r="B48" s="523">
        <v>62</v>
      </c>
      <c r="C48" s="523">
        <v>44</v>
      </c>
      <c r="D48" s="523">
        <v>1</v>
      </c>
      <c r="E48" s="523" t="s">
        <v>1274</v>
      </c>
      <c r="F48" s="554">
        <v>1000000</v>
      </c>
      <c r="G48" s="524">
        <v>6</v>
      </c>
      <c r="H48" s="555">
        <v>0.05</v>
      </c>
      <c r="I48" s="560" t="s">
        <v>859</v>
      </c>
      <c r="J48" s="523" t="s">
        <v>864</v>
      </c>
      <c r="K48" s="528" t="str">
        <f>IFERROR(VLOOKUP($B48,'Clients-Live'!$A:$C,3,0),"")</f>
        <v>DUDU ARIKE</v>
      </c>
      <c r="L48" s="528">
        <f>IF(E48="STL",Pricing!$D$38,IF(A48="",0,IF(A48&lt;Pricing!$C$25,Pricing!$D$25,VLOOKUP(Disbursements!$F48,Pricing!$B$29:$D$32,3))))</f>
        <v>10000</v>
      </c>
      <c r="M48" s="528">
        <f>IF(E48="STL",0,IF(F48&gt;0,Pricing!$D$21,0))</f>
        <v>5000</v>
      </c>
      <c r="N48" s="529">
        <f>IF(E48="STL",F48*Pricing!$D$40,IF(A48&lt;=Pricing!$C$4,0,IF(AND(A48&gt;Pricing!$C$4,Disbursements!A48&lt;=Pricing!$C$5),F48*Pricing!$E$5,IF(AND(A48&gt;Pricing!$C$5,Disbursements!A48&lt;=Pricing!$C$7),VLOOKUP(F48,Pricing!$D$7:$E$8,2)*Disbursements!F48,F48*Pricing!$E$9))))</f>
        <v>0</v>
      </c>
      <c r="O48" s="528">
        <f>IF(E48="STL",0,IF($F48&gt;0,$F48*Pricing!$D$17,0))</f>
        <v>100000</v>
      </c>
      <c r="P48" s="530">
        <f t="shared" si="22"/>
        <v>300000</v>
      </c>
      <c r="Q48" s="531">
        <f>IF($A48="","",$G48/VLOOKUP($I48,Ref!$B$23:$D$29,2,0))</f>
        <v>6</v>
      </c>
      <c r="R48" s="530">
        <f t="shared" si="23"/>
        <v>1300000</v>
      </c>
      <c r="S48" s="532">
        <f t="shared" si="2"/>
        <v>216666.66666666666</v>
      </c>
      <c r="T48" s="531">
        <f t="shared" si="41"/>
        <v>217000</v>
      </c>
      <c r="U48" s="533">
        <f t="shared" si="24"/>
        <v>1302000</v>
      </c>
      <c r="V48" s="531">
        <f t="shared" si="25"/>
        <v>166666.66666666666</v>
      </c>
      <c r="W48" s="531">
        <f t="shared" si="26"/>
        <v>50333.333333333343</v>
      </c>
      <c r="X48" s="534">
        <f t="shared" si="27"/>
        <v>302000.00000000006</v>
      </c>
      <c r="Y48" s="535">
        <f>IF($A48="","",IF($I48="weekly",$A48+7,EDATE($A48,VLOOKUP($I48,Ref!$B$24:$C$29,2,0))))</f>
        <v>44388</v>
      </c>
      <c r="Z48" s="536" t="str">
        <f t="shared" si="28"/>
        <v>Sun</v>
      </c>
      <c r="AA48" s="531">
        <f t="shared" si="29"/>
        <v>30</v>
      </c>
      <c r="AB48" s="535">
        <f t="shared" si="8"/>
        <v>44541</v>
      </c>
      <c r="AC48" s="537">
        <f t="shared" si="9"/>
        <v>183</v>
      </c>
      <c r="AD48" s="538" t="str">
        <f t="shared" ca="1" si="10"/>
        <v>Expired</v>
      </c>
      <c r="AE48" s="537">
        <f t="shared" ca="1" si="11"/>
        <v>0</v>
      </c>
      <c r="AF48" s="539">
        <f t="shared" ca="1" si="30"/>
        <v>6</v>
      </c>
      <c r="AG48" s="531">
        <f t="shared" ca="1" si="31"/>
        <v>1302000</v>
      </c>
      <c r="AH48" s="531">
        <f t="shared" ca="1" si="32"/>
        <v>302000.00000000006</v>
      </c>
      <c r="AI48" s="531">
        <f t="shared" ca="1" si="33"/>
        <v>1000000</v>
      </c>
      <c r="AJ48" s="531">
        <f t="shared" ca="1" si="34"/>
        <v>0</v>
      </c>
      <c r="AK48" s="540">
        <f>SUMIFS('Live Collections'!$S:$S,'Live Collections'!$D:$D,Disbursements!B48,'Live Collections'!$G:$G,Disbursements!C48)</f>
        <v>302000.00000000006</v>
      </c>
      <c r="AL48" s="540">
        <f>SUMIFS('Live Collections'!$T:$T,'Live Collections'!$D:$D,Disbursements!B48,'Live Collections'!$G:$G,Disbursements!C48)</f>
        <v>997999.99999999988</v>
      </c>
      <c r="AM48" s="541">
        <f t="shared" si="35"/>
        <v>1300000</v>
      </c>
      <c r="AN48" s="542">
        <f t="shared" si="36"/>
        <v>0</v>
      </c>
      <c r="AO48" s="542">
        <f t="shared" si="37"/>
        <v>2000.0000000001164</v>
      </c>
      <c r="AP48" s="543">
        <f t="shared" si="38"/>
        <v>2000.0000000001164</v>
      </c>
      <c r="AQ48" s="544">
        <f t="shared" ca="1" si="39"/>
        <v>2000.0000000001164</v>
      </c>
      <c r="AR48" s="545">
        <f t="shared" ca="1" si="40"/>
        <v>9.2165898617516881E-3</v>
      </c>
      <c r="AS48" s="545">
        <f ca="1">IFERROR(CEILING($AR48*VLOOKUP($I48,Ref!$B$23:$E$29,4,0),1),0)</f>
        <v>1</v>
      </c>
      <c r="AT48" s="545" t="str">
        <f ca="1">IF(A48="","",IF(AP48&lt;=1,"Cleared",IF(AS48=0,"Clean",VLOOKUP($AS48,Ref!$G$23:$H$28,2))))</f>
        <v>1.(0-30) Days</v>
      </c>
      <c r="AU48" s="546" t="str">
        <f t="shared" si="42"/>
        <v>Ok</v>
      </c>
    </row>
    <row r="49" spans="1:47" ht="15" customHeight="1" x14ac:dyDescent="0.15">
      <c r="A49" s="564">
        <v>44358</v>
      </c>
      <c r="B49" s="523">
        <v>64</v>
      </c>
      <c r="C49" s="523">
        <v>40</v>
      </c>
      <c r="D49" s="523">
        <v>1</v>
      </c>
      <c r="E49" s="523" t="s">
        <v>1274</v>
      </c>
      <c r="F49" s="554">
        <v>500000</v>
      </c>
      <c r="G49" s="524">
        <v>4</v>
      </c>
      <c r="H49" s="555">
        <v>0.05</v>
      </c>
      <c r="I49" s="560" t="s">
        <v>859</v>
      </c>
      <c r="J49" s="523" t="s">
        <v>863</v>
      </c>
      <c r="K49" s="528" t="str">
        <f>IFERROR(VLOOKUP($B49,'Clients-Live'!$A:$C,3,0),"")</f>
        <v>AKINO JUDITH</v>
      </c>
      <c r="L49" s="528">
        <f>IF(E49="STL",Pricing!$D$38,IF(A49="",0,IF(A49&lt;Pricing!$C$25,Pricing!$D$25,VLOOKUP(Disbursements!$F49,Pricing!$B$29:$D$32,3))))</f>
        <v>10000</v>
      </c>
      <c r="M49" s="528">
        <f>IF(E49="STL",0,IF(F49&gt;0,Pricing!$D$21,0))</f>
        <v>5000</v>
      </c>
      <c r="N49" s="529">
        <f>IF(E49="STL",F49*Pricing!$D$40,IF(A49&lt;=Pricing!$C$4,0,IF(AND(A49&gt;Pricing!$C$4,Disbursements!A49&lt;=Pricing!$C$5),F49*Pricing!$E$5,IF(AND(A49&gt;Pricing!$C$5,Disbursements!A49&lt;=Pricing!$C$7),VLOOKUP(F49,Pricing!$D$7:$E$8,2)*Disbursements!F49,F49*Pricing!$E$9))))</f>
        <v>0</v>
      </c>
      <c r="O49" s="528">
        <f>IF(E49="STL",0,IF($F49&gt;0,$F49*Pricing!$D$17,0))</f>
        <v>50000</v>
      </c>
      <c r="P49" s="530">
        <f t="shared" si="22"/>
        <v>100000</v>
      </c>
      <c r="Q49" s="531">
        <f>IF($A49="","",$G49/VLOOKUP($I49,Ref!$B$23:$D$29,2,0))</f>
        <v>4</v>
      </c>
      <c r="R49" s="530">
        <f t="shared" si="23"/>
        <v>600000</v>
      </c>
      <c r="S49" s="532">
        <f t="shared" si="2"/>
        <v>150000</v>
      </c>
      <c r="T49" s="531">
        <f t="shared" si="41"/>
        <v>150000</v>
      </c>
      <c r="U49" s="533">
        <f t="shared" si="24"/>
        <v>600000</v>
      </c>
      <c r="V49" s="531">
        <f t="shared" si="25"/>
        <v>125000</v>
      </c>
      <c r="W49" s="531">
        <f t="shared" si="26"/>
        <v>25000</v>
      </c>
      <c r="X49" s="534">
        <f t="shared" si="27"/>
        <v>100000</v>
      </c>
      <c r="Y49" s="535">
        <f>IF($A49="","",IF($I49="weekly",$A49+7,EDATE($A49,VLOOKUP($I49,Ref!$B$24:$C$29,2,0))))</f>
        <v>44388</v>
      </c>
      <c r="Z49" s="536" t="str">
        <f t="shared" si="28"/>
        <v>Sun</v>
      </c>
      <c r="AA49" s="531">
        <f t="shared" si="29"/>
        <v>30</v>
      </c>
      <c r="AB49" s="535">
        <f t="shared" si="8"/>
        <v>44480</v>
      </c>
      <c r="AC49" s="537">
        <f t="shared" si="9"/>
        <v>122</v>
      </c>
      <c r="AD49" s="538" t="str">
        <f t="shared" ca="1" si="10"/>
        <v>Expired</v>
      </c>
      <c r="AE49" s="537">
        <f t="shared" ca="1" si="11"/>
        <v>0</v>
      </c>
      <c r="AF49" s="539">
        <f t="shared" ca="1" si="30"/>
        <v>4</v>
      </c>
      <c r="AG49" s="531">
        <f t="shared" ca="1" si="31"/>
        <v>600000</v>
      </c>
      <c r="AH49" s="531">
        <f t="shared" ca="1" si="32"/>
        <v>100000</v>
      </c>
      <c r="AI49" s="531">
        <f t="shared" ca="1" si="33"/>
        <v>500000</v>
      </c>
      <c r="AJ49" s="531">
        <f t="shared" ca="1" si="34"/>
        <v>0</v>
      </c>
      <c r="AK49" s="540">
        <f>SUMIFS('Live Collections'!$S:$S,'Live Collections'!$D:$D,Disbursements!B49,'Live Collections'!$G:$G,Disbursements!C49)</f>
        <v>100000</v>
      </c>
      <c r="AL49" s="540">
        <f>SUMIFS('Live Collections'!$T:$T,'Live Collections'!$D:$D,Disbursements!B49,'Live Collections'!$G:$G,Disbursements!C49)</f>
        <v>500000</v>
      </c>
      <c r="AM49" s="541">
        <f t="shared" si="35"/>
        <v>600000</v>
      </c>
      <c r="AN49" s="542">
        <f t="shared" si="36"/>
        <v>0</v>
      </c>
      <c r="AO49" s="542">
        <f t="shared" si="37"/>
        <v>0</v>
      </c>
      <c r="AP49" s="543">
        <f t="shared" si="38"/>
        <v>0</v>
      </c>
      <c r="AQ49" s="544" t="str">
        <f t="shared" ca="1" si="39"/>
        <v/>
      </c>
      <c r="AR49" s="545">
        <f t="shared" ca="1" si="40"/>
        <v>0</v>
      </c>
      <c r="AS49" s="545">
        <f ca="1">IFERROR(CEILING($AR49*VLOOKUP($I49,Ref!$B$23:$E$29,4,0),1),0)</f>
        <v>0</v>
      </c>
      <c r="AT49" s="545" t="str">
        <f>IF(A49="","",IF(AP49&lt;=1,"Cleared",IF(AS49=0,"Clean",VLOOKUP($AS49,Ref!$G$23:$H$28,2))))</f>
        <v>Cleared</v>
      </c>
      <c r="AU49" s="546" t="str">
        <f t="shared" si="42"/>
        <v>Ok</v>
      </c>
    </row>
    <row r="50" spans="1:47" ht="15" customHeight="1" x14ac:dyDescent="0.15">
      <c r="A50" s="564">
        <v>44358</v>
      </c>
      <c r="B50" s="523">
        <v>65</v>
      </c>
      <c r="C50" s="523">
        <v>47</v>
      </c>
      <c r="D50" s="523">
        <v>1</v>
      </c>
      <c r="E50" s="523" t="s">
        <v>1274</v>
      </c>
      <c r="F50" s="554">
        <v>1000000</v>
      </c>
      <c r="G50" s="524">
        <v>6</v>
      </c>
      <c r="H50" s="555">
        <v>0.05</v>
      </c>
      <c r="I50" s="560" t="s">
        <v>859</v>
      </c>
      <c r="J50" s="523" t="s">
        <v>862</v>
      </c>
      <c r="K50" s="528" t="str">
        <f>IFERROR(VLOOKUP($B50,'Clients-Live'!$A:$C,3,0),"")</f>
        <v>NDAWULA GERALD</v>
      </c>
      <c r="L50" s="528">
        <f>IF(E50="STL",Pricing!$D$38,IF(A50="",0,IF(A50&lt;Pricing!$C$25,Pricing!$D$25,VLOOKUP(Disbursements!$F50,Pricing!$B$29:$D$32,3))))</f>
        <v>10000</v>
      </c>
      <c r="M50" s="528">
        <f>IF(E50="STL",0,IF(F50&gt;0,Pricing!$D$21,0))</f>
        <v>5000</v>
      </c>
      <c r="N50" s="529">
        <f>IF(E50="STL",F50*Pricing!$D$40,IF(A50&lt;=Pricing!$C$4,0,IF(AND(A50&gt;Pricing!$C$4,Disbursements!A50&lt;=Pricing!$C$5),F50*Pricing!$E$5,IF(AND(A50&gt;Pricing!$C$5,Disbursements!A50&lt;=Pricing!$C$7),VLOOKUP(F50,Pricing!$D$7:$E$8,2)*Disbursements!F50,F50*Pricing!$E$9))))</f>
        <v>0</v>
      </c>
      <c r="O50" s="528">
        <f>IF(E50="STL",0,IF($F50&gt;0,$F50*Pricing!$D$17,0))</f>
        <v>100000</v>
      </c>
      <c r="P50" s="530">
        <f t="shared" si="22"/>
        <v>300000</v>
      </c>
      <c r="Q50" s="531">
        <f>IF($A50="","",$G50/VLOOKUP($I50,Ref!$B$23:$D$29,2,0))</f>
        <v>6</v>
      </c>
      <c r="R50" s="530">
        <f t="shared" si="23"/>
        <v>1300000</v>
      </c>
      <c r="S50" s="532">
        <f t="shared" si="2"/>
        <v>216666.66666666666</v>
      </c>
      <c r="T50" s="531">
        <f t="shared" si="41"/>
        <v>217000</v>
      </c>
      <c r="U50" s="533">
        <f t="shared" si="24"/>
        <v>1302000</v>
      </c>
      <c r="V50" s="531">
        <f t="shared" si="25"/>
        <v>166666.66666666666</v>
      </c>
      <c r="W50" s="531">
        <f t="shared" si="26"/>
        <v>50333.333333333343</v>
      </c>
      <c r="X50" s="534">
        <f t="shared" si="27"/>
        <v>302000.00000000006</v>
      </c>
      <c r="Y50" s="535">
        <f>IF($A50="","",IF($I50="weekly",$A50+7,EDATE($A50,VLOOKUP($I50,Ref!$B$24:$C$29,2,0))))</f>
        <v>44388</v>
      </c>
      <c r="Z50" s="536" t="str">
        <f t="shared" si="28"/>
        <v>Sun</v>
      </c>
      <c r="AA50" s="531">
        <f t="shared" si="29"/>
        <v>30</v>
      </c>
      <c r="AB50" s="535">
        <f t="shared" si="8"/>
        <v>44541</v>
      </c>
      <c r="AC50" s="537">
        <f t="shared" si="9"/>
        <v>183</v>
      </c>
      <c r="AD50" s="538" t="str">
        <f t="shared" ca="1" si="10"/>
        <v>Expired</v>
      </c>
      <c r="AE50" s="537">
        <f t="shared" ca="1" si="11"/>
        <v>0</v>
      </c>
      <c r="AF50" s="539">
        <f t="shared" ca="1" si="30"/>
        <v>6</v>
      </c>
      <c r="AG50" s="531">
        <f t="shared" ca="1" si="31"/>
        <v>1302000</v>
      </c>
      <c r="AH50" s="531">
        <f t="shared" ca="1" si="32"/>
        <v>302000.00000000006</v>
      </c>
      <c r="AI50" s="531">
        <f t="shared" ca="1" si="33"/>
        <v>1000000</v>
      </c>
      <c r="AJ50" s="531">
        <f t="shared" ca="1" si="34"/>
        <v>0</v>
      </c>
      <c r="AK50" s="540">
        <f>SUMIFS('Live Collections'!$S:$S,'Live Collections'!$D:$D,Disbursements!B50,'Live Collections'!$G:$G,Disbursements!C50)</f>
        <v>302000.00000000006</v>
      </c>
      <c r="AL50" s="540">
        <f>SUMIFS('Live Collections'!$T:$T,'Live Collections'!$D:$D,Disbursements!B50,'Live Collections'!$G:$G,Disbursements!C50)</f>
        <v>999999.99999999977</v>
      </c>
      <c r="AM50" s="541">
        <f t="shared" si="35"/>
        <v>1301999.9999999998</v>
      </c>
      <c r="AN50" s="542">
        <f t="shared" si="36"/>
        <v>0</v>
      </c>
      <c r="AO50" s="542">
        <f t="shared" si="37"/>
        <v>2.3283064365386963E-10</v>
      </c>
      <c r="AP50" s="543">
        <f t="shared" si="38"/>
        <v>2.3283064365386963E-10</v>
      </c>
      <c r="AQ50" s="544">
        <f t="shared" ca="1" si="39"/>
        <v>2.3283064365386963E-10</v>
      </c>
      <c r="AR50" s="545">
        <f t="shared" ca="1" si="40"/>
        <v>1.072952274902625E-15</v>
      </c>
      <c r="AS50" s="545">
        <f ca="1">IFERROR(CEILING($AR50*VLOOKUP($I50,Ref!$B$23:$E$29,4,0),1),0)</f>
        <v>1</v>
      </c>
      <c r="AT50" s="545" t="str">
        <f>IF(A50="","",IF(AP50&lt;=1,"Cleared",IF(AS50=0,"Clean",VLOOKUP($AS50,Ref!$G$23:$H$28,2))))</f>
        <v>Cleared</v>
      </c>
      <c r="AU50" s="546" t="str">
        <f t="shared" si="42"/>
        <v>Ok</v>
      </c>
    </row>
    <row r="51" spans="1:47" ht="15" customHeight="1" x14ac:dyDescent="0.15">
      <c r="A51" s="564">
        <v>44359</v>
      </c>
      <c r="B51" s="523">
        <v>67</v>
      </c>
      <c r="C51" s="523">
        <v>49</v>
      </c>
      <c r="D51" s="523">
        <v>1</v>
      </c>
      <c r="E51" s="523" t="s">
        <v>1274</v>
      </c>
      <c r="F51" s="554">
        <v>500000</v>
      </c>
      <c r="G51" s="524">
        <v>4</v>
      </c>
      <c r="H51" s="555">
        <v>0.05</v>
      </c>
      <c r="I51" s="560" t="s">
        <v>859</v>
      </c>
      <c r="J51" s="523" t="s">
        <v>863</v>
      </c>
      <c r="K51" s="528" t="str">
        <f>IFERROR(VLOOKUP($B51,'Clients-Live'!$A:$C,3,0),"")</f>
        <v>KEBITA SAUDA</v>
      </c>
      <c r="L51" s="528">
        <f>IF(E51="STL",Pricing!$D$38,IF(A51="",0,IF(A51&lt;Pricing!$C$25,Pricing!$D$25,VLOOKUP(Disbursements!$F51,Pricing!$B$29:$D$32,3))))</f>
        <v>10000</v>
      </c>
      <c r="M51" s="528">
        <f>IF(E51="STL",0,IF(F51&gt;0,Pricing!$D$21,0))</f>
        <v>5000</v>
      </c>
      <c r="N51" s="529">
        <f>IF(E51="STL",F51*Pricing!$D$40,IF(A51&lt;=Pricing!$C$4,0,IF(AND(A51&gt;Pricing!$C$4,Disbursements!A51&lt;=Pricing!$C$5),F51*Pricing!$E$5,IF(AND(A51&gt;Pricing!$C$5,Disbursements!A51&lt;=Pricing!$C$7),VLOOKUP(F51,Pricing!$D$7:$E$8,2)*Disbursements!F51,F51*Pricing!$E$9))))</f>
        <v>0</v>
      </c>
      <c r="O51" s="528">
        <f>IF(E51="STL",0,IF($F51&gt;0,$F51*Pricing!$D$17,0))</f>
        <v>50000</v>
      </c>
      <c r="P51" s="530">
        <f t="shared" si="22"/>
        <v>100000</v>
      </c>
      <c r="Q51" s="531">
        <f>IF($A51="","",$G51/VLOOKUP($I51,Ref!$B$23:$D$29,2,0))</f>
        <v>4</v>
      </c>
      <c r="R51" s="530">
        <f t="shared" si="23"/>
        <v>600000</v>
      </c>
      <c r="S51" s="532">
        <f t="shared" si="2"/>
        <v>150000</v>
      </c>
      <c r="T51" s="531">
        <f t="shared" si="41"/>
        <v>150000</v>
      </c>
      <c r="U51" s="533">
        <f t="shared" si="24"/>
        <v>600000</v>
      </c>
      <c r="V51" s="531">
        <f t="shared" si="25"/>
        <v>125000</v>
      </c>
      <c r="W51" s="531">
        <f t="shared" si="26"/>
        <v>25000</v>
      </c>
      <c r="X51" s="534">
        <f t="shared" si="27"/>
        <v>100000</v>
      </c>
      <c r="Y51" s="535">
        <f>IF($A51="","",IF($I51="weekly",$A51+7,EDATE($A51,VLOOKUP($I51,Ref!$B$24:$C$29,2,0))))</f>
        <v>44389</v>
      </c>
      <c r="Z51" s="536" t="str">
        <f t="shared" si="28"/>
        <v>Mon</v>
      </c>
      <c r="AA51" s="531">
        <f t="shared" si="29"/>
        <v>30</v>
      </c>
      <c r="AB51" s="535">
        <f t="shared" si="8"/>
        <v>44481</v>
      </c>
      <c r="AC51" s="537">
        <f t="shared" si="9"/>
        <v>122</v>
      </c>
      <c r="AD51" s="538" t="str">
        <f t="shared" ca="1" si="10"/>
        <v>Expired</v>
      </c>
      <c r="AE51" s="537">
        <f t="shared" ca="1" si="11"/>
        <v>0</v>
      </c>
      <c r="AF51" s="539">
        <f t="shared" ca="1" si="30"/>
        <v>4</v>
      </c>
      <c r="AG51" s="531">
        <f t="shared" ca="1" si="31"/>
        <v>600000</v>
      </c>
      <c r="AH51" s="531">
        <f t="shared" ca="1" si="32"/>
        <v>100000</v>
      </c>
      <c r="AI51" s="531">
        <f t="shared" ca="1" si="33"/>
        <v>500000</v>
      </c>
      <c r="AJ51" s="531">
        <f t="shared" ca="1" si="34"/>
        <v>0</v>
      </c>
      <c r="AK51" s="540">
        <f>SUMIFS('Live Collections'!$S:$S,'Live Collections'!$D:$D,Disbursements!B51,'Live Collections'!$G:$G,Disbursements!C51)</f>
        <v>100000</v>
      </c>
      <c r="AL51" s="540">
        <f>SUMIFS('Live Collections'!$T:$T,'Live Collections'!$D:$D,Disbursements!B51,'Live Collections'!$G:$G,Disbursements!C51)</f>
        <v>500000</v>
      </c>
      <c r="AM51" s="541">
        <f t="shared" si="35"/>
        <v>600000</v>
      </c>
      <c r="AN51" s="542">
        <f t="shared" si="36"/>
        <v>0</v>
      </c>
      <c r="AO51" s="542">
        <f t="shared" si="37"/>
        <v>0</v>
      </c>
      <c r="AP51" s="543">
        <f t="shared" si="38"/>
        <v>0</v>
      </c>
      <c r="AQ51" s="544" t="str">
        <f t="shared" ca="1" si="39"/>
        <v/>
      </c>
      <c r="AR51" s="545">
        <f t="shared" ca="1" si="40"/>
        <v>0</v>
      </c>
      <c r="AS51" s="545">
        <f ca="1">IFERROR(CEILING($AR51*VLOOKUP($I51,Ref!$B$23:$E$29,4,0),1),0)</f>
        <v>0</v>
      </c>
      <c r="AT51" s="545" t="str">
        <f>IF(A51="","",IF(AP51&lt;=1,"Cleared",IF(AS51=0,"Clean",VLOOKUP($AS51,Ref!$G$23:$H$28,2))))</f>
        <v>Cleared</v>
      </c>
      <c r="AU51" s="546" t="str">
        <f t="shared" si="42"/>
        <v>Ok</v>
      </c>
    </row>
    <row r="52" spans="1:47" ht="15" customHeight="1" x14ac:dyDescent="0.15">
      <c r="A52" s="564">
        <v>44359</v>
      </c>
      <c r="B52" s="523">
        <v>55</v>
      </c>
      <c r="C52" s="523">
        <v>48</v>
      </c>
      <c r="D52" s="523">
        <v>1</v>
      </c>
      <c r="E52" s="523" t="s">
        <v>1274</v>
      </c>
      <c r="F52" s="554">
        <v>300000</v>
      </c>
      <c r="G52" s="524">
        <v>4</v>
      </c>
      <c r="H52" s="555">
        <v>0.05</v>
      </c>
      <c r="I52" s="560" t="s">
        <v>859</v>
      </c>
      <c r="J52" s="523" t="s">
        <v>862</v>
      </c>
      <c r="K52" s="528" t="str">
        <f>IFERROR(VLOOKUP($B52,'Clients-Live'!$A:$C,3,0),"")</f>
        <v>SOKOLA SHARON</v>
      </c>
      <c r="L52" s="528">
        <f>IF(E52="STL",Pricing!$D$38,IF(A52="",0,IF(A52&lt;Pricing!$C$25,Pricing!$D$25,VLOOKUP(Disbursements!$F52,Pricing!$B$29:$D$32,3))))</f>
        <v>10000</v>
      </c>
      <c r="M52" s="528">
        <f>IF(E52="STL",0,IF(F52&gt;0,Pricing!$D$21,0))</f>
        <v>5000</v>
      </c>
      <c r="N52" s="529">
        <f>IF(E52="STL",F52*Pricing!$D$40,IF(A52&lt;=Pricing!$C$4,0,IF(AND(A52&gt;Pricing!$C$4,Disbursements!A52&lt;=Pricing!$C$5),F52*Pricing!$E$5,IF(AND(A52&gt;Pricing!$C$5,Disbursements!A52&lt;=Pricing!$C$7),VLOOKUP(F52,Pricing!$D$7:$E$8,2)*Disbursements!F52,F52*Pricing!$E$9))))</f>
        <v>0</v>
      </c>
      <c r="O52" s="528">
        <f>IF(E52="STL",0,IF($F52&gt;0,$F52*Pricing!$D$17,0))</f>
        <v>30000</v>
      </c>
      <c r="P52" s="530">
        <f t="shared" si="22"/>
        <v>60000</v>
      </c>
      <c r="Q52" s="531">
        <f>IF($A52="","",$G52/VLOOKUP($I52,Ref!$B$23:$D$29,2,0))</f>
        <v>4</v>
      </c>
      <c r="R52" s="530">
        <f t="shared" si="23"/>
        <v>360000</v>
      </c>
      <c r="S52" s="532">
        <f t="shared" si="2"/>
        <v>90000</v>
      </c>
      <c r="T52" s="531">
        <f t="shared" si="41"/>
        <v>90000</v>
      </c>
      <c r="U52" s="533">
        <f t="shared" si="24"/>
        <v>360000</v>
      </c>
      <c r="V52" s="531">
        <f t="shared" si="25"/>
        <v>75000</v>
      </c>
      <c r="W52" s="531">
        <f t="shared" si="26"/>
        <v>15000</v>
      </c>
      <c r="X52" s="534">
        <f t="shared" si="27"/>
        <v>60000</v>
      </c>
      <c r="Y52" s="535">
        <f>IF($A52="","",IF($I52="weekly",$A52+7,EDATE($A52,VLOOKUP($I52,Ref!$B$24:$C$29,2,0))))</f>
        <v>44389</v>
      </c>
      <c r="Z52" s="536" t="str">
        <f t="shared" si="28"/>
        <v>Mon</v>
      </c>
      <c r="AA52" s="531">
        <f t="shared" si="29"/>
        <v>30</v>
      </c>
      <c r="AB52" s="535">
        <f t="shared" si="8"/>
        <v>44481</v>
      </c>
      <c r="AC52" s="537">
        <f t="shared" si="9"/>
        <v>122</v>
      </c>
      <c r="AD52" s="538" t="str">
        <f t="shared" ca="1" si="10"/>
        <v>Expired</v>
      </c>
      <c r="AE52" s="537">
        <f t="shared" ca="1" si="11"/>
        <v>0</v>
      </c>
      <c r="AF52" s="539">
        <f t="shared" ca="1" si="30"/>
        <v>4</v>
      </c>
      <c r="AG52" s="531">
        <f t="shared" ca="1" si="31"/>
        <v>360000</v>
      </c>
      <c r="AH52" s="531">
        <f t="shared" ca="1" si="32"/>
        <v>60000</v>
      </c>
      <c r="AI52" s="531">
        <f t="shared" ca="1" si="33"/>
        <v>300000</v>
      </c>
      <c r="AJ52" s="531">
        <f t="shared" ca="1" si="34"/>
        <v>0</v>
      </c>
      <c r="AK52" s="540">
        <f>SUMIFS('Live Collections'!$S:$S,'Live Collections'!$D:$D,Disbursements!B52,'Live Collections'!$G:$G,Disbursements!C52)</f>
        <v>60000</v>
      </c>
      <c r="AL52" s="540">
        <f>SUMIFS('Live Collections'!$T:$T,'Live Collections'!$D:$D,Disbursements!B52,'Live Collections'!$G:$G,Disbursements!C52)</f>
        <v>300000</v>
      </c>
      <c r="AM52" s="541">
        <f t="shared" si="35"/>
        <v>360000</v>
      </c>
      <c r="AN52" s="542">
        <f t="shared" si="36"/>
        <v>0</v>
      </c>
      <c r="AO52" s="542">
        <f t="shared" si="37"/>
        <v>0</v>
      </c>
      <c r="AP52" s="543">
        <f t="shared" si="38"/>
        <v>0</v>
      </c>
      <c r="AQ52" s="544" t="str">
        <f t="shared" ca="1" si="39"/>
        <v/>
      </c>
      <c r="AR52" s="545">
        <f t="shared" ca="1" si="40"/>
        <v>0</v>
      </c>
      <c r="AS52" s="545">
        <f ca="1">IFERROR(CEILING($AR52*VLOOKUP($I52,Ref!$B$23:$E$29,4,0),1),0)</f>
        <v>0</v>
      </c>
      <c r="AT52" s="545" t="str">
        <f>IF(A52="","",IF(AP52&lt;=1,"Cleared",IF(AS52=0,"Clean",VLOOKUP($AS52,Ref!$G$23:$H$28,2))))</f>
        <v>Cleared</v>
      </c>
      <c r="AU52" s="546" t="str">
        <f t="shared" si="42"/>
        <v>Ok</v>
      </c>
    </row>
    <row r="53" spans="1:47" ht="15" customHeight="1" x14ac:dyDescent="0.15">
      <c r="A53" s="547">
        <v>44359</v>
      </c>
      <c r="B53" s="548">
        <v>63</v>
      </c>
      <c r="C53" s="523">
        <v>50</v>
      </c>
      <c r="D53" s="523">
        <v>1</v>
      </c>
      <c r="E53" s="523" t="s">
        <v>1274</v>
      </c>
      <c r="F53" s="549">
        <v>400000</v>
      </c>
      <c r="G53" s="563">
        <v>5</v>
      </c>
      <c r="H53" s="550">
        <v>0.05</v>
      </c>
      <c r="I53" s="562" t="s">
        <v>859</v>
      </c>
      <c r="J53" s="548" t="s">
        <v>864</v>
      </c>
      <c r="K53" s="528" t="str">
        <f>IFERROR(VLOOKUP($B53,'Clients-Live'!$A:$C,3,0),"")</f>
        <v>AWURU KADARA</v>
      </c>
      <c r="L53" s="528">
        <f>IF(E53="STL",Pricing!$D$38,IF(A53="",0,IF(A53&lt;Pricing!$C$25,Pricing!$D$25,VLOOKUP(Disbursements!$F53,Pricing!$B$29:$D$32,3))))</f>
        <v>10000</v>
      </c>
      <c r="M53" s="528">
        <f>IF(E53="STL",0,IF(F53&gt;0,Pricing!$D$21,0))</f>
        <v>5000</v>
      </c>
      <c r="N53" s="529">
        <f>IF(E53="STL",F53*Pricing!$D$40,IF(A53&lt;=Pricing!$C$4,0,IF(AND(A53&gt;Pricing!$C$4,Disbursements!A53&lt;=Pricing!$C$5),F53*Pricing!$E$5,IF(AND(A53&gt;Pricing!$C$5,Disbursements!A53&lt;=Pricing!$C$7),VLOOKUP(F53,Pricing!$D$7:$E$8,2)*Disbursements!F53,F53*Pricing!$E$9))))</f>
        <v>0</v>
      </c>
      <c r="O53" s="528">
        <f>IF(E53="STL",0,IF($F53&gt;0,$F53*Pricing!$D$17,0))</f>
        <v>40000</v>
      </c>
      <c r="P53" s="530">
        <f t="shared" si="22"/>
        <v>100000</v>
      </c>
      <c r="Q53" s="531">
        <f>IF($A53="","",$G53/VLOOKUP($I53,Ref!$B$23:$D$29,2,0))</f>
        <v>5</v>
      </c>
      <c r="R53" s="530">
        <f t="shared" si="23"/>
        <v>500000</v>
      </c>
      <c r="S53" s="532">
        <f t="shared" si="2"/>
        <v>100000</v>
      </c>
      <c r="T53" s="531">
        <f t="shared" si="41"/>
        <v>100000</v>
      </c>
      <c r="U53" s="533">
        <f t="shared" si="24"/>
        <v>500000</v>
      </c>
      <c r="V53" s="531">
        <f t="shared" si="25"/>
        <v>80000</v>
      </c>
      <c r="W53" s="531">
        <f t="shared" si="26"/>
        <v>20000</v>
      </c>
      <c r="X53" s="534">
        <f t="shared" si="27"/>
        <v>100000</v>
      </c>
      <c r="Y53" s="535">
        <f>IF($A53="","",IF($I53="weekly",$A53+7,EDATE($A53,VLOOKUP($I53,Ref!$B$24:$C$29,2,0))))</f>
        <v>44389</v>
      </c>
      <c r="Z53" s="536" t="str">
        <f t="shared" si="28"/>
        <v>Mon</v>
      </c>
      <c r="AA53" s="531">
        <f t="shared" si="29"/>
        <v>30</v>
      </c>
      <c r="AB53" s="535">
        <f t="shared" si="8"/>
        <v>44512</v>
      </c>
      <c r="AC53" s="537">
        <f t="shared" si="9"/>
        <v>153</v>
      </c>
      <c r="AD53" s="538" t="str">
        <f t="shared" ca="1" si="10"/>
        <v>Expired</v>
      </c>
      <c r="AE53" s="537">
        <f t="shared" ca="1" si="11"/>
        <v>0</v>
      </c>
      <c r="AF53" s="539">
        <f t="shared" ca="1" si="30"/>
        <v>5</v>
      </c>
      <c r="AG53" s="531">
        <f t="shared" ca="1" si="31"/>
        <v>500000</v>
      </c>
      <c r="AH53" s="531">
        <f t="shared" ca="1" si="32"/>
        <v>100000</v>
      </c>
      <c r="AI53" s="531">
        <f t="shared" ca="1" si="33"/>
        <v>400000</v>
      </c>
      <c r="AJ53" s="531">
        <f t="shared" ca="1" si="34"/>
        <v>0</v>
      </c>
      <c r="AK53" s="540">
        <f>SUMIFS('Live Collections'!$S:$S,'Live Collections'!$D:$D,Disbursements!B53,'Live Collections'!$G:$G,Disbursements!C53)</f>
        <v>100000</v>
      </c>
      <c r="AL53" s="540">
        <f>SUMIFS('Live Collections'!$T:$T,'Live Collections'!$D:$D,Disbursements!B53,'Live Collections'!$G:$G,Disbursements!C53)</f>
        <v>400000</v>
      </c>
      <c r="AM53" s="541">
        <f t="shared" si="35"/>
        <v>500000</v>
      </c>
      <c r="AN53" s="542">
        <f t="shared" si="36"/>
        <v>0</v>
      </c>
      <c r="AO53" s="542">
        <f t="shared" si="37"/>
        <v>0</v>
      </c>
      <c r="AP53" s="543">
        <f t="shared" si="38"/>
        <v>0</v>
      </c>
      <c r="AQ53" s="544" t="str">
        <f t="shared" ca="1" si="39"/>
        <v/>
      </c>
      <c r="AR53" s="545">
        <f t="shared" ca="1" si="40"/>
        <v>0</v>
      </c>
      <c r="AS53" s="545">
        <f ca="1">IFERROR(CEILING($AR53*VLOOKUP($I53,Ref!$B$23:$E$29,4,0),1),0)</f>
        <v>0</v>
      </c>
      <c r="AT53" s="545" t="str">
        <f>IF(A53="","",IF(AP53&lt;=1,"Cleared",IF(AS53=0,"Clean",VLOOKUP($AS53,Ref!$G$23:$H$28,2))))</f>
        <v>Cleared</v>
      </c>
      <c r="AU53" s="546" t="str">
        <f t="shared" si="42"/>
        <v>Ok</v>
      </c>
    </row>
    <row r="54" spans="1:47" s="565" customFormat="1" ht="15" customHeight="1" x14ac:dyDescent="0.15">
      <c r="A54" s="553">
        <v>44361</v>
      </c>
      <c r="B54" s="523">
        <v>66</v>
      </c>
      <c r="C54" s="523">
        <v>53</v>
      </c>
      <c r="D54" s="523">
        <v>1</v>
      </c>
      <c r="E54" s="523" t="s">
        <v>1274</v>
      </c>
      <c r="F54" s="554">
        <v>2000000</v>
      </c>
      <c r="G54" s="561">
        <v>6</v>
      </c>
      <c r="H54" s="555">
        <v>0.05</v>
      </c>
      <c r="I54" s="560" t="s">
        <v>861</v>
      </c>
      <c r="J54" s="523" t="s">
        <v>864</v>
      </c>
      <c r="K54" s="528" t="str">
        <f>IFERROR(VLOOKUP($B54,'Clients-Live'!$A:$C,3,0),"")</f>
        <v>DENAYA NYAMAZA</v>
      </c>
      <c r="L54" s="528">
        <f>IF(E54="STL",Pricing!$D$38,IF(A54="",0,IF(A54&lt;Pricing!$C$25,Pricing!$D$25,VLOOKUP(Disbursements!$F54,Pricing!$B$29:$D$32,3))))</f>
        <v>10000</v>
      </c>
      <c r="M54" s="528">
        <f>IF(E54="STL",0,IF(F54&gt;0,Pricing!$D$21,0))</f>
        <v>5000</v>
      </c>
      <c r="N54" s="529">
        <f>IF(E54="STL",F54*Pricing!$D$40,IF(A54&lt;=Pricing!$C$4,0,IF(AND(A54&gt;Pricing!$C$4,Disbursements!A54&lt;=Pricing!$C$5),F54*Pricing!$E$5,IF(AND(A54&gt;Pricing!$C$5,Disbursements!A54&lt;=Pricing!$C$7),VLOOKUP(F54,Pricing!$D$7:$E$8,2)*Disbursements!F54,F54*Pricing!$E$9))))</f>
        <v>0</v>
      </c>
      <c r="O54" s="528">
        <f>IF(E54="STL",0,IF($F54&gt;0,$F54*Pricing!$D$17,0))</f>
        <v>200000</v>
      </c>
      <c r="P54" s="530">
        <f t="shared" si="22"/>
        <v>600000</v>
      </c>
      <c r="Q54" s="531">
        <f>IF($A54="","",$G54/VLOOKUP($I54,Ref!$B$23:$D$29,2,0))</f>
        <v>24</v>
      </c>
      <c r="R54" s="530">
        <f t="shared" si="23"/>
        <v>2600000</v>
      </c>
      <c r="S54" s="532">
        <f t="shared" si="2"/>
        <v>108333.33333333333</v>
      </c>
      <c r="T54" s="531">
        <f t="shared" si="41"/>
        <v>109000</v>
      </c>
      <c r="U54" s="533">
        <f t="shared" si="24"/>
        <v>2616000</v>
      </c>
      <c r="V54" s="531">
        <f t="shared" si="25"/>
        <v>83333.333333333328</v>
      </c>
      <c r="W54" s="531">
        <f t="shared" si="26"/>
        <v>25666.666666666672</v>
      </c>
      <c r="X54" s="534">
        <f t="shared" si="27"/>
        <v>616000.00000000012</v>
      </c>
      <c r="Y54" s="535">
        <f>IF($A54="","",IF($I54="weekly",$A54+7,EDATE($A54,VLOOKUP($I54,Ref!$B$24:$C$29,2,0))))</f>
        <v>44368</v>
      </c>
      <c r="Z54" s="536" t="str">
        <f t="shared" si="28"/>
        <v>Mon</v>
      </c>
      <c r="AA54" s="531">
        <f t="shared" si="29"/>
        <v>7</v>
      </c>
      <c r="AB54" s="535">
        <f t="shared" si="8"/>
        <v>44544</v>
      </c>
      <c r="AC54" s="537">
        <f t="shared" si="9"/>
        <v>183</v>
      </c>
      <c r="AD54" s="538" t="str">
        <f t="shared" ca="1" si="10"/>
        <v>Expired</v>
      </c>
      <c r="AE54" s="537">
        <f t="shared" ca="1" si="11"/>
        <v>0</v>
      </c>
      <c r="AF54" s="539">
        <f t="shared" ca="1" si="30"/>
        <v>24</v>
      </c>
      <c r="AG54" s="531">
        <f t="shared" ca="1" si="31"/>
        <v>2616000</v>
      </c>
      <c r="AH54" s="531">
        <f t="shared" ca="1" si="32"/>
        <v>616000.00000000012</v>
      </c>
      <c r="AI54" s="531">
        <f t="shared" ca="1" si="33"/>
        <v>2000000</v>
      </c>
      <c r="AJ54" s="531">
        <f t="shared" ca="1" si="34"/>
        <v>0</v>
      </c>
      <c r="AK54" s="540">
        <f>SUMIFS('Live Collections'!$S:$S,'Live Collections'!$D:$D,Disbursements!B54,'Live Collections'!$G:$G,Disbursements!C54)</f>
        <v>616000.00000000012</v>
      </c>
      <c r="AL54" s="540">
        <f>SUMIFS('Live Collections'!$T:$T,'Live Collections'!$D:$D,Disbursements!B54,'Live Collections'!$G:$G,Disbursements!C54)</f>
        <v>1999999.9999999998</v>
      </c>
      <c r="AM54" s="541">
        <f t="shared" si="35"/>
        <v>2616000</v>
      </c>
      <c r="AN54" s="542">
        <f t="shared" si="36"/>
        <v>0</v>
      </c>
      <c r="AO54" s="542">
        <f t="shared" si="37"/>
        <v>2.3283064365386963E-10</v>
      </c>
      <c r="AP54" s="543">
        <f t="shared" si="38"/>
        <v>2.3283064365386963E-10</v>
      </c>
      <c r="AQ54" s="544">
        <f t="shared" ca="1" si="39"/>
        <v>2.3283064365386963E-10</v>
      </c>
      <c r="AR54" s="545">
        <f t="shared" ca="1" si="40"/>
        <v>2.1360609509529322E-15</v>
      </c>
      <c r="AS54" s="545">
        <f ca="1">IFERROR(CEILING($AR54*VLOOKUP($I54,Ref!$B$23:$E$29,4,0),1),0)</f>
        <v>1</v>
      </c>
      <c r="AT54" s="545" t="str">
        <f>IF(A54="","",IF(AP54&lt;=1,"Cleared",IF(AS54=0,"Clean",VLOOKUP($AS54,Ref!$G$23:$H$28,2))))</f>
        <v>Cleared</v>
      </c>
      <c r="AU54" s="546" t="str">
        <f t="shared" si="42"/>
        <v>Ok</v>
      </c>
    </row>
    <row r="55" spans="1:47" ht="15" customHeight="1" x14ac:dyDescent="0.15">
      <c r="A55" s="566">
        <v>44361</v>
      </c>
      <c r="B55" s="548">
        <v>68</v>
      </c>
      <c r="C55" s="523">
        <v>51</v>
      </c>
      <c r="D55" s="523">
        <v>1</v>
      </c>
      <c r="E55" s="523" t="s">
        <v>1274</v>
      </c>
      <c r="F55" s="549">
        <v>700000</v>
      </c>
      <c r="G55" s="563">
        <v>6</v>
      </c>
      <c r="H55" s="550">
        <v>0.05</v>
      </c>
      <c r="I55" s="562" t="s">
        <v>859</v>
      </c>
      <c r="J55" s="548" t="s">
        <v>864</v>
      </c>
      <c r="K55" s="528" t="str">
        <f>IFERROR(VLOOKUP($B55,'Clients-Live'!$A:$C,3,0),"")</f>
        <v>CHANDIA  RAHIMA</v>
      </c>
      <c r="L55" s="528">
        <f>IF(E55="STL",Pricing!$D$38,IF(A55="",0,IF(A55&lt;Pricing!$C$25,Pricing!$D$25,VLOOKUP(Disbursements!$F55,Pricing!$B$29:$D$32,3))))</f>
        <v>10000</v>
      </c>
      <c r="M55" s="528">
        <f>IF(E55="STL",0,IF(F55&gt;0,Pricing!$D$21,0))</f>
        <v>5000</v>
      </c>
      <c r="N55" s="529">
        <f>IF(E55="STL",F55*Pricing!$D$40,IF(A55&lt;=Pricing!$C$4,0,IF(AND(A55&gt;Pricing!$C$4,Disbursements!A55&lt;=Pricing!$C$5),F55*Pricing!$E$5,IF(AND(A55&gt;Pricing!$C$5,Disbursements!A55&lt;=Pricing!$C$7),VLOOKUP(F55,Pricing!$D$7:$E$8,2)*Disbursements!F55,F55*Pricing!$E$9))))</f>
        <v>0</v>
      </c>
      <c r="O55" s="528">
        <f>IF(E55="STL",0,IF($F55&gt;0,$F55*Pricing!$D$17,0))</f>
        <v>70000</v>
      </c>
      <c r="P55" s="530">
        <f t="shared" si="22"/>
        <v>210000</v>
      </c>
      <c r="Q55" s="531">
        <f>IF($A55="","",$G55/VLOOKUP($I55,Ref!$B$23:$D$29,2,0))</f>
        <v>6</v>
      </c>
      <c r="R55" s="530">
        <f t="shared" si="23"/>
        <v>910000</v>
      </c>
      <c r="S55" s="532">
        <f t="shared" si="2"/>
        <v>151666.66666666666</v>
      </c>
      <c r="T55" s="531">
        <f t="shared" si="41"/>
        <v>152000</v>
      </c>
      <c r="U55" s="533">
        <f t="shared" si="24"/>
        <v>912000</v>
      </c>
      <c r="V55" s="531">
        <f t="shared" si="25"/>
        <v>116666.66666666667</v>
      </c>
      <c r="W55" s="531">
        <f t="shared" si="26"/>
        <v>35333.333333333328</v>
      </c>
      <c r="X55" s="534">
        <f t="shared" si="27"/>
        <v>211999.99999999997</v>
      </c>
      <c r="Y55" s="535">
        <f>IF($A55="","",IF($I55="weekly",$A55+7,EDATE($A55,VLOOKUP($I55,Ref!$B$24:$C$29,2,0))))</f>
        <v>44391</v>
      </c>
      <c r="Z55" s="536" t="str">
        <f t="shared" si="28"/>
        <v>Wed</v>
      </c>
      <c r="AA55" s="531">
        <f t="shared" si="29"/>
        <v>30</v>
      </c>
      <c r="AB55" s="535">
        <f t="shared" si="8"/>
        <v>44544</v>
      </c>
      <c r="AC55" s="537">
        <f t="shared" si="9"/>
        <v>183</v>
      </c>
      <c r="AD55" s="538" t="str">
        <f t="shared" ca="1" si="10"/>
        <v>Expired</v>
      </c>
      <c r="AE55" s="537">
        <f t="shared" ca="1" si="11"/>
        <v>0</v>
      </c>
      <c r="AF55" s="539">
        <f t="shared" ca="1" si="30"/>
        <v>6</v>
      </c>
      <c r="AG55" s="531">
        <f t="shared" ca="1" si="31"/>
        <v>912000</v>
      </c>
      <c r="AH55" s="531">
        <f t="shared" ca="1" si="32"/>
        <v>211999.99999999997</v>
      </c>
      <c r="AI55" s="531">
        <f t="shared" ca="1" si="33"/>
        <v>700000</v>
      </c>
      <c r="AJ55" s="531">
        <f t="shared" ca="1" si="34"/>
        <v>0</v>
      </c>
      <c r="AK55" s="540">
        <f>SUMIFS('Live Collections'!$S:$S,'Live Collections'!$D:$D,Disbursements!B55,'Live Collections'!$G:$G,Disbursements!C55)</f>
        <v>211999.99999999997</v>
      </c>
      <c r="AL55" s="540">
        <f>SUMIFS('Live Collections'!$T:$T,'Live Collections'!$D:$D,Disbursements!B55,'Live Collections'!$G:$G,Disbursements!C55)</f>
        <v>698000</v>
      </c>
      <c r="AM55" s="541">
        <f t="shared" si="35"/>
        <v>910000</v>
      </c>
      <c r="AN55" s="542">
        <f t="shared" si="36"/>
        <v>0</v>
      </c>
      <c r="AO55" s="542">
        <f t="shared" si="37"/>
        <v>2000</v>
      </c>
      <c r="AP55" s="543">
        <f t="shared" si="38"/>
        <v>2000</v>
      </c>
      <c r="AQ55" s="544">
        <f t="shared" ca="1" si="39"/>
        <v>2000</v>
      </c>
      <c r="AR55" s="545">
        <f t="shared" ca="1" si="40"/>
        <v>1.3157894736842105E-2</v>
      </c>
      <c r="AS55" s="545">
        <f ca="1">IFERROR(CEILING($AR55*VLOOKUP($I55,Ref!$B$23:$E$29,4,0),1),0)</f>
        <v>1</v>
      </c>
      <c r="AT55" s="545" t="str">
        <f ca="1">IF(A55="","",IF(AP55&lt;=1,"Cleared",IF(AS55=0,"Clean",VLOOKUP($AS55,Ref!$G$23:$H$28,2))))</f>
        <v>1.(0-30) Days</v>
      </c>
      <c r="AU55" s="546" t="str">
        <f t="shared" si="42"/>
        <v>Ok</v>
      </c>
    </row>
    <row r="56" spans="1:47" ht="15" customHeight="1" x14ac:dyDescent="0.15">
      <c r="A56" s="553">
        <v>44361</v>
      </c>
      <c r="B56" s="523">
        <v>70</v>
      </c>
      <c r="C56" s="523">
        <v>52</v>
      </c>
      <c r="D56" s="523">
        <v>1</v>
      </c>
      <c r="E56" s="523" t="s">
        <v>1274</v>
      </c>
      <c r="F56" s="554">
        <v>800000</v>
      </c>
      <c r="G56" s="524">
        <v>6</v>
      </c>
      <c r="H56" s="555">
        <v>0.05</v>
      </c>
      <c r="I56" s="560" t="s">
        <v>859</v>
      </c>
      <c r="J56" s="523" t="s">
        <v>863</v>
      </c>
      <c r="K56" s="528" t="str">
        <f>IFERROR(VLOOKUP($B56,'Clients-Live'!$A:$C,3,0),"")</f>
        <v>BUGA ALIKIA PHILLIP</v>
      </c>
      <c r="L56" s="528">
        <f>IF(E56="STL",Pricing!$D$38,IF(A56="",0,IF(A56&lt;Pricing!$C$25,Pricing!$D$25,VLOOKUP(Disbursements!$F56,Pricing!$B$29:$D$32,3))))</f>
        <v>10000</v>
      </c>
      <c r="M56" s="528">
        <f>IF(E56="STL",0,IF(F56&gt;0,Pricing!$D$21,0))</f>
        <v>5000</v>
      </c>
      <c r="N56" s="529">
        <f>IF(E56="STL",F56*Pricing!$D$40,IF(A56&lt;=Pricing!$C$4,0,IF(AND(A56&gt;Pricing!$C$4,Disbursements!A56&lt;=Pricing!$C$5),F56*Pricing!$E$5,IF(AND(A56&gt;Pricing!$C$5,Disbursements!A56&lt;=Pricing!$C$7),VLOOKUP(F56,Pricing!$D$7:$E$8,2)*Disbursements!F56,F56*Pricing!$E$9))))</f>
        <v>0</v>
      </c>
      <c r="O56" s="528">
        <f>IF(E56="STL",0,IF($F56&gt;0,$F56*Pricing!$D$17,0))</f>
        <v>80000</v>
      </c>
      <c r="P56" s="530">
        <f t="shared" si="22"/>
        <v>240000</v>
      </c>
      <c r="Q56" s="531">
        <f>IF($A56="","",$G56/VLOOKUP($I56,Ref!$B$23:$D$29,2,0))</f>
        <v>6</v>
      </c>
      <c r="R56" s="530">
        <f t="shared" si="23"/>
        <v>1040000</v>
      </c>
      <c r="S56" s="532">
        <f t="shared" si="2"/>
        <v>173333.33333333334</v>
      </c>
      <c r="T56" s="531">
        <f t="shared" si="41"/>
        <v>174000</v>
      </c>
      <c r="U56" s="533">
        <f t="shared" si="24"/>
        <v>1044000</v>
      </c>
      <c r="V56" s="531">
        <f t="shared" si="25"/>
        <v>133333.33333333334</v>
      </c>
      <c r="W56" s="531">
        <f t="shared" si="26"/>
        <v>40666.666666666657</v>
      </c>
      <c r="X56" s="534">
        <f t="shared" si="27"/>
        <v>243999.99999999994</v>
      </c>
      <c r="Y56" s="535">
        <f>IF($A56="","",IF($I56="weekly",$A56+7,EDATE($A56,VLOOKUP($I56,Ref!$B$24:$C$29,2,0))))</f>
        <v>44391</v>
      </c>
      <c r="Z56" s="536" t="str">
        <f t="shared" si="28"/>
        <v>Wed</v>
      </c>
      <c r="AA56" s="531">
        <f t="shared" si="29"/>
        <v>30</v>
      </c>
      <c r="AB56" s="535">
        <f t="shared" si="8"/>
        <v>44544</v>
      </c>
      <c r="AC56" s="537">
        <f t="shared" si="9"/>
        <v>183</v>
      </c>
      <c r="AD56" s="538" t="str">
        <f t="shared" ca="1" si="10"/>
        <v>Expired</v>
      </c>
      <c r="AE56" s="537">
        <f t="shared" ca="1" si="11"/>
        <v>0</v>
      </c>
      <c r="AF56" s="539">
        <f t="shared" ca="1" si="30"/>
        <v>6</v>
      </c>
      <c r="AG56" s="531">
        <f t="shared" ca="1" si="31"/>
        <v>1044000</v>
      </c>
      <c r="AH56" s="531">
        <f t="shared" ca="1" si="32"/>
        <v>243999.99999999994</v>
      </c>
      <c r="AI56" s="531">
        <f t="shared" ca="1" si="33"/>
        <v>800000</v>
      </c>
      <c r="AJ56" s="531">
        <f t="shared" ca="1" si="34"/>
        <v>0</v>
      </c>
      <c r="AK56" s="540">
        <f>SUMIFS('Live Collections'!$S:$S,'Live Collections'!$D:$D,Disbursements!B56,'Live Collections'!$G:$G,Disbursements!C56)</f>
        <v>243999.99999999994</v>
      </c>
      <c r="AL56" s="540">
        <f>SUMIFS('Live Collections'!$T:$T,'Live Collections'!$D:$D,Disbursements!B56,'Live Collections'!$G:$G,Disbursements!C56)</f>
        <v>800000</v>
      </c>
      <c r="AM56" s="541">
        <f t="shared" si="35"/>
        <v>1044000</v>
      </c>
      <c r="AN56" s="542">
        <f t="shared" si="36"/>
        <v>0</v>
      </c>
      <c r="AO56" s="542">
        <f t="shared" si="37"/>
        <v>0</v>
      </c>
      <c r="AP56" s="543">
        <f t="shared" si="38"/>
        <v>0</v>
      </c>
      <c r="AQ56" s="544" t="str">
        <f t="shared" ca="1" si="39"/>
        <v/>
      </c>
      <c r="AR56" s="545">
        <f t="shared" ca="1" si="40"/>
        <v>0</v>
      </c>
      <c r="AS56" s="545">
        <f ca="1">IFERROR(CEILING($AR56*VLOOKUP($I56,Ref!$B$23:$E$29,4,0),1),0)</f>
        <v>0</v>
      </c>
      <c r="AT56" s="545" t="str">
        <f>IF(A56="","",IF(AP56&lt;=1,"Cleared",IF(AS56=0,"Clean",VLOOKUP($AS56,Ref!$G$23:$H$28,2))))</f>
        <v>Cleared</v>
      </c>
      <c r="AU56" s="546" t="str">
        <f t="shared" si="42"/>
        <v>Ok</v>
      </c>
    </row>
    <row r="57" spans="1:47" ht="15" customHeight="1" x14ac:dyDescent="0.15">
      <c r="A57" s="553">
        <v>44362</v>
      </c>
      <c r="B57" s="523">
        <v>71</v>
      </c>
      <c r="C57" s="523">
        <v>56</v>
      </c>
      <c r="D57" s="523">
        <v>1</v>
      </c>
      <c r="E57" s="523" t="s">
        <v>1274</v>
      </c>
      <c r="F57" s="554">
        <v>1500000</v>
      </c>
      <c r="G57" s="524">
        <v>6</v>
      </c>
      <c r="H57" s="555">
        <v>0.05</v>
      </c>
      <c r="I57" s="560" t="s">
        <v>859</v>
      </c>
      <c r="J57" s="523" t="s">
        <v>862</v>
      </c>
      <c r="K57" s="528" t="str">
        <f>IFERROR(VLOOKUP($B57,'Clients-Live'!$A:$C,3,0),"")</f>
        <v>AYIKORU HARIET BAUDI</v>
      </c>
      <c r="L57" s="528">
        <f>IF(E57="STL",Pricing!$D$38,IF(A57="",0,IF(A57&lt;Pricing!$C$25,Pricing!$D$25,VLOOKUP(Disbursements!$F57,Pricing!$B$29:$D$32,3))))</f>
        <v>10000</v>
      </c>
      <c r="M57" s="528">
        <f>IF(E57="STL",0,IF(F57&gt;0,Pricing!$D$21,0))</f>
        <v>5000</v>
      </c>
      <c r="N57" s="529">
        <f>IF(E57="STL",F57*Pricing!$D$40,IF(A57&lt;=Pricing!$C$4,0,IF(AND(A57&gt;Pricing!$C$4,Disbursements!A57&lt;=Pricing!$C$5),F57*Pricing!$E$5,IF(AND(A57&gt;Pricing!$C$5,Disbursements!A57&lt;=Pricing!$C$7),VLOOKUP(F57,Pricing!$D$7:$E$8,2)*Disbursements!F57,F57*Pricing!$E$9))))</f>
        <v>0</v>
      </c>
      <c r="O57" s="528">
        <f>IF(E57="STL",0,IF($F57&gt;0,$F57*Pricing!$D$17,0))</f>
        <v>150000</v>
      </c>
      <c r="P57" s="530">
        <f t="shared" si="22"/>
        <v>450000</v>
      </c>
      <c r="Q57" s="531">
        <f>IF($A57="","",$G57/VLOOKUP($I57,Ref!$B$23:$D$29,2,0))</f>
        <v>6</v>
      </c>
      <c r="R57" s="530">
        <f t="shared" si="23"/>
        <v>1950000</v>
      </c>
      <c r="S57" s="532">
        <f t="shared" si="2"/>
        <v>325000</v>
      </c>
      <c r="T57" s="531">
        <f t="shared" si="41"/>
        <v>325000</v>
      </c>
      <c r="U57" s="533">
        <f t="shared" si="24"/>
        <v>1950000</v>
      </c>
      <c r="V57" s="531">
        <f t="shared" si="25"/>
        <v>250000</v>
      </c>
      <c r="W57" s="531">
        <f t="shared" si="26"/>
        <v>75000</v>
      </c>
      <c r="X57" s="534">
        <f t="shared" si="27"/>
        <v>450000</v>
      </c>
      <c r="Y57" s="535">
        <f>IF($A57="","",IF($I57="weekly",$A57+7,EDATE($A57,VLOOKUP($I57,Ref!$B$24:$C$29,2,0))))</f>
        <v>44392</v>
      </c>
      <c r="Z57" s="536" t="str">
        <f t="shared" si="28"/>
        <v>Thu</v>
      </c>
      <c r="AA57" s="531">
        <f t="shared" si="29"/>
        <v>30</v>
      </c>
      <c r="AB57" s="535">
        <f t="shared" si="8"/>
        <v>44545</v>
      </c>
      <c r="AC57" s="537">
        <f t="shared" si="9"/>
        <v>183</v>
      </c>
      <c r="AD57" s="538" t="str">
        <f t="shared" ca="1" si="10"/>
        <v>Expired</v>
      </c>
      <c r="AE57" s="537">
        <f t="shared" ca="1" si="11"/>
        <v>0</v>
      </c>
      <c r="AF57" s="539">
        <f t="shared" ca="1" si="30"/>
        <v>6</v>
      </c>
      <c r="AG57" s="531">
        <f t="shared" ca="1" si="31"/>
        <v>1950000</v>
      </c>
      <c r="AH57" s="531">
        <f t="shared" ca="1" si="32"/>
        <v>450000</v>
      </c>
      <c r="AI57" s="531">
        <f t="shared" ca="1" si="33"/>
        <v>1500000</v>
      </c>
      <c r="AJ57" s="531">
        <f t="shared" ca="1" si="34"/>
        <v>0</v>
      </c>
      <c r="AK57" s="540">
        <f>SUMIFS('Live Collections'!$S:$S,'Live Collections'!$D:$D,Disbursements!B57,'Live Collections'!$G:$G,Disbursements!C57)</f>
        <v>450000</v>
      </c>
      <c r="AL57" s="540">
        <f>SUMIFS('Live Collections'!$T:$T,'Live Collections'!$D:$D,Disbursements!B57,'Live Collections'!$G:$G,Disbursements!C57)</f>
        <v>1500000</v>
      </c>
      <c r="AM57" s="541">
        <f t="shared" si="35"/>
        <v>1950000</v>
      </c>
      <c r="AN57" s="542">
        <f t="shared" si="36"/>
        <v>0</v>
      </c>
      <c r="AO57" s="542">
        <f t="shared" si="37"/>
        <v>0</v>
      </c>
      <c r="AP57" s="543">
        <f t="shared" si="38"/>
        <v>0</v>
      </c>
      <c r="AQ57" s="544" t="str">
        <f t="shared" ca="1" si="39"/>
        <v/>
      </c>
      <c r="AR57" s="545">
        <f t="shared" ca="1" si="40"/>
        <v>0</v>
      </c>
      <c r="AS57" s="545">
        <f ca="1">IFERROR(CEILING($AR57*VLOOKUP($I57,Ref!$B$23:$E$29,4,0),1),0)</f>
        <v>0</v>
      </c>
      <c r="AT57" s="545" t="str">
        <f>IF(A57="","",IF(AP57&lt;=1,"Cleared",IF(AS57=0,"Clean",VLOOKUP($AS57,Ref!$G$23:$H$28,2))))</f>
        <v>Cleared</v>
      </c>
      <c r="AU57" s="546" t="str">
        <f t="shared" si="42"/>
        <v>Ok</v>
      </c>
    </row>
    <row r="58" spans="1:47" ht="15" customHeight="1" x14ac:dyDescent="0.15">
      <c r="A58" s="553">
        <v>44362</v>
      </c>
      <c r="B58" s="523">
        <v>73</v>
      </c>
      <c r="C58" s="523">
        <v>54</v>
      </c>
      <c r="D58" s="523">
        <v>1</v>
      </c>
      <c r="E58" s="523" t="s">
        <v>1274</v>
      </c>
      <c r="F58" s="554">
        <v>500000</v>
      </c>
      <c r="G58" s="524">
        <v>4</v>
      </c>
      <c r="H58" s="555">
        <v>0.05</v>
      </c>
      <c r="I58" s="560" t="s">
        <v>859</v>
      </c>
      <c r="J58" s="523" t="s">
        <v>864</v>
      </c>
      <c r="K58" s="528" t="str">
        <f>IFERROR(VLOOKUP($B58,'Clients-Live'!$A:$C,3,0),"")</f>
        <v>AJONYE DEBORA</v>
      </c>
      <c r="L58" s="528">
        <f>IF(E58="STL",Pricing!$D$38,IF(A58="",0,IF(A58&lt;Pricing!$C$25,Pricing!$D$25,VLOOKUP(Disbursements!$F58,Pricing!$B$29:$D$32,3))))</f>
        <v>10000</v>
      </c>
      <c r="M58" s="528">
        <f>IF(E58="STL",0,IF(F58&gt;0,Pricing!$D$21,0))</f>
        <v>5000</v>
      </c>
      <c r="N58" s="529">
        <f>IF(E58="STL",F58*Pricing!$D$40,IF(A58&lt;=Pricing!$C$4,0,IF(AND(A58&gt;Pricing!$C$4,Disbursements!A58&lt;=Pricing!$C$5),F58*Pricing!$E$5,IF(AND(A58&gt;Pricing!$C$5,Disbursements!A58&lt;=Pricing!$C$7),VLOOKUP(F58,Pricing!$D$7:$E$8,2)*Disbursements!F58,F58*Pricing!$E$9))))</f>
        <v>0</v>
      </c>
      <c r="O58" s="528">
        <f>IF(E58="STL",0,IF($F58&gt;0,$F58*Pricing!$D$17,0))</f>
        <v>50000</v>
      </c>
      <c r="P58" s="530">
        <f t="shared" si="22"/>
        <v>100000</v>
      </c>
      <c r="Q58" s="531">
        <f>IF($A58="","",$G58/VLOOKUP($I58,Ref!$B$23:$D$29,2,0))</f>
        <v>4</v>
      </c>
      <c r="R58" s="530">
        <f t="shared" si="23"/>
        <v>600000</v>
      </c>
      <c r="S58" s="532">
        <f t="shared" si="2"/>
        <v>150000</v>
      </c>
      <c r="T58" s="531">
        <f t="shared" si="41"/>
        <v>150000</v>
      </c>
      <c r="U58" s="533">
        <f t="shared" si="24"/>
        <v>600000</v>
      </c>
      <c r="V58" s="531">
        <f t="shared" si="25"/>
        <v>125000</v>
      </c>
      <c r="W58" s="531">
        <f t="shared" si="26"/>
        <v>25000</v>
      </c>
      <c r="X58" s="534">
        <f t="shared" si="27"/>
        <v>100000</v>
      </c>
      <c r="Y58" s="535">
        <f>IF($A58="","",IF($I58="weekly",$A58+7,EDATE($A58,VLOOKUP($I58,Ref!$B$24:$C$29,2,0))))</f>
        <v>44392</v>
      </c>
      <c r="Z58" s="536" t="str">
        <f t="shared" si="28"/>
        <v>Thu</v>
      </c>
      <c r="AA58" s="531">
        <f t="shared" si="29"/>
        <v>30</v>
      </c>
      <c r="AB58" s="535">
        <f t="shared" si="8"/>
        <v>44484</v>
      </c>
      <c r="AC58" s="537">
        <f t="shared" si="9"/>
        <v>122</v>
      </c>
      <c r="AD58" s="538" t="str">
        <f t="shared" ca="1" si="10"/>
        <v>Expired</v>
      </c>
      <c r="AE58" s="537">
        <f t="shared" ca="1" si="11"/>
        <v>0</v>
      </c>
      <c r="AF58" s="539">
        <f t="shared" ca="1" si="30"/>
        <v>4</v>
      </c>
      <c r="AG58" s="531">
        <f t="shared" ca="1" si="31"/>
        <v>600000</v>
      </c>
      <c r="AH58" s="531">
        <f t="shared" ca="1" si="32"/>
        <v>100000</v>
      </c>
      <c r="AI58" s="531">
        <f t="shared" ca="1" si="33"/>
        <v>500000</v>
      </c>
      <c r="AJ58" s="531">
        <f t="shared" ca="1" si="34"/>
        <v>0</v>
      </c>
      <c r="AK58" s="540">
        <f>SUMIFS('Live Collections'!$S:$S,'Live Collections'!$D:$D,Disbursements!B58,'Live Collections'!$G:$G,Disbursements!C58)</f>
        <v>100000</v>
      </c>
      <c r="AL58" s="540">
        <f>SUMIFS('Live Collections'!$T:$T,'Live Collections'!$D:$D,Disbursements!B58,'Live Collections'!$G:$G,Disbursements!C58)</f>
        <v>500000</v>
      </c>
      <c r="AM58" s="541">
        <f t="shared" si="35"/>
        <v>600000</v>
      </c>
      <c r="AN58" s="542">
        <f t="shared" si="36"/>
        <v>0</v>
      </c>
      <c r="AO58" s="542">
        <f t="shared" si="37"/>
        <v>0</v>
      </c>
      <c r="AP58" s="543">
        <f t="shared" si="38"/>
        <v>0</v>
      </c>
      <c r="AQ58" s="544" t="str">
        <f t="shared" ca="1" si="39"/>
        <v/>
      </c>
      <c r="AR58" s="545">
        <f t="shared" ca="1" si="40"/>
        <v>0</v>
      </c>
      <c r="AS58" s="545">
        <f ca="1">IFERROR(CEILING($AR58*VLOOKUP($I58,Ref!$B$23:$E$29,4,0),1),0)</f>
        <v>0</v>
      </c>
      <c r="AT58" s="545" t="str">
        <f>IF(A58="","",IF(AP58&lt;=1,"Cleared",IF(AS58=0,"Clean",VLOOKUP($AS58,Ref!$G$23:$H$28,2))))</f>
        <v>Cleared</v>
      </c>
      <c r="AU58" s="546" t="str">
        <f t="shared" si="42"/>
        <v>Ok</v>
      </c>
    </row>
    <row r="59" spans="1:47" ht="15" customHeight="1" x14ac:dyDescent="0.15">
      <c r="A59" s="553">
        <v>44362</v>
      </c>
      <c r="B59" s="523">
        <v>72</v>
      </c>
      <c r="C59" s="523">
        <v>57</v>
      </c>
      <c r="D59" s="523">
        <v>1</v>
      </c>
      <c r="E59" s="523" t="s">
        <v>1274</v>
      </c>
      <c r="F59" s="554">
        <v>1000000</v>
      </c>
      <c r="G59" s="524">
        <v>6</v>
      </c>
      <c r="H59" s="555">
        <v>0.05</v>
      </c>
      <c r="I59" s="560" t="s">
        <v>859</v>
      </c>
      <c r="J59" s="523" t="s">
        <v>863</v>
      </c>
      <c r="K59" s="528" t="str">
        <f>IFERROR(VLOOKUP($B59,'Clients-Live'!$A:$C,3,0),"")</f>
        <v>MUNDURU MERCY</v>
      </c>
      <c r="L59" s="528">
        <f>IF(E59="STL",Pricing!$D$38,IF(A59="",0,IF(A59&lt;Pricing!$C$25,Pricing!$D$25,VLOOKUP(Disbursements!$F59,Pricing!$B$29:$D$32,3))))</f>
        <v>10000</v>
      </c>
      <c r="M59" s="528">
        <f>IF(E59="STL",0,IF(F59&gt;0,Pricing!$D$21,0))</f>
        <v>5000</v>
      </c>
      <c r="N59" s="529">
        <f>IF(E59="STL",F59*Pricing!$D$40,IF(A59&lt;=Pricing!$C$4,0,IF(AND(A59&gt;Pricing!$C$4,Disbursements!A59&lt;=Pricing!$C$5),F59*Pricing!$E$5,IF(AND(A59&gt;Pricing!$C$5,Disbursements!A59&lt;=Pricing!$C$7),VLOOKUP(F59,Pricing!$D$7:$E$8,2)*Disbursements!F59,F59*Pricing!$E$9))))</f>
        <v>0</v>
      </c>
      <c r="O59" s="528">
        <f>IF(E59="STL",0,IF($F59&gt;0,$F59*Pricing!$D$17,0))</f>
        <v>100000</v>
      </c>
      <c r="P59" s="530">
        <f t="shared" si="22"/>
        <v>300000</v>
      </c>
      <c r="Q59" s="531">
        <f>IF($A59="","",$G59/VLOOKUP($I59,Ref!$B$23:$D$29,2,0))</f>
        <v>6</v>
      </c>
      <c r="R59" s="530">
        <f t="shared" si="23"/>
        <v>1300000</v>
      </c>
      <c r="S59" s="532">
        <f t="shared" si="2"/>
        <v>216666.66666666666</v>
      </c>
      <c r="T59" s="531">
        <f t="shared" si="41"/>
        <v>217000</v>
      </c>
      <c r="U59" s="533">
        <f t="shared" si="24"/>
        <v>1302000</v>
      </c>
      <c r="V59" s="531">
        <f t="shared" si="25"/>
        <v>166666.66666666666</v>
      </c>
      <c r="W59" s="531">
        <f t="shared" si="26"/>
        <v>50333.333333333343</v>
      </c>
      <c r="X59" s="534">
        <f t="shared" si="27"/>
        <v>302000.00000000006</v>
      </c>
      <c r="Y59" s="535">
        <f>IF($A59="","",IF($I59="weekly",$A59+7,EDATE($A59,VLOOKUP($I59,Ref!$B$24:$C$29,2,0))))</f>
        <v>44392</v>
      </c>
      <c r="Z59" s="536" t="str">
        <f t="shared" si="28"/>
        <v>Thu</v>
      </c>
      <c r="AA59" s="531">
        <f t="shared" si="29"/>
        <v>30</v>
      </c>
      <c r="AB59" s="535">
        <f t="shared" si="8"/>
        <v>44545</v>
      </c>
      <c r="AC59" s="537">
        <f t="shared" si="9"/>
        <v>183</v>
      </c>
      <c r="AD59" s="538" t="str">
        <f t="shared" ca="1" si="10"/>
        <v>Expired</v>
      </c>
      <c r="AE59" s="537">
        <f t="shared" ca="1" si="11"/>
        <v>0</v>
      </c>
      <c r="AF59" s="539">
        <f t="shared" ca="1" si="30"/>
        <v>6</v>
      </c>
      <c r="AG59" s="531">
        <f t="shared" ca="1" si="31"/>
        <v>1302000</v>
      </c>
      <c r="AH59" s="531">
        <f t="shared" ca="1" si="32"/>
        <v>302000.00000000006</v>
      </c>
      <c r="AI59" s="531">
        <f t="shared" ca="1" si="33"/>
        <v>1000000</v>
      </c>
      <c r="AJ59" s="531">
        <f t="shared" ca="1" si="34"/>
        <v>0</v>
      </c>
      <c r="AK59" s="540">
        <f>SUMIFS('Live Collections'!$S:$S,'Live Collections'!$D:$D,Disbursements!B59,'Live Collections'!$G:$G,Disbursements!C59)</f>
        <v>302000.00000000006</v>
      </c>
      <c r="AL59" s="540">
        <f>SUMIFS('Live Collections'!$T:$T,'Live Collections'!$D:$D,Disbursements!B59,'Live Collections'!$G:$G,Disbursements!C59)</f>
        <v>998200</v>
      </c>
      <c r="AM59" s="541">
        <f t="shared" si="35"/>
        <v>1300200</v>
      </c>
      <c r="AN59" s="542">
        <f t="shared" si="36"/>
        <v>0</v>
      </c>
      <c r="AO59" s="542">
        <f t="shared" si="37"/>
        <v>1800</v>
      </c>
      <c r="AP59" s="543">
        <f t="shared" si="38"/>
        <v>1800</v>
      </c>
      <c r="AQ59" s="544">
        <f t="shared" ca="1" si="39"/>
        <v>1800</v>
      </c>
      <c r="AR59" s="545">
        <f t="shared" ca="1" si="40"/>
        <v>8.2949308755760377E-3</v>
      </c>
      <c r="AS59" s="545">
        <f ca="1">IFERROR(CEILING($AR59*VLOOKUP($I59,Ref!$B$23:$E$29,4,0),1),0)</f>
        <v>1</v>
      </c>
      <c r="AT59" s="545" t="str">
        <f ca="1">IF(A59="","",IF(AP59&lt;=1,"Cleared",IF(AS59=0,"Clean",VLOOKUP($AS59,Ref!$G$23:$H$28,2))))</f>
        <v>1.(0-30) Days</v>
      </c>
      <c r="AU59" s="546" t="str">
        <f t="shared" si="42"/>
        <v>Ok</v>
      </c>
    </row>
    <row r="60" spans="1:47" ht="15" customHeight="1" x14ac:dyDescent="0.15">
      <c r="A60" s="553">
        <v>44362</v>
      </c>
      <c r="B60" s="523">
        <v>74</v>
      </c>
      <c r="C60" s="523">
        <v>59</v>
      </c>
      <c r="D60" s="523">
        <v>1</v>
      </c>
      <c r="E60" s="523" t="s">
        <v>1274</v>
      </c>
      <c r="F60" s="554">
        <v>300000</v>
      </c>
      <c r="G60" s="524">
        <v>4</v>
      </c>
      <c r="H60" s="555">
        <v>0.05</v>
      </c>
      <c r="I60" s="560" t="s">
        <v>859</v>
      </c>
      <c r="J60" s="523" t="s">
        <v>863</v>
      </c>
      <c r="K60" s="528" t="str">
        <f>IFERROR(VLOOKUP($B60,'Clients-Live'!$A:$C,3,0),"")</f>
        <v>YUKUWE AISHA</v>
      </c>
      <c r="L60" s="528">
        <f>IF(E60="STL",Pricing!$D$38,IF(A60="",0,IF(A60&lt;Pricing!$C$25,Pricing!$D$25,VLOOKUP(Disbursements!$F60,Pricing!$B$29:$D$32,3))))</f>
        <v>10000</v>
      </c>
      <c r="M60" s="528">
        <f>IF(E60="STL",0,IF(F60&gt;0,Pricing!$D$21,0))</f>
        <v>5000</v>
      </c>
      <c r="N60" s="529">
        <f>IF(E60="STL",F60*Pricing!$D$40,IF(A60&lt;=Pricing!$C$4,0,IF(AND(A60&gt;Pricing!$C$4,Disbursements!A60&lt;=Pricing!$C$5),F60*Pricing!$E$5,IF(AND(A60&gt;Pricing!$C$5,Disbursements!A60&lt;=Pricing!$C$7),VLOOKUP(F60,Pricing!$D$7:$E$8,2)*Disbursements!F60,F60*Pricing!$E$9))))</f>
        <v>0</v>
      </c>
      <c r="O60" s="528">
        <f>IF(E60="STL",0,IF($F60&gt;0,$F60*Pricing!$D$17,0))</f>
        <v>30000</v>
      </c>
      <c r="P60" s="530">
        <f t="shared" si="22"/>
        <v>60000</v>
      </c>
      <c r="Q60" s="531">
        <f>IF($A60="","",$G60/VLOOKUP($I60,Ref!$B$23:$D$29,2,0))</f>
        <v>4</v>
      </c>
      <c r="R60" s="530">
        <f t="shared" si="23"/>
        <v>360000</v>
      </c>
      <c r="S60" s="532">
        <f t="shared" si="2"/>
        <v>90000</v>
      </c>
      <c r="T60" s="531">
        <f t="shared" si="41"/>
        <v>90000</v>
      </c>
      <c r="U60" s="533">
        <f t="shared" si="24"/>
        <v>360000</v>
      </c>
      <c r="V60" s="531">
        <f t="shared" si="25"/>
        <v>75000</v>
      </c>
      <c r="W60" s="531">
        <f t="shared" si="26"/>
        <v>15000</v>
      </c>
      <c r="X60" s="534">
        <f t="shared" si="27"/>
        <v>60000</v>
      </c>
      <c r="Y60" s="535">
        <f>IF($A60="","",IF($I60="weekly",$A60+7,EDATE($A60,VLOOKUP($I60,Ref!$B$24:$C$29,2,0))))</f>
        <v>44392</v>
      </c>
      <c r="Z60" s="536" t="str">
        <f t="shared" si="28"/>
        <v>Thu</v>
      </c>
      <c r="AA60" s="531">
        <f t="shared" si="29"/>
        <v>30</v>
      </c>
      <c r="AB60" s="535">
        <f t="shared" si="8"/>
        <v>44484</v>
      </c>
      <c r="AC60" s="537">
        <f t="shared" si="9"/>
        <v>122</v>
      </c>
      <c r="AD60" s="538" t="str">
        <f t="shared" ca="1" si="10"/>
        <v>Expired</v>
      </c>
      <c r="AE60" s="537">
        <f t="shared" ca="1" si="11"/>
        <v>0</v>
      </c>
      <c r="AF60" s="539">
        <f t="shared" ca="1" si="30"/>
        <v>4</v>
      </c>
      <c r="AG60" s="531">
        <f t="shared" ca="1" si="31"/>
        <v>360000</v>
      </c>
      <c r="AH60" s="531">
        <f t="shared" ca="1" si="32"/>
        <v>60000</v>
      </c>
      <c r="AI60" s="531">
        <f t="shared" ca="1" si="33"/>
        <v>300000</v>
      </c>
      <c r="AJ60" s="531">
        <f t="shared" ca="1" si="34"/>
        <v>0</v>
      </c>
      <c r="AK60" s="540">
        <f>SUMIFS('Live Collections'!$S:$S,'Live Collections'!$D:$D,Disbursements!B60,'Live Collections'!$G:$G,Disbursements!C60)</f>
        <v>60000</v>
      </c>
      <c r="AL60" s="540">
        <f>SUMIFS('Live Collections'!$T:$T,'Live Collections'!$D:$D,Disbursements!B60,'Live Collections'!$G:$G,Disbursements!C60)</f>
        <v>300000</v>
      </c>
      <c r="AM60" s="541">
        <f t="shared" si="35"/>
        <v>360000</v>
      </c>
      <c r="AN60" s="542">
        <f t="shared" si="36"/>
        <v>0</v>
      </c>
      <c r="AO60" s="542">
        <f t="shared" si="37"/>
        <v>0</v>
      </c>
      <c r="AP60" s="543">
        <f t="shared" si="38"/>
        <v>0</v>
      </c>
      <c r="AQ60" s="544" t="str">
        <f t="shared" ca="1" si="39"/>
        <v/>
      </c>
      <c r="AR60" s="545">
        <f t="shared" ca="1" si="40"/>
        <v>0</v>
      </c>
      <c r="AS60" s="545">
        <f ca="1">IFERROR(CEILING($AR60*VLOOKUP($I60,Ref!$B$23:$E$29,4,0),1),0)</f>
        <v>0</v>
      </c>
      <c r="AT60" s="545" t="str">
        <f>IF(A60="","",IF(AP60&lt;=1,"Cleared",IF(AS60=0,"Clean",VLOOKUP($AS60,Ref!$G$23:$H$28,2))))</f>
        <v>Cleared</v>
      </c>
      <c r="AU60" s="546" t="str">
        <f t="shared" si="42"/>
        <v>Ok</v>
      </c>
    </row>
    <row r="61" spans="1:47" ht="15" customHeight="1" x14ac:dyDescent="0.15">
      <c r="A61" s="566">
        <v>44362</v>
      </c>
      <c r="B61" s="548">
        <v>75</v>
      </c>
      <c r="C61" s="523">
        <v>55</v>
      </c>
      <c r="D61" s="523">
        <v>1</v>
      </c>
      <c r="E61" s="523" t="s">
        <v>1274</v>
      </c>
      <c r="F61" s="549">
        <v>400000</v>
      </c>
      <c r="G61" s="524">
        <v>3</v>
      </c>
      <c r="H61" s="550">
        <v>0.05</v>
      </c>
      <c r="I61" s="562" t="s">
        <v>859</v>
      </c>
      <c r="J61" s="548" t="s">
        <v>862</v>
      </c>
      <c r="K61" s="528" t="str">
        <f>IFERROR(VLOOKUP($B61,'Clients-Live'!$A:$C,3,0),"")</f>
        <v>MUKULIA JAMES</v>
      </c>
      <c r="L61" s="528">
        <f>IF(E61="STL",Pricing!$D$38,IF(A61="",0,IF(A61&lt;Pricing!$C$25,Pricing!$D$25,VLOOKUP(Disbursements!$F61,Pricing!$B$29:$D$32,3))))</f>
        <v>10000</v>
      </c>
      <c r="M61" s="528">
        <f>IF(E61="STL",0,IF(F61&gt;0,Pricing!$D$21,0))</f>
        <v>5000</v>
      </c>
      <c r="N61" s="529">
        <f>IF(E61="STL",F61*Pricing!$D$40,IF(A61&lt;=Pricing!$C$4,0,IF(AND(A61&gt;Pricing!$C$4,Disbursements!A61&lt;=Pricing!$C$5),F61*Pricing!$E$5,IF(AND(A61&gt;Pricing!$C$5,Disbursements!A61&lt;=Pricing!$C$7),VLOOKUP(F61,Pricing!$D$7:$E$8,2)*Disbursements!F61,F61*Pricing!$E$9))))</f>
        <v>0</v>
      </c>
      <c r="O61" s="528">
        <f>IF(E61="STL",0,IF($F61&gt;0,$F61*Pricing!$D$17,0))</f>
        <v>40000</v>
      </c>
      <c r="P61" s="530">
        <f t="shared" si="22"/>
        <v>60000</v>
      </c>
      <c r="Q61" s="531">
        <f>IF($A61="","",$G61/VLOOKUP($I61,Ref!$B$23:$D$29,2,0))</f>
        <v>3</v>
      </c>
      <c r="R61" s="530">
        <f t="shared" si="23"/>
        <v>460000</v>
      </c>
      <c r="S61" s="532">
        <f t="shared" si="2"/>
        <v>153333.33333333334</v>
      </c>
      <c r="T61" s="531">
        <f t="shared" si="41"/>
        <v>154000</v>
      </c>
      <c r="U61" s="533">
        <f t="shared" si="24"/>
        <v>462000</v>
      </c>
      <c r="V61" s="531">
        <f t="shared" si="25"/>
        <v>133333.33333333334</v>
      </c>
      <c r="W61" s="531">
        <f t="shared" si="26"/>
        <v>20666.666666666657</v>
      </c>
      <c r="X61" s="534">
        <f t="shared" si="27"/>
        <v>61999.999999999971</v>
      </c>
      <c r="Y61" s="535">
        <f>IF($A61="","",IF($I61="weekly",$A61+7,EDATE($A61,VLOOKUP($I61,Ref!$B$24:$C$29,2,0))))</f>
        <v>44392</v>
      </c>
      <c r="Z61" s="536" t="str">
        <f t="shared" si="28"/>
        <v>Thu</v>
      </c>
      <c r="AA61" s="531">
        <f t="shared" si="29"/>
        <v>30</v>
      </c>
      <c r="AB61" s="535">
        <f t="shared" si="8"/>
        <v>44454</v>
      </c>
      <c r="AC61" s="537">
        <f t="shared" si="9"/>
        <v>92</v>
      </c>
      <c r="AD61" s="538" t="str">
        <f t="shared" ca="1" si="10"/>
        <v>Expired</v>
      </c>
      <c r="AE61" s="537">
        <f t="shared" ca="1" si="11"/>
        <v>0</v>
      </c>
      <c r="AF61" s="539">
        <f t="shared" ca="1" si="30"/>
        <v>3</v>
      </c>
      <c r="AG61" s="531">
        <f t="shared" ca="1" si="31"/>
        <v>462000</v>
      </c>
      <c r="AH61" s="531">
        <f t="shared" ca="1" si="32"/>
        <v>61999.999999999971</v>
      </c>
      <c r="AI61" s="531">
        <f t="shared" ca="1" si="33"/>
        <v>400000</v>
      </c>
      <c r="AJ61" s="531">
        <f t="shared" ca="1" si="34"/>
        <v>0</v>
      </c>
      <c r="AK61" s="540">
        <f>SUMIFS('Live Collections'!$S:$S,'Live Collections'!$D:$D,Disbursements!B61,'Live Collections'!$G:$G,Disbursements!C61)</f>
        <v>61999.999999999971</v>
      </c>
      <c r="AL61" s="540">
        <f>SUMIFS('Live Collections'!$T:$T,'Live Collections'!$D:$D,Disbursements!B61,'Live Collections'!$G:$G,Disbursements!C61)</f>
        <v>400000</v>
      </c>
      <c r="AM61" s="541">
        <f t="shared" si="35"/>
        <v>462000</v>
      </c>
      <c r="AN61" s="542">
        <f t="shared" si="36"/>
        <v>0</v>
      </c>
      <c r="AO61" s="542">
        <f t="shared" si="37"/>
        <v>0</v>
      </c>
      <c r="AP61" s="543">
        <f t="shared" si="38"/>
        <v>0</v>
      </c>
      <c r="AQ61" s="544" t="str">
        <f t="shared" ca="1" si="39"/>
        <v/>
      </c>
      <c r="AR61" s="545">
        <f t="shared" ca="1" si="40"/>
        <v>0</v>
      </c>
      <c r="AS61" s="545">
        <f ca="1">IFERROR(CEILING($AR61*VLOOKUP($I61,Ref!$B$23:$E$29,4,0),1),0)</f>
        <v>0</v>
      </c>
      <c r="AT61" s="545" t="str">
        <f>IF(A61="","",IF(AP61&lt;=1,"Cleared",IF(AS61=0,"Clean",VLOOKUP($AS61,Ref!$G$23:$H$28,2))))</f>
        <v>Cleared</v>
      </c>
      <c r="AU61" s="546" t="str">
        <f t="shared" si="42"/>
        <v>Ok</v>
      </c>
    </row>
    <row r="62" spans="1:47" ht="15" customHeight="1" x14ac:dyDescent="0.15">
      <c r="A62" s="553">
        <v>44362</v>
      </c>
      <c r="B62" s="523">
        <v>76</v>
      </c>
      <c r="C62" s="523">
        <v>58</v>
      </c>
      <c r="D62" s="523">
        <v>1</v>
      </c>
      <c r="E62" s="523" t="s">
        <v>1274</v>
      </c>
      <c r="F62" s="554">
        <v>300000</v>
      </c>
      <c r="G62" s="524">
        <v>4</v>
      </c>
      <c r="H62" s="555">
        <v>0.05</v>
      </c>
      <c r="I62" s="560" t="s">
        <v>859</v>
      </c>
      <c r="J62" s="523" t="s">
        <v>863</v>
      </c>
      <c r="K62" s="528" t="str">
        <f>IFERROR(VLOOKUP($B62,'Clients-Live'!$A:$C,3,0),"")</f>
        <v>DAWA AISHA</v>
      </c>
      <c r="L62" s="528">
        <f>IF(E62="STL",Pricing!$D$38,IF(A62="",0,IF(A62&lt;Pricing!$C$25,Pricing!$D$25,VLOOKUP(Disbursements!$F62,Pricing!$B$29:$D$32,3))))</f>
        <v>10000</v>
      </c>
      <c r="M62" s="528">
        <f>IF(E62="STL",0,IF(F62&gt;0,Pricing!$D$21,0))</f>
        <v>5000</v>
      </c>
      <c r="N62" s="529">
        <f>IF(E62="STL",F62*Pricing!$D$40,IF(A62&lt;=Pricing!$C$4,0,IF(AND(A62&gt;Pricing!$C$4,Disbursements!A62&lt;=Pricing!$C$5),F62*Pricing!$E$5,IF(AND(A62&gt;Pricing!$C$5,Disbursements!A62&lt;=Pricing!$C$7),VLOOKUP(F62,Pricing!$D$7:$E$8,2)*Disbursements!F62,F62*Pricing!$E$9))))</f>
        <v>0</v>
      </c>
      <c r="O62" s="528">
        <f>IF(E62="STL",0,IF($F62&gt;0,$F62*Pricing!$D$17,0))</f>
        <v>30000</v>
      </c>
      <c r="P62" s="530">
        <f t="shared" si="22"/>
        <v>60000</v>
      </c>
      <c r="Q62" s="531">
        <f>IF($A62="","",$G62/VLOOKUP($I62,Ref!$B$23:$D$29,2,0))</f>
        <v>4</v>
      </c>
      <c r="R62" s="530">
        <f t="shared" si="23"/>
        <v>360000</v>
      </c>
      <c r="S62" s="532">
        <f t="shared" si="2"/>
        <v>90000</v>
      </c>
      <c r="T62" s="531">
        <f t="shared" si="41"/>
        <v>90000</v>
      </c>
      <c r="U62" s="533">
        <f t="shared" si="24"/>
        <v>360000</v>
      </c>
      <c r="V62" s="531">
        <f t="shared" si="25"/>
        <v>75000</v>
      </c>
      <c r="W62" s="531">
        <f t="shared" si="26"/>
        <v>15000</v>
      </c>
      <c r="X62" s="534">
        <f t="shared" si="27"/>
        <v>60000</v>
      </c>
      <c r="Y62" s="535">
        <f>IF($A62="","",IF($I62="weekly",$A62+7,EDATE($A62,VLOOKUP($I62,Ref!$B$24:$C$29,2,0))))</f>
        <v>44392</v>
      </c>
      <c r="Z62" s="536" t="str">
        <f t="shared" si="28"/>
        <v>Thu</v>
      </c>
      <c r="AA62" s="531">
        <f t="shared" si="29"/>
        <v>30</v>
      </c>
      <c r="AB62" s="535">
        <f t="shared" si="8"/>
        <v>44484</v>
      </c>
      <c r="AC62" s="537">
        <f t="shared" si="9"/>
        <v>122</v>
      </c>
      <c r="AD62" s="538" t="str">
        <f t="shared" ca="1" si="10"/>
        <v>Expired</v>
      </c>
      <c r="AE62" s="537">
        <f t="shared" ca="1" si="11"/>
        <v>0</v>
      </c>
      <c r="AF62" s="539">
        <f t="shared" ca="1" si="30"/>
        <v>4</v>
      </c>
      <c r="AG62" s="531">
        <f t="shared" ca="1" si="31"/>
        <v>360000</v>
      </c>
      <c r="AH62" s="531">
        <f t="shared" ca="1" si="32"/>
        <v>60000</v>
      </c>
      <c r="AI62" s="531">
        <f t="shared" ca="1" si="33"/>
        <v>300000</v>
      </c>
      <c r="AJ62" s="531">
        <f t="shared" ca="1" si="34"/>
        <v>0</v>
      </c>
      <c r="AK62" s="540">
        <f>SUMIFS('Live Collections'!$S:$S,'Live Collections'!$D:$D,Disbursements!B62,'Live Collections'!$G:$G,Disbursements!C62)</f>
        <v>60000</v>
      </c>
      <c r="AL62" s="540">
        <f>SUMIFS('Live Collections'!$T:$T,'Live Collections'!$D:$D,Disbursements!B62,'Live Collections'!$G:$G,Disbursements!C62)</f>
        <v>300000</v>
      </c>
      <c r="AM62" s="541">
        <f t="shared" si="35"/>
        <v>360000</v>
      </c>
      <c r="AN62" s="542">
        <f t="shared" si="36"/>
        <v>0</v>
      </c>
      <c r="AO62" s="542">
        <f t="shared" si="37"/>
        <v>0</v>
      </c>
      <c r="AP62" s="543">
        <f t="shared" si="38"/>
        <v>0</v>
      </c>
      <c r="AQ62" s="544" t="str">
        <f t="shared" ca="1" si="39"/>
        <v/>
      </c>
      <c r="AR62" s="545">
        <f t="shared" ca="1" si="40"/>
        <v>0</v>
      </c>
      <c r="AS62" s="545">
        <f ca="1">IFERROR(CEILING($AR62*VLOOKUP($I62,Ref!$B$23:$E$29,4,0),1),0)</f>
        <v>0</v>
      </c>
      <c r="AT62" s="545" t="str">
        <f>IF(A62="","",IF(AP62&lt;=1,"Cleared",IF(AS62=0,"Clean",VLOOKUP($AS62,Ref!$G$23:$H$28,2))))</f>
        <v>Cleared</v>
      </c>
      <c r="AU62" s="546" t="str">
        <f t="shared" si="42"/>
        <v>Ok</v>
      </c>
    </row>
    <row r="63" spans="1:47" ht="15" customHeight="1" x14ac:dyDescent="0.15">
      <c r="A63" s="553">
        <v>44363</v>
      </c>
      <c r="B63" s="523">
        <v>60</v>
      </c>
      <c r="C63" s="523">
        <v>60</v>
      </c>
      <c r="D63" s="523">
        <v>1</v>
      </c>
      <c r="E63" s="523" t="s">
        <v>1274</v>
      </c>
      <c r="F63" s="558">
        <v>400000</v>
      </c>
      <c r="G63" s="524">
        <v>4</v>
      </c>
      <c r="H63" s="555">
        <v>0.05</v>
      </c>
      <c r="I63" s="560" t="s">
        <v>859</v>
      </c>
      <c r="J63" s="523" t="s">
        <v>863</v>
      </c>
      <c r="K63" s="528" t="str">
        <f>IFERROR(VLOOKUP($B63,'Clients-Live'!$A:$C,3,0),"")</f>
        <v>MATURU ALICE</v>
      </c>
      <c r="L63" s="528">
        <f>IF(E63="STL",Pricing!$D$38,IF(A63="",0,IF(A63&lt;Pricing!$C$25,Pricing!$D$25,VLOOKUP(Disbursements!$F63,Pricing!$B$29:$D$32,3))))</f>
        <v>10000</v>
      </c>
      <c r="M63" s="528">
        <f>IF(E63="STL",0,IF(F63&gt;0,Pricing!$D$21,0))</f>
        <v>5000</v>
      </c>
      <c r="N63" s="529">
        <f>IF(E63="STL",F63*Pricing!$D$40,IF(A63&lt;=Pricing!$C$4,0,IF(AND(A63&gt;Pricing!$C$4,Disbursements!A63&lt;=Pricing!$C$5),F63*Pricing!$E$5,IF(AND(A63&gt;Pricing!$C$5,Disbursements!A63&lt;=Pricing!$C$7),VLOOKUP(F63,Pricing!$D$7:$E$8,2)*Disbursements!F63,F63*Pricing!$E$9))))</f>
        <v>0</v>
      </c>
      <c r="O63" s="528">
        <f>IF(E63="STL",0,IF($F63&gt;0,$F63*Pricing!$D$17,0))</f>
        <v>40000</v>
      </c>
      <c r="P63" s="530">
        <f t="shared" si="22"/>
        <v>80000</v>
      </c>
      <c r="Q63" s="531">
        <f>IF($A63="","",$G63/VLOOKUP($I63,Ref!$B$23:$D$29,2,0))</f>
        <v>4</v>
      </c>
      <c r="R63" s="530">
        <f t="shared" si="23"/>
        <v>480000</v>
      </c>
      <c r="S63" s="532">
        <f t="shared" si="2"/>
        <v>120000</v>
      </c>
      <c r="T63" s="531">
        <f t="shared" si="41"/>
        <v>120000</v>
      </c>
      <c r="U63" s="533">
        <f t="shared" si="24"/>
        <v>480000</v>
      </c>
      <c r="V63" s="531">
        <f t="shared" si="25"/>
        <v>100000</v>
      </c>
      <c r="W63" s="531">
        <f t="shared" si="26"/>
        <v>20000</v>
      </c>
      <c r="X63" s="534">
        <f t="shared" si="27"/>
        <v>80000</v>
      </c>
      <c r="Y63" s="535">
        <f>IF($A63="","",IF($I63="weekly",$A63+7,EDATE($A63,VLOOKUP($I63,Ref!$B$24:$C$29,2,0))))</f>
        <v>44393</v>
      </c>
      <c r="Z63" s="536" t="str">
        <f t="shared" si="28"/>
        <v>Frid</v>
      </c>
      <c r="AA63" s="531">
        <f t="shared" si="29"/>
        <v>30</v>
      </c>
      <c r="AB63" s="535">
        <f t="shared" si="8"/>
        <v>44485</v>
      </c>
      <c r="AC63" s="537">
        <f t="shared" si="9"/>
        <v>122</v>
      </c>
      <c r="AD63" s="538" t="str">
        <f t="shared" ca="1" si="10"/>
        <v>Expired</v>
      </c>
      <c r="AE63" s="537">
        <f t="shared" ca="1" si="11"/>
        <v>0</v>
      </c>
      <c r="AF63" s="539">
        <f t="shared" ca="1" si="30"/>
        <v>4</v>
      </c>
      <c r="AG63" s="531">
        <f t="shared" ca="1" si="31"/>
        <v>480000</v>
      </c>
      <c r="AH63" s="531">
        <f t="shared" ca="1" si="32"/>
        <v>80000</v>
      </c>
      <c r="AI63" s="531">
        <f t="shared" ca="1" si="33"/>
        <v>400000</v>
      </c>
      <c r="AJ63" s="531">
        <f t="shared" ca="1" si="34"/>
        <v>0</v>
      </c>
      <c r="AK63" s="540">
        <f>SUMIFS('Live Collections'!$S:$S,'Live Collections'!$D:$D,Disbursements!B63,'Live Collections'!$G:$G,Disbursements!C63)</f>
        <v>80000</v>
      </c>
      <c r="AL63" s="540">
        <f>SUMIFS('Live Collections'!$T:$T,'Live Collections'!$D:$D,Disbursements!B63,'Live Collections'!$G:$G,Disbursements!C63)</f>
        <v>400000</v>
      </c>
      <c r="AM63" s="541">
        <f t="shared" si="35"/>
        <v>480000</v>
      </c>
      <c r="AN63" s="542">
        <f t="shared" si="36"/>
        <v>0</v>
      </c>
      <c r="AO63" s="542">
        <f t="shared" si="37"/>
        <v>0</v>
      </c>
      <c r="AP63" s="543">
        <f t="shared" si="38"/>
        <v>0</v>
      </c>
      <c r="AQ63" s="544" t="str">
        <f t="shared" ca="1" si="39"/>
        <v/>
      </c>
      <c r="AR63" s="545">
        <f t="shared" ca="1" si="40"/>
        <v>0</v>
      </c>
      <c r="AS63" s="545">
        <f ca="1">IFERROR(CEILING($AR63*VLOOKUP($I63,Ref!$B$23:$E$29,4,0),1),0)</f>
        <v>0</v>
      </c>
      <c r="AT63" s="545" t="str">
        <f>IF(A63="","",IF(AP63&lt;=1,"Cleared",IF(AS63=0,"Clean",VLOOKUP($AS63,Ref!$G$23:$H$28,2))))</f>
        <v>Cleared</v>
      </c>
      <c r="AU63" s="546" t="str">
        <f t="shared" si="42"/>
        <v>Ok</v>
      </c>
    </row>
    <row r="64" spans="1:47" ht="15" customHeight="1" x14ac:dyDescent="0.15">
      <c r="A64" s="553">
        <v>44363</v>
      </c>
      <c r="B64" s="523">
        <v>77</v>
      </c>
      <c r="C64" s="523">
        <v>61</v>
      </c>
      <c r="D64" s="523">
        <v>1</v>
      </c>
      <c r="E64" s="523" t="s">
        <v>1274</v>
      </c>
      <c r="F64" s="554">
        <v>1000000</v>
      </c>
      <c r="G64" s="524">
        <v>6</v>
      </c>
      <c r="H64" s="555">
        <v>0.05</v>
      </c>
      <c r="I64" s="560" t="s">
        <v>859</v>
      </c>
      <c r="J64" s="523" t="s">
        <v>864</v>
      </c>
      <c r="K64" s="528" t="str">
        <f>IFERROR(VLOOKUP($B64,'Clients-Live'!$A:$C,3,0),"")</f>
        <v>CACA FATUMA</v>
      </c>
      <c r="L64" s="528">
        <f>IF(E64="STL",Pricing!$D$38,IF(A64="",0,IF(A64&lt;Pricing!$C$25,Pricing!$D$25,VLOOKUP(Disbursements!$F64,Pricing!$B$29:$D$32,3))))</f>
        <v>10000</v>
      </c>
      <c r="M64" s="528">
        <f>IF(E64="STL",0,IF(F64&gt;0,Pricing!$D$21,0))</f>
        <v>5000</v>
      </c>
      <c r="N64" s="529">
        <f>IF(E64="STL",F64*Pricing!$D$40,IF(A64&lt;=Pricing!$C$4,0,IF(AND(A64&gt;Pricing!$C$4,Disbursements!A64&lt;=Pricing!$C$5),F64*Pricing!$E$5,IF(AND(A64&gt;Pricing!$C$5,Disbursements!A64&lt;=Pricing!$C$7),VLOOKUP(F64,Pricing!$D$7:$E$8,2)*Disbursements!F64,F64*Pricing!$E$9))))</f>
        <v>0</v>
      </c>
      <c r="O64" s="528">
        <f>IF(E64="STL",0,IF($F64&gt;0,$F64*Pricing!$D$17,0))</f>
        <v>100000</v>
      </c>
      <c r="P64" s="530">
        <f t="shared" si="22"/>
        <v>300000</v>
      </c>
      <c r="Q64" s="531">
        <f>IF($A64="","",$G64/VLOOKUP($I64,Ref!$B$23:$D$29,2,0))</f>
        <v>6</v>
      </c>
      <c r="R64" s="530">
        <f t="shared" si="23"/>
        <v>1300000</v>
      </c>
      <c r="S64" s="532">
        <f t="shared" si="2"/>
        <v>216666.66666666666</v>
      </c>
      <c r="T64" s="531">
        <f t="shared" si="41"/>
        <v>217000</v>
      </c>
      <c r="U64" s="533">
        <f t="shared" si="24"/>
        <v>1302000</v>
      </c>
      <c r="V64" s="531">
        <f t="shared" si="25"/>
        <v>166666.66666666666</v>
      </c>
      <c r="W64" s="531">
        <f t="shared" si="26"/>
        <v>50333.333333333343</v>
      </c>
      <c r="X64" s="534">
        <f t="shared" si="27"/>
        <v>302000.00000000006</v>
      </c>
      <c r="Y64" s="535">
        <f>IF($A64="","",IF($I64="weekly",$A64+7,EDATE($A64,VLOOKUP($I64,Ref!$B$24:$C$29,2,0))))</f>
        <v>44393</v>
      </c>
      <c r="Z64" s="536" t="str">
        <f t="shared" si="28"/>
        <v>Frid</v>
      </c>
      <c r="AA64" s="531">
        <f t="shared" si="29"/>
        <v>30</v>
      </c>
      <c r="AB64" s="535">
        <f t="shared" si="8"/>
        <v>44546</v>
      </c>
      <c r="AC64" s="537">
        <f t="shared" si="9"/>
        <v>183</v>
      </c>
      <c r="AD64" s="538" t="str">
        <f t="shared" ca="1" si="10"/>
        <v>Expired</v>
      </c>
      <c r="AE64" s="537">
        <f t="shared" ca="1" si="11"/>
        <v>0</v>
      </c>
      <c r="AF64" s="539">
        <f t="shared" ca="1" si="30"/>
        <v>6</v>
      </c>
      <c r="AG64" s="531">
        <f t="shared" ca="1" si="31"/>
        <v>1302000</v>
      </c>
      <c r="AH64" s="531">
        <f t="shared" ca="1" si="32"/>
        <v>302000.00000000006</v>
      </c>
      <c r="AI64" s="531">
        <f t="shared" ca="1" si="33"/>
        <v>1000000</v>
      </c>
      <c r="AJ64" s="531">
        <f t="shared" ca="1" si="34"/>
        <v>0</v>
      </c>
      <c r="AK64" s="540">
        <f>SUMIFS('Live Collections'!$S:$S,'Live Collections'!$D:$D,Disbursements!B64,'Live Collections'!$G:$G,Disbursements!C64)</f>
        <v>302000.00000000006</v>
      </c>
      <c r="AL64" s="540">
        <f>SUMIFS('Live Collections'!$T:$T,'Live Collections'!$D:$D,Disbursements!B64,'Live Collections'!$G:$G,Disbursements!C64)</f>
        <v>998000</v>
      </c>
      <c r="AM64" s="541">
        <f t="shared" si="35"/>
        <v>1300000</v>
      </c>
      <c r="AN64" s="542">
        <f t="shared" si="36"/>
        <v>0</v>
      </c>
      <c r="AO64" s="542">
        <f t="shared" si="37"/>
        <v>2000</v>
      </c>
      <c r="AP64" s="543">
        <f t="shared" si="38"/>
        <v>2000</v>
      </c>
      <c r="AQ64" s="544">
        <f t="shared" ca="1" si="39"/>
        <v>2000</v>
      </c>
      <c r="AR64" s="545">
        <f t="shared" ca="1" si="40"/>
        <v>9.2165898617511521E-3</v>
      </c>
      <c r="AS64" s="545">
        <f ca="1">IFERROR(CEILING($AR64*VLOOKUP($I64,Ref!$B$23:$E$29,4,0),1),0)</f>
        <v>1</v>
      </c>
      <c r="AT64" s="545" t="str">
        <f ca="1">IF(A64="","",IF(AP64&lt;=1,"Cleared",IF(AS64=0,"Clean",VLOOKUP($AS64,Ref!$G$23:$H$28,2))))</f>
        <v>1.(0-30) Days</v>
      </c>
      <c r="AU64" s="546" t="str">
        <f t="shared" si="42"/>
        <v>Ok</v>
      </c>
    </row>
    <row r="65" spans="1:47" ht="15" customHeight="1" x14ac:dyDescent="0.15">
      <c r="A65" s="553">
        <v>44364</v>
      </c>
      <c r="B65" s="523">
        <v>78</v>
      </c>
      <c r="C65" s="523">
        <v>62</v>
      </c>
      <c r="D65" s="523">
        <v>1</v>
      </c>
      <c r="E65" s="523" t="s">
        <v>1274</v>
      </c>
      <c r="F65" s="554">
        <v>700000</v>
      </c>
      <c r="G65" s="524">
        <v>5</v>
      </c>
      <c r="H65" s="555">
        <v>0.05</v>
      </c>
      <c r="I65" s="560" t="s">
        <v>859</v>
      </c>
      <c r="J65" s="523" t="s">
        <v>862</v>
      </c>
      <c r="K65" s="528" t="str">
        <f>IFERROR(VLOOKUP($B65,'Clients-Live'!$A:$C,3,0),"")</f>
        <v>DIPIYO BEATRICE JOHN</v>
      </c>
      <c r="L65" s="528">
        <f>IF(E65="STL",Pricing!$D$38,IF(A65="",0,IF(A65&lt;Pricing!$C$25,Pricing!$D$25,VLOOKUP(Disbursements!$F65,Pricing!$B$29:$D$32,3))))</f>
        <v>10000</v>
      </c>
      <c r="M65" s="528">
        <f>IF(E65="STL",0,IF(F65&gt;0,Pricing!$D$21,0))</f>
        <v>5000</v>
      </c>
      <c r="N65" s="529">
        <f>IF(E65="STL",F65*Pricing!$D$40,IF(A65&lt;=Pricing!$C$4,0,IF(AND(A65&gt;Pricing!$C$4,Disbursements!A65&lt;=Pricing!$C$5),F65*Pricing!$E$5,IF(AND(A65&gt;Pricing!$C$5,Disbursements!A65&lt;=Pricing!$C$7),VLOOKUP(F65,Pricing!$D$7:$E$8,2)*Disbursements!F65,F65*Pricing!$E$9))))</f>
        <v>0</v>
      </c>
      <c r="O65" s="528">
        <f>IF(E65="STL",0,IF($F65&gt;0,$F65*Pricing!$D$17,0))</f>
        <v>70000</v>
      </c>
      <c r="P65" s="530">
        <f t="shared" si="22"/>
        <v>175000</v>
      </c>
      <c r="Q65" s="531">
        <f>IF($A65="","",$G65/VLOOKUP($I65,Ref!$B$23:$D$29,2,0))</f>
        <v>5</v>
      </c>
      <c r="R65" s="530">
        <f t="shared" si="23"/>
        <v>875000</v>
      </c>
      <c r="S65" s="532">
        <f t="shared" si="2"/>
        <v>175000</v>
      </c>
      <c r="T65" s="531">
        <f t="shared" si="41"/>
        <v>175000</v>
      </c>
      <c r="U65" s="533">
        <f t="shared" si="24"/>
        <v>875000</v>
      </c>
      <c r="V65" s="531">
        <f t="shared" si="25"/>
        <v>140000</v>
      </c>
      <c r="W65" s="531">
        <f t="shared" si="26"/>
        <v>35000</v>
      </c>
      <c r="X65" s="534">
        <f t="shared" si="27"/>
        <v>175000</v>
      </c>
      <c r="Y65" s="535">
        <f>IF($A65="","",IF($I65="weekly",$A65+7,EDATE($A65,VLOOKUP($I65,Ref!$B$24:$C$29,2,0))))</f>
        <v>44394</v>
      </c>
      <c r="Z65" s="536" t="str">
        <f t="shared" si="28"/>
        <v>Sat</v>
      </c>
      <c r="AA65" s="531">
        <f t="shared" si="29"/>
        <v>30</v>
      </c>
      <c r="AB65" s="535">
        <f t="shared" si="8"/>
        <v>44517</v>
      </c>
      <c r="AC65" s="537">
        <f t="shared" si="9"/>
        <v>153</v>
      </c>
      <c r="AD65" s="538" t="str">
        <f t="shared" ca="1" si="10"/>
        <v>Expired</v>
      </c>
      <c r="AE65" s="537">
        <f t="shared" ca="1" si="11"/>
        <v>0</v>
      </c>
      <c r="AF65" s="539">
        <f t="shared" ca="1" si="30"/>
        <v>5</v>
      </c>
      <c r="AG65" s="531">
        <f t="shared" ca="1" si="31"/>
        <v>875000</v>
      </c>
      <c r="AH65" s="531">
        <f t="shared" ca="1" si="32"/>
        <v>175000</v>
      </c>
      <c r="AI65" s="531">
        <f t="shared" ca="1" si="33"/>
        <v>700000</v>
      </c>
      <c r="AJ65" s="531">
        <f t="shared" ca="1" si="34"/>
        <v>0</v>
      </c>
      <c r="AK65" s="540">
        <f>SUMIFS('Live Collections'!$S:$S,'Live Collections'!$D:$D,Disbursements!B65,'Live Collections'!$G:$G,Disbursements!C65)</f>
        <v>175000</v>
      </c>
      <c r="AL65" s="540">
        <f>SUMIFS('Live Collections'!$T:$T,'Live Collections'!$D:$D,Disbursements!B65,'Live Collections'!$G:$G,Disbursements!C65)</f>
        <v>700000</v>
      </c>
      <c r="AM65" s="541">
        <f t="shared" si="35"/>
        <v>875000</v>
      </c>
      <c r="AN65" s="542">
        <f t="shared" si="36"/>
        <v>0</v>
      </c>
      <c r="AO65" s="542">
        <f t="shared" si="37"/>
        <v>0</v>
      </c>
      <c r="AP65" s="543">
        <f t="shared" si="38"/>
        <v>0</v>
      </c>
      <c r="AQ65" s="544" t="str">
        <f t="shared" ca="1" si="39"/>
        <v/>
      </c>
      <c r="AR65" s="545">
        <f t="shared" ca="1" si="40"/>
        <v>0</v>
      </c>
      <c r="AS65" s="545">
        <f ca="1">IFERROR(CEILING($AR65*VLOOKUP($I65,Ref!$B$23:$E$29,4,0),1),0)</f>
        <v>0</v>
      </c>
      <c r="AT65" s="545" t="str">
        <f>IF(A65="","",IF(AP65&lt;=1,"Cleared",IF(AS65=0,"Clean",VLOOKUP($AS65,Ref!$G$23:$H$28,2))))</f>
        <v>Cleared</v>
      </c>
      <c r="AU65" s="546" t="str">
        <f t="shared" si="42"/>
        <v>Ok</v>
      </c>
    </row>
    <row r="66" spans="1:47" ht="15" customHeight="1" x14ac:dyDescent="0.15">
      <c r="A66" s="553">
        <v>44365</v>
      </c>
      <c r="B66" s="523">
        <v>80</v>
      </c>
      <c r="C66" s="523">
        <v>63</v>
      </c>
      <c r="D66" s="523">
        <v>1</v>
      </c>
      <c r="E66" s="523" t="s">
        <v>1274</v>
      </c>
      <c r="F66" s="554">
        <v>1000000</v>
      </c>
      <c r="G66" s="524">
        <v>5</v>
      </c>
      <c r="H66" s="555">
        <v>0.05</v>
      </c>
      <c r="I66" s="560" t="s">
        <v>859</v>
      </c>
      <c r="J66" s="523" t="s">
        <v>864</v>
      </c>
      <c r="K66" s="528" t="str">
        <f>IFERROR(VLOOKUP($B66,'Clients-Live'!$A:$C,3,0),"")</f>
        <v>ARIYE AISHA</v>
      </c>
      <c r="L66" s="528">
        <f>IF(E66="STL",Pricing!$D$38,IF(A66="",0,IF(A66&lt;Pricing!$C$25,Pricing!$D$25,VLOOKUP(Disbursements!$F66,Pricing!$B$29:$D$32,3))))</f>
        <v>10000</v>
      </c>
      <c r="M66" s="528">
        <f>IF(E66="STL",0,IF(F66&gt;0,Pricing!$D$21,0))</f>
        <v>5000</v>
      </c>
      <c r="N66" s="529">
        <f>IF(E66="STL",F66*Pricing!$D$40,IF(A66&lt;=Pricing!$C$4,0,IF(AND(A66&gt;Pricing!$C$4,Disbursements!A66&lt;=Pricing!$C$5),F66*Pricing!$E$5,IF(AND(A66&gt;Pricing!$C$5,Disbursements!A66&lt;=Pricing!$C$7),VLOOKUP(F66,Pricing!$D$7:$E$8,2)*Disbursements!F66,F66*Pricing!$E$9))))</f>
        <v>0</v>
      </c>
      <c r="O66" s="528">
        <f>IF(E66="STL",0,IF($F66&gt;0,$F66*Pricing!$D$17,0))</f>
        <v>100000</v>
      </c>
      <c r="P66" s="530">
        <f t="shared" si="22"/>
        <v>250000</v>
      </c>
      <c r="Q66" s="531">
        <f>IF($A66="","",$G66/VLOOKUP($I66,Ref!$B$23:$D$29,2,0))</f>
        <v>5</v>
      </c>
      <c r="R66" s="530">
        <f t="shared" si="23"/>
        <v>1250000</v>
      </c>
      <c r="S66" s="532">
        <f t="shared" si="2"/>
        <v>250000</v>
      </c>
      <c r="T66" s="531">
        <f t="shared" si="41"/>
        <v>250000</v>
      </c>
      <c r="U66" s="533">
        <f t="shared" si="24"/>
        <v>1250000</v>
      </c>
      <c r="V66" s="531">
        <f t="shared" si="25"/>
        <v>200000</v>
      </c>
      <c r="W66" s="531">
        <f t="shared" si="26"/>
        <v>50000</v>
      </c>
      <c r="X66" s="534">
        <f t="shared" si="27"/>
        <v>250000</v>
      </c>
      <c r="Y66" s="535">
        <f>IF($A66="","",IF($I66="weekly",$A66+7,EDATE($A66,VLOOKUP($I66,Ref!$B$24:$C$29,2,0))))</f>
        <v>44395</v>
      </c>
      <c r="Z66" s="536" t="str">
        <f t="shared" si="28"/>
        <v>Sun</v>
      </c>
      <c r="AA66" s="531">
        <f t="shared" si="29"/>
        <v>30</v>
      </c>
      <c r="AB66" s="535">
        <f t="shared" si="8"/>
        <v>44518</v>
      </c>
      <c r="AC66" s="537">
        <f t="shared" si="9"/>
        <v>153</v>
      </c>
      <c r="AD66" s="538" t="str">
        <f t="shared" ca="1" si="10"/>
        <v>Expired</v>
      </c>
      <c r="AE66" s="537">
        <f t="shared" ca="1" si="11"/>
        <v>0</v>
      </c>
      <c r="AF66" s="539">
        <f t="shared" ca="1" si="30"/>
        <v>5</v>
      </c>
      <c r="AG66" s="531">
        <f t="shared" ca="1" si="31"/>
        <v>1250000</v>
      </c>
      <c r="AH66" s="531">
        <f t="shared" ca="1" si="32"/>
        <v>250000</v>
      </c>
      <c r="AI66" s="531">
        <f t="shared" ca="1" si="33"/>
        <v>1000000</v>
      </c>
      <c r="AJ66" s="531">
        <f t="shared" ca="1" si="34"/>
        <v>0</v>
      </c>
      <c r="AK66" s="540">
        <f>SUMIFS('Live Collections'!$S:$S,'Live Collections'!$D:$D,Disbursements!B66,'Live Collections'!$G:$G,Disbursements!C66)</f>
        <v>250000</v>
      </c>
      <c r="AL66" s="540">
        <f>SUMIFS('Live Collections'!$T:$T,'Live Collections'!$D:$D,Disbursements!B66,'Live Collections'!$G:$G,Disbursements!C66)</f>
        <v>1000000</v>
      </c>
      <c r="AM66" s="541">
        <f t="shared" si="35"/>
        <v>1250000</v>
      </c>
      <c r="AN66" s="542">
        <f t="shared" si="36"/>
        <v>0</v>
      </c>
      <c r="AO66" s="542">
        <f t="shared" si="37"/>
        <v>0</v>
      </c>
      <c r="AP66" s="543">
        <f t="shared" si="38"/>
        <v>0</v>
      </c>
      <c r="AQ66" s="544" t="str">
        <f t="shared" ca="1" si="39"/>
        <v/>
      </c>
      <c r="AR66" s="545">
        <f t="shared" ca="1" si="40"/>
        <v>0</v>
      </c>
      <c r="AS66" s="545">
        <f ca="1">IFERROR(CEILING($AR66*VLOOKUP($I66,Ref!$B$23:$E$29,4,0),1),0)</f>
        <v>0</v>
      </c>
      <c r="AT66" s="545" t="str">
        <f>IF(A66="","",IF(AP66&lt;=1,"Cleared",IF(AS66=0,"Clean",VLOOKUP($AS66,Ref!$G$23:$H$28,2))))</f>
        <v>Cleared</v>
      </c>
      <c r="AU66" s="546" t="str">
        <f t="shared" si="42"/>
        <v>Ok</v>
      </c>
    </row>
    <row r="67" spans="1:47" ht="15" customHeight="1" x14ac:dyDescent="0.15">
      <c r="A67" s="553">
        <v>44366</v>
      </c>
      <c r="B67" s="523">
        <v>81</v>
      </c>
      <c r="C67" s="523">
        <v>65</v>
      </c>
      <c r="D67" s="523">
        <v>1</v>
      </c>
      <c r="E67" s="523" t="s">
        <v>1274</v>
      </c>
      <c r="F67" s="558">
        <v>1000000</v>
      </c>
      <c r="G67" s="567">
        <v>6</v>
      </c>
      <c r="H67" s="568">
        <v>0.05</v>
      </c>
      <c r="I67" s="560" t="s">
        <v>859</v>
      </c>
      <c r="J67" s="523" t="s">
        <v>863</v>
      </c>
      <c r="K67" s="528" t="str">
        <f>IFERROR(VLOOKUP($B67,'Clients-Live'!$A:$C,3,0),"")</f>
        <v>ADAM ZAITUN</v>
      </c>
      <c r="L67" s="528">
        <f>IF(E67="STL",Pricing!$D$38,IF(A67="",0,IF(A67&lt;Pricing!$C$25,Pricing!$D$25,VLOOKUP(Disbursements!$F67,Pricing!$B$29:$D$32,3))))</f>
        <v>10000</v>
      </c>
      <c r="M67" s="528">
        <f>IF(E67="STL",0,IF(F67&gt;0,Pricing!$D$21,0))</f>
        <v>5000</v>
      </c>
      <c r="N67" s="529">
        <f>IF(E67="STL",F67*Pricing!$D$40,IF(A67&lt;=Pricing!$C$4,0,IF(AND(A67&gt;Pricing!$C$4,Disbursements!A67&lt;=Pricing!$C$5),F67*Pricing!$E$5,IF(AND(A67&gt;Pricing!$C$5,Disbursements!A67&lt;=Pricing!$C$7),VLOOKUP(F67,Pricing!$D$7:$E$8,2)*Disbursements!F67,F67*Pricing!$E$9))))</f>
        <v>0</v>
      </c>
      <c r="O67" s="528">
        <f>IF(E67="STL",0,IF($F67&gt;0,$F67*Pricing!$D$17,0))</f>
        <v>100000</v>
      </c>
      <c r="P67" s="530">
        <f t="shared" si="22"/>
        <v>300000</v>
      </c>
      <c r="Q67" s="531">
        <f>IF($A67="","",$G67/VLOOKUP($I67,Ref!$B$23:$D$29,2,0))</f>
        <v>6</v>
      </c>
      <c r="R67" s="530">
        <f t="shared" si="23"/>
        <v>1300000</v>
      </c>
      <c r="S67" s="532">
        <f t="shared" si="2"/>
        <v>216666.66666666666</v>
      </c>
      <c r="T67" s="531">
        <f t="shared" si="41"/>
        <v>217000</v>
      </c>
      <c r="U67" s="533">
        <f t="shared" si="24"/>
        <v>1302000</v>
      </c>
      <c r="V67" s="531">
        <f t="shared" si="25"/>
        <v>166666.66666666666</v>
      </c>
      <c r="W67" s="531">
        <f t="shared" si="26"/>
        <v>50333.333333333343</v>
      </c>
      <c r="X67" s="534">
        <f t="shared" si="27"/>
        <v>302000.00000000006</v>
      </c>
      <c r="Y67" s="535">
        <f>IF($A67="","",IF($I67="weekly",$A67+7,EDATE($A67,VLOOKUP($I67,Ref!$B$24:$C$29,2,0))))</f>
        <v>44396</v>
      </c>
      <c r="Z67" s="536" t="str">
        <f t="shared" si="28"/>
        <v>Mon</v>
      </c>
      <c r="AA67" s="531">
        <f t="shared" si="29"/>
        <v>30</v>
      </c>
      <c r="AB67" s="535">
        <f t="shared" si="8"/>
        <v>44549</v>
      </c>
      <c r="AC67" s="537">
        <f t="shared" si="9"/>
        <v>183</v>
      </c>
      <c r="AD67" s="538" t="str">
        <f t="shared" ca="1" si="10"/>
        <v>Expired</v>
      </c>
      <c r="AE67" s="537">
        <f t="shared" ca="1" si="11"/>
        <v>0</v>
      </c>
      <c r="AF67" s="539">
        <f t="shared" ca="1" si="30"/>
        <v>6</v>
      </c>
      <c r="AG67" s="531">
        <f t="shared" ca="1" si="31"/>
        <v>1302000</v>
      </c>
      <c r="AH67" s="531">
        <f t="shared" ca="1" si="32"/>
        <v>302000.00000000006</v>
      </c>
      <c r="AI67" s="531">
        <f t="shared" ca="1" si="33"/>
        <v>1000000</v>
      </c>
      <c r="AJ67" s="531">
        <f t="shared" ca="1" si="34"/>
        <v>0</v>
      </c>
      <c r="AK67" s="540">
        <f>SUMIFS('Live Collections'!$S:$S,'Live Collections'!$D:$D,Disbursements!B67,'Live Collections'!$G:$G,Disbursements!C67)</f>
        <v>251000</v>
      </c>
      <c r="AL67" s="540">
        <f>SUMIFS('Live Collections'!$T:$T,'Live Collections'!$D:$D,Disbursements!B67,'Live Collections'!$G:$G,Disbursements!C67)</f>
        <v>696000</v>
      </c>
      <c r="AM67" s="541">
        <f t="shared" si="35"/>
        <v>947000</v>
      </c>
      <c r="AN67" s="542">
        <f t="shared" si="36"/>
        <v>51000.000000000058</v>
      </c>
      <c r="AO67" s="542">
        <f t="shared" si="37"/>
        <v>304000</v>
      </c>
      <c r="AP67" s="543">
        <f t="shared" si="38"/>
        <v>355000.00000000006</v>
      </c>
      <c r="AQ67" s="544">
        <f t="shared" ca="1" si="39"/>
        <v>355000.00000000006</v>
      </c>
      <c r="AR67" s="545">
        <f t="shared" ca="1" si="40"/>
        <v>1.6359447004608298</v>
      </c>
      <c r="AS67" s="545">
        <f ca="1">IFERROR(CEILING($AR67*VLOOKUP($I67,Ref!$B$23:$E$29,4,0),1),0)</f>
        <v>50</v>
      </c>
      <c r="AT67" s="545" t="str">
        <f ca="1">IF(A67="","",IF(AP67&lt;=1,"Cleared",IF(AS67=0,"Clean",VLOOKUP($AS67,Ref!$G$23:$H$28,2))))</f>
        <v>2.(31-60) Days</v>
      </c>
      <c r="AU67" s="546" t="str">
        <f t="shared" si="42"/>
        <v>Ok</v>
      </c>
    </row>
    <row r="68" spans="1:47" ht="15" customHeight="1" x14ac:dyDescent="0.15">
      <c r="A68" s="553">
        <v>44366</v>
      </c>
      <c r="B68" s="523">
        <v>79</v>
      </c>
      <c r="C68" s="523">
        <v>64</v>
      </c>
      <c r="D68" s="523">
        <v>1</v>
      </c>
      <c r="E68" s="523" t="s">
        <v>1274</v>
      </c>
      <c r="F68" s="554">
        <v>1000000</v>
      </c>
      <c r="G68" s="561">
        <v>5</v>
      </c>
      <c r="H68" s="555">
        <v>0.05</v>
      </c>
      <c r="I68" s="560" t="s">
        <v>861</v>
      </c>
      <c r="J68" s="523" t="s">
        <v>863</v>
      </c>
      <c r="K68" s="528" t="str">
        <f>IFERROR(VLOOKUP($B68,'Clients-Live'!$A:$C,3,0),"")</f>
        <v>PASI SENYA</v>
      </c>
      <c r="L68" s="528">
        <f>IF(E68="STL",Pricing!$D$38,IF(A68="",0,IF(A68&lt;Pricing!$C$25,Pricing!$D$25,VLOOKUP(Disbursements!$F68,Pricing!$B$29:$D$32,3))))</f>
        <v>10000</v>
      </c>
      <c r="M68" s="528">
        <f>IF(E68="STL",0,IF(F68&gt;0,Pricing!$D$21,0))</f>
        <v>5000</v>
      </c>
      <c r="N68" s="529">
        <f>IF(E68="STL",F68*Pricing!$D$40,IF(A68&lt;=Pricing!$C$4,0,IF(AND(A68&gt;Pricing!$C$4,Disbursements!A68&lt;=Pricing!$C$5),F68*Pricing!$E$5,IF(AND(A68&gt;Pricing!$C$5,Disbursements!A68&lt;=Pricing!$C$7),VLOOKUP(F68,Pricing!$D$7:$E$8,2)*Disbursements!F68,F68*Pricing!$E$9))))</f>
        <v>0</v>
      </c>
      <c r="O68" s="528">
        <f>IF(E68="STL",0,IF($F68&gt;0,$F68*Pricing!$D$17,0))</f>
        <v>100000</v>
      </c>
      <c r="P68" s="530">
        <f t="shared" si="22"/>
        <v>250000</v>
      </c>
      <c r="Q68" s="531">
        <f>IF($A68="","",$G68/VLOOKUP($I68,Ref!$B$23:$D$29,2,0))</f>
        <v>20</v>
      </c>
      <c r="R68" s="530">
        <f t="shared" si="23"/>
        <v>1250000</v>
      </c>
      <c r="S68" s="532">
        <f t="shared" ref="S68:S131" si="43">IF($A68="","",$R68/$Q68)</f>
        <v>62500</v>
      </c>
      <c r="T68" s="531">
        <f t="shared" si="41"/>
        <v>63000</v>
      </c>
      <c r="U68" s="533">
        <f t="shared" si="24"/>
        <v>1260000</v>
      </c>
      <c r="V68" s="531">
        <f t="shared" si="25"/>
        <v>50000</v>
      </c>
      <c r="W68" s="531">
        <f t="shared" si="26"/>
        <v>13000</v>
      </c>
      <c r="X68" s="534">
        <f t="shared" si="27"/>
        <v>260000</v>
      </c>
      <c r="Y68" s="535">
        <f>IF($A68="","",IF($I68="weekly",$A68+7,EDATE($A68,VLOOKUP($I68,Ref!$B$24:$C$29,2,0))))</f>
        <v>44373</v>
      </c>
      <c r="Z68" s="536" t="str">
        <f t="shared" si="28"/>
        <v>Sat</v>
      </c>
      <c r="AA68" s="531">
        <f t="shared" si="29"/>
        <v>7</v>
      </c>
      <c r="AB68" s="535">
        <f t="shared" ref="AB68:AB131" si="44">IF($A68="","",EDATE($A68,$G68))</f>
        <v>44519</v>
      </c>
      <c r="AC68" s="537">
        <f t="shared" ref="AC68:AC131" si="45">IFERROR($AB68-$A68,"")</f>
        <v>153</v>
      </c>
      <c r="AD68" s="538" t="str">
        <f t="shared" ref="AD68:AD131" ca="1" si="46">IFERROR(IF(TODAY()-$A68&lt;$AB68-$A68,TODAY()-$A68,"Expired"),"")</f>
        <v>Expired</v>
      </c>
      <c r="AE68" s="537">
        <f t="shared" ref="AE68:AE131" ca="1" si="47">IFERROR($AC68-$AD68,0)</f>
        <v>0</v>
      </c>
      <c r="AF68" s="539">
        <f t="shared" ca="1" si="30"/>
        <v>20</v>
      </c>
      <c r="AG68" s="531">
        <f t="shared" ca="1" si="31"/>
        <v>1260000</v>
      </c>
      <c r="AH68" s="531">
        <f t="shared" ca="1" si="32"/>
        <v>260000</v>
      </c>
      <c r="AI68" s="531">
        <f t="shared" ca="1" si="33"/>
        <v>1000000</v>
      </c>
      <c r="AJ68" s="531">
        <f t="shared" ca="1" si="34"/>
        <v>0</v>
      </c>
      <c r="AK68" s="540">
        <f>SUMIFS('Live Collections'!$S:$S,'Live Collections'!$D:$D,Disbursements!B68,'Live Collections'!$G:$G,Disbursements!C68)</f>
        <v>260000</v>
      </c>
      <c r="AL68" s="540">
        <f>SUMIFS('Live Collections'!$T:$T,'Live Collections'!$D:$D,Disbursements!B68,'Live Collections'!$G:$G,Disbursements!C68)</f>
        <v>1000000</v>
      </c>
      <c r="AM68" s="541">
        <f t="shared" si="35"/>
        <v>1260000</v>
      </c>
      <c r="AN68" s="542">
        <f t="shared" si="36"/>
        <v>0</v>
      </c>
      <c r="AO68" s="542">
        <f t="shared" si="37"/>
        <v>0</v>
      </c>
      <c r="AP68" s="543">
        <f t="shared" si="38"/>
        <v>0</v>
      </c>
      <c r="AQ68" s="544" t="str">
        <f t="shared" ca="1" si="39"/>
        <v/>
      </c>
      <c r="AR68" s="545">
        <f t="shared" ca="1" si="40"/>
        <v>0</v>
      </c>
      <c r="AS68" s="545">
        <f ca="1">IFERROR(CEILING($AR68*VLOOKUP($I68,Ref!$B$23:$E$29,4,0),1),0)</f>
        <v>0</v>
      </c>
      <c r="AT68" s="545" t="str">
        <f>IF(A68="","",IF(AP68&lt;=1,"Cleared",IF(AS68=0,"Clean",VLOOKUP($AS68,Ref!$G$23:$H$28,2))))</f>
        <v>Cleared</v>
      </c>
      <c r="AU68" s="546" t="str">
        <f t="shared" si="42"/>
        <v>Ok</v>
      </c>
    </row>
    <row r="69" spans="1:47" ht="15" customHeight="1" x14ac:dyDescent="0.15">
      <c r="A69" s="566">
        <v>44368</v>
      </c>
      <c r="B69" s="523">
        <v>13</v>
      </c>
      <c r="C69" s="523">
        <v>67</v>
      </c>
      <c r="D69" s="523">
        <v>1</v>
      </c>
      <c r="E69" s="523" t="s">
        <v>1274</v>
      </c>
      <c r="F69" s="554">
        <v>1000000</v>
      </c>
      <c r="G69" s="524">
        <v>6</v>
      </c>
      <c r="H69" s="555">
        <v>0.05</v>
      </c>
      <c r="I69" s="560" t="s">
        <v>859</v>
      </c>
      <c r="J69" s="523" t="s">
        <v>862</v>
      </c>
      <c r="K69" s="528" t="str">
        <f>IFERROR(VLOOKUP($B69,'Clients-Live'!$A:$C,3,0),"")</f>
        <v>ALLONE AMOS DAMAI</v>
      </c>
      <c r="L69" s="528">
        <f>IF(E69="STL",Pricing!$D$38,IF(A69="",0,IF(A69&lt;Pricing!$C$25,Pricing!$D$25,VLOOKUP(Disbursements!$F69,Pricing!$B$29:$D$32,3))))</f>
        <v>10000</v>
      </c>
      <c r="M69" s="528">
        <f>IF(E69="STL",0,IF(F69&gt;0,Pricing!$D$21,0))</f>
        <v>5000</v>
      </c>
      <c r="N69" s="529">
        <f>IF(E69="STL",F69*Pricing!$D$40,IF(A69&lt;=Pricing!$C$4,0,IF(AND(A69&gt;Pricing!$C$4,Disbursements!A69&lt;=Pricing!$C$5),F69*Pricing!$E$5,IF(AND(A69&gt;Pricing!$C$5,Disbursements!A69&lt;=Pricing!$C$7),VLOOKUP(F69,Pricing!$D$7:$E$8,2)*Disbursements!F69,F69*Pricing!$E$9))))</f>
        <v>0</v>
      </c>
      <c r="O69" s="528">
        <f>IF(E69="STL",0,IF($F69&gt;0,$F69*Pricing!$D$17,0))</f>
        <v>100000</v>
      </c>
      <c r="P69" s="530">
        <f t="shared" ref="P69:P132" si="48">IF($A69="","",$H69*$F69*$G69)</f>
        <v>300000</v>
      </c>
      <c r="Q69" s="531">
        <f>IF($A69="","",$G69/VLOOKUP($I69,Ref!$B$23:$D$29,2,0))</f>
        <v>6</v>
      </c>
      <c r="R69" s="530">
        <f t="shared" ref="R69:R132" si="49">IF($A69="","",$F69+$P69)</f>
        <v>1300000</v>
      </c>
      <c r="S69" s="532">
        <f t="shared" si="43"/>
        <v>216666.66666666666</v>
      </c>
      <c r="T69" s="531">
        <f t="shared" ref="T69:T132" si="50">IF(R69="","",CEILING(S69,1000))</f>
        <v>217000</v>
      </c>
      <c r="U69" s="533">
        <f t="shared" ref="U69:U132" si="51">IFERROR(T69*Q69,0)</f>
        <v>1302000</v>
      </c>
      <c r="V69" s="531">
        <f t="shared" ref="V69:V132" si="52">IF(T69="","",F69/Q69)</f>
        <v>166666.66666666666</v>
      </c>
      <c r="W69" s="531">
        <f t="shared" ref="W69:W132" si="53">IF(T69="","",T69-V69)</f>
        <v>50333.333333333343</v>
      </c>
      <c r="X69" s="534">
        <f t="shared" ref="X69:X132" si="54">IF(A69="","",W69*Q69)</f>
        <v>302000.00000000006</v>
      </c>
      <c r="Y69" s="535">
        <f>IF($A69="","",IF($I69="weekly",$A69+7,EDATE($A69,VLOOKUP($I69,Ref!$B$24:$C$29,2,0))))</f>
        <v>44398</v>
      </c>
      <c r="Z69" s="536" t="str">
        <f t="shared" ref="Z69:Z132" si="55">IFERROR(CHOOSE(WEEKDAY(Y69),"Sun","Mon","Tue","Wed","Thu","Frid","Sat"),"")</f>
        <v>Wed</v>
      </c>
      <c r="AA69" s="531">
        <f t="shared" ref="AA69:AA132" si="56">IFERROR(Y69-A69,0)</f>
        <v>30</v>
      </c>
      <c r="AB69" s="535">
        <f t="shared" si="44"/>
        <v>44551</v>
      </c>
      <c r="AC69" s="537">
        <f t="shared" si="45"/>
        <v>183</v>
      </c>
      <c r="AD69" s="538" t="str">
        <f t="shared" ca="1" si="46"/>
        <v>Expired</v>
      </c>
      <c r="AE69" s="537">
        <f t="shared" ca="1" si="47"/>
        <v>0</v>
      </c>
      <c r="AF69" s="539">
        <f t="shared" ref="AF69:AF132" ca="1" si="57">IFERROR(IF(AD69="Expired",Q69,IF(AD69&gt;AA69,AD69/AA69,0)),"")</f>
        <v>6</v>
      </c>
      <c r="AG69" s="531">
        <f t="shared" ref="AG69:AG132" ca="1" si="58">IFERROR(AF69*T69,"")</f>
        <v>1302000</v>
      </c>
      <c r="AH69" s="531">
        <f t="shared" ref="AH69:AH132" ca="1" si="59">IFERROR(AF69*W69,"")</f>
        <v>302000.00000000006</v>
      </c>
      <c r="AI69" s="531">
        <f t="shared" ref="AI69:AI132" ca="1" si="60">IFERROR(AF69*V69,"")</f>
        <v>1000000</v>
      </c>
      <c r="AJ69" s="531">
        <f t="shared" ref="AJ69:AJ132" ca="1" si="61">IF(F69=0,"",U69-AG69)</f>
        <v>0</v>
      </c>
      <c r="AK69" s="540">
        <f>SUMIFS('Live Collections'!$S:$S,'Live Collections'!$D:$D,Disbursements!B69,'Live Collections'!$G:$G,Disbursements!C69)</f>
        <v>302000.00000000006</v>
      </c>
      <c r="AL69" s="540">
        <f>SUMIFS('Live Collections'!$T:$T,'Live Collections'!$D:$D,Disbursements!B69,'Live Collections'!$G:$G,Disbursements!C69)</f>
        <v>1000000</v>
      </c>
      <c r="AM69" s="541">
        <f t="shared" ref="AM69:AM132" si="62">SUM(AK69:AL69)</f>
        <v>1302000</v>
      </c>
      <c r="AN69" s="542">
        <f t="shared" ref="AN69:AN132" si="63">IFERROR(W69*Q69-AK69,"")</f>
        <v>0</v>
      </c>
      <c r="AO69" s="542">
        <f t="shared" ref="AO69:AO132" si="64">IF(F69="","",(F69-AL69))</f>
        <v>0</v>
      </c>
      <c r="AP69" s="543">
        <f t="shared" ref="AP69:AP132" si="65">IF(F69="","",SUM(AN69:AO69))</f>
        <v>0</v>
      </c>
      <c r="AQ69" s="544" t="str">
        <f t="shared" ref="AQ69:AQ132" ca="1" si="66">IF(AP69&gt;AJ69,AP69-AJ69,"")</f>
        <v/>
      </c>
      <c r="AR69" s="545">
        <f t="shared" ref="AR69:AR132" ca="1" si="67">IFERROR(AQ69/T69,0)</f>
        <v>0</v>
      </c>
      <c r="AS69" s="545">
        <f ca="1">IFERROR(CEILING($AR69*VLOOKUP($I69,Ref!$B$23:$E$29,4,0),1),0)</f>
        <v>0</v>
      </c>
      <c r="AT69" s="545" t="str">
        <f>IF(A69="","",IF(AP69&lt;=1,"Cleared",IF(AS69=0,"Clean",VLOOKUP($AS69,Ref!$G$23:$H$28,2))))</f>
        <v>Cleared</v>
      </c>
      <c r="AU69" s="546" t="str">
        <f t="shared" ref="AU69:AU132" si="68">IF(F69="","",IF(OR(AN69&lt;0,AO69&lt;0,AP69&lt;0),"Error on Entry","Ok"))</f>
        <v>Ok</v>
      </c>
    </row>
    <row r="70" spans="1:47" ht="15" customHeight="1" x14ac:dyDescent="0.15">
      <c r="A70" s="553">
        <v>44368</v>
      </c>
      <c r="B70" s="523">
        <v>84</v>
      </c>
      <c r="C70" s="523">
        <v>66</v>
      </c>
      <c r="D70" s="523">
        <v>1</v>
      </c>
      <c r="E70" s="523" t="s">
        <v>1274</v>
      </c>
      <c r="F70" s="554">
        <v>2000000</v>
      </c>
      <c r="G70" s="524">
        <v>6</v>
      </c>
      <c r="H70" s="555">
        <v>0.05</v>
      </c>
      <c r="I70" s="560" t="s">
        <v>859</v>
      </c>
      <c r="J70" s="523" t="s">
        <v>862</v>
      </c>
      <c r="K70" s="528" t="str">
        <f>IFERROR(VLOOKUP($B70,'Clients-Live'!$A:$C,3,0),"")</f>
        <v>OMEGA  CHARLES</v>
      </c>
      <c r="L70" s="528">
        <f>IF(E70="STL",Pricing!$D$38,IF(A70="",0,IF(A70&lt;Pricing!$C$25,Pricing!$D$25,VLOOKUP(Disbursements!$F70,Pricing!$B$29:$D$32,3))))</f>
        <v>10000</v>
      </c>
      <c r="M70" s="528">
        <f>IF(E70="STL",0,IF(F70&gt;0,Pricing!$D$21,0))</f>
        <v>5000</v>
      </c>
      <c r="N70" s="529">
        <f>IF(E70="STL",F70*Pricing!$D$40,IF(A70&lt;=Pricing!$C$4,0,IF(AND(A70&gt;Pricing!$C$4,Disbursements!A70&lt;=Pricing!$C$5),F70*Pricing!$E$5,IF(AND(A70&gt;Pricing!$C$5,Disbursements!A70&lt;=Pricing!$C$7),VLOOKUP(F70,Pricing!$D$7:$E$8,2)*Disbursements!F70,F70*Pricing!$E$9))))</f>
        <v>0</v>
      </c>
      <c r="O70" s="528">
        <f>IF(E70="STL",0,IF($F70&gt;0,$F70*Pricing!$D$17,0))</f>
        <v>200000</v>
      </c>
      <c r="P70" s="530">
        <f t="shared" si="48"/>
        <v>600000</v>
      </c>
      <c r="Q70" s="531">
        <f>IF($A70="","",$G70/VLOOKUP($I70,Ref!$B$23:$D$29,2,0))</f>
        <v>6</v>
      </c>
      <c r="R70" s="530">
        <f t="shared" si="49"/>
        <v>2600000</v>
      </c>
      <c r="S70" s="532">
        <f t="shared" si="43"/>
        <v>433333.33333333331</v>
      </c>
      <c r="T70" s="531">
        <f t="shared" si="50"/>
        <v>434000</v>
      </c>
      <c r="U70" s="533">
        <f t="shared" si="51"/>
        <v>2604000</v>
      </c>
      <c r="V70" s="531">
        <f t="shared" si="52"/>
        <v>333333.33333333331</v>
      </c>
      <c r="W70" s="531">
        <f t="shared" si="53"/>
        <v>100666.66666666669</v>
      </c>
      <c r="X70" s="534">
        <f t="shared" si="54"/>
        <v>604000.00000000012</v>
      </c>
      <c r="Y70" s="535">
        <f>IF($A70="","",IF($I70="weekly",$A70+7,EDATE($A70,VLOOKUP($I70,Ref!$B$24:$C$29,2,0))))</f>
        <v>44398</v>
      </c>
      <c r="Z70" s="536" t="str">
        <f t="shared" si="55"/>
        <v>Wed</v>
      </c>
      <c r="AA70" s="531">
        <f t="shared" si="56"/>
        <v>30</v>
      </c>
      <c r="AB70" s="535">
        <f t="shared" si="44"/>
        <v>44551</v>
      </c>
      <c r="AC70" s="537">
        <f t="shared" si="45"/>
        <v>183</v>
      </c>
      <c r="AD70" s="538" t="str">
        <f t="shared" ca="1" si="46"/>
        <v>Expired</v>
      </c>
      <c r="AE70" s="537">
        <f t="shared" ca="1" si="47"/>
        <v>0</v>
      </c>
      <c r="AF70" s="539">
        <f t="shared" ca="1" si="57"/>
        <v>6</v>
      </c>
      <c r="AG70" s="531">
        <f t="shared" ca="1" si="58"/>
        <v>2604000</v>
      </c>
      <c r="AH70" s="531">
        <f t="shared" ca="1" si="59"/>
        <v>604000.00000000012</v>
      </c>
      <c r="AI70" s="531">
        <f t="shared" ca="1" si="60"/>
        <v>2000000</v>
      </c>
      <c r="AJ70" s="531">
        <f t="shared" ca="1" si="61"/>
        <v>0</v>
      </c>
      <c r="AK70" s="540">
        <f>SUMIFS('Live Collections'!$S:$S,'Live Collections'!$D:$D,Disbursements!B70,'Live Collections'!$G:$G,Disbursements!C70)</f>
        <v>604000.00000000012</v>
      </c>
      <c r="AL70" s="540">
        <f>SUMIFS('Live Collections'!$T:$T,'Live Collections'!$D:$D,Disbursements!B70,'Live Collections'!$G:$G,Disbursements!C70)</f>
        <v>1535999.9999999998</v>
      </c>
      <c r="AM70" s="541">
        <f t="shared" si="62"/>
        <v>2140000</v>
      </c>
      <c r="AN70" s="542">
        <f t="shared" si="63"/>
        <v>0</v>
      </c>
      <c r="AO70" s="542">
        <f t="shared" si="64"/>
        <v>464000.00000000023</v>
      </c>
      <c r="AP70" s="543">
        <f t="shared" si="65"/>
        <v>464000.00000000023</v>
      </c>
      <c r="AQ70" s="544">
        <f t="shared" ca="1" si="66"/>
        <v>464000.00000000023</v>
      </c>
      <c r="AR70" s="545">
        <f t="shared" ca="1" si="67"/>
        <v>1.0691244239631341</v>
      </c>
      <c r="AS70" s="545">
        <f ca="1">IFERROR(CEILING($AR70*VLOOKUP($I70,Ref!$B$23:$E$29,4,0),1),0)</f>
        <v>33</v>
      </c>
      <c r="AT70" s="545" t="str">
        <f ca="1">IF(A70="","",IF(AP70&lt;=1,"Cleared",IF(AS70=0,"Clean",VLOOKUP($AS70,Ref!$G$23:$H$28,2))))</f>
        <v>2.(31-60) Days</v>
      </c>
      <c r="AU70" s="546" t="str">
        <f t="shared" si="68"/>
        <v>Ok</v>
      </c>
    </row>
    <row r="71" spans="1:47" s="565" customFormat="1" ht="15" customHeight="1" x14ac:dyDescent="0.15">
      <c r="A71" s="566">
        <v>44368</v>
      </c>
      <c r="B71" s="548">
        <v>85</v>
      </c>
      <c r="C71" s="523">
        <v>68</v>
      </c>
      <c r="D71" s="523">
        <v>1</v>
      </c>
      <c r="E71" s="523" t="s">
        <v>1274</v>
      </c>
      <c r="F71" s="549">
        <v>1000000</v>
      </c>
      <c r="G71" s="563">
        <v>3</v>
      </c>
      <c r="H71" s="550">
        <v>0.05</v>
      </c>
      <c r="I71" s="562" t="s">
        <v>859</v>
      </c>
      <c r="J71" s="548" t="s">
        <v>864</v>
      </c>
      <c r="K71" s="528" t="str">
        <f>IFERROR(VLOOKUP($B71,'Clients-Live'!$A:$C,3,0),"")</f>
        <v>CEASER SWALEH</v>
      </c>
      <c r="L71" s="528">
        <f>IF(E71="STL",Pricing!$D$38,IF(A71="",0,IF(A71&lt;Pricing!$C$25,Pricing!$D$25,VLOOKUP(Disbursements!$F71,Pricing!$B$29:$D$32,3))))</f>
        <v>10000</v>
      </c>
      <c r="M71" s="528">
        <f>IF(E71="STL",0,IF(F71&gt;0,Pricing!$D$21,0))</f>
        <v>5000</v>
      </c>
      <c r="N71" s="529">
        <f>IF(E71="STL",F71*Pricing!$D$40,IF(A71&lt;=Pricing!$C$4,0,IF(AND(A71&gt;Pricing!$C$4,Disbursements!A71&lt;=Pricing!$C$5),F71*Pricing!$E$5,IF(AND(A71&gt;Pricing!$C$5,Disbursements!A71&lt;=Pricing!$C$7),VLOOKUP(F71,Pricing!$D$7:$E$8,2)*Disbursements!F71,F71*Pricing!$E$9))))</f>
        <v>0</v>
      </c>
      <c r="O71" s="528">
        <f>IF(E71="STL",0,IF($F71&gt;0,$F71*Pricing!$D$17,0))</f>
        <v>100000</v>
      </c>
      <c r="P71" s="530">
        <f t="shared" si="48"/>
        <v>150000</v>
      </c>
      <c r="Q71" s="531">
        <f>IF($A71="","",$G71/VLOOKUP($I71,Ref!$B$23:$D$29,2,0))</f>
        <v>3</v>
      </c>
      <c r="R71" s="530">
        <f t="shared" si="49"/>
        <v>1150000</v>
      </c>
      <c r="S71" s="532">
        <f t="shared" si="43"/>
        <v>383333.33333333331</v>
      </c>
      <c r="T71" s="531">
        <f t="shared" si="50"/>
        <v>384000</v>
      </c>
      <c r="U71" s="533">
        <f t="shared" si="51"/>
        <v>1152000</v>
      </c>
      <c r="V71" s="531">
        <f t="shared" si="52"/>
        <v>333333.33333333331</v>
      </c>
      <c r="W71" s="531">
        <f t="shared" si="53"/>
        <v>50666.666666666686</v>
      </c>
      <c r="X71" s="534">
        <f t="shared" si="54"/>
        <v>152000.00000000006</v>
      </c>
      <c r="Y71" s="535">
        <f>IF($A71="","",IF($I71="weekly",$A71+7,EDATE($A71,VLOOKUP($I71,Ref!$B$24:$C$29,2,0))))</f>
        <v>44398</v>
      </c>
      <c r="Z71" s="536" t="str">
        <f t="shared" si="55"/>
        <v>Wed</v>
      </c>
      <c r="AA71" s="531">
        <f t="shared" si="56"/>
        <v>30</v>
      </c>
      <c r="AB71" s="535">
        <f t="shared" si="44"/>
        <v>44460</v>
      </c>
      <c r="AC71" s="537">
        <f t="shared" si="45"/>
        <v>92</v>
      </c>
      <c r="AD71" s="538" t="str">
        <f t="shared" ca="1" si="46"/>
        <v>Expired</v>
      </c>
      <c r="AE71" s="537">
        <f t="shared" ca="1" si="47"/>
        <v>0</v>
      </c>
      <c r="AF71" s="539">
        <f t="shared" ca="1" si="57"/>
        <v>3</v>
      </c>
      <c r="AG71" s="531">
        <f t="shared" ca="1" si="58"/>
        <v>1152000</v>
      </c>
      <c r="AH71" s="531">
        <f t="shared" ca="1" si="59"/>
        <v>152000.00000000006</v>
      </c>
      <c r="AI71" s="531">
        <f t="shared" ca="1" si="60"/>
        <v>1000000</v>
      </c>
      <c r="AJ71" s="531">
        <f t="shared" ca="1" si="61"/>
        <v>0</v>
      </c>
      <c r="AK71" s="540">
        <f>SUMIFS('Live Collections'!$S:$S,'Live Collections'!$D:$D,Disbursements!B71,'Live Collections'!$G:$G,Disbursements!C71)</f>
        <v>152000.00000000006</v>
      </c>
      <c r="AL71" s="540">
        <f>SUMIFS('Live Collections'!$T:$T,'Live Collections'!$D:$D,Disbursements!B71,'Live Collections'!$G:$G,Disbursements!C71)</f>
        <v>1000000</v>
      </c>
      <c r="AM71" s="541">
        <f t="shared" si="62"/>
        <v>1152000</v>
      </c>
      <c r="AN71" s="542">
        <f t="shared" si="63"/>
        <v>0</v>
      </c>
      <c r="AO71" s="542">
        <f t="shared" si="64"/>
        <v>0</v>
      </c>
      <c r="AP71" s="543">
        <f t="shared" si="65"/>
        <v>0</v>
      </c>
      <c r="AQ71" s="544" t="str">
        <f t="shared" ca="1" si="66"/>
        <v/>
      </c>
      <c r="AR71" s="545">
        <f t="shared" ca="1" si="67"/>
        <v>0</v>
      </c>
      <c r="AS71" s="545">
        <f ca="1">IFERROR(CEILING($AR71*VLOOKUP($I71,Ref!$B$23:$E$29,4,0),1),0)</f>
        <v>0</v>
      </c>
      <c r="AT71" s="545" t="str">
        <f>IF(A71="","",IF(AP71&lt;=1,"Cleared",IF(AS71=0,"Clean",VLOOKUP($AS71,Ref!$G$23:$H$28,2))))</f>
        <v>Cleared</v>
      </c>
      <c r="AU71" s="546" t="str">
        <f t="shared" si="68"/>
        <v>Ok</v>
      </c>
    </row>
    <row r="72" spans="1:47" s="565" customFormat="1" ht="15" customHeight="1" x14ac:dyDescent="0.15">
      <c r="A72" s="566">
        <v>44369</v>
      </c>
      <c r="B72" s="523">
        <v>87</v>
      </c>
      <c r="C72" s="523">
        <v>70</v>
      </c>
      <c r="D72" s="523">
        <v>1</v>
      </c>
      <c r="E72" s="523" t="s">
        <v>1274</v>
      </c>
      <c r="F72" s="554">
        <v>700000</v>
      </c>
      <c r="G72" s="524">
        <v>5</v>
      </c>
      <c r="H72" s="555">
        <v>0.05</v>
      </c>
      <c r="I72" s="560" t="s">
        <v>859</v>
      </c>
      <c r="J72" s="523" t="s">
        <v>863</v>
      </c>
      <c r="K72" s="528" t="str">
        <f>IFERROR(VLOOKUP($B72,'Clients-Live'!$A:$C,3,0),"")</f>
        <v>FAIDA ZUBEDA</v>
      </c>
      <c r="L72" s="528">
        <f>IF(E72="STL",Pricing!$D$38,IF(A72="",0,IF(A72&lt;Pricing!$C$25,Pricing!$D$25,VLOOKUP(Disbursements!$F72,Pricing!$B$29:$D$32,3))))</f>
        <v>10000</v>
      </c>
      <c r="M72" s="528">
        <f>IF(E72="STL",0,IF(F72&gt;0,Pricing!$D$21,0))</f>
        <v>5000</v>
      </c>
      <c r="N72" s="529">
        <f>IF(E72="STL",F72*Pricing!$D$40,IF(A72&lt;=Pricing!$C$4,0,IF(AND(A72&gt;Pricing!$C$4,Disbursements!A72&lt;=Pricing!$C$5),F72*Pricing!$E$5,IF(AND(A72&gt;Pricing!$C$5,Disbursements!A72&lt;=Pricing!$C$7),VLOOKUP(F72,Pricing!$D$7:$E$8,2)*Disbursements!F72,F72*Pricing!$E$9))))</f>
        <v>0</v>
      </c>
      <c r="O72" s="528">
        <f>IF(E72="STL",0,IF($F72&gt;0,$F72*Pricing!$D$17,0))</f>
        <v>70000</v>
      </c>
      <c r="P72" s="530">
        <f t="shared" si="48"/>
        <v>175000</v>
      </c>
      <c r="Q72" s="531">
        <f>IF($A72="","",$G72/VLOOKUP($I72,Ref!$B$23:$D$29,2,0))</f>
        <v>5</v>
      </c>
      <c r="R72" s="530">
        <f t="shared" si="49"/>
        <v>875000</v>
      </c>
      <c r="S72" s="532">
        <f t="shared" si="43"/>
        <v>175000</v>
      </c>
      <c r="T72" s="531">
        <f t="shared" si="50"/>
        <v>175000</v>
      </c>
      <c r="U72" s="533">
        <f t="shared" si="51"/>
        <v>875000</v>
      </c>
      <c r="V72" s="531">
        <f t="shared" si="52"/>
        <v>140000</v>
      </c>
      <c r="W72" s="531">
        <f t="shared" si="53"/>
        <v>35000</v>
      </c>
      <c r="X72" s="534">
        <f t="shared" si="54"/>
        <v>175000</v>
      </c>
      <c r="Y72" s="535">
        <f>IF($A72="","",IF($I72="weekly",$A72+7,EDATE($A72,VLOOKUP($I72,Ref!$B$24:$C$29,2,0))))</f>
        <v>44399</v>
      </c>
      <c r="Z72" s="536" t="str">
        <f t="shared" si="55"/>
        <v>Thu</v>
      </c>
      <c r="AA72" s="531">
        <f t="shared" si="56"/>
        <v>30</v>
      </c>
      <c r="AB72" s="535">
        <f t="shared" si="44"/>
        <v>44522</v>
      </c>
      <c r="AC72" s="537">
        <f t="shared" si="45"/>
        <v>153</v>
      </c>
      <c r="AD72" s="538" t="str">
        <f t="shared" ca="1" si="46"/>
        <v>Expired</v>
      </c>
      <c r="AE72" s="537">
        <f t="shared" ca="1" si="47"/>
        <v>0</v>
      </c>
      <c r="AF72" s="539">
        <f t="shared" ca="1" si="57"/>
        <v>5</v>
      </c>
      <c r="AG72" s="531">
        <f t="shared" ca="1" si="58"/>
        <v>875000</v>
      </c>
      <c r="AH72" s="531">
        <f t="shared" ca="1" si="59"/>
        <v>175000</v>
      </c>
      <c r="AI72" s="531">
        <f t="shared" ca="1" si="60"/>
        <v>700000</v>
      </c>
      <c r="AJ72" s="531">
        <f t="shared" ca="1" si="61"/>
        <v>0</v>
      </c>
      <c r="AK72" s="540">
        <f>SUMIFS('Live Collections'!$S:$S,'Live Collections'!$D:$D,Disbursements!B72,'Live Collections'!$G:$G,Disbursements!C72)</f>
        <v>175000</v>
      </c>
      <c r="AL72" s="540">
        <f>SUMIFS('Live Collections'!$T:$T,'Live Collections'!$D:$D,Disbursements!B72,'Live Collections'!$G:$G,Disbursements!C72)</f>
        <v>605000</v>
      </c>
      <c r="AM72" s="541">
        <f t="shared" si="62"/>
        <v>780000</v>
      </c>
      <c r="AN72" s="542">
        <f t="shared" si="63"/>
        <v>0</v>
      </c>
      <c r="AO72" s="542">
        <f t="shared" si="64"/>
        <v>95000</v>
      </c>
      <c r="AP72" s="543">
        <f t="shared" si="65"/>
        <v>95000</v>
      </c>
      <c r="AQ72" s="544">
        <f t="shared" ca="1" si="66"/>
        <v>95000</v>
      </c>
      <c r="AR72" s="545">
        <f t="shared" ca="1" si="67"/>
        <v>0.54285714285714282</v>
      </c>
      <c r="AS72" s="545">
        <f ca="1">IFERROR(CEILING($AR72*VLOOKUP($I72,Ref!$B$23:$E$29,4,0),1),0)</f>
        <v>17</v>
      </c>
      <c r="AT72" s="545" t="str">
        <f ca="1">IF(A72="","",IF(AP72&lt;=1,"Cleared",IF(AS72=0,"Clean",VLOOKUP($AS72,Ref!$G$23:$H$28,2))))</f>
        <v>1.(0-30) Days</v>
      </c>
      <c r="AU72" s="546" t="str">
        <f t="shared" si="68"/>
        <v>Ok</v>
      </c>
    </row>
    <row r="73" spans="1:47" ht="15" customHeight="1" x14ac:dyDescent="0.15">
      <c r="A73" s="566">
        <v>44369</v>
      </c>
      <c r="B73" s="548">
        <v>88</v>
      </c>
      <c r="C73" s="523">
        <v>69</v>
      </c>
      <c r="D73" s="523">
        <v>1</v>
      </c>
      <c r="E73" s="523" t="s">
        <v>1274</v>
      </c>
      <c r="F73" s="549">
        <v>200000</v>
      </c>
      <c r="G73" s="563">
        <v>3</v>
      </c>
      <c r="H73" s="550">
        <v>0.05</v>
      </c>
      <c r="I73" s="562" t="s">
        <v>859</v>
      </c>
      <c r="J73" s="548" t="s">
        <v>864</v>
      </c>
      <c r="K73" s="528" t="str">
        <f>IFERROR(VLOOKUP($B73,'Clients-Live'!$A:$C,3,0),"")</f>
        <v>FAIDA HARRIET</v>
      </c>
      <c r="L73" s="528">
        <f>IF(E73="STL",Pricing!$D$38,IF(A73="",0,IF(A73&lt;Pricing!$C$25,Pricing!$D$25,VLOOKUP(Disbursements!$F73,Pricing!$B$29:$D$32,3))))</f>
        <v>10000</v>
      </c>
      <c r="M73" s="528">
        <f>IF(E73="STL",0,IF(F73&gt;0,Pricing!$D$21,0))</f>
        <v>5000</v>
      </c>
      <c r="N73" s="529">
        <f>IF(E73="STL",F73*Pricing!$D$40,IF(A73&lt;=Pricing!$C$4,0,IF(AND(A73&gt;Pricing!$C$4,Disbursements!A73&lt;=Pricing!$C$5),F73*Pricing!$E$5,IF(AND(A73&gt;Pricing!$C$5,Disbursements!A73&lt;=Pricing!$C$7),VLOOKUP(F73,Pricing!$D$7:$E$8,2)*Disbursements!F73,F73*Pricing!$E$9))))</f>
        <v>0</v>
      </c>
      <c r="O73" s="528">
        <f>IF(E73="STL",0,IF($F73&gt;0,$F73*Pricing!$D$17,0))</f>
        <v>20000</v>
      </c>
      <c r="P73" s="530">
        <f t="shared" si="48"/>
        <v>30000</v>
      </c>
      <c r="Q73" s="531">
        <f>IF($A73="","",$G73/VLOOKUP($I73,Ref!$B$23:$D$29,2,0))</f>
        <v>3</v>
      </c>
      <c r="R73" s="530">
        <f t="shared" si="49"/>
        <v>230000</v>
      </c>
      <c r="S73" s="532">
        <f t="shared" si="43"/>
        <v>76666.666666666672</v>
      </c>
      <c r="T73" s="531">
        <f t="shared" si="50"/>
        <v>77000</v>
      </c>
      <c r="U73" s="533">
        <f t="shared" si="51"/>
        <v>231000</v>
      </c>
      <c r="V73" s="531">
        <f t="shared" si="52"/>
        <v>66666.666666666672</v>
      </c>
      <c r="W73" s="531">
        <f t="shared" si="53"/>
        <v>10333.333333333328</v>
      </c>
      <c r="X73" s="534">
        <f t="shared" si="54"/>
        <v>30999.999999999985</v>
      </c>
      <c r="Y73" s="535">
        <f>IF($A73="","",IF($I73="weekly",$A73+7,EDATE($A73,VLOOKUP($I73,Ref!$B$24:$C$29,2,0))))</f>
        <v>44399</v>
      </c>
      <c r="Z73" s="536" t="str">
        <f t="shared" si="55"/>
        <v>Thu</v>
      </c>
      <c r="AA73" s="531">
        <f t="shared" si="56"/>
        <v>30</v>
      </c>
      <c r="AB73" s="535">
        <f t="shared" si="44"/>
        <v>44461</v>
      </c>
      <c r="AC73" s="537">
        <f t="shared" si="45"/>
        <v>92</v>
      </c>
      <c r="AD73" s="538" t="str">
        <f t="shared" ca="1" si="46"/>
        <v>Expired</v>
      </c>
      <c r="AE73" s="537">
        <f t="shared" ca="1" si="47"/>
        <v>0</v>
      </c>
      <c r="AF73" s="539">
        <f t="shared" ca="1" si="57"/>
        <v>3</v>
      </c>
      <c r="AG73" s="531">
        <f t="shared" ca="1" si="58"/>
        <v>231000</v>
      </c>
      <c r="AH73" s="531">
        <f t="shared" ca="1" si="59"/>
        <v>30999.999999999985</v>
      </c>
      <c r="AI73" s="531">
        <f t="shared" ca="1" si="60"/>
        <v>200000</v>
      </c>
      <c r="AJ73" s="531">
        <f t="shared" ca="1" si="61"/>
        <v>0</v>
      </c>
      <c r="AK73" s="540">
        <f>SUMIFS('Live Collections'!$S:$S,'Live Collections'!$D:$D,Disbursements!B73,'Live Collections'!$G:$G,Disbursements!C73)</f>
        <v>30999.999999999985</v>
      </c>
      <c r="AL73" s="540">
        <f>SUMIFS('Live Collections'!$T:$T,'Live Collections'!$D:$D,Disbursements!B73,'Live Collections'!$G:$G,Disbursements!C73)</f>
        <v>200000</v>
      </c>
      <c r="AM73" s="541">
        <f t="shared" si="62"/>
        <v>231000</v>
      </c>
      <c r="AN73" s="542">
        <f t="shared" si="63"/>
        <v>0</v>
      </c>
      <c r="AO73" s="542">
        <f t="shared" si="64"/>
        <v>0</v>
      </c>
      <c r="AP73" s="543">
        <f t="shared" si="65"/>
        <v>0</v>
      </c>
      <c r="AQ73" s="544" t="str">
        <f t="shared" ca="1" si="66"/>
        <v/>
      </c>
      <c r="AR73" s="545">
        <f t="shared" ca="1" si="67"/>
        <v>0</v>
      </c>
      <c r="AS73" s="545">
        <f ca="1">IFERROR(CEILING($AR73*VLOOKUP($I73,Ref!$B$23:$E$29,4,0),1),0)</f>
        <v>0</v>
      </c>
      <c r="AT73" s="545" t="str">
        <f>IF(A73="","",IF(AP73&lt;=1,"Cleared",IF(AS73=0,"Clean",VLOOKUP($AS73,Ref!$G$23:$H$28,2))))</f>
        <v>Cleared</v>
      </c>
      <c r="AU73" s="546" t="str">
        <f t="shared" si="68"/>
        <v>Ok</v>
      </c>
    </row>
    <row r="74" spans="1:47" ht="15" customHeight="1" x14ac:dyDescent="0.15">
      <c r="A74" s="553">
        <v>44370</v>
      </c>
      <c r="B74" s="523">
        <v>83</v>
      </c>
      <c r="C74" s="523">
        <v>72</v>
      </c>
      <c r="D74" s="523">
        <v>1</v>
      </c>
      <c r="E74" s="523" t="s">
        <v>1274</v>
      </c>
      <c r="F74" s="554">
        <v>400000</v>
      </c>
      <c r="G74" s="524">
        <v>4</v>
      </c>
      <c r="H74" s="555">
        <v>0.05</v>
      </c>
      <c r="I74" s="560" t="s">
        <v>859</v>
      </c>
      <c r="J74" s="523" t="s">
        <v>863</v>
      </c>
      <c r="K74" s="528" t="str">
        <f>IFERROR(VLOOKUP($B74,'Clients-Live'!$A:$C,3,0),"")</f>
        <v>NEVER ZULAIKA</v>
      </c>
      <c r="L74" s="528">
        <f>IF(E74="STL",Pricing!$D$38,IF(A74="",0,IF(A74&lt;Pricing!$C$25,Pricing!$D$25,VLOOKUP(Disbursements!$F74,Pricing!$B$29:$D$32,3))))</f>
        <v>10000</v>
      </c>
      <c r="M74" s="528">
        <f>IF(E74="STL",0,IF(F74&gt;0,Pricing!$D$21,0))</f>
        <v>5000</v>
      </c>
      <c r="N74" s="529">
        <f>IF(E74="STL",F74*Pricing!$D$40,IF(A74&lt;=Pricing!$C$4,0,IF(AND(A74&gt;Pricing!$C$4,Disbursements!A74&lt;=Pricing!$C$5),F74*Pricing!$E$5,IF(AND(A74&gt;Pricing!$C$5,Disbursements!A74&lt;=Pricing!$C$7),VLOOKUP(F74,Pricing!$D$7:$E$8,2)*Disbursements!F74,F74*Pricing!$E$9))))</f>
        <v>0</v>
      </c>
      <c r="O74" s="528">
        <f>IF(E74="STL",0,IF($F74&gt;0,$F74*Pricing!$D$17,0))</f>
        <v>40000</v>
      </c>
      <c r="P74" s="530">
        <f t="shared" si="48"/>
        <v>80000</v>
      </c>
      <c r="Q74" s="531">
        <f>IF($A74="","",$G74/VLOOKUP($I74,Ref!$B$23:$D$29,2,0))</f>
        <v>4</v>
      </c>
      <c r="R74" s="530">
        <f t="shared" si="49"/>
        <v>480000</v>
      </c>
      <c r="S74" s="532">
        <f t="shared" si="43"/>
        <v>120000</v>
      </c>
      <c r="T74" s="531">
        <f t="shared" si="50"/>
        <v>120000</v>
      </c>
      <c r="U74" s="533">
        <f t="shared" si="51"/>
        <v>480000</v>
      </c>
      <c r="V74" s="531">
        <f t="shared" si="52"/>
        <v>100000</v>
      </c>
      <c r="W74" s="531">
        <f t="shared" si="53"/>
        <v>20000</v>
      </c>
      <c r="X74" s="534">
        <f t="shared" si="54"/>
        <v>80000</v>
      </c>
      <c r="Y74" s="535">
        <f>IF($A74="","",IF($I74="weekly",$A74+7,EDATE($A74,VLOOKUP($I74,Ref!$B$24:$C$29,2,0))))</f>
        <v>44400</v>
      </c>
      <c r="Z74" s="536" t="str">
        <f t="shared" si="55"/>
        <v>Frid</v>
      </c>
      <c r="AA74" s="531">
        <f t="shared" si="56"/>
        <v>30</v>
      </c>
      <c r="AB74" s="535">
        <f t="shared" si="44"/>
        <v>44492</v>
      </c>
      <c r="AC74" s="537">
        <f t="shared" si="45"/>
        <v>122</v>
      </c>
      <c r="AD74" s="538" t="str">
        <f t="shared" ca="1" si="46"/>
        <v>Expired</v>
      </c>
      <c r="AE74" s="537">
        <f t="shared" ca="1" si="47"/>
        <v>0</v>
      </c>
      <c r="AF74" s="539">
        <f t="shared" ca="1" si="57"/>
        <v>4</v>
      </c>
      <c r="AG74" s="531">
        <f t="shared" ca="1" si="58"/>
        <v>480000</v>
      </c>
      <c r="AH74" s="531">
        <f t="shared" ca="1" si="59"/>
        <v>80000</v>
      </c>
      <c r="AI74" s="531">
        <f t="shared" ca="1" si="60"/>
        <v>400000</v>
      </c>
      <c r="AJ74" s="531">
        <f t="shared" ca="1" si="61"/>
        <v>0</v>
      </c>
      <c r="AK74" s="540">
        <f>SUMIFS('Live Collections'!$S:$S,'Live Collections'!$D:$D,Disbursements!B74,'Live Collections'!$G:$G,Disbursements!C74)</f>
        <v>45000</v>
      </c>
      <c r="AL74" s="540">
        <f>SUMIFS('Live Collections'!$T:$T,'Live Collections'!$D:$D,Disbursements!B74,'Live Collections'!$G:$G,Disbursements!C74)</f>
        <v>355000</v>
      </c>
      <c r="AM74" s="541">
        <f t="shared" si="62"/>
        <v>400000</v>
      </c>
      <c r="AN74" s="542">
        <f t="shared" si="63"/>
        <v>35000</v>
      </c>
      <c r="AO74" s="542">
        <f t="shared" si="64"/>
        <v>45000</v>
      </c>
      <c r="AP74" s="543">
        <f t="shared" si="65"/>
        <v>80000</v>
      </c>
      <c r="AQ74" s="544">
        <f t="shared" ca="1" si="66"/>
        <v>80000</v>
      </c>
      <c r="AR74" s="545">
        <f t="shared" ca="1" si="67"/>
        <v>0.66666666666666663</v>
      </c>
      <c r="AS74" s="545">
        <f ca="1">IFERROR(CEILING($AR74*VLOOKUP($I74,Ref!$B$23:$E$29,4,0),1),0)</f>
        <v>20</v>
      </c>
      <c r="AT74" s="545" t="str">
        <f ca="1">IF(A74="","",IF(AP74&lt;=1,"Cleared",IF(AS74=0,"Clean",VLOOKUP($AS74,Ref!$G$23:$H$28,2))))</f>
        <v>1.(0-30) Days</v>
      </c>
      <c r="AU74" s="546" t="str">
        <f t="shared" si="68"/>
        <v>Ok</v>
      </c>
    </row>
    <row r="75" spans="1:47" ht="15" customHeight="1" x14ac:dyDescent="0.15">
      <c r="A75" s="553">
        <v>44370</v>
      </c>
      <c r="B75" s="523">
        <v>82</v>
      </c>
      <c r="C75" s="523">
        <v>71</v>
      </c>
      <c r="D75" s="523">
        <v>1</v>
      </c>
      <c r="E75" s="523" t="s">
        <v>1274</v>
      </c>
      <c r="F75" s="554">
        <v>300000</v>
      </c>
      <c r="G75" s="524">
        <v>4</v>
      </c>
      <c r="H75" s="555">
        <v>0.05</v>
      </c>
      <c r="I75" s="560" t="s">
        <v>859</v>
      </c>
      <c r="J75" s="523" t="s">
        <v>864</v>
      </c>
      <c r="K75" s="528" t="str">
        <f>IFERROR(VLOOKUP($B75,'Clients-Live'!$A:$C,3,0),"")</f>
        <v>ADUNA MANENO</v>
      </c>
      <c r="L75" s="528">
        <f>IF(E75="STL",Pricing!$D$38,IF(A75="",0,IF(A75&lt;Pricing!$C$25,Pricing!$D$25,VLOOKUP(Disbursements!$F75,Pricing!$B$29:$D$32,3))))</f>
        <v>10000</v>
      </c>
      <c r="M75" s="528">
        <f>IF(E75="STL",0,IF(F75&gt;0,Pricing!$D$21,0))</f>
        <v>5000</v>
      </c>
      <c r="N75" s="529">
        <f>IF(E75="STL",F75*Pricing!$D$40,IF(A75&lt;=Pricing!$C$4,0,IF(AND(A75&gt;Pricing!$C$4,Disbursements!A75&lt;=Pricing!$C$5),F75*Pricing!$E$5,IF(AND(A75&gt;Pricing!$C$5,Disbursements!A75&lt;=Pricing!$C$7),VLOOKUP(F75,Pricing!$D$7:$E$8,2)*Disbursements!F75,F75*Pricing!$E$9))))</f>
        <v>0</v>
      </c>
      <c r="O75" s="528">
        <f>IF(E75="STL",0,IF($F75&gt;0,$F75*Pricing!$D$17,0))</f>
        <v>30000</v>
      </c>
      <c r="P75" s="530">
        <f t="shared" si="48"/>
        <v>60000</v>
      </c>
      <c r="Q75" s="531">
        <f>IF($A75="","",$G75/VLOOKUP($I75,Ref!$B$23:$D$29,2,0))</f>
        <v>4</v>
      </c>
      <c r="R75" s="530">
        <f t="shared" si="49"/>
        <v>360000</v>
      </c>
      <c r="S75" s="532">
        <f t="shared" si="43"/>
        <v>90000</v>
      </c>
      <c r="T75" s="531">
        <f t="shared" si="50"/>
        <v>90000</v>
      </c>
      <c r="U75" s="533">
        <f t="shared" si="51"/>
        <v>360000</v>
      </c>
      <c r="V75" s="531">
        <f t="shared" si="52"/>
        <v>75000</v>
      </c>
      <c r="W75" s="531">
        <f t="shared" si="53"/>
        <v>15000</v>
      </c>
      <c r="X75" s="534">
        <f t="shared" si="54"/>
        <v>60000</v>
      </c>
      <c r="Y75" s="535">
        <f>IF($A75="","",IF($I75="weekly",$A75+7,EDATE($A75,VLOOKUP($I75,Ref!$B$24:$C$29,2,0))))</f>
        <v>44400</v>
      </c>
      <c r="Z75" s="536" t="str">
        <f t="shared" si="55"/>
        <v>Frid</v>
      </c>
      <c r="AA75" s="531">
        <f t="shared" si="56"/>
        <v>30</v>
      </c>
      <c r="AB75" s="535">
        <f t="shared" si="44"/>
        <v>44492</v>
      </c>
      <c r="AC75" s="537">
        <f t="shared" si="45"/>
        <v>122</v>
      </c>
      <c r="AD75" s="538" t="str">
        <f t="shared" ca="1" si="46"/>
        <v>Expired</v>
      </c>
      <c r="AE75" s="537">
        <f t="shared" ca="1" si="47"/>
        <v>0</v>
      </c>
      <c r="AF75" s="539">
        <f t="shared" ca="1" si="57"/>
        <v>4</v>
      </c>
      <c r="AG75" s="531">
        <f t="shared" ca="1" si="58"/>
        <v>360000</v>
      </c>
      <c r="AH75" s="531">
        <f t="shared" ca="1" si="59"/>
        <v>60000</v>
      </c>
      <c r="AI75" s="531">
        <f t="shared" ca="1" si="60"/>
        <v>300000</v>
      </c>
      <c r="AJ75" s="531">
        <f t="shared" ca="1" si="61"/>
        <v>0</v>
      </c>
      <c r="AK75" s="540">
        <f>SUMIFS('Live Collections'!$S:$S,'Live Collections'!$D:$D,Disbursements!B75,'Live Collections'!$G:$G,Disbursements!C75)</f>
        <v>60000</v>
      </c>
      <c r="AL75" s="540">
        <f>SUMIFS('Live Collections'!$T:$T,'Live Collections'!$D:$D,Disbursements!B75,'Live Collections'!$G:$G,Disbursements!C75)</f>
        <v>300000</v>
      </c>
      <c r="AM75" s="541">
        <f t="shared" si="62"/>
        <v>360000</v>
      </c>
      <c r="AN75" s="542">
        <f t="shared" si="63"/>
        <v>0</v>
      </c>
      <c r="AO75" s="542">
        <f t="shared" si="64"/>
        <v>0</v>
      </c>
      <c r="AP75" s="543">
        <f t="shared" si="65"/>
        <v>0</v>
      </c>
      <c r="AQ75" s="544" t="str">
        <f t="shared" ca="1" si="66"/>
        <v/>
      </c>
      <c r="AR75" s="545">
        <f t="shared" ca="1" si="67"/>
        <v>0</v>
      </c>
      <c r="AS75" s="545">
        <f ca="1">IFERROR(CEILING($AR75*VLOOKUP($I75,Ref!$B$23:$E$29,4,0),1),0)</f>
        <v>0</v>
      </c>
      <c r="AT75" s="545" t="str">
        <f>IF(A75="","",IF(AP75&lt;=1,"Cleared",IF(AS75=0,"Clean",VLOOKUP($AS75,Ref!$G$23:$H$28,2))))</f>
        <v>Cleared</v>
      </c>
      <c r="AU75" s="546" t="str">
        <f t="shared" si="68"/>
        <v>Ok</v>
      </c>
    </row>
    <row r="76" spans="1:47" ht="15" customHeight="1" x14ac:dyDescent="0.15">
      <c r="A76" s="566">
        <v>44371</v>
      </c>
      <c r="B76" s="523">
        <v>95</v>
      </c>
      <c r="C76" s="523">
        <v>76</v>
      </c>
      <c r="D76" s="523">
        <v>1</v>
      </c>
      <c r="E76" s="523" t="s">
        <v>1274</v>
      </c>
      <c r="F76" s="554">
        <v>700000</v>
      </c>
      <c r="G76" s="524">
        <v>5</v>
      </c>
      <c r="H76" s="555">
        <v>0.05</v>
      </c>
      <c r="I76" s="560" t="s">
        <v>859</v>
      </c>
      <c r="J76" s="523" t="s">
        <v>864</v>
      </c>
      <c r="K76" s="528" t="str">
        <f>IFERROR(VLOOKUP($B76,'Clients-Live'!$A:$C,3,0),"")</f>
        <v>MUNDURU SIFA</v>
      </c>
      <c r="L76" s="528">
        <f>IF(E76="STL",Pricing!$D$38,IF(A76="",0,IF(A76&lt;Pricing!$C$25,Pricing!$D$25,VLOOKUP(Disbursements!$F76,Pricing!$B$29:$D$32,3))))</f>
        <v>10000</v>
      </c>
      <c r="M76" s="528">
        <f>IF(E76="STL",0,IF(F76&gt;0,Pricing!$D$21,0))</f>
        <v>5000</v>
      </c>
      <c r="N76" s="529">
        <f>IF(E76="STL",F76*Pricing!$D$40,IF(A76&lt;=Pricing!$C$4,0,IF(AND(A76&gt;Pricing!$C$4,Disbursements!A76&lt;=Pricing!$C$5),F76*Pricing!$E$5,IF(AND(A76&gt;Pricing!$C$5,Disbursements!A76&lt;=Pricing!$C$7),VLOOKUP(F76,Pricing!$D$7:$E$8,2)*Disbursements!F76,F76*Pricing!$E$9))))</f>
        <v>0</v>
      </c>
      <c r="O76" s="528">
        <f>IF(E76="STL",0,IF($F76&gt;0,$F76*Pricing!$D$17,0))</f>
        <v>70000</v>
      </c>
      <c r="P76" s="530">
        <f t="shared" si="48"/>
        <v>175000</v>
      </c>
      <c r="Q76" s="531">
        <f>IF($A76="","",$G76/VLOOKUP($I76,Ref!$B$23:$D$29,2,0))</f>
        <v>5</v>
      </c>
      <c r="R76" s="530">
        <f t="shared" si="49"/>
        <v>875000</v>
      </c>
      <c r="S76" s="532">
        <f t="shared" si="43"/>
        <v>175000</v>
      </c>
      <c r="T76" s="531">
        <f t="shared" si="50"/>
        <v>175000</v>
      </c>
      <c r="U76" s="533">
        <f t="shared" si="51"/>
        <v>875000</v>
      </c>
      <c r="V76" s="531">
        <f t="shared" si="52"/>
        <v>140000</v>
      </c>
      <c r="W76" s="531">
        <f t="shared" si="53"/>
        <v>35000</v>
      </c>
      <c r="X76" s="534">
        <f t="shared" si="54"/>
        <v>175000</v>
      </c>
      <c r="Y76" s="535">
        <f>IF($A76="","",IF($I76="weekly",$A76+7,EDATE($A76,VLOOKUP($I76,Ref!$B$24:$C$29,2,0))))</f>
        <v>44401</v>
      </c>
      <c r="Z76" s="536" t="str">
        <f t="shared" si="55"/>
        <v>Sat</v>
      </c>
      <c r="AA76" s="531">
        <f t="shared" si="56"/>
        <v>30</v>
      </c>
      <c r="AB76" s="535">
        <f t="shared" si="44"/>
        <v>44524</v>
      </c>
      <c r="AC76" s="537">
        <f t="shared" si="45"/>
        <v>153</v>
      </c>
      <c r="AD76" s="538" t="str">
        <f t="shared" ca="1" si="46"/>
        <v>Expired</v>
      </c>
      <c r="AE76" s="537">
        <f t="shared" ca="1" si="47"/>
        <v>0</v>
      </c>
      <c r="AF76" s="539">
        <f t="shared" ca="1" si="57"/>
        <v>5</v>
      </c>
      <c r="AG76" s="531">
        <f t="shared" ca="1" si="58"/>
        <v>875000</v>
      </c>
      <c r="AH76" s="531">
        <f t="shared" ca="1" si="59"/>
        <v>175000</v>
      </c>
      <c r="AI76" s="531">
        <f t="shared" ca="1" si="60"/>
        <v>700000</v>
      </c>
      <c r="AJ76" s="531">
        <f t="shared" ca="1" si="61"/>
        <v>0</v>
      </c>
      <c r="AK76" s="540">
        <f>SUMIFS('Live Collections'!$S:$S,'Live Collections'!$D:$D,Disbursements!B76,'Live Collections'!$G:$G,Disbursements!C76)</f>
        <v>70000</v>
      </c>
      <c r="AL76" s="540">
        <f>SUMIFS('Live Collections'!$T:$T,'Live Collections'!$D:$D,Disbursements!B76,'Live Collections'!$G:$G,Disbursements!C76)</f>
        <v>250500</v>
      </c>
      <c r="AM76" s="541">
        <f t="shared" si="62"/>
        <v>320500</v>
      </c>
      <c r="AN76" s="542">
        <f t="shared" si="63"/>
        <v>105000</v>
      </c>
      <c r="AO76" s="542">
        <f t="shared" si="64"/>
        <v>449500</v>
      </c>
      <c r="AP76" s="543">
        <f t="shared" si="65"/>
        <v>554500</v>
      </c>
      <c r="AQ76" s="544">
        <f t="shared" ca="1" si="66"/>
        <v>554500</v>
      </c>
      <c r="AR76" s="545">
        <f t="shared" ca="1" si="67"/>
        <v>3.1685714285714286</v>
      </c>
      <c r="AS76" s="545">
        <f ca="1">IFERROR(CEILING($AR76*VLOOKUP($I76,Ref!$B$23:$E$29,4,0),1),0)</f>
        <v>96</v>
      </c>
      <c r="AT76" s="545" t="str">
        <f ca="1">IF(A76="","",IF(AP76&lt;=1,"Cleared",IF(AS76=0,"Clean",VLOOKUP($AS76,Ref!$G$23:$H$28,2))))</f>
        <v>4.(91-365) Days</v>
      </c>
      <c r="AU76" s="546" t="str">
        <f t="shared" si="68"/>
        <v>Ok</v>
      </c>
    </row>
    <row r="77" spans="1:47" ht="15" customHeight="1" x14ac:dyDescent="0.15">
      <c r="A77" s="566">
        <v>44371</v>
      </c>
      <c r="B77" s="548">
        <v>97</v>
      </c>
      <c r="C77" s="523">
        <v>79</v>
      </c>
      <c r="D77" s="523">
        <v>1</v>
      </c>
      <c r="E77" s="523" t="s">
        <v>1274</v>
      </c>
      <c r="F77" s="549">
        <v>2000000</v>
      </c>
      <c r="G77" s="524">
        <v>1</v>
      </c>
      <c r="H77" s="550">
        <v>0.05</v>
      </c>
      <c r="I77" s="562" t="s">
        <v>859</v>
      </c>
      <c r="J77" s="548" t="s">
        <v>862</v>
      </c>
      <c r="K77" s="528" t="str">
        <f>IFERROR(VLOOKUP($B77,'Clients-Live'!$A:$C,3,0),"")</f>
        <v>DRANDUA JOB CHRISPUS</v>
      </c>
      <c r="L77" s="528">
        <f>IF(E77="STL",Pricing!$D$38,IF(A77="",0,IF(A77&lt;Pricing!$C$25,Pricing!$D$25,VLOOKUP(Disbursements!$F77,Pricing!$B$29:$D$32,3))))</f>
        <v>10000</v>
      </c>
      <c r="M77" s="528">
        <f>IF(E77="STL",0,IF(F77&gt;0,Pricing!$D$21,0))</f>
        <v>5000</v>
      </c>
      <c r="N77" s="529">
        <f>IF(E77="STL",F77*Pricing!$D$40,IF(A77&lt;=Pricing!$C$4,0,IF(AND(A77&gt;Pricing!$C$4,Disbursements!A77&lt;=Pricing!$C$5),F77*Pricing!$E$5,IF(AND(A77&gt;Pricing!$C$5,Disbursements!A77&lt;=Pricing!$C$7),VLOOKUP(F77,Pricing!$D$7:$E$8,2)*Disbursements!F77,F77*Pricing!$E$9))))</f>
        <v>0</v>
      </c>
      <c r="O77" s="528">
        <f>IF(E77="STL",0,IF($F77&gt;0,$F77*Pricing!$D$17,0))</f>
        <v>200000</v>
      </c>
      <c r="P77" s="530">
        <f t="shared" si="48"/>
        <v>100000</v>
      </c>
      <c r="Q77" s="531">
        <f>IF($A77="","",$G77/VLOOKUP($I77,Ref!$B$23:$D$29,2,0))</f>
        <v>1</v>
      </c>
      <c r="R77" s="530">
        <f t="shared" si="49"/>
        <v>2100000</v>
      </c>
      <c r="S77" s="532">
        <f t="shared" si="43"/>
        <v>2100000</v>
      </c>
      <c r="T77" s="531">
        <f t="shared" si="50"/>
        <v>2100000</v>
      </c>
      <c r="U77" s="533">
        <f t="shared" si="51"/>
        <v>2100000</v>
      </c>
      <c r="V77" s="531">
        <f t="shared" si="52"/>
        <v>2000000</v>
      </c>
      <c r="W77" s="531">
        <f t="shared" si="53"/>
        <v>100000</v>
      </c>
      <c r="X77" s="534">
        <f t="shared" si="54"/>
        <v>100000</v>
      </c>
      <c r="Y77" s="535">
        <f>IF($A77="","",IF($I77="weekly",$A77+7,EDATE($A77,VLOOKUP($I77,Ref!$B$24:$C$29,2,0))))</f>
        <v>44401</v>
      </c>
      <c r="Z77" s="536" t="str">
        <f t="shared" si="55"/>
        <v>Sat</v>
      </c>
      <c r="AA77" s="531">
        <f t="shared" si="56"/>
        <v>30</v>
      </c>
      <c r="AB77" s="535">
        <f t="shared" si="44"/>
        <v>44401</v>
      </c>
      <c r="AC77" s="537">
        <f t="shared" si="45"/>
        <v>30</v>
      </c>
      <c r="AD77" s="538" t="str">
        <f t="shared" ca="1" si="46"/>
        <v>Expired</v>
      </c>
      <c r="AE77" s="537">
        <f t="shared" ca="1" si="47"/>
        <v>0</v>
      </c>
      <c r="AF77" s="539">
        <f t="shared" ca="1" si="57"/>
        <v>1</v>
      </c>
      <c r="AG77" s="531">
        <f t="shared" ca="1" si="58"/>
        <v>2100000</v>
      </c>
      <c r="AH77" s="531">
        <f t="shared" ca="1" si="59"/>
        <v>100000</v>
      </c>
      <c r="AI77" s="531">
        <f t="shared" ca="1" si="60"/>
        <v>2000000</v>
      </c>
      <c r="AJ77" s="531">
        <f t="shared" ca="1" si="61"/>
        <v>0</v>
      </c>
      <c r="AK77" s="540">
        <f>SUMIFS('Live Collections'!$S:$S,'Live Collections'!$D:$D,Disbursements!B77,'Live Collections'!$G:$G,Disbursements!C77)</f>
        <v>100000</v>
      </c>
      <c r="AL77" s="540">
        <f>SUMIFS('Live Collections'!$T:$T,'Live Collections'!$D:$D,Disbursements!B77,'Live Collections'!$G:$G,Disbursements!C77)</f>
        <v>2000000</v>
      </c>
      <c r="AM77" s="541">
        <f t="shared" si="62"/>
        <v>2100000</v>
      </c>
      <c r="AN77" s="542">
        <f t="shared" si="63"/>
        <v>0</v>
      </c>
      <c r="AO77" s="542">
        <f t="shared" si="64"/>
        <v>0</v>
      </c>
      <c r="AP77" s="543">
        <f t="shared" si="65"/>
        <v>0</v>
      </c>
      <c r="AQ77" s="544" t="str">
        <f t="shared" ca="1" si="66"/>
        <v/>
      </c>
      <c r="AR77" s="545">
        <f t="shared" ca="1" si="67"/>
        <v>0</v>
      </c>
      <c r="AS77" s="545">
        <f ca="1">IFERROR(CEILING($AR77*VLOOKUP($I77,Ref!$B$23:$E$29,4,0),1),0)</f>
        <v>0</v>
      </c>
      <c r="AT77" s="545" t="str">
        <f>IF(A77="","",IF(AP77&lt;=1,"Cleared",IF(AS77=0,"Clean",VLOOKUP($AS77,Ref!$G$23:$H$28,2))))</f>
        <v>Cleared</v>
      </c>
      <c r="AU77" s="546" t="str">
        <f t="shared" si="68"/>
        <v>Ok</v>
      </c>
    </row>
    <row r="78" spans="1:47" ht="15" customHeight="1" x14ac:dyDescent="0.15">
      <c r="A78" s="566">
        <v>44371</v>
      </c>
      <c r="B78" s="523">
        <v>86</v>
      </c>
      <c r="C78" s="523">
        <v>73</v>
      </c>
      <c r="D78" s="523">
        <v>1</v>
      </c>
      <c r="E78" s="523" t="s">
        <v>1274</v>
      </c>
      <c r="F78" s="554">
        <v>500000</v>
      </c>
      <c r="G78" s="524">
        <v>4</v>
      </c>
      <c r="H78" s="555">
        <v>0.05</v>
      </c>
      <c r="I78" s="560" t="s">
        <v>859</v>
      </c>
      <c r="J78" s="523" t="s">
        <v>863</v>
      </c>
      <c r="K78" s="528" t="str">
        <f>IFERROR(VLOOKUP($B78,'Clients-Live'!$A:$C,3,0),"")</f>
        <v>AMANIYO JOYCE</v>
      </c>
      <c r="L78" s="528">
        <f>IF(E78="STL",Pricing!$D$38,IF(A78="",0,IF(A78&lt;Pricing!$C$25,Pricing!$D$25,VLOOKUP(Disbursements!$F78,Pricing!$B$29:$D$32,3))))</f>
        <v>10000</v>
      </c>
      <c r="M78" s="528">
        <f>IF(E78="STL",0,IF(F78&gt;0,Pricing!$D$21,0))</f>
        <v>5000</v>
      </c>
      <c r="N78" s="529">
        <f>IF(E78="STL",F78*Pricing!$D$40,IF(A78&lt;=Pricing!$C$4,0,IF(AND(A78&gt;Pricing!$C$4,Disbursements!A78&lt;=Pricing!$C$5),F78*Pricing!$E$5,IF(AND(A78&gt;Pricing!$C$5,Disbursements!A78&lt;=Pricing!$C$7),VLOOKUP(F78,Pricing!$D$7:$E$8,2)*Disbursements!F78,F78*Pricing!$E$9))))</f>
        <v>0</v>
      </c>
      <c r="O78" s="528">
        <f>IF(E78="STL",0,IF($F78&gt;0,$F78*Pricing!$D$17,0))</f>
        <v>50000</v>
      </c>
      <c r="P78" s="530">
        <f t="shared" si="48"/>
        <v>100000</v>
      </c>
      <c r="Q78" s="531">
        <f>IF($A78="","",$G78/VLOOKUP($I78,Ref!$B$23:$D$29,2,0))</f>
        <v>4</v>
      </c>
      <c r="R78" s="530">
        <f t="shared" si="49"/>
        <v>600000</v>
      </c>
      <c r="S78" s="532">
        <f t="shared" si="43"/>
        <v>150000</v>
      </c>
      <c r="T78" s="531">
        <f t="shared" si="50"/>
        <v>150000</v>
      </c>
      <c r="U78" s="533">
        <f t="shared" si="51"/>
        <v>600000</v>
      </c>
      <c r="V78" s="531">
        <f t="shared" si="52"/>
        <v>125000</v>
      </c>
      <c r="W78" s="531">
        <f t="shared" si="53"/>
        <v>25000</v>
      </c>
      <c r="X78" s="534">
        <f t="shared" si="54"/>
        <v>100000</v>
      </c>
      <c r="Y78" s="535">
        <f>IF($A78="","",IF($I78="weekly",$A78+7,EDATE($A78,VLOOKUP($I78,Ref!$B$24:$C$29,2,0))))</f>
        <v>44401</v>
      </c>
      <c r="Z78" s="536" t="str">
        <f t="shared" si="55"/>
        <v>Sat</v>
      </c>
      <c r="AA78" s="531">
        <f t="shared" si="56"/>
        <v>30</v>
      </c>
      <c r="AB78" s="535">
        <f t="shared" si="44"/>
        <v>44493</v>
      </c>
      <c r="AC78" s="537">
        <f t="shared" si="45"/>
        <v>122</v>
      </c>
      <c r="AD78" s="538" t="str">
        <f t="shared" ca="1" si="46"/>
        <v>Expired</v>
      </c>
      <c r="AE78" s="537">
        <f t="shared" ca="1" si="47"/>
        <v>0</v>
      </c>
      <c r="AF78" s="539">
        <f t="shared" ca="1" si="57"/>
        <v>4</v>
      </c>
      <c r="AG78" s="531">
        <f t="shared" ca="1" si="58"/>
        <v>600000</v>
      </c>
      <c r="AH78" s="531">
        <f t="shared" ca="1" si="59"/>
        <v>100000</v>
      </c>
      <c r="AI78" s="531">
        <f t="shared" ca="1" si="60"/>
        <v>500000</v>
      </c>
      <c r="AJ78" s="531">
        <f t="shared" ca="1" si="61"/>
        <v>0</v>
      </c>
      <c r="AK78" s="540">
        <f>SUMIFS('Live Collections'!$S:$S,'Live Collections'!$D:$D,Disbursements!B78,'Live Collections'!$G:$G,Disbursements!C78)</f>
        <v>100000</v>
      </c>
      <c r="AL78" s="540">
        <f>SUMIFS('Live Collections'!$T:$T,'Live Collections'!$D:$D,Disbursements!B78,'Live Collections'!$G:$G,Disbursements!C78)</f>
        <v>500000</v>
      </c>
      <c r="AM78" s="541">
        <f t="shared" si="62"/>
        <v>600000</v>
      </c>
      <c r="AN78" s="542">
        <f t="shared" si="63"/>
        <v>0</v>
      </c>
      <c r="AO78" s="542">
        <f t="shared" si="64"/>
        <v>0</v>
      </c>
      <c r="AP78" s="543">
        <f t="shared" si="65"/>
        <v>0</v>
      </c>
      <c r="AQ78" s="544" t="str">
        <f t="shared" ca="1" si="66"/>
        <v/>
      </c>
      <c r="AR78" s="545">
        <f t="shared" ca="1" si="67"/>
        <v>0</v>
      </c>
      <c r="AS78" s="545">
        <f ca="1">IFERROR(CEILING($AR78*VLOOKUP($I78,Ref!$B$23:$E$29,4,0),1),0)</f>
        <v>0</v>
      </c>
      <c r="AT78" s="545" t="str">
        <f>IF(A78="","",IF(AP78&lt;=1,"Cleared",IF(AS78=0,"Clean",VLOOKUP($AS78,Ref!$G$23:$H$28,2))))</f>
        <v>Cleared</v>
      </c>
      <c r="AU78" s="546" t="str">
        <f t="shared" si="68"/>
        <v>Ok</v>
      </c>
    </row>
    <row r="79" spans="1:47" ht="15" customHeight="1" x14ac:dyDescent="0.15">
      <c r="A79" s="566">
        <v>44371</v>
      </c>
      <c r="B79" s="523">
        <v>89</v>
      </c>
      <c r="C79" s="523">
        <v>78</v>
      </c>
      <c r="D79" s="523">
        <v>1</v>
      </c>
      <c r="E79" s="523" t="s">
        <v>1274</v>
      </c>
      <c r="F79" s="554">
        <v>700000</v>
      </c>
      <c r="G79" s="524">
        <v>6</v>
      </c>
      <c r="H79" s="555">
        <v>0.05</v>
      </c>
      <c r="I79" s="560" t="s">
        <v>859</v>
      </c>
      <c r="J79" s="523" t="s">
        <v>862</v>
      </c>
      <c r="K79" s="528" t="str">
        <f>IFERROR(VLOOKUP($B79,'Clients-Live'!$A:$C,3,0),"")</f>
        <v>ANDA FLORENCE</v>
      </c>
      <c r="L79" s="528">
        <f>IF(E79="STL",Pricing!$D$38,IF(A79="",0,IF(A79&lt;Pricing!$C$25,Pricing!$D$25,VLOOKUP(Disbursements!$F79,Pricing!$B$29:$D$32,3))))</f>
        <v>10000</v>
      </c>
      <c r="M79" s="528">
        <f>IF(E79="STL",0,IF(F79&gt;0,Pricing!$D$21,0))</f>
        <v>5000</v>
      </c>
      <c r="N79" s="529">
        <f>IF(E79="STL",F79*Pricing!$D$40,IF(A79&lt;=Pricing!$C$4,0,IF(AND(A79&gt;Pricing!$C$4,Disbursements!A79&lt;=Pricing!$C$5),F79*Pricing!$E$5,IF(AND(A79&gt;Pricing!$C$5,Disbursements!A79&lt;=Pricing!$C$7),VLOOKUP(F79,Pricing!$D$7:$E$8,2)*Disbursements!F79,F79*Pricing!$E$9))))</f>
        <v>0</v>
      </c>
      <c r="O79" s="528">
        <f>IF(E79="STL",0,IF($F79&gt;0,$F79*Pricing!$D$17,0))</f>
        <v>70000</v>
      </c>
      <c r="P79" s="530">
        <f t="shared" si="48"/>
        <v>210000</v>
      </c>
      <c r="Q79" s="531">
        <f>IF($A79="","",$G79/VLOOKUP($I79,Ref!$B$23:$D$29,2,0))</f>
        <v>6</v>
      </c>
      <c r="R79" s="530">
        <f t="shared" si="49"/>
        <v>910000</v>
      </c>
      <c r="S79" s="532">
        <f t="shared" si="43"/>
        <v>151666.66666666666</v>
      </c>
      <c r="T79" s="531">
        <f t="shared" si="50"/>
        <v>152000</v>
      </c>
      <c r="U79" s="533">
        <f t="shared" si="51"/>
        <v>912000</v>
      </c>
      <c r="V79" s="531">
        <f t="shared" si="52"/>
        <v>116666.66666666667</v>
      </c>
      <c r="W79" s="531">
        <f t="shared" si="53"/>
        <v>35333.333333333328</v>
      </c>
      <c r="X79" s="534">
        <f t="shared" si="54"/>
        <v>211999.99999999997</v>
      </c>
      <c r="Y79" s="535">
        <f>IF($A79="","",IF($I79="weekly",$A79+7,EDATE($A79,VLOOKUP($I79,Ref!$B$24:$C$29,2,0))))</f>
        <v>44401</v>
      </c>
      <c r="Z79" s="536" t="str">
        <f t="shared" si="55"/>
        <v>Sat</v>
      </c>
      <c r="AA79" s="531">
        <f t="shared" si="56"/>
        <v>30</v>
      </c>
      <c r="AB79" s="535">
        <f t="shared" si="44"/>
        <v>44554</v>
      </c>
      <c r="AC79" s="537">
        <f t="shared" si="45"/>
        <v>183</v>
      </c>
      <c r="AD79" s="538" t="str">
        <f t="shared" ca="1" si="46"/>
        <v>Expired</v>
      </c>
      <c r="AE79" s="537">
        <f t="shared" ca="1" si="47"/>
        <v>0</v>
      </c>
      <c r="AF79" s="539">
        <f t="shared" ca="1" si="57"/>
        <v>6</v>
      </c>
      <c r="AG79" s="531">
        <f t="shared" ca="1" si="58"/>
        <v>912000</v>
      </c>
      <c r="AH79" s="531">
        <f t="shared" ca="1" si="59"/>
        <v>211999.99999999997</v>
      </c>
      <c r="AI79" s="531">
        <f t="shared" ca="1" si="60"/>
        <v>700000</v>
      </c>
      <c r="AJ79" s="531">
        <f t="shared" ca="1" si="61"/>
        <v>0</v>
      </c>
      <c r="AK79" s="540">
        <f>SUMIFS('Live Collections'!$S:$S,'Live Collections'!$D:$D,Disbursements!B79,'Live Collections'!$G:$G,Disbursements!C79)</f>
        <v>211999.99999999997</v>
      </c>
      <c r="AL79" s="540">
        <f>SUMIFS('Live Collections'!$T:$T,'Live Collections'!$D:$D,Disbursements!B79,'Live Collections'!$G:$G,Disbursements!C79)</f>
        <v>700000</v>
      </c>
      <c r="AM79" s="541">
        <f t="shared" si="62"/>
        <v>912000</v>
      </c>
      <c r="AN79" s="542">
        <f t="shared" si="63"/>
        <v>0</v>
      </c>
      <c r="AO79" s="542">
        <f t="shared" si="64"/>
        <v>0</v>
      </c>
      <c r="AP79" s="543">
        <f t="shared" si="65"/>
        <v>0</v>
      </c>
      <c r="AQ79" s="544" t="str">
        <f t="shared" ca="1" si="66"/>
        <v/>
      </c>
      <c r="AR79" s="545">
        <f t="shared" ca="1" si="67"/>
        <v>0</v>
      </c>
      <c r="AS79" s="545">
        <f ca="1">IFERROR(CEILING($AR79*VLOOKUP($I79,Ref!$B$23:$E$29,4,0),1),0)</f>
        <v>0</v>
      </c>
      <c r="AT79" s="545" t="str">
        <f>IF(A79="","",IF(AP79&lt;=1,"Cleared",IF(AS79=0,"Clean",VLOOKUP($AS79,Ref!$G$23:$H$28,2))))</f>
        <v>Cleared</v>
      </c>
      <c r="AU79" s="546" t="str">
        <f t="shared" si="68"/>
        <v>Ok</v>
      </c>
    </row>
    <row r="80" spans="1:47" ht="15" customHeight="1" x14ac:dyDescent="0.15">
      <c r="A80" s="566">
        <v>44371</v>
      </c>
      <c r="B80" s="523">
        <v>90</v>
      </c>
      <c r="C80" s="523">
        <v>77</v>
      </c>
      <c r="D80" s="523">
        <v>1</v>
      </c>
      <c r="E80" s="523" t="s">
        <v>1274</v>
      </c>
      <c r="F80" s="554">
        <v>800000</v>
      </c>
      <c r="G80" s="524">
        <v>6</v>
      </c>
      <c r="H80" s="555">
        <v>0.05</v>
      </c>
      <c r="I80" s="560" t="s">
        <v>859</v>
      </c>
      <c r="J80" s="523" t="s">
        <v>863</v>
      </c>
      <c r="K80" s="528" t="str">
        <f>IFERROR(VLOOKUP($B80,'Clients-Live'!$A:$C,3,0),"")</f>
        <v>ZABIBU RAJAB SAIDI</v>
      </c>
      <c r="L80" s="528">
        <f>IF(E80="STL",Pricing!$D$38,IF(A80="",0,IF(A80&lt;Pricing!$C$25,Pricing!$D$25,VLOOKUP(Disbursements!$F80,Pricing!$B$29:$D$32,3))))</f>
        <v>10000</v>
      </c>
      <c r="M80" s="528">
        <f>IF(E80="STL",0,IF(F80&gt;0,Pricing!$D$21,0))</f>
        <v>5000</v>
      </c>
      <c r="N80" s="529">
        <f>IF(E80="STL",F80*Pricing!$D$40,IF(A80&lt;=Pricing!$C$4,0,IF(AND(A80&gt;Pricing!$C$4,Disbursements!A80&lt;=Pricing!$C$5),F80*Pricing!$E$5,IF(AND(A80&gt;Pricing!$C$5,Disbursements!A80&lt;=Pricing!$C$7),VLOOKUP(F80,Pricing!$D$7:$E$8,2)*Disbursements!F80,F80*Pricing!$E$9))))</f>
        <v>0</v>
      </c>
      <c r="O80" s="528">
        <f>IF(E80="STL",0,IF($F80&gt;0,$F80*Pricing!$D$17,0))</f>
        <v>80000</v>
      </c>
      <c r="P80" s="530">
        <f t="shared" si="48"/>
        <v>240000</v>
      </c>
      <c r="Q80" s="531">
        <f>IF($A80="","",$G80/VLOOKUP($I80,Ref!$B$23:$D$29,2,0))</f>
        <v>6</v>
      </c>
      <c r="R80" s="530">
        <f t="shared" si="49"/>
        <v>1040000</v>
      </c>
      <c r="S80" s="532">
        <f t="shared" si="43"/>
        <v>173333.33333333334</v>
      </c>
      <c r="T80" s="531">
        <f t="shared" si="50"/>
        <v>174000</v>
      </c>
      <c r="U80" s="533">
        <f t="shared" si="51"/>
        <v>1044000</v>
      </c>
      <c r="V80" s="531">
        <f t="shared" si="52"/>
        <v>133333.33333333334</v>
      </c>
      <c r="W80" s="531">
        <f t="shared" si="53"/>
        <v>40666.666666666657</v>
      </c>
      <c r="X80" s="534">
        <f t="shared" si="54"/>
        <v>243999.99999999994</v>
      </c>
      <c r="Y80" s="535">
        <f>IF($A80="","",IF($I80="weekly",$A80+7,EDATE($A80,VLOOKUP($I80,Ref!$B$24:$C$29,2,0))))</f>
        <v>44401</v>
      </c>
      <c r="Z80" s="536" t="str">
        <f t="shared" si="55"/>
        <v>Sat</v>
      </c>
      <c r="AA80" s="531">
        <f t="shared" si="56"/>
        <v>30</v>
      </c>
      <c r="AB80" s="535">
        <f t="shared" si="44"/>
        <v>44554</v>
      </c>
      <c r="AC80" s="537">
        <f t="shared" si="45"/>
        <v>183</v>
      </c>
      <c r="AD80" s="538" t="str">
        <f t="shared" ca="1" si="46"/>
        <v>Expired</v>
      </c>
      <c r="AE80" s="537">
        <f t="shared" ca="1" si="47"/>
        <v>0</v>
      </c>
      <c r="AF80" s="539">
        <f t="shared" ca="1" si="57"/>
        <v>6</v>
      </c>
      <c r="AG80" s="531">
        <f t="shared" ca="1" si="58"/>
        <v>1044000</v>
      </c>
      <c r="AH80" s="531">
        <f t="shared" ca="1" si="59"/>
        <v>243999.99999999994</v>
      </c>
      <c r="AI80" s="531">
        <f t="shared" ca="1" si="60"/>
        <v>800000</v>
      </c>
      <c r="AJ80" s="531">
        <f t="shared" ca="1" si="61"/>
        <v>0</v>
      </c>
      <c r="AK80" s="540">
        <f>SUMIFS('Live Collections'!$S:$S,'Live Collections'!$D:$D,Disbursements!B80,'Live Collections'!$G:$G,Disbursements!C80)</f>
        <v>243999.99999999994</v>
      </c>
      <c r="AL80" s="540">
        <f>SUMIFS('Live Collections'!$T:$T,'Live Collections'!$D:$D,Disbursements!B80,'Live Collections'!$G:$G,Disbursements!C80)</f>
        <v>796000</v>
      </c>
      <c r="AM80" s="541">
        <f t="shared" si="62"/>
        <v>1040000</v>
      </c>
      <c r="AN80" s="542">
        <f t="shared" si="63"/>
        <v>0</v>
      </c>
      <c r="AO80" s="542">
        <f t="shared" si="64"/>
        <v>4000</v>
      </c>
      <c r="AP80" s="543">
        <f t="shared" si="65"/>
        <v>4000</v>
      </c>
      <c r="AQ80" s="544">
        <f t="shared" ca="1" si="66"/>
        <v>4000</v>
      </c>
      <c r="AR80" s="545">
        <f t="shared" ca="1" si="67"/>
        <v>2.2988505747126436E-2</v>
      </c>
      <c r="AS80" s="545">
        <f ca="1">IFERROR(CEILING($AR80*VLOOKUP($I80,Ref!$B$23:$E$29,4,0),1),0)</f>
        <v>1</v>
      </c>
      <c r="AT80" s="545" t="str">
        <f ca="1">IF(A80="","",IF(AP80&lt;=1,"Cleared",IF(AS80=0,"Clean",VLOOKUP($AS80,Ref!$G$23:$H$28,2))))</f>
        <v>1.(0-30) Days</v>
      </c>
      <c r="AU80" s="546" t="str">
        <f t="shared" si="68"/>
        <v>Ok</v>
      </c>
    </row>
    <row r="81" spans="1:47" ht="15" customHeight="1" x14ac:dyDescent="0.15">
      <c r="A81" s="566">
        <v>44371</v>
      </c>
      <c r="B81" s="523">
        <v>91</v>
      </c>
      <c r="C81" s="523">
        <v>75</v>
      </c>
      <c r="D81" s="523">
        <v>1</v>
      </c>
      <c r="E81" s="523" t="s">
        <v>1274</v>
      </c>
      <c r="F81" s="554">
        <v>200000</v>
      </c>
      <c r="G81" s="524">
        <v>4</v>
      </c>
      <c r="H81" s="555">
        <v>0.05</v>
      </c>
      <c r="I81" s="560" t="s">
        <v>859</v>
      </c>
      <c r="J81" s="523" t="s">
        <v>862</v>
      </c>
      <c r="K81" s="528" t="str">
        <f>IFERROR(VLOOKUP($B81,'Clients-Live'!$A:$C,3,0),"")</f>
        <v>CHANDIRU SALILA</v>
      </c>
      <c r="L81" s="528">
        <f>IF(E81="STL",Pricing!$D$38,IF(A81="",0,IF(A81&lt;Pricing!$C$25,Pricing!$D$25,VLOOKUP(Disbursements!$F81,Pricing!$B$29:$D$32,3))))</f>
        <v>10000</v>
      </c>
      <c r="M81" s="528">
        <f>IF(E81="STL",0,IF(F81&gt;0,Pricing!$D$21,0))</f>
        <v>5000</v>
      </c>
      <c r="N81" s="529">
        <f>IF(E81="STL",F81*Pricing!$D$40,IF(A81&lt;=Pricing!$C$4,0,IF(AND(A81&gt;Pricing!$C$4,Disbursements!A81&lt;=Pricing!$C$5),F81*Pricing!$E$5,IF(AND(A81&gt;Pricing!$C$5,Disbursements!A81&lt;=Pricing!$C$7),VLOOKUP(F81,Pricing!$D$7:$E$8,2)*Disbursements!F81,F81*Pricing!$E$9))))</f>
        <v>0</v>
      </c>
      <c r="O81" s="528">
        <f>IF(E81="STL",0,IF($F81&gt;0,$F81*Pricing!$D$17,0))</f>
        <v>20000</v>
      </c>
      <c r="P81" s="530">
        <f t="shared" si="48"/>
        <v>40000</v>
      </c>
      <c r="Q81" s="531">
        <f>IF($A81="","",$G81/VLOOKUP($I81,Ref!$B$23:$D$29,2,0))</f>
        <v>4</v>
      </c>
      <c r="R81" s="530">
        <f t="shared" si="49"/>
        <v>240000</v>
      </c>
      <c r="S81" s="532">
        <f t="shared" si="43"/>
        <v>60000</v>
      </c>
      <c r="T81" s="531">
        <f t="shared" si="50"/>
        <v>60000</v>
      </c>
      <c r="U81" s="533">
        <f t="shared" si="51"/>
        <v>240000</v>
      </c>
      <c r="V81" s="531">
        <f t="shared" si="52"/>
        <v>50000</v>
      </c>
      <c r="W81" s="531">
        <f t="shared" si="53"/>
        <v>10000</v>
      </c>
      <c r="X81" s="534">
        <f t="shared" si="54"/>
        <v>40000</v>
      </c>
      <c r="Y81" s="535">
        <f>IF($A81="","",IF($I81="weekly",$A81+7,EDATE($A81,VLOOKUP($I81,Ref!$B$24:$C$29,2,0))))</f>
        <v>44401</v>
      </c>
      <c r="Z81" s="536" t="str">
        <f t="shared" si="55"/>
        <v>Sat</v>
      </c>
      <c r="AA81" s="531">
        <f t="shared" si="56"/>
        <v>30</v>
      </c>
      <c r="AB81" s="535">
        <f t="shared" si="44"/>
        <v>44493</v>
      </c>
      <c r="AC81" s="537">
        <f t="shared" si="45"/>
        <v>122</v>
      </c>
      <c r="AD81" s="538" t="str">
        <f t="shared" ca="1" si="46"/>
        <v>Expired</v>
      </c>
      <c r="AE81" s="537">
        <f t="shared" ca="1" si="47"/>
        <v>0</v>
      </c>
      <c r="AF81" s="539">
        <f t="shared" ca="1" si="57"/>
        <v>4</v>
      </c>
      <c r="AG81" s="531">
        <f t="shared" ca="1" si="58"/>
        <v>240000</v>
      </c>
      <c r="AH81" s="531">
        <f t="shared" ca="1" si="59"/>
        <v>40000</v>
      </c>
      <c r="AI81" s="531">
        <f t="shared" ca="1" si="60"/>
        <v>200000</v>
      </c>
      <c r="AJ81" s="531">
        <f t="shared" ca="1" si="61"/>
        <v>0</v>
      </c>
      <c r="AK81" s="540">
        <f>SUMIFS('Live Collections'!$S:$S,'Live Collections'!$D:$D,Disbursements!B81,'Live Collections'!$G:$G,Disbursements!C81)</f>
        <v>40000</v>
      </c>
      <c r="AL81" s="540">
        <f>SUMIFS('Live Collections'!$T:$T,'Live Collections'!$D:$D,Disbursements!B81,'Live Collections'!$G:$G,Disbursements!C81)</f>
        <v>200000</v>
      </c>
      <c r="AM81" s="541">
        <f t="shared" si="62"/>
        <v>240000</v>
      </c>
      <c r="AN81" s="542">
        <f t="shared" si="63"/>
        <v>0</v>
      </c>
      <c r="AO81" s="542">
        <f t="shared" si="64"/>
        <v>0</v>
      </c>
      <c r="AP81" s="543">
        <f t="shared" si="65"/>
        <v>0</v>
      </c>
      <c r="AQ81" s="544" t="str">
        <f t="shared" ca="1" si="66"/>
        <v/>
      </c>
      <c r="AR81" s="545">
        <f t="shared" ca="1" si="67"/>
        <v>0</v>
      </c>
      <c r="AS81" s="545">
        <f ca="1">IFERROR(CEILING($AR81*VLOOKUP($I81,Ref!$B$23:$E$29,4,0),1),0)</f>
        <v>0</v>
      </c>
      <c r="AT81" s="545" t="str">
        <f>IF(A81="","",IF(AP81&lt;=1,"Cleared",IF(AS81=0,"Clean",VLOOKUP($AS81,Ref!$G$23:$H$28,2))))</f>
        <v>Cleared</v>
      </c>
      <c r="AU81" s="546" t="str">
        <f t="shared" si="68"/>
        <v>Ok</v>
      </c>
    </row>
    <row r="82" spans="1:47" ht="15" customHeight="1" x14ac:dyDescent="0.15">
      <c r="A82" s="566">
        <v>44371</v>
      </c>
      <c r="B82" s="523">
        <v>92</v>
      </c>
      <c r="C82" s="523">
        <v>74</v>
      </c>
      <c r="D82" s="523">
        <v>1</v>
      </c>
      <c r="E82" s="523" t="s">
        <v>1274</v>
      </c>
      <c r="F82" s="554">
        <v>700000</v>
      </c>
      <c r="G82" s="524">
        <v>5</v>
      </c>
      <c r="H82" s="555">
        <v>0.05</v>
      </c>
      <c r="I82" s="560" t="s">
        <v>859</v>
      </c>
      <c r="J82" s="523" t="s">
        <v>863</v>
      </c>
      <c r="K82" s="528" t="str">
        <f>IFERROR(VLOOKUP($B82,'Clients-Live'!$A:$C,3,0),"")</f>
        <v>FAIDA ZAKIYA</v>
      </c>
      <c r="L82" s="528">
        <f>IF(E82="STL",Pricing!$D$38,IF(A82="",0,IF(A82&lt;Pricing!$C$25,Pricing!$D$25,VLOOKUP(Disbursements!$F82,Pricing!$B$29:$D$32,3))))</f>
        <v>10000</v>
      </c>
      <c r="M82" s="528">
        <f>IF(E82="STL",0,IF(F82&gt;0,Pricing!$D$21,0))</f>
        <v>5000</v>
      </c>
      <c r="N82" s="529">
        <f>IF(E82="STL",F82*Pricing!$D$40,IF(A82&lt;=Pricing!$C$4,0,IF(AND(A82&gt;Pricing!$C$4,Disbursements!A82&lt;=Pricing!$C$5),F82*Pricing!$E$5,IF(AND(A82&gt;Pricing!$C$5,Disbursements!A82&lt;=Pricing!$C$7),VLOOKUP(F82,Pricing!$D$7:$E$8,2)*Disbursements!F82,F82*Pricing!$E$9))))</f>
        <v>0</v>
      </c>
      <c r="O82" s="528">
        <f>IF(E82="STL",0,IF($F82&gt;0,$F82*Pricing!$D$17,0))</f>
        <v>70000</v>
      </c>
      <c r="P82" s="530">
        <f t="shared" si="48"/>
        <v>175000</v>
      </c>
      <c r="Q82" s="531">
        <f>IF($A82="","",$G82/VLOOKUP($I82,Ref!$B$23:$D$29,2,0))</f>
        <v>5</v>
      </c>
      <c r="R82" s="530">
        <f t="shared" si="49"/>
        <v>875000</v>
      </c>
      <c r="S82" s="532">
        <f t="shared" si="43"/>
        <v>175000</v>
      </c>
      <c r="T82" s="531">
        <f t="shared" si="50"/>
        <v>175000</v>
      </c>
      <c r="U82" s="533">
        <f t="shared" si="51"/>
        <v>875000</v>
      </c>
      <c r="V82" s="531">
        <f t="shared" si="52"/>
        <v>140000</v>
      </c>
      <c r="W82" s="531">
        <f t="shared" si="53"/>
        <v>35000</v>
      </c>
      <c r="X82" s="534">
        <f t="shared" si="54"/>
        <v>175000</v>
      </c>
      <c r="Y82" s="535">
        <f>IF($A82="","",IF($I82="weekly",$A82+7,EDATE($A82,VLOOKUP($I82,Ref!$B$24:$C$29,2,0))))</f>
        <v>44401</v>
      </c>
      <c r="Z82" s="536" t="str">
        <f t="shared" si="55"/>
        <v>Sat</v>
      </c>
      <c r="AA82" s="531">
        <f t="shared" si="56"/>
        <v>30</v>
      </c>
      <c r="AB82" s="535">
        <f t="shared" si="44"/>
        <v>44524</v>
      </c>
      <c r="AC82" s="537">
        <f t="shared" si="45"/>
        <v>153</v>
      </c>
      <c r="AD82" s="538" t="str">
        <f t="shared" ca="1" si="46"/>
        <v>Expired</v>
      </c>
      <c r="AE82" s="537">
        <f t="shared" ca="1" si="47"/>
        <v>0</v>
      </c>
      <c r="AF82" s="539">
        <f t="shared" ca="1" si="57"/>
        <v>5</v>
      </c>
      <c r="AG82" s="531">
        <f t="shared" ca="1" si="58"/>
        <v>875000</v>
      </c>
      <c r="AH82" s="531">
        <f t="shared" ca="1" si="59"/>
        <v>175000</v>
      </c>
      <c r="AI82" s="531">
        <f t="shared" ca="1" si="60"/>
        <v>700000</v>
      </c>
      <c r="AJ82" s="531">
        <f t="shared" ca="1" si="61"/>
        <v>0</v>
      </c>
      <c r="AK82" s="540">
        <f>SUMIFS('Live Collections'!$S:$S,'Live Collections'!$D:$D,Disbursements!B82,'Live Collections'!$G:$G,Disbursements!C82)</f>
        <v>175000</v>
      </c>
      <c r="AL82" s="540">
        <f>SUMIFS('Live Collections'!$T:$T,'Live Collections'!$D:$D,Disbursements!B82,'Live Collections'!$G:$G,Disbursements!C82)</f>
        <v>700000</v>
      </c>
      <c r="AM82" s="541">
        <f t="shared" si="62"/>
        <v>875000</v>
      </c>
      <c r="AN82" s="542">
        <f t="shared" si="63"/>
        <v>0</v>
      </c>
      <c r="AO82" s="542">
        <f t="shared" si="64"/>
        <v>0</v>
      </c>
      <c r="AP82" s="543">
        <f t="shared" si="65"/>
        <v>0</v>
      </c>
      <c r="AQ82" s="544" t="str">
        <f t="shared" ca="1" si="66"/>
        <v/>
      </c>
      <c r="AR82" s="545">
        <f t="shared" ca="1" si="67"/>
        <v>0</v>
      </c>
      <c r="AS82" s="545">
        <f ca="1">IFERROR(CEILING($AR82*VLOOKUP($I82,Ref!$B$23:$E$29,4,0),1),0)</f>
        <v>0</v>
      </c>
      <c r="AT82" s="545" t="str">
        <f>IF(A82="","",IF(AP82&lt;=1,"Cleared",IF(AS82=0,"Clean",VLOOKUP($AS82,Ref!$G$23:$H$28,2))))</f>
        <v>Cleared</v>
      </c>
      <c r="AU82" s="546" t="str">
        <f t="shared" si="68"/>
        <v>Ok</v>
      </c>
    </row>
    <row r="83" spans="1:47" ht="15" customHeight="1" x14ac:dyDescent="0.15">
      <c r="A83" s="553">
        <v>44373</v>
      </c>
      <c r="B83" s="523">
        <v>101</v>
      </c>
      <c r="C83" s="523">
        <v>80</v>
      </c>
      <c r="D83" s="523">
        <v>1</v>
      </c>
      <c r="E83" s="523" t="s">
        <v>1277</v>
      </c>
      <c r="F83" s="554">
        <v>2000000</v>
      </c>
      <c r="G83" s="524">
        <v>1</v>
      </c>
      <c r="H83" s="555">
        <v>7.4999999999999997E-2</v>
      </c>
      <c r="I83" s="560" t="s">
        <v>859</v>
      </c>
      <c r="J83" s="523" t="s">
        <v>864</v>
      </c>
      <c r="K83" s="528" t="str">
        <f>IFERROR(VLOOKUP($B83,'Clients-Live'!$A:$C,3,0),"")</f>
        <v>AYIKO STEPHEN</v>
      </c>
      <c r="L83" s="528">
        <f>IF(E83="STL",Pricing!$D$38,IF(A83="",0,IF(A83&lt;Pricing!$C$25,Pricing!$D$25,VLOOKUP(Disbursements!$F83,Pricing!$B$29:$D$32,3))))</f>
        <v>10000</v>
      </c>
      <c r="M83" s="528">
        <f>IF(E83="STL",0,IF(F83&gt;0,Pricing!$D$21,0))</f>
        <v>5000</v>
      </c>
      <c r="N83" s="529">
        <f>IF(E83="STL",F83*Pricing!$D$40,IF(A83&lt;=Pricing!$C$4,0,IF(AND(A83&gt;Pricing!$C$4,Disbursements!A83&lt;=Pricing!$C$5),F83*Pricing!$E$5,IF(AND(A83&gt;Pricing!$C$5,Disbursements!A83&lt;=Pricing!$C$7),VLOOKUP(F83,Pricing!$D$7:$E$8,2)*Disbursements!F83,F83*Pricing!$E$9))))</f>
        <v>0</v>
      </c>
      <c r="O83" s="528">
        <f>IF(E83="STL",0,IF($F83&gt;0,$F83*Pricing!$D$17,0))</f>
        <v>200000</v>
      </c>
      <c r="P83" s="530">
        <f t="shared" si="48"/>
        <v>150000</v>
      </c>
      <c r="Q83" s="531">
        <f>IF($A83="","",$G83/VLOOKUP($I83,Ref!$B$23:$D$29,2,0))</f>
        <v>1</v>
      </c>
      <c r="R83" s="530">
        <f t="shared" si="49"/>
        <v>2150000</v>
      </c>
      <c r="S83" s="532">
        <f t="shared" si="43"/>
        <v>2150000</v>
      </c>
      <c r="T83" s="531">
        <f t="shared" si="50"/>
        <v>2150000</v>
      </c>
      <c r="U83" s="533">
        <f t="shared" si="51"/>
        <v>2150000</v>
      </c>
      <c r="V83" s="531">
        <f t="shared" si="52"/>
        <v>2000000</v>
      </c>
      <c r="W83" s="531">
        <f t="shared" si="53"/>
        <v>150000</v>
      </c>
      <c r="X83" s="534">
        <f t="shared" si="54"/>
        <v>150000</v>
      </c>
      <c r="Y83" s="535">
        <f>IF($A83="","",IF($I83="weekly",$A83+7,EDATE($A83,VLOOKUP($I83,Ref!$B$24:$C$29,2,0))))</f>
        <v>44403</v>
      </c>
      <c r="Z83" s="536" t="str">
        <f t="shared" si="55"/>
        <v>Mon</v>
      </c>
      <c r="AA83" s="531">
        <f t="shared" si="56"/>
        <v>30</v>
      </c>
      <c r="AB83" s="535">
        <f t="shared" si="44"/>
        <v>44403</v>
      </c>
      <c r="AC83" s="537">
        <f t="shared" si="45"/>
        <v>30</v>
      </c>
      <c r="AD83" s="538" t="str">
        <f t="shared" ca="1" si="46"/>
        <v>Expired</v>
      </c>
      <c r="AE83" s="537">
        <f t="shared" ca="1" si="47"/>
        <v>0</v>
      </c>
      <c r="AF83" s="539">
        <f t="shared" ca="1" si="57"/>
        <v>1</v>
      </c>
      <c r="AG83" s="531">
        <f t="shared" ca="1" si="58"/>
        <v>2150000</v>
      </c>
      <c r="AH83" s="531">
        <f t="shared" ca="1" si="59"/>
        <v>150000</v>
      </c>
      <c r="AI83" s="531">
        <f t="shared" ca="1" si="60"/>
        <v>2000000</v>
      </c>
      <c r="AJ83" s="531">
        <f t="shared" ca="1" si="61"/>
        <v>0</v>
      </c>
      <c r="AK83" s="540">
        <f>SUMIFS('Live Collections'!$S:$S,'Live Collections'!$D:$D,Disbursements!B83,'Live Collections'!$G:$G,Disbursements!C83)</f>
        <v>150000</v>
      </c>
      <c r="AL83" s="540">
        <f>SUMIFS('Live Collections'!$T:$T,'Live Collections'!$D:$D,Disbursements!B83,'Live Collections'!$G:$G,Disbursements!C83)</f>
        <v>2000000</v>
      </c>
      <c r="AM83" s="541">
        <f t="shared" si="62"/>
        <v>2150000</v>
      </c>
      <c r="AN83" s="542">
        <f t="shared" si="63"/>
        <v>0</v>
      </c>
      <c r="AO83" s="542">
        <f t="shared" si="64"/>
        <v>0</v>
      </c>
      <c r="AP83" s="543">
        <f t="shared" si="65"/>
        <v>0</v>
      </c>
      <c r="AQ83" s="544" t="str">
        <f t="shared" ca="1" si="66"/>
        <v/>
      </c>
      <c r="AR83" s="545">
        <f t="shared" ca="1" si="67"/>
        <v>0</v>
      </c>
      <c r="AS83" s="545">
        <f ca="1">IFERROR(CEILING($AR83*VLOOKUP($I83,Ref!$B$23:$E$29,4,0),1),0)</f>
        <v>0</v>
      </c>
      <c r="AT83" s="545" t="str">
        <f>IF(A83="","",IF(AP83&lt;=1,"Cleared",IF(AS83=0,"Clean",VLOOKUP($AS83,Ref!$G$23:$H$28,2))))</f>
        <v>Cleared</v>
      </c>
      <c r="AU83" s="546" t="str">
        <f t="shared" si="68"/>
        <v>Ok</v>
      </c>
    </row>
    <row r="84" spans="1:47" ht="15" customHeight="1" x14ac:dyDescent="0.15">
      <c r="A84" s="553">
        <v>44375</v>
      </c>
      <c r="B84" s="523">
        <v>96</v>
      </c>
      <c r="C84" s="523">
        <v>87</v>
      </c>
      <c r="D84" s="523">
        <v>1</v>
      </c>
      <c r="E84" s="523" t="s">
        <v>1274</v>
      </c>
      <c r="F84" s="569">
        <v>600000</v>
      </c>
      <c r="G84" s="524">
        <v>4</v>
      </c>
      <c r="H84" s="555">
        <v>0.05</v>
      </c>
      <c r="I84" s="560" t="s">
        <v>859</v>
      </c>
      <c r="J84" s="523" t="s">
        <v>863</v>
      </c>
      <c r="K84" s="528" t="str">
        <f>IFERROR(VLOOKUP($B84,'Clients-Live'!$A:$C,3,0),"")</f>
        <v>AKANDU NIGHT YONGORO</v>
      </c>
      <c r="L84" s="528">
        <f>IF(E84="STL",Pricing!$D$38,IF(A84="",0,IF(A84&lt;Pricing!$C$25,Pricing!$D$25,VLOOKUP(Disbursements!$F84,Pricing!$B$29:$D$32,3))))</f>
        <v>10000</v>
      </c>
      <c r="M84" s="528">
        <f>IF(E84="STL",0,IF(F84&gt;0,Pricing!$D$21,0))</f>
        <v>5000</v>
      </c>
      <c r="N84" s="529">
        <f>IF(E84="STL",F84*Pricing!$D$40,IF(A84&lt;=Pricing!$C$4,0,IF(AND(A84&gt;Pricing!$C$4,Disbursements!A84&lt;=Pricing!$C$5),F84*Pricing!$E$5,IF(AND(A84&gt;Pricing!$C$5,Disbursements!A84&lt;=Pricing!$C$7),VLOOKUP(F84,Pricing!$D$7:$E$8,2)*Disbursements!F84,F84*Pricing!$E$9))))</f>
        <v>0</v>
      </c>
      <c r="O84" s="528">
        <f>IF(E84="STL",0,IF($F84&gt;0,$F84*Pricing!$D$17,0))</f>
        <v>60000</v>
      </c>
      <c r="P84" s="530">
        <f t="shared" si="48"/>
        <v>120000</v>
      </c>
      <c r="Q84" s="531">
        <f>IF($A84="","",$G84/VLOOKUP($I84,Ref!$B$23:$D$29,2,0))</f>
        <v>4</v>
      </c>
      <c r="R84" s="530">
        <f t="shared" si="49"/>
        <v>720000</v>
      </c>
      <c r="S84" s="532">
        <f t="shared" si="43"/>
        <v>180000</v>
      </c>
      <c r="T84" s="531">
        <f t="shared" si="50"/>
        <v>180000</v>
      </c>
      <c r="U84" s="533">
        <f t="shared" si="51"/>
        <v>720000</v>
      </c>
      <c r="V84" s="531">
        <f t="shared" si="52"/>
        <v>150000</v>
      </c>
      <c r="W84" s="531">
        <f t="shared" si="53"/>
        <v>30000</v>
      </c>
      <c r="X84" s="534">
        <f t="shared" si="54"/>
        <v>120000</v>
      </c>
      <c r="Y84" s="535">
        <f>IF($A84="","",IF($I84="weekly",$A84+7,EDATE($A84,VLOOKUP($I84,Ref!$B$24:$C$29,2,0))))</f>
        <v>44405</v>
      </c>
      <c r="Z84" s="536" t="str">
        <f t="shared" si="55"/>
        <v>Wed</v>
      </c>
      <c r="AA84" s="531">
        <f t="shared" si="56"/>
        <v>30</v>
      </c>
      <c r="AB84" s="535">
        <f t="shared" si="44"/>
        <v>44497</v>
      </c>
      <c r="AC84" s="537">
        <f t="shared" si="45"/>
        <v>122</v>
      </c>
      <c r="AD84" s="538" t="str">
        <f t="shared" ca="1" si="46"/>
        <v>Expired</v>
      </c>
      <c r="AE84" s="537">
        <f t="shared" ca="1" si="47"/>
        <v>0</v>
      </c>
      <c r="AF84" s="539">
        <f t="shared" ca="1" si="57"/>
        <v>4</v>
      </c>
      <c r="AG84" s="531">
        <f t="shared" ca="1" si="58"/>
        <v>720000</v>
      </c>
      <c r="AH84" s="531">
        <f t="shared" ca="1" si="59"/>
        <v>120000</v>
      </c>
      <c r="AI84" s="531">
        <f t="shared" ca="1" si="60"/>
        <v>600000</v>
      </c>
      <c r="AJ84" s="531">
        <f t="shared" ca="1" si="61"/>
        <v>0</v>
      </c>
      <c r="AK84" s="540">
        <f>SUMIFS('Live Collections'!$S:$S,'Live Collections'!$D:$D,Disbursements!B84,'Live Collections'!$G:$G,Disbursements!C84)</f>
        <v>120000</v>
      </c>
      <c r="AL84" s="540">
        <f>SUMIFS('Live Collections'!$T:$T,'Live Collections'!$D:$D,Disbursements!B84,'Live Collections'!$G:$G,Disbursements!C84)</f>
        <v>600000</v>
      </c>
      <c r="AM84" s="541">
        <f t="shared" si="62"/>
        <v>720000</v>
      </c>
      <c r="AN84" s="542">
        <f t="shared" si="63"/>
        <v>0</v>
      </c>
      <c r="AO84" s="542">
        <f t="shared" si="64"/>
        <v>0</v>
      </c>
      <c r="AP84" s="543">
        <f t="shared" si="65"/>
        <v>0</v>
      </c>
      <c r="AQ84" s="544" t="str">
        <f t="shared" ca="1" si="66"/>
        <v/>
      </c>
      <c r="AR84" s="545">
        <f t="shared" ca="1" si="67"/>
        <v>0</v>
      </c>
      <c r="AS84" s="545">
        <f ca="1">IFERROR(CEILING($AR84*VLOOKUP($I84,Ref!$B$23:$E$29,4,0),1),0)</f>
        <v>0</v>
      </c>
      <c r="AT84" s="545" t="str">
        <f>IF(A84="","",IF(AP84&lt;=1,"Cleared",IF(AS84=0,"Clean",VLOOKUP($AS84,Ref!$G$23:$H$28,2))))</f>
        <v>Cleared</v>
      </c>
      <c r="AU84" s="546" t="str">
        <f t="shared" si="68"/>
        <v>Ok</v>
      </c>
    </row>
    <row r="85" spans="1:47" ht="15" customHeight="1" x14ac:dyDescent="0.15">
      <c r="A85" s="553">
        <v>44375</v>
      </c>
      <c r="B85" s="523">
        <v>98</v>
      </c>
      <c r="C85" s="523">
        <v>81</v>
      </c>
      <c r="D85" s="523">
        <v>1</v>
      </c>
      <c r="E85" s="523" t="s">
        <v>1274</v>
      </c>
      <c r="F85" s="554">
        <v>500000</v>
      </c>
      <c r="G85" s="524">
        <v>4</v>
      </c>
      <c r="H85" s="555">
        <v>0.05</v>
      </c>
      <c r="I85" s="560" t="s">
        <v>859</v>
      </c>
      <c r="J85" s="523" t="s">
        <v>864</v>
      </c>
      <c r="K85" s="528" t="str">
        <f>IFERROR(VLOOKUP($B85,'Clients-Live'!$A:$C,3,0),"")</f>
        <v>AMANIYO CLARA</v>
      </c>
      <c r="L85" s="528">
        <f>IF(E85="STL",Pricing!$D$38,IF(A85="",0,IF(A85&lt;Pricing!$C$25,Pricing!$D$25,VLOOKUP(Disbursements!$F85,Pricing!$B$29:$D$32,3))))</f>
        <v>10000</v>
      </c>
      <c r="M85" s="528">
        <f>IF(E85="STL",0,IF(F85&gt;0,Pricing!$D$21,0))</f>
        <v>5000</v>
      </c>
      <c r="N85" s="529">
        <f>IF(E85="STL",F85*Pricing!$D$40,IF(A85&lt;=Pricing!$C$4,0,IF(AND(A85&gt;Pricing!$C$4,Disbursements!A85&lt;=Pricing!$C$5),F85*Pricing!$E$5,IF(AND(A85&gt;Pricing!$C$5,Disbursements!A85&lt;=Pricing!$C$7),VLOOKUP(F85,Pricing!$D$7:$E$8,2)*Disbursements!F85,F85*Pricing!$E$9))))</f>
        <v>0</v>
      </c>
      <c r="O85" s="528">
        <f>IF(E85="STL",0,IF($F85&gt;0,$F85*Pricing!$D$17,0))</f>
        <v>50000</v>
      </c>
      <c r="P85" s="530">
        <f t="shared" si="48"/>
        <v>100000</v>
      </c>
      <c r="Q85" s="531">
        <f>IF($A85="","",$G85/VLOOKUP($I85,Ref!$B$23:$D$29,2,0))</f>
        <v>4</v>
      </c>
      <c r="R85" s="530">
        <f t="shared" si="49"/>
        <v>600000</v>
      </c>
      <c r="S85" s="532">
        <f t="shared" si="43"/>
        <v>150000</v>
      </c>
      <c r="T85" s="531">
        <f t="shared" si="50"/>
        <v>150000</v>
      </c>
      <c r="U85" s="533">
        <f t="shared" si="51"/>
        <v>600000</v>
      </c>
      <c r="V85" s="531">
        <f t="shared" si="52"/>
        <v>125000</v>
      </c>
      <c r="W85" s="531">
        <f t="shared" si="53"/>
        <v>25000</v>
      </c>
      <c r="X85" s="534">
        <f t="shared" si="54"/>
        <v>100000</v>
      </c>
      <c r="Y85" s="535">
        <f>IF($A85="","",IF($I85="weekly",$A85+7,EDATE($A85,VLOOKUP($I85,Ref!$B$24:$C$29,2,0))))</f>
        <v>44405</v>
      </c>
      <c r="Z85" s="536" t="str">
        <f t="shared" si="55"/>
        <v>Wed</v>
      </c>
      <c r="AA85" s="531">
        <f t="shared" si="56"/>
        <v>30</v>
      </c>
      <c r="AB85" s="535">
        <f t="shared" si="44"/>
        <v>44497</v>
      </c>
      <c r="AC85" s="537">
        <f t="shared" si="45"/>
        <v>122</v>
      </c>
      <c r="AD85" s="538" t="str">
        <f t="shared" ca="1" si="46"/>
        <v>Expired</v>
      </c>
      <c r="AE85" s="537">
        <f t="shared" ca="1" si="47"/>
        <v>0</v>
      </c>
      <c r="AF85" s="539">
        <f t="shared" ca="1" si="57"/>
        <v>4</v>
      </c>
      <c r="AG85" s="531">
        <f t="shared" ca="1" si="58"/>
        <v>600000</v>
      </c>
      <c r="AH85" s="531">
        <f t="shared" ca="1" si="59"/>
        <v>100000</v>
      </c>
      <c r="AI85" s="531">
        <f t="shared" ca="1" si="60"/>
        <v>500000</v>
      </c>
      <c r="AJ85" s="531">
        <f t="shared" ca="1" si="61"/>
        <v>0</v>
      </c>
      <c r="AK85" s="540">
        <f>SUMIFS('Live Collections'!$S:$S,'Live Collections'!$D:$D,Disbursements!B85,'Live Collections'!$G:$G,Disbursements!C85)</f>
        <v>100000</v>
      </c>
      <c r="AL85" s="540">
        <f>SUMIFS('Live Collections'!$T:$T,'Live Collections'!$D:$D,Disbursements!B85,'Live Collections'!$G:$G,Disbursements!C85)</f>
        <v>500000</v>
      </c>
      <c r="AM85" s="541">
        <f t="shared" si="62"/>
        <v>600000</v>
      </c>
      <c r="AN85" s="542">
        <f t="shared" si="63"/>
        <v>0</v>
      </c>
      <c r="AO85" s="542">
        <f t="shared" si="64"/>
        <v>0</v>
      </c>
      <c r="AP85" s="543">
        <f t="shared" si="65"/>
        <v>0</v>
      </c>
      <c r="AQ85" s="544" t="str">
        <f t="shared" ca="1" si="66"/>
        <v/>
      </c>
      <c r="AR85" s="545">
        <f t="shared" ca="1" si="67"/>
        <v>0</v>
      </c>
      <c r="AS85" s="545">
        <f ca="1">IFERROR(CEILING($AR85*VLOOKUP($I85,Ref!$B$23:$E$29,4,0),1),0)</f>
        <v>0</v>
      </c>
      <c r="AT85" s="545" t="str">
        <f>IF(A85="","",IF(AP85&lt;=1,"Cleared",IF(AS85=0,"Clean",VLOOKUP($AS85,Ref!$G$23:$H$28,2))))</f>
        <v>Cleared</v>
      </c>
      <c r="AU85" s="546" t="str">
        <f t="shared" si="68"/>
        <v>Ok</v>
      </c>
    </row>
    <row r="86" spans="1:47" ht="15" customHeight="1" x14ac:dyDescent="0.15">
      <c r="A86" s="553">
        <v>44375</v>
      </c>
      <c r="B86" s="523">
        <v>99</v>
      </c>
      <c r="C86" s="523">
        <v>83</v>
      </c>
      <c r="D86" s="523">
        <v>1</v>
      </c>
      <c r="E86" s="523" t="s">
        <v>1274</v>
      </c>
      <c r="F86" s="554">
        <v>600000</v>
      </c>
      <c r="G86" s="524">
        <v>5</v>
      </c>
      <c r="H86" s="555">
        <v>0.05</v>
      </c>
      <c r="I86" s="560" t="s">
        <v>859</v>
      </c>
      <c r="J86" s="523" t="s">
        <v>863</v>
      </c>
      <c r="K86" s="528" t="str">
        <f>IFERROR(VLOOKUP($B86,'Clients-Live'!$A:$C,3,0),"")</f>
        <v>SIJALI ASINA SIS</v>
      </c>
      <c r="L86" s="528">
        <f>IF(E86="STL",Pricing!$D$38,IF(A86="",0,IF(A86&lt;Pricing!$C$25,Pricing!$D$25,VLOOKUP(Disbursements!$F86,Pricing!$B$29:$D$32,3))))</f>
        <v>10000</v>
      </c>
      <c r="M86" s="528">
        <f>IF(E86="STL",0,IF(F86&gt;0,Pricing!$D$21,0))</f>
        <v>5000</v>
      </c>
      <c r="N86" s="529">
        <f>IF(E86="STL",F86*Pricing!$D$40,IF(A86&lt;=Pricing!$C$4,0,IF(AND(A86&gt;Pricing!$C$4,Disbursements!A86&lt;=Pricing!$C$5),F86*Pricing!$E$5,IF(AND(A86&gt;Pricing!$C$5,Disbursements!A86&lt;=Pricing!$C$7),VLOOKUP(F86,Pricing!$D$7:$E$8,2)*Disbursements!F86,F86*Pricing!$E$9))))</f>
        <v>0</v>
      </c>
      <c r="O86" s="528">
        <f>IF(E86="STL",0,IF($F86&gt;0,$F86*Pricing!$D$17,0))</f>
        <v>60000</v>
      </c>
      <c r="P86" s="530">
        <f t="shared" si="48"/>
        <v>150000</v>
      </c>
      <c r="Q86" s="531">
        <f>IF($A86="","",$G86/VLOOKUP($I86,Ref!$B$23:$D$29,2,0))</f>
        <v>5</v>
      </c>
      <c r="R86" s="530">
        <f t="shared" si="49"/>
        <v>750000</v>
      </c>
      <c r="S86" s="532">
        <f t="shared" si="43"/>
        <v>150000</v>
      </c>
      <c r="T86" s="531">
        <f t="shared" si="50"/>
        <v>150000</v>
      </c>
      <c r="U86" s="533">
        <f t="shared" si="51"/>
        <v>750000</v>
      </c>
      <c r="V86" s="531">
        <f t="shared" si="52"/>
        <v>120000</v>
      </c>
      <c r="W86" s="531">
        <f t="shared" si="53"/>
        <v>30000</v>
      </c>
      <c r="X86" s="534">
        <f t="shared" si="54"/>
        <v>150000</v>
      </c>
      <c r="Y86" s="535">
        <f>IF($A86="","",IF($I86="weekly",$A86+7,EDATE($A86,VLOOKUP($I86,Ref!$B$24:$C$29,2,0))))</f>
        <v>44405</v>
      </c>
      <c r="Z86" s="536" t="str">
        <f t="shared" si="55"/>
        <v>Wed</v>
      </c>
      <c r="AA86" s="531">
        <f t="shared" si="56"/>
        <v>30</v>
      </c>
      <c r="AB86" s="535">
        <f t="shared" si="44"/>
        <v>44528</v>
      </c>
      <c r="AC86" s="537">
        <f t="shared" si="45"/>
        <v>153</v>
      </c>
      <c r="AD86" s="538" t="str">
        <f t="shared" ca="1" si="46"/>
        <v>Expired</v>
      </c>
      <c r="AE86" s="537">
        <f t="shared" ca="1" si="47"/>
        <v>0</v>
      </c>
      <c r="AF86" s="539">
        <f t="shared" ca="1" si="57"/>
        <v>5</v>
      </c>
      <c r="AG86" s="531">
        <f t="shared" ca="1" si="58"/>
        <v>750000</v>
      </c>
      <c r="AH86" s="531">
        <f t="shared" ca="1" si="59"/>
        <v>150000</v>
      </c>
      <c r="AI86" s="531">
        <f t="shared" ca="1" si="60"/>
        <v>600000</v>
      </c>
      <c r="AJ86" s="531">
        <f t="shared" ca="1" si="61"/>
        <v>0</v>
      </c>
      <c r="AK86" s="540">
        <f>SUMIFS('Live Collections'!$S:$S,'Live Collections'!$D:$D,Disbursements!B86,'Live Collections'!$G:$G,Disbursements!C86)</f>
        <v>150000</v>
      </c>
      <c r="AL86" s="540">
        <f>SUMIFS('Live Collections'!$T:$T,'Live Collections'!$D:$D,Disbursements!B86,'Live Collections'!$G:$G,Disbursements!C86)</f>
        <v>600000</v>
      </c>
      <c r="AM86" s="541">
        <f t="shared" si="62"/>
        <v>750000</v>
      </c>
      <c r="AN86" s="542">
        <f t="shared" si="63"/>
        <v>0</v>
      </c>
      <c r="AO86" s="542">
        <f t="shared" si="64"/>
        <v>0</v>
      </c>
      <c r="AP86" s="543">
        <f t="shared" si="65"/>
        <v>0</v>
      </c>
      <c r="AQ86" s="544" t="str">
        <f t="shared" ca="1" si="66"/>
        <v/>
      </c>
      <c r="AR86" s="545">
        <f t="shared" ca="1" si="67"/>
        <v>0</v>
      </c>
      <c r="AS86" s="545">
        <f ca="1">IFERROR(CEILING($AR86*VLOOKUP($I86,Ref!$B$23:$E$29,4,0),1),0)</f>
        <v>0</v>
      </c>
      <c r="AT86" s="545" t="str">
        <f>IF(A86="","",IF(AP86&lt;=1,"Cleared",IF(AS86=0,"Clean",VLOOKUP($AS86,Ref!$G$23:$H$28,2))))</f>
        <v>Cleared</v>
      </c>
      <c r="AU86" s="546" t="str">
        <f t="shared" si="68"/>
        <v>Ok</v>
      </c>
    </row>
    <row r="87" spans="1:47" ht="15" customHeight="1" x14ac:dyDescent="0.15">
      <c r="A87" s="566">
        <v>44375</v>
      </c>
      <c r="B87" s="548">
        <v>100</v>
      </c>
      <c r="C87" s="523">
        <v>82</v>
      </c>
      <c r="D87" s="523">
        <v>1</v>
      </c>
      <c r="E87" s="523" t="s">
        <v>1274</v>
      </c>
      <c r="F87" s="549">
        <v>300000</v>
      </c>
      <c r="G87" s="563">
        <v>4</v>
      </c>
      <c r="H87" s="550">
        <v>0.05</v>
      </c>
      <c r="I87" s="562" t="s">
        <v>859</v>
      </c>
      <c r="J87" s="548" t="s">
        <v>864</v>
      </c>
      <c r="K87" s="528" t="str">
        <f>IFERROR(VLOOKUP($B87,'Clients-Live'!$A:$C,3,0),"")</f>
        <v>LETAYO DORCUS</v>
      </c>
      <c r="L87" s="528">
        <f>IF(E87="STL",Pricing!$D$38,IF(A87="",0,IF(A87&lt;Pricing!$C$25,Pricing!$D$25,VLOOKUP(Disbursements!$F87,Pricing!$B$29:$D$32,3))))</f>
        <v>10000</v>
      </c>
      <c r="M87" s="528">
        <f>IF(E87="STL",0,IF(F87&gt;0,Pricing!$D$21,0))</f>
        <v>5000</v>
      </c>
      <c r="N87" s="529">
        <f>IF(E87="STL",F87*Pricing!$D$40,IF(A87&lt;=Pricing!$C$4,0,IF(AND(A87&gt;Pricing!$C$4,Disbursements!A87&lt;=Pricing!$C$5),F87*Pricing!$E$5,IF(AND(A87&gt;Pricing!$C$5,Disbursements!A87&lt;=Pricing!$C$7),VLOOKUP(F87,Pricing!$D$7:$E$8,2)*Disbursements!F87,F87*Pricing!$E$9))))</f>
        <v>0</v>
      </c>
      <c r="O87" s="528">
        <f>IF(E87="STL",0,IF($F87&gt;0,$F87*Pricing!$D$17,0))</f>
        <v>30000</v>
      </c>
      <c r="P87" s="530">
        <f t="shared" si="48"/>
        <v>60000</v>
      </c>
      <c r="Q87" s="531">
        <f>IF($A87="","",$G87/VLOOKUP($I87,Ref!$B$23:$D$29,2,0))</f>
        <v>4</v>
      </c>
      <c r="R87" s="530">
        <f t="shared" si="49"/>
        <v>360000</v>
      </c>
      <c r="S87" s="532">
        <f t="shared" si="43"/>
        <v>90000</v>
      </c>
      <c r="T87" s="531">
        <f t="shared" si="50"/>
        <v>90000</v>
      </c>
      <c r="U87" s="533">
        <f t="shared" si="51"/>
        <v>360000</v>
      </c>
      <c r="V87" s="531">
        <f t="shared" si="52"/>
        <v>75000</v>
      </c>
      <c r="W87" s="531">
        <f t="shared" si="53"/>
        <v>15000</v>
      </c>
      <c r="X87" s="534">
        <f t="shared" si="54"/>
        <v>60000</v>
      </c>
      <c r="Y87" s="535">
        <f>IF($A87="","",IF($I87="weekly",$A87+7,EDATE($A87,VLOOKUP($I87,Ref!$B$24:$C$29,2,0))))</f>
        <v>44405</v>
      </c>
      <c r="Z87" s="536" t="str">
        <f t="shared" si="55"/>
        <v>Wed</v>
      </c>
      <c r="AA87" s="531">
        <f t="shared" si="56"/>
        <v>30</v>
      </c>
      <c r="AB87" s="535">
        <f t="shared" si="44"/>
        <v>44497</v>
      </c>
      <c r="AC87" s="537">
        <f t="shared" si="45"/>
        <v>122</v>
      </c>
      <c r="AD87" s="538" t="str">
        <f t="shared" ca="1" si="46"/>
        <v>Expired</v>
      </c>
      <c r="AE87" s="537">
        <f t="shared" ca="1" si="47"/>
        <v>0</v>
      </c>
      <c r="AF87" s="539">
        <f t="shared" ca="1" si="57"/>
        <v>4</v>
      </c>
      <c r="AG87" s="531">
        <f t="shared" ca="1" si="58"/>
        <v>360000</v>
      </c>
      <c r="AH87" s="531">
        <f t="shared" ca="1" si="59"/>
        <v>60000</v>
      </c>
      <c r="AI87" s="531">
        <f t="shared" ca="1" si="60"/>
        <v>300000</v>
      </c>
      <c r="AJ87" s="531">
        <f t="shared" ca="1" si="61"/>
        <v>0</v>
      </c>
      <c r="AK87" s="540">
        <f>SUMIFS('Live Collections'!$S:$S,'Live Collections'!$D:$D,Disbursements!B87,'Live Collections'!$G:$G,Disbursements!C87)</f>
        <v>60000</v>
      </c>
      <c r="AL87" s="540">
        <f>SUMIFS('Live Collections'!$T:$T,'Live Collections'!$D:$D,Disbursements!B87,'Live Collections'!$G:$G,Disbursements!C87)</f>
        <v>300000</v>
      </c>
      <c r="AM87" s="541">
        <f t="shared" si="62"/>
        <v>360000</v>
      </c>
      <c r="AN87" s="542">
        <f t="shared" si="63"/>
        <v>0</v>
      </c>
      <c r="AO87" s="542">
        <f t="shared" si="64"/>
        <v>0</v>
      </c>
      <c r="AP87" s="543">
        <f t="shared" si="65"/>
        <v>0</v>
      </c>
      <c r="AQ87" s="544" t="str">
        <f t="shared" ca="1" si="66"/>
        <v/>
      </c>
      <c r="AR87" s="545">
        <f t="shared" ca="1" si="67"/>
        <v>0</v>
      </c>
      <c r="AS87" s="545">
        <f ca="1">IFERROR(CEILING($AR87*VLOOKUP($I87,Ref!$B$23:$E$29,4,0),1),0)</f>
        <v>0</v>
      </c>
      <c r="AT87" s="545" t="str">
        <f>IF(A87="","",IF(AP87&lt;=1,"Cleared",IF(AS87=0,"Clean",VLOOKUP($AS87,Ref!$G$23:$H$28,2))))</f>
        <v>Cleared</v>
      </c>
      <c r="AU87" s="546" t="str">
        <f t="shared" si="68"/>
        <v>Ok</v>
      </c>
    </row>
    <row r="88" spans="1:47" ht="15" customHeight="1" x14ac:dyDescent="0.15">
      <c r="A88" s="553">
        <v>44375</v>
      </c>
      <c r="B88" s="523">
        <v>94</v>
      </c>
      <c r="C88" s="523">
        <v>84</v>
      </c>
      <c r="D88" s="523">
        <v>1</v>
      </c>
      <c r="E88" s="523" t="s">
        <v>1274</v>
      </c>
      <c r="F88" s="569">
        <v>400000</v>
      </c>
      <c r="G88" s="524">
        <v>4</v>
      </c>
      <c r="H88" s="555">
        <v>0.05</v>
      </c>
      <c r="I88" s="560" t="s">
        <v>859</v>
      </c>
      <c r="J88" s="523" t="s">
        <v>864</v>
      </c>
      <c r="K88" s="528" t="str">
        <f>IFERROR(VLOOKUP($B88,'Clients-Live'!$A:$C,3,0),"")</f>
        <v>NGINYA RICHARD</v>
      </c>
      <c r="L88" s="528">
        <f>IF(E88="STL",Pricing!$D$38,IF(A88="",0,IF(A88&lt;Pricing!$C$25,Pricing!$D$25,VLOOKUP(Disbursements!$F88,Pricing!$B$29:$D$32,3))))</f>
        <v>10000</v>
      </c>
      <c r="M88" s="528">
        <f>IF(E88="STL",0,IF(F88&gt;0,Pricing!$D$21,0))</f>
        <v>5000</v>
      </c>
      <c r="N88" s="529">
        <f>IF(E88="STL",F88*Pricing!$D$40,IF(A88&lt;=Pricing!$C$4,0,IF(AND(A88&gt;Pricing!$C$4,Disbursements!A88&lt;=Pricing!$C$5),F88*Pricing!$E$5,IF(AND(A88&gt;Pricing!$C$5,Disbursements!A88&lt;=Pricing!$C$7),VLOOKUP(F88,Pricing!$D$7:$E$8,2)*Disbursements!F88,F88*Pricing!$E$9))))</f>
        <v>0</v>
      </c>
      <c r="O88" s="528">
        <f>IF(E88="STL",0,IF($F88&gt;0,$F88*Pricing!$D$17,0))</f>
        <v>40000</v>
      </c>
      <c r="P88" s="530">
        <f t="shared" si="48"/>
        <v>80000</v>
      </c>
      <c r="Q88" s="531">
        <f>IF($A88="","",$G88/VLOOKUP($I88,Ref!$B$23:$D$29,2,0))</f>
        <v>4</v>
      </c>
      <c r="R88" s="530">
        <f t="shared" si="49"/>
        <v>480000</v>
      </c>
      <c r="S88" s="532">
        <f t="shared" si="43"/>
        <v>120000</v>
      </c>
      <c r="T88" s="531">
        <f t="shared" si="50"/>
        <v>120000</v>
      </c>
      <c r="U88" s="533">
        <f t="shared" si="51"/>
        <v>480000</v>
      </c>
      <c r="V88" s="531">
        <f t="shared" si="52"/>
        <v>100000</v>
      </c>
      <c r="W88" s="531">
        <f t="shared" si="53"/>
        <v>20000</v>
      </c>
      <c r="X88" s="534">
        <f t="shared" si="54"/>
        <v>80000</v>
      </c>
      <c r="Y88" s="535">
        <f>IF($A88="","",IF($I88="weekly",$A88+7,EDATE($A88,VLOOKUP($I88,Ref!$B$24:$C$29,2,0))))</f>
        <v>44405</v>
      </c>
      <c r="Z88" s="536" t="str">
        <f t="shared" si="55"/>
        <v>Wed</v>
      </c>
      <c r="AA88" s="531">
        <f t="shared" si="56"/>
        <v>30</v>
      </c>
      <c r="AB88" s="535">
        <f t="shared" si="44"/>
        <v>44497</v>
      </c>
      <c r="AC88" s="537">
        <f t="shared" si="45"/>
        <v>122</v>
      </c>
      <c r="AD88" s="538" t="str">
        <f t="shared" ca="1" si="46"/>
        <v>Expired</v>
      </c>
      <c r="AE88" s="537">
        <f t="shared" ca="1" si="47"/>
        <v>0</v>
      </c>
      <c r="AF88" s="539">
        <f t="shared" ca="1" si="57"/>
        <v>4</v>
      </c>
      <c r="AG88" s="531">
        <f t="shared" ca="1" si="58"/>
        <v>480000</v>
      </c>
      <c r="AH88" s="531">
        <f t="shared" ca="1" si="59"/>
        <v>80000</v>
      </c>
      <c r="AI88" s="531">
        <f t="shared" ca="1" si="60"/>
        <v>400000</v>
      </c>
      <c r="AJ88" s="531">
        <f t="shared" ca="1" si="61"/>
        <v>0</v>
      </c>
      <c r="AK88" s="540">
        <f>SUMIFS('Live Collections'!$S:$S,'Live Collections'!$D:$D,Disbursements!B88,'Live Collections'!$G:$G,Disbursements!C88)</f>
        <v>80000</v>
      </c>
      <c r="AL88" s="540">
        <f>SUMIFS('Live Collections'!$T:$T,'Live Collections'!$D:$D,Disbursements!B88,'Live Collections'!$G:$G,Disbursements!C88)</f>
        <v>400000</v>
      </c>
      <c r="AM88" s="541">
        <f t="shared" si="62"/>
        <v>480000</v>
      </c>
      <c r="AN88" s="542">
        <f t="shared" si="63"/>
        <v>0</v>
      </c>
      <c r="AO88" s="542">
        <f t="shared" si="64"/>
        <v>0</v>
      </c>
      <c r="AP88" s="543">
        <f t="shared" si="65"/>
        <v>0</v>
      </c>
      <c r="AQ88" s="544" t="str">
        <f t="shared" ca="1" si="66"/>
        <v/>
      </c>
      <c r="AR88" s="545">
        <f t="shared" ca="1" si="67"/>
        <v>0</v>
      </c>
      <c r="AS88" s="545">
        <f ca="1">IFERROR(CEILING($AR88*VLOOKUP($I88,Ref!$B$23:$E$29,4,0),1),0)</f>
        <v>0</v>
      </c>
      <c r="AT88" s="545" t="str">
        <f>IF(A88="","",IF(AP88&lt;=1,"Cleared",IF(AS88=0,"Clean",VLOOKUP($AS88,Ref!$G$23:$H$28,2))))</f>
        <v>Cleared</v>
      </c>
      <c r="AU88" s="546" t="str">
        <f t="shared" si="68"/>
        <v>Ok</v>
      </c>
    </row>
    <row r="89" spans="1:47" ht="15" customHeight="1" x14ac:dyDescent="0.15">
      <c r="A89" s="553">
        <v>44375</v>
      </c>
      <c r="B89" s="523">
        <v>103</v>
      </c>
      <c r="C89" s="523">
        <v>88</v>
      </c>
      <c r="D89" s="523">
        <v>1</v>
      </c>
      <c r="E89" s="523" t="s">
        <v>1274</v>
      </c>
      <c r="F89" s="569">
        <v>400000</v>
      </c>
      <c r="G89" s="524">
        <v>4</v>
      </c>
      <c r="H89" s="555">
        <v>0.05</v>
      </c>
      <c r="I89" s="560" t="s">
        <v>859</v>
      </c>
      <c r="J89" s="523" t="s">
        <v>863</v>
      </c>
      <c r="K89" s="528" t="str">
        <f>IFERROR(VLOOKUP($B89,'Clients-Live'!$A:$C,3,0),"")</f>
        <v>CHANDIRU ZABIB</v>
      </c>
      <c r="L89" s="528">
        <f>IF(E89="STL",Pricing!$D$38,IF(A89="",0,IF(A89&lt;Pricing!$C$25,Pricing!$D$25,VLOOKUP(Disbursements!$F89,Pricing!$B$29:$D$32,3))))</f>
        <v>10000</v>
      </c>
      <c r="M89" s="528">
        <f>IF(E89="STL",0,IF(F89&gt;0,Pricing!$D$21,0))</f>
        <v>5000</v>
      </c>
      <c r="N89" s="529">
        <f>IF(E89="STL",F89*Pricing!$D$40,IF(A89&lt;=Pricing!$C$4,0,IF(AND(A89&gt;Pricing!$C$4,Disbursements!A89&lt;=Pricing!$C$5),F89*Pricing!$E$5,IF(AND(A89&gt;Pricing!$C$5,Disbursements!A89&lt;=Pricing!$C$7),VLOOKUP(F89,Pricing!$D$7:$E$8,2)*Disbursements!F89,F89*Pricing!$E$9))))</f>
        <v>0</v>
      </c>
      <c r="O89" s="528">
        <f>IF(E89="STL",0,IF($F89&gt;0,$F89*Pricing!$D$17,0))</f>
        <v>40000</v>
      </c>
      <c r="P89" s="530">
        <f t="shared" si="48"/>
        <v>80000</v>
      </c>
      <c r="Q89" s="531">
        <f>IF($A89="","",$G89/VLOOKUP($I89,Ref!$B$23:$D$29,2,0))</f>
        <v>4</v>
      </c>
      <c r="R89" s="530">
        <f t="shared" si="49"/>
        <v>480000</v>
      </c>
      <c r="S89" s="532">
        <f t="shared" si="43"/>
        <v>120000</v>
      </c>
      <c r="T89" s="531">
        <f t="shared" si="50"/>
        <v>120000</v>
      </c>
      <c r="U89" s="533">
        <f t="shared" si="51"/>
        <v>480000</v>
      </c>
      <c r="V89" s="531">
        <f t="shared" si="52"/>
        <v>100000</v>
      </c>
      <c r="W89" s="531">
        <f t="shared" si="53"/>
        <v>20000</v>
      </c>
      <c r="X89" s="534">
        <f t="shared" si="54"/>
        <v>80000</v>
      </c>
      <c r="Y89" s="535">
        <f>IF($A89="","",IF($I89="weekly",$A89+7,EDATE($A89,VLOOKUP($I89,Ref!$B$24:$C$29,2,0))))</f>
        <v>44405</v>
      </c>
      <c r="Z89" s="536" t="str">
        <f t="shared" si="55"/>
        <v>Wed</v>
      </c>
      <c r="AA89" s="531">
        <f t="shared" si="56"/>
        <v>30</v>
      </c>
      <c r="AB89" s="535">
        <f t="shared" si="44"/>
        <v>44497</v>
      </c>
      <c r="AC89" s="537">
        <f t="shared" si="45"/>
        <v>122</v>
      </c>
      <c r="AD89" s="538" t="str">
        <f t="shared" ca="1" si="46"/>
        <v>Expired</v>
      </c>
      <c r="AE89" s="537">
        <f t="shared" ca="1" si="47"/>
        <v>0</v>
      </c>
      <c r="AF89" s="539">
        <f t="shared" ca="1" si="57"/>
        <v>4</v>
      </c>
      <c r="AG89" s="531">
        <f t="shared" ca="1" si="58"/>
        <v>480000</v>
      </c>
      <c r="AH89" s="531">
        <f t="shared" ca="1" si="59"/>
        <v>80000</v>
      </c>
      <c r="AI89" s="531">
        <f t="shared" ca="1" si="60"/>
        <v>400000</v>
      </c>
      <c r="AJ89" s="531">
        <f t="shared" ca="1" si="61"/>
        <v>0</v>
      </c>
      <c r="AK89" s="540">
        <f>SUMIFS('Live Collections'!$S:$S,'Live Collections'!$D:$D,Disbursements!B89,'Live Collections'!$G:$G,Disbursements!C89)</f>
        <v>80000</v>
      </c>
      <c r="AL89" s="540">
        <f>SUMIFS('Live Collections'!$T:$T,'Live Collections'!$D:$D,Disbursements!B89,'Live Collections'!$G:$G,Disbursements!C89)</f>
        <v>400000</v>
      </c>
      <c r="AM89" s="541">
        <f t="shared" si="62"/>
        <v>480000</v>
      </c>
      <c r="AN89" s="542">
        <f t="shared" si="63"/>
        <v>0</v>
      </c>
      <c r="AO89" s="542">
        <f t="shared" si="64"/>
        <v>0</v>
      </c>
      <c r="AP89" s="543">
        <f t="shared" si="65"/>
        <v>0</v>
      </c>
      <c r="AQ89" s="544" t="str">
        <f t="shared" ca="1" si="66"/>
        <v/>
      </c>
      <c r="AR89" s="545">
        <f t="shared" ca="1" si="67"/>
        <v>0</v>
      </c>
      <c r="AS89" s="545">
        <f ca="1">IFERROR(CEILING($AR89*VLOOKUP($I89,Ref!$B$23:$E$29,4,0),1),0)</f>
        <v>0</v>
      </c>
      <c r="AT89" s="545" t="str">
        <f>IF(A89="","",IF(AP89&lt;=1,"Cleared",IF(AS89=0,"Clean",VLOOKUP($AS89,Ref!$G$23:$H$28,2))))</f>
        <v>Cleared</v>
      </c>
      <c r="AU89" s="546" t="str">
        <f t="shared" si="68"/>
        <v>Ok</v>
      </c>
    </row>
    <row r="90" spans="1:47" ht="15" customHeight="1" x14ac:dyDescent="0.15">
      <c r="A90" s="553">
        <v>44377</v>
      </c>
      <c r="B90" s="523">
        <v>104</v>
      </c>
      <c r="C90" s="523">
        <v>86</v>
      </c>
      <c r="D90" s="523">
        <v>1</v>
      </c>
      <c r="E90" s="523" t="s">
        <v>1274</v>
      </c>
      <c r="F90" s="569">
        <v>500000</v>
      </c>
      <c r="G90" s="524">
        <v>4</v>
      </c>
      <c r="H90" s="555">
        <v>0.05</v>
      </c>
      <c r="I90" s="560" t="s">
        <v>859</v>
      </c>
      <c r="J90" s="523" t="s">
        <v>862</v>
      </c>
      <c r="K90" s="528" t="str">
        <f>IFERROR(VLOOKUP($B90,'Clients-Live'!$A:$C,3,0),"")</f>
        <v>IDIRA ALIMA</v>
      </c>
      <c r="L90" s="528">
        <f>IF(E90="STL",Pricing!$D$38,IF(A90="",0,IF(A90&lt;Pricing!$C$25,Pricing!$D$25,VLOOKUP(Disbursements!$F90,Pricing!$B$29:$D$32,3))))</f>
        <v>10000</v>
      </c>
      <c r="M90" s="528">
        <f>IF(E90="STL",0,IF(F90&gt;0,Pricing!$D$21,0))</f>
        <v>5000</v>
      </c>
      <c r="N90" s="529">
        <f>IF(E90="STL",F90*Pricing!$D$40,IF(A90&lt;=Pricing!$C$4,0,IF(AND(A90&gt;Pricing!$C$4,Disbursements!A90&lt;=Pricing!$C$5),F90*Pricing!$E$5,IF(AND(A90&gt;Pricing!$C$5,Disbursements!A90&lt;=Pricing!$C$7),VLOOKUP(F90,Pricing!$D$7:$E$8,2)*Disbursements!F90,F90*Pricing!$E$9))))</f>
        <v>0</v>
      </c>
      <c r="O90" s="528">
        <f>IF(E90="STL",0,IF($F90&gt;0,$F90*Pricing!$D$17,0))</f>
        <v>50000</v>
      </c>
      <c r="P90" s="530">
        <f t="shared" si="48"/>
        <v>100000</v>
      </c>
      <c r="Q90" s="531">
        <f>IF($A90="","",$G90/VLOOKUP($I90,Ref!$B$23:$D$29,2,0))</f>
        <v>4</v>
      </c>
      <c r="R90" s="530">
        <f t="shared" si="49"/>
        <v>600000</v>
      </c>
      <c r="S90" s="532">
        <f t="shared" si="43"/>
        <v>150000</v>
      </c>
      <c r="T90" s="531">
        <f t="shared" si="50"/>
        <v>150000</v>
      </c>
      <c r="U90" s="533">
        <f t="shared" si="51"/>
        <v>600000</v>
      </c>
      <c r="V90" s="531">
        <f t="shared" si="52"/>
        <v>125000</v>
      </c>
      <c r="W90" s="531">
        <f t="shared" si="53"/>
        <v>25000</v>
      </c>
      <c r="X90" s="534">
        <f t="shared" si="54"/>
        <v>100000</v>
      </c>
      <c r="Y90" s="535">
        <f>IF($A90="","",IF($I90="weekly",$A90+7,EDATE($A90,VLOOKUP($I90,Ref!$B$24:$C$29,2,0))))</f>
        <v>44407</v>
      </c>
      <c r="Z90" s="536" t="str">
        <f t="shared" si="55"/>
        <v>Frid</v>
      </c>
      <c r="AA90" s="531">
        <f t="shared" si="56"/>
        <v>30</v>
      </c>
      <c r="AB90" s="535">
        <f t="shared" si="44"/>
        <v>44499</v>
      </c>
      <c r="AC90" s="537">
        <f t="shared" si="45"/>
        <v>122</v>
      </c>
      <c r="AD90" s="538" t="str">
        <f t="shared" ca="1" si="46"/>
        <v>Expired</v>
      </c>
      <c r="AE90" s="537">
        <f t="shared" ca="1" si="47"/>
        <v>0</v>
      </c>
      <c r="AF90" s="539">
        <f t="shared" ca="1" si="57"/>
        <v>4</v>
      </c>
      <c r="AG90" s="531">
        <f t="shared" ca="1" si="58"/>
        <v>600000</v>
      </c>
      <c r="AH90" s="531">
        <f t="shared" ca="1" si="59"/>
        <v>100000</v>
      </c>
      <c r="AI90" s="531">
        <f t="shared" ca="1" si="60"/>
        <v>500000</v>
      </c>
      <c r="AJ90" s="531">
        <f t="shared" ca="1" si="61"/>
        <v>0</v>
      </c>
      <c r="AK90" s="540">
        <f>SUMIFS('Live Collections'!$S:$S,'Live Collections'!$D:$D,Disbursements!B90,'Live Collections'!$G:$G,Disbursements!C90)</f>
        <v>100000</v>
      </c>
      <c r="AL90" s="540">
        <f>SUMIFS('Live Collections'!$T:$T,'Live Collections'!$D:$D,Disbursements!B90,'Live Collections'!$G:$G,Disbursements!C90)</f>
        <v>500000</v>
      </c>
      <c r="AM90" s="541">
        <f t="shared" si="62"/>
        <v>600000</v>
      </c>
      <c r="AN90" s="542">
        <f t="shared" si="63"/>
        <v>0</v>
      </c>
      <c r="AO90" s="542">
        <f t="shared" si="64"/>
        <v>0</v>
      </c>
      <c r="AP90" s="543">
        <f t="shared" si="65"/>
        <v>0</v>
      </c>
      <c r="AQ90" s="544" t="str">
        <f t="shared" ca="1" si="66"/>
        <v/>
      </c>
      <c r="AR90" s="545">
        <f t="shared" ca="1" si="67"/>
        <v>0</v>
      </c>
      <c r="AS90" s="545">
        <f ca="1">IFERROR(CEILING($AR90*VLOOKUP($I90,Ref!$B$23:$E$29,4,0),1),0)</f>
        <v>0</v>
      </c>
      <c r="AT90" s="545" t="str">
        <f>IF(A90="","",IF(AP90&lt;=1,"Cleared",IF(AS90=0,"Clean",VLOOKUP($AS90,Ref!$G$23:$H$28,2))))</f>
        <v>Cleared</v>
      </c>
      <c r="AU90" s="546" t="str">
        <f t="shared" si="68"/>
        <v>Ok</v>
      </c>
    </row>
    <row r="91" spans="1:47" ht="15" customHeight="1" x14ac:dyDescent="0.15">
      <c r="A91" s="553">
        <v>44377</v>
      </c>
      <c r="B91" s="523">
        <v>105</v>
      </c>
      <c r="C91" s="523">
        <v>85</v>
      </c>
      <c r="D91" s="523">
        <v>1</v>
      </c>
      <c r="E91" s="523" t="s">
        <v>1274</v>
      </c>
      <c r="F91" s="569">
        <v>300000</v>
      </c>
      <c r="G91" s="524">
        <v>4</v>
      </c>
      <c r="H91" s="555">
        <v>0.05</v>
      </c>
      <c r="I91" s="560" t="s">
        <v>859</v>
      </c>
      <c r="J91" s="523" t="s">
        <v>862</v>
      </c>
      <c r="K91" s="528" t="str">
        <f>IFERROR(VLOOKUP($B91,'Clients-Live'!$A:$C,3,0),"")</f>
        <v>NUKA ROSE</v>
      </c>
      <c r="L91" s="528">
        <f>IF(E91="STL",Pricing!$D$38,IF(A91="",0,IF(A91&lt;Pricing!$C$25,Pricing!$D$25,VLOOKUP(Disbursements!$F91,Pricing!$B$29:$D$32,3))))</f>
        <v>10000</v>
      </c>
      <c r="M91" s="528">
        <f>IF(E91="STL",0,IF(F91&gt;0,Pricing!$D$21,0))</f>
        <v>5000</v>
      </c>
      <c r="N91" s="529">
        <f>IF(E91="STL",F91*Pricing!$D$40,IF(A91&lt;=Pricing!$C$4,0,IF(AND(A91&gt;Pricing!$C$4,Disbursements!A91&lt;=Pricing!$C$5),F91*Pricing!$E$5,IF(AND(A91&gt;Pricing!$C$5,Disbursements!A91&lt;=Pricing!$C$7),VLOOKUP(F91,Pricing!$D$7:$E$8,2)*Disbursements!F91,F91*Pricing!$E$9))))</f>
        <v>0</v>
      </c>
      <c r="O91" s="528">
        <f>IF(E91="STL",0,IF($F91&gt;0,$F91*Pricing!$D$17,0))</f>
        <v>30000</v>
      </c>
      <c r="P91" s="530">
        <f t="shared" si="48"/>
        <v>60000</v>
      </c>
      <c r="Q91" s="531">
        <f>IF($A91="","",$G91/VLOOKUP($I91,Ref!$B$23:$D$29,2,0))</f>
        <v>4</v>
      </c>
      <c r="R91" s="530">
        <f t="shared" si="49"/>
        <v>360000</v>
      </c>
      <c r="S91" s="532">
        <f t="shared" si="43"/>
        <v>90000</v>
      </c>
      <c r="T91" s="531">
        <f t="shared" si="50"/>
        <v>90000</v>
      </c>
      <c r="U91" s="533">
        <f t="shared" si="51"/>
        <v>360000</v>
      </c>
      <c r="V91" s="531">
        <f t="shared" si="52"/>
        <v>75000</v>
      </c>
      <c r="W91" s="531">
        <f t="shared" si="53"/>
        <v>15000</v>
      </c>
      <c r="X91" s="534">
        <f t="shared" si="54"/>
        <v>60000</v>
      </c>
      <c r="Y91" s="535">
        <f>IF($A91="","",IF($I91="weekly",$A91+7,EDATE($A91,VLOOKUP($I91,Ref!$B$24:$C$29,2,0))))</f>
        <v>44407</v>
      </c>
      <c r="Z91" s="536" t="str">
        <f t="shared" si="55"/>
        <v>Frid</v>
      </c>
      <c r="AA91" s="531">
        <f t="shared" si="56"/>
        <v>30</v>
      </c>
      <c r="AB91" s="535">
        <f t="shared" si="44"/>
        <v>44499</v>
      </c>
      <c r="AC91" s="537">
        <f t="shared" si="45"/>
        <v>122</v>
      </c>
      <c r="AD91" s="538" t="str">
        <f t="shared" ca="1" si="46"/>
        <v>Expired</v>
      </c>
      <c r="AE91" s="537">
        <f t="shared" ca="1" si="47"/>
        <v>0</v>
      </c>
      <c r="AF91" s="539">
        <f t="shared" ca="1" si="57"/>
        <v>4</v>
      </c>
      <c r="AG91" s="531">
        <f t="shared" ca="1" si="58"/>
        <v>360000</v>
      </c>
      <c r="AH91" s="531">
        <f t="shared" ca="1" si="59"/>
        <v>60000</v>
      </c>
      <c r="AI91" s="531">
        <f t="shared" ca="1" si="60"/>
        <v>300000</v>
      </c>
      <c r="AJ91" s="531">
        <f t="shared" ca="1" si="61"/>
        <v>0</v>
      </c>
      <c r="AK91" s="540">
        <f>SUMIFS('Live Collections'!$S:$S,'Live Collections'!$D:$D,Disbursements!B91,'Live Collections'!$G:$G,Disbursements!C91)</f>
        <v>60000</v>
      </c>
      <c r="AL91" s="540">
        <f>SUMIFS('Live Collections'!$T:$T,'Live Collections'!$D:$D,Disbursements!B91,'Live Collections'!$G:$G,Disbursements!C91)</f>
        <v>300000</v>
      </c>
      <c r="AM91" s="541">
        <f t="shared" si="62"/>
        <v>360000</v>
      </c>
      <c r="AN91" s="542">
        <f t="shared" si="63"/>
        <v>0</v>
      </c>
      <c r="AO91" s="542">
        <f t="shared" si="64"/>
        <v>0</v>
      </c>
      <c r="AP91" s="543">
        <f t="shared" si="65"/>
        <v>0</v>
      </c>
      <c r="AQ91" s="544" t="str">
        <f t="shared" ca="1" si="66"/>
        <v/>
      </c>
      <c r="AR91" s="545">
        <f t="shared" ca="1" si="67"/>
        <v>0</v>
      </c>
      <c r="AS91" s="545">
        <f ca="1">IFERROR(CEILING($AR91*VLOOKUP($I91,Ref!$B$23:$E$29,4,0),1),0)</f>
        <v>0</v>
      </c>
      <c r="AT91" s="545" t="str">
        <f>IF(A91="","",IF(AP91&lt;=1,"Cleared",IF(AS91=0,"Clean",VLOOKUP($AS91,Ref!$G$23:$H$28,2))))</f>
        <v>Cleared</v>
      </c>
      <c r="AU91" s="546" t="str">
        <f t="shared" si="68"/>
        <v>Ok</v>
      </c>
    </row>
    <row r="92" spans="1:47" ht="15" customHeight="1" x14ac:dyDescent="0.15">
      <c r="A92" s="553">
        <v>44377</v>
      </c>
      <c r="B92" s="523">
        <v>106</v>
      </c>
      <c r="C92" s="523">
        <v>89</v>
      </c>
      <c r="D92" s="523">
        <v>1</v>
      </c>
      <c r="E92" s="523" t="s">
        <v>1274</v>
      </c>
      <c r="F92" s="554">
        <v>200000</v>
      </c>
      <c r="G92" s="561">
        <v>3</v>
      </c>
      <c r="H92" s="555">
        <v>0.05</v>
      </c>
      <c r="I92" s="560" t="s">
        <v>861</v>
      </c>
      <c r="J92" s="523" t="s">
        <v>864</v>
      </c>
      <c r="K92" s="528" t="str">
        <f>IFERROR(VLOOKUP($B92,'Clients-Live'!$A:$C,3,0),"")</f>
        <v>ORODRIYO  NUSURA</v>
      </c>
      <c r="L92" s="528">
        <f>IF(E92="STL",Pricing!$D$38,IF(A92="",0,IF(A92&lt;Pricing!$C$25,Pricing!$D$25,VLOOKUP(Disbursements!$F92,Pricing!$B$29:$D$32,3))))</f>
        <v>10000</v>
      </c>
      <c r="M92" s="528">
        <f>IF(E92="STL",0,IF(F92&gt;0,Pricing!$D$21,0))</f>
        <v>5000</v>
      </c>
      <c r="N92" s="529">
        <f>IF(E92="STL",F92*Pricing!$D$40,IF(A92&lt;=Pricing!$C$4,0,IF(AND(A92&gt;Pricing!$C$4,Disbursements!A92&lt;=Pricing!$C$5),F92*Pricing!$E$5,IF(AND(A92&gt;Pricing!$C$5,Disbursements!A92&lt;=Pricing!$C$7),VLOOKUP(F92,Pricing!$D$7:$E$8,2)*Disbursements!F92,F92*Pricing!$E$9))))</f>
        <v>0</v>
      </c>
      <c r="O92" s="528">
        <f>IF(E92="STL",0,IF($F92&gt;0,$F92*Pricing!$D$17,0))</f>
        <v>20000</v>
      </c>
      <c r="P92" s="530">
        <f t="shared" si="48"/>
        <v>30000</v>
      </c>
      <c r="Q92" s="531">
        <f>IF($A92="","",$G92/VLOOKUP($I92,Ref!$B$23:$D$29,2,0))</f>
        <v>12</v>
      </c>
      <c r="R92" s="530">
        <f t="shared" si="49"/>
        <v>230000</v>
      </c>
      <c r="S92" s="532">
        <f t="shared" si="43"/>
        <v>19166.666666666668</v>
      </c>
      <c r="T92" s="531">
        <f t="shared" si="50"/>
        <v>20000</v>
      </c>
      <c r="U92" s="533">
        <f t="shared" si="51"/>
        <v>240000</v>
      </c>
      <c r="V92" s="531">
        <f t="shared" si="52"/>
        <v>16666.666666666668</v>
      </c>
      <c r="W92" s="531">
        <f t="shared" si="53"/>
        <v>3333.3333333333321</v>
      </c>
      <c r="X92" s="534">
        <f t="shared" si="54"/>
        <v>39999.999999999985</v>
      </c>
      <c r="Y92" s="535">
        <f>IF($A92="","",IF($I92="weekly",$A92+7,EDATE($A92,VLOOKUP($I92,Ref!$B$24:$C$29,2,0))))</f>
        <v>44384</v>
      </c>
      <c r="Z92" s="536" t="str">
        <f t="shared" si="55"/>
        <v>Wed</v>
      </c>
      <c r="AA92" s="531">
        <f t="shared" si="56"/>
        <v>7</v>
      </c>
      <c r="AB92" s="535">
        <f t="shared" si="44"/>
        <v>44469</v>
      </c>
      <c r="AC92" s="537">
        <f t="shared" si="45"/>
        <v>92</v>
      </c>
      <c r="AD92" s="538" t="str">
        <f t="shared" ca="1" si="46"/>
        <v>Expired</v>
      </c>
      <c r="AE92" s="537">
        <f t="shared" ca="1" si="47"/>
        <v>0</v>
      </c>
      <c r="AF92" s="539">
        <f t="shared" ca="1" si="57"/>
        <v>12</v>
      </c>
      <c r="AG92" s="531">
        <f t="shared" ca="1" si="58"/>
        <v>240000</v>
      </c>
      <c r="AH92" s="531">
        <f t="shared" ca="1" si="59"/>
        <v>39999.999999999985</v>
      </c>
      <c r="AI92" s="531">
        <f t="shared" ca="1" si="60"/>
        <v>200000</v>
      </c>
      <c r="AJ92" s="531">
        <f t="shared" ca="1" si="61"/>
        <v>0</v>
      </c>
      <c r="AK92" s="540">
        <f>SUMIFS('Live Collections'!$S:$S,'Live Collections'!$D:$D,Disbursements!B92,'Live Collections'!$G:$G,Disbursements!C92)</f>
        <v>39999.999999999985</v>
      </c>
      <c r="AL92" s="540">
        <f>SUMIFS('Live Collections'!$T:$T,'Live Collections'!$D:$D,Disbursements!B92,'Live Collections'!$G:$G,Disbursements!C92)</f>
        <v>200000</v>
      </c>
      <c r="AM92" s="541">
        <f t="shared" si="62"/>
        <v>240000</v>
      </c>
      <c r="AN92" s="542">
        <f>IFERROR(W92*Q92-AK92,"")</f>
        <v>0</v>
      </c>
      <c r="AO92" s="542">
        <f>IF(F92="","",(F92-AL92))</f>
        <v>0</v>
      </c>
      <c r="AP92" s="543">
        <f>IF(F92="","",SUM(AN92:AO92))</f>
        <v>0</v>
      </c>
      <c r="AQ92" s="544" t="str">
        <f t="shared" ca="1" si="66"/>
        <v/>
      </c>
      <c r="AR92" s="545">
        <f t="shared" ca="1" si="67"/>
        <v>0</v>
      </c>
      <c r="AS92" s="545">
        <f ca="1">IFERROR(CEILING($AR92*VLOOKUP($I92,Ref!$B$23:$E$29,4,0),1),0)</f>
        <v>0</v>
      </c>
      <c r="AT92" s="545" t="str">
        <f>IF(A92="","",IF(AP92&lt;=1,"Cleared",IF(AS92=0,"Clean",VLOOKUP($AS92,Ref!$G$23:$H$28,2))))</f>
        <v>Cleared</v>
      </c>
      <c r="AU92" s="546" t="str">
        <f>IF(F92="","",IF(OR(AN92&lt;0,AO92&lt;0,AP92&lt;0),"Error on Entry","Ok"))</f>
        <v>Ok</v>
      </c>
    </row>
    <row r="93" spans="1:47" ht="15" customHeight="1" x14ac:dyDescent="0.15">
      <c r="A93" s="547">
        <v>44378</v>
      </c>
      <c r="B93" s="548">
        <v>41</v>
      </c>
      <c r="C93" s="523">
        <v>90</v>
      </c>
      <c r="D93" s="523">
        <v>2</v>
      </c>
      <c r="E93" s="523" t="s">
        <v>1275</v>
      </c>
      <c r="F93" s="549">
        <v>500000</v>
      </c>
      <c r="G93" s="524">
        <v>1</v>
      </c>
      <c r="H93" s="550">
        <v>7.4999999999999997E-2</v>
      </c>
      <c r="I93" s="562" t="s">
        <v>859</v>
      </c>
      <c r="J93" s="548" t="s">
        <v>863</v>
      </c>
      <c r="K93" s="528" t="str">
        <f>IFERROR(VLOOKUP($B93,'Clients-Live'!$A:$C,3,0),"")</f>
        <v>ANGUYO RONALD</v>
      </c>
      <c r="L93" s="528">
        <f>IF(E93="STL",Pricing!$D$38,IF(A93="",0,IF(A93&lt;Pricing!$C$25,Pricing!$D$25,VLOOKUP(Disbursements!$F93,Pricing!$B$29:$D$32,3))))</f>
        <v>10000</v>
      </c>
      <c r="M93" s="528">
        <f>IF(E93="STL",0,IF(F93&gt;0,Pricing!$D$21,0))</f>
        <v>5000</v>
      </c>
      <c r="N93" s="529">
        <f>IF(E93="STL",F93*Pricing!$D$40,IF(A93&lt;=Pricing!$C$4,0,IF(AND(A93&gt;Pricing!$C$4,Disbursements!A93&lt;=Pricing!$C$5),F93*Pricing!$E$5,IF(AND(A93&gt;Pricing!$C$5,Disbursements!A93&lt;=Pricing!$C$7),VLOOKUP(F93,Pricing!$D$7:$E$8,2)*Disbursements!F93,F93*Pricing!$E$9))))</f>
        <v>0</v>
      </c>
      <c r="O93" s="528">
        <f>IF(E93="STL",0,IF($F93&gt;0,$F93*Pricing!$D$17,0))</f>
        <v>50000</v>
      </c>
      <c r="P93" s="530">
        <f t="shared" si="48"/>
        <v>37500</v>
      </c>
      <c r="Q93" s="531">
        <f>IF($A93="","",$G93/VLOOKUP($I93,Ref!$B$23:$D$29,2,0))</f>
        <v>1</v>
      </c>
      <c r="R93" s="530">
        <f t="shared" si="49"/>
        <v>537500</v>
      </c>
      <c r="S93" s="532">
        <f t="shared" si="43"/>
        <v>537500</v>
      </c>
      <c r="T93" s="531">
        <f t="shared" si="50"/>
        <v>538000</v>
      </c>
      <c r="U93" s="533">
        <f t="shared" si="51"/>
        <v>538000</v>
      </c>
      <c r="V93" s="531">
        <f t="shared" si="52"/>
        <v>500000</v>
      </c>
      <c r="W93" s="531">
        <f t="shared" si="53"/>
        <v>38000</v>
      </c>
      <c r="X93" s="534">
        <f t="shared" si="54"/>
        <v>38000</v>
      </c>
      <c r="Y93" s="535">
        <f>IF($A93="","",IF($I93="weekly",$A93+7,EDATE($A93,VLOOKUP($I93,Ref!$B$24:$C$29,2,0))))</f>
        <v>44409</v>
      </c>
      <c r="Z93" s="536" t="str">
        <f t="shared" si="55"/>
        <v>Sun</v>
      </c>
      <c r="AA93" s="531">
        <f t="shared" si="56"/>
        <v>31</v>
      </c>
      <c r="AB93" s="535">
        <f t="shared" si="44"/>
        <v>44409</v>
      </c>
      <c r="AC93" s="537">
        <f t="shared" si="45"/>
        <v>31</v>
      </c>
      <c r="AD93" s="538" t="str">
        <f t="shared" ca="1" si="46"/>
        <v>Expired</v>
      </c>
      <c r="AE93" s="537">
        <f t="shared" ca="1" si="47"/>
        <v>0</v>
      </c>
      <c r="AF93" s="539">
        <f t="shared" ca="1" si="57"/>
        <v>1</v>
      </c>
      <c r="AG93" s="531">
        <f t="shared" ca="1" si="58"/>
        <v>538000</v>
      </c>
      <c r="AH93" s="531">
        <f t="shared" ca="1" si="59"/>
        <v>38000</v>
      </c>
      <c r="AI93" s="531">
        <f t="shared" ca="1" si="60"/>
        <v>500000</v>
      </c>
      <c r="AJ93" s="531">
        <f t="shared" ca="1" si="61"/>
        <v>0</v>
      </c>
      <c r="AK93" s="540">
        <f>SUMIFS('Live Collections'!$S:$S,'Live Collections'!$D:$D,Disbursements!B93,'Live Collections'!$G:$G,Disbursements!C93)</f>
        <v>38000</v>
      </c>
      <c r="AL93" s="540">
        <f>SUMIFS('Live Collections'!$T:$T,'Live Collections'!$D:$D,Disbursements!B93,'Live Collections'!$G:$G,Disbursements!C93)</f>
        <v>500000</v>
      </c>
      <c r="AM93" s="541">
        <f t="shared" si="62"/>
        <v>538000</v>
      </c>
      <c r="AN93" s="542">
        <f t="shared" si="63"/>
        <v>0</v>
      </c>
      <c r="AO93" s="542">
        <f t="shared" si="64"/>
        <v>0</v>
      </c>
      <c r="AP93" s="543">
        <f t="shared" si="65"/>
        <v>0</v>
      </c>
      <c r="AQ93" s="544" t="str">
        <f t="shared" ca="1" si="66"/>
        <v/>
      </c>
      <c r="AR93" s="545">
        <f t="shared" ca="1" si="67"/>
        <v>0</v>
      </c>
      <c r="AS93" s="545">
        <f ca="1">IFERROR(CEILING($AR93*VLOOKUP($I93,Ref!$B$23:$E$29,4,0),1),0)</f>
        <v>0</v>
      </c>
      <c r="AT93" s="545" t="str">
        <f>IF(A93="","",IF(AP93&lt;=1,"Cleared",IF(AS93=0,"Clean",VLOOKUP($AS93,Ref!$G$23:$H$28,2))))</f>
        <v>Cleared</v>
      </c>
      <c r="AU93" s="546" t="str">
        <f t="shared" si="68"/>
        <v>Ok</v>
      </c>
    </row>
    <row r="94" spans="1:47" ht="15" customHeight="1" x14ac:dyDescent="0.15">
      <c r="A94" s="564">
        <v>44378</v>
      </c>
      <c r="B94" s="523">
        <v>108</v>
      </c>
      <c r="C94" s="523">
        <v>91</v>
      </c>
      <c r="D94" s="523">
        <v>1</v>
      </c>
      <c r="E94" s="523" t="s">
        <v>1274</v>
      </c>
      <c r="F94" s="554">
        <v>600000</v>
      </c>
      <c r="G94" s="524">
        <v>4</v>
      </c>
      <c r="H94" s="555">
        <v>0.05</v>
      </c>
      <c r="I94" s="560" t="s">
        <v>859</v>
      </c>
      <c r="J94" s="523" t="s">
        <v>862</v>
      </c>
      <c r="K94" s="528" t="str">
        <f>IFERROR(VLOOKUP($B94,'Clients-Live'!$A:$C,3,0),"")</f>
        <v>DUDU JOICE</v>
      </c>
      <c r="L94" s="528">
        <f>IF(E94="STL",Pricing!$D$38,IF(A94="",0,IF(A94&lt;Pricing!$C$25,Pricing!$D$25,VLOOKUP(Disbursements!$F94,Pricing!$B$29:$D$32,3))))</f>
        <v>10000</v>
      </c>
      <c r="M94" s="528">
        <f>IF(E94="STL",0,IF(F94&gt;0,Pricing!$D$21,0))</f>
        <v>5000</v>
      </c>
      <c r="N94" s="529">
        <f>IF(E94="STL",F94*Pricing!$D$40,IF(A94&lt;=Pricing!$C$4,0,IF(AND(A94&gt;Pricing!$C$4,Disbursements!A94&lt;=Pricing!$C$5),F94*Pricing!$E$5,IF(AND(A94&gt;Pricing!$C$5,Disbursements!A94&lt;=Pricing!$C$7),VLOOKUP(F94,Pricing!$D$7:$E$8,2)*Disbursements!F94,F94*Pricing!$E$9))))</f>
        <v>0</v>
      </c>
      <c r="O94" s="528">
        <f>IF(E94="STL",0,IF($F94&gt;0,$F94*Pricing!$D$17,0))</f>
        <v>60000</v>
      </c>
      <c r="P94" s="530">
        <f t="shared" si="48"/>
        <v>120000</v>
      </c>
      <c r="Q94" s="531">
        <f>IF($A94="","",$G94/VLOOKUP($I94,Ref!$B$23:$D$29,2,0))</f>
        <v>4</v>
      </c>
      <c r="R94" s="530">
        <f t="shared" si="49"/>
        <v>720000</v>
      </c>
      <c r="S94" s="532">
        <f t="shared" si="43"/>
        <v>180000</v>
      </c>
      <c r="T94" s="531">
        <f t="shared" si="50"/>
        <v>180000</v>
      </c>
      <c r="U94" s="533">
        <f t="shared" si="51"/>
        <v>720000</v>
      </c>
      <c r="V94" s="531">
        <f t="shared" si="52"/>
        <v>150000</v>
      </c>
      <c r="W94" s="531">
        <f t="shared" si="53"/>
        <v>30000</v>
      </c>
      <c r="X94" s="534">
        <f t="shared" si="54"/>
        <v>120000</v>
      </c>
      <c r="Y94" s="535">
        <f>IF($A94="","",IF($I94="weekly",$A94+7,EDATE($A94,VLOOKUP($I94,Ref!$B$24:$C$29,2,0))))</f>
        <v>44409</v>
      </c>
      <c r="Z94" s="536" t="str">
        <f t="shared" si="55"/>
        <v>Sun</v>
      </c>
      <c r="AA94" s="531">
        <f t="shared" si="56"/>
        <v>31</v>
      </c>
      <c r="AB94" s="535">
        <f t="shared" si="44"/>
        <v>44501</v>
      </c>
      <c r="AC94" s="537">
        <f t="shared" si="45"/>
        <v>123</v>
      </c>
      <c r="AD94" s="538" t="str">
        <f t="shared" ca="1" si="46"/>
        <v>Expired</v>
      </c>
      <c r="AE94" s="537">
        <f t="shared" ca="1" si="47"/>
        <v>0</v>
      </c>
      <c r="AF94" s="539">
        <f t="shared" ca="1" si="57"/>
        <v>4</v>
      </c>
      <c r="AG94" s="531">
        <f t="shared" ca="1" si="58"/>
        <v>720000</v>
      </c>
      <c r="AH94" s="531">
        <f t="shared" ca="1" si="59"/>
        <v>120000</v>
      </c>
      <c r="AI94" s="531">
        <f t="shared" ca="1" si="60"/>
        <v>600000</v>
      </c>
      <c r="AJ94" s="531">
        <f t="shared" ca="1" si="61"/>
        <v>0</v>
      </c>
      <c r="AK94" s="540">
        <f>SUMIFS('Live Collections'!$S:$S,'Live Collections'!$D:$D,Disbursements!B94,'Live Collections'!$G:$G,Disbursements!C94)</f>
        <v>120000</v>
      </c>
      <c r="AL94" s="540">
        <f>SUMIFS('Live Collections'!$T:$T,'Live Collections'!$D:$D,Disbursements!B94,'Live Collections'!$G:$G,Disbursements!C94)</f>
        <v>600000</v>
      </c>
      <c r="AM94" s="541">
        <f t="shared" si="62"/>
        <v>720000</v>
      </c>
      <c r="AN94" s="542">
        <f t="shared" si="63"/>
        <v>0</v>
      </c>
      <c r="AO94" s="542">
        <f t="shared" si="64"/>
        <v>0</v>
      </c>
      <c r="AP94" s="543">
        <f t="shared" si="65"/>
        <v>0</v>
      </c>
      <c r="AQ94" s="544" t="str">
        <f t="shared" ca="1" si="66"/>
        <v/>
      </c>
      <c r="AR94" s="545">
        <f t="shared" ca="1" si="67"/>
        <v>0</v>
      </c>
      <c r="AS94" s="545">
        <f ca="1">IFERROR(CEILING($AR94*VLOOKUP($I94,Ref!$B$23:$E$29,4,0),1),0)</f>
        <v>0</v>
      </c>
      <c r="AT94" s="545" t="str">
        <f>IF(A94="","",IF(AP94&lt;=1,"Cleared",IF(AS94=0,"Clean",VLOOKUP($AS94,Ref!$G$23:$H$28,2))))</f>
        <v>Cleared</v>
      </c>
      <c r="AU94" s="546" t="str">
        <f t="shared" si="68"/>
        <v>Ok</v>
      </c>
    </row>
    <row r="95" spans="1:47" ht="15" customHeight="1" x14ac:dyDescent="0.15">
      <c r="A95" s="564">
        <v>44378</v>
      </c>
      <c r="B95" s="523">
        <v>113</v>
      </c>
      <c r="C95" s="523">
        <v>92</v>
      </c>
      <c r="D95" s="523">
        <v>1</v>
      </c>
      <c r="E95" s="523" t="s">
        <v>1274</v>
      </c>
      <c r="F95" s="554">
        <v>500000</v>
      </c>
      <c r="G95" s="524">
        <v>4</v>
      </c>
      <c r="H95" s="555">
        <v>0.05</v>
      </c>
      <c r="I95" s="560" t="s">
        <v>859</v>
      </c>
      <c r="J95" s="523" t="s">
        <v>863</v>
      </c>
      <c r="K95" s="528" t="str">
        <f>IFERROR(VLOOKUP($B95,'Clients-Live'!$A:$C,3,0),"")</f>
        <v>ATIKU AMULE ISAAC</v>
      </c>
      <c r="L95" s="528">
        <f>IF(E95="STL",Pricing!$D$38,IF(A95="",0,IF(A95&lt;Pricing!$C$25,Pricing!$D$25,VLOOKUP(Disbursements!$F95,Pricing!$B$29:$D$32,3))))</f>
        <v>10000</v>
      </c>
      <c r="M95" s="528">
        <f>IF(E95="STL",0,IF(F95&gt;0,Pricing!$D$21,0))</f>
        <v>5000</v>
      </c>
      <c r="N95" s="529">
        <f>IF(E95="STL",F95*Pricing!$D$40,IF(A95&lt;=Pricing!$C$4,0,IF(AND(A95&gt;Pricing!$C$4,Disbursements!A95&lt;=Pricing!$C$5),F95*Pricing!$E$5,IF(AND(A95&gt;Pricing!$C$5,Disbursements!A95&lt;=Pricing!$C$7),VLOOKUP(F95,Pricing!$D$7:$E$8,2)*Disbursements!F95,F95*Pricing!$E$9))))</f>
        <v>0</v>
      </c>
      <c r="O95" s="528">
        <f>IF(E95="STL",0,IF($F95&gt;0,$F95*Pricing!$D$17,0))</f>
        <v>50000</v>
      </c>
      <c r="P95" s="530">
        <f t="shared" si="48"/>
        <v>100000</v>
      </c>
      <c r="Q95" s="531">
        <f>IF($A95="","",$G95/VLOOKUP($I95,Ref!$B$23:$D$29,2,0))</f>
        <v>4</v>
      </c>
      <c r="R95" s="530">
        <f t="shared" si="49"/>
        <v>600000</v>
      </c>
      <c r="S95" s="532">
        <f t="shared" si="43"/>
        <v>150000</v>
      </c>
      <c r="T95" s="531">
        <f t="shared" si="50"/>
        <v>150000</v>
      </c>
      <c r="U95" s="533">
        <f t="shared" si="51"/>
        <v>600000</v>
      </c>
      <c r="V95" s="531">
        <f t="shared" si="52"/>
        <v>125000</v>
      </c>
      <c r="W95" s="531">
        <f t="shared" si="53"/>
        <v>25000</v>
      </c>
      <c r="X95" s="534">
        <f t="shared" si="54"/>
        <v>100000</v>
      </c>
      <c r="Y95" s="535">
        <f>IF($A95="","",IF($I95="weekly",$A95+7,EDATE($A95,VLOOKUP($I95,Ref!$B$24:$C$29,2,0))))</f>
        <v>44409</v>
      </c>
      <c r="Z95" s="536" t="str">
        <f t="shared" si="55"/>
        <v>Sun</v>
      </c>
      <c r="AA95" s="531">
        <f t="shared" si="56"/>
        <v>31</v>
      </c>
      <c r="AB95" s="535">
        <f t="shared" si="44"/>
        <v>44501</v>
      </c>
      <c r="AC95" s="537">
        <f t="shared" si="45"/>
        <v>123</v>
      </c>
      <c r="AD95" s="538" t="str">
        <f t="shared" ca="1" si="46"/>
        <v>Expired</v>
      </c>
      <c r="AE95" s="537">
        <f t="shared" ca="1" si="47"/>
        <v>0</v>
      </c>
      <c r="AF95" s="539">
        <f t="shared" ca="1" si="57"/>
        <v>4</v>
      </c>
      <c r="AG95" s="531">
        <f t="shared" ca="1" si="58"/>
        <v>600000</v>
      </c>
      <c r="AH95" s="531">
        <f t="shared" ca="1" si="59"/>
        <v>100000</v>
      </c>
      <c r="AI95" s="531">
        <f t="shared" ca="1" si="60"/>
        <v>500000</v>
      </c>
      <c r="AJ95" s="531">
        <f t="shared" ca="1" si="61"/>
        <v>0</v>
      </c>
      <c r="AK95" s="540">
        <f>SUMIFS('Live Collections'!$S:$S,'Live Collections'!$D:$D,Disbursements!B95,'Live Collections'!$G:$G,Disbursements!C95)</f>
        <v>100000</v>
      </c>
      <c r="AL95" s="540">
        <f>SUMIFS('Live Collections'!$T:$T,'Live Collections'!$D:$D,Disbursements!B95,'Live Collections'!$G:$G,Disbursements!C95)</f>
        <v>500000</v>
      </c>
      <c r="AM95" s="541">
        <f t="shared" si="62"/>
        <v>600000</v>
      </c>
      <c r="AN95" s="542">
        <f t="shared" si="63"/>
        <v>0</v>
      </c>
      <c r="AO95" s="542">
        <f t="shared" si="64"/>
        <v>0</v>
      </c>
      <c r="AP95" s="543">
        <f t="shared" si="65"/>
        <v>0</v>
      </c>
      <c r="AQ95" s="544" t="str">
        <f t="shared" ca="1" si="66"/>
        <v/>
      </c>
      <c r="AR95" s="545">
        <f t="shared" ca="1" si="67"/>
        <v>0</v>
      </c>
      <c r="AS95" s="545">
        <f ca="1">IFERROR(CEILING($AR95*VLOOKUP($I95,Ref!$B$23:$E$29,4,0),1),0)</f>
        <v>0</v>
      </c>
      <c r="AT95" s="545" t="str">
        <f>IF(A95="","",IF(AP95&lt;=1,"Cleared",IF(AS95=0,"Clean",VLOOKUP($AS95,Ref!$G$23:$H$28,2))))</f>
        <v>Cleared</v>
      </c>
      <c r="AU95" s="546" t="str">
        <f t="shared" si="68"/>
        <v>Ok</v>
      </c>
    </row>
    <row r="96" spans="1:47" ht="15" customHeight="1" x14ac:dyDescent="0.15">
      <c r="A96" s="564">
        <v>44379</v>
      </c>
      <c r="B96" s="523">
        <v>109</v>
      </c>
      <c r="C96" s="523">
        <v>93</v>
      </c>
      <c r="D96" s="523">
        <v>1</v>
      </c>
      <c r="E96" s="523" t="s">
        <v>1274</v>
      </c>
      <c r="F96" s="554">
        <v>300000</v>
      </c>
      <c r="G96" s="524">
        <v>1</v>
      </c>
      <c r="H96" s="555">
        <v>0.05</v>
      </c>
      <c r="I96" s="560" t="s">
        <v>859</v>
      </c>
      <c r="J96" s="523" t="s">
        <v>864</v>
      </c>
      <c r="K96" s="528" t="str">
        <f>IFERROR(VLOOKUP($B96,'Clients-Live'!$A:$C,3,0),"")</f>
        <v>TABU KISA</v>
      </c>
      <c r="L96" s="528">
        <f>IF(E96="STL",Pricing!$D$38,IF(A96="",0,IF(A96&lt;Pricing!$C$25,Pricing!$D$25,VLOOKUP(Disbursements!$F96,Pricing!$B$29:$D$32,3))))</f>
        <v>10000</v>
      </c>
      <c r="M96" s="528">
        <f>IF(E96="STL",0,IF(F96&gt;0,Pricing!$D$21,0))</f>
        <v>5000</v>
      </c>
      <c r="N96" s="529">
        <f>IF(E96="STL",F96*Pricing!$D$40,IF(A96&lt;=Pricing!$C$4,0,IF(AND(A96&gt;Pricing!$C$4,Disbursements!A96&lt;=Pricing!$C$5),F96*Pricing!$E$5,IF(AND(A96&gt;Pricing!$C$5,Disbursements!A96&lt;=Pricing!$C$7),VLOOKUP(F96,Pricing!$D$7:$E$8,2)*Disbursements!F96,F96*Pricing!$E$9))))</f>
        <v>0</v>
      </c>
      <c r="O96" s="528">
        <f>IF(E96="STL",0,IF($F96&gt;0,$F96*Pricing!$D$17,0))</f>
        <v>30000</v>
      </c>
      <c r="P96" s="530">
        <f t="shared" si="48"/>
        <v>15000</v>
      </c>
      <c r="Q96" s="531">
        <f>IF($A96="","",$G96/VLOOKUP($I96,Ref!$B$23:$D$29,2,0))</f>
        <v>1</v>
      </c>
      <c r="R96" s="530">
        <f t="shared" si="49"/>
        <v>315000</v>
      </c>
      <c r="S96" s="532">
        <f t="shared" si="43"/>
        <v>315000</v>
      </c>
      <c r="T96" s="531">
        <f t="shared" si="50"/>
        <v>315000</v>
      </c>
      <c r="U96" s="533">
        <f t="shared" si="51"/>
        <v>315000</v>
      </c>
      <c r="V96" s="531">
        <f t="shared" si="52"/>
        <v>300000</v>
      </c>
      <c r="W96" s="531">
        <f t="shared" si="53"/>
        <v>15000</v>
      </c>
      <c r="X96" s="534">
        <f t="shared" si="54"/>
        <v>15000</v>
      </c>
      <c r="Y96" s="535">
        <f>IF($A96="","",IF($I96="weekly",$A96+7,EDATE($A96,VLOOKUP($I96,Ref!$B$24:$C$29,2,0))))</f>
        <v>44410</v>
      </c>
      <c r="Z96" s="536" t="str">
        <f t="shared" si="55"/>
        <v>Mon</v>
      </c>
      <c r="AA96" s="531">
        <f t="shared" si="56"/>
        <v>31</v>
      </c>
      <c r="AB96" s="535">
        <f t="shared" si="44"/>
        <v>44410</v>
      </c>
      <c r="AC96" s="537">
        <f t="shared" si="45"/>
        <v>31</v>
      </c>
      <c r="AD96" s="538" t="str">
        <f t="shared" ca="1" si="46"/>
        <v>Expired</v>
      </c>
      <c r="AE96" s="537">
        <f t="shared" ca="1" si="47"/>
        <v>0</v>
      </c>
      <c r="AF96" s="539">
        <f t="shared" ca="1" si="57"/>
        <v>1</v>
      </c>
      <c r="AG96" s="531">
        <f t="shared" ca="1" si="58"/>
        <v>315000</v>
      </c>
      <c r="AH96" s="531">
        <f t="shared" ca="1" si="59"/>
        <v>15000</v>
      </c>
      <c r="AI96" s="531">
        <f t="shared" ca="1" si="60"/>
        <v>300000</v>
      </c>
      <c r="AJ96" s="531">
        <f t="shared" ca="1" si="61"/>
        <v>0</v>
      </c>
      <c r="AK96" s="540">
        <f>SUMIFS('Live Collections'!$S:$S,'Live Collections'!$D:$D,Disbursements!B96,'Live Collections'!$G:$G,Disbursements!C96)</f>
        <v>15000</v>
      </c>
      <c r="AL96" s="540">
        <f>SUMIFS('Live Collections'!$T:$T,'Live Collections'!$D:$D,Disbursements!B96,'Live Collections'!$G:$G,Disbursements!C96)</f>
        <v>300000</v>
      </c>
      <c r="AM96" s="541">
        <f t="shared" si="62"/>
        <v>315000</v>
      </c>
      <c r="AN96" s="542">
        <f t="shared" si="63"/>
        <v>0</v>
      </c>
      <c r="AO96" s="542">
        <f t="shared" si="64"/>
        <v>0</v>
      </c>
      <c r="AP96" s="543">
        <f t="shared" si="65"/>
        <v>0</v>
      </c>
      <c r="AQ96" s="544" t="str">
        <f t="shared" ca="1" si="66"/>
        <v/>
      </c>
      <c r="AR96" s="545">
        <f t="shared" ca="1" si="67"/>
        <v>0</v>
      </c>
      <c r="AS96" s="545">
        <f ca="1">IFERROR(CEILING($AR96*VLOOKUP($I96,Ref!$B$23:$E$29,4,0),1),0)</f>
        <v>0</v>
      </c>
      <c r="AT96" s="545" t="str">
        <f>IF(A96="","",IF(AP96&lt;=1,"Cleared",IF(AS96=0,"Clean",VLOOKUP($AS96,Ref!$G$23:$H$28,2))))</f>
        <v>Cleared</v>
      </c>
      <c r="AU96" s="546" t="str">
        <f t="shared" si="68"/>
        <v>Ok</v>
      </c>
    </row>
    <row r="97" spans="1:47" ht="15" customHeight="1" x14ac:dyDescent="0.15">
      <c r="A97" s="564">
        <v>44379</v>
      </c>
      <c r="B97" s="523">
        <v>111</v>
      </c>
      <c r="C97" s="523">
        <v>94</v>
      </c>
      <c r="D97" s="523">
        <v>1</v>
      </c>
      <c r="E97" s="523" t="s">
        <v>1275</v>
      </c>
      <c r="F97" s="554">
        <v>400000</v>
      </c>
      <c r="G97" s="524">
        <v>3</v>
      </c>
      <c r="H97" s="555">
        <v>7.4999999999999997E-2</v>
      </c>
      <c r="I97" s="560" t="s">
        <v>859</v>
      </c>
      <c r="J97" s="523" t="s">
        <v>864</v>
      </c>
      <c r="K97" s="528" t="str">
        <f>IFERROR(VLOOKUP($B97,'Clients-Live'!$A:$C,3,0),"")</f>
        <v>ANDAKU CHARLES JULIAN</v>
      </c>
      <c r="L97" s="528">
        <f>IF(E97="STL",Pricing!$D$38,IF(A97="",0,IF(A97&lt;Pricing!$C$25,Pricing!$D$25,VLOOKUP(Disbursements!$F97,Pricing!$B$29:$D$32,3))))</f>
        <v>10000</v>
      </c>
      <c r="M97" s="528">
        <f>IF(E97="STL",0,IF(F97&gt;0,Pricing!$D$21,0))</f>
        <v>5000</v>
      </c>
      <c r="N97" s="529">
        <f>IF(E97="STL",F97*Pricing!$D$40,IF(A97&lt;=Pricing!$C$4,0,IF(AND(A97&gt;Pricing!$C$4,Disbursements!A97&lt;=Pricing!$C$5),F97*Pricing!$E$5,IF(AND(A97&gt;Pricing!$C$5,Disbursements!A97&lt;=Pricing!$C$7),VLOOKUP(F97,Pricing!$D$7:$E$8,2)*Disbursements!F97,F97*Pricing!$E$9))))</f>
        <v>0</v>
      </c>
      <c r="O97" s="528">
        <f>IF(E97="STL",0,IF($F97&gt;0,$F97*Pricing!$D$17,0))</f>
        <v>40000</v>
      </c>
      <c r="P97" s="530">
        <f t="shared" si="48"/>
        <v>90000</v>
      </c>
      <c r="Q97" s="531">
        <f>IF($A97="","",$G97/VLOOKUP($I97,Ref!$B$23:$D$29,2,0))</f>
        <v>3</v>
      </c>
      <c r="R97" s="530">
        <f t="shared" si="49"/>
        <v>490000</v>
      </c>
      <c r="S97" s="532">
        <f t="shared" si="43"/>
        <v>163333.33333333334</v>
      </c>
      <c r="T97" s="531">
        <f t="shared" si="50"/>
        <v>164000</v>
      </c>
      <c r="U97" s="533">
        <f t="shared" si="51"/>
        <v>492000</v>
      </c>
      <c r="V97" s="531">
        <f t="shared" si="52"/>
        <v>133333.33333333334</v>
      </c>
      <c r="W97" s="531">
        <f t="shared" si="53"/>
        <v>30666.666666666657</v>
      </c>
      <c r="X97" s="534">
        <f t="shared" si="54"/>
        <v>91999.999999999971</v>
      </c>
      <c r="Y97" s="535">
        <f>IF($A97="","",IF($I97="weekly",$A97+7,EDATE($A97,VLOOKUP($I97,Ref!$B$24:$C$29,2,0))))</f>
        <v>44410</v>
      </c>
      <c r="Z97" s="536" t="str">
        <f t="shared" si="55"/>
        <v>Mon</v>
      </c>
      <c r="AA97" s="531">
        <f t="shared" si="56"/>
        <v>31</v>
      </c>
      <c r="AB97" s="535">
        <f t="shared" si="44"/>
        <v>44471</v>
      </c>
      <c r="AC97" s="537">
        <f t="shared" si="45"/>
        <v>92</v>
      </c>
      <c r="AD97" s="538" t="str">
        <f t="shared" ca="1" si="46"/>
        <v>Expired</v>
      </c>
      <c r="AE97" s="537">
        <f t="shared" ca="1" si="47"/>
        <v>0</v>
      </c>
      <c r="AF97" s="539">
        <f t="shared" ca="1" si="57"/>
        <v>3</v>
      </c>
      <c r="AG97" s="531">
        <f t="shared" ca="1" si="58"/>
        <v>492000</v>
      </c>
      <c r="AH97" s="531">
        <f t="shared" ca="1" si="59"/>
        <v>91999.999999999971</v>
      </c>
      <c r="AI97" s="531">
        <f t="shared" ca="1" si="60"/>
        <v>400000</v>
      </c>
      <c r="AJ97" s="531">
        <f t="shared" ca="1" si="61"/>
        <v>0</v>
      </c>
      <c r="AK97" s="540">
        <f>SUMIFS('Live Collections'!$S:$S,'Live Collections'!$D:$D,Disbursements!B97,'Live Collections'!$G:$G,Disbursements!C97)</f>
        <v>91999.999999999971</v>
      </c>
      <c r="AL97" s="540">
        <f>SUMIFS('Live Collections'!$T:$T,'Live Collections'!$D:$D,Disbursements!B97,'Live Collections'!$G:$G,Disbursements!C97)</f>
        <v>398000</v>
      </c>
      <c r="AM97" s="541">
        <f t="shared" si="62"/>
        <v>490000</v>
      </c>
      <c r="AN97" s="542">
        <f t="shared" si="63"/>
        <v>0</v>
      </c>
      <c r="AO97" s="542">
        <f t="shared" si="64"/>
        <v>2000</v>
      </c>
      <c r="AP97" s="543">
        <f t="shared" si="65"/>
        <v>2000</v>
      </c>
      <c r="AQ97" s="544">
        <f t="shared" ca="1" si="66"/>
        <v>2000</v>
      </c>
      <c r="AR97" s="545">
        <f t="shared" ca="1" si="67"/>
        <v>1.2195121951219513E-2</v>
      </c>
      <c r="AS97" s="545">
        <f ca="1">IFERROR(CEILING($AR97*VLOOKUP($I97,Ref!$B$23:$E$29,4,0),1),0)</f>
        <v>1</v>
      </c>
      <c r="AT97" s="545" t="str">
        <f ca="1">IF(A97="","",IF(AP97&lt;=1,"Cleared",IF(AS97=0,"Clean",VLOOKUP($AS97,Ref!$G$23:$H$28,2))))</f>
        <v>1.(0-30) Days</v>
      </c>
      <c r="AU97" s="546" t="str">
        <f t="shared" si="68"/>
        <v>Ok</v>
      </c>
    </row>
    <row r="98" spans="1:47" ht="15" customHeight="1" x14ac:dyDescent="0.15">
      <c r="A98" s="564">
        <v>44380</v>
      </c>
      <c r="B98" s="523">
        <v>107</v>
      </c>
      <c r="C98" s="523">
        <v>96</v>
      </c>
      <c r="D98" s="523">
        <v>1</v>
      </c>
      <c r="E98" s="523" t="s">
        <v>1274</v>
      </c>
      <c r="F98" s="554">
        <v>200000</v>
      </c>
      <c r="G98" s="524">
        <v>3</v>
      </c>
      <c r="H98" s="555">
        <v>7.4999999999999997E-2</v>
      </c>
      <c r="I98" s="560" t="s">
        <v>859</v>
      </c>
      <c r="J98" s="523" t="s">
        <v>864</v>
      </c>
      <c r="K98" s="528" t="str">
        <f>IFERROR(VLOOKUP($B98,'Clients-Live'!$A:$C,3,0),"")</f>
        <v>LAKONY PETER</v>
      </c>
      <c r="L98" s="528">
        <f>IF(E98="STL",Pricing!$D$38,IF(A98="",0,IF(A98&lt;Pricing!$C$25,Pricing!$D$25,VLOOKUP(Disbursements!$F98,Pricing!$B$29:$D$32,3))))</f>
        <v>10000</v>
      </c>
      <c r="M98" s="528">
        <f>IF(E98="STL",0,IF(F98&gt;0,Pricing!$D$21,0))</f>
        <v>5000</v>
      </c>
      <c r="N98" s="529">
        <f>IF(E98="STL",F98*Pricing!$D$40,IF(A98&lt;=Pricing!$C$4,0,IF(AND(A98&gt;Pricing!$C$4,Disbursements!A98&lt;=Pricing!$C$5),F98*Pricing!$E$5,IF(AND(A98&gt;Pricing!$C$5,Disbursements!A98&lt;=Pricing!$C$7),VLOOKUP(F98,Pricing!$D$7:$E$8,2)*Disbursements!F98,F98*Pricing!$E$9))))</f>
        <v>0</v>
      </c>
      <c r="O98" s="528">
        <f>IF(E98="STL",0,IF($F98&gt;0,$F98*Pricing!$D$17,0))</f>
        <v>20000</v>
      </c>
      <c r="P98" s="530">
        <f t="shared" si="48"/>
        <v>45000</v>
      </c>
      <c r="Q98" s="531">
        <f>IF($A98="","",$G98/VLOOKUP($I98,Ref!$B$23:$D$29,2,0))</f>
        <v>3</v>
      </c>
      <c r="R98" s="530">
        <f t="shared" si="49"/>
        <v>245000</v>
      </c>
      <c r="S98" s="532">
        <f t="shared" si="43"/>
        <v>81666.666666666672</v>
      </c>
      <c r="T98" s="531">
        <f t="shared" si="50"/>
        <v>82000</v>
      </c>
      <c r="U98" s="533">
        <f t="shared" si="51"/>
        <v>246000</v>
      </c>
      <c r="V98" s="531">
        <f t="shared" si="52"/>
        <v>66666.666666666672</v>
      </c>
      <c r="W98" s="531">
        <f t="shared" si="53"/>
        <v>15333.333333333328</v>
      </c>
      <c r="X98" s="534">
        <f t="shared" si="54"/>
        <v>45999.999999999985</v>
      </c>
      <c r="Y98" s="535">
        <f>IF($A98="","",IF($I98="weekly",$A98+7,EDATE($A98,VLOOKUP($I98,Ref!$B$24:$C$29,2,0))))</f>
        <v>44411</v>
      </c>
      <c r="Z98" s="536" t="str">
        <f t="shared" si="55"/>
        <v>Tue</v>
      </c>
      <c r="AA98" s="531">
        <f t="shared" si="56"/>
        <v>31</v>
      </c>
      <c r="AB98" s="535">
        <f t="shared" si="44"/>
        <v>44472</v>
      </c>
      <c r="AC98" s="537">
        <f t="shared" si="45"/>
        <v>92</v>
      </c>
      <c r="AD98" s="538" t="str">
        <f t="shared" ca="1" si="46"/>
        <v>Expired</v>
      </c>
      <c r="AE98" s="537">
        <f t="shared" ca="1" si="47"/>
        <v>0</v>
      </c>
      <c r="AF98" s="539">
        <f t="shared" ca="1" si="57"/>
        <v>3</v>
      </c>
      <c r="AG98" s="531">
        <f t="shared" ca="1" si="58"/>
        <v>246000</v>
      </c>
      <c r="AH98" s="531">
        <f t="shared" ca="1" si="59"/>
        <v>45999.999999999985</v>
      </c>
      <c r="AI98" s="531">
        <f t="shared" ca="1" si="60"/>
        <v>200000</v>
      </c>
      <c r="AJ98" s="531">
        <f t="shared" ca="1" si="61"/>
        <v>0</v>
      </c>
      <c r="AK98" s="540">
        <f>SUMIFS('Live Collections'!$S:$S,'Live Collections'!$D:$D,Disbursements!B98,'Live Collections'!$G:$G,Disbursements!C98)</f>
        <v>24000</v>
      </c>
      <c r="AL98" s="540">
        <f>SUMIFS('Live Collections'!$T:$T,'Live Collections'!$D:$D,Disbursements!B98,'Live Collections'!$G:$G,Disbursements!C98)</f>
        <v>189000</v>
      </c>
      <c r="AM98" s="541">
        <f t="shared" si="62"/>
        <v>213000</v>
      </c>
      <c r="AN98" s="542">
        <f t="shared" si="63"/>
        <v>21999.999999999985</v>
      </c>
      <c r="AO98" s="542">
        <f t="shared" si="64"/>
        <v>11000</v>
      </c>
      <c r="AP98" s="543">
        <f t="shared" si="65"/>
        <v>32999.999999999985</v>
      </c>
      <c r="AQ98" s="544">
        <f t="shared" ca="1" si="66"/>
        <v>32999.999999999985</v>
      </c>
      <c r="AR98" s="545">
        <f t="shared" ca="1" si="67"/>
        <v>0.4024390243902437</v>
      </c>
      <c r="AS98" s="545">
        <f ca="1">IFERROR(CEILING($AR98*VLOOKUP($I98,Ref!$B$23:$E$29,4,0),1),0)</f>
        <v>13</v>
      </c>
      <c r="AT98" s="545" t="str">
        <f ca="1">IF(A98="","",IF(AP98&lt;=1,"Cleared",IF(AS98=0,"Clean",VLOOKUP($AS98,Ref!$G$23:$H$28,2))))</f>
        <v>1.(0-30) Days</v>
      </c>
      <c r="AU98" s="546" t="str">
        <f t="shared" si="68"/>
        <v>Ok</v>
      </c>
    </row>
    <row r="99" spans="1:47" ht="15" customHeight="1" x14ac:dyDescent="0.15">
      <c r="A99" s="547">
        <v>44380</v>
      </c>
      <c r="B99" s="548">
        <v>114</v>
      </c>
      <c r="C99" s="523">
        <v>97</v>
      </c>
      <c r="D99" s="523">
        <v>1</v>
      </c>
      <c r="E99" s="523" t="s">
        <v>1274</v>
      </c>
      <c r="F99" s="549">
        <v>300000</v>
      </c>
      <c r="G99" s="561">
        <v>3</v>
      </c>
      <c r="H99" s="550">
        <v>0.05</v>
      </c>
      <c r="I99" s="562" t="s">
        <v>861</v>
      </c>
      <c r="J99" s="548" t="s">
        <v>863</v>
      </c>
      <c r="K99" s="528" t="str">
        <f>IFERROR(VLOOKUP($B99,'Clients-Live'!$A:$C,3,0),"")</f>
        <v>ONZIA EMMILY</v>
      </c>
      <c r="L99" s="528">
        <f>IF(E99="STL",Pricing!$D$38,IF(A99="",0,IF(A99&lt;Pricing!$C$25,Pricing!$D$25,VLOOKUP(Disbursements!$F99,Pricing!$B$29:$D$32,3))))</f>
        <v>10000</v>
      </c>
      <c r="M99" s="528">
        <f>IF(E99="STL",0,IF(F99&gt;0,Pricing!$D$21,0))</f>
        <v>5000</v>
      </c>
      <c r="N99" s="529">
        <f>IF(E99="STL",F99*Pricing!$D$40,IF(A99&lt;=Pricing!$C$4,0,IF(AND(A99&gt;Pricing!$C$4,Disbursements!A99&lt;=Pricing!$C$5),F99*Pricing!$E$5,IF(AND(A99&gt;Pricing!$C$5,Disbursements!A99&lt;=Pricing!$C$7),VLOOKUP(F99,Pricing!$D$7:$E$8,2)*Disbursements!F99,F99*Pricing!$E$9))))</f>
        <v>0</v>
      </c>
      <c r="O99" s="528">
        <f>IF(E99="STL",0,IF($F99&gt;0,$F99*Pricing!$D$17,0))</f>
        <v>30000</v>
      </c>
      <c r="P99" s="530">
        <f t="shared" si="48"/>
        <v>45000</v>
      </c>
      <c r="Q99" s="531">
        <f>IF($A99="","",$G99/VLOOKUP($I99,Ref!$B$23:$D$29,2,0))</f>
        <v>12</v>
      </c>
      <c r="R99" s="530">
        <f t="shared" si="49"/>
        <v>345000</v>
      </c>
      <c r="S99" s="532">
        <f t="shared" si="43"/>
        <v>28750</v>
      </c>
      <c r="T99" s="531">
        <f t="shared" si="50"/>
        <v>29000</v>
      </c>
      <c r="U99" s="533">
        <f t="shared" si="51"/>
        <v>348000</v>
      </c>
      <c r="V99" s="531">
        <f t="shared" si="52"/>
        <v>25000</v>
      </c>
      <c r="W99" s="531">
        <f t="shared" si="53"/>
        <v>4000</v>
      </c>
      <c r="X99" s="534">
        <f t="shared" si="54"/>
        <v>48000</v>
      </c>
      <c r="Y99" s="535">
        <f>IF($A99="","",IF($I99="weekly",$A99+7,EDATE($A99,VLOOKUP($I99,Ref!$B$24:$C$29,2,0))))</f>
        <v>44387</v>
      </c>
      <c r="Z99" s="536" t="str">
        <f t="shared" si="55"/>
        <v>Sat</v>
      </c>
      <c r="AA99" s="531">
        <f t="shared" si="56"/>
        <v>7</v>
      </c>
      <c r="AB99" s="535">
        <f t="shared" si="44"/>
        <v>44472</v>
      </c>
      <c r="AC99" s="537">
        <f t="shared" si="45"/>
        <v>92</v>
      </c>
      <c r="AD99" s="538" t="str">
        <f t="shared" ca="1" si="46"/>
        <v>Expired</v>
      </c>
      <c r="AE99" s="537">
        <f t="shared" ca="1" si="47"/>
        <v>0</v>
      </c>
      <c r="AF99" s="539">
        <f t="shared" ca="1" si="57"/>
        <v>12</v>
      </c>
      <c r="AG99" s="531">
        <f t="shared" ca="1" si="58"/>
        <v>348000</v>
      </c>
      <c r="AH99" s="531">
        <f t="shared" ca="1" si="59"/>
        <v>48000</v>
      </c>
      <c r="AI99" s="531">
        <f t="shared" ca="1" si="60"/>
        <v>300000</v>
      </c>
      <c r="AJ99" s="531">
        <f t="shared" ca="1" si="61"/>
        <v>0</v>
      </c>
      <c r="AK99" s="540">
        <f>SUMIFS('Live Collections'!$S:$S,'Live Collections'!$D:$D,Disbursements!B99,'Live Collections'!$G:$G,Disbursements!C99)</f>
        <v>48000</v>
      </c>
      <c r="AL99" s="540">
        <f>SUMIFS('Live Collections'!$T:$T,'Live Collections'!$D:$D,Disbursements!B99,'Live Collections'!$G:$G,Disbursements!C99)</f>
        <v>300000</v>
      </c>
      <c r="AM99" s="541">
        <f t="shared" si="62"/>
        <v>348000</v>
      </c>
      <c r="AN99" s="542">
        <f t="shared" si="63"/>
        <v>0</v>
      </c>
      <c r="AO99" s="542">
        <f t="shared" si="64"/>
        <v>0</v>
      </c>
      <c r="AP99" s="543">
        <f t="shared" si="65"/>
        <v>0</v>
      </c>
      <c r="AQ99" s="544" t="str">
        <f t="shared" ca="1" si="66"/>
        <v/>
      </c>
      <c r="AR99" s="545">
        <f t="shared" ca="1" si="67"/>
        <v>0</v>
      </c>
      <c r="AS99" s="545">
        <f ca="1">IFERROR(CEILING($AR99*VLOOKUP($I99,Ref!$B$23:$E$29,4,0),1),0)</f>
        <v>0</v>
      </c>
      <c r="AT99" s="545" t="str">
        <f>IF(A99="","",IF(AP99&lt;=1,"Cleared",IF(AS99=0,"Clean",VLOOKUP($AS99,Ref!$G$23:$H$28,2))))</f>
        <v>Cleared</v>
      </c>
      <c r="AU99" s="546" t="str">
        <f t="shared" si="68"/>
        <v>Ok</v>
      </c>
    </row>
    <row r="100" spans="1:47" ht="15" customHeight="1" x14ac:dyDescent="0.15">
      <c r="A100" s="547">
        <v>44382</v>
      </c>
      <c r="B100" s="548">
        <v>6</v>
      </c>
      <c r="C100" s="523">
        <v>100</v>
      </c>
      <c r="D100" s="523">
        <v>2</v>
      </c>
      <c r="E100" s="523" t="s">
        <v>1274</v>
      </c>
      <c r="F100" s="549">
        <v>6000000</v>
      </c>
      <c r="G100" s="524">
        <v>6</v>
      </c>
      <c r="H100" s="550">
        <v>0.05</v>
      </c>
      <c r="I100" s="562" t="s">
        <v>859</v>
      </c>
      <c r="J100" s="548" t="s">
        <v>863</v>
      </c>
      <c r="K100" s="528" t="str">
        <f>IFERROR(VLOOKUP($B100,'Clients-Live'!$A:$C,3,0),"")</f>
        <v>AMUTE BASHIR</v>
      </c>
      <c r="L100" s="528">
        <f>IF(E100="STL",Pricing!$D$38,IF(A100="",0,IF(A100&lt;Pricing!$C$25,Pricing!$D$25,VLOOKUP(Disbursements!$F100,Pricing!$B$29:$D$32,3))))</f>
        <v>10000</v>
      </c>
      <c r="M100" s="528">
        <f>IF(E100="STL",0,IF(F100&gt;0,Pricing!$D$21,0))</f>
        <v>5000</v>
      </c>
      <c r="N100" s="529">
        <f>IF(E100="STL",F100*Pricing!$D$40,IF(A100&lt;=Pricing!$C$4,0,IF(AND(A100&gt;Pricing!$C$4,Disbursements!A100&lt;=Pricing!$C$5),F100*Pricing!$E$5,IF(AND(A100&gt;Pricing!$C$5,Disbursements!A100&lt;=Pricing!$C$7),VLOOKUP(F100,Pricing!$D$7:$E$8,2)*Disbursements!F100,F100*Pricing!$E$9))))</f>
        <v>0</v>
      </c>
      <c r="O100" s="528">
        <f>IF(E100="STL",0,IF($F100&gt;0,$F100*Pricing!$D$17,0))</f>
        <v>600000</v>
      </c>
      <c r="P100" s="530">
        <f t="shared" si="48"/>
        <v>1800000</v>
      </c>
      <c r="Q100" s="531">
        <f>IF($A100="","",$G100/VLOOKUP($I100,Ref!$B$23:$D$29,2,0))</f>
        <v>6</v>
      </c>
      <c r="R100" s="530">
        <f t="shared" si="49"/>
        <v>7800000</v>
      </c>
      <c r="S100" s="532">
        <f t="shared" si="43"/>
        <v>1300000</v>
      </c>
      <c r="T100" s="531">
        <f t="shared" si="50"/>
        <v>1300000</v>
      </c>
      <c r="U100" s="533">
        <f t="shared" si="51"/>
        <v>7800000</v>
      </c>
      <c r="V100" s="531">
        <f t="shared" si="52"/>
        <v>1000000</v>
      </c>
      <c r="W100" s="531">
        <f t="shared" si="53"/>
        <v>300000</v>
      </c>
      <c r="X100" s="534">
        <f t="shared" si="54"/>
        <v>1800000</v>
      </c>
      <c r="Y100" s="535">
        <f>IF($A100="","",IF($I100="weekly",$A100+7,EDATE($A100,VLOOKUP($I100,Ref!$B$24:$C$29,2,0))))</f>
        <v>44413</v>
      </c>
      <c r="Z100" s="536" t="str">
        <f t="shared" si="55"/>
        <v>Thu</v>
      </c>
      <c r="AA100" s="531">
        <f t="shared" si="56"/>
        <v>31</v>
      </c>
      <c r="AB100" s="535">
        <f t="shared" si="44"/>
        <v>44566</v>
      </c>
      <c r="AC100" s="537">
        <f t="shared" si="45"/>
        <v>184</v>
      </c>
      <c r="AD100" s="538" t="str">
        <f t="shared" ca="1" si="46"/>
        <v>Expired</v>
      </c>
      <c r="AE100" s="537">
        <f t="shared" ca="1" si="47"/>
        <v>0</v>
      </c>
      <c r="AF100" s="539">
        <f t="shared" ca="1" si="57"/>
        <v>6</v>
      </c>
      <c r="AG100" s="531">
        <f t="shared" ca="1" si="58"/>
        <v>7800000</v>
      </c>
      <c r="AH100" s="531">
        <f t="shared" ca="1" si="59"/>
        <v>1800000</v>
      </c>
      <c r="AI100" s="531">
        <f t="shared" ca="1" si="60"/>
        <v>6000000</v>
      </c>
      <c r="AJ100" s="531">
        <f t="shared" ca="1" si="61"/>
        <v>0</v>
      </c>
      <c r="AK100" s="540">
        <f>SUMIFS('Live Collections'!$S:$S,'Live Collections'!$D:$D,Disbursements!B100,'Live Collections'!$G:$G,Disbursements!C100)</f>
        <v>1800000</v>
      </c>
      <c r="AL100" s="540">
        <f>SUMIFS('Live Collections'!$T:$T,'Live Collections'!$D:$D,Disbursements!B100,'Live Collections'!$G:$G,Disbursements!C100)</f>
        <v>6000000</v>
      </c>
      <c r="AM100" s="541">
        <f t="shared" si="62"/>
        <v>7800000</v>
      </c>
      <c r="AN100" s="542">
        <f t="shared" si="63"/>
        <v>0</v>
      </c>
      <c r="AO100" s="542">
        <f t="shared" si="64"/>
        <v>0</v>
      </c>
      <c r="AP100" s="543">
        <f t="shared" si="65"/>
        <v>0</v>
      </c>
      <c r="AQ100" s="544" t="str">
        <f t="shared" ca="1" si="66"/>
        <v/>
      </c>
      <c r="AR100" s="545">
        <f t="shared" ca="1" si="67"/>
        <v>0</v>
      </c>
      <c r="AS100" s="545">
        <f ca="1">IFERROR(CEILING($AR100*VLOOKUP($I100,Ref!$B$23:$E$29,4,0),1),0)</f>
        <v>0</v>
      </c>
      <c r="AT100" s="545" t="str">
        <f>IF(A100="","",IF(AP100&lt;=1,"Cleared",IF(AS100=0,"Clean",VLOOKUP($AS100,Ref!$G$23:$H$28,2))))</f>
        <v>Cleared</v>
      </c>
      <c r="AU100" s="546" t="str">
        <f t="shared" si="68"/>
        <v>Ok</v>
      </c>
    </row>
    <row r="101" spans="1:47" ht="15" customHeight="1" x14ac:dyDescent="0.15">
      <c r="A101" s="564">
        <v>44382</v>
      </c>
      <c r="B101" s="523">
        <v>115</v>
      </c>
      <c r="C101" s="523">
        <v>98</v>
      </c>
      <c r="D101" s="523">
        <v>1</v>
      </c>
      <c r="E101" s="523" t="s">
        <v>1274</v>
      </c>
      <c r="F101" s="554">
        <v>1000000</v>
      </c>
      <c r="G101" s="524">
        <v>6</v>
      </c>
      <c r="H101" s="555">
        <v>0.05</v>
      </c>
      <c r="I101" s="560" t="s">
        <v>859</v>
      </c>
      <c r="J101" s="523" t="s">
        <v>864</v>
      </c>
      <c r="K101" s="528" t="str">
        <f>IFERROR(VLOOKUP($B101,'Clients-Live'!$A:$C,3,0),"")</f>
        <v>AYIKE SAUDA</v>
      </c>
      <c r="L101" s="528">
        <f>IF(E101="STL",Pricing!$D$38,IF(A101="",0,IF(A101&lt;Pricing!$C$25,Pricing!$D$25,VLOOKUP(Disbursements!$F101,Pricing!$B$29:$D$32,3))))</f>
        <v>10000</v>
      </c>
      <c r="M101" s="528">
        <f>IF(E101="STL",0,IF(F101&gt;0,Pricing!$D$21,0))</f>
        <v>5000</v>
      </c>
      <c r="N101" s="529">
        <f>IF(E101="STL",F101*Pricing!$D$40,IF(A101&lt;=Pricing!$C$4,0,IF(AND(A101&gt;Pricing!$C$4,Disbursements!A101&lt;=Pricing!$C$5),F101*Pricing!$E$5,IF(AND(A101&gt;Pricing!$C$5,Disbursements!A101&lt;=Pricing!$C$7),VLOOKUP(F101,Pricing!$D$7:$E$8,2)*Disbursements!F101,F101*Pricing!$E$9))))</f>
        <v>0</v>
      </c>
      <c r="O101" s="528">
        <f>IF(E101="STL",0,IF($F101&gt;0,$F101*Pricing!$D$17,0))</f>
        <v>100000</v>
      </c>
      <c r="P101" s="530">
        <f t="shared" si="48"/>
        <v>300000</v>
      </c>
      <c r="Q101" s="531">
        <f>IF($A101="","",$G101/VLOOKUP($I101,Ref!$B$23:$D$29,2,0))</f>
        <v>6</v>
      </c>
      <c r="R101" s="530">
        <f t="shared" si="49"/>
        <v>1300000</v>
      </c>
      <c r="S101" s="532">
        <f t="shared" si="43"/>
        <v>216666.66666666666</v>
      </c>
      <c r="T101" s="531">
        <f t="shared" si="50"/>
        <v>217000</v>
      </c>
      <c r="U101" s="533">
        <f t="shared" si="51"/>
        <v>1302000</v>
      </c>
      <c r="V101" s="531">
        <f t="shared" si="52"/>
        <v>166666.66666666666</v>
      </c>
      <c r="W101" s="531">
        <f t="shared" si="53"/>
        <v>50333.333333333343</v>
      </c>
      <c r="X101" s="534">
        <f t="shared" si="54"/>
        <v>302000.00000000006</v>
      </c>
      <c r="Y101" s="535">
        <f>IF($A101="","",IF($I101="weekly",$A101+7,EDATE($A101,VLOOKUP($I101,Ref!$B$24:$C$29,2,0))))</f>
        <v>44413</v>
      </c>
      <c r="Z101" s="536" t="str">
        <f t="shared" si="55"/>
        <v>Thu</v>
      </c>
      <c r="AA101" s="531">
        <f t="shared" si="56"/>
        <v>31</v>
      </c>
      <c r="AB101" s="535">
        <f t="shared" si="44"/>
        <v>44566</v>
      </c>
      <c r="AC101" s="537">
        <f t="shared" si="45"/>
        <v>184</v>
      </c>
      <c r="AD101" s="538" t="str">
        <f t="shared" ca="1" si="46"/>
        <v>Expired</v>
      </c>
      <c r="AE101" s="537">
        <f t="shared" ca="1" si="47"/>
        <v>0</v>
      </c>
      <c r="AF101" s="539">
        <f t="shared" ca="1" si="57"/>
        <v>6</v>
      </c>
      <c r="AG101" s="531">
        <f t="shared" ca="1" si="58"/>
        <v>1302000</v>
      </c>
      <c r="AH101" s="531">
        <f t="shared" ca="1" si="59"/>
        <v>302000.00000000006</v>
      </c>
      <c r="AI101" s="531">
        <f t="shared" ca="1" si="60"/>
        <v>1000000</v>
      </c>
      <c r="AJ101" s="531">
        <f t="shared" ca="1" si="61"/>
        <v>0</v>
      </c>
      <c r="AK101" s="540">
        <f>SUMIFS('Live Collections'!$S:$S,'Live Collections'!$D:$D,Disbursements!B101,'Live Collections'!$G:$G,Disbursements!C101)</f>
        <v>302000.00000000006</v>
      </c>
      <c r="AL101" s="540">
        <f>SUMIFS('Live Collections'!$T:$T,'Live Collections'!$D:$D,Disbursements!B101,'Live Collections'!$G:$G,Disbursements!C101)</f>
        <v>998700</v>
      </c>
      <c r="AM101" s="541">
        <f t="shared" si="62"/>
        <v>1300700</v>
      </c>
      <c r="AN101" s="542">
        <f t="shared" si="63"/>
        <v>0</v>
      </c>
      <c r="AO101" s="542">
        <f t="shared" si="64"/>
        <v>1300</v>
      </c>
      <c r="AP101" s="543">
        <f t="shared" si="65"/>
        <v>1300</v>
      </c>
      <c r="AQ101" s="544">
        <f t="shared" ca="1" si="66"/>
        <v>1300</v>
      </c>
      <c r="AR101" s="545">
        <f t="shared" ca="1" si="67"/>
        <v>5.9907834101382493E-3</v>
      </c>
      <c r="AS101" s="545">
        <f ca="1">IFERROR(CEILING($AR101*VLOOKUP($I101,Ref!$B$23:$E$29,4,0),1),0)</f>
        <v>1</v>
      </c>
      <c r="AT101" s="545" t="str">
        <f ca="1">IF(A101="","",IF(AP101&lt;=1,"Cleared",IF(AS101=0,"Clean",VLOOKUP($AS101,Ref!$G$23:$H$28,2))))</f>
        <v>1.(0-30) Days</v>
      </c>
      <c r="AU101" s="546" t="str">
        <f t="shared" si="68"/>
        <v>Ok</v>
      </c>
    </row>
    <row r="102" spans="1:47" ht="15" customHeight="1" x14ac:dyDescent="0.15">
      <c r="A102" s="564">
        <v>44382</v>
      </c>
      <c r="B102" s="523">
        <v>116</v>
      </c>
      <c r="C102" s="523">
        <v>95</v>
      </c>
      <c r="D102" s="523">
        <v>1</v>
      </c>
      <c r="E102" s="523" t="s">
        <v>1274</v>
      </c>
      <c r="F102" s="554">
        <v>200000</v>
      </c>
      <c r="G102" s="561">
        <v>3</v>
      </c>
      <c r="H102" s="555">
        <v>0.05</v>
      </c>
      <c r="I102" s="560" t="s">
        <v>861</v>
      </c>
      <c r="J102" s="523" t="s">
        <v>864</v>
      </c>
      <c r="K102" s="528" t="str">
        <f>IFERROR(VLOOKUP($B102,'Clients-Live'!$A:$C,3,0),"")</f>
        <v>ONZIA LUCY</v>
      </c>
      <c r="L102" s="528">
        <f>IF(E102="STL",Pricing!$D$38,IF(A102="",0,IF(A102&lt;Pricing!$C$25,Pricing!$D$25,VLOOKUP(Disbursements!$F102,Pricing!$B$29:$D$32,3))))</f>
        <v>10000</v>
      </c>
      <c r="M102" s="528">
        <f>IF(E102="STL",0,IF(F102&gt;0,Pricing!$D$21,0))</f>
        <v>5000</v>
      </c>
      <c r="N102" s="529">
        <f>IF(E102="STL",F102*Pricing!$D$40,IF(A102&lt;=Pricing!$C$4,0,IF(AND(A102&gt;Pricing!$C$4,Disbursements!A102&lt;=Pricing!$C$5),F102*Pricing!$E$5,IF(AND(A102&gt;Pricing!$C$5,Disbursements!A102&lt;=Pricing!$C$7),VLOOKUP(F102,Pricing!$D$7:$E$8,2)*Disbursements!F102,F102*Pricing!$E$9))))</f>
        <v>0</v>
      </c>
      <c r="O102" s="528">
        <f>IF(E102="STL",0,IF($F102&gt;0,$F102*Pricing!$D$17,0))</f>
        <v>20000</v>
      </c>
      <c r="P102" s="530">
        <f t="shared" si="48"/>
        <v>30000</v>
      </c>
      <c r="Q102" s="531">
        <f>IF($A102="","",$G102/VLOOKUP($I102,Ref!$B$23:$D$29,2,0))</f>
        <v>12</v>
      </c>
      <c r="R102" s="530">
        <f t="shared" si="49"/>
        <v>230000</v>
      </c>
      <c r="S102" s="532">
        <f t="shared" si="43"/>
        <v>19166.666666666668</v>
      </c>
      <c r="T102" s="531">
        <f t="shared" si="50"/>
        <v>20000</v>
      </c>
      <c r="U102" s="533">
        <f t="shared" si="51"/>
        <v>240000</v>
      </c>
      <c r="V102" s="531">
        <f t="shared" si="52"/>
        <v>16666.666666666668</v>
      </c>
      <c r="W102" s="531">
        <f t="shared" si="53"/>
        <v>3333.3333333333321</v>
      </c>
      <c r="X102" s="534">
        <f t="shared" si="54"/>
        <v>39999.999999999985</v>
      </c>
      <c r="Y102" s="535">
        <f>IF($A102="","",IF($I102="weekly",$A102+7,EDATE($A102,VLOOKUP($I102,Ref!$B$24:$C$29,2,0))))</f>
        <v>44389</v>
      </c>
      <c r="Z102" s="536" t="str">
        <f t="shared" si="55"/>
        <v>Mon</v>
      </c>
      <c r="AA102" s="531">
        <f t="shared" si="56"/>
        <v>7</v>
      </c>
      <c r="AB102" s="535">
        <f t="shared" si="44"/>
        <v>44474</v>
      </c>
      <c r="AC102" s="537">
        <f t="shared" si="45"/>
        <v>92</v>
      </c>
      <c r="AD102" s="538" t="str">
        <f t="shared" ca="1" si="46"/>
        <v>Expired</v>
      </c>
      <c r="AE102" s="537">
        <f t="shared" ca="1" si="47"/>
        <v>0</v>
      </c>
      <c r="AF102" s="539">
        <f t="shared" ca="1" si="57"/>
        <v>12</v>
      </c>
      <c r="AG102" s="531">
        <f t="shared" ca="1" si="58"/>
        <v>240000</v>
      </c>
      <c r="AH102" s="531">
        <f t="shared" ca="1" si="59"/>
        <v>39999.999999999985</v>
      </c>
      <c r="AI102" s="531">
        <f t="shared" ca="1" si="60"/>
        <v>200000</v>
      </c>
      <c r="AJ102" s="531">
        <f t="shared" ca="1" si="61"/>
        <v>0</v>
      </c>
      <c r="AK102" s="540">
        <f>SUMIFS('Live Collections'!$S:$S,'Live Collections'!$D:$D,Disbursements!B102,'Live Collections'!$G:$G,Disbursements!C102)</f>
        <v>39999.999999999985</v>
      </c>
      <c r="AL102" s="540">
        <f>SUMIFS('Live Collections'!$T:$T,'Live Collections'!$D:$D,Disbursements!B102,'Live Collections'!$G:$G,Disbursements!C102)</f>
        <v>200000</v>
      </c>
      <c r="AM102" s="541">
        <f t="shared" si="62"/>
        <v>240000</v>
      </c>
      <c r="AN102" s="542">
        <f t="shared" si="63"/>
        <v>0</v>
      </c>
      <c r="AO102" s="542">
        <f t="shared" si="64"/>
        <v>0</v>
      </c>
      <c r="AP102" s="543">
        <f>IF(F102="","",SUM(AN102:AO102))</f>
        <v>0</v>
      </c>
      <c r="AQ102" s="544" t="str">
        <f t="shared" ca="1" si="66"/>
        <v/>
      </c>
      <c r="AR102" s="545">
        <f t="shared" ca="1" si="67"/>
        <v>0</v>
      </c>
      <c r="AS102" s="545">
        <f ca="1">IFERROR(CEILING($AR102*VLOOKUP($I102,Ref!$B$23:$E$29,4,0),1),0)</f>
        <v>0</v>
      </c>
      <c r="AT102" s="545" t="str">
        <f>IF(A102="","",IF(AP102&lt;=1,"Cleared",IF(AS102=0,"Clean",VLOOKUP($AS102,Ref!$G$23:$H$28,2))))</f>
        <v>Cleared</v>
      </c>
      <c r="AU102" s="546" t="str">
        <f t="shared" si="68"/>
        <v>Ok</v>
      </c>
    </row>
    <row r="103" spans="1:47" ht="15" customHeight="1" x14ac:dyDescent="0.15">
      <c r="A103" s="570">
        <v>44382</v>
      </c>
      <c r="B103" s="571">
        <v>117</v>
      </c>
      <c r="C103" s="523">
        <v>99</v>
      </c>
      <c r="D103" s="523">
        <v>1</v>
      </c>
      <c r="E103" s="523" t="s">
        <v>1274</v>
      </c>
      <c r="F103" s="572">
        <v>700000</v>
      </c>
      <c r="G103" s="524">
        <v>6</v>
      </c>
      <c r="H103" s="555">
        <v>0.05</v>
      </c>
      <c r="I103" s="573" t="s">
        <v>859</v>
      </c>
      <c r="J103" s="571" t="s">
        <v>863</v>
      </c>
      <c r="K103" s="528" t="str">
        <f>IFERROR(VLOOKUP($B103,'Clients-Live'!$A:$C,3,0),"")</f>
        <v>MAWA JACKSON</v>
      </c>
      <c r="L103" s="528">
        <f>IF(E103="STL",Pricing!$D$38,IF(A103="",0,IF(A103&lt;Pricing!$C$25,Pricing!$D$25,VLOOKUP(Disbursements!$F103,Pricing!$B$29:$D$32,3))))</f>
        <v>10000</v>
      </c>
      <c r="M103" s="528">
        <f>IF(E103="STL",0,IF(F103&gt;0,Pricing!$D$21,0))</f>
        <v>5000</v>
      </c>
      <c r="N103" s="529">
        <f>IF(E103="STL",F103*Pricing!$D$40,IF(A103&lt;=Pricing!$C$4,0,IF(AND(A103&gt;Pricing!$C$4,Disbursements!A103&lt;=Pricing!$C$5),F103*Pricing!$E$5,IF(AND(A103&gt;Pricing!$C$5,Disbursements!A103&lt;=Pricing!$C$7),VLOOKUP(F103,Pricing!$D$7:$E$8,2)*Disbursements!F103,F103*Pricing!$E$9))))</f>
        <v>0</v>
      </c>
      <c r="O103" s="528">
        <f>IF(E103="STL",0,IF($F103&gt;0,$F103*Pricing!$D$17,0))</f>
        <v>70000</v>
      </c>
      <c r="P103" s="530">
        <f t="shared" si="48"/>
        <v>210000</v>
      </c>
      <c r="Q103" s="531">
        <f>IF($A103="","",$G103/VLOOKUP($I103,Ref!$B$23:$D$29,2,0))</f>
        <v>6</v>
      </c>
      <c r="R103" s="530">
        <f t="shared" si="49"/>
        <v>910000</v>
      </c>
      <c r="S103" s="532">
        <f t="shared" si="43"/>
        <v>151666.66666666666</v>
      </c>
      <c r="T103" s="531">
        <f t="shared" si="50"/>
        <v>152000</v>
      </c>
      <c r="U103" s="533">
        <f t="shared" si="51"/>
        <v>912000</v>
      </c>
      <c r="V103" s="531">
        <f t="shared" si="52"/>
        <v>116666.66666666667</v>
      </c>
      <c r="W103" s="531">
        <f t="shared" si="53"/>
        <v>35333.333333333328</v>
      </c>
      <c r="X103" s="534">
        <f t="shared" si="54"/>
        <v>211999.99999999997</v>
      </c>
      <c r="Y103" s="535">
        <f>IF($A103="","",IF($I103="weekly",$A103+7,EDATE($A103,VLOOKUP($I103,Ref!$B$24:$C$29,2,0))))</f>
        <v>44413</v>
      </c>
      <c r="Z103" s="536" t="str">
        <f t="shared" si="55"/>
        <v>Thu</v>
      </c>
      <c r="AA103" s="531">
        <f t="shared" si="56"/>
        <v>31</v>
      </c>
      <c r="AB103" s="535">
        <f t="shared" si="44"/>
        <v>44566</v>
      </c>
      <c r="AC103" s="537">
        <f t="shared" si="45"/>
        <v>184</v>
      </c>
      <c r="AD103" s="538" t="str">
        <f t="shared" ca="1" si="46"/>
        <v>Expired</v>
      </c>
      <c r="AE103" s="537">
        <f t="shared" ca="1" si="47"/>
        <v>0</v>
      </c>
      <c r="AF103" s="539">
        <f t="shared" ca="1" si="57"/>
        <v>6</v>
      </c>
      <c r="AG103" s="531">
        <f t="shared" ca="1" si="58"/>
        <v>912000</v>
      </c>
      <c r="AH103" s="531">
        <f t="shared" ca="1" si="59"/>
        <v>211999.99999999997</v>
      </c>
      <c r="AI103" s="531">
        <f t="shared" ca="1" si="60"/>
        <v>700000</v>
      </c>
      <c r="AJ103" s="531">
        <f t="shared" ca="1" si="61"/>
        <v>0</v>
      </c>
      <c r="AK103" s="540">
        <f>SUMIFS('Live Collections'!$S:$S,'Live Collections'!$D:$D,Disbursements!B103,'Live Collections'!$G:$G,Disbursements!C103)</f>
        <v>211999.99999999997</v>
      </c>
      <c r="AL103" s="540">
        <f>SUMIFS('Live Collections'!$T:$T,'Live Collections'!$D:$D,Disbursements!B103,'Live Collections'!$G:$G,Disbursements!C103)</f>
        <v>700000</v>
      </c>
      <c r="AM103" s="541">
        <f t="shared" si="62"/>
        <v>912000</v>
      </c>
      <c r="AN103" s="542">
        <f t="shared" si="63"/>
        <v>0</v>
      </c>
      <c r="AO103" s="542">
        <f t="shared" si="64"/>
        <v>0</v>
      </c>
      <c r="AP103" s="543">
        <f t="shared" si="65"/>
        <v>0</v>
      </c>
      <c r="AQ103" s="544" t="str">
        <f t="shared" ca="1" si="66"/>
        <v/>
      </c>
      <c r="AR103" s="545">
        <f t="shared" ca="1" si="67"/>
        <v>0</v>
      </c>
      <c r="AS103" s="545">
        <f ca="1">IFERROR(CEILING($AR103*VLOOKUP($I103,Ref!$B$23:$E$29,4,0),1),0)</f>
        <v>0</v>
      </c>
      <c r="AT103" s="545" t="str">
        <f>IF(A103="","",IF(AP103&lt;=1,"Cleared",IF(AS103=0,"Clean",VLOOKUP($AS103,Ref!$G$23:$H$28,2))))</f>
        <v>Cleared</v>
      </c>
      <c r="AU103" s="546" t="str">
        <f t="shared" si="68"/>
        <v>Ok</v>
      </c>
    </row>
    <row r="104" spans="1:47" ht="15" customHeight="1" x14ac:dyDescent="0.15">
      <c r="A104" s="574">
        <v>44383</v>
      </c>
      <c r="B104" s="523">
        <v>102</v>
      </c>
      <c r="C104" s="523">
        <v>102</v>
      </c>
      <c r="D104" s="523">
        <v>1</v>
      </c>
      <c r="E104" s="523" t="s">
        <v>1274</v>
      </c>
      <c r="F104" s="569">
        <v>200000</v>
      </c>
      <c r="G104" s="524">
        <v>3</v>
      </c>
      <c r="H104" s="555">
        <v>0.05</v>
      </c>
      <c r="I104" s="560" t="s">
        <v>859</v>
      </c>
      <c r="J104" s="523" t="s">
        <v>864</v>
      </c>
      <c r="K104" s="528" t="str">
        <f>IFERROR(VLOOKUP($B104,'Clients-Live'!$A:$C,3,0),"")</f>
        <v>BATALI GODFREY JOHN</v>
      </c>
      <c r="L104" s="528">
        <f>IF(E104="STL",Pricing!$D$38,IF(A104="",0,IF(A104&lt;Pricing!$C$25,Pricing!$D$25,VLOOKUP(Disbursements!$F104,Pricing!$B$29:$D$32,3))))</f>
        <v>10000</v>
      </c>
      <c r="M104" s="528">
        <f>IF(E104="STL",0,IF(F104&gt;0,Pricing!$D$21,0))</f>
        <v>5000</v>
      </c>
      <c r="N104" s="529">
        <f>IF(E104="STL",F104*Pricing!$D$40,IF(A104&lt;=Pricing!$C$4,0,IF(AND(A104&gt;Pricing!$C$4,Disbursements!A104&lt;=Pricing!$C$5),F104*Pricing!$E$5,IF(AND(A104&gt;Pricing!$C$5,Disbursements!A104&lt;=Pricing!$C$7),VLOOKUP(F104,Pricing!$D$7:$E$8,2)*Disbursements!F104,F104*Pricing!$E$9))))</f>
        <v>2000</v>
      </c>
      <c r="O104" s="528">
        <f>IF(E104="STL",0,IF($F104&gt;0,$F104*Pricing!$D$17,0))</f>
        <v>20000</v>
      </c>
      <c r="P104" s="530">
        <f t="shared" si="48"/>
        <v>30000</v>
      </c>
      <c r="Q104" s="531">
        <f>IF($A104="","",$G104/VLOOKUP($I104,Ref!$B$23:$D$29,2,0))</f>
        <v>3</v>
      </c>
      <c r="R104" s="530">
        <f t="shared" si="49"/>
        <v>230000</v>
      </c>
      <c r="S104" s="532">
        <f t="shared" si="43"/>
        <v>76666.666666666672</v>
      </c>
      <c r="T104" s="531">
        <f t="shared" si="50"/>
        <v>77000</v>
      </c>
      <c r="U104" s="533">
        <f t="shared" si="51"/>
        <v>231000</v>
      </c>
      <c r="V104" s="531">
        <f t="shared" si="52"/>
        <v>66666.666666666672</v>
      </c>
      <c r="W104" s="531">
        <f t="shared" si="53"/>
        <v>10333.333333333328</v>
      </c>
      <c r="X104" s="534">
        <f t="shared" si="54"/>
        <v>30999.999999999985</v>
      </c>
      <c r="Y104" s="535">
        <f>IF($A104="","",IF($I104="weekly",$A104+7,EDATE($A104,VLOOKUP($I104,Ref!$B$24:$C$29,2,0))))</f>
        <v>44414</v>
      </c>
      <c r="Z104" s="536" t="str">
        <f t="shared" si="55"/>
        <v>Frid</v>
      </c>
      <c r="AA104" s="531">
        <f t="shared" si="56"/>
        <v>31</v>
      </c>
      <c r="AB104" s="535">
        <f t="shared" si="44"/>
        <v>44475</v>
      </c>
      <c r="AC104" s="537">
        <f t="shared" si="45"/>
        <v>92</v>
      </c>
      <c r="AD104" s="538" t="str">
        <f t="shared" ca="1" si="46"/>
        <v>Expired</v>
      </c>
      <c r="AE104" s="537">
        <f t="shared" ca="1" si="47"/>
        <v>0</v>
      </c>
      <c r="AF104" s="539">
        <f t="shared" ca="1" si="57"/>
        <v>3</v>
      </c>
      <c r="AG104" s="531">
        <f t="shared" ca="1" si="58"/>
        <v>231000</v>
      </c>
      <c r="AH104" s="531">
        <f t="shared" ca="1" si="59"/>
        <v>30999.999999999985</v>
      </c>
      <c r="AI104" s="531">
        <f t="shared" ca="1" si="60"/>
        <v>200000</v>
      </c>
      <c r="AJ104" s="531">
        <f t="shared" ca="1" si="61"/>
        <v>0</v>
      </c>
      <c r="AK104" s="540">
        <f>SUMIFS('Live Collections'!$S:$S,'Live Collections'!$D:$D,Disbursements!B104,'Live Collections'!$G:$G,Disbursements!C104)</f>
        <v>30999.999999999985</v>
      </c>
      <c r="AL104" s="540">
        <f>SUMIFS('Live Collections'!$T:$T,'Live Collections'!$D:$D,Disbursements!B104,'Live Collections'!$G:$G,Disbursements!C104)</f>
        <v>199000</v>
      </c>
      <c r="AM104" s="541">
        <f t="shared" si="62"/>
        <v>230000</v>
      </c>
      <c r="AN104" s="542">
        <f t="shared" si="63"/>
        <v>0</v>
      </c>
      <c r="AO104" s="542">
        <f t="shared" si="64"/>
        <v>1000</v>
      </c>
      <c r="AP104" s="543">
        <f t="shared" si="65"/>
        <v>1000</v>
      </c>
      <c r="AQ104" s="544">
        <f t="shared" ca="1" si="66"/>
        <v>1000</v>
      </c>
      <c r="AR104" s="545">
        <f t="shared" ca="1" si="67"/>
        <v>1.2987012987012988E-2</v>
      </c>
      <c r="AS104" s="545">
        <f ca="1">IFERROR(CEILING($AR104*VLOOKUP($I104,Ref!$B$23:$E$29,4,0),1),0)</f>
        <v>1</v>
      </c>
      <c r="AT104" s="545" t="str">
        <f ca="1">IF(A104="","",IF(AP104&lt;=1,"Cleared",IF(AS104=0,"Clean",VLOOKUP($AS104,Ref!$G$23:$H$28,2))))</f>
        <v>1.(0-30) Days</v>
      </c>
      <c r="AU104" s="546" t="str">
        <f t="shared" si="68"/>
        <v>Ok</v>
      </c>
    </row>
    <row r="105" spans="1:47" ht="15" customHeight="1" x14ac:dyDescent="0.15">
      <c r="A105" s="574">
        <v>44383</v>
      </c>
      <c r="B105" s="523">
        <v>112</v>
      </c>
      <c r="C105" s="523">
        <v>101</v>
      </c>
      <c r="D105" s="523">
        <v>1</v>
      </c>
      <c r="E105" s="523" t="s">
        <v>1274</v>
      </c>
      <c r="F105" s="554">
        <v>500000</v>
      </c>
      <c r="G105" s="524">
        <v>4</v>
      </c>
      <c r="H105" s="555">
        <v>0.05</v>
      </c>
      <c r="I105" s="560" t="s">
        <v>859</v>
      </c>
      <c r="J105" s="523" t="s">
        <v>862</v>
      </c>
      <c r="K105" s="528" t="str">
        <f>IFERROR(VLOOKUP($B105,'Clients-Live'!$A:$C,3,0),"")</f>
        <v>NURA JOYCE</v>
      </c>
      <c r="L105" s="528">
        <f>IF(E105="STL",Pricing!$D$38,IF(A105="",0,IF(A105&lt;Pricing!$C$25,Pricing!$D$25,VLOOKUP(Disbursements!$F105,Pricing!$B$29:$D$32,3))))</f>
        <v>10000</v>
      </c>
      <c r="M105" s="528">
        <f>IF(E105="STL",0,IF(F105&gt;0,Pricing!$D$21,0))</f>
        <v>5000</v>
      </c>
      <c r="N105" s="529">
        <f>IF(E105="STL",F105*Pricing!$D$40,IF(A105&lt;=Pricing!$C$4,0,IF(AND(A105&gt;Pricing!$C$4,Disbursements!A105&lt;=Pricing!$C$5),F105*Pricing!$E$5,IF(AND(A105&gt;Pricing!$C$5,Disbursements!A105&lt;=Pricing!$C$7),VLOOKUP(F105,Pricing!$D$7:$E$8,2)*Disbursements!F105,F105*Pricing!$E$9))))</f>
        <v>5000</v>
      </c>
      <c r="O105" s="528">
        <f>IF(E105="STL",0,IF($F105&gt;0,$F105*Pricing!$D$17,0))</f>
        <v>50000</v>
      </c>
      <c r="P105" s="530">
        <f t="shared" si="48"/>
        <v>100000</v>
      </c>
      <c r="Q105" s="531">
        <f>IF($A105="","",$G105/VLOOKUP($I105,Ref!$B$23:$D$29,2,0))</f>
        <v>4</v>
      </c>
      <c r="R105" s="530">
        <f t="shared" si="49"/>
        <v>600000</v>
      </c>
      <c r="S105" s="532">
        <f t="shared" si="43"/>
        <v>150000</v>
      </c>
      <c r="T105" s="531">
        <f t="shared" si="50"/>
        <v>150000</v>
      </c>
      <c r="U105" s="533">
        <f t="shared" si="51"/>
        <v>600000</v>
      </c>
      <c r="V105" s="531">
        <f t="shared" si="52"/>
        <v>125000</v>
      </c>
      <c r="W105" s="531">
        <f t="shared" si="53"/>
        <v>25000</v>
      </c>
      <c r="X105" s="534">
        <f t="shared" si="54"/>
        <v>100000</v>
      </c>
      <c r="Y105" s="535">
        <f>IF($A105="","",IF($I105="weekly",$A105+7,EDATE($A105,VLOOKUP($I105,Ref!$B$24:$C$29,2,0))))</f>
        <v>44414</v>
      </c>
      <c r="Z105" s="536" t="str">
        <f t="shared" si="55"/>
        <v>Frid</v>
      </c>
      <c r="AA105" s="531">
        <f t="shared" si="56"/>
        <v>31</v>
      </c>
      <c r="AB105" s="535">
        <f t="shared" si="44"/>
        <v>44506</v>
      </c>
      <c r="AC105" s="537">
        <f t="shared" si="45"/>
        <v>123</v>
      </c>
      <c r="AD105" s="538" t="str">
        <f t="shared" ca="1" si="46"/>
        <v>Expired</v>
      </c>
      <c r="AE105" s="537">
        <f t="shared" ca="1" si="47"/>
        <v>0</v>
      </c>
      <c r="AF105" s="539">
        <f t="shared" ca="1" si="57"/>
        <v>4</v>
      </c>
      <c r="AG105" s="531">
        <f t="shared" ca="1" si="58"/>
        <v>600000</v>
      </c>
      <c r="AH105" s="531">
        <f t="shared" ca="1" si="59"/>
        <v>100000</v>
      </c>
      <c r="AI105" s="531">
        <f t="shared" ca="1" si="60"/>
        <v>500000</v>
      </c>
      <c r="AJ105" s="531">
        <f t="shared" ca="1" si="61"/>
        <v>0</v>
      </c>
      <c r="AK105" s="540">
        <f>SUMIFS('Live Collections'!$S:$S,'Live Collections'!$D:$D,Disbursements!B105,'Live Collections'!$G:$G,Disbursements!C105)</f>
        <v>100000</v>
      </c>
      <c r="AL105" s="540">
        <f>SUMIFS('Live Collections'!$T:$T,'Live Collections'!$D:$D,Disbursements!B105,'Live Collections'!$G:$G,Disbursements!C105)</f>
        <v>500000</v>
      </c>
      <c r="AM105" s="541">
        <f t="shared" si="62"/>
        <v>600000</v>
      </c>
      <c r="AN105" s="542">
        <f t="shared" si="63"/>
        <v>0</v>
      </c>
      <c r="AO105" s="542">
        <f t="shared" si="64"/>
        <v>0</v>
      </c>
      <c r="AP105" s="543">
        <f t="shared" si="65"/>
        <v>0</v>
      </c>
      <c r="AQ105" s="544" t="str">
        <f t="shared" ca="1" si="66"/>
        <v/>
      </c>
      <c r="AR105" s="545">
        <f t="shared" ca="1" si="67"/>
        <v>0</v>
      </c>
      <c r="AS105" s="545">
        <f ca="1">IFERROR(CEILING($AR105*VLOOKUP($I105,Ref!$B$23:$E$29,4,0),1),0)</f>
        <v>0</v>
      </c>
      <c r="AT105" s="545" t="str">
        <f>IF(A105="","",IF(AP105&lt;=1,"Cleared",IF(AS105=0,"Clean",VLOOKUP($AS105,Ref!$G$23:$H$28,2))))</f>
        <v>Cleared</v>
      </c>
      <c r="AU105" s="546" t="str">
        <f t="shared" si="68"/>
        <v>Ok</v>
      </c>
    </row>
    <row r="106" spans="1:47" ht="15" customHeight="1" x14ac:dyDescent="0.15">
      <c r="A106" s="574">
        <v>44383</v>
      </c>
      <c r="B106" s="523">
        <v>119</v>
      </c>
      <c r="C106" s="523">
        <v>103</v>
      </c>
      <c r="D106" s="523">
        <v>1</v>
      </c>
      <c r="E106" s="523" t="s">
        <v>1275</v>
      </c>
      <c r="F106" s="554">
        <v>2000000</v>
      </c>
      <c r="G106" s="524">
        <v>3</v>
      </c>
      <c r="H106" s="555">
        <v>7.4999999999999997E-2</v>
      </c>
      <c r="I106" s="560" t="s">
        <v>859</v>
      </c>
      <c r="J106" s="523" t="s">
        <v>862</v>
      </c>
      <c r="K106" s="528" t="str">
        <f>IFERROR(VLOOKUP($B106,'Clients-Live'!$A:$C,3,0),"")</f>
        <v>STELLA KONGAI</v>
      </c>
      <c r="L106" s="528">
        <f>IF(E106="STL",Pricing!$D$38,IF(A106="",0,IF(A106&lt;Pricing!$C$25,Pricing!$D$25,VLOOKUP(Disbursements!$F106,Pricing!$B$29:$D$32,3))))</f>
        <v>10000</v>
      </c>
      <c r="M106" s="528">
        <f>IF(E106="STL",0,IF(F106&gt;0,Pricing!$D$21,0))</f>
        <v>5000</v>
      </c>
      <c r="N106" s="529">
        <f>IF(E106="STL",F106*Pricing!$D$40,IF(A106&lt;=Pricing!$C$4,0,IF(AND(A106&gt;Pricing!$C$4,Disbursements!A106&lt;=Pricing!$C$5),F106*Pricing!$E$5,IF(AND(A106&gt;Pricing!$C$5,Disbursements!A106&lt;=Pricing!$C$7),VLOOKUP(F106,Pricing!$D$7:$E$8,2)*Disbursements!F106,F106*Pricing!$E$9))))</f>
        <v>20000</v>
      </c>
      <c r="O106" s="528">
        <f>IF(E106="STL",0,IF($F106&gt;0,$F106*Pricing!$D$17,0))</f>
        <v>200000</v>
      </c>
      <c r="P106" s="530">
        <f t="shared" si="48"/>
        <v>450000</v>
      </c>
      <c r="Q106" s="531">
        <f>IF($A106="","",$G106/VLOOKUP($I106,Ref!$B$23:$D$29,2,0))</f>
        <v>3</v>
      </c>
      <c r="R106" s="530">
        <f t="shared" si="49"/>
        <v>2450000</v>
      </c>
      <c r="S106" s="532">
        <f t="shared" si="43"/>
        <v>816666.66666666663</v>
      </c>
      <c r="T106" s="531">
        <f t="shared" si="50"/>
        <v>817000</v>
      </c>
      <c r="U106" s="533">
        <f t="shared" si="51"/>
        <v>2451000</v>
      </c>
      <c r="V106" s="531">
        <f t="shared" si="52"/>
        <v>666666.66666666663</v>
      </c>
      <c r="W106" s="531">
        <f t="shared" si="53"/>
        <v>150333.33333333337</v>
      </c>
      <c r="X106" s="534">
        <f t="shared" si="54"/>
        <v>451000.00000000012</v>
      </c>
      <c r="Y106" s="535">
        <f>IF($A106="","",IF($I106="weekly",$A106+7,EDATE($A106,VLOOKUP($I106,Ref!$B$24:$C$29,2,0))))</f>
        <v>44414</v>
      </c>
      <c r="Z106" s="536" t="str">
        <f t="shared" si="55"/>
        <v>Frid</v>
      </c>
      <c r="AA106" s="531">
        <f t="shared" si="56"/>
        <v>31</v>
      </c>
      <c r="AB106" s="535">
        <f t="shared" si="44"/>
        <v>44475</v>
      </c>
      <c r="AC106" s="537">
        <f t="shared" si="45"/>
        <v>92</v>
      </c>
      <c r="AD106" s="538" t="str">
        <f t="shared" ca="1" si="46"/>
        <v>Expired</v>
      </c>
      <c r="AE106" s="537">
        <f t="shared" ca="1" si="47"/>
        <v>0</v>
      </c>
      <c r="AF106" s="539">
        <f t="shared" ca="1" si="57"/>
        <v>3</v>
      </c>
      <c r="AG106" s="531">
        <f t="shared" ca="1" si="58"/>
        <v>2451000</v>
      </c>
      <c r="AH106" s="531">
        <f t="shared" ca="1" si="59"/>
        <v>451000.00000000012</v>
      </c>
      <c r="AI106" s="531">
        <f t="shared" ca="1" si="60"/>
        <v>2000000</v>
      </c>
      <c r="AJ106" s="531">
        <f t="shared" ca="1" si="61"/>
        <v>0</v>
      </c>
      <c r="AK106" s="540">
        <f>SUMIFS('Live Collections'!$S:$S,'Live Collections'!$D:$D,Disbursements!B106,'Live Collections'!$G:$G,Disbursements!C106)</f>
        <v>451000.00000000012</v>
      </c>
      <c r="AL106" s="540">
        <f>SUMIFS('Live Collections'!$T:$T,'Live Collections'!$D:$D,Disbursements!B106,'Live Collections'!$G:$G,Disbursements!C106)</f>
        <v>1999999.9999999998</v>
      </c>
      <c r="AM106" s="541">
        <f t="shared" si="62"/>
        <v>2451000</v>
      </c>
      <c r="AN106" s="542">
        <f t="shared" si="63"/>
        <v>0</v>
      </c>
      <c r="AO106" s="542">
        <f t="shared" si="64"/>
        <v>2.3283064365386963E-10</v>
      </c>
      <c r="AP106" s="543">
        <f t="shared" si="65"/>
        <v>2.3283064365386963E-10</v>
      </c>
      <c r="AQ106" s="544">
        <f t="shared" ca="1" si="66"/>
        <v>2.3283064365386963E-10</v>
      </c>
      <c r="AR106" s="545">
        <f t="shared" ca="1" si="67"/>
        <v>2.8498242797291265E-16</v>
      </c>
      <c r="AS106" s="545">
        <f ca="1">IFERROR(CEILING($AR106*VLOOKUP($I106,Ref!$B$23:$E$29,4,0),1),0)</f>
        <v>1</v>
      </c>
      <c r="AT106" s="545" t="str">
        <f>IF(A106="","",IF(AP106&lt;=1,"Cleared",IF(AS106=0,"Clean",VLOOKUP($AS106,Ref!$G$23:$H$28,2))))</f>
        <v>Cleared</v>
      </c>
      <c r="AU106" s="546" t="str">
        <f t="shared" si="68"/>
        <v>Ok</v>
      </c>
    </row>
    <row r="107" spans="1:47" ht="15" customHeight="1" x14ac:dyDescent="0.15">
      <c r="A107" s="574">
        <v>44384</v>
      </c>
      <c r="B107" s="523">
        <v>69</v>
      </c>
      <c r="C107" s="523">
        <v>106</v>
      </c>
      <c r="D107" s="523">
        <v>1</v>
      </c>
      <c r="E107" s="523" t="s">
        <v>1274</v>
      </c>
      <c r="F107" s="554">
        <v>300000</v>
      </c>
      <c r="G107" s="524">
        <v>4</v>
      </c>
      <c r="H107" s="555">
        <v>0.05</v>
      </c>
      <c r="I107" s="560" t="s">
        <v>859</v>
      </c>
      <c r="J107" s="523" t="s">
        <v>862</v>
      </c>
      <c r="K107" s="528" t="str">
        <f>IFERROR(VLOOKUP($B107,'Clients-Live'!$A:$C,3,0),"")</f>
        <v>SADIA JOYCE</v>
      </c>
      <c r="L107" s="528">
        <f>IF(E107="STL",Pricing!$D$38,IF(A107="",0,IF(A107&lt;Pricing!$C$25,Pricing!$D$25,VLOOKUP(Disbursements!$F107,Pricing!$B$29:$D$32,3))))</f>
        <v>10000</v>
      </c>
      <c r="M107" s="528">
        <f>IF(E107="STL",0,IF(F107&gt;0,Pricing!$D$21,0))</f>
        <v>5000</v>
      </c>
      <c r="N107" s="529">
        <f>IF(E107="STL",F107*Pricing!$D$40,IF(A107&lt;=Pricing!$C$4,0,IF(AND(A107&gt;Pricing!$C$4,Disbursements!A107&lt;=Pricing!$C$5),F107*Pricing!$E$5,IF(AND(A107&gt;Pricing!$C$5,Disbursements!A107&lt;=Pricing!$C$7),VLOOKUP(F107,Pricing!$D$7:$E$8,2)*Disbursements!F107,F107*Pricing!$E$9))))</f>
        <v>3000</v>
      </c>
      <c r="O107" s="528">
        <f>IF(E107="STL",0,IF($F107&gt;0,$F107*Pricing!$D$17,0))</f>
        <v>30000</v>
      </c>
      <c r="P107" s="530">
        <f t="shared" si="48"/>
        <v>60000</v>
      </c>
      <c r="Q107" s="531">
        <f>IF($A107="","",$G107/VLOOKUP($I107,Ref!$B$23:$D$29,2,0))</f>
        <v>4</v>
      </c>
      <c r="R107" s="530">
        <f t="shared" si="49"/>
        <v>360000</v>
      </c>
      <c r="S107" s="532">
        <f t="shared" si="43"/>
        <v>90000</v>
      </c>
      <c r="T107" s="531">
        <f t="shared" si="50"/>
        <v>90000</v>
      </c>
      <c r="U107" s="533">
        <f t="shared" si="51"/>
        <v>360000</v>
      </c>
      <c r="V107" s="531">
        <f t="shared" si="52"/>
        <v>75000</v>
      </c>
      <c r="W107" s="531">
        <f t="shared" si="53"/>
        <v>15000</v>
      </c>
      <c r="X107" s="534">
        <f t="shared" si="54"/>
        <v>60000</v>
      </c>
      <c r="Y107" s="535">
        <f>IF($A107="","",IF($I107="weekly",$A107+7,EDATE($A107,VLOOKUP($I107,Ref!$B$24:$C$29,2,0))))</f>
        <v>44415</v>
      </c>
      <c r="Z107" s="536" t="str">
        <f t="shared" si="55"/>
        <v>Sat</v>
      </c>
      <c r="AA107" s="531">
        <f t="shared" si="56"/>
        <v>31</v>
      </c>
      <c r="AB107" s="535">
        <f t="shared" si="44"/>
        <v>44507</v>
      </c>
      <c r="AC107" s="537">
        <f t="shared" si="45"/>
        <v>123</v>
      </c>
      <c r="AD107" s="538" t="str">
        <f t="shared" ca="1" si="46"/>
        <v>Expired</v>
      </c>
      <c r="AE107" s="537">
        <f t="shared" ca="1" si="47"/>
        <v>0</v>
      </c>
      <c r="AF107" s="539">
        <f t="shared" ca="1" si="57"/>
        <v>4</v>
      </c>
      <c r="AG107" s="531">
        <f t="shared" ca="1" si="58"/>
        <v>360000</v>
      </c>
      <c r="AH107" s="531">
        <f t="shared" ca="1" si="59"/>
        <v>60000</v>
      </c>
      <c r="AI107" s="531">
        <f t="shared" ca="1" si="60"/>
        <v>300000</v>
      </c>
      <c r="AJ107" s="531">
        <f t="shared" ca="1" si="61"/>
        <v>0</v>
      </c>
      <c r="AK107" s="540">
        <f>SUMIFS('Live Collections'!$S:$S,'Live Collections'!$D:$D,Disbursements!B107,'Live Collections'!$G:$G,Disbursements!C107)</f>
        <v>60000</v>
      </c>
      <c r="AL107" s="540">
        <f>SUMIFS('Live Collections'!$T:$T,'Live Collections'!$D:$D,Disbursements!B107,'Live Collections'!$G:$G,Disbursements!C107)</f>
        <v>300000</v>
      </c>
      <c r="AM107" s="541">
        <f t="shared" si="62"/>
        <v>360000</v>
      </c>
      <c r="AN107" s="542">
        <f t="shared" si="63"/>
        <v>0</v>
      </c>
      <c r="AO107" s="542">
        <f t="shared" si="64"/>
        <v>0</v>
      </c>
      <c r="AP107" s="543">
        <f t="shared" si="65"/>
        <v>0</v>
      </c>
      <c r="AQ107" s="544" t="str">
        <f t="shared" ca="1" si="66"/>
        <v/>
      </c>
      <c r="AR107" s="545">
        <f t="shared" ca="1" si="67"/>
        <v>0</v>
      </c>
      <c r="AS107" s="545">
        <f ca="1">IFERROR(CEILING($AR107*VLOOKUP($I107,Ref!$B$23:$E$29,4,0),1),0)</f>
        <v>0</v>
      </c>
      <c r="AT107" s="545" t="str">
        <f>IF(A107="","",IF(AP107&lt;=1,"Cleared",IF(AS107=0,"Clean",VLOOKUP($AS107,Ref!$G$23:$H$28,2))))</f>
        <v>Cleared</v>
      </c>
      <c r="AU107" s="546" t="str">
        <f t="shared" si="68"/>
        <v>Ok</v>
      </c>
    </row>
    <row r="108" spans="1:47" ht="15" customHeight="1" x14ac:dyDescent="0.15">
      <c r="A108" s="574">
        <v>44384</v>
      </c>
      <c r="B108" s="523">
        <v>126</v>
      </c>
      <c r="C108" s="523">
        <v>108</v>
      </c>
      <c r="D108" s="523">
        <v>1</v>
      </c>
      <c r="E108" s="523" t="s">
        <v>1275</v>
      </c>
      <c r="F108" s="554">
        <v>700000</v>
      </c>
      <c r="G108" s="524">
        <v>1</v>
      </c>
      <c r="H108" s="555">
        <v>7.4999999999999997E-2</v>
      </c>
      <c r="I108" s="560" t="s">
        <v>859</v>
      </c>
      <c r="J108" s="523" t="s">
        <v>862</v>
      </c>
      <c r="K108" s="528" t="str">
        <f>IFERROR(VLOOKUP($B108,'Clients-Live'!$A:$C,3,0),"")</f>
        <v>OGWAL STEPHEN GERALD</v>
      </c>
      <c r="L108" s="528">
        <f>IF(E108="STL",Pricing!$D$38,IF(A108="",0,IF(A108&lt;Pricing!$C$25,Pricing!$D$25,VLOOKUP(Disbursements!$F108,Pricing!$B$29:$D$32,3))))</f>
        <v>10000</v>
      </c>
      <c r="M108" s="528">
        <f>IF(E108="STL",0,IF(F108&gt;0,Pricing!$D$21,0))</f>
        <v>5000</v>
      </c>
      <c r="N108" s="529">
        <f>IF(E108="STL",F108*Pricing!$D$40,IF(A108&lt;=Pricing!$C$4,0,IF(AND(A108&gt;Pricing!$C$4,Disbursements!A108&lt;=Pricing!$C$5),F108*Pricing!$E$5,IF(AND(A108&gt;Pricing!$C$5,Disbursements!A108&lt;=Pricing!$C$7),VLOOKUP(F108,Pricing!$D$7:$E$8,2)*Disbursements!F108,F108*Pricing!$E$9))))</f>
        <v>7000</v>
      </c>
      <c r="O108" s="528">
        <f>IF(E108="STL",0,IF($F108&gt;0,$F108*Pricing!$D$17,0))</f>
        <v>70000</v>
      </c>
      <c r="P108" s="530">
        <f t="shared" si="48"/>
        <v>52500</v>
      </c>
      <c r="Q108" s="531">
        <f>IF($A108="","",$G108/VLOOKUP($I108,Ref!$B$23:$D$29,2,0))</f>
        <v>1</v>
      </c>
      <c r="R108" s="530">
        <f t="shared" si="49"/>
        <v>752500</v>
      </c>
      <c r="S108" s="532">
        <f t="shared" si="43"/>
        <v>752500</v>
      </c>
      <c r="T108" s="531">
        <f t="shared" si="50"/>
        <v>753000</v>
      </c>
      <c r="U108" s="533">
        <f t="shared" si="51"/>
        <v>753000</v>
      </c>
      <c r="V108" s="531">
        <f t="shared" si="52"/>
        <v>700000</v>
      </c>
      <c r="W108" s="531">
        <f t="shared" si="53"/>
        <v>53000</v>
      </c>
      <c r="X108" s="534">
        <f t="shared" si="54"/>
        <v>53000</v>
      </c>
      <c r="Y108" s="535">
        <f>IF($A108="","",IF($I108="weekly",$A108+7,EDATE($A108,VLOOKUP($I108,Ref!$B$24:$C$29,2,0))))</f>
        <v>44415</v>
      </c>
      <c r="Z108" s="536" t="str">
        <f t="shared" si="55"/>
        <v>Sat</v>
      </c>
      <c r="AA108" s="531">
        <f t="shared" si="56"/>
        <v>31</v>
      </c>
      <c r="AB108" s="535">
        <f t="shared" si="44"/>
        <v>44415</v>
      </c>
      <c r="AC108" s="537">
        <f t="shared" si="45"/>
        <v>31</v>
      </c>
      <c r="AD108" s="538" t="str">
        <f t="shared" ca="1" si="46"/>
        <v>Expired</v>
      </c>
      <c r="AE108" s="537">
        <f t="shared" ca="1" si="47"/>
        <v>0</v>
      </c>
      <c r="AF108" s="539">
        <f t="shared" ca="1" si="57"/>
        <v>1</v>
      </c>
      <c r="AG108" s="531">
        <f t="shared" ca="1" si="58"/>
        <v>753000</v>
      </c>
      <c r="AH108" s="531">
        <f t="shared" ca="1" si="59"/>
        <v>53000</v>
      </c>
      <c r="AI108" s="531">
        <f t="shared" ca="1" si="60"/>
        <v>700000</v>
      </c>
      <c r="AJ108" s="531">
        <f t="shared" ca="1" si="61"/>
        <v>0</v>
      </c>
      <c r="AK108" s="540">
        <f>SUMIFS('Live Collections'!$S:$S,'Live Collections'!$D:$D,Disbursements!B108,'Live Collections'!$G:$G,Disbursements!C108)</f>
        <v>53000</v>
      </c>
      <c r="AL108" s="540">
        <f>SUMIFS('Live Collections'!$T:$T,'Live Collections'!$D:$D,Disbursements!B108,'Live Collections'!$G:$G,Disbursements!C108)</f>
        <v>700000</v>
      </c>
      <c r="AM108" s="541">
        <f t="shared" si="62"/>
        <v>753000</v>
      </c>
      <c r="AN108" s="542">
        <f t="shared" si="63"/>
        <v>0</v>
      </c>
      <c r="AO108" s="542">
        <f t="shared" si="64"/>
        <v>0</v>
      </c>
      <c r="AP108" s="543">
        <f t="shared" si="65"/>
        <v>0</v>
      </c>
      <c r="AQ108" s="544" t="str">
        <f t="shared" ca="1" si="66"/>
        <v/>
      </c>
      <c r="AR108" s="545">
        <f t="shared" ca="1" si="67"/>
        <v>0</v>
      </c>
      <c r="AS108" s="545">
        <f ca="1">IFERROR(CEILING($AR108*VLOOKUP($I108,Ref!$B$23:$E$29,4,0),1),0)</f>
        <v>0</v>
      </c>
      <c r="AT108" s="545" t="str">
        <f>IF(A108="","",IF(AP108&lt;=1,"Cleared",IF(AS108=0,"Clean",VLOOKUP($AS108,Ref!$G$23:$H$28,2))))</f>
        <v>Cleared</v>
      </c>
      <c r="AU108" s="546" t="str">
        <f t="shared" si="68"/>
        <v>Ok</v>
      </c>
    </row>
    <row r="109" spans="1:47" ht="15" customHeight="1" x14ac:dyDescent="0.15">
      <c r="A109" s="574">
        <v>44385</v>
      </c>
      <c r="B109" s="523">
        <v>121</v>
      </c>
      <c r="C109" s="523">
        <v>105</v>
      </c>
      <c r="D109" s="523">
        <v>1</v>
      </c>
      <c r="E109" s="523" t="s">
        <v>1274</v>
      </c>
      <c r="F109" s="554">
        <v>800000</v>
      </c>
      <c r="G109" s="524">
        <v>4</v>
      </c>
      <c r="H109" s="555">
        <v>0.05</v>
      </c>
      <c r="I109" s="560" t="s">
        <v>859</v>
      </c>
      <c r="J109" s="523" t="s">
        <v>863</v>
      </c>
      <c r="K109" s="528" t="str">
        <f>IFERROR(VLOOKUP($B109,'Clients-Live'!$A:$C,3,0),"")</f>
        <v>AMAYO CHARLES</v>
      </c>
      <c r="L109" s="528">
        <f>IF(E109="STL",Pricing!$D$38,IF(A109="",0,IF(A109&lt;Pricing!$C$25,Pricing!$D$25,VLOOKUP(Disbursements!$F109,Pricing!$B$29:$D$32,3))))</f>
        <v>10000</v>
      </c>
      <c r="M109" s="528">
        <f>IF(E109="STL",0,IF(F109&gt;0,Pricing!$D$21,0))</f>
        <v>5000</v>
      </c>
      <c r="N109" s="529">
        <f>IF(E109="STL",F109*Pricing!$D$40,IF(A109&lt;=Pricing!$C$4,0,IF(AND(A109&gt;Pricing!$C$4,Disbursements!A109&lt;=Pricing!$C$5),F109*Pricing!$E$5,IF(AND(A109&gt;Pricing!$C$5,Disbursements!A109&lt;=Pricing!$C$7),VLOOKUP(F109,Pricing!$D$7:$E$8,2)*Disbursements!F109,F109*Pricing!$E$9))))</f>
        <v>8000</v>
      </c>
      <c r="O109" s="528">
        <f>IF(E109="STL",0,IF($F109&gt;0,$F109*Pricing!$D$17,0))</f>
        <v>80000</v>
      </c>
      <c r="P109" s="530">
        <f t="shared" si="48"/>
        <v>160000</v>
      </c>
      <c r="Q109" s="531">
        <f>IF($A109="","",$G109/VLOOKUP($I109,Ref!$B$23:$D$29,2,0))</f>
        <v>4</v>
      </c>
      <c r="R109" s="530">
        <f t="shared" si="49"/>
        <v>960000</v>
      </c>
      <c r="S109" s="532">
        <f t="shared" si="43"/>
        <v>240000</v>
      </c>
      <c r="T109" s="531">
        <f t="shared" si="50"/>
        <v>240000</v>
      </c>
      <c r="U109" s="533">
        <f t="shared" si="51"/>
        <v>960000</v>
      </c>
      <c r="V109" s="531">
        <f t="shared" si="52"/>
        <v>200000</v>
      </c>
      <c r="W109" s="531">
        <f t="shared" si="53"/>
        <v>40000</v>
      </c>
      <c r="X109" s="534">
        <f t="shared" si="54"/>
        <v>160000</v>
      </c>
      <c r="Y109" s="535">
        <f>IF($A109="","",IF($I109="weekly",$A109+7,EDATE($A109,VLOOKUP($I109,Ref!$B$24:$C$29,2,0))))</f>
        <v>44416</v>
      </c>
      <c r="Z109" s="536" t="str">
        <f t="shared" si="55"/>
        <v>Sun</v>
      </c>
      <c r="AA109" s="531">
        <f t="shared" si="56"/>
        <v>31</v>
      </c>
      <c r="AB109" s="535">
        <f t="shared" si="44"/>
        <v>44508</v>
      </c>
      <c r="AC109" s="537">
        <f t="shared" si="45"/>
        <v>123</v>
      </c>
      <c r="AD109" s="538" t="str">
        <f t="shared" ca="1" si="46"/>
        <v>Expired</v>
      </c>
      <c r="AE109" s="537">
        <f t="shared" ca="1" si="47"/>
        <v>0</v>
      </c>
      <c r="AF109" s="539">
        <f t="shared" ca="1" si="57"/>
        <v>4</v>
      </c>
      <c r="AG109" s="531">
        <f t="shared" ca="1" si="58"/>
        <v>960000</v>
      </c>
      <c r="AH109" s="531">
        <f t="shared" ca="1" si="59"/>
        <v>160000</v>
      </c>
      <c r="AI109" s="531">
        <f t="shared" ca="1" si="60"/>
        <v>800000</v>
      </c>
      <c r="AJ109" s="531">
        <f t="shared" ca="1" si="61"/>
        <v>0</v>
      </c>
      <c r="AK109" s="540">
        <f>SUMIFS('Live Collections'!$S:$S,'Live Collections'!$D:$D,Disbursements!B109,'Live Collections'!$G:$G,Disbursements!C109)</f>
        <v>160000</v>
      </c>
      <c r="AL109" s="540">
        <f>SUMIFS('Live Collections'!$T:$T,'Live Collections'!$D:$D,Disbursements!B109,'Live Collections'!$G:$G,Disbursements!C109)</f>
        <v>610000</v>
      </c>
      <c r="AM109" s="541">
        <f t="shared" si="62"/>
        <v>770000</v>
      </c>
      <c r="AN109" s="542">
        <f t="shared" si="63"/>
        <v>0</v>
      </c>
      <c r="AO109" s="542">
        <f t="shared" si="64"/>
        <v>190000</v>
      </c>
      <c r="AP109" s="543">
        <f t="shared" si="65"/>
        <v>190000</v>
      </c>
      <c r="AQ109" s="544">
        <f t="shared" ca="1" si="66"/>
        <v>190000</v>
      </c>
      <c r="AR109" s="545">
        <f t="shared" ca="1" si="67"/>
        <v>0.79166666666666663</v>
      </c>
      <c r="AS109" s="545">
        <f ca="1">IFERROR(CEILING($AR109*VLOOKUP($I109,Ref!$B$23:$E$29,4,0),1),0)</f>
        <v>24</v>
      </c>
      <c r="AT109" s="545" t="str">
        <f ca="1">IF(A109="","",IF(AP109&lt;=1,"Cleared",IF(AS109=0,"Clean",VLOOKUP($AS109,Ref!$G$23:$H$28,2))))</f>
        <v>1.(0-30) Days</v>
      </c>
      <c r="AU109" s="546" t="str">
        <f t="shared" si="68"/>
        <v>Ok</v>
      </c>
    </row>
    <row r="110" spans="1:47" ht="15" customHeight="1" x14ac:dyDescent="0.15">
      <c r="A110" s="574">
        <v>44385</v>
      </c>
      <c r="B110" s="523">
        <v>124</v>
      </c>
      <c r="C110" s="523">
        <v>199</v>
      </c>
      <c r="D110" s="523">
        <v>1</v>
      </c>
      <c r="E110" s="523" t="s">
        <v>1274</v>
      </c>
      <c r="F110" s="558">
        <v>600000</v>
      </c>
      <c r="G110" s="567">
        <v>4</v>
      </c>
      <c r="H110" s="568">
        <v>0.05</v>
      </c>
      <c r="I110" s="560" t="s">
        <v>859</v>
      </c>
      <c r="J110" s="523" t="s">
        <v>863</v>
      </c>
      <c r="K110" s="528" t="str">
        <f>IFERROR(VLOOKUP($B110,'Clients-Live'!$A:$C,3,0),"")</f>
        <v>TIKO ZABIBU</v>
      </c>
      <c r="L110" s="528">
        <f>IF(E110="STL",Pricing!$D$38,IF(A110="",0,IF(A110&lt;Pricing!$C$25,Pricing!$D$25,VLOOKUP(Disbursements!$F110,Pricing!$B$29:$D$32,3))))</f>
        <v>10000</v>
      </c>
      <c r="M110" s="528">
        <f>IF(E110="STL",0,IF(F110&gt;0,Pricing!$D$21,0))</f>
        <v>5000</v>
      </c>
      <c r="N110" s="529">
        <f>IF(E110="STL",F110*Pricing!$D$40,IF(A110&lt;=Pricing!$C$4,0,IF(AND(A110&gt;Pricing!$C$4,Disbursements!A110&lt;=Pricing!$C$5),F110*Pricing!$E$5,IF(AND(A110&gt;Pricing!$C$5,Disbursements!A110&lt;=Pricing!$C$7),VLOOKUP(F110,Pricing!$D$7:$E$8,2)*Disbursements!F110,F110*Pricing!$E$9))))</f>
        <v>6000</v>
      </c>
      <c r="O110" s="528">
        <f>IF(E110="STL",0,IF($F110&gt;0,$F110*Pricing!$D$17,0))</f>
        <v>60000</v>
      </c>
      <c r="P110" s="530">
        <f t="shared" si="48"/>
        <v>120000</v>
      </c>
      <c r="Q110" s="531">
        <f>IF($A110="","",$G110/VLOOKUP($I110,Ref!$B$23:$D$29,2,0))</f>
        <v>4</v>
      </c>
      <c r="R110" s="530">
        <f t="shared" si="49"/>
        <v>720000</v>
      </c>
      <c r="S110" s="532">
        <f t="shared" si="43"/>
        <v>180000</v>
      </c>
      <c r="T110" s="531">
        <f t="shared" si="50"/>
        <v>180000</v>
      </c>
      <c r="U110" s="533">
        <f t="shared" si="51"/>
        <v>720000</v>
      </c>
      <c r="V110" s="531">
        <f t="shared" si="52"/>
        <v>150000</v>
      </c>
      <c r="W110" s="531">
        <f t="shared" si="53"/>
        <v>30000</v>
      </c>
      <c r="X110" s="534">
        <f t="shared" si="54"/>
        <v>120000</v>
      </c>
      <c r="Y110" s="535">
        <f>IF($A110="","",IF($I110="weekly",$A110+7,EDATE($A110,VLOOKUP($I110,Ref!$B$24:$C$29,2,0))))</f>
        <v>44416</v>
      </c>
      <c r="Z110" s="536" t="str">
        <f t="shared" si="55"/>
        <v>Sun</v>
      </c>
      <c r="AA110" s="531">
        <f t="shared" si="56"/>
        <v>31</v>
      </c>
      <c r="AB110" s="535">
        <f t="shared" si="44"/>
        <v>44508</v>
      </c>
      <c r="AC110" s="537">
        <f t="shared" si="45"/>
        <v>123</v>
      </c>
      <c r="AD110" s="538" t="str">
        <f t="shared" ca="1" si="46"/>
        <v>Expired</v>
      </c>
      <c r="AE110" s="537">
        <f t="shared" ca="1" si="47"/>
        <v>0</v>
      </c>
      <c r="AF110" s="539">
        <f t="shared" ca="1" si="57"/>
        <v>4</v>
      </c>
      <c r="AG110" s="531">
        <f t="shared" ca="1" si="58"/>
        <v>720000</v>
      </c>
      <c r="AH110" s="531">
        <f t="shared" ca="1" si="59"/>
        <v>120000</v>
      </c>
      <c r="AI110" s="531">
        <f t="shared" ca="1" si="60"/>
        <v>600000</v>
      </c>
      <c r="AJ110" s="531">
        <f t="shared" ca="1" si="61"/>
        <v>0</v>
      </c>
      <c r="AK110" s="540">
        <f>SUMIFS('Live Collections'!$S:$S,'Live Collections'!$D:$D,Disbursements!B110,'Live Collections'!$G:$G,Disbursements!C110)</f>
        <v>120000</v>
      </c>
      <c r="AL110" s="540">
        <f>SUMIFS('Live Collections'!$T:$T,'Live Collections'!$D:$D,Disbursements!B110,'Live Collections'!$G:$G,Disbursements!C110)</f>
        <v>600000</v>
      </c>
      <c r="AM110" s="541">
        <f t="shared" si="62"/>
        <v>720000</v>
      </c>
      <c r="AN110" s="542">
        <f t="shared" si="63"/>
        <v>0</v>
      </c>
      <c r="AO110" s="542">
        <f t="shared" si="64"/>
        <v>0</v>
      </c>
      <c r="AP110" s="543">
        <f t="shared" si="65"/>
        <v>0</v>
      </c>
      <c r="AQ110" s="544" t="str">
        <f t="shared" ca="1" si="66"/>
        <v/>
      </c>
      <c r="AR110" s="545">
        <f t="shared" ca="1" si="67"/>
        <v>0</v>
      </c>
      <c r="AS110" s="545">
        <f ca="1">IFERROR(CEILING($AR110*VLOOKUP($I110,Ref!$B$23:$E$29,4,0),1),0)</f>
        <v>0</v>
      </c>
      <c r="AT110" s="545" t="str">
        <f>IF(A110="","",IF(AP110&lt;=1,"Cleared",IF(AS110=0,"Clean",VLOOKUP($AS110,Ref!$G$23:$H$28,2))))</f>
        <v>Cleared</v>
      </c>
      <c r="AU110" s="546" t="str">
        <f t="shared" si="68"/>
        <v>Ok</v>
      </c>
    </row>
    <row r="111" spans="1:47" ht="15" customHeight="1" x14ac:dyDescent="0.15">
      <c r="A111" s="574">
        <v>44387</v>
      </c>
      <c r="B111" s="523">
        <v>125</v>
      </c>
      <c r="C111" s="523">
        <v>111</v>
      </c>
      <c r="D111" s="523">
        <v>1</v>
      </c>
      <c r="E111" s="523" t="s">
        <v>1274</v>
      </c>
      <c r="F111" s="554">
        <v>400000</v>
      </c>
      <c r="G111" s="524">
        <v>4</v>
      </c>
      <c r="H111" s="555">
        <v>0.05</v>
      </c>
      <c r="I111" s="560" t="s">
        <v>859</v>
      </c>
      <c r="J111" s="523" t="s">
        <v>863</v>
      </c>
      <c r="K111" s="528" t="str">
        <f>IFERROR(VLOOKUP($B111,'Clients-Live'!$A:$C,3,0),"")</f>
        <v>SUNDAY SCOVIA</v>
      </c>
      <c r="L111" s="528">
        <f>IF(E111="STL",Pricing!$D$38,IF(A111="",0,IF(A111&lt;Pricing!$C$25,Pricing!$D$25,VLOOKUP(Disbursements!$F111,Pricing!$B$29:$D$32,3))))</f>
        <v>10000</v>
      </c>
      <c r="M111" s="528">
        <f>IF(E111="STL",0,IF(F111&gt;0,Pricing!$D$21,0))</f>
        <v>5000</v>
      </c>
      <c r="N111" s="529">
        <f>IF(E111="STL",F111*Pricing!$D$40,IF(A111&lt;=Pricing!$C$4,0,IF(AND(A111&gt;Pricing!$C$4,Disbursements!A111&lt;=Pricing!$C$5),F111*Pricing!$E$5,IF(AND(A111&gt;Pricing!$C$5,Disbursements!A111&lt;=Pricing!$C$7),VLOOKUP(F111,Pricing!$D$7:$E$8,2)*Disbursements!F111,F111*Pricing!$E$9))))</f>
        <v>4000</v>
      </c>
      <c r="O111" s="528">
        <f>IF(E111="STL",0,IF($F111&gt;0,$F111*Pricing!$D$17,0))</f>
        <v>40000</v>
      </c>
      <c r="P111" s="530">
        <f t="shared" si="48"/>
        <v>80000</v>
      </c>
      <c r="Q111" s="531">
        <f>IF($A111="","",$G111/VLOOKUP($I111,Ref!$B$23:$D$29,2,0))</f>
        <v>4</v>
      </c>
      <c r="R111" s="530">
        <f t="shared" si="49"/>
        <v>480000</v>
      </c>
      <c r="S111" s="532">
        <f t="shared" si="43"/>
        <v>120000</v>
      </c>
      <c r="T111" s="531">
        <f t="shared" si="50"/>
        <v>120000</v>
      </c>
      <c r="U111" s="533">
        <f t="shared" si="51"/>
        <v>480000</v>
      </c>
      <c r="V111" s="531">
        <f t="shared" si="52"/>
        <v>100000</v>
      </c>
      <c r="W111" s="531">
        <f t="shared" si="53"/>
        <v>20000</v>
      </c>
      <c r="X111" s="534">
        <f t="shared" si="54"/>
        <v>80000</v>
      </c>
      <c r="Y111" s="535">
        <f>IF($A111="","",IF($I111="weekly",$A111+7,EDATE($A111,VLOOKUP($I111,Ref!$B$24:$C$29,2,0))))</f>
        <v>44418</v>
      </c>
      <c r="Z111" s="536" t="str">
        <f t="shared" si="55"/>
        <v>Tue</v>
      </c>
      <c r="AA111" s="531">
        <f t="shared" si="56"/>
        <v>31</v>
      </c>
      <c r="AB111" s="535">
        <f t="shared" si="44"/>
        <v>44510</v>
      </c>
      <c r="AC111" s="537">
        <f t="shared" si="45"/>
        <v>123</v>
      </c>
      <c r="AD111" s="538" t="str">
        <f t="shared" ca="1" si="46"/>
        <v>Expired</v>
      </c>
      <c r="AE111" s="537">
        <f t="shared" ca="1" si="47"/>
        <v>0</v>
      </c>
      <c r="AF111" s="539">
        <f t="shared" ca="1" si="57"/>
        <v>4</v>
      </c>
      <c r="AG111" s="531">
        <f t="shared" ca="1" si="58"/>
        <v>480000</v>
      </c>
      <c r="AH111" s="531">
        <f t="shared" ca="1" si="59"/>
        <v>80000</v>
      </c>
      <c r="AI111" s="531">
        <f t="shared" ca="1" si="60"/>
        <v>400000</v>
      </c>
      <c r="AJ111" s="531">
        <f t="shared" ca="1" si="61"/>
        <v>0</v>
      </c>
      <c r="AK111" s="540">
        <f>SUMIFS('Live Collections'!$S:$S,'Live Collections'!$D:$D,Disbursements!B111,'Live Collections'!$G:$G,Disbursements!C111)</f>
        <v>80000</v>
      </c>
      <c r="AL111" s="540">
        <f>SUMIFS('Live Collections'!$T:$T,'Live Collections'!$D:$D,Disbursements!B111,'Live Collections'!$G:$G,Disbursements!C111)</f>
        <v>400000</v>
      </c>
      <c r="AM111" s="541">
        <f t="shared" si="62"/>
        <v>480000</v>
      </c>
      <c r="AN111" s="542">
        <f t="shared" si="63"/>
        <v>0</v>
      </c>
      <c r="AO111" s="542">
        <f t="shared" si="64"/>
        <v>0</v>
      </c>
      <c r="AP111" s="543">
        <f t="shared" si="65"/>
        <v>0</v>
      </c>
      <c r="AQ111" s="544" t="str">
        <f t="shared" ca="1" si="66"/>
        <v/>
      </c>
      <c r="AR111" s="545">
        <f t="shared" ca="1" si="67"/>
        <v>0</v>
      </c>
      <c r="AS111" s="545">
        <f ca="1">IFERROR(CEILING($AR111*VLOOKUP($I111,Ref!$B$23:$E$29,4,0),1),0)</f>
        <v>0</v>
      </c>
      <c r="AT111" s="545" t="str">
        <f>IF(A111="","",IF(AP111&lt;=1,"Cleared",IF(AS111=0,"Clean",VLOOKUP($AS111,Ref!$G$23:$H$28,2))))</f>
        <v>Cleared</v>
      </c>
      <c r="AU111" s="546" t="str">
        <f t="shared" si="68"/>
        <v>Ok</v>
      </c>
    </row>
    <row r="112" spans="1:47" ht="15" customHeight="1" x14ac:dyDescent="0.15">
      <c r="A112" s="574">
        <v>44387</v>
      </c>
      <c r="B112" s="523">
        <v>127</v>
      </c>
      <c r="C112" s="523">
        <v>110</v>
      </c>
      <c r="D112" s="523">
        <v>1</v>
      </c>
      <c r="E112" s="523" t="s">
        <v>1274</v>
      </c>
      <c r="F112" s="554">
        <v>400000</v>
      </c>
      <c r="G112" s="524">
        <v>3</v>
      </c>
      <c r="H112" s="555">
        <v>0.05</v>
      </c>
      <c r="I112" s="560" t="s">
        <v>859</v>
      </c>
      <c r="J112" s="523" t="s">
        <v>863</v>
      </c>
      <c r="K112" s="528" t="str">
        <f>IFERROR(VLOOKUP($B112,'Clients-Live'!$A:$C,3,0),"")</f>
        <v>TIKO RUKIA</v>
      </c>
      <c r="L112" s="528">
        <f>IF(E112="STL",Pricing!$D$38,IF(A112="",0,IF(A112&lt;Pricing!$C$25,Pricing!$D$25,VLOOKUP(Disbursements!$F112,Pricing!$B$29:$D$32,3))))</f>
        <v>10000</v>
      </c>
      <c r="M112" s="528">
        <f>IF(E112="STL",0,IF(F112&gt;0,Pricing!$D$21,0))</f>
        <v>5000</v>
      </c>
      <c r="N112" s="529">
        <f>IF(E112="STL",F112*Pricing!$D$40,IF(A112&lt;=Pricing!$C$4,0,IF(AND(A112&gt;Pricing!$C$4,Disbursements!A112&lt;=Pricing!$C$5),F112*Pricing!$E$5,IF(AND(A112&gt;Pricing!$C$5,Disbursements!A112&lt;=Pricing!$C$7),VLOOKUP(F112,Pricing!$D$7:$E$8,2)*Disbursements!F112,F112*Pricing!$E$9))))</f>
        <v>4000</v>
      </c>
      <c r="O112" s="528">
        <f>IF(E112="STL",0,IF($F112&gt;0,$F112*Pricing!$D$17,0))</f>
        <v>40000</v>
      </c>
      <c r="P112" s="530">
        <f t="shared" si="48"/>
        <v>60000</v>
      </c>
      <c r="Q112" s="531">
        <f>IF($A112="","",$G112/VLOOKUP($I112,Ref!$B$23:$D$29,2,0))</f>
        <v>3</v>
      </c>
      <c r="R112" s="530">
        <f t="shared" si="49"/>
        <v>460000</v>
      </c>
      <c r="S112" s="532">
        <f t="shared" si="43"/>
        <v>153333.33333333334</v>
      </c>
      <c r="T112" s="531">
        <f t="shared" si="50"/>
        <v>154000</v>
      </c>
      <c r="U112" s="533">
        <f t="shared" si="51"/>
        <v>462000</v>
      </c>
      <c r="V112" s="531">
        <f t="shared" si="52"/>
        <v>133333.33333333334</v>
      </c>
      <c r="W112" s="531">
        <f t="shared" si="53"/>
        <v>20666.666666666657</v>
      </c>
      <c r="X112" s="534">
        <f t="shared" si="54"/>
        <v>61999.999999999971</v>
      </c>
      <c r="Y112" s="535">
        <f>IF($A112="","",IF($I112="weekly",$A112+7,EDATE($A112,VLOOKUP($I112,Ref!$B$24:$C$29,2,0))))</f>
        <v>44418</v>
      </c>
      <c r="Z112" s="536" t="str">
        <f t="shared" si="55"/>
        <v>Tue</v>
      </c>
      <c r="AA112" s="531">
        <f t="shared" si="56"/>
        <v>31</v>
      </c>
      <c r="AB112" s="535">
        <f t="shared" si="44"/>
        <v>44479</v>
      </c>
      <c r="AC112" s="537">
        <f t="shared" si="45"/>
        <v>92</v>
      </c>
      <c r="AD112" s="538" t="str">
        <f t="shared" ca="1" si="46"/>
        <v>Expired</v>
      </c>
      <c r="AE112" s="537">
        <f t="shared" ca="1" si="47"/>
        <v>0</v>
      </c>
      <c r="AF112" s="539">
        <f t="shared" ca="1" si="57"/>
        <v>3</v>
      </c>
      <c r="AG112" s="531">
        <f t="shared" ca="1" si="58"/>
        <v>462000</v>
      </c>
      <c r="AH112" s="531">
        <f t="shared" ca="1" si="59"/>
        <v>61999.999999999971</v>
      </c>
      <c r="AI112" s="531">
        <f t="shared" ca="1" si="60"/>
        <v>400000</v>
      </c>
      <c r="AJ112" s="531">
        <f t="shared" ca="1" si="61"/>
        <v>0</v>
      </c>
      <c r="AK112" s="540">
        <f>SUMIFS('Live Collections'!$S:$S,'Live Collections'!$D:$D,Disbursements!B112,'Live Collections'!$G:$G,Disbursements!C112)</f>
        <v>61999.999999999971</v>
      </c>
      <c r="AL112" s="540">
        <f>SUMIFS('Live Collections'!$T:$T,'Live Collections'!$D:$D,Disbursements!B112,'Live Collections'!$G:$G,Disbursements!C112)</f>
        <v>317400</v>
      </c>
      <c r="AM112" s="541">
        <f t="shared" si="62"/>
        <v>379400</v>
      </c>
      <c r="AN112" s="542">
        <f t="shared" si="63"/>
        <v>0</v>
      </c>
      <c r="AO112" s="542">
        <f t="shared" si="64"/>
        <v>82600</v>
      </c>
      <c r="AP112" s="543">
        <f t="shared" si="65"/>
        <v>82600</v>
      </c>
      <c r="AQ112" s="544">
        <f t="shared" ca="1" si="66"/>
        <v>82600</v>
      </c>
      <c r="AR112" s="545">
        <f t="shared" ca="1" si="67"/>
        <v>0.53636363636363638</v>
      </c>
      <c r="AS112" s="545">
        <f ca="1">IFERROR(CEILING($AR112*VLOOKUP($I112,Ref!$B$23:$E$29,4,0),1),0)</f>
        <v>17</v>
      </c>
      <c r="AT112" s="545" t="str">
        <f ca="1">IF(A112="","",IF(AP112&lt;=1,"Cleared",IF(AS112=0,"Clean",VLOOKUP($AS112,Ref!$G$23:$H$28,2))))</f>
        <v>1.(0-30) Days</v>
      </c>
      <c r="AU112" s="546" t="str">
        <f t="shared" si="68"/>
        <v>Ok</v>
      </c>
    </row>
    <row r="113" spans="1:47" ht="15" customHeight="1" x14ac:dyDescent="0.15">
      <c r="A113" s="574">
        <v>44389</v>
      </c>
      <c r="B113" s="523">
        <v>123</v>
      </c>
      <c r="C113" s="523">
        <v>107</v>
      </c>
      <c r="D113" s="523">
        <v>1</v>
      </c>
      <c r="E113" s="523" t="s">
        <v>1274</v>
      </c>
      <c r="F113" s="554">
        <v>500000</v>
      </c>
      <c r="G113" s="524">
        <v>4</v>
      </c>
      <c r="H113" s="555">
        <v>0.05</v>
      </c>
      <c r="I113" s="560" t="s">
        <v>859</v>
      </c>
      <c r="J113" s="523" t="s">
        <v>863</v>
      </c>
      <c r="K113" s="528" t="str">
        <f>IFERROR(VLOOKUP($B113,'Clients-Live'!$A:$C,3,0),"")</f>
        <v>INZIKURU JANET</v>
      </c>
      <c r="L113" s="528">
        <f>IF(E113="STL",Pricing!$D$38,IF(A113="",0,IF(A113&lt;Pricing!$C$25,Pricing!$D$25,VLOOKUP(Disbursements!$F113,Pricing!$B$29:$D$32,3))))</f>
        <v>10000</v>
      </c>
      <c r="M113" s="528">
        <f>IF(E113="STL",0,IF(F113&gt;0,Pricing!$D$21,0))</f>
        <v>5000</v>
      </c>
      <c r="N113" s="529">
        <f>IF(E113="STL",F113*Pricing!$D$40,IF(A113&lt;=Pricing!$C$4,0,IF(AND(A113&gt;Pricing!$C$4,Disbursements!A113&lt;=Pricing!$C$5),F113*Pricing!$E$5,IF(AND(A113&gt;Pricing!$C$5,Disbursements!A113&lt;=Pricing!$C$7),VLOOKUP(F113,Pricing!$D$7:$E$8,2)*Disbursements!F113,F113*Pricing!$E$9))))</f>
        <v>5000</v>
      </c>
      <c r="O113" s="528">
        <f>IF(E113="STL",0,IF($F113&gt;0,$F113*Pricing!$D$17,0))</f>
        <v>50000</v>
      </c>
      <c r="P113" s="530">
        <f t="shared" si="48"/>
        <v>100000</v>
      </c>
      <c r="Q113" s="531">
        <f>IF($A113="","",$G113/VLOOKUP($I113,Ref!$B$23:$D$29,2,0))</f>
        <v>4</v>
      </c>
      <c r="R113" s="530">
        <f t="shared" si="49"/>
        <v>600000</v>
      </c>
      <c r="S113" s="532">
        <f t="shared" si="43"/>
        <v>150000</v>
      </c>
      <c r="T113" s="531">
        <f t="shared" si="50"/>
        <v>150000</v>
      </c>
      <c r="U113" s="533">
        <f t="shared" si="51"/>
        <v>600000</v>
      </c>
      <c r="V113" s="531">
        <f t="shared" si="52"/>
        <v>125000</v>
      </c>
      <c r="W113" s="531">
        <f t="shared" si="53"/>
        <v>25000</v>
      </c>
      <c r="X113" s="534">
        <f t="shared" si="54"/>
        <v>100000</v>
      </c>
      <c r="Y113" s="535">
        <f>IF($A113="","",IF($I113="weekly",$A113+7,EDATE($A113,VLOOKUP($I113,Ref!$B$24:$C$29,2,0))))</f>
        <v>44420</v>
      </c>
      <c r="Z113" s="536" t="str">
        <f t="shared" si="55"/>
        <v>Thu</v>
      </c>
      <c r="AA113" s="531">
        <f t="shared" si="56"/>
        <v>31</v>
      </c>
      <c r="AB113" s="535">
        <f t="shared" si="44"/>
        <v>44512</v>
      </c>
      <c r="AC113" s="537">
        <f t="shared" si="45"/>
        <v>123</v>
      </c>
      <c r="AD113" s="538" t="str">
        <f t="shared" ca="1" si="46"/>
        <v>Expired</v>
      </c>
      <c r="AE113" s="537">
        <f t="shared" ca="1" si="47"/>
        <v>0</v>
      </c>
      <c r="AF113" s="539">
        <f t="shared" ca="1" si="57"/>
        <v>4</v>
      </c>
      <c r="AG113" s="531">
        <f t="shared" ca="1" si="58"/>
        <v>600000</v>
      </c>
      <c r="AH113" s="531">
        <f t="shared" ca="1" si="59"/>
        <v>100000</v>
      </c>
      <c r="AI113" s="531">
        <f t="shared" ca="1" si="60"/>
        <v>500000</v>
      </c>
      <c r="AJ113" s="531">
        <f t="shared" ca="1" si="61"/>
        <v>0</v>
      </c>
      <c r="AK113" s="540">
        <f>SUMIFS('Live Collections'!$S:$S,'Live Collections'!$D:$D,Disbursements!B113,'Live Collections'!$G:$G,Disbursements!C113)</f>
        <v>95000</v>
      </c>
      <c r="AL113" s="540">
        <f>SUMIFS('Live Collections'!$T:$T,'Live Collections'!$D:$D,Disbursements!B113,'Live Collections'!$G:$G,Disbursements!C113)</f>
        <v>295000</v>
      </c>
      <c r="AM113" s="541">
        <f t="shared" si="62"/>
        <v>390000</v>
      </c>
      <c r="AN113" s="542">
        <f t="shared" si="63"/>
        <v>5000</v>
      </c>
      <c r="AO113" s="542">
        <f t="shared" si="64"/>
        <v>205000</v>
      </c>
      <c r="AP113" s="543">
        <f t="shared" si="65"/>
        <v>210000</v>
      </c>
      <c r="AQ113" s="544">
        <f t="shared" ca="1" si="66"/>
        <v>210000</v>
      </c>
      <c r="AR113" s="545">
        <f t="shared" ca="1" si="67"/>
        <v>1.4</v>
      </c>
      <c r="AS113" s="545">
        <f ca="1">IFERROR(CEILING($AR113*VLOOKUP($I113,Ref!$B$23:$E$29,4,0),1),0)</f>
        <v>42</v>
      </c>
      <c r="AT113" s="545" t="str">
        <f ca="1">IF(A113="","",IF(AP113&lt;=1,"Cleared",IF(AS113=0,"Clean",VLOOKUP($AS113,Ref!$G$23:$H$28,2))))</f>
        <v>2.(31-60) Days</v>
      </c>
      <c r="AU113" s="546" t="str">
        <f t="shared" si="68"/>
        <v>Ok</v>
      </c>
    </row>
    <row r="114" spans="1:47" ht="15" customHeight="1" x14ac:dyDescent="0.15">
      <c r="A114" s="574">
        <v>44389</v>
      </c>
      <c r="B114" s="523">
        <v>128</v>
      </c>
      <c r="C114" s="523">
        <v>112</v>
      </c>
      <c r="D114" s="523">
        <v>1</v>
      </c>
      <c r="E114" s="523" t="s">
        <v>1274</v>
      </c>
      <c r="F114" s="554">
        <v>300000</v>
      </c>
      <c r="G114" s="524">
        <v>4</v>
      </c>
      <c r="H114" s="555">
        <v>0.05</v>
      </c>
      <c r="I114" s="560" t="s">
        <v>859</v>
      </c>
      <c r="J114" s="523" t="s">
        <v>862</v>
      </c>
      <c r="K114" s="528" t="str">
        <f>IFERROR(VLOOKUP($B114,'Clients-Live'!$A:$C,3,0),"")</f>
        <v>AJONYE BETTY</v>
      </c>
      <c r="L114" s="528">
        <f>IF(E114="STL",Pricing!$D$38,IF(A114="",0,IF(A114&lt;Pricing!$C$25,Pricing!$D$25,VLOOKUP(Disbursements!$F114,Pricing!$B$29:$D$32,3))))</f>
        <v>10000</v>
      </c>
      <c r="M114" s="528">
        <f>IF(E114="STL",0,IF(F114&gt;0,Pricing!$D$21,0))</f>
        <v>5000</v>
      </c>
      <c r="N114" s="529">
        <f>IF(E114="STL",F114*Pricing!$D$40,IF(A114&lt;=Pricing!$C$4,0,IF(AND(A114&gt;Pricing!$C$4,Disbursements!A114&lt;=Pricing!$C$5),F114*Pricing!$E$5,IF(AND(A114&gt;Pricing!$C$5,Disbursements!A114&lt;=Pricing!$C$7),VLOOKUP(F114,Pricing!$D$7:$E$8,2)*Disbursements!F114,F114*Pricing!$E$9))))</f>
        <v>3000</v>
      </c>
      <c r="O114" s="528">
        <f>IF(E114="STL",0,IF($F114&gt;0,$F114*Pricing!$D$17,0))</f>
        <v>30000</v>
      </c>
      <c r="P114" s="530">
        <f t="shared" si="48"/>
        <v>60000</v>
      </c>
      <c r="Q114" s="531">
        <f>IF($A114="","",$G114/VLOOKUP($I114,Ref!$B$23:$D$29,2,0))</f>
        <v>4</v>
      </c>
      <c r="R114" s="530">
        <f t="shared" si="49"/>
        <v>360000</v>
      </c>
      <c r="S114" s="532">
        <f t="shared" si="43"/>
        <v>90000</v>
      </c>
      <c r="T114" s="531">
        <f t="shared" si="50"/>
        <v>90000</v>
      </c>
      <c r="U114" s="533">
        <f t="shared" si="51"/>
        <v>360000</v>
      </c>
      <c r="V114" s="531">
        <f t="shared" si="52"/>
        <v>75000</v>
      </c>
      <c r="W114" s="531">
        <f t="shared" si="53"/>
        <v>15000</v>
      </c>
      <c r="X114" s="534">
        <f t="shared" si="54"/>
        <v>60000</v>
      </c>
      <c r="Y114" s="535">
        <f>IF($A114="","",IF($I114="weekly",$A114+7,EDATE($A114,VLOOKUP($I114,Ref!$B$24:$C$29,2,0))))</f>
        <v>44420</v>
      </c>
      <c r="Z114" s="536" t="str">
        <f t="shared" si="55"/>
        <v>Thu</v>
      </c>
      <c r="AA114" s="531">
        <f t="shared" si="56"/>
        <v>31</v>
      </c>
      <c r="AB114" s="535">
        <f t="shared" si="44"/>
        <v>44512</v>
      </c>
      <c r="AC114" s="537">
        <f t="shared" si="45"/>
        <v>123</v>
      </c>
      <c r="AD114" s="538" t="str">
        <f t="shared" ca="1" si="46"/>
        <v>Expired</v>
      </c>
      <c r="AE114" s="537">
        <f t="shared" ca="1" si="47"/>
        <v>0</v>
      </c>
      <c r="AF114" s="539">
        <f t="shared" ca="1" si="57"/>
        <v>4</v>
      </c>
      <c r="AG114" s="531">
        <f t="shared" ca="1" si="58"/>
        <v>360000</v>
      </c>
      <c r="AH114" s="531">
        <f t="shared" ca="1" si="59"/>
        <v>60000</v>
      </c>
      <c r="AI114" s="531">
        <f t="shared" ca="1" si="60"/>
        <v>300000</v>
      </c>
      <c r="AJ114" s="531">
        <f t="shared" ca="1" si="61"/>
        <v>0</v>
      </c>
      <c r="AK114" s="540">
        <f>SUMIFS('Live Collections'!$S:$S,'Live Collections'!$D:$D,Disbursements!B114,'Live Collections'!$G:$G,Disbursements!C114)</f>
        <v>60000</v>
      </c>
      <c r="AL114" s="540">
        <f>SUMIFS('Live Collections'!$T:$T,'Live Collections'!$D:$D,Disbursements!B114,'Live Collections'!$G:$G,Disbursements!C114)</f>
        <v>300000</v>
      </c>
      <c r="AM114" s="541">
        <f t="shared" si="62"/>
        <v>360000</v>
      </c>
      <c r="AN114" s="542">
        <f t="shared" si="63"/>
        <v>0</v>
      </c>
      <c r="AO114" s="542">
        <f t="shared" si="64"/>
        <v>0</v>
      </c>
      <c r="AP114" s="543">
        <f t="shared" si="65"/>
        <v>0</v>
      </c>
      <c r="AQ114" s="544" t="str">
        <f t="shared" ca="1" si="66"/>
        <v/>
      </c>
      <c r="AR114" s="545">
        <f t="shared" ca="1" si="67"/>
        <v>0</v>
      </c>
      <c r="AS114" s="545">
        <f ca="1">IFERROR(CEILING($AR114*VLOOKUP($I114,Ref!$B$23:$E$29,4,0),1),0)</f>
        <v>0</v>
      </c>
      <c r="AT114" s="545" t="str">
        <f>IF(A114="","",IF(AP114&lt;=1,"Cleared",IF(AS114=0,"Clean",VLOOKUP($AS114,Ref!$G$23:$H$28,2))))</f>
        <v>Cleared</v>
      </c>
      <c r="AU114" s="546" t="str">
        <f t="shared" si="68"/>
        <v>Ok</v>
      </c>
    </row>
    <row r="115" spans="1:47" ht="15" customHeight="1" x14ac:dyDescent="0.15">
      <c r="A115" s="575">
        <v>44390</v>
      </c>
      <c r="B115" s="523">
        <v>12</v>
      </c>
      <c r="C115" s="523">
        <v>113</v>
      </c>
      <c r="D115" s="523">
        <v>2</v>
      </c>
      <c r="E115" s="523" t="s">
        <v>1277</v>
      </c>
      <c r="F115" s="554">
        <v>250000</v>
      </c>
      <c r="G115" s="524">
        <v>1</v>
      </c>
      <c r="H115" s="555">
        <v>7.4999999999999997E-2</v>
      </c>
      <c r="I115" s="560" t="s">
        <v>859</v>
      </c>
      <c r="J115" s="523" t="s">
        <v>864</v>
      </c>
      <c r="K115" s="528" t="str">
        <f>IFERROR(VLOOKUP($B115,'Clients-Live'!$A:$C,3,0),"")</f>
        <v>DRELIA SIMON DEADSON</v>
      </c>
      <c r="L115" s="528">
        <f>IF(E115="STL",Pricing!$D$38,IF(A115="",0,IF(A115&lt;Pricing!$C$25,Pricing!$D$25,VLOOKUP(Disbursements!$F115,Pricing!$B$29:$D$32,3))))</f>
        <v>10000</v>
      </c>
      <c r="M115" s="528">
        <f>IF(E115="STL",0,IF(F115&gt;0,Pricing!$D$21,0))</f>
        <v>5000</v>
      </c>
      <c r="N115" s="529">
        <f>IF(E115="STL",F115*Pricing!$D$40,IF(A115&lt;=Pricing!$C$4,0,IF(AND(A115&gt;Pricing!$C$4,Disbursements!A115&lt;=Pricing!$C$5),F115*Pricing!$E$5,IF(AND(A115&gt;Pricing!$C$5,Disbursements!A115&lt;=Pricing!$C$7),VLOOKUP(F115,Pricing!$D$7:$E$8,2)*Disbursements!F115,F115*Pricing!$E$9))))</f>
        <v>2500</v>
      </c>
      <c r="O115" s="528">
        <f>IF(E115="STL",0,IF($F115&gt;0,$F115*Pricing!$D$17,0))</f>
        <v>25000</v>
      </c>
      <c r="P115" s="530">
        <f t="shared" si="48"/>
        <v>18750</v>
      </c>
      <c r="Q115" s="531">
        <f>IF($A115="","",$G115/VLOOKUP($I115,Ref!$B$23:$D$29,2,0))</f>
        <v>1</v>
      </c>
      <c r="R115" s="530">
        <f t="shared" si="49"/>
        <v>268750</v>
      </c>
      <c r="S115" s="532">
        <f t="shared" si="43"/>
        <v>268750</v>
      </c>
      <c r="T115" s="531">
        <f t="shared" si="50"/>
        <v>269000</v>
      </c>
      <c r="U115" s="533">
        <f t="shared" si="51"/>
        <v>269000</v>
      </c>
      <c r="V115" s="531">
        <f t="shared" si="52"/>
        <v>250000</v>
      </c>
      <c r="W115" s="531">
        <f t="shared" si="53"/>
        <v>19000</v>
      </c>
      <c r="X115" s="534">
        <f t="shared" si="54"/>
        <v>19000</v>
      </c>
      <c r="Y115" s="535">
        <f>IF($A115="","",IF($I115="weekly",$A115+7,EDATE($A115,VLOOKUP($I115,Ref!$B$24:$C$29,2,0))))</f>
        <v>44421</v>
      </c>
      <c r="Z115" s="536" t="str">
        <f t="shared" si="55"/>
        <v>Frid</v>
      </c>
      <c r="AA115" s="531">
        <f t="shared" si="56"/>
        <v>31</v>
      </c>
      <c r="AB115" s="535">
        <f t="shared" si="44"/>
        <v>44421</v>
      </c>
      <c r="AC115" s="537">
        <f t="shared" si="45"/>
        <v>31</v>
      </c>
      <c r="AD115" s="538" t="str">
        <f t="shared" ca="1" si="46"/>
        <v>Expired</v>
      </c>
      <c r="AE115" s="537">
        <f t="shared" ca="1" si="47"/>
        <v>0</v>
      </c>
      <c r="AF115" s="539">
        <f t="shared" ca="1" si="57"/>
        <v>1</v>
      </c>
      <c r="AG115" s="531">
        <f t="shared" ca="1" si="58"/>
        <v>269000</v>
      </c>
      <c r="AH115" s="531">
        <f t="shared" ca="1" si="59"/>
        <v>19000</v>
      </c>
      <c r="AI115" s="531">
        <f t="shared" ca="1" si="60"/>
        <v>250000</v>
      </c>
      <c r="AJ115" s="531">
        <f t="shared" ca="1" si="61"/>
        <v>0</v>
      </c>
      <c r="AK115" s="540">
        <f>SUMIFS('Live Collections'!$S:$S,'Live Collections'!$D:$D,Disbursements!B115,'Live Collections'!$G:$G,Disbursements!C115)</f>
        <v>19000</v>
      </c>
      <c r="AL115" s="540">
        <f>SUMIFS('Live Collections'!$T:$T,'Live Collections'!$D:$D,Disbursements!B115,'Live Collections'!$G:$G,Disbursements!C115)</f>
        <v>121800</v>
      </c>
      <c r="AM115" s="541">
        <f t="shared" si="62"/>
        <v>140800</v>
      </c>
      <c r="AN115" s="542">
        <f t="shared" si="63"/>
        <v>0</v>
      </c>
      <c r="AO115" s="542">
        <f t="shared" si="64"/>
        <v>128200</v>
      </c>
      <c r="AP115" s="543">
        <f t="shared" si="65"/>
        <v>128200</v>
      </c>
      <c r="AQ115" s="544">
        <f t="shared" ca="1" si="66"/>
        <v>128200</v>
      </c>
      <c r="AR115" s="545">
        <f t="shared" ca="1" si="67"/>
        <v>0.47657992565055762</v>
      </c>
      <c r="AS115" s="545">
        <f ca="1">IFERROR(CEILING($AR115*VLOOKUP($I115,Ref!$B$23:$E$29,4,0),1),0)</f>
        <v>15</v>
      </c>
      <c r="AT115" s="545" t="str">
        <f ca="1">IF(A115="","",IF(AP115&lt;=1,"Cleared",IF(AS115=0,"Clean",VLOOKUP($AS115,Ref!$G$23:$H$28,2))))</f>
        <v>1.(0-30) Days</v>
      </c>
      <c r="AU115" s="546" t="str">
        <f t="shared" si="68"/>
        <v>Ok</v>
      </c>
    </row>
    <row r="116" spans="1:47" ht="15" customHeight="1" x14ac:dyDescent="0.15">
      <c r="A116" s="575">
        <v>44391</v>
      </c>
      <c r="B116" s="523">
        <v>130</v>
      </c>
      <c r="C116" s="523">
        <v>114</v>
      </c>
      <c r="D116" s="523">
        <v>1</v>
      </c>
      <c r="E116" s="523" t="s">
        <v>1274</v>
      </c>
      <c r="F116" s="554">
        <v>700000</v>
      </c>
      <c r="G116" s="524">
        <v>3</v>
      </c>
      <c r="H116" s="555">
        <v>0.05</v>
      </c>
      <c r="I116" s="560" t="s">
        <v>908</v>
      </c>
      <c r="J116" s="523" t="s">
        <v>864</v>
      </c>
      <c r="K116" s="528" t="str">
        <f>IFERROR(VLOOKUP($B116,'Clients-Live'!$A:$C,3,0),"")</f>
        <v>AYILE JOHN MAX</v>
      </c>
      <c r="L116" s="528">
        <f>IF(E116="STL",Pricing!$D$38,IF(A116="",0,IF(A116&lt;Pricing!$C$25,Pricing!$D$25,VLOOKUP(Disbursements!$F116,Pricing!$B$29:$D$32,3))))</f>
        <v>10000</v>
      </c>
      <c r="M116" s="528">
        <f>IF(E116="STL",0,IF(F116&gt;0,Pricing!$D$21,0))</f>
        <v>5000</v>
      </c>
      <c r="N116" s="529">
        <f>IF(E116="STL",F116*Pricing!$D$40,IF(A116&lt;=Pricing!$C$4,0,IF(AND(A116&gt;Pricing!$C$4,Disbursements!A116&lt;=Pricing!$C$5),F116*Pricing!$E$5,IF(AND(A116&gt;Pricing!$C$5,Disbursements!A116&lt;=Pricing!$C$7),VLOOKUP(F116,Pricing!$D$7:$E$8,2)*Disbursements!F116,F116*Pricing!$E$9))))</f>
        <v>7000</v>
      </c>
      <c r="O116" s="528">
        <f>IF(E116="STL",0,IF($F116&gt;0,$F116*Pricing!$D$17,0))</f>
        <v>70000</v>
      </c>
      <c r="P116" s="530">
        <f t="shared" si="48"/>
        <v>105000</v>
      </c>
      <c r="Q116" s="531">
        <f>IF($A116="","",$G116/VLOOKUP($I116,Ref!$B$23:$D$29,2,0))</f>
        <v>1</v>
      </c>
      <c r="R116" s="530">
        <f t="shared" si="49"/>
        <v>805000</v>
      </c>
      <c r="S116" s="532">
        <f t="shared" si="43"/>
        <v>805000</v>
      </c>
      <c r="T116" s="531">
        <f t="shared" si="50"/>
        <v>805000</v>
      </c>
      <c r="U116" s="533">
        <f t="shared" si="51"/>
        <v>805000</v>
      </c>
      <c r="V116" s="531">
        <f t="shared" si="52"/>
        <v>700000</v>
      </c>
      <c r="W116" s="531">
        <f t="shared" si="53"/>
        <v>105000</v>
      </c>
      <c r="X116" s="534">
        <f t="shared" si="54"/>
        <v>105000</v>
      </c>
      <c r="Y116" s="535">
        <f>IF($A116="","",IF($I116="weekly",$A116+7,EDATE($A116,VLOOKUP($I116,Ref!$B$24:$C$29,2,0))))</f>
        <v>44483</v>
      </c>
      <c r="Z116" s="536" t="str">
        <f t="shared" si="55"/>
        <v>Thu</v>
      </c>
      <c r="AA116" s="531">
        <f t="shared" si="56"/>
        <v>92</v>
      </c>
      <c r="AB116" s="535">
        <f t="shared" si="44"/>
        <v>44483</v>
      </c>
      <c r="AC116" s="537">
        <f t="shared" si="45"/>
        <v>92</v>
      </c>
      <c r="AD116" s="538" t="str">
        <f t="shared" ca="1" si="46"/>
        <v>Expired</v>
      </c>
      <c r="AE116" s="537">
        <f t="shared" ca="1" si="47"/>
        <v>0</v>
      </c>
      <c r="AF116" s="539">
        <f t="shared" ca="1" si="57"/>
        <v>1</v>
      </c>
      <c r="AG116" s="531">
        <f t="shared" ca="1" si="58"/>
        <v>805000</v>
      </c>
      <c r="AH116" s="531">
        <f t="shared" ca="1" si="59"/>
        <v>105000</v>
      </c>
      <c r="AI116" s="531">
        <f t="shared" ca="1" si="60"/>
        <v>700000</v>
      </c>
      <c r="AJ116" s="531">
        <f t="shared" ca="1" si="61"/>
        <v>0</v>
      </c>
      <c r="AK116" s="540">
        <f>SUMIFS('Live Collections'!$S:$S,'Live Collections'!$D:$D,Disbursements!B116,'Live Collections'!$G:$G,Disbursements!C116)</f>
        <v>45000</v>
      </c>
      <c r="AL116" s="540">
        <f>SUMIFS('Live Collections'!$T:$T,'Live Collections'!$D:$D,Disbursements!B116,'Live Collections'!$G:$G,Disbursements!C116)</f>
        <v>575000</v>
      </c>
      <c r="AM116" s="541">
        <f t="shared" si="62"/>
        <v>620000</v>
      </c>
      <c r="AN116" s="542">
        <f t="shared" si="63"/>
        <v>60000</v>
      </c>
      <c r="AO116" s="542">
        <f t="shared" si="64"/>
        <v>125000</v>
      </c>
      <c r="AP116" s="543">
        <f t="shared" si="65"/>
        <v>185000</v>
      </c>
      <c r="AQ116" s="544">
        <f t="shared" ca="1" si="66"/>
        <v>185000</v>
      </c>
      <c r="AR116" s="545">
        <f t="shared" ca="1" si="67"/>
        <v>0.22981366459627328</v>
      </c>
      <c r="AS116" s="545">
        <f ca="1">IFERROR(CEILING($AR116*VLOOKUP($I116,Ref!$B$23:$E$29,4,0),1),0)</f>
        <v>21</v>
      </c>
      <c r="AT116" s="545" t="str">
        <f ca="1">IF(A116="","",IF(AP116&lt;=1,"Cleared",IF(AS116=0,"Clean",VLOOKUP($AS116,Ref!$G$23:$H$28,2))))</f>
        <v>1.(0-30) Days</v>
      </c>
      <c r="AU116" s="546" t="str">
        <f t="shared" si="68"/>
        <v>Ok</v>
      </c>
    </row>
    <row r="117" spans="1:47" ht="15" customHeight="1" x14ac:dyDescent="0.15">
      <c r="A117" s="575">
        <v>44392</v>
      </c>
      <c r="B117" s="523">
        <v>85</v>
      </c>
      <c r="C117" s="523">
        <v>119</v>
      </c>
      <c r="D117" s="523">
        <v>2</v>
      </c>
      <c r="E117" s="523" t="s">
        <v>1274</v>
      </c>
      <c r="F117" s="554">
        <v>2000000</v>
      </c>
      <c r="G117" s="524">
        <v>6</v>
      </c>
      <c r="H117" s="555">
        <v>0.05</v>
      </c>
      <c r="I117" s="560" t="s">
        <v>859</v>
      </c>
      <c r="J117" s="523" t="s">
        <v>864</v>
      </c>
      <c r="K117" s="528" t="str">
        <f>IFERROR(VLOOKUP($B117,'Clients-Live'!$A:$C,3,0),"")</f>
        <v>CEASER SWALEH</v>
      </c>
      <c r="L117" s="528">
        <f>IF(E117="STL",Pricing!$D$38,IF(A117="",0,IF(A117&lt;Pricing!$C$25,Pricing!$D$25,VLOOKUP(Disbursements!$F117,Pricing!$B$29:$D$32,3))))</f>
        <v>10000</v>
      </c>
      <c r="M117" s="528">
        <f>IF(E117="STL",0,IF(F117&gt;0,Pricing!$D$21,0))</f>
        <v>5000</v>
      </c>
      <c r="N117" s="529">
        <f>IF(E117="STL",F117*Pricing!$D$40,IF(A117&lt;=Pricing!$C$4,0,IF(AND(A117&gt;Pricing!$C$4,Disbursements!A117&lt;=Pricing!$C$5),F117*Pricing!$E$5,IF(AND(A117&gt;Pricing!$C$5,Disbursements!A117&lt;=Pricing!$C$7),VLOOKUP(F117,Pricing!$D$7:$E$8,2)*Disbursements!F117,F117*Pricing!$E$9))))</f>
        <v>20000</v>
      </c>
      <c r="O117" s="528">
        <f>IF(E117="STL",0,IF($F117&gt;0,$F117*Pricing!$D$17,0))</f>
        <v>200000</v>
      </c>
      <c r="P117" s="530">
        <f t="shared" si="48"/>
        <v>600000</v>
      </c>
      <c r="Q117" s="531">
        <f>IF($A117="","",$G117/VLOOKUP($I117,Ref!$B$23:$D$29,2,0))</f>
        <v>6</v>
      </c>
      <c r="R117" s="530">
        <f t="shared" si="49"/>
        <v>2600000</v>
      </c>
      <c r="S117" s="532">
        <f t="shared" si="43"/>
        <v>433333.33333333331</v>
      </c>
      <c r="T117" s="531">
        <f t="shared" si="50"/>
        <v>434000</v>
      </c>
      <c r="U117" s="533">
        <f t="shared" si="51"/>
        <v>2604000</v>
      </c>
      <c r="V117" s="531">
        <f t="shared" si="52"/>
        <v>333333.33333333331</v>
      </c>
      <c r="W117" s="531">
        <f t="shared" si="53"/>
        <v>100666.66666666669</v>
      </c>
      <c r="X117" s="534">
        <f t="shared" si="54"/>
        <v>604000.00000000012</v>
      </c>
      <c r="Y117" s="535">
        <f>IF($A117="","",IF($I117="weekly",$A117+7,EDATE($A117,VLOOKUP($I117,Ref!$B$24:$C$29,2,0))))</f>
        <v>44423</v>
      </c>
      <c r="Z117" s="536" t="str">
        <f t="shared" si="55"/>
        <v>Sun</v>
      </c>
      <c r="AA117" s="531">
        <f t="shared" si="56"/>
        <v>31</v>
      </c>
      <c r="AB117" s="535">
        <f t="shared" si="44"/>
        <v>44576</v>
      </c>
      <c r="AC117" s="537">
        <f t="shared" si="45"/>
        <v>184</v>
      </c>
      <c r="AD117" s="538" t="str">
        <f t="shared" ca="1" si="46"/>
        <v>Expired</v>
      </c>
      <c r="AE117" s="537">
        <f t="shared" ca="1" si="47"/>
        <v>0</v>
      </c>
      <c r="AF117" s="539">
        <f t="shared" ca="1" si="57"/>
        <v>6</v>
      </c>
      <c r="AG117" s="531">
        <f t="shared" ca="1" si="58"/>
        <v>2604000</v>
      </c>
      <c r="AH117" s="531">
        <f t="shared" ca="1" si="59"/>
        <v>604000.00000000012</v>
      </c>
      <c r="AI117" s="531">
        <f t="shared" ca="1" si="60"/>
        <v>2000000</v>
      </c>
      <c r="AJ117" s="531">
        <f t="shared" ca="1" si="61"/>
        <v>0</v>
      </c>
      <c r="AK117" s="540">
        <f>SUMIFS('Live Collections'!$S:$S,'Live Collections'!$D:$D,Disbursements!B117,'Live Collections'!$G:$G,Disbursements!C117)</f>
        <v>604000.00000000012</v>
      </c>
      <c r="AL117" s="540">
        <f>SUMIFS('Live Collections'!$T:$T,'Live Collections'!$D:$D,Disbursements!B117,'Live Collections'!$G:$G,Disbursements!C117)</f>
        <v>2000000</v>
      </c>
      <c r="AM117" s="541">
        <f t="shared" si="62"/>
        <v>2604000</v>
      </c>
      <c r="AN117" s="542">
        <f t="shared" si="63"/>
        <v>0</v>
      </c>
      <c r="AO117" s="542">
        <f t="shared" si="64"/>
        <v>0</v>
      </c>
      <c r="AP117" s="543">
        <f t="shared" si="65"/>
        <v>0</v>
      </c>
      <c r="AQ117" s="544" t="str">
        <f t="shared" ca="1" si="66"/>
        <v/>
      </c>
      <c r="AR117" s="545">
        <f t="shared" ca="1" si="67"/>
        <v>0</v>
      </c>
      <c r="AS117" s="545">
        <f ca="1">IFERROR(CEILING($AR117*VLOOKUP($I117,Ref!$B$23:$E$29,4,0),1),0)</f>
        <v>0</v>
      </c>
      <c r="AT117" s="545" t="str">
        <f>IF(A117="","",IF(AP117&lt;=1,"Cleared",IF(AS117=0,"Clean",VLOOKUP($AS117,Ref!$G$23:$H$28,2))))</f>
        <v>Cleared</v>
      </c>
      <c r="AU117" s="546" t="str">
        <f t="shared" si="68"/>
        <v>Ok</v>
      </c>
    </row>
    <row r="118" spans="1:47" ht="15" customHeight="1" x14ac:dyDescent="0.15">
      <c r="A118" s="575">
        <v>44392</v>
      </c>
      <c r="B118" s="523">
        <v>129</v>
      </c>
      <c r="C118" s="523">
        <v>118</v>
      </c>
      <c r="D118" s="523">
        <v>1</v>
      </c>
      <c r="E118" s="523" t="s">
        <v>1274</v>
      </c>
      <c r="F118" s="554">
        <v>1500000</v>
      </c>
      <c r="G118" s="524">
        <v>3</v>
      </c>
      <c r="H118" s="555">
        <v>0.05</v>
      </c>
      <c r="I118" s="560" t="s">
        <v>859</v>
      </c>
      <c r="J118" s="523" t="s">
        <v>863</v>
      </c>
      <c r="K118" s="528" t="str">
        <f>IFERROR(VLOOKUP($B118,'Clients-Live'!$A:$C,3,0),"")</f>
        <v>BAKO ASINA</v>
      </c>
      <c r="L118" s="528">
        <f>IF(E118="STL",Pricing!$D$38,IF(A118="",0,IF(A118&lt;Pricing!$C$25,Pricing!$D$25,VLOOKUP(Disbursements!$F118,Pricing!$B$29:$D$32,3))))</f>
        <v>10000</v>
      </c>
      <c r="M118" s="528">
        <f>IF(E118="STL",0,IF(F118&gt;0,Pricing!$D$21,0))</f>
        <v>5000</v>
      </c>
      <c r="N118" s="529">
        <f>IF(E118="STL",F118*Pricing!$D$40,IF(A118&lt;=Pricing!$C$4,0,IF(AND(A118&gt;Pricing!$C$4,Disbursements!A118&lt;=Pricing!$C$5),F118*Pricing!$E$5,IF(AND(A118&gt;Pricing!$C$5,Disbursements!A118&lt;=Pricing!$C$7),VLOOKUP(F118,Pricing!$D$7:$E$8,2)*Disbursements!F118,F118*Pricing!$E$9))))</f>
        <v>15000</v>
      </c>
      <c r="O118" s="528">
        <f>IF(E118="STL",0,IF($F118&gt;0,$F118*Pricing!$D$17,0))</f>
        <v>150000</v>
      </c>
      <c r="P118" s="530">
        <f t="shared" si="48"/>
        <v>225000</v>
      </c>
      <c r="Q118" s="531">
        <f>IF($A118="","",$G118/VLOOKUP($I118,Ref!$B$23:$D$29,2,0))</f>
        <v>3</v>
      </c>
      <c r="R118" s="530">
        <f t="shared" si="49"/>
        <v>1725000</v>
      </c>
      <c r="S118" s="532">
        <f t="shared" si="43"/>
        <v>575000</v>
      </c>
      <c r="T118" s="531">
        <f t="shared" si="50"/>
        <v>575000</v>
      </c>
      <c r="U118" s="533">
        <f t="shared" si="51"/>
        <v>1725000</v>
      </c>
      <c r="V118" s="531">
        <f t="shared" si="52"/>
        <v>500000</v>
      </c>
      <c r="W118" s="531">
        <f t="shared" si="53"/>
        <v>75000</v>
      </c>
      <c r="X118" s="534">
        <f t="shared" si="54"/>
        <v>225000</v>
      </c>
      <c r="Y118" s="535">
        <f>IF($A118="","",IF($I118="weekly",$A118+7,EDATE($A118,VLOOKUP($I118,Ref!$B$24:$C$29,2,0))))</f>
        <v>44423</v>
      </c>
      <c r="Z118" s="536" t="str">
        <f t="shared" si="55"/>
        <v>Sun</v>
      </c>
      <c r="AA118" s="531">
        <f t="shared" si="56"/>
        <v>31</v>
      </c>
      <c r="AB118" s="535">
        <f t="shared" si="44"/>
        <v>44484</v>
      </c>
      <c r="AC118" s="537">
        <f t="shared" si="45"/>
        <v>92</v>
      </c>
      <c r="AD118" s="538" t="str">
        <f t="shared" ca="1" si="46"/>
        <v>Expired</v>
      </c>
      <c r="AE118" s="537">
        <f t="shared" ca="1" si="47"/>
        <v>0</v>
      </c>
      <c r="AF118" s="539">
        <f t="shared" ca="1" si="57"/>
        <v>3</v>
      </c>
      <c r="AG118" s="531">
        <f t="shared" ca="1" si="58"/>
        <v>1725000</v>
      </c>
      <c r="AH118" s="531">
        <f t="shared" ca="1" si="59"/>
        <v>225000</v>
      </c>
      <c r="AI118" s="531">
        <f t="shared" ca="1" si="60"/>
        <v>1500000</v>
      </c>
      <c r="AJ118" s="531">
        <f t="shared" ca="1" si="61"/>
        <v>0</v>
      </c>
      <c r="AK118" s="540">
        <f>SUMIFS('Live Collections'!$S:$S,'Live Collections'!$D:$D,Disbursements!B118,'Live Collections'!$G:$G,Disbursements!C118)</f>
        <v>225000</v>
      </c>
      <c r="AL118" s="540">
        <f>SUMIFS('Live Collections'!$T:$T,'Live Collections'!$D:$D,Disbursements!B118,'Live Collections'!$G:$G,Disbursements!C118)</f>
        <v>1500000</v>
      </c>
      <c r="AM118" s="541">
        <f t="shared" si="62"/>
        <v>1725000</v>
      </c>
      <c r="AN118" s="542">
        <f t="shared" si="63"/>
        <v>0</v>
      </c>
      <c r="AO118" s="542">
        <f t="shared" si="64"/>
        <v>0</v>
      </c>
      <c r="AP118" s="543">
        <f t="shared" si="65"/>
        <v>0</v>
      </c>
      <c r="AQ118" s="544" t="str">
        <f t="shared" ca="1" si="66"/>
        <v/>
      </c>
      <c r="AR118" s="545">
        <f t="shared" ca="1" si="67"/>
        <v>0</v>
      </c>
      <c r="AS118" s="545">
        <f ca="1">IFERROR(CEILING($AR118*VLOOKUP($I118,Ref!$B$23:$E$29,4,0),1),0)</f>
        <v>0</v>
      </c>
      <c r="AT118" s="545" t="str">
        <f>IF(A118="","",IF(AP118&lt;=1,"Cleared",IF(AS118=0,"Clean",VLOOKUP($AS118,Ref!$G$23:$H$28,2))))</f>
        <v>Cleared</v>
      </c>
      <c r="AU118" s="546" t="str">
        <f t="shared" si="68"/>
        <v>Ok</v>
      </c>
    </row>
    <row r="119" spans="1:47" ht="15" customHeight="1" x14ac:dyDescent="0.15">
      <c r="A119" s="575">
        <v>44392</v>
      </c>
      <c r="B119" s="523">
        <v>131</v>
      </c>
      <c r="C119" s="523">
        <v>115</v>
      </c>
      <c r="D119" s="523">
        <v>1</v>
      </c>
      <c r="E119" s="523" t="s">
        <v>1274</v>
      </c>
      <c r="F119" s="554">
        <v>200000</v>
      </c>
      <c r="G119" s="524">
        <v>3</v>
      </c>
      <c r="H119" s="555">
        <v>0.05</v>
      </c>
      <c r="I119" s="560" t="s">
        <v>859</v>
      </c>
      <c r="J119" s="523" t="s">
        <v>864</v>
      </c>
      <c r="K119" s="528" t="str">
        <f>IFERROR(VLOOKUP($B119,'Clients-Live'!$A:$C,3,0),"")</f>
        <v>CANDIRU ZAKIA</v>
      </c>
      <c r="L119" s="528">
        <f>IF(E119="STL",Pricing!$D$38,IF(A119="",0,IF(A119&lt;Pricing!$C$25,Pricing!$D$25,VLOOKUP(Disbursements!$F119,Pricing!$B$29:$D$32,3))))</f>
        <v>10000</v>
      </c>
      <c r="M119" s="528">
        <f>IF(E119="STL",0,IF(F119&gt;0,Pricing!$D$21,0))</f>
        <v>5000</v>
      </c>
      <c r="N119" s="529">
        <f>IF(E119="STL",F119*Pricing!$D$40,IF(A119&lt;=Pricing!$C$4,0,IF(AND(A119&gt;Pricing!$C$4,Disbursements!A119&lt;=Pricing!$C$5),F119*Pricing!$E$5,IF(AND(A119&gt;Pricing!$C$5,Disbursements!A119&lt;=Pricing!$C$7),VLOOKUP(F119,Pricing!$D$7:$E$8,2)*Disbursements!F119,F119*Pricing!$E$9))))</f>
        <v>2000</v>
      </c>
      <c r="O119" s="528">
        <f>IF(E119="STL",0,IF($F119&gt;0,$F119*Pricing!$D$17,0))</f>
        <v>20000</v>
      </c>
      <c r="P119" s="530">
        <f t="shared" si="48"/>
        <v>30000</v>
      </c>
      <c r="Q119" s="531">
        <f>IF($A119="","",$G119/VLOOKUP($I119,Ref!$B$23:$D$29,2,0))</f>
        <v>3</v>
      </c>
      <c r="R119" s="530">
        <f t="shared" si="49"/>
        <v>230000</v>
      </c>
      <c r="S119" s="532">
        <f t="shared" si="43"/>
        <v>76666.666666666672</v>
      </c>
      <c r="T119" s="531">
        <f t="shared" si="50"/>
        <v>77000</v>
      </c>
      <c r="U119" s="533">
        <f t="shared" si="51"/>
        <v>231000</v>
      </c>
      <c r="V119" s="531">
        <f t="shared" si="52"/>
        <v>66666.666666666672</v>
      </c>
      <c r="W119" s="531">
        <f t="shared" si="53"/>
        <v>10333.333333333328</v>
      </c>
      <c r="X119" s="534">
        <f t="shared" si="54"/>
        <v>30999.999999999985</v>
      </c>
      <c r="Y119" s="535">
        <f>IF($A119="","",IF($I119="weekly",$A119+7,EDATE($A119,VLOOKUP($I119,Ref!$B$24:$C$29,2,0))))</f>
        <v>44423</v>
      </c>
      <c r="Z119" s="536" t="str">
        <f t="shared" si="55"/>
        <v>Sun</v>
      </c>
      <c r="AA119" s="531">
        <f t="shared" si="56"/>
        <v>31</v>
      </c>
      <c r="AB119" s="535">
        <f t="shared" si="44"/>
        <v>44484</v>
      </c>
      <c r="AC119" s="537">
        <f t="shared" si="45"/>
        <v>92</v>
      </c>
      <c r="AD119" s="538" t="str">
        <f t="shared" ca="1" si="46"/>
        <v>Expired</v>
      </c>
      <c r="AE119" s="537">
        <f t="shared" ca="1" si="47"/>
        <v>0</v>
      </c>
      <c r="AF119" s="539">
        <f t="shared" ca="1" si="57"/>
        <v>3</v>
      </c>
      <c r="AG119" s="531">
        <f t="shared" ca="1" si="58"/>
        <v>231000</v>
      </c>
      <c r="AH119" s="531">
        <f t="shared" ca="1" si="59"/>
        <v>30999.999999999985</v>
      </c>
      <c r="AI119" s="531">
        <f t="shared" ca="1" si="60"/>
        <v>200000</v>
      </c>
      <c r="AJ119" s="531">
        <f t="shared" ca="1" si="61"/>
        <v>0</v>
      </c>
      <c r="AK119" s="540">
        <f>SUMIFS('Live Collections'!$S:$S,'Live Collections'!$D:$D,Disbursements!B119,'Live Collections'!$G:$G,Disbursements!C119)</f>
        <v>30999.999999999985</v>
      </c>
      <c r="AL119" s="540">
        <f>SUMIFS('Live Collections'!$T:$T,'Live Collections'!$D:$D,Disbursements!B119,'Live Collections'!$G:$G,Disbursements!C119)</f>
        <v>200000</v>
      </c>
      <c r="AM119" s="541">
        <f t="shared" si="62"/>
        <v>231000</v>
      </c>
      <c r="AN119" s="542">
        <f t="shared" si="63"/>
        <v>0</v>
      </c>
      <c r="AO119" s="542">
        <f t="shared" si="64"/>
        <v>0</v>
      </c>
      <c r="AP119" s="543">
        <f t="shared" si="65"/>
        <v>0</v>
      </c>
      <c r="AQ119" s="544" t="str">
        <f t="shared" ca="1" si="66"/>
        <v/>
      </c>
      <c r="AR119" s="545">
        <f t="shared" ca="1" si="67"/>
        <v>0</v>
      </c>
      <c r="AS119" s="545">
        <f ca="1">IFERROR(CEILING($AR119*VLOOKUP($I119,Ref!$B$23:$E$29,4,0),1),0)</f>
        <v>0</v>
      </c>
      <c r="AT119" s="545" t="str">
        <f>IF(A119="","",IF(AP119&lt;=1,"Cleared",IF(AS119=0,"Clean",VLOOKUP($AS119,Ref!$G$23:$H$28,2))))</f>
        <v>Cleared</v>
      </c>
      <c r="AU119" s="546" t="str">
        <f t="shared" si="68"/>
        <v>Ok</v>
      </c>
    </row>
    <row r="120" spans="1:47" ht="15" customHeight="1" x14ac:dyDescent="0.15">
      <c r="A120" s="575">
        <v>44392</v>
      </c>
      <c r="B120" s="523">
        <v>133</v>
      </c>
      <c r="C120" s="523">
        <v>116</v>
      </c>
      <c r="D120" s="523">
        <v>1</v>
      </c>
      <c r="E120" s="523" t="s">
        <v>1274</v>
      </c>
      <c r="F120" s="554">
        <v>500000</v>
      </c>
      <c r="G120" s="524">
        <v>5</v>
      </c>
      <c r="H120" s="555">
        <v>0.05</v>
      </c>
      <c r="I120" s="560" t="s">
        <v>859</v>
      </c>
      <c r="J120" s="523" t="s">
        <v>862</v>
      </c>
      <c r="K120" s="528" t="str">
        <f>IFERROR(VLOOKUP($B120,'Clients-Live'!$A:$C,3,0),"")</f>
        <v>JABE MARY</v>
      </c>
      <c r="L120" s="528">
        <f>IF(E120="STL",Pricing!$D$38,IF(A120="",0,IF(A120&lt;Pricing!$C$25,Pricing!$D$25,VLOOKUP(Disbursements!$F120,Pricing!$B$29:$D$32,3))))</f>
        <v>10000</v>
      </c>
      <c r="M120" s="528">
        <f>IF(E120="STL",0,IF(F120&gt;0,Pricing!$D$21,0))</f>
        <v>5000</v>
      </c>
      <c r="N120" s="529">
        <f>IF(E120="STL",F120*Pricing!$D$40,IF(A120&lt;=Pricing!$C$4,0,IF(AND(A120&gt;Pricing!$C$4,Disbursements!A120&lt;=Pricing!$C$5),F120*Pricing!$E$5,IF(AND(A120&gt;Pricing!$C$5,Disbursements!A120&lt;=Pricing!$C$7),VLOOKUP(F120,Pricing!$D$7:$E$8,2)*Disbursements!F120,F120*Pricing!$E$9))))</f>
        <v>5000</v>
      </c>
      <c r="O120" s="528">
        <f>IF(E120="STL",0,IF($F120&gt;0,$F120*Pricing!$D$17,0))</f>
        <v>50000</v>
      </c>
      <c r="P120" s="530">
        <f t="shared" si="48"/>
        <v>125000</v>
      </c>
      <c r="Q120" s="531">
        <f>IF($A120="","",$G120/VLOOKUP($I120,Ref!$B$23:$D$29,2,0))</f>
        <v>5</v>
      </c>
      <c r="R120" s="530">
        <f t="shared" si="49"/>
        <v>625000</v>
      </c>
      <c r="S120" s="532">
        <f t="shared" si="43"/>
        <v>125000</v>
      </c>
      <c r="T120" s="531">
        <f t="shared" si="50"/>
        <v>125000</v>
      </c>
      <c r="U120" s="533">
        <f t="shared" si="51"/>
        <v>625000</v>
      </c>
      <c r="V120" s="531">
        <f t="shared" si="52"/>
        <v>100000</v>
      </c>
      <c r="W120" s="531">
        <f t="shared" si="53"/>
        <v>25000</v>
      </c>
      <c r="X120" s="534">
        <f t="shared" si="54"/>
        <v>125000</v>
      </c>
      <c r="Y120" s="535">
        <f>IF($A120="","",IF($I120="weekly",$A120+7,EDATE($A120,VLOOKUP($I120,Ref!$B$24:$C$29,2,0))))</f>
        <v>44423</v>
      </c>
      <c r="Z120" s="536" t="str">
        <f t="shared" si="55"/>
        <v>Sun</v>
      </c>
      <c r="AA120" s="531">
        <f t="shared" si="56"/>
        <v>31</v>
      </c>
      <c r="AB120" s="535">
        <f t="shared" si="44"/>
        <v>44545</v>
      </c>
      <c r="AC120" s="537">
        <f t="shared" si="45"/>
        <v>153</v>
      </c>
      <c r="AD120" s="538" t="str">
        <f t="shared" ca="1" si="46"/>
        <v>Expired</v>
      </c>
      <c r="AE120" s="537">
        <f t="shared" ca="1" si="47"/>
        <v>0</v>
      </c>
      <c r="AF120" s="539">
        <f t="shared" ca="1" si="57"/>
        <v>5</v>
      </c>
      <c r="AG120" s="531">
        <f t="shared" ca="1" si="58"/>
        <v>625000</v>
      </c>
      <c r="AH120" s="531">
        <f t="shared" ca="1" si="59"/>
        <v>125000</v>
      </c>
      <c r="AI120" s="531">
        <f t="shared" ca="1" si="60"/>
        <v>500000</v>
      </c>
      <c r="AJ120" s="531">
        <f t="shared" ca="1" si="61"/>
        <v>0</v>
      </c>
      <c r="AK120" s="540">
        <f>SUMIFS('Live Collections'!$S:$S,'Live Collections'!$D:$D,Disbursements!B120,'Live Collections'!$G:$G,Disbursements!C120)</f>
        <v>125000</v>
      </c>
      <c r="AL120" s="540">
        <f>SUMIFS('Live Collections'!$T:$T,'Live Collections'!$D:$D,Disbursements!B120,'Live Collections'!$G:$G,Disbursements!C120)</f>
        <v>500000</v>
      </c>
      <c r="AM120" s="541">
        <f t="shared" si="62"/>
        <v>625000</v>
      </c>
      <c r="AN120" s="542">
        <f t="shared" si="63"/>
        <v>0</v>
      </c>
      <c r="AO120" s="542">
        <f t="shared" si="64"/>
        <v>0</v>
      </c>
      <c r="AP120" s="543">
        <f t="shared" si="65"/>
        <v>0</v>
      </c>
      <c r="AQ120" s="544" t="str">
        <f t="shared" ca="1" si="66"/>
        <v/>
      </c>
      <c r="AR120" s="545">
        <f t="shared" ca="1" si="67"/>
        <v>0</v>
      </c>
      <c r="AS120" s="545">
        <f ca="1">IFERROR(CEILING($AR120*VLOOKUP($I120,Ref!$B$23:$E$29,4,0),1),0)</f>
        <v>0</v>
      </c>
      <c r="AT120" s="545" t="str">
        <f>IF(A120="","",IF(AP120&lt;=1,"Cleared",IF(AS120=0,"Clean",VLOOKUP($AS120,Ref!$G$23:$H$28,2))))</f>
        <v>Cleared</v>
      </c>
      <c r="AU120" s="546" t="str">
        <f t="shared" si="68"/>
        <v>Ok</v>
      </c>
    </row>
    <row r="121" spans="1:47" ht="15" customHeight="1" x14ac:dyDescent="0.15">
      <c r="A121" s="575">
        <v>44393</v>
      </c>
      <c r="B121" s="523">
        <v>135</v>
      </c>
      <c r="C121" s="523">
        <v>120</v>
      </c>
      <c r="D121" s="523">
        <v>1</v>
      </c>
      <c r="E121" s="523" t="s">
        <v>1274</v>
      </c>
      <c r="F121" s="554">
        <v>700000</v>
      </c>
      <c r="G121" s="524">
        <v>5</v>
      </c>
      <c r="H121" s="555">
        <v>0.05</v>
      </c>
      <c r="I121" s="560" t="s">
        <v>859</v>
      </c>
      <c r="J121" s="523" t="s">
        <v>864</v>
      </c>
      <c r="K121" s="528" t="str">
        <f>IFERROR(VLOOKUP($B121,'Clients-Live'!$A:$C,3,0),"")</f>
        <v>SARIF SAIDI</v>
      </c>
      <c r="L121" s="528">
        <f>IF(E121="STL",Pricing!$D$38,IF(A121="",0,IF(A121&lt;Pricing!$C$25,Pricing!$D$25,VLOOKUP(Disbursements!$F121,Pricing!$B$29:$D$32,3))))</f>
        <v>10000</v>
      </c>
      <c r="M121" s="528">
        <f>IF(E121="STL",0,IF(F121&gt;0,Pricing!$D$21,0))</f>
        <v>5000</v>
      </c>
      <c r="N121" s="529">
        <f>IF(E121="STL",F121*Pricing!$D$40,IF(A121&lt;=Pricing!$C$4,0,IF(AND(A121&gt;Pricing!$C$4,Disbursements!A121&lt;=Pricing!$C$5),F121*Pricing!$E$5,IF(AND(A121&gt;Pricing!$C$5,Disbursements!A121&lt;=Pricing!$C$7),VLOOKUP(F121,Pricing!$D$7:$E$8,2)*Disbursements!F121,F121*Pricing!$E$9))))</f>
        <v>7000</v>
      </c>
      <c r="O121" s="528">
        <f>IF(E121="STL",0,IF($F121&gt;0,$F121*Pricing!$D$17,0))</f>
        <v>70000</v>
      </c>
      <c r="P121" s="530">
        <f t="shared" si="48"/>
        <v>175000</v>
      </c>
      <c r="Q121" s="531">
        <f>IF($A121="","",$G121/VLOOKUP($I121,Ref!$B$23:$D$29,2,0))</f>
        <v>5</v>
      </c>
      <c r="R121" s="530">
        <f t="shared" si="49"/>
        <v>875000</v>
      </c>
      <c r="S121" s="532">
        <f t="shared" si="43"/>
        <v>175000</v>
      </c>
      <c r="T121" s="531">
        <f t="shared" si="50"/>
        <v>175000</v>
      </c>
      <c r="U121" s="533">
        <f t="shared" si="51"/>
        <v>875000</v>
      </c>
      <c r="V121" s="531">
        <f t="shared" si="52"/>
        <v>140000</v>
      </c>
      <c r="W121" s="531">
        <f t="shared" si="53"/>
        <v>35000</v>
      </c>
      <c r="X121" s="534">
        <f t="shared" si="54"/>
        <v>175000</v>
      </c>
      <c r="Y121" s="535">
        <f>IF($A121="","",IF($I121="weekly",$A121+7,EDATE($A121,VLOOKUP($I121,Ref!$B$24:$C$29,2,0))))</f>
        <v>44424</v>
      </c>
      <c r="Z121" s="536" t="str">
        <f t="shared" si="55"/>
        <v>Mon</v>
      </c>
      <c r="AA121" s="531">
        <f t="shared" si="56"/>
        <v>31</v>
      </c>
      <c r="AB121" s="535">
        <f t="shared" si="44"/>
        <v>44546</v>
      </c>
      <c r="AC121" s="537">
        <f t="shared" si="45"/>
        <v>153</v>
      </c>
      <c r="AD121" s="538" t="str">
        <f t="shared" ca="1" si="46"/>
        <v>Expired</v>
      </c>
      <c r="AE121" s="537">
        <f t="shared" ca="1" si="47"/>
        <v>0</v>
      </c>
      <c r="AF121" s="539">
        <f t="shared" ca="1" si="57"/>
        <v>5</v>
      </c>
      <c r="AG121" s="531">
        <f t="shared" ca="1" si="58"/>
        <v>875000</v>
      </c>
      <c r="AH121" s="531">
        <f t="shared" ca="1" si="59"/>
        <v>175000</v>
      </c>
      <c r="AI121" s="531">
        <f t="shared" ca="1" si="60"/>
        <v>700000</v>
      </c>
      <c r="AJ121" s="531">
        <f t="shared" ca="1" si="61"/>
        <v>0</v>
      </c>
      <c r="AK121" s="540">
        <f>SUMIFS('Live Collections'!$S:$S,'Live Collections'!$D:$D,Disbursements!B121,'Live Collections'!$G:$G,Disbursements!C121)</f>
        <v>71333.333333333328</v>
      </c>
      <c r="AL121" s="540">
        <f>SUMIFS('Live Collections'!$T:$T,'Live Collections'!$D:$D,Disbursements!B121,'Live Collections'!$G:$G,Disbursements!C121)</f>
        <v>553666.66666666674</v>
      </c>
      <c r="AM121" s="541">
        <f t="shared" si="62"/>
        <v>625000.00000000012</v>
      </c>
      <c r="AN121" s="542">
        <f t="shared" si="63"/>
        <v>103666.66666666667</v>
      </c>
      <c r="AO121" s="542">
        <f t="shared" si="64"/>
        <v>146333.33333333326</v>
      </c>
      <c r="AP121" s="543">
        <f t="shared" si="65"/>
        <v>249999.99999999994</v>
      </c>
      <c r="AQ121" s="544">
        <f t="shared" ca="1" si="66"/>
        <v>249999.99999999994</v>
      </c>
      <c r="AR121" s="545">
        <f t="shared" ca="1" si="67"/>
        <v>1.4285714285714282</v>
      </c>
      <c r="AS121" s="545">
        <f ca="1">IFERROR(CEILING($AR121*VLOOKUP($I121,Ref!$B$23:$E$29,4,0),1),0)</f>
        <v>43</v>
      </c>
      <c r="AT121" s="545" t="str">
        <f ca="1">IF(A121="","",IF(AP121&lt;=1,"Cleared",IF(AS121=0,"Clean",VLOOKUP($AS121,Ref!$G$23:$H$28,2))))</f>
        <v>2.(31-60) Days</v>
      </c>
      <c r="AU121" s="546" t="str">
        <f t="shared" si="68"/>
        <v>Ok</v>
      </c>
    </row>
    <row r="122" spans="1:47" ht="15" customHeight="1" x14ac:dyDescent="0.15">
      <c r="A122" s="575">
        <v>44393</v>
      </c>
      <c r="B122" s="523">
        <v>134</v>
      </c>
      <c r="C122" s="523">
        <v>117</v>
      </c>
      <c r="D122" s="523">
        <v>1</v>
      </c>
      <c r="E122" s="523" t="s">
        <v>1274</v>
      </c>
      <c r="F122" s="554">
        <v>400000</v>
      </c>
      <c r="G122" s="524">
        <v>4</v>
      </c>
      <c r="H122" s="555">
        <v>0.05</v>
      </c>
      <c r="I122" s="560" t="s">
        <v>859</v>
      </c>
      <c r="J122" s="523" t="s">
        <v>862</v>
      </c>
      <c r="K122" s="528" t="str">
        <f>IFERROR(VLOOKUP($B122,'Clients-Live'!$A:$C,3,0),"")</f>
        <v>TABU NATALIYA</v>
      </c>
      <c r="L122" s="528">
        <f>IF(E122="STL",Pricing!$D$38,IF(A122="",0,IF(A122&lt;Pricing!$C$25,Pricing!$D$25,VLOOKUP(Disbursements!$F122,Pricing!$B$29:$D$32,3))))</f>
        <v>10000</v>
      </c>
      <c r="M122" s="528">
        <f>IF(E122="STL",0,IF(F122&gt;0,Pricing!$D$21,0))</f>
        <v>5000</v>
      </c>
      <c r="N122" s="529">
        <f>IF(E122="STL",F122*Pricing!$D$40,IF(A122&lt;=Pricing!$C$4,0,IF(AND(A122&gt;Pricing!$C$4,Disbursements!A122&lt;=Pricing!$C$5),F122*Pricing!$E$5,IF(AND(A122&gt;Pricing!$C$5,Disbursements!A122&lt;=Pricing!$C$7),VLOOKUP(F122,Pricing!$D$7:$E$8,2)*Disbursements!F122,F122*Pricing!$E$9))))</f>
        <v>4000</v>
      </c>
      <c r="O122" s="528">
        <f>IF(E122="STL",0,IF($F122&gt;0,$F122*Pricing!$D$17,0))</f>
        <v>40000</v>
      </c>
      <c r="P122" s="530">
        <f t="shared" si="48"/>
        <v>80000</v>
      </c>
      <c r="Q122" s="531">
        <f>IF($A122="","",$G122/VLOOKUP($I122,Ref!$B$23:$D$29,2,0))</f>
        <v>4</v>
      </c>
      <c r="R122" s="530">
        <f t="shared" si="49"/>
        <v>480000</v>
      </c>
      <c r="S122" s="532">
        <f t="shared" si="43"/>
        <v>120000</v>
      </c>
      <c r="T122" s="531">
        <f t="shared" si="50"/>
        <v>120000</v>
      </c>
      <c r="U122" s="533">
        <f t="shared" si="51"/>
        <v>480000</v>
      </c>
      <c r="V122" s="531">
        <f t="shared" si="52"/>
        <v>100000</v>
      </c>
      <c r="W122" s="531">
        <f t="shared" si="53"/>
        <v>20000</v>
      </c>
      <c r="X122" s="534">
        <f t="shared" si="54"/>
        <v>80000</v>
      </c>
      <c r="Y122" s="535">
        <f>IF($A122="","",IF($I122="weekly",$A122+7,EDATE($A122,VLOOKUP($I122,Ref!$B$24:$C$29,2,0))))</f>
        <v>44424</v>
      </c>
      <c r="Z122" s="536" t="str">
        <f t="shared" si="55"/>
        <v>Mon</v>
      </c>
      <c r="AA122" s="531">
        <f t="shared" si="56"/>
        <v>31</v>
      </c>
      <c r="AB122" s="535">
        <f t="shared" si="44"/>
        <v>44516</v>
      </c>
      <c r="AC122" s="537">
        <f t="shared" si="45"/>
        <v>123</v>
      </c>
      <c r="AD122" s="538" t="str">
        <f t="shared" ca="1" si="46"/>
        <v>Expired</v>
      </c>
      <c r="AE122" s="537">
        <f t="shared" ca="1" si="47"/>
        <v>0</v>
      </c>
      <c r="AF122" s="539">
        <f t="shared" ca="1" si="57"/>
        <v>4</v>
      </c>
      <c r="AG122" s="531">
        <f t="shared" ca="1" si="58"/>
        <v>480000</v>
      </c>
      <c r="AH122" s="531">
        <f t="shared" ca="1" si="59"/>
        <v>80000</v>
      </c>
      <c r="AI122" s="531">
        <f t="shared" ca="1" si="60"/>
        <v>400000</v>
      </c>
      <c r="AJ122" s="531">
        <f t="shared" ca="1" si="61"/>
        <v>0</v>
      </c>
      <c r="AK122" s="540">
        <f>SUMIFS('Live Collections'!$S:$S,'Live Collections'!$D:$D,Disbursements!B122,'Live Collections'!$G:$G,Disbursements!C122)</f>
        <v>80000</v>
      </c>
      <c r="AL122" s="540">
        <f>SUMIFS('Live Collections'!$T:$T,'Live Collections'!$D:$D,Disbursements!B122,'Live Collections'!$G:$G,Disbursements!C122)</f>
        <v>260000</v>
      </c>
      <c r="AM122" s="541">
        <f t="shared" si="62"/>
        <v>340000</v>
      </c>
      <c r="AN122" s="542">
        <f t="shared" si="63"/>
        <v>0</v>
      </c>
      <c r="AO122" s="542">
        <f t="shared" si="64"/>
        <v>140000</v>
      </c>
      <c r="AP122" s="543">
        <f t="shared" si="65"/>
        <v>140000</v>
      </c>
      <c r="AQ122" s="544">
        <f t="shared" ca="1" si="66"/>
        <v>140000</v>
      </c>
      <c r="AR122" s="545">
        <f t="shared" ca="1" si="67"/>
        <v>1.1666666666666667</v>
      </c>
      <c r="AS122" s="545">
        <f ca="1">IFERROR(CEILING($AR122*VLOOKUP($I122,Ref!$B$23:$E$29,4,0),1),0)</f>
        <v>35</v>
      </c>
      <c r="AT122" s="545" t="str">
        <f ca="1">IF(A122="","",IF(AP122&lt;=1,"Cleared",IF(AS122=0,"Clean",VLOOKUP($AS122,Ref!$G$23:$H$28,2))))</f>
        <v>2.(31-60) Days</v>
      </c>
      <c r="AU122" s="546" t="str">
        <f t="shared" si="68"/>
        <v>Ok</v>
      </c>
    </row>
    <row r="123" spans="1:47" ht="15" customHeight="1" x14ac:dyDescent="0.15">
      <c r="A123" s="576">
        <v>44394</v>
      </c>
      <c r="B123" s="548">
        <v>137</v>
      </c>
      <c r="C123" s="523">
        <v>121</v>
      </c>
      <c r="D123" s="523">
        <v>1</v>
      </c>
      <c r="E123" s="523" t="s">
        <v>1274</v>
      </c>
      <c r="F123" s="549">
        <v>500000</v>
      </c>
      <c r="G123" s="563">
        <v>2</v>
      </c>
      <c r="H123" s="550">
        <v>0.05</v>
      </c>
      <c r="I123" s="562" t="s">
        <v>859</v>
      </c>
      <c r="J123" s="548" t="s">
        <v>862</v>
      </c>
      <c r="K123" s="528" t="str">
        <f>IFERROR(VLOOKUP($B123,'Clients-Live'!$A:$C,3,0),"")</f>
        <v>YAKANI CHARLES</v>
      </c>
      <c r="L123" s="528">
        <f>IF(E123="STL",Pricing!$D$38,IF(A123="",0,IF(A123&lt;Pricing!$C$25,Pricing!$D$25,VLOOKUP(Disbursements!$F123,Pricing!$B$29:$D$32,3))))</f>
        <v>10000</v>
      </c>
      <c r="M123" s="528">
        <f>IF(E123="STL",0,IF(F123&gt;0,Pricing!$D$21,0))</f>
        <v>5000</v>
      </c>
      <c r="N123" s="529">
        <f>IF(E123="STL",F123*Pricing!$D$40,IF(A123&lt;=Pricing!$C$4,0,IF(AND(A123&gt;Pricing!$C$4,Disbursements!A123&lt;=Pricing!$C$5),F123*Pricing!$E$5,IF(AND(A123&gt;Pricing!$C$5,Disbursements!A123&lt;=Pricing!$C$7),VLOOKUP(F123,Pricing!$D$7:$E$8,2)*Disbursements!F123,F123*Pricing!$E$9))))</f>
        <v>5000</v>
      </c>
      <c r="O123" s="528">
        <f>IF(E123="STL",0,IF($F123&gt;0,$F123*Pricing!$D$17,0))</f>
        <v>50000</v>
      </c>
      <c r="P123" s="530">
        <f t="shared" si="48"/>
        <v>50000</v>
      </c>
      <c r="Q123" s="531">
        <f>IF($A123="","",$G123/VLOOKUP($I123,Ref!$B$23:$D$29,2,0))</f>
        <v>2</v>
      </c>
      <c r="R123" s="530">
        <f t="shared" si="49"/>
        <v>550000</v>
      </c>
      <c r="S123" s="532">
        <f t="shared" si="43"/>
        <v>275000</v>
      </c>
      <c r="T123" s="531">
        <f t="shared" si="50"/>
        <v>275000</v>
      </c>
      <c r="U123" s="533">
        <f t="shared" si="51"/>
        <v>550000</v>
      </c>
      <c r="V123" s="531">
        <f t="shared" si="52"/>
        <v>250000</v>
      </c>
      <c r="W123" s="531">
        <f t="shared" si="53"/>
        <v>25000</v>
      </c>
      <c r="X123" s="534">
        <f t="shared" si="54"/>
        <v>50000</v>
      </c>
      <c r="Y123" s="535">
        <f>IF($A123="","",IF($I123="weekly",$A123+7,EDATE($A123,VLOOKUP($I123,Ref!$B$24:$C$29,2,0))))</f>
        <v>44425</v>
      </c>
      <c r="Z123" s="536" t="str">
        <f t="shared" si="55"/>
        <v>Tue</v>
      </c>
      <c r="AA123" s="531">
        <f t="shared" si="56"/>
        <v>31</v>
      </c>
      <c r="AB123" s="535">
        <f t="shared" si="44"/>
        <v>44456</v>
      </c>
      <c r="AC123" s="537">
        <f t="shared" si="45"/>
        <v>62</v>
      </c>
      <c r="AD123" s="538" t="str">
        <f t="shared" ca="1" si="46"/>
        <v>Expired</v>
      </c>
      <c r="AE123" s="537">
        <f t="shared" ca="1" si="47"/>
        <v>0</v>
      </c>
      <c r="AF123" s="539">
        <f t="shared" ca="1" si="57"/>
        <v>2</v>
      </c>
      <c r="AG123" s="531">
        <f t="shared" ca="1" si="58"/>
        <v>550000</v>
      </c>
      <c r="AH123" s="531">
        <f t="shared" ca="1" si="59"/>
        <v>50000</v>
      </c>
      <c r="AI123" s="531">
        <f t="shared" ca="1" si="60"/>
        <v>500000</v>
      </c>
      <c r="AJ123" s="531">
        <f t="shared" ca="1" si="61"/>
        <v>0</v>
      </c>
      <c r="AK123" s="540">
        <f>SUMIFS('Live Collections'!$S:$S,'Live Collections'!$D:$D,Disbursements!B123,'Live Collections'!$G:$G,Disbursements!C123)</f>
        <v>50000</v>
      </c>
      <c r="AL123" s="540">
        <f>SUMIFS('Live Collections'!$T:$T,'Live Collections'!$D:$D,Disbursements!B123,'Live Collections'!$G:$G,Disbursements!C123)</f>
        <v>500000</v>
      </c>
      <c r="AM123" s="541">
        <f t="shared" si="62"/>
        <v>550000</v>
      </c>
      <c r="AN123" s="542">
        <f t="shared" si="63"/>
        <v>0</v>
      </c>
      <c r="AO123" s="542">
        <f t="shared" si="64"/>
        <v>0</v>
      </c>
      <c r="AP123" s="543">
        <f t="shared" si="65"/>
        <v>0</v>
      </c>
      <c r="AQ123" s="544" t="str">
        <f t="shared" ca="1" si="66"/>
        <v/>
      </c>
      <c r="AR123" s="545">
        <f t="shared" ca="1" si="67"/>
        <v>0</v>
      </c>
      <c r="AS123" s="545">
        <f ca="1">IFERROR(CEILING($AR123*VLOOKUP($I123,Ref!$B$23:$E$29,4,0),1),0)</f>
        <v>0</v>
      </c>
      <c r="AT123" s="545" t="str">
        <f>IF(A123="","",IF(AP123&lt;=1,"Cleared",IF(AS123=0,"Clean",VLOOKUP($AS123,Ref!$G$23:$H$28,2))))</f>
        <v>Cleared</v>
      </c>
      <c r="AU123" s="546" t="str">
        <f t="shared" si="68"/>
        <v>Ok</v>
      </c>
    </row>
    <row r="124" spans="1:47" ht="15" customHeight="1" x14ac:dyDescent="0.15">
      <c r="A124" s="575">
        <v>44396</v>
      </c>
      <c r="B124" s="523">
        <v>136</v>
      </c>
      <c r="C124" s="523">
        <v>122</v>
      </c>
      <c r="D124" s="523">
        <v>1</v>
      </c>
      <c r="E124" s="523" t="s">
        <v>1274</v>
      </c>
      <c r="F124" s="569">
        <v>400000</v>
      </c>
      <c r="G124" s="524">
        <v>4</v>
      </c>
      <c r="H124" s="555">
        <v>0.05</v>
      </c>
      <c r="I124" s="560" t="s">
        <v>859</v>
      </c>
      <c r="J124" s="523" t="s">
        <v>864</v>
      </c>
      <c r="K124" s="528" t="str">
        <f>IFERROR(VLOOKUP($B124,'Clients-Live'!$A:$C,3,0),"")</f>
        <v>LEMERIGA GODWILL JOSEPH</v>
      </c>
      <c r="L124" s="528">
        <f>IF(E124="STL",Pricing!$D$38,IF(A124="",0,IF(A124&lt;Pricing!$C$25,Pricing!$D$25,VLOOKUP(Disbursements!$F124,Pricing!$B$29:$D$32,3))))</f>
        <v>10000</v>
      </c>
      <c r="M124" s="528">
        <f>IF(E124="STL",0,IF(F124&gt;0,Pricing!$D$21,0))</f>
        <v>5000</v>
      </c>
      <c r="N124" s="529">
        <f>IF(E124="STL",F124*Pricing!$D$40,IF(A124&lt;=Pricing!$C$4,0,IF(AND(A124&gt;Pricing!$C$4,Disbursements!A124&lt;=Pricing!$C$5),F124*Pricing!$E$5,IF(AND(A124&gt;Pricing!$C$5,Disbursements!A124&lt;=Pricing!$C$7),VLOOKUP(F124,Pricing!$D$7:$E$8,2)*Disbursements!F124,F124*Pricing!$E$9))))</f>
        <v>4000</v>
      </c>
      <c r="O124" s="528">
        <f>IF(E124="STL",0,IF($F124&gt;0,$F124*Pricing!$D$17,0))</f>
        <v>40000</v>
      </c>
      <c r="P124" s="530">
        <f t="shared" si="48"/>
        <v>80000</v>
      </c>
      <c r="Q124" s="531">
        <f>IF($A124="","",$G124/VLOOKUP($I124,Ref!$B$23:$D$29,2,0))</f>
        <v>4</v>
      </c>
      <c r="R124" s="530">
        <f t="shared" si="49"/>
        <v>480000</v>
      </c>
      <c r="S124" s="532">
        <f t="shared" si="43"/>
        <v>120000</v>
      </c>
      <c r="T124" s="531">
        <f t="shared" si="50"/>
        <v>120000</v>
      </c>
      <c r="U124" s="533">
        <f t="shared" si="51"/>
        <v>480000</v>
      </c>
      <c r="V124" s="531">
        <f t="shared" si="52"/>
        <v>100000</v>
      </c>
      <c r="W124" s="531">
        <f t="shared" si="53"/>
        <v>20000</v>
      </c>
      <c r="X124" s="534">
        <f t="shared" si="54"/>
        <v>80000</v>
      </c>
      <c r="Y124" s="535">
        <f>IF($A124="","",IF($I124="weekly",$A124+7,EDATE($A124,VLOOKUP($I124,Ref!$B$24:$C$29,2,0))))</f>
        <v>44427</v>
      </c>
      <c r="Z124" s="536" t="str">
        <f t="shared" si="55"/>
        <v>Thu</v>
      </c>
      <c r="AA124" s="531">
        <f t="shared" si="56"/>
        <v>31</v>
      </c>
      <c r="AB124" s="535">
        <f t="shared" si="44"/>
        <v>44519</v>
      </c>
      <c r="AC124" s="537">
        <f t="shared" si="45"/>
        <v>123</v>
      </c>
      <c r="AD124" s="538" t="str">
        <f t="shared" ca="1" si="46"/>
        <v>Expired</v>
      </c>
      <c r="AE124" s="537">
        <f t="shared" ca="1" si="47"/>
        <v>0</v>
      </c>
      <c r="AF124" s="539">
        <f t="shared" ca="1" si="57"/>
        <v>4</v>
      </c>
      <c r="AG124" s="531">
        <f t="shared" ca="1" si="58"/>
        <v>480000</v>
      </c>
      <c r="AH124" s="531">
        <f t="shared" ca="1" si="59"/>
        <v>80000</v>
      </c>
      <c r="AI124" s="531">
        <f t="shared" ca="1" si="60"/>
        <v>400000</v>
      </c>
      <c r="AJ124" s="531">
        <f t="shared" ca="1" si="61"/>
        <v>0</v>
      </c>
      <c r="AK124" s="540">
        <f>SUMIFS('Live Collections'!$S:$S,'Live Collections'!$D:$D,Disbursements!B124,'Live Collections'!$G:$G,Disbursements!C124)</f>
        <v>80000</v>
      </c>
      <c r="AL124" s="540">
        <f>SUMIFS('Live Collections'!$T:$T,'Live Collections'!$D:$D,Disbursements!B124,'Live Collections'!$G:$G,Disbursements!C124)</f>
        <v>400000</v>
      </c>
      <c r="AM124" s="541">
        <f t="shared" si="62"/>
        <v>480000</v>
      </c>
      <c r="AN124" s="542">
        <f t="shared" si="63"/>
        <v>0</v>
      </c>
      <c r="AO124" s="542">
        <f t="shared" si="64"/>
        <v>0</v>
      </c>
      <c r="AP124" s="543">
        <f t="shared" si="65"/>
        <v>0</v>
      </c>
      <c r="AQ124" s="544" t="str">
        <f t="shared" ca="1" si="66"/>
        <v/>
      </c>
      <c r="AR124" s="545">
        <f t="shared" ca="1" si="67"/>
        <v>0</v>
      </c>
      <c r="AS124" s="545">
        <f ca="1">IFERROR(CEILING($AR124*VLOOKUP($I124,Ref!$B$23:$E$29,4,0),1),0)</f>
        <v>0</v>
      </c>
      <c r="AT124" s="545" t="str">
        <f>IF(A124="","",IF(AP124&lt;=1,"Cleared",IF(AS124=0,"Clean",VLOOKUP($AS124,Ref!$G$23:$H$28,2))))</f>
        <v>Cleared</v>
      </c>
      <c r="AU124" s="546" t="str">
        <f t="shared" si="68"/>
        <v>Ok</v>
      </c>
    </row>
    <row r="125" spans="1:47" ht="15" customHeight="1" x14ac:dyDescent="0.15">
      <c r="A125" s="575">
        <v>44399</v>
      </c>
      <c r="B125" s="523">
        <v>138</v>
      </c>
      <c r="C125" s="523">
        <v>126</v>
      </c>
      <c r="D125" s="523">
        <v>1</v>
      </c>
      <c r="E125" s="523" t="s">
        <v>1274</v>
      </c>
      <c r="F125" s="554">
        <v>600000</v>
      </c>
      <c r="G125" s="524">
        <v>3</v>
      </c>
      <c r="H125" s="555">
        <v>0.05</v>
      </c>
      <c r="I125" s="560" t="s">
        <v>859</v>
      </c>
      <c r="J125" s="523" t="s">
        <v>864</v>
      </c>
      <c r="K125" s="528" t="str">
        <f>IFERROR(VLOOKUP($B125,'Clients-Live'!$A:$C,3,0),"")</f>
        <v>BEATRICE AMANDRU</v>
      </c>
      <c r="L125" s="528">
        <f>IF(E125="STL",Pricing!$D$38,IF(A125="",0,IF(A125&lt;Pricing!$C$25,Pricing!$D$25,VLOOKUP(Disbursements!$F125,Pricing!$B$29:$D$32,3))))</f>
        <v>10000</v>
      </c>
      <c r="M125" s="528">
        <f>IF(E125="STL",0,IF(F125&gt;0,Pricing!$D$21,0))</f>
        <v>5000</v>
      </c>
      <c r="N125" s="529">
        <f>IF(E125="STL",F125*Pricing!$D$40,IF(A125&lt;=Pricing!$C$4,0,IF(AND(A125&gt;Pricing!$C$4,Disbursements!A125&lt;=Pricing!$C$5),F125*Pricing!$E$5,IF(AND(A125&gt;Pricing!$C$5,Disbursements!A125&lt;=Pricing!$C$7),VLOOKUP(F125,Pricing!$D$7:$E$8,2)*Disbursements!F125,F125*Pricing!$E$9))))</f>
        <v>6000</v>
      </c>
      <c r="O125" s="528">
        <f>IF(E125="STL",0,IF($F125&gt;0,$F125*Pricing!$D$17,0))</f>
        <v>60000</v>
      </c>
      <c r="P125" s="530">
        <f t="shared" si="48"/>
        <v>90000</v>
      </c>
      <c r="Q125" s="531">
        <f>IF($A125="","",$G125/VLOOKUP($I125,Ref!$B$23:$D$29,2,0))</f>
        <v>3</v>
      </c>
      <c r="R125" s="530">
        <f t="shared" si="49"/>
        <v>690000</v>
      </c>
      <c r="S125" s="532">
        <f t="shared" si="43"/>
        <v>230000</v>
      </c>
      <c r="T125" s="531">
        <f t="shared" si="50"/>
        <v>230000</v>
      </c>
      <c r="U125" s="533">
        <f t="shared" si="51"/>
        <v>690000</v>
      </c>
      <c r="V125" s="531">
        <f t="shared" si="52"/>
        <v>200000</v>
      </c>
      <c r="W125" s="531">
        <f t="shared" si="53"/>
        <v>30000</v>
      </c>
      <c r="X125" s="534">
        <f t="shared" si="54"/>
        <v>90000</v>
      </c>
      <c r="Y125" s="535">
        <f>IF($A125="","",IF($I125="weekly",$A125+7,EDATE($A125,VLOOKUP($I125,Ref!$B$24:$C$29,2,0))))</f>
        <v>44430</v>
      </c>
      <c r="Z125" s="536" t="str">
        <f t="shared" si="55"/>
        <v>Sun</v>
      </c>
      <c r="AA125" s="531">
        <f t="shared" si="56"/>
        <v>31</v>
      </c>
      <c r="AB125" s="535">
        <f t="shared" si="44"/>
        <v>44491</v>
      </c>
      <c r="AC125" s="537">
        <f t="shared" si="45"/>
        <v>92</v>
      </c>
      <c r="AD125" s="538" t="str">
        <f t="shared" ca="1" si="46"/>
        <v>Expired</v>
      </c>
      <c r="AE125" s="537">
        <f t="shared" ca="1" si="47"/>
        <v>0</v>
      </c>
      <c r="AF125" s="539">
        <f t="shared" ca="1" si="57"/>
        <v>3</v>
      </c>
      <c r="AG125" s="531">
        <f t="shared" ca="1" si="58"/>
        <v>690000</v>
      </c>
      <c r="AH125" s="531">
        <f t="shared" ca="1" si="59"/>
        <v>90000</v>
      </c>
      <c r="AI125" s="531">
        <f t="shared" ca="1" si="60"/>
        <v>600000</v>
      </c>
      <c r="AJ125" s="531">
        <f t="shared" ca="1" si="61"/>
        <v>0</v>
      </c>
      <c r="AK125" s="540">
        <f>SUMIFS('Live Collections'!$S:$S,'Live Collections'!$D:$D,Disbursements!B125,'Live Collections'!$G:$G,Disbursements!C125)</f>
        <v>90000</v>
      </c>
      <c r="AL125" s="540">
        <f>SUMIFS('Live Collections'!$T:$T,'Live Collections'!$D:$D,Disbursements!B125,'Live Collections'!$G:$G,Disbursements!C125)</f>
        <v>600000</v>
      </c>
      <c r="AM125" s="541">
        <f t="shared" si="62"/>
        <v>690000</v>
      </c>
      <c r="AN125" s="542">
        <f t="shared" si="63"/>
        <v>0</v>
      </c>
      <c r="AO125" s="542">
        <f t="shared" si="64"/>
        <v>0</v>
      </c>
      <c r="AP125" s="543">
        <f t="shared" si="65"/>
        <v>0</v>
      </c>
      <c r="AQ125" s="544" t="str">
        <f t="shared" ca="1" si="66"/>
        <v/>
      </c>
      <c r="AR125" s="545">
        <f t="shared" ca="1" si="67"/>
        <v>0</v>
      </c>
      <c r="AS125" s="545">
        <f ca="1">IFERROR(CEILING($AR125*VLOOKUP($I125,Ref!$B$23:$E$29,4,0),1),0)</f>
        <v>0</v>
      </c>
      <c r="AT125" s="545" t="str">
        <f>IF(A125="","",IF(AP125&lt;=1,"Cleared",IF(AS125=0,"Clean",VLOOKUP($AS125,Ref!$G$23:$H$28,2))))</f>
        <v>Cleared</v>
      </c>
      <c r="AU125" s="546" t="str">
        <f t="shared" si="68"/>
        <v>Ok</v>
      </c>
    </row>
    <row r="126" spans="1:47" ht="15" customHeight="1" x14ac:dyDescent="0.15">
      <c r="A126" s="575">
        <v>44399</v>
      </c>
      <c r="B126" s="523">
        <v>139</v>
      </c>
      <c r="C126" s="523">
        <v>123</v>
      </c>
      <c r="D126" s="523">
        <v>1</v>
      </c>
      <c r="E126" s="523" t="s">
        <v>1274</v>
      </c>
      <c r="F126" s="554">
        <v>300000</v>
      </c>
      <c r="G126" s="524">
        <v>3</v>
      </c>
      <c r="H126" s="555">
        <v>0.05</v>
      </c>
      <c r="I126" s="560" t="s">
        <v>859</v>
      </c>
      <c r="J126" s="523" t="s">
        <v>862</v>
      </c>
      <c r="K126" s="528" t="str">
        <f>IFERROR(VLOOKUP($B126,'Clients-Live'!$A:$C,3,0),"")</f>
        <v xml:space="preserve">DRICHIRU MAIMUNA </v>
      </c>
      <c r="L126" s="528">
        <f>IF(E126="STL",Pricing!$D$38,IF(A126="",0,IF(A126&lt;Pricing!$C$25,Pricing!$D$25,VLOOKUP(Disbursements!$F126,Pricing!$B$29:$D$32,3))))</f>
        <v>10000</v>
      </c>
      <c r="M126" s="528">
        <f>IF(E126="STL",0,IF(F126&gt;0,Pricing!$D$21,0))</f>
        <v>5000</v>
      </c>
      <c r="N126" s="529">
        <f>IF(E126="STL",F126*Pricing!$D$40,IF(A126&lt;=Pricing!$C$4,0,IF(AND(A126&gt;Pricing!$C$4,Disbursements!A126&lt;=Pricing!$C$5),F126*Pricing!$E$5,IF(AND(A126&gt;Pricing!$C$5,Disbursements!A126&lt;=Pricing!$C$7),VLOOKUP(F126,Pricing!$D$7:$E$8,2)*Disbursements!F126,F126*Pricing!$E$9))))</f>
        <v>3000</v>
      </c>
      <c r="O126" s="528">
        <f>IF(E126="STL",0,IF($F126&gt;0,$F126*Pricing!$D$17,0))</f>
        <v>30000</v>
      </c>
      <c r="P126" s="530">
        <f t="shared" si="48"/>
        <v>45000</v>
      </c>
      <c r="Q126" s="531">
        <f>IF($A126="","",$G126/VLOOKUP($I126,Ref!$B$23:$D$29,2,0))</f>
        <v>3</v>
      </c>
      <c r="R126" s="530">
        <f t="shared" si="49"/>
        <v>345000</v>
      </c>
      <c r="S126" s="532">
        <f t="shared" si="43"/>
        <v>115000</v>
      </c>
      <c r="T126" s="531">
        <f t="shared" si="50"/>
        <v>115000</v>
      </c>
      <c r="U126" s="533">
        <f t="shared" si="51"/>
        <v>345000</v>
      </c>
      <c r="V126" s="531">
        <f t="shared" si="52"/>
        <v>100000</v>
      </c>
      <c r="W126" s="531">
        <f t="shared" si="53"/>
        <v>15000</v>
      </c>
      <c r="X126" s="534">
        <f t="shared" si="54"/>
        <v>45000</v>
      </c>
      <c r="Y126" s="535">
        <f>IF($A126="","",IF($I126="weekly",$A126+7,EDATE($A126,VLOOKUP($I126,Ref!$B$24:$C$29,2,0))))</f>
        <v>44430</v>
      </c>
      <c r="Z126" s="536" t="str">
        <f t="shared" si="55"/>
        <v>Sun</v>
      </c>
      <c r="AA126" s="531">
        <f t="shared" si="56"/>
        <v>31</v>
      </c>
      <c r="AB126" s="535">
        <f t="shared" si="44"/>
        <v>44491</v>
      </c>
      <c r="AC126" s="537">
        <f t="shared" si="45"/>
        <v>92</v>
      </c>
      <c r="AD126" s="538" t="str">
        <f t="shared" ca="1" si="46"/>
        <v>Expired</v>
      </c>
      <c r="AE126" s="537">
        <f t="shared" ca="1" si="47"/>
        <v>0</v>
      </c>
      <c r="AF126" s="539">
        <f t="shared" ca="1" si="57"/>
        <v>3</v>
      </c>
      <c r="AG126" s="531">
        <f t="shared" ca="1" si="58"/>
        <v>345000</v>
      </c>
      <c r="AH126" s="531">
        <f t="shared" ca="1" si="59"/>
        <v>45000</v>
      </c>
      <c r="AI126" s="531">
        <f t="shared" ca="1" si="60"/>
        <v>300000</v>
      </c>
      <c r="AJ126" s="531">
        <f t="shared" ca="1" si="61"/>
        <v>0</v>
      </c>
      <c r="AK126" s="540">
        <f>SUMIFS('Live Collections'!$S:$S,'Live Collections'!$D:$D,Disbursements!B126,'Live Collections'!$G:$G,Disbursements!C126)</f>
        <v>45000</v>
      </c>
      <c r="AL126" s="540">
        <f>SUMIFS('Live Collections'!$T:$T,'Live Collections'!$D:$D,Disbursements!B126,'Live Collections'!$G:$G,Disbursements!C126)</f>
        <v>300000</v>
      </c>
      <c r="AM126" s="541">
        <f t="shared" si="62"/>
        <v>345000</v>
      </c>
      <c r="AN126" s="542">
        <f t="shared" si="63"/>
        <v>0</v>
      </c>
      <c r="AO126" s="542">
        <f t="shared" si="64"/>
        <v>0</v>
      </c>
      <c r="AP126" s="543">
        <f t="shared" si="65"/>
        <v>0</v>
      </c>
      <c r="AQ126" s="544" t="str">
        <f t="shared" ca="1" si="66"/>
        <v/>
      </c>
      <c r="AR126" s="545">
        <f t="shared" ca="1" si="67"/>
        <v>0</v>
      </c>
      <c r="AS126" s="545">
        <f ca="1">IFERROR(CEILING($AR126*VLOOKUP($I126,Ref!$B$23:$E$29,4,0),1),0)</f>
        <v>0</v>
      </c>
      <c r="AT126" s="545" t="str">
        <f>IF(A126="","",IF(AP126&lt;=1,"Cleared",IF(AS126=0,"Clean",VLOOKUP($AS126,Ref!$G$23:$H$28,2))))</f>
        <v>Cleared</v>
      </c>
      <c r="AU126" s="546" t="str">
        <f t="shared" si="68"/>
        <v>Ok</v>
      </c>
    </row>
    <row r="127" spans="1:47" ht="15" customHeight="1" x14ac:dyDescent="0.15">
      <c r="A127" s="575">
        <v>44399</v>
      </c>
      <c r="B127" s="523">
        <v>140</v>
      </c>
      <c r="C127" s="523">
        <v>125</v>
      </c>
      <c r="D127" s="523">
        <v>1</v>
      </c>
      <c r="E127" s="523" t="s">
        <v>1274</v>
      </c>
      <c r="F127" s="554">
        <v>500000</v>
      </c>
      <c r="G127" s="524">
        <v>3</v>
      </c>
      <c r="H127" s="555">
        <v>0.05</v>
      </c>
      <c r="I127" s="560" t="s">
        <v>859</v>
      </c>
      <c r="J127" s="523" t="s">
        <v>863</v>
      </c>
      <c r="K127" s="528" t="str">
        <f>IFERROR(VLOOKUP($B127,'Clients-Live'!$A:$C,3,0),"")</f>
        <v>AYIKORU MARIAM</v>
      </c>
      <c r="L127" s="528">
        <f>IF(E127="STL",Pricing!$D$38,IF(A127="",0,IF(A127&lt;Pricing!$C$25,Pricing!$D$25,VLOOKUP(Disbursements!$F127,Pricing!$B$29:$D$32,3))))</f>
        <v>10000</v>
      </c>
      <c r="M127" s="528">
        <f>IF(E127="STL",0,IF(F127&gt;0,Pricing!$D$21,0))</f>
        <v>5000</v>
      </c>
      <c r="N127" s="529">
        <f>IF(E127="STL",F127*Pricing!$D$40,IF(A127&lt;=Pricing!$C$4,0,IF(AND(A127&gt;Pricing!$C$4,Disbursements!A127&lt;=Pricing!$C$5),F127*Pricing!$E$5,IF(AND(A127&gt;Pricing!$C$5,Disbursements!A127&lt;=Pricing!$C$7),VLOOKUP(F127,Pricing!$D$7:$E$8,2)*Disbursements!F127,F127*Pricing!$E$9))))</f>
        <v>5000</v>
      </c>
      <c r="O127" s="528">
        <f>IF(E127="STL",0,IF($F127&gt;0,$F127*Pricing!$D$17,0))</f>
        <v>50000</v>
      </c>
      <c r="P127" s="530">
        <f t="shared" si="48"/>
        <v>75000</v>
      </c>
      <c r="Q127" s="531">
        <f>IF($A127="","",$G127/VLOOKUP($I127,Ref!$B$23:$D$29,2,0))</f>
        <v>3</v>
      </c>
      <c r="R127" s="530">
        <f t="shared" si="49"/>
        <v>575000</v>
      </c>
      <c r="S127" s="532">
        <f t="shared" si="43"/>
        <v>191666.66666666666</v>
      </c>
      <c r="T127" s="531">
        <f t="shared" si="50"/>
        <v>192000</v>
      </c>
      <c r="U127" s="533">
        <f t="shared" si="51"/>
        <v>576000</v>
      </c>
      <c r="V127" s="531">
        <f t="shared" si="52"/>
        <v>166666.66666666666</v>
      </c>
      <c r="W127" s="531">
        <f t="shared" si="53"/>
        <v>25333.333333333343</v>
      </c>
      <c r="X127" s="534">
        <f t="shared" si="54"/>
        <v>76000.000000000029</v>
      </c>
      <c r="Y127" s="535">
        <f>IF($A127="","",IF($I127="weekly",$A127+7,EDATE($A127,VLOOKUP($I127,Ref!$B$24:$C$29,2,0))))</f>
        <v>44430</v>
      </c>
      <c r="Z127" s="536" t="str">
        <f t="shared" si="55"/>
        <v>Sun</v>
      </c>
      <c r="AA127" s="531">
        <f t="shared" si="56"/>
        <v>31</v>
      </c>
      <c r="AB127" s="535">
        <f t="shared" si="44"/>
        <v>44491</v>
      </c>
      <c r="AC127" s="537">
        <f t="shared" si="45"/>
        <v>92</v>
      </c>
      <c r="AD127" s="538" t="str">
        <f t="shared" ca="1" si="46"/>
        <v>Expired</v>
      </c>
      <c r="AE127" s="537">
        <f t="shared" ca="1" si="47"/>
        <v>0</v>
      </c>
      <c r="AF127" s="539">
        <f t="shared" ca="1" si="57"/>
        <v>3</v>
      </c>
      <c r="AG127" s="531">
        <f t="shared" ca="1" si="58"/>
        <v>576000</v>
      </c>
      <c r="AH127" s="531">
        <f t="shared" ca="1" si="59"/>
        <v>76000.000000000029</v>
      </c>
      <c r="AI127" s="531">
        <f t="shared" ca="1" si="60"/>
        <v>500000</v>
      </c>
      <c r="AJ127" s="531">
        <f t="shared" ca="1" si="61"/>
        <v>0</v>
      </c>
      <c r="AK127" s="540">
        <f>SUMIFS('Live Collections'!$S:$S,'Live Collections'!$D:$D,Disbursements!B127,'Live Collections'!$G:$G,Disbursements!C127)</f>
        <v>76000.000000000029</v>
      </c>
      <c r="AL127" s="540">
        <f>SUMIFS('Live Collections'!$T:$T,'Live Collections'!$D:$D,Disbursements!B127,'Live Collections'!$G:$G,Disbursements!C127)</f>
        <v>499999.99999999994</v>
      </c>
      <c r="AM127" s="541">
        <f t="shared" si="62"/>
        <v>576000</v>
      </c>
      <c r="AN127" s="542">
        <f t="shared" si="63"/>
        <v>0</v>
      </c>
      <c r="AO127" s="542">
        <f t="shared" si="64"/>
        <v>5.8207660913467407E-11</v>
      </c>
      <c r="AP127" s="543">
        <f t="shared" si="65"/>
        <v>5.8207660913467407E-11</v>
      </c>
      <c r="AQ127" s="544">
        <f t="shared" ca="1" si="66"/>
        <v>5.8207660913467407E-11</v>
      </c>
      <c r="AR127" s="545">
        <f t="shared" ca="1" si="67"/>
        <v>3.0316490059097607E-16</v>
      </c>
      <c r="AS127" s="545">
        <f ca="1">IFERROR(CEILING($AR127*VLOOKUP($I127,Ref!$B$23:$E$29,4,0),1),0)</f>
        <v>1</v>
      </c>
      <c r="AT127" s="545" t="str">
        <f>IF(A127="","",IF(AP127&lt;=1,"Cleared",IF(AS127=0,"Clean",VLOOKUP($AS127,Ref!$G$23:$H$28,2))))</f>
        <v>Cleared</v>
      </c>
      <c r="AU127" s="546" t="str">
        <f t="shared" si="68"/>
        <v>Ok</v>
      </c>
    </row>
    <row r="128" spans="1:47" ht="15" customHeight="1" x14ac:dyDescent="0.15">
      <c r="A128" s="575">
        <v>44399</v>
      </c>
      <c r="B128" s="523">
        <v>141</v>
      </c>
      <c r="C128" s="523">
        <v>124</v>
      </c>
      <c r="D128" s="523">
        <v>1</v>
      </c>
      <c r="E128" s="523" t="s">
        <v>1274</v>
      </c>
      <c r="F128" s="554">
        <v>400000</v>
      </c>
      <c r="G128" s="524">
        <v>3</v>
      </c>
      <c r="H128" s="555">
        <v>0.05</v>
      </c>
      <c r="I128" s="560" t="s">
        <v>859</v>
      </c>
      <c r="J128" s="523" t="s">
        <v>862</v>
      </c>
      <c r="K128" s="528" t="str">
        <f>IFERROR(VLOOKUP($B128,'Clients-Live'!$A:$C,3,0),"")</f>
        <v>DRAMANI WILFRED</v>
      </c>
      <c r="L128" s="528">
        <f>IF(E128="STL",Pricing!$D$38,IF(A128="",0,IF(A128&lt;Pricing!$C$25,Pricing!$D$25,VLOOKUP(Disbursements!$F128,Pricing!$B$29:$D$32,3))))</f>
        <v>10000</v>
      </c>
      <c r="M128" s="528">
        <f>IF(E128="STL",0,IF(F128&gt;0,Pricing!$D$21,0))</f>
        <v>5000</v>
      </c>
      <c r="N128" s="529">
        <f>IF(E128="STL",F128*Pricing!$D$40,IF(A128&lt;=Pricing!$C$4,0,IF(AND(A128&gt;Pricing!$C$4,Disbursements!A128&lt;=Pricing!$C$5),F128*Pricing!$E$5,IF(AND(A128&gt;Pricing!$C$5,Disbursements!A128&lt;=Pricing!$C$7),VLOOKUP(F128,Pricing!$D$7:$E$8,2)*Disbursements!F128,F128*Pricing!$E$9))))</f>
        <v>4000</v>
      </c>
      <c r="O128" s="528">
        <f>IF(E128="STL",0,IF($F128&gt;0,$F128*Pricing!$D$17,0))</f>
        <v>40000</v>
      </c>
      <c r="P128" s="530">
        <f t="shared" si="48"/>
        <v>60000</v>
      </c>
      <c r="Q128" s="531">
        <f>IF($A128="","",$G128/VLOOKUP($I128,Ref!$B$23:$D$29,2,0))</f>
        <v>3</v>
      </c>
      <c r="R128" s="530">
        <f t="shared" si="49"/>
        <v>460000</v>
      </c>
      <c r="S128" s="532">
        <f t="shared" si="43"/>
        <v>153333.33333333334</v>
      </c>
      <c r="T128" s="531">
        <f t="shared" si="50"/>
        <v>154000</v>
      </c>
      <c r="U128" s="533">
        <f t="shared" si="51"/>
        <v>462000</v>
      </c>
      <c r="V128" s="531">
        <f t="shared" si="52"/>
        <v>133333.33333333334</v>
      </c>
      <c r="W128" s="531">
        <f t="shared" si="53"/>
        <v>20666.666666666657</v>
      </c>
      <c r="X128" s="534">
        <f t="shared" si="54"/>
        <v>61999.999999999971</v>
      </c>
      <c r="Y128" s="535">
        <f>IF($A128="","",IF($I128="weekly",$A128+7,EDATE($A128,VLOOKUP($I128,Ref!$B$24:$C$29,2,0))))</f>
        <v>44430</v>
      </c>
      <c r="Z128" s="536" t="str">
        <f t="shared" si="55"/>
        <v>Sun</v>
      </c>
      <c r="AA128" s="531">
        <f t="shared" si="56"/>
        <v>31</v>
      </c>
      <c r="AB128" s="535">
        <f t="shared" si="44"/>
        <v>44491</v>
      </c>
      <c r="AC128" s="537">
        <f t="shared" si="45"/>
        <v>92</v>
      </c>
      <c r="AD128" s="538" t="str">
        <f t="shared" ca="1" si="46"/>
        <v>Expired</v>
      </c>
      <c r="AE128" s="537">
        <f t="shared" ca="1" si="47"/>
        <v>0</v>
      </c>
      <c r="AF128" s="539">
        <f t="shared" ca="1" si="57"/>
        <v>3</v>
      </c>
      <c r="AG128" s="531">
        <f t="shared" ca="1" si="58"/>
        <v>462000</v>
      </c>
      <c r="AH128" s="531">
        <f t="shared" ca="1" si="59"/>
        <v>61999.999999999971</v>
      </c>
      <c r="AI128" s="531">
        <f t="shared" ca="1" si="60"/>
        <v>400000</v>
      </c>
      <c r="AJ128" s="531">
        <f t="shared" ca="1" si="61"/>
        <v>0</v>
      </c>
      <c r="AK128" s="540">
        <f>SUMIFS('Live Collections'!$S:$S,'Live Collections'!$D:$D,Disbursements!B128,'Live Collections'!$G:$G,Disbursements!C128)</f>
        <v>61999.999999999971</v>
      </c>
      <c r="AL128" s="540">
        <f>SUMIFS('Live Collections'!$T:$T,'Live Collections'!$D:$D,Disbursements!B128,'Live Collections'!$G:$G,Disbursements!C128)</f>
        <v>398000</v>
      </c>
      <c r="AM128" s="541">
        <f t="shared" si="62"/>
        <v>460000</v>
      </c>
      <c r="AN128" s="542">
        <f t="shared" si="63"/>
        <v>0</v>
      </c>
      <c r="AO128" s="542">
        <f t="shared" si="64"/>
        <v>2000</v>
      </c>
      <c r="AP128" s="543">
        <f t="shared" si="65"/>
        <v>2000</v>
      </c>
      <c r="AQ128" s="544">
        <f t="shared" ca="1" si="66"/>
        <v>2000</v>
      </c>
      <c r="AR128" s="545">
        <f t="shared" ca="1" si="67"/>
        <v>1.2987012987012988E-2</v>
      </c>
      <c r="AS128" s="545">
        <f ca="1">IFERROR(CEILING($AR128*VLOOKUP($I128,Ref!$B$23:$E$29,4,0),1),0)</f>
        <v>1</v>
      </c>
      <c r="AT128" s="545" t="str">
        <f ca="1">IF(A128="","",IF(AP128&lt;=1,"Cleared",IF(AS128=0,"Clean",VLOOKUP($AS128,Ref!$G$23:$H$28,2))))</f>
        <v>1.(0-30) Days</v>
      </c>
      <c r="AU128" s="546" t="str">
        <f t="shared" si="68"/>
        <v>Ok</v>
      </c>
    </row>
    <row r="129" spans="1:47" ht="15" customHeight="1" x14ac:dyDescent="0.15">
      <c r="A129" s="575">
        <v>44400</v>
      </c>
      <c r="B129" s="523">
        <v>142</v>
      </c>
      <c r="C129" s="523">
        <v>128</v>
      </c>
      <c r="D129" s="523">
        <v>1</v>
      </c>
      <c r="E129" s="523" t="s">
        <v>1274</v>
      </c>
      <c r="F129" s="554">
        <v>1000000</v>
      </c>
      <c r="G129" s="524">
        <v>6</v>
      </c>
      <c r="H129" s="555">
        <v>0.05</v>
      </c>
      <c r="I129" s="560" t="s">
        <v>859</v>
      </c>
      <c r="J129" s="523" t="s">
        <v>864</v>
      </c>
      <c r="K129" s="528" t="str">
        <f>IFERROR(VLOOKUP($B129,'Clients-Live'!$A:$C,3,0),"")</f>
        <v>TABU MARY</v>
      </c>
      <c r="L129" s="528">
        <f>IF(E129="STL",Pricing!$D$38,IF(A129="",0,IF(A129&lt;Pricing!$C$25,Pricing!$D$25,VLOOKUP(Disbursements!$F129,Pricing!$B$29:$D$32,3))))</f>
        <v>10000</v>
      </c>
      <c r="M129" s="528">
        <f>IF(E129="STL",0,IF(F129&gt;0,Pricing!$D$21,0))</f>
        <v>5000</v>
      </c>
      <c r="N129" s="529">
        <f>IF(E129="STL",F129*Pricing!$D$40,IF(A129&lt;=Pricing!$C$4,0,IF(AND(A129&gt;Pricing!$C$4,Disbursements!A129&lt;=Pricing!$C$5),F129*Pricing!$E$5,IF(AND(A129&gt;Pricing!$C$5,Disbursements!A129&lt;=Pricing!$C$7),VLOOKUP(F129,Pricing!$D$7:$E$8,2)*Disbursements!F129,F129*Pricing!$E$9))))</f>
        <v>10000</v>
      </c>
      <c r="O129" s="528">
        <f>IF(E129="STL",0,IF($F129&gt;0,$F129*Pricing!$D$17,0))</f>
        <v>100000</v>
      </c>
      <c r="P129" s="530">
        <f t="shared" si="48"/>
        <v>300000</v>
      </c>
      <c r="Q129" s="531">
        <f>IF($A129="","",$G129/VLOOKUP($I129,Ref!$B$23:$D$29,2,0))</f>
        <v>6</v>
      </c>
      <c r="R129" s="530">
        <f t="shared" si="49"/>
        <v>1300000</v>
      </c>
      <c r="S129" s="532">
        <f t="shared" si="43"/>
        <v>216666.66666666666</v>
      </c>
      <c r="T129" s="531">
        <f t="shared" si="50"/>
        <v>217000</v>
      </c>
      <c r="U129" s="533">
        <f t="shared" si="51"/>
        <v>1302000</v>
      </c>
      <c r="V129" s="531">
        <f t="shared" si="52"/>
        <v>166666.66666666666</v>
      </c>
      <c r="W129" s="531">
        <f t="shared" si="53"/>
        <v>50333.333333333343</v>
      </c>
      <c r="X129" s="534">
        <f t="shared" si="54"/>
        <v>302000.00000000006</v>
      </c>
      <c r="Y129" s="535">
        <f>IF($A129="","",IF($I129="weekly",$A129+7,EDATE($A129,VLOOKUP($I129,Ref!$B$24:$C$29,2,0))))</f>
        <v>44431</v>
      </c>
      <c r="Z129" s="536" t="str">
        <f t="shared" si="55"/>
        <v>Mon</v>
      </c>
      <c r="AA129" s="531">
        <f t="shared" si="56"/>
        <v>31</v>
      </c>
      <c r="AB129" s="535">
        <f t="shared" si="44"/>
        <v>44584</v>
      </c>
      <c r="AC129" s="537">
        <f t="shared" si="45"/>
        <v>184</v>
      </c>
      <c r="AD129" s="538" t="str">
        <f t="shared" ca="1" si="46"/>
        <v>Expired</v>
      </c>
      <c r="AE129" s="537">
        <f t="shared" ca="1" si="47"/>
        <v>0</v>
      </c>
      <c r="AF129" s="539">
        <f t="shared" ca="1" si="57"/>
        <v>6</v>
      </c>
      <c r="AG129" s="531">
        <f t="shared" ca="1" si="58"/>
        <v>1302000</v>
      </c>
      <c r="AH129" s="531">
        <f t="shared" ca="1" si="59"/>
        <v>302000.00000000006</v>
      </c>
      <c r="AI129" s="531">
        <f t="shared" ca="1" si="60"/>
        <v>1000000</v>
      </c>
      <c r="AJ129" s="531">
        <f t="shared" ca="1" si="61"/>
        <v>0</v>
      </c>
      <c r="AK129" s="540">
        <f>SUMIFS('Live Collections'!$S:$S,'Live Collections'!$D:$D,Disbursements!B129,'Live Collections'!$G:$G,Disbursements!C129)</f>
        <v>302000.00000000006</v>
      </c>
      <c r="AL129" s="540">
        <f>SUMIFS('Live Collections'!$T:$T,'Live Collections'!$D:$D,Disbursements!B129,'Live Collections'!$G:$G,Disbursements!C129)</f>
        <v>998000</v>
      </c>
      <c r="AM129" s="541">
        <f t="shared" si="62"/>
        <v>1300000</v>
      </c>
      <c r="AN129" s="542">
        <f t="shared" si="63"/>
        <v>0</v>
      </c>
      <c r="AO129" s="542">
        <f t="shared" si="64"/>
        <v>2000</v>
      </c>
      <c r="AP129" s="543">
        <f t="shared" si="65"/>
        <v>2000</v>
      </c>
      <c r="AQ129" s="544">
        <f t="shared" ca="1" si="66"/>
        <v>2000</v>
      </c>
      <c r="AR129" s="545">
        <f t="shared" ca="1" si="67"/>
        <v>9.2165898617511521E-3</v>
      </c>
      <c r="AS129" s="545">
        <f ca="1">IFERROR(CEILING($AR129*VLOOKUP($I129,Ref!$B$23:$E$29,4,0),1),0)</f>
        <v>1</v>
      </c>
      <c r="AT129" s="545" t="str">
        <f ca="1">IF(A129="","",IF(AP129&lt;=1,"Cleared",IF(AS129=0,"Clean",VLOOKUP($AS129,Ref!$G$23:$H$28,2))))</f>
        <v>1.(0-30) Days</v>
      </c>
      <c r="AU129" s="546" t="str">
        <f t="shared" si="68"/>
        <v>Ok</v>
      </c>
    </row>
    <row r="130" spans="1:47" ht="15" customHeight="1" x14ac:dyDescent="0.15">
      <c r="A130" s="575">
        <v>44400</v>
      </c>
      <c r="B130" s="523">
        <v>143</v>
      </c>
      <c r="C130" s="523">
        <v>127</v>
      </c>
      <c r="D130" s="523">
        <v>1</v>
      </c>
      <c r="E130" s="523" t="s">
        <v>1274</v>
      </c>
      <c r="F130" s="554">
        <v>3000000</v>
      </c>
      <c r="G130" s="524">
        <v>3</v>
      </c>
      <c r="H130" s="555">
        <v>0.05</v>
      </c>
      <c r="I130" s="560" t="s">
        <v>859</v>
      </c>
      <c r="J130" s="523" t="s">
        <v>864</v>
      </c>
      <c r="K130" s="528" t="str">
        <f>IFERROR(VLOOKUP($B130,'Clients-Live'!$A:$C,3,0),"")</f>
        <v>MORO HAKIM</v>
      </c>
      <c r="L130" s="528">
        <f>IF(E130="STL",Pricing!$D$38,IF(A130="",0,IF(A130&lt;Pricing!$C$25,Pricing!$D$25,VLOOKUP(Disbursements!$F130,Pricing!$B$29:$D$32,3))))</f>
        <v>10000</v>
      </c>
      <c r="M130" s="528">
        <f>IF(E130="STL",0,IF(F130&gt;0,Pricing!$D$21,0))</f>
        <v>5000</v>
      </c>
      <c r="N130" s="529">
        <f>IF(E130="STL",F130*Pricing!$D$40,IF(A130&lt;=Pricing!$C$4,0,IF(AND(A130&gt;Pricing!$C$4,Disbursements!A130&lt;=Pricing!$C$5),F130*Pricing!$E$5,IF(AND(A130&gt;Pricing!$C$5,Disbursements!A130&lt;=Pricing!$C$7),VLOOKUP(F130,Pricing!$D$7:$E$8,2)*Disbursements!F130,F130*Pricing!$E$9))))</f>
        <v>30000</v>
      </c>
      <c r="O130" s="528">
        <f>IF(E130="STL",0,IF($F130&gt;0,$F130*Pricing!$D$17,0))</f>
        <v>300000</v>
      </c>
      <c r="P130" s="530">
        <f t="shared" si="48"/>
        <v>450000</v>
      </c>
      <c r="Q130" s="531">
        <f>IF($A130="","",$G130/VLOOKUP($I130,Ref!$B$23:$D$29,2,0))</f>
        <v>3</v>
      </c>
      <c r="R130" s="530">
        <f t="shared" si="49"/>
        <v>3450000</v>
      </c>
      <c r="S130" s="532">
        <f t="shared" si="43"/>
        <v>1150000</v>
      </c>
      <c r="T130" s="531">
        <f t="shared" si="50"/>
        <v>1150000</v>
      </c>
      <c r="U130" s="533">
        <f t="shared" si="51"/>
        <v>3450000</v>
      </c>
      <c r="V130" s="531">
        <f t="shared" si="52"/>
        <v>1000000</v>
      </c>
      <c r="W130" s="531">
        <f t="shared" si="53"/>
        <v>150000</v>
      </c>
      <c r="X130" s="534">
        <f t="shared" si="54"/>
        <v>450000</v>
      </c>
      <c r="Y130" s="535">
        <f>IF($A130="","",IF($I130="weekly",$A130+7,EDATE($A130,VLOOKUP($I130,Ref!$B$24:$C$29,2,0))))</f>
        <v>44431</v>
      </c>
      <c r="Z130" s="536" t="str">
        <f t="shared" si="55"/>
        <v>Mon</v>
      </c>
      <c r="AA130" s="531">
        <f t="shared" si="56"/>
        <v>31</v>
      </c>
      <c r="AB130" s="535">
        <f t="shared" si="44"/>
        <v>44492</v>
      </c>
      <c r="AC130" s="537">
        <f t="shared" si="45"/>
        <v>92</v>
      </c>
      <c r="AD130" s="538" t="str">
        <f t="shared" ca="1" si="46"/>
        <v>Expired</v>
      </c>
      <c r="AE130" s="537">
        <f t="shared" ca="1" si="47"/>
        <v>0</v>
      </c>
      <c r="AF130" s="539">
        <f t="shared" ca="1" si="57"/>
        <v>3</v>
      </c>
      <c r="AG130" s="531">
        <f t="shared" ca="1" si="58"/>
        <v>3450000</v>
      </c>
      <c r="AH130" s="531">
        <f t="shared" ca="1" si="59"/>
        <v>450000</v>
      </c>
      <c r="AI130" s="531">
        <f t="shared" ca="1" si="60"/>
        <v>3000000</v>
      </c>
      <c r="AJ130" s="531">
        <f t="shared" ca="1" si="61"/>
        <v>0</v>
      </c>
      <c r="AK130" s="540">
        <f>SUMIFS('Live Collections'!$S:$S,'Live Collections'!$D:$D,Disbursements!B130,'Live Collections'!$G:$G,Disbursements!C130)</f>
        <v>450000</v>
      </c>
      <c r="AL130" s="540">
        <f>SUMIFS('Live Collections'!$T:$T,'Live Collections'!$D:$D,Disbursements!B130,'Live Collections'!$G:$G,Disbursements!C130)</f>
        <v>2999999.9999999995</v>
      </c>
      <c r="AM130" s="541">
        <f t="shared" si="62"/>
        <v>3449999.9999999995</v>
      </c>
      <c r="AN130" s="542">
        <f t="shared" si="63"/>
        <v>0</v>
      </c>
      <c r="AO130" s="542">
        <f t="shared" si="64"/>
        <v>4.6566128730773926E-10</v>
      </c>
      <c r="AP130" s="543">
        <f t="shared" si="65"/>
        <v>4.6566128730773926E-10</v>
      </c>
      <c r="AQ130" s="544">
        <f t="shared" ca="1" si="66"/>
        <v>4.6566128730773926E-10</v>
      </c>
      <c r="AR130" s="545">
        <f t="shared" ca="1" si="67"/>
        <v>4.0492285852846893E-16</v>
      </c>
      <c r="AS130" s="545">
        <f ca="1">IFERROR(CEILING($AR130*VLOOKUP($I130,Ref!$B$23:$E$29,4,0),1),0)</f>
        <v>1</v>
      </c>
      <c r="AT130" s="545" t="str">
        <f>IF(A130="","",IF(AP130&lt;=1,"Cleared",IF(AS130=0,"Clean",VLOOKUP($AS130,Ref!$G$23:$H$28,2))))</f>
        <v>Cleared</v>
      </c>
      <c r="AU130" s="546" t="str">
        <f t="shared" si="68"/>
        <v>Ok</v>
      </c>
    </row>
    <row r="131" spans="1:47" ht="15" customHeight="1" x14ac:dyDescent="0.15">
      <c r="A131" s="575">
        <v>44401</v>
      </c>
      <c r="B131" s="523">
        <v>44</v>
      </c>
      <c r="C131" s="523">
        <v>129</v>
      </c>
      <c r="D131" s="523">
        <v>2</v>
      </c>
      <c r="E131" s="523" t="s">
        <v>1274</v>
      </c>
      <c r="F131" s="554">
        <v>1000000</v>
      </c>
      <c r="G131" s="524">
        <v>6</v>
      </c>
      <c r="H131" s="555">
        <v>0.05</v>
      </c>
      <c r="I131" s="560" t="s">
        <v>859</v>
      </c>
      <c r="J131" s="523" t="s">
        <v>863</v>
      </c>
      <c r="K131" s="528" t="str">
        <f>IFERROR(VLOOKUP($B131,'Clients-Live'!$A:$C,3,0),"")</f>
        <v>CANDIRU HELLEN</v>
      </c>
      <c r="L131" s="528">
        <f>IF(E131="STL",Pricing!$D$38,IF(A131="",0,IF(A131&lt;Pricing!$C$25,Pricing!$D$25,VLOOKUP(Disbursements!$F131,Pricing!$B$29:$D$32,3))))</f>
        <v>10000</v>
      </c>
      <c r="M131" s="528">
        <f>IF(E131="STL",0,IF(F131&gt;0,Pricing!$D$21,0))</f>
        <v>5000</v>
      </c>
      <c r="N131" s="529">
        <f>IF(E131="STL",F131*Pricing!$D$40,IF(A131&lt;=Pricing!$C$4,0,IF(AND(A131&gt;Pricing!$C$4,Disbursements!A131&lt;=Pricing!$C$5),F131*Pricing!$E$5,IF(AND(A131&gt;Pricing!$C$5,Disbursements!A131&lt;=Pricing!$C$7),VLOOKUP(F131,Pricing!$D$7:$E$8,2)*Disbursements!F131,F131*Pricing!$E$9))))</f>
        <v>10000</v>
      </c>
      <c r="O131" s="528">
        <f>IF(E131="STL",0,IF($F131&gt;0,$F131*Pricing!$D$17,0))</f>
        <v>100000</v>
      </c>
      <c r="P131" s="530">
        <f t="shared" si="48"/>
        <v>300000</v>
      </c>
      <c r="Q131" s="531">
        <f>IF($A131="","",$G131/VLOOKUP($I131,Ref!$B$23:$D$29,2,0))</f>
        <v>6</v>
      </c>
      <c r="R131" s="530">
        <f t="shared" si="49"/>
        <v>1300000</v>
      </c>
      <c r="S131" s="532">
        <f t="shared" si="43"/>
        <v>216666.66666666666</v>
      </c>
      <c r="T131" s="531">
        <f t="shared" si="50"/>
        <v>217000</v>
      </c>
      <c r="U131" s="533">
        <f t="shared" si="51"/>
        <v>1302000</v>
      </c>
      <c r="V131" s="531">
        <f t="shared" si="52"/>
        <v>166666.66666666666</v>
      </c>
      <c r="W131" s="531">
        <f t="shared" si="53"/>
        <v>50333.333333333343</v>
      </c>
      <c r="X131" s="534">
        <f t="shared" si="54"/>
        <v>302000.00000000006</v>
      </c>
      <c r="Y131" s="535">
        <f>IF($A131="","",IF($I131="weekly",$A131+7,EDATE($A131,VLOOKUP($I131,Ref!$B$24:$C$29,2,0))))</f>
        <v>44432</v>
      </c>
      <c r="Z131" s="536" t="str">
        <f t="shared" si="55"/>
        <v>Tue</v>
      </c>
      <c r="AA131" s="531">
        <f t="shared" si="56"/>
        <v>31</v>
      </c>
      <c r="AB131" s="535">
        <f t="shared" si="44"/>
        <v>44585</v>
      </c>
      <c r="AC131" s="537">
        <f t="shared" si="45"/>
        <v>184</v>
      </c>
      <c r="AD131" s="538" t="str">
        <f t="shared" ca="1" si="46"/>
        <v>Expired</v>
      </c>
      <c r="AE131" s="537">
        <f t="shared" ca="1" si="47"/>
        <v>0</v>
      </c>
      <c r="AF131" s="539">
        <f t="shared" ca="1" si="57"/>
        <v>6</v>
      </c>
      <c r="AG131" s="531">
        <f t="shared" ca="1" si="58"/>
        <v>1302000</v>
      </c>
      <c r="AH131" s="531">
        <f t="shared" ca="1" si="59"/>
        <v>302000.00000000006</v>
      </c>
      <c r="AI131" s="531">
        <f t="shared" ca="1" si="60"/>
        <v>1000000</v>
      </c>
      <c r="AJ131" s="531">
        <f t="shared" ca="1" si="61"/>
        <v>0</v>
      </c>
      <c r="AK131" s="540">
        <f>SUMIFS('Live Collections'!$S:$S,'Live Collections'!$D:$D,Disbursements!B131,'Live Collections'!$G:$G,Disbursements!C131)</f>
        <v>302000.00000000006</v>
      </c>
      <c r="AL131" s="540">
        <f>SUMIFS('Live Collections'!$T:$T,'Live Collections'!$D:$D,Disbursements!B131,'Live Collections'!$G:$G,Disbursements!C131)</f>
        <v>1000000</v>
      </c>
      <c r="AM131" s="541">
        <f t="shared" si="62"/>
        <v>1302000</v>
      </c>
      <c r="AN131" s="542">
        <f t="shared" si="63"/>
        <v>0</v>
      </c>
      <c r="AO131" s="542">
        <f t="shared" si="64"/>
        <v>0</v>
      </c>
      <c r="AP131" s="543">
        <f t="shared" si="65"/>
        <v>0</v>
      </c>
      <c r="AQ131" s="544" t="str">
        <f t="shared" ca="1" si="66"/>
        <v/>
      </c>
      <c r="AR131" s="545">
        <f t="shared" ca="1" si="67"/>
        <v>0</v>
      </c>
      <c r="AS131" s="545">
        <f ca="1">IFERROR(CEILING($AR131*VLOOKUP($I131,Ref!$B$23:$E$29,4,0),1),0)</f>
        <v>0</v>
      </c>
      <c r="AT131" s="545" t="str">
        <f>IF(A131="","",IF(AP131&lt;=1,"Cleared",IF(AS131=0,"Clean",VLOOKUP($AS131,Ref!$G$23:$H$28,2))))</f>
        <v>Cleared</v>
      </c>
      <c r="AU131" s="546" t="str">
        <f t="shared" si="68"/>
        <v>Ok</v>
      </c>
    </row>
    <row r="132" spans="1:47" ht="15" customHeight="1" x14ac:dyDescent="0.15">
      <c r="A132" s="575">
        <v>44401</v>
      </c>
      <c r="B132" s="523">
        <v>144</v>
      </c>
      <c r="C132" s="523">
        <v>131</v>
      </c>
      <c r="D132" s="523">
        <v>1</v>
      </c>
      <c r="E132" s="523" t="s">
        <v>1274</v>
      </c>
      <c r="F132" s="554">
        <v>500000</v>
      </c>
      <c r="G132" s="524">
        <v>5</v>
      </c>
      <c r="H132" s="555">
        <v>0.05</v>
      </c>
      <c r="I132" s="560" t="s">
        <v>859</v>
      </c>
      <c r="J132" s="523" t="s">
        <v>862</v>
      </c>
      <c r="K132" s="528" t="str">
        <f>IFERROR(VLOOKUP($B132,'Clients-Live'!$A:$C,3,0),"")</f>
        <v>GBENINGA RUKIA</v>
      </c>
      <c r="L132" s="528">
        <f>IF(E132="STL",Pricing!$D$38,IF(A132="",0,IF(A132&lt;Pricing!$C$25,Pricing!$D$25,VLOOKUP(Disbursements!$F132,Pricing!$B$29:$D$32,3))))</f>
        <v>10000</v>
      </c>
      <c r="M132" s="528">
        <f>IF(E132="STL",0,IF(F132&gt;0,Pricing!$D$21,0))</f>
        <v>5000</v>
      </c>
      <c r="N132" s="529">
        <f>IF(E132="STL",F132*Pricing!$D$40,IF(A132&lt;=Pricing!$C$4,0,IF(AND(A132&gt;Pricing!$C$4,Disbursements!A132&lt;=Pricing!$C$5),F132*Pricing!$E$5,IF(AND(A132&gt;Pricing!$C$5,Disbursements!A132&lt;=Pricing!$C$7),VLOOKUP(F132,Pricing!$D$7:$E$8,2)*Disbursements!F132,F132*Pricing!$E$9))))</f>
        <v>5000</v>
      </c>
      <c r="O132" s="528">
        <f>IF(E132="STL",0,IF($F132&gt;0,$F132*Pricing!$D$17,0))</f>
        <v>50000</v>
      </c>
      <c r="P132" s="530">
        <f t="shared" si="48"/>
        <v>125000</v>
      </c>
      <c r="Q132" s="531">
        <f>IF($A132="","",$G132/VLOOKUP($I132,Ref!$B$23:$D$29,2,0))</f>
        <v>5</v>
      </c>
      <c r="R132" s="530">
        <f t="shared" si="49"/>
        <v>625000</v>
      </c>
      <c r="S132" s="532">
        <f t="shared" ref="S132:S195" si="69">IF($A132="","",$R132/$Q132)</f>
        <v>125000</v>
      </c>
      <c r="T132" s="531">
        <f t="shared" si="50"/>
        <v>125000</v>
      </c>
      <c r="U132" s="533">
        <f t="shared" si="51"/>
        <v>625000</v>
      </c>
      <c r="V132" s="531">
        <f t="shared" si="52"/>
        <v>100000</v>
      </c>
      <c r="W132" s="531">
        <f t="shared" si="53"/>
        <v>25000</v>
      </c>
      <c r="X132" s="534">
        <f t="shared" si="54"/>
        <v>125000</v>
      </c>
      <c r="Y132" s="535">
        <f>IF($A132="","",IF($I132="weekly",$A132+7,EDATE($A132,VLOOKUP($I132,Ref!$B$24:$C$29,2,0))))</f>
        <v>44432</v>
      </c>
      <c r="Z132" s="536" t="str">
        <f t="shared" si="55"/>
        <v>Tue</v>
      </c>
      <c r="AA132" s="531">
        <f t="shared" si="56"/>
        <v>31</v>
      </c>
      <c r="AB132" s="535">
        <f t="shared" ref="AB132:AB195" si="70">IF($A132="","",EDATE($A132,$G132))</f>
        <v>44554</v>
      </c>
      <c r="AC132" s="537">
        <f t="shared" ref="AC132:AC195" si="71">IFERROR($AB132-$A132,"")</f>
        <v>153</v>
      </c>
      <c r="AD132" s="538" t="str">
        <f t="shared" ref="AD132:AD195" ca="1" si="72">IFERROR(IF(TODAY()-$A132&lt;$AB132-$A132,TODAY()-$A132,"Expired"),"")</f>
        <v>Expired</v>
      </c>
      <c r="AE132" s="537">
        <f t="shared" ref="AE132:AE195" ca="1" si="73">IFERROR($AC132-$AD132,0)</f>
        <v>0</v>
      </c>
      <c r="AF132" s="539">
        <f t="shared" ca="1" si="57"/>
        <v>5</v>
      </c>
      <c r="AG132" s="531">
        <f t="shared" ca="1" si="58"/>
        <v>625000</v>
      </c>
      <c r="AH132" s="531">
        <f t="shared" ca="1" si="59"/>
        <v>125000</v>
      </c>
      <c r="AI132" s="531">
        <f t="shared" ca="1" si="60"/>
        <v>500000</v>
      </c>
      <c r="AJ132" s="531">
        <f t="shared" ca="1" si="61"/>
        <v>0</v>
      </c>
      <c r="AK132" s="540">
        <f>SUMIFS('Live Collections'!$S:$S,'Live Collections'!$D:$D,Disbursements!B132,'Live Collections'!$G:$G,Disbursements!C132)</f>
        <v>125000</v>
      </c>
      <c r="AL132" s="540">
        <f>SUMIFS('Live Collections'!$T:$T,'Live Collections'!$D:$D,Disbursements!B132,'Live Collections'!$G:$G,Disbursements!C132)</f>
        <v>500000</v>
      </c>
      <c r="AM132" s="541">
        <f t="shared" si="62"/>
        <v>625000</v>
      </c>
      <c r="AN132" s="542">
        <f t="shared" si="63"/>
        <v>0</v>
      </c>
      <c r="AO132" s="542">
        <f t="shared" si="64"/>
        <v>0</v>
      </c>
      <c r="AP132" s="543">
        <f t="shared" si="65"/>
        <v>0</v>
      </c>
      <c r="AQ132" s="544" t="str">
        <f t="shared" ca="1" si="66"/>
        <v/>
      </c>
      <c r="AR132" s="545">
        <f t="shared" ca="1" si="67"/>
        <v>0</v>
      </c>
      <c r="AS132" s="545">
        <f ca="1">IFERROR(CEILING($AR132*VLOOKUP($I132,Ref!$B$23:$E$29,4,0),1),0)</f>
        <v>0</v>
      </c>
      <c r="AT132" s="545" t="str">
        <f>IF(A132="","",IF(AP132&lt;=1,"Cleared",IF(AS132=0,"Clean",VLOOKUP($AS132,Ref!$G$23:$H$28,2))))</f>
        <v>Cleared</v>
      </c>
      <c r="AU132" s="546" t="str">
        <f t="shared" si="68"/>
        <v>Ok</v>
      </c>
    </row>
    <row r="133" spans="1:47" ht="15" customHeight="1" x14ac:dyDescent="0.15">
      <c r="A133" s="575">
        <v>44401</v>
      </c>
      <c r="B133" s="523">
        <v>145</v>
      </c>
      <c r="C133" s="523">
        <v>132</v>
      </c>
      <c r="D133" s="523">
        <v>1</v>
      </c>
      <c r="E133" s="523" t="s">
        <v>1274</v>
      </c>
      <c r="F133" s="554">
        <v>400000</v>
      </c>
      <c r="G133" s="524">
        <v>4</v>
      </c>
      <c r="H133" s="555">
        <v>0.05</v>
      </c>
      <c r="I133" s="560" t="s">
        <v>859</v>
      </c>
      <c r="J133" s="523" t="s">
        <v>864</v>
      </c>
      <c r="K133" s="528" t="str">
        <f>IFERROR(VLOOKUP($B133,'Clients-Live'!$A:$C,3,0),"")</f>
        <v>NIGHT ASARA</v>
      </c>
      <c r="L133" s="528">
        <f>IF(E133="STL",Pricing!$D$38,IF(A133="",0,IF(A133&lt;Pricing!$C$25,Pricing!$D$25,VLOOKUP(Disbursements!$F133,Pricing!$B$29:$D$32,3))))</f>
        <v>10000</v>
      </c>
      <c r="M133" s="528">
        <f>IF(E133="STL",0,IF(F133&gt;0,Pricing!$D$21,0))</f>
        <v>5000</v>
      </c>
      <c r="N133" s="529">
        <f>IF(E133="STL",F133*Pricing!$D$40,IF(A133&lt;=Pricing!$C$4,0,IF(AND(A133&gt;Pricing!$C$4,Disbursements!A133&lt;=Pricing!$C$5),F133*Pricing!$E$5,IF(AND(A133&gt;Pricing!$C$5,Disbursements!A133&lt;=Pricing!$C$7),VLOOKUP(F133,Pricing!$D$7:$E$8,2)*Disbursements!F133,F133*Pricing!$E$9))))</f>
        <v>4000</v>
      </c>
      <c r="O133" s="528">
        <f>IF(E133="STL",0,IF($F133&gt;0,$F133*Pricing!$D$17,0))</f>
        <v>40000</v>
      </c>
      <c r="P133" s="530">
        <f t="shared" ref="P133:P196" si="74">IF($A133="","",$H133*$F133*$G133)</f>
        <v>80000</v>
      </c>
      <c r="Q133" s="531">
        <f>IF($A133="","",$G133/VLOOKUP($I133,Ref!$B$23:$D$29,2,0))</f>
        <v>4</v>
      </c>
      <c r="R133" s="530">
        <f t="shared" ref="R133:R196" si="75">IF($A133="","",$F133+$P133)</f>
        <v>480000</v>
      </c>
      <c r="S133" s="532">
        <f t="shared" si="69"/>
        <v>120000</v>
      </c>
      <c r="T133" s="531">
        <f t="shared" ref="T133:T196" si="76">IF(R133="","",CEILING(S133,1000))</f>
        <v>120000</v>
      </c>
      <c r="U133" s="533">
        <f t="shared" ref="U133:U196" si="77">IFERROR(T133*Q133,0)</f>
        <v>480000</v>
      </c>
      <c r="V133" s="531">
        <f t="shared" ref="V133:V196" si="78">IF(T133="","",F133/Q133)</f>
        <v>100000</v>
      </c>
      <c r="W133" s="531">
        <f t="shared" ref="W133:W196" si="79">IF(T133="","",T133-V133)</f>
        <v>20000</v>
      </c>
      <c r="X133" s="534">
        <f t="shared" ref="X133:X196" si="80">IF(A133="","",W133*Q133)</f>
        <v>80000</v>
      </c>
      <c r="Y133" s="535">
        <f>IF($A133="","",IF($I133="weekly",$A133+7,EDATE($A133,VLOOKUP($I133,Ref!$B$24:$C$29,2,0))))</f>
        <v>44432</v>
      </c>
      <c r="Z133" s="536" t="str">
        <f t="shared" ref="Z133:Z196" si="81">IFERROR(CHOOSE(WEEKDAY(Y133),"Sun","Mon","Tue","Wed","Thu","Frid","Sat"),"")</f>
        <v>Tue</v>
      </c>
      <c r="AA133" s="531">
        <f t="shared" ref="AA133:AA196" si="82">IFERROR(Y133-A133,0)</f>
        <v>31</v>
      </c>
      <c r="AB133" s="535">
        <f t="shared" si="70"/>
        <v>44524</v>
      </c>
      <c r="AC133" s="537">
        <f t="shared" si="71"/>
        <v>123</v>
      </c>
      <c r="AD133" s="538" t="str">
        <f t="shared" ca="1" si="72"/>
        <v>Expired</v>
      </c>
      <c r="AE133" s="537">
        <f t="shared" ca="1" si="73"/>
        <v>0</v>
      </c>
      <c r="AF133" s="539">
        <f t="shared" ref="AF133:AF196" ca="1" si="83">IFERROR(IF(AD133="Expired",Q133,IF(AD133&gt;AA133,AD133/AA133,0)),"")</f>
        <v>4</v>
      </c>
      <c r="AG133" s="531">
        <f t="shared" ref="AG133:AG196" ca="1" si="84">IFERROR(AF133*T133,"")</f>
        <v>480000</v>
      </c>
      <c r="AH133" s="531">
        <f t="shared" ref="AH133:AH196" ca="1" si="85">IFERROR(AF133*W133,"")</f>
        <v>80000</v>
      </c>
      <c r="AI133" s="531">
        <f t="shared" ref="AI133:AI196" ca="1" si="86">IFERROR(AF133*V133,"")</f>
        <v>400000</v>
      </c>
      <c r="AJ133" s="531">
        <f t="shared" ref="AJ133:AJ196" ca="1" si="87">IF(F133=0,"",U133-AG133)</f>
        <v>0</v>
      </c>
      <c r="AK133" s="540">
        <f>SUMIFS('Live Collections'!$S:$S,'Live Collections'!$D:$D,Disbursements!B133,'Live Collections'!$G:$G,Disbursements!C133)</f>
        <v>80000</v>
      </c>
      <c r="AL133" s="540">
        <f>SUMIFS('Live Collections'!$T:$T,'Live Collections'!$D:$D,Disbursements!B133,'Live Collections'!$G:$G,Disbursements!C133)</f>
        <v>400000</v>
      </c>
      <c r="AM133" s="541">
        <f t="shared" ref="AM133:AM196" si="88">SUM(AK133:AL133)</f>
        <v>480000</v>
      </c>
      <c r="AN133" s="542">
        <f t="shared" ref="AN133:AN196" si="89">IFERROR(W133*Q133-AK133,"")</f>
        <v>0</v>
      </c>
      <c r="AO133" s="542">
        <f t="shared" ref="AO133:AO196" si="90">IF(F133="","",(F133-AL133))</f>
        <v>0</v>
      </c>
      <c r="AP133" s="543">
        <f t="shared" ref="AP133:AP196" si="91">IF(F133="","",SUM(AN133:AO133))</f>
        <v>0</v>
      </c>
      <c r="AQ133" s="544" t="str">
        <f t="shared" ref="AQ133:AQ196" ca="1" si="92">IF(AP133&gt;AJ133,AP133-AJ133,"")</f>
        <v/>
      </c>
      <c r="AR133" s="545">
        <f t="shared" ref="AR133:AR196" ca="1" si="93">IFERROR(AQ133/T133,0)</f>
        <v>0</v>
      </c>
      <c r="AS133" s="545">
        <f ca="1">IFERROR(CEILING($AR133*VLOOKUP($I133,Ref!$B$23:$E$29,4,0),1),0)</f>
        <v>0</v>
      </c>
      <c r="AT133" s="545" t="str">
        <f>IF(A133="","",IF(AP133&lt;=1,"Cleared",IF(AS133=0,"Clean",VLOOKUP($AS133,Ref!$G$23:$H$28,2))))</f>
        <v>Cleared</v>
      </c>
      <c r="AU133" s="546" t="str">
        <f t="shared" ref="AU133:AU196" si="94">IF(F133="","",IF(OR(AN133&lt;0,AO133&lt;0,AP133&lt;0),"Error on Entry","Ok"))</f>
        <v>Ok</v>
      </c>
    </row>
    <row r="134" spans="1:47" ht="15" customHeight="1" x14ac:dyDescent="0.15">
      <c r="A134" s="575">
        <v>44401</v>
      </c>
      <c r="B134" s="523">
        <v>146</v>
      </c>
      <c r="C134" s="523">
        <v>133</v>
      </c>
      <c r="D134" s="523">
        <v>1</v>
      </c>
      <c r="E134" s="523" t="s">
        <v>1274</v>
      </c>
      <c r="F134" s="554">
        <v>400000</v>
      </c>
      <c r="G134" s="524">
        <v>4</v>
      </c>
      <c r="H134" s="555">
        <v>0.05</v>
      </c>
      <c r="I134" s="560" t="s">
        <v>859</v>
      </c>
      <c r="J134" s="523" t="s">
        <v>864</v>
      </c>
      <c r="K134" s="528" t="str">
        <f>IFERROR(VLOOKUP($B134,'Clients-Live'!$A:$C,3,0),"")</f>
        <v>IMBIRA AISHA</v>
      </c>
      <c r="L134" s="528">
        <f>IF(E134="STL",Pricing!$D$38,IF(A134="",0,IF(A134&lt;Pricing!$C$25,Pricing!$D$25,VLOOKUP(Disbursements!$F134,Pricing!$B$29:$D$32,3))))</f>
        <v>10000</v>
      </c>
      <c r="M134" s="528">
        <f>IF(E134="STL",0,IF(F134&gt;0,Pricing!$D$21,0))</f>
        <v>5000</v>
      </c>
      <c r="N134" s="529">
        <f>IF(E134="STL",F134*Pricing!$D$40,IF(A134&lt;=Pricing!$C$4,0,IF(AND(A134&gt;Pricing!$C$4,Disbursements!A134&lt;=Pricing!$C$5),F134*Pricing!$E$5,IF(AND(A134&gt;Pricing!$C$5,Disbursements!A134&lt;=Pricing!$C$7),VLOOKUP(F134,Pricing!$D$7:$E$8,2)*Disbursements!F134,F134*Pricing!$E$9))))</f>
        <v>4000</v>
      </c>
      <c r="O134" s="528">
        <f>IF(E134="STL",0,IF($F134&gt;0,$F134*Pricing!$D$17,0))</f>
        <v>40000</v>
      </c>
      <c r="P134" s="530">
        <f t="shared" si="74"/>
        <v>80000</v>
      </c>
      <c r="Q134" s="531">
        <f>IF($A134="","",$G134/VLOOKUP($I134,Ref!$B$23:$D$29,2,0))</f>
        <v>4</v>
      </c>
      <c r="R134" s="530">
        <f t="shared" si="75"/>
        <v>480000</v>
      </c>
      <c r="S134" s="532">
        <f t="shared" si="69"/>
        <v>120000</v>
      </c>
      <c r="T134" s="531">
        <f t="shared" si="76"/>
        <v>120000</v>
      </c>
      <c r="U134" s="533">
        <f t="shared" si="77"/>
        <v>480000</v>
      </c>
      <c r="V134" s="531">
        <f t="shared" si="78"/>
        <v>100000</v>
      </c>
      <c r="W134" s="531">
        <f t="shared" si="79"/>
        <v>20000</v>
      </c>
      <c r="X134" s="534">
        <f t="shared" si="80"/>
        <v>80000</v>
      </c>
      <c r="Y134" s="535">
        <f>IF($A134="","",IF($I134="weekly",$A134+7,EDATE($A134,VLOOKUP($I134,Ref!$B$24:$C$29,2,0))))</f>
        <v>44432</v>
      </c>
      <c r="Z134" s="536" t="str">
        <f t="shared" si="81"/>
        <v>Tue</v>
      </c>
      <c r="AA134" s="531">
        <f t="shared" si="82"/>
        <v>31</v>
      </c>
      <c r="AB134" s="535">
        <f t="shared" si="70"/>
        <v>44524</v>
      </c>
      <c r="AC134" s="537">
        <f t="shared" si="71"/>
        <v>123</v>
      </c>
      <c r="AD134" s="538" t="str">
        <f t="shared" ca="1" si="72"/>
        <v>Expired</v>
      </c>
      <c r="AE134" s="537">
        <f t="shared" ca="1" si="73"/>
        <v>0</v>
      </c>
      <c r="AF134" s="539">
        <f t="shared" ca="1" si="83"/>
        <v>4</v>
      </c>
      <c r="AG134" s="531">
        <f t="shared" ca="1" si="84"/>
        <v>480000</v>
      </c>
      <c r="AH134" s="531">
        <f t="shared" ca="1" si="85"/>
        <v>80000</v>
      </c>
      <c r="AI134" s="531">
        <f t="shared" ca="1" si="86"/>
        <v>400000</v>
      </c>
      <c r="AJ134" s="531">
        <f t="shared" ca="1" si="87"/>
        <v>0</v>
      </c>
      <c r="AK134" s="540">
        <f>SUMIFS('Live Collections'!$S:$S,'Live Collections'!$D:$D,Disbursements!B134,'Live Collections'!$G:$G,Disbursements!C134)</f>
        <v>80000</v>
      </c>
      <c r="AL134" s="540">
        <f>SUMIFS('Live Collections'!$T:$T,'Live Collections'!$D:$D,Disbursements!B134,'Live Collections'!$G:$G,Disbursements!C134)</f>
        <v>370000</v>
      </c>
      <c r="AM134" s="541">
        <f t="shared" si="88"/>
        <v>450000</v>
      </c>
      <c r="AN134" s="542">
        <f t="shared" si="89"/>
        <v>0</v>
      </c>
      <c r="AO134" s="542">
        <f t="shared" si="90"/>
        <v>30000</v>
      </c>
      <c r="AP134" s="543">
        <f t="shared" si="91"/>
        <v>30000</v>
      </c>
      <c r="AQ134" s="544">
        <f t="shared" ca="1" si="92"/>
        <v>30000</v>
      </c>
      <c r="AR134" s="545">
        <f t="shared" ca="1" si="93"/>
        <v>0.25</v>
      </c>
      <c r="AS134" s="545">
        <f ca="1">IFERROR(CEILING($AR134*VLOOKUP($I134,Ref!$B$23:$E$29,4,0),1),0)</f>
        <v>8</v>
      </c>
      <c r="AT134" s="545" t="str">
        <f ca="1">IF(A134="","",IF(AP134&lt;=1,"Cleared",IF(AS134=0,"Clean",VLOOKUP($AS134,Ref!$G$23:$H$28,2))))</f>
        <v>1.(0-30) Days</v>
      </c>
      <c r="AU134" s="546" t="str">
        <f t="shared" si="94"/>
        <v>Ok</v>
      </c>
    </row>
    <row r="135" spans="1:47" ht="15" customHeight="1" x14ac:dyDescent="0.15">
      <c r="A135" s="575">
        <v>44401</v>
      </c>
      <c r="B135" s="523">
        <v>147</v>
      </c>
      <c r="C135" s="523">
        <v>130</v>
      </c>
      <c r="D135" s="523">
        <v>1</v>
      </c>
      <c r="E135" s="523" t="s">
        <v>1274</v>
      </c>
      <c r="F135" s="554">
        <v>600000</v>
      </c>
      <c r="G135" s="524">
        <v>3</v>
      </c>
      <c r="H135" s="555">
        <v>0.05</v>
      </c>
      <c r="I135" s="560" t="s">
        <v>859</v>
      </c>
      <c r="J135" s="523" t="s">
        <v>862</v>
      </c>
      <c r="K135" s="528" t="str">
        <f>IFERROR(VLOOKUP($B135,'Clients-Live'!$A:$C,3,0),"")</f>
        <v>DRICIRU MARGRET</v>
      </c>
      <c r="L135" s="528">
        <f>IF(E135="STL",Pricing!$D$38,IF(A135="",0,IF(A135&lt;Pricing!$C$25,Pricing!$D$25,VLOOKUP(Disbursements!$F135,Pricing!$B$29:$D$32,3))))</f>
        <v>10000</v>
      </c>
      <c r="M135" s="528">
        <f>IF(E135="STL",0,IF(F135&gt;0,Pricing!$D$21,0))</f>
        <v>5000</v>
      </c>
      <c r="N135" s="529">
        <f>IF(E135="STL",F135*Pricing!$D$40,IF(A135&lt;=Pricing!$C$4,0,IF(AND(A135&gt;Pricing!$C$4,Disbursements!A135&lt;=Pricing!$C$5),F135*Pricing!$E$5,IF(AND(A135&gt;Pricing!$C$5,Disbursements!A135&lt;=Pricing!$C$7),VLOOKUP(F135,Pricing!$D$7:$E$8,2)*Disbursements!F135,F135*Pricing!$E$9))))</f>
        <v>6000</v>
      </c>
      <c r="O135" s="528">
        <f>IF(E135="STL",0,IF($F135&gt;0,$F135*Pricing!$D$17,0))</f>
        <v>60000</v>
      </c>
      <c r="P135" s="530">
        <f t="shared" si="74"/>
        <v>90000</v>
      </c>
      <c r="Q135" s="531">
        <f>IF($A135="","",$G135/VLOOKUP($I135,Ref!$B$23:$D$29,2,0))</f>
        <v>3</v>
      </c>
      <c r="R135" s="530">
        <f t="shared" si="75"/>
        <v>690000</v>
      </c>
      <c r="S135" s="532">
        <f t="shared" si="69"/>
        <v>230000</v>
      </c>
      <c r="T135" s="531">
        <f t="shared" si="76"/>
        <v>230000</v>
      </c>
      <c r="U135" s="533">
        <f t="shared" si="77"/>
        <v>690000</v>
      </c>
      <c r="V135" s="531">
        <f t="shared" si="78"/>
        <v>200000</v>
      </c>
      <c r="W135" s="531">
        <f t="shared" si="79"/>
        <v>30000</v>
      </c>
      <c r="X135" s="534">
        <f t="shared" si="80"/>
        <v>90000</v>
      </c>
      <c r="Y135" s="535">
        <f>IF($A135="","",IF($I135="weekly",$A135+7,EDATE($A135,VLOOKUP($I135,Ref!$B$24:$C$29,2,0))))</f>
        <v>44432</v>
      </c>
      <c r="Z135" s="536" t="str">
        <f t="shared" si="81"/>
        <v>Tue</v>
      </c>
      <c r="AA135" s="531">
        <f t="shared" si="82"/>
        <v>31</v>
      </c>
      <c r="AB135" s="535">
        <f t="shared" si="70"/>
        <v>44493</v>
      </c>
      <c r="AC135" s="537">
        <f t="shared" si="71"/>
        <v>92</v>
      </c>
      <c r="AD135" s="538" t="str">
        <f t="shared" ca="1" si="72"/>
        <v>Expired</v>
      </c>
      <c r="AE135" s="537">
        <f t="shared" ca="1" si="73"/>
        <v>0</v>
      </c>
      <c r="AF135" s="539">
        <f t="shared" ca="1" si="83"/>
        <v>3</v>
      </c>
      <c r="AG135" s="531">
        <f t="shared" ca="1" si="84"/>
        <v>690000</v>
      </c>
      <c r="AH135" s="531">
        <f t="shared" ca="1" si="85"/>
        <v>90000</v>
      </c>
      <c r="AI135" s="531">
        <f t="shared" ca="1" si="86"/>
        <v>600000</v>
      </c>
      <c r="AJ135" s="531">
        <f t="shared" ca="1" si="87"/>
        <v>0</v>
      </c>
      <c r="AK135" s="540">
        <f>SUMIFS('Live Collections'!$S:$S,'Live Collections'!$D:$D,Disbursements!B135,'Live Collections'!$G:$G,Disbursements!C135)</f>
        <v>90000</v>
      </c>
      <c r="AL135" s="540">
        <f>SUMIFS('Live Collections'!$T:$T,'Live Collections'!$D:$D,Disbursements!B135,'Live Collections'!$G:$G,Disbursements!C135)</f>
        <v>600000</v>
      </c>
      <c r="AM135" s="541">
        <f t="shared" si="88"/>
        <v>690000</v>
      </c>
      <c r="AN135" s="542">
        <f t="shared" si="89"/>
        <v>0</v>
      </c>
      <c r="AO135" s="542">
        <f t="shared" si="90"/>
        <v>0</v>
      </c>
      <c r="AP135" s="543">
        <f t="shared" si="91"/>
        <v>0</v>
      </c>
      <c r="AQ135" s="544" t="str">
        <f t="shared" ca="1" si="92"/>
        <v/>
      </c>
      <c r="AR135" s="545">
        <f t="shared" ca="1" si="93"/>
        <v>0</v>
      </c>
      <c r="AS135" s="545">
        <f ca="1">IFERROR(CEILING($AR135*VLOOKUP($I135,Ref!$B$23:$E$29,4,0),1),0)</f>
        <v>0</v>
      </c>
      <c r="AT135" s="545" t="str">
        <f>IF(A135="","",IF(AP135&lt;=1,"Cleared",IF(AS135=0,"Clean",VLOOKUP($AS135,Ref!$G$23:$H$28,2))))</f>
        <v>Cleared</v>
      </c>
      <c r="AU135" s="546" t="str">
        <f t="shared" si="94"/>
        <v>Ok</v>
      </c>
    </row>
    <row r="136" spans="1:47" ht="15" customHeight="1" x14ac:dyDescent="0.15">
      <c r="A136" s="574">
        <v>44402</v>
      </c>
      <c r="B136" s="523">
        <v>118</v>
      </c>
      <c r="C136" s="523">
        <v>109</v>
      </c>
      <c r="D136" s="523">
        <v>1</v>
      </c>
      <c r="E136" s="523" t="s">
        <v>1274</v>
      </c>
      <c r="F136" s="554">
        <v>1000000</v>
      </c>
      <c r="G136" s="524">
        <v>6</v>
      </c>
      <c r="H136" s="555">
        <v>0.05</v>
      </c>
      <c r="I136" s="560" t="s">
        <v>859</v>
      </c>
      <c r="J136" s="523" t="s">
        <v>863</v>
      </c>
      <c r="K136" s="528" t="str">
        <f>IFERROR(VLOOKUP($B136,'Clients-Live'!$A:$C,3,0),"")</f>
        <v>ONYANGO CHARLES JOGOO</v>
      </c>
      <c r="L136" s="528">
        <f>IF(E136="STL",Pricing!$D$38,IF(A136="",0,IF(A136&lt;Pricing!$C$25,Pricing!$D$25,VLOOKUP(Disbursements!$F136,Pricing!$B$29:$D$32,3))))</f>
        <v>10000</v>
      </c>
      <c r="M136" s="528">
        <f>IF(E136="STL",0,IF(F136&gt;0,Pricing!$D$21,0))</f>
        <v>5000</v>
      </c>
      <c r="N136" s="529">
        <f>IF(E136="STL",F136*Pricing!$D$40,IF(A136&lt;=Pricing!$C$4,0,IF(AND(A136&gt;Pricing!$C$4,Disbursements!A136&lt;=Pricing!$C$5),F136*Pricing!$E$5,IF(AND(A136&gt;Pricing!$C$5,Disbursements!A136&lt;=Pricing!$C$7),VLOOKUP(F136,Pricing!$D$7:$E$8,2)*Disbursements!F136,F136*Pricing!$E$9))))</f>
        <v>10000</v>
      </c>
      <c r="O136" s="528">
        <f>IF(E136="STL",0,IF($F136&gt;0,$F136*Pricing!$D$17,0))</f>
        <v>100000</v>
      </c>
      <c r="P136" s="530">
        <f t="shared" si="74"/>
        <v>300000</v>
      </c>
      <c r="Q136" s="531">
        <f>IF($A136="","",$G136/VLOOKUP($I136,Ref!$B$23:$D$29,2,0))</f>
        <v>6</v>
      </c>
      <c r="R136" s="530">
        <f t="shared" si="75"/>
        <v>1300000</v>
      </c>
      <c r="S136" s="532">
        <f t="shared" si="69"/>
        <v>216666.66666666666</v>
      </c>
      <c r="T136" s="531">
        <f t="shared" si="76"/>
        <v>217000</v>
      </c>
      <c r="U136" s="533">
        <f t="shared" si="77"/>
        <v>1302000</v>
      </c>
      <c r="V136" s="531">
        <f t="shared" si="78"/>
        <v>166666.66666666666</v>
      </c>
      <c r="W136" s="531">
        <f t="shared" si="79"/>
        <v>50333.333333333343</v>
      </c>
      <c r="X136" s="534">
        <f t="shared" si="80"/>
        <v>302000.00000000006</v>
      </c>
      <c r="Y136" s="535">
        <f>IF($A136="","",IF($I136="weekly",$A136+7,EDATE($A136,VLOOKUP($I136,Ref!$B$24:$C$29,2,0))))</f>
        <v>44433</v>
      </c>
      <c r="Z136" s="536" t="str">
        <f t="shared" si="81"/>
        <v>Wed</v>
      </c>
      <c r="AA136" s="531">
        <f t="shared" si="82"/>
        <v>31</v>
      </c>
      <c r="AB136" s="535">
        <f t="shared" si="70"/>
        <v>44586</v>
      </c>
      <c r="AC136" s="537">
        <f t="shared" si="71"/>
        <v>184</v>
      </c>
      <c r="AD136" s="538" t="str">
        <f t="shared" ca="1" si="72"/>
        <v>Expired</v>
      </c>
      <c r="AE136" s="537">
        <f t="shared" ca="1" si="73"/>
        <v>0</v>
      </c>
      <c r="AF136" s="539">
        <f t="shared" ca="1" si="83"/>
        <v>6</v>
      </c>
      <c r="AG136" s="531">
        <f t="shared" ca="1" si="84"/>
        <v>1302000</v>
      </c>
      <c r="AH136" s="531">
        <f t="shared" ca="1" si="85"/>
        <v>302000.00000000006</v>
      </c>
      <c r="AI136" s="531">
        <f t="shared" ca="1" si="86"/>
        <v>1000000</v>
      </c>
      <c r="AJ136" s="531">
        <f t="shared" ca="1" si="87"/>
        <v>0</v>
      </c>
      <c r="AK136" s="540">
        <f>SUMIFS('Live Collections'!$S:$S,'Live Collections'!$D:$D,Disbursements!B136,'Live Collections'!$G:$G,Disbursements!C136)</f>
        <v>302000.00000000006</v>
      </c>
      <c r="AL136" s="540">
        <f>SUMIFS('Live Collections'!$T:$T,'Live Collections'!$D:$D,Disbursements!B136,'Live Collections'!$G:$G,Disbursements!C136)</f>
        <v>998000</v>
      </c>
      <c r="AM136" s="541">
        <f t="shared" si="88"/>
        <v>1300000</v>
      </c>
      <c r="AN136" s="542">
        <f t="shared" si="89"/>
        <v>0</v>
      </c>
      <c r="AO136" s="542">
        <f t="shared" si="90"/>
        <v>2000</v>
      </c>
      <c r="AP136" s="543">
        <f t="shared" si="91"/>
        <v>2000</v>
      </c>
      <c r="AQ136" s="544">
        <f t="shared" ca="1" si="92"/>
        <v>2000</v>
      </c>
      <c r="AR136" s="545">
        <f t="shared" ca="1" si="93"/>
        <v>9.2165898617511521E-3</v>
      </c>
      <c r="AS136" s="545">
        <f ca="1">IFERROR(CEILING($AR136*VLOOKUP($I136,Ref!$B$23:$E$29,4,0),1),0)</f>
        <v>1</v>
      </c>
      <c r="AT136" s="545" t="str">
        <f ca="1">IF(A136="","",IF(AP136&lt;=1,"Cleared",IF(AS136=0,"Clean",VLOOKUP($AS136,Ref!$G$23:$H$28,2))))</f>
        <v>1.(0-30) Days</v>
      </c>
      <c r="AU136" s="546" t="str">
        <f t="shared" si="94"/>
        <v>Ok</v>
      </c>
    </row>
    <row r="137" spans="1:47" ht="15" customHeight="1" x14ac:dyDescent="0.15">
      <c r="A137" s="575">
        <v>44403</v>
      </c>
      <c r="B137" s="523">
        <v>132</v>
      </c>
      <c r="C137" s="523">
        <v>134</v>
      </c>
      <c r="D137" s="523">
        <v>1</v>
      </c>
      <c r="E137" s="523" t="s">
        <v>1274</v>
      </c>
      <c r="F137" s="554">
        <v>300000</v>
      </c>
      <c r="G137" s="524">
        <v>3</v>
      </c>
      <c r="H137" s="555">
        <v>0.05</v>
      </c>
      <c r="I137" s="560" t="s">
        <v>859</v>
      </c>
      <c r="J137" s="523" t="s">
        <v>863</v>
      </c>
      <c r="K137" s="528" t="str">
        <f>IFERROR(VLOOKUP($B137,'Clients-Live'!$A:$C,3,0),"")</f>
        <v>MANIYO JOICE</v>
      </c>
      <c r="L137" s="528">
        <f>IF(E137="STL",Pricing!$D$38,IF(A137="",0,IF(A137&lt;Pricing!$C$25,Pricing!$D$25,VLOOKUP(Disbursements!$F137,Pricing!$B$29:$D$32,3))))</f>
        <v>10000</v>
      </c>
      <c r="M137" s="528">
        <f>IF(E137="STL",0,IF(F137&gt;0,Pricing!$D$21,0))</f>
        <v>5000</v>
      </c>
      <c r="N137" s="529">
        <f>IF(E137="STL",F137*Pricing!$D$40,IF(A137&lt;=Pricing!$C$4,0,IF(AND(A137&gt;Pricing!$C$4,Disbursements!A137&lt;=Pricing!$C$5),F137*Pricing!$E$5,IF(AND(A137&gt;Pricing!$C$5,Disbursements!A137&lt;=Pricing!$C$7),VLOOKUP(F137,Pricing!$D$7:$E$8,2)*Disbursements!F137,F137*Pricing!$E$9))))</f>
        <v>3000</v>
      </c>
      <c r="O137" s="528">
        <f>IF(E137="STL",0,IF($F137&gt;0,$F137*Pricing!$D$17,0))</f>
        <v>30000</v>
      </c>
      <c r="P137" s="530">
        <f t="shared" si="74"/>
        <v>45000</v>
      </c>
      <c r="Q137" s="531">
        <f>IF($A137="","",$G137/VLOOKUP($I137,Ref!$B$23:$D$29,2,0))</f>
        <v>3</v>
      </c>
      <c r="R137" s="530">
        <f t="shared" si="75"/>
        <v>345000</v>
      </c>
      <c r="S137" s="532">
        <f t="shared" si="69"/>
        <v>115000</v>
      </c>
      <c r="T137" s="531">
        <f t="shared" si="76"/>
        <v>115000</v>
      </c>
      <c r="U137" s="533">
        <f t="shared" si="77"/>
        <v>345000</v>
      </c>
      <c r="V137" s="531">
        <f t="shared" si="78"/>
        <v>100000</v>
      </c>
      <c r="W137" s="531">
        <f t="shared" si="79"/>
        <v>15000</v>
      </c>
      <c r="X137" s="534">
        <f t="shared" si="80"/>
        <v>45000</v>
      </c>
      <c r="Y137" s="535">
        <f>IF($A137="","",IF($I137="weekly",$A137+7,EDATE($A137,VLOOKUP($I137,Ref!$B$24:$C$29,2,0))))</f>
        <v>44434</v>
      </c>
      <c r="Z137" s="536" t="str">
        <f t="shared" si="81"/>
        <v>Thu</v>
      </c>
      <c r="AA137" s="531">
        <f t="shared" si="82"/>
        <v>31</v>
      </c>
      <c r="AB137" s="535">
        <f t="shared" si="70"/>
        <v>44495</v>
      </c>
      <c r="AC137" s="537">
        <f t="shared" si="71"/>
        <v>92</v>
      </c>
      <c r="AD137" s="538" t="str">
        <f t="shared" ca="1" si="72"/>
        <v>Expired</v>
      </c>
      <c r="AE137" s="537">
        <f t="shared" ca="1" si="73"/>
        <v>0</v>
      </c>
      <c r="AF137" s="539">
        <f t="shared" ca="1" si="83"/>
        <v>3</v>
      </c>
      <c r="AG137" s="531">
        <f t="shared" ca="1" si="84"/>
        <v>345000</v>
      </c>
      <c r="AH137" s="531">
        <f t="shared" ca="1" si="85"/>
        <v>45000</v>
      </c>
      <c r="AI137" s="531">
        <f t="shared" ca="1" si="86"/>
        <v>300000</v>
      </c>
      <c r="AJ137" s="531">
        <f t="shared" ca="1" si="87"/>
        <v>0</v>
      </c>
      <c r="AK137" s="540">
        <f>SUMIFS('Live Collections'!$S:$S,'Live Collections'!$D:$D,Disbursements!B137,'Live Collections'!$G:$G,Disbursements!C137)</f>
        <v>45000</v>
      </c>
      <c r="AL137" s="540">
        <f>SUMIFS('Live Collections'!$T:$T,'Live Collections'!$D:$D,Disbursements!B137,'Live Collections'!$G:$G,Disbursements!C137)</f>
        <v>300000</v>
      </c>
      <c r="AM137" s="541">
        <f t="shared" si="88"/>
        <v>345000</v>
      </c>
      <c r="AN137" s="542">
        <f t="shared" si="89"/>
        <v>0</v>
      </c>
      <c r="AO137" s="542">
        <f t="shared" si="90"/>
        <v>0</v>
      </c>
      <c r="AP137" s="543">
        <f t="shared" si="91"/>
        <v>0</v>
      </c>
      <c r="AQ137" s="544" t="str">
        <f t="shared" ca="1" si="92"/>
        <v/>
      </c>
      <c r="AR137" s="545">
        <f t="shared" ca="1" si="93"/>
        <v>0</v>
      </c>
      <c r="AS137" s="545">
        <f ca="1">IFERROR(CEILING($AR137*VLOOKUP($I137,Ref!$B$23:$E$29,4,0),1),0)</f>
        <v>0</v>
      </c>
      <c r="AT137" s="545" t="str">
        <f>IF(A137="","",IF(AP137&lt;=1,"Cleared",IF(AS137=0,"Clean",VLOOKUP($AS137,Ref!$G$23:$H$28,2))))</f>
        <v>Cleared</v>
      </c>
      <c r="AU137" s="546" t="str">
        <f t="shared" si="94"/>
        <v>Ok</v>
      </c>
    </row>
    <row r="138" spans="1:47" ht="15" customHeight="1" x14ac:dyDescent="0.15">
      <c r="A138" s="575">
        <v>44404</v>
      </c>
      <c r="B138" s="523">
        <v>148</v>
      </c>
      <c r="C138" s="523">
        <v>135</v>
      </c>
      <c r="D138" s="523">
        <v>1</v>
      </c>
      <c r="E138" s="523" t="s">
        <v>1274</v>
      </c>
      <c r="F138" s="554">
        <v>400000</v>
      </c>
      <c r="G138" s="524">
        <v>4</v>
      </c>
      <c r="H138" s="555">
        <v>0.05</v>
      </c>
      <c r="I138" s="560" t="s">
        <v>859</v>
      </c>
      <c r="J138" s="523" t="s">
        <v>862</v>
      </c>
      <c r="K138" s="528" t="str">
        <f>IFERROR(VLOOKUP($B138,'Clients-Live'!$A:$C,3,0),"")</f>
        <v>GBOKA ZAIDA</v>
      </c>
      <c r="L138" s="528">
        <f>IF(E138="STL",Pricing!$D$38,IF(A138="",0,IF(A138&lt;Pricing!$C$25,Pricing!$D$25,VLOOKUP(Disbursements!$F138,Pricing!$B$29:$D$32,3))))</f>
        <v>10000</v>
      </c>
      <c r="M138" s="528">
        <f>IF(E138="STL",0,IF(F138&gt;0,Pricing!$D$21,0))</f>
        <v>5000</v>
      </c>
      <c r="N138" s="529">
        <f>IF(E138="STL",F138*Pricing!$D$40,IF(A138&lt;=Pricing!$C$4,0,IF(AND(A138&gt;Pricing!$C$4,Disbursements!A138&lt;=Pricing!$C$5),F138*Pricing!$E$5,IF(AND(A138&gt;Pricing!$C$5,Disbursements!A138&lt;=Pricing!$C$7),VLOOKUP(F138,Pricing!$D$7:$E$8,2)*Disbursements!F138,F138*Pricing!$E$9))))</f>
        <v>4000</v>
      </c>
      <c r="O138" s="528">
        <f>IF(E138="STL",0,IF($F138&gt;0,$F138*Pricing!$D$17,0))</f>
        <v>40000</v>
      </c>
      <c r="P138" s="530">
        <f t="shared" si="74"/>
        <v>80000</v>
      </c>
      <c r="Q138" s="531">
        <f>IF($A138="","",$G138/VLOOKUP($I138,Ref!$B$23:$D$29,2,0))</f>
        <v>4</v>
      </c>
      <c r="R138" s="530">
        <f t="shared" si="75"/>
        <v>480000</v>
      </c>
      <c r="S138" s="532">
        <f t="shared" si="69"/>
        <v>120000</v>
      </c>
      <c r="T138" s="531">
        <f t="shared" si="76"/>
        <v>120000</v>
      </c>
      <c r="U138" s="533">
        <f t="shared" si="77"/>
        <v>480000</v>
      </c>
      <c r="V138" s="531">
        <f t="shared" si="78"/>
        <v>100000</v>
      </c>
      <c r="W138" s="531">
        <f t="shared" si="79"/>
        <v>20000</v>
      </c>
      <c r="X138" s="534">
        <f t="shared" si="80"/>
        <v>80000</v>
      </c>
      <c r="Y138" s="535">
        <f>IF($A138="","",IF($I138="weekly",$A138+7,EDATE($A138,VLOOKUP($I138,Ref!$B$24:$C$29,2,0))))</f>
        <v>44435</v>
      </c>
      <c r="Z138" s="536" t="str">
        <f t="shared" si="81"/>
        <v>Frid</v>
      </c>
      <c r="AA138" s="531">
        <f t="shared" si="82"/>
        <v>31</v>
      </c>
      <c r="AB138" s="535">
        <f t="shared" si="70"/>
        <v>44527</v>
      </c>
      <c r="AC138" s="537">
        <f t="shared" si="71"/>
        <v>123</v>
      </c>
      <c r="AD138" s="538" t="str">
        <f t="shared" ca="1" si="72"/>
        <v>Expired</v>
      </c>
      <c r="AE138" s="537">
        <f t="shared" ca="1" si="73"/>
        <v>0</v>
      </c>
      <c r="AF138" s="539">
        <f t="shared" ca="1" si="83"/>
        <v>4</v>
      </c>
      <c r="AG138" s="531">
        <f t="shared" ca="1" si="84"/>
        <v>480000</v>
      </c>
      <c r="AH138" s="531">
        <f t="shared" ca="1" si="85"/>
        <v>80000</v>
      </c>
      <c r="AI138" s="531">
        <f t="shared" ca="1" si="86"/>
        <v>400000</v>
      </c>
      <c r="AJ138" s="531">
        <f t="shared" ca="1" si="87"/>
        <v>0</v>
      </c>
      <c r="AK138" s="540">
        <f>SUMIFS('Live Collections'!$S:$S,'Live Collections'!$D:$D,Disbursements!B138,'Live Collections'!$G:$G,Disbursements!C138)</f>
        <v>80000</v>
      </c>
      <c r="AL138" s="540">
        <f>SUMIFS('Live Collections'!$T:$T,'Live Collections'!$D:$D,Disbursements!B138,'Live Collections'!$G:$G,Disbursements!C138)</f>
        <v>400000</v>
      </c>
      <c r="AM138" s="541">
        <f t="shared" si="88"/>
        <v>480000</v>
      </c>
      <c r="AN138" s="542">
        <f t="shared" si="89"/>
        <v>0</v>
      </c>
      <c r="AO138" s="542">
        <f t="shared" si="90"/>
        <v>0</v>
      </c>
      <c r="AP138" s="543">
        <f t="shared" si="91"/>
        <v>0</v>
      </c>
      <c r="AQ138" s="544" t="str">
        <f t="shared" ca="1" si="92"/>
        <v/>
      </c>
      <c r="AR138" s="545">
        <f t="shared" ca="1" si="93"/>
        <v>0</v>
      </c>
      <c r="AS138" s="545">
        <f ca="1">IFERROR(CEILING($AR138*VLOOKUP($I138,Ref!$B$23:$E$29,4,0),1),0)</f>
        <v>0</v>
      </c>
      <c r="AT138" s="545" t="str">
        <f>IF(A138="","",IF(AP138&lt;=1,"Cleared",IF(AS138=0,"Clean",VLOOKUP($AS138,Ref!$G$23:$H$28,2))))</f>
        <v>Cleared</v>
      </c>
      <c r="AU138" s="546" t="str">
        <f t="shared" si="94"/>
        <v>Ok</v>
      </c>
    </row>
    <row r="139" spans="1:47" ht="15" customHeight="1" x14ac:dyDescent="0.15">
      <c r="A139" s="575">
        <v>44405</v>
      </c>
      <c r="B139" s="523">
        <v>126</v>
      </c>
      <c r="C139" s="523">
        <v>137</v>
      </c>
      <c r="D139" s="523">
        <v>2</v>
      </c>
      <c r="E139" s="523" t="s">
        <v>1275</v>
      </c>
      <c r="F139" s="554">
        <v>1500000</v>
      </c>
      <c r="G139" s="524">
        <v>3</v>
      </c>
      <c r="H139" s="555">
        <v>7.4999999999999997E-2</v>
      </c>
      <c r="I139" s="560" t="s">
        <v>859</v>
      </c>
      <c r="J139" s="523" t="s">
        <v>862</v>
      </c>
      <c r="K139" s="528" t="str">
        <f>IFERROR(VLOOKUP($B139,'Clients-Live'!$A:$C,3,0),"")</f>
        <v>OGWAL STEPHEN GERALD</v>
      </c>
      <c r="L139" s="528">
        <f>IF(E139="STL",Pricing!$D$38,IF(A139="",0,IF(A139&lt;Pricing!$C$25,Pricing!$D$25,VLOOKUP(Disbursements!$F139,Pricing!$B$29:$D$32,3))))</f>
        <v>10000</v>
      </c>
      <c r="M139" s="528">
        <f>IF(E139="STL",0,IF(F139&gt;0,Pricing!$D$21,0))</f>
        <v>5000</v>
      </c>
      <c r="N139" s="529">
        <f>IF(E139="STL",F139*Pricing!$D$40,IF(A139&lt;=Pricing!$C$4,0,IF(AND(A139&gt;Pricing!$C$4,Disbursements!A139&lt;=Pricing!$C$5),F139*Pricing!$E$5,IF(AND(A139&gt;Pricing!$C$5,Disbursements!A139&lt;=Pricing!$C$7),VLOOKUP(F139,Pricing!$D$7:$E$8,2)*Disbursements!F139,F139*Pricing!$E$9))))</f>
        <v>15000</v>
      </c>
      <c r="O139" s="528">
        <f>IF(E139="STL",0,IF($F139&gt;0,$F139*Pricing!$D$17,0))</f>
        <v>150000</v>
      </c>
      <c r="P139" s="530">
        <f t="shared" si="74"/>
        <v>337500</v>
      </c>
      <c r="Q139" s="531">
        <f>IF($A139="","",$G139/VLOOKUP($I139,Ref!$B$23:$D$29,2,0))</f>
        <v>3</v>
      </c>
      <c r="R139" s="530">
        <f t="shared" si="75"/>
        <v>1837500</v>
      </c>
      <c r="S139" s="532">
        <f t="shared" si="69"/>
        <v>612500</v>
      </c>
      <c r="T139" s="531">
        <f t="shared" si="76"/>
        <v>613000</v>
      </c>
      <c r="U139" s="533">
        <f t="shared" si="77"/>
        <v>1839000</v>
      </c>
      <c r="V139" s="531">
        <f t="shared" si="78"/>
        <v>500000</v>
      </c>
      <c r="W139" s="531">
        <f t="shared" si="79"/>
        <v>113000</v>
      </c>
      <c r="X139" s="534">
        <f t="shared" si="80"/>
        <v>339000</v>
      </c>
      <c r="Y139" s="535">
        <f>IF($A139="","",IF($I139="weekly",$A139+7,EDATE($A139,VLOOKUP($I139,Ref!$B$24:$C$29,2,0))))</f>
        <v>44436</v>
      </c>
      <c r="Z139" s="536" t="str">
        <f t="shared" si="81"/>
        <v>Sat</v>
      </c>
      <c r="AA139" s="531">
        <f t="shared" si="82"/>
        <v>31</v>
      </c>
      <c r="AB139" s="535">
        <f t="shared" si="70"/>
        <v>44497</v>
      </c>
      <c r="AC139" s="537">
        <f t="shared" si="71"/>
        <v>92</v>
      </c>
      <c r="AD139" s="538" t="str">
        <f t="shared" ca="1" si="72"/>
        <v>Expired</v>
      </c>
      <c r="AE139" s="537">
        <f t="shared" ca="1" si="73"/>
        <v>0</v>
      </c>
      <c r="AF139" s="539">
        <f t="shared" ca="1" si="83"/>
        <v>3</v>
      </c>
      <c r="AG139" s="531">
        <f t="shared" ca="1" si="84"/>
        <v>1839000</v>
      </c>
      <c r="AH139" s="531">
        <f t="shared" ca="1" si="85"/>
        <v>339000</v>
      </c>
      <c r="AI139" s="531">
        <f t="shared" ca="1" si="86"/>
        <v>1500000</v>
      </c>
      <c r="AJ139" s="531">
        <f t="shared" ca="1" si="87"/>
        <v>0</v>
      </c>
      <c r="AK139" s="540">
        <f>SUMIFS('Live Collections'!$S:$S,'Live Collections'!$D:$D,Disbursements!B139,'Live Collections'!$G:$G,Disbursements!C139)</f>
        <v>339000</v>
      </c>
      <c r="AL139" s="540">
        <f>SUMIFS('Live Collections'!$T:$T,'Live Collections'!$D:$D,Disbursements!B139,'Live Collections'!$G:$G,Disbursements!C139)</f>
        <v>1500000</v>
      </c>
      <c r="AM139" s="541">
        <f t="shared" si="88"/>
        <v>1839000</v>
      </c>
      <c r="AN139" s="542">
        <f t="shared" si="89"/>
        <v>0</v>
      </c>
      <c r="AO139" s="542">
        <f t="shared" si="90"/>
        <v>0</v>
      </c>
      <c r="AP139" s="543">
        <f t="shared" si="91"/>
        <v>0</v>
      </c>
      <c r="AQ139" s="544" t="str">
        <f t="shared" ca="1" si="92"/>
        <v/>
      </c>
      <c r="AR139" s="545">
        <f t="shared" ca="1" si="93"/>
        <v>0</v>
      </c>
      <c r="AS139" s="545">
        <f ca="1">IFERROR(CEILING($AR139*VLOOKUP($I139,Ref!$B$23:$E$29,4,0),1),0)</f>
        <v>0</v>
      </c>
      <c r="AT139" s="545" t="str">
        <f>IF(A139="","",IF(AP139&lt;=1,"Cleared",IF(AS139=0,"Clean",VLOOKUP($AS139,Ref!$G$23:$H$28,2))))</f>
        <v>Cleared</v>
      </c>
      <c r="AU139" s="546" t="str">
        <f t="shared" si="94"/>
        <v>Ok</v>
      </c>
    </row>
    <row r="140" spans="1:47" ht="15" customHeight="1" x14ac:dyDescent="0.15">
      <c r="A140" s="575">
        <v>44405</v>
      </c>
      <c r="B140" s="523">
        <v>151</v>
      </c>
      <c r="C140" s="523">
        <v>138</v>
      </c>
      <c r="D140" s="523">
        <v>1</v>
      </c>
      <c r="E140" s="523" t="s">
        <v>1274</v>
      </c>
      <c r="F140" s="554">
        <v>1000000</v>
      </c>
      <c r="G140" s="524">
        <v>1</v>
      </c>
      <c r="H140" s="555">
        <v>0.05</v>
      </c>
      <c r="I140" s="560" t="s">
        <v>859</v>
      </c>
      <c r="J140" s="523" t="s">
        <v>862</v>
      </c>
      <c r="K140" s="528" t="str">
        <f>IFERROR(VLOOKUP($B140,'Clients-Live'!$A:$C,3,0),"")</f>
        <v>MORRO HASSAN</v>
      </c>
      <c r="L140" s="528">
        <f>IF(E140="STL",Pricing!$D$38,IF(A140="",0,IF(A140&lt;Pricing!$C$25,Pricing!$D$25,VLOOKUP(Disbursements!$F140,Pricing!$B$29:$D$32,3))))</f>
        <v>10000</v>
      </c>
      <c r="M140" s="528">
        <f>IF(E140="STL",0,IF(F140&gt;0,Pricing!$D$21,0))</f>
        <v>5000</v>
      </c>
      <c r="N140" s="529">
        <f>IF(E140="STL",F140*Pricing!$D$40,IF(A140&lt;=Pricing!$C$4,0,IF(AND(A140&gt;Pricing!$C$4,Disbursements!A140&lt;=Pricing!$C$5),F140*Pricing!$E$5,IF(AND(A140&gt;Pricing!$C$5,Disbursements!A140&lt;=Pricing!$C$7),VLOOKUP(F140,Pricing!$D$7:$E$8,2)*Disbursements!F140,F140*Pricing!$E$9))))</f>
        <v>10000</v>
      </c>
      <c r="O140" s="528">
        <f>IF(E140="STL",0,IF($F140&gt;0,$F140*Pricing!$D$17,0))</f>
        <v>100000</v>
      </c>
      <c r="P140" s="530">
        <f t="shared" si="74"/>
        <v>50000</v>
      </c>
      <c r="Q140" s="531">
        <f>IF($A140="","",$G140/VLOOKUP($I140,Ref!$B$23:$D$29,2,0))</f>
        <v>1</v>
      </c>
      <c r="R140" s="530">
        <f t="shared" si="75"/>
        <v>1050000</v>
      </c>
      <c r="S140" s="532">
        <f t="shared" si="69"/>
        <v>1050000</v>
      </c>
      <c r="T140" s="531">
        <f t="shared" si="76"/>
        <v>1050000</v>
      </c>
      <c r="U140" s="533">
        <f t="shared" si="77"/>
        <v>1050000</v>
      </c>
      <c r="V140" s="531">
        <f t="shared" si="78"/>
        <v>1000000</v>
      </c>
      <c r="W140" s="531">
        <f t="shared" si="79"/>
        <v>50000</v>
      </c>
      <c r="X140" s="534">
        <f t="shared" si="80"/>
        <v>50000</v>
      </c>
      <c r="Y140" s="535">
        <f>IF($A140="","",IF($I140="weekly",$A140+7,EDATE($A140,VLOOKUP($I140,Ref!$B$24:$C$29,2,0))))</f>
        <v>44436</v>
      </c>
      <c r="Z140" s="536" t="str">
        <f t="shared" si="81"/>
        <v>Sat</v>
      </c>
      <c r="AA140" s="531">
        <f t="shared" si="82"/>
        <v>31</v>
      </c>
      <c r="AB140" s="535">
        <f t="shared" si="70"/>
        <v>44436</v>
      </c>
      <c r="AC140" s="537">
        <f t="shared" si="71"/>
        <v>31</v>
      </c>
      <c r="AD140" s="538" t="str">
        <f t="shared" ca="1" si="72"/>
        <v>Expired</v>
      </c>
      <c r="AE140" s="537">
        <f t="shared" ca="1" si="73"/>
        <v>0</v>
      </c>
      <c r="AF140" s="539">
        <f t="shared" ca="1" si="83"/>
        <v>1</v>
      </c>
      <c r="AG140" s="531">
        <f t="shared" ca="1" si="84"/>
        <v>1050000</v>
      </c>
      <c r="AH140" s="531">
        <f t="shared" ca="1" si="85"/>
        <v>50000</v>
      </c>
      <c r="AI140" s="531">
        <f t="shared" ca="1" si="86"/>
        <v>1000000</v>
      </c>
      <c r="AJ140" s="531">
        <f t="shared" ca="1" si="87"/>
        <v>0</v>
      </c>
      <c r="AK140" s="540">
        <f>SUMIFS('Live Collections'!$S:$S,'Live Collections'!$D:$D,Disbursements!B140,'Live Collections'!$G:$G,Disbursements!C140)</f>
        <v>50000</v>
      </c>
      <c r="AL140" s="540">
        <f>SUMIFS('Live Collections'!$T:$T,'Live Collections'!$D:$D,Disbursements!B140,'Live Collections'!$G:$G,Disbursements!C140)</f>
        <v>1000000</v>
      </c>
      <c r="AM140" s="541">
        <f t="shared" si="88"/>
        <v>1050000</v>
      </c>
      <c r="AN140" s="542">
        <f t="shared" si="89"/>
        <v>0</v>
      </c>
      <c r="AO140" s="542">
        <f t="shared" si="90"/>
        <v>0</v>
      </c>
      <c r="AP140" s="543">
        <f t="shared" si="91"/>
        <v>0</v>
      </c>
      <c r="AQ140" s="544" t="str">
        <f t="shared" ca="1" si="92"/>
        <v/>
      </c>
      <c r="AR140" s="545">
        <f t="shared" ca="1" si="93"/>
        <v>0</v>
      </c>
      <c r="AS140" s="545">
        <f ca="1">IFERROR(CEILING($AR140*VLOOKUP($I140,Ref!$B$23:$E$29,4,0),1),0)</f>
        <v>0</v>
      </c>
      <c r="AT140" s="545" t="str">
        <f>IF(A140="","",IF(AP140&lt;=1,"Cleared",IF(AS140=0,"Clean",VLOOKUP($AS140,Ref!$G$23:$H$28,2))))</f>
        <v>Cleared</v>
      </c>
      <c r="AU140" s="546" t="str">
        <f t="shared" si="94"/>
        <v>Ok</v>
      </c>
    </row>
    <row r="141" spans="1:47" ht="15" customHeight="1" x14ac:dyDescent="0.15">
      <c r="A141" s="575">
        <v>44405</v>
      </c>
      <c r="B141" s="523">
        <v>152</v>
      </c>
      <c r="C141" s="523">
        <v>136</v>
      </c>
      <c r="D141" s="523">
        <v>1</v>
      </c>
      <c r="E141" s="523" t="s">
        <v>1274</v>
      </c>
      <c r="F141" s="554">
        <v>700000</v>
      </c>
      <c r="G141" s="524">
        <v>5</v>
      </c>
      <c r="H141" s="555">
        <v>0.05</v>
      </c>
      <c r="I141" s="560" t="s">
        <v>859</v>
      </c>
      <c r="J141" s="523" t="s">
        <v>863</v>
      </c>
      <c r="K141" s="528" t="str">
        <f>IFERROR(VLOOKUP($B141,'Clients-Live'!$A:$C,3,0),"")</f>
        <v>ASE ZAINABU</v>
      </c>
      <c r="L141" s="528">
        <f>IF(E141="STL",Pricing!$D$38,IF(A141="",0,IF(A141&lt;Pricing!$C$25,Pricing!$D$25,VLOOKUP(Disbursements!$F141,Pricing!$B$29:$D$32,3))))</f>
        <v>10000</v>
      </c>
      <c r="M141" s="528">
        <f>IF(E141="STL",0,IF(F141&gt;0,Pricing!$D$21,0))</f>
        <v>5000</v>
      </c>
      <c r="N141" s="529">
        <f>IF(E141="STL",F141*Pricing!$D$40,IF(A141&lt;=Pricing!$C$4,0,IF(AND(A141&gt;Pricing!$C$4,Disbursements!A141&lt;=Pricing!$C$5),F141*Pricing!$E$5,IF(AND(A141&gt;Pricing!$C$5,Disbursements!A141&lt;=Pricing!$C$7),VLOOKUP(F141,Pricing!$D$7:$E$8,2)*Disbursements!F141,F141*Pricing!$E$9))))</f>
        <v>7000</v>
      </c>
      <c r="O141" s="528">
        <f>IF(E141="STL",0,IF($F141&gt;0,$F141*Pricing!$D$17,0))</f>
        <v>70000</v>
      </c>
      <c r="P141" s="530">
        <f t="shared" si="74"/>
        <v>175000</v>
      </c>
      <c r="Q141" s="531">
        <f>IF($A141="","",$G141/VLOOKUP($I141,Ref!$B$23:$D$29,2,0))</f>
        <v>5</v>
      </c>
      <c r="R141" s="530">
        <f t="shared" si="75"/>
        <v>875000</v>
      </c>
      <c r="S141" s="532">
        <f t="shared" si="69"/>
        <v>175000</v>
      </c>
      <c r="T141" s="531">
        <f t="shared" si="76"/>
        <v>175000</v>
      </c>
      <c r="U141" s="533">
        <f t="shared" si="77"/>
        <v>875000</v>
      </c>
      <c r="V141" s="531">
        <f t="shared" si="78"/>
        <v>140000</v>
      </c>
      <c r="W141" s="531">
        <f t="shared" si="79"/>
        <v>35000</v>
      </c>
      <c r="X141" s="534">
        <f t="shared" si="80"/>
        <v>175000</v>
      </c>
      <c r="Y141" s="535">
        <f>IF($A141="","",IF($I141="weekly",$A141+7,EDATE($A141,VLOOKUP($I141,Ref!$B$24:$C$29,2,0))))</f>
        <v>44436</v>
      </c>
      <c r="Z141" s="536" t="str">
        <f t="shared" si="81"/>
        <v>Sat</v>
      </c>
      <c r="AA141" s="531">
        <f t="shared" si="82"/>
        <v>31</v>
      </c>
      <c r="AB141" s="535">
        <f t="shared" si="70"/>
        <v>44558</v>
      </c>
      <c r="AC141" s="537">
        <f t="shared" si="71"/>
        <v>153</v>
      </c>
      <c r="AD141" s="538" t="str">
        <f t="shared" ca="1" si="72"/>
        <v>Expired</v>
      </c>
      <c r="AE141" s="537">
        <f t="shared" ca="1" si="73"/>
        <v>0</v>
      </c>
      <c r="AF141" s="539">
        <f t="shared" ca="1" si="83"/>
        <v>5</v>
      </c>
      <c r="AG141" s="531">
        <f t="shared" ca="1" si="84"/>
        <v>875000</v>
      </c>
      <c r="AH141" s="531">
        <f t="shared" ca="1" si="85"/>
        <v>175000</v>
      </c>
      <c r="AI141" s="531">
        <f t="shared" ca="1" si="86"/>
        <v>700000</v>
      </c>
      <c r="AJ141" s="531">
        <f t="shared" ca="1" si="87"/>
        <v>0</v>
      </c>
      <c r="AK141" s="540">
        <f>SUMIFS('Live Collections'!$S:$S,'Live Collections'!$D:$D,Disbursements!B141,'Live Collections'!$G:$G,Disbursements!C141)</f>
        <v>175000</v>
      </c>
      <c r="AL141" s="540">
        <f>SUMIFS('Live Collections'!$T:$T,'Live Collections'!$D:$D,Disbursements!B141,'Live Collections'!$G:$G,Disbursements!C141)</f>
        <v>700000</v>
      </c>
      <c r="AM141" s="541">
        <f t="shared" si="88"/>
        <v>875000</v>
      </c>
      <c r="AN141" s="542">
        <f t="shared" si="89"/>
        <v>0</v>
      </c>
      <c r="AO141" s="542">
        <f t="shared" si="90"/>
        <v>0</v>
      </c>
      <c r="AP141" s="543">
        <f t="shared" si="91"/>
        <v>0</v>
      </c>
      <c r="AQ141" s="544" t="str">
        <f t="shared" ca="1" si="92"/>
        <v/>
      </c>
      <c r="AR141" s="545">
        <f t="shared" ca="1" si="93"/>
        <v>0</v>
      </c>
      <c r="AS141" s="545">
        <f ca="1">IFERROR(CEILING($AR141*VLOOKUP($I141,Ref!$B$23:$E$29,4,0),1),0)</f>
        <v>0</v>
      </c>
      <c r="AT141" s="545" t="str">
        <f>IF(A141="","",IF(AP141&lt;=1,"Cleared",IF(AS141=0,"Clean",VLOOKUP($AS141,Ref!$G$23:$H$28,2))))</f>
        <v>Cleared</v>
      </c>
      <c r="AU141" s="546" t="str">
        <f t="shared" si="94"/>
        <v>Ok</v>
      </c>
    </row>
    <row r="142" spans="1:47" ht="15" customHeight="1" x14ac:dyDescent="0.15">
      <c r="A142" s="575">
        <v>44406</v>
      </c>
      <c r="B142" s="523">
        <v>137</v>
      </c>
      <c r="C142" s="523">
        <v>139</v>
      </c>
      <c r="D142" s="523">
        <v>2</v>
      </c>
      <c r="E142" s="523" t="s">
        <v>1274</v>
      </c>
      <c r="F142" s="554">
        <v>1200000</v>
      </c>
      <c r="G142" s="524">
        <v>4</v>
      </c>
      <c r="H142" s="555">
        <v>0.05</v>
      </c>
      <c r="I142" s="560" t="s">
        <v>859</v>
      </c>
      <c r="J142" s="523" t="s">
        <v>862</v>
      </c>
      <c r="K142" s="528" t="str">
        <f>IFERROR(VLOOKUP($B142,'Clients-Live'!$A:$C,3,0),"")</f>
        <v>YAKANI CHARLES</v>
      </c>
      <c r="L142" s="528">
        <f>IF(E142="STL",Pricing!$D$38,IF(A142="",0,IF(A142&lt;Pricing!$C$25,Pricing!$D$25,VLOOKUP(Disbursements!$F142,Pricing!$B$29:$D$32,3))))</f>
        <v>10000</v>
      </c>
      <c r="M142" s="528">
        <f>IF(E142="STL",0,IF(F142&gt;0,Pricing!$D$21,0))</f>
        <v>5000</v>
      </c>
      <c r="N142" s="529">
        <f>IF(E142="STL",F142*Pricing!$D$40,IF(A142&lt;=Pricing!$C$4,0,IF(AND(A142&gt;Pricing!$C$4,Disbursements!A142&lt;=Pricing!$C$5),F142*Pricing!$E$5,IF(AND(A142&gt;Pricing!$C$5,Disbursements!A142&lt;=Pricing!$C$7),VLOOKUP(F142,Pricing!$D$7:$E$8,2)*Disbursements!F142,F142*Pricing!$E$9))))</f>
        <v>12000</v>
      </c>
      <c r="O142" s="528">
        <f>IF(E142="STL",0,IF($F142&gt;0,$F142*Pricing!$D$17,0))</f>
        <v>120000</v>
      </c>
      <c r="P142" s="530">
        <f t="shared" si="74"/>
        <v>240000</v>
      </c>
      <c r="Q142" s="531">
        <f>IF($A142="","",$G142/VLOOKUP($I142,Ref!$B$23:$D$29,2,0))</f>
        <v>4</v>
      </c>
      <c r="R142" s="530">
        <f t="shared" si="75"/>
        <v>1440000</v>
      </c>
      <c r="S142" s="532">
        <f t="shared" si="69"/>
        <v>360000</v>
      </c>
      <c r="T142" s="531">
        <f t="shared" si="76"/>
        <v>360000</v>
      </c>
      <c r="U142" s="533">
        <f t="shared" si="77"/>
        <v>1440000</v>
      </c>
      <c r="V142" s="531">
        <f t="shared" si="78"/>
        <v>300000</v>
      </c>
      <c r="W142" s="531">
        <f t="shared" si="79"/>
        <v>60000</v>
      </c>
      <c r="X142" s="534">
        <f t="shared" si="80"/>
        <v>240000</v>
      </c>
      <c r="Y142" s="535">
        <f>IF($A142="","",IF($I142="weekly",$A142+7,EDATE($A142,VLOOKUP($I142,Ref!$B$24:$C$29,2,0))))</f>
        <v>44437</v>
      </c>
      <c r="Z142" s="536" t="str">
        <f t="shared" si="81"/>
        <v>Sun</v>
      </c>
      <c r="AA142" s="531">
        <f t="shared" si="82"/>
        <v>31</v>
      </c>
      <c r="AB142" s="535">
        <f t="shared" si="70"/>
        <v>44529</v>
      </c>
      <c r="AC142" s="537">
        <f t="shared" si="71"/>
        <v>123</v>
      </c>
      <c r="AD142" s="538" t="str">
        <f t="shared" ca="1" si="72"/>
        <v>Expired</v>
      </c>
      <c r="AE142" s="537">
        <f t="shared" ca="1" si="73"/>
        <v>0</v>
      </c>
      <c r="AF142" s="539">
        <f t="shared" ca="1" si="83"/>
        <v>4</v>
      </c>
      <c r="AG142" s="531">
        <f t="shared" ca="1" si="84"/>
        <v>1440000</v>
      </c>
      <c r="AH142" s="531">
        <f t="shared" ca="1" si="85"/>
        <v>240000</v>
      </c>
      <c r="AI142" s="531">
        <f t="shared" ca="1" si="86"/>
        <v>1200000</v>
      </c>
      <c r="AJ142" s="531">
        <f t="shared" ca="1" si="87"/>
        <v>0</v>
      </c>
      <c r="AK142" s="540">
        <f>SUMIFS('Live Collections'!$S:$S,'Live Collections'!$D:$D,Disbursements!B142,'Live Collections'!$G:$G,Disbursements!C142)</f>
        <v>240000</v>
      </c>
      <c r="AL142" s="540">
        <f>SUMIFS('Live Collections'!$T:$T,'Live Collections'!$D:$D,Disbursements!B142,'Live Collections'!$G:$G,Disbursements!C142)</f>
        <v>1200000</v>
      </c>
      <c r="AM142" s="541">
        <f t="shared" si="88"/>
        <v>1440000</v>
      </c>
      <c r="AN142" s="542">
        <f t="shared" si="89"/>
        <v>0</v>
      </c>
      <c r="AO142" s="542">
        <f t="shared" si="90"/>
        <v>0</v>
      </c>
      <c r="AP142" s="543">
        <f t="shared" si="91"/>
        <v>0</v>
      </c>
      <c r="AQ142" s="544" t="str">
        <f t="shared" ca="1" si="92"/>
        <v/>
      </c>
      <c r="AR142" s="545">
        <f t="shared" ca="1" si="93"/>
        <v>0</v>
      </c>
      <c r="AS142" s="545">
        <f ca="1">IFERROR(CEILING($AR142*VLOOKUP($I142,Ref!$B$23:$E$29,4,0),1),0)</f>
        <v>0</v>
      </c>
      <c r="AT142" s="545" t="str">
        <f>IF(A142="","",IF(AP142&lt;=1,"Cleared",IF(AS142=0,"Clean",VLOOKUP($AS142,Ref!$G$23:$H$28,2))))</f>
        <v>Cleared</v>
      </c>
      <c r="AU142" s="546" t="str">
        <f t="shared" si="94"/>
        <v>Ok</v>
      </c>
    </row>
    <row r="143" spans="1:47" ht="15" customHeight="1" x14ac:dyDescent="0.15">
      <c r="A143" s="575">
        <v>44406</v>
      </c>
      <c r="B143" s="523">
        <v>149</v>
      </c>
      <c r="C143" s="523">
        <v>141</v>
      </c>
      <c r="D143" s="523">
        <v>1</v>
      </c>
      <c r="E143" s="523" t="s">
        <v>1274</v>
      </c>
      <c r="F143" s="554">
        <v>400000</v>
      </c>
      <c r="G143" s="561">
        <v>4</v>
      </c>
      <c r="H143" s="555">
        <v>0.05</v>
      </c>
      <c r="I143" s="560" t="s">
        <v>861</v>
      </c>
      <c r="J143" s="523" t="s">
        <v>863</v>
      </c>
      <c r="K143" s="528" t="str">
        <f>IFERROR(VLOOKUP($B143,'Clients-Live'!$A:$C,3,0),"")</f>
        <v>SIKA AMIDRA</v>
      </c>
      <c r="L143" s="528">
        <f>IF(E143="STL",Pricing!$D$38,IF(A143="",0,IF(A143&lt;Pricing!$C$25,Pricing!$D$25,VLOOKUP(Disbursements!$F143,Pricing!$B$29:$D$32,3))))</f>
        <v>10000</v>
      </c>
      <c r="M143" s="528">
        <f>IF(E143="STL",0,IF(F143&gt;0,Pricing!$D$21,0))</f>
        <v>5000</v>
      </c>
      <c r="N143" s="529">
        <f>IF(E143="STL",F143*Pricing!$D$40,IF(A143&lt;=Pricing!$C$4,0,IF(AND(A143&gt;Pricing!$C$4,Disbursements!A143&lt;=Pricing!$C$5),F143*Pricing!$E$5,IF(AND(A143&gt;Pricing!$C$5,Disbursements!A143&lt;=Pricing!$C$7),VLOOKUP(F143,Pricing!$D$7:$E$8,2)*Disbursements!F143,F143*Pricing!$E$9))))</f>
        <v>4000</v>
      </c>
      <c r="O143" s="528">
        <f>IF(E143="STL",0,IF($F143&gt;0,$F143*Pricing!$D$17,0))</f>
        <v>40000</v>
      </c>
      <c r="P143" s="530">
        <f t="shared" si="74"/>
        <v>80000</v>
      </c>
      <c r="Q143" s="531">
        <f>IF($A143="","",$G143/VLOOKUP($I143,Ref!$B$23:$D$29,2,0))</f>
        <v>16</v>
      </c>
      <c r="R143" s="530">
        <f t="shared" si="75"/>
        <v>480000</v>
      </c>
      <c r="S143" s="532">
        <f t="shared" si="69"/>
        <v>30000</v>
      </c>
      <c r="T143" s="531">
        <f t="shared" si="76"/>
        <v>30000</v>
      </c>
      <c r="U143" s="533">
        <f t="shared" si="77"/>
        <v>480000</v>
      </c>
      <c r="V143" s="531">
        <f t="shared" si="78"/>
        <v>25000</v>
      </c>
      <c r="W143" s="531">
        <f t="shared" si="79"/>
        <v>5000</v>
      </c>
      <c r="X143" s="534">
        <f t="shared" si="80"/>
        <v>80000</v>
      </c>
      <c r="Y143" s="535">
        <f>IF($A143="","",IF($I143="weekly",$A143+7,EDATE($A143,VLOOKUP($I143,Ref!$B$24:$C$29,2,0))))</f>
        <v>44413</v>
      </c>
      <c r="Z143" s="536" t="str">
        <f t="shared" si="81"/>
        <v>Thu</v>
      </c>
      <c r="AA143" s="531">
        <f t="shared" si="82"/>
        <v>7</v>
      </c>
      <c r="AB143" s="535">
        <f t="shared" si="70"/>
        <v>44529</v>
      </c>
      <c r="AC143" s="537">
        <f t="shared" si="71"/>
        <v>123</v>
      </c>
      <c r="AD143" s="538" t="str">
        <f t="shared" ca="1" si="72"/>
        <v>Expired</v>
      </c>
      <c r="AE143" s="537">
        <f t="shared" ca="1" si="73"/>
        <v>0</v>
      </c>
      <c r="AF143" s="539">
        <f t="shared" ca="1" si="83"/>
        <v>16</v>
      </c>
      <c r="AG143" s="531">
        <f t="shared" ca="1" si="84"/>
        <v>480000</v>
      </c>
      <c r="AH143" s="531">
        <f t="shared" ca="1" si="85"/>
        <v>80000</v>
      </c>
      <c r="AI143" s="531">
        <f t="shared" ca="1" si="86"/>
        <v>400000</v>
      </c>
      <c r="AJ143" s="531">
        <f t="shared" ca="1" si="87"/>
        <v>0</v>
      </c>
      <c r="AK143" s="540">
        <f>SUMIFS('Live Collections'!$S:$S,'Live Collections'!$D:$D,Disbursements!B143,'Live Collections'!$G:$G,Disbursements!C143)</f>
        <v>80000</v>
      </c>
      <c r="AL143" s="540">
        <f>SUMIFS('Live Collections'!$T:$T,'Live Collections'!$D:$D,Disbursements!B143,'Live Collections'!$G:$G,Disbursements!C143)</f>
        <v>400000</v>
      </c>
      <c r="AM143" s="541">
        <f t="shared" si="88"/>
        <v>480000</v>
      </c>
      <c r="AN143" s="542">
        <f t="shared" si="89"/>
        <v>0</v>
      </c>
      <c r="AO143" s="542">
        <f t="shared" si="90"/>
        <v>0</v>
      </c>
      <c r="AP143" s="543">
        <f t="shared" si="91"/>
        <v>0</v>
      </c>
      <c r="AQ143" s="544" t="str">
        <f t="shared" ca="1" si="92"/>
        <v/>
      </c>
      <c r="AR143" s="545">
        <f t="shared" ca="1" si="93"/>
        <v>0</v>
      </c>
      <c r="AS143" s="545">
        <f ca="1">IFERROR(CEILING($AR143*VLOOKUP($I143,Ref!$B$23:$E$29,4,0),1),0)</f>
        <v>0</v>
      </c>
      <c r="AT143" s="545" t="str">
        <f>IF(A143="","",IF(AP143&lt;=1,"Cleared",IF(AS143=0,"Clean",VLOOKUP($AS143,Ref!$G$23:$H$28,2))))</f>
        <v>Cleared</v>
      </c>
      <c r="AU143" s="546" t="str">
        <f t="shared" si="94"/>
        <v>Ok</v>
      </c>
    </row>
    <row r="144" spans="1:47" ht="15" customHeight="1" x14ac:dyDescent="0.15">
      <c r="A144" s="575">
        <v>44407</v>
      </c>
      <c r="B144" s="523">
        <v>97</v>
      </c>
      <c r="C144" s="523">
        <v>142</v>
      </c>
      <c r="D144" s="523">
        <v>2</v>
      </c>
      <c r="E144" s="523" t="s">
        <v>1274</v>
      </c>
      <c r="F144" s="554">
        <v>2000000</v>
      </c>
      <c r="G144" s="524">
        <v>1</v>
      </c>
      <c r="H144" s="555">
        <v>0.05</v>
      </c>
      <c r="I144" s="560" t="s">
        <v>859</v>
      </c>
      <c r="J144" s="523" t="s">
        <v>862</v>
      </c>
      <c r="K144" s="528" t="str">
        <f>IFERROR(VLOOKUP($B144,'Clients-Live'!$A:$C,3,0),"")</f>
        <v>DRANDUA JOB CHRISPUS</v>
      </c>
      <c r="L144" s="528">
        <f>IF(E144="STL",Pricing!$D$38,IF(A144="",0,IF(A144&lt;Pricing!$C$25,Pricing!$D$25,VLOOKUP(Disbursements!$F144,Pricing!$B$29:$D$32,3))))</f>
        <v>10000</v>
      </c>
      <c r="M144" s="528">
        <f>IF(E144="STL",0,IF(F144&gt;0,Pricing!$D$21,0))</f>
        <v>5000</v>
      </c>
      <c r="N144" s="529">
        <f>IF(E144="STL",F144*Pricing!$D$40,IF(A144&lt;=Pricing!$C$4,0,IF(AND(A144&gt;Pricing!$C$4,Disbursements!A144&lt;=Pricing!$C$5),F144*Pricing!$E$5,IF(AND(A144&gt;Pricing!$C$5,Disbursements!A144&lt;=Pricing!$C$7),VLOOKUP(F144,Pricing!$D$7:$E$8,2)*Disbursements!F144,F144*Pricing!$E$9))))</f>
        <v>20000</v>
      </c>
      <c r="O144" s="528">
        <f>IF(E144="STL",0,IF($F144&gt;0,$F144*Pricing!$D$17,0))</f>
        <v>200000</v>
      </c>
      <c r="P144" s="530">
        <f t="shared" si="74"/>
        <v>100000</v>
      </c>
      <c r="Q144" s="531">
        <f>IF($A144="","",$G144/VLOOKUP($I144,Ref!$B$23:$D$29,2,0))</f>
        <v>1</v>
      </c>
      <c r="R144" s="530">
        <f t="shared" si="75"/>
        <v>2100000</v>
      </c>
      <c r="S144" s="532">
        <f t="shared" si="69"/>
        <v>2100000</v>
      </c>
      <c r="T144" s="531">
        <f t="shared" si="76"/>
        <v>2100000</v>
      </c>
      <c r="U144" s="533">
        <f t="shared" si="77"/>
        <v>2100000</v>
      </c>
      <c r="V144" s="531">
        <f t="shared" si="78"/>
        <v>2000000</v>
      </c>
      <c r="W144" s="531">
        <f t="shared" si="79"/>
        <v>100000</v>
      </c>
      <c r="X144" s="534">
        <f t="shared" si="80"/>
        <v>100000</v>
      </c>
      <c r="Y144" s="535">
        <f>IF($A144="","",IF($I144="weekly",$A144+7,EDATE($A144,VLOOKUP($I144,Ref!$B$24:$C$29,2,0))))</f>
        <v>44438</v>
      </c>
      <c r="Z144" s="536" t="str">
        <f t="shared" si="81"/>
        <v>Mon</v>
      </c>
      <c r="AA144" s="531">
        <f t="shared" si="82"/>
        <v>31</v>
      </c>
      <c r="AB144" s="535">
        <f t="shared" si="70"/>
        <v>44438</v>
      </c>
      <c r="AC144" s="537">
        <f t="shared" si="71"/>
        <v>31</v>
      </c>
      <c r="AD144" s="538" t="str">
        <f t="shared" ca="1" si="72"/>
        <v>Expired</v>
      </c>
      <c r="AE144" s="537">
        <f t="shared" ca="1" si="73"/>
        <v>0</v>
      </c>
      <c r="AF144" s="539">
        <f t="shared" ca="1" si="83"/>
        <v>1</v>
      </c>
      <c r="AG144" s="531">
        <f t="shared" ca="1" si="84"/>
        <v>2100000</v>
      </c>
      <c r="AH144" s="531">
        <f t="shared" ca="1" si="85"/>
        <v>100000</v>
      </c>
      <c r="AI144" s="531">
        <f t="shared" ca="1" si="86"/>
        <v>2000000</v>
      </c>
      <c r="AJ144" s="531">
        <f t="shared" ca="1" si="87"/>
        <v>0</v>
      </c>
      <c r="AK144" s="540">
        <f>SUMIFS('Live Collections'!$S:$S,'Live Collections'!$D:$D,Disbursements!B144,'Live Collections'!$G:$G,Disbursements!C144)</f>
        <v>100000</v>
      </c>
      <c r="AL144" s="540">
        <f>SUMIFS('Live Collections'!$T:$T,'Live Collections'!$D:$D,Disbursements!B144,'Live Collections'!$G:$G,Disbursements!C144)</f>
        <v>2000000</v>
      </c>
      <c r="AM144" s="541">
        <f t="shared" si="88"/>
        <v>2100000</v>
      </c>
      <c r="AN144" s="542">
        <f t="shared" si="89"/>
        <v>0</v>
      </c>
      <c r="AO144" s="542">
        <f t="shared" si="90"/>
        <v>0</v>
      </c>
      <c r="AP144" s="543">
        <f t="shared" si="91"/>
        <v>0</v>
      </c>
      <c r="AQ144" s="544" t="str">
        <f t="shared" ca="1" si="92"/>
        <v/>
      </c>
      <c r="AR144" s="545">
        <f t="shared" ca="1" si="93"/>
        <v>0</v>
      </c>
      <c r="AS144" s="545">
        <f ca="1">IFERROR(CEILING($AR144*VLOOKUP($I144,Ref!$B$23:$E$29,4,0),1),0)</f>
        <v>0</v>
      </c>
      <c r="AT144" s="545" t="str">
        <f>IF(A144="","",IF(AP144&lt;=1,"Cleared",IF(AS144=0,"Clean",VLOOKUP($AS144,Ref!$G$23:$H$28,2))))</f>
        <v>Cleared</v>
      </c>
      <c r="AU144" s="546" t="str">
        <f t="shared" si="94"/>
        <v>Ok</v>
      </c>
    </row>
    <row r="145" spans="1:47" ht="15" customHeight="1" x14ac:dyDescent="0.15">
      <c r="A145" s="575">
        <v>44407</v>
      </c>
      <c r="B145" s="523">
        <v>150</v>
      </c>
      <c r="C145" s="523">
        <v>145</v>
      </c>
      <c r="D145" s="523">
        <v>1</v>
      </c>
      <c r="E145" s="523" t="s">
        <v>1274</v>
      </c>
      <c r="F145" s="554">
        <v>1400000</v>
      </c>
      <c r="G145" s="524">
        <v>6</v>
      </c>
      <c r="H145" s="555">
        <v>0.05</v>
      </c>
      <c r="I145" s="560" t="s">
        <v>859</v>
      </c>
      <c r="J145" s="523" t="s">
        <v>862</v>
      </c>
      <c r="K145" s="528" t="str">
        <f>IFERROR(VLOOKUP($B145,'Clients-Live'!$A:$C,3,0),"")</f>
        <v>ALOKE KENNEDY</v>
      </c>
      <c r="L145" s="528">
        <f>IF(E145="STL",Pricing!$D$38,IF(A145="",0,IF(A145&lt;Pricing!$C$25,Pricing!$D$25,VLOOKUP(Disbursements!$F145,Pricing!$B$29:$D$32,3))))</f>
        <v>10000</v>
      </c>
      <c r="M145" s="528">
        <f>IF(E145="STL",0,IF(F145&gt;0,Pricing!$D$21,0))</f>
        <v>5000</v>
      </c>
      <c r="N145" s="529">
        <f>IF(E145="STL",F145*Pricing!$D$40,IF(A145&lt;=Pricing!$C$4,0,IF(AND(A145&gt;Pricing!$C$4,Disbursements!A145&lt;=Pricing!$C$5),F145*Pricing!$E$5,IF(AND(A145&gt;Pricing!$C$5,Disbursements!A145&lt;=Pricing!$C$7),VLOOKUP(F145,Pricing!$D$7:$E$8,2)*Disbursements!F145,F145*Pricing!$E$9))))</f>
        <v>14000</v>
      </c>
      <c r="O145" s="528">
        <f>IF(E145="STL",0,IF($F145&gt;0,$F145*Pricing!$D$17,0))</f>
        <v>140000</v>
      </c>
      <c r="P145" s="530">
        <f t="shared" si="74"/>
        <v>420000</v>
      </c>
      <c r="Q145" s="531">
        <f>IF($A145="","",$G145/VLOOKUP($I145,Ref!$B$23:$D$29,2,0))</f>
        <v>6</v>
      </c>
      <c r="R145" s="530">
        <f t="shared" si="75"/>
        <v>1820000</v>
      </c>
      <c r="S145" s="532">
        <f t="shared" si="69"/>
        <v>303333.33333333331</v>
      </c>
      <c r="T145" s="531">
        <f t="shared" si="76"/>
        <v>304000</v>
      </c>
      <c r="U145" s="533">
        <f t="shared" si="77"/>
        <v>1824000</v>
      </c>
      <c r="V145" s="531">
        <f t="shared" si="78"/>
        <v>233333.33333333334</v>
      </c>
      <c r="W145" s="531">
        <f t="shared" si="79"/>
        <v>70666.666666666657</v>
      </c>
      <c r="X145" s="534">
        <f t="shared" si="80"/>
        <v>423999.99999999994</v>
      </c>
      <c r="Y145" s="535">
        <f>IF($A145="","",IF($I145="weekly",$A145+7,EDATE($A145,VLOOKUP($I145,Ref!$B$24:$C$29,2,0))))</f>
        <v>44438</v>
      </c>
      <c r="Z145" s="536" t="str">
        <f t="shared" si="81"/>
        <v>Mon</v>
      </c>
      <c r="AA145" s="531">
        <f t="shared" si="82"/>
        <v>31</v>
      </c>
      <c r="AB145" s="535">
        <f t="shared" si="70"/>
        <v>44591</v>
      </c>
      <c r="AC145" s="537">
        <f t="shared" si="71"/>
        <v>184</v>
      </c>
      <c r="AD145" s="538" t="str">
        <f t="shared" ca="1" si="72"/>
        <v>Expired</v>
      </c>
      <c r="AE145" s="537">
        <f t="shared" ca="1" si="73"/>
        <v>0</v>
      </c>
      <c r="AF145" s="539">
        <f t="shared" ca="1" si="83"/>
        <v>6</v>
      </c>
      <c r="AG145" s="531">
        <f t="shared" ca="1" si="84"/>
        <v>1824000</v>
      </c>
      <c r="AH145" s="531">
        <f t="shared" ca="1" si="85"/>
        <v>423999.99999999994</v>
      </c>
      <c r="AI145" s="531">
        <f t="shared" ca="1" si="86"/>
        <v>1400000</v>
      </c>
      <c r="AJ145" s="531">
        <f t="shared" ca="1" si="87"/>
        <v>0</v>
      </c>
      <c r="AK145" s="540">
        <f>SUMIFS('Live Collections'!$S:$S,'Live Collections'!$D:$D,Disbursements!B145,'Live Collections'!$G:$G,Disbursements!C145)</f>
        <v>150000</v>
      </c>
      <c r="AL145" s="540">
        <f>SUMIFS('Live Collections'!$T:$T,'Live Collections'!$D:$D,Disbursements!B145,'Live Collections'!$G:$G,Disbursements!C145)</f>
        <v>150000</v>
      </c>
      <c r="AM145" s="541">
        <f t="shared" si="88"/>
        <v>300000</v>
      </c>
      <c r="AN145" s="542">
        <f t="shared" si="89"/>
        <v>273999.99999999994</v>
      </c>
      <c r="AO145" s="542">
        <f t="shared" si="90"/>
        <v>1250000</v>
      </c>
      <c r="AP145" s="543">
        <f t="shared" si="91"/>
        <v>1524000</v>
      </c>
      <c r="AQ145" s="544">
        <f t="shared" ca="1" si="92"/>
        <v>1524000</v>
      </c>
      <c r="AR145" s="545">
        <f t="shared" ca="1" si="93"/>
        <v>5.0131578947368425</v>
      </c>
      <c r="AS145" s="545">
        <f ca="1">IFERROR(CEILING($AR145*VLOOKUP($I145,Ref!$B$23:$E$29,4,0),1),0)</f>
        <v>151</v>
      </c>
      <c r="AT145" s="545" t="str">
        <f ca="1">IF(A145="","",IF(AP145&lt;=1,"Cleared",IF(AS145=0,"Clean",VLOOKUP($AS145,Ref!$G$23:$H$28,2))))</f>
        <v>4.(91-365) Days</v>
      </c>
      <c r="AU145" s="546" t="str">
        <f t="shared" si="94"/>
        <v>Ok</v>
      </c>
    </row>
    <row r="146" spans="1:47" ht="15" customHeight="1" x14ac:dyDescent="0.15">
      <c r="A146" s="575">
        <v>44407</v>
      </c>
      <c r="B146" s="523">
        <v>154</v>
      </c>
      <c r="C146" s="523">
        <v>140</v>
      </c>
      <c r="D146" s="523">
        <v>1</v>
      </c>
      <c r="E146" s="523" t="s">
        <v>1274</v>
      </c>
      <c r="F146" s="554">
        <v>1800000</v>
      </c>
      <c r="G146" s="524">
        <v>6</v>
      </c>
      <c r="H146" s="555">
        <v>0.05</v>
      </c>
      <c r="I146" s="560" t="s">
        <v>859</v>
      </c>
      <c r="J146" s="523" t="s">
        <v>863</v>
      </c>
      <c r="K146" s="528" t="str">
        <f>IFERROR(VLOOKUP($B146,'Clients-Live'!$A:$C,3,0),"")</f>
        <v>ERIMU SAMSON</v>
      </c>
      <c r="L146" s="528">
        <f>IF(E146="STL",Pricing!$D$38,IF(A146="",0,IF(A146&lt;Pricing!$C$25,Pricing!$D$25,VLOOKUP(Disbursements!$F146,Pricing!$B$29:$D$32,3))))</f>
        <v>10000</v>
      </c>
      <c r="M146" s="528">
        <f>IF(E146="STL",0,IF(F146&gt;0,Pricing!$D$21,0))</f>
        <v>5000</v>
      </c>
      <c r="N146" s="529">
        <f>IF(E146="STL",F146*Pricing!$D$40,IF(A146&lt;=Pricing!$C$4,0,IF(AND(A146&gt;Pricing!$C$4,Disbursements!A146&lt;=Pricing!$C$5),F146*Pricing!$E$5,IF(AND(A146&gt;Pricing!$C$5,Disbursements!A146&lt;=Pricing!$C$7),VLOOKUP(F146,Pricing!$D$7:$E$8,2)*Disbursements!F146,F146*Pricing!$E$9))))</f>
        <v>18000</v>
      </c>
      <c r="O146" s="528">
        <f>IF(E146="STL",0,IF($F146&gt;0,$F146*Pricing!$D$17,0))</f>
        <v>180000</v>
      </c>
      <c r="P146" s="530">
        <f t="shared" si="74"/>
        <v>540000</v>
      </c>
      <c r="Q146" s="531">
        <f>IF($A146="","",$G146/VLOOKUP($I146,Ref!$B$23:$D$29,2,0))</f>
        <v>6</v>
      </c>
      <c r="R146" s="530">
        <f t="shared" si="75"/>
        <v>2340000</v>
      </c>
      <c r="S146" s="532">
        <f t="shared" si="69"/>
        <v>390000</v>
      </c>
      <c r="T146" s="531">
        <f t="shared" si="76"/>
        <v>390000</v>
      </c>
      <c r="U146" s="533">
        <f t="shared" si="77"/>
        <v>2340000</v>
      </c>
      <c r="V146" s="531">
        <f t="shared" si="78"/>
        <v>300000</v>
      </c>
      <c r="W146" s="531">
        <f t="shared" si="79"/>
        <v>90000</v>
      </c>
      <c r="X146" s="534">
        <f t="shared" si="80"/>
        <v>540000</v>
      </c>
      <c r="Y146" s="535">
        <f>IF($A146="","",IF($I146="weekly",$A146+7,EDATE($A146,VLOOKUP($I146,Ref!$B$24:$C$29,2,0))))</f>
        <v>44438</v>
      </c>
      <c r="Z146" s="536" t="str">
        <f t="shared" si="81"/>
        <v>Mon</v>
      </c>
      <c r="AA146" s="531">
        <f t="shared" si="82"/>
        <v>31</v>
      </c>
      <c r="AB146" s="535">
        <f t="shared" si="70"/>
        <v>44591</v>
      </c>
      <c r="AC146" s="537">
        <f t="shared" si="71"/>
        <v>184</v>
      </c>
      <c r="AD146" s="538" t="str">
        <f t="shared" ca="1" si="72"/>
        <v>Expired</v>
      </c>
      <c r="AE146" s="537">
        <f t="shared" ca="1" si="73"/>
        <v>0</v>
      </c>
      <c r="AF146" s="539">
        <f t="shared" ca="1" si="83"/>
        <v>6</v>
      </c>
      <c r="AG146" s="531">
        <f t="shared" ca="1" si="84"/>
        <v>2340000</v>
      </c>
      <c r="AH146" s="531">
        <f t="shared" ca="1" si="85"/>
        <v>540000</v>
      </c>
      <c r="AI146" s="531">
        <f t="shared" ca="1" si="86"/>
        <v>1800000</v>
      </c>
      <c r="AJ146" s="531">
        <f t="shared" ca="1" si="87"/>
        <v>0</v>
      </c>
      <c r="AK146" s="540">
        <f>SUMIFS('Live Collections'!$S:$S,'Live Collections'!$D:$D,Disbursements!B146,'Live Collections'!$G:$G,Disbursements!C146)</f>
        <v>305333.33333333331</v>
      </c>
      <c r="AL146" s="540">
        <f>SUMIFS('Live Collections'!$T:$T,'Live Collections'!$D:$D,Disbursements!B146,'Live Collections'!$G:$G,Disbursements!C146)</f>
        <v>824666.66666666674</v>
      </c>
      <c r="AM146" s="541">
        <f t="shared" si="88"/>
        <v>1130000</v>
      </c>
      <c r="AN146" s="542">
        <f t="shared" si="89"/>
        <v>234666.66666666669</v>
      </c>
      <c r="AO146" s="542">
        <f t="shared" si="90"/>
        <v>975333.33333333326</v>
      </c>
      <c r="AP146" s="543">
        <f t="shared" si="91"/>
        <v>1210000</v>
      </c>
      <c r="AQ146" s="544">
        <f t="shared" ca="1" si="92"/>
        <v>1210000</v>
      </c>
      <c r="AR146" s="545">
        <f t="shared" ca="1" si="93"/>
        <v>3.1025641025641026</v>
      </c>
      <c r="AS146" s="545">
        <f ca="1">IFERROR(CEILING($AR146*VLOOKUP($I146,Ref!$B$23:$E$29,4,0),1),0)</f>
        <v>94</v>
      </c>
      <c r="AT146" s="545" t="str">
        <f ca="1">IF(A146="","",IF(AP146&lt;=1,"Cleared",IF(AS146=0,"Clean",VLOOKUP($AS146,Ref!$G$23:$H$28,2))))</f>
        <v>4.(91-365) Days</v>
      </c>
      <c r="AU146" s="546" t="str">
        <f t="shared" si="94"/>
        <v>Ok</v>
      </c>
    </row>
    <row r="147" spans="1:47" ht="15" customHeight="1" x14ac:dyDescent="0.15">
      <c r="A147" s="575">
        <v>44407</v>
      </c>
      <c r="B147" s="523">
        <v>158</v>
      </c>
      <c r="C147" s="523">
        <v>144</v>
      </c>
      <c r="D147" s="523">
        <v>1</v>
      </c>
      <c r="E147" s="523" t="s">
        <v>1274</v>
      </c>
      <c r="F147" s="554">
        <v>400000</v>
      </c>
      <c r="G147" s="524">
        <v>2</v>
      </c>
      <c r="H147" s="555">
        <v>0.05</v>
      </c>
      <c r="I147" s="560" t="s">
        <v>859</v>
      </c>
      <c r="J147" s="523" t="s">
        <v>863</v>
      </c>
      <c r="K147" s="528" t="str">
        <f>IFERROR(VLOOKUP($B147,'Clients-Live'!$A:$C,3,0),"")</f>
        <v>METALORO STEPHEN</v>
      </c>
      <c r="L147" s="528">
        <f>IF(E147="STL",Pricing!$D$38,IF(A147="",0,IF(A147&lt;Pricing!$C$25,Pricing!$D$25,VLOOKUP(Disbursements!$F147,Pricing!$B$29:$D$32,3))))</f>
        <v>10000</v>
      </c>
      <c r="M147" s="528">
        <f>IF(E147="STL",0,IF(F147&gt;0,Pricing!$D$21,0))</f>
        <v>5000</v>
      </c>
      <c r="N147" s="529">
        <f>IF(E147="STL",F147*Pricing!$D$40,IF(A147&lt;=Pricing!$C$4,0,IF(AND(A147&gt;Pricing!$C$4,Disbursements!A147&lt;=Pricing!$C$5),F147*Pricing!$E$5,IF(AND(A147&gt;Pricing!$C$5,Disbursements!A147&lt;=Pricing!$C$7),VLOOKUP(F147,Pricing!$D$7:$E$8,2)*Disbursements!F147,F147*Pricing!$E$9))))</f>
        <v>4000</v>
      </c>
      <c r="O147" s="528">
        <f>IF(E147="STL",0,IF($F147&gt;0,$F147*Pricing!$D$17,0))</f>
        <v>40000</v>
      </c>
      <c r="P147" s="530">
        <f t="shared" si="74"/>
        <v>40000</v>
      </c>
      <c r="Q147" s="531">
        <f>IF($A147="","",$G147/VLOOKUP($I147,Ref!$B$23:$D$29,2,0))</f>
        <v>2</v>
      </c>
      <c r="R147" s="530">
        <f t="shared" si="75"/>
        <v>440000</v>
      </c>
      <c r="S147" s="532">
        <f t="shared" si="69"/>
        <v>220000</v>
      </c>
      <c r="T147" s="531">
        <f t="shared" si="76"/>
        <v>220000</v>
      </c>
      <c r="U147" s="533">
        <f t="shared" si="77"/>
        <v>440000</v>
      </c>
      <c r="V147" s="531">
        <f t="shared" si="78"/>
        <v>200000</v>
      </c>
      <c r="W147" s="531">
        <f t="shared" si="79"/>
        <v>20000</v>
      </c>
      <c r="X147" s="534">
        <f t="shared" si="80"/>
        <v>40000</v>
      </c>
      <c r="Y147" s="535">
        <f>IF($A147="","",IF($I147="weekly",$A147+7,EDATE($A147,VLOOKUP($I147,Ref!$B$24:$C$29,2,0))))</f>
        <v>44438</v>
      </c>
      <c r="Z147" s="536" t="str">
        <f t="shared" si="81"/>
        <v>Mon</v>
      </c>
      <c r="AA147" s="531">
        <f t="shared" si="82"/>
        <v>31</v>
      </c>
      <c r="AB147" s="535">
        <f t="shared" si="70"/>
        <v>44469</v>
      </c>
      <c r="AC147" s="537">
        <f t="shared" si="71"/>
        <v>62</v>
      </c>
      <c r="AD147" s="538" t="str">
        <f t="shared" ca="1" si="72"/>
        <v>Expired</v>
      </c>
      <c r="AE147" s="537">
        <f t="shared" ca="1" si="73"/>
        <v>0</v>
      </c>
      <c r="AF147" s="539">
        <f t="shared" ca="1" si="83"/>
        <v>2</v>
      </c>
      <c r="AG147" s="531">
        <f t="shared" ca="1" si="84"/>
        <v>440000</v>
      </c>
      <c r="AH147" s="531">
        <f t="shared" ca="1" si="85"/>
        <v>40000</v>
      </c>
      <c r="AI147" s="531">
        <f t="shared" ca="1" si="86"/>
        <v>400000</v>
      </c>
      <c r="AJ147" s="531">
        <f t="shared" ca="1" si="87"/>
        <v>0</v>
      </c>
      <c r="AK147" s="540">
        <f>SUMIFS('Live Collections'!$S:$S,'Live Collections'!$D:$D,Disbursements!B147,'Live Collections'!$G:$G,Disbursements!C147)</f>
        <v>40000</v>
      </c>
      <c r="AL147" s="540">
        <f>SUMIFS('Live Collections'!$T:$T,'Live Collections'!$D:$D,Disbursements!B147,'Live Collections'!$G:$G,Disbursements!C147)</f>
        <v>400000</v>
      </c>
      <c r="AM147" s="541">
        <f t="shared" si="88"/>
        <v>440000</v>
      </c>
      <c r="AN147" s="542">
        <f t="shared" si="89"/>
        <v>0</v>
      </c>
      <c r="AO147" s="542">
        <f t="shared" si="90"/>
        <v>0</v>
      </c>
      <c r="AP147" s="543">
        <f t="shared" si="91"/>
        <v>0</v>
      </c>
      <c r="AQ147" s="544" t="str">
        <f t="shared" ca="1" si="92"/>
        <v/>
      </c>
      <c r="AR147" s="545">
        <f t="shared" ca="1" si="93"/>
        <v>0</v>
      </c>
      <c r="AS147" s="545">
        <f ca="1">IFERROR(CEILING($AR147*VLOOKUP($I147,Ref!$B$23:$E$29,4,0),1),0)</f>
        <v>0</v>
      </c>
      <c r="AT147" s="545" t="str">
        <f>IF(A147="","",IF(AP147&lt;=1,"Cleared",IF(AS147=0,"Clean",VLOOKUP($AS147,Ref!$G$23:$H$28,2))))</f>
        <v>Cleared</v>
      </c>
      <c r="AU147" s="546" t="str">
        <f t="shared" si="94"/>
        <v>Ok</v>
      </c>
    </row>
    <row r="148" spans="1:47" ht="15" customHeight="1" x14ac:dyDescent="0.15">
      <c r="A148" s="575">
        <v>44407</v>
      </c>
      <c r="B148" s="523">
        <v>155</v>
      </c>
      <c r="C148" s="523">
        <v>143</v>
      </c>
      <c r="D148" s="523">
        <v>1</v>
      </c>
      <c r="E148" s="523" t="s">
        <v>1274</v>
      </c>
      <c r="F148" s="572">
        <v>300000</v>
      </c>
      <c r="G148" s="524">
        <v>4</v>
      </c>
      <c r="H148" s="577">
        <v>0.05</v>
      </c>
      <c r="I148" s="560" t="s">
        <v>859</v>
      </c>
      <c r="J148" s="523" t="s">
        <v>863</v>
      </c>
      <c r="K148" s="528" t="str">
        <f>IFERROR(VLOOKUP($B148,'Clients-Live'!$A:$C,3,0),"")</f>
        <v>AROMBORAC SIAMA</v>
      </c>
      <c r="L148" s="528">
        <f>IF(E148="STL",Pricing!$D$38,IF(A148="",0,IF(A148&lt;Pricing!$C$25,Pricing!$D$25,VLOOKUP(Disbursements!$F148,Pricing!$B$29:$D$32,3))))</f>
        <v>10000</v>
      </c>
      <c r="M148" s="528">
        <f>IF(E148="STL",0,IF(F148&gt;0,Pricing!$D$21,0))</f>
        <v>5000</v>
      </c>
      <c r="N148" s="529">
        <f>IF(E148="STL",F148*Pricing!$D$40,IF(A148&lt;=Pricing!$C$4,0,IF(AND(A148&gt;Pricing!$C$4,Disbursements!A148&lt;=Pricing!$C$5),F148*Pricing!$E$5,IF(AND(A148&gt;Pricing!$C$5,Disbursements!A148&lt;=Pricing!$C$7),VLOOKUP(F148,Pricing!$D$7:$E$8,2)*Disbursements!F148,F148*Pricing!$E$9))))</f>
        <v>3000</v>
      </c>
      <c r="O148" s="528">
        <f>IF(E148="STL",0,IF($F148&gt;0,$F148*Pricing!$D$17,0))</f>
        <v>30000</v>
      </c>
      <c r="P148" s="530">
        <f t="shared" si="74"/>
        <v>60000</v>
      </c>
      <c r="Q148" s="531">
        <f>IF($A148="","",$G148/VLOOKUP($I148,Ref!$B$23:$D$29,2,0))</f>
        <v>4</v>
      </c>
      <c r="R148" s="530">
        <f t="shared" si="75"/>
        <v>360000</v>
      </c>
      <c r="S148" s="532">
        <f t="shared" si="69"/>
        <v>90000</v>
      </c>
      <c r="T148" s="531">
        <f t="shared" si="76"/>
        <v>90000</v>
      </c>
      <c r="U148" s="533">
        <f t="shared" si="77"/>
        <v>360000</v>
      </c>
      <c r="V148" s="531">
        <f t="shared" si="78"/>
        <v>75000</v>
      </c>
      <c r="W148" s="531">
        <f t="shared" si="79"/>
        <v>15000</v>
      </c>
      <c r="X148" s="534">
        <f t="shared" si="80"/>
        <v>60000</v>
      </c>
      <c r="Y148" s="535">
        <f>IF($A148="","",IF($I148="weekly",$A148+7,EDATE($A148,VLOOKUP($I148,Ref!$B$24:$C$29,2,0))))</f>
        <v>44438</v>
      </c>
      <c r="Z148" s="536" t="str">
        <f t="shared" si="81"/>
        <v>Mon</v>
      </c>
      <c r="AA148" s="531">
        <f t="shared" si="82"/>
        <v>31</v>
      </c>
      <c r="AB148" s="535">
        <f t="shared" si="70"/>
        <v>44530</v>
      </c>
      <c r="AC148" s="537">
        <f t="shared" si="71"/>
        <v>123</v>
      </c>
      <c r="AD148" s="538" t="str">
        <f t="shared" ca="1" si="72"/>
        <v>Expired</v>
      </c>
      <c r="AE148" s="537">
        <f t="shared" ca="1" si="73"/>
        <v>0</v>
      </c>
      <c r="AF148" s="539">
        <f t="shared" ca="1" si="83"/>
        <v>4</v>
      </c>
      <c r="AG148" s="531">
        <f t="shared" ca="1" si="84"/>
        <v>360000</v>
      </c>
      <c r="AH148" s="531">
        <f t="shared" ca="1" si="85"/>
        <v>60000</v>
      </c>
      <c r="AI148" s="531">
        <f t="shared" ca="1" si="86"/>
        <v>300000</v>
      </c>
      <c r="AJ148" s="531">
        <f t="shared" ca="1" si="87"/>
        <v>0</v>
      </c>
      <c r="AK148" s="540">
        <f>SUMIFS('Live Collections'!$S:$S,'Live Collections'!$D:$D,Disbursements!B148,'Live Collections'!$G:$G,Disbursements!C148)</f>
        <v>60000</v>
      </c>
      <c r="AL148" s="540">
        <f>SUMIFS('Live Collections'!$T:$T,'Live Collections'!$D:$D,Disbursements!B148,'Live Collections'!$G:$G,Disbursements!C148)</f>
        <v>260000</v>
      </c>
      <c r="AM148" s="541">
        <f t="shared" si="88"/>
        <v>320000</v>
      </c>
      <c r="AN148" s="542">
        <f t="shared" si="89"/>
        <v>0</v>
      </c>
      <c r="AO148" s="542">
        <f t="shared" si="90"/>
        <v>40000</v>
      </c>
      <c r="AP148" s="543">
        <f t="shared" si="91"/>
        <v>40000</v>
      </c>
      <c r="AQ148" s="544">
        <f t="shared" ca="1" si="92"/>
        <v>40000</v>
      </c>
      <c r="AR148" s="545">
        <f t="shared" ca="1" si="93"/>
        <v>0.44444444444444442</v>
      </c>
      <c r="AS148" s="545">
        <f ca="1">IFERROR(CEILING($AR148*VLOOKUP($I148,Ref!$B$23:$E$29,4,0),1),0)</f>
        <v>14</v>
      </c>
      <c r="AT148" s="545" t="str">
        <f ca="1">IF(A148="","",IF(AP148&lt;=1,"Cleared",IF(AS148=0,"Clean",VLOOKUP($AS148,Ref!$G$23:$H$28,2))))</f>
        <v>1.(0-30) Days</v>
      </c>
      <c r="AU148" s="546" t="str">
        <f t="shared" si="94"/>
        <v>Ok</v>
      </c>
    </row>
    <row r="149" spans="1:47" ht="15" customHeight="1" x14ac:dyDescent="0.15">
      <c r="A149" s="574">
        <v>44410</v>
      </c>
      <c r="B149" s="523">
        <v>41</v>
      </c>
      <c r="C149" s="523">
        <v>147</v>
      </c>
      <c r="D149" s="523">
        <v>3</v>
      </c>
      <c r="E149" s="523" t="s">
        <v>1275</v>
      </c>
      <c r="F149" s="554">
        <v>1000000</v>
      </c>
      <c r="G149" s="524">
        <v>1</v>
      </c>
      <c r="H149" s="555">
        <v>7.4999999999999997E-2</v>
      </c>
      <c r="I149" s="560" t="s">
        <v>859</v>
      </c>
      <c r="J149" s="523" t="s">
        <v>863</v>
      </c>
      <c r="K149" s="528" t="str">
        <f>IFERROR(VLOOKUP($B149,'Clients-Live'!$A:$C,3,0),"")</f>
        <v>ANGUYO RONALD</v>
      </c>
      <c r="L149" s="528">
        <f>IF(E149="STL",Pricing!$D$38,IF(A149="",0,IF(A149&lt;Pricing!$C$25,Pricing!$D$25,VLOOKUP(Disbursements!$F149,Pricing!$B$29:$D$32,3))))</f>
        <v>20000</v>
      </c>
      <c r="M149" s="528">
        <f>IF(E149="STL",0,IF(F149&gt;0,Pricing!$D$21,0))</f>
        <v>5000</v>
      </c>
      <c r="N149" s="529">
        <f>IF(E149="STL",F149*Pricing!$D$40,IF(A149&lt;=Pricing!$C$4,0,IF(AND(A149&gt;Pricing!$C$4,Disbursements!A149&lt;=Pricing!$C$5),F149*Pricing!$E$5,IF(AND(A149&gt;Pricing!$C$5,Disbursements!A149&lt;=Pricing!$C$7),VLOOKUP(F149,Pricing!$D$7:$E$8,2)*Disbursements!F149,F149*Pricing!$E$9))))</f>
        <v>10000</v>
      </c>
      <c r="O149" s="528">
        <f>IF(E149="STL",0,IF($F149&gt;0,$F149*Pricing!$D$17,0))</f>
        <v>100000</v>
      </c>
      <c r="P149" s="530">
        <f t="shared" si="74"/>
        <v>75000</v>
      </c>
      <c r="Q149" s="531">
        <f>IF($A149="","",$G149/VLOOKUP($I149,Ref!$B$23:$D$29,2,0))</f>
        <v>1</v>
      </c>
      <c r="R149" s="530">
        <f t="shared" si="75"/>
        <v>1075000</v>
      </c>
      <c r="S149" s="532">
        <f t="shared" si="69"/>
        <v>1075000</v>
      </c>
      <c r="T149" s="531">
        <f t="shared" si="76"/>
        <v>1075000</v>
      </c>
      <c r="U149" s="533">
        <f t="shared" si="77"/>
        <v>1075000</v>
      </c>
      <c r="V149" s="531">
        <f t="shared" si="78"/>
        <v>1000000</v>
      </c>
      <c r="W149" s="531">
        <f t="shared" si="79"/>
        <v>75000</v>
      </c>
      <c r="X149" s="534">
        <f t="shared" si="80"/>
        <v>75000</v>
      </c>
      <c r="Y149" s="535">
        <f>IF($A149="","",IF($I149="weekly",$A149+7,EDATE($A149,VLOOKUP($I149,Ref!$B$24:$C$29,2,0))))</f>
        <v>44441</v>
      </c>
      <c r="Z149" s="536" t="str">
        <f t="shared" si="81"/>
        <v>Thu</v>
      </c>
      <c r="AA149" s="531">
        <f t="shared" si="82"/>
        <v>31</v>
      </c>
      <c r="AB149" s="535">
        <f t="shared" si="70"/>
        <v>44441</v>
      </c>
      <c r="AC149" s="537">
        <f t="shared" si="71"/>
        <v>31</v>
      </c>
      <c r="AD149" s="538" t="str">
        <f t="shared" ca="1" si="72"/>
        <v>Expired</v>
      </c>
      <c r="AE149" s="537">
        <f t="shared" ca="1" si="73"/>
        <v>0</v>
      </c>
      <c r="AF149" s="539">
        <f t="shared" ca="1" si="83"/>
        <v>1</v>
      </c>
      <c r="AG149" s="531">
        <f t="shared" ca="1" si="84"/>
        <v>1075000</v>
      </c>
      <c r="AH149" s="531">
        <f t="shared" ca="1" si="85"/>
        <v>75000</v>
      </c>
      <c r="AI149" s="531">
        <f t="shared" ca="1" si="86"/>
        <v>1000000</v>
      </c>
      <c r="AJ149" s="531">
        <f t="shared" ca="1" si="87"/>
        <v>0</v>
      </c>
      <c r="AK149" s="540">
        <f>SUMIFS('Live Collections'!$S:$S,'Live Collections'!$D:$D,Disbursements!B149,'Live Collections'!$G:$G,Disbursements!C149)</f>
        <v>75000</v>
      </c>
      <c r="AL149" s="540">
        <f>SUMIFS('Live Collections'!$T:$T,'Live Collections'!$D:$D,Disbursements!B149,'Live Collections'!$G:$G,Disbursements!C149)</f>
        <v>1000000</v>
      </c>
      <c r="AM149" s="541">
        <f t="shared" si="88"/>
        <v>1075000</v>
      </c>
      <c r="AN149" s="542">
        <f t="shared" si="89"/>
        <v>0</v>
      </c>
      <c r="AO149" s="542">
        <f t="shared" si="90"/>
        <v>0</v>
      </c>
      <c r="AP149" s="543">
        <f t="shared" si="91"/>
        <v>0</v>
      </c>
      <c r="AQ149" s="544" t="str">
        <f t="shared" ca="1" si="92"/>
        <v/>
      </c>
      <c r="AR149" s="545">
        <f t="shared" ca="1" si="93"/>
        <v>0</v>
      </c>
      <c r="AS149" s="545">
        <f ca="1">IFERROR(CEILING($AR149*VLOOKUP($I149,Ref!$B$23:$E$29,4,0),1),0)</f>
        <v>0</v>
      </c>
      <c r="AT149" s="545" t="str">
        <f>IF(A149="","",IF(AP149&lt;=1,"Cleared",IF(AS149=0,"Clean",VLOOKUP($AS149,Ref!$G$23:$H$28,2))))</f>
        <v>Cleared</v>
      </c>
      <c r="AU149" s="546" t="str">
        <f t="shared" si="94"/>
        <v>Ok</v>
      </c>
    </row>
    <row r="150" spans="1:47" ht="15" customHeight="1" x14ac:dyDescent="0.15">
      <c r="A150" s="574">
        <v>44410</v>
      </c>
      <c r="B150" s="523">
        <v>161</v>
      </c>
      <c r="C150" s="523">
        <v>146</v>
      </c>
      <c r="D150" s="523">
        <v>1</v>
      </c>
      <c r="E150" s="523" t="s">
        <v>1277</v>
      </c>
      <c r="F150" s="554">
        <v>5000000</v>
      </c>
      <c r="G150" s="524">
        <v>1</v>
      </c>
      <c r="H150" s="555">
        <v>7.4999999999999997E-2</v>
      </c>
      <c r="I150" s="560" t="s">
        <v>859</v>
      </c>
      <c r="J150" s="523" t="s">
        <v>864</v>
      </c>
      <c r="K150" s="528" t="str">
        <f>IFERROR(VLOOKUP($B150,'Clients-Live'!$A:$C,3,0),"")</f>
        <v>OKUYO BERNARD</v>
      </c>
      <c r="L150" s="528">
        <f>IF(E150="STL",Pricing!$D$38,IF(A150="",0,IF(A150&lt;Pricing!$C$25,Pricing!$D$25,VLOOKUP(Disbursements!$F150,Pricing!$B$29:$D$32,3))))</f>
        <v>30000</v>
      </c>
      <c r="M150" s="528">
        <f>IF(E150="STL",0,IF(F150&gt;0,Pricing!$D$21,0))</f>
        <v>5000</v>
      </c>
      <c r="N150" s="529">
        <f>IF(E150="STL",F150*Pricing!$D$40,IF(A150&lt;=Pricing!$C$4,0,IF(AND(A150&gt;Pricing!$C$4,Disbursements!A150&lt;=Pricing!$C$5),F150*Pricing!$E$5,IF(AND(A150&gt;Pricing!$C$5,Disbursements!A150&lt;=Pricing!$C$7),VLOOKUP(F150,Pricing!$D$7:$E$8,2)*Disbursements!F150,F150*Pricing!$E$9))))</f>
        <v>50000</v>
      </c>
      <c r="O150" s="528">
        <f>IF(E150="STL",0,IF($F150&gt;0,$F150*Pricing!$D$17,0))</f>
        <v>500000</v>
      </c>
      <c r="P150" s="530">
        <f t="shared" si="74"/>
        <v>375000</v>
      </c>
      <c r="Q150" s="531">
        <f>IF($A150="","",$G150/VLOOKUP($I150,Ref!$B$23:$D$29,2,0))</f>
        <v>1</v>
      </c>
      <c r="R150" s="530">
        <f t="shared" si="75"/>
        <v>5375000</v>
      </c>
      <c r="S150" s="532">
        <f t="shared" si="69"/>
        <v>5375000</v>
      </c>
      <c r="T150" s="531">
        <f t="shared" si="76"/>
        <v>5375000</v>
      </c>
      <c r="U150" s="533">
        <f t="shared" si="77"/>
        <v>5375000</v>
      </c>
      <c r="V150" s="531">
        <f t="shared" si="78"/>
        <v>5000000</v>
      </c>
      <c r="W150" s="531">
        <f t="shared" si="79"/>
        <v>375000</v>
      </c>
      <c r="X150" s="534">
        <f t="shared" si="80"/>
        <v>375000</v>
      </c>
      <c r="Y150" s="535">
        <f>IF($A150="","",IF($I150="weekly",$A150+7,EDATE($A150,VLOOKUP($I150,Ref!$B$24:$C$29,2,0))))</f>
        <v>44441</v>
      </c>
      <c r="Z150" s="536" t="str">
        <f t="shared" si="81"/>
        <v>Thu</v>
      </c>
      <c r="AA150" s="531">
        <f t="shared" si="82"/>
        <v>31</v>
      </c>
      <c r="AB150" s="535">
        <f t="shared" si="70"/>
        <v>44441</v>
      </c>
      <c r="AC150" s="537">
        <f t="shared" si="71"/>
        <v>31</v>
      </c>
      <c r="AD150" s="538" t="str">
        <f t="shared" ca="1" si="72"/>
        <v>Expired</v>
      </c>
      <c r="AE150" s="537">
        <f t="shared" ca="1" si="73"/>
        <v>0</v>
      </c>
      <c r="AF150" s="539">
        <f t="shared" ca="1" si="83"/>
        <v>1</v>
      </c>
      <c r="AG150" s="531">
        <f t="shared" ca="1" si="84"/>
        <v>5375000</v>
      </c>
      <c r="AH150" s="531">
        <f t="shared" ca="1" si="85"/>
        <v>375000</v>
      </c>
      <c r="AI150" s="531">
        <f t="shared" ca="1" si="86"/>
        <v>5000000</v>
      </c>
      <c r="AJ150" s="531">
        <f t="shared" ca="1" si="87"/>
        <v>0</v>
      </c>
      <c r="AK150" s="540">
        <f>SUMIFS('Live Collections'!$S:$S,'Live Collections'!$D:$D,Disbursements!B150,'Live Collections'!$G:$G,Disbursements!C150)</f>
        <v>375000</v>
      </c>
      <c r="AL150" s="540">
        <f>SUMIFS('Live Collections'!$T:$T,'Live Collections'!$D:$D,Disbursements!B150,'Live Collections'!$G:$G,Disbursements!C150)</f>
        <v>5000000</v>
      </c>
      <c r="AM150" s="541">
        <f t="shared" si="88"/>
        <v>5375000</v>
      </c>
      <c r="AN150" s="542">
        <f t="shared" si="89"/>
        <v>0</v>
      </c>
      <c r="AO150" s="542">
        <f t="shared" si="90"/>
        <v>0</v>
      </c>
      <c r="AP150" s="543">
        <f t="shared" si="91"/>
        <v>0</v>
      </c>
      <c r="AQ150" s="544" t="str">
        <f t="shared" ca="1" si="92"/>
        <v/>
      </c>
      <c r="AR150" s="545">
        <f t="shared" ca="1" si="93"/>
        <v>0</v>
      </c>
      <c r="AS150" s="545">
        <f ca="1">IFERROR(CEILING($AR150*VLOOKUP($I150,Ref!$B$23:$E$29,4,0),1),0)</f>
        <v>0</v>
      </c>
      <c r="AT150" s="545" t="str">
        <f>IF(A150="","",IF(AP150&lt;=1,"Cleared",IF(AS150=0,"Clean",VLOOKUP($AS150,Ref!$G$23:$H$28,2))))</f>
        <v>Cleared</v>
      </c>
      <c r="AU150" s="546" t="str">
        <f t="shared" si="94"/>
        <v>Ok</v>
      </c>
    </row>
    <row r="151" spans="1:47" ht="15" customHeight="1" x14ac:dyDescent="0.15">
      <c r="A151" s="574">
        <v>44410</v>
      </c>
      <c r="B151" s="523">
        <v>157</v>
      </c>
      <c r="C151" s="523">
        <v>148</v>
      </c>
      <c r="D151" s="523">
        <v>1</v>
      </c>
      <c r="E151" s="523" t="s">
        <v>1274</v>
      </c>
      <c r="F151" s="554">
        <v>500000</v>
      </c>
      <c r="G151" s="524">
        <v>4</v>
      </c>
      <c r="H151" s="555">
        <v>0.05</v>
      </c>
      <c r="I151" s="560" t="s">
        <v>859</v>
      </c>
      <c r="J151" s="523" t="s">
        <v>1805</v>
      </c>
      <c r="K151" s="528" t="str">
        <f>IFERROR(VLOOKUP($B151,'Clients-Live'!$A:$C,3,0),"")</f>
        <v>AYITE MARGERT</v>
      </c>
      <c r="L151" s="528">
        <f>IF(E151="STL",Pricing!$D$38,IF(A151="",0,IF(A151&lt;Pricing!$C$25,Pricing!$D$25,VLOOKUP(Disbursements!$F151,Pricing!$B$29:$D$32,3))))</f>
        <v>15000</v>
      </c>
      <c r="M151" s="528">
        <f>IF(E151="STL",0,IF(F151&gt;0,Pricing!$D$21,0))</f>
        <v>5000</v>
      </c>
      <c r="N151" s="529">
        <f>IF(E151="STL",F151*Pricing!$D$40,IF(A151&lt;=Pricing!$C$4,0,IF(AND(A151&gt;Pricing!$C$4,Disbursements!A151&lt;=Pricing!$C$5),F151*Pricing!$E$5,IF(AND(A151&gt;Pricing!$C$5,Disbursements!A151&lt;=Pricing!$C$7),VLOOKUP(F151,Pricing!$D$7:$E$8,2)*Disbursements!F151,F151*Pricing!$E$9))))</f>
        <v>5000</v>
      </c>
      <c r="O151" s="528">
        <f>IF(E151="STL",0,IF($F151&gt;0,$F151*Pricing!$D$17,0))</f>
        <v>50000</v>
      </c>
      <c r="P151" s="530">
        <f t="shared" si="74"/>
        <v>100000</v>
      </c>
      <c r="Q151" s="531">
        <f>IF($A151="","",$G151/VLOOKUP($I151,Ref!$B$23:$D$29,2,0))</f>
        <v>4</v>
      </c>
      <c r="R151" s="530">
        <f t="shared" si="75"/>
        <v>600000</v>
      </c>
      <c r="S151" s="532">
        <f t="shared" si="69"/>
        <v>150000</v>
      </c>
      <c r="T151" s="531">
        <f t="shared" si="76"/>
        <v>150000</v>
      </c>
      <c r="U151" s="533">
        <f t="shared" si="77"/>
        <v>600000</v>
      </c>
      <c r="V151" s="531">
        <f t="shared" si="78"/>
        <v>125000</v>
      </c>
      <c r="W151" s="531">
        <f t="shared" si="79"/>
        <v>25000</v>
      </c>
      <c r="X151" s="534">
        <f t="shared" si="80"/>
        <v>100000</v>
      </c>
      <c r="Y151" s="535">
        <f>IF($A151="","",IF($I151="weekly",$A151+7,EDATE($A151,VLOOKUP($I151,Ref!$B$24:$C$29,2,0))))</f>
        <v>44441</v>
      </c>
      <c r="Z151" s="536" t="str">
        <f t="shared" si="81"/>
        <v>Thu</v>
      </c>
      <c r="AA151" s="531">
        <f t="shared" si="82"/>
        <v>31</v>
      </c>
      <c r="AB151" s="535">
        <f t="shared" si="70"/>
        <v>44532</v>
      </c>
      <c r="AC151" s="537">
        <f t="shared" si="71"/>
        <v>122</v>
      </c>
      <c r="AD151" s="538" t="str">
        <f t="shared" ca="1" si="72"/>
        <v>Expired</v>
      </c>
      <c r="AE151" s="537">
        <f t="shared" ca="1" si="73"/>
        <v>0</v>
      </c>
      <c r="AF151" s="539">
        <f t="shared" ca="1" si="83"/>
        <v>4</v>
      </c>
      <c r="AG151" s="531">
        <f t="shared" ca="1" si="84"/>
        <v>600000</v>
      </c>
      <c r="AH151" s="531">
        <f t="shared" ca="1" si="85"/>
        <v>100000</v>
      </c>
      <c r="AI151" s="531">
        <f t="shared" ca="1" si="86"/>
        <v>500000</v>
      </c>
      <c r="AJ151" s="531">
        <f t="shared" ca="1" si="87"/>
        <v>0</v>
      </c>
      <c r="AK151" s="540">
        <f>SUMIFS('Live Collections'!$S:$S,'Live Collections'!$D:$D,Disbursements!B151,'Live Collections'!$G:$G,Disbursements!C151)</f>
        <v>100000</v>
      </c>
      <c r="AL151" s="540">
        <f>SUMIFS('Live Collections'!$T:$T,'Live Collections'!$D:$D,Disbursements!B151,'Live Collections'!$G:$G,Disbursements!C151)</f>
        <v>500000</v>
      </c>
      <c r="AM151" s="541">
        <f t="shared" si="88"/>
        <v>600000</v>
      </c>
      <c r="AN151" s="542">
        <f t="shared" si="89"/>
        <v>0</v>
      </c>
      <c r="AO151" s="542">
        <f t="shared" si="90"/>
        <v>0</v>
      </c>
      <c r="AP151" s="543">
        <f t="shared" si="91"/>
        <v>0</v>
      </c>
      <c r="AQ151" s="544" t="str">
        <f t="shared" ca="1" si="92"/>
        <v/>
      </c>
      <c r="AR151" s="545">
        <f t="shared" ca="1" si="93"/>
        <v>0</v>
      </c>
      <c r="AS151" s="545">
        <f ca="1">IFERROR(CEILING($AR151*VLOOKUP($I151,Ref!$B$23:$E$29,4,0),1),0)</f>
        <v>0</v>
      </c>
      <c r="AT151" s="545" t="str">
        <f>IF(A151="","",IF(AP151&lt;=1,"Cleared",IF(AS151=0,"Clean",VLOOKUP($AS151,Ref!$G$23:$H$28,2))))</f>
        <v>Cleared</v>
      </c>
      <c r="AU151" s="546" t="str">
        <f t="shared" si="94"/>
        <v>Ok</v>
      </c>
    </row>
    <row r="152" spans="1:47" ht="15" customHeight="1" x14ac:dyDescent="0.15">
      <c r="A152" s="574">
        <v>44411</v>
      </c>
      <c r="B152" s="523">
        <v>160</v>
      </c>
      <c r="C152" s="523">
        <v>151</v>
      </c>
      <c r="D152" s="523">
        <v>1</v>
      </c>
      <c r="E152" s="523" t="s">
        <v>1274</v>
      </c>
      <c r="F152" s="554">
        <v>300000</v>
      </c>
      <c r="G152" s="524">
        <v>3</v>
      </c>
      <c r="H152" s="555">
        <v>0.05</v>
      </c>
      <c r="I152" s="560" t="s">
        <v>859</v>
      </c>
      <c r="J152" s="523" t="s">
        <v>863</v>
      </c>
      <c r="K152" s="528" t="str">
        <f>IFERROR(VLOOKUP($B152,'Clients-Live'!$A:$C,3,0),"")</f>
        <v>CHANDI ZANABU</v>
      </c>
      <c r="L152" s="528">
        <f>IF(E152="STL",Pricing!$D$38,IF(A152="",0,IF(A152&lt;Pricing!$C$25,Pricing!$D$25,VLOOKUP(Disbursements!$F152,Pricing!$B$29:$D$32,3))))</f>
        <v>15000</v>
      </c>
      <c r="M152" s="528">
        <f>IF(E152="STL",0,IF(F152&gt;0,Pricing!$D$21,0))</f>
        <v>5000</v>
      </c>
      <c r="N152" s="529">
        <f>IF(E152="STL",F152*Pricing!$D$40,IF(A152&lt;=Pricing!$C$4,0,IF(AND(A152&gt;Pricing!$C$4,Disbursements!A152&lt;=Pricing!$C$5),F152*Pricing!$E$5,IF(AND(A152&gt;Pricing!$C$5,Disbursements!A152&lt;=Pricing!$C$7),VLOOKUP(F152,Pricing!$D$7:$E$8,2)*Disbursements!F152,F152*Pricing!$E$9))))</f>
        <v>3000</v>
      </c>
      <c r="O152" s="528">
        <f>IF(E152="STL",0,IF($F152&gt;0,$F152*Pricing!$D$17,0))</f>
        <v>30000</v>
      </c>
      <c r="P152" s="530">
        <f t="shared" si="74"/>
        <v>45000</v>
      </c>
      <c r="Q152" s="531">
        <f>IF($A152="","",$G152/VLOOKUP($I152,Ref!$B$23:$D$29,2,0))</f>
        <v>3</v>
      </c>
      <c r="R152" s="530">
        <f t="shared" si="75"/>
        <v>345000</v>
      </c>
      <c r="S152" s="532">
        <f t="shared" si="69"/>
        <v>115000</v>
      </c>
      <c r="T152" s="531">
        <f t="shared" si="76"/>
        <v>115000</v>
      </c>
      <c r="U152" s="533">
        <f t="shared" si="77"/>
        <v>345000</v>
      </c>
      <c r="V152" s="531">
        <f t="shared" si="78"/>
        <v>100000</v>
      </c>
      <c r="W152" s="531">
        <f t="shared" si="79"/>
        <v>15000</v>
      </c>
      <c r="X152" s="534">
        <f t="shared" si="80"/>
        <v>45000</v>
      </c>
      <c r="Y152" s="535">
        <f>IF($A152="","",IF($I152="weekly",$A152+7,EDATE($A152,VLOOKUP($I152,Ref!$B$24:$C$29,2,0))))</f>
        <v>44442</v>
      </c>
      <c r="Z152" s="536" t="str">
        <f t="shared" si="81"/>
        <v>Frid</v>
      </c>
      <c r="AA152" s="531">
        <f t="shared" si="82"/>
        <v>31</v>
      </c>
      <c r="AB152" s="535">
        <f t="shared" si="70"/>
        <v>44503</v>
      </c>
      <c r="AC152" s="537">
        <f t="shared" si="71"/>
        <v>92</v>
      </c>
      <c r="AD152" s="538" t="str">
        <f t="shared" ca="1" si="72"/>
        <v>Expired</v>
      </c>
      <c r="AE152" s="537">
        <f t="shared" ca="1" si="73"/>
        <v>0</v>
      </c>
      <c r="AF152" s="539">
        <f t="shared" ca="1" si="83"/>
        <v>3</v>
      </c>
      <c r="AG152" s="531">
        <f t="shared" ca="1" si="84"/>
        <v>345000</v>
      </c>
      <c r="AH152" s="531">
        <f t="shared" ca="1" si="85"/>
        <v>45000</v>
      </c>
      <c r="AI152" s="531">
        <f t="shared" ca="1" si="86"/>
        <v>300000</v>
      </c>
      <c r="AJ152" s="531">
        <f t="shared" ca="1" si="87"/>
        <v>0</v>
      </c>
      <c r="AK152" s="540">
        <f>SUMIFS('Live Collections'!$S:$S,'Live Collections'!$D:$D,Disbursements!B152,'Live Collections'!$G:$G,Disbursements!C152)</f>
        <v>45000</v>
      </c>
      <c r="AL152" s="540">
        <f>SUMIFS('Live Collections'!$T:$T,'Live Collections'!$D:$D,Disbursements!B152,'Live Collections'!$G:$G,Disbursements!C152)</f>
        <v>300000</v>
      </c>
      <c r="AM152" s="541">
        <f t="shared" si="88"/>
        <v>345000</v>
      </c>
      <c r="AN152" s="542">
        <f t="shared" si="89"/>
        <v>0</v>
      </c>
      <c r="AO152" s="542">
        <f t="shared" si="90"/>
        <v>0</v>
      </c>
      <c r="AP152" s="543">
        <f t="shared" si="91"/>
        <v>0</v>
      </c>
      <c r="AQ152" s="544" t="str">
        <f t="shared" ca="1" si="92"/>
        <v/>
      </c>
      <c r="AR152" s="545">
        <f t="shared" ca="1" si="93"/>
        <v>0</v>
      </c>
      <c r="AS152" s="545">
        <f ca="1">IFERROR(CEILING($AR152*VLOOKUP($I152,Ref!$B$23:$E$29,4,0),1),0)</f>
        <v>0</v>
      </c>
      <c r="AT152" s="545" t="str">
        <f>IF(A152="","",IF(AP152&lt;=1,"Cleared",IF(AS152=0,"Clean",VLOOKUP($AS152,Ref!$G$23:$H$28,2))))</f>
        <v>Cleared</v>
      </c>
      <c r="AU152" s="546" t="str">
        <f t="shared" si="94"/>
        <v>Ok</v>
      </c>
    </row>
    <row r="153" spans="1:47" s="565" customFormat="1" ht="15" customHeight="1" x14ac:dyDescent="0.15">
      <c r="A153" s="574">
        <v>44411</v>
      </c>
      <c r="B153" s="523">
        <v>156</v>
      </c>
      <c r="C153" s="523">
        <v>149</v>
      </c>
      <c r="D153" s="523">
        <v>1</v>
      </c>
      <c r="E153" s="523" t="s">
        <v>1274</v>
      </c>
      <c r="F153" s="554">
        <v>400000</v>
      </c>
      <c r="G153" s="524">
        <v>3</v>
      </c>
      <c r="H153" s="555">
        <v>0.05</v>
      </c>
      <c r="I153" s="560" t="s">
        <v>859</v>
      </c>
      <c r="J153" s="523" t="s">
        <v>863</v>
      </c>
      <c r="K153" s="528" t="str">
        <f>IFERROR(VLOOKUP($B153,'Clients-Live'!$A:$C,3,0),"")</f>
        <v xml:space="preserve">ONIBA AISHA </v>
      </c>
      <c r="L153" s="528">
        <f>IF(E153="STL",Pricing!$D$38,IF(A153="",0,IF(A153&lt;Pricing!$C$25,Pricing!$D$25,VLOOKUP(Disbursements!$F153,Pricing!$B$29:$D$32,3))))</f>
        <v>15000</v>
      </c>
      <c r="M153" s="528">
        <f>IF(E153="STL",0,IF(F153&gt;0,Pricing!$D$21,0))</f>
        <v>5000</v>
      </c>
      <c r="N153" s="529">
        <f>IF(E153="STL",F153*Pricing!$D$40,IF(A153&lt;=Pricing!$C$4,0,IF(AND(A153&gt;Pricing!$C$4,Disbursements!A153&lt;=Pricing!$C$5),F153*Pricing!$E$5,IF(AND(A153&gt;Pricing!$C$5,Disbursements!A153&lt;=Pricing!$C$7),VLOOKUP(F153,Pricing!$D$7:$E$8,2)*Disbursements!F153,F153*Pricing!$E$9))))</f>
        <v>4000</v>
      </c>
      <c r="O153" s="528">
        <f>IF(E153="STL",0,IF($F153&gt;0,$F153*Pricing!$D$17,0))</f>
        <v>40000</v>
      </c>
      <c r="P153" s="530">
        <f t="shared" si="74"/>
        <v>60000</v>
      </c>
      <c r="Q153" s="531">
        <f>IF($A153="","",$G153/VLOOKUP($I153,Ref!$B$23:$D$29,2,0))</f>
        <v>3</v>
      </c>
      <c r="R153" s="530">
        <f t="shared" si="75"/>
        <v>460000</v>
      </c>
      <c r="S153" s="532">
        <f t="shared" si="69"/>
        <v>153333.33333333334</v>
      </c>
      <c r="T153" s="531">
        <f t="shared" si="76"/>
        <v>154000</v>
      </c>
      <c r="U153" s="533">
        <f t="shared" si="77"/>
        <v>462000</v>
      </c>
      <c r="V153" s="531">
        <f t="shared" si="78"/>
        <v>133333.33333333334</v>
      </c>
      <c r="W153" s="531">
        <f t="shared" si="79"/>
        <v>20666.666666666657</v>
      </c>
      <c r="X153" s="534">
        <f t="shared" si="80"/>
        <v>61999.999999999971</v>
      </c>
      <c r="Y153" s="535">
        <f>IF($A153="","",IF($I153="weekly",$A153+7,EDATE($A153,VLOOKUP($I153,Ref!$B$24:$C$29,2,0))))</f>
        <v>44442</v>
      </c>
      <c r="Z153" s="536" t="str">
        <f t="shared" si="81"/>
        <v>Frid</v>
      </c>
      <c r="AA153" s="531">
        <f t="shared" si="82"/>
        <v>31</v>
      </c>
      <c r="AB153" s="535">
        <f t="shared" si="70"/>
        <v>44503</v>
      </c>
      <c r="AC153" s="537">
        <f t="shared" si="71"/>
        <v>92</v>
      </c>
      <c r="AD153" s="538" t="str">
        <f t="shared" ca="1" si="72"/>
        <v>Expired</v>
      </c>
      <c r="AE153" s="537">
        <f t="shared" ca="1" si="73"/>
        <v>0</v>
      </c>
      <c r="AF153" s="539">
        <f t="shared" ca="1" si="83"/>
        <v>3</v>
      </c>
      <c r="AG153" s="531">
        <f t="shared" ca="1" si="84"/>
        <v>462000</v>
      </c>
      <c r="AH153" s="531">
        <f t="shared" ca="1" si="85"/>
        <v>61999.999999999971</v>
      </c>
      <c r="AI153" s="531">
        <f t="shared" ca="1" si="86"/>
        <v>400000</v>
      </c>
      <c r="AJ153" s="531">
        <f t="shared" ca="1" si="87"/>
        <v>0</v>
      </c>
      <c r="AK153" s="540">
        <f>SUMIFS('Live Collections'!$S:$S,'Live Collections'!$D:$D,Disbursements!B153,'Live Collections'!$G:$G,Disbursements!C153)</f>
        <v>61999.999999999971</v>
      </c>
      <c r="AL153" s="540">
        <f>SUMIFS('Live Collections'!$T:$T,'Live Collections'!$D:$D,Disbursements!B153,'Live Collections'!$G:$G,Disbursements!C153)</f>
        <v>398000</v>
      </c>
      <c r="AM153" s="541">
        <f t="shared" si="88"/>
        <v>460000</v>
      </c>
      <c r="AN153" s="542">
        <f t="shared" si="89"/>
        <v>0</v>
      </c>
      <c r="AO153" s="542">
        <f t="shared" si="90"/>
        <v>2000</v>
      </c>
      <c r="AP153" s="543">
        <f t="shared" si="91"/>
        <v>2000</v>
      </c>
      <c r="AQ153" s="544">
        <f t="shared" ca="1" si="92"/>
        <v>2000</v>
      </c>
      <c r="AR153" s="545">
        <f t="shared" ca="1" si="93"/>
        <v>1.2987012987012988E-2</v>
      </c>
      <c r="AS153" s="545">
        <f ca="1">IFERROR(CEILING($AR153*VLOOKUP($I153,Ref!$B$23:$E$29,4,0),1),0)</f>
        <v>1</v>
      </c>
      <c r="AT153" s="545" t="str">
        <f ca="1">IF(A153="","",IF(AP153&lt;=1,"Cleared",IF(AS153=0,"Clean",VLOOKUP($AS153,Ref!$G$23:$H$28,2))))</f>
        <v>1.(0-30) Days</v>
      </c>
      <c r="AU153" s="546" t="str">
        <f t="shared" si="94"/>
        <v>Ok</v>
      </c>
    </row>
    <row r="154" spans="1:47" ht="15" customHeight="1" x14ac:dyDescent="0.15">
      <c r="A154" s="578">
        <v>44411</v>
      </c>
      <c r="B154" s="548">
        <v>159</v>
      </c>
      <c r="C154" s="523">
        <v>150</v>
      </c>
      <c r="D154" s="523">
        <v>1</v>
      </c>
      <c r="E154" s="523" t="s">
        <v>1274</v>
      </c>
      <c r="F154" s="549">
        <v>500000</v>
      </c>
      <c r="G154" s="563">
        <v>4</v>
      </c>
      <c r="H154" s="550">
        <v>0.05</v>
      </c>
      <c r="I154" s="562" t="s">
        <v>859</v>
      </c>
      <c r="J154" s="548" t="s">
        <v>863</v>
      </c>
      <c r="K154" s="528" t="str">
        <f>IFERROR(VLOOKUP($B154,'Clients-Live'!$A:$C,3,0),"")</f>
        <v>ALICE AMINA</v>
      </c>
      <c r="L154" s="528">
        <f>IF(E154="STL",Pricing!$D$38,IF(A154="",0,IF(A154&lt;Pricing!$C$25,Pricing!$D$25,VLOOKUP(Disbursements!$F154,Pricing!$B$29:$D$32,3))))</f>
        <v>15000</v>
      </c>
      <c r="M154" s="528">
        <f>IF(E154="STL",0,IF(F154&gt;0,Pricing!$D$21,0))</f>
        <v>5000</v>
      </c>
      <c r="N154" s="529">
        <f>IF(E154="STL",F154*Pricing!$D$40,IF(A154&lt;=Pricing!$C$4,0,IF(AND(A154&gt;Pricing!$C$4,Disbursements!A154&lt;=Pricing!$C$5),F154*Pricing!$E$5,IF(AND(A154&gt;Pricing!$C$5,Disbursements!A154&lt;=Pricing!$C$7),VLOOKUP(F154,Pricing!$D$7:$E$8,2)*Disbursements!F154,F154*Pricing!$E$9))))</f>
        <v>5000</v>
      </c>
      <c r="O154" s="528">
        <f>IF(E154="STL",0,IF($F154&gt;0,$F154*Pricing!$D$17,0))</f>
        <v>50000</v>
      </c>
      <c r="P154" s="530">
        <f t="shared" si="74"/>
        <v>100000</v>
      </c>
      <c r="Q154" s="531">
        <f>IF($A154="","",$G154/VLOOKUP($I154,Ref!$B$23:$D$29,2,0))</f>
        <v>4</v>
      </c>
      <c r="R154" s="530">
        <f t="shared" si="75"/>
        <v>600000</v>
      </c>
      <c r="S154" s="532">
        <f t="shared" si="69"/>
        <v>150000</v>
      </c>
      <c r="T154" s="531">
        <f t="shared" si="76"/>
        <v>150000</v>
      </c>
      <c r="U154" s="533">
        <f t="shared" si="77"/>
        <v>600000</v>
      </c>
      <c r="V154" s="531">
        <f t="shared" si="78"/>
        <v>125000</v>
      </c>
      <c r="W154" s="531">
        <f t="shared" si="79"/>
        <v>25000</v>
      </c>
      <c r="X154" s="534">
        <f t="shared" si="80"/>
        <v>100000</v>
      </c>
      <c r="Y154" s="535">
        <f>IF($A154="","",IF($I154="weekly",$A154+7,EDATE($A154,VLOOKUP($I154,Ref!$B$24:$C$29,2,0))))</f>
        <v>44442</v>
      </c>
      <c r="Z154" s="536" t="str">
        <f t="shared" si="81"/>
        <v>Frid</v>
      </c>
      <c r="AA154" s="531">
        <f t="shared" si="82"/>
        <v>31</v>
      </c>
      <c r="AB154" s="535">
        <f t="shared" si="70"/>
        <v>44533</v>
      </c>
      <c r="AC154" s="537">
        <f t="shared" si="71"/>
        <v>122</v>
      </c>
      <c r="AD154" s="538" t="str">
        <f t="shared" ca="1" si="72"/>
        <v>Expired</v>
      </c>
      <c r="AE154" s="537">
        <f t="shared" ca="1" si="73"/>
        <v>0</v>
      </c>
      <c r="AF154" s="539">
        <f t="shared" ca="1" si="83"/>
        <v>4</v>
      </c>
      <c r="AG154" s="531">
        <f t="shared" ca="1" si="84"/>
        <v>600000</v>
      </c>
      <c r="AH154" s="531">
        <f t="shared" ca="1" si="85"/>
        <v>100000</v>
      </c>
      <c r="AI154" s="531">
        <f t="shared" ca="1" si="86"/>
        <v>500000</v>
      </c>
      <c r="AJ154" s="531">
        <f t="shared" ca="1" si="87"/>
        <v>0</v>
      </c>
      <c r="AK154" s="540">
        <f>SUMIFS('Live Collections'!$S:$S,'Live Collections'!$D:$D,Disbursements!B154,'Live Collections'!$G:$G,Disbursements!C154)</f>
        <v>100000</v>
      </c>
      <c r="AL154" s="540">
        <f>SUMIFS('Live Collections'!$T:$T,'Live Collections'!$D:$D,Disbursements!B154,'Live Collections'!$G:$G,Disbursements!C154)</f>
        <v>500000</v>
      </c>
      <c r="AM154" s="541">
        <f t="shared" si="88"/>
        <v>600000</v>
      </c>
      <c r="AN154" s="542">
        <f t="shared" si="89"/>
        <v>0</v>
      </c>
      <c r="AO154" s="542">
        <f t="shared" si="90"/>
        <v>0</v>
      </c>
      <c r="AP154" s="543">
        <f t="shared" si="91"/>
        <v>0</v>
      </c>
      <c r="AQ154" s="544" t="str">
        <f t="shared" ca="1" si="92"/>
        <v/>
      </c>
      <c r="AR154" s="545">
        <f t="shared" ca="1" si="93"/>
        <v>0</v>
      </c>
      <c r="AS154" s="545">
        <f ca="1">IFERROR(CEILING($AR154*VLOOKUP($I154,Ref!$B$23:$E$29,4,0),1),0)</f>
        <v>0</v>
      </c>
      <c r="AT154" s="545" t="str">
        <f>IF(A154="","",IF(AP154&lt;=1,"Cleared",IF(AS154=0,"Clean",VLOOKUP($AS154,Ref!$G$23:$H$28,2))))</f>
        <v>Cleared</v>
      </c>
      <c r="AU154" s="546" t="str">
        <f t="shared" si="94"/>
        <v>Ok</v>
      </c>
    </row>
    <row r="155" spans="1:47" ht="15" customHeight="1" x14ac:dyDescent="0.15">
      <c r="A155" s="578">
        <v>44412</v>
      </c>
      <c r="B155" s="548">
        <v>19</v>
      </c>
      <c r="C155" s="523">
        <v>152</v>
      </c>
      <c r="D155" s="523">
        <v>2</v>
      </c>
      <c r="E155" s="523" t="s">
        <v>1274</v>
      </c>
      <c r="F155" s="549">
        <v>700000</v>
      </c>
      <c r="G155" s="563">
        <v>4</v>
      </c>
      <c r="H155" s="550">
        <v>0.05</v>
      </c>
      <c r="I155" s="562" t="s">
        <v>859</v>
      </c>
      <c r="J155" s="548" t="s">
        <v>863</v>
      </c>
      <c r="K155" s="528" t="str">
        <f>IFERROR(VLOOKUP($B155,'Clients-Live'!$A:$C,3,0),"")</f>
        <v>ANGUPARU MOLLY</v>
      </c>
      <c r="L155" s="528">
        <f>IF(E155="STL",Pricing!$D$38,IF(A155="",0,IF(A155&lt;Pricing!$C$25,Pricing!$D$25,VLOOKUP(Disbursements!$F155,Pricing!$B$29:$D$32,3))))</f>
        <v>20000</v>
      </c>
      <c r="M155" s="528">
        <f>IF(E155="STL",0,IF(F155&gt;0,Pricing!$D$21,0))</f>
        <v>5000</v>
      </c>
      <c r="N155" s="529">
        <f>IF(E155="STL",F155*Pricing!$D$40,IF(A155&lt;=Pricing!$C$4,0,IF(AND(A155&gt;Pricing!$C$4,Disbursements!A155&lt;=Pricing!$C$5),F155*Pricing!$E$5,IF(AND(A155&gt;Pricing!$C$5,Disbursements!A155&lt;=Pricing!$C$7),VLOOKUP(F155,Pricing!$D$7:$E$8,2)*Disbursements!F155,F155*Pricing!$E$9))))</f>
        <v>7000</v>
      </c>
      <c r="O155" s="528">
        <f>IF(E155="STL",0,IF($F155&gt;0,$F155*Pricing!$D$17,0))</f>
        <v>70000</v>
      </c>
      <c r="P155" s="530">
        <f t="shared" si="74"/>
        <v>140000</v>
      </c>
      <c r="Q155" s="531">
        <f>IF($A155="","",$G155/VLOOKUP($I155,Ref!$B$23:$D$29,2,0))</f>
        <v>4</v>
      </c>
      <c r="R155" s="530">
        <f t="shared" si="75"/>
        <v>840000</v>
      </c>
      <c r="S155" s="532">
        <f t="shared" si="69"/>
        <v>210000</v>
      </c>
      <c r="T155" s="531">
        <f t="shared" si="76"/>
        <v>210000</v>
      </c>
      <c r="U155" s="533">
        <f t="shared" si="77"/>
        <v>840000</v>
      </c>
      <c r="V155" s="531">
        <f t="shared" si="78"/>
        <v>175000</v>
      </c>
      <c r="W155" s="531">
        <f t="shared" si="79"/>
        <v>35000</v>
      </c>
      <c r="X155" s="534">
        <f t="shared" si="80"/>
        <v>140000</v>
      </c>
      <c r="Y155" s="535">
        <f>IF($A155="","",IF($I155="weekly",$A155+7,EDATE($A155,VLOOKUP($I155,Ref!$B$24:$C$29,2,0))))</f>
        <v>44443</v>
      </c>
      <c r="Z155" s="536" t="str">
        <f t="shared" si="81"/>
        <v>Sat</v>
      </c>
      <c r="AA155" s="531">
        <f t="shared" si="82"/>
        <v>31</v>
      </c>
      <c r="AB155" s="535">
        <f t="shared" si="70"/>
        <v>44534</v>
      </c>
      <c r="AC155" s="537">
        <f t="shared" si="71"/>
        <v>122</v>
      </c>
      <c r="AD155" s="538" t="str">
        <f t="shared" ca="1" si="72"/>
        <v>Expired</v>
      </c>
      <c r="AE155" s="537">
        <f t="shared" ca="1" si="73"/>
        <v>0</v>
      </c>
      <c r="AF155" s="539">
        <f t="shared" ca="1" si="83"/>
        <v>4</v>
      </c>
      <c r="AG155" s="531">
        <f t="shared" ca="1" si="84"/>
        <v>840000</v>
      </c>
      <c r="AH155" s="531">
        <f t="shared" ca="1" si="85"/>
        <v>140000</v>
      </c>
      <c r="AI155" s="531">
        <f t="shared" ca="1" si="86"/>
        <v>700000</v>
      </c>
      <c r="AJ155" s="531">
        <f t="shared" ca="1" si="87"/>
        <v>0</v>
      </c>
      <c r="AK155" s="540">
        <f>SUMIFS('Live Collections'!$S:$S,'Live Collections'!$D:$D,Disbursements!B155,'Live Collections'!$G:$G,Disbursements!C155)</f>
        <v>140000</v>
      </c>
      <c r="AL155" s="540">
        <f>SUMIFS('Live Collections'!$T:$T,'Live Collections'!$D:$D,Disbursements!B155,'Live Collections'!$G:$G,Disbursements!C155)</f>
        <v>700000</v>
      </c>
      <c r="AM155" s="541">
        <f t="shared" si="88"/>
        <v>840000</v>
      </c>
      <c r="AN155" s="542">
        <f t="shared" si="89"/>
        <v>0</v>
      </c>
      <c r="AO155" s="542">
        <f t="shared" si="90"/>
        <v>0</v>
      </c>
      <c r="AP155" s="543">
        <f t="shared" si="91"/>
        <v>0</v>
      </c>
      <c r="AQ155" s="544" t="str">
        <f t="shared" ca="1" si="92"/>
        <v/>
      </c>
      <c r="AR155" s="545">
        <f t="shared" ca="1" si="93"/>
        <v>0</v>
      </c>
      <c r="AS155" s="545">
        <f ca="1">IFERROR(CEILING($AR155*VLOOKUP($I155,Ref!$B$23:$E$29,4,0),1),0)</f>
        <v>0</v>
      </c>
      <c r="AT155" s="545" t="str">
        <f>IF(A155="","",IF(AP155&lt;=1,"Cleared",IF(AS155=0,"Clean",VLOOKUP($AS155,Ref!$G$23:$H$28,2))))</f>
        <v>Cleared</v>
      </c>
      <c r="AU155" s="546" t="str">
        <f t="shared" si="94"/>
        <v>Ok</v>
      </c>
    </row>
    <row r="156" spans="1:47" ht="15" customHeight="1" x14ac:dyDescent="0.15">
      <c r="A156" s="574">
        <v>44412</v>
      </c>
      <c r="B156" s="523">
        <v>166</v>
      </c>
      <c r="C156" s="523">
        <v>153</v>
      </c>
      <c r="D156" s="523">
        <v>1</v>
      </c>
      <c r="E156" s="523" t="s">
        <v>1274</v>
      </c>
      <c r="F156" s="554">
        <v>200000</v>
      </c>
      <c r="G156" s="524">
        <v>3</v>
      </c>
      <c r="H156" s="555">
        <v>0.05</v>
      </c>
      <c r="I156" s="560" t="s">
        <v>859</v>
      </c>
      <c r="J156" s="523" t="s">
        <v>864</v>
      </c>
      <c r="K156" s="528" t="str">
        <f>IFERROR(VLOOKUP($B156,'Clients-Live'!$A:$C,3,0),"")</f>
        <v>INJIKURU ROSE</v>
      </c>
      <c r="L156" s="528">
        <f>IF(E156="STL",Pricing!$D$38,IF(A156="",0,IF(A156&lt;Pricing!$C$25,Pricing!$D$25,VLOOKUP(Disbursements!$F156,Pricing!$B$29:$D$32,3))))</f>
        <v>15000</v>
      </c>
      <c r="M156" s="528">
        <f>IF(E156="STL",0,IF(F156&gt;0,Pricing!$D$21,0))</f>
        <v>5000</v>
      </c>
      <c r="N156" s="529">
        <f>IF(E156="STL",F156*Pricing!$D$40,IF(A156&lt;=Pricing!$C$4,0,IF(AND(A156&gt;Pricing!$C$4,Disbursements!A156&lt;=Pricing!$C$5),F156*Pricing!$E$5,IF(AND(A156&gt;Pricing!$C$5,Disbursements!A156&lt;=Pricing!$C$7),VLOOKUP(F156,Pricing!$D$7:$E$8,2)*Disbursements!F156,F156*Pricing!$E$9))))</f>
        <v>2000</v>
      </c>
      <c r="O156" s="528">
        <f>IF(E156="STL",0,IF($F156&gt;0,$F156*Pricing!$D$17,0))</f>
        <v>20000</v>
      </c>
      <c r="P156" s="530">
        <f t="shared" si="74"/>
        <v>30000</v>
      </c>
      <c r="Q156" s="531">
        <f>IF($A156="","",$G156/VLOOKUP($I156,Ref!$B$23:$D$29,2,0))</f>
        <v>3</v>
      </c>
      <c r="R156" s="530">
        <f t="shared" si="75"/>
        <v>230000</v>
      </c>
      <c r="S156" s="532">
        <f t="shared" si="69"/>
        <v>76666.666666666672</v>
      </c>
      <c r="T156" s="531">
        <f t="shared" si="76"/>
        <v>77000</v>
      </c>
      <c r="U156" s="533">
        <f t="shared" si="77"/>
        <v>231000</v>
      </c>
      <c r="V156" s="531">
        <f t="shared" si="78"/>
        <v>66666.666666666672</v>
      </c>
      <c r="W156" s="531">
        <f t="shared" si="79"/>
        <v>10333.333333333328</v>
      </c>
      <c r="X156" s="534">
        <f t="shared" si="80"/>
        <v>30999.999999999985</v>
      </c>
      <c r="Y156" s="535">
        <f>IF($A156="","",IF($I156="weekly",$A156+7,EDATE($A156,VLOOKUP($I156,Ref!$B$24:$C$29,2,0))))</f>
        <v>44443</v>
      </c>
      <c r="Z156" s="536" t="str">
        <f t="shared" si="81"/>
        <v>Sat</v>
      </c>
      <c r="AA156" s="531">
        <f t="shared" si="82"/>
        <v>31</v>
      </c>
      <c r="AB156" s="535">
        <f t="shared" si="70"/>
        <v>44504</v>
      </c>
      <c r="AC156" s="537">
        <f t="shared" si="71"/>
        <v>92</v>
      </c>
      <c r="AD156" s="538" t="str">
        <f t="shared" ca="1" si="72"/>
        <v>Expired</v>
      </c>
      <c r="AE156" s="537">
        <f t="shared" ca="1" si="73"/>
        <v>0</v>
      </c>
      <c r="AF156" s="539">
        <f t="shared" ca="1" si="83"/>
        <v>3</v>
      </c>
      <c r="AG156" s="531">
        <f t="shared" ca="1" si="84"/>
        <v>231000</v>
      </c>
      <c r="AH156" s="531">
        <f t="shared" ca="1" si="85"/>
        <v>30999.999999999985</v>
      </c>
      <c r="AI156" s="531">
        <f t="shared" ca="1" si="86"/>
        <v>200000</v>
      </c>
      <c r="AJ156" s="531">
        <f t="shared" ca="1" si="87"/>
        <v>0</v>
      </c>
      <c r="AK156" s="540">
        <f>SUMIFS('Live Collections'!$S:$S,'Live Collections'!$D:$D,Disbursements!B156,'Live Collections'!$G:$G,Disbursements!C156)</f>
        <v>30999.999999999985</v>
      </c>
      <c r="AL156" s="540">
        <f>SUMIFS('Live Collections'!$T:$T,'Live Collections'!$D:$D,Disbursements!B156,'Live Collections'!$G:$G,Disbursements!C156)</f>
        <v>76000.000000000015</v>
      </c>
      <c r="AM156" s="541">
        <f t="shared" si="88"/>
        <v>107000</v>
      </c>
      <c r="AN156" s="542">
        <f t="shared" si="89"/>
        <v>0</v>
      </c>
      <c r="AO156" s="542">
        <f t="shared" si="90"/>
        <v>123999.99999999999</v>
      </c>
      <c r="AP156" s="543">
        <f t="shared" si="91"/>
        <v>123999.99999999999</v>
      </c>
      <c r="AQ156" s="544">
        <f t="shared" ca="1" si="92"/>
        <v>123999.99999999999</v>
      </c>
      <c r="AR156" s="545">
        <f t="shared" ca="1" si="93"/>
        <v>1.6103896103896103</v>
      </c>
      <c r="AS156" s="545">
        <f ca="1">IFERROR(CEILING($AR156*VLOOKUP($I156,Ref!$B$23:$E$29,4,0),1),0)</f>
        <v>49</v>
      </c>
      <c r="AT156" s="545" t="str">
        <f ca="1">IF(A156="","",IF(AP156&lt;=1,"Cleared",IF(AS156=0,"Clean",VLOOKUP($AS156,Ref!$G$23:$H$28,2))))</f>
        <v>2.(31-60) Days</v>
      </c>
      <c r="AU156" s="546" t="str">
        <f t="shared" si="94"/>
        <v>Ok</v>
      </c>
    </row>
    <row r="157" spans="1:47" ht="15" customHeight="1" x14ac:dyDescent="0.15">
      <c r="A157" s="574">
        <v>44413</v>
      </c>
      <c r="B157" s="523">
        <v>35</v>
      </c>
      <c r="C157" s="523">
        <v>155</v>
      </c>
      <c r="D157" s="523">
        <v>2</v>
      </c>
      <c r="E157" s="523" t="s">
        <v>1274</v>
      </c>
      <c r="F157" s="554">
        <v>1000000</v>
      </c>
      <c r="G157" s="524">
        <v>5</v>
      </c>
      <c r="H157" s="555">
        <v>0.05</v>
      </c>
      <c r="I157" s="560" t="s">
        <v>859</v>
      </c>
      <c r="J157" s="523" t="s">
        <v>862</v>
      </c>
      <c r="K157" s="528" t="str">
        <f>IFERROR(VLOOKUP($B157,'Clients-Live'!$A:$C,3,0),"")</f>
        <v>ALEZUYO DOCUS</v>
      </c>
      <c r="L157" s="528">
        <f>IF(E157="STL",Pricing!$D$38,IF(A157="",0,IF(A157&lt;Pricing!$C$25,Pricing!$D$25,VLOOKUP(Disbursements!$F157,Pricing!$B$29:$D$32,3))))</f>
        <v>20000</v>
      </c>
      <c r="M157" s="528">
        <f>IF(E157="STL",0,IF(F157&gt;0,Pricing!$D$21,0))</f>
        <v>5000</v>
      </c>
      <c r="N157" s="529">
        <f>IF(E157="STL",F157*Pricing!$D$40,IF(A157&lt;=Pricing!$C$4,0,IF(AND(A157&gt;Pricing!$C$4,Disbursements!A157&lt;=Pricing!$C$5),F157*Pricing!$E$5,IF(AND(A157&gt;Pricing!$C$5,Disbursements!A157&lt;=Pricing!$C$7),VLOOKUP(F157,Pricing!$D$7:$E$8,2)*Disbursements!F157,F157*Pricing!$E$9))))</f>
        <v>10000</v>
      </c>
      <c r="O157" s="528">
        <f>IF(E157="STL",0,IF($F157&gt;0,$F157*Pricing!$D$17,0))</f>
        <v>100000</v>
      </c>
      <c r="P157" s="530">
        <f t="shared" si="74"/>
        <v>250000</v>
      </c>
      <c r="Q157" s="531">
        <f>IF($A157="","",$G157/VLOOKUP($I157,Ref!$B$23:$D$29,2,0))</f>
        <v>5</v>
      </c>
      <c r="R157" s="530">
        <f t="shared" si="75"/>
        <v>1250000</v>
      </c>
      <c r="S157" s="532">
        <f t="shared" si="69"/>
        <v>250000</v>
      </c>
      <c r="T157" s="531">
        <f t="shared" si="76"/>
        <v>250000</v>
      </c>
      <c r="U157" s="533">
        <f t="shared" si="77"/>
        <v>1250000</v>
      </c>
      <c r="V157" s="531">
        <f t="shared" si="78"/>
        <v>200000</v>
      </c>
      <c r="W157" s="531">
        <f t="shared" si="79"/>
        <v>50000</v>
      </c>
      <c r="X157" s="534">
        <f t="shared" si="80"/>
        <v>250000</v>
      </c>
      <c r="Y157" s="535">
        <f>IF($A157="","",IF($I157="weekly",$A157+7,EDATE($A157,VLOOKUP($I157,Ref!$B$24:$C$29,2,0))))</f>
        <v>44444</v>
      </c>
      <c r="Z157" s="536" t="str">
        <f t="shared" si="81"/>
        <v>Sun</v>
      </c>
      <c r="AA157" s="531">
        <f t="shared" si="82"/>
        <v>31</v>
      </c>
      <c r="AB157" s="535">
        <f t="shared" si="70"/>
        <v>44566</v>
      </c>
      <c r="AC157" s="537">
        <f t="shared" si="71"/>
        <v>153</v>
      </c>
      <c r="AD157" s="538" t="str">
        <f t="shared" ca="1" si="72"/>
        <v>Expired</v>
      </c>
      <c r="AE157" s="537">
        <f t="shared" ca="1" si="73"/>
        <v>0</v>
      </c>
      <c r="AF157" s="539">
        <f t="shared" ca="1" si="83"/>
        <v>5</v>
      </c>
      <c r="AG157" s="531">
        <f t="shared" ca="1" si="84"/>
        <v>1250000</v>
      </c>
      <c r="AH157" s="531">
        <f t="shared" ca="1" si="85"/>
        <v>250000</v>
      </c>
      <c r="AI157" s="531">
        <f t="shared" ca="1" si="86"/>
        <v>1000000</v>
      </c>
      <c r="AJ157" s="531">
        <f t="shared" ca="1" si="87"/>
        <v>0</v>
      </c>
      <c r="AK157" s="540">
        <f>SUMIFS('Live Collections'!$S:$S,'Live Collections'!$D:$D,Disbursements!B157,'Live Collections'!$G:$G,Disbursements!C157)</f>
        <v>249000</v>
      </c>
      <c r="AL157" s="540">
        <f>SUMIFS('Live Collections'!$T:$T,'Live Collections'!$D:$D,Disbursements!B157,'Live Collections'!$G:$G,Disbursements!C157)</f>
        <v>461000.00000000006</v>
      </c>
      <c r="AM157" s="541">
        <f t="shared" si="88"/>
        <v>710000</v>
      </c>
      <c r="AN157" s="542">
        <f t="shared" si="89"/>
        <v>1000</v>
      </c>
      <c r="AO157" s="542">
        <f t="shared" si="90"/>
        <v>539000</v>
      </c>
      <c r="AP157" s="543">
        <f t="shared" si="91"/>
        <v>540000</v>
      </c>
      <c r="AQ157" s="544">
        <f t="shared" ca="1" si="92"/>
        <v>540000</v>
      </c>
      <c r="AR157" s="545">
        <f t="shared" ca="1" si="93"/>
        <v>2.16</v>
      </c>
      <c r="AS157" s="545">
        <f ca="1">IFERROR(CEILING($AR157*VLOOKUP($I157,Ref!$B$23:$E$29,4,0),1),0)</f>
        <v>65</v>
      </c>
      <c r="AT157" s="545" t="str">
        <f ca="1">IF(A157="","",IF(AP157&lt;=1,"Cleared",IF(AS157=0,"Clean",VLOOKUP($AS157,Ref!$G$23:$H$28,2))))</f>
        <v>3.(61-90) Days</v>
      </c>
      <c r="AU157" s="546" t="str">
        <f t="shared" si="94"/>
        <v>Ok</v>
      </c>
    </row>
    <row r="158" spans="1:47" ht="15" customHeight="1" x14ac:dyDescent="0.15">
      <c r="A158" s="574">
        <v>44413</v>
      </c>
      <c r="B158" s="523">
        <v>171</v>
      </c>
      <c r="C158" s="523">
        <v>158</v>
      </c>
      <c r="D158" s="523">
        <v>1</v>
      </c>
      <c r="E158" s="523" t="s">
        <v>1277</v>
      </c>
      <c r="F158" s="554">
        <v>300000</v>
      </c>
      <c r="G158" s="524">
        <v>1</v>
      </c>
      <c r="H158" s="555">
        <v>7.4999999999999997E-2</v>
      </c>
      <c r="I158" s="560" t="s">
        <v>859</v>
      </c>
      <c r="J158" s="523" t="s">
        <v>864</v>
      </c>
      <c r="K158" s="528" t="str">
        <f>IFERROR(VLOOKUP($B158,'Clients-Live'!$A:$C,3,0),"")</f>
        <v>BADAKA GIFT JOEL</v>
      </c>
      <c r="L158" s="528">
        <f>IF(E158="STL",Pricing!$D$38,IF(A158="",0,IF(A158&lt;Pricing!$C$25,Pricing!$D$25,VLOOKUP(Disbursements!$F158,Pricing!$B$29:$D$32,3))))</f>
        <v>15000</v>
      </c>
      <c r="M158" s="528">
        <f>IF(E158="STL",0,IF(F158&gt;0,Pricing!$D$21,0))</f>
        <v>5000</v>
      </c>
      <c r="N158" s="529">
        <f>IF(E158="STL",F158*Pricing!$D$40,IF(A158&lt;=Pricing!$C$4,0,IF(AND(A158&gt;Pricing!$C$4,Disbursements!A158&lt;=Pricing!$C$5),F158*Pricing!$E$5,IF(AND(A158&gt;Pricing!$C$5,Disbursements!A158&lt;=Pricing!$C$7),VLOOKUP(F158,Pricing!$D$7:$E$8,2)*Disbursements!F158,F158*Pricing!$E$9))))</f>
        <v>3000</v>
      </c>
      <c r="O158" s="528">
        <f>IF(E158="STL",0,IF($F158&gt;0,$F158*Pricing!$D$17,0))</f>
        <v>30000</v>
      </c>
      <c r="P158" s="530">
        <f t="shared" si="74"/>
        <v>22500</v>
      </c>
      <c r="Q158" s="531">
        <f>IF($A158="","",$G158/VLOOKUP($I158,Ref!$B$23:$D$29,2,0))</f>
        <v>1</v>
      </c>
      <c r="R158" s="530">
        <f t="shared" si="75"/>
        <v>322500</v>
      </c>
      <c r="S158" s="532">
        <f t="shared" si="69"/>
        <v>322500</v>
      </c>
      <c r="T158" s="531">
        <f t="shared" si="76"/>
        <v>323000</v>
      </c>
      <c r="U158" s="533">
        <f t="shared" si="77"/>
        <v>323000</v>
      </c>
      <c r="V158" s="531">
        <f t="shared" si="78"/>
        <v>300000</v>
      </c>
      <c r="W158" s="531">
        <f t="shared" si="79"/>
        <v>23000</v>
      </c>
      <c r="X158" s="534">
        <f t="shared" si="80"/>
        <v>23000</v>
      </c>
      <c r="Y158" s="535">
        <f>IF($A158="","",IF($I158="weekly",$A158+7,EDATE($A158,VLOOKUP($I158,Ref!$B$24:$C$29,2,0))))</f>
        <v>44444</v>
      </c>
      <c r="Z158" s="536" t="str">
        <f t="shared" si="81"/>
        <v>Sun</v>
      </c>
      <c r="AA158" s="531">
        <f t="shared" si="82"/>
        <v>31</v>
      </c>
      <c r="AB158" s="535">
        <f t="shared" si="70"/>
        <v>44444</v>
      </c>
      <c r="AC158" s="537">
        <f t="shared" si="71"/>
        <v>31</v>
      </c>
      <c r="AD158" s="538" t="str">
        <f t="shared" ca="1" si="72"/>
        <v>Expired</v>
      </c>
      <c r="AE158" s="537">
        <f t="shared" ca="1" si="73"/>
        <v>0</v>
      </c>
      <c r="AF158" s="539">
        <f t="shared" ca="1" si="83"/>
        <v>1</v>
      </c>
      <c r="AG158" s="531">
        <f t="shared" ca="1" si="84"/>
        <v>323000</v>
      </c>
      <c r="AH158" s="531">
        <f t="shared" ca="1" si="85"/>
        <v>23000</v>
      </c>
      <c r="AI158" s="531">
        <f t="shared" ca="1" si="86"/>
        <v>300000</v>
      </c>
      <c r="AJ158" s="531">
        <f t="shared" ca="1" si="87"/>
        <v>0</v>
      </c>
      <c r="AK158" s="540">
        <f>SUMIFS('Live Collections'!$S:$S,'Live Collections'!$D:$D,Disbursements!B158,'Live Collections'!$G:$G,Disbursements!C158)</f>
        <v>23000</v>
      </c>
      <c r="AL158" s="540">
        <f>SUMIFS('Live Collections'!$T:$T,'Live Collections'!$D:$D,Disbursements!B158,'Live Collections'!$G:$G,Disbursements!C158)</f>
        <v>299500</v>
      </c>
      <c r="AM158" s="541">
        <f t="shared" si="88"/>
        <v>322500</v>
      </c>
      <c r="AN158" s="542">
        <f t="shared" si="89"/>
        <v>0</v>
      </c>
      <c r="AO158" s="542">
        <f t="shared" si="90"/>
        <v>500</v>
      </c>
      <c r="AP158" s="543">
        <f t="shared" si="91"/>
        <v>500</v>
      </c>
      <c r="AQ158" s="544">
        <f t="shared" ca="1" si="92"/>
        <v>500</v>
      </c>
      <c r="AR158" s="545">
        <f t="shared" ca="1" si="93"/>
        <v>1.5479876160990713E-3</v>
      </c>
      <c r="AS158" s="545">
        <f ca="1">IFERROR(CEILING($AR158*VLOOKUP($I158,Ref!$B$23:$E$29,4,0),1),0)</f>
        <v>1</v>
      </c>
      <c r="AT158" s="545" t="str">
        <f ca="1">IF(A158="","",IF(AP158&lt;=1,"Cleared",IF(AS158=0,"Clean",VLOOKUP($AS158,Ref!$G$23:$H$28,2))))</f>
        <v>1.(0-30) Days</v>
      </c>
      <c r="AU158" s="546" t="str">
        <f t="shared" si="94"/>
        <v>Ok</v>
      </c>
    </row>
    <row r="159" spans="1:47" ht="15" customHeight="1" x14ac:dyDescent="0.15">
      <c r="A159" s="574">
        <v>44413</v>
      </c>
      <c r="B159" s="523">
        <v>163</v>
      </c>
      <c r="C159" s="523">
        <v>156</v>
      </c>
      <c r="D159" s="523">
        <v>1</v>
      </c>
      <c r="E159" s="523" t="s">
        <v>1274</v>
      </c>
      <c r="F159" s="554">
        <v>300000</v>
      </c>
      <c r="G159" s="524">
        <v>3</v>
      </c>
      <c r="H159" s="555">
        <v>0.05</v>
      </c>
      <c r="I159" s="560" t="s">
        <v>859</v>
      </c>
      <c r="J159" s="523" t="s">
        <v>863</v>
      </c>
      <c r="K159" s="528" t="str">
        <f>IFERROR(VLOOKUP($B159,'Clients-Live'!$A:$C,3,0),"")</f>
        <v>CHANDIRU RAMULA</v>
      </c>
      <c r="L159" s="528">
        <f>IF(E159="STL",Pricing!$D$38,IF(A159="",0,IF(A159&lt;Pricing!$C$25,Pricing!$D$25,VLOOKUP(Disbursements!$F159,Pricing!$B$29:$D$32,3))))</f>
        <v>15000</v>
      </c>
      <c r="M159" s="528">
        <f>IF(E159="STL",0,IF(F159&gt;0,Pricing!$D$21,0))</f>
        <v>5000</v>
      </c>
      <c r="N159" s="529">
        <f>IF(E159="STL",F159*Pricing!$D$40,IF(A159&lt;=Pricing!$C$4,0,IF(AND(A159&gt;Pricing!$C$4,Disbursements!A159&lt;=Pricing!$C$5),F159*Pricing!$E$5,IF(AND(A159&gt;Pricing!$C$5,Disbursements!A159&lt;=Pricing!$C$7),VLOOKUP(F159,Pricing!$D$7:$E$8,2)*Disbursements!F159,F159*Pricing!$E$9))))</f>
        <v>3000</v>
      </c>
      <c r="O159" s="528">
        <f>IF(E159="STL",0,IF($F159&gt;0,$F159*Pricing!$D$17,0))</f>
        <v>30000</v>
      </c>
      <c r="P159" s="530">
        <f t="shared" si="74"/>
        <v>45000</v>
      </c>
      <c r="Q159" s="531">
        <f>IF($A159="","",$G159/VLOOKUP($I159,Ref!$B$23:$D$29,2,0))</f>
        <v>3</v>
      </c>
      <c r="R159" s="530">
        <f t="shared" si="75"/>
        <v>345000</v>
      </c>
      <c r="S159" s="532">
        <f t="shared" si="69"/>
        <v>115000</v>
      </c>
      <c r="T159" s="531">
        <f t="shared" si="76"/>
        <v>115000</v>
      </c>
      <c r="U159" s="533">
        <f t="shared" si="77"/>
        <v>345000</v>
      </c>
      <c r="V159" s="531">
        <f t="shared" si="78"/>
        <v>100000</v>
      </c>
      <c r="W159" s="531">
        <f t="shared" si="79"/>
        <v>15000</v>
      </c>
      <c r="X159" s="534">
        <f t="shared" si="80"/>
        <v>45000</v>
      </c>
      <c r="Y159" s="535">
        <f>IF($A159="","",IF($I159="weekly",$A159+7,EDATE($A159,VLOOKUP($I159,Ref!$B$24:$C$29,2,0))))</f>
        <v>44444</v>
      </c>
      <c r="Z159" s="536" t="str">
        <f t="shared" si="81"/>
        <v>Sun</v>
      </c>
      <c r="AA159" s="531">
        <f t="shared" si="82"/>
        <v>31</v>
      </c>
      <c r="AB159" s="535">
        <f t="shared" si="70"/>
        <v>44505</v>
      </c>
      <c r="AC159" s="537">
        <f t="shared" si="71"/>
        <v>92</v>
      </c>
      <c r="AD159" s="538" t="str">
        <f t="shared" ca="1" si="72"/>
        <v>Expired</v>
      </c>
      <c r="AE159" s="537">
        <f t="shared" ca="1" si="73"/>
        <v>0</v>
      </c>
      <c r="AF159" s="539">
        <f t="shared" ca="1" si="83"/>
        <v>3</v>
      </c>
      <c r="AG159" s="531">
        <f t="shared" ca="1" si="84"/>
        <v>345000</v>
      </c>
      <c r="AH159" s="531">
        <f t="shared" ca="1" si="85"/>
        <v>45000</v>
      </c>
      <c r="AI159" s="531">
        <f t="shared" ca="1" si="86"/>
        <v>300000</v>
      </c>
      <c r="AJ159" s="531">
        <f t="shared" ca="1" si="87"/>
        <v>0</v>
      </c>
      <c r="AK159" s="540">
        <f>SUMIFS('Live Collections'!$S:$S,'Live Collections'!$D:$D,Disbursements!B159,'Live Collections'!$G:$G,Disbursements!C159)</f>
        <v>45000</v>
      </c>
      <c r="AL159" s="540">
        <f>SUMIFS('Live Collections'!$T:$T,'Live Collections'!$D:$D,Disbursements!B159,'Live Collections'!$G:$G,Disbursements!C159)</f>
        <v>300000</v>
      </c>
      <c r="AM159" s="541">
        <f t="shared" si="88"/>
        <v>345000</v>
      </c>
      <c r="AN159" s="542">
        <f t="shared" si="89"/>
        <v>0</v>
      </c>
      <c r="AO159" s="542">
        <f t="shared" si="90"/>
        <v>0</v>
      </c>
      <c r="AP159" s="543">
        <f t="shared" si="91"/>
        <v>0</v>
      </c>
      <c r="AQ159" s="544" t="str">
        <f t="shared" ca="1" si="92"/>
        <v/>
      </c>
      <c r="AR159" s="545">
        <f t="shared" ca="1" si="93"/>
        <v>0</v>
      </c>
      <c r="AS159" s="545">
        <f ca="1">IFERROR(CEILING($AR159*VLOOKUP($I159,Ref!$B$23:$E$29,4,0),1),0)</f>
        <v>0</v>
      </c>
      <c r="AT159" s="545" t="str">
        <f>IF(A159="","",IF(AP159&lt;=1,"Cleared",IF(AS159=0,"Clean",VLOOKUP($AS159,Ref!$G$23:$H$28,2))))</f>
        <v>Cleared</v>
      </c>
      <c r="AU159" s="546" t="str">
        <f t="shared" si="94"/>
        <v>Ok</v>
      </c>
    </row>
    <row r="160" spans="1:47" ht="15" customHeight="1" x14ac:dyDescent="0.15">
      <c r="A160" s="574">
        <v>44413</v>
      </c>
      <c r="B160" s="523">
        <v>164</v>
      </c>
      <c r="C160" s="523">
        <v>154</v>
      </c>
      <c r="D160" s="523">
        <v>1</v>
      </c>
      <c r="E160" s="523" t="s">
        <v>1274</v>
      </c>
      <c r="F160" s="554">
        <v>2000000</v>
      </c>
      <c r="G160" s="561">
        <v>6</v>
      </c>
      <c r="H160" s="555">
        <v>0.05</v>
      </c>
      <c r="I160" s="560" t="s">
        <v>861</v>
      </c>
      <c r="J160" s="523" t="s">
        <v>864</v>
      </c>
      <c r="K160" s="528" t="str">
        <f>IFERROR(VLOOKUP($B160,'Clients-Live'!$A:$C,3,0),"")</f>
        <v>ARIKE SWAIB</v>
      </c>
      <c r="L160" s="528">
        <f>IF(E160="STL",Pricing!$D$38,IF(A160="",0,IF(A160&lt;Pricing!$C$25,Pricing!$D$25,VLOOKUP(Disbursements!$F160,Pricing!$B$29:$D$32,3))))</f>
        <v>25000</v>
      </c>
      <c r="M160" s="528">
        <f>IF(E160="STL",0,IF(F160&gt;0,Pricing!$D$21,0))</f>
        <v>5000</v>
      </c>
      <c r="N160" s="529">
        <f>IF(E160="STL",F160*Pricing!$D$40,IF(A160&lt;=Pricing!$C$4,0,IF(AND(A160&gt;Pricing!$C$4,Disbursements!A160&lt;=Pricing!$C$5),F160*Pricing!$E$5,IF(AND(A160&gt;Pricing!$C$5,Disbursements!A160&lt;=Pricing!$C$7),VLOOKUP(F160,Pricing!$D$7:$E$8,2)*Disbursements!F160,F160*Pricing!$E$9))))</f>
        <v>20000</v>
      </c>
      <c r="O160" s="528">
        <f>IF(E160="STL",0,IF($F160&gt;0,$F160*Pricing!$D$17,0))</f>
        <v>200000</v>
      </c>
      <c r="P160" s="530">
        <f t="shared" si="74"/>
        <v>600000</v>
      </c>
      <c r="Q160" s="531">
        <f>IF($A160="","",$G160/VLOOKUP($I160,Ref!$B$23:$D$29,2,0))</f>
        <v>24</v>
      </c>
      <c r="R160" s="530">
        <f t="shared" si="75"/>
        <v>2600000</v>
      </c>
      <c r="S160" s="532">
        <f t="shared" si="69"/>
        <v>108333.33333333333</v>
      </c>
      <c r="T160" s="531">
        <f t="shared" si="76"/>
        <v>109000</v>
      </c>
      <c r="U160" s="533">
        <f t="shared" si="77"/>
        <v>2616000</v>
      </c>
      <c r="V160" s="531">
        <f t="shared" si="78"/>
        <v>83333.333333333328</v>
      </c>
      <c r="W160" s="531">
        <f t="shared" si="79"/>
        <v>25666.666666666672</v>
      </c>
      <c r="X160" s="534">
        <f t="shared" si="80"/>
        <v>616000.00000000012</v>
      </c>
      <c r="Y160" s="535">
        <f>IF($A160="","",IF($I160="weekly",$A160+7,EDATE($A160,VLOOKUP($I160,Ref!$B$24:$C$29,2,0))))</f>
        <v>44420</v>
      </c>
      <c r="Z160" s="536" t="str">
        <f t="shared" si="81"/>
        <v>Thu</v>
      </c>
      <c r="AA160" s="531">
        <f t="shared" si="82"/>
        <v>7</v>
      </c>
      <c r="AB160" s="535">
        <f t="shared" si="70"/>
        <v>44597</v>
      </c>
      <c r="AC160" s="537">
        <f t="shared" si="71"/>
        <v>184</v>
      </c>
      <c r="AD160" s="538" t="str">
        <f t="shared" ca="1" si="72"/>
        <v>Expired</v>
      </c>
      <c r="AE160" s="537">
        <f t="shared" ca="1" si="73"/>
        <v>0</v>
      </c>
      <c r="AF160" s="539">
        <f t="shared" ca="1" si="83"/>
        <v>24</v>
      </c>
      <c r="AG160" s="531">
        <f t="shared" ca="1" si="84"/>
        <v>2616000</v>
      </c>
      <c r="AH160" s="531">
        <f t="shared" ca="1" si="85"/>
        <v>616000.00000000012</v>
      </c>
      <c r="AI160" s="531">
        <f t="shared" ca="1" si="86"/>
        <v>2000000</v>
      </c>
      <c r="AJ160" s="531">
        <f t="shared" ca="1" si="87"/>
        <v>0</v>
      </c>
      <c r="AK160" s="540">
        <f>SUMIFS('Live Collections'!$S:$S,'Live Collections'!$D:$D,Disbursements!B160,'Live Collections'!$G:$G,Disbursements!C160)</f>
        <v>616000.00000000012</v>
      </c>
      <c r="AL160" s="540">
        <f>SUMIFS('Live Collections'!$T:$T,'Live Collections'!$D:$D,Disbursements!B160,'Live Collections'!$G:$G,Disbursements!C160)</f>
        <v>1984000</v>
      </c>
      <c r="AM160" s="541">
        <f t="shared" si="88"/>
        <v>2600000</v>
      </c>
      <c r="AN160" s="542">
        <f t="shared" si="89"/>
        <v>0</v>
      </c>
      <c r="AO160" s="542">
        <f t="shared" si="90"/>
        <v>16000</v>
      </c>
      <c r="AP160" s="543">
        <f t="shared" si="91"/>
        <v>16000</v>
      </c>
      <c r="AQ160" s="544">
        <f t="shared" ca="1" si="92"/>
        <v>16000</v>
      </c>
      <c r="AR160" s="545">
        <f t="shared" ca="1" si="93"/>
        <v>0.14678899082568808</v>
      </c>
      <c r="AS160" s="545">
        <f ca="1">IFERROR(CEILING($AR160*VLOOKUP($I160,Ref!$B$23:$E$29,4,0),1),0)</f>
        <v>2</v>
      </c>
      <c r="AT160" s="545" t="str">
        <f ca="1">IF(A160="","",IF(AP160&lt;=1,"Cleared",IF(AS160=0,"Clean",VLOOKUP($AS160,Ref!$G$23:$H$28,2))))</f>
        <v>1.(0-30) Days</v>
      </c>
      <c r="AU160" s="546" t="str">
        <f t="shared" si="94"/>
        <v>Ok</v>
      </c>
    </row>
    <row r="161" spans="1:47" ht="15" customHeight="1" x14ac:dyDescent="0.15">
      <c r="A161" s="574">
        <v>44413</v>
      </c>
      <c r="B161" s="523">
        <v>167</v>
      </c>
      <c r="C161" s="523">
        <v>157</v>
      </c>
      <c r="D161" s="523">
        <v>1</v>
      </c>
      <c r="E161" s="523" t="s">
        <v>1274</v>
      </c>
      <c r="F161" s="554">
        <v>1000000</v>
      </c>
      <c r="G161" s="524">
        <v>6</v>
      </c>
      <c r="H161" s="555">
        <v>0.05</v>
      </c>
      <c r="I161" s="560" t="s">
        <v>859</v>
      </c>
      <c r="J161" s="523" t="s">
        <v>863</v>
      </c>
      <c r="K161" s="528" t="str">
        <f>IFERROR(VLOOKUP($B161,'Clients-Live'!$A:$C,3,0),"")</f>
        <v>DRICHA KADIJA</v>
      </c>
      <c r="L161" s="528">
        <f>IF(E161="STL",Pricing!$D$38,IF(A161="",0,IF(A161&lt;Pricing!$C$25,Pricing!$D$25,VLOOKUP(Disbursements!$F161,Pricing!$B$29:$D$32,3))))</f>
        <v>20000</v>
      </c>
      <c r="M161" s="528">
        <f>IF(E161="STL",0,IF(F161&gt;0,Pricing!$D$21,0))</f>
        <v>5000</v>
      </c>
      <c r="N161" s="529">
        <f>IF(E161="STL",F161*Pricing!$D$40,IF(A161&lt;=Pricing!$C$4,0,IF(AND(A161&gt;Pricing!$C$4,Disbursements!A161&lt;=Pricing!$C$5),F161*Pricing!$E$5,IF(AND(A161&gt;Pricing!$C$5,Disbursements!A161&lt;=Pricing!$C$7),VLOOKUP(F161,Pricing!$D$7:$E$8,2)*Disbursements!F161,F161*Pricing!$E$9))))</f>
        <v>10000</v>
      </c>
      <c r="O161" s="528">
        <f>IF(E161="STL",0,IF($F161&gt;0,$F161*Pricing!$D$17,0))</f>
        <v>100000</v>
      </c>
      <c r="P161" s="530">
        <f t="shared" si="74"/>
        <v>300000</v>
      </c>
      <c r="Q161" s="531">
        <f>IF($A161="","",$G161/VLOOKUP($I161,Ref!$B$23:$D$29,2,0))</f>
        <v>6</v>
      </c>
      <c r="R161" s="530">
        <f t="shared" si="75"/>
        <v>1300000</v>
      </c>
      <c r="S161" s="532">
        <f t="shared" si="69"/>
        <v>216666.66666666666</v>
      </c>
      <c r="T161" s="531">
        <f t="shared" si="76"/>
        <v>217000</v>
      </c>
      <c r="U161" s="533">
        <f t="shared" si="77"/>
        <v>1302000</v>
      </c>
      <c r="V161" s="531">
        <f t="shared" si="78"/>
        <v>166666.66666666666</v>
      </c>
      <c r="W161" s="531">
        <f t="shared" si="79"/>
        <v>50333.333333333343</v>
      </c>
      <c r="X161" s="534">
        <f t="shared" si="80"/>
        <v>302000.00000000006</v>
      </c>
      <c r="Y161" s="535">
        <f>IF($A161="","",IF($I161="weekly",$A161+7,EDATE($A161,VLOOKUP($I161,Ref!$B$24:$C$29,2,0))))</f>
        <v>44444</v>
      </c>
      <c r="Z161" s="536" t="str">
        <f t="shared" si="81"/>
        <v>Sun</v>
      </c>
      <c r="AA161" s="531">
        <f t="shared" si="82"/>
        <v>31</v>
      </c>
      <c r="AB161" s="535">
        <f t="shared" si="70"/>
        <v>44597</v>
      </c>
      <c r="AC161" s="537">
        <f t="shared" si="71"/>
        <v>184</v>
      </c>
      <c r="AD161" s="538" t="str">
        <f t="shared" ca="1" si="72"/>
        <v>Expired</v>
      </c>
      <c r="AE161" s="537">
        <f t="shared" ca="1" si="73"/>
        <v>0</v>
      </c>
      <c r="AF161" s="539">
        <f t="shared" ca="1" si="83"/>
        <v>6</v>
      </c>
      <c r="AG161" s="531">
        <f t="shared" ca="1" si="84"/>
        <v>1302000</v>
      </c>
      <c r="AH161" s="531">
        <f t="shared" ca="1" si="85"/>
        <v>302000.00000000006</v>
      </c>
      <c r="AI161" s="531">
        <f t="shared" ca="1" si="86"/>
        <v>1000000</v>
      </c>
      <c r="AJ161" s="531">
        <f t="shared" ca="1" si="87"/>
        <v>0</v>
      </c>
      <c r="AK161" s="540">
        <f>SUMIFS('Live Collections'!$S:$S,'Live Collections'!$D:$D,Disbursements!B161,'Live Collections'!$G:$G,Disbursements!C161)</f>
        <v>302000.00000000006</v>
      </c>
      <c r="AL161" s="540">
        <f>SUMIFS('Live Collections'!$T:$T,'Live Collections'!$D:$D,Disbursements!B161,'Live Collections'!$G:$G,Disbursements!C161)</f>
        <v>998000</v>
      </c>
      <c r="AM161" s="541">
        <f t="shared" si="88"/>
        <v>1300000</v>
      </c>
      <c r="AN161" s="542">
        <f t="shared" si="89"/>
        <v>0</v>
      </c>
      <c r="AO161" s="542">
        <f t="shared" si="90"/>
        <v>2000</v>
      </c>
      <c r="AP161" s="543">
        <f t="shared" si="91"/>
        <v>2000</v>
      </c>
      <c r="AQ161" s="544">
        <f t="shared" ca="1" si="92"/>
        <v>2000</v>
      </c>
      <c r="AR161" s="545">
        <f t="shared" ca="1" si="93"/>
        <v>9.2165898617511521E-3</v>
      </c>
      <c r="AS161" s="545">
        <f ca="1">IFERROR(CEILING($AR161*VLOOKUP($I161,Ref!$B$23:$E$29,4,0),1),0)</f>
        <v>1</v>
      </c>
      <c r="AT161" s="545" t="str">
        <f ca="1">IF(A161="","",IF(AP161&lt;=1,"Cleared",IF(AS161=0,"Clean",VLOOKUP($AS161,Ref!$G$23:$H$28,2))))</f>
        <v>1.(0-30) Days</v>
      </c>
      <c r="AU161" s="546" t="str">
        <f t="shared" si="94"/>
        <v>Ok</v>
      </c>
    </row>
    <row r="162" spans="1:47" ht="15" customHeight="1" x14ac:dyDescent="0.15">
      <c r="A162" s="574">
        <v>44414</v>
      </c>
      <c r="B162" s="523">
        <v>168</v>
      </c>
      <c r="C162" s="523">
        <v>159</v>
      </c>
      <c r="D162" s="523">
        <v>1</v>
      </c>
      <c r="E162" s="523" t="s">
        <v>1274</v>
      </c>
      <c r="F162" s="554">
        <v>5000000</v>
      </c>
      <c r="G162" s="524">
        <v>5</v>
      </c>
      <c r="H162" s="555">
        <v>0.05</v>
      </c>
      <c r="I162" s="560" t="s">
        <v>859</v>
      </c>
      <c r="J162" s="523" t="s">
        <v>864</v>
      </c>
      <c r="K162" s="528" t="str">
        <f>IFERROR(VLOOKUP($B162,'Clients-Live'!$A:$C,3,0),"")</f>
        <v>ALORO FREDERICK</v>
      </c>
      <c r="L162" s="528">
        <f>IF(E162="STL",Pricing!$D$38,IF(A162="",0,IF(A162&lt;Pricing!$C$25,Pricing!$D$25,VLOOKUP(Disbursements!$F162,Pricing!$B$29:$D$32,3))))</f>
        <v>30000</v>
      </c>
      <c r="M162" s="528">
        <f>IF(E162="STL",0,IF(F162&gt;0,Pricing!$D$21,0))</f>
        <v>5000</v>
      </c>
      <c r="N162" s="529">
        <f>IF(E162="STL",F162*Pricing!$D$40,IF(A162&lt;=Pricing!$C$4,0,IF(AND(A162&gt;Pricing!$C$4,Disbursements!A162&lt;=Pricing!$C$5),F162*Pricing!$E$5,IF(AND(A162&gt;Pricing!$C$5,Disbursements!A162&lt;=Pricing!$C$7),VLOOKUP(F162,Pricing!$D$7:$E$8,2)*Disbursements!F162,F162*Pricing!$E$9))))</f>
        <v>100000</v>
      </c>
      <c r="O162" s="528">
        <f>IF(E162="STL",0,IF($F162&gt;0,$F162*Pricing!$D$17,0))</f>
        <v>500000</v>
      </c>
      <c r="P162" s="530">
        <f t="shared" si="74"/>
        <v>1250000</v>
      </c>
      <c r="Q162" s="531">
        <f>IF($A162="","",$G162/VLOOKUP($I162,Ref!$B$23:$D$29,2,0))</f>
        <v>5</v>
      </c>
      <c r="R162" s="530">
        <f t="shared" si="75"/>
        <v>6250000</v>
      </c>
      <c r="S162" s="532">
        <f t="shared" si="69"/>
        <v>1250000</v>
      </c>
      <c r="T162" s="531">
        <f t="shared" si="76"/>
        <v>1250000</v>
      </c>
      <c r="U162" s="533">
        <f t="shared" si="77"/>
        <v>6250000</v>
      </c>
      <c r="V162" s="531">
        <f t="shared" si="78"/>
        <v>1000000</v>
      </c>
      <c r="W162" s="531">
        <f t="shared" si="79"/>
        <v>250000</v>
      </c>
      <c r="X162" s="534">
        <f t="shared" si="80"/>
        <v>1250000</v>
      </c>
      <c r="Y162" s="535">
        <f>IF($A162="","",IF($I162="weekly",$A162+7,EDATE($A162,VLOOKUP($I162,Ref!$B$24:$C$29,2,0))))</f>
        <v>44445</v>
      </c>
      <c r="Z162" s="536" t="str">
        <f t="shared" si="81"/>
        <v>Mon</v>
      </c>
      <c r="AA162" s="531">
        <f t="shared" si="82"/>
        <v>31</v>
      </c>
      <c r="AB162" s="535">
        <f t="shared" si="70"/>
        <v>44567</v>
      </c>
      <c r="AC162" s="537">
        <f t="shared" si="71"/>
        <v>153</v>
      </c>
      <c r="AD162" s="538" t="str">
        <f t="shared" ca="1" si="72"/>
        <v>Expired</v>
      </c>
      <c r="AE162" s="537">
        <f t="shared" ca="1" si="73"/>
        <v>0</v>
      </c>
      <c r="AF162" s="539">
        <f t="shared" ca="1" si="83"/>
        <v>5</v>
      </c>
      <c r="AG162" s="531">
        <f t="shared" ca="1" si="84"/>
        <v>6250000</v>
      </c>
      <c r="AH162" s="531">
        <f t="shared" ca="1" si="85"/>
        <v>1250000</v>
      </c>
      <c r="AI162" s="531">
        <f t="shared" ca="1" si="86"/>
        <v>5000000</v>
      </c>
      <c r="AJ162" s="531">
        <f t="shared" ca="1" si="87"/>
        <v>0</v>
      </c>
      <c r="AK162" s="540">
        <f>SUMIFS('Live Collections'!$S:$S,'Live Collections'!$D:$D,Disbursements!B162,'Live Collections'!$G:$G,Disbursements!C162)</f>
        <v>1250000</v>
      </c>
      <c r="AL162" s="540">
        <f>SUMIFS('Live Collections'!$T:$T,'Live Collections'!$D:$D,Disbursements!B162,'Live Collections'!$G:$G,Disbursements!C162)</f>
        <v>5000000</v>
      </c>
      <c r="AM162" s="541">
        <f t="shared" si="88"/>
        <v>6250000</v>
      </c>
      <c r="AN162" s="542">
        <f t="shared" si="89"/>
        <v>0</v>
      </c>
      <c r="AO162" s="542">
        <f t="shared" si="90"/>
        <v>0</v>
      </c>
      <c r="AP162" s="543">
        <f t="shared" si="91"/>
        <v>0</v>
      </c>
      <c r="AQ162" s="544" t="str">
        <f t="shared" ca="1" si="92"/>
        <v/>
      </c>
      <c r="AR162" s="545">
        <f t="shared" ca="1" si="93"/>
        <v>0</v>
      </c>
      <c r="AS162" s="545">
        <f ca="1">IFERROR(CEILING($AR162*VLOOKUP($I162,Ref!$B$23:$E$29,4,0),1),0)</f>
        <v>0</v>
      </c>
      <c r="AT162" s="545" t="str">
        <f>IF(A162="","",IF(AP162&lt;=1,"Cleared",IF(AS162=0,"Clean",VLOOKUP($AS162,Ref!$G$23:$H$28,2))))</f>
        <v>Cleared</v>
      </c>
      <c r="AU162" s="546" t="str">
        <f t="shared" si="94"/>
        <v>Ok</v>
      </c>
    </row>
    <row r="163" spans="1:47" ht="15" customHeight="1" x14ac:dyDescent="0.15">
      <c r="A163" s="574">
        <v>44415</v>
      </c>
      <c r="B163" s="523">
        <v>43</v>
      </c>
      <c r="C163" s="523">
        <v>160</v>
      </c>
      <c r="D163" s="523">
        <v>2</v>
      </c>
      <c r="E163" s="523" t="s">
        <v>1274</v>
      </c>
      <c r="F163" s="554">
        <v>500000</v>
      </c>
      <c r="G163" s="561">
        <v>4</v>
      </c>
      <c r="H163" s="555">
        <v>0.05</v>
      </c>
      <c r="I163" s="560" t="s">
        <v>859</v>
      </c>
      <c r="J163" s="523" t="s">
        <v>864</v>
      </c>
      <c r="K163" s="528" t="str">
        <f>IFERROR(VLOOKUP($B163,'Clients-Live'!$A:$C,3,0),"")</f>
        <v>APUNIKI LOICE</v>
      </c>
      <c r="L163" s="528">
        <f>IF(E163="STL",Pricing!$D$38,IF(A163="",0,IF(A163&lt;Pricing!$C$25,Pricing!$D$25,VLOOKUP(Disbursements!$F163,Pricing!$B$29:$D$32,3))))</f>
        <v>15000</v>
      </c>
      <c r="M163" s="528">
        <f>IF(E163="STL",0,IF(F163&gt;0,Pricing!$D$21,0))</f>
        <v>5000</v>
      </c>
      <c r="N163" s="529">
        <f>IF(E163="STL",F163*Pricing!$D$40,IF(A163&lt;=Pricing!$C$4,0,IF(AND(A163&gt;Pricing!$C$4,Disbursements!A163&lt;=Pricing!$C$5),F163*Pricing!$E$5,IF(AND(A163&gt;Pricing!$C$5,Disbursements!A163&lt;=Pricing!$C$7),VLOOKUP(F163,Pricing!$D$7:$E$8,2)*Disbursements!F163,F163*Pricing!$E$9))))</f>
        <v>5000</v>
      </c>
      <c r="O163" s="528">
        <f>IF(E163="STL",0,IF($F163&gt;0,$F163*Pricing!$D$17,0))</f>
        <v>50000</v>
      </c>
      <c r="P163" s="530">
        <f t="shared" si="74"/>
        <v>100000</v>
      </c>
      <c r="Q163" s="531">
        <f>IF($A163="","",$G163/VLOOKUP($I163,Ref!$B$23:$D$29,2,0))</f>
        <v>4</v>
      </c>
      <c r="R163" s="530">
        <f t="shared" si="75"/>
        <v>600000</v>
      </c>
      <c r="S163" s="532">
        <f t="shared" si="69"/>
        <v>150000</v>
      </c>
      <c r="T163" s="531">
        <f t="shared" si="76"/>
        <v>150000</v>
      </c>
      <c r="U163" s="533">
        <f t="shared" si="77"/>
        <v>600000</v>
      </c>
      <c r="V163" s="531">
        <f t="shared" si="78"/>
        <v>125000</v>
      </c>
      <c r="W163" s="531">
        <f t="shared" si="79"/>
        <v>25000</v>
      </c>
      <c r="X163" s="534">
        <f t="shared" si="80"/>
        <v>100000</v>
      </c>
      <c r="Y163" s="535">
        <f>IF($A163="","",IF($I163="weekly",$A163+7,EDATE($A163,VLOOKUP($I163,Ref!$B$24:$C$29,2,0))))</f>
        <v>44446</v>
      </c>
      <c r="Z163" s="536" t="str">
        <f t="shared" si="81"/>
        <v>Tue</v>
      </c>
      <c r="AA163" s="531">
        <f t="shared" si="82"/>
        <v>31</v>
      </c>
      <c r="AB163" s="535">
        <f t="shared" si="70"/>
        <v>44537</v>
      </c>
      <c r="AC163" s="537">
        <f t="shared" si="71"/>
        <v>122</v>
      </c>
      <c r="AD163" s="538" t="str">
        <f t="shared" ca="1" si="72"/>
        <v>Expired</v>
      </c>
      <c r="AE163" s="537">
        <f t="shared" ca="1" si="73"/>
        <v>0</v>
      </c>
      <c r="AF163" s="539">
        <f t="shared" ca="1" si="83"/>
        <v>4</v>
      </c>
      <c r="AG163" s="531">
        <f t="shared" ca="1" si="84"/>
        <v>600000</v>
      </c>
      <c r="AH163" s="531">
        <f t="shared" ca="1" si="85"/>
        <v>100000</v>
      </c>
      <c r="AI163" s="531">
        <f t="shared" ca="1" si="86"/>
        <v>500000</v>
      </c>
      <c r="AJ163" s="531">
        <f t="shared" ca="1" si="87"/>
        <v>0</v>
      </c>
      <c r="AK163" s="540">
        <f>SUMIFS('Live Collections'!$S:$S,'Live Collections'!$D:$D,Disbursements!B163,'Live Collections'!$G:$G,Disbursements!C163)</f>
        <v>100000</v>
      </c>
      <c r="AL163" s="540">
        <f>SUMIFS('Live Collections'!$T:$T,'Live Collections'!$D:$D,Disbursements!B163,'Live Collections'!$G:$G,Disbursements!C163)</f>
        <v>500000</v>
      </c>
      <c r="AM163" s="541">
        <f t="shared" si="88"/>
        <v>600000</v>
      </c>
      <c r="AN163" s="542">
        <f t="shared" si="89"/>
        <v>0</v>
      </c>
      <c r="AO163" s="542">
        <f t="shared" si="90"/>
        <v>0</v>
      </c>
      <c r="AP163" s="543">
        <f t="shared" si="91"/>
        <v>0</v>
      </c>
      <c r="AQ163" s="544" t="str">
        <f t="shared" ca="1" si="92"/>
        <v/>
      </c>
      <c r="AR163" s="545">
        <f t="shared" ca="1" si="93"/>
        <v>0</v>
      </c>
      <c r="AS163" s="545">
        <f ca="1">IFERROR(CEILING($AR163*VLOOKUP($I163,Ref!$B$23:$E$29,4,0),1),0)</f>
        <v>0</v>
      </c>
      <c r="AT163" s="545" t="str">
        <f>IF(A163="","",IF(AP163&lt;=1,"Cleared",IF(AS163=0,"Clean",VLOOKUP($AS163,Ref!$G$23:$H$28,2))))</f>
        <v>Cleared</v>
      </c>
      <c r="AU163" s="546" t="str">
        <f t="shared" si="94"/>
        <v>Ok</v>
      </c>
    </row>
    <row r="164" spans="1:47" ht="15" customHeight="1" x14ac:dyDescent="0.15">
      <c r="A164" s="574">
        <v>44415</v>
      </c>
      <c r="B164" s="523">
        <v>114</v>
      </c>
      <c r="C164" s="523">
        <v>161</v>
      </c>
      <c r="D164" s="523">
        <v>2</v>
      </c>
      <c r="E164" s="523" t="s">
        <v>1274</v>
      </c>
      <c r="F164" s="554">
        <v>600000</v>
      </c>
      <c r="G164" s="561">
        <v>3</v>
      </c>
      <c r="H164" s="555">
        <v>0.05</v>
      </c>
      <c r="I164" s="560" t="s">
        <v>861</v>
      </c>
      <c r="J164" s="523" t="s">
        <v>863</v>
      </c>
      <c r="K164" s="528" t="str">
        <f>IFERROR(VLOOKUP($B164,'Clients-Live'!$A:$C,3,0),"")</f>
        <v>ONZIA EMMILY</v>
      </c>
      <c r="L164" s="528">
        <f>IF(E164="STL",Pricing!$D$38,IF(A164="",0,IF(A164&lt;Pricing!$C$25,Pricing!$D$25,VLOOKUP(Disbursements!$F164,Pricing!$B$29:$D$32,3))))</f>
        <v>20000</v>
      </c>
      <c r="M164" s="528">
        <f>IF(E164="STL",0,IF(F164&gt;0,Pricing!$D$21,0))</f>
        <v>5000</v>
      </c>
      <c r="N164" s="529">
        <f>IF(E164="STL",F164*Pricing!$D$40,IF(A164&lt;=Pricing!$C$4,0,IF(AND(A164&gt;Pricing!$C$4,Disbursements!A164&lt;=Pricing!$C$5),F164*Pricing!$E$5,IF(AND(A164&gt;Pricing!$C$5,Disbursements!A164&lt;=Pricing!$C$7),VLOOKUP(F164,Pricing!$D$7:$E$8,2)*Disbursements!F164,F164*Pricing!$E$9))))</f>
        <v>6000</v>
      </c>
      <c r="O164" s="528">
        <f>IF(E164="STL",0,IF($F164&gt;0,$F164*Pricing!$D$17,0))</f>
        <v>60000</v>
      </c>
      <c r="P164" s="530">
        <f t="shared" si="74"/>
        <v>90000</v>
      </c>
      <c r="Q164" s="531">
        <f>IF($A164="","",$G164/VLOOKUP($I164,Ref!$B$23:$D$29,2,0))</f>
        <v>12</v>
      </c>
      <c r="R164" s="530">
        <f t="shared" si="75"/>
        <v>690000</v>
      </c>
      <c r="S164" s="532">
        <f t="shared" si="69"/>
        <v>57500</v>
      </c>
      <c r="T164" s="531">
        <f t="shared" si="76"/>
        <v>58000</v>
      </c>
      <c r="U164" s="533">
        <f t="shared" si="77"/>
        <v>696000</v>
      </c>
      <c r="V164" s="531">
        <f t="shared" si="78"/>
        <v>50000</v>
      </c>
      <c r="W164" s="531">
        <f t="shared" si="79"/>
        <v>8000</v>
      </c>
      <c r="X164" s="534">
        <f t="shared" si="80"/>
        <v>96000</v>
      </c>
      <c r="Y164" s="535">
        <f>IF($A164="","",IF($I164="weekly",$A164+7,EDATE($A164,VLOOKUP($I164,Ref!$B$24:$C$29,2,0))))</f>
        <v>44422</v>
      </c>
      <c r="Z164" s="536" t="str">
        <f t="shared" si="81"/>
        <v>Sat</v>
      </c>
      <c r="AA164" s="531">
        <f t="shared" si="82"/>
        <v>7</v>
      </c>
      <c r="AB164" s="535">
        <f t="shared" si="70"/>
        <v>44507</v>
      </c>
      <c r="AC164" s="537">
        <f t="shared" si="71"/>
        <v>92</v>
      </c>
      <c r="AD164" s="538" t="str">
        <f t="shared" ca="1" si="72"/>
        <v>Expired</v>
      </c>
      <c r="AE164" s="537">
        <f t="shared" ca="1" si="73"/>
        <v>0</v>
      </c>
      <c r="AF164" s="539">
        <f t="shared" ca="1" si="83"/>
        <v>12</v>
      </c>
      <c r="AG164" s="531">
        <f t="shared" ca="1" si="84"/>
        <v>696000</v>
      </c>
      <c r="AH164" s="531">
        <f t="shared" ca="1" si="85"/>
        <v>96000</v>
      </c>
      <c r="AI164" s="531">
        <f t="shared" ca="1" si="86"/>
        <v>600000</v>
      </c>
      <c r="AJ164" s="531">
        <f t="shared" ca="1" si="87"/>
        <v>0</v>
      </c>
      <c r="AK164" s="540">
        <f>SUMIFS('Live Collections'!$S:$S,'Live Collections'!$D:$D,Disbursements!B164,'Live Collections'!$G:$G,Disbursements!C164)</f>
        <v>96000</v>
      </c>
      <c r="AL164" s="540">
        <f>SUMIFS('Live Collections'!$T:$T,'Live Collections'!$D:$D,Disbursements!B164,'Live Collections'!$G:$G,Disbursements!C164)</f>
        <v>600000</v>
      </c>
      <c r="AM164" s="541">
        <f t="shared" si="88"/>
        <v>696000</v>
      </c>
      <c r="AN164" s="542">
        <f t="shared" si="89"/>
        <v>0</v>
      </c>
      <c r="AO164" s="542">
        <f t="shared" si="90"/>
        <v>0</v>
      </c>
      <c r="AP164" s="543">
        <f t="shared" si="91"/>
        <v>0</v>
      </c>
      <c r="AQ164" s="544" t="str">
        <f t="shared" ca="1" si="92"/>
        <v/>
      </c>
      <c r="AR164" s="545">
        <f t="shared" ca="1" si="93"/>
        <v>0</v>
      </c>
      <c r="AS164" s="545">
        <f ca="1">IFERROR(CEILING($AR164*VLOOKUP($I164,Ref!$B$23:$E$29,4,0),1),0)</f>
        <v>0</v>
      </c>
      <c r="AT164" s="545" t="str">
        <f>IF(A164="","",IF(AP164&lt;=1,"Cleared",IF(AS164=0,"Clean",VLOOKUP($AS164,Ref!$G$23:$H$28,2))))</f>
        <v>Cleared</v>
      </c>
      <c r="AU164" s="546" t="str">
        <f t="shared" si="94"/>
        <v>Ok</v>
      </c>
    </row>
    <row r="165" spans="1:47" ht="15" customHeight="1" x14ac:dyDescent="0.15">
      <c r="A165" s="574">
        <v>44415</v>
      </c>
      <c r="B165" s="523">
        <v>174</v>
      </c>
      <c r="C165" s="523">
        <v>162</v>
      </c>
      <c r="D165" s="523">
        <v>1</v>
      </c>
      <c r="E165" s="523" t="s">
        <v>1274</v>
      </c>
      <c r="F165" s="554">
        <v>250000</v>
      </c>
      <c r="G165" s="524">
        <v>2</v>
      </c>
      <c r="H165" s="555">
        <v>0.05</v>
      </c>
      <c r="I165" s="560" t="s">
        <v>859</v>
      </c>
      <c r="J165" s="523" t="s">
        <v>863</v>
      </c>
      <c r="K165" s="528" t="str">
        <f>IFERROR(VLOOKUP($B165,'Clients-Live'!$A:$C,3,0),"")</f>
        <v>METALORO   MOSES</v>
      </c>
      <c r="L165" s="528">
        <f>IF(E165="STL",Pricing!$D$38,IF(A165="",0,IF(A165&lt;Pricing!$C$25,Pricing!$D$25,VLOOKUP(Disbursements!$F165,Pricing!$B$29:$D$32,3))))</f>
        <v>15000</v>
      </c>
      <c r="M165" s="528">
        <f>IF(E165="STL",0,IF(F165&gt;0,Pricing!$D$21,0))</f>
        <v>5000</v>
      </c>
      <c r="N165" s="529">
        <f>IF(E165="STL",F165*Pricing!$D$40,IF(A165&lt;=Pricing!$C$4,0,IF(AND(A165&gt;Pricing!$C$4,Disbursements!A165&lt;=Pricing!$C$5),F165*Pricing!$E$5,IF(AND(A165&gt;Pricing!$C$5,Disbursements!A165&lt;=Pricing!$C$7),VLOOKUP(F165,Pricing!$D$7:$E$8,2)*Disbursements!F165,F165*Pricing!$E$9))))</f>
        <v>2500</v>
      </c>
      <c r="O165" s="528">
        <f>IF(E165="STL",0,IF($F165&gt;0,$F165*Pricing!$D$17,0))</f>
        <v>25000</v>
      </c>
      <c r="P165" s="530">
        <f t="shared" si="74"/>
        <v>25000</v>
      </c>
      <c r="Q165" s="531">
        <f>IF($A165="","",$G165/VLOOKUP($I165,Ref!$B$23:$D$29,2,0))</f>
        <v>2</v>
      </c>
      <c r="R165" s="530">
        <f t="shared" si="75"/>
        <v>275000</v>
      </c>
      <c r="S165" s="532">
        <f t="shared" si="69"/>
        <v>137500</v>
      </c>
      <c r="T165" s="531">
        <f t="shared" si="76"/>
        <v>138000</v>
      </c>
      <c r="U165" s="533">
        <f t="shared" si="77"/>
        <v>276000</v>
      </c>
      <c r="V165" s="531">
        <f t="shared" si="78"/>
        <v>125000</v>
      </c>
      <c r="W165" s="531">
        <f t="shared" si="79"/>
        <v>13000</v>
      </c>
      <c r="X165" s="534">
        <f t="shared" si="80"/>
        <v>26000</v>
      </c>
      <c r="Y165" s="535">
        <f>IF($A165="","",IF($I165="weekly",$A165+7,EDATE($A165,VLOOKUP($I165,Ref!$B$24:$C$29,2,0))))</f>
        <v>44446</v>
      </c>
      <c r="Z165" s="536" t="str">
        <f t="shared" si="81"/>
        <v>Tue</v>
      </c>
      <c r="AA165" s="531">
        <f t="shared" si="82"/>
        <v>31</v>
      </c>
      <c r="AB165" s="535">
        <f t="shared" si="70"/>
        <v>44476</v>
      </c>
      <c r="AC165" s="537">
        <f t="shared" si="71"/>
        <v>61</v>
      </c>
      <c r="AD165" s="538" t="str">
        <f t="shared" ca="1" si="72"/>
        <v>Expired</v>
      </c>
      <c r="AE165" s="537">
        <f t="shared" ca="1" si="73"/>
        <v>0</v>
      </c>
      <c r="AF165" s="539">
        <f t="shared" ca="1" si="83"/>
        <v>2</v>
      </c>
      <c r="AG165" s="531">
        <f t="shared" ca="1" si="84"/>
        <v>276000</v>
      </c>
      <c r="AH165" s="531">
        <f t="shared" ca="1" si="85"/>
        <v>26000</v>
      </c>
      <c r="AI165" s="531">
        <f t="shared" ca="1" si="86"/>
        <v>250000</v>
      </c>
      <c r="AJ165" s="531">
        <f t="shared" ca="1" si="87"/>
        <v>0</v>
      </c>
      <c r="AK165" s="540">
        <f>SUMIFS('Live Collections'!$S:$S,'Live Collections'!$D:$D,Disbursements!B165,'Live Collections'!$G:$G,Disbursements!C165)</f>
        <v>25000</v>
      </c>
      <c r="AL165" s="540">
        <f>SUMIFS('Live Collections'!$T:$T,'Live Collections'!$D:$D,Disbursements!B165,'Live Collections'!$G:$G,Disbursements!C165)</f>
        <v>250000</v>
      </c>
      <c r="AM165" s="541">
        <f t="shared" si="88"/>
        <v>275000</v>
      </c>
      <c r="AN165" s="542">
        <f t="shared" si="89"/>
        <v>1000</v>
      </c>
      <c r="AO165" s="542">
        <f t="shared" si="90"/>
        <v>0</v>
      </c>
      <c r="AP165" s="543">
        <f t="shared" si="91"/>
        <v>1000</v>
      </c>
      <c r="AQ165" s="544">
        <f t="shared" ca="1" si="92"/>
        <v>1000</v>
      </c>
      <c r="AR165" s="545">
        <f t="shared" ca="1" si="93"/>
        <v>7.246376811594203E-3</v>
      </c>
      <c r="AS165" s="545">
        <f ca="1">IFERROR(CEILING($AR165*VLOOKUP($I165,Ref!$B$23:$E$29,4,0),1),0)</f>
        <v>1</v>
      </c>
      <c r="AT165" s="545" t="str">
        <f ca="1">IF(A165="","",IF(AP165&lt;=1,"Cleared",IF(AS165=0,"Clean",VLOOKUP($AS165,Ref!$G$23:$H$28,2))))</f>
        <v>1.(0-30) Days</v>
      </c>
      <c r="AU165" s="546" t="str">
        <f t="shared" si="94"/>
        <v>Ok</v>
      </c>
    </row>
    <row r="166" spans="1:47" ht="15" customHeight="1" x14ac:dyDescent="0.15">
      <c r="A166" s="574">
        <v>44418</v>
      </c>
      <c r="B166" s="523">
        <v>165</v>
      </c>
      <c r="C166" s="523">
        <v>163</v>
      </c>
      <c r="D166" s="523">
        <v>1</v>
      </c>
      <c r="E166" s="523" t="s">
        <v>1274</v>
      </c>
      <c r="F166" s="554">
        <v>700000</v>
      </c>
      <c r="G166" s="524">
        <v>4</v>
      </c>
      <c r="H166" s="555">
        <v>0.05</v>
      </c>
      <c r="I166" s="560" t="s">
        <v>859</v>
      </c>
      <c r="J166" s="523" t="s">
        <v>864</v>
      </c>
      <c r="K166" s="528" t="str">
        <f>IFERROR(VLOOKUP($B166,'Clients-Live'!$A:$C,3,0),"")</f>
        <v>BOBOYA BRAN</v>
      </c>
      <c r="L166" s="528">
        <f>IF(E166="STL",Pricing!$D$38,IF(A166="",0,IF(A166&lt;Pricing!$C$25,Pricing!$D$25,VLOOKUP(Disbursements!$F166,Pricing!$B$29:$D$32,3))))</f>
        <v>20000</v>
      </c>
      <c r="M166" s="528">
        <f>IF(E166="STL",0,IF(F166&gt;0,Pricing!$D$21,0))</f>
        <v>5000</v>
      </c>
      <c r="N166" s="529">
        <f>IF(E166="STL",F166*Pricing!$D$40,IF(A166&lt;=Pricing!$C$4,0,IF(AND(A166&gt;Pricing!$C$4,Disbursements!A166&lt;=Pricing!$C$5),F166*Pricing!$E$5,IF(AND(A166&gt;Pricing!$C$5,Disbursements!A166&lt;=Pricing!$C$7),VLOOKUP(F166,Pricing!$D$7:$E$8,2)*Disbursements!F166,F166*Pricing!$E$9))))</f>
        <v>7000</v>
      </c>
      <c r="O166" s="528">
        <f>IF(E166="STL",0,IF($F166&gt;0,$F166*Pricing!$D$17,0))</f>
        <v>70000</v>
      </c>
      <c r="P166" s="530">
        <f t="shared" si="74"/>
        <v>140000</v>
      </c>
      <c r="Q166" s="531">
        <f>IF($A166="","",$G166/VLOOKUP($I166,Ref!$B$23:$D$29,2,0))</f>
        <v>4</v>
      </c>
      <c r="R166" s="530">
        <f t="shared" si="75"/>
        <v>840000</v>
      </c>
      <c r="S166" s="532">
        <f t="shared" si="69"/>
        <v>210000</v>
      </c>
      <c r="T166" s="531">
        <f t="shared" si="76"/>
        <v>210000</v>
      </c>
      <c r="U166" s="533">
        <f t="shared" si="77"/>
        <v>840000</v>
      </c>
      <c r="V166" s="531">
        <f t="shared" si="78"/>
        <v>175000</v>
      </c>
      <c r="W166" s="531">
        <f t="shared" si="79"/>
        <v>35000</v>
      </c>
      <c r="X166" s="534">
        <f t="shared" si="80"/>
        <v>140000</v>
      </c>
      <c r="Y166" s="535">
        <f>IF($A166="","",IF($I166="weekly",$A166+7,EDATE($A166,VLOOKUP($I166,Ref!$B$24:$C$29,2,0))))</f>
        <v>44449</v>
      </c>
      <c r="Z166" s="536" t="str">
        <f t="shared" si="81"/>
        <v>Frid</v>
      </c>
      <c r="AA166" s="531">
        <f t="shared" si="82"/>
        <v>31</v>
      </c>
      <c r="AB166" s="535">
        <f t="shared" si="70"/>
        <v>44540</v>
      </c>
      <c r="AC166" s="537">
        <f t="shared" si="71"/>
        <v>122</v>
      </c>
      <c r="AD166" s="538" t="str">
        <f t="shared" ca="1" si="72"/>
        <v>Expired</v>
      </c>
      <c r="AE166" s="537">
        <f t="shared" ca="1" si="73"/>
        <v>0</v>
      </c>
      <c r="AF166" s="539">
        <f t="shared" ca="1" si="83"/>
        <v>4</v>
      </c>
      <c r="AG166" s="531">
        <f t="shared" ca="1" si="84"/>
        <v>840000</v>
      </c>
      <c r="AH166" s="531">
        <f t="shared" ca="1" si="85"/>
        <v>140000</v>
      </c>
      <c r="AI166" s="531">
        <f t="shared" ca="1" si="86"/>
        <v>700000</v>
      </c>
      <c r="AJ166" s="531">
        <f t="shared" ca="1" si="87"/>
        <v>0</v>
      </c>
      <c r="AK166" s="540">
        <f>SUMIFS('Live Collections'!$S:$S,'Live Collections'!$D:$D,Disbursements!B166,'Live Collections'!$G:$G,Disbursements!C166)</f>
        <v>140000</v>
      </c>
      <c r="AL166" s="540">
        <f>SUMIFS('Live Collections'!$T:$T,'Live Collections'!$D:$D,Disbursements!B166,'Live Collections'!$G:$G,Disbursements!C166)</f>
        <v>380000</v>
      </c>
      <c r="AM166" s="541">
        <f t="shared" si="88"/>
        <v>520000</v>
      </c>
      <c r="AN166" s="542">
        <f t="shared" si="89"/>
        <v>0</v>
      </c>
      <c r="AO166" s="542">
        <f t="shared" si="90"/>
        <v>320000</v>
      </c>
      <c r="AP166" s="543">
        <f t="shared" si="91"/>
        <v>320000</v>
      </c>
      <c r="AQ166" s="544">
        <f t="shared" ca="1" si="92"/>
        <v>320000</v>
      </c>
      <c r="AR166" s="545">
        <f t="shared" ca="1" si="93"/>
        <v>1.5238095238095237</v>
      </c>
      <c r="AS166" s="545">
        <f ca="1">IFERROR(CEILING($AR166*VLOOKUP($I166,Ref!$B$23:$E$29,4,0),1),0)</f>
        <v>46</v>
      </c>
      <c r="AT166" s="545" t="str">
        <f ca="1">IF(A166="","",IF(AP166&lt;=1,"Cleared",IF(AS166=0,"Clean",VLOOKUP($AS166,Ref!$G$23:$H$28,2))))</f>
        <v>2.(31-60) Days</v>
      </c>
      <c r="AU166" s="546" t="str">
        <f t="shared" si="94"/>
        <v>Ok</v>
      </c>
    </row>
    <row r="167" spans="1:47" ht="15" customHeight="1" x14ac:dyDescent="0.15">
      <c r="A167" s="574">
        <v>44418</v>
      </c>
      <c r="B167" s="523">
        <v>170</v>
      </c>
      <c r="C167" s="523">
        <v>164</v>
      </c>
      <c r="D167" s="523">
        <v>1</v>
      </c>
      <c r="E167" s="523" t="s">
        <v>1274</v>
      </c>
      <c r="F167" s="554">
        <v>400000</v>
      </c>
      <c r="G167" s="524">
        <v>3</v>
      </c>
      <c r="H167" s="555">
        <v>0.05</v>
      </c>
      <c r="I167" s="560" t="s">
        <v>859</v>
      </c>
      <c r="J167" s="523" t="s">
        <v>862</v>
      </c>
      <c r="K167" s="528" t="str">
        <f>IFERROR(VLOOKUP($B167,'Clients-Live'!$A:$C,3,0),"")</f>
        <v xml:space="preserve">KABEBI RAIMA </v>
      </c>
      <c r="L167" s="528">
        <f>IF(E167="STL",Pricing!$D$38,IF(A167="",0,IF(A167&lt;Pricing!$C$25,Pricing!$D$25,VLOOKUP(Disbursements!$F167,Pricing!$B$29:$D$32,3))))</f>
        <v>15000</v>
      </c>
      <c r="M167" s="528">
        <f>IF(E167="STL",0,IF(F167&gt;0,Pricing!$D$21,0))</f>
        <v>5000</v>
      </c>
      <c r="N167" s="529">
        <f>IF(E167="STL",F167*Pricing!$D$40,IF(A167&lt;=Pricing!$C$4,0,IF(AND(A167&gt;Pricing!$C$4,Disbursements!A167&lt;=Pricing!$C$5),F167*Pricing!$E$5,IF(AND(A167&gt;Pricing!$C$5,Disbursements!A167&lt;=Pricing!$C$7),VLOOKUP(F167,Pricing!$D$7:$E$8,2)*Disbursements!F167,F167*Pricing!$E$9))))</f>
        <v>4000</v>
      </c>
      <c r="O167" s="528">
        <f>IF(E167="STL",0,IF($F167&gt;0,$F167*Pricing!$D$17,0))</f>
        <v>40000</v>
      </c>
      <c r="P167" s="530">
        <f t="shared" si="74"/>
        <v>60000</v>
      </c>
      <c r="Q167" s="531">
        <f>IF($A167="","",$G167/VLOOKUP($I167,Ref!$B$23:$D$29,2,0))</f>
        <v>3</v>
      </c>
      <c r="R167" s="530">
        <f t="shared" si="75"/>
        <v>460000</v>
      </c>
      <c r="S167" s="532">
        <f t="shared" si="69"/>
        <v>153333.33333333334</v>
      </c>
      <c r="T167" s="531">
        <f t="shared" si="76"/>
        <v>154000</v>
      </c>
      <c r="U167" s="533">
        <f t="shared" si="77"/>
        <v>462000</v>
      </c>
      <c r="V167" s="531">
        <f t="shared" si="78"/>
        <v>133333.33333333334</v>
      </c>
      <c r="W167" s="531">
        <f t="shared" si="79"/>
        <v>20666.666666666657</v>
      </c>
      <c r="X167" s="534">
        <f t="shared" si="80"/>
        <v>61999.999999999971</v>
      </c>
      <c r="Y167" s="535">
        <f>IF($A167="","",IF($I167="weekly",$A167+7,EDATE($A167,VLOOKUP($I167,Ref!$B$24:$C$29,2,0))))</f>
        <v>44449</v>
      </c>
      <c r="Z167" s="536" t="str">
        <f t="shared" si="81"/>
        <v>Frid</v>
      </c>
      <c r="AA167" s="531">
        <f t="shared" si="82"/>
        <v>31</v>
      </c>
      <c r="AB167" s="535">
        <f t="shared" si="70"/>
        <v>44510</v>
      </c>
      <c r="AC167" s="537">
        <f t="shared" si="71"/>
        <v>92</v>
      </c>
      <c r="AD167" s="538" t="str">
        <f t="shared" ca="1" si="72"/>
        <v>Expired</v>
      </c>
      <c r="AE167" s="537">
        <f t="shared" ca="1" si="73"/>
        <v>0</v>
      </c>
      <c r="AF167" s="539">
        <f t="shared" ca="1" si="83"/>
        <v>3</v>
      </c>
      <c r="AG167" s="531">
        <f t="shared" ca="1" si="84"/>
        <v>462000</v>
      </c>
      <c r="AH167" s="531">
        <f t="shared" ca="1" si="85"/>
        <v>61999.999999999971</v>
      </c>
      <c r="AI167" s="531">
        <f t="shared" ca="1" si="86"/>
        <v>400000</v>
      </c>
      <c r="AJ167" s="531">
        <f t="shared" ca="1" si="87"/>
        <v>0</v>
      </c>
      <c r="AK167" s="540">
        <f>SUMIFS('Live Collections'!$S:$S,'Live Collections'!$D:$D,Disbursements!B167,'Live Collections'!$G:$G,Disbursements!C167)</f>
        <v>61999.999999999971</v>
      </c>
      <c r="AL167" s="540">
        <f>SUMIFS('Live Collections'!$T:$T,'Live Collections'!$D:$D,Disbursements!B167,'Live Collections'!$G:$G,Disbursements!C167)</f>
        <v>400000</v>
      </c>
      <c r="AM167" s="541">
        <f t="shared" si="88"/>
        <v>462000</v>
      </c>
      <c r="AN167" s="542">
        <f t="shared" si="89"/>
        <v>0</v>
      </c>
      <c r="AO167" s="542">
        <f t="shared" si="90"/>
        <v>0</v>
      </c>
      <c r="AP167" s="543">
        <f t="shared" si="91"/>
        <v>0</v>
      </c>
      <c r="AQ167" s="544" t="str">
        <f t="shared" ca="1" si="92"/>
        <v/>
      </c>
      <c r="AR167" s="545">
        <f t="shared" ca="1" si="93"/>
        <v>0</v>
      </c>
      <c r="AS167" s="545">
        <f ca="1">IFERROR(CEILING($AR167*VLOOKUP($I167,Ref!$B$23:$E$29,4,0),1),0)</f>
        <v>0</v>
      </c>
      <c r="AT167" s="545" t="str">
        <f>IF(A167="","",IF(AP167&lt;=1,"Cleared",IF(AS167=0,"Clean",VLOOKUP($AS167,Ref!$G$23:$H$28,2))))</f>
        <v>Cleared</v>
      </c>
      <c r="AU167" s="546" t="str">
        <f t="shared" si="94"/>
        <v>Ok</v>
      </c>
    </row>
    <row r="168" spans="1:47" ht="15" customHeight="1" x14ac:dyDescent="0.15">
      <c r="A168" s="574">
        <v>44418</v>
      </c>
      <c r="B168" s="523">
        <v>175</v>
      </c>
      <c r="C168" s="523">
        <v>166</v>
      </c>
      <c r="D168" s="523">
        <v>1</v>
      </c>
      <c r="E168" s="523" t="s">
        <v>1274</v>
      </c>
      <c r="F168" s="554">
        <v>300000</v>
      </c>
      <c r="G168" s="561">
        <v>3</v>
      </c>
      <c r="H168" s="555">
        <v>0.05</v>
      </c>
      <c r="I168" s="560" t="s">
        <v>861</v>
      </c>
      <c r="J168" s="523" t="s">
        <v>863</v>
      </c>
      <c r="K168" s="528" t="str">
        <f>IFERROR(VLOOKUP($B168,'Clients-Live'!$A:$C,3,0),"")</f>
        <v>ZUBEDA WAIGA</v>
      </c>
      <c r="L168" s="528">
        <f>IF(E168="STL",Pricing!$D$38,IF(A168="",0,IF(A168&lt;Pricing!$C$25,Pricing!$D$25,VLOOKUP(Disbursements!$F168,Pricing!$B$29:$D$32,3))))</f>
        <v>15000</v>
      </c>
      <c r="M168" s="528">
        <f>IF(E168="STL",0,IF(F168&gt;0,Pricing!$D$21,0))</f>
        <v>5000</v>
      </c>
      <c r="N168" s="529">
        <f>IF(E168="STL",F168*Pricing!$D$40,IF(A168&lt;=Pricing!$C$4,0,IF(AND(A168&gt;Pricing!$C$4,Disbursements!A168&lt;=Pricing!$C$5),F168*Pricing!$E$5,IF(AND(A168&gt;Pricing!$C$5,Disbursements!A168&lt;=Pricing!$C$7),VLOOKUP(F168,Pricing!$D$7:$E$8,2)*Disbursements!F168,F168*Pricing!$E$9))))</f>
        <v>3000</v>
      </c>
      <c r="O168" s="528">
        <f>IF(E168="STL",0,IF($F168&gt;0,$F168*Pricing!$D$17,0))</f>
        <v>30000</v>
      </c>
      <c r="P168" s="530">
        <f t="shared" si="74"/>
        <v>45000</v>
      </c>
      <c r="Q168" s="531">
        <f>IF($A168="","",$G168/VLOOKUP($I168,Ref!$B$23:$D$29,2,0))</f>
        <v>12</v>
      </c>
      <c r="R168" s="530">
        <f t="shared" si="75"/>
        <v>345000</v>
      </c>
      <c r="S168" s="532">
        <f t="shared" si="69"/>
        <v>28750</v>
      </c>
      <c r="T168" s="531">
        <f t="shared" si="76"/>
        <v>29000</v>
      </c>
      <c r="U168" s="533">
        <f t="shared" si="77"/>
        <v>348000</v>
      </c>
      <c r="V168" s="531">
        <f t="shared" si="78"/>
        <v>25000</v>
      </c>
      <c r="W168" s="531">
        <f t="shared" si="79"/>
        <v>4000</v>
      </c>
      <c r="X168" s="534">
        <f t="shared" si="80"/>
        <v>48000</v>
      </c>
      <c r="Y168" s="535">
        <f>IF($A168="","",IF($I168="weekly",$A168+7,EDATE($A168,VLOOKUP($I168,Ref!$B$24:$C$29,2,0))))</f>
        <v>44425</v>
      </c>
      <c r="Z168" s="536" t="str">
        <f t="shared" si="81"/>
        <v>Tue</v>
      </c>
      <c r="AA168" s="531">
        <f t="shared" si="82"/>
        <v>7</v>
      </c>
      <c r="AB168" s="535">
        <f t="shared" si="70"/>
        <v>44510</v>
      </c>
      <c r="AC168" s="537">
        <f t="shared" si="71"/>
        <v>92</v>
      </c>
      <c r="AD168" s="538" t="str">
        <f t="shared" ca="1" si="72"/>
        <v>Expired</v>
      </c>
      <c r="AE168" s="537">
        <f t="shared" ca="1" si="73"/>
        <v>0</v>
      </c>
      <c r="AF168" s="539">
        <f t="shared" ca="1" si="83"/>
        <v>12</v>
      </c>
      <c r="AG168" s="531">
        <f t="shared" ca="1" si="84"/>
        <v>348000</v>
      </c>
      <c r="AH168" s="531">
        <f t="shared" ca="1" si="85"/>
        <v>48000</v>
      </c>
      <c r="AI168" s="531">
        <f t="shared" ca="1" si="86"/>
        <v>300000</v>
      </c>
      <c r="AJ168" s="531">
        <f t="shared" ca="1" si="87"/>
        <v>0</v>
      </c>
      <c r="AK168" s="540">
        <f>SUMIFS('Live Collections'!$S:$S,'Live Collections'!$D:$D,Disbursements!B168,'Live Collections'!$G:$G,Disbursements!C168)</f>
        <v>48000</v>
      </c>
      <c r="AL168" s="540">
        <f>SUMIFS('Live Collections'!$T:$T,'Live Collections'!$D:$D,Disbursements!B168,'Live Collections'!$G:$G,Disbursements!C168)</f>
        <v>297000</v>
      </c>
      <c r="AM168" s="541">
        <f t="shared" si="88"/>
        <v>345000</v>
      </c>
      <c r="AN168" s="542">
        <f t="shared" si="89"/>
        <v>0</v>
      </c>
      <c r="AO168" s="542">
        <f t="shared" si="90"/>
        <v>3000</v>
      </c>
      <c r="AP168" s="543">
        <f t="shared" si="91"/>
        <v>3000</v>
      </c>
      <c r="AQ168" s="544">
        <f t="shared" ca="1" si="92"/>
        <v>3000</v>
      </c>
      <c r="AR168" s="545">
        <f t="shared" ca="1" si="93"/>
        <v>0.10344827586206896</v>
      </c>
      <c r="AS168" s="545">
        <f ca="1">IFERROR(CEILING($AR168*VLOOKUP($I168,Ref!$B$23:$E$29,4,0),1),0)</f>
        <v>1</v>
      </c>
      <c r="AT168" s="545" t="str">
        <f ca="1">IF(A168="","",IF(AP168&lt;=1,"Cleared",IF(AS168=0,"Clean",VLOOKUP($AS168,Ref!$G$23:$H$28,2))))</f>
        <v>1.(0-30) Days</v>
      </c>
      <c r="AU168" s="546" t="str">
        <f t="shared" si="94"/>
        <v>Ok</v>
      </c>
    </row>
    <row r="169" spans="1:47" ht="15" customHeight="1" x14ac:dyDescent="0.15">
      <c r="A169" s="574">
        <v>44419</v>
      </c>
      <c r="B169" s="523">
        <v>179</v>
      </c>
      <c r="C169" s="523">
        <v>167</v>
      </c>
      <c r="D169" s="523">
        <v>1</v>
      </c>
      <c r="E169" s="523" t="s">
        <v>1274</v>
      </c>
      <c r="F169" s="554">
        <v>300000</v>
      </c>
      <c r="G169" s="524">
        <v>3</v>
      </c>
      <c r="H169" s="555">
        <v>0.05</v>
      </c>
      <c r="I169" s="560" t="s">
        <v>859</v>
      </c>
      <c r="J169" s="523" t="s">
        <v>862</v>
      </c>
      <c r="K169" s="528" t="str">
        <f>IFERROR(VLOOKUP($B169,'Clients-Live'!$A:$C,3,0),"")</f>
        <v>GERIA VIOLA</v>
      </c>
      <c r="L169" s="528">
        <f>IF(E169="STL",Pricing!$D$38,IF(A169="",0,IF(A169&lt;Pricing!$C$25,Pricing!$D$25,VLOOKUP(Disbursements!$F169,Pricing!$B$29:$D$32,3))))</f>
        <v>15000</v>
      </c>
      <c r="M169" s="528">
        <f>IF(E169="STL",0,IF(F169&gt;0,Pricing!$D$21,0))</f>
        <v>5000</v>
      </c>
      <c r="N169" s="529">
        <f>IF(E169="STL",F169*Pricing!$D$40,IF(A169&lt;=Pricing!$C$4,0,IF(AND(A169&gt;Pricing!$C$4,Disbursements!A169&lt;=Pricing!$C$5),F169*Pricing!$E$5,IF(AND(A169&gt;Pricing!$C$5,Disbursements!A169&lt;=Pricing!$C$7),VLOOKUP(F169,Pricing!$D$7:$E$8,2)*Disbursements!F169,F169*Pricing!$E$9))))</f>
        <v>3000</v>
      </c>
      <c r="O169" s="528">
        <f>IF(E169="STL",0,IF($F169&gt;0,$F169*Pricing!$D$17,0))</f>
        <v>30000</v>
      </c>
      <c r="P169" s="530">
        <f t="shared" si="74"/>
        <v>45000</v>
      </c>
      <c r="Q169" s="531">
        <f>IF($A169="","",$G169/VLOOKUP($I169,Ref!$B$23:$D$29,2,0))</f>
        <v>3</v>
      </c>
      <c r="R169" s="530">
        <f t="shared" si="75"/>
        <v>345000</v>
      </c>
      <c r="S169" s="532">
        <f t="shared" si="69"/>
        <v>115000</v>
      </c>
      <c r="T169" s="531">
        <f t="shared" si="76"/>
        <v>115000</v>
      </c>
      <c r="U169" s="533">
        <f t="shared" si="77"/>
        <v>345000</v>
      </c>
      <c r="V169" s="531">
        <f t="shared" si="78"/>
        <v>100000</v>
      </c>
      <c r="W169" s="531">
        <f t="shared" si="79"/>
        <v>15000</v>
      </c>
      <c r="X169" s="534">
        <f t="shared" si="80"/>
        <v>45000</v>
      </c>
      <c r="Y169" s="535">
        <f>IF($A169="","",IF($I169="weekly",$A169+7,EDATE($A169,VLOOKUP($I169,Ref!$B$24:$C$29,2,0))))</f>
        <v>44450</v>
      </c>
      <c r="Z169" s="536" t="str">
        <f t="shared" si="81"/>
        <v>Sat</v>
      </c>
      <c r="AA169" s="531">
        <f t="shared" si="82"/>
        <v>31</v>
      </c>
      <c r="AB169" s="535">
        <f t="shared" si="70"/>
        <v>44511</v>
      </c>
      <c r="AC169" s="537">
        <f t="shared" si="71"/>
        <v>92</v>
      </c>
      <c r="AD169" s="538" t="str">
        <f t="shared" ca="1" si="72"/>
        <v>Expired</v>
      </c>
      <c r="AE169" s="537">
        <f t="shared" ca="1" si="73"/>
        <v>0</v>
      </c>
      <c r="AF169" s="539">
        <f t="shared" ca="1" si="83"/>
        <v>3</v>
      </c>
      <c r="AG169" s="531">
        <f t="shared" ca="1" si="84"/>
        <v>345000</v>
      </c>
      <c r="AH169" s="531">
        <f t="shared" ca="1" si="85"/>
        <v>45000</v>
      </c>
      <c r="AI169" s="531">
        <f t="shared" ca="1" si="86"/>
        <v>300000</v>
      </c>
      <c r="AJ169" s="531">
        <f t="shared" ca="1" si="87"/>
        <v>0</v>
      </c>
      <c r="AK169" s="540">
        <f>SUMIFS('Live Collections'!$S:$S,'Live Collections'!$D:$D,Disbursements!B169,'Live Collections'!$G:$G,Disbursements!C169)</f>
        <v>45000</v>
      </c>
      <c r="AL169" s="540">
        <f>SUMIFS('Live Collections'!$T:$T,'Live Collections'!$D:$D,Disbursements!B169,'Live Collections'!$G:$G,Disbursements!C169)</f>
        <v>300000</v>
      </c>
      <c r="AM169" s="541">
        <f t="shared" si="88"/>
        <v>345000</v>
      </c>
      <c r="AN169" s="542">
        <f t="shared" si="89"/>
        <v>0</v>
      </c>
      <c r="AO169" s="542">
        <f t="shared" si="90"/>
        <v>0</v>
      </c>
      <c r="AP169" s="543">
        <f t="shared" si="91"/>
        <v>0</v>
      </c>
      <c r="AQ169" s="544" t="str">
        <f t="shared" ca="1" si="92"/>
        <v/>
      </c>
      <c r="AR169" s="545">
        <f t="shared" ca="1" si="93"/>
        <v>0</v>
      </c>
      <c r="AS169" s="545">
        <f ca="1">IFERROR(CEILING($AR169*VLOOKUP($I169,Ref!$B$23:$E$29,4,0),1),0)</f>
        <v>0</v>
      </c>
      <c r="AT169" s="545" t="str">
        <f>IF(A169="","",IF(AP169&lt;=1,"Cleared",IF(AS169=0,"Clean",VLOOKUP($AS169,Ref!$G$23:$H$28,2))))</f>
        <v>Cleared</v>
      </c>
      <c r="AU169" s="546" t="str">
        <f t="shared" si="94"/>
        <v>Ok</v>
      </c>
    </row>
    <row r="170" spans="1:47" ht="15" customHeight="1" x14ac:dyDescent="0.15">
      <c r="A170" s="574">
        <v>44420</v>
      </c>
      <c r="B170" s="523">
        <v>88</v>
      </c>
      <c r="C170" s="523">
        <v>169</v>
      </c>
      <c r="D170" s="523">
        <v>2</v>
      </c>
      <c r="E170" s="523" t="s">
        <v>1274</v>
      </c>
      <c r="F170" s="554">
        <v>300000</v>
      </c>
      <c r="G170" s="524">
        <v>4</v>
      </c>
      <c r="H170" s="555">
        <v>0.05</v>
      </c>
      <c r="I170" s="560" t="s">
        <v>859</v>
      </c>
      <c r="J170" s="523" t="s">
        <v>864</v>
      </c>
      <c r="K170" s="528" t="str">
        <f>IFERROR(VLOOKUP($B170,'Clients-Live'!$A:$C,3,0),"")</f>
        <v>FAIDA HARRIET</v>
      </c>
      <c r="L170" s="528">
        <f>IF(E170="STL",Pricing!$D$38,IF(A170="",0,IF(A170&lt;Pricing!$C$25,Pricing!$D$25,VLOOKUP(Disbursements!$F170,Pricing!$B$29:$D$32,3))))</f>
        <v>15000</v>
      </c>
      <c r="M170" s="528">
        <f>IF(E170="STL",0,IF(F170&gt;0,Pricing!$D$21,0))</f>
        <v>5000</v>
      </c>
      <c r="N170" s="529">
        <f>IF(E170="STL",F170*Pricing!$D$40,IF(A170&lt;=Pricing!$C$4,0,IF(AND(A170&gt;Pricing!$C$4,Disbursements!A170&lt;=Pricing!$C$5),F170*Pricing!$E$5,IF(AND(A170&gt;Pricing!$C$5,Disbursements!A170&lt;=Pricing!$C$7),VLOOKUP(F170,Pricing!$D$7:$E$8,2)*Disbursements!F170,F170*Pricing!$E$9))))</f>
        <v>3000</v>
      </c>
      <c r="O170" s="528">
        <f>IF(E170="STL",0,IF($F170&gt;0,$F170*Pricing!$D$17,0))</f>
        <v>30000</v>
      </c>
      <c r="P170" s="530">
        <f t="shared" si="74"/>
        <v>60000</v>
      </c>
      <c r="Q170" s="531">
        <f>IF($A170="","",$G170/VLOOKUP($I170,Ref!$B$23:$D$29,2,0))</f>
        <v>4</v>
      </c>
      <c r="R170" s="530">
        <f t="shared" si="75"/>
        <v>360000</v>
      </c>
      <c r="S170" s="532">
        <f t="shared" si="69"/>
        <v>90000</v>
      </c>
      <c r="T170" s="531">
        <f t="shared" si="76"/>
        <v>90000</v>
      </c>
      <c r="U170" s="533">
        <f t="shared" si="77"/>
        <v>360000</v>
      </c>
      <c r="V170" s="531">
        <f t="shared" si="78"/>
        <v>75000</v>
      </c>
      <c r="W170" s="531">
        <f t="shared" si="79"/>
        <v>15000</v>
      </c>
      <c r="X170" s="534">
        <f t="shared" si="80"/>
        <v>60000</v>
      </c>
      <c r="Y170" s="535">
        <f>IF($A170="","",IF($I170="weekly",$A170+7,EDATE($A170,VLOOKUP($I170,Ref!$B$24:$C$29,2,0))))</f>
        <v>44451</v>
      </c>
      <c r="Z170" s="536" t="str">
        <f t="shared" si="81"/>
        <v>Sun</v>
      </c>
      <c r="AA170" s="531">
        <f t="shared" si="82"/>
        <v>31</v>
      </c>
      <c r="AB170" s="535">
        <f t="shared" si="70"/>
        <v>44542</v>
      </c>
      <c r="AC170" s="537">
        <f t="shared" si="71"/>
        <v>122</v>
      </c>
      <c r="AD170" s="538" t="str">
        <f t="shared" ca="1" si="72"/>
        <v>Expired</v>
      </c>
      <c r="AE170" s="537">
        <f t="shared" ca="1" si="73"/>
        <v>0</v>
      </c>
      <c r="AF170" s="539">
        <f t="shared" ca="1" si="83"/>
        <v>4</v>
      </c>
      <c r="AG170" s="531">
        <f t="shared" ca="1" si="84"/>
        <v>360000</v>
      </c>
      <c r="AH170" s="531">
        <f t="shared" ca="1" si="85"/>
        <v>60000</v>
      </c>
      <c r="AI170" s="531">
        <f t="shared" ca="1" si="86"/>
        <v>300000</v>
      </c>
      <c r="AJ170" s="531">
        <f t="shared" ca="1" si="87"/>
        <v>0</v>
      </c>
      <c r="AK170" s="540">
        <f>SUMIFS('Live Collections'!$S:$S,'Live Collections'!$D:$D,Disbursements!B170,'Live Collections'!$G:$G,Disbursements!C170)</f>
        <v>60000</v>
      </c>
      <c r="AL170" s="540">
        <f>SUMIFS('Live Collections'!$T:$T,'Live Collections'!$D:$D,Disbursements!B170,'Live Collections'!$G:$G,Disbursements!C170)</f>
        <v>299000</v>
      </c>
      <c r="AM170" s="541">
        <f t="shared" si="88"/>
        <v>359000</v>
      </c>
      <c r="AN170" s="542">
        <f t="shared" si="89"/>
        <v>0</v>
      </c>
      <c r="AO170" s="542">
        <f t="shared" si="90"/>
        <v>1000</v>
      </c>
      <c r="AP170" s="543">
        <f t="shared" si="91"/>
        <v>1000</v>
      </c>
      <c r="AQ170" s="544">
        <f t="shared" ca="1" si="92"/>
        <v>1000</v>
      </c>
      <c r="AR170" s="545">
        <f t="shared" ca="1" si="93"/>
        <v>1.1111111111111112E-2</v>
      </c>
      <c r="AS170" s="545">
        <f ca="1">IFERROR(CEILING($AR170*VLOOKUP($I170,Ref!$B$23:$E$29,4,0),1),0)</f>
        <v>1</v>
      </c>
      <c r="AT170" s="545" t="str">
        <f ca="1">IF(A170="","",IF(AP170&lt;=1,"Cleared",IF(AS170=0,"Clean",VLOOKUP($AS170,Ref!$G$23:$H$28,2))))</f>
        <v>1.(0-30) Days</v>
      </c>
      <c r="AU170" s="546" t="str">
        <f t="shared" si="94"/>
        <v>Ok</v>
      </c>
    </row>
    <row r="171" spans="1:47" ht="15" customHeight="1" x14ac:dyDescent="0.15">
      <c r="A171" s="574">
        <v>44420</v>
      </c>
      <c r="B171" s="523">
        <v>181</v>
      </c>
      <c r="C171" s="523">
        <v>168</v>
      </c>
      <c r="D171" s="523">
        <v>1</v>
      </c>
      <c r="E171" s="523" t="s">
        <v>1274</v>
      </c>
      <c r="F171" s="554">
        <v>300000</v>
      </c>
      <c r="G171" s="524">
        <v>3</v>
      </c>
      <c r="H171" s="555">
        <v>0.05</v>
      </c>
      <c r="I171" s="560" t="s">
        <v>859</v>
      </c>
      <c r="J171" s="523" t="s">
        <v>864</v>
      </c>
      <c r="K171" s="528" t="str">
        <f>IFERROR(VLOOKUP($B171,'Clients-Live'!$A:$C,3,0),"")</f>
        <v>LEKURU CHRISTINE</v>
      </c>
      <c r="L171" s="528">
        <f>IF(E171="STL",Pricing!$D$38,IF(A171="",0,IF(A171&lt;Pricing!$C$25,Pricing!$D$25,VLOOKUP(Disbursements!$F171,Pricing!$B$29:$D$32,3))))</f>
        <v>15000</v>
      </c>
      <c r="M171" s="528">
        <f>IF(E171="STL",0,IF(F171&gt;0,Pricing!$D$21,0))</f>
        <v>5000</v>
      </c>
      <c r="N171" s="529">
        <f>IF(E171="STL",F171*Pricing!$D$40,IF(A171&lt;=Pricing!$C$4,0,IF(AND(A171&gt;Pricing!$C$4,Disbursements!A171&lt;=Pricing!$C$5),F171*Pricing!$E$5,IF(AND(A171&gt;Pricing!$C$5,Disbursements!A171&lt;=Pricing!$C$7),VLOOKUP(F171,Pricing!$D$7:$E$8,2)*Disbursements!F171,F171*Pricing!$E$9))))</f>
        <v>3000</v>
      </c>
      <c r="O171" s="528">
        <f>IF(E171="STL",0,IF($F171&gt;0,$F171*Pricing!$D$17,0))</f>
        <v>30000</v>
      </c>
      <c r="P171" s="530">
        <f t="shared" si="74"/>
        <v>45000</v>
      </c>
      <c r="Q171" s="531">
        <f>IF($A171="","",$G171/VLOOKUP($I171,Ref!$B$23:$D$29,2,0))</f>
        <v>3</v>
      </c>
      <c r="R171" s="530">
        <f t="shared" si="75"/>
        <v>345000</v>
      </c>
      <c r="S171" s="532">
        <f t="shared" si="69"/>
        <v>115000</v>
      </c>
      <c r="T171" s="531">
        <f t="shared" si="76"/>
        <v>115000</v>
      </c>
      <c r="U171" s="533">
        <f t="shared" si="77"/>
        <v>345000</v>
      </c>
      <c r="V171" s="531">
        <f t="shared" si="78"/>
        <v>100000</v>
      </c>
      <c r="W171" s="531">
        <f t="shared" si="79"/>
        <v>15000</v>
      </c>
      <c r="X171" s="534">
        <f t="shared" si="80"/>
        <v>45000</v>
      </c>
      <c r="Y171" s="535">
        <f>IF($A171="","",IF($I171="weekly",$A171+7,EDATE($A171,VLOOKUP($I171,Ref!$B$24:$C$29,2,0))))</f>
        <v>44451</v>
      </c>
      <c r="Z171" s="536" t="str">
        <f t="shared" si="81"/>
        <v>Sun</v>
      </c>
      <c r="AA171" s="531">
        <f t="shared" si="82"/>
        <v>31</v>
      </c>
      <c r="AB171" s="535">
        <f t="shared" si="70"/>
        <v>44512</v>
      </c>
      <c r="AC171" s="537">
        <f t="shared" si="71"/>
        <v>92</v>
      </c>
      <c r="AD171" s="538" t="str">
        <f t="shared" ca="1" si="72"/>
        <v>Expired</v>
      </c>
      <c r="AE171" s="537">
        <f t="shared" ca="1" si="73"/>
        <v>0</v>
      </c>
      <c r="AF171" s="539">
        <f t="shared" ca="1" si="83"/>
        <v>3</v>
      </c>
      <c r="AG171" s="531">
        <f t="shared" ca="1" si="84"/>
        <v>345000</v>
      </c>
      <c r="AH171" s="531">
        <f t="shared" ca="1" si="85"/>
        <v>45000</v>
      </c>
      <c r="AI171" s="531">
        <f t="shared" ca="1" si="86"/>
        <v>300000</v>
      </c>
      <c r="AJ171" s="531">
        <f t="shared" ca="1" si="87"/>
        <v>0</v>
      </c>
      <c r="AK171" s="540">
        <f>SUMIFS('Live Collections'!$S:$S,'Live Collections'!$D:$D,Disbursements!B171,'Live Collections'!$G:$G,Disbursements!C171)</f>
        <v>45000</v>
      </c>
      <c r="AL171" s="540">
        <f>SUMIFS('Live Collections'!$T:$T,'Live Collections'!$D:$D,Disbursements!B171,'Live Collections'!$G:$G,Disbursements!C171)</f>
        <v>300000</v>
      </c>
      <c r="AM171" s="541">
        <f t="shared" si="88"/>
        <v>345000</v>
      </c>
      <c r="AN171" s="542">
        <f t="shared" si="89"/>
        <v>0</v>
      </c>
      <c r="AO171" s="542">
        <f t="shared" si="90"/>
        <v>0</v>
      </c>
      <c r="AP171" s="543">
        <f t="shared" si="91"/>
        <v>0</v>
      </c>
      <c r="AQ171" s="544" t="str">
        <f t="shared" ca="1" si="92"/>
        <v/>
      </c>
      <c r="AR171" s="545">
        <f t="shared" ca="1" si="93"/>
        <v>0</v>
      </c>
      <c r="AS171" s="545">
        <f ca="1">IFERROR(CEILING($AR171*VLOOKUP($I171,Ref!$B$23:$E$29,4,0),1),0)</f>
        <v>0</v>
      </c>
      <c r="AT171" s="545" t="str">
        <f>IF(A171="","",IF(AP171&lt;=1,"Cleared",IF(AS171=0,"Clean",VLOOKUP($AS171,Ref!$G$23:$H$28,2))))</f>
        <v>Cleared</v>
      </c>
      <c r="AU171" s="546" t="str">
        <f t="shared" si="94"/>
        <v>Ok</v>
      </c>
    </row>
    <row r="172" spans="1:47" ht="15" customHeight="1" x14ac:dyDescent="0.15">
      <c r="A172" s="575">
        <v>44424</v>
      </c>
      <c r="B172" s="523">
        <v>169</v>
      </c>
      <c r="C172" s="523">
        <v>176</v>
      </c>
      <c r="D172" s="523">
        <v>1</v>
      </c>
      <c r="E172" s="523" t="s">
        <v>1274</v>
      </c>
      <c r="F172" s="554">
        <v>2000000</v>
      </c>
      <c r="G172" s="561">
        <v>6</v>
      </c>
      <c r="H172" s="555">
        <v>0.05</v>
      </c>
      <c r="I172" s="560" t="s">
        <v>861</v>
      </c>
      <c r="J172" s="523" t="s">
        <v>864</v>
      </c>
      <c r="K172" s="528" t="str">
        <f>IFERROR(VLOOKUP($B172,'Clients-Live'!$A:$C,3,0),"")</f>
        <v>KATO KENNEDY</v>
      </c>
      <c r="L172" s="528">
        <f>IF(E172="STL",Pricing!$D$38,IF(A172="",0,IF(A172&lt;Pricing!$C$25,Pricing!$D$25,VLOOKUP(Disbursements!$F172,Pricing!$B$29:$D$32,3))))</f>
        <v>25000</v>
      </c>
      <c r="M172" s="528">
        <f>IF(E172="STL",0,IF(F172&gt;0,Pricing!$D$21,0))</f>
        <v>5000</v>
      </c>
      <c r="N172" s="529">
        <f>IF(E172="STL",F172*Pricing!$D$40,IF(A172&lt;=Pricing!$C$4,0,IF(AND(A172&gt;Pricing!$C$4,Disbursements!A172&lt;=Pricing!$C$5),F172*Pricing!$E$5,IF(AND(A172&gt;Pricing!$C$5,Disbursements!A172&lt;=Pricing!$C$7),VLOOKUP(F172,Pricing!$D$7:$E$8,2)*Disbursements!F172,F172*Pricing!$E$9))))</f>
        <v>40000</v>
      </c>
      <c r="O172" s="528">
        <f>IF(E172="STL",0,IF($F172&gt;0,$F172*Pricing!$D$17,0))</f>
        <v>200000</v>
      </c>
      <c r="P172" s="530">
        <f t="shared" si="74"/>
        <v>600000</v>
      </c>
      <c r="Q172" s="531">
        <f>IF($A172="","",$G172/VLOOKUP($I172,Ref!$B$23:$D$29,2,0))</f>
        <v>24</v>
      </c>
      <c r="R172" s="530">
        <f t="shared" si="75"/>
        <v>2600000</v>
      </c>
      <c r="S172" s="532">
        <f t="shared" si="69"/>
        <v>108333.33333333333</v>
      </c>
      <c r="T172" s="531">
        <f t="shared" si="76"/>
        <v>109000</v>
      </c>
      <c r="U172" s="533">
        <f t="shared" si="77"/>
        <v>2616000</v>
      </c>
      <c r="V172" s="531">
        <f t="shared" si="78"/>
        <v>83333.333333333328</v>
      </c>
      <c r="W172" s="531">
        <f t="shared" si="79"/>
        <v>25666.666666666672</v>
      </c>
      <c r="X172" s="534">
        <f t="shared" si="80"/>
        <v>616000.00000000012</v>
      </c>
      <c r="Y172" s="535">
        <f>IF($A172="","",IF($I172="weekly",$A172+7,EDATE($A172,VLOOKUP($I172,Ref!$B$24:$C$29,2,0))))</f>
        <v>44431</v>
      </c>
      <c r="Z172" s="536" t="str">
        <f t="shared" si="81"/>
        <v>Mon</v>
      </c>
      <c r="AA172" s="531">
        <f t="shared" si="82"/>
        <v>7</v>
      </c>
      <c r="AB172" s="535">
        <f t="shared" si="70"/>
        <v>44608</v>
      </c>
      <c r="AC172" s="537">
        <f t="shared" si="71"/>
        <v>184</v>
      </c>
      <c r="AD172" s="538" t="str">
        <f t="shared" ca="1" si="72"/>
        <v>Expired</v>
      </c>
      <c r="AE172" s="537">
        <f t="shared" ca="1" si="73"/>
        <v>0</v>
      </c>
      <c r="AF172" s="539">
        <f t="shared" ca="1" si="83"/>
        <v>24</v>
      </c>
      <c r="AG172" s="531">
        <f t="shared" ca="1" si="84"/>
        <v>2616000</v>
      </c>
      <c r="AH172" s="531">
        <f t="shared" ca="1" si="85"/>
        <v>616000.00000000012</v>
      </c>
      <c r="AI172" s="531">
        <f t="shared" ca="1" si="86"/>
        <v>2000000</v>
      </c>
      <c r="AJ172" s="531">
        <f t="shared" ca="1" si="87"/>
        <v>0</v>
      </c>
      <c r="AK172" s="540">
        <f>SUMIFS('Live Collections'!$S:$S,'Live Collections'!$D:$D,Disbursements!B172,'Live Collections'!$G:$G,Disbursements!C172)</f>
        <v>616000.00000000012</v>
      </c>
      <c r="AL172" s="540">
        <f>SUMIFS('Live Collections'!$T:$T,'Live Collections'!$D:$D,Disbursements!B172,'Live Collections'!$G:$G,Disbursements!C172)</f>
        <v>2000000</v>
      </c>
      <c r="AM172" s="541">
        <f t="shared" si="88"/>
        <v>2616000</v>
      </c>
      <c r="AN172" s="542">
        <f t="shared" si="89"/>
        <v>0</v>
      </c>
      <c r="AO172" s="542">
        <f t="shared" si="90"/>
        <v>0</v>
      </c>
      <c r="AP172" s="543">
        <f t="shared" si="91"/>
        <v>0</v>
      </c>
      <c r="AQ172" s="544" t="str">
        <f t="shared" ca="1" si="92"/>
        <v/>
      </c>
      <c r="AR172" s="545">
        <f t="shared" ca="1" si="93"/>
        <v>0</v>
      </c>
      <c r="AS172" s="545">
        <f ca="1">IFERROR(CEILING($AR172*VLOOKUP($I172,Ref!$B$23:$E$29,4,0),1),0)</f>
        <v>0</v>
      </c>
      <c r="AT172" s="545" t="str">
        <f>IF(A172="","",IF(AP172&lt;=1,"Cleared",IF(AS172=0,"Clean",VLOOKUP($AS172,Ref!$G$23:$H$28,2))))</f>
        <v>Cleared</v>
      </c>
      <c r="AU172" s="546" t="str">
        <f t="shared" si="94"/>
        <v>Ok</v>
      </c>
    </row>
    <row r="173" spans="1:47" ht="15" customHeight="1" x14ac:dyDescent="0.15">
      <c r="A173" s="575">
        <v>44424</v>
      </c>
      <c r="B173" s="523">
        <v>183</v>
      </c>
      <c r="C173" s="523">
        <v>171</v>
      </c>
      <c r="D173" s="523">
        <v>1</v>
      </c>
      <c r="E173" s="523" t="s">
        <v>1274</v>
      </c>
      <c r="F173" s="554">
        <v>600000</v>
      </c>
      <c r="G173" s="524">
        <v>4</v>
      </c>
      <c r="H173" s="555">
        <v>0.05</v>
      </c>
      <c r="I173" s="560" t="s">
        <v>859</v>
      </c>
      <c r="J173" s="523" t="s">
        <v>862</v>
      </c>
      <c r="K173" s="528" t="str">
        <f>IFERROR(VLOOKUP($B173,'Clients-Live'!$A:$C,3,0),"")</f>
        <v>NIGHT AMINA HUSSEIN</v>
      </c>
      <c r="L173" s="528">
        <f>IF(E173="STL",Pricing!$D$38,IF(A173="",0,IF(A173&lt;Pricing!$C$25,Pricing!$D$25,VLOOKUP(Disbursements!$F173,Pricing!$B$29:$D$32,3))))</f>
        <v>20000</v>
      </c>
      <c r="M173" s="528">
        <f>IF(E173="STL",0,IF(F173&gt;0,Pricing!$D$21,0))</f>
        <v>5000</v>
      </c>
      <c r="N173" s="529">
        <f>IF(E173="STL",F173*Pricing!$D$40,IF(A173&lt;=Pricing!$C$4,0,IF(AND(A173&gt;Pricing!$C$4,Disbursements!A173&lt;=Pricing!$C$5),F173*Pricing!$E$5,IF(AND(A173&gt;Pricing!$C$5,Disbursements!A173&lt;=Pricing!$C$7),VLOOKUP(F173,Pricing!$D$7:$E$8,2)*Disbursements!F173,F173*Pricing!$E$9))))</f>
        <v>6000</v>
      </c>
      <c r="O173" s="528">
        <f>IF(E173="STL",0,IF($F173&gt;0,$F173*Pricing!$D$17,0))</f>
        <v>60000</v>
      </c>
      <c r="P173" s="530">
        <f t="shared" si="74"/>
        <v>120000</v>
      </c>
      <c r="Q173" s="531">
        <f>IF($A173="","",$G173/VLOOKUP($I173,Ref!$B$23:$D$29,2,0))</f>
        <v>4</v>
      </c>
      <c r="R173" s="530">
        <f t="shared" si="75"/>
        <v>720000</v>
      </c>
      <c r="S173" s="532">
        <f t="shared" si="69"/>
        <v>180000</v>
      </c>
      <c r="T173" s="531">
        <f t="shared" si="76"/>
        <v>180000</v>
      </c>
      <c r="U173" s="533">
        <f t="shared" si="77"/>
        <v>720000</v>
      </c>
      <c r="V173" s="531">
        <f t="shared" si="78"/>
        <v>150000</v>
      </c>
      <c r="W173" s="531">
        <f t="shared" si="79"/>
        <v>30000</v>
      </c>
      <c r="X173" s="534">
        <f t="shared" si="80"/>
        <v>120000</v>
      </c>
      <c r="Y173" s="535">
        <f>IF($A173="","",IF($I173="weekly",$A173+7,EDATE($A173,VLOOKUP($I173,Ref!$B$24:$C$29,2,0))))</f>
        <v>44455</v>
      </c>
      <c r="Z173" s="536" t="str">
        <f t="shared" si="81"/>
        <v>Thu</v>
      </c>
      <c r="AA173" s="531">
        <f t="shared" si="82"/>
        <v>31</v>
      </c>
      <c r="AB173" s="535">
        <f t="shared" si="70"/>
        <v>44546</v>
      </c>
      <c r="AC173" s="537">
        <f t="shared" si="71"/>
        <v>122</v>
      </c>
      <c r="AD173" s="538" t="str">
        <f t="shared" ca="1" si="72"/>
        <v>Expired</v>
      </c>
      <c r="AE173" s="537">
        <f t="shared" ca="1" si="73"/>
        <v>0</v>
      </c>
      <c r="AF173" s="539">
        <f t="shared" ca="1" si="83"/>
        <v>4</v>
      </c>
      <c r="AG173" s="531">
        <f t="shared" ca="1" si="84"/>
        <v>720000</v>
      </c>
      <c r="AH173" s="531">
        <f t="shared" ca="1" si="85"/>
        <v>120000</v>
      </c>
      <c r="AI173" s="531">
        <f t="shared" ca="1" si="86"/>
        <v>600000</v>
      </c>
      <c r="AJ173" s="531">
        <f t="shared" ca="1" si="87"/>
        <v>0</v>
      </c>
      <c r="AK173" s="540">
        <f>SUMIFS('Live Collections'!$S:$S,'Live Collections'!$D:$D,Disbursements!B173,'Live Collections'!$G:$G,Disbursements!C173)</f>
        <v>120000</v>
      </c>
      <c r="AL173" s="540">
        <f>SUMIFS('Live Collections'!$T:$T,'Live Collections'!$D:$D,Disbursements!B173,'Live Collections'!$G:$G,Disbursements!C173)</f>
        <v>600000</v>
      </c>
      <c r="AM173" s="541">
        <f t="shared" si="88"/>
        <v>720000</v>
      </c>
      <c r="AN173" s="542">
        <f t="shared" si="89"/>
        <v>0</v>
      </c>
      <c r="AO173" s="542">
        <f t="shared" si="90"/>
        <v>0</v>
      </c>
      <c r="AP173" s="543">
        <f t="shared" si="91"/>
        <v>0</v>
      </c>
      <c r="AQ173" s="544" t="str">
        <f t="shared" ca="1" si="92"/>
        <v/>
      </c>
      <c r="AR173" s="545">
        <f t="shared" ca="1" si="93"/>
        <v>0</v>
      </c>
      <c r="AS173" s="545">
        <f ca="1">IFERROR(CEILING($AR173*VLOOKUP($I173,Ref!$B$23:$E$29,4,0),1),0)</f>
        <v>0</v>
      </c>
      <c r="AT173" s="545" t="str">
        <f>IF(A173="","",IF(AP173&lt;=1,"Cleared",IF(AS173=0,"Clean",VLOOKUP($AS173,Ref!$G$23:$H$28,2))))</f>
        <v>Cleared</v>
      </c>
      <c r="AU173" s="546" t="str">
        <f t="shared" si="94"/>
        <v>Ok</v>
      </c>
    </row>
    <row r="174" spans="1:47" ht="15" customHeight="1" x14ac:dyDescent="0.15">
      <c r="A174" s="575">
        <v>44424</v>
      </c>
      <c r="B174" s="523">
        <v>184</v>
      </c>
      <c r="C174" s="523">
        <v>170</v>
      </c>
      <c r="D174" s="523">
        <v>1</v>
      </c>
      <c r="E174" s="523" t="s">
        <v>1274</v>
      </c>
      <c r="F174" s="554">
        <v>800000</v>
      </c>
      <c r="G174" s="524">
        <v>4</v>
      </c>
      <c r="H174" s="555">
        <v>0.05</v>
      </c>
      <c r="I174" s="560" t="s">
        <v>859</v>
      </c>
      <c r="J174" s="523" t="s">
        <v>863</v>
      </c>
      <c r="K174" s="528" t="str">
        <f>IFERROR(VLOOKUP($B174,'Clients-Live'!$A:$C,3,0),"")</f>
        <v>OCOKORU GLORIA</v>
      </c>
      <c r="L174" s="528">
        <f>IF(E174="STL",Pricing!$D$38,IF(A174="",0,IF(A174&lt;Pricing!$C$25,Pricing!$D$25,VLOOKUP(Disbursements!$F174,Pricing!$B$29:$D$32,3))))</f>
        <v>20000</v>
      </c>
      <c r="M174" s="528">
        <f>IF(E174="STL",0,IF(F174&gt;0,Pricing!$D$21,0))</f>
        <v>5000</v>
      </c>
      <c r="N174" s="529">
        <f>IF(E174="STL",F174*Pricing!$D$40,IF(A174&lt;=Pricing!$C$4,0,IF(AND(A174&gt;Pricing!$C$4,Disbursements!A174&lt;=Pricing!$C$5),F174*Pricing!$E$5,IF(AND(A174&gt;Pricing!$C$5,Disbursements!A174&lt;=Pricing!$C$7),VLOOKUP(F174,Pricing!$D$7:$E$8,2)*Disbursements!F174,F174*Pricing!$E$9))))</f>
        <v>8000</v>
      </c>
      <c r="O174" s="528">
        <f>IF(E174="STL",0,IF($F174&gt;0,$F174*Pricing!$D$17,0))</f>
        <v>80000</v>
      </c>
      <c r="P174" s="530">
        <f t="shared" si="74"/>
        <v>160000</v>
      </c>
      <c r="Q174" s="531">
        <f>IF($A174="","",$G174/VLOOKUP($I174,Ref!$B$23:$D$29,2,0))</f>
        <v>4</v>
      </c>
      <c r="R174" s="530">
        <f t="shared" si="75"/>
        <v>960000</v>
      </c>
      <c r="S174" s="532">
        <f t="shared" si="69"/>
        <v>240000</v>
      </c>
      <c r="T174" s="531">
        <f t="shared" si="76"/>
        <v>240000</v>
      </c>
      <c r="U174" s="533">
        <f t="shared" si="77"/>
        <v>960000</v>
      </c>
      <c r="V174" s="531">
        <f t="shared" si="78"/>
        <v>200000</v>
      </c>
      <c r="W174" s="531">
        <f t="shared" si="79"/>
        <v>40000</v>
      </c>
      <c r="X174" s="534">
        <f t="shared" si="80"/>
        <v>160000</v>
      </c>
      <c r="Y174" s="535">
        <f>IF($A174="","",IF($I174="weekly",$A174+7,EDATE($A174,VLOOKUP($I174,Ref!$B$24:$C$29,2,0))))</f>
        <v>44455</v>
      </c>
      <c r="Z174" s="536" t="str">
        <f t="shared" si="81"/>
        <v>Thu</v>
      </c>
      <c r="AA174" s="531">
        <f t="shared" si="82"/>
        <v>31</v>
      </c>
      <c r="AB174" s="535">
        <f t="shared" si="70"/>
        <v>44546</v>
      </c>
      <c r="AC174" s="537">
        <f t="shared" si="71"/>
        <v>122</v>
      </c>
      <c r="AD174" s="538" t="str">
        <f t="shared" ca="1" si="72"/>
        <v>Expired</v>
      </c>
      <c r="AE174" s="537">
        <f t="shared" ca="1" si="73"/>
        <v>0</v>
      </c>
      <c r="AF174" s="539">
        <f t="shared" ca="1" si="83"/>
        <v>4</v>
      </c>
      <c r="AG174" s="531">
        <f t="shared" ca="1" si="84"/>
        <v>960000</v>
      </c>
      <c r="AH174" s="531">
        <f t="shared" ca="1" si="85"/>
        <v>160000</v>
      </c>
      <c r="AI174" s="531">
        <f t="shared" ca="1" si="86"/>
        <v>800000</v>
      </c>
      <c r="AJ174" s="531">
        <f t="shared" ca="1" si="87"/>
        <v>0</v>
      </c>
      <c r="AK174" s="540">
        <f>SUMIFS('Live Collections'!$S:$S,'Live Collections'!$D:$D,Disbursements!B174,'Live Collections'!$G:$G,Disbursements!C174)</f>
        <v>160000</v>
      </c>
      <c r="AL174" s="540">
        <f>SUMIFS('Live Collections'!$T:$T,'Live Collections'!$D:$D,Disbursements!B174,'Live Collections'!$G:$G,Disbursements!C174)</f>
        <v>800000</v>
      </c>
      <c r="AM174" s="541">
        <f t="shared" si="88"/>
        <v>960000</v>
      </c>
      <c r="AN174" s="542">
        <f t="shared" si="89"/>
        <v>0</v>
      </c>
      <c r="AO174" s="542">
        <f t="shared" si="90"/>
        <v>0</v>
      </c>
      <c r="AP174" s="543">
        <f t="shared" si="91"/>
        <v>0</v>
      </c>
      <c r="AQ174" s="544" t="str">
        <f t="shared" ca="1" si="92"/>
        <v/>
      </c>
      <c r="AR174" s="545">
        <f t="shared" ca="1" si="93"/>
        <v>0</v>
      </c>
      <c r="AS174" s="545">
        <f ca="1">IFERROR(CEILING($AR174*VLOOKUP($I174,Ref!$B$23:$E$29,4,0),1),0)</f>
        <v>0</v>
      </c>
      <c r="AT174" s="545" t="str">
        <f>IF(A174="","",IF(AP174&lt;=1,"Cleared",IF(AS174=0,"Clean",VLOOKUP($AS174,Ref!$G$23:$H$28,2))))</f>
        <v>Cleared</v>
      </c>
      <c r="AU174" s="546" t="str">
        <f t="shared" si="94"/>
        <v>Ok</v>
      </c>
    </row>
    <row r="175" spans="1:47" ht="15" customHeight="1" x14ac:dyDescent="0.15">
      <c r="A175" s="575">
        <v>44424</v>
      </c>
      <c r="B175" s="523">
        <v>186</v>
      </c>
      <c r="C175" s="523">
        <v>172</v>
      </c>
      <c r="D175" s="523">
        <v>1</v>
      </c>
      <c r="E175" s="523" t="s">
        <v>1277</v>
      </c>
      <c r="F175" s="554">
        <v>700000</v>
      </c>
      <c r="G175" s="524">
        <v>1</v>
      </c>
      <c r="H175" s="555">
        <v>7.4999999999999997E-2</v>
      </c>
      <c r="I175" s="560" t="s">
        <v>859</v>
      </c>
      <c r="J175" s="523" t="s">
        <v>862</v>
      </c>
      <c r="K175" s="528" t="str">
        <f>IFERROR(VLOOKUP($B175,'Clients-Live'!$A:$C,3,0),"")</f>
        <v>GIFT JAMES</v>
      </c>
      <c r="L175" s="528">
        <f>IF(E175="STL",Pricing!$D$38,IF(A175="",0,IF(A175&lt;Pricing!$C$25,Pricing!$D$25,VLOOKUP(Disbursements!$F175,Pricing!$B$29:$D$32,3))))</f>
        <v>20000</v>
      </c>
      <c r="M175" s="528">
        <f>IF(E175="STL",0,IF(F175&gt;0,Pricing!$D$21,0))</f>
        <v>5000</v>
      </c>
      <c r="N175" s="529">
        <f>IF(E175="STL",F175*Pricing!$D$40,IF(A175&lt;=Pricing!$C$4,0,IF(AND(A175&gt;Pricing!$C$4,Disbursements!A175&lt;=Pricing!$C$5),F175*Pricing!$E$5,IF(AND(A175&gt;Pricing!$C$5,Disbursements!A175&lt;=Pricing!$C$7),VLOOKUP(F175,Pricing!$D$7:$E$8,2)*Disbursements!F175,F175*Pricing!$E$9))))</f>
        <v>7000</v>
      </c>
      <c r="O175" s="528">
        <f>IF(E175="STL",0,IF($F175&gt;0,$F175*Pricing!$D$17,0))</f>
        <v>70000</v>
      </c>
      <c r="P175" s="530">
        <f t="shared" si="74"/>
        <v>52500</v>
      </c>
      <c r="Q175" s="531">
        <f>IF($A175="","",$G175/VLOOKUP($I175,Ref!$B$23:$D$29,2,0))</f>
        <v>1</v>
      </c>
      <c r="R175" s="530">
        <f t="shared" si="75"/>
        <v>752500</v>
      </c>
      <c r="S175" s="532">
        <f t="shared" si="69"/>
        <v>752500</v>
      </c>
      <c r="T175" s="531">
        <f t="shared" si="76"/>
        <v>753000</v>
      </c>
      <c r="U175" s="533">
        <f t="shared" si="77"/>
        <v>753000</v>
      </c>
      <c r="V175" s="531">
        <f t="shared" si="78"/>
        <v>700000</v>
      </c>
      <c r="W175" s="531">
        <f t="shared" si="79"/>
        <v>53000</v>
      </c>
      <c r="X175" s="534">
        <f t="shared" si="80"/>
        <v>53000</v>
      </c>
      <c r="Y175" s="535">
        <f>IF($A175="","",IF($I175="weekly",$A175+7,EDATE($A175,VLOOKUP($I175,Ref!$B$24:$C$29,2,0))))</f>
        <v>44455</v>
      </c>
      <c r="Z175" s="536" t="str">
        <f t="shared" si="81"/>
        <v>Thu</v>
      </c>
      <c r="AA175" s="531">
        <f t="shared" si="82"/>
        <v>31</v>
      </c>
      <c r="AB175" s="535">
        <f t="shared" si="70"/>
        <v>44455</v>
      </c>
      <c r="AC175" s="537">
        <f t="shared" si="71"/>
        <v>31</v>
      </c>
      <c r="AD175" s="538" t="str">
        <f t="shared" ca="1" si="72"/>
        <v>Expired</v>
      </c>
      <c r="AE175" s="537">
        <f t="shared" ca="1" si="73"/>
        <v>0</v>
      </c>
      <c r="AF175" s="539">
        <f t="shared" ca="1" si="83"/>
        <v>1</v>
      </c>
      <c r="AG175" s="531">
        <f t="shared" ca="1" si="84"/>
        <v>753000</v>
      </c>
      <c r="AH175" s="531">
        <f t="shared" ca="1" si="85"/>
        <v>53000</v>
      </c>
      <c r="AI175" s="531">
        <f t="shared" ca="1" si="86"/>
        <v>700000</v>
      </c>
      <c r="AJ175" s="531">
        <f t="shared" ca="1" si="87"/>
        <v>0</v>
      </c>
      <c r="AK175" s="540">
        <f>SUMIFS('Live Collections'!$S:$S,'Live Collections'!$D:$D,Disbursements!B175,'Live Collections'!$G:$G,Disbursements!C175)</f>
        <v>53000</v>
      </c>
      <c r="AL175" s="540">
        <f>SUMIFS('Live Collections'!$T:$T,'Live Collections'!$D:$D,Disbursements!B175,'Live Collections'!$G:$G,Disbursements!C175)</f>
        <v>700000</v>
      </c>
      <c r="AM175" s="541">
        <f t="shared" si="88"/>
        <v>753000</v>
      </c>
      <c r="AN175" s="542">
        <f t="shared" si="89"/>
        <v>0</v>
      </c>
      <c r="AO175" s="542">
        <f t="shared" si="90"/>
        <v>0</v>
      </c>
      <c r="AP175" s="543">
        <f t="shared" si="91"/>
        <v>0</v>
      </c>
      <c r="AQ175" s="544" t="str">
        <f t="shared" ca="1" si="92"/>
        <v/>
      </c>
      <c r="AR175" s="545">
        <f t="shared" ca="1" si="93"/>
        <v>0</v>
      </c>
      <c r="AS175" s="545">
        <f ca="1">IFERROR(CEILING($AR175*VLOOKUP($I175,Ref!$B$23:$E$29,4,0),1),0)</f>
        <v>0</v>
      </c>
      <c r="AT175" s="545" t="str">
        <f>IF(A175="","",IF(AP175&lt;=1,"Cleared",IF(AS175=0,"Clean",VLOOKUP($AS175,Ref!$G$23:$H$28,2))))</f>
        <v>Cleared</v>
      </c>
      <c r="AU175" s="546" t="str">
        <f t="shared" si="94"/>
        <v>Ok</v>
      </c>
    </row>
    <row r="176" spans="1:47" ht="15" customHeight="1" x14ac:dyDescent="0.15">
      <c r="A176" s="575">
        <v>44426</v>
      </c>
      <c r="B176" s="523">
        <v>63</v>
      </c>
      <c r="C176" s="523">
        <v>173</v>
      </c>
      <c r="D176" s="523">
        <v>2</v>
      </c>
      <c r="E176" s="523" t="s">
        <v>1274</v>
      </c>
      <c r="F176" s="554">
        <v>700000</v>
      </c>
      <c r="G176" s="524">
        <v>5</v>
      </c>
      <c r="H176" s="555">
        <v>0.05</v>
      </c>
      <c r="I176" s="560" t="s">
        <v>859</v>
      </c>
      <c r="J176" s="523" t="s">
        <v>864</v>
      </c>
      <c r="K176" s="528" t="str">
        <f>IFERROR(VLOOKUP($B176,'Clients-Live'!$A:$C,3,0),"")</f>
        <v>AWURU KADARA</v>
      </c>
      <c r="L176" s="528">
        <f>IF(E176="STL",Pricing!$D$38,IF(A176="",0,IF(A176&lt;Pricing!$C$25,Pricing!$D$25,VLOOKUP(Disbursements!$F176,Pricing!$B$29:$D$32,3))))</f>
        <v>20000</v>
      </c>
      <c r="M176" s="528">
        <f>IF(E176="STL",0,IF(F176&gt;0,Pricing!$D$21,0))</f>
        <v>5000</v>
      </c>
      <c r="N176" s="529">
        <f>IF(E176="STL",F176*Pricing!$D$40,IF(A176&lt;=Pricing!$C$4,0,IF(AND(A176&gt;Pricing!$C$4,Disbursements!A176&lt;=Pricing!$C$5),F176*Pricing!$E$5,IF(AND(A176&gt;Pricing!$C$5,Disbursements!A176&lt;=Pricing!$C$7),VLOOKUP(F176,Pricing!$D$7:$E$8,2)*Disbursements!F176,F176*Pricing!$E$9))))</f>
        <v>7000</v>
      </c>
      <c r="O176" s="528">
        <f>IF(E176="STL",0,IF($F176&gt;0,$F176*Pricing!$D$17,0))</f>
        <v>70000</v>
      </c>
      <c r="P176" s="530">
        <f t="shared" si="74"/>
        <v>175000</v>
      </c>
      <c r="Q176" s="531">
        <f>IF($A176="","",$G176/VLOOKUP($I176,Ref!$B$23:$D$29,2,0))</f>
        <v>5</v>
      </c>
      <c r="R176" s="530">
        <f t="shared" si="75"/>
        <v>875000</v>
      </c>
      <c r="S176" s="532">
        <f t="shared" si="69"/>
        <v>175000</v>
      </c>
      <c r="T176" s="531">
        <f t="shared" si="76"/>
        <v>175000</v>
      </c>
      <c r="U176" s="533">
        <f t="shared" si="77"/>
        <v>875000</v>
      </c>
      <c r="V176" s="531">
        <f t="shared" si="78"/>
        <v>140000</v>
      </c>
      <c r="W176" s="531">
        <f t="shared" si="79"/>
        <v>35000</v>
      </c>
      <c r="X176" s="534">
        <f t="shared" si="80"/>
        <v>175000</v>
      </c>
      <c r="Y176" s="535">
        <f>IF($A176="","",IF($I176="weekly",$A176+7,EDATE($A176,VLOOKUP($I176,Ref!$B$24:$C$29,2,0))))</f>
        <v>44457</v>
      </c>
      <c r="Z176" s="536" t="str">
        <f t="shared" si="81"/>
        <v>Sat</v>
      </c>
      <c r="AA176" s="531">
        <f t="shared" si="82"/>
        <v>31</v>
      </c>
      <c r="AB176" s="535">
        <f t="shared" si="70"/>
        <v>44579</v>
      </c>
      <c r="AC176" s="537">
        <f t="shared" si="71"/>
        <v>153</v>
      </c>
      <c r="AD176" s="538" t="str">
        <f t="shared" ca="1" si="72"/>
        <v>Expired</v>
      </c>
      <c r="AE176" s="537">
        <f t="shared" ca="1" si="73"/>
        <v>0</v>
      </c>
      <c r="AF176" s="539">
        <f t="shared" ca="1" si="83"/>
        <v>5</v>
      </c>
      <c r="AG176" s="531">
        <f t="shared" ca="1" si="84"/>
        <v>875000</v>
      </c>
      <c r="AH176" s="531">
        <f t="shared" ca="1" si="85"/>
        <v>175000</v>
      </c>
      <c r="AI176" s="531">
        <f t="shared" ca="1" si="86"/>
        <v>700000</v>
      </c>
      <c r="AJ176" s="531">
        <f t="shared" ca="1" si="87"/>
        <v>0</v>
      </c>
      <c r="AK176" s="540">
        <f>SUMIFS('Live Collections'!$S:$S,'Live Collections'!$D:$D,Disbursements!B176,'Live Collections'!$G:$G,Disbursements!C176)</f>
        <v>175000</v>
      </c>
      <c r="AL176" s="540">
        <f>SUMIFS('Live Collections'!$T:$T,'Live Collections'!$D:$D,Disbursements!B176,'Live Collections'!$G:$G,Disbursements!C176)</f>
        <v>700000</v>
      </c>
      <c r="AM176" s="541">
        <f t="shared" si="88"/>
        <v>875000</v>
      </c>
      <c r="AN176" s="542">
        <f t="shared" si="89"/>
        <v>0</v>
      </c>
      <c r="AO176" s="542">
        <f t="shared" si="90"/>
        <v>0</v>
      </c>
      <c r="AP176" s="543">
        <f t="shared" si="91"/>
        <v>0</v>
      </c>
      <c r="AQ176" s="544" t="str">
        <f t="shared" ca="1" si="92"/>
        <v/>
      </c>
      <c r="AR176" s="545">
        <f t="shared" ca="1" si="93"/>
        <v>0</v>
      </c>
      <c r="AS176" s="545">
        <f ca="1">IFERROR(CEILING($AR176*VLOOKUP($I176,Ref!$B$23:$E$29,4,0),1),0)</f>
        <v>0</v>
      </c>
      <c r="AT176" s="545" t="str">
        <f>IF(A176="","",IF(AP176&lt;=1,"Cleared",IF(AS176=0,"Clean",VLOOKUP($AS176,Ref!$G$23:$H$28,2))))</f>
        <v>Cleared</v>
      </c>
      <c r="AU176" s="546" t="str">
        <f t="shared" si="94"/>
        <v>Ok</v>
      </c>
    </row>
    <row r="177" spans="1:47" ht="15" customHeight="1" x14ac:dyDescent="0.15">
      <c r="A177" s="575">
        <v>44426</v>
      </c>
      <c r="B177" s="523">
        <v>75</v>
      </c>
      <c r="C177" s="523">
        <v>174</v>
      </c>
      <c r="D177" s="523">
        <v>2</v>
      </c>
      <c r="E177" s="523" t="s">
        <v>1274</v>
      </c>
      <c r="F177" s="554">
        <v>700000</v>
      </c>
      <c r="G177" s="524">
        <v>5</v>
      </c>
      <c r="H177" s="555">
        <v>0.05</v>
      </c>
      <c r="I177" s="560" t="s">
        <v>859</v>
      </c>
      <c r="J177" s="523" t="s">
        <v>862</v>
      </c>
      <c r="K177" s="528" t="str">
        <f>IFERROR(VLOOKUP($B177,'Clients-Live'!$A:$C,3,0),"")</f>
        <v>MUKULIA JAMES</v>
      </c>
      <c r="L177" s="528">
        <f>IF(E177="STL",Pricing!$D$38,IF(A177="",0,IF(A177&lt;Pricing!$C$25,Pricing!$D$25,VLOOKUP(Disbursements!$F177,Pricing!$B$29:$D$32,3))))</f>
        <v>20000</v>
      </c>
      <c r="M177" s="528">
        <f>IF(E177="STL",0,IF(F177&gt;0,Pricing!$D$21,0))</f>
        <v>5000</v>
      </c>
      <c r="N177" s="529">
        <f>IF(E177="STL",F177*Pricing!$D$40,IF(A177&lt;=Pricing!$C$4,0,IF(AND(A177&gt;Pricing!$C$4,Disbursements!A177&lt;=Pricing!$C$5),F177*Pricing!$E$5,IF(AND(A177&gt;Pricing!$C$5,Disbursements!A177&lt;=Pricing!$C$7),VLOOKUP(F177,Pricing!$D$7:$E$8,2)*Disbursements!F177,F177*Pricing!$E$9))))</f>
        <v>7000</v>
      </c>
      <c r="O177" s="528">
        <f>IF(E177="STL",0,IF($F177&gt;0,$F177*Pricing!$D$17,0))</f>
        <v>70000</v>
      </c>
      <c r="P177" s="530">
        <f t="shared" si="74"/>
        <v>175000</v>
      </c>
      <c r="Q177" s="531">
        <f>IF($A177="","",$G177/VLOOKUP($I177,Ref!$B$23:$D$29,2,0))</f>
        <v>5</v>
      </c>
      <c r="R177" s="530">
        <f t="shared" si="75"/>
        <v>875000</v>
      </c>
      <c r="S177" s="532">
        <f t="shared" si="69"/>
        <v>175000</v>
      </c>
      <c r="T177" s="531">
        <f t="shared" si="76"/>
        <v>175000</v>
      </c>
      <c r="U177" s="533">
        <f t="shared" si="77"/>
        <v>875000</v>
      </c>
      <c r="V177" s="531">
        <f t="shared" si="78"/>
        <v>140000</v>
      </c>
      <c r="W177" s="531">
        <f t="shared" si="79"/>
        <v>35000</v>
      </c>
      <c r="X177" s="534">
        <f t="shared" si="80"/>
        <v>175000</v>
      </c>
      <c r="Y177" s="535">
        <f>IF($A177="","",IF($I177="weekly",$A177+7,EDATE($A177,VLOOKUP($I177,Ref!$B$24:$C$29,2,0))))</f>
        <v>44457</v>
      </c>
      <c r="Z177" s="536" t="str">
        <f t="shared" si="81"/>
        <v>Sat</v>
      </c>
      <c r="AA177" s="531">
        <f t="shared" si="82"/>
        <v>31</v>
      </c>
      <c r="AB177" s="535">
        <f t="shared" si="70"/>
        <v>44579</v>
      </c>
      <c r="AC177" s="537">
        <f t="shared" si="71"/>
        <v>153</v>
      </c>
      <c r="AD177" s="538" t="str">
        <f t="shared" ca="1" si="72"/>
        <v>Expired</v>
      </c>
      <c r="AE177" s="537">
        <f t="shared" ca="1" si="73"/>
        <v>0</v>
      </c>
      <c r="AF177" s="539">
        <f t="shared" ca="1" si="83"/>
        <v>5</v>
      </c>
      <c r="AG177" s="531">
        <f t="shared" ca="1" si="84"/>
        <v>875000</v>
      </c>
      <c r="AH177" s="531">
        <f t="shared" ca="1" si="85"/>
        <v>175000</v>
      </c>
      <c r="AI177" s="531">
        <f t="shared" ca="1" si="86"/>
        <v>700000</v>
      </c>
      <c r="AJ177" s="531">
        <f t="shared" ca="1" si="87"/>
        <v>0</v>
      </c>
      <c r="AK177" s="540">
        <f>SUMIFS('Live Collections'!$S:$S,'Live Collections'!$D:$D,Disbursements!B177,'Live Collections'!$G:$G,Disbursements!C177)</f>
        <v>175000</v>
      </c>
      <c r="AL177" s="540">
        <f>SUMIFS('Live Collections'!$T:$T,'Live Collections'!$D:$D,Disbursements!B177,'Live Collections'!$G:$G,Disbursements!C177)</f>
        <v>700000</v>
      </c>
      <c r="AM177" s="541">
        <f t="shared" si="88"/>
        <v>875000</v>
      </c>
      <c r="AN177" s="542">
        <f t="shared" si="89"/>
        <v>0</v>
      </c>
      <c r="AO177" s="542">
        <f t="shared" si="90"/>
        <v>0</v>
      </c>
      <c r="AP177" s="543">
        <f t="shared" si="91"/>
        <v>0</v>
      </c>
      <c r="AQ177" s="544" t="str">
        <f t="shared" ca="1" si="92"/>
        <v/>
      </c>
      <c r="AR177" s="545">
        <f t="shared" ca="1" si="93"/>
        <v>0</v>
      </c>
      <c r="AS177" s="545">
        <f ca="1">IFERROR(CEILING($AR177*VLOOKUP($I177,Ref!$B$23:$E$29,4,0),1),0)</f>
        <v>0</v>
      </c>
      <c r="AT177" s="545" t="str">
        <f>IF(A177="","",IF(AP177&lt;=1,"Cleared",IF(AS177=0,"Clean",VLOOKUP($AS177,Ref!$G$23:$H$28,2))))</f>
        <v>Cleared</v>
      </c>
      <c r="AU177" s="546" t="str">
        <f t="shared" si="94"/>
        <v>Ok</v>
      </c>
    </row>
    <row r="178" spans="1:47" ht="15" customHeight="1" x14ac:dyDescent="0.15">
      <c r="A178" s="575">
        <v>44427</v>
      </c>
      <c r="B178" s="523">
        <v>176</v>
      </c>
      <c r="C178" s="523">
        <v>201</v>
      </c>
      <c r="D178" s="523">
        <v>1</v>
      </c>
      <c r="E178" s="523" t="s">
        <v>1274</v>
      </c>
      <c r="F178" s="554">
        <v>1200000</v>
      </c>
      <c r="G178" s="524">
        <v>4</v>
      </c>
      <c r="H178" s="555">
        <v>0.05</v>
      </c>
      <c r="I178" s="560" t="s">
        <v>859</v>
      </c>
      <c r="J178" s="523" t="s">
        <v>863</v>
      </c>
      <c r="K178" s="528" t="str">
        <f>IFERROR(VLOOKUP($B178,'Clients-Live'!$A:$C,3,0),"")</f>
        <v>AJONYE JANE SINANDUGU</v>
      </c>
      <c r="L178" s="528">
        <f>IF(E178="STL",Pricing!$D$38,IF(A178="",0,IF(A178&lt;Pricing!$C$25,Pricing!$D$25,VLOOKUP(Disbursements!$F178,Pricing!$B$29:$D$32,3))))</f>
        <v>25000</v>
      </c>
      <c r="M178" s="528">
        <f>IF(E178="STL",0,IF(F178&gt;0,Pricing!$D$21,0))</f>
        <v>5000</v>
      </c>
      <c r="N178" s="529">
        <f>IF(E178="STL",F178*Pricing!$D$40,IF(A178&lt;=Pricing!$C$4,0,IF(AND(A178&gt;Pricing!$C$4,Disbursements!A178&lt;=Pricing!$C$5),F178*Pricing!$E$5,IF(AND(A178&gt;Pricing!$C$5,Disbursements!A178&lt;=Pricing!$C$7),VLOOKUP(F178,Pricing!$D$7:$E$8,2)*Disbursements!F178,F178*Pricing!$E$9))))</f>
        <v>24000</v>
      </c>
      <c r="O178" s="528">
        <f>IF(E178="STL",0,IF($F178&gt;0,$F178*Pricing!$D$17,0))</f>
        <v>120000</v>
      </c>
      <c r="P178" s="530">
        <f t="shared" si="74"/>
        <v>240000</v>
      </c>
      <c r="Q178" s="531">
        <f>IF($A178="","",$G178/VLOOKUP($I178,Ref!$B$23:$D$29,2,0))</f>
        <v>4</v>
      </c>
      <c r="R178" s="530">
        <f t="shared" si="75"/>
        <v>1440000</v>
      </c>
      <c r="S178" s="532">
        <f t="shared" si="69"/>
        <v>360000</v>
      </c>
      <c r="T178" s="531">
        <f t="shared" si="76"/>
        <v>360000</v>
      </c>
      <c r="U178" s="533">
        <f t="shared" si="77"/>
        <v>1440000</v>
      </c>
      <c r="V178" s="531">
        <f t="shared" si="78"/>
        <v>300000</v>
      </c>
      <c r="W178" s="531">
        <f t="shared" si="79"/>
        <v>60000</v>
      </c>
      <c r="X178" s="534">
        <f t="shared" si="80"/>
        <v>240000</v>
      </c>
      <c r="Y178" s="535">
        <f>IF($A178="","",IF($I178="weekly",$A178+7,EDATE($A178,VLOOKUP($I178,Ref!$B$24:$C$29,2,0))))</f>
        <v>44458</v>
      </c>
      <c r="Z178" s="536" t="str">
        <f t="shared" si="81"/>
        <v>Sun</v>
      </c>
      <c r="AA178" s="531">
        <f t="shared" si="82"/>
        <v>31</v>
      </c>
      <c r="AB178" s="535">
        <f t="shared" si="70"/>
        <v>44549</v>
      </c>
      <c r="AC178" s="537">
        <f t="shared" si="71"/>
        <v>122</v>
      </c>
      <c r="AD178" s="538" t="str">
        <f t="shared" ca="1" si="72"/>
        <v>Expired</v>
      </c>
      <c r="AE178" s="537">
        <f t="shared" ca="1" si="73"/>
        <v>0</v>
      </c>
      <c r="AF178" s="539">
        <f t="shared" ca="1" si="83"/>
        <v>4</v>
      </c>
      <c r="AG178" s="531">
        <f t="shared" ca="1" si="84"/>
        <v>1440000</v>
      </c>
      <c r="AH178" s="531">
        <f t="shared" ca="1" si="85"/>
        <v>240000</v>
      </c>
      <c r="AI178" s="531">
        <f t="shared" ca="1" si="86"/>
        <v>1200000</v>
      </c>
      <c r="AJ178" s="531">
        <f t="shared" ca="1" si="87"/>
        <v>0</v>
      </c>
      <c r="AK178" s="540">
        <f>SUMIFS('Live Collections'!$S:$S,'Live Collections'!$D:$D,Disbursements!B178,'Live Collections'!$G:$G,Disbursements!C178)</f>
        <v>240000</v>
      </c>
      <c r="AL178" s="540">
        <f>SUMIFS('Live Collections'!$T:$T,'Live Collections'!$D:$D,Disbursements!B178,'Live Collections'!$G:$G,Disbursements!C178)</f>
        <v>1200000</v>
      </c>
      <c r="AM178" s="541">
        <f t="shared" si="88"/>
        <v>1440000</v>
      </c>
      <c r="AN178" s="542">
        <f t="shared" si="89"/>
        <v>0</v>
      </c>
      <c r="AO178" s="542">
        <f t="shared" si="90"/>
        <v>0</v>
      </c>
      <c r="AP178" s="543">
        <f t="shared" si="91"/>
        <v>0</v>
      </c>
      <c r="AQ178" s="544" t="str">
        <f t="shared" ca="1" si="92"/>
        <v/>
      </c>
      <c r="AR178" s="545">
        <f t="shared" ca="1" si="93"/>
        <v>0</v>
      </c>
      <c r="AS178" s="545">
        <f ca="1">IFERROR(CEILING($AR178*VLOOKUP($I178,Ref!$B$23:$E$29,4,0),1),0)</f>
        <v>0</v>
      </c>
      <c r="AT178" s="545" t="str">
        <f>IF(A178="","",IF(AP178&lt;=1,"Cleared",IF(AS178=0,"Clean",VLOOKUP($AS178,Ref!$G$23:$H$28,2))))</f>
        <v>Cleared</v>
      </c>
      <c r="AU178" s="546" t="str">
        <f t="shared" si="94"/>
        <v>Ok</v>
      </c>
    </row>
    <row r="179" spans="1:47" ht="15" customHeight="1" x14ac:dyDescent="0.15">
      <c r="A179" s="575">
        <v>44427</v>
      </c>
      <c r="B179" s="523">
        <v>182</v>
      </c>
      <c r="C179" s="523">
        <v>175</v>
      </c>
      <c r="D179" s="523">
        <v>1</v>
      </c>
      <c r="E179" s="523" t="s">
        <v>1274</v>
      </c>
      <c r="F179" s="554">
        <v>300000</v>
      </c>
      <c r="G179" s="524">
        <v>3</v>
      </c>
      <c r="H179" s="555">
        <v>0.05</v>
      </c>
      <c r="I179" s="560" t="s">
        <v>859</v>
      </c>
      <c r="J179" s="523" t="s">
        <v>863</v>
      </c>
      <c r="K179" s="528" t="str">
        <f>IFERROR(VLOOKUP($B179,'Clients-Live'!$A:$C,3,0),"")</f>
        <v>ANITE ZAM</v>
      </c>
      <c r="L179" s="528">
        <f>IF(E179="STL",Pricing!$D$38,IF(A179="",0,IF(A179&lt;Pricing!$C$25,Pricing!$D$25,VLOOKUP(Disbursements!$F179,Pricing!$B$29:$D$32,3))))</f>
        <v>15000</v>
      </c>
      <c r="M179" s="528">
        <f>IF(E179="STL",0,IF(F179&gt;0,Pricing!$D$21,0))</f>
        <v>5000</v>
      </c>
      <c r="N179" s="529">
        <f>IF(E179="STL",F179*Pricing!$D$40,IF(A179&lt;=Pricing!$C$4,0,IF(AND(A179&gt;Pricing!$C$4,Disbursements!A179&lt;=Pricing!$C$5),F179*Pricing!$E$5,IF(AND(A179&gt;Pricing!$C$5,Disbursements!A179&lt;=Pricing!$C$7),VLOOKUP(F179,Pricing!$D$7:$E$8,2)*Disbursements!F179,F179*Pricing!$E$9))))</f>
        <v>3000</v>
      </c>
      <c r="O179" s="528">
        <f>IF(E179="STL",0,IF($F179&gt;0,$F179*Pricing!$D$17,0))</f>
        <v>30000</v>
      </c>
      <c r="P179" s="530">
        <f t="shared" si="74"/>
        <v>45000</v>
      </c>
      <c r="Q179" s="531">
        <f>IF($A179="","",$G179/VLOOKUP($I179,Ref!$B$23:$D$29,2,0))</f>
        <v>3</v>
      </c>
      <c r="R179" s="530">
        <f t="shared" si="75"/>
        <v>345000</v>
      </c>
      <c r="S179" s="532">
        <f t="shared" si="69"/>
        <v>115000</v>
      </c>
      <c r="T179" s="531">
        <f t="shared" si="76"/>
        <v>115000</v>
      </c>
      <c r="U179" s="533">
        <f t="shared" si="77"/>
        <v>345000</v>
      </c>
      <c r="V179" s="531">
        <f t="shared" si="78"/>
        <v>100000</v>
      </c>
      <c r="W179" s="531">
        <f t="shared" si="79"/>
        <v>15000</v>
      </c>
      <c r="X179" s="534">
        <f t="shared" si="80"/>
        <v>45000</v>
      </c>
      <c r="Y179" s="535">
        <f>IF($A179="","",IF($I179="weekly",$A179+7,EDATE($A179,VLOOKUP($I179,Ref!$B$24:$C$29,2,0))))</f>
        <v>44458</v>
      </c>
      <c r="Z179" s="536" t="str">
        <f t="shared" si="81"/>
        <v>Sun</v>
      </c>
      <c r="AA179" s="531">
        <f t="shared" si="82"/>
        <v>31</v>
      </c>
      <c r="AB179" s="535">
        <f t="shared" si="70"/>
        <v>44519</v>
      </c>
      <c r="AC179" s="537">
        <f t="shared" si="71"/>
        <v>92</v>
      </c>
      <c r="AD179" s="538" t="str">
        <f t="shared" ca="1" si="72"/>
        <v>Expired</v>
      </c>
      <c r="AE179" s="537">
        <f t="shared" ca="1" si="73"/>
        <v>0</v>
      </c>
      <c r="AF179" s="539">
        <f t="shared" ca="1" si="83"/>
        <v>3</v>
      </c>
      <c r="AG179" s="531">
        <f t="shared" ca="1" si="84"/>
        <v>345000</v>
      </c>
      <c r="AH179" s="531">
        <f t="shared" ca="1" si="85"/>
        <v>45000</v>
      </c>
      <c r="AI179" s="531">
        <f t="shared" ca="1" si="86"/>
        <v>300000</v>
      </c>
      <c r="AJ179" s="531">
        <f t="shared" ca="1" si="87"/>
        <v>0</v>
      </c>
      <c r="AK179" s="540">
        <f>SUMIFS('Live Collections'!$S:$S,'Live Collections'!$D:$D,Disbursements!B179,'Live Collections'!$G:$G,Disbursements!C179)</f>
        <v>45000</v>
      </c>
      <c r="AL179" s="540">
        <f>SUMIFS('Live Collections'!$T:$T,'Live Collections'!$D:$D,Disbursements!B179,'Live Collections'!$G:$G,Disbursements!C179)</f>
        <v>300000</v>
      </c>
      <c r="AM179" s="541">
        <f t="shared" si="88"/>
        <v>345000</v>
      </c>
      <c r="AN179" s="542">
        <f t="shared" si="89"/>
        <v>0</v>
      </c>
      <c r="AO179" s="542">
        <f t="shared" si="90"/>
        <v>0</v>
      </c>
      <c r="AP179" s="543">
        <f t="shared" si="91"/>
        <v>0</v>
      </c>
      <c r="AQ179" s="544" t="str">
        <f t="shared" ca="1" si="92"/>
        <v/>
      </c>
      <c r="AR179" s="545">
        <f t="shared" ca="1" si="93"/>
        <v>0</v>
      </c>
      <c r="AS179" s="545">
        <f ca="1">IFERROR(CEILING($AR179*VLOOKUP($I179,Ref!$B$23:$E$29,4,0),1),0)</f>
        <v>0</v>
      </c>
      <c r="AT179" s="545" t="str">
        <f>IF(A179="","",IF(AP179&lt;=1,"Cleared",IF(AS179=0,"Clean",VLOOKUP($AS179,Ref!$G$23:$H$28,2))))</f>
        <v>Cleared</v>
      </c>
      <c r="AU179" s="546" t="str">
        <f t="shared" si="94"/>
        <v>Ok</v>
      </c>
    </row>
    <row r="180" spans="1:47" ht="15" customHeight="1" x14ac:dyDescent="0.15">
      <c r="A180" s="575">
        <v>44427</v>
      </c>
      <c r="B180" s="523">
        <v>190</v>
      </c>
      <c r="C180" s="523">
        <v>177</v>
      </c>
      <c r="D180" s="523">
        <v>1</v>
      </c>
      <c r="E180" s="523" t="s">
        <v>1274</v>
      </c>
      <c r="F180" s="554">
        <v>400000</v>
      </c>
      <c r="G180" s="524">
        <v>4</v>
      </c>
      <c r="H180" s="555">
        <v>0.05</v>
      </c>
      <c r="I180" s="560" t="s">
        <v>859</v>
      </c>
      <c r="J180" s="523" t="s">
        <v>864</v>
      </c>
      <c r="K180" s="528" t="str">
        <f>IFERROR(VLOOKUP($B180,'Clients-Live'!$A:$C,3,0),"")</f>
        <v>TAISA AMINA</v>
      </c>
      <c r="L180" s="528">
        <f>IF(E180="STL",Pricing!$D$38,IF(A180="",0,IF(A180&lt;Pricing!$C$25,Pricing!$D$25,VLOOKUP(Disbursements!$F180,Pricing!$B$29:$D$32,3))))</f>
        <v>15000</v>
      </c>
      <c r="M180" s="528">
        <f>IF(E180="STL",0,IF(F180&gt;0,Pricing!$D$21,0))</f>
        <v>5000</v>
      </c>
      <c r="N180" s="529">
        <f>IF(E180="STL",F180*Pricing!$D$40,IF(A180&lt;=Pricing!$C$4,0,IF(AND(A180&gt;Pricing!$C$4,Disbursements!A180&lt;=Pricing!$C$5),F180*Pricing!$E$5,IF(AND(A180&gt;Pricing!$C$5,Disbursements!A180&lt;=Pricing!$C$7),VLOOKUP(F180,Pricing!$D$7:$E$8,2)*Disbursements!F180,F180*Pricing!$E$9))))</f>
        <v>4000</v>
      </c>
      <c r="O180" s="528">
        <f>IF(E180="STL",0,IF($F180&gt;0,$F180*Pricing!$D$17,0))</f>
        <v>40000</v>
      </c>
      <c r="P180" s="530">
        <f t="shared" si="74"/>
        <v>80000</v>
      </c>
      <c r="Q180" s="531">
        <f>IF($A180="","",$G180/VLOOKUP($I180,Ref!$B$23:$D$29,2,0))</f>
        <v>4</v>
      </c>
      <c r="R180" s="530">
        <f t="shared" si="75"/>
        <v>480000</v>
      </c>
      <c r="S180" s="532">
        <f t="shared" si="69"/>
        <v>120000</v>
      </c>
      <c r="T180" s="531">
        <f t="shared" si="76"/>
        <v>120000</v>
      </c>
      <c r="U180" s="533">
        <f t="shared" si="77"/>
        <v>480000</v>
      </c>
      <c r="V180" s="531">
        <f t="shared" si="78"/>
        <v>100000</v>
      </c>
      <c r="W180" s="531">
        <f t="shared" si="79"/>
        <v>20000</v>
      </c>
      <c r="X180" s="534">
        <f t="shared" si="80"/>
        <v>80000</v>
      </c>
      <c r="Y180" s="535">
        <f>IF($A180="","",IF($I180="weekly",$A180+7,EDATE($A180,VLOOKUP($I180,Ref!$B$24:$C$29,2,0))))</f>
        <v>44458</v>
      </c>
      <c r="Z180" s="536" t="str">
        <f t="shared" si="81"/>
        <v>Sun</v>
      </c>
      <c r="AA180" s="531">
        <f t="shared" si="82"/>
        <v>31</v>
      </c>
      <c r="AB180" s="535">
        <f t="shared" si="70"/>
        <v>44549</v>
      </c>
      <c r="AC180" s="537">
        <f t="shared" si="71"/>
        <v>122</v>
      </c>
      <c r="AD180" s="538" t="str">
        <f t="shared" ca="1" si="72"/>
        <v>Expired</v>
      </c>
      <c r="AE180" s="537">
        <f t="shared" ca="1" si="73"/>
        <v>0</v>
      </c>
      <c r="AF180" s="539">
        <f t="shared" ca="1" si="83"/>
        <v>4</v>
      </c>
      <c r="AG180" s="531">
        <f t="shared" ca="1" si="84"/>
        <v>480000</v>
      </c>
      <c r="AH180" s="531">
        <f t="shared" ca="1" si="85"/>
        <v>80000</v>
      </c>
      <c r="AI180" s="531">
        <f t="shared" ca="1" si="86"/>
        <v>400000</v>
      </c>
      <c r="AJ180" s="531">
        <f t="shared" ca="1" si="87"/>
        <v>0</v>
      </c>
      <c r="AK180" s="540">
        <f>SUMIFS('Live Collections'!$S:$S,'Live Collections'!$D:$D,Disbursements!B180,'Live Collections'!$G:$G,Disbursements!C180)</f>
        <v>80000</v>
      </c>
      <c r="AL180" s="540">
        <f>SUMIFS('Live Collections'!$T:$T,'Live Collections'!$D:$D,Disbursements!B180,'Live Collections'!$G:$G,Disbursements!C180)</f>
        <v>400000</v>
      </c>
      <c r="AM180" s="541">
        <f t="shared" si="88"/>
        <v>480000</v>
      </c>
      <c r="AN180" s="542">
        <f t="shared" si="89"/>
        <v>0</v>
      </c>
      <c r="AO180" s="542">
        <f t="shared" si="90"/>
        <v>0</v>
      </c>
      <c r="AP180" s="543">
        <f t="shared" si="91"/>
        <v>0</v>
      </c>
      <c r="AQ180" s="544" t="str">
        <f t="shared" ca="1" si="92"/>
        <v/>
      </c>
      <c r="AR180" s="545">
        <f t="shared" ca="1" si="93"/>
        <v>0</v>
      </c>
      <c r="AS180" s="545">
        <f ca="1">IFERROR(CEILING($AR180*VLOOKUP($I180,Ref!$B$23:$E$29,4,0),1),0)</f>
        <v>0</v>
      </c>
      <c r="AT180" s="545" t="str">
        <f>IF(A180="","",IF(AP180&lt;=1,"Cleared",IF(AS180=0,"Clean",VLOOKUP($AS180,Ref!$G$23:$H$28,2))))</f>
        <v>Cleared</v>
      </c>
      <c r="AU180" s="546" t="str">
        <f t="shared" si="94"/>
        <v>Ok</v>
      </c>
    </row>
    <row r="181" spans="1:47" ht="15" customHeight="1" x14ac:dyDescent="0.15">
      <c r="A181" s="575">
        <v>44428</v>
      </c>
      <c r="B181" s="523">
        <v>187</v>
      </c>
      <c r="C181" s="523">
        <v>179</v>
      </c>
      <c r="D181" s="523">
        <v>1</v>
      </c>
      <c r="E181" s="523" t="s">
        <v>1274</v>
      </c>
      <c r="F181" s="554">
        <v>400000</v>
      </c>
      <c r="G181" s="524">
        <v>4</v>
      </c>
      <c r="H181" s="555">
        <v>0.05</v>
      </c>
      <c r="I181" s="560" t="s">
        <v>859</v>
      </c>
      <c r="J181" s="523" t="s">
        <v>863</v>
      </c>
      <c r="K181" s="528" t="str">
        <f>IFERROR(VLOOKUP($B181,'Clients-Live'!$A:$C,3,0),"")</f>
        <v xml:space="preserve">AJIO HARRIET </v>
      </c>
      <c r="L181" s="528">
        <f>IF(E181="STL",Pricing!$D$38,IF(A181="",0,IF(A181&lt;Pricing!$C$25,Pricing!$D$25,VLOOKUP(Disbursements!$F181,Pricing!$B$29:$D$32,3))))</f>
        <v>15000</v>
      </c>
      <c r="M181" s="528">
        <f>IF(E181="STL",0,IF(F181&gt;0,Pricing!$D$21,0))</f>
        <v>5000</v>
      </c>
      <c r="N181" s="529">
        <f>IF(E181="STL",F181*Pricing!$D$40,IF(A181&lt;=Pricing!$C$4,0,IF(AND(A181&gt;Pricing!$C$4,Disbursements!A181&lt;=Pricing!$C$5),F181*Pricing!$E$5,IF(AND(A181&gt;Pricing!$C$5,Disbursements!A181&lt;=Pricing!$C$7),VLOOKUP(F181,Pricing!$D$7:$E$8,2)*Disbursements!F181,F181*Pricing!$E$9))))</f>
        <v>4000</v>
      </c>
      <c r="O181" s="528">
        <f>IF(E181="STL",0,IF($F181&gt;0,$F181*Pricing!$D$17,0))</f>
        <v>40000</v>
      </c>
      <c r="P181" s="530">
        <f t="shared" si="74"/>
        <v>80000</v>
      </c>
      <c r="Q181" s="531">
        <f>IF($A181="","",$G181/VLOOKUP($I181,Ref!$B$23:$D$29,2,0))</f>
        <v>4</v>
      </c>
      <c r="R181" s="530">
        <f t="shared" si="75"/>
        <v>480000</v>
      </c>
      <c r="S181" s="532">
        <f t="shared" si="69"/>
        <v>120000</v>
      </c>
      <c r="T181" s="531">
        <f t="shared" si="76"/>
        <v>120000</v>
      </c>
      <c r="U181" s="533">
        <f t="shared" si="77"/>
        <v>480000</v>
      </c>
      <c r="V181" s="531">
        <f t="shared" si="78"/>
        <v>100000</v>
      </c>
      <c r="W181" s="531">
        <f t="shared" si="79"/>
        <v>20000</v>
      </c>
      <c r="X181" s="534">
        <f t="shared" si="80"/>
        <v>80000</v>
      </c>
      <c r="Y181" s="535">
        <f>IF($A181="","",IF($I181="weekly",$A181+7,EDATE($A181,VLOOKUP($I181,Ref!$B$24:$C$29,2,0))))</f>
        <v>44459</v>
      </c>
      <c r="Z181" s="536" t="str">
        <f t="shared" si="81"/>
        <v>Mon</v>
      </c>
      <c r="AA181" s="531">
        <f t="shared" si="82"/>
        <v>31</v>
      </c>
      <c r="AB181" s="535">
        <f t="shared" si="70"/>
        <v>44550</v>
      </c>
      <c r="AC181" s="537">
        <f t="shared" si="71"/>
        <v>122</v>
      </c>
      <c r="AD181" s="538" t="str">
        <f t="shared" ca="1" si="72"/>
        <v>Expired</v>
      </c>
      <c r="AE181" s="537">
        <f t="shared" ca="1" si="73"/>
        <v>0</v>
      </c>
      <c r="AF181" s="539">
        <f t="shared" ca="1" si="83"/>
        <v>4</v>
      </c>
      <c r="AG181" s="531">
        <f t="shared" ca="1" si="84"/>
        <v>480000</v>
      </c>
      <c r="AH181" s="531">
        <f t="shared" ca="1" si="85"/>
        <v>80000</v>
      </c>
      <c r="AI181" s="531">
        <f t="shared" ca="1" si="86"/>
        <v>400000</v>
      </c>
      <c r="AJ181" s="531">
        <f t="shared" ca="1" si="87"/>
        <v>0</v>
      </c>
      <c r="AK181" s="540">
        <f>SUMIFS('Live Collections'!$S:$S,'Live Collections'!$D:$D,Disbursements!B181,'Live Collections'!$G:$G,Disbursements!C181)</f>
        <v>80000</v>
      </c>
      <c r="AL181" s="540">
        <f>SUMIFS('Live Collections'!$T:$T,'Live Collections'!$D:$D,Disbursements!B181,'Live Collections'!$G:$G,Disbursements!C181)</f>
        <v>400000</v>
      </c>
      <c r="AM181" s="541">
        <f t="shared" si="88"/>
        <v>480000</v>
      </c>
      <c r="AN181" s="542">
        <f t="shared" si="89"/>
        <v>0</v>
      </c>
      <c r="AO181" s="542">
        <f t="shared" si="90"/>
        <v>0</v>
      </c>
      <c r="AP181" s="543">
        <f t="shared" si="91"/>
        <v>0</v>
      </c>
      <c r="AQ181" s="544" t="str">
        <f t="shared" ca="1" si="92"/>
        <v/>
      </c>
      <c r="AR181" s="545">
        <f t="shared" ca="1" si="93"/>
        <v>0</v>
      </c>
      <c r="AS181" s="545">
        <f ca="1">IFERROR(CEILING($AR181*VLOOKUP($I181,Ref!$B$23:$E$29,4,0),1),0)</f>
        <v>0</v>
      </c>
      <c r="AT181" s="545" t="str">
        <f>IF(A181="","",IF(AP181&lt;=1,"Cleared",IF(AS181=0,"Clean",VLOOKUP($AS181,Ref!$G$23:$H$28,2))))</f>
        <v>Cleared</v>
      </c>
      <c r="AU181" s="546" t="str">
        <f t="shared" si="94"/>
        <v>Ok</v>
      </c>
    </row>
    <row r="182" spans="1:47" ht="15" customHeight="1" x14ac:dyDescent="0.15">
      <c r="A182" s="575">
        <v>44428</v>
      </c>
      <c r="B182" s="523">
        <v>188</v>
      </c>
      <c r="C182" s="523">
        <v>180</v>
      </c>
      <c r="D182" s="523">
        <v>1</v>
      </c>
      <c r="E182" s="523" t="s">
        <v>1274</v>
      </c>
      <c r="F182" s="554">
        <v>400000</v>
      </c>
      <c r="G182" s="524">
        <v>3</v>
      </c>
      <c r="H182" s="555">
        <v>0.05</v>
      </c>
      <c r="I182" s="560" t="s">
        <v>859</v>
      </c>
      <c r="J182" s="523" t="s">
        <v>863</v>
      </c>
      <c r="K182" s="528" t="str">
        <f>IFERROR(VLOOKUP($B182,'Clients-Live'!$A:$C,3,0),"")</f>
        <v>ADIRU HELLEN</v>
      </c>
      <c r="L182" s="528">
        <f>IF(E182="STL",Pricing!$D$38,IF(A182="",0,IF(A182&lt;Pricing!$C$25,Pricing!$D$25,VLOOKUP(Disbursements!$F182,Pricing!$B$29:$D$32,3))))</f>
        <v>15000</v>
      </c>
      <c r="M182" s="528">
        <f>IF(E182="STL",0,IF(F182&gt;0,Pricing!$D$21,0))</f>
        <v>5000</v>
      </c>
      <c r="N182" s="529">
        <f>IF(E182="STL",F182*Pricing!$D$40,IF(A182&lt;=Pricing!$C$4,0,IF(AND(A182&gt;Pricing!$C$4,Disbursements!A182&lt;=Pricing!$C$5),F182*Pricing!$E$5,IF(AND(A182&gt;Pricing!$C$5,Disbursements!A182&lt;=Pricing!$C$7),VLOOKUP(F182,Pricing!$D$7:$E$8,2)*Disbursements!F182,F182*Pricing!$E$9))))</f>
        <v>4000</v>
      </c>
      <c r="O182" s="528">
        <f>IF(E182="STL",0,IF($F182&gt;0,$F182*Pricing!$D$17,0))</f>
        <v>40000</v>
      </c>
      <c r="P182" s="530">
        <f t="shared" si="74"/>
        <v>60000</v>
      </c>
      <c r="Q182" s="531">
        <f>IF($A182="","",$G182/VLOOKUP($I182,Ref!$B$23:$D$29,2,0))</f>
        <v>3</v>
      </c>
      <c r="R182" s="530">
        <f t="shared" si="75"/>
        <v>460000</v>
      </c>
      <c r="S182" s="532">
        <f t="shared" si="69"/>
        <v>153333.33333333334</v>
      </c>
      <c r="T182" s="531">
        <f t="shared" si="76"/>
        <v>154000</v>
      </c>
      <c r="U182" s="533">
        <f t="shared" si="77"/>
        <v>462000</v>
      </c>
      <c r="V182" s="531">
        <f t="shared" si="78"/>
        <v>133333.33333333334</v>
      </c>
      <c r="W182" s="531">
        <f t="shared" si="79"/>
        <v>20666.666666666657</v>
      </c>
      <c r="X182" s="534">
        <f t="shared" si="80"/>
        <v>61999.999999999971</v>
      </c>
      <c r="Y182" s="535">
        <f>IF($A182="","",IF($I182="weekly",$A182+7,EDATE($A182,VLOOKUP($I182,Ref!$B$24:$C$29,2,0))))</f>
        <v>44459</v>
      </c>
      <c r="Z182" s="536" t="str">
        <f t="shared" si="81"/>
        <v>Mon</v>
      </c>
      <c r="AA182" s="531">
        <f t="shared" si="82"/>
        <v>31</v>
      </c>
      <c r="AB182" s="535">
        <f t="shared" si="70"/>
        <v>44520</v>
      </c>
      <c r="AC182" s="537">
        <f t="shared" si="71"/>
        <v>92</v>
      </c>
      <c r="AD182" s="538" t="str">
        <f t="shared" ca="1" si="72"/>
        <v>Expired</v>
      </c>
      <c r="AE182" s="537">
        <f t="shared" ca="1" si="73"/>
        <v>0</v>
      </c>
      <c r="AF182" s="539">
        <f t="shared" ca="1" si="83"/>
        <v>3</v>
      </c>
      <c r="AG182" s="531">
        <f t="shared" ca="1" si="84"/>
        <v>462000</v>
      </c>
      <c r="AH182" s="531">
        <f t="shared" ca="1" si="85"/>
        <v>61999.999999999971</v>
      </c>
      <c r="AI182" s="531">
        <f t="shared" ca="1" si="86"/>
        <v>400000</v>
      </c>
      <c r="AJ182" s="531">
        <f t="shared" ca="1" si="87"/>
        <v>0</v>
      </c>
      <c r="AK182" s="540">
        <f>SUMIFS('Live Collections'!$S:$S,'Live Collections'!$D:$D,Disbursements!B182,'Live Collections'!$G:$G,Disbursements!C182)</f>
        <v>61999.999999999971</v>
      </c>
      <c r="AL182" s="540">
        <f>SUMIFS('Live Collections'!$T:$T,'Live Collections'!$D:$D,Disbursements!B182,'Live Collections'!$G:$G,Disbursements!C182)</f>
        <v>398000</v>
      </c>
      <c r="AM182" s="541">
        <f t="shared" si="88"/>
        <v>460000</v>
      </c>
      <c r="AN182" s="542">
        <f t="shared" si="89"/>
        <v>0</v>
      </c>
      <c r="AO182" s="542">
        <f t="shared" si="90"/>
        <v>2000</v>
      </c>
      <c r="AP182" s="543">
        <f t="shared" si="91"/>
        <v>2000</v>
      </c>
      <c r="AQ182" s="544">
        <f t="shared" ca="1" si="92"/>
        <v>2000</v>
      </c>
      <c r="AR182" s="545">
        <f t="shared" ca="1" si="93"/>
        <v>1.2987012987012988E-2</v>
      </c>
      <c r="AS182" s="545">
        <f ca="1">IFERROR(CEILING($AR182*VLOOKUP($I182,Ref!$B$23:$E$29,4,0),1),0)</f>
        <v>1</v>
      </c>
      <c r="AT182" s="545" t="str">
        <f ca="1">IF(A182="","",IF(AP182&lt;=1,"Cleared",IF(AS182=0,"Clean",VLOOKUP($AS182,Ref!$G$23:$H$28,2))))</f>
        <v>1.(0-30) Days</v>
      </c>
      <c r="AU182" s="546" t="str">
        <f t="shared" si="94"/>
        <v>Ok</v>
      </c>
    </row>
    <row r="183" spans="1:47" ht="15" customHeight="1" x14ac:dyDescent="0.15">
      <c r="A183" s="575">
        <v>44428</v>
      </c>
      <c r="B183" s="523">
        <v>189</v>
      </c>
      <c r="C183" s="523">
        <v>178</v>
      </c>
      <c r="D183" s="523">
        <v>1</v>
      </c>
      <c r="E183" s="523" t="s">
        <v>1274</v>
      </c>
      <c r="F183" s="554">
        <v>400000</v>
      </c>
      <c r="G183" s="524">
        <v>4</v>
      </c>
      <c r="H183" s="555">
        <v>0.05</v>
      </c>
      <c r="I183" s="560" t="s">
        <v>859</v>
      </c>
      <c r="J183" s="523" t="s">
        <v>862</v>
      </c>
      <c r="K183" s="528" t="str">
        <f>IFERROR(VLOOKUP($B183,'Clients-Live'!$A:$C,3,0),"")</f>
        <v>AYIDA SELUWA</v>
      </c>
      <c r="L183" s="528">
        <f>IF(E183="STL",Pricing!$D$38,IF(A183="",0,IF(A183&lt;Pricing!$C$25,Pricing!$D$25,VLOOKUP(Disbursements!$F183,Pricing!$B$29:$D$32,3))))</f>
        <v>15000</v>
      </c>
      <c r="M183" s="528">
        <f>IF(E183="STL",0,IF(F183&gt;0,Pricing!$D$21,0))</f>
        <v>5000</v>
      </c>
      <c r="N183" s="529">
        <f>IF(E183="STL",F183*Pricing!$D$40,IF(A183&lt;=Pricing!$C$4,0,IF(AND(A183&gt;Pricing!$C$4,Disbursements!A183&lt;=Pricing!$C$5),F183*Pricing!$E$5,IF(AND(A183&gt;Pricing!$C$5,Disbursements!A183&lt;=Pricing!$C$7),VLOOKUP(F183,Pricing!$D$7:$E$8,2)*Disbursements!F183,F183*Pricing!$E$9))))</f>
        <v>4000</v>
      </c>
      <c r="O183" s="528">
        <f>IF(E183="STL",0,IF($F183&gt;0,$F183*Pricing!$D$17,0))</f>
        <v>40000</v>
      </c>
      <c r="P183" s="530">
        <f t="shared" si="74"/>
        <v>80000</v>
      </c>
      <c r="Q183" s="531">
        <f>IF($A183="","",$G183/VLOOKUP($I183,Ref!$B$23:$D$29,2,0))</f>
        <v>4</v>
      </c>
      <c r="R183" s="530">
        <f t="shared" si="75"/>
        <v>480000</v>
      </c>
      <c r="S183" s="532">
        <f t="shared" si="69"/>
        <v>120000</v>
      </c>
      <c r="T183" s="531">
        <f t="shared" si="76"/>
        <v>120000</v>
      </c>
      <c r="U183" s="533">
        <f t="shared" si="77"/>
        <v>480000</v>
      </c>
      <c r="V183" s="531">
        <f t="shared" si="78"/>
        <v>100000</v>
      </c>
      <c r="W183" s="531">
        <f t="shared" si="79"/>
        <v>20000</v>
      </c>
      <c r="X183" s="534">
        <f t="shared" si="80"/>
        <v>80000</v>
      </c>
      <c r="Y183" s="535">
        <f>IF($A183="","",IF($I183="weekly",$A183+7,EDATE($A183,VLOOKUP($I183,Ref!$B$24:$C$29,2,0))))</f>
        <v>44459</v>
      </c>
      <c r="Z183" s="536" t="str">
        <f t="shared" si="81"/>
        <v>Mon</v>
      </c>
      <c r="AA183" s="531">
        <f t="shared" si="82"/>
        <v>31</v>
      </c>
      <c r="AB183" s="535">
        <f t="shared" si="70"/>
        <v>44550</v>
      </c>
      <c r="AC183" s="537">
        <f t="shared" si="71"/>
        <v>122</v>
      </c>
      <c r="AD183" s="538" t="str">
        <f t="shared" ca="1" si="72"/>
        <v>Expired</v>
      </c>
      <c r="AE183" s="537">
        <f t="shared" ca="1" si="73"/>
        <v>0</v>
      </c>
      <c r="AF183" s="539">
        <f t="shared" ca="1" si="83"/>
        <v>4</v>
      </c>
      <c r="AG183" s="531">
        <f t="shared" ca="1" si="84"/>
        <v>480000</v>
      </c>
      <c r="AH183" s="531">
        <f t="shared" ca="1" si="85"/>
        <v>80000</v>
      </c>
      <c r="AI183" s="531">
        <f t="shared" ca="1" si="86"/>
        <v>400000</v>
      </c>
      <c r="AJ183" s="531">
        <f t="shared" ca="1" si="87"/>
        <v>0</v>
      </c>
      <c r="AK183" s="540">
        <f>SUMIFS('Live Collections'!$S:$S,'Live Collections'!$D:$D,Disbursements!B183,'Live Collections'!$G:$G,Disbursements!C183)</f>
        <v>80000</v>
      </c>
      <c r="AL183" s="540">
        <f>SUMIFS('Live Collections'!$T:$T,'Live Collections'!$D:$D,Disbursements!B183,'Live Collections'!$G:$G,Disbursements!C183)</f>
        <v>400000</v>
      </c>
      <c r="AM183" s="541">
        <f t="shared" si="88"/>
        <v>480000</v>
      </c>
      <c r="AN183" s="542">
        <f t="shared" si="89"/>
        <v>0</v>
      </c>
      <c r="AO183" s="542">
        <f t="shared" si="90"/>
        <v>0</v>
      </c>
      <c r="AP183" s="543">
        <f t="shared" si="91"/>
        <v>0</v>
      </c>
      <c r="AQ183" s="544" t="str">
        <f t="shared" ca="1" si="92"/>
        <v/>
      </c>
      <c r="AR183" s="545">
        <f t="shared" ca="1" si="93"/>
        <v>0</v>
      </c>
      <c r="AS183" s="545">
        <f ca="1">IFERROR(CEILING($AR183*VLOOKUP($I183,Ref!$B$23:$E$29,4,0),1),0)</f>
        <v>0</v>
      </c>
      <c r="AT183" s="545" t="str">
        <f>IF(A183="","",IF(AP183&lt;=1,"Cleared",IF(AS183=0,"Clean",VLOOKUP($AS183,Ref!$G$23:$H$28,2))))</f>
        <v>Cleared</v>
      </c>
      <c r="AU183" s="546" t="str">
        <f t="shared" si="94"/>
        <v>Ok</v>
      </c>
    </row>
    <row r="184" spans="1:47" ht="15" customHeight="1" x14ac:dyDescent="0.15">
      <c r="A184" s="575">
        <v>44430</v>
      </c>
      <c r="B184" s="523">
        <v>98</v>
      </c>
      <c r="C184" s="523">
        <v>232</v>
      </c>
      <c r="D184" s="523">
        <v>2</v>
      </c>
      <c r="E184" s="579" t="s">
        <v>1274</v>
      </c>
      <c r="F184" s="580">
        <v>700000</v>
      </c>
      <c r="G184" s="524">
        <v>5</v>
      </c>
      <c r="H184" s="555">
        <v>0.05</v>
      </c>
      <c r="I184" s="560" t="s">
        <v>859</v>
      </c>
      <c r="J184" s="523" t="s">
        <v>864</v>
      </c>
      <c r="K184" s="528" t="str">
        <f>IFERROR(VLOOKUP($B184,'Clients-Live'!$A:$C,3,0),"")</f>
        <v>AMANIYO CLARA</v>
      </c>
      <c r="L184" s="528">
        <f>IF(E184="STL",Pricing!$D$38,IF(A184="",0,IF(A184&lt;Pricing!$C$25,Pricing!$D$25,VLOOKUP(Disbursements!$F184,Pricing!$B$29:$D$32,3))))</f>
        <v>20000</v>
      </c>
      <c r="M184" s="528">
        <f>IF(E184="STL",0,IF(F184&gt;0,Pricing!$D$21,0))</f>
        <v>5000</v>
      </c>
      <c r="N184" s="529">
        <f>IF(E184="STL",F184*Pricing!$D$40,IF(A184&lt;=Pricing!$C$4,0,IF(AND(A184&gt;Pricing!$C$4,Disbursements!A184&lt;=Pricing!$C$5),F184*Pricing!$E$5,IF(AND(A184&gt;Pricing!$C$5,Disbursements!A184&lt;=Pricing!$C$7),VLOOKUP(F184,Pricing!$D$7:$E$8,2)*Disbursements!F184,F184*Pricing!$E$9))))</f>
        <v>7000</v>
      </c>
      <c r="O184" s="528">
        <f>IF(E184="STL",0,IF($F184&gt;0,$F184*Pricing!$D$17,0))</f>
        <v>70000</v>
      </c>
      <c r="P184" s="530">
        <f t="shared" si="74"/>
        <v>175000</v>
      </c>
      <c r="Q184" s="531">
        <f>IF($A184="","",$G184/VLOOKUP($I184,Ref!$B$23:$D$29,2,0))</f>
        <v>5</v>
      </c>
      <c r="R184" s="530">
        <f t="shared" si="75"/>
        <v>875000</v>
      </c>
      <c r="S184" s="532">
        <f t="shared" si="69"/>
        <v>175000</v>
      </c>
      <c r="T184" s="531">
        <f t="shared" si="76"/>
        <v>175000</v>
      </c>
      <c r="U184" s="533">
        <f t="shared" si="77"/>
        <v>875000</v>
      </c>
      <c r="V184" s="531">
        <f t="shared" si="78"/>
        <v>140000</v>
      </c>
      <c r="W184" s="531">
        <f t="shared" si="79"/>
        <v>35000</v>
      </c>
      <c r="X184" s="534">
        <f t="shared" si="80"/>
        <v>175000</v>
      </c>
      <c r="Y184" s="535">
        <f>IF($A184="","",IF($I184="weekly",$A184+7,EDATE($A184,VLOOKUP($I184,Ref!$B$24:$C$29,2,0))))</f>
        <v>44461</v>
      </c>
      <c r="Z184" s="536" t="str">
        <f t="shared" si="81"/>
        <v>Wed</v>
      </c>
      <c r="AA184" s="531">
        <f t="shared" si="82"/>
        <v>31</v>
      </c>
      <c r="AB184" s="535">
        <f t="shared" si="70"/>
        <v>44583</v>
      </c>
      <c r="AC184" s="537">
        <f t="shared" si="71"/>
        <v>153</v>
      </c>
      <c r="AD184" s="538" t="str">
        <f t="shared" ca="1" si="72"/>
        <v>Expired</v>
      </c>
      <c r="AE184" s="537">
        <f t="shared" ca="1" si="73"/>
        <v>0</v>
      </c>
      <c r="AF184" s="539">
        <f t="shared" ca="1" si="83"/>
        <v>5</v>
      </c>
      <c r="AG184" s="531">
        <f t="shared" ca="1" si="84"/>
        <v>875000</v>
      </c>
      <c r="AH184" s="531">
        <f t="shared" ca="1" si="85"/>
        <v>175000</v>
      </c>
      <c r="AI184" s="531">
        <f t="shared" ca="1" si="86"/>
        <v>700000</v>
      </c>
      <c r="AJ184" s="531">
        <f t="shared" ca="1" si="87"/>
        <v>0</v>
      </c>
      <c r="AK184" s="540">
        <f>SUMIFS('Live Collections'!$S:$S,'Live Collections'!$D:$D,Disbursements!B184,'Live Collections'!$G:$G,Disbursements!C184)</f>
        <v>175000</v>
      </c>
      <c r="AL184" s="540">
        <f>SUMIFS('Live Collections'!$T:$T,'Live Collections'!$D:$D,Disbursements!B184,'Live Collections'!$G:$G,Disbursements!C184)</f>
        <v>360000</v>
      </c>
      <c r="AM184" s="541">
        <f t="shared" si="88"/>
        <v>535000</v>
      </c>
      <c r="AN184" s="542">
        <f t="shared" si="89"/>
        <v>0</v>
      </c>
      <c r="AO184" s="542">
        <f t="shared" si="90"/>
        <v>340000</v>
      </c>
      <c r="AP184" s="543">
        <f t="shared" si="91"/>
        <v>340000</v>
      </c>
      <c r="AQ184" s="544">
        <f t="shared" ca="1" si="92"/>
        <v>340000</v>
      </c>
      <c r="AR184" s="545">
        <f t="shared" ca="1" si="93"/>
        <v>1.9428571428571428</v>
      </c>
      <c r="AS184" s="545">
        <f ca="1">IFERROR(CEILING($AR184*VLOOKUP($I184,Ref!$B$23:$E$29,4,0),1),0)</f>
        <v>59</v>
      </c>
      <c r="AT184" s="545" t="str">
        <f ca="1">IF(A184="","",IF(AP184&lt;=1,"Cleared",IF(AS184=0,"Clean",VLOOKUP($AS184,Ref!$G$23:$H$28,2))))</f>
        <v>2.(31-60) Days</v>
      </c>
      <c r="AU184" s="546" t="str">
        <f t="shared" si="94"/>
        <v>Ok</v>
      </c>
    </row>
    <row r="185" spans="1:47" ht="15" customHeight="1" x14ac:dyDescent="0.15">
      <c r="A185" s="575">
        <v>44431</v>
      </c>
      <c r="B185" s="523">
        <v>86</v>
      </c>
      <c r="C185" s="523">
        <v>231</v>
      </c>
      <c r="D185" s="523">
        <v>2</v>
      </c>
      <c r="E185" s="579" t="s">
        <v>1274</v>
      </c>
      <c r="F185" s="580">
        <v>1000000</v>
      </c>
      <c r="G185" s="524">
        <v>6</v>
      </c>
      <c r="H185" s="555">
        <v>0.05</v>
      </c>
      <c r="I185" s="560" t="s">
        <v>859</v>
      </c>
      <c r="J185" s="523" t="s">
        <v>863</v>
      </c>
      <c r="K185" s="528" t="str">
        <f>IFERROR(VLOOKUP($B185,'Clients-Live'!$A:$C,3,0),"")</f>
        <v>AMANIYO JOYCE</v>
      </c>
      <c r="L185" s="528">
        <f>IF(E185="STL",Pricing!$D$38,IF(A185="",0,IF(A185&lt;Pricing!$C$25,Pricing!$D$25,VLOOKUP(Disbursements!$F185,Pricing!$B$29:$D$32,3))))</f>
        <v>20000</v>
      </c>
      <c r="M185" s="528">
        <f>IF(E185="STL",0,IF(F185&gt;0,Pricing!$D$21,0))</f>
        <v>5000</v>
      </c>
      <c r="N185" s="529">
        <f>IF(E185="STL",F185*Pricing!$D$40,IF(A185&lt;=Pricing!$C$4,0,IF(AND(A185&gt;Pricing!$C$4,Disbursements!A185&lt;=Pricing!$C$5),F185*Pricing!$E$5,IF(AND(A185&gt;Pricing!$C$5,Disbursements!A185&lt;=Pricing!$C$7),VLOOKUP(F185,Pricing!$D$7:$E$8,2)*Disbursements!F185,F185*Pricing!$E$9))))</f>
        <v>10000</v>
      </c>
      <c r="O185" s="528">
        <f>IF(E185="STL",0,IF($F185&gt;0,$F185*Pricing!$D$17,0))</f>
        <v>100000</v>
      </c>
      <c r="P185" s="530">
        <f t="shared" si="74"/>
        <v>300000</v>
      </c>
      <c r="Q185" s="531">
        <f>IF($A185="","",$G185/VLOOKUP($I185,Ref!$B$23:$D$29,2,0))</f>
        <v>6</v>
      </c>
      <c r="R185" s="530">
        <f t="shared" si="75"/>
        <v>1300000</v>
      </c>
      <c r="S185" s="532">
        <f t="shared" si="69"/>
        <v>216666.66666666666</v>
      </c>
      <c r="T185" s="531">
        <f t="shared" si="76"/>
        <v>217000</v>
      </c>
      <c r="U185" s="533">
        <f t="shared" si="77"/>
        <v>1302000</v>
      </c>
      <c r="V185" s="531">
        <f t="shared" si="78"/>
        <v>166666.66666666666</v>
      </c>
      <c r="W185" s="531">
        <f t="shared" si="79"/>
        <v>50333.333333333343</v>
      </c>
      <c r="X185" s="534">
        <f t="shared" si="80"/>
        <v>302000.00000000006</v>
      </c>
      <c r="Y185" s="535">
        <f>IF($A185="","",IF($I185="weekly",$A185+7,EDATE($A185,VLOOKUP($I185,Ref!$B$24:$C$29,2,0))))</f>
        <v>44462</v>
      </c>
      <c r="Z185" s="536" t="str">
        <f t="shared" si="81"/>
        <v>Thu</v>
      </c>
      <c r="AA185" s="531">
        <f t="shared" si="82"/>
        <v>31</v>
      </c>
      <c r="AB185" s="535">
        <f t="shared" si="70"/>
        <v>44615</v>
      </c>
      <c r="AC185" s="537">
        <f t="shared" si="71"/>
        <v>184</v>
      </c>
      <c r="AD185" s="538" t="str">
        <f t="shared" ca="1" si="72"/>
        <v>Expired</v>
      </c>
      <c r="AE185" s="537">
        <f t="shared" ca="1" si="73"/>
        <v>0</v>
      </c>
      <c r="AF185" s="539">
        <f t="shared" ca="1" si="83"/>
        <v>6</v>
      </c>
      <c r="AG185" s="531">
        <f t="shared" ca="1" si="84"/>
        <v>1302000</v>
      </c>
      <c r="AH185" s="531">
        <f t="shared" ca="1" si="85"/>
        <v>302000.00000000006</v>
      </c>
      <c r="AI185" s="531">
        <f t="shared" ca="1" si="86"/>
        <v>1000000</v>
      </c>
      <c r="AJ185" s="531">
        <f t="shared" ca="1" si="87"/>
        <v>0</v>
      </c>
      <c r="AK185" s="540">
        <f>SUMIFS('Live Collections'!$S:$S,'Live Collections'!$D:$D,Disbursements!B185,'Live Collections'!$G:$G,Disbursements!C185)</f>
        <v>302000.00000000006</v>
      </c>
      <c r="AL185" s="540">
        <f>SUMIFS('Live Collections'!$T:$T,'Live Collections'!$D:$D,Disbursements!B185,'Live Collections'!$G:$G,Disbursements!C185)</f>
        <v>990099.99999999977</v>
      </c>
      <c r="AM185" s="541">
        <f t="shared" si="88"/>
        <v>1292099.9999999998</v>
      </c>
      <c r="AN185" s="542">
        <f t="shared" si="89"/>
        <v>0</v>
      </c>
      <c r="AO185" s="542">
        <f t="shared" si="90"/>
        <v>9900.0000000002328</v>
      </c>
      <c r="AP185" s="543">
        <f t="shared" si="91"/>
        <v>9900.0000000002328</v>
      </c>
      <c r="AQ185" s="544">
        <f t="shared" ca="1" si="92"/>
        <v>9900.0000000002328</v>
      </c>
      <c r="AR185" s="545">
        <f t="shared" ca="1" si="93"/>
        <v>4.5622119815669278E-2</v>
      </c>
      <c r="AS185" s="545">
        <f ca="1">IFERROR(CEILING($AR185*VLOOKUP($I185,Ref!$B$23:$E$29,4,0),1),0)</f>
        <v>2</v>
      </c>
      <c r="AT185" s="545" t="str">
        <f ca="1">IF(A185="","",IF(AP185&lt;=1,"Cleared",IF(AS185=0,"Clean",VLOOKUP($AS185,Ref!$G$23:$H$28,2))))</f>
        <v>1.(0-30) Days</v>
      </c>
      <c r="AU185" s="546" t="str">
        <f t="shared" si="94"/>
        <v>Ok</v>
      </c>
    </row>
    <row r="186" spans="1:47" ht="15" customHeight="1" x14ac:dyDescent="0.15">
      <c r="A186" s="575">
        <v>44431</v>
      </c>
      <c r="B186" s="523">
        <v>177</v>
      </c>
      <c r="C186" s="523">
        <v>183</v>
      </c>
      <c r="D186" s="523">
        <v>1</v>
      </c>
      <c r="E186" s="523" t="s">
        <v>1274</v>
      </c>
      <c r="F186" s="554">
        <v>2000000</v>
      </c>
      <c r="G186" s="561">
        <v>6</v>
      </c>
      <c r="H186" s="555">
        <v>0.05</v>
      </c>
      <c r="I186" s="560" t="s">
        <v>861</v>
      </c>
      <c r="J186" s="523" t="s">
        <v>863</v>
      </c>
      <c r="K186" s="528" t="str">
        <f>IFERROR(VLOOKUP($B186,'Clients-Live'!$A:$C,3,0),"")</f>
        <v>EFIT GIFT</v>
      </c>
      <c r="L186" s="528">
        <f>IF(E186="STL",Pricing!$D$38,IF(A186="",0,IF(A186&lt;Pricing!$C$25,Pricing!$D$25,VLOOKUP(Disbursements!$F186,Pricing!$B$29:$D$32,3))))</f>
        <v>25000</v>
      </c>
      <c r="M186" s="528">
        <f>IF(E186="STL",0,IF(F186&gt;0,Pricing!$D$21,0))</f>
        <v>5000</v>
      </c>
      <c r="N186" s="529">
        <f>IF(E186="STL",F186*Pricing!$D$40,IF(A186&lt;=Pricing!$C$4,0,IF(AND(A186&gt;Pricing!$C$4,Disbursements!A186&lt;=Pricing!$C$5),F186*Pricing!$E$5,IF(AND(A186&gt;Pricing!$C$5,Disbursements!A186&lt;=Pricing!$C$7),VLOOKUP(F186,Pricing!$D$7:$E$8,2)*Disbursements!F186,F186*Pricing!$E$9))))</f>
        <v>40000</v>
      </c>
      <c r="O186" s="528">
        <f>IF(E186="STL",0,IF($F186&gt;0,$F186*Pricing!$D$17,0))</f>
        <v>200000</v>
      </c>
      <c r="P186" s="530">
        <f t="shared" si="74"/>
        <v>600000</v>
      </c>
      <c r="Q186" s="531">
        <f>IF($A186="","",$G186/VLOOKUP($I186,Ref!$B$23:$D$29,2,0))</f>
        <v>24</v>
      </c>
      <c r="R186" s="530">
        <f t="shared" si="75"/>
        <v>2600000</v>
      </c>
      <c r="S186" s="532">
        <f t="shared" si="69"/>
        <v>108333.33333333333</v>
      </c>
      <c r="T186" s="531">
        <f t="shared" si="76"/>
        <v>109000</v>
      </c>
      <c r="U186" s="533">
        <f t="shared" si="77"/>
        <v>2616000</v>
      </c>
      <c r="V186" s="531">
        <f t="shared" si="78"/>
        <v>83333.333333333328</v>
      </c>
      <c r="W186" s="531">
        <f t="shared" si="79"/>
        <v>25666.666666666672</v>
      </c>
      <c r="X186" s="534">
        <f t="shared" si="80"/>
        <v>616000.00000000012</v>
      </c>
      <c r="Y186" s="535">
        <f>IF($A186="","",IF($I186="weekly",$A186+7,EDATE($A186,VLOOKUP($I186,Ref!$B$24:$C$29,2,0))))</f>
        <v>44438</v>
      </c>
      <c r="Z186" s="536" t="str">
        <f t="shared" si="81"/>
        <v>Mon</v>
      </c>
      <c r="AA186" s="531">
        <f t="shared" si="82"/>
        <v>7</v>
      </c>
      <c r="AB186" s="535">
        <f t="shared" si="70"/>
        <v>44615</v>
      </c>
      <c r="AC186" s="537">
        <f t="shared" si="71"/>
        <v>184</v>
      </c>
      <c r="AD186" s="538" t="str">
        <f t="shared" ca="1" si="72"/>
        <v>Expired</v>
      </c>
      <c r="AE186" s="537">
        <f t="shared" ca="1" si="73"/>
        <v>0</v>
      </c>
      <c r="AF186" s="539">
        <f t="shared" ca="1" si="83"/>
        <v>24</v>
      </c>
      <c r="AG186" s="531">
        <f t="shared" ca="1" si="84"/>
        <v>2616000</v>
      </c>
      <c r="AH186" s="531">
        <f t="shared" ca="1" si="85"/>
        <v>616000.00000000012</v>
      </c>
      <c r="AI186" s="531">
        <f t="shared" ca="1" si="86"/>
        <v>2000000</v>
      </c>
      <c r="AJ186" s="531">
        <f t="shared" ca="1" si="87"/>
        <v>0</v>
      </c>
      <c r="AK186" s="540">
        <f>SUMIFS('Live Collections'!$S:$S,'Live Collections'!$D:$D,Disbursements!B186,'Live Collections'!$G:$G,Disbursements!C186)</f>
        <v>616000.00000000012</v>
      </c>
      <c r="AL186" s="540">
        <f>SUMIFS('Live Collections'!$T:$T,'Live Collections'!$D:$D,Disbursements!B186,'Live Collections'!$G:$G,Disbursements!C186)</f>
        <v>1983999.9999999995</v>
      </c>
      <c r="AM186" s="541">
        <f t="shared" si="88"/>
        <v>2599999.9999999995</v>
      </c>
      <c r="AN186" s="542">
        <f t="shared" si="89"/>
        <v>0</v>
      </c>
      <c r="AO186" s="542">
        <f t="shared" si="90"/>
        <v>16000.000000000466</v>
      </c>
      <c r="AP186" s="543">
        <f t="shared" si="91"/>
        <v>16000.000000000466</v>
      </c>
      <c r="AQ186" s="544">
        <f t="shared" ca="1" si="92"/>
        <v>16000.000000000466</v>
      </c>
      <c r="AR186" s="545">
        <f t="shared" ca="1" si="93"/>
        <v>0.14678899082569236</v>
      </c>
      <c r="AS186" s="545">
        <f ca="1">IFERROR(CEILING($AR186*VLOOKUP($I186,Ref!$B$23:$E$29,4,0),1),0)</f>
        <v>2</v>
      </c>
      <c r="AT186" s="545" t="str">
        <f ca="1">IF(A186="","",IF(AP186&lt;=1,"Cleared",IF(AS186=0,"Clean",VLOOKUP($AS186,Ref!$G$23:$H$28,2))))</f>
        <v>1.(0-30) Days</v>
      </c>
      <c r="AU186" s="546" t="str">
        <f t="shared" si="94"/>
        <v>Ok</v>
      </c>
    </row>
    <row r="187" spans="1:47" ht="15" customHeight="1" x14ac:dyDescent="0.15">
      <c r="A187" s="575">
        <v>44431</v>
      </c>
      <c r="B187" s="523">
        <v>185</v>
      </c>
      <c r="C187" s="523">
        <v>182</v>
      </c>
      <c r="D187" s="523">
        <v>1</v>
      </c>
      <c r="E187" s="523" t="s">
        <v>1274</v>
      </c>
      <c r="F187" s="554">
        <v>1000000</v>
      </c>
      <c r="G187" s="524">
        <v>4</v>
      </c>
      <c r="H187" s="555">
        <v>0.05</v>
      </c>
      <c r="I187" s="560" t="s">
        <v>859</v>
      </c>
      <c r="J187" s="523" t="s">
        <v>864</v>
      </c>
      <c r="K187" s="528" t="str">
        <f>IFERROR(VLOOKUP($B187,'Clients-Live'!$A:$C,3,0),"")</f>
        <v>APAYI HARRIET</v>
      </c>
      <c r="L187" s="528">
        <f>IF(E187="STL",Pricing!$D$38,IF(A187="",0,IF(A187&lt;Pricing!$C$25,Pricing!$D$25,VLOOKUP(Disbursements!$F187,Pricing!$B$29:$D$32,3))))</f>
        <v>20000</v>
      </c>
      <c r="M187" s="528">
        <f>IF(E187="STL",0,IF(F187&gt;0,Pricing!$D$21,0))</f>
        <v>5000</v>
      </c>
      <c r="N187" s="529">
        <f>IF(E187="STL",F187*Pricing!$D$40,IF(A187&lt;=Pricing!$C$4,0,IF(AND(A187&gt;Pricing!$C$4,Disbursements!A187&lt;=Pricing!$C$5),F187*Pricing!$E$5,IF(AND(A187&gt;Pricing!$C$5,Disbursements!A187&lt;=Pricing!$C$7),VLOOKUP(F187,Pricing!$D$7:$E$8,2)*Disbursements!F187,F187*Pricing!$E$9))))</f>
        <v>10000</v>
      </c>
      <c r="O187" s="528">
        <f>IF(E187="STL",0,IF($F187&gt;0,$F187*Pricing!$D$17,0))</f>
        <v>100000</v>
      </c>
      <c r="P187" s="530">
        <f t="shared" si="74"/>
        <v>200000</v>
      </c>
      <c r="Q187" s="531">
        <f>IF($A187="","",$G187/VLOOKUP($I187,Ref!$B$23:$D$29,2,0))</f>
        <v>4</v>
      </c>
      <c r="R187" s="530">
        <f t="shared" si="75"/>
        <v>1200000</v>
      </c>
      <c r="S187" s="532">
        <f t="shared" si="69"/>
        <v>300000</v>
      </c>
      <c r="T187" s="531">
        <f t="shared" si="76"/>
        <v>300000</v>
      </c>
      <c r="U187" s="533">
        <f t="shared" si="77"/>
        <v>1200000</v>
      </c>
      <c r="V187" s="531">
        <f t="shared" si="78"/>
        <v>250000</v>
      </c>
      <c r="W187" s="531">
        <f t="shared" si="79"/>
        <v>50000</v>
      </c>
      <c r="X187" s="534">
        <f t="shared" si="80"/>
        <v>200000</v>
      </c>
      <c r="Y187" s="535">
        <f>IF($A187="","",IF($I187="weekly",$A187+7,EDATE($A187,VLOOKUP($I187,Ref!$B$24:$C$29,2,0))))</f>
        <v>44462</v>
      </c>
      <c r="Z187" s="536" t="str">
        <f t="shared" si="81"/>
        <v>Thu</v>
      </c>
      <c r="AA187" s="531">
        <f t="shared" si="82"/>
        <v>31</v>
      </c>
      <c r="AB187" s="535">
        <f t="shared" si="70"/>
        <v>44553</v>
      </c>
      <c r="AC187" s="537">
        <f t="shared" si="71"/>
        <v>122</v>
      </c>
      <c r="AD187" s="538" t="str">
        <f t="shared" ca="1" si="72"/>
        <v>Expired</v>
      </c>
      <c r="AE187" s="537">
        <f t="shared" ca="1" si="73"/>
        <v>0</v>
      </c>
      <c r="AF187" s="539">
        <f t="shared" ca="1" si="83"/>
        <v>4</v>
      </c>
      <c r="AG187" s="531">
        <f t="shared" ca="1" si="84"/>
        <v>1200000</v>
      </c>
      <c r="AH187" s="531">
        <f t="shared" ca="1" si="85"/>
        <v>200000</v>
      </c>
      <c r="AI187" s="531">
        <f t="shared" ca="1" si="86"/>
        <v>1000000</v>
      </c>
      <c r="AJ187" s="531">
        <f t="shared" ca="1" si="87"/>
        <v>0</v>
      </c>
      <c r="AK187" s="540">
        <f>SUMIFS('Live Collections'!$S:$S,'Live Collections'!$D:$D,Disbursements!B187,'Live Collections'!$G:$G,Disbursements!C187)</f>
        <v>200000</v>
      </c>
      <c r="AL187" s="540">
        <f>SUMIFS('Live Collections'!$T:$T,'Live Collections'!$D:$D,Disbursements!B187,'Live Collections'!$G:$G,Disbursements!C187)</f>
        <v>1000000</v>
      </c>
      <c r="AM187" s="541">
        <f t="shared" si="88"/>
        <v>1200000</v>
      </c>
      <c r="AN187" s="542">
        <f t="shared" si="89"/>
        <v>0</v>
      </c>
      <c r="AO187" s="542">
        <f t="shared" si="90"/>
        <v>0</v>
      </c>
      <c r="AP187" s="543">
        <f t="shared" si="91"/>
        <v>0</v>
      </c>
      <c r="AQ187" s="544" t="str">
        <f t="shared" ca="1" si="92"/>
        <v/>
      </c>
      <c r="AR187" s="545">
        <f t="shared" ca="1" si="93"/>
        <v>0</v>
      </c>
      <c r="AS187" s="545">
        <f ca="1">IFERROR(CEILING($AR187*VLOOKUP($I187,Ref!$B$23:$E$29,4,0),1),0)</f>
        <v>0</v>
      </c>
      <c r="AT187" s="545" t="str">
        <f>IF(A187="","",IF(AP187&lt;=1,"Cleared",IF(AS187=0,"Clean",VLOOKUP($AS187,Ref!$G$23:$H$28,2))))</f>
        <v>Cleared</v>
      </c>
      <c r="AU187" s="546" t="str">
        <f t="shared" si="94"/>
        <v>Ok</v>
      </c>
    </row>
    <row r="188" spans="1:47" ht="15" customHeight="1" x14ac:dyDescent="0.15">
      <c r="A188" s="575">
        <v>44431</v>
      </c>
      <c r="B188" s="523">
        <v>180</v>
      </c>
      <c r="C188" s="523">
        <v>185</v>
      </c>
      <c r="D188" s="523">
        <v>1</v>
      </c>
      <c r="E188" s="523" t="s">
        <v>1275</v>
      </c>
      <c r="F188" s="554">
        <v>700000</v>
      </c>
      <c r="G188" s="524">
        <v>3</v>
      </c>
      <c r="H188" s="555">
        <v>7.4999999999999997E-2</v>
      </c>
      <c r="I188" s="560" t="s">
        <v>859</v>
      </c>
      <c r="J188" s="523" t="s">
        <v>862</v>
      </c>
      <c r="K188" s="528" t="str">
        <f>IFERROR(VLOOKUP($B188,'Clients-Live'!$A:$C,3,0),"")</f>
        <v>IJOSIGA ISMAIL</v>
      </c>
      <c r="L188" s="528">
        <f>IF(E188="STL",Pricing!$D$38,IF(A188="",0,IF(A188&lt;Pricing!$C$25,Pricing!$D$25,VLOOKUP(Disbursements!$F188,Pricing!$B$29:$D$32,3))))</f>
        <v>20000</v>
      </c>
      <c r="M188" s="528">
        <f>IF(E188="STL",0,IF(F188&gt;0,Pricing!$D$21,0))</f>
        <v>5000</v>
      </c>
      <c r="N188" s="529">
        <f>IF(E188="STL",F188*Pricing!$D$40,IF(A188&lt;=Pricing!$C$4,0,IF(AND(A188&gt;Pricing!$C$4,Disbursements!A188&lt;=Pricing!$C$5),F188*Pricing!$E$5,IF(AND(A188&gt;Pricing!$C$5,Disbursements!A188&lt;=Pricing!$C$7),VLOOKUP(F188,Pricing!$D$7:$E$8,2)*Disbursements!F188,F188*Pricing!$E$9))))</f>
        <v>7000</v>
      </c>
      <c r="O188" s="528">
        <f>IF(E188="STL",0,IF($F188&gt;0,$F188*Pricing!$D$17,0))</f>
        <v>70000</v>
      </c>
      <c r="P188" s="530">
        <f t="shared" si="74"/>
        <v>157500</v>
      </c>
      <c r="Q188" s="531">
        <f>IF($A188="","",$G188/VLOOKUP($I188,Ref!$B$23:$D$29,2,0))</f>
        <v>3</v>
      </c>
      <c r="R188" s="530">
        <f t="shared" si="75"/>
        <v>857500</v>
      </c>
      <c r="S188" s="532">
        <f t="shared" si="69"/>
        <v>285833.33333333331</v>
      </c>
      <c r="T188" s="531">
        <f t="shared" si="76"/>
        <v>286000</v>
      </c>
      <c r="U188" s="533">
        <f t="shared" si="77"/>
        <v>858000</v>
      </c>
      <c r="V188" s="531">
        <f t="shared" si="78"/>
        <v>233333.33333333334</v>
      </c>
      <c r="W188" s="531">
        <f t="shared" si="79"/>
        <v>52666.666666666657</v>
      </c>
      <c r="X188" s="534">
        <f t="shared" si="80"/>
        <v>157999.99999999997</v>
      </c>
      <c r="Y188" s="535">
        <f>IF($A188="","",IF($I188="weekly",$A188+7,EDATE($A188,VLOOKUP($I188,Ref!$B$24:$C$29,2,0))))</f>
        <v>44462</v>
      </c>
      <c r="Z188" s="536" t="str">
        <f t="shared" si="81"/>
        <v>Thu</v>
      </c>
      <c r="AA188" s="531">
        <f t="shared" si="82"/>
        <v>31</v>
      </c>
      <c r="AB188" s="535">
        <f t="shared" si="70"/>
        <v>44523</v>
      </c>
      <c r="AC188" s="537">
        <f t="shared" si="71"/>
        <v>92</v>
      </c>
      <c r="AD188" s="538" t="str">
        <f t="shared" ca="1" si="72"/>
        <v>Expired</v>
      </c>
      <c r="AE188" s="537">
        <f t="shared" ca="1" si="73"/>
        <v>0</v>
      </c>
      <c r="AF188" s="539">
        <f t="shared" ca="1" si="83"/>
        <v>3</v>
      </c>
      <c r="AG188" s="531">
        <f t="shared" ca="1" si="84"/>
        <v>858000</v>
      </c>
      <c r="AH188" s="531">
        <f t="shared" ca="1" si="85"/>
        <v>157999.99999999997</v>
      </c>
      <c r="AI188" s="531">
        <f t="shared" ca="1" si="86"/>
        <v>700000</v>
      </c>
      <c r="AJ188" s="531">
        <f t="shared" ca="1" si="87"/>
        <v>0</v>
      </c>
      <c r="AK188" s="540">
        <f>SUMIFS('Live Collections'!$S:$S,'Live Collections'!$D:$D,Disbursements!B188,'Live Collections'!$G:$G,Disbursements!C188)</f>
        <v>157999.99999999997</v>
      </c>
      <c r="AL188" s="540">
        <f>SUMIFS('Live Collections'!$T:$T,'Live Collections'!$D:$D,Disbursements!B188,'Live Collections'!$G:$G,Disbursements!C188)</f>
        <v>604500</v>
      </c>
      <c r="AM188" s="541">
        <f t="shared" si="88"/>
        <v>762500</v>
      </c>
      <c r="AN188" s="542">
        <f t="shared" si="89"/>
        <v>0</v>
      </c>
      <c r="AO188" s="542">
        <f t="shared" si="90"/>
        <v>95500</v>
      </c>
      <c r="AP188" s="543">
        <f t="shared" si="91"/>
        <v>95500</v>
      </c>
      <c r="AQ188" s="544">
        <f t="shared" ca="1" si="92"/>
        <v>95500</v>
      </c>
      <c r="AR188" s="545">
        <f t="shared" ca="1" si="93"/>
        <v>0.33391608391608391</v>
      </c>
      <c r="AS188" s="545">
        <f ca="1">IFERROR(CEILING($AR188*VLOOKUP($I188,Ref!$B$23:$E$29,4,0),1),0)</f>
        <v>11</v>
      </c>
      <c r="AT188" s="545" t="str">
        <f ca="1">IF(A188="","",IF(AP188&lt;=1,"Cleared",IF(AS188=0,"Clean",VLOOKUP($AS188,Ref!$G$23:$H$28,2))))</f>
        <v>1.(0-30) Days</v>
      </c>
      <c r="AU188" s="546" t="str">
        <f t="shared" si="94"/>
        <v>Ok</v>
      </c>
    </row>
    <row r="189" spans="1:47" ht="15" customHeight="1" x14ac:dyDescent="0.15">
      <c r="A189" s="575">
        <v>44431</v>
      </c>
      <c r="B189" s="523">
        <v>192</v>
      </c>
      <c r="C189" s="523">
        <v>181</v>
      </c>
      <c r="D189" s="523">
        <v>1</v>
      </c>
      <c r="E189" s="523" t="s">
        <v>1274</v>
      </c>
      <c r="F189" s="554">
        <v>300000</v>
      </c>
      <c r="G189" s="524">
        <v>3</v>
      </c>
      <c r="H189" s="555">
        <v>0.05</v>
      </c>
      <c r="I189" s="560" t="s">
        <v>859</v>
      </c>
      <c r="J189" s="523" t="s">
        <v>864</v>
      </c>
      <c r="K189" s="528" t="str">
        <f>IFERROR(VLOOKUP($B189,'Clients-Live'!$A:$C,3,0),"")</f>
        <v>MAZARAU AISHA</v>
      </c>
      <c r="L189" s="528">
        <f>IF(E189="STL",Pricing!$D$38,IF(A189="",0,IF(A189&lt;Pricing!$C$25,Pricing!$D$25,VLOOKUP(Disbursements!$F189,Pricing!$B$29:$D$32,3))))</f>
        <v>15000</v>
      </c>
      <c r="M189" s="528">
        <f>IF(E189="STL",0,IF(F189&gt;0,Pricing!$D$21,0))</f>
        <v>5000</v>
      </c>
      <c r="N189" s="529">
        <f>IF(E189="STL",F189*Pricing!$D$40,IF(A189&lt;=Pricing!$C$4,0,IF(AND(A189&gt;Pricing!$C$4,Disbursements!A189&lt;=Pricing!$C$5),F189*Pricing!$E$5,IF(AND(A189&gt;Pricing!$C$5,Disbursements!A189&lt;=Pricing!$C$7),VLOOKUP(F189,Pricing!$D$7:$E$8,2)*Disbursements!F189,F189*Pricing!$E$9))))</f>
        <v>3000</v>
      </c>
      <c r="O189" s="528">
        <f>IF(E189="STL",0,IF($F189&gt;0,$F189*Pricing!$D$17,0))</f>
        <v>30000</v>
      </c>
      <c r="P189" s="530">
        <f t="shared" si="74"/>
        <v>45000</v>
      </c>
      <c r="Q189" s="531">
        <f>IF($A189="","",$G189/VLOOKUP($I189,Ref!$B$23:$D$29,2,0))</f>
        <v>3</v>
      </c>
      <c r="R189" s="530">
        <f t="shared" si="75"/>
        <v>345000</v>
      </c>
      <c r="S189" s="532">
        <f t="shared" si="69"/>
        <v>115000</v>
      </c>
      <c r="T189" s="531">
        <f t="shared" si="76"/>
        <v>115000</v>
      </c>
      <c r="U189" s="533">
        <f t="shared" si="77"/>
        <v>345000</v>
      </c>
      <c r="V189" s="531">
        <f t="shared" si="78"/>
        <v>100000</v>
      </c>
      <c r="W189" s="531">
        <f t="shared" si="79"/>
        <v>15000</v>
      </c>
      <c r="X189" s="534">
        <f t="shared" si="80"/>
        <v>45000</v>
      </c>
      <c r="Y189" s="535">
        <f>IF($A189="","",IF($I189="weekly",$A189+7,EDATE($A189,VLOOKUP($I189,Ref!$B$24:$C$29,2,0))))</f>
        <v>44462</v>
      </c>
      <c r="Z189" s="536" t="str">
        <f t="shared" si="81"/>
        <v>Thu</v>
      </c>
      <c r="AA189" s="531">
        <f t="shared" si="82"/>
        <v>31</v>
      </c>
      <c r="AB189" s="535">
        <f t="shared" si="70"/>
        <v>44523</v>
      </c>
      <c r="AC189" s="537">
        <f t="shared" si="71"/>
        <v>92</v>
      </c>
      <c r="AD189" s="538" t="str">
        <f t="shared" ca="1" si="72"/>
        <v>Expired</v>
      </c>
      <c r="AE189" s="537">
        <f t="shared" ca="1" si="73"/>
        <v>0</v>
      </c>
      <c r="AF189" s="539">
        <f t="shared" ca="1" si="83"/>
        <v>3</v>
      </c>
      <c r="AG189" s="531">
        <f t="shared" ca="1" si="84"/>
        <v>345000</v>
      </c>
      <c r="AH189" s="531">
        <f t="shared" ca="1" si="85"/>
        <v>45000</v>
      </c>
      <c r="AI189" s="531">
        <f t="shared" ca="1" si="86"/>
        <v>300000</v>
      </c>
      <c r="AJ189" s="531">
        <f t="shared" ca="1" si="87"/>
        <v>0</v>
      </c>
      <c r="AK189" s="540">
        <f>SUMIFS('Live Collections'!$S:$S,'Live Collections'!$D:$D,Disbursements!B189,'Live Collections'!$G:$G,Disbursements!C189)</f>
        <v>45000</v>
      </c>
      <c r="AL189" s="540">
        <f>SUMIFS('Live Collections'!$T:$T,'Live Collections'!$D:$D,Disbursements!B189,'Live Collections'!$G:$G,Disbursements!C189)</f>
        <v>300000</v>
      </c>
      <c r="AM189" s="541">
        <f t="shared" si="88"/>
        <v>345000</v>
      </c>
      <c r="AN189" s="542">
        <f t="shared" si="89"/>
        <v>0</v>
      </c>
      <c r="AO189" s="542">
        <f t="shared" si="90"/>
        <v>0</v>
      </c>
      <c r="AP189" s="543">
        <f t="shared" si="91"/>
        <v>0</v>
      </c>
      <c r="AQ189" s="544" t="str">
        <f t="shared" ca="1" si="92"/>
        <v/>
      </c>
      <c r="AR189" s="545">
        <f t="shared" ca="1" si="93"/>
        <v>0</v>
      </c>
      <c r="AS189" s="545">
        <f ca="1">IFERROR(CEILING($AR189*VLOOKUP($I189,Ref!$B$23:$E$29,4,0),1),0)</f>
        <v>0</v>
      </c>
      <c r="AT189" s="545" t="str">
        <f>IF(A189="","",IF(AP189&lt;=1,"Cleared",IF(AS189=0,"Clean",VLOOKUP($AS189,Ref!$G$23:$H$28,2))))</f>
        <v>Cleared</v>
      </c>
      <c r="AU189" s="546" t="str">
        <f t="shared" si="94"/>
        <v>Ok</v>
      </c>
    </row>
    <row r="190" spans="1:47" ht="15" customHeight="1" x14ac:dyDescent="0.15">
      <c r="A190" s="575">
        <v>44432</v>
      </c>
      <c r="B190" s="523">
        <v>76</v>
      </c>
      <c r="C190" s="523">
        <v>187</v>
      </c>
      <c r="D190" s="523">
        <v>2</v>
      </c>
      <c r="E190" s="523" t="s">
        <v>1274</v>
      </c>
      <c r="F190" s="554">
        <v>600000</v>
      </c>
      <c r="G190" s="524">
        <v>4</v>
      </c>
      <c r="H190" s="555">
        <v>0.05</v>
      </c>
      <c r="I190" s="560" t="s">
        <v>859</v>
      </c>
      <c r="J190" s="523" t="s">
        <v>863</v>
      </c>
      <c r="K190" s="528" t="str">
        <f>IFERROR(VLOOKUP($B190,'Clients-Live'!$A:$C,3,0),"")</f>
        <v>DAWA AISHA</v>
      </c>
      <c r="L190" s="528">
        <f>IF(E190="STL",Pricing!$D$38,IF(A190="",0,IF(A190&lt;Pricing!$C$25,Pricing!$D$25,VLOOKUP(Disbursements!$F190,Pricing!$B$29:$D$32,3))))</f>
        <v>20000</v>
      </c>
      <c r="M190" s="528">
        <f>IF(E190="STL",0,IF(F190&gt;0,Pricing!$D$21,0))</f>
        <v>5000</v>
      </c>
      <c r="N190" s="529">
        <f>IF(E190="STL",F190*Pricing!$D$40,IF(A190&lt;=Pricing!$C$4,0,IF(AND(A190&gt;Pricing!$C$4,Disbursements!A190&lt;=Pricing!$C$5),F190*Pricing!$E$5,IF(AND(A190&gt;Pricing!$C$5,Disbursements!A190&lt;=Pricing!$C$7),VLOOKUP(F190,Pricing!$D$7:$E$8,2)*Disbursements!F190,F190*Pricing!$E$9))))</f>
        <v>6000</v>
      </c>
      <c r="O190" s="528">
        <f>IF(E190="STL",0,IF($F190&gt;0,$F190*Pricing!$D$17,0))</f>
        <v>60000</v>
      </c>
      <c r="P190" s="530">
        <f t="shared" si="74"/>
        <v>120000</v>
      </c>
      <c r="Q190" s="531">
        <f>IF($A190="","",$G190/VLOOKUP($I190,Ref!$B$23:$D$29,2,0))</f>
        <v>4</v>
      </c>
      <c r="R190" s="530">
        <f t="shared" si="75"/>
        <v>720000</v>
      </c>
      <c r="S190" s="532">
        <f t="shared" si="69"/>
        <v>180000</v>
      </c>
      <c r="T190" s="531">
        <f t="shared" si="76"/>
        <v>180000</v>
      </c>
      <c r="U190" s="533">
        <f t="shared" si="77"/>
        <v>720000</v>
      </c>
      <c r="V190" s="531">
        <f t="shared" si="78"/>
        <v>150000</v>
      </c>
      <c r="W190" s="531">
        <f t="shared" si="79"/>
        <v>30000</v>
      </c>
      <c r="X190" s="534">
        <f t="shared" si="80"/>
        <v>120000</v>
      </c>
      <c r="Y190" s="535">
        <f>IF($A190="","",IF($I190="weekly",$A190+7,EDATE($A190,VLOOKUP($I190,Ref!$B$24:$C$29,2,0))))</f>
        <v>44463</v>
      </c>
      <c r="Z190" s="536" t="str">
        <f t="shared" si="81"/>
        <v>Frid</v>
      </c>
      <c r="AA190" s="531">
        <f t="shared" si="82"/>
        <v>31</v>
      </c>
      <c r="AB190" s="535">
        <f t="shared" si="70"/>
        <v>44554</v>
      </c>
      <c r="AC190" s="537">
        <f t="shared" si="71"/>
        <v>122</v>
      </c>
      <c r="AD190" s="538" t="str">
        <f t="shared" ca="1" si="72"/>
        <v>Expired</v>
      </c>
      <c r="AE190" s="537">
        <f t="shared" ca="1" si="73"/>
        <v>0</v>
      </c>
      <c r="AF190" s="539">
        <f t="shared" ca="1" si="83"/>
        <v>4</v>
      </c>
      <c r="AG190" s="531">
        <f t="shared" ca="1" si="84"/>
        <v>720000</v>
      </c>
      <c r="AH190" s="531">
        <f t="shared" ca="1" si="85"/>
        <v>120000</v>
      </c>
      <c r="AI190" s="531">
        <f t="shared" ca="1" si="86"/>
        <v>600000</v>
      </c>
      <c r="AJ190" s="531">
        <f t="shared" ca="1" si="87"/>
        <v>0</v>
      </c>
      <c r="AK190" s="540">
        <f>SUMIFS('Live Collections'!$S:$S,'Live Collections'!$D:$D,Disbursements!B190,'Live Collections'!$G:$G,Disbursements!C190)</f>
        <v>120000</v>
      </c>
      <c r="AL190" s="540">
        <f>SUMIFS('Live Collections'!$T:$T,'Live Collections'!$D:$D,Disbursements!B190,'Live Collections'!$G:$G,Disbursements!C190)</f>
        <v>600000</v>
      </c>
      <c r="AM190" s="541">
        <f t="shared" si="88"/>
        <v>720000</v>
      </c>
      <c r="AN190" s="542">
        <f t="shared" si="89"/>
        <v>0</v>
      </c>
      <c r="AO190" s="542">
        <f t="shared" si="90"/>
        <v>0</v>
      </c>
      <c r="AP190" s="543">
        <f t="shared" si="91"/>
        <v>0</v>
      </c>
      <c r="AQ190" s="544" t="str">
        <f t="shared" ca="1" si="92"/>
        <v/>
      </c>
      <c r="AR190" s="545">
        <f t="shared" ca="1" si="93"/>
        <v>0</v>
      </c>
      <c r="AS190" s="545">
        <f ca="1">IFERROR(CEILING($AR190*VLOOKUP($I190,Ref!$B$23:$E$29,4,0),1),0)</f>
        <v>0</v>
      </c>
      <c r="AT190" s="545" t="str">
        <f>IF(A190="","",IF(AP190&lt;=1,"Cleared",IF(AS190=0,"Clean",VLOOKUP($AS190,Ref!$G$23:$H$28,2))))</f>
        <v>Cleared</v>
      </c>
      <c r="AU190" s="546" t="str">
        <f t="shared" si="94"/>
        <v>Ok</v>
      </c>
    </row>
    <row r="191" spans="1:47" ht="15" customHeight="1" x14ac:dyDescent="0.15">
      <c r="A191" s="575">
        <v>44432</v>
      </c>
      <c r="B191" s="523">
        <v>100</v>
      </c>
      <c r="C191" s="523">
        <v>184</v>
      </c>
      <c r="D191" s="523">
        <v>2</v>
      </c>
      <c r="E191" s="523" t="s">
        <v>1274</v>
      </c>
      <c r="F191" s="554">
        <v>500000</v>
      </c>
      <c r="G191" s="524">
        <v>4</v>
      </c>
      <c r="H191" s="555">
        <v>0.05</v>
      </c>
      <c r="I191" s="560" t="s">
        <v>859</v>
      </c>
      <c r="J191" s="523" t="s">
        <v>864</v>
      </c>
      <c r="K191" s="528" t="str">
        <f>IFERROR(VLOOKUP($B191,'Clients-Live'!$A:$C,3,0),"")</f>
        <v>LETAYO DORCUS</v>
      </c>
      <c r="L191" s="528">
        <f>IF(E191="STL",Pricing!$D$38,IF(A191="",0,IF(A191&lt;Pricing!$C$25,Pricing!$D$25,VLOOKUP(Disbursements!$F191,Pricing!$B$29:$D$32,3))))</f>
        <v>15000</v>
      </c>
      <c r="M191" s="528">
        <f>IF(E191="STL",0,IF(F191&gt;0,Pricing!$D$21,0))</f>
        <v>5000</v>
      </c>
      <c r="N191" s="529">
        <f>IF(E191="STL",F191*Pricing!$D$40,IF(A191&lt;=Pricing!$C$4,0,IF(AND(A191&gt;Pricing!$C$4,Disbursements!A191&lt;=Pricing!$C$5),F191*Pricing!$E$5,IF(AND(A191&gt;Pricing!$C$5,Disbursements!A191&lt;=Pricing!$C$7),VLOOKUP(F191,Pricing!$D$7:$E$8,2)*Disbursements!F191,F191*Pricing!$E$9))))</f>
        <v>5000</v>
      </c>
      <c r="O191" s="528">
        <f>IF(E191="STL",0,IF($F191&gt;0,$F191*Pricing!$D$17,0))</f>
        <v>50000</v>
      </c>
      <c r="P191" s="530">
        <f t="shared" si="74"/>
        <v>100000</v>
      </c>
      <c r="Q191" s="531">
        <f>IF($A191="","",$G191/VLOOKUP($I191,Ref!$B$23:$D$29,2,0))</f>
        <v>4</v>
      </c>
      <c r="R191" s="530">
        <f t="shared" si="75"/>
        <v>600000</v>
      </c>
      <c r="S191" s="532">
        <f t="shared" si="69"/>
        <v>150000</v>
      </c>
      <c r="T191" s="531">
        <f t="shared" si="76"/>
        <v>150000</v>
      </c>
      <c r="U191" s="533">
        <f t="shared" si="77"/>
        <v>600000</v>
      </c>
      <c r="V191" s="531">
        <f t="shared" si="78"/>
        <v>125000</v>
      </c>
      <c r="W191" s="531">
        <f t="shared" si="79"/>
        <v>25000</v>
      </c>
      <c r="X191" s="534">
        <f t="shared" si="80"/>
        <v>100000</v>
      </c>
      <c r="Y191" s="535">
        <f>IF($A191="","",IF($I191="weekly",$A191+7,EDATE($A191,VLOOKUP($I191,Ref!$B$24:$C$29,2,0))))</f>
        <v>44463</v>
      </c>
      <c r="Z191" s="536" t="str">
        <f t="shared" si="81"/>
        <v>Frid</v>
      </c>
      <c r="AA191" s="531">
        <f t="shared" si="82"/>
        <v>31</v>
      </c>
      <c r="AB191" s="535">
        <f t="shared" si="70"/>
        <v>44554</v>
      </c>
      <c r="AC191" s="537">
        <f t="shared" si="71"/>
        <v>122</v>
      </c>
      <c r="AD191" s="538" t="str">
        <f t="shared" ca="1" si="72"/>
        <v>Expired</v>
      </c>
      <c r="AE191" s="537">
        <f t="shared" ca="1" si="73"/>
        <v>0</v>
      </c>
      <c r="AF191" s="539">
        <f t="shared" ca="1" si="83"/>
        <v>4</v>
      </c>
      <c r="AG191" s="531">
        <f t="shared" ca="1" si="84"/>
        <v>600000</v>
      </c>
      <c r="AH191" s="531">
        <f t="shared" ca="1" si="85"/>
        <v>100000</v>
      </c>
      <c r="AI191" s="531">
        <f t="shared" ca="1" si="86"/>
        <v>500000</v>
      </c>
      <c r="AJ191" s="531">
        <f t="shared" ca="1" si="87"/>
        <v>0</v>
      </c>
      <c r="AK191" s="540">
        <f>SUMIFS('Live Collections'!$S:$S,'Live Collections'!$D:$D,Disbursements!B191,'Live Collections'!$G:$G,Disbursements!C191)</f>
        <v>100000</v>
      </c>
      <c r="AL191" s="540">
        <f>SUMIFS('Live Collections'!$T:$T,'Live Collections'!$D:$D,Disbursements!B191,'Live Collections'!$G:$G,Disbursements!C191)</f>
        <v>210000</v>
      </c>
      <c r="AM191" s="541">
        <f t="shared" si="88"/>
        <v>310000</v>
      </c>
      <c r="AN191" s="542">
        <f t="shared" si="89"/>
        <v>0</v>
      </c>
      <c r="AO191" s="542">
        <f t="shared" si="90"/>
        <v>290000</v>
      </c>
      <c r="AP191" s="543">
        <f t="shared" si="91"/>
        <v>290000</v>
      </c>
      <c r="AQ191" s="544">
        <f t="shared" ca="1" si="92"/>
        <v>290000</v>
      </c>
      <c r="AR191" s="545">
        <f t="shared" ca="1" si="93"/>
        <v>1.9333333333333333</v>
      </c>
      <c r="AS191" s="545">
        <f ca="1">IFERROR(CEILING($AR191*VLOOKUP($I191,Ref!$B$23:$E$29,4,0),1),0)</f>
        <v>58</v>
      </c>
      <c r="AT191" s="545" t="str">
        <f ca="1">IF(A191="","",IF(AP191&lt;=1,"Cleared",IF(AS191=0,"Clean",VLOOKUP($AS191,Ref!$G$23:$H$28,2))))</f>
        <v>2.(31-60) Days</v>
      </c>
      <c r="AU191" s="546" t="str">
        <f t="shared" si="94"/>
        <v>Ok</v>
      </c>
    </row>
    <row r="192" spans="1:47" ht="15" customHeight="1" x14ac:dyDescent="0.15">
      <c r="A192" s="575">
        <v>44432</v>
      </c>
      <c r="B192" s="523">
        <v>194</v>
      </c>
      <c r="C192" s="523">
        <v>186</v>
      </c>
      <c r="D192" s="523">
        <v>1</v>
      </c>
      <c r="E192" s="523" t="s">
        <v>1274</v>
      </c>
      <c r="F192" s="554">
        <v>500000</v>
      </c>
      <c r="G192" s="524">
        <v>4</v>
      </c>
      <c r="H192" s="555">
        <v>0.05</v>
      </c>
      <c r="I192" s="560" t="s">
        <v>859</v>
      </c>
      <c r="J192" s="523" t="s">
        <v>863</v>
      </c>
      <c r="K192" s="528" t="str">
        <f>IFERROR(VLOOKUP($B192,'Clients-Live'!$A:$C,3,0),"")</f>
        <v>NYOLA SHERIFA AHMED</v>
      </c>
      <c r="L192" s="528">
        <f>IF(E192="STL",Pricing!$D$38,IF(A192="",0,IF(A192&lt;Pricing!$C$25,Pricing!$D$25,VLOOKUP(Disbursements!$F192,Pricing!$B$29:$D$32,3))))</f>
        <v>15000</v>
      </c>
      <c r="M192" s="528">
        <f>IF(E192="STL",0,IF(F192&gt;0,Pricing!$D$21,0))</f>
        <v>5000</v>
      </c>
      <c r="N192" s="529">
        <f>IF(E192="STL",F192*Pricing!$D$40,IF(A192&lt;=Pricing!$C$4,0,IF(AND(A192&gt;Pricing!$C$4,Disbursements!A192&lt;=Pricing!$C$5),F192*Pricing!$E$5,IF(AND(A192&gt;Pricing!$C$5,Disbursements!A192&lt;=Pricing!$C$7),VLOOKUP(F192,Pricing!$D$7:$E$8,2)*Disbursements!F192,F192*Pricing!$E$9))))</f>
        <v>5000</v>
      </c>
      <c r="O192" s="528">
        <f>IF(E192="STL",0,IF($F192&gt;0,$F192*Pricing!$D$17,0))</f>
        <v>50000</v>
      </c>
      <c r="P192" s="530">
        <f t="shared" si="74"/>
        <v>100000</v>
      </c>
      <c r="Q192" s="531">
        <f>IF($A192="","",$G192/VLOOKUP($I192,Ref!$B$23:$D$29,2,0))</f>
        <v>4</v>
      </c>
      <c r="R192" s="530">
        <f t="shared" si="75"/>
        <v>600000</v>
      </c>
      <c r="S192" s="532">
        <f t="shared" si="69"/>
        <v>150000</v>
      </c>
      <c r="T192" s="531">
        <f t="shared" si="76"/>
        <v>150000</v>
      </c>
      <c r="U192" s="533">
        <f t="shared" si="77"/>
        <v>600000</v>
      </c>
      <c r="V192" s="531">
        <f t="shared" si="78"/>
        <v>125000</v>
      </c>
      <c r="W192" s="531">
        <f t="shared" si="79"/>
        <v>25000</v>
      </c>
      <c r="X192" s="534">
        <f t="shared" si="80"/>
        <v>100000</v>
      </c>
      <c r="Y192" s="535">
        <f>IF($A192="","",IF($I192="weekly",$A192+7,EDATE($A192,VLOOKUP($I192,Ref!$B$24:$C$29,2,0))))</f>
        <v>44463</v>
      </c>
      <c r="Z192" s="536" t="str">
        <f t="shared" si="81"/>
        <v>Frid</v>
      </c>
      <c r="AA192" s="531">
        <f t="shared" si="82"/>
        <v>31</v>
      </c>
      <c r="AB192" s="535">
        <f t="shared" si="70"/>
        <v>44554</v>
      </c>
      <c r="AC192" s="537">
        <f t="shared" si="71"/>
        <v>122</v>
      </c>
      <c r="AD192" s="538" t="str">
        <f t="shared" ca="1" si="72"/>
        <v>Expired</v>
      </c>
      <c r="AE192" s="537">
        <f t="shared" ca="1" si="73"/>
        <v>0</v>
      </c>
      <c r="AF192" s="539">
        <f t="shared" ca="1" si="83"/>
        <v>4</v>
      </c>
      <c r="AG192" s="531">
        <f t="shared" ca="1" si="84"/>
        <v>600000</v>
      </c>
      <c r="AH192" s="531">
        <f t="shared" ca="1" si="85"/>
        <v>100000</v>
      </c>
      <c r="AI192" s="531">
        <f t="shared" ca="1" si="86"/>
        <v>500000</v>
      </c>
      <c r="AJ192" s="531">
        <f t="shared" ca="1" si="87"/>
        <v>0</v>
      </c>
      <c r="AK192" s="540">
        <f>SUMIFS('Live Collections'!$S:$S,'Live Collections'!$D:$D,Disbursements!B192,'Live Collections'!$G:$G,Disbursements!C192)</f>
        <v>100000</v>
      </c>
      <c r="AL192" s="540">
        <f>SUMIFS('Live Collections'!$T:$T,'Live Collections'!$D:$D,Disbursements!B192,'Live Collections'!$G:$G,Disbursements!C192)</f>
        <v>500000</v>
      </c>
      <c r="AM192" s="541">
        <f t="shared" si="88"/>
        <v>600000</v>
      </c>
      <c r="AN192" s="542">
        <f t="shared" si="89"/>
        <v>0</v>
      </c>
      <c r="AO192" s="542">
        <f t="shared" si="90"/>
        <v>0</v>
      </c>
      <c r="AP192" s="543">
        <f t="shared" si="91"/>
        <v>0</v>
      </c>
      <c r="AQ192" s="544" t="str">
        <f t="shared" ca="1" si="92"/>
        <v/>
      </c>
      <c r="AR192" s="545">
        <f t="shared" ca="1" si="93"/>
        <v>0</v>
      </c>
      <c r="AS192" s="545">
        <f ca="1">IFERROR(CEILING($AR192*VLOOKUP($I192,Ref!$B$23:$E$29,4,0),1),0)</f>
        <v>0</v>
      </c>
      <c r="AT192" s="545" t="str">
        <f>IF(A192="","",IF(AP192&lt;=1,"Cleared",IF(AS192=0,"Clean",VLOOKUP($AS192,Ref!$G$23:$H$28,2))))</f>
        <v>Cleared</v>
      </c>
      <c r="AU192" s="546" t="str">
        <f t="shared" si="94"/>
        <v>Ok</v>
      </c>
    </row>
    <row r="193" spans="1:47" ht="15" customHeight="1" x14ac:dyDescent="0.15">
      <c r="A193" s="575">
        <v>44435</v>
      </c>
      <c r="B193" s="523">
        <v>41</v>
      </c>
      <c r="C193" s="523">
        <v>188</v>
      </c>
      <c r="D193" s="523">
        <v>4</v>
      </c>
      <c r="E193" s="523" t="s">
        <v>1275</v>
      </c>
      <c r="F193" s="554">
        <v>1000000</v>
      </c>
      <c r="G193" s="524">
        <v>1</v>
      </c>
      <c r="H193" s="555">
        <v>7.4999999999999997E-2</v>
      </c>
      <c r="I193" s="560" t="s">
        <v>859</v>
      </c>
      <c r="J193" s="523" t="s">
        <v>863</v>
      </c>
      <c r="K193" s="528" t="str">
        <f>IFERROR(VLOOKUP($B193,'Clients-Live'!$A:$C,3,0),"")</f>
        <v>ANGUYO RONALD</v>
      </c>
      <c r="L193" s="528">
        <f>IF(E193="STL",Pricing!$D$38,IF(A193="",0,IF(A193&lt;Pricing!$C$25,Pricing!$D$25,VLOOKUP(Disbursements!$F193,Pricing!$B$29:$D$32,3))))</f>
        <v>20000</v>
      </c>
      <c r="M193" s="528">
        <f>IF(E193="STL",0,IF(F193&gt;0,Pricing!$D$21,0))</f>
        <v>5000</v>
      </c>
      <c r="N193" s="529">
        <f>IF(E193="STL",F193*Pricing!$D$40,IF(A193&lt;=Pricing!$C$4,0,IF(AND(A193&gt;Pricing!$C$4,Disbursements!A193&lt;=Pricing!$C$5),F193*Pricing!$E$5,IF(AND(A193&gt;Pricing!$C$5,Disbursements!A193&lt;=Pricing!$C$7),VLOOKUP(F193,Pricing!$D$7:$E$8,2)*Disbursements!F193,F193*Pricing!$E$9))))</f>
        <v>10000</v>
      </c>
      <c r="O193" s="528">
        <f>IF(E193="STL",0,IF($F193&gt;0,$F193*Pricing!$D$17,0))</f>
        <v>100000</v>
      </c>
      <c r="P193" s="530">
        <f t="shared" si="74"/>
        <v>75000</v>
      </c>
      <c r="Q193" s="531">
        <f>IF($A193="","",$G193/VLOOKUP($I193,Ref!$B$23:$D$29,2,0))</f>
        <v>1</v>
      </c>
      <c r="R193" s="530">
        <f t="shared" si="75"/>
        <v>1075000</v>
      </c>
      <c r="S193" s="532">
        <f t="shared" si="69"/>
        <v>1075000</v>
      </c>
      <c r="T193" s="531">
        <f t="shared" si="76"/>
        <v>1075000</v>
      </c>
      <c r="U193" s="533">
        <f t="shared" si="77"/>
        <v>1075000</v>
      </c>
      <c r="V193" s="531">
        <f t="shared" si="78"/>
        <v>1000000</v>
      </c>
      <c r="W193" s="531">
        <f t="shared" si="79"/>
        <v>75000</v>
      </c>
      <c r="X193" s="534">
        <f t="shared" si="80"/>
        <v>75000</v>
      </c>
      <c r="Y193" s="535">
        <f>IF($A193="","",IF($I193="weekly",$A193+7,EDATE($A193,VLOOKUP($I193,Ref!$B$24:$C$29,2,0))))</f>
        <v>44466</v>
      </c>
      <c r="Z193" s="536" t="str">
        <f t="shared" si="81"/>
        <v>Mon</v>
      </c>
      <c r="AA193" s="531">
        <f t="shared" si="82"/>
        <v>31</v>
      </c>
      <c r="AB193" s="535">
        <f t="shared" si="70"/>
        <v>44466</v>
      </c>
      <c r="AC193" s="537">
        <f t="shared" si="71"/>
        <v>31</v>
      </c>
      <c r="AD193" s="538" t="str">
        <f t="shared" ca="1" si="72"/>
        <v>Expired</v>
      </c>
      <c r="AE193" s="537">
        <f t="shared" ca="1" si="73"/>
        <v>0</v>
      </c>
      <c r="AF193" s="539">
        <f t="shared" ca="1" si="83"/>
        <v>1</v>
      </c>
      <c r="AG193" s="531">
        <f t="shared" ca="1" si="84"/>
        <v>1075000</v>
      </c>
      <c r="AH193" s="531">
        <f t="shared" ca="1" si="85"/>
        <v>75000</v>
      </c>
      <c r="AI193" s="531">
        <f t="shared" ca="1" si="86"/>
        <v>1000000</v>
      </c>
      <c r="AJ193" s="531">
        <f t="shared" ca="1" si="87"/>
        <v>0</v>
      </c>
      <c r="AK193" s="540">
        <f>SUMIFS('Live Collections'!$S:$S,'Live Collections'!$D:$D,Disbursements!B193,'Live Collections'!$G:$G,Disbursements!C193)</f>
        <v>75000</v>
      </c>
      <c r="AL193" s="540">
        <f>SUMIFS('Live Collections'!$T:$T,'Live Collections'!$D:$D,Disbursements!B193,'Live Collections'!$G:$G,Disbursements!C193)</f>
        <v>1000000</v>
      </c>
      <c r="AM193" s="541">
        <f t="shared" si="88"/>
        <v>1075000</v>
      </c>
      <c r="AN193" s="542">
        <f t="shared" si="89"/>
        <v>0</v>
      </c>
      <c r="AO193" s="542">
        <f t="shared" si="90"/>
        <v>0</v>
      </c>
      <c r="AP193" s="543">
        <f t="shared" si="91"/>
        <v>0</v>
      </c>
      <c r="AQ193" s="544" t="str">
        <f t="shared" ca="1" si="92"/>
        <v/>
      </c>
      <c r="AR193" s="545">
        <f t="shared" ca="1" si="93"/>
        <v>0</v>
      </c>
      <c r="AS193" s="545">
        <f ca="1">IFERROR(CEILING($AR193*VLOOKUP($I193,Ref!$B$23:$E$29,4,0),1),0)</f>
        <v>0</v>
      </c>
      <c r="AT193" s="545" t="str">
        <f>IF(A193="","",IF(AP193&lt;=1,"Cleared",IF(AS193=0,"Clean",VLOOKUP($AS193,Ref!$G$23:$H$28,2))))</f>
        <v>Cleared</v>
      </c>
      <c r="AU193" s="546" t="str">
        <f t="shared" si="94"/>
        <v>Ok</v>
      </c>
    </row>
    <row r="194" spans="1:47" ht="15" customHeight="1" x14ac:dyDescent="0.15">
      <c r="A194" s="575">
        <v>44435</v>
      </c>
      <c r="B194" s="523">
        <v>196</v>
      </c>
      <c r="C194" s="523">
        <v>189</v>
      </c>
      <c r="D194" s="523">
        <v>1</v>
      </c>
      <c r="E194" s="523" t="s">
        <v>1274</v>
      </c>
      <c r="F194" s="554">
        <v>600000</v>
      </c>
      <c r="G194" s="524">
        <v>4</v>
      </c>
      <c r="H194" s="555">
        <v>0.05</v>
      </c>
      <c r="I194" s="560" t="s">
        <v>859</v>
      </c>
      <c r="J194" s="523" t="s">
        <v>862</v>
      </c>
      <c r="K194" s="528" t="str">
        <f>IFERROR(VLOOKUP($B194,'Clients-Live'!$A:$C,3,0),"")</f>
        <v>AKISU JOICE</v>
      </c>
      <c r="L194" s="528">
        <f>IF(E194="STL",Pricing!$D$38,IF(A194="",0,IF(A194&lt;Pricing!$C$25,Pricing!$D$25,VLOOKUP(Disbursements!$F194,Pricing!$B$29:$D$32,3))))</f>
        <v>20000</v>
      </c>
      <c r="M194" s="528">
        <f>IF(E194="STL",0,IF(F194&gt;0,Pricing!$D$21,0))</f>
        <v>5000</v>
      </c>
      <c r="N194" s="529">
        <f>IF(E194="STL",F194*Pricing!$D$40,IF(A194&lt;=Pricing!$C$4,0,IF(AND(A194&gt;Pricing!$C$4,Disbursements!A194&lt;=Pricing!$C$5),F194*Pricing!$E$5,IF(AND(A194&gt;Pricing!$C$5,Disbursements!A194&lt;=Pricing!$C$7),VLOOKUP(F194,Pricing!$D$7:$E$8,2)*Disbursements!F194,F194*Pricing!$E$9))))</f>
        <v>6000</v>
      </c>
      <c r="O194" s="528">
        <f>IF(E194="STL",0,IF($F194&gt;0,$F194*Pricing!$D$17,0))</f>
        <v>60000</v>
      </c>
      <c r="P194" s="530">
        <f t="shared" si="74"/>
        <v>120000</v>
      </c>
      <c r="Q194" s="531">
        <f>IF($A194="","",$G194/VLOOKUP($I194,Ref!$B$23:$D$29,2,0))</f>
        <v>4</v>
      </c>
      <c r="R194" s="530">
        <f t="shared" si="75"/>
        <v>720000</v>
      </c>
      <c r="S194" s="532">
        <f t="shared" si="69"/>
        <v>180000</v>
      </c>
      <c r="T194" s="531">
        <f t="shared" si="76"/>
        <v>180000</v>
      </c>
      <c r="U194" s="533">
        <f t="shared" si="77"/>
        <v>720000</v>
      </c>
      <c r="V194" s="531">
        <f t="shared" si="78"/>
        <v>150000</v>
      </c>
      <c r="W194" s="531">
        <f t="shared" si="79"/>
        <v>30000</v>
      </c>
      <c r="X194" s="534">
        <f t="shared" si="80"/>
        <v>120000</v>
      </c>
      <c r="Y194" s="535">
        <f>IF($A194="","",IF($I194="weekly",$A194+7,EDATE($A194,VLOOKUP($I194,Ref!$B$24:$C$29,2,0))))</f>
        <v>44466</v>
      </c>
      <c r="Z194" s="536" t="str">
        <f t="shared" si="81"/>
        <v>Mon</v>
      </c>
      <c r="AA194" s="531">
        <f t="shared" si="82"/>
        <v>31</v>
      </c>
      <c r="AB194" s="535">
        <f t="shared" si="70"/>
        <v>44557</v>
      </c>
      <c r="AC194" s="537">
        <f t="shared" si="71"/>
        <v>122</v>
      </c>
      <c r="AD194" s="538" t="str">
        <f t="shared" ca="1" si="72"/>
        <v>Expired</v>
      </c>
      <c r="AE194" s="537">
        <f t="shared" ca="1" si="73"/>
        <v>0</v>
      </c>
      <c r="AF194" s="539">
        <f t="shared" ca="1" si="83"/>
        <v>4</v>
      </c>
      <c r="AG194" s="531">
        <f t="shared" ca="1" si="84"/>
        <v>720000</v>
      </c>
      <c r="AH194" s="531">
        <f t="shared" ca="1" si="85"/>
        <v>120000</v>
      </c>
      <c r="AI194" s="531">
        <f t="shared" ca="1" si="86"/>
        <v>600000</v>
      </c>
      <c r="AJ194" s="531">
        <f t="shared" ca="1" si="87"/>
        <v>0</v>
      </c>
      <c r="AK194" s="540">
        <f>SUMIFS('Live Collections'!$S:$S,'Live Collections'!$D:$D,Disbursements!B194,'Live Collections'!$G:$G,Disbursements!C194)</f>
        <v>120000</v>
      </c>
      <c r="AL194" s="540">
        <f>SUMIFS('Live Collections'!$T:$T,'Live Collections'!$D:$D,Disbursements!B194,'Live Collections'!$G:$G,Disbursements!C194)</f>
        <v>600000</v>
      </c>
      <c r="AM194" s="541">
        <f t="shared" si="88"/>
        <v>720000</v>
      </c>
      <c r="AN194" s="542">
        <f t="shared" si="89"/>
        <v>0</v>
      </c>
      <c r="AO194" s="542">
        <f t="shared" si="90"/>
        <v>0</v>
      </c>
      <c r="AP194" s="543">
        <f t="shared" si="91"/>
        <v>0</v>
      </c>
      <c r="AQ194" s="544" t="str">
        <f t="shared" ca="1" si="92"/>
        <v/>
      </c>
      <c r="AR194" s="545">
        <f t="shared" ca="1" si="93"/>
        <v>0</v>
      </c>
      <c r="AS194" s="545">
        <f ca="1">IFERROR(CEILING($AR194*VLOOKUP($I194,Ref!$B$23:$E$29,4,0),1),0)</f>
        <v>0</v>
      </c>
      <c r="AT194" s="545" t="str">
        <f>IF(A194="","",IF(AP194&lt;=1,"Cleared",IF(AS194=0,"Clean",VLOOKUP($AS194,Ref!$G$23:$H$28,2))))</f>
        <v>Cleared</v>
      </c>
      <c r="AU194" s="546" t="str">
        <f t="shared" si="94"/>
        <v>Ok</v>
      </c>
    </row>
    <row r="195" spans="1:47" ht="15" customHeight="1" x14ac:dyDescent="0.15">
      <c r="A195" s="575">
        <v>44436</v>
      </c>
      <c r="B195" s="523">
        <v>23</v>
      </c>
      <c r="C195" s="523">
        <v>190</v>
      </c>
      <c r="D195" s="523">
        <v>2</v>
      </c>
      <c r="E195" s="523" t="s">
        <v>1274</v>
      </c>
      <c r="F195" s="554">
        <v>700000</v>
      </c>
      <c r="G195" s="524">
        <v>5</v>
      </c>
      <c r="H195" s="555">
        <v>0.05</v>
      </c>
      <c r="I195" s="560" t="s">
        <v>859</v>
      </c>
      <c r="J195" s="523" t="s">
        <v>864</v>
      </c>
      <c r="K195" s="528" t="str">
        <f>IFERROR(VLOOKUP($B195,'Clients-Live'!$A:$C,3,0),"")</f>
        <v>BADARU KEVIN ATELIONGA</v>
      </c>
      <c r="L195" s="528">
        <f>IF(E195="STL",Pricing!$D$38,IF(A195="",0,IF(A195&lt;Pricing!$C$25,Pricing!$D$25,VLOOKUP(Disbursements!$F195,Pricing!$B$29:$D$32,3))))</f>
        <v>20000</v>
      </c>
      <c r="M195" s="528">
        <f>IF(E195="STL",0,IF(F195&gt;0,Pricing!$D$21,0))</f>
        <v>5000</v>
      </c>
      <c r="N195" s="529">
        <f>IF(E195="STL",F195*Pricing!$D$40,IF(A195&lt;=Pricing!$C$4,0,IF(AND(A195&gt;Pricing!$C$4,Disbursements!A195&lt;=Pricing!$C$5),F195*Pricing!$E$5,IF(AND(A195&gt;Pricing!$C$5,Disbursements!A195&lt;=Pricing!$C$7),VLOOKUP(F195,Pricing!$D$7:$E$8,2)*Disbursements!F195,F195*Pricing!$E$9))))</f>
        <v>7000</v>
      </c>
      <c r="O195" s="528">
        <f>IF(E195="STL",0,IF($F195&gt;0,$F195*Pricing!$D$17,0))</f>
        <v>70000</v>
      </c>
      <c r="P195" s="530">
        <f t="shared" si="74"/>
        <v>175000</v>
      </c>
      <c r="Q195" s="531">
        <f>IF($A195="","",$G195/VLOOKUP($I195,Ref!$B$23:$D$29,2,0))</f>
        <v>5</v>
      </c>
      <c r="R195" s="530">
        <f t="shared" si="75"/>
        <v>875000</v>
      </c>
      <c r="S195" s="532">
        <f t="shared" si="69"/>
        <v>175000</v>
      </c>
      <c r="T195" s="531">
        <f t="shared" si="76"/>
        <v>175000</v>
      </c>
      <c r="U195" s="533">
        <f t="shared" si="77"/>
        <v>875000</v>
      </c>
      <c r="V195" s="531">
        <f t="shared" si="78"/>
        <v>140000</v>
      </c>
      <c r="W195" s="531">
        <f t="shared" si="79"/>
        <v>35000</v>
      </c>
      <c r="X195" s="534">
        <f t="shared" si="80"/>
        <v>175000</v>
      </c>
      <c r="Y195" s="535">
        <f>IF($A195="","",IF($I195="weekly",$A195+7,EDATE($A195,VLOOKUP($I195,Ref!$B$24:$C$29,2,0))))</f>
        <v>44467</v>
      </c>
      <c r="Z195" s="536" t="str">
        <f t="shared" si="81"/>
        <v>Tue</v>
      </c>
      <c r="AA195" s="531">
        <f t="shared" si="82"/>
        <v>31</v>
      </c>
      <c r="AB195" s="535">
        <f t="shared" si="70"/>
        <v>44589</v>
      </c>
      <c r="AC195" s="537">
        <f t="shared" si="71"/>
        <v>153</v>
      </c>
      <c r="AD195" s="538" t="str">
        <f t="shared" ca="1" si="72"/>
        <v>Expired</v>
      </c>
      <c r="AE195" s="537">
        <f t="shared" ca="1" si="73"/>
        <v>0</v>
      </c>
      <c r="AF195" s="539">
        <f t="shared" ca="1" si="83"/>
        <v>5</v>
      </c>
      <c r="AG195" s="531">
        <f t="shared" ca="1" si="84"/>
        <v>875000</v>
      </c>
      <c r="AH195" s="531">
        <f t="shared" ca="1" si="85"/>
        <v>175000</v>
      </c>
      <c r="AI195" s="531">
        <f t="shared" ca="1" si="86"/>
        <v>700000</v>
      </c>
      <c r="AJ195" s="531">
        <f t="shared" ca="1" si="87"/>
        <v>0</v>
      </c>
      <c r="AK195" s="540">
        <f>SUMIFS('Live Collections'!$S:$S,'Live Collections'!$D:$D,Disbursements!B195,'Live Collections'!$G:$G,Disbursements!C195)</f>
        <v>175000</v>
      </c>
      <c r="AL195" s="540">
        <f>SUMIFS('Live Collections'!$T:$T,'Live Collections'!$D:$D,Disbursements!B195,'Live Collections'!$G:$G,Disbursements!C195)</f>
        <v>700000</v>
      </c>
      <c r="AM195" s="541">
        <f t="shared" si="88"/>
        <v>875000</v>
      </c>
      <c r="AN195" s="542">
        <f t="shared" si="89"/>
        <v>0</v>
      </c>
      <c r="AO195" s="542">
        <f t="shared" si="90"/>
        <v>0</v>
      </c>
      <c r="AP195" s="543">
        <f t="shared" si="91"/>
        <v>0</v>
      </c>
      <c r="AQ195" s="544" t="str">
        <f t="shared" ca="1" si="92"/>
        <v/>
      </c>
      <c r="AR195" s="545">
        <f t="shared" ca="1" si="93"/>
        <v>0</v>
      </c>
      <c r="AS195" s="545">
        <f ca="1">IFERROR(CEILING($AR195*VLOOKUP($I195,Ref!$B$23:$E$29,4,0),1),0)</f>
        <v>0</v>
      </c>
      <c r="AT195" s="545" t="str">
        <f>IF(A195="","",IF(AP195&lt;=1,"Cleared",IF(AS195=0,"Clean",VLOOKUP($AS195,Ref!$G$23:$H$28,2))))</f>
        <v>Cleared</v>
      </c>
      <c r="AU195" s="546" t="str">
        <f t="shared" si="94"/>
        <v>Ok</v>
      </c>
    </row>
    <row r="196" spans="1:47" ht="15" customHeight="1" x14ac:dyDescent="0.15">
      <c r="A196" s="575">
        <v>44438</v>
      </c>
      <c r="B196" s="523">
        <v>198</v>
      </c>
      <c r="C196" s="523">
        <v>191</v>
      </c>
      <c r="D196" s="523">
        <v>1</v>
      </c>
      <c r="E196" s="523" t="s">
        <v>1274</v>
      </c>
      <c r="F196" s="554">
        <v>500000</v>
      </c>
      <c r="G196" s="524">
        <v>4</v>
      </c>
      <c r="H196" s="555">
        <v>0.05</v>
      </c>
      <c r="I196" s="560" t="s">
        <v>859</v>
      </c>
      <c r="J196" s="523" t="s">
        <v>863</v>
      </c>
      <c r="K196" s="528" t="str">
        <f>IFERROR(VLOOKUP($B196,'Clients-Live'!$A:$C,3,0),"")</f>
        <v>ETOLE BIAJO</v>
      </c>
      <c r="L196" s="528">
        <f>IF(E196="STL",Pricing!$D$38,IF(A196="",0,IF(A196&lt;Pricing!$C$25,Pricing!$D$25,VLOOKUP(Disbursements!$F196,Pricing!$B$29:$D$32,3))))</f>
        <v>15000</v>
      </c>
      <c r="M196" s="528">
        <f>IF(E196="STL",0,IF(F196&gt;0,Pricing!$D$21,0))</f>
        <v>5000</v>
      </c>
      <c r="N196" s="529">
        <f>IF(E196="STL",F196*Pricing!$D$40,IF(A196&lt;=Pricing!$C$4,0,IF(AND(A196&gt;Pricing!$C$4,Disbursements!A196&lt;=Pricing!$C$5),F196*Pricing!$E$5,IF(AND(A196&gt;Pricing!$C$5,Disbursements!A196&lt;=Pricing!$C$7),VLOOKUP(F196,Pricing!$D$7:$E$8,2)*Disbursements!F196,F196*Pricing!$E$9))))</f>
        <v>5000</v>
      </c>
      <c r="O196" s="528">
        <f>IF(E196="STL",0,IF($F196&gt;0,$F196*Pricing!$D$17,0))</f>
        <v>50000</v>
      </c>
      <c r="P196" s="530">
        <f t="shared" si="74"/>
        <v>100000</v>
      </c>
      <c r="Q196" s="531">
        <f>IF($A196="","",$G196/VLOOKUP($I196,Ref!$B$23:$D$29,2,0))</f>
        <v>4</v>
      </c>
      <c r="R196" s="530">
        <f t="shared" si="75"/>
        <v>600000</v>
      </c>
      <c r="S196" s="532">
        <f t="shared" ref="S196:S259" si="95">IF($A196="","",$R196/$Q196)</f>
        <v>150000</v>
      </c>
      <c r="T196" s="531">
        <f t="shared" si="76"/>
        <v>150000</v>
      </c>
      <c r="U196" s="533">
        <f t="shared" si="77"/>
        <v>600000</v>
      </c>
      <c r="V196" s="531">
        <f t="shared" si="78"/>
        <v>125000</v>
      </c>
      <c r="W196" s="531">
        <f t="shared" si="79"/>
        <v>25000</v>
      </c>
      <c r="X196" s="534">
        <f t="shared" si="80"/>
        <v>100000</v>
      </c>
      <c r="Y196" s="535">
        <f>IF($A196="","",IF($I196="weekly",$A196+7,EDATE($A196,VLOOKUP($I196,Ref!$B$24:$C$29,2,0))))</f>
        <v>44469</v>
      </c>
      <c r="Z196" s="536" t="str">
        <f t="shared" si="81"/>
        <v>Thu</v>
      </c>
      <c r="AA196" s="531">
        <f t="shared" si="82"/>
        <v>31</v>
      </c>
      <c r="AB196" s="535">
        <f t="shared" ref="AB196:AB259" si="96">IF($A196="","",EDATE($A196,$G196))</f>
        <v>44560</v>
      </c>
      <c r="AC196" s="537">
        <f t="shared" ref="AC196:AC259" si="97">IFERROR($AB196-$A196,"")</f>
        <v>122</v>
      </c>
      <c r="AD196" s="538" t="str">
        <f t="shared" ref="AD196:AD259" ca="1" si="98">IFERROR(IF(TODAY()-$A196&lt;$AB196-$A196,TODAY()-$A196,"Expired"),"")</f>
        <v>Expired</v>
      </c>
      <c r="AE196" s="537">
        <f t="shared" ref="AE196:AE259" ca="1" si="99">IFERROR($AC196-$AD196,0)</f>
        <v>0</v>
      </c>
      <c r="AF196" s="539">
        <f t="shared" ca="1" si="83"/>
        <v>4</v>
      </c>
      <c r="AG196" s="531">
        <f t="shared" ca="1" si="84"/>
        <v>600000</v>
      </c>
      <c r="AH196" s="531">
        <f t="shared" ca="1" si="85"/>
        <v>100000</v>
      </c>
      <c r="AI196" s="531">
        <f t="shared" ca="1" si="86"/>
        <v>500000</v>
      </c>
      <c r="AJ196" s="531">
        <f t="shared" ca="1" si="87"/>
        <v>0</v>
      </c>
      <c r="AK196" s="540">
        <f>SUMIFS('Live Collections'!$S:$S,'Live Collections'!$D:$D,Disbursements!B196,'Live Collections'!$G:$G,Disbursements!C196)</f>
        <v>100000</v>
      </c>
      <c r="AL196" s="540">
        <f>SUMIFS('Live Collections'!$T:$T,'Live Collections'!$D:$D,Disbursements!B196,'Live Collections'!$G:$G,Disbursements!C196)</f>
        <v>500000</v>
      </c>
      <c r="AM196" s="541">
        <f t="shared" si="88"/>
        <v>600000</v>
      </c>
      <c r="AN196" s="542">
        <f t="shared" si="89"/>
        <v>0</v>
      </c>
      <c r="AO196" s="542">
        <f t="shared" si="90"/>
        <v>0</v>
      </c>
      <c r="AP196" s="543">
        <f t="shared" si="91"/>
        <v>0</v>
      </c>
      <c r="AQ196" s="544" t="str">
        <f t="shared" ca="1" si="92"/>
        <v/>
      </c>
      <c r="AR196" s="545">
        <f t="shared" ca="1" si="93"/>
        <v>0</v>
      </c>
      <c r="AS196" s="545">
        <f ca="1">IFERROR(CEILING($AR196*VLOOKUP($I196,Ref!$B$23:$E$29,4,0),1),0)</f>
        <v>0</v>
      </c>
      <c r="AT196" s="545" t="str">
        <f>IF(A196="","",IF(AP196&lt;=1,"Cleared",IF(AS196=0,"Clean",VLOOKUP($AS196,Ref!$G$23:$H$28,2))))</f>
        <v>Cleared</v>
      </c>
      <c r="AU196" s="546" t="str">
        <f t="shared" si="94"/>
        <v>Ok</v>
      </c>
    </row>
    <row r="197" spans="1:47" ht="15" customHeight="1" x14ac:dyDescent="0.15">
      <c r="A197" s="575">
        <v>44438</v>
      </c>
      <c r="B197" s="523">
        <v>151</v>
      </c>
      <c r="C197" s="523">
        <v>193</v>
      </c>
      <c r="D197" s="523">
        <v>2</v>
      </c>
      <c r="E197" s="523" t="s">
        <v>1274</v>
      </c>
      <c r="F197" s="554">
        <v>2000000</v>
      </c>
      <c r="G197" s="524">
        <v>2</v>
      </c>
      <c r="H197" s="555">
        <v>0.05</v>
      </c>
      <c r="I197" s="560" t="s">
        <v>859</v>
      </c>
      <c r="J197" s="523" t="s">
        <v>862</v>
      </c>
      <c r="K197" s="528" t="str">
        <f>IFERROR(VLOOKUP($B197,'Clients-Live'!$A:$C,3,0),"")</f>
        <v>MORRO HASSAN</v>
      </c>
      <c r="L197" s="528">
        <f>IF(E197="STL",Pricing!$D$38,IF(A197="",0,IF(A197&lt;Pricing!$C$25,Pricing!$D$25,VLOOKUP(Disbursements!$F197,Pricing!$B$29:$D$32,3))))</f>
        <v>25000</v>
      </c>
      <c r="M197" s="528">
        <f>IF(E197="STL",0,IF(F197&gt;0,Pricing!$D$21,0))</f>
        <v>5000</v>
      </c>
      <c r="N197" s="529">
        <f>IF(E197="STL",F197*Pricing!$D$40,IF(A197&lt;=Pricing!$C$4,0,IF(AND(A197&gt;Pricing!$C$4,Disbursements!A197&lt;=Pricing!$C$5),F197*Pricing!$E$5,IF(AND(A197&gt;Pricing!$C$5,Disbursements!A197&lt;=Pricing!$C$7),VLOOKUP(F197,Pricing!$D$7:$E$8,2)*Disbursements!F197,F197*Pricing!$E$9))))</f>
        <v>40000</v>
      </c>
      <c r="O197" s="528">
        <f>IF(E197="STL",0,IF($F197&gt;0,$F197*Pricing!$D$17,0))</f>
        <v>200000</v>
      </c>
      <c r="P197" s="530">
        <f t="shared" ref="P197:P260" si="100">IF($A197="","",$H197*$F197*$G197)</f>
        <v>200000</v>
      </c>
      <c r="Q197" s="531">
        <f>IF($A197="","",$G197/VLOOKUP($I197,Ref!$B$23:$D$29,2,0))</f>
        <v>2</v>
      </c>
      <c r="R197" s="530">
        <f t="shared" ref="R197:R260" si="101">IF($A197="","",$F197+$P197)</f>
        <v>2200000</v>
      </c>
      <c r="S197" s="532">
        <f t="shared" si="95"/>
        <v>1100000</v>
      </c>
      <c r="T197" s="531">
        <f t="shared" ref="T197:T260" si="102">IF(R197="","",CEILING(S197,1000))</f>
        <v>1100000</v>
      </c>
      <c r="U197" s="533">
        <f t="shared" ref="U197:U260" si="103">IFERROR(T197*Q197,0)</f>
        <v>2200000</v>
      </c>
      <c r="V197" s="531">
        <f t="shared" ref="V197:V260" si="104">IF(T197="","",F197/Q197)</f>
        <v>1000000</v>
      </c>
      <c r="W197" s="531">
        <f t="shared" ref="W197:W260" si="105">IF(T197="","",T197-V197)</f>
        <v>100000</v>
      </c>
      <c r="X197" s="534">
        <f t="shared" ref="X197:X260" si="106">IF(A197="","",W197*Q197)</f>
        <v>200000</v>
      </c>
      <c r="Y197" s="535">
        <f>IF($A197="","",IF($I197="weekly",$A197+7,EDATE($A197,VLOOKUP($I197,Ref!$B$24:$C$29,2,0))))</f>
        <v>44469</v>
      </c>
      <c r="Z197" s="536" t="str">
        <f t="shared" ref="Z197:Z260" si="107">IFERROR(CHOOSE(WEEKDAY(Y197),"Sun","Mon","Tue","Wed","Thu","Frid","Sat"),"")</f>
        <v>Thu</v>
      </c>
      <c r="AA197" s="531">
        <f t="shared" ref="AA197:AA260" si="108">IFERROR(Y197-A197,0)</f>
        <v>31</v>
      </c>
      <c r="AB197" s="535">
        <f t="shared" si="96"/>
        <v>44499</v>
      </c>
      <c r="AC197" s="537">
        <f t="shared" si="97"/>
        <v>61</v>
      </c>
      <c r="AD197" s="538" t="str">
        <f t="shared" ca="1" si="98"/>
        <v>Expired</v>
      </c>
      <c r="AE197" s="537">
        <f t="shared" ca="1" si="99"/>
        <v>0</v>
      </c>
      <c r="AF197" s="539">
        <f t="shared" ref="AF197:AF260" ca="1" si="109">IFERROR(IF(AD197="Expired",Q197,IF(AD197&gt;AA197,AD197/AA197,0)),"")</f>
        <v>2</v>
      </c>
      <c r="AG197" s="531">
        <f t="shared" ref="AG197:AG260" ca="1" si="110">IFERROR(AF197*T197,"")</f>
        <v>2200000</v>
      </c>
      <c r="AH197" s="531">
        <f t="shared" ref="AH197:AH260" ca="1" si="111">IFERROR(AF197*W197,"")</f>
        <v>200000</v>
      </c>
      <c r="AI197" s="531">
        <f t="shared" ref="AI197:AI260" ca="1" si="112">IFERROR(AF197*V197,"")</f>
        <v>2000000</v>
      </c>
      <c r="AJ197" s="531">
        <f t="shared" ref="AJ197:AJ260" ca="1" si="113">IF(F197=0,"",U197-AG197)</f>
        <v>0</v>
      </c>
      <c r="AK197" s="540">
        <f>SUMIFS('Live Collections'!$S:$S,'Live Collections'!$D:$D,Disbursements!B197,'Live Collections'!$G:$G,Disbursements!C197)</f>
        <v>200000</v>
      </c>
      <c r="AL197" s="540">
        <f>SUMIFS('Live Collections'!$T:$T,'Live Collections'!$D:$D,Disbursements!B197,'Live Collections'!$G:$G,Disbursements!C197)</f>
        <v>2000000</v>
      </c>
      <c r="AM197" s="541">
        <f t="shared" ref="AM197:AM260" si="114">SUM(AK197:AL197)</f>
        <v>2200000</v>
      </c>
      <c r="AN197" s="542">
        <f t="shared" ref="AN197:AN260" si="115">IFERROR(W197*Q197-AK197,"")</f>
        <v>0</v>
      </c>
      <c r="AO197" s="542">
        <f t="shared" ref="AO197:AO260" si="116">IF(F197="","",(F197-AL197))</f>
        <v>0</v>
      </c>
      <c r="AP197" s="543">
        <f t="shared" ref="AP197:AP260" si="117">IF(F197="","",SUM(AN197:AO197))</f>
        <v>0</v>
      </c>
      <c r="AQ197" s="544" t="str">
        <f t="shared" ref="AQ197:AQ260" ca="1" si="118">IF(AP197&gt;AJ197,AP197-AJ197,"")</f>
        <v/>
      </c>
      <c r="AR197" s="545">
        <f t="shared" ref="AR197:AR260" ca="1" si="119">IFERROR(AQ197/T197,0)</f>
        <v>0</v>
      </c>
      <c r="AS197" s="545">
        <f ca="1">IFERROR(CEILING($AR197*VLOOKUP($I197,Ref!$B$23:$E$29,4,0),1),0)</f>
        <v>0</v>
      </c>
      <c r="AT197" s="545" t="str">
        <f>IF(A197="","",IF(AP197&lt;=1,"Cleared",IF(AS197=0,"Clean",VLOOKUP($AS197,Ref!$G$23:$H$28,2))))</f>
        <v>Cleared</v>
      </c>
      <c r="AU197" s="546" t="str">
        <f t="shared" ref="AU197:AU260" si="120">IF(F197="","",IF(OR(AN197&lt;0,AO197&lt;0,AP197&lt;0),"Error on Entry","Ok"))</f>
        <v>Ok</v>
      </c>
    </row>
    <row r="198" spans="1:47" ht="15" customHeight="1" x14ac:dyDescent="0.15">
      <c r="A198" s="575">
        <v>44438</v>
      </c>
      <c r="B198" s="523">
        <v>197</v>
      </c>
      <c r="C198" s="523">
        <v>192</v>
      </c>
      <c r="D198" s="523">
        <v>1</v>
      </c>
      <c r="E198" s="523" t="s">
        <v>1274</v>
      </c>
      <c r="F198" s="554">
        <v>400000</v>
      </c>
      <c r="G198" s="524">
        <v>4</v>
      </c>
      <c r="H198" s="555">
        <v>0.05</v>
      </c>
      <c r="I198" s="560" t="s">
        <v>859</v>
      </c>
      <c r="J198" s="523" t="s">
        <v>863</v>
      </c>
      <c r="K198" s="528" t="str">
        <f>IFERROR(VLOOKUP($B198,'Clients-Live'!$A:$C,3,0),"")</f>
        <v>SIYESA JAMILA</v>
      </c>
      <c r="L198" s="528">
        <f>IF(E198="STL",Pricing!$D$38,IF(A198="",0,IF(A198&lt;Pricing!$C$25,Pricing!$D$25,VLOOKUP(Disbursements!$F198,Pricing!$B$29:$D$32,3))))</f>
        <v>15000</v>
      </c>
      <c r="M198" s="528">
        <f>IF(E198="STL",0,IF(F198&gt;0,Pricing!$D$21,0))</f>
        <v>5000</v>
      </c>
      <c r="N198" s="529">
        <f>IF(E198="STL",F198*Pricing!$D$40,IF(A198&lt;=Pricing!$C$4,0,IF(AND(A198&gt;Pricing!$C$4,Disbursements!A198&lt;=Pricing!$C$5),F198*Pricing!$E$5,IF(AND(A198&gt;Pricing!$C$5,Disbursements!A198&lt;=Pricing!$C$7),VLOOKUP(F198,Pricing!$D$7:$E$8,2)*Disbursements!F198,F198*Pricing!$E$9))))</f>
        <v>4000</v>
      </c>
      <c r="O198" s="528">
        <f>IF(E198="STL",0,IF($F198&gt;0,$F198*Pricing!$D$17,0))</f>
        <v>40000</v>
      </c>
      <c r="P198" s="530">
        <f t="shared" si="100"/>
        <v>80000</v>
      </c>
      <c r="Q198" s="531">
        <f>IF($A198="","",$G198/VLOOKUP($I198,Ref!$B$23:$D$29,2,0))</f>
        <v>4</v>
      </c>
      <c r="R198" s="530">
        <f t="shared" si="101"/>
        <v>480000</v>
      </c>
      <c r="S198" s="532">
        <f t="shared" si="95"/>
        <v>120000</v>
      </c>
      <c r="T198" s="531">
        <f t="shared" si="102"/>
        <v>120000</v>
      </c>
      <c r="U198" s="533">
        <f t="shared" si="103"/>
        <v>480000</v>
      </c>
      <c r="V198" s="531">
        <f t="shared" si="104"/>
        <v>100000</v>
      </c>
      <c r="W198" s="531">
        <f t="shared" si="105"/>
        <v>20000</v>
      </c>
      <c r="X198" s="534">
        <f t="shared" si="106"/>
        <v>80000</v>
      </c>
      <c r="Y198" s="535">
        <f>IF($A198="","",IF($I198="weekly",$A198+7,EDATE($A198,VLOOKUP($I198,Ref!$B$24:$C$29,2,0))))</f>
        <v>44469</v>
      </c>
      <c r="Z198" s="536" t="str">
        <f t="shared" si="107"/>
        <v>Thu</v>
      </c>
      <c r="AA198" s="531">
        <f t="shared" si="108"/>
        <v>31</v>
      </c>
      <c r="AB198" s="535">
        <f t="shared" si="96"/>
        <v>44560</v>
      </c>
      <c r="AC198" s="537">
        <f t="shared" si="97"/>
        <v>122</v>
      </c>
      <c r="AD198" s="538" t="str">
        <f t="shared" ca="1" si="98"/>
        <v>Expired</v>
      </c>
      <c r="AE198" s="537">
        <f t="shared" ca="1" si="99"/>
        <v>0</v>
      </c>
      <c r="AF198" s="539">
        <f t="shared" ca="1" si="109"/>
        <v>4</v>
      </c>
      <c r="AG198" s="531">
        <f t="shared" ca="1" si="110"/>
        <v>480000</v>
      </c>
      <c r="AH198" s="531">
        <f t="shared" ca="1" si="111"/>
        <v>80000</v>
      </c>
      <c r="AI198" s="531">
        <f t="shared" ca="1" si="112"/>
        <v>400000</v>
      </c>
      <c r="AJ198" s="531">
        <f t="shared" ca="1" si="113"/>
        <v>0</v>
      </c>
      <c r="AK198" s="540">
        <f>SUMIFS('Live Collections'!$S:$S,'Live Collections'!$D:$D,Disbursements!B198,'Live Collections'!$G:$G,Disbursements!C198)</f>
        <v>60000</v>
      </c>
      <c r="AL198" s="540">
        <f>SUMIFS('Live Collections'!$T:$T,'Live Collections'!$D:$D,Disbursements!B198,'Live Collections'!$G:$G,Disbursements!C198)</f>
        <v>340000</v>
      </c>
      <c r="AM198" s="541">
        <f t="shared" si="114"/>
        <v>400000</v>
      </c>
      <c r="AN198" s="542">
        <f t="shared" si="115"/>
        <v>20000</v>
      </c>
      <c r="AO198" s="542">
        <f t="shared" si="116"/>
        <v>60000</v>
      </c>
      <c r="AP198" s="543">
        <f t="shared" si="117"/>
        <v>80000</v>
      </c>
      <c r="AQ198" s="544">
        <f t="shared" ca="1" si="118"/>
        <v>80000</v>
      </c>
      <c r="AR198" s="545">
        <f t="shared" ca="1" si="119"/>
        <v>0.66666666666666663</v>
      </c>
      <c r="AS198" s="545">
        <f ca="1">IFERROR(CEILING($AR198*VLOOKUP($I198,Ref!$B$23:$E$29,4,0),1),0)</f>
        <v>20</v>
      </c>
      <c r="AT198" s="545" t="str">
        <f ca="1">IF(A198="","",IF(AP198&lt;=1,"Cleared",IF(AS198=0,"Clean",VLOOKUP($AS198,Ref!$G$23:$H$28,2))))</f>
        <v>1.(0-30) Days</v>
      </c>
      <c r="AU198" s="546" t="str">
        <f t="shared" si="120"/>
        <v>Ok</v>
      </c>
    </row>
    <row r="199" spans="1:47" s="565" customFormat="1" ht="15" customHeight="1" x14ac:dyDescent="0.15">
      <c r="A199" s="575">
        <v>44439</v>
      </c>
      <c r="B199" s="523">
        <v>20</v>
      </c>
      <c r="C199" s="523">
        <v>194</v>
      </c>
      <c r="D199" s="523">
        <v>2</v>
      </c>
      <c r="E199" s="523" t="s">
        <v>1274</v>
      </c>
      <c r="F199" s="554">
        <v>800000</v>
      </c>
      <c r="G199" s="524">
        <v>5</v>
      </c>
      <c r="H199" s="555">
        <v>0.05</v>
      </c>
      <c r="I199" s="560" t="s">
        <v>859</v>
      </c>
      <c r="J199" s="523" t="s">
        <v>863</v>
      </c>
      <c r="K199" s="528" t="str">
        <f>IFERROR(VLOOKUP($B199,'Clients-Live'!$A:$C,3,0),"")</f>
        <v>ANDEZO KEVIN</v>
      </c>
      <c r="L199" s="528">
        <f>IF(E199="STL",Pricing!$D$38,IF(A199="",0,IF(A199&lt;Pricing!$C$25,Pricing!$D$25,VLOOKUP(Disbursements!$F199,Pricing!$B$29:$D$32,3))))</f>
        <v>20000</v>
      </c>
      <c r="M199" s="528">
        <f>IF(E199="STL",0,IF(F199&gt;0,Pricing!$D$21,0))</f>
        <v>5000</v>
      </c>
      <c r="N199" s="529">
        <f>IF(E199="STL",F199*Pricing!$D$40,IF(A199&lt;=Pricing!$C$4,0,IF(AND(A199&gt;Pricing!$C$4,Disbursements!A199&lt;=Pricing!$C$5),F199*Pricing!$E$5,IF(AND(A199&gt;Pricing!$C$5,Disbursements!A199&lt;=Pricing!$C$7),VLOOKUP(F199,Pricing!$D$7:$E$8,2)*Disbursements!F199,F199*Pricing!$E$9))))</f>
        <v>8000</v>
      </c>
      <c r="O199" s="528">
        <f>IF(E199="STL",0,IF($F199&gt;0,$F199*Pricing!$D$17,0))</f>
        <v>80000</v>
      </c>
      <c r="P199" s="530">
        <f t="shared" si="100"/>
        <v>200000</v>
      </c>
      <c r="Q199" s="531">
        <f>IF($A199="","",$G199/VLOOKUP($I199,Ref!$B$23:$D$29,2,0))</f>
        <v>5</v>
      </c>
      <c r="R199" s="530">
        <f t="shared" si="101"/>
        <v>1000000</v>
      </c>
      <c r="S199" s="532">
        <f t="shared" si="95"/>
        <v>200000</v>
      </c>
      <c r="T199" s="531">
        <f t="shared" si="102"/>
        <v>200000</v>
      </c>
      <c r="U199" s="533">
        <f t="shared" si="103"/>
        <v>1000000</v>
      </c>
      <c r="V199" s="531">
        <f t="shared" si="104"/>
        <v>160000</v>
      </c>
      <c r="W199" s="531">
        <f t="shared" si="105"/>
        <v>40000</v>
      </c>
      <c r="X199" s="534">
        <f t="shared" si="106"/>
        <v>200000</v>
      </c>
      <c r="Y199" s="535">
        <f>IF($A199="","",IF($I199="weekly",$A199+7,EDATE($A199,VLOOKUP($I199,Ref!$B$24:$C$29,2,0))))</f>
        <v>44469</v>
      </c>
      <c r="Z199" s="536" t="str">
        <f t="shared" si="107"/>
        <v>Thu</v>
      </c>
      <c r="AA199" s="531">
        <f t="shared" si="108"/>
        <v>30</v>
      </c>
      <c r="AB199" s="535">
        <f t="shared" si="96"/>
        <v>44592</v>
      </c>
      <c r="AC199" s="537">
        <f t="shared" si="97"/>
        <v>153</v>
      </c>
      <c r="AD199" s="538" t="str">
        <f t="shared" ca="1" si="98"/>
        <v>Expired</v>
      </c>
      <c r="AE199" s="537">
        <f t="shared" ca="1" si="99"/>
        <v>0</v>
      </c>
      <c r="AF199" s="539">
        <f t="shared" ca="1" si="109"/>
        <v>5</v>
      </c>
      <c r="AG199" s="531">
        <f t="shared" ca="1" si="110"/>
        <v>1000000</v>
      </c>
      <c r="AH199" s="531">
        <f t="shared" ca="1" si="111"/>
        <v>200000</v>
      </c>
      <c r="AI199" s="531">
        <f t="shared" ca="1" si="112"/>
        <v>800000</v>
      </c>
      <c r="AJ199" s="531">
        <f t="shared" ca="1" si="113"/>
        <v>0</v>
      </c>
      <c r="AK199" s="540">
        <f>SUMIFS('Live Collections'!$S:$S,'Live Collections'!$D:$D,Disbursements!B199,'Live Collections'!$G:$G,Disbursements!C199)</f>
        <v>200000</v>
      </c>
      <c r="AL199" s="540">
        <f>SUMIFS('Live Collections'!$T:$T,'Live Collections'!$D:$D,Disbursements!B199,'Live Collections'!$G:$G,Disbursements!C199)</f>
        <v>800000</v>
      </c>
      <c r="AM199" s="541">
        <f t="shared" si="114"/>
        <v>1000000</v>
      </c>
      <c r="AN199" s="542">
        <f t="shared" si="115"/>
        <v>0</v>
      </c>
      <c r="AO199" s="542">
        <f t="shared" si="116"/>
        <v>0</v>
      </c>
      <c r="AP199" s="543">
        <f t="shared" si="117"/>
        <v>0</v>
      </c>
      <c r="AQ199" s="544" t="str">
        <f t="shared" ca="1" si="118"/>
        <v/>
      </c>
      <c r="AR199" s="545">
        <f t="shared" ca="1" si="119"/>
        <v>0</v>
      </c>
      <c r="AS199" s="545">
        <f ca="1">IFERROR(CEILING($AR199*VLOOKUP($I199,Ref!$B$23:$E$29,4,0),1),0)</f>
        <v>0</v>
      </c>
      <c r="AT199" s="545" t="str">
        <f>IF(A199="","",IF(AP199&lt;=1,"Cleared",IF(AS199=0,"Clean",VLOOKUP($AS199,Ref!$G$23:$H$28,2))))</f>
        <v>Cleared</v>
      </c>
      <c r="AU199" s="546" t="str">
        <f t="shared" si="120"/>
        <v>Ok</v>
      </c>
    </row>
    <row r="200" spans="1:47" ht="15" customHeight="1" x14ac:dyDescent="0.15">
      <c r="A200" s="575">
        <v>44439</v>
      </c>
      <c r="B200" s="523">
        <v>54</v>
      </c>
      <c r="C200" s="523">
        <v>195</v>
      </c>
      <c r="D200" s="523">
        <v>2</v>
      </c>
      <c r="E200" s="523" t="s">
        <v>1274</v>
      </c>
      <c r="F200" s="554">
        <v>800000</v>
      </c>
      <c r="G200" s="524">
        <v>5</v>
      </c>
      <c r="H200" s="555">
        <v>0.05</v>
      </c>
      <c r="I200" s="560" t="s">
        <v>859</v>
      </c>
      <c r="J200" s="523" t="s">
        <v>864</v>
      </c>
      <c r="K200" s="528" t="str">
        <f>IFERROR(VLOOKUP($B200,'Clients-Live'!$A:$C,3,0),"")</f>
        <v>MANENO ANIFA</v>
      </c>
      <c r="L200" s="528">
        <f>IF(E200="STL",Pricing!$D$38,IF(A200="",0,IF(A200&lt;Pricing!$C$25,Pricing!$D$25,VLOOKUP(Disbursements!$F200,Pricing!$B$29:$D$32,3))))</f>
        <v>20000</v>
      </c>
      <c r="M200" s="528">
        <f>IF(E200="STL",0,IF(F200&gt;0,Pricing!$D$21,0))</f>
        <v>5000</v>
      </c>
      <c r="N200" s="529">
        <f>IF(E200="STL",F200*Pricing!$D$40,IF(A200&lt;=Pricing!$C$4,0,IF(AND(A200&gt;Pricing!$C$4,Disbursements!A200&lt;=Pricing!$C$5),F200*Pricing!$E$5,IF(AND(A200&gt;Pricing!$C$5,Disbursements!A200&lt;=Pricing!$C$7),VLOOKUP(F200,Pricing!$D$7:$E$8,2)*Disbursements!F200,F200*Pricing!$E$9))))</f>
        <v>8000</v>
      </c>
      <c r="O200" s="528">
        <f>IF(E200="STL",0,IF($F200&gt;0,$F200*Pricing!$D$17,0))</f>
        <v>80000</v>
      </c>
      <c r="P200" s="530">
        <f t="shared" si="100"/>
        <v>200000</v>
      </c>
      <c r="Q200" s="531">
        <f>IF($A200="","",$G200/VLOOKUP($I200,Ref!$B$23:$D$29,2,0))</f>
        <v>5</v>
      </c>
      <c r="R200" s="530">
        <f t="shared" si="101"/>
        <v>1000000</v>
      </c>
      <c r="S200" s="532">
        <f t="shared" si="95"/>
        <v>200000</v>
      </c>
      <c r="T200" s="531">
        <f t="shared" si="102"/>
        <v>200000</v>
      </c>
      <c r="U200" s="533">
        <f t="shared" si="103"/>
        <v>1000000</v>
      </c>
      <c r="V200" s="531">
        <f t="shared" si="104"/>
        <v>160000</v>
      </c>
      <c r="W200" s="531">
        <f t="shared" si="105"/>
        <v>40000</v>
      </c>
      <c r="X200" s="534">
        <f t="shared" si="106"/>
        <v>200000</v>
      </c>
      <c r="Y200" s="535">
        <f>IF($A200="","",IF($I200="weekly",$A200+7,EDATE($A200,VLOOKUP($I200,Ref!$B$24:$C$29,2,0))))</f>
        <v>44469</v>
      </c>
      <c r="Z200" s="536" t="str">
        <f t="shared" si="107"/>
        <v>Thu</v>
      </c>
      <c r="AA200" s="531">
        <f t="shared" si="108"/>
        <v>30</v>
      </c>
      <c r="AB200" s="535">
        <f t="shared" si="96"/>
        <v>44592</v>
      </c>
      <c r="AC200" s="537">
        <f t="shared" si="97"/>
        <v>153</v>
      </c>
      <c r="AD200" s="538" t="str">
        <f t="shared" ca="1" si="98"/>
        <v>Expired</v>
      </c>
      <c r="AE200" s="537">
        <f t="shared" ca="1" si="99"/>
        <v>0</v>
      </c>
      <c r="AF200" s="539">
        <f t="shared" ca="1" si="109"/>
        <v>5</v>
      </c>
      <c r="AG200" s="531">
        <f t="shared" ca="1" si="110"/>
        <v>1000000</v>
      </c>
      <c r="AH200" s="531">
        <f t="shared" ca="1" si="111"/>
        <v>200000</v>
      </c>
      <c r="AI200" s="531">
        <f t="shared" ca="1" si="112"/>
        <v>800000</v>
      </c>
      <c r="AJ200" s="531">
        <f t="shared" ca="1" si="113"/>
        <v>0</v>
      </c>
      <c r="AK200" s="540">
        <f>SUMIFS('Live Collections'!$S:$S,'Live Collections'!$D:$D,Disbursements!B200,'Live Collections'!$G:$G,Disbursements!C200)</f>
        <v>174000</v>
      </c>
      <c r="AL200" s="540">
        <f>SUMIFS('Live Collections'!$T:$T,'Live Collections'!$D:$D,Disbursements!B200,'Live Collections'!$G:$G,Disbursements!C200)</f>
        <v>445000</v>
      </c>
      <c r="AM200" s="541">
        <f t="shared" si="114"/>
        <v>619000</v>
      </c>
      <c r="AN200" s="542">
        <f t="shared" si="115"/>
        <v>26000</v>
      </c>
      <c r="AO200" s="542">
        <f t="shared" si="116"/>
        <v>355000</v>
      </c>
      <c r="AP200" s="543">
        <f t="shared" si="117"/>
        <v>381000</v>
      </c>
      <c r="AQ200" s="544">
        <f t="shared" ca="1" si="118"/>
        <v>381000</v>
      </c>
      <c r="AR200" s="545">
        <f t="shared" ca="1" si="119"/>
        <v>1.905</v>
      </c>
      <c r="AS200" s="545">
        <f ca="1">IFERROR(CEILING($AR200*VLOOKUP($I200,Ref!$B$23:$E$29,4,0),1),0)</f>
        <v>58</v>
      </c>
      <c r="AT200" s="545" t="str">
        <f ca="1">IF(A200="","",IF(AP200&lt;=1,"Cleared",IF(AS200=0,"Clean",VLOOKUP($AS200,Ref!$G$23:$H$28,2))))</f>
        <v>2.(31-60) Days</v>
      </c>
      <c r="AU200" s="546" t="str">
        <f t="shared" si="120"/>
        <v>Ok</v>
      </c>
    </row>
    <row r="201" spans="1:47" ht="15" customHeight="1" x14ac:dyDescent="0.15">
      <c r="A201" s="576">
        <v>44440</v>
      </c>
      <c r="B201" s="548">
        <v>199</v>
      </c>
      <c r="C201" s="523">
        <v>196</v>
      </c>
      <c r="D201" s="523">
        <v>1</v>
      </c>
      <c r="E201" s="523" t="s">
        <v>1277</v>
      </c>
      <c r="F201" s="549">
        <v>700000</v>
      </c>
      <c r="G201" s="563">
        <v>1</v>
      </c>
      <c r="H201" s="550">
        <v>7.4999999999999997E-2</v>
      </c>
      <c r="I201" s="562" t="s">
        <v>859</v>
      </c>
      <c r="J201" s="548" t="s">
        <v>862</v>
      </c>
      <c r="K201" s="528" t="str">
        <f>IFERROR(VLOOKUP($B201,'Clients-Live'!$A:$C,3,0),"")</f>
        <v>OTHIM JIMMY</v>
      </c>
      <c r="L201" s="528">
        <f>IF(E201="STL",Pricing!$D$38,IF(A201="",0,IF(A201&lt;Pricing!$C$25,Pricing!$D$25,VLOOKUP(Disbursements!$F201,Pricing!$B$29:$D$32,3))))</f>
        <v>20000</v>
      </c>
      <c r="M201" s="528">
        <f>IF(E201="STL",0,IF(F201&gt;0,Pricing!$D$21,0))</f>
        <v>5000</v>
      </c>
      <c r="N201" s="529">
        <f>IF(E201="STL",F201*Pricing!$D$40,IF(A201&lt;=Pricing!$C$4,0,IF(AND(A201&gt;Pricing!$C$4,Disbursements!A201&lt;=Pricing!$C$5),F201*Pricing!$E$5,IF(AND(A201&gt;Pricing!$C$5,Disbursements!A201&lt;=Pricing!$C$7),VLOOKUP(F201,Pricing!$D$7:$E$8,2)*Disbursements!F201,F201*Pricing!$E$9))))</f>
        <v>7000</v>
      </c>
      <c r="O201" s="528">
        <f>IF(E201="STL",0,IF($F201&gt;0,$F201*Pricing!$D$17,0))</f>
        <v>70000</v>
      </c>
      <c r="P201" s="530">
        <f t="shared" si="100"/>
        <v>52500</v>
      </c>
      <c r="Q201" s="531">
        <f>IF($A201="","",$G201/VLOOKUP($I201,Ref!$B$23:$D$29,2,0))</f>
        <v>1</v>
      </c>
      <c r="R201" s="530">
        <f t="shared" si="101"/>
        <v>752500</v>
      </c>
      <c r="S201" s="532">
        <f t="shared" si="95"/>
        <v>752500</v>
      </c>
      <c r="T201" s="531">
        <f t="shared" si="102"/>
        <v>753000</v>
      </c>
      <c r="U201" s="533">
        <f t="shared" si="103"/>
        <v>753000</v>
      </c>
      <c r="V201" s="531">
        <f t="shared" si="104"/>
        <v>700000</v>
      </c>
      <c r="W201" s="531">
        <f t="shared" si="105"/>
        <v>53000</v>
      </c>
      <c r="X201" s="534">
        <f t="shared" si="106"/>
        <v>53000</v>
      </c>
      <c r="Y201" s="535">
        <f>IF($A201="","",IF($I201="weekly",$A201+7,EDATE($A201,VLOOKUP($I201,Ref!$B$24:$C$29,2,0))))</f>
        <v>44470</v>
      </c>
      <c r="Z201" s="536" t="str">
        <f t="shared" si="107"/>
        <v>Frid</v>
      </c>
      <c r="AA201" s="531">
        <f t="shared" si="108"/>
        <v>30</v>
      </c>
      <c r="AB201" s="535">
        <f t="shared" si="96"/>
        <v>44470</v>
      </c>
      <c r="AC201" s="537">
        <f t="shared" si="97"/>
        <v>30</v>
      </c>
      <c r="AD201" s="538" t="str">
        <f t="shared" ca="1" si="98"/>
        <v>Expired</v>
      </c>
      <c r="AE201" s="537">
        <f t="shared" ca="1" si="99"/>
        <v>0</v>
      </c>
      <c r="AF201" s="539">
        <f t="shared" ca="1" si="109"/>
        <v>1</v>
      </c>
      <c r="AG201" s="531">
        <f t="shared" ca="1" si="110"/>
        <v>753000</v>
      </c>
      <c r="AH201" s="531">
        <f t="shared" ca="1" si="111"/>
        <v>53000</v>
      </c>
      <c r="AI201" s="531">
        <f t="shared" ca="1" si="112"/>
        <v>700000</v>
      </c>
      <c r="AJ201" s="531">
        <f t="shared" ca="1" si="113"/>
        <v>0</v>
      </c>
      <c r="AK201" s="540">
        <f>SUMIFS('Live Collections'!$S:$S,'Live Collections'!$D:$D,Disbursements!B201,'Live Collections'!$G:$G,Disbursements!C201)</f>
        <v>50000</v>
      </c>
      <c r="AL201" s="540">
        <f>SUMIFS('Live Collections'!$T:$T,'Live Collections'!$D:$D,Disbursements!B201,'Live Collections'!$G:$G,Disbursements!C201)</f>
        <v>632500</v>
      </c>
      <c r="AM201" s="541">
        <f t="shared" si="114"/>
        <v>682500</v>
      </c>
      <c r="AN201" s="542">
        <f t="shared" si="115"/>
        <v>3000</v>
      </c>
      <c r="AO201" s="542">
        <f t="shared" si="116"/>
        <v>67500</v>
      </c>
      <c r="AP201" s="543">
        <f t="shared" si="117"/>
        <v>70500</v>
      </c>
      <c r="AQ201" s="544">
        <f t="shared" ca="1" si="118"/>
        <v>70500</v>
      </c>
      <c r="AR201" s="545">
        <f t="shared" ca="1" si="119"/>
        <v>9.3625498007968128E-2</v>
      </c>
      <c r="AS201" s="545">
        <f ca="1">IFERROR(CEILING($AR201*VLOOKUP($I201,Ref!$B$23:$E$29,4,0),1),0)</f>
        <v>3</v>
      </c>
      <c r="AT201" s="545" t="str">
        <f ca="1">IF(A201="","",IF(AP201&lt;=1,"Cleared",IF(AS201=0,"Clean",VLOOKUP($AS201,Ref!$G$23:$H$28,2))))</f>
        <v>1.(0-30) Days</v>
      </c>
      <c r="AU201" s="546" t="str">
        <f t="shared" si="120"/>
        <v>Ok</v>
      </c>
    </row>
    <row r="202" spans="1:47" ht="15" customHeight="1" x14ac:dyDescent="0.15">
      <c r="A202" s="575">
        <v>44440</v>
      </c>
      <c r="B202" s="523">
        <v>202</v>
      </c>
      <c r="C202" s="523">
        <v>197</v>
      </c>
      <c r="D202" s="523">
        <v>1</v>
      </c>
      <c r="E202" s="523" t="s">
        <v>1274</v>
      </c>
      <c r="F202" s="554">
        <v>1500000</v>
      </c>
      <c r="G202" s="524">
        <v>3</v>
      </c>
      <c r="H202" s="555">
        <v>0.05</v>
      </c>
      <c r="I202" s="560" t="s">
        <v>861</v>
      </c>
      <c r="J202" s="523" t="s">
        <v>863</v>
      </c>
      <c r="K202" s="528" t="str">
        <f>IFERROR(VLOOKUP($B202,'Clients-Live'!$A:$C,3,0),"")</f>
        <v>MUSEMA SWAIBU</v>
      </c>
      <c r="L202" s="528">
        <f>IF(E202="STL",Pricing!$D$38,IF(A202="",0,IF(A202&lt;Pricing!$C$25,Pricing!$D$25,VLOOKUP(Disbursements!$F202,Pricing!$B$29:$D$32,3))))</f>
        <v>25000</v>
      </c>
      <c r="M202" s="528">
        <f>IF(E202="STL",0,IF(F202&gt;0,Pricing!$D$21,0))</f>
        <v>5000</v>
      </c>
      <c r="N202" s="529">
        <f>IF(E202="STL",F202*Pricing!$D$40,IF(A202&lt;=Pricing!$C$4,0,IF(AND(A202&gt;Pricing!$C$4,Disbursements!A202&lt;=Pricing!$C$5),F202*Pricing!$E$5,IF(AND(A202&gt;Pricing!$C$5,Disbursements!A202&lt;=Pricing!$C$7),VLOOKUP(F202,Pricing!$D$7:$E$8,2)*Disbursements!F202,F202*Pricing!$E$9))))</f>
        <v>30000</v>
      </c>
      <c r="O202" s="528">
        <f>IF(E202="STL",0,IF($F202&gt;0,$F202*Pricing!$D$17,0))</f>
        <v>150000</v>
      </c>
      <c r="P202" s="530">
        <f t="shared" si="100"/>
        <v>225000</v>
      </c>
      <c r="Q202" s="531">
        <f>IF($A202="","",$G202/VLOOKUP($I202,Ref!$B$23:$D$29,2,0))</f>
        <v>12</v>
      </c>
      <c r="R202" s="530">
        <f t="shared" si="101"/>
        <v>1725000</v>
      </c>
      <c r="S202" s="532">
        <f t="shared" si="95"/>
        <v>143750</v>
      </c>
      <c r="T202" s="531">
        <f t="shared" si="102"/>
        <v>144000</v>
      </c>
      <c r="U202" s="533">
        <f t="shared" si="103"/>
        <v>1728000</v>
      </c>
      <c r="V202" s="531">
        <f t="shared" si="104"/>
        <v>125000</v>
      </c>
      <c r="W202" s="531">
        <f t="shared" si="105"/>
        <v>19000</v>
      </c>
      <c r="X202" s="534">
        <f t="shared" si="106"/>
        <v>228000</v>
      </c>
      <c r="Y202" s="535">
        <f>IF($A202="","",IF($I202="weekly",$A202+7,EDATE($A202,VLOOKUP($I202,Ref!$B$24:$C$29,2,0))))</f>
        <v>44447</v>
      </c>
      <c r="Z202" s="536" t="str">
        <f t="shared" si="107"/>
        <v>Wed</v>
      </c>
      <c r="AA202" s="531">
        <f t="shared" si="108"/>
        <v>7</v>
      </c>
      <c r="AB202" s="535">
        <f t="shared" si="96"/>
        <v>44531</v>
      </c>
      <c r="AC202" s="537">
        <f t="shared" si="97"/>
        <v>91</v>
      </c>
      <c r="AD202" s="538" t="str">
        <f t="shared" ca="1" si="98"/>
        <v>Expired</v>
      </c>
      <c r="AE202" s="537">
        <f t="shared" ca="1" si="99"/>
        <v>0</v>
      </c>
      <c r="AF202" s="539">
        <f t="shared" ca="1" si="109"/>
        <v>12</v>
      </c>
      <c r="AG202" s="531">
        <f t="shared" ca="1" si="110"/>
        <v>1728000</v>
      </c>
      <c r="AH202" s="531">
        <f t="shared" ca="1" si="111"/>
        <v>228000</v>
      </c>
      <c r="AI202" s="531">
        <f t="shared" ca="1" si="112"/>
        <v>1500000</v>
      </c>
      <c r="AJ202" s="531">
        <f t="shared" ca="1" si="113"/>
        <v>0</v>
      </c>
      <c r="AK202" s="540">
        <f>SUMIFS('Live Collections'!$S:$S,'Live Collections'!$D:$D,Disbursements!B202,'Live Collections'!$G:$G,Disbursements!C202)</f>
        <v>228000</v>
      </c>
      <c r="AL202" s="540">
        <f>SUMIFS('Live Collections'!$T:$T,'Live Collections'!$D:$D,Disbursements!B202,'Live Collections'!$G:$G,Disbursements!C202)</f>
        <v>1497000</v>
      </c>
      <c r="AM202" s="541">
        <f t="shared" si="114"/>
        <v>1725000</v>
      </c>
      <c r="AN202" s="542">
        <f t="shared" si="115"/>
        <v>0</v>
      </c>
      <c r="AO202" s="542">
        <f t="shared" si="116"/>
        <v>3000</v>
      </c>
      <c r="AP202" s="543">
        <f t="shared" si="117"/>
        <v>3000</v>
      </c>
      <c r="AQ202" s="544">
        <f t="shared" ca="1" si="118"/>
        <v>3000</v>
      </c>
      <c r="AR202" s="545">
        <f t="shared" ca="1" si="119"/>
        <v>2.0833333333333332E-2</v>
      </c>
      <c r="AS202" s="545">
        <f ca="1">IFERROR(CEILING($AR202*VLOOKUP($I202,Ref!$B$23:$E$29,4,0),1),0)</f>
        <v>1</v>
      </c>
      <c r="AT202" s="545" t="str">
        <f ca="1">IF(A202="","",IF(AP202&lt;=1,"Cleared",IF(AS202=0,"Clean",VLOOKUP($AS202,Ref!$G$23:$H$28,2))))</f>
        <v>1.(0-30) Days</v>
      </c>
      <c r="AU202" s="546" t="str">
        <f t="shared" si="120"/>
        <v>Ok</v>
      </c>
    </row>
    <row r="203" spans="1:47" ht="15" customHeight="1" x14ac:dyDescent="0.15">
      <c r="A203" s="575">
        <v>44441</v>
      </c>
      <c r="B203" s="523">
        <v>204</v>
      </c>
      <c r="C203" s="523">
        <v>198</v>
      </c>
      <c r="D203" s="523">
        <v>1</v>
      </c>
      <c r="E203" s="523" t="s">
        <v>1277</v>
      </c>
      <c r="F203" s="554">
        <v>1000000</v>
      </c>
      <c r="G203" s="524">
        <v>1</v>
      </c>
      <c r="H203" s="555">
        <v>7.4999999999999997E-2</v>
      </c>
      <c r="I203" s="560" t="s">
        <v>859</v>
      </c>
      <c r="J203" s="523" t="s">
        <v>864</v>
      </c>
      <c r="K203" s="528" t="str">
        <f>IFERROR(VLOOKUP($B203,'Clients-Live'!$A:$C,3,0),"")</f>
        <v>DRAMADRI AHUMED OKUNI</v>
      </c>
      <c r="L203" s="528">
        <f>IF(E203="STL",Pricing!$D$38,IF(A203="",0,IF(A203&lt;Pricing!$C$25,Pricing!$D$25,VLOOKUP(Disbursements!$F203,Pricing!$B$29:$D$32,3))))</f>
        <v>20000</v>
      </c>
      <c r="M203" s="528">
        <f>IF(E203="STL",0,IF(F203&gt;0,Pricing!$D$21,0))</f>
        <v>5000</v>
      </c>
      <c r="N203" s="529">
        <f>IF(E203="STL",F203*Pricing!$D$40,IF(A203&lt;=Pricing!$C$4,0,IF(AND(A203&gt;Pricing!$C$4,Disbursements!A203&lt;=Pricing!$C$5),F203*Pricing!$E$5,IF(AND(A203&gt;Pricing!$C$5,Disbursements!A203&lt;=Pricing!$C$7),VLOOKUP(F203,Pricing!$D$7:$E$8,2)*Disbursements!F203,F203*Pricing!$E$9))))</f>
        <v>10000</v>
      </c>
      <c r="O203" s="528">
        <f>IF(E203="STL",0,IF($F203&gt;0,$F203*Pricing!$D$17,0))</f>
        <v>100000</v>
      </c>
      <c r="P203" s="530">
        <f t="shared" si="100"/>
        <v>75000</v>
      </c>
      <c r="Q203" s="531">
        <f>IF($A203="","",$G203/VLOOKUP($I203,Ref!$B$23:$D$29,2,0))</f>
        <v>1</v>
      </c>
      <c r="R203" s="530">
        <f t="shared" si="101"/>
        <v>1075000</v>
      </c>
      <c r="S203" s="532">
        <f t="shared" si="95"/>
        <v>1075000</v>
      </c>
      <c r="T203" s="531">
        <f t="shared" si="102"/>
        <v>1075000</v>
      </c>
      <c r="U203" s="533">
        <f t="shared" si="103"/>
        <v>1075000</v>
      </c>
      <c r="V203" s="531">
        <f t="shared" si="104"/>
        <v>1000000</v>
      </c>
      <c r="W203" s="531">
        <f t="shared" si="105"/>
        <v>75000</v>
      </c>
      <c r="X203" s="534">
        <f t="shared" si="106"/>
        <v>75000</v>
      </c>
      <c r="Y203" s="535">
        <f>IF($A203="","",IF($I203="weekly",$A203+7,EDATE($A203,VLOOKUP($I203,Ref!$B$24:$C$29,2,0))))</f>
        <v>44471</v>
      </c>
      <c r="Z203" s="536" t="str">
        <f t="shared" si="107"/>
        <v>Sat</v>
      </c>
      <c r="AA203" s="531">
        <f t="shared" si="108"/>
        <v>30</v>
      </c>
      <c r="AB203" s="535">
        <f t="shared" si="96"/>
        <v>44471</v>
      </c>
      <c r="AC203" s="537">
        <f t="shared" si="97"/>
        <v>30</v>
      </c>
      <c r="AD203" s="538" t="str">
        <f t="shared" ca="1" si="98"/>
        <v>Expired</v>
      </c>
      <c r="AE203" s="537">
        <f t="shared" ca="1" si="99"/>
        <v>0</v>
      </c>
      <c r="AF203" s="539">
        <f t="shared" ca="1" si="109"/>
        <v>1</v>
      </c>
      <c r="AG203" s="531">
        <f t="shared" ca="1" si="110"/>
        <v>1075000</v>
      </c>
      <c r="AH203" s="531">
        <f t="shared" ca="1" si="111"/>
        <v>75000</v>
      </c>
      <c r="AI203" s="531">
        <f t="shared" ca="1" si="112"/>
        <v>1000000</v>
      </c>
      <c r="AJ203" s="531">
        <f t="shared" ca="1" si="113"/>
        <v>0</v>
      </c>
      <c r="AK203" s="540">
        <f>SUMIFS('Live Collections'!$S:$S,'Live Collections'!$D:$D,Disbursements!B203,'Live Collections'!$G:$G,Disbursements!C203)</f>
        <v>75000</v>
      </c>
      <c r="AL203" s="540">
        <f>SUMIFS('Live Collections'!$T:$T,'Live Collections'!$D:$D,Disbursements!B203,'Live Collections'!$G:$G,Disbursements!C203)</f>
        <v>1000000</v>
      </c>
      <c r="AM203" s="541">
        <f t="shared" si="114"/>
        <v>1075000</v>
      </c>
      <c r="AN203" s="542">
        <f t="shared" si="115"/>
        <v>0</v>
      </c>
      <c r="AO203" s="542">
        <f t="shared" si="116"/>
        <v>0</v>
      </c>
      <c r="AP203" s="543">
        <f t="shared" si="117"/>
        <v>0</v>
      </c>
      <c r="AQ203" s="544" t="str">
        <f t="shared" ca="1" si="118"/>
        <v/>
      </c>
      <c r="AR203" s="545">
        <f t="shared" ca="1" si="119"/>
        <v>0</v>
      </c>
      <c r="AS203" s="545">
        <f ca="1">IFERROR(CEILING($AR203*VLOOKUP($I203,Ref!$B$23:$E$29,4,0),1),0)</f>
        <v>0</v>
      </c>
      <c r="AT203" s="545" t="str">
        <f>IF(A203="","",IF(AP203&lt;=1,"Cleared",IF(AS203=0,"Clean",VLOOKUP($AS203,Ref!$G$23:$H$28,2))))</f>
        <v>Cleared</v>
      </c>
      <c r="AU203" s="546" t="str">
        <f t="shared" si="120"/>
        <v>Ok</v>
      </c>
    </row>
    <row r="204" spans="1:47" ht="15" customHeight="1" x14ac:dyDescent="0.15">
      <c r="A204" s="575">
        <v>44442</v>
      </c>
      <c r="B204" s="523">
        <v>60</v>
      </c>
      <c r="C204" s="523">
        <v>200</v>
      </c>
      <c r="D204" s="523">
        <v>2</v>
      </c>
      <c r="E204" s="523" t="s">
        <v>1274</v>
      </c>
      <c r="F204" s="554">
        <v>600000</v>
      </c>
      <c r="G204" s="524">
        <v>4</v>
      </c>
      <c r="H204" s="555">
        <v>0.05</v>
      </c>
      <c r="I204" s="560" t="s">
        <v>859</v>
      </c>
      <c r="J204" s="523" t="s">
        <v>863</v>
      </c>
      <c r="K204" s="528" t="str">
        <f>IFERROR(VLOOKUP($B204,'Clients-Live'!$A:$C,3,0),"")</f>
        <v>MATURU ALICE</v>
      </c>
      <c r="L204" s="528">
        <f>IF(E204="STL",Pricing!$D$38,IF(A204="",0,IF(A204&lt;Pricing!$C$25,Pricing!$D$25,VLOOKUP(Disbursements!$F204,Pricing!$B$29:$D$32,3))))</f>
        <v>20000</v>
      </c>
      <c r="M204" s="528">
        <f>IF(E204="STL",0,IF(F204&gt;0,Pricing!$D$21,0))</f>
        <v>5000</v>
      </c>
      <c r="N204" s="529">
        <f>IF(E204="STL",F204*Pricing!$D$40,IF(A204&lt;=Pricing!$C$4,0,IF(AND(A204&gt;Pricing!$C$4,Disbursements!A204&lt;=Pricing!$C$5),F204*Pricing!$E$5,IF(AND(A204&gt;Pricing!$C$5,Disbursements!A204&lt;=Pricing!$C$7),VLOOKUP(F204,Pricing!$D$7:$E$8,2)*Disbursements!F204,F204*Pricing!$E$9))))</f>
        <v>6000</v>
      </c>
      <c r="O204" s="528">
        <f>IF(E204="STL",0,IF($F204&gt;0,$F204*Pricing!$D$17,0))</f>
        <v>60000</v>
      </c>
      <c r="P204" s="530">
        <f t="shared" si="100"/>
        <v>120000</v>
      </c>
      <c r="Q204" s="531">
        <f>IF($A204="","",$G204/VLOOKUP($I204,Ref!$B$23:$D$29,2,0))</f>
        <v>4</v>
      </c>
      <c r="R204" s="530">
        <f t="shared" si="101"/>
        <v>720000</v>
      </c>
      <c r="S204" s="532">
        <f t="shared" si="95"/>
        <v>180000</v>
      </c>
      <c r="T204" s="531">
        <f t="shared" si="102"/>
        <v>180000</v>
      </c>
      <c r="U204" s="533">
        <f t="shared" si="103"/>
        <v>720000</v>
      </c>
      <c r="V204" s="531">
        <f t="shared" si="104"/>
        <v>150000</v>
      </c>
      <c r="W204" s="531">
        <f t="shared" si="105"/>
        <v>30000</v>
      </c>
      <c r="X204" s="534">
        <f t="shared" si="106"/>
        <v>120000</v>
      </c>
      <c r="Y204" s="535">
        <f>IF($A204="","",IF($I204="weekly",$A204+7,EDATE($A204,VLOOKUP($I204,Ref!$B$24:$C$29,2,0))))</f>
        <v>44472</v>
      </c>
      <c r="Z204" s="536" t="str">
        <f t="shared" si="107"/>
        <v>Sun</v>
      </c>
      <c r="AA204" s="531">
        <f t="shared" si="108"/>
        <v>30</v>
      </c>
      <c r="AB204" s="535">
        <f t="shared" si="96"/>
        <v>44564</v>
      </c>
      <c r="AC204" s="537">
        <f t="shared" si="97"/>
        <v>122</v>
      </c>
      <c r="AD204" s="538" t="str">
        <f t="shared" ca="1" si="98"/>
        <v>Expired</v>
      </c>
      <c r="AE204" s="537">
        <f t="shared" ca="1" si="99"/>
        <v>0</v>
      </c>
      <c r="AF204" s="539">
        <f t="shared" ca="1" si="109"/>
        <v>4</v>
      </c>
      <c r="AG204" s="531">
        <f t="shared" ca="1" si="110"/>
        <v>720000</v>
      </c>
      <c r="AH204" s="531">
        <f t="shared" ca="1" si="111"/>
        <v>120000</v>
      </c>
      <c r="AI204" s="531">
        <f t="shared" ca="1" si="112"/>
        <v>600000</v>
      </c>
      <c r="AJ204" s="531">
        <f t="shared" ca="1" si="113"/>
        <v>0</v>
      </c>
      <c r="AK204" s="540">
        <f>SUMIFS('Live Collections'!$S:$S,'Live Collections'!$D:$D,Disbursements!B204,'Live Collections'!$G:$G,Disbursements!C204)</f>
        <v>120000</v>
      </c>
      <c r="AL204" s="540">
        <f>SUMIFS('Live Collections'!$T:$T,'Live Collections'!$D:$D,Disbursements!B204,'Live Collections'!$G:$G,Disbursements!C204)</f>
        <v>600000</v>
      </c>
      <c r="AM204" s="541">
        <f t="shared" si="114"/>
        <v>720000</v>
      </c>
      <c r="AN204" s="542">
        <f t="shared" si="115"/>
        <v>0</v>
      </c>
      <c r="AO204" s="542">
        <f t="shared" si="116"/>
        <v>0</v>
      </c>
      <c r="AP204" s="543">
        <f t="shared" si="117"/>
        <v>0</v>
      </c>
      <c r="AQ204" s="544" t="str">
        <f t="shared" ca="1" si="118"/>
        <v/>
      </c>
      <c r="AR204" s="545">
        <f t="shared" ca="1" si="119"/>
        <v>0</v>
      </c>
      <c r="AS204" s="545">
        <f ca="1">IFERROR(CEILING($AR204*VLOOKUP($I204,Ref!$B$23:$E$29,4,0),1),0)</f>
        <v>0</v>
      </c>
      <c r="AT204" s="545" t="str">
        <f>IF(A204="","",IF(AP204&lt;=1,"Cleared",IF(AS204=0,"Clean",VLOOKUP($AS204,Ref!$G$23:$H$28,2))))</f>
        <v>Cleared</v>
      </c>
      <c r="AU204" s="546" t="str">
        <f t="shared" si="120"/>
        <v>Ok</v>
      </c>
    </row>
    <row r="205" spans="1:47" ht="15" customHeight="1" x14ac:dyDescent="0.15">
      <c r="A205" s="575">
        <v>44442</v>
      </c>
      <c r="B205" s="523">
        <v>97</v>
      </c>
      <c r="C205" s="523">
        <v>202</v>
      </c>
      <c r="D205" s="523">
        <v>3</v>
      </c>
      <c r="E205" s="523" t="s">
        <v>1274</v>
      </c>
      <c r="F205" s="554">
        <v>10000000</v>
      </c>
      <c r="G205" s="524">
        <v>3</v>
      </c>
      <c r="H205" s="555">
        <v>0.05</v>
      </c>
      <c r="I205" s="560" t="s">
        <v>859</v>
      </c>
      <c r="J205" s="523" t="s">
        <v>862</v>
      </c>
      <c r="K205" s="528" t="str">
        <f>IFERROR(VLOOKUP($B205,'Clients-Live'!$A:$C,3,0),"")</f>
        <v>DRANDUA JOB CHRISPUS</v>
      </c>
      <c r="L205" s="528">
        <f>IF(E205="STL",Pricing!$D$38,IF(A205="",0,IF(A205&lt;Pricing!$C$25,Pricing!$D$25,VLOOKUP(Disbursements!$F205,Pricing!$B$29:$D$32,3))))</f>
        <v>30000</v>
      </c>
      <c r="M205" s="528">
        <f>IF(E205="STL",0,IF(F205&gt;0,Pricing!$D$21,0))</f>
        <v>5000</v>
      </c>
      <c r="N205" s="529">
        <f>IF(E205="STL",F205*Pricing!$D$40,IF(A205&lt;=Pricing!$C$4,0,IF(AND(A205&gt;Pricing!$C$4,Disbursements!A205&lt;=Pricing!$C$5),F205*Pricing!$E$5,IF(AND(A205&gt;Pricing!$C$5,Disbursements!A205&lt;=Pricing!$C$7),VLOOKUP(F205,Pricing!$D$7:$E$8,2)*Disbursements!F205,F205*Pricing!$E$9))))</f>
        <v>200000</v>
      </c>
      <c r="O205" s="528">
        <f>IF(E205="STL",0,IF($F205&gt;0,$F205*Pricing!$D$17,0))</f>
        <v>1000000</v>
      </c>
      <c r="P205" s="530">
        <f t="shared" si="100"/>
        <v>1500000</v>
      </c>
      <c r="Q205" s="531">
        <f>IF($A205="","",$G205/VLOOKUP($I205,Ref!$B$23:$D$29,2,0))</f>
        <v>3</v>
      </c>
      <c r="R205" s="530">
        <f t="shared" si="101"/>
        <v>11500000</v>
      </c>
      <c r="S205" s="532">
        <f t="shared" si="95"/>
        <v>3833333.3333333335</v>
      </c>
      <c r="T205" s="531">
        <f t="shared" si="102"/>
        <v>3834000</v>
      </c>
      <c r="U205" s="533">
        <f t="shared" si="103"/>
        <v>11502000</v>
      </c>
      <c r="V205" s="531">
        <f t="shared" si="104"/>
        <v>3333333.3333333335</v>
      </c>
      <c r="W205" s="531">
        <f t="shared" si="105"/>
        <v>500666.66666666651</v>
      </c>
      <c r="X205" s="534">
        <f t="shared" si="106"/>
        <v>1501999.9999999995</v>
      </c>
      <c r="Y205" s="535">
        <f>IF($A205="","",IF($I205="weekly",$A205+7,EDATE($A205,VLOOKUP($I205,Ref!$B$24:$C$29,2,0))))</f>
        <v>44472</v>
      </c>
      <c r="Z205" s="536" t="str">
        <f t="shared" si="107"/>
        <v>Sun</v>
      </c>
      <c r="AA205" s="531">
        <f t="shared" si="108"/>
        <v>30</v>
      </c>
      <c r="AB205" s="535">
        <f t="shared" si="96"/>
        <v>44533</v>
      </c>
      <c r="AC205" s="537">
        <f t="shared" si="97"/>
        <v>91</v>
      </c>
      <c r="AD205" s="538" t="str">
        <f t="shared" ca="1" si="98"/>
        <v>Expired</v>
      </c>
      <c r="AE205" s="537">
        <f t="shared" ca="1" si="99"/>
        <v>0</v>
      </c>
      <c r="AF205" s="539">
        <f t="shared" ca="1" si="109"/>
        <v>3</v>
      </c>
      <c r="AG205" s="531">
        <f t="shared" ca="1" si="110"/>
        <v>11502000</v>
      </c>
      <c r="AH205" s="531">
        <f t="shared" ca="1" si="111"/>
        <v>1501999.9999999995</v>
      </c>
      <c r="AI205" s="531">
        <f t="shared" ca="1" si="112"/>
        <v>10000000</v>
      </c>
      <c r="AJ205" s="531">
        <f t="shared" ca="1" si="113"/>
        <v>0</v>
      </c>
      <c r="AK205" s="540">
        <f>SUMIFS('Live Collections'!$S:$S,'Live Collections'!$D:$D,Disbursements!B205,'Live Collections'!$G:$G,Disbursements!C205)</f>
        <v>1501999.9999999995</v>
      </c>
      <c r="AL205" s="540">
        <f>SUMIFS('Live Collections'!$T:$T,'Live Collections'!$D:$D,Disbursements!B205,'Live Collections'!$G:$G,Disbursements!C205)</f>
        <v>10000000</v>
      </c>
      <c r="AM205" s="541">
        <f t="shared" si="114"/>
        <v>11502000</v>
      </c>
      <c r="AN205" s="542">
        <f t="shared" si="115"/>
        <v>0</v>
      </c>
      <c r="AO205" s="542">
        <f t="shared" si="116"/>
        <v>0</v>
      </c>
      <c r="AP205" s="543">
        <f t="shared" si="117"/>
        <v>0</v>
      </c>
      <c r="AQ205" s="544" t="str">
        <f t="shared" ca="1" si="118"/>
        <v/>
      </c>
      <c r="AR205" s="545">
        <f t="shared" ca="1" si="119"/>
        <v>0</v>
      </c>
      <c r="AS205" s="545">
        <f ca="1">IFERROR(CEILING($AR205*VLOOKUP($I205,Ref!$B$23:$E$29,4,0),1),0)</f>
        <v>0</v>
      </c>
      <c r="AT205" s="545" t="str">
        <f>IF(A205="","",IF(AP205&lt;=1,"Cleared",IF(AS205=0,"Clean",VLOOKUP($AS205,Ref!$G$23:$H$28,2))))</f>
        <v>Cleared</v>
      </c>
      <c r="AU205" s="546" t="str">
        <f t="shared" si="120"/>
        <v>Ok</v>
      </c>
    </row>
    <row r="206" spans="1:47" ht="15" customHeight="1" x14ac:dyDescent="0.15">
      <c r="A206" s="575">
        <v>44442</v>
      </c>
      <c r="B206" s="523">
        <v>147</v>
      </c>
      <c r="C206" s="523">
        <v>203</v>
      </c>
      <c r="D206" s="523">
        <v>2</v>
      </c>
      <c r="E206" s="523" t="s">
        <v>1274</v>
      </c>
      <c r="F206" s="554">
        <v>1200000</v>
      </c>
      <c r="G206" s="524">
        <v>5</v>
      </c>
      <c r="H206" s="555">
        <v>0.05</v>
      </c>
      <c r="I206" s="560" t="s">
        <v>859</v>
      </c>
      <c r="J206" s="523" t="s">
        <v>862</v>
      </c>
      <c r="K206" s="528" t="str">
        <f>IFERROR(VLOOKUP($B206,'Clients-Live'!$A:$C,3,0),"")</f>
        <v>DRICIRU MARGRET</v>
      </c>
      <c r="L206" s="528">
        <f>IF(E206="STL",Pricing!$D$38,IF(A206="",0,IF(A206&lt;Pricing!$C$25,Pricing!$D$25,VLOOKUP(Disbursements!$F206,Pricing!$B$29:$D$32,3))))</f>
        <v>25000</v>
      </c>
      <c r="M206" s="528">
        <f>IF(E206="STL",0,IF(F206&gt;0,Pricing!$D$21,0))</f>
        <v>5000</v>
      </c>
      <c r="N206" s="529">
        <f>IF(E206="STL",F206*Pricing!$D$40,IF(A206&lt;=Pricing!$C$4,0,IF(AND(A206&gt;Pricing!$C$4,Disbursements!A206&lt;=Pricing!$C$5),F206*Pricing!$E$5,IF(AND(A206&gt;Pricing!$C$5,Disbursements!A206&lt;=Pricing!$C$7),VLOOKUP(F206,Pricing!$D$7:$E$8,2)*Disbursements!F206,F206*Pricing!$E$9))))</f>
        <v>24000</v>
      </c>
      <c r="O206" s="528">
        <f>IF(E206="STL",0,IF($F206&gt;0,$F206*Pricing!$D$17,0))</f>
        <v>120000</v>
      </c>
      <c r="P206" s="530">
        <f t="shared" si="100"/>
        <v>300000</v>
      </c>
      <c r="Q206" s="531">
        <f>IF($A206="","",$G206/VLOOKUP($I206,Ref!$B$23:$D$29,2,0))</f>
        <v>5</v>
      </c>
      <c r="R206" s="530">
        <f t="shared" si="101"/>
        <v>1500000</v>
      </c>
      <c r="S206" s="532">
        <f t="shared" si="95"/>
        <v>300000</v>
      </c>
      <c r="T206" s="531">
        <f t="shared" si="102"/>
        <v>300000</v>
      </c>
      <c r="U206" s="533">
        <f t="shared" si="103"/>
        <v>1500000</v>
      </c>
      <c r="V206" s="531">
        <f t="shared" si="104"/>
        <v>240000</v>
      </c>
      <c r="W206" s="531">
        <f t="shared" si="105"/>
        <v>60000</v>
      </c>
      <c r="X206" s="534">
        <f t="shared" si="106"/>
        <v>300000</v>
      </c>
      <c r="Y206" s="535">
        <f>IF($A206="","",IF($I206="weekly",$A206+7,EDATE($A206,VLOOKUP($I206,Ref!$B$24:$C$29,2,0))))</f>
        <v>44472</v>
      </c>
      <c r="Z206" s="536" t="str">
        <f t="shared" si="107"/>
        <v>Sun</v>
      </c>
      <c r="AA206" s="531">
        <f t="shared" si="108"/>
        <v>30</v>
      </c>
      <c r="AB206" s="535">
        <f t="shared" si="96"/>
        <v>44595</v>
      </c>
      <c r="AC206" s="537">
        <f t="shared" si="97"/>
        <v>153</v>
      </c>
      <c r="AD206" s="538" t="str">
        <f t="shared" ca="1" si="98"/>
        <v>Expired</v>
      </c>
      <c r="AE206" s="537">
        <f t="shared" ca="1" si="99"/>
        <v>0</v>
      </c>
      <c r="AF206" s="539">
        <f t="shared" ca="1" si="109"/>
        <v>5</v>
      </c>
      <c r="AG206" s="531">
        <f t="shared" ca="1" si="110"/>
        <v>1500000</v>
      </c>
      <c r="AH206" s="531">
        <f t="shared" ca="1" si="111"/>
        <v>300000</v>
      </c>
      <c r="AI206" s="531">
        <f t="shared" ca="1" si="112"/>
        <v>1200000</v>
      </c>
      <c r="AJ206" s="531">
        <f t="shared" ca="1" si="113"/>
        <v>0</v>
      </c>
      <c r="AK206" s="540">
        <f>SUMIFS('Live Collections'!$S:$S,'Live Collections'!$D:$D,Disbursements!B206,'Live Collections'!$G:$G,Disbursements!C206)</f>
        <v>300000</v>
      </c>
      <c r="AL206" s="540">
        <f>SUMIFS('Live Collections'!$T:$T,'Live Collections'!$D:$D,Disbursements!B206,'Live Collections'!$G:$G,Disbursements!C206)</f>
        <v>1200000</v>
      </c>
      <c r="AM206" s="541">
        <f t="shared" si="114"/>
        <v>1500000</v>
      </c>
      <c r="AN206" s="542">
        <f t="shared" si="115"/>
        <v>0</v>
      </c>
      <c r="AO206" s="542">
        <f t="shared" si="116"/>
        <v>0</v>
      </c>
      <c r="AP206" s="543">
        <f t="shared" si="117"/>
        <v>0</v>
      </c>
      <c r="AQ206" s="544" t="str">
        <f t="shared" ca="1" si="118"/>
        <v/>
      </c>
      <c r="AR206" s="545">
        <f t="shared" ca="1" si="119"/>
        <v>0</v>
      </c>
      <c r="AS206" s="545">
        <f ca="1">IFERROR(CEILING($AR206*VLOOKUP($I206,Ref!$B$23:$E$29,4,0),1),0)</f>
        <v>0</v>
      </c>
      <c r="AT206" s="545" t="str">
        <f>IF(A206="","",IF(AP206&lt;=1,"Cleared",IF(AS206=0,"Clean",VLOOKUP($AS206,Ref!$G$23:$H$28,2))))</f>
        <v>Cleared</v>
      </c>
      <c r="AU206" s="546" t="str">
        <f t="shared" si="120"/>
        <v>Ok</v>
      </c>
    </row>
    <row r="207" spans="1:47" ht="15" customHeight="1" x14ac:dyDescent="0.15">
      <c r="A207" s="575">
        <v>44442</v>
      </c>
      <c r="B207" s="523">
        <v>207</v>
      </c>
      <c r="C207" s="523">
        <v>205</v>
      </c>
      <c r="D207" s="523">
        <v>1</v>
      </c>
      <c r="E207" s="523" t="s">
        <v>1274</v>
      </c>
      <c r="F207" s="554">
        <v>400000</v>
      </c>
      <c r="G207" s="524">
        <v>3</v>
      </c>
      <c r="H207" s="555">
        <v>0.05</v>
      </c>
      <c r="I207" s="560" t="s">
        <v>859</v>
      </c>
      <c r="J207" s="523" t="s">
        <v>863</v>
      </c>
      <c r="K207" s="528" t="str">
        <f>IFERROR(VLOOKUP($B207,'Clients-Live'!$A:$C,3,0),"")</f>
        <v>DRARU IRENE</v>
      </c>
      <c r="L207" s="528">
        <f>IF(E207="STL",Pricing!$D$38,IF(A207="",0,IF(A207&lt;Pricing!$C$25,Pricing!$D$25,VLOOKUP(Disbursements!$F207,Pricing!$B$29:$D$32,3))))</f>
        <v>15000</v>
      </c>
      <c r="M207" s="528">
        <f>IF(E207="STL",0,IF(F207&gt;0,Pricing!$D$21,0))</f>
        <v>5000</v>
      </c>
      <c r="N207" s="529">
        <f>IF(E207="STL",F207*Pricing!$D$40,IF(A207&lt;=Pricing!$C$4,0,IF(AND(A207&gt;Pricing!$C$4,Disbursements!A207&lt;=Pricing!$C$5),F207*Pricing!$E$5,IF(AND(A207&gt;Pricing!$C$5,Disbursements!A207&lt;=Pricing!$C$7),VLOOKUP(F207,Pricing!$D$7:$E$8,2)*Disbursements!F207,F207*Pricing!$E$9))))</f>
        <v>4000</v>
      </c>
      <c r="O207" s="528">
        <f>IF(E207="STL",0,IF($F207&gt;0,$F207*Pricing!$D$17,0))</f>
        <v>40000</v>
      </c>
      <c r="P207" s="530">
        <f t="shared" si="100"/>
        <v>60000</v>
      </c>
      <c r="Q207" s="531">
        <f>IF($A207="","",$G207/VLOOKUP($I207,Ref!$B$23:$D$29,2,0))</f>
        <v>3</v>
      </c>
      <c r="R207" s="530">
        <f t="shared" si="101"/>
        <v>460000</v>
      </c>
      <c r="S207" s="532">
        <f t="shared" si="95"/>
        <v>153333.33333333334</v>
      </c>
      <c r="T207" s="531">
        <f t="shared" si="102"/>
        <v>154000</v>
      </c>
      <c r="U207" s="533">
        <f t="shared" si="103"/>
        <v>462000</v>
      </c>
      <c r="V207" s="531">
        <f t="shared" si="104"/>
        <v>133333.33333333334</v>
      </c>
      <c r="W207" s="531">
        <f t="shared" si="105"/>
        <v>20666.666666666657</v>
      </c>
      <c r="X207" s="534">
        <f t="shared" si="106"/>
        <v>61999.999999999971</v>
      </c>
      <c r="Y207" s="535">
        <f>IF($A207="","",IF($I207="weekly",$A207+7,EDATE($A207,VLOOKUP($I207,Ref!$B$24:$C$29,2,0))))</f>
        <v>44472</v>
      </c>
      <c r="Z207" s="536" t="str">
        <f t="shared" si="107"/>
        <v>Sun</v>
      </c>
      <c r="AA207" s="531">
        <f t="shared" si="108"/>
        <v>30</v>
      </c>
      <c r="AB207" s="535">
        <f t="shared" si="96"/>
        <v>44533</v>
      </c>
      <c r="AC207" s="537">
        <f t="shared" si="97"/>
        <v>91</v>
      </c>
      <c r="AD207" s="538" t="str">
        <f t="shared" ca="1" si="98"/>
        <v>Expired</v>
      </c>
      <c r="AE207" s="537">
        <f t="shared" ca="1" si="99"/>
        <v>0</v>
      </c>
      <c r="AF207" s="539">
        <f t="shared" ca="1" si="109"/>
        <v>3</v>
      </c>
      <c r="AG207" s="531">
        <f t="shared" ca="1" si="110"/>
        <v>462000</v>
      </c>
      <c r="AH207" s="531">
        <f t="shared" ca="1" si="111"/>
        <v>61999.999999999971</v>
      </c>
      <c r="AI207" s="531">
        <f t="shared" ca="1" si="112"/>
        <v>400000</v>
      </c>
      <c r="AJ207" s="531">
        <f t="shared" ca="1" si="113"/>
        <v>0</v>
      </c>
      <c r="AK207" s="540">
        <f>SUMIFS('Live Collections'!$S:$S,'Live Collections'!$D:$D,Disbursements!B207,'Live Collections'!$G:$G,Disbursements!C207)</f>
        <v>61999.999999999971</v>
      </c>
      <c r="AL207" s="540">
        <f>SUMIFS('Live Collections'!$T:$T,'Live Collections'!$D:$D,Disbursements!B207,'Live Collections'!$G:$G,Disbursements!C207)</f>
        <v>398200</v>
      </c>
      <c r="AM207" s="541">
        <f t="shared" si="114"/>
        <v>460200</v>
      </c>
      <c r="AN207" s="542">
        <f t="shared" si="115"/>
        <v>0</v>
      </c>
      <c r="AO207" s="542">
        <f t="shared" si="116"/>
        <v>1800</v>
      </c>
      <c r="AP207" s="543">
        <f t="shared" si="117"/>
        <v>1800</v>
      </c>
      <c r="AQ207" s="544">
        <f t="shared" ca="1" si="118"/>
        <v>1800</v>
      </c>
      <c r="AR207" s="545">
        <f t="shared" ca="1" si="119"/>
        <v>1.1688311688311689E-2</v>
      </c>
      <c r="AS207" s="545">
        <f ca="1">IFERROR(CEILING($AR207*VLOOKUP($I207,Ref!$B$23:$E$29,4,0),1),0)</f>
        <v>1</v>
      </c>
      <c r="AT207" s="545" t="str">
        <f ca="1">IF(A207="","",IF(AP207&lt;=1,"Cleared",IF(AS207=0,"Clean",VLOOKUP($AS207,Ref!$G$23:$H$28,2))))</f>
        <v>1.(0-30) Days</v>
      </c>
      <c r="AU207" s="546" t="str">
        <f t="shared" si="120"/>
        <v>Ok</v>
      </c>
    </row>
    <row r="208" spans="1:47" ht="15" customHeight="1" x14ac:dyDescent="0.15">
      <c r="A208" s="575">
        <v>44442</v>
      </c>
      <c r="B208" s="523">
        <v>208</v>
      </c>
      <c r="C208" s="523">
        <v>204</v>
      </c>
      <c r="D208" s="523">
        <v>1</v>
      </c>
      <c r="E208" s="523" t="s">
        <v>1274</v>
      </c>
      <c r="F208" s="554">
        <v>200000</v>
      </c>
      <c r="G208" s="524">
        <v>2</v>
      </c>
      <c r="H208" s="555">
        <v>0.05</v>
      </c>
      <c r="I208" s="560" t="s">
        <v>859</v>
      </c>
      <c r="J208" s="523" t="s">
        <v>864</v>
      </c>
      <c r="K208" s="528" t="str">
        <f>IFERROR(VLOOKUP($B208,'Clients-Live'!$A:$C,3,0),"")</f>
        <v>TIKO RAIMA</v>
      </c>
      <c r="L208" s="528">
        <f>IF(E208="STL",Pricing!$D$38,IF(A208="",0,IF(A208&lt;Pricing!$C$25,Pricing!$D$25,VLOOKUP(Disbursements!$F208,Pricing!$B$29:$D$32,3))))</f>
        <v>15000</v>
      </c>
      <c r="M208" s="528">
        <f>IF(E208="STL",0,IF(F208&gt;0,Pricing!$D$21,0))</f>
        <v>5000</v>
      </c>
      <c r="N208" s="529">
        <f>IF(E208="STL",F208*Pricing!$D$40,IF(A208&lt;=Pricing!$C$4,0,IF(AND(A208&gt;Pricing!$C$4,Disbursements!A208&lt;=Pricing!$C$5),F208*Pricing!$E$5,IF(AND(A208&gt;Pricing!$C$5,Disbursements!A208&lt;=Pricing!$C$7),VLOOKUP(F208,Pricing!$D$7:$E$8,2)*Disbursements!F208,F208*Pricing!$E$9))))</f>
        <v>2000</v>
      </c>
      <c r="O208" s="528">
        <f>IF(E208="STL",0,IF($F208&gt;0,$F208*Pricing!$D$17,0))</f>
        <v>20000</v>
      </c>
      <c r="P208" s="530">
        <f t="shared" si="100"/>
        <v>20000</v>
      </c>
      <c r="Q208" s="531">
        <f>IF($A208="","",$G208/VLOOKUP($I208,Ref!$B$23:$D$29,2,0))</f>
        <v>2</v>
      </c>
      <c r="R208" s="530">
        <f t="shared" si="101"/>
        <v>220000</v>
      </c>
      <c r="S208" s="532">
        <f t="shared" si="95"/>
        <v>110000</v>
      </c>
      <c r="T208" s="531">
        <f t="shared" si="102"/>
        <v>110000</v>
      </c>
      <c r="U208" s="533">
        <f t="shared" si="103"/>
        <v>220000</v>
      </c>
      <c r="V208" s="531">
        <f t="shared" si="104"/>
        <v>100000</v>
      </c>
      <c r="W208" s="531">
        <f t="shared" si="105"/>
        <v>10000</v>
      </c>
      <c r="X208" s="534">
        <f t="shared" si="106"/>
        <v>20000</v>
      </c>
      <c r="Y208" s="535">
        <f>IF($A208="","",IF($I208="weekly",$A208+7,EDATE($A208,VLOOKUP($I208,Ref!$B$24:$C$29,2,0))))</f>
        <v>44472</v>
      </c>
      <c r="Z208" s="536" t="str">
        <f t="shared" si="107"/>
        <v>Sun</v>
      </c>
      <c r="AA208" s="531">
        <f t="shared" si="108"/>
        <v>30</v>
      </c>
      <c r="AB208" s="535">
        <f t="shared" si="96"/>
        <v>44503</v>
      </c>
      <c r="AC208" s="537">
        <f t="shared" si="97"/>
        <v>61</v>
      </c>
      <c r="AD208" s="538" t="str">
        <f t="shared" ca="1" si="98"/>
        <v>Expired</v>
      </c>
      <c r="AE208" s="537">
        <f t="shared" ca="1" si="99"/>
        <v>0</v>
      </c>
      <c r="AF208" s="539">
        <f t="shared" ca="1" si="109"/>
        <v>2</v>
      </c>
      <c r="AG208" s="531">
        <f t="shared" ca="1" si="110"/>
        <v>220000</v>
      </c>
      <c r="AH208" s="531">
        <f t="shared" ca="1" si="111"/>
        <v>20000</v>
      </c>
      <c r="AI208" s="531">
        <f t="shared" ca="1" si="112"/>
        <v>200000</v>
      </c>
      <c r="AJ208" s="531">
        <f t="shared" ca="1" si="113"/>
        <v>0</v>
      </c>
      <c r="AK208" s="540">
        <f>SUMIFS('Live Collections'!$S:$S,'Live Collections'!$D:$D,Disbursements!B208,'Live Collections'!$G:$G,Disbursements!C208)</f>
        <v>20000</v>
      </c>
      <c r="AL208" s="540">
        <f>SUMIFS('Live Collections'!$T:$T,'Live Collections'!$D:$D,Disbursements!B208,'Live Collections'!$G:$G,Disbursements!C208)</f>
        <v>200000</v>
      </c>
      <c r="AM208" s="541">
        <f t="shared" si="114"/>
        <v>220000</v>
      </c>
      <c r="AN208" s="542">
        <f t="shared" si="115"/>
        <v>0</v>
      </c>
      <c r="AO208" s="542">
        <f t="shared" si="116"/>
        <v>0</v>
      </c>
      <c r="AP208" s="543">
        <f t="shared" si="117"/>
        <v>0</v>
      </c>
      <c r="AQ208" s="544" t="str">
        <f t="shared" ca="1" si="118"/>
        <v/>
      </c>
      <c r="AR208" s="545">
        <f t="shared" ca="1" si="119"/>
        <v>0</v>
      </c>
      <c r="AS208" s="545">
        <f ca="1">IFERROR(CEILING($AR208*VLOOKUP($I208,Ref!$B$23:$E$29,4,0),1),0)</f>
        <v>0</v>
      </c>
      <c r="AT208" s="545" t="str">
        <f>IF(A208="","",IF(AP208&lt;=1,"Cleared",IF(AS208=0,"Clean",VLOOKUP($AS208,Ref!$G$23:$H$28,2))))</f>
        <v>Cleared</v>
      </c>
      <c r="AU208" s="546" t="str">
        <f t="shared" si="120"/>
        <v>Ok</v>
      </c>
    </row>
    <row r="209" spans="1:47" ht="15" customHeight="1" x14ac:dyDescent="0.15">
      <c r="A209" s="575">
        <v>44442</v>
      </c>
      <c r="B209" s="523">
        <v>212</v>
      </c>
      <c r="C209" s="523">
        <v>206</v>
      </c>
      <c r="D209" s="523">
        <v>1</v>
      </c>
      <c r="E209" s="523" t="s">
        <v>1275</v>
      </c>
      <c r="F209" s="554">
        <v>650000</v>
      </c>
      <c r="G209" s="524">
        <v>3</v>
      </c>
      <c r="H209" s="555">
        <v>7.4999999999999997E-2</v>
      </c>
      <c r="I209" s="560" t="s">
        <v>859</v>
      </c>
      <c r="J209" s="523" t="s">
        <v>863</v>
      </c>
      <c r="K209" s="528" t="str">
        <f>IFERROR(VLOOKUP($B209,'Clients-Live'!$A:$C,3,0),"")</f>
        <v>ACIDRI WILLIAM</v>
      </c>
      <c r="L209" s="528">
        <f>IF(E209="STL",Pricing!$D$38,IF(A209="",0,IF(A209&lt;Pricing!$C$25,Pricing!$D$25,VLOOKUP(Disbursements!$F209,Pricing!$B$29:$D$32,3))))</f>
        <v>20000</v>
      </c>
      <c r="M209" s="528">
        <f>IF(E209="STL",0,IF(F209&gt;0,Pricing!$D$21,0))</f>
        <v>5000</v>
      </c>
      <c r="N209" s="529">
        <f>IF(E209="STL",F209*Pricing!$D$40,IF(A209&lt;=Pricing!$C$4,0,IF(AND(A209&gt;Pricing!$C$4,Disbursements!A209&lt;=Pricing!$C$5),F209*Pricing!$E$5,IF(AND(A209&gt;Pricing!$C$5,Disbursements!A209&lt;=Pricing!$C$7),VLOOKUP(F209,Pricing!$D$7:$E$8,2)*Disbursements!F209,F209*Pricing!$E$9))))</f>
        <v>6500</v>
      </c>
      <c r="O209" s="528">
        <f>IF(E209="STL",0,IF($F209&gt;0,$F209*Pricing!$D$17,0))</f>
        <v>65000</v>
      </c>
      <c r="P209" s="530">
        <f t="shared" si="100"/>
        <v>146250</v>
      </c>
      <c r="Q209" s="531">
        <f>IF($A209="","",$G209/VLOOKUP($I209,Ref!$B$23:$D$29,2,0))</f>
        <v>3</v>
      </c>
      <c r="R209" s="530">
        <f t="shared" si="101"/>
        <v>796250</v>
      </c>
      <c r="S209" s="532">
        <f t="shared" si="95"/>
        <v>265416.66666666669</v>
      </c>
      <c r="T209" s="531">
        <f t="shared" si="102"/>
        <v>266000</v>
      </c>
      <c r="U209" s="533">
        <f t="shared" si="103"/>
        <v>798000</v>
      </c>
      <c r="V209" s="531">
        <f t="shared" si="104"/>
        <v>216666.66666666666</v>
      </c>
      <c r="W209" s="531">
        <f t="shared" si="105"/>
        <v>49333.333333333343</v>
      </c>
      <c r="X209" s="534">
        <f t="shared" si="106"/>
        <v>148000.00000000003</v>
      </c>
      <c r="Y209" s="535">
        <f>IF($A209="","",IF($I209="weekly",$A209+7,EDATE($A209,VLOOKUP($I209,Ref!$B$24:$C$29,2,0))))</f>
        <v>44472</v>
      </c>
      <c r="Z209" s="536" t="str">
        <f t="shared" si="107"/>
        <v>Sun</v>
      </c>
      <c r="AA209" s="531">
        <f t="shared" si="108"/>
        <v>30</v>
      </c>
      <c r="AB209" s="535">
        <f t="shared" si="96"/>
        <v>44533</v>
      </c>
      <c r="AC209" s="537">
        <f t="shared" si="97"/>
        <v>91</v>
      </c>
      <c r="AD209" s="538" t="str">
        <f t="shared" ca="1" si="98"/>
        <v>Expired</v>
      </c>
      <c r="AE209" s="537">
        <f t="shared" ca="1" si="99"/>
        <v>0</v>
      </c>
      <c r="AF209" s="539">
        <f t="shared" ca="1" si="109"/>
        <v>3</v>
      </c>
      <c r="AG209" s="531">
        <f t="shared" ca="1" si="110"/>
        <v>798000</v>
      </c>
      <c r="AH209" s="531">
        <f t="shared" ca="1" si="111"/>
        <v>148000.00000000003</v>
      </c>
      <c r="AI209" s="531">
        <f t="shared" ca="1" si="112"/>
        <v>650000</v>
      </c>
      <c r="AJ209" s="531">
        <f t="shared" ca="1" si="113"/>
        <v>0</v>
      </c>
      <c r="AK209" s="540">
        <f>SUMIFS('Live Collections'!$S:$S,'Live Collections'!$D:$D,Disbursements!B209,'Live Collections'!$G:$G,Disbursements!C209)</f>
        <v>148000.00000000003</v>
      </c>
      <c r="AL209" s="540">
        <f>SUMIFS('Live Collections'!$T:$T,'Live Collections'!$D:$D,Disbursements!B209,'Live Collections'!$G:$G,Disbursements!C209)</f>
        <v>648200</v>
      </c>
      <c r="AM209" s="541">
        <f t="shared" si="114"/>
        <v>796200</v>
      </c>
      <c r="AN209" s="542">
        <f t="shared" si="115"/>
        <v>0</v>
      </c>
      <c r="AO209" s="542">
        <f t="shared" si="116"/>
        <v>1800</v>
      </c>
      <c r="AP209" s="543">
        <f t="shared" si="117"/>
        <v>1800</v>
      </c>
      <c r="AQ209" s="544">
        <f t="shared" ca="1" si="118"/>
        <v>1800</v>
      </c>
      <c r="AR209" s="545">
        <f t="shared" ca="1" si="119"/>
        <v>6.7669172932330827E-3</v>
      </c>
      <c r="AS209" s="545">
        <f ca="1">IFERROR(CEILING($AR209*VLOOKUP($I209,Ref!$B$23:$E$29,4,0),1),0)</f>
        <v>1</v>
      </c>
      <c r="AT209" s="545" t="str">
        <f ca="1">IF(A209="","",IF(AP209&lt;=1,"Cleared",IF(AS209=0,"Clean",VLOOKUP($AS209,Ref!$G$23:$H$28,2))))</f>
        <v>1.(0-30) Days</v>
      </c>
      <c r="AU209" s="546" t="str">
        <f t="shared" si="120"/>
        <v>Ok</v>
      </c>
    </row>
    <row r="210" spans="1:47" ht="15" customHeight="1" x14ac:dyDescent="0.15">
      <c r="A210" s="575">
        <v>44445</v>
      </c>
      <c r="B210" s="523">
        <v>141</v>
      </c>
      <c r="C210" s="523">
        <v>207</v>
      </c>
      <c r="D210" s="523">
        <v>2</v>
      </c>
      <c r="E210" s="523" t="s">
        <v>1274</v>
      </c>
      <c r="F210" s="554">
        <v>700000</v>
      </c>
      <c r="G210" s="524">
        <v>5</v>
      </c>
      <c r="H210" s="555">
        <v>0.05</v>
      </c>
      <c r="I210" s="560" t="s">
        <v>859</v>
      </c>
      <c r="J210" s="523" t="s">
        <v>862</v>
      </c>
      <c r="K210" s="528" t="str">
        <f>IFERROR(VLOOKUP($B210,'Clients-Live'!$A:$C,3,0),"")</f>
        <v>DRAMANI WILFRED</v>
      </c>
      <c r="L210" s="528">
        <f>IF(E210="STL",Pricing!$D$38,IF(A210="",0,IF(A210&lt;Pricing!$C$25,Pricing!$D$25,VLOOKUP(Disbursements!$F210,Pricing!$B$29:$D$32,3))))</f>
        <v>20000</v>
      </c>
      <c r="M210" s="528">
        <f>IF(E210="STL",0,IF(F210&gt;0,Pricing!$D$21,0))</f>
        <v>5000</v>
      </c>
      <c r="N210" s="529">
        <f>IF(E210="STL",F210*Pricing!$D$40,IF(A210&lt;=Pricing!$C$4,0,IF(AND(A210&gt;Pricing!$C$4,Disbursements!A210&lt;=Pricing!$C$5),F210*Pricing!$E$5,IF(AND(A210&gt;Pricing!$C$5,Disbursements!A210&lt;=Pricing!$C$7),VLOOKUP(F210,Pricing!$D$7:$E$8,2)*Disbursements!F210,F210*Pricing!$E$9))))</f>
        <v>7000</v>
      </c>
      <c r="O210" s="528">
        <f>IF(E210="STL",0,IF($F210&gt;0,$F210*Pricing!$D$17,0))</f>
        <v>70000</v>
      </c>
      <c r="P210" s="530">
        <f t="shared" si="100"/>
        <v>175000</v>
      </c>
      <c r="Q210" s="531">
        <f>IF($A210="","",$G210/VLOOKUP($I210,Ref!$B$23:$D$29,2,0))</f>
        <v>5</v>
      </c>
      <c r="R210" s="530">
        <f t="shared" si="101"/>
        <v>875000</v>
      </c>
      <c r="S210" s="532">
        <f t="shared" si="95"/>
        <v>175000</v>
      </c>
      <c r="T210" s="531">
        <f t="shared" si="102"/>
        <v>175000</v>
      </c>
      <c r="U210" s="533">
        <f t="shared" si="103"/>
        <v>875000</v>
      </c>
      <c r="V210" s="531">
        <f t="shared" si="104"/>
        <v>140000</v>
      </c>
      <c r="W210" s="531">
        <f t="shared" si="105"/>
        <v>35000</v>
      </c>
      <c r="X210" s="534">
        <f t="shared" si="106"/>
        <v>175000</v>
      </c>
      <c r="Y210" s="535">
        <f>IF($A210="","",IF($I210="weekly",$A210+7,EDATE($A210,VLOOKUP($I210,Ref!$B$24:$C$29,2,0))))</f>
        <v>44475</v>
      </c>
      <c r="Z210" s="536" t="str">
        <f t="shared" si="107"/>
        <v>Wed</v>
      </c>
      <c r="AA210" s="531">
        <f t="shared" si="108"/>
        <v>30</v>
      </c>
      <c r="AB210" s="535">
        <f t="shared" si="96"/>
        <v>44598</v>
      </c>
      <c r="AC210" s="537">
        <f t="shared" si="97"/>
        <v>153</v>
      </c>
      <c r="AD210" s="538" t="str">
        <f t="shared" ca="1" si="98"/>
        <v>Expired</v>
      </c>
      <c r="AE210" s="537">
        <f t="shared" ca="1" si="99"/>
        <v>0</v>
      </c>
      <c r="AF210" s="539">
        <f t="shared" ca="1" si="109"/>
        <v>5</v>
      </c>
      <c r="AG210" s="531">
        <f t="shared" ca="1" si="110"/>
        <v>875000</v>
      </c>
      <c r="AH210" s="531">
        <f t="shared" ca="1" si="111"/>
        <v>175000</v>
      </c>
      <c r="AI210" s="531">
        <f t="shared" ca="1" si="112"/>
        <v>700000</v>
      </c>
      <c r="AJ210" s="531">
        <f t="shared" ca="1" si="113"/>
        <v>0</v>
      </c>
      <c r="AK210" s="540">
        <f>SUMIFS('Live Collections'!$S:$S,'Live Collections'!$D:$D,Disbursements!B210,'Live Collections'!$G:$G,Disbursements!C210)</f>
        <v>175000</v>
      </c>
      <c r="AL210" s="540">
        <f>SUMIFS('Live Collections'!$T:$T,'Live Collections'!$D:$D,Disbursements!B210,'Live Collections'!$G:$G,Disbursements!C210)</f>
        <v>361000</v>
      </c>
      <c r="AM210" s="541">
        <f t="shared" si="114"/>
        <v>536000</v>
      </c>
      <c r="AN210" s="542">
        <f t="shared" si="115"/>
        <v>0</v>
      </c>
      <c r="AO210" s="542">
        <f t="shared" si="116"/>
        <v>339000</v>
      </c>
      <c r="AP210" s="543">
        <f t="shared" si="117"/>
        <v>339000</v>
      </c>
      <c r="AQ210" s="544">
        <f t="shared" ca="1" si="118"/>
        <v>339000</v>
      </c>
      <c r="AR210" s="545">
        <f t="shared" ca="1" si="119"/>
        <v>1.9371428571428571</v>
      </c>
      <c r="AS210" s="545">
        <f ca="1">IFERROR(CEILING($AR210*VLOOKUP($I210,Ref!$B$23:$E$29,4,0),1),0)</f>
        <v>59</v>
      </c>
      <c r="AT210" s="545" t="str">
        <f ca="1">IF(A210="","",IF(AP210&lt;=1,"Cleared",IF(AS210=0,"Clean",VLOOKUP($AS210,Ref!$G$23:$H$28,2))))</f>
        <v>2.(31-60) Days</v>
      </c>
      <c r="AU210" s="546" t="str">
        <f t="shared" si="120"/>
        <v>Ok</v>
      </c>
    </row>
    <row r="211" spans="1:47" ht="15" customHeight="1" x14ac:dyDescent="0.15">
      <c r="A211" s="575">
        <v>44445</v>
      </c>
      <c r="B211" s="523">
        <v>191</v>
      </c>
      <c r="C211" s="523">
        <v>210</v>
      </c>
      <c r="D211" s="523">
        <v>1</v>
      </c>
      <c r="E211" s="523" t="s">
        <v>1274</v>
      </c>
      <c r="F211" s="554">
        <v>400000</v>
      </c>
      <c r="G211" s="524">
        <v>3</v>
      </c>
      <c r="H211" s="555">
        <v>0.05</v>
      </c>
      <c r="I211" s="560" t="s">
        <v>859</v>
      </c>
      <c r="J211" s="523" t="s">
        <v>864</v>
      </c>
      <c r="K211" s="528" t="str">
        <f>IFERROR(VLOOKUP($B211,'Clients-Live'!$A:$C,3,0),"")</f>
        <v>AYOZU JESCA TAIBO</v>
      </c>
      <c r="L211" s="528">
        <f>IF(E211="STL",Pricing!$D$38,IF(A211="",0,IF(A211&lt;Pricing!$C$25,Pricing!$D$25,VLOOKUP(Disbursements!$F211,Pricing!$B$29:$D$32,3))))</f>
        <v>15000</v>
      </c>
      <c r="M211" s="528">
        <f>IF(E211="STL",0,IF(F211&gt;0,Pricing!$D$21,0))</f>
        <v>5000</v>
      </c>
      <c r="N211" s="529">
        <f>IF(E211="STL",F211*Pricing!$D$40,IF(A211&lt;=Pricing!$C$4,0,IF(AND(A211&gt;Pricing!$C$4,Disbursements!A211&lt;=Pricing!$C$5),F211*Pricing!$E$5,IF(AND(A211&gt;Pricing!$C$5,Disbursements!A211&lt;=Pricing!$C$7),VLOOKUP(F211,Pricing!$D$7:$E$8,2)*Disbursements!F211,F211*Pricing!$E$9))))</f>
        <v>4000</v>
      </c>
      <c r="O211" s="528">
        <f>IF(E211="STL",0,IF($F211&gt;0,$F211*Pricing!$D$17,0))</f>
        <v>40000</v>
      </c>
      <c r="P211" s="530">
        <f t="shared" si="100"/>
        <v>60000</v>
      </c>
      <c r="Q211" s="531">
        <f>IF($A211="","",$G211/VLOOKUP($I211,Ref!$B$23:$D$29,2,0))</f>
        <v>3</v>
      </c>
      <c r="R211" s="530">
        <f t="shared" si="101"/>
        <v>460000</v>
      </c>
      <c r="S211" s="532">
        <f t="shared" si="95"/>
        <v>153333.33333333334</v>
      </c>
      <c r="T211" s="531">
        <f t="shared" si="102"/>
        <v>154000</v>
      </c>
      <c r="U211" s="533">
        <f t="shared" si="103"/>
        <v>462000</v>
      </c>
      <c r="V211" s="531">
        <f t="shared" si="104"/>
        <v>133333.33333333334</v>
      </c>
      <c r="W211" s="531">
        <f t="shared" si="105"/>
        <v>20666.666666666657</v>
      </c>
      <c r="X211" s="534">
        <f t="shared" si="106"/>
        <v>61999.999999999971</v>
      </c>
      <c r="Y211" s="535">
        <f>IF($A211="","",IF($I211="weekly",$A211+7,EDATE($A211,VLOOKUP($I211,Ref!$B$24:$C$29,2,0))))</f>
        <v>44475</v>
      </c>
      <c r="Z211" s="536" t="str">
        <f t="shared" si="107"/>
        <v>Wed</v>
      </c>
      <c r="AA211" s="531">
        <f t="shared" si="108"/>
        <v>30</v>
      </c>
      <c r="AB211" s="535">
        <f t="shared" si="96"/>
        <v>44536</v>
      </c>
      <c r="AC211" s="537">
        <f t="shared" si="97"/>
        <v>91</v>
      </c>
      <c r="AD211" s="538" t="str">
        <f t="shared" ca="1" si="98"/>
        <v>Expired</v>
      </c>
      <c r="AE211" s="537">
        <f t="shared" ca="1" si="99"/>
        <v>0</v>
      </c>
      <c r="AF211" s="539">
        <f t="shared" ca="1" si="109"/>
        <v>3</v>
      </c>
      <c r="AG211" s="531">
        <f t="shared" ca="1" si="110"/>
        <v>462000</v>
      </c>
      <c r="AH211" s="531">
        <f t="shared" ca="1" si="111"/>
        <v>61999.999999999971</v>
      </c>
      <c r="AI211" s="531">
        <f t="shared" ca="1" si="112"/>
        <v>400000</v>
      </c>
      <c r="AJ211" s="531">
        <f t="shared" ca="1" si="113"/>
        <v>0</v>
      </c>
      <c r="AK211" s="540">
        <f>SUMIFS('Live Collections'!$S:$S,'Live Collections'!$D:$D,Disbursements!B211,'Live Collections'!$G:$G,Disbursements!C211)</f>
        <v>61999.999999999971</v>
      </c>
      <c r="AL211" s="540">
        <f>SUMIFS('Live Collections'!$T:$T,'Live Collections'!$D:$D,Disbursements!B211,'Live Collections'!$G:$G,Disbursements!C211)</f>
        <v>400000</v>
      </c>
      <c r="AM211" s="541">
        <f t="shared" si="114"/>
        <v>462000</v>
      </c>
      <c r="AN211" s="542">
        <f t="shared" si="115"/>
        <v>0</v>
      </c>
      <c r="AO211" s="542">
        <f t="shared" si="116"/>
        <v>0</v>
      </c>
      <c r="AP211" s="543">
        <f t="shared" si="117"/>
        <v>0</v>
      </c>
      <c r="AQ211" s="544" t="str">
        <f t="shared" ca="1" si="118"/>
        <v/>
      </c>
      <c r="AR211" s="545">
        <f t="shared" ca="1" si="119"/>
        <v>0</v>
      </c>
      <c r="AS211" s="545">
        <f ca="1">IFERROR(CEILING($AR211*VLOOKUP($I211,Ref!$B$23:$E$29,4,0),1),0)</f>
        <v>0</v>
      </c>
      <c r="AT211" s="545" t="str">
        <f>IF(A211="","",IF(AP211&lt;=1,"Cleared",IF(AS211=0,"Clean",VLOOKUP($AS211,Ref!$G$23:$H$28,2))))</f>
        <v>Cleared</v>
      </c>
      <c r="AU211" s="546" t="str">
        <f t="shared" si="120"/>
        <v>Ok</v>
      </c>
    </row>
    <row r="212" spans="1:47" ht="15" customHeight="1" x14ac:dyDescent="0.15">
      <c r="A212" s="575">
        <v>44445</v>
      </c>
      <c r="B212" s="523">
        <v>209</v>
      </c>
      <c r="C212" s="523">
        <v>209</v>
      </c>
      <c r="D212" s="523">
        <v>1</v>
      </c>
      <c r="E212" s="523" t="s">
        <v>1274</v>
      </c>
      <c r="F212" s="554">
        <v>600000</v>
      </c>
      <c r="G212" s="524">
        <v>4</v>
      </c>
      <c r="H212" s="555">
        <v>0.05</v>
      </c>
      <c r="I212" s="560" t="s">
        <v>859</v>
      </c>
      <c r="J212" s="523" t="s">
        <v>864</v>
      </c>
      <c r="K212" s="528" t="str">
        <f>IFERROR(VLOOKUP($B212,'Clients-Live'!$A:$C,3,0),"")</f>
        <v>ADUI ISMAIL</v>
      </c>
      <c r="L212" s="528">
        <f>IF(E212="STL",Pricing!$D$38,IF(A212="",0,IF(A212&lt;Pricing!$C$25,Pricing!$D$25,VLOOKUP(Disbursements!$F212,Pricing!$B$29:$D$32,3))))</f>
        <v>20000</v>
      </c>
      <c r="M212" s="528">
        <f>IF(E212="STL",0,IF(F212&gt;0,Pricing!$D$21,0))</f>
        <v>5000</v>
      </c>
      <c r="N212" s="529">
        <f>IF(E212="STL",F212*Pricing!$D$40,IF(A212&lt;=Pricing!$C$4,0,IF(AND(A212&gt;Pricing!$C$4,Disbursements!A212&lt;=Pricing!$C$5),F212*Pricing!$E$5,IF(AND(A212&gt;Pricing!$C$5,Disbursements!A212&lt;=Pricing!$C$7),VLOOKUP(F212,Pricing!$D$7:$E$8,2)*Disbursements!F212,F212*Pricing!$E$9))))</f>
        <v>6000</v>
      </c>
      <c r="O212" s="528">
        <f>IF(E212="STL",0,IF($F212&gt;0,$F212*Pricing!$D$17,0))</f>
        <v>60000</v>
      </c>
      <c r="P212" s="530">
        <f t="shared" si="100"/>
        <v>120000</v>
      </c>
      <c r="Q212" s="531">
        <f>IF($A212="","",$G212/VLOOKUP($I212,Ref!$B$23:$D$29,2,0))</f>
        <v>4</v>
      </c>
      <c r="R212" s="530">
        <f t="shared" si="101"/>
        <v>720000</v>
      </c>
      <c r="S212" s="532">
        <f t="shared" si="95"/>
        <v>180000</v>
      </c>
      <c r="T212" s="531">
        <f t="shared" si="102"/>
        <v>180000</v>
      </c>
      <c r="U212" s="533">
        <f t="shared" si="103"/>
        <v>720000</v>
      </c>
      <c r="V212" s="531">
        <f t="shared" si="104"/>
        <v>150000</v>
      </c>
      <c r="W212" s="531">
        <f t="shared" si="105"/>
        <v>30000</v>
      </c>
      <c r="X212" s="534">
        <f t="shared" si="106"/>
        <v>120000</v>
      </c>
      <c r="Y212" s="535">
        <f>IF($A212="","",IF($I212="weekly",$A212+7,EDATE($A212,VLOOKUP($I212,Ref!$B$24:$C$29,2,0))))</f>
        <v>44475</v>
      </c>
      <c r="Z212" s="536" t="str">
        <f t="shared" si="107"/>
        <v>Wed</v>
      </c>
      <c r="AA212" s="531">
        <f t="shared" si="108"/>
        <v>30</v>
      </c>
      <c r="AB212" s="535">
        <f t="shared" si="96"/>
        <v>44567</v>
      </c>
      <c r="AC212" s="537">
        <f t="shared" si="97"/>
        <v>122</v>
      </c>
      <c r="AD212" s="538" t="str">
        <f t="shared" ca="1" si="98"/>
        <v>Expired</v>
      </c>
      <c r="AE212" s="537">
        <f t="shared" ca="1" si="99"/>
        <v>0</v>
      </c>
      <c r="AF212" s="539">
        <f t="shared" ca="1" si="109"/>
        <v>4</v>
      </c>
      <c r="AG212" s="531">
        <f t="shared" ca="1" si="110"/>
        <v>720000</v>
      </c>
      <c r="AH212" s="531">
        <f t="shared" ca="1" si="111"/>
        <v>120000</v>
      </c>
      <c r="AI212" s="531">
        <f t="shared" ca="1" si="112"/>
        <v>600000</v>
      </c>
      <c r="AJ212" s="531">
        <f t="shared" ca="1" si="113"/>
        <v>0</v>
      </c>
      <c r="AK212" s="540">
        <f>SUMIFS('Live Collections'!$S:$S,'Live Collections'!$D:$D,Disbursements!B212,'Live Collections'!$G:$G,Disbursements!C212)</f>
        <v>120000</v>
      </c>
      <c r="AL212" s="540">
        <f>SUMIFS('Live Collections'!$T:$T,'Live Collections'!$D:$D,Disbursements!B212,'Live Collections'!$G:$G,Disbursements!C212)</f>
        <v>600000</v>
      </c>
      <c r="AM212" s="541">
        <f t="shared" si="114"/>
        <v>720000</v>
      </c>
      <c r="AN212" s="542">
        <f t="shared" si="115"/>
        <v>0</v>
      </c>
      <c r="AO212" s="542">
        <f t="shared" si="116"/>
        <v>0</v>
      </c>
      <c r="AP212" s="543">
        <f t="shared" si="117"/>
        <v>0</v>
      </c>
      <c r="AQ212" s="544" t="str">
        <f t="shared" ca="1" si="118"/>
        <v/>
      </c>
      <c r="AR212" s="545">
        <f t="shared" ca="1" si="119"/>
        <v>0</v>
      </c>
      <c r="AS212" s="545">
        <f ca="1">IFERROR(CEILING($AR212*VLOOKUP($I212,Ref!$B$23:$E$29,4,0),1),0)</f>
        <v>0</v>
      </c>
      <c r="AT212" s="545" t="str">
        <f>IF(A212="","",IF(AP212&lt;=1,"Cleared",IF(AS212=0,"Clean",VLOOKUP($AS212,Ref!$G$23:$H$28,2))))</f>
        <v>Cleared</v>
      </c>
      <c r="AU212" s="546" t="str">
        <f t="shared" si="120"/>
        <v>Ok</v>
      </c>
    </row>
    <row r="213" spans="1:47" ht="15" customHeight="1" x14ac:dyDescent="0.15">
      <c r="A213" s="575">
        <v>44445</v>
      </c>
      <c r="B213" s="523">
        <v>213</v>
      </c>
      <c r="C213" s="523">
        <v>208</v>
      </c>
      <c r="D213" s="523">
        <v>1</v>
      </c>
      <c r="E213" s="523" t="s">
        <v>1274</v>
      </c>
      <c r="F213" s="554">
        <v>500000</v>
      </c>
      <c r="G213" s="524">
        <v>4</v>
      </c>
      <c r="H213" s="555">
        <v>0.05</v>
      </c>
      <c r="I213" s="560" t="s">
        <v>859</v>
      </c>
      <c r="J213" s="523" t="s">
        <v>863</v>
      </c>
      <c r="K213" s="528" t="str">
        <f>IFERROR(VLOOKUP($B213,'Clients-Live'!$A:$C,3,0),"")</f>
        <v>ATIKURU NADIA</v>
      </c>
      <c r="L213" s="528">
        <f>IF(E213="STL",Pricing!$D$38,IF(A213="",0,IF(A213&lt;Pricing!$C$25,Pricing!$D$25,VLOOKUP(Disbursements!$F213,Pricing!$B$29:$D$32,3))))</f>
        <v>15000</v>
      </c>
      <c r="M213" s="528">
        <f>IF(E213="STL",0,IF(F213&gt;0,Pricing!$D$21,0))</f>
        <v>5000</v>
      </c>
      <c r="N213" s="529">
        <f>IF(E213="STL",F213*Pricing!$D$40,IF(A213&lt;=Pricing!$C$4,0,IF(AND(A213&gt;Pricing!$C$4,Disbursements!A213&lt;=Pricing!$C$5),F213*Pricing!$E$5,IF(AND(A213&gt;Pricing!$C$5,Disbursements!A213&lt;=Pricing!$C$7),VLOOKUP(F213,Pricing!$D$7:$E$8,2)*Disbursements!F213,F213*Pricing!$E$9))))</f>
        <v>5000</v>
      </c>
      <c r="O213" s="528">
        <f>IF(E213="STL",0,IF($F213&gt;0,$F213*Pricing!$D$17,0))</f>
        <v>50000</v>
      </c>
      <c r="P213" s="530">
        <f t="shared" si="100"/>
        <v>100000</v>
      </c>
      <c r="Q213" s="531">
        <f>IF($A213="","",$G213/VLOOKUP($I213,Ref!$B$23:$D$29,2,0))</f>
        <v>4</v>
      </c>
      <c r="R213" s="530">
        <f t="shared" si="101"/>
        <v>600000</v>
      </c>
      <c r="S213" s="532">
        <f t="shared" si="95"/>
        <v>150000</v>
      </c>
      <c r="T213" s="531">
        <f t="shared" si="102"/>
        <v>150000</v>
      </c>
      <c r="U213" s="533">
        <f t="shared" si="103"/>
        <v>600000</v>
      </c>
      <c r="V213" s="531">
        <f t="shared" si="104"/>
        <v>125000</v>
      </c>
      <c r="W213" s="531">
        <f t="shared" si="105"/>
        <v>25000</v>
      </c>
      <c r="X213" s="534">
        <f t="shared" si="106"/>
        <v>100000</v>
      </c>
      <c r="Y213" s="535">
        <f>IF($A213="","",IF($I213="weekly",$A213+7,EDATE($A213,VLOOKUP($I213,Ref!$B$24:$C$29,2,0))))</f>
        <v>44475</v>
      </c>
      <c r="Z213" s="536" t="str">
        <f t="shared" si="107"/>
        <v>Wed</v>
      </c>
      <c r="AA213" s="531">
        <f t="shared" si="108"/>
        <v>30</v>
      </c>
      <c r="AB213" s="535">
        <f t="shared" si="96"/>
        <v>44567</v>
      </c>
      <c r="AC213" s="537">
        <f t="shared" si="97"/>
        <v>122</v>
      </c>
      <c r="AD213" s="538" t="str">
        <f t="shared" ca="1" si="98"/>
        <v>Expired</v>
      </c>
      <c r="AE213" s="537">
        <f t="shared" ca="1" si="99"/>
        <v>0</v>
      </c>
      <c r="AF213" s="539">
        <f t="shared" ca="1" si="109"/>
        <v>4</v>
      </c>
      <c r="AG213" s="531">
        <f t="shared" ca="1" si="110"/>
        <v>600000</v>
      </c>
      <c r="AH213" s="531">
        <f t="shared" ca="1" si="111"/>
        <v>100000</v>
      </c>
      <c r="AI213" s="531">
        <f t="shared" ca="1" si="112"/>
        <v>500000</v>
      </c>
      <c r="AJ213" s="531">
        <f t="shared" ca="1" si="113"/>
        <v>0</v>
      </c>
      <c r="AK213" s="540">
        <f>SUMIFS('Live Collections'!$S:$S,'Live Collections'!$D:$D,Disbursements!B213,'Live Collections'!$G:$G,Disbursements!C213)</f>
        <v>100000</v>
      </c>
      <c r="AL213" s="540">
        <f>SUMIFS('Live Collections'!$T:$T,'Live Collections'!$D:$D,Disbursements!B213,'Live Collections'!$G:$G,Disbursements!C213)</f>
        <v>500000</v>
      </c>
      <c r="AM213" s="541">
        <f t="shared" si="114"/>
        <v>600000</v>
      </c>
      <c r="AN213" s="542">
        <f t="shared" si="115"/>
        <v>0</v>
      </c>
      <c r="AO213" s="542">
        <f t="shared" si="116"/>
        <v>0</v>
      </c>
      <c r="AP213" s="543">
        <f t="shared" si="117"/>
        <v>0</v>
      </c>
      <c r="AQ213" s="544" t="str">
        <f t="shared" ca="1" si="118"/>
        <v/>
      </c>
      <c r="AR213" s="545">
        <f t="shared" ca="1" si="119"/>
        <v>0</v>
      </c>
      <c r="AS213" s="545">
        <f ca="1">IFERROR(CEILING($AR213*VLOOKUP($I213,Ref!$B$23:$E$29,4,0),1),0)</f>
        <v>0</v>
      </c>
      <c r="AT213" s="545" t="str">
        <f>IF(A213="","",IF(AP213&lt;=1,"Cleared",IF(AS213=0,"Clean",VLOOKUP($AS213,Ref!$G$23:$H$28,2))))</f>
        <v>Cleared</v>
      </c>
      <c r="AU213" s="546" t="str">
        <f t="shared" si="120"/>
        <v>Ok</v>
      </c>
    </row>
    <row r="214" spans="1:47" ht="15" customHeight="1" x14ac:dyDescent="0.15">
      <c r="A214" s="575">
        <v>44446</v>
      </c>
      <c r="B214" s="523">
        <v>205</v>
      </c>
      <c r="C214" s="523">
        <v>212</v>
      </c>
      <c r="D214" s="523">
        <v>1</v>
      </c>
      <c r="E214" s="523" t="s">
        <v>1274</v>
      </c>
      <c r="F214" s="554">
        <v>400000</v>
      </c>
      <c r="G214" s="524">
        <v>4</v>
      </c>
      <c r="H214" s="555">
        <v>0.05</v>
      </c>
      <c r="I214" s="560" t="s">
        <v>861</v>
      </c>
      <c r="J214" s="523" t="s">
        <v>862</v>
      </c>
      <c r="K214" s="528" t="str">
        <f>IFERROR(VLOOKUP($B214,'Clients-Live'!$A:$C,3,0),"")</f>
        <v>OPIRU ALICE</v>
      </c>
      <c r="L214" s="528">
        <f>IF(E214="STL",Pricing!$D$38,IF(A214="",0,IF(A214&lt;Pricing!$C$25,Pricing!$D$25,VLOOKUP(Disbursements!$F214,Pricing!$B$29:$D$32,3))))</f>
        <v>15000</v>
      </c>
      <c r="M214" s="528">
        <f>IF(E214="STL",0,IF(F214&gt;0,Pricing!$D$21,0))</f>
        <v>5000</v>
      </c>
      <c r="N214" s="529">
        <f>IF(E214="STL",F214*Pricing!$D$40,IF(A214&lt;=Pricing!$C$4,0,IF(AND(A214&gt;Pricing!$C$4,Disbursements!A214&lt;=Pricing!$C$5),F214*Pricing!$E$5,IF(AND(A214&gt;Pricing!$C$5,Disbursements!A214&lt;=Pricing!$C$7),VLOOKUP(F214,Pricing!$D$7:$E$8,2)*Disbursements!F214,F214*Pricing!$E$9))))</f>
        <v>4000</v>
      </c>
      <c r="O214" s="528">
        <f>IF(E214="STL",0,IF($F214&gt;0,$F214*Pricing!$D$17,0))</f>
        <v>40000</v>
      </c>
      <c r="P214" s="530">
        <f t="shared" si="100"/>
        <v>80000</v>
      </c>
      <c r="Q214" s="531">
        <f>IF($A214="","",$G214/VLOOKUP($I214,Ref!$B$23:$D$29,2,0))</f>
        <v>16</v>
      </c>
      <c r="R214" s="530">
        <f t="shared" si="101"/>
        <v>480000</v>
      </c>
      <c r="S214" s="532">
        <f t="shared" si="95"/>
        <v>30000</v>
      </c>
      <c r="T214" s="531">
        <f t="shared" si="102"/>
        <v>30000</v>
      </c>
      <c r="U214" s="533">
        <f t="shared" si="103"/>
        <v>480000</v>
      </c>
      <c r="V214" s="531">
        <f t="shared" si="104"/>
        <v>25000</v>
      </c>
      <c r="W214" s="531">
        <f t="shared" si="105"/>
        <v>5000</v>
      </c>
      <c r="X214" s="534">
        <f t="shared" si="106"/>
        <v>80000</v>
      </c>
      <c r="Y214" s="535">
        <f>IF($A214="","",IF($I214="weekly",$A214+7,EDATE($A214,VLOOKUP($I214,Ref!$B$24:$C$29,2,0))))</f>
        <v>44453</v>
      </c>
      <c r="Z214" s="536" t="str">
        <f t="shared" si="107"/>
        <v>Tue</v>
      </c>
      <c r="AA214" s="531">
        <f t="shared" si="108"/>
        <v>7</v>
      </c>
      <c r="AB214" s="535">
        <f t="shared" si="96"/>
        <v>44568</v>
      </c>
      <c r="AC214" s="537">
        <f t="shared" si="97"/>
        <v>122</v>
      </c>
      <c r="AD214" s="538" t="str">
        <f t="shared" ca="1" si="98"/>
        <v>Expired</v>
      </c>
      <c r="AE214" s="537">
        <f t="shared" ca="1" si="99"/>
        <v>0</v>
      </c>
      <c r="AF214" s="539">
        <f t="shared" ca="1" si="109"/>
        <v>16</v>
      </c>
      <c r="AG214" s="531">
        <f t="shared" ca="1" si="110"/>
        <v>480000</v>
      </c>
      <c r="AH214" s="531">
        <f t="shared" ca="1" si="111"/>
        <v>80000</v>
      </c>
      <c r="AI214" s="531">
        <f t="shared" ca="1" si="112"/>
        <v>400000</v>
      </c>
      <c r="AJ214" s="531">
        <f t="shared" ca="1" si="113"/>
        <v>0</v>
      </c>
      <c r="AK214" s="540">
        <f>SUMIFS('Live Collections'!$S:$S,'Live Collections'!$D:$D,Disbursements!B214,'Live Collections'!$G:$G,Disbursements!C214)</f>
        <v>80000</v>
      </c>
      <c r="AL214" s="540">
        <f>SUMIFS('Live Collections'!$T:$T,'Live Collections'!$D:$D,Disbursements!B214,'Live Collections'!$G:$G,Disbursements!C214)</f>
        <v>370000</v>
      </c>
      <c r="AM214" s="541">
        <f t="shared" si="114"/>
        <v>450000</v>
      </c>
      <c r="AN214" s="542">
        <f t="shared" si="115"/>
        <v>0</v>
      </c>
      <c r="AO214" s="542">
        <f t="shared" si="116"/>
        <v>30000</v>
      </c>
      <c r="AP214" s="543">
        <f t="shared" si="117"/>
        <v>30000</v>
      </c>
      <c r="AQ214" s="544">
        <f t="shared" ca="1" si="118"/>
        <v>30000</v>
      </c>
      <c r="AR214" s="545">
        <f t="shared" ca="1" si="119"/>
        <v>1</v>
      </c>
      <c r="AS214" s="545">
        <f ca="1">IFERROR(CEILING($AR214*VLOOKUP($I214,Ref!$B$23:$E$29,4,0),1),0)</f>
        <v>7</v>
      </c>
      <c r="AT214" s="545" t="str">
        <f ca="1">IF(A214="","",IF(AP214&lt;=1,"Cleared",IF(AS214=0,"Clean",VLOOKUP($AS214,Ref!$G$23:$H$28,2))))</f>
        <v>1.(0-30) Days</v>
      </c>
      <c r="AU214" s="546" t="str">
        <f t="shared" si="120"/>
        <v>Ok</v>
      </c>
    </row>
    <row r="215" spans="1:47" ht="15" customHeight="1" x14ac:dyDescent="0.15">
      <c r="A215" s="575">
        <v>44446</v>
      </c>
      <c r="B215" s="523">
        <v>206</v>
      </c>
      <c r="C215" s="523">
        <v>214</v>
      </c>
      <c r="D215" s="523">
        <v>1</v>
      </c>
      <c r="E215" s="523" t="s">
        <v>1274</v>
      </c>
      <c r="F215" s="554">
        <v>400000</v>
      </c>
      <c r="G215" s="524">
        <v>4</v>
      </c>
      <c r="H215" s="555">
        <v>0.05</v>
      </c>
      <c r="I215" s="560" t="s">
        <v>859</v>
      </c>
      <c r="J215" s="523" t="s">
        <v>864</v>
      </c>
      <c r="K215" s="528" t="str">
        <f>IFERROR(VLOOKUP($B215,'Clients-Live'!$A:$C,3,0),"")</f>
        <v>AMILE AISHA</v>
      </c>
      <c r="L215" s="528">
        <f>IF(E215="STL",Pricing!$D$38,IF(A215="",0,IF(A215&lt;Pricing!$C$25,Pricing!$D$25,VLOOKUP(Disbursements!$F215,Pricing!$B$29:$D$32,3))))</f>
        <v>15000</v>
      </c>
      <c r="M215" s="528">
        <f>IF(E215="STL",0,IF(F215&gt;0,Pricing!$D$21,0))</f>
        <v>5000</v>
      </c>
      <c r="N215" s="529">
        <f>IF(E215="STL",F215*Pricing!$D$40,IF(A215&lt;=Pricing!$C$4,0,IF(AND(A215&gt;Pricing!$C$4,Disbursements!A215&lt;=Pricing!$C$5),F215*Pricing!$E$5,IF(AND(A215&gt;Pricing!$C$5,Disbursements!A215&lt;=Pricing!$C$7),VLOOKUP(F215,Pricing!$D$7:$E$8,2)*Disbursements!F215,F215*Pricing!$E$9))))</f>
        <v>4000</v>
      </c>
      <c r="O215" s="528">
        <f>IF(E215="STL",0,IF($F215&gt;0,$F215*Pricing!$D$17,0))</f>
        <v>40000</v>
      </c>
      <c r="P215" s="530">
        <f t="shared" si="100"/>
        <v>80000</v>
      </c>
      <c r="Q215" s="531">
        <f>IF($A215="","",$G215/VLOOKUP($I215,Ref!$B$23:$D$29,2,0))</f>
        <v>4</v>
      </c>
      <c r="R215" s="530">
        <f t="shared" si="101"/>
        <v>480000</v>
      </c>
      <c r="S215" s="532">
        <f t="shared" si="95"/>
        <v>120000</v>
      </c>
      <c r="T215" s="531">
        <f t="shared" si="102"/>
        <v>120000</v>
      </c>
      <c r="U215" s="533">
        <f t="shared" si="103"/>
        <v>480000</v>
      </c>
      <c r="V215" s="531">
        <f t="shared" si="104"/>
        <v>100000</v>
      </c>
      <c r="W215" s="531">
        <f t="shared" si="105"/>
        <v>20000</v>
      </c>
      <c r="X215" s="534">
        <f t="shared" si="106"/>
        <v>80000</v>
      </c>
      <c r="Y215" s="535">
        <f>IF($A215="","",IF($I215="weekly",$A215+7,EDATE($A215,VLOOKUP($I215,Ref!$B$24:$C$29,2,0))))</f>
        <v>44476</v>
      </c>
      <c r="Z215" s="536" t="str">
        <f t="shared" si="107"/>
        <v>Thu</v>
      </c>
      <c r="AA215" s="531">
        <f t="shared" si="108"/>
        <v>30</v>
      </c>
      <c r="AB215" s="535">
        <f t="shared" si="96"/>
        <v>44568</v>
      </c>
      <c r="AC215" s="537">
        <f t="shared" si="97"/>
        <v>122</v>
      </c>
      <c r="AD215" s="538" t="str">
        <f t="shared" ca="1" si="98"/>
        <v>Expired</v>
      </c>
      <c r="AE215" s="537">
        <f t="shared" ca="1" si="99"/>
        <v>0</v>
      </c>
      <c r="AF215" s="539">
        <f t="shared" ca="1" si="109"/>
        <v>4</v>
      </c>
      <c r="AG215" s="531">
        <f t="shared" ca="1" si="110"/>
        <v>480000</v>
      </c>
      <c r="AH215" s="531">
        <f t="shared" ca="1" si="111"/>
        <v>80000</v>
      </c>
      <c r="AI215" s="531">
        <f t="shared" ca="1" si="112"/>
        <v>400000</v>
      </c>
      <c r="AJ215" s="531">
        <f t="shared" ca="1" si="113"/>
        <v>0</v>
      </c>
      <c r="AK215" s="540">
        <f>SUMIFS('Live Collections'!$S:$S,'Live Collections'!$D:$D,Disbursements!B215,'Live Collections'!$G:$G,Disbursements!C215)</f>
        <v>80000</v>
      </c>
      <c r="AL215" s="540">
        <f>SUMIFS('Live Collections'!$T:$T,'Live Collections'!$D:$D,Disbursements!B215,'Live Collections'!$G:$G,Disbursements!C215)</f>
        <v>400000</v>
      </c>
      <c r="AM215" s="541">
        <f t="shared" si="114"/>
        <v>480000</v>
      </c>
      <c r="AN215" s="542">
        <f t="shared" si="115"/>
        <v>0</v>
      </c>
      <c r="AO215" s="542">
        <f t="shared" si="116"/>
        <v>0</v>
      </c>
      <c r="AP215" s="543">
        <f t="shared" si="117"/>
        <v>0</v>
      </c>
      <c r="AQ215" s="544" t="str">
        <f t="shared" ca="1" si="118"/>
        <v/>
      </c>
      <c r="AR215" s="545">
        <f t="shared" ca="1" si="119"/>
        <v>0</v>
      </c>
      <c r="AS215" s="545">
        <f ca="1">IFERROR(CEILING($AR215*VLOOKUP($I215,Ref!$B$23:$E$29,4,0),1),0)</f>
        <v>0</v>
      </c>
      <c r="AT215" s="545" t="str">
        <f>IF(A215="","",IF(AP215&lt;=1,"Cleared",IF(AS215=0,"Clean",VLOOKUP($AS215,Ref!$G$23:$H$28,2))))</f>
        <v>Cleared</v>
      </c>
      <c r="AU215" s="546" t="str">
        <f t="shared" si="120"/>
        <v>Ok</v>
      </c>
    </row>
    <row r="216" spans="1:47" ht="15" customHeight="1" x14ac:dyDescent="0.15">
      <c r="A216" s="575">
        <v>44446</v>
      </c>
      <c r="B216" s="523">
        <v>210</v>
      </c>
      <c r="C216" s="523">
        <v>213</v>
      </c>
      <c r="D216" s="523">
        <v>1</v>
      </c>
      <c r="E216" s="523" t="s">
        <v>1274</v>
      </c>
      <c r="F216" s="554">
        <v>500000</v>
      </c>
      <c r="G216" s="524">
        <v>4</v>
      </c>
      <c r="H216" s="555">
        <v>0.05</v>
      </c>
      <c r="I216" s="560" t="s">
        <v>859</v>
      </c>
      <c r="J216" s="523" t="s">
        <v>864</v>
      </c>
      <c r="K216" s="528" t="str">
        <f>IFERROR(VLOOKUP($B216,'Clients-Live'!$A:$C,3,0),"")</f>
        <v>ADRILI ZAHARA</v>
      </c>
      <c r="L216" s="528">
        <f>IF(E216="STL",Pricing!$D$38,IF(A216="",0,IF(A216&lt;Pricing!$C$25,Pricing!$D$25,VLOOKUP(Disbursements!$F216,Pricing!$B$29:$D$32,3))))</f>
        <v>15000</v>
      </c>
      <c r="M216" s="528">
        <f>IF(E216="STL",0,IF(F216&gt;0,Pricing!$D$21,0))</f>
        <v>5000</v>
      </c>
      <c r="N216" s="529">
        <f>IF(E216="STL",F216*Pricing!$D$40,IF(A216&lt;=Pricing!$C$4,0,IF(AND(A216&gt;Pricing!$C$4,Disbursements!A216&lt;=Pricing!$C$5),F216*Pricing!$E$5,IF(AND(A216&gt;Pricing!$C$5,Disbursements!A216&lt;=Pricing!$C$7),VLOOKUP(F216,Pricing!$D$7:$E$8,2)*Disbursements!F216,F216*Pricing!$E$9))))</f>
        <v>5000</v>
      </c>
      <c r="O216" s="528">
        <f>IF(E216="STL",0,IF($F216&gt;0,$F216*Pricing!$D$17,0))</f>
        <v>50000</v>
      </c>
      <c r="P216" s="530">
        <f t="shared" si="100"/>
        <v>100000</v>
      </c>
      <c r="Q216" s="531">
        <f>IF($A216="","",$G216/VLOOKUP($I216,Ref!$B$23:$D$29,2,0))</f>
        <v>4</v>
      </c>
      <c r="R216" s="530">
        <f t="shared" si="101"/>
        <v>600000</v>
      </c>
      <c r="S216" s="532">
        <f t="shared" si="95"/>
        <v>150000</v>
      </c>
      <c r="T216" s="531">
        <f t="shared" si="102"/>
        <v>150000</v>
      </c>
      <c r="U216" s="533">
        <f t="shared" si="103"/>
        <v>600000</v>
      </c>
      <c r="V216" s="531">
        <f t="shared" si="104"/>
        <v>125000</v>
      </c>
      <c r="W216" s="531">
        <f t="shared" si="105"/>
        <v>25000</v>
      </c>
      <c r="X216" s="534">
        <f t="shared" si="106"/>
        <v>100000</v>
      </c>
      <c r="Y216" s="535">
        <f>IF($A216="","",IF($I216="weekly",$A216+7,EDATE($A216,VLOOKUP($I216,Ref!$B$24:$C$29,2,0))))</f>
        <v>44476</v>
      </c>
      <c r="Z216" s="536" t="str">
        <f t="shared" si="107"/>
        <v>Thu</v>
      </c>
      <c r="AA216" s="531">
        <f t="shared" si="108"/>
        <v>30</v>
      </c>
      <c r="AB216" s="535">
        <f t="shared" si="96"/>
        <v>44568</v>
      </c>
      <c r="AC216" s="537">
        <f t="shared" si="97"/>
        <v>122</v>
      </c>
      <c r="AD216" s="538" t="str">
        <f t="shared" ca="1" si="98"/>
        <v>Expired</v>
      </c>
      <c r="AE216" s="537">
        <f t="shared" ca="1" si="99"/>
        <v>0</v>
      </c>
      <c r="AF216" s="539">
        <f t="shared" ca="1" si="109"/>
        <v>4</v>
      </c>
      <c r="AG216" s="531">
        <f t="shared" ca="1" si="110"/>
        <v>600000</v>
      </c>
      <c r="AH216" s="531">
        <f t="shared" ca="1" si="111"/>
        <v>100000</v>
      </c>
      <c r="AI216" s="531">
        <f t="shared" ca="1" si="112"/>
        <v>500000</v>
      </c>
      <c r="AJ216" s="531">
        <f t="shared" ca="1" si="113"/>
        <v>0</v>
      </c>
      <c r="AK216" s="540">
        <f>SUMIFS('Live Collections'!$S:$S,'Live Collections'!$D:$D,Disbursements!B216,'Live Collections'!$G:$G,Disbursements!C216)</f>
        <v>100000</v>
      </c>
      <c r="AL216" s="540">
        <f>SUMIFS('Live Collections'!$T:$T,'Live Collections'!$D:$D,Disbursements!B216,'Live Collections'!$G:$G,Disbursements!C216)</f>
        <v>500000</v>
      </c>
      <c r="AM216" s="541">
        <f t="shared" si="114"/>
        <v>600000</v>
      </c>
      <c r="AN216" s="542">
        <f t="shared" si="115"/>
        <v>0</v>
      </c>
      <c r="AO216" s="542">
        <f t="shared" si="116"/>
        <v>0</v>
      </c>
      <c r="AP216" s="543">
        <f t="shared" si="117"/>
        <v>0</v>
      </c>
      <c r="AQ216" s="544" t="str">
        <f t="shared" ca="1" si="118"/>
        <v/>
      </c>
      <c r="AR216" s="545">
        <f t="shared" ca="1" si="119"/>
        <v>0</v>
      </c>
      <c r="AS216" s="545">
        <f ca="1">IFERROR(CEILING($AR216*VLOOKUP($I216,Ref!$B$23:$E$29,4,0),1),0)</f>
        <v>0</v>
      </c>
      <c r="AT216" s="545" t="str">
        <f>IF(A216="","",IF(AP216&lt;=1,"Cleared",IF(AS216=0,"Clean",VLOOKUP($AS216,Ref!$G$23:$H$28,2))))</f>
        <v>Cleared</v>
      </c>
      <c r="AU216" s="546" t="str">
        <f t="shared" si="120"/>
        <v>Ok</v>
      </c>
    </row>
    <row r="217" spans="1:47" ht="15" customHeight="1" x14ac:dyDescent="0.15">
      <c r="A217" s="575">
        <v>44446</v>
      </c>
      <c r="B217" s="523">
        <v>211</v>
      </c>
      <c r="C217" s="523">
        <v>211</v>
      </c>
      <c r="D217" s="523">
        <v>1</v>
      </c>
      <c r="E217" s="523" t="s">
        <v>1274</v>
      </c>
      <c r="F217" s="554">
        <v>800000</v>
      </c>
      <c r="G217" s="524">
        <v>5</v>
      </c>
      <c r="H217" s="555">
        <v>0.05</v>
      </c>
      <c r="I217" s="560" t="s">
        <v>859</v>
      </c>
      <c r="J217" s="523" t="s">
        <v>863</v>
      </c>
      <c r="K217" s="528" t="str">
        <f>IFERROR(VLOOKUP($B217,'Clients-Live'!$A:$C,3,0),"")</f>
        <v>WILARU JOYCE</v>
      </c>
      <c r="L217" s="528">
        <f>IF(E217="STL",Pricing!$D$38,IF(A217="",0,IF(A217&lt;Pricing!$C$25,Pricing!$D$25,VLOOKUP(Disbursements!$F217,Pricing!$B$29:$D$32,3))))</f>
        <v>20000</v>
      </c>
      <c r="M217" s="528">
        <f>IF(E217="STL",0,IF(F217&gt;0,Pricing!$D$21,0))</f>
        <v>5000</v>
      </c>
      <c r="N217" s="529">
        <f>IF(E217="STL",F217*Pricing!$D$40,IF(A217&lt;=Pricing!$C$4,0,IF(AND(A217&gt;Pricing!$C$4,Disbursements!A217&lt;=Pricing!$C$5),F217*Pricing!$E$5,IF(AND(A217&gt;Pricing!$C$5,Disbursements!A217&lt;=Pricing!$C$7),VLOOKUP(F217,Pricing!$D$7:$E$8,2)*Disbursements!F217,F217*Pricing!$E$9))))</f>
        <v>8000</v>
      </c>
      <c r="O217" s="528">
        <f>IF(E217="STL",0,IF($F217&gt;0,$F217*Pricing!$D$17,0))</f>
        <v>80000</v>
      </c>
      <c r="P217" s="530">
        <f t="shared" si="100"/>
        <v>200000</v>
      </c>
      <c r="Q217" s="531">
        <f>IF($A217="","",$G217/VLOOKUP($I217,Ref!$B$23:$D$29,2,0))</f>
        <v>5</v>
      </c>
      <c r="R217" s="530">
        <f t="shared" si="101"/>
        <v>1000000</v>
      </c>
      <c r="S217" s="532">
        <f t="shared" si="95"/>
        <v>200000</v>
      </c>
      <c r="T217" s="531">
        <f t="shared" si="102"/>
        <v>200000</v>
      </c>
      <c r="U217" s="533">
        <f t="shared" si="103"/>
        <v>1000000</v>
      </c>
      <c r="V217" s="531">
        <f t="shared" si="104"/>
        <v>160000</v>
      </c>
      <c r="W217" s="531">
        <f t="shared" si="105"/>
        <v>40000</v>
      </c>
      <c r="X217" s="534">
        <f t="shared" si="106"/>
        <v>200000</v>
      </c>
      <c r="Y217" s="535">
        <f>IF($A217="","",IF($I217="weekly",$A217+7,EDATE($A217,VLOOKUP($I217,Ref!$B$24:$C$29,2,0))))</f>
        <v>44476</v>
      </c>
      <c r="Z217" s="536" t="str">
        <f t="shared" si="107"/>
        <v>Thu</v>
      </c>
      <c r="AA217" s="531">
        <f t="shared" si="108"/>
        <v>30</v>
      </c>
      <c r="AB217" s="535">
        <f t="shared" si="96"/>
        <v>44599</v>
      </c>
      <c r="AC217" s="537">
        <f t="shared" si="97"/>
        <v>153</v>
      </c>
      <c r="AD217" s="538" t="str">
        <f t="shared" ca="1" si="98"/>
        <v>Expired</v>
      </c>
      <c r="AE217" s="537">
        <f t="shared" ca="1" si="99"/>
        <v>0</v>
      </c>
      <c r="AF217" s="539">
        <f t="shared" ca="1" si="109"/>
        <v>5</v>
      </c>
      <c r="AG217" s="531">
        <f t="shared" ca="1" si="110"/>
        <v>1000000</v>
      </c>
      <c r="AH217" s="531">
        <f t="shared" ca="1" si="111"/>
        <v>200000</v>
      </c>
      <c r="AI217" s="531">
        <f t="shared" ca="1" si="112"/>
        <v>800000</v>
      </c>
      <c r="AJ217" s="531">
        <f t="shared" ca="1" si="113"/>
        <v>0</v>
      </c>
      <c r="AK217" s="540">
        <f>SUMIFS('Live Collections'!$S:$S,'Live Collections'!$D:$D,Disbursements!B217,'Live Collections'!$G:$G,Disbursements!C217)</f>
        <v>200000</v>
      </c>
      <c r="AL217" s="540">
        <f>SUMIFS('Live Collections'!$T:$T,'Live Collections'!$D:$D,Disbursements!B217,'Live Collections'!$G:$G,Disbursements!C217)</f>
        <v>800000</v>
      </c>
      <c r="AM217" s="541">
        <f t="shared" si="114"/>
        <v>1000000</v>
      </c>
      <c r="AN217" s="542">
        <f t="shared" si="115"/>
        <v>0</v>
      </c>
      <c r="AO217" s="542">
        <f t="shared" si="116"/>
        <v>0</v>
      </c>
      <c r="AP217" s="543">
        <f t="shared" si="117"/>
        <v>0</v>
      </c>
      <c r="AQ217" s="544" t="str">
        <f t="shared" ca="1" si="118"/>
        <v/>
      </c>
      <c r="AR217" s="545">
        <f t="shared" ca="1" si="119"/>
        <v>0</v>
      </c>
      <c r="AS217" s="545">
        <f ca="1">IFERROR(CEILING($AR217*VLOOKUP($I217,Ref!$B$23:$E$29,4,0),1),0)</f>
        <v>0</v>
      </c>
      <c r="AT217" s="545" t="str">
        <f>IF(A217="","",IF(AP217&lt;=1,"Cleared",IF(AS217=0,"Clean",VLOOKUP($AS217,Ref!$G$23:$H$28,2))))</f>
        <v>Cleared</v>
      </c>
      <c r="AU217" s="546" t="str">
        <f t="shared" si="120"/>
        <v>Ok</v>
      </c>
    </row>
    <row r="218" spans="1:47" ht="15" customHeight="1" x14ac:dyDescent="0.15">
      <c r="A218" s="575">
        <v>44448</v>
      </c>
      <c r="B218" s="523">
        <v>216</v>
      </c>
      <c r="C218" s="523">
        <v>215</v>
      </c>
      <c r="D218" s="523">
        <v>1</v>
      </c>
      <c r="E218" s="579" t="s">
        <v>1274</v>
      </c>
      <c r="F218" s="580">
        <v>2000000</v>
      </c>
      <c r="G218" s="524">
        <v>6</v>
      </c>
      <c r="H218" s="555">
        <v>0.05</v>
      </c>
      <c r="I218" s="560" t="s">
        <v>861</v>
      </c>
      <c r="J218" s="523" t="s">
        <v>862</v>
      </c>
      <c r="K218" s="528" t="str">
        <f>IFERROR(VLOOKUP($B218,'Clients-Live'!$A:$C,3,0),"")</f>
        <v>ALIGA ASHIRAF</v>
      </c>
      <c r="L218" s="528">
        <f>IF(E218="STL",Pricing!$D$38,IF(A218="",0,IF(A218&lt;Pricing!$C$25,Pricing!$D$25,VLOOKUP(Disbursements!$F218,Pricing!$B$29:$D$32,3))))</f>
        <v>25000</v>
      </c>
      <c r="M218" s="528">
        <f>IF(E218="STL",0,IF(F218&gt;0,Pricing!$D$21,0))</f>
        <v>5000</v>
      </c>
      <c r="N218" s="529">
        <f>IF(E218="STL",F218*Pricing!$D$40,IF(A218&lt;=Pricing!$C$4,0,IF(AND(A218&gt;Pricing!$C$4,Disbursements!A218&lt;=Pricing!$C$5),F218*Pricing!$E$5,IF(AND(A218&gt;Pricing!$C$5,Disbursements!A218&lt;=Pricing!$C$7),VLOOKUP(F218,Pricing!$D$7:$E$8,2)*Disbursements!F218,F218*Pricing!$E$9))))</f>
        <v>40000</v>
      </c>
      <c r="O218" s="528">
        <f>IF(E218="STL",0,IF($F218&gt;0,$F218*Pricing!$D$17,0))</f>
        <v>200000</v>
      </c>
      <c r="P218" s="530">
        <f t="shared" si="100"/>
        <v>600000</v>
      </c>
      <c r="Q218" s="531">
        <f>IF($A218="","",$G218/VLOOKUP($I218,Ref!$B$23:$D$29,2,0))</f>
        <v>24</v>
      </c>
      <c r="R218" s="530">
        <f t="shared" si="101"/>
        <v>2600000</v>
      </c>
      <c r="S218" s="532">
        <f t="shared" si="95"/>
        <v>108333.33333333333</v>
      </c>
      <c r="T218" s="531">
        <f t="shared" si="102"/>
        <v>109000</v>
      </c>
      <c r="U218" s="533">
        <f t="shared" si="103"/>
        <v>2616000</v>
      </c>
      <c r="V218" s="531">
        <f t="shared" si="104"/>
        <v>83333.333333333328</v>
      </c>
      <c r="W218" s="531">
        <f t="shared" si="105"/>
        <v>25666.666666666672</v>
      </c>
      <c r="X218" s="534">
        <f t="shared" si="106"/>
        <v>616000.00000000012</v>
      </c>
      <c r="Y218" s="535">
        <f>IF($A218="","",IF($I218="weekly",$A218+7,EDATE($A218,VLOOKUP($I218,Ref!$B$24:$C$29,2,0))))</f>
        <v>44455</v>
      </c>
      <c r="Z218" s="536" t="str">
        <f t="shared" si="107"/>
        <v>Thu</v>
      </c>
      <c r="AA218" s="531">
        <f t="shared" si="108"/>
        <v>7</v>
      </c>
      <c r="AB218" s="535">
        <f t="shared" si="96"/>
        <v>44629</v>
      </c>
      <c r="AC218" s="537">
        <f t="shared" si="97"/>
        <v>181</v>
      </c>
      <c r="AD218" s="538" t="str">
        <f t="shared" ca="1" si="98"/>
        <v>Expired</v>
      </c>
      <c r="AE218" s="537">
        <f t="shared" ca="1" si="99"/>
        <v>0</v>
      </c>
      <c r="AF218" s="539">
        <f t="shared" ca="1" si="109"/>
        <v>24</v>
      </c>
      <c r="AG218" s="531">
        <f t="shared" ca="1" si="110"/>
        <v>2616000</v>
      </c>
      <c r="AH218" s="531">
        <f t="shared" ca="1" si="111"/>
        <v>616000.00000000012</v>
      </c>
      <c r="AI218" s="531">
        <f t="shared" ca="1" si="112"/>
        <v>2000000</v>
      </c>
      <c r="AJ218" s="531">
        <f t="shared" ca="1" si="113"/>
        <v>0</v>
      </c>
      <c r="AK218" s="540">
        <f>SUMIFS('Live Collections'!$S:$S,'Live Collections'!$D:$D,Disbursements!B218,'Live Collections'!$G:$G,Disbursements!C218)</f>
        <v>125666.66666666669</v>
      </c>
      <c r="AL218" s="540">
        <f>SUMIFS('Live Collections'!$T:$T,'Live Collections'!$D:$D,Disbursements!B218,'Live Collections'!$G:$G,Disbursements!C218)</f>
        <v>284333.33333333331</v>
      </c>
      <c r="AM218" s="541">
        <f t="shared" si="114"/>
        <v>410000</v>
      </c>
      <c r="AN218" s="542">
        <f t="shared" si="115"/>
        <v>490333.33333333343</v>
      </c>
      <c r="AO218" s="542">
        <f t="shared" si="116"/>
        <v>1715666.6666666667</v>
      </c>
      <c r="AP218" s="543">
        <f t="shared" si="117"/>
        <v>2206000</v>
      </c>
      <c r="AQ218" s="544">
        <f t="shared" ca="1" si="118"/>
        <v>2206000</v>
      </c>
      <c r="AR218" s="545">
        <f t="shared" ca="1" si="119"/>
        <v>20.238532110091743</v>
      </c>
      <c r="AS218" s="545">
        <f ca="1">IFERROR(CEILING($AR218*VLOOKUP($I218,Ref!$B$23:$E$29,4,0),1),0)</f>
        <v>142</v>
      </c>
      <c r="AT218" s="545" t="str">
        <f ca="1">IF(A218="","",IF(AP218&lt;=1,"Cleared",IF(AS218=0,"Clean",VLOOKUP($AS218,Ref!$G$23:$H$28,2))))</f>
        <v>4.(91-365) Days</v>
      </c>
      <c r="AU218" s="546" t="str">
        <f t="shared" si="120"/>
        <v>Ok</v>
      </c>
    </row>
    <row r="219" spans="1:47" ht="15" customHeight="1" x14ac:dyDescent="0.15">
      <c r="A219" s="575">
        <v>44450</v>
      </c>
      <c r="B219" s="523">
        <v>156</v>
      </c>
      <c r="C219" s="523">
        <v>216</v>
      </c>
      <c r="D219" s="523">
        <v>2</v>
      </c>
      <c r="E219" s="579" t="s">
        <v>1274</v>
      </c>
      <c r="F219" s="580">
        <v>800000</v>
      </c>
      <c r="G219" s="524">
        <v>5</v>
      </c>
      <c r="H219" s="555">
        <v>0.05</v>
      </c>
      <c r="I219" s="560" t="s">
        <v>859</v>
      </c>
      <c r="J219" s="523" t="s">
        <v>863</v>
      </c>
      <c r="K219" s="528" t="str">
        <f>IFERROR(VLOOKUP($B219,'Clients-Live'!$A:$C,3,0),"")</f>
        <v xml:space="preserve">ONIBA AISHA </v>
      </c>
      <c r="L219" s="528">
        <f>IF(E219="STL",Pricing!$D$38,IF(A219="",0,IF(A219&lt;Pricing!$C$25,Pricing!$D$25,VLOOKUP(Disbursements!$F219,Pricing!$B$29:$D$32,3))))</f>
        <v>20000</v>
      </c>
      <c r="M219" s="528">
        <f>IF(E219="STL",0,IF(F219&gt;0,Pricing!$D$21,0))</f>
        <v>5000</v>
      </c>
      <c r="N219" s="529">
        <f>IF(E219="STL",F219*Pricing!$D$40,IF(A219&lt;=Pricing!$C$4,0,IF(AND(A219&gt;Pricing!$C$4,Disbursements!A219&lt;=Pricing!$C$5),F219*Pricing!$E$5,IF(AND(A219&gt;Pricing!$C$5,Disbursements!A219&lt;=Pricing!$C$7),VLOOKUP(F219,Pricing!$D$7:$E$8,2)*Disbursements!F219,F219*Pricing!$E$9))))</f>
        <v>8000</v>
      </c>
      <c r="O219" s="528">
        <f>IF(E219="STL",0,IF($F219&gt;0,$F219*Pricing!$D$17,0))</f>
        <v>80000</v>
      </c>
      <c r="P219" s="530">
        <f t="shared" si="100"/>
        <v>200000</v>
      </c>
      <c r="Q219" s="531">
        <f>IF($A219="","",$G219/VLOOKUP($I219,Ref!$B$23:$D$29,2,0))</f>
        <v>5</v>
      </c>
      <c r="R219" s="530">
        <f t="shared" si="101"/>
        <v>1000000</v>
      </c>
      <c r="S219" s="532">
        <f t="shared" si="95"/>
        <v>200000</v>
      </c>
      <c r="T219" s="531">
        <f t="shared" si="102"/>
        <v>200000</v>
      </c>
      <c r="U219" s="533">
        <f t="shared" si="103"/>
        <v>1000000</v>
      </c>
      <c r="V219" s="531">
        <f t="shared" si="104"/>
        <v>160000</v>
      </c>
      <c r="W219" s="531">
        <f t="shared" si="105"/>
        <v>40000</v>
      </c>
      <c r="X219" s="534">
        <f t="shared" si="106"/>
        <v>200000</v>
      </c>
      <c r="Y219" s="535">
        <f>IF($A219="","",IF($I219="weekly",$A219+7,EDATE($A219,VLOOKUP($I219,Ref!$B$24:$C$29,2,0))))</f>
        <v>44480</v>
      </c>
      <c r="Z219" s="536" t="str">
        <f t="shared" si="107"/>
        <v>Mon</v>
      </c>
      <c r="AA219" s="531">
        <f t="shared" si="108"/>
        <v>30</v>
      </c>
      <c r="AB219" s="535">
        <f t="shared" si="96"/>
        <v>44603</v>
      </c>
      <c r="AC219" s="537">
        <f t="shared" si="97"/>
        <v>153</v>
      </c>
      <c r="AD219" s="538" t="str">
        <f t="shared" ca="1" si="98"/>
        <v>Expired</v>
      </c>
      <c r="AE219" s="537">
        <f t="shared" ca="1" si="99"/>
        <v>0</v>
      </c>
      <c r="AF219" s="539">
        <f t="shared" ca="1" si="109"/>
        <v>5</v>
      </c>
      <c r="AG219" s="531">
        <f t="shared" ca="1" si="110"/>
        <v>1000000</v>
      </c>
      <c r="AH219" s="531">
        <f t="shared" ca="1" si="111"/>
        <v>200000</v>
      </c>
      <c r="AI219" s="531">
        <f t="shared" ca="1" si="112"/>
        <v>800000</v>
      </c>
      <c r="AJ219" s="531">
        <f t="shared" ca="1" si="113"/>
        <v>0</v>
      </c>
      <c r="AK219" s="540">
        <f>SUMIFS('Live Collections'!$S:$S,'Live Collections'!$D:$D,Disbursements!B219,'Live Collections'!$G:$G,Disbursements!C219)</f>
        <v>200000</v>
      </c>
      <c r="AL219" s="540">
        <f>SUMIFS('Live Collections'!$T:$T,'Live Collections'!$D:$D,Disbursements!B219,'Live Collections'!$G:$G,Disbursements!C219)</f>
        <v>800000</v>
      </c>
      <c r="AM219" s="541">
        <f t="shared" si="114"/>
        <v>1000000</v>
      </c>
      <c r="AN219" s="542">
        <f t="shared" si="115"/>
        <v>0</v>
      </c>
      <c r="AO219" s="542">
        <f t="shared" si="116"/>
        <v>0</v>
      </c>
      <c r="AP219" s="543">
        <f t="shared" si="117"/>
        <v>0</v>
      </c>
      <c r="AQ219" s="544" t="str">
        <f t="shared" ca="1" si="118"/>
        <v/>
      </c>
      <c r="AR219" s="545">
        <f t="shared" ca="1" si="119"/>
        <v>0</v>
      </c>
      <c r="AS219" s="545">
        <f ca="1">IFERROR(CEILING($AR219*VLOOKUP($I219,Ref!$B$23:$E$29,4,0),1),0)</f>
        <v>0</v>
      </c>
      <c r="AT219" s="545" t="str">
        <f>IF(A219="","",IF(AP219&lt;=1,"Cleared",IF(AS219=0,"Clean",VLOOKUP($AS219,Ref!$G$23:$H$28,2))))</f>
        <v>Cleared</v>
      </c>
      <c r="AU219" s="546" t="str">
        <f t="shared" si="120"/>
        <v>Ok</v>
      </c>
    </row>
    <row r="220" spans="1:47" ht="15" customHeight="1" x14ac:dyDescent="0.15">
      <c r="A220" s="575">
        <v>44453</v>
      </c>
      <c r="B220" s="523">
        <v>217</v>
      </c>
      <c r="C220" s="523">
        <v>217</v>
      </c>
      <c r="D220" s="523">
        <v>1</v>
      </c>
      <c r="E220" s="579" t="s">
        <v>1274</v>
      </c>
      <c r="F220" s="580">
        <v>300000</v>
      </c>
      <c r="G220" s="524">
        <v>2</v>
      </c>
      <c r="H220" s="555">
        <v>0.05</v>
      </c>
      <c r="I220" s="560" t="s">
        <v>859</v>
      </c>
      <c r="J220" s="523" t="s">
        <v>864</v>
      </c>
      <c r="K220" s="528" t="str">
        <f>IFERROR(VLOOKUP($B220,'Clients-Live'!$A:$C,3,0),"")</f>
        <v>JAMBA MOSES</v>
      </c>
      <c r="L220" s="528">
        <f>IF(E220="STL",Pricing!$D$38,IF(A220="",0,IF(A220&lt;Pricing!$C$25,Pricing!$D$25,VLOOKUP(Disbursements!$F220,Pricing!$B$29:$D$32,3))))</f>
        <v>15000</v>
      </c>
      <c r="M220" s="528">
        <f>IF(E220="STL",0,IF(F220&gt;0,Pricing!$D$21,0))</f>
        <v>5000</v>
      </c>
      <c r="N220" s="529">
        <f>IF(E220="STL",F220*Pricing!$D$40,IF(A220&lt;=Pricing!$C$4,0,IF(AND(A220&gt;Pricing!$C$4,Disbursements!A220&lt;=Pricing!$C$5),F220*Pricing!$E$5,IF(AND(A220&gt;Pricing!$C$5,Disbursements!A220&lt;=Pricing!$C$7),VLOOKUP(F220,Pricing!$D$7:$E$8,2)*Disbursements!F220,F220*Pricing!$E$9))))</f>
        <v>3000</v>
      </c>
      <c r="O220" s="528">
        <f>IF(E220="STL",0,IF($F220&gt;0,$F220*Pricing!$D$17,0))</f>
        <v>30000</v>
      </c>
      <c r="P220" s="530">
        <f t="shared" si="100"/>
        <v>30000</v>
      </c>
      <c r="Q220" s="531">
        <f>IF($A220="","",$G220/VLOOKUP($I220,Ref!$B$23:$D$29,2,0))</f>
        <v>2</v>
      </c>
      <c r="R220" s="530">
        <f t="shared" si="101"/>
        <v>330000</v>
      </c>
      <c r="S220" s="532">
        <f t="shared" si="95"/>
        <v>165000</v>
      </c>
      <c r="T220" s="531">
        <f t="shared" si="102"/>
        <v>165000</v>
      </c>
      <c r="U220" s="533">
        <f t="shared" si="103"/>
        <v>330000</v>
      </c>
      <c r="V220" s="531">
        <f t="shared" si="104"/>
        <v>150000</v>
      </c>
      <c r="W220" s="531">
        <f t="shared" si="105"/>
        <v>15000</v>
      </c>
      <c r="X220" s="534">
        <f t="shared" si="106"/>
        <v>30000</v>
      </c>
      <c r="Y220" s="535">
        <f>IF($A220="","",IF($I220="weekly",$A220+7,EDATE($A220,VLOOKUP($I220,Ref!$B$24:$C$29,2,0))))</f>
        <v>44483</v>
      </c>
      <c r="Z220" s="536" t="str">
        <f t="shared" si="107"/>
        <v>Thu</v>
      </c>
      <c r="AA220" s="531">
        <f t="shared" si="108"/>
        <v>30</v>
      </c>
      <c r="AB220" s="535">
        <f t="shared" si="96"/>
        <v>44514</v>
      </c>
      <c r="AC220" s="537">
        <f t="shared" si="97"/>
        <v>61</v>
      </c>
      <c r="AD220" s="538" t="str">
        <f t="shared" ca="1" si="98"/>
        <v>Expired</v>
      </c>
      <c r="AE220" s="537">
        <f t="shared" ca="1" si="99"/>
        <v>0</v>
      </c>
      <c r="AF220" s="539">
        <f t="shared" ca="1" si="109"/>
        <v>2</v>
      </c>
      <c r="AG220" s="531">
        <f t="shared" ca="1" si="110"/>
        <v>330000</v>
      </c>
      <c r="AH220" s="531">
        <f t="shared" ca="1" si="111"/>
        <v>30000</v>
      </c>
      <c r="AI220" s="531">
        <f t="shared" ca="1" si="112"/>
        <v>300000</v>
      </c>
      <c r="AJ220" s="531">
        <f t="shared" ca="1" si="113"/>
        <v>0</v>
      </c>
      <c r="AK220" s="540">
        <f>SUMIFS('Live Collections'!$S:$S,'Live Collections'!$D:$D,Disbursements!B220,'Live Collections'!$G:$G,Disbursements!C220)</f>
        <v>30000</v>
      </c>
      <c r="AL220" s="540">
        <f>SUMIFS('Live Collections'!$T:$T,'Live Collections'!$D:$D,Disbursements!B220,'Live Collections'!$G:$G,Disbursements!C220)</f>
        <v>300000</v>
      </c>
      <c r="AM220" s="541">
        <f t="shared" si="114"/>
        <v>330000</v>
      </c>
      <c r="AN220" s="542">
        <f t="shared" si="115"/>
        <v>0</v>
      </c>
      <c r="AO220" s="542">
        <f t="shared" si="116"/>
        <v>0</v>
      </c>
      <c r="AP220" s="543">
        <f t="shared" si="117"/>
        <v>0</v>
      </c>
      <c r="AQ220" s="544" t="str">
        <f t="shared" ca="1" si="118"/>
        <v/>
      </c>
      <c r="AR220" s="545">
        <f t="shared" ca="1" si="119"/>
        <v>0</v>
      </c>
      <c r="AS220" s="545">
        <f ca="1">IFERROR(CEILING($AR220*VLOOKUP($I220,Ref!$B$23:$E$29,4,0),1),0)</f>
        <v>0</v>
      </c>
      <c r="AT220" s="545" t="str">
        <f>IF(A220="","",IF(AP220&lt;=1,"Cleared",IF(AS220=0,"Clean",VLOOKUP($AS220,Ref!$G$23:$H$28,2))))</f>
        <v>Cleared</v>
      </c>
      <c r="AU220" s="546" t="str">
        <f t="shared" si="120"/>
        <v>Ok</v>
      </c>
    </row>
    <row r="221" spans="1:47" ht="15" customHeight="1" x14ac:dyDescent="0.15">
      <c r="A221" s="575">
        <v>44453</v>
      </c>
      <c r="B221" s="523">
        <v>106</v>
      </c>
      <c r="C221" s="523">
        <v>104</v>
      </c>
      <c r="D221" s="523">
        <v>2</v>
      </c>
      <c r="E221" s="579" t="s">
        <v>1274</v>
      </c>
      <c r="F221" s="580">
        <v>400000</v>
      </c>
      <c r="G221" s="524">
        <v>4</v>
      </c>
      <c r="H221" s="555">
        <v>0.05</v>
      </c>
      <c r="I221" s="560" t="s">
        <v>859</v>
      </c>
      <c r="J221" s="523" t="s">
        <v>864</v>
      </c>
      <c r="K221" s="528" t="str">
        <f>IFERROR(VLOOKUP($B221,'Clients-Live'!$A:$C,3,0),"")</f>
        <v>ORODRIYO  NUSURA</v>
      </c>
      <c r="L221" s="528">
        <f>IF(E221="STL",Pricing!$D$38,IF(A221="",0,IF(A221&lt;Pricing!$C$25,Pricing!$D$25,VLOOKUP(Disbursements!$F221,Pricing!$B$29:$D$32,3))))</f>
        <v>15000</v>
      </c>
      <c r="M221" s="528">
        <f>IF(E221="STL",0,IF(F221&gt;0,Pricing!$D$21,0))</f>
        <v>5000</v>
      </c>
      <c r="N221" s="529">
        <f>IF(E221="STL",F221*Pricing!$D$40,IF(A221&lt;=Pricing!$C$4,0,IF(AND(A221&gt;Pricing!$C$4,Disbursements!A221&lt;=Pricing!$C$5),F221*Pricing!$E$5,IF(AND(A221&gt;Pricing!$C$5,Disbursements!A221&lt;=Pricing!$C$7),VLOOKUP(F221,Pricing!$D$7:$E$8,2)*Disbursements!F221,F221*Pricing!$E$9))))</f>
        <v>4000</v>
      </c>
      <c r="O221" s="528">
        <f>IF(E221="STL",0,IF($F221&gt;0,$F221*Pricing!$D$17,0))</f>
        <v>40000</v>
      </c>
      <c r="P221" s="530">
        <f t="shared" si="100"/>
        <v>80000</v>
      </c>
      <c r="Q221" s="531">
        <f>IF($A221="","",$G221/VLOOKUP($I221,Ref!$B$23:$D$29,2,0))</f>
        <v>4</v>
      </c>
      <c r="R221" s="530">
        <f t="shared" si="101"/>
        <v>480000</v>
      </c>
      <c r="S221" s="532">
        <f t="shared" si="95"/>
        <v>120000</v>
      </c>
      <c r="T221" s="531">
        <f t="shared" si="102"/>
        <v>120000</v>
      </c>
      <c r="U221" s="533">
        <f t="shared" si="103"/>
        <v>480000</v>
      </c>
      <c r="V221" s="531">
        <f t="shared" si="104"/>
        <v>100000</v>
      </c>
      <c r="W221" s="531">
        <f t="shared" si="105"/>
        <v>20000</v>
      </c>
      <c r="X221" s="534">
        <f t="shared" si="106"/>
        <v>80000</v>
      </c>
      <c r="Y221" s="535">
        <f>IF($A221="","",IF($I221="weekly",$A221+7,EDATE($A221,VLOOKUP($I221,Ref!$B$24:$C$29,2,0))))</f>
        <v>44483</v>
      </c>
      <c r="Z221" s="536" t="str">
        <f t="shared" si="107"/>
        <v>Thu</v>
      </c>
      <c r="AA221" s="531">
        <f t="shared" si="108"/>
        <v>30</v>
      </c>
      <c r="AB221" s="535">
        <f t="shared" si="96"/>
        <v>44575</v>
      </c>
      <c r="AC221" s="537">
        <f t="shared" si="97"/>
        <v>122</v>
      </c>
      <c r="AD221" s="538" t="str">
        <f t="shared" ca="1" si="98"/>
        <v>Expired</v>
      </c>
      <c r="AE221" s="537">
        <f t="shared" ca="1" si="99"/>
        <v>0</v>
      </c>
      <c r="AF221" s="539">
        <f t="shared" ca="1" si="109"/>
        <v>4</v>
      </c>
      <c r="AG221" s="531">
        <f t="shared" ca="1" si="110"/>
        <v>480000</v>
      </c>
      <c r="AH221" s="531">
        <f t="shared" ca="1" si="111"/>
        <v>80000</v>
      </c>
      <c r="AI221" s="531">
        <f t="shared" ca="1" si="112"/>
        <v>400000</v>
      </c>
      <c r="AJ221" s="531">
        <f t="shared" ca="1" si="113"/>
        <v>0</v>
      </c>
      <c r="AK221" s="540">
        <f>SUMIFS('Live Collections'!$S:$S,'Live Collections'!$D:$D,Disbursements!B221,'Live Collections'!$G:$G,Disbursements!C221)</f>
        <v>80000</v>
      </c>
      <c r="AL221" s="540">
        <f>SUMIFS('Live Collections'!$T:$T,'Live Collections'!$D:$D,Disbursements!B221,'Live Collections'!$G:$G,Disbursements!C221)</f>
        <v>400000</v>
      </c>
      <c r="AM221" s="541">
        <f t="shared" si="114"/>
        <v>480000</v>
      </c>
      <c r="AN221" s="542">
        <f t="shared" si="115"/>
        <v>0</v>
      </c>
      <c r="AO221" s="542">
        <f t="shared" si="116"/>
        <v>0</v>
      </c>
      <c r="AP221" s="543">
        <f t="shared" si="117"/>
        <v>0</v>
      </c>
      <c r="AQ221" s="544" t="str">
        <f t="shared" ca="1" si="118"/>
        <v/>
      </c>
      <c r="AR221" s="545">
        <f t="shared" ca="1" si="119"/>
        <v>0</v>
      </c>
      <c r="AS221" s="545">
        <f ca="1">IFERROR(CEILING($AR221*VLOOKUP($I221,Ref!$B$23:$E$29,4,0),1),0)</f>
        <v>0</v>
      </c>
      <c r="AT221" s="545" t="str">
        <f>IF(A221="","",IF(AP221&lt;=1,"Cleared",IF(AS221=0,"Clean",VLOOKUP($AS221,Ref!$G$23:$H$28,2))))</f>
        <v>Cleared</v>
      </c>
      <c r="AU221" s="546" t="str">
        <f t="shared" si="120"/>
        <v>Ok</v>
      </c>
    </row>
    <row r="222" spans="1:47" ht="15" customHeight="1" x14ac:dyDescent="0.15">
      <c r="A222" s="575">
        <v>44454</v>
      </c>
      <c r="B222" s="523">
        <v>64</v>
      </c>
      <c r="C222" s="523">
        <v>218</v>
      </c>
      <c r="D222" s="523">
        <v>2</v>
      </c>
      <c r="E222" s="579" t="s">
        <v>1274</v>
      </c>
      <c r="F222" s="580">
        <v>700000</v>
      </c>
      <c r="G222" s="524">
        <v>5</v>
      </c>
      <c r="H222" s="555">
        <v>0.05</v>
      </c>
      <c r="I222" s="560" t="s">
        <v>859</v>
      </c>
      <c r="J222" s="523" t="s">
        <v>863</v>
      </c>
      <c r="K222" s="528" t="str">
        <f>IFERROR(VLOOKUP($B222,'Clients-Live'!$A:$C,3,0),"")</f>
        <v>AKINO JUDITH</v>
      </c>
      <c r="L222" s="528">
        <f>IF(E222="STL",Pricing!$D$38,IF(A222="",0,IF(A222&lt;Pricing!$C$25,Pricing!$D$25,VLOOKUP(Disbursements!$F222,Pricing!$B$29:$D$32,3))))</f>
        <v>20000</v>
      </c>
      <c r="M222" s="528">
        <f>IF(E222="STL",0,IF(F222&gt;0,Pricing!$D$21,0))</f>
        <v>5000</v>
      </c>
      <c r="N222" s="529">
        <f>IF(E222="STL",F222*Pricing!$D$40,IF(A222&lt;=Pricing!$C$4,0,IF(AND(A222&gt;Pricing!$C$4,Disbursements!A222&lt;=Pricing!$C$5),F222*Pricing!$E$5,IF(AND(A222&gt;Pricing!$C$5,Disbursements!A222&lt;=Pricing!$C$7),VLOOKUP(F222,Pricing!$D$7:$E$8,2)*Disbursements!F222,F222*Pricing!$E$9))))</f>
        <v>7000</v>
      </c>
      <c r="O222" s="528">
        <f>IF(E222="STL",0,IF($F222&gt;0,$F222*Pricing!$D$17,0))</f>
        <v>70000</v>
      </c>
      <c r="P222" s="530">
        <f t="shared" si="100"/>
        <v>175000</v>
      </c>
      <c r="Q222" s="531">
        <f>IF($A222="","",$G222/VLOOKUP($I222,Ref!$B$23:$D$29,2,0))</f>
        <v>5</v>
      </c>
      <c r="R222" s="530">
        <f t="shared" si="101"/>
        <v>875000</v>
      </c>
      <c r="S222" s="532">
        <f t="shared" si="95"/>
        <v>175000</v>
      </c>
      <c r="T222" s="531">
        <f t="shared" si="102"/>
        <v>175000</v>
      </c>
      <c r="U222" s="533">
        <f t="shared" si="103"/>
        <v>875000</v>
      </c>
      <c r="V222" s="531">
        <f t="shared" si="104"/>
        <v>140000</v>
      </c>
      <c r="W222" s="531">
        <f t="shared" si="105"/>
        <v>35000</v>
      </c>
      <c r="X222" s="534">
        <f t="shared" si="106"/>
        <v>175000</v>
      </c>
      <c r="Y222" s="535">
        <f>IF($A222="","",IF($I222="weekly",$A222+7,EDATE($A222,VLOOKUP($I222,Ref!$B$24:$C$29,2,0))))</f>
        <v>44484</v>
      </c>
      <c r="Z222" s="536" t="str">
        <f t="shared" si="107"/>
        <v>Frid</v>
      </c>
      <c r="AA222" s="531">
        <f t="shared" si="108"/>
        <v>30</v>
      </c>
      <c r="AB222" s="535">
        <f t="shared" si="96"/>
        <v>44607</v>
      </c>
      <c r="AC222" s="537">
        <f t="shared" si="97"/>
        <v>153</v>
      </c>
      <c r="AD222" s="538" t="str">
        <f t="shared" ca="1" si="98"/>
        <v>Expired</v>
      </c>
      <c r="AE222" s="537">
        <f t="shared" ca="1" si="99"/>
        <v>0</v>
      </c>
      <c r="AF222" s="539">
        <f t="shared" ca="1" si="109"/>
        <v>5</v>
      </c>
      <c r="AG222" s="531">
        <f t="shared" ca="1" si="110"/>
        <v>875000</v>
      </c>
      <c r="AH222" s="531">
        <f t="shared" ca="1" si="111"/>
        <v>175000</v>
      </c>
      <c r="AI222" s="531">
        <f t="shared" ca="1" si="112"/>
        <v>700000</v>
      </c>
      <c r="AJ222" s="531">
        <f t="shared" ca="1" si="113"/>
        <v>0</v>
      </c>
      <c r="AK222" s="540">
        <f>SUMIFS('Live Collections'!$S:$S,'Live Collections'!$D:$D,Disbursements!B222,'Live Collections'!$G:$G,Disbursements!C222)</f>
        <v>20000</v>
      </c>
      <c r="AL222" s="540">
        <f>SUMIFS('Live Collections'!$T:$T,'Live Collections'!$D:$D,Disbursements!B222,'Live Collections'!$G:$G,Disbursements!C222)</f>
        <v>155000</v>
      </c>
      <c r="AM222" s="541">
        <f t="shared" si="114"/>
        <v>175000</v>
      </c>
      <c r="AN222" s="542">
        <f t="shared" si="115"/>
        <v>155000</v>
      </c>
      <c r="AO222" s="542">
        <f t="shared" si="116"/>
        <v>545000</v>
      </c>
      <c r="AP222" s="543">
        <f t="shared" si="117"/>
        <v>700000</v>
      </c>
      <c r="AQ222" s="544">
        <f t="shared" ca="1" si="118"/>
        <v>700000</v>
      </c>
      <c r="AR222" s="545">
        <f t="shared" ca="1" si="119"/>
        <v>4</v>
      </c>
      <c r="AS222" s="545">
        <f ca="1">IFERROR(CEILING($AR222*VLOOKUP($I222,Ref!$B$23:$E$29,4,0),1),0)</f>
        <v>120</v>
      </c>
      <c r="AT222" s="545" t="str">
        <f ca="1">IF(A222="","",IF(AP222&lt;=1,"Cleared",IF(AS222=0,"Clean",VLOOKUP($AS222,Ref!$G$23:$H$28,2))))</f>
        <v>4.(91-365) Days</v>
      </c>
      <c r="AU222" s="546" t="str">
        <f t="shared" si="120"/>
        <v>Ok</v>
      </c>
    </row>
    <row r="223" spans="1:47" ht="15" customHeight="1" x14ac:dyDescent="0.15">
      <c r="A223" s="575">
        <v>44454</v>
      </c>
      <c r="B223" s="523">
        <v>215</v>
      </c>
      <c r="C223" s="523">
        <v>219</v>
      </c>
      <c r="D223" s="523">
        <v>1</v>
      </c>
      <c r="E223" s="579" t="s">
        <v>1275</v>
      </c>
      <c r="F223" s="580">
        <v>900000</v>
      </c>
      <c r="G223" s="524">
        <v>3</v>
      </c>
      <c r="H223" s="555">
        <v>7.4999999999999997E-2</v>
      </c>
      <c r="I223" s="560" t="s">
        <v>859</v>
      </c>
      <c r="J223" s="523" t="s">
        <v>864</v>
      </c>
      <c r="K223" s="528" t="str">
        <f>IFERROR(VLOOKUP($B223,'Clients-Live'!$A:$C,3,0),"")</f>
        <v>BRANI MUSA</v>
      </c>
      <c r="L223" s="528">
        <f>IF(E223="STL",Pricing!$D$38,IF(A223="",0,IF(A223&lt;Pricing!$C$25,Pricing!$D$25,VLOOKUP(Disbursements!$F223,Pricing!$B$29:$D$32,3))))</f>
        <v>20000</v>
      </c>
      <c r="M223" s="528">
        <f>IF(E223="STL",0,IF(F223&gt;0,Pricing!$D$21,0))</f>
        <v>5000</v>
      </c>
      <c r="N223" s="529">
        <f>IF(E223="STL",F223*Pricing!$D$40,IF(A223&lt;=Pricing!$C$4,0,IF(AND(A223&gt;Pricing!$C$4,Disbursements!A223&lt;=Pricing!$C$5),F223*Pricing!$E$5,IF(AND(A223&gt;Pricing!$C$5,Disbursements!A223&lt;=Pricing!$C$7),VLOOKUP(F223,Pricing!$D$7:$E$8,2)*Disbursements!F223,F223*Pricing!$E$9))))</f>
        <v>9000</v>
      </c>
      <c r="O223" s="528">
        <f>IF(E223="STL",0,IF($F223&gt;0,$F223*Pricing!$D$17,0))</f>
        <v>90000</v>
      </c>
      <c r="P223" s="530">
        <f t="shared" si="100"/>
        <v>202500</v>
      </c>
      <c r="Q223" s="531">
        <f>IF($A223="","",$G223/VLOOKUP($I223,Ref!$B$23:$D$29,2,0))</f>
        <v>3</v>
      </c>
      <c r="R223" s="530">
        <f t="shared" si="101"/>
        <v>1102500</v>
      </c>
      <c r="S223" s="532">
        <f t="shared" si="95"/>
        <v>367500</v>
      </c>
      <c r="T223" s="531">
        <f t="shared" si="102"/>
        <v>368000</v>
      </c>
      <c r="U223" s="533">
        <f t="shared" si="103"/>
        <v>1104000</v>
      </c>
      <c r="V223" s="531">
        <f t="shared" si="104"/>
        <v>300000</v>
      </c>
      <c r="W223" s="531">
        <f t="shared" si="105"/>
        <v>68000</v>
      </c>
      <c r="X223" s="534">
        <f t="shared" si="106"/>
        <v>204000</v>
      </c>
      <c r="Y223" s="535">
        <f>IF($A223="","",IF($I223="weekly",$A223+7,EDATE($A223,VLOOKUP($I223,Ref!$B$24:$C$29,2,0))))</f>
        <v>44484</v>
      </c>
      <c r="Z223" s="536" t="str">
        <f t="shared" si="107"/>
        <v>Frid</v>
      </c>
      <c r="AA223" s="531">
        <f t="shared" si="108"/>
        <v>30</v>
      </c>
      <c r="AB223" s="535">
        <f t="shared" si="96"/>
        <v>44545</v>
      </c>
      <c r="AC223" s="537">
        <f t="shared" si="97"/>
        <v>91</v>
      </c>
      <c r="AD223" s="538" t="str">
        <f t="shared" ca="1" si="98"/>
        <v>Expired</v>
      </c>
      <c r="AE223" s="537">
        <f t="shared" ca="1" si="99"/>
        <v>0</v>
      </c>
      <c r="AF223" s="539">
        <f t="shared" ca="1" si="109"/>
        <v>3</v>
      </c>
      <c r="AG223" s="531">
        <f t="shared" ca="1" si="110"/>
        <v>1104000</v>
      </c>
      <c r="AH223" s="531">
        <f t="shared" ca="1" si="111"/>
        <v>204000</v>
      </c>
      <c r="AI223" s="531">
        <f t="shared" ca="1" si="112"/>
        <v>900000</v>
      </c>
      <c r="AJ223" s="531">
        <f t="shared" ca="1" si="113"/>
        <v>0</v>
      </c>
      <c r="AK223" s="540">
        <f>SUMIFS('Live Collections'!$S:$S,'Live Collections'!$D:$D,Disbursements!B223,'Live Collections'!$G:$G,Disbursements!C223)</f>
        <v>204000</v>
      </c>
      <c r="AL223" s="540">
        <f>SUMIFS('Live Collections'!$T:$T,'Live Collections'!$D:$D,Disbursements!B223,'Live Collections'!$G:$G,Disbursements!C223)</f>
        <v>900000</v>
      </c>
      <c r="AM223" s="541">
        <f t="shared" si="114"/>
        <v>1104000</v>
      </c>
      <c r="AN223" s="542">
        <f t="shared" si="115"/>
        <v>0</v>
      </c>
      <c r="AO223" s="542">
        <f t="shared" si="116"/>
        <v>0</v>
      </c>
      <c r="AP223" s="543">
        <f t="shared" si="117"/>
        <v>0</v>
      </c>
      <c r="AQ223" s="544" t="str">
        <f t="shared" ca="1" si="118"/>
        <v/>
      </c>
      <c r="AR223" s="545">
        <f t="shared" ca="1" si="119"/>
        <v>0</v>
      </c>
      <c r="AS223" s="545">
        <f ca="1">IFERROR(CEILING($AR223*VLOOKUP($I223,Ref!$B$23:$E$29,4,0),1),0)</f>
        <v>0</v>
      </c>
      <c r="AT223" s="545" t="str">
        <f>IF(A223="","",IF(AP223&lt;=1,"Cleared",IF(AS223=0,"Clean",VLOOKUP($AS223,Ref!$G$23:$H$28,2))))</f>
        <v>Cleared</v>
      </c>
      <c r="AU223" s="546" t="str">
        <f t="shared" si="120"/>
        <v>Ok</v>
      </c>
    </row>
    <row r="224" spans="1:47" ht="15" customHeight="1" x14ac:dyDescent="0.15">
      <c r="A224" s="575">
        <v>44455</v>
      </c>
      <c r="B224" s="523">
        <v>9</v>
      </c>
      <c r="C224" s="523">
        <v>221</v>
      </c>
      <c r="D224" s="523">
        <v>2</v>
      </c>
      <c r="E224" s="579" t="s">
        <v>1274</v>
      </c>
      <c r="F224" s="580">
        <v>1200000</v>
      </c>
      <c r="G224" s="524">
        <v>4</v>
      </c>
      <c r="H224" s="555">
        <v>0.05</v>
      </c>
      <c r="I224" s="560" t="s">
        <v>859</v>
      </c>
      <c r="J224" s="523" t="s">
        <v>864</v>
      </c>
      <c r="K224" s="528" t="str">
        <f>IFERROR(VLOOKUP($B224,'Clients-Live'!$A:$C,3,0),"")</f>
        <v>TABAN DAVID YAYA</v>
      </c>
      <c r="L224" s="528">
        <f>IF(E224="STL",Pricing!$D$38,IF(A224="",0,IF(A224&lt;Pricing!$C$25,Pricing!$D$25,VLOOKUP(Disbursements!$F224,Pricing!$B$29:$D$32,3))))</f>
        <v>25000</v>
      </c>
      <c r="M224" s="528">
        <f>IF(E224="STL",0,IF(F224&gt;0,Pricing!$D$21,0))</f>
        <v>5000</v>
      </c>
      <c r="N224" s="529">
        <f>IF(E224="STL",F224*Pricing!$D$40,IF(A224&lt;=Pricing!$C$4,0,IF(AND(A224&gt;Pricing!$C$4,Disbursements!A224&lt;=Pricing!$C$5),F224*Pricing!$E$5,IF(AND(A224&gt;Pricing!$C$5,Disbursements!A224&lt;=Pricing!$C$7),VLOOKUP(F224,Pricing!$D$7:$E$8,2)*Disbursements!F224,F224*Pricing!$E$9))))</f>
        <v>24000</v>
      </c>
      <c r="O224" s="528">
        <f>IF(E224="STL",0,IF($F224&gt;0,$F224*Pricing!$D$17,0))</f>
        <v>120000</v>
      </c>
      <c r="P224" s="530">
        <f t="shared" si="100"/>
        <v>240000</v>
      </c>
      <c r="Q224" s="531">
        <f>IF($A224="","",$G224/VLOOKUP($I224,Ref!$B$23:$D$29,2,0))</f>
        <v>4</v>
      </c>
      <c r="R224" s="530">
        <f t="shared" si="101"/>
        <v>1440000</v>
      </c>
      <c r="S224" s="532">
        <f t="shared" si="95"/>
        <v>360000</v>
      </c>
      <c r="T224" s="531">
        <f t="shared" si="102"/>
        <v>360000</v>
      </c>
      <c r="U224" s="533">
        <f t="shared" si="103"/>
        <v>1440000</v>
      </c>
      <c r="V224" s="531">
        <f t="shared" si="104"/>
        <v>300000</v>
      </c>
      <c r="W224" s="531">
        <f t="shared" si="105"/>
        <v>60000</v>
      </c>
      <c r="X224" s="534">
        <f t="shared" si="106"/>
        <v>240000</v>
      </c>
      <c r="Y224" s="535">
        <f>IF($A224="","",IF($I224="weekly",$A224+7,EDATE($A224,VLOOKUP($I224,Ref!$B$24:$C$29,2,0))))</f>
        <v>44485</v>
      </c>
      <c r="Z224" s="536" t="str">
        <f t="shared" si="107"/>
        <v>Sat</v>
      </c>
      <c r="AA224" s="531">
        <f t="shared" si="108"/>
        <v>30</v>
      </c>
      <c r="AB224" s="535">
        <f t="shared" si="96"/>
        <v>44577</v>
      </c>
      <c r="AC224" s="537">
        <f t="shared" si="97"/>
        <v>122</v>
      </c>
      <c r="AD224" s="538" t="str">
        <f t="shared" ca="1" si="98"/>
        <v>Expired</v>
      </c>
      <c r="AE224" s="537">
        <f t="shared" ca="1" si="99"/>
        <v>0</v>
      </c>
      <c r="AF224" s="539">
        <f t="shared" ca="1" si="109"/>
        <v>4</v>
      </c>
      <c r="AG224" s="531">
        <f t="shared" ca="1" si="110"/>
        <v>1440000</v>
      </c>
      <c r="AH224" s="531">
        <f t="shared" ca="1" si="111"/>
        <v>240000</v>
      </c>
      <c r="AI224" s="531">
        <f t="shared" ca="1" si="112"/>
        <v>1200000</v>
      </c>
      <c r="AJ224" s="531">
        <f t="shared" ca="1" si="113"/>
        <v>0</v>
      </c>
      <c r="AK224" s="540">
        <f>SUMIFS('Live Collections'!$S:$S,'Live Collections'!$D:$D,Disbursements!B224,'Live Collections'!$G:$G,Disbursements!C224)</f>
        <v>240000</v>
      </c>
      <c r="AL224" s="540">
        <f>SUMIFS('Live Collections'!$T:$T,'Live Collections'!$D:$D,Disbursements!B224,'Live Collections'!$G:$G,Disbursements!C224)</f>
        <v>1200000</v>
      </c>
      <c r="AM224" s="541">
        <f t="shared" si="114"/>
        <v>1440000</v>
      </c>
      <c r="AN224" s="542">
        <f t="shared" si="115"/>
        <v>0</v>
      </c>
      <c r="AO224" s="542">
        <f t="shared" si="116"/>
        <v>0</v>
      </c>
      <c r="AP224" s="543">
        <f t="shared" si="117"/>
        <v>0</v>
      </c>
      <c r="AQ224" s="544" t="str">
        <f t="shared" ca="1" si="118"/>
        <v/>
      </c>
      <c r="AR224" s="545">
        <f t="shared" ca="1" si="119"/>
        <v>0</v>
      </c>
      <c r="AS224" s="545">
        <f ca="1">IFERROR(CEILING($AR224*VLOOKUP($I224,Ref!$B$23:$E$29,4,0),1),0)</f>
        <v>0</v>
      </c>
      <c r="AT224" s="545" t="str">
        <f>IF(A224="","",IF(AP224&lt;=1,"Cleared",IF(AS224=0,"Clean",VLOOKUP($AS224,Ref!$G$23:$H$28,2))))</f>
        <v>Cleared</v>
      </c>
      <c r="AU224" s="546" t="str">
        <f t="shared" si="120"/>
        <v>Ok</v>
      </c>
    </row>
    <row r="225" spans="1:47" ht="15" customHeight="1" x14ac:dyDescent="0.15">
      <c r="A225" s="575">
        <v>44455</v>
      </c>
      <c r="B225" s="523">
        <v>50</v>
      </c>
      <c r="C225" s="523">
        <v>220</v>
      </c>
      <c r="D225" s="523">
        <v>2</v>
      </c>
      <c r="E225" s="579" t="s">
        <v>1274</v>
      </c>
      <c r="F225" s="580">
        <v>400000</v>
      </c>
      <c r="G225" s="524">
        <v>3</v>
      </c>
      <c r="H225" s="555">
        <v>0.05</v>
      </c>
      <c r="I225" s="560" t="s">
        <v>859</v>
      </c>
      <c r="J225" s="523" t="s">
        <v>862</v>
      </c>
      <c r="K225" s="528" t="str">
        <f>IFERROR(VLOOKUP($B225,'Clients-Live'!$A:$C,3,0),"")</f>
        <v>WACHEKE HARRIET</v>
      </c>
      <c r="L225" s="528">
        <f>IF(E225="STL",Pricing!$D$38,IF(A225="",0,IF(A225&lt;Pricing!$C$25,Pricing!$D$25,VLOOKUP(Disbursements!$F225,Pricing!$B$29:$D$32,3))))</f>
        <v>15000</v>
      </c>
      <c r="M225" s="528">
        <f>IF(E225="STL",0,IF(F225&gt;0,Pricing!$D$21,0))</f>
        <v>5000</v>
      </c>
      <c r="N225" s="529">
        <f>IF(E225="STL",F225*Pricing!$D$40,IF(A225&lt;=Pricing!$C$4,0,IF(AND(A225&gt;Pricing!$C$4,Disbursements!A225&lt;=Pricing!$C$5),F225*Pricing!$E$5,IF(AND(A225&gt;Pricing!$C$5,Disbursements!A225&lt;=Pricing!$C$7),VLOOKUP(F225,Pricing!$D$7:$E$8,2)*Disbursements!F225,F225*Pricing!$E$9))))</f>
        <v>4000</v>
      </c>
      <c r="O225" s="528">
        <f>IF(E225="STL",0,IF($F225&gt;0,$F225*Pricing!$D$17,0))</f>
        <v>40000</v>
      </c>
      <c r="P225" s="530">
        <f t="shared" si="100"/>
        <v>60000</v>
      </c>
      <c r="Q225" s="531">
        <f>IF($A225="","",$G225/VLOOKUP($I225,Ref!$B$23:$D$29,2,0))</f>
        <v>3</v>
      </c>
      <c r="R225" s="530">
        <f t="shared" si="101"/>
        <v>460000</v>
      </c>
      <c r="S225" s="532">
        <f t="shared" si="95"/>
        <v>153333.33333333334</v>
      </c>
      <c r="T225" s="531">
        <f t="shared" si="102"/>
        <v>154000</v>
      </c>
      <c r="U225" s="533">
        <f t="shared" si="103"/>
        <v>462000</v>
      </c>
      <c r="V225" s="531">
        <f t="shared" si="104"/>
        <v>133333.33333333334</v>
      </c>
      <c r="W225" s="531">
        <f t="shared" si="105"/>
        <v>20666.666666666657</v>
      </c>
      <c r="X225" s="534">
        <f t="shared" si="106"/>
        <v>61999.999999999971</v>
      </c>
      <c r="Y225" s="535">
        <f>IF($A225="","",IF($I225="weekly",$A225+7,EDATE($A225,VLOOKUP($I225,Ref!$B$24:$C$29,2,0))))</f>
        <v>44485</v>
      </c>
      <c r="Z225" s="536" t="str">
        <f t="shared" si="107"/>
        <v>Sat</v>
      </c>
      <c r="AA225" s="531">
        <f t="shared" si="108"/>
        <v>30</v>
      </c>
      <c r="AB225" s="535">
        <f t="shared" si="96"/>
        <v>44546</v>
      </c>
      <c r="AC225" s="537">
        <f t="shared" si="97"/>
        <v>91</v>
      </c>
      <c r="AD225" s="538" t="str">
        <f t="shared" ca="1" si="98"/>
        <v>Expired</v>
      </c>
      <c r="AE225" s="537">
        <f t="shared" ca="1" si="99"/>
        <v>0</v>
      </c>
      <c r="AF225" s="539">
        <f t="shared" ca="1" si="109"/>
        <v>3</v>
      </c>
      <c r="AG225" s="531">
        <f t="shared" ca="1" si="110"/>
        <v>462000</v>
      </c>
      <c r="AH225" s="531">
        <f t="shared" ca="1" si="111"/>
        <v>61999.999999999971</v>
      </c>
      <c r="AI225" s="531">
        <f t="shared" ca="1" si="112"/>
        <v>400000</v>
      </c>
      <c r="AJ225" s="531">
        <f t="shared" ca="1" si="113"/>
        <v>0</v>
      </c>
      <c r="AK225" s="540">
        <f>SUMIFS('Live Collections'!$S:$S,'Live Collections'!$D:$D,Disbursements!B225,'Live Collections'!$G:$G,Disbursements!C225)</f>
        <v>61999.999999999971</v>
      </c>
      <c r="AL225" s="540">
        <f>SUMIFS('Live Collections'!$T:$T,'Live Collections'!$D:$D,Disbursements!B225,'Live Collections'!$G:$G,Disbursements!C225)</f>
        <v>400000</v>
      </c>
      <c r="AM225" s="541">
        <f t="shared" si="114"/>
        <v>462000</v>
      </c>
      <c r="AN225" s="542">
        <f t="shared" si="115"/>
        <v>0</v>
      </c>
      <c r="AO225" s="542">
        <f t="shared" si="116"/>
        <v>0</v>
      </c>
      <c r="AP225" s="543">
        <f t="shared" si="117"/>
        <v>0</v>
      </c>
      <c r="AQ225" s="544" t="str">
        <f t="shared" ca="1" si="118"/>
        <v/>
      </c>
      <c r="AR225" s="545">
        <f t="shared" ca="1" si="119"/>
        <v>0</v>
      </c>
      <c r="AS225" s="545">
        <f ca="1">IFERROR(CEILING($AR225*VLOOKUP($I225,Ref!$B$23:$E$29,4,0),1),0)</f>
        <v>0</v>
      </c>
      <c r="AT225" s="545" t="str">
        <f>IF(A225="","",IF(AP225&lt;=1,"Cleared",IF(AS225=0,"Clean",VLOOKUP($AS225,Ref!$G$23:$H$28,2))))</f>
        <v>Cleared</v>
      </c>
      <c r="AU225" s="546" t="str">
        <f t="shared" si="120"/>
        <v>Ok</v>
      </c>
    </row>
    <row r="226" spans="1:47" ht="15" customHeight="1" x14ac:dyDescent="0.15">
      <c r="A226" s="575">
        <v>44455</v>
      </c>
      <c r="B226" s="523">
        <v>200</v>
      </c>
      <c r="C226" s="523">
        <v>222</v>
      </c>
      <c r="D226" s="523">
        <v>1</v>
      </c>
      <c r="E226" s="579" t="s">
        <v>1274</v>
      </c>
      <c r="F226" s="580">
        <v>300000</v>
      </c>
      <c r="G226" s="524">
        <v>3</v>
      </c>
      <c r="H226" s="555">
        <v>0.05</v>
      </c>
      <c r="I226" s="560" t="s">
        <v>859</v>
      </c>
      <c r="J226" s="523" t="s">
        <v>862</v>
      </c>
      <c r="K226" s="528" t="str">
        <f>IFERROR(VLOOKUP($B226,'Clients-Live'!$A:$C,3,0),"")</f>
        <v>SERIYA FLORENCE</v>
      </c>
      <c r="L226" s="528">
        <f>IF(E226="STL",Pricing!$D$38,IF(A226="",0,IF(A226&lt;Pricing!$C$25,Pricing!$D$25,VLOOKUP(Disbursements!$F226,Pricing!$B$29:$D$32,3))))</f>
        <v>15000</v>
      </c>
      <c r="M226" s="528">
        <f>IF(E226="STL",0,IF(F226&gt;0,Pricing!$D$21,0))</f>
        <v>5000</v>
      </c>
      <c r="N226" s="529">
        <f>IF(E226="STL",F226*Pricing!$D$40,IF(A226&lt;=Pricing!$C$4,0,IF(AND(A226&gt;Pricing!$C$4,Disbursements!A226&lt;=Pricing!$C$5),F226*Pricing!$E$5,IF(AND(A226&gt;Pricing!$C$5,Disbursements!A226&lt;=Pricing!$C$7),VLOOKUP(F226,Pricing!$D$7:$E$8,2)*Disbursements!F226,F226*Pricing!$E$9))))</f>
        <v>3000</v>
      </c>
      <c r="O226" s="528">
        <f>IF(E226="STL",0,IF($F226&gt;0,$F226*Pricing!$D$17,0))</f>
        <v>30000</v>
      </c>
      <c r="P226" s="530">
        <f t="shared" si="100"/>
        <v>45000</v>
      </c>
      <c r="Q226" s="531">
        <f>IF($A226="","",$G226/VLOOKUP($I226,Ref!$B$23:$D$29,2,0))</f>
        <v>3</v>
      </c>
      <c r="R226" s="530">
        <f t="shared" si="101"/>
        <v>345000</v>
      </c>
      <c r="S226" s="532">
        <f t="shared" si="95"/>
        <v>115000</v>
      </c>
      <c r="T226" s="531">
        <f t="shared" si="102"/>
        <v>115000</v>
      </c>
      <c r="U226" s="533">
        <f t="shared" si="103"/>
        <v>345000</v>
      </c>
      <c r="V226" s="531">
        <f t="shared" si="104"/>
        <v>100000</v>
      </c>
      <c r="W226" s="531">
        <f t="shared" si="105"/>
        <v>15000</v>
      </c>
      <c r="X226" s="534">
        <f t="shared" si="106"/>
        <v>45000</v>
      </c>
      <c r="Y226" s="535">
        <f>IF($A226="","",IF($I226="weekly",$A226+7,EDATE($A226,VLOOKUP($I226,Ref!$B$24:$C$29,2,0))))</f>
        <v>44485</v>
      </c>
      <c r="Z226" s="536" t="str">
        <f t="shared" si="107"/>
        <v>Sat</v>
      </c>
      <c r="AA226" s="531">
        <f t="shared" si="108"/>
        <v>30</v>
      </c>
      <c r="AB226" s="535">
        <f t="shared" si="96"/>
        <v>44546</v>
      </c>
      <c r="AC226" s="537">
        <f t="shared" si="97"/>
        <v>91</v>
      </c>
      <c r="AD226" s="538" t="str">
        <f t="shared" ca="1" si="98"/>
        <v>Expired</v>
      </c>
      <c r="AE226" s="537">
        <f t="shared" ca="1" si="99"/>
        <v>0</v>
      </c>
      <c r="AF226" s="539">
        <f t="shared" ca="1" si="109"/>
        <v>3</v>
      </c>
      <c r="AG226" s="531">
        <f t="shared" ca="1" si="110"/>
        <v>345000</v>
      </c>
      <c r="AH226" s="531">
        <f t="shared" ca="1" si="111"/>
        <v>45000</v>
      </c>
      <c r="AI226" s="531">
        <f t="shared" ca="1" si="112"/>
        <v>300000</v>
      </c>
      <c r="AJ226" s="531">
        <f t="shared" ca="1" si="113"/>
        <v>0</v>
      </c>
      <c r="AK226" s="540">
        <f>SUMIFS('Live Collections'!$S:$S,'Live Collections'!$D:$D,Disbursements!B226,'Live Collections'!$G:$G,Disbursements!C226)</f>
        <v>45000</v>
      </c>
      <c r="AL226" s="540">
        <f>SUMIFS('Live Collections'!$T:$T,'Live Collections'!$D:$D,Disbursements!B226,'Live Collections'!$G:$G,Disbursements!C226)</f>
        <v>300000</v>
      </c>
      <c r="AM226" s="541">
        <f t="shared" si="114"/>
        <v>345000</v>
      </c>
      <c r="AN226" s="542">
        <f t="shared" si="115"/>
        <v>0</v>
      </c>
      <c r="AO226" s="542">
        <f t="shared" si="116"/>
        <v>0</v>
      </c>
      <c r="AP226" s="543">
        <f t="shared" si="117"/>
        <v>0</v>
      </c>
      <c r="AQ226" s="544" t="str">
        <f t="shared" ca="1" si="118"/>
        <v/>
      </c>
      <c r="AR226" s="545">
        <f t="shared" ca="1" si="119"/>
        <v>0</v>
      </c>
      <c r="AS226" s="545">
        <f ca="1">IFERROR(CEILING($AR226*VLOOKUP($I226,Ref!$B$23:$E$29,4,0),1),0)</f>
        <v>0</v>
      </c>
      <c r="AT226" s="545" t="str">
        <f>IF(A226="","",IF(AP226&lt;=1,"Cleared",IF(AS226=0,"Clean",VLOOKUP($AS226,Ref!$G$23:$H$28,2))))</f>
        <v>Cleared</v>
      </c>
      <c r="AU226" s="546" t="str">
        <f t="shared" si="120"/>
        <v>Ok</v>
      </c>
    </row>
    <row r="227" spans="1:47" ht="15" customHeight="1" x14ac:dyDescent="0.15">
      <c r="A227" s="575">
        <v>44457</v>
      </c>
      <c r="B227" s="523">
        <v>218</v>
      </c>
      <c r="C227" s="523">
        <v>223</v>
      </c>
      <c r="D227" s="523">
        <v>1</v>
      </c>
      <c r="E227" s="579" t="s">
        <v>1274</v>
      </c>
      <c r="F227" s="580">
        <v>1500000</v>
      </c>
      <c r="G227" s="524">
        <v>6</v>
      </c>
      <c r="H227" s="555">
        <v>0.05</v>
      </c>
      <c r="I227" s="560" t="s">
        <v>859</v>
      </c>
      <c r="J227" s="523" t="s">
        <v>864</v>
      </c>
      <c r="K227" s="528" t="str">
        <f>IFERROR(VLOOKUP($B227,'Clients-Live'!$A:$C,3,0),"")</f>
        <v>BUSURA OMAR</v>
      </c>
      <c r="L227" s="528">
        <f>IF(E227="STL",Pricing!$D$38,IF(A227="",0,IF(A227&lt;Pricing!$C$25,Pricing!$D$25,VLOOKUP(Disbursements!$F227,Pricing!$B$29:$D$32,3))))</f>
        <v>25000</v>
      </c>
      <c r="M227" s="528">
        <f>IF(E227="STL",0,IF(F227&gt;0,Pricing!$D$21,0))</f>
        <v>5000</v>
      </c>
      <c r="N227" s="529">
        <f>IF(E227="STL",F227*Pricing!$D$40,IF(A227&lt;=Pricing!$C$4,0,IF(AND(A227&gt;Pricing!$C$4,Disbursements!A227&lt;=Pricing!$C$5),F227*Pricing!$E$5,IF(AND(A227&gt;Pricing!$C$5,Disbursements!A227&lt;=Pricing!$C$7),VLOOKUP(F227,Pricing!$D$7:$E$8,2)*Disbursements!F227,F227*Pricing!$E$9))))</f>
        <v>30000</v>
      </c>
      <c r="O227" s="528">
        <f>IF(E227="STL",0,IF($F227&gt;0,$F227*Pricing!$D$17,0))</f>
        <v>150000</v>
      </c>
      <c r="P227" s="530">
        <f t="shared" si="100"/>
        <v>450000</v>
      </c>
      <c r="Q227" s="531">
        <f>IF($A227="","",$G227/VLOOKUP($I227,Ref!$B$23:$D$29,2,0))</f>
        <v>6</v>
      </c>
      <c r="R227" s="530">
        <f t="shared" si="101"/>
        <v>1950000</v>
      </c>
      <c r="S227" s="532">
        <f t="shared" si="95"/>
        <v>325000</v>
      </c>
      <c r="T227" s="531">
        <f t="shared" si="102"/>
        <v>325000</v>
      </c>
      <c r="U227" s="533">
        <f t="shared" si="103"/>
        <v>1950000</v>
      </c>
      <c r="V227" s="531">
        <f t="shared" si="104"/>
        <v>250000</v>
      </c>
      <c r="W227" s="531">
        <f t="shared" si="105"/>
        <v>75000</v>
      </c>
      <c r="X227" s="534">
        <f t="shared" si="106"/>
        <v>450000</v>
      </c>
      <c r="Y227" s="535">
        <f>IF($A227="","",IF($I227="weekly",$A227+7,EDATE($A227,VLOOKUP($I227,Ref!$B$24:$C$29,2,0))))</f>
        <v>44487</v>
      </c>
      <c r="Z227" s="536" t="str">
        <f t="shared" si="107"/>
        <v>Mon</v>
      </c>
      <c r="AA227" s="531">
        <f t="shared" si="108"/>
        <v>30</v>
      </c>
      <c r="AB227" s="535">
        <f t="shared" si="96"/>
        <v>44638</v>
      </c>
      <c r="AC227" s="537">
        <f t="shared" si="97"/>
        <v>181</v>
      </c>
      <c r="AD227" s="538" t="str">
        <f t="shared" ca="1" si="98"/>
        <v>Expired</v>
      </c>
      <c r="AE227" s="537">
        <f t="shared" ca="1" si="99"/>
        <v>0</v>
      </c>
      <c r="AF227" s="539">
        <f t="shared" ca="1" si="109"/>
        <v>6</v>
      </c>
      <c r="AG227" s="531">
        <f t="shared" ca="1" si="110"/>
        <v>1950000</v>
      </c>
      <c r="AH227" s="531">
        <f t="shared" ca="1" si="111"/>
        <v>450000</v>
      </c>
      <c r="AI227" s="531">
        <f t="shared" ca="1" si="112"/>
        <v>1500000</v>
      </c>
      <c r="AJ227" s="531">
        <f t="shared" ca="1" si="113"/>
        <v>0</v>
      </c>
      <c r="AK227" s="540">
        <f>SUMIFS('Live Collections'!$S:$S,'Live Collections'!$D:$D,Disbursements!B227,'Live Collections'!$G:$G,Disbursements!C227)</f>
        <v>450000</v>
      </c>
      <c r="AL227" s="540">
        <f>SUMIFS('Live Collections'!$T:$T,'Live Collections'!$D:$D,Disbursements!B227,'Live Collections'!$G:$G,Disbursements!C227)</f>
        <v>1500000</v>
      </c>
      <c r="AM227" s="541">
        <f t="shared" si="114"/>
        <v>1950000</v>
      </c>
      <c r="AN227" s="542">
        <f t="shared" si="115"/>
        <v>0</v>
      </c>
      <c r="AO227" s="542">
        <f t="shared" si="116"/>
        <v>0</v>
      </c>
      <c r="AP227" s="543">
        <f t="shared" si="117"/>
        <v>0</v>
      </c>
      <c r="AQ227" s="544" t="str">
        <f t="shared" ca="1" si="118"/>
        <v/>
      </c>
      <c r="AR227" s="545">
        <f t="shared" ca="1" si="119"/>
        <v>0</v>
      </c>
      <c r="AS227" s="545">
        <f ca="1">IFERROR(CEILING($AR227*VLOOKUP($I227,Ref!$B$23:$E$29,4,0),1),0)</f>
        <v>0</v>
      </c>
      <c r="AT227" s="545" t="str">
        <f>IF(A227="","",IF(AP227&lt;=1,"Cleared",IF(AS227=0,"Clean",VLOOKUP($AS227,Ref!$G$23:$H$28,2))))</f>
        <v>Cleared</v>
      </c>
      <c r="AU227" s="546" t="str">
        <f t="shared" si="120"/>
        <v>Ok</v>
      </c>
    </row>
    <row r="228" spans="1:47" ht="15" customHeight="1" x14ac:dyDescent="0.15">
      <c r="A228" s="575">
        <v>44457</v>
      </c>
      <c r="B228" s="523">
        <v>220</v>
      </c>
      <c r="C228" s="523">
        <v>224</v>
      </c>
      <c r="D228" s="523">
        <v>1</v>
      </c>
      <c r="E228" s="579" t="s">
        <v>1274</v>
      </c>
      <c r="F228" s="580">
        <v>2500000</v>
      </c>
      <c r="G228" s="524">
        <v>6</v>
      </c>
      <c r="H228" s="555">
        <v>0.05</v>
      </c>
      <c r="I228" s="560" t="s">
        <v>859</v>
      </c>
      <c r="J228" s="523" t="s">
        <v>862</v>
      </c>
      <c r="K228" s="528" t="str">
        <f>IFERROR(VLOOKUP($B228,'Clients-Live'!$A:$C,3,0),"")</f>
        <v>DRAGUMA SIRAJI</v>
      </c>
      <c r="L228" s="528">
        <f>IF(E228="STL",Pricing!$D$38,IF(A228="",0,IF(A228&lt;Pricing!$C$25,Pricing!$D$25,VLOOKUP(Disbursements!$F228,Pricing!$B$29:$D$32,3))))</f>
        <v>30000</v>
      </c>
      <c r="M228" s="528">
        <f>IF(E228="STL",0,IF(F228&gt;0,Pricing!$D$21,0))</f>
        <v>5000</v>
      </c>
      <c r="N228" s="529">
        <f>IF(E228="STL",F228*Pricing!$D$40,IF(A228&lt;=Pricing!$C$4,0,IF(AND(A228&gt;Pricing!$C$4,Disbursements!A228&lt;=Pricing!$C$5),F228*Pricing!$E$5,IF(AND(A228&gt;Pricing!$C$5,Disbursements!A228&lt;=Pricing!$C$7),VLOOKUP(F228,Pricing!$D$7:$E$8,2)*Disbursements!F228,F228*Pricing!$E$9))))</f>
        <v>50000</v>
      </c>
      <c r="O228" s="528">
        <f>IF(E228="STL",0,IF($F228&gt;0,$F228*Pricing!$D$17,0))</f>
        <v>250000</v>
      </c>
      <c r="P228" s="530">
        <f t="shared" si="100"/>
        <v>750000</v>
      </c>
      <c r="Q228" s="531">
        <f>IF($A228="","",$G228/VLOOKUP($I228,Ref!$B$23:$D$29,2,0))</f>
        <v>6</v>
      </c>
      <c r="R228" s="530">
        <f t="shared" si="101"/>
        <v>3250000</v>
      </c>
      <c r="S228" s="532">
        <f t="shared" si="95"/>
        <v>541666.66666666663</v>
      </c>
      <c r="T228" s="531">
        <f t="shared" si="102"/>
        <v>542000</v>
      </c>
      <c r="U228" s="533">
        <f t="shared" si="103"/>
        <v>3252000</v>
      </c>
      <c r="V228" s="531">
        <f t="shared" si="104"/>
        <v>416666.66666666669</v>
      </c>
      <c r="W228" s="531">
        <f t="shared" si="105"/>
        <v>125333.33333333331</v>
      </c>
      <c r="X228" s="534">
        <f t="shared" si="106"/>
        <v>751999.99999999988</v>
      </c>
      <c r="Y228" s="535">
        <f>IF($A228="","",IF($I228="weekly",$A228+7,EDATE($A228,VLOOKUP($I228,Ref!$B$24:$C$29,2,0))))</f>
        <v>44487</v>
      </c>
      <c r="Z228" s="536" t="str">
        <f t="shared" si="107"/>
        <v>Mon</v>
      </c>
      <c r="AA228" s="531">
        <f t="shared" si="108"/>
        <v>30</v>
      </c>
      <c r="AB228" s="535">
        <f t="shared" si="96"/>
        <v>44638</v>
      </c>
      <c r="AC228" s="537">
        <f t="shared" si="97"/>
        <v>181</v>
      </c>
      <c r="AD228" s="538" t="str">
        <f t="shared" ca="1" si="98"/>
        <v>Expired</v>
      </c>
      <c r="AE228" s="537">
        <f t="shared" ca="1" si="99"/>
        <v>0</v>
      </c>
      <c r="AF228" s="539">
        <f t="shared" ca="1" si="109"/>
        <v>6</v>
      </c>
      <c r="AG228" s="531">
        <f t="shared" ca="1" si="110"/>
        <v>3252000</v>
      </c>
      <c r="AH228" s="531">
        <f t="shared" ca="1" si="111"/>
        <v>751999.99999999988</v>
      </c>
      <c r="AI228" s="531">
        <f t="shared" ca="1" si="112"/>
        <v>2500000</v>
      </c>
      <c r="AJ228" s="531">
        <f t="shared" ca="1" si="113"/>
        <v>0</v>
      </c>
      <c r="AK228" s="540">
        <f>SUMIFS('Live Collections'!$S:$S,'Live Collections'!$D:$D,Disbursements!B228,'Live Collections'!$G:$G,Disbursements!C228)</f>
        <v>751999.99999999988</v>
      </c>
      <c r="AL228" s="540">
        <f>SUMIFS('Live Collections'!$T:$T,'Live Collections'!$D:$D,Disbursements!B228,'Live Collections'!$G:$G,Disbursements!C228)</f>
        <v>2500000</v>
      </c>
      <c r="AM228" s="541">
        <f t="shared" si="114"/>
        <v>3252000</v>
      </c>
      <c r="AN228" s="542">
        <f t="shared" si="115"/>
        <v>0</v>
      </c>
      <c r="AO228" s="542">
        <f t="shared" si="116"/>
        <v>0</v>
      </c>
      <c r="AP228" s="543">
        <f t="shared" si="117"/>
        <v>0</v>
      </c>
      <c r="AQ228" s="544" t="str">
        <f t="shared" ca="1" si="118"/>
        <v/>
      </c>
      <c r="AR228" s="545">
        <f t="shared" ca="1" si="119"/>
        <v>0</v>
      </c>
      <c r="AS228" s="545">
        <f ca="1">IFERROR(CEILING($AR228*VLOOKUP($I228,Ref!$B$23:$E$29,4,0),1),0)</f>
        <v>0</v>
      </c>
      <c r="AT228" s="545" t="str">
        <f>IF(A228="","",IF(AP228&lt;=1,"Cleared",IF(AS228=0,"Clean",VLOOKUP($AS228,Ref!$G$23:$H$28,2))))</f>
        <v>Cleared</v>
      </c>
      <c r="AU228" s="546" t="str">
        <f t="shared" si="120"/>
        <v>Ok</v>
      </c>
    </row>
    <row r="229" spans="1:47" ht="15" customHeight="1" x14ac:dyDescent="0.15">
      <c r="A229" s="575">
        <v>44459</v>
      </c>
      <c r="B229" s="523">
        <v>221</v>
      </c>
      <c r="C229" s="523">
        <v>225</v>
      </c>
      <c r="D229" s="523">
        <v>1</v>
      </c>
      <c r="E229" s="579" t="s">
        <v>1274</v>
      </c>
      <c r="F229" s="580">
        <v>1000000</v>
      </c>
      <c r="G229" s="524">
        <v>4</v>
      </c>
      <c r="H229" s="555">
        <v>0.05</v>
      </c>
      <c r="I229" s="560" t="s">
        <v>859</v>
      </c>
      <c r="J229" s="523" t="s">
        <v>862</v>
      </c>
      <c r="K229" s="528" t="str">
        <f>IFERROR(VLOOKUP($B229,'Clients-Live'!$A:$C,3,0),"")</f>
        <v>NAMUDDU MARY</v>
      </c>
      <c r="L229" s="528">
        <f>IF(E229="STL",Pricing!$D$38,IF(A229="",0,IF(A229&lt;Pricing!$C$25,Pricing!$D$25,VLOOKUP(Disbursements!$F229,Pricing!$B$29:$D$32,3))))</f>
        <v>20000</v>
      </c>
      <c r="M229" s="528">
        <f>IF(E229="STL",0,IF(F229&gt;0,Pricing!$D$21,0))</f>
        <v>5000</v>
      </c>
      <c r="N229" s="529">
        <f>IF(E229="STL",F229*Pricing!$D$40,IF(A229&lt;=Pricing!$C$4,0,IF(AND(A229&gt;Pricing!$C$4,Disbursements!A229&lt;=Pricing!$C$5),F229*Pricing!$E$5,IF(AND(A229&gt;Pricing!$C$5,Disbursements!A229&lt;=Pricing!$C$7),VLOOKUP(F229,Pricing!$D$7:$E$8,2)*Disbursements!F229,F229*Pricing!$E$9))))</f>
        <v>10000</v>
      </c>
      <c r="O229" s="528">
        <f>IF(E229="STL",0,IF($F229&gt;0,$F229*Pricing!$D$17,0))</f>
        <v>100000</v>
      </c>
      <c r="P229" s="530">
        <f t="shared" si="100"/>
        <v>200000</v>
      </c>
      <c r="Q229" s="531">
        <f>IF($A229="","",$G229/VLOOKUP($I229,Ref!$B$23:$D$29,2,0))</f>
        <v>4</v>
      </c>
      <c r="R229" s="530">
        <f t="shared" si="101"/>
        <v>1200000</v>
      </c>
      <c r="S229" s="532">
        <f t="shared" si="95"/>
        <v>300000</v>
      </c>
      <c r="T229" s="531">
        <f t="shared" si="102"/>
        <v>300000</v>
      </c>
      <c r="U229" s="533">
        <f t="shared" si="103"/>
        <v>1200000</v>
      </c>
      <c r="V229" s="531">
        <f t="shared" si="104"/>
        <v>250000</v>
      </c>
      <c r="W229" s="531">
        <f t="shared" si="105"/>
        <v>50000</v>
      </c>
      <c r="X229" s="534">
        <f t="shared" si="106"/>
        <v>200000</v>
      </c>
      <c r="Y229" s="535">
        <f>IF($A229="","",IF($I229="weekly",$A229+7,EDATE($A229,VLOOKUP($I229,Ref!$B$24:$C$29,2,0))))</f>
        <v>44489</v>
      </c>
      <c r="Z229" s="536" t="str">
        <f t="shared" si="107"/>
        <v>Wed</v>
      </c>
      <c r="AA229" s="531">
        <f t="shared" si="108"/>
        <v>30</v>
      </c>
      <c r="AB229" s="535">
        <f t="shared" si="96"/>
        <v>44581</v>
      </c>
      <c r="AC229" s="537">
        <f t="shared" si="97"/>
        <v>122</v>
      </c>
      <c r="AD229" s="538" t="str">
        <f t="shared" ca="1" si="98"/>
        <v>Expired</v>
      </c>
      <c r="AE229" s="537">
        <f t="shared" ca="1" si="99"/>
        <v>0</v>
      </c>
      <c r="AF229" s="539">
        <f t="shared" ca="1" si="109"/>
        <v>4</v>
      </c>
      <c r="AG229" s="531">
        <f t="shared" ca="1" si="110"/>
        <v>1200000</v>
      </c>
      <c r="AH229" s="531">
        <f t="shared" ca="1" si="111"/>
        <v>200000</v>
      </c>
      <c r="AI229" s="531">
        <f t="shared" ca="1" si="112"/>
        <v>1000000</v>
      </c>
      <c r="AJ229" s="531">
        <f t="shared" ca="1" si="113"/>
        <v>0</v>
      </c>
      <c r="AK229" s="540">
        <f>SUMIFS('Live Collections'!$S:$S,'Live Collections'!$D:$D,Disbursements!B229,'Live Collections'!$G:$G,Disbursements!C229)</f>
        <v>200000</v>
      </c>
      <c r="AL229" s="540">
        <f>SUMIFS('Live Collections'!$T:$T,'Live Collections'!$D:$D,Disbursements!B229,'Live Collections'!$G:$G,Disbursements!C229)</f>
        <v>1000000</v>
      </c>
      <c r="AM229" s="541">
        <f t="shared" si="114"/>
        <v>1200000</v>
      </c>
      <c r="AN229" s="542">
        <f t="shared" si="115"/>
        <v>0</v>
      </c>
      <c r="AO229" s="542">
        <f t="shared" si="116"/>
        <v>0</v>
      </c>
      <c r="AP229" s="543">
        <f t="shared" si="117"/>
        <v>0</v>
      </c>
      <c r="AQ229" s="544" t="str">
        <f t="shared" ca="1" si="118"/>
        <v/>
      </c>
      <c r="AR229" s="545">
        <f t="shared" ca="1" si="119"/>
        <v>0</v>
      </c>
      <c r="AS229" s="545">
        <f ca="1">IFERROR(CEILING($AR229*VLOOKUP($I229,Ref!$B$23:$E$29,4,0),1),0)</f>
        <v>0</v>
      </c>
      <c r="AT229" s="545" t="str">
        <f>IF(A229="","",IF(AP229&lt;=1,"Cleared",IF(AS229=0,"Clean",VLOOKUP($AS229,Ref!$G$23:$H$28,2))))</f>
        <v>Cleared</v>
      </c>
      <c r="AU229" s="546" t="str">
        <f t="shared" si="120"/>
        <v>Ok</v>
      </c>
    </row>
    <row r="230" spans="1:47" ht="15" customHeight="1" x14ac:dyDescent="0.15">
      <c r="A230" s="575">
        <v>44460</v>
      </c>
      <c r="B230" s="523">
        <v>3</v>
      </c>
      <c r="C230" s="523">
        <v>227</v>
      </c>
      <c r="D230" s="523">
        <v>1</v>
      </c>
      <c r="E230" s="579" t="s">
        <v>1274</v>
      </c>
      <c r="F230" s="580">
        <v>1500000</v>
      </c>
      <c r="G230" s="524">
        <v>6</v>
      </c>
      <c r="H230" s="555">
        <v>0.05</v>
      </c>
      <c r="I230" s="560" t="s">
        <v>859</v>
      </c>
      <c r="J230" s="523" t="s">
        <v>864</v>
      </c>
      <c r="K230" s="528" t="str">
        <f>IFERROR(VLOOKUP($B230,'Clients-Live'!$A:$C,3,0),"")</f>
        <v>YEKA ARIJABU</v>
      </c>
      <c r="L230" s="528">
        <f>IF(E230="STL",Pricing!$D$38,IF(A230="",0,IF(A230&lt;Pricing!$C$25,Pricing!$D$25,VLOOKUP(Disbursements!$F230,Pricing!$B$29:$D$32,3))))</f>
        <v>25000</v>
      </c>
      <c r="M230" s="528">
        <f>IF(E230="STL",0,IF(F230&gt;0,Pricing!$D$21,0))</f>
        <v>5000</v>
      </c>
      <c r="N230" s="529">
        <f>IF(E230="STL",F230*Pricing!$D$40,IF(A230&lt;=Pricing!$C$4,0,IF(AND(A230&gt;Pricing!$C$4,Disbursements!A230&lt;=Pricing!$C$5),F230*Pricing!$E$5,IF(AND(A230&gt;Pricing!$C$5,Disbursements!A230&lt;=Pricing!$C$7),VLOOKUP(F230,Pricing!$D$7:$E$8,2)*Disbursements!F230,F230*Pricing!$E$9))))</f>
        <v>30000</v>
      </c>
      <c r="O230" s="528">
        <f>IF(E230="STL",0,IF($F230&gt;0,$F230*Pricing!$D$17,0))</f>
        <v>150000</v>
      </c>
      <c r="P230" s="530">
        <f t="shared" si="100"/>
        <v>450000</v>
      </c>
      <c r="Q230" s="531">
        <f>IF($A230="","",$G230/VLOOKUP($I230,Ref!$B$23:$D$29,2,0))</f>
        <v>6</v>
      </c>
      <c r="R230" s="530">
        <f t="shared" si="101"/>
        <v>1950000</v>
      </c>
      <c r="S230" s="532">
        <f t="shared" si="95"/>
        <v>325000</v>
      </c>
      <c r="T230" s="531">
        <f t="shared" si="102"/>
        <v>325000</v>
      </c>
      <c r="U230" s="533">
        <f t="shared" si="103"/>
        <v>1950000</v>
      </c>
      <c r="V230" s="531">
        <f t="shared" si="104"/>
        <v>250000</v>
      </c>
      <c r="W230" s="531">
        <f t="shared" si="105"/>
        <v>75000</v>
      </c>
      <c r="X230" s="534">
        <f t="shared" si="106"/>
        <v>450000</v>
      </c>
      <c r="Y230" s="535">
        <f>IF($A230="","",IF($I230="weekly",$A230+7,EDATE($A230,VLOOKUP($I230,Ref!$B$24:$C$29,2,0))))</f>
        <v>44490</v>
      </c>
      <c r="Z230" s="536" t="str">
        <f t="shared" si="107"/>
        <v>Thu</v>
      </c>
      <c r="AA230" s="531">
        <f t="shared" si="108"/>
        <v>30</v>
      </c>
      <c r="AB230" s="535">
        <f t="shared" si="96"/>
        <v>44641</v>
      </c>
      <c r="AC230" s="537">
        <f t="shared" si="97"/>
        <v>181</v>
      </c>
      <c r="AD230" s="538" t="str">
        <f t="shared" ca="1" si="98"/>
        <v>Expired</v>
      </c>
      <c r="AE230" s="537">
        <f t="shared" ca="1" si="99"/>
        <v>0</v>
      </c>
      <c r="AF230" s="539">
        <f t="shared" ca="1" si="109"/>
        <v>6</v>
      </c>
      <c r="AG230" s="531">
        <f t="shared" ca="1" si="110"/>
        <v>1950000</v>
      </c>
      <c r="AH230" s="531">
        <f t="shared" ca="1" si="111"/>
        <v>450000</v>
      </c>
      <c r="AI230" s="531">
        <f t="shared" ca="1" si="112"/>
        <v>1500000</v>
      </c>
      <c r="AJ230" s="531">
        <f t="shared" ca="1" si="113"/>
        <v>0</v>
      </c>
      <c r="AK230" s="540">
        <f>SUMIFS('Live Collections'!$S:$S,'Live Collections'!$D:$D,Disbursements!B230,'Live Collections'!$G:$G,Disbursements!C230)</f>
        <v>450000</v>
      </c>
      <c r="AL230" s="540">
        <f>SUMIFS('Live Collections'!$T:$T,'Live Collections'!$D:$D,Disbursements!B230,'Live Collections'!$G:$G,Disbursements!C230)</f>
        <v>1500000</v>
      </c>
      <c r="AM230" s="541">
        <f t="shared" si="114"/>
        <v>1950000</v>
      </c>
      <c r="AN230" s="542">
        <f t="shared" si="115"/>
        <v>0</v>
      </c>
      <c r="AO230" s="542">
        <f t="shared" si="116"/>
        <v>0</v>
      </c>
      <c r="AP230" s="543">
        <f t="shared" si="117"/>
        <v>0</v>
      </c>
      <c r="AQ230" s="544" t="str">
        <f t="shared" ca="1" si="118"/>
        <v/>
      </c>
      <c r="AR230" s="545">
        <f t="shared" ca="1" si="119"/>
        <v>0</v>
      </c>
      <c r="AS230" s="545">
        <f ca="1">IFERROR(CEILING($AR230*VLOOKUP($I230,Ref!$B$23:$E$29,4,0),1),0)</f>
        <v>0</v>
      </c>
      <c r="AT230" s="545" t="str">
        <f>IF(A230="","",IF(AP230&lt;=1,"Cleared",IF(AS230=0,"Clean",VLOOKUP($AS230,Ref!$G$23:$H$28,2))))</f>
        <v>Cleared</v>
      </c>
      <c r="AU230" s="546" t="str">
        <f t="shared" si="120"/>
        <v>Ok</v>
      </c>
    </row>
    <row r="231" spans="1:47" ht="15" customHeight="1" x14ac:dyDescent="0.15">
      <c r="A231" s="575">
        <v>44460</v>
      </c>
      <c r="B231" s="523">
        <v>56</v>
      </c>
      <c r="C231" s="523">
        <v>226</v>
      </c>
      <c r="D231" s="523">
        <v>2</v>
      </c>
      <c r="E231" s="579" t="s">
        <v>1274</v>
      </c>
      <c r="F231" s="580">
        <v>400000</v>
      </c>
      <c r="G231" s="524">
        <v>4</v>
      </c>
      <c r="H231" s="555">
        <v>0.05</v>
      </c>
      <c r="I231" s="560" t="s">
        <v>859</v>
      </c>
      <c r="J231" s="523" t="s">
        <v>864</v>
      </c>
      <c r="K231" s="528" t="str">
        <f>IFERROR(VLOOKUP($B231,'Clients-Live'!$A:$C,3,0),"")</f>
        <v>ALOMO ZABIBU</v>
      </c>
      <c r="L231" s="528">
        <f>IF(E231="STL",Pricing!$D$38,IF(A231="",0,IF(A231&lt;Pricing!$C$25,Pricing!$D$25,VLOOKUP(Disbursements!$F231,Pricing!$B$29:$D$32,3))))</f>
        <v>15000</v>
      </c>
      <c r="M231" s="528">
        <f>IF(E231="STL",0,IF(F231&gt;0,Pricing!$D$21,0))</f>
        <v>5000</v>
      </c>
      <c r="N231" s="529">
        <f>IF(E231="STL",F231*Pricing!$D$40,IF(A231&lt;=Pricing!$C$4,0,IF(AND(A231&gt;Pricing!$C$4,Disbursements!A231&lt;=Pricing!$C$5),F231*Pricing!$E$5,IF(AND(A231&gt;Pricing!$C$5,Disbursements!A231&lt;=Pricing!$C$7),VLOOKUP(F231,Pricing!$D$7:$E$8,2)*Disbursements!F231,F231*Pricing!$E$9))))</f>
        <v>4000</v>
      </c>
      <c r="O231" s="528">
        <f>IF(E231="STL",0,IF($F231&gt;0,$F231*Pricing!$D$17,0))</f>
        <v>40000</v>
      </c>
      <c r="P231" s="530">
        <f t="shared" si="100"/>
        <v>80000</v>
      </c>
      <c r="Q231" s="531">
        <f>IF($A231="","",$G231/VLOOKUP($I231,Ref!$B$23:$D$29,2,0))</f>
        <v>4</v>
      </c>
      <c r="R231" s="530">
        <f t="shared" si="101"/>
        <v>480000</v>
      </c>
      <c r="S231" s="532">
        <f t="shared" si="95"/>
        <v>120000</v>
      </c>
      <c r="T231" s="531">
        <f t="shared" si="102"/>
        <v>120000</v>
      </c>
      <c r="U231" s="533">
        <f t="shared" si="103"/>
        <v>480000</v>
      </c>
      <c r="V231" s="531">
        <f t="shared" si="104"/>
        <v>100000</v>
      </c>
      <c r="W231" s="531">
        <f t="shared" si="105"/>
        <v>20000</v>
      </c>
      <c r="X231" s="534">
        <f t="shared" si="106"/>
        <v>80000</v>
      </c>
      <c r="Y231" s="535">
        <f>IF($A231="","",IF($I231="weekly",$A231+7,EDATE($A231,VLOOKUP($I231,Ref!$B$24:$C$29,2,0))))</f>
        <v>44490</v>
      </c>
      <c r="Z231" s="536" t="str">
        <f t="shared" si="107"/>
        <v>Thu</v>
      </c>
      <c r="AA231" s="531">
        <f t="shared" si="108"/>
        <v>30</v>
      </c>
      <c r="AB231" s="535">
        <f t="shared" si="96"/>
        <v>44582</v>
      </c>
      <c r="AC231" s="537">
        <f t="shared" si="97"/>
        <v>122</v>
      </c>
      <c r="AD231" s="538" t="str">
        <f t="shared" ca="1" si="98"/>
        <v>Expired</v>
      </c>
      <c r="AE231" s="537">
        <f t="shared" ca="1" si="99"/>
        <v>0</v>
      </c>
      <c r="AF231" s="539">
        <f t="shared" ca="1" si="109"/>
        <v>4</v>
      </c>
      <c r="AG231" s="531">
        <f t="shared" ca="1" si="110"/>
        <v>480000</v>
      </c>
      <c r="AH231" s="531">
        <f t="shared" ca="1" si="111"/>
        <v>80000</v>
      </c>
      <c r="AI231" s="531">
        <f t="shared" ca="1" si="112"/>
        <v>400000</v>
      </c>
      <c r="AJ231" s="531">
        <f t="shared" ca="1" si="113"/>
        <v>0</v>
      </c>
      <c r="AK231" s="540">
        <f>SUMIFS('Live Collections'!$S:$S,'Live Collections'!$D:$D,Disbursements!B231,'Live Collections'!$G:$G,Disbursements!C231)</f>
        <v>50000</v>
      </c>
      <c r="AL231" s="540">
        <f>SUMIFS('Live Collections'!$T:$T,'Live Collections'!$D:$D,Disbursements!B231,'Live Collections'!$G:$G,Disbursements!C231)</f>
        <v>400000</v>
      </c>
      <c r="AM231" s="541">
        <f t="shared" si="114"/>
        <v>450000</v>
      </c>
      <c r="AN231" s="542">
        <f t="shared" si="115"/>
        <v>30000</v>
      </c>
      <c r="AO231" s="542">
        <f t="shared" si="116"/>
        <v>0</v>
      </c>
      <c r="AP231" s="543">
        <f t="shared" si="117"/>
        <v>30000</v>
      </c>
      <c r="AQ231" s="544">
        <f t="shared" ca="1" si="118"/>
        <v>30000</v>
      </c>
      <c r="AR231" s="545">
        <f t="shared" ca="1" si="119"/>
        <v>0.25</v>
      </c>
      <c r="AS231" s="545">
        <f ca="1">IFERROR(CEILING($AR231*VLOOKUP($I231,Ref!$B$23:$E$29,4,0),1),0)</f>
        <v>8</v>
      </c>
      <c r="AT231" s="545" t="str">
        <f ca="1">IF(A231="","",IF(AP231&lt;=1,"Cleared",IF(AS231=0,"Clean",VLOOKUP($AS231,Ref!$G$23:$H$28,2))))</f>
        <v>1.(0-30) Days</v>
      </c>
      <c r="AU231" s="546" t="str">
        <f t="shared" si="120"/>
        <v>Ok</v>
      </c>
    </row>
    <row r="232" spans="1:47" ht="15" customHeight="1" x14ac:dyDescent="0.15">
      <c r="A232" s="575">
        <v>44460</v>
      </c>
      <c r="B232" s="523">
        <v>116</v>
      </c>
      <c r="C232" s="523">
        <v>229</v>
      </c>
      <c r="D232" s="523">
        <v>2</v>
      </c>
      <c r="E232" s="579" t="s">
        <v>1274</v>
      </c>
      <c r="F232" s="580">
        <v>300000</v>
      </c>
      <c r="G232" s="524">
        <v>3</v>
      </c>
      <c r="H232" s="555">
        <v>0.05</v>
      </c>
      <c r="I232" s="560" t="s">
        <v>861</v>
      </c>
      <c r="J232" s="523" t="s">
        <v>864</v>
      </c>
      <c r="K232" s="528" t="str">
        <f>IFERROR(VLOOKUP($B232,'Clients-Live'!$A:$C,3,0),"")</f>
        <v>ONZIA LUCY</v>
      </c>
      <c r="L232" s="528">
        <f>IF(E232="STL",Pricing!$D$38,IF(A232="",0,IF(A232&lt;Pricing!$C$25,Pricing!$D$25,VLOOKUP(Disbursements!$F232,Pricing!$B$29:$D$32,3))))</f>
        <v>15000</v>
      </c>
      <c r="M232" s="528">
        <f>IF(E232="STL",0,IF(F232&gt;0,Pricing!$D$21,0))</f>
        <v>5000</v>
      </c>
      <c r="N232" s="529">
        <f>IF(E232="STL",F232*Pricing!$D$40,IF(A232&lt;=Pricing!$C$4,0,IF(AND(A232&gt;Pricing!$C$4,Disbursements!A232&lt;=Pricing!$C$5),F232*Pricing!$E$5,IF(AND(A232&gt;Pricing!$C$5,Disbursements!A232&lt;=Pricing!$C$7),VLOOKUP(F232,Pricing!$D$7:$E$8,2)*Disbursements!F232,F232*Pricing!$E$9))))</f>
        <v>3000</v>
      </c>
      <c r="O232" s="528">
        <f>IF(E232="STL",0,IF($F232&gt;0,$F232*Pricing!$D$17,0))</f>
        <v>30000</v>
      </c>
      <c r="P232" s="530">
        <f t="shared" si="100"/>
        <v>45000</v>
      </c>
      <c r="Q232" s="531">
        <f>IF($A232="","",$G232/VLOOKUP($I232,Ref!$B$23:$D$29,2,0))</f>
        <v>12</v>
      </c>
      <c r="R232" s="530">
        <f t="shared" si="101"/>
        <v>345000</v>
      </c>
      <c r="S232" s="532">
        <f t="shared" si="95"/>
        <v>28750</v>
      </c>
      <c r="T232" s="531">
        <f t="shared" si="102"/>
        <v>29000</v>
      </c>
      <c r="U232" s="533">
        <f t="shared" si="103"/>
        <v>348000</v>
      </c>
      <c r="V232" s="531">
        <f t="shared" si="104"/>
        <v>25000</v>
      </c>
      <c r="W232" s="531">
        <f t="shared" si="105"/>
        <v>4000</v>
      </c>
      <c r="X232" s="534">
        <f t="shared" si="106"/>
        <v>48000</v>
      </c>
      <c r="Y232" s="535">
        <f>IF($A232="","",IF($I232="weekly",$A232+7,EDATE($A232,VLOOKUP($I232,Ref!$B$24:$C$29,2,0))))</f>
        <v>44467</v>
      </c>
      <c r="Z232" s="536" t="str">
        <f t="shared" si="107"/>
        <v>Tue</v>
      </c>
      <c r="AA232" s="531">
        <f t="shared" si="108"/>
        <v>7</v>
      </c>
      <c r="AB232" s="535">
        <f t="shared" si="96"/>
        <v>44551</v>
      </c>
      <c r="AC232" s="537">
        <f t="shared" si="97"/>
        <v>91</v>
      </c>
      <c r="AD232" s="538" t="str">
        <f t="shared" ca="1" si="98"/>
        <v>Expired</v>
      </c>
      <c r="AE232" s="537">
        <f t="shared" ca="1" si="99"/>
        <v>0</v>
      </c>
      <c r="AF232" s="539">
        <f t="shared" ca="1" si="109"/>
        <v>12</v>
      </c>
      <c r="AG232" s="531">
        <f t="shared" ca="1" si="110"/>
        <v>348000</v>
      </c>
      <c r="AH232" s="531">
        <f t="shared" ca="1" si="111"/>
        <v>48000</v>
      </c>
      <c r="AI232" s="531">
        <f t="shared" ca="1" si="112"/>
        <v>300000</v>
      </c>
      <c r="AJ232" s="531">
        <f t="shared" ca="1" si="113"/>
        <v>0</v>
      </c>
      <c r="AK232" s="540">
        <f>SUMIFS('Live Collections'!$S:$S,'Live Collections'!$D:$D,Disbursements!B232,'Live Collections'!$G:$G,Disbursements!C232)</f>
        <v>48000</v>
      </c>
      <c r="AL232" s="540">
        <f>SUMIFS('Live Collections'!$T:$T,'Live Collections'!$D:$D,Disbursements!B232,'Live Collections'!$G:$G,Disbursements!C232)</f>
        <v>295800</v>
      </c>
      <c r="AM232" s="541">
        <f t="shared" si="114"/>
        <v>343800</v>
      </c>
      <c r="AN232" s="542">
        <f t="shared" si="115"/>
        <v>0</v>
      </c>
      <c r="AO232" s="542">
        <f t="shared" si="116"/>
        <v>4200</v>
      </c>
      <c r="AP232" s="543">
        <f t="shared" si="117"/>
        <v>4200</v>
      </c>
      <c r="AQ232" s="544">
        <f t="shared" ca="1" si="118"/>
        <v>4200</v>
      </c>
      <c r="AR232" s="545">
        <f t="shared" ca="1" si="119"/>
        <v>0.14482758620689656</v>
      </c>
      <c r="AS232" s="545">
        <f ca="1">IFERROR(CEILING($AR232*VLOOKUP($I232,Ref!$B$23:$E$29,4,0),1),0)</f>
        <v>2</v>
      </c>
      <c r="AT232" s="545" t="str">
        <f ca="1">IF(A232="","",IF(AP232&lt;=1,"Cleared",IF(AS232=0,"Clean",VLOOKUP($AS232,Ref!$G$23:$H$28,2))))</f>
        <v>1.(0-30) Days</v>
      </c>
      <c r="AU232" s="546" t="str">
        <f t="shared" si="120"/>
        <v>Ok</v>
      </c>
    </row>
    <row r="233" spans="1:47" ht="15" customHeight="1" x14ac:dyDescent="0.15">
      <c r="A233" s="575">
        <v>44460</v>
      </c>
      <c r="B233" s="523">
        <v>40</v>
      </c>
      <c r="C233" s="523">
        <v>230</v>
      </c>
      <c r="D233" s="523">
        <v>2</v>
      </c>
      <c r="E233" s="579" t="s">
        <v>1274</v>
      </c>
      <c r="F233" s="580">
        <v>1000000</v>
      </c>
      <c r="G233" s="524">
        <v>6</v>
      </c>
      <c r="H233" s="555">
        <v>0.05</v>
      </c>
      <c r="I233" s="560" t="s">
        <v>859</v>
      </c>
      <c r="J233" s="523" t="s">
        <v>863</v>
      </c>
      <c r="K233" s="528" t="str">
        <f>IFERROR(VLOOKUP($B233,'Clients-Live'!$A:$C,3,0),"")</f>
        <v>TABU JANE</v>
      </c>
      <c r="L233" s="528">
        <f>IF(E233="STL",Pricing!$D$38,IF(A233="",0,IF(A233&lt;Pricing!$C$25,Pricing!$D$25,VLOOKUP(Disbursements!$F233,Pricing!$B$29:$D$32,3))))</f>
        <v>20000</v>
      </c>
      <c r="M233" s="528">
        <f>IF(E233="STL",0,IF(F233&gt;0,Pricing!$D$21,0))</f>
        <v>5000</v>
      </c>
      <c r="N233" s="529">
        <f>IF(E233="STL",F233*Pricing!$D$40,IF(A233&lt;=Pricing!$C$4,0,IF(AND(A233&gt;Pricing!$C$4,Disbursements!A233&lt;=Pricing!$C$5),F233*Pricing!$E$5,IF(AND(A233&gt;Pricing!$C$5,Disbursements!A233&lt;=Pricing!$C$7),VLOOKUP(F233,Pricing!$D$7:$E$8,2)*Disbursements!F233,F233*Pricing!$E$9))))</f>
        <v>10000</v>
      </c>
      <c r="O233" s="528">
        <f>IF(E233="STL",0,IF($F233&gt;0,$F233*Pricing!$D$17,0))</f>
        <v>100000</v>
      </c>
      <c r="P233" s="530">
        <f t="shared" si="100"/>
        <v>300000</v>
      </c>
      <c r="Q233" s="531">
        <f>IF($A233="","",$G233/VLOOKUP($I233,Ref!$B$23:$D$29,2,0))</f>
        <v>6</v>
      </c>
      <c r="R233" s="530">
        <f t="shared" si="101"/>
        <v>1300000</v>
      </c>
      <c r="S233" s="532">
        <f t="shared" si="95"/>
        <v>216666.66666666666</v>
      </c>
      <c r="T233" s="531">
        <f t="shared" si="102"/>
        <v>217000</v>
      </c>
      <c r="U233" s="533">
        <f t="shared" si="103"/>
        <v>1302000</v>
      </c>
      <c r="V233" s="531">
        <f t="shared" si="104"/>
        <v>166666.66666666666</v>
      </c>
      <c r="W233" s="531">
        <f t="shared" si="105"/>
        <v>50333.333333333343</v>
      </c>
      <c r="X233" s="534">
        <f t="shared" si="106"/>
        <v>302000.00000000006</v>
      </c>
      <c r="Y233" s="535">
        <f>IF($A233="","",IF($I233="weekly",$A233+7,EDATE($A233,VLOOKUP($I233,Ref!$B$24:$C$29,2,0))))</f>
        <v>44490</v>
      </c>
      <c r="Z233" s="536" t="str">
        <f t="shared" si="107"/>
        <v>Thu</v>
      </c>
      <c r="AA233" s="531">
        <f t="shared" si="108"/>
        <v>30</v>
      </c>
      <c r="AB233" s="535">
        <f t="shared" si="96"/>
        <v>44641</v>
      </c>
      <c r="AC233" s="537">
        <f t="shared" si="97"/>
        <v>181</v>
      </c>
      <c r="AD233" s="538" t="str">
        <f t="shared" ca="1" si="98"/>
        <v>Expired</v>
      </c>
      <c r="AE233" s="537">
        <f t="shared" ca="1" si="99"/>
        <v>0</v>
      </c>
      <c r="AF233" s="539">
        <f t="shared" ca="1" si="109"/>
        <v>6</v>
      </c>
      <c r="AG233" s="531">
        <f t="shared" ca="1" si="110"/>
        <v>1302000</v>
      </c>
      <c r="AH233" s="531">
        <f t="shared" ca="1" si="111"/>
        <v>302000.00000000006</v>
      </c>
      <c r="AI233" s="531">
        <f t="shared" ca="1" si="112"/>
        <v>1000000</v>
      </c>
      <c r="AJ233" s="531">
        <f t="shared" ca="1" si="113"/>
        <v>0</v>
      </c>
      <c r="AK233" s="540">
        <f>SUMIFS('Live Collections'!$S:$S,'Live Collections'!$D:$D,Disbursements!B233,'Live Collections'!$G:$G,Disbursements!C233)</f>
        <v>302000.00000000006</v>
      </c>
      <c r="AL233" s="540">
        <f>SUMIFS('Live Collections'!$T:$T,'Live Collections'!$D:$D,Disbursements!B233,'Live Collections'!$G:$G,Disbursements!C233)</f>
        <v>750699.99999999988</v>
      </c>
      <c r="AM233" s="541">
        <f t="shared" si="114"/>
        <v>1052700</v>
      </c>
      <c r="AN233" s="542">
        <f t="shared" si="115"/>
        <v>0</v>
      </c>
      <c r="AO233" s="542">
        <f t="shared" si="116"/>
        <v>249300.00000000012</v>
      </c>
      <c r="AP233" s="543">
        <f t="shared" si="117"/>
        <v>249300.00000000012</v>
      </c>
      <c r="AQ233" s="544">
        <f t="shared" ca="1" si="118"/>
        <v>249300.00000000012</v>
      </c>
      <c r="AR233" s="545">
        <f t="shared" ca="1" si="119"/>
        <v>1.1488479262672817</v>
      </c>
      <c r="AS233" s="545">
        <f ca="1">IFERROR(CEILING($AR233*VLOOKUP($I233,Ref!$B$23:$E$29,4,0),1),0)</f>
        <v>35</v>
      </c>
      <c r="AT233" s="545" t="str">
        <f ca="1">IF(A233="","",IF(AP233&lt;=1,"Cleared",IF(AS233=0,"Clean",VLOOKUP($AS233,Ref!$G$23:$H$28,2))))</f>
        <v>2.(31-60) Days</v>
      </c>
      <c r="AU233" s="546" t="str">
        <f t="shared" si="120"/>
        <v>Ok</v>
      </c>
    </row>
    <row r="234" spans="1:47" ht="15" customHeight="1" x14ac:dyDescent="0.15">
      <c r="A234" s="575">
        <v>44460</v>
      </c>
      <c r="B234" s="523">
        <v>219</v>
      </c>
      <c r="C234" s="523">
        <v>228</v>
      </c>
      <c r="D234" s="523">
        <v>1</v>
      </c>
      <c r="E234" s="579" t="s">
        <v>1274</v>
      </c>
      <c r="F234" s="580">
        <v>200000</v>
      </c>
      <c r="G234" s="524">
        <v>3</v>
      </c>
      <c r="H234" s="555">
        <v>0.05</v>
      </c>
      <c r="I234" s="560" t="s">
        <v>859</v>
      </c>
      <c r="J234" s="523" t="s">
        <v>863</v>
      </c>
      <c r="K234" s="528" t="str">
        <f>IFERROR(VLOOKUP($B234,'Clients-Live'!$A:$C,3,0),"")</f>
        <v>MALIKO JAMILA</v>
      </c>
      <c r="L234" s="528">
        <f>IF(E234="STL",Pricing!$D$38,IF(A234="",0,IF(A234&lt;Pricing!$C$25,Pricing!$D$25,VLOOKUP(Disbursements!$F234,Pricing!$B$29:$D$32,3))))</f>
        <v>15000</v>
      </c>
      <c r="M234" s="528">
        <f>IF(E234="STL",0,IF(F234&gt;0,Pricing!$D$21,0))</f>
        <v>5000</v>
      </c>
      <c r="N234" s="529">
        <f>IF(E234="STL",F234*Pricing!$D$40,IF(A234&lt;=Pricing!$C$4,0,IF(AND(A234&gt;Pricing!$C$4,Disbursements!A234&lt;=Pricing!$C$5),F234*Pricing!$E$5,IF(AND(A234&gt;Pricing!$C$5,Disbursements!A234&lt;=Pricing!$C$7),VLOOKUP(F234,Pricing!$D$7:$E$8,2)*Disbursements!F234,F234*Pricing!$E$9))))</f>
        <v>2000</v>
      </c>
      <c r="O234" s="528">
        <f>IF(E234="STL",0,IF($F234&gt;0,$F234*Pricing!$D$17,0))</f>
        <v>20000</v>
      </c>
      <c r="P234" s="530">
        <f t="shared" si="100"/>
        <v>30000</v>
      </c>
      <c r="Q234" s="531">
        <f>IF($A234="","",$G234/VLOOKUP($I234,Ref!$B$23:$D$29,2,0))</f>
        <v>3</v>
      </c>
      <c r="R234" s="530">
        <f t="shared" si="101"/>
        <v>230000</v>
      </c>
      <c r="S234" s="532">
        <f t="shared" si="95"/>
        <v>76666.666666666672</v>
      </c>
      <c r="T234" s="531">
        <f t="shared" si="102"/>
        <v>77000</v>
      </c>
      <c r="U234" s="533">
        <f t="shared" si="103"/>
        <v>231000</v>
      </c>
      <c r="V234" s="531">
        <f t="shared" si="104"/>
        <v>66666.666666666672</v>
      </c>
      <c r="W234" s="531">
        <f t="shared" si="105"/>
        <v>10333.333333333328</v>
      </c>
      <c r="X234" s="534">
        <f t="shared" si="106"/>
        <v>30999.999999999985</v>
      </c>
      <c r="Y234" s="535">
        <f>IF($A234="","",IF($I234="weekly",$A234+7,EDATE($A234,VLOOKUP($I234,Ref!$B$24:$C$29,2,0))))</f>
        <v>44490</v>
      </c>
      <c r="Z234" s="536" t="str">
        <f t="shared" si="107"/>
        <v>Thu</v>
      </c>
      <c r="AA234" s="531">
        <f t="shared" si="108"/>
        <v>30</v>
      </c>
      <c r="AB234" s="535">
        <f t="shared" si="96"/>
        <v>44551</v>
      </c>
      <c r="AC234" s="537">
        <f t="shared" si="97"/>
        <v>91</v>
      </c>
      <c r="AD234" s="538" t="str">
        <f t="shared" ca="1" si="98"/>
        <v>Expired</v>
      </c>
      <c r="AE234" s="537">
        <f t="shared" ca="1" si="99"/>
        <v>0</v>
      </c>
      <c r="AF234" s="539">
        <f t="shared" ca="1" si="109"/>
        <v>3</v>
      </c>
      <c r="AG234" s="531">
        <f t="shared" ca="1" si="110"/>
        <v>231000</v>
      </c>
      <c r="AH234" s="531">
        <f t="shared" ca="1" si="111"/>
        <v>30999.999999999985</v>
      </c>
      <c r="AI234" s="531">
        <f t="shared" ca="1" si="112"/>
        <v>200000</v>
      </c>
      <c r="AJ234" s="531">
        <f t="shared" ca="1" si="113"/>
        <v>0</v>
      </c>
      <c r="AK234" s="540">
        <f>SUMIFS('Live Collections'!$S:$S,'Live Collections'!$D:$D,Disbursements!B234,'Live Collections'!$G:$G,Disbursements!C234)</f>
        <v>30999.999999999985</v>
      </c>
      <c r="AL234" s="540">
        <f>SUMIFS('Live Collections'!$T:$T,'Live Collections'!$D:$D,Disbursements!B234,'Live Collections'!$G:$G,Disbursements!C234)</f>
        <v>199000</v>
      </c>
      <c r="AM234" s="541">
        <f t="shared" si="114"/>
        <v>230000</v>
      </c>
      <c r="AN234" s="542">
        <f t="shared" si="115"/>
        <v>0</v>
      </c>
      <c r="AO234" s="542">
        <f t="shared" si="116"/>
        <v>1000</v>
      </c>
      <c r="AP234" s="543">
        <f t="shared" si="117"/>
        <v>1000</v>
      </c>
      <c r="AQ234" s="544">
        <f t="shared" ca="1" si="118"/>
        <v>1000</v>
      </c>
      <c r="AR234" s="545">
        <f t="shared" ca="1" si="119"/>
        <v>1.2987012987012988E-2</v>
      </c>
      <c r="AS234" s="545">
        <f ca="1">IFERROR(CEILING($AR234*VLOOKUP($I234,Ref!$B$23:$E$29,4,0),1),0)</f>
        <v>1</v>
      </c>
      <c r="AT234" s="545" t="str">
        <f ca="1">IF(A234="","",IF(AP234&lt;=1,"Cleared",IF(AS234=0,"Clean",VLOOKUP($AS234,Ref!$G$23:$H$28,2))))</f>
        <v>1.(0-30) Days</v>
      </c>
      <c r="AU234" s="546" t="str">
        <f t="shared" si="120"/>
        <v>Ok</v>
      </c>
    </row>
    <row r="235" spans="1:47" ht="15" customHeight="1" x14ac:dyDescent="0.15">
      <c r="A235" s="575">
        <v>44466</v>
      </c>
      <c r="B235" s="523">
        <v>226</v>
      </c>
      <c r="C235" s="523">
        <v>233</v>
      </c>
      <c r="D235" s="523">
        <v>1</v>
      </c>
      <c r="E235" s="579" t="s">
        <v>1277</v>
      </c>
      <c r="F235" s="580">
        <v>1000000</v>
      </c>
      <c r="G235" s="524">
        <v>1</v>
      </c>
      <c r="H235" s="555">
        <v>7.4999999999999997E-2</v>
      </c>
      <c r="I235" s="560" t="s">
        <v>859</v>
      </c>
      <c r="J235" s="523" t="s">
        <v>862</v>
      </c>
      <c r="K235" s="528" t="str">
        <f>IFERROR(VLOOKUP($B235,'Clients-Live'!$A:$C,3,0),"")</f>
        <v>MATURU NEEMA</v>
      </c>
      <c r="L235" s="528">
        <f>IF(E235="STL",Pricing!$D$38,IF(A235="",0,IF(A235&lt;Pricing!$C$25,Pricing!$D$25,VLOOKUP(Disbursements!$F235,Pricing!$B$29:$D$32,3))))</f>
        <v>20000</v>
      </c>
      <c r="M235" s="528">
        <f>IF(E235="STL",0,IF(F235&gt;0,Pricing!$D$21,0))</f>
        <v>5000</v>
      </c>
      <c r="N235" s="529">
        <f>IF(E235="STL",F235*Pricing!$D$40,IF(A235&lt;=Pricing!$C$4,0,IF(AND(A235&gt;Pricing!$C$4,Disbursements!A235&lt;=Pricing!$C$5),F235*Pricing!$E$5,IF(AND(A235&gt;Pricing!$C$5,Disbursements!A235&lt;=Pricing!$C$7),VLOOKUP(F235,Pricing!$D$7:$E$8,2)*Disbursements!F235,F235*Pricing!$E$9))))</f>
        <v>10000</v>
      </c>
      <c r="O235" s="528">
        <f>IF(E235="STL",0,IF($F235&gt;0,$F235*Pricing!$D$17,0))</f>
        <v>100000</v>
      </c>
      <c r="P235" s="530">
        <f t="shared" si="100"/>
        <v>75000</v>
      </c>
      <c r="Q235" s="531">
        <f>IF($A235="","",$G235/VLOOKUP($I235,Ref!$B$23:$D$29,2,0))</f>
        <v>1</v>
      </c>
      <c r="R235" s="530">
        <f t="shared" si="101"/>
        <v>1075000</v>
      </c>
      <c r="S235" s="532">
        <f t="shared" si="95"/>
        <v>1075000</v>
      </c>
      <c r="T235" s="531">
        <f t="shared" si="102"/>
        <v>1075000</v>
      </c>
      <c r="U235" s="533">
        <f t="shared" si="103"/>
        <v>1075000</v>
      </c>
      <c r="V235" s="531">
        <f t="shared" si="104"/>
        <v>1000000</v>
      </c>
      <c r="W235" s="531">
        <f t="shared" si="105"/>
        <v>75000</v>
      </c>
      <c r="X235" s="534">
        <f t="shared" si="106"/>
        <v>75000</v>
      </c>
      <c r="Y235" s="535">
        <f>IF($A235="","",IF($I235="weekly",$A235+7,EDATE($A235,VLOOKUP($I235,Ref!$B$24:$C$29,2,0))))</f>
        <v>44496</v>
      </c>
      <c r="Z235" s="536" t="str">
        <f t="shared" si="107"/>
        <v>Wed</v>
      </c>
      <c r="AA235" s="531">
        <f t="shared" si="108"/>
        <v>30</v>
      </c>
      <c r="AB235" s="535">
        <f t="shared" si="96"/>
        <v>44496</v>
      </c>
      <c r="AC235" s="537">
        <f t="shared" si="97"/>
        <v>30</v>
      </c>
      <c r="AD235" s="538" t="str">
        <f t="shared" ca="1" si="98"/>
        <v>Expired</v>
      </c>
      <c r="AE235" s="537">
        <f t="shared" ca="1" si="99"/>
        <v>0</v>
      </c>
      <c r="AF235" s="539">
        <f t="shared" ca="1" si="109"/>
        <v>1</v>
      </c>
      <c r="AG235" s="531">
        <f t="shared" ca="1" si="110"/>
        <v>1075000</v>
      </c>
      <c r="AH235" s="531">
        <f t="shared" ca="1" si="111"/>
        <v>75000</v>
      </c>
      <c r="AI235" s="531">
        <f t="shared" ca="1" si="112"/>
        <v>1000000</v>
      </c>
      <c r="AJ235" s="531">
        <f t="shared" ca="1" si="113"/>
        <v>0</v>
      </c>
      <c r="AK235" s="540">
        <f>SUMIFS('Live Collections'!$S:$S,'Live Collections'!$D:$D,Disbursements!B235,'Live Collections'!$G:$G,Disbursements!C235)</f>
        <v>75000</v>
      </c>
      <c r="AL235" s="540">
        <f>SUMIFS('Live Collections'!$T:$T,'Live Collections'!$D:$D,Disbursements!B235,'Live Collections'!$G:$G,Disbursements!C235)</f>
        <v>1000000</v>
      </c>
      <c r="AM235" s="541">
        <f t="shared" si="114"/>
        <v>1075000</v>
      </c>
      <c r="AN235" s="542">
        <f t="shared" si="115"/>
        <v>0</v>
      </c>
      <c r="AO235" s="542">
        <f t="shared" si="116"/>
        <v>0</v>
      </c>
      <c r="AP235" s="543">
        <f t="shared" si="117"/>
        <v>0</v>
      </c>
      <c r="AQ235" s="544" t="str">
        <f t="shared" ca="1" si="118"/>
        <v/>
      </c>
      <c r="AR235" s="545">
        <f t="shared" ca="1" si="119"/>
        <v>0</v>
      </c>
      <c r="AS235" s="545">
        <f ca="1">IFERROR(CEILING($AR235*VLOOKUP($I235,Ref!$B$23:$E$29,4,0),1),0)</f>
        <v>0</v>
      </c>
      <c r="AT235" s="545" t="str">
        <f>IF(A235="","",IF(AP235&lt;=1,"Cleared",IF(AS235=0,"Clean",VLOOKUP($AS235,Ref!$G$23:$H$28,2))))</f>
        <v>Cleared</v>
      </c>
      <c r="AU235" s="546" t="str">
        <f t="shared" si="120"/>
        <v>Ok</v>
      </c>
    </row>
    <row r="236" spans="1:47" ht="15" customHeight="1" x14ac:dyDescent="0.15">
      <c r="A236" s="575">
        <v>44467</v>
      </c>
      <c r="B236" s="523">
        <v>136</v>
      </c>
      <c r="C236" s="523">
        <v>234</v>
      </c>
      <c r="D236" s="523">
        <v>2</v>
      </c>
      <c r="E236" s="581" t="s">
        <v>1274</v>
      </c>
      <c r="F236" s="582">
        <v>600000</v>
      </c>
      <c r="G236" s="522">
        <v>5</v>
      </c>
      <c r="H236" s="568">
        <v>0.05</v>
      </c>
      <c r="I236" s="560" t="s">
        <v>859</v>
      </c>
      <c r="J236" s="523" t="s">
        <v>864</v>
      </c>
      <c r="K236" s="528" t="str">
        <f>IFERROR(VLOOKUP($B236,'Clients-Live'!$A:$C,3,0),"")</f>
        <v>LEMERIGA GODWILL JOSEPH</v>
      </c>
      <c r="L236" s="528">
        <f>IF(E236="STL",Pricing!$D$38,IF(A236="",0,IF(A236&lt;Pricing!$C$25,Pricing!$D$25,VLOOKUP(Disbursements!$F236,Pricing!$B$29:$D$32,3))))</f>
        <v>20000</v>
      </c>
      <c r="M236" s="528">
        <f>IF(E236="STL",0,IF(F236&gt;0,Pricing!$D$21,0))</f>
        <v>5000</v>
      </c>
      <c r="N236" s="529">
        <f>IF(E236="STL",F236*Pricing!$D$40,IF(A236&lt;=Pricing!$C$4,0,IF(AND(A236&gt;Pricing!$C$4,Disbursements!A236&lt;=Pricing!$C$5),F236*Pricing!$E$5,IF(AND(A236&gt;Pricing!$C$5,Disbursements!A236&lt;=Pricing!$C$7),VLOOKUP(F236,Pricing!$D$7:$E$8,2)*Disbursements!F236,F236*Pricing!$E$9))))</f>
        <v>6000</v>
      </c>
      <c r="O236" s="528">
        <f>IF(E236="STL",0,IF($F236&gt;0,$F236*Pricing!$D$17,0))</f>
        <v>60000</v>
      </c>
      <c r="P236" s="530">
        <f t="shared" si="100"/>
        <v>150000</v>
      </c>
      <c r="Q236" s="531">
        <f>IF($A236="","",$G236/VLOOKUP($I236,Ref!$B$23:$D$29,2,0))</f>
        <v>5</v>
      </c>
      <c r="R236" s="530">
        <f t="shared" si="101"/>
        <v>750000</v>
      </c>
      <c r="S236" s="532">
        <f t="shared" si="95"/>
        <v>150000</v>
      </c>
      <c r="T236" s="531">
        <f t="shared" si="102"/>
        <v>150000</v>
      </c>
      <c r="U236" s="533">
        <f t="shared" si="103"/>
        <v>750000</v>
      </c>
      <c r="V236" s="531">
        <f t="shared" si="104"/>
        <v>120000</v>
      </c>
      <c r="W236" s="531">
        <f t="shared" si="105"/>
        <v>30000</v>
      </c>
      <c r="X236" s="534">
        <f t="shared" si="106"/>
        <v>150000</v>
      </c>
      <c r="Y236" s="535">
        <f>IF($A236="","",IF($I236="weekly",$A236+7,EDATE($A236,VLOOKUP($I236,Ref!$B$24:$C$29,2,0))))</f>
        <v>44497</v>
      </c>
      <c r="Z236" s="536" t="str">
        <f t="shared" si="107"/>
        <v>Thu</v>
      </c>
      <c r="AA236" s="531">
        <f t="shared" si="108"/>
        <v>30</v>
      </c>
      <c r="AB236" s="535">
        <f t="shared" si="96"/>
        <v>44620</v>
      </c>
      <c r="AC236" s="537">
        <f t="shared" si="97"/>
        <v>153</v>
      </c>
      <c r="AD236" s="538" t="str">
        <f t="shared" ca="1" si="98"/>
        <v>Expired</v>
      </c>
      <c r="AE236" s="537">
        <f t="shared" ca="1" si="99"/>
        <v>0</v>
      </c>
      <c r="AF236" s="539">
        <f t="shared" ca="1" si="109"/>
        <v>5</v>
      </c>
      <c r="AG236" s="531">
        <f t="shared" ca="1" si="110"/>
        <v>750000</v>
      </c>
      <c r="AH236" s="531">
        <f t="shared" ca="1" si="111"/>
        <v>150000</v>
      </c>
      <c r="AI236" s="531">
        <f t="shared" ca="1" si="112"/>
        <v>600000</v>
      </c>
      <c r="AJ236" s="531">
        <f t="shared" ca="1" si="113"/>
        <v>0</v>
      </c>
      <c r="AK236" s="540">
        <f>SUMIFS('Live Collections'!$S:$S,'Live Collections'!$D:$D,Disbursements!B236,'Live Collections'!$G:$G,Disbursements!C236)</f>
        <v>150000</v>
      </c>
      <c r="AL236" s="540">
        <f>SUMIFS('Live Collections'!$T:$T,'Live Collections'!$D:$D,Disbursements!B236,'Live Collections'!$G:$G,Disbursements!C236)</f>
        <v>600000</v>
      </c>
      <c r="AM236" s="541">
        <f t="shared" si="114"/>
        <v>750000</v>
      </c>
      <c r="AN236" s="542">
        <f t="shared" si="115"/>
        <v>0</v>
      </c>
      <c r="AO236" s="542">
        <f t="shared" si="116"/>
        <v>0</v>
      </c>
      <c r="AP236" s="543">
        <f t="shared" si="117"/>
        <v>0</v>
      </c>
      <c r="AQ236" s="544" t="str">
        <f t="shared" ca="1" si="118"/>
        <v/>
      </c>
      <c r="AR236" s="545">
        <f t="shared" ca="1" si="119"/>
        <v>0</v>
      </c>
      <c r="AS236" s="545">
        <f ca="1">IFERROR(CEILING($AR236*VLOOKUP($I236,Ref!$B$23:$E$29,4,0),1),0)</f>
        <v>0</v>
      </c>
      <c r="AT236" s="545" t="str">
        <f>IF(A236="","",IF(AP236&lt;=1,"Cleared",IF(AS236=0,"Clean",VLOOKUP($AS236,Ref!$G$23:$H$28,2))))</f>
        <v>Cleared</v>
      </c>
      <c r="AU236" s="546" t="str">
        <f t="shared" si="120"/>
        <v>Ok</v>
      </c>
    </row>
    <row r="237" spans="1:47" ht="15" customHeight="1" x14ac:dyDescent="0.15">
      <c r="A237" s="575">
        <v>44468</v>
      </c>
      <c r="B237" s="523">
        <v>109</v>
      </c>
      <c r="C237" s="523">
        <v>237</v>
      </c>
      <c r="D237" s="523">
        <v>2</v>
      </c>
      <c r="E237" s="523" t="s">
        <v>1274</v>
      </c>
      <c r="F237" s="554">
        <v>500000</v>
      </c>
      <c r="G237" s="524">
        <v>2</v>
      </c>
      <c r="H237" s="555">
        <v>0.05</v>
      </c>
      <c r="I237" s="560" t="s">
        <v>859</v>
      </c>
      <c r="J237" s="523" t="s">
        <v>864</v>
      </c>
      <c r="K237" s="528" t="str">
        <f>IFERROR(VLOOKUP($B237,'Clients-Live'!$A:$C,3,0),"")</f>
        <v>TABU KISA</v>
      </c>
      <c r="L237" s="528">
        <f>IF(E237="STL",Pricing!$D$38,IF(A237="",0,IF(A237&lt;Pricing!$C$25,Pricing!$D$25,VLOOKUP(Disbursements!$F237,Pricing!$B$29:$D$32,3))))</f>
        <v>15000</v>
      </c>
      <c r="M237" s="528">
        <f>IF(E237="STL",0,IF(F237&gt;0,Pricing!$D$21,0))</f>
        <v>5000</v>
      </c>
      <c r="N237" s="529">
        <f>IF(E237="STL",F237*Pricing!$D$40,IF(A237&lt;=Pricing!$C$4,0,IF(AND(A237&gt;Pricing!$C$4,Disbursements!A237&lt;=Pricing!$C$5),F237*Pricing!$E$5,IF(AND(A237&gt;Pricing!$C$5,Disbursements!A237&lt;=Pricing!$C$7),VLOOKUP(F237,Pricing!$D$7:$E$8,2)*Disbursements!F237,F237*Pricing!$E$9))))</f>
        <v>5000</v>
      </c>
      <c r="O237" s="528">
        <f>IF(E237="STL",0,IF($F237&gt;0,$F237*Pricing!$D$17,0))</f>
        <v>50000</v>
      </c>
      <c r="P237" s="530">
        <f t="shared" si="100"/>
        <v>50000</v>
      </c>
      <c r="Q237" s="531">
        <f>IF($A237="","",$G237/VLOOKUP($I237,Ref!$B$23:$D$29,2,0))</f>
        <v>2</v>
      </c>
      <c r="R237" s="530">
        <f t="shared" si="101"/>
        <v>550000</v>
      </c>
      <c r="S237" s="532">
        <f t="shared" si="95"/>
        <v>275000</v>
      </c>
      <c r="T237" s="531">
        <f t="shared" si="102"/>
        <v>275000</v>
      </c>
      <c r="U237" s="533">
        <f t="shared" si="103"/>
        <v>550000</v>
      </c>
      <c r="V237" s="531">
        <f t="shared" si="104"/>
        <v>250000</v>
      </c>
      <c r="W237" s="531">
        <f t="shared" si="105"/>
        <v>25000</v>
      </c>
      <c r="X237" s="534">
        <f t="shared" si="106"/>
        <v>50000</v>
      </c>
      <c r="Y237" s="535">
        <f>IF($A237="","",IF($I237="weekly",$A237+7,EDATE($A237,VLOOKUP($I237,Ref!$B$24:$C$29,2,0))))</f>
        <v>44498</v>
      </c>
      <c r="Z237" s="536" t="str">
        <f t="shared" si="107"/>
        <v>Frid</v>
      </c>
      <c r="AA237" s="531">
        <f t="shared" si="108"/>
        <v>30</v>
      </c>
      <c r="AB237" s="535">
        <f t="shared" si="96"/>
        <v>44529</v>
      </c>
      <c r="AC237" s="537">
        <f t="shared" si="97"/>
        <v>61</v>
      </c>
      <c r="AD237" s="538" t="str">
        <f t="shared" ca="1" si="98"/>
        <v>Expired</v>
      </c>
      <c r="AE237" s="537">
        <f t="shared" ca="1" si="99"/>
        <v>0</v>
      </c>
      <c r="AF237" s="539">
        <f t="shared" ca="1" si="109"/>
        <v>2</v>
      </c>
      <c r="AG237" s="531">
        <f t="shared" ca="1" si="110"/>
        <v>550000</v>
      </c>
      <c r="AH237" s="531">
        <f t="shared" ca="1" si="111"/>
        <v>50000</v>
      </c>
      <c r="AI237" s="531">
        <f t="shared" ca="1" si="112"/>
        <v>500000</v>
      </c>
      <c r="AJ237" s="531">
        <f t="shared" ca="1" si="113"/>
        <v>0</v>
      </c>
      <c r="AK237" s="540">
        <f>SUMIFS('Live Collections'!$S:$S,'Live Collections'!$D:$D,Disbursements!B237,'Live Collections'!$G:$G,Disbursements!C237)</f>
        <v>50000</v>
      </c>
      <c r="AL237" s="540">
        <f>SUMIFS('Live Collections'!$T:$T,'Live Collections'!$D:$D,Disbursements!B237,'Live Collections'!$G:$G,Disbursements!C237)</f>
        <v>490100</v>
      </c>
      <c r="AM237" s="541">
        <f t="shared" si="114"/>
        <v>540100</v>
      </c>
      <c r="AN237" s="542">
        <f t="shared" si="115"/>
        <v>0</v>
      </c>
      <c r="AO237" s="542">
        <f t="shared" si="116"/>
        <v>9900</v>
      </c>
      <c r="AP237" s="543">
        <f t="shared" si="117"/>
        <v>9900</v>
      </c>
      <c r="AQ237" s="544">
        <f t="shared" ca="1" si="118"/>
        <v>9900</v>
      </c>
      <c r="AR237" s="545">
        <f t="shared" ca="1" si="119"/>
        <v>3.5999999999999997E-2</v>
      </c>
      <c r="AS237" s="545">
        <f ca="1">IFERROR(CEILING($AR237*VLOOKUP($I237,Ref!$B$23:$E$29,4,0),1),0)</f>
        <v>2</v>
      </c>
      <c r="AT237" s="545" t="str">
        <f ca="1">IF(A237="","",IF(AP237&lt;=1,"Cleared",IF(AS237=0,"Clean",VLOOKUP($AS237,Ref!$G$23:$H$28,2))))</f>
        <v>1.(0-30) Days</v>
      </c>
      <c r="AU237" s="546" t="str">
        <f t="shared" si="120"/>
        <v>Ok</v>
      </c>
    </row>
    <row r="238" spans="1:47" ht="15" customHeight="1" x14ac:dyDescent="0.15">
      <c r="A238" s="575">
        <v>44468</v>
      </c>
      <c r="B238" s="523">
        <v>111</v>
      </c>
      <c r="C238" s="523">
        <v>236</v>
      </c>
      <c r="D238" s="523">
        <v>2</v>
      </c>
      <c r="E238" s="523" t="s">
        <v>1275</v>
      </c>
      <c r="F238" s="554">
        <v>800000</v>
      </c>
      <c r="G238" s="524">
        <v>3</v>
      </c>
      <c r="H238" s="555">
        <v>7.4999999999999997E-2</v>
      </c>
      <c r="I238" s="560" t="s">
        <v>859</v>
      </c>
      <c r="J238" s="523" t="s">
        <v>864</v>
      </c>
      <c r="K238" s="528" t="str">
        <f>IFERROR(VLOOKUP($B238,'Clients-Live'!$A:$C,3,0),"")</f>
        <v>ANDAKU CHARLES JULIAN</v>
      </c>
      <c r="L238" s="528">
        <f>IF(E238="STL",Pricing!$D$38,IF(A238="",0,IF(A238&lt;Pricing!$C$25,Pricing!$D$25,VLOOKUP(Disbursements!$F238,Pricing!$B$29:$D$32,3))))</f>
        <v>20000</v>
      </c>
      <c r="M238" s="528">
        <f>IF(E238="STL",0,IF(F238&gt;0,Pricing!$D$21,0))</f>
        <v>5000</v>
      </c>
      <c r="N238" s="529">
        <f>IF(E238="STL",F238*Pricing!$D$40,IF(A238&lt;=Pricing!$C$4,0,IF(AND(A238&gt;Pricing!$C$4,Disbursements!A238&lt;=Pricing!$C$5),F238*Pricing!$E$5,IF(AND(A238&gt;Pricing!$C$5,Disbursements!A238&lt;=Pricing!$C$7),VLOOKUP(F238,Pricing!$D$7:$E$8,2)*Disbursements!F238,F238*Pricing!$E$9))))</f>
        <v>8000</v>
      </c>
      <c r="O238" s="528">
        <f>IF(E238="STL",0,IF($F238&gt;0,$F238*Pricing!$D$17,0))</f>
        <v>80000</v>
      </c>
      <c r="P238" s="530">
        <f t="shared" si="100"/>
        <v>180000</v>
      </c>
      <c r="Q238" s="531">
        <f>IF($A238="","",$G238/VLOOKUP($I238,Ref!$B$23:$D$29,2,0))</f>
        <v>3</v>
      </c>
      <c r="R238" s="530">
        <f t="shared" si="101"/>
        <v>980000</v>
      </c>
      <c r="S238" s="532">
        <f t="shared" si="95"/>
        <v>326666.66666666669</v>
      </c>
      <c r="T238" s="531">
        <f t="shared" si="102"/>
        <v>327000</v>
      </c>
      <c r="U238" s="533">
        <f t="shared" si="103"/>
        <v>981000</v>
      </c>
      <c r="V238" s="531">
        <f t="shared" si="104"/>
        <v>266666.66666666669</v>
      </c>
      <c r="W238" s="531">
        <f t="shared" si="105"/>
        <v>60333.333333333314</v>
      </c>
      <c r="X238" s="534">
        <f t="shared" si="106"/>
        <v>180999.99999999994</v>
      </c>
      <c r="Y238" s="535">
        <f>IF($A238="","",IF($I238="weekly",$A238+7,EDATE($A238,VLOOKUP($I238,Ref!$B$24:$C$29,2,0))))</f>
        <v>44498</v>
      </c>
      <c r="Z238" s="536" t="str">
        <f t="shared" si="107"/>
        <v>Frid</v>
      </c>
      <c r="AA238" s="531">
        <f t="shared" si="108"/>
        <v>30</v>
      </c>
      <c r="AB238" s="535">
        <f t="shared" si="96"/>
        <v>44559</v>
      </c>
      <c r="AC238" s="537">
        <f t="shared" si="97"/>
        <v>91</v>
      </c>
      <c r="AD238" s="538" t="str">
        <f t="shared" ca="1" si="98"/>
        <v>Expired</v>
      </c>
      <c r="AE238" s="537">
        <f t="shared" ca="1" si="99"/>
        <v>0</v>
      </c>
      <c r="AF238" s="539">
        <f t="shared" ca="1" si="109"/>
        <v>3</v>
      </c>
      <c r="AG238" s="531">
        <f t="shared" ca="1" si="110"/>
        <v>981000</v>
      </c>
      <c r="AH238" s="531">
        <f t="shared" ca="1" si="111"/>
        <v>180999.99999999994</v>
      </c>
      <c r="AI238" s="531">
        <f t="shared" ca="1" si="112"/>
        <v>800000</v>
      </c>
      <c r="AJ238" s="531">
        <f t="shared" ca="1" si="113"/>
        <v>0</v>
      </c>
      <c r="AK238" s="540">
        <f>SUMIFS('Live Collections'!$S:$S,'Live Collections'!$D:$D,Disbursements!B238,'Live Collections'!$G:$G,Disbursements!C238)</f>
        <v>180999.99999999994</v>
      </c>
      <c r="AL238" s="540">
        <f>SUMIFS('Live Collections'!$T:$T,'Live Collections'!$D:$D,Disbursements!B238,'Live Collections'!$G:$G,Disbursements!C238)</f>
        <v>799000</v>
      </c>
      <c r="AM238" s="541">
        <f t="shared" si="114"/>
        <v>980000</v>
      </c>
      <c r="AN238" s="542">
        <f t="shared" si="115"/>
        <v>0</v>
      </c>
      <c r="AO238" s="542">
        <f t="shared" si="116"/>
        <v>1000</v>
      </c>
      <c r="AP238" s="543">
        <f t="shared" si="117"/>
        <v>1000</v>
      </c>
      <c r="AQ238" s="544">
        <f t="shared" ca="1" si="118"/>
        <v>1000</v>
      </c>
      <c r="AR238" s="545">
        <f t="shared" ca="1" si="119"/>
        <v>3.0581039755351682E-3</v>
      </c>
      <c r="AS238" s="545">
        <f ca="1">IFERROR(CEILING($AR238*VLOOKUP($I238,Ref!$B$23:$E$29,4,0),1),0)</f>
        <v>1</v>
      </c>
      <c r="AT238" s="545" t="str">
        <f ca="1">IF(A238="","",IF(AP238&lt;=1,"Cleared",IF(AS238=0,"Clean",VLOOKUP($AS238,Ref!$G$23:$H$28,2))))</f>
        <v>1.(0-30) Days</v>
      </c>
      <c r="AU238" s="546" t="str">
        <f t="shared" si="120"/>
        <v>Ok</v>
      </c>
    </row>
    <row r="239" spans="1:47" ht="15" customHeight="1" x14ac:dyDescent="0.15">
      <c r="A239" s="575">
        <v>44468</v>
      </c>
      <c r="B239" s="523">
        <v>138</v>
      </c>
      <c r="C239" s="523">
        <v>235</v>
      </c>
      <c r="D239" s="523">
        <v>2</v>
      </c>
      <c r="E239" s="523" t="s">
        <v>1274</v>
      </c>
      <c r="F239" s="554">
        <v>600000</v>
      </c>
      <c r="G239" s="524">
        <v>2</v>
      </c>
      <c r="H239" s="555">
        <v>0.05</v>
      </c>
      <c r="I239" s="560" t="s">
        <v>859</v>
      </c>
      <c r="J239" s="523" t="s">
        <v>864</v>
      </c>
      <c r="K239" s="528" t="str">
        <f>IFERROR(VLOOKUP($B239,'Clients-Live'!$A:$C,3,0),"")</f>
        <v>BEATRICE AMANDRU</v>
      </c>
      <c r="L239" s="528">
        <f>IF(E239="STL",Pricing!$D$38,IF(A239="",0,IF(A239&lt;Pricing!$C$25,Pricing!$D$25,VLOOKUP(Disbursements!$F239,Pricing!$B$29:$D$32,3))))</f>
        <v>20000</v>
      </c>
      <c r="M239" s="528">
        <f>IF(E239="STL",0,IF(F239&gt;0,Pricing!$D$21,0))</f>
        <v>5000</v>
      </c>
      <c r="N239" s="529">
        <f>IF(E239="STL",F239*Pricing!$D$40,IF(A239&lt;=Pricing!$C$4,0,IF(AND(A239&gt;Pricing!$C$4,Disbursements!A239&lt;=Pricing!$C$5),F239*Pricing!$E$5,IF(AND(A239&gt;Pricing!$C$5,Disbursements!A239&lt;=Pricing!$C$7),VLOOKUP(F239,Pricing!$D$7:$E$8,2)*Disbursements!F239,F239*Pricing!$E$9))))</f>
        <v>6000</v>
      </c>
      <c r="O239" s="528">
        <f>IF(E239="STL",0,IF($F239&gt;0,$F239*Pricing!$D$17,0))</f>
        <v>60000</v>
      </c>
      <c r="P239" s="530">
        <f t="shared" si="100"/>
        <v>60000</v>
      </c>
      <c r="Q239" s="531">
        <f>IF($A239="","",$G239/VLOOKUP($I239,Ref!$B$23:$D$29,2,0))</f>
        <v>2</v>
      </c>
      <c r="R239" s="530">
        <f t="shared" si="101"/>
        <v>660000</v>
      </c>
      <c r="S239" s="532">
        <f t="shared" si="95"/>
        <v>330000</v>
      </c>
      <c r="T239" s="531">
        <f t="shared" si="102"/>
        <v>330000</v>
      </c>
      <c r="U239" s="533">
        <f t="shared" si="103"/>
        <v>660000</v>
      </c>
      <c r="V239" s="531">
        <f t="shared" si="104"/>
        <v>300000</v>
      </c>
      <c r="W239" s="531">
        <f t="shared" si="105"/>
        <v>30000</v>
      </c>
      <c r="X239" s="534">
        <f t="shared" si="106"/>
        <v>60000</v>
      </c>
      <c r="Y239" s="535">
        <f>IF($A239="","",IF($I239="weekly",$A239+7,EDATE($A239,VLOOKUP($I239,Ref!$B$24:$C$29,2,0))))</f>
        <v>44498</v>
      </c>
      <c r="Z239" s="536" t="str">
        <f t="shared" si="107"/>
        <v>Frid</v>
      </c>
      <c r="AA239" s="531">
        <f t="shared" si="108"/>
        <v>30</v>
      </c>
      <c r="AB239" s="535">
        <f t="shared" si="96"/>
        <v>44529</v>
      </c>
      <c r="AC239" s="537">
        <f t="shared" si="97"/>
        <v>61</v>
      </c>
      <c r="AD239" s="538" t="str">
        <f t="shared" ca="1" si="98"/>
        <v>Expired</v>
      </c>
      <c r="AE239" s="537">
        <f t="shared" ca="1" si="99"/>
        <v>0</v>
      </c>
      <c r="AF239" s="539">
        <f t="shared" ca="1" si="109"/>
        <v>2</v>
      </c>
      <c r="AG239" s="531">
        <f t="shared" ca="1" si="110"/>
        <v>660000</v>
      </c>
      <c r="AH239" s="531">
        <f t="shared" ca="1" si="111"/>
        <v>60000</v>
      </c>
      <c r="AI239" s="531">
        <f t="shared" ca="1" si="112"/>
        <v>600000</v>
      </c>
      <c r="AJ239" s="531">
        <f t="shared" ca="1" si="113"/>
        <v>0</v>
      </c>
      <c r="AK239" s="540">
        <f>SUMIFS('Live Collections'!$S:$S,'Live Collections'!$D:$D,Disbursements!B239,'Live Collections'!$G:$G,Disbursements!C239)</f>
        <v>60000</v>
      </c>
      <c r="AL239" s="540">
        <f>SUMIFS('Live Collections'!$T:$T,'Live Collections'!$D:$D,Disbursements!B239,'Live Collections'!$G:$G,Disbursements!C239)</f>
        <v>600000</v>
      </c>
      <c r="AM239" s="541">
        <f t="shared" si="114"/>
        <v>660000</v>
      </c>
      <c r="AN239" s="542">
        <f t="shared" si="115"/>
        <v>0</v>
      </c>
      <c r="AO239" s="542">
        <f t="shared" si="116"/>
        <v>0</v>
      </c>
      <c r="AP239" s="543">
        <f t="shared" si="117"/>
        <v>0</v>
      </c>
      <c r="AQ239" s="544" t="str">
        <f t="shared" ca="1" si="118"/>
        <v/>
      </c>
      <c r="AR239" s="545">
        <f t="shared" ca="1" si="119"/>
        <v>0</v>
      </c>
      <c r="AS239" s="545">
        <f ca="1">IFERROR(CEILING($AR239*VLOOKUP($I239,Ref!$B$23:$E$29,4,0),1),0)</f>
        <v>0</v>
      </c>
      <c r="AT239" s="545" t="str">
        <f>IF(A239="","",IF(AP239&lt;=1,"Cleared",IF(AS239=0,"Clean",VLOOKUP($AS239,Ref!$G$23:$H$28,2))))</f>
        <v>Cleared</v>
      </c>
      <c r="AU239" s="546" t="str">
        <f t="shared" si="120"/>
        <v>Ok</v>
      </c>
    </row>
    <row r="240" spans="1:47" ht="15" customHeight="1" x14ac:dyDescent="0.15">
      <c r="A240" s="575">
        <v>44469</v>
      </c>
      <c r="B240" s="523">
        <v>73</v>
      </c>
      <c r="C240" s="523">
        <v>240</v>
      </c>
      <c r="D240" s="523">
        <v>2</v>
      </c>
      <c r="E240" s="523" t="s">
        <v>1274</v>
      </c>
      <c r="F240" s="554">
        <v>600000</v>
      </c>
      <c r="G240" s="524">
        <v>5</v>
      </c>
      <c r="H240" s="555">
        <v>0.05</v>
      </c>
      <c r="I240" s="560" t="s">
        <v>859</v>
      </c>
      <c r="J240" s="523" t="s">
        <v>864</v>
      </c>
      <c r="K240" s="528" t="str">
        <f>IFERROR(VLOOKUP($B240,'Clients-Live'!$A:$C,3,0),"")</f>
        <v>AJONYE DEBORA</v>
      </c>
      <c r="L240" s="528">
        <f>IF(E240="STL",Pricing!$D$38,IF(A240="",0,IF(A240&lt;Pricing!$C$25,Pricing!$D$25,VLOOKUP(Disbursements!$F240,Pricing!$B$29:$D$32,3))))</f>
        <v>20000</v>
      </c>
      <c r="M240" s="528">
        <f>IF(E240="STL",0,IF(F240&gt;0,Pricing!$D$21,0))</f>
        <v>5000</v>
      </c>
      <c r="N240" s="529">
        <f>IF(E240="STL",F240*Pricing!$D$40,IF(A240&lt;=Pricing!$C$4,0,IF(AND(A240&gt;Pricing!$C$4,Disbursements!A240&lt;=Pricing!$C$5),F240*Pricing!$E$5,IF(AND(A240&gt;Pricing!$C$5,Disbursements!A240&lt;=Pricing!$C$7),VLOOKUP(F240,Pricing!$D$7:$E$8,2)*Disbursements!F240,F240*Pricing!$E$9))))</f>
        <v>6000</v>
      </c>
      <c r="O240" s="528">
        <f>IF(E240="STL",0,IF($F240&gt;0,$F240*Pricing!$D$17,0))</f>
        <v>60000</v>
      </c>
      <c r="P240" s="530">
        <f t="shared" si="100"/>
        <v>150000</v>
      </c>
      <c r="Q240" s="531">
        <f>IF($A240="","",$G240/VLOOKUP($I240,Ref!$B$23:$D$29,2,0))</f>
        <v>5</v>
      </c>
      <c r="R240" s="530">
        <f t="shared" si="101"/>
        <v>750000</v>
      </c>
      <c r="S240" s="532">
        <f t="shared" si="95"/>
        <v>150000</v>
      </c>
      <c r="T240" s="531">
        <f t="shared" si="102"/>
        <v>150000</v>
      </c>
      <c r="U240" s="533">
        <f t="shared" si="103"/>
        <v>750000</v>
      </c>
      <c r="V240" s="531">
        <f t="shared" si="104"/>
        <v>120000</v>
      </c>
      <c r="W240" s="531">
        <f t="shared" si="105"/>
        <v>30000</v>
      </c>
      <c r="X240" s="534">
        <f t="shared" si="106"/>
        <v>150000</v>
      </c>
      <c r="Y240" s="535">
        <f>IF($A240="","",IF($I240="weekly",$A240+7,EDATE($A240,VLOOKUP($I240,Ref!$B$24:$C$29,2,0))))</f>
        <v>44499</v>
      </c>
      <c r="Z240" s="536" t="str">
        <f t="shared" si="107"/>
        <v>Sat</v>
      </c>
      <c r="AA240" s="531">
        <f t="shared" si="108"/>
        <v>30</v>
      </c>
      <c r="AB240" s="535">
        <f t="shared" si="96"/>
        <v>44620</v>
      </c>
      <c r="AC240" s="537">
        <f t="shared" si="97"/>
        <v>151</v>
      </c>
      <c r="AD240" s="538" t="str">
        <f t="shared" ca="1" si="98"/>
        <v>Expired</v>
      </c>
      <c r="AE240" s="537">
        <f t="shared" ca="1" si="99"/>
        <v>0</v>
      </c>
      <c r="AF240" s="539">
        <f t="shared" ca="1" si="109"/>
        <v>5</v>
      </c>
      <c r="AG240" s="531">
        <f t="shared" ca="1" si="110"/>
        <v>750000</v>
      </c>
      <c r="AH240" s="531">
        <f t="shared" ca="1" si="111"/>
        <v>150000</v>
      </c>
      <c r="AI240" s="531">
        <f t="shared" ca="1" si="112"/>
        <v>600000</v>
      </c>
      <c r="AJ240" s="531">
        <f t="shared" ca="1" si="113"/>
        <v>0</v>
      </c>
      <c r="AK240" s="540">
        <f>SUMIFS('Live Collections'!$S:$S,'Live Collections'!$D:$D,Disbursements!B240,'Live Collections'!$G:$G,Disbursements!C240)</f>
        <v>150000</v>
      </c>
      <c r="AL240" s="540">
        <f>SUMIFS('Live Collections'!$T:$T,'Live Collections'!$D:$D,Disbursements!B240,'Live Collections'!$G:$G,Disbursements!C240)</f>
        <v>600000</v>
      </c>
      <c r="AM240" s="541">
        <f t="shared" si="114"/>
        <v>750000</v>
      </c>
      <c r="AN240" s="542">
        <f t="shared" si="115"/>
        <v>0</v>
      </c>
      <c r="AO240" s="542">
        <f t="shared" si="116"/>
        <v>0</v>
      </c>
      <c r="AP240" s="543">
        <f t="shared" si="117"/>
        <v>0</v>
      </c>
      <c r="AQ240" s="544" t="str">
        <f t="shared" ca="1" si="118"/>
        <v/>
      </c>
      <c r="AR240" s="545">
        <f t="shared" ca="1" si="119"/>
        <v>0</v>
      </c>
      <c r="AS240" s="545">
        <f ca="1">IFERROR(CEILING($AR240*VLOOKUP($I240,Ref!$B$23:$E$29,4,0),1),0)</f>
        <v>0</v>
      </c>
      <c r="AT240" s="545" t="str">
        <f>IF(A240="","",IF(AP240&lt;=1,"Cleared",IF(AS240=0,"Clean",VLOOKUP($AS240,Ref!$G$23:$H$28,2))))</f>
        <v>Cleared</v>
      </c>
      <c r="AU240" s="546" t="str">
        <f t="shared" si="120"/>
        <v>Ok</v>
      </c>
    </row>
    <row r="241" spans="1:47" ht="15" customHeight="1" x14ac:dyDescent="0.15">
      <c r="A241" s="575">
        <v>44469</v>
      </c>
      <c r="B241" s="523">
        <v>227</v>
      </c>
      <c r="C241" s="523">
        <v>238</v>
      </c>
      <c r="D241" s="523">
        <v>1</v>
      </c>
      <c r="E241" s="523" t="s">
        <v>1274</v>
      </c>
      <c r="F241" s="554">
        <v>800000</v>
      </c>
      <c r="G241" s="524">
        <v>3</v>
      </c>
      <c r="H241" s="555">
        <v>0.05</v>
      </c>
      <c r="I241" s="560" t="s">
        <v>859</v>
      </c>
      <c r="J241" s="523" t="s">
        <v>862</v>
      </c>
      <c r="K241" s="528" t="str">
        <f>IFERROR(VLOOKUP($B241,'Clients-Live'!$A:$C,3,0),"")</f>
        <v>MUZEE OBEN SAM</v>
      </c>
      <c r="L241" s="528">
        <f>IF(E241="STL",Pricing!$D$38,IF(A241="",0,IF(A241&lt;Pricing!$C$25,Pricing!$D$25,VLOOKUP(Disbursements!$F241,Pricing!$B$29:$D$32,3))))</f>
        <v>20000</v>
      </c>
      <c r="M241" s="528">
        <f>IF(E241="STL",0,IF(F241&gt;0,Pricing!$D$21,0))</f>
        <v>5000</v>
      </c>
      <c r="N241" s="529">
        <f>IF(E241="STL",F241*Pricing!$D$40,IF(A241&lt;=Pricing!$C$4,0,IF(AND(A241&gt;Pricing!$C$4,Disbursements!A241&lt;=Pricing!$C$5),F241*Pricing!$E$5,IF(AND(A241&gt;Pricing!$C$5,Disbursements!A241&lt;=Pricing!$C$7),VLOOKUP(F241,Pricing!$D$7:$E$8,2)*Disbursements!F241,F241*Pricing!$E$9))))</f>
        <v>8000</v>
      </c>
      <c r="O241" s="528">
        <f>IF(E241="STL",0,IF($F241&gt;0,$F241*Pricing!$D$17,0))</f>
        <v>80000</v>
      </c>
      <c r="P241" s="530">
        <f t="shared" si="100"/>
        <v>120000</v>
      </c>
      <c r="Q241" s="531">
        <f>IF($A241="","",$G241/VLOOKUP($I241,Ref!$B$23:$D$29,2,0))</f>
        <v>3</v>
      </c>
      <c r="R241" s="530">
        <f t="shared" si="101"/>
        <v>920000</v>
      </c>
      <c r="S241" s="532">
        <f t="shared" si="95"/>
        <v>306666.66666666669</v>
      </c>
      <c r="T241" s="531">
        <f t="shared" si="102"/>
        <v>307000</v>
      </c>
      <c r="U241" s="533">
        <f t="shared" si="103"/>
        <v>921000</v>
      </c>
      <c r="V241" s="531">
        <f t="shared" si="104"/>
        <v>266666.66666666669</v>
      </c>
      <c r="W241" s="531">
        <f t="shared" si="105"/>
        <v>40333.333333333314</v>
      </c>
      <c r="X241" s="534">
        <f t="shared" si="106"/>
        <v>120999.99999999994</v>
      </c>
      <c r="Y241" s="535">
        <f>IF($A241="","",IF($I241="weekly",$A241+7,EDATE($A241,VLOOKUP($I241,Ref!$B$24:$C$29,2,0))))</f>
        <v>44499</v>
      </c>
      <c r="Z241" s="536" t="str">
        <f t="shared" si="107"/>
        <v>Sat</v>
      </c>
      <c r="AA241" s="531">
        <f t="shared" si="108"/>
        <v>30</v>
      </c>
      <c r="AB241" s="535">
        <f t="shared" si="96"/>
        <v>44560</v>
      </c>
      <c r="AC241" s="537">
        <f t="shared" si="97"/>
        <v>91</v>
      </c>
      <c r="AD241" s="538" t="str">
        <f t="shared" ca="1" si="98"/>
        <v>Expired</v>
      </c>
      <c r="AE241" s="537">
        <f t="shared" ca="1" si="99"/>
        <v>0</v>
      </c>
      <c r="AF241" s="539">
        <f t="shared" ca="1" si="109"/>
        <v>3</v>
      </c>
      <c r="AG241" s="531">
        <f t="shared" ca="1" si="110"/>
        <v>921000</v>
      </c>
      <c r="AH241" s="531">
        <f t="shared" ca="1" si="111"/>
        <v>120999.99999999994</v>
      </c>
      <c r="AI241" s="531">
        <f t="shared" ca="1" si="112"/>
        <v>800000</v>
      </c>
      <c r="AJ241" s="531">
        <f t="shared" ca="1" si="113"/>
        <v>0</v>
      </c>
      <c r="AK241" s="540">
        <f>SUMIFS('Live Collections'!$S:$S,'Live Collections'!$D:$D,Disbursements!B241,'Live Collections'!$G:$G,Disbursements!C241)</f>
        <v>120999.99999999994</v>
      </c>
      <c r="AL241" s="540">
        <f>SUMIFS('Live Collections'!$T:$T,'Live Collections'!$D:$D,Disbursements!B241,'Live Collections'!$G:$G,Disbursements!C241)</f>
        <v>799000</v>
      </c>
      <c r="AM241" s="541">
        <f t="shared" si="114"/>
        <v>920000</v>
      </c>
      <c r="AN241" s="542">
        <f t="shared" si="115"/>
        <v>0</v>
      </c>
      <c r="AO241" s="542">
        <f t="shared" si="116"/>
        <v>1000</v>
      </c>
      <c r="AP241" s="543">
        <f t="shared" si="117"/>
        <v>1000</v>
      </c>
      <c r="AQ241" s="544">
        <f t="shared" ca="1" si="118"/>
        <v>1000</v>
      </c>
      <c r="AR241" s="545">
        <f t="shared" ca="1" si="119"/>
        <v>3.2573289902280132E-3</v>
      </c>
      <c r="AS241" s="545">
        <f ca="1">IFERROR(CEILING($AR241*VLOOKUP($I241,Ref!$B$23:$E$29,4,0),1),0)</f>
        <v>1</v>
      </c>
      <c r="AT241" s="545" t="str">
        <f ca="1">IF(A241="","",IF(AP241&lt;=1,"Cleared",IF(AS241=0,"Clean",VLOOKUP($AS241,Ref!$G$23:$H$28,2))))</f>
        <v>1.(0-30) Days</v>
      </c>
      <c r="AU241" s="546" t="str">
        <f t="shared" si="120"/>
        <v>Ok</v>
      </c>
    </row>
    <row r="242" spans="1:47" ht="15" customHeight="1" x14ac:dyDescent="0.15">
      <c r="A242" s="575">
        <v>44469</v>
      </c>
      <c r="B242" s="523">
        <v>228</v>
      </c>
      <c r="C242" s="523">
        <v>239</v>
      </c>
      <c r="D242" s="523">
        <v>1</v>
      </c>
      <c r="E242" s="523" t="s">
        <v>1274</v>
      </c>
      <c r="F242" s="554">
        <v>2000000</v>
      </c>
      <c r="G242" s="524">
        <v>3</v>
      </c>
      <c r="H242" s="555">
        <v>0.05</v>
      </c>
      <c r="I242" s="560" t="s">
        <v>859</v>
      </c>
      <c r="J242" s="523" t="s">
        <v>863</v>
      </c>
      <c r="K242" s="528" t="str">
        <f>IFERROR(VLOOKUP($B242,'Clients-Live'!$A:$C,3,0),"")</f>
        <v>DADA ISAAC</v>
      </c>
      <c r="L242" s="528">
        <f>IF(E242="STL",Pricing!$D$38,IF(A242="",0,IF(A242&lt;Pricing!$C$25,Pricing!$D$25,VLOOKUP(Disbursements!$F242,Pricing!$B$29:$D$32,3))))</f>
        <v>25000</v>
      </c>
      <c r="M242" s="528">
        <f>IF(E242="STL",0,IF(F242&gt;0,Pricing!$D$21,0))</f>
        <v>5000</v>
      </c>
      <c r="N242" s="529">
        <f>IF(E242="STL",F242*Pricing!$D$40,IF(A242&lt;=Pricing!$C$4,0,IF(AND(A242&gt;Pricing!$C$4,Disbursements!A242&lt;=Pricing!$C$5),F242*Pricing!$E$5,IF(AND(A242&gt;Pricing!$C$5,Disbursements!A242&lt;=Pricing!$C$7),VLOOKUP(F242,Pricing!$D$7:$E$8,2)*Disbursements!F242,F242*Pricing!$E$9))))</f>
        <v>40000</v>
      </c>
      <c r="O242" s="528">
        <f>IF(E242="STL",0,IF($F242&gt;0,$F242*Pricing!$D$17,0))</f>
        <v>200000</v>
      </c>
      <c r="P242" s="530">
        <f t="shared" si="100"/>
        <v>300000</v>
      </c>
      <c r="Q242" s="531">
        <f>IF($A242="","",$G242/VLOOKUP($I242,Ref!$B$23:$D$29,2,0))</f>
        <v>3</v>
      </c>
      <c r="R242" s="530">
        <f t="shared" si="101"/>
        <v>2300000</v>
      </c>
      <c r="S242" s="532">
        <f t="shared" si="95"/>
        <v>766666.66666666663</v>
      </c>
      <c r="T242" s="531">
        <f t="shared" si="102"/>
        <v>767000</v>
      </c>
      <c r="U242" s="533">
        <f t="shared" si="103"/>
        <v>2301000</v>
      </c>
      <c r="V242" s="531">
        <f t="shared" si="104"/>
        <v>666666.66666666663</v>
      </c>
      <c r="W242" s="531">
        <f t="shared" si="105"/>
        <v>100333.33333333337</v>
      </c>
      <c r="X242" s="534">
        <f t="shared" si="106"/>
        <v>301000.00000000012</v>
      </c>
      <c r="Y242" s="535">
        <f>IF($A242="","",IF($I242="weekly",$A242+7,EDATE($A242,VLOOKUP($I242,Ref!$B$24:$C$29,2,0))))</f>
        <v>44499</v>
      </c>
      <c r="Z242" s="536" t="str">
        <f t="shared" si="107"/>
        <v>Sat</v>
      </c>
      <c r="AA242" s="531">
        <f t="shared" si="108"/>
        <v>30</v>
      </c>
      <c r="AB242" s="535">
        <f t="shared" si="96"/>
        <v>44560</v>
      </c>
      <c r="AC242" s="537">
        <f t="shared" si="97"/>
        <v>91</v>
      </c>
      <c r="AD242" s="538" t="str">
        <f t="shared" ca="1" si="98"/>
        <v>Expired</v>
      </c>
      <c r="AE242" s="537">
        <f t="shared" ca="1" si="99"/>
        <v>0</v>
      </c>
      <c r="AF242" s="539">
        <f t="shared" ca="1" si="109"/>
        <v>3</v>
      </c>
      <c r="AG242" s="531">
        <f t="shared" ca="1" si="110"/>
        <v>2301000</v>
      </c>
      <c r="AH242" s="531">
        <f t="shared" ca="1" si="111"/>
        <v>301000.00000000012</v>
      </c>
      <c r="AI242" s="531">
        <f t="shared" ca="1" si="112"/>
        <v>2000000</v>
      </c>
      <c r="AJ242" s="531">
        <f t="shared" ca="1" si="113"/>
        <v>0</v>
      </c>
      <c r="AK242" s="540">
        <f>SUMIFS('Live Collections'!$S:$S,'Live Collections'!$D:$D,Disbursements!B242,'Live Collections'!$G:$G,Disbursements!C242)</f>
        <v>301000.00000000012</v>
      </c>
      <c r="AL242" s="540">
        <f>SUMIFS('Live Collections'!$T:$T,'Live Collections'!$D:$D,Disbursements!B242,'Live Collections'!$G:$G,Disbursements!C242)</f>
        <v>1999000</v>
      </c>
      <c r="AM242" s="541">
        <f t="shared" si="114"/>
        <v>2300000</v>
      </c>
      <c r="AN242" s="542">
        <f t="shared" si="115"/>
        <v>0</v>
      </c>
      <c r="AO242" s="542">
        <f t="shared" si="116"/>
        <v>1000</v>
      </c>
      <c r="AP242" s="543">
        <f t="shared" si="117"/>
        <v>1000</v>
      </c>
      <c r="AQ242" s="544">
        <f t="shared" ca="1" si="118"/>
        <v>1000</v>
      </c>
      <c r="AR242" s="545">
        <f t="shared" ca="1" si="119"/>
        <v>1.3037809647979139E-3</v>
      </c>
      <c r="AS242" s="545">
        <f ca="1">IFERROR(CEILING($AR242*VLOOKUP($I242,Ref!$B$23:$E$29,4,0),1),0)</f>
        <v>1</v>
      </c>
      <c r="AT242" s="545" t="str">
        <f ca="1">IF(A242="","",IF(AP242&lt;=1,"Cleared",IF(AS242=0,"Clean",VLOOKUP($AS242,Ref!$G$23:$H$28,2))))</f>
        <v>1.(0-30) Days</v>
      </c>
      <c r="AU242" s="546" t="str">
        <f t="shared" si="120"/>
        <v>Ok</v>
      </c>
    </row>
    <row r="243" spans="1:47" ht="15" customHeight="1" x14ac:dyDescent="0.15">
      <c r="A243" s="575">
        <v>44469</v>
      </c>
      <c r="B243" s="523">
        <v>230</v>
      </c>
      <c r="C243" s="523">
        <v>241</v>
      </c>
      <c r="D243" s="523">
        <v>1</v>
      </c>
      <c r="E243" s="523" t="s">
        <v>1274</v>
      </c>
      <c r="F243" s="554">
        <v>600000</v>
      </c>
      <c r="G243" s="524">
        <v>2</v>
      </c>
      <c r="H243" s="555">
        <v>0.05</v>
      </c>
      <c r="I243" s="560" t="s">
        <v>859</v>
      </c>
      <c r="J243" s="523" t="s">
        <v>864</v>
      </c>
      <c r="K243" s="528" t="str">
        <f>IFERROR(VLOOKUP($B243,'Clients-Live'!$A:$C,3,0),"")</f>
        <v>ANGAIKA SALFA</v>
      </c>
      <c r="L243" s="528">
        <f>IF(E243="STL",Pricing!$D$38,IF(A243="",0,IF(A243&lt;Pricing!$C$25,Pricing!$D$25,VLOOKUP(Disbursements!$F243,Pricing!$B$29:$D$32,3))))</f>
        <v>20000</v>
      </c>
      <c r="M243" s="528">
        <f>IF(E243="STL",0,IF(F243&gt;0,Pricing!$D$21,0))</f>
        <v>5000</v>
      </c>
      <c r="N243" s="529">
        <f>IF(E243="STL",F243*Pricing!$D$40,IF(A243&lt;=Pricing!$C$4,0,IF(AND(A243&gt;Pricing!$C$4,Disbursements!A243&lt;=Pricing!$C$5),F243*Pricing!$E$5,IF(AND(A243&gt;Pricing!$C$5,Disbursements!A243&lt;=Pricing!$C$7),VLOOKUP(F243,Pricing!$D$7:$E$8,2)*Disbursements!F243,F243*Pricing!$E$9))))</f>
        <v>6000</v>
      </c>
      <c r="O243" s="528">
        <f>IF(E243="STL",0,IF($F243&gt;0,$F243*Pricing!$D$17,0))</f>
        <v>60000</v>
      </c>
      <c r="P243" s="530">
        <f t="shared" si="100"/>
        <v>60000</v>
      </c>
      <c r="Q243" s="531">
        <f>IF($A243="","",$G243/VLOOKUP($I243,Ref!$B$23:$D$29,2,0))</f>
        <v>2</v>
      </c>
      <c r="R243" s="530">
        <f t="shared" si="101"/>
        <v>660000</v>
      </c>
      <c r="S243" s="532">
        <f t="shared" si="95"/>
        <v>330000</v>
      </c>
      <c r="T243" s="531">
        <f t="shared" si="102"/>
        <v>330000</v>
      </c>
      <c r="U243" s="533">
        <f t="shared" si="103"/>
        <v>660000</v>
      </c>
      <c r="V243" s="531">
        <f t="shared" si="104"/>
        <v>300000</v>
      </c>
      <c r="W243" s="531">
        <f t="shared" si="105"/>
        <v>30000</v>
      </c>
      <c r="X243" s="534">
        <f t="shared" si="106"/>
        <v>60000</v>
      </c>
      <c r="Y243" s="535">
        <f>IF($A243="","",IF($I243="weekly",$A243+7,EDATE($A243,VLOOKUP($I243,Ref!$B$24:$C$29,2,0))))</f>
        <v>44499</v>
      </c>
      <c r="Z243" s="536" t="str">
        <f t="shared" si="107"/>
        <v>Sat</v>
      </c>
      <c r="AA243" s="531">
        <f t="shared" si="108"/>
        <v>30</v>
      </c>
      <c r="AB243" s="535">
        <f t="shared" si="96"/>
        <v>44530</v>
      </c>
      <c r="AC243" s="537">
        <f t="shared" si="97"/>
        <v>61</v>
      </c>
      <c r="AD243" s="538" t="str">
        <f t="shared" ca="1" si="98"/>
        <v>Expired</v>
      </c>
      <c r="AE243" s="537">
        <f t="shared" ca="1" si="99"/>
        <v>0</v>
      </c>
      <c r="AF243" s="539">
        <f t="shared" ca="1" si="109"/>
        <v>2</v>
      </c>
      <c r="AG243" s="531">
        <f t="shared" ca="1" si="110"/>
        <v>660000</v>
      </c>
      <c r="AH243" s="531">
        <f t="shared" ca="1" si="111"/>
        <v>60000</v>
      </c>
      <c r="AI243" s="531">
        <f t="shared" ca="1" si="112"/>
        <v>600000</v>
      </c>
      <c r="AJ243" s="531">
        <f t="shared" ca="1" si="113"/>
        <v>0</v>
      </c>
      <c r="AK243" s="540">
        <f>SUMIFS('Live Collections'!$S:$S,'Live Collections'!$D:$D,Disbursements!B243,'Live Collections'!$G:$G,Disbursements!C243)</f>
        <v>60000</v>
      </c>
      <c r="AL243" s="540">
        <f>SUMIFS('Live Collections'!$T:$T,'Live Collections'!$D:$D,Disbursements!B243,'Live Collections'!$G:$G,Disbursements!C243)</f>
        <v>600000</v>
      </c>
      <c r="AM243" s="541">
        <f t="shared" si="114"/>
        <v>660000</v>
      </c>
      <c r="AN243" s="542">
        <f t="shared" si="115"/>
        <v>0</v>
      </c>
      <c r="AO243" s="542">
        <f t="shared" si="116"/>
        <v>0</v>
      </c>
      <c r="AP243" s="543">
        <f t="shared" si="117"/>
        <v>0</v>
      </c>
      <c r="AQ243" s="544" t="str">
        <f t="shared" ca="1" si="118"/>
        <v/>
      </c>
      <c r="AR243" s="545">
        <f t="shared" ca="1" si="119"/>
        <v>0</v>
      </c>
      <c r="AS243" s="545">
        <f ca="1">IFERROR(CEILING($AR243*VLOOKUP($I243,Ref!$B$23:$E$29,4,0),1),0)</f>
        <v>0</v>
      </c>
      <c r="AT243" s="545" t="str">
        <f>IF(A243="","",IF(AP243&lt;=1,"Cleared",IF(AS243=0,"Clean",VLOOKUP($AS243,Ref!$G$23:$H$28,2))))</f>
        <v>Cleared</v>
      </c>
      <c r="AU243" s="546" t="str">
        <f t="shared" si="120"/>
        <v>Ok</v>
      </c>
    </row>
    <row r="244" spans="1:47" ht="15" customHeight="1" x14ac:dyDescent="0.15">
      <c r="A244" s="575">
        <v>44470</v>
      </c>
      <c r="B244" s="523">
        <v>41</v>
      </c>
      <c r="C244" s="523">
        <v>242</v>
      </c>
      <c r="D244" s="523">
        <v>5</v>
      </c>
      <c r="E244" s="523" t="s">
        <v>1275</v>
      </c>
      <c r="F244" s="554">
        <v>1000000</v>
      </c>
      <c r="G244" s="524">
        <v>1</v>
      </c>
      <c r="H244" s="555">
        <v>7.4999999999999997E-2</v>
      </c>
      <c r="I244" s="560" t="s">
        <v>859</v>
      </c>
      <c r="J244" s="523" t="s">
        <v>863</v>
      </c>
      <c r="K244" s="528" t="str">
        <f>IFERROR(VLOOKUP($B244,'Clients-Live'!$A:$C,3,0),"")</f>
        <v>ANGUYO RONALD</v>
      </c>
      <c r="L244" s="528">
        <f>IF(E244="STL",Pricing!$D$38,IF(A244="",0,IF(A244&lt;Pricing!$C$25,Pricing!$D$25,VLOOKUP(Disbursements!$F244,Pricing!$B$29:$D$32,3))))</f>
        <v>20000</v>
      </c>
      <c r="M244" s="528">
        <f>IF(E244="STL",0,IF(F244&gt;0,Pricing!$D$21,0))</f>
        <v>5000</v>
      </c>
      <c r="N244" s="529">
        <f>IF(E244="STL",F244*Pricing!$D$40,IF(A244&lt;=Pricing!$C$4,0,IF(AND(A244&gt;Pricing!$C$4,Disbursements!A244&lt;=Pricing!$C$5),F244*Pricing!$E$5,IF(AND(A244&gt;Pricing!$C$5,Disbursements!A244&lt;=Pricing!$C$7),VLOOKUP(F244,Pricing!$D$7:$E$8,2)*Disbursements!F244,F244*Pricing!$E$9))))</f>
        <v>10000</v>
      </c>
      <c r="O244" s="528">
        <f>IF(E244="STL",0,IF($F244&gt;0,$F244*Pricing!$D$17,0))</f>
        <v>100000</v>
      </c>
      <c r="P244" s="530">
        <f t="shared" si="100"/>
        <v>75000</v>
      </c>
      <c r="Q244" s="531">
        <f>IF($A244="","",$G244/VLOOKUP($I244,Ref!$B$23:$D$29,2,0))</f>
        <v>1</v>
      </c>
      <c r="R244" s="530">
        <f t="shared" si="101"/>
        <v>1075000</v>
      </c>
      <c r="S244" s="532">
        <f t="shared" si="95"/>
        <v>1075000</v>
      </c>
      <c r="T244" s="531">
        <f t="shared" si="102"/>
        <v>1075000</v>
      </c>
      <c r="U244" s="533">
        <f t="shared" si="103"/>
        <v>1075000</v>
      </c>
      <c r="V244" s="531">
        <f t="shared" si="104"/>
        <v>1000000</v>
      </c>
      <c r="W244" s="531">
        <f t="shared" si="105"/>
        <v>75000</v>
      </c>
      <c r="X244" s="534">
        <f t="shared" si="106"/>
        <v>75000</v>
      </c>
      <c r="Y244" s="535">
        <f>IF($A244="","",IF($I244="weekly",$A244+7,EDATE($A244,VLOOKUP($I244,Ref!$B$24:$C$29,2,0))))</f>
        <v>44501</v>
      </c>
      <c r="Z244" s="536" t="str">
        <f t="shared" si="107"/>
        <v>Mon</v>
      </c>
      <c r="AA244" s="531">
        <f t="shared" si="108"/>
        <v>31</v>
      </c>
      <c r="AB244" s="535">
        <f t="shared" si="96"/>
        <v>44501</v>
      </c>
      <c r="AC244" s="537">
        <f t="shared" si="97"/>
        <v>31</v>
      </c>
      <c r="AD244" s="538" t="str">
        <f t="shared" ca="1" si="98"/>
        <v>Expired</v>
      </c>
      <c r="AE244" s="537">
        <f t="shared" ca="1" si="99"/>
        <v>0</v>
      </c>
      <c r="AF244" s="539">
        <f t="shared" ca="1" si="109"/>
        <v>1</v>
      </c>
      <c r="AG244" s="531">
        <f t="shared" ca="1" si="110"/>
        <v>1075000</v>
      </c>
      <c r="AH244" s="531">
        <f t="shared" ca="1" si="111"/>
        <v>75000</v>
      </c>
      <c r="AI244" s="531">
        <f t="shared" ca="1" si="112"/>
        <v>1000000</v>
      </c>
      <c r="AJ244" s="531">
        <f t="shared" ca="1" si="113"/>
        <v>0</v>
      </c>
      <c r="AK244" s="540">
        <f>SUMIFS('Live Collections'!$S:$S,'Live Collections'!$D:$D,Disbursements!B244,'Live Collections'!$G:$G,Disbursements!C244)</f>
        <v>75000</v>
      </c>
      <c r="AL244" s="540">
        <f>SUMIFS('Live Collections'!$T:$T,'Live Collections'!$D:$D,Disbursements!B244,'Live Collections'!$G:$G,Disbursements!C244)</f>
        <v>1000000</v>
      </c>
      <c r="AM244" s="541">
        <f t="shared" si="114"/>
        <v>1075000</v>
      </c>
      <c r="AN244" s="542">
        <f t="shared" si="115"/>
        <v>0</v>
      </c>
      <c r="AO244" s="542">
        <f t="shared" si="116"/>
        <v>0</v>
      </c>
      <c r="AP244" s="543">
        <f t="shared" si="117"/>
        <v>0</v>
      </c>
      <c r="AQ244" s="544" t="str">
        <f t="shared" ca="1" si="118"/>
        <v/>
      </c>
      <c r="AR244" s="545">
        <f t="shared" ca="1" si="119"/>
        <v>0</v>
      </c>
      <c r="AS244" s="545">
        <f ca="1">IFERROR(CEILING($AR244*VLOOKUP($I244,Ref!$B$23:$E$29,4,0),1),0)</f>
        <v>0</v>
      </c>
      <c r="AT244" s="545" t="str">
        <f>IF(A244="","",IF(AP244&lt;=1,"Cleared",IF(AS244=0,"Clean",VLOOKUP($AS244,Ref!$G$23:$H$28,2))))</f>
        <v>Cleared</v>
      </c>
      <c r="AU244" s="546" t="str">
        <f t="shared" si="120"/>
        <v>Ok</v>
      </c>
    </row>
    <row r="245" spans="1:47" ht="15" customHeight="1" x14ac:dyDescent="0.15">
      <c r="A245" s="575">
        <v>44471</v>
      </c>
      <c r="B245" s="523">
        <v>226</v>
      </c>
      <c r="C245" s="523">
        <v>245</v>
      </c>
      <c r="D245" s="523">
        <v>2</v>
      </c>
      <c r="E245" s="523" t="s">
        <v>1277</v>
      </c>
      <c r="F245" s="554">
        <v>200000</v>
      </c>
      <c r="G245" s="524">
        <v>1</v>
      </c>
      <c r="H245" s="555">
        <v>7.4999999999999997E-2</v>
      </c>
      <c r="I245" s="560" t="s">
        <v>859</v>
      </c>
      <c r="J245" s="523" t="s">
        <v>862</v>
      </c>
      <c r="K245" s="528" t="str">
        <f>IFERROR(VLOOKUP($B245,'Clients-Live'!$A:$C,3,0),"")</f>
        <v>MATURU NEEMA</v>
      </c>
      <c r="L245" s="528">
        <f>IF(E245="STL",Pricing!$D$38,IF(A245="",0,IF(A245&lt;Pricing!$C$25,Pricing!$D$25,VLOOKUP(Disbursements!$F245,Pricing!$B$29:$D$32,3))))</f>
        <v>15000</v>
      </c>
      <c r="M245" s="528">
        <f>IF(E245="STL",0,IF(F245&gt;0,Pricing!$D$21,0))</f>
        <v>5000</v>
      </c>
      <c r="N245" s="529">
        <f>IF(E245="STL",F245*Pricing!$D$40,IF(A245&lt;=Pricing!$C$4,0,IF(AND(A245&gt;Pricing!$C$4,Disbursements!A245&lt;=Pricing!$C$5),F245*Pricing!$E$5,IF(AND(A245&gt;Pricing!$C$5,Disbursements!A245&lt;=Pricing!$C$7),VLOOKUP(F245,Pricing!$D$7:$E$8,2)*Disbursements!F245,F245*Pricing!$E$9))))</f>
        <v>2000</v>
      </c>
      <c r="O245" s="528">
        <f>IF(E245="STL",0,IF($F245&gt;0,$F245*Pricing!$D$17,0))</f>
        <v>20000</v>
      </c>
      <c r="P245" s="530">
        <f t="shared" si="100"/>
        <v>15000</v>
      </c>
      <c r="Q245" s="531">
        <f>IF($A245="","",$G245/VLOOKUP($I245,Ref!$B$23:$D$29,2,0))</f>
        <v>1</v>
      </c>
      <c r="R245" s="530">
        <f t="shared" si="101"/>
        <v>215000</v>
      </c>
      <c r="S245" s="532">
        <f t="shared" si="95"/>
        <v>215000</v>
      </c>
      <c r="T245" s="531">
        <f t="shared" si="102"/>
        <v>215000</v>
      </c>
      <c r="U245" s="533">
        <f t="shared" si="103"/>
        <v>215000</v>
      </c>
      <c r="V245" s="531">
        <f t="shared" si="104"/>
        <v>200000</v>
      </c>
      <c r="W245" s="531">
        <f t="shared" si="105"/>
        <v>15000</v>
      </c>
      <c r="X245" s="534">
        <f t="shared" si="106"/>
        <v>15000</v>
      </c>
      <c r="Y245" s="535">
        <f>IF($A245="","",IF($I245="weekly",$A245+7,EDATE($A245,VLOOKUP($I245,Ref!$B$24:$C$29,2,0))))</f>
        <v>44502</v>
      </c>
      <c r="Z245" s="536" t="str">
        <f t="shared" si="107"/>
        <v>Tue</v>
      </c>
      <c r="AA245" s="531">
        <f t="shared" si="108"/>
        <v>31</v>
      </c>
      <c r="AB245" s="535">
        <f t="shared" si="96"/>
        <v>44502</v>
      </c>
      <c r="AC245" s="537">
        <f t="shared" si="97"/>
        <v>31</v>
      </c>
      <c r="AD245" s="538" t="str">
        <f t="shared" ca="1" si="98"/>
        <v>Expired</v>
      </c>
      <c r="AE245" s="537">
        <f t="shared" ca="1" si="99"/>
        <v>0</v>
      </c>
      <c r="AF245" s="539">
        <f t="shared" ca="1" si="109"/>
        <v>1</v>
      </c>
      <c r="AG245" s="531">
        <f t="shared" ca="1" si="110"/>
        <v>215000</v>
      </c>
      <c r="AH245" s="531">
        <f t="shared" ca="1" si="111"/>
        <v>15000</v>
      </c>
      <c r="AI245" s="531">
        <f t="shared" ca="1" si="112"/>
        <v>200000</v>
      </c>
      <c r="AJ245" s="531">
        <f t="shared" ca="1" si="113"/>
        <v>0</v>
      </c>
      <c r="AK245" s="540">
        <f>SUMIFS('Live Collections'!$S:$S,'Live Collections'!$D:$D,Disbursements!B245,'Live Collections'!$G:$G,Disbursements!C245)</f>
        <v>15000</v>
      </c>
      <c r="AL245" s="540">
        <f>SUMIFS('Live Collections'!$T:$T,'Live Collections'!$D:$D,Disbursements!B245,'Live Collections'!$G:$G,Disbursements!C245)</f>
        <v>15000</v>
      </c>
      <c r="AM245" s="541">
        <f t="shared" si="114"/>
        <v>30000</v>
      </c>
      <c r="AN245" s="542">
        <f t="shared" si="115"/>
        <v>0</v>
      </c>
      <c r="AO245" s="542">
        <f t="shared" si="116"/>
        <v>185000</v>
      </c>
      <c r="AP245" s="543">
        <f t="shared" si="117"/>
        <v>185000</v>
      </c>
      <c r="AQ245" s="544">
        <f t="shared" ca="1" si="118"/>
        <v>185000</v>
      </c>
      <c r="AR245" s="545">
        <f t="shared" ca="1" si="119"/>
        <v>0.86046511627906974</v>
      </c>
      <c r="AS245" s="545">
        <f ca="1">IFERROR(CEILING($AR245*VLOOKUP($I245,Ref!$B$23:$E$29,4,0),1),0)</f>
        <v>26</v>
      </c>
      <c r="AT245" s="545" t="str">
        <f ca="1">IF(A245="","",IF(AP245&lt;=1,"Cleared",IF(AS245=0,"Clean",VLOOKUP($AS245,Ref!$G$23:$H$28,2))))</f>
        <v>1.(0-30) Days</v>
      </c>
      <c r="AU245" s="546" t="str">
        <f t="shared" si="120"/>
        <v>Ok</v>
      </c>
    </row>
    <row r="246" spans="1:47" ht="15" customHeight="1" x14ac:dyDescent="0.15">
      <c r="A246" s="575">
        <v>44471</v>
      </c>
      <c r="B246" s="523">
        <v>235</v>
      </c>
      <c r="C246" s="523">
        <v>243</v>
      </c>
      <c r="D246" s="523">
        <v>1</v>
      </c>
      <c r="E246" s="523" t="s">
        <v>1275</v>
      </c>
      <c r="F246" s="554">
        <v>1000000</v>
      </c>
      <c r="G246" s="524">
        <v>1</v>
      </c>
      <c r="H246" s="555">
        <v>7.4999999999999997E-2</v>
      </c>
      <c r="I246" s="560" t="s">
        <v>859</v>
      </c>
      <c r="J246" s="523" t="s">
        <v>862</v>
      </c>
      <c r="K246" s="528" t="str">
        <f>IFERROR(VLOOKUP($B246,'Clients-Live'!$A:$C,3,0),"")</f>
        <v>AMULE ISAAC</v>
      </c>
      <c r="L246" s="528">
        <f>IF(E246="STL",Pricing!$D$38,IF(A246="",0,IF(A246&lt;Pricing!$C$25,Pricing!$D$25,VLOOKUP(Disbursements!$F246,Pricing!$B$29:$D$32,3))))</f>
        <v>20000</v>
      </c>
      <c r="M246" s="528">
        <f>IF(E246="STL",0,IF(F246&gt;0,Pricing!$D$21,0))</f>
        <v>5000</v>
      </c>
      <c r="N246" s="529">
        <f>IF(E246="STL",F246*Pricing!$D$40,IF(A246&lt;=Pricing!$C$4,0,IF(AND(A246&gt;Pricing!$C$4,Disbursements!A246&lt;=Pricing!$C$5),F246*Pricing!$E$5,IF(AND(A246&gt;Pricing!$C$5,Disbursements!A246&lt;=Pricing!$C$7),VLOOKUP(F246,Pricing!$D$7:$E$8,2)*Disbursements!F246,F246*Pricing!$E$9))))</f>
        <v>10000</v>
      </c>
      <c r="O246" s="528">
        <f>IF(E246="STL",0,IF($F246&gt;0,$F246*Pricing!$D$17,0))</f>
        <v>100000</v>
      </c>
      <c r="P246" s="530">
        <f t="shared" si="100"/>
        <v>75000</v>
      </c>
      <c r="Q246" s="531">
        <f>IF($A246="","",$G246/VLOOKUP($I246,Ref!$B$23:$D$29,2,0))</f>
        <v>1</v>
      </c>
      <c r="R246" s="530">
        <f t="shared" si="101"/>
        <v>1075000</v>
      </c>
      <c r="S246" s="532">
        <f t="shared" si="95"/>
        <v>1075000</v>
      </c>
      <c r="T246" s="531">
        <f t="shared" si="102"/>
        <v>1075000</v>
      </c>
      <c r="U246" s="533">
        <f t="shared" si="103"/>
        <v>1075000</v>
      </c>
      <c r="V246" s="531">
        <f t="shared" si="104"/>
        <v>1000000</v>
      </c>
      <c r="W246" s="531">
        <f t="shared" si="105"/>
        <v>75000</v>
      </c>
      <c r="X246" s="534">
        <f t="shared" si="106"/>
        <v>75000</v>
      </c>
      <c r="Y246" s="535">
        <f>IF($A246="","",IF($I246="weekly",$A246+7,EDATE($A246,VLOOKUP($I246,Ref!$B$24:$C$29,2,0))))</f>
        <v>44502</v>
      </c>
      <c r="Z246" s="536" t="str">
        <f t="shared" si="107"/>
        <v>Tue</v>
      </c>
      <c r="AA246" s="531">
        <f t="shared" si="108"/>
        <v>31</v>
      </c>
      <c r="AB246" s="535">
        <f t="shared" si="96"/>
        <v>44502</v>
      </c>
      <c r="AC246" s="537">
        <f t="shared" si="97"/>
        <v>31</v>
      </c>
      <c r="AD246" s="538" t="str">
        <f t="shared" ca="1" si="98"/>
        <v>Expired</v>
      </c>
      <c r="AE246" s="537">
        <f t="shared" ca="1" si="99"/>
        <v>0</v>
      </c>
      <c r="AF246" s="539">
        <f t="shared" ca="1" si="109"/>
        <v>1</v>
      </c>
      <c r="AG246" s="531">
        <f t="shared" ca="1" si="110"/>
        <v>1075000</v>
      </c>
      <c r="AH246" s="531">
        <f t="shared" ca="1" si="111"/>
        <v>75000</v>
      </c>
      <c r="AI246" s="531">
        <f t="shared" ca="1" si="112"/>
        <v>1000000</v>
      </c>
      <c r="AJ246" s="531">
        <f t="shared" ca="1" si="113"/>
        <v>0</v>
      </c>
      <c r="AK246" s="540">
        <f>SUMIFS('Live Collections'!$S:$S,'Live Collections'!$D:$D,Disbursements!B246,'Live Collections'!$G:$G,Disbursements!C246)</f>
        <v>75000</v>
      </c>
      <c r="AL246" s="540">
        <f>SUMIFS('Live Collections'!$T:$T,'Live Collections'!$D:$D,Disbursements!B246,'Live Collections'!$G:$G,Disbursements!C246)</f>
        <v>1000000</v>
      </c>
      <c r="AM246" s="541">
        <f t="shared" si="114"/>
        <v>1075000</v>
      </c>
      <c r="AN246" s="542">
        <f t="shared" si="115"/>
        <v>0</v>
      </c>
      <c r="AO246" s="542">
        <f t="shared" si="116"/>
        <v>0</v>
      </c>
      <c r="AP246" s="543">
        <f t="shared" si="117"/>
        <v>0</v>
      </c>
      <c r="AQ246" s="544" t="str">
        <f t="shared" ca="1" si="118"/>
        <v/>
      </c>
      <c r="AR246" s="545">
        <f t="shared" ca="1" si="119"/>
        <v>0</v>
      </c>
      <c r="AS246" s="545">
        <f ca="1">IFERROR(CEILING($AR246*VLOOKUP($I246,Ref!$B$23:$E$29,4,0),1),0)</f>
        <v>0</v>
      </c>
      <c r="AT246" s="545" t="str">
        <f>IF(A246="","",IF(AP246&lt;=1,"Cleared",IF(AS246=0,"Clean",VLOOKUP($AS246,Ref!$G$23:$H$28,2))))</f>
        <v>Cleared</v>
      </c>
      <c r="AU246" s="546" t="str">
        <f t="shared" si="120"/>
        <v>Ok</v>
      </c>
    </row>
    <row r="247" spans="1:47" ht="15" customHeight="1" x14ac:dyDescent="0.15">
      <c r="A247" s="575">
        <v>44471</v>
      </c>
      <c r="B247" s="523">
        <v>237</v>
      </c>
      <c r="C247" s="523">
        <v>244</v>
      </c>
      <c r="D247" s="523">
        <v>1</v>
      </c>
      <c r="E247" s="523" t="s">
        <v>1274</v>
      </c>
      <c r="F247" s="554">
        <v>500000</v>
      </c>
      <c r="G247" s="524">
        <v>4</v>
      </c>
      <c r="H247" s="555">
        <v>0.05</v>
      </c>
      <c r="I247" s="560" t="s">
        <v>859</v>
      </c>
      <c r="J247" s="523" t="s">
        <v>864</v>
      </c>
      <c r="K247" s="528" t="str">
        <f>IFERROR(VLOOKUP($B247,'Clients-Live'!$A:$C,3,0),"")</f>
        <v>EZRA INNOCENT</v>
      </c>
      <c r="L247" s="528">
        <f>IF(E247="STL",Pricing!$D$38,IF(A247="",0,IF(A247&lt;Pricing!$C$25,Pricing!$D$25,VLOOKUP(Disbursements!$F247,Pricing!$B$29:$D$32,3))))</f>
        <v>15000</v>
      </c>
      <c r="M247" s="528">
        <f>IF(E247="STL",0,IF(F247&gt;0,Pricing!$D$21,0))</f>
        <v>5000</v>
      </c>
      <c r="N247" s="529">
        <f>IF(E247="STL",F247*Pricing!$D$40,IF(A247&lt;=Pricing!$C$4,0,IF(AND(A247&gt;Pricing!$C$4,Disbursements!A247&lt;=Pricing!$C$5),F247*Pricing!$E$5,IF(AND(A247&gt;Pricing!$C$5,Disbursements!A247&lt;=Pricing!$C$7),VLOOKUP(F247,Pricing!$D$7:$E$8,2)*Disbursements!F247,F247*Pricing!$E$9))))</f>
        <v>5000</v>
      </c>
      <c r="O247" s="528">
        <f>IF(E247="STL",0,IF($F247&gt;0,$F247*Pricing!$D$17,0))</f>
        <v>50000</v>
      </c>
      <c r="P247" s="530">
        <f t="shared" si="100"/>
        <v>100000</v>
      </c>
      <c r="Q247" s="531">
        <f>IF($A247="","",$G247/VLOOKUP($I247,Ref!$B$23:$D$29,2,0))</f>
        <v>4</v>
      </c>
      <c r="R247" s="530">
        <f t="shared" si="101"/>
        <v>600000</v>
      </c>
      <c r="S247" s="532">
        <f t="shared" si="95"/>
        <v>150000</v>
      </c>
      <c r="T247" s="531">
        <f t="shared" si="102"/>
        <v>150000</v>
      </c>
      <c r="U247" s="533">
        <f t="shared" si="103"/>
        <v>600000</v>
      </c>
      <c r="V247" s="531">
        <f t="shared" si="104"/>
        <v>125000</v>
      </c>
      <c r="W247" s="531">
        <f t="shared" si="105"/>
        <v>25000</v>
      </c>
      <c r="X247" s="534">
        <f t="shared" si="106"/>
        <v>100000</v>
      </c>
      <c r="Y247" s="535">
        <f>IF($A247="","",IF($I247="weekly",$A247+7,EDATE($A247,VLOOKUP($I247,Ref!$B$24:$C$29,2,0))))</f>
        <v>44502</v>
      </c>
      <c r="Z247" s="536" t="str">
        <f t="shared" si="107"/>
        <v>Tue</v>
      </c>
      <c r="AA247" s="531">
        <f t="shared" si="108"/>
        <v>31</v>
      </c>
      <c r="AB247" s="535">
        <f t="shared" si="96"/>
        <v>44594</v>
      </c>
      <c r="AC247" s="537">
        <f t="shared" si="97"/>
        <v>123</v>
      </c>
      <c r="AD247" s="538" t="str">
        <f t="shared" ca="1" si="98"/>
        <v>Expired</v>
      </c>
      <c r="AE247" s="537">
        <f t="shared" ca="1" si="99"/>
        <v>0</v>
      </c>
      <c r="AF247" s="539">
        <f t="shared" ca="1" si="109"/>
        <v>4</v>
      </c>
      <c r="AG247" s="531">
        <f t="shared" ca="1" si="110"/>
        <v>600000</v>
      </c>
      <c r="AH247" s="531">
        <f t="shared" ca="1" si="111"/>
        <v>100000</v>
      </c>
      <c r="AI247" s="531">
        <f t="shared" ca="1" si="112"/>
        <v>500000</v>
      </c>
      <c r="AJ247" s="531">
        <f t="shared" ca="1" si="113"/>
        <v>0</v>
      </c>
      <c r="AK247" s="540">
        <f>SUMIFS('Live Collections'!$S:$S,'Live Collections'!$D:$D,Disbursements!B247,'Live Collections'!$G:$G,Disbursements!C247)</f>
        <v>100000</v>
      </c>
      <c r="AL247" s="540">
        <f>SUMIFS('Live Collections'!$T:$T,'Live Collections'!$D:$D,Disbursements!B247,'Live Collections'!$G:$G,Disbursements!C247)</f>
        <v>200000</v>
      </c>
      <c r="AM247" s="541">
        <f t="shared" si="114"/>
        <v>300000</v>
      </c>
      <c r="AN247" s="542">
        <f t="shared" si="115"/>
        <v>0</v>
      </c>
      <c r="AO247" s="542">
        <f t="shared" si="116"/>
        <v>300000</v>
      </c>
      <c r="AP247" s="543">
        <f t="shared" si="117"/>
        <v>300000</v>
      </c>
      <c r="AQ247" s="544">
        <f t="shared" ca="1" si="118"/>
        <v>300000</v>
      </c>
      <c r="AR247" s="545">
        <f t="shared" ca="1" si="119"/>
        <v>2</v>
      </c>
      <c r="AS247" s="545">
        <f ca="1">IFERROR(CEILING($AR247*VLOOKUP($I247,Ref!$B$23:$E$29,4,0),1),0)</f>
        <v>60</v>
      </c>
      <c r="AT247" s="545" t="str">
        <f ca="1">IF(A247="","",IF(AP247&lt;=1,"Cleared",IF(AS247=0,"Clean",VLOOKUP($AS247,Ref!$G$23:$H$28,2))))</f>
        <v>2.(31-60) Days</v>
      </c>
      <c r="AU247" s="546" t="str">
        <f t="shared" si="120"/>
        <v>Ok</v>
      </c>
    </row>
    <row r="248" spans="1:47" ht="15" customHeight="1" x14ac:dyDescent="0.15">
      <c r="A248" s="575">
        <v>44473</v>
      </c>
      <c r="B248" s="523">
        <v>233</v>
      </c>
      <c r="C248" s="523">
        <v>246</v>
      </c>
      <c r="D248" s="523">
        <v>1</v>
      </c>
      <c r="E248" s="523" t="s">
        <v>1274</v>
      </c>
      <c r="F248" s="554">
        <v>500000</v>
      </c>
      <c r="G248" s="524">
        <v>4</v>
      </c>
      <c r="H248" s="555">
        <v>0.05</v>
      </c>
      <c r="I248" s="560" t="s">
        <v>859</v>
      </c>
      <c r="J248" s="523" t="s">
        <v>863</v>
      </c>
      <c r="K248" s="528" t="str">
        <f>IFERROR(VLOOKUP($B248,'Clients-Live'!$A:$C,3,0),"")</f>
        <v>KAMOYO HARRIET</v>
      </c>
      <c r="L248" s="528">
        <f>IF(E248="STL",Pricing!$D$38,IF(A248="",0,IF(A248&lt;Pricing!$C$25,Pricing!$D$25,VLOOKUP(Disbursements!$F248,Pricing!$B$29:$D$32,3))))</f>
        <v>15000</v>
      </c>
      <c r="M248" s="528">
        <f>IF(E248="STL",0,IF(F248&gt;0,Pricing!$D$21,0))</f>
        <v>5000</v>
      </c>
      <c r="N248" s="529">
        <f>IF(E248="STL",F248*Pricing!$D$40,IF(A248&lt;=Pricing!$C$4,0,IF(AND(A248&gt;Pricing!$C$4,Disbursements!A248&lt;=Pricing!$C$5),F248*Pricing!$E$5,IF(AND(A248&gt;Pricing!$C$5,Disbursements!A248&lt;=Pricing!$C$7),VLOOKUP(F248,Pricing!$D$7:$E$8,2)*Disbursements!F248,F248*Pricing!$E$9))))</f>
        <v>5000</v>
      </c>
      <c r="O248" s="528">
        <f>IF(E248="STL",0,IF($F248&gt;0,$F248*Pricing!$D$17,0))</f>
        <v>50000</v>
      </c>
      <c r="P248" s="530">
        <f t="shared" si="100"/>
        <v>100000</v>
      </c>
      <c r="Q248" s="531">
        <f>IF($A248="","",$G248/VLOOKUP($I248,Ref!$B$23:$D$29,2,0))</f>
        <v>4</v>
      </c>
      <c r="R248" s="530">
        <f t="shared" si="101"/>
        <v>600000</v>
      </c>
      <c r="S248" s="532">
        <f t="shared" si="95"/>
        <v>150000</v>
      </c>
      <c r="T248" s="531">
        <f t="shared" si="102"/>
        <v>150000</v>
      </c>
      <c r="U248" s="533">
        <f t="shared" si="103"/>
        <v>600000</v>
      </c>
      <c r="V248" s="531">
        <f t="shared" si="104"/>
        <v>125000</v>
      </c>
      <c r="W248" s="531">
        <f t="shared" si="105"/>
        <v>25000</v>
      </c>
      <c r="X248" s="534">
        <f t="shared" si="106"/>
        <v>100000</v>
      </c>
      <c r="Y248" s="535">
        <f>IF($A248="","",IF($I248="weekly",$A248+7,EDATE($A248,VLOOKUP($I248,Ref!$B$24:$C$29,2,0))))</f>
        <v>44504</v>
      </c>
      <c r="Z248" s="536" t="str">
        <f t="shared" si="107"/>
        <v>Thu</v>
      </c>
      <c r="AA248" s="531">
        <f t="shared" si="108"/>
        <v>31</v>
      </c>
      <c r="AB248" s="535">
        <f t="shared" si="96"/>
        <v>44596</v>
      </c>
      <c r="AC248" s="537">
        <f t="shared" si="97"/>
        <v>123</v>
      </c>
      <c r="AD248" s="538" t="str">
        <f t="shared" ca="1" si="98"/>
        <v>Expired</v>
      </c>
      <c r="AE248" s="537">
        <f t="shared" ca="1" si="99"/>
        <v>0</v>
      </c>
      <c r="AF248" s="539">
        <f t="shared" ca="1" si="109"/>
        <v>4</v>
      </c>
      <c r="AG248" s="531">
        <f t="shared" ca="1" si="110"/>
        <v>600000</v>
      </c>
      <c r="AH248" s="531">
        <f t="shared" ca="1" si="111"/>
        <v>100000</v>
      </c>
      <c r="AI248" s="531">
        <f t="shared" ca="1" si="112"/>
        <v>500000</v>
      </c>
      <c r="AJ248" s="531">
        <f t="shared" ca="1" si="113"/>
        <v>0</v>
      </c>
      <c r="AK248" s="540">
        <f>SUMIFS('Live Collections'!$S:$S,'Live Collections'!$D:$D,Disbursements!B248,'Live Collections'!$G:$G,Disbursements!C248)</f>
        <v>100000</v>
      </c>
      <c r="AL248" s="540">
        <f>SUMIFS('Live Collections'!$T:$T,'Live Collections'!$D:$D,Disbursements!B248,'Live Collections'!$G:$G,Disbursements!C248)</f>
        <v>500000</v>
      </c>
      <c r="AM248" s="541">
        <f t="shared" si="114"/>
        <v>600000</v>
      </c>
      <c r="AN248" s="542">
        <f t="shared" si="115"/>
        <v>0</v>
      </c>
      <c r="AO248" s="542">
        <f t="shared" si="116"/>
        <v>0</v>
      </c>
      <c r="AP248" s="543">
        <f t="shared" si="117"/>
        <v>0</v>
      </c>
      <c r="AQ248" s="544" t="str">
        <f t="shared" ca="1" si="118"/>
        <v/>
      </c>
      <c r="AR248" s="545">
        <f t="shared" ca="1" si="119"/>
        <v>0</v>
      </c>
      <c r="AS248" s="545">
        <f ca="1">IFERROR(CEILING($AR248*VLOOKUP($I248,Ref!$B$23:$E$29,4,0),1),0)</f>
        <v>0</v>
      </c>
      <c r="AT248" s="545" t="str">
        <f>IF(A248="","",IF(AP248&lt;=1,"Cleared",IF(AS248=0,"Clean",VLOOKUP($AS248,Ref!$G$23:$H$28,2))))</f>
        <v>Cleared</v>
      </c>
      <c r="AU248" s="546" t="str">
        <f t="shared" si="120"/>
        <v>Ok</v>
      </c>
    </row>
    <row r="249" spans="1:47" ht="15" customHeight="1" x14ac:dyDescent="0.15">
      <c r="A249" s="575">
        <v>44474</v>
      </c>
      <c r="B249" s="523">
        <v>96</v>
      </c>
      <c r="C249" s="523">
        <v>248</v>
      </c>
      <c r="D249" s="523">
        <v>2</v>
      </c>
      <c r="E249" s="523" t="s">
        <v>1274</v>
      </c>
      <c r="F249" s="554">
        <v>700000</v>
      </c>
      <c r="G249" s="524">
        <v>4</v>
      </c>
      <c r="H249" s="555">
        <v>0.05</v>
      </c>
      <c r="I249" s="560" t="s">
        <v>859</v>
      </c>
      <c r="J249" s="523" t="s">
        <v>863</v>
      </c>
      <c r="K249" s="528" t="str">
        <f>IFERROR(VLOOKUP($B249,'Clients-Live'!$A:$C,3,0),"")</f>
        <v>AKANDU NIGHT YONGORO</v>
      </c>
      <c r="L249" s="528">
        <f>IF(E249="STL",Pricing!$D$38,IF(A249="",0,IF(A249&lt;Pricing!$C$25,Pricing!$D$25,VLOOKUP(Disbursements!$F249,Pricing!$B$29:$D$32,3))))</f>
        <v>20000</v>
      </c>
      <c r="M249" s="528">
        <f>IF(E249="STL",0,IF(F249&gt;0,Pricing!$D$21,0))</f>
        <v>5000</v>
      </c>
      <c r="N249" s="529">
        <f>IF(E249="STL",F249*Pricing!$D$40,IF(A249&lt;=Pricing!$C$4,0,IF(AND(A249&gt;Pricing!$C$4,Disbursements!A249&lt;=Pricing!$C$5),F249*Pricing!$E$5,IF(AND(A249&gt;Pricing!$C$5,Disbursements!A249&lt;=Pricing!$C$7),VLOOKUP(F249,Pricing!$D$7:$E$8,2)*Disbursements!F249,F249*Pricing!$E$9))))</f>
        <v>7000</v>
      </c>
      <c r="O249" s="528">
        <f>IF(E249="STL",0,IF($F249&gt;0,$F249*Pricing!$D$17,0))</f>
        <v>70000</v>
      </c>
      <c r="P249" s="530">
        <f t="shared" si="100"/>
        <v>140000</v>
      </c>
      <c r="Q249" s="531">
        <f>IF($A249="","",$G249/VLOOKUP($I249,Ref!$B$23:$D$29,2,0))</f>
        <v>4</v>
      </c>
      <c r="R249" s="530">
        <f t="shared" si="101"/>
        <v>840000</v>
      </c>
      <c r="S249" s="532">
        <f t="shared" si="95"/>
        <v>210000</v>
      </c>
      <c r="T249" s="531">
        <f t="shared" si="102"/>
        <v>210000</v>
      </c>
      <c r="U249" s="533">
        <f t="shared" si="103"/>
        <v>840000</v>
      </c>
      <c r="V249" s="531">
        <f t="shared" si="104"/>
        <v>175000</v>
      </c>
      <c r="W249" s="531">
        <f t="shared" si="105"/>
        <v>35000</v>
      </c>
      <c r="X249" s="534">
        <f t="shared" si="106"/>
        <v>140000</v>
      </c>
      <c r="Y249" s="535">
        <f>IF($A249="","",IF($I249="weekly",$A249+7,EDATE($A249,VLOOKUP($I249,Ref!$B$24:$C$29,2,0))))</f>
        <v>44505</v>
      </c>
      <c r="Z249" s="536" t="str">
        <f t="shared" si="107"/>
        <v>Frid</v>
      </c>
      <c r="AA249" s="531">
        <f t="shared" si="108"/>
        <v>31</v>
      </c>
      <c r="AB249" s="535">
        <f t="shared" si="96"/>
        <v>44597</v>
      </c>
      <c r="AC249" s="537">
        <f t="shared" si="97"/>
        <v>123</v>
      </c>
      <c r="AD249" s="538" t="str">
        <f t="shared" ca="1" si="98"/>
        <v>Expired</v>
      </c>
      <c r="AE249" s="537">
        <f t="shared" ca="1" si="99"/>
        <v>0</v>
      </c>
      <c r="AF249" s="539">
        <f t="shared" ca="1" si="109"/>
        <v>4</v>
      </c>
      <c r="AG249" s="531">
        <f t="shared" ca="1" si="110"/>
        <v>840000</v>
      </c>
      <c r="AH249" s="531">
        <f t="shared" ca="1" si="111"/>
        <v>140000</v>
      </c>
      <c r="AI249" s="531">
        <f t="shared" ca="1" si="112"/>
        <v>700000</v>
      </c>
      <c r="AJ249" s="531">
        <f t="shared" ca="1" si="113"/>
        <v>0</v>
      </c>
      <c r="AK249" s="540">
        <f>SUMIFS('Live Collections'!$S:$S,'Live Collections'!$D:$D,Disbursements!B249,'Live Collections'!$G:$G,Disbursements!C249)</f>
        <v>140000</v>
      </c>
      <c r="AL249" s="540">
        <f>SUMIFS('Live Collections'!$T:$T,'Live Collections'!$D:$D,Disbursements!B249,'Live Collections'!$G:$G,Disbursements!C249)</f>
        <v>700000</v>
      </c>
      <c r="AM249" s="541">
        <f t="shared" si="114"/>
        <v>840000</v>
      </c>
      <c r="AN249" s="542">
        <f t="shared" si="115"/>
        <v>0</v>
      </c>
      <c r="AO249" s="542">
        <f t="shared" si="116"/>
        <v>0</v>
      </c>
      <c r="AP249" s="543">
        <f t="shared" si="117"/>
        <v>0</v>
      </c>
      <c r="AQ249" s="544" t="str">
        <f t="shared" ca="1" si="118"/>
        <v/>
      </c>
      <c r="AR249" s="545">
        <f t="shared" ca="1" si="119"/>
        <v>0</v>
      </c>
      <c r="AS249" s="545">
        <f ca="1">IFERROR(CEILING($AR249*VLOOKUP($I249,Ref!$B$23:$E$29,4,0),1),0)</f>
        <v>0</v>
      </c>
      <c r="AT249" s="545" t="str">
        <f>IF(A249="","",IF(AP249&lt;=1,"Cleared",IF(AS249=0,"Clean",VLOOKUP($AS249,Ref!$G$23:$H$28,2))))</f>
        <v>Cleared</v>
      </c>
      <c r="AU249" s="546" t="str">
        <f t="shared" si="120"/>
        <v>Ok</v>
      </c>
    </row>
    <row r="250" spans="1:47" ht="15" customHeight="1" x14ac:dyDescent="0.15">
      <c r="A250" s="575">
        <v>44474</v>
      </c>
      <c r="B250" s="523">
        <v>222</v>
      </c>
      <c r="C250" s="523">
        <v>249</v>
      </c>
      <c r="D250" s="523">
        <v>1</v>
      </c>
      <c r="E250" s="523" t="s">
        <v>1274</v>
      </c>
      <c r="F250" s="554">
        <v>600000</v>
      </c>
      <c r="G250" s="524">
        <v>4</v>
      </c>
      <c r="H250" s="555">
        <v>0.05</v>
      </c>
      <c r="I250" s="560" t="s">
        <v>859</v>
      </c>
      <c r="J250" s="523" t="s">
        <v>863</v>
      </c>
      <c r="K250" s="528" t="str">
        <f>IFERROR(VLOOKUP($B250,'Clients-Live'!$A:$C,3,0),"")</f>
        <v>ITITU ZAIDA</v>
      </c>
      <c r="L250" s="528">
        <f>IF(E250="STL",Pricing!$D$38,IF(A250="",0,IF(A250&lt;Pricing!$C$25,Pricing!$D$25,VLOOKUP(Disbursements!$F250,Pricing!$B$29:$D$32,3))))</f>
        <v>20000</v>
      </c>
      <c r="M250" s="528">
        <f>IF(E250="STL",0,IF(F250&gt;0,Pricing!$D$21,0))</f>
        <v>5000</v>
      </c>
      <c r="N250" s="529">
        <f>IF(E250="STL",F250*Pricing!$D$40,IF(A250&lt;=Pricing!$C$4,0,IF(AND(A250&gt;Pricing!$C$4,Disbursements!A250&lt;=Pricing!$C$5),F250*Pricing!$E$5,IF(AND(A250&gt;Pricing!$C$5,Disbursements!A250&lt;=Pricing!$C$7),VLOOKUP(F250,Pricing!$D$7:$E$8,2)*Disbursements!F250,F250*Pricing!$E$9))))</f>
        <v>6000</v>
      </c>
      <c r="O250" s="528">
        <f>IF(E250="STL",0,IF($F250&gt;0,$F250*Pricing!$D$17,0))</f>
        <v>60000</v>
      </c>
      <c r="P250" s="530">
        <f t="shared" si="100"/>
        <v>120000</v>
      </c>
      <c r="Q250" s="531">
        <f>IF($A250="","",$G250/VLOOKUP($I250,Ref!$B$23:$D$29,2,0))</f>
        <v>4</v>
      </c>
      <c r="R250" s="530">
        <f t="shared" si="101"/>
        <v>720000</v>
      </c>
      <c r="S250" s="532">
        <f t="shared" si="95"/>
        <v>180000</v>
      </c>
      <c r="T250" s="531">
        <f t="shared" si="102"/>
        <v>180000</v>
      </c>
      <c r="U250" s="533">
        <f t="shared" si="103"/>
        <v>720000</v>
      </c>
      <c r="V250" s="531">
        <f t="shared" si="104"/>
        <v>150000</v>
      </c>
      <c r="W250" s="531">
        <f t="shared" si="105"/>
        <v>30000</v>
      </c>
      <c r="X250" s="534">
        <f t="shared" si="106"/>
        <v>120000</v>
      </c>
      <c r="Y250" s="535">
        <f>IF($A250="","",IF($I250="weekly",$A250+7,EDATE($A250,VLOOKUP($I250,Ref!$B$24:$C$29,2,0))))</f>
        <v>44505</v>
      </c>
      <c r="Z250" s="536" t="str">
        <f t="shared" si="107"/>
        <v>Frid</v>
      </c>
      <c r="AA250" s="531">
        <f t="shared" si="108"/>
        <v>31</v>
      </c>
      <c r="AB250" s="535">
        <f t="shared" si="96"/>
        <v>44597</v>
      </c>
      <c r="AC250" s="537">
        <f t="shared" si="97"/>
        <v>123</v>
      </c>
      <c r="AD250" s="538" t="str">
        <f t="shared" ca="1" si="98"/>
        <v>Expired</v>
      </c>
      <c r="AE250" s="537">
        <f t="shared" ca="1" si="99"/>
        <v>0</v>
      </c>
      <c r="AF250" s="539">
        <f t="shared" ca="1" si="109"/>
        <v>4</v>
      </c>
      <c r="AG250" s="531">
        <f t="shared" ca="1" si="110"/>
        <v>720000</v>
      </c>
      <c r="AH250" s="531">
        <f t="shared" ca="1" si="111"/>
        <v>120000</v>
      </c>
      <c r="AI250" s="531">
        <f t="shared" ca="1" si="112"/>
        <v>600000</v>
      </c>
      <c r="AJ250" s="531">
        <f t="shared" ca="1" si="113"/>
        <v>0</v>
      </c>
      <c r="AK250" s="540">
        <f>SUMIFS('Live Collections'!$S:$S,'Live Collections'!$D:$D,Disbursements!B250,'Live Collections'!$G:$G,Disbursements!C250)</f>
        <v>120000</v>
      </c>
      <c r="AL250" s="540">
        <f>SUMIFS('Live Collections'!$T:$T,'Live Collections'!$D:$D,Disbursements!B250,'Live Collections'!$G:$G,Disbursements!C250)</f>
        <v>600000</v>
      </c>
      <c r="AM250" s="541">
        <f t="shared" si="114"/>
        <v>720000</v>
      </c>
      <c r="AN250" s="542">
        <f t="shared" si="115"/>
        <v>0</v>
      </c>
      <c r="AO250" s="542">
        <f t="shared" si="116"/>
        <v>0</v>
      </c>
      <c r="AP250" s="543">
        <f t="shared" si="117"/>
        <v>0</v>
      </c>
      <c r="AQ250" s="544" t="str">
        <f t="shared" ca="1" si="118"/>
        <v/>
      </c>
      <c r="AR250" s="545">
        <f t="shared" ca="1" si="119"/>
        <v>0</v>
      </c>
      <c r="AS250" s="545">
        <f ca="1">IFERROR(CEILING($AR250*VLOOKUP($I250,Ref!$B$23:$E$29,4,0),1),0)</f>
        <v>0</v>
      </c>
      <c r="AT250" s="545" t="str">
        <f>IF(A250="","",IF(AP250&lt;=1,"Cleared",IF(AS250=0,"Clean",VLOOKUP($AS250,Ref!$G$23:$H$28,2))))</f>
        <v>Cleared</v>
      </c>
      <c r="AU250" s="546" t="str">
        <f t="shared" si="120"/>
        <v>Ok</v>
      </c>
    </row>
    <row r="251" spans="1:47" ht="15" customHeight="1" x14ac:dyDescent="0.15">
      <c r="A251" s="575">
        <v>44474</v>
      </c>
      <c r="B251" s="523">
        <v>236</v>
      </c>
      <c r="C251" s="523">
        <v>247</v>
      </c>
      <c r="D251" s="523">
        <v>1</v>
      </c>
      <c r="E251" s="523" t="s">
        <v>1274</v>
      </c>
      <c r="F251" s="554">
        <v>1000000</v>
      </c>
      <c r="G251" s="524">
        <v>3</v>
      </c>
      <c r="H251" s="555">
        <v>0.05</v>
      </c>
      <c r="I251" s="560" t="s">
        <v>859</v>
      </c>
      <c r="J251" s="523" t="s">
        <v>864</v>
      </c>
      <c r="K251" s="528" t="str">
        <f>IFERROR(VLOOKUP($B251,'Clients-Live'!$A:$C,3,0),"")</f>
        <v>AMIJI LUCY</v>
      </c>
      <c r="L251" s="528">
        <f>IF(E251="STL",Pricing!$D$38,IF(A251="",0,IF(A251&lt;Pricing!$C$25,Pricing!$D$25,VLOOKUP(Disbursements!$F251,Pricing!$B$29:$D$32,3))))</f>
        <v>20000</v>
      </c>
      <c r="M251" s="528">
        <f>IF(E251="STL",0,IF(F251&gt;0,Pricing!$D$21,0))</f>
        <v>5000</v>
      </c>
      <c r="N251" s="529">
        <f>IF(E251="STL",F251*Pricing!$D$40,IF(A251&lt;=Pricing!$C$4,0,IF(AND(A251&gt;Pricing!$C$4,Disbursements!A251&lt;=Pricing!$C$5),F251*Pricing!$E$5,IF(AND(A251&gt;Pricing!$C$5,Disbursements!A251&lt;=Pricing!$C$7),VLOOKUP(F251,Pricing!$D$7:$E$8,2)*Disbursements!F251,F251*Pricing!$E$9))))</f>
        <v>10000</v>
      </c>
      <c r="O251" s="528">
        <f>IF(E251="STL",0,IF($F251&gt;0,$F251*Pricing!$D$17,0))</f>
        <v>100000</v>
      </c>
      <c r="P251" s="530">
        <f t="shared" si="100"/>
        <v>150000</v>
      </c>
      <c r="Q251" s="531">
        <f>IF($A251="","",$G251/VLOOKUP($I251,Ref!$B$23:$D$29,2,0))</f>
        <v>3</v>
      </c>
      <c r="R251" s="530">
        <f t="shared" si="101"/>
        <v>1150000</v>
      </c>
      <c r="S251" s="532">
        <f t="shared" si="95"/>
        <v>383333.33333333331</v>
      </c>
      <c r="T251" s="531">
        <f t="shared" si="102"/>
        <v>384000</v>
      </c>
      <c r="U251" s="533">
        <f t="shared" si="103"/>
        <v>1152000</v>
      </c>
      <c r="V251" s="531">
        <f t="shared" si="104"/>
        <v>333333.33333333331</v>
      </c>
      <c r="W251" s="531">
        <f t="shared" si="105"/>
        <v>50666.666666666686</v>
      </c>
      <c r="X251" s="534">
        <f t="shared" si="106"/>
        <v>152000.00000000006</v>
      </c>
      <c r="Y251" s="535">
        <f>IF($A251="","",IF($I251="weekly",$A251+7,EDATE($A251,VLOOKUP($I251,Ref!$B$24:$C$29,2,0))))</f>
        <v>44505</v>
      </c>
      <c r="Z251" s="536" t="str">
        <f t="shared" si="107"/>
        <v>Frid</v>
      </c>
      <c r="AA251" s="531">
        <f t="shared" si="108"/>
        <v>31</v>
      </c>
      <c r="AB251" s="535">
        <f t="shared" si="96"/>
        <v>44566</v>
      </c>
      <c r="AC251" s="537">
        <f t="shared" si="97"/>
        <v>92</v>
      </c>
      <c r="AD251" s="538" t="str">
        <f t="shared" ca="1" si="98"/>
        <v>Expired</v>
      </c>
      <c r="AE251" s="537">
        <f t="shared" ca="1" si="99"/>
        <v>0</v>
      </c>
      <c r="AF251" s="539">
        <f t="shared" ca="1" si="109"/>
        <v>3</v>
      </c>
      <c r="AG251" s="531">
        <f t="shared" ca="1" si="110"/>
        <v>1152000</v>
      </c>
      <c r="AH251" s="531">
        <f t="shared" ca="1" si="111"/>
        <v>152000.00000000006</v>
      </c>
      <c r="AI251" s="531">
        <f t="shared" ca="1" si="112"/>
        <v>1000000</v>
      </c>
      <c r="AJ251" s="531">
        <f t="shared" ca="1" si="113"/>
        <v>0</v>
      </c>
      <c r="AK251" s="540">
        <f>SUMIFS('Live Collections'!$S:$S,'Live Collections'!$D:$D,Disbursements!B251,'Live Collections'!$G:$G,Disbursements!C251)</f>
        <v>152000.00000000006</v>
      </c>
      <c r="AL251" s="540">
        <f>SUMIFS('Live Collections'!$T:$T,'Live Collections'!$D:$D,Disbursements!B251,'Live Collections'!$G:$G,Disbursements!C251)</f>
        <v>997999.99999999988</v>
      </c>
      <c r="AM251" s="541">
        <f t="shared" si="114"/>
        <v>1150000</v>
      </c>
      <c r="AN251" s="542">
        <f t="shared" si="115"/>
        <v>0</v>
      </c>
      <c r="AO251" s="542">
        <f t="shared" si="116"/>
        <v>2000.0000000001164</v>
      </c>
      <c r="AP251" s="543">
        <f t="shared" si="117"/>
        <v>2000.0000000001164</v>
      </c>
      <c r="AQ251" s="544">
        <f t="shared" ca="1" si="118"/>
        <v>2000.0000000001164</v>
      </c>
      <c r="AR251" s="545">
        <f t="shared" ca="1" si="119"/>
        <v>5.2083333333336366E-3</v>
      </c>
      <c r="AS251" s="545">
        <f ca="1">IFERROR(CEILING($AR251*VLOOKUP($I251,Ref!$B$23:$E$29,4,0),1),0)</f>
        <v>1</v>
      </c>
      <c r="AT251" s="545" t="str">
        <f ca="1">IF(A251="","",IF(AP251&lt;=1,"Cleared",IF(AS251=0,"Clean",VLOOKUP($AS251,Ref!$G$23:$H$28,2))))</f>
        <v>1.(0-30) Days</v>
      </c>
      <c r="AU251" s="546" t="str">
        <f t="shared" si="120"/>
        <v>Ok</v>
      </c>
    </row>
    <row r="252" spans="1:47" ht="15" customHeight="1" x14ac:dyDescent="0.15">
      <c r="A252" s="575">
        <v>44475</v>
      </c>
      <c r="B252" s="523">
        <v>42</v>
      </c>
      <c r="C252" s="523">
        <v>251</v>
      </c>
      <c r="D252" s="523">
        <v>2</v>
      </c>
      <c r="E252" s="523" t="s">
        <v>1274</v>
      </c>
      <c r="F252" s="554">
        <v>180000</v>
      </c>
      <c r="G252" s="524">
        <v>3</v>
      </c>
      <c r="H252" s="555">
        <v>0.05</v>
      </c>
      <c r="I252" s="560" t="s">
        <v>859</v>
      </c>
      <c r="J252" s="523" t="s">
        <v>862</v>
      </c>
      <c r="K252" s="528" t="str">
        <f>IFERROR(VLOOKUP($B252,'Clients-Live'!$A:$C,3,0),"")</f>
        <v>ABAU   NOLA</v>
      </c>
      <c r="L252" s="528">
        <f>IF(E252="STL",Pricing!$D$38,IF(A252="",0,IF(A252&lt;Pricing!$C$25,Pricing!$D$25,VLOOKUP(Disbursements!$F252,Pricing!$B$29:$D$32,3))))</f>
        <v>15000</v>
      </c>
      <c r="M252" s="528">
        <f>IF(E252="STL",0,IF(F252&gt;0,Pricing!$D$21,0))</f>
        <v>5000</v>
      </c>
      <c r="N252" s="529">
        <f>IF(E252="STL",F252*Pricing!$D$40,IF(A252&lt;=Pricing!$C$4,0,IF(AND(A252&gt;Pricing!$C$4,Disbursements!A252&lt;=Pricing!$C$5),F252*Pricing!$E$5,IF(AND(A252&gt;Pricing!$C$5,Disbursements!A252&lt;=Pricing!$C$7),VLOOKUP(F252,Pricing!$D$7:$E$8,2)*Disbursements!F252,F252*Pricing!$E$9))))</f>
        <v>1800</v>
      </c>
      <c r="O252" s="528">
        <f>IF(E252="STL",0,IF($F252&gt;0,$F252*Pricing!$D$17,0))</f>
        <v>18000</v>
      </c>
      <c r="P252" s="530">
        <f t="shared" si="100"/>
        <v>27000</v>
      </c>
      <c r="Q252" s="531">
        <f>IF($A252="","",$G252/VLOOKUP($I252,Ref!$B$23:$D$29,2,0))</f>
        <v>3</v>
      </c>
      <c r="R252" s="530">
        <f t="shared" si="101"/>
        <v>207000</v>
      </c>
      <c r="S252" s="532">
        <f t="shared" si="95"/>
        <v>69000</v>
      </c>
      <c r="T252" s="531">
        <f t="shared" si="102"/>
        <v>69000</v>
      </c>
      <c r="U252" s="533">
        <f t="shared" si="103"/>
        <v>207000</v>
      </c>
      <c r="V252" s="531">
        <f t="shared" si="104"/>
        <v>60000</v>
      </c>
      <c r="W252" s="531">
        <f t="shared" si="105"/>
        <v>9000</v>
      </c>
      <c r="X252" s="534">
        <f t="shared" si="106"/>
        <v>27000</v>
      </c>
      <c r="Y252" s="535">
        <f>IF($A252="","",IF($I252="weekly",$A252+7,EDATE($A252,VLOOKUP($I252,Ref!$B$24:$C$29,2,0))))</f>
        <v>44506</v>
      </c>
      <c r="Z252" s="536" t="str">
        <f t="shared" si="107"/>
        <v>Sat</v>
      </c>
      <c r="AA252" s="531">
        <f t="shared" si="108"/>
        <v>31</v>
      </c>
      <c r="AB252" s="535">
        <f t="shared" si="96"/>
        <v>44567</v>
      </c>
      <c r="AC252" s="537">
        <f t="shared" si="97"/>
        <v>92</v>
      </c>
      <c r="AD252" s="538" t="str">
        <f t="shared" ca="1" si="98"/>
        <v>Expired</v>
      </c>
      <c r="AE252" s="537">
        <f t="shared" ca="1" si="99"/>
        <v>0</v>
      </c>
      <c r="AF252" s="539">
        <f t="shared" ca="1" si="109"/>
        <v>3</v>
      </c>
      <c r="AG252" s="531">
        <f t="shared" ca="1" si="110"/>
        <v>207000</v>
      </c>
      <c r="AH252" s="531">
        <f t="shared" ca="1" si="111"/>
        <v>27000</v>
      </c>
      <c r="AI252" s="531">
        <f t="shared" ca="1" si="112"/>
        <v>180000</v>
      </c>
      <c r="AJ252" s="531">
        <f t="shared" ca="1" si="113"/>
        <v>0</v>
      </c>
      <c r="AK252" s="540">
        <f>SUMIFS('Live Collections'!$S:$S,'Live Collections'!$D:$D,Disbursements!B252,'Live Collections'!$G:$G,Disbursements!C252)</f>
        <v>27000</v>
      </c>
      <c r="AL252" s="540">
        <f>SUMIFS('Live Collections'!$T:$T,'Live Collections'!$D:$D,Disbursements!B252,'Live Collections'!$G:$G,Disbursements!C252)</f>
        <v>180000</v>
      </c>
      <c r="AM252" s="541">
        <f t="shared" si="114"/>
        <v>207000</v>
      </c>
      <c r="AN252" s="542">
        <f t="shared" si="115"/>
        <v>0</v>
      </c>
      <c r="AO252" s="542">
        <f t="shared" si="116"/>
        <v>0</v>
      </c>
      <c r="AP252" s="543">
        <f t="shared" si="117"/>
        <v>0</v>
      </c>
      <c r="AQ252" s="544" t="str">
        <f t="shared" ca="1" si="118"/>
        <v/>
      </c>
      <c r="AR252" s="545">
        <f t="shared" ca="1" si="119"/>
        <v>0</v>
      </c>
      <c r="AS252" s="545">
        <f ca="1">IFERROR(CEILING($AR252*VLOOKUP($I252,Ref!$B$23:$E$29,4,0),1),0)</f>
        <v>0</v>
      </c>
      <c r="AT252" s="545" t="str">
        <f>IF(A252="","",IF(AP252&lt;=1,"Cleared",IF(AS252=0,"Clean",VLOOKUP($AS252,Ref!$G$23:$H$28,2))))</f>
        <v>Cleared</v>
      </c>
      <c r="AU252" s="546" t="str">
        <f t="shared" si="120"/>
        <v>Ok</v>
      </c>
    </row>
    <row r="253" spans="1:47" ht="15" customHeight="1" x14ac:dyDescent="0.15">
      <c r="A253" s="575">
        <v>44475</v>
      </c>
      <c r="B253" s="523">
        <v>119</v>
      </c>
      <c r="C253" s="523">
        <v>253</v>
      </c>
      <c r="D253" s="523">
        <v>2</v>
      </c>
      <c r="E253" s="523" t="s">
        <v>1275</v>
      </c>
      <c r="F253" s="554">
        <v>2000000</v>
      </c>
      <c r="G253" s="524">
        <v>3</v>
      </c>
      <c r="H253" s="555">
        <v>7.4999999999999997E-2</v>
      </c>
      <c r="I253" s="560" t="s">
        <v>859</v>
      </c>
      <c r="J253" s="523" t="s">
        <v>862</v>
      </c>
      <c r="K253" s="528" t="str">
        <f>IFERROR(VLOOKUP($B253,'Clients-Live'!$A:$C,3,0),"")</f>
        <v>STELLA KONGAI</v>
      </c>
      <c r="L253" s="528">
        <f>IF(E253="STL",Pricing!$D$38,IF(A253="",0,IF(A253&lt;Pricing!$C$25,Pricing!$D$25,VLOOKUP(Disbursements!$F253,Pricing!$B$29:$D$32,3))))</f>
        <v>25000</v>
      </c>
      <c r="M253" s="528">
        <f>IF(E253="STL",0,IF(F253&gt;0,Pricing!$D$21,0))</f>
        <v>5000</v>
      </c>
      <c r="N253" s="529">
        <f>IF(E253="STL",F253*Pricing!$D$40,IF(A253&lt;=Pricing!$C$4,0,IF(AND(A253&gt;Pricing!$C$4,Disbursements!A253&lt;=Pricing!$C$5),F253*Pricing!$E$5,IF(AND(A253&gt;Pricing!$C$5,Disbursements!A253&lt;=Pricing!$C$7),VLOOKUP(F253,Pricing!$D$7:$E$8,2)*Disbursements!F253,F253*Pricing!$E$9))))</f>
        <v>40000</v>
      </c>
      <c r="O253" s="528">
        <f>IF(E253="STL",0,IF($F253&gt;0,$F253*Pricing!$D$17,0))</f>
        <v>200000</v>
      </c>
      <c r="P253" s="530">
        <f t="shared" si="100"/>
        <v>450000</v>
      </c>
      <c r="Q253" s="531">
        <f>IF($A253="","",$G253/VLOOKUP($I253,Ref!$B$23:$D$29,2,0))</f>
        <v>3</v>
      </c>
      <c r="R253" s="530">
        <f t="shared" si="101"/>
        <v>2450000</v>
      </c>
      <c r="S253" s="532">
        <f t="shared" si="95"/>
        <v>816666.66666666663</v>
      </c>
      <c r="T253" s="531">
        <f t="shared" si="102"/>
        <v>817000</v>
      </c>
      <c r="U253" s="533">
        <f t="shared" si="103"/>
        <v>2451000</v>
      </c>
      <c r="V253" s="531">
        <f t="shared" si="104"/>
        <v>666666.66666666663</v>
      </c>
      <c r="W253" s="531">
        <f t="shared" si="105"/>
        <v>150333.33333333337</v>
      </c>
      <c r="X253" s="534">
        <f t="shared" si="106"/>
        <v>451000.00000000012</v>
      </c>
      <c r="Y253" s="535">
        <f>IF($A253="","",IF($I253="weekly",$A253+7,EDATE($A253,VLOOKUP($I253,Ref!$B$24:$C$29,2,0))))</f>
        <v>44506</v>
      </c>
      <c r="Z253" s="536" t="str">
        <f t="shared" si="107"/>
        <v>Sat</v>
      </c>
      <c r="AA253" s="531">
        <f t="shared" si="108"/>
        <v>31</v>
      </c>
      <c r="AB253" s="535">
        <f t="shared" si="96"/>
        <v>44567</v>
      </c>
      <c r="AC253" s="537">
        <f t="shared" si="97"/>
        <v>92</v>
      </c>
      <c r="AD253" s="538" t="str">
        <f t="shared" ca="1" si="98"/>
        <v>Expired</v>
      </c>
      <c r="AE253" s="537">
        <f t="shared" ca="1" si="99"/>
        <v>0</v>
      </c>
      <c r="AF253" s="539">
        <f t="shared" ca="1" si="109"/>
        <v>3</v>
      </c>
      <c r="AG253" s="531">
        <f t="shared" ca="1" si="110"/>
        <v>2451000</v>
      </c>
      <c r="AH253" s="531">
        <f t="shared" ca="1" si="111"/>
        <v>451000.00000000012</v>
      </c>
      <c r="AI253" s="531">
        <f t="shared" ca="1" si="112"/>
        <v>2000000</v>
      </c>
      <c r="AJ253" s="531">
        <f t="shared" ca="1" si="113"/>
        <v>0</v>
      </c>
      <c r="AK253" s="540">
        <f>SUMIFS('Live Collections'!$S:$S,'Live Collections'!$D:$D,Disbursements!B253,'Live Collections'!$G:$G,Disbursements!C253)</f>
        <v>451000.00000000012</v>
      </c>
      <c r="AL253" s="540">
        <f>SUMIFS('Live Collections'!$T:$T,'Live Collections'!$D:$D,Disbursements!B253,'Live Collections'!$G:$G,Disbursements!C253)</f>
        <v>1999999.9999999998</v>
      </c>
      <c r="AM253" s="541">
        <f t="shared" si="114"/>
        <v>2451000</v>
      </c>
      <c r="AN253" s="542">
        <f t="shared" si="115"/>
        <v>0</v>
      </c>
      <c r="AO253" s="542">
        <f t="shared" si="116"/>
        <v>2.3283064365386963E-10</v>
      </c>
      <c r="AP253" s="543">
        <f t="shared" si="117"/>
        <v>2.3283064365386963E-10</v>
      </c>
      <c r="AQ253" s="544">
        <f t="shared" ca="1" si="118"/>
        <v>2.3283064365386963E-10</v>
      </c>
      <c r="AR253" s="545">
        <f t="shared" ca="1" si="119"/>
        <v>2.8498242797291265E-16</v>
      </c>
      <c r="AS253" s="545">
        <f ca="1">IFERROR(CEILING($AR253*VLOOKUP($I253,Ref!$B$23:$E$29,4,0),1),0)</f>
        <v>1</v>
      </c>
      <c r="AT253" s="545" t="str">
        <f>IF(A253="","",IF(AP253&lt;=1,"Cleared",IF(AS253=0,"Clean",VLOOKUP($AS253,Ref!$G$23:$H$28,2))))</f>
        <v>Cleared</v>
      </c>
      <c r="AU253" s="546" t="str">
        <f t="shared" si="120"/>
        <v>Ok</v>
      </c>
    </row>
    <row r="254" spans="1:47" ht="15" customHeight="1" x14ac:dyDescent="0.15">
      <c r="A254" s="575">
        <v>44475</v>
      </c>
      <c r="B254" s="523">
        <v>186</v>
      </c>
      <c r="C254" s="523">
        <v>255</v>
      </c>
      <c r="D254" s="523">
        <v>2</v>
      </c>
      <c r="E254" s="523" t="s">
        <v>1275</v>
      </c>
      <c r="F254" s="554">
        <v>600000</v>
      </c>
      <c r="G254" s="524">
        <v>2</v>
      </c>
      <c r="H254" s="555">
        <v>7.4999999999999997E-2</v>
      </c>
      <c r="I254" s="560" t="s">
        <v>859</v>
      </c>
      <c r="J254" s="523" t="s">
        <v>862</v>
      </c>
      <c r="K254" s="528" t="str">
        <f>IFERROR(VLOOKUP($B254,'Clients-Live'!$A:$C,3,0),"")</f>
        <v>GIFT JAMES</v>
      </c>
      <c r="L254" s="528">
        <f>IF(E254="STL",Pricing!$D$38,IF(A254="",0,IF(A254&lt;Pricing!$C$25,Pricing!$D$25,VLOOKUP(Disbursements!$F254,Pricing!$B$29:$D$32,3))))</f>
        <v>20000</v>
      </c>
      <c r="M254" s="528">
        <f>IF(E254="STL",0,IF(F254&gt;0,Pricing!$D$21,0))</f>
        <v>5000</v>
      </c>
      <c r="N254" s="529">
        <f>IF(E254="STL",F254*Pricing!$D$40,IF(A254&lt;=Pricing!$C$4,0,IF(AND(A254&gt;Pricing!$C$4,Disbursements!A254&lt;=Pricing!$C$5),F254*Pricing!$E$5,IF(AND(A254&gt;Pricing!$C$5,Disbursements!A254&lt;=Pricing!$C$7),VLOOKUP(F254,Pricing!$D$7:$E$8,2)*Disbursements!F254,F254*Pricing!$E$9))))</f>
        <v>6000</v>
      </c>
      <c r="O254" s="528">
        <f>IF(E254="STL",0,IF($F254&gt;0,$F254*Pricing!$D$17,0))</f>
        <v>60000</v>
      </c>
      <c r="P254" s="530">
        <f t="shared" si="100"/>
        <v>90000</v>
      </c>
      <c r="Q254" s="531">
        <f>IF($A254="","",$G254/VLOOKUP($I254,Ref!$B$23:$D$29,2,0))</f>
        <v>2</v>
      </c>
      <c r="R254" s="530">
        <f t="shared" si="101"/>
        <v>690000</v>
      </c>
      <c r="S254" s="532">
        <f t="shared" si="95"/>
        <v>345000</v>
      </c>
      <c r="T254" s="531">
        <f t="shared" si="102"/>
        <v>345000</v>
      </c>
      <c r="U254" s="533">
        <f t="shared" si="103"/>
        <v>690000</v>
      </c>
      <c r="V254" s="531">
        <f t="shared" si="104"/>
        <v>300000</v>
      </c>
      <c r="W254" s="531">
        <f t="shared" si="105"/>
        <v>45000</v>
      </c>
      <c r="X254" s="534">
        <f t="shared" si="106"/>
        <v>90000</v>
      </c>
      <c r="Y254" s="535">
        <f>IF($A254="","",IF($I254="weekly",$A254+7,EDATE($A254,VLOOKUP($I254,Ref!$B$24:$C$29,2,0))))</f>
        <v>44506</v>
      </c>
      <c r="Z254" s="536" t="str">
        <f t="shared" si="107"/>
        <v>Sat</v>
      </c>
      <c r="AA254" s="531">
        <f t="shared" si="108"/>
        <v>31</v>
      </c>
      <c r="AB254" s="535">
        <f t="shared" si="96"/>
        <v>44536</v>
      </c>
      <c r="AC254" s="537">
        <f t="shared" si="97"/>
        <v>61</v>
      </c>
      <c r="AD254" s="538" t="str">
        <f t="shared" ca="1" si="98"/>
        <v>Expired</v>
      </c>
      <c r="AE254" s="537">
        <f t="shared" ca="1" si="99"/>
        <v>0</v>
      </c>
      <c r="AF254" s="539">
        <f t="shared" ca="1" si="109"/>
        <v>2</v>
      </c>
      <c r="AG254" s="531">
        <f t="shared" ca="1" si="110"/>
        <v>690000</v>
      </c>
      <c r="AH254" s="531">
        <f t="shared" ca="1" si="111"/>
        <v>90000</v>
      </c>
      <c r="AI254" s="531">
        <f t="shared" ca="1" si="112"/>
        <v>600000</v>
      </c>
      <c r="AJ254" s="531">
        <f t="shared" ca="1" si="113"/>
        <v>0</v>
      </c>
      <c r="AK254" s="540">
        <f>SUMIFS('Live Collections'!$S:$S,'Live Collections'!$D:$D,Disbursements!B254,'Live Collections'!$G:$G,Disbursements!C254)</f>
        <v>90000</v>
      </c>
      <c r="AL254" s="540">
        <f>SUMIFS('Live Collections'!$T:$T,'Live Collections'!$D:$D,Disbursements!B254,'Live Collections'!$G:$G,Disbursements!C254)</f>
        <v>600000</v>
      </c>
      <c r="AM254" s="541">
        <f t="shared" si="114"/>
        <v>690000</v>
      </c>
      <c r="AN254" s="542">
        <f t="shared" si="115"/>
        <v>0</v>
      </c>
      <c r="AO254" s="542">
        <f t="shared" si="116"/>
        <v>0</v>
      </c>
      <c r="AP254" s="543">
        <f t="shared" si="117"/>
        <v>0</v>
      </c>
      <c r="AQ254" s="544" t="str">
        <f t="shared" ca="1" si="118"/>
        <v/>
      </c>
      <c r="AR254" s="545">
        <f t="shared" ca="1" si="119"/>
        <v>0</v>
      </c>
      <c r="AS254" s="545">
        <f ca="1">IFERROR(CEILING($AR254*VLOOKUP($I254,Ref!$B$23:$E$29,4,0),1),0)</f>
        <v>0</v>
      </c>
      <c r="AT254" s="545" t="str">
        <f>IF(A254="","",IF(AP254&lt;=1,"Cleared",IF(AS254=0,"Clean",VLOOKUP($AS254,Ref!$G$23:$H$28,2))))</f>
        <v>Cleared</v>
      </c>
      <c r="AU254" s="546" t="str">
        <f t="shared" si="120"/>
        <v>Ok</v>
      </c>
    </row>
    <row r="255" spans="1:47" ht="15" customHeight="1" x14ac:dyDescent="0.15">
      <c r="A255" s="575">
        <v>44475</v>
      </c>
      <c r="B255" s="523">
        <v>104</v>
      </c>
      <c r="C255" s="523">
        <v>252</v>
      </c>
      <c r="D255" s="523">
        <v>2</v>
      </c>
      <c r="E255" s="523" t="s">
        <v>1274</v>
      </c>
      <c r="F255" s="554">
        <v>700000</v>
      </c>
      <c r="G255" s="524">
        <v>5</v>
      </c>
      <c r="H255" s="555">
        <v>0.05</v>
      </c>
      <c r="I255" s="560" t="s">
        <v>859</v>
      </c>
      <c r="J255" s="523" t="s">
        <v>862</v>
      </c>
      <c r="K255" s="528" t="str">
        <f>IFERROR(VLOOKUP($B255,'Clients-Live'!$A:$C,3,0),"")</f>
        <v>IDIRA ALIMA</v>
      </c>
      <c r="L255" s="528">
        <f>IF(E255="STL",Pricing!$D$38,IF(A255="",0,IF(A255&lt;Pricing!$C$25,Pricing!$D$25,VLOOKUP(Disbursements!$F255,Pricing!$B$29:$D$32,3))))</f>
        <v>20000</v>
      </c>
      <c r="M255" s="528">
        <f>IF(E255="STL",0,IF(F255&gt;0,Pricing!$D$21,0))</f>
        <v>5000</v>
      </c>
      <c r="N255" s="529">
        <f>IF(E255="STL",F255*Pricing!$D$40,IF(A255&lt;=Pricing!$C$4,0,IF(AND(A255&gt;Pricing!$C$4,Disbursements!A255&lt;=Pricing!$C$5),F255*Pricing!$E$5,IF(AND(A255&gt;Pricing!$C$5,Disbursements!A255&lt;=Pricing!$C$7),VLOOKUP(F255,Pricing!$D$7:$E$8,2)*Disbursements!F255,F255*Pricing!$E$9))))</f>
        <v>7000</v>
      </c>
      <c r="O255" s="528">
        <f>IF(E255="STL",0,IF($F255&gt;0,$F255*Pricing!$D$17,0))</f>
        <v>70000</v>
      </c>
      <c r="P255" s="530">
        <f t="shared" si="100"/>
        <v>175000</v>
      </c>
      <c r="Q255" s="531">
        <f>IF($A255="","",$G255/VLOOKUP($I255,Ref!$B$23:$D$29,2,0))</f>
        <v>5</v>
      </c>
      <c r="R255" s="530">
        <f t="shared" si="101"/>
        <v>875000</v>
      </c>
      <c r="S255" s="532">
        <f t="shared" si="95"/>
        <v>175000</v>
      </c>
      <c r="T255" s="531">
        <f t="shared" si="102"/>
        <v>175000</v>
      </c>
      <c r="U255" s="533">
        <f t="shared" si="103"/>
        <v>875000</v>
      </c>
      <c r="V255" s="531">
        <f t="shared" si="104"/>
        <v>140000</v>
      </c>
      <c r="W255" s="531">
        <f t="shared" si="105"/>
        <v>35000</v>
      </c>
      <c r="X255" s="534">
        <f t="shared" si="106"/>
        <v>175000</v>
      </c>
      <c r="Y255" s="535">
        <f>IF($A255="","",IF($I255="weekly",$A255+7,EDATE($A255,VLOOKUP($I255,Ref!$B$24:$C$29,2,0))))</f>
        <v>44506</v>
      </c>
      <c r="Z255" s="536" t="str">
        <f t="shared" si="107"/>
        <v>Sat</v>
      </c>
      <c r="AA255" s="531">
        <f t="shared" si="108"/>
        <v>31</v>
      </c>
      <c r="AB255" s="535">
        <f t="shared" si="96"/>
        <v>44626</v>
      </c>
      <c r="AC255" s="537">
        <f t="shared" si="97"/>
        <v>151</v>
      </c>
      <c r="AD255" s="538" t="str">
        <f t="shared" ca="1" si="98"/>
        <v>Expired</v>
      </c>
      <c r="AE255" s="537">
        <f t="shared" ca="1" si="99"/>
        <v>0</v>
      </c>
      <c r="AF255" s="539">
        <f t="shared" ca="1" si="109"/>
        <v>5</v>
      </c>
      <c r="AG255" s="531">
        <f t="shared" ca="1" si="110"/>
        <v>875000</v>
      </c>
      <c r="AH255" s="531">
        <f t="shared" ca="1" si="111"/>
        <v>175000</v>
      </c>
      <c r="AI255" s="531">
        <f t="shared" ca="1" si="112"/>
        <v>700000</v>
      </c>
      <c r="AJ255" s="531">
        <f t="shared" ca="1" si="113"/>
        <v>0</v>
      </c>
      <c r="AK255" s="540">
        <f>SUMIFS('Live Collections'!$S:$S,'Live Collections'!$D:$D,Disbursements!B255,'Live Collections'!$G:$G,Disbursements!C255)</f>
        <v>175000</v>
      </c>
      <c r="AL255" s="540">
        <f>SUMIFS('Live Collections'!$T:$T,'Live Collections'!$D:$D,Disbursements!B255,'Live Collections'!$G:$G,Disbursements!C255)</f>
        <v>630000</v>
      </c>
      <c r="AM255" s="541">
        <f t="shared" si="114"/>
        <v>805000</v>
      </c>
      <c r="AN255" s="542">
        <f t="shared" si="115"/>
        <v>0</v>
      </c>
      <c r="AO255" s="542">
        <f t="shared" si="116"/>
        <v>70000</v>
      </c>
      <c r="AP255" s="543">
        <f t="shared" si="117"/>
        <v>70000</v>
      </c>
      <c r="AQ255" s="544">
        <f t="shared" ca="1" si="118"/>
        <v>70000</v>
      </c>
      <c r="AR255" s="545">
        <f t="shared" ca="1" si="119"/>
        <v>0.4</v>
      </c>
      <c r="AS255" s="545">
        <f ca="1">IFERROR(CEILING($AR255*VLOOKUP($I255,Ref!$B$23:$E$29,4,0),1),0)</f>
        <v>12</v>
      </c>
      <c r="AT255" s="545" t="str">
        <f ca="1">IF(A255="","",IF(AP255&lt;=1,"Cleared",IF(AS255=0,"Clean",VLOOKUP($AS255,Ref!$G$23:$H$28,2))))</f>
        <v>1.(0-30) Days</v>
      </c>
      <c r="AU255" s="546" t="str">
        <f t="shared" si="120"/>
        <v>Ok</v>
      </c>
    </row>
    <row r="256" spans="1:47" ht="15" customHeight="1" x14ac:dyDescent="0.15">
      <c r="A256" s="575">
        <v>44475</v>
      </c>
      <c r="B256" s="523">
        <v>229</v>
      </c>
      <c r="C256" s="523">
        <v>254</v>
      </c>
      <c r="D256" s="523">
        <v>1</v>
      </c>
      <c r="E256" s="523" t="s">
        <v>1274</v>
      </c>
      <c r="F256" s="554">
        <v>1000000</v>
      </c>
      <c r="G256" s="524">
        <v>4</v>
      </c>
      <c r="H256" s="555">
        <v>0.05</v>
      </c>
      <c r="I256" s="560" t="s">
        <v>859</v>
      </c>
      <c r="J256" s="523" t="s">
        <v>864</v>
      </c>
      <c r="K256" s="528" t="str">
        <f>IFERROR(VLOOKUP($B256,'Clients-Live'!$A:$C,3,0),"")</f>
        <v>DAWA ANNET</v>
      </c>
      <c r="L256" s="528">
        <f>IF(E256="STL",Pricing!$D$38,IF(A256="",0,IF(A256&lt;Pricing!$C$25,Pricing!$D$25,VLOOKUP(Disbursements!$F256,Pricing!$B$29:$D$32,3))))</f>
        <v>20000</v>
      </c>
      <c r="M256" s="528">
        <f>IF(E256="STL",0,IF(F256&gt;0,Pricing!$D$21,0))</f>
        <v>5000</v>
      </c>
      <c r="N256" s="529">
        <f>IF(E256="STL",F256*Pricing!$D$40,IF(A256&lt;=Pricing!$C$4,0,IF(AND(A256&gt;Pricing!$C$4,Disbursements!A256&lt;=Pricing!$C$5),F256*Pricing!$E$5,IF(AND(A256&gt;Pricing!$C$5,Disbursements!A256&lt;=Pricing!$C$7),VLOOKUP(F256,Pricing!$D$7:$E$8,2)*Disbursements!F256,F256*Pricing!$E$9))))</f>
        <v>10000</v>
      </c>
      <c r="O256" s="528">
        <f>IF(E256="STL",0,IF($F256&gt;0,$F256*Pricing!$D$17,0))</f>
        <v>100000</v>
      </c>
      <c r="P256" s="530">
        <f t="shared" si="100"/>
        <v>200000</v>
      </c>
      <c r="Q256" s="531">
        <f>IF($A256="","",$G256/VLOOKUP($I256,Ref!$B$23:$D$29,2,0))</f>
        <v>4</v>
      </c>
      <c r="R256" s="530">
        <f t="shared" si="101"/>
        <v>1200000</v>
      </c>
      <c r="S256" s="532">
        <f t="shared" si="95"/>
        <v>300000</v>
      </c>
      <c r="T256" s="531">
        <f t="shared" si="102"/>
        <v>300000</v>
      </c>
      <c r="U256" s="533">
        <f t="shared" si="103"/>
        <v>1200000</v>
      </c>
      <c r="V256" s="531">
        <f t="shared" si="104"/>
        <v>250000</v>
      </c>
      <c r="W256" s="531">
        <f t="shared" si="105"/>
        <v>50000</v>
      </c>
      <c r="X256" s="534">
        <f t="shared" si="106"/>
        <v>200000</v>
      </c>
      <c r="Y256" s="535">
        <f>IF($A256="","",IF($I256="weekly",$A256+7,EDATE($A256,VLOOKUP($I256,Ref!$B$24:$C$29,2,0))))</f>
        <v>44506</v>
      </c>
      <c r="Z256" s="536" t="str">
        <f t="shared" si="107"/>
        <v>Sat</v>
      </c>
      <c r="AA256" s="531">
        <f t="shared" si="108"/>
        <v>31</v>
      </c>
      <c r="AB256" s="535">
        <f t="shared" si="96"/>
        <v>44598</v>
      </c>
      <c r="AC256" s="537">
        <f t="shared" si="97"/>
        <v>123</v>
      </c>
      <c r="AD256" s="538" t="str">
        <f t="shared" ca="1" si="98"/>
        <v>Expired</v>
      </c>
      <c r="AE256" s="537">
        <f t="shared" ca="1" si="99"/>
        <v>0</v>
      </c>
      <c r="AF256" s="539">
        <f t="shared" ca="1" si="109"/>
        <v>4</v>
      </c>
      <c r="AG256" s="531">
        <f t="shared" ca="1" si="110"/>
        <v>1200000</v>
      </c>
      <c r="AH256" s="531">
        <f t="shared" ca="1" si="111"/>
        <v>200000</v>
      </c>
      <c r="AI256" s="531">
        <f t="shared" ca="1" si="112"/>
        <v>1000000</v>
      </c>
      <c r="AJ256" s="531">
        <f t="shared" ca="1" si="113"/>
        <v>0</v>
      </c>
      <c r="AK256" s="540">
        <f>SUMIFS('Live Collections'!$S:$S,'Live Collections'!$D:$D,Disbursements!B256,'Live Collections'!$G:$G,Disbursements!C256)</f>
        <v>200000</v>
      </c>
      <c r="AL256" s="540">
        <f>SUMIFS('Live Collections'!$T:$T,'Live Collections'!$D:$D,Disbursements!B256,'Live Collections'!$G:$G,Disbursements!C256)</f>
        <v>1000000</v>
      </c>
      <c r="AM256" s="541">
        <f t="shared" si="114"/>
        <v>1200000</v>
      </c>
      <c r="AN256" s="542">
        <f t="shared" si="115"/>
        <v>0</v>
      </c>
      <c r="AO256" s="542">
        <f t="shared" si="116"/>
        <v>0</v>
      </c>
      <c r="AP256" s="543">
        <f t="shared" si="117"/>
        <v>0</v>
      </c>
      <c r="AQ256" s="544" t="str">
        <f t="shared" ca="1" si="118"/>
        <v/>
      </c>
      <c r="AR256" s="545">
        <f t="shared" ca="1" si="119"/>
        <v>0</v>
      </c>
      <c r="AS256" s="545">
        <f ca="1">IFERROR(CEILING($AR256*VLOOKUP($I256,Ref!$B$23:$E$29,4,0),1),0)</f>
        <v>0</v>
      </c>
      <c r="AT256" s="545" t="str">
        <f>IF(A256="","",IF(AP256&lt;=1,"Cleared",IF(AS256=0,"Clean",VLOOKUP($AS256,Ref!$G$23:$H$28,2))))</f>
        <v>Cleared</v>
      </c>
      <c r="AU256" s="546" t="str">
        <f t="shared" si="120"/>
        <v>Ok</v>
      </c>
    </row>
    <row r="257" spans="1:47" ht="15" customHeight="1" x14ac:dyDescent="0.15">
      <c r="A257" s="575">
        <v>44475</v>
      </c>
      <c r="B257" s="523">
        <v>232</v>
      </c>
      <c r="C257" s="523">
        <v>250</v>
      </c>
      <c r="D257" s="523">
        <v>1</v>
      </c>
      <c r="E257" s="523" t="s">
        <v>1274</v>
      </c>
      <c r="F257" s="554">
        <v>1000000</v>
      </c>
      <c r="G257" s="524">
        <v>1</v>
      </c>
      <c r="H257" s="555">
        <v>0.05</v>
      </c>
      <c r="I257" s="560" t="s">
        <v>859</v>
      </c>
      <c r="J257" s="523" t="s">
        <v>863</v>
      </c>
      <c r="K257" s="528" t="str">
        <f>IFERROR(VLOOKUP($B257,'Clients-Live'!$A:$C,3,0),"")</f>
        <v>LEMERIGA GEOFFREY</v>
      </c>
      <c r="L257" s="528">
        <f>IF(E257="STL",Pricing!$D$38,IF(A257="",0,IF(A257&lt;Pricing!$C$25,Pricing!$D$25,VLOOKUP(Disbursements!$F257,Pricing!$B$29:$D$32,3))))</f>
        <v>20000</v>
      </c>
      <c r="M257" s="528">
        <f>IF(E257="STL",0,IF(F257&gt;0,Pricing!$D$21,0))</f>
        <v>5000</v>
      </c>
      <c r="N257" s="529">
        <f>IF(E257="STL",F257*Pricing!$D$40,IF(A257&lt;=Pricing!$C$4,0,IF(AND(A257&gt;Pricing!$C$4,Disbursements!A257&lt;=Pricing!$C$5),F257*Pricing!$E$5,IF(AND(A257&gt;Pricing!$C$5,Disbursements!A257&lt;=Pricing!$C$7),VLOOKUP(F257,Pricing!$D$7:$E$8,2)*Disbursements!F257,F257*Pricing!$E$9))))</f>
        <v>10000</v>
      </c>
      <c r="O257" s="528">
        <f>IF(E257="STL",0,IF($F257&gt;0,$F257*Pricing!$D$17,0))</f>
        <v>100000</v>
      </c>
      <c r="P257" s="530">
        <f t="shared" si="100"/>
        <v>50000</v>
      </c>
      <c r="Q257" s="531">
        <f>IF($A257="","",$G257/VLOOKUP($I257,Ref!$B$23:$D$29,2,0))</f>
        <v>1</v>
      </c>
      <c r="R257" s="530">
        <f t="shared" si="101"/>
        <v>1050000</v>
      </c>
      <c r="S257" s="532">
        <f t="shared" si="95"/>
        <v>1050000</v>
      </c>
      <c r="T257" s="531">
        <f t="shared" si="102"/>
        <v>1050000</v>
      </c>
      <c r="U257" s="533">
        <f t="shared" si="103"/>
        <v>1050000</v>
      </c>
      <c r="V257" s="531">
        <f t="shared" si="104"/>
        <v>1000000</v>
      </c>
      <c r="W257" s="531">
        <f t="shared" si="105"/>
        <v>50000</v>
      </c>
      <c r="X257" s="534">
        <f t="shared" si="106"/>
        <v>50000</v>
      </c>
      <c r="Y257" s="535">
        <f>IF($A257="","",IF($I257="weekly",$A257+7,EDATE($A257,VLOOKUP($I257,Ref!$B$24:$C$29,2,0))))</f>
        <v>44506</v>
      </c>
      <c r="Z257" s="536" t="str">
        <f t="shared" si="107"/>
        <v>Sat</v>
      </c>
      <c r="AA257" s="531">
        <f t="shared" si="108"/>
        <v>31</v>
      </c>
      <c r="AB257" s="535">
        <f t="shared" si="96"/>
        <v>44506</v>
      </c>
      <c r="AC257" s="537">
        <f t="shared" si="97"/>
        <v>31</v>
      </c>
      <c r="AD257" s="538" t="str">
        <f t="shared" ca="1" si="98"/>
        <v>Expired</v>
      </c>
      <c r="AE257" s="537">
        <f t="shared" ca="1" si="99"/>
        <v>0</v>
      </c>
      <c r="AF257" s="539">
        <f t="shared" ca="1" si="109"/>
        <v>1</v>
      </c>
      <c r="AG257" s="531">
        <f t="shared" ca="1" si="110"/>
        <v>1050000</v>
      </c>
      <c r="AH257" s="531">
        <f t="shared" ca="1" si="111"/>
        <v>50000</v>
      </c>
      <c r="AI257" s="531">
        <f t="shared" ca="1" si="112"/>
        <v>1000000</v>
      </c>
      <c r="AJ257" s="531">
        <f t="shared" ca="1" si="113"/>
        <v>0</v>
      </c>
      <c r="AK257" s="540">
        <f>SUMIFS('Live Collections'!$S:$S,'Live Collections'!$D:$D,Disbursements!B257,'Live Collections'!$G:$G,Disbursements!C257)</f>
        <v>50000</v>
      </c>
      <c r="AL257" s="540">
        <f>SUMIFS('Live Collections'!$T:$T,'Live Collections'!$D:$D,Disbursements!B257,'Live Collections'!$G:$G,Disbursements!C257)</f>
        <v>1000000</v>
      </c>
      <c r="AM257" s="541">
        <f t="shared" si="114"/>
        <v>1050000</v>
      </c>
      <c r="AN257" s="542">
        <f t="shared" si="115"/>
        <v>0</v>
      </c>
      <c r="AO257" s="542">
        <f t="shared" si="116"/>
        <v>0</v>
      </c>
      <c r="AP257" s="543">
        <f t="shared" si="117"/>
        <v>0</v>
      </c>
      <c r="AQ257" s="544" t="str">
        <f t="shared" ca="1" si="118"/>
        <v/>
      </c>
      <c r="AR257" s="545">
        <f t="shared" ca="1" si="119"/>
        <v>0</v>
      </c>
      <c r="AS257" s="545">
        <f ca="1">IFERROR(CEILING($AR257*VLOOKUP($I257,Ref!$B$23:$E$29,4,0),1),0)</f>
        <v>0</v>
      </c>
      <c r="AT257" s="545" t="str">
        <f>IF(A257="","",IF(AP257&lt;=1,"Cleared",IF(AS257=0,"Clean",VLOOKUP($AS257,Ref!$G$23:$H$28,2))))</f>
        <v>Cleared</v>
      </c>
      <c r="AU257" s="546" t="str">
        <f t="shared" si="120"/>
        <v>Ok</v>
      </c>
    </row>
    <row r="258" spans="1:47" ht="15" customHeight="1" x14ac:dyDescent="0.15">
      <c r="A258" s="575">
        <v>44476</v>
      </c>
      <c r="B258" s="523">
        <v>31</v>
      </c>
      <c r="C258" s="523">
        <v>260</v>
      </c>
      <c r="D258" s="523">
        <v>2</v>
      </c>
      <c r="E258" s="579" t="s">
        <v>1274</v>
      </c>
      <c r="F258" s="580">
        <v>600000</v>
      </c>
      <c r="G258" s="524">
        <v>5</v>
      </c>
      <c r="H258" s="555">
        <v>0.05</v>
      </c>
      <c r="I258" s="560" t="s">
        <v>859</v>
      </c>
      <c r="J258" s="523" t="s">
        <v>864</v>
      </c>
      <c r="K258" s="528" t="str">
        <f>IFERROR(VLOOKUP($B258,'Clients-Live'!$A:$C,3,0),"")</f>
        <v>MUNDURU HARRIET</v>
      </c>
      <c r="L258" s="528">
        <f>IF(E258="STL",Pricing!$D$38,IF(A258="",0,IF(A258&lt;Pricing!$C$25,Pricing!$D$25,VLOOKUP(Disbursements!$F258,Pricing!$B$29:$D$32,3))))</f>
        <v>20000</v>
      </c>
      <c r="M258" s="528">
        <f>IF(E258="STL",0,IF(F258&gt;0,Pricing!$D$21,0))</f>
        <v>5000</v>
      </c>
      <c r="N258" s="529">
        <f>IF(E258="STL",F258*Pricing!$D$40,IF(A258&lt;=Pricing!$C$4,0,IF(AND(A258&gt;Pricing!$C$4,Disbursements!A258&lt;=Pricing!$C$5),F258*Pricing!$E$5,IF(AND(A258&gt;Pricing!$C$5,Disbursements!A258&lt;=Pricing!$C$7),VLOOKUP(F258,Pricing!$D$7:$E$8,2)*Disbursements!F258,F258*Pricing!$E$9))))</f>
        <v>6000</v>
      </c>
      <c r="O258" s="528">
        <f>IF(E258="STL",0,IF($F258&gt;0,$F258*Pricing!$D$17,0))</f>
        <v>60000</v>
      </c>
      <c r="P258" s="530">
        <f t="shared" si="100"/>
        <v>150000</v>
      </c>
      <c r="Q258" s="531">
        <f>IF($A258="","",$G258/VLOOKUP($I258,Ref!$B$23:$D$29,2,0))</f>
        <v>5</v>
      </c>
      <c r="R258" s="530">
        <f t="shared" si="101"/>
        <v>750000</v>
      </c>
      <c r="S258" s="532">
        <f t="shared" si="95"/>
        <v>150000</v>
      </c>
      <c r="T258" s="531">
        <f t="shared" si="102"/>
        <v>150000</v>
      </c>
      <c r="U258" s="533">
        <f t="shared" si="103"/>
        <v>750000</v>
      </c>
      <c r="V258" s="531">
        <f t="shared" si="104"/>
        <v>120000</v>
      </c>
      <c r="W258" s="531">
        <f t="shared" si="105"/>
        <v>30000</v>
      </c>
      <c r="X258" s="534">
        <f t="shared" si="106"/>
        <v>150000</v>
      </c>
      <c r="Y258" s="535">
        <f>IF($A258="","",IF($I258="weekly",$A258+7,EDATE($A258,VLOOKUP($I258,Ref!$B$24:$C$29,2,0))))</f>
        <v>44507</v>
      </c>
      <c r="Z258" s="536" t="str">
        <f t="shared" si="107"/>
        <v>Sun</v>
      </c>
      <c r="AA258" s="531">
        <f t="shared" si="108"/>
        <v>31</v>
      </c>
      <c r="AB258" s="535">
        <f t="shared" si="96"/>
        <v>44627</v>
      </c>
      <c r="AC258" s="537">
        <f t="shared" si="97"/>
        <v>151</v>
      </c>
      <c r="AD258" s="538" t="str">
        <f t="shared" ca="1" si="98"/>
        <v>Expired</v>
      </c>
      <c r="AE258" s="537">
        <f t="shared" ca="1" si="99"/>
        <v>0</v>
      </c>
      <c r="AF258" s="539">
        <f t="shared" ca="1" si="109"/>
        <v>5</v>
      </c>
      <c r="AG258" s="531">
        <f t="shared" ca="1" si="110"/>
        <v>750000</v>
      </c>
      <c r="AH258" s="531">
        <f t="shared" ca="1" si="111"/>
        <v>150000</v>
      </c>
      <c r="AI258" s="531">
        <f t="shared" ca="1" si="112"/>
        <v>600000</v>
      </c>
      <c r="AJ258" s="531">
        <f t="shared" ca="1" si="113"/>
        <v>0</v>
      </c>
      <c r="AK258" s="540">
        <f>SUMIFS('Live Collections'!$S:$S,'Live Collections'!$D:$D,Disbursements!B258,'Live Collections'!$G:$G,Disbursements!C258)</f>
        <v>150000</v>
      </c>
      <c r="AL258" s="540">
        <f>SUMIFS('Live Collections'!$T:$T,'Live Collections'!$D:$D,Disbursements!B258,'Live Collections'!$G:$G,Disbursements!C258)</f>
        <v>600000</v>
      </c>
      <c r="AM258" s="541">
        <f t="shared" si="114"/>
        <v>750000</v>
      </c>
      <c r="AN258" s="542">
        <f t="shared" si="115"/>
        <v>0</v>
      </c>
      <c r="AO258" s="542">
        <f t="shared" si="116"/>
        <v>0</v>
      </c>
      <c r="AP258" s="543">
        <f t="shared" si="117"/>
        <v>0</v>
      </c>
      <c r="AQ258" s="544" t="str">
        <f t="shared" ca="1" si="118"/>
        <v/>
      </c>
      <c r="AR258" s="545">
        <f t="shared" ca="1" si="119"/>
        <v>0</v>
      </c>
      <c r="AS258" s="545">
        <f ca="1">IFERROR(CEILING($AR258*VLOOKUP($I258,Ref!$B$23:$E$29,4,0),1),0)</f>
        <v>0</v>
      </c>
      <c r="AT258" s="545" t="str">
        <f>IF(A258="","",IF(AP258&lt;=1,"Cleared",IF(AS258=0,"Clean",VLOOKUP($AS258,Ref!$G$23:$H$28,2))))</f>
        <v>Cleared</v>
      </c>
      <c r="AU258" s="546" t="str">
        <f t="shared" si="120"/>
        <v>Ok</v>
      </c>
    </row>
    <row r="259" spans="1:47" ht="15" customHeight="1" x14ac:dyDescent="0.15">
      <c r="A259" s="575">
        <v>44476</v>
      </c>
      <c r="B259" s="523">
        <v>32</v>
      </c>
      <c r="C259" s="523">
        <v>258</v>
      </c>
      <c r="D259" s="523">
        <v>2</v>
      </c>
      <c r="E259" s="579" t="s">
        <v>1274</v>
      </c>
      <c r="F259" s="580">
        <v>600000</v>
      </c>
      <c r="G259" s="524">
        <v>5</v>
      </c>
      <c r="H259" s="555">
        <v>0.05</v>
      </c>
      <c r="I259" s="560" t="s">
        <v>859</v>
      </c>
      <c r="J259" s="523" t="s">
        <v>862</v>
      </c>
      <c r="K259" s="528" t="str">
        <f>IFERROR(VLOOKUP($B259,'Clients-Live'!$A:$C,3,0),"")</f>
        <v>BAKO LINA ESERU</v>
      </c>
      <c r="L259" s="528">
        <f>IF(E259="STL",Pricing!$D$38,IF(A259="",0,IF(A259&lt;Pricing!$C$25,Pricing!$D$25,VLOOKUP(Disbursements!$F259,Pricing!$B$29:$D$32,3))))</f>
        <v>20000</v>
      </c>
      <c r="M259" s="528">
        <f>IF(E259="STL",0,IF(F259&gt;0,Pricing!$D$21,0))</f>
        <v>5000</v>
      </c>
      <c r="N259" s="529">
        <f>IF(E259="STL",F259*Pricing!$D$40,IF(A259&lt;=Pricing!$C$4,0,IF(AND(A259&gt;Pricing!$C$4,Disbursements!A259&lt;=Pricing!$C$5),F259*Pricing!$E$5,IF(AND(A259&gt;Pricing!$C$5,Disbursements!A259&lt;=Pricing!$C$7),VLOOKUP(F259,Pricing!$D$7:$E$8,2)*Disbursements!F259,F259*Pricing!$E$9))))</f>
        <v>6000</v>
      </c>
      <c r="O259" s="528">
        <f>IF(E259="STL",0,IF($F259&gt;0,$F259*Pricing!$D$17,0))</f>
        <v>60000</v>
      </c>
      <c r="P259" s="530">
        <f t="shared" si="100"/>
        <v>150000</v>
      </c>
      <c r="Q259" s="531">
        <f>IF($A259="","",$G259/VLOOKUP($I259,Ref!$B$23:$D$29,2,0))</f>
        <v>5</v>
      </c>
      <c r="R259" s="530">
        <f t="shared" si="101"/>
        <v>750000</v>
      </c>
      <c r="S259" s="532">
        <f t="shared" si="95"/>
        <v>150000</v>
      </c>
      <c r="T259" s="531">
        <f t="shared" si="102"/>
        <v>150000</v>
      </c>
      <c r="U259" s="533">
        <f t="shared" si="103"/>
        <v>750000</v>
      </c>
      <c r="V259" s="531">
        <f t="shared" si="104"/>
        <v>120000</v>
      </c>
      <c r="W259" s="531">
        <f t="shared" si="105"/>
        <v>30000</v>
      </c>
      <c r="X259" s="534">
        <f t="shared" si="106"/>
        <v>150000</v>
      </c>
      <c r="Y259" s="535">
        <f>IF($A259="","",IF($I259="weekly",$A259+7,EDATE($A259,VLOOKUP($I259,Ref!$B$24:$C$29,2,0))))</f>
        <v>44507</v>
      </c>
      <c r="Z259" s="536" t="str">
        <f t="shared" si="107"/>
        <v>Sun</v>
      </c>
      <c r="AA259" s="531">
        <f t="shared" si="108"/>
        <v>31</v>
      </c>
      <c r="AB259" s="535">
        <f t="shared" si="96"/>
        <v>44627</v>
      </c>
      <c r="AC259" s="537">
        <f t="shared" si="97"/>
        <v>151</v>
      </c>
      <c r="AD259" s="538" t="str">
        <f t="shared" ca="1" si="98"/>
        <v>Expired</v>
      </c>
      <c r="AE259" s="537">
        <f t="shared" ca="1" si="99"/>
        <v>0</v>
      </c>
      <c r="AF259" s="539">
        <f t="shared" ca="1" si="109"/>
        <v>5</v>
      </c>
      <c r="AG259" s="531">
        <f t="shared" ca="1" si="110"/>
        <v>750000</v>
      </c>
      <c r="AH259" s="531">
        <f t="shared" ca="1" si="111"/>
        <v>150000</v>
      </c>
      <c r="AI259" s="531">
        <f t="shared" ca="1" si="112"/>
        <v>600000</v>
      </c>
      <c r="AJ259" s="531">
        <f t="shared" ca="1" si="113"/>
        <v>0</v>
      </c>
      <c r="AK259" s="540">
        <f>SUMIFS('Live Collections'!$S:$S,'Live Collections'!$D:$D,Disbursements!B259,'Live Collections'!$G:$G,Disbursements!C259)</f>
        <v>150000</v>
      </c>
      <c r="AL259" s="540">
        <f>SUMIFS('Live Collections'!$T:$T,'Live Collections'!$D:$D,Disbursements!B259,'Live Collections'!$G:$G,Disbursements!C259)</f>
        <v>600000</v>
      </c>
      <c r="AM259" s="541">
        <f t="shared" si="114"/>
        <v>750000</v>
      </c>
      <c r="AN259" s="542">
        <f t="shared" si="115"/>
        <v>0</v>
      </c>
      <c r="AO259" s="542">
        <f t="shared" si="116"/>
        <v>0</v>
      </c>
      <c r="AP259" s="543">
        <f t="shared" si="117"/>
        <v>0</v>
      </c>
      <c r="AQ259" s="544" t="str">
        <f t="shared" ca="1" si="118"/>
        <v/>
      </c>
      <c r="AR259" s="545">
        <f t="shared" ca="1" si="119"/>
        <v>0</v>
      </c>
      <c r="AS259" s="545">
        <f ca="1">IFERROR(CEILING($AR259*VLOOKUP($I259,Ref!$B$23:$E$29,4,0),1),0)</f>
        <v>0</v>
      </c>
      <c r="AT259" s="545" t="str">
        <f>IF(A259="","",IF(AP259&lt;=1,"Cleared",IF(AS259=0,"Clean",VLOOKUP($AS259,Ref!$G$23:$H$28,2))))</f>
        <v>Cleared</v>
      </c>
      <c r="AU259" s="546" t="str">
        <f t="shared" si="120"/>
        <v>Ok</v>
      </c>
    </row>
    <row r="260" spans="1:47" ht="14.25" customHeight="1" x14ac:dyDescent="0.15">
      <c r="A260" s="575">
        <v>44476</v>
      </c>
      <c r="B260" s="523">
        <v>105</v>
      </c>
      <c r="C260" s="523">
        <v>259</v>
      </c>
      <c r="D260" s="523">
        <v>2</v>
      </c>
      <c r="E260" s="579" t="s">
        <v>1274</v>
      </c>
      <c r="F260" s="580">
        <v>400000</v>
      </c>
      <c r="G260" s="524">
        <v>5</v>
      </c>
      <c r="H260" s="555">
        <v>0.05</v>
      </c>
      <c r="I260" s="560" t="s">
        <v>859</v>
      </c>
      <c r="J260" s="523" t="s">
        <v>862</v>
      </c>
      <c r="K260" s="528" t="str">
        <f>IFERROR(VLOOKUP($B260,'Clients-Live'!$A:$C,3,0),"")</f>
        <v>NUKA ROSE</v>
      </c>
      <c r="L260" s="528">
        <f>IF(E260="STL",Pricing!$D$38,IF(A260="",0,IF(A260&lt;Pricing!$C$25,Pricing!$D$25,VLOOKUP(Disbursements!$F260,Pricing!$B$29:$D$32,3))))</f>
        <v>15000</v>
      </c>
      <c r="M260" s="528">
        <f>IF(E260="STL",0,IF(F260&gt;0,Pricing!$D$21,0))</f>
        <v>5000</v>
      </c>
      <c r="N260" s="529">
        <f>IF(E260="STL",F260*Pricing!$D$40,IF(A260&lt;=Pricing!$C$4,0,IF(AND(A260&gt;Pricing!$C$4,Disbursements!A260&lt;=Pricing!$C$5),F260*Pricing!$E$5,IF(AND(A260&gt;Pricing!$C$5,Disbursements!A260&lt;=Pricing!$C$7),VLOOKUP(F260,Pricing!$D$7:$E$8,2)*Disbursements!F260,F260*Pricing!$E$9))))</f>
        <v>4000</v>
      </c>
      <c r="O260" s="528">
        <f>IF(E260="STL",0,IF($F260&gt;0,$F260*Pricing!$D$17,0))</f>
        <v>40000</v>
      </c>
      <c r="P260" s="530">
        <f t="shared" si="100"/>
        <v>100000</v>
      </c>
      <c r="Q260" s="531">
        <f>IF($A260="","",$G260/VLOOKUP($I260,Ref!$B$23:$D$29,2,0))</f>
        <v>5</v>
      </c>
      <c r="R260" s="530">
        <f t="shared" si="101"/>
        <v>500000</v>
      </c>
      <c r="S260" s="532">
        <f t="shared" ref="S260:S323" si="121">IF($A260="","",$R260/$Q260)</f>
        <v>100000</v>
      </c>
      <c r="T260" s="531">
        <f t="shared" si="102"/>
        <v>100000</v>
      </c>
      <c r="U260" s="533">
        <f t="shared" si="103"/>
        <v>500000</v>
      </c>
      <c r="V260" s="531">
        <f t="shared" si="104"/>
        <v>80000</v>
      </c>
      <c r="W260" s="531">
        <f t="shared" si="105"/>
        <v>20000</v>
      </c>
      <c r="X260" s="534">
        <f t="shared" si="106"/>
        <v>100000</v>
      </c>
      <c r="Y260" s="535">
        <f>IF($A260="","",IF($I260="weekly",$A260+7,EDATE($A260,VLOOKUP($I260,Ref!$B$24:$C$29,2,0))))</f>
        <v>44507</v>
      </c>
      <c r="Z260" s="536" t="str">
        <f t="shared" si="107"/>
        <v>Sun</v>
      </c>
      <c r="AA260" s="531">
        <f t="shared" si="108"/>
        <v>31</v>
      </c>
      <c r="AB260" s="535">
        <f t="shared" ref="AB260:AB323" si="122">IF($A260="","",EDATE($A260,$G260))</f>
        <v>44627</v>
      </c>
      <c r="AC260" s="537">
        <f t="shared" ref="AC260:AC323" si="123">IFERROR($AB260-$A260,"")</f>
        <v>151</v>
      </c>
      <c r="AD260" s="538" t="str">
        <f t="shared" ref="AD260:AD323" ca="1" si="124">IFERROR(IF(TODAY()-$A260&lt;$AB260-$A260,TODAY()-$A260,"Expired"),"")</f>
        <v>Expired</v>
      </c>
      <c r="AE260" s="537">
        <f t="shared" ref="AE260:AE323" ca="1" si="125">IFERROR($AC260-$AD260,0)</f>
        <v>0</v>
      </c>
      <c r="AF260" s="539">
        <f t="shared" ca="1" si="109"/>
        <v>5</v>
      </c>
      <c r="AG260" s="531">
        <f t="shared" ca="1" si="110"/>
        <v>500000</v>
      </c>
      <c r="AH260" s="531">
        <f t="shared" ca="1" si="111"/>
        <v>100000</v>
      </c>
      <c r="AI260" s="531">
        <f t="shared" ca="1" si="112"/>
        <v>400000</v>
      </c>
      <c r="AJ260" s="531">
        <f t="shared" ca="1" si="113"/>
        <v>0</v>
      </c>
      <c r="AK260" s="540">
        <f>SUMIFS('Live Collections'!$S:$S,'Live Collections'!$D:$D,Disbursements!B260,'Live Collections'!$G:$G,Disbursements!C260)</f>
        <v>100000</v>
      </c>
      <c r="AL260" s="540">
        <f>SUMIFS('Live Collections'!$T:$T,'Live Collections'!$D:$D,Disbursements!B260,'Live Collections'!$G:$G,Disbursements!C260)</f>
        <v>400000</v>
      </c>
      <c r="AM260" s="541">
        <f t="shared" si="114"/>
        <v>500000</v>
      </c>
      <c r="AN260" s="542">
        <f t="shared" si="115"/>
        <v>0</v>
      </c>
      <c r="AO260" s="542">
        <f t="shared" si="116"/>
        <v>0</v>
      </c>
      <c r="AP260" s="543">
        <f t="shared" si="117"/>
        <v>0</v>
      </c>
      <c r="AQ260" s="544" t="str">
        <f t="shared" ca="1" si="118"/>
        <v/>
      </c>
      <c r="AR260" s="545">
        <f t="shared" ca="1" si="119"/>
        <v>0</v>
      </c>
      <c r="AS260" s="545">
        <f ca="1">IFERROR(CEILING($AR260*VLOOKUP($I260,Ref!$B$23:$E$29,4,0),1),0)</f>
        <v>0</v>
      </c>
      <c r="AT260" s="545" t="str">
        <f>IF(A260="","",IF(AP260&lt;=1,"Cleared",IF(AS260=0,"Clean",VLOOKUP($AS260,Ref!$G$23:$H$28,2))))</f>
        <v>Cleared</v>
      </c>
      <c r="AU260" s="546" t="str">
        <f t="shared" si="120"/>
        <v>Ok</v>
      </c>
    </row>
    <row r="261" spans="1:47" ht="15" customHeight="1" x14ac:dyDescent="0.15">
      <c r="A261" s="575">
        <v>44476</v>
      </c>
      <c r="B261" s="523">
        <v>238</v>
      </c>
      <c r="C261" s="523">
        <v>257</v>
      </c>
      <c r="D261" s="523">
        <v>1</v>
      </c>
      <c r="E261" s="523" t="s">
        <v>1274</v>
      </c>
      <c r="F261" s="554">
        <v>500000</v>
      </c>
      <c r="G261" s="524">
        <v>5</v>
      </c>
      <c r="H261" s="555">
        <v>0.05</v>
      </c>
      <c r="I261" s="560" t="s">
        <v>859</v>
      </c>
      <c r="J261" s="523" t="s">
        <v>862</v>
      </c>
      <c r="K261" s="528" t="str">
        <f>IFERROR(VLOOKUP($B261,'Clients-Live'!$A:$C,3,0),"")</f>
        <v>ANGAIKA SAID</v>
      </c>
      <c r="L261" s="528">
        <f>IF(E261="STL",Pricing!$D$38,IF(A261="",0,IF(A261&lt;Pricing!$C$25,Pricing!$D$25,VLOOKUP(Disbursements!$F261,Pricing!$B$29:$D$32,3))))</f>
        <v>15000</v>
      </c>
      <c r="M261" s="528">
        <f>IF(E261="STL",0,IF(F261&gt;0,Pricing!$D$21,0))</f>
        <v>5000</v>
      </c>
      <c r="N261" s="529">
        <f>IF(E261="STL",F261*Pricing!$D$40,IF(A261&lt;=Pricing!$C$4,0,IF(AND(A261&gt;Pricing!$C$4,Disbursements!A261&lt;=Pricing!$C$5),F261*Pricing!$E$5,IF(AND(A261&gt;Pricing!$C$5,Disbursements!A261&lt;=Pricing!$C$7),VLOOKUP(F261,Pricing!$D$7:$E$8,2)*Disbursements!F261,F261*Pricing!$E$9))))</f>
        <v>5000</v>
      </c>
      <c r="O261" s="528">
        <f>IF(E261="STL",0,IF($F261&gt;0,$F261*Pricing!$D$17,0))</f>
        <v>50000</v>
      </c>
      <c r="P261" s="530">
        <f t="shared" ref="P261:P324" si="126">IF($A261="","",$H261*$F261*$G261)</f>
        <v>125000</v>
      </c>
      <c r="Q261" s="531">
        <f>IF($A261="","",$G261/VLOOKUP($I261,Ref!$B$23:$D$29,2,0))</f>
        <v>5</v>
      </c>
      <c r="R261" s="530">
        <f t="shared" ref="R261:R324" si="127">IF($A261="","",$F261+$P261)</f>
        <v>625000</v>
      </c>
      <c r="S261" s="532">
        <f t="shared" si="121"/>
        <v>125000</v>
      </c>
      <c r="T261" s="531">
        <f t="shared" ref="T261:T324" si="128">IF(R261="","",CEILING(S261,1000))</f>
        <v>125000</v>
      </c>
      <c r="U261" s="533">
        <f t="shared" ref="U261:U324" si="129">IFERROR(T261*Q261,0)</f>
        <v>625000</v>
      </c>
      <c r="V261" s="531">
        <f t="shared" ref="V261:V324" si="130">IF(T261="","",F261/Q261)</f>
        <v>100000</v>
      </c>
      <c r="W261" s="531">
        <f t="shared" ref="W261:W324" si="131">IF(T261="","",T261-V261)</f>
        <v>25000</v>
      </c>
      <c r="X261" s="534">
        <f t="shared" ref="X261:X324" si="132">IF(A261="","",W261*Q261)</f>
        <v>125000</v>
      </c>
      <c r="Y261" s="535">
        <f>IF($A261="","",IF($I261="weekly",$A261+7,EDATE($A261,VLOOKUP($I261,Ref!$B$24:$C$29,2,0))))</f>
        <v>44507</v>
      </c>
      <c r="Z261" s="536" t="str">
        <f t="shared" ref="Z261:Z324" si="133">IFERROR(CHOOSE(WEEKDAY(Y261),"Sun","Mon","Tue","Wed","Thu","Frid","Sat"),"")</f>
        <v>Sun</v>
      </c>
      <c r="AA261" s="531">
        <f t="shared" ref="AA261:AA324" si="134">IFERROR(Y261-A261,0)</f>
        <v>31</v>
      </c>
      <c r="AB261" s="535">
        <f t="shared" si="122"/>
        <v>44627</v>
      </c>
      <c r="AC261" s="537">
        <f t="shared" si="123"/>
        <v>151</v>
      </c>
      <c r="AD261" s="538" t="str">
        <f t="shared" ca="1" si="124"/>
        <v>Expired</v>
      </c>
      <c r="AE261" s="537">
        <f t="shared" ca="1" si="125"/>
        <v>0</v>
      </c>
      <c r="AF261" s="539">
        <f t="shared" ref="AF261:AF324" ca="1" si="135">IFERROR(IF(AD261="Expired",Q261,IF(AD261&gt;AA261,AD261/AA261,0)),"")</f>
        <v>5</v>
      </c>
      <c r="AG261" s="531">
        <f t="shared" ref="AG261:AG324" ca="1" si="136">IFERROR(AF261*T261,"")</f>
        <v>625000</v>
      </c>
      <c r="AH261" s="531">
        <f t="shared" ref="AH261:AH324" ca="1" si="137">IFERROR(AF261*W261,"")</f>
        <v>125000</v>
      </c>
      <c r="AI261" s="531">
        <f t="shared" ref="AI261:AI324" ca="1" si="138">IFERROR(AF261*V261,"")</f>
        <v>500000</v>
      </c>
      <c r="AJ261" s="531">
        <f t="shared" ref="AJ261:AJ324" ca="1" si="139">IF(F261=0,"",U261-AG261)</f>
        <v>0</v>
      </c>
      <c r="AK261" s="540">
        <f>SUMIFS('Live Collections'!$S:$S,'Live Collections'!$D:$D,Disbursements!B261,'Live Collections'!$G:$G,Disbursements!C261)</f>
        <v>125000</v>
      </c>
      <c r="AL261" s="540">
        <f>SUMIFS('Live Collections'!$T:$T,'Live Collections'!$D:$D,Disbursements!B261,'Live Collections'!$G:$G,Disbursements!C261)</f>
        <v>500000</v>
      </c>
      <c r="AM261" s="541">
        <f t="shared" ref="AM261:AM324" si="140">SUM(AK261:AL261)</f>
        <v>625000</v>
      </c>
      <c r="AN261" s="542">
        <f t="shared" ref="AN261:AN324" si="141">IFERROR(W261*Q261-AK261,"")</f>
        <v>0</v>
      </c>
      <c r="AO261" s="542">
        <f t="shared" ref="AO261:AO324" si="142">IF(F261="","",(F261-AL261))</f>
        <v>0</v>
      </c>
      <c r="AP261" s="543">
        <f t="shared" ref="AP261:AP324" si="143">IF(F261="","",SUM(AN261:AO261))</f>
        <v>0</v>
      </c>
      <c r="AQ261" s="544" t="str">
        <f t="shared" ref="AQ261:AQ324" ca="1" si="144">IF(AP261&gt;AJ261,AP261-AJ261,"")</f>
        <v/>
      </c>
      <c r="AR261" s="545">
        <f t="shared" ref="AR261:AR324" ca="1" si="145">IFERROR(AQ261/T261,0)</f>
        <v>0</v>
      </c>
      <c r="AS261" s="545">
        <f ca="1">IFERROR(CEILING($AR261*VLOOKUP($I261,Ref!$B$23:$E$29,4,0),1),0)</f>
        <v>0</v>
      </c>
      <c r="AT261" s="545" t="str">
        <f>IF(A261="","",IF(AP261&lt;=1,"Cleared",IF(AS261=0,"Clean",VLOOKUP($AS261,Ref!$G$23:$H$28,2))))</f>
        <v>Cleared</v>
      </c>
      <c r="AU261" s="546" t="str">
        <f t="shared" ref="AU261:AU324" si="146">IF(F261="","",IF(OR(AN261&lt;0,AO261&lt;0,AP261&lt;0),"Error on Entry","Ok"))</f>
        <v>Ok</v>
      </c>
    </row>
    <row r="262" spans="1:47" ht="15" customHeight="1" x14ac:dyDescent="0.15">
      <c r="A262" s="575">
        <v>44476</v>
      </c>
      <c r="B262" s="523">
        <v>240</v>
      </c>
      <c r="C262" s="523">
        <v>256</v>
      </c>
      <c r="D262" s="523">
        <v>1</v>
      </c>
      <c r="E262" s="523" t="s">
        <v>1277</v>
      </c>
      <c r="F262" s="554">
        <v>1500000</v>
      </c>
      <c r="G262" s="524">
        <v>1</v>
      </c>
      <c r="H262" s="555">
        <v>7.4999999999999997E-2</v>
      </c>
      <c r="I262" s="560" t="s">
        <v>859</v>
      </c>
      <c r="J262" s="523" t="s">
        <v>863</v>
      </c>
      <c r="K262" s="528" t="str">
        <f>IFERROR(VLOOKUP($B262,'Clients-Live'!$A:$C,3,0),"")</f>
        <v>AYIKORU WINNIE</v>
      </c>
      <c r="L262" s="528">
        <f>IF(E262="STL",Pricing!$D$38,IF(A262="",0,IF(A262&lt;Pricing!$C$25,Pricing!$D$25,VLOOKUP(Disbursements!$F262,Pricing!$B$29:$D$32,3))))</f>
        <v>25000</v>
      </c>
      <c r="M262" s="528">
        <f>IF(E262="STL",0,IF(F262&gt;0,Pricing!$D$21,0))</f>
        <v>5000</v>
      </c>
      <c r="N262" s="529">
        <f>IF(E262="STL",F262*Pricing!$D$40,IF(A262&lt;=Pricing!$C$4,0,IF(AND(A262&gt;Pricing!$C$4,Disbursements!A262&lt;=Pricing!$C$5),F262*Pricing!$E$5,IF(AND(A262&gt;Pricing!$C$5,Disbursements!A262&lt;=Pricing!$C$7),VLOOKUP(F262,Pricing!$D$7:$E$8,2)*Disbursements!F262,F262*Pricing!$E$9))))</f>
        <v>30000</v>
      </c>
      <c r="O262" s="528">
        <f>IF(E262="STL",0,IF($F262&gt;0,$F262*Pricing!$D$17,0))</f>
        <v>150000</v>
      </c>
      <c r="P262" s="530">
        <f t="shared" si="126"/>
        <v>112500</v>
      </c>
      <c r="Q262" s="531">
        <f>IF($A262="","",$G262/VLOOKUP($I262,Ref!$B$23:$D$29,2,0))</f>
        <v>1</v>
      </c>
      <c r="R262" s="530">
        <f t="shared" si="127"/>
        <v>1612500</v>
      </c>
      <c r="S262" s="532">
        <f t="shared" si="121"/>
        <v>1612500</v>
      </c>
      <c r="T262" s="531">
        <f t="shared" si="128"/>
        <v>1613000</v>
      </c>
      <c r="U262" s="533">
        <f t="shared" si="129"/>
        <v>1613000</v>
      </c>
      <c r="V262" s="531">
        <f t="shared" si="130"/>
        <v>1500000</v>
      </c>
      <c r="W262" s="531">
        <f t="shared" si="131"/>
        <v>113000</v>
      </c>
      <c r="X262" s="534">
        <f t="shared" si="132"/>
        <v>113000</v>
      </c>
      <c r="Y262" s="535">
        <f>IF($A262="","",IF($I262="weekly",$A262+7,EDATE($A262,VLOOKUP($I262,Ref!$B$24:$C$29,2,0))))</f>
        <v>44507</v>
      </c>
      <c r="Z262" s="536" t="str">
        <f t="shared" si="133"/>
        <v>Sun</v>
      </c>
      <c r="AA262" s="531">
        <f t="shared" si="134"/>
        <v>31</v>
      </c>
      <c r="AB262" s="535">
        <f t="shared" si="122"/>
        <v>44507</v>
      </c>
      <c r="AC262" s="537">
        <f t="shared" si="123"/>
        <v>31</v>
      </c>
      <c r="AD262" s="538" t="str">
        <f t="shared" ca="1" si="124"/>
        <v>Expired</v>
      </c>
      <c r="AE262" s="537">
        <f t="shared" ca="1" si="125"/>
        <v>0</v>
      </c>
      <c r="AF262" s="539">
        <f t="shared" ca="1" si="135"/>
        <v>1</v>
      </c>
      <c r="AG262" s="531">
        <f t="shared" ca="1" si="136"/>
        <v>1613000</v>
      </c>
      <c r="AH262" s="531">
        <f t="shared" ca="1" si="137"/>
        <v>113000</v>
      </c>
      <c r="AI262" s="531">
        <f t="shared" ca="1" si="138"/>
        <v>1500000</v>
      </c>
      <c r="AJ262" s="531">
        <f t="shared" ca="1" si="139"/>
        <v>0</v>
      </c>
      <c r="AK262" s="540">
        <f>SUMIFS('Live Collections'!$S:$S,'Live Collections'!$D:$D,Disbursements!B262,'Live Collections'!$G:$G,Disbursements!C262)</f>
        <v>113000</v>
      </c>
      <c r="AL262" s="540">
        <f>SUMIFS('Live Collections'!$T:$T,'Live Collections'!$D:$D,Disbursements!B262,'Live Collections'!$G:$G,Disbursements!C262)</f>
        <v>1499500</v>
      </c>
      <c r="AM262" s="541">
        <f t="shared" si="140"/>
        <v>1612500</v>
      </c>
      <c r="AN262" s="542">
        <f t="shared" si="141"/>
        <v>0</v>
      </c>
      <c r="AO262" s="542">
        <f t="shared" si="142"/>
        <v>500</v>
      </c>
      <c r="AP262" s="543">
        <f t="shared" si="143"/>
        <v>500</v>
      </c>
      <c r="AQ262" s="544">
        <f t="shared" ca="1" si="144"/>
        <v>500</v>
      </c>
      <c r="AR262" s="545">
        <f t="shared" ca="1" si="145"/>
        <v>3.0998140111593303E-4</v>
      </c>
      <c r="AS262" s="545">
        <f ca="1">IFERROR(CEILING($AR262*VLOOKUP($I262,Ref!$B$23:$E$29,4,0),1),0)</f>
        <v>1</v>
      </c>
      <c r="AT262" s="545" t="str">
        <f ca="1">IF(A262="","",IF(AP262&lt;=1,"Cleared",IF(AS262=0,"Clean",VLOOKUP($AS262,Ref!$G$23:$H$28,2))))</f>
        <v>1.(0-30) Days</v>
      </c>
      <c r="AU262" s="546" t="str">
        <f t="shared" si="146"/>
        <v>Ok</v>
      </c>
    </row>
    <row r="263" spans="1:47" ht="15" customHeight="1" x14ac:dyDescent="0.15">
      <c r="A263" s="575">
        <v>44477</v>
      </c>
      <c r="B263" s="523">
        <v>114</v>
      </c>
      <c r="C263" s="523">
        <v>262</v>
      </c>
      <c r="D263" s="523">
        <v>3</v>
      </c>
      <c r="E263" s="579" t="s">
        <v>1274</v>
      </c>
      <c r="F263" s="580">
        <v>1200000</v>
      </c>
      <c r="G263" s="524">
        <v>4</v>
      </c>
      <c r="H263" s="555">
        <v>0.05</v>
      </c>
      <c r="I263" s="560" t="s">
        <v>859</v>
      </c>
      <c r="J263" s="523" t="s">
        <v>863</v>
      </c>
      <c r="K263" s="528" t="str">
        <f>IFERROR(VLOOKUP($B263,'Clients-Live'!$A:$C,3,0),"")</f>
        <v>ONZIA EMMILY</v>
      </c>
      <c r="L263" s="528">
        <f>IF(E263="STL",Pricing!$D$38,IF(A263="",0,IF(A263&lt;Pricing!$C$25,Pricing!$D$25,VLOOKUP(Disbursements!$F263,Pricing!$B$29:$D$32,3))))</f>
        <v>25000</v>
      </c>
      <c r="M263" s="528">
        <f>IF(E263="STL",0,IF(F263&gt;0,Pricing!$D$21,0))</f>
        <v>5000</v>
      </c>
      <c r="N263" s="529">
        <f>IF(E263="STL",F263*Pricing!$D$40,IF(A263&lt;=Pricing!$C$4,0,IF(AND(A263&gt;Pricing!$C$4,Disbursements!A263&lt;=Pricing!$C$5),F263*Pricing!$E$5,IF(AND(A263&gt;Pricing!$C$5,Disbursements!A263&lt;=Pricing!$C$7),VLOOKUP(F263,Pricing!$D$7:$E$8,2)*Disbursements!F263,F263*Pricing!$E$9))))</f>
        <v>24000</v>
      </c>
      <c r="O263" s="528">
        <f>IF(E263="STL",0,IF($F263&gt;0,$F263*Pricing!$D$17,0))</f>
        <v>120000</v>
      </c>
      <c r="P263" s="530">
        <f t="shared" si="126"/>
        <v>240000</v>
      </c>
      <c r="Q263" s="531">
        <f>IF($A263="","",$G263/VLOOKUP($I263,Ref!$B$23:$D$29,2,0))</f>
        <v>4</v>
      </c>
      <c r="R263" s="530">
        <f t="shared" si="127"/>
        <v>1440000</v>
      </c>
      <c r="S263" s="532">
        <f t="shared" si="121"/>
        <v>360000</v>
      </c>
      <c r="T263" s="531">
        <f t="shared" si="128"/>
        <v>360000</v>
      </c>
      <c r="U263" s="533">
        <f t="shared" si="129"/>
        <v>1440000</v>
      </c>
      <c r="V263" s="531">
        <f t="shared" si="130"/>
        <v>300000</v>
      </c>
      <c r="W263" s="531">
        <f t="shared" si="131"/>
        <v>60000</v>
      </c>
      <c r="X263" s="534">
        <f t="shared" si="132"/>
        <v>240000</v>
      </c>
      <c r="Y263" s="535">
        <f>IF($A263="","",IF($I263="weekly",$A263+7,EDATE($A263,VLOOKUP($I263,Ref!$B$24:$C$29,2,0))))</f>
        <v>44508</v>
      </c>
      <c r="Z263" s="536" t="str">
        <f t="shared" si="133"/>
        <v>Mon</v>
      </c>
      <c r="AA263" s="531">
        <f t="shared" si="134"/>
        <v>31</v>
      </c>
      <c r="AB263" s="535">
        <f t="shared" si="122"/>
        <v>44600</v>
      </c>
      <c r="AC263" s="537">
        <f t="shared" si="123"/>
        <v>123</v>
      </c>
      <c r="AD263" s="538" t="str">
        <f t="shared" ca="1" si="124"/>
        <v>Expired</v>
      </c>
      <c r="AE263" s="537">
        <f t="shared" ca="1" si="125"/>
        <v>0</v>
      </c>
      <c r="AF263" s="539">
        <f t="shared" ca="1" si="135"/>
        <v>4</v>
      </c>
      <c r="AG263" s="531">
        <f t="shared" ca="1" si="136"/>
        <v>1440000</v>
      </c>
      <c r="AH263" s="531">
        <f t="shared" ca="1" si="137"/>
        <v>240000</v>
      </c>
      <c r="AI263" s="531">
        <f t="shared" ca="1" si="138"/>
        <v>1200000</v>
      </c>
      <c r="AJ263" s="531">
        <f t="shared" ca="1" si="139"/>
        <v>0</v>
      </c>
      <c r="AK263" s="540">
        <f>SUMIFS('Live Collections'!$S:$S,'Live Collections'!$D:$D,Disbursements!B263,'Live Collections'!$G:$G,Disbursements!C263)</f>
        <v>240000</v>
      </c>
      <c r="AL263" s="540">
        <f>SUMIFS('Live Collections'!$T:$T,'Live Collections'!$D:$D,Disbursements!B263,'Live Collections'!$G:$G,Disbursements!C263)</f>
        <v>1200000</v>
      </c>
      <c r="AM263" s="541">
        <f t="shared" si="140"/>
        <v>1440000</v>
      </c>
      <c r="AN263" s="542">
        <f t="shared" si="141"/>
        <v>0</v>
      </c>
      <c r="AO263" s="542">
        <f t="shared" si="142"/>
        <v>0</v>
      </c>
      <c r="AP263" s="543">
        <f t="shared" si="143"/>
        <v>0</v>
      </c>
      <c r="AQ263" s="544" t="str">
        <f t="shared" ca="1" si="144"/>
        <v/>
      </c>
      <c r="AR263" s="545">
        <f t="shared" ca="1" si="145"/>
        <v>0</v>
      </c>
      <c r="AS263" s="545">
        <f ca="1">IFERROR(CEILING($AR263*VLOOKUP($I263,Ref!$B$23:$E$29,4,0),1),0)</f>
        <v>0</v>
      </c>
      <c r="AT263" s="545" t="str">
        <f>IF(A263="","",IF(AP263&lt;=1,"Cleared",IF(AS263=0,"Clean",VLOOKUP($AS263,Ref!$G$23:$H$28,2))))</f>
        <v>Cleared</v>
      </c>
      <c r="AU263" s="546" t="str">
        <f t="shared" si="146"/>
        <v>Ok</v>
      </c>
    </row>
    <row r="264" spans="1:47" ht="15" customHeight="1" x14ac:dyDescent="0.15">
      <c r="A264" s="575">
        <v>44477</v>
      </c>
      <c r="B264" s="523">
        <v>161</v>
      </c>
      <c r="C264" s="523">
        <v>261</v>
      </c>
      <c r="D264" s="523">
        <v>2</v>
      </c>
      <c r="E264" s="579" t="s">
        <v>1277</v>
      </c>
      <c r="F264" s="580">
        <v>2000000</v>
      </c>
      <c r="G264" s="524">
        <v>1</v>
      </c>
      <c r="H264" s="555">
        <v>7.4999999999999997E-2</v>
      </c>
      <c r="I264" s="560" t="s">
        <v>859</v>
      </c>
      <c r="J264" s="523" t="s">
        <v>864</v>
      </c>
      <c r="K264" s="528" t="str">
        <f>IFERROR(VLOOKUP($B264,'Clients-Live'!$A:$C,3,0),"")</f>
        <v>OKUYO BERNARD</v>
      </c>
      <c r="L264" s="528">
        <f>IF(E264="STL",Pricing!$D$38,IF(A264="",0,IF(A264&lt;Pricing!$C$25,Pricing!$D$25,VLOOKUP(Disbursements!$F264,Pricing!$B$29:$D$32,3))))</f>
        <v>25000</v>
      </c>
      <c r="M264" s="528">
        <f>IF(E264="STL",0,IF(F264&gt;0,Pricing!$D$21,0))</f>
        <v>5000</v>
      </c>
      <c r="N264" s="529">
        <f>IF(E264="STL",F264*Pricing!$D$40,IF(A264&lt;=Pricing!$C$4,0,IF(AND(A264&gt;Pricing!$C$4,Disbursements!A264&lt;=Pricing!$C$5),F264*Pricing!$E$5,IF(AND(A264&gt;Pricing!$C$5,Disbursements!A264&lt;=Pricing!$C$7),VLOOKUP(F264,Pricing!$D$7:$E$8,2)*Disbursements!F264,F264*Pricing!$E$9))))</f>
        <v>40000</v>
      </c>
      <c r="O264" s="528">
        <f>IF(E264="STL",0,IF($F264&gt;0,$F264*Pricing!$D$17,0))</f>
        <v>200000</v>
      </c>
      <c r="P264" s="530">
        <f t="shared" si="126"/>
        <v>150000</v>
      </c>
      <c r="Q264" s="531">
        <f>IF($A264="","",$G264/VLOOKUP($I264,Ref!$B$23:$D$29,2,0))</f>
        <v>1</v>
      </c>
      <c r="R264" s="530">
        <f t="shared" si="127"/>
        <v>2150000</v>
      </c>
      <c r="S264" s="532">
        <f t="shared" si="121"/>
        <v>2150000</v>
      </c>
      <c r="T264" s="531">
        <f t="shared" si="128"/>
        <v>2150000</v>
      </c>
      <c r="U264" s="533">
        <f t="shared" si="129"/>
        <v>2150000</v>
      </c>
      <c r="V264" s="531">
        <f t="shared" si="130"/>
        <v>2000000</v>
      </c>
      <c r="W264" s="531">
        <f t="shared" si="131"/>
        <v>150000</v>
      </c>
      <c r="X264" s="534">
        <f t="shared" si="132"/>
        <v>150000</v>
      </c>
      <c r="Y264" s="535">
        <f>IF($A264="","",IF($I264="weekly",$A264+7,EDATE($A264,VLOOKUP($I264,Ref!$B$24:$C$29,2,0))))</f>
        <v>44508</v>
      </c>
      <c r="Z264" s="536" t="str">
        <f t="shared" si="133"/>
        <v>Mon</v>
      </c>
      <c r="AA264" s="531">
        <f t="shared" si="134"/>
        <v>31</v>
      </c>
      <c r="AB264" s="535">
        <f t="shared" si="122"/>
        <v>44508</v>
      </c>
      <c r="AC264" s="537">
        <f t="shared" si="123"/>
        <v>31</v>
      </c>
      <c r="AD264" s="538" t="str">
        <f t="shared" ca="1" si="124"/>
        <v>Expired</v>
      </c>
      <c r="AE264" s="537">
        <f t="shared" ca="1" si="125"/>
        <v>0</v>
      </c>
      <c r="AF264" s="539">
        <f t="shared" ca="1" si="135"/>
        <v>1</v>
      </c>
      <c r="AG264" s="531">
        <f t="shared" ca="1" si="136"/>
        <v>2150000</v>
      </c>
      <c r="AH264" s="531">
        <f t="shared" ca="1" si="137"/>
        <v>150000</v>
      </c>
      <c r="AI264" s="531">
        <f t="shared" ca="1" si="138"/>
        <v>2000000</v>
      </c>
      <c r="AJ264" s="531">
        <f t="shared" ca="1" si="139"/>
        <v>0</v>
      </c>
      <c r="AK264" s="540">
        <f>SUMIFS('Live Collections'!$S:$S,'Live Collections'!$D:$D,Disbursements!B264,'Live Collections'!$G:$G,Disbursements!C264)</f>
        <v>150000</v>
      </c>
      <c r="AL264" s="540">
        <f>SUMIFS('Live Collections'!$T:$T,'Live Collections'!$D:$D,Disbursements!B264,'Live Collections'!$G:$G,Disbursements!C264)</f>
        <v>2000000</v>
      </c>
      <c r="AM264" s="541">
        <f t="shared" si="140"/>
        <v>2150000</v>
      </c>
      <c r="AN264" s="542">
        <f t="shared" si="141"/>
        <v>0</v>
      </c>
      <c r="AO264" s="542">
        <f t="shared" si="142"/>
        <v>0</v>
      </c>
      <c r="AP264" s="543">
        <f t="shared" si="143"/>
        <v>0</v>
      </c>
      <c r="AQ264" s="544" t="str">
        <f t="shared" ca="1" si="144"/>
        <v/>
      </c>
      <c r="AR264" s="545">
        <f t="shared" ca="1" si="145"/>
        <v>0</v>
      </c>
      <c r="AS264" s="545">
        <f ca="1">IFERROR(CEILING($AR264*VLOOKUP($I264,Ref!$B$23:$E$29,4,0),1),0)</f>
        <v>0</v>
      </c>
      <c r="AT264" s="545" t="str">
        <f>IF(A264="","",IF(AP264&lt;=1,"Cleared",IF(AS264=0,"Clean",VLOOKUP($AS264,Ref!$G$23:$H$28,2))))</f>
        <v>Cleared</v>
      </c>
      <c r="AU264" s="546" t="str">
        <f t="shared" si="146"/>
        <v>Ok</v>
      </c>
    </row>
    <row r="265" spans="1:47" ht="15" customHeight="1" x14ac:dyDescent="0.15">
      <c r="A265" s="575">
        <v>44480</v>
      </c>
      <c r="B265" s="523">
        <v>113</v>
      </c>
      <c r="C265" s="523">
        <v>263</v>
      </c>
      <c r="D265" s="523">
        <v>2</v>
      </c>
      <c r="E265" s="579" t="s">
        <v>1274</v>
      </c>
      <c r="F265" s="580">
        <v>700000</v>
      </c>
      <c r="G265" s="524">
        <v>6</v>
      </c>
      <c r="H265" s="555">
        <v>0.05</v>
      </c>
      <c r="I265" s="560" t="s">
        <v>859</v>
      </c>
      <c r="J265" s="523" t="s">
        <v>863</v>
      </c>
      <c r="K265" s="528" t="str">
        <f>IFERROR(VLOOKUP($B265,'Clients-Live'!$A:$C,3,0),"")</f>
        <v>ATIKU AMULE ISAAC</v>
      </c>
      <c r="L265" s="528">
        <f>IF(E265="STL",Pricing!$D$38,IF(A265="",0,IF(A265&lt;Pricing!$C$25,Pricing!$D$25,VLOOKUP(Disbursements!$F265,Pricing!$B$29:$D$32,3))))</f>
        <v>20000</v>
      </c>
      <c r="M265" s="528">
        <f>IF(E265="STL",0,IF(F265&gt;0,Pricing!$D$21,0))</f>
        <v>5000</v>
      </c>
      <c r="N265" s="529">
        <f>IF(E265="STL",F265*Pricing!$D$40,IF(A265&lt;=Pricing!$C$4,0,IF(AND(A265&gt;Pricing!$C$4,Disbursements!A265&lt;=Pricing!$C$5),F265*Pricing!$E$5,IF(AND(A265&gt;Pricing!$C$5,Disbursements!A265&lt;=Pricing!$C$7),VLOOKUP(F265,Pricing!$D$7:$E$8,2)*Disbursements!F265,F265*Pricing!$E$9))))</f>
        <v>7000</v>
      </c>
      <c r="O265" s="528">
        <f>IF(E265="STL",0,IF($F265&gt;0,$F265*Pricing!$D$17,0))</f>
        <v>70000</v>
      </c>
      <c r="P265" s="530">
        <f t="shared" si="126"/>
        <v>210000</v>
      </c>
      <c r="Q265" s="531">
        <f>IF($A265="","",$G265/VLOOKUP($I265,Ref!$B$23:$D$29,2,0))</f>
        <v>6</v>
      </c>
      <c r="R265" s="530">
        <f t="shared" si="127"/>
        <v>910000</v>
      </c>
      <c r="S265" s="532">
        <f t="shared" si="121"/>
        <v>151666.66666666666</v>
      </c>
      <c r="T265" s="531">
        <f t="shared" si="128"/>
        <v>152000</v>
      </c>
      <c r="U265" s="533">
        <f t="shared" si="129"/>
        <v>912000</v>
      </c>
      <c r="V265" s="531">
        <f t="shared" si="130"/>
        <v>116666.66666666667</v>
      </c>
      <c r="W265" s="531">
        <f t="shared" si="131"/>
        <v>35333.333333333328</v>
      </c>
      <c r="X265" s="534">
        <f t="shared" si="132"/>
        <v>211999.99999999997</v>
      </c>
      <c r="Y265" s="535">
        <f>IF($A265="","",IF($I265="weekly",$A265+7,EDATE($A265,VLOOKUP($I265,Ref!$B$24:$C$29,2,0))))</f>
        <v>44511</v>
      </c>
      <c r="Z265" s="536" t="str">
        <f t="shared" si="133"/>
        <v>Thu</v>
      </c>
      <c r="AA265" s="531">
        <f t="shared" si="134"/>
        <v>31</v>
      </c>
      <c r="AB265" s="535">
        <f t="shared" si="122"/>
        <v>44662</v>
      </c>
      <c r="AC265" s="537">
        <f t="shared" si="123"/>
        <v>182</v>
      </c>
      <c r="AD265" s="538" t="str">
        <f t="shared" ca="1" si="124"/>
        <v>Expired</v>
      </c>
      <c r="AE265" s="537">
        <f t="shared" ca="1" si="125"/>
        <v>0</v>
      </c>
      <c r="AF265" s="539">
        <f t="shared" ca="1" si="135"/>
        <v>6</v>
      </c>
      <c r="AG265" s="531">
        <f t="shared" ca="1" si="136"/>
        <v>912000</v>
      </c>
      <c r="AH265" s="531">
        <f t="shared" ca="1" si="137"/>
        <v>211999.99999999997</v>
      </c>
      <c r="AI265" s="531">
        <f t="shared" ca="1" si="138"/>
        <v>700000</v>
      </c>
      <c r="AJ265" s="531">
        <f t="shared" ca="1" si="139"/>
        <v>0</v>
      </c>
      <c r="AK265" s="540">
        <f>SUMIFS('Live Collections'!$S:$S,'Live Collections'!$D:$D,Disbursements!B265,'Live Collections'!$G:$G,Disbursements!C265)</f>
        <v>211999.99999999997</v>
      </c>
      <c r="AL265" s="540">
        <f>SUMIFS('Live Collections'!$T:$T,'Live Collections'!$D:$D,Disbursements!B265,'Live Collections'!$G:$G,Disbursements!C265)</f>
        <v>628200</v>
      </c>
      <c r="AM265" s="541">
        <f t="shared" si="140"/>
        <v>840200</v>
      </c>
      <c r="AN265" s="542">
        <f t="shared" si="141"/>
        <v>0</v>
      </c>
      <c r="AO265" s="542">
        <f t="shared" si="142"/>
        <v>71800</v>
      </c>
      <c r="AP265" s="543">
        <f t="shared" si="143"/>
        <v>71800</v>
      </c>
      <c r="AQ265" s="544">
        <f t="shared" ca="1" si="144"/>
        <v>71800</v>
      </c>
      <c r="AR265" s="545">
        <f t="shared" ca="1" si="145"/>
        <v>0.4723684210526316</v>
      </c>
      <c r="AS265" s="545">
        <f ca="1">IFERROR(CEILING($AR265*VLOOKUP($I265,Ref!$B$23:$E$29,4,0),1),0)</f>
        <v>15</v>
      </c>
      <c r="AT265" s="545" t="str">
        <f ca="1">IF(A265="","",IF(AP265&lt;=1,"Cleared",IF(AS265=0,"Clean",VLOOKUP($AS265,Ref!$G$23:$H$28,2))))</f>
        <v>1.(0-30) Days</v>
      </c>
      <c r="AU265" s="546" t="str">
        <f t="shared" si="146"/>
        <v>Ok</v>
      </c>
    </row>
    <row r="266" spans="1:47" ht="15" customHeight="1" x14ac:dyDescent="0.15">
      <c r="A266" s="575">
        <v>44481</v>
      </c>
      <c r="B266" s="523">
        <v>103</v>
      </c>
      <c r="C266" s="523">
        <v>266</v>
      </c>
      <c r="D266" s="523">
        <v>2</v>
      </c>
      <c r="E266" s="579" t="s">
        <v>1274</v>
      </c>
      <c r="F266" s="580">
        <v>500000</v>
      </c>
      <c r="G266" s="524">
        <v>4</v>
      </c>
      <c r="H266" s="555">
        <v>0.05</v>
      </c>
      <c r="I266" s="560" t="s">
        <v>859</v>
      </c>
      <c r="J266" s="523" t="s">
        <v>863</v>
      </c>
      <c r="K266" s="528" t="str">
        <f>IFERROR(VLOOKUP($B266,'Clients-Live'!$A:$C,3,0),"")</f>
        <v>CHANDIRU ZABIB</v>
      </c>
      <c r="L266" s="528">
        <f>IF(E266="STL",Pricing!$D$38,IF(A266="",0,IF(A266&lt;Pricing!$C$25,Pricing!$D$25,VLOOKUP(Disbursements!$F266,Pricing!$B$29:$D$32,3))))</f>
        <v>15000</v>
      </c>
      <c r="M266" s="528">
        <f>IF(E266="STL",0,IF(F266&gt;0,Pricing!$D$21,0))</f>
        <v>5000</v>
      </c>
      <c r="N266" s="529">
        <f>IF(E266="STL",F266*Pricing!$D$40,IF(A266&lt;=Pricing!$C$4,0,IF(AND(A266&gt;Pricing!$C$4,Disbursements!A266&lt;=Pricing!$C$5),F266*Pricing!$E$5,IF(AND(A266&gt;Pricing!$C$5,Disbursements!A266&lt;=Pricing!$C$7),VLOOKUP(F266,Pricing!$D$7:$E$8,2)*Disbursements!F266,F266*Pricing!$E$9))))</f>
        <v>5000</v>
      </c>
      <c r="O266" s="528">
        <f>IF(E266="STL",0,IF($F266&gt;0,$F266*Pricing!$D$17,0))</f>
        <v>50000</v>
      </c>
      <c r="P266" s="530">
        <f t="shared" si="126"/>
        <v>100000</v>
      </c>
      <c r="Q266" s="531">
        <f>IF($A266="","",$G266/VLOOKUP($I266,Ref!$B$23:$D$29,2,0))</f>
        <v>4</v>
      </c>
      <c r="R266" s="530">
        <f t="shared" si="127"/>
        <v>600000</v>
      </c>
      <c r="S266" s="532">
        <f t="shared" si="121"/>
        <v>150000</v>
      </c>
      <c r="T266" s="531">
        <f t="shared" si="128"/>
        <v>150000</v>
      </c>
      <c r="U266" s="533">
        <f t="shared" si="129"/>
        <v>600000</v>
      </c>
      <c r="V266" s="531">
        <f t="shared" si="130"/>
        <v>125000</v>
      </c>
      <c r="W266" s="531">
        <f t="shared" si="131"/>
        <v>25000</v>
      </c>
      <c r="X266" s="534">
        <f t="shared" si="132"/>
        <v>100000</v>
      </c>
      <c r="Y266" s="535">
        <f>IF($A266="","",IF($I266="weekly",$A266+7,EDATE($A266,VLOOKUP($I266,Ref!$B$24:$C$29,2,0))))</f>
        <v>44512</v>
      </c>
      <c r="Z266" s="536" t="str">
        <f t="shared" si="133"/>
        <v>Frid</v>
      </c>
      <c r="AA266" s="531">
        <f t="shared" si="134"/>
        <v>31</v>
      </c>
      <c r="AB266" s="535">
        <f t="shared" si="122"/>
        <v>44604</v>
      </c>
      <c r="AC266" s="537">
        <f t="shared" si="123"/>
        <v>123</v>
      </c>
      <c r="AD266" s="538" t="str">
        <f t="shared" ca="1" si="124"/>
        <v>Expired</v>
      </c>
      <c r="AE266" s="537">
        <f t="shared" ca="1" si="125"/>
        <v>0</v>
      </c>
      <c r="AF266" s="539">
        <f t="shared" ca="1" si="135"/>
        <v>4</v>
      </c>
      <c r="AG266" s="531">
        <f t="shared" ca="1" si="136"/>
        <v>600000</v>
      </c>
      <c r="AH266" s="531">
        <f t="shared" ca="1" si="137"/>
        <v>100000</v>
      </c>
      <c r="AI266" s="531">
        <f t="shared" ca="1" si="138"/>
        <v>500000</v>
      </c>
      <c r="AJ266" s="531">
        <f t="shared" ca="1" si="139"/>
        <v>0</v>
      </c>
      <c r="AK266" s="540">
        <f>SUMIFS('Live Collections'!$S:$S,'Live Collections'!$D:$D,Disbursements!B266,'Live Collections'!$G:$G,Disbursements!C266)</f>
        <v>100000</v>
      </c>
      <c r="AL266" s="540">
        <f>SUMIFS('Live Collections'!$T:$T,'Live Collections'!$D:$D,Disbursements!B266,'Live Collections'!$G:$G,Disbursements!C266)</f>
        <v>350000</v>
      </c>
      <c r="AM266" s="541">
        <f t="shared" si="140"/>
        <v>450000</v>
      </c>
      <c r="AN266" s="542">
        <f t="shared" si="141"/>
        <v>0</v>
      </c>
      <c r="AO266" s="542">
        <f t="shared" si="142"/>
        <v>150000</v>
      </c>
      <c r="AP266" s="543">
        <f t="shared" si="143"/>
        <v>150000</v>
      </c>
      <c r="AQ266" s="544">
        <f t="shared" ca="1" si="144"/>
        <v>150000</v>
      </c>
      <c r="AR266" s="545">
        <f t="shared" ca="1" si="145"/>
        <v>1</v>
      </c>
      <c r="AS266" s="545">
        <f ca="1">IFERROR(CEILING($AR266*VLOOKUP($I266,Ref!$B$23:$E$29,4,0),1),0)</f>
        <v>30</v>
      </c>
      <c r="AT266" s="545" t="str">
        <f ca="1">IF(A266="","",IF(AP266&lt;=1,"Cleared",IF(AS266=0,"Clean",VLOOKUP($AS266,Ref!$G$23:$H$28,2))))</f>
        <v>1.(0-30) Days</v>
      </c>
      <c r="AU266" s="546" t="str">
        <f t="shared" si="146"/>
        <v>Ok</v>
      </c>
    </row>
    <row r="267" spans="1:47" ht="15" customHeight="1" x14ac:dyDescent="0.15">
      <c r="A267" s="575">
        <v>44481</v>
      </c>
      <c r="B267" s="523">
        <v>247</v>
      </c>
      <c r="C267" s="523">
        <v>265</v>
      </c>
      <c r="D267" s="523">
        <v>1</v>
      </c>
      <c r="E267" s="579" t="s">
        <v>1274</v>
      </c>
      <c r="F267" s="580">
        <v>900000</v>
      </c>
      <c r="G267" s="524">
        <v>4</v>
      </c>
      <c r="H267" s="555">
        <v>0.05</v>
      </c>
      <c r="I267" s="560" t="s">
        <v>859</v>
      </c>
      <c r="J267" s="523" t="s">
        <v>862</v>
      </c>
      <c r="K267" s="528" t="str">
        <f>IFERROR(VLOOKUP($B267,'Clients-Live'!$A:$C,3,0),"")</f>
        <v>CHANDIRU SCHOLAR</v>
      </c>
      <c r="L267" s="528">
        <f>IF(E267="STL",Pricing!$D$38,IF(A267="",0,IF(A267&lt;Pricing!$C$25,Pricing!$D$25,VLOOKUP(Disbursements!$F267,Pricing!$B$29:$D$32,3))))</f>
        <v>20000</v>
      </c>
      <c r="M267" s="528">
        <f>IF(E267="STL",0,IF(F267&gt;0,Pricing!$D$21,0))</f>
        <v>5000</v>
      </c>
      <c r="N267" s="529">
        <f>IF(E267="STL",F267*Pricing!$D$40,IF(A267&lt;=Pricing!$C$4,0,IF(AND(A267&gt;Pricing!$C$4,Disbursements!A267&lt;=Pricing!$C$5),F267*Pricing!$E$5,IF(AND(A267&gt;Pricing!$C$5,Disbursements!A267&lt;=Pricing!$C$7),VLOOKUP(F267,Pricing!$D$7:$E$8,2)*Disbursements!F267,F267*Pricing!$E$9))))</f>
        <v>9000</v>
      </c>
      <c r="O267" s="528">
        <f>IF(E267="STL",0,IF($F267&gt;0,$F267*Pricing!$D$17,0))</f>
        <v>90000</v>
      </c>
      <c r="P267" s="530">
        <f t="shared" si="126"/>
        <v>180000</v>
      </c>
      <c r="Q267" s="531">
        <f>IF($A267="","",$G267/VLOOKUP($I267,Ref!$B$23:$D$29,2,0))</f>
        <v>4</v>
      </c>
      <c r="R267" s="530">
        <f t="shared" si="127"/>
        <v>1080000</v>
      </c>
      <c r="S267" s="532">
        <f t="shared" si="121"/>
        <v>270000</v>
      </c>
      <c r="T267" s="531">
        <f t="shared" si="128"/>
        <v>270000</v>
      </c>
      <c r="U267" s="533">
        <f t="shared" si="129"/>
        <v>1080000</v>
      </c>
      <c r="V267" s="531">
        <f t="shared" si="130"/>
        <v>225000</v>
      </c>
      <c r="W267" s="531">
        <f t="shared" si="131"/>
        <v>45000</v>
      </c>
      <c r="X267" s="534">
        <f t="shared" si="132"/>
        <v>180000</v>
      </c>
      <c r="Y267" s="535">
        <f>IF($A267="","",IF($I267="weekly",$A267+7,EDATE($A267,VLOOKUP($I267,Ref!$B$24:$C$29,2,0))))</f>
        <v>44512</v>
      </c>
      <c r="Z267" s="536" t="str">
        <f t="shared" si="133"/>
        <v>Frid</v>
      </c>
      <c r="AA267" s="531">
        <f t="shared" si="134"/>
        <v>31</v>
      </c>
      <c r="AB267" s="535">
        <f t="shared" si="122"/>
        <v>44604</v>
      </c>
      <c r="AC267" s="537">
        <f t="shared" si="123"/>
        <v>123</v>
      </c>
      <c r="AD267" s="538" t="str">
        <f t="shared" ca="1" si="124"/>
        <v>Expired</v>
      </c>
      <c r="AE267" s="537">
        <f t="shared" ca="1" si="125"/>
        <v>0</v>
      </c>
      <c r="AF267" s="539">
        <f t="shared" ca="1" si="135"/>
        <v>4</v>
      </c>
      <c r="AG267" s="531">
        <f t="shared" ca="1" si="136"/>
        <v>1080000</v>
      </c>
      <c r="AH267" s="531">
        <f t="shared" ca="1" si="137"/>
        <v>180000</v>
      </c>
      <c r="AI267" s="531">
        <f t="shared" ca="1" si="138"/>
        <v>900000</v>
      </c>
      <c r="AJ267" s="531">
        <f t="shared" ca="1" si="139"/>
        <v>0</v>
      </c>
      <c r="AK267" s="540">
        <f>SUMIFS('Live Collections'!$S:$S,'Live Collections'!$D:$D,Disbursements!B267,'Live Collections'!$G:$G,Disbursements!C267)</f>
        <v>60000</v>
      </c>
      <c r="AL267" s="540">
        <f>SUMIFS('Live Collections'!$T:$T,'Live Collections'!$D:$D,Disbursements!B267,'Live Collections'!$G:$G,Disbursements!C267)</f>
        <v>390000</v>
      </c>
      <c r="AM267" s="541">
        <f t="shared" si="140"/>
        <v>450000</v>
      </c>
      <c r="AN267" s="542">
        <f t="shared" si="141"/>
        <v>120000</v>
      </c>
      <c r="AO267" s="542">
        <f t="shared" si="142"/>
        <v>510000</v>
      </c>
      <c r="AP267" s="543">
        <f t="shared" si="143"/>
        <v>630000</v>
      </c>
      <c r="AQ267" s="544">
        <f t="shared" ca="1" si="144"/>
        <v>630000</v>
      </c>
      <c r="AR267" s="545">
        <f t="shared" ca="1" si="145"/>
        <v>2.3333333333333335</v>
      </c>
      <c r="AS267" s="545">
        <f ca="1">IFERROR(CEILING($AR267*VLOOKUP($I267,Ref!$B$23:$E$29,4,0),1),0)</f>
        <v>70</v>
      </c>
      <c r="AT267" s="545" t="str">
        <f ca="1">IF(A267="","",IF(AP267&lt;=1,"Cleared",IF(AS267=0,"Clean",VLOOKUP($AS267,Ref!$G$23:$H$28,2))))</f>
        <v>3.(61-90) Days</v>
      </c>
      <c r="AU267" s="546" t="str">
        <f t="shared" si="146"/>
        <v>Ok</v>
      </c>
    </row>
    <row r="268" spans="1:47" ht="15" customHeight="1" x14ac:dyDescent="0.15">
      <c r="A268" s="575">
        <v>44481</v>
      </c>
      <c r="B268" s="523">
        <v>245</v>
      </c>
      <c r="C268" s="523">
        <v>264</v>
      </c>
      <c r="D268" s="523">
        <v>1</v>
      </c>
      <c r="E268" s="579" t="s">
        <v>1275</v>
      </c>
      <c r="F268" s="580">
        <v>1300000</v>
      </c>
      <c r="G268" s="524">
        <v>1</v>
      </c>
      <c r="H268" s="555">
        <v>7.4999999999999997E-2</v>
      </c>
      <c r="I268" s="560" t="s">
        <v>859</v>
      </c>
      <c r="J268" s="523" t="s">
        <v>863</v>
      </c>
      <c r="K268" s="528" t="str">
        <f>IFERROR(VLOOKUP($B268,'Clients-Live'!$A:$C,3,0),"")</f>
        <v>ONJIMA BASHIR</v>
      </c>
      <c r="L268" s="528">
        <f>IF(E268="STL",Pricing!$D$38,IF(A268="",0,IF(A268&lt;Pricing!$C$25,Pricing!$D$25,VLOOKUP(Disbursements!$F268,Pricing!$B$29:$D$32,3))))</f>
        <v>25000</v>
      </c>
      <c r="M268" s="528">
        <f>IF(E268="STL",0,IF(F268&gt;0,Pricing!$D$21,0))</f>
        <v>5000</v>
      </c>
      <c r="N268" s="529">
        <f>IF(E268="STL",F268*Pricing!$D$40,IF(A268&lt;=Pricing!$C$4,0,IF(AND(A268&gt;Pricing!$C$4,Disbursements!A268&lt;=Pricing!$C$5),F268*Pricing!$E$5,IF(AND(A268&gt;Pricing!$C$5,Disbursements!A268&lt;=Pricing!$C$7),VLOOKUP(F268,Pricing!$D$7:$E$8,2)*Disbursements!F268,F268*Pricing!$E$9))))</f>
        <v>26000</v>
      </c>
      <c r="O268" s="528">
        <f>IF(E268="STL",0,IF($F268&gt;0,$F268*Pricing!$D$17,0))</f>
        <v>130000</v>
      </c>
      <c r="P268" s="530">
        <f t="shared" si="126"/>
        <v>97500</v>
      </c>
      <c r="Q268" s="531">
        <f>IF($A268="","",$G268/VLOOKUP($I268,Ref!$B$23:$D$29,2,0))</f>
        <v>1</v>
      </c>
      <c r="R268" s="530">
        <f t="shared" si="127"/>
        <v>1397500</v>
      </c>
      <c r="S268" s="532">
        <f t="shared" si="121"/>
        <v>1397500</v>
      </c>
      <c r="T268" s="531">
        <f t="shared" si="128"/>
        <v>1398000</v>
      </c>
      <c r="U268" s="533">
        <f t="shared" si="129"/>
        <v>1398000</v>
      </c>
      <c r="V268" s="531">
        <f t="shared" si="130"/>
        <v>1300000</v>
      </c>
      <c r="W268" s="531">
        <f t="shared" si="131"/>
        <v>98000</v>
      </c>
      <c r="X268" s="534">
        <f t="shared" si="132"/>
        <v>98000</v>
      </c>
      <c r="Y268" s="535">
        <f>IF($A268="","",IF($I268="weekly",$A268+7,EDATE($A268,VLOOKUP($I268,Ref!$B$24:$C$29,2,0))))</f>
        <v>44512</v>
      </c>
      <c r="Z268" s="536" t="str">
        <f t="shared" si="133"/>
        <v>Frid</v>
      </c>
      <c r="AA268" s="531">
        <f t="shared" si="134"/>
        <v>31</v>
      </c>
      <c r="AB268" s="535">
        <f t="shared" si="122"/>
        <v>44512</v>
      </c>
      <c r="AC268" s="537">
        <f t="shared" si="123"/>
        <v>31</v>
      </c>
      <c r="AD268" s="538" t="str">
        <f t="shared" ca="1" si="124"/>
        <v>Expired</v>
      </c>
      <c r="AE268" s="537">
        <f t="shared" ca="1" si="125"/>
        <v>0</v>
      </c>
      <c r="AF268" s="539">
        <f t="shared" ca="1" si="135"/>
        <v>1</v>
      </c>
      <c r="AG268" s="531">
        <f t="shared" ca="1" si="136"/>
        <v>1398000</v>
      </c>
      <c r="AH268" s="531">
        <f t="shared" ca="1" si="137"/>
        <v>98000</v>
      </c>
      <c r="AI268" s="531">
        <f t="shared" ca="1" si="138"/>
        <v>1300000</v>
      </c>
      <c r="AJ268" s="531">
        <f t="shared" ca="1" si="139"/>
        <v>0</v>
      </c>
      <c r="AK268" s="540">
        <f>SUMIFS('Live Collections'!$S:$S,'Live Collections'!$D:$D,Disbursements!B268,'Live Collections'!$G:$G,Disbursements!C268)</f>
        <v>98000</v>
      </c>
      <c r="AL268" s="540">
        <f>SUMIFS('Live Collections'!$T:$T,'Live Collections'!$D:$D,Disbursements!B268,'Live Collections'!$G:$G,Disbursements!C268)</f>
        <v>1299500</v>
      </c>
      <c r="AM268" s="541">
        <f t="shared" si="140"/>
        <v>1397500</v>
      </c>
      <c r="AN268" s="542">
        <f t="shared" si="141"/>
        <v>0</v>
      </c>
      <c r="AO268" s="542">
        <f t="shared" si="142"/>
        <v>500</v>
      </c>
      <c r="AP268" s="543">
        <f t="shared" si="143"/>
        <v>500</v>
      </c>
      <c r="AQ268" s="544">
        <f t="shared" ca="1" si="144"/>
        <v>500</v>
      </c>
      <c r="AR268" s="545">
        <f t="shared" ca="1" si="145"/>
        <v>3.5765379113018598E-4</v>
      </c>
      <c r="AS268" s="545">
        <f ca="1">IFERROR(CEILING($AR268*VLOOKUP($I268,Ref!$B$23:$E$29,4,0),1),0)</f>
        <v>1</v>
      </c>
      <c r="AT268" s="545" t="str">
        <f ca="1">IF(A268="","",IF(AP268&lt;=1,"Cleared",IF(AS268=0,"Clean",VLOOKUP($AS268,Ref!$G$23:$H$28,2))))</f>
        <v>1.(0-30) Days</v>
      </c>
      <c r="AU268" s="546" t="str">
        <f t="shared" si="146"/>
        <v>Ok</v>
      </c>
    </row>
    <row r="269" spans="1:47" ht="15" customHeight="1" x14ac:dyDescent="0.15">
      <c r="A269" s="575">
        <v>44482</v>
      </c>
      <c r="B269" s="523">
        <v>160</v>
      </c>
      <c r="C269" s="523">
        <v>267</v>
      </c>
      <c r="D269" s="523">
        <v>2</v>
      </c>
      <c r="E269" s="579" t="s">
        <v>1274</v>
      </c>
      <c r="F269" s="580">
        <v>500000</v>
      </c>
      <c r="G269" s="524">
        <v>4</v>
      </c>
      <c r="H269" s="555">
        <v>0.05</v>
      </c>
      <c r="I269" s="560" t="s">
        <v>859</v>
      </c>
      <c r="J269" s="523" t="s">
        <v>863</v>
      </c>
      <c r="K269" s="528" t="str">
        <f>IFERROR(VLOOKUP($B269,'Clients-Live'!$A:$C,3,0),"")</f>
        <v>CHANDI ZANABU</v>
      </c>
      <c r="L269" s="528">
        <f>IF(E269="STL",Pricing!$D$38,IF(A269="",0,IF(A269&lt;Pricing!$C$25,Pricing!$D$25,VLOOKUP(Disbursements!$F269,Pricing!$B$29:$D$32,3))))</f>
        <v>15000</v>
      </c>
      <c r="M269" s="528">
        <f>IF(E269="STL",0,IF(F269&gt;0,Pricing!$D$21,0))</f>
        <v>5000</v>
      </c>
      <c r="N269" s="529">
        <f>IF(E269="STL",F269*Pricing!$D$40,IF(A269&lt;=Pricing!$C$4,0,IF(AND(A269&gt;Pricing!$C$4,Disbursements!A269&lt;=Pricing!$C$5),F269*Pricing!$E$5,IF(AND(A269&gt;Pricing!$C$5,Disbursements!A269&lt;=Pricing!$C$7),VLOOKUP(F269,Pricing!$D$7:$E$8,2)*Disbursements!F269,F269*Pricing!$E$9))))</f>
        <v>5000</v>
      </c>
      <c r="O269" s="528">
        <f>IF(E269="STL",0,IF($F269&gt;0,$F269*Pricing!$D$17,0))</f>
        <v>50000</v>
      </c>
      <c r="P269" s="530">
        <f t="shared" si="126"/>
        <v>100000</v>
      </c>
      <c r="Q269" s="531">
        <f>IF($A269="","",$G269/VLOOKUP($I269,Ref!$B$23:$D$29,2,0))</f>
        <v>4</v>
      </c>
      <c r="R269" s="530">
        <f t="shared" si="127"/>
        <v>600000</v>
      </c>
      <c r="S269" s="532">
        <f t="shared" si="121"/>
        <v>150000</v>
      </c>
      <c r="T269" s="531">
        <f t="shared" si="128"/>
        <v>150000</v>
      </c>
      <c r="U269" s="533">
        <f t="shared" si="129"/>
        <v>600000</v>
      </c>
      <c r="V269" s="531">
        <f t="shared" si="130"/>
        <v>125000</v>
      </c>
      <c r="W269" s="531">
        <f t="shared" si="131"/>
        <v>25000</v>
      </c>
      <c r="X269" s="534">
        <f t="shared" si="132"/>
        <v>100000</v>
      </c>
      <c r="Y269" s="535">
        <f>IF($A269="","",IF($I269="weekly",$A269+7,EDATE($A269,VLOOKUP($I269,Ref!$B$24:$C$29,2,0))))</f>
        <v>44513</v>
      </c>
      <c r="Z269" s="536" t="str">
        <f t="shared" si="133"/>
        <v>Sat</v>
      </c>
      <c r="AA269" s="531">
        <f t="shared" si="134"/>
        <v>31</v>
      </c>
      <c r="AB269" s="535">
        <f t="shared" si="122"/>
        <v>44605</v>
      </c>
      <c r="AC269" s="537">
        <f t="shared" si="123"/>
        <v>123</v>
      </c>
      <c r="AD269" s="538" t="str">
        <f t="shared" ca="1" si="124"/>
        <v>Expired</v>
      </c>
      <c r="AE269" s="537">
        <f t="shared" ca="1" si="125"/>
        <v>0</v>
      </c>
      <c r="AF269" s="539">
        <f t="shared" ca="1" si="135"/>
        <v>4</v>
      </c>
      <c r="AG269" s="531">
        <f t="shared" ca="1" si="136"/>
        <v>600000</v>
      </c>
      <c r="AH269" s="531">
        <f t="shared" ca="1" si="137"/>
        <v>100000</v>
      </c>
      <c r="AI269" s="531">
        <f t="shared" ca="1" si="138"/>
        <v>500000</v>
      </c>
      <c r="AJ269" s="531">
        <f t="shared" ca="1" si="139"/>
        <v>0</v>
      </c>
      <c r="AK269" s="540">
        <f>SUMIFS('Live Collections'!$S:$S,'Live Collections'!$D:$D,Disbursements!B269,'Live Collections'!$G:$G,Disbursements!C269)</f>
        <v>100000</v>
      </c>
      <c r="AL269" s="540">
        <f>SUMIFS('Live Collections'!$T:$T,'Live Collections'!$D:$D,Disbursements!B269,'Live Collections'!$G:$G,Disbursements!C269)</f>
        <v>500000</v>
      </c>
      <c r="AM269" s="541">
        <f t="shared" si="140"/>
        <v>600000</v>
      </c>
      <c r="AN269" s="542">
        <f t="shared" si="141"/>
        <v>0</v>
      </c>
      <c r="AO269" s="542">
        <f t="shared" si="142"/>
        <v>0</v>
      </c>
      <c r="AP269" s="543">
        <f t="shared" si="143"/>
        <v>0</v>
      </c>
      <c r="AQ269" s="544" t="str">
        <f t="shared" ca="1" si="144"/>
        <v/>
      </c>
      <c r="AR269" s="545">
        <f t="shared" ca="1" si="145"/>
        <v>0</v>
      </c>
      <c r="AS269" s="545">
        <f ca="1">IFERROR(CEILING($AR269*VLOOKUP($I269,Ref!$B$23:$E$29,4,0),1),0)</f>
        <v>0</v>
      </c>
      <c r="AT269" s="545" t="str">
        <f>IF(A269="","",IF(AP269&lt;=1,"Cleared",IF(AS269=0,"Clean",VLOOKUP($AS269,Ref!$G$23:$H$28,2))))</f>
        <v>Cleared</v>
      </c>
      <c r="AU269" s="546" t="str">
        <f t="shared" si="146"/>
        <v>Ok</v>
      </c>
    </row>
    <row r="270" spans="1:47" ht="15" customHeight="1" x14ac:dyDescent="0.15">
      <c r="A270" s="575">
        <v>44482</v>
      </c>
      <c r="B270" s="523">
        <v>248</v>
      </c>
      <c r="C270" s="523">
        <v>268</v>
      </c>
      <c r="D270" s="523">
        <v>1</v>
      </c>
      <c r="E270" s="579" t="s">
        <v>1275</v>
      </c>
      <c r="F270" s="580">
        <v>3000000</v>
      </c>
      <c r="G270" s="524">
        <v>3</v>
      </c>
      <c r="H270" s="555">
        <v>7.4999999999999997E-2</v>
      </c>
      <c r="I270" s="560" t="s">
        <v>859</v>
      </c>
      <c r="J270" s="523" t="s">
        <v>862</v>
      </c>
      <c r="K270" s="528" t="str">
        <f>IFERROR(VLOOKUP($B270,'Clients-Live'!$A:$C,3,0),"")</f>
        <v>LETARU GLORIA</v>
      </c>
      <c r="L270" s="528">
        <f>IF(E270="STL",Pricing!$D$38,IF(A270="",0,IF(A270&lt;Pricing!$C$25,Pricing!$D$25,VLOOKUP(Disbursements!$F270,Pricing!$B$29:$D$32,3))))</f>
        <v>30000</v>
      </c>
      <c r="M270" s="528">
        <f>IF(E270="STL",0,IF(F270&gt;0,Pricing!$D$21,0))</f>
        <v>5000</v>
      </c>
      <c r="N270" s="529">
        <f>IF(E270="STL",F270*Pricing!$D$40,IF(A270&lt;=Pricing!$C$4,0,IF(AND(A270&gt;Pricing!$C$4,Disbursements!A270&lt;=Pricing!$C$5),F270*Pricing!$E$5,IF(AND(A270&gt;Pricing!$C$5,Disbursements!A270&lt;=Pricing!$C$7),VLOOKUP(F270,Pricing!$D$7:$E$8,2)*Disbursements!F270,F270*Pricing!$E$9))))</f>
        <v>60000</v>
      </c>
      <c r="O270" s="528">
        <f>IF(E270="STL",0,IF($F270&gt;0,$F270*Pricing!$D$17,0))</f>
        <v>300000</v>
      </c>
      <c r="P270" s="530">
        <f t="shared" si="126"/>
        <v>675000</v>
      </c>
      <c r="Q270" s="531">
        <f>IF($A270="","",$G270/VLOOKUP($I270,Ref!$B$23:$D$29,2,0))</f>
        <v>3</v>
      </c>
      <c r="R270" s="530">
        <f t="shared" si="127"/>
        <v>3675000</v>
      </c>
      <c r="S270" s="532">
        <f t="shared" si="121"/>
        <v>1225000</v>
      </c>
      <c r="T270" s="531">
        <f t="shared" si="128"/>
        <v>1225000</v>
      </c>
      <c r="U270" s="533">
        <f t="shared" si="129"/>
        <v>3675000</v>
      </c>
      <c r="V270" s="531">
        <f t="shared" si="130"/>
        <v>1000000</v>
      </c>
      <c r="W270" s="531">
        <f t="shared" si="131"/>
        <v>225000</v>
      </c>
      <c r="X270" s="534">
        <f t="shared" si="132"/>
        <v>675000</v>
      </c>
      <c r="Y270" s="535">
        <f>IF($A270="","",IF($I270="weekly",$A270+7,EDATE($A270,VLOOKUP($I270,Ref!$B$24:$C$29,2,0))))</f>
        <v>44513</v>
      </c>
      <c r="Z270" s="536" t="str">
        <f t="shared" si="133"/>
        <v>Sat</v>
      </c>
      <c r="AA270" s="531">
        <f t="shared" si="134"/>
        <v>31</v>
      </c>
      <c r="AB270" s="535">
        <f t="shared" si="122"/>
        <v>44574</v>
      </c>
      <c r="AC270" s="537">
        <f t="shared" si="123"/>
        <v>92</v>
      </c>
      <c r="AD270" s="538" t="str">
        <f t="shared" ca="1" si="124"/>
        <v>Expired</v>
      </c>
      <c r="AE270" s="537">
        <f t="shared" ca="1" si="125"/>
        <v>0</v>
      </c>
      <c r="AF270" s="539">
        <f t="shared" ca="1" si="135"/>
        <v>3</v>
      </c>
      <c r="AG270" s="531">
        <f t="shared" ca="1" si="136"/>
        <v>3675000</v>
      </c>
      <c r="AH270" s="531">
        <f t="shared" ca="1" si="137"/>
        <v>675000</v>
      </c>
      <c r="AI270" s="531">
        <f t="shared" ca="1" si="138"/>
        <v>3000000</v>
      </c>
      <c r="AJ270" s="531">
        <f t="shared" ca="1" si="139"/>
        <v>0</v>
      </c>
      <c r="AK270" s="540">
        <f>SUMIFS('Live Collections'!$S:$S,'Live Collections'!$D:$D,Disbursements!B270,'Live Collections'!$G:$G,Disbursements!C270)</f>
        <v>675000</v>
      </c>
      <c r="AL270" s="540">
        <f>SUMIFS('Live Collections'!$T:$T,'Live Collections'!$D:$D,Disbursements!B270,'Live Collections'!$G:$G,Disbursements!C270)</f>
        <v>3000000</v>
      </c>
      <c r="AM270" s="541">
        <f t="shared" si="140"/>
        <v>3675000</v>
      </c>
      <c r="AN270" s="542">
        <f t="shared" si="141"/>
        <v>0</v>
      </c>
      <c r="AO270" s="542">
        <f t="shared" si="142"/>
        <v>0</v>
      </c>
      <c r="AP270" s="543">
        <f t="shared" si="143"/>
        <v>0</v>
      </c>
      <c r="AQ270" s="544" t="str">
        <f t="shared" ca="1" si="144"/>
        <v/>
      </c>
      <c r="AR270" s="545">
        <f t="shared" ca="1" si="145"/>
        <v>0</v>
      </c>
      <c r="AS270" s="545">
        <f ca="1">IFERROR(CEILING($AR270*VLOOKUP($I270,Ref!$B$23:$E$29,4,0),1),0)</f>
        <v>0</v>
      </c>
      <c r="AT270" s="545" t="str">
        <f>IF(A270="","",IF(AP270&lt;=1,"Cleared",IF(AS270=0,"Clean",VLOOKUP($AS270,Ref!$G$23:$H$28,2))))</f>
        <v>Cleared</v>
      </c>
      <c r="AU270" s="546" t="str">
        <f t="shared" si="146"/>
        <v>Ok</v>
      </c>
    </row>
    <row r="271" spans="1:47" ht="14.25" customHeight="1" x14ac:dyDescent="0.15">
      <c r="A271" s="575">
        <v>44483</v>
      </c>
      <c r="B271" s="523">
        <v>244</v>
      </c>
      <c r="C271" s="523">
        <v>269</v>
      </c>
      <c r="D271" s="523">
        <v>1</v>
      </c>
      <c r="E271" s="579" t="s">
        <v>1274</v>
      </c>
      <c r="F271" s="580">
        <v>500000</v>
      </c>
      <c r="G271" s="524">
        <v>5</v>
      </c>
      <c r="H271" s="555">
        <v>0.05</v>
      </c>
      <c r="I271" s="560" t="s">
        <v>859</v>
      </c>
      <c r="J271" s="523" t="s">
        <v>864</v>
      </c>
      <c r="K271" s="528" t="str">
        <f>IFERROR(VLOOKUP($B271,'Clients-Live'!$A:$C,3,0),"")</f>
        <v>GISMA HAMID ALI</v>
      </c>
      <c r="L271" s="528">
        <f>IF(E271="STL",Pricing!$D$38,IF(A271="",0,IF(A271&lt;Pricing!$C$25,Pricing!$D$25,VLOOKUP(Disbursements!$F271,Pricing!$B$29:$D$32,3))))</f>
        <v>15000</v>
      </c>
      <c r="M271" s="528">
        <f>IF(E271="STL",0,IF(F271&gt;0,Pricing!$D$21,0))</f>
        <v>5000</v>
      </c>
      <c r="N271" s="529">
        <f>IF(E271="STL",F271*Pricing!$D$40,IF(A271&lt;=Pricing!$C$4,0,IF(AND(A271&gt;Pricing!$C$4,Disbursements!A271&lt;=Pricing!$C$5),F271*Pricing!$E$5,IF(AND(A271&gt;Pricing!$C$5,Disbursements!A271&lt;=Pricing!$C$7),VLOOKUP(F271,Pricing!$D$7:$E$8,2)*Disbursements!F271,F271*Pricing!$E$9))))</f>
        <v>5000</v>
      </c>
      <c r="O271" s="528">
        <f>IF(E271="STL",0,IF($F271&gt;0,$F271*Pricing!$D$17,0))</f>
        <v>50000</v>
      </c>
      <c r="P271" s="530">
        <f t="shared" si="126"/>
        <v>125000</v>
      </c>
      <c r="Q271" s="531">
        <f>IF($A271="","",$G271/VLOOKUP($I271,Ref!$B$23:$D$29,2,0))</f>
        <v>5</v>
      </c>
      <c r="R271" s="530">
        <f t="shared" si="127"/>
        <v>625000</v>
      </c>
      <c r="S271" s="532">
        <f t="shared" si="121"/>
        <v>125000</v>
      </c>
      <c r="T271" s="531">
        <f t="shared" si="128"/>
        <v>125000</v>
      </c>
      <c r="U271" s="533">
        <f t="shared" si="129"/>
        <v>625000</v>
      </c>
      <c r="V271" s="531">
        <f t="shared" si="130"/>
        <v>100000</v>
      </c>
      <c r="W271" s="531">
        <f t="shared" si="131"/>
        <v>25000</v>
      </c>
      <c r="X271" s="534">
        <f t="shared" si="132"/>
        <v>125000</v>
      </c>
      <c r="Y271" s="535">
        <f>IF($A271="","",IF($I271="weekly",$A271+7,EDATE($A271,VLOOKUP($I271,Ref!$B$24:$C$29,2,0))))</f>
        <v>44514</v>
      </c>
      <c r="Z271" s="536" t="str">
        <f t="shared" si="133"/>
        <v>Sun</v>
      </c>
      <c r="AA271" s="531">
        <f t="shared" si="134"/>
        <v>31</v>
      </c>
      <c r="AB271" s="535">
        <f t="shared" si="122"/>
        <v>44634</v>
      </c>
      <c r="AC271" s="537">
        <f t="shared" si="123"/>
        <v>151</v>
      </c>
      <c r="AD271" s="538" t="str">
        <f t="shared" ca="1" si="124"/>
        <v>Expired</v>
      </c>
      <c r="AE271" s="537">
        <f t="shared" ca="1" si="125"/>
        <v>0</v>
      </c>
      <c r="AF271" s="539">
        <f t="shared" ca="1" si="135"/>
        <v>5</v>
      </c>
      <c r="AG271" s="531">
        <f t="shared" ca="1" si="136"/>
        <v>625000</v>
      </c>
      <c r="AH271" s="531">
        <f t="shared" ca="1" si="137"/>
        <v>125000</v>
      </c>
      <c r="AI271" s="531">
        <f t="shared" ca="1" si="138"/>
        <v>500000</v>
      </c>
      <c r="AJ271" s="531">
        <f t="shared" ca="1" si="139"/>
        <v>0</v>
      </c>
      <c r="AK271" s="540">
        <f>SUMIFS('Live Collections'!$S:$S,'Live Collections'!$D:$D,Disbursements!B271,'Live Collections'!$G:$G,Disbursements!C271)</f>
        <v>125000</v>
      </c>
      <c r="AL271" s="540">
        <f>SUMIFS('Live Collections'!$T:$T,'Live Collections'!$D:$D,Disbursements!B271,'Live Collections'!$G:$G,Disbursements!C271)</f>
        <v>500000</v>
      </c>
      <c r="AM271" s="541">
        <f t="shared" si="140"/>
        <v>625000</v>
      </c>
      <c r="AN271" s="542">
        <f t="shared" si="141"/>
        <v>0</v>
      </c>
      <c r="AO271" s="542">
        <f t="shared" si="142"/>
        <v>0</v>
      </c>
      <c r="AP271" s="543">
        <f t="shared" si="143"/>
        <v>0</v>
      </c>
      <c r="AQ271" s="544" t="str">
        <f t="shared" ca="1" si="144"/>
        <v/>
      </c>
      <c r="AR271" s="545">
        <f t="shared" ca="1" si="145"/>
        <v>0</v>
      </c>
      <c r="AS271" s="545">
        <f ca="1">IFERROR(CEILING($AR271*VLOOKUP($I271,Ref!$B$23:$E$29,4,0),1),0)</f>
        <v>0</v>
      </c>
      <c r="AT271" s="545" t="str">
        <f>IF(A271="","",IF(AP271&lt;=1,"Cleared",IF(AS271=0,"Clean",VLOOKUP($AS271,Ref!$G$23:$H$28,2))))</f>
        <v>Cleared</v>
      </c>
      <c r="AU271" s="546" t="str">
        <f t="shared" si="146"/>
        <v>Ok</v>
      </c>
    </row>
    <row r="272" spans="1:47" ht="14.25" customHeight="1" x14ac:dyDescent="0.15">
      <c r="A272" s="575">
        <v>44484</v>
      </c>
      <c r="B272" s="523">
        <v>257</v>
      </c>
      <c r="C272" s="523">
        <v>270</v>
      </c>
      <c r="D272" s="523">
        <v>1</v>
      </c>
      <c r="E272" s="579" t="s">
        <v>1274</v>
      </c>
      <c r="F272" s="580">
        <v>1700000</v>
      </c>
      <c r="G272" s="524">
        <v>1</v>
      </c>
      <c r="H272" s="555">
        <v>0.05</v>
      </c>
      <c r="I272" s="560" t="s">
        <v>859</v>
      </c>
      <c r="J272" s="523" t="s">
        <v>862</v>
      </c>
      <c r="K272" s="528" t="str">
        <f>IFERROR(VLOOKUP($B272,'Clients-Live'!$A:$C,3,0),"")</f>
        <v>CHANDIGA CYRUS</v>
      </c>
      <c r="L272" s="528">
        <f>IF(E272="STL",Pricing!$D$38,IF(A272="",0,IF(A272&lt;Pricing!$C$25,Pricing!$D$25,VLOOKUP(Disbursements!$F272,Pricing!$B$29:$D$32,3))))</f>
        <v>25000</v>
      </c>
      <c r="M272" s="528">
        <f>IF(E272="STL",0,IF(F272&gt;0,Pricing!$D$21,0))</f>
        <v>5000</v>
      </c>
      <c r="N272" s="529">
        <f>IF(E272="STL",F272*Pricing!$D$40,IF(A272&lt;=Pricing!$C$4,0,IF(AND(A272&gt;Pricing!$C$4,Disbursements!A272&lt;=Pricing!$C$5),F272*Pricing!$E$5,IF(AND(A272&gt;Pricing!$C$5,Disbursements!A272&lt;=Pricing!$C$7),VLOOKUP(F272,Pricing!$D$7:$E$8,2)*Disbursements!F272,F272*Pricing!$E$9))))</f>
        <v>34000</v>
      </c>
      <c r="O272" s="528">
        <f>IF(E272="STL",0,IF($F272&gt;0,$F272*Pricing!$D$17,0))</f>
        <v>170000</v>
      </c>
      <c r="P272" s="530">
        <f t="shared" si="126"/>
        <v>85000</v>
      </c>
      <c r="Q272" s="531">
        <f>IF($A272="","",$G272/VLOOKUP($I272,Ref!$B$23:$D$29,2,0))</f>
        <v>1</v>
      </c>
      <c r="R272" s="530">
        <f t="shared" si="127"/>
        <v>1785000</v>
      </c>
      <c r="S272" s="532">
        <f t="shared" si="121"/>
        <v>1785000</v>
      </c>
      <c r="T272" s="531">
        <f t="shared" si="128"/>
        <v>1785000</v>
      </c>
      <c r="U272" s="533">
        <f t="shared" si="129"/>
        <v>1785000</v>
      </c>
      <c r="V272" s="531">
        <f t="shared" si="130"/>
        <v>1700000</v>
      </c>
      <c r="W272" s="531">
        <f t="shared" si="131"/>
        <v>85000</v>
      </c>
      <c r="X272" s="534">
        <f t="shared" si="132"/>
        <v>85000</v>
      </c>
      <c r="Y272" s="535">
        <f>IF($A272="","",IF($I272="weekly",$A272+7,EDATE($A272,VLOOKUP($I272,Ref!$B$24:$C$29,2,0))))</f>
        <v>44515</v>
      </c>
      <c r="Z272" s="536" t="str">
        <f t="shared" si="133"/>
        <v>Mon</v>
      </c>
      <c r="AA272" s="531">
        <f t="shared" si="134"/>
        <v>31</v>
      </c>
      <c r="AB272" s="535">
        <f t="shared" si="122"/>
        <v>44515</v>
      </c>
      <c r="AC272" s="537">
        <f t="shared" si="123"/>
        <v>31</v>
      </c>
      <c r="AD272" s="538" t="str">
        <f t="shared" ca="1" si="124"/>
        <v>Expired</v>
      </c>
      <c r="AE272" s="537">
        <f t="shared" ca="1" si="125"/>
        <v>0</v>
      </c>
      <c r="AF272" s="539">
        <f t="shared" ca="1" si="135"/>
        <v>1</v>
      </c>
      <c r="AG272" s="531">
        <f t="shared" ca="1" si="136"/>
        <v>1785000</v>
      </c>
      <c r="AH272" s="531">
        <f t="shared" ca="1" si="137"/>
        <v>85000</v>
      </c>
      <c r="AI272" s="531">
        <f t="shared" ca="1" si="138"/>
        <v>1700000</v>
      </c>
      <c r="AJ272" s="531">
        <f t="shared" ca="1" si="139"/>
        <v>0</v>
      </c>
      <c r="AK272" s="540">
        <f>SUMIFS('Live Collections'!$S:$S,'Live Collections'!$D:$D,Disbursements!B272,'Live Collections'!$G:$G,Disbursements!C272)</f>
        <v>0</v>
      </c>
      <c r="AL272" s="540">
        <f>SUMIFS('Live Collections'!$T:$T,'Live Collections'!$D:$D,Disbursements!B272,'Live Collections'!$G:$G,Disbursements!C272)</f>
        <v>0</v>
      </c>
      <c r="AM272" s="541">
        <f t="shared" si="140"/>
        <v>0</v>
      </c>
      <c r="AN272" s="542">
        <f t="shared" si="141"/>
        <v>85000</v>
      </c>
      <c r="AO272" s="542">
        <f t="shared" si="142"/>
        <v>1700000</v>
      </c>
      <c r="AP272" s="543">
        <f t="shared" si="143"/>
        <v>1785000</v>
      </c>
      <c r="AQ272" s="544">
        <f t="shared" ca="1" si="144"/>
        <v>1785000</v>
      </c>
      <c r="AR272" s="545">
        <f t="shared" ca="1" si="145"/>
        <v>1</v>
      </c>
      <c r="AS272" s="545">
        <f ca="1">IFERROR(CEILING($AR272*VLOOKUP($I272,Ref!$B$23:$E$29,4,0),1),0)</f>
        <v>30</v>
      </c>
      <c r="AT272" s="545" t="str">
        <f ca="1">IF(A272="","",IF(AP272&lt;=1,"Cleared",IF(AS272=0,"Clean",VLOOKUP($AS272,Ref!$G$23:$H$28,2))))</f>
        <v>1.(0-30) Days</v>
      </c>
      <c r="AU272" s="546" t="str">
        <f t="shared" si="146"/>
        <v>Ok</v>
      </c>
    </row>
    <row r="273" spans="1:47" ht="14.25" customHeight="1" x14ac:dyDescent="0.15">
      <c r="A273" s="575">
        <v>44484</v>
      </c>
      <c r="B273" s="523">
        <v>253</v>
      </c>
      <c r="C273" s="523">
        <v>359</v>
      </c>
      <c r="D273" s="523">
        <v>1</v>
      </c>
      <c r="E273" s="579" t="s">
        <v>1275</v>
      </c>
      <c r="F273" s="580">
        <v>1500000</v>
      </c>
      <c r="G273" s="524">
        <v>3</v>
      </c>
      <c r="H273" s="555">
        <v>7.4999999999999997E-2</v>
      </c>
      <c r="I273" s="560" t="s">
        <v>859</v>
      </c>
      <c r="J273" s="523" t="s">
        <v>862</v>
      </c>
      <c r="K273" s="528" t="str">
        <f>IFERROR(VLOOKUP($B273,'Clients-Live'!$A:$C,3,0),"")</f>
        <v>JAKUMA VINCENT</v>
      </c>
      <c r="L273" s="528">
        <f>IF(E273="STL",Pricing!$D$38,IF(A273="",0,IF(A273&lt;Pricing!$C$25,Pricing!$D$25,VLOOKUP(Disbursements!$F273,Pricing!$B$29:$D$32,3))))</f>
        <v>25000</v>
      </c>
      <c r="M273" s="528">
        <f>IF(E273="STL",0,IF(F273&gt;0,Pricing!$D$21,0))</f>
        <v>5000</v>
      </c>
      <c r="N273" s="529">
        <f>IF(E273="STL",F273*Pricing!$D$40,IF(A273&lt;=Pricing!$C$4,0,IF(AND(A273&gt;Pricing!$C$4,Disbursements!A273&lt;=Pricing!$C$5),F273*Pricing!$E$5,IF(AND(A273&gt;Pricing!$C$5,Disbursements!A273&lt;=Pricing!$C$7),VLOOKUP(F273,Pricing!$D$7:$E$8,2)*Disbursements!F273,F273*Pricing!$E$9))))</f>
        <v>30000</v>
      </c>
      <c r="O273" s="528">
        <f>IF(E273="STL",0,IF($F273&gt;0,$F273*Pricing!$D$17,0))</f>
        <v>150000</v>
      </c>
      <c r="P273" s="530">
        <f t="shared" si="126"/>
        <v>337500</v>
      </c>
      <c r="Q273" s="531">
        <f>IF($A273="","",$G273/VLOOKUP($I273,Ref!$B$23:$D$29,2,0))</f>
        <v>3</v>
      </c>
      <c r="R273" s="530">
        <f t="shared" si="127"/>
        <v>1837500</v>
      </c>
      <c r="S273" s="532">
        <f t="shared" si="121"/>
        <v>612500</v>
      </c>
      <c r="T273" s="531">
        <f t="shared" si="128"/>
        <v>613000</v>
      </c>
      <c r="U273" s="533">
        <f t="shared" si="129"/>
        <v>1839000</v>
      </c>
      <c r="V273" s="531">
        <f t="shared" si="130"/>
        <v>500000</v>
      </c>
      <c r="W273" s="531">
        <f t="shared" si="131"/>
        <v>113000</v>
      </c>
      <c r="X273" s="534">
        <f t="shared" si="132"/>
        <v>339000</v>
      </c>
      <c r="Y273" s="535">
        <f>IF($A273="","",IF($I273="weekly",$A273+7,EDATE($A273,VLOOKUP($I273,Ref!$B$24:$C$29,2,0))))</f>
        <v>44515</v>
      </c>
      <c r="Z273" s="536" t="str">
        <f t="shared" si="133"/>
        <v>Mon</v>
      </c>
      <c r="AA273" s="531">
        <f t="shared" si="134"/>
        <v>31</v>
      </c>
      <c r="AB273" s="535">
        <f t="shared" si="122"/>
        <v>44576</v>
      </c>
      <c r="AC273" s="537">
        <f t="shared" si="123"/>
        <v>92</v>
      </c>
      <c r="AD273" s="538" t="str">
        <f t="shared" ca="1" si="124"/>
        <v>Expired</v>
      </c>
      <c r="AE273" s="537">
        <f t="shared" ca="1" si="125"/>
        <v>0</v>
      </c>
      <c r="AF273" s="539">
        <f t="shared" ca="1" si="135"/>
        <v>3</v>
      </c>
      <c r="AG273" s="531">
        <f t="shared" ca="1" si="136"/>
        <v>1839000</v>
      </c>
      <c r="AH273" s="531">
        <f t="shared" ca="1" si="137"/>
        <v>339000</v>
      </c>
      <c r="AI273" s="531">
        <f t="shared" ca="1" si="138"/>
        <v>1500000</v>
      </c>
      <c r="AJ273" s="531">
        <f t="shared" ca="1" si="139"/>
        <v>0</v>
      </c>
      <c r="AK273" s="540">
        <f>SUMIFS('Live Collections'!$S:$S,'Live Collections'!$D:$D,Disbursements!B273,'Live Collections'!$G:$G,Disbursements!C273)</f>
        <v>339000</v>
      </c>
      <c r="AL273" s="540">
        <f>SUMIFS('Live Collections'!$T:$T,'Live Collections'!$D:$D,Disbursements!B273,'Live Collections'!$G:$G,Disbursements!C273)</f>
        <v>1311000</v>
      </c>
      <c r="AM273" s="541">
        <f t="shared" si="140"/>
        <v>1650000</v>
      </c>
      <c r="AN273" s="542">
        <f t="shared" si="141"/>
        <v>0</v>
      </c>
      <c r="AO273" s="542">
        <f t="shared" si="142"/>
        <v>189000</v>
      </c>
      <c r="AP273" s="543">
        <f t="shared" si="143"/>
        <v>189000</v>
      </c>
      <c r="AQ273" s="544">
        <f t="shared" ca="1" si="144"/>
        <v>189000</v>
      </c>
      <c r="AR273" s="545">
        <f t="shared" ca="1" si="145"/>
        <v>0.30831973898858073</v>
      </c>
      <c r="AS273" s="545">
        <f ca="1">IFERROR(CEILING($AR273*VLOOKUP($I273,Ref!$B$23:$E$29,4,0),1),0)</f>
        <v>10</v>
      </c>
      <c r="AT273" s="545" t="str">
        <f ca="1">IF(A273="","",IF(AP273&lt;=1,"Cleared",IF(AS273=0,"Clean",VLOOKUP($AS273,Ref!$G$23:$H$28,2))))</f>
        <v>1.(0-30) Days</v>
      </c>
      <c r="AU273" s="546" t="str">
        <f t="shared" si="146"/>
        <v>Ok</v>
      </c>
    </row>
    <row r="274" spans="1:47" ht="14.25" customHeight="1" x14ac:dyDescent="0.15">
      <c r="A274" s="575">
        <v>44485</v>
      </c>
      <c r="B274" s="523">
        <v>67</v>
      </c>
      <c r="C274" s="523">
        <v>272</v>
      </c>
      <c r="D274" s="523">
        <v>2</v>
      </c>
      <c r="E274" s="579" t="s">
        <v>1274</v>
      </c>
      <c r="F274" s="580">
        <v>600000</v>
      </c>
      <c r="G274" s="524">
        <v>4</v>
      </c>
      <c r="H274" s="555">
        <v>0.05</v>
      </c>
      <c r="I274" s="560" t="s">
        <v>859</v>
      </c>
      <c r="J274" s="523" t="s">
        <v>863</v>
      </c>
      <c r="K274" s="528" t="str">
        <f>IFERROR(VLOOKUP($B274,'Clients-Live'!$A:$C,3,0),"")</f>
        <v>KEBITA SAUDA</v>
      </c>
      <c r="L274" s="528">
        <f>IF(E274="STL",Pricing!$D$38,IF(A274="",0,IF(A274&lt;Pricing!$C$25,Pricing!$D$25,VLOOKUP(Disbursements!$F274,Pricing!$B$29:$D$32,3))))</f>
        <v>20000</v>
      </c>
      <c r="M274" s="528">
        <f>IF(E274="STL",0,IF(F274&gt;0,Pricing!$D$21,0))</f>
        <v>5000</v>
      </c>
      <c r="N274" s="529">
        <f>IF(E274="STL",F274*Pricing!$D$40,IF(A274&lt;=Pricing!$C$4,0,IF(AND(A274&gt;Pricing!$C$4,Disbursements!A274&lt;=Pricing!$C$5),F274*Pricing!$E$5,IF(AND(A274&gt;Pricing!$C$5,Disbursements!A274&lt;=Pricing!$C$7),VLOOKUP(F274,Pricing!$D$7:$E$8,2)*Disbursements!F274,F274*Pricing!$E$9))))</f>
        <v>6000</v>
      </c>
      <c r="O274" s="528">
        <f>IF(E274="STL",0,IF($F274&gt;0,$F274*Pricing!$D$17,0))</f>
        <v>60000</v>
      </c>
      <c r="P274" s="530">
        <f t="shared" si="126"/>
        <v>120000</v>
      </c>
      <c r="Q274" s="531">
        <f>IF($A274="","",$G274/VLOOKUP($I274,Ref!$B$23:$D$29,2,0))</f>
        <v>4</v>
      </c>
      <c r="R274" s="530">
        <f t="shared" si="127"/>
        <v>720000</v>
      </c>
      <c r="S274" s="532">
        <f t="shared" si="121"/>
        <v>180000</v>
      </c>
      <c r="T274" s="531">
        <f t="shared" si="128"/>
        <v>180000</v>
      </c>
      <c r="U274" s="533">
        <f t="shared" si="129"/>
        <v>720000</v>
      </c>
      <c r="V274" s="531">
        <f t="shared" si="130"/>
        <v>150000</v>
      </c>
      <c r="W274" s="531">
        <f t="shared" si="131"/>
        <v>30000</v>
      </c>
      <c r="X274" s="534">
        <f t="shared" si="132"/>
        <v>120000</v>
      </c>
      <c r="Y274" s="535">
        <f>IF($A274="","",IF($I274="weekly",$A274+7,EDATE($A274,VLOOKUP($I274,Ref!$B$24:$C$29,2,0))))</f>
        <v>44516</v>
      </c>
      <c r="Z274" s="536" t="str">
        <f t="shared" si="133"/>
        <v>Tue</v>
      </c>
      <c r="AA274" s="531">
        <f t="shared" si="134"/>
        <v>31</v>
      </c>
      <c r="AB274" s="535">
        <f t="shared" si="122"/>
        <v>44608</v>
      </c>
      <c r="AC274" s="537">
        <f t="shared" si="123"/>
        <v>123</v>
      </c>
      <c r="AD274" s="538" t="str">
        <f t="shared" ca="1" si="124"/>
        <v>Expired</v>
      </c>
      <c r="AE274" s="537">
        <f t="shared" ca="1" si="125"/>
        <v>0</v>
      </c>
      <c r="AF274" s="539">
        <f t="shared" ca="1" si="135"/>
        <v>4</v>
      </c>
      <c r="AG274" s="531">
        <f t="shared" ca="1" si="136"/>
        <v>720000</v>
      </c>
      <c r="AH274" s="531">
        <f t="shared" ca="1" si="137"/>
        <v>120000</v>
      </c>
      <c r="AI274" s="531">
        <f t="shared" ca="1" si="138"/>
        <v>600000</v>
      </c>
      <c r="AJ274" s="531">
        <f t="shared" ca="1" si="139"/>
        <v>0</v>
      </c>
      <c r="AK274" s="540">
        <f>SUMIFS('Live Collections'!$S:$S,'Live Collections'!$D:$D,Disbursements!B274,'Live Collections'!$G:$G,Disbursements!C274)</f>
        <v>120000</v>
      </c>
      <c r="AL274" s="540">
        <f>SUMIFS('Live Collections'!$T:$T,'Live Collections'!$D:$D,Disbursements!B274,'Live Collections'!$G:$G,Disbursements!C274)</f>
        <v>600000</v>
      </c>
      <c r="AM274" s="541">
        <f t="shared" si="140"/>
        <v>720000</v>
      </c>
      <c r="AN274" s="542">
        <f t="shared" si="141"/>
        <v>0</v>
      </c>
      <c r="AO274" s="542">
        <f t="shared" si="142"/>
        <v>0</v>
      </c>
      <c r="AP274" s="543">
        <f t="shared" si="143"/>
        <v>0</v>
      </c>
      <c r="AQ274" s="544" t="str">
        <f t="shared" ca="1" si="144"/>
        <v/>
      </c>
      <c r="AR274" s="545">
        <f t="shared" ca="1" si="145"/>
        <v>0</v>
      </c>
      <c r="AS274" s="545">
        <f ca="1">IFERROR(CEILING($AR274*VLOOKUP($I274,Ref!$B$23:$E$29,4,0),1),0)</f>
        <v>0</v>
      </c>
      <c r="AT274" s="545" t="str">
        <f>IF(A274="","",IF(AP274&lt;=1,"Cleared",IF(AS274=0,"Clean",VLOOKUP($AS274,Ref!$G$23:$H$28,2))))</f>
        <v>Cleared</v>
      </c>
      <c r="AU274" s="546" t="str">
        <f t="shared" si="146"/>
        <v>Ok</v>
      </c>
    </row>
    <row r="275" spans="1:47" ht="14.25" customHeight="1" x14ac:dyDescent="0.15">
      <c r="A275" s="575">
        <v>44485</v>
      </c>
      <c r="B275" s="523">
        <v>199</v>
      </c>
      <c r="C275" s="523">
        <v>273</v>
      </c>
      <c r="D275" s="523">
        <v>2</v>
      </c>
      <c r="E275" s="579" t="s">
        <v>1277</v>
      </c>
      <c r="F275" s="580">
        <v>300000</v>
      </c>
      <c r="G275" s="524">
        <v>1</v>
      </c>
      <c r="H275" s="555">
        <v>7.4999999999999997E-2</v>
      </c>
      <c r="I275" s="560" t="s">
        <v>859</v>
      </c>
      <c r="J275" s="523" t="s">
        <v>862</v>
      </c>
      <c r="K275" s="528" t="str">
        <f>IFERROR(VLOOKUP($B275,'Clients-Live'!$A:$C,3,0),"")</f>
        <v>OTHIM JIMMY</v>
      </c>
      <c r="L275" s="528">
        <f>IF(E275="STL",Pricing!$D$38,IF(A275="",0,IF(A275&lt;Pricing!$C$25,Pricing!$D$25,VLOOKUP(Disbursements!$F275,Pricing!$B$29:$D$32,3))))</f>
        <v>15000</v>
      </c>
      <c r="M275" s="528">
        <f>IF(E275="STL",0,IF(F275&gt;0,Pricing!$D$21,0))</f>
        <v>5000</v>
      </c>
      <c r="N275" s="529">
        <f>IF(E275="STL",F275*Pricing!$D$40,IF(A275&lt;=Pricing!$C$4,0,IF(AND(A275&gt;Pricing!$C$4,Disbursements!A275&lt;=Pricing!$C$5),F275*Pricing!$E$5,IF(AND(A275&gt;Pricing!$C$5,Disbursements!A275&lt;=Pricing!$C$7),VLOOKUP(F275,Pricing!$D$7:$E$8,2)*Disbursements!F275,F275*Pricing!$E$9))))</f>
        <v>3000</v>
      </c>
      <c r="O275" s="528">
        <f>IF(E275="STL",0,IF($F275&gt;0,$F275*Pricing!$D$17,0))</f>
        <v>30000</v>
      </c>
      <c r="P275" s="530">
        <f t="shared" si="126"/>
        <v>22500</v>
      </c>
      <c r="Q275" s="531">
        <f>IF($A275="","",$G275/VLOOKUP($I275,Ref!$B$23:$D$29,2,0))</f>
        <v>1</v>
      </c>
      <c r="R275" s="530">
        <f t="shared" si="127"/>
        <v>322500</v>
      </c>
      <c r="S275" s="532">
        <f t="shared" si="121"/>
        <v>322500</v>
      </c>
      <c r="T275" s="531">
        <f t="shared" si="128"/>
        <v>323000</v>
      </c>
      <c r="U275" s="533">
        <f t="shared" si="129"/>
        <v>323000</v>
      </c>
      <c r="V275" s="531">
        <f t="shared" si="130"/>
        <v>300000</v>
      </c>
      <c r="W275" s="531">
        <f t="shared" si="131"/>
        <v>23000</v>
      </c>
      <c r="X275" s="534">
        <f t="shared" si="132"/>
        <v>23000</v>
      </c>
      <c r="Y275" s="535">
        <f>IF($A275="","",IF($I275="weekly",$A275+7,EDATE($A275,VLOOKUP($I275,Ref!$B$24:$C$29,2,0))))</f>
        <v>44516</v>
      </c>
      <c r="Z275" s="536" t="str">
        <f t="shared" si="133"/>
        <v>Tue</v>
      </c>
      <c r="AA275" s="531">
        <f t="shared" si="134"/>
        <v>31</v>
      </c>
      <c r="AB275" s="535">
        <f t="shared" si="122"/>
        <v>44516</v>
      </c>
      <c r="AC275" s="537">
        <f t="shared" si="123"/>
        <v>31</v>
      </c>
      <c r="AD275" s="538" t="str">
        <f t="shared" ca="1" si="124"/>
        <v>Expired</v>
      </c>
      <c r="AE275" s="537">
        <f t="shared" ca="1" si="125"/>
        <v>0</v>
      </c>
      <c r="AF275" s="539">
        <f t="shared" ca="1" si="135"/>
        <v>1</v>
      </c>
      <c r="AG275" s="531">
        <f t="shared" ca="1" si="136"/>
        <v>323000</v>
      </c>
      <c r="AH275" s="531">
        <f t="shared" ca="1" si="137"/>
        <v>23000</v>
      </c>
      <c r="AI275" s="531">
        <f t="shared" ca="1" si="138"/>
        <v>300000</v>
      </c>
      <c r="AJ275" s="531">
        <f t="shared" ca="1" si="139"/>
        <v>0</v>
      </c>
      <c r="AK275" s="540">
        <f>SUMIFS('Live Collections'!$S:$S,'Live Collections'!$D:$D,Disbursements!B275,'Live Collections'!$G:$G,Disbursements!C275)</f>
        <v>23000</v>
      </c>
      <c r="AL275" s="540">
        <f>SUMIFS('Live Collections'!$T:$T,'Live Collections'!$D:$D,Disbursements!B275,'Live Collections'!$G:$G,Disbursements!C275)</f>
        <v>299500</v>
      </c>
      <c r="AM275" s="541">
        <f t="shared" si="140"/>
        <v>322500</v>
      </c>
      <c r="AN275" s="542">
        <f t="shared" si="141"/>
        <v>0</v>
      </c>
      <c r="AO275" s="542">
        <f t="shared" si="142"/>
        <v>500</v>
      </c>
      <c r="AP275" s="543">
        <f t="shared" si="143"/>
        <v>500</v>
      </c>
      <c r="AQ275" s="544">
        <f t="shared" ca="1" si="144"/>
        <v>500</v>
      </c>
      <c r="AR275" s="545">
        <f t="shared" ca="1" si="145"/>
        <v>1.5479876160990713E-3</v>
      </c>
      <c r="AS275" s="545">
        <f ca="1">IFERROR(CEILING($AR275*VLOOKUP($I275,Ref!$B$23:$E$29,4,0),1),0)</f>
        <v>1</v>
      </c>
      <c r="AT275" s="545" t="str">
        <f ca="1">IF(A275="","",IF(AP275&lt;=1,"Cleared",IF(AS275=0,"Clean",VLOOKUP($AS275,Ref!$G$23:$H$28,2))))</f>
        <v>1.(0-30) Days</v>
      </c>
      <c r="AU275" s="546" t="str">
        <f t="shared" si="146"/>
        <v>Ok</v>
      </c>
    </row>
    <row r="276" spans="1:47" ht="14.25" customHeight="1" x14ac:dyDescent="0.15">
      <c r="A276" s="575">
        <v>44485</v>
      </c>
      <c r="B276" s="523">
        <v>246</v>
      </c>
      <c r="C276" s="523">
        <v>271</v>
      </c>
      <c r="D276" s="523">
        <v>1</v>
      </c>
      <c r="E276" s="579" t="s">
        <v>1274</v>
      </c>
      <c r="F276" s="580">
        <v>400000</v>
      </c>
      <c r="G276" s="524">
        <v>4</v>
      </c>
      <c r="H276" s="555">
        <v>0.05</v>
      </c>
      <c r="I276" s="560" t="s">
        <v>859</v>
      </c>
      <c r="J276" s="523" t="s">
        <v>864</v>
      </c>
      <c r="K276" s="528" t="str">
        <f>IFERROR(VLOOKUP($B276,'Clients-Live'!$A:$C,3,0),"")</f>
        <v>ALOMO ZAIDA</v>
      </c>
      <c r="L276" s="528">
        <f>IF(E276="STL",Pricing!$D$38,IF(A276="",0,IF(A276&lt;Pricing!$C$25,Pricing!$D$25,VLOOKUP(Disbursements!$F276,Pricing!$B$29:$D$32,3))))</f>
        <v>15000</v>
      </c>
      <c r="M276" s="528">
        <f>IF(E276="STL",0,IF(F276&gt;0,Pricing!$D$21,0))</f>
        <v>5000</v>
      </c>
      <c r="N276" s="529">
        <f>IF(E276="STL",F276*Pricing!$D$40,IF(A276&lt;=Pricing!$C$4,0,IF(AND(A276&gt;Pricing!$C$4,Disbursements!A276&lt;=Pricing!$C$5),F276*Pricing!$E$5,IF(AND(A276&gt;Pricing!$C$5,Disbursements!A276&lt;=Pricing!$C$7),VLOOKUP(F276,Pricing!$D$7:$E$8,2)*Disbursements!F276,F276*Pricing!$E$9))))</f>
        <v>4000</v>
      </c>
      <c r="O276" s="528">
        <f>IF(E276="STL",0,IF($F276&gt;0,$F276*Pricing!$D$17,0))</f>
        <v>40000</v>
      </c>
      <c r="P276" s="530">
        <f t="shared" si="126"/>
        <v>80000</v>
      </c>
      <c r="Q276" s="531">
        <f>IF($A276="","",$G276/VLOOKUP($I276,Ref!$B$23:$D$29,2,0))</f>
        <v>4</v>
      </c>
      <c r="R276" s="530">
        <f t="shared" si="127"/>
        <v>480000</v>
      </c>
      <c r="S276" s="532">
        <f t="shared" si="121"/>
        <v>120000</v>
      </c>
      <c r="T276" s="531">
        <f t="shared" si="128"/>
        <v>120000</v>
      </c>
      <c r="U276" s="533">
        <f t="shared" si="129"/>
        <v>480000</v>
      </c>
      <c r="V276" s="531">
        <f t="shared" si="130"/>
        <v>100000</v>
      </c>
      <c r="W276" s="531">
        <f t="shared" si="131"/>
        <v>20000</v>
      </c>
      <c r="X276" s="534">
        <f t="shared" si="132"/>
        <v>80000</v>
      </c>
      <c r="Y276" s="535">
        <f>IF($A276="","",IF($I276="weekly",$A276+7,EDATE($A276,VLOOKUP($I276,Ref!$B$24:$C$29,2,0))))</f>
        <v>44516</v>
      </c>
      <c r="Z276" s="536" t="str">
        <f t="shared" si="133"/>
        <v>Tue</v>
      </c>
      <c r="AA276" s="531">
        <f t="shared" si="134"/>
        <v>31</v>
      </c>
      <c r="AB276" s="535">
        <f t="shared" si="122"/>
        <v>44608</v>
      </c>
      <c r="AC276" s="537">
        <f t="shared" si="123"/>
        <v>123</v>
      </c>
      <c r="AD276" s="538" t="str">
        <f t="shared" ca="1" si="124"/>
        <v>Expired</v>
      </c>
      <c r="AE276" s="537">
        <f t="shared" ca="1" si="125"/>
        <v>0</v>
      </c>
      <c r="AF276" s="539">
        <f t="shared" ca="1" si="135"/>
        <v>4</v>
      </c>
      <c r="AG276" s="531">
        <f t="shared" ca="1" si="136"/>
        <v>480000</v>
      </c>
      <c r="AH276" s="531">
        <f t="shared" ca="1" si="137"/>
        <v>80000</v>
      </c>
      <c r="AI276" s="531">
        <f t="shared" ca="1" si="138"/>
        <v>400000</v>
      </c>
      <c r="AJ276" s="531">
        <f t="shared" ca="1" si="139"/>
        <v>0</v>
      </c>
      <c r="AK276" s="540">
        <f>SUMIFS('Live Collections'!$S:$S,'Live Collections'!$D:$D,Disbursements!B276,'Live Collections'!$G:$G,Disbursements!C276)</f>
        <v>80000</v>
      </c>
      <c r="AL276" s="540">
        <f>SUMIFS('Live Collections'!$T:$T,'Live Collections'!$D:$D,Disbursements!B276,'Live Collections'!$G:$G,Disbursements!C276)</f>
        <v>400000</v>
      </c>
      <c r="AM276" s="541">
        <f t="shared" si="140"/>
        <v>480000</v>
      </c>
      <c r="AN276" s="542">
        <f t="shared" si="141"/>
        <v>0</v>
      </c>
      <c r="AO276" s="542">
        <f t="shared" si="142"/>
        <v>0</v>
      </c>
      <c r="AP276" s="543">
        <f t="shared" si="143"/>
        <v>0</v>
      </c>
      <c r="AQ276" s="544" t="str">
        <f t="shared" ca="1" si="144"/>
        <v/>
      </c>
      <c r="AR276" s="545">
        <f t="shared" ca="1" si="145"/>
        <v>0</v>
      </c>
      <c r="AS276" s="545">
        <f ca="1">IFERROR(CEILING($AR276*VLOOKUP($I276,Ref!$B$23:$E$29,4,0),1),0)</f>
        <v>0</v>
      </c>
      <c r="AT276" s="545" t="str">
        <f>IF(A276="","",IF(AP276&lt;=1,"Cleared",IF(AS276=0,"Clean",VLOOKUP($AS276,Ref!$G$23:$H$28,2))))</f>
        <v>Cleared</v>
      </c>
      <c r="AU276" s="546" t="str">
        <f t="shared" si="146"/>
        <v>Ok</v>
      </c>
    </row>
    <row r="277" spans="1:47" ht="14.25" customHeight="1" x14ac:dyDescent="0.15">
      <c r="A277" s="575">
        <v>44487</v>
      </c>
      <c r="B277" s="523">
        <v>52</v>
      </c>
      <c r="C277" s="523">
        <v>275</v>
      </c>
      <c r="D277" s="523">
        <v>2</v>
      </c>
      <c r="E277" s="579" t="s">
        <v>1274</v>
      </c>
      <c r="F277" s="580">
        <v>500000</v>
      </c>
      <c r="G277" s="524">
        <v>4</v>
      </c>
      <c r="H277" s="555">
        <v>0.05</v>
      </c>
      <c r="I277" s="560" t="s">
        <v>859</v>
      </c>
      <c r="J277" s="523" t="s">
        <v>864</v>
      </c>
      <c r="K277" s="528" t="str">
        <f>IFERROR(VLOOKUP($B277,'Clients-Live'!$A:$C,3,0),"")</f>
        <v>EDEZU PEACE IRENE</v>
      </c>
      <c r="L277" s="528">
        <f>IF(E277="STL",Pricing!$D$38,IF(A277="",0,IF(A277&lt;Pricing!$C$25,Pricing!$D$25,VLOOKUP(Disbursements!$F277,Pricing!$B$29:$D$32,3))))</f>
        <v>15000</v>
      </c>
      <c r="M277" s="528">
        <f>IF(E277="STL",0,IF(F277&gt;0,Pricing!$D$21,0))</f>
        <v>5000</v>
      </c>
      <c r="N277" s="529">
        <f>IF(E277="STL",F277*Pricing!$D$40,IF(A277&lt;=Pricing!$C$4,0,IF(AND(A277&gt;Pricing!$C$4,Disbursements!A277&lt;=Pricing!$C$5),F277*Pricing!$E$5,IF(AND(A277&gt;Pricing!$C$5,Disbursements!A277&lt;=Pricing!$C$7),VLOOKUP(F277,Pricing!$D$7:$E$8,2)*Disbursements!F277,F277*Pricing!$E$9))))</f>
        <v>5000</v>
      </c>
      <c r="O277" s="528">
        <f>IF(E277="STL",0,IF($F277&gt;0,$F277*Pricing!$D$17,0))</f>
        <v>50000</v>
      </c>
      <c r="P277" s="530">
        <f t="shared" si="126"/>
        <v>100000</v>
      </c>
      <c r="Q277" s="531">
        <f>IF($A277="","",$G277/VLOOKUP($I277,Ref!$B$23:$D$29,2,0))</f>
        <v>4</v>
      </c>
      <c r="R277" s="530">
        <f t="shared" si="127"/>
        <v>600000</v>
      </c>
      <c r="S277" s="532">
        <f t="shared" si="121"/>
        <v>150000</v>
      </c>
      <c r="T277" s="531">
        <f t="shared" si="128"/>
        <v>150000</v>
      </c>
      <c r="U277" s="533">
        <f t="shared" si="129"/>
        <v>600000</v>
      </c>
      <c r="V277" s="531">
        <f t="shared" si="130"/>
        <v>125000</v>
      </c>
      <c r="W277" s="531">
        <f t="shared" si="131"/>
        <v>25000</v>
      </c>
      <c r="X277" s="534">
        <f t="shared" si="132"/>
        <v>100000</v>
      </c>
      <c r="Y277" s="535">
        <f>IF($A277="","",IF($I277="weekly",$A277+7,EDATE($A277,VLOOKUP($I277,Ref!$B$24:$C$29,2,0))))</f>
        <v>44518</v>
      </c>
      <c r="Z277" s="536" t="str">
        <f t="shared" si="133"/>
        <v>Thu</v>
      </c>
      <c r="AA277" s="531">
        <f t="shared" si="134"/>
        <v>31</v>
      </c>
      <c r="AB277" s="535">
        <f t="shared" si="122"/>
        <v>44610</v>
      </c>
      <c r="AC277" s="537">
        <f t="shared" si="123"/>
        <v>123</v>
      </c>
      <c r="AD277" s="538" t="str">
        <f t="shared" ca="1" si="124"/>
        <v>Expired</v>
      </c>
      <c r="AE277" s="537">
        <f t="shared" ca="1" si="125"/>
        <v>0</v>
      </c>
      <c r="AF277" s="539">
        <f t="shared" ca="1" si="135"/>
        <v>4</v>
      </c>
      <c r="AG277" s="531">
        <f t="shared" ca="1" si="136"/>
        <v>600000</v>
      </c>
      <c r="AH277" s="531">
        <f t="shared" ca="1" si="137"/>
        <v>100000</v>
      </c>
      <c r="AI277" s="531">
        <f t="shared" ca="1" si="138"/>
        <v>500000</v>
      </c>
      <c r="AJ277" s="531">
        <f t="shared" ca="1" si="139"/>
        <v>0</v>
      </c>
      <c r="AK277" s="540">
        <f>SUMIFS('Live Collections'!$S:$S,'Live Collections'!$D:$D,Disbursements!B277,'Live Collections'!$G:$G,Disbursements!C277)</f>
        <v>100000</v>
      </c>
      <c r="AL277" s="540">
        <f>SUMIFS('Live Collections'!$T:$T,'Live Collections'!$D:$D,Disbursements!B277,'Live Collections'!$G:$G,Disbursements!C277)</f>
        <v>500000</v>
      </c>
      <c r="AM277" s="541">
        <f t="shared" si="140"/>
        <v>600000</v>
      </c>
      <c r="AN277" s="542">
        <f t="shared" si="141"/>
        <v>0</v>
      </c>
      <c r="AO277" s="542">
        <f t="shared" si="142"/>
        <v>0</v>
      </c>
      <c r="AP277" s="543">
        <f t="shared" si="143"/>
        <v>0</v>
      </c>
      <c r="AQ277" s="544" t="str">
        <f t="shared" ca="1" si="144"/>
        <v/>
      </c>
      <c r="AR277" s="545">
        <f t="shared" ca="1" si="145"/>
        <v>0</v>
      </c>
      <c r="AS277" s="545">
        <f ca="1">IFERROR(CEILING($AR277*VLOOKUP($I277,Ref!$B$23:$E$29,4,0),1),0)</f>
        <v>0</v>
      </c>
      <c r="AT277" s="545" t="str">
        <f>IF(A277="","",IF(AP277&lt;=1,"Cleared",IF(AS277=0,"Clean",VLOOKUP($AS277,Ref!$G$23:$H$28,2))))</f>
        <v>Cleared</v>
      </c>
      <c r="AU277" s="546" t="str">
        <f t="shared" si="146"/>
        <v>Ok</v>
      </c>
    </row>
    <row r="278" spans="1:47" ht="14.25" customHeight="1" x14ac:dyDescent="0.15">
      <c r="A278" s="575">
        <v>44487</v>
      </c>
      <c r="B278" s="523">
        <v>243</v>
      </c>
      <c r="C278" s="523">
        <v>274</v>
      </c>
      <c r="D278" s="523">
        <v>1</v>
      </c>
      <c r="E278" s="579" t="s">
        <v>1274</v>
      </c>
      <c r="F278" s="580">
        <v>500000</v>
      </c>
      <c r="G278" s="524">
        <v>4</v>
      </c>
      <c r="H278" s="555">
        <v>0.05</v>
      </c>
      <c r="I278" s="560" t="s">
        <v>859</v>
      </c>
      <c r="J278" s="523" t="s">
        <v>864</v>
      </c>
      <c r="K278" s="528" t="str">
        <f>IFERROR(VLOOKUP($B278,'Clients-Live'!$A:$C,3,0),"")</f>
        <v>AMANIYO FARIDA</v>
      </c>
      <c r="L278" s="528">
        <f>IF(E278="STL",Pricing!$D$38,IF(A278="",0,IF(A278&lt;Pricing!$C$25,Pricing!$D$25,VLOOKUP(Disbursements!$F278,Pricing!$B$29:$D$32,3))))</f>
        <v>15000</v>
      </c>
      <c r="M278" s="528">
        <f>IF(E278="STL",0,IF(F278&gt;0,Pricing!$D$21,0))</f>
        <v>5000</v>
      </c>
      <c r="N278" s="529">
        <f>IF(E278="STL",F278*Pricing!$D$40,IF(A278&lt;=Pricing!$C$4,0,IF(AND(A278&gt;Pricing!$C$4,Disbursements!A278&lt;=Pricing!$C$5),F278*Pricing!$E$5,IF(AND(A278&gt;Pricing!$C$5,Disbursements!A278&lt;=Pricing!$C$7),VLOOKUP(F278,Pricing!$D$7:$E$8,2)*Disbursements!F278,F278*Pricing!$E$9))))</f>
        <v>5000</v>
      </c>
      <c r="O278" s="528">
        <f>IF(E278="STL",0,IF($F278&gt;0,$F278*Pricing!$D$17,0))</f>
        <v>50000</v>
      </c>
      <c r="P278" s="530">
        <f t="shared" si="126"/>
        <v>100000</v>
      </c>
      <c r="Q278" s="531">
        <f>IF($A278="","",$G278/VLOOKUP($I278,Ref!$B$23:$D$29,2,0))</f>
        <v>4</v>
      </c>
      <c r="R278" s="530">
        <f t="shared" si="127"/>
        <v>600000</v>
      </c>
      <c r="S278" s="532">
        <f t="shared" si="121"/>
        <v>150000</v>
      </c>
      <c r="T278" s="531">
        <f t="shared" si="128"/>
        <v>150000</v>
      </c>
      <c r="U278" s="533">
        <f t="shared" si="129"/>
        <v>600000</v>
      </c>
      <c r="V278" s="531">
        <f t="shared" si="130"/>
        <v>125000</v>
      </c>
      <c r="W278" s="531">
        <f t="shared" si="131"/>
        <v>25000</v>
      </c>
      <c r="X278" s="534">
        <f t="shared" si="132"/>
        <v>100000</v>
      </c>
      <c r="Y278" s="535">
        <f>IF($A278="","",IF($I278="weekly",$A278+7,EDATE($A278,VLOOKUP($I278,Ref!$B$24:$C$29,2,0))))</f>
        <v>44518</v>
      </c>
      <c r="Z278" s="536" t="str">
        <f t="shared" si="133"/>
        <v>Thu</v>
      </c>
      <c r="AA278" s="531">
        <f t="shared" si="134"/>
        <v>31</v>
      </c>
      <c r="AB278" s="535">
        <f t="shared" si="122"/>
        <v>44610</v>
      </c>
      <c r="AC278" s="537">
        <f t="shared" si="123"/>
        <v>123</v>
      </c>
      <c r="AD278" s="538" t="str">
        <f t="shared" ca="1" si="124"/>
        <v>Expired</v>
      </c>
      <c r="AE278" s="537">
        <f t="shared" ca="1" si="125"/>
        <v>0</v>
      </c>
      <c r="AF278" s="539">
        <f t="shared" ca="1" si="135"/>
        <v>4</v>
      </c>
      <c r="AG278" s="531">
        <f t="shared" ca="1" si="136"/>
        <v>600000</v>
      </c>
      <c r="AH278" s="531">
        <f t="shared" ca="1" si="137"/>
        <v>100000</v>
      </c>
      <c r="AI278" s="531">
        <f t="shared" ca="1" si="138"/>
        <v>500000</v>
      </c>
      <c r="AJ278" s="531">
        <f t="shared" ca="1" si="139"/>
        <v>0</v>
      </c>
      <c r="AK278" s="540">
        <f>SUMIFS('Live Collections'!$S:$S,'Live Collections'!$D:$D,Disbursements!B278,'Live Collections'!$G:$G,Disbursements!C278)</f>
        <v>100000</v>
      </c>
      <c r="AL278" s="540">
        <f>SUMIFS('Live Collections'!$T:$T,'Live Collections'!$D:$D,Disbursements!B278,'Live Collections'!$G:$G,Disbursements!C278)</f>
        <v>500000</v>
      </c>
      <c r="AM278" s="541">
        <f t="shared" si="140"/>
        <v>600000</v>
      </c>
      <c r="AN278" s="542">
        <f t="shared" si="141"/>
        <v>0</v>
      </c>
      <c r="AO278" s="542">
        <f t="shared" si="142"/>
        <v>0</v>
      </c>
      <c r="AP278" s="543">
        <f t="shared" si="143"/>
        <v>0</v>
      </c>
      <c r="AQ278" s="544" t="str">
        <f t="shared" ca="1" si="144"/>
        <v/>
      </c>
      <c r="AR278" s="545">
        <f t="shared" ca="1" si="145"/>
        <v>0</v>
      </c>
      <c r="AS278" s="545">
        <f ca="1">IFERROR(CEILING($AR278*VLOOKUP($I278,Ref!$B$23:$E$29,4,0),1),0)</f>
        <v>0</v>
      </c>
      <c r="AT278" s="545" t="str">
        <f>IF(A278="","",IF(AP278&lt;=1,"Cleared",IF(AS278=0,"Clean",VLOOKUP($AS278,Ref!$G$23:$H$28,2))))</f>
        <v>Cleared</v>
      </c>
      <c r="AU278" s="546" t="str">
        <f t="shared" si="146"/>
        <v>Ok</v>
      </c>
    </row>
    <row r="279" spans="1:47" ht="14.25" customHeight="1" x14ac:dyDescent="0.15">
      <c r="A279" s="575">
        <v>44487</v>
      </c>
      <c r="B279" s="523">
        <v>234</v>
      </c>
      <c r="C279" s="523">
        <v>276</v>
      </c>
      <c r="D279" s="523">
        <v>1</v>
      </c>
      <c r="E279" s="579" t="s">
        <v>1274</v>
      </c>
      <c r="F279" s="580">
        <v>1000000</v>
      </c>
      <c r="G279" s="524">
        <v>3</v>
      </c>
      <c r="H279" s="555">
        <v>0.05</v>
      </c>
      <c r="I279" s="560" t="s">
        <v>859</v>
      </c>
      <c r="J279" s="523" t="s">
        <v>863</v>
      </c>
      <c r="K279" s="528" t="str">
        <f>IFERROR(VLOOKUP($B279,'Clients-Live'!$A:$C,3,0),"")</f>
        <v>SUDI YASIR</v>
      </c>
      <c r="L279" s="528">
        <f>IF(E279="STL",Pricing!$D$38,IF(A279="",0,IF(A279&lt;Pricing!$C$25,Pricing!$D$25,VLOOKUP(Disbursements!$F279,Pricing!$B$29:$D$32,3))))</f>
        <v>20000</v>
      </c>
      <c r="M279" s="528">
        <f>IF(E279="STL",0,IF(F279&gt;0,Pricing!$D$21,0))</f>
        <v>5000</v>
      </c>
      <c r="N279" s="529">
        <f>IF(E279="STL",F279*Pricing!$D$40,IF(A279&lt;=Pricing!$C$4,0,IF(AND(A279&gt;Pricing!$C$4,Disbursements!A279&lt;=Pricing!$C$5),F279*Pricing!$E$5,IF(AND(A279&gt;Pricing!$C$5,Disbursements!A279&lt;=Pricing!$C$7),VLOOKUP(F279,Pricing!$D$7:$E$8,2)*Disbursements!F279,F279*Pricing!$E$9))))</f>
        <v>10000</v>
      </c>
      <c r="O279" s="528">
        <f>IF(E279="STL",0,IF($F279&gt;0,$F279*Pricing!$D$17,0))</f>
        <v>100000</v>
      </c>
      <c r="P279" s="530">
        <f t="shared" si="126"/>
        <v>150000</v>
      </c>
      <c r="Q279" s="531">
        <f>IF($A279="","",$G279/VLOOKUP($I279,Ref!$B$23:$D$29,2,0))</f>
        <v>3</v>
      </c>
      <c r="R279" s="530">
        <f t="shared" si="127"/>
        <v>1150000</v>
      </c>
      <c r="S279" s="532">
        <f t="shared" si="121"/>
        <v>383333.33333333331</v>
      </c>
      <c r="T279" s="531">
        <f t="shared" si="128"/>
        <v>384000</v>
      </c>
      <c r="U279" s="533">
        <f t="shared" si="129"/>
        <v>1152000</v>
      </c>
      <c r="V279" s="531">
        <f t="shared" si="130"/>
        <v>333333.33333333331</v>
      </c>
      <c r="W279" s="531">
        <f t="shared" si="131"/>
        <v>50666.666666666686</v>
      </c>
      <c r="X279" s="534">
        <f t="shared" si="132"/>
        <v>152000.00000000006</v>
      </c>
      <c r="Y279" s="535">
        <f>IF($A279="","",IF($I279="weekly",$A279+7,EDATE($A279,VLOOKUP($I279,Ref!$B$24:$C$29,2,0))))</f>
        <v>44518</v>
      </c>
      <c r="Z279" s="536" t="str">
        <f t="shared" si="133"/>
        <v>Thu</v>
      </c>
      <c r="AA279" s="531">
        <f t="shared" si="134"/>
        <v>31</v>
      </c>
      <c r="AB279" s="535">
        <f t="shared" si="122"/>
        <v>44579</v>
      </c>
      <c r="AC279" s="537">
        <f t="shared" si="123"/>
        <v>92</v>
      </c>
      <c r="AD279" s="538" t="str">
        <f t="shared" ca="1" si="124"/>
        <v>Expired</v>
      </c>
      <c r="AE279" s="537">
        <f t="shared" ca="1" si="125"/>
        <v>0</v>
      </c>
      <c r="AF279" s="539">
        <f t="shared" ca="1" si="135"/>
        <v>3</v>
      </c>
      <c r="AG279" s="531">
        <f t="shared" ca="1" si="136"/>
        <v>1152000</v>
      </c>
      <c r="AH279" s="531">
        <f t="shared" ca="1" si="137"/>
        <v>152000.00000000006</v>
      </c>
      <c r="AI279" s="531">
        <f t="shared" ca="1" si="138"/>
        <v>1000000</v>
      </c>
      <c r="AJ279" s="531">
        <f t="shared" ca="1" si="139"/>
        <v>0</v>
      </c>
      <c r="AK279" s="540">
        <f>SUMIFS('Live Collections'!$S:$S,'Live Collections'!$D:$D,Disbursements!B279,'Live Collections'!$G:$G,Disbursements!C279)</f>
        <v>152000.00000000006</v>
      </c>
      <c r="AL279" s="540">
        <f>SUMIFS('Live Collections'!$T:$T,'Live Collections'!$D:$D,Disbursements!B279,'Live Collections'!$G:$G,Disbursements!C279)</f>
        <v>998000</v>
      </c>
      <c r="AM279" s="541">
        <f t="shared" si="140"/>
        <v>1150000</v>
      </c>
      <c r="AN279" s="542">
        <f t="shared" si="141"/>
        <v>0</v>
      </c>
      <c r="AO279" s="542">
        <f t="shared" si="142"/>
        <v>2000</v>
      </c>
      <c r="AP279" s="543">
        <f t="shared" si="143"/>
        <v>2000</v>
      </c>
      <c r="AQ279" s="544">
        <f t="shared" ca="1" si="144"/>
        <v>2000</v>
      </c>
      <c r="AR279" s="545">
        <f t="shared" ca="1" si="145"/>
        <v>5.208333333333333E-3</v>
      </c>
      <c r="AS279" s="545">
        <f ca="1">IFERROR(CEILING($AR279*VLOOKUP($I279,Ref!$B$23:$E$29,4,0),1),0)</f>
        <v>1</v>
      </c>
      <c r="AT279" s="545" t="str">
        <f ca="1">IF(A279="","",IF(AP279&lt;=1,"Cleared",IF(AS279=0,"Clean",VLOOKUP($AS279,Ref!$G$23:$H$28,2))))</f>
        <v>1.(0-30) Days</v>
      </c>
      <c r="AU279" s="546" t="str">
        <f t="shared" si="146"/>
        <v>Ok</v>
      </c>
    </row>
    <row r="280" spans="1:47" ht="14.25" customHeight="1" x14ac:dyDescent="0.15">
      <c r="A280" s="575">
        <v>44488</v>
      </c>
      <c r="B280" s="523">
        <v>34</v>
      </c>
      <c r="C280" s="523">
        <v>283</v>
      </c>
      <c r="D280" s="523">
        <v>2</v>
      </c>
      <c r="E280" s="579" t="s">
        <v>1275</v>
      </c>
      <c r="F280" s="580">
        <v>250000</v>
      </c>
      <c r="G280" s="524">
        <v>3</v>
      </c>
      <c r="H280" s="555">
        <v>7.4999999999999997E-2</v>
      </c>
      <c r="I280" s="560" t="s">
        <v>859</v>
      </c>
      <c r="J280" s="523" t="s">
        <v>862</v>
      </c>
      <c r="K280" s="528" t="str">
        <f>IFERROR(VLOOKUP($B280,'Clients-Live'!$A:$C,3,0),"")</f>
        <v>APEKURU FLORENCE</v>
      </c>
      <c r="L280" s="528">
        <f>IF(E280="STL",Pricing!$D$38,IF(A280="",0,IF(A280&lt;Pricing!$C$25,Pricing!$D$25,VLOOKUP(Disbursements!$F280,Pricing!$B$29:$D$32,3))))</f>
        <v>15000</v>
      </c>
      <c r="M280" s="528">
        <f>IF(E280="STL",0,IF(F280&gt;0,Pricing!$D$21,0))</f>
        <v>5000</v>
      </c>
      <c r="N280" s="529">
        <f>IF(E280="STL",F280*Pricing!$D$40,IF(A280&lt;=Pricing!$C$4,0,IF(AND(A280&gt;Pricing!$C$4,Disbursements!A280&lt;=Pricing!$C$5),F280*Pricing!$E$5,IF(AND(A280&gt;Pricing!$C$5,Disbursements!A280&lt;=Pricing!$C$7),VLOOKUP(F280,Pricing!$D$7:$E$8,2)*Disbursements!F280,F280*Pricing!$E$9))))</f>
        <v>2500</v>
      </c>
      <c r="O280" s="528">
        <f>IF(E280="STL",0,IF($F280&gt;0,$F280*Pricing!$D$17,0))</f>
        <v>25000</v>
      </c>
      <c r="P280" s="530">
        <f t="shared" si="126"/>
        <v>56250</v>
      </c>
      <c r="Q280" s="531">
        <f>IF($A280="","",$G280/VLOOKUP($I280,Ref!$B$23:$D$29,2,0))</f>
        <v>3</v>
      </c>
      <c r="R280" s="530">
        <f t="shared" si="127"/>
        <v>306250</v>
      </c>
      <c r="S280" s="532">
        <f t="shared" si="121"/>
        <v>102083.33333333333</v>
      </c>
      <c r="T280" s="531">
        <f t="shared" si="128"/>
        <v>103000</v>
      </c>
      <c r="U280" s="533">
        <f t="shared" si="129"/>
        <v>309000</v>
      </c>
      <c r="V280" s="531">
        <f t="shared" si="130"/>
        <v>83333.333333333328</v>
      </c>
      <c r="W280" s="531">
        <f t="shared" si="131"/>
        <v>19666.666666666672</v>
      </c>
      <c r="X280" s="534">
        <f t="shared" si="132"/>
        <v>59000.000000000015</v>
      </c>
      <c r="Y280" s="535">
        <f>IF($A280="","",IF($I280="weekly",$A280+7,EDATE($A280,VLOOKUP($I280,Ref!$B$24:$C$29,2,0))))</f>
        <v>44519</v>
      </c>
      <c r="Z280" s="536" t="str">
        <f t="shared" si="133"/>
        <v>Frid</v>
      </c>
      <c r="AA280" s="531">
        <f t="shared" si="134"/>
        <v>31</v>
      </c>
      <c r="AB280" s="535">
        <f t="shared" si="122"/>
        <v>44580</v>
      </c>
      <c r="AC280" s="537">
        <f t="shared" si="123"/>
        <v>92</v>
      </c>
      <c r="AD280" s="538" t="str">
        <f t="shared" ca="1" si="124"/>
        <v>Expired</v>
      </c>
      <c r="AE280" s="537">
        <f t="shared" ca="1" si="125"/>
        <v>0</v>
      </c>
      <c r="AF280" s="539">
        <f t="shared" ca="1" si="135"/>
        <v>3</v>
      </c>
      <c r="AG280" s="531">
        <f t="shared" ca="1" si="136"/>
        <v>309000</v>
      </c>
      <c r="AH280" s="531">
        <f t="shared" ca="1" si="137"/>
        <v>59000.000000000015</v>
      </c>
      <c r="AI280" s="531">
        <f t="shared" ca="1" si="138"/>
        <v>250000</v>
      </c>
      <c r="AJ280" s="531">
        <f t="shared" ca="1" si="139"/>
        <v>0</v>
      </c>
      <c r="AK280" s="540">
        <f>SUMIFS('Live Collections'!$S:$S,'Live Collections'!$D:$D,Disbursements!B280,'Live Collections'!$G:$G,Disbursements!C280)</f>
        <v>59000.000000000015</v>
      </c>
      <c r="AL280" s="540">
        <f>SUMIFS('Live Collections'!$T:$T,'Live Collections'!$D:$D,Disbursements!B280,'Live Collections'!$G:$G,Disbursements!C280)</f>
        <v>250000</v>
      </c>
      <c r="AM280" s="541">
        <f t="shared" si="140"/>
        <v>309000</v>
      </c>
      <c r="AN280" s="542">
        <f t="shared" si="141"/>
        <v>0</v>
      </c>
      <c r="AO280" s="542">
        <f t="shared" si="142"/>
        <v>0</v>
      </c>
      <c r="AP280" s="543">
        <f t="shared" si="143"/>
        <v>0</v>
      </c>
      <c r="AQ280" s="544" t="str">
        <f t="shared" ca="1" si="144"/>
        <v/>
      </c>
      <c r="AR280" s="545">
        <f t="shared" ca="1" si="145"/>
        <v>0</v>
      </c>
      <c r="AS280" s="545">
        <f ca="1">IFERROR(CEILING($AR280*VLOOKUP($I280,Ref!$B$23:$E$29,4,0),1),0)</f>
        <v>0</v>
      </c>
      <c r="AT280" s="545" t="str">
        <f>IF(A280="","",IF(AP280&lt;=1,"Cleared",IF(AS280=0,"Clean",VLOOKUP($AS280,Ref!$G$23:$H$28,2))))</f>
        <v>Cleared</v>
      </c>
      <c r="AU280" s="546" t="str">
        <f t="shared" si="146"/>
        <v>Ok</v>
      </c>
    </row>
    <row r="281" spans="1:47" ht="14.25" customHeight="1" x14ac:dyDescent="0.15">
      <c r="A281" s="575">
        <v>44488</v>
      </c>
      <c r="B281" s="523">
        <v>59</v>
      </c>
      <c r="C281" s="523">
        <v>284</v>
      </c>
      <c r="D281" s="523">
        <v>2</v>
      </c>
      <c r="E281" s="579" t="s">
        <v>1274</v>
      </c>
      <c r="F281" s="580">
        <v>600000</v>
      </c>
      <c r="G281" s="524">
        <v>4</v>
      </c>
      <c r="H281" s="555">
        <v>0.05</v>
      </c>
      <c r="I281" s="560" t="s">
        <v>859</v>
      </c>
      <c r="J281" s="523" t="s">
        <v>863</v>
      </c>
      <c r="K281" s="528" t="str">
        <f>IFERROR(VLOOKUP($B281,'Clients-Live'!$A:$C,3,0),"")</f>
        <v>ONZIA AGNES</v>
      </c>
      <c r="L281" s="528">
        <f>IF(E281="STL",Pricing!$D$38,IF(A281="",0,IF(A281&lt;Pricing!$C$25,Pricing!$D$25,VLOOKUP(Disbursements!$F281,Pricing!$B$29:$D$32,3))))</f>
        <v>20000</v>
      </c>
      <c r="M281" s="528">
        <f>IF(E281="STL",0,IF(F281&gt;0,Pricing!$D$21,0))</f>
        <v>5000</v>
      </c>
      <c r="N281" s="529">
        <f>IF(E281="STL",F281*Pricing!$D$40,IF(A281&lt;=Pricing!$C$4,0,IF(AND(A281&gt;Pricing!$C$4,Disbursements!A281&lt;=Pricing!$C$5),F281*Pricing!$E$5,IF(AND(A281&gt;Pricing!$C$5,Disbursements!A281&lt;=Pricing!$C$7),VLOOKUP(F281,Pricing!$D$7:$E$8,2)*Disbursements!F281,F281*Pricing!$E$9))))</f>
        <v>6000</v>
      </c>
      <c r="O281" s="528">
        <f>IF(E281="STL",0,IF($F281&gt;0,$F281*Pricing!$D$17,0))</f>
        <v>60000</v>
      </c>
      <c r="P281" s="530">
        <f t="shared" si="126"/>
        <v>120000</v>
      </c>
      <c r="Q281" s="531">
        <f>IF($A281="","",$G281/VLOOKUP($I281,Ref!$B$23:$D$29,2,0))</f>
        <v>4</v>
      </c>
      <c r="R281" s="530">
        <f t="shared" si="127"/>
        <v>720000</v>
      </c>
      <c r="S281" s="532">
        <f t="shared" si="121"/>
        <v>180000</v>
      </c>
      <c r="T281" s="531">
        <f t="shared" si="128"/>
        <v>180000</v>
      </c>
      <c r="U281" s="533">
        <f t="shared" si="129"/>
        <v>720000</v>
      </c>
      <c r="V281" s="531">
        <f t="shared" si="130"/>
        <v>150000</v>
      </c>
      <c r="W281" s="531">
        <f t="shared" si="131"/>
        <v>30000</v>
      </c>
      <c r="X281" s="534">
        <f t="shared" si="132"/>
        <v>120000</v>
      </c>
      <c r="Y281" s="535">
        <f>IF($A281="","",IF($I281="weekly",$A281+7,EDATE($A281,VLOOKUP($I281,Ref!$B$24:$C$29,2,0))))</f>
        <v>44519</v>
      </c>
      <c r="Z281" s="536" t="str">
        <f t="shared" si="133"/>
        <v>Frid</v>
      </c>
      <c r="AA281" s="531">
        <f t="shared" si="134"/>
        <v>31</v>
      </c>
      <c r="AB281" s="535">
        <f t="shared" si="122"/>
        <v>44611</v>
      </c>
      <c r="AC281" s="537">
        <f t="shared" si="123"/>
        <v>123</v>
      </c>
      <c r="AD281" s="538" t="str">
        <f t="shared" ca="1" si="124"/>
        <v>Expired</v>
      </c>
      <c r="AE281" s="537">
        <f t="shared" ca="1" si="125"/>
        <v>0</v>
      </c>
      <c r="AF281" s="539">
        <f t="shared" ca="1" si="135"/>
        <v>4</v>
      </c>
      <c r="AG281" s="531">
        <f t="shared" ca="1" si="136"/>
        <v>720000</v>
      </c>
      <c r="AH281" s="531">
        <f t="shared" ca="1" si="137"/>
        <v>120000</v>
      </c>
      <c r="AI281" s="531">
        <f t="shared" ca="1" si="138"/>
        <v>600000</v>
      </c>
      <c r="AJ281" s="531">
        <f t="shared" ca="1" si="139"/>
        <v>0</v>
      </c>
      <c r="AK281" s="540">
        <f>SUMIFS('Live Collections'!$S:$S,'Live Collections'!$D:$D,Disbursements!B281,'Live Collections'!$G:$G,Disbursements!C281)</f>
        <v>120000</v>
      </c>
      <c r="AL281" s="540">
        <f>SUMIFS('Live Collections'!$T:$T,'Live Collections'!$D:$D,Disbursements!B281,'Live Collections'!$G:$G,Disbursements!C281)</f>
        <v>600000</v>
      </c>
      <c r="AM281" s="541">
        <f t="shared" si="140"/>
        <v>720000</v>
      </c>
      <c r="AN281" s="542">
        <f t="shared" si="141"/>
        <v>0</v>
      </c>
      <c r="AO281" s="542">
        <f t="shared" si="142"/>
        <v>0</v>
      </c>
      <c r="AP281" s="543">
        <f t="shared" si="143"/>
        <v>0</v>
      </c>
      <c r="AQ281" s="544" t="str">
        <f t="shared" ca="1" si="144"/>
        <v/>
      </c>
      <c r="AR281" s="545">
        <f t="shared" ca="1" si="145"/>
        <v>0</v>
      </c>
      <c r="AS281" s="545">
        <f ca="1">IFERROR(CEILING($AR281*VLOOKUP($I281,Ref!$B$23:$E$29,4,0),1),0)</f>
        <v>0</v>
      </c>
      <c r="AT281" s="545" t="str">
        <f>IF(A281="","",IF(AP281&lt;=1,"Cleared",IF(AS281=0,"Clean",VLOOKUP($AS281,Ref!$G$23:$H$28,2))))</f>
        <v>Cleared</v>
      </c>
      <c r="AU281" s="546" t="str">
        <f t="shared" si="146"/>
        <v>Ok</v>
      </c>
    </row>
    <row r="282" spans="1:47" ht="14.25" customHeight="1" x14ac:dyDescent="0.15">
      <c r="A282" s="575">
        <v>44488</v>
      </c>
      <c r="B282" s="523">
        <v>99</v>
      </c>
      <c r="C282" s="523">
        <v>278</v>
      </c>
      <c r="D282" s="523">
        <v>2</v>
      </c>
      <c r="E282" s="579" t="s">
        <v>1274</v>
      </c>
      <c r="F282" s="580">
        <v>800000</v>
      </c>
      <c r="G282" s="524">
        <v>6</v>
      </c>
      <c r="H282" s="555">
        <v>0.05</v>
      </c>
      <c r="I282" s="560" t="s">
        <v>859</v>
      </c>
      <c r="J282" s="523" t="s">
        <v>863</v>
      </c>
      <c r="K282" s="528" t="str">
        <f>IFERROR(VLOOKUP($B282,'Clients-Live'!$A:$C,3,0),"")</f>
        <v>SIJALI ASINA SIS</v>
      </c>
      <c r="L282" s="528">
        <f>IF(E282="STL",Pricing!$D$38,IF(A282="",0,IF(A282&lt;Pricing!$C$25,Pricing!$D$25,VLOOKUP(Disbursements!$F282,Pricing!$B$29:$D$32,3))))</f>
        <v>20000</v>
      </c>
      <c r="M282" s="528">
        <f>IF(E282="STL",0,IF(F282&gt;0,Pricing!$D$21,0))</f>
        <v>5000</v>
      </c>
      <c r="N282" s="529">
        <f>IF(E282="STL",F282*Pricing!$D$40,IF(A282&lt;=Pricing!$C$4,0,IF(AND(A282&gt;Pricing!$C$4,Disbursements!A282&lt;=Pricing!$C$5),F282*Pricing!$E$5,IF(AND(A282&gt;Pricing!$C$5,Disbursements!A282&lt;=Pricing!$C$7),VLOOKUP(F282,Pricing!$D$7:$E$8,2)*Disbursements!F282,F282*Pricing!$E$9))))</f>
        <v>8000</v>
      </c>
      <c r="O282" s="528">
        <f>IF(E282="STL",0,IF($F282&gt;0,$F282*Pricing!$D$17,0))</f>
        <v>80000</v>
      </c>
      <c r="P282" s="530">
        <f t="shared" si="126"/>
        <v>240000</v>
      </c>
      <c r="Q282" s="531">
        <f>IF($A282="","",$G282/VLOOKUP($I282,Ref!$B$23:$D$29,2,0))</f>
        <v>6</v>
      </c>
      <c r="R282" s="530">
        <f t="shared" si="127"/>
        <v>1040000</v>
      </c>
      <c r="S282" s="532">
        <f t="shared" si="121"/>
        <v>173333.33333333334</v>
      </c>
      <c r="T282" s="531">
        <f t="shared" si="128"/>
        <v>174000</v>
      </c>
      <c r="U282" s="533">
        <f t="shared" si="129"/>
        <v>1044000</v>
      </c>
      <c r="V282" s="531">
        <f t="shared" si="130"/>
        <v>133333.33333333334</v>
      </c>
      <c r="W282" s="531">
        <f t="shared" si="131"/>
        <v>40666.666666666657</v>
      </c>
      <c r="X282" s="534">
        <f t="shared" si="132"/>
        <v>243999.99999999994</v>
      </c>
      <c r="Y282" s="535">
        <f>IF($A282="","",IF($I282="weekly",$A282+7,EDATE($A282,VLOOKUP($I282,Ref!$B$24:$C$29,2,0))))</f>
        <v>44519</v>
      </c>
      <c r="Z282" s="536" t="str">
        <f t="shared" si="133"/>
        <v>Frid</v>
      </c>
      <c r="AA282" s="531">
        <f t="shared" si="134"/>
        <v>31</v>
      </c>
      <c r="AB282" s="535">
        <f t="shared" si="122"/>
        <v>44670</v>
      </c>
      <c r="AC282" s="537">
        <f t="shared" si="123"/>
        <v>182</v>
      </c>
      <c r="AD282" s="538" t="str">
        <f t="shared" ca="1" si="124"/>
        <v>Expired</v>
      </c>
      <c r="AE282" s="537">
        <f t="shared" ca="1" si="125"/>
        <v>0</v>
      </c>
      <c r="AF282" s="539">
        <f t="shared" ca="1" si="135"/>
        <v>6</v>
      </c>
      <c r="AG282" s="531">
        <f t="shared" ca="1" si="136"/>
        <v>1044000</v>
      </c>
      <c r="AH282" s="531">
        <f t="shared" ca="1" si="137"/>
        <v>243999.99999999994</v>
      </c>
      <c r="AI282" s="531">
        <f t="shared" ca="1" si="138"/>
        <v>800000</v>
      </c>
      <c r="AJ282" s="531">
        <f t="shared" ca="1" si="139"/>
        <v>0</v>
      </c>
      <c r="AK282" s="540">
        <f>SUMIFS('Live Collections'!$S:$S,'Live Collections'!$D:$D,Disbursements!B282,'Live Collections'!$G:$G,Disbursements!C282)</f>
        <v>243999.99999999994</v>
      </c>
      <c r="AL282" s="540">
        <f>SUMIFS('Live Collections'!$T:$T,'Live Collections'!$D:$D,Disbursements!B282,'Live Collections'!$G:$G,Disbursements!C282)</f>
        <v>800000</v>
      </c>
      <c r="AM282" s="541">
        <f t="shared" si="140"/>
        <v>1044000</v>
      </c>
      <c r="AN282" s="542">
        <f t="shared" si="141"/>
        <v>0</v>
      </c>
      <c r="AO282" s="542">
        <f t="shared" si="142"/>
        <v>0</v>
      </c>
      <c r="AP282" s="543">
        <f t="shared" si="143"/>
        <v>0</v>
      </c>
      <c r="AQ282" s="544" t="str">
        <f t="shared" ca="1" si="144"/>
        <v/>
      </c>
      <c r="AR282" s="545">
        <f t="shared" ca="1" si="145"/>
        <v>0</v>
      </c>
      <c r="AS282" s="545">
        <f ca="1">IFERROR(CEILING($AR282*VLOOKUP($I282,Ref!$B$23:$E$29,4,0),1),0)</f>
        <v>0</v>
      </c>
      <c r="AT282" s="545" t="str">
        <f>IF(A282="","",IF(AP282&lt;=1,"Cleared",IF(AS282=0,"Clean",VLOOKUP($AS282,Ref!$G$23:$H$28,2))))</f>
        <v>Cleared</v>
      </c>
      <c r="AU282" s="546" t="str">
        <f t="shared" si="146"/>
        <v>Ok</v>
      </c>
    </row>
    <row r="283" spans="1:47" ht="14.25" customHeight="1" x14ac:dyDescent="0.15">
      <c r="A283" s="575">
        <v>44488</v>
      </c>
      <c r="B283" s="523">
        <v>241</v>
      </c>
      <c r="C283" s="523">
        <v>282</v>
      </c>
      <c r="D283" s="523">
        <v>1</v>
      </c>
      <c r="E283" s="579" t="s">
        <v>1274</v>
      </c>
      <c r="F283" s="580">
        <v>500000</v>
      </c>
      <c r="G283" s="524">
        <v>5</v>
      </c>
      <c r="H283" s="555">
        <v>0.05</v>
      </c>
      <c r="I283" s="560" t="s">
        <v>859</v>
      </c>
      <c r="J283" s="523" t="s">
        <v>862</v>
      </c>
      <c r="K283" s="528" t="str">
        <f>IFERROR(VLOOKUP($B283,'Clients-Live'!$A:$C,3,0),"")</f>
        <v>SIRIKA FARIDA</v>
      </c>
      <c r="L283" s="528">
        <f>IF(E283="STL",Pricing!$D$38,IF(A283="",0,IF(A283&lt;Pricing!$C$25,Pricing!$D$25,VLOOKUP(Disbursements!$F283,Pricing!$B$29:$D$32,3))))</f>
        <v>15000</v>
      </c>
      <c r="M283" s="528">
        <f>IF(E283="STL",0,IF(F283&gt;0,Pricing!$D$21,0))</f>
        <v>5000</v>
      </c>
      <c r="N283" s="529">
        <f>IF(E283="STL",F283*Pricing!$D$40,IF(A283&lt;=Pricing!$C$4,0,IF(AND(A283&gt;Pricing!$C$4,Disbursements!A283&lt;=Pricing!$C$5),F283*Pricing!$E$5,IF(AND(A283&gt;Pricing!$C$5,Disbursements!A283&lt;=Pricing!$C$7),VLOOKUP(F283,Pricing!$D$7:$E$8,2)*Disbursements!F283,F283*Pricing!$E$9))))</f>
        <v>5000</v>
      </c>
      <c r="O283" s="528">
        <f>IF(E283="STL",0,IF($F283&gt;0,$F283*Pricing!$D$17,0))</f>
        <v>50000</v>
      </c>
      <c r="P283" s="530">
        <f t="shared" si="126"/>
        <v>125000</v>
      </c>
      <c r="Q283" s="531">
        <f>IF($A283="","",$G283/VLOOKUP($I283,Ref!$B$23:$D$29,2,0))</f>
        <v>5</v>
      </c>
      <c r="R283" s="530">
        <f t="shared" si="127"/>
        <v>625000</v>
      </c>
      <c r="S283" s="532">
        <f t="shared" si="121"/>
        <v>125000</v>
      </c>
      <c r="T283" s="531">
        <f t="shared" si="128"/>
        <v>125000</v>
      </c>
      <c r="U283" s="533">
        <f t="shared" si="129"/>
        <v>625000</v>
      </c>
      <c r="V283" s="531">
        <f t="shared" si="130"/>
        <v>100000</v>
      </c>
      <c r="W283" s="531">
        <f t="shared" si="131"/>
        <v>25000</v>
      </c>
      <c r="X283" s="534">
        <f t="shared" si="132"/>
        <v>125000</v>
      </c>
      <c r="Y283" s="535">
        <f>IF($A283="","",IF($I283="weekly",$A283+7,EDATE($A283,VLOOKUP($I283,Ref!$B$24:$C$29,2,0))))</f>
        <v>44519</v>
      </c>
      <c r="Z283" s="536" t="str">
        <f t="shared" si="133"/>
        <v>Frid</v>
      </c>
      <c r="AA283" s="531">
        <f t="shared" si="134"/>
        <v>31</v>
      </c>
      <c r="AB283" s="535">
        <f t="shared" si="122"/>
        <v>44639</v>
      </c>
      <c r="AC283" s="537">
        <f t="shared" si="123"/>
        <v>151</v>
      </c>
      <c r="AD283" s="538" t="str">
        <f t="shared" ca="1" si="124"/>
        <v>Expired</v>
      </c>
      <c r="AE283" s="537">
        <f t="shared" ca="1" si="125"/>
        <v>0</v>
      </c>
      <c r="AF283" s="539">
        <f t="shared" ca="1" si="135"/>
        <v>5</v>
      </c>
      <c r="AG283" s="531">
        <f t="shared" ca="1" si="136"/>
        <v>625000</v>
      </c>
      <c r="AH283" s="531">
        <f t="shared" ca="1" si="137"/>
        <v>125000</v>
      </c>
      <c r="AI283" s="531">
        <f t="shared" ca="1" si="138"/>
        <v>500000</v>
      </c>
      <c r="AJ283" s="531">
        <f t="shared" ca="1" si="139"/>
        <v>0</v>
      </c>
      <c r="AK283" s="540">
        <f>SUMIFS('Live Collections'!$S:$S,'Live Collections'!$D:$D,Disbursements!B283,'Live Collections'!$G:$G,Disbursements!C283)</f>
        <v>125000</v>
      </c>
      <c r="AL283" s="540">
        <f>SUMIFS('Live Collections'!$T:$T,'Live Collections'!$D:$D,Disbursements!B283,'Live Collections'!$G:$G,Disbursements!C283)</f>
        <v>393000</v>
      </c>
      <c r="AM283" s="541">
        <f t="shared" si="140"/>
        <v>518000</v>
      </c>
      <c r="AN283" s="542">
        <f t="shared" si="141"/>
        <v>0</v>
      </c>
      <c r="AO283" s="542">
        <f t="shared" si="142"/>
        <v>107000</v>
      </c>
      <c r="AP283" s="543">
        <f t="shared" si="143"/>
        <v>107000</v>
      </c>
      <c r="AQ283" s="544">
        <f t="shared" ca="1" si="144"/>
        <v>107000</v>
      </c>
      <c r="AR283" s="545">
        <f t="shared" ca="1" si="145"/>
        <v>0.85599999999999998</v>
      </c>
      <c r="AS283" s="545">
        <f ca="1">IFERROR(CEILING($AR283*VLOOKUP($I283,Ref!$B$23:$E$29,4,0),1),0)</f>
        <v>26</v>
      </c>
      <c r="AT283" s="545" t="str">
        <f ca="1">IF(A283="","",IF(AP283&lt;=1,"Cleared",IF(AS283=0,"Clean",VLOOKUP($AS283,Ref!$G$23:$H$28,2))))</f>
        <v>1.(0-30) Days</v>
      </c>
      <c r="AU283" s="546" t="str">
        <f t="shared" si="146"/>
        <v>Ok</v>
      </c>
    </row>
    <row r="284" spans="1:47" ht="14.25" customHeight="1" x14ac:dyDescent="0.15">
      <c r="A284" s="575">
        <v>44488</v>
      </c>
      <c r="B284" s="523">
        <v>242</v>
      </c>
      <c r="C284" s="523">
        <v>277</v>
      </c>
      <c r="D284" s="523">
        <v>1</v>
      </c>
      <c r="E284" s="579" t="s">
        <v>1274</v>
      </c>
      <c r="F284" s="580">
        <v>1000000</v>
      </c>
      <c r="G284" s="524">
        <v>6</v>
      </c>
      <c r="H284" s="555">
        <v>0.05</v>
      </c>
      <c r="I284" s="560" t="s">
        <v>859</v>
      </c>
      <c r="J284" s="523" t="s">
        <v>862</v>
      </c>
      <c r="K284" s="528" t="str">
        <f>IFERROR(VLOOKUP($B284,'Clients-Live'!$A:$C,3,0),"")</f>
        <v>BAKOKO FLAVIA</v>
      </c>
      <c r="L284" s="528">
        <f>IF(E284="STL",Pricing!$D$38,IF(A284="",0,IF(A284&lt;Pricing!$C$25,Pricing!$D$25,VLOOKUP(Disbursements!$F284,Pricing!$B$29:$D$32,3))))</f>
        <v>20000</v>
      </c>
      <c r="M284" s="528">
        <f>IF(E284="STL",0,IF(F284&gt;0,Pricing!$D$21,0))</f>
        <v>5000</v>
      </c>
      <c r="N284" s="529">
        <f>IF(E284="STL",F284*Pricing!$D$40,IF(A284&lt;=Pricing!$C$4,0,IF(AND(A284&gt;Pricing!$C$4,Disbursements!A284&lt;=Pricing!$C$5),F284*Pricing!$E$5,IF(AND(A284&gt;Pricing!$C$5,Disbursements!A284&lt;=Pricing!$C$7),VLOOKUP(F284,Pricing!$D$7:$E$8,2)*Disbursements!F284,F284*Pricing!$E$9))))</f>
        <v>10000</v>
      </c>
      <c r="O284" s="528">
        <f>IF(E284="STL",0,IF($F284&gt;0,$F284*Pricing!$D$17,0))</f>
        <v>100000</v>
      </c>
      <c r="P284" s="530">
        <f t="shared" si="126"/>
        <v>300000</v>
      </c>
      <c r="Q284" s="531">
        <f>IF($A284="","",$G284/VLOOKUP($I284,Ref!$B$23:$D$29,2,0))</f>
        <v>6</v>
      </c>
      <c r="R284" s="530">
        <f t="shared" si="127"/>
        <v>1300000</v>
      </c>
      <c r="S284" s="532">
        <f t="shared" si="121"/>
        <v>216666.66666666666</v>
      </c>
      <c r="T284" s="531">
        <f t="shared" si="128"/>
        <v>217000</v>
      </c>
      <c r="U284" s="533">
        <f t="shared" si="129"/>
        <v>1302000</v>
      </c>
      <c r="V284" s="531">
        <f t="shared" si="130"/>
        <v>166666.66666666666</v>
      </c>
      <c r="W284" s="531">
        <f t="shared" si="131"/>
        <v>50333.333333333343</v>
      </c>
      <c r="X284" s="534">
        <f t="shared" si="132"/>
        <v>302000.00000000006</v>
      </c>
      <c r="Y284" s="535">
        <f>IF($A284="","",IF($I284="weekly",$A284+7,EDATE($A284,VLOOKUP($I284,Ref!$B$24:$C$29,2,0))))</f>
        <v>44519</v>
      </c>
      <c r="Z284" s="536" t="str">
        <f t="shared" si="133"/>
        <v>Frid</v>
      </c>
      <c r="AA284" s="531">
        <f t="shared" si="134"/>
        <v>31</v>
      </c>
      <c r="AB284" s="535">
        <f t="shared" si="122"/>
        <v>44670</v>
      </c>
      <c r="AC284" s="537">
        <f t="shared" si="123"/>
        <v>182</v>
      </c>
      <c r="AD284" s="538" t="str">
        <f t="shared" ca="1" si="124"/>
        <v>Expired</v>
      </c>
      <c r="AE284" s="537">
        <f t="shared" ca="1" si="125"/>
        <v>0</v>
      </c>
      <c r="AF284" s="539">
        <f t="shared" ca="1" si="135"/>
        <v>6</v>
      </c>
      <c r="AG284" s="531">
        <f t="shared" ca="1" si="136"/>
        <v>1302000</v>
      </c>
      <c r="AH284" s="531">
        <f t="shared" ca="1" si="137"/>
        <v>302000.00000000006</v>
      </c>
      <c r="AI284" s="531">
        <f t="shared" ca="1" si="138"/>
        <v>1000000</v>
      </c>
      <c r="AJ284" s="531">
        <f t="shared" ca="1" si="139"/>
        <v>0</v>
      </c>
      <c r="AK284" s="540">
        <f>SUMIFS('Live Collections'!$S:$S,'Live Collections'!$D:$D,Disbursements!B284,'Live Collections'!$G:$G,Disbursements!C284)</f>
        <v>302000.00000000012</v>
      </c>
      <c r="AL284" s="540">
        <f>SUMIFS('Live Collections'!$T:$T,'Live Collections'!$D:$D,Disbursements!B284,'Live Collections'!$G:$G,Disbursements!C284)</f>
        <v>998299.99999999988</v>
      </c>
      <c r="AM284" s="541">
        <f t="shared" si="140"/>
        <v>1300300</v>
      </c>
      <c r="AN284" s="542">
        <f t="shared" si="141"/>
        <v>-5.8207660913467407E-11</v>
      </c>
      <c r="AO284" s="542">
        <f t="shared" si="142"/>
        <v>1700.0000000001164</v>
      </c>
      <c r="AP284" s="543">
        <f>IF(F284="","",SUM(AN284:AO284))</f>
        <v>1700.0000000000582</v>
      </c>
      <c r="AQ284" s="544">
        <f t="shared" ca="1" si="144"/>
        <v>1700.0000000000582</v>
      </c>
      <c r="AR284" s="545">
        <f t="shared" ca="1" si="145"/>
        <v>7.8341013824887468E-3</v>
      </c>
      <c r="AS284" s="545">
        <f ca="1">IFERROR(CEILING($AR284*VLOOKUP($I284,Ref!$B$23:$E$29,4,0),1),0)</f>
        <v>1</v>
      </c>
      <c r="AT284" s="545" t="str">
        <f ca="1">IF(A284="","",IF(AP284&lt;=1,"Cleared",IF(AS284=0,"Clean",VLOOKUP($AS284,Ref!$G$23:$H$28,2))))</f>
        <v>1.(0-30) Days</v>
      </c>
      <c r="AU284" s="546" t="str">
        <f t="shared" si="146"/>
        <v>Error on Entry</v>
      </c>
    </row>
    <row r="285" spans="1:47" ht="14.25" customHeight="1" x14ac:dyDescent="0.15">
      <c r="A285" s="575">
        <v>44488</v>
      </c>
      <c r="B285" s="523">
        <v>250</v>
      </c>
      <c r="C285" s="523">
        <v>281</v>
      </c>
      <c r="D285" s="523">
        <v>1</v>
      </c>
      <c r="E285" s="579" t="s">
        <v>1274</v>
      </c>
      <c r="F285" s="580">
        <v>300000</v>
      </c>
      <c r="G285" s="524">
        <v>3</v>
      </c>
      <c r="H285" s="555">
        <v>0.05</v>
      </c>
      <c r="I285" s="560" t="s">
        <v>859</v>
      </c>
      <c r="J285" s="523" t="s">
        <v>864</v>
      </c>
      <c r="K285" s="528" t="str">
        <f>IFERROR(VLOOKUP($B285,'Clients-Live'!$A:$C,3,0),"")</f>
        <v>SAKAYA AMINA</v>
      </c>
      <c r="L285" s="528">
        <f>IF(E285="STL",Pricing!$D$38,IF(A285="",0,IF(A285&lt;Pricing!$C$25,Pricing!$D$25,VLOOKUP(Disbursements!$F285,Pricing!$B$29:$D$32,3))))</f>
        <v>15000</v>
      </c>
      <c r="M285" s="528">
        <f>IF(E285="STL",0,IF(F285&gt;0,Pricing!$D$21,0))</f>
        <v>5000</v>
      </c>
      <c r="N285" s="529">
        <f>IF(E285="STL",F285*Pricing!$D$40,IF(A285&lt;=Pricing!$C$4,0,IF(AND(A285&gt;Pricing!$C$4,Disbursements!A285&lt;=Pricing!$C$5),F285*Pricing!$E$5,IF(AND(A285&gt;Pricing!$C$5,Disbursements!A285&lt;=Pricing!$C$7),VLOOKUP(F285,Pricing!$D$7:$E$8,2)*Disbursements!F285,F285*Pricing!$E$9))))</f>
        <v>3000</v>
      </c>
      <c r="O285" s="528">
        <f>IF(E285="STL",0,IF($F285&gt;0,$F285*Pricing!$D$17,0))</f>
        <v>30000</v>
      </c>
      <c r="P285" s="530">
        <f t="shared" si="126"/>
        <v>45000</v>
      </c>
      <c r="Q285" s="531">
        <f>IF($A285="","",$G285/VLOOKUP($I285,Ref!$B$23:$D$29,2,0))</f>
        <v>3</v>
      </c>
      <c r="R285" s="530">
        <f t="shared" si="127"/>
        <v>345000</v>
      </c>
      <c r="S285" s="532">
        <f t="shared" si="121"/>
        <v>115000</v>
      </c>
      <c r="T285" s="531">
        <f t="shared" si="128"/>
        <v>115000</v>
      </c>
      <c r="U285" s="533">
        <f t="shared" si="129"/>
        <v>345000</v>
      </c>
      <c r="V285" s="531">
        <f t="shared" si="130"/>
        <v>100000</v>
      </c>
      <c r="W285" s="531">
        <f t="shared" si="131"/>
        <v>15000</v>
      </c>
      <c r="X285" s="534">
        <f t="shared" si="132"/>
        <v>45000</v>
      </c>
      <c r="Y285" s="535">
        <f>IF($A285="","",IF($I285="weekly",$A285+7,EDATE($A285,VLOOKUP($I285,Ref!$B$24:$C$29,2,0))))</f>
        <v>44519</v>
      </c>
      <c r="Z285" s="536" t="str">
        <f t="shared" si="133"/>
        <v>Frid</v>
      </c>
      <c r="AA285" s="531">
        <f t="shared" si="134"/>
        <v>31</v>
      </c>
      <c r="AB285" s="535">
        <f t="shared" si="122"/>
        <v>44580</v>
      </c>
      <c r="AC285" s="537">
        <f t="shared" si="123"/>
        <v>92</v>
      </c>
      <c r="AD285" s="538" t="str">
        <f t="shared" ca="1" si="124"/>
        <v>Expired</v>
      </c>
      <c r="AE285" s="537">
        <f t="shared" ca="1" si="125"/>
        <v>0</v>
      </c>
      <c r="AF285" s="539">
        <f t="shared" ca="1" si="135"/>
        <v>3</v>
      </c>
      <c r="AG285" s="531">
        <f t="shared" ca="1" si="136"/>
        <v>345000</v>
      </c>
      <c r="AH285" s="531">
        <f t="shared" ca="1" si="137"/>
        <v>45000</v>
      </c>
      <c r="AI285" s="531">
        <f t="shared" ca="1" si="138"/>
        <v>300000</v>
      </c>
      <c r="AJ285" s="531">
        <f t="shared" ca="1" si="139"/>
        <v>0</v>
      </c>
      <c r="AK285" s="540">
        <f>SUMIFS('Live Collections'!$S:$S,'Live Collections'!$D:$D,Disbursements!B285,'Live Collections'!$G:$G,Disbursements!C285)</f>
        <v>45000</v>
      </c>
      <c r="AL285" s="540">
        <f>SUMIFS('Live Collections'!$T:$T,'Live Collections'!$D:$D,Disbursements!B285,'Live Collections'!$G:$G,Disbursements!C285)</f>
        <v>300000</v>
      </c>
      <c r="AM285" s="541">
        <f t="shared" si="140"/>
        <v>345000</v>
      </c>
      <c r="AN285" s="542">
        <f t="shared" si="141"/>
        <v>0</v>
      </c>
      <c r="AO285" s="542">
        <f t="shared" si="142"/>
        <v>0</v>
      </c>
      <c r="AP285" s="543">
        <f t="shared" si="143"/>
        <v>0</v>
      </c>
      <c r="AQ285" s="544" t="str">
        <f t="shared" ca="1" si="144"/>
        <v/>
      </c>
      <c r="AR285" s="545">
        <f t="shared" ca="1" si="145"/>
        <v>0</v>
      </c>
      <c r="AS285" s="545">
        <f ca="1">IFERROR(CEILING($AR285*VLOOKUP($I285,Ref!$B$23:$E$29,4,0),1),0)</f>
        <v>0</v>
      </c>
      <c r="AT285" s="545" t="str">
        <f>IF(A285="","",IF(AP285&lt;=1,"Cleared",IF(AS285=0,"Clean",VLOOKUP($AS285,Ref!$G$23:$H$28,2))))</f>
        <v>Cleared</v>
      </c>
      <c r="AU285" s="546" t="str">
        <f t="shared" si="146"/>
        <v>Ok</v>
      </c>
    </row>
    <row r="286" spans="1:47" ht="14.25" customHeight="1" x14ac:dyDescent="0.15">
      <c r="A286" s="575">
        <v>44488</v>
      </c>
      <c r="B286" s="523">
        <v>255</v>
      </c>
      <c r="C286" s="523">
        <v>280</v>
      </c>
      <c r="D286" s="523">
        <v>1</v>
      </c>
      <c r="E286" s="579" t="s">
        <v>1274</v>
      </c>
      <c r="F286" s="580">
        <v>1000000</v>
      </c>
      <c r="G286" s="524">
        <v>6</v>
      </c>
      <c r="H286" s="555">
        <v>0.05</v>
      </c>
      <c r="I286" s="560" t="s">
        <v>859</v>
      </c>
      <c r="J286" s="523" t="s">
        <v>862</v>
      </c>
      <c r="K286" s="528" t="str">
        <f>IFERROR(VLOOKUP($B286,'Clients-Live'!$A:$C,3,0),"")</f>
        <v>YOBUTA JOHN</v>
      </c>
      <c r="L286" s="528">
        <f>IF(E286="STL",Pricing!$D$38,IF(A286="",0,IF(A286&lt;Pricing!$C$25,Pricing!$D$25,VLOOKUP(Disbursements!$F286,Pricing!$B$29:$D$32,3))))</f>
        <v>20000</v>
      </c>
      <c r="M286" s="528">
        <f>IF(E286="STL",0,IF(F286&gt;0,Pricing!$D$21,0))</f>
        <v>5000</v>
      </c>
      <c r="N286" s="529">
        <f>IF(E286="STL",F286*Pricing!$D$40,IF(A286&lt;=Pricing!$C$4,0,IF(AND(A286&gt;Pricing!$C$4,Disbursements!A286&lt;=Pricing!$C$5),F286*Pricing!$E$5,IF(AND(A286&gt;Pricing!$C$5,Disbursements!A286&lt;=Pricing!$C$7),VLOOKUP(F286,Pricing!$D$7:$E$8,2)*Disbursements!F286,F286*Pricing!$E$9))))</f>
        <v>10000</v>
      </c>
      <c r="O286" s="528">
        <f>IF(E286="STL",0,IF($F286&gt;0,$F286*Pricing!$D$17,0))</f>
        <v>100000</v>
      </c>
      <c r="P286" s="530">
        <f t="shared" si="126"/>
        <v>300000</v>
      </c>
      <c r="Q286" s="531">
        <f>IF($A286="","",$G286/VLOOKUP($I286,Ref!$B$23:$D$29,2,0))</f>
        <v>6</v>
      </c>
      <c r="R286" s="530">
        <f t="shared" si="127"/>
        <v>1300000</v>
      </c>
      <c r="S286" s="532">
        <f t="shared" si="121"/>
        <v>216666.66666666666</v>
      </c>
      <c r="T286" s="531">
        <f t="shared" si="128"/>
        <v>217000</v>
      </c>
      <c r="U286" s="533">
        <f t="shared" si="129"/>
        <v>1302000</v>
      </c>
      <c r="V286" s="531">
        <f t="shared" si="130"/>
        <v>166666.66666666666</v>
      </c>
      <c r="W286" s="531">
        <f t="shared" si="131"/>
        <v>50333.333333333343</v>
      </c>
      <c r="X286" s="534">
        <f t="shared" si="132"/>
        <v>302000.00000000006</v>
      </c>
      <c r="Y286" s="535">
        <f>IF($A286="","",IF($I286="weekly",$A286+7,EDATE($A286,VLOOKUP($I286,Ref!$B$24:$C$29,2,0))))</f>
        <v>44519</v>
      </c>
      <c r="Z286" s="536" t="str">
        <f t="shared" si="133"/>
        <v>Frid</v>
      </c>
      <c r="AA286" s="531">
        <f t="shared" si="134"/>
        <v>31</v>
      </c>
      <c r="AB286" s="535">
        <f t="shared" si="122"/>
        <v>44670</v>
      </c>
      <c r="AC286" s="537">
        <f t="shared" si="123"/>
        <v>182</v>
      </c>
      <c r="AD286" s="538" t="str">
        <f t="shared" ca="1" si="124"/>
        <v>Expired</v>
      </c>
      <c r="AE286" s="537">
        <f t="shared" ca="1" si="125"/>
        <v>0</v>
      </c>
      <c r="AF286" s="539">
        <f t="shared" ca="1" si="135"/>
        <v>6</v>
      </c>
      <c r="AG286" s="531">
        <f t="shared" ca="1" si="136"/>
        <v>1302000</v>
      </c>
      <c r="AH286" s="531">
        <f t="shared" ca="1" si="137"/>
        <v>302000.00000000006</v>
      </c>
      <c r="AI286" s="531">
        <f t="shared" ca="1" si="138"/>
        <v>1000000</v>
      </c>
      <c r="AJ286" s="531">
        <f t="shared" ca="1" si="139"/>
        <v>0</v>
      </c>
      <c r="AK286" s="540">
        <f>SUMIFS('Live Collections'!$S:$S,'Live Collections'!$D:$D,Disbursements!B286,'Live Collections'!$G:$G,Disbursements!C286)</f>
        <v>302000.00000000006</v>
      </c>
      <c r="AL286" s="540">
        <f>SUMIFS('Live Collections'!$T:$T,'Live Collections'!$D:$D,Disbursements!B286,'Live Collections'!$G:$G,Disbursements!C286)</f>
        <v>854999.99999999988</v>
      </c>
      <c r="AM286" s="541">
        <f t="shared" si="140"/>
        <v>1157000</v>
      </c>
      <c r="AN286" s="542">
        <f t="shared" si="141"/>
        <v>0</v>
      </c>
      <c r="AO286" s="542">
        <f t="shared" si="142"/>
        <v>145000.00000000012</v>
      </c>
      <c r="AP286" s="543">
        <f t="shared" si="143"/>
        <v>145000.00000000012</v>
      </c>
      <c r="AQ286" s="544">
        <f t="shared" ca="1" si="144"/>
        <v>145000.00000000012</v>
      </c>
      <c r="AR286" s="545">
        <f t="shared" ca="1" si="145"/>
        <v>0.66820276497695907</v>
      </c>
      <c r="AS286" s="545">
        <f ca="1">IFERROR(CEILING($AR286*VLOOKUP($I286,Ref!$B$23:$E$29,4,0),1),0)</f>
        <v>21</v>
      </c>
      <c r="AT286" s="545" t="str">
        <f ca="1">IF(A286="","",IF(AP286&lt;=1,"Cleared",IF(AS286=0,"Clean",VLOOKUP($AS286,Ref!$G$23:$H$28,2))))</f>
        <v>1.(0-30) Days</v>
      </c>
      <c r="AU286" s="546" t="str">
        <f t="shared" si="146"/>
        <v>Ok</v>
      </c>
    </row>
    <row r="287" spans="1:47" ht="14.25" customHeight="1" x14ac:dyDescent="0.15">
      <c r="A287" s="575">
        <v>44488</v>
      </c>
      <c r="B287" s="523">
        <v>254</v>
      </c>
      <c r="C287" s="523">
        <v>279</v>
      </c>
      <c r="D287" s="523">
        <v>1</v>
      </c>
      <c r="E287" s="579" t="s">
        <v>1274</v>
      </c>
      <c r="F287" s="580">
        <v>400000</v>
      </c>
      <c r="G287" s="524">
        <v>4</v>
      </c>
      <c r="H287" s="555">
        <v>0.05</v>
      </c>
      <c r="I287" s="560" t="s">
        <v>859</v>
      </c>
      <c r="J287" s="523" t="s">
        <v>864</v>
      </c>
      <c r="K287" s="528" t="str">
        <f>IFERROR(VLOOKUP($B287,'Clients-Live'!$A:$C,3,0),"")</f>
        <v>ANITE AGNES</v>
      </c>
      <c r="L287" s="528">
        <f>IF(E287="STL",Pricing!$D$38,IF(A287="",0,IF(A287&lt;Pricing!$C$25,Pricing!$D$25,VLOOKUP(Disbursements!$F287,Pricing!$B$29:$D$32,3))))</f>
        <v>15000</v>
      </c>
      <c r="M287" s="528">
        <f>IF(E287="STL",0,IF(F287&gt;0,Pricing!$D$21,0))</f>
        <v>5000</v>
      </c>
      <c r="N287" s="529">
        <f>IF(E287="STL",F287*Pricing!$D$40,IF(A287&lt;=Pricing!$C$4,0,IF(AND(A287&gt;Pricing!$C$4,Disbursements!A287&lt;=Pricing!$C$5),F287*Pricing!$E$5,IF(AND(A287&gt;Pricing!$C$5,Disbursements!A287&lt;=Pricing!$C$7),VLOOKUP(F287,Pricing!$D$7:$E$8,2)*Disbursements!F287,F287*Pricing!$E$9))))</f>
        <v>4000</v>
      </c>
      <c r="O287" s="528">
        <f>IF(E287="STL",0,IF($F287&gt;0,$F287*Pricing!$D$17,0))</f>
        <v>40000</v>
      </c>
      <c r="P287" s="530">
        <f t="shared" si="126"/>
        <v>80000</v>
      </c>
      <c r="Q287" s="531">
        <f>IF($A287="","",$G287/VLOOKUP($I287,Ref!$B$23:$D$29,2,0))</f>
        <v>4</v>
      </c>
      <c r="R287" s="530">
        <f t="shared" si="127"/>
        <v>480000</v>
      </c>
      <c r="S287" s="532">
        <f t="shared" si="121"/>
        <v>120000</v>
      </c>
      <c r="T287" s="531">
        <f t="shared" si="128"/>
        <v>120000</v>
      </c>
      <c r="U287" s="533">
        <f t="shared" si="129"/>
        <v>480000</v>
      </c>
      <c r="V287" s="531">
        <f t="shared" si="130"/>
        <v>100000</v>
      </c>
      <c r="W287" s="531">
        <f t="shared" si="131"/>
        <v>20000</v>
      </c>
      <c r="X287" s="534">
        <f t="shared" si="132"/>
        <v>80000</v>
      </c>
      <c r="Y287" s="535">
        <f>IF($A287="","",IF($I287="weekly",$A287+7,EDATE($A287,VLOOKUP($I287,Ref!$B$24:$C$29,2,0))))</f>
        <v>44519</v>
      </c>
      <c r="Z287" s="536" t="str">
        <f t="shared" si="133"/>
        <v>Frid</v>
      </c>
      <c r="AA287" s="531">
        <f t="shared" si="134"/>
        <v>31</v>
      </c>
      <c r="AB287" s="535">
        <f t="shared" si="122"/>
        <v>44611</v>
      </c>
      <c r="AC287" s="537">
        <f t="shared" si="123"/>
        <v>123</v>
      </c>
      <c r="AD287" s="538" t="str">
        <f t="shared" ca="1" si="124"/>
        <v>Expired</v>
      </c>
      <c r="AE287" s="537">
        <f t="shared" ca="1" si="125"/>
        <v>0</v>
      </c>
      <c r="AF287" s="539">
        <f t="shared" ca="1" si="135"/>
        <v>4</v>
      </c>
      <c r="AG287" s="531">
        <f t="shared" ca="1" si="136"/>
        <v>480000</v>
      </c>
      <c r="AH287" s="531">
        <f t="shared" ca="1" si="137"/>
        <v>80000</v>
      </c>
      <c r="AI287" s="531">
        <f t="shared" ca="1" si="138"/>
        <v>400000</v>
      </c>
      <c r="AJ287" s="531">
        <f t="shared" ca="1" si="139"/>
        <v>0</v>
      </c>
      <c r="AK287" s="540">
        <f>SUMIFS('Live Collections'!$S:$S,'Live Collections'!$D:$D,Disbursements!B287,'Live Collections'!$G:$G,Disbursements!C287)</f>
        <v>80000</v>
      </c>
      <c r="AL287" s="540">
        <f>SUMIFS('Live Collections'!$T:$T,'Live Collections'!$D:$D,Disbursements!B287,'Live Collections'!$G:$G,Disbursements!C287)</f>
        <v>400000</v>
      </c>
      <c r="AM287" s="541">
        <f t="shared" si="140"/>
        <v>480000</v>
      </c>
      <c r="AN287" s="542">
        <f t="shared" si="141"/>
        <v>0</v>
      </c>
      <c r="AO287" s="542">
        <f t="shared" si="142"/>
        <v>0</v>
      </c>
      <c r="AP287" s="543">
        <f t="shared" si="143"/>
        <v>0</v>
      </c>
      <c r="AQ287" s="544" t="str">
        <f t="shared" ca="1" si="144"/>
        <v/>
      </c>
      <c r="AR287" s="545">
        <f t="shared" ca="1" si="145"/>
        <v>0</v>
      </c>
      <c r="AS287" s="545">
        <f ca="1">IFERROR(CEILING($AR287*VLOOKUP($I287,Ref!$B$23:$E$29,4,0),1),0)</f>
        <v>0</v>
      </c>
      <c r="AT287" s="545" t="str">
        <f>IF(A287="","",IF(AP287&lt;=1,"Cleared",IF(AS287=0,"Clean",VLOOKUP($AS287,Ref!$G$23:$H$28,2))))</f>
        <v>Cleared</v>
      </c>
      <c r="AU287" s="546" t="str">
        <f t="shared" si="146"/>
        <v>Ok</v>
      </c>
    </row>
    <row r="288" spans="1:47" ht="14.25" customHeight="1" x14ac:dyDescent="0.15">
      <c r="A288" s="575">
        <v>44490</v>
      </c>
      <c r="B288" s="523">
        <v>55</v>
      </c>
      <c r="C288" s="523">
        <v>288</v>
      </c>
      <c r="D288" s="523">
        <v>2</v>
      </c>
      <c r="E288" s="579" t="s">
        <v>1274</v>
      </c>
      <c r="F288" s="580">
        <v>700000</v>
      </c>
      <c r="G288" s="524">
        <v>4</v>
      </c>
      <c r="H288" s="555">
        <v>0.05</v>
      </c>
      <c r="I288" s="560" t="s">
        <v>859</v>
      </c>
      <c r="J288" s="523" t="s">
        <v>862</v>
      </c>
      <c r="K288" s="528" t="str">
        <f>IFERROR(VLOOKUP($B288,'Clients-Live'!$A:$C,3,0),"")</f>
        <v>SOKOLA SHARON</v>
      </c>
      <c r="L288" s="528">
        <f>IF(E288="STL",Pricing!$D$38,IF(A288="",0,IF(A288&lt;Pricing!$C$25,Pricing!$D$25,VLOOKUP(Disbursements!$F288,Pricing!$B$29:$D$32,3))))</f>
        <v>20000</v>
      </c>
      <c r="M288" s="528">
        <f>IF(E288="STL",0,IF(F288&gt;0,Pricing!$D$21,0))</f>
        <v>5000</v>
      </c>
      <c r="N288" s="529">
        <f>IF(E288="STL",F288*Pricing!$D$40,IF(A288&lt;=Pricing!$C$4,0,IF(AND(A288&gt;Pricing!$C$4,Disbursements!A288&lt;=Pricing!$C$5),F288*Pricing!$E$5,IF(AND(A288&gt;Pricing!$C$5,Disbursements!A288&lt;=Pricing!$C$7),VLOOKUP(F288,Pricing!$D$7:$E$8,2)*Disbursements!F288,F288*Pricing!$E$9))))</f>
        <v>7000</v>
      </c>
      <c r="O288" s="528">
        <f>IF(E288="STL",0,IF($F288&gt;0,$F288*Pricing!$D$17,0))</f>
        <v>70000</v>
      </c>
      <c r="P288" s="530">
        <f t="shared" si="126"/>
        <v>140000</v>
      </c>
      <c r="Q288" s="531">
        <f>IF($A288="","",$G288/VLOOKUP($I288,Ref!$B$23:$D$29,2,0))</f>
        <v>4</v>
      </c>
      <c r="R288" s="530">
        <f t="shared" si="127"/>
        <v>840000</v>
      </c>
      <c r="S288" s="532">
        <f t="shared" si="121"/>
        <v>210000</v>
      </c>
      <c r="T288" s="531">
        <f t="shared" si="128"/>
        <v>210000</v>
      </c>
      <c r="U288" s="533">
        <f t="shared" si="129"/>
        <v>840000</v>
      </c>
      <c r="V288" s="531">
        <f t="shared" si="130"/>
        <v>175000</v>
      </c>
      <c r="W288" s="531">
        <f t="shared" si="131"/>
        <v>35000</v>
      </c>
      <c r="X288" s="534">
        <f t="shared" si="132"/>
        <v>140000</v>
      </c>
      <c r="Y288" s="535">
        <f>IF($A288="","",IF($I288="weekly",$A288+7,EDATE($A288,VLOOKUP($I288,Ref!$B$24:$C$29,2,0))))</f>
        <v>44521</v>
      </c>
      <c r="Z288" s="536" t="str">
        <f t="shared" si="133"/>
        <v>Sun</v>
      </c>
      <c r="AA288" s="531">
        <f t="shared" si="134"/>
        <v>31</v>
      </c>
      <c r="AB288" s="535">
        <f t="shared" si="122"/>
        <v>44613</v>
      </c>
      <c r="AC288" s="537">
        <f t="shared" si="123"/>
        <v>123</v>
      </c>
      <c r="AD288" s="538" t="str">
        <f t="shared" ca="1" si="124"/>
        <v>Expired</v>
      </c>
      <c r="AE288" s="537">
        <f t="shared" ca="1" si="125"/>
        <v>0</v>
      </c>
      <c r="AF288" s="539">
        <f t="shared" ca="1" si="135"/>
        <v>4</v>
      </c>
      <c r="AG288" s="531">
        <f t="shared" ca="1" si="136"/>
        <v>840000</v>
      </c>
      <c r="AH288" s="531">
        <f t="shared" ca="1" si="137"/>
        <v>140000</v>
      </c>
      <c r="AI288" s="531">
        <f t="shared" ca="1" si="138"/>
        <v>700000</v>
      </c>
      <c r="AJ288" s="531">
        <f t="shared" ca="1" si="139"/>
        <v>0</v>
      </c>
      <c r="AK288" s="540">
        <f>SUMIFS('Live Collections'!$S:$S,'Live Collections'!$D:$D,Disbursements!B288,'Live Collections'!$G:$G,Disbursements!C288)</f>
        <v>140000</v>
      </c>
      <c r="AL288" s="540">
        <f>SUMIFS('Live Collections'!$T:$T,'Live Collections'!$D:$D,Disbursements!B288,'Live Collections'!$G:$G,Disbursements!C288)</f>
        <v>355000</v>
      </c>
      <c r="AM288" s="541">
        <f t="shared" si="140"/>
        <v>495000</v>
      </c>
      <c r="AN288" s="542">
        <f t="shared" si="141"/>
        <v>0</v>
      </c>
      <c r="AO288" s="542">
        <f t="shared" si="142"/>
        <v>345000</v>
      </c>
      <c r="AP288" s="543">
        <f t="shared" si="143"/>
        <v>345000</v>
      </c>
      <c r="AQ288" s="544">
        <f t="shared" ca="1" si="144"/>
        <v>345000</v>
      </c>
      <c r="AR288" s="545">
        <f t="shared" ca="1" si="145"/>
        <v>1.6428571428571428</v>
      </c>
      <c r="AS288" s="545">
        <f ca="1">IFERROR(CEILING($AR288*VLOOKUP($I288,Ref!$B$23:$E$29,4,0),1),0)</f>
        <v>50</v>
      </c>
      <c r="AT288" s="545" t="str">
        <f ca="1">IF(A288="","",IF(AP288&lt;=1,"Cleared",IF(AS288=0,"Clean",VLOOKUP($AS288,Ref!$G$23:$H$28,2))))</f>
        <v>2.(31-60) Days</v>
      </c>
      <c r="AU288" s="546" t="str">
        <f t="shared" si="146"/>
        <v>Ok</v>
      </c>
    </row>
    <row r="289" spans="1:47" ht="14.25" customHeight="1" x14ac:dyDescent="0.15">
      <c r="A289" s="575">
        <v>44490</v>
      </c>
      <c r="B289" s="523">
        <v>74</v>
      </c>
      <c r="C289" s="523">
        <v>287</v>
      </c>
      <c r="D289" s="523">
        <v>2</v>
      </c>
      <c r="E289" s="579" t="s">
        <v>1274</v>
      </c>
      <c r="F289" s="580">
        <v>300000</v>
      </c>
      <c r="G289" s="524">
        <v>4</v>
      </c>
      <c r="H289" s="555">
        <v>0.05</v>
      </c>
      <c r="I289" s="560" t="s">
        <v>859</v>
      </c>
      <c r="J289" s="523" t="s">
        <v>863</v>
      </c>
      <c r="K289" s="528" t="str">
        <f>IFERROR(VLOOKUP($B289,'Clients-Live'!$A:$C,3,0),"")</f>
        <v>YUKUWE AISHA</v>
      </c>
      <c r="L289" s="528">
        <f>IF(E289="STL",Pricing!$D$38,IF(A289="",0,IF(A289&lt;Pricing!$C$25,Pricing!$D$25,VLOOKUP(Disbursements!$F289,Pricing!$B$29:$D$32,3))))</f>
        <v>15000</v>
      </c>
      <c r="M289" s="528">
        <f>IF(E289="STL",0,IF(F289&gt;0,Pricing!$D$21,0))</f>
        <v>5000</v>
      </c>
      <c r="N289" s="529">
        <f>IF(E289="STL",F289*Pricing!$D$40,IF(A289&lt;=Pricing!$C$4,0,IF(AND(A289&gt;Pricing!$C$4,Disbursements!A289&lt;=Pricing!$C$5),F289*Pricing!$E$5,IF(AND(A289&gt;Pricing!$C$5,Disbursements!A289&lt;=Pricing!$C$7),VLOOKUP(F289,Pricing!$D$7:$E$8,2)*Disbursements!F289,F289*Pricing!$E$9))))</f>
        <v>3000</v>
      </c>
      <c r="O289" s="528">
        <f>IF(E289="STL",0,IF($F289&gt;0,$F289*Pricing!$D$17,0))</f>
        <v>30000</v>
      </c>
      <c r="P289" s="530">
        <f t="shared" si="126"/>
        <v>60000</v>
      </c>
      <c r="Q289" s="531">
        <f>IF($A289="","",$G289/VLOOKUP($I289,Ref!$B$23:$D$29,2,0))</f>
        <v>4</v>
      </c>
      <c r="R289" s="530">
        <f t="shared" si="127"/>
        <v>360000</v>
      </c>
      <c r="S289" s="532">
        <f t="shared" si="121"/>
        <v>90000</v>
      </c>
      <c r="T289" s="531">
        <f t="shared" si="128"/>
        <v>90000</v>
      </c>
      <c r="U289" s="533">
        <f t="shared" si="129"/>
        <v>360000</v>
      </c>
      <c r="V289" s="531">
        <f t="shared" si="130"/>
        <v>75000</v>
      </c>
      <c r="W289" s="531">
        <f t="shared" si="131"/>
        <v>15000</v>
      </c>
      <c r="X289" s="534">
        <f t="shared" si="132"/>
        <v>60000</v>
      </c>
      <c r="Y289" s="535">
        <f>IF($A289="","",IF($I289="weekly",$A289+7,EDATE($A289,VLOOKUP($I289,Ref!$B$24:$C$29,2,0))))</f>
        <v>44521</v>
      </c>
      <c r="Z289" s="536" t="str">
        <f t="shared" si="133"/>
        <v>Sun</v>
      </c>
      <c r="AA289" s="531">
        <f t="shared" si="134"/>
        <v>31</v>
      </c>
      <c r="AB289" s="535">
        <f t="shared" si="122"/>
        <v>44613</v>
      </c>
      <c r="AC289" s="537">
        <f t="shared" si="123"/>
        <v>123</v>
      </c>
      <c r="AD289" s="538" t="str">
        <f t="shared" ca="1" si="124"/>
        <v>Expired</v>
      </c>
      <c r="AE289" s="537">
        <f t="shared" ca="1" si="125"/>
        <v>0</v>
      </c>
      <c r="AF289" s="539">
        <f t="shared" ca="1" si="135"/>
        <v>4</v>
      </c>
      <c r="AG289" s="531">
        <f t="shared" ca="1" si="136"/>
        <v>360000</v>
      </c>
      <c r="AH289" s="531">
        <f t="shared" ca="1" si="137"/>
        <v>60000</v>
      </c>
      <c r="AI289" s="531">
        <f t="shared" ca="1" si="138"/>
        <v>300000</v>
      </c>
      <c r="AJ289" s="531">
        <f t="shared" ca="1" si="139"/>
        <v>0</v>
      </c>
      <c r="AK289" s="540">
        <f>SUMIFS('Live Collections'!$S:$S,'Live Collections'!$D:$D,Disbursements!B289,'Live Collections'!$G:$G,Disbursements!C289)</f>
        <v>60000</v>
      </c>
      <c r="AL289" s="540">
        <f>SUMIFS('Live Collections'!$T:$T,'Live Collections'!$D:$D,Disbursements!B289,'Live Collections'!$G:$G,Disbursements!C289)</f>
        <v>300000</v>
      </c>
      <c r="AM289" s="541">
        <f t="shared" si="140"/>
        <v>360000</v>
      </c>
      <c r="AN289" s="542">
        <f t="shared" si="141"/>
        <v>0</v>
      </c>
      <c r="AO289" s="542">
        <f t="shared" si="142"/>
        <v>0</v>
      </c>
      <c r="AP289" s="543">
        <f t="shared" si="143"/>
        <v>0</v>
      </c>
      <c r="AQ289" s="544" t="str">
        <f t="shared" ca="1" si="144"/>
        <v/>
      </c>
      <c r="AR289" s="545">
        <f t="shared" ca="1" si="145"/>
        <v>0</v>
      </c>
      <c r="AS289" s="545">
        <f ca="1">IFERROR(CEILING($AR289*VLOOKUP($I289,Ref!$B$23:$E$29,4,0),1),0)</f>
        <v>0</v>
      </c>
      <c r="AT289" s="545" t="str">
        <f>IF(A289="","",IF(AP289&lt;=1,"Cleared",IF(AS289=0,"Clean",VLOOKUP($AS289,Ref!$G$23:$H$28,2))))</f>
        <v>Cleared</v>
      </c>
      <c r="AU289" s="546" t="str">
        <f t="shared" si="146"/>
        <v>Ok</v>
      </c>
    </row>
    <row r="290" spans="1:47" ht="14.25" customHeight="1" x14ac:dyDescent="0.15">
      <c r="A290" s="575">
        <v>44490</v>
      </c>
      <c r="B290" s="523">
        <v>128</v>
      </c>
      <c r="C290" s="523">
        <v>289</v>
      </c>
      <c r="D290" s="523">
        <v>2</v>
      </c>
      <c r="E290" s="579" t="s">
        <v>1274</v>
      </c>
      <c r="F290" s="580">
        <v>400000</v>
      </c>
      <c r="G290" s="524">
        <v>4</v>
      </c>
      <c r="H290" s="555">
        <v>0.05</v>
      </c>
      <c r="I290" s="560" t="s">
        <v>859</v>
      </c>
      <c r="J290" s="523" t="s">
        <v>862</v>
      </c>
      <c r="K290" s="528" t="str">
        <f>IFERROR(VLOOKUP($B290,'Clients-Live'!$A:$C,3,0),"")</f>
        <v>AJONYE BETTY</v>
      </c>
      <c r="L290" s="528">
        <f>IF(E290="STL",Pricing!$D$38,IF(A290="",0,IF(A290&lt;Pricing!$C$25,Pricing!$D$25,VLOOKUP(Disbursements!$F290,Pricing!$B$29:$D$32,3))))</f>
        <v>15000</v>
      </c>
      <c r="M290" s="528">
        <f>IF(E290="STL",0,IF(F290&gt;0,Pricing!$D$21,0))</f>
        <v>5000</v>
      </c>
      <c r="N290" s="529">
        <f>IF(E290="STL",F290*Pricing!$D$40,IF(A290&lt;=Pricing!$C$4,0,IF(AND(A290&gt;Pricing!$C$4,Disbursements!A290&lt;=Pricing!$C$5),F290*Pricing!$E$5,IF(AND(A290&gt;Pricing!$C$5,Disbursements!A290&lt;=Pricing!$C$7),VLOOKUP(F290,Pricing!$D$7:$E$8,2)*Disbursements!F290,F290*Pricing!$E$9))))</f>
        <v>4000</v>
      </c>
      <c r="O290" s="528">
        <f>IF(E290="STL",0,IF($F290&gt;0,$F290*Pricing!$D$17,0))</f>
        <v>40000</v>
      </c>
      <c r="P290" s="530">
        <f t="shared" si="126"/>
        <v>80000</v>
      </c>
      <c r="Q290" s="531">
        <f>IF($A290="","",$G290/VLOOKUP($I290,Ref!$B$23:$D$29,2,0))</f>
        <v>4</v>
      </c>
      <c r="R290" s="530">
        <f t="shared" si="127"/>
        <v>480000</v>
      </c>
      <c r="S290" s="532">
        <f t="shared" si="121"/>
        <v>120000</v>
      </c>
      <c r="T290" s="531">
        <f t="shared" si="128"/>
        <v>120000</v>
      </c>
      <c r="U290" s="533">
        <f t="shared" si="129"/>
        <v>480000</v>
      </c>
      <c r="V290" s="531">
        <f t="shared" si="130"/>
        <v>100000</v>
      </c>
      <c r="W290" s="531">
        <f t="shared" si="131"/>
        <v>20000</v>
      </c>
      <c r="X290" s="534">
        <f t="shared" si="132"/>
        <v>80000</v>
      </c>
      <c r="Y290" s="535">
        <f>IF($A290="","",IF($I290="weekly",$A290+7,EDATE($A290,VLOOKUP($I290,Ref!$B$24:$C$29,2,0))))</f>
        <v>44521</v>
      </c>
      <c r="Z290" s="536" t="str">
        <f t="shared" si="133"/>
        <v>Sun</v>
      </c>
      <c r="AA290" s="531">
        <f t="shared" si="134"/>
        <v>31</v>
      </c>
      <c r="AB290" s="535">
        <f t="shared" si="122"/>
        <v>44613</v>
      </c>
      <c r="AC290" s="537">
        <f t="shared" si="123"/>
        <v>123</v>
      </c>
      <c r="AD290" s="538" t="str">
        <f t="shared" ca="1" si="124"/>
        <v>Expired</v>
      </c>
      <c r="AE290" s="537">
        <f t="shared" ca="1" si="125"/>
        <v>0</v>
      </c>
      <c r="AF290" s="539">
        <f t="shared" ca="1" si="135"/>
        <v>4</v>
      </c>
      <c r="AG290" s="531">
        <f t="shared" ca="1" si="136"/>
        <v>480000</v>
      </c>
      <c r="AH290" s="531">
        <f t="shared" ca="1" si="137"/>
        <v>80000</v>
      </c>
      <c r="AI290" s="531">
        <f t="shared" ca="1" si="138"/>
        <v>400000</v>
      </c>
      <c r="AJ290" s="531">
        <f t="shared" ca="1" si="139"/>
        <v>0</v>
      </c>
      <c r="AK290" s="540">
        <f>SUMIFS('Live Collections'!$S:$S,'Live Collections'!$D:$D,Disbursements!B290,'Live Collections'!$G:$G,Disbursements!C290)</f>
        <v>80000</v>
      </c>
      <c r="AL290" s="540">
        <f>SUMIFS('Live Collections'!$T:$T,'Live Collections'!$D:$D,Disbursements!B290,'Live Collections'!$G:$G,Disbursements!C290)</f>
        <v>400000</v>
      </c>
      <c r="AM290" s="541">
        <f t="shared" si="140"/>
        <v>480000</v>
      </c>
      <c r="AN290" s="542">
        <f t="shared" si="141"/>
        <v>0</v>
      </c>
      <c r="AO290" s="542">
        <f t="shared" si="142"/>
        <v>0</v>
      </c>
      <c r="AP290" s="543">
        <f t="shared" si="143"/>
        <v>0</v>
      </c>
      <c r="AQ290" s="544" t="str">
        <f t="shared" ca="1" si="144"/>
        <v/>
      </c>
      <c r="AR290" s="545">
        <f t="shared" ca="1" si="145"/>
        <v>0</v>
      </c>
      <c r="AS290" s="545">
        <f ca="1">IFERROR(CEILING($AR290*VLOOKUP($I290,Ref!$B$23:$E$29,4,0),1),0)</f>
        <v>0</v>
      </c>
      <c r="AT290" s="545" t="str">
        <f>IF(A290="","",IF(AP290&lt;=1,"Cleared",IF(AS290=0,"Clean",VLOOKUP($AS290,Ref!$G$23:$H$28,2))))</f>
        <v>Cleared</v>
      </c>
      <c r="AU290" s="546" t="str">
        <f t="shared" si="146"/>
        <v>Ok</v>
      </c>
    </row>
    <row r="291" spans="1:47" ht="14.25" customHeight="1" x14ac:dyDescent="0.15">
      <c r="A291" s="575">
        <v>44490</v>
      </c>
      <c r="B291" s="523">
        <v>252</v>
      </c>
      <c r="C291" s="523">
        <v>286</v>
      </c>
      <c r="D291" s="523">
        <v>1</v>
      </c>
      <c r="E291" s="579" t="s">
        <v>1274</v>
      </c>
      <c r="F291" s="580">
        <v>400000</v>
      </c>
      <c r="G291" s="524">
        <v>4</v>
      </c>
      <c r="H291" s="555">
        <v>0.05</v>
      </c>
      <c r="I291" s="560" t="s">
        <v>859</v>
      </c>
      <c r="J291" s="523" t="s">
        <v>862</v>
      </c>
      <c r="K291" s="528" t="str">
        <f>IFERROR(VLOOKUP($B291,'Clients-Live'!$A:$C,3,0),"")</f>
        <v>ANGUCIA JESCA</v>
      </c>
      <c r="L291" s="528">
        <f>IF(E291="STL",Pricing!$D$38,IF(A291="",0,IF(A291&lt;Pricing!$C$25,Pricing!$D$25,VLOOKUP(Disbursements!$F291,Pricing!$B$29:$D$32,3))))</f>
        <v>15000</v>
      </c>
      <c r="M291" s="528">
        <f>IF(E291="STL",0,IF(F291&gt;0,Pricing!$D$21,0))</f>
        <v>5000</v>
      </c>
      <c r="N291" s="529">
        <f>IF(E291="STL",F291*Pricing!$D$40,IF(A291&lt;=Pricing!$C$4,0,IF(AND(A291&gt;Pricing!$C$4,Disbursements!A291&lt;=Pricing!$C$5),F291*Pricing!$E$5,IF(AND(A291&gt;Pricing!$C$5,Disbursements!A291&lt;=Pricing!$C$7),VLOOKUP(F291,Pricing!$D$7:$E$8,2)*Disbursements!F291,F291*Pricing!$E$9))))</f>
        <v>4000</v>
      </c>
      <c r="O291" s="528">
        <f>IF(E291="STL",0,IF($F291&gt;0,$F291*Pricing!$D$17,0))</f>
        <v>40000</v>
      </c>
      <c r="P291" s="530">
        <f t="shared" si="126"/>
        <v>80000</v>
      </c>
      <c r="Q291" s="531">
        <f>IF($A291="","",$G291/VLOOKUP($I291,Ref!$B$23:$D$29,2,0))</f>
        <v>4</v>
      </c>
      <c r="R291" s="530">
        <f t="shared" si="127"/>
        <v>480000</v>
      </c>
      <c r="S291" s="532">
        <f t="shared" si="121"/>
        <v>120000</v>
      </c>
      <c r="T291" s="531">
        <f t="shared" si="128"/>
        <v>120000</v>
      </c>
      <c r="U291" s="533">
        <f t="shared" si="129"/>
        <v>480000</v>
      </c>
      <c r="V291" s="531">
        <f t="shared" si="130"/>
        <v>100000</v>
      </c>
      <c r="W291" s="531">
        <f t="shared" si="131"/>
        <v>20000</v>
      </c>
      <c r="X291" s="534">
        <f t="shared" si="132"/>
        <v>80000</v>
      </c>
      <c r="Y291" s="535">
        <f>IF($A291="","",IF($I291="weekly",$A291+7,EDATE($A291,VLOOKUP($I291,Ref!$B$24:$C$29,2,0))))</f>
        <v>44521</v>
      </c>
      <c r="Z291" s="536" t="str">
        <f t="shared" si="133"/>
        <v>Sun</v>
      </c>
      <c r="AA291" s="531">
        <f t="shared" si="134"/>
        <v>31</v>
      </c>
      <c r="AB291" s="535">
        <f t="shared" si="122"/>
        <v>44613</v>
      </c>
      <c r="AC291" s="537">
        <f t="shared" si="123"/>
        <v>123</v>
      </c>
      <c r="AD291" s="538" t="str">
        <f t="shared" ca="1" si="124"/>
        <v>Expired</v>
      </c>
      <c r="AE291" s="537">
        <f t="shared" ca="1" si="125"/>
        <v>0</v>
      </c>
      <c r="AF291" s="539">
        <f t="shared" ca="1" si="135"/>
        <v>4</v>
      </c>
      <c r="AG291" s="531">
        <f t="shared" ca="1" si="136"/>
        <v>480000</v>
      </c>
      <c r="AH291" s="531">
        <f t="shared" ca="1" si="137"/>
        <v>80000</v>
      </c>
      <c r="AI291" s="531">
        <f t="shared" ca="1" si="138"/>
        <v>400000</v>
      </c>
      <c r="AJ291" s="531">
        <f t="shared" ca="1" si="139"/>
        <v>0</v>
      </c>
      <c r="AK291" s="540">
        <f>SUMIFS('Live Collections'!$S:$S,'Live Collections'!$D:$D,Disbursements!B291,'Live Collections'!$G:$G,Disbursements!C291)</f>
        <v>80000</v>
      </c>
      <c r="AL291" s="540">
        <f>SUMIFS('Live Collections'!$T:$T,'Live Collections'!$D:$D,Disbursements!B291,'Live Collections'!$G:$G,Disbursements!C291)</f>
        <v>330000</v>
      </c>
      <c r="AM291" s="541">
        <f t="shared" si="140"/>
        <v>410000</v>
      </c>
      <c r="AN291" s="542">
        <f t="shared" si="141"/>
        <v>0</v>
      </c>
      <c r="AO291" s="542">
        <f t="shared" si="142"/>
        <v>70000</v>
      </c>
      <c r="AP291" s="543">
        <f t="shared" si="143"/>
        <v>70000</v>
      </c>
      <c r="AQ291" s="544">
        <f t="shared" ca="1" si="144"/>
        <v>70000</v>
      </c>
      <c r="AR291" s="545">
        <f t="shared" ca="1" si="145"/>
        <v>0.58333333333333337</v>
      </c>
      <c r="AS291" s="545">
        <f ca="1">IFERROR(CEILING($AR291*VLOOKUP($I291,Ref!$B$23:$E$29,4,0),1),0)</f>
        <v>18</v>
      </c>
      <c r="AT291" s="545" t="str">
        <f ca="1">IF(A291="","",IF(AP291&lt;=1,"Cleared",IF(AS291=0,"Clean",VLOOKUP($AS291,Ref!$G$23:$H$28,2))))</f>
        <v>1.(0-30) Days</v>
      </c>
      <c r="AU291" s="546" t="str">
        <f t="shared" si="146"/>
        <v>Ok</v>
      </c>
    </row>
    <row r="292" spans="1:47" ht="14.25" customHeight="1" x14ac:dyDescent="0.15">
      <c r="A292" s="575">
        <v>44490</v>
      </c>
      <c r="B292" s="523">
        <v>265</v>
      </c>
      <c r="C292" s="523">
        <v>285</v>
      </c>
      <c r="D292" s="523">
        <v>1</v>
      </c>
      <c r="E292" s="579" t="s">
        <v>1277</v>
      </c>
      <c r="F292" s="580">
        <v>1000000</v>
      </c>
      <c r="G292" s="524">
        <v>1</v>
      </c>
      <c r="H292" s="555">
        <v>7.4999999999999997E-2</v>
      </c>
      <c r="I292" s="560" t="s">
        <v>859</v>
      </c>
      <c r="J292" s="523" t="s">
        <v>864</v>
      </c>
      <c r="K292" s="528" t="str">
        <f>IFERROR(VLOOKUP($B292,'Clients-Live'!$A:$C,3,0),"")</f>
        <v>OCATRE CHARLES</v>
      </c>
      <c r="L292" s="528">
        <f>IF(E292="STL",Pricing!$D$38,IF(A292="",0,IF(A292&lt;Pricing!$C$25,Pricing!$D$25,VLOOKUP(Disbursements!$F292,Pricing!$B$29:$D$32,3))))</f>
        <v>20000</v>
      </c>
      <c r="M292" s="528">
        <f>IF(E292="STL",0,IF(F292&gt;0,Pricing!$D$21,0))</f>
        <v>5000</v>
      </c>
      <c r="N292" s="529">
        <f>IF(E292="STL",F292*Pricing!$D$40,IF(A292&lt;=Pricing!$C$4,0,IF(AND(A292&gt;Pricing!$C$4,Disbursements!A292&lt;=Pricing!$C$5),F292*Pricing!$E$5,IF(AND(A292&gt;Pricing!$C$5,Disbursements!A292&lt;=Pricing!$C$7),VLOOKUP(F292,Pricing!$D$7:$E$8,2)*Disbursements!F292,F292*Pricing!$E$9))))</f>
        <v>10000</v>
      </c>
      <c r="O292" s="528">
        <f>IF(E292="STL",0,IF($F292&gt;0,$F292*Pricing!$D$17,0))</f>
        <v>100000</v>
      </c>
      <c r="P292" s="530">
        <f t="shared" si="126"/>
        <v>75000</v>
      </c>
      <c r="Q292" s="531">
        <f>IF($A292="","",$G292/VLOOKUP($I292,Ref!$B$23:$D$29,2,0))</f>
        <v>1</v>
      </c>
      <c r="R292" s="530">
        <f t="shared" si="127"/>
        <v>1075000</v>
      </c>
      <c r="S292" s="532">
        <f t="shared" si="121"/>
        <v>1075000</v>
      </c>
      <c r="T292" s="531">
        <f t="shared" si="128"/>
        <v>1075000</v>
      </c>
      <c r="U292" s="533">
        <f t="shared" si="129"/>
        <v>1075000</v>
      </c>
      <c r="V292" s="531">
        <f t="shared" si="130"/>
        <v>1000000</v>
      </c>
      <c r="W292" s="531">
        <f t="shared" si="131"/>
        <v>75000</v>
      </c>
      <c r="X292" s="534">
        <f t="shared" si="132"/>
        <v>75000</v>
      </c>
      <c r="Y292" s="535">
        <f>IF($A292="","",IF($I292="weekly",$A292+7,EDATE($A292,VLOOKUP($I292,Ref!$B$24:$C$29,2,0))))</f>
        <v>44521</v>
      </c>
      <c r="Z292" s="536" t="str">
        <f t="shared" si="133"/>
        <v>Sun</v>
      </c>
      <c r="AA292" s="531">
        <f t="shared" si="134"/>
        <v>31</v>
      </c>
      <c r="AB292" s="535">
        <f t="shared" si="122"/>
        <v>44521</v>
      </c>
      <c r="AC292" s="537">
        <f t="shared" si="123"/>
        <v>31</v>
      </c>
      <c r="AD292" s="538" t="str">
        <f t="shared" ca="1" si="124"/>
        <v>Expired</v>
      </c>
      <c r="AE292" s="537">
        <f t="shared" ca="1" si="125"/>
        <v>0</v>
      </c>
      <c r="AF292" s="539">
        <f t="shared" ca="1" si="135"/>
        <v>1</v>
      </c>
      <c r="AG292" s="531">
        <f t="shared" ca="1" si="136"/>
        <v>1075000</v>
      </c>
      <c r="AH292" s="531">
        <f t="shared" ca="1" si="137"/>
        <v>75000</v>
      </c>
      <c r="AI292" s="531">
        <f t="shared" ca="1" si="138"/>
        <v>1000000</v>
      </c>
      <c r="AJ292" s="531">
        <f t="shared" ca="1" si="139"/>
        <v>0</v>
      </c>
      <c r="AK292" s="540">
        <f>SUMIFS('Live Collections'!$S:$S,'Live Collections'!$D:$D,Disbursements!B292,'Live Collections'!$G:$G,Disbursements!C292)</f>
        <v>75000</v>
      </c>
      <c r="AL292" s="540">
        <f>SUMIFS('Live Collections'!$T:$T,'Live Collections'!$D:$D,Disbursements!B292,'Live Collections'!$G:$G,Disbursements!C292)</f>
        <v>1000000</v>
      </c>
      <c r="AM292" s="541">
        <f t="shared" si="140"/>
        <v>1075000</v>
      </c>
      <c r="AN292" s="542">
        <f t="shared" si="141"/>
        <v>0</v>
      </c>
      <c r="AO292" s="542">
        <f t="shared" si="142"/>
        <v>0</v>
      </c>
      <c r="AP292" s="543">
        <f t="shared" si="143"/>
        <v>0</v>
      </c>
      <c r="AQ292" s="544" t="str">
        <f t="shared" ca="1" si="144"/>
        <v/>
      </c>
      <c r="AR292" s="545">
        <f t="shared" ca="1" si="145"/>
        <v>0</v>
      </c>
      <c r="AS292" s="545">
        <f ca="1">IFERROR(CEILING($AR292*VLOOKUP($I292,Ref!$B$23:$E$29,4,0),1),0)</f>
        <v>0</v>
      </c>
      <c r="AT292" s="545" t="str">
        <f>IF(A292="","",IF(AP292&lt;=1,"Cleared",IF(AS292=0,"Clean",VLOOKUP($AS292,Ref!$G$23:$H$28,2))))</f>
        <v>Cleared</v>
      </c>
      <c r="AU292" s="546" t="str">
        <f t="shared" si="146"/>
        <v>Ok</v>
      </c>
    </row>
    <row r="293" spans="1:47" ht="14.25" customHeight="1" x14ac:dyDescent="0.15">
      <c r="A293" s="575">
        <v>44491</v>
      </c>
      <c r="B293" s="523">
        <v>61</v>
      </c>
      <c r="C293" s="523">
        <v>290</v>
      </c>
      <c r="D293" s="523">
        <v>2</v>
      </c>
      <c r="E293" s="579" t="s">
        <v>1274</v>
      </c>
      <c r="F293" s="580">
        <v>300000</v>
      </c>
      <c r="G293" s="524">
        <v>4</v>
      </c>
      <c r="H293" s="555">
        <v>0.05</v>
      </c>
      <c r="I293" s="560" t="s">
        <v>859</v>
      </c>
      <c r="J293" s="523" t="s">
        <v>862</v>
      </c>
      <c r="K293" s="528" t="str">
        <f>IFERROR(VLOOKUP($B293,'Clients-Live'!$A:$C,3,0),"")</f>
        <v>AREDU RUKIA</v>
      </c>
      <c r="L293" s="528">
        <f>IF(E293="STL",Pricing!$D$38,IF(A293="",0,IF(A293&lt;Pricing!$C$25,Pricing!$D$25,VLOOKUP(Disbursements!$F293,Pricing!$B$29:$D$32,3))))</f>
        <v>15000</v>
      </c>
      <c r="M293" s="528">
        <f>IF(E293="STL",0,IF(F293&gt;0,Pricing!$D$21,0))</f>
        <v>5000</v>
      </c>
      <c r="N293" s="529">
        <f>IF(E293="STL",F293*Pricing!$D$40,IF(A293&lt;=Pricing!$C$4,0,IF(AND(A293&gt;Pricing!$C$4,Disbursements!A293&lt;=Pricing!$C$5),F293*Pricing!$E$5,IF(AND(A293&gt;Pricing!$C$5,Disbursements!A293&lt;=Pricing!$C$7),VLOOKUP(F293,Pricing!$D$7:$E$8,2)*Disbursements!F293,F293*Pricing!$E$9))))</f>
        <v>3000</v>
      </c>
      <c r="O293" s="528">
        <f>IF(E293="STL",0,IF($F293&gt;0,$F293*Pricing!$D$17,0))</f>
        <v>30000</v>
      </c>
      <c r="P293" s="530">
        <f t="shared" si="126"/>
        <v>60000</v>
      </c>
      <c r="Q293" s="531">
        <f>IF($A293="","",$G293/VLOOKUP($I293,Ref!$B$23:$D$29,2,0))</f>
        <v>4</v>
      </c>
      <c r="R293" s="530">
        <f t="shared" si="127"/>
        <v>360000</v>
      </c>
      <c r="S293" s="532">
        <f t="shared" si="121"/>
        <v>90000</v>
      </c>
      <c r="T293" s="531">
        <f t="shared" si="128"/>
        <v>90000</v>
      </c>
      <c r="U293" s="533">
        <f t="shared" si="129"/>
        <v>360000</v>
      </c>
      <c r="V293" s="531">
        <f t="shared" si="130"/>
        <v>75000</v>
      </c>
      <c r="W293" s="531">
        <f t="shared" si="131"/>
        <v>15000</v>
      </c>
      <c r="X293" s="534">
        <f t="shared" si="132"/>
        <v>60000</v>
      </c>
      <c r="Y293" s="535">
        <f>IF($A293="","",IF($I293="weekly",$A293+7,EDATE($A293,VLOOKUP($I293,Ref!$B$24:$C$29,2,0))))</f>
        <v>44522</v>
      </c>
      <c r="Z293" s="536" t="str">
        <f t="shared" si="133"/>
        <v>Mon</v>
      </c>
      <c r="AA293" s="531">
        <f t="shared" si="134"/>
        <v>31</v>
      </c>
      <c r="AB293" s="535">
        <f t="shared" si="122"/>
        <v>44614</v>
      </c>
      <c r="AC293" s="537">
        <f t="shared" si="123"/>
        <v>123</v>
      </c>
      <c r="AD293" s="538" t="str">
        <f t="shared" ca="1" si="124"/>
        <v>Expired</v>
      </c>
      <c r="AE293" s="537">
        <f t="shared" ca="1" si="125"/>
        <v>0</v>
      </c>
      <c r="AF293" s="539">
        <f t="shared" ca="1" si="135"/>
        <v>4</v>
      </c>
      <c r="AG293" s="531">
        <f t="shared" ca="1" si="136"/>
        <v>360000</v>
      </c>
      <c r="AH293" s="531">
        <f t="shared" ca="1" si="137"/>
        <v>60000</v>
      </c>
      <c r="AI293" s="531">
        <f t="shared" ca="1" si="138"/>
        <v>300000</v>
      </c>
      <c r="AJ293" s="531">
        <f t="shared" ca="1" si="139"/>
        <v>0</v>
      </c>
      <c r="AK293" s="540">
        <f>SUMIFS('Live Collections'!$S:$S,'Live Collections'!$D:$D,Disbursements!B293,'Live Collections'!$G:$G,Disbursements!C293)</f>
        <v>60000</v>
      </c>
      <c r="AL293" s="540">
        <f>SUMIFS('Live Collections'!$T:$T,'Live Collections'!$D:$D,Disbursements!B293,'Live Collections'!$G:$G,Disbursements!C293)</f>
        <v>300000</v>
      </c>
      <c r="AM293" s="541">
        <f t="shared" si="140"/>
        <v>360000</v>
      </c>
      <c r="AN293" s="542">
        <f t="shared" si="141"/>
        <v>0</v>
      </c>
      <c r="AO293" s="542">
        <f t="shared" si="142"/>
        <v>0</v>
      </c>
      <c r="AP293" s="543">
        <f t="shared" si="143"/>
        <v>0</v>
      </c>
      <c r="AQ293" s="544" t="str">
        <f t="shared" ca="1" si="144"/>
        <v/>
      </c>
      <c r="AR293" s="545">
        <f t="shared" ca="1" si="145"/>
        <v>0</v>
      </c>
      <c r="AS293" s="545">
        <f ca="1">IFERROR(CEILING($AR293*VLOOKUP($I293,Ref!$B$23:$E$29,4,0),1),0)</f>
        <v>0</v>
      </c>
      <c r="AT293" s="545" t="str">
        <f>IF(A293="","",IF(AP293&lt;=1,"Cleared",IF(AS293=0,"Clean",VLOOKUP($AS293,Ref!$G$23:$H$28,2))))</f>
        <v>Cleared</v>
      </c>
      <c r="AU293" s="546" t="str">
        <f t="shared" si="146"/>
        <v>Ok</v>
      </c>
    </row>
    <row r="294" spans="1:47" ht="14.25" customHeight="1" x14ac:dyDescent="0.15">
      <c r="A294" s="575">
        <v>44492</v>
      </c>
      <c r="B294" s="523">
        <v>239</v>
      </c>
      <c r="C294" s="523">
        <v>291</v>
      </c>
      <c r="D294" s="523">
        <v>1</v>
      </c>
      <c r="E294" s="579" t="s">
        <v>1274</v>
      </c>
      <c r="F294" s="580">
        <v>600000</v>
      </c>
      <c r="G294" s="524">
        <v>4</v>
      </c>
      <c r="H294" s="555">
        <v>0.05</v>
      </c>
      <c r="I294" s="560" t="s">
        <v>859</v>
      </c>
      <c r="J294" s="523" t="s">
        <v>864</v>
      </c>
      <c r="K294" s="528" t="str">
        <f>IFERROR(VLOOKUP($B294,'Clients-Live'!$A:$C,3,0),"")</f>
        <v>HABIBU ABOYI ALLI</v>
      </c>
      <c r="L294" s="528">
        <f>IF(E294="STL",Pricing!$D$38,IF(A294="",0,IF(A294&lt;Pricing!$C$25,Pricing!$D$25,VLOOKUP(Disbursements!$F294,Pricing!$B$29:$D$32,3))))</f>
        <v>20000</v>
      </c>
      <c r="M294" s="528">
        <f>IF(E294="STL",0,IF(F294&gt;0,Pricing!$D$21,0))</f>
        <v>5000</v>
      </c>
      <c r="N294" s="529">
        <f>IF(E294="STL",F294*Pricing!$D$40,IF(A294&lt;=Pricing!$C$4,0,IF(AND(A294&gt;Pricing!$C$4,Disbursements!A294&lt;=Pricing!$C$5),F294*Pricing!$E$5,IF(AND(A294&gt;Pricing!$C$5,Disbursements!A294&lt;=Pricing!$C$7),VLOOKUP(F294,Pricing!$D$7:$E$8,2)*Disbursements!F294,F294*Pricing!$E$9))))</f>
        <v>6000</v>
      </c>
      <c r="O294" s="528">
        <f>IF(E294="STL",0,IF($F294&gt;0,$F294*Pricing!$D$17,0))</f>
        <v>60000</v>
      </c>
      <c r="P294" s="530">
        <f t="shared" si="126"/>
        <v>120000</v>
      </c>
      <c r="Q294" s="531">
        <f>IF($A294="","",$G294/VLOOKUP($I294,Ref!$B$23:$D$29,2,0))</f>
        <v>4</v>
      </c>
      <c r="R294" s="530">
        <f t="shared" si="127"/>
        <v>720000</v>
      </c>
      <c r="S294" s="532">
        <f t="shared" si="121"/>
        <v>180000</v>
      </c>
      <c r="T294" s="531">
        <f t="shared" si="128"/>
        <v>180000</v>
      </c>
      <c r="U294" s="533">
        <f t="shared" si="129"/>
        <v>720000</v>
      </c>
      <c r="V294" s="531">
        <f t="shared" si="130"/>
        <v>150000</v>
      </c>
      <c r="W294" s="531">
        <f t="shared" si="131"/>
        <v>30000</v>
      </c>
      <c r="X294" s="534">
        <f t="shared" si="132"/>
        <v>120000</v>
      </c>
      <c r="Y294" s="535">
        <f>IF($A294="","",IF($I294="weekly",$A294+7,EDATE($A294,VLOOKUP($I294,Ref!$B$24:$C$29,2,0))))</f>
        <v>44523</v>
      </c>
      <c r="Z294" s="536" t="str">
        <f t="shared" si="133"/>
        <v>Tue</v>
      </c>
      <c r="AA294" s="531">
        <f t="shared" si="134"/>
        <v>31</v>
      </c>
      <c r="AB294" s="535">
        <f t="shared" si="122"/>
        <v>44615</v>
      </c>
      <c r="AC294" s="537">
        <f t="shared" si="123"/>
        <v>123</v>
      </c>
      <c r="AD294" s="538" t="str">
        <f t="shared" ca="1" si="124"/>
        <v>Expired</v>
      </c>
      <c r="AE294" s="537">
        <f t="shared" ca="1" si="125"/>
        <v>0</v>
      </c>
      <c r="AF294" s="539">
        <f t="shared" ca="1" si="135"/>
        <v>4</v>
      </c>
      <c r="AG294" s="531">
        <f t="shared" ca="1" si="136"/>
        <v>720000</v>
      </c>
      <c r="AH294" s="531">
        <f t="shared" ca="1" si="137"/>
        <v>120000</v>
      </c>
      <c r="AI294" s="531">
        <f t="shared" ca="1" si="138"/>
        <v>600000</v>
      </c>
      <c r="AJ294" s="531">
        <f t="shared" ca="1" si="139"/>
        <v>0</v>
      </c>
      <c r="AK294" s="540">
        <f>SUMIFS('Live Collections'!$S:$S,'Live Collections'!$D:$D,Disbursements!B294,'Live Collections'!$G:$G,Disbursements!C294)</f>
        <v>120000</v>
      </c>
      <c r="AL294" s="540">
        <f>SUMIFS('Live Collections'!$T:$T,'Live Collections'!$D:$D,Disbursements!B294,'Live Collections'!$G:$G,Disbursements!C294)</f>
        <v>600000</v>
      </c>
      <c r="AM294" s="541">
        <f t="shared" si="140"/>
        <v>720000</v>
      </c>
      <c r="AN294" s="542">
        <f t="shared" si="141"/>
        <v>0</v>
      </c>
      <c r="AO294" s="542">
        <f t="shared" si="142"/>
        <v>0</v>
      </c>
      <c r="AP294" s="543">
        <f t="shared" si="143"/>
        <v>0</v>
      </c>
      <c r="AQ294" s="544" t="str">
        <f t="shared" ca="1" si="144"/>
        <v/>
      </c>
      <c r="AR294" s="545">
        <f t="shared" ca="1" si="145"/>
        <v>0</v>
      </c>
      <c r="AS294" s="545">
        <f ca="1">IFERROR(CEILING($AR294*VLOOKUP($I294,Ref!$B$23:$E$29,4,0),1),0)</f>
        <v>0</v>
      </c>
      <c r="AT294" s="545" t="str">
        <f>IF(A294="","",IF(AP294&lt;=1,"Cleared",IF(AS294=0,"Clean",VLOOKUP($AS294,Ref!$G$23:$H$28,2))))</f>
        <v>Cleared</v>
      </c>
      <c r="AU294" s="546" t="str">
        <f t="shared" si="146"/>
        <v>Ok</v>
      </c>
    </row>
    <row r="295" spans="1:47" ht="14.25" customHeight="1" x14ac:dyDescent="0.15">
      <c r="A295" s="575">
        <v>44492</v>
      </c>
      <c r="B295" s="523">
        <v>261</v>
      </c>
      <c r="C295" s="523">
        <v>292</v>
      </c>
      <c r="D295" s="523">
        <v>1</v>
      </c>
      <c r="E295" s="579" t="s">
        <v>1274</v>
      </c>
      <c r="F295" s="580">
        <v>300000</v>
      </c>
      <c r="G295" s="524">
        <v>3</v>
      </c>
      <c r="H295" s="555">
        <v>0.05</v>
      </c>
      <c r="I295" s="560" t="s">
        <v>859</v>
      </c>
      <c r="J295" s="523" t="s">
        <v>862</v>
      </c>
      <c r="K295" s="528" t="str">
        <f>IFERROR(VLOOKUP($B295,'Clients-Live'!$A:$C,3,0),"")</f>
        <v>AMANIYO STELLA</v>
      </c>
      <c r="L295" s="528">
        <f>IF(E295="STL",Pricing!$D$38,IF(A295="",0,IF(A295&lt;Pricing!$C$25,Pricing!$D$25,VLOOKUP(Disbursements!$F295,Pricing!$B$29:$D$32,3))))</f>
        <v>15000</v>
      </c>
      <c r="M295" s="528">
        <f>IF(E295="STL",0,IF(F295&gt;0,Pricing!$D$21,0))</f>
        <v>5000</v>
      </c>
      <c r="N295" s="529">
        <f>IF(E295="STL",F295*Pricing!$D$40,IF(A295&lt;=Pricing!$C$4,0,IF(AND(A295&gt;Pricing!$C$4,Disbursements!A295&lt;=Pricing!$C$5),F295*Pricing!$E$5,IF(AND(A295&gt;Pricing!$C$5,Disbursements!A295&lt;=Pricing!$C$7),VLOOKUP(F295,Pricing!$D$7:$E$8,2)*Disbursements!F295,F295*Pricing!$E$9))))</f>
        <v>3000</v>
      </c>
      <c r="O295" s="528">
        <f>IF(E295="STL",0,IF($F295&gt;0,$F295*Pricing!$D$17,0))</f>
        <v>30000</v>
      </c>
      <c r="P295" s="530">
        <f t="shared" si="126"/>
        <v>45000</v>
      </c>
      <c r="Q295" s="531">
        <f>IF($A295="","",$G295/VLOOKUP($I295,Ref!$B$23:$D$29,2,0))</f>
        <v>3</v>
      </c>
      <c r="R295" s="530">
        <f t="shared" si="127"/>
        <v>345000</v>
      </c>
      <c r="S295" s="532">
        <f t="shared" si="121"/>
        <v>115000</v>
      </c>
      <c r="T295" s="531">
        <f t="shared" si="128"/>
        <v>115000</v>
      </c>
      <c r="U295" s="533">
        <f t="shared" si="129"/>
        <v>345000</v>
      </c>
      <c r="V295" s="531">
        <f t="shared" si="130"/>
        <v>100000</v>
      </c>
      <c r="W295" s="531">
        <f t="shared" si="131"/>
        <v>15000</v>
      </c>
      <c r="X295" s="534">
        <f t="shared" si="132"/>
        <v>45000</v>
      </c>
      <c r="Y295" s="535">
        <f>IF($A295="","",IF($I295="weekly",$A295+7,EDATE($A295,VLOOKUP($I295,Ref!$B$24:$C$29,2,0))))</f>
        <v>44523</v>
      </c>
      <c r="Z295" s="536" t="str">
        <f t="shared" si="133"/>
        <v>Tue</v>
      </c>
      <c r="AA295" s="531">
        <f t="shared" si="134"/>
        <v>31</v>
      </c>
      <c r="AB295" s="535">
        <f t="shared" si="122"/>
        <v>44584</v>
      </c>
      <c r="AC295" s="537">
        <f t="shared" si="123"/>
        <v>92</v>
      </c>
      <c r="AD295" s="538" t="str">
        <f t="shared" ca="1" si="124"/>
        <v>Expired</v>
      </c>
      <c r="AE295" s="537">
        <f t="shared" ca="1" si="125"/>
        <v>0</v>
      </c>
      <c r="AF295" s="539">
        <f t="shared" ca="1" si="135"/>
        <v>3</v>
      </c>
      <c r="AG295" s="531">
        <f t="shared" ca="1" si="136"/>
        <v>345000</v>
      </c>
      <c r="AH295" s="531">
        <f t="shared" ca="1" si="137"/>
        <v>45000</v>
      </c>
      <c r="AI295" s="531">
        <f t="shared" ca="1" si="138"/>
        <v>300000</v>
      </c>
      <c r="AJ295" s="531">
        <f t="shared" ca="1" si="139"/>
        <v>0</v>
      </c>
      <c r="AK295" s="540">
        <f>SUMIFS('Live Collections'!$S:$S,'Live Collections'!$D:$D,Disbursements!B295,'Live Collections'!$G:$G,Disbursements!C295)</f>
        <v>45000</v>
      </c>
      <c r="AL295" s="540">
        <f>SUMIFS('Live Collections'!$T:$T,'Live Collections'!$D:$D,Disbursements!B295,'Live Collections'!$G:$G,Disbursements!C295)</f>
        <v>300000</v>
      </c>
      <c r="AM295" s="541">
        <f t="shared" si="140"/>
        <v>345000</v>
      </c>
      <c r="AN295" s="542">
        <f t="shared" si="141"/>
        <v>0</v>
      </c>
      <c r="AO295" s="542">
        <f t="shared" si="142"/>
        <v>0</v>
      </c>
      <c r="AP295" s="543">
        <f t="shared" si="143"/>
        <v>0</v>
      </c>
      <c r="AQ295" s="544" t="str">
        <f t="shared" ca="1" si="144"/>
        <v/>
      </c>
      <c r="AR295" s="545">
        <f t="shared" ca="1" si="145"/>
        <v>0</v>
      </c>
      <c r="AS295" s="545">
        <f ca="1">IFERROR(CEILING($AR295*VLOOKUP($I295,Ref!$B$23:$E$29,4,0),1),0)</f>
        <v>0</v>
      </c>
      <c r="AT295" s="545" t="str">
        <f>IF(A295="","",IF(AP295&lt;=1,"Cleared",IF(AS295=0,"Clean",VLOOKUP($AS295,Ref!$G$23:$H$28,2))))</f>
        <v>Cleared</v>
      </c>
      <c r="AU295" s="546" t="str">
        <f t="shared" si="146"/>
        <v>Ok</v>
      </c>
    </row>
    <row r="296" spans="1:47" ht="14.25" customHeight="1" x14ac:dyDescent="0.15">
      <c r="A296" s="575">
        <v>44494</v>
      </c>
      <c r="B296" s="523">
        <v>2</v>
      </c>
      <c r="C296" s="523">
        <v>293</v>
      </c>
      <c r="D296" s="523">
        <v>2</v>
      </c>
      <c r="E296" s="579" t="s">
        <v>1274</v>
      </c>
      <c r="F296" s="580">
        <v>200000</v>
      </c>
      <c r="G296" s="524">
        <v>1</v>
      </c>
      <c r="H296" s="555">
        <v>0.05</v>
      </c>
      <c r="I296" s="560" t="s">
        <v>859</v>
      </c>
      <c r="J296" s="523" t="s">
        <v>863</v>
      </c>
      <c r="K296" s="528" t="str">
        <f>IFERROR(VLOOKUP($B296,'Clients-Live'!$A:$C,3,0),"")</f>
        <v>LEYA ROSE</v>
      </c>
      <c r="L296" s="528">
        <f>IF(E296="STL",Pricing!$D$38,IF(A296="",0,IF(A296&lt;Pricing!$C$25,Pricing!$D$25,VLOOKUP(Disbursements!$F296,Pricing!$B$29:$D$32,3))))</f>
        <v>15000</v>
      </c>
      <c r="M296" s="528">
        <f>IF(E296="STL",0,IF(F296&gt;0,Pricing!$D$21,0))</f>
        <v>5000</v>
      </c>
      <c r="N296" s="529">
        <f>IF(E296="STL",F296*Pricing!$D$40,IF(A296&lt;=Pricing!$C$4,0,IF(AND(A296&gt;Pricing!$C$4,Disbursements!A296&lt;=Pricing!$C$5),F296*Pricing!$E$5,IF(AND(A296&gt;Pricing!$C$5,Disbursements!A296&lt;=Pricing!$C$7),VLOOKUP(F296,Pricing!$D$7:$E$8,2)*Disbursements!F296,F296*Pricing!$E$9))))</f>
        <v>2000</v>
      </c>
      <c r="O296" s="528">
        <f>IF(E296="STL",0,IF($F296&gt;0,$F296*Pricing!$D$17,0))</f>
        <v>20000</v>
      </c>
      <c r="P296" s="530">
        <f t="shared" si="126"/>
        <v>10000</v>
      </c>
      <c r="Q296" s="531">
        <f>IF($A296="","",$G296/VLOOKUP($I296,Ref!$B$23:$D$29,2,0))</f>
        <v>1</v>
      </c>
      <c r="R296" s="530">
        <f t="shared" si="127"/>
        <v>210000</v>
      </c>
      <c r="S296" s="532">
        <f t="shared" si="121"/>
        <v>210000</v>
      </c>
      <c r="T296" s="531">
        <f t="shared" si="128"/>
        <v>210000</v>
      </c>
      <c r="U296" s="533">
        <f t="shared" si="129"/>
        <v>210000</v>
      </c>
      <c r="V296" s="531">
        <f t="shared" si="130"/>
        <v>200000</v>
      </c>
      <c r="W296" s="531">
        <f t="shared" si="131"/>
        <v>10000</v>
      </c>
      <c r="X296" s="534">
        <f t="shared" si="132"/>
        <v>10000</v>
      </c>
      <c r="Y296" s="535">
        <f>IF($A296="","",IF($I296="weekly",$A296+7,EDATE($A296,VLOOKUP($I296,Ref!$B$24:$C$29,2,0))))</f>
        <v>44525</v>
      </c>
      <c r="Z296" s="536" t="str">
        <f t="shared" si="133"/>
        <v>Thu</v>
      </c>
      <c r="AA296" s="531">
        <f t="shared" si="134"/>
        <v>31</v>
      </c>
      <c r="AB296" s="535">
        <f t="shared" si="122"/>
        <v>44525</v>
      </c>
      <c r="AC296" s="537">
        <f t="shared" si="123"/>
        <v>31</v>
      </c>
      <c r="AD296" s="538" t="str">
        <f t="shared" ca="1" si="124"/>
        <v>Expired</v>
      </c>
      <c r="AE296" s="537">
        <f t="shared" ca="1" si="125"/>
        <v>0</v>
      </c>
      <c r="AF296" s="539">
        <f t="shared" ca="1" si="135"/>
        <v>1</v>
      </c>
      <c r="AG296" s="531">
        <f t="shared" ca="1" si="136"/>
        <v>210000</v>
      </c>
      <c r="AH296" s="531">
        <f t="shared" ca="1" si="137"/>
        <v>10000</v>
      </c>
      <c r="AI296" s="531">
        <f t="shared" ca="1" si="138"/>
        <v>200000</v>
      </c>
      <c r="AJ296" s="531">
        <f t="shared" ca="1" si="139"/>
        <v>0</v>
      </c>
      <c r="AK296" s="540">
        <f>SUMIFS('Live Collections'!$S:$S,'Live Collections'!$D:$D,Disbursements!B296,'Live Collections'!$G:$G,Disbursements!C296)</f>
        <v>10000</v>
      </c>
      <c r="AL296" s="540">
        <f>SUMIFS('Live Collections'!$T:$T,'Live Collections'!$D:$D,Disbursements!B296,'Live Collections'!$G:$G,Disbursements!C296)</f>
        <v>200000</v>
      </c>
      <c r="AM296" s="541">
        <f t="shared" si="140"/>
        <v>210000</v>
      </c>
      <c r="AN296" s="542">
        <f t="shared" si="141"/>
        <v>0</v>
      </c>
      <c r="AO296" s="542">
        <f t="shared" si="142"/>
        <v>0</v>
      </c>
      <c r="AP296" s="543">
        <f t="shared" si="143"/>
        <v>0</v>
      </c>
      <c r="AQ296" s="544" t="str">
        <f t="shared" ca="1" si="144"/>
        <v/>
      </c>
      <c r="AR296" s="545">
        <f t="shared" ca="1" si="145"/>
        <v>0</v>
      </c>
      <c r="AS296" s="545">
        <f ca="1">IFERROR(CEILING($AR296*VLOOKUP($I296,Ref!$B$23:$E$29,4,0),1),0)</f>
        <v>0</v>
      </c>
      <c r="AT296" s="545" t="str">
        <f>IF(A296="","",IF(AP296&lt;=1,"Cleared",IF(AS296=0,"Clean",VLOOKUP($AS296,Ref!$G$23:$H$28,2))))</f>
        <v>Cleared</v>
      </c>
      <c r="AU296" s="546" t="str">
        <f t="shared" si="146"/>
        <v>Ok</v>
      </c>
    </row>
    <row r="297" spans="1:47" ht="14.25" customHeight="1" x14ac:dyDescent="0.15">
      <c r="A297" s="575">
        <v>44495</v>
      </c>
      <c r="B297" s="523">
        <v>240</v>
      </c>
      <c r="C297" s="523">
        <v>295</v>
      </c>
      <c r="D297" s="523">
        <v>2</v>
      </c>
      <c r="E297" s="579" t="s">
        <v>1277</v>
      </c>
      <c r="F297" s="580">
        <v>600000</v>
      </c>
      <c r="G297" s="524">
        <v>1</v>
      </c>
      <c r="H297" s="555">
        <v>7.4999999999999997E-2</v>
      </c>
      <c r="I297" s="560" t="s">
        <v>861</v>
      </c>
      <c r="J297" s="523" t="s">
        <v>863</v>
      </c>
      <c r="K297" s="528" t="str">
        <f>IFERROR(VLOOKUP($B297,'Clients-Live'!$A:$C,3,0),"")</f>
        <v>AYIKORU WINNIE</v>
      </c>
      <c r="L297" s="528">
        <f>IF(E297="STL",Pricing!$D$38,IF(A297="",0,IF(A297&lt;Pricing!$C$25,Pricing!$D$25,VLOOKUP(Disbursements!$F297,Pricing!$B$29:$D$32,3))))</f>
        <v>20000</v>
      </c>
      <c r="M297" s="528">
        <f>IF(E297="STL",0,IF(F297&gt;0,Pricing!$D$21,0))</f>
        <v>5000</v>
      </c>
      <c r="N297" s="529">
        <f>IF(E297="STL",F297*Pricing!$D$40,IF(A297&lt;=Pricing!$C$4,0,IF(AND(A297&gt;Pricing!$C$4,Disbursements!A297&lt;=Pricing!$C$5),F297*Pricing!$E$5,IF(AND(A297&gt;Pricing!$C$5,Disbursements!A297&lt;=Pricing!$C$7),VLOOKUP(F297,Pricing!$D$7:$E$8,2)*Disbursements!F297,F297*Pricing!$E$9))))</f>
        <v>6000</v>
      </c>
      <c r="O297" s="528">
        <f>IF(E297="STL",0,IF($F297&gt;0,$F297*Pricing!$D$17,0))</f>
        <v>60000</v>
      </c>
      <c r="P297" s="530">
        <f t="shared" si="126"/>
        <v>45000</v>
      </c>
      <c r="Q297" s="531">
        <f>IF($A297="","",$G297/VLOOKUP($I297,Ref!$B$23:$D$29,2,0))</f>
        <v>4</v>
      </c>
      <c r="R297" s="530">
        <f t="shared" si="127"/>
        <v>645000</v>
      </c>
      <c r="S297" s="532">
        <f t="shared" si="121"/>
        <v>161250</v>
      </c>
      <c r="T297" s="531">
        <f t="shared" si="128"/>
        <v>162000</v>
      </c>
      <c r="U297" s="533">
        <f t="shared" si="129"/>
        <v>648000</v>
      </c>
      <c r="V297" s="531">
        <f t="shared" si="130"/>
        <v>150000</v>
      </c>
      <c r="W297" s="531">
        <f t="shared" si="131"/>
        <v>12000</v>
      </c>
      <c r="X297" s="534">
        <f t="shared" si="132"/>
        <v>48000</v>
      </c>
      <c r="Y297" s="535">
        <f>IF($A297="","",IF($I297="weekly",$A297+7,EDATE($A297,VLOOKUP($I297,Ref!$B$24:$C$29,2,0))))</f>
        <v>44502</v>
      </c>
      <c r="Z297" s="536" t="str">
        <f t="shared" si="133"/>
        <v>Tue</v>
      </c>
      <c r="AA297" s="531">
        <f t="shared" si="134"/>
        <v>7</v>
      </c>
      <c r="AB297" s="535">
        <f t="shared" si="122"/>
        <v>44526</v>
      </c>
      <c r="AC297" s="537">
        <f t="shared" si="123"/>
        <v>31</v>
      </c>
      <c r="AD297" s="538" t="str">
        <f t="shared" ca="1" si="124"/>
        <v>Expired</v>
      </c>
      <c r="AE297" s="537">
        <f t="shared" ca="1" si="125"/>
        <v>0</v>
      </c>
      <c r="AF297" s="539">
        <f t="shared" ca="1" si="135"/>
        <v>4</v>
      </c>
      <c r="AG297" s="531">
        <f t="shared" ca="1" si="136"/>
        <v>648000</v>
      </c>
      <c r="AH297" s="531">
        <f t="shared" ca="1" si="137"/>
        <v>48000</v>
      </c>
      <c r="AI297" s="531">
        <f t="shared" ca="1" si="138"/>
        <v>600000</v>
      </c>
      <c r="AJ297" s="531">
        <f t="shared" ca="1" si="139"/>
        <v>0</v>
      </c>
      <c r="AK297" s="540">
        <f>SUMIFS('Live Collections'!$S:$S,'Live Collections'!$D:$D,Disbursements!B297,'Live Collections'!$G:$G,Disbursements!C297)</f>
        <v>48000</v>
      </c>
      <c r="AL297" s="540">
        <f>SUMIFS('Live Collections'!$T:$T,'Live Collections'!$D:$D,Disbursements!B297,'Live Collections'!$G:$G,Disbursements!C297)</f>
        <v>597000</v>
      </c>
      <c r="AM297" s="541">
        <f t="shared" si="140"/>
        <v>645000</v>
      </c>
      <c r="AN297" s="542">
        <f t="shared" si="141"/>
        <v>0</v>
      </c>
      <c r="AO297" s="542">
        <f t="shared" si="142"/>
        <v>3000</v>
      </c>
      <c r="AP297" s="543">
        <f t="shared" si="143"/>
        <v>3000</v>
      </c>
      <c r="AQ297" s="544">
        <f t="shared" ca="1" si="144"/>
        <v>3000</v>
      </c>
      <c r="AR297" s="545">
        <f t="shared" ca="1" si="145"/>
        <v>1.8518518518518517E-2</v>
      </c>
      <c r="AS297" s="545">
        <f ca="1">IFERROR(CEILING($AR297*VLOOKUP($I297,Ref!$B$23:$E$29,4,0),1),0)</f>
        <v>1</v>
      </c>
      <c r="AT297" s="545" t="str">
        <f ca="1">IF(A297="","",IF(AP297&lt;=1,"Cleared",IF(AS297=0,"Clean",VLOOKUP($AS297,Ref!$G$23:$H$28,2))))</f>
        <v>1.(0-30) Days</v>
      </c>
      <c r="AU297" s="546" t="str">
        <f t="shared" si="146"/>
        <v>Ok</v>
      </c>
    </row>
    <row r="298" spans="1:47" ht="14.25" customHeight="1" x14ac:dyDescent="0.15">
      <c r="A298" s="575">
        <v>44495</v>
      </c>
      <c r="B298" s="523">
        <v>269</v>
      </c>
      <c r="C298" s="523">
        <v>294</v>
      </c>
      <c r="D298" s="523">
        <v>1</v>
      </c>
      <c r="E298" s="579" t="s">
        <v>1277</v>
      </c>
      <c r="F298" s="580">
        <v>500000</v>
      </c>
      <c r="G298" s="524">
        <v>1</v>
      </c>
      <c r="H298" s="555">
        <v>7.4999999999999997E-2</v>
      </c>
      <c r="I298" s="560" t="s">
        <v>859</v>
      </c>
      <c r="J298" s="523" t="s">
        <v>864</v>
      </c>
      <c r="K298" s="528" t="str">
        <f>IFERROR(VLOOKUP($B298,'Clients-Live'!$A:$C,3,0),"")</f>
        <v>YANYA ROBINA</v>
      </c>
      <c r="L298" s="528">
        <f>IF(E298="STL",Pricing!$D$38,IF(A298="",0,IF(A298&lt;Pricing!$C$25,Pricing!$D$25,VLOOKUP(Disbursements!$F298,Pricing!$B$29:$D$32,3))))</f>
        <v>15000</v>
      </c>
      <c r="M298" s="528">
        <f>IF(E298="STL",0,IF(F298&gt;0,Pricing!$D$21,0))</f>
        <v>5000</v>
      </c>
      <c r="N298" s="529">
        <f>IF(E298="STL",F298*Pricing!$D$40,IF(A298&lt;=Pricing!$C$4,0,IF(AND(A298&gt;Pricing!$C$4,Disbursements!A298&lt;=Pricing!$C$5),F298*Pricing!$E$5,IF(AND(A298&gt;Pricing!$C$5,Disbursements!A298&lt;=Pricing!$C$7),VLOOKUP(F298,Pricing!$D$7:$E$8,2)*Disbursements!F298,F298*Pricing!$E$9))))</f>
        <v>5000</v>
      </c>
      <c r="O298" s="528">
        <f>IF(E298="STL",0,IF($F298&gt;0,$F298*Pricing!$D$17,0))</f>
        <v>50000</v>
      </c>
      <c r="P298" s="530">
        <f t="shared" si="126"/>
        <v>37500</v>
      </c>
      <c r="Q298" s="531">
        <f>IF($A298="","",$G298/VLOOKUP($I298,Ref!$B$23:$D$29,2,0))</f>
        <v>1</v>
      </c>
      <c r="R298" s="530">
        <f t="shared" si="127"/>
        <v>537500</v>
      </c>
      <c r="S298" s="532">
        <f t="shared" si="121"/>
        <v>537500</v>
      </c>
      <c r="T298" s="531">
        <f t="shared" si="128"/>
        <v>538000</v>
      </c>
      <c r="U298" s="533">
        <f t="shared" si="129"/>
        <v>538000</v>
      </c>
      <c r="V298" s="531">
        <f t="shared" si="130"/>
        <v>500000</v>
      </c>
      <c r="W298" s="531">
        <f t="shared" si="131"/>
        <v>38000</v>
      </c>
      <c r="X298" s="534">
        <f t="shared" si="132"/>
        <v>38000</v>
      </c>
      <c r="Y298" s="535">
        <f>IF($A298="","",IF($I298="weekly",$A298+7,EDATE($A298,VLOOKUP($I298,Ref!$B$24:$C$29,2,0))))</f>
        <v>44526</v>
      </c>
      <c r="Z298" s="536" t="str">
        <f t="shared" si="133"/>
        <v>Frid</v>
      </c>
      <c r="AA298" s="531">
        <f t="shared" si="134"/>
        <v>31</v>
      </c>
      <c r="AB298" s="535">
        <f t="shared" si="122"/>
        <v>44526</v>
      </c>
      <c r="AC298" s="537">
        <f t="shared" si="123"/>
        <v>31</v>
      </c>
      <c r="AD298" s="538" t="str">
        <f t="shared" ca="1" si="124"/>
        <v>Expired</v>
      </c>
      <c r="AE298" s="537">
        <f t="shared" ca="1" si="125"/>
        <v>0</v>
      </c>
      <c r="AF298" s="539">
        <f t="shared" ca="1" si="135"/>
        <v>1</v>
      </c>
      <c r="AG298" s="531">
        <f t="shared" ca="1" si="136"/>
        <v>538000</v>
      </c>
      <c r="AH298" s="531">
        <f t="shared" ca="1" si="137"/>
        <v>38000</v>
      </c>
      <c r="AI298" s="531">
        <f t="shared" ca="1" si="138"/>
        <v>500000</v>
      </c>
      <c r="AJ298" s="531">
        <f t="shared" ca="1" si="139"/>
        <v>0</v>
      </c>
      <c r="AK298" s="540">
        <f>SUMIFS('Live Collections'!$S:$S,'Live Collections'!$D:$D,Disbursements!B298,'Live Collections'!$G:$G,Disbursements!C298)</f>
        <v>38000</v>
      </c>
      <c r="AL298" s="540">
        <f>SUMIFS('Live Collections'!$T:$T,'Live Collections'!$D:$D,Disbursements!B298,'Live Collections'!$G:$G,Disbursements!C298)</f>
        <v>499500</v>
      </c>
      <c r="AM298" s="541">
        <f t="shared" si="140"/>
        <v>537500</v>
      </c>
      <c r="AN298" s="542">
        <f t="shared" si="141"/>
        <v>0</v>
      </c>
      <c r="AO298" s="542">
        <f t="shared" si="142"/>
        <v>500</v>
      </c>
      <c r="AP298" s="543">
        <f t="shared" si="143"/>
        <v>500</v>
      </c>
      <c r="AQ298" s="544">
        <f t="shared" ca="1" si="144"/>
        <v>500</v>
      </c>
      <c r="AR298" s="545">
        <f t="shared" ca="1" si="145"/>
        <v>9.2936802973977691E-4</v>
      </c>
      <c r="AS298" s="545">
        <f ca="1">IFERROR(CEILING($AR298*VLOOKUP($I298,Ref!$B$23:$E$29,4,0),1),0)</f>
        <v>1</v>
      </c>
      <c r="AT298" s="545" t="str">
        <f ca="1">IF(A298="","",IF(AP298&lt;=1,"Cleared",IF(AS298=0,"Clean",VLOOKUP($AS298,Ref!$G$23:$H$28,2))))</f>
        <v>1.(0-30) Days</v>
      </c>
      <c r="AU298" s="546" t="str">
        <f t="shared" si="146"/>
        <v>Ok</v>
      </c>
    </row>
    <row r="299" spans="1:47" ht="14.25" customHeight="1" x14ac:dyDescent="0.15">
      <c r="A299" s="575">
        <v>44496</v>
      </c>
      <c r="B299" s="523">
        <v>126</v>
      </c>
      <c r="C299" s="523">
        <v>296</v>
      </c>
      <c r="D299" s="523">
        <v>3</v>
      </c>
      <c r="E299" s="579" t="s">
        <v>1275</v>
      </c>
      <c r="F299" s="580">
        <v>1500000</v>
      </c>
      <c r="G299" s="524">
        <v>3</v>
      </c>
      <c r="H299" s="555">
        <v>7.4999999999999997E-2</v>
      </c>
      <c r="I299" s="560" t="s">
        <v>859</v>
      </c>
      <c r="J299" s="523" t="s">
        <v>862</v>
      </c>
      <c r="K299" s="528" t="str">
        <f>IFERROR(VLOOKUP($B299,'Clients-Live'!$A:$C,3,0),"")</f>
        <v>OGWAL STEPHEN GERALD</v>
      </c>
      <c r="L299" s="528">
        <f>IF(E299="STL",Pricing!$D$38,IF(A299="",0,IF(A299&lt;Pricing!$C$25,Pricing!$D$25,VLOOKUP(Disbursements!$F299,Pricing!$B$29:$D$32,3))))</f>
        <v>25000</v>
      </c>
      <c r="M299" s="528">
        <f>IF(E299="STL",0,IF(F299&gt;0,Pricing!$D$21,0))</f>
        <v>5000</v>
      </c>
      <c r="N299" s="529">
        <f>IF(E299="STL",F299*Pricing!$D$40,IF(A299&lt;=Pricing!$C$4,0,IF(AND(A299&gt;Pricing!$C$4,Disbursements!A299&lt;=Pricing!$C$5),F299*Pricing!$E$5,IF(AND(A299&gt;Pricing!$C$5,Disbursements!A299&lt;=Pricing!$C$7),VLOOKUP(F299,Pricing!$D$7:$E$8,2)*Disbursements!F299,F299*Pricing!$E$9))))</f>
        <v>30000</v>
      </c>
      <c r="O299" s="528">
        <f>IF(E299="STL",0,IF($F299&gt;0,$F299*Pricing!$D$17,0))</f>
        <v>150000</v>
      </c>
      <c r="P299" s="530">
        <f t="shared" si="126"/>
        <v>337500</v>
      </c>
      <c r="Q299" s="531">
        <f>IF($A299="","",$G299/VLOOKUP($I299,Ref!$B$23:$D$29,2,0))</f>
        <v>3</v>
      </c>
      <c r="R299" s="530">
        <f t="shared" si="127"/>
        <v>1837500</v>
      </c>
      <c r="S299" s="532">
        <f t="shared" si="121"/>
        <v>612500</v>
      </c>
      <c r="T299" s="531">
        <f t="shared" si="128"/>
        <v>613000</v>
      </c>
      <c r="U299" s="533">
        <f t="shared" si="129"/>
        <v>1839000</v>
      </c>
      <c r="V299" s="531">
        <f t="shared" si="130"/>
        <v>500000</v>
      </c>
      <c r="W299" s="531">
        <f t="shared" si="131"/>
        <v>113000</v>
      </c>
      <c r="X299" s="534">
        <f t="shared" si="132"/>
        <v>339000</v>
      </c>
      <c r="Y299" s="535">
        <f>IF($A299="","",IF($I299="weekly",$A299+7,EDATE($A299,VLOOKUP($I299,Ref!$B$24:$C$29,2,0))))</f>
        <v>44527</v>
      </c>
      <c r="Z299" s="536" t="str">
        <f t="shared" si="133"/>
        <v>Sat</v>
      </c>
      <c r="AA299" s="531">
        <f t="shared" si="134"/>
        <v>31</v>
      </c>
      <c r="AB299" s="535">
        <f t="shared" si="122"/>
        <v>44588</v>
      </c>
      <c r="AC299" s="537">
        <f t="shared" si="123"/>
        <v>92</v>
      </c>
      <c r="AD299" s="538" t="str">
        <f t="shared" ca="1" si="124"/>
        <v>Expired</v>
      </c>
      <c r="AE299" s="537">
        <f t="shared" ca="1" si="125"/>
        <v>0</v>
      </c>
      <c r="AF299" s="539">
        <f t="shared" ca="1" si="135"/>
        <v>3</v>
      </c>
      <c r="AG299" s="531">
        <f t="shared" ca="1" si="136"/>
        <v>1839000</v>
      </c>
      <c r="AH299" s="531">
        <f t="shared" ca="1" si="137"/>
        <v>339000</v>
      </c>
      <c r="AI299" s="531">
        <f t="shared" ca="1" si="138"/>
        <v>1500000</v>
      </c>
      <c r="AJ299" s="531">
        <f t="shared" ca="1" si="139"/>
        <v>0</v>
      </c>
      <c r="AK299" s="540">
        <f>SUMIFS('Live Collections'!$S:$S,'Live Collections'!$D:$D,Disbursements!B299,'Live Collections'!$G:$G,Disbursements!C299)</f>
        <v>339000</v>
      </c>
      <c r="AL299" s="540">
        <f>SUMIFS('Live Collections'!$T:$T,'Live Collections'!$D:$D,Disbursements!B299,'Live Collections'!$G:$G,Disbursements!C299)</f>
        <v>1498500.0000000002</v>
      </c>
      <c r="AM299" s="541">
        <f t="shared" si="140"/>
        <v>1837500.0000000002</v>
      </c>
      <c r="AN299" s="542">
        <f t="shared" si="141"/>
        <v>0</v>
      </c>
      <c r="AO299" s="542">
        <f t="shared" si="142"/>
        <v>1499.9999999997672</v>
      </c>
      <c r="AP299" s="543">
        <f t="shared" si="143"/>
        <v>1499.9999999997672</v>
      </c>
      <c r="AQ299" s="544">
        <f t="shared" ca="1" si="144"/>
        <v>1499.9999999997672</v>
      </c>
      <c r="AR299" s="545">
        <f t="shared" ca="1" si="145"/>
        <v>2.4469820554645469E-3</v>
      </c>
      <c r="AS299" s="545">
        <f ca="1">IFERROR(CEILING($AR299*VLOOKUP($I299,Ref!$B$23:$E$29,4,0),1),0)</f>
        <v>1</v>
      </c>
      <c r="AT299" s="545" t="str">
        <f ca="1">IF(A299="","",IF(AP299&lt;=1,"Cleared",IF(AS299=0,"Clean",VLOOKUP($AS299,Ref!$G$23:$H$28,2))))</f>
        <v>1.(0-30) Days</v>
      </c>
      <c r="AU299" s="546" t="str">
        <f t="shared" si="146"/>
        <v>Ok</v>
      </c>
    </row>
    <row r="300" spans="1:47" ht="14.25" customHeight="1" x14ac:dyDescent="0.15">
      <c r="A300" s="575">
        <v>44496</v>
      </c>
      <c r="B300" s="523">
        <v>264</v>
      </c>
      <c r="C300" s="523">
        <v>298</v>
      </c>
      <c r="D300" s="523">
        <v>1</v>
      </c>
      <c r="E300" s="579" t="s">
        <v>1274</v>
      </c>
      <c r="F300" s="580">
        <v>5000000</v>
      </c>
      <c r="G300" s="524">
        <v>6</v>
      </c>
      <c r="H300" s="555">
        <v>0.05</v>
      </c>
      <c r="I300" s="560" t="s">
        <v>859</v>
      </c>
      <c r="J300" s="523" t="s">
        <v>862</v>
      </c>
      <c r="K300" s="528" t="str">
        <f>IFERROR(VLOOKUP($B300,'Clients-Live'!$A:$C,3,0),"")</f>
        <v>AMORI JOHN BAPTIST</v>
      </c>
      <c r="L300" s="528">
        <f>IF(E300="STL",Pricing!$D$38,IF(A300="",0,IF(A300&lt;Pricing!$C$25,Pricing!$D$25,VLOOKUP(Disbursements!$F300,Pricing!$B$29:$D$32,3))))</f>
        <v>30000</v>
      </c>
      <c r="M300" s="528">
        <f>IF(E300="STL",0,IF(F300&gt;0,Pricing!$D$21,0))</f>
        <v>5000</v>
      </c>
      <c r="N300" s="529">
        <f>IF(E300="STL",F300*Pricing!$D$40,IF(A300&lt;=Pricing!$C$4,0,IF(AND(A300&gt;Pricing!$C$4,Disbursements!A300&lt;=Pricing!$C$5),F300*Pricing!$E$5,IF(AND(A300&gt;Pricing!$C$5,Disbursements!A300&lt;=Pricing!$C$7),VLOOKUP(F300,Pricing!$D$7:$E$8,2)*Disbursements!F300,F300*Pricing!$E$9))))</f>
        <v>100000</v>
      </c>
      <c r="O300" s="528">
        <f>IF(E300="STL",0,IF($F300&gt;0,$F300*Pricing!$D$17,0))</f>
        <v>500000</v>
      </c>
      <c r="P300" s="530">
        <f t="shared" si="126"/>
        <v>1500000</v>
      </c>
      <c r="Q300" s="531">
        <f>IF($A300="","",$G300/VLOOKUP($I300,Ref!$B$23:$D$29,2,0))</f>
        <v>6</v>
      </c>
      <c r="R300" s="530">
        <f t="shared" si="127"/>
        <v>6500000</v>
      </c>
      <c r="S300" s="532">
        <f t="shared" si="121"/>
        <v>1083333.3333333333</v>
      </c>
      <c r="T300" s="531">
        <f t="shared" si="128"/>
        <v>1084000</v>
      </c>
      <c r="U300" s="533">
        <f t="shared" si="129"/>
        <v>6504000</v>
      </c>
      <c r="V300" s="531">
        <f t="shared" si="130"/>
        <v>833333.33333333337</v>
      </c>
      <c r="W300" s="531">
        <f t="shared" si="131"/>
        <v>250666.66666666663</v>
      </c>
      <c r="X300" s="534">
        <f t="shared" si="132"/>
        <v>1503999.9999999998</v>
      </c>
      <c r="Y300" s="535">
        <f>IF($A300="","",IF($I300="weekly",$A300+7,EDATE($A300,VLOOKUP($I300,Ref!$B$24:$C$29,2,0))))</f>
        <v>44527</v>
      </c>
      <c r="Z300" s="536" t="str">
        <f t="shared" si="133"/>
        <v>Sat</v>
      </c>
      <c r="AA300" s="531">
        <f t="shared" si="134"/>
        <v>31</v>
      </c>
      <c r="AB300" s="535">
        <f t="shared" si="122"/>
        <v>44678</v>
      </c>
      <c r="AC300" s="537">
        <f t="shared" si="123"/>
        <v>182</v>
      </c>
      <c r="AD300" s="538" t="str">
        <f t="shared" ca="1" si="124"/>
        <v>Expired</v>
      </c>
      <c r="AE300" s="537">
        <f t="shared" ca="1" si="125"/>
        <v>0</v>
      </c>
      <c r="AF300" s="539">
        <f t="shared" ca="1" si="135"/>
        <v>6</v>
      </c>
      <c r="AG300" s="531">
        <f t="shared" ca="1" si="136"/>
        <v>6504000</v>
      </c>
      <c r="AH300" s="531">
        <f t="shared" ca="1" si="137"/>
        <v>1503999.9999999998</v>
      </c>
      <c r="AI300" s="531">
        <f t="shared" ca="1" si="138"/>
        <v>5000000</v>
      </c>
      <c r="AJ300" s="531">
        <f t="shared" ca="1" si="139"/>
        <v>0</v>
      </c>
      <c r="AK300" s="540">
        <f>SUMIFS('Live Collections'!$S:$S,'Live Collections'!$D:$D,Disbursements!B300,'Live Collections'!$G:$G,Disbursements!C300)</f>
        <v>1503999.9999999998</v>
      </c>
      <c r="AL300" s="540">
        <f>SUMIFS('Live Collections'!$T:$T,'Live Collections'!$D:$D,Disbursements!B300,'Live Collections'!$G:$G,Disbursements!C300)</f>
        <v>5000000</v>
      </c>
      <c r="AM300" s="541">
        <f t="shared" si="140"/>
        <v>6504000</v>
      </c>
      <c r="AN300" s="542">
        <f t="shared" si="141"/>
        <v>0</v>
      </c>
      <c r="AO300" s="542">
        <f t="shared" si="142"/>
        <v>0</v>
      </c>
      <c r="AP300" s="543">
        <f t="shared" si="143"/>
        <v>0</v>
      </c>
      <c r="AQ300" s="544" t="str">
        <f t="shared" ca="1" si="144"/>
        <v/>
      </c>
      <c r="AR300" s="545">
        <f t="shared" ca="1" si="145"/>
        <v>0</v>
      </c>
      <c r="AS300" s="545">
        <f ca="1">IFERROR(CEILING($AR300*VLOOKUP($I300,Ref!$B$23:$E$29,4,0),1),0)</f>
        <v>0</v>
      </c>
      <c r="AT300" s="545" t="str">
        <f>IF(A300="","",IF(AP300&lt;=1,"Cleared",IF(AS300=0,"Clean",VLOOKUP($AS300,Ref!$G$23:$H$28,2))))</f>
        <v>Cleared</v>
      </c>
      <c r="AU300" s="546" t="str">
        <f t="shared" si="146"/>
        <v>Ok</v>
      </c>
    </row>
    <row r="301" spans="1:47" ht="14.25" customHeight="1" x14ac:dyDescent="0.15">
      <c r="A301" s="575">
        <v>44496</v>
      </c>
      <c r="B301" s="523">
        <v>262</v>
      </c>
      <c r="C301" s="523">
        <v>297</v>
      </c>
      <c r="D301" s="523">
        <v>1</v>
      </c>
      <c r="E301" s="579" t="s">
        <v>1274</v>
      </c>
      <c r="F301" s="580">
        <v>200000</v>
      </c>
      <c r="G301" s="524">
        <v>3</v>
      </c>
      <c r="H301" s="555">
        <v>0.05</v>
      </c>
      <c r="I301" s="560" t="s">
        <v>859</v>
      </c>
      <c r="J301" s="523" t="s">
        <v>864</v>
      </c>
      <c r="K301" s="528" t="str">
        <f>IFERROR(VLOOKUP($B301,'Clients-Live'!$A:$C,3,0),"")</f>
        <v>ALONE ZAITUN</v>
      </c>
      <c r="L301" s="528">
        <f>IF(E301="STL",Pricing!$D$38,IF(A301="",0,IF(A301&lt;Pricing!$C$25,Pricing!$D$25,VLOOKUP(Disbursements!$F301,Pricing!$B$29:$D$32,3))))</f>
        <v>15000</v>
      </c>
      <c r="M301" s="528">
        <f>IF(E301="STL",0,IF(F301&gt;0,Pricing!$D$21,0))</f>
        <v>5000</v>
      </c>
      <c r="N301" s="529">
        <f>IF(E301="STL",F301*Pricing!$D$40,IF(A301&lt;=Pricing!$C$4,0,IF(AND(A301&gt;Pricing!$C$4,Disbursements!A301&lt;=Pricing!$C$5),F301*Pricing!$E$5,IF(AND(A301&gt;Pricing!$C$5,Disbursements!A301&lt;=Pricing!$C$7),VLOOKUP(F301,Pricing!$D$7:$E$8,2)*Disbursements!F301,F301*Pricing!$E$9))))</f>
        <v>2000</v>
      </c>
      <c r="O301" s="528">
        <f>IF(E301="STL",0,IF($F301&gt;0,$F301*Pricing!$D$17,0))</f>
        <v>20000</v>
      </c>
      <c r="P301" s="530">
        <f t="shared" si="126"/>
        <v>30000</v>
      </c>
      <c r="Q301" s="531">
        <f>IF($A301="","",$G301/VLOOKUP($I301,Ref!$B$23:$D$29,2,0))</f>
        <v>3</v>
      </c>
      <c r="R301" s="530">
        <f t="shared" si="127"/>
        <v>230000</v>
      </c>
      <c r="S301" s="532">
        <f t="shared" si="121"/>
        <v>76666.666666666672</v>
      </c>
      <c r="T301" s="531">
        <f t="shared" si="128"/>
        <v>77000</v>
      </c>
      <c r="U301" s="533">
        <f t="shared" si="129"/>
        <v>231000</v>
      </c>
      <c r="V301" s="531">
        <f t="shared" si="130"/>
        <v>66666.666666666672</v>
      </c>
      <c r="W301" s="531">
        <f t="shared" si="131"/>
        <v>10333.333333333328</v>
      </c>
      <c r="X301" s="534">
        <f t="shared" si="132"/>
        <v>30999.999999999985</v>
      </c>
      <c r="Y301" s="535">
        <f>IF($A301="","",IF($I301="weekly",$A301+7,EDATE($A301,VLOOKUP($I301,Ref!$B$24:$C$29,2,0))))</f>
        <v>44527</v>
      </c>
      <c r="Z301" s="536" t="str">
        <f t="shared" si="133"/>
        <v>Sat</v>
      </c>
      <c r="AA301" s="531">
        <f t="shared" si="134"/>
        <v>31</v>
      </c>
      <c r="AB301" s="535">
        <f t="shared" si="122"/>
        <v>44588</v>
      </c>
      <c r="AC301" s="537">
        <f t="shared" si="123"/>
        <v>92</v>
      </c>
      <c r="AD301" s="538" t="str">
        <f t="shared" ca="1" si="124"/>
        <v>Expired</v>
      </c>
      <c r="AE301" s="537">
        <f t="shared" ca="1" si="125"/>
        <v>0</v>
      </c>
      <c r="AF301" s="539">
        <f t="shared" ca="1" si="135"/>
        <v>3</v>
      </c>
      <c r="AG301" s="531">
        <f t="shared" ca="1" si="136"/>
        <v>231000</v>
      </c>
      <c r="AH301" s="531">
        <f t="shared" ca="1" si="137"/>
        <v>30999.999999999985</v>
      </c>
      <c r="AI301" s="531">
        <f t="shared" ca="1" si="138"/>
        <v>200000</v>
      </c>
      <c r="AJ301" s="531">
        <f t="shared" ca="1" si="139"/>
        <v>0</v>
      </c>
      <c r="AK301" s="540">
        <f>SUMIFS('Live Collections'!$S:$S,'Live Collections'!$D:$D,Disbursements!B301,'Live Collections'!$G:$G,Disbursements!C301)</f>
        <v>30999.999999999985</v>
      </c>
      <c r="AL301" s="540">
        <f>SUMIFS('Live Collections'!$T:$T,'Live Collections'!$D:$D,Disbursements!B301,'Live Collections'!$G:$G,Disbursements!C301)</f>
        <v>199000</v>
      </c>
      <c r="AM301" s="541">
        <f t="shared" si="140"/>
        <v>230000</v>
      </c>
      <c r="AN301" s="542">
        <f t="shared" si="141"/>
        <v>0</v>
      </c>
      <c r="AO301" s="542">
        <f t="shared" si="142"/>
        <v>1000</v>
      </c>
      <c r="AP301" s="543">
        <f t="shared" si="143"/>
        <v>1000</v>
      </c>
      <c r="AQ301" s="544">
        <f t="shared" ca="1" si="144"/>
        <v>1000</v>
      </c>
      <c r="AR301" s="545">
        <f t="shared" ca="1" si="145"/>
        <v>1.2987012987012988E-2</v>
      </c>
      <c r="AS301" s="545">
        <f ca="1">IFERROR(CEILING($AR301*VLOOKUP($I301,Ref!$B$23:$E$29,4,0),1),0)</f>
        <v>1</v>
      </c>
      <c r="AT301" s="545" t="str">
        <f ca="1">IF(A301="","",IF(AP301&lt;=1,"Cleared",IF(AS301=0,"Clean",VLOOKUP($AS301,Ref!$G$23:$H$28,2))))</f>
        <v>1.(0-30) Days</v>
      </c>
      <c r="AU301" s="546" t="str">
        <f t="shared" si="146"/>
        <v>Ok</v>
      </c>
    </row>
    <row r="302" spans="1:47" ht="14.25" customHeight="1" x14ac:dyDescent="0.15">
      <c r="A302" s="575">
        <v>44499</v>
      </c>
      <c r="B302" s="523">
        <v>70</v>
      </c>
      <c r="C302" s="523">
        <v>299</v>
      </c>
      <c r="D302" s="523">
        <v>2</v>
      </c>
      <c r="E302" s="579" t="s">
        <v>1274</v>
      </c>
      <c r="F302" s="580">
        <v>1200000</v>
      </c>
      <c r="G302" s="524">
        <v>6</v>
      </c>
      <c r="H302" s="555">
        <v>0.05</v>
      </c>
      <c r="I302" s="560" t="s">
        <v>859</v>
      </c>
      <c r="J302" s="523" t="s">
        <v>863</v>
      </c>
      <c r="K302" s="528" t="str">
        <f>IFERROR(VLOOKUP($B302,'Clients-Live'!$A:$C,3,0),"")</f>
        <v>BUGA ALIKIA PHILLIP</v>
      </c>
      <c r="L302" s="528">
        <f>IF(E302="STL",Pricing!$D$38,IF(A302="",0,IF(A302&lt;Pricing!$C$25,Pricing!$D$25,VLOOKUP(Disbursements!$F302,Pricing!$B$29:$D$32,3))))</f>
        <v>25000</v>
      </c>
      <c r="M302" s="528">
        <f>IF(E302="STL",0,IF(F302&gt;0,Pricing!$D$21,0))</f>
        <v>5000</v>
      </c>
      <c r="N302" s="529">
        <f>IF(E302="STL",F302*Pricing!$D$40,IF(A302&lt;=Pricing!$C$4,0,IF(AND(A302&gt;Pricing!$C$4,Disbursements!A302&lt;=Pricing!$C$5),F302*Pricing!$E$5,IF(AND(A302&gt;Pricing!$C$5,Disbursements!A302&lt;=Pricing!$C$7),VLOOKUP(F302,Pricing!$D$7:$E$8,2)*Disbursements!F302,F302*Pricing!$E$9))))</f>
        <v>24000</v>
      </c>
      <c r="O302" s="528">
        <f>IF(E302="STL",0,IF($F302&gt;0,$F302*Pricing!$D$17,0))</f>
        <v>120000</v>
      </c>
      <c r="P302" s="530">
        <f t="shared" si="126"/>
        <v>360000</v>
      </c>
      <c r="Q302" s="531">
        <f>IF($A302="","",$G302/VLOOKUP($I302,Ref!$B$23:$D$29,2,0))</f>
        <v>6</v>
      </c>
      <c r="R302" s="530">
        <f t="shared" si="127"/>
        <v>1560000</v>
      </c>
      <c r="S302" s="532">
        <f t="shared" si="121"/>
        <v>260000</v>
      </c>
      <c r="T302" s="531">
        <f t="shared" si="128"/>
        <v>260000</v>
      </c>
      <c r="U302" s="533">
        <f t="shared" si="129"/>
        <v>1560000</v>
      </c>
      <c r="V302" s="531">
        <f t="shared" si="130"/>
        <v>200000</v>
      </c>
      <c r="W302" s="531">
        <f t="shared" si="131"/>
        <v>60000</v>
      </c>
      <c r="X302" s="534">
        <f t="shared" si="132"/>
        <v>360000</v>
      </c>
      <c r="Y302" s="535">
        <f>IF($A302="","",IF($I302="weekly",$A302+7,EDATE($A302,VLOOKUP($I302,Ref!$B$24:$C$29,2,0))))</f>
        <v>44530</v>
      </c>
      <c r="Z302" s="536" t="str">
        <f t="shared" si="133"/>
        <v>Tue</v>
      </c>
      <c r="AA302" s="531">
        <f t="shared" si="134"/>
        <v>31</v>
      </c>
      <c r="AB302" s="535">
        <f t="shared" si="122"/>
        <v>44681</v>
      </c>
      <c r="AC302" s="537">
        <f t="shared" si="123"/>
        <v>182</v>
      </c>
      <c r="AD302" s="538" t="str">
        <f t="shared" ca="1" si="124"/>
        <v>Expired</v>
      </c>
      <c r="AE302" s="537">
        <f t="shared" ca="1" si="125"/>
        <v>0</v>
      </c>
      <c r="AF302" s="539">
        <f t="shared" ca="1" si="135"/>
        <v>6</v>
      </c>
      <c r="AG302" s="531">
        <f t="shared" ca="1" si="136"/>
        <v>1560000</v>
      </c>
      <c r="AH302" s="531">
        <f t="shared" ca="1" si="137"/>
        <v>360000</v>
      </c>
      <c r="AI302" s="531">
        <f t="shared" ca="1" si="138"/>
        <v>1200000</v>
      </c>
      <c r="AJ302" s="531">
        <f t="shared" ca="1" si="139"/>
        <v>0</v>
      </c>
      <c r="AK302" s="540">
        <f>SUMIFS('Live Collections'!$S:$S,'Live Collections'!$D:$D,Disbursements!B302,'Live Collections'!$G:$G,Disbursements!C302)</f>
        <v>360000</v>
      </c>
      <c r="AL302" s="540">
        <f>SUMIFS('Live Collections'!$T:$T,'Live Collections'!$D:$D,Disbursements!B302,'Live Collections'!$G:$G,Disbursements!C302)</f>
        <v>1200000</v>
      </c>
      <c r="AM302" s="541">
        <f t="shared" si="140"/>
        <v>1560000</v>
      </c>
      <c r="AN302" s="542">
        <f t="shared" si="141"/>
        <v>0</v>
      </c>
      <c r="AO302" s="542">
        <f t="shared" si="142"/>
        <v>0</v>
      </c>
      <c r="AP302" s="543">
        <f t="shared" si="143"/>
        <v>0</v>
      </c>
      <c r="AQ302" s="544" t="str">
        <f t="shared" ca="1" si="144"/>
        <v/>
      </c>
      <c r="AR302" s="545">
        <f t="shared" ca="1" si="145"/>
        <v>0</v>
      </c>
      <c r="AS302" s="545">
        <f ca="1">IFERROR(CEILING($AR302*VLOOKUP($I302,Ref!$B$23:$E$29,4,0),1),0)</f>
        <v>0</v>
      </c>
      <c r="AT302" s="545" t="str">
        <f>IF(A302="","",IF(AP302&lt;=1,"Cleared",IF(AS302=0,"Clean",VLOOKUP($AS302,Ref!$G$23:$H$28,2))))</f>
        <v>Cleared</v>
      </c>
      <c r="AU302" s="546" t="str">
        <f t="shared" si="146"/>
        <v>Ok</v>
      </c>
    </row>
    <row r="303" spans="1:47" ht="14.25" customHeight="1" x14ac:dyDescent="0.15">
      <c r="A303" s="575">
        <v>44503</v>
      </c>
      <c r="B303" s="523">
        <v>66</v>
      </c>
      <c r="C303" s="523">
        <v>300</v>
      </c>
      <c r="D303" s="523">
        <v>2</v>
      </c>
      <c r="E303" s="579" t="s">
        <v>1274</v>
      </c>
      <c r="F303" s="580">
        <v>2000000</v>
      </c>
      <c r="G303" s="524">
        <v>6</v>
      </c>
      <c r="H303" s="555">
        <v>0.05</v>
      </c>
      <c r="I303" s="560" t="s">
        <v>861</v>
      </c>
      <c r="J303" s="523" t="s">
        <v>864</v>
      </c>
      <c r="K303" s="528" t="str">
        <f>IFERROR(VLOOKUP($B303,'Clients-Live'!$A:$C,3,0),"")</f>
        <v>DENAYA NYAMAZA</v>
      </c>
      <c r="L303" s="528">
        <f>IF(E303="STL",Pricing!$D$38,IF(A303="",0,IF(A303&lt;Pricing!$C$25,Pricing!$D$25,VLOOKUP(Disbursements!$F303,Pricing!$B$29:$D$32,3))))</f>
        <v>25000</v>
      </c>
      <c r="M303" s="528">
        <f>IF(E303="STL",0,IF(F303&gt;0,Pricing!$D$21,0))</f>
        <v>5000</v>
      </c>
      <c r="N303" s="529">
        <f>IF(E303="STL",F303*Pricing!$D$40,IF(A303&lt;=Pricing!$C$4,0,IF(AND(A303&gt;Pricing!$C$4,Disbursements!A303&lt;=Pricing!$C$5),F303*Pricing!$E$5,IF(AND(A303&gt;Pricing!$C$5,Disbursements!A303&lt;=Pricing!$C$7),VLOOKUP(F303,Pricing!$D$7:$E$8,2)*Disbursements!F303,F303*Pricing!$E$9))))</f>
        <v>40000</v>
      </c>
      <c r="O303" s="528">
        <f>IF(E303="STL",0,IF($F303&gt;0,$F303*Pricing!$D$17,0))</f>
        <v>200000</v>
      </c>
      <c r="P303" s="530">
        <f t="shared" si="126"/>
        <v>600000</v>
      </c>
      <c r="Q303" s="531">
        <f>IF($A303="","",$G303/VLOOKUP($I303,Ref!$B$23:$D$29,2,0))</f>
        <v>24</v>
      </c>
      <c r="R303" s="530">
        <f t="shared" si="127"/>
        <v>2600000</v>
      </c>
      <c r="S303" s="532">
        <f t="shared" si="121"/>
        <v>108333.33333333333</v>
      </c>
      <c r="T303" s="531">
        <f t="shared" si="128"/>
        <v>109000</v>
      </c>
      <c r="U303" s="533">
        <f t="shared" si="129"/>
        <v>2616000</v>
      </c>
      <c r="V303" s="531">
        <f t="shared" si="130"/>
        <v>83333.333333333328</v>
      </c>
      <c r="W303" s="531">
        <f t="shared" si="131"/>
        <v>25666.666666666672</v>
      </c>
      <c r="X303" s="534">
        <f t="shared" si="132"/>
        <v>616000.00000000012</v>
      </c>
      <c r="Y303" s="535">
        <f>IF($A303="","",IF($I303="weekly",$A303+7,EDATE($A303,VLOOKUP($I303,Ref!$B$24:$C$29,2,0))))</f>
        <v>44510</v>
      </c>
      <c r="Z303" s="536" t="str">
        <f t="shared" si="133"/>
        <v>Wed</v>
      </c>
      <c r="AA303" s="531">
        <f t="shared" si="134"/>
        <v>7</v>
      </c>
      <c r="AB303" s="535">
        <f t="shared" si="122"/>
        <v>44684</v>
      </c>
      <c r="AC303" s="537">
        <f t="shared" si="123"/>
        <v>181</v>
      </c>
      <c r="AD303" s="538" t="str">
        <f t="shared" ca="1" si="124"/>
        <v>Expired</v>
      </c>
      <c r="AE303" s="537">
        <f t="shared" ca="1" si="125"/>
        <v>0</v>
      </c>
      <c r="AF303" s="539">
        <f t="shared" ca="1" si="135"/>
        <v>24</v>
      </c>
      <c r="AG303" s="531">
        <f t="shared" ca="1" si="136"/>
        <v>2616000</v>
      </c>
      <c r="AH303" s="531">
        <f t="shared" ca="1" si="137"/>
        <v>616000.00000000012</v>
      </c>
      <c r="AI303" s="531">
        <f t="shared" ca="1" si="138"/>
        <v>2000000</v>
      </c>
      <c r="AJ303" s="531">
        <f t="shared" ca="1" si="139"/>
        <v>0</v>
      </c>
      <c r="AK303" s="540">
        <f>SUMIFS('Live Collections'!$S:$S,'Live Collections'!$D:$D,Disbursements!B303,'Live Collections'!$G:$G,Disbursements!C303)</f>
        <v>602666.66666666663</v>
      </c>
      <c r="AL303" s="540">
        <f>SUMIFS('Live Collections'!$T:$T,'Live Collections'!$D:$D,Disbursements!B303,'Live Collections'!$G:$G,Disbursements!C303)</f>
        <v>1595333.3333333328</v>
      </c>
      <c r="AM303" s="541">
        <f t="shared" si="140"/>
        <v>2197999.9999999995</v>
      </c>
      <c r="AN303" s="542">
        <f t="shared" si="141"/>
        <v>13333.333333333489</v>
      </c>
      <c r="AO303" s="542">
        <f t="shared" si="142"/>
        <v>404666.66666666721</v>
      </c>
      <c r="AP303" s="543">
        <f t="shared" si="143"/>
        <v>418000.0000000007</v>
      </c>
      <c r="AQ303" s="544">
        <f t="shared" ca="1" si="144"/>
        <v>418000.0000000007</v>
      </c>
      <c r="AR303" s="545">
        <f t="shared" ca="1" si="145"/>
        <v>3.8348623853211072</v>
      </c>
      <c r="AS303" s="545">
        <f ca="1">IFERROR(CEILING($AR303*VLOOKUP($I303,Ref!$B$23:$E$29,4,0),1),0)</f>
        <v>27</v>
      </c>
      <c r="AT303" s="545" t="str">
        <f ca="1">IF(A303="","",IF(AP303&lt;=1,"Cleared",IF(AS303=0,"Clean",VLOOKUP($AS303,Ref!$G$23:$H$28,2))))</f>
        <v>1.(0-30) Days</v>
      </c>
      <c r="AU303" s="546" t="str">
        <f t="shared" si="146"/>
        <v>Ok</v>
      </c>
    </row>
    <row r="304" spans="1:47" ht="14.25" customHeight="1" x14ac:dyDescent="0.15">
      <c r="A304" s="575">
        <v>44503</v>
      </c>
      <c r="B304" s="523">
        <v>94</v>
      </c>
      <c r="C304" s="523">
        <v>305</v>
      </c>
      <c r="D304" s="523">
        <v>2</v>
      </c>
      <c r="E304" s="579" t="s">
        <v>1274</v>
      </c>
      <c r="F304" s="580">
        <v>300000</v>
      </c>
      <c r="G304" s="524">
        <v>4</v>
      </c>
      <c r="H304" s="555">
        <v>0.05</v>
      </c>
      <c r="I304" s="560" t="s">
        <v>859</v>
      </c>
      <c r="J304" s="523" t="s">
        <v>864</v>
      </c>
      <c r="K304" s="528" t="str">
        <f>IFERROR(VLOOKUP($B304,'Clients-Live'!$A:$C,3,0),"")</f>
        <v>NGINYA RICHARD</v>
      </c>
      <c r="L304" s="528">
        <f>IF(E304="STL",Pricing!$D$38,IF(A304="",0,IF(A304&lt;Pricing!$C$25,Pricing!$D$25,VLOOKUP(Disbursements!$F304,Pricing!$B$29:$D$32,3))))</f>
        <v>15000</v>
      </c>
      <c r="M304" s="528">
        <f>IF(E304="STL",0,IF(F304&gt;0,Pricing!$D$21,0))</f>
        <v>5000</v>
      </c>
      <c r="N304" s="529">
        <f>IF(E304="STL",F304*Pricing!$D$40,IF(A304&lt;=Pricing!$C$4,0,IF(AND(A304&gt;Pricing!$C$4,Disbursements!A304&lt;=Pricing!$C$5),F304*Pricing!$E$5,IF(AND(A304&gt;Pricing!$C$5,Disbursements!A304&lt;=Pricing!$C$7),VLOOKUP(F304,Pricing!$D$7:$E$8,2)*Disbursements!F304,F304*Pricing!$E$9))))</f>
        <v>3000</v>
      </c>
      <c r="O304" s="528">
        <f>IF(E304="STL",0,IF($F304&gt;0,$F304*Pricing!$D$17,0))</f>
        <v>30000</v>
      </c>
      <c r="P304" s="530">
        <f t="shared" si="126"/>
        <v>60000</v>
      </c>
      <c r="Q304" s="531">
        <f>IF($A304="","",$G304/VLOOKUP($I304,Ref!$B$23:$D$29,2,0))</f>
        <v>4</v>
      </c>
      <c r="R304" s="530">
        <f t="shared" si="127"/>
        <v>360000</v>
      </c>
      <c r="S304" s="532">
        <f t="shared" si="121"/>
        <v>90000</v>
      </c>
      <c r="T304" s="531">
        <f t="shared" si="128"/>
        <v>90000</v>
      </c>
      <c r="U304" s="533">
        <f t="shared" si="129"/>
        <v>360000</v>
      </c>
      <c r="V304" s="531">
        <f t="shared" si="130"/>
        <v>75000</v>
      </c>
      <c r="W304" s="531">
        <f t="shared" si="131"/>
        <v>15000</v>
      </c>
      <c r="X304" s="534">
        <f t="shared" si="132"/>
        <v>60000</v>
      </c>
      <c r="Y304" s="535">
        <f>IF($A304="","",IF($I304="weekly",$A304+7,EDATE($A304,VLOOKUP($I304,Ref!$B$24:$C$29,2,0))))</f>
        <v>44533</v>
      </c>
      <c r="Z304" s="536" t="str">
        <f t="shared" si="133"/>
        <v>Frid</v>
      </c>
      <c r="AA304" s="531">
        <f t="shared" si="134"/>
        <v>30</v>
      </c>
      <c r="AB304" s="535">
        <f t="shared" si="122"/>
        <v>44623</v>
      </c>
      <c r="AC304" s="537">
        <f t="shared" si="123"/>
        <v>120</v>
      </c>
      <c r="AD304" s="538" t="str">
        <f t="shared" ca="1" si="124"/>
        <v>Expired</v>
      </c>
      <c r="AE304" s="537">
        <f t="shared" ca="1" si="125"/>
        <v>0</v>
      </c>
      <c r="AF304" s="539">
        <f t="shared" ca="1" si="135"/>
        <v>4</v>
      </c>
      <c r="AG304" s="531">
        <f t="shared" ca="1" si="136"/>
        <v>360000</v>
      </c>
      <c r="AH304" s="531">
        <f t="shared" ca="1" si="137"/>
        <v>60000</v>
      </c>
      <c r="AI304" s="531">
        <f t="shared" ca="1" si="138"/>
        <v>300000</v>
      </c>
      <c r="AJ304" s="531">
        <f t="shared" ca="1" si="139"/>
        <v>0</v>
      </c>
      <c r="AK304" s="540">
        <f>SUMIFS('Live Collections'!$S:$S,'Live Collections'!$D:$D,Disbursements!B304,'Live Collections'!$G:$G,Disbursements!C304)</f>
        <v>60000</v>
      </c>
      <c r="AL304" s="540">
        <f>SUMIFS('Live Collections'!$T:$T,'Live Collections'!$D:$D,Disbursements!B304,'Live Collections'!$G:$G,Disbursements!C304)</f>
        <v>300000</v>
      </c>
      <c r="AM304" s="541">
        <f t="shared" si="140"/>
        <v>360000</v>
      </c>
      <c r="AN304" s="542">
        <f t="shared" si="141"/>
        <v>0</v>
      </c>
      <c r="AO304" s="542">
        <f t="shared" si="142"/>
        <v>0</v>
      </c>
      <c r="AP304" s="543">
        <f t="shared" si="143"/>
        <v>0</v>
      </c>
      <c r="AQ304" s="544" t="str">
        <f t="shared" ca="1" si="144"/>
        <v/>
      </c>
      <c r="AR304" s="545">
        <f t="shared" ca="1" si="145"/>
        <v>0</v>
      </c>
      <c r="AS304" s="545">
        <f ca="1">IFERROR(CEILING($AR304*VLOOKUP($I304,Ref!$B$23:$E$29,4,0),1),0)</f>
        <v>0</v>
      </c>
      <c r="AT304" s="545" t="str">
        <f>IF(A304="","",IF(AP304&lt;=1,"Cleared",IF(AS304=0,"Clean",VLOOKUP($AS304,Ref!$G$23:$H$28,2))))</f>
        <v>Cleared</v>
      </c>
      <c r="AU304" s="546" t="str">
        <f t="shared" si="146"/>
        <v>Ok</v>
      </c>
    </row>
    <row r="305" spans="1:47" ht="14.25" customHeight="1" x14ac:dyDescent="0.15">
      <c r="A305" s="575">
        <v>44503</v>
      </c>
      <c r="B305" s="523">
        <v>148</v>
      </c>
      <c r="C305" s="523">
        <v>304</v>
      </c>
      <c r="D305" s="523">
        <v>2</v>
      </c>
      <c r="E305" s="579" t="s">
        <v>1274</v>
      </c>
      <c r="F305" s="580">
        <v>500000</v>
      </c>
      <c r="G305" s="524">
        <v>5</v>
      </c>
      <c r="H305" s="555">
        <v>0.05</v>
      </c>
      <c r="I305" s="560" t="s">
        <v>859</v>
      </c>
      <c r="J305" s="523" t="s">
        <v>862</v>
      </c>
      <c r="K305" s="528" t="str">
        <f>IFERROR(VLOOKUP($B305,'Clients-Live'!$A:$C,3,0),"")</f>
        <v>GBOKA ZAIDA</v>
      </c>
      <c r="L305" s="528">
        <f>IF(E305="STL",Pricing!$D$38,IF(A305="",0,IF(A305&lt;Pricing!$C$25,Pricing!$D$25,VLOOKUP(Disbursements!$F305,Pricing!$B$29:$D$32,3))))</f>
        <v>15000</v>
      </c>
      <c r="M305" s="528">
        <f>IF(E305="STL",0,IF(F305&gt;0,Pricing!$D$21,0))</f>
        <v>5000</v>
      </c>
      <c r="N305" s="529">
        <f>IF(E305="STL",F305*Pricing!$D$40,IF(A305&lt;=Pricing!$C$4,0,IF(AND(A305&gt;Pricing!$C$4,Disbursements!A305&lt;=Pricing!$C$5),F305*Pricing!$E$5,IF(AND(A305&gt;Pricing!$C$5,Disbursements!A305&lt;=Pricing!$C$7),VLOOKUP(F305,Pricing!$D$7:$E$8,2)*Disbursements!F305,F305*Pricing!$E$9))))</f>
        <v>5000</v>
      </c>
      <c r="O305" s="528">
        <f>IF(E305="STL",0,IF($F305&gt;0,$F305*Pricing!$D$17,0))</f>
        <v>50000</v>
      </c>
      <c r="P305" s="530">
        <f t="shared" si="126"/>
        <v>125000</v>
      </c>
      <c r="Q305" s="531">
        <f>IF($A305="","",$G305/VLOOKUP($I305,Ref!$B$23:$D$29,2,0))</f>
        <v>5</v>
      </c>
      <c r="R305" s="530">
        <f t="shared" si="127"/>
        <v>625000</v>
      </c>
      <c r="S305" s="532">
        <f t="shared" si="121"/>
        <v>125000</v>
      </c>
      <c r="T305" s="531">
        <f t="shared" si="128"/>
        <v>125000</v>
      </c>
      <c r="U305" s="533">
        <f t="shared" si="129"/>
        <v>625000</v>
      </c>
      <c r="V305" s="531">
        <f t="shared" si="130"/>
        <v>100000</v>
      </c>
      <c r="W305" s="531">
        <f t="shared" si="131"/>
        <v>25000</v>
      </c>
      <c r="X305" s="534">
        <f t="shared" si="132"/>
        <v>125000</v>
      </c>
      <c r="Y305" s="535">
        <f>IF($A305="","",IF($I305="weekly",$A305+7,EDATE($A305,VLOOKUP($I305,Ref!$B$24:$C$29,2,0))))</f>
        <v>44533</v>
      </c>
      <c r="Z305" s="536" t="str">
        <f t="shared" si="133"/>
        <v>Frid</v>
      </c>
      <c r="AA305" s="531">
        <f t="shared" si="134"/>
        <v>30</v>
      </c>
      <c r="AB305" s="535">
        <f t="shared" si="122"/>
        <v>44654</v>
      </c>
      <c r="AC305" s="537">
        <f t="shared" si="123"/>
        <v>151</v>
      </c>
      <c r="AD305" s="538" t="str">
        <f t="shared" ca="1" si="124"/>
        <v>Expired</v>
      </c>
      <c r="AE305" s="537">
        <f t="shared" ca="1" si="125"/>
        <v>0</v>
      </c>
      <c r="AF305" s="539">
        <f t="shared" ca="1" si="135"/>
        <v>5</v>
      </c>
      <c r="AG305" s="531">
        <f t="shared" ca="1" si="136"/>
        <v>625000</v>
      </c>
      <c r="AH305" s="531">
        <f t="shared" ca="1" si="137"/>
        <v>125000</v>
      </c>
      <c r="AI305" s="531">
        <f t="shared" ca="1" si="138"/>
        <v>500000</v>
      </c>
      <c r="AJ305" s="531">
        <f t="shared" ca="1" si="139"/>
        <v>0</v>
      </c>
      <c r="AK305" s="540">
        <f>SUMIFS('Live Collections'!$S:$S,'Live Collections'!$D:$D,Disbursements!B305,'Live Collections'!$G:$G,Disbursements!C305)</f>
        <v>125000</v>
      </c>
      <c r="AL305" s="540">
        <f>SUMIFS('Live Collections'!$T:$T,'Live Collections'!$D:$D,Disbursements!B305,'Live Collections'!$G:$G,Disbursements!C305)</f>
        <v>300000</v>
      </c>
      <c r="AM305" s="541">
        <f t="shared" si="140"/>
        <v>425000</v>
      </c>
      <c r="AN305" s="542">
        <f t="shared" si="141"/>
        <v>0</v>
      </c>
      <c r="AO305" s="542">
        <f t="shared" si="142"/>
        <v>200000</v>
      </c>
      <c r="AP305" s="543">
        <f t="shared" si="143"/>
        <v>200000</v>
      </c>
      <c r="AQ305" s="544">
        <f t="shared" ca="1" si="144"/>
        <v>200000</v>
      </c>
      <c r="AR305" s="545">
        <f t="shared" ca="1" si="145"/>
        <v>1.6</v>
      </c>
      <c r="AS305" s="545">
        <f ca="1">IFERROR(CEILING($AR305*VLOOKUP($I305,Ref!$B$23:$E$29,4,0),1),0)</f>
        <v>48</v>
      </c>
      <c r="AT305" s="545" t="str">
        <f ca="1">IF(A305="","",IF(AP305&lt;=1,"Cleared",IF(AS305=0,"Clean",VLOOKUP($AS305,Ref!$G$23:$H$28,2))))</f>
        <v>2.(31-60) Days</v>
      </c>
      <c r="AU305" s="546" t="str">
        <f t="shared" si="146"/>
        <v>Ok</v>
      </c>
    </row>
    <row r="306" spans="1:47" ht="14.25" customHeight="1" x14ac:dyDescent="0.15">
      <c r="A306" s="575">
        <v>44503</v>
      </c>
      <c r="B306" s="523">
        <v>170</v>
      </c>
      <c r="C306" s="523">
        <v>302</v>
      </c>
      <c r="D306" s="523">
        <v>2</v>
      </c>
      <c r="E306" s="579" t="s">
        <v>1274</v>
      </c>
      <c r="F306" s="580">
        <v>500000</v>
      </c>
      <c r="G306" s="524">
        <v>5</v>
      </c>
      <c r="H306" s="555">
        <v>0.05</v>
      </c>
      <c r="I306" s="560" t="s">
        <v>859</v>
      </c>
      <c r="J306" s="523" t="s">
        <v>862</v>
      </c>
      <c r="K306" s="528" t="str">
        <f>IFERROR(VLOOKUP($B306,'Clients-Live'!$A:$C,3,0),"")</f>
        <v xml:space="preserve">KABEBI RAIMA </v>
      </c>
      <c r="L306" s="528">
        <f>IF(E306="STL",Pricing!$D$38,IF(A306="",0,IF(A306&lt;Pricing!$C$25,Pricing!$D$25,VLOOKUP(Disbursements!$F306,Pricing!$B$29:$D$32,3))))</f>
        <v>15000</v>
      </c>
      <c r="M306" s="528">
        <f>IF(E306="STL",0,IF(F306&gt;0,Pricing!$D$21,0))</f>
        <v>5000</v>
      </c>
      <c r="N306" s="529">
        <f>IF(E306="STL",F306*Pricing!$D$40,IF(A306&lt;=Pricing!$C$4,0,IF(AND(A306&gt;Pricing!$C$4,Disbursements!A306&lt;=Pricing!$C$5),F306*Pricing!$E$5,IF(AND(A306&gt;Pricing!$C$5,Disbursements!A306&lt;=Pricing!$C$7),VLOOKUP(F306,Pricing!$D$7:$E$8,2)*Disbursements!F306,F306*Pricing!$E$9))))</f>
        <v>5000</v>
      </c>
      <c r="O306" s="528">
        <f>IF(E306="STL",0,IF($F306&gt;0,$F306*Pricing!$D$17,0))</f>
        <v>50000</v>
      </c>
      <c r="P306" s="530">
        <f t="shared" si="126"/>
        <v>125000</v>
      </c>
      <c r="Q306" s="531">
        <f>IF($A306="","",$G306/VLOOKUP($I306,Ref!$B$23:$D$29,2,0))</f>
        <v>5</v>
      </c>
      <c r="R306" s="530">
        <f t="shared" si="127"/>
        <v>625000</v>
      </c>
      <c r="S306" s="532">
        <f t="shared" si="121"/>
        <v>125000</v>
      </c>
      <c r="T306" s="531">
        <f t="shared" si="128"/>
        <v>125000</v>
      </c>
      <c r="U306" s="533">
        <f t="shared" si="129"/>
        <v>625000</v>
      </c>
      <c r="V306" s="531">
        <f t="shared" si="130"/>
        <v>100000</v>
      </c>
      <c r="W306" s="531">
        <f t="shared" si="131"/>
        <v>25000</v>
      </c>
      <c r="X306" s="534">
        <f t="shared" si="132"/>
        <v>125000</v>
      </c>
      <c r="Y306" s="535">
        <f>IF($A306="","",IF($I306="weekly",$A306+7,EDATE($A306,VLOOKUP($I306,Ref!$B$24:$C$29,2,0))))</f>
        <v>44533</v>
      </c>
      <c r="Z306" s="536" t="str">
        <f t="shared" si="133"/>
        <v>Frid</v>
      </c>
      <c r="AA306" s="531">
        <f t="shared" si="134"/>
        <v>30</v>
      </c>
      <c r="AB306" s="535">
        <f t="shared" si="122"/>
        <v>44654</v>
      </c>
      <c r="AC306" s="537">
        <f t="shared" si="123"/>
        <v>151</v>
      </c>
      <c r="AD306" s="538" t="str">
        <f t="shared" ca="1" si="124"/>
        <v>Expired</v>
      </c>
      <c r="AE306" s="537">
        <f t="shared" ca="1" si="125"/>
        <v>0</v>
      </c>
      <c r="AF306" s="539">
        <f t="shared" ca="1" si="135"/>
        <v>5</v>
      </c>
      <c r="AG306" s="531">
        <f t="shared" ca="1" si="136"/>
        <v>625000</v>
      </c>
      <c r="AH306" s="531">
        <f t="shared" ca="1" si="137"/>
        <v>125000</v>
      </c>
      <c r="AI306" s="531">
        <f t="shared" ca="1" si="138"/>
        <v>500000</v>
      </c>
      <c r="AJ306" s="531">
        <f t="shared" ca="1" si="139"/>
        <v>0</v>
      </c>
      <c r="AK306" s="540">
        <f>SUMIFS('Live Collections'!$S:$S,'Live Collections'!$D:$D,Disbursements!B306,'Live Collections'!$G:$G,Disbursements!C306)</f>
        <v>125000</v>
      </c>
      <c r="AL306" s="540">
        <f>SUMIFS('Live Collections'!$T:$T,'Live Collections'!$D:$D,Disbursements!B306,'Live Collections'!$G:$G,Disbursements!C306)</f>
        <v>500000</v>
      </c>
      <c r="AM306" s="541">
        <f t="shared" si="140"/>
        <v>625000</v>
      </c>
      <c r="AN306" s="542">
        <f t="shared" si="141"/>
        <v>0</v>
      </c>
      <c r="AO306" s="542">
        <f t="shared" si="142"/>
        <v>0</v>
      </c>
      <c r="AP306" s="543">
        <f t="shared" si="143"/>
        <v>0</v>
      </c>
      <c r="AQ306" s="544" t="str">
        <f t="shared" ca="1" si="144"/>
        <v/>
      </c>
      <c r="AR306" s="545">
        <f t="shared" ca="1" si="145"/>
        <v>0</v>
      </c>
      <c r="AS306" s="545">
        <f ca="1">IFERROR(CEILING($AR306*VLOOKUP($I306,Ref!$B$23:$E$29,4,0),1),0)</f>
        <v>0</v>
      </c>
      <c r="AT306" s="545" t="str">
        <f>IF(A306="","",IF(AP306&lt;=1,"Cleared",IF(AS306=0,"Clean",VLOOKUP($AS306,Ref!$G$23:$H$28,2))))</f>
        <v>Cleared</v>
      </c>
      <c r="AU306" s="546" t="str">
        <f t="shared" si="146"/>
        <v>Ok</v>
      </c>
    </row>
    <row r="307" spans="1:47" ht="14.25" customHeight="1" x14ac:dyDescent="0.15">
      <c r="A307" s="575">
        <v>44503</v>
      </c>
      <c r="B307" s="523">
        <v>176</v>
      </c>
      <c r="C307" s="523">
        <v>301</v>
      </c>
      <c r="D307" s="523">
        <v>2</v>
      </c>
      <c r="E307" s="579" t="s">
        <v>1274</v>
      </c>
      <c r="F307" s="580">
        <v>3000000</v>
      </c>
      <c r="G307" s="524">
        <v>6</v>
      </c>
      <c r="H307" s="555">
        <v>0.05</v>
      </c>
      <c r="I307" s="560" t="s">
        <v>859</v>
      </c>
      <c r="J307" s="523" t="s">
        <v>863</v>
      </c>
      <c r="K307" s="528" t="str">
        <f>IFERROR(VLOOKUP($B307,'Clients-Live'!$A:$C,3,0),"")</f>
        <v>AJONYE JANE SINANDUGU</v>
      </c>
      <c r="L307" s="528">
        <f>IF(E307="STL",Pricing!$D$38,IF(A307="",0,IF(A307&lt;Pricing!$C$25,Pricing!$D$25,VLOOKUP(Disbursements!$F307,Pricing!$B$29:$D$32,3))))</f>
        <v>30000</v>
      </c>
      <c r="M307" s="528">
        <f>IF(E307="STL",0,IF(F307&gt;0,Pricing!$D$21,0))</f>
        <v>5000</v>
      </c>
      <c r="N307" s="529">
        <f>IF(E307="STL",F307*Pricing!$D$40,IF(A307&lt;=Pricing!$C$4,0,IF(AND(A307&gt;Pricing!$C$4,Disbursements!A307&lt;=Pricing!$C$5),F307*Pricing!$E$5,IF(AND(A307&gt;Pricing!$C$5,Disbursements!A307&lt;=Pricing!$C$7),VLOOKUP(F307,Pricing!$D$7:$E$8,2)*Disbursements!F307,F307*Pricing!$E$9))))</f>
        <v>60000</v>
      </c>
      <c r="O307" s="528">
        <f>IF(E307="STL",0,IF($F307&gt;0,$F307*Pricing!$D$17,0))</f>
        <v>300000</v>
      </c>
      <c r="P307" s="530">
        <f t="shared" si="126"/>
        <v>900000</v>
      </c>
      <c r="Q307" s="531">
        <f>IF($A307="","",$G307/VLOOKUP($I307,Ref!$B$23:$D$29,2,0))</f>
        <v>6</v>
      </c>
      <c r="R307" s="530">
        <f t="shared" si="127"/>
        <v>3900000</v>
      </c>
      <c r="S307" s="532">
        <f t="shared" si="121"/>
        <v>650000</v>
      </c>
      <c r="T307" s="531">
        <f t="shared" si="128"/>
        <v>650000</v>
      </c>
      <c r="U307" s="533">
        <f t="shared" si="129"/>
        <v>3900000</v>
      </c>
      <c r="V307" s="531">
        <f t="shared" si="130"/>
        <v>500000</v>
      </c>
      <c r="W307" s="531">
        <f t="shared" si="131"/>
        <v>150000</v>
      </c>
      <c r="X307" s="534">
        <f t="shared" si="132"/>
        <v>900000</v>
      </c>
      <c r="Y307" s="535">
        <f>IF($A307="","",IF($I307="weekly",$A307+7,EDATE($A307,VLOOKUP($I307,Ref!$B$24:$C$29,2,0))))</f>
        <v>44533</v>
      </c>
      <c r="Z307" s="536" t="str">
        <f t="shared" si="133"/>
        <v>Frid</v>
      </c>
      <c r="AA307" s="531">
        <f t="shared" si="134"/>
        <v>30</v>
      </c>
      <c r="AB307" s="535">
        <f t="shared" si="122"/>
        <v>44684</v>
      </c>
      <c r="AC307" s="537">
        <f t="shared" si="123"/>
        <v>181</v>
      </c>
      <c r="AD307" s="538" t="str">
        <f t="shared" ca="1" si="124"/>
        <v>Expired</v>
      </c>
      <c r="AE307" s="537">
        <f t="shared" ca="1" si="125"/>
        <v>0</v>
      </c>
      <c r="AF307" s="539">
        <f t="shared" ca="1" si="135"/>
        <v>6</v>
      </c>
      <c r="AG307" s="531">
        <f t="shared" ca="1" si="136"/>
        <v>3900000</v>
      </c>
      <c r="AH307" s="531">
        <f t="shared" ca="1" si="137"/>
        <v>900000</v>
      </c>
      <c r="AI307" s="531">
        <f t="shared" ca="1" si="138"/>
        <v>3000000</v>
      </c>
      <c r="AJ307" s="531">
        <f t="shared" ca="1" si="139"/>
        <v>0</v>
      </c>
      <c r="AK307" s="540">
        <f>SUMIFS('Live Collections'!$S:$S,'Live Collections'!$D:$D,Disbursements!B307,'Live Collections'!$G:$G,Disbursements!C307)</f>
        <v>900000</v>
      </c>
      <c r="AL307" s="540">
        <f>SUMIFS('Live Collections'!$T:$T,'Live Collections'!$D:$D,Disbursements!B307,'Live Collections'!$G:$G,Disbursements!C307)</f>
        <v>3000000</v>
      </c>
      <c r="AM307" s="541">
        <f t="shared" si="140"/>
        <v>3900000</v>
      </c>
      <c r="AN307" s="542">
        <f t="shared" si="141"/>
        <v>0</v>
      </c>
      <c r="AO307" s="542">
        <f t="shared" si="142"/>
        <v>0</v>
      </c>
      <c r="AP307" s="543">
        <f t="shared" si="143"/>
        <v>0</v>
      </c>
      <c r="AQ307" s="544" t="str">
        <f t="shared" ca="1" si="144"/>
        <v/>
      </c>
      <c r="AR307" s="545">
        <f t="shared" ca="1" si="145"/>
        <v>0</v>
      </c>
      <c r="AS307" s="545">
        <f ca="1">IFERROR(CEILING($AR307*VLOOKUP($I307,Ref!$B$23:$E$29,4,0),1),0)</f>
        <v>0</v>
      </c>
      <c r="AT307" s="545" t="str">
        <f>IF(A307="","",IF(AP307&lt;=1,"Cleared",IF(AS307=0,"Clean",VLOOKUP($AS307,Ref!$G$23:$H$28,2))))</f>
        <v>Cleared</v>
      </c>
      <c r="AU307" s="546" t="str">
        <f t="shared" si="146"/>
        <v>Ok</v>
      </c>
    </row>
    <row r="308" spans="1:47" ht="14.25" customHeight="1" x14ac:dyDescent="0.15">
      <c r="A308" s="575">
        <v>44503</v>
      </c>
      <c r="B308" s="523">
        <v>260</v>
      </c>
      <c r="C308" s="523">
        <v>303</v>
      </c>
      <c r="D308" s="523">
        <v>1</v>
      </c>
      <c r="E308" s="579" t="s">
        <v>1274</v>
      </c>
      <c r="F308" s="580">
        <v>300000</v>
      </c>
      <c r="G308" s="524">
        <v>4</v>
      </c>
      <c r="H308" s="555">
        <v>0.05</v>
      </c>
      <c r="I308" s="560" t="s">
        <v>861</v>
      </c>
      <c r="J308" s="523" t="s">
        <v>862</v>
      </c>
      <c r="K308" s="528" t="str">
        <f>IFERROR(VLOOKUP($B308,'Clients-Live'!$A:$C,3,0),"")</f>
        <v>ATAYI GRACE</v>
      </c>
      <c r="L308" s="528">
        <f>IF(E308="STL",Pricing!$D$38,IF(A308="",0,IF(A308&lt;Pricing!$C$25,Pricing!$D$25,VLOOKUP(Disbursements!$F308,Pricing!$B$29:$D$32,3))))</f>
        <v>15000</v>
      </c>
      <c r="M308" s="528">
        <f>IF(E308="STL",0,IF(F308&gt;0,Pricing!$D$21,0))</f>
        <v>5000</v>
      </c>
      <c r="N308" s="529">
        <f>IF(E308="STL",F308*Pricing!$D$40,IF(A308&lt;=Pricing!$C$4,0,IF(AND(A308&gt;Pricing!$C$4,Disbursements!A308&lt;=Pricing!$C$5),F308*Pricing!$E$5,IF(AND(A308&gt;Pricing!$C$5,Disbursements!A308&lt;=Pricing!$C$7),VLOOKUP(F308,Pricing!$D$7:$E$8,2)*Disbursements!F308,F308*Pricing!$E$9))))</f>
        <v>3000</v>
      </c>
      <c r="O308" s="528">
        <f>IF(E308="STL",0,IF($F308&gt;0,$F308*Pricing!$D$17,0))</f>
        <v>30000</v>
      </c>
      <c r="P308" s="530">
        <f t="shared" si="126"/>
        <v>60000</v>
      </c>
      <c r="Q308" s="531">
        <f>IF($A308="","",$G308/VLOOKUP($I308,Ref!$B$23:$D$29,2,0))</f>
        <v>16</v>
      </c>
      <c r="R308" s="530">
        <f t="shared" si="127"/>
        <v>360000</v>
      </c>
      <c r="S308" s="532">
        <f t="shared" si="121"/>
        <v>22500</v>
      </c>
      <c r="T308" s="531">
        <f t="shared" si="128"/>
        <v>23000</v>
      </c>
      <c r="U308" s="533">
        <f t="shared" si="129"/>
        <v>368000</v>
      </c>
      <c r="V308" s="531">
        <f t="shared" si="130"/>
        <v>18750</v>
      </c>
      <c r="W308" s="531">
        <f t="shared" si="131"/>
        <v>4250</v>
      </c>
      <c r="X308" s="534">
        <f t="shared" si="132"/>
        <v>68000</v>
      </c>
      <c r="Y308" s="535">
        <f>IF($A308="","",IF($I308="weekly",$A308+7,EDATE($A308,VLOOKUP($I308,Ref!$B$24:$C$29,2,0))))</f>
        <v>44510</v>
      </c>
      <c r="Z308" s="536" t="str">
        <f t="shared" si="133"/>
        <v>Wed</v>
      </c>
      <c r="AA308" s="531">
        <f t="shared" si="134"/>
        <v>7</v>
      </c>
      <c r="AB308" s="535">
        <f t="shared" si="122"/>
        <v>44623</v>
      </c>
      <c r="AC308" s="537">
        <f t="shared" si="123"/>
        <v>120</v>
      </c>
      <c r="AD308" s="538" t="str">
        <f t="shared" ca="1" si="124"/>
        <v>Expired</v>
      </c>
      <c r="AE308" s="537">
        <f t="shared" ca="1" si="125"/>
        <v>0</v>
      </c>
      <c r="AF308" s="539">
        <f t="shared" ca="1" si="135"/>
        <v>16</v>
      </c>
      <c r="AG308" s="531">
        <f t="shared" ca="1" si="136"/>
        <v>368000</v>
      </c>
      <c r="AH308" s="531">
        <f t="shared" ca="1" si="137"/>
        <v>68000</v>
      </c>
      <c r="AI308" s="531">
        <f t="shared" ca="1" si="138"/>
        <v>300000</v>
      </c>
      <c r="AJ308" s="531">
        <f t="shared" ca="1" si="139"/>
        <v>0</v>
      </c>
      <c r="AK308" s="540">
        <f>SUMIFS('Live Collections'!$S:$S,'Live Collections'!$D:$D,Disbursements!B308,'Live Collections'!$G:$G,Disbursements!C308)</f>
        <v>68000</v>
      </c>
      <c r="AL308" s="540">
        <f>SUMIFS('Live Collections'!$T:$T,'Live Collections'!$D:$D,Disbursements!B308,'Live Collections'!$G:$G,Disbursements!C308)</f>
        <v>292000</v>
      </c>
      <c r="AM308" s="541">
        <f t="shared" si="140"/>
        <v>360000</v>
      </c>
      <c r="AN308" s="542">
        <f t="shared" si="141"/>
        <v>0</v>
      </c>
      <c r="AO308" s="542">
        <f t="shared" si="142"/>
        <v>8000</v>
      </c>
      <c r="AP308" s="543">
        <f t="shared" si="143"/>
        <v>8000</v>
      </c>
      <c r="AQ308" s="544">
        <f t="shared" ca="1" si="144"/>
        <v>8000</v>
      </c>
      <c r="AR308" s="545">
        <f t="shared" ca="1" si="145"/>
        <v>0.34782608695652173</v>
      </c>
      <c r="AS308" s="545">
        <f ca="1">IFERROR(CEILING($AR308*VLOOKUP($I308,Ref!$B$23:$E$29,4,0),1),0)</f>
        <v>3</v>
      </c>
      <c r="AT308" s="545" t="str">
        <f ca="1">IF(A308="","",IF(AP308&lt;=1,"Cleared",IF(AS308=0,"Clean",VLOOKUP($AS308,Ref!$G$23:$H$28,2))))</f>
        <v>1.(0-30) Days</v>
      </c>
      <c r="AU308" s="546" t="str">
        <f t="shared" si="146"/>
        <v>Ok</v>
      </c>
    </row>
    <row r="309" spans="1:47" ht="14.25" customHeight="1" x14ac:dyDescent="0.15">
      <c r="A309" s="575">
        <v>44503</v>
      </c>
      <c r="B309" s="523">
        <v>251</v>
      </c>
      <c r="C309" s="523">
        <v>306</v>
      </c>
      <c r="D309" s="523">
        <v>1</v>
      </c>
      <c r="E309" s="579" t="s">
        <v>1274</v>
      </c>
      <c r="F309" s="580">
        <v>400000</v>
      </c>
      <c r="G309" s="524">
        <v>2</v>
      </c>
      <c r="H309" s="555">
        <v>0.05</v>
      </c>
      <c r="I309" s="560" t="s">
        <v>859</v>
      </c>
      <c r="J309" s="523" t="s">
        <v>862</v>
      </c>
      <c r="K309" s="528" t="str">
        <f>IFERROR(VLOOKUP($B309,'Clients-Live'!$A:$C,3,0),"")</f>
        <v>SIDA ZAINABU</v>
      </c>
      <c r="L309" s="528">
        <f>IF(E309="STL",Pricing!$D$38,IF(A309="",0,IF(A309&lt;Pricing!$C$25,Pricing!$D$25,VLOOKUP(Disbursements!$F309,Pricing!$B$29:$D$32,3))))</f>
        <v>15000</v>
      </c>
      <c r="M309" s="528">
        <f>IF(E309="STL",0,IF(F309&gt;0,Pricing!$D$21,0))</f>
        <v>5000</v>
      </c>
      <c r="N309" s="529">
        <f>IF(E309="STL",F309*Pricing!$D$40,IF(A309&lt;=Pricing!$C$4,0,IF(AND(A309&gt;Pricing!$C$4,Disbursements!A309&lt;=Pricing!$C$5),F309*Pricing!$E$5,IF(AND(A309&gt;Pricing!$C$5,Disbursements!A309&lt;=Pricing!$C$7),VLOOKUP(F309,Pricing!$D$7:$E$8,2)*Disbursements!F309,F309*Pricing!$E$9))))</f>
        <v>4000</v>
      </c>
      <c r="O309" s="528">
        <f>IF(E309="STL",0,IF($F309&gt;0,$F309*Pricing!$D$17,0))</f>
        <v>40000</v>
      </c>
      <c r="P309" s="530">
        <f t="shared" si="126"/>
        <v>40000</v>
      </c>
      <c r="Q309" s="531">
        <f>IF($A309="","",$G309/VLOOKUP($I309,Ref!$B$23:$D$29,2,0))</f>
        <v>2</v>
      </c>
      <c r="R309" s="530">
        <f t="shared" si="127"/>
        <v>440000</v>
      </c>
      <c r="S309" s="532">
        <f t="shared" si="121"/>
        <v>220000</v>
      </c>
      <c r="T309" s="531">
        <f t="shared" si="128"/>
        <v>220000</v>
      </c>
      <c r="U309" s="533">
        <f t="shared" si="129"/>
        <v>440000</v>
      </c>
      <c r="V309" s="531">
        <f t="shared" si="130"/>
        <v>200000</v>
      </c>
      <c r="W309" s="531">
        <f t="shared" si="131"/>
        <v>20000</v>
      </c>
      <c r="X309" s="534">
        <f t="shared" si="132"/>
        <v>40000</v>
      </c>
      <c r="Y309" s="535">
        <f>IF($A309="","",IF($I309="weekly",$A309+7,EDATE($A309,VLOOKUP($I309,Ref!$B$24:$C$29,2,0))))</f>
        <v>44533</v>
      </c>
      <c r="Z309" s="536" t="str">
        <f t="shared" si="133"/>
        <v>Frid</v>
      </c>
      <c r="AA309" s="531">
        <f t="shared" si="134"/>
        <v>30</v>
      </c>
      <c r="AB309" s="535">
        <f t="shared" si="122"/>
        <v>44564</v>
      </c>
      <c r="AC309" s="537">
        <f t="shared" si="123"/>
        <v>61</v>
      </c>
      <c r="AD309" s="538" t="str">
        <f t="shared" ca="1" si="124"/>
        <v>Expired</v>
      </c>
      <c r="AE309" s="537">
        <f t="shared" ca="1" si="125"/>
        <v>0</v>
      </c>
      <c r="AF309" s="539">
        <f t="shared" ca="1" si="135"/>
        <v>2</v>
      </c>
      <c r="AG309" s="531">
        <f t="shared" ca="1" si="136"/>
        <v>440000</v>
      </c>
      <c r="AH309" s="531">
        <f t="shared" ca="1" si="137"/>
        <v>40000</v>
      </c>
      <c r="AI309" s="531">
        <f t="shared" ca="1" si="138"/>
        <v>400000</v>
      </c>
      <c r="AJ309" s="531">
        <f t="shared" ca="1" si="139"/>
        <v>0</v>
      </c>
      <c r="AK309" s="540">
        <f>SUMIFS('Live Collections'!$S:$S,'Live Collections'!$D:$D,Disbursements!B309,'Live Collections'!$G:$G,Disbursements!C309)</f>
        <v>40000</v>
      </c>
      <c r="AL309" s="540">
        <f>SUMIFS('Live Collections'!$T:$T,'Live Collections'!$D:$D,Disbursements!B309,'Live Collections'!$G:$G,Disbursements!C309)</f>
        <v>400000</v>
      </c>
      <c r="AM309" s="541">
        <f t="shared" si="140"/>
        <v>440000</v>
      </c>
      <c r="AN309" s="542">
        <f t="shared" si="141"/>
        <v>0</v>
      </c>
      <c r="AO309" s="542">
        <f t="shared" si="142"/>
        <v>0</v>
      </c>
      <c r="AP309" s="543">
        <f t="shared" si="143"/>
        <v>0</v>
      </c>
      <c r="AQ309" s="544" t="str">
        <f t="shared" ca="1" si="144"/>
        <v/>
      </c>
      <c r="AR309" s="545">
        <f t="shared" ca="1" si="145"/>
        <v>0</v>
      </c>
      <c r="AS309" s="545">
        <f ca="1">IFERROR(CEILING($AR309*VLOOKUP($I309,Ref!$B$23:$E$29,4,0),1),0)</f>
        <v>0</v>
      </c>
      <c r="AT309" s="545" t="str">
        <f>IF(A309="","",IF(AP309&lt;=1,"Cleared",IF(AS309=0,"Clean",VLOOKUP($AS309,Ref!$G$23:$H$28,2))))</f>
        <v>Cleared</v>
      </c>
      <c r="AU309" s="546" t="str">
        <f t="shared" si="146"/>
        <v>Ok</v>
      </c>
    </row>
    <row r="310" spans="1:47" ht="14.25" customHeight="1" x14ac:dyDescent="0.15">
      <c r="A310" s="575">
        <v>44503</v>
      </c>
      <c r="B310" s="523">
        <v>263</v>
      </c>
      <c r="C310" s="523">
        <v>307</v>
      </c>
      <c r="D310" s="523">
        <v>1</v>
      </c>
      <c r="E310" s="579" t="s">
        <v>1274</v>
      </c>
      <c r="F310" s="580">
        <v>1500000</v>
      </c>
      <c r="G310" s="524">
        <v>3</v>
      </c>
      <c r="H310" s="555">
        <v>0.05</v>
      </c>
      <c r="I310" s="560" t="s">
        <v>859</v>
      </c>
      <c r="J310" s="523" t="s">
        <v>864</v>
      </c>
      <c r="K310" s="528" t="str">
        <f>IFERROR(VLOOKUP($B310,'Clients-Live'!$A:$C,3,0),"")</f>
        <v>DATA SAFI DUIKI</v>
      </c>
      <c r="L310" s="528">
        <f>IF(E310="STL",Pricing!$D$38,IF(A310="",0,IF(A310&lt;Pricing!$C$25,Pricing!$D$25,VLOOKUP(Disbursements!$F310,Pricing!$B$29:$D$32,3))))</f>
        <v>25000</v>
      </c>
      <c r="M310" s="528">
        <f>IF(E310="STL",0,IF(F310&gt;0,Pricing!$D$21,0))</f>
        <v>5000</v>
      </c>
      <c r="N310" s="529">
        <f>IF(E310="STL",F310*Pricing!$D$40,IF(A310&lt;=Pricing!$C$4,0,IF(AND(A310&gt;Pricing!$C$4,Disbursements!A310&lt;=Pricing!$C$5),F310*Pricing!$E$5,IF(AND(A310&gt;Pricing!$C$5,Disbursements!A310&lt;=Pricing!$C$7),VLOOKUP(F310,Pricing!$D$7:$E$8,2)*Disbursements!F310,F310*Pricing!$E$9))))</f>
        <v>30000</v>
      </c>
      <c r="O310" s="528">
        <f>IF(E310="STL",0,IF($F310&gt;0,$F310*Pricing!$D$17,0))</f>
        <v>150000</v>
      </c>
      <c r="P310" s="530">
        <f t="shared" si="126"/>
        <v>225000</v>
      </c>
      <c r="Q310" s="531">
        <f>IF($A310="","",$G310/VLOOKUP($I310,Ref!$B$23:$D$29,2,0))</f>
        <v>3</v>
      </c>
      <c r="R310" s="530">
        <f t="shared" si="127"/>
        <v>1725000</v>
      </c>
      <c r="S310" s="532">
        <f t="shared" si="121"/>
        <v>575000</v>
      </c>
      <c r="T310" s="531">
        <f t="shared" si="128"/>
        <v>575000</v>
      </c>
      <c r="U310" s="533">
        <f t="shared" si="129"/>
        <v>1725000</v>
      </c>
      <c r="V310" s="531">
        <f t="shared" si="130"/>
        <v>500000</v>
      </c>
      <c r="W310" s="531">
        <f t="shared" si="131"/>
        <v>75000</v>
      </c>
      <c r="X310" s="534">
        <f t="shared" si="132"/>
        <v>225000</v>
      </c>
      <c r="Y310" s="535">
        <f>IF($A310="","",IF($I310="weekly",$A310+7,EDATE($A310,VLOOKUP($I310,Ref!$B$24:$C$29,2,0))))</f>
        <v>44533</v>
      </c>
      <c r="Z310" s="536" t="str">
        <f t="shared" si="133"/>
        <v>Frid</v>
      </c>
      <c r="AA310" s="531">
        <f t="shared" si="134"/>
        <v>30</v>
      </c>
      <c r="AB310" s="535">
        <f t="shared" si="122"/>
        <v>44595</v>
      </c>
      <c r="AC310" s="537">
        <f t="shared" si="123"/>
        <v>92</v>
      </c>
      <c r="AD310" s="538" t="str">
        <f t="shared" ca="1" si="124"/>
        <v>Expired</v>
      </c>
      <c r="AE310" s="537">
        <f t="shared" ca="1" si="125"/>
        <v>0</v>
      </c>
      <c r="AF310" s="539">
        <f t="shared" ca="1" si="135"/>
        <v>3</v>
      </c>
      <c r="AG310" s="531">
        <f t="shared" ca="1" si="136"/>
        <v>1725000</v>
      </c>
      <c r="AH310" s="531">
        <f t="shared" ca="1" si="137"/>
        <v>225000</v>
      </c>
      <c r="AI310" s="531">
        <f t="shared" ca="1" si="138"/>
        <v>1500000</v>
      </c>
      <c r="AJ310" s="531">
        <f t="shared" ca="1" si="139"/>
        <v>0</v>
      </c>
      <c r="AK310" s="540">
        <f>SUMIFS('Live Collections'!$S:$S,'Live Collections'!$D:$D,Disbursements!B310,'Live Collections'!$G:$G,Disbursements!C310)</f>
        <v>225000</v>
      </c>
      <c r="AL310" s="540">
        <f>SUMIFS('Live Collections'!$T:$T,'Live Collections'!$D:$D,Disbursements!B310,'Live Collections'!$G:$G,Disbursements!C310)</f>
        <v>1500000</v>
      </c>
      <c r="AM310" s="541">
        <f t="shared" si="140"/>
        <v>1725000</v>
      </c>
      <c r="AN310" s="542">
        <f t="shared" si="141"/>
        <v>0</v>
      </c>
      <c r="AO310" s="542">
        <f t="shared" si="142"/>
        <v>0</v>
      </c>
      <c r="AP310" s="543">
        <f t="shared" si="143"/>
        <v>0</v>
      </c>
      <c r="AQ310" s="544" t="str">
        <f t="shared" ca="1" si="144"/>
        <v/>
      </c>
      <c r="AR310" s="545">
        <f t="shared" ca="1" si="145"/>
        <v>0</v>
      </c>
      <c r="AS310" s="545">
        <f ca="1">IFERROR(CEILING($AR310*VLOOKUP($I310,Ref!$B$23:$E$29,4,0),1),0)</f>
        <v>0</v>
      </c>
      <c r="AT310" s="545" t="str">
        <f>IF(A310="","",IF(AP310&lt;=1,"Cleared",IF(AS310=0,"Clean",VLOOKUP($AS310,Ref!$G$23:$H$28,2))))</f>
        <v>Cleared</v>
      </c>
      <c r="AU310" s="546" t="str">
        <f t="shared" si="146"/>
        <v>Ok</v>
      </c>
    </row>
    <row r="311" spans="1:47" ht="14.25" customHeight="1" x14ac:dyDescent="0.15">
      <c r="A311" s="575">
        <v>44504</v>
      </c>
      <c r="B311" s="523">
        <v>278</v>
      </c>
      <c r="C311" s="523">
        <v>308</v>
      </c>
      <c r="D311" s="523">
        <v>1</v>
      </c>
      <c r="E311" s="579" t="s">
        <v>1274</v>
      </c>
      <c r="F311" s="580">
        <v>200000</v>
      </c>
      <c r="G311" s="524">
        <v>4</v>
      </c>
      <c r="H311" s="555">
        <v>0.05</v>
      </c>
      <c r="I311" s="560" t="s">
        <v>859</v>
      </c>
      <c r="J311" s="523" t="s">
        <v>862</v>
      </c>
      <c r="K311" s="528" t="str">
        <f>IFERROR(VLOOKUP($B311,'Clients-Live'!$A:$C,3,0),"")</f>
        <v>AATE SUZAN</v>
      </c>
      <c r="L311" s="528">
        <f>IF(E311="STL",Pricing!$D$38,IF(A311="",0,IF(A311&lt;Pricing!$C$25,Pricing!$D$25,VLOOKUP(Disbursements!$F311,Pricing!$B$29:$D$32,3))))</f>
        <v>15000</v>
      </c>
      <c r="M311" s="528">
        <f>IF(E311="STL",0,IF(F311&gt;0,Pricing!$D$21,0))</f>
        <v>5000</v>
      </c>
      <c r="N311" s="529">
        <f>IF(E311="STL",F311*Pricing!$D$40,IF(A311&lt;=Pricing!$C$4,0,IF(AND(A311&gt;Pricing!$C$4,Disbursements!A311&lt;=Pricing!$C$5),F311*Pricing!$E$5,IF(AND(A311&gt;Pricing!$C$5,Disbursements!A311&lt;=Pricing!$C$7),VLOOKUP(F311,Pricing!$D$7:$E$8,2)*Disbursements!F311,F311*Pricing!$E$9))))</f>
        <v>2000</v>
      </c>
      <c r="O311" s="528">
        <f>IF(E311="STL",0,IF($F311&gt;0,$F311*Pricing!$D$17,0))</f>
        <v>20000</v>
      </c>
      <c r="P311" s="530">
        <f t="shared" si="126"/>
        <v>40000</v>
      </c>
      <c r="Q311" s="531">
        <f>IF($A311="","",$G311/VLOOKUP($I311,Ref!$B$23:$D$29,2,0))</f>
        <v>4</v>
      </c>
      <c r="R311" s="530">
        <f t="shared" si="127"/>
        <v>240000</v>
      </c>
      <c r="S311" s="532">
        <f t="shared" si="121"/>
        <v>60000</v>
      </c>
      <c r="T311" s="531">
        <f t="shared" si="128"/>
        <v>60000</v>
      </c>
      <c r="U311" s="533">
        <f t="shared" si="129"/>
        <v>240000</v>
      </c>
      <c r="V311" s="531">
        <f t="shared" si="130"/>
        <v>50000</v>
      </c>
      <c r="W311" s="531">
        <f t="shared" si="131"/>
        <v>10000</v>
      </c>
      <c r="X311" s="534">
        <f t="shared" si="132"/>
        <v>40000</v>
      </c>
      <c r="Y311" s="535">
        <f>IF($A311="","",IF($I311="weekly",$A311+7,EDATE($A311,VLOOKUP($I311,Ref!$B$24:$C$29,2,0))))</f>
        <v>44534</v>
      </c>
      <c r="Z311" s="536" t="str">
        <f t="shared" si="133"/>
        <v>Sat</v>
      </c>
      <c r="AA311" s="531">
        <f t="shared" si="134"/>
        <v>30</v>
      </c>
      <c r="AB311" s="535">
        <f t="shared" si="122"/>
        <v>44624</v>
      </c>
      <c r="AC311" s="537">
        <f t="shared" si="123"/>
        <v>120</v>
      </c>
      <c r="AD311" s="538" t="str">
        <f t="shared" ca="1" si="124"/>
        <v>Expired</v>
      </c>
      <c r="AE311" s="537">
        <f t="shared" ca="1" si="125"/>
        <v>0</v>
      </c>
      <c r="AF311" s="539">
        <f t="shared" ca="1" si="135"/>
        <v>4</v>
      </c>
      <c r="AG311" s="531">
        <f t="shared" ca="1" si="136"/>
        <v>240000</v>
      </c>
      <c r="AH311" s="531">
        <f t="shared" ca="1" si="137"/>
        <v>40000</v>
      </c>
      <c r="AI311" s="531">
        <f t="shared" ca="1" si="138"/>
        <v>200000</v>
      </c>
      <c r="AJ311" s="531">
        <f t="shared" ca="1" si="139"/>
        <v>0</v>
      </c>
      <c r="AK311" s="540">
        <f>SUMIFS('Live Collections'!$S:$S,'Live Collections'!$D:$D,Disbursements!B311,'Live Collections'!$G:$G,Disbursements!C311)</f>
        <v>40000</v>
      </c>
      <c r="AL311" s="540">
        <f>SUMIFS('Live Collections'!$T:$T,'Live Collections'!$D:$D,Disbursements!B311,'Live Collections'!$G:$G,Disbursements!C311)</f>
        <v>165000</v>
      </c>
      <c r="AM311" s="541">
        <f t="shared" si="140"/>
        <v>205000</v>
      </c>
      <c r="AN311" s="542">
        <f t="shared" si="141"/>
        <v>0</v>
      </c>
      <c r="AO311" s="542">
        <f t="shared" si="142"/>
        <v>35000</v>
      </c>
      <c r="AP311" s="543">
        <f t="shared" si="143"/>
        <v>35000</v>
      </c>
      <c r="AQ311" s="544">
        <f t="shared" ca="1" si="144"/>
        <v>35000</v>
      </c>
      <c r="AR311" s="545">
        <f t="shared" ca="1" si="145"/>
        <v>0.58333333333333337</v>
      </c>
      <c r="AS311" s="545">
        <f ca="1">IFERROR(CEILING($AR311*VLOOKUP($I311,Ref!$B$23:$E$29,4,0),1),0)</f>
        <v>18</v>
      </c>
      <c r="AT311" s="545" t="str">
        <f ca="1">IF(A311="","",IF(AP311&lt;=1,"Cleared",IF(AS311=0,"Clean",VLOOKUP($AS311,Ref!$G$23:$H$28,2))))</f>
        <v>1.(0-30) Days</v>
      </c>
      <c r="AU311" s="546" t="str">
        <f t="shared" si="146"/>
        <v>Ok</v>
      </c>
    </row>
    <row r="312" spans="1:47" ht="14.25" customHeight="1" x14ac:dyDescent="0.15">
      <c r="A312" s="575">
        <v>44505</v>
      </c>
      <c r="B312" s="523">
        <v>69</v>
      </c>
      <c r="C312" s="523">
        <v>311</v>
      </c>
      <c r="D312" s="523">
        <v>2</v>
      </c>
      <c r="E312" s="579" t="s">
        <v>1274</v>
      </c>
      <c r="F312" s="580">
        <v>400000</v>
      </c>
      <c r="G312" s="524">
        <v>4</v>
      </c>
      <c r="H312" s="555">
        <v>0.05</v>
      </c>
      <c r="I312" s="560" t="s">
        <v>859</v>
      </c>
      <c r="J312" s="523" t="s">
        <v>862</v>
      </c>
      <c r="K312" s="528" t="str">
        <f>IFERROR(VLOOKUP($B312,'Clients-Live'!$A:$C,3,0),"")</f>
        <v>SADIA JOYCE</v>
      </c>
      <c r="L312" s="528">
        <f>IF(E312="STL",Pricing!$D$38,IF(A312="",0,IF(A312&lt;Pricing!$C$25,Pricing!$D$25,VLOOKUP(Disbursements!$F312,Pricing!$B$29:$D$32,3))))</f>
        <v>15000</v>
      </c>
      <c r="M312" s="528">
        <f>IF(E312="STL",0,IF(F312&gt;0,Pricing!$D$21,0))</f>
        <v>5000</v>
      </c>
      <c r="N312" s="529">
        <f>IF(E312="STL",F312*Pricing!$D$40,IF(A312&lt;=Pricing!$C$4,0,IF(AND(A312&gt;Pricing!$C$4,Disbursements!A312&lt;=Pricing!$C$5),F312*Pricing!$E$5,IF(AND(A312&gt;Pricing!$C$5,Disbursements!A312&lt;=Pricing!$C$7),VLOOKUP(F312,Pricing!$D$7:$E$8,2)*Disbursements!F312,F312*Pricing!$E$9))))</f>
        <v>4000</v>
      </c>
      <c r="O312" s="528">
        <f>IF(E312="STL",0,IF($F312&gt;0,$F312*Pricing!$D$17,0))</f>
        <v>40000</v>
      </c>
      <c r="P312" s="530">
        <f t="shared" si="126"/>
        <v>80000</v>
      </c>
      <c r="Q312" s="531">
        <f>IF($A312="","",$G312/VLOOKUP($I312,Ref!$B$23:$D$29,2,0))</f>
        <v>4</v>
      </c>
      <c r="R312" s="530">
        <f t="shared" si="127"/>
        <v>480000</v>
      </c>
      <c r="S312" s="532">
        <f t="shared" si="121"/>
        <v>120000</v>
      </c>
      <c r="T312" s="531">
        <f t="shared" si="128"/>
        <v>120000</v>
      </c>
      <c r="U312" s="533">
        <f t="shared" si="129"/>
        <v>480000</v>
      </c>
      <c r="V312" s="531">
        <f t="shared" si="130"/>
        <v>100000</v>
      </c>
      <c r="W312" s="531">
        <f t="shared" si="131"/>
        <v>20000</v>
      </c>
      <c r="X312" s="534">
        <f t="shared" si="132"/>
        <v>80000</v>
      </c>
      <c r="Y312" s="535">
        <f>IF($A312="","",IF($I312="weekly",$A312+7,EDATE($A312,VLOOKUP($I312,Ref!$B$24:$C$29,2,0))))</f>
        <v>44535</v>
      </c>
      <c r="Z312" s="536" t="str">
        <f t="shared" si="133"/>
        <v>Sun</v>
      </c>
      <c r="AA312" s="531">
        <f t="shared" si="134"/>
        <v>30</v>
      </c>
      <c r="AB312" s="535">
        <f t="shared" si="122"/>
        <v>44625</v>
      </c>
      <c r="AC312" s="537">
        <f t="shared" si="123"/>
        <v>120</v>
      </c>
      <c r="AD312" s="538" t="str">
        <f t="shared" ca="1" si="124"/>
        <v>Expired</v>
      </c>
      <c r="AE312" s="537">
        <f t="shared" ca="1" si="125"/>
        <v>0</v>
      </c>
      <c r="AF312" s="539">
        <f t="shared" ca="1" si="135"/>
        <v>4</v>
      </c>
      <c r="AG312" s="531">
        <f t="shared" ca="1" si="136"/>
        <v>480000</v>
      </c>
      <c r="AH312" s="531">
        <f t="shared" ca="1" si="137"/>
        <v>80000</v>
      </c>
      <c r="AI312" s="531">
        <f t="shared" ca="1" si="138"/>
        <v>400000</v>
      </c>
      <c r="AJ312" s="531">
        <f t="shared" ca="1" si="139"/>
        <v>0</v>
      </c>
      <c r="AK312" s="540">
        <f>SUMIFS('Live Collections'!$S:$S,'Live Collections'!$D:$D,Disbursements!B312,'Live Collections'!$G:$G,Disbursements!C312)</f>
        <v>80000</v>
      </c>
      <c r="AL312" s="540">
        <f>SUMIFS('Live Collections'!$T:$T,'Live Collections'!$D:$D,Disbursements!B312,'Live Collections'!$G:$G,Disbursements!C312)</f>
        <v>400000</v>
      </c>
      <c r="AM312" s="541">
        <f t="shared" si="140"/>
        <v>480000</v>
      </c>
      <c r="AN312" s="542">
        <f t="shared" si="141"/>
        <v>0</v>
      </c>
      <c r="AO312" s="542">
        <f t="shared" si="142"/>
        <v>0</v>
      </c>
      <c r="AP312" s="543">
        <f t="shared" si="143"/>
        <v>0</v>
      </c>
      <c r="AQ312" s="544" t="str">
        <f t="shared" ca="1" si="144"/>
        <v/>
      </c>
      <c r="AR312" s="545">
        <f t="shared" ca="1" si="145"/>
        <v>0</v>
      </c>
      <c r="AS312" s="545">
        <f ca="1">IFERROR(CEILING($AR312*VLOOKUP($I312,Ref!$B$23:$E$29,4,0),1),0)</f>
        <v>0</v>
      </c>
      <c r="AT312" s="545" t="str">
        <f>IF(A312="","",IF(AP312&lt;=1,"Cleared",IF(AS312=0,"Clean",VLOOKUP($AS312,Ref!$G$23:$H$28,2))))</f>
        <v>Cleared</v>
      </c>
      <c r="AU312" s="546" t="str">
        <f t="shared" si="146"/>
        <v>Ok</v>
      </c>
    </row>
    <row r="313" spans="1:47" ht="14.25" customHeight="1" x14ac:dyDescent="0.15">
      <c r="A313" s="575">
        <v>44505</v>
      </c>
      <c r="B313" s="523">
        <v>188</v>
      </c>
      <c r="C313" s="523">
        <v>328</v>
      </c>
      <c r="D313" s="523">
        <v>2</v>
      </c>
      <c r="E313" s="579" t="s">
        <v>1274</v>
      </c>
      <c r="F313" s="580">
        <v>600000</v>
      </c>
      <c r="G313" s="524">
        <v>4</v>
      </c>
      <c r="H313" s="555">
        <v>0.05</v>
      </c>
      <c r="I313" s="560" t="s">
        <v>859</v>
      </c>
      <c r="J313" s="523" t="s">
        <v>863</v>
      </c>
      <c r="K313" s="528" t="str">
        <f>IFERROR(VLOOKUP($B313,'Clients-Live'!$A:$C,3,0),"")</f>
        <v>ADIRU HELLEN</v>
      </c>
      <c r="L313" s="528">
        <f>IF(E313="STL",Pricing!$D$38,IF(A313="",0,IF(A313&lt;Pricing!$C$25,Pricing!$D$25,VLOOKUP(Disbursements!$F313,Pricing!$B$29:$D$32,3))))</f>
        <v>20000</v>
      </c>
      <c r="M313" s="528">
        <f>IF(E313="STL",0,IF(F313&gt;0,Pricing!$D$21,0))</f>
        <v>5000</v>
      </c>
      <c r="N313" s="529">
        <f>IF(E313="STL",F313*Pricing!$D$40,IF(A313&lt;=Pricing!$C$4,0,IF(AND(A313&gt;Pricing!$C$4,Disbursements!A313&lt;=Pricing!$C$5),F313*Pricing!$E$5,IF(AND(A313&gt;Pricing!$C$5,Disbursements!A313&lt;=Pricing!$C$7),VLOOKUP(F313,Pricing!$D$7:$E$8,2)*Disbursements!F313,F313*Pricing!$E$9))))</f>
        <v>6000</v>
      </c>
      <c r="O313" s="528">
        <f>IF(E313="STL",0,IF($F313&gt;0,$F313*Pricing!$D$17,0))</f>
        <v>60000</v>
      </c>
      <c r="P313" s="530">
        <f t="shared" si="126"/>
        <v>120000</v>
      </c>
      <c r="Q313" s="531">
        <f>IF($A313="","",$G313/VLOOKUP($I313,Ref!$B$23:$D$29,2,0))</f>
        <v>4</v>
      </c>
      <c r="R313" s="530">
        <f t="shared" si="127"/>
        <v>720000</v>
      </c>
      <c r="S313" s="532">
        <f t="shared" si="121"/>
        <v>180000</v>
      </c>
      <c r="T313" s="531">
        <f t="shared" si="128"/>
        <v>180000</v>
      </c>
      <c r="U313" s="533">
        <f t="shared" si="129"/>
        <v>720000</v>
      </c>
      <c r="V313" s="531">
        <f t="shared" si="130"/>
        <v>150000</v>
      </c>
      <c r="W313" s="531">
        <f t="shared" si="131"/>
        <v>30000</v>
      </c>
      <c r="X313" s="534">
        <f t="shared" si="132"/>
        <v>120000</v>
      </c>
      <c r="Y313" s="535">
        <f>IF($A313="","",IF($I313="weekly",$A313+7,EDATE($A313,VLOOKUP($I313,Ref!$B$24:$C$29,2,0))))</f>
        <v>44535</v>
      </c>
      <c r="Z313" s="536" t="str">
        <f t="shared" si="133"/>
        <v>Sun</v>
      </c>
      <c r="AA313" s="531">
        <f t="shared" si="134"/>
        <v>30</v>
      </c>
      <c r="AB313" s="535">
        <f t="shared" si="122"/>
        <v>44625</v>
      </c>
      <c r="AC313" s="537">
        <f t="shared" si="123"/>
        <v>120</v>
      </c>
      <c r="AD313" s="538" t="str">
        <f t="shared" ca="1" si="124"/>
        <v>Expired</v>
      </c>
      <c r="AE313" s="537">
        <f t="shared" ca="1" si="125"/>
        <v>0</v>
      </c>
      <c r="AF313" s="539">
        <f t="shared" ca="1" si="135"/>
        <v>4</v>
      </c>
      <c r="AG313" s="531">
        <f t="shared" ca="1" si="136"/>
        <v>720000</v>
      </c>
      <c r="AH313" s="531">
        <f t="shared" ca="1" si="137"/>
        <v>120000</v>
      </c>
      <c r="AI313" s="531">
        <f t="shared" ca="1" si="138"/>
        <v>600000</v>
      </c>
      <c r="AJ313" s="531">
        <f t="shared" ca="1" si="139"/>
        <v>0</v>
      </c>
      <c r="AK313" s="540">
        <f>SUMIFS('Live Collections'!$S:$S,'Live Collections'!$D:$D,Disbursements!B313,'Live Collections'!$G:$G,Disbursements!C313)</f>
        <v>120000</v>
      </c>
      <c r="AL313" s="540">
        <f>SUMIFS('Live Collections'!$T:$T,'Live Collections'!$D:$D,Disbursements!B313,'Live Collections'!$G:$G,Disbursements!C313)</f>
        <v>419000</v>
      </c>
      <c r="AM313" s="541">
        <f t="shared" si="140"/>
        <v>539000</v>
      </c>
      <c r="AN313" s="542">
        <f t="shared" si="141"/>
        <v>0</v>
      </c>
      <c r="AO313" s="542">
        <f t="shared" si="142"/>
        <v>181000</v>
      </c>
      <c r="AP313" s="543">
        <f t="shared" si="143"/>
        <v>181000</v>
      </c>
      <c r="AQ313" s="544">
        <f t="shared" ca="1" si="144"/>
        <v>181000</v>
      </c>
      <c r="AR313" s="545">
        <f t="shared" ca="1" si="145"/>
        <v>1.0055555555555555</v>
      </c>
      <c r="AS313" s="545">
        <f ca="1">IFERROR(CEILING($AR313*VLOOKUP($I313,Ref!$B$23:$E$29,4,0),1),0)</f>
        <v>31</v>
      </c>
      <c r="AT313" s="545" t="str">
        <f ca="1">IF(A313="","",IF(AP313&lt;=1,"Cleared",IF(AS313=0,"Clean",VLOOKUP($AS313,Ref!$G$23:$H$28,2))))</f>
        <v>2.(31-60) Days</v>
      </c>
      <c r="AU313" s="546" t="str">
        <f t="shared" si="146"/>
        <v>Ok</v>
      </c>
    </row>
    <row r="314" spans="1:47" ht="14.25" customHeight="1" x14ac:dyDescent="0.15">
      <c r="A314" s="575">
        <v>44505</v>
      </c>
      <c r="B314" s="523">
        <v>259</v>
      </c>
      <c r="C314" s="523">
        <v>310</v>
      </c>
      <c r="D314" s="523">
        <v>1</v>
      </c>
      <c r="E314" s="579" t="s">
        <v>1274</v>
      </c>
      <c r="F314" s="580">
        <v>200000</v>
      </c>
      <c r="G314" s="524">
        <v>3</v>
      </c>
      <c r="H314" s="555">
        <v>0.05</v>
      </c>
      <c r="I314" s="560" t="s">
        <v>859</v>
      </c>
      <c r="J314" s="523" t="s">
        <v>864</v>
      </c>
      <c r="K314" s="528" t="str">
        <f>IFERROR(VLOOKUP($B314,'Clients-Live'!$A:$C,3,0),"")</f>
        <v>SALAMA GIFT</v>
      </c>
      <c r="L314" s="528">
        <f>IF(E314="STL",Pricing!$D$38,IF(A314="",0,IF(A314&lt;Pricing!$C$25,Pricing!$D$25,VLOOKUP(Disbursements!$F314,Pricing!$B$29:$D$32,3))))</f>
        <v>15000</v>
      </c>
      <c r="M314" s="528">
        <f>IF(E314="STL",0,IF(F314&gt;0,Pricing!$D$21,0))</f>
        <v>5000</v>
      </c>
      <c r="N314" s="529">
        <f>IF(E314="STL",F314*Pricing!$D$40,IF(A314&lt;=Pricing!$C$4,0,IF(AND(A314&gt;Pricing!$C$4,Disbursements!A314&lt;=Pricing!$C$5),F314*Pricing!$E$5,IF(AND(A314&gt;Pricing!$C$5,Disbursements!A314&lt;=Pricing!$C$7),VLOOKUP(F314,Pricing!$D$7:$E$8,2)*Disbursements!F314,F314*Pricing!$E$9))))</f>
        <v>2000</v>
      </c>
      <c r="O314" s="528">
        <f>IF(E314="STL",0,IF($F314&gt;0,$F314*Pricing!$D$17,0))</f>
        <v>20000</v>
      </c>
      <c r="P314" s="530">
        <f t="shared" si="126"/>
        <v>30000</v>
      </c>
      <c r="Q314" s="531">
        <f>IF($A314="","",$G314/VLOOKUP($I314,Ref!$B$23:$D$29,2,0))</f>
        <v>3</v>
      </c>
      <c r="R314" s="530">
        <f t="shared" si="127"/>
        <v>230000</v>
      </c>
      <c r="S314" s="532">
        <f t="shared" si="121"/>
        <v>76666.666666666672</v>
      </c>
      <c r="T314" s="531">
        <f t="shared" si="128"/>
        <v>77000</v>
      </c>
      <c r="U314" s="533">
        <f t="shared" si="129"/>
        <v>231000</v>
      </c>
      <c r="V314" s="531">
        <f t="shared" si="130"/>
        <v>66666.666666666672</v>
      </c>
      <c r="W314" s="531">
        <f t="shared" si="131"/>
        <v>10333.333333333328</v>
      </c>
      <c r="X314" s="534">
        <f t="shared" si="132"/>
        <v>30999.999999999985</v>
      </c>
      <c r="Y314" s="535">
        <f>IF($A314="","",IF($I314="weekly",$A314+7,EDATE($A314,VLOOKUP($I314,Ref!$B$24:$C$29,2,0))))</f>
        <v>44535</v>
      </c>
      <c r="Z314" s="536" t="str">
        <f t="shared" si="133"/>
        <v>Sun</v>
      </c>
      <c r="AA314" s="531">
        <f t="shared" si="134"/>
        <v>30</v>
      </c>
      <c r="AB314" s="535">
        <f t="shared" si="122"/>
        <v>44597</v>
      </c>
      <c r="AC314" s="537">
        <f t="shared" si="123"/>
        <v>92</v>
      </c>
      <c r="AD314" s="538" t="str">
        <f t="shared" ca="1" si="124"/>
        <v>Expired</v>
      </c>
      <c r="AE314" s="537">
        <f t="shared" ca="1" si="125"/>
        <v>0</v>
      </c>
      <c r="AF314" s="539">
        <f t="shared" ca="1" si="135"/>
        <v>3</v>
      </c>
      <c r="AG314" s="531">
        <f t="shared" ca="1" si="136"/>
        <v>231000</v>
      </c>
      <c r="AH314" s="531">
        <f t="shared" ca="1" si="137"/>
        <v>30999.999999999985</v>
      </c>
      <c r="AI314" s="531">
        <f t="shared" ca="1" si="138"/>
        <v>200000</v>
      </c>
      <c r="AJ314" s="531">
        <f t="shared" ca="1" si="139"/>
        <v>0</v>
      </c>
      <c r="AK314" s="540">
        <f>SUMIFS('Live Collections'!$S:$S,'Live Collections'!$D:$D,Disbursements!B314,'Live Collections'!$G:$G,Disbursements!C314)</f>
        <v>30999.999999999985</v>
      </c>
      <c r="AL314" s="540">
        <f>SUMIFS('Live Collections'!$T:$T,'Live Collections'!$D:$D,Disbursements!B314,'Live Collections'!$G:$G,Disbursements!C314)</f>
        <v>199000</v>
      </c>
      <c r="AM314" s="541">
        <f t="shared" si="140"/>
        <v>230000</v>
      </c>
      <c r="AN314" s="542">
        <f t="shared" si="141"/>
        <v>0</v>
      </c>
      <c r="AO314" s="542">
        <f t="shared" si="142"/>
        <v>1000</v>
      </c>
      <c r="AP314" s="543">
        <f t="shared" si="143"/>
        <v>1000</v>
      </c>
      <c r="AQ314" s="544">
        <f t="shared" ca="1" si="144"/>
        <v>1000</v>
      </c>
      <c r="AR314" s="545">
        <f t="shared" ca="1" si="145"/>
        <v>1.2987012987012988E-2</v>
      </c>
      <c r="AS314" s="545">
        <f ca="1">IFERROR(CEILING($AR314*VLOOKUP($I314,Ref!$B$23:$E$29,4,0),1),0)</f>
        <v>1</v>
      </c>
      <c r="AT314" s="545" t="str">
        <f ca="1">IF(A314="","",IF(AP314&lt;=1,"Cleared",IF(AS314=0,"Clean",VLOOKUP($AS314,Ref!$G$23:$H$28,2))))</f>
        <v>1.(0-30) Days</v>
      </c>
      <c r="AU314" s="546" t="str">
        <f t="shared" si="146"/>
        <v>Ok</v>
      </c>
    </row>
    <row r="315" spans="1:47" ht="14.25" customHeight="1" x14ac:dyDescent="0.15">
      <c r="A315" s="575">
        <v>44505</v>
      </c>
      <c r="B315" s="523">
        <v>277</v>
      </c>
      <c r="C315" s="523">
        <v>309</v>
      </c>
      <c r="D315" s="523">
        <v>1</v>
      </c>
      <c r="E315" s="579" t="s">
        <v>1274</v>
      </c>
      <c r="F315" s="580">
        <v>2500000</v>
      </c>
      <c r="G315" s="524">
        <v>3</v>
      </c>
      <c r="H315" s="555">
        <v>0.05</v>
      </c>
      <c r="I315" s="560" t="s">
        <v>859</v>
      </c>
      <c r="J315" s="523" t="s">
        <v>863</v>
      </c>
      <c r="K315" s="528" t="str">
        <f>IFERROR(VLOOKUP($B315,'Clients-Live'!$A:$C,3,0),"")</f>
        <v>WAYI DAVID</v>
      </c>
      <c r="L315" s="528">
        <f>IF(E315="STL",Pricing!$D$38,IF(A315="",0,IF(A315&lt;Pricing!$C$25,Pricing!$D$25,VLOOKUP(Disbursements!$F315,Pricing!$B$29:$D$32,3))))</f>
        <v>30000</v>
      </c>
      <c r="M315" s="528">
        <f>IF(E315="STL",0,IF(F315&gt;0,Pricing!$D$21,0))</f>
        <v>5000</v>
      </c>
      <c r="N315" s="529">
        <f>IF(E315="STL",F315*Pricing!$D$40,IF(A315&lt;=Pricing!$C$4,0,IF(AND(A315&gt;Pricing!$C$4,Disbursements!A315&lt;=Pricing!$C$5),F315*Pricing!$E$5,IF(AND(A315&gt;Pricing!$C$5,Disbursements!A315&lt;=Pricing!$C$7),VLOOKUP(F315,Pricing!$D$7:$E$8,2)*Disbursements!F315,F315*Pricing!$E$9))))</f>
        <v>50000</v>
      </c>
      <c r="O315" s="528">
        <f>IF(E315="STL",0,IF($F315&gt;0,$F315*Pricing!$D$17,0))</f>
        <v>250000</v>
      </c>
      <c r="P315" s="530">
        <f t="shared" si="126"/>
        <v>375000</v>
      </c>
      <c r="Q315" s="531">
        <f>IF($A315="","",$G315/VLOOKUP($I315,Ref!$B$23:$D$29,2,0))</f>
        <v>3</v>
      </c>
      <c r="R315" s="530">
        <f t="shared" si="127"/>
        <v>2875000</v>
      </c>
      <c r="S315" s="532">
        <f t="shared" si="121"/>
        <v>958333.33333333337</v>
      </c>
      <c r="T315" s="531">
        <f t="shared" si="128"/>
        <v>959000</v>
      </c>
      <c r="U315" s="533">
        <f t="shared" si="129"/>
        <v>2877000</v>
      </c>
      <c r="V315" s="531">
        <f t="shared" si="130"/>
        <v>833333.33333333337</v>
      </c>
      <c r="W315" s="531">
        <f t="shared" si="131"/>
        <v>125666.66666666663</v>
      </c>
      <c r="X315" s="534">
        <f t="shared" si="132"/>
        <v>376999.99999999988</v>
      </c>
      <c r="Y315" s="535">
        <f>IF($A315="","",IF($I315="weekly",$A315+7,EDATE($A315,VLOOKUP($I315,Ref!$B$24:$C$29,2,0))))</f>
        <v>44535</v>
      </c>
      <c r="Z315" s="536" t="str">
        <f t="shared" si="133"/>
        <v>Sun</v>
      </c>
      <c r="AA315" s="531">
        <f t="shared" si="134"/>
        <v>30</v>
      </c>
      <c r="AB315" s="535">
        <f t="shared" si="122"/>
        <v>44597</v>
      </c>
      <c r="AC315" s="537">
        <f t="shared" si="123"/>
        <v>92</v>
      </c>
      <c r="AD315" s="538" t="str">
        <f t="shared" ca="1" si="124"/>
        <v>Expired</v>
      </c>
      <c r="AE315" s="537">
        <f t="shared" ca="1" si="125"/>
        <v>0</v>
      </c>
      <c r="AF315" s="539">
        <f t="shared" ca="1" si="135"/>
        <v>3</v>
      </c>
      <c r="AG315" s="531">
        <f t="shared" ca="1" si="136"/>
        <v>2877000</v>
      </c>
      <c r="AH315" s="531">
        <f t="shared" ca="1" si="137"/>
        <v>376999.99999999988</v>
      </c>
      <c r="AI315" s="531">
        <f t="shared" ca="1" si="138"/>
        <v>2500000</v>
      </c>
      <c r="AJ315" s="531">
        <f t="shared" ca="1" si="139"/>
        <v>0</v>
      </c>
      <c r="AK315" s="540">
        <f>SUMIFS('Live Collections'!$S:$S,'Live Collections'!$D:$D,Disbursements!B315,'Live Collections'!$G:$G,Disbursements!C315)</f>
        <v>376999.99999999988</v>
      </c>
      <c r="AL315" s="540">
        <f>SUMIFS('Live Collections'!$T:$T,'Live Collections'!$D:$D,Disbursements!B315,'Live Collections'!$G:$G,Disbursements!C315)</f>
        <v>2498200</v>
      </c>
      <c r="AM315" s="541">
        <f t="shared" si="140"/>
        <v>2875200</v>
      </c>
      <c r="AN315" s="542">
        <f t="shared" si="141"/>
        <v>0</v>
      </c>
      <c r="AO315" s="542">
        <f t="shared" si="142"/>
        <v>1800</v>
      </c>
      <c r="AP315" s="543">
        <f t="shared" si="143"/>
        <v>1800</v>
      </c>
      <c r="AQ315" s="544">
        <f t="shared" ca="1" si="144"/>
        <v>1800</v>
      </c>
      <c r="AR315" s="545">
        <f t="shared" ca="1" si="145"/>
        <v>1.8769551616266945E-3</v>
      </c>
      <c r="AS315" s="545">
        <f ca="1">IFERROR(CEILING($AR315*VLOOKUP($I315,Ref!$B$23:$E$29,4,0),1),0)</f>
        <v>1</v>
      </c>
      <c r="AT315" s="545" t="str">
        <f ca="1">IF(A315="","",IF(AP315&lt;=1,"Cleared",IF(AS315=0,"Clean",VLOOKUP($AS315,Ref!$G$23:$H$28,2))))</f>
        <v>1.(0-30) Days</v>
      </c>
      <c r="AU315" s="546" t="str">
        <f t="shared" si="146"/>
        <v>Ok</v>
      </c>
    </row>
    <row r="316" spans="1:47" ht="14.25" customHeight="1" x14ac:dyDescent="0.15">
      <c r="A316" s="575">
        <v>44506</v>
      </c>
      <c r="B316" s="523">
        <v>151</v>
      </c>
      <c r="C316" s="523">
        <v>312</v>
      </c>
      <c r="D316" s="523">
        <v>3</v>
      </c>
      <c r="E316" s="579" t="s">
        <v>1274</v>
      </c>
      <c r="F316" s="580">
        <v>2000000</v>
      </c>
      <c r="G316" s="524">
        <v>4</v>
      </c>
      <c r="H316" s="555">
        <v>0.05</v>
      </c>
      <c r="I316" s="560" t="s">
        <v>859</v>
      </c>
      <c r="J316" s="523" t="s">
        <v>862</v>
      </c>
      <c r="K316" s="528" t="str">
        <f>IFERROR(VLOOKUP($B316,'Clients-Live'!$A:$C,3,0),"")</f>
        <v>MORRO HASSAN</v>
      </c>
      <c r="L316" s="528">
        <f>IF(E316="STL",Pricing!$D$38,IF(A316="",0,IF(A316&lt;Pricing!$C$25,Pricing!$D$25,VLOOKUP(Disbursements!$F316,Pricing!$B$29:$D$32,3))))</f>
        <v>25000</v>
      </c>
      <c r="M316" s="528">
        <f>IF(E316="STL",0,IF(F316&gt;0,Pricing!$D$21,0))</f>
        <v>5000</v>
      </c>
      <c r="N316" s="529">
        <f>IF(E316="STL",F316*Pricing!$D$40,IF(A316&lt;=Pricing!$C$4,0,IF(AND(A316&gt;Pricing!$C$4,Disbursements!A316&lt;=Pricing!$C$5),F316*Pricing!$E$5,IF(AND(A316&gt;Pricing!$C$5,Disbursements!A316&lt;=Pricing!$C$7),VLOOKUP(F316,Pricing!$D$7:$E$8,2)*Disbursements!F316,F316*Pricing!$E$9))))</f>
        <v>40000</v>
      </c>
      <c r="O316" s="528">
        <f>IF(E316="STL",0,IF($F316&gt;0,$F316*Pricing!$D$17,0))</f>
        <v>200000</v>
      </c>
      <c r="P316" s="530">
        <f t="shared" si="126"/>
        <v>400000</v>
      </c>
      <c r="Q316" s="531">
        <f>IF($A316="","",$G316/VLOOKUP($I316,Ref!$B$23:$D$29,2,0))</f>
        <v>4</v>
      </c>
      <c r="R316" s="530">
        <f t="shared" si="127"/>
        <v>2400000</v>
      </c>
      <c r="S316" s="532">
        <f t="shared" si="121"/>
        <v>600000</v>
      </c>
      <c r="T316" s="531">
        <f t="shared" si="128"/>
        <v>600000</v>
      </c>
      <c r="U316" s="533">
        <f t="shared" si="129"/>
        <v>2400000</v>
      </c>
      <c r="V316" s="531">
        <f t="shared" si="130"/>
        <v>500000</v>
      </c>
      <c r="W316" s="531">
        <f t="shared" si="131"/>
        <v>100000</v>
      </c>
      <c r="X316" s="534">
        <f t="shared" si="132"/>
        <v>400000</v>
      </c>
      <c r="Y316" s="535">
        <f>IF($A316="","",IF($I316="weekly",$A316+7,EDATE($A316,VLOOKUP($I316,Ref!$B$24:$C$29,2,0))))</f>
        <v>44536</v>
      </c>
      <c r="Z316" s="536" t="str">
        <f t="shared" si="133"/>
        <v>Mon</v>
      </c>
      <c r="AA316" s="531">
        <f t="shared" si="134"/>
        <v>30</v>
      </c>
      <c r="AB316" s="535">
        <f t="shared" si="122"/>
        <v>44626</v>
      </c>
      <c r="AC316" s="537">
        <f t="shared" si="123"/>
        <v>120</v>
      </c>
      <c r="AD316" s="538" t="str">
        <f t="shared" ca="1" si="124"/>
        <v>Expired</v>
      </c>
      <c r="AE316" s="537">
        <f t="shared" ca="1" si="125"/>
        <v>0</v>
      </c>
      <c r="AF316" s="539">
        <f t="shared" ca="1" si="135"/>
        <v>4</v>
      </c>
      <c r="AG316" s="531">
        <f t="shared" ca="1" si="136"/>
        <v>2400000</v>
      </c>
      <c r="AH316" s="531">
        <f t="shared" ca="1" si="137"/>
        <v>400000</v>
      </c>
      <c r="AI316" s="531">
        <f t="shared" ca="1" si="138"/>
        <v>2000000</v>
      </c>
      <c r="AJ316" s="531">
        <f t="shared" ca="1" si="139"/>
        <v>0</v>
      </c>
      <c r="AK316" s="540">
        <f>SUMIFS('Live Collections'!$S:$S,'Live Collections'!$D:$D,Disbursements!B316,'Live Collections'!$G:$G,Disbursements!C316)</f>
        <v>340000</v>
      </c>
      <c r="AL316" s="540">
        <f>SUMIFS('Live Collections'!$T:$T,'Live Collections'!$D:$D,Disbursements!B316,'Live Collections'!$G:$G,Disbursements!C316)</f>
        <v>300000</v>
      </c>
      <c r="AM316" s="541">
        <f t="shared" si="140"/>
        <v>640000</v>
      </c>
      <c r="AN316" s="542">
        <f t="shared" si="141"/>
        <v>60000</v>
      </c>
      <c r="AO316" s="542">
        <f t="shared" si="142"/>
        <v>1700000</v>
      </c>
      <c r="AP316" s="543">
        <f t="shared" si="143"/>
        <v>1760000</v>
      </c>
      <c r="AQ316" s="544">
        <f t="shared" ca="1" si="144"/>
        <v>1760000</v>
      </c>
      <c r="AR316" s="545">
        <f t="shared" ca="1" si="145"/>
        <v>2.9333333333333331</v>
      </c>
      <c r="AS316" s="545">
        <f ca="1">IFERROR(CEILING($AR316*VLOOKUP($I316,Ref!$B$23:$E$29,4,0),1),0)</f>
        <v>88</v>
      </c>
      <c r="AT316" s="545" t="str">
        <f ca="1">IF(A316="","",IF(AP316&lt;=1,"Cleared",IF(AS316=0,"Clean",VLOOKUP($AS316,Ref!$G$23:$H$28,2))))</f>
        <v>3.(61-90) Days</v>
      </c>
      <c r="AU316" s="546" t="str">
        <f t="shared" si="146"/>
        <v>Ok</v>
      </c>
    </row>
    <row r="317" spans="1:47" ht="14.25" customHeight="1" x14ac:dyDescent="0.15">
      <c r="A317" s="575">
        <v>44508</v>
      </c>
      <c r="B317" s="523">
        <v>270</v>
      </c>
      <c r="C317" s="523">
        <v>313</v>
      </c>
      <c r="D317" s="523">
        <v>1</v>
      </c>
      <c r="E317" s="579" t="s">
        <v>1276</v>
      </c>
      <c r="F317" s="580">
        <v>350000</v>
      </c>
      <c r="G317" s="524">
        <v>3</v>
      </c>
      <c r="H317" s="555">
        <v>7.4999999999999997E-2</v>
      </c>
      <c r="I317" s="560" t="s">
        <v>859</v>
      </c>
      <c r="J317" s="523" t="s">
        <v>862</v>
      </c>
      <c r="K317" s="528" t="str">
        <f>IFERROR(VLOOKUP($B317,'Clients-Live'!$A:$C,3,0),"")</f>
        <v>AJOBE SAMUEL</v>
      </c>
      <c r="L317" s="528">
        <f>IF(E317="STL",Pricing!$D$38,IF(A317="",0,IF(A317&lt;Pricing!$C$25,Pricing!$D$25,VLOOKUP(Disbursements!$F317,Pricing!$B$29:$D$32,3))))</f>
        <v>15000</v>
      </c>
      <c r="M317" s="528">
        <f>IF(E317="STL",0,IF(F317&gt;0,Pricing!$D$21,0))</f>
        <v>5000</v>
      </c>
      <c r="N317" s="529">
        <f>IF(E317="STL",F317*Pricing!$D$40,IF(A317&lt;=Pricing!$C$4,0,IF(AND(A317&gt;Pricing!$C$4,Disbursements!A317&lt;=Pricing!$C$5),F317*Pricing!$E$5,IF(AND(A317&gt;Pricing!$C$5,Disbursements!A317&lt;=Pricing!$C$7),VLOOKUP(F317,Pricing!$D$7:$E$8,2)*Disbursements!F317,F317*Pricing!$E$9))))</f>
        <v>3500</v>
      </c>
      <c r="O317" s="528">
        <f>IF(E317="STL",0,IF($F317&gt;0,$F317*Pricing!$D$17,0))</f>
        <v>35000</v>
      </c>
      <c r="P317" s="530">
        <f t="shared" si="126"/>
        <v>78750</v>
      </c>
      <c r="Q317" s="531">
        <f>IF($A317="","",$G317/VLOOKUP($I317,Ref!$B$23:$D$29,2,0))</f>
        <v>3</v>
      </c>
      <c r="R317" s="530">
        <f t="shared" si="127"/>
        <v>428750</v>
      </c>
      <c r="S317" s="532">
        <f t="shared" si="121"/>
        <v>142916.66666666666</v>
      </c>
      <c r="T317" s="531">
        <f t="shared" si="128"/>
        <v>143000</v>
      </c>
      <c r="U317" s="533">
        <f t="shared" si="129"/>
        <v>429000</v>
      </c>
      <c r="V317" s="531">
        <f t="shared" si="130"/>
        <v>116666.66666666667</v>
      </c>
      <c r="W317" s="531">
        <f t="shared" si="131"/>
        <v>26333.333333333328</v>
      </c>
      <c r="X317" s="534">
        <f t="shared" si="132"/>
        <v>78999.999999999985</v>
      </c>
      <c r="Y317" s="535">
        <f>IF($A317="","",IF($I317="weekly",$A317+7,EDATE($A317,VLOOKUP($I317,Ref!$B$24:$C$29,2,0))))</f>
        <v>44538</v>
      </c>
      <c r="Z317" s="536" t="str">
        <f t="shared" si="133"/>
        <v>Wed</v>
      </c>
      <c r="AA317" s="531">
        <f t="shared" si="134"/>
        <v>30</v>
      </c>
      <c r="AB317" s="535">
        <f t="shared" si="122"/>
        <v>44600</v>
      </c>
      <c r="AC317" s="537">
        <f t="shared" si="123"/>
        <v>92</v>
      </c>
      <c r="AD317" s="538" t="str">
        <f t="shared" ca="1" si="124"/>
        <v>Expired</v>
      </c>
      <c r="AE317" s="537">
        <f t="shared" ca="1" si="125"/>
        <v>0</v>
      </c>
      <c r="AF317" s="539">
        <f t="shared" ca="1" si="135"/>
        <v>3</v>
      </c>
      <c r="AG317" s="531">
        <f t="shared" ca="1" si="136"/>
        <v>429000</v>
      </c>
      <c r="AH317" s="531">
        <f t="shared" ca="1" si="137"/>
        <v>78999.999999999985</v>
      </c>
      <c r="AI317" s="531">
        <f t="shared" ca="1" si="138"/>
        <v>350000</v>
      </c>
      <c r="AJ317" s="531">
        <f t="shared" ca="1" si="139"/>
        <v>0</v>
      </c>
      <c r="AK317" s="540">
        <f>SUMIFS('Live Collections'!$S:$S,'Live Collections'!$D:$D,Disbursements!B317,'Live Collections'!$G:$G,Disbursements!C317)</f>
        <v>78999.999999999985</v>
      </c>
      <c r="AL317" s="540">
        <f>SUMIFS('Live Collections'!$T:$T,'Live Collections'!$D:$D,Disbursements!B317,'Live Collections'!$G:$G,Disbursements!C317)</f>
        <v>350000</v>
      </c>
      <c r="AM317" s="541">
        <f t="shared" si="140"/>
        <v>429000</v>
      </c>
      <c r="AN317" s="542">
        <f t="shared" si="141"/>
        <v>0</v>
      </c>
      <c r="AO317" s="542">
        <f t="shared" si="142"/>
        <v>0</v>
      </c>
      <c r="AP317" s="543">
        <f t="shared" si="143"/>
        <v>0</v>
      </c>
      <c r="AQ317" s="544" t="str">
        <f t="shared" ca="1" si="144"/>
        <v/>
      </c>
      <c r="AR317" s="545">
        <f t="shared" ca="1" si="145"/>
        <v>0</v>
      </c>
      <c r="AS317" s="545">
        <f ca="1">IFERROR(CEILING($AR317*VLOOKUP($I317,Ref!$B$23:$E$29,4,0),1),0)</f>
        <v>0</v>
      </c>
      <c r="AT317" s="545" t="str">
        <f>IF(A317="","",IF(AP317&lt;=1,"Cleared",IF(AS317=0,"Clean",VLOOKUP($AS317,Ref!$G$23:$H$28,2))))</f>
        <v>Cleared</v>
      </c>
      <c r="AU317" s="546" t="str">
        <f t="shared" si="146"/>
        <v>Ok</v>
      </c>
    </row>
    <row r="318" spans="1:47" ht="14.25" customHeight="1" x14ac:dyDescent="0.15">
      <c r="A318" s="575">
        <v>44509</v>
      </c>
      <c r="B318" s="523">
        <v>18</v>
      </c>
      <c r="C318" s="523">
        <v>317</v>
      </c>
      <c r="D318" s="523">
        <v>2</v>
      </c>
      <c r="E318" s="579" t="s">
        <v>1274</v>
      </c>
      <c r="F318" s="580">
        <v>3000000</v>
      </c>
      <c r="G318" s="524">
        <v>6</v>
      </c>
      <c r="H318" s="555">
        <v>0.05</v>
      </c>
      <c r="I318" s="560" t="s">
        <v>859</v>
      </c>
      <c r="J318" s="523" t="s">
        <v>864</v>
      </c>
      <c r="K318" s="528" t="str">
        <f>IFERROR(VLOOKUP($B318,'Clients-Live'!$A:$C,3,0),"")</f>
        <v>ARIYE PEACE</v>
      </c>
      <c r="L318" s="528">
        <f>IF(E318="STL",Pricing!$D$38,IF(A318="",0,IF(A318&lt;Pricing!$C$25,Pricing!$D$25,VLOOKUP(Disbursements!$F318,Pricing!$B$29:$D$32,3))))</f>
        <v>30000</v>
      </c>
      <c r="M318" s="528">
        <f>IF(E318="STL",0,IF(F318&gt;0,Pricing!$D$21,0))</f>
        <v>5000</v>
      </c>
      <c r="N318" s="529">
        <f>IF(E318="STL",F318*Pricing!$D$40,IF(A318&lt;=Pricing!$C$4,0,IF(AND(A318&gt;Pricing!$C$4,Disbursements!A318&lt;=Pricing!$C$5),F318*Pricing!$E$5,IF(AND(A318&gt;Pricing!$C$5,Disbursements!A318&lt;=Pricing!$C$7),VLOOKUP(F318,Pricing!$D$7:$E$8,2)*Disbursements!F318,F318*Pricing!$E$9))))</f>
        <v>60000</v>
      </c>
      <c r="O318" s="528">
        <f>IF(E318="STL",0,IF($F318&gt;0,$F318*Pricing!$D$17,0))</f>
        <v>300000</v>
      </c>
      <c r="P318" s="530">
        <f t="shared" si="126"/>
        <v>900000</v>
      </c>
      <c r="Q318" s="531">
        <f>IF($A318="","",$G318/VLOOKUP($I318,Ref!$B$23:$D$29,2,0))</f>
        <v>6</v>
      </c>
      <c r="R318" s="530">
        <f t="shared" si="127"/>
        <v>3900000</v>
      </c>
      <c r="S318" s="532">
        <f t="shared" si="121"/>
        <v>650000</v>
      </c>
      <c r="T318" s="531">
        <f t="shared" si="128"/>
        <v>650000</v>
      </c>
      <c r="U318" s="533">
        <f t="shared" si="129"/>
        <v>3900000</v>
      </c>
      <c r="V318" s="531">
        <f t="shared" si="130"/>
        <v>500000</v>
      </c>
      <c r="W318" s="531">
        <f t="shared" si="131"/>
        <v>150000</v>
      </c>
      <c r="X318" s="534">
        <f t="shared" si="132"/>
        <v>900000</v>
      </c>
      <c r="Y318" s="535">
        <f>IF($A318="","",IF($I318="weekly",$A318+7,EDATE($A318,VLOOKUP($I318,Ref!$B$24:$C$29,2,0))))</f>
        <v>44539</v>
      </c>
      <c r="Z318" s="536" t="str">
        <f t="shared" si="133"/>
        <v>Thu</v>
      </c>
      <c r="AA318" s="531">
        <f t="shared" si="134"/>
        <v>30</v>
      </c>
      <c r="AB318" s="535">
        <f t="shared" si="122"/>
        <v>44690</v>
      </c>
      <c r="AC318" s="537">
        <f t="shared" si="123"/>
        <v>181</v>
      </c>
      <c r="AD318" s="538" t="str">
        <f t="shared" ca="1" si="124"/>
        <v>Expired</v>
      </c>
      <c r="AE318" s="537">
        <f t="shared" ca="1" si="125"/>
        <v>0</v>
      </c>
      <c r="AF318" s="539">
        <f t="shared" ca="1" si="135"/>
        <v>6</v>
      </c>
      <c r="AG318" s="531">
        <f t="shared" ca="1" si="136"/>
        <v>3900000</v>
      </c>
      <c r="AH318" s="531">
        <f t="shared" ca="1" si="137"/>
        <v>900000</v>
      </c>
      <c r="AI318" s="531">
        <f t="shared" ca="1" si="138"/>
        <v>3000000</v>
      </c>
      <c r="AJ318" s="531">
        <f t="shared" ca="1" si="139"/>
        <v>0</v>
      </c>
      <c r="AK318" s="540">
        <f>SUMIFS('Live Collections'!$S:$S,'Live Collections'!$D:$D,Disbursements!B318,'Live Collections'!$G:$G,Disbursements!C318)</f>
        <v>900000</v>
      </c>
      <c r="AL318" s="540">
        <f>SUMIFS('Live Collections'!$T:$T,'Live Collections'!$D:$D,Disbursements!B318,'Live Collections'!$G:$G,Disbursements!C318)</f>
        <v>2124000</v>
      </c>
      <c r="AM318" s="541">
        <f t="shared" si="140"/>
        <v>3024000</v>
      </c>
      <c r="AN318" s="542">
        <f t="shared" si="141"/>
        <v>0</v>
      </c>
      <c r="AO318" s="542">
        <f t="shared" si="142"/>
        <v>876000</v>
      </c>
      <c r="AP318" s="543">
        <f t="shared" si="143"/>
        <v>876000</v>
      </c>
      <c r="AQ318" s="544">
        <f t="shared" ca="1" si="144"/>
        <v>876000</v>
      </c>
      <c r="AR318" s="545">
        <f t="shared" ca="1" si="145"/>
        <v>1.3476923076923077</v>
      </c>
      <c r="AS318" s="545">
        <f ca="1">IFERROR(CEILING($AR318*VLOOKUP($I318,Ref!$B$23:$E$29,4,0),1),0)</f>
        <v>41</v>
      </c>
      <c r="AT318" s="545" t="str">
        <f ca="1">IF(A318="","",IF(AP318&lt;=1,"Cleared",IF(AS318=0,"Clean",VLOOKUP($AS318,Ref!$G$23:$H$28,2))))</f>
        <v>2.(31-60) Days</v>
      </c>
      <c r="AU318" s="546" t="str">
        <f t="shared" si="146"/>
        <v>Ok</v>
      </c>
    </row>
    <row r="319" spans="1:47" ht="14.25" customHeight="1" x14ac:dyDescent="0.15">
      <c r="A319" s="575">
        <v>44509</v>
      </c>
      <c r="B319" s="523">
        <v>77</v>
      </c>
      <c r="C319" s="523">
        <v>315</v>
      </c>
      <c r="D319" s="523">
        <v>2</v>
      </c>
      <c r="E319" s="579" t="s">
        <v>1274</v>
      </c>
      <c r="F319" s="580">
        <v>1500000</v>
      </c>
      <c r="G319" s="524">
        <v>6</v>
      </c>
      <c r="H319" s="555">
        <v>0.05</v>
      </c>
      <c r="I319" s="560" t="s">
        <v>859</v>
      </c>
      <c r="J319" s="523" t="s">
        <v>864</v>
      </c>
      <c r="K319" s="528" t="str">
        <f>IFERROR(VLOOKUP($B319,'Clients-Live'!$A:$C,3,0),"")</f>
        <v>CACA FATUMA</v>
      </c>
      <c r="L319" s="528">
        <f>IF(E319="STL",Pricing!$D$38,IF(A319="",0,IF(A319&lt;Pricing!$C$25,Pricing!$D$25,VLOOKUP(Disbursements!$F319,Pricing!$B$29:$D$32,3))))</f>
        <v>25000</v>
      </c>
      <c r="M319" s="528">
        <f>IF(E319="STL",0,IF(F319&gt;0,Pricing!$D$21,0))</f>
        <v>5000</v>
      </c>
      <c r="N319" s="529">
        <f>IF(E319="STL",F319*Pricing!$D$40,IF(A319&lt;=Pricing!$C$4,0,IF(AND(A319&gt;Pricing!$C$4,Disbursements!A319&lt;=Pricing!$C$5),F319*Pricing!$E$5,IF(AND(A319&gt;Pricing!$C$5,Disbursements!A319&lt;=Pricing!$C$7),VLOOKUP(F319,Pricing!$D$7:$E$8,2)*Disbursements!F319,F319*Pricing!$E$9))))</f>
        <v>30000</v>
      </c>
      <c r="O319" s="528">
        <f>IF(E319="STL",0,IF($F319&gt;0,$F319*Pricing!$D$17,0))</f>
        <v>150000</v>
      </c>
      <c r="P319" s="530">
        <f t="shared" si="126"/>
        <v>450000</v>
      </c>
      <c r="Q319" s="531">
        <f>IF($A319="","",$G319/VLOOKUP($I319,Ref!$B$23:$D$29,2,0))</f>
        <v>6</v>
      </c>
      <c r="R319" s="530">
        <f t="shared" si="127"/>
        <v>1950000</v>
      </c>
      <c r="S319" s="532">
        <f t="shared" si="121"/>
        <v>325000</v>
      </c>
      <c r="T319" s="531">
        <f t="shared" si="128"/>
        <v>325000</v>
      </c>
      <c r="U319" s="533">
        <f t="shared" si="129"/>
        <v>1950000</v>
      </c>
      <c r="V319" s="531">
        <f t="shared" si="130"/>
        <v>250000</v>
      </c>
      <c r="W319" s="531">
        <f t="shared" si="131"/>
        <v>75000</v>
      </c>
      <c r="X319" s="534">
        <f t="shared" si="132"/>
        <v>450000</v>
      </c>
      <c r="Y319" s="535">
        <f>IF($A319="","",IF($I319="weekly",$A319+7,EDATE($A319,VLOOKUP($I319,Ref!$B$24:$C$29,2,0))))</f>
        <v>44539</v>
      </c>
      <c r="Z319" s="536" t="str">
        <f t="shared" si="133"/>
        <v>Thu</v>
      </c>
      <c r="AA319" s="531">
        <f t="shared" si="134"/>
        <v>30</v>
      </c>
      <c r="AB319" s="535">
        <f t="shared" si="122"/>
        <v>44690</v>
      </c>
      <c r="AC319" s="537">
        <f t="shared" si="123"/>
        <v>181</v>
      </c>
      <c r="AD319" s="538" t="str">
        <f t="shared" ca="1" si="124"/>
        <v>Expired</v>
      </c>
      <c r="AE319" s="537">
        <f t="shared" ca="1" si="125"/>
        <v>0</v>
      </c>
      <c r="AF319" s="539">
        <f t="shared" ca="1" si="135"/>
        <v>6</v>
      </c>
      <c r="AG319" s="531">
        <f t="shared" ca="1" si="136"/>
        <v>1950000</v>
      </c>
      <c r="AH319" s="531">
        <f t="shared" ca="1" si="137"/>
        <v>450000</v>
      </c>
      <c r="AI319" s="531">
        <f t="shared" ca="1" si="138"/>
        <v>1500000</v>
      </c>
      <c r="AJ319" s="531">
        <f t="shared" ca="1" si="139"/>
        <v>0</v>
      </c>
      <c r="AK319" s="540">
        <f>SUMIFS('Live Collections'!$S:$S,'Live Collections'!$D:$D,Disbursements!B319,'Live Collections'!$G:$G,Disbursements!C319)</f>
        <v>450000</v>
      </c>
      <c r="AL319" s="540">
        <f>SUMIFS('Live Collections'!$T:$T,'Live Collections'!$D:$D,Disbursements!B319,'Live Collections'!$G:$G,Disbursements!C319)</f>
        <v>1500000</v>
      </c>
      <c r="AM319" s="541">
        <f t="shared" si="140"/>
        <v>1950000</v>
      </c>
      <c r="AN319" s="542">
        <f t="shared" si="141"/>
        <v>0</v>
      </c>
      <c r="AO319" s="542">
        <f t="shared" si="142"/>
        <v>0</v>
      </c>
      <c r="AP319" s="543">
        <f t="shared" si="143"/>
        <v>0</v>
      </c>
      <c r="AQ319" s="544" t="str">
        <f t="shared" ca="1" si="144"/>
        <v/>
      </c>
      <c r="AR319" s="545">
        <f t="shared" ca="1" si="145"/>
        <v>0</v>
      </c>
      <c r="AS319" s="545">
        <f ca="1">IFERROR(CEILING($AR319*VLOOKUP($I319,Ref!$B$23:$E$29,4,0),1),0)</f>
        <v>0</v>
      </c>
      <c r="AT319" s="545" t="str">
        <f>IF(A319="","",IF(AP319&lt;=1,"Cleared",IF(AS319=0,"Clean",VLOOKUP($AS319,Ref!$G$23:$H$28,2))))</f>
        <v>Cleared</v>
      </c>
      <c r="AU319" s="546" t="str">
        <f t="shared" si="146"/>
        <v>Ok</v>
      </c>
    </row>
    <row r="320" spans="1:47" ht="14.25" customHeight="1" x14ac:dyDescent="0.15">
      <c r="A320" s="575">
        <v>44509</v>
      </c>
      <c r="B320" s="523">
        <v>90</v>
      </c>
      <c r="C320" s="523">
        <v>316</v>
      </c>
      <c r="D320" s="523">
        <v>2</v>
      </c>
      <c r="E320" s="579" t="s">
        <v>1274</v>
      </c>
      <c r="F320" s="580">
        <v>1000000</v>
      </c>
      <c r="G320" s="524">
        <v>6</v>
      </c>
      <c r="H320" s="555">
        <v>0.05</v>
      </c>
      <c r="I320" s="560" t="s">
        <v>859</v>
      </c>
      <c r="J320" s="523" t="s">
        <v>863</v>
      </c>
      <c r="K320" s="528" t="str">
        <f>IFERROR(VLOOKUP($B320,'Clients-Live'!$A:$C,3,0),"")</f>
        <v>ZABIBU RAJAB SAIDI</v>
      </c>
      <c r="L320" s="528">
        <f>IF(E320="STL",Pricing!$D$38,IF(A320="",0,IF(A320&lt;Pricing!$C$25,Pricing!$D$25,VLOOKUP(Disbursements!$F320,Pricing!$B$29:$D$32,3))))</f>
        <v>20000</v>
      </c>
      <c r="M320" s="528">
        <f>IF(E320="STL",0,IF(F320&gt;0,Pricing!$D$21,0))</f>
        <v>5000</v>
      </c>
      <c r="N320" s="529">
        <f>IF(E320="STL",F320*Pricing!$D$40,IF(A320&lt;=Pricing!$C$4,0,IF(AND(A320&gt;Pricing!$C$4,Disbursements!A320&lt;=Pricing!$C$5),F320*Pricing!$E$5,IF(AND(A320&gt;Pricing!$C$5,Disbursements!A320&lt;=Pricing!$C$7),VLOOKUP(F320,Pricing!$D$7:$E$8,2)*Disbursements!F320,F320*Pricing!$E$9))))</f>
        <v>10000</v>
      </c>
      <c r="O320" s="528">
        <f>IF(E320="STL",0,IF($F320&gt;0,$F320*Pricing!$D$17,0))</f>
        <v>100000</v>
      </c>
      <c r="P320" s="530">
        <f t="shared" si="126"/>
        <v>300000</v>
      </c>
      <c r="Q320" s="531">
        <f>IF($A320="","",$G320/VLOOKUP($I320,Ref!$B$23:$D$29,2,0))</f>
        <v>6</v>
      </c>
      <c r="R320" s="530">
        <f t="shared" si="127"/>
        <v>1300000</v>
      </c>
      <c r="S320" s="532">
        <f t="shared" si="121"/>
        <v>216666.66666666666</v>
      </c>
      <c r="T320" s="531">
        <f t="shared" si="128"/>
        <v>217000</v>
      </c>
      <c r="U320" s="533">
        <f t="shared" si="129"/>
        <v>1302000</v>
      </c>
      <c r="V320" s="531">
        <f t="shared" si="130"/>
        <v>166666.66666666666</v>
      </c>
      <c r="W320" s="531">
        <f t="shared" si="131"/>
        <v>50333.333333333343</v>
      </c>
      <c r="X320" s="534">
        <f t="shared" si="132"/>
        <v>302000.00000000006</v>
      </c>
      <c r="Y320" s="535">
        <f>IF($A320="","",IF($I320="weekly",$A320+7,EDATE($A320,VLOOKUP($I320,Ref!$B$24:$C$29,2,0))))</f>
        <v>44539</v>
      </c>
      <c r="Z320" s="536" t="str">
        <f t="shared" si="133"/>
        <v>Thu</v>
      </c>
      <c r="AA320" s="531">
        <f t="shared" si="134"/>
        <v>30</v>
      </c>
      <c r="AB320" s="535">
        <f t="shared" si="122"/>
        <v>44690</v>
      </c>
      <c r="AC320" s="537">
        <f t="shared" si="123"/>
        <v>181</v>
      </c>
      <c r="AD320" s="538" t="str">
        <f t="shared" ca="1" si="124"/>
        <v>Expired</v>
      </c>
      <c r="AE320" s="537">
        <f t="shared" ca="1" si="125"/>
        <v>0</v>
      </c>
      <c r="AF320" s="539">
        <f t="shared" ca="1" si="135"/>
        <v>6</v>
      </c>
      <c r="AG320" s="531">
        <f t="shared" ca="1" si="136"/>
        <v>1302000</v>
      </c>
      <c r="AH320" s="531">
        <f t="shared" ca="1" si="137"/>
        <v>302000.00000000006</v>
      </c>
      <c r="AI320" s="531">
        <f t="shared" ca="1" si="138"/>
        <v>1000000</v>
      </c>
      <c r="AJ320" s="531">
        <f t="shared" ca="1" si="139"/>
        <v>0</v>
      </c>
      <c r="AK320" s="540">
        <f>SUMIFS('Live Collections'!$S:$S,'Live Collections'!$D:$D,Disbursements!B320,'Live Collections'!$G:$G,Disbursements!C320)</f>
        <v>302000.00000000006</v>
      </c>
      <c r="AL320" s="540">
        <f>SUMIFS('Live Collections'!$T:$T,'Live Collections'!$D:$D,Disbursements!B320,'Live Collections'!$G:$G,Disbursements!C320)</f>
        <v>714700</v>
      </c>
      <c r="AM320" s="541">
        <f t="shared" si="140"/>
        <v>1016700</v>
      </c>
      <c r="AN320" s="542">
        <f t="shared" si="141"/>
        <v>0</v>
      </c>
      <c r="AO320" s="542">
        <f t="shared" si="142"/>
        <v>285300</v>
      </c>
      <c r="AP320" s="543">
        <f t="shared" si="143"/>
        <v>285300</v>
      </c>
      <c r="AQ320" s="544">
        <f t="shared" ca="1" si="144"/>
        <v>285300</v>
      </c>
      <c r="AR320" s="545">
        <f t="shared" ca="1" si="145"/>
        <v>1.3147465437788017</v>
      </c>
      <c r="AS320" s="545">
        <f ca="1">IFERROR(CEILING($AR320*VLOOKUP($I320,Ref!$B$23:$E$29,4,0),1),0)</f>
        <v>40</v>
      </c>
      <c r="AT320" s="545" t="str">
        <f ca="1">IF(A320="","",IF(AP320&lt;=1,"Cleared",IF(AS320=0,"Clean",VLOOKUP($AS320,Ref!$G$23:$H$28,2))))</f>
        <v>2.(31-60) Days</v>
      </c>
      <c r="AU320" s="546" t="str">
        <f t="shared" si="146"/>
        <v>Ok</v>
      </c>
    </row>
    <row r="321" spans="1:47" ht="14.25" customHeight="1" x14ac:dyDescent="0.15">
      <c r="A321" s="575">
        <v>44509</v>
      </c>
      <c r="B321" s="523">
        <v>108</v>
      </c>
      <c r="C321" s="523">
        <v>314</v>
      </c>
      <c r="D321" s="523">
        <v>2</v>
      </c>
      <c r="E321" s="579" t="s">
        <v>1274</v>
      </c>
      <c r="F321" s="580">
        <v>1000000</v>
      </c>
      <c r="G321" s="524">
        <v>5</v>
      </c>
      <c r="H321" s="555">
        <v>0.05</v>
      </c>
      <c r="I321" s="560" t="s">
        <v>859</v>
      </c>
      <c r="J321" s="523" t="s">
        <v>862</v>
      </c>
      <c r="K321" s="528" t="str">
        <f>IFERROR(VLOOKUP($B321,'Clients-Live'!$A:$C,3,0),"")</f>
        <v>DUDU JOICE</v>
      </c>
      <c r="L321" s="528">
        <f>IF(E321="STL",Pricing!$D$38,IF(A321="",0,IF(A321&lt;Pricing!$C$25,Pricing!$D$25,VLOOKUP(Disbursements!$F321,Pricing!$B$29:$D$32,3))))</f>
        <v>20000</v>
      </c>
      <c r="M321" s="528">
        <f>IF(E321="STL",0,IF(F321&gt;0,Pricing!$D$21,0))</f>
        <v>5000</v>
      </c>
      <c r="N321" s="529">
        <f>IF(E321="STL",F321*Pricing!$D$40,IF(A321&lt;=Pricing!$C$4,0,IF(AND(A321&gt;Pricing!$C$4,Disbursements!A321&lt;=Pricing!$C$5),F321*Pricing!$E$5,IF(AND(A321&gt;Pricing!$C$5,Disbursements!A321&lt;=Pricing!$C$7),VLOOKUP(F321,Pricing!$D$7:$E$8,2)*Disbursements!F321,F321*Pricing!$E$9))))</f>
        <v>10000</v>
      </c>
      <c r="O321" s="528">
        <f>IF(E321="STL",0,IF($F321&gt;0,$F321*Pricing!$D$17,0))</f>
        <v>100000</v>
      </c>
      <c r="P321" s="530">
        <f t="shared" si="126"/>
        <v>250000</v>
      </c>
      <c r="Q321" s="531">
        <f>IF($A321="","",$G321/VLOOKUP($I321,Ref!$B$23:$D$29,2,0))</f>
        <v>5</v>
      </c>
      <c r="R321" s="530">
        <f t="shared" si="127"/>
        <v>1250000</v>
      </c>
      <c r="S321" s="532">
        <f t="shared" si="121"/>
        <v>250000</v>
      </c>
      <c r="T321" s="531">
        <f t="shared" si="128"/>
        <v>250000</v>
      </c>
      <c r="U321" s="533">
        <f t="shared" si="129"/>
        <v>1250000</v>
      </c>
      <c r="V321" s="531">
        <f t="shared" si="130"/>
        <v>200000</v>
      </c>
      <c r="W321" s="531">
        <f t="shared" si="131"/>
        <v>50000</v>
      </c>
      <c r="X321" s="534">
        <f t="shared" si="132"/>
        <v>250000</v>
      </c>
      <c r="Y321" s="535">
        <f>IF($A321="","",IF($I321="weekly",$A321+7,EDATE($A321,VLOOKUP($I321,Ref!$B$24:$C$29,2,0))))</f>
        <v>44539</v>
      </c>
      <c r="Z321" s="536" t="str">
        <f t="shared" si="133"/>
        <v>Thu</v>
      </c>
      <c r="AA321" s="531">
        <f t="shared" si="134"/>
        <v>30</v>
      </c>
      <c r="AB321" s="535">
        <f t="shared" si="122"/>
        <v>44660</v>
      </c>
      <c r="AC321" s="537">
        <f t="shared" si="123"/>
        <v>151</v>
      </c>
      <c r="AD321" s="538" t="str">
        <f t="shared" ca="1" si="124"/>
        <v>Expired</v>
      </c>
      <c r="AE321" s="537">
        <f t="shared" ca="1" si="125"/>
        <v>0</v>
      </c>
      <c r="AF321" s="539">
        <f t="shared" ca="1" si="135"/>
        <v>5</v>
      </c>
      <c r="AG321" s="531">
        <f t="shared" ca="1" si="136"/>
        <v>1250000</v>
      </c>
      <c r="AH321" s="531">
        <f t="shared" ca="1" si="137"/>
        <v>250000</v>
      </c>
      <c r="AI321" s="531">
        <f t="shared" ca="1" si="138"/>
        <v>1000000</v>
      </c>
      <c r="AJ321" s="531">
        <f t="shared" ca="1" si="139"/>
        <v>0</v>
      </c>
      <c r="AK321" s="540">
        <f>SUMIFS('Live Collections'!$S:$S,'Live Collections'!$D:$D,Disbursements!B321,'Live Collections'!$G:$G,Disbursements!C321)</f>
        <v>240000</v>
      </c>
      <c r="AL321" s="540">
        <f>SUMIFS('Live Collections'!$T:$T,'Live Collections'!$D:$D,Disbursements!B321,'Live Collections'!$G:$G,Disbursements!C321)</f>
        <v>630000</v>
      </c>
      <c r="AM321" s="541">
        <f t="shared" si="140"/>
        <v>870000</v>
      </c>
      <c r="AN321" s="542">
        <f t="shared" si="141"/>
        <v>10000</v>
      </c>
      <c r="AO321" s="542">
        <f t="shared" si="142"/>
        <v>370000</v>
      </c>
      <c r="AP321" s="543">
        <f t="shared" si="143"/>
        <v>380000</v>
      </c>
      <c r="AQ321" s="544">
        <f t="shared" ca="1" si="144"/>
        <v>380000</v>
      </c>
      <c r="AR321" s="545">
        <f t="shared" ca="1" si="145"/>
        <v>1.52</v>
      </c>
      <c r="AS321" s="545">
        <f ca="1">IFERROR(CEILING($AR321*VLOOKUP($I321,Ref!$B$23:$E$29,4,0),1),0)</f>
        <v>46</v>
      </c>
      <c r="AT321" s="545" t="str">
        <f ca="1">IF(A321="","",IF(AP321&lt;=1,"Cleared",IF(AS321=0,"Clean",VLOOKUP($AS321,Ref!$G$23:$H$28,2))))</f>
        <v>2.(31-60) Days</v>
      </c>
      <c r="AU321" s="546" t="str">
        <f t="shared" si="146"/>
        <v>Ok</v>
      </c>
    </row>
    <row r="322" spans="1:47" ht="14.25" customHeight="1" x14ac:dyDescent="0.15">
      <c r="A322" s="575">
        <v>44510</v>
      </c>
      <c r="B322" s="523">
        <v>143</v>
      </c>
      <c r="C322" s="523">
        <v>318</v>
      </c>
      <c r="D322" s="523">
        <v>2</v>
      </c>
      <c r="E322" s="579" t="s">
        <v>1274</v>
      </c>
      <c r="F322" s="580">
        <v>4000000</v>
      </c>
      <c r="G322" s="524">
        <v>4</v>
      </c>
      <c r="H322" s="555">
        <v>0.05</v>
      </c>
      <c r="I322" s="560" t="s">
        <v>859</v>
      </c>
      <c r="J322" s="523" t="s">
        <v>864</v>
      </c>
      <c r="K322" s="528" t="str">
        <f>IFERROR(VLOOKUP($B322,'Clients-Live'!$A:$C,3,0),"")</f>
        <v>MORO HAKIM</v>
      </c>
      <c r="L322" s="528">
        <f>IF(E322="STL",Pricing!$D$38,IF(A322="",0,IF(A322&lt;Pricing!$C$25,Pricing!$D$25,VLOOKUP(Disbursements!$F322,Pricing!$B$29:$D$32,3))))</f>
        <v>30000</v>
      </c>
      <c r="M322" s="528">
        <f>IF(E322="STL",0,IF(F322&gt;0,Pricing!$D$21,0))</f>
        <v>5000</v>
      </c>
      <c r="N322" s="529">
        <f>IF(E322="STL",F322*Pricing!$D$40,IF(A322&lt;=Pricing!$C$4,0,IF(AND(A322&gt;Pricing!$C$4,Disbursements!A322&lt;=Pricing!$C$5),F322*Pricing!$E$5,IF(AND(A322&gt;Pricing!$C$5,Disbursements!A322&lt;=Pricing!$C$7),VLOOKUP(F322,Pricing!$D$7:$E$8,2)*Disbursements!F322,F322*Pricing!$E$9))))</f>
        <v>80000</v>
      </c>
      <c r="O322" s="528">
        <f>IF(E322="STL",0,IF($F322&gt;0,$F322*Pricing!$D$17,0))</f>
        <v>400000</v>
      </c>
      <c r="P322" s="530">
        <f t="shared" si="126"/>
        <v>800000</v>
      </c>
      <c r="Q322" s="531">
        <f>IF($A322="","",$G322/VLOOKUP($I322,Ref!$B$23:$D$29,2,0))</f>
        <v>4</v>
      </c>
      <c r="R322" s="530">
        <f t="shared" si="127"/>
        <v>4800000</v>
      </c>
      <c r="S322" s="532">
        <f t="shared" si="121"/>
        <v>1200000</v>
      </c>
      <c r="T322" s="531">
        <f t="shared" si="128"/>
        <v>1200000</v>
      </c>
      <c r="U322" s="533">
        <f t="shared" si="129"/>
        <v>4800000</v>
      </c>
      <c r="V322" s="531">
        <f t="shared" si="130"/>
        <v>1000000</v>
      </c>
      <c r="W322" s="531">
        <f t="shared" si="131"/>
        <v>200000</v>
      </c>
      <c r="X322" s="534">
        <f t="shared" si="132"/>
        <v>800000</v>
      </c>
      <c r="Y322" s="535">
        <f>IF($A322="","",IF($I322="weekly",$A322+7,EDATE($A322,VLOOKUP($I322,Ref!$B$24:$C$29,2,0))))</f>
        <v>44540</v>
      </c>
      <c r="Z322" s="536" t="str">
        <f t="shared" si="133"/>
        <v>Frid</v>
      </c>
      <c r="AA322" s="531">
        <f t="shared" si="134"/>
        <v>30</v>
      </c>
      <c r="AB322" s="535">
        <f t="shared" si="122"/>
        <v>44630</v>
      </c>
      <c r="AC322" s="537">
        <f t="shared" si="123"/>
        <v>120</v>
      </c>
      <c r="AD322" s="538" t="str">
        <f t="shared" ca="1" si="124"/>
        <v>Expired</v>
      </c>
      <c r="AE322" s="537">
        <f t="shared" ca="1" si="125"/>
        <v>0</v>
      </c>
      <c r="AF322" s="539">
        <f t="shared" ca="1" si="135"/>
        <v>4</v>
      </c>
      <c r="AG322" s="531">
        <f t="shared" ca="1" si="136"/>
        <v>4800000</v>
      </c>
      <c r="AH322" s="531">
        <f t="shared" ca="1" si="137"/>
        <v>800000</v>
      </c>
      <c r="AI322" s="531">
        <f t="shared" ca="1" si="138"/>
        <v>4000000</v>
      </c>
      <c r="AJ322" s="531">
        <f t="shared" ca="1" si="139"/>
        <v>0</v>
      </c>
      <c r="AK322" s="540">
        <f>SUMIFS('Live Collections'!$S:$S,'Live Collections'!$D:$D,Disbursements!B322,'Live Collections'!$G:$G,Disbursements!C322)</f>
        <v>800000</v>
      </c>
      <c r="AL322" s="540">
        <f>SUMIFS('Live Collections'!$T:$T,'Live Collections'!$D:$D,Disbursements!B322,'Live Collections'!$G:$G,Disbursements!C322)</f>
        <v>4000000</v>
      </c>
      <c r="AM322" s="541">
        <f t="shared" si="140"/>
        <v>4800000</v>
      </c>
      <c r="AN322" s="542">
        <f t="shared" si="141"/>
        <v>0</v>
      </c>
      <c r="AO322" s="542">
        <f t="shared" si="142"/>
        <v>0</v>
      </c>
      <c r="AP322" s="543">
        <f t="shared" si="143"/>
        <v>0</v>
      </c>
      <c r="AQ322" s="544" t="str">
        <f t="shared" ca="1" si="144"/>
        <v/>
      </c>
      <c r="AR322" s="545">
        <f t="shared" ca="1" si="145"/>
        <v>0</v>
      </c>
      <c r="AS322" s="545">
        <f ca="1">IFERROR(CEILING($AR322*VLOOKUP($I322,Ref!$B$23:$E$29,4,0),1),0)</f>
        <v>0</v>
      </c>
      <c r="AT322" s="545" t="str">
        <f>IF(A322="","",IF(AP322&lt;=1,"Cleared",IF(AS322=0,"Clean",VLOOKUP($AS322,Ref!$G$23:$H$28,2))))</f>
        <v>Cleared</v>
      </c>
      <c r="AU322" s="546" t="str">
        <f t="shared" si="146"/>
        <v>Ok</v>
      </c>
    </row>
    <row r="323" spans="1:47" ht="14.25" customHeight="1" x14ac:dyDescent="0.15">
      <c r="A323" s="575">
        <v>44510</v>
      </c>
      <c r="B323" s="523">
        <v>271</v>
      </c>
      <c r="C323" s="523">
        <v>319</v>
      </c>
      <c r="D323" s="523">
        <v>1</v>
      </c>
      <c r="E323" s="579" t="s">
        <v>1274</v>
      </c>
      <c r="F323" s="580">
        <v>400000</v>
      </c>
      <c r="G323" s="524">
        <v>4</v>
      </c>
      <c r="H323" s="555">
        <v>0.05</v>
      </c>
      <c r="I323" s="560" t="s">
        <v>859</v>
      </c>
      <c r="J323" s="523" t="s">
        <v>864</v>
      </c>
      <c r="K323" s="528" t="str">
        <f>IFERROR(VLOOKUP($B323,'Clients-Live'!$A:$C,3,0),"")</f>
        <v>ALORO SAIDI</v>
      </c>
      <c r="L323" s="528">
        <f>IF(E323="STL",Pricing!$D$38,IF(A323="",0,IF(A323&lt;Pricing!$C$25,Pricing!$D$25,VLOOKUP(Disbursements!$F323,Pricing!$B$29:$D$32,3))))</f>
        <v>15000</v>
      </c>
      <c r="M323" s="528">
        <f>IF(E323="STL",0,IF(F323&gt;0,Pricing!$D$21,0))</f>
        <v>5000</v>
      </c>
      <c r="N323" s="529">
        <f>IF(E323="STL",F323*Pricing!$D$40,IF(A323&lt;=Pricing!$C$4,0,IF(AND(A323&gt;Pricing!$C$4,Disbursements!A323&lt;=Pricing!$C$5),F323*Pricing!$E$5,IF(AND(A323&gt;Pricing!$C$5,Disbursements!A323&lt;=Pricing!$C$7),VLOOKUP(F323,Pricing!$D$7:$E$8,2)*Disbursements!F323,F323*Pricing!$E$9))))</f>
        <v>4000</v>
      </c>
      <c r="O323" s="528">
        <f>IF(E323="STL",0,IF($F323&gt;0,$F323*Pricing!$D$17,0))</f>
        <v>40000</v>
      </c>
      <c r="P323" s="530">
        <f t="shared" si="126"/>
        <v>80000</v>
      </c>
      <c r="Q323" s="531">
        <f>IF($A323="","",$G323/VLOOKUP($I323,Ref!$B$23:$D$29,2,0))</f>
        <v>4</v>
      </c>
      <c r="R323" s="530">
        <f t="shared" si="127"/>
        <v>480000</v>
      </c>
      <c r="S323" s="532">
        <f t="shared" si="121"/>
        <v>120000</v>
      </c>
      <c r="T323" s="531">
        <f t="shared" si="128"/>
        <v>120000</v>
      </c>
      <c r="U323" s="533">
        <f t="shared" si="129"/>
        <v>480000</v>
      </c>
      <c r="V323" s="531">
        <f t="shared" si="130"/>
        <v>100000</v>
      </c>
      <c r="W323" s="531">
        <f t="shared" si="131"/>
        <v>20000</v>
      </c>
      <c r="X323" s="534">
        <f t="shared" si="132"/>
        <v>80000</v>
      </c>
      <c r="Y323" s="535">
        <f>IF($A323="","",IF($I323="weekly",$A323+7,EDATE($A323,VLOOKUP($I323,Ref!$B$24:$C$29,2,0))))</f>
        <v>44540</v>
      </c>
      <c r="Z323" s="536" t="str">
        <f t="shared" si="133"/>
        <v>Frid</v>
      </c>
      <c r="AA323" s="531">
        <f t="shared" si="134"/>
        <v>30</v>
      </c>
      <c r="AB323" s="535">
        <f t="shared" si="122"/>
        <v>44630</v>
      </c>
      <c r="AC323" s="537">
        <f t="shared" si="123"/>
        <v>120</v>
      </c>
      <c r="AD323" s="538" t="str">
        <f t="shared" ca="1" si="124"/>
        <v>Expired</v>
      </c>
      <c r="AE323" s="537">
        <f t="shared" ca="1" si="125"/>
        <v>0</v>
      </c>
      <c r="AF323" s="539">
        <f t="shared" ca="1" si="135"/>
        <v>4</v>
      </c>
      <c r="AG323" s="531">
        <f t="shared" ca="1" si="136"/>
        <v>480000</v>
      </c>
      <c r="AH323" s="531">
        <f t="shared" ca="1" si="137"/>
        <v>80000</v>
      </c>
      <c r="AI323" s="531">
        <f t="shared" ca="1" si="138"/>
        <v>400000</v>
      </c>
      <c r="AJ323" s="531">
        <f t="shared" ca="1" si="139"/>
        <v>0</v>
      </c>
      <c r="AK323" s="540">
        <f>SUMIFS('Live Collections'!$S:$S,'Live Collections'!$D:$D,Disbursements!B323,'Live Collections'!$G:$G,Disbursements!C323)</f>
        <v>80000</v>
      </c>
      <c r="AL323" s="540">
        <f>SUMIFS('Live Collections'!$T:$T,'Live Collections'!$D:$D,Disbursements!B323,'Live Collections'!$G:$G,Disbursements!C323)</f>
        <v>370000</v>
      </c>
      <c r="AM323" s="541">
        <f t="shared" si="140"/>
        <v>450000</v>
      </c>
      <c r="AN323" s="542">
        <f t="shared" si="141"/>
        <v>0</v>
      </c>
      <c r="AO323" s="542">
        <f t="shared" si="142"/>
        <v>30000</v>
      </c>
      <c r="AP323" s="543">
        <f t="shared" si="143"/>
        <v>30000</v>
      </c>
      <c r="AQ323" s="544">
        <f t="shared" ca="1" si="144"/>
        <v>30000</v>
      </c>
      <c r="AR323" s="545">
        <f t="shared" ca="1" si="145"/>
        <v>0.25</v>
      </c>
      <c r="AS323" s="545">
        <f ca="1">IFERROR(CEILING($AR323*VLOOKUP($I323,Ref!$B$23:$E$29,4,0),1),0)</f>
        <v>8</v>
      </c>
      <c r="AT323" s="545" t="str">
        <f ca="1">IF(A323="","",IF(AP323&lt;=1,"Cleared",IF(AS323=0,"Clean",VLOOKUP($AS323,Ref!$G$23:$H$28,2))))</f>
        <v>1.(0-30) Days</v>
      </c>
      <c r="AU323" s="546" t="str">
        <f t="shared" si="146"/>
        <v>Ok</v>
      </c>
    </row>
    <row r="324" spans="1:47" ht="14.25" customHeight="1" x14ac:dyDescent="0.15">
      <c r="A324" s="575">
        <v>44511</v>
      </c>
      <c r="B324" s="523">
        <v>228</v>
      </c>
      <c r="C324" s="523">
        <v>320</v>
      </c>
      <c r="D324" s="523">
        <v>2</v>
      </c>
      <c r="E324" s="579" t="s">
        <v>1274</v>
      </c>
      <c r="F324" s="580">
        <v>400000</v>
      </c>
      <c r="G324" s="524">
        <v>1</v>
      </c>
      <c r="H324" s="555">
        <v>0.05</v>
      </c>
      <c r="I324" s="560" t="s">
        <v>859</v>
      </c>
      <c r="J324" s="523" t="s">
        <v>863</v>
      </c>
      <c r="K324" s="528" t="str">
        <f>IFERROR(VLOOKUP($B324,'Clients-Live'!$A:$C,3,0),"")</f>
        <v>DADA ISAAC</v>
      </c>
      <c r="L324" s="528">
        <f>IF(E324="STL",Pricing!$D$38,IF(A324="",0,IF(A324&lt;Pricing!$C$25,Pricing!$D$25,VLOOKUP(Disbursements!$F324,Pricing!$B$29:$D$32,3))))</f>
        <v>15000</v>
      </c>
      <c r="M324" s="528">
        <f>IF(E324="STL",0,IF(F324&gt;0,Pricing!$D$21,0))</f>
        <v>5000</v>
      </c>
      <c r="N324" s="529">
        <f>IF(E324="STL",F324*Pricing!$D$40,IF(A324&lt;=Pricing!$C$4,0,IF(AND(A324&gt;Pricing!$C$4,Disbursements!A324&lt;=Pricing!$C$5),F324*Pricing!$E$5,IF(AND(A324&gt;Pricing!$C$5,Disbursements!A324&lt;=Pricing!$C$7),VLOOKUP(F324,Pricing!$D$7:$E$8,2)*Disbursements!F324,F324*Pricing!$E$9))))</f>
        <v>4000</v>
      </c>
      <c r="O324" s="528">
        <f>IF(E324="STL",0,IF($F324&gt;0,$F324*Pricing!$D$17,0))</f>
        <v>40000</v>
      </c>
      <c r="P324" s="530">
        <f t="shared" si="126"/>
        <v>20000</v>
      </c>
      <c r="Q324" s="531">
        <f>IF($A324="","",$G324/VLOOKUP($I324,Ref!$B$23:$D$29,2,0))</f>
        <v>1</v>
      </c>
      <c r="R324" s="530">
        <f t="shared" si="127"/>
        <v>420000</v>
      </c>
      <c r="S324" s="532">
        <f t="shared" ref="S324:S387" si="147">IF($A324="","",$R324/$Q324)</f>
        <v>420000</v>
      </c>
      <c r="T324" s="531">
        <f t="shared" si="128"/>
        <v>420000</v>
      </c>
      <c r="U324" s="533">
        <f t="shared" si="129"/>
        <v>420000</v>
      </c>
      <c r="V324" s="531">
        <f t="shared" si="130"/>
        <v>400000</v>
      </c>
      <c r="W324" s="531">
        <f t="shared" si="131"/>
        <v>20000</v>
      </c>
      <c r="X324" s="534">
        <f t="shared" si="132"/>
        <v>20000</v>
      </c>
      <c r="Y324" s="535">
        <f>IF($A324="","",IF($I324="weekly",$A324+7,EDATE($A324,VLOOKUP($I324,Ref!$B$24:$C$29,2,0))))</f>
        <v>44541</v>
      </c>
      <c r="Z324" s="536" t="str">
        <f t="shared" si="133"/>
        <v>Sat</v>
      </c>
      <c r="AA324" s="531">
        <f t="shared" si="134"/>
        <v>30</v>
      </c>
      <c r="AB324" s="535">
        <f t="shared" ref="AB324:AB387" si="148">IF($A324="","",EDATE($A324,$G324))</f>
        <v>44541</v>
      </c>
      <c r="AC324" s="537">
        <f t="shared" ref="AC324:AC387" si="149">IFERROR($AB324-$A324,"")</f>
        <v>30</v>
      </c>
      <c r="AD324" s="538" t="str">
        <f t="shared" ref="AD324:AD387" ca="1" si="150">IFERROR(IF(TODAY()-$A324&lt;$AB324-$A324,TODAY()-$A324,"Expired"),"")</f>
        <v>Expired</v>
      </c>
      <c r="AE324" s="537">
        <f t="shared" ref="AE324:AE387" ca="1" si="151">IFERROR($AC324-$AD324,0)</f>
        <v>0</v>
      </c>
      <c r="AF324" s="539">
        <f t="shared" ca="1" si="135"/>
        <v>1</v>
      </c>
      <c r="AG324" s="531">
        <f t="shared" ca="1" si="136"/>
        <v>420000</v>
      </c>
      <c r="AH324" s="531">
        <f t="shared" ca="1" si="137"/>
        <v>20000</v>
      </c>
      <c r="AI324" s="531">
        <f t="shared" ca="1" si="138"/>
        <v>400000</v>
      </c>
      <c r="AJ324" s="531">
        <f t="shared" ca="1" si="139"/>
        <v>0</v>
      </c>
      <c r="AK324" s="540">
        <f>SUMIFS('Live Collections'!$S:$S,'Live Collections'!$D:$D,Disbursements!B324,'Live Collections'!$G:$G,Disbursements!C324)</f>
        <v>20000</v>
      </c>
      <c r="AL324" s="540">
        <f>SUMIFS('Live Collections'!$T:$T,'Live Collections'!$D:$D,Disbursements!B324,'Live Collections'!$G:$G,Disbursements!C324)</f>
        <v>400000</v>
      </c>
      <c r="AM324" s="541">
        <f t="shared" si="140"/>
        <v>420000</v>
      </c>
      <c r="AN324" s="542">
        <f t="shared" si="141"/>
        <v>0</v>
      </c>
      <c r="AO324" s="542">
        <f t="shared" si="142"/>
        <v>0</v>
      </c>
      <c r="AP324" s="543">
        <f t="shared" si="143"/>
        <v>0</v>
      </c>
      <c r="AQ324" s="544" t="str">
        <f t="shared" ca="1" si="144"/>
        <v/>
      </c>
      <c r="AR324" s="545">
        <f t="shared" ca="1" si="145"/>
        <v>0</v>
      </c>
      <c r="AS324" s="545">
        <f ca="1">IFERROR(CEILING($AR324*VLOOKUP($I324,Ref!$B$23:$E$29,4,0),1),0)</f>
        <v>0</v>
      </c>
      <c r="AT324" s="545" t="str">
        <f>IF(A324="","",IF(AP324&lt;=1,"Cleared",IF(AS324=0,"Clean",VLOOKUP($AS324,Ref!$G$23:$H$28,2))))</f>
        <v>Cleared</v>
      </c>
      <c r="AU324" s="546" t="str">
        <f t="shared" si="146"/>
        <v>Ok</v>
      </c>
    </row>
    <row r="325" spans="1:47" ht="14.25" customHeight="1" x14ac:dyDescent="0.15">
      <c r="A325" s="575">
        <v>44511</v>
      </c>
      <c r="B325" s="523">
        <v>50</v>
      </c>
      <c r="C325" s="523">
        <v>321</v>
      </c>
      <c r="D325" s="523">
        <v>3</v>
      </c>
      <c r="E325" s="579" t="s">
        <v>1274</v>
      </c>
      <c r="F325" s="580">
        <v>1000000</v>
      </c>
      <c r="G325" s="524">
        <v>3</v>
      </c>
      <c r="H325" s="555">
        <v>0.05</v>
      </c>
      <c r="I325" s="560" t="s">
        <v>859</v>
      </c>
      <c r="J325" s="523" t="s">
        <v>862</v>
      </c>
      <c r="K325" s="528" t="str">
        <f>IFERROR(VLOOKUP($B325,'Clients-Live'!$A:$C,3,0),"")</f>
        <v>WACHEKE HARRIET</v>
      </c>
      <c r="L325" s="528">
        <f>IF(E325="STL",Pricing!$D$38,IF(A325="",0,IF(A325&lt;Pricing!$C$25,Pricing!$D$25,VLOOKUP(Disbursements!$F325,Pricing!$B$29:$D$32,3))))</f>
        <v>20000</v>
      </c>
      <c r="M325" s="528">
        <f>IF(E325="STL",0,IF(F325&gt;0,Pricing!$D$21,0))</f>
        <v>5000</v>
      </c>
      <c r="N325" s="529">
        <f>IF(E325="STL",F325*Pricing!$D$40,IF(A325&lt;=Pricing!$C$4,0,IF(AND(A325&gt;Pricing!$C$4,Disbursements!A325&lt;=Pricing!$C$5),F325*Pricing!$E$5,IF(AND(A325&gt;Pricing!$C$5,Disbursements!A325&lt;=Pricing!$C$7),VLOOKUP(F325,Pricing!$D$7:$E$8,2)*Disbursements!F325,F325*Pricing!$E$9))))</f>
        <v>10000</v>
      </c>
      <c r="O325" s="528">
        <f>IF(E325="STL",0,IF($F325&gt;0,$F325*Pricing!$D$17,0))</f>
        <v>100000</v>
      </c>
      <c r="P325" s="530">
        <f t="shared" ref="P325:P388" si="152">IF($A325="","",$H325*$F325*$G325)</f>
        <v>150000</v>
      </c>
      <c r="Q325" s="531">
        <f>IF($A325="","",$G325/VLOOKUP($I325,Ref!$B$23:$D$29,2,0))</f>
        <v>3</v>
      </c>
      <c r="R325" s="530">
        <f t="shared" ref="R325:R388" si="153">IF($A325="","",$F325+$P325)</f>
        <v>1150000</v>
      </c>
      <c r="S325" s="532">
        <f t="shared" si="147"/>
        <v>383333.33333333331</v>
      </c>
      <c r="T325" s="531">
        <f t="shared" ref="T325:T388" si="154">IF(R325="","",CEILING(S325,1000))</f>
        <v>384000</v>
      </c>
      <c r="U325" s="533">
        <f t="shared" ref="U325:U388" si="155">IFERROR(T325*Q325,0)</f>
        <v>1152000</v>
      </c>
      <c r="V325" s="531">
        <f t="shared" ref="V325:V388" si="156">IF(T325="","",F325/Q325)</f>
        <v>333333.33333333331</v>
      </c>
      <c r="W325" s="531">
        <f t="shared" ref="W325:W388" si="157">IF(T325="","",T325-V325)</f>
        <v>50666.666666666686</v>
      </c>
      <c r="X325" s="534">
        <f t="shared" ref="X325:X388" si="158">IF(A325="","",W325*Q325)</f>
        <v>152000.00000000006</v>
      </c>
      <c r="Y325" s="535">
        <f>IF($A325="","",IF($I325="weekly",$A325+7,EDATE($A325,VLOOKUP($I325,Ref!$B$24:$C$29,2,0))))</f>
        <v>44541</v>
      </c>
      <c r="Z325" s="536" t="str">
        <f t="shared" ref="Z325:Z388" si="159">IFERROR(CHOOSE(WEEKDAY(Y325),"Sun","Mon","Tue","Wed","Thu","Frid","Sat"),"")</f>
        <v>Sat</v>
      </c>
      <c r="AA325" s="531">
        <f t="shared" ref="AA325:AA388" si="160">IFERROR(Y325-A325,0)</f>
        <v>30</v>
      </c>
      <c r="AB325" s="535">
        <f t="shared" si="148"/>
        <v>44603</v>
      </c>
      <c r="AC325" s="537">
        <f t="shared" si="149"/>
        <v>92</v>
      </c>
      <c r="AD325" s="538" t="str">
        <f t="shared" ca="1" si="150"/>
        <v>Expired</v>
      </c>
      <c r="AE325" s="537">
        <f t="shared" ca="1" si="151"/>
        <v>0</v>
      </c>
      <c r="AF325" s="539">
        <f t="shared" ref="AF325:AF388" ca="1" si="161">IFERROR(IF(AD325="Expired",Q325,IF(AD325&gt;AA325,AD325/AA325,0)),"")</f>
        <v>3</v>
      </c>
      <c r="AG325" s="531">
        <f t="shared" ref="AG325:AG388" ca="1" si="162">IFERROR(AF325*T325,"")</f>
        <v>1152000</v>
      </c>
      <c r="AH325" s="531">
        <f t="shared" ref="AH325:AH388" ca="1" si="163">IFERROR(AF325*W325,"")</f>
        <v>152000.00000000006</v>
      </c>
      <c r="AI325" s="531">
        <f t="shared" ref="AI325:AI388" ca="1" si="164">IFERROR(AF325*V325,"")</f>
        <v>1000000</v>
      </c>
      <c r="AJ325" s="531">
        <f t="shared" ref="AJ325:AJ388" ca="1" si="165">IF(F325=0,"",U325-AG325)</f>
        <v>0</v>
      </c>
      <c r="AK325" s="540">
        <f>SUMIFS('Live Collections'!$S:$S,'Live Collections'!$D:$D,Disbursements!B325,'Live Collections'!$G:$G,Disbursements!C325)</f>
        <v>152000.00000000006</v>
      </c>
      <c r="AL325" s="540">
        <f>SUMIFS('Live Collections'!$T:$T,'Live Collections'!$D:$D,Disbursements!B325,'Live Collections'!$G:$G,Disbursements!C325)</f>
        <v>983000</v>
      </c>
      <c r="AM325" s="541">
        <f t="shared" ref="AM325:AM388" si="166">SUM(AK325:AL325)</f>
        <v>1135000</v>
      </c>
      <c r="AN325" s="542">
        <f t="shared" ref="AN325:AN388" si="167">IFERROR(W325*Q325-AK325,"")</f>
        <v>0</v>
      </c>
      <c r="AO325" s="542">
        <f t="shared" ref="AO325:AO388" si="168">IF(F325="","",(F325-AL325))</f>
        <v>17000</v>
      </c>
      <c r="AP325" s="543">
        <f t="shared" ref="AP325:AP388" si="169">IF(F325="","",SUM(AN325:AO325))</f>
        <v>17000</v>
      </c>
      <c r="AQ325" s="544">
        <f t="shared" ref="AQ325:AQ388" ca="1" si="170">IF(AP325&gt;AJ325,AP325-AJ325,"")</f>
        <v>17000</v>
      </c>
      <c r="AR325" s="545">
        <f t="shared" ref="AR325:AR388" ca="1" si="171">IFERROR(AQ325/T325,0)</f>
        <v>4.4270833333333336E-2</v>
      </c>
      <c r="AS325" s="545">
        <f ca="1">IFERROR(CEILING($AR325*VLOOKUP($I325,Ref!$B$23:$E$29,4,0),1),0)</f>
        <v>2</v>
      </c>
      <c r="AT325" s="545" t="str">
        <f ca="1">IF(A325="","",IF(AP325&lt;=1,"Cleared",IF(AS325=0,"Clean",VLOOKUP($AS325,Ref!$G$23:$H$28,2))))</f>
        <v>1.(0-30) Days</v>
      </c>
      <c r="AU325" s="546" t="str">
        <f t="shared" ref="AU325:AU388" si="172">IF(F325="","",IF(OR(AN325&lt;0,AO325&lt;0,AP325&lt;0),"Error on Entry","Ok"))</f>
        <v>Ok</v>
      </c>
    </row>
    <row r="326" spans="1:47" ht="14.25" customHeight="1" x14ac:dyDescent="0.15">
      <c r="A326" s="575">
        <v>44511</v>
      </c>
      <c r="B326" s="523">
        <v>53</v>
      </c>
      <c r="C326" s="523">
        <v>329</v>
      </c>
      <c r="D326" s="523">
        <v>2</v>
      </c>
      <c r="E326" s="579" t="s">
        <v>1274</v>
      </c>
      <c r="F326" s="580">
        <v>900000</v>
      </c>
      <c r="G326" s="524">
        <v>6</v>
      </c>
      <c r="H326" s="555">
        <v>0.05</v>
      </c>
      <c r="I326" s="560" t="s">
        <v>859</v>
      </c>
      <c r="J326" s="523" t="s">
        <v>863</v>
      </c>
      <c r="K326" s="528" t="str">
        <f>IFERROR(VLOOKUP($B326,'Clients-Live'!$A:$C,3,0),"")</f>
        <v>KALSUMU INNOCENT</v>
      </c>
      <c r="L326" s="528">
        <f>IF(E326="STL",Pricing!$D$38,IF(A326="",0,IF(A326&lt;Pricing!$C$25,Pricing!$D$25,VLOOKUP(Disbursements!$F326,Pricing!$B$29:$D$32,3))))</f>
        <v>20000</v>
      </c>
      <c r="M326" s="528">
        <f>IF(E326="STL",0,IF(F326&gt;0,Pricing!$D$21,0))</f>
        <v>5000</v>
      </c>
      <c r="N326" s="529">
        <f>IF(E326="STL",F326*Pricing!$D$40,IF(A326&lt;=Pricing!$C$4,0,IF(AND(A326&gt;Pricing!$C$4,Disbursements!A326&lt;=Pricing!$C$5),F326*Pricing!$E$5,IF(AND(A326&gt;Pricing!$C$5,Disbursements!A326&lt;=Pricing!$C$7),VLOOKUP(F326,Pricing!$D$7:$E$8,2)*Disbursements!F326,F326*Pricing!$E$9))))</f>
        <v>9000</v>
      </c>
      <c r="O326" s="528">
        <f>IF(E326="STL",0,IF($F326&gt;0,$F326*Pricing!$D$17,0))</f>
        <v>90000</v>
      </c>
      <c r="P326" s="530">
        <f t="shared" si="152"/>
        <v>270000</v>
      </c>
      <c r="Q326" s="531">
        <f>IF($A326="","",$G326/VLOOKUP($I326,Ref!$B$23:$D$29,2,0))</f>
        <v>6</v>
      </c>
      <c r="R326" s="530">
        <f t="shared" si="153"/>
        <v>1170000</v>
      </c>
      <c r="S326" s="532">
        <f t="shared" si="147"/>
        <v>195000</v>
      </c>
      <c r="T326" s="531">
        <f t="shared" si="154"/>
        <v>195000</v>
      </c>
      <c r="U326" s="533">
        <f t="shared" si="155"/>
        <v>1170000</v>
      </c>
      <c r="V326" s="531">
        <f t="shared" si="156"/>
        <v>150000</v>
      </c>
      <c r="W326" s="531">
        <f t="shared" si="157"/>
        <v>45000</v>
      </c>
      <c r="X326" s="534">
        <f t="shared" si="158"/>
        <v>270000</v>
      </c>
      <c r="Y326" s="535">
        <f>IF($A326="","",IF($I326="weekly",$A326+7,EDATE($A326,VLOOKUP($I326,Ref!$B$24:$C$29,2,0))))</f>
        <v>44541</v>
      </c>
      <c r="Z326" s="536" t="str">
        <f t="shared" si="159"/>
        <v>Sat</v>
      </c>
      <c r="AA326" s="531">
        <f t="shared" si="160"/>
        <v>30</v>
      </c>
      <c r="AB326" s="535">
        <f t="shared" si="148"/>
        <v>44692</v>
      </c>
      <c r="AC326" s="537">
        <f t="shared" si="149"/>
        <v>181</v>
      </c>
      <c r="AD326" s="538" t="str">
        <f t="shared" ca="1" si="150"/>
        <v>Expired</v>
      </c>
      <c r="AE326" s="537">
        <f t="shared" ca="1" si="151"/>
        <v>0</v>
      </c>
      <c r="AF326" s="539">
        <f t="shared" ca="1" si="161"/>
        <v>6</v>
      </c>
      <c r="AG326" s="531">
        <f t="shared" ca="1" si="162"/>
        <v>1170000</v>
      </c>
      <c r="AH326" s="531">
        <f t="shared" ca="1" si="163"/>
        <v>270000</v>
      </c>
      <c r="AI326" s="531">
        <f t="shared" ca="1" si="164"/>
        <v>900000</v>
      </c>
      <c r="AJ326" s="531">
        <f t="shared" ca="1" si="165"/>
        <v>0</v>
      </c>
      <c r="AK326" s="540">
        <f>SUMIFS('Live Collections'!$S:$S,'Live Collections'!$D:$D,Disbursements!B326,'Live Collections'!$G:$G,Disbursements!C326)</f>
        <v>270000</v>
      </c>
      <c r="AL326" s="540">
        <f>SUMIFS('Live Collections'!$T:$T,'Live Collections'!$D:$D,Disbursements!B326,'Live Collections'!$G:$G,Disbursements!C326)</f>
        <v>900000</v>
      </c>
      <c r="AM326" s="541">
        <f t="shared" si="166"/>
        <v>1170000</v>
      </c>
      <c r="AN326" s="542">
        <f t="shared" si="167"/>
        <v>0</v>
      </c>
      <c r="AO326" s="542">
        <f t="shared" si="168"/>
        <v>0</v>
      </c>
      <c r="AP326" s="543">
        <f t="shared" si="169"/>
        <v>0</v>
      </c>
      <c r="AQ326" s="544" t="str">
        <f t="shared" ca="1" si="170"/>
        <v/>
      </c>
      <c r="AR326" s="545">
        <f t="shared" ca="1" si="171"/>
        <v>0</v>
      </c>
      <c r="AS326" s="545">
        <f ca="1">IFERROR(CEILING($AR326*VLOOKUP($I326,Ref!$B$23:$E$29,4,0),1),0)</f>
        <v>0</v>
      </c>
      <c r="AT326" s="545" t="str">
        <f>IF(A326="","",IF(AP326&lt;=1,"Cleared",IF(AS326=0,"Clean",VLOOKUP($AS326,Ref!$G$23:$H$28,2))))</f>
        <v>Cleared</v>
      </c>
      <c r="AU326" s="546" t="str">
        <f t="shared" si="172"/>
        <v>Ok</v>
      </c>
    </row>
    <row r="327" spans="1:47" ht="14.25" customHeight="1" x14ac:dyDescent="0.15">
      <c r="A327" s="575">
        <v>44511</v>
      </c>
      <c r="B327" s="523">
        <v>134</v>
      </c>
      <c r="C327" s="523">
        <v>324</v>
      </c>
      <c r="D327" s="523">
        <v>2</v>
      </c>
      <c r="E327" s="579" t="s">
        <v>1274</v>
      </c>
      <c r="F327" s="580">
        <v>400000</v>
      </c>
      <c r="G327" s="524">
        <v>4</v>
      </c>
      <c r="H327" s="555">
        <v>0.05</v>
      </c>
      <c r="I327" s="560" t="s">
        <v>859</v>
      </c>
      <c r="J327" s="523" t="s">
        <v>862</v>
      </c>
      <c r="K327" s="528" t="str">
        <f>IFERROR(VLOOKUP($B327,'Clients-Live'!$A:$C,3,0),"")</f>
        <v>TABU NATALIYA</v>
      </c>
      <c r="L327" s="528">
        <f>IF(E327="STL",Pricing!$D$38,IF(A327="",0,IF(A327&lt;Pricing!$C$25,Pricing!$D$25,VLOOKUP(Disbursements!$F327,Pricing!$B$29:$D$32,3))))</f>
        <v>15000</v>
      </c>
      <c r="M327" s="528">
        <f>IF(E327="STL",0,IF(F327&gt;0,Pricing!$D$21,0))</f>
        <v>5000</v>
      </c>
      <c r="N327" s="529">
        <f>IF(E327="STL",F327*Pricing!$D$40,IF(A327&lt;=Pricing!$C$4,0,IF(AND(A327&gt;Pricing!$C$4,Disbursements!A327&lt;=Pricing!$C$5),F327*Pricing!$E$5,IF(AND(A327&gt;Pricing!$C$5,Disbursements!A327&lt;=Pricing!$C$7),VLOOKUP(F327,Pricing!$D$7:$E$8,2)*Disbursements!F327,F327*Pricing!$E$9))))</f>
        <v>4000</v>
      </c>
      <c r="O327" s="528">
        <f>IF(E327="STL",0,IF($F327&gt;0,$F327*Pricing!$D$17,0))</f>
        <v>40000</v>
      </c>
      <c r="P327" s="530">
        <f t="shared" si="152"/>
        <v>80000</v>
      </c>
      <c r="Q327" s="531">
        <f>IF($A327="","",$G327/VLOOKUP($I327,Ref!$B$23:$D$29,2,0))</f>
        <v>4</v>
      </c>
      <c r="R327" s="530">
        <f t="shared" si="153"/>
        <v>480000</v>
      </c>
      <c r="S327" s="532">
        <f t="shared" si="147"/>
        <v>120000</v>
      </c>
      <c r="T327" s="531">
        <f t="shared" si="154"/>
        <v>120000</v>
      </c>
      <c r="U327" s="533">
        <f t="shared" si="155"/>
        <v>480000</v>
      </c>
      <c r="V327" s="531">
        <f t="shared" si="156"/>
        <v>100000</v>
      </c>
      <c r="W327" s="531">
        <f t="shared" si="157"/>
        <v>20000</v>
      </c>
      <c r="X327" s="534">
        <f t="shared" si="158"/>
        <v>80000</v>
      </c>
      <c r="Y327" s="535">
        <f>IF($A327="","",IF($I327="weekly",$A327+7,EDATE($A327,VLOOKUP($I327,Ref!$B$24:$C$29,2,0))))</f>
        <v>44541</v>
      </c>
      <c r="Z327" s="536" t="str">
        <f t="shared" si="159"/>
        <v>Sat</v>
      </c>
      <c r="AA327" s="531">
        <f t="shared" si="160"/>
        <v>30</v>
      </c>
      <c r="AB327" s="535">
        <f t="shared" si="148"/>
        <v>44631</v>
      </c>
      <c r="AC327" s="537">
        <f t="shared" si="149"/>
        <v>120</v>
      </c>
      <c r="AD327" s="538" t="str">
        <f t="shared" ca="1" si="150"/>
        <v>Expired</v>
      </c>
      <c r="AE327" s="537">
        <f t="shared" ca="1" si="151"/>
        <v>0</v>
      </c>
      <c r="AF327" s="539">
        <f t="shared" ca="1" si="161"/>
        <v>4</v>
      </c>
      <c r="AG327" s="531">
        <f t="shared" ca="1" si="162"/>
        <v>480000</v>
      </c>
      <c r="AH327" s="531">
        <f t="shared" ca="1" si="163"/>
        <v>80000</v>
      </c>
      <c r="AI327" s="531">
        <f t="shared" ca="1" si="164"/>
        <v>400000</v>
      </c>
      <c r="AJ327" s="531">
        <f t="shared" ca="1" si="165"/>
        <v>0</v>
      </c>
      <c r="AK327" s="540">
        <f>SUMIFS('Live Collections'!$S:$S,'Live Collections'!$D:$D,Disbursements!B327,'Live Collections'!$G:$G,Disbursements!C327)</f>
        <v>80000</v>
      </c>
      <c r="AL327" s="540">
        <f>SUMIFS('Live Collections'!$T:$T,'Live Collections'!$D:$D,Disbursements!B327,'Live Collections'!$G:$G,Disbursements!C327)</f>
        <v>340000</v>
      </c>
      <c r="AM327" s="541">
        <f t="shared" si="166"/>
        <v>420000</v>
      </c>
      <c r="AN327" s="542">
        <f t="shared" si="167"/>
        <v>0</v>
      </c>
      <c r="AO327" s="542">
        <f t="shared" si="168"/>
        <v>60000</v>
      </c>
      <c r="AP327" s="543">
        <f t="shared" si="169"/>
        <v>60000</v>
      </c>
      <c r="AQ327" s="544">
        <f t="shared" ca="1" si="170"/>
        <v>60000</v>
      </c>
      <c r="AR327" s="545">
        <f t="shared" ca="1" si="171"/>
        <v>0.5</v>
      </c>
      <c r="AS327" s="545">
        <f ca="1">IFERROR(CEILING($AR327*VLOOKUP($I327,Ref!$B$23:$E$29,4,0),1),0)</f>
        <v>15</v>
      </c>
      <c r="AT327" s="545" t="str">
        <f ca="1">IF(A327="","",IF(AP327&lt;=1,"Cleared",IF(AS327=0,"Clean",VLOOKUP($AS327,Ref!$G$23:$H$28,2))))</f>
        <v>1.(0-30) Days</v>
      </c>
      <c r="AU327" s="546" t="str">
        <f t="shared" si="172"/>
        <v>Ok</v>
      </c>
    </row>
    <row r="328" spans="1:47" ht="14.25" customHeight="1" x14ac:dyDescent="0.15">
      <c r="A328" s="575">
        <v>44511</v>
      </c>
      <c r="B328" s="523">
        <v>135</v>
      </c>
      <c r="C328" s="523">
        <v>323</v>
      </c>
      <c r="D328" s="523">
        <v>2</v>
      </c>
      <c r="E328" s="579" t="s">
        <v>1274</v>
      </c>
      <c r="F328" s="580">
        <v>1200000</v>
      </c>
      <c r="G328" s="524">
        <v>6</v>
      </c>
      <c r="H328" s="555">
        <v>0.05</v>
      </c>
      <c r="I328" s="560" t="s">
        <v>859</v>
      </c>
      <c r="J328" s="523" t="s">
        <v>864</v>
      </c>
      <c r="K328" s="528" t="str">
        <f>IFERROR(VLOOKUP($B328,'Clients-Live'!$A:$C,3,0),"")</f>
        <v>SARIF SAIDI</v>
      </c>
      <c r="L328" s="528">
        <f>IF(E328="STL",Pricing!$D$38,IF(A328="",0,IF(A328&lt;Pricing!$C$25,Pricing!$D$25,VLOOKUP(Disbursements!$F328,Pricing!$B$29:$D$32,3))))</f>
        <v>25000</v>
      </c>
      <c r="M328" s="528">
        <f>IF(E328="STL",0,IF(F328&gt;0,Pricing!$D$21,0))</f>
        <v>5000</v>
      </c>
      <c r="N328" s="529">
        <f>IF(E328="STL",F328*Pricing!$D$40,IF(A328&lt;=Pricing!$C$4,0,IF(AND(A328&gt;Pricing!$C$4,Disbursements!A328&lt;=Pricing!$C$5),F328*Pricing!$E$5,IF(AND(A328&gt;Pricing!$C$5,Disbursements!A328&lt;=Pricing!$C$7),VLOOKUP(F328,Pricing!$D$7:$E$8,2)*Disbursements!F328,F328*Pricing!$E$9))))</f>
        <v>24000</v>
      </c>
      <c r="O328" s="528">
        <f>IF(E328="STL",0,IF($F328&gt;0,$F328*Pricing!$D$17,0))</f>
        <v>120000</v>
      </c>
      <c r="P328" s="530">
        <f t="shared" si="152"/>
        <v>360000</v>
      </c>
      <c r="Q328" s="531">
        <f>IF($A328="","",$G328/VLOOKUP($I328,Ref!$B$23:$D$29,2,0))</f>
        <v>6</v>
      </c>
      <c r="R328" s="530">
        <f t="shared" si="153"/>
        <v>1560000</v>
      </c>
      <c r="S328" s="532">
        <f t="shared" si="147"/>
        <v>260000</v>
      </c>
      <c r="T328" s="531">
        <f t="shared" si="154"/>
        <v>260000</v>
      </c>
      <c r="U328" s="533">
        <f t="shared" si="155"/>
        <v>1560000</v>
      </c>
      <c r="V328" s="531">
        <f t="shared" si="156"/>
        <v>200000</v>
      </c>
      <c r="W328" s="531">
        <f t="shared" si="157"/>
        <v>60000</v>
      </c>
      <c r="X328" s="534">
        <f t="shared" si="158"/>
        <v>360000</v>
      </c>
      <c r="Y328" s="535">
        <f>IF($A328="","",IF($I328="weekly",$A328+7,EDATE($A328,VLOOKUP($I328,Ref!$B$24:$C$29,2,0))))</f>
        <v>44541</v>
      </c>
      <c r="Z328" s="536" t="str">
        <f t="shared" si="159"/>
        <v>Sat</v>
      </c>
      <c r="AA328" s="531">
        <f t="shared" si="160"/>
        <v>30</v>
      </c>
      <c r="AB328" s="535">
        <f t="shared" si="148"/>
        <v>44692</v>
      </c>
      <c r="AC328" s="537">
        <f t="shared" si="149"/>
        <v>181</v>
      </c>
      <c r="AD328" s="538" t="str">
        <f t="shared" ca="1" si="150"/>
        <v>Expired</v>
      </c>
      <c r="AE328" s="537">
        <f t="shared" ca="1" si="151"/>
        <v>0</v>
      </c>
      <c r="AF328" s="539">
        <f t="shared" ca="1" si="161"/>
        <v>6</v>
      </c>
      <c r="AG328" s="531">
        <f t="shared" ca="1" si="162"/>
        <v>1560000</v>
      </c>
      <c r="AH328" s="531">
        <f t="shared" ca="1" si="163"/>
        <v>360000</v>
      </c>
      <c r="AI328" s="531">
        <f t="shared" ca="1" si="164"/>
        <v>1200000</v>
      </c>
      <c r="AJ328" s="531">
        <f t="shared" ca="1" si="165"/>
        <v>0</v>
      </c>
      <c r="AK328" s="540">
        <f>SUMIFS('Live Collections'!$S:$S,'Live Collections'!$D:$D,Disbursements!B328,'Live Collections'!$G:$G,Disbursements!C328)</f>
        <v>210666.66666666669</v>
      </c>
      <c r="AL328" s="540">
        <f>SUMIFS('Live Collections'!$T:$T,'Live Collections'!$D:$D,Disbursements!B328,'Live Collections'!$G:$G,Disbursements!C328)</f>
        <v>439333.33333333331</v>
      </c>
      <c r="AM328" s="541">
        <f t="shared" si="166"/>
        <v>650000</v>
      </c>
      <c r="AN328" s="542">
        <f t="shared" si="167"/>
        <v>149333.33333333331</v>
      </c>
      <c r="AO328" s="542">
        <f t="shared" si="168"/>
        <v>760666.66666666674</v>
      </c>
      <c r="AP328" s="543">
        <f t="shared" si="169"/>
        <v>910000</v>
      </c>
      <c r="AQ328" s="544">
        <f t="shared" ca="1" si="170"/>
        <v>910000</v>
      </c>
      <c r="AR328" s="545">
        <f t="shared" ca="1" si="171"/>
        <v>3.5</v>
      </c>
      <c r="AS328" s="545">
        <f ca="1">IFERROR(CEILING($AR328*VLOOKUP($I328,Ref!$B$23:$E$29,4,0),1),0)</f>
        <v>105</v>
      </c>
      <c r="AT328" s="545" t="str">
        <f ca="1">IF(A328="","",IF(AP328&lt;=1,"Cleared",IF(AS328=0,"Clean",VLOOKUP($AS328,Ref!$G$23:$H$28,2))))</f>
        <v>4.(91-365) Days</v>
      </c>
      <c r="AU328" s="546" t="str">
        <f t="shared" si="172"/>
        <v>Ok</v>
      </c>
    </row>
    <row r="329" spans="1:47" ht="14.25" customHeight="1" x14ac:dyDescent="0.15">
      <c r="A329" s="575">
        <v>44511</v>
      </c>
      <c r="B329" s="523">
        <v>208</v>
      </c>
      <c r="C329" s="523">
        <v>322</v>
      </c>
      <c r="D329" s="523">
        <v>2</v>
      </c>
      <c r="E329" s="579" t="s">
        <v>1274</v>
      </c>
      <c r="F329" s="580">
        <v>300000</v>
      </c>
      <c r="G329" s="524">
        <v>3</v>
      </c>
      <c r="H329" s="555">
        <v>0.05</v>
      </c>
      <c r="I329" s="560" t="s">
        <v>859</v>
      </c>
      <c r="J329" s="523" t="s">
        <v>864</v>
      </c>
      <c r="K329" s="528" t="str">
        <f>IFERROR(VLOOKUP($B329,'Clients-Live'!$A:$C,3,0),"")</f>
        <v>TIKO RAIMA</v>
      </c>
      <c r="L329" s="528">
        <f>IF(E329="STL",Pricing!$D$38,IF(A329="",0,IF(A329&lt;Pricing!$C$25,Pricing!$D$25,VLOOKUP(Disbursements!$F329,Pricing!$B$29:$D$32,3))))</f>
        <v>15000</v>
      </c>
      <c r="M329" s="528">
        <f>IF(E329="STL",0,IF(F329&gt;0,Pricing!$D$21,0))</f>
        <v>5000</v>
      </c>
      <c r="N329" s="529">
        <f>IF(E329="STL",F329*Pricing!$D$40,IF(A329&lt;=Pricing!$C$4,0,IF(AND(A329&gt;Pricing!$C$4,Disbursements!A329&lt;=Pricing!$C$5),F329*Pricing!$E$5,IF(AND(A329&gt;Pricing!$C$5,Disbursements!A329&lt;=Pricing!$C$7),VLOOKUP(F329,Pricing!$D$7:$E$8,2)*Disbursements!F329,F329*Pricing!$E$9))))</f>
        <v>3000</v>
      </c>
      <c r="O329" s="528">
        <f>IF(E329="STL",0,IF($F329&gt;0,$F329*Pricing!$D$17,0))</f>
        <v>30000</v>
      </c>
      <c r="P329" s="530">
        <f t="shared" si="152"/>
        <v>45000</v>
      </c>
      <c r="Q329" s="531">
        <f>IF($A329="","",$G329/VLOOKUP($I329,Ref!$B$23:$D$29,2,0))</f>
        <v>3</v>
      </c>
      <c r="R329" s="530">
        <f t="shared" si="153"/>
        <v>345000</v>
      </c>
      <c r="S329" s="532">
        <f t="shared" si="147"/>
        <v>115000</v>
      </c>
      <c r="T329" s="531">
        <f t="shared" si="154"/>
        <v>115000</v>
      </c>
      <c r="U329" s="533">
        <f t="shared" si="155"/>
        <v>345000</v>
      </c>
      <c r="V329" s="531">
        <f t="shared" si="156"/>
        <v>100000</v>
      </c>
      <c r="W329" s="531">
        <f t="shared" si="157"/>
        <v>15000</v>
      </c>
      <c r="X329" s="534">
        <f t="shared" si="158"/>
        <v>45000</v>
      </c>
      <c r="Y329" s="535">
        <f>IF($A329="","",IF($I329="weekly",$A329+7,EDATE($A329,VLOOKUP($I329,Ref!$B$24:$C$29,2,0))))</f>
        <v>44541</v>
      </c>
      <c r="Z329" s="536" t="str">
        <f t="shared" si="159"/>
        <v>Sat</v>
      </c>
      <c r="AA329" s="531">
        <f t="shared" si="160"/>
        <v>30</v>
      </c>
      <c r="AB329" s="535">
        <f t="shared" si="148"/>
        <v>44603</v>
      </c>
      <c r="AC329" s="537">
        <f t="shared" si="149"/>
        <v>92</v>
      </c>
      <c r="AD329" s="538" t="str">
        <f t="shared" ca="1" si="150"/>
        <v>Expired</v>
      </c>
      <c r="AE329" s="537">
        <f t="shared" ca="1" si="151"/>
        <v>0</v>
      </c>
      <c r="AF329" s="539">
        <f t="shared" ca="1" si="161"/>
        <v>3</v>
      </c>
      <c r="AG329" s="531">
        <f t="shared" ca="1" si="162"/>
        <v>345000</v>
      </c>
      <c r="AH329" s="531">
        <f t="shared" ca="1" si="163"/>
        <v>45000</v>
      </c>
      <c r="AI329" s="531">
        <f t="shared" ca="1" si="164"/>
        <v>300000</v>
      </c>
      <c r="AJ329" s="531">
        <f t="shared" ca="1" si="165"/>
        <v>0</v>
      </c>
      <c r="AK329" s="540">
        <f>SUMIFS('Live Collections'!$S:$S,'Live Collections'!$D:$D,Disbursements!B329,'Live Collections'!$G:$G,Disbursements!C329)</f>
        <v>45000</v>
      </c>
      <c r="AL329" s="540">
        <f>SUMIFS('Live Collections'!$T:$T,'Live Collections'!$D:$D,Disbursements!B329,'Live Collections'!$G:$G,Disbursements!C329)</f>
        <v>300000</v>
      </c>
      <c r="AM329" s="541">
        <f t="shared" si="166"/>
        <v>345000</v>
      </c>
      <c r="AN329" s="542">
        <f t="shared" si="167"/>
        <v>0</v>
      </c>
      <c r="AO329" s="542">
        <f t="shared" si="168"/>
        <v>0</v>
      </c>
      <c r="AP329" s="543">
        <f t="shared" si="169"/>
        <v>0</v>
      </c>
      <c r="AQ329" s="544" t="str">
        <f t="shared" ca="1" si="170"/>
        <v/>
      </c>
      <c r="AR329" s="545">
        <f t="shared" ca="1" si="171"/>
        <v>0</v>
      </c>
      <c r="AS329" s="545">
        <f ca="1">IFERROR(CEILING($AR329*VLOOKUP($I329,Ref!$B$23:$E$29,4,0),1),0)</f>
        <v>0</v>
      </c>
      <c r="AT329" s="545" t="str">
        <f>IF(A329="","",IF(AP329&lt;=1,"Cleared",IF(AS329=0,"Clean",VLOOKUP($AS329,Ref!$G$23:$H$28,2))))</f>
        <v>Cleared</v>
      </c>
      <c r="AU329" s="546" t="str">
        <f t="shared" si="172"/>
        <v>Ok</v>
      </c>
    </row>
    <row r="330" spans="1:47" ht="14.25" customHeight="1" x14ac:dyDescent="0.15">
      <c r="A330" s="575">
        <v>44512</v>
      </c>
      <c r="B330" s="523">
        <v>71</v>
      </c>
      <c r="C330" s="523">
        <v>326</v>
      </c>
      <c r="D330" s="523">
        <v>2</v>
      </c>
      <c r="E330" s="579" t="s">
        <v>1274</v>
      </c>
      <c r="F330" s="580">
        <v>2000000</v>
      </c>
      <c r="G330" s="524">
        <v>5</v>
      </c>
      <c r="H330" s="555">
        <v>0.05</v>
      </c>
      <c r="I330" s="560" t="s">
        <v>859</v>
      </c>
      <c r="J330" s="523" t="s">
        <v>862</v>
      </c>
      <c r="K330" s="528" t="str">
        <f>IFERROR(VLOOKUP($B330,'Clients-Live'!$A:$C,3,0),"")</f>
        <v>AYIKORU HARIET BAUDI</v>
      </c>
      <c r="L330" s="528">
        <f>IF(E330="STL",Pricing!$D$38,IF(A330="",0,IF(A330&lt;Pricing!$C$25,Pricing!$D$25,VLOOKUP(Disbursements!$F330,Pricing!$B$29:$D$32,3))))</f>
        <v>25000</v>
      </c>
      <c r="M330" s="528">
        <f>IF(E330="STL",0,IF(F330&gt;0,Pricing!$D$21,0))</f>
        <v>5000</v>
      </c>
      <c r="N330" s="529">
        <f>IF(E330="STL",F330*Pricing!$D$40,IF(A330&lt;=Pricing!$C$4,0,IF(AND(A330&gt;Pricing!$C$4,Disbursements!A330&lt;=Pricing!$C$5),F330*Pricing!$E$5,IF(AND(A330&gt;Pricing!$C$5,Disbursements!A330&lt;=Pricing!$C$7),VLOOKUP(F330,Pricing!$D$7:$E$8,2)*Disbursements!F330,F330*Pricing!$E$9))))</f>
        <v>40000</v>
      </c>
      <c r="O330" s="528">
        <f>IF(E330="STL",0,IF($F330&gt;0,$F330*Pricing!$D$17,0))</f>
        <v>200000</v>
      </c>
      <c r="P330" s="530">
        <f t="shared" si="152"/>
        <v>500000</v>
      </c>
      <c r="Q330" s="531">
        <f>IF($A330="","",$G330/VLOOKUP($I330,Ref!$B$23:$D$29,2,0))</f>
        <v>5</v>
      </c>
      <c r="R330" s="530">
        <f t="shared" si="153"/>
        <v>2500000</v>
      </c>
      <c r="S330" s="532">
        <f t="shared" si="147"/>
        <v>500000</v>
      </c>
      <c r="T330" s="531">
        <f t="shared" si="154"/>
        <v>500000</v>
      </c>
      <c r="U330" s="533">
        <f t="shared" si="155"/>
        <v>2500000</v>
      </c>
      <c r="V330" s="531">
        <f t="shared" si="156"/>
        <v>400000</v>
      </c>
      <c r="W330" s="531">
        <f t="shared" si="157"/>
        <v>100000</v>
      </c>
      <c r="X330" s="534">
        <f t="shared" si="158"/>
        <v>500000</v>
      </c>
      <c r="Y330" s="535">
        <f>IF($A330="","",IF($I330="weekly",$A330+7,EDATE($A330,VLOOKUP($I330,Ref!$B$24:$C$29,2,0))))</f>
        <v>44542</v>
      </c>
      <c r="Z330" s="536" t="str">
        <f t="shared" si="159"/>
        <v>Sun</v>
      </c>
      <c r="AA330" s="531">
        <f t="shared" si="160"/>
        <v>30</v>
      </c>
      <c r="AB330" s="535">
        <f t="shared" si="148"/>
        <v>44663</v>
      </c>
      <c r="AC330" s="537">
        <f t="shared" si="149"/>
        <v>151</v>
      </c>
      <c r="AD330" s="538" t="str">
        <f t="shared" ca="1" si="150"/>
        <v>Expired</v>
      </c>
      <c r="AE330" s="537">
        <f t="shared" ca="1" si="151"/>
        <v>0</v>
      </c>
      <c r="AF330" s="539">
        <f t="shared" ca="1" si="161"/>
        <v>5</v>
      </c>
      <c r="AG330" s="531">
        <f t="shared" ca="1" si="162"/>
        <v>2500000</v>
      </c>
      <c r="AH330" s="531">
        <f t="shared" ca="1" si="163"/>
        <v>500000</v>
      </c>
      <c r="AI330" s="531">
        <f t="shared" ca="1" si="164"/>
        <v>2000000</v>
      </c>
      <c r="AJ330" s="531">
        <f t="shared" ca="1" si="165"/>
        <v>0</v>
      </c>
      <c r="AK330" s="540">
        <f>SUMIFS('Live Collections'!$S:$S,'Live Collections'!$D:$D,Disbursements!B330,'Live Collections'!$G:$G,Disbursements!C330)</f>
        <v>500000</v>
      </c>
      <c r="AL330" s="540">
        <f>SUMIFS('Live Collections'!$T:$T,'Live Collections'!$D:$D,Disbursements!B330,'Live Collections'!$G:$G,Disbursements!C330)</f>
        <v>2000000</v>
      </c>
      <c r="AM330" s="541">
        <f t="shared" si="166"/>
        <v>2500000</v>
      </c>
      <c r="AN330" s="542">
        <f t="shared" si="167"/>
        <v>0</v>
      </c>
      <c r="AO330" s="542">
        <f t="shared" si="168"/>
        <v>0</v>
      </c>
      <c r="AP330" s="543">
        <f t="shared" si="169"/>
        <v>0</v>
      </c>
      <c r="AQ330" s="544" t="str">
        <f t="shared" ca="1" si="170"/>
        <v/>
      </c>
      <c r="AR330" s="545">
        <f t="shared" ca="1" si="171"/>
        <v>0</v>
      </c>
      <c r="AS330" s="545">
        <f ca="1">IFERROR(CEILING($AR330*VLOOKUP($I330,Ref!$B$23:$E$29,4,0),1),0)</f>
        <v>0</v>
      </c>
      <c r="AT330" s="545" t="str">
        <f>IF(A330="","",IF(AP330&lt;=1,"Cleared",IF(AS330=0,"Clean",VLOOKUP($AS330,Ref!$G$23:$H$28,2))))</f>
        <v>Cleared</v>
      </c>
      <c r="AU330" s="546" t="str">
        <f t="shared" si="172"/>
        <v>Ok</v>
      </c>
    </row>
    <row r="331" spans="1:47" ht="14.25" customHeight="1" x14ac:dyDescent="0.15">
      <c r="A331" s="575">
        <v>44512</v>
      </c>
      <c r="B331" s="523">
        <v>156</v>
      </c>
      <c r="C331" s="523">
        <v>325</v>
      </c>
      <c r="D331" s="523">
        <v>3</v>
      </c>
      <c r="E331" s="579" t="s">
        <v>1274</v>
      </c>
      <c r="F331" s="580">
        <v>2000000</v>
      </c>
      <c r="G331" s="524">
        <v>1</v>
      </c>
      <c r="H331" s="555">
        <v>0.05</v>
      </c>
      <c r="I331" s="560" t="s">
        <v>859</v>
      </c>
      <c r="J331" s="523" t="s">
        <v>863</v>
      </c>
      <c r="K331" s="528" t="str">
        <f>IFERROR(VLOOKUP($B331,'Clients-Live'!$A:$C,3,0),"")</f>
        <v xml:space="preserve">ONIBA AISHA </v>
      </c>
      <c r="L331" s="528">
        <f>IF(E331="STL",Pricing!$D$38,IF(A331="",0,IF(A331&lt;Pricing!$C$25,Pricing!$D$25,VLOOKUP(Disbursements!$F331,Pricing!$B$29:$D$32,3))))</f>
        <v>25000</v>
      </c>
      <c r="M331" s="528">
        <f>IF(E331="STL",0,IF(F331&gt;0,Pricing!$D$21,0))</f>
        <v>5000</v>
      </c>
      <c r="N331" s="529">
        <f>IF(E331="STL",F331*Pricing!$D$40,IF(A331&lt;=Pricing!$C$4,0,IF(AND(A331&gt;Pricing!$C$4,Disbursements!A331&lt;=Pricing!$C$5),F331*Pricing!$E$5,IF(AND(A331&gt;Pricing!$C$5,Disbursements!A331&lt;=Pricing!$C$7),VLOOKUP(F331,Pricing!$D$7:$E$8,2)*Disbursements!F331,F331*Pricing!$E$9))))</f>
        <v>40000</v>
      </c>
      <c r="O331" s="528">
        <f>IF(E331="STL",0,IF($F331&gt;0,$F331*Pricing!$D$17,0))</f>
        <v>200000</v>
      </c>
      <c r="P331" s="530">
        <f t="shared" si="152"/>
        <v>100000</v>
      </c>
      <c r="Q331" s="531">
        <f>IF($A331="","",$G331/VLOOKUP($I331,Ref!$B$23:$D$29,2,0))</f>
        <v>1</v>
      </c>
      <c r="R331" s="530">
        <f t="shared" si="153"/>
        <v>2100000</v>
      </c>
      <c r="S331" s="532">
        <f t="shared" si="147"/>
        <v>2100000</v>
      </c>
      <c r="T331" s="531">
        <f t="shared" si="154"/>
        <v>2100000</v>
      </c>
      <c r="U331" s="533">
        <f t="shared" si="155"/>
        <v>2100000</v>
      </c>
      <c r="V331" s="531">
        <f t="shared" si="156"/>
        <v>2000000</v>
      </c>
      <c r="W331" s="531">
        <f t="shared" si="157"/>
        <v>100000</v>
      </c>
      <c r="X331" s="534">
        <f t="shared" si="158"/>
        <v>100000</v>
      </c>
      <c r="Y331" s="535">
        <f>IF($A331="","",IF($I331="weekly",$A331+7,EDATE($A331,VLOOKUP($I331,Ref!$B$24:$C$29,2,0))))</f>
        <v>44542</v>
      </c>
      <c r="Z331" s="536" t="str">
        <f t="shared" si="159"/>
        <v>Sun</v>
      </c>
      <c r="AA331" s="531">
        <f t="shared" si="160"/>
        <v>30</v>
      </c>
      <c r="AB331" s="535">
        <f t="shared" si="148"/>
        <v>44542</v>
      </c>
      <c r="AC331" s="537">
        <f t="shared" si="149"/>
        <v>30</v>
      </c>
      <c r="AD331" s="538" t="str">
        <f t="shared" ca="1" si="150"/>
        <v>Expired</v>
      </c>
      <c r="AE331" s="537">
        <f t="shared" ca="1" si="151"/>
        <v>0</v>
      </c>
      <c r="AF331" s="539">
        <f t="shared" ca="1" si="161"/>
        <v>1</v>
      </c>
      <c r="AG331" s="531">
        <f t="shared" ca="1" si="162"/>
        <v>2100000</v>
      </c>
      <c r="AH331" s="531">
        <f t="shared" ca="1" si="163"/>
        <v>100000</v>
      </c>
      <c r="AI331" s="531">
        <f t="shared" ca="1" si="164"/>
        <v>2000000</v>
      </c>
      <c r="AJ331" s="531">
        <f t="shared" ca="1" si="165"/>
        <v>0</v>
      </c>
      <c r="AK331" s="540">
        <f>SUMIFS('Live Collections'!$S:$S,'Live Collections'!$D:$D,Disbursements!B331,'Live Collections'!$G:$G,Disbursements!C331)</f>
        <v>100000</v>
      </c>
      <c r="AL331" s="540">
        <f>SUMIFS('Live Collections'!$T:$T,'Live Collections'!$D:$D,Disbursements!B331,'Live Collections'!$G:$G,Disbursements!C331)</f>
        <v>2000000</v>
      </c>
      <c r="AM331" s="541">
        <f t="shared" si="166"/>
        <v>2100000</v>
      </c>
      <c r="AN331" s="542">
        <f t="shared" si="167"/>
        <v>0</v>
      </c>
      <c r="AO331" s="542">
        <f t="shared" si="168"/>
        <v>0</v>
      </c>
      <c r="AP331" s="543">
        <f t="shared" si="169"/>
        <v>0</v>
      </c>
      <c r="AQ331" s="544" t="str">
        <f t="shared" ca="1" si="170"/>
        <v/>
      </c>
      <c r="AR331" s="545">
        <f t="shared" ca="1" si="171"/>
        <v>0</v>
      </c>
      <c r="AS331" s="545">
        <f ca="1">IFERROR(CEILING($AR331*VLOOKUP($I331,Ref!$B$23:$E$29,4,0),1),0)</f>
        <v>0</v>
      </c>
      <c r="AT331" s="545" t="str">
        <f>IF(A331="","",IF(AP331&lt;=1,"Cleared",IF(AS331=0,"Clean",VLOOKUP($AS331,Ref!$G$23:$H$28,2))))</f>
        <v>Cleared</v>
      </c>
      <c r="AU331" s="546" t="str">
        <f t="shared" si="172"/>
        <v>Ok</v>
      </c>
    </row>
    <row r="332" spans="1:47" ht="14.25" customHeight="1" x14ac:dyDescent="0.15">
      <c r="A332" s="575">
        <v>44515</v>
      </c>
      <c r="B332" s="523">
        <v>91</v>
      </c>
      <c r="C332" s="523">
        <v>327</v>
      </c>
      <c r="D332" s="523">
        <v>2</v>
      </c>
      <c r="E332" s="579" t="s">
        <v>1274</v>
      </c>
      <c r="F332" s="580">
        <v>200000</v>
      </c>
      <c r="G332" s="524">
        <v>4</v>
      </c>
      <c r="H332" s="555">
        <v>0.05</v>
      </c>
      <c r="I332" s="560" t="s">
        <v>859</v>
      </c>
      <c r="J332" s="523" t="s">
        <v>862</v>
      </c>
      <c r="K332" s="528" t="str">
        <f>IFERROR(VLOOKUP($B332,'Clients-Live'!$A:$C,3,0),"")</f>
        <v>CHANDIRU SALILA</v>
      </c>
      <c r="L332" s="528">
        <f>IF(E332="STL",Pricing!$D$38,IF(A332="",0,IF(A332&lt;Pricing!$C$25,Pricing!$D$25,VLOOKUP(Disbursements!$F332,Pricing!$B$29:$D$32,3))))</f>
        <v>15000</v>
      </c>
      <c r="M332" s="528">
        <f>IF(E332="STL",0,IF(F332&gt;0,Pricing!$D$21,0))</f>
        <v>5000</v>
      </c>
      <c r="N332" s="529">
        <f>IF(E332="STL",F332*Pricing!$D$40,IF(A332&lt;=Pricing!$C$4,0,IF(AND(A332&gt;Pricing!$C$4,Disbursements!A332&lt;=Pricing!$C$5),F332*Pricing!$E$5,IF(AND(A332&gt;Pricing!$C$5,Disbursements!A332&lt;=Pricing!$C$7),VLOOKUP(F332,Pricing!$D$7:$E$8,2)*Disbursements!F332,F332*Pricing!$E$9))))</f>
        <v>2000</v>
      </c>
      <c r="O332" s="528">
        <f>IF(E332="STL",0,IF($F332&gt;0,$F332*Pricing!$D$17,0))</f>
        <v>20000</v>
      </c>
      <c r="P332" s="530">
        <f t="shared" si="152"/>
        <v>40000</v>
      </c>
      <c r="Q332" s="531">
        <f>IF($A332="","",$G332/VLOOKUP($I332,Ref!$B$23:$D$29,2,0))</f>
        <v>4</v>
      </c>
      <c r="R332" s="530">
        <f t="shared" si="153"/>
        <v>240000</v>
      </c>
      <c r="S332" s="532">
        <f t="shared" si="147"/>
        <v>60000</v>
      </c>
      <c r="T332" s="531">
        <f t="shared" si="154"/>
        <v>60000</v>
      </c>
      <c r="U332" s="533">
        <f t="shared" si="155"/>
        <v>240000</v>
      </c>
      <c r="V332" s="531">
        <f t="shared" si="156"/>
        <v>50000</v>
      </c>
      <c r="W332" s="531">
        <f t="shared" si="157"/>
        <v>10000</v>
      </c>
      <c r="X332" s="534">
        <f t="shared" si="158"/>
        <v>40000</v>
      </c>
      <c r="Y332" s="535">
        <f>IF($A332="","",IF($I332="weekly",$A332+7,EDATE($A332,VLOOKUP($I332,Ref!$B$24:$C$29,2,0))))</f>
        <v>44545</v>
      </c>
      <c r="Z332" s="536" t="str">
        <f t="shared" si="159"/>
        <v>Wed</v>
      </c>
      <c r="AA332" s="531">
        <f t="shared" si="160"/>
        <v>30</v>
      </c>
      <c r="AB332" s="535">
        <f t="shared" si="148"/>
        <v>44635</v>
      </c>
      <c r="AC332" s="537">
        <f t="shared" si="149"/>
        <v>120</v>
      </c>
      <c r="AD332" s="538" t="str">
        <f t="shared" ca="1" si="150"/>
        <v>Expired</v>
      </c>
      <c r="AE332" s="537">
        <f t="shared" ca="1" si="151"/>
        <v>0</v>
      </c>
      <c r="AF332" s="539">
        <f t="shared" ca="1" si="161"/>
        <v>4</v>
      </c>
      <c r="AG332" s="531">
        <f t="shared" ca="1" si="162"/>
        <v>240000</v>
      </c>
      <c r="AH332" s="531">
        <f t="shared" ca="1" si="163"/>
        <v>40000</v>
      </c>
      <c r="AI332" s="531">
        <f t="shared" ca="1" si="164"/>
        <v>200000</v>
      </c>
      <c r="AJ332" s="531">
        <f t="shared" ca="1" si="165"/>
        <v>0</v>
      </c>
      <c r="AK332" s="540">
        <f>SUMIFS('Live Collections'!$S:$S,'Live Collections'!$D:$D,Disbursements!B332,'Live Collections'!$G:$G,Disbursements!C332)</f>
        <v>40000</v>
      </c>
      <c r="AL332" s="540">
        <f>SUMIFS('Live Collections'!$T:$T,'Live Collections'!$D:$D,Disbursements!B332,'Live Collections'!$G:$G,Disbursements!C332)</f>
        <v>200000</v>
      </c>
      <c r="AM332" s="541">
        <f t="shared" si="166"/>
        <v>240000</v>
      </c>
      <c r="AN332" s="542">
        <f t="shared" si="167"/>
        <v>0</v>
      </c>
      <c r="AO332" s="542">
        <f t="shared" si="168"/>
        <v>0</v>
      </c>
      <c r="AP332" s="543">
        <f t="shared" si="169"/>
        <v>0</v>
      </c>
      <c r="AQ332" s="544" t="str">
        <f t="shared" ca="1" si="170"/>
        <v/>
      </c>
      <c r="AR332" s="545">
        <f t="shared" ca="1" si="171"/>
        <v>0</v>
      </c>
      <c r="AS332" s="545">
        <f ca="1">IFERROR(CEILING($AR332*VLOOKUP($I332,Ref!$B$23:$E$29,4,0),1),0)</f>
        <v>0</v>
      </c>
      <c r="AT332" s="545" t="str">
        <f>IF(A332="","",IF(AP332&lt;=1,"Cleared",IF(AS332=0,"Clean",VLOOKUP($AS332,Ref!$G$23:$H$28,2))))</f>
        <v>Cleared</v>
      </c>
      <c r="AU332" s="546" t="str">
        <f t="shared" si="172"/>
        <v>Ok</v>
      </c>
    </row>
    <row r="333" spans="1:47" ht="14.25" customHeight="1" x14ac:dyDescent="0.15">
      <c r="A333" s="575">
        <v>44517</v>
      </c>
      <c r="B333" s="523">
        <v>129</v>
      </c>
      <c r="C333" s="523">
        <v>332</v>
      </c>
      <c r="D333" s="523">
        <v>2</v>
      </c>
      <c r="E333" s="579" t="s">
        <v>1274</v>
      </c>
      <c r="F333" s="580">
        <v>2000000</v>
      </c>
      <c r="G333" s="524">
        <v>2</v>
      </c>
      <c r="H333" s="555">
        <v>0.05</v>
      </c>
      <c r="I333" s="560" t="s">
        <v>859</v>
      </c>
      <c r="J333" s="523" t="s">
        <v>863</v>
      </c>
      <c r="K333" s="528" t="str">
        <f>IFERROR(VLOOKUP($B333,'Clients-Live'!$A:$C,3,0),"")</f>
        <v>BAKO ASINA</v>
      </c>
      <c r="L333" s="528">
        <f>IF(E333="STL",Pricing!$D$38,IF(A333="",0,IF(A333&lt;Pricing!$C$25,Pricing!$D$25,VLOOKUP(Disbursements!$F333,Pricing!$B$29:$D$32,3))))</f>
        <v>25000</v>
      </c>
      <c r="M333" s="528">
        <f>IF(E333="STL",0,IF(F333&gt;0,Pricing!$D$21,0))</f>
        <v>5000</v>
      </c>
      <c r="N333" s="529">
        <f>IF(E333="STL",F333*Pricing!$D$40,IF(A333&lt;=Pricing!$C$4,0,IF(AND(A333&gt;Pricing!$C$4,Disbursements!A333&lt;=Pricing!$C$5),F333*Pricing!$E$5,IF(AND(A333&gt;Pricing!$C$5,Disbursements!A333&lt;=Pricing!$C$7),VLOOKUP(F333,Pricing!$D$7:$E$8,2)*Disbursements!F333,F333*Pricing!$E$9))))</f>
        <v>40000</v>
      </c>
      <c r="O333" s="528">
        <f>IF(E333="STL",0,IF($F333&gt;0,$F333*Pricing!$D$17,0))</f>
        <v>200000</v>
      </c>
      <c r="P333" s="530">
        <f t="shared" si="152"/>
        <v>200000</v>
      </c>
      <c r="Q333" s="531">
        <f>IF($A333="","",$G333/VLOOKUP($I333,Ref!$B$23:$D$29,2,0))</f>
        <v>2</v>
      </c>
      <c r="R333" s="530">
        <f t="shared" si="153"/>
        <v>2200000</v>
      </c>
      <c r="S333" s="532">
        <f t="shared" si="147"/>
        <v>1100000</v>
      </c>
      <c r="T333" s="531">
        <f t="shared" si="154"/>
        <v>1100000</v>
      </c>
      <c r="U333" s="533">
        <f t="shared" si="155"/>
        <v>2200000</v>
      </c>
      <c r="V333" s="531">
        <f t="shared" si="156"/>
        <v>1000000</v>
      </c>
      <c r="W333" s="531">
        <f t="shared" si="157"/>
        <v>100000</v>
      </c>
      <c r="X333" s="534">
        <f t="shared" si="158"/>
        <v>200000</v>
      </c>
      <c r="Y333" s="535">
        <f>IF($A333="","",IF($I333="weekly",$A333+7,EDATE($A333,VLOOKUP($I333,Ref!$B$24:$C$29,2,0))))</f>
        <v>44547</v>
      </c>
      <c r="Z333" s="536" t="str">
        <f t="shared" si="159"/>
        <v>Frid</v>
      </c>
      <c r="AA333" s="531">
        <f t="shared" si="160"/>
        <v>30</v>
      </c>
      <c r="AB333" s="535">
        <f t="shared" si="148"/>
        <v>44578</v>
      </c>
      <c r="AC333" s="537">
        <f t="shared" si="149"/>
        <v>61</v>
      </c>
      <c r="AD333" s="538" t="str">
        <f t="shared" ca="1" si="150"/>
        <v>Expired</v>
      </c>
      <c r="AE333" s="537">
        <f t="shared" ca="1" si="151"/>
        <v>0</v>
      </c>
      <c r="AF333" s="539">
        <f t="shared" ca="1" si="161"/>
        <v>2</v>
      </c>
      <c r="AG333" s="531">
        <f t="shared" ca="1" si="162"/>
        <v>2200000</v>
      </c>
      <c r="AH333" s="531">
        <f t="shared" ca="1" si="163"/>
        <v>200000</v>
      </c>
      <c r="AI333" s="531">
        <f t="shared" ca="1" si="164"/>
        <v>2000000</v>
      </c>
      <c r="AJ333" s="531">
        <f t="shared" ca="1" si="165"/>
        <v>0</v>
      </c>
      <c r="AK333" s="540">
        <f>SUMIFS('Live Collections'!$S:$S,'Live Collections'!$D:$D,Disbursements!B333,'Live Collections'!$G:$G,Disbursements!C333)</f>
        <v>200000</v>
      </c>
      <c r="AL333" s="540">
        <f>SUMIFS('Live Collections'!$T:$T,'Live Collections'!$D:$D,Disbursements!B333,'Live Collections'!$G:$G,Disbursements!C333)</f>
        <v>2000000</v>
      </c>
      <c r="AM333" s="541">
        <f t="shared" si="166"/>
        <v>2200000</v>
      </c>
      <c r="AN333" s="542">
        <f t="shared" si="167"/>
        <v>0</v>
      </c>
      <c r="AO333" s="542">
        <f t="shared" si="168"/>
        <v>0</v>
      </c>
      <c r="AP333" s="543">
        <f t="shared" si="169"/>
        <v>0</v>
      </c>
      <c r="AQ333" s="544" t="str">
        <f t="shared" ca="1" si="170"/>
        <v/>
      </c>
      <c r="AR333" s="545">
        <f t="shared" ca="1" si="171"/>
        <v>0</v>
      </c>
      <c r="AS333" s="545">
        <f ca="1">IFERROR(CEILING($AR333*VLOOKUP($I333,Ref!$B$23:$E$29,4,0),1),0)</f>
        <v>0</v>
      </c>
      <c r="AT333" s="545" t="str">
        <f>IF(A333="","",IF(AP333&lt;=1,"Cleared",IF(AS333=0,"Clean",VLOOKUP($AS333,Ref!$G$23:$H$28,2))))</f>
        <v>Cleared</v>
      </c>
      <c r="AU333" s="546" t="str">
        <f t="shared" si="172"/>
        <v>Ok</v>
      </c>
    </row>
    <row r="334" spans="1:47" ht="14.25" customHeight="1" x14ac:dyDescent="0.15">
      <c r="A334" s="575">
        <v>44517</v>
      </c>
      <c r="B334" s="523">
        <v>10</v>
      </c>
      <c r="C334" s="523">
        <v>334</v>
      </c>
      <c r="D334" s="523">
        <v>1</v>
      </c>
      <c r="E334" s="579" t="s">
        <v>1274</v>
      </c>
      <c r="F334" s="580">
        <v>500000</v>
      </c>
      <c r="G334" s="524">
        <v>5</v>
      </c>
      <c r="H334" s="555">
        <v>0.05</v>
      </c>
      <c r="I334" s="560" t="s">
        <v>859</v>
      </c>
      <c r="J334" s="523" t="s">
        <v>864</v>
      </c>
      <c r="K334" s="528" t="str">
        <f>IFERROR(VLOOKUP($B334,'Clients-Live'!$A:$C,3,0),"")</f>
        <v>WARU ARIEYE VALENTINA CHARLES</v>
      </c>
      <c r="L334" s="528">
        <f>IF(E334="STL",Pricing!$D$38,IF(A334="",0,IF(A334&lt;Pricing!$C$25,Pricing!$D$25,VLOOKUP(Disbursements!$F334,Pricing!$B$29:$D$32,3))))</f>
        <v>15000</v>
      </c>
      <c r="M334" s="528">
        <f>IF(E334="STL",0,IF(F334&gt;0,Pricing!$D$21,0))</f>
        <v>5000</v>
      </c>
      <c r="N334" s="529">
        <f>IF(E334="STL",F334*Pricing!$D$40,IF(A334&lt;=Pricing!$C$4,0,IF(AND(A334&gt;Pricing!$C$4,Disbursements!A334&lt;=Pricing!$C$5),F334*Pricing!$E$5,IF(AND(A334&gt;Pricing!$C$5,Disbursements!A334&lt;=Pricing!$C$7),VLOOKUP(F334,Pricing!$D$7:$E$8,2)*Disbursements!F334,F334*Pricing!$E$9))))</f>
        <v>5000</v>
      </c>
      <c r="O334" s="528">
        <f>IF(E334="STL",0,IF($F334&gt;0,$F334*Pricing!$D$17,0))</f>
        <v>50000</v>
      </c>
      <c r="P334" s="530">
        <f t="shared" si="152"/>
        <v>125000</v>
      </c>
      <c r="Q334" s="531">
        <f>IF($A334="","",$G334/VLOOKUP($I334,Ref!$B$23:$D$29,2,0))</f>
        <v>5</v>
      </c>
      <c r="R334" s="530">
        <f t="shared" si="153"/>
        <v>625000</v>
      </c>
      <c r="S334" s="532">
        <f t="shared" si="147"/>
        <v>125000</v>
      </c>
      <c r="T334" s="531">
        <f t="shared" si="154"/>
        <v>125000</v>
      </c>
      <c r="U334" s="533">
        <f t="shared" si="155"/>
        <v>625000</v>
      </c>
      <c r="V334" s="531">
        <f t="shared" si="156"/>
        <v>100000</v>
      </c>
      <c r="W334" s="531">
        <f t="shared" si="157"/>
        <v>25000</v>
      </c>
      <c r="X334" s="534">
        <f t="shared" si="158"/>
        <v>125000</v>
      </c>
      <c r="Y334" s="535">
        <f>IF($A334="","",IF($I334="weekly",$A334+7,EDATE($A334,VLOOKUP($I334,Ref!$B$24:$C$29,2,0))))</f>
        <v>44547</v>
      </c>
      <c r="Z334" s="536" t="str">
        <f t="shared" si="159"/>
        <v>Frid</v>
      </c>
      <c r="AA334" s="531">
        <f t="shared" si="160"/>
        <v>30</v>
      </c>
      <c r="AB334" s="535">
        <f t="shared" si="148"/>
        <v>44668</v>
      </c>
      <c r="AC334" s="537">
        <f t="shared" si="149"/>
        <v>151</v>
      </c>
      <c r="AD334" s="538" t="str">
        <f t="shared" ca="1" si="150"/>
        <v>Expired</v>
      </c>
      <c r="AE334" s="537">
        <f t="shared" ca="1" si="151"/>
        <v>0</v>
      </c>
      <c r="AF334" s="539">
        <f t="shared" ca="1" si="161"/>
        <v>5</v>
      </c>
      <c r="AG334" s="531">
        <f t="shared" ca="1" si="162"/>
        <v>625000</v>
      </c>
      <c r="AH334" s="531">
        <f t="shared" ca="1" si="163"/>
        <v>125000</v>
      </c>
      <c r="AI334" s="531">
        <f t="shared" ca="1" si="164"/>
        <v>500000</v>
      </c>
      <c r="AJ334" s="531">
        <f t="shared" ca="1" si="165"/>
        <v>0</v>
      </c>
      <c r="AK334" s="540">
        <f>SUMIFS('Live Collections'!$S:$S,'Live Collections'!$D:$D,Disbursements!B334,'Live Collections'!$G:$G,Disbursements!C334)</f>
        <v>125000</v>
      </c>
      <c r="AL334" s="540">
        <f>SUMIFS('Live Collections'!$T:$T,'Live Collections'!$D:$D,Disbursements!B334,'Live Collections'!$G:$G,Disbursements!C334)</f>
        <v>500000</v>
      </c>
      <c r="AM334" s="541">
        <f t="shared" si="166"/>
        <v>625000</v>
      </c>
      <c r="AN334" s="542">
        <f t="shared" si="167"/>
        <v>0</v>
      </c>
      <c r="AO334" s="542">
        <f t="shared" si="168"/>
        <v>0</v>
      </c>
      <c r="AP334" s="543">
        <f t="shared" si="169"/>
        <v>0</v>
      </c>
      <c r="AQ334" s="544" t="str">
        <f t="shared" ca="1" si="170"/>
        <v/>
      </c>
      <c r="AR334" s="545">
        <f t="shared" ca="1" si="171"/>
        <v>0</v>
      </c>
      <c r="AS334" s="545">
        <f ca="1">IFERROR(CEILING($AR334*VLOOKUP($I334,Ref!$B$23:$E$29,4,0),1),0)</f>
        <v>0</v>
      </c>
      <c r="AT334" s="545" t="str">
        <f>IF(A334="","",IF(AP334&lt;=1,"Cleared",IF(AS334=0,"Clean",VLOOKUP($AS334,Ref!$G$23:$H$28,2))))</f>
        <v>Cleared</v>
      </c>
      <c r="AU334" s="546" t="str">
        <f t="shared" si="172"/>
        <v>Ok</v>
      </c>
    </row>
    <row r="335" spans="1:47" ht="14.25" customHeight="1" x14ac:dyDescent="0.15">
      <c r="A335" s="575">
        <v>44517</v>
      </c>
      <c r="B335" s="523">
        <v>179</v>
      </c>
      <c r="C335" s="523">
        <v>330</v>
      </c>
      <c r="D335" s="523">
        <v>2</v>
      </c>
      <c r="E335" s="579" t="s">
        <v>1274</v>
      </c>
      <c r="F335" s="580">
        <v>400000</v>
      </c>
      <c r="G335" s="524">
        <v>5</v>
      </c>
      <c r="H335" s="555">
        <v>0.05</v>
      </c>
      <c r="I335" s="560" t="s">
        <v>859</v>
      </c>
      <c r="J335" s="523" t="s">
        <v>862</v>
      </c>
      <c r="K335" s="528" t="str">
        <f>IFERROR(VLOOKUP($B335,'Clients-Live'!$A:$C,3,0),"")</f>
        <v>GERIA VIOLA</v>
      </c>
      <c r="L335" s="528">
        <f>IF(E335="STL",Pricing!$D$38,IF(A335="",0,IF(A335&lt;Pricing!$C$25,Pricing!$D$25,VLOOKUP(Disbursements!$F335,Pricing!$B$29:$D$32,3))))</f>
        <v>15000</v>
      </c>
      <c r="M335" s="528">
        <f>IF(E335="STL",0,IF(F335&gt;0,Pricing!$D$21,0))</f>
        <v>5000</v>
      </c>
      <c r="N335" s="529">
        <f>IF(E335="STL",F335*Pricing!$D$40,IF(A335&lt;=Pricing!$C$4,0,IF(AND(A335&gt;Pricing!$C$4,Disbursements!A335&lt;=Pricing!$C$5),F335*Pricing!$E$5,IF(AND(A335&gt;Pricing!$C$5,Disbursements!A335&lt;=Pricing!$C$7),VLOOKUP(F335,Pricing!$D$7:$E$8,2)*Disbursements!F335,F335*Pricing!$E$9))))</f>
        <v>4000</v>
      </c>
      <c r="O335" s="528">
        <f>IF(E335="STL",0,IF($F335&gt;0,$F335*Pricing!$D$17,0))</f>
        <v>40000</v>
      </c>
      <c r="P335" s="530">
        <f t="shared" si="152"/>
        <v>100000</v>
      </c>
      <c r="Q335" s="531">
        <f>IF($A335="","",$G335/VLOOKUP($I335,Ref!$B$23:$D$29,2,0))</f>
        <v>5</v>
      </c>
      <c r="R335" s="530">
        <f t="shared" si="153"/>
        <v>500000</v>
      </c>
      <c r="S335" s="532">
        <f t="shared" si="147"/>
        <v>100000</v>
      </c>
      <c r="T335" s="531">
        <f t="shared" si="154"/>
        <v>100000</v>
      </c>
      <c r="U335" s="533">
        <f t="shared" si="155"/>
        <v>500000</v>
      </c>
      <c r="V335" s="531">
        <f t="shared" si="156"/>
        <v>80000</v>
      </c>
      <c r="W335" s="531">
        <f t="shared" si="157"/>
        <v>20000</v>
      </c>
      <c r="X335" s="534">
        <f t="shared" si="158"/>
        <v>100000</v>
      </c>
      <c r="Y335" s="535">
        <f>IF($A335="","",IF($I335="weekly",$A335+7,EDATE($A335,VLOOKUP($I335,Ref!$B$24:$C$29,2,0))))</f>
        <v>44547</v>
      </c>
      <c r="Z335" s="536" t="str">
        <f t="shared" si="159"/>
        <v>Frid</v>
      </c>
      <c r="AA335" s="531">
        <f t="shared" si="160"/>
        <v>30</v>
      </c>
      <c r="AB335" s="535">
        <f t="shared" si="148"/>
        <v>44668</v>
      </c>
      <c r="AC335" s="537">
        <f t="shared" si="149"/>
        <v>151</v>
      </c>
      <c r="AD335" s="538" t="str">
        <f t="shared" ca="1" si="150"/>
        <v>Expired</v>
      </c>
      <c r="AE335" s="537">
        <f t="shared" ca="1" si="151"/>
        <v>0</v>
      </c>
      <c r="AF335" s="539">
        <f t="shared" ca="1" si="161"/>
        <v>5</v>
      </c>
      <c r="AG335" s="531">
        <f t="shared" ca="1" si="162"/>
        <v>500000</v>
      </c>
      <c r="AH335" s="531">
        <f t="shared" ca="1" si="163"/>
        <v>100000</v>
      </c>
      <c r="AI335" s="531">
        <f t="shared" ca="1" si="164"/>
        <v>400000</v>
      </c>
      <c r="AJ335" s="531">
        <f t="shared" ca="1" si="165"/>
        <v>0</v>
      </c>
      <c r="AK335" s="540">
        <f>SUMIFS('Live Collections'!$S:$S,'Live Collections'!$D:$D,Disbursements!B335,'Live Collections'!$G:$G,Disbursements!C335)</f>
        <v>100000</v>
      </c>
      <c r="AL335" s="540">
        <f>SUMIFS('Live Collections'!$T:$T,'Live Collections'!$D:$D,Disbursements!B335,'Live Collections'!$G:$G,Disbursements!C335)</f>
        <v>400000</v>
      </c>
      <c r="AM335" s="541">
        <f t="shared" si="166"/>
        <v>500000</v>
      </c>
      <c r="AN335" s="542">
        <f t="shared" si="167"/>
        <v>0</v>
      </c>
      <c r="AO335" s="542">
        <f t="shared" si="168"/>
        <v>0</v>
      </c>
      <c r="AP335" s="543">
        <f t="shared" si="169"/>
        <v>0</v>
      </c>
      <c r="AQ335" s="544" t="str">
        <f t="shared" ca="1" si="170"/>
        <v/>
      </c>
      <c r="AR335" s="545">
        <f t="shared" ca="1" si="171"/>
        <v>0</v>
      </c>
      <c r="AS335" s="545">
        <f ca="1">IFERROR(CEILING($AR335*VLOOKUP($I335,Ref!$B$23:$E$29,4,0),1),0)</f>
        <v>0</v>
      </c>
      <c r="AT335" s="545" t="str">
        <f>IF(A335="","",IF(AP335&lt;=1,"Cleared",IF(AS335=0,"Clean",VLOOKUP($AS335,Ref!$G$23:$H$28,2))))</f>
        <v>Cleared</v>
      </c>
      <c r="AU335" s="546" t="str">
        <f t="shared" si="172"/>
        <v>Ok</v>
      </c>
    </row>
    <row r="336" spans="1:47" ht="14.25" customHeight="1" x14ac:dyDescent="0.15">
      <c r="A336" s="575">
        <v>44517</v>
      </c>
      <c r="B336" s="523">
        <v>272</v>
      </c>
      <c r="C336" s="523">
        <v>331</v>
      </c>
      <c r="D336" s="523">
        <v>1</v>
      </c>
      <c r="E336" s="579" t="s">
        <v>1274</v>
      </c>
      <c r="F336" s="580">
        <v>400000</v>
      </c>
      <c r="G336" s="524">
        <v>4</v>
      </c>
      <c r="H336" s="555">
        <v>0.05</v>
      </c>
      <c r="I336" s="560" t="s">
        <v>859</v>
      </c>
      <c r="J336" s="523" t="s">
        <v>862</v>
      </c>
      <c r="K336" s="528" t="str">
        <f>IFERROR(VLOOKUP($B336,'Clients-Live'!$A:$C,3,0),"")</f>
        <v>AFEKU EMMANUEL</v>
      </c>
      <c r="L336" s="528">
        <f>IF(E336="STL",Pricing!$D$38,IF(A336="",0,IF(A336&lt;Pricing!$C$25,Pricing!$D$25,VLOOKUP(Disbursements!$F336,Pricing!$B$29:$D$32,3))))</f>
        <v>15000</v>
      </c>
      <c r="M336" s="528">
        <f>IF(E336="STL",0,IF(F336&gt;0,Pricing!$D$21,0))</f>
        <v>5000</v>
      </c>
      <c r="N336" s="529">
        <f>IF(E336="STL",F336*Pricing!$D$40,IF(A336&lt;=Pricing!$C$4,0,IF(AND(A336&gt;Pricing!$C$4,Disbursements!A336&lt;=Pricing!$C$5),F336*Pricing!$E$5,IF(AND(A336&gt;Pricing!$C$5,Disbursements!A336&lt;=Pricing!$C$7),VLOOKUP(F336,Pricing!$D$7:$E$8,2)*Disbursements!F336,F336*Pricing!$E$9))))</f>
        <v>4000</v>
      </c>
      <c r="O336" s="528">
        <f>IF(E336="STL",0,IF($F336&gt;0,$F336*Pricing!$D$17,0))</f>
        <v>40000</v>
      </c>
      <c r="P336" s="530">
        <f t="shared" si="152"/>
        <v>80000</v>
      </c>
      <c r="Q336" s="531">
        <f>IF($A336="","",$G336/VLOOKUP($I336,Ref!$B$23:$D$29,2,0))</f>
        <v>4</v>
      </c>
      <c r="R336" s="530">
        <f t="shared" si="153"/>
        <v>480000</v>
      </c>
      <c r="S336" s="532">
        <f t="shared" si="147"/>
        <v>120000</v>
      </c>
      <c r="T336" s="531">
        <f t="shared" si="154"/>
        <v>120000</v>
      </c>
      <c r="U336" s="533">
        <f t="shared" si="155"/>
        <v>480000</v>
      </c>
      <c r="V336" s="531">
        <f t="shared" si="156"/>
        <v>100000</v>
      </c>
      <c r="W336" s="531">
        <f t="shared" si="157"/>
        <v>20000</v>
      </c>
      <c r="X336" s="534">
        <f t="shared" si="158"/>
        <v>80000</v>
      </c>
      <c r="Y336" s="535">
        <f>IF($A336="","",IF($I336="weekly",$A336+7,EDATE($A336,VLOOKUP($I336,Ref!$B$24:$C$29,2,0))))</f>
        <v>44547</v>
      </c>
      <c r="Z336" s="536" t="str">
        <f t="shared" si="159"/>
        <v>Frid</v>
      </c>
      <c r="AA336" s="531">
        <f t="shared" si="160"/>
        <v>30</v>
      </c>
      <c r="AB336" s="535">
        <f t="shared" si="148"/>
        <v>44637</v>
      </c>
      <c r="AC336" s="537">
        <f t="shared" si="149"/>
        <v>120</v>
      </c>
      <c r="AD336" s="538" t="str">
        <f t="shared" ca="1" si="150"/>
        <v>Expired</v>
      </c>
      <c r="AE336" s="537">
        <f t="shared" ca="1" si="151"/>
        <v>0</v>
      </c>
      <c r="AF336" s="539">
        <f t="shared" ca="1" si="161"/>
        <v>4</v>
      </c>
      <c r="AG336" s="531">
        <f t="shared" ca="1" si="162"/>
        <v>480000</v>
      </c>
      <c r="AH336" s="531">
        <f t="shared" ca="1" si="163"/>
        <v>80000</v>
      </c>
      <c r="AI336" s="531">
        <f t="shared" ca="1" si="164"/>
        <v>400000</v>
      </c>
      <c r="AJ336" s="531">
        <f t="shared" ca="1" si="165"/>
        <v>0</v>
      </c>
      <c r="AK336" s="540">
        <f>SUMIFS('Live Collections'!$S:$S,'Live Collections'!$D:$D,Disbursements!B336,'Live Collections'!$G:$G,Disbursements!C336)</f>
        <v>80000</v>
      </c>
      <c r="AL336" s="540">
        <f>SUMIFS('Live Collections'!$T:$T,'Live Collections'!$D:$D,Disbursements!B336,'Live Collections'!$G:$G,Disbursements!C336)</f>
        <v>400000</v>
      </c>
      <c r="AM336" s="541">
        <f t="shared" si="166"/>
        <v>480000</v>
      </c>
      <c r="AN336" s="542">
        <f t="shared" si="167"/>
        <v>0</v>
      </c>
      <c r="AO336" s="542">
        <f t="shared" si="168"/>
        <v>0</v>
      </c>
      <c r="AP336" s="543">
        <f t="shared" si="169"/>
        <v>0</v>
      </c>
      <c r="AQ336" s="544" t="str">
        <f t="shared" ca="1" si="170"/>
        <v/>
      </c>
      <c r="AR336" s="545">
        <f t="shared" ca="1" si="171"/>
        <v>0</v>
      </c>
      <c r="AS336" s="545">
        <f ca="1">IFERROR(CEILING($AR336*VLOOKUP($I336,Ref!$B$23:$E$29,4,0),1),0)</f>
        <v>0</v>
      </c>
      <c r="AT336" s="545" t="str">
        <f>IF(A336="","",IF(AP336&lt;=1,"Cleared",IF(AS336=0,"Clean",VLOOKUP($AS336,Ref!$G$23:$H$28,2))))</f>
        <v>Cleared</v>
      </c>
      <c r="AU336" s="546" t="str">
        <f t="shared" si="172"/>
        <v>Ok</v>
      </c>
    </row>
    <row r="337" spans="1:47" ht="14.25" customHeight="1" x14ac:dyDescent="0.15">
      <c r="A337" s="575">
        <v>44517</v>
      </c>
      <c r="B337" s="523">
        <v>265</v>
      </c>
      <c r="C337" s="523">
        <v>333</v>
      </c>
      <c r="D337" s="523">
        <v>2</v>
      </c>
      <c r="E337" s="579" t="s">
        <v>1275</v>
      </c>
      <c r="F337" s="580">
        <v>2000000</v>
      </c>
      <c r="G337" s="524">
        <v>2</v>
      </c>
      <c r="H337" s="555">
        <v>7.4999999999999997E-2</v>
      </c>
      <c r="I337" s="560" t="s">
        <v>859</v>
      </c>
      <c r="J337" s="523" t="s">
        <v>864</v>
      </c>
      <c r="K337" s="528" t="str">
        <f>IFERROR(VLOOKUP($B337,'Clients-Live'!$A:$C,3,0),"")</f>
        <v>OCATRE CHARLES</v>
      </c>
      <c r="L337" s="528">
        <f>IF(E337="STL",Pricing!$D$38,IF(A337="",0,IF(A337&lt;Pricing!$C$25,Pricing!$D$25,VLOOKUP(Disbursements!$F337,Pricing!$B$29:$D$32,3))))</f>
        <v>25000</v>
      </c>
      <c r="M337" s="528">
        <f>IF(E337="STL",0,IF(F337&gt;0,Pricing!$D$21,0))</f>
        <v>5000</v>
      </c>
      <c r="N337" s="529">
        <f>IF(E337="STL",F337*Pricing!$D$40,IF(A337&lt;=Pricing!$C$4,0,IF(AND(A337&gt;Pricing!$C$4,Disbursements!A337&lt;=Pricing!$C$5),F337*Pricing!$E$5,IF(AND(A337&gt;Pricing!$C$5,Disbursements!A337&lt;=Pricing!$C$7),VLOOKUP(F337,Pricing!$D$7:$E$8,2)*Disbursements!F337,F337*Pricing!$E$9))))</f>
        <v>40000</v>
      </c>
      <c r="O337" s="528">
        <f>IF(E337="STL",0,IF($F337&gt;0,$F337*Pricing!$D$17,0))</f>
        <v>200000</v>
      </c>
      <c r="P337" s="530">
        <f t="shared" si="152"/>
        <v>300000</v>
      </c>
      <c r="Q337" s="531">
        <f>IF($A337="","",$G337/VLOOKUP($I337,Ref!$B$23:$D$29,2,0))</f>
        <v>2</v>
      </c>
      <c r="R337" s="530">
        <f t="shared" si="153"/>
        <v>2300000</v>
      </c>
      <c r="S337" s="532">
        <f t="shared" si="147"/>
        <v>1150000</v>
      </c>
      <c r="T337" s="531">
        <f t="shared" si="154"/>
        <v>1150000</v>
      </c>
      <c r="U337" s="533">
        <f t="shared" si="155"/>
        <v>2300000</v>
      </c>
      <c r="V337" s="531">
        <f t="shared" si="156"/>
        <v>1000000</v>
      </c>
      <c r="W337" s="531">
        <f t="shared" si="157"/>
        <v>150000</v>
      </c>
      <c r="X337" s="534">
        <f t="shared" si="158"/>
        <v>300000</v>
      </c>
      <c r="Y337" s="535">
        <f>IF($A337="","",IF($I337="weekly",$A337+7,EDATE($A337,VLOOKUP($I337,Ref!$B$24:$C$29,2,0))))</f>
        <v>44547</v>
      </c>
      <c r="Z337" s="536" t="str">
        <f t="shared" si="159"/>
        <v>Frid</v>
      </c>
      <c r="AA337" s="531">
        <f t="shared" si="160"/>
        <v>30</v>
      </c>
      <c r="AB337" s="535">
        <f t="shared" si="148"/>
        <v>44578</v>
      </c>
      <c r="AC337" s="537">
        <f t="shared" si="149"/>
        <v>61</v>
      </c>
      <c r="AD337" s="538" t="str">
        <f t="shared" ca="1" si="150"/>
        <v>Expired</v>
      </c>
      <c r="AE337" s="537">
        <f t="shared" ca="1" si="151"/>
        <v>0</v>
      </c>
      <c r="AF337" s="539">
        <f t="shared" ca="1" si="161"/>
        <v>2</v>
      </c>
      <c r="AG337" s="531">
        <f t="shared" ca="1" si="162"/>
        <v>2300000</v>
      </c>
      <c r="AH337" s="531">
        <f t="shared" ca="1" si="163"/>
        <v>300000</v>
      </c>
      <c r="AI337" s="531">
        <f t="shared" ca="1" si="164"/>
        <v>2000000</v>
      </c>
      <c r="AJ337" s="531">
        <f t="shared" ca="1" si="165"/>
        <v>0</v>
      </c>
      <c r="AK337" s="540">
        <f>SUMIFS('Live Collections'!$S:$S,'Live Collections'!$D:$D,Disbursements!B337,'Live Collections'!$G:$G,Disbursements!C337)</f>
        <v>300000</v>
      </c>
      <c r="AL337" s="540">
        <f>SUMIFS('Live Collections'!$T:$T,'Live Collections'!$D:$D,Disbursements!B337,'Live Collections'!$G:$G,Disbursements!C337)</f>
        <v>2000000</v>
      </c>
      <c r="AM337" s="541">
        <f t="shared" si="166"/>
        <v>2300000</v>
      </c>
      <c r="AN337" s="542">
        <f t="shared" si="167"/>
        <v>0</v>
      </c>
      <c r="AO337" s="542">
        <f t="shared" si="168"/>
        <v>0</v>
      </c>
      <c r="AP337" s="543">
        <f t="shared" si="169"/>
        <v>0</v>
      </c>
      <c r="AQ337" s="544" t="str">
        <f t="shared" ca="1" si="170"/>
        <v/>
      </c>
      <c r="AR337" s="545">
        <f t="shared" ca="1" si="171"/>
        <v>0</v>
      </c>
      <c r="AS337" s="545">
        <f ca="1">IFERROR(CEILING($AR337*VLOOKUP($I337,Ref!$B$23:$E$29,4,0),1),0)</f>
        <v>0</v>
      </c>
      <c r="AT337" s="545" t="str">
        <f>IF(A337="","",IF(AP337&lt;=1,"Cleared",IF(AS337=0,"Clean",VLOOKUP($AS337,Ref!$G$23:$H$28,2))))</f>
        <v>Cleared</v>
      </c>
      <c r="AU337" s="546" t="str">
        <f t="shared" si="172"/>
        <v>Ok</v>
      </c>
    </row>
    <row r="338" spans="1:47" ht="14.25" customHeight="1" x14ac:dyDescent="0.15">
      <c r="A338" s="575">
        <v>44518</v>
      </c>
      <c r="B338" s="523">
        <v>124</v>
      </c>
      <c r="C338" s="523">
        <v>335</v>
      </c>
      <c r="D338" s="523">
        <v>2</v>
      </c>
      <c r="E338" s="579" t="s">
        <v>1274</v>
      </c>
      <c r="F338" s="580">
        <v>800000</v>
      </c>
      <c r="G338" s="524">
        <v>5</v>
      </c>
      <c r="H338" s="555">
        <v>0.05</v>
      </c>
      <c r="I338" s="560" t="s">
        <v>859</v>
      </c>
      <c r="J338" s="523" t="s">
        <v>863</v>
      </c>
      <c r="K338" s="528" t="str">
        <f>IFERROR(VLOOKUP($B338,'Clients-Live'!$A:$C,3,0),"")</f>
        <v>TIKO ZABIBU</v>
      </c>
      <c r="L338" s="528">
        <f>IF(E338="STL",Pricing!$D$38,IF(A338="",0,IF(A338&lt;Pricing!$C$25,Pricing!$D$25,VLOOKUP(Disbursements!$F338,Pricing!$B$29:$D$32,3))))</f>
        <v>20000</v>
      </c>
      <c r="M338" s="528">
        <f>IF(E338="STL",0,IF(F338&gt;0,Pricing!$D$21,0))</f>
        <v>5000</v>
      </c>
      <c r="N338" s="529">
        <f>IF(E338="STL",F338*Pricing!$D$40,IF(A338&lt;=Pricing!$C$4,0,IF(AND(A338&gt;Pricing!$C$4,Disbursements!A338&lt;=Pricing!$C$5),F338*Pricing!$E$5,IF(AND(A338&gt;Pricing!$C$5,Disbursements!A338&lt;=Pricing!$C$7),VLOOKUP(F338,Pricing!$D$7:$E$8,2)*Disbursements!F338,F338*Pricing!$E$9))))</f>
        <v>8000</v>
      </c>
      <c r="O338" s="528">
        <f>IF(E338="STL",0,IF($F338&gt;0,$F338*Pricing!$D$17,0))</f>
        <v>80000</v>
      </c>
      <c r="P338" s="530">
        <f t="shared" si="152"/>
        <v>200000</v>
      </c>
      <c r="Q338" s="531">
        <f>IF($A338="","",$G338/VLOOKUP($I338,Ref!$B$23:$D$29,2,0))</f>
        <v>5</v>
      </c>
      <c r="R338" s="530">
        <f t="shared" si="153"/>
        <v>1000000</v>
      </c>
      <c r="S338" s="532">
        <f t="shared" si="147"/>
        <v>200000</v>
      </c>
      <c r="T338" s="531">
        <f t="shared" si="154"/>
        <v>200000</v>
      </c>
      <c r="U338" s="533">
        <f t="shared" si="155"/>
        <v>1000000</v>
      </c>
      <c r="V338" s="531">
        <f t="shared" si="156"/>
        <v>160000</v>
      </c>
      <c r="W338" s="531">
        <f t="shared" si="157"/>
        <v>40000</v>
      </c>
      <c r="X338" s="534">
        <f t="shared" si="158"/>
        <v>200000</v>
      </c>
      <c r="Y338" s="535">
        <f>IF($A338="","",IF($I338="weekly",$A338+7,EDATE($A338,VLOOKUP($I338,Ref!$B$24:$C$29,2,0))))</f>
        <v>44548</v>
      </c>
      <c r="Z338" s="536" t="str">
        <f t="shared" si="159"/>
        <v>Sat</v>
      </c>
      <c r="AA338" s="531">
        <f t="shared" si="160"/>
        <v>30</v>
      </c>
      <c r="AB338" s="535">
        <f t="shared" si="148"/>
        <v>44669</v>
      </c>
      <c r="AC338" s="537">
        <f t="shared" si="149"/>
        <v>151</v>
      </c>
      <c r="AD338" s="538" t="str">
        <f t="shared" ca="1" si="150"/>
        <v>Expired</v>
      </c>
      <c r="AE338" s="537">
        <f t="shared" ca="1" si="151"/>
        <v>0</v>
      </c>
      <c r="AF338" s="539">
        <f t="shared" ca="1" si="161"/>
        <v>5</v>
      </c>
      <c r="AG338" s="531">
        <f t="shared" ca="1" si="162"/>
        <v>1000000</v>
      </c>
      <c r="AH338" s="531">
        <f t="shared" ca="1" si="163"/>
        <v>200000</v>
      </c>
      <c r="AI338" s="531">
        <f t="shared" ca="1" si="164"/>
        <v>800000</v>
      </c>
      <c r="AJ338" s="531">
        <f t="shared" ca="1" si="165"/>
        <v>0</v>
      </c>
      <c r="AK338" s="540">
        <f>SUMIFS('Live Collections'!$S:$S,'Live Collections'!$D:$D,Disbursements!B338,'Live Collections'!$G:$G,Disbursements!C338)</f>
        <v>200000</v>
      </c>
      <c r="AL338" s="540">
        <f>SUMIFS('Live Collections'!$T:$T,'Live Collections'!$D:$D,Disbursements!B338,'Live Collections'!$G:$G,Disbursements!C338)</f>
        <v>800000</v>
      </c>
      <c r="AM338" s="541">
        <f t="shared" si="166"/>
        <v>1000000</v>
      </c>
      <c r="AN338" s="542">
        <f t="shared" si="167"/>
        <v>0</v>
      </c>
      <c r="AO338" s="542">
        <f t="shared" si="168"/>
        <v>0</v>
      </c>
      <c r="AP338" s="543">
        <f t="shared" si="169"/>
        <v>0</v>
      </c>
      <c r="AQ338" s="544" t="str">
        <f t="shared" ca="1" si="170"/>
        <v/>
      </c>
      <c r="AR338" s="545">
        <f t="shared" ca="1" si="171"/>
        <v>0</v>
      </c>
      <c r="AS338" s="545">
        <f ca="1">IFERROR(CEILING($AR338*VLOOKUP($I338,Ref!$B$23:$E$29,4,0),1),0)</f>
        <v>0</v>
      </c>
      <c r="AT338" s="545" t="str">
        <f>IF(A338="","",IF(AP338&lt;=1,"Cleared",IF(AS338=0,"Clean",VLOOKUP($AS338,Ref!$G$23:$H$28,2))))</f>
        <v>Cleared</v>
      </c>
      <c r="AU338" s="546" t="str">
        <f t="shared" si="172"/>
        <v>Ok</v>
      </c>
    </row>
    <row r="339" spans="1:47" ht="14.25" customHeight="1" x14ac:dyDescent="0.15">
      <c r="A339" s="575">
        <v>44518</v>
      </c>
      <c r="B339" s="523">
        <v>266</v>
      </c>
      <c r="C339" s="523">
        <v>336</v>
      </c>
      <c r="D339" s="523">
        <v>1</v>
      </c>
      <c r="E339" s="579" t="s">
        <v>1274</v>
      </c>
      <c r="F339" s="580">
        <v>400000</v>
      </c>
      <c r="G339" s="524">
        <v>4</v>
      </c>
      <c r="H339" s="555">
        <v>0.05</v>
      </c>
      <c r="I339" s="560" t="s">
        <v>859</v>
      </c>
      <c r="J339" s="523" t="s">
        <v>863</v>
      </c>
      <c r="K339" s="528" t="str">
        <f>IFERROR(VLOOKUP($B339,'Clients-Live'!$A:$C,3,0),"")</f>
        <v>TAIBO AMANA</v>
      </c>
      <c r="L339" s="528">
        <f>IF(E339="STL",Pricing!$D$38,IF(A339="",0,IF(A339&lt;Pricing!$C$25,Pricing!$D$25,VLOOKUP(Disbursements!$F339,Pricing!$B$29:$D$32,3))))</f>
        <v>15000</v>
      </c>
      <c r="M339" s="528">
        <f>IF(E339="STL",0,IF(F339&gt;0,Pricing!$D$21,0))</f>
        <v>5000</v>
      </c>
      <c r="N339" s="529">
        <f>IF(E339="STL",F339*Pricing!$D$40,IF(A339&lt;=Pricing!$C$4,0,IF(AND(A339&gt;Pricing!$C$4,Disbursements!A339&lt;=Pricing!$C$5),F339*Pricing!$E$5,IF(AND(A339&gt;Pricing!$C$5,Disbursements!A339&lt;=Pricing!$C$7),VLOOKUP(F339,Pricing!$D$7:$E$8,2)*Disbursements!F339,F339*Pricing!$E$9))))</f>
        <v>4000</v>
      </c>
      <c r="O339" s="528">
        <f>IF(E339="STL",0,IF($F339&gt;0,$F339*Pricing!$D$17,0))</f>
        <v>40000</v>
      </c>
      <c r="P339" s="530">
        <f t="shared" si="152"/>
        <v>80000</v>
      </c>
      <c r="Q339" s="531">
        <f>IF($A339="","",$G339/VLOOKUP($I339,Ref!$B$23:$D$29,2,0))</f>
        <v>4</v>
      </c>
      <c r="R339" s="530">
        <f t="shared" si="153"/>
        <v>480000</v>
      </c>
      <c r="S339" s="532">
        <f t="shared" si="147"/>
        <v>120000</v>
      </c>
      <c r="T339" s="531">
        <f t="shared" si="154"/>
        <v>120000</v>
      </c>
      <c r="U339" s="533">
        <f t="shared" si="155"/>
        <v>480000</v>
      </c>
      <c r="V339" s="531">
        <f t="shared" si="156"/>
        <v>100000</v>
      </c>
      <c r="W339" s="531">
        <f t="shared" si="157"/>
        <v>20000</v>
      </c>
      <c r="X339" s="534">
        <f t="shared" si="158"/>
        <v>80000</v>
      </c>
      <c r="Y339" s="535">
        <f>IF($A339="","",IF($I339="weekly",$A339+7,EDATE($A339,VLOOKUP($I339,Ref!$B$24:$C$29,2,0))))</f>
        <v>44548</v>
      </c>
      <c r="Z339" s="536" t="str">
        <f t="shared" si="159"/>
        <v>Sat</v>
      </c>
      <c r="AA339" s="531">
        <f t="shared" si="160"/>
        <v>30</v>
      </c>
      <c r="AB339" s="535">
        <f t="shared" si="148"/>
        <v>44638</v>
      </c>
      <c r="AC339" s="537">
        <f t="shared" si="149"/>
        <v>120</v>
      </c>
      <c r="AD339" s="538" t="str">
        <f t="shared" ca="1" si="150"/>
        <v>Expired</v>
      </c>
      <c r="AE339" s="537">
        <f t="shared" ca="1" si="151"/>
        <v>0</v>
      </c>
      <c r="AF339" s="539">
        <f t="shared" ca="1" si="161"/>
        <v>4</v>
      </c>
      <c r="AG339" s="531">
        <f t="shared" ca="1" si="162"/>
        <v>480000</v>
      </c>
      <c r="AH339" s="531">
        <f t="shared" ca="1" si="163"/>
        <v>80000</v>
      </c>
      <c r="AI339" s="531">
        <f t="shared" ca="1" si="164"/>
        <v>400000</v>
      </c>
      <c r="AJ339" s="531">
        <f t="shared" ca="1" si="165"/>
        <v>0</v>
      </c>
      <c r="AK339" s="540">
        <f>SUMIFS('Live Collections'!$S:$S,'Live Collections'!$D:$D,Disbursements!B339,'Live Collections'!$G:$G,Disbursements!C339)</f>
        <v>80000</v>
      </c>
      <c r="AL339" s="540">
        <f>SUMIFS('Live Collections'!$T:$T,'Live Collections'!$D:$D,Disbursements!B339,'Live Collections'!$G:$G,Disbursements!C339)</f>
        <v>325000</v>
      </c>
      <c r="AM339" s="541">
        <f t="shared" si="166"/>
        <v>405000</v>
      </c>
      <c r="AN339" s="542">
        <f t="shared" si="167"/>
        <v>0</v>
      </c>
      <c r="AO339" s="542">
        <f t="shared" si="168"/>
        <v>75000</v>
      </c>
      <c r="AP339" s="543">
        <f t="shared" si="169"/>
        <v>75000</v>
      </c>
      <c r="AQ339" s="544">
        <f t="shared" ca="1" si="170"/>
        <v>75000</v>
      </c>
      <c r="AR339" s="545">
        <f t="shared" ca="1" si="171"/>
        <v>0.625</v>
      </c>
      <c r="AS339" s="545">
        <f ca="1">IFERROR(CEILING($AR339*VLOOKUP($I339,Ref!$B$23:$E$29,4,0),1),0)</f>
        <v>19</v>
      </c>
      <c r="AT339" s="545" t="str">
        <f ca="1">IF(A339="","",IF(AP339&lt;=1,"Cleared",IF(AS339=0,"Clean",VLOOKUP($AS339,Ref!$G$23:$H$28,2))))</f>
        <v>1.(0-30) Days</v>
      </c>
      <c r="AU339" s="546" t="str">
        <f t="shared" si="172"/>
        <v>Ok</v>
      </c>
    </row>
    <row r="340" spans="1:47" ht="14.25" customHeight="1" x14ac:dyDescent="0.15">
      <c r="A340" s="575">
        <v>44519</v>
      </c>
      <c r="B340" s="523">
        <v>112</v>
      </c>
      <c r="C340" s="523">
        <v>337</v>
      </c>
      <c r="D340" s="523">
        <v>2</v>
      </c>
      <c r="E340" s="579" t="s">
        <v>1274</v>
      </c>
      <c r="F340" s="580">
        <v>600000</v>
      </c>
      <c r="G340" s="524">
        <v>5</v>
      </c>
      <c r="H340" s="555">
        <v>0.05</v>
      </c>
      <c r="I340" s="560" t="s">
        <v>859</v>
      </c>
      <c r="J340" s="523" t="s">
        <v>862</v>
      </c>
      <c r="K340" s="528" t="str">
        <f>IFERROR(VLOOKUP($B340,'Clients-Live'!$A:$C,3,0),"")</f>
        <v>NURA JOYCE</v>
      </c>
      <c r="L340" s="528">
        <f>IF(E340="STL",Pricing!$D$38,IF(A340="",0,IF(A340&lt;Pricing!$C$25,Pricing!$D$25,VLOOKUP(Disbursements!$F340,Pricing!$B$29:$D$32,3))))</f>
        <v>20000</v>
      </c>
      <c r="M340" s="528">
        <f>IF(E340="STL",0,IF(F340&gt;0,Pricing!$D$21,0))</f>
        <v>5000</v>
      </c>
      <c r="N340" s="529">
        <f>IF(E340="STL",F340*Pricing!$D$40,IF(A340&lt;=Pricing!$C$4,0,IF(AND(A340&gt;Pricing!$C$4,Disbursements!A340&lt;=Pricing!$C$5),F340*Pricing!$E$5,IF(AND(A340&gt;Pricing!$C$5,Disbursements!A340&lt;=Pricing!$C$7),VLOOKUP(F340,Pricing!$D$7:$E$8,2)*Disbursements!F340,F340*Pricing!$E$9))))</f>
        <v>6000</v>
      </c>
      <c r="O340" s="528">
        <f>IF(E340="STL",0,IF($F340&gt;0,$F340*Pricing!$D$17,0))</f>
        <v>60000</v>
      </c>
      <c r="P340" s="530">
        <f t="shared" si="152"/>
        <v>150000</v>
      </c>
      <c r="Q340" s="531">
        <f>IF($A340="","",$G340/VLOOKUP($I340,Ref!$B$23:$D$29,2,0))</f>
        <v>5</v>
      </c>
      <c r="R340" s="530">
        <f t="shared" si="153"/>
        <v>750000</v>
      </c>
      <c r="S340" s="532">
        <f t="shared" si="147"/>
        <v>150000</v>
      </c>
      <c r="T340" s="531">
        <f t="shared" si="154"/>
        <v>150000</v>
      </c>
      <c r="U340" s="533">
        <f t="shared" si="155"/>
        <v>750000</v>
      </c>
      <c r="V340" s="531">
        <f t="shared" si="156"/>
        <v>120000</v>
      </c>
      <c r="W340" s="531">
        <f t="shared" si="157"/>
        <v>30000</v>
      </c>
      <c r="X340" s="534">
        <f t="shared" si="158"/>
        <v>150000</v>
      </c>
      <c r="Y340" s="535">
        <f>IF($A340="","",IF($I340="weekly",$A340+7,EDATE($A340,VLOOKUP($I340,Ref!$B$24:$C$29,2,0))))</f>
        <v>44549</v>
      </c>
      <c r="Z340" s="536" t="str">
        <f t="shared" si="159"/>
        <v>Sun</v>
      </c>
      <c r="AA340" s="531">
        <f t="shared" si="160"/>
        <v>30</v>
      </c>
      <c r="AB340" s="535">
        <f t="shared" si="148"/>
        <v>44670</v>
      </c>
      <c r="AC340" s="537">
        <f t="shared" si="149"/>
        <v>151</v>
      </c>
      <c r="AD340" s="538" t="str">
        <f t="shared" ca="1" si="150"/>
        <v>Expired</v>
      </c>
      <c r="AE340" s="537">
        <f t="shared" ca="1" si="151"/>
        <v>0</v>
      </c>
      <c r="AF340" s="539">
        <f t="shared" ca="1" si="161"/>
        <v>5</v>
      </c>
      <c r="AG340" s="531">
        <f t="shared" ca="1" si="162"/>
        <v>750000</v>
      </c>
      <c r="AH340" s="531">
        <f t="shared" ca="1" si="163"/>
        <v>150000</v>
      </c>
      <c r="AI340" s="531">
        <f t="shared" ca="1" si="164"/>
        <v>600000</v>
      </c>
      <c r="AJ340" s="531">
        <f t="shared" ca="1" si="165"/>
        <v>0</v>
      </c>
      <c r="AK340" s="540">
        <f>SUMIFS('Live Collections'!$S:$S,'Live Collections'!$D:$D,Disbursements!B340,'Live Collections'!$G:$G,Disbursements!C340)</f>
        <v>125333.33333333334</v>
      </c>
      <c r="AL340" s="540">
        <f>SUMIFS('Live Collections'!$T:$T,'Live Collections'!$D:$D,Disbursements!B340,'Live Collections'!$G:$G,Disbursements!C340)</f>
        <v>579666.66666666663</v>
      </c>
      <c r="AM340" s="541">
        <f t="shared" si="166"/>
        <v>705000</v>
      </c>
      <c r="AN340" s="542">
        <f t="shared" si="167"/>
        <v>24666.666666666657</v>
      </c>
      <c r="AO340" s="542">
        <f t="shared" si="168"/>
        <v>20333.333333333372</v>
      </c>
      <c r="AP340" s="543">
        <f t="shared" si="169"/>
        <v>45000.000000000029</v>
      </c>
      <c r="AQ340" s="544">
        <f t="shared" ca="1" si="170"/>
        <v>45000.000000000029</v>
      </c>
      <c r="AR340" s="545">
        <f t="shared" ca="1" si="171"/>
        <v>0.30000000000000021</v>
      </c>
      <c r="AS340" s="545">
        <f ca="1">IFERROR(CEILING($AR340*VLOOKUP($I340,Ref!$B$23:$E$29,4,0),1),0)</f>
        <v>10</v>
      </c>
      <c r="AT340" s="545" t="str">
        <f ca="1">IF(A340="","",IF(AP340&lt;=1,"Cleared",IF(AS340=0,"Clean",VLOOKUP($AS340,Ref!$G$23:$H$28,2))))</f>
        <v>1.(0-30) Days</v>
      </c>
      <c r="AU340" s="546" t="str">
        <f t="shared" si="172"/>
        <v>Ok</v>
      </c>
    </row>
    <row r="341" spans="1:47" ht="14.25" customHeight="1" x14ac:dyDescent="0.15">
      <c r="A341" s="575">
        <v>44519</v>
      </c>
      <c r="B341" s="523">
        <v>284</v>
      </c>
      <c r="C341" s="523">
        <v>338</v>
      </c>
      <c r="D341" s="523">
        <v>1</v>
      </c>
      <c r="E341" s="579" t="s">
        <v>1274</v>
      </c>
      <c r="F341" s="580">
        <v>3000000</v>
      </c>
      <c r="G341" s="524">
        <v>3</v>
      </c>
      <c r="H341" s="555">
        <v>0.05</v>
      </c>
      <c r="I341" s="560" t="s">
        <v>859</v>
      </c>
      <c r="J341" s="523" t="s">
        <v>863</v>
      </c>
      <c r="K341" s="528" t="str">
        <f>IFERROR(VLOOKUP($B341,'Clients-Live'!$A:$C,3,0),"")</f>
        <v>MALISH WAWASON</v>
      </c>
      <c r="L341" s="528">
        <f>IF(E341="STL",Pricing!$D$38,IF(A341="",0,IF(A341&lt;Pricing!$C$25,Pricing!$D$25,VLOOKUP(Disbursements!$F341,Pricing!$B$29:$D$32,3))))</f>
        <v>30000</v>
      </c>
      <c r="M341" s="528">
        <f>IF(E341="STL",0,IF(F341&gt;0,Pricing!$D$21,0))</f>
        <v>5000</v>
      </c>
      <c r="N341" s="529">
        <f>IF(E341="STL",F341*Pricing!$D$40,IF(A341&lt;=Pricing!$C$4,0,IF(AND(A341&gt;Pricing!$C$4,Disbursements!A341&lt;=Pricing!$C$5),F341*Pricing!$E$5,IF(AND(A341&gt;Pricing!$C$5,Disbursements!A341&lt;=Pricing!$C$7),VLOOKUP(F341,Pricing!$D$7:$E$8,2)*Disbursements!F341,F341*Pricing!$E$9))))</f>
        <v>60000</v>
      </c>
      <c r="O341" s="528">
        <f>IF(E341="STL",0,IF($F341&gt;0,$F341*Pricing!$D$17,0))</f>
        <v>300000</v>
      </c>
      <c r="P341" s="530">
        <f t="shared" si="152"/>
        <v>450000</v>
      </c>
      <c r="Q341" s="531">
        <f>IF($A341="","",$G341/VLOOKUP($I341,Ref!$B$23:$D$29,2,0))</f>
        <v>3</v>
      </c>
      <c r="R341" s="530">
        <f t="shared" si="153"/>
        <v>3450000</v>
      </c>
      <c r="S341" s="532">
        <f t="shared" si="147"/>
        <v>1150000</v>
      </c>
      <c r="T341" s="531">
        <f t="shared" si="154"/>
        <v>1150000</v>
      </c>
      <c r="U341" s="533">
        <f t="shared" si="155"/>
        <v>3450000</v>
      </c>
      <c r="V341" s="531">
        <f t="shared" si="156"/>
        <v>1000000</v>
      </c>
      <c r="W341" s="531">
        <f t="shared" si="157"/>
        <v>150000</v>
      </c>
      <c r="X341" s="534">
        <f t="shared" si="158"/>
        <v>450000</v>
      </c>
      <c r="Y341" s="535">
        <f>IF($A341="","",IF($I341="weekly",$A341+7,EDATE($A341,VLOOKUP($I341,Ref!$B$24:$C$29,2,0))))</f>
        <v>44549</v>
      </c>
      <c r="Z341" s="536" t="str">
        <f t="shared" si="159"/>
        <v>Sun</v>
      </c>
      <c r="AA341" s="531">
        <f t="shared" si="160"/>
        <v>30</v>
      </c>
      <c r="AB341" s="535">
        <f t="shared" si="148"/>
        <v>44611</v>
      </c>
      <c r="AC341" s="537">
        <f t="shared" si="149"/>
        <v>92</v>
      </c>
      <c r="AD341" s="538" t="str">
        <f t="shared" ca="1" si="150"/>
        <v>Expired</v>
      </c>
      <c r="AE341" s="537">
        <f t="shared" ca="1" si="151"/>
        <v>0</v>
      </c>
      <c r="AF341" s="539">
        <f t="shared" ca="1" si="161"/>
        <v>3</v>
      </c>
      <c r="AG341" s="531">
        <f t="shared" ca="1" si="162"/>
        <v>3450000</v>
      </c>
      <c r="AH341" s="531">
        <f t="shared" ca="1" si="163"/>
        <v>450000</v>
      </c>
      <c r="AI341" s="531">
        <f t="shared" ca="1" si="164"/>
        <v>3000000</v>
      </c>
      <c r="AJ341" s="531">
        <f t="shared" ca="1" si="165"/>
        <v>0</v>
      </c>
      <c r="AK341" s="540">
        <f>SUMIFS('Live Collections'!$S:$S,'Live Collections'!$D:$D,Disbursements!B341,'Live Collections'!$G:$G,Disbursements!C341)</f>
        <v>450000</v>
      </c>
      <c r="AL341" s="540">
        <f>SUMIFS('Live Collections'!$T:$T,'Live Collections'!$D:$D,Disbursements!B341,'Live Collections'!$G:$G,Disbursements!C341)</f>
        <v>3000000</v>
      </c>
      <c r="AM341" s="541">
        <f t="shared" si="166"/>
        <v>3450000</v>
      </c>
      <c r="AN341" s="542">
        <f t="shared" si="167"/>
        <v>0</v>
      </c>
      <c r="AO341" s="542">
        <f t="shared" si="168"/>
        <v>0</v>
      </c>
      <c r="AP341" s="543">
        <f t="shared" si="169"/>
        <v>0</v>
      </c>
      <c r="AQ341" s="544" t="str">
        <f t="shared" ca="1" si="170"/>
        <v/>
      </c>
      <c r="AR341" s="545">
        <f t="shared" ca="1" si="171"/>
        <v>0</v>
      </c>
      <c r="AS341" s="545">
        <f ca="1">IFERROR(CEILING($AR341*VLOOKUP($I341,Ref!$B$23:$E$29,4,0),1),0)</f>
        <v>0</v>
      </c>
      <c r="AT341" s="545" t="str">
        <f>IF(A341="","",IF(AP341&lt;=1,"Cleared",IF(AS341=0,"Clean",VLOOKUP($AS341,Ref!$G$23:$H$28,2))))</f>
        <v>Cleared</v>
      </c>
      <c r="AU341" s="546" t="str">
        <f t="shared" si="172"/>
        <v>Ok</v>
      </c>
    </row>
    <row r="342" spans="1:47" ht="14.25" customHeight="1" x14ac:dyDescent="0.15">
      <c r="A342" s="575">
        <v>44522</v>
      </c>
      <c r="B342" s="523">
        <v>217</v>
      </c>
      <c r="C342" s="523">
        <v>341</v>
      </c>
      <c r="D342" s="523">
        <v>2</v>
      </c>
      <c r="E342" s="579" t="s">
        <v>1274</v>
      </c>
      <c r="F342" s="580">
        <v>400000</v>
      </c>
      <c r="G342" s="524">
        <v>3</v>
      </c>
      <c r="H342" s="555">
        <v>0.05</v>
      </c>
      <c r="I342" s="560" t="s">
        <v>859</v>
      </c>
      <c r="J342" s="523" t="s">
        <v>864</v>
      </c>
      <c r="K342" s="528" t="str">
        <f>IFERROR(VLOOKUP($B342,'Clients-Live'!$A:$C,3,0),"")</f>
        <v>JAMBA MOSES</v>
      </c>
      <c r="L342" s="528">
        <f>IF(E342="STL",Pricing!$D$38,IF(A342="",0,IF(A342&lt;Pricing!$C$25,Pricing!$D$25,VLOOKUP(Disbursements!$F342,Pricing!$B$29:$D$32,3))))</f>
        <v>15000</v>
      </c>
      <c r="M342" s="528">
        <f>IF(E342="STL",0,IF(F342&gt;0,Pricing!$D$21,0))</f>
        <v>5000</v>
      </c>
      <c r="N342" s="529">
        <f>IF(E342="STL",F342*Pricing!$D$40,IF(A342&lt;=Pricing!$C$4,0,IF(AND(A342&gt;Pricing!$C$4,Disbursements!A342&lt;=Pricing!$C$5),F342*Pricing!$E$5,IF(AND(A342&gt;Pricing!$C$5,Disbursements!A342&lt;=Pricing!$C$7),VLOOKUP(F342,Pricing!$D$7:$E$8,2)*Disbursements!F342,F342*Pricing!$E$9))))</f>
        <v>4000</v>
      </c>
      <c r="O342" s="528">
        <f>IF(E342="STL",0,IF($F342&gt;0,$F342*Pricing!$D$17,0))</f>
        <v>40000</v>
      </c>
      <c r="P342" s="530">
        <f t="shared" si="152"/>
        <v>60000</v>
      </c>
      <c r="Q342" s="531">
        <f>IF($A342="","",$G342/VLOOKUP($I342,Ref!$B$23:$D$29,2,0))</f>
        <v>3</v>
      </c>
      <c r="R342" s="530">
        <f t="shared" si="153"/>
        <v>460000</v>
      </c>
      <c r="S342" s="532">
        <f t="shared" si="147"/>
        <v>153333.33333333334</v>
      </c>
      <c r="T342" s="531">
        <f t="shared" si="154"/>
        <v>154000</v>
      </c>
      <c r="U342" s="533">
        <f t="shared" si="155"/>
        <v>462000</v>
      </c>
      <c r="V342" s="531">
        <f t="shared" si="156"/>
        <v>133333.33333333334</v>
      </c>
      <c r="W342" s="531">
        <f t="shared" si="157"/>
        <v>20666.666666666657</v>
      </c>
      <c r="X342" s="534">
        <f t="shared" si="158"/>
        <v>61999.999999999971</v>
      </c>
      <c r="Y342" s="535">
        <f>IF($A342="","",IF($I342="weekly",$A342+7,EDATE($A342,VLOOKUP($I342,Ref!$B$24:$C$29,2,0))))</f>
        <v>44552</v>
      </c>
      <c r="Z342" s="536" t="str">
        <f t="shared" si="159"/>
        <v>Wed</v>
      </c>
      <c r="AA342" s="531">
        <f t="shared" si="160"/>
        <v>30</v>
      </c>
      <c r="AB342" s="535">
        <f t="shared" si="148"/>
        <v>44614</v>
      </c>
      <c r="AC342" s="537">
        <f t="shared" si="149"/>
        <v>92</v>
      </c>
      <c r="AD342" s="538" t="str">
        <f t="shared" ca="1" si="150"/>
        <v>Expired</v>
      </c>
      <c r="AE342" s="537">
        <f t="shared" ca="1" si="151"/>
        <v>0</v>
      </c>
      <c r="AF342" s="539">
        <f t="shared" ca="1" si="161"/>
        <v>3</v>
      </c>
      <c r="AG342" s="531">
        <f t="shared" ca="1" si="162"/>
        <v>462000</v>
      </c>
      <c r="AH342" s="531">
        <f t="shared" ca="1" si="163"/>
        <v>61999.999999999971</v>
      </c>
      <c r="AI342" s="531">
        <f t="shared" ca="1" si="164"/>
        <v>400000</v>
      </c>
      <c r="AJ342" s="531">
        <f t="shared" ca="1" si="165"/>
        <v>0</v>
      </c>
      <c r="AK342" s="540">
        <f>SUMIFS('Live Collections'!$S:$S,'Live Collections'!$D:$D,Disbursements!B342,'Live Collections'!$G:$G,Disbursements!C342)</f>
        <v>61999.999999999971</v>
      </c>
      <c r="AL342" s="540">
        <f>SUMIFS('Live Collections'!$T:$T,'Live Collections'!$D:$D,Disbursements!B342,'Live Collections'!$G:$G,Disbursements!C342)</f>
        <v>398200</v>
      </c>
      <c r="AM342" s="541">
        <f t="shared" si="166"/>
        <v>460200</v>
      </c>
      <c r="AN342" s="542">
        <f t="shared" si="167"/>
        <v>0</v>
      </c>
      <c r="AO342" s="542">
        <f t="shared" si="168"/>
        <v>1800</v>
      </c>
      <c r="AP342" s="543">
        <f t="shared" si="169"/>
        <v>1800</v>
      </c>
      <c r="AQ342" s="544">
        <f t="shared" ca="1" si="170"/>
        <v>1800</v>
      </c>
      <c r="AR342" s="545">
        <f t="shared" ca="1" si="171"/>
        <v>1.1688311688311689E-2</v>
      </c>
      <c r="AS342" s="545">
        <f ca="1">IFERROR(CEILING($AR342*VLOOKUP($I342,Ref!$B$23:$E$29,4,0),1),0)</f>
        <v>1</v>
      </c>
      <c r="AT342" s="545" t="str">
        <f ca="1">IF(A342="","",IF(AP342&lt;=1,"Cleared",IF(AS342=0,"Clean",VLOOKUP($AS342,Ref!$G$23:$H$28,2))))</f>
        <v>1.(0-30) Days</v>
      </c>
      <c r="AU342" s="546" t="str">
        <f t="shared" si="172"/>
        <v>Ok</v>
      </c>
    </row>
    <row r="343" spans="1:47" ht="14.25" customHeight="1" x14ac:dyDescent="0.15">
      <c r="A343" s="575">
        <v>44522</v>
      </c>
      <c r="B343" s="523">
        <v>191</v>
      </c>
      <c r="C343" s="523">
        <v>340</v>
      </c>
      <c r="D343" s="523">
        <v>2</v>
      </c>
      <c r="E343" s="579" t="s">
        <v>1274</v>
      </c>
      <c r="F343" s="580">
        <v>400000</v>
      </c>
      <c r="G343" s="524">
        <v>3</v>
      </c>
      <c r="H343" s="555">
        <v>0.05</v>
      </c>
      <c r="I343" s="560" t="s">
        <v>859</v>
      </c>
      <c r="J343" s="523" t="s">
        <v>864</v>
      </c>
      <c r="K343" s="528" t="str">
        <f>IFERROR(VLOOKUP($B343,'Clients-Live'!$A:$C,3,0),"")</f>
        <v>AYOZU JESCA TAIBO</v>
      </c>
      <c r="L343" s="528">
        <f>IF(E343="STL",Pricing!$D$38,IF(A343="",0,IF(A343&lt;Pricing!$C$25,Pricing!$D$25,VLOOKUP(Disbursements!$F343,Pricing!$B$29:$D$32,3))))</f>
        <v>15000</v>
      </c>
      <c r="M343" s="528">
        <f>IF(E343="STL",0,IF(F343&gt;0,Pricing!$D$21,0))</f>
        <v>5000</v>
      </c>
      <c r="N343" s="529">
        <f>IF(E343="STL",F343*Pricing!$D$40,IF(A343&lt;=Pricing!$C$4,0,IF(AND(A343&gt;Pricing!$C$4,Disbursements!A343&lt;=Pricing!$C$5),F343*Pricing!$E$5,IF(AND(A343&gt;Pricing!$C$5,Disbursements!A343&lt;=Pricing!$C$7),VLOOKUP(F343,Pricing!$D$7:$E$8,2)*Disbursements!F343,F343*Pricing!$E$9))))</f>
        <v>4000</v>
      </c>
      <c r="O343" s="528">
        <f>IF(E343="STL",0,IF($F343&gt;0,$F343*Pricing!$D$17,0))</f>
        <v>40000</v>
      </c>
      <c r="P343" s="530">
        <f t="shared" si="152"/>
        <v>60000</v>
      </c>
      <c r="Q343" s="531">
        <f>IF($A343="","",$G343/VLOOKUP($I343,Ref!$B$23:$D$29,2,0))</f>
        <v>3</v>
      </c>
      <c r="R343" s="530">
        <f t="shared" si="153"/>
        <v>460000</v>
      </c>
      <c r="S343" s="532">
        <f t="shared" si="147"/>
        <v>153333.33333333334</v>
      </c>
      <c r="T343" s="531">
        <f t="shared" si="154"/>
        <v>154000</v>
      </c>
      <c r="U343" s="533">
        <f t="shared" si="155"/>
        <v>462000</v>
      </c>
      <c r="V343" s="531">
        <f t="shared" si="156"/>
        <v>133333.33333333334</v>
      </c>
      <c r="W343" s="531">
        <f t="shared" si="157"/>
        <v>20666.666666666657</v>
      </c>
      <c r="X343" s="534">
        <f t="shared" si="158"/>
        <v>61999.999999999971</v>
      </c>
      <c r="Y343" s="535">
        <f>IF($A343="","",IF($I343="weekly",$A343+7,EDATE($A343,VLOOKUP($I343,Ref!$B$24:$C$29,2,0))))</f>
        <v>44552</v>
      </c>
      <c r="Z343" s="536" t="str">
        <f t="shared" si="159"/>
        <v>Wed</v>
      </c>
      <c r="AA343" s="531">
        <f t="shared" si="160"/>
        <v>30</v>
      </c>
      <c r="AB343" s="535">
        <f t="shared" si="148"/>
        <v>44614</v>
      </c>
      <c r="AC343" s="537">
        <f t="shared" si="149"/>
        <v>92</v>
      </c>
      <c r="AD343" s="538" t="str">
        <f t="shared" ca="1" si="150"/>
        <v>Expired</v>
      </c>
      <c r="AE343" s="537">
        <f t="shared" ca="1" si="151"/>
        <v>0</v>
      </c>
      <c r="AF343" s="539">
        <f t="shared" ca="1" si="161"/>
        <v>3</v>
      </c>
      <c r="AG343" s="531">
        <f t="shared" ca="1" si="162"/>
        <v>462000</v>
      </c>
      <c r="AH343" s="531">
        <f t="shared" ca="1" si="163"/>
        <v>61999.999999999971</v>
      </c>
      <c r="AI343" s="531">
        <f t="shared" ca="1" si="164"/>
        <v>400000</v>
      </c>
      <c r="AJ343" s="531">
        <f t="shared" ca="1" si="165"/>
        <v>0</v>
      </c>
      <c r="AK343" s="540">
        <f>SUMIFS('Live Collections'!$S:$S,'Live Collections'!$D:$D,Disbursements!B343,'Live Collections'!$G:$G,Disbursements!C343)</f>
        <v>34666.666666666657</v>
      </c>
      <c r="AL343" s="540">
        <f>SUMIFS('Live Collections'!$T:$T,'Live Collections'!$D:$D,Disbursements!B343,'Live Collections'!$G:$G,Disbursements!C343)</f>
        <v>385333.33333333337</v>
      </c>
      <c r="AM343" s="541">
        <f t="shared" si="166"/>
        <v>420000</v>
      </c>
      <c r="AN343" s="542">
        <f t="shared" si="167"/>
        <v>27333.333333333314</v>
      </c>
      <c r="AO343" s="542">
        <f t="shared" si="168"/>
        <v>14666.666666666628</v>
      </c>
      <c r="AP343" s="543">
        <f t="shared" si="169"/>
        <v>41999.999999999942</v>
      </c>
      <c r="AQ343" s="544">
        <f t="shared" ca="1" si="170"/>
        <v>41999.999999999942</v>
      </c>
      <c r="AR343" s="545">
        <f t="shared" ca="1" si="171"/>
        <v>0.27272727272727237</v>
      </c>
      <c r="AS343" s="545">
        <f ca="1">IFERROR(CEILING($AR343*VLOOKUP($I343,Ref!$B$23:$E$29,4,0),1),0)</f>
        <v>9</v>
      </c>
      <c r="AT343" s="545" t="str">
        <f ca="1">IF(A343="","",IF(AP343&lt;=1,"Cleared",IF(AS343=0,"Clean",VLOOKUP($AS343,Ref!$G$23:$H$28,2))))</f>
        <v>1.(0-30) Days</v>
      </c>
      <c r="AU343" s="546" t="str">
        <f t="shared" si="172"/>
        <v>Ok</v>
      </c>
    </row>
    <row r="344" spans="1:47" ht="14.25" customHeight="1" x14ac:dyDescent="0.15">
      <c r="A344" s="575">
        <v>44522</v>
      </c>
      <c r="B344" s="523">
        <v>286</v>
      </c>
      <c r="C344" s="523">
        <v>339</v>
      </c>
      <c r="D344" s="523">
        <v>1</v>
      </c>
      <c r="E344" s="579" t="s">
        <v>1274</v>
      </c>
      <c r="F344" s="580">
        <v>2000000</v>
      </c>
      <c r="G344" s="524">
        <v>3</v>
      </c>
      <c r="H344" s="555">
        <v>0.05</v>
      </c>
      <c r="I344" s="560" t="s">
        <v>859</v>
      </c>
      <c r="J344" s="523" t="s">
        <v>864</v>
      </c>
      <c r="K344" s="528" t="str">
        <f>IFERROR(VLOOKUP($B344,'Clients-Live'!$A:$C,3,0),"")</f>
        <v>DIRIA IRENE</v>
      </c>
      <c r="L344" s="528">
        <f>IF(E344="STL",Pricing!$D$38,IF(A344="",0,IF(A344&lt;Pricing!$C$25,Pricing!$D$25,VLOOKUP(Disbursements!$F344,Pricing!$B$29:$D$32,3))))</f>
        <v>25000</v>
      </c>
      <c r="M344" s="528">
        <f>IF(E344="STL",0,IF(F344&gt;0,Pricing!$D$21,0))</f>
        <v>5000</v>
      </c>
      <c r="N344" s="529">
        <f>IF(E344="STL",F344*Pricing!$D$40,IF(A344&lt;=Pricing!$C$4,0,IF(AND(A344&gt;Pricing!$C$4,Disbursements!A344&lt;=Pricing!$C$5),F344*Pricing!$E$5,IF(AND(A344&gt;Pricing!$C$5,Disbursements!A344&lt;=Pricing!$C$7),VLOOKUP(F344,Pricing!$D$7:$E$8,2)*Disbursements!F344,F344*Pricing!$E$9))))</f>
        <v>40000</v>
      </c>
      <c r="O344" s="528">
        <f>IF(E344="STL",0,IF($F344&gt;0,$F344*Pricing!$D$17,0))</f>
        <v>200000</v>
      </c>
      <c r="P344" s="530">
        <f t="shared" si="152"/>
        <v>300000</v>
      </c>
      <c r="Q344" s="531">
        <f>IF($A344="","",$G344/VLOOKUP($I344,Ref!$B$23:$D$29,2,0))</f>
        <v>3</v>
      </c>
      <c r="R344" s="530">
        <f t="shared" si="153"/>
        <v>2300000</v>
      </c>
      <c r="S344" s="532">
        <f t="shared" si="147"/>
        <v>766666.66666666663</v>
      </c>
      <c r="T344" s="531">
        <f t="shared" si="154"/>
        <v>767000</v>
      </c>
      <c r="U344" s="533">
        <f t="shared" si="155"/>
        <v>2301000</v>
      </c>
      <c r="V344" s="531">
        <f t="shared" si="156"/>
        <v>666666.66666666663</v>
      </c>
      <c r="W344" s="531">
        <f t="shared" si="157"/>
        <v>100333.33333333337</v>
      </c>
      <c r="X344" s="534">
        <f t="shared" si="158"/>
        <v>301000.00000000012</v>
      </c>
      <c r="Y344" s="535">
        <f>IF($A344="","",IF($I344="weekly",$A344+7,EDATE($A344,VLOOKUP($I344,Ref!$B$24:$C$29,2,0))))</f>
        <v>44552</v>
      </c>
      <c r="Z344" s="536" t="str">
        <f t="shared" si="159"/>
        <v>Wed</v>
      </c>
      <c r="AA344" s="531">
        <f t="shared" si="160"/>
        <v>30</v>
      </c>
      <c r="AB344" s="535">
        <f t="shared" si="148"/>
        <v>44614</v>
      </c>
      <c r="AC344" s="537">
        <f t="shared" si="149"/>
        <v>92</v>
      </c>
      <c r="AD344" s="538" t="str">
        <f t="shared" ca="1" si="150"/>
        <v>Expired</v>
      </c>
      <c r="AE344" s="537">
        <f t="shared" ca="1" si="151"/>
        <v>0</v>
      </c>
      <c r="AF344" s="539">
        <f t="shared" ca="1" si="161"/>
        <v>3</v>
      </c>
      <c r="AG344" s="531">
        <f t="shared" ca="1" si="162"/>
        <v>2301000</v>
      </c>
      <c r="AH344" s="531">
        <f t="shared" ca="1" si="163"/>
        <v>301000.00000000012</v>
      </c>
      <c r="AI344" s="531">
        <f t="shared" ca="1" si="164"/>
        <v>2000000</v>
      </c>
      <c r="AJ344" s="531">
        <f t="shared" ca="1" si="165"/>
        <v>0</v>
      </c>
      <c r="AK344" s="540">
        <f>SUMIFS('Live Collections'!$S:$S,'Live Collections'!$D:$D,Disbursements!B344,'Live Collections'!$G:$G,Disbursements!C344)</f>
        <v>9000</v>
      </c>
      <c r="AL344" s="540">
        <f>SUMIFS('Live Collections'!$T:$T,'Live Collections'!$D:$D,Disbursements!B344,'Live Collections'!$G:$G,Disbursements!C344)</f>
        <v>671000</v>
      </c>
      <c r="AM344" s="541">
        <f t="shared" si="166"/>
        <v>680000</v>
      </c>
      <c r="AN344" s="542">
        <f t="shared" si="167"/>
        <v>292000.00000000012</v>
      </c>
      <c r="AO344" s="542">
        <f t="shared" si="168"/>
        <v>1329000</v>
      </c>
      <c r="AP344" s="543">
        <f t="shared" si="169"/>
        <v>1621000</v>
      </c>
      <c r="AQ344" s="544">
        <f t="shared" ca="1" si="170"/>
        <v>1621000</v>
      </c>
      <c r="AR344" s="545">
        <f t="shared" ca="1" si="171"/>
        <v>2.1134289439374183</v>
      </c>
      <c r="AS344" s="545">
        <f ca="1">IFERROR(CEILING($AR344*VLOOKUP($I344,Ref!$B$23:$E$29,4,0),1),0)</f>
        <v>64</v>
      </c>
      <c r="AT344" s="545" t="str">
        <f ca="1">IF(A344="","",IF(AP344&lt;=1,"Cleared",IF(AS344=0,"Clean",VLOOKUP($AS344,Ref!$G$23:$H$28,2))))</f>
        <v>3.(61-90) Days</v>
      </c>
      <c r="AU344" s="546" t="str">
        <f t="shared" si="172"/>
        <v>Ok</v>
      </c>
    </row>
    <row r="345" spans="1:47" ht="14.25" customHeight="1" x14ac:dyDescent="0.15">
      <c r="A345" s="575">
        <v>44523</v>
      </c>
      <c r="B345" s="523">
        <v>200</v>
      </c>
      <c r="C345" s="523">
        <v>342</v>
      </c>
      <c r="D345" s="523">
        <v>2</v>
      </c>
      <c r="E345" s="579" t="s">
        <v>1274</v>
      </c>
      <c r="F345" s="580">
        <v>500000</v>
      </c>
      <c r="G345" s="524">
        <v>5</v>
      </c>
      <c r="H345" s="555">
        <v>0.05</v>
      </c>
      <c r="I345" s="560" t="s">
        <v>859</v>
      </c>
      <c r="J345" s="523" t="s">
        <v>862</v>
      </c>
      <c r="K345" s="528" t="str">
        <f>IFERROR(VLOOKUP($B345,'Clients-Live'!$A:$C,3,0),"")</f>
        <v>SERIYA FLORENCE</v>
      </c>
      <c r="L345" s="528">
        <f>IF(E345="STL",Pricing!$D$38,IF(A345="",0,IF(A345&lt;Pricing!$C$25,Pricing!$D$25,VLOOKUP(Disbursements!$F345,Pricing!$B$29:$D$32,3))))</f>
        <v>15000</v>
      </c>
      <c r="M345" s="528">
        <f>IF(E345="STL",0,IF(F345&gt;0,Pricing!$D$21,0))</f>
        <v>5000</v>
      </c>
      <c r="N345" s="529">
        <f>IF(E345="STL",F345*Pricing!$D$40,IF(A345&lt;=Pricing!$C$4,0,IF(AND(A345&gt;Pricing!$C$4,Disbursements!A345&lt;=Pricing!$C$5),F345*Pricing!$E$5,IF(AND(A345&gt;Pricing!$C$5,Disbursements!A345&lt;=Pricing!$C$7),VLOOKUP(F345,Pricing!$D$7:$E$8,2)*Disbursements!F345,F345*Pricing!$E$9))))</f>
        <v>5000</v>
      </c>
      <c r="O345" s="528">
        <f>IF(E345="STL",0,IF($F345&gt;0,$F345*Pricing!$D$17,0))</f>
        <v>50000</v>
      </c>
      <c r="P345" s="530">
        <f t="shared" si="152"/>
        <v>125000</v>
      </c>
      <c r="Q345" s="531">
        <f>IF($A345="","",$G345/VLOOKUP($I345,Ref!$B$23:$D$29,2,0))</f>
        <v>5</v>
      </c>
      <c r="R345" s="530">
        <f t="shared" si="153"/>
        <v>625000</v>
      </c>
      <c r="S345" s="532">
        <f t="shared" si="147"/>
        <v>125000</v>
      </c>
      <c r="T345" s="531">
        <f t="shared" si="154"/>
        <v>125000</v>
      </c>
      <c r="U345" s="533">
        <f t="shared" si="155"/>
        <v>625000</v>
      </c>
      <c r="V345" s="531">
        <f t="shared" si="156"/>
        <v>100000</v>
      </c>
      <c r="W345" s="531">
        <f t="shared" si="157"/>
        <v>25000</v>
      </c>
      <c r="X345" s="534">
        <f t="shared" si="158"/>
        <v>125000</v>
      </c>
      <c r="Y345" s="535">
        <f>IF($A345="","",IF($I345="weekly",$A345+7,EDATE($A345,VLOOKUP($I345,Ref!$B$24:$C$29,2,0))))</f>
        <v>44553</v>
      </c>
      <c r="Z345" s="536" t="str">
        <f t="shared" si="159"/>
        <v>Thu</v>
      </c>
      <c r="AA345" s="531">
        <f t="shared" si="160"/>
        <v>30</v>
      </c>
      <c r="AB345" s="535">
        <f t="shared" si="148"/>
        <v>44674</v>
      </c>
      <c r="AC345" s="537">
        <f t="shared" si="149"/>
        <v>151</v>
      </c>
      <c r="AD345" s="538" t="str">
        <f t="shared" ca="1" si="150"/>
        <v>Expired</v>
      </c>
      <c r="AE345" s="537">
        <f t="shared" ca="1" si="151"/>
        <v>0</v>
      </c>
      <c r="AF345" s="539">
        <f t="shared" ca="1" si="161"/>
        <v>5</v>
      </c>
      <c r="AG345" s="531">
        <f t="shared" ca="1" si="162"/>
        <v>625000</v>
      </c>
      <c r="AH345" s="531">
        <f t="shared" ca="1" si="163"/>
        <v>125000</v>
      </c>
      <c r="AI345" s="531">
        <f t="shared" ca="1" si="164"/>
        <v>500000</v>
      </c>
      <c r="AJ345" s="531">
        <f t="shared" ca="1" si="165"/>
        <v>0</v>
      </c>
      <c r="AK345" s="540">
        <f>SUMIFS('Live Collections'!$S:$S,'Live Collections'!$D:$D,Disbursements!B345,'Live Collections'!$G:$G,Disbursements!C345)</f>
        <v>125000</v>
      </c>
      <c r="AL345" s="540">
        <f>SUMIFS('Live Collections'!$T:$T,'Live Collections'!$D:$D,Disbursements!B345,'Live Collections'!$G:$G,Disbursements!C345)</f>
        <v>500000</v>
      </c>
      <c r="AM345" s="541">
        <f t="shared" si="166"/>
        <v>625000</v>
      </c>
      <c r="AN345" s="542">
        <f t="shared" si="167"/>
        <v>0</v>
      </c>
      <c r="AO345" s="542">
        <f t="shared" si="168"/>
        <v>0</v>
      </c>
      <c r="AP345" s="543">
        <f t="shared" si="169"/>
        <v>0</v>
      </c>
      <c r="AQ345" s="544" t="str">
        <f t="shared" ca="1" si="170"/>
        <v/>
      </c>
      <c r="AR345" s="545">
        <f t="shared" ca="1" si="171"/>
        <v>0</v>
      </c>
      <c r="AS345" s="545">
        <f ca="1">IFERROR(CEILING($AR345*VLOOKUP($I345,Ref!$B$23:$E$29,4,0),1),0)</f>
        <v>0</v>
      </c>
      <c r="AT345" s="545" t="str">
        <f>IF(A345="","",IF(AP345&lt;=1,"Cleared",IF(AS345=0,"Clean",VLOOKUP($AS345,Ref!$G$23:$H$28,2))))</f>
        <v>Cleared</v>
      </c>
      <c r="AU345" s="546" t="str">
        <f t="shared" si="172"/>
        <v>Ok</v>
      </c>
    </row>
    <row r="346" spans="1:47" ht="14.25" customHeight="1" x14ac:dyDescent="0.15">
      <c r="A346" s="575">
        <v>44524</v>
      </c>
      <c r="B346" s="523">
        <v>228</v>
      </c>
      <c r="C346" s="523">
        <v>344</v>
      </c>
      <c r="D346" s="523">
        <v>3</v>
      </c>
      <c r="E346" s="579" t="s">
        <v>1274</v>
      </c>
      <c r="F346" s="580">
        <v>1000000</v>
      </c>
      <c r="G346" s="524">
        <v>1</v>
      </c>
      <c r="H346" s="555">
        <v>0.05</v>
      </c>
      <c r="I346" s="560" t="s">
        <v>859</v>
      </c>
      <c r="J346" s="523" t="s">
        <v>863</v>
      </c>
      <c r="K346" s="528" t="str">
        <f>IFERROR(VLOOKUP($B346,'Clients-Live'!$A:$C,3,0),"")</f>
        <v>DADA ISAAC</v>
      </c>
      <c r="L346" s="528">
        <f>IF(E346="STL",Pricing!$D$38,IF(A346="",0,IF(A346&lt;Pricing!$C$25,Pricing!$D$25,VLOOKUP(Disbursements!$F346,Pricing!$B$29:$D$32,3))))</f>
        <v>20000</v>
      </c>
      <c r="M346" s="528">
        <f>IF(E346="STL",0,IF(F346&gt;0,Pricing!$D$21,0))</f>
        <v>5000</v>
      </c>
      <c r="N346" s="529">
        <f>IF(E346="STL",F346*Pricing!$D$40,IF(A346&lt;=Pricing!$C$4,0,IF(AND(A346&gt;Pricing!$C$4,Disbursements!A346&lt;=Pricing!$C$5),F346*Pricing!$E$5,IF(AND(A346&gt;Pricing!$C$5,Disbursements!A346&lt;=Pricing!$C$7),VLOOKUP(F346,Pricing!$D$7:$E$8,2)*Disbursements!F346,F346*Pricing!$E$9))))</f>
        <v>10000</v>
      </c>
      <c r="O346" s="528">
        <f>IF(E346="STL",0,IF($F346&gt;0,$F346*Pricing!$D$17,0))</f>
        <v>100000</v>
      </c>
      <c r="P346" s="530">
        <f t="shared" si="152"/>
        <v>50000</v>
      </c>
      <c r="Q346" s="531">
        <f>IF($A346="","",$G346/VLOOKUP($I346,Ref!$B$23:$D$29,2,0))</f>
        <v>1</v>
      </c>
      <c r="R346" s="530">
        <f t="shared" si="153"/>
        <v>1050000</v>
      </c>
      <c r="S346" s="532">
        <f t="shared" si="147"/>
        <v>1050000</v>
      </c>
      <c r="T346" s="531">
        <f t="shared" si="154"/>
        <v>1050000</v>
      </c>
      <c r="U346" s="533">
        <f t="shared" si="155"/>
        <v>1050000</v>
      </c>
      <c r="V346" s="531">
        <f t="shared" si="156"/>
        <v>1000000</v>
      </c>
      <c r="W346" s="531">
        <f t="shared" si="157"/>
        <v>50000</v>
      </c>
      <c r="X346" s="534">
        <f t="shared" si="158"/>
        <v>50000</v>
      </c>
      <c r="Y346" s="535">
        <f>IF($A346="","",IF($I346="weekly",$A346+7,EDATE($A346,VLOOKUP($I346,Ref!$B$24:$C$29,2,0))))</f>
        <v>44554</v>
      </c>
      <c r="Z346" s="536" t="str">
        <f t="shared" si="159"/>
        <v>Frid</v>
      </c>
      <c r="AA346" s="531">
        <f t="shared" si="160"/>
        <v>30</v>
      </c>
      <c r="AB346" s="535">
        <f t="shared" si="148"/>
        <v>44554</v>
      </c>
      <c r="AC346" s="537">
        <f t="shared" si="149"/>
        <v>30</v>
      </c>
      <c r="AD346" s="538" t="str">
        <f t="shared" ca="1" si="150"/>
        <v>Expired</v>
      </c>
      <c r="AE346" s="537">
        <f t="shared" ca="1" si="151"/>
        <v>0</v>
      </c>
      <c r="AF346" s="539">
        <f t="shared" ca="1" si="161"/>
        <v>1</v>
      </c>
      <c r="AG346" s="531">
        <f t="shared" ca="1" si="162"/>
        <v>1050000</v>
      </c>
      <c r="AH346" s="531">
        <f t="shared" ca="1" si="163"/>
        <v>50000</v>
      </c>
      <c r="AI346" s="531">
        <f t="shared" ca="1" si="164"/>
        <v>1000000</v>
      </c>
      <c r="AJ346" s="531">
        <f t="shared" ca="1" si="165"/>
        <v>0</v>
      </c>
      <c r="AK346" s="540">
        <f>SUMIFS('Live Collections'!$S:$S,'Live Collections'!$D:$D,Disbursements!B346,'Live Collections'!$G:$G,Disbursements!C346)</f>
        <v>50000</v>
      </c>
      <c r="AL346" s="540">
        <f>SUMIFS('Live Collections'!$T:$T,'Live Collections'!$D:$D,Disbursements!B346,'Live Collections'!$G:$G,Disbursements!C346)</f>
        <v>1000000</v>
      </c>
      <c r="AM346" s="541">
        <f t="shared" si="166"/>
        <v>1050000</v>
      </c>
      <c r="AN346" s="542">
        <f t="shared" si="167"/>
        <v>0</v>
      </c>
      <c r="AO346" s="542">
        <f t="shared" si="168"/>
        <v>0</v>
      </c>
      <c r="AP346" s="543">
        <f t="shared" si="169"/>
        <v>0</v>
      </c>
      <c r="AQ346" s="544" t="str">
        <f t="shared" ca="1" si="170"/>
        <v/>
      </c>
      <c r="AR346" s="545">
        <f t="shared" ca="1" si="171"/>
        <v>0</v>
      </c>
      <c r="AS346" s="545">
        <f ca="1">IFERROR(CEILING($AR346*VLOOKUP($I346,Ref!$B$23:$E$29,4,0),1),0)</f>
        <v>0</v>
      </c>
      <c r="AT346" s="545" t="str">
        <f>IF(A346="","",IF(AP346&lt;=1,"Cleared",IF(AS346=0,"Clean",VLOOKUP($AS346,Ref!$G$23:$H$28,2))))</f>
        <v>Cleared</v>
      </c>
      <c r="AU346" s="546" t="str">
        <f t="shared" si="172"/>
        <v>Ok</v>
      </c>
    </row>
    <row r="347" spans="1:47" ht="14.25" customHeight="1" x14ac:dyDescent="0.15">
      <c r="A347" s="575">
        <v>44524</v>
      </c>
      <c r="B347" s="523">
        <v>157</v>
      </c>
      <c r="C347" s="523">
        <v>345</v>
      </c>
      <c r="D347" s="523">
        <v>2</v>
      </c>
      <c r="E347" s="579" t="s">
        <v>1274</v>
      </c>
      <c r="F347" s="580">
        <v>700000</v>
      </c>
      <c r="G347" s="524">
        <v>5</v>
      </c>
      <c r="H347" s="555">
        <v>0.05</v>
      </c>
      <c r="I347" s="560" t="s">
        <v>859</v>
      </c>
      <c r="J347" s="523" t="s">
        <v>864</v>
      </c>
      <c r="K347" s="528" t="str">
        <f>IFERROR(VLOOKUP($B347,'Clients-Live'!$A:$C,3,0),"")</f>
        <v>AYITE MARGERT</v>
      </c>
      <c r="L347" s="528">
        <f>IF(E347="STL",Pricing!$D$38,IF(A347="",0,IF(A347&lt;Pricing!$C$25,Pricing!$D$25,VLOOKUP(Disbursements!$F347,Pricing!$B$29:$D$32,3))))</f>
        <v>20000</v>
      </c>
      <c r="M347" s="528">
        <f>IF(E347="STL",0,IF(F347&gt;0,Pricing!$D$21,0))</f>
        <v>5000</v>
      </c>
      <c r="N347" s="529">
        <f>IF(E347="STL",F347*Pricing!$D$40,IF(A347&lt;=Pricing!$C$4,0,IF(AND(A347&gt;Pricing!$C$4,Disbursements!A347&lt;=Pricing!$C$5),F347*Pricing!$E$5,IF(AND(A347&gt;Pricing!$C$5,Disbursements!A347&lt;=Pricing!$C$7),VLOOKUP(F347,Pricing!$D$7:$E$8,2)*Disbursements!F347,F347*Pricing!$E$9))))</f>
        <v>7000</v>
      </c>
      <c r="O347" s="528">
        <f>IF(E347="STL",0,IF($F347&gt;0,$F347*Pricing!$D$17,0))</f>
        <v>70000</v>
      </c>
      <c r="P347" s="530">
        <f t="shared" si="152"/>
        <v>175000</v>
      </c>
      <c r="Q347" s="531">
        <f>IF($A347="","",$G347/VLOOKUP($I347,Ref!$B$23:$D$29,2,0))</f>
        <v>5</v>
      </c>
      <c r="R347" s="530">
        <f t="shared" si="153"/>
        <v>875000</v>
      </c>
      <c r="S347" s="532">
        <f t="shared" si="147"/>
        <v>175000</v>
      </c>
      <c r="T347" s="531">
        <f t="shared" si="154"/>
        <v>175000</v>
      </c>
      <c r="U347" s="533">
        <f t="shared" si="155"/>
        <v>875000</v>
      </c>
      <c r="V347" s="531">
        <f t="shared" si="156"/>
        <v>140000</v>
      </c>
      <c r="W347" s="531">
        <f t="shared" si="157"/>
        <v>35000</v>
      </c>
      <c r="X347" s="534">
        <f t="shared" si="158"/>
        <v>175000</v>
      </c>
      <c r="Y347" s="535">
        <f>IF($A347="","",IF($I347="weekly",$A347+7,EDATE($A347,VLOOKUP($I347,Ref!$B$24:$C$29,2,0))))</f>
        <v>44554</v>
      </c>
      <c r="Z347" s="536" t="str">
        <f t="shared" si="159"/>
        <v>Frid</v>
      </c>
      <c r="AA347" s="531">
        <f t="shared" si="160"/>
        <v>30</v>
      </c>
      <c r="AB347" s="535">
        <f t="shared" si="148"/>
        <v>44675</v>
      </c>
      <c r="AC347" s="537">
        <f t="shared" si="149"/>
        <v>151</v>
      </c>
      <c r="AD347" s="538" t="str">
        <f t="shared" ca="1" si="150"/>
        <v>Expired</v>
      </c>
      <c r="AE347" s="537">
        <f t="shared" ca="1" si="151"/>
        <v>0</v>
      </c>
      <c r="AF347" s="539">
        <f t="shared" ca="1" si="161"/>
        <v>5</v>
      </c>
      <c r="AG347" s="531">
        <f t="shared" ca="1" si="162"/>
        <v>875000</v>
      </c>
      <c r="AH347" s="531">
        <f t="shared" ca="1" si="163"/>
        <v>175000</v>
      </c>
      <c r="AI347" s="531">
        <f t="shared" ca="1" si="164"/>
        <v>700000</v>
      </c>
      <c r="AJ347" s="531">
        <f t="shared" ca="1" si="165"/>
        <v>0</v>
      </c>
      <c r="AK347" s="540">
        <f>SUMIFS('Live Collections'!$S:$S,'Live Collections'!$D:$D,Disbursements!B347,'Live Collections'!$G:$G,Disbursements!C347)</f>
        <v>175000</v>
      </c>
      <c r="AL347" s="540">
        <f>SUMIFS('Live Collections'!$T:$T,'Live Collections'!$D:$D,Disbursements!B347,'Live Collections'!$G:$G,Disbursements!C347)</f>
        <v>700000</v>
      </c>
      <c r="AM347" s="541">
        <f t="shared" si="166"/>
        <v>875000</v>
      </c>
      <c r="AN347" s="542">
        <f t="shared" si="167"/>
        <v>0</v>
      </c>
      <c r="AO347" s="542">
        <f t="shared" si="168"/>
        <v>0</v>
      </c>
      <c r="AP347" s="543">
        <f t="shared" si="169"/>
        <v>0</v>
      </c>
      <c r="AQ347" s="544" t="str">
        <f t="shared" ca="1" si="170"/>
        <v/>
      </c>
      <c r="AR347" s="545">
        <f t="shared" ca="1" si="171"/>
        <v>0</v>
      </c>
      <c r="AS347" s="545">
        <f ca="1">IFERROR(CEILING($AR347*VLOOKUP($I347,Ref!$B$23:$E$29,4,0),1),0)</f>
        <v>0</v>
      </c>
      <c r="AT347" s="545" t="str">
        <f>IF(A347="","",IF(AP347&lt;=1,"Cleared",IF(AS347=0,"Clean",VLOOKUP($AS347,Ref!$G$23:$H$28,2))))</f>
        <v>Cleared</v>
      </c>
      <c r="AU347" s="546" t="str">
        <f t="shared" si="172"/>
        <v>Ok</v>
      </c>
    </row>
    <row r="348" spans="1:47" ht="14.25" customHeight="1" x14ac:dyDescent="0.15">
      <c r="A348" s="575">
        <v>44524</v>
      </c>
      <c r="B348" s="523">
        <v>215</v>
      </c>
      <c r="C348" s="523">
        <v>343</v>
      </c>
      <c r="D348" s="523">
        <v>2</v>
      </c>
      <c r="E348" s="579" t="s">
        <v>1274</v>
      </c>
      <c r="F348" s="580">
        <v>1700000</v>
      </c>
      <c r="G348" s="524">
        <v>6</v>
      </c>
      <c r="H348" s="555">
        <v>0.05</v>
      </c>
      <c r="I348" s="560" t="s">
        <v>859</v>
      </c>
      <c r="J348" s="523" t="s">
        <v>864</v>
      </c>
      <c r="K348" s="528" t="str">
        <f>IFERROR(VLOOKUP($B348,'Clients-Live'!$A:$C,3,0),"")</f>
        <v>BRANI MUSA</v>
      </c>
      <c r="L348" s="528">
        <f>IF(E348="STL",Pricing!$D$38,IF(A348="",0,IF(A348&lt;Pricing!$C$25,Pricing!$D$25,VLOOKUP(Disbursements!$F348,Pricing!$B$29:$D$32,3))))</f>
        <v>25000</v>
      </c>
      <c r="M348" s="528">
        <f>IF(E348="STL",0,IF(F348&gt;0,Pricing!$D$21,0))</f>
        <v>5000</v>
      </c>
      <c r="N348" s="529">
        <f>IF(E348="STL",F348*Pricing!$D$40,IF(A348&lt;=Pricing!$C$4,0,IF(AND(A348&gt;Pricing!$C$4,Disbursements!A348&lt;=Pricing!$C$5),F348*Pricing!$E$5,IF(AND(A348&gt;Pricing!$C$5,Disbursements!A348&lt;=Pricing!$C$7),VLOOKUP(F348,Pricing!$D$7:$E$8,2)*Disbursements!F348,F348*Pricing!$E$9))))</f>
        <v>34000</v>
      </c>
      <c r="O348" s="528">
        <f>IF(E348="STL",0,IF($F348&gt;0,$F348*Pricing!$D$17,0))</f>
        <v>170000</v>
      </c>
      <c r="P348" s="530">
        <f t="shared" si="152"/>
        <v>510000</v>
      </c>
      <c r="Q348" s="531">
        <f>IF($A348="","",$G348/VLOOKUP($I348,Ref!$B$23:$D$29,2,0))</f>
        <v>6</v>
      </c>
      <c r="R348" s="530">
        <f t="shared" si="153"/>
        <v>2210000</v>
      </c>
      <c r="S348" s="532">
        <f t="shared" si="147"/>
        <v>368333.33333333331</v>
      </c>
      <c r="T348" s="531">
        <f t="shared" si="154"/>
        <v>369000</v>
      </c>
      <c r="U348" s="533">
        <f t="shared" si="155"/>
        <v>2214000</v>
      </c>
      <c r="V348" s="531">
        <f t="shared" si="156"/>
        <v>283333.33333333331</v>
      </c>
      <c r="W348" s="531">
        <f t="shared" si="157"/>
        <v>85666.666666666686</v>
      </c>
      <c r="X348" s="534">
        <f t="shared" si="158"/>
        <v>514000.00000000012</v>
      </c>
      <c r="Y348" s="535">
        <f>IF($A348="","",IF($I348="weekly",$A348+7,EDATE($A348,VLOOKUP($I348,Ref!$B$24:$C$29,2,0))))</f>
        <v>44554</v>
      </c>
      <c r="Z348" s="536" t="str">
        <f t="shared" si="159"/>
        <v>Frid</v>
      </c>
      <c r="AA348" s="531">
        <f t="shared" si="160"/>
        <v>30</v>
      </c>
      <c r="AB348" s="535">
        <f t="shared" si="148"/>
        <v>44705</v>
      </c>
      <c r="AC348" s="537">
        <f t="shared" si="149"/>
        <v>181</v>
      </c>
      <c r="AD348" s="538" t="str">
        <f t="shared" ca="1" si="150"/>
        <v>Expired</v>
      </c>
      <c r="AE348" s="537">
        <f t="shared" ca="1" si="151"/>
        <v>0</v>
      </c>
      <c r="AF348" s="539">
        <f t="shared" ca="1" si="161"/>
        <v>6</v>
      </c>
      <c r="AG348" s="531">
        <f t="shared" ca="1" si="162"/>
        <v>2214000</v>
      </c>
      <c r="AH348" s="531">
        <f t="shared" ca="1" si="163"/>
        <v>514000.00000000012</v>
      </c>
      <c r="AI348" s="531">
        <f t="shared" ca="1" si="164"/>
        <v>1700000</v>
      </c>
      <c r="AJ348" s="531">
        <f t="shared" ca="1" si="165"/>
        <v>0</v>
      </c>
      <c r="AK348" s="540">
        <f>SUMIFS('Live Collections'!$S:$S,'Live Collections'!$D:$D,Disbursements!B348,'Live Collections'!$G:$G,Disbursements!C348)</f>
        <v>453000.00000000006</v>
      </c>
      <c r="AL348" s="540">
        <f>SUMIFS('Live Collections'!$T:$T,'Live Collections'!$D:$D,Disbursements!B348,'Live Collections'!$G:$G,Disbursements!C348)</f>
        <v>847000</v>
      </c>
      <c r="AM348" s="541">
        <f t="shared" si="166"/>
        <v>1300000</v>
      </c>
      <c r="AN348" s="542">
        <f t="shared" si="167"/>
        <v>61000.000000000058</v>
      </c>
      <c r="AO348" s="542">
        <f t="shared" si="168"/>
        <v>853000</v>
      </c>
      <c r="AP348" s="543">
        <f t="shared" si="169"/>
        <v>914000</v>
      </c>
      <c r="AQ348" s="544">
        <f t="shared" ca="1" si="170"/>
        <v>914000</v>
      </c>
      <c r="AR348" s="545">
        <f t="shared" ca="1" si="171"/>
        <v>2.4769647696476964</v>
      </c>
      <c r="AS348" s="545">
        <f ca="1">IFERROR(CEILING($AR348*VLOOKUP($I348,Ref!$B$23:$E$29,4,0),1),0)</f>
        <v>75</v>
      </c>
      <c r="AT348" s="545" t="str">
        <f ca="1">IF(A348="","",IF(AP348&lt;=1,"Cleared",IF(AS348=0,"Clean",VLOOKUP($AS348,Ref!$G$23:$H$28,2))))</f>
        <v>3.(61-90) Days</v>
      </c>
      <c r="AU348" s="546" t="str">
        <f t="shared" si="172"/>
        <v>Ok</v>
      </c>
    </row>
    <row r="349" spans="1:47" ht="14.25" customHeight="1" x14ac:dyDescent="0.15">
      <c r="A349" s="575">
        <v>44524</v>
      </c>
      <c r="B349" s="523">
        <v>288</v>
      </c>
      <c r="C349" s="523">
        <v>347</v>
      </c>
      <c r="D349" s="523">
        <v>1</v>
      </c>
      <c r="E349" s="579" t="s">
        <v>1274</v>
      </c>
      <c r="F349" s="580">
        <v>1400000</v>
      </c>
      <c r="G349" s="524">
        <v>6</v>
      </c>
      <c r="H349" s="555">
        <v>0.05</v>
      </c>
      <c r="I349" s="560" t="s">
        <v>859</v>
      </c>
      <c r="J349" s="523" t="s">
        <v>862</v>
      </c>
      <c r="K349" s="528" t="str">
        <f>IFERROR(VLOOKUP($B349,'Clients-Live'!$A:$C,3,0),"")</f>
        <v>MITU LAWRENCE</v>
      </c>
      <c r="L349" s="528">
        <f>IF(E349="STL",Pricing!$D$38,IF(A349="",0,IF(A349&lt;Pricing!$C$25,Pricing!$D$25,VLOOKUP(Disbursements!$F349,Pricing!$B$29:$D$32,3))))</f>
        <v>25000</v>
      </c>
      <c r="M349" s="528">
        <f>IF(E349="STL",0,IF(F349&gt;0,Pricing!$D$21,0))</f>
        <v>5000</v>
      </c>
      <c r="N349" s="529">
        <f>IF(E349="STL",F349*Pricing!$D$40,IF(A349&lt;=Pricing!$C$4,0,IF(AND(A349&gt;Pricing!$C$4,Disbursements!A349&lt;=Pricing!$C$5),F349*Pricing!$E$5,IF(AND(A349&gt;Pricing!$C$5,Disbursements!A349&lt;=Pricing!$C$7),VLOOKUP(F349,Pricing!$D$7:$E$8,2)*Disbursements!F349,F349*Pricing!$E$9))))</f>
        <v>28000</v>
      </c>
      <c r="O349" s="528">
        <f>IF(E349="STL",0,IF($F349&gt;0,$F349*Pricing!$D$17,0))</f>
        <v>140000</v>
      </c>
      <c r="P349" s="530">
        <f t="shared" si="152"/>
        <v>420000</v>
      </c>
      <c r="Q349" s="531">
        <f>IF($A349="","",$G349/VLOOKUP($I349,Ref!$B$23:$D$29,2,0))</f>
        <v>6</v>
      </c>
      <c r="R349" s="530">
        <f t="shared" si="153"/>
        <v>1820000</v>
      </c>
      <c r="S349" s="532">
        <f t="shared" si="147"/>
        <v>303333.33333333331</v>
      </c>
      <c r="T349" s="531">
        <f t="shared" si="154"/>
        <v>304000</v>
      </c>
      <c r="U349" s="533">
        <f t="shared" si="155"/>
        <v>1824000</v>
      </c>
      <c r="V349" s="531">
        <f t="shared" si="156"/>
        <v>233333.33333333334</v>
      </c>
      <c r="W349" s="531">
        <f t="shared" si="157"/>
        <v>70666.666666666657</v>
      </c>
      <c r="X349" s="534">
        <f t="shared" si="158"/>
        <v>423999.99999999994</v>
      </c>
      <c r="Y349" s="535">
        <f>IF($A349="","",IF($I349="weekly",$A349+7,EDATE($A349,VLOOKUP($I349,Ref!$B$24:$C$29,2,0))))</f>
        <v>44554</v>
      </c>
      <c r="Z349" s="536" t="str">
        <f t="shared" si="159"/>
        <v>Frid</v>
      </c>
      <c r="AA349" s="531">
        <f t="shared" si="160"/>
        <v>30</v>
      </c>
      <c r="AB349" s="535">
        <f t="shared" si="148"/>
        <v>44705</v>
      </c>
      <c r="AC349" s="537">
        <f t="shared" si="149"/>
        <v>181</v>
      </c>
      <c r="AD349" s="538" t="str">
        <f t="shared" ca="1" si="150"/>
        <v>Expired</v>
      </c>
      <c r="AE349" s="537">
        <f t="shared" ca="1" si="151"/>
        <v>0</v>
      </c>
      <c r="AF349" s="539">
        <f t="shared" ca="1" si="161"/>
        <v>6</v>
      </c>
      <c r="AG349" s="531">
        <f t="shared" ca="1" si="162"/>
        <v>1824000</v>
      </c>
      <c r="AH349" s="531">
        <f t="shared" ca="1" si="163"/>
        <v>423999.99999999994</v>
      </c>
      <c r="AI349" s="531">
        <f t="shared" ca="1" si="164"/>
        <v>1400000</v>
      </c>
      <c r="AJ349" s="531">
        <f t="shared" ca="1" si="165"/>
        <v>0</v>
      </c>
      <c r="AK349" s="540">
        <f>SUMIFS('Live Collections'!$S:$S,'Live Collections'!$D:$D,Disbursements!B349,'Live Collections'!$G:$G,Disbursements!C349)</f>
        <v>312333.33333333331</v>
      </c>
      <c r="AL349" s="540">
        <f>SUMIFS('Live Collections'!$T:$T,'Live Collections'!$D:$D,Disbursements!B349,'Live Collections'!$G:$G,Disbursements!C349)</f>
        <v>417666.66666666674</v>
      </c>
      <c r="AM349" s="541">
        <f t="shared" si="166"/>
        <v>730000</v>
      </c>
      <c r="AN349" s="542">
        <f t="shared" si="167"/>
        <v>111666.66666666663</v>
      </c>
      <c r="AO349" s="542">
        <f t="shared" si="168"/>
        <v>982333.33333333326</v>
      </c>
      <c r="AP349" s="543">
        <f t="shared" si="169"/>
        <v>1094000</v>
      </c>
      <c r="AQ349" s="544">
        <f t="shared" ca="1" si="170"/>
        <v>1094000</v>
      </c>
      <c r="AR349" s="545">
        <f t="shared" ca="1" si="171"/>
        <v>3.5986842105263159</v>
      </c>
      <c r="AS349" s="545">
        <f ca="1">IFERROR(CEILING($AR349*VLOOKUP($I349,Ref!$B$23:$E$29,4,0),1),0)</f>
        <v>108</v>
      </c>
      <c r="AT349" s="545" t="str">
        <f ca="1">IF(A349="","",IF(AP349&lt;=1,"Cleared",IF(AS349=0,"Clean",VLOOKUP($AS349,Ref!$G$23:$H$28,2))))</f>
        <v>4.(91-365) Days</v>
      </c>
      <c r="AU349" s="546" t="str">
        <f t="shared" si="172"/>
        <v>Ok</v>
      </c>
    </row>
    <row r="350" spans="1:47" ht="14.25" customHeight="1" x14ac:dyDescent="0.15">
      <c r="A350" s="575">
        <v>44524</v>
      </c>
      <c r="B350" s="523">
        <v>267</v>
      </c>
      <c r="C350" s="523">
        <v>346</v>
      </c>
      <c r="D350" s="523">
        <v>1</v>
      </c>
      <c r="E350" s="579" t="s">
        <v>1274</v>
      </c>
      <c r="F350" s="580">
        <v>150000</v>
      </c>
      <c r="G350" s="524">
        <v>2</v>
      </c>
      <c r="H350" s="555">
        <v>0.05</v>
      </c>
      <c r="I350" s="560" t="s">
        <v>859</v>
      </c>
      <c r="J350" s="523" t="s">
        <v>864</v>
      </c>
      <c r="K350" s="528" t="str">
        <f>IFERROR(VLOOKUP($B350,'Clients-Live'!$A:$C,3,0),"")</f>
        <v>KAMUSIRI JULIUS</v>
      </c>
      <c r="L350" s="528">
        <f>IF(E350="STL",Pricing!$D$38,IF(A350="",0,IF(A350&lt;Pricing!$C$25,Pricing!$D$25,VLOOKUP(Disbursements!$F350,Pricing!$B$29:$D$32,3))))</f>
        <v>15000</v>
      </c>
      <c r="M350" s="528">
        <f>IF(E350="STL",0,IF(F350&gt;0,Pricing!$D$21,0))</f>
        <v>5000</v>
      </c>
      <c r="N350" s="529">
        <f>IF(E350="STL",F350*Pricing!$D$40,IF(A350&lt;=Pricing!$C$4,0,IF(AND(A350&gt;Pricing!$C$4,Disbursements!A350&lt;=Pricing!$C$5),F350*Pricing!$E$5,IF(AND(A350&gt;Pricing!$C$5,Disbursements!A350&lt;=Pricing!$C$7),VLOOKUP(F350,Pricing!$D$7:$E$8,2)*Disbursements!F350,F350*Pricing!$E$9))))</f>
        <v>1500</v>
      </c>
      <c r="O350" s="528">
        <f>IF(E350="STL",0,IF($F350&gt;0,$F350*Pricing!$D$17,0))</f>
        <v>15000</v>
      </c>
      <c r="P350" s="530">
        <f t="shared" si="152"/>
        <v>15000</v>
      </c>
      <c r="Q350" s="531">
        <f>IF($A350="","",$G350/VLOOKUP($I350,Ref!$B$23:$D$29,2,0))</f>
        <v>2</v>
      </c>
      <c r="R350" s="530">
        <f t="shared" si="153"/>
        <v>165000</v>
      </c>
      <c r="S350" s="532">
        <f t="shared" si="147"/>
        <v>82500</v>
      </c>
      <c r="T350" s="531">
        <f t="shared" si="154"/>
        <v>83000</v>
      </c>
      <c r="U350" s="533">
        <f t="shared" si="155"/>
        <v>166000</v>
      </c>
      <c r="V350" s="531">
        <f t="shared" si="156"/>
        <v>75000</v>
      </c>
      <c r="W350" s="531">
        <f t="shared" si="157"/>
        <v>8000</v>
      </c>
      <c r="X350" s="534">
        <f t="shared" si="158"/>
        <v>16000</v>
      </c>
      <c r="Y350" s="535">
        <f>IF($A350="","",IF($I350="weekly",$A350+7,EDATE($A350,VLOOKUP($I350,Ref!$B$24:$C$29,2,0))))</f>
        <v>44554</v>
      </c>
      <c r="Z350" s="536" t="str">
        <f t="shared" si="159"/>
        <v>Frid</v>
      </c>
      <c r="AA350" s="531">
        <f t="shared" si="160"/>
        <v>30</v>
      </c>
      <c r="AB350" s="535">
        <f t="shared" si="148"/>
        <v>44585</v>
      </c>
      <c r="AC350" s="537">
        <f t="shared" si="149"/>
        <v>61</v>
      </c>
      <c r="AD350" s="538" t="str">
        <f t="shared" ca="1" si="150"/>
        <v>Expired</v>
      </c>
      <c r="AE350" s="537">
        <f t="shared" ca="1" si="151"/>
        <v>0</v>
      </c>
      <c r="AF350" s="539">
        <f t="shared" ca="1" si="161"/>
        <v>2</v>
      </c>
      <c r="AG350" s="531">
        <f t="shared" ca="1" si="162"/>
        <v>166000</v>
      </c>
      <c r="AH350" s="531">
        <f t="shared" ca="1" si="163"/>
        <v>16000</v>
      </c>
      <c r="AI350" s="531">
        <f t="shared" ca="1" si="164"/>
        <v>150000</v>
      </c>
      <c r="AJ350" s="531">
        <f t="shared" ca="1" si="165"/>
        <v>0</v>
      </c>
      <c r="AK350" s="540">
        <f>SUMIFS('Live Collections'!$S:$S,'Live Collections'!$D:$D,Disbursements!B350,'Live Collections'!$G:$G,Disbursements!C350)</f>
        <v>16000</v>
      </c>
      <c r="AL350" s="540">
        <f>SUMIFS('Live Collections'!$T:$T,'Live Collections'!$D:$D,Disbursements!B350,'Live Collections'!$G:$G,Disbursements!C350)</f>
        <v>135000</v>
      </c>
      <c r="AM350" s="541">
        <f t="shared" si="166"/>
        <v>151000</v>
      </c>
      <c r="AN350" s="542">
        <f t="shared" si="167"/>
        <v>0</v>
      </c>
      <c r="AO350" s="542">
        <f t="shared" si="168"/>
        <v>15000</v>
      </c>
      <c r="AP350" s="543">
        <f t="shared" si="169"/>
        <v>15000</v>
      </c>
      <c r="AQ350" s="544">
        <f t="shared" ca="1" si="170"/>
        <v>15000</v>
      </c>
      <c r="AR350" s="545">
        <f t="shared" ca="1" si="171"/>
        <v>0.18072289156626506</v>
      </c>
      <c r="AS350" s="545">
        <f ca="1">IFERROR(CEILING($AR350*VLOOKUP($I350,Ref!$B$23:$E$29,4,0),1),0)</f>
        <v>6</v>
      </c>
      <c r="AT350" s="545" t="str">
        <f ca="1">IF(A350="","",IF(AP350&lt;=1,"Cleared",IF(AS350=0,"Clean",VLOOKUP($AS350,Ref!$G$23:$H$28,2))))</f>
        <v>1.(0-30) Days</v>
      </c>
      <c r="AU350" s="546" t="str">
        <f t="shared" si="172"/>
        <v>Ok</v>
      </c>
    </row>
    <row r="351" spans="1:47" ht="14.25" customHeight="1" x14ac:dyDescent="0.15">
      <c r="A351" s="575">
        <v>44525</v>
      </c>
      <c r="B351" s="523">
        <v>156</v>
      </c>
      <c r="C351" s="523">
        <v>348</v>
      </c>
      <c r="D351" s="523">
        <v>4</v>
      </c>
      <c r="E351" s="579" t="s">
        <v>1274</v>
      </c>
      <c r="F351" s="580">
        <v>3500000</v>
      </c>
      <c r="G351" s="524">
        <v>2</v>
      </c>
      <c r="H351" s="555">
        <v>0.05</v>
      </c>
      <c r="I351" s="560" t="s">
        <v>859</v>
      </c>
      <c r="J351" s="523" t="s">
        <v>863</v>
      </c>
      <c r="K351" s="528" t="str">
        <f>IFERROR(VLOOKUP($B351,'Clients-Live'!$A:$C,3,0),"")</f>
        <v xml:space="preserve">ONIBA AISHA </v>
      </c>
      <c r="L351" s="528">
        <f>IF(E351="STL",Pricing!$D$38,IF(A351="",0,IF(A351&lt;Pricing!$C$25,Pricing!$D$25,VLOOKUP(Disbursements!$F351,Pricing!$B$29:$D$32,3))))</f>
        <v>30000</v>
      </c>
      <c r="M351" s="528">
        <f>IF(E351="STL",0,IF(F351&gt;0,Pricing!$D$21,0))</f>
        <v>5000</v>
      </c>
      <c r="N351" s="529">
        <f>IF(E351="STL",F351*Pricing!$D$40,IF(A351&lt;=Pricing!$C$4,0,IF(AND(A351&gt;Pricing!$C$4,Disbursements!A351&lt;=Pricing!$C$5),F351*Pricing!$E$5,IF(AND(A351&gt;Pricing!$C$5,Disbursements!A351&lt;=Pricing!$C$7),VLOOKUP(F351,Pricing!$D$7:$E$8,2)*Disbursements!F351,F351*Pricing!$E$9))))</f>
        <v>70000</v>
      </c>
      <c r="O351" s="528">
        <f>IF(E351="STL",0,IF($F351&gt;0,$F351*Pricing!$D$17,0))</f>
        <v>350000</v>
      </c>
      <c r="P351" s="530">
        <f t="shared" si="152"/>
        <v>350000</v>
      </c>
      <c r="Q351" s="531">
        <f>IF($A351="","",$G351/VLOOKUP($I351,Ref!$B$23:$D$29,2,0))</f>
        <v>2</v>
      </c>
      <c r="R351" s="530">
        <f t="shared" si="153"/>
        <v>3850000</v>
      </c>
      <c r="S351" s="532">
        <f t="shared" si="147"/>
        <v>1925000</v>
      </c>
      <c r="T351" s="531">
        <f t="shared" si="154"/>
        <v>1925000</v>
      </c>
      <c r="U351" s="533">
        <f t="shared" si="155"/>
        <v>3850000</v>
      </c>
      <c r="V351" s="531">
        <f t="shared" si="156"/>
        <v>1750000</v>
      </c>
      <c r="W351" s="531">
        <f t="shared" si="157"/>
        <v>175000</v>
      </c>
      <c r="X351" s="534">
        <f t="shared" si="158"/>
        <v>350000</v>
      </c>
      <c r="Y351" s="535">
        <f>IF($A351="","",IF($I351="weekly",$A351+7,EDATE($A351,VLOOKUP($I351,Ref!$B$24:$C$29,2,0))))</f>
        <v>44555</v>
      </c>
      <c r="Z351" s="536" t="str">
        <f t="shared" si="159"/>
        <v>Sat</v>
      </c>
      <c r="AA351" s="531">
        <f t="shared" si="160"/>
        <v>30</v>
      </c>
      <c r="AB351" s="535">
        <f t="shared" si="148"/>
        <v>44586</v>
      </c>
      <c r="AC351" s="537">
        <f t="shared" si="149"/>
        <v>61</v>
      </c>
      <c r="AD351" s="538" t="str">
        <f t="shared" ca="1" si="150"/>
        <v>Expired</v>
      </c>
      <c r="AE351" s="537">
        <f t="shared" ca="1" si="151"/>
        <v>0</v>
      </c>
      <c r="AF351" s="539">
        <f t="shared" ca="1" si="161"/>
        <v>2</v>
      </c>
      <c r="AG351" s="531">
        <f t="shared" ca="1" si="162"/>
        <v>3850000</v>
      </c>
      <c r="AH351" s="531">
        <f t="shared" ca="1" si="163"/>
        <v>350000</v>
      </c>
      <c r="AI351" s="531">
        <f t="shared" ca="1" si="164"/>
        <v>3500000</v>
      </c>
      <c r="AJ351" s="531">
        <f t="shared" ca="1" si="165"/>
        <v>0</v>
      </c>
      <c r="AK351" s="540">
        <f>SUMIFS('Live Collections'!$S:$S,'Live Collections'!$D:$D,Disbursements!B351,'Live Collections'!$G:$G,Disbursements!C351)</f>
        <v>350000</v>
      </c>
      <c r="AL351" s="540">
        <f>SUMIFS('Live Collections'!$T:$T,'Live Collections'!$D:$D,Disbursements!B351,'Live Collections'!$G:$G,Disbursements!C351)</f>
        <v>3500000</v>
      </c>
      <c r="AM351" s="541">
        <f t="shared" si="166"/>
        <v>3850000</v>
      </c>
      <c r="AN351" s="542">
        <f t="shared" si="167"/>
        <v>0</v>
      </c>
      <c r="AO351" s="542">
        <f t="shared" si="168"/>
        <v>0</v>
      </c>
      <c r="AP351" s="543">
        <f t="shared" si="169"/>
        <v>0</v>
      </c>
      <c r="AQ351" s="544" t="str">
        <f t="shared" ca="1" si="170"/>
        <v/>
      </c>
      <c r="AR351" s="545">
        <f t="shared" ca="1" si="171"/>
        <v>0</v>
      </c>
      <c r="AS351" s="545">
        <f ca="1">IFERROR(CEILING($AR351*VLOOKUP($I351,Ref!$B$23:$E$29,4,0),1),0)</f>
        <v>0</v>
      </c>
      <c r="AT351" s="545" t="str">
        <f>IF(A351="","",IF(AP351&lt;=1,"Cleared",IF(AS351=0,"Clean",VLOOKUP($AS351,Ref!$G$23:$H$28,2))))</f>
        <v>Cleared</v>
      </c>
      <c r="AU351" s="546" t="str">
        <f t="shared" si="172"/>
        <v>Ok</v>
      </c>
    </row>
    <row r="352" spans="1:47" ht="14.25" customHeight="1" x14ac:dyDescent="0.15">
      <c r="A352" s="575">
        <v>44526</v>
      </c>
      <c r="B352" s="523">
        <v>171</v>
      </c>
      <c r="C352" s="523">
        <v>349</v>
      </c>
      <c r="D352" s="523">
        <v>2</v>
      </c>
      <c r="E352" s="579" t="s">
        <v>1275</v>
      </c>
      <c r="F352" s="580">
        <v>650000</v>
      </c>
      <c r="G352" s="524">
        <v>2</v>
      </c>
      <c r="H352" s="555">
        <v>7.4999999999999997E-2</v>
      </c>
      <c r="I352" s="560" t="s">
        <v>859</v>
      </c>
      <c r="J352" s="523" t="s">
        <v>864</v>
      </c>
      <c r="K352" s="528" t="str">
        <f>IFERROR(VLOOKUP($B352,'Clients-Live'!$A:$C,3,0),"")</f>
        <v>BADAKA GIFT JOEL</v>
      </c>
      <c r="L352" s="528">
        <f>IF(E352="STL",Pricing!$D$38,IF(A352="",0,IF(A352&lt;Pricing!$C$25,Pricing!$D$25,VLOOKUP(Disbursements!$F352,Pricing!$B$29:$D$32,3))))</f>
        <v>20000</v>
      </c>
      <c r="M352" s="528">
        <f>IF(E352="STL",0,IF(F352&gt;0,Pricing!$D$21,0))</f>
        <v>5000</v>
      </c>
      <c r="N352" s="529">
        <f>IF(E352="STL",F352*Pricing!$D$40,IF(A352&lt;=Pricing!$C$4,0,IF(AND(A352&gt;Pricing!$C$4,Disbursements!A352&lt;=Pricing!$C$5),F352*Pricing!$E$5,IF(AND(A352&gt;Pricing!$C$5,Disbursements!A352&lt;=Pricing!$C$7),VLOOKUP(F352,Pricing!$D$7:$E$8,2)*Disbursements!F352,F352*Pricing!$E$9))))</f>
        <v>6500</v>
      </c>
      <c r="O352" s="528">
        <f>IF(E352="STL",0,IF($F352&gt;0,$F352*Pricing!$D$17,0))</f>
        <v>65000</v>
      </c>
      <c r="P352" s="530">
        <f t="shared" si="152"/>
        <v>97500</v>
      </c>
      <c r="Q352" s="531">
        <f>IF($A352="","",$G352/VLOOKUP($I352,Ref!$B$23:$D$29,2,0))</f>
        <v>2</v>
      </c>
      <c r="R352" s="530">
        <f t="shared" si="153"/>
        <v>747500</v>
      </c>
      <c r="S352" s="532">
        <f t="shared" si="147"/>
        <v>373750</v>
      </c>
      <c r="T352" s="531">
        <f t="shared" si="154"/>
        <v>374000</v>
      </c>
      <c r="U352" s="533">
        <f t="shared" si="155"/>
        <v>748000</v>
      </c>
      <c r="V352" s="531">
        <f t="shared" si="156"/>
        <v>325000</v>
      </c>
      <c r="W352" s="531">
        <f t="shared" si="157"/>
        <v>49000</v>
      </c>
      <c r="X352" s="534">
        <f t="shared" si="158"/>
        <v>98000</v>
      </c>
      <c r="Y352" s="535">
        <f>IF($A352="","",IF($I352="weekly",$A352+7,EDATE($A352,VLOOKUP($I352,Ref!$B$24:$C$29,2,0))))</f>
        <v>44556</v>
      </c>
      <c r="Z352" s="536" t="str">
        <f t="shared" si="159"/>
        <v>Sun</v>
      </c>
      <c r="AA352" s="531">
        <f t="shared" si="160"/>
        <v>30</v>
      </c>
      <c r="AB352" s="535">
        <f t="shared" si="148"/>
        <v>44587</v>
      </c>
      <c r="AC352" s="537">
        <f t="shared" si="149"/>
        <v>61</v>
      </c>
      <c r="AD352" s="538" t="str">
        <f t="shared" ca="1" si="150"/>
        <v>Expired</v>
      </c>
      <c r="AE352" s="537">
        <f t="shared" ca="1" si="151"/>
        <v>0</v>
      </c>
      <c r="AF352" s="539">
        <f t="shared" ca="1" si="161"/>
        <v>2</v>
      </c>
      <c r="AG352" s="531">
        <f t="shared" ca="1" si="162"/>
        <v>748000</v>
      </c>
      <c r="AH352" s="531">
        <f t="shared" ca="1" si="163"/>
        <v>98000</v>
      </c>
      <c r="AI352" s="531">
        <f t="shared" ca="1" si="164"/>
        <v>650000</v>
      </c>
      <c r="AJ352" s="531">
        <f t="shared" ca="1" si="165"/>
        <v>0</v>
      </c>
      <c r="AK352" s="540">
        <f>SUMIFS('Live Collections'!$S:$S,'Live Collections'!$D:$D,Disbursements!B352,'Live Collections'!$G:$G,Disbursements!C352)</f>
        <v>98000</v>
      </c>
      <c r="AL352" s="540">
        <f>SUMIFS('Live Collections'!$T:$T,'Live Collections'!$D:$D,Disbursements!B352,'Live Collections'!$G:$G,Disbursements!C352)</f>
        <v>650000</v>
      </c>
      <c r="AM352" s="541">
        <f t="shared" si="166"/>
        <v>748000</v>
      </c>
      <c r="AN352" s="542">
        <f t="shared" si="167"/>
        <v>0</v>
      </c>
      <c r="AO352" s="542">
        <f t="shared" si="168"/>
        <v>0</v>
      </c>
      <c r="AP352" s="543">
        <f t="shared" si="169"/>
        <v>0</v>
      </c>
      <c r="AQ352" s="544" t="str">
        <f t="shared" ca="1" si="170"/>
        <v/>
      </c>
      <c r="AR352" s="545">
        <f t="shared" ca="1" si="171"/>
        <v>0</v>
      </c>
      <c r="AS352" s="545">
        <f ca="1">IFERROR(CEILING($AR352*VLOOKUP($I352,Ref!$B$23:$E$29,4,0),1),0)</f>
        <v>0</v>
      </c>
      <c r="AT352" s="545" t="str">
        <f>IF(A352="","",IF(AP352&lt;=1,"Cleared",IF(AS352=0,"Clean",VLOOKUP($AS352,Ref!$G$23:$H$28,2))))</f>
        <v>Cleared</v>
      </c>
      <c r="AU352" s="546" t="str">
        <f t="shared" si="172"/>
        <v>Ok</v>
      </c>
    </row>
    <row r="353" spans="1:47" ht="14.25" customHeight="1" x14ac:dyDescent="0.15">
      <c r="A353" s="575">
        <v>44533</v>
      </c>
      <c r="B353" s="523">
        <v>287</v>
      </c>
      <c r="C353" s="523">
        <v>350</v>
      </c>
      <c r="D353" s="523">
        <v>1</v>
      </c>
      <c r="E353" s="579" t="s">
        <v>1274</v>
      </c>
      <c r="F353" s="580">
        <v>600000</v>
      </c>
      <c r="G353" s="524">
        <v>5</v>
      </c>
      <c r="H353" s="555">
        <v>0.05</v>
      </c>
      <c r="I353" s="560" t="s">
        <v>859</v>
      </c>
      <c r="J353" s="523" t="s">
        <v>862</v>
      </c>
      <c r="K353" s="528" t="str">
        <f>IFERROR(VLOOKUP($B353,'Clients-Live'!$A:$C,3,0),"")</f>
        <v>FAITH JOSEPHINE</v>
      </c>
      <c r="L353" s="528">
        <f>IF(E353="STL",Pricing!$D$38,IF(A353="",0,IF(A353&lt;Pricing!$C$25,Pricing!$D$25,VLOOKUP(Disbursements!$F353,Pricing!$B$29:$D$32,3))))</f>
        <v>20000</v>
      </c>
      <c r="M353" s="528">
        <f>IF(E353="STL",0,IF(F353&gt;0,Pricing!$D$21,0))</f>
        <v>5000</v>
      </c>
      <c r="N353" s="529">
        <f>IF(E353="STL",F353*Pricing!$D$40,IF(A353&lt;=Pricing!$C$4,0,IF(AND(A353&gt;Pricing!$C$4,Disbursements!A353&lt;=Pricing!$C$5),F353*Pricing!$E$5,IF(AND(A353&gt;Pricing!$C$5,Disbursements!A353&lt;=Pricing!$C$7),VLOOKUP(F353,Pricing!$D$7:$E$8,2)*Disbursements!F353,F353*Pricing!$E$9))))</f>
        <v>6000</v>
      </c>
      <c r="O353" s="528">
        <f>IF(E353="STL",0,IF($F353&gt;0,$F353*Pricing!$D$17,0))</f>
        <v>60000</v>
      </c>
      <c r="P353" s="530">
        <f t="shared" si="152"/>
        <v>150000</v>
      </c>
      <c r="Q353" s="531">
        <f>IF($A353="","",$G353/VLOOKUP($I353,Ref!$B$23:$D$29,2,0))</f>
        <v>5</v>
      </c>
      <c r="R353" s="530">
        <f t="shared" si="153"/>
        <v>750000</v>
      </c>
      <c r="S353" s="532">
        <f t="shared" si="147"/>
        <v>150000</v>
      </c>
      <c r="T353" s="531">
        <f t="shared" si="154"/>
        <v>150000</v>
      </c>
      <c r="U353" s="533">
        <f t="shared" si="155"/>
        <v>750000</v>
      </c>
      <c r="V353" s="531">
        <f t="shared" si="156"/>
        <v>120000</v>
      </c>
      <c r="W353" s="531">
        <f t="shared" si="157"/>
        <v>30000</v>
      </c>
      <c r="X353" s="534">
        <f t="shared" si="158"/>
        <v>150000</v>
      </c>
      <c r="Y353" s="535">
        <f>IF($A353="","",IF($I353="weekly",$A353+7,EDATE($A353,VLOOKUP($I353,Ref!$B$24:$C$29,2,0))))</f>
        <v>44564</v>
      </c>
      <c r="Z353" s="536" t="str">
        <f t="shared" si="159"/>
        <v>Mon</v>
      </c>
      <c r="AA353" s="531">
        <f t="shared" si="160"/>
        <v>31</v>
      </c>
      <c r="AB353" s="535">
        <f t="shared" si="148"/>
        <v>44684</v>
      </c>
      <c r="AC353" s="537">
        <f t="shared" si="149"/>
        <v>151</v>
      </c>
      <c r="AD353" s="538" t="str">
        <f t="shared" ca="1" si="150"/>
        <v>Expired</v>
      </c>
      <c r="AE353" s="537">
        <f t="shared" ca="1" si="151"/>
        <v>0</v>
      </c>
      <c r="AF353" s="539">
        <f t="shared" ca="1" si="161"/>
        <v>5</v>
      </c>
      <c r="AG353" s="531">
        <f t="shared" ca="1" si="162"/>
        <v>750000</v>
      </c>
      <c r="AH353" s="531">
        <f t="shared" ca="1" si="163"/>
        <v>150000</v>
      </c>
      <c r="AI353" s="531">
        <f t="shared" ca="1" si="164"/>
        <v>600000</v>
      </c>
      <c r="AJ353" s="531">
        <f t="shared" ca="1" si="165"/>
        <v>0</v>
      </c>
      <c r="AK353" s="540">
        <f>SUMIFS('Live Collections'!$S:$S,'Live Collections'!$D:$D,Disbursements!B353,'Live Collections'!$G:$G,Disbursements!C353)</f>
        <v>150000</v>
      </c>
      <c r="AL353" s="540">
        <f>SUMIFS('Live Collections'!$T:$T,'Live Collections'!$D:$D,Disbursements!B353,'Live Collections'!$G:$G,Disbursements!C353)</f>
        <v>600000</v>
      </c>
      <c r="AM353" s="541">
        <f t="shared" si="166"/>
        <v>750000</v>
      </c>
      <c r="AN353" s="542">
        <f t="shared" si="167"/>
        <v>0</v>
      </c>
      <c r="AO353" s="542">
        <f t="shared" si="168"/>
        <v>0</v>
      </c>
      <c r="AP353" s="543">
        <f t="shared" si="169"/>
        <v>0</v>
      </c>
      <c r="AQ353" s="544" t="str">
        <f t="shared" ca="1" si="170"/>
        <v/>
      </c>
      <c r="AR353" s="545">
        <f t="shared" ca="1" si="171"/>
        <v>0</v>
      </c>
      <c r="AS353" s="545">
        <f ca="1">IFERROR(CEILING($AR353*VLOOKUP($I353,Ref!$B$23:$E$29,4,0),1),0)</f>
        <v>0</v>
      </c>
      <c r="AT353" s="545" t="str">
        <f>IF(A353="","",IF(AP353&lt;=1,"Cleared",IF(AS353=0,"Clean",VLOOKUP($AS353,Ref!$G$23:$H$28,2))))</f>
        <v>Cleared</v>
      </c>
      <c r="AU353" s="546" t="str">
        <f t="shared" si="172"/>
        <v>Ok</v>
      </c>
    </row>
    <row r="354" spans="1:47" ht="14.25" customHeight="1" x14ac:dyDescent="0.15">
      <c r="A354" s="575">
        <v>44533</v>
      </c>
      <c r="B354" s="523">
        <v>269</v>
      </c>
      <c r="C354" s="523">
        <v>352</v>
      </c>
      <c r="D354" s="523">
        <v>2</v>
      </c>
      <c r="E354" s="579" t="s">
        <v>1277</v>
      </c>
      <c r="F354" s="580">
        <v>500000</v>
      </c>
      <c r="G354" s="524">
        <v>1</v>
      </c>
      <c r="H354" s="555">
        <v>7.4999999999999997E-2</v>
      </c>
      <c r="I354" s="560" t="s">
        <v>859</v>
      </c>
      <c r="J354" s="523" t="s">
        <v>864</v>
      </c>
      <c r="K354" s="528" t="str">
        <f>IFERROR(VLOOKUP($B354,'Clients-Live'!$A:$C,3,0),"")</f>
        <v>YANYA ROBINA</v>
      </c>
      <c r="L354" s="528">
        <f>IF(E354="STL",Pricing!$D$38,IF(A354="",0,IF(A354&lt;Pricing!$C$25,Pricing!$D$25,VLOOKUP(Disbursements!$F354,Pricing!$B$29:$D$32,3))))</f>
        <v>15000</v>
      </c>
      <c r="M354" s="528">
        <f>IF(E354="STL",0,IF(F354&gt;0,Pricing!$D$21,0))</f>
        <v>5000</v>
      </c>
      <c r="N354" s="529">
        <f>IF(E354="STL",F354*Pricing!$D$40,IF(A354&lt;=Pricing!$C$4,0,IF(AND(A354&gt;Pricing!$C$4,Disbursements!A354&lt;=Pricing!$C$5),F354*Pricing!$E$5,IF(AND(A354&gt;Pricing!$C$5,Disbursements!A354&lt;=Pricing!$C$7),VLOOKUP(F354,Pricing!$D$7:$E$8,2)*Disbursements!F354,F354*Pricing!$E$9))))</f>
        <v>5000</v>
      </c>
      <c r="O354" s="528">
        <f>IF(E354="STL",0,IF($F354&gt;0,$F354*Pricing!$D$17,0))</f>
        <v>50000</v>
      </c>
      <c r="P354" s="530">
        <f t="shared" si="152"/>
        <v>37500</v>
      </c>
      <c r="Q354" s="531">
        <f>IF($A354="","",$G354/VLOOKUP($I354,Ref!$B$23:$D$29,2,0))</f>
        <v>1</v>
      </c>
      <c r="R354" s="530">
        <f t="shared" si="153"/>
        <v>537500</v>
      </c>
      <c r="S354" s="532">
        <f t="shared" si="147"/>
        <v>537500</v>
      </c>
      <c r="T354" s="531">
        <f t="shared" si="154"/>
        <v>538000</v>
      </c>
      <c r="U354" s="533">
        <f t="shared" si="155"/>
        <v>538000</v>
      </c>
      <c r="V354" s="531">
        <f t="shared" si="156"/>
        <v>500000</v>
      </c>
      <c r="W354" s="531">
        <f t="shared" si="157"/>
        <v>38000</v>
      </c>
      <c r="X354" s="534">
        <f t="shared" si="158"/>
        <v>38000</v>
      </c>
      <c r="Y354" s="535">
        <f>IF($A354="","",IF($I354="weekly",$A354+7,EDATE($A354,VLOOKUP($I354,Ref!$B$24:$C$29,2,0))))</f>
        <v>44564</v>
      </c>
      <c r="Z354" s="536" t="str">
        <f t="shared" si="159"/>
        <v>Mon</v>
      </c>
      <c r="AA354" s="531">
        <f t="shared" si="160"/>
        <v>31</v>
      </c>
      <c r="AB354" s="535">
        <f t="shared" si="148"/>
        <v>44564</v>
      </c>
      <c r="AC354" s="537">
        <f t="shared" si="149"/>
        <v>31</v>
      </c>
      <c r="AD354" s="538" t="str">
        <f t="shared" ca="1" si="150"/>
        <v>Expired</v>
      </c>
      <c r="AE354" s="537">
        <f t="shared" ca="1" si="151"/>
        <v>0</v>
      </c>
      <c r="AF354" s="539">
        <f t="shared" ca="1" si="161"/>
        <v>1</v>
      </c>
      <c r="AG354" s="531">
        <f t="shared" ca="1" si="162"/>
        <v>538000</v>
      </c>
      <c r="AH354" s="531">
        <f t="shared" ca="1" si="163"/>
        <v>38000</v>
      </c>
      <c r="AI354" s="531">
        <f t="shared" ca="1" si="164"/>
        <v>500000</v>
      </c>
      <c r="AJ354" s="531">
        <f t="shared" ca="1" si="165"/>
        <v>0</v>
      </c>
      <c r="AK354" s="540">
        <f>SUMIFS('Live Collections'!$S:$S,'Live Collections'!$D:$D,Disbursements!B354,'Live Collections'!$G:$G,Disbursements!C354)</f>
        <v>38000</v>
      </c>
      <c r="AL354" s="540">
        <f>SUMIFS('Live Collections'!$T:$T,'Live Collections'!$D:$D,Disbursements!B354,'Live Collections'!$G:$G,Disbursements!C354)</f>
        <v>499500</v>
      </c>
      <c r="AM354" s="541">
        <f t="shared" si="166"/>
        <v>537500</v>
      </c>
      <c r="AN354" s="542">
        <f t="shared" si="167"/>
        <v>0</v>
      </c>
      <c r="AO354" s="542">
        <f t="shared" si="168"/>
        <v>500</v>
      </c>
      <c r="AP354" s="543">
        <f t="shared" si="169"/>
        <v>500</v>
      </c>
      <c r="AQ354" s="544">
        <f t="shared" ca="1" si="170"/>
        <v>500</v>
      </c>
      <c r="AR354" s="545">
        <f t="shared" ca="1" si="171"/>
        <v>9.2936802973977691E-4</v>
      </c>
      <c r="AS354" s="545">
        <f ca="1">IFERROR(CEILING($AR354*VLOOKUP($I354,Ref!$B$23:$E$29,4,0),1),0)</f>
        <v>1</v>
      </c>
      <c r="AT354" s="545" t="str">
        <f ca="1">IF(A354="","",IF(AP354&lt;=1,"Cleared",IF(AS354=0,"Clean",VLOOKUP($AS354,Ref!$G$23:$H$28,2))))</f>
        <v>1.(0-30) Days</v>
      </c>
      <c r="AU354" s="546" t="str">
        <f t="shared" si="172"/>
        <v>Ok</v>
      </c>
    </row>
    <row r="355" spans="1:47" ht="14.25" customHeight="1" x14ac:dyDescent="0.15">
      <c r="A355" s="575">
        <v>44534</v>
      </c>
      <c r="B355" s="523">
        <v>78</v>
      </c>
      <c r="C355" s="523">
        <v>351</v>
      </c>
      <c r="D355" s="523">
        <v>2</v>
      </c>
      <c r="E355" s="579" t="s">
        <v>1274</v>
      </c>
      <c r="F355" s="580">
        <v>1800000</v>
      </c>
      <c r="G355" s="524">
        <v>4</v>
      </c>
      <c r="H355" s="555">
        <v>0.05</v>
      </c>
      <c r="I355" s="560" t="s">
        <v>859</v>
      </c>
      <c r="J355" s="523" t="s">
        <v>864</v>
      </c>
      <c r="K355" s="528" t="str">
        <f>IFERROR(VLOOKUP($B355,'Clients-Live'!$A:$C,3,0),"")</f>
        <v>DIPIYO BEATRICE JOHN</v>
      </c>
      <c r="L355" s="528">
        <f>IF(E355="STL",Pricing!$D$38,IF(A355="",0,IF(A355&lt;Pricing!$C$25,Pricing!$D$25,VLOOKUP(Disbursements!$F355,Pricing!$B$29:$D$32,3))))</f>
        <v>25000</v>
      </c>
      <c r="M355" s="528">
        <f>IF(E355="STL",0,IF(F355&gt;0,Pricing!$D$21,0))</f>
        <v>5000</v>
      </c>
      <c r="N355" s="529">
        <f>IF(E355="STL",F355*Pricing!$D$40,IF(A355&lt;=Pricing!$C$4,0,IF(AND(A355&gt;Pricing!$C$4,Disbursements!A355&lt;=Pricing!$C$5),F355*Pricing!$E$5,IF(AND(A355&gt;Pricing!$C$5,Disbursements!A355&lt;=Pricing!$C$7),VLOOKUP(F355,Pricing!$D$7:$E$8,2)*Disbursements!F355,F355*Pricing!$E$9))))</f>
        <v>36000</v>
      </c>
      <c r="O355" s="528">
        <f>IF(E355="STL",0,IF($F355&gt;0,$F355*Pricing!$D$17,0))</f>
        <v>180000</v>
      </c>
      <c r="P355" s="530">
        <f t="shared" si="152"/>
        <v>360000</v>
      </c>
      <c r="Q355" s="531">
        <f>IF($A355="","",$G355/VLOOKUP($I355,Ref!$B$23:$D$29,2,0))</f>
        <v>4</v>
      </c>
      <c r="R355" s="530">
        <f t="shared" si="153"/>
        <v>2160000</v>
      </c>
      <c r="S355" s="532">
        <f t="shared" si="147"/>
        <v>540000</v>
      </c>
      <c r="T355" s="531">
        <f t="shared" si="154"/>
        <v>540000</v>
      </c>
      <c r="U355" s="533">
        <f t="shared" si="155"/>
        <v>2160000</v>
      </c>
      <c r="V355" s="531">
        <f t="shared" si="156"/>
        <v>450000</v>
      </c>
      <c r="W355" s="531">
        <f t="shared" si="157"/>
        <v>90000</v>
      </c>
      <c r="X355" s="534">
        <f t="shared" si="158"/>
        <v>360000</v>
      </c>
      <c r="Y355" s="535">
        <f>IF($A355="","",IF($I355="weekly",$A355+7,EDATE($A355,VLOOKUP($I355,Ref!$B$24:$C$29,2,0))))</f>
        <v>44565</v>
      </c>
      <c r="Z355" s="536" t="str">
        <f t="shared" si="159"/>
        <v>Tue</v>
      </c>
      <c r="AA355" s="531">
        <f t="shared" si="160"/>
        <v>31</v>
      </c>
      <c r="AB355" s="535">
        <f t="shared" si="148"/>
        <v>44655</v>
      </c>
      <c r="AC355" s="537">
        <f t="shared" si="149"/>
        <v>121</v>
      </c>
      <c r="AD355" s="538" t="str">
        <f t="shared" ca="1" si="150"/>
        <v>Expired</v>
      </c>
      <c r="AE355" s="537">
        <f t="shared" ca="1" si="151"/>
        <v>0</v>
      </c>
      <c r="AF355" s="539">
        <f t="shared" ca="1" si="161"/>
        <v>4</v>
      </c>
      <c r="AG355" s="531">
        <f t="shared" ca="1" si="162"/>
        <v>2160000</v>
      </c>
      <c r="AH355" s="531">
        <f t="shared" ca="1" si="163"/>
        <v>360000</v>
      </c>
      <c r="AI355" s="531">
        <f t="shared" ca="1" si="164"/>
        <v>1800000</v>
      </c>
      <c r="AJ355" s="531">
        <f t="shared" ca="1" si="165"/>
        <v>0</v>
      </c>
      <c r="AK355" s="540">
        <f>SUMIFS('Live Collections'!$S:$S,'Live Collections'!$D:$D,Disbursements!B355,'Live Collections'!$G:$G,Disbursements!C355)</f>
        <v>360000</v>
      </c>
      <c r="AL355" s="540">
        <f>SUMIFS('Live Collections'!$T:$T,'Live Collections'!$D:$D,Disbursements!B355,'Live Collections'!$G:$G,Disbursements!C355)</f>
        <v>1800000</v>
      </c>
      <c r="AM355" s="541">
        <f t="shared" si="166"/>
        <v>2160000</v>
      </c>
      <c r="AN355" s="542">
        <f t="shared" si="167"/>
        <v>0</v>
      </c>
      <c r="AO355" s="542">
        <f t="shared" si="168"/>
        <v>0</v>
      </c>
      <c r="AP355" s="543">
        <f t="shared" si="169"/>
        <v>0</v>
      </c>
      <c r="AQ355" s="544" t="str">
        <f t="shared" ca="1" si="170"/>
        <v/>
      </c>
      <c r="AR355" s="545">
        <f t="shared" ca="1" si="171"/>
        <v>0</v>
      </c>
      <c r="AS355" s="545">
        <f ca="1">IFERROR(CEILING($AR355*VLOOKUP($I355,Ref!$B$23:$E$29,4,0),1),0)</f>
        <v>0</v>
      </c>
      <c r="AT355" s="545" t="str">
        <f>IF(A355="","",IF(AP355&lt;=1,"Cleared",IF(AS355=0,"Clean",VLOOKUP($AS355,Ref!$G$23:$H$28,2))))</f>
        <v>Cleared</v>
      </c>
      <c r="AU355" s="546" t="str">
        <f t="shared" si="172"/>
        <v>Ok</v>
      </c>
    </row>
    <row r="356" spans="1:47" ht="14.25" customHeight="1" x14ac:dyDescent="0.15">
      <c r="A356" s="575">
        <v>44534</v>
      </c>
      <c r="B356" s="523">
        <v>89</v>
      </c>
      <c r="C356" s="523">
        <v>356</v>
      </c>
      <c r="D356" s="523">
        <v>2</v>
      </c>
      <c r="E356" s="579" t="s">
        <v>1274</v>
      </c>
      <c r="F356" s="580">
        <v>700000</v>
      </c>
      <c r="G356" s="524">
        <v>4</v>
      </c>
      <c r="H356" s="555">
        <v>0.05</v>
      </c>
      <c r="I356" s="560" t="s">
        <v>859</v>
      </c>
      <c r="J356" s="523" t="s">
        <v>862</v>
      </c>
      <c r="K356" s="528" t="str">
        <f>IFERROR(VLOOKUP($B356,'Clients-Live'!$A:$C,3,0),"")</f>
        <v>ANDA FLORENCE</v>
      </c>
      <c r="L356" s="528">
        <f>IF(E356="STL",Pricing!$D$38,IF(A356="",0,IF(A356&lt;Pricing!$C$25,Pricing!$D$25,VLOOKUP(Disbursements!$F356,Pricing!$B$29:$D$32,3))))</f>
        <v>20000</v>
      </c>
      <c r="M356" s="528">
        <f>IF(E356="STL",0,IF(F356&gt;0,Pricing!$D$21,0))</f>
        <v>5000</v>
      </c>
      <c r="N356" s="529">
        <f>IF(E356="STL",F356*Pricing!$D$40,IF(A356&lt;=Pricing!$C$4,0,IF(AND(A356&gt;Pricing!$C$4,Disbursements!A356&lt;=Pricing!$C$5),F356*Pricing!$E$5,IF(AND(A356&gt;Pricing!$C$5,Disbursements!A356&lt;=Pricing!$C$7),VLOOKUP(F356,Pricing!$D$7:$E$8,2)*Disbursements!F356,F356*Pricing!$E$9))))</f>
        <v>7000</v>
      </c>
      <c r="O356" s="528">
        <f>IF(E356="STL",0,IF($F356&gt;0,$F356*Pricing!$D$17,0))</f>
        <v>70000</v>
      </c>
      <c r="P356" s="530">
        <f t="shared" si="152"/>
        <v>140000</v>
      </c>
      <c r="Q356" s="531">
        <f>IF($A356="","",$G356/VLOOKUP($I356,Ref!$B$23:$D$29,2,0))</f>
        <v>4</v>
      </c>
      <c r="R356" s="530">
        <f t="shared" si="153"/>
        <v>840000</v>
      </c>
      <c r="S356" s="532">
        <f t="shared" si="147"/>
        <v>210000</v>
      </c>
      <c r="T356" s="531">
        <f t="shared" si="154"/>
        <v>210000</v>
      </c>
      <c r="U356" s="533">
        <f t="shared" si="155"/>
        <v>840000</v>
      </c>
      <c r="V356" s="531">
        <f t="shared" si="156"/>
        <v>175000</v>
      </c>
      <c r="W356" s="531">
        <f t="shared" si="157"/>
        <v>35000</v>
      </c>
      <c r="X356" s="534">
        <f t="shared" si="158"/>
        <v>140000</v>
      </c>
      <c r="Y356" s="535">
        <f>IF($A356="","",IF($I356="weekly",$A356+7,EDATE($A356,VLOOKUP($I356,Ref!$B$24:$C$29,2,0))))</f>
        <v>44565</v>
      </c>
      <c r="Z356" s="536" t="str">
        <f t="shared" si="159"/>
        <v>Tue</v>
      </c>
      <c r="AA356" s="531">
        <f t="shared" si="160"/>
        <v>31</v>
      </c>
      <c r="AB356" s="535">
        <f t="shared" si="148"/>
        <v>44655</v>
      </c>
      <c r="AC356" s="537">
        <f t="shared" si="149"/>
        <v>121</v>
      </c>
      <c r="AD356" s="538" t="str">
        <f t="shared" ca="1" si="150"/>
        <v>Expired</v>
      </c>
      <c r="AE356" s="537">
        <f t="shared" ca="1" si="151"/>
        <v>0</v>
      </c>
      <c r="AF356" s="539">
        <f t="shared" ca="1" si="161"/>
        <v>4</v>
      </c>
      <c r="AG356" s="531">
        <f t="shared" ca="1" si="162"/>
        <v>840000</v>
      </c>
      <c r="AH356" s="531">
        <f t="shared" ca="1" si="163"/>
        <v>140000</v>
      </c>
      <c r="AI356" s="531">
        <f t="shared" ca="1" si="164"/>
        <v>700000</v>
      </c>
      <c r="AJ356" s="531">
        <f t="shared" ca="1" si="165"/>
        <v>0</v>
      </c>
      <c r="AK356" s="540">
        <f>SUMIFS('Live Collections'!$S:$S,'Live Collections'!$D:$D,Disbursements!B356,'Live Collections'!$G:$G,Disbursements!C356)</f>
        <v>138000</v>
      </c>
      <c r="AL356" s="540">
        <f>SUMIFS('Live Collections'!$T:$T,'Live Collections'!$D:$D,Disbursements!B356,'Live Collections'!$G:$G,Disbursements!C356)</f>
        <v>685000</v>
      </c>
      <c r="AM356" s="541">
        <f t="shared" si="166"/>
        <v>823000</v>
      </c>
      <c r="AN356" s="542">
        <f t="shared" si="167"/>
        <v>2000</v>
      </c>
      <c r="AO356" s="542">
        <f t="shared" si="168"/>
        <v>15000</v>
      </c>
      <c r="AP356" s="543">
        <f t="shared" si="169"/>
        <v>17000</v>
      </c>
      <c r="AQ356" s="544">
        <f t="shared" ca="1" si="170"/>
        <v>17000</v>
      </c>
      <c r="AR356" s="545">
        <f t="shared" ca="1" si="171"/>
        <v>8.0952380952380956E-2</v>
      </c>
      <c r="AS356" s="545">
        <f ca="1">IFERROR(CEILING($AR356*VLOOKUP($I356,Ref!$B$23:$E$29,4,0),1),0)</f>
        <v>3</v>
      </c>
      <c r="AT356" s="545" t="str">
        <f ca="1">IF(A356="","",IF(AP356&lt;=1,"Cleared",IF(AS356=0,"Clean",VLOOKUP($AS356,Ref!$G$23:$H$28,2))))</f>
        <v>1.(0-30) Days</v>
      </c>
      <c r="AU356" s="546" t="str">
        <f t="shared" si="172"/>
        <v>Ok</v>
      </c>
    </row>
    <row r="357" spans="1:47" ht="14.25" customHeight="1" x14ac:dyDescent="0.15">
      <c r="A357" s="575">
        <v>44534</v>
      </c>
      <c r="B357" s="523">
        <v>155</v>
      </c>
      <c r="C357" s="523">
        <v>355</v>
      </c>
      <c r="D357" s="523">
        <v>2</v>
      </c>
      <c r="E357" s="579" t="s">
        <v>1274</v>
      </c>
      <c r="F357" s="580">
        <v>200000</v>
      </c>
      <c r="G357" s="524">
        <v>3</v>
      </c>
      <c r="H357" s="555">
        <v>0.05</v>
      </c>
      <c r="I357" s="560" t="s">
        <v>859</v>
      </c>
      <c r="J357" s="523" t="s">
        <v>863</v>
      </c>
      <c r="K357" s="528" t="str">
        <f>IFERROR(VLOOKUP($B357,'Clients-Live'!$A:$C,3,0),"")</f>
        <v>AROMBORAC SIAMA</v>
      </c>
      <c r="L357" s="528">
        <f>IF(E357="STL",Pricing!$D$38,IF(A357="",0,IF(A357&lt;Pricing!$C$25,Pricing!$D$25,VLOOKUP(Disbursements!$F357,Pricing!$B$29:$D$32,3))))</f>
        <v>15000</v>
      </c>
      <c r="M357" s="528">
        <f>IF(E357="STL",0,IF(F357&gt;0,Pricing!$D$21,0))</f>
        <v>5000</v>
      </c>
      <c r="N357" s="529">
        <f>IF(E357="STL",F357*Pricing!$D$40,IF(A357&lt;=Pricing!$C$4,0,IF(AND(A357&gt;Pricing!$C$4,Disbursements!A357&lt;=Pricing!$C$5),F357*Pricing!$E$5,IF(AND(A357&gt;Pricing!$C$5,Disbursements!A357&lt;=Pricing!$C$7),VLOOKUP(F357,Pricing!$D$7:$E$8,2)*Disbursements!F357,F357*Pricing!$E$9))))</f>
        <v>2000</v>
      </c>
      <c r="O357" s="528">
        <f>IF(E357="STL",0,IF($F357&gt;0,$F357*Pricing!$D$17,0))</f>
        <v>20000</v>
      </c>
      <c r="P357" s="530">
        <f t="shared" si="152"/>
        <v>30000</v>
      </c>
      <c r="Q357" s="531">
        <f>IF($A357="","",$G357/VLOOKUP($I357,Ref!$B$23:$D$29,2,0))</f>
        <v>3</v>
      </c>
      <c r="R357" s="530">
        <f t="shared" si="153"/>
        <v>230000</v>
      </c>
      <c r="S357" s="532">
        <f t="shared" si="147"/>
        <v>76666.666666666672</v>
      </c>
      <c r="T357" s="531">
        <f t="shared" si="154"/>
        <v>77000</v>
      </c>
      <c r="U357" s="533">
        <f t="shared" si="155"/>
        <v>231000</v>
      </c>
      <c r="V357" s="531">
        <f t="shared" si="156"/>
        <v>66666.666666666672</v>
      </c>
      <c r="W357" s="531">
        <f t="shared" si="157"/>
        <v>10333.333333333328</v>
      </c>
      <c r="X357" s="534">
        <f t="shared" si="158"/>
        <v>30999.999999999985</v>
      </c>
      <c r="Y357" s="535">
        <f>IF($A357="","",IF($I357="weekly",$A357+7,EDATE($A357,VLOOKUP($I357,Ref!$B$24:$C$29,2,0))))</f>
        <v>44565</v>
      </c>
      <c r="Z357" s="536" t="str">
        <f t="shared" si="159"/>
        <v>Tue</v>
      </c>
      <c r="AA357" s="531">
        <f t="shared" si="160"/>
        <v>31</v>
      </c>
      <c r="AB357" s="535">
        <f t="shared" si="148"/>
        <v>44624</v>
      </c>
      <c r="AC357" s="537">
        <f t="shared" si="149"/>
        <v>90</v>
      </c>
      <c r="AD357" s="538" t="str">
        <f t="shared" ca="1" si="150"/>
        <v>Expired</v>
      </c>
      <c r="AE357" s="537">
        <f t="shared" ca="1" si="151"/>
        <v>0</v>
      </c>
      <c r="AF357" s="539">
        <f t="shared" ca="1" si="161"/>
        <v>3</v>
      </c>
      <c r="AG357" s="531">
        <f t="shared" ca="1" si="162"/>
        <v>231000</v>
      </c>
      <c r="AH357" s="531">
        <f t="shared" ca="1" si="163"/>
        <v>30999.999999999985</v>
      </c>
      <c r="AI357" s="531">
        <f t="shared" ca="1" si="164"/>
        <v>200000</v>
      </c>
      <c r="AJ357" s="531">
        <f t="shared" ca="1" si="165"/>
        <v>0</v>
      </c>
      <c r="AK357" s="540">
        <f>SUMIFS('Live Collections'!$S:$S,'Live Collections'!$D:$D,Disbursements!B357,'Live Collections'!$G:$G,Disbursements!C357)</f>
        <v>30999.999999999985</v>
      </c>
      <c r="AL357" s="540">
        <f>SUMIFS('Live Collections'!$T:$T,'Live Collections'!$D:$D,Disbursements!B357,'Live Collections'!$G:$G,Disbursements!C357)</f>
        <v>198700</v>
      </c>
      <c r="AM357" s="541">
        <f t="shared" si="166"/>
        <v>229700</v>
      </c>
      <c r="AN357" s="542">
        <f t="shared" si="167"/>
        <v>0</v>
      </c>
      <c r="AO357" s="542">
        <f t="shared" si="168"/>
        <v>1300</v>
      </c>
      <c r="AP357" s="543">
        <f t="shared" si="169"/>
        <v>1300</v>
      </c>
      <c r="AQ357" s="544">
        <f t="shared" ca="1" si="170"/>
        <v>1300</v>
      </c>
      <c r="AR357" s="545">
        <f t="shared" ca="1" si="171"/>
        <v>1.6883116883116882E-2</v>
      </c>
      <c r="AS357" s="545">
        <f ca="1">IFERROR(CEILING($AR357*VLOOKUP($I357,Ref!$B$23:$E$29,4,0),1),0)</f>
        <v>1</v>
      </c>
      <c r="AT357" s="545" t="str">
        <f ca="1">IF(A357="","",IF(AP357&lt;=1,"Cleared",IF(AS357=0,"Clean",VLOOKUP($AS357,Ref!$G$23:$H$28,2))))</f>
        <v>1.(0-30) Days</v>
      </c>
      <c r="AU357" s="546" t="str">
        <f t="shared" si="172"/>
        <v>Ok</v>
      </c>
    </row>
    <row r="358" spans="1:47" ht="14.25" customHeight="1" x14ac:dyDescent="0.15">
      <c r="A358" s="575">
        <v>44534</v>
      </c>
      <c r="B358" s="523">
        <v>192</v>
      </c>
      <c r="C358" s="523">
        <v>354</v>
      </c>
      <c r="D358" s="523">
        <v>2</v>
      </c>
      <c r="E358" s="579" t="s">
        <v>1274</v>
      </c>
      <c r="F358" s="580">
        <v>400000</v>
      </c>
      <c r="G358" s="524">
        <v>4</v>
      </c>
      <c r="H358" s="555">
        <v>0.05</v>
      </c>
      <c r="I358" s="560" t="s">
        <v>859</v>
      </c>
      <c r="J358" s="523" t="s">
        <v>864</v>
      </c>
      <c r="K358" s="528" t="str">
        <f>IFERROR(VLOOKUP($B358,'Clients-Live'!$A:$C,3,0),"")</f>
        <v>MAZARAU AISHA</v>
      </c>
      <c r="L358" s="528">
        <f>IF(E358="STL",Pricing!$D$38,IF(A358="",0,IF(A358&lt;Pricing!$C$25,Pricing!$D$25,VLOOKUP(Disbursements!$F358,Pricing!$B$29:$D$32,3))))</f>
        <v>15000</v>
      </c>
      <c r="M358" s="528">
        <f>IF(E358="STL",0,IF(F358&gt;0,Pricing!$D$21,0))</f>
        <v>5000</v>
      </c>
      <c r="N358" s="529">
        <f>IF(E358="STL",F358*Pricing!$D$40,IF(A358&lt;=Pricing!$C$4,0,IF(AND(A358&gt;Pricing!$C$4,Disbursements!A358&lt;=Pricing!$C$5),F358*Pricing!$E$5,IF(AND(A358&gt;Pricing!$C$5,Disbursements!A358&lt;=Pricing!$C$7),VLOOKUP(F358,Pricing!$D$7:$E$8,2)*Disbursements!F358,F358*Pricing!$E$9))))</f>
        <v>4000</v>
      </c>
      <c r="O358" s="528">
        <f>IF(E358="STL",0,IF($F358&gt;0,$F358*Pricing!$D$17,0))</f>
        <v>40000</v>
      </c>
      <c r="P358" s="530">
        <f t="shared" si="152"/>
        <v>80000</v>
      </c>
      <c r="Q358" s="531">
        <f>IF($A358="","",$G358/VLOOKUP($I358,Ref!$B$23:$D$29,2,0))</f>
        <v>4</v>
      </c>
      <c r="R358" s="530">
        <f t="shared" si="153"/>
        <v>480000</v>
      </c>
      <c r="S358" s="532">
        <f t="shared" si="147"/>
        <v>120000</v>
      </c>
      <c r="T358" s="531">
        <f t="shared" si="154"/>
        <v>120000</v>
      </c>
      <c r="U358" s="533">
        <f t="shared" si="155"/>
        <v>480000</v>
      </c>
      <c r="V358" s="531">
        <f t="shared" si="156"/>
        <v>100000</v>
      </c>
      <c r="W358" s="531">
        <f t="shared" si="157"/>
        <v>20000</v>
      </c>
      <c r="X358" s="534">
        <f t="shared" si="158"/>
        <v>80000</v>
      </c>
      <c r="Y358" s="535">
        <f>IF($A358="","",IF($I358="weekly",$A358+7,EDATE($A358,VLOOKUP($I358,Ref!$B$24:$C$29,2,0))))</f>
        <v>44565</v>
      </c>
      <c r="Z358" s="536" t="str">
        <f t="shared" si="159"/>
        <v>Tue</v>
      </c>
      <c r="AA358" s="531">
        <f t="shared" si="160"/>
        <v>31</v>
      </c>
      <c r="AB358" s="535">
        <f t="shared" si="148"/>
        <v>44655</v>
      </c>
      <c r="AC358" s="537">
        <f t="shared" si="149"/>
        <v>121</v>
      </c>
      <c r="AD358" s="538" t="str">
        <f t="shared" ca="1" si="150"/>
        <v>Expired</v>
      </c>
      <c r="AE358" s="537">
        <f t="shared" ca="1" si="151"/>
        <v>0</v>
      </c>
      <c r="AF358" s="539">
        <f t="shared" ca="1" si="161"/>
        <v>4</v>
      </c>
      <c r="AG358" s="531">
        <f t="shared" ca="1" si="162"/>
        <v>480000</v>
      </c>
      <c r="AH358" s="531">
        <f t="shared" ca="1" si="163"/>
        <v>80000</v>
      </c>
      <c r="AI358" s="531">
        <f t="shared" ca="1" si="164"/>
        <v>400000</v>
      </c>
      <c r="AJ358" s="531">
        <f t="shared" ca="1" si="165"/>
        <v>0</v>
      </c>
      <c r="AK358" s="540">
        <f>SUMIFS('Live Collections'!$S:$S,'Live Collections'!$D:$D,Disbursements!B358,'Live Collections'!$G:$G,Disbursements!C358)</f>
        <v>80000</v>
      </c>
      <c r="AL358" s="540">
        <f>SUMIFS('Live Collections'!$T:$T,'Live Collections'!$D:$D,Disbursements!B358,'Live Collections'!$G:$G,Disbursements!C358)</f>
        <v>320000</v>
      </c>
      <c r="AM358" s="541">
        <f t="shared" si="166"/>
        <v>400000</v>
      </c>
      <c r="AN358" s="542">
        <f t="shared" si="167"/>
        <v>0</v>
      </c>
      <c r="AO358" s="542">
        <f t="shared" si="168"/>
        <v>80000</v>
      </c>
      <c r="AP358" s="543">
        <f t="shared" si="169"/>
        <v>80000</v>
      </c>
      <c r="AQ358" s="544">
        <f t="shared" ca="1" si="170"/>
        <v>80000</v>
      </c>
      <c r="AR358" s="545">
        <f t="shared" ca="1" si="171"/>
        <v>0.66666666666666663</v>
      </c>
      <c r="AS358" s="545">
        <f ca="1">IFERROR(CEILING($AR358*VLOOKUP($I358,Ref!$B$23:$E$29,4,0),1),0)</f>
        <v>20</v>
      </c>
      <c r="AT358" s="545" t="str">
        <f ca="1">IF(A358="","",IF(AP358&lt;=1,"Cleared",IF(AS358=0,"Clean",VLOOKUP($AS358,Ref!$G$23:$H$28,2))))</f>
        <v>1.(0-30) Days</v>
      </c>
      <c r="AU358" s="546" t="str">
        <f t="shared" si="172"/>
        <v>Ok</v>
      </c>
    </row>
    <row r="359" spans="1:47" ht="14.25" customHeight="1" x14ac:dyDescent="0.15">
      <c r="A359" s="575">
        <v>44534</v>
      </c>
      <c r="B359" s="523">
        <v>289</v>
      </c>
      <c r="C359" s="523">
        <v>353</v>
      </c>
      <c r="D359" s="523">
        <v>1</v>
      </c>
      <c r="E359" s="579" t="s">
        <v>1274</v>
      </c>
      <c r="F359" s="580">
        <v>500000</v>
      </c>
      <c r="G359" s="524">
        <v>4</v>
      </c>
      <c r="H359" s="555">
        <v>0.05</v>
      </c>
      <c r="I359" s="560" t="s">
        <v>859</v>
      </c>
      <c r="J359" s="523" t="s">
        <v>864</v>
      </c>
      <c r="K359" s="528" t="str">
        <f>IFERROR(VLOOKUP($B359,'Clients-Live'!$A:$C,3,0),"")</f>
        <v>NAUME NIGHT</v>
      </c>
      <c r="L359" s="528">
        <f>IF(E359="STL",Pricing!$D$38,IF(A359="",0,IF(A359&lt;Pricing!$C$25,Pricing!$D$25,VLOOKUP(Disbursements!$F359,Pricing!$B$29:$D$32,3))))</f>
        <v>15000</v>
      </c>
      <c r="M359" s="528">
        <f>IF(E359="STL",0,IF(F359&gt;0,Pricing!$D$21,0))</f>
        <v>5000</v>
      </c>
      <c r="N359" s="529">
        <f>IF(E359="STL",F359*Pricing!$D$40,IF(A359&lt;=Pricing!$C$4,0,IF(AND(A359&gt;Pricing!$C$4,Disbursements!A359&lt;=Pricing!$C$5),F359*Pricing!$E$5,IF(AND(A359&gt;Pricing!$C$5,Disbursements!A359&lt;=Pricing!$C$7),VLOOKUP(F359,Pricing!$D$7:$E$8,2)*Disbursements!F359,F359*Pricing!$E$9))))</f>
        <v>5000</v>
      </c>
      <c r="O359" s="528">
        <f>IF(E359="STL",0,IF($F359&gt;0,$F359*Pricing!$D$17,0))</f>
        <v>50000</v>
      </c>
      <c r="P359" s="530">
        <f t="shared" si="152"/>
        <v>100000</v>
      </c>
      <c r="Q359" s="531">
        <f>IF($A359="","",$G359/VLOOKUP($I359,Ref!$B$23:$D$29,2,0))</f>
        <v>4</v>
      </c>
      <c r="R359" s="530">
        <f t="shared" si="153"/>
        <v>600000</v>
      </c>
      <c r="S359" s="532">
        <f t="shared" si="147"/>
        <v>150000</v>
      </c>
      <c r="T359" s="531">
        <f t="shared" si="154"/>
        <v>150000</v>
      </c>
      <c r="U359" s="533">
        <f t="shared" si="155"/>
        <v>600000</v>
      </c>
      <c r="V359" s="531">
        <f t="shared" si="156"/>
        <v>125000</v>
      </c>
      <c r="W359" s="531">
        <f t="shared" si="157"/>
        <v>25000</v>
      </c>
      <c r="X359" s="534">
        <f t="shared" si="158"/>
        <v>100000</v>
      </c>
      <c r="Y359" s="535">
        <f>IF($A359="","",IF($I359="weekly",$A359+7,EDATE($A359,VLOOKUP($I359,Ref!$B$24:$C$29,2,0))))</f>
        <v>44565</v>
      </c>
      <c r="Z359" s="536" t="str">
        <f t="shared" si="159"/>
        <v>Tue</v>
      </c>
      <c r="AA359" s="531">
        <f t="shared" si="160"/>
        <v>31</v>
      </c>
      <c r="AB359" s="535">
        <f t="shared" si="148"/>
        <v>44655</v>
      </c>
      <c r="AC359" s="537">
        <f t="shared" si="149"/>
        <v>121</v>
      </c>
      <c r="AD359" s="538" t="str">
        <f t="shared" ca="1" si="150"/>
        <v>Expired</v>
      </c>
      <c r="AE359" s="537">
        <f t="shared" ca="1" si="151"/>
        <v>0</v>
      </c>
      <c r="AF359" s="539">
        <f t="shared" ca="1" si="161"/>
        <v>4</v>
      </c>
      <c r="AG359" s="531">
        <f t="shared" ca="1" si="162"/>
        <v>600000</v>
      </c>
      <c r="AH359" s="531">
        <f t="shared" ca="1" si="163"/>
        <v>100000</v>
      </c>
      <c r="AI359" s="531">
        <f t="shared" ca="1" si="164"/>
        <v>500000</v>
      </c>
      <c r="AJ359" s="531">
        <f t="shared" ca="1" si="165"/>
        <v>0</v>
      </c>
      <c r="AK359" s="540">
        <f>SUMIFS('Live Collections'!$S:$S,'Live Collections'!$D:$D,Disbursements!B359,'Live Collections'!$G:$G,Disbursements!C359)</f>
        <v>100000</v>
      </c>
      <c r="AL359" s="540">
        <f>SUMIFS('Live Collections'!$T:$T,'Live Collections'!$D:$D,Disbursements!B359,'Live Collections'!$G:$G,Disbursements!C359)</f>
        <v>500000</v>
      </c>
      <c r="AM359" s="541">
        <f t="shared" si="166"/>
        <v>600000</v>
      </c>
      <c r="AN359" s="542">
        <f t="shared" si="167"/>
        <v>0</v>
      </c>
      <c r="AO359" s="542">
        <f t="shared" si="168"/>
        <v>0</v>
      </c>
      <c r="AP359" s="543">
        <f t="shared" si="169"/>
        <v>0</v>
      </c>
      <c r="AQ359" s="544" t="str">
        <f t="shared" ca="1" si="170"/>
        <v/>
      </c>
      <c r="AR359" s="545">
        <f t="shared" ca="1" si="171"/>
        <v>0</v>
      </c>
      <c r="AS359" s="545">
        <f ca="1">IFERROR(CEILING($AR359*VLOOKUP($I359,Ref!$B$23:$E$29,4,0),1),0)</f>
        <v>0</v>
      </c>
      <c r="AT359" s="545" t="str">
        <f>IF(A359="","",IF(AP359&lt;=1,"Cleared",IF(AS359=0,"Clean",VLOOKUP($AS359,Ref!$G$23:$H$28,2))))</f>
        <v>Cleared</v>
      </c>
      <c r="AU359" s="546" t="str">
        <f t="shared" si="172"/>
        <v>Ok</v>
      </c>
    </row>
    <row r="360" spans="1:47" ht="14.25" customHeight="1" x14ac:dyDescent="0.15">
      <c r="A360" s="575">
        <v>44536</v>
      </c>
      <c r="B360" s="523">
        <v>75</v>
      </c>
      <c r="C360" s="523">
        <v>357</v>
      </c>
      <c r="D360" s="523">
        <v>3</v>
      </c>
      <c r="E360" s="579" t="s">
        <v>1274</v>
      </c>
      <c r="F360" s="580">
        <v>700000</v>
      </c>
      <c r="G360" s="524">
        <v>5</v>
      </c>
      <c r="H360" s="555">
        <v>0.05</v>
      </c>
      <c r="I360" s="560" t="s">
        <v>859</v>
      </c>
      <c r="J360" s="523" t="s">
        <v>862</v>
      </c>
      <c r="K360" s="528" t="str">
        <f>IFERROR(VLOOKUP($B360,'Clients-Live'!$A:$C,3,0),"")</f>
        <v>MUKULIA JAMES</v>
      </c>
      <c r="L360" s="528">
        <f>IF(E360="STL",Pricing!$D$38,IF(A360="",0,IF(A360&lt;Pricing!$C$25,Pricing!$D$25,VLOOKUP(Disbursements!$F360,Pricing!$B$29:$D$32,3))))</f>
        <v>20000</v>
      </c>
      <c r="M360" s="528">
        <f>IF(E360="STL",0,IF(F360&gt;0,Pricing!$D$21,0))</f>
        <v>5000</v>
      </c>
      <c r="N360" s="529">
        <f>IF(E360="STL",F360*Pricing!$D$40,IF(A360&lt;=Pricing!$C$4,0,IF(AND(A360&gt;Pricing!$C$4,Disbursements!A360&lt;=Pricing!$C$5),F360*Pricing!$E$5,IF(AND(A360&gt;Pricing!$C$5,Disbursements!A360&lt;=Pricing!$C$7),VLOOKUP(F360,Pricing!$D$7:$E$8,2)*Disbursements!F360,F360*Pricing!$E$9))))</f>
        <v>7000</v>
      </c>
      <c r="O360" s="528">
        <f>IF(E360="STL",0,IF($F360&gt;0,$F360*Pricing!$D$17,0))</f>
        <v>70000</v>
      </c>
      <c r="P360" s="530">
        <f t="shared" si="152"/>
        <v>175000</v>
      </c>
      <c r="Q360" s="531">
        <f>IF($A360="","",$G360/VLOOKUP($I360,Ref!$B$23:$D$29,2,0))</f>
        <v>5</v>
      </c>
      <c r="R360" s="530">
        <f t="shared" si="153"/>
        <v>875000</v>
      </c>
      <c r="S360" s="532">
        <f t="shared" si="147"/>
        <v>175000</v>
      </c>
      <c r="T360" s="531">
        <f t="shared" si="154"/>
        <v>175000</v>
      </c>
      <c r="U360" s="533">
        <f t="shared" si="155"/>
        <v>875000</v>
      </c>
      <c r="V360" s="531">
        <f t="shared" si="156"/>
        <v>140000</v>
      </c>
      <c r="W360" s="531">
        <f t="shared" si="157"/>
        <v>35000</v>
      </c>
      <c r="X360" s="534">
        <f t="shared" si="158"/>
        <v>175000</v>
      </c>
      <c r="Y360" s="535">
        <f>IF($A360="","",IF($I360="weekly",$A360+7,EDATE($A360,VLOOKUP($I360,Ref!$B$24:$C$29,2,0))))</f>
        <v>44567</v>
      </c>
      <c r="Z360" s="536" t="str">
        <f t="shared" si="159"/>
        <v>Thu</v>
      </c>
      <c r="AA360" s="531">
        <f t="shared" si="160"/>
        <v>31</v>
      </c>
      <c r="AB360" s="535">
        <f t="shared" si="148"/>
        <v>44687</v>
      </c>
      <c r="AC360" s="537">
        <f t="shared" si="149"/>
        <v>151</v>
      </c>
      <c r="AD360" s="538" t="str">
        <f t="shared" ca="1" si="150"/>
        <v>Expired</v>
      </c>
      <c r="AE360" s="537">
        <f t="shared" ca="1" si="151"/>
        <v>0</v>
      </c>
      <c r="AF360" s="539">
        <f t="shared" ca="1" si="161"/>
        <v>5</v>
      </c>
      <c r="AG360" s="531">
        <f t="shared" ca="1" si="162"/>
        <v>875000</v>
      </c>
      <c r="AH360" s="531">
        <f t="shared" ca="1" si="163"/>
        <v>175000</v>
      </c>
      <c r="AI360" s="531">
        <f t="shared" ca="1" si="164"/>
        <v>700000</v>
      </c>
      <c r="AJ360" s="531">
        <f t="shared" ca="1" si="165"/>
        <v>0</v>
      </c>
      <c r="AK360" s="540">
        <f>SUMIFS('Live Collections'!$S:$S,'Live Collections'!$D:$D,Disbursements!B360,'Live Collections'!$G:$G,Disbursements!C360)</f>
        <v>165666.66666666666</v>
      </c>
      <c r="AL360" s="540">
        <f>SUMIFS('Live Collections'!$T:$T,'Live Collections'!$D:$D,Disbursements!B360,'Live Collections'!$G:$G,Disbursements!C360)</f>
        <v>414333.33333333337</v>
      </c>
      <c r="AM360" s="541">
        <f t="shared" si="166"/>
        <v>580000</v>
      </c>
      <c r="AN360" s="542">
        <f t="shared" si="167"/>
        <v>9333.333333333343</v>
      </c>
      <c r="AO360" s="542">
        <f t="shared" si="168"/>
        <v>285666.66666666663</v>
      </c>
      <c r="AP360" s="543">
        <f t="shared" si="169"/>
        <v>295000</v>
      </c>
      <c r="AQ360" s="544">
        <f t="shared" ca="1" si="170"/>
        <v>295000</v>
      </c>
      <c r="AR360" s="545">
        <f t="shared" ca="1" si="171"/>
        <v>1.6857142857142857</v>
      </c>
      <c r="AS360" s="545">
        <f ca="1">IFERROR(CEILING($AR360*VLOOKUP($I360,Ref!$B$23:$E$29,4,0),1),0)</f>
        <v>51</v>
      </c>
      <c r="AT360" s="545" t="str">
        <f ca="1">IF(A360="","",IF(AP360&lt;=1,"Cleared",IF(AS360=0,"Clean",VLOOKUP($AS360,Ref!$G$23:$H$28,2))))</f>
        <v>2.(31-60) Days</v>
      </c>
      <c r="AU360" s="546" t="str">
        <f t="shared" si="172"/>
        <v>Ok</v>
      </c>
    </row>
    <row r="361" spans="1:47" ht="14.25" customHeight="1" x14ac:dyDescent="0.15">
      <c r="A361" s="575">
        <v>44536</v>
      </c>
      <c r="B361" s="523">
        <v>276</v>
      </c>
      <c r="C361" s="523">
        <v>358</v>
      </c>
      <c r="D361" s="523">
        <v>1</v>
      </c>
      <c r="E361" s="579" t="s">
        <v>1274</v>
      </c>
      <c r="F361" s="580">
        <v>1500000</v>
      </c>
      <c r="G361" s="524">
        <v>6</v>
      </c>
      <c r="H361" s="555">
        <v>0.05</v>
      </c>
      <c r="I361" s="560" t="s">
        <v>859</v>
      </c>
      <c r="J361" s="523" t="s">
        <v>862</v>
      </c>
      <c r="K361" s="528" t="str">
        <f>IFERROR(VLOOKUP($B361,'Clients-Live'!$A:$C,3,0),"")</f>
        <v>MANDELA SWAIBU</v>
      </c>
      <c r="L361" s="528">
        <f>IF(E361="STL",Pricing!$D$38,IF(A361="",0,IF(A361&lt;Pricing!$C$25,Pricing!$D$25,VLOOKUP(Disbursements!$F361,Pricing!$B$29:$D$32,3))))</f>
        <v>25000</v>
      </c>
      <c r="M361" s="528">
        <f>IF(E361="STL",0,IF(F361&gt;0,Pricing!$D$21,0))</f>
        <v>5000</v>
      </c>
      <c r="N361" s="529">
        <f>IF(E361="STL",F361*Pricing!$D$40,IF(A361&lt;=Pricing!$C$4,0,IF(AND(A361&gt;Pricing!$C$4,Disbursements!A361&lt;=Pricing!$C$5),F361*Pricing!$E$5,IF(AND(A361&gt;Pricing!$C$5,Disbursements!A361&lt;=Pricing!$C$7),VLOOKUP(F361,Pricing!$D$7:$E$8,2)*Disbursements!F361,F361*Pricing!$E$9))))</f>
        <v>30000</v>
      </c>
      <c r="O361" s="528">
        <f>IF(E361="STL",0,IF($F361&gt;0,$F361*Pricing!$D$17,0))</f>
        <v>150000</v>
      </c>
      <c r="P361" s="530">
        <f t="shared" si="152"/>
        <v>450000</v>
      </c>
      <c r="Q361" s="531">
        <f>IF($A361="","",$G361/VLOOKUP($I361,Ref!$B$23:$D$29,2,0))</f>
        <v>6</v>
      </c>
      <c r="R361" s="530">
        <f t="shared" si="153"/>
        <v>1950000</v>
      </c>
      <c r="S361" s="532">
        <f t="shared" si="147"/>
        <v>325000</v>
      </c>
      <c r="T361" s="531">
        <f t="shared" si="154"/>
        <v>325000</v>
      </c>
      <c r="U361" s="533">
        <f t="shared" si="155"/>
        <v>1950000</v>
      </c>
      <c r="V361" s="531">
        <f t="shared" si="156"/>
        <v>250000</v>
      </c>
      <c r="W361" s="531">
        <f t="shared" si="157"/>
        <v>75000</v>
      </c>
      <c r="X361" s="534">
        <f t="shared" si="158"/>
        <v>450000</v>
      </c>
      <c r="Y361" s="535">
        <f>IF($A361="","",IF($I361="weekly",$A361+7,EDATE($A361,VLOOKUP($I361,Ref!$B$24:$C$29,2,0))))</f>
        <v>44567</v>
      </c>
      <c r="Z361" s="536" t="str">
        <f t="shared" si="159"/>
        <v>Thu</v>
      </c>
      <c r="AA361" s="531">
        <f t="shared" si="160"/>
        <v>31</v>
      </c>
      <c r="AB361" s="535">
        <f t="shared" si="148"/>
        <v>44718</v>
      </c>
      <c r="AC361" s="537">
        <f t="shared" si="149"/>
        <v>182</v>
      </c>
      <c r="AD361" s="538" t="str">
        <f t="shared" ca="1" si="150"/>
        <v>Expired</v>
      </c>
      <c r="AE361" s="537">
        <f t="shared" ca="1" si="151"/>
        <v>0</v>
      </c>
      <c r="AF361" s="539">
        <f t="shared" ca="1" si="161"/>
        <v>6</v>
      </c>
      <c r="AG361" s="531">
        <f t="shared" ca="1" si="162"/>
        <v>1950000</v>
      </c>
      <c r="AH361" s="531">
        <f t="shared" ca="1" si="163"/>
        <v>450000</v>
      </c>
      <c r="AI361" s="531">
        <f t="shared" ca="1" si="164"/>
        <v>1500000</v>
      </c>
      <c r="AJ361" s="531">
        <f t="shared" ca="1" si="165"/>
        <v>0</v>
      </c>
      <c r="AK361" s="540">
        <f>SUMIFS('Live Collections'!$S:$S,'Live Collections'!$D:$D,Disbursements!B361,'Live Collections'!$G:$G,Disbursements!C361)</f>
        <v>289000</v>
      </c>
      <c r="AL361" s="540">
        <f>SUMIFS('Live Collections'!$T:$T,'Live Collections'!$D:$D,Disbursements!B361,'Live Collections'!$G:$G,Disbursements!C361)</f>
        <v>561000</v>
      </c>
      <c r="AM361" s="541">
        <f t="shared" si="166"/>
        <v>850000</v>
      </c>
      <c r="AN361" s="542">
        <f t="shared" si="167"/>
        <v>161000</v>
      </c>
      <c r="AO361" s="542">
        <f t="shared" si="168"/>
        <v>939000</v>
      </c>
      <c r="AP361" s="543">
        <f t="shared" si="169"/>
        <v>1100000</v>
      </c>
      <c r="AQ361" s="544">
        <f t="shared" ca="1" si="170"/>
        <v>1100000</v>
      </c>
      <c r="AR361" s="545">
        <f t="shared" ca="1" si="171"/>
        <v>3.3846153846153846</v>
      </c>
      <c r="AS361" s="545">
        <f ca="1">IFERROR(CEILING($AR361*VLOOKUP($I361,Ref!$B$23:$E$29,4,0),1),0)</f>
        <v>102</v>
      </c>
      <c r="AT361" s="545" t="str">
        <f ca="1">IF(A361="","",IF(AP361&lt;=1,"Cleared",IF(AS361=0,"Clean",VLOOKUP($AS361,Ref!$G$23:$H$28,2))))</f>
        <v>4.(91-365) Days</v>
      </c>
      <c r="AU361" s="546" t="str">
        <f t="shared" si="172"/>
        <v>Ok</v>
      </c>
    </row>
    <row r="362" spans="1:47" ht="14.25" customHeight="1" x14ac:dyDescent="0.15">
      <c r="A362" s="575">
        <v>44537</v>
      </c>
      <c r="B362" s="523">
        <v>185</v>
      </c>
      <c r="C362" s="523">
        <v>360</v>
      </c>
      <c r="D362" s="523">
        <v>2</v>
      </c>
      <c r="E362" s="579" t="s">
        <v>1274</v>
      </c>
      <c r="F362" s="580">
        <v>1500000</v>
      </c>
      <c r="G362" s="524">
        <v>6</v>
      </c>
      <c r="H362" s="555">
        <v>0.05</v>
      </c>
      <c r="I362" s="560" t="s">
        <v>859</v>
      </c>
      <c r="J362" s="523" t="s">
        <v>864</v>
      </c>
      <c r="K362" s="528" t="str">
        <f>IFERROR(VLOOKUP($B362,'Clients-Live'!$A:$C,3,0),"")</f>
        <v>APAYI HARRIET</v>
      </c>
      <c r="L362" s="528">
        <f>IF(E362="STL",Pricing!$D$38,IF(A362="",0,IF(A362&lt;Pricing!$C$25,Pricing!$D$25,VLOOKUP(Disbursements!$F362,Pricing!$B$29:$D$32,3))))</f>
        <v>25000</v>
      </c>
      <c r="M362" s="528">
        <f>IF(E362="STL",0,IF(F362&gt;0,Pricing!$D$21,0))</f>
        <v>5000</v>
      </c>
      <c r="N362" s="529">
        <f>IF(E362="STL",F362*Pricing!$D$40,IF(A362&lt;=Pricing!$C$4,0,IF(AND(A362&gt;Pricing!$C$4,Disbursements!A362&lt;=Pricing!$C$5),F362*Pricing!$E$5,IF(AND(A362&gt;Pricing!$C$5,Disbursements!A362&lt;=Pricing!$C$7),VLOOKUP(F362,Pricing!$D$7:$E$8,2)*Disbursements!F362,F362*Pricing!$E$9))))</f>
        <v>30000</v>
      </c>
      <c r="O362" s="528">
        <f>IF(E362="STL",0,IF($F362&gt;0,$F362*Pricing!$D$17,0))</f>
        <v>150000</v>
      </c>
      <c r="P362" s="530">
        <f t="shared" si="152"/>
        <v>450000</v>
      </c>
      <c r="Q362" s="531">
        <f>IF($A362="","",$G362/VLOOKUP($I362,Ref!$B$23:$D$29,2,0))</f>
        <v>6</v>
      </c>
      <c r="R362" s="530">
        <f t="shared" si="153"/>
        <v>1950000</v>
      </c>
      <c r="S362" s="532">
        <f t="shared" si="147"/>
        <v>325000</v>
      </c>
      <c r="T362" s="531">
        <f t="shared" si="154"/>
        <v>325000</v>
      </c>
      <c r="U362" s="533">
        <f t="shared" si="155"/>
        <v>1950000</v>
      </c>
      <c r="V362" s="531">
        <f t="shared" si="156"/>
        <v>250000</v>
      </c>
      <c r="W362" s="531">
        <f t="shared" si="157"/>
        <v>75000</v>
      </c>
      <c r="X362" s="534">
        <f t="shared" si="158"/>
        <v>450000</v>
      </c>
      <c r="Y362" s="535">
        <f>IF($A362="","",IF($I362="weekly",$A362+7,EDATE($A362,VLOOKUP($I362,Ref!$B$24:$C$29,2,0))))</f>
        <v>44568</v>
      </c>
      <c r="Z362" s="536" t="str">
        <f t="shared" si="159"/>
        <v>Frid</v>
      </c>
      <c r="AA362" s="531">
        <f t="shared" si="160"/>
        <v>31</v>
      </c>
      <c r="AB362" s="535">
        <f t="shared" si="148"/>
        <v>44719</v>
      </c>
      <c r="AC362" s="537">
        <f t="shared" si="149"/>
        <v>182</v>
      </c>
      <c r="AD362" s="538" t="str">
        <f t="shared" ca="1" si="150"/>
        <v>Expired</v>
      </c>
      <c r="AE362" s="537">
        <f t="shared" ca="1" si="151"/>
        <v>0</v>
      </c>
      <c r="AF362" s="539">
        <f t="shared" ca="1" si="161"/>
        <v>6</v>
      </c>
      <c r="AG362" s="531">
        <f t="shared" ca="1" si="162"/>
        <v>1950000</v>
      </c>
      <c r="AH362" s="531">
        <f t="shared" ca="1" si="163"/>
        <v>450000</v>
      </c>
      <c r="AI362" s="531">
        <f t="shared" ca="1" si="164"/>
        <v>1500000</v>
      </c>
      <c r="AJ362" s="531">
        <f t="shared" ca="1" si="165"/>
        <v>0</v>
      </c>
      <c r="AK362" s="540">
        <f>SUMIFS('Live Collections'!$S:$S,'Live Collections'!$D:$D,Disbursements!B362,'Live Collections'!$G:$G,Disbursements!C362)</f>
        <v>232000</v>
      </c>
      <c r="AL362" s="540">
        <f>SUMIFS('Live Collections'!$T:$T,'Live Collections'!$D:$D,Disbursements!B362,'Live Collections'!$G:$G,Disbursements!C362)</f>
        <v>1092000</v>
      </c>
      <c r="AM362" s="541">
        <f t="shared" si="166"/>
        <v>1324000</v>
      </c>
      <c r="AN362" s="542">
        <f t="shared" si="167"/>
        <v>218000</v>
      </c>
      <c r="AO362" s="542">
        <f t="shared" si="168"/>
        <v>408000</v>
      </c>
      <c r="AP362" s="543">
        <f t="shared" si="169"/>
        <v>626000</v>
      </c>
      <c r="AQ362" s="544">
        <f t="shared" ca="1" si="170"/>
        <v>626000</v>
      </c>
      <c r="AR362" s="545">
        <f t="shared" ca="1" si="171"/>
        <v>1.9261538461538461</v>
      </c>
      <c r="AS362" s="545">
        <f ca="1">IFERROR(CEILING($AR362*VLOOKUP($I362,Ref!$B$23:$E$29,4,0),1),0)</f>
        <v>58</v>
      </c>
      <c r="AT362" s="545" t="str">
        <f ca="1">IF(A362="","",IF(AP362&lt;=1,"Cleared",IF(AS362=0,"Clean",VLOOKUP($AS362,Ref!$G$23:$H$28,2))))</f>
        <v>2.(31-60) Days</v>
      </c>
      <c r="AU362" s="546" t="str">
        <f t="shared" si="172"/>
        <v>Ok</v>
      </c>
    </row>
    <row r="363" spans="1:47" ht="14.25" customHeight="1" x14ac:dyDescent="0.15">
      <c r="A363" s="575">
        <v>44539</v>
      </c>
      <c r="B363" s="523">
        <v>116</v>
      </c>
      <c r="C363" s="523">
        <v>361</v>
      </c>
      <c r="D363" s="523">
        <v>3</v>
      </c>
      <c r="E363" s="579" t="s">
        <v>1274</v>
      </c>
      <c r="F363" s="580">
        <v>400000</v>
      </c>
      <c r="G363" s="524">
        <v>4</v>
      </c>
      <c r="H363" s="555">
        <v>0.05</v>
      </c>
      <c r="I363" s="560" t="s">
        <v>859</v>
      </c>
      <c r="J363" s="523" t="s">
        <v>864</v>
      </c>
      <c r="K363" s="528" t="str">
        <f>IFERROR(VLOOKUP($B363,'Clients-Live'!$A:$C,3,0),"")</f>
        <v>ONZIA LUCY</v>
      </c>
      <c r="L363" s="528">
        <f>IF(E363="STL",Pricing!$D$38,IF(A363="",0,IF(A363&lt;Pricing!$C$25,Pricing!$D$25,VLOOKUP(Disbursements!$F363,Pricing!$B$29:$D$32,3))))</f>
        <v>15000</v>
      </c>
      <c r="M363" s="528">
        <f>IF(E363="STL",0,IF(F363&gt;0,Pricing!$D$21,0))</f>
        <v>5000</v>
      </c>
      <c r="N363" s="529">
        <f>IF(E363="STL",F363*Pricing!$D$40,IF(A363&lt;=Pricing!$C$4,0,IF(AND(A363&gt;Pricing!$C$4,Disbursements!A363&lt;=Pricing!$C$5),F363*Pricing!$E$5,IF(AND(A363&gt;Pricing!$C$5,Disbursements!A363&lt;=Pricing!$C$7),VLOOKUP(F363,Pricing!$D$7:$E$8,2)*Disbursements!F363,F363*Pricing!$E$9))))</f>
        <v>4000</v>
      </c>
      <c r="O363" s="528">
        <f>IF(E363="STL",0,IF($F363&gt;0,$F363*Pricing!$D$17,0))</f>
        <v>40000</v>
      </c>
      <c r="P363" s="530">
        <f t="shared" si="152"/>
        <v>80000</v>
      </c>
      <c r="Q363" s="531">
        <f>IF($A363="","",$G363/VLOOKUP($I363,Ref!$B$23:$D$29,2,0))</f>
        <v>4</v>
      </c>
      <c r="R363" s="530">
        <f t="shared" si="153"/>
        <v>480000</v>
      </c>
      <c r="S363" s="532">
        <f t="shared" si="147"/>
        <v>120000</v>
      </c>
      <c r="T363" s="531">
        <f t="shared" si="154"/>
        <v>120000</v>
      </c>
      <c r="U363" s="533">
        <f t="shared" si="155"/>
        <v>480000</v>
      </c>
      <c r="V363" s="531">
        <f t="shared" si="156"/>
        <v>100000</v>
      </c>
      <c r="W363" s="531">
        <f t="shared" si="157"/>
        <v>20000</v>
      </c>
      <c r="X363" s="534">
        <f t="shared" si="158"/>
        <v>80000</v>
      </c>
      <c r="Y363" s="535">
        <f>IF($A363="","",IF($I363="weekly",$A363+7,EDATE($A363,VLOOKUP($I363,Ref!$B$24:$C$29,2,0))))</f>
        <v>44570</v>
      </c>
      <c r="Z363" s="536" t="str">
        <f t="shared" si="159"/>
        <v>Sun</v>
      </c>
      <c r="AA363" s="531">
        <f t="shared" si="160"/>
        <v>31</v>
      </c>
      <c r="AB363" s="535">
        <f t="shared" si="148"/>
        <v>44660</v>
      </c>
      <c r="AC363" s="537">
        <f t="shared" si="149"/>
        <v>121</v>
      </c>
      <c r="AD363" s="538" t="str">
        <f t="shared" ca="1" si="150"/>
        <v>Expired</v>
      </c>
      <c r="AE363" s="537">
        <f t="shared" ca="1" si="151"/>
        <v>0</v>
      </c>
      <c r="AF363" s="539">
        <f t="shared" ca="1" si="161"/>
        <v>4</v>
      </c>
      <c r="AG363" s="531">
        <f t="shared" ca="1" si="162"/>
        <v>480000</v>
      </c>
      <c r="AH363" s="531">
        <f t="shared" ca="1" si="163"/>
        <v>80000</v>
      </c>
      <c r="AI363" s="531">
        <f t="shared" ca="1" si="164"/>
        <v>400000</v>
      </c>
      <c r="AJ363" s="531">
        <f t="shared" ca="1" si="165"/>
        <v>0</v>
      </c>
      <c r="AK363" s="540">
        <f>SUMIFS('Live Collections'!$S:$S,'Live Collections'!$D:$D,Disbursements!B363,'Live Collections'!$G:$G,Disbursements!C363)</f>
        <v>80000</v>
      </c>
      <c r="AL363" s="540">
        <f>SUMIFS('Live Collections'!$T:$T,'Live Collections'!$D:$D,Disbursements!B363,'Live Collections'!$G:$G,Disbursements!C363)</f>
        <v>244000</v>
      </c>
      <c r="AM363" s="541">
        <f t="shared" si="166"/>
        <v>324000</v>
      </c>
      <c r="AN363" s="542">
        <f t="shared" si="167"/>
        <v>0</v>
      </c>
      <c r="AO363" s="542">
        <f t="shared" si="168"/>
        <v>156000</v>
      </c>
      <c r="AP363" s="543">
        <f t="shared" si="169"/>
        <v>156000</v>
      </c>
      <c r="AQ363" s="544">
        <f t="shared" ca="1" si="170"/>
        <v>156000</v>
      </c>
      <c r="AR363" s="545">
        <f t="shared" ca="1" si="171"/>
        <v>1.3</v>
      </c>
      <c r="AS363" s="545">
        <f ca="1">IFERROR(CEILING($AR363*VLOOKUP($I363,Ref!$B$23:$E$29,4,0),1),0)</f>
        <v>39</v>
      </c>
      <c r="AT363" s="545" t="str">
        <f ca="1">IF(A363="","",IF(AP363&lt;=1,"Cleared",IF(AS363=0,"Clean",VLOOKUP($AS363,Ref!$G$23:$H$28,2))))</f>
        <v>2.(31-60) Days</v>
      </c>
      <c r="AU363" s="546" t="str">
        <f t="shared" si="172"/>
        <v>Ok</v>
      </c>
    </row>
    <row r="364" spans="1:47" ht="14.25" customHeight="1" x14ac:dyDescent="0.15">
      <c r="A364" s="575">
        <v>44539</v>
      </c>
      <c r="B364" s="523">
        <v>11</v>
      </c>
      <c r="C364" s="523">
        <v>363</v>
      </c>
      <c r="D364" s="523">
        <v>2</v>
      </c>
      <c r="E364" s="579" t="s">
        <v>1274</v>
      </c>
      <c r="F364" s="580">
        <v>700000</v>
      </c>
      <c r="G364" s="524">
        <v>6</v>
      </c>
      <c r="H364" s="555">
        <v>0.05</v>
      </c>
      <c r="I364" s="560" t="s">
        <v>859</v>
      </c>
      <c r="J364" s="523" t="s">
        <v>862</v>
      </c>
      <c r="K364" s="528" t="str">
        <f>IFERROR(VLOOKUP($B364,'Clients-Live'!$A:$C,3,0),"")</f>
        <v>ARIME JUMA</v>
      </c>
      <c r="L364" s="528">
        <f>IF(E364="STL",Pricing!$D$38,IF(A364="",0,IF(A364&lt;Pricing!$C$25,Pricing!$D$25,VLOOKUP(Disbursements!$F364,Pricing!$B$29:$D$32,3))))</f>
        <v>20000</v>
      </c>
      <c r="M364" s="528">
        <f>IF(E364="STL",0,IF(F364&gt;0,Pricing!$D$21,0))</f>
        <v>5000</v>
      </c>
      <c r="N364" s="529">
        <f>IF(E364="STL",F364*Pricing!$D$40,IF(A364&lt;=Pricing!$C$4,0,IF(AND(A364&gt;Pricing!$C$4,Disbursements!A364&lt;=Pricing!$C$5),F364*Pricing!$E$5,IF(AND(A364&gt;Pricing!$C$5,Disbursements!A364&lt;=Pricing!$C$7),VLOOKUP(F364,Pricing!$D$7:$E$8,2)*Disbursements!F364,F364*Pricing!$E$9))))</f>
        <v>7000</v>
      </c>
      <c r="O364" s="528">
        <f>IF(E364="STL",0,IF($F364&gt;0,$F364*Pricing!$D$17,0))</f>
        <v>70000</v>
      </c>
      <c r="P364" s="530">
        <f t="shared" si="152"/>
        <v>210000</v>
      </c>
      <c r="Q364" s="531">
        <f>IF($A364="","",$G364/VLOOKUP($I364,Ref!$B$23:$D$29,2,0))</f>
        <v>6</v>
      </c>
      <c r="R364" s="530">
        <f t="shared" si="153"/>
        <v>910000</v>
      </c>
      <c r="S364" s="532">
        <f t="shared" si="147"/>
        <v>151666.66666666666</v>
      </c>
      <c r="T364" s="531">
        <f t="shared" si="154"/>
        <v>152000</v>
      </c>
      <c r="U364" s="533">
        <f t="shared" si="155"/>
        <v>912000</v>
      </c>
      <c r="V364" s="531">
        <f t="shared" si="156"/>
        <v>116666.66666666667</v>
      </c>
      <c r="W364" s="531">
        <f t="shared" si="157"/>
        <v>35333.333333333328</v>
      </c>
      <c r="X364" s="534">
        <f t="shared" si="158"/>
        <v>211999.99999999997</v>
      </c>
      <c r="Y364" s="535">
        <f>IF($A364="","",IF($I364="weekly",$A364+7,EDATE($A364,VLOOKUP($I364,Ref!$B$24:$C$29,2,0))))</f>
        <v>44570</v>
      </c>
      <c r="Z364" s="536" t="str">
        <f t="shared" si="159"/>
        <v>Sun</v>
      </c>
      <c r="AA364" s="531">
        <f t="shared" si="160"/>
        <v>31</v>
      </c>
      <c r="AB364" s="535">
        <f t="shared" si="148"/>
        <v>44721</v>
      </c>
      <c r="AC364" s="537">
        <f t="shared" si="149"/>
        <v>182</v>
      </c>
      <c r="AD364" s="538" t="str">
        <f t="shared" ca="1" si="150"/>
        <v>Expired</v>
      </c>
      <c r="AE364" s="537">
        <f t="shared" ca="1" si="151"/>
        <v>0</v>
      </c>
      <c r="AF364" s="539">
        <f t="shared" ca="1" si="161"/>
        <v>6</v>
      </c>
      <c r="AG364" s="531">
        <f t="shared" ca="1" si="162"/>
        <v>912000</v>
      </c>
      <c r="AH364" s="531">
        <f t="shared" ca="1" si="163"/>
        <v>211999.99999999997</v>
      </c>
      <c r="AI364" s="531">
        <f t="shared" ca="1" si="164"/>
        <v>700000</v>
      </c>
      <c r="AJ364" s="531">
        <f t="shared" ca="1" si="165"/>
        <v>0</v>
      </c>
      <c r="AK364" s="540">
        <f>SUMIFS('Live Collections'!$S:$S,'Live Collections'!$D:$D,Disbursements!B364,'Live Collections'!$G:$G,Disbursements!C364)</f>
        <v>10000</v>
      </c>
      <c r="AL364" s="540">
        <f>SUMIFS('Live Collections'!$T:$T,'Live Collections'!$D:$D,Disbursements!B364,'Live Collections'!$G:$G,Disbursements!C364)</f>
        <v>90000</v>
      </c>
      <c r="AM364" s="541">
        <f t="shared" si="166"/>
        <v>100000</v>
      </c>
      <c r="AN364" s="542">
        <f t="shared" si="167"/>
        <v>201999.99999999997</v>
      </c>
      <c r="AO364" s="542">
        <f t="shared" si="168"/>
        <v>610000</v>
      </c>
      <c r="AP364" s="543">
        <f t="shared" si="169"/>
        <v>812000</v>
      </c>
      <c r="AQ364" s="544">
        <f t="shared" ca="1" si="170"/>
        <v>812000</v>
      </c>
      <c r="AR364" s="545">
        <f t="shared" ca="1" si="171"/>
        <v>5.3421052631578947</v>
      </c>
      <c r="AS364" s="545">
        <f ca="1">IFERROR(CEILING($AR364*VLOOKUP($I364,Ref!$B$23:$E$29,4,0),1),0)</f>
        <v>161</v>
      </c>
      <c r="AT364" s="545" t="str">
        <f ca="1">IF(A364="","",IF(AP364&lt;=1,"Cleared",IF(AS364=0,"Clean",VLOOKUP($AS364,Ref!$G$23:$H$28,2))))</f>
        <v>4.(91-365) Days</v>
      </c>
      <c r="AU364" s="546" t="str">
        <f t="shared" si="172"/>
        <v>Ok</v>
      </c>
    </row>
    <row r="365" spans="1:47" ht="14.25" customHeight="1" x14ac:dyDescent="0.15">
      <c r="A365" s="575">
        <v>44539</v>
      </c>
      <c r="B365" s="523">
        <v>44</v>
      </c>
      <c r="C365" s="523">
        <v>362</v>
      </c>
      <c r="D365" s="523">
        <v>3</v>
      </c>
      <c r="E365" s="579" t="s">
        <v>1274</v>
      </c>
      <c r="F365" s="580">
        <v>1500000</v>
      </c>
      <c r="G365" s="524">
        <v>6</v>
      </c>
      <c r="H365" s="555">
        <v>0.05</v>
      </c>
      <c r="I365" s="560" t="s">
        <v>859</v>
      </c>
      <c r="J365" s="523" t="s">
        <v>863</v>
      </c>
      <c r="K365" s="528" t="str">
        <f>IFERROR(VLOOKUP($B365,'Clients-Live'!$A:$C,3,0),"")</f>
        <v>CANDIRU HELLEN</v>
      </c>
      <c r="L365" s="528">
        <f>IF(E365="STL",Pricing!$D$38,IF(A365="",0,IF(A365&lt;Pricing!$C$25,Pricing!$D$25,VLOOKUP(Disbursements!$F365,Pricing!$B$29:$D$32,3))))</f>
        <v>25000</v>
      </c>
      <c r="M365" s="528">
        <f>IF(E365="STL",0,IF(F365&gt;0,Pricing!$D$21,0))</f>
        <v>5000</v>
      </c>
      <c r="N365" s="529">
        <f>IF(E365="STL",F365*Pricing!$D$40,IF(A365&lt;=Pricing!$C$4,0,IF(AND(A365&gt;Pricing!$C$4,Disbursements!A365&lt;=Pricing!$C$5),F365*Pricing!$E$5,IF(AND(A365&gt;Pricing!$C$5,Disbursements!A365&lt;=Pricing!$C$7),VLOOKUP(F365,Pricing!$D$7:$E$8,2)*Disbursements!F365,F365*Pricing!$E$9))))</f>
        <v>30000</v>
      </c>
      <c r="O365" s="528">
        <f>IF(E365="STL",0,IF($F365&gt;0,$F365*Pricing!$D$17,0))</f>
        <v>150000</v>
      </c>
      <c r="P365" s="530">
        <f t="shared" si="152"/>
        <v>450000</v>
      </c>
      <c r="Q365" s="531">
        <f>IF($A365="","",$G365/VLOOKUP($I365,Ref!$B$23:$D$29,2,0))</f>
        <v>6</v>
      </c>
      <c r="R365" s="530">
        <f t="shared" si="153"/>
        <v>1950000</v>
      </c>
      <c r="S365" s="532">
        <f t="shared" si="147"/>
        <v>325000</v>
      </c>
      <c r="T365" s="531">
        <f t="shared" si="154"/>
        <v>325000</v>
      </c>
      <c r="U365" s="533">
        <f t="shared" si="155"/>
        <v>1950000</v>
      </c>
      <c r="V365" s="531">
        <f t="shared" si="156"/>
        <v>250000</v>
      </c>
      <c r="W365" s="531">
        <f t="shared" si="157"/>
        <v>75000</v>
      </c>
      <c r="X365" s="534">
        <f t="shared" si="158"/>
        <v>450000</v>
      </c>
      <c r="Y365" s="535">
        <f>IF($A365="","",IF($I365="weekly",$A365+7,EDATE($A365,VLOOKUP($I365,Ref!$B$24:$C$29,2,0))))</f>
        <v>44570</v>
      </c>
      <c r="Z365" s="536" t="str">
        <f t="shared" si="159"/>
        <v>Sun</v>
      </c>
      <c r="AA365" s="531">
        <f t="shared" si="160"/>
        <v>31</v>
      </c>
      <c r="AB365" s="535">
        <f t="shared" si="148"/>
        <v>44721</v>
      </c>
      <c r="AC365" s="537">
        <f t="shared" si="149"/>
        <v>182</v>
      </c>
      <c r="AD365" s="538" t="str">
        <f t="shared" ca="1" si="150"/>
        <v>Expired</v>
      </c>
      <c r="AE365" s="537">
        <f t="shared" ca="1" si="151"/>
        <v>0</v>
      </c>
      <c r="AF365" s="539">
        <f t="shared" ca="1" si="161"/>
        <v>6</v>
      </c>
      <c r="AG365" s="531">
        <f t="shared" ca="1" si="162"/>
        <v>1950000</v>
      </c>
      <c r="AH365" s="531">
        <f t="shared" ca="1" si="163"/>
        <v>450000</v>
      </c>
      <c r="AI365" s="531">
        <f t="shared" ca="1" si="164"/>
        <v>1500000</v>
      </c>
      <c r="AJ365" s="531">
        <f t="shared" ca="1" si="165"/>
        <v>0</v>
      </c>
      <c r="AK365" s="540">
        <f>SUMIFS('Live Collections'!$S:$S,'Live Collections'!$D:$D,Disbursements!B365,'Live Collections'!$G:$G,Disbursements!C365)</f>
        <v>300000</v>
      </c>
      <c r="AL365" s="540">
        <f>SUMIFS('Live Collections'!$T:$T,'Live Collections'!$D:$D,Disbursements!B365,'Live Collections'!$G:$G,Disbursements!C365)</f>
        <v>865000</v>
      </c>
      <c r="AM365" s="541">
        <f t="shared" si="166"/>
        <v>1165000</v>
      </c>
      <c r="AN365" s="542">
        <f t="shared" si="167"/>
        <v>150000</v>
      </c>
      <c r="AO365" s="542">
        <f t="shared" si="168"/>
        <v>635000</v>
      </c>
      <c r="AP365" s="543">
        <f t="shared" si="169"/>
        <v>785000</v>
      </c>
      <c r="AQ365" s="544">
        <f t="shared" ca="1" si="170"/>
        <v>785000</v>
      </c>
      <c r="AR365" s="545">
        <f t="shared" ca="1" si="171"/>
        <v>2.4153846153846152</v>
      </c>
      <c r="AS365" s="545">
        <f ca="1">IFERROR(CEILING($AR365*VLOOKUP($I365,Ref!$B$23:$E$29,4,0),1),0)</f>
        <v>73</v>
      </c>
      <c r="AT365" s="545" t="str">
        <f ca="1">IF(A365="","",IF(AP365&lt;=1,"Cleared",IF(AS365=0,"Clean",VLOOKUP($AS365,Ref!$G$23:$H$28,2))))</f>
        <v>3.(61-90) Days</v>
      </c>
      <c r="AU365" s="546" t="str">
        <f t="shared" si="172"/>
        <v>Ok</v>
      </c>
    </row>
    <row r="366" spans="1:47" ht="14.25" customHeight="1" x14ac:dyDescent="0.15">
      <c r="A366" s="575">
        <v>44539</v>
      </c>
      <c r="B366" s="523">
        <v>300</v>
      </c>
      <c r="C366" s="523">
        <v>364</v>
      </c>
      <c r="D366" s="523">
        <v>1</v>
      </c>
      <c r="E366" s="579" t="s">
        <v>1274</v>
      </c>
      <c r="F366" s="580">
        <v>500000</v>
      </c>
      <c r="G366" s="524">
        <v>4</v>
      </c>
      <c r="H366" s="555">
        <v>0.05</v>
      </c>
      <c r="I366" s="560" t="s">
        <v>859</v>
      </c>
      <c r="J366" s="523" t="s">
        <v>863</v>
      </c>
      <c r="K366" s="528" t="str">
        <f>IFERROR(VLOOKUP($B366,'Clients-Live'!$A:$C,3,0),"")</f>
        <v>AYA ZAINABU</v>
      </c>
      <c r="L366" s="528">
        <f>IF(E366="STL",Pricing!$D$38,IF(A366="",0,IF(A366&lt;Pricing!$C$25,Pricing!$D$25,VLOOKUP(Disbursements!$F366,Pricing!$B$29:$D$32,3))))</f>
        <v>15000</v>
      </c>
      <c r="M366" s="528">
        <f>IF(E366="STL",0,IF(F366&gt;0,Pricing!$D$21,0))</f>
        <v>5000</v>
      </c>
      <c r="N366" s="529">
        <f>IF(E366="STL",F366*Pricing!$D$40,IF(A366&lt;=Pricing!$C$4,0,IF(AND(A366&gt;Pricing!$C$4,Disbursements!A366&lt;=Pricing!$C$5),F366*Pricing!$E$5,IF(AND(A366&gt;Pricing!$C$5,Disbursements!A366&lt;=Pricing!$C$7),VLOOKUP(F366,Pricing!$D$7:$E$8,2)*Disbursements!F366,F366*Pricing!$E$9))))</f>
        <v>5000</v>
      </c>
      <c r="O366" s="528">
        <f>IF(E366="STL",0,IF($F366&gt;0,$F366*Pricing!$D$17,0))</f>
        <v>50000</v>
      </c>
      <c r="P366" s="530">
        <f t="shared" si="152"/>
        <v>100000</v>
      </c>
      <c r="Q366" s="531">
        <f>IF($A366="","",$G366/VLOOKUP($I366,Ref!$B$23:$D$29,2,0))</f>
        <v>4</v>
      </c>
      <c r="R366" s="530">
        <f t="shared" si="153"/>
        <v>600000</v>
      </c>
      <c r="S366" s="532">
        <f t="shared" si="147"/>
        <v>150000</v>
      </c>
      <c r="T366" s="531">
        <f t="shared" si="154"/>
        <v>150000</v>
      </c>
      <c r="U366" s="533">
        <f t="shared" si="155"/>
        <v>600000</v>
      </c>
      <c r="V366" s="531">
        <f t="shared" si="156"/>
        <v>125000</v>
      </c>
      <c r="W366" s="531">
        <f t="shared" si="157"/>
        <v>25000</v>
      </c>
      <c r="X366" s="534">
        <f t="shared" si="158"/>
        <v>100000</v>
      </c>
      <c r="Y366" s="535">
        <f>IF($A366="","",IF($I366="weekly",$A366+7,EDATE($A366,VLOOKUP($I366,Ref!$B$24:$C$29,2,0))))</f>
        <v>44570</v>
      </c>
      <c r="Z366" s="536" t="str">
        <f t="shared" si="159"/>
        <v>Sun</v>
      </c>
      <c r="AA366" s="531">
        <f t="shared" si="160"/>
        <v>31</v>
      </c>
      <c r="AB366" s="535">
        <f t="shared" si="148"/>
        <v>44660</v>
      </c>
      <c r="AC366" s="537">
        <f t="shared" si="149"/>
        <v>121</v>
      </c>
      <c r="AD366" s="538" t="str">
        <f t="shared" ca="1" si="150"/>
        <v>Expired</v>
      </c>
      <c r="AE366" s="537">
        <f t="shared" ca="1" si="151"/>
        <v>0</v>
      </c>
      <c r="AF366" s="539">
        <f t="shared" ca="1" si="161"/>
        <v>4</v>
      </c>
      <c r="AG366" s="531">
        <f t="shared" ca="1" si="162"/>
        <v>600000</v>
      </c>
      <c r="AH366" s="531">
        <f t="shared" ca="1" si="163"/>
        <v>100000</v>
      </c>
      <c r="AI366" s="531">
        <f t="shared" ca="1" si="164"/>
        <v>500000</v>
      </c>
      <c r="AJ366" s="531">
        <f t="shared" ca="1" si="165"/>
        <v>0</v>
      </c>
      <c r="AK366" s="540">
        <f>SUMIFS('Live Collections'!$S:$S,'Live Collections'!$D:$D,Disbursements!B366,'Live Collections'!$G:$G,Disbursements!C366)</f>
        <v>100000</v>
      </c>
      <c r="AL366" s="540">
        <f>SUMIFS('Live Collections'!$T:$T,'Live Collections'!$D:$D,Disbursements!B366,'Live Collections'!$G:$G,Disbursements!C366)</f>
        <v>355000</v>
      </c>
      <c r="AM366" s="541">
        <f t="shared" si="166"/>
        <v>455000</v>
      </c>
      <c r="AN366" s="542">
        <f t="shared" si="167"/>
        <v>0</v>
      </c>
      <c r="AO366" s="542">
        <f t="shared" si="168"/>
        <v>145000</v>
      </c>
      <c r="AP366" s="543">
        <f t="shared" si="169"/>
        <v>145000</v>
      </c>
      <c r="AQ366" s="544">
        <f t="shared" ca="1" si="170"/>
        <v>145000</v>
      </c>
      <c r="AR366" s="545">
        <f t="shared" ca="1" si="171"/>
        <v>0.96666666666666667</v>
      </c>
      <c r="AS366" s="545">
        <f ca="1">IFERROR(CEILING($AR366*VLOOKUP($I366,Ref!$B$23:$E$29,4,0),1),0)</f>
        <v>29</v>
      </c>
      <c r="AT366" s="545" t="str">
        <f ca="1">IF(A366="","",IF(AP366&lt;=1,"Cleared",IF(AS366=0,"Clean",VLOOKUP($AS366,Ref!$G$23:$H$28,2))))</f>
        <v>1.(0-30) Days</v>
      </c>
      <c r="AU366" s="546" t="str">
        <f t="shared" si="172"/>
        <v>Ok</v>
      </c>
    </row>
    <row r="367" spans="1:47" ht="14.25" customHeight="1" x14ac:dyDescent="0.15">
      <c r="A367" s="575">
        <v>44540</v>
      </c>
      <c r="B367" s="523">
        <v>186</v>
      </c>
      <c r="C367" s="523">
        <v>366</v>
      </c>
      <c r="D367" s="523">
        <v>3</v>
      </c>
      <c r="E367" s="579" t="s">
        <v>1274</v>
      </c>
      <c r="F367" s="580">
        <v>2000000</v>
      </c>
      <c r="G367" s="524">
        <v>6</v>
      </c>
      <c r="H367" s="555">
        <v>0.05</v>
      </c>
      <c r="I367" s="560" t="s">
        <v>859</v>
      </c>
      <c r="J367" s="523" t="s">
        <v>862</v>
      </c>
      <c r="K367" s="528" t="str">
        <f>IFERROR(VLOOKUP($B367,'Clients-Live'!$A:$C,3,0),"")</f>
        <v>GIFT JAMES</v>
      </c>
      <c r="L367" s="528">
        <f>IF(E367="STL",Pricing!$D$38,IF(A367="",0,IF(A367&lt;Pricing!$C$25,Pricing!$D$25,VLOOKUP(Disbursements!$F367,Pricing!$B$29:$D$32,3))))</f>
        <v>25000</v>
      </c>
      <c r="M367" s="528">
        <f>IF(E367="STL",0,IF(F367&gt;0,Pricing!$D$21,0))</f>
        <v>5000</v>
      </c>
      <c r="N367" s="529">
        <f>IF(E367="STL",F367*Pricing!$D$40,IF(A367&lt;=Pricing!$C$4,0,IF(AND(A367&gt;Pricing!$C$4,Disbursements!A367&lt;=Pricing!$C$5),F367*Pricing!$E$5,IF(AND(A367&gt;Pricing!$C$5,Disbursements!A367&lt;=Pricing!$C$7),VLOOKUP(F367,Pricing!$D$7:$E$8,2)*Disbursements!F367,F367*Pricing!$E$9))))</f>
        <v>40000</v>
      </c>
      <c r="O367" s="528">
        <f>IF(E367="STL",0,IF($F367&gt;0,$F367*Pricing!$D$17,0))</f>
        <v>200000</v>
      </c>
      <c r="P367" s="530">
        <f t="shared" si="152"/>
        <v>600000</v>
      </c>
      <c r="Q367" s="531">
        <f>IF($A367="","",$G367/VLOOKUP($I367,Ref!$B$23:$D$29,2,0))</f>
        <v>6</v>
      </c>
      <c r="R367" s="530">
        <f t="shared" si="153"/>
        <v>2600000</v>
      </c>
      <c r="S367" s="532">
        <f t="shared" si="147"/>
        <v>433333.33333333331</v>
      </c>
      <c r="T367" s="531">
        <f t="shared" si="154"/>
        <v>434000</v>
      </c>
      <c r="U367" s="533">
        <f t="shared" si="155"/>
        <v>2604000</v>
      </c>
      <c r="V367" s="531">
        <f t="shared" si="156"/>
        <v>333333.33333333331</v>
      </c>
      <c r="W367" s="531">
        <f t="shared" si="157"/>
        <v>100666.66666666669</v>
      </c>
      <c r="X367" s="534">
        <f t="shared" si="158"/>
        <v>604000.00000000012</v>
      </c>
      <c r="Y367" s="535">
        <f>IF($A367="","",IF($I367="weekly",$A367+7,EDATE($A367,VLOOKUP($I367,Ref!$B$24:$C$29,2,0))))</f>
        <v>44571</v>
      </c>
      <c r="Z367" s="536" t="str">
        <f t="shared" si="159"/>
        <v>Mon</v>
      </c>
      <c r="AA367" s="531">
        <f t="shared" si="160"/>
        <v>31</v>
      </c>
      <c r="AB367" s="535">
        <f t="shared" si="148"/>
        <v>44722</v>
      </c>
      <c r="AC367" s="537">
        <f t="shared" si="149"/>
        <v>182</v>
      </c>
      <c r="AD367" s="538" t="str">
        <f t="shared" ca="1" si="150"/>
        <v>Expired</v>
      </c>
      <c r="AE367" s="537">
        <f t="shared" ca="1" si="151"/>
        <v>0</v>
      </c>
      <c r="AF367" s="539">
        <f t="shared" ca="1" si="161"/>
        <v>6</v>
      </c>
      <c r="AG367" s="531">
        <f t="shared" ca="1" si="162"/>
        <v>2604000</v>
      </c>
      <c r="AH367" s="531">
        <f t="shared" ca="1" si="163"/>
        <v>604000.00000000012</v>
      </c>
      <c r="AI367" s="531">
        <f t="shared" ca="1" si="164"/>
        <v>2000000</v>
      </c>
      <c r="AJ367" s="531">
        <f t="shared" ca="1" si="165"/>
        <v>0</v>
      </c>
      <c r="AK367" s="540">
        <f>SUMIFS('Live Collections'!$S:$S,'Live Collections'!$D:$D,Disbursements!B367,'Live Collections'!$G:$G,Disbursements!C367)</f>
        <v>314333.33333333337</v>
      </c>
      <c r="AL367" s="540">
        <f>SUMIFS('Live Collections'!$T:$T,'Live Collections'!$D:$D,Disbursements!B367,'Live Collections'!$G:$G,Disbursements!C367)</f>
        <v>1383666.6666666665</v>
      </c>
      <c r="AM367" s="541">
        <f t="shared" si="166"/>
        <v>1698000</v>
      </c>
      <c r="AN367" s="542">
        <f t="shared" si="167"/>
        <v>289666.66666666674</v>
      </c>
      <c r="AO367" s="542">
        <f t="shared" si="168"/>
        <v>616333.33333333349</v>
      </c>
      <c r="AP367" s="543">
        <f t="shared" si="169"/>
        <v>906000.00000000023</v>
      </c>
      <c r="AQ367" s="544">
        <f t="shared" ca="1" si="170"/>
        <v>906000.00000000023</v>
      </c>
      <c r="AR367" s="545">
        <f t="shared" ca="1" si="171"/>
        <v>2.0875576036866366</v>
      </c>
      <c r="AS367" s="545">
        <f ca="1">IFERROR(CEILING($AR367*VLOOKUP($I367,Ref!$B$23:$E$29,4,0),1),0)</f>
        <v>63</v>
      </c>
      <c r="AT367" s="545" t="str">
        <f ca="1">IF(A367="","",IF(AP367&lt;=1,"Cleared",IF(AS367=0,"Clean",VLOOKUP($AS367,Ref!$G$23:$H$28,2))))</f>
        <v>3.(61-90) Days</v>
      </c>
      <c r="AU367" s="546" t="str">
        <f t="shared" si="172"/>
        <v>Ok</v>
      </c>
    </row>
    <row r="368" spans="1:47" ht="14.25" customHeight="1" x14ac:dyDescent="0.15">
      <c r="A368" s="575">
        <v>44540</v>
      </c>
      <c r="B368" s="523">
        <v>212</v>
      </c>
      <c r="C368" s="523">
        <v>365</v>
      </c>
      <c r="D368" s="523">
        <v>2</v>
      </c>
      <c r="E368" s="579" t="s">
        <v>1275</v>
      </c>
      <c r="F368" s="580">
        <v>750000</v>
      </c>
      <c r="G368" s="524">
        <v>3</v>
      </c>
      <c r="H368" s="555">
        <v>7.4999999999999997E-2</v>
      </c>
      <c r="I368" s="560" t="s">
        <v>859</v>
      </c>
      <c r="J368" s="523" t="s">
        <v>863</v>
      </c>
      <c r="K368" s="528" t="str">
        <f>IFERROR(VLOOKUP($B368,'Clients-Live'!$A:$C,3,0),"")</f>
        <v>ACIDRI WILLIAM</v>
      </c>
      <c r="L368" s="528">
        <f>IF(E368="STL",Pricing!$D$38,IF(A368="",0,IF(A368&lt;Pricing!$C$25,Pricing!$D$25,VLOOKUP(Disbursements!$F368,Pricing!$B$29:$D$32,3))))</f>
        <v>20000</v>
      </c>
      <c r="M368" s="528">
        <f>IF(E368="STL",0,IF(F368&gt;0,Pricing!$D$21,0))</f>
        <v>5000</v>
      </c>
      <c r="N368" s="529">
        <f>IF(E368="STL",F368*Pricing!$D$40,IF(A368&lt;=Pricing!$C$4,0,IF(AND(A368&gt;Pricing!$C$4,Disbursements!A368&lt;=Pricing!$C$5),F368*Pricing!$E$5,IF(AND(A368&gt;Pricing!$C$5,Disbursements!A368&lt;=Pricing!$C$7),VLOOKUP(F368,Pricing!$D$7:$E$8,2)*Disbursements!F368,F368*Pricing!$E$9))))</f>
        <v>7500</v>
      </c>
      <c r="O368" s="528">
        <f>IF(E368="STL",0,IF($F368&gt;0,$F368*Pricing!$D$17,0))</f>
        <v>75000</v>
      </c>
      <c r="P368" s="530">
        <f t="shared" si="152"/>
        <v>168750</v>
      </c>
      <c r="Q368" s="531">
        <f>IF($A368="","",$G368/VLOOKUP($I368,Ref!$B$23:$D$29,2,0))</f>
        <v>3</v>
      </c>
      <c r="R368" s="530">
        <f t="shared" si="153"/>
        <v>918750</v>
      </c>
      <c r="S368" s="532">
        <f t="shared" si="147"/>
        <v>306250</v>
      </c>
      <c r="T368" s="531">
        <f t="shared" si="154"/>
        <v>307000</v>
      </c>
      <c r="U368" s="533">
        <f t="shared" si="155"/>
        <v>921000</v>
      </c>
      <c r="V368" s="531">
        <f t="shared" si="156"/>
        <v>250000</v>
      </c>
      <c r="W368" s="531">
        <f t="shared" si="157"/>
        <v>57000</v>
      </c>
      <c r="X368" s="534">
        <f t="shared" si="158"/>
        <v>171000</v>
      </c>
      <c r="Y368" s="535">
        <f>IF($A368="","",IF($I368="weekly",$A368+7,EDATE($A368,VLOOKUP($I368,Ref!$B$24:$C$29,2,0))))</f>
        <v>44571</v>
      </c>
      <c r="Z368" s="536" t="str">
        <f t="shared" si="159"/>
        <v>Mon</v>
      </c>
      <c r="AA368" s="531">
        <f t="shared" si="160"/>
        <v>31</v>
      </c>
      <c r="AB368" s="535">
        <f t="shared" si="148"/>
        <v>44630</v>
      </c>
      <c r="AC368" s="537">
        <f t="shared" si="149"/>
        <v>90</v>
      </c>
      <c r="AD368" s="538" t="str">
        <f t="shared" ca="1" si="150"/>
        <v>Expired</v>
      </c>
      <c r="AE368" s="537">
        <f t="shared" ca="1" si="151"/>
        <v>0</v>
      </c>
      <c r="AF368" s="539">
        <f t="shared" ca="1" si="161"/>
        <v>3</v>
      </c>
      <c r="AG368" s="531">
        <f t="shared" ca="1" si="162"/>
        <v>921000</v>
      </c>
      <c r="AH368" s="531">
        <f t="shared" ca="1" si="163"/>
        <v>171000</v>
      </c>
      <c r="AI368" s="531">
        <f t="shared" ca="1" si="164"/>
        <v>750000</v>
      </c>
      <c r="AJ368" s="531">
        <f t="shared" ca="1" si="165"/>
        <v>0</v>
      </c>
      <c r="AK368" s="540">
        <f>SUMIFS('Live Collections'!$S:$S,'Live Collections'!$D:$D,Disbursements!B368,'Live Collections'!$G:$G,Disbursements!C368)</f>
        <v>171000</v>
      </c>
      <c r="AL368" s="540">
        <f>SUMIFS('Live Collections'!$T:$T,'Live Collections'!$D:$D,Disbursements!B368,'Live Collections'!$G:$G,Disbursements!C368)</f>
        <v>747900</v>
      </c>
      <c r="AM368" s="541">
        <f t="shared" si="166"/>
        <v>918900</v>
      </c>
      <c r="AN368" s="542">
        <f t="shared" si="167"/>
        <v>0</v>
      </c>
      <c r="AO368" s="542">
        <f t="shared" si="168"/>
        <v>2100</v>
      </c>
      <c r="AP368" s="543">
        <f t="shared" si="169"/>
        <v>2100</v>
      </c>
      <c r="AQ368" s="544">
        <f t="shared" ca="1" si="170"/>
        <v>2100</v>
      </c>
      <c r="AR368" s="545">
        <f t="shared" ca="1" si="171"/>
        <v>6.8403908794788275E-3</v>
      </c>
      <c r="AS368" s="545">
        <f ca="1">IFERROR(CEILING($AR368*VLOOKUP($I368,Ref!$B$23:$E$29,4,0),1),0)</f>
        <v>1</v>
      </c>
      <c r="AT368" s="545" t="str">
        <f ca="1">IF(A368="","",IF(AP368&lt;=1,"Cleared",IF(AS368=0,"Clean",VLOOKUP($AS368,Ref!$G$23:$H$28,2))))</f>
        <v>1.(0-30) Days</v>
      </c>
      <c r="AU368" s="546" t="str">
        <f t="shared" si="172"/>
        <v>Ok</v>
      </c>
    </row>
    <row r="369" spans="1:47" ht="14.25" customHeight="1" x14ac:dyDescent="0.15">
      <c r="A369" s="575">
        <v>44541</v>
      </c>
      <c r="B369" s="523">
        <v>237</v>
      </c>
      <c r="C369" s="523">
        <v>367</v>
      </c>
      <c r="D369" s="523">
        <v>2</v>
      </c>
      <c r="E369" s="579" t="s">
        <v>1274</v>
      </c>
      <c r="F369" s="580">
        <v>1200000</v>
      </c>
      <c r="G369" s="524">
        <v>6</v>
      </c>
      <c r="H369" s="555">
        <v>0.05</v>
      </c>
      <c r="I369" s="560" t="s">
        <v>859</v>
      </c>
      <c r="J369" s="523" t="s">
        <v>864</v>
      </c>
      <c r="K369" s="528" t="str">
        <f>IFERROR(VLOOKUP($B369,'Clients-Live'!$A:$C,3,0),"")</f>
        <v>EZRA INNOCENT</v>
      </c>
      <c r="L369" s="528">
        <f>IF(E369="STL",Pricing!$D$38,IF(A369="",0,IF(A369&lt;Pricing!$C$25,Pricing!$D$25,VLOOKUP(Disbursements!$F369,Pricing!$B$29:$D$32,3))))</f>
        <v>25000</v>
      </c>
      <c r="M369" s="528">
        <f>IF(E369="STL",0,IF(F369&gt;0,Pricing!$D$21,0))</f>
        <v>5000</v>
      </c>
      <c r="N369" s="529">
        <f>IF(E369="STL",F369*Pricing!$D$40,IF(A369&lt;=Pricing!$C$4,0,IF(AND(A369&gt;Pricing!$C$4,Disbursements!A369&lt;=Pricing!$C$5),F369*Pricing!$E$5,IF(AND(A369&gt;Pricing!$C$5,Disbursements!A369&lt;=Pricing!$C$7),VLOOKUP(F369,Pricing!$D$7:$E$8,2)*Disbursements!F369,F369*Pricing!$E$9))))</f>
        <v>24000</v>
      </c>
      <c r="O369" s="528">
        <f>IF(E369="STL",0,IF($F369&gt;0,$F369*Pricing!$D$17,0))</f>
        <v>120000</v>
      </c>
      <c r="P369" s="530">
        <f t="shared" si="152"/>
        <v>360000</v>
      </c>
      <c r="Q369" s="531">
        <f>IF($A369="","",$G369/VLOOKUP($I369,Ref!$B$23:$D$29,2,0))</f>
        <v>6</v>
      </c>
      <c r="R369" s="530">
        <f t="shared" si="153"/>
        <v>1560000</v>
      </c>
      <c r="S369" s="532">
        <f t="shared" si="147"/>
        <v>260000</v>
      </c>
      <c r="T369" s="531">
        <f t="shared" si="154"/>
        <v>260000</v>
      </c>
      <c r="U369" s="533">
        <f t="shared" si="155"/>
        <v>1560000</v>
      </c>
      <c r="V369" s="531">
        <f t="shared" si="156"/>
        <v>200000</v>
      </c>
      <c r="W369" s="531">
        <f t="shared" si="157"/>
        <v>60000</v>
      </c>
      <c r="X369" s="534">
        <f t="shared" si="158"/>
        <v>360000</v>
      </c>
      <c r="Y369" s="535">
        <f>IF($A369="","",IF($I369="weekly",$A369+7,EDATE($A369,VLOOKUP($I369,Ref!$B$24:$C$29,2,0))))</f>
        <v>44572</v>
      </c>
      <c r="Z369" s="536" t="str">
        <f t="shared" si="159"/>
        <v>Tue</v>
      </c>
      <c r="AA369" s="531">
        <f t="shared" si="160"/>
        <v>31</v>
      </c>
      <c r="AB369" s="535">
        <f t="shared" si="148"/>
        <v>44723</v>
      </c>
      <c r="AC369" s="537">
        <f t="shared" si="149"/>
        <v>182</v>
      </c>
      <c r="AD369" s="538" t="str">
        <f t="shared" ca="1" si="150"/>
        <v>Expired</v>
      </c>
      <c r="AE369" s="537">
        <f t="shared" ca="1" si="151"/>
        <v>0</v>
      </c>
      <c r="AF369" s="539">
        <f t="shared" ca="1" si="161"/>
        <v>6</v>
      </c>
      <c r="AG369" s="531">
        <f t="shared" ca="1" si="162"/>
        <v>1560000</v>
      </c>
      <c r="AH369" s="531">
        <f t="shared" ca="1" si="163"/>
        <v>360000</v>
      </c>
      <c r="AI369" s="531">
        <f t="shared" ca="1" si="164"/>
        <v>1200000</v>
      </c>
      <c r="AJ369" s="531">
        <f t="shared" ca="1" si="165"/>
        <v>0</v>
      </c>
      <c r="AK369" s="540">
        <f>SUMIFS('Live Collections'!$S:$S,'Live Collections'!$D:$D,Disbursements!B369,'Live Collections'!$G:$G,Disbursements!C369)</f>
        <v>127000</v>
      </c>
      <c r="AL369" s="540">
        <f>SUMIFS('Live Collections'!$T:$T,'Live Collections'!$D:$D,Disbursements!B369,'Live Collections'!$G:$G,Disbursements!C369)</f>
        <v>323000</v>
      </c>
      <c r="AM369" s="541">
        <f t="shared" si="166"/>
        <v>450000</v>
      </c>
      <c r="AN369" s="542">
        <f t="shared" si="167"/>
        <v>233000</v>
      </c>
      <c r="AO369" s="542">
        <f t="shared" si="168"/>
        <v>877000</v>
      </c>
      <c r="AP369" s="543">
        <f t="shared" si="169"/>
        <v>1110000</v>
      </c>
      <c r="AQ369" s="544">
        <f t="shared" ca="1" si="170"/>
        <v>1110000</v>
      </c>
      <c r="AR369" s="545">
        <f t="shared" ca="1" si="171"/>
        <v>4.2692307692307692</v>
      </c>
      <c r="AS369" s="545">
        <f ca="1">IFERROR(CEILING($AR369*VLOOKUP($I369,Ref!$B$23:$E$29,4,0),1),0)</f>
        <v>129</v>
      </c>
      <c r="AT369" s="545" t="str">
        <f ca="1">IF(A369="","",IF(AP369&lt;=1,"Cleared",IF(AS369=0,"Clean",VLOOKUP($AS369,Ref!$G$23:$H$28,2))))</f>
        <v>4.(91-365) Days</v>
      </c>
      <c r="AU369" s="546" t="str">
        <f t="shared" si="172"/>
        <v>Ok</v>
      </c>
    </row>
    <row r="370" spans="1:47" ht="14.25" customHeight="1" x14ac:dyDescent="0.15">
      <c r="A370" s="575">
        <v>44541</v>
      </c>
      <c r="B370" s="523">
        <v>292</v>
      </c>
      <c r="C370" s="523">
        <v>368</v>
      </c>
      <c r="D370" s="523">
        <v>1</v>
      </c>
      <c r="E370" s="579" t="s">
        <v>1275</v>
      </c>
      <c r="F370" s="580">
        <v>8000000</v>
      </c>
      <c r="G370" s="524">
        <v>4</v>
      </c>
      <c r="H370" s="555">
        <v>7.4999999999999997E-2</v>
      </c>
      <c r="I370" s="560" t="s">
        <v>859</v>
      </c>
      <c r="J370" s="523" t="s">
        <v>862</v>
      </c>
      <c r="K370" s="528" t="str">
        <f>IFERROR(VLOOKUP($B370,'Clients-Live'!$A:$C,3,0),"")</f>
        <v>AFEKU DENIS</v>
      </c>
      <c r="L370" s="528">
        <f>IF(E370="STL",Pricing!$D$38,IF(A370="",0,IF(A370&lt;Pricing!$C$25,Pricing!$D$25,VLOOKUP(Disbursements!$F370,Pricing!$B$29:$D$32,3))))</f>
        <v>30000</v>
      </c>
      <c r="M370" s="528">
        <f>IF(E370="STL",0,IF(F370&gt;0,Pricing!$D$21,0))</f>
        <v>5000</v>
      </c>
      <c r="N370" s="529">
        <f>IF(E370="STL",F370*Pricing!$D$40,IF(A370&lt;=Pricing!$C$4,0,IF(AND(A370&gt;Pricing!$C$4,Disbursements!A370&lt;=Pricing!$C$5),F370*Pricing!$E$5,IF(AND(A370&gt;Pricing!$C$5,Disbursements!A370&lt;=Pricing!$C$7),VLOOKUP(F370,Pricing!$D$7:$E$8,2)*Disbursements!F370,F370*Pricing!$E$9))))</f>
        <v>160000</v>
      </c>
      <c r="O370" s="528">
        <f>IF(E370="STL",0,IF($F370&gt;0,$F370*Pricing!$D$17,0))</f>
        <v>800000</v>
      </c>
      <c r="P370" s="530">
        <f t="shared" si="152"/>
        <v>2400000</v>
      </c>
      <c r="Q370" s="531">
        <f>IF($A370="","",$G370/VLOOKUP($I370,Ref!$B$23:$D$29,2,0))</f>
        <v>4</v>
      </c>
      <c r="R370" s="530">
        <f t="shared" si="153"/>
        <v>10400000</v>
      </c>
      <c r="S370" s="532">
        <f t="shared" si="147"/>
        <v>2600000</v>
      </c>
      <c r="T370" s="531">
        <f t="shared" si="154"/>
        <v>2600000</v>
      </c>
      <c r="U370" s="533">
        <f t="shared" si="155"/>
        <v>10400000</v>
      </c>
      <c r="V370" s="531">
        <f t="shared" si="156"/>
        <v>2000000</v>
      </c>
      <c r="W370" s="531">
        <f t="shared" si="157"/>
        <v>600000</v>
      </c>
      <c r="X370" s="534">
        <f t="shared" si="158"/>
        <v>2400000</v>
      </c>
      <c r="Y370" s="535">
        <f>IF($A370="","",IF($I370="weekly",$A370+7,EDATE($A370,VLOOKUP($I370,Ref!$B$24:$C$29,2,0))))</f>
        <v>44572</v>
      </c>
      <c r="Z370" s="536" t="str">
        <f t="shared" si="159"/>
        <v>Tue</v>
      </c>
      <c r="AA370" s="531">
        <f t="shared" si="160"/>
        <v>31</v>
      </c>
      <c r="AB370" s="535">
        <f t="shared" si="148"/>
        <v>44662</v>
      </c>
      <c r="AC370" s="537">
        <f t="shared" si="149"/>
        <v>121</v>
      </c>
      <c r="AD370" s="538" t="str">
        <f t="shared" ca="1" si="150"/>
        <v>Expired</v>
      </c>
      <c r="AE370" s="537">
        <f t="shared" ca="1" si="151"/>
        <v>0</v>
      </c>
      <c r="AF370" s="539">
        <f t="shared" ca="1" si="161"/>
        <v>4</v>
      </c>
      <c r="AG370" s="531">
        <f t="shared" ca="1" si="162"/>
        <v>10400000</v>
      </c>
      <c r="AH370" s="531">
        <f t="shared" ca="1" si="163"/>
        <v>2400000</v>
      </c>
      <c r="AI370" s="531">
        <f t="shared" ca="1" si="164"/>
        <v>8000000</v>
      </c>
      <c r="AJ370" s="531">
        <f t="shared" ca="1" si="165"/>
        <v>0</v>
      </c>
      <c r="AK370" s="540">
        <f>SUMIFS('Live Collections'!$S:$S,'Live Collections'!$D:$D,Disbursements!B370,'Live Collections'!$G:$G,Disbursements!C370)</f>
        <v>2400000</v>
      </c>
      <c r="AL370" s="540">
        <f>SUMIFS('Live Collections'!$T:$T,'Live Collections'!$D:$D,Disbursements!B370,'Live Collections'!$G:$G,Disbursements!C370)</f>
        <v>4310000</v>
      </c>
      <c r="AM370" s="541">
        <f t="shared" si="166"/>
        <v>6710000</v>
      </c>
      <c r="AN370" s="542">
        <f t="shared" si="167"/>
        <v>0</v>
      </c>
      <c r="AO370" s="542">
        <f t="shared" si="168"/>
        <v>3690000</v>
      </c>
      <c r="AP370" s="543">
        <f t="shared" si="169"/>
        <v>3690000</v>
      </c>
      <c r="AQ370" s="544">
        <f t="shared" ca="1" si="170"/>
        <v>3690000</v>
      </c>
      <c r="AR370" s="545">
        <f t="shared" ca="1" si="171"/>
        <v>1.4192307692307693</v>
      </c>
      <c r="AS370" s="545">
        <f ca="1">IFERROR(CEILING($AR370*VLOOKUP($I370,Ref!$B$23:$E$29,4,0),1),0)</f>
        <v>43</v>
      </c>
      <c r="AT370" s="545" t="str">
        <f ca="1">IF(A370="","",IF(AP370&lt;=1,"Cleared",IF(AS370=0,"Clean",VLOOKUP($AS370,Ref!$G$23:$H$28,2))))</f>
        <v>2.(31-60) Days</v>
      </c>
      <c r="AU370" s="546" t="str">
        <f t="shared" si="172"/>
        <v>Ok</v>
      </c>
    </row>
    <row r="371" spans="1:47" ht="14.25" customHeight="1" x14ac:dyDescent="0.15">
      <c r="A371" s="575">
        <v>44543</v>
      </c>
      <c r="B371" s="523">
        <v>228</v>
      </c>
      <c r="C371" s="523">
        <v>369</v>
      </c>
      <c r="D371" s="523">
        <v>4</v>
      </c>
      <c r="E371" s="579" t="s">
        <v>1274</v>
      </c>
      <c r="F371" s="580">
        <v>2000000</v>
      </c>
      <c r="G371" s="524">
        <v>1</v>
      </c>
      <c r="H371" s="555">
        <v>0.05</v>
      </c>
      <c r="I371" s="560" t="s">
        <v>859</v>
      </c>
      <c r="J371" s="523" t="s">
        <v>863</v>
      </c>
      <c r="K371" s="528" t="str">
        <f>IFERROR(VLOOKUP($B371,'Clients-Live'!$A:$C,3,0),"")</f>
        <v>DADA ISAAC</v>
      </c>
      <c r="L371" s="528">
        <f>IF(E371="STL",Pricing!$D$38,IF(A371="",0,IF(A371&lt;Pricing!$C$25,Pricing!$D$25,VLOOKUP(Disbursements!$F371,Pricing!$B$29:$D$32,3))))</f>
        <v>25000</v>
      </c>
      <c r="M371" s="528">
        <f>IF(E371="STL",0,IF(F371&gt;0,Pricing!$D$21,0))</f>
        <v>5000</v>
      </c>
      <c r="N371" s="529">
        <f>IF(E371="STL",F371*Pricing!$D$40,IF(A371&lt;=Pricing!$C$4,0,IF(AND(A371&gt;Pricing!$C$4,Disbursements!A371&lt;=Pricing!$C$5),F371*Pricing!$E$5,IF(AND(A371&gt;Pricing!$C$5,Disbursements!A371&lt;=Pricing!$C$7),VLOOKUP(F371,Pricing!$D$7:$E$8,2)*Disbursements!F371,F371*Pricing!$E$9))))</f>
        <v>40000</v>
      </c>
      <c r="O371" s="528">
        <f>IF(E371="STL",0,IF($F371&gt;0,$F371*Pricing!$D$17,0))</f>
        <v>200000</v>
      </c>
      <c r="P371" s="530">
        <f t="shared" si="152"/>
        <v>100000</v>
      </c>
      <c r="Q371" s="531">
        <f>IF($A371="","",$G371/VLOOKUP($I371,Ref!$B$23:$D$29,2,0))</f>
        <v>1</v>
      </c>
      <c r="R371" s="530">
        <f t="shared" si="153"/>
        <v>2100000</v>
      </c>
      <c r="S371" s="532">
        <f t="shared" si="147"/>
        <v>2100000</v>
      </c>
      <c r="T371" s="531">
        <f t="shared" si="154"/>
        <v>2100000</v>
      </c>
      <c r="U371" s="533">
        <f t="shared" si="155"/>
        <v>2100000</v>
      </c>
      <c r="V371" s="531">
        <f t="shared" si="156"/>
        <v>2000000</v>
      </c>
      <c r="W371" s="531">
        <f t="shared" si="157"/>
        <v>100000</v>
      </c>
      <c r="X371" s="534">
        <f t="shared" si="158"/>
        <v>100000</v>
      </c>
      <c r="Y371" s="535">
        <f>IF($A371="","",IF($I371="weekly",$A371+7,EDATE($A371,VLOOKUP($I371,Ref!$B$24:$C$29,2,0))))</f>
        <v>44574</v>
      </c>
      <c r="Z371" s="536" t="str">
        <f t="shared" si="159"/>
        <v>Thu</v>
      </c>
      <c r="AA371" s="531">
        <f t="shared" si="160"/>
        <v>31</v>
      </c>
      <c r="AB371" s="535">
        <f t="shared" si="148"/>
        <v>44574</v>
      </c>
      <c r="AC371" s="537">
        <f t="shared" si="149"/>
        <v>31</v>
      </c>
      <c r="AD371" s="538" t="str">
        <f t="shared" ca="1" si="150"/>
        <v>Expired</v>
      </c>
      <c r="AE371" s="537">
        <f t="shared" ca="1" si="151"/>
        <v>0</v>
      </c>
      <c r="AF371" s="539">
        <f t="shared" ca="1" si="161"/>
        <v>1</v>
      </c>
      <c r="AG371" s="531">
        <f t="shared" ca="1" si="162"/>
        <v>2100000</v>
      </c>
      <c r="AH371" s="531">
        <f t="shared" ca="1" si="163"/>
        <v>100000</v>
      </c>
      <c r="AI371" s="531">
        <f t="shared" ca="1" si="164"/>
        <v>2000000</v>
      </c>
      <c r="AJ371" s="531">
        <f t="shared" ca="1" si="165"/>
        <v>0</v>
      </c>
      <c r="AK371" s="540">
        <f>SUMIFS('Live Collections'!$S:$S,'Live Collections'!$D:$D,Disbursements!B371,'Live Collections'!$G:$G,Disbursements!C371)</f>
        <v>100000</v>
      </c>
      <c r="AL371" s="540">
        <f>SUMIFS('Live Collections'!$T:$T,'Live Collections'!$D:$D,Disbursements!B371,'Live Collections'!$G:$G,Disbursements!C371)</f>
        <v>2000000</v>
      </c>
      <c r="AM371" s="541">
        <f t="shared" si="166"/>
        <v>2100000</v>
      </c>
      <c r="AN371" s="542">
        <f t="shared" si="167"/>
        <v>0</v>
      </c>
      <c r="AO371" s="542">
        <f t="shared" si="168"/>
        <v>0</v>
      </c>
      <c r="AP371" s="543">
        <f t="shared" si="169"/>
        <v>0</v>
      </c>
      <c r="AQ371" s="544" t="str">
        <f t="shared" ca="1" si="170"/>
        <v/>
      </c>
      <c r="AR371" s="545">
        <f t="shared" ca="1" si="171"/>
        <v>0</v>
      </c>
      <c r="AS371" s="545">
        <f ca="1">IFERROR(CEILING($AR371*VLOOKUP($I371,Ref!$B$23:$E$29,4,0),1),0)</f>
        <v>0</v>
      </c>
      <c r="AT371" s="545" t="str">
        <f>IF(A371="","",IF(AP371&lt;=1,"Cleared",IF(AS371=0,"Clean",VLOOKUP($AS371,Ref!$G$23:$H$28,2))))</f>
        <v>Cleared</v>
      </c>
      <c r="AU371" s="546" t="str">
        <f t="shared" si="172"/>
        <v>Ok</v>
      </c>
    </row>
    <row r="372" spans="1:47" ht="14.25" customHeight="1" x14ac:dyDescent="0.15">
      <c r="A372" s="575">
        <v>44544</v>
      </c>
      <c r="B372" s="523">
        <v>138</v>
      </c>
      <c r="C372" s="523">
        <v>371</v>
      </c>
      <c r="D372" s="523">
        <v>3</v>
      </c>
      <c r="E372" s="579" t="s">
        <v>1274</v>
      </c>
      <c r="F372" s="580">
        <v>600000</v>
      </c>
      <c r="G372" s="524">
        <v>2</v>
      </c>
      <c r="H372" s="555">
        <v>0.05</v>
      </c>
      <c r="I372" s="560" t="s">
        <v>859</v>
      </c>
      <c r="J372" s="523" t="s">
        <v>864</v>
      </c>
      <c r="K372" s="528" t="str">
        <f>IFERROR(VLOOKUP($B372,'Clients-Live'!$A:$C,3,0),"")</f>
        <v>BEATRICE AMANDRU</v>
      </c>
      <c r="L372" s="528">
        <f>IF(E372="STL",Pricing!$D$38,IF(A372="",0,IF(A372&lt;Pricing!$C$25,Pricing!$D$25,VLOOKUP(Disbursements!$F372,Pricing!$B$29:$D$32,3))))</f>
        <v>20000</v>
      </c>
      <c r="M372" s="528">
        <f>IF(E372="STL",0,IF(F372&gt;0,Pricing!$D$21,0))</f>
        <v>5000</v>
      </c>
      <c r="N372" s="529">
        <f>IF(E372="STL",F372*Pricing!$D$40,IF(A372&lt;=Pricing!$C$4,0,IF(AND(A372&gt;Pricing!$C$4,Disbursements!A372&lt;=Pricing!$C$5),F372*Pricing!$E$5,IF(AND(A372&gt;Pricing!$C$5,Disbursements!A372&lt;=Pricing!$C$7),VLOOKUP(F372,Pricing!$D$7:$E$8,2)*Disbursements!F372,F372*Pricing!$E$9))))</f>
        <v>6000</v>
      </c>
      <c r="O372" s="528">
        <f>IF(E372="STL",0,IF($F372&gt;0,$F372*Pricing!$D$17,0))</f>
        <v>60000</v>
      </c>
      <c r="P372" s="530">
        <f t="shared" si="152"/>
        <v>60000</v>
      </c>
      <c r="Q372" s="531">
        <f>IF($A372="","",$G372/VLOOKUP($I372,Ref!$B$23:$D$29,2,0))</f>
        <v>2</v>
      </c>
      <c r="R372" s="530">
        <f t="shared" si="153"/>
        <v>660000</v>
      </c>
      <c r="S372" s="532">
        <f t="shared" si="147"/>
        <v>330000</v>
      </c>
      <c r="T372" s="531">
        <f t="shared" si="154"/>
        <v>330000</v>
      </c>
      <c r="U372" s="533">
        <f t="shared" si="155"/>
        <v>660000</v>
      </c>
      <c r="V372" s="531">
        <f t="shared" si="156"/>
        <v>300000</v>
      </c>
      <c r="W372" s="531">
        <f t="shared" si="157"/>
        <v>30000</v>
      </c>
      <c r="X372" s="534">
        <f t="shared" si="158"/>
        <v>60000</v>
      </c>
      <c r="Y372" s="535">
        <f>IF($A372="","",IF($I372="weekly",$A372+7,EDATE($A372,VLOOKUP($I372,Ref!$B$24:$C$29,2,0))))</f>
        <v>44575</v>
      </c>
      <c r="Z372" s="536" t="str">
        <f t="shared" si="159"/>
        <v>Frid</v>
      </c>
      <c r="AA372" s="531">
        <f t="shared" si="160"/>
        <v>31</v>
      </c>
      <c r="AB372" s="535">
        <f t="shared" si="148"/>
        <v>44606</v>
      </c>
      <c r="AC372" s="537">
        <f t="shared" si="149"/>
        <v>62</v>
      </c>
      <c r="AD372" s="538" t="str">
        <f t="shared" ca="1" si="150"/>
        <v>Expired</v>
      </c>
      <c r="AE372" s="537">
        <f t="shared" ca="1" si="151"/>
        <v>0</v>
      </c>
      <c r="AF372" s="539">
        <f t="shared" ca="1" si="161"/>
        <v>2</v>
      </c>
      <c r="AG372" s="531">
        <f t="shared" ca="1" si="162"/>
        <v>660000</v>
      </c>
      <c r="AH372" s="531">
        <f t="shared" ca="1" si="163"/>
        <v>60000</v>
      </c>
      <c r="AI372" s="531">
        <f t="shared" ca="1" si="164"/>
        <v>600000</v>
      </c>
      <c r="AJ372" s="531">
        <f t="shared" ca="1" si="165"/>
        <v>0</v>
      </c>
      <c r="AK372" s="540">
        <f>SUMIFS('Live Collections'!$S:$S,'Live Collections'!$D:$D,Disbursements!B372,'Live Collections'!$G:$G,Disbursements!C372)</f>
        <v>60000</v>
      </c>
      <c r="AL372" s="540">
        <f>SUMIFS('Live Collections'!$T:$T,'Live Collections'!$D:$D,Disbursements!B372,'Live Collections'!$G:$G,Disbursements!C372)</f>
        <v>600000</v>
      </c>
      <c r="AM372" s="541">
        <f t="shared" si="166"/>
        <v>660000</v>
      </c>
      <c r="AN372" s="542">
        <f t="shared" si="167"/>
        <v>0</v>
      </c>
      <c r="AO372" s="542">
        <f t="shared" si="168"/>
        <v>0</v>
      </c>
      <c r="AP372" s="543">
        <f t="shared" si="169"/>
        <v>0</v>
      </c>
      <c r="AQ372" s="544" t="str">
        <f t="shared" ca="1" si="170"/>
        <v/>
      </c>
      <c r="AR372" s="545">
        <f t="shared" ca="1" si="171"/>
        <v>0</v>
      </c>
      <c r="AS372" s="545">
        <f ca="1">IFERROR(CEILING($AR372*VLOOKUP($I372,Ref!$B$23:$E$29,4,0),1),0)</f>
        <v>0</v>
      </c>
      <c r="AT372" s="545" t="str">
        <f>IF(A372="","",IF(AP372&lt;=1,"Cleared",IF(AS372=0,"Clean",VLOOKUP($AS372,Ref!$G$23:$H$28,2))))</f>
        <v>Cleared</v>
      </c>
      <c r="AU372" s="546" t="str">
        <f t="shared" si="172"/>
        <v>Ok</v>
      </c>
    </row>
    <row r="373" spans="1:47" ht="14.25" customHeight="1" x14ac:dyDescent="0.15">
      <c r="A373" s="575">
        <v>44544</v>
      </c>
      <c r="B373" s="523">
        <v>56</v>
      </c>
      <c r="C373" s="523">
        <v>376</v>
      </c>
      <c r="D373" s="523">
        <v>3</v>
      </c>
      <c r="E373" s="579" t="s">
        <v>1274</v>
      </c>
      <c r="F373" s="580">
        <v>500000</v>
      </c>
      <c r="G373" s="524">
        <v>5</v>
      </c>
      <c r="H373" s="555">
        <v>0.05</v>
      </c>
      <c r="I373" s="560" t="s">
        <v>859</v>
      </c>
      <c r="J373" s="523" t="s">
        <v>864</v>
      </c>
      <c r="K373" s="528" t="str">
        <f>IFERROR(VLOOKUP($B373,'Clients-Live'!$A:$C,3,0),"")</f>
        <v>ALOMO ZABIBU</v>
      </c>
      <c r="L373" s="528">
        <f>IF(E373="STL",Pricing!$D$38,IF(A373="",0,IF(A373&lt;Pricing!$C$25,Pricing!$D$25,VLOOKUP(Disbursements!$F373,Pricing!$B$29:$D$32,3))))</f>
        <v>15000</v>
      </c>
      <c r="M373" s="528">
        <f>IF(E373="STL",0,IF(F373&gt;0,Pricing!$D$21,0))</f>
        <v>5000</v>
      </c>
      <c r="N373" s="529">
        <f>IF(E373="STL",F373*Pricing!$D$40,IF(A373&lt;=Pricing!$C$4,0,IF(AND(A373&gt;Pricing!$C$4,Disbursements!A373&lt;=Pricing!$C$5),F373*Pricing!$E$5,IF(AND(A373&gt;Pricing!$C$5,Disbursements!A373&lt;=Pricing!$C$7),VLOOKUP(F373,Pricing!$D$7:$E$8,2)*Disbursements!F373,F373*Pricing!$E$9))))</f>
        <v>5000</v>
      </c>
      <c r="O373" s="528">
        <f>IF(E373="STL",0,IF($F373&gt;0,$F373*Pricing!$D$17,0))</f>
        <v>50000</v>
      </c>
      <c r="P373" s="530">
        <f t="shared" si="152"/>
        <v>125000</v>
      </c>
      <c r="Q373" s="531">
        <f>IF($A373="","",$G373/VLOOKUP($I373,Ref!$B$23:$D$29,2,0))</f>
        <v>5</v>
      </c>
      <c r="R373" s="530">
        <f t="shared" si="153"/>
        <v>625000</v>
      </c>
      <c r="S373" s="532">
        <f t="shared" si="147"/>
        <v>125000</v>
      </c>
      <c r="T373" s="531">
        <f t="shared" si="154"/>
        <v>125000</v>
      </c>
      <c r="U373" s="533">
        <f t="shared" si="155"/>
        <v>625000</v>
      </c>
      <c r="V373" s="531">
        <f t="shared" si="156"/>
        <v>100000</v>
      </c>
      <c r="W373" s="531">
        <f t="shared" si="157"/>
        <v>25000</v>
      </c>
      <c r="X373" s="534">
        <f t="shared" si="158"/>
        <v>125000</v>
      </c>
      <c r="Y373" s="535">
        <f>IF($A373="","",IF($I373="weekly",$A373+7,EDATE($A373,VLOOKUP($I373,Ref!$B$24:$C$29,2,0))))</f>
        <v>44575</v>
      </c>
      <c r="Z373" s="536" t="str">
        <f t="shared" si="159"/>
        <v>Frid</v>
      </c>
      <c r="AA373" s="531">
        <f t="shared" si="160"/>
        <v>31</v>
      </c>
      <c r="AB373" s="535">
        <f t="shared" si="148"/>
        <v>44695</v>
      </c>
      <c r="AC373" s="537">
        <f t="shared" si="149"/>
        <v>151</v>
      </c>
      <c r="AD373" s="538" t="str">
        <f t="shared" ca="1" si="150"/>
        <v>Expired</v>
      </c>
      <c r="AE373" s="537">
        <f t="shared" ca="1" si="151"/>
        <v>0</v>
      </c>
      <c r="AF373" s="539">
        <f t="shared" ca="1" si="161"/>
        <v>5</v>
      </c>
      <c r="AG373" s="531">
        <f t="shared" ca="1" si="162"/>
        <v>625000</v>
      </c>
      <c r="AH373" s="531">
        <f t="shared" ca="1" si="163"/>
        <v>125000</v>
      </c>
      <c r="AI373" s="531">
        <f t="shared" ca="1" si="164"/>
        <v>500000</v>
      </c>
      <c r="AJ373" s="531">
        <f t="shared" ca="1" si="165"/>
        <v>0</v>
      </c>
      <c r="AK373" s="540">
        <f>SUMIFS('Live Collections'!$S:$S,'Live Collections'!$D:$D,Disbursements!B373,'Live Collections'!$G:$G,Disbursements!C373)</f>
        <v>38000</v>
      </c>
      <c r="AL373" s="540">
        <f>SUMIFS('Live Collections'!$T:$T,'Live Collections'!$D:$D,Disbursements!B373,'Live Collections'!$G:$G,Disbursements!C373)</f>
        <v>162000</v>
      </c>
      <c r="AM373" s="541">
        <f t="shared" si="166"/>
        <v>200000</v>
      </c>
      <c r="AN373" s="542">
        <f t="shared" si="167"/>
        <v>87000</v>
      </c>
      <c r="AO373" s="542">
        <f t="shared" si="168"/>
        <v>338000</v>
      </c>
      <c r="AP373" s="543">
        <f t="shared" si="169"/>
        <v>425000</v>
      </c>
      <c r="AQ373" s="544">
        <f t="shared" ca="1" si="170"/>
        <v>425000</v>
      </c>
      <c r="AR373" s="545">
        <f t="shared" ca="1" si="171"/>
        <v>3.4</v>
      </c>
      <c r="AS373" s="545">
        <f ca="1">IFERROR(CEILING($AR373*VLOOKUP($I373,Ref!$B$23:$E$29,4,0),1),0)</f>
        <v>102</v>
      </c>
      <c r="AT373" s="545" t="str">
        <f ca="1">IF(A373="","",IF(AP373&lt;=1,"Cleared",IF(AS373=0,"Clean",VLOOKUP($AS373,Ref!$G$23:$H$28,2))))</f>
        <v>4.(91-365) Days</v>
      </c>
      <c r="AU373" s="546" t="str">
        <f t="shared" si="172"/>
        <v>Ok</v>
      </c>
    </row>
    <row r="374" spans="1:47" ht="14.25" customHeight="1" x14ac:dyDescent="0.15">
      <c r="A374" s="575">
        <v>44544</v>
      </c>
      <c r="B374" s="523">
        <v>63</v>
      </c>
      <c r="C374" s="523">
        <v>375</v>
      </c>
      <c r="D374" s="523">
        <v>3</v>
      </c>
      <c r="E374" s="579" t="s">
        <v>1274</v>
      </c>
      <c r="F374" s="580">
        <v>700000</v>
      </c>
      <c r="G374" s="524">
        <v>5</v>
      </c>
      <c r="H374" s="555">
        <v>0.05</v>
      </c>
      <c r="I374" s="560" t="s">
        <v>859</v>
      </c>
      <c r="J374" s="523" t="s">
        <v>864</v>
      </c>
      <c r="K374" s="528" t="str">
        <f>IFERROR(VLOOKUP($B374,'Clients-Live'!$A:$C,3,0),"")</f>
        <v>AWURU KADARA</v>
      </c>
      <c r="L374" s="528">
        <f>IF(E374="STL",Pricing!$D$38,IF(A374="",0,IF(A374&lt;Pricing!$C$25,Pricing!$D$25,VLOOKUP(Disbursements!$F374,Pricing!$B$29:$D$32,3))))</f>
        <v>20000</v>
      </c>
      <c r="M374" s="528">
        <f>IF(E374="STL",0,IF(F374&gt;0,Pricing!$D$21,0))</f>
        <v>5000</v>
      </c>
      <c r="N374" s="529">
        <f>IF(E374="STL",F374*Pricing!$D$40,IF(A374&lt;=Pricing!$C$4,0,IF(AND(A374&gt;Pricing!$C$4,Disbursements!A374&lt;=Pricing!$C$5),F374*Pricing!$E$5,IF(AND(A374&gt;Pricing!$C$5,Disbursements!A374&lt;=Pricing!$C$7),VLOOKUP(F374,Pricing!$D$7:$E$8,2)*Disbursements!F374,F374*Pricing!$E$9))))</f>
        <v>7000</v>
      </c>
      <c r="O374" s="528">
        <f>IF(E374="STL",0,IF($F374&gt;0,$F374*Pricing!$D$17,0))</f>
        <v>70000</v>
      </c>
      <c r="P374" s="530">
        <f t="shared" si="152"/>
        <v>175000</v>
      </c>
      <c r="Q374" s="531">
        <f>IF($A374="","",$G374/VLOOKUP($I374,Ref!$B$23:$D$29,2,0))</f>
        <v>5</v>
      </c>
      <c r="R374" s="530">
        <f t="shared" si="153"/>
        <v>875000</v>
      </c>
      <c r="S374" s="532">
        <f t="shared" si="147"/>
        <v>175000</v>
      </c>
      <c r="T374" s="531">
        <f t="shared" si="154"/>
        <v>175000</v>
      </c>
      <c r="U374" s="533">
        <f t="shared" si="155"/>
        <v>875000</v>
      </c>
      <c r="V374" s="531">
        <f t="shared" si="156"/>
        <v>140000</v>
      </c>
      <c r="W374" s="531">
        <f t="shared" si="157"/>
        <v>35000</v>
      </c>
      <c r="X374" s="534">
        <f t="shared" si="158"/>
        <v>175000</v>
      </c>
      <c r="Y374" s="535">
        <f>IF($A374="","",IF($I374="weekly",$A374+7,EDATE($A374,VLOOKUP($I374,Ref!$B$24:$C$29,2,0))))</f>
        <v>44575</v>
      </c>
      <c r="Z374" s="536" t="str">
        <f t="shared" si="159"/>
        <v>Frid</v>
      </c>
      <c r="AA374" s="531">
        <f t="shared" si="160"/>
        <v>31</v>
      </c>
      <c r="AB374" s="535">
        <f t="shared" si="148"/>
        <v>44695</v>
      </c>
      <c r="AC374" s="537">
        <f t="shared" si="149"/>
        <v>151</v>
      </c>
      <c r="AD374" s="538" t="str">
        <f t="shared" ca="1" si="150"/>
        <v>Expired</v>
      </c>
      <c r="AE374" s="537">
        <f t="shared" ca="1" si="151"/>
        <v>0</v>
      </c>
      <c r="AF374" s="539">
        <f t="shared" ca="1" si="161"/>
        <v>5</v>
      </c>
      <c r="AG374" s="531">
        <f t="shared" ca="1" si="162"/>
        <v>875000</v>
      </c>
      <c r="AH374" s="531">
        <f t="shared" ca="1" si="163"/>
        <v>175000</v>
      </c>
      <c r="AI374" s="531">
        <f t="shared" ca="1" si="164"/>
        <v>700000</v>
      </c>
      <c r="AJ374" s="531">
        <f t="shared" ca="1" si="165"/>
        <v>0</v>
      </c>
      <c r="AK374" s="540">
        <f>SUMIFS('Live Collections'!$S:$S,'Live Collections'!$D:$D,Disbursements!B374,'Live Collections'!$G:$G,Disbursements!C374)</f>
        <v>175000</v>
      </c>
      <c r="AL374" s="540">
        <f>SUMIFS('Live Collections'!$T:$T,'Live Collections'!$D:$D,Disbursements!B374,'Live Collections'!$G:$G,Disbursements!C374)</f>
        <v>700000</v>
      </c>
      <c r="AM374" s="541">
        <f t="shared" si="166"/>
        <v>875000</v>
      </c>
      <c r="AN374" s="542">
        <f t="shared" si="167"/>
        <v>0</v>
      </c>
      <c r="AO374" s="542">
        <f t="shared" si="168"/>
        <v>0</v>
      </c>
      <c r="AP374" s="543">
        <f t="shared" si="169"/>
        <v>0</v>
      </c>
      <c r="AQ374" s="544" t="str">
        <f t="shared" ca="1" si="170"/>
        <v/>
      </c>
      <c r="AR374" s="545">
        <f t="shared" ca="1" si="171"/>
        <v>0</v>
      </c>
      <c r="AS374" s="545">
        <f ca="1">IFERROR(CEILING($AR374*VLOOKUP($I374,Ref!$B$23:$E$29,4,0),1),0)</f>
        <v>0</v>
      </c>
      <c r="AT374" s="545" t="str">
        <f>IF(A374="","",IF(AP374&lt;=1,"Cleared",IF(AS374=0,"Clean",VLOOKUP($AS374,Ref!$G$23:$H$28,2))))</f>
        <v>Cleared</v>
      </c>
      <c r="AU374" s="546" t="str">
        <f t="shared" si="172"/>
        <v>Ok</v>
      </c>
    </row>
    <row r="375" spans="1:47" ht="14.25" customHeight="1" x14ac:dyDescent="0.15">
      <c r="A375" s="575">
        <v>44544</v>
      </c>
      <c r="B375" s="523">
        <v>72</v>
      </c>
      <c r="C375" s="523">
        <v>370</v>
      </c>
      <c r="D375" s="523">
        <v>2</v>
      </c>
      <c r="E375" s="579" t="s">
        <v>1274</v>
      </c>
      <c r="F375" s="580">
        <v>1200000</v>
      </c>
      <c r="G375" s="524">
        <v>6</v>
      </c>
      <c r="H375" s="555">
        <v>0.05</v>
      </c>
      <c r="I375" s="560" t="s">
        <v>859</v>
      </c>
      <c r="J375" s="523" t="s">
        <v>863</v>
      </c>
      <c r="K375" s="528" t="str">
        <f>IFERROR(VLOOKUP($B375,'Clients-Live'!$A:$C,3,0),"")</f>
        <v>MUNDURU MERCY</v>
      </c>
      <c r="L375" s="528">
        <f>IF(E375="STL",Pricing!$D$38,IF(A375="",0,IF(A375&lt;Pricing!$C$25,Pricing!$D$25,VLOOKUP(Disbursements!$F375,Pricing!$B$29:$D$32,3))))</f>
        <v>25000</v>
      </c>
      <c r="M375" s="528">
        <f>IF(E375="STL",0,IF(F375&gt;0,Pricing!$D$21,0))</f>
        <v>5000</v>
      </c>
      <c r="N375" s="529">
        <f>IF(E375="STL",F375*Pricing!$D$40,IF(A375&lt;=Pricing!$C$4,0,IF(AND(A375&gt;Pricing!$C$4,Disbursements!A375&lt;=Pricing!$C$5),F375*Pricing!$E$5,IF(AND(A375&gt;Pricing!$C$5,Disbursements!A375&lt;=Pricing!$C$7),VLOOKUP(F375,Pricing!$D$7:$E$8,2)*Disbursements!F375,F375*Pricing!$E$9))))</f>
        <v>24000</v>
      </c>
      <c r="O375" s="528">
        <f>IF(E375="STL",0,IF($F375&gt;0,$F375*Pricing!$D$17,0))</f>
        <v>120000</v>
      </c>
      <c r="P375" s="530">
        <f t="shared" si="152"/>
        <v>360000</v>
      </c>
      <c r="Q375" s="531">
        <f>IF($A375="","",$G375/VLOOKUP($I375,Ref!$B$23:$D$29,2,0))</f>
        <v>6</v>
      </c>
      <c r="R375" s="530">
        <f t="shared" si="153"/>
        <v>1560000</v>
      </c>
      <c r="S375" s="532">
        <f t="shared" si="147"/>
        <v>260000</v>
      </c>
      <c r="T375" s="531">
        <f t="shared" si="154"/>
        <v>260000</v>
      </c>
      <c r="U375" s="533">
        <f t="shared" si="155"/>
        <v>1560000</v>
      </c>
      <c r="V375" s="531">
        <f t="shared" si="156"/>
        <v>200000</v>
      </c>
      <c r="W375" s="531">
        <f t="shared" si="157"/>
        <v>60000</v>
      </c>
      <c r="X375" s="534">
        <f t="shared" si="158"/>
        <v>360000</v>
      </c>
      <c r="Y375" s="535">
        <f>IF($A375="","",IF($I375="weekly",$A375+7,EDATE($A375,VLOOKUP($I375,Ref!$B$24:$C$29,2,0))))</f>
        <v>44575</v>
      </c>
      <c r="Z375" s="536" t="str">
        <f t="shared" si="159"/>
        <v>Frid</v>
      </c>
      <c r="AA375" s="531">
        <f t="shared" si="160"/>
        <v>31</v>
      </c>
      <c r="AB375" s="535">
        <f t="shared" si="148"/>
        <v>44726</v>
      </c>
      <c r="AC375" s="537">
        <f t="shared" si="149"/>
        <v>182</v>
      </c>
      <c r="AD375" s="538" t="str">
        <f t="shared" ca="1" si="150"/>
        <v>Expired</v>
      </c>
      <c r="AE375" s="537">
        <f t="shared" ca="1" si="151"/>
        <v>0</v>
      </c>
      <c r="AF375" s="539">
        <f t="shared" ca="1" si="161"/>
        <v>6</v>
      </c>
      <c r="AG375" s="531">
        <f t="shared" ca="1" si="162"/>
        <v>1560000</v>
      </c>
      <c r="AH375" s="531">
        <f t="shared" ca="1" si="163"/>
        <v>360000</v>
      </c>
      <c r="AI375" s="531">
        <f t="shared" ca="1" si="164"/>
        <v>1200000</v>
      </c>
      <c r="AJ375" s="531">
        <f t="shared" ca="1" si="165"/>
        <v>0</v>
      </c>
      <c r="AK375" s="540">
        <f>SUMIFS('Live Collections'!$S:$S,'Live Collections'!$D:$D,Disbursements!B375,'Live Collections'!$G:$G,Disbursements!C375)</f>
        <v>360000</v>
      </c>
      <c r="AL375" s="540">
        <f>SUMIFS('Live Collections'!$T:$T,'Live Collections'!$D:$D,Disbursements!B375,'Live Collections'!$G:$G,Disbursements!C375)</f>
        <v>1200000</v>
      </c>
      <c r="AM375" s="541">
        <f t="shared" si="166"/>
        <v>1560000</v>
      </c>
      <c r="AN375" s="542">
        <f t="shared" si="167"/>
        <v>0</v>
      </c>
      <c r="AO375" s="542">
        <f t="shared" si="168"/>
        <v>0</v>
      </c>
      <c r="AP375" s="543">
        <f t="shared" si="169"/>
        <v>0</v>
      </c>
      <c r="AQ375" s="544" t="str">
        <f t="shared" ca="1" si="170"/>
        <v/>
      </c>
      <c r="AR375" s="545">
        <f t="shared" ca="1" si="171"/>
        <v>0</v>
      </c>
      <c r="AS375" s="545">
        <f ca="1">IFERROR(CEILING($AR375*VLOOKUP($I375,Ref!$B$23:$E$29,4,0),1),0)</f>
        <v>0</v>
      </c>
      <c r="AT375" s="545" t="str">
        <f>IF(A375="","",IF(AP375&lt;=1,"Cleared",IF(AS375=0,"Clean",VLOOKUP($AS375,Ref!$G$23:$H$28,2))))</f>
        <v>Cleared</v>
      </c>
      <c r="AU375" s="546" t="str">
        <f t="shared" si="172"/>
        <v>Ok</v>
      </c>
    </row>
    <row r="376" spans="1:47" ht="14.25" customHeight="1" x14ac:dyDescent="0.15">
      <c r="A376" s="575">
        <v>44544</v>
      </c>
      <c r="B376" s="523">
        <v>114</v>
      </c>
      <c r="C376" s="523">
        <v>373</v>
      </c>
      <c r="D376" s="523">
        <v>4</v>
      </c>
      <c r="E376" s="579" t="s">
        <v>1274</v>
      </c>
      <c r="F376" s="580">
        <v>2500000</v>
      </c>
      <c r="G376" s="524">
        <v>5</v>
      </c>
      <c r="H376" s="555">
        <v>0.05</v>
      </c>
      <c r="I376" s="560" t="s">
        <v>859</v>
      </c>
      <c r="J376" s="523" t="s">
        <v>863</v>
      </c>
      <c r="K376" s="528" t="str">
        <f>IFERROR(VLOOKUP($B376,'Clients-Live'!$A:$C,3,0),"")</f>
        <v>ONZIA EMMILY</v>
      </c>
      <c r="L376" s="528">
        <f>IF(E376="STL",Pricing!$D$38,IF(A376="",0,IF(A376&lt;Pricing!$C$25,Pricing!$D$25,VLOOKUP(Disbursements!$F376,Pricing!$B$29:$D$32,3))))</f>
        <v>30000</v>
      </c>
      <c r="M376" s="528">
        <f>IF(E376="STL",0,IF(F376&gt;0,Pricing!$D$21,0))</f>
        <v>5000</v>
      </c>
      <c r="N376" s="529">
        <f>IF(E376="STL",F376*Pricing!$D$40,IF(A376&lt;=Pricing!$C$4,0,IF(AND(A376&gt;Pricing!$C$4,Disbursements!A376&lt;=Pricing!$C$5),F376*Pricing!$E$5,IF(AND(A376&gt;Pricing!$C$5,Disbursements!A376&lt;=Pricing!$C$7),VLOOKUP(F376,Pricing!$D$7:$E$8,2)*Disbursements!F376,F376*Pricing!$E$9))))</f>
        <v>50000</v>
      </c>
      <c r="O376" s="528">
        <f>IF(E376="STL",0,IF($F376&gt;0,$F376*Pricing!$D$17,0))</f>
        <v>250000</v>
      </c>
      <c r="P376" s="530">
        <f t="shared" si="152"/>
        <v>625000</v>
      </c>
      <c r="Q376" s="531">
        <f>IF($A376="","",$G376/VLOOKUP($I376,Ref!$B$23:$D$29,2,0))</f>
        <v>5</v>
      </c>
      <c r="R376" s="530">
        <f t="shared" si="153"/>
        <v>3125000</v>
      </c>
      <c r="S376" s="532">
        <f t="shared" si="147"/>
        <v>625000</v>
      </c>
      <c r="T376" s="531">
        <f t="shared" si="154"/>
        <v>625000</v>
      </c>
      <c r="U376" s="533">
        <f t="shared" si="155"/>
        <v>3125000</v>
      </c>
      <c r="V376" s="531">
        <f t="shared" si="156"/>
        <v>500000</v>
      </c>
      <c r="W376" s="531">
        <f t="shared" si="157"/>
        <v>125000</v>
      </c>
      <c r="X376" s="534">
        <f t="shared" si="158"/>
        <v>625000</v>
      </c>
      <c r="Y376" s="535">
        <f>IF($A376="","",IF($I376="weekly",$A376+7,EDATE($A376,VLOOKUP($I376,Ref!$B$24:$C$29,2,0))))</f>
        <v>44575</v>
      </c>
      <c r="Z376" s="536" t="str">
        <f t="shared" si="159"/>
        <v>Frid</v>
      </c>
      <c r="AA376" s="531">
        <f t="shared" si="160"/>
        <v>31</v>
      </c>
      <c r="AB376" s="535">
        <f t="shared" si="148"/>
        <v>44695</v>
      </c>
      <c r="AC376" s="537">
        <f t="shared" si="149"/>
        <v>151</v>
      </c>
      <c r="AD376" s="538" t="str">
        <f t="shared" ca="1" si="150"/>
        <v>Expired</v>
      </c>
      <c r="AE376" s="537">
        <f t="shared" ca="1" si="151"/>
        <v>0</v>
      </c>
      <c r="AF376" s="539">
        <f t="shared" ca="1" si="161"/>
        <v>5</v>
      </c>
      <c r="AG376" s="531">
        <f t="shared" ca="1" si="162"/>
        <v>3125000</v>
      </c>
      <c r="AH376" s="531">
        <f t="shared" ca="1" si="163"/>
        <v>625000</v>
      </c>
      <c r="AI376" s="531">
        <f t="shared" ca="1" si="164"/>
        <v>2500000</v>
      </c>
      <c r="AJ376" s="531">
        <f t="shared" ca="1" si="165"/>
        <v>0</v>
      </c>
      <c r="AK376" s="540">
        <f>SUMIFS('Live Collections'!$S:$S,'Live Collections'!$D:$D,Disbursements!B376,'Live Collections'!$G:$G,Disbursements!C376)</f>
        <v>150666.66666666669</v>
      </c>
      <c r="AL376" s="540">
        <f>SUMIFS('Live Collections'!$T:$T,'Live Collections'!$D:$D,Disbursements!B376,'Live Collections'!$G:$G,Disbursements!C376)</f>
        <v>849333.33333333326</v>
      </c>
      <c r="AM376" s="541">
        <f t="shared" si="166"/>
        <v>1000000</v>
      </c>
      <c r="AN376" s="542">
        <f t="shared" si="167"/>
        <v>474333.33333333331</v>
      </c>
      <c r="AO376" s="542">
        <f t="shared" si="168"/>
        <v>1650666.6666666667</v>
      </c>
      <c r="AP376" s="543">
        <f t="shared" si="169"/>
        <v>2125000</v>
      </c>
      <c r="AQ376" s="544">
        <f t="shared" ca="1" si="170"/>
        <v>2125000</v>
      </c>
      <c r="AR376" s="545">
        <f t="shared" ca="1" si="171"/>
        <v>3.4</v>
      </c>
      <c r="AS376" s="545">
        <f ca="1">IFERROR(CEILING($AR376*VLOOKUP($I376,Ref!$B$23:$E$29,4,0),1),0)</f>
        <v>102</v>
      </c>
      <c r="AT376" s="545" t="str">
        <f ca="1">IF(A376="","",IF(AP376&lt;=1,"Cleared",IF(AS376=0,"Clean",VLOOKUP($AS376,Ref!$G$23:$H$28,2))))</f>
        <v>4.(91-365) Days</v>
      </c>
      <c r="AU376" s="546" t="str">
        <f t="shared" si="172"/>
        <v>Ok</v>
      </c>
    </row>
    <row r="377" spans="1:47" ht="14.25" customHeight="1" x14ac:dyDescent="0.15">
      <c r="A377" s="575">
        <v>44544</v>
      </c>
      <c r="B377" s="523">
        <v>250</v>
      </c>
      <c r="C377" s="523">
        <v>374</v>
      </c>
      <c r="D377" s="523">
        <v>2</v>
      </c>
      <c r="E377" s="579" t="s">
        <v>1274</v>
      </c>
      <c r="F377" s="580">
        <v>400000</v>
      </c>
      <c r="G377" s="524">
        <v>4</v>
      </c>
      <c r="H377" s="555">
        <v>0.05</v>
      </c>
      <c r="I377" s="560" t="s">
        <v>859</v>
      </c>
      <c r="J377" s="523" t="s">
        <v>864</v>
      </c>
      <c r="K377" s="528" t="str">
        <f>IFERROR(VLOOKUP($B377,'Clients-Live'!$A:$C,3,0),"")</f>
        <v>SAKAYA AMINA</v>
      </c>
      <c r="L377" s="528">
        <f>IF(E377="STL",Pricing!$D$38,IF(A377="",0,IF(A377&lt;Pricing!$C$25,Pricing!$D$25,VLOOKUP(Disbursements!$F377,Pricing!$B$29:$D$32,3))))</f>
        <v>15000</v>
      </c>
      <c r="M377" s="528">
        <f>IF(E377="STL",0,IF(F377&gt;0,Pricing!$D$21,0))</f>
        <v>5000</v>
      </c>
      <c r="N377" s="529">
        <f>IF(E377="STL",F377*Pricing!$D$40,IF(A377&lt;=Pricing!$C$4,0,IF(AND(A377&gt;Pricing!$C$4,Disbursements!A377&lt;=Pricing!$C$5),F377*Pricing!$E$5,IF(AND(A377&gt;Pricing!$C$5,Disbursements!A377&lt;=Pricing!$C$7),VLOOKUP(F377,Pricing!$D$7:$E$8,2)*Disbursements!F377,F377*Pricing!$E$9))))</f>
        <v>4000</v>
      </c>
      <c r="O377" s="528">
        <f>IF(E377="STL",0,IF($F377&gt;0,$F377*Pricing!$D$17,0))</f>
        <v>40000</v>
      </c>
      <c r="P377" s="530">
        <f t="shared" si="152"/>
        <v>80000</v>
      </c>
      <c r="Q377" s="531">
        <f>IF($A377="","",$G377/VLOOKUP($I377,Ref!$B$23:$D$29,2,0))</f>
        <v>4</v>
      </c>
      <c r="R377" s="530">
        <f t="shared" si="153"/>
        <v>480000</v>
      </c>
      <c r="S377" s="532">
        <f t="shared" si="147"/>
        <v>120000</v>
      </c>
      <c r="T377" s="531">
        <f t="shared" si="154"/>
        <v>120000</v>
      </c>
      <c r="U377" s="533">
        <f t="shared" si="155"/>
        <v>480000</v>
      </c>
      <c r="V377" s="531">
        <f t="shared" si="156"/>
        <v>100000</v>
      </c>
      <c r="W377" s="531">
        <f t="shared" si="157"/>
        <v>20000</v>
      </c>
      <c r="X377" s="534">
        <f t="shared" si="158"/>
        <v>80000</v>
      </c>
      <c r="Y377" s="535">
        <f>IF($A377="","",IF($I377="weekly",$A377+7,EDATE($A377,VLOOKUP($I377,Ref!$B$24:$C$29,2,0))))</f>
        <v>44575</v>
      </c>
      <c r="Z377" s="536" t="str">
        <f t="shared" si="159"/>
        <v>Frid</v>
      </c>
      <c r="AA377" s="531">
        <f t="shared" si="160"/>
        <v>31</v>
      </c>
      <c r="AB377" s="535">
        <f t="shared" si="148"/>
        <v>44665</v>
      </c>
      <c r="AC377" s="537">
        <f t="shared" si="149"/>
        <v>121</v>
      </c>
      <c r="AD377" s="538" t="str">
        <f t="shared" ca="1" si="150"/>
        <v>Expired</v>
      </c>
      <c r="AE377" s="537">
        <f t="shared" ca="1" si="151"/>
        <v>0</v>
      </c>
      <c r="AF377" s="539">
        <f t="shared" ca="1" si="161"/>
        <v>4</v>
      </c>
      <c r="AG377" s="531">
        <f t="shared" ca="1" si="162"/>
        <v>480000</v>
      </c>
      <c r="AH377" s="531">
        <f t="shared" ca="1" si="163"/>
        <v>80000</v>
      </c>
      <c r="AI377" s="531">
        <f t="shared" ca="1" si="164"/>
        <v>400000</v>
      </c>
      <c r="AJ377" s="531">
        <f t="shared" ca="1" si="165"/>
        <v>0</v>
      </c>
      <c r="AK377" s="540">
        <f>SUMIFS('Live Collections'!$S:$S,'Live Collections'!$D:$D,Disbursements!B377,'Live Collections'!$G:$G,Disbursements!C377)</f>
        <v>80000</v>
      </c>
      <c r="AL377" s="540">
        <f>SUMIFS('Live Collections'!$T:$T,'Live Collections'!$D:$D,Disbursements!B377,'Live Collections'!$G:$G,Disbursements!C377)</f>
        <v>400000</v>
      </c>
      <c r="AM377" s="541">
        <f t="shared" si="166"/>
        <v>480000</v>
      </c>
      <c r="AN377" s="542">
        <f t="shared" si="167"/>
        <v>0</v>
      </c>
      <c r="AO377" s="542">
        <f t="shared" si="168"/>
        <v>0</v>
      </c>
      <c r="AP377" s="543">
        <f t="shared" si="169"/>
        <v>0</v>
      </c>
      <c r="AQ377" s="544" t="str">
        <f t="shared" ca="1" si="170"/>
        <v/>
      </c>
      <c r="AR377" s="545">
        <f t="shared" ca="1" si="171"/>
        <v>0</v>
      </c>
      <c r="AS377" s="545">
        <f ca="1">IFERROR(CEILING($AR377*VLOOKUP($I377,Ref!$B$23:$E$29,4,0),1),0)</f>
        <v>0</v>
      </c>
      <c r="AT377" s="545" t="str">
        <f>IF(A377="","",IF(AP377&lt;=1,"Cleared",IF(AS377=0,"Clean",VLOOKUP($AS377,Ref!$G$23:$H$28,2))))</f>
        <v>Cleared</v>
      </c>
      <c r="AU377" s="546" t="str">
        <f t="shared" si="172"/>
        <v>Ok</v>
      </c>
    </row>
    <row r="378" spans="1:47" ht="14.25" customHeight="1" x14ac:dyDescent="0.15">
      <c r="A378" s="575">
        <v>44544</v>
      </c>
      <c r="B378" s="523">
        <v>295</v>
      </c>
      <c r="C378" s="523">
        <v>377</v>
      </c>
      <c r="D378" s="523">
        <v>1</v>
      </c>
      <c r="E378" s="579" t="s">
        <v>1274</v>
      </c>
      <c r="F378" s="580">
        <v>1000000</v>
      </c>
      <c r="G378" s="524">
        <v>6</v>
      </c>
      <c r="H378" s="555">
        <v>0.05</v>
      </c>
      <c r="I378" s="560" t="s">
        <v>859</v>
      </c>
      <c r="J378" s="523" t="s">
        <v>862</v>
      </c>
      <c r="K378" s="528" t="str">
        <f>IFERROR(VLOOKUP($B378,'Clients-Live'!$A:$C,3,0),"")</f>
        <v>ABIYO RICHARD ENAKU</v>
      </c>
      <c r="L378" s="528">
        <f>IF(E378="STL",Pricing!$D$38,IF(A378="",0,IF(A378&lt;Pricing!$C$25,Pricing!$D$25,VLOOKUP(Disbursements!$F378,Pricing!$B$29:$D$32,3))))</f>
        <v>20000</v>
      </c>
      <c r="M378" s="528">
        <f>IF(E378="STL",0,IF(F378&gt;0,Pricing!$D$21,0))</f>
        <v>5000</v>
      </c>
      <c r="N378" s="529">
        <f>IF(E378="STL",F378*Pricing!$D$40,IF(A378&lt;=Pricing!$C$4,0,IF(AND(A378&gt;Pricing!$C$4,Disbursements!A378&lt;=Pricing!$C$5),F378*Pricing!$E$5,IF(AND(A378&gt;Pricing!$C$5,Disbursements!A378&lt;=Pricing!$C$7),VLOOKUP(F378,Pricing!$D$7:$E$8,2)*Disbursements!F378,F378*Pricing!$E$9))))</f>
        <v>10000</v>
      </c>
      <c r="O378" s="528">
        <f>IF(E378="STL",0,IF($F378&gt;0,$F378*Pricing!$D$17,0))</f>
        <v>100000</v>
      </c>
      <c r="P378" s="530">
        <f t="shared" si="152"/>
        <v>300000</v>
      </c>
      <c r="Q378" s="531">
        <f>IF($A378="","",$G378/VLOOKUP($I378,Ref!$B$23:$D$29,2,0))</f>
        <v>6</v>
      </c>
      <c r="R378" s="530">
        <f t="shared" si="153"/>
        <v>1300000</v>
      </c>
      <c r="S378" s="532">
        <f t="shared" si="147"/>
        <v>216666.66666666666</v>
      </c>
      <c r="T378" s="531">
        <f t="shared" si="154"/>
        <v>217000</v>
      </c>
      <c r="U378" s="533">
        <f t="shared" si="155"/>
        <v>1302000</v>
      </c>
      <c r="V378" s="531">
        <f t="shared" si="156"/>
        <v>166666.66666666666</v>
      </c>
      <c r="W378" s="531">
        <f t="shared" si="157"/>
        <v>50333.333333333343</v>
      </c>
      <c r="X378" s="534">
        <f t="shared" si="158"/>
        <v>302000.00000000006</v>
      </c>
      <c r="Y378" s="535">
        <f>IF($A378="","",IF($I378="weekly",$A378+7,EDATE($A378,VLOOKUP($I378,Ref!$B$24:$C$29,2,0))))</f>
        <v>44575</v>
      </c>
      <c r="Z378" s="536" t="str">
        <f t="shared" si="159"/>
        <v>Frid</v>
      </c>
      <c r="AA378" s="531">
        <f t="shared" si="160"/>
        <v>31</v>
      </c>
      <c r="AB378" s="535">
        <f t="shared" si="148"/>
        <v>44726</v>
      </c>
      <c r="AC378" s="537">
        <f t="shared" si="149"/>
        <v>182</v>
      </c>
      <c r="AD378" s="538" t="str">
        <f t="shared" ca="1" si="150"/>
        <v>Expired</v>
      </c>
      <c r="AE378" s="537">
        <f t="shared" ca="1" si="151"/>
        <v>0</v>
      </c>
      <c r="AF378" s="539">
        <f t="shared" ca="1" si="161"/>
        <v>6</v>
      </c>
      <c r="AG378" s="531">
        <f t="shared" ca="1" si="162"/>
        <v>1302000</v>
      </c>
      <c r="AH378" s="531">
        <f t="shared" ca="1" si="163"/>
        <v>302000.00000000006</v>
      </c>
      <c r="AI378" s="531">
        <f t="shared" ca="1" si="164"/>
        <v>1000000</v>
      </c>
      <c r="AJ378" s="531">
        <f t="shared" ca="1" si="165"/>
        <v>0</v>
      </c>
      <c r="AK378" s="540">
        <f>SUMIFS('Live Collections'!$S:$S,'Live Collections'!$D:$D,Disbursements!B378,'Live Collections'!$G:$G,Disbursements!C378)</f>
        <v>226000.00000000003</v>
      </c>
      <c r="AL378" s="540">
        <f>SUMIFS('Live Collections'!$T:$T,'Live Collections'!$D:$D,Disbursements!B378,'Live Collections'!$G:$G,Disbursements!C378)</f>
        <v>858699.99999999988</v>
      </c>
      <c r="AM378" s="541">
        <f t="shared" si="166"/>
        <v>1084700</v>
      </c>
      <c r="AN378" s="542">
        <f t="shared" si="167"/>
        <v>76000.000000000029</v>
      </c>
      <c r="AO378" s="542">
        <f t="shared" si="168"/>
        <v>141300.00000000012</v>
      </c>
      <c r="AP378" s="543">
        <f t="shared" si="169"/>
        <v>217300.00000000015</v>
      </c>
      <c r="AQ378" s="544">
        <f t="shared" ca="1" si="170"/>
        <v>217300.00000000015</v>
      </c>
      <c r="AR378" s="545">
        <f t="shared" ca="1" si="171"/>
        <v>1.0013824884792633</v>
      </c>
      <c r="AS378" s="545">
        <f ca="1">IFERROR(CEILING($AR378*VLOOKUP($I378,Ref!$B$23:$E$29,4,0),1),0)</f>
        <v>31</v>
      </c>
      <c r="AT378" s="545" t="str">
        <f ca="1">IF(A378="","",IF(AP378&lt;=1,"Cleared",IF(AS378=0,"Clean",VLOOKUP($AS378,Ref!$G$23:$H$28,2))))</f>
        <v>2.(31-60) Days</v>
      </c>
      <c r="AU378" s="546" t="str">
        <f t="shared" si="172"/>
        <v>Ok</v>
      </c>
    </row>
    <row r="379" spans="1:47" ht="14.25" customHeight="1" x14ac:dyDescent="0.15">
      <c r="A379" s="575">
        <v>44544</v>
      </c>
      <c r="B379" s="523">
        <v>301</v>
      </c>
      <c r="C379" s="523">
        <v>372</v>
      </c>
      <c r="D379" s="523">
        <v>1</v>
      </c>
      <c r="E379" s="579" t="s">
        <v>1274</v>
      </c>
      <c r="F379" s="580">
        <v>1500000</v>
      </c>
      <c r="G379" s="524">
        <v>6</v>
      </c>
      <c r="H379" s="555">
        <v>0.05</v>
      </c>
      <c r="I379" s="560" t="s">
        <v>859</v>
      </c>
      <c r="J379" s="523" t="s">
        <v>862</v>
      </c>
      <c r="K379" s="528" t="str">
        <f>IFERROR(VLOOKUP($B379,'Clients-Live'!$A:$C,3,0),"")</f>
        <v>MAYANJA DAVID</v>
      </c>
      <c r="L379" s="528">
        <f>IF(E379="STL",Pricing!$D$38,IF(A379="",0,IF(A379&lt;Pricing!$C$25,Pricing!$D$25,VLOOKUP(Disbursements!$F379,Pricing!$B$29:$D$32,3))))</f>
        <v>25000</v>
      </c>
      <c r="M379" s="528">
        <f>IF(E379="STL",0,IF(F379&gt;0,Pricing!$D$21,0))</f>
        <v>5000</v>
      </c>
      <c r="N379" s="529">
        <f>IF(E379="STL",F379*Pricing!$D$40,IF(A379&lt;=Pricing!$C$4,0,IF(AND(A379&gt;Pricing!$C$4,Disbursements!A379&lt;=Pricing!$C$5),F379*Pricing!$E$5,IF(AND(A379&gt;Pricing!$C$5,Disbursements!A379&lt;=Pricing!$C$7),VLOOKUP(F379,Pricing!$D$7:$E$8,2)*Disbursements!F379,F379*Pricing!$E$9))))</f>
        <v>30000</v>
      </c>
      <c r="O379" s="528">
        <f>IF(E379="STL",0,IF($F379&gt;0,$F379*Pricing!$D$17,0))</f>
        <v>150000</v>
      </c>
      <c r="P379" s="530">
        <f t="shared" si="152"/>
        <v>450000</v>
      </c>
      <c r="Q379" s="531">
        <f>IF($A379="","",$G379/VLOOKUP($I379,Ref!$B$23:$D$29,2,0))</f>
        <v>6</v>
      </c>
      <c r="R379" s="530">
        <f t="shared" si="153"/>
        <v>1950000</v>
      </c>
      <c r="S379" s="532">
        <f t="shared" si="147"/>
        <v>325000</v>
      </c>
      <c r="T379" s="531">
        <f t="shared" si="154"/>
        <v>325000</v>
      </c>
      <c r="U379" s="533">
        <f t="shared" si="155"/>
        <v>1950000</v>
      </c>
      <c r="V379" s="531">
        <f t="shared" si="156"/>
        <v>250000</v>
      </c>
      <c r="W379" s="531">
        <f t="shared" si="157"/>
        <v>75000</v>
      </c>
      <c r="X379" s="534">
        <f t="shared" si="158"/>
        <v>450000</v>
      </c>
      <c r="Y379" s="535">
        <f>IF($A379="","",IF($I379="weekly",$A379+7,EDATE($A379,VLOOKUP($I379,Ref!$B$24:$C$29,2,0))))</f>
        <v>44575</v>
      </c>
      <c r="Z379" s="536" t="str">
        <f t="shared" si="159"/>
        <v>Frid</v>
      </c>
      <c r="AA379" s="531">
        <f t="shared" si="160"/>
        <v>31</v>
      </c>
      <c r="AB379" s="535">
        <f t="shared" si="148"/>
        <v>44726</v>
      </c>
      <c r="AC379" s="537">
        <f t="shared" si="149"/>
        <v>182</v>
      </c>
      <c r="AD379" s="538" t="str">
        <f t="shared" ca="1" si="150"/>
        <v>Expired</v>
      </c>
      <c r="AE379" s="537">
        <f t="shared" ca="1" si="151"/>
        <v>0</v>
      </c>
      <c r="AF379" s="539">
        <f t="shared" ca="1" si="161"/>
        <v>6</v>
      </c>
      <c r="AG379" s="531">
        <f t="shared" ca="1" si="162"/>
        <v>1950000</v>
      </c>
      <c r="AH379" s="531">
        <f t="shared" ca="1" si="163"/>
        <v>450000</v>
      </c>
      <c r="AI379" s="531">
        <f t="shared" ca="1" si="164"/>
        <v>1500000</v>
      </c>
      <c r="AJ379" s="531">
        <f t="shared" ca="1" si="165"/>
        <v>0</v>
      </c>
      <c r="AK379" s="540">
        <f>SUMIFS('Live Collections'!$S:$S,'Live Collections'!$D:$D,Disbursements!B379,'Live Collections'!$G:$G,Disbursements!C379)</f>
        <v>425000</v>
      </c>
      <c r="AL379" s="540">
        <f>SUMIFS('Live Collections'!$T:$T,'Live Collections'!$D:$D,Disbursements!B379,'Live Collections'!$G:$G,Disbursements!C379)</f>
        <v>1175000</v>
      </c>
      <c r="AM379" s="541">
        <f t="shared" si="166"/>
        <v>1600000</v>
      </c>
      <c r="AN379" s="542">
        <f t="shared" si="167"/>
        <v>25000</v>
      </c>
      <c r="AO379" s="542">
        <f t="shared" si="168"/>
        <v>325000</v>
      </c>
      <c r="AP379" s="543">
        <f t="shared" si="169"/>
        <v>350000</v>
      </c>
      <c r="AQ379" s="544">
        <f t="shared" ca="1" si="170"/>
        <v>350000</v>
      </c>
      <c r="AR379" s="545">
        <f t="shared" ca="1" si="171"/>
        <v>1.0769230769230769</v>
      </c>
      <c r="AS379" s="545">
        <f ca="1">IFERROR(CEILING($AR379*VLOOKUP($I379,Ref!$B$23:$E$29,4,0),1),0)</f>
        <v>33</v>
      </c>
      <c r="AT379" s="545" t="str">
        <f ca="1">IF(A379="","",IF(AP379&lt;=1,"Cleared",IF(AS379=0,"Clean",VLOOKUP($AS379,Ref!$G$23:$H$28,2))))</f>
        <v>2.(31-60) Days</v>
      </c>
      <c r="AU379" s="546" t="str">
        <f t="shared" si="172"/>
        <v>Ok</v>
      </c>
    </row>
    <row r="380" spans="1:47" ht="14.25" customHeight="1" x14ac:dyDescent="0.15">
      <c r="A380" s="575">
        <v>44545</v>
      </c>
      <c r="B380" s="523">
        <v>102</v>
      </c>
      <c r="C380" s="523">
        <v>382</v>
      </c>
      <c r="D380" s="523">
        <v>2</v>
      </c>
      <c r="E380" s="579" t="s">
        <v>1274</v>
      </c>
      <c r="F380" s="580">
        <v>150000</v>
      </c>
      <c r="G380" s="524">
        <v>2</v>
      </c>
      <c r="H380" s="555">
        <v>0.05</v>
      </c>
      <c r="I380" s="560" t="s">
        <v>859</v>
      </c>
      <c r="J380" s="523" t="s">
        <v>864</v>
      </c>
      <c r="K380" s="528" t="str">
        <f>IFERROR(VLOOKUP($B380,'Clients-Live'!$A:$C,3,0),"")</f>
        <v>BATALI GODFREY JOHN</v>
      </c>
      <c r="L380" s="528">
        <f>IF(E380="STL",Pricing!$D$38,IF(A380="",0,IF(A380&lt;Pricing!$C$25,Pricing!$D$25,VLOOKUP(Disbursements!$F380,Pricing!$B$29:$D$32,3))))</f>
        <v>15000</v>
      </c>
      <c r="M380" s="528">
        <f>IF(E380="STL",0,IF(F380&gt;0,Pricing!$D$21,0))</f>
        <v>5000</v>
      </c>
      <c r="N380" s="529">
        <f>IF(E380="STL",F380*Pricing!$D$40,IF(A380&lt;=Pricing!$C$4,0,IF(AND(A380&gt;Pricing!$C$4,Disbursements!A380&lt;=Pricing!$C$5),F380*Pricing!$E$5,IF(AND(A380&gt;Pricing!$C$5,Disbursements!A380&lt;=Pricing!$C$7),VLOOKUP(F380,Pricing!$D$7:$E$8,2)*Disbursements!F380,F380*Pricing!$E$9))))</f>
        <v>1500</v>
      </c>
      <c r="O380" s="528">
        <f>IF(E380="STL",0,IF($F380&gt;0,$F380*Pricing!$D$17,0))</f>
        <v>15000</v>
      </c>
      <c r="P380" s="530">
        <f t="shared" si="152"/>
        <v>15000</v>
      </c>
      <c r="Q380" s="531">
        <f>IF($A380="","",$G380/VLOOKUP($I380,Ref!$B$23:$D$29,2,0))</f>
        <v>2</v>
      </c>
      <c r="R380" s="530">
        <f t="shared" si="153"/>
        <v>165000</v>
      </c>
      <c r="S380" s="532">
        <f t="shared" si="147"/>
        <v>82500</v>
      </c>
      <c r="T380" s="531">
        <f t="shared" si="154"/>
        <v>83000</v>
      </c>
      <c r="U380" s="533">
        <f t="shared" si="155"/>
        <v>166000</v>
      </c>
      <c r="V380" s="531">
        <f t="shared" si="156"/>
        <v>75000</v>
      </c>
      <c r="W380" s="531">
        <f t="shared" si="157"/>
        <v>8000</v>
      </c>
      <c r="X380" s="534">
        <f t="shared" si="158"/>
        <v>16000</v>
      </c>
      <c r="Y380" s="535">
        <f>IF($A380="","",IF($I380="weekly",$A380+7,EDATE($A380,VLOOKUP($I380,Ref!$B$24:$C$29,2,0))))</f>
        <v>44576</v>
      </c>
      <c r="Z380" s="536" t="str">
        <f t="shared" si="159"/>
        <v>Sat</v>
      </c>
      <c r="AA380" s="531">
        <f t="shared" si="160"/>
        <v>31</v>
      </c>
      <c r="AB380" s="535">
        <f t="shared" si="148"/>
        <v>44607</v>
      </c>
      <c r="AC380" s="537">
        <f t="shared" si="149"/>
        <v>62</v>
      </c>
      <c r="AD380" s="538" t="str">
        <f t="shared" ca="1" si="150"/>
        <v>Expired</v>
      </c>
      <c r="AE380" s="537">
        <f t="shared" ca="1" si="151"/>
        <v>0</v>
      </c>
      <c r="AF380" s="539">
        <f t="shared" ca="1" si="161"/>
        <v>2</v>
      </c>
      <c r="AG380" s="531">
        <f t="shared" ca="1" si="162"/>
        <v>166000</v>
      </c>
      <c r="AH380" s="531">
        <f t="shared" ca="1" si="163"/>
        <v>16000</v>
      </c>
      <c r="AI380" s="531">
        <f t="shared" ca="1" si="164"/>
        <v>150000</v>
      </c>
      <c r="AJ380" s="531">
        <f t="shared" ca="1" si="165"/>
        <v>0</v>
      </c>
      <c r="AK380" s="540">
        <f>SUMIFS('Live Collections'!$S:$S,'Live Collections'!$D:$D,Disbursements!B380,'Live Collections'!$G:$G,Disbursements!C380)</f>
        <v>16000</v>
      </c>
      <c r="AL380" s="540">
        <f>SUMIFS('Live Collections'!$T:$T,'Live Collections'!$D:$D,Disbursements!B380,'Live Collections'!$G:$G,Disbursements!C380)</f>
        <v>149000</v>
      </c>
      <c r="AM380" s="541">
        <f t="shared" si="166"/>
        <v>165000</v>
      </c>
      <c r="AN380" s="542">
        <f t="shared" si="167"/>
        <v>0</v>
      </c>
      <c r="AO380" s="542">
        <f t="shared" si="168"/>
        <v>1000</v>
      </c>
      <c r="AP380" s="543">
        <f t="shared" si="169"/>
        <v>1000</v>
      </c>
      <c r="AQ380" s="544">
        <f t="shared" ca="1" si="170"/>
        <v>1000</v>
      </c>
      <c r="AR380" s="545">
        <f t="shared" ca="1" si="171"/>
        <v>1.2048192771084338E-2</v>
      </c>
      <c r="AS380" s="545">
        <f ca="1">IFERROR(CEILING($AR380*VLOOKUP($I380,Ref!$B$23:$E$29,4,0),1),0)</f>
        <v>1</v>
      </c>
      <c r="AT380" s="545" t="str">
        <f ca="1">IF(A380="","",IF(AP380&lt;=1,"Cleared",IF(AS380=0,"Clean",VLOOKUP($AS380,Ref!$G$23:$H$28,2))))</f>
        <v>1.(0-30) Days</v>
      </c>
      <c r="AU380" s="546" t="str">
        <f t="shared" si="172"/>
        <v>Ok</v>
      </c>
    </row>
    <row r="381" spans="1:47" ht="14.25" customHeight="1" x14ac:dyDescent="0.15">
      <c r="A381" s="575">
        <v>44545</v>
      </c>
      <c r="B381" s="523">
        <v>22</v>
      </c>
      <c r="C381" s="523">
        <v>381</v>
      </c>
      <c r="D381" s="523">
        <v>2</v>
      </c>
      <c r="E381" s="579" t="s">
        <v>1274</v>
      </c>
      <c r="F381" s="580">
        <v>700000</v>
      </c>
      <c r="G381" s="524">
        <v>4</v>
      </c>
      <c r="H381" s="555">
        <v>0.05</v>
      </c>
      <c r="I381" s="560" t="s">
        <v>859</v>
      </c>
      <c r="J381" s="523" t="s">
        <v>862</v>
      </c>
      <c r="K381" s="528" t="str">
        <f>IFERROR(VLOOKUP($B381,'Clients-Live'!$A:$C,3,0),"")</f>
        <v>DATA ISMAIL FATARI</v>
      </c>
      <c r="L381" s="528">
        <f>IF(E381="STL",Pricing!$D$38,IF(A381="",0,IF(A381&lt;Pricing!$C$25,Pricing!$D$25,VLOOKUP(Disbursements!$F381,Pricing!$B$29:$D$32,3))))</f>
        <v>20000</v>
      </c>
      <c r="M381" s="528">
        <f>IF(E381="STL",0,IF(F381&gt;0,Pricing!$D$21,0))</f>
        <v>5000</v>
      </c>
      <c r="N381" s="529">
        <f>IF(E381="STL",F381*Pricing!$D$40,IF(A381&lt;=Pricing!$C$4,0,IF(AND(A381&gt;Pricing!$C$4,Disbursements!A381&lt;=Pricing!$C$5),F381*Pricing!$E$5,IF(AND(A381&gt;Pricing!$C$5,Disbursements!A381&lt;=Pricing!$C$7),VLOOKUP(F381,Pricing!$D$7:$E$8,2)*Disbursements!F381,F381*Pricing!$E$9))))</f>
        <v>7000</v>
      </c>
      <c r="O381" s="528">
        <f>IF(E381="STL",0,IF($F381&gt;0,$F381*Pricing!$D$17,0))</f>
        <v>70000</v>
      </c>
      <c r="P381" s="530">
        <f t="shared" si="152"/>
        <v>140000</v>
      </c>
      <c r="Q381" s="531">
        <f>IF($A381="","",$G381/VLOOKUP($I381,Ref!$B$23:$D$29,2,0))</f>
        <v>4</v>
      </c>
      <c r="R381" s="530">
        <f t="shared" si="153"/>
        <v>840000</v>
      </c>
      <c r="S381" s="532">
        <f t="shared" si="147"/>
        <v>210000</v>
      </c>
      <c r="T381" s="531">
        <f t="shared" si="154"/>
        <v>210000</v>
      </c>
      <c r="U381" s="533">
        <f t="shared" si="155"/>
        <v>840000</v>
      </c>
      <c r="V381" s="531">
        <f t="shared" si="156"/>
        <v>175000</v>
      </c>
      <c r="W381" s="531">
        <f t="shared" si="157"/>
        <v>35000</v>
      </c>
      <c r="X381" s="534">
        <f t="shared" si="158"/>
        <v>140000</v>
      </c>
      <c r="Y381" s="535">
        <f>IF($A381="","",IF($I381="weekly",$A381+7,EDATE($A381,VLOOKUP($I381,Ref!$B$24:$C$29,2,0))))</f>
        <v>44576</v>
      </c>
      <c r="Z381" s="536" t="str">
        <f t="shared" si="159"/>
        <v>Sat</v>
      </c>
      <c r="AA381" s="531">
        <f t="shared" si="160"/>
        <v>31</v>
      </c>
      <c r="AB381" s="535">
        <f t="shared" si="148"/>
        <v>44666</v>
      </c>
      <c r="AC381" s="537">
        <f t="shared" si="149"/>
        <v>121</v>
      </c>
      <c r="AD381" s="538" t="str">
        <f t="shared" ca="1" si="150"/>
        <v>Expired</v>
      </c>
      <c r="AE381" s="537">
        <f t="shared" ca="1" si="151"/>
        <v>0</v>
      </c>
      <c r="AF381" s="539">
        <f t="shared" ca="1" si="161"/>
        <v>4</v>
      </c>
      <c r="AG381" s="531">
        <f t="shared" ca="1" si="162"/>
        <v>840000</v>
      </c>
      <c r="AH381" s="531">
        <f t="shared" ca="1" si="163"/>
        <v>140000</v>
      </c>
      <c r="AI381" s="531">
        <f t="shared" ca="1" si="164"/>
        <v>700000</v>
      </c>
      <c r="AJ381" s="531">
        <f t="shared" ca="1" si="165"/>
        <v>0</v>
      </c>
      <c r="AK381" s="540">
        <f>SUMIFS('Live Collections'!$S:$S,'Live Collections'!$D:$D,Disbursements!B381,'Live Collections'!$G:$G,Disbursements!C381)</f>
        <v>140000</v>
      </c>
      <c r="AL381" s="540">
        <f>SUMIFS('Live Collections'!$T:$T,'Live Collections'!$D:$D,Disbursements!B381,'Live Collections'!$G:$G,Disbursements!C381)</f>
        <v>30000</v>
      </c>
      <c r="AM381" s="541">
        <f t="shared" si="166"/>
        <v>170000</v>
      </c>
      <c r="AN381" s="542">
        <f t="shared" si="167"/>
        <v>0</v>
      </c>
      <c r="AO381" s="542">
        <f t="shared" si="168"/>
        <v>670000</v>
      </c>
      <c r="AP381" s="543">
        <f t="shared" si="169"/>
        <v>670000</v>
      </c>
      <c r="AQ381" s="544">
        <f t="shared" ca="1" si="170"/>
        <v>670000</v>
      </c>
      <c r="AR381" s="545">
        <f t="shared" ca="1" si="171"/>
        <v>3.1904761904761907</v>
      </c>
      <c r="AS381" s="545">
        <f ca="1">IFERROR(CEILING($AR381*VLOOKUP($I381,Ref!$B$23:$E$29,4,0),1),0)</f>
        <v>96</v>
      </c>
      <c r="AT381" s="545" t="str">
        <f ca="1">IF(A381="","",IF(AP381&lt;=1,"Cleared",IF(AS381=0,"Clean",VLOOKUP($AS381,Ref!$G$23:$H$28,2))))</f>
        <v>4.(91-365) Days</v>
      </c>
      <c r="AU381" s="546" t="str">
        <f t="shared" si="172"/>
        <v>Ok</v>
      </c>
    </row>
    <row r="382" spans="1:47" ht="14.25" customHeight="1" x14ac:dyDescent="0.15">
      <c r="A382" s="575">
        <v>44545</v>
      </c>
      <c r="B382" s="523">
        <v>88</v>
      </c>
      <c r="C382" s="523">
        <v>380</v>
      </c>
      <c r="D382" s="523">
        <v>3</v>
      </c>
      <c r="E382" s="579" t="s">
        <v>1274</v>
      </c>
      <c r="F382" s="580">
        <v>300000</v>
      </c>
      <c r="G382" s="524">
        <v>4</v>
      </c>
      <c r="H382" s="555">
        <v>0.05</v>
      </c>
      <c r="I382" s="560" t="s">
        <v>859</v>
      </c>
      <c r="J382" s="523" t="s">
        <v>864</v>
      </c>
      <c r="K382" s="528" t="str">
        <f>IFERROR(VLOOKUP($B382,'Clients-Live'!$A:$C,3,0),"")</f>
        <v>FAIDA HARRIET</v>
      </c>
      <c r="L382" s="528">
        <f>IF(E382="STL",Pricing!$D$38,IF(A382="",0,IF(A382&lt;Pricing!$C$25,Pricing!$D$25,VLOOKUP(Disbursements!$F382,Pricing!$B$29:$D$32,3))))</f>
        <v>15000</v>
      </c>
      <c r="M382" s="528">
        <f>IF(E382="STL",0,IF(F382&gt;0,Pricing!$D$21,0))</f>
        <v>5000</v>
      </c>
      <c r="N382" s="529">
        <f>IF(E382="STL",F382*Pricing!$D$40,IF(A382&lt;=Pricing!$C$4,0,IF(AND(A382&gt;Pricing!$C$4,Disbursements!A382&lt;=Pricing!$C$5),F382*Pricing!$E$5,IF(AND(A382&gt;Pricing!$C$5,Disbursements!A382&lt;=Pricing!$C$7),VLOOKUP(F382,Pricing!$D$7:$E$8,2)*Disbursements!F382,F382*Pricing!$E$9))))</f>
        <v>3000</v>
      </c>
      <c r="O382" s="528">
        <f>IF(E382="STL",0,IF($F382&gt;0,$F382*Pricing!$D$17,0))</f>
        <v>30000</v>
      </c>
      <c r="P382" s="530">
        <f t="shared" si="152"/>
        <v>60000</v>
      </c>
      <c r="Q382" s="531">
        <f>IF($A382="","",$G382/VLOOKUP($I382,Ref!$B$23:$D$29,2,0))</f>
        <v>4</v>
      </c>
      <c r="R382" s="530">
        <f t="shared" si="153"/>
        <v>360000</v>
      </c>
      <c r="S382" s="532">
        <f t="shared" si="147"/>
        <v>90000</v>
      </c>
      <c r="T382" s="531">
        <f t="shared" si="154"/>
        <v>90000</v>
      </c>
      <c r="U382" s="533">
        <f t="shared" si="155"/>
        <v>360000</v>
      </c>
      <c r="V382" s="531">
        <f t="shared" si="156"/>
        <v>75000</v>
      </c>
      <c r="W382" s="531">
        <f t="shared" si="157"/>
        <v>15000</v>
      </c>
      <c r="X382" s="534">
        <f t="shared" si="158"/>
        <v>60000</v>
      </c>
      <c r="Y382" s="535">
        <f>IF($A382="","",IF($I382="weekly",$A382+7,EDATE($A382,VLOOKUP($I382,Ref!$B$24:$C$29,2,0))))</f>
        <v>44576</v>
      </c>
      <c r="Z382" s="536" t="str">
        <f t="shared" si="159"/>
        <v>Sat</v>
      </c>
      <c r="AA382" s="531">
        <f t="shared" si="160"/>
        <v>31</v>
      </c>
      <c r="AB382" s="535">
        <f t="shared" si="148"/>
        <v>44666</v>
      </c>
      <c r="AC382" s="537">
        <f t="shared" si="149"/>
        <v>121</v>
      </c>
      <c r="AD382" s="538" t="str">
        <f t="shared" ca="1" si="150"/>
        <v>Expired</v>
      </c>
      <c r="AE382" s="537">
        <f t="shared" ca="1" si="151"/>
        <v>0</v>
      </c>
      <c r="AF382" s="539">
        <f t="shared" ca="1" si="161"/>
        <v>4</v>
      </c>
      <c r="AG382" s="531">
        <f t="shared" ca="1" si="162"/>
        <v>360000</v>
      </c>
      <c r="AH382" s="531">
        <f t="shared" ca="1" si="163"/>
        <v>60000</v>
      </c>
      <c r="AI382" s="531">
        <f t="shared" ca="1" si="164"/>
        <v>300000</v>
      </c>
      <c r="AJ382" s="531">
        <f t="shared" ca="1" si="165"/>
        <v>0</v>
      </c>
      <c r="AK382" s="540">
        <f>SUMIFS('Live Collections'!$S:$S,'Live Collections'!$D:$D,Disbursements!B382,'Live Collections'!$G:$G,Disbursements!C382)</f>
        <v>60000</v>
      </c>
      <c r="AL382" s="540">
        <f>SUMIFS('Live Collections'!$T:$T,'Live Collections'!$D:$D,Disbursements!B382,'Live Collections'!$G:$G,Disbursements!C382)</f>
        <v>300000</v>
      </c>
      <c r="AM382" s="541">
        <f t="shared" si="166"/>
        <v>360000</v>
      </c>
      <c r="AN382" s="542">
        <f t="shared" si="167"/>
        <v>0</v>
      </c>
      <c r="AO382" s="542">
        <f t="shared" si="168"/>
        <v>0</v>
      </c>
      <c r="AP382" s="543">
        <f t="shared" si="169"/>
        <v>0</v>
      </c>
      <c r="AQ382" s="544" t="str">
        <f t="shared" ca="1" si="170"/>
        <v/>
      </c>
      <c r="AR382" s="545">
        <f t="shared" ca="1" si="171"/>
        <v>0</v>
      </c>
      <c r="AS382" s="545">
        <f ca="1">IFERROR(CEILING($AR382*VLOOKUP($I382,Ref!$B$23:$E$29,4,0),1),0)</f>
        <v>0</v>
      </c>
      <c r="AT382" s="545" t="str">
        <f>IF(A382="","",IF(AP382&lt;=1,"Cleared",IF(AS382=0,"Clean",VLOOKUP($AS382,Ref!$G$23:$H$28,2))))</f>
        <v>Cleared</v>
      </c>
      <c r="AU382" s="546" t="str">
        <f t="shared" si="172"/>
        <v>Ok</v>
      </c>
    </row>
    <row r="383" spans="1:47" ht="14.25" customHeight="1" x14ac:dyDescent="0.15">
      <c r="A383" s="575">
        <v>44545</v>
      </c>
      <c r="B383" s="523">
        <v>142</v>
      </c>
      <c r="C383" s="523">
        <v>383</v>
      </c>
      <c r="D383" s="523">
        <v>6</v>
      </c>
      <c r="E383" s="579" t="s">
        <v>1274</v>
      </c>
      <c r="F383" s="580">
        <v>1500000</v>
      </c>
      <c r="G383" s="524">
        <v>6</v>
      </c>
      <c r="H383" s="555">
        <v>0.05</v>
      </c>
      <c r="I383" s="560" t="s">
        <v>859</v>
      </c>
      <c r="J383" s="523" t="s">
        <v>864</v>
      </c>
      <c r="K383" s="528" t="str">
        <f>IFERROR(VLOOKUP($B383,'Clients-Live'!$A:$C,3,0),"")</f>
        <v>TABU MARY</v>
      </c>
      <c r="L383" s="528">
        <f>IF(E383="STL",Pricing!$D$38,IF(A383="",0,IF(A383&lt;Pricing!$C$25,Pricing!$D$25,VLOOKUP(Disbursements!$F383,Pricing!$B$29:$D$32,3))))</f>
        <v>25000</v>
      </c>
      <c r="M383" s="528">
        <f>IF(E383="STL",0,IF(F383&gt;0,Pricing!$D$21,0))</f>
        <v>5000</v>
      </c>
      <c r="N383" s="529">
        <f>IF(E383="STL",F383*Pricing!$D$40,IF(A383&lt;=Pricing!$C$4,0,IF(AND(A383&gt;Pricing!$C$4,Disbursements!A383&lt;=Pricing!$C$5),F383*Pricing!$E$5,IF(AND(A383&gt;Pricing!$C$5,Disbursements!A383&lt;=Pricing!$C$7),VLOOKUP(F383,Pricing!$D$7:$E$8,2)*Disbursements!F383,F383*Pricing!$E$9))))</f>
        <v>30000</v>
      </c>
      <c r="O383" s="528">
        <f>IF(E383="STL",0,IF($F383&gt;0,$F383*Pricing!$D$17,0))</f>
        <v>150000</v>
      </c>
      <c r="P383" s="530">
        <f t="shared" si="152"/>
        <v>450000</v>
      </c>
      <c r="Q383" s="531">
        <f>IF($A383="","",$G383/VLOOKUP($I383,Ref!$B$23:$D$29,2,0))</f>
        <v>6</v>
      </c>
      <c r="R383" s="530">
        <f t="shared" si="153"/>
        <v>1950000</v>
      </c>
      <c r="S383" s="532">
        <f t="shared" si="147"/>
        <v>325000</v>
      </c>
      <c r="T383" s="531">
        <f t="shared" si="154"/>
        <v>325000</v>
      </c>
      <c r="U383" s="533">
        <f t="shared" si="155"/>
        <v>1950000</v>
      </c>
      <c r="V383" s="531">
        <f t="shared" si="156"/>
        <v>250000</v>
      </c>
      <c r="W383" s="531">
        <f t="shared" si="157"/>
        <v>75000</v>
      </c>
      <c r="X383" s="534">
        <f t="shared" si="158"/>
        <v>450000</v>
      </c>
      <c r="Y383" s="535">
        <f>IF($A383="","",IF($I383="weekly",$A383+7,EDATE($A383,VLOOKUP($I383,Ref!$B$24:$C$29,2,0))))</f>
        <v>44576</v>
      </c>
      <c r="Z383" s="536" t="str">
        <f t="shared" si="159"/>
        <v>Sat</v>
      </c>
      <c r="AA383" s="531">
        <f t="shared" si="160"/>
        <v>31</v>
      </c>
      <c r="AB383" s="535">
        <f t="shared" si="148"/>
        <v>44727</v>
      </c>
      <c r="AC383" s="537">
        <f t="shared" si="149"/>
        <v>182</v>
      </c>
      <c r="AD383" s="538" t="str">
        <f t="shared" ca="1" si="150"/>
        <v>Expired</v>
      </c>
      <c r="AE383" s="537">
        <f t="shared" ca="1" si="151"/>
        <v>0</v>
      </c>
      <c r="AF383" s="539">
        <f t="shared" ca="1" si="161"/>
        <v>6</v>
      </c>
      <c r="AG383" s="531">
        <f t="shared" ca="1" si="162"/>
        <v>1950000</v>
      </c>
      <c r="AH383" s="531">
        <f t="shared" ca="1" si="163"/>
        <v>450000</v>
      </c>
      <c r="AI383" s="531">
        <f t="shared" ca="1" si="164"/>
        <v>1500000</v>
      </c>
      <c r="AJ383" s="531">
        <f t="shared" ca="1" si="165"/>
        <v>0</v>
      </c>
      <c r="AK383" s="540">
        <f>SUMIFS('Live Collections'!$S:$S,'Live Collections'!$D:$D,Disbursements!B383,'Live Collections'!$G:$G,Disbursements!C383)</f>
        <v>450000</v>
      </c>
      <c r="AL383" s="540">
        <f>SUMIFS('Live Collections'!$T:$T,'Live Collections'!$D:$D,Disbursements!B383,'Live Collections'!$G:$G,Disbursements!C383)</f>
        <v>1500000</v>
      </c>
      <c r="AM383" s="541">
        <f t="shared" si="166"/>
        <v>1950000</v>
      </c>
      <c r="AN383" s="542">
        <f t="shared" si="167"/>
        <v>0</v>
      </c>
      <c r="AO383" s="542">
        <f t="shared" si="168"/>
        <v>0</v>
      </c>
      <c r="AP383" s="543">
        <f t="shared" si="169"/>
        <v>0</v>
      </c>
      <c r="AQ383" s="544" t="str">
        <f t="shared" ca="1" si="170"/>
        <v/>
      </c>
      <c r="AR383" s="545">
        <f t="shared" ca="1" si="171"/>
        <v>0</v>
      </c>
      <c r="AS383" s="545">
        <f ca="1">IFERROR(CEILING($AR383*VLOOKUP($I383,Ref!$B$23:$E$29,4,0),1),0)</f>
        <v>0</v>
      </c>
      <c r="AT383" s="545" t="str">
        <f>IF(A383="","",IF(AP383&lt;=1,"Cleared",IF(AS383=0,"Clean",VLOOKUP($AS383,Ref!$G$23:$H$28,2))))</f>
        <v>Cleared</v>
      </c>
      <c r="AU383" s="546" t="str">
        <f t="shared" si="172"/>
        <v>Ok</v>
      </c>
    </row>
    <row r="384" spans="1:47" ht="14.25" customHeight="1" x14ac:dyDescent="0.15">
      <c r="A384" s="575">
        <v>44545</v>
      </c>
      <c r="B384" s="523">
        <v>210</v>
      </c>
      <c r="C384" s="523">
        <v>379</v>
      </c>
      <c r="D384" s="523">
        <v>2</v>
      </c>
      <c r="E384" s="579" t="s">
        <v>1274</v>
      </c>
      <c r="F384" s="580">
        <v>700000</v>
      </c>
      <c r="G384" s="524">
        <v>5</v>
      </c>
      <c r="H384" s="555">
        <v>0.05</v>
      </c>
      <c r="I384" s="560" t="s">
        <v>859</v>
      </c>
      <c r="J384" s="523" t="s">
        <v>864</v>
      </c>
      <c r="K384" s="528" t="str">
        <f>IFERROR(VLOOKUP($B384,'Clients-Live'!$A:$C,3,0),"")</f>
        <v>ADRILI ZAHARA</v>
      </c>
      <c r="L384" s="528">
        <f>IF(E384="STL",Pricing!$D$38,IF(A384="",0,IF(A384&lt;Pricing!$C$25,Pricing!$D$25,VLOOKUP(Disbursements!$F384,Pricing!$B$29:$D$32,3))))</f>
        <v>20000</v>
      </c>
      <c r="M384" s="528">
        <f>IF(E384="STL",0,IF(F384&gt;0,Pricing!$D$21,0))</f>
        <v>5000</v>
      </c>
      <c r="N384" s="529">
        <f>IF(E384="STL",F384*Pricing!$D$40,IF(A384&lt;=Pricing!$C$4,0,IF(AND(A384&gt;Pricing!$C$4,Disbursements!A384&lt;=Pricing!$C$5),F384*Pricing!$E$5,IF(AND(A384&gt;Pricing!$C$5,Disbursements!A384&lt;=Pricing!$C$7),VLOOKUP(F384,Pricing!$D$7:$E$8,2)*Disbursements!F384,F384*Pricing!$E$9))))</f>
        <v>7000</v>
      </c>
      <c r="O384" s="528">
        <f>IF(E384="STL",0,IF($F384&gt;0,$F384*Pricing!$D$17,0))</f>
        <v>70000</v>
      </c>
      <c r="P384" s="530">
        <f t="shared" si="152"/>
        <v>175000</v>
      </c>
      <c r="Q384" s="531">
        <f>IF($A384="","",$G384/VLOOKUP($I384,Ref!$B$23:$D$29,2,0))</f>
        <v>5</v>
      </c>
      <c r="R384" s="530">
        <f t="shared" si="153"/>
        <v>875000</v>
      </c>
      <c r="S384" s="532">
        <f t="shared" si="147"/>
        <v>175000</v>
      </c>
      <c r="T384" s="531">
        <f t="shared" si="154"/>
        <v>175000</v>
      </c>
      <c r="U384" s="533">
        <f t="shared" si="155"/>
        <v>875000</v>
      </c>
      <c r="V384" s="531">
        <f t="shared" si="156"/>
        <v>140000</v>
      </c>
      <c r="W384" s="531">
        <f t="shared" si="157"/>
        <v>35000</v>
      </c>
      <c r="X384" s="534">
        <f t="shared" si="158"/>
        <v>175000</v>
      </c>
      <c r="Y384" s="535">
        <f>IF($A384="","",IF($I384="weekly",$A384+7,EDATE($A384,VLOOKUP($I384,Ref!$B$24:$C$29,2,0))))</f>
        <v>44576</v>
      </c>
      <c r="Z384" s="536" t="str">
        <f t="shared" si="159"/>
        <v>Sat</v>
      </c>
      <c r="AA384" s="531">
        <f t="shared" si="160"/>
        <v>31</v>
      </c>
      <c r="AB384" s="535">
        <f t="shared" si="148"/>
        <v>44696</v>
      </c>
      <c r="AC384" s="537">
        <f t="shared" si="149"/>
        <v>151</v>
      </c>
      <c r="AD384" s="538" t="str">
        <f t="shared" ca="1" si="150"/>
        <v>Expired</v>
      </c>
      <c r="AE384" s="537">
        <f t="shared" ca="1" si="151"/>
        <v>0</v>
      </c>
      <c r="AF384" s="539">
        <f t="shared" ca="1" si="161"/>
        <v>5</v>
      </c>
      <c r="AG384" s="531">
        <f t="shared" ca="1" si="162"/>
        <v>875000</v>
      </c>
      <c r="AH384" s="531">
        <f t="shared" ca="1" si="163"/>
        <v>175000</v>
      </c>
      <c r="AI384" s="531">
        <f t="shared" ca="1" si="164"/>
        <v>700000</v>
      </c>
      <c r="AJ384" s="531">
        <f t="shared" ca="1" si="165"/>
        <v>0</v>
      </c>
      <c r="AK384" s="540">
        <f>SUMIFS('Live Collections'!$S:$S,'Live Collections'!$D:$D,Disbursements!B384,'Live Collections'!$G:$G,Disbursements!C384)</f>
        <v>175000</v>
      </c>
      <c r="AL384" s="540">
        <f>SUMIFS('Live Collections'!$T:$T,'Live Collections'!$D:$D,Disbursements!B384,'Live Collections'!$G:$G,Disbursements!C384)</f>
        <v>700000</v>
      </c>
      <c r="AM384" s="541">
        <f t="shared" si="166"/>
        <v>875000</v>
      </c>
      <c r="AN384" s="542">
        <f t="shared" si="167"/>
        <v>0</v>
      </c>
      <c r="AO384" s="542">
        <f t="shared" si="168"/>
        <v>0</v>
      </c>
      <c r="AP384" s="543">
        <f t="shared" si="169"/>
        <v>0</v>
      </c>
      <c r="AQ384" s="544" t="str">
        <f t="shared" ca="1" si="170"/>
        <v/>
      </c>
      <c r="AR384" s="545">
        <f t="shared" ca="1" si="171"/>
        <v>0</v>
      </c>
      <c r="AS384" s="545">
        <f ca="1">IFERROR(CEILING($AR384*VLOOKUP($I384,Ref!$B$23:$E$29,4,0),1),0)</f>
        <v>0</v>
      </c>
      <c r="AT384" s="545" t="str">
        <f>IF(A384="","",IF(AP384&lt;=1,"Cleared",IF(AS384=0,"Clean",VLOOKUP($AS384,Ref!$G$23:$H$28,2))))</f>
        <v>Cleared</v>
      </c>
      <c r="AU384" s="546" t="str">
        <f t="shared" si="172"/>
        <v>Ok</v>
      </c>
    </row>
    <row r="385" spans="1:47" ht="14.25" customHeight="1" x14ac:dyDescent="0.15">
      <c r="A385" s="575">
        <v>44545</v>
      </c>
      <c r="B385" s="523">
        <v>213</v>
      </c>
      <c r="C385" s="523">
        <v>378</v>
      </c>
      <c r="D385" s="523">
        <v>2</v>
      </c>
      <c r="E385" s="579" t="s">
        <v>1274</v>
      </c>
      <c r="F385" s="580">
        <v>1000000</v>
      </c>
      <c r="G385" s="524">
        <v>4</v>
      </c>
      <c r="H385" s="555">
        <v>0.05</v>
      </c>
      <c r="I385" s="560" t="s">
        <v>859</v>
      </c>
      <c r="J385" s="523" t="s">
        <v>863</v>
      </c>
      <c r="K385" s="528" t="str">
        <f>IFERROR(VLOOKUP($B385,'Clients-Live'!$A:$C,3,0),"")</f>
        <v>ATIKURU NADIA</v>
      </c>
      <c r="L385" s="528">
        <f>IF(E385="STL",Pricing!$D$38,IF(A385="",0,IF(A385&lt;Pricing!$C$25,Pricing!$D$25,VLOOKUP(Disbursements!$F385,Pricing!$B$29:$D$32,3))))</f>
        <v>20000</v>
      </c>
      <c r="M385" s="528">
        <f>IF(E385="STL",0,IF(F385&gt;0,Pricing!$D$21,0))</f>
        <v>5000</v>
      </c>
      <c r="N385" s="529">
        <f>IF(E385="STL",F385*Pricing!$D$40,IF(A385&lt;=Pricing!$C$4,0,IF(AND(A385&gt;Pricing!$C$4,Disbursements!A385&lt;=Pricing!$C$5),F385*Pricing!$E$5,IF(AND(A385&gt;Pricing!$C$5,Disbursements!A385&lt;=Pricing!$C$7),VLOOKUP(F385,Pricing!$D$7:$E$8,2)*Disbursements!F385,F385*Pricing!$E$9))))</f>
        <v>10000</v>
      </c>
      <c r="O385" s="528">
        <f>IF(E385="STL",0,IF($F385&gt;0,$F385*Pricing!$D$17,0))</f>
        <v>100000</v>
      </c>
      <c r="P385" s="530">
        <f t="shared" si="152"/>
        <v>200000</v>
      </c>
      <c r="Q385" s="531">
        <f>IF($A385="","",$G385/VLOOKUP($I385,Ref!$B$23:$D$29,2,0))</f>
        <v>4</v>
      </c>
      <c r="R385" s="530">
        <f t="shared" si="153"/>
        <v>1200000</v>
      </c>
      <c r="S385" s="532">
        <f t="shared" si="147"/>
        <v>300000</v>
      </c>
      <c r="T385" s="531">
        <f t="shared" si="154"/>
        <v>300000</v>
      </c>
      <c r="U385" s="533">
        <f t="shared" si="155"/>
        <v>1200000</v>
      </c>
      <c r="V385" s="531">
        <f t="shared" si="156"/>
        <v>250000</v>
      </c>
      <c r="W385" s="531">
        <f t="shared" si="157"/>
        <v>50000</v>
      </c>
      <c r="X385" s="534">
        <f t="shared" si="158"/>
        <v>200000</v>
      </c>
      <c r="Y385" s="535">
        <f>IF($A385="","",IF($I385="weekly",$A385+7,EDATE($A385,VLOOKUP($I385,Ref!$B$24:$C$29,2,0))))</f>
        <v>44576</v>
      </c>
      <c r="Z385" s="536" t="str">
        <f t="shared" si="159"/>
        <v>Sat</v>
      </c>
      <c r="AA385" s="531">
        <f t="shared" si="160"/>
        <v>31</v>
      </c>
      <c r="AB385" s="535">
        <f t="shared" si="148"/>
        <v>44666</v>
      </c>
      <c r="AC385" s="537">
        <f t="shared" si="149"/>
        <v>121</v>
      </c>
      <c r="AD385" s="538" t="str">
        <f t="shared" ca="1" si="150"/>
        <v>Expired</v>
      </c>
      <c r="AE385" s="537">
        <f t="shared" ca="1" si="151"/>
        <v>0</v>
      </c>
      <c r="AF385" s="539">
        <f t="shared" ca="1" si="161"/>
        <v>4</v>
      </c>
      <c r="AG385" s="531">
        <f t="shared" ca="1" si="162"/>
        <v>1200000</v>
      </c>
      <c r="AH385" s="531">
        <f t="shared" ca="1" si="163"/>
        <v>200000</v>
      </c>
      <c r="AI385" s="531">
        <f t="shared" ca="1" si="164"/>
        <v>1000000</v>
      </c>
      <c r="AJ385" s="531">
        <f t="shared" ca="1" si="165"/>
        <v>0</v>
      </c>
      <c r="AK385" s="540">
        <f>SUMIFS('Live Collections'!$S:$S,'Live Collections'!$D:$D,Disbursements!B385,'Live Collections'!$G:$G,Disbursements!C385)</f>
        <v>200000</v>
      </c>
      <c r="AL385" s="540">
        <f>SUMIFS('Live Collections'!$T:$T,'Live Collections'!$D:$D,Disbursements!B385,'Live Collections'!$G:$G,Disbursements!C385)</f>
        <v>1000000</v>
      </c>
      <c r="AM385" s="541">
        <f t="shared" si="166"/>
        <v>1200000</v>
      </c>
      <c r="AN385" s="542">
        <f t="shared" si="167"/>
        <v>0</v>
      </c>
      <c r="AO385" s="542">
        <f t="shared" si="168"/>
        <v>0</v>
      </c>
      <c r="AP385" s="543">
        <f t="shared" si="169"/>
        <v>0</v>
      </c>
      <c r="AQ385" s="544" t="str">
        <f t="shared" ca="1" si="170"/>
        <v/>
      </c>
      <c r="AR385" s="545">
        <f t="shared" ca="1" si="171"/>
        <v>0</v>
      </c>
      <c r="AS385" s="545">
        <f ca="1">IFERROR(CEILING($AR385*VLOOKUP($I385,Ref!$B$23:$E$29,4,0),1),0)</f>
        <v>0</v>
      </c>
      <c r="AT385" s="545" t="str">
        <f>IF(A385="","",IF(AP385&lt;=1,"Cleared",IF(AS385=0,"Clean",VLOOKUP($AS385,Ref!$G$23:$H$28,2))))</f>
        <v>Cleared</v>
      </c>
      <c r="AU385" s="546" t="str">
        <f t="shared" si="172"/>
        <v>Ok</v>
      </c>
    </row>
    <row r="386" spans="1:47" ht="14.25" customHeight="1" x14ac:dyDescent="0.15">
      <c r="A386" s="575">
        <v>44546</v>
      </c>
      <c r="B386" s="523">
        <v>305</v>
      </c>
      <c r="C386" s="523">
        <v>384</v>
      </c>
      <c r="D386" s="523">
        <v>1</v>
      </c>
      <c r="E386" s="579" t="s">
        <v>1275</v>
      </c>
      <c r="F386" s="580">
        <v>400000</v>
      </c>
      <c r="G386" s="524">
        <v>4</v>
      </c>
      <c r="H386" s="555">
        <v>7.4999999999999997E-2</v>
      </c>
      <c r="I386" s="560" t="s">
        <v>859</v>
      </c>
      <c r="J386" s="523" t="s">
        <v>864</v>
      </c>
      <c r="K386" s="528" t="str">
        <f>IFERROR(VLOOKUP($B386,'Clients-Live'!$A:$C,3,0),"")</f>
        <v>ANDIKU KALOLI</v>
      </c>
      <c r="L386" s="528">
        <f>IF(E386="STL",Pricing!$D$38,IF(A386="",0,IF(A386&lt;Pricing!$C$25,Pricing!$D$25,VLOOKUP(Disbursements!$F386,Pricing!$B$29:$D$32,3))))</f>
        <v>15000</v>
      </c>
      <c r="M386" s="528">
        <f>IF(E386="STL",0,IF(F386&gt;0,Pricing!$D$21,0))</f>
        <v>5000</v>
      </c>
      <c r="N386" s="529">
        <f>IF(E386="STL",F386*Pricing!$D$40,IF(A386&lt;=Pricing!$C$4,0,IF(AND(A386&gt;Pricing!$C$4,Disbursements!A386&lt;=Pricing!$C$5),F386*Pricing!$E$5,IF(AND(A386&gt;Pricing!$C$5,Disbursements!A386&lt;=Pricing!$C$7),VLOOKUP(F386,Pricing!$D$7:$E$8,2)*Disbursements!F386,F386*Pricing!$E$9))))</f>
        <v>4000</v>
      </c>
      <c r="O386" s="528">
        <f>IF(E386="STL",0,IF($F386&gt;0,$F386*Pricing!$D$17,0))</f>
        <v>40000</v>
      </c>
      <c r="P386" s="530">
        <f t="shared" si="152"/>
        <v>120000</v>
      </c>
      <c r="Q386" s="531">
        <f>IF($A386="","",$G386/VLOOKUP($I386,Ref!$B$23:$D$29,2,0))</f>
        <v>4</v>
      </c>
      <c r="R386" s="530">
        <f t="shared" si="153"/>
        <v>520000</v>
      </c>
      <c r="S386" s="532">
        <f t="shared" si="147"/>
        <v>130000</v>
      </c>
      <c r="T386" s="531">
        <f t="shared" si="154"/>
        <v>130000</v>
      </c>
      <c r="U386" s="533">
        <f t="shared" si="155"/>
        <v>520000</v>
      </c>
      <c r="V386" s="531">
        <f t="shared" si="156"/>
        <v>100000</v>
      </c>
      <c r="W386" s="531">
        <f t="shared" si="157"/>
        <v>30000</v>
      </c>
      <c r="X386" s="534">
        <f t="shared" si="158"/>
        <v>120000</v>
      </c>
      <c r="Y386" s="535">
        <f>IF($A386="","",IF($I386="weekly",$A386+7,EDATE($A386,VLOOKUP($I386,Ref!$B$24:$C$29,2,0))))</f>
        <v>44577</v>
      </c>
      <c r="Z386" s="536" t="str">
        <f t="shared" si="159"/>
        <v>Sun</v>
      </c>
      <c r="AA386" s="531">
        <f t="shared" si="160"/>
        <v>31</v>
      </c>
      <c r="AB386" s="535">
        <f t="shared" si="148"/>
        <v>44667</v>
      </c>
      <c r="AC386" s="537">
        <f t="shared" si="149"/>
        <v>121</v>
      </c>
      <c r="AD386" s="538" t="str">
        <f t="shared" ca="1" si="150"/>
        <v>Expired</v>
      </c>
      <c r="AE386" s="537">
        <f t="shared" ca="1" si="151"/>
        <v>0</v>
      </c>
      <c r="AF386" s="539">
        <f t="shared" ca="1" si="161"/>
        <v>4</v>
      </c>
      <c r="AG386" s="531">
        <f t="shared" ca="1" si="162"/>
        <v>520000</v>
      </c>
      <c r="AH386" s="531">
        <f t="shared" ca="1" si="163"/>
        <v>120000</v>
      </c>
      <c r="AI386" s="531">
        <f t="shared" ca="1" si="164"/>
        <v>400000</v>
      </c>
      <c r="AJ386" s="531">
        <f t="shared" ca="1" si="165"/>
        <v>0</v>
      </c>
      <c r="AK386" s="540">
        <f>SUMIFS('Live Collections'!$S:$S,'Live Collections'!$D:$D,Disbursements!B386,'Live Collections'!$G:$G,Disbursements!C386)</f>
        <v>120000</v>
      </c>
      <c r="AL386" s="540">
        <f>SUMIFS('Live Collections'!$T:$T,'Live Collections'!$D:$D,Disbursements!B386,'Live Collections'!$G:$G,Disbursements!C386)</f>
        <v>400000</v>
      </c>
      <c r="AM386" s="541">
        <f t="shared" si="166"/>
        <v>520000</v>
      </c>
      <c r="AN386" s="542">
        <f t="shared" si="167"/>
        <v>0</v>
      </c>
      <c r="AO386" s="542">
        <f t="shared" si="168"/>
        <v>0</v>
      </c>
      <c r="AP386" s="543">
        <f t="shared" si="169"/>
        <v>0</v>
      </c>
      <c r="AQ386" s="544" t="str">
        <f t="shared" ca="1" si="170"/>
        <v/>
      </c>
      <c r="AR386" s="545">
        <f t="shared" ca="1" si="171"/>
        <v>0</v>
      </c>
      <c r="AS386" s="545">
        <f ca="1">IFERROR(CEILING($AR386*VLOOKUP($I386,Ref!$B$23:$E$29,4,0),1),0)</f>
        <v>0</v>
      </c>
      <c r="AT386" s="545" t="str">
        <f>IF(A386="","",IF(AP386&lt;=1,"Cleared",IF(AS386=0,"Clean",VLOOKUP($AS386,Ref!$G$23:$H$28,2))))</f>
        <v>Cleared</v>
      </c>
      <c r="AU386" s="546" t="str">
        <f t="shared" si="172"/>
        <v>Ok</v>
      </c>
    </row>
    <row r="387" spans="1:47" ht="14.25" hidden="1" customHeight="1" x14ac:dyDescent="0.15">
      <c r="A387" s="575">
        <v>44563</v>
      </c>
      <c r="B387" s="523">
        <v>1</v>
      </c>
      <c r="C387" s="523">
        <v>387</v>
      </c>
      <c r="D387" s="523">
        <v>1</v>
      </c>
      <c r="E387" s="579" t="s">
        <v>1976</v>
      </c>
      <c r="F387" s="580">
        <v>3000000</v>
      </c>
      <c r="G387" s="524">
        <v>12</v>
      </c>
      <c r="H387" s="555">
        <v>2.5000000000000001E-2</v>
      </c>
      <c r="I387" s="560" t="s">
        <v>859</v>
      </c>
      <c r="J387" s="523" t="s">
        <v>864</v>
      </c>
      <c r="K387" s="528" t="str">
        <f>IFERROR(VLOOKUP($B387,'Clients-Live'!$A:$C,3,0),"")</f>
        <v>TABAN NICHOLAS</v>
      </c>
      <c r="L387" s="528">
        <f>IF(E387="STL",Pricing!$D$38,IF(A387="",0,IF(A387&lt;Pricing!$C$25,Pricing!$D$25,VLOOKUP(Disbursements!$F387,Pricing!$B$29:$D$32,3))))</f>
        <v>10000</v>
      </c>
      <c r="M387" s="528">
        <f>IF(E387="STL",0,IF(F387&gt;0,Pricing!$D$21,0))</f>
        <v>0</v>
      </c>
      <c r="N387" s="529">
        <f>IF(E387="STL",F387*Pricing!$D$40,IF(A387&lt;=Pricing!$C$4,0,IF(AND(A387&gt;Pricing!$C$4,Disbursements!A387&lt;=Pricing!$C$5),F387*Pricing!$E$5,IF(AND(A387&gt;Pricing!$C$5,Disbursements!A387&lt;=Pricing!$C$7),VLOOKUP(F387,Pricing!$D$7:$E$8,2)*Disbursements!F387,F387*Pricing!$E$9))))</f>
        <v>30000</v>
      </c>
      <c r="O387" s="528">
        <f>IF(E387="STL",0,IF($F387&gt;0,$F387*Pricing!$D$17,0))</f>
        <v>0</v>
      </c>
      <c r="P387" s="530">
        <f t="shared" si="152"/>
        <v>900000</v>
      </c>
      <c r="Q387" s="531">
        <f>IF($A387="","",$G387/VLOOKUP($I387,Ref!$B$23:$D$29,2,0))</f>
        <v>12</v>
      </c>
      <c r="R387" s="530">
        <f t="shared" si="153"/>
        <v>3900000</v>
      </c>
      <c r="S387" s="532">
        <f t="shared" si="147"/>
        <v>325000</v>
      </c>
      <c r="T387" s="531">
        <f t="shared" si="154"/>
        <v>325000</v>
      </c>
      <c r="U387" s="533">
        <f t="shared" si="155"/>
        <v>3900000</v>
      </c>
      <c r="V387" s="531">
        <f t="shared" si="156"/>
        <v>250000</v>
      </c>
      <c r="W387" s="531">
        <f t="shared" si="157"/>
        <v>75000</v>
      </c>
      <c r="X387" s="534">
        <f t="shared" si="158"/>
        <v>900000</v>
      </c>
      <c r="Y387" s="535">
        <f>IF($A387="","",IF($I387="weekly",$A387+7,EDATE($A387,VLOOKUP($I387,Ref!$B$24:$C$29,2,0))))</f>
        <v>44594</v>
      </c>
      <c r="Z387" s="536" t="str">
        <f t="shared" si="159"/>
        <v>Wed</v>
      </c>
      <c r="AA387" s="531">
        <f t="shared" si="160"/>
        <v>31</v>
      </c>
      <c r="AB387" s="535">
        <f t="shared" si="148"/>
        <v>44928</v>
      </c>
      <c r="AC387" s="537">
        <f t="shared" si="149"/>
        <v>365</v>
      </c>
      <c r="AD387" s="538" t="str">
        <f t="shared" ca="1" si="150"/>
        <v>Expired</v>
      </c>
      <c r="AE387" s="537">
        <f t="shared" ca="1" si="151"/>
        <v>0</v>
      </c>
      <c r="AF387" s="539">
        <f t="shared" ca="1" si="161"/>
        <v>12</v>
      </c>
      <c r="AG387" s="531">
        <f t="shared" ca="1" si="162"/>
        <v>3900000</v>
      </c>
      <c r="AH387" s="531">
        <f t="shared" ca="1" si="163"/>
        <v>900000</v>
      </c>
      <c r="AI387" s="531">
        <f t="shared" ca="1" si="164"/>
        <v>3000000</v>
      </c>
      <c r="AJ387" s="531">
        <f t="shared" ca="1" si="165"/>
        <v>0</v>
      </c>
      <c r="AK387" s="540">
        <f>SUMIFS('Live Collections'!$S:$S,'Live Collections'!$D:$D,Disbursements!B387,'Live Collections'!$G:$G,Disbursements!C387)</f>
        <v>225000</v>
      </c>
      <c r="AL387" s="540">
        <f>SUMIFS('Live Collections'!$T:$T,'Live Collections'!$D:$D,Disbursements!B387,'Live Collections'!$G:$G,Disbursements!C387)</f>
        <v>1400000</v>
      </c>
      <c r="AM387" s="541">
        <f t="shared" si="166"/>
        <v>1625000</v>
      </c>
      <c r="AN387" s="542">
        <f t="shared" si="167"/>
        <v>675000</v>
      </c>
      <c r="AO387" s="542">
        <f t="shared" si="168"/>
        <v>1600000</v>
      </c>
      <c r="AP387" s="543">
        <f t="shared" si="169"/>
        <v>2275000</v>
      </c>
      <c r="AQ387" s="544">
        <f t="shared" ca="1" si="170"/>
        <v>2275000</v>
      </c>
      <c r="AR387" s="545">
        <f t="shared" ca="1" si="171"/>
        <v>7</v>
      </c>
      <c r="AS387" s="545">
        <f ca="1">IFERROR(CEILING($AR387*VLOOKUP($I387,Ref!$B$23:$E$29,4,0),1),0)</f>
        <v>210</v>
      </c>
      <c r="AT387" s="545" t="str">
        <f ca="1">IF(A387="","",IF(AP387&lt;=1,"Cleared",IF(AS387=0,"Clean",VLOOKUP($AS387,Ref!$G$23:$H$28,2))))</f>
        <v>4.(91-365) Days</v>
      </c>
      <c r="AU387" s="546" t="str">
        <f t="shared" si="172"/>
        <v>Ok</v>
      </c>
    </row>
    <row r="388" spans="1:47" s="565" customFormat="1" ht="14.25" hidden="1" customHeight="1" x14ac:dyDescent="0.15">
      <c r="A388" s="575">
        <v>44563</v>
      </c>
      <c r="B388" s="523">
        <v>25</v>
      </c>
      <c r="C388" s="523">
        <v>386</v>
      </c>
      <c r="D388" s="523">
        <v>1</v>
      </c>
      <c r="E388" s="579" t="s">
        <v>1976</v>
      </c>
      <c r="F388" s="580">
        <v>1200000</v>
      </c>
      <c r="G388" s="524">
        <v>12</v>
      </c>
      <c r="H388" s="555">
        <v>2.5000000000000001E-2</v>
      </c>
      <c r="I388" s="560" t="s">
        <v>859</v>
      </c>
      <c r="J388" s="523" t="s">
        <v>862</v>
      </c>
      <c r="K388" s="528" t="str">
        <f>IFERROR(VLOOKUP($B388,'Clients-Live'!$A:$C,3,0),"")</f>
        <v>AROMA BOSCO</v>
      </c>
      <c r="L388" s="528">
        <f>IF(E388="STL",Pricing!$D$38,IF(A388="",0,IF(A388&lt;Pricing!$C$25,Pricing!$D$25,VLOOKUP(Disbursements!$F388,Pricing!$B$29:$D$32,3))))</f>
        <v>10000</v>
      </c>
      <c r="M388" s="528">
        <f>IF(E388="STL",0,IF(F388&gt;0,Pricing!$D$21,0))</f>
        <v>0</v>
      </c>
      <c r="N388" s="529">
        <f>IF(E388="STL",F388*Pricing!$D$40,IF(A388&lt;=Pricing!$C$4,0,IF(AND(A388&gt;Pricing!$C$4,Disbursements!A388&lt;=Pricing!$C$5),F388*Pricing!$E$5,IF(AND(A388&gt;Pricing!$C$5,Disbursements!A388&lt;=Pricing!$C$7),VLOOKUP(F388,Pricing!$D$7:$E$8,2)*Disbursements!F388,F388*Pricing!$E$9))))</f>
        <v>12000</v>
      </c>
      <c r="O388" s="528">
        <f>IF(E388="STL",0,IF($F388&gt;0,$F388*Pricing!$D$17,0))</f>
        <v>0</v>
      </c>
      <c r="P388" s="530">
        <f t="shared" si="152"/>
        <v>360000</v>
      </c>
      <c r="Q388" s="531">
        <f>IF($A388="","",$G388/VLOOKUP($I388,Ref!$B$23:$D$29,2,0))</f>
        <v>12</v>
      </c>
      <c r="R388" s="530">
        <f t="shared" si="153"/>
        <v>1560000</v>
      </c>
      <c r="S388" s="532">
        <f t="shared" ref="S388:S451" si="173">IF($A388="","",$R388/$Q388)</f>
        <v>130000</v>
      </c>
      <c r="T388" s="531">
        <f t="shared" si="154"/>
        <v>130000</v>
      </c>
      <c r="U388" s="533">
        <f t="shared" si="155"/>
        <v>1560000</v>
      </c>
      <c r="V388" s="531">
        <f t="shared" si="156"/>
        <v>100000</v>
      </c>
      <c r="W388" s="531">
        <f t="shared" si="157"/>
        <v>30000</v>
      </c>
      <c r="X388" s="534">
        <f t="shared" si="158"/>
        <v>360000</v>
      </c>
      <c r="Y388" s="535">
        <f>IF($A388="","",IF($I388="weekly",$A388+7,EDATE($A388,VLOOKUP($I388,Ref!$B$24:$C$29,2,0))))</f>
        <v>44594</v>
      </c>
      <c r="Z388" s="536" t="str">
        <f t="shared" si="159"/>
        <v>Wed</v>
      </c>
      <c r="AA388" s="531">
        <f t="shared" si="160"/>
        <v>31</v>
      </c>
      <c r="AB388" s="535">
        <f t="shared" ref="AB388:AB451" si="174">IF($A388="","",EDATE($A388,$G388))</f>
        <v>44928</v>
      </c>
      <c r="AC388" s="537">
        <f t="shared" ref="AC388:AC451" si="175">IFERROR($AB388-$A388,"")</f>
        <v>365</v>
      </c>
      <c r="AD388" s="538" t="str">
        <f t="shared" ref="AD388:AD451" ca="1" si="176">IFERROR(IF(TODAY()-$A388&lt;$AB388-$A388,TODAY()-$A388,"Expired"),"")</f>
        <v>Expired</v>
      </c>
      <c r="AE388" s="537">
        <f t="shared" ref="AE388:AE451" ca="1" si="177">IFERROR($AC388-$AD388,0)</f>
        <v>0</v>
      </c>
      <c r="AF388" s="539">
        <f t="shared" ca="1" si="161"/>
        <v>12</v>
      </c>
      <c r="AG388" s="531">
        <f t="shared" ca="1" si="162"/>
        <v>1560000</v>
      </c>
      <c r="AH388" s="531">
        <f t="shared" ca="1" si="163"/>
        <v>360000</v>
      </c>
      <c r="AI388" s="531">
        <f t="shared" ca="1" si="164"/>
        <v>1200000</v>
      </c>
      <c r="AJ388" s="531">
        <f t="shared" ca="1" si="165"/>
        <v>0</v>
      </c>
      <c r="AK388" s="540">
        <f>SUMIFS('Live Collections'!$S:$S,'Live Collections'!$D:$D,Disbursements!B388,'Live Collections'!$G:$G,Disbursements!C388)</f>
        <v>160666.66666666666</v>
      </c>
      <c r="AL388" s="540">
        <f>SUMIFS('Live Collections'!$T:$T,'Live Collections'!$D:$D,Disbursements!B388,'Live Collections'!$G:$G,Disbursements!C388)</f>
        <v>489333.33333333337</v>
      </c>
      <c r="AM388" s="541">
        <f t="shared" si="166"/>
        <v>650000</v>
      </c>
      <c r="AN388" s="542">
        <f t="shared" si="167"/>
        <v>199333.33333333334</v>
      </c>
      <c r="AO388" s="542">
        <f t="shared" si="168"/>
        <v>710666.66666666663</v>
      </c>
      <c r="AP388" s="543">
        <f t="shared" si="169"/>
        <v>910000</v>
      </c>
      <c r="AQ388" s="544">
        <f t="shared" ca="1" si="170"/>
        <v>910000</v>
      </c>
      <c r="AR388" s="545">
        <f t="shared" ca="1" si="171"/>
        <v>7</v>
      </c>
      <c r="AS388" s="545">
        <f ca="1">IFERROR(CEILING($AR388*VLOOKUP($I388,Ref!$B$23:$E$29,4,0),1),0)</f>
        <v>210</v>
      </c>
      <c r="AT388" s="545" t="str">
        <f ca="1">IF(A388="","",IF(AP388&lt;=1,"Cleared",IF(AS388=0,"Clean",VLOOKUP($AS388,Ref!$G$23:$H$28,2))))</f>
        <v>4.(91-365) Days</v>
      </c>
      <c r="AU388" s="546" t="str">
        <f t="shared" si="172"/>
        <v>Ok</v>
      </c>
    </row>
    <row r="389" spans="1:47" ht="14.25" customHeight="1" x14ac:dyDescent="0.15">
      <c r="A389" s="575">
        <v>44565</v>
      </c>
      <c r="B389" s="523">
        <v>168</v>
      </c>
      <c r="C389" s="523">
        <v>385</v>
      </c>
      <c r="D389" s="523">
        <v>2</v>
      </c>
      <c r="E389" s="579" t="s">
        <v>1274</v>
      </c>
      <c r="F389" s="580">
        <v>5000000</v>
      </c>
      <c r="G389" s="524">
        <v>5</v>
      </c>
      <c r="H389" s="555">
        <v>6.5000000000000002E-2</v>
      </c>
      <c r="I389" s="560" t="s">
        <v>859</v>
      </c>
      <c r="J389" s="523" t="s">
        <v>864</v>
      </c>
      <c r="K389" s="528" t="str">
        <f>IFERROR(VLOOKUP($B389,'Clients-Live'!$A:$C,3,0),"")</f>
        <v>ALORO FREDERICK</v>
      </c>
      <c r="L389" s="528">
        <f>IF(E389="STL",Pricing!$D$38,IF(A389="",0,IF(A389&lt;Pricing!$C$25,Pricing!$D$25,VLOOKUP(Disbursements!$F389,Pricing!$B$29:$D$32,3))))</f>
        <v>30000</v>
      </c>
      <c r="M389" s="528">
        <f>IF(E389="STL",0,IF(F389&gt;0,Pricing!$D$21,0))</f>
        <v>5000</v>
      </c>
      <c r="N389" s="529">
        <f>IF(E389="STL",F389*Pricing!$D$40,IF(A389&lt;=Pricing!$C$4,0,IF(AND(A389&gt;Pricing!$C$4,Disbursements!A389&lt;=Pricing!$C$5),F389*Pricing!$E$5,IF(AND(A389&gt;Pricing!$C$5,Disbursements!A389&lt;=Pricing!$C$7),VLOOKUP(F389,Pricing!$D$7:$E$8,2)*Disbursements!F389,F389*Pricing!$E$9))))</f>
        <v>100000</v>
      </c>
      <c r="O389" s="528">
        <f>IF(E389="STL",0,IF($F389&gt;0,$F389*Pricing!$D$17,0))</f>
        <v>500000</v>
      </c>
      <c r="P389" s="530">
        <f t="shared" ref="P389:P452" si="178">IF($A389="","",$H389*$F389*$G389)</f>
        <v>1625000</v>
      </c>
      <c r="Q389" s="531">
        <f>IF($A389="","",$G389/VLOOKUP($I389,Ref!$B$23:$D$29,2,0))</f>
        <v>5</v>
      </c>
      <c r="R389" s="530">
        <f t="shared" ref="R389:R452" si="179">IF($A389="","",$F389+$P389)</f>
        <v>6625000</v>
      </c>
      <c r="S389" s="532">
        <f t="shared" si="173"/>
        <v>1325000</v>
      </c>
      <c r="T389" s="531">
        <f t="shared" ref="T389:T452" si="180">IF(R389="","",CEILING(S389,1000))</f>
        <v>1325000</v>
      </c>
      <c r="U389" s="533">
        <f t="shared" ref="U389:U452" si="181">IFERROR(T389*Q389,0)</f>
        <v>6625000</v>
      </c>
      <c r="V389" s="531">
        <f t="shared" ref="V389:V452" si="182">IF(T389="","",F389/Q389)</f>
        <v>1000000</v>
      </c>
      <c r="W389" s="531">
        <f t="shared" ref="W389:W452" si="183">IF(T389="","",T389-V389)</f>
        <v>325000</v>
      </c>
      <c r="X389" s="534">
        <f t="shared" ref="X389:X452" si="184">IF(A389="","",W389*Q389)</f>
        <v>1625000</v>
      </c>
      <c r="Y389" s="535">
        <f>IF($A389="","",IF($I389="weekly",$A389+7,EDATE($A389,VLOOKUP($I389,Ref!$B$24:$C$29,2,0))))</f>
        <v>44596</v>
      </c>
      <c r="Z389" s="536" t="str">
        <f t="shared" ref="Z389:Z452" si="185">IFERROR(CHOOSE(WEEKDAY(Y389),"Sun","Mon","Tue","Wed","Thu","Frid","Sat"),"")</f>
        <v>Frid</v>
      </c>
      <c r="AA389" s="531">
        <f t="shared" ref="AA389:AA452" si="186">IFERROR(Y389-A389,0)</f>
        <v>31</v>
      </c>
      <c r="AB389" s="535">
        <f t="shared" si="174"/>
        <v>44716</v>
      </c>
      <c r="AC389" s="537">
        <f t="shared" si="175"/>
        <v>151</v>
      </c>
      <c r="AD389" s="538" t="str">
        <f t="shared" ca="1" si="176"/>
        <v>Expired</v>
      </c>
      <c r="AE389" s="537">
        <f t="shared" ca="1" si="177"/>
        <v>0</v>
      </c>
      <c r="AF389" s="539">
        <f t="shared" ref="AF389:AF452" ca="1" si="187">IFERROR(IF(AD389="Expired",Q389,IF(AD389&gt;AA389,AD389/AA389,0)),"")</f>
        <v>5</v>
      </c>
      <c r="AG389" s="531">
        <f t="shared" ref="AG389:AG452" ca="1" si="188">IFERROR(AF389*T389,"")</f>
        <v>6625000</v>
      </c>
      <c r="AH389" s="531">
        <f t="shared" ref="AH389:AH452" ca="1" si="189">IFERROR(AF389*W389,"")</f>
        <v>1625000</v>
      </c>
      <c r="AI389" s="531">
        <f t="shared" ref="AI389:AI452" ca="1" si="190">IFERROR(AF389*V389,"")</f>
        <v>5000000</v>
      </c>
      <c r="AJ389" s="531">
        <f t="shared" ref="AJ389:AJ452" ca="1" si="191">IF(F389=0,"",U389-AG389)</f>
        <v>0</v>
      </c>
      <c r="AK389" s="540">
        <f>SUMIFS('Live Collections'!$S:$S,'Live Collections'!$D:$D,Disbursements!B389,'Live Collections'!$G:$G,Disbursements!C389)</f>
        <v>975000</v>
      </c>
      <c r="AL389" s="540">
        <f>SUMIFS('Live Collections'!$T:$T,'Live Collections'!$D:$D,Disbursements!B389,'Live Collections'!$G:$G,Disbursements!C389)</f>
        <v>4325000</v>
      </c>
      <c r="AM389" s="541">
        <f t="shared" ref="AM389:AM452" si="192">SUM(AK389:AL389)</f>
        <v>5300000</v>
      </c>
      <c r="AN389" s="542">
        <f t="shared" ref="AN389:AN452" si="193">IFERROR(W389*Q389-AK389,"")</f>
        <v>650000</v>
      </c>
      <c r="AO389" s="542">
        <f t="shared" ref="AO389:AO452" si="194">IF(F389="","",(F389-AL389))</f>
        <v>675000</v>
      </c>
      <c r="AP389" s="543">
        <f t="shared" ref="AP389:AP452" si="195">IF(F389="","",SUM(AN389:AO389))</f>
        <v>1325000</v>
      </c>
      <c r="AQ389" s="544">
        <f t="shared" ref="AQ389:AQ452" ca="1" si="196">IF(AP389&gt;AJ389,AP389-AJ389,"")</f>
        <v>1325000</v>
      </c>
      <c r="AR389" s="545">
        <f t="shared" ref="AR389:AR452" ca="1" si="197">IFERROR(AQ389/T389,0)</f>
        <v>1</v>
      </c>
      <c r="AS389" s="545">
        <f ca="1">IFERROR(CEILING($AR389*VLOOKUP($I389,Ref!$B$23:$E$29,4,0),1),0)</f>
        <v>30</v>
      </c>
      <c r="AT389" s="545" t="str">
        <f ca="1">IF(A389="","",IF(AP389&lt;=1,"Cleared",IF(AS389=0,"Clean",VLOOKUP($AS389,Ref!$G$23:$H$28,2))))</f>
        <v>1.(0-30) Days</v>
      </c>
      <c r="AU389" s="546" t="str">
        <f t="shared" ref="AU389:AU452" si="198">IF(F389="","",IF(OR(AN389&lt;0,AO389&lt;0,AP389&lt;0),"Error on Entry","Ok"))</f>
        <v>Ok</v>
      </c>
    </row>
    <row r="390" spans="1:47" ht="14.25" customHeight="1" x14ac:dyDescent="0.15">
      <c r="A390" s="575">
        <v>44566</v>
      </c>
      <c r="B390" s="523">
        <v>24</v>
      </c>
      <c r="C390" s="523">
        <v>388</v>
      </c>
      <c r="D390" s="523">
        <v>1</v>
      </c>
      <c r="E390" s="579" t="s">
        <v>1976</v>
      </c>
      <c r="F390" s="580">
        <v>400000</v>
      </c>
      <c r="G390" s="524">
        <v>3</v>
      </c>
      <c r="H390" s="555">
        <v>2.5000000000000001E-2</v>
      </c>
      <c r="I390" s="560" t="s">
        <v>859</v>
      </c>
      <c r="J390" s="523" t="s">
        <v>863</v>
      </c>
      <c r="K390" s="528" t="str">
        <f>IFERROR(VLOOKUP($B390,'Clients-Live'!$A:$C,3,0),"")</f>
        <v>VITA JEROME</v>
      </c>
      <c r="L390" s="528">
        <f>IF(E390="STL",Pricing!$D$38,IF(A390="",0,IF(A390&lt;Pricing!$C$25,Pricing!$D$25,VLOOKUP(Disbursements!$F390,Pricing!$B$29:$D$32,3))))</f>
        <v>10000</v>
      </c>
      <c r="M390" s="528">
        <f>IF(E390="STL",0,IF(F390&gt;0,Pricing!$D$21,0))</f>
        <v>0</v>
      </c>
      <c r="N390" s="529">
        <f>IF(E390="STL",F390*Pricing!$D$40,IF(A390&lt;=Pricing!$C$4,0,IF(AND(A390&gt;Pricing!$C$4,Disbursements!A390&lt;=Pricing!$C$5),F390*Pricing!$E$5,IF(AND(A390&gt;Pricing!$C$5,Disbursements!A390&lt;=Pricing!$C$7),VLOOKUP(F390,Pricing!$D$7:$E$8,2)*Disbursements!F390,F390*Pricing!$E$9))))</f>
        <v>4000</v>
      </c>
      <c r="O390" s="528">
        <f>IF(E390="STL",0,IF($F390&gt;0,$F390*Pricing!$D$17,0))</f>
        <v>0</v>
      </c>
      <c r="P390" s="530">
        <f t="shared" si="178"/>
        <v>30000</v>
      </c>
      <c r="Q390" s="531">
        <f>IF($A390="","",$G390/VLOOKUP($I390,Ref!$B$23:$D$29,2,0))</f>
        <v>3</v>
      </c>
      <c r="R390" s="530">
        <f t="shared" si="179"/>
        <v>430000</v>
      </c>
      <c r="S390" s="532">
        <f t="shared" si="173"/>
        <v>143333.33333333334</v>
      </c>
      <c r="T390" s="531">
        <f t="shared" si="180"/>
        <v>144000</v>
      </c>
      <c r="U390" s="533">
        <f t="shared" si="181"/>
        <v>432000</v>
      </c>
      <c r="V390" s="531">
        <f t="shared" si="182"/>
        <v>133333.33333333334</v>
      </c>
      <c r="W390" s="531">
        <f t="shared" si="183"/>
        <v>10666.666666666657</v>
      </c>
      <c r="X390" s="534">
        <f t="shared" si="184"/>
        <v>31999.999999999971</v>
      </c>
      <c r="Y390" s="535">
        <f>IF($A390="","",IF($I390="weekly",$A390+7,EDATE($A390,VLOOKUP($I390,Ref!$B$24:$C$29,2,0))))</f>
        <v>44597</v>
      </c>
      <c r="Z390" s="536" t="str">
        <f t="shared" si="185"/>
        <v>Sat</v>
      </c>
      <c r="AA390" s="531">
        <f t="shared" si="186"/>
        <v>31</v>
      </c>
      <c r="AB390" s="535">
        <f t="shared" si="174"/>
        <v>44656</v>
      </c>
      <c r="AC390" s="537">
        <f t="shared" si="175"/>
        <v>90</v>
      </c>
      <c r="AD390" s="538" t="str">
        <f t="shared" ca="1" si="176"/>
        <v>Expired</v>
      </c>
      <c r="AE390" s="537">
        <f t="shared" ca="1" si="177"/>
        <v>0</v>
      </c>
      <c r="AF390" s="539">
        <f t="shared" ca="1" si="187"/>
        <v>3</v>
      </c>
      <c r="AG390" s="531">
        <f t="shared" ca="1" si="188"/>
        <v>432000</v>
      </c>
      <c r="AH390" s="531">
        <f t="shared" ca="1" si="189"/>
        <v>31999.999999999971</v>
      </c>
      <c r="AI390" s="531">
        <f t="shared" ca="1" si="190"/>
        <v>400000</v>
      </c>
      <c r="AJ390" s="531">
        <f t="shared" ca="1" si="191"/>
        <v>0</v>
      </c>
      <c r="AK390" s="540">
        <f>SUMIFS('Live Collections'!$S:$S,'Live Collections'!$D:$D,Disbursements!B390,'Live Collections'!$G:$G,Disbursements!C390)</f>
        <v>31999.999999999971</v>
      </c>
      <c r="AL390" s="540">
        <f>SUMIFS('Live Collections'!$T:$T,'Live Collections'!$D:$D,Disbursements!B390,'Live Collections'!$G:$G,Disbursements!C390)</f>
        <v>400000</v>
      </c>
      <c r="AM390" s="541">
        <f t="shared" si="192"/>
        <v>432000</v>
      </c>
      <c r="AN390" s="542">
        <f t="shared" si="193"/>
        <v>0</v>
      </c>
      <c r="AO390" s="542">
        <f t="shared" si="194"/>
        <v>0</v>
      </c>
      <c r="AP390" s="543">
        <f t="shared" si="195"/>
        <v>0</v>
      </c>
      <c r="AQ390" s="544" t="str">
        <f t="shared" ca="1" si="196"/>
        <v/>
      </c>
      <c r="AR390" s="545">
        <f t="shared" ca="1" si="197"/>
        <v>0</v>
      </c>
      <c r="AS390" s="545">
        <f ca="1">IFERROR(CEILING($AR390*VLOOKUP($I390,Ref!$B$23:$E$29,4,0),1),0)</f>
        <v>0</v>
      </c>
      <c r="AT390" s="545" t="str">
        <f>IF(A390="","",IF(AP390&lt;=1,"Cleared",IF(AS390=0,"Clean",VLOOKUP($AS390,Ref!$G$23:$H$28,2))))</f>
        <v>Cleared</v>
      </c>
      <c r="AU390" s="546" t="str">
        <f t="shared" si="198"/>
        <v>Ok</v>
      </c>
    </row>
    <row r="391" spans="1:47" ht="14.25" hidden="1" customHeight="1" x14ac:dyDescent="0.15">
      <c r="A391" s="575">
        <v>44567</v>
      </c>
      <c r="B391" s="523">
        <v>29</v>
      </c>
      <c r="C391" s="523">
        <v>389</v>
      </c>
      <c r="D391" s="523">
        <v>1</v>
      </c>
      <c r="E391" s="579" t="s">
        <v>1976</v>
      </c>
      <c r="F391" s="580">
        <v>1800000</v>
      </c>
      <c r="G391" s="524">
        <v>12</v>
      </c>
      <c r="H391" s="555">
        <v>2.5000000000000001E-2</v>
      </c>
      <c r="I391" s="560" t="s">
        <v>859</v>
      </c>
      <c r="J391" s="523" t="s">
        <v>864</v>
      </c>
      <c r="K391" s="528" t="str">
        <f>IFERROR(VLOOKUP($B391,'Clients-Live'!$A:$C,3,0),"")</f>
        <v>AJIBA ROSEMARY EMMANUEL</v>
      </c>
      <c r="L391" s="528">
        <f>IF(E391="STL",Pricing!$D$38,IF(A391="",0,IF(A391&lt;Pricing!$C$25,Pricing!$D$25,VLOOKUP(Disbursements!$F391,Pricing!$B$29:$D$32,3))))</f>
        <v>10000</v>
      </c>
      <c r="M391" s="528">
        <f>IF(E391="STL",0,IF(F391&gt;0,Pricing!$D$21,0))</f>
        <v>0</v>
      </c>
      <c r="N391" s="529">
        <f>IF(E391="STL",F391*Pricing!$D$40,IF(A391&lt;=Pricing!$C$4,0,IF(AND(A391&gt;Pricing!$C$4,Disbursements!A391&lt;=Pricing!$C$5),F391*Pricing!$E$5,IF(AND(A391&gt;Pricing!$C$5,Disbursements!A391&lt;=Pricing!$C$7),VLOOKUP(F391,Pricing!$D$7:$E$8,2)*Disbursements!F391,F391*Pricing!$E$9))))</f>
        <v>18000</v>
      </c>
      <c r="O391" s="528">
        <f>IF(E391="STL",0,IF($F391&gt;0,$F391*Pricing!$D$17,0))</f>
        <v>0</v>
      </c>
      <c r="P391" s="530">
        <f t="shared" si="178"/>
        <v>540000</v>
      </c>
      <c r="Q391" s="531">
        <f>IF($A391="","",$G391/VLOOKUP($I391,Ref!$B$23:$D$29,2,0))</f>
        <v>12</v>
      </c>
      <c r="R391" s="530">
        <f t="shared" si="179"/>
        <v>2340000</v>
      </c>
      <c r="S391" s="532">
        <f t="shared" si="173"/>
        <v>195000</v>
      </c>
      <c r="T391" s="531">
        <f t="shared" si="180"/>
        <v>195000</v>
      </c>
      <c r="U391" s="533">
        <f t="shared" si="181"/>
        <v>2340000</v>
      </c>
      <c r="V391" s="531">
        <f t="shared" si="182"/>
        <v>150000</v>
      </c>
      <c r="W391" s="531">
        <f t="shared" si="183"/>
        <v>45000</v>
      </c>
      <c r="X391" s="534">
        <f t="shared" si="184"/>
        <v>540000</v>
      </c>
      <c r="Y391" s="535">
        <f>IF($A391="","",IF($I391="weekly",$A391+7,EDATE($A391,VLOOKUP($I391,Ref!$B$24:$C$29,2,0))))</f>
        <v>44598</v>
      </c>
      <c r="Z391" s="536" t="str">
        <f t="shared" si="185"/>
        <v>Sun</v>
      </c>
      <c r="AA391" s="531">
        <f t="shared" si="186"/>
        <v>31</v>
      </c>
      <c r="AB391" s="535">
        <f t="shared" si="174"/>
        <v>44932</v>
      </c>
      <c r="AC391" s="537">
        <f t="shared" si="175"/>
        <v>365</v>
      </c>
      <c r="AD391" s="538" t="str">
        <f t="shared" ca="1" si="176"/>
        <v>Expired</v>
      </c>
      <c r="AE391" s="537">
        <f t="shared" ca="1" si="177"/>
        <v>0</v>
      </c>
      <c r="AF391" s="539">
        <f t="shared" ca="1" si="187"/>
        <v>12</v>
      </c>
      <c r="AG391" s="531">
        <f t="shared" ca="1" si="188"/>
        <v>2340000</v>
      </c>
      <c r="AH391" s="531">
        <f t="shared" ca="1" si="189"/>
        <v>540000</v>
      </c>
      <c r="AI391" s="531">
        <f t="shared" ca="1" si="190"/>
        <v>1800000</v>
      </c>
      <c r="AJ391" s="531">
        <f t="shared" ca="1" si="191"/>
        <v>0</v>
      </c>
      <c r="AK391" s="540">
        <f>SUMIFS('Live Collections'!$S:$S,'Live Collections'!$D:$D,Disbursements!B391,'Live Collections'!$G:$G,Disbursements!C391)</f>
        <v>155666.66666666666</v>
      </c>
      <c r="AL391" s="540">
        <f>SUMIFS('Live Collections'!$T:$T,'Live Collections'!$D:$D,Disbursements!B391,'Live Collections'!$G:$G,Disbursements!C391)</f>
        <v>624333.33333333337</v>
      </c>
      <c r="AM391" s="541">
        <f t="shared" si="192"/>
        <v>780000</v>
      </c>
      <c r="AN391" s="542">
        <f t="shared" si="193"/>
        <v>384333.33333333337</v>
      </c>
      <c r="AO391" s="542">
        <f t="shared" si="194"/>
        <v>1175666.6666666665</v>
      </c>
      <c r="AP391" s="543">
        <f t="shared" si="195"/>
        <v>1560000</v>
      </c>
      <c r="AQ391" s="544">
        <f t="shared" ca="1" si="196"/>
        <v>1560000</v>
      </c>
      <c r="AR391" s="545">
        <f t="shared" ca="1" si="197"/>
        <v>8</v>
      </c>
      <c r="AS391" s="545">
        <f ca="1">IFERROR(CEILING($AR391*VLOOKUP($I391,Ref!$B$23:$E$29,4,0),1),0)</f>
        <v>240</v>
      </c>
      <c r="AT391" s="545" t="str">
        <f ca="1">IF(A391="","",IF(AP391&lt;=1,"Cleared",IF(AS391=0,"Clean",VLOOKUP($AS391,Ref!$G$23:$H$28,2))))</f>
        <v>4.(91-365) Days</v>
      </c>
      <c r="AU391" s="546" t="str">
        <f t="shared" si="198"/>
        <v>Ok</v>
      </c>
    </row>
    <row r="392" spans="1:47" ht="14.25" customHeight="1" x14ac:dyDescent="0.15">
      <c r="A392" s="575">
        <v>44568</v>
      </c>
      <c r="B392" s="523">
        <v>308</v>
      </c>
      <c r="C392" s="523">
        <v>390</v>
      </c>
      <c r="D392" s="523">
        <v>1</v>
      </c>
      <c r="E392" s="579" t="s">
        <v>1275</v>
      </c>
      <c r="F392" s="580">
        <v>2100000</v>
      </c>
      <c r="G392" s="524">
        <v>3</v>
      </c>
      <c r="H392" s="555">
        <v>7.4999999999999997E-2</v>
      </c>
      <c r="I392" s="560" t="s">
        <v>859</v>
      </c>
      <c r="J392" s="523" t="s">
        <v>864</v>
      </c>
      <c r="K392" s="528" t="str">
        <f>IFERROR(VLOOKUP($B392,'Clients-Live'!$A:$C,3,0),"")</f>
        <v>AYILA CHRISTOPHER</v>
      </c>
      <c r="L392" s="528">
        <f>IF(E392="STL",Pricing!$D$38,IF(A392="",0,IF(A392&lt;Pricing!$C$25,Pricing!$D$25,VLOOKUP(Disbursements!$F392,Pricing!$B$29:$D$32,3))))</f>
        <v>30000</v>
      </c>
      <c r="M392" s="528">
        <f>IF(E392="STL",0,IF(F392&gt;0,Pricing!$D$21,0))</f>
        <v>5000</v>
      </c>
      <c r="N392" s="529">
        <f>IF(E392="STL",F392*Pricing!$D$40,IF(A392&lt;=Pricing!$C$4,0,IF(AND(A392&gt;Pricing!$C$4,Disbursements!A392&lt;=Pricing!$C$5),F392*Pricing!$E$5,IF(AND(A392&gt;Pricing!$C$5,Disbursements!A392&lt;=Pricing!$C$7),VLOOKUP(F392,Pricing!$D$7:$E$8,2)*Disbursements!F392,F392*Pricing!$E$9))))</f>
        <v>42000</v>
      </c>
      <c r="O392" s="528">
        <f>IF(E392="STL",0,IF($F392&gt;0,$F392*Pricing!$D$17,0))</f>
        <v>210000</v>
      </c>
      <c r="P392" s="530">
        <f t="shared" si="178"/>
        <v>472500</v>
      </c>
      <c r="Q392" s="531">
        <f>IF($A392="","",$G392/VLOOKUP($I392,Ref!$B$23:$D$29,2,0))</f>
        <v>3</v>
      </c>
      <c r="R392" s="530">
        <f t="shared" si="179"/>
        <v>2572500</v>
      </c>
      <c r="S392" s="532">
        <f t="shared" si="173"/>
        <v>857500</v>
      </c>
      <c r="T392" s="531">
        <f t="shared" si="180"/>
        <v>858000</v>
      </c>
      <c r="U392" s="533">
        <f t="shared" si="181"/>
        <v>2574000</v>
      </c>
      <c r="V392" s="531">
        <f t="shared" si="182"/>
        <v>700000</v>
      </c>
      <c r="W392" s="531">
        <f t="shared" si="183"/>
        <v>158000</v>
      </c>
      <c r="X392" s="534">
        <f t="shared" si="184"/>
        <v>474000</v>
      </c>
      <c r="Y392" s="535">
        <f>IF($A392="","",IF($I392="weekly",$A392+7,EDATE($A392,VLOOKUP($I392,Ref!$B$24:$C$29,2,0))))</f>
        <v>44599</v>
      </c>
      <c r="Z392" s="536" t="str">
        <f t="shared" si="185"/>
        <v>Mon</v>
      </c>
      <c r="AA392" s="531">
        <f t="shared" si="186"/>
        <v>31</v>
      </c>
      <c r="AB392" s="535">
        <f t="shared" si="174"/>
        <v>44658</v>
      </c>
      <c r="AC392" s="537">
        <f t="shared" si="175"/>
        <v>90</v>
      </c>
      <c r="AD392" s="538" t="str">
        <f t="shared" ca="1" si="176"/>
        <v>Expired</v>
      </c>
      <c r="AE392" s="537">
        <f t="shared" ca="1" si="177"/>
        <v>0</v>
      </c>
      <c r="AF392" s="539">
        <f t="shared" ca="1" si="187"/>
        <v>3</v>
      </c>
      <c r="AG392" s="531">
        <f t="shared" ca="1" si="188"/>
        <v>2574000</v>
      </c>
      <c r="AH392" s="531">
        <f t="shared" ca="1" si="189"/>
        <v>474000</v>
      </c>
      <c r="AI392" s="531">
        <f t="shared" ca="1" si="190"/>
        <v>2100000</v>
      </c>
      <c r="AJ392" s="531">
        <f t="shared" ca="1" si="191"/>
        <v>0</v>
      </c>
      <c r="AK392" s="540">
        <f>SUMIFS('Live Collections'!$S:$S,'Live Collections'!$D:$D,Disbursements!B392,'Live Collections'!$G:$G,Disbursements!C392)</f>
        <v>474000</v>
      </c>
      <c r="AL392" s="540">
        <f>SUMIFS('Live Collections'!$T:$T,'Live Collections'!$D:$D,Disbursements!B392,'Live Collections'!$G:$G,Disbursements!C392)</f>
        <v>2100000</v>
      </c>
      <c r="AM392" s="541">
        <f t="shared" si="192"/>
        <v>2574000</v>
      </c>
      <c r="AN392" s="542">
        <f t="shared" si="193"/>
        <v>0</v>
      </c>
      <c r="AO392" s="542">
        <f t="shared" si="194"/>
        <v>0</v>
      </c>
      <c r="AP392" s="543">
        <f t="shared" si="195"/>
        <v>0</v>
      </c>
      <c r="AQ392" s="544" t="str">
        <f t="shared" ca="1" si="196"/>
        <v/>
      </c>
      <c r="AR392" s="545">
        <f t="shared" ca="1" si="197"/>
        <v>0</v>
      </c>
      <c r="AS392" s="545">
        <f ca="1">IFERROR(CEILING($AR392*VLOOKUP($I392,Ref!$B$23:$E$29,4,0),1),0)</f>
        <v>0</v>
      </c>
      <c r="AT392" s="545" t="str">
        <f>IF(A392="","",IF(AP392&lt;=1,"Cleared",IF(AS392=0,"Clean",VLOOKUP($AS392,Ref!$G$23:$H$28,2))))</f>
        <v>Cleared</v>
      </c>
      <c r="AU392" s="546" t="str">
        <f t="shared" si="198"/>
        <v>Ok</v>
      </c>
    </row>
    <row r="393" spans="1:47" ht="14.25" customHeight="1" x14ac:dyDescent="0.15">
      <c r="A393" s="575">
        <v>44571</v>
      </c>
      <c r="B393" s="523">
        <v>309</v>
      </c>
      <c r="C393" s="523">
        <v>391</v>
      </c>
      <c r="D393" s="523">
        <v>1</v>
      </c>
      <c r="E393" s="579" t="s">
        <v>1274</v>
      </c>
      <c r="F393" s="580">
        <v>1000000</v>
      </c>
      <c r="G393" s="524">
        <v>4</v>
      </c>
      <c r="H393" s="555">
        <v>6.5000000000000002E-2</v>
      </c>
      <c r="I393" s="560" t="s">
        <v>861</v>
      </c>
      <c r="J393" s="523" t="s">
        <v>864</v>
      </c>
      <c r="K393" s="528" t="str">
        <f>IFERROR(VLOOKUP($B393,'Clients-Live'!$A:$C,3,0),"")</f>
        <v>NAMBOZO HALIMA</v>
      </c>
      <c r="L393" s="528">
        <f>IF(E393="STL",Pricing!$D$38,IF(A393="",0,IF(A393&lt;Pricing!$C$25,Pricing!$D$25,VLOOKUP(Disbursements!$F393,Pricing!$B$29:$D$32,3))))</f>
        <v>20000</v>
      </c>
      <c r="M393" s="528">
        <f>IF(E393="STL",0,IF(F393&gt;0,Pricing!$D$21,0))</f>
        <v>5000</v>
      </c>
      <c r="N393" s="529">
        <f>IF(E393="STL",F393*Pricing!$D$40,IF(A393&lt;=Pricing!$C$4,0,IF(AND(A393&gt;Pricing!$C$4,Disbursements!A393&lt;=Pricing!$C$5),F393*Pricing!$E$5,IF(AND(A393&gt;Pricing!$C$5,Disbursements!A393&lt;=Pricing!$C$7),VLOOKUP(F393,Pricing!$D$7:$E$8,2)*Disbursements!F393,F393*Pricing!$E$9))))</f>
        <v>20000</v>
      </c>
      <c r="O393" s="528">
        <f>IF(E393="STL",0,IF($F393&gt;0,$F393*Pricing!$D$17,0))</f>
        <v>100000</v>
      </c>
      <c r="P393" s="530">
        <f t="shared" si="178"/>
        <v>260000</v>
      </c>
      <c r="Q393" s="531">
        <f>IF($A393="","",$G393/VLOOKUP($I393,Ref!$B$23:$D$29,2,0))</f>
        <v>16</v>
      </c>
      <c r="R393" s="530">
        <f t="shared" si="179"/>
        <v>1260000</v>
      </c>
      <c r="S393" s="532">
        <f t="shared" si="173"/>
        <v>78750</v>
      </c>
      <c r="T393" s="531">
        <f t="shared" si="180"/>
        <v>79000</v>
      </c>
      <c r="U393" s="533">
        <f t="shared" si="181"/>
        <v>1264000</v>
      </c>
      <c r="V393" s="531">
        <f t="shared" si="182"/>
        <v>62500</v>
      </c>
      <c r="W393" s="531">
        <f t="shared" si="183"/>
        <v>16500</v>
      </c>
      <c r="X393" s="534">
        <f t="shared" si="184"/>
        <v>264000</v>
      </c>
      <c r="Y393" s="535">
        <f>IF($A393="","",IF($I393="weekly",$A393+7,EDATE($A393,VLOOKUP($I393,Ref!$B$24:$C$29,2,0))))</f>
        <v>44578</v>
      </c>
      <c r="Z393" s="536" t="str">
        <f t="shared" si="185"/>
        <v>Mon</v>
      </c>
      <c r="AA393" s="531">
        <f t="shared" si="186"/>
        <v>7</v>
      </c>
      <c r="AB393" s="535">
        <f t="shared" si="174"/>
        <v>44691</v>
      </c>
      <c r="AC393" s="537">
        <f t="shared" si="175"/>
        <v>120</v>
      </c>
      <c r="AD393" s="538" t="str">
        <f t="shared" ca="1" si="176"/>
        <v>Expired</v>
      </c>
      <c r="AE393" s="537">
        <f t="shared" ca="1" si="177"/>
        <v>0</v>
      </c>
      <c r="AF393" s="539">
        <f t="shared" ca="1" si="187"/>
        <v>16</v>
      </c>
      <c r="AG393" s="531">
        <f t="shared" ca="1" si="188"/>
        <v>1264000</v>
      </c>
      <c r="AH393" s="531">
        <f t="shared" ca="1" si="189"/>
        <v>264000</v>
      </c>
      <c r="AI393" s="531">
        <f t="shared" ca="1" si="190"/>
        <v>1000000</v>
      </c>
      <c r="AJ393" s="531">
        <f t="shared" ca="1" si="191"/>
        <v>0</v>
      </c>
      <c r="AK393" s="540">
        <f>SUMIFS('Live Collections'!$S:$S,'Live Collections'!$D:$D,Disbursements!B393,'Live Collections'!$G:$G,Disbursements!C393)</f>
        <v>264000</v>
      </c>
      <c r="AL393" s="540">
        <f>SUMIFS('Live Collections'!$T:$T,'Live Collections'!$D:$D,Disbursements!B393,'Live Collections'!$G:$G,Disbursements!C393)</f>
        <v>1000000</v>
      </c>
      <c r="AM393" s="541">
        <f t="shared" si="192"/>
        <v>1264000</v>
      </c>
      <c r="AN393" s="542">
        <f t="shared" si="193"/>
        <v>0</v>
      </c>
      <c r="AO393" s="542">
        <f t="shared" si="194"/>
        <v>0</v>
      </c>
      <c r="AP393" s="543">
        <f t="shared" si="195"/>
        <v>0</v>
      </c>
      <c r="AQ393" s="544" t="str">
        <f t="shared" ca="1" si="196"/>
        <v/>
      </c>
      <c r="AR393" s="545">
        <f t="shared" ca="1" si="197"/>
        <v>0</v>
      </c>
      <c r="AS393" s="545">
        <f ca="1">IFERROR(CEILING($AR393*VLOOKUP($I393,Ref!$B$23:$E$29,4,0),1),0)</f>
        <v>0</v>
      </c>
      <c r="AT393" s="545" t="str">
        <f>IF(A393="","",IF(AP393&lt;=1,"Cleared",IF(AS393=0,"Clean",VLOOKUP($AS393,Ref!$G$23:$H$28,2))))</f>
        <v>Cleared</v>
      </c>
      <c r="AU393" s="546" t="str">
        <f t="shared" si="198"/>
        <v>Ok</v>
      </c>
    </row>
    <row r="394" spans="1:47" ht="14.25" customHeight="1" x14ac:dyDescent="0.15">
      <c r="A394" s="575">
        <v>44571</v>
      </c>
      <c r="B394" s="523">
        <v>311</v>
      </c>
      <c r="C394" s="523">
        <v>392</v>
      </c>
      <c r="D394" s="523">
        <v>1</v>
      </c>
      <c r="E394" s="579" t="s">
        <v>1275</v>
      </c>
      <c r="F394" s="580">
        <v>500000</v>
      </c>
      <c r="G394" s="524">
        <v>1</v>
      </c>
      <c r="H394" s="555">
        <v>7.4999999999999997E-2</v>
      </c>
      <c r="I394" s="560" t="s">
        <v>859</v>
      </c>
      <c r="J394" s="523" t="s">
        <v>863</v>
      </c>
      <c r="K394" s="528" t="str">
        <f>IFERROR(VLOOKUP($B394,'Clients-Live'!$A:$C,3,0),"")</f>
        <v>PATRICK OKUONZI</v>
      </c>
      <c r="L394" s="528">
        <f>IF(E394="STL",Pricing!$D$38,IF(A394="",0,IF(A394&lt;Pricing!$C$25,Pricing!$D$25,VLOOKUP(Disbursements!$F394,Pricing!$B$29:$D$32,3))))</f>
        <v>15000</v>
      </c>
      <c r="M394" s="528">
        <f>IF(E394="STL",0,IF(F394&gt;0,Pricing!$D$21,0))</f>
        <v>5000</v>
      </c>
      <c r="N394" s="529">
        <f>IF(E394="STL",F394*Pricing!$D$40,IF(A394&lt;=Pricing!$C$4,0,IF(AND(A394&gt;Pricing!$C$4,Disbursements!A394&lt;=Pricing!$C$5),F394*Pricing!$E$5,IF(AND(A394&gt;Pricing!$C$5,Disbursements!A394&lt;=Pricing!$C$7),VLOOKUP(F394,Pricing!$D$7:$E$8,2)*Disbursements!F394,F394*Pricing!$E$9))))</f>
        <v>10000</v>
      </c>
      <c r="O394" s="528">
        <f>IF(E394="STL",0,IF($F394&gt;0,$F394*Pricing!$D$17,0))</f>
        <v>50000</v>
      </c>
      <c r="P394" s="530">
        <f t="shared" si="178"/>
        <v>37500</v>
      </c>
      <c r="Q394" s="531">
        <f>IF($A394="","",$G394/VLOOKUP($I394,Ref!$B$23:$D$29,2,0))</f>
        <v>1</v>
      </c>
      <c r="R394" s="530">
        <f t="shared" si="179"/>
        <v>537500</v>
      </c>
      <c r="S394" s="532">
        <f t="shared" si="173"/>
        <v>537500</v>
      </c>
      <c r="T394" s="531">
        <f t="shared" si="180"/>
        <v>538000</v>
      </c>
      <c r="U394" s="533">
        <f t="shared" si="181"/>
        <v>538000</v>
      </c>
      <c r="V394" s="531">
        <f t="shared" si="182"/>
        <v>500000</v>
      </c>
      <c r="W394" s="531">
        <f t="shared" si="183"/>
        <v>38000</v>
      </c>
      <c r="X394" s="534">
        <f t="shared" si="184"/>
        <v>38000</v>
      </c>
      <c r="Y394" s="535">
        <f>IF($A394="","",IF($I394="weekly",$A394+7,EDATE($A394,VLOOKUP($I394,Ref!$B$24:$C$29,2,0))))</f>
        <v>44602</v>
      </c>
      <c r="Z394" s="536" t="str">
        <f t="shared" si="185"/>
        <v>Thu</v>
      </c>
      <c r="AA394" s="531">
        <f t="shared" si="186"/>
        <v>31</v>
      </c>
      <c r="AB394" s="535">
        <f t="shared" si="174"/>
        <v>44602</v>
      </c>
      <c r="AC394" s="537">
        <f t="shared" si="175"/>
        <v>31</v>
      </c>
      <c r="AD394" s="538" t="str">
        <f t="shared" ca="1" si="176"/>
        <v>Expired</v>
      </c>
      <c r="AE394" s="537">
        <f t="shared" ca="1" si="177"/>
        <v>0</v>
      </c>
      <c r="AF394" s="539">
        <f t="shared" ca="1" si="187"/>
        <v>1</v>
      </c>
      <c r="AG394" s="531">
        <f t="shared" ca="1" si="188"/>
        <v>538000</v>
      </c>
      <c r="AH394" s="531">
        <f t="shared" ca="1" si="189"/>
        <v>38000</v>
      </c>
      <c r="AI394" s="531">
        <f t="shared" ca="1" si="190"/>
        <v>500000</v>
      </c>
      <c r="AJ394" s="531">
        <f t="shared" ca="1" si="191"/>
        <v>0</v>
      </c>
      <c r="AK394" s="540">
        <f>SUMIFS('Live Collections'!$S:$S,'Live Collections'!$D:$D,Disbursements!B394,'Live Collections'!$G:$G,Disbursements!C394)</f>
        <v>38000</v>
      </c>
      <c r="AL394" s="540">
        <f>SUMIFS('Live Collections'!$T:$T,'Live Collections'!$D:$D,Disbursements!B394,'Live Collections'!$G:$G,Disbursements!C394)</f>
        <v>500000</v>
      </c>
      <c r="AM394" s="541">
        <f t="shared" si="192"/>
        <v>538000</v>
      </c>
      <c r="AN394" s="542">
        <f t="shared" si="193"/>
        <v>0</v>
      </c>
      <c r="AO394" s="542">
        <f t="shared" si="194"/>
        <v>0</v>
      </c>
      <c r="AP394" s="543">
        <f t="shared" si="195"/>
        <v>0</v>
      </c>
      <c r="AQ394" s="544" t="str">
        <f t="shared" ca="1" si="196"/>
        <v/>
      </c>
      <c r="AR394" s="545">
        <f t="shared" ca="1" si="197"/>
        <v>0</v>
      </c>
      <c r="AS394" s="545">
        <f ca="1">IFERROR(CEILING($AR394*VLOOKUP($I394,Ref!$B$23:$E$29,4,0),1),0)</f>
        <v>0</v>
      </c>
      <c r="AT394" s="545" t="str">
        <f>IF(A394="","",IF(AP394&lt;=1,"Cleared",IF(AS394=0,"Clean",VLOOKUP($AS394,Ref!$G$23:$H$28,2))))</f>
        <v>Cleared</v>
      </c>
      <c r="AU394" s="546" t="str">
        <f t="shared" si="198"/>
        <v>Ok</v>
      </c>
    </row>
    <row r="395" spans="1:47" ht="14.25" hidden="1" customHeight="1" x14ac:dyDescent="0.15">
      <c r="A395" s="575">
        <v>44573</v>
      </c>
      <c r="B395" s="523">
        <v>46</v>
      </c>
      <c r="C395" s="523">
        <v>400</v>
      </c>
      <c r="D395" s="523">
        <v>2</v>
      </c>
      <c r="E395" s="579" t="s">
        <v>1274</v>
      </c>
      <c r="F395" s="580">
        <v>1300000</v>
      </c>
      <c r="G395" s="524">
        <v>6</v>
      </c>
      <c r="H395" s="555">
        <v>6.5000000000000002E-2</v>
      </c>
      <c r="I395" s="560" t="s">
        <v>861</v>
      </c>
      <c r="J395" s="523" t="s">
        <v>864</v>
      </c>
      <c r="K395" s="528" t="str">
        <f>IFERROR(VLOOKUP($B395,'Clients-Live'!$A:$C,3,0),"")</f>
        <v>ALIO YUDA</v>
      </c>
      <c r="L395" s="528">
        <f>IF(E395="STL",Pricing!$D$38,IF(A395="",0,IF(A395&lt;Pricing!$C$25,Pricing!$D$25,VLOOKUP(Disbursements!$F395,Pricing!$B$29:$D$32,3))))</f>
        <v>25000</v>
      </c>
      <c r="M395" s="528">
        <f>IF(E395="STL",0,IF(F395&gt;0,Pricing!$D$21,0))</f>
        <v>5000</v>
      </c>
      <c r="N395" s="529">
        <f>IF(E395="STL",F395*Pricing!$D$40,IF(A395&lt;=Pricing!$C$4,0,IF(AND(A395&gt;Pricing!$C$4,Disbursements!A395&lt;=Pricing!$C$5),F395*Pricing!$E$5,IF(AND(A395&gt;Pricing!$C$5,Disbursements!A395&lt;=Pricing!$C$7),VLOOKUP(F395,Pricing!$D$7:$E$8,2)*Disbursements!F395,F395*Pricing!$E$9))))</f>
        <v>26000</v>
      </c>
      <c r="O395" s="528">
        <f>IF(E395="STL",0,IF($F395&gt;0,$F395*Pricing!$D$17,0))</f>
        <v>130000</v>
      </c>
      <c r="P395" s="530">
        <f t="shared" si="178"/>
        <v>507000</v>
      </c>
      <c r="Q395" s="531">
        <f>IF($A395="","",$G395/VLOOKUP($I395,Ref!$B$23:$D$29,2,0))</f>
        <v>24</v>
      </c>
      <c r="R395" s="530">
        <f t="shared" si="179"/>
        <v>1807000</v>
      </c>
      <c r="S395" s="532">
        <f t="shared" si="173"/>
        <v>75291.666666666672</v>
      </c>
      <c r="T395" s="531">
        <f t="shared" si="180"/>
        <v>76000</v>
      </c>
      <c r="U395" s="533">
        <f t="shared" si="181"/>
        <v>1824000</v>
      </c>
      <c r="V395" s="531">
        <f t="shared" si="182"/>
        <v>54166.666666666664</v>
      </c>
      <c r="W395" s="531">
        <f t="shared" si="183"/>
        <v>21833.333333333336</v>
      </c>
      <c r="X395" s="534">
        <f t="shared" si="184"/>
        <v>524000.00000000006</v>
      </c>
      <c r="Y395" s="535">
        <f>IF($A395="","",IF($I395="weekly",$A395+7,EDATE($A395,VLOOKUP($I395,Ref!$B$24:$C$29,2,0))))</f>
        <v>44580</v>
      </c>
      <c r="Z395" s="536" t="str">
        <f t="shared" si="185"/>
        <v>Wed</v>
      </c>
      <c r="AA395" s="531">
        <f t="shared" si="186"/>
        <v>7</v>
      </c>
      <c r="AB395" s="535">
        <f t="shared" si="174"/>
        <v>44754</v>
      </c>
      <c r="AC395" s="537">
        <f t="shared" si="175"/>
        <v>181</v>
      </c>
      <c r="AD395" s="538" t="str">
        <f t="shared" ca="1" si="176"/>
        <v>Expired</v>
      </c>
      <c r="AE395" s="537">
        <f t="shared" ca="1" si="177"/>
        <v>0</v>
      </c>
      <c r="AF395" s="539">
        <f t="shared" ca="1" si="187"/>
        <v>24</v>
      </c>
      <c r="AG395" s="531">
        <f t="shared" ca="1" si="188"/>
        <v>1824000</v>
      </c>
      <c r="AH395" s="531">
        <f t="shared" ca="1" si="189"/>
        <v>524000.00000000006</v>
      </c>
      <c r="AI395" s="531">
        <f t="shared" ca="1" si="190"/>
        <v>1300000</v>
      </c>
      <c r="AJ395" s="531">
        <f t="shared" ca="1" si="191"/>
        <v>0</v>
      </c>
      <c r="AK395" s="540">
        <f>SUMIFS('Live Collections'!$S:$S,'Live Collections'!$D:$D,Disbursements!B395,'Live Collections'!$G:$G,Disbursements!C395)</f>
        <v>387166.66666666663</v>
      </c>
      <c r="AL395" s="540">
        <f>SUMIFS('Live Collections'!$T:$T,'Live Collections'!$D:$D,Disbursements!B395,'Live Collections'!$G:$G,Disbursements!C395)</f>
        <v>822833.33333333302</v>
      </c>
      <c r="AM395" s="541">
        <f t="shared" si="192"/>
        <v>1209999.9999999995</v>
      </c>
      <c r="AN395" s="542">
        <f t="shared" si="193"/>
        <v>136833.33333333343</v>
      </c>
      <c r="AO395" s="542">
        <f t="shared" si="194"/>
        <v>477166.66666666698</v>
      </c>
      <c r="AP395" s="543">
        <f t="shared" si="195"/>
        <v>614000.00000000047</v>
      </c>
      <c r="AQ395" s="544">
        <f t="shared" ca="1" si="196"/>
        <v>614000.00000000047</v>
      </c>
      <c r="AR395" s="545">
        <f t="shared" ca="1" si="197"/>
        <v>8.0789473684210584</v>
      </c>
      <c r="AS395" s="545">
        <f ca="1">IFERROR(CEILING($AR395*VLOOKUP($I395,Ref!$B$23:$E$29,4,0),1),0)</f>
        <v>57</v>
      </c>
      <c r="AT395" s="545" t="str">
        <f ca="1">IF(A395="","",IF(AP395&lt;=1,"Cleared",IF(AS395=0,"Clean",VLOOKUP($AS395,Ref!$G$23:$H$28,2))))</f>
        <v>2.(31-60) Days</v>
      </c>
      <c r="AU395" s="546" t="str">
        <f t="shared" si="198"/>
        <v>Ok</v>
      </c>
    </row>
    <row r="396" spans="1:47" ht="14.25" customHeight="1" x14ac:dyDescent="0.15">
      <c r="A396" s="575">
        <v>44573</v>
      </c>
      <c r="B396" s="523">
        <v>152</v>
      </c>
      <c r="C396" s="523">
        <v>393</v>
      </c>
      <c r="D396" s="523">
        <v>2</v>
      </c>
      <c r="E396" s="579" t="s">
        <v>1274</v>
      </c>
      <c r="F396" s="580">
        <v>500000</v>
      </c>
      <c r="G396" s="524">
        <v>4</v>
      </c>
      <c r="H396" s="555">
        <v>6.5000000000000002E-2</v>
      </c>
      <c r="I396" s="560" t="s">
        <v>861</v>
      </c>
      <c r="J396" s="523" t="s">
        <v>863</v>
      </c>
      <c r="K396" s="528" t="str">
        <f>IFERROR(VLOOKUP($B396,'Clients-Live'!$A:$C,3,0),"")</f>
        <v>ASE ZAINABU</v>
      </c>
      <c r="L396" s="528">
        <f>IF(E396="STL",Pricing!$D$38,IF(A396="",0,IF(A396&lt;Pricing!$C$25,Pricing!$D$25,VLOOKUP(Disbursements!$F396,Pricing!$B$29:$D$32,3))))</f>
        <v>15000</v>
      </c>
      <c r="M396" s="528">
        <f>IF(E396="STL",0,IF(F396&gt;0,Pricing!$D$21,0))</f>
        <v>5000</v>
      </c>
      <c r="N396" s="529">
        <f>IF(E396="STL",F396*Pricing!$D$40,IF(A396&lt;=Pricing!$C$4,0,IF(AND(A396&gt;Pricing!$C$4,Disbursements!A396&lt;=Pricing!$C$5),F396*Pricing!$E$5,IF(AND(A396&gt;Pricing!$C$5,Disbursements!A396&lt;=Pricing!$C$7),VLOOKUP(F396,Pricing!$D$7:$E$8,2)*Disbursements!F396,F396*Pricing!$E$9))))</f>
        <v>10000</v>
      </c>
      <c r="O396" s="528">
        <f>IF(E396="STL",0,IF($F396&gt;0,$F396*Pricing!$D$17,0))</f>
        <v>50000</v>
      </c>
      <c r="P396" s="530">
        <f t="shared" si="178"/>
        <v>130000</v>
      </c>
      <c r="Q396" s="531">
        <f>IF($A396="","",$G396/VLOOKUP($I396,Ref!$B$23:$D$29,2,0))</f>
        <v>16</v>
      </c>
      <c r="R396" s="530">
        <f t="shared" si="179"/>
        <v>630000</v>
      </c>
      <c r="S396" s="532">
        <f t="shared" si="173"/>
        <v>39375</v>
      </c>
      <c r="T396" s="531">
        <f t="shared" si="180"/>
        <v>40000</v>
      </c>
      <c r="U396" s="533">
        <f t="shared" si="181"/>
        <v>640000</v>
      </c>
      <c r="V396" s="531">
        <f t="shared" si="182"/>
        <v>31250</v>
      </c>
      <c r="W396" s="531">
        <f t="shared" si="183"/>
        <v>8750</v>
      </c>
      <c r="X396" s="534">
        <f t="shared" si="184"/>
        <v>140000</v>
      </c>
      <c r="Y396" s="535">
        <f>IF($A396="","",IF($I396="weekly",$A396+7,EDATE($A396,VLOOKUP($I396,Ref!$B$24:$C$29,2,0))))</f>
        <v>44580</v>
      </c>
      <c r="Z396" s="536" t="str">
        <f t="shared" si="185"/>
        <v>Wed</v>
      </c>
      <c r="AA396" s="531">
        <f t="shared" si="186"/>
        <v>7</v>
      </c>
      <c r="AB396" s="535">
        <f t="shared" si="174"/>
        <v>44693</v>
      </c>
      <c r="AC396" s="537">
        <f t="shared" si="175"/>
        <v>120</v>
      </c>
      <c r="AD396" s="538" t="str">
        <f t="shared" ca="1" si="176"/>
        <v>Expired</v>
      </c>
      <c r="AE396" s="537">
        <f t="shared" ca="1" si="177"/>
        <v>0</v>
      </c>
      <c r="AF396" s="539">
        <f t="shared" ca="1" si="187"/>
        <v>16</v>
      </c>
      <c r="AG396" s="531">
        <f t="shared" ca="1" si="188"/>
        <v>640000</v>
      </c>
      <c r="AH396" s="531">
        <f t="shared" ca="1" si="189"/>
        <v>140000</v>
      </c>
      <c r="AI396" s="531">
        <f t="shared" ca="1" si="190"/>
        <v>500000</v>
      </c>
      <c r="AJ396" s="531">
        <f t="shared" ca="1" si="191"/>
        <v>0</v>
      </c>
      <c r="AK396" s="540">
        <f>SUMIFS('Live Collections'!$S:$S,'Live Collections'!$D:$D,Disbursements!B396,'Live Collections'!$G:$G,Disbursements!C396)</f>
        <v>65000</v>
      </c>
      <c r="AL396" s="540">
        <f>SUMIFS('Live Collections'!$T:$T,'Live Collections'!$D:$D,Disbursements!B396,'Live Collections'!$G:$G,Disbursements!C396)</f>
        <v>253000</v>
      </c>
      <c r="AM396" s="541">
        <f t="shared" si="192"/>
        <v>318000</v>
      </c>
      <c r="AN396" s="542">
        <f t="shared" si="193"/>
        <v>75000</v>
      </c>
      <c r="AO396" s="542">
        <f t="shared" si="194"/>
        <v>247000</v>
      </c>
      <c r="AP396" s="543">
        <f t="shared" si="195"/>
        <v>322000</v>
      </c>
      <c r="AQ396" s="544">
        <f t="shared" ca="1" si="196"/>
        <v>322000</v>
      </c>
      <c r="AR396" s="545">
        <f t="shared" ca="1" si="197"/>
        <v>8.0500000000000007</v>
      </c>
      <c r="AS396" s="545">
        <f ca="1">IFERROR(CEILING($AR396*VLOOKUP($I396,Ref!$B$23:$E$29,4,0),1),0)</f>
        <v>57</v>
      </c>
      <c r="AT396" s="545" t="str">
        <f ca="1">IF(A396="","",IF(AP396&lt;=1,"Cleared",IF(AS396=0,"Clean",VLOOKUP($AS396,Ref!$G$23:$H$28,2))))</f>
        <v>2.(31-60) Days</v>
      </c>
      <c r="AU396" s="546" t="str">
        <f t="shared" si="198"/>
        <v>Ok</v>
      </c>
    </row>
    <row r="397" spans="1:47" ht="14.25" hidden="1" customHeight="1" x14ac:dyDescent="0.15">
      <c r="A397" s="575">
        <v>44573</v>
      </c>
      <c r="B397" s="523">
        <v>169</v>
      </c>
      <c r="C397" s="523">
        <v>394</v>
      </c>
      <c r="D397" s="523">
        <v>2</v>
      </c>
      <c r="E397" s="579" t="s">
        <v>1274</v>
      </c>
      <c r="F397" s="580">
        <v>1000000</v>
      </c>
      <c r="G397" s="524">
        <v>6</v>
      </c>
      <c r="H397" s="555">
        <v>6.5000000000000002E-2</v>
      </c>
      <c r="I397" s="560" t="s">
        <v>861</v>
      </c>
      <c r="J397" s="523" t="s">
        <v>864</v>
      </c>
      <c r="K397" s="528" t="str">
        <f>IFERROR(VLOOKUP($B397,'Clients-Live'!$A:$C,3,0),"")</f>
        <v>KATO KENNEDY</v>
      </c>
      <c r="L397" s="528">
        <f>IF(E397="STL",Pricing!$D$38,IF(A397="",0,IF(A397&lt;Pricing!$C$25,Pricing!$D$25,VLOOKUP(Disbursements!$F397,Pricing!$B$29:$D$32,3))))</f>
        <v>20000</v>
      </c>
      <c r="M397" s="528">
        <f>IF(E397="STL",0,IF(F397&gt;0,Pricing!$D$21,0))</f>
        <v>5000</v>
      </c>
      <c r="N397" s="529">
        <f>IF(E397="STL",F397*Pricing!$D$40,IF(A397&lt;=Pricing!$C$4,0,IF(AND(A397&gt;Pricing!$C$4,Disbursements!A397&lt;=Pricing!$C$5),F397*Pricing!$E$5,IF(AND(A397&gt;Pricing!$C$5,Disbursements!A397&lt;=Pricing!$C$7),VLOOKUP(F397,Pricing!$D$7:$E$8,2)*Disbursements!F397,F397*Pricing!$E$9))))</f>
        <v>20000</v>
      </c>
      <c r="O397" s="528">
        <f>IF(E397="STL",0,IF($F397&gt;0,$F397*Pricing!$D$17,0))</f>
        <v>100000</v>
      </c>
      <c r="P397" s="530">
        <f t="shared" si="178"/>
        <v>390000</v>
      </c>
      <c r="Q397" s="531">
        <f>IF($A397="","",$G397/VLOOKUP($I397,Ref!$B$23:$D$29,2,0))</f>
        <v>24</v>
      </c>
      <c r="R397" s="530">
        <f t="shared" si="179"/>
        <v>1390000</v>
      </c>
      <c r="S397" s="532">
        <f t="shared" si="173"/>
        <v>57916.666666666664</v>
      </c>
      <c r="T397" s="531">
        <f t="shared" si="180"/>
        <v>58000</v>
      </c>
      <c r="U397" s="533">
        <f t="shared" si="181"/>
        <v>1392000</v>
      </c>
      <c r="V397" s="531">
        <f t="shared" si="182"/>
        <v>41666.666666666664</v>
      </c>
      <c r="W397" s="531">
        <f t="shared" si="183"/>
        <v>16333.333333333336</v>
      </c>
      <c r="X397" s="534">
        <f t="shared" si="184"/>
        <v>392000.00000000006</v>
      </c>
      <c r="Y397" s="535">
        <f>IF($A397="","",IF($I397="weekly",$A397+7,EDATE($A397,VLOOKUP($I397,Ref!$B$24:$C$29,2,0))))</f>
        <v>44580</v>
      </c>
      <c r="Z397" s="536" t="str">
        <f t="shared" si="185"/>
        <v>Wed</v>
      </c>
      <c r="AA397" s="531">
        <f t="shared" si="186"/>
        <v>7</v>
      </c>
      <c r="AB397" s="535">
        <f t="shared" si="174"/>
        <v>44754</v>
      </c>
      <c r="AC397" s="537">
        <f t="shared" si="175"/>
        <v>181</v>
      </c>
      <c r="AD397" s="538" t="str">
        <f t="shared" ca="1" si="176"/>
        <v>Expired</v>
      </c>
      <c r="AE397" s="537">
        <f t="shared" ca="1" si="177"/>
        <v>0</v>
      </c>
      <c r="AF397" s="539">
        <f t="shared" ca="1" si="187"/>
        <v>24</v>
      </c>
      <c r="AG397" s="531">
        <f t="shared" ca="1" si="188"/>
        <v>1392000</v>
      </c>
      <c r="AH397" s="531">
        <f t="shared" ca="1" si="189"/>
        <v>392000.00000000006</v>
      </c>
      <c r="AI397" s="531">
        <f t="shared" ca="1" si="190"/>
        <v>1000000</v>
      </c>
      <c r="AJ397" s="531">
        <f t="shared" ca="1" si="191"/>
        <v>0</v>
      </c>
      <c r="AK397" s="540">
        <f>SUMIFS('Live Collections'!$S:$S,'Live Collections'!$D:$D,Disbursements!B397,'Live Collections'!$G:$G,Disbursements!C397)</f>
        <v>305000.00000000006</v>
      </c>
      <c r="AL397" s="540">
        <f>SUMIFS('Live Collections'!$T:$T,'Live Collections'!$D:$D,Disbursements!B397,'Live Collections'!$G:$G,Disbursements!C397)</f>
        <v>856999.99999999988</v>
      </c>
      <c r="AM397" s="541">
        <f t="shared" si="192"/>
        <v>1162000</v>
      </c>
      <c r="AN397" s="542">
        <f t="shared" si="193"/>
        <v>87000</v>
      </c>
      <c r="AO397" s="542">
        <f t="shared" si="194"/>
        <v>143000.00000000012</v>
      </c>
      <c r="AP397" s="543">
        <f t="shared" si="195"/>
        <v>230000.00000000012</v>
      </c>
      <c r="AQ397" s="544">
        <f t="shared" ca="1" si="196"/>
        <v>230000.00000000012</v>
      </c>
      <c r="AR397" s="545">
        <f t="shared" ca="1" si="197"/>
        <v>3.9655172413793123</v>
      </c>
      <c r="AS397" s="545">
        <f ca="1">IFERROR(CEILING($AR397*VLOOKUP($I397,Ref!$B$23:$E$29,4,0),1),0)</f>
        <v>28</v>
      </c>
      <c r="AT397" s="545" t="str">
        <f ca="1">IF(A397="","",IF(AP397&lt;=1,"Cleared",IF(AS397=0,"Clean",VLOOKUP($AS397,Ref!$G$23:$H$28,2))))</f>
        <v>1.(0-30) Days</v>
      </c>
      <c r="AU397" s="546" t="str">
        <f t="shared" si="198"/>
        <v>Ok</v>
      </c>
    </row>
    <row r="398" spans="1:47" ht="14.25" customHeight="1" x14ac:dyDescent="0.15">
      <c r="A398" s="575">
        <v>44573</v>
      </c>
      <c r="B398" s="523">
        <v>189</v>
      </c>
      <c r="C398" s="523">
        <v>401</v>
      </c>
      <c r="D398" s="523">
        <v>2</v>
      </c>
      <c r="E398" s="579" t="s">
        <v>1274</v>
      </c>
      <c r="F398" s="580">
        <v>500000</v>
      </c>
      <c r="G398" s="524">
        <v>5</v>
      </c>
      <c r="H398" s="555">
        <v>6.5000000000000002E-2</v>
      </c>
      <c r="I398" s="560" t="s">
        <v>861</v>
      </c>
      <c r="J398" s="523" t="s">
        <v>862</v>
      </c>
      <c r="K398" s="528" t="str">
        <f>IFERROR(VLOOKUP($B398,'Clients-Live'!$A:$C,3,0),"")</f>
        <v>AYIDA SELUWA</v>
      </c>
      <c r="L398" s="528">
        <f>IF(E398="STL",Pricing!$D$38,IF(A398="",0,IF(A398&lt;Pricing!$C$25,Pricing!$D$25,VLOOKUP(Disbursements!$F398,Pricing!$B$29:$D$32,3))))</f>
        <v>15000</v>
      </c>
      <c r="M398" s="528">
        <f>IF(E398="STL",0,IF(F398&gt;0,Pricing!$D$21,0))</f>
        <v>5000</v>
      </c>
      <c r="N398" s="529">
        <f>IF(E398="STL",F398*Pricing!$D$40,IF(A398&lt;=Pricing!$C$4,0,IF(AND(A398&gt;Pricing!$C$4,Disbursements!A398&lt;=Pricing!$C$5),F398*Pricing!$E$5,IF(AND(A398&gt;Pricing!$C$5,Disbursements!A398&lt;=Pricing!$C$7),VLOOKUP(F398,Pricing!$D$7:$E$8,2)*Disbursements!F398,F398*Pricing!$E$9))))</f>
        <v>10000</v>
      </c>
      <c r="O398" s="528">
        <f>IF(E398="STL",0,IF($F398&gt;0,$F398*Pricing!$D$17,0))</f>
        <v>50000</v>
      </c>
      <c r="P398" s="530">
        <f t="shared" si="178"/>
        <v>162500</v>
      </c>
      <c r="Q398" s="531">
        <f>IF($A398="","",$G398/VLOOKUP($I398,Ref!$B$23:$D$29,2,0))</f>
        <v>20</v>
      </c>
      <c r="R398" s="530">
        <f t="shared" si="179"/>
        <v>662500</v>
      </c>
      <c r="S398" s="532">
        <f t="shared" si="173"/>
        <v>33125</v>
      </c>
      <c r="T398" s="531">
        <f t="shared" si="180"/>
        <v>34000</v>
      </c>
      <c r="U398" s="533">
        <f t="shared" si="181"/>
        <v>680000</v>
      </c>
      <c r="V398" s="531">
        <f t="shared" si="182"/>
        <v>25000</v>
      </c>
      <c r="W398" s="531">
        <f t="shared" si="183"/>
        <v>9000</v>
      </c>
      <c r="X398" s="534">
        <f t="shared" si="184"/>
        <v>180000</v>
      </c>
      <c r="Y398" s="535">
        <f>IF($A398="","",IF($I398="weekly",$A398+7,EDATE($A398,VLOOKUP($I398,Ref!$B$24:$C$29,2,0))))</f>
        <v>44580</v>
      </c>
      <c r="Z398" s="536" t="str">
        <f t="shared" si="185"/>
        <v>Wed</v>
      </c>
      <c r="AA398" s="531">
        <f t="shared" si="186"/>
        <v>7</v>
      </c>
      <c r="AB398" s="535">
        <f t="shared" si="174"/>
        <v>44724</v>
      </c>
      <c r="AC398" s="537">
        <f t="shared" si="175"/>
        <v>151</v>
      </c>
      <c r="AD398" s="538" t="str">
        <f t="shared" ca="1" si="176"/>
        <v>Expired</v>
      </c>
      <c r="AE398" s="537">
        <f t="shared" ca="1" si="177"/>
        <v>0</v>
      </c>
      <c r="AF398" s="539">
        <f t="shared" ca="1" si="187"/>
        <v>20</v>
      </c>
      <c r="AG398" s="531">
        <f t="shared" ca="1" si="188"/>
        <v>680000</v>
      </c>
      <c r="AH398" s="531">
        <f t="shared" ca="1" si="189"/>
        <v>180000</v>
      </c>
      <c r="AI398" s="531">
        <f t="shared" ca="1" si="190"/>
        <v>500000</v>
      </c>
      <c r="AJ398" s="531">
        <f t="shared" ca="1" si="191"/>
        <v>0</v>
      </c>
      <c r="AK398" s="540">
        <f>SUMIFS('Live Collections'!$S:$S,'Live Collections'!$D:$D,Disbursements!B398,'Live Collections'!$G:$G,Disbursements!C398)</f>
        <v>91666.666666666672</v>
      </c>
      <c r="AL398" s="540">
        <f>SUMIFS('Live Collections'!$T:$T,'Live Collections'!$D:$D,Disbursements!B398,'Live Collections'!$G:$G,Disbursements!C398)</f>
        <v>239333.33333333331</v>
      </c>
      <c r="AM398" s="541">
        <f t="shared" si="192"/>
        <v>331000</v>
      </c>
      <c r="AN398" s="542">
        <f t="shared" si="193"/>
        <v>88333.333333333328</v>
      </c>
      <c r="AO398" s="542">
        <f t="shared" si="194"/>
        <v>260666.66666666669</v>
      </c>
      <c r="AP398" s="543">
        <f t="shared" si="195"/>
        <v>349000</v>
      </c>
      <c r="AQ398" s="544">
        <f t="shared" ca="1" si="196"/>
        <v>349000</v>
      </c>
      <c r="AR398" s="545">
        <f t="shared" ca="1" si="197"/>
        <v>10.264705882352942</v>
      </c>
      <c r="AS398" s="545">
        <f ca="1">IFERROR(CEILING($AR398*VLOOKUP($I398,Ref!$B$23:$E$29,4,0),1),0)</f>
        <v>72</v>
      </c>
      <c r="AT398" s="545" t="str">
        <f ca="1">IF(A398="","",IF(AP398&lt;=1,"Cleared",IF(AS398=0,"Clean",VLOOKUP($AS398,Ref!$G$23:$H$28,2))))</f>
        <v>3.(61-90) Days</v>
      </c>
      <c r="AU398" s="546" t="str">
        <f t="shared" si="198"/>
        <v>Ok</v>
      </c>
    </row>
    <row r="399" spans="1:47" ht="14.25" customHeight="1" x14ac:dyDescent="0.15">
      <c r="A399" s="575">
        <v>44573</v>
      </c>
      <c r="B399" s="523">
        <v>205</v>
      </c>
      <c r="C399" s="523">
        <v>396</v>
      </c>
      <c r="D399" s="523">
        <v>2</v>
      </c>
      <c r="E399" s="579" t="s">
        <v>1274</v>
      </c>
      <c r="F399" s="580">
        <v>500000</v>
      </c>
      <c r="G399" s="524">
        <v>4</v>
      </c>
      <c r="H399" s="555">
        <v>6.5000000000000002E-2</v>
      </c>
      <c r="I399" s="560" t="s">
        <v>861</v>
      </c>
      <c r="J399" s="523" t="s">
        <v>862</v>
      </c>
      <c r="K399" s="528" t="str">
        <f>IFERROR(VLOOKUP($B399,'Clients-Live'!$A:$C,3,0),"")</f>
        <v>OPIRU ALICE</v>
      </c>
      <c r="L399" s="528">
        <f>IF(E399="STL",Pricing!$D$38,IF(A399="",0,IF(A399&lt;Pricing!$C$25,Pricing!$D$25,VLOOKUP(Disbursements!$F399,Pricing!$B$29:$D$32,3))))</f>
        <v>15000</v>
      </c>
      <c r="M399" s="528">
        <f>IF(E399="STL",0,IF(F399&gt;0,Pricing!$D$21,0))</f>
        <v>5000</v>
      </c>
      <c r="N399" s="529">
        <f>IF(E399="STL",F399*Pricing!$D$40,IF(A399&lt;=Pricing!$C$4,0,IF(AND(A399&gt;Pricing!$C$4,Disbursements!A399&lt;=Pricing!$C$5),F399*Pricing!$E$5,IF(AND(A399&gt;Pricing!$C$5,Disbursements!A399&lt;=Pricing!$C$7),VLOOKUP(F399,Pricing!$D$7:$E$8,2)*Disbursements!F399,F399*Pricing!$E$9))))</f>
        <v>10000</v>
      </c>
      <c r="O399" s="528">
        <f>IF(E399="STL",0,IF($F399&gt;0,$F399*Pricing!$D$17,0))</f>
        <v>50000</v>
      </c>
      <c r="P399" s="530">
        <f t="shared" si="178"/>
        <v>130000</v>
      </c>
      <c r="Q399" s="531">
        <f>IF($A399="","",$G399/VLOOKUP($I399,Ref!$B$23:$D$29,2,0))</f>
        <v>16</v>
      </c>
      <c r="R399" s="530">
        <f t="shared" si="179"/>
        <v>630000</v>
      </c>
      <c r="S399" s="532">
        <f t="shared" si="173"/>
        <v>39375</v>
      </c>
      <c r="T399" s="531">
        <f t="shared" si="180"/>
        <v>40000</v>
      </c>
      <c r="U399" s="533">
        <f t="shared" si="181"/>
        <v>640000</v>
      </c>
      <c r="V399" s="531">
        <f t="shared" si="182"/>
        <v>31250</v>
      </c>
      <c r="W399" s="531">
        <f t="shared" si="183"/>
        <v>8750</v>
      </c>
      <c r="X399" s="534">
        <f t="shared" si="184"/>
        <v>140000</v>
      </c>
      <c r="Y399" s="535">
        <f>IF($A399="","",IF($I399="weekly",$A399+7,EDATE($A399,VLOOKUP($I399,Ref!$B$24:$C$29,2,0))))</f>
        <v>44580</v>
      </c>
      <c r="Z399" s="536" t="str">
        <f t="shared" si="185"/>
        <v>Wed</v>
      </c>
      <c r="AA399" s="531">
        <f t="shared" si="186"/>
        <v>7</v>
      </c>
      <c r="AB399" s="535">
        <f t="shared" si="174"/>
        <v>44693</v>
      </c>
      <c r="AC399" s="537">
        <f t="shared" si="175"/>
        <v>120</v>
      </c>
      <c r="AD399" s="538" t="str">
        <f t="shared" ca="1" si="176"/>
        <v>Expired</v>
      </c>
      <c r="AE399" s="537">
        <f t="shared" ca="1" si="177"/>
        <v>0</v>
      </c>
      <c r="AF399" s="539">
        <f t="shared" ca="1" si="187"/>
        <v>16</v>
      </c>
      <c r="AG399" s="531">
        <f t="shared" ca="1" si="188"/>
        <v>640000</v>
      </c>
      <c r="AH399" s="531">
        <f t="shared" ca="1" si="189"/>
        <v>140000</v>
      </c>
      <c r="AI399" s="531">
        <f t="shared" ca="1" si="190"/>
        <v>500000</v>
      </c>
      <c r="AJ399" s="531">
        <f t="shared" ca="1" si="191"/>
        <v>0</v>
      </c>
      <c r="AK399" s="540">
        <f>SUMIFS('Live Collections'!$S:$S,'Live Collections'!$D:$D,Disbursements!B399,'Live Collections'!$G:$G,Disbursements!C399)</f>
        <v>140000</v>
      </c>
      <c r="AL399" s="540">
        <f>SUMIFS('Live Collections'!$T:$T,'Live Collections'!$D:$D,Disbursements!B399,'Live Collections'!$G:$G,Disbursements!C399)</f>
        <v>241400</v>
      </c>
      <c r="AM399" s="541">
        <f t="shared" si="192"/>
        <v>381400</v>
      </c>
      <c r="AN399" s="542">
        <f t="shared" si="193"/>
        <v>0</v>
      </c>
      <c r="AO399" s="542">
        <f t="shared" si="194"/>
        <v>258600</v>
      </c>
      <c r="AP399" s="543">
        <f t="shared" si="195"/>
        <v>258600</v>
      </c>
      <c r="AQ399" s="544">
        <f t="shared" ca="1" si="196"/>
        <v>258600</v>
      </c>
      <c r="AR399" s="545">
        <f t="shared" ca="1" si="197"/>
        <v>6.4649999999999999</v>
      </c>
      <c r="AS399" s="545">
        <f ca="1">IFERROR(CEILING($AR399*VLOOKUP($I399,Ref!$B$23:$E$29,4,0),1),0)</f>
        <v>46</v>
      </c>
      <c r="AT399" s="545" t="str">
        <f ca="1">IF(A399="","",IF(AP399&lt;=1,"Cleared",IF(AS399=0,"Clean",VLOOKUP($AS399,Ref!$G$23:$H$28,2))))</f>
        <v>2.(31-60) Days</v>
      </c>
      <c r="AU399" s="546" t="str">
        <f t="shared" si="198"/>
        <v>Ok</v>
      </c>
    </row>
    <row r="400" spans="1:47" ht="14.25" customHeight="1" x14ac:dyDescent="0.15">
      <c r="A400" s="575">
        <v>44573</v>
      </c>
      <c r="B400" s="523">
        <v>235</v>
      </c>
      <c r="C400" s="523">
        <v>395</v>
      </c>
      <c r="D400" s="523">
        <v>2</v>
      </c>
      <c r="E400" s="579" t="s">
        <v>1275</v>
      </c>
      <c r="F400" s="580">
        <v>1500000</v>
      </c>
      <c r="G400" s="524">
        <v>2</v>
      </c>
      <c r="H400" s="555">
        <v>7.4999999999999997E-2</v>
      </c>
      <c r="I400" s="560" t="s">
        <v>859</v>
      </c>
      <c r="J400" s="523" t="s">
        <v>863</v>
      </c>
      <c r="K400" s="528" t="str">
        <f>IFERROR(VLOOKUP($B400,'Clients-Live'!$A:$C,3,0),"")</f>
        <v>AMULE ISAAC</v>
      </c>
      <c r="L400" s="528">
        <f>IF(E400="STL",Pricing!$D$38,IF(A400="",0,IF(A400&lt;Pricing!$C$25,Pricing!$D$25,VLOOKUP(Disbursements!$F400,Pricing!$B$29:$D$32,3))))</f>
        <v>25000</v>
      </c>
      <c r="M400" s="528">
        <f>IF(E400="STL",0,IF(F400&gt;0,Pricing!$D$21,0))</f>
        <v>5000</v>
      </c>
      <c r="N400" s="529">
        <f>IF(E400="STL",F400*Pricing!$D$40,IF(A400&lt;=Pricing!$C$4,0,IF(AND(A400&gt;Pricing!$C$4,Disbursements!A400&lt;=Pricing!$C$5),F400*Pricing!$E$5,IF(AND(A400&gt;Pricing!$C$5,Disbursements!A400&lt;=Pricing!$C$7),VLOOKUP(F400,Pricing!$D$7:$E$8,2)*Disbursements!F400,F400*Pricing!$E$9))))</f>
        <v>30000</v>
      </c>
      <c r="O400" s="528">
        <f>IF(E400="STL",0,IF($F400&gt;0,$F400*Pricing!$D$17,0))</f>
        <v>150000</v>
      </c>
      <c r="P400" s="530">
        <f t="shared" si="178"/>
        <v>225000</v>
      </c>
      <c r="Q400" s="531">
        <f>IF($A400="","",$G400/VLOOKUP($I400,Ref!$B$23:$D$29,2,0))</f>
        <v>2</v>
      </c>
      <c r="R400" s="530">
        <f t="shared" si="179"/>
        <v>1725000</v>
      </c>
      <c r="S400" s="532">
        <f t="shared" si="173"/>
        <v>862500</v>
      </c>
      <c r="T400" s="531">
        <f t="shared" si="180"/>
        <v>863000</v>
      </c>
      <c r="U400" s="533">
        <f t="shared" si="181"/>
        <v>1726000</v>
      </c>
      <c r="V400" s="531">
        <f t="shared" si="182"/>
        <v>750000</v>
      </c>
      <c r="W400" s="531">
        <f t="shared" si="183"/>
        <v>113000</v>
      </c>
      <c r="X400" s="534">
        <f t="shared" si="184"/>
        <v>226000</v>
      </c>
      <c r="Y400" s="535">
        <f>IF($A400="","",IF($I400="weekly",$A400+7,EDATE($A400,VLOOKUP($I400,Ref!$B$24:$C$29,2,0))))</f>
        <v>44604</v>
      </c>
      <c r="Z400" s="536" t="str">
        <f t="shared" si="185"/>
        <v>Sat</v>
      </c>
      <c r="AA400" s="531">
        <f t="shared" si="186"/>
        <v>31</v>
      </c>
      <c r="AB400" s="535">
        <f t="shared" si="174"/>
        <v>44632</v>
      </c>
      <c r="AC400" s="537">
        <f t="shared" si="175"/>
        <v>59</v>
      </c>
      <c r="AD400" s="538" t="str">
        <f t="shared" ca="1" si="176"/>
        <v>Expired</v>
      </c>
      <c r="AE400" s="537">
        <f t="shared" ca="1" si="177"/>
        <v>0</v>
      </c>
      <c r="AF400" s="539">
        <f t="shared" ca="1" si="187"/>
        <v>2</v>
      </c>
      <c r="AG400" s="531">
        <f t="shared" ca="1" si="188"/>
        <v>1726000</v>
      </c>
      <c r="AH400" s="531">
        <f t="shared" ca="1" si="189"/>
        <v>226000</v>
      </c>
      <c r="AI400" s="531">
        <f t="shared" ca="1" si="190"/>
        <v>1500000</v>
      </c>
      <c r="AJ400" s="531">
        <f t="shared" ca="1" si="191"/>
        <v>0</v>
      </c>
      <c r="AK400" s="540">
        <f>SUMIFS('Live Collections'!$S:$S,'Live Collections'!$D:$D,Disbursements!B400,'Live Collections'!$G:$G,Disbursements!C400)</f>
        <v>226000</v>
      </c>
      <c r="AL400" s="540">
        <f>SUMIFS('Live Collections'!$T:$T,'Live Collections'!$D:$D,Disbursements!B400,'Live Collections'!$G:$G,Disbursements!C400)</f>
        <v>1500000</v>
      </c>
      <c r="AM400" s="541">
        <f t="shared" si="192"/>
        <v>1726000</v>
      </c>
      <c r="AN400" s="542">
        <f t="shared" si="193"/>
        <v>0</v>
      </c>
      <c r="AO400" s="542">
        <f t="shared" si="194"/>
        <v>0</v>
      </c>
      <c r="AP400" s="543">
        <f t="shared" si="195"/>
        <v>0</v>
      </c>
      <c r="AQ400" s="544" t="str">
        <f t="shared" ca="1" si="196"/>
        <v/>
      </c>
      <c r="AR400" s="545">
        <f t="shared" ca="1" si="197"/>
        <v>0</v>
      </c>
      <c r="AS400" s="545">
        <f ca="1">IFERROR(CEILING($AR400*VLOOKUP($I400,Ref!$B$23:$E$29,4,0),1),0)</f>
        <v>0</v>
      </c>
      <c r="AT400" s="545" t="str">
        <f>IF(A400="","",IF(AP400&lt;=1,"Cleared",IF(AS400=0,"Clean",VLOOKUP($AS400,Ref!$G$23:$H$28,2))))</f>
        <v>Cleared</v>
      </c>
      <c r="AU400" s="546" t="str">
        <f t="shared" si="198"/>
        <v>Ok</v>
      </c>
    </row>
    <row r="401" spans="1:47" ht="14.25" customHeight="1" x14ac:dyDescent="0.15">
      <c r="A401" s="575">
        <v>44573</v>
      </c>
      <c r="B401" s="523">
        <v>291</v>
      </c>
      <c r="C401" s="523">
        <v>397</v>
      </c>
      <c r="D401" s="523">
        <v>1</v>
      </c>
      <c r="E401" s="579" t="s">
        <v>1275</v>
      </c>
      <c r="F401" s="580">
        <v>500000</v>
      </c>
      <c r="G401" s="524">
        <v>3</v>
      </c>
      <c r="H401" s="555">
        <v>7.4999999999999997E-2</v>
      </c>
      <c r="I401" s="560" t="s">
        <v>859</v>
      </c>
      <c r="J401" s="523" t="s">
        <v>862</v>
      </c>
      <c r="K401" s="528" t="str">
        <f>IFERROR(VLOOKUP($B401,'Clients-Live'!$A:$C,3,0),"")</f>
        <v>LEMAKU SWAIB</v>
      </c>
      <c r="L401" s="528">
        <f>IF(E401="STL",Pricing!$D$38,IF(A401="",0,IF(A401&lt;Pricing!$C$25,Pricing!$D$25,VLOOKUP(Disbursements!$F401,Pricing!$B$29:$D$32,3))))</f>
        <v>15000</v>
      </c>
      <c r="M401" s="528">
        <f>IF(E401="STL",0,IF(F401&gt;0,Pricing!$D$21,0))</f>
        <v>5000</v>
      </c>
      <c r="N401" s="529">
        <f>IF(E401="STL",F401*Pricing!$D$40,IF(A401&lt;=Pricing!$C$4,0,IF(AND(A401&gt;Pricing!$C$4,Disbursements!A401&lt;=Pricing!$C$5),F401*Pricing!$E$5,IF(AND(A401&gt;Pricing!$C$5,Disbursements!A401&lt;=Pricing!$C$7),VLOOKUP(F401,Pricing!$D$7:$E$8,2)*Disbursements!F401,F401*Pricing!$E$9))))</f>
        <v>10000</v>
      </c>
      <c r="O401" s="528">
        <f>IF(E401="STL",0,IF($F401&gt;0,$F401*Pricing!$D$17,0))</f>
        <v>50000</v>
      </c>
      <c r="P401" s="530">
        <f t="shared" si="178"/>
        <v>112500</v>
      </c>
      <c r="Q401" s="531">
        <f>IF($A401="","",$G401/VLOOKUP($I401,Ref!$B$23:$D$29,2,0))</f>
        <v>3</v>
      </c>
      <c r="R401" s="530">
        <f t="shared" si="179"/>
        <v>612500</v>
      </c>
      <c r="S401" s="532">
        <f t="shared" si="173"/>
        <v>204166.66666666666</v>
      </c>
      <c r="T401" s="531">
        <f t="shared" si="180"/>
        <v>205000</v>
      </c>
      <c r="U401" s="533">
        <f t="shared" si="181"/>
        <v>615000</v>
      </c>
      <c r="V401" s="531">
        <f t="shared" si="182"/>
        <v>166666.66666666666</v>
      </c>
      <c r="W401" s="531">
        <f t="shared" si="183"/>
        <v>38333.333333333343</v>
      </c>
      <c r="X401" s="534">
        <f t="shared" si="184"/>
        <v>115000.00000000003</v>
      </c>
      <c r="Y401" s="535">
        <f>IF($A401="","",IF($I401="weekly",$A401+7,EDATE($A401,VLOOKUP($I401,Ref!$B$24:$C$29,2,0))))</f>
        <v>44604</v>
      </c>
      <c r="Z401" s="536" t="str">
        <f t="shared" si="185"/>
        <v>Sat</v>
      </c>
      <c r="AA401" s="531">
        <f t="shared" si="186"/>
        <v>31</v>
      </c>
      <c r="AB401" s="535">
        <f t="shared" si="174"/>
        <v>44663</v>
      </c>
      <c r="AC401" s="537">
        <f t="shared" si="175"/>
        <v>90</v>
      </c>
      <c r="AD401" s="538" t="str">
        <f t="shared" ca="1" si="176"/>
        <v>Expired</v>
      </c>
      <c r="AE401" s="537">
        <f t="shared" ca="1" si="177"/>
        <v>0</v>
      </c>
      <c r="AF401" s="539">
        <f t="shared" ca="1" si="187"/>
        <v>3</v>
      </c>
      <c r="AG401" s="531">
        <f t="shared" ca="1" si="188"/>
        <v>615000</v>
      </c>
      <c r="AH401" s="531">
        <f t="shared" ca="1" si="189"/>
        <v>115000.00000000003</v>
      </c>
      <c r="AI401" s="531">
        <f t="shared" ca="1" si="190"/>
        <v>500000</v>
      </c>
      <c r="AJ401" s="531">
        <f t="shared" ca="1" si="191"/>
        <v>0</v>
      </c>
      <c r="AK401" s="540">
        <f>SUMIFS('Live Collections'!$S:$S,'Live Collections'!$D:$D,Disbursements!B401,'Live Collections'!$G:$G,Disbursements!C401)</f>
        <v>115000.00000000003</v>
      </c>
      <c r="AL401" s="540">
        <f>SUMIFS('Live Collections'!$T:$T,'Live Collections'!$D:$D,Disbursements!B401,'Live Collections'!$G:$G,Disbursements!C401)</f>
        <v>500000</v>
      </c>
      <c r="AM401" s="541">
        <f t="shared" si="192"/>
        <v>615000</v>
      </c>
      <c r="AN401" s="542">
        <f t="shared" si="193"/>
        <v>0</v>
      </c>
      <c r="AO401" s="542">
        <f t="shared" si="194"/>
        <v>0</v>
      </c>
      <c r="AP401" s="543">
        <f t="shared" si="195"/>
        <v>0</v>
      </c>
      <c r="AQ401" s="544" t="str">
        <f t="shared" ca="1" si="196"/>
        <v/>
      </c>
      <c r="AR401" s="545">
        <f t="shared" ca="1" si="197"/>
        <v>0</v>
      </c>
      <c r="AS401" s="545">
        <f ca="1">IFERROR(CEILING($AR401*VLOOKUP($I401,Ref!$B$23:$E$29,4,0),1),0)</f>
        <v>0</v>
      </c>
      <c r="AT401" s="545" t="str">
        <f>IF(A401="","",IF(AP401&lt;=1,"Cleared",IF(AS401=0,"Clean",VLOOKUP($AS401,Ref!$G$23:$H$28,2))))</f>
        <v>Cleared</v>
      </c>
      <c r="AU401" s="546" t="str">
        <f t="shared" si="198"/>
        <v>Ok</v>
      </c>
    </row>
    <row r="402" spans="1:47" ht="14.25" customHeight="1" x14ac:dyDescent="0.15">
      <c r="A402" s="575">
        <v>44573</v>
      </c>
      <c r="B402" s="523">
        <v>303</v>
      </c>
      <c r="C402" s="523">
        <v>399</v>
      </c>
      <c r="D402" s="523">
        <v>1</v>
      </c>
      <c r="E402" s="579" t="s">
        <v>1274</v>
      </c>
      <c r="F402" s="580">
        <v>500000</v>
      </c>
      <c r="G402" s="524">
        <v>4</v>
      </c>
      <c r="H402" s="555">
        <v>6.5000000000000002E-2</v>
      </c>
      <c r="I402" s="560" t="s">
        <v>861</v>
      </c>
      <c r="J402" s="523" t="s">
        <v>862</v>
      </c>
      <c r="K402" s="528" t="str">
        <f>IFERROR(VLOOKUP($B402,'Clients-Live'!$A:$C,3,0),"")</f>
        <v>APAYI DOROTHY</v>
      </c>
      <c r="L402" s="528">
        <f>IF(E402="STL",Pricing!$D$38,IF(A402="",0,IF(A402&lt;Pricing!$C$25,Pricing!$D$25,VLOOKUP(Disbursements!$F402,Pricing!$B$29:$D$32,3))))</f>
        <v>15000</v>
      </c>
      <c r="M402" s="528">
        <f>IF(E402="STL",0,IF(F402&gt;0,Pricing!$D$21,0))</f>
        <v>5000</v>
      </c>
      <c r="N402" s="529">
        <f>IF(E402="STL",F402*Pricing!$D$40,IF(A402&lt;=Pricing!$C$4,0,IF(AND(A402&gt;Pricing!$C$4,Disbursements!A402&lt;=Pricing!$C$5),F402*Pricing!$E$5,IF(AND(A402&gt;Pricing!$C$5,Disbursements!A402&lt;=Pricing!$C$7),VLOOKUP(F402,Pricing!$D$7:$E$8,2)*Disbursements!F402,F402*Pricing!$E$9))))</f>
        <v>10000</v>
      </c>
      <c r="O402" s="528">
        <f>IF(E402="STL",0,IF($F402&gt;0,$F402*Pricing!$D$17,0))</f>
        <v>50000</v>
      </c>
      <c r="P402" s="530">
        <f t="shared" si="178"/>
        <v>130000</v>
      </c>
      <c r="Q402" s="531">
        <f>IF($A402="","",$G402/VLOOKUP($I402,Ref!$B$23:$D$29,2,0))</f>
        <v>16</v>
      </c>
      <c r="R402" s="530">
        <f t="shared" si="179"/>
        <v>630000</v>
      </c>
      <c r="S402" s="532">
        <f t="shared" si="173"/>
        <v>39375</v>
      </c>
      <c r="T402" s="531">
        <f t="shared" si="180"/>
        <v>40000</v>
      </c>
      <c r="U402" s="533">
        <f t="shared" si="181"/>
        <v>640000</v>
      </c>
      <c r="V402" s="531">
        <f t="shared" si="182"/>
        <v>31250</v>
      </c>
      <c r="W402" s="531">
        <f t="shared" si="183"/>
        <v>8750</v>
      </c>
      <c r="X402" s="534">
        <f t="shared" si="184"/>
        <v>140000</v>
      </c>
      <c r="Y402" s="535">
        <f>IF($A402="","",IF($I402="weekly",$A402+7,EDATE($A402,VLOOKUP($I402,Ref!$B$24:$C$29,2,0))))</f>
        <v>44580</v>
      </c>
      <c r="Z402" s="536" t="str">
        <f t="shared" si="185"/>
        <v>Wed</v>
      </c>
      <c r="AA402" s="531">
        <f t="shared" si="186"/>
        <v>7</v>
      </c>
      <c r="AB402" s="535">
        <f t="shared" si="174"/>
        <v>44693</v>
      </c>
      <c r="AC402" s="537">
        <f t="shared" si="175"/>
        <v>120</v>
      </c>
      <c r="AD402" s="538" t="str">
        <f t="shared" ca="1" si="176"/>
        <v>Expired</v>
      </c>
      <c r="AE402" s="537">
        <f t="shared" ca="1" si="177"/>
        <v>0</v>
      </c>
      <c r="AF402" s="539">
        <f t="shared" ca="1" si="187"/>
        <v>16</v>
      </c>
      <c r="AG402" s="531">
        <f t="shared" ca="1" si="188"/>
        <v>640000</v>
      </c>
      <c r="AH402" s="531">
        <f t="shared" ca="1" si="189"/>
        <v>140000</v>
      </c>
      <c r="AI402" s="531">
        <f t="shared" ca="1" si="190"/>
        <v>500000</v>
      </c>
      <c r="AJ402" s="531">
        <f t="shared" ca="1" si="191"/>
        <v>0</v>
      </c>
      <c r="AK402" s="540">
        <f>SUMIFS('Live Collections'!$S:$S,'Live Collections'!$D:$D,Disbursements!B402,'Live Collections'!$G:$G,Disbursements!C402)</f>
        <v>140000</v>
      </c>
      <c r="AL402" s="540">
        <f>SUMIFS('Live Collections'!$T:$T,'Live Collections'!$D:$D,Disbursements!B402,'Live Collections'!$G:$G,Disbursements!C402)</f>
        <v>294000</v>
      </c>
      <c r="AM402" s="541">
        <f t="shared" si="192"/>
        <v>434000</v>
      </c>
      <c r="AN402" s="542">
        <f t="shared" si="193"/>
        <v>0</v>
      </c>
      <c r="AO402" s="542">
        <f t="shared" si="194"/>
        <v>206000</v>
      </c>
      <c r="AP402" s="543">
        <f t="shared" si="195"/>
        <v>206000</v>
      </c>
      <c r="AQ402" s="544">
        <f t="shared" ca="1" si="196"/>
        <v>206000</v>
      </c>
      <c r="AR402" s="545">
        <f t="shared" ca="1" si="197"/>
        <v>5.15</v>
      </c>
      <c r="AS402" s="545">
        <f ca="1">IFERROR(CEILING($AR402*VLOOKUP($I402,Ref!$B$23:$E$29,4,0),1),0)</f>
        <v>37</v>
      </c>
      <c r="AT402" s="545" t="str">
        <f ca="1">IF(A402="","",IF(AP402&lt;=1,"Cleared",IF(AS402=0,"Clean",VLOOKUP($AS402,Ref!$G$23:$H$28,2))))</f>
        <v>2.(31-60) Days</v>
      </c>
      <c r="AU402" s="546" t="str">
        <f t="shared" si="198"/>
        <v>Ok</v>
      </c>
    </row>
    <row r="403" spans="1:47" ht="14.25" customHeight="1" x14ac:dyDescent="0.15">
      <c r="A403" s="575">
        <v>44573</v>
      </c>
      <c r="B403" s="523">
        <v>304</v>
      </c>
      <c r="C403" s="523">
        <v>398</v>
      </c>
      <c r="D403" s="523">
        <v>1</v>
      </c>
      <c r="E403" s="579" t="s">
        <v>1274</v>
      </c>
      <c r="F403" s="580">
        <v>400000</v>
      </c>
      <c r="G403" s="524">
        <v>4</v>
      </c>
      <c r="H403" s="555">
        <v>6.5000000000000002E-2</v>
      </c>
      <c r="I403" s="560" t="s">
        <v>861</v>
      </c>
      <c r="J403" s="523" t="s">
        <v>864</v>
      </c>
      <c r="K403" s="528" t="str">
        <f>IFERROR(VLOOKUP($B403,'Clients-Live'!$A:$C,3,0),"")</f>
        <v>ATAKO GLORIA</v>
      </c>
      <c r="L403" s="528">
        <f>IF(E403="STL",Pricing!$D$38,IF(A403="",0,IF(A403&lt;Pricing!$C$25,Pricing!$D$25,VLOOKUP(Disbursements!$F403,Pricing!$B$29:$D$32,3))))</f>
        <v>15000</v>
      </c>
      <c r="M403" s="528">
        <f>IF(E403="STL",0,IF(F403&gt;0,Pricing!$D$21,0))</f>
        <v>5000</v>
      </c>
      <c r="N403" s="529">
        <f>IF(E403="STL",F403*Pricing!$D$40,IF(A403&lt;=Pricing!$C$4,0,IF(AND(A403&gt;Pricing!$C$4,Disbursements!A403&lt;=Pricing!$C$5),F403*Pricing!$E$5,IF(AND(A403&gt;Pricing!$C$5,Disbursements!A403&lt;=Pricing!$C$7),VLOOKUP(F403,Pricing!$D$7:$E$8,2)*Disbursements!F403,F403*Pricing!$E$9))))</f>
        <v>8000</v>
      </c>
      <c r="O403" s="528">
        <f>IF(E403="STL",0,IF($F403&gt;0,$F403*Pricing!$D$17,0))</f>
        <v>40000</v>
      </c>
      <c r="P403" s="530">
        <f t="shared" si="178"/>
        <v>104000</v>
      </c>
      <c r="Q403" s="531">
        <f>IF($A403="","",$G403/VLOOKUP($I403,Ref!$B$23:$D$29,2,0))</f>
        <v>16</v>
      </c>
      <c r="R403" s="530">
        <f t="shared" si="179"/>
        <v>504000</v>
      </c>
      <c r="S403" s="532">
        <f t="shared" si="173"/>
        <v>31500</v>
      </c>
      <c r="T403" s="531">
        <f t="shared" si="180"/>
        <v>32000</v>
      </c>
      <c r="U403" s="533">
        <f t="shared" si="181"/>
        <v>512000</v>
      </c>
      <c r="V403" s="531">
        <f t="shared" si="182"/>
        <v>25000</v>
      </c>
      <c r="W403" s="531">
        <f t="shared" si="183"/>
        <v>7000</v>
      </c>
      <c r="X403" s="534">
        <f t="shared" si="184"/>
        <v>112000</v>
      </c>
      <c r="Y403" s="535">
        <f>IF($A403="","",IF($I403="weekly",$A403+7,EDATE($A403,VLOOKUP($I403,Ref!$B$24:$C$29,2,0))))</f>
        <v>44580</v>
      </c>
      <c r="Z403" s="536" t="str">
        <f t="shared" si="185"/>
        <v>Wed</v>
      </c>
      <c r="AA403" s="531">
        <f t="shared" si="186"/>
        <v>7</v>
      </c>
      <c r="AB403" s="535">
        <f t="shared" si="174"/>
        <v>44693</v>
      </c>
      <c r="AC403" s="537">
        <f t="shared" si="175"/>
        <v>120</v>
      </c>
      <c r="AD403" s="538" t="str">
        <f t="shared" ca="1" si="176"/>
        <v>Expired</v>
      </c>
      <c r="AE403" s="537">
        <f t="shared" ca="1" si="177"/>
        <v>0</v>
      </c>
      <c r="AF403" s="539">
        <f t="shared" ca="1" si="187"/>
        <v>16</v>
      </c>
      <c r="AG403" s="531">
        <f t="shared" ca="1" si="188"/>
        <v>512000</v>
      </c>
      <c r="AH403" s="531">
        <f t="shared" ca="1" si="189"/>
        <v>112000</v>
      </c>
      <c r="AI403" s="531">
        <f t="shared" ca="1" si="190"/>
        <v>400000</v>
      </c>
      <c r="AJ403" s="531">
        <f t="shared" ca="1" si="191"/>
        <v>0</v>
      </c>
      <c r="AK403" s="540">
        <f>SUMIFS('Live Collections'!$S:$S,'Live Collections'!$D:$D,Disbursements!B403,'Live Collections'!$G:$G,Disbursements!C403)</f>
        <v>111000</v>
      </c>
      <c r="AL403" s="540">
        <f>SUMIFS('Live Collections'!$T:$T,'Live Collections'!$D:$D,Disbursements!B403,'Live Collections'!$G:$G,Disbursements!C403)</f>
        <v>393000</v>
      </c>
      <c r="AM403" s="541">
        <f t="shared" si="192"/>
        <v>504000</v>
      </c>
      <c r="AN403" s="542">
        <f t="shared" si="193"/>
        <v>1000</v>
      </c>
      <c r="AO403" s="542">
        <f t="shared" si="194"/>
        <v>7000</v>
      </c>
      <c r="AP403" s="543">
        <f t="shared" si="195"/>
        <v>8000</v>
      </c>
      <c r="AQ403" s="544">
        <f t="shared" ca="1" si="196"/>
        <v>8000</v>
      </c>
      <c r="AR403" s="545">
        <f t="shared" ca="1" si="197"/>
        <v>0.25</v>
      </c>
      <c r="AS403" s="545">
        <f ca="1">IFERROR(CEILING($AR403*VLOOKUP($I403,Ref!$B$23:$E$29,4,0),1),0)</f>
        <v>2</v>
      </c>
      <c r="AT403" s="545" t="str">
        <f ca="1">IF(A403="","",IF(AP403&lt;=1,"Cleared",IF(AS403=0,"Clean",VLOOKUP($AS403,Ref!$G$23:$H$28,2))))</f>
        <v>1.(0-30) Days</v>
      </c>
      <c r="AU403" s="546" t="str">
        <f t="shared" si="198"/>
        <v>Ok</v>
      </c>
    </row>
    <row r="404" spans="1:47" ht="14.25" customHeight="1" x14ac:dyDescent="0.15">
      <c r="A404" s="575">
        <v>44574</v>
      </c>
      <c r="B404" s="523">
        <v>23</v>
      </c>
      <c r="C404" s="523">
        <v>402</v>
      </c>
      <c r="D404" s="523">
        <v>3</v>
      </c>
      <c r="E404" s="579" t="s">
        <v>1274</v>
      </c>
      <c r="F404" s="580">
        <v>500000</v>
      </c>
      <c r="G404" s="524">
        <v>5</v>
      </c>
      <c r="H404" s="555">
        <v>6.5000000000000002E-2</v>
      </c>
      <c r="I404" s="560" t="s">
        <v>861</v>
      </c>
      <c r="J404" s="523" t="s">
        <v>864</v>
      </c>
      <c r="K404" s="528" t="str">
        <f>IFERROR(VLOOKUP($B404,'Clients-Live'!$A:$C,3,0),"")</f>
        <v>BADARU KEVIN ATELIONGA</v>
      </c>
      <c r="L404" s="528">
        <f>IF(E404="STL",Pricing!$D$38,IF(A404="",0,IF(A404&lt;Pricing!$C$25,Pricing!$D$25,VLOOKUP(Disbursements!$F404,Pricing!$B$29:$D$32,3))))</f>
        <v>15000</v>
      </c>
      <c r="M404" s="528">
        <f>IF(E404="STL",0,IF(F404&gt;0,Pricing!$D$21,0))</f>
        <v>5000</v>
      </c>
      <c r="N404" s="529">
        <f>IF(E404="STL",F404*Pricing!$D$40,IF(A404&lt;=Pricing!$C$4,0,IF(AND(A404&gt;Pricing!$C$4,Disbursements!A404&lt;=Pricing!$C$5),F404*Pricing!$E$5,IF(AND(A404&gt;Pricing!$C$5,Disbursements!A404&lt;=Pricing!$C$7),VLOOKUP(F404,Pricing!$D$7:$E$8,2)*Disbursements!F404,F404*Pricing!$E$9))))</f>
        <v>10000</v>
      </c>
      <c r="O404" s="528">
        <f>IF(E404="STL",0,IF($F404&gt;0,$F404*Pricing!$D$17,0))</f>
        <v>50000</v>
      </c>
      <c r="P404" s="530">
        <f t="shared" si="178"/>
        <v>162500</v>
      </c>
      <c r="Q404" s="531">
        <f>IF($A404="","",$G404/VLOOKUP($I404,Ref!$B$23:$D$29,2,0))</f>
        <v>20</v>
      </c>
      <c r="R404" s="530">
        <f t="shared" si="179"/>
        <v>662500</v>
      </c>
      <c r="S404" s="532">
        <f t="shared" si="173"/>
        <v>33125</v>
      </c>
      <c r="T404" s="531">
        <f t="shared" si="180"/>
        <v>34000</v>
      </c>
      <c r="U404" s="533">
        <f t="shared" si="181"/>
        <v>680000</v>
      </c>
      <c r="V404" s="531">
        <f t="shared" si="182"/>
        <v>25000</v>
      </c>
      <c r="W404" s="531">
        <f t="shared" si="183"/>
        <v>9000</v>
      </c>
      <c r="X404" s="534">
        <f t="shared" si="184"/>
        <v>180000</v>
      </c>
      <c r="Y404" s="535">
        <f>IF($A404="","",IF($I404="weekly",$A404+7,EDATE($A404,VLOOKUP($I404,Ref!$B$24:$C$29,2,0))))</f>
        <v>44581</v>
      </c>
      <c r="Z404" s="536" t="str">
        <f t="shared" si="185"/>
        <v>Thu</v>
      </c>
      <c r="AA404" s="531">
        <f t="shared" si="186"/>
        <v>7</v>
      </c>
      <c r="AB404" s="535">
        <f t="shared" si="174"/>
        <v>44725</v>
      </c>
      <c r="AC404" s="537">
        <f t="shared" si="175"/>
        <v>151</v>
      </c>
      <c r="AD404" s="538" t="str">
        <f t="shared" ca="1" si="176"/>
        <v>Expired</v>
      </c>
      <c r="AE404" s="537">
        <f t="shared" ca="1" si="177"/>
        <v>0</v>
      </c>
      <c r="AF404" s="539">
        <f t="shared" ca="1" si="187"/>
        <v>20</v>
      </c>
      <c r="AG404" s="531">
        <f t="shared" ca="1" si="188"/>
        <v>680000</v>
      </c>
      <c r="AH404" s="531">
        <f t="shared" ca="1" si="189"/>
        <v>180000</v>
      </c>
      <c r="AI404" s="531">
        <f t="shared" ca="1" si="190"/>
        <v>500000</v>
      </c>
      <c r="AJ404" s="531">
        <f t="shared" ca="1" si="191"/>
        <v>0</v>
      </c>
      <c r="AK404" s="540">
        <f>SUMIFS('Live Collections'!$S:$S,'Live Collections'!$D:$D,Disbursements!B404,'Live Collections'!$G:$G,Disbursements!C404)</f>
        <v>109166.66666666667</v>
      </c>
      <c r="AL404" s="540">
        <f>SUMIFS('Live Collections'!$T:$T,'Live Collections'!$D:$D,Disbursements!B404,'Live Collections'!$G:$G,Disbursements!C404)</f>
        <v>56833.333333333328</v>
      </c>
      <c r="AM404" s="541">
        <f t="shared" si="192"/>
        <v>166000</v>
      </c>
      <c r="AN404" s="542">
        <f t="shared" si="193"/>
        <v>70833.333333333328</v>
      </c>
      <c r="AO404" s="542">
        <f t="shared" si="194"/>
        <v>443166.66666666669</v>
      </c>
      <c r="AP404" s="543">
        <f t="shared" si="195"/>
        <v>514000</v>
      </c>
      <c r="AQ404" s="544">
        <f t="shared" ca="1" si="196"/>
        <v>514000</v>
      </c>
      <c r="AR404" s="545">
        <f t="shared" ca="1" si="197"/>
        <v>15.117647058823529</v>
      </c>
      <c r="AS404" s="545">
        <f ca="1">IFERROR(CEILING($AR404*VLOOKUP($I404,Ref!$B$23:$E$29,4,0),1),0)</f>
        <v>106</v>
      </c>
      <c r="AT404" s="545" t="str">
        <f ca="1">IF(A404="","",IF(AP404&lt;=1,"Cleared",IF(AS404=0,"Clean",VLOOKUP($AS404,Ref!$G$23:$H$28,2))))</f>
        <v>4.(91-365) Days</v>
      </c>
      <c r="AU404" s="546" t="str">
        <f t="shared" si="198"/>
        <v>Ok</v>
      </c>
    </row>
    <row r="405" spans="1:47" ht="14.25" customHeight="1" x14ac:dyDescent="0.15">
      <c r="A405" s="575">
        <v>44574</v>
      </c>
      <c r="B405" s="523">
        <v>211</v>
      </c>
      <c r="C405" s="523">
        <v>403</v>
      </c>
      <c r="D405" s="523">
        <v>2</v>
      </c>
      <c r="E405" s="579" t="s">
        <v>1274</v>
      </c>
      <c r="F405" s="580">
        <v>1300000</v>
      </c>
      <c r="G405" s="524">
        <v>5</v>
      </c>
      <c r="H405" s="555">
        <v>6.5000000000000002E-2</v>
      </c>
      <c r="I405" s="560" t="s">
        <v>861</v>
      </c>
      <c r="J405" s="523" t="s">
        <v>863</v>
      </c>
      <c r="K405" s="528" t="str">
        <f>IFERROR(VLOOKUP($B405,'Clients-Live'!$A:$C,3,0),"")</f>
        <v>WILARU JOYCE</v>
      </c>
      <c r="L405" s="528">
        <f>IF(E405="STL",Pricing!$D$38,IF(A405="",0,IF(A405&lt;Pricing!$C$25,Pricing!$D$25,VLOOKUP(Disbursements!$F405,Pricing!$B$29:$D$32,3))))</f>
        <v>25000</v>
      </c>
      <c r="M405" s="528">
        <f>IF(E405="STL",0,IF(F405&gt;0,Pricing!$D$21,0))</f>
        <v>5000</v>
      </c>
      <c r="N405" s="529">
        <f>IF(E405="STL",F405*Pricing!$D$40,IF(A405&lt;=Pricing!$C$4,0,IF(AND(A405&gt;Pricing!$C$4,Disbursements!A405&lt;=Pricing!$C$5),F405*Pricing!$E$5,IF(AND(A405&gt;Pricing!$C$5,Disbursements!A405&lt;=Pricing!$C$7),VLOOKUP(F405,Pricing!$D$7:$E$8,2)*Disbursements!F405,F405*Pricing!$E$9))))</f>
        <v>26000</v>
      </c>
      <c r="O405" s="528">
        <f>IF(E405="STL",0,IF($F405&gt;0,$F405*Pricing!$D$17,0))</f>
        <v>130000</v>
      </c>
      <c r="P405" s="530">
        <f t="shared" si="178"/>
        <v>422500</v>
      </c>
      <c r="Q405" s="531">
        <f>IF($A405="","",$G405/VLOOKUP($I405,Ref!$B$23:$D$29,2,0))</f>
        <v>20</v>
      </c>
      <c r="R405" s="530">
        <f t="shared" si="179"/>
        <v>1722500</v>
      </c>
      <c r="S405" s="532">
        <f t="shared" si="173"/>
        <v>86125</v>
      </c>
      <c r="T405" s="531">
        <f t="shared" si="180"/>
        <v>87000</v>
      </c>
      <c r="U405" s="533">
        <f t="shared" si="181"/>
        <v>1740000</v>
      </c>
      <c r="V405" s="531">
        <f t="shared" si="182"/>
        <v>65000</v>
      </c>
      <c r="W405" s="531">
        <f t="shared" si="183"/>
        <v>22000</v>
      </c>
      <c r="X405" s="534">
        <f t="shared" si="184"/>
        <v>440000</v>
      </c>
      <c r="Y405" s="535">
        <f>IF($A405="","",IF($I405="weekly",$A405+7,EDATE($A405,VLOOKUP($I405,Ref!$B$24:$C$29,2,0))))</f>
        <v>44581</v>
      </c>
      <c r="Z405" s="536" t="str">
        <f t="shared" si="185"/>
        <v>Thu</v>
      </c>
      <c r="AA405" s="531">
        <f t="shared" si="186"/>
        <v>7</v>
      </c>
      <c r="AB405" s="535">
        <f t="shared" si="174"/>
        <v>44725</v>
      </c>
      <c r="AC405" s="537">
        <f t="shared" si="175"/>
        <v>151</v>
      </c>
      <c r="AD405" s="538" t="str">
        <f t="shared" ca="1" si="176"/>
        <v>Expired</v>
      </c>
      <c r="AE405" s="537">
        <f t="shared" ca="1" si="177"/>
        <v>0</v>
      </c>
      <c r="AF405" s="539">
        <f t="shared" ca="1" si="187"/>
        <v>20</v>
      </c>
      <c r="AG405" s="531">
        <f t="shared" ca="1" si="188"/>
        <v>1740000</v>
      </c>
      <c r="AH405" s="531">
        <f t="shared" ca="1" si="189"/>
        <v>440000</v>
      </c>
      <c r="AI405" s="531">
        <f t="shared" ca="1" si="190"/>
        <v>1300000</v>
      </c>
      <c r="AJ405" s="531">
        <f t="shared" ca="1" si="191"/>
        <v>0</v>
      </c>
      <c r="AK405" s="540">
        <f>SUMIFS('Live Collections'!$S:$S,'Live Collections'!$D:$D,Disbursements!B405,'Live Collections'!$G:$G,Disbursements!C405)</f>
        <v>306666.66666666669</v>
      </c>
      <c r="AL405" s="540">
        <f>SUMIFS('Live Collections'!$T:$T,'Live Collections'!$D:$D,Disbursements!B405,'Live Collections'!$G:$G,Disbursements!C405)</f>
        <v>813333.33333333326</v>
      </c>
      <c r="AM405" s="541">
        <f t="shared" si="192"/>
        <v>1120000</v>
      </c>
      <c r="AN405" s="542">
        <f t="shared" si="193"/>
        <v>133333.33333333331</v>
      </c>
      <c r="AO405" s="542">
        <f t="shared" si="194"/>
        <v>486666.66666666674</v>
      </c>
      <c r="AP405" s="543">
        <f t="shared" si="195"/>
        <v>620000</v>
      </c>
      <c r="AQ405" s="544">
        <f t="shared" ca="1" si="196"/>
        <v>620000</v>
      </c>
      <c r="AR405" s="545">
        <f t="shared" ca="1" si="197"/>
        <v>7.1264367816091951</v>
      </c>
      <c r="AS405" s="545">
        <f ca="1">IFERROR(CEILING($AR405*VLOOKUP($I405,Ref!$B$23:$E$29,4,0),1),0)</f>
        <v>50</v>
      </c>
      <c r="AT405" s="545" t="str">
        <f ca="1">IF(A405="","",IF(AP405&lt;=1,"Cleared",IF(AS405=0,"Clean",VLOOKUP($AS405,Ref!$G$23:$H$28,2))))</f>
        <v>2.(31-60) Days</v>
      </c>
      <c r="AU405" s="546" t="str">
        <f t="shared" si="198"/>
        <v>Ok</v>
      </c>
    </row>
    <row r="406" spans="1:47" ht="14.25" customHeight="1" x14ac:dyDescent="0.15">
      <c r="A406" s="575">
        <v>44575</v>
      </c>
      <c r="B406" s="523">
        <v>42</v>
      </c>
      <c r="C406" s="523">
        <v>405</v>
      </c>
      <c r="D406" s="523">
        <v>3</v>
      </c>
      <c r="E406" s="579" t="s">
        <v>1274</v>
      </c>
      <c r="F406" s="580">
        <v>250000</v>
      </c>
      <c r="G406" s="524">
        <v>4</v>
      </c>
      <c r="H406" s="555">
        <v>6.5000000000000002E-2</v>
      </c>
      <c r="I406" s="560" t="s">
        <v>861</v>
      </c>
      <c r="J406" s="523" t="s">
        <v>862</v>
      </c>
      <c r="K406" s="528" t="str">
        <f>IFERROR(VLOOKUP($B406,'Clients-Live'!$A:$C,3,0),"")</f>
        <v>ABAU   NOLA</v>
      </c>
      <c r="L406" s="528">
        <f>IF(E406="STL",Pricing!$D$38,IF(A406="",0,IF(A406&lt;Pricing!$C$25,Pricing!$D$25,VLOOKUP(Disbursements!$F406,Pricing!$B$29:$D$32,3))))</f>
        <v>15000</v>
      </c>
      <c r="M406" s="528">
        <f>IF(E406="STL",0,IF(F406&gt;0,Pricing!$D$21,0))</f>
        <v>5000</v>
      </c>
      <c r="N406" s="529">
        <f>IF(E406="STL",F406*Pricing!$D$40,IF(A406&lt;=Pricing!$C$4,0,IF(AND(A406&gt;Pricing!$C$4,Disbursements!A406&lt;=Pricing!$C$5),F406*Pricing!$E$5,IF(AND(A406&gt;Pricing!$C$5,Disbursements!A406&lt;=Pricing!$C$7),VLOOKUP(F406,Pricing!$D$7:$E$8,2)*Disbursements!F406,F406*Pricing!$E$9))))</f>
        <v>5000</v>
      </c>
      <c r="O406" s="528">
        <f>IF(E406="STL",0,IF($F406&gt;0,$F406*Pricing!$D$17,0))</f>
        <v>25000</v>
      </c>
      <c r="P406" s="530">
        <f t="shared" si="178"/>
        <v>65000</v>
      </c>
      <c r="Q406" s="531">
        <f>IF($A406="","",$G406/VLOOKUP($I406,Ref!$B$23:$D$29,2,0))</f>
        <v>16</v>
      </c>
      <c r="R406" s="530">
        <f t="shared" si="179"/>
        <v>315000</v>
      </c>
      <c r="S406" s="532">
        <f t="shared" si="173"/>
        <v>19687.5</v>
      </c>
      <c r="T406" s="531">
        <f t="shared" si="180"/>
        <v>20000</v>
      </c>
      <c r="U406" s="533">
        <f t="shared" si="181"/>
        <v>320000</v>
      </c>
      <c r="V406" s="531">
        <f t="shared" si="182"/>
        <v>15625</v>
      </c>
      <c r="W406" s="531">
        <f t="shared" si="183"/>
        <v>4375</v>
      </c>
      <c r="X406" s="534">
        <f t="shared" si="184"/>
        <v>70000</v>
      </c>
      <c r="Y406" s="535">
        <f>IF($A406="","",IF($I406="weekly",$A406+7,EDATE($A406,VLOOKUP($I406,Ref!$B$24:$C$29,2,0))))</f>
        <v>44582</v>
      </c>
      <c r="Z406" s="536" t="str">
        <f t="shared" si="185"/>
        <v>Frid</v>
      </c>
      <c r="AA406" s="531">
        <f t="shared" si="186"/>
        <v>7</v>
      </c>
      <c r="AB406" s="535">
        <f t="shared" si="174"/>
        <v>44695</v>
      </c>
      <c r="AC406" s="537">
        <f t="shared" si="175"/>
        <v>120</v>
      </c>
      <c r="AD406" s="538" t="str">
        <f t="shared" ca="1" si="176"/>
        <v>Expired</v>
      </c>
      <c r="AE406" s="537">
        <f t="shared" ca="1" si="177"/>
        <v>0</v>
      </c>
      <c r="AF406" s="539">
        <f t="shared" ca="1" si="187"/>
        <v>16</v>
      </c>
      <c r="AG406" s="531">
        <f t="shared" ca="1" si="188"/>
        <v>320000</v>
      </c>
      <c r="AH406" s="531">
        <f t="shared" ca="1" si="189"/>
        <v>70000</v>
      </c>
      <c r="AI406" s="531">
        <f t="shared" ca="1" si="190"/>
        <v>250000</v>
      </c>
      <c r="AJ406" s="531">
        <f t="shared" ca="1" si="191"/>
        <v>0</v>
      </c>
      <c r="AK406" s="540">
        <f>SUMIFS('Live Collections'!$S:$S,'Live Collections'!$D:$D,Disbursements!B406,'Live Collections'!$G:$G,Disbursements!C406)</f>
        <v>70000</v>
      </c>
      <c r="AL406" s="540">
        <f>SUMIFS('Live Collections'!$T:$T,'Live Collections'!$D:$D,Disbursements!B406,'Live Collections'!$G:$G,Disbursements!C406)</f>
        <v>250000</v>
      </c>
      <c r="AM406" s="541">
        <f t="shared" si="192"/>
        <v>320000</v>
      </c>
      <c r="AN406" s="542">
        <f t="shared" si="193"/>
        <v>0</v>
      </c>
      <c r="AO406" s="542">
        <f t="shared" si="194"/>
        <v>0</v>
      </c>
      <c r="AP406" s="543">
        <f t="shared" si="195"/>
        <v>0</v>
      </c>
      <c r="AQ406" s="544" t="str">
        <f t="shared" ca="1" si="196"/>
        <v/>
      </c>
      <c r="AR406" s="545">
        <f t="shared" ca="1" si="197"/>
        <v>0</v>
      </c>
      <c r="AS406" s="545">
        <f ca="1">IFERROR(CEILING($AR406*VLOOKUP($I406,Ref!$B$23:$E$29,4,0),1),0)</f>
        <v>0</v>
      </c>
      <c r="AT406" s="545" t="str">
        <f>IF(A406="","",IF(AP406&lt;=1,"Cleared",IF(AS406=0,"Clean",VLOOKUP($AS406,Ref!$G$23:$H$28,2))))</f>
        <v>Cleared</v>
      </c>
      <c r="AU406" s="546" t="str">
        <f t="shared" si="198"/>
        <v>Ok</v>
      </c>
    </row>
    <row r="407" spans="1:47" ht="14.25" customHeight="1" x14ac:dyDescent="0.15">
      <c r="A407" s="575">
        <v>44575</v>
      </c>
      <c r="B407" s="523">
        <v>281</v>
      </c>
      <c r="C407" s="523">
        <v>406</v>
      </c>
      <c r="D407" s="523">
        <v>1</v>
      </c>
      <c r="E407" s="579" t="s">
        <v>1274</v>
      </c>
      <c r="F407" s="580">
        <v>350000</v>
      </c>
      <c r="G407" s="524">
        <v>4</v>
      </c>
      <c r="H407" s="555">
        <v>6.5000000000000002E-2</v>
      </c>
      <c r="I407" s="560" t="s">
        <v>861</v>
      </c>
      <c r="J407" s="523" t="s">
        <v>862</v>
      </c>
      <c r="K407" s="528" t="str">
        <f>IFERROR(VLOOKUP($B407,'Clients-Live'!$A:$C,3,0),"")</f>
        <v>BAKO ZUBEDA</v>
      </c>
      <c r="L407" s="528">
        <f>IF(E407="STL",Pricing!$D$38,IF(A407="",0,IF(A407&lt;Pricing!$C$25,Pricing!$D$25,VLOOKUP(Disbursements!$F407,Pricing!$B$29:$D$32,3))))</f>
        <v>15000</v>
      </c>
      <c r="M407" s="528">
        <f>IF(E407="STL",0,IF(F407&gt;0,Pricing!$D$21,0))</f>
        <v>5000</v>
      </c>
      <c r="N407" s="529">
        <f>IF(E407="STL",F407*Pricing!$D$40,IF(A407&lt;=Pricing!$C$4,0,IF(AND(A407&gt;Pricing!$C$4,Disbursements!A407&lt;=Pricing!$C$5),F407*Pricing!$E$5,IF(AND(A407&gt;Pricing!$C$5,Disbursements!A407&lt;=Pricing!$C$7),VLOOKUP(F407,Pricing!$D$7:$E$8,2)*Disbursements!F407,F407*Pricing!$E$9))))</f>
        <v>7000</v>
      </c>
      <c r="O407" s="528">
        <f>IF(E407="STL",0,IF($F407&gt;0,$F407*Pricing!$D$17,0))</f>
        <v>35000</v>
      </c>
      <c r="P407" s="530">
        <f t="shared" si="178"/>
        <v>91000</v>
      </c>
      <c r="Q407" s="531">
        <f>IF($A407="","",$G407/VLOOKUP($I407,Ref!$B$23:$D$29,2,0))</f>
        <v>16</v>
      </c>
      <c r="R407" s="530">
        <f t="shared" si="179"/>
        <v>441000</v>
      </c>
      <c r="S407" s="532">
        <f t="shared" si="173"/>
        <v>27562.5</v>
      </c>
      <c r="T407" s="531">
        <f t="shared" si="180"/>
        <v>28000</v>
      </c>
      <c r="U407" s="533">
        <f t="shared" si="181"/>
        <v>448000</v>
      </c>
      <c r="V407" s="531">
        <f t="shared" si="182"/>
        <v>21875</v>
      </c>
      <c r="W407" s="531">
        <f t="shared" si="183"/>
        <v>6125</v>
      </c>
      <c r="X407" s="534">
        <f t="shared" si="184"/>
        <v>98000</v>
      </c>
      <c r="Y407" s="535">
        <f>IF($A407="","",IF($I407="weekly",$A407+7,EDATE($A407,VLOOKUP($I407,Ref!$B$24:$C$29,2,0))))</f>
        <v>44582</v>
      </c>
      <c r="Z407" s="536" t="str">
        <f t="shared" si="185"/>
        <v>Frid</v>
      </c>
      <c r="AA407" s="531">
        <f t="shared" si="186"/>
        <v>7</v>
      </c>
      <c r="AB407" s="535">
        <f t="shared" si="174"/>
        <v>44695</v>
      </c>
      <c r="AC407" s="537">
        <f t="shared" si="175"/>
        <v>120</v>
      </c>
      <c r="AD407" s="538" t="str">
        <f t="shared" ca="1" si="176"/>
        <v>Expired</v>
      </c>
      <c r="AE407" s="537">
        <f t="shared" ca="1" si="177"/>
        <v>0</v>
      </c>
      <c r="AF407" s="539">
        <f t="shared" ca="1" si="187"/>
        <v>16</v>
      </c>
      <c r="AG407" s="531">
        <f t="shared" ca="1" si="188"/>
        <v>448000</v>
      </c>
      <c r="AH407" s="531">
        <f t="shared" ca="1" si="189"/>
        <v>98000</v>
      </c>
      <c r="AI407" s="531">
        <f t="shared" ca="1" si="190"/>
        <v>350000</v>
      </c>
      <c r="AJ407" s="531">
        <f t="shared" ca="1" si="191"/>
        <v>0</v>
      </c>
      <c r="AK407" s="540">
        <f>SUMIFS('Live Collections'!$S:$S,'Live Collections'!$D:$D,Disbursements!B407,'Live Collections'!$G:$G,Disbursements!C407)</f>
        <v>98000</v>
      </c>
      <c r="AL407" s="540">
        <f>SUMIFS('Live Collections'!$T:$T,'Live Collections'!$D:$D,Disbursements!B407,'Live Collections'!$G:$G,Disbursements!C407)</f>
        <v>343600</v>
      </c>
      <c r="AM407" s="541">
        <f t="shared" si="192"/>
        <v>441600</v>
      </c>
      <c r="AN407" s="542">
        <f t="shared" si="193"/>
        <v>0</v>
      </c>
      <c r="AO407" s="542">
        <f t="shared" si="194"/>
        <v>6400</v>
      </c>
      <c r="AP407" s="543">
        <f t="shared" si="195"/>
        <v>6400</v>
      </c>
      <c r="AQ407" s="544">
        <f t="shared" ca="1" si="196"/>
        <v>6400</v>
      </c>
      <c r="AR407" s="545">
        <f t="shared" ca="1" si="197"/>
        <v>0.22857142857142856</v>
      </c>
      <c r="AS407" s="545">
        <f ca="1">IFERROR(CEILING($AR407*VLOOKUP($I407,Ref!$B$23:$E$29,4,0),1),0)</f>
        <v>2</v>
      </c>
      <c r="AT407" s="545" t="str">
        <f ca="1">IF(A407="","",IF(AP407&lt;=1,"Cleared",IF(AS407=0,"Clean",VLOOKUP($AS407,Ref!$G$23:$H$28,2))))</f>
        <v>1.(0-30) Days</v>
      </c>
      <c r="AU407" s="546" t="str">
        <f t="shared" si="198"/>
        <v>Ok</v>
      </c>
    </row>
    <row r="408" spans="1:47" ht="14.25" customHeight="1" x14ac:dyDescent="0.15">
      <c r="A408" s="575">
        <v>44575</v>
      </c>
      <c r="B408" s="523">
        <v>314</v>
      </c>
      <c r="C408" s="523">
        <v>404</v>
      </c>
      <c r="D408" s="523">
        <v>1</v>
      </c>
      <c r="E408" s="579" t="s">
        <v>1277</v>
      </c>
      <c r="F408" s="580">
        <v>800000</v>
      </c>
      <c r="G408" s="524">
        <v>1</v>
      </c>
      <c r="H408" s="555">
        <v>7.4999999999999997E-2</v>
      </c>
      <c r="I408" s="560" t="s">
        <v>859</v>
      </c>
      <c r="J408" s="523" t="s">
        <v>864</v>
      </c>
      <c r="K408" s="528" t="str">
        <f>IFERROR(VLOOKUP($B408,'Clients-Live'!$A:$C,3,0),"")</f>
        <v>SHAMIM ALIGAH</v>
      </c>
      <c r="L408" s="528">
        <f>IF(E408="STL",Pricing!$D$38,IF(A408="",0,IF(A408&lt;Pricing!$C$25,Pricing!$D$25,VLOOKUP(Disbursements!$F408,Pricing!$B$29:$D$32,3))))</f>
        <v>20000</v>
      </c>
      <c r="M408" s="528">
        <f>IF(E408="STL",0,IF(F408&gt;0,Pricing!$D$21,0))</f>
        <v>5000</v>
      </c>
      <c r="N408" s="529">
        <f>IF(E408="STL",F408*Pricing!$D$40,IF(A408&lt;=Pricing!$C$4,0,IF(AND(A408&gt;Pricing!$C$4,Disbursements!A408&lt;=Pricing!$C$5),F408*Pricing!$E$5,IF(AND(A408&gt;Pricing!$C$5,Disbursements!A408&lt;=Pricing!$C$7),VLOOKUP(F408,Pricing!$D$7:$E$8,2)*Disbursements!F408,F408*Pricing!$E$9))))</f>
        <v>16000</v>
      </c>
      <c r="O408" s="528">
        <f>IF(E408="STL",0,IF($F408&gt;0,$F408*Pricing!$D$17,0))</f>
        <v>80000</v>
      </c>
      <c r="P408" s="530">
        <f t="shared" si="178"/>
        <v>60000</v>
      </c>
      <c r="Q408" s="531">
        <f>IF($A408="","",$G408/VLOOKUP($I408,Ref!$B$23:$D$29,2,0))</f>
        <v>1</v>
      </c>
      <c r="R408" s="530">
        <f t="shared" si="179"/>
        <v>860000</v>
      </c>
      <c r="S408" s="532">
        <f t="shared" si="173"/>
        <v>860000</v>
      </c>
      <c r="T408" s="531">
        <f t="shared" si="180"/>
        <v>860000</v>
      </c>
      <c r="U408" s="533">
        <f t="shared" si="181"/>
        <v>860000</v>
      </c>
      <c r="V408" s="531">
        <f t="shared" si="182"/>
        <v>800000</v>
      </c>
      <c r="W408" s="531">
        <f t="shared" si="183"/>
        <v>60000</v>
      </c>
      <c r="X408" s="534">
        <f t="shared" si="184"/>
        <v>60000</v>
      </c>
      <c r="Y408" s="535">
        <f>IF($A408="","",IF($I408="weekly",$A408+7,EDATE($A408,VLOOKUP($I408,Ref!$B$24:$C$29,2,0))))</f>
        <v>44606</v>
      </c>
      <c r="Z408" s="536" t="str">
        <f t="shared" si="185"/>
        <v>Mon</v>
      </c>
      <c r="AA408" s="531">
        <f t="shared" si="186"/>
        <v>31</v>
      </c>
      <c r="AB408" s="535">
        <f t="shared" si="174"/>
        <v>44606</v>
      </c>
      <c r="AC408" s="537">
        <f t="shared" si="175"/>
        <v>31</v>
      </c>
      <c r="AD408" s="538" t="str">
        <f t="shared" ca="1" si="176"/>
        <v>Expired</v>
      </c>
      <c r="AE408" s="537">
        <f t="shared" ca="1" si="177"/>
        <v>0</v>
      </c>
      <c r="AF408" s="539">
        <f t="shared" ca="1" si="187"/>
        <v>1</v>
      </c>
      <c r="AG408" s="531">
        <f t="shared" ca="1" si="188"/>
        <v>860000</v>
      </c>
      <c r="AH408" s="531">
        <f t="shared" ca="1" si="189"/>
        <v>60000</v>
      </c>
      <c r="AI408" s="531">
        <f t="shared" ca="1" si="190"/>
        <v>800000</v>
      </c>
      <c r="AJ408" s="531">
        <f t="shared" ca="1" si="191"/>
        <v>0</v>
      </c>
      <c r="AK408" s="540">
        <f>SUMIFS('Live Collections'!$S:$S,'Live Collections'!$D:$D,Disbursements!B408,'Live Collections'!$G:$G,Disbursements!C408)</f>
        <v>60000</v>
      </c>
      <c r="AL408" s="540">
        <f>SUMIFS('Live Collections'!$T:$T,'Live Collections'!$D:$D,Disbursements!B408,'Live Collections'!$G:$G,Disbursements!C408)</f>
        <v>800000</v>
      </c>
      <c r="AM408" s="541">
        <f t="shared" si="192"/>
        <v>860000</v>
      </c>
      <c r="AN408" s="542">
        <f t="shared" si="193"/>
        <v>0</v>
      </c>
      <c r="AO408" s="542">
        <f t="shared" si="194"/>
        <v>0</v>
      </c>
      <c r="AP408" s="543">
        <f t="shared" si="195"/>
        <v>0</v>
      </c>
      <c r="AQ408" s="544" t="str">
        <f t="shared" ca="1" si="196"/>
        <v/>
      </c>
      <c r="AR408" s="545">
        <f t="shared" ca="1" si="197"/>
        <v>0</v>
      </c>
      <c r="AS408" s="545">
        <f ca="1">IFERROR(CEILING($AR408*VLOOKUP($I408,Ref!$B$23:$E$29,4,0),1),0)</f>
        <v>0</v>
      </c>
      <c r="AT408" s="545" t="str">
        <f>IF(A408="","",IF(AP408&lt;=1,"Cleared",IF(AS408=0,"Clean",VLOOKUP($AS408,Ref!$G$23:$H$28,2))))</f>
        <v>Cleared</v>
      </c>
      <c r="AU408" s="546" t="str">
        <f t="shared" si="198"/>
        <v>Ok</v>
      </c>
    </row>
    <row r="409" spans="1:47" ht="14.25" hidden="1" customHeight="1" x14ac:dyDescent="0.15">
      <c r="A409" s="575">
        <v>44578</v>
      </c>
      <c r="B409" s="523">
        <v>69</v>
      </c>
      <c r="C409" s="523">
        <v>411</v>
      </c>
      <c r="D409" s="523">
        <v>3</v>
      </c>
      <c r="E409" s="579" t="s">
        <v>1274</v>
      </c>
      <c r="F409" s="580">
        <v>600000</v>
      </c>
      <c r="G409" s="524">
        <v>6</v>
      </c>
      <c r="H409" s="555">
        <v>6.5000000000000002E-2</v>
      </c>
      <c r="I409" s="560" t="s">
        <v>861</v>
      </c>
      <c r="J409" s="523" t="s">
        <v>862</v>
      </c>
      <c r="K409" s="528" t="str">
        <f>IFERROR(VLOOKUP($B409,'Clients-Live'!$A:$C,3,0),"")</f>
        <v>SADIA JOYCE</v>
      </c>
      <c r="L409" s="528">
        <f>IF(E409="STL",Pricing!$D$38,IF(A409="",0,IF(A409&lt;Pricing!$C$25,Pricing!$D$25,VLOOKUP(Disbursements!$F409,Pricing!$B$29:$D$32,3))))</f>
        <v>20000</v>
      </c>
      <c r="M409" s="528">
        <f>IF(E409="STL",0,IF(F409&gt;0,Pricing!$D$21,0))</f>
        <v>5000</v>
      </c>
      <c r="N409" s="529">
        <f>IF(E409="STL",F409*Pricing!$D$40,IF(A409&lt;=Pricing!$C$4,0,IF(AND(A409&gt;Pricing!$C$4,Disbursements!A409&lt;=Pricing!$C$5),F409*Pricing!$E$5,IF(AND(A409&gt;Pricing!$C$5,Disbursements!A409&lt;=Pricing!$C$7),VLOOKUP(F409,Pricing!$D$7:$E$8,2)*Disbursements!F409,F409*Pricing!$E$9))))</f>
        <v>12000</v>
      </c>
      <c r="O409" s="528">
        <f>IF(E409="STL",0,IF($F409&gt;0,$F409*Pricing!$D$17,0))</f>
        <v>60000</v>
      </c>
      <c r="P409" s="530">
        <f t="shared" si="178"/>
        <v>234000</v>
      </c>
      <c r="Q409" s="531">
        <f>IF($A409="","",$G409/VLOOKUP($I409,Ref!$B$23:$D$29,2,0))</f>
        <v>24</v>
      </c>
      <c r="R409" s="530">
        <f t="shared" si="179"/>
        <v>834000</v>
      </c>
      <c r="S409" s="532">
        <f t="shared" si="173"/>
        <v>34750</v>
      </c>
      <c r="T409" s="531">
        <f t="shared" si="180"/>
        <v>35000</v>
      </c>
      <c r="U409" s="533">
        <f t="shared" si="181"/>
        <v>840000</v>
      </c>
      <c r="V409" s="531">
        <f t="shared" si="182"/>
        <v>25000</v>
      </c>
      <c r="W409" s="531">
        <f t="shared" si="183"/>
        <v>10000</v>
      </c>
      <c r="X409" s="534">
        <f t="shared" si="184"/>
        <v>240000</v>
      </c>
      <c r="Y409" s="535">
        <f>IF($A409="","",IF($I409="weekly",$A409+7,EDATE($A409,VLOOKUP($I409,Ref!$B$24:$C$29,2,0))))</f>
        <v>44585</v>
      </c>
      <c r="Z409" s="536" t="str">
        <f t="shared" si="185"/>
        <v>Mon</v>
      </c>
      <c r="AA409" s="531">
        <f t="shared" si="186"/>
        <v>7</v>
      </c>
      <c r="AB409" s="535">
        <f t="shared" si="174"/>
        <v>44759</v>
      </c>
      <c r="AC409" s="537">
        <f t="shared" si="175"/>
        <v>181</v>
      </c>
      <c r="AD409" s="538" t="str">
        <f t="shared" ca="1" si="176"/>
        <v>Expired</v>
      </c>
      <c r="AE409" s="537">
        <f t="shared" ca="1" si="177"/>
        <v>0</v>
      </c>
      <c r="AF409" s="539">
        <f t="shared" ca="1" si="187"/>
        <v>24</v>
      </c>
      <c r="AG409" s="531">
        <f t="shared" ca="1" si="188"/>
        <v>840000</v>
      </c>
      <c r="AH409" s="531">
        <f t="shared" ca="1" si="189"/>
        <v>240000</v>
      </c>
      <c r="AI409" s="531">
        <f t="shared" ca="1" si="190"/>
        <v>600000</v>
      </c>
      <c r="AJ409" s="531">
        <f t="shared" ca="1" si="191"/>
        <v>0</v>
      </c>
      <c r="AK409" s="540">
        <f>SUMIFS('Live Collections'!$S:$S,'Live Collections'!$D:$D,Disbursements!B409,'Live Collections'!$G:$G,Disbursements!C409)</f>
        <v>35000</v>
      </c>
      <c r="AL409" s="540">
        <f>SUMIFS('Live Collections'!$T:$T,'Live Collections'!$D:$D,Disbursements!B409,'Live Collections'!$G:$G,Disbursements!C409)</f>
        <v>265000</v>
      </c>
      <c r="AM409" s="541">
        <f t="shared" si="192"/>
        <v>300000</v>
      </c>
      <c r="AN409" s="542">
        <f t="shared" si="193"/>
        <v>205000</v>
      </c>
      <c r="AO409" s="542">
        <f t="shared" si="194"/>
        <v>335000</v>
      </c>
      <c r="AP409" s="543">
        <f t="shared" si="195"/>
        <v>540000</v>
      </c>
      <c r="AQ409" s="544">
        <f t="shared" ca="1" si="196"/>
        <v>540000</v>
      </c>
      <c r="AR409" s="545">
        <f t="shared" ca="1" si="197"/>
        <v>15.428571428571429</v>
      </c>
      <c r="AS409" s="545">
        <f ca="1">IFERROR(CEILING($AR409*VLOOKUP($I409,Ref!$B$23:$E$29,4,0),1),0)</f>
        <v>108</v>
      </c>
      <c r="AT409" s="545" t="str">
        <f ca="1">IF(A409="","",IF(AP409&lt;=1,"Cleared",IF(AS409=0,"Clean",VLOOKUP($AS409,Ref!$G$23:$H$28,2))))</f>
        <v>4.(91-365) Days</v>
      </c>
      <c r="AU409" s="546" t="str">
        <f t="shared" si="198"/>
        <v>Ok</v>
      </c>
    </row>
    <row r="410" spans="1:47" ht="14.25" customHeight="1" x14ac:dyDescent="0.15">
      <c r="A410" s="575">
        <v>44578</v>
      </c>
      <c r="B410" s="523">
        <v>129</v>
      </c>
      <c r="C410" s="523">
        <v>409</v>
      </c>
      <c r="D410" s="523">
        <v>3</v>
      </c>
      <c r="E410" s="579" t="s">
        <v>1274</v>
      </c>
      <c r="F410" s="580">
        <v>3000000</v>
      </c>
      <c r="G410" s="524">
        <v>3</v>
      </c>
      <c r="H410" s="555">
        <v>6.5000000000000002E-2</v>
      </c>
      <c r="I410" s="560" t="s">
        <v>859</v>
      </c>
      <c r="J410" s="523" t="s">
        <v>863</v>
      </c>
      <c r="K410" s="528" t="str">
        <f>IFERROR(VLOOKUP($B410,'Clients-Live'!$A:$C,3,0),"")</f>
        <v>BAKO ASINA</v>
      </c>
      <c r="L410" s="528">
        <f>IF(E410="STL",Pricing!$D$38,IF(A410="",0,IF(A410&lt;Pricing!$C$25,Pricing!$D$25,VLOOKUP(Disbursements!$F410,Pricing!$B$29:$D$32,3))))</f>
        <v>30000</v>
      </c>
      <c r="M410" s="528">
        <f>IF(E410="STL",0,IF(F410&gt;0,Pricing!$D$21,0))</f>
        <v>5000</v>
      </c>
      <c r="N410" s="529">
        <f>IF(E410="STL",F410*Pricing!$D$40,IF(A410&lt;=Pricing!$C$4,0,IF(AND(A410&gt;Pricing!$C$4,Disbursements!A410&lt;=Pricing!$C$5),F410*Pricing!$E$5,IF(AND(A410&gt;Pricing!$C$5,Disbursements!A410&lt;=Pricing!$C$7),VLOOKUP(F410,Pricing!$D$7:$E$8,2)*Disbursements!F410,F410*Pricing!$E$9))))</f>
        <v>60000</v>
      </c>
      <c r="O410" s="528">
        <f>IF(E410="STL",0,IF($F410&gt;0,$F410*Pricing!$D$17,0))</f>
        <v>300000</v>
      </c>
      <c r="P410" s="530">
        <f t="shared" si="178"/>
        <v>585000</v>
      </c>
      <c r="Q410" s="531">
        <f>IF($A410="","",$G410/VLOOKUP($I410,Ref!$B$23:$D$29,2,0))</f>
        <v>3</v>
      </c>
      <c r="R410" s="530">
        <f t="shared" si="179"/>
        <v>3585000</v>
      </c>
      <c r="S410" s="532">
        <f t="shared" si="173"/>
        <v>1195000</v>
      </c>
      <c r="T410" s="531">
        <f t="shared" si="180"/>
        <v>1195000</v>
      </c>
      <c r="U410" s="533">
        <f t="shared" si="181"/>
        <v>3585000</v>
      </c>
      <c r="V410" s="531">
        <f t="shared" si="182"/>
        <v>1000000</v>
      </c>
      <c r="W410" s="531">
        <f t="shared" si="183"/>
        <v>195000</v>
      </c>
      <c r="X410" s="534">
        <f t="shared" si="184"/>
        <v>585000</v>
      </c>
      <c r="Y410" s="535">
        <f>IF($A410="","",IF($I410="weekly",$A410+7,EDATE($A410,VLOOKUP($I410,Ref!$B$24:$C$29,2,0))))</f>
        <v>44609</v>
      </c>
      <c r="Z410" s="536" t="str">
        <f t="shared" si="185"/>
        <v>Thu</v>
      </c>
      <c r="AA410" s="531">
        <f t="shared" si="186"/>
        <v>31</v>
      </c>
      <c r="AB410" s="535">
        <f t="shared" si="174"/>
        <v>44668</v>
      </c>
      <c r="AC410" s="537">
        <f t="shared" si="175"/>
        <v>90</v>
      </c>
      <c r="AD410" s="538" t="str">
        <f t="shared" ca="1" si="176"/>
        <v>Expired</v>
      </c>
      <c r="AE410" s="537">
        <f t="shared" ca="1" si="177"/>
        <v>0</v>
      </c>
      <c r="AF410" s="539">
        <f t="shared" ca="1" si="187"/>
        <v>3</v>
      </c>
      <c r="AG410" s="531">
        <f t="shared" ca="1" si="188"/>
        <v>3585000</v>
      </c>
      <c r="AH410" s="531">
        <f t="shared" ca="1" si="189"/>
        <v>585000</v>
      </c>
      <c r="AI410" s="531">
        <f t="shared" ca="1" si="190"/>
        <v>3000000</v>
      </c>
      <c r="AJ410" s="531">
        <f t="shared" ca="1" si="191"/>
        <v>0</v>
      </c>
      <c r="AK410" s="540">
        <f>SUMIFS('Live Collections'!$S:$S,'Live Collections'!$D:$D,Disbursements!B410,'Live Collections'!$G:$G,Disbursements!C410)</f>
        <v>585000</v>
      </c>
      <c r="AL410" s="540">
        <f>SUMIFS('Live Collections'!$T:$T,'Live Collections'!$D:$D,Disbursements!B410,'Live Collections'!$G:$G,Disbursements!C410)</f>
        <v>3000000</v>
      </c>
      <c r="AM410" s="541">
        <f t="shared" si="192"/>
        <v>3585000</v>
      </c>
      <c r="AN410" s="542">
        <f t="shared" si="193"/>
        <v>0</v>
      </c>
      <c r="AO410" s="542">
        <f t="shared" si="194"/>
        <v>0</v>
      </c>
      <c r="AP410" s="543">
        <f t="shared" si="195"/>
        <v>0</v>
      </c>
      <c r="AQ410" s="544" t="str">
        <f t="shared" ca="1" si="196"/>
        <v/>
      </c>
      <c r="AR410" s="545">
        <f t="shared" ca="1" si="197"/>
        <v>0</v>
      </c>
      <c r="AS410" s="545">
        <f ca="1">IFERROR(CEILING($AR410*VLOOKUP($I410,Ref!$B$23:$E$29,4,0),1),0)</f>
        <v>0</v>
      </c>
      <c r="AT410" s="545" t="str">
        <f>IF(A410="","",IF(AP410&lt;=1,"Cleared",IF(AS410=0,"Clean",VLOOKUP($AS410,Ref!$G$23:$H$28,2))))</f>
        <v>Cleared</v>
      </c>
      <c r="AU410" s="546" t="str">
        <f t="shared" si="198"/>
        <v>Ok</v>
      </c>
    </row>
    <row r="411" spans="1:47" ht="14.25" customHeight="1" x14ac:dyDescent="0.15">
      <c r="A411" s="575">
        <v>44578</v>
      </c>
      <c r="B411" s="523">
        <v>137</v>
      </c>
      <c r="C411" s="523">
        <v>408</v>
      </c>
      <c r="D411" s="523">
        <v>3</v>
      </c>
      <c r="E411" s="579" t="s">
        <v>1274</v>
      </c>
      <c r="F411" s="580">
        <v>1600000</v>
      </c>
      <c r="G411" s="524">
        <v>5</v>
      </c>
      <c r="H411" s="555">
        <v>6.5000000000000002E-2</v>
      </c>
      <c r="I411" s="560" t="s">
        <v>861</v>
      </c>
      <c r="J411" s="523" t="s">
        <v>862</v>
      </c>
      <c r="K411" s="528" t="str">
        <f>IFERROR(VLOOKUP($B411,'Clients-Live'!$A:$C,3,0),"")</f>
        <v>YAKANI CHARLES</v>
      </c>
      <c r="L411" s="528">
        <f>IF(E411="STL",Pricing!$D$38,IF(A411="",0,IF(A411&lt;Pricing!$C$25,Pricing!$D$25,VLOOKUP(Disbursements!$F411,Pricing!$B$29:$D$32,3))))</f>
        <v>25000</v>
      </c>
      <c r="M411" s="528">
        <f>IF(E411="STL",0,IF(F411&gt;0,Pricing!$D$21,0))</f>
        <v>5000</v>
      </c>
      <c r="N411" s="529">
        <f>IF(E411="STL",F411*Pricing!$D$40,IF(A411&lt;=Pricing!$C$4,0,IF(AND(A411&gt;Pricing!$C$4,Disbursements!A411&lt;=Pricing!$C$5),F411*Pricing!$E$5,IF(AND(A411&gt;Pricing!$C$5,Disbursements!A411&lt;=Pricing!$C$7),VLOOKUP(F411,Pricing!$D$7:$E$8,2)*Disbursements!F411,F411*Pricing!$E$9))))</f>
        <v>32000</v>
      </c>
      <c r="O411" s="528">
        <f>IF(E411="STL",0,IF($F411&gt;0,$F411*Pricing!$D$17,0))</f>
        <v>160000</v>
      </c>
      <c r="P411" s="530">
        <f t="shared" si="178"/>
        <v>520000</v>
      </c>
      <c r="Q411" s="531">
        <f>IF($A411="","",$G411/VLOOKUP($I411,Ref!$B$23:$D$29,2,0))</f>
        <v>20</v>
      </c>
      <c r="R411" s="530">
        <f t="shared" si="179"/>
        <v>2120000</v>
      </c>
      <c r="S411" s="532">
        <f t="shared" si="173"/>
        <v>106000</v>
      </c>
      <c r="T411" s="531">
        <f t="shared" si="180"/>
        <v>106000</v>
      </c>
      <c r="U411" s="533">
        <f t="shared" si="181"/>
        <v>2120000</v>
      </c>
      <c r="V411" s="531">
        <f t="shared" si="182"/>
        <v>80000</v>
      </c>
      <c r="W411" s="531">
        <f t="shared" si="183"/>
        <v>26000</v>
      </c>
      <c r="X411" s="534">
        <f t="shared" si="184"/>
        <v>520000</v>
      </c>
      <c r="Y411" s="535">
        <f>IF($A411="","",IF($I411="weekly",$A411+7,EDATE($A411,VLOOKUP($I411,Ref!$B$24:$C$29,2,0))))</f>
        <v>44585</v>
      </c>
      <c r="Z411" s="536" t="str">
        <f t="shared" si="185"/>
        <v>Mon</v>
      </c>
      <c r="AA411" s="531">
        <f t="shared" si="186"/>
        <v>7</v>
      </c>
      <c r="AB411" s="535">
        <f t="shared" si="174"/>
        <v>44729</v>
      </c>
      <c r="AC411" s="537">
        <f t="shared" si="175"/>
        <v>151</v>
      </c>
      <c r="AD411" s="538" t="str">
        <f t="shared" ca="1" si="176"/>
        <v>Expired</v>
      </c>
      <c r="AE411" s="537">
        <f t="shared" ca="1" si="177"/>
        <v>0</v>
      </c>
      <c r="AF411" s="539">
        <f t="shared" ca="1" si="187"/>
        <v>20</v>
      </c>
      <c r="AG411" s="531">
        <f t="shared" ca="1" si="188"/>
        <v>2120000</v>
      </c>
      <c r="AH411" s="531">
        <f t="shared" ca="1" si="189"/>
        <v>520000</v>
      </c>
      <c r="AI411" s="531">
        <f t="shared" ca="1" si="190"/>
        <v>1600000</v>
      </c>
      <c r="AJ411" s="531">
        <f t="shared" ca="1" si="191"/>
        <v>0</v>
      </c>
      <c r="AK411" s="540">
        <f>SUMIFS('Live Collections'!$S:$S,'Live Collections'!$D:$D,Disbursements!B411,'Live Collections'!$G:$G,Disbursements!C411)</f>
        <v>98666.666666666657</v>
      </c>
      <c r="AL411" s="540">
        <f>SUMIFS('Live Collections'!$T:$T,'Live Collections'!$D:$D,Disbursements!B411,'Live Collections'!$G:$G,Disbursements!C411)</f>
        <v>1325333.3333333335</v>
      </c>
      <c r="AM411" s="541">
        <f t="shared" si="192"/>
        <v>1424000.0000000002</v>
      </c>
      <c r="AN411" s="542">
        <f t="shared" si="193"/>
        <v>421333.33333333337</v>
      </c>
      <c r="AO411" s="542">
        <f t="shared" si="194"/>
        <v>274666.66666666651</v>
      </c>
      <c r="AP411" s="543">
        <f t="shared" si="195"/>
        <v>695999.99999999988</v>
      </c>
      <c r="AQ411" s="544">
        <f t="shared" ca="1" si="196"/>
        <v>695999.99999999988</v>
      </c>
      <c r="AR411" s="545">
        <f t="shared" ca="1" si="197"/>
        <v>6.5660377358490551</v>
      </c>
      <c r="AS411" s="545">
        <f ca="1">IFERROR(CEILING($AR411*VLOOKUP($I411,Ref!$B$23:$E$29,4,0),1),0)</f>
        <v>46</v>
      </c>
      <c r="AT411" s="545" t="str">
        <f ca="1">IF(A411="","",IF(AP411&lt;=1,"Cleared",IF(AS411=0,"Clean",VLOOKUP($AS411,Ref!$G$23:$H$28,2))))</f>
        <v>2.(31-60) Days</v>
      </c>
      <c r="AU411" s="546" t="str">
        <f t="shared" si="198"/>
        <v>Ok</v>
      </c>
    </row>
    <row r="412" spans="1:47" ht="14.25" customHeight="1" x14ac:dyDescent="0.15">
      <c r="A412" s="575">
        <v>44578</v>
      </c>
      <c r="B412" s="523">
        <v>221</v>
      </c>
      <c r="C412" s="523">
        <v>407</v>
      </c>
      <c r="D412" s="523">
        <v>2</v>
      </c>
      <c r="E412" s="579" t="s">
        <v>1274</v>
      </c>
      <c r="F412" s="580">
        <v>1000000</v>
      </c>
      <c r="G412" s="524">
        <v>4</v>
      </c>
      <c r="H412" s="555">
        <v>6.5000000000000002E-2</v>
      </c>
      <c r="I412" s="560" t="s">
        <v>861</v>
      </c>
      <c r="J412" s="523" t="s">
        <v>862</v>
      </c>
      <c r="K412" s="528" t="str">
        <f>IFERROR(VLOOKUP($B412,'Clients-Live'!$A:$C,3,0),"")</f>
        <v>NAMUDDU MARY</v>
      </c>
      <c r="L412" s="528">
        <f>IF(E412="STL",Pricing!$D$38,IF(A412="",0,IF(A412&lt;Pricing!$C$25,Pricing!$D$25,VLOOKUP(Disbursements!$F412,Pricing!$B$29:$D$32,3))))</f>
        <v>20000</v>
      </c>
      <c r="M412" s="528">
        <f>IF(E412="STL",0,IF(F412&gt;0,Pricing!$D$21,0))</f>
        <v>5000</v>
      </c>
      <c r="N412" s="529">
        <f>IF(E412="STL",F412*Pricing!$D$40,IF(A412&lt;=Pricing!$C$4,0,IF(AND(A412&gt;Pricing!$C$4,Disbursements!A412&lt;=Pricing!$C$5),F412*Pricing!$E$5,IF(AND(A412&gt;Pricing!$C$5,Disbursements!A412&lt;=Pricing!$C$7),VLOOKUP(F412,Pricing!$D$7:$E$8,2)*Disbursements!F412,F412*Pricing!$E$9))))</f>
        <v>20000</v>
      </c>
      <c r="O412" s="528">
        <f>IF(E412="STL",0,IF($F412&gt;0,$F412*Pricing!$D$17,0))</f>
        <v>100000</v>
      </c>
      <c r="P412" s="530">
        <f t="shared" si="178"/>
        <v>260000</v>
      </c>
      <c r="Q412" s="531">
        <f>IF($A412="","",$G412/VLOOKUP($I412,Ref!$B$23:$D$29,2,0))</f>
        <v>16</v>
      </c>
      <c r="R412" s="530">
        <f t="shared" si="179"/>
        <v>1260000</v>
      </c>
      <c r="S412" s="532">
        <f t="shared" si="173"/>
        <v>78750</v>
      </c>
      <c r="T412" s="531">
        <f t="shared" si="180"/>
        <v>79000</v>
      </c>
      <c r="U412" s="533">
        <f t="shared" si="181"/>
        <v>1264000</v>
      </c>
      <c r="V412" s="531">
        <f t="shared" si="182"/>
        <v>62500</v>
      </c>
      <c r="W412" s="531">
        <f t="shared" si="183"/>
        <v>16500</v>
      </c>
      <c r="X412" s="534">
        <f t="shared" si="184"/>
        <v>264000</v>
      </c>
      <c r="Y412" s="535">
        <f>IF($A412="","",IF($I412="weekly",$A412+7,EDATE($A412,VLOOKUP($I412,Ref!$B$24:$C$29,2,0))))</f>
        <v>44585</v>
      </c>
      <c r="Z412" s="536" t="str">
        <f t="shared" si="185"/>
        <v>Mon</v>
      </c>
      <c r="AA412" s="531">
        <f t="shared" si="186"/>
        <v>7</v>
      </c>
      <c r="AB412" s="535">
        <f t="shared" si="174"/>
        <v>44698</v>
      </c>
      <c r="AC412" s="537">
        <f t="shared" si="175"/>
        <v>120</v>
      </c>
      <c r="AD412" s="538" t="str">
        <f t="shared" ca="1" si="176"/>
        <v>Expired</v>
      </c>
      <c r="AE412" s="537">
        <f t="shared" ca="1" si="177"/>
        <v>0</v>
      </c>
      <c r="AF412" s="539">
        <f t="shared" ca="1" si="187"/>
        <v>16</v>
      </c>
      <c r="AG412" s="531">
        <f t="shared" ca="1" si="188"/>
        <v>1264000</v>
      </c>
      <c r="AH412" s="531">
        <f t="shared" ca="1" si="189"/>
        <v>264000</v>
      </c>
      <c r="AI412" s="531">
        <f t="shared" ca="1" si="190"/>
        <v>1000000</v>
      </c>
      <c r="AJ412" s="531">
        <f t="shared" ca="1" si="191"/>
        <v>0</v>
      </c>
      <c r="AK412" s="540">
        <f>SUMIFS('Live Collections'!$S:$S,'Live Collections'!$D:$D,Disbursements!B412,'Live Collections'!$G:$G,Disbursements!C412)</f>
        <v>264000</v>
      </c>
      <c r="AL412" s="540">
        <f>SUMIFS('Live Collections'!$T:$T,'Live Collections'!$D:$D,Disbursements!B412,'Live Collections'!$G:$G,Disbursements!C412)</f>
        <v>1000000</v>
      </c>
      <c r="AM412" s="541">
        <f t="shared" si="192"/>
        <v>1264000</v>
      </c>
      <c r="AN412" s="542">
        <f t="shared" si="193"/>
        <v>0</v>
      </c>
      <c r="AO412" s="542">
        <f t="shared" si="194"/>
        <v>0</v>
      </c>
      <c r="AP412" s="543">
        <f t="shared" si="195"/>
        <v>0</v>
      </c>
      <c r="AQ412" s="544" t="str">
        <f t="shared" ca="1" si="196"/>
        <v/>
      </c>
      <c r="AR412" s="545">
        <f t="shared" ca="1" si="197"/>
        <v>0</v>
      </c>
      <c r="AS412" s="545">
        <f ca="1">IFERROR(CEILING($AR412*VLOOKUP($I412,Ref!$B$23:$E$29,4,0),1),0)</f>
        <v>0</v>
      </c>
      <c r="AT412" s="545" t="str">
        <f>IF(A412="","",IF(AP412&lt;=1,"Cleared",IF(AS412=0,"Clean",VLOOKUP($AS412,Ref!$G$23:$H$28,2))))</f>
        <v>Cleared</v>
      </c>
      <c r="AU412" s="546" t="str">
        <f t="shared" si="198"/>
        <v>Ok</v>
      </c>
    </row>
    <row r="413" spans="1:47" ht="14.25" hidden="1" customHeight="1" x14ac:dyDescent="0.15">
      <c r="A413" s="575">
        <v>44578</v>
      </c>
      <c r="B413" s="523">
        <v>313</v>
      </c>
      <c r="C413" s="523">
        <v>410</v>
      </c>
      <c r="D413" s="523">
        <v>1</v>
      </c>
      <c r="E413" s="579" t="s">
        <v>1276</v>
      </c>
      <c r="F413" s="580">
        <v>1400000</v>
      </c>
      <c r="G413" s="524">
        <v>6</v>
      </c>
      <c r="H413" s="555">
        <v>7.4999999999999997E-2</v>
      </c>
      <c r="I413" s="560" t="s">
        <v>859</v>
      </c>
      <c r="J413" s="523" t="s">
        <v>864</v>
      </c>
      <c r="K413" s="528" t="str">
        <f>IFERROR(VLOOKUP($B413,'Clients-Live'!$A:$C,3,0),"")</f>
        <v>TWAHA GBAGBE</v>
      </c>
      <c r="L413" s="528">
        <f>IF(E413="STL",Pricing!$D$38,IF(A413="",0,IF(A413&lt;Pricing!$C$25,Pricing!$D$25,VLOOKUP(Disbursements!$F413,Pricing!$B$29:$D$32,3))))</f>
        <v>25000</v>
      </c>
      <c r="M413" s="528">
        <f>IF(E413="STL",0,IF(F413&gt;0,Pricing!$D$21,0))</f>
        <v>5000</v>
      </c>
      <c r="N413" s="529">
        <f>IF(E413="STL",F413*Pricing!$D$40,IF(A413&lt;=Pricing!$C$4,0,IF(AND(A413&gt;Pricing!$C$4,Disbursements!A413&lt;=Pricing!$C$5),F413*Pricing!$E$5,IF(AND(A413&gt;Pricing!$C$5,Disbursements!A413&lt;=Pricing!$C$7),VLOOKUP(F413,Pricing!$D$7:$E$8,2)*Disbursements!F413,F413*Pricing!$E$9))))</f>
        <v>28000</v>
      </c>
      <c r="O413" s="528">
        <f>IF(E413="STL",0,IF($F413&gt;0,$F413*Pricing!$D$17,0))</f>
        <v>140000</v>
      </c>
      <c r="P413" s="530">
        <f t="shared" si="178"/>
        <v>630000</v>
      </c>
      <c r="Q413" s="531">
        <f>IF($A413="","",$G413/VLOOKUP($I413,Ref!$B$23:$D$29,2,0))</f>
        <v>6</v>
      </c>
      <c r="R413" s="530">
        <f t="shared" si="179"/>
        <v>2030000</v>
      </c>
      <c r="S413" s="532">
        <f t="shared" si="173"/>
        <v>338333.33333333331</v>
      </c>
      <c r="T413" s="531">
        <f t="shared" si="180"/>
        <v>339000</v>
      </c>
      <c r="U413" s="533">
        <f t="shared" si="181"/>
        <v>2034000</v>
      </c>
      <c r="V413" s="531">
        <f t="shared" si="182"/>
        <v>233333.33333333334</v>
      </c>
      <c r="W413" s="531">
        <f t="shared" si="183"/>
        <v>105666.66666666666</v>
      </c>
      <c r="X413" s="534">
        <f t="shared" si="184"/>
        <v>634000</v>
      </c>
      <c r="Y413" s="535">
        <f>IF($A413="","",IF($I413="weekly",$A413+7,EDATE($A413,VLOOKUP($I413,Ref!$B$24:$C$29,2,0))))</f>
        <v>44609</v>
      </c>
      <c r="Z413" s="536" t="str">
        <f t="shared" si="185"/>
        <v>Thu</v>
      </c>
      <c r="AA413" s="531">
        <f t="shared" si="186"/>
        <v>31</v>
      </c>
      <c r="AB413" s="535">
        <f t="shared" si="174"/>
        <v>44759</v>
      </c>
      <c r="AC413" s="537">
        <f t="shared" si="175"/>
        <v>181</v>
      </c>
      <c r="AD413" s="538" t="str">
        <f t="shared" ca="1" si="176"/>
        <v>Expired</v>
      </c>
      <c r="AE413" s="537">
        <f t="shared" ca="1" si="177"/>
        <v>0</v>
      </c>
      <c r="AF413" s="539">
        <f t="shared" ca="1" si="187"/>
        <v>6</v>
      </c>
      <c r="AG413" s="531">
        <f t="shared" ca="1" si="188"/>
        <v>2034000</v>
      </c>
      <c r="AH413" s="531">
        <f t="shared" ca="1" si="189"/>
        <v>634000</v>
      </c>
      <c r="AI413" s="531">
        <f t="shared" ca="1" si="190"/>
        <v>1400000</v>
      </c>
      <c r="AJ413" s="531">
        <f t="shared" ca="1" si="191"/>
        <v>0</v>
      </c>
      <c r="AK413" s="540">
        <f>SUMIFS('Live Collections'!$S:$S,'Live Collections'!$D:$D,Disbursements!B413,'Live Collections'!$G:$G,Disbursements!C413)</f>
        <v>442666.66666666663</v>
      </c>
      <c r="AL413" s="540">
        <f>SUMIFS('Live Collections'!$T:$T,'Live Collections'!$D:$D,Disbursements!B413,'Live Collections'!$G:$G,Disbursements!C413)</f>
        <v>867333.33333333349</v>
      </c>
      <c r="AM413" s="541">
        <f t="shared" si="192"/>
        <v>1310000</v>
      </c>
      <c r="AN413" s="542">
        <f t="shared" si="193"/>
        <v>191333.33333333337</v>
      </c>
      <c r="AO413" s="542">
        <f t="shared" si="194"/>
        <v>532666.66666666651</v>
      </c>
      <c r="AP413" s="543">
        <f t="shared" si="195"/>
        <v>723999.99999999988</v>
      </c>
      <c r="AQ413" s="544">
        <f t="shared" ca="1" si="196"/>
        <v>723999.99999999988</v>
      </c>
      <c r="AR413" s="545">
        <f t="shared" ca="1" si="197"/>
        <v>2.1356932153392325</v>
      </c>
      <c r="AS413" s="545">
        <f ca="1">IFERROR(CEILING($AR413*VLOOKUP($I413,Ref!$B$23:$E$29,4,0),1),0)</f>
        <v>65</v>
      </c>
      <c r="AT413" s="545" t="str">
        <f ca="1">IF(A413="","",IF(AP413&lt;=1,"Cleared",IF(AS413=0,"Clean",VLOOKUP($AS413,Ref!$G$23:$H$28,2))))</f>
        <v>3.(61-90) Days</v>
      </c>
      <c r="AU413" s="546" t="str">
        <f t="shared" si="198"/>
        <v>Ok</v>
      </c>
    </row>
    <row r="414" spans="1:47" ht="14.25" customHeight="1" x14ac:dyDescent="0.15">
      <c r="A414" s="575">
        <v>44581</v>
      </c>
      <c r="B414" s="548">
        <v>228</v>
      </c>
      <c r="C414" s="548">
        <v>412</v>
      </c>
      <c r="D414" s="548">
        <v>5</v>
      </c>
      <c r="E414" s="583" t="s">
        <v>1274</v>
      </c>
      <c r="F414" s="584">
        <v>2500000</v>
      </c>
      <c r="G414" s="585">
        <v>1</v>
      </c>
      <c r="H414" s="550">
        <v>6.5000000000000002E-2</v>
      </c>
      <c r="I414" s="560" t="s">
        <v>861</v>
      </c>
      <c r="J414" s="548" t="s">
        <v>864</v>
      </c>
      <c r="K414" s="528" t="str">
        <f>IFERROR(VLOOKUP($B414,'Clients-Live'!$A:$C,3,0),"")</f>
        <v>DADA ISAAC</v>
      </c>
      <c r="L414" s="528">
        <f>IF(E414="STL",Pricing!$D$38,IF(A414="",0,IF(A414&lt;Pricing!$C$25,Pricing!$D$25,VLOOKUP(Disbursements!$F414,Pricing!$B$29:$D$32,3))))</f>
        <v>30000</v>
      </c>
      <c r="M414" s="528">
        <f>IF(E414="STL",0,IF(F414&gt;0,Pricing!$D$21,0))</f>
        <v>5000</v>
      </c>
      <c r="N414" s="529">
        <f>IF(E414="STL",F414*Pricing!$D$40,IF(A414&lt;=Pricing!$C$4,0,IF(AND(A414&gt;Pricing!$C$4,Disbursements!A414&lt;=Pricing!$C$5),F414*Pricing!$E$5,IF(AND(A414&gt;Pricing!$C$5,Disbursements!A414&lt;=Pricing!$C$7),VLOOKUP(F414,Pricing!$D$7:$E$8,2)*Disbursements!F414,F414*Pricing!$E$9))))</f>
        <v>50000</v>
      </c>
      <c r="O414" s="528">
        <f>IF(E414="STL",0,IF($F414&gt;0,$F414*Pricing!$D$17,0))</f>
        <v>250000</v>
      </c>
      <c r="P414" s="530">
        <f t="shared" si="178"/>
        <v>162500</v>
      </c>
      <c r="Q414" s="531">
        <f>IF($A414="","",$G414/VLOOKUP($I414,Ref!$B$23:$D$29,2,0))</f>
        <v>4</v>
      </c>
      <c r="R414" s="530">
        <f t="shared" si="179"/>
        <v>2662500</v>
      </c>
      <c r="S414" s="532">
        <f t="shared" si="173"/>
        <v>665625</v>
      </c>
      <c r="T414" s="531">
        <f t="shared" si="180"/>
        <v>666000</v>
      </c>
      <c r="U414" s="533">
        <f t="shared" si="181"/>
        <v>2664000</v>
      </c>
      <c r="V414" s="531">
        <f t="shared" si="182"/>
        <v>625000</v>
      </c>
      <c r="W414" s="531">
        <f t="shared" si="183"/>
        <v>41000</v>
      </c>
      <c r="X414" s="534">
        <f t="shared" si="184"/>
        <v>164000</v>
      </c>
      <c r="Y414" s="535">
        <f>IF($A414="","",IF($I414="weekly",$A414+7,EDATE($A414,VLOOKUP($I414,Ref!$B$24:$C$29,2,0))))</f>
        <v>44588</v>
      </c>
      <c r="Z414" s="536" t="str">
        <f t="shared" si="185"/>
        <v>Thu</v>
      </c>
      <c r="AA414" s="531">
        <f t="shared" si="186"/>
        <v>7</v>
      </c>
      <c r="AB414" s="535">
        <f t="shared" si="174"/>
        <v>44612</v>
      </c>
      <c r="AC414" s="537">
        <f t="shared" si="175"/>
        <v>31</v>
      </c>
      <c r="AD414" s="538" t="str">
        <f t="shared" ca="1" si="176"/>
        <v>Expired</v>
      </c>
      <c r="AE414" s="537">
        <f t="shared" ca="1" si="177"/>
        <v>0</v>
      </c>
      <c r="AF414" s="539">
        <f t="shared" ca="1" si="187"/>
        <v>4</v>
      </c>
      <c r="AG414" s="531">
        <f t="shared" ca="1" si="188"/>
        <v>2664000</v>
      </c>
      <c r="AH414" s="531">
        <f t="shared" ca="1" si="189"/>
        <v>164000</v>
      </c>
      <c r="AI414" s="531">
        <f t="shared" ca="1" si="190"/>
        <v>2500000</v>
      </c>
      <c r="AJ414" s="531">
        <f t="shared" ca="1" si="191"/>
        <v>0</v>
      </c>
      <c r="AK414" s="540">
        <f>SUMIFS('Live Collections'!$S:$S,'Live Collections'!$D:$D,Disbursements!B414,'Live Collections'!$G:$G,Disbursements!C414)</f>
        <v>164000</v>
      </c>
      <c r="AL414" s="540">
        <f>SUMIFS('Live Collections'!$T:$T,'Live Collections'!$D:$D,Disbursements!B414,'Live Collections'!$G:$G,Disbursements!C414)</f>
        <v>2498500</v>
      </c>
      <c r="AM414" s="541">
        <f t="shared" si="192"/>
        <v>2662500</v>
      </c>
      <c r="AN414" s="542">
        <f t="shared" si="193"/>
        <v>0</v>
      </c>
      <c r="AO414" s="542">
        <f t="shared" si="194"/>
        <v>1500</v>
      </c>
      <c r="AP414" s="543">
        <f t="shared" si="195"/>
        <v>1500</v>
      </c>
      <c r="AQ414" s="544">
        <f t="shared" ca="1" si="196"/>
        <v>1500</v>
      </c>
      <c r="AR414" s="545">
        <f t="shared" ca="1" si="197"/>
        <v>2.2522522522522522E-3</v>
      </c>
      <c r="AS414" s="545">
        <f ca="1">IFERROR(CEILING($AR414*VLOOKUP($I414,Ref!$B$23:$E$29,4,0),1),0)</f>
        <v>1</v>
      </c>
      <c r="AT414" s="545" t="str">
        <f ca="1">IF(A414="","",IF(AP414&lt;=1,"Cleared",IF(AS414=0,"Clean",VLOOKUP($AS414,Ref!$G$23:$H$28,2))))</f>
        <v>1.(0-30) Days</v>
      </c>
      <c r="AU414" s="546" t="str">
        <f t="shared" si="198"/>
        <v>Ok</v>
      </c>
    </row>
    <row r="415" spans="1:47" ht="14.25" customHeight="1" x14ac:dyDescent="0.15">
      <c r="A415" s="575">
        <v>44581</v>
      </c>
      <c r="B415" s="548">
        <v>85</v>
      </c>
      <c r="C415" s="548">
        <v>413</v>
      </c>
      <c r="D415" s="548">
        <v>3</v>
      </c>
      <c r="E415" s="583" t="s">
        <v>1274</v>
      </c>
      <c r="F415" s="584">
        <v>2500000</v>
      </c>
      <c r="G415" s="585">
        <v>4</v>
      </c>
      <c r="H415" s="550">
        <v>6.5000000000000002E-2</v>
      </c>
      <c r="I415" s="560" t="s">
        <v>859</v>
      </c>
      <c r="J415" s="548" t="s">
        <v>864</v>
      </c>
      <c r="K415" s="528" t="str">
        <f>IFERROR(VLOOKUP($B415,'Clients-Live'!$A:$C,3,0),"")</f>
        <v>CEASER SWALEH</v>
      </c>
      <c r="L415" s="528">
        <f>IF(E415="STL",Pricing!$D$38,IF(A415="",0,IF(A415&lt;Pricing!$C$25,Pricing!$D$25,VLOOKUP(Disbursements!$F415,Pricing!$B$29:$D$32,3))))</f>
        <v>30000</v>
      </c>
      <c r="M415" s="528">
        <f>IF(E415="STL",0,IF(F415&gt;0,Pricing!$D$21,0))</f>
        <v>5000</v>
      </c>
      <c r="N415" s="529">
        <f>IF(E415="STL",F415*Pricing!$D$40,IF(A415&lt;=Pricing!$C$4,0,IF(AND(A415&gt;Pricing!$C$4,Disbursements!A415&lt;=Pricing!$C$5),F415*Pricing!$E$5,IF(AND(A415&gt;Pricing!$C$5,Disbursements!A415&lt;=Pricing!$C$7),VLOOKUP(F415,Pricing!$D$7:$E$8,2)*Disbursements!F415,F415*Pricing!$E$9))))</f>
        <v>50000</v>
      </c>
      <c r="O415" s="528">
        <f>IF(E415="STL",0,IF($F415&gt;0,$F415*Pricing!$D$17,0))</f>
        <v>250000</v>
      </c>
      <c r="P415" s="530">
        <f t="shared" si="178"/>
        <v>650000</v>
      </c>
      <c r="Q415" s="531">
        <f>IF($A415="","",$G415/VLOOKUP($I415,Ref!$B$23:$D$29,2,0))</f>
        <v>4</v>
      </c>
      <c r="R415" s="530">
        <f t="shared" si="179"/>
        <v>3150000</v>
      </c>
      <c r="S415" s="532">
        <f t="shared" si="173"/>
        <v>787500</v>
      </c>
      <c r="T415" s="531">
        <f t="shared" si="180"/>
        <v>788000</v>
      </c>
      <c r="U415" s="533">
        <f t="shared" si="181"/>
        <v>3152000</v>
      </c>
      <c r="V415" s="531">
        <f t="shared" si="182"/>
        <v>625000</v>
      </c>
      <c r="W415" s="531">
        <f t="shared" si="183"/>
        <v>163000</v>
      </c>
      <c r="X415" s="534">
        <f t="shared" si="184"/>
        <v>652000</v>
      </c>
      <c r="Y415" s="535">
        <f>IF($A415="","",IF($I415="weekly",$A415+7,EDATE($A415,VLOOKUP($I415,Ref!$B$24:$C$29,2,0))))</f>
        <v>44612</v>
      </c>
      <c r="Z415" s="536" t="str">
        <f t="shared" si="185"/>
        <v>Sun</v>
      </c>
      <c r="AA415" s="531">
        <f t="shared" si="186"/>
        <v>31</v>
      </c>
      <c r="AB415" s="535">
        <f t="shared" si="174"/>
        <v>44701</v>
      </c>
      <c r="AC415" s="537">
        <f t="shared" si="175"/>
        <v>120</v>
      </c>
      <c r="AD415" s="538" t="str">
        <f t="shared" ca="1" si="176"/>
        <v>Expired</v>
      </c>
      <c r="AE415" s="537">
        <f t="shared" ca="1" si="177"/>
        <v>0</v>
      </c>
      <c r="AF415" s="539">
        <f t="shared" ca="1" si="187"/>
        <v>4</v>
      </c>
      <c r="AG415" s="531">
        <f t="shared" ca="1" si="188"/>
        <v>3152000</v>
      </c>
      <c r="AH415" s="531">
        <f t="shared" ca="1" si="189"/>
        <v>652000</v>
      </c>
      <c r="AI415" s="531">
        <f t="shared" ca="1" si="190"/>
        <v>2500000</v>
      </c>
      <c r="AJ415" s="531">
        <f t="shared" ca="1" si="191"/>
        <v>0</v>
      </c>
      <c r="AK415" s="540">
        <f>SUMIFS('Live Collections'!$S:$S,'Live Collections'!$D:$D,Disbursements!B415,'Live Collections'!$G:$G,Disbursements!C415)</f>
        <v>652000</v>
      </c>
      <c r="AL415" s="540">
        <f>SUMIFS('Live Collections'!$T:$T,'Live Collections'!$D:$D,Disbursements!B415,'Live Collections'!$G:$G,Disbursements!C415)</f>
        <v>1301500</v>
      </c>
      <c r="AM415" s="541">
        <f t="shared" si="192"/>
        <v>1953500</v>
      </c>
      <c r="AN415" s="542">
        <f t="shared" si="193"/>
        <v>0</v>
      </c>
      <c r="AO415" s="542">
        <f t="shared" si="194"/>
        <v>1198500</v>
      </c>
      <c r="AP415" s="543">
        <f t="shared" si="195"/>
        <v>1198500</v>
      </c>
      <c r="AQ415" s="544">
        <f t="shared" ca="1" si="196"/>
        <v>1198500</v>
      </c>
      <c r="AR415" s="545">
        <f t="shared" ca="1" si="197"/>
        <v>1.5209390862944163</v>
      </c>
      <c r="AS415" s="545">
        <f ca="1">IFERROR(CEILING($AR415*VLOOKUP($I415,Ref!$B$23:$E$29,4,0),1),0)</f>
        <v>46</v>
      </c>
      <c r="AT415" s="545" t="str">
        <f ca="1">IF(A415="","",IF(AP415&lt;=1,"Cleared",IF(AS415=0,"Clean",VLOOKUP($AS415,Ref!$G$23:$H$28,2))))</f>
        <v>2.(31-60) Days</v>
      </c>
      <c r="AU415" s="546" t="str">
        <f t="shared" si="198"/>
        <v>Ok</v>
      </c>
    </row>
    <row r="416" spans="1:47" ht="14.25" hidden="1" customHeight="1" x14ac:dyDescent="0.15">
      <c r="A416" s="575">
        <v>44586</v>
      </c>
      <c r="B416" s="523">
        <v>24</v>
      </c>
      <c r="C416" s="523">
        <v>415</v>
      </c>
      <c r="D416" s="523">
        <v>2</v>
      </c>
      <c r="E416" s="579" t="s">
        <v>1976</v>
      </c>
      <c r="F416" s="580">
        <v>800000</v>
      </c>
      <c r="G416" s="524">
        <v>7</v>
      </c>
      <c r="H416" s="555">
        <v>2.5000000000000001E-2</v>
      </c>
      <c r="I416" s="560" t="s">
        <v>859</v>
      </c>
      <c r="J416" s="523" t="s">
        <v>864</v>
      </c>
      <c r="K416" s="528" t="str">
        <f>IFERROR(VLOOKUP($B416,'Clients-Live'!$A:$C,3,0),"")</f>
        <v>VITA JEROME</v>
      </c>
      <c r="L416" s="528">
        <f>IF(E416="STL",Pricing!$D$38,IF(A416="",0,IF(A416&lt;Pricing!$C$25,Pricing!$D$25,VLOOKUP(Disbursements!$F416,Pricing!$B$29:$D$32,3))))</f>
        <v>10000</v>
      </c>
      <c r="M416" s="528">
        <f>IF(E416="STL",0,IF(F416&gt;0,Pricing!$D$21,0))</f>
        <v>0</v>
      </c>
      <c r="N416" s="529">
        <f>IF(E416="STL",F416*Pricing!$D$40,IF(A416&lt;=Pricing!$C$4,0,IF(AND(A416&gt;Pricing!$C$4,Disbursements!A416&lt;=Pricing!$C$5),F416*Pricing!$E$5,IF(AND(A416&gt;Pricing!$C$5,Disbursements!A416&lt;=Pricing!$C$7),VLOOKUP(F416,Pricing!$D$7:$E$8,2)*Disbursements!F416,F416*Pricing!$E$9))))</f>
        <v>8000</v>
      </c>
      <c r="O416" s="528">
        <f>IF(E416="STL",0,IF($F416&gt;0,$F416*Pricing!$D$17,0))</f>
        <v>0</v>
      </c>
      <c r="P416" s="530">
        <f t="shared" si="178"/>
        <v>140000</v>
      </c>
      <c r="Q416" s="531">
        <f>IF($A416="","",$G416/VLOOKUP($I416,Ref!$B$23:$D$29,2,0))</f>
        <v>7</v>
      </c>
      <c r="R416" s="530">
        <f t="shared" si="179"/>
        <v>940000</v>
      </c>
      <c r="S416" s="532">
        <f t="shared" si="173"/>
        <v>134285.71428571429</v>
      </c>
      <c r="T416" s="531">
        <f t="shared" si="180"/>
        <v>135000</v>
      </c>
      <c r="U416" s="533">
        <f t="shared" si="181"/>
        <v>945000</v>
      </c>
      <c r="V416" s="531">
        <f t="shared" si="182"/>
        <v>114285.71428571429</v>
      </c>
      <c r="W416" s="531">
        <f t="shared" si="183"/>
        <v>20714.28571428571</v>
      </c>
      <c r="X416" s="534">
        <f t="shared" si="184"/>
        <v>144999.99999999997</v>
      </c>
      <c r="Y416" s="535">
        <f>IF($A416="","",IF($I416="weekly",$A416+7,EDATE($A416,VLOOKUP($I416,Ref!$B$24:$C$29,2,0))))</f>
        <v>44617</v>
      </c>
      <c r="Z416" s="536" t="str">
        <f t="shared" si="185"/>
        <v>Frid</v>
      </c>
      <c r="AA416" s="531">
        <f t="shared" si="186"/>
        <v>31</v>
      </c>
      <c r="AB416" s="535">
        <f t="shared" si="174"/>
        <v>44798</v>
      </c>
      <c r="AC416" s="537">
        <f t="shared" si="175"/>
        <v>212</v>
      </c>
      <c r="AD416" s="538" t="str">
        <f t="shared" ca="1" si="176"/>
        <v>Expired</v>
      </c>
      <c r="AE416" s="537">
        <f t="shared" ca="1" si="177"/>
        <v>0</v>
      </c>
      <c r="AF416" s="539">
        <f t="shared" ca="1" si="187"/>
        <v>7</v>
      </c>
      <c r="AG416" s="531">
        <f t="shared" ca="1" si="188"/>
        <v>945000</v>
      </c>
      <c r="AH416" s="531">
        <f t="shared" ca="1" si="189"/>
        <v>144999.99999999997</v>
      </c>
      <c r="AI416" s="531">
        <f t="shared" ca="1" si="190"/>
        <v>800000</v>
      </c>
      <c r="AJ416" s="531">
        <f t="shared" ca="1" si="191"/>
        <v>0</v>
      </c>
      <c r="AK416" s="540">
        <f>SUMIFS('Live Collections'!$S:$S,'Live Collections'!$D:$D,Disbursements!B416,'Live Collections'!$G:$G,Disbursements!C416)</f>
        <v>144999.99999999997</v>
      </c>
      <c r="AL416" s="540">
        <f>SUMIFS('Live Collections'!$T:$T,'Live Collections'!$D:$D,Disbursements!B416,'Live Collections'!$G:$G,Disbursements!C416)</f>
        <v>795000</v>
      </c>
      <c r="AM416" s="541">
        <f t="shared" si="192"/>
        <v>940000</v>
      </c>
      <c r="AN416" s="542">
        <f t="shared" si="193"/>
        <v>0</v>
      </c>
      <c r="AO416" s="542">
        <f t="shared" si="194"/>
        <v>5000</v>
      </c>
      <c r="AP416" s="543">
        <f t="shared" si="195"/>
        <v>5000</v>
      </c>
      <c r="AQ416" s="544">
        <f t="shared" ca="1" si="196"/>
        <v>5000</v>
      </c>
      <c r="AR416" s="545">
        <f t="shared" ca="1" si="197"/>
        <v>3.7037037037037035E-2</v>
      </c>
      <c r="AS416" s="545">
        <f ca="1">IFERROR(CEILING($AR416*VLOOKUP($I416,Ref!$B$23:$E$29,4,0),1),0)</f>
        <v>2</v>
      </c>
      <c r="AT416" s="545" t="str">
        <f ca="1">IF(A416="","",IF(AP416&lt;=1,"Cleared",IF(AS416=0,"Clean",VLOOKUP($AS416,Ref!$G$23:$H$28,2))))</f>
        <v>1.(0-30) Days</v>
      </c>
      <c r="AU416" s="546" t="str">
        <f t="shared" si="198"/>
        <v>Ok</v>
      </c>
    </row>
    <row r="417" spans="1:47" ht="14.25" hidden="1" customHeight="1" x14ac:dyDescent="0.15">
      <c r="A417" s="575">
        <v>44586</v>
      </c>
      <c r="B417" s="523">
        <v>306</v>
      </c>
      <c r="C417" s="523">
        <v>416</v>
      </c>
      <c r="D417" s="523">
        <v>1</v>
      </c>
      <c r="E417" s="579" t="s">
        <v>1274</v>
      </c>
      <c r="F417" s="580">
        <v>1000000</v>
      </c>
      <c r="G417" s="524">
        <v>6</v>
      </c>
      <c r="H417" s="555">
        <v>6.5000000000000002E-2</v>
      </c>
      <c r="I417" s="560" t="s">
        <v>861</v>
      </c>
      <c r="J417" s="523" t="s">
        <v>862</v>
      </c>
      <c r="K417" s="528" t="str">
        <f>IFERROR(VLOOKUP($B417,'Clients-Live'!$A:$C,3,0),"")</f>
        <v>DEPAYA MARY</v>
      </c>
      <c r="L417" s="528">
        <f>IF(E417="STL",Pricing!$D$38,IF(A417="",0,IF(A417&lt;Pricing!$C$25,Pricing!$D$25,VLOOKUP(Disbursements!$F417,Pricing!$B$29:$D$32,3))))</f>
        <v>20000</v>
      </c>
      <c r="M417" s="528">
        <f>IF(E417="STL",0,IF(F417&gt;0,Pricing!$D$21,0))</f>
        <v>5000</v>
      </c>
      <c r="N417" s="529">
        <f>IF(E417="STL",F417*Pricing!$D$40,IF(A417&lt;=Pricing!$C$4,0,IF(AND(A417&gt;Pricing!$C$4,Disbursements!A417&lt;=Pricing!$C$5),F417*Pricing!$E$5,IF(AND(A417&gt;Pricing!$C$5,Disbursements!A417&lt;=Pricing!$C$7),VLOOKUP(F417,Pricing!$D$7:$E$8,2)*Disbursements!F417,F417*Pricing!$E$9))))</f>
        <v>20000</v>
      </c>
      <c r="O417" s="528">
        <f>IF(E417="STL",0,IF($F417&gt;0,$F417*Pricing!$D$17,0))</f>
        <v>100000</v>
      </c>
      <c r="P417" s="530">
        <f t="shared" si="178"/>
        <v>390000</v>
      </c>
      <c r="Q417" s="531">
        <f>IF($A417="","",$G417/VLOOKUP($I417,Ref!$B$23:$D$29,2,0))</f>
        <v>24</v>
      </c>
      <c r="R417" s="530">
        <f t="shared" si="179"/>
        <v>1390000</v>
      </c>
      <c r="S417" s="532">
        <f t="shared" si="173"/>
        <v>57916.666666666664</v>
      </c>
      <c r="T417" s="531">
        <f t="shared" si="180"/>
        <v>58000</v>
      </c>
      <c r="U417" s="533">
        <f t="shared" si="181"/>
        <v>1392000</v>
      </c>
      <c r="V417" s="531">
        <f t="shared" si="182"/>
        <v>41666.666666666664</v>
      </c>
      <c r="W417" s="531">
        <f t="shared" si="183"/>
        <v>16333.333333333336</v>
      </c>
      <c r="X417" s="534">
        <f t="shared" si="184"/>
        <v>392000.00000000006</v>
      </c>
      <c r="Y417" s="535">
        <f>IF($A417="","",IF($I417="weekly",$A417+7,EDATE($A417,VLOOKUP($I417,Ref!$B$24:$C$29,2,0))))</f>
        <v>44593</v>
      </c>
      <c r="Z417" s="536" t="str">
        <f t="shared" si="185"/>
        <v>Tue</v>
      </c>
      <c r="AA417" s="531">
        <f t="shared" si="186"/>
        <v>7</v>
      </c>
      <c r="AB417" s="535">
        <f t="shared" si="174"/>
        <v>44767</v>
      </c>
      <c r="AC417" s="537">
        <f t="shared" si="175"/>
        <v>181</v>
      </c>
      <c r="AD417" s="538" t="str">
        <f t="shared" ca="1" si="176"/>
        <v>Expired</v>
      </c>
      <c r="AE417" s="537">
        <f t="shared" ca="1" si="177"/>
        <v>0</v>
      </c>
      <c r="AF417" s="539">
        <f t="shared" ca="1" si="187"/>
        <v>24</v>
      </c>
      <c r="AG417" s="531">
        <f t="shared" ca="1" si="188"/>
        <v>1392000</v>
      </c>
      <c r="AH417" s="531">
        <f t="shared" ca="1" si="189"/>
        <v>392000.00000000006</v>
      </c>
      <c r="AI417" s="531">
        <f t="shared" ca="1" si="190"/>
        <v>1000000</v>
      </c>
      <c r="AJ417" s="531">
        <f t="shared" ca="1" si="191"/>
        <v>0</v>
      </c>
      <c r="AK417" s="540">
        <f>SUMIFS('Live Collections'!$S:$S,'Live Collections'!$D:$D,Disbursements!B417,'Live Collections'!$G:$G,Disbursements!C417)</f>
        <v>49000.000000000007</v>
      </c>
      <c r="AL417" s="540">
        <f>SUMIFS('Live Collections'!$T:$T,'Live Collections'!$D:$D,Disbursements!B417,'Live Collections'!$G:$G,Disbursements!C417)</f>
        <v>160999.99999999997</v>
      </c>
      <c r="AM417" s="541">
        <f t="shared" si="192"/>
        <v>209999.99999999997</v>
      </c>
      <c r="AN417" s="542">
        <f t="shared" si="193"/>
        <v>343000.00000000006</v>
      </c>
      <c r="AO417" s="542">
        <f t="shared" si="194"/>
        <v>839000</v>
      </c>
      <c r="AP417" s="543">
        <f t="shared" si="195"/>
        <v>1182000</v>
      </c>
      <c r="AQ417" s="544">
        <f t="shared" ca="1" si="196"/>
        <v>1182000</v>
      </c>
      <c r="AR417" s="545">
        <f t="shared" ca="1" si="197"/>
        <v>20.379310344827587</v>
      </c>
      <c r="AS417" s="545">
        <f ca="1">IFERROR(CEILING($AR417*VLOOKUP($I417,Ref!$B$23:$E$29,4,0),1),0)</f>
        <v>143</v>
      </c>
      <c r="AT417" s="545" t="str">
        <f ca="1">IF(A417="","",IF(AP417&lt;=1,"Cleared",IF(AS417=0,"Clean",VLOOKUP($AS417,Ref!$G$23:$H$28,2))))</f>
        <v>4.(91-365) Days</v>
      </c>
      <c r="AU417" s="546" t="str">
        <f t="shared" si="198"/>
        <v>Ok</v>
      </c>
    </row>
    <row r="418" spans="1:47" ht="14.25" hidden="1" customHeight="1" x14ac:dyDescent="0.15">
      <c r="A418" s="575">
        <v>44586</v>
      </c>
      <c r="B418" s="523">
        <v>317</v>
      </c>
      <c r="C418" s="523">
        <v>414</v>
      </c>
      <c r="D418" s="523">
        <v>1</v>
      </c>
      <c r="E418" s="579" t="s">
        <v>1276</v>
      </c>
      <c r="F418" s="580">
        <v>800000</v>
      </c>
      <c r="G418" s="524">
        <v>5</v>
      </c>
      <c r="H418" s="555">
        <v>7.4999999999999997E-2</v>
      </c>
      <c r="I418" s="560" t="s">
        <v>861</v>
      </c>
      <c r="J418" s="523" t="s">
        <v>864</v>
      </c>
      <c r="K418" s="528" t="str">
        <f>IFERROR(VLOOKUP($B418,'Clients-Live'!$A:$C,3,0),"")</f>
        <v>DRIWARU JANE</v>
      </c>
      <c r="L418" s="528">
        <f>IF(E418="STL",Pricing!$D$38,IF(A418="",0,IF(A418&lt;Pricing!$C$25,Pricing!$D$25,VLOOKUP(Disbursements!$F418,Pricing!$B$29:$D$32,3))))</f>
        <v>20000</v>
      </c>
      <c r="M418" s="528">
        <f>IF(E418="STL",0,IF(F418&gt;0,Pricing!$D$21,0))</f>
        <v>5000</v>
      </c>
      <c r="N418" s="529">
        <f>IF(E418="STL",F418*Pricing!$D$40,IF(A418&lt;=Pricing!$C$4,0,IF(AND(A418&gt;Pricing!$C$4,Disbursements!A418&lt;=Pricing!$C$5),F418*Pricing!$E$5,IF(AND(A418&gt;Pricing!$C$5,Disbursements!A418&lt;=Pricing!$C$7),VLOOKUP(F418,Pricing!$D$7:$E$8,2)*Disbursements!F418,F418*Pricing!$E$9))))</f>
        <v>16000</v>
      </c>
      <c r="O418" s="528">
        <f>IF(E418="STL",0,IF($F418&gt;0,$F418*Pricing!$D$17,0))</f>
        <v>80000</v>
      </c>
      <c r="P418" s="530">
        <f t="shared" si="178"/>
        <v>300000</v>
      </c>
      <c r="Q418" s="531">
        <f>IF($A418="","",$G418/VLOOKUP($I418,Ref!$B$23:$D$29,2,0))</f>
        <v>20</v>
      </c>
      <c r="R418" s="530">
        <f t="shared" si="179"/>
        <v>1100000</v>
      </c>
      <c r="S418" s="532">
        <f t="shared" si="173"/>
        <v>55000</v>
      </c>
      <c r="T418" s="531">
        <f t="shared" si="180"/>
        <v>55000</v>
      </c>
      <c r="U418" s="533">
        <f t="shared" si="181"/>
        <v>1100000</v>
      </c>
      <c r="V418" s="531">
        <f t="shared" si="182"/>
        <v>40000</v>
      </c>
      <c r="W418" s="531">
        <f t="shared" si="183"/>
        <v>15000</v>
      </c>
      <c r="X418" s="534">
        <f t="shared" si="184"/>
        <v>300000</v>
      </c>
      <c r="Y418" s="535">
        <f>IF($A418="","",IF($I418="weekly",$A418+7,EDATE($A418,VLOOKUP($I418,Ref!$B$24:$C$29,2,0))))</f>
        <v>44593</v>
      </c>
      <c r="Z418" s="536" t="str">
        <f t="shared" si="185"/>
        <v>Tue</v>
      </c>
      <c r="AA418" s="531">
        <f t="shared" si="186"/>
        <v>7</v>
      </c>
      <c r="AB418" s="535">
        <f t="shared" si="174"/>
        <v>44737</v>
      </c>
      <c r="AC418" s="537">
        <f t="shared" si="175"/>
        <v>151</v>
      </c>
      <c r="AD418" s="538" t="str">
        <f t="shared" ca="1" si="176"/>
        <v>Expired</v>
      </c>
      <c r="AE418" s="537">
        <f t="shared" ca="1" si="177"/>
        <v>0</v>
      </c>
      <c r="AF418" s="539">
        <f t="shared" ca="1" si="187"/>
        <v>20</v>
      </c>
      <c r="AG418" s="531">
        <f t="shared" ca="1" si="188"/>
        <v>1100000</v>
      </c>
      <c r="AH418" s="531">
        <f t="shared" ca="1" si="189"/>
        <v>300000</v>
      </c>
      <c r="AI418" s="531">
        <f t="shared" ca="1" si="190"/>
        <v>800000</v>
      </c>
      <c r="AJ418" s="531">
        <f t="shared" ca="1" si="191"/>
        <v>0</v>
      </c>
      <c r="AK418" s="540">
        <f>SUMIFS('Live Collections'!$S:$S,'Live Collections'!$D:$D,Disbursements!B418,'Live Collections'!$G:$G,Disbursements!C418)</f>
        <v>130000</v>
      </c>
      <c r="AL418" s="540">
        <f>SUMIFS('Live Collections'!$T:$T,'Live Collections'!$D:$D,Disbursements!B418,'Live Collections'!$G:$G,Disbursements!C418)</f>
        <v>265000</v>
      </c>
      <c r="AM418" s="541">
        <f t="shared" si="192"/>
        <v>395000</v>
      </c>
      <c r="AN418" s="542">
        <f t="shared" si="193"/>
        <v>170000</v>
      </c>
      <c r="AO418" s="542">
        <f t="shared" si="194"/>
        <v>535000</v>
      </c>
      <c r="AP418" s="543">
        <f t="shared" si="195"/>
        <v>705000</v>
      </c>
      <c r="AQ418" s="544">
        <f t="shared" ca="1" si="196"/>
        <v>705000</v>
      </c>
      <c r="AR418" s="545">
        <f t="shared" ca="1" si="197"/>
        <v>12.818181818181818</v>
      </c>
      <c r="AS418" s="545">
        <f ca="1">IFERROR(CEILING($AR418*VLOOKUP($I418,Ref!$B$23:$E$29,4,0),1),0)</f>
        <v>90</v>
      </c>
      <c r="AT418" s="545" t="str">
        <f ca="1">IF(A418="","",IF(AP418&lt;=1,"Cleared",IF(AS418=0,"Clean",VLOOKUP($AS418,Ref!$G$23:$H$28,2))))</f>
        <v>3.(61-90) Days</v>
      </c>
      <c r="AU418" s="546" t="str">
        <f t="shared" si="198"/>
        <v>Ok</v>
      </c>
    </row>
    <row r="419" spans="1:47" ht="14.25" hidden="1" customHeight="1" x14ac:dyDescent="0.15">
      <c r="A419" s="575">
        <v>44590</v>
      </c>
      <c r="B419" s="523">
        <v>6</v>
      </c>
      <c r="C419" s="523">
        <v>418</v>
      </c>
      <c r="D419" s="523">
        <v>3</v>
      </c>
      <c r="E419" s="579" t="s">
        <v>1274</v>
      </c>
      <c r="F419" s="580">
        <v>5000000</v>
      </c>
      <c r="G419" s="524">
        <v>6</v>
      </c>
      <c r="H419" s="555">
        <v>6.5000000000000002E-2</v>
      </c>
      <c r="I419" s="560" t="s">
        <v>859</v>
      </c>
      <c r="J419" s="523" t="s">
        <v>863</v>
      </c>
      <c r="K419" s="528" t="str">
        <f>IFERROR(VLOOKUP($B419,'Clients-Live'!$A:$C,3,0),"")</f>
        <v>AMUTE BASHIR</v>
      </c>
      <c r="L419" s="528">
        <f>IF(E419="STL",Pricing!$D$38,IF(A419="",0,IF(A419&lt;Pricing!$C$25,Pricing!$D$25,VLOOKUP(Disbursements!$F419,Pricing!$B$29:$D$32,3))))</f>
        <v>30000</v>
      </c>
      <c r="M419" s="528">
        <f>IF(E419="STL",0,IF(F419&gt;0,Pricing!$D$21,0))</f>
        <v>5000</v>
      </c>
      <c r="N419" s="529">
        <f>IF(E419="STL",F419*Pricing!$D$40,IF(A419&lt;=Pricing!$C$4,0,IF(AND(A419&gt;Pricing!$C$4,Disbursements!A419&lt;=Pricing!$C$5),F419*Pricing!$E$5,IF(AND(A419&gt;Pricing!$C$5,Disbursements!A419&lt;=Pricing!$C$7),VLOOKUP(F419,Pricing!$D$7:$E$8,2)*Disbursements!F419,F419*Pricing!$E$9))))</f>
        <v>100000</v>
      </c>
      <c r="O419" s="528">
        <f>IF(E419="STL",0,IF($F419&gt;0,$F419*Pricing!$D$17,0))</f>
        <v>500000</v>
      </c>
      <c r="P419" s="530">
        <f t="shared" si="178"/>
        <v>1950000</v>
      </c>
      <c r="Q419" s="531">
        <f>IF($A419="","",$G419/VLOOKUP($I419,Ref!$B$23:$D$29,2,0))</f>
        <v>6</v>
      </c>
      <c r="R419" s="530">
        <f t="shared" si="179"/>
        <v>6950000</v>
      </c>
      <c r="S419" s="532">
        <f t="shared" si="173"/>
        <v>1158333.3333333333</v>
      </c>
      <c r="T419" s="531">
        <f t="shared" si="180"/>
        <v>1159000</v>
      </c>
      <c r="U419" s="533">
        <f t="shared" si="181"/>
        <v>6954000</v>
      </c>
      <c r="V419" s="531">
        <f t="shared" si="182"/>
        <v>833333.33333333337</v>
      </c>
      <c r="W419" s="531">
        <f t="shared" si="183"/>
        <v>325666.66666666663</v>
      </c>
      <c r="X419" s="534">
        <f t="shared" si="184"/>
        <v>1953999.9999999998</v>
      </c>
      <c r="Y419" s="535">
        <f>IF($A419="","",IF($I419="weekly",$A419+7,EDATE($A419,VLOOKUP($I419,Ref!$B$24:$C$29,2,0))))</f>
        <v>44620</v>
      </c>
      <c r="Z419" s="536" t="str">
        <f t="shared" si="185"/>
        <v>Mon</v>
      </c>
      <c r="AA419" s="531">
        <f t="shared" si="186"/>
        <v>30</v>
      </c>
      <c r="AB419" s="535">
        <f t="shared" si="174"/>
        <v>44771</v>
      </c>
      <c r="AC419" s="537">
        <f t="shared" si="175"/>
        <v>181</v>
      </c>
      <c r="AD419" s="538" t="str">
        <f t="shared" ca="1" si="176"/>
        <v>Expired</v>
      </c>
      <c r="AE419" s="537">
        <f t="shared" ca="1" si="177"/>
        <v>0</v>
      </c>
      <c r="AF419" s="539">
        <f t="shared" ca="1" si="187"/>
        <v>6</v>
      </c>
      <c r="AG419" s="531">
        <f t="shared" ca="1" si="188"/>
        <v>6954000</v>
      </c>
      <c r="AH419" s="531">
        <f t="shared" ca="1" si="189"/>
        <v>1953999.9999999998</v>
      </c>
      <c r="AI419" s="531">
        <f t="shared" ca="1" si="190"/>
        <v>5000000</v>
      </c>
      <c r="AJ419" s="531">
        <f t="shared" ca="1" si="191"/>
        <v>0</v>
      </c>
      <c r="AK419" s="540">
        <f>SUMIFS('Live Collections'!$S:$S,'Live Collections'!$D:$D,Disbursements!B419,'Live Collections'!$G:$G,Disbursements!C419)</f>
        <v>1225666.6666666665</v>
      </c>
      <c r="AL419" s="540">
        <f>SUMIFS('Live Collections'!$T:$T,'Live Collections'!$D:$D,Disbursements!B419,'Live Collections'!$G:$G,Disbursements!C419)</f>
        <v>674333.33333333337</v>
      </c>
      <c r="AM419" s="541">
        <f t="shared" si="192"/>
        <v>1900000</v>
      </c>
      <c r="AN419" s="542">
        <f t="shared" si="193"/>
        <v>728333.33333333326</v>
      </c>
      <c r="AO419" s="542">
        <f t="shared" si="194"/>
        <v>4325666.666666667</v>
      </c>
      <c r="AP419" s="543">
        <f t="shared" si="195"/>
        <v>5054000</v>
      </c>
      <c r="AQ419" s="544">
        <f t="shared" ca="1" si="196"/>
        <v>5054000</v>
      </c>
      <c r="AR419" s="545">
        <f t="shared" ca="1" si="197"/>
        <v>4.360655737704918</v>
      </c>
      <c r="AS419" s="545">
        <f ca="1">IFERROR(CEILING($AR419*VLOOKUP($I419,Ref!$B$23:$E$29,4,0),1),0)</f>
        <v>131</v>
      </c>
      <c r="AT419" s="545" t="str">
        <f ca="1">IF(A419="","",IF(AP419&lt;=1,"Cleared",IF(AS419=0,"Clean",VLOOKUP($AS419,Ref!$G$23:$H$28,2))))</f>
        <v>4.(91-365) Days</v>
      </c>
      <c r="AU419" s="546" t="str">
        <f t="shared" si="198"/>
        <v>Ok</v>
      </c>
    </row>
    <row r="420" spans="1:47" ht="14.25" hidden="1" customHeight="1" x14ac:dyDescent="0.15">
      <c r="A420" s="575">
        <v>44590</v>
      </c>
      <c r="B420" s="523">
        <v>201</v>
      </c>
      <c r="C420" s="523">
        <v>419</v>
      </c>
      <c r="D420" s="523">
        <v>1</v>
      </c>
      <c r="E420" s="579" t="s">
        <v>1274</v>
      </c>
      <c r="F420" s="580">
        <v>800000</v>
      </c>
      <c r="G420" s="524">
        <v>6</v>
      </c>
      <c r="H420" s="555">
        <v>6.5000000000000002E-2</v>
      </c>
      <c r="I420" s="560" t="s">
        <v>861</v>
      </c>
      <c r="J420" s="523" t="s">
        <v>862</v>
      </c>
      <c r="K420" s="528" t="str">
        <f>IFERROR(VLOOKUP($B420,'Clients-Live'!$A:$C,3,0),"")</f>
        <v>DALILI HASSAN</v>
      </c>
      <c r="L420" s="528">
        <f>IF(E420="STL",Pricing!$D$38,IF(A420="",0,IF(A420&lt;Pricing!$C$25,Pricing!$D$25,VLOOKUP(Disbursements!$F420,Pricing!$B$29:$D$32,3))))</f>
        <v>20000</v>
      </c>
      <c r="M420" s="528">
        <f>IF(E420="STL",0,IF(F420&gt;0,Pricing!$D$21,0))</f>
        <v>5000</v>
      </c>
      <c r="N420" s="529">
        <f>IF(E420="STL",F420*Pricing!$D$40,IF(A420&lt;=Pricing!$C$4,0,IF(AND(A420&gt;Pricing!$C$4,Disbursements!A420&lt;=Pricing!$C$5),F420*Pricing!$E$5,IF(AND(A420&gt;Pricing!$C$5,Disbursements!A420&lt;=Pricing!$C$7),VLOOKUP(F420,Pricing!$D$7:$E$8,2)*Disbursements!F420,F420*Pricing!$E$9))))</f>
        <v>16000</v>
      </c>
      <c r="O420" s="528">
        <f>IF(E420="STL",0,IF($F420&gt;0,$F420*Pricing!$D$17,0))</f>
        <v>80000</v>
      </c>
      <c r="P420" s="530">
        <f t="shared" si="178"/>
        <v>312000</v>
      </c>
      <c r="Q420" s="531">
        <f>IF($A420="","",$G420/VLOOKUP($I420,Ref!$B$23:$D$29,2,0))</f>
        <v>24</v>
      </c>
      <c r="R420" s="530">
        <f t="shared" si="179"/>
        <v>1112000</v>
      </c>
      <c r="S420" s="532">
        <f t="shared" si="173"/>
        <v>46333.333333333336</v>
      </c>
      <c r="T420" s="531">
        <f t="shared" si="180"/>
        <v>47000</v>
      </c>
      <c r="U420" s="533">
        <f t="shared" si="181"/>
        <v>1128000</v>
      </c>
      <c r="V420" s="531">
        <f t="shared" si="182"/>
        <v>33333.333333333336</v>
      </c>
      <c r="W420" s="531">
        <f t="shared" si="183"/>
        <v>13666.666666666664</v>
      </c>
      <c r="X420" s="534">
        <f t="shared" si="184"/>
        <v>327999.99999999994</v>
      </c>
      <c r="Y420" s="535">
        <f>IF($A420="","",IF($I420="weekly",$A420+7,EDATE($A420,VLOOKUP($I420,Ref!$B$24:$C$29,2,0))))</f>
        <v>44597</v>
      </c>
      <c r="Z420" s="536" t="str">
        <f t="shared" si="185"/>
        <v>Sat</v>
      </c>
      <c r="AA420" s="531">
        <f t="shared" si="186"/>
        <v>7</v>
      </c>
      <c r="AB420" s="535">
        <f t="shared" si="174"/>
        <v>44771</v>
      </c>
      <c r="AC420" s="537">
        <f t="shared" si="175"/>
        <v>181</v>
      </c>
      <c r="AD420" s="538" t="str">
        <f t="shared" ca="1" si="176"/>
        <v>Expired</v>
      </c>
      <c r="AE420" s="537">
        <f t="shared" ca="1" si="177"/>
        <v>0</v>
      </c>
      <c r="AF420" s="539">
        <f t="shared" ca="1" si="187"/>
        <v>24</v>
      </c>
      <c r="AG420" s="531">
        <f t="shared" ca="1" si="188"/>
        <v>1128000</v>
      </c>
      <c r="AH420" s="531">
        <f t="shared" ca="1" si="189"/>
        <v>327999.99999999994</v>
      </c>
      <c r="AI420" s="531">
        <f t="shared" ca="1" si="190"/>
        <v>800000</v>
      </c>
      <c r="AJ420" s="531">
        <f t="shared" ca="1" si="191"/>
        <v>0</v>
      </c>
      <c r="AK420" s="540">
        <f>SUMIFS('Live Collections'!$S:$S,'Live Collections'!$D:$D,Disbursements!B420,'Live Collections'!$G:$G,Disbursements!C420)</f>
        <v>123333.33333333328</v>
      </c>
      <c r="AL420" s="540">
        <f>SUMIFS('Live Collections'!$T:$T,'Live Collections'!$D:$D,Disbursements!B420,'Live Collections'!$G:$G,Disbursements!C420)</f>
        <v>254666.66666666674</v>
      </c>
      <c r="AM420" s="541">
        <f t="shared" si="192"/>
        <v>378000</v>
      </c>
      <c r="AN420" s="542">
        <f t="shared" si="193"/>
        <v>204666.66666666666</v>
      </c>
      <c r="AO420" s="542">
        <f t="shared" si="194"/>
        <v>545333.33333333326</v>
      </c>
      <c r="AP420" s="543">
        <f t="shared" si="195"/>
        <v>749999.99999999988</v>
      </c>
      <c r="AQ420" s="544">
        <f t="shared" ca="1" si="196"/>
        <v>749999.99999999988</v>
      </c>
      <c r="AR420" s="545">
        <f t="shared" ca="1" si="197"/>
        <v>15.957446808510635</v>
      </c>
      <c r="AS420" s="545">
        <f ca="1">IFERROR(CEILING($AR420*VLOOKUP($I420,Ref!$B$23:$E$29,4,0),1),0)</f>
        <v>112</v>
      </c>
      <c r="AT420" s="545" t="str">
        <f ca="1">IF(A420="","",IF(AP420&lt;=1,"Cleared",IF(AS420=0,"Clean",VLOOKUP($AS420,Ref!$G$23:$H$28,2))))</f>
        <v>4.(91-365) Days</v>
      </c>
      <c r="AU420" s="546" t="str">
        <f t="shared" si="198"/>
        <v>Ok</v>
      </c>
    </row>
    <row r="421" spans="1:47" ht="14.25" customHeight="1" x14ac:dyDescent="0.15">
      <c r="A421" s="575">
        <v>44590</v>
      </c>
      <c r="B421" s="523">
        <v>318</v>
      </c>
      <c r="C421" s="523">
        <v>417</v>
      </c>
      <c r="D421" s="523">
        <v>1</v>
      </c>
      <c r="E421" s="579" t="s">
        <v>1276</v>
      </c>
      <c r="F421" s="580">
        <v>700000</v>
      </c>
      <c r="G421" s="524">
        <v>3</v>
      </c>
      <c r="H421" s="555">
        <v>7.4999999999999997E-2</v>
      </c>
      <c r="I421" s="560" t="s">
        <v>859</v>
      </c>
      <c r="J421" s="523" t="s">
        <v>864</v>
      </c>
      <c r="K421" s="528" t="str">
        <f>IFERROR(VLOOKUP($B421,'Clients-Live'!$A:$C,3,0),"")</f>
        <v>ARUBE PETER</v>
      </c>
      <c r="L421" s="528">
        <f>IF(E421="STL",Pricing!$D$38,IF(A421="",0,IF(A421&lt;Pricing!$C$25,Pricing!$D$25,VLOOKUP(Disbursements!$F421,Pricing!$B$29:$D$32,3))))</f>
        <v>20000</v>
      </c>
      <c r="M421" s="528">
        <f>IF(E421="STL",0,IF(F421&gt;0,Pricing!$D$21,0))</f>
        <v>5000</v>
      </c>
      <c r="N421" s="529">
        <f>IF(E421="STL",F421*Pricing!$D$40,IF(A421&lt;=Pricing!$C$4,0,IF(AND(A421&gt;Pricing!$C$4,Disbursements!A421&lt;=Pricing!$C$5),F421*Pricing!$E$5,IF(AND(A421&gt;Pricing!$C$5,Disbursements!A421&lt;=Pricing!$C$7),VLOOKUP(F421,Pricing!$D$7:$E$8,2)*Disbursements!F421,F421*Pricing!$E$9))))</f>
        <v>14000</v>
      </c>
      <c r="O421" s="528">
        <f>IF(E421="STL",0,IF($F421&gt;0,$F421*Pricing!$D$17,0))</f>
        <v>70000</v>
      </c>
      <c r="P421" s="530">
        <f t="shared" si="178"/>
        <v>157500</v>
      </c>
      <c r="Q421" s="531">
        <f>IF($A421="","",$G421/VLOOKUP($I421,Ref!$B$23:$D$29,2,0))</f>
        <v>3</v>
      </c>
      <c r="R421" s="530">
        <f t="shared" si="179"/>
        <v>857500</v>
      </c>
      <c r="S421" s="532">
        <f t="shared" si="173"/>
        <v>285833.33333333331</v>
      </c>
      <c r="T421" s="531">
        <f t="shared" si="180"/>
        <v>286000</v>
      </c>
      <c r="U421" s="533">
        <f t="shared" si="181"/>
        <v>858000</v>
      </c>
      <c r="V421" s="531">
        <f t="shared" si="182"/>
        <v>233333.33333333334</v>
      </c>
      <c r="W421" s="531">
        <f t="shared" si="183"/>
        <v>52666.666666666657</v>
      </c>
      <c r="X421" s="534">
        <f t="shared" si="184"/>
        <v>157999.99999999997</v>
      </c>
      <c r="Y421" s="535">
        <f>IF($A421="","",IF($I421="weekly",$A421+7,EDATE($A421,VLOOKUP($I421,Ref!$B$24:$C$29,2,0))))</f>
        <v>44620</v>
      </c>
      <c r="Z421" s="536" t="str">
        <f t="shared" si="185"/>
        <v>Mon</v>
      </c>
      <c r="AA421" s="531">
        <f t="shared" si="186"/>
        <v>30</v>
      </c>
      <c r="AB421" s="535">
        <f t="shared" si="174"/>
        <v>44680</v>
      </c>
      <c r="AC421" s="537">
        <f t="shared" si="175"/>
        <v>90</v>
      </c>
      <c r="AD421" s="538" t="str">
        <f t="shared" ca="1" si="176"/>
        <v>Expired</v>
      </c>
      <c r="AE421" s="537">
        <f t="shared" ca="1" si="177"/>
        <v>0</v>
      </c>
      <c r="AF421" s="539">
        <f t="shared" ca="1" si="187"/>
        <v>3</v>
      </c>
      <c r="AG421" s="531">
        <f t="shared" ca="1" si="188"/>
        <v>858000</v>
      </c>
      <c r="AH421" s="531">
        <f t="shared" ca="1" si="189"/>
        <v>157999.99999999997</v>
      </c>
      <c r="AI421" s="531">
        <f t="shared" ca="1" si="190"/>
        <v>700000</v>
      </c>
      <c r="AJ421" s="531">
        <f t="shared" ca="1" si="191"/>
        <v>0</v>
      </c>
      <c r="AK421" s="540">
        <f>SUMIFS('Live Collections'!$S:$S,'Live Collections'!$D:$D,Disbursements!B421,'Live Collections'!$G:$G,Disbursements!C421)</f>
        <v>105333.33333333331</v>
      </c>
      <c r="AL421" s="540">
        <f>SUMIFS('Live Collections'!$T:$T,'Live Collections'!$D:$D,Disbursements!B421,'Live Collections'!$G:$G,Disbursements!C421)</f>
        <v>434666.66666666669</v>
      </c>
      <c r="AM421" s="541">
        <f t="shared" si="192"/>
        <v>540000</v>
      </c>
      <c r="AN421" s="542">
        <f t="shared" si="193"/>
        <v>52666.666666666657</v>
      </c>
      <c r="AO421" s="542">
        <f t="shared" si="194"/>
        <v>265333.33333333331</v>
      </c>
      <c r="AP421" s="543">
        <f t="shared" si="195"/>
        <v>318000</v>
      </c>
      <c r="AQ421" s="544">
        <f t="shared" ca="1" si="196"/>
        <v>318000</v>
      </c>
      <c r="AR421" s="545">
        <f t="shared" ca="1" si="197"/>
        <v>1.1118881118881119</v>
      </c>
      <c r="AS421" s="545">
        <f ca="1">IFERROR(CEILING($AR421*VLOOKUP($I421,Ref!$B$23:$E$29,4,0),1),0)</f>
        <v>34</v>
      </c>
      <c r="AT421" s="545" t="str">
        <f ca="1">IF(A421="","",IF(AP421&lt;=1,"Cleared",IF(AS421=0,"Clean",VLOOKUP($AS421,Ref!$G$23:$H$28,2))))</f>
        <v>2.(31-60) Days</v>
      </c>
      <c r="AU421" s="546" t="str">
        <f t="shared" si="198"/>
        <v>Ok</v>
      </c>
    </row>
    <row r="422" spans="1:47" ht="14.25" customHeight="1" x14ac:dyDescent="0.15">
      <c r="A422" s="575">
        <v>44593</v>
      </c>
      <c r="B422" s="523">
        <v>311</v>
      </c>
      <c r="C422" s="523">
        <v>420</v>
      </c>
      <c r="D422" s="523">
        <v>2</v>
      </c>
      <c r="E422" s="579" t="s">
        <v>1276</v>
      </c>
      <c r="F422" s="580">
        <v>500000</v>
      </c>
      <c r="G422" s="524">
        <v>1</v>
      </c>
      <c r="H422" s="555">
        <v>7.4999999999999997E-2</v>
      </c>
      <c r="I422" s="560" t="s">
        <v>859</v>
      </c>
      <c r="J422" s="523" t="s">
        <v>863</v>
      </c>
      <c r="K422" s="528" t="str">
        <f>IFERROR(VLOOKUP($B422,'Clients-Live'!$A:$C,3,0),"")</f>
        <v>PATRICK OKUONZI</v>
      </c>
      <c r="L422" s="528">
        <f>IF(E422="STL",Pricing!$D$38,IF(A422="",0,IF(A422&lt;Pricing!$C$25,Pricing!$D$25,VLOOKUP(Disbursements!$F422,Pricing!$B$29:$D$32,3))))</f>
        <v>15000</v>
      </c>
      <c r="M422" s="528">
        <f>IF(E422="STL",0,IF(F422&gt;0,Pricing!$D$21,0))</f>
        <v>5000</v>
      </c>
      <c r="N422" s="529">
        <f>IF(E422="STL",F422*Pricing!$D$40,IF(A422&lt;=Pricing!$C$4,0,IF(AND(A422&gt;Pricing!$C$4,Disbursements!A422&lt;=Pricing!$C$5),F422*Pricing!$E$5,IF(AND(A422&gt;Pricing!$C$5,Disbursements!A422&lt;=Pricing!$C$7),VLOOKUP(F422,Pricing!$D$7:$E$8,2)*Disbursements!F422,F422*Pricing!$E$9))))</f>
        <v>10000</v>
      </c>
      <c r="O422" s="528">
        <f>IF(E422="STL",0,IF($F422&gt;0,$F422*Pricing!$D$17,0))</f>
        <v>50000</v>
      </c>
      <c r="P422" s="530">
        <f t="shared" si="178"/>
        <v>37500</v>
      </c>
      <c r="Q422" s="531">
        <f>IF($A422="","",$G422/VLOOKUP($I422,Ref!$B$23:$D$29,2,0))</f>
        <v>1</v>
      </c>
      <c r="R422" s="530">
        <f t="shared" si="179"/>
        <v>537500</v>
      </c>
      <c r="S422" s="532">
        <f t="shared" si="173"/>
        <v>537500</v>
      </c>
      <c r="T422" s="531">
        <f t="shared" si="180"/>
        <v>538000</v>
      </c>
      <c r="U422" s="533">
        <f t="shared" si="181"/>
        <v>538000</v>
      </c>
      <c r="V422" s="531">
        <f t="shared" si="182"/>
        <v>500000</v>
      </c>
      <c r="W422" s="531">
        <f t="shared" si="183"/>
        <v>38000</v>
      </c>
      <c r="X422" s="534">
        <f t="shared" si="184"/>
        <v>38000</v>
      </c>
      <c r="Y422" s="535">
        <f>IF($A422="","",IF($I422="weekly",$A422+7,EDATE($A422,VLOOKUP($I422,Ref!$B$24:$C$29,2,0))))</f>
        <v>44621</v>
      </c>
      <c r="Z422" s="536" t="str">
        <f t="shared" si="185"/>
        <v>Tue</v>
      </c>
      <c r="AA422" s="531">
        <f t="shared" si="186"/>
        <v>28</v>
      </c>
      <c r="AB422" s="535">
        <f t="shared" si="174"/>
        <v>44621</v>
      </c>
      <c r="AC422" s="537">
        <f t="shared" si="175"/>
        <v>28</v>
      </c>
      <c r="AD422" s="538" t="str">
        <f t="shared" ca="1" si="176"/>
        <v>Expired</v>
      </c>
      <c r="AE422" s="537">
        <f t="shared" ca="1" si="177"/>
        <v>0</v>
      </c>
      <c r="AF422" s="539">
        <f t="shared" ca="1" si="187"/>
        <v>1</v>
      </c>
      <c r="AG422" s="531">
        <f t="shared" ca="1" si="188"/>
        <v>538000</v>
      </c>
      <c r="AH422" s="531">
        <f t="shared" ca="1" si="189"/>
        <v>38000</v>
      </c>
      <c r="AI422" s="531">
        <f t="shared" ca="1" si="190"/>
        <v>500000</v>
      </c>
      <c r="AJ422" s="531">
        <f t="shared" ca="1" si="191"/>
        <v>0</v>
      </c>
      <c r="AK422" s="540">
        <f>SUMIFS('Live Collections'!$S:$S,'Live Collections'!$D:$D,Disbursements!B422,'Live Collections'!$G:$G,Disbursements!C422)</f>
        <v>38000</v>
      </c>
      <c r="AL422" s="540">
        <f>SUMIFS('Live Collections'!$T:$T,'Live Collections'!$D:$D,Disbursements!B422,'Live Collections'!$G:$G,Disbursements!C422)</f>
        <v>500000</v>
      </c>
      <c r="AM422" s="541">
        <f t="shared" si="192"/>
        <v>538000</v>
      </c>
      <c r="AN422" s="542">
        <f t="shared" si="193"/>
        <v>0</v>
      </c>
      <c r="AO422" s="542">
        <f t="shared" si="194"/>
        <v>0</v>
      </c>
      <c r="AP422" s="543">
        <f t="shared" si="195"/>
        <v>0</v>
      </c>
      <c r="AQ422" s="544" t="str">
        <f t="shared" ca="1" si="196"/>
        <v/>
      </c>
      <c r="AR422" s="545">
        <f t="shared" ca="1" si="197"/>
        <v>0</v>
      </c>
      <c r="AS422" s="545">
        <f ca="1">IFERROR(CEILING($AR422*VLOOKUP($I422,Ref!$B$23:$E$29,4,0),1),0)</f>
        <v>0</v>
      </c>
      <c r="AT422" s="545" t="str">
        <f>IF(A422="","",IF(AP422&lt;=1,"Cleared",IF(AS422=0,"Clean",VLOOKUP($AS422,Ref!$G$23:$H$28,2))))</f>
        <v>Cleared</v>
      </c>
      <c r="AU422" s="546" t="str">
        <f t="shared" si="198"/>
        <v>Ok</v>
      </c>
    </row>
    <row r="423" spans="1:47" ht="14.25" customHeight="1" x14ac:dyDescent="0.15">
      <c r="A423" s="575">
        <v>44594</v>
      </c>
      <c r="B423" s="523">
        <v>9</v>
      </c>
      <c r="C423" s="523">
        <v>423</v>
      </c>
      <c r="D423" s="523">
        <v>3</v>
      </c>
      <c r="E423" s="579" t="s">
        <v>1274</v>
      </c>
      <c r="F423" s="580">
        <v>600000</v>
      </c>
      <c r="G423" s="524">
        <v>4</v>
      </c>
      <c r="H423" s="555">
        <v>6.5000000000000002E-2</v>
      </c>
      <c r="I423" s="560" t="s">
        <v>859</v>
      </c>
      <c r="J423" s="523" t="s">
        <v>864</v>
      </c>
      <c r="K423" s="528" t="str">
        <f>IFERROR(VLOOKUP($B423,'Clients-Live'!$A:$C,3,0),"")</f>
        <v>TABAN DAVID YAYA</v>
      </c>
      <c r="L423" s="528">
        <f>IF(E423="STL",Pricing!$D$38,IF(A423="",0,IF(A423&lt;Pricing!$C$25,Pricing!$D$25,VLOOKUP(Disbursements!$F423,Pricing!$B$29:$D$32,3))))</f>
        <v>20000</v>
      </c>
      <c r="M423" s="528">
        <f>IF(E423="STL",0,IF(F423&gt;0,Pricing!$D$21,0))</f>
        <v>5000</v>
      </c>
      <c r="N423" s="529">
        <f>IF(E423="STL",F423*Pricing!$D$40,IF(A423&lt;=Pricing!$C$4,0,IF(AND(A423&gt;Pricing!$C$4,Disbursements!A423&lt;=Pricing!$C$5),F423*Pricing!$E$5,IF(AND(A423&gt;Pricing!$C$5,Disbursements!A423&lt;=Pricing!$C$7),VLOOKUP(F423,Pricing!$D$7:$E$8,2)*Disbursements!F423,F423*Pricing!$E$9))))</f>
        <v>12000</v>
      </c>
      <c r="O423" s="528">
        <f>IF(E423="STL",0,IF($F423&gt;0,$F423*Pricing!$D$17,0))</f>
        <v>60000</v>
      </c>
      <c r="P423" s="530">
        <f t="shared" si="178"/>
        <v>156000</v>
      </c>
      <c r="Q423" s="531">
        <f>IF($A423="","",$G423/VLOOKUP($I423,Ref!$B$23:$D$29,2,0))</f>
        <v>4</v>
      </c>
      <c r="R423" s="530">
        <f t="shared" si="179"/>
        <v>756000</v>
      </c>
      <c r="S423" s="532">
        <f t="shared" si="173"/>
        <v>189000</v>
      </c>
      <c r="T423" s="531">
        <f t="shared" si="180"/>
        <v>189000</v>
      </c>
      <c r="U423" s="533">
        <f t="shared" si="181"/>
        <v>756000</v>
      </c>
      <c r="V423" s="531">
        <f t="shared" si="182"/>
        <v>150000</v>
      </c>
      <c r="W423" s="531">
        <f t="shared" si="183"/>
        <v>39000</v>
      </c>
      <c r="X423" s="534">
        <f t="shared" si="184"/>
        <v>156000</v>
      </c>
      <c r="Y423" s="535">
        <f>IF($A423="","",IF($I423="weekly",$A423+7,EDATE($A423,VLOOKUP($I423,Ref!$B$24:$C$29,2,0))))</f>
        <v>44622</v>
      </c>
      <c r="Z423" s="536" t="str">
        <f t="shared" si="185"/>
        <v>Wed</v>
      </c>
      <c r="AA423" s="531">
        <f t="shared" si="186"/>
        <v>28</v>
      </c>
      <c r="AB423" s="535">
        <f t="shared" si="174"/>
        <v>44714</v>
      </c>
      <c r="AC423" s="537">
        <f t="shared" si="175"/>
        <v>120</v>
      </c>
      <c r="AD423" s="538" t="str">
        <f t="shared" ca="1" si="176"/>
        <v>Expired</v>
      </c>
      <c r="AE423" s="537">
        <f t="shared" ca="1" si="177"/>
        <v>0</v>
      </c>
      <c r="AF423" s="539">
        <f t="shared" ca="1" si="187"/>
        <v>4</v>
      </c>
      <c r="AG423" s="531">
        <f t="shared" ca="1" si="188"/>
        <v>756000</v>
      </c>
      <c r="AH423" s="531">
        <f t="shared" ca="1" si="189"/>
        <v>156000</v>
      </c>
      <c r="AI423" s="531">
        <f t="shared" ca="1" si="190"/>
        <v>600000</v>
      </c>
      <c r="AJ423" s="531">
        <f t="shared" ca="1" si="191"/>
        <v>0</v>
      </c>
      <c r="AK423" s="540">
        <f>SUMIFS('Live Collections'!$S:$S,'Live Collections'!$D:$D,Disbursements!B423,'Live Collections'!$G:$G,Disbursements!C423)</f>
        <v>156000</v>
      </c>
      <c r="AL423" s="540">
        <f>SUMIFS('Live Collections'!$T:$T,'Live Collections'!$D:$D,Disbursements!B423,'Live Collections'!$G:$G,Disbursements!C423)</f>
        <v>600000</v>
      </c>
      <c r="AM423" s="541">
        <f t="shared" si="192"/>
        <v>756000</v>
      </c>
      <c r="AN423" s="542">
        <f t="shared" si="193"/>
        <v>0</v>
      </c>
      <c r="AO423" s="542">
        <f t="shared" si="194"/>
        <v>0</v>
      </c>
      <c r="AP423" s="543">
        <f t="shared" si="195"/>
        <v>0</v>
      </c>
      <c r="AQ423" s="544" t="str">
        <f t="shared" ca="1" si="196"/>
        <v/>
      </c>
      <c r="AR423" s="545">
        <f t="shared" ca="1" si="197"/>
        <v>0</v>
      </c>
      <c r="AS423" s="545">
        <f ca="1">IFERROR(CEILING($AR423*VLOOKUP($I423,Ref!$B$23:$E$29,4,0),1),0)</f>
        <v>0</v>
      </c>
      <c r="AT423" s="545" t="str">
        <f>IF(A423="","",IF(AP423&lt;=1,"Cleared",IF(AS423=0,"Clean",VLOOKUP($AS423,Ref!$G$23:$H$28,2))))</f>
        <v>Cleared</v>
      </c>
      <c r="AU423" s="546" t="str">
        <f t="shared" si="198"/>
        <v>Ok</v>
      </c>
    </row>
    <row r="424" spans="1:47" ht="14.25" customHeight="1" x14ac:dyDescent="0.15">
      <c r="A424" s="575">
        <v>44594</v>
      </c>
      <c r="B424" s="523">
        <v>171</v>
      </c>
      <c r="C424" s="523">
        <v>422</v>
      </c>
      <c r="D424" s="523">
        <v>3</v>
      </c>
      <c r="E424" s="579" t="s">
        <v>1275</v>
      </c>
      <c r="F424" s="580">
        <v>650000</v>
      </c>
      <c r="G424" s="524">
        <v>2</v>
      </c>
      <c r="H424" s="555">
        <v>7.4999999999999997E-2</v>
      </c>
      <c r="I424" s="560" t="s">
        <v>859</v>
      </c>
      <c r="J424" s="523" t="s">
        <v>864</v>
      </c>
      <c r="K424" s="528" t="str">
        <f>IFERROR(VLOOKUP($B424,'Clients-Live'!$A:$C,3,0),"")</f>
        <v>BADAKA GIFT JOEL</v>
      </c>
      <c r="L424" s="528">
        <f>IF(E424="STL",Pricing!$D$38,IF(A424="",0,IF(A424&lt;Pricing!$C$25,Pricing!$D$25,VLOOKUP(Disbursements!$F424,Pricing!$B$29:$D$32,3))))</f>
        <v>20000</v>
      </c>
      <c r="M424" s="528">
        <f>IF(E424="STL",0,IF(F424&gt;0,Pricing!$D$21,0))</f>
        <v>5000</v>
      </c>
      <c r="N424" s="529">
        <f>IF(E424="STL",F424*Pricing!$D$40,IF(A424&lt;=Pricing!$C$4,0,IF(AND(A424&gt;Pricing!$C$4,Disbursements!A424&lt;=Pricing!$C$5),F424*Pricing!$E$5,IF(AND(A424&gt;Pricing!$C$5,Disbursements!A424&lt;=Pricing!$C$7),VLOOKUP(F424,Pricing!$D$7:$E$8,2)*Disbursements!F424,F424*Pricing!$E$9))))</f>
        <v>13000</v>
      </c>
      <c r="O424" s="528">
        <f>IF(E424="STL",0,IF($F424&gt;0,$F424*Pricing!$D$17,0))</f>
        <v>65000</v>
      </c>
      <c r="P424" s="530">
        <f t="shared" si="178"/>
        <v>97500</v>
      </c>
      <c r="Q424" s="531">
        <f>IF($A424="","",$G424/VLOOKUP($I424,Ref!$B$23:$D$29,2,0))</f>
        <v>2</v>
      </c>
      <c r="R424" s="530">
        <f t="shared" si="179"/>
        <v>747500</v>
      </c>
      <c r="S424" s="532">
        <f t="shared" si="173"/>
        <v>373750</v>
      </c>
      <c r="T424" s="531">
        <f t="shared" si="180"/>
        <v>374000</v>
      </c>
      <c r="U424" s="533">
        <f t="shared" si="181"/>
        <v>748000</v>
      </c>
      <c r="V424" s="531">
        <f t="shared" si="182"/>
        <v>325000</v>
      </c>
      <c r="W424" s="531">
        <f t="shared" si="183"/>
        <v>49000</v>
      </c>
      <c r="X424" s="534">
        <f t="shared" si="184"/>
        <v>98000</v>
      </c>
      <c r="Y424" s="535">
        <f>IF($A424="","",IF($I424="weekly",$A424+7,EDATE($A424,VLOOKUP($I424,Ref!$B$24:$C$29,2,0))))</f>
        <v>44622</v>
      </c>
      <c r="Z424" s="536" t="str">
        <f t="shared" si="185"/>
        <v>Wed</v>
      </c>
      <c r="AA424" s="531">
        <f t="shared" si="186"/>
        <v>28</v>
      </c>
      <c r="AB424" s="535">
        <f t="shared" si="174"/>
        <v>44653</v>
      </c>
      <c r="AC424" s="537">
        <f t="shared" si="175"/>
        <v>59</v>
      </c>
      <c r="AD424" s="538" t="str">
        <f t="shared" ca="1" si="176"/>
        <v>Expired</v>
      </c>
      <c r="AE424" s="537">
        <f t="shared" ca="1" si="177"/>
        <v>0</v>
      </c>
      <c r="AF424" s="539">
        <f t="shared" ca="1" si="187"/>
        <v>2</v>
      </c>
      <c r="AG424" s="531">
        <f t="shared" ca="1" si="188"/>
        <v>748000</v>
      </c>
      <c r="AH424" s="531">
        <f t="shared" ca="1" si="189"/>
        <v>98000</v>
      </c>
      <c r="AI424" s="531">
        <f t="shared" ca="1" si="190"/>
        <v>650000</v>
      </c>
      <c r="AJ424" s="531">
        <f t="shared" ca="1" si="191"/>
        <v>0</v>
      </c>
      <c r="AK424" s="540">
        <f>SUMIFS('Live Collections'!$S:$S,'Live Collections'!$D:$D,Disbursements!B424,'Live Collections'!$G:$G,Disbursements!C424)</f>
        <v>98000</v>
      </c>
      <c r="AL424" s="540">
        <f>SUMIFS('Live Collections'!$T:$T,'Live Collections'!$D:$D,Disbursements!B424,'Live Collections'!$G:$G,Disbursements!C424)</f>
        <v>649600</v>
      </c>
      <c r="AM424" s="541">
        <f t="shared" si="192"/>
        <v>747600</v>
      </c>
      <c r="AN424" s="542">
        <f t="shared" si="193"/>
        <v>0</v>
      </c>
      <c r="AO424" s="542">
        <f t="shared" si="194"/>
        <v>400</v>
      </c>
      <c r="AP424" s="543">
        <f t="shared" si="195"/>
        <v>400</v>
      </c>
      <c r="AQ424" s="544">
        <f t="shared" ca="1" si="196"/>
        <v>400</v>
      </c>
      <c r="AR424" s="545">
        <f t="shared" ca="1" si="197"/>
        <v>1.0695187165775401E-3</v>
      </c>
      <c r="AS424" s="545">
        <f ca="1">IFERROR(CEILING($AR424*VLOOKUP($I424,Ref!$B$23:$E$29,4,0),1),0)</f>
        <v>1</v>
      </c>
      <c r="AT424" s="545" t="str">
        <f ca="1">IF(A424="","",IF(AP424&lt;=1,"Cleared",IF(AS424=0,"Clean",VLOOKUP($AS424,Ref!$G$23:$H$28,2))))</f>
        <v>1.(0-30) Days</v>
      </c>
      <c r="AU424" s="546" t="str">
        <f t="shared" si="198"/>
        <v>Ok</v>
      </c>
    </row>
    <row r="425" spans="1:47" ht="14.25" customHeight="1" x14ac:dyDescent="0.15">
      <c r="A425" s="575">
        <v>44594</v>
      </c>
      <c r="B425" s="523">
        <v>228</v>
      </c>
      <c r="C425" s="523">
        <v>421</v>
      </c>
      <c r="D425" s="523">
        <v>6</v>
      </c>
      <c r="E425" s="579" t="s">
        <v>1274</v>
      </c>
      <c r="F425" s="580">
        <v>500000</v>
      </c>
      <c r="G425" s="524">
        <v>4</v>
      </c>
      <c r="H425" s="555">
        <v>6.5000000000000002E-2</v>
      </c>
      <c r="I425" s="560" t="s">
        <v>859</v>
      </c>
      <c r="J425" s="523" t="s">
        <v>863</v>
      </c>
      <c r="K425" s="528" t="str">
        <f>IFERROR(VLOOKUP($B425,'Clients-Live'!$A:$C,3,0),"")</f>
        <v>DADA ISAAC</v>
      </c>
      <c r="L425" s="528">
        <f>IF(E425="STL",Pricing!$D$38,IF(A425="",0,IF(A425&lt;Pricing!$C$25,Pricing!$D$25,VLOOKUP(Disbursements!$F425,Pricing!$B$29:$D$32,3))))</f>
        <v>15000</v>
      </c>
      <c r="M425" s="528">
        <f>IF(E425="STL",0,IF(F425&gt;0,Pricing!$D$21,0))</f>
        <v>5000</v>
      </c>
      <c r="N425" s="529">
        <f>IF(E425="STL",F425*Pricing!$D$40,IF(A425&lt;=Pricing!$C$4,0,IF(AND(A425&gt;Pricing!$C$4,Disbursements!A425&lt;=Pricing!$C$5),F425*Pricing!$E$5,IF(AND(A425&gt;Pricing!$C$5,Disbursements!A425&lt;=Pricing!$C$7),VLOOKUP(F425,Pricing!$D$7:$E$8,2)*Disbursements!F425,F425*Pricing!$E$9))))</f>
        <v>10000</v>
      </c>
      <c r="O425" s="528">
        <f>IF(E425="STL",0,IF($F425&gt;0,$F425*Pricing!$D$17,0))</f>
        <v>50000</v>
      </c>
      <c r="P425" s="530">
        <f t="shared" si="178"/>
        <v>130000</v>
      </c>
      <c r="Q425" s="531">
        <f>IF($A425="","",$G425/VLOOKUP($I425,Ref!$B$23:$D$29,2,0))</f>
        <v>4</v>
      </c>
      <c r="R425" s="530">
        <f t="shared" si="179"/>
        <v>630000</v>
      </c>
      <c r="S425" s="532">
        <f t="shared" si="173"/>
        <v>157500</v>
      </c>
      <c r="T425" s="531">
        <f t="shared" si="180"/>
        <v>158000</v>
      </c>
      <c r="U425" s="533">
        <f t="shared" si="181"/>
        <v>632000</v>
      </c>
      <c r="V425" s="531">
        <f t="shared" si="182"/>
        <v>125000</v>
      </c>
      <c r="W425" s="531">
        <f t="shared" si="183"/>
        <v>33000</v>
      </c>
      <c r="X425" s="534">
        <f t="shared" si="184"/>
        <v>132000</v>
      </c>
      <c r="Y425" s="535">
        <f>IF($A425="","",IF($I425="weekly",$A425+7,EDATE($A425,VLOOKUP($I425,Ref!$B$24:$C$29,2,0))))</f>
        <v>44622</v>
      </c>
      <c r="Z425" s="536" t="str">
        <f t="shared" si="185"/>
        <v>Wed</v>
      </c>
      <c r="AA425" s="531">
        <f t="shared" si="186"/>
        <v>28</v>
      </c>
      <c r="AB425" s="535">
        <f t="shared" si="174"/>
        <v>44714</v>
      </c>
      <c r="AC425" s="537">
        <f t="shared" si="175"/>
        <v>120</v>
      </c>
      <c r="AD425" s="538" t="str">
        <f t="shared" ca="1" si="176"/>
        <v>Expired</v>
      </c>
      <c r="AE425" s="537">
        <f t="shared" ca="1" si="177"/>
        <v>0</v>
      </c>
      <c r="AF425" s="539">
        <f t="shared" ca="1" si="187"/>
        <v>4</v>
      </c>
      <c r="AG425" s="531">
        <f t="shared" ca="1" si="188"/>
        <v>632000</v>
      </c>
      <c r="AH425" s="531">
        <f t="shared" ca="1" si="189"/>
        <v>132000</v>
      </c>
      <c r="AI425" s="531">
        <f t="shared" ca="1" si="190"/>
        <v>500000</v>
      </c>
      <c r="AJ425" s="531">
        <f t="shared" ca="1" si="191"/>
        <v>0</v>
      </c>
      <c r="AK425" s="540">
        <f>SUMIFS('Live Collections'!$S:$S,'Live Collections'!$D:$D,Disbursements!B425,'Live Collections'!$G:$G,Disbursements!C425)</f>
        <v>132000</v>
      </c>
      <c r="AL425" s="540">
        <f>SUMIFS('Live Collections'!$T:$T,'Live Collections'!$D:$D,Disbursements!B425,'Live Collections'!$G:$G,Disbursements!C425)</f>
        <v>499500</v>
      </c>
      <c r="AM425" s="541">
        <f t="shared" si="192"/>
        <v>631500</v>
      </c>
      <c r="AN425" s="542">
        <f t="shared" si="193"/>
        <v>0</v>
      </c>
      <c r="AO425" s="542">
        <f t="shared" si="194"/>
        <v>500</v>
      </c>
      <c r="AP425" s="543">
        <f t="shared" si="195"/>
        <v>500</v>
      </c>
      <c r="AQ425" s="544">
        <f t="shared" ca="1" si="196"/>
        <v>500</v>
      </c>
      <c r="AR425" s="545">
        <f t="shared" ca="1" si="197"/>
        <v>3.1645569620253164E-3</v>
      </c>
      <c r="AS425" s="545">
        <f ca="1">IFERROR(CEILING($AR425*VLOOKUP($I425,Ref!$B$23:$E$29,4,0),1),0)</f>
        <v>1</v>
      </c>
      <c r="AT425" s="545" t="str">
        <f ca="1">IF(A425="","",IF(AP425&lt;=1,"Cleared",IF(AS425=0,"Clean",VLOOKUP($AS425,Ref!$G$23:$H$28,2))))</f>
        <v>1.(0-30) Days</v>
      </c>
      <c r="AU425" s="546" t="str">
        <f t="shared" si="198"/>
        <v>Ok</v>
      </c>
    </row>
    <row r="426" spans="1:47" ht="14.25" hidden="1" customHeight="1" x14ac:dyDescent="0.15">
      <c r="A426" s="575">
        <v>44596</v>
      </c>
      <c r="B426" s="523">
        <v>73</v>
      </c>
      <c r="C426" s="523">
        <v>426</v>
      </c>
      <c r="D426" s="523">
        <v>3</v>
      </c>
      <c r="E426" s="579" t="s">
        <v>1274</v>
      </c>
      <c r="F426" s="580">
        <v>800000</v>
      </c>
      <c r="G426" s="524">
        <v>5</v>
      </c>
      <c r="H426" s="555">
        <v>6.5000000000000002E-2</v>
      </c>
      <c r="I426" s="560" t="s">
        <v>861</v>
      </c>
      <c r="J426" s="523" t="s">
        <v>864</v>
      </c>
      <c r="K426" s="528" t="str">
        <f>IFERROR(VLOOKUP($B426,'Clients-Live'!$A:$C,3,0),"")</f>
        <v>AJONYE DEBORA</v>
      </c>
      <c r="L426" s="528">
        <f>IF(E426="STL",Pricing!$D$38,IF(A426="",0,IF(A426&lt;Pricing!$C$25,Pricing!$D$25,VLOOKUP(Disbursements!$F426,Pricing!$B$29:$D$32,3))))</f>
        <v>20000</v>
      </c>
      <c r="M426" s="528">
        <f>IF(E426="STL",0,IF(F426&gt;0,Pricing!$D$21,0))</f>
        <v>5000</v>
      </c>
      <c r="N426" s="529">
        <f>IF(E426="STL",F426*Pricing!$D$40,IF(A426&lt;=Pricing!$C$4,0,IF(AND(A426&gt;Pricing!$C$4,Disbursements!A426&lt;=Pricing!$C$5),F426*Pricing!$E$5,IF(AND(A426&gt;Pricing!$C$5,Disbursements!A426&lt;=Pricing!$C$7),VLOOKUP(F426,Pricing!$D$7:$E$8,2)*Disbursements!F426,F426*Pricing!$E$9))))</f>
        <v>16000</v>
      </c>
      <c r="O426" s="528">
        <f>IF(E426="STL",0,IF($F426&gt;0,$F426*Pricing!$D$17,0))</f>
        <v>80000</v>
      </c>
      <c r="P426" s="530">
        <f t="shared" si="178"/>
        <v>260000</v>
      </c>
      <c r="Q426" s="531">
        <f>IF($A426="","",$G426/VLOOKUP($I426,Ref!$B$23:$D$29,2,0))</f>
        <v>20</v>
      </c>
      <c r="R426" s="530">
        <f t="shared" si="179"/>
        <v>1060000</v>
      </c>
      <c r="S426" s="532">
        <f t="shared" si="173"/>
        <v>53000</v>
      </c>
      <c r="T426" s="531">
        <f t="shared" si="180"/>
        <v>53000</v>
      </c>
      <c r="U426" s="533">
        <f t="shared" si="181"/>
        <v>1060000</v>
      </c>
      <c r="V426" s="531">
        <f t="shared" si="182"/>
        <v>40000</v>
      </c>
      <c r="W426" s="531">
        <f t="shared" si="183"/>
        <v>13000</v>
      </c>
      <c r="X426" s="534">
        <f t="shared" si="184"/>
        <v>260000</v>
      </c>
      <c r="Y426" s="535">
        <f>IF($A426="","",IF($I426="weekly",$A426+7,EDATE($A426,VLOOKUP($I426,Ref!$B$24:$C$29,2,0))))</f>
        <v>44603</v>
      </c>
      <c r="Z426" s="536" t="str">
        <f t="shared" si="185"/>
        <v>Frid</v>
      </c>
      <c r="AA426" s="531">
        <f t="shared" si="186"/>
        <v>7</v>
      </c>
      <c r="AB426" s="535">
        <f t="shared" si="174"/>
        <v>44746</v>
      </c>
      <c r="AC426" s="537">
        <f t="shared" si="175"/>
        <v>150</v>
      </c>
      <c r="AD426" s="538" t="str">
        <f t="shared" ca="1" si="176"/>
        <v>Expired</v>
      </c>
      <c r="AE426" s="537">
        <f t="shared" ca="1" si="177"/>
        <v>0</v>
      </c>
      <c r="AF426" s="539">
        <f t="shared" ca="1" si="187"/>
        <v>20</v>
      </c>
      <c r="AG426" s="531">
        <f t="shared" ca="1" si="188"/>
        <v>1060000</v>
      </c>
      <c r="AH426" s="531">
        <f t="shared" ca="1" si="189"/>
        <v>260000</v>
      </c>
      <c r="AI426" s="531">
        <f t="shared" ca="1" si="190"/>
        <v>800000</v>
      </c>
      <c r="AJ426" s="531">
        <f t="shared" ca="1" si="191"/>
        <v>0</v>
      </c>
      <c r="AK426" s="540">
        <f>SUMIFS('Live Collections'!$S:$S,'Live Collections'!$D:$D,Disbursements!B426,'Live Collections'!$G:$G,Disbursements!C426)</f>
        <v>204333.33333333331</v>
      </c>
      <c r="AL426" s="540">
        <f>SUMIFS('Live Collections'!$T:$T,'Live Collections'!$D:$D,Disbursements!B426,'Live Collections'!$G:$G,Disbursements!C426)</f>
        <v>589666.66666666674</v>
      </c>
      <c r="AM426" s="541">
        <f t="shared" si="192"/>
        <v>794000</v>
      </c>
      <c r="AN426" s="542">
        <f t="shared" si="193"/>
        <v>55666.666666666686</v>
      </c>
      <c r="AO426" s="542">
        <f t="shared" si="194"/>
        <v>210333.33333333326</v>
      </c>
      <c r="AP426" s="543">
        <f t="shared" si="195"/>
        <v>265999.99999999994</v>
      </c>
      <c r="AQ426" s="544">
        <f t="shared" ca="1" si="196"/>
        <v>265999.99999999994</v>
      </c>
      <c r="AR426" s="545">
        <f t="shared" ca="1" si="197"/>
        <v>5.0188679245283012</v>
      </c>
      <c r="AS426" s="545">
        <f ca="1">IFERROR(CEILING($AR426*VLOOKUP($I426,Ref!$B$23:$E$29,4,0),1),0)</f>
        <v>36</v>
      </c>
      <c r="AT426" s="545" t="str">
        <f ca="1">IF(A426="","",IF(AP426&lt;=1,"Cleared",IF(AS426=0,"Clean",VLOOKUP($AS426,Ref!$G$23:$H$28,2))))</f>
        <v>2.(31-60) Days</v>
      </c>
      <c r="AU426" s="546" t="str">
        <f t="shared" si="198"/>
        <v>Ok</v>
      </c>
    </row>
    <row r="427" spans="1:47" ht="14.25" customHeight="1" x14ac:dyDescent="0.15">
      <c r="A427" s="575">
        <v>44596</v>
      </c>
      <c r="B427" s="523">
        <v>97</v>
      </c>
      <c r="C427" s="523">
        <v>424</v>
      </c>
      <c r="D427" s="523">
        <v>4</v>
      </c>
      <c r="E427" s="579" t="s">
        <v>1274</v>
      </c>
      <c r="F427" s="580">
        <v>4000000</v>
      </c>
      <c r="G427" s="524">
        <v>1</v>
      </c>
      <c r="H427" s="555">
        <v>6.5000000000000002E-2</v>
      </c>
      <c r="I427" s="560" t="s">
        <v>859</v>
      </c>
      <c r="J427" s="523" t="s">
        <v>862</v>
      </c>
      <c r="K427" s="528" t="str">
        <f>IFERROR(VLOOKUP($B427,'Clients-Live'!$A:$C,3,0),"")</f>
        <v>DRANDUA JOB CHRISPUS</v>
      </c>
      <c r="L427" s="528">
        <f>IF(E427="STL",Pricing!$D$38,IF(A427="",0,IF(A427&lt;Pricing!$C$25,Pricing!$D$25,VLOOKUP(Disbursements!$F427,Pricing!$B$29:$D$32,3))))</f>
        <v>30000</v>
      </c>
      <c r="M427" s="528">
        <f>IF(E427="STL",0,IF(F427&gt;0,Pricing!$D$21,0))</f>
        <v>5000</v>
      </c>
      <c r="N427" s="529">
        <f>IF(E427="STL",F427*Pricing!$D$40,IF(A427&lt;=Pricing!$C$4,0,IF(AND(A427&gt;Pricing!$C$4,Disbursements!A427&lt;=Pricing!$C$5),F427*Pricing!$E$5,IF(AND(A427&gt;Pricing!$C$5,Disbursements!A427&lt;=Pricing!$C$7),VLOOKUP(F427,Pricing!$D$7:$E$8,2)*Disbursements!F427,F427*Pricing!$E$9))))</f>
        <v>80000</v>
      </c>
      <c r="O427" s="528">
        <f>IF(E427="STL",0,IF($F427&gt;0,$F427*Pricing!$D$17,0))</f>
        <v>400000</v>
      </c>
      <c r="P427" s="530">
        <f t="shared" si="178"/>
        <v>260000</v>
      </c>
      <c r="Q427" s="531">
        <f>IF($A427="","",$G427/VLOOKUP($I427,Ref!$B$23:$D$29,2,0))</f>
        <v>1</v>
      </c>
      <c r="R427" s="530">
        <f t="shared" si="179"/>
        <v>4260000</v>
      </c>
      <c r="S427" s="532">
        <f t="shared" si="173"/>
        <v>4260000</v>
      </c>
      <c r="T427" s="531">
        <f t="shared" si="180"/>
        <v>4260000</v>
      </c>
      <c r="U427" s="533">
        <f t="shared" si="181"/>
        <v>4260000</v>
      </c>
      <c r="V427" s="531">
        <f t="shared" si="182"/>
        <v>4000000</v>
      </c>
      <c r="W427" s="531">
        <f t="shared" si="183"/>
        <v>260000</v>
      </c>
      <c r="X427" s="534">
        <f t="shared" si="184"/>
        <v>260000</v>
      </c>
      <c r="Y427" s="535">
        <f>IF($A427="","",IF($I427="weekly",$A427+7,EDATE($A427,VLOOKUP($I427,Ref!$B$24:$C$29,2,0))))</f>
        <v>44624</v>
      </c>
      <c r="Z427" s="536" t="str">
        <f t="shared" si="185"/>
        <v>Frid</v>
      </c>
      <c r="AA427" s="531">
        <f t="shared" si="186"/>
        <v>28</v>
      </c>
      <c r="AB427" s="535">
        <f t="shared" si="174"/>
        <v>44624</v>
      </c>
      <c r="AC427" s="537">
        <f t="shared" si="175"/>
        <v>28</v>
      </c>
      <c r="AD427" s="538" t="str">
        <f t="shared" ca="1" si="176"/>
        <v>Expired</v>
      </c>
      <c r="AE427" s="537">
        <f t="shared" ca="1" si="177"/>
        <v>0</v>
      </c>
      <c r="AF427" s="539">
        <f t="shared" ca="1" si="187"/>
        <v>1</v>
      </c>
      <c r="AG427" s="531">
        <f t="shared" ca="1" si="188"/>
        <v>4260000</v>
      </c>
      <c r="AH427" s="531">
        <f t="shared" ca="1" si="189"/>
        <v>260000</v>
      </c>
      <c r="AI427" s="531">
        <f t="shared" ca="1" si="190"/>
        <v>4000000</v>
      </c>
      <c r="AJ427" s="531">
        <f t="shared" ca="1" si="191"/>
        <v>0</v>
      </c>
      <c r="AK427" s="540">
        <f>SUMIFS('Live Collections'!$S:$S,'Live Collections'!$D:$D,Disbursements!B427,'Live Collections'!$G:$G,Disbursements!C427)</f>
        <v>260000</v>
      </c>
      <c r="AL427" s="540">
        <f>SUMIFS('Live Collections'!$T:$T,'Live Collections'!$D:$D,Disbursements!B427,'Live Collections'!$G:$G,Disbursements!C427)</f>
        <v>4000000</v>
      </c>
      <c r="AM427" s="541">
        <f t="shared" si="192"/>
        <v>4260000</v>
      </c>
      <c r="AN427" s="542">
        <f t="shared" si="193"/>
        <v>0</v>
      </c>
      <c r="AO427" s="542">
        <f t="shared" si="194"/>
        <v>0</v>
      </c>
      <c r="AP427" s="543">
        <f t="shared" si="195"/>
        <v>0</v>
      </c>
      <c r="AQ427" s="544" t="str">
        <f t="shared" ca="1" si="196"/>
        <v/>
      </c>
      <c r="AR427" s="545">
        <f t="shared" ca="1" si="197"/>
        <v>0</v>
      </c>
      <c r="AS427" s="545">
        <f ca="1">IFERROR(CEILING($AR427*VLOOKUP($I427,Ref!$B$23:$E$29,4,0),1),0)</f>
        <v>0</v>
      </c>
      <c r="AT427" s="545" t="str">
        <f>IF(A427="","",IF(AP427&lt;=1,"Cleared",IF(AS427=0,"Clean",VLOOKUP($AS427,Ref!$G$23:$H$28,2))))</f>
        <v>Cleared</v>
      </c>
      <c r="AU427" s="546" t="str">
        <f t="shared" si="198"/>
        <v>Ok</v>
      </c>
    </row>
    <row r="428" spans="1:47" ht="14.25" customHeight="1" x14ac:dyDescent="0.15">
      <c r="A428" s="575">
        <v>44596</v>
      </c>
      <c r="B428" s="523">
        <v>251</v>
      </c>
      <c r="C428" s="523">
        <v>425</v>
      </c>
      <c r="D428" s="523">
        <v>2</v>
      </c>
      <c r="E428" s="579" t="s">
        <v>1274</v>
      </c>
      <c r="F428" s="580">
        <v>500000</v>
      </c>
      <c r="G428" s="524">
        <v>2</v>
      </c>
      <c r="H428" s="555">
        <v>6.5000000000000002E-2</v>
      </c>
      <c r="I428" s="560" t="s">
        <v>859</v>
      </c>
      <c r="J428" s="523" t="s">
        <v>862</v>
      </c>
      <c r="K428" s="528" t="str">
        <f>IFERROR(VLOOKUP($B428,'Clients-Live'!$A:$C,3,0),"")</f>
        <v>SIDA ZAINABU</v>
      </c>
      <c r="L428" s="528">
        <f>IF(E428="STL",Pricing!$D$38,IF(A428="",0,IF(A428&lt;Pricing!$C$25,Pricing!$D$25,VLOOKUP(Disbursements!$F428,Pricing!$B$29:$D$32,3))))</f>
        <v>15000</v>
      </c>
      <c r="M428" s="528">
        <f>IF(E428="STL",0,IF(F428&gt;0,Pricing!$D$21,0))</f>
        <v>5000</v>
      </c>
      <c r="N428" s="529">
        <f>IF(E428="STL",F428*Pricing!$D$40,IF(A428&lt;=Pricing!$C$4,0,IF(AND(A428&gt;Pricing!$C$4,Disbursements!A428&lt;=Pricing!$C$5),F428*Pricing!$E$5,IF(AND(A428&gt;Pricing!$C$5,Disbursements!A428&lt;=Pricing!$C$7),VLOOKUP(F428,Pricing!$D$7:$E$8,2)*Disbursements!F428,F428*Pricing!$E$9))))</f>
        <v>10000</v>
      </c>
      <c r="O428" s="528">
        <f>IF(E428="STL",0,IF($F428&gt;0,$F428*Pricing!$D$17,0))</f>
        <v>50000</v>
      </c>
      <c r="P428" s="530">
        <f t="shared" si="178"/>
        <v>65000</v>
      </c>
      <c r="Q428" s="531">
        <f>IF($A428="","",$G428/VLOOKUP($I428,Ref!$B$23:$D$29,2,0))</f>
        <v>2</v>
      </c>
      <c r="R428" s="530">
        <f t="shared" si="179"/>
        <v>565000</v>
      </c>
      <c r="S428" s="532">
        <f t="shared" si="173"/>
        <v>282500</v>
      </c>
      <c r="T428" s="531">
        <f t="shared" si="180"/>
        <v>283000</v>
      </c>
      <c r="U428" s="533">
        <f t="shared" si="181"/>
        <v>566000</v>
      </c>
      <c r="V428" s="531">
        <f t="shared" si="182"/>
        <v>250000</v>
      </c>
      <c r="W428" s="531">
        <f t="shared" si="183"/>
        <v>33000</v>
      </c>
      <c r="X428" s="534">
        <f t="shared" si="184"/>
        <v>66000</v>
      </c>
      <c r="Y428" s="535">
        <f>IF($A428="","",IF($I428="weekly",$A428+7,EDATE($A428,VLOOKUP($I428,Ref!$B$24:$C$29,2,0))))</f>
        <v>44624</v>
      </c>
      <c r="Z428" s="536" t="str">
        <f t="shared" si="185"/>
        <v>Frid</v>
      </c>
      <c r="AA428" s="531">
        <f t="shared" si="186"/>
        <v>28</v>
      </c>
      <c r="AB428" s="535">
        <f t="shared" si="174"/>
        <v>44655</v>
      </c>
      <c r="AC428" s="537">
        <f t="shared" si="175"/>
        <v>59</v>
      </c>
      <c r="AD428" s="538" t="str">
        <f t="shared" ca="1" si="176"/>
        <v>Expired</v>
      </c>
      <c r="AE428" s="537">
        <f t="shared" ca="1" si="177"/>
        <v>0</v>
      </c>
      <c r="AF428" s="539">
        <f t="shared" ca="1" si="187"/>
        <v>2</v>
      </c>
      <c r="AG428" s="531">
        <f t="shared" ca="1" si="188"/>
        <v>566000</v>
      </c>
      <c r="AH428" s="531">
        <f t="shared" ca="1" si="189"/>
        <v>66000</v>
      </c>
      <c r="AI428" s="531">
        <f t="shared" ca="1" si="190"/>
        <v>500000</v>
      </c>
      <c r="AJ428" s="531">
        <f t="shared" ca="1" si="191"/>
        <v>0</v>
      </c>
      <c r="AK428" s="540">
        <f>SUMIFS('Live Collections'!$S:$S,'Live Collections'!$D:$D,Disbursements!B428,'Live Collections'!$G:$G,Disbursements!C428)</f>
        <v>66000</v>
      </c>
      <c r="AL428" s="540">
        <f>SUMIFS('Live Collections'!$T:$T,'Live Collections'!$D:$D,Disbursements!B428,'Live Collections'!$G:$G,Disbursements!C428)</f>
        <v>499000</v>
      </c>
      <c r="AM428" s="541">
        <f t="shared" si="192"/>
        <v>565000</v>
      </c>
      <c r="AN428" s="542">
        <f t="shared" si="193"/>
        <v>0</v>
      </c>
      <c r="AO428" s="542">
        <f t="shared" si="194"/>
        <v>1000</v>
      </c>
      <c r="AP428" s="543">
        <f t="shared" si="195"/>
        <v>1000</v>
      </c>
      <c r="AQ428" s="544">
        <f t="shared" ca="1" si="196"/>
        <v>1000</v>
      </c>
      <c r="AR428" s="545">
        <f t="shared" ca="1" si="197"/>
        <v>3.5335689045936395E-3</v>
      </c>
      <c r="AS428" s="545">
        <f ca="1">IFERROR(CEILING($AR428*VLOOKUP($I428,Ref!$B$23:$E$29,4,0),1),0)</f>
        <v>1</v>
      </c>
      <c r="AT428" s="545" t="str">
        <f ca="1">IF(A428="","",IF(AP428&lt;=1,"Cleared",IF(AS428=0,"Clean",VLOOKUP($AS428,Ref!$G$23:$H$28,2))))</f>
        <v>1.(0-30) Days</v>
      </c>
      <c r="AU428" s="546" t="str">
        <f t="shared" si="198"/>
        <v>Ok</v>
      </c>
    </row>
    <row r="429" spans="1:47" ht="14.25" customHeight="1" x14ac:dyDescent="0.15">
      <c r="A429" s="575">
        <v>44599</v>
      </c>
      <c r="B429" s="523">
        <v>1</v>
      </c>
      <c r="C429" s="523">
        <v>428</v>
      </c>
      <c r="D429" s="523">
        <v>2</v>
      </c>
      <c r="E429" s="579" t="s">
        <v>1976</v>
      </c>
      <c r="F429" s="580">
        <v>500000</v>
      </c>
      <c r="G429" s="524">
        <v>2</v>
      </c>
      <c r="H429" s="555">
        <v>2.5000000000000001E-2</v>
      </c>
      <c r="I429" s="560" t="s">
        <v>859</v>
      </c>
      <c r="J429" s="523" t="s">
        <v>864</v>
      </c>
      <c r="K429" s="528" t="str">
        <f>IFERROR(VLOOKUP($B429,'Clients-Live'!$A:$C,3,0),"")</f>
        <v>TABAN NICHOLAS</v>
      </c>
      <c r="L429" s="528">
        <f>IF(E429="STL",Pricing!$D$38,IF(A429="",0,IF(A429&lt;Pricing!$C$25,Pricing!$D$25,VLOOKUP(Disbursements!$F429,Pricing!$B$29:$D$32,3))))</f>
        <v>10000</v>
      </c>
      <c r="M429" s="528">
        <f>IF(E429="STL",0,IF(F429&gt;0,Pricing!$D$21,0))</f>
        <v>0</v>
      </c>
      <c r="N429" s="529">
        <f>IF(E429="STL",F429*Pricing!$D$40,IF(A429&lt;=Pricing!$C$4,0,IF(AND(A429&gt;Pricing!$C$4,Disbursements!A429&lt;=Pricing!$C$5),F429*Pricing!$E$5,IF(AND(A429&gt;Pricing!$C$5,Disbursements!A429&lt;=Pricing!$C$7),VLOOKUP(F429,Pricing!$D$7:$E$8,2)*Disbursements!F429,F429*Pricing!$E$9))))</f>
        <v>5000</v>
      </c>
      <c r="O429" s="528">
        <f>IF(E429="STL",0,IF($F429&gt;0,$F429*Pricing!$D$17,0))</f>
        <v>0</v>
      </c>
      <c r="P429" s="530">
        <f t="shared" si="178"/>
        <v>25000</v>
      </c>
      <c r="Q429" s="531">
        <f>IF($A429="","",$G429/VLOOKUP($I429,Ref!$B$23:$D$29,2,0))</f>
        <v>2</v>
      </c>
      <c r="R429" s="530">
        <f t="shared" si="179"/>
        <v>525000</v>
      </c>
      <c r="S429" s="532">
        <f t="shared" si="173"/>
        <v>262500</v>
      </c>
      <c r="T429" s="531">
        <f t="shared" si="180"/>
        <v>263000</v>
      </c>
      <c r="U429" s="533">
        <f t="shared" si="181"/>
        <v>526000</v>
      </c>
      <c r="V429" s="531">
        <f t="shared" si="182"/>
        <v>250000</v>
      </c>
      <c r="W429" s="531">
        <f t="shared" si="183"/>
        <v>13000</v>
      </c>
      <c r="X429" s="534">
        <f t="shared" si="184"/>
        <v>26000</v>
      </c>
      <c r="Y429" s="535">
        <f>IF($A429="","",IF($I429="weekly",$A429+7,EDATE($A429,VLOOKUP($I429,Ref!$B$24:$C$29,2,0))))</f>
        <v>44627</v>
      </c>
      <c r="Z429" s="536" t="str">
        <f t="shared" si="185"/>
        <v>Mon</v>
      </c>
      <c r="AA429" s="531">
        <f t="shared" si="186"/>
        <v>28</v>
      </c>
      <c r="AB429" s="535">
        <f t="shared" si="174"/>
        <v>44658</v>
      </c>
      <c r="AC429" s="537">
        <f t="shared" si="175"/>
        <v>59</v>
      </c>
      <c r="AD429" s="538" t="str">
        <f t="shared" ca="1" si="176"/>
        <v>Expired</v>
      </c>
      <c r="AE429" s="537">
        <f t="shared" ca="1" si="177"/>
        <v>0</v>
      </c>
      <c r="AF429" s="539">
        <f t="shared" ca="1" si="187"/>
        <v>2</v>
      </c>
      <c r="AG429" s="531">
        <f t="shared" ca="1" si="188"/>
        <v>526000</v>
      </c>
      <c r="AH429" s="531">
        <f t="shared" ca="1" si="189"/>
        <v>26000</v>
      </c>
      <c r="AI429" s="531">
        <f t="shared" ca="1" si="190"/>
        <v>500000</v>
      </c>
      <c r="AJ429" s="531">
        <f t="shared" ca="1" si="191"/>
        <v>0</v>
      </c>
      <c r="AK429" s="540">
        <f>SUMIFS('Live Collections'!$S:$S,'Live Collections'!$D:$D,Disbursements!B429,'Live Collections'!$G:$G,Disbursements!C429)</f>
        <v>26000</v>
      </c>
      <c r="AL429" s="540">
        <f>SUMIFS('Live Collections'!$T:$T,'Live Collections'!$D:$D,Disbursements!B429,'Live Collections'!$G:$G,Disbursements!C429)</f>
        <v>500000</v>
      </c>
      <c r="AM429" s="541">
        <f t="shared" si="192"/>
        <v>526000</v>
      </c>
      <c r="AN429" s="542">
        <f t="shared" si="193"/>
        <v>0</v>
      </c>
      <c r="AO429" s="542">
        <f t="shared" si="194"/>
        <v>0</v>
      </c>
      <c r="AP429" s="543">
        <f t="shared" si="195"/>
        <v>0</v>
      </c>
      <c r="AQ429" s="544" t="str">
        <f t="shared" ca="1" si="196"/>
        <v/>
      </c>
      <c r="AR429" s="545">
        <f t="shared" ca="1" si="197"/>
        <v>0</v>
      </c>
      <c r="AS429" s="545">
        <f ca="1">IFERROR(CEILING($AR429*VLOOKUP($I429,Ref!$B$23:$E$29,4,0),1),0)</f>
        <v>0</v>
      </c>
      <c r="AT429" s="545" t="str">
        <f>IF(A429="","",IF(AP429&lt;=1,"Cleared",IF(AS429=0,"Clean",VLOOKUP($AS429,Ref!$G$23:$H$28,2))))</f>
        <v>Cleared</v>
      </c>
      <c r="AU429" s="546" t="str">
        <f t="shared" si="198"/>
        <v>Ok</v>
      </c>
    </row>
    <row r="430" spans="1:47" ht="14.25" hidden="1" customHeight="1" x14ac:dyDescent="0.15">
      <c r="A430" s="575">
        <v>44599</v>
      </c>
      <c r="B430" s="523">
        <v>20</v>
      </c>
      <c r="C430" s="523">
        <v>427</v>
      </c>
      <c r="D430" s="523">
        <v>3</v>
      </c>
      <c r="E430" s="579" t="s">
        <v>1274</v>
      </c>
      <c r="F430" s="580">
        <v>1000000</v>
      </c>
      <c r="G430" s="524">
        <v>5</v>
      </c>
      <c r="H430" s="555">
        <v>6.5000000000000002E-2</v>
      </c>
      <c r="I430" s="560" t="s">
        <v>861</v>
      </c>
      <c r="J430" s="523" t="s">
        <v>863</v>
      </c>
      <c r="K430" s="528" t="str">
        <f>IFERROR(VLOOKUP($B430,'Clients-Live'!$A:$C,3,0),"")</f>
        <v>ANDEZO KEVIN</v>
      </c>
      <c r="L430" s="528">
        <f>IF(E430="STL",Pricing!$D$38,IF(A430="",0,IF(A430&lt;Pricing!$C$25,Pricing!$D$25,VLOOKUP(Disbursements!$F430,Pricing!$B$29:$D$32,3))))</f>
        <v>20000</v>
      </c>
      <c r="M430" s="528">
        <f>IF(E430="STL",0,IF(F430&gt;0,Pricing!$D$21,0))</f>
        <v>5000</v>
      </c>
      <c r="N430" s="529">
        <f>IF(E430="STL",F430*Pricing!$D$40,IF(A430&lt;=Pricing!$C$4,0,IF(AND(A430&gt;Pricing!$C$4,Disbursements!A430&lt;=Pricing!$C$5),F430*Pricing!$E$5,IF(AND(A430&gt;Pricing!$C$5,Disbursements!A430&lt;=Pricing!$C$7),VLOOKUP(F430,Pricing!$D$7:$E$8,2)*Disbursements!F430,F430*Pricing!$E$9))))</f>
        <v>20000</v>
      </c>
      <c r="O430" s="528">
        <f>IF(E430="STL",0,IF($F430&gt;0,$F430*Pricing!$D$17,0))</f>
        <v>100000</v>
      </c>
      <c r="P430" s="530">
        <f t="shared" si="178"/>
        <v>325000</v>
      </c>
      <c r="Q430" s="531">
        <f>IF($A430="","",$G430/VLOOKUP($I430,Ref!$B$23:$D$29,2,0))</f>
        <v>20</v>
      </c>
      <c r="R430" s="530">
        <f t="shared" si="179"/>
        <v>1325000</v>
      </c>
      <c r="S430" s="532">
        <f t="shared" si="173"/>
        <v>66250</v>
      </c>
      <c r="T430" s="531">
        <f t="shared" si="180"/>
        <v>67000</v>
      </c>
      <c r="U430" s="533">
        <f t="shared" si="181"/>
        <v>1340000</v>
      </c>
      <c r="V430" s="531">
        <f t="shared" si="182"/>
        <v>50000</v>
      </c>
      <c r="W430" s="531">
        <f t="shared" si="183"/>
        <v>17000</v>
      </c>
      <c r="X430" s="534">
        <f t="shared" si="184"/>
        <v>340000</v>
      </c>
      <c r="Y430" s="535">
        <f>IF($A430="","",IF($I430="weekly",$A430+7,EDATE($A430,VLOOKUP($I430,Ref!$B$24:$C$29,2,0))))</f>
        <v>44606</v>
      </c>
      <c r="Z430" s="536" t="str">
        <f t="shared" si="185"/>
        <v>Mon</v>
      </c>
      <c r="AA430" s="531">
        <f t="shared" si="186"/>
        <v>7</v>
      </c>
      <c r="AB430" s="535">
        <f t="shared" si="174"/>
        <v>44749</v>
      </c>
      <c r="AC430" s="537">
        <f t="shared" si="175"/>
        <v>150</v>
      </c>
      <c r="AD430" s="538" t="str">
        <f t="shared" ca="1" si="176"/>
        <v>Expired</v>
      </c>
      <c r="AE430" s="537">
        <f t="shared" ca="1" si="177"/>
        <v>0</v>
      </c>
      <c r="AF430" s="539">
        <f t="shared" ca="1" si="187"/>
        <v>20</v>
      </c>
      <c r="AG430" s="531">
        <f t="shared" ca="1" si="188"/>
        <v>1340000</v>
      </c>
      <c r="AH430" s="531">
        <f t="shared" ca="1" si="189"/>
        <v>340000</v>
      </c>
      <c r="AI430" s="531">
        <f t="shared" ca="1" si="190"/>
        <v>1000000</v>
      </c>
      <c r="AJ430" s="531">
        <f t="shared" ca="1" si="191"/>
        <v>0</v>
      </c>
      <c r="AK430" s="540">
        <f>SUMIFS('Live Collections'!$S:$S,'Live Collections'!$D:$D,Disbursements!B430,'Live Collections'!$G:$G,Disbursements!C430)</f>
        <v>15000</v>
      </c>
      <c r="AL430" s="540">
        <f>SUMIFS('Live Collections'!$T:$T,'Live Collections'!$D:$D,Disbursements!B430,'Live Collections'!$G:$G,Disbursements!C430)</f>
        <v>52000</v>
      </c>
      <c r="AM430" s="541">
        <f t="shared" si="192"/>
        <v>67000</v>
      </c>
      <c r="AN430" s="542">
        <f t="shared" si="193"/>
        <v>325000</v>
      </c>
      <c r="AO430" s="542">
        <f t="shared" si="194"/>
        <v>948000</v>
      </c>
      <c r="AP430" s="543">
        <f t="shared" si="195"/>
        <v>1273000</v>
      </c>
      <c r="AQ430" s="544">
        <f t="shared" ca="1" si="196"/>
        <v>1273000</v>
      </c>
      <c r="AR430" s="545">
        <f t="shared" ca="1" si="197"/>
        <v>19</v>
      </c>
      <c r="AS430" s="545">
        <f ca="1">IFERROR(CEILING($AR430*VLOOKUP($I430,Ref!$B$23:$E$29,4,0),1),0)</f>
        <v>133</v>
      </c>
      <c r="AT430" s="545" t="str">
        <f ca="1">IF(A430="","",IF(AP430&lt;=1,"Cleared",IF(AS430=0,"Clean",VLOOKUP($AS430,Ref!$G$23:$H$28,2))))</f>
        <v>4.(91-365) Days</v>
      </c>
      <c r="AU430" s="546" t="str">
        <f t="shared" si="198"/>
        <v>Ok</v>
      </c>
    </row>
    <row r="431" spans="1:47" ht="14.25" customHeight="1" x14ac:dyDescent="0.15">
      <c r="A431" s="575">
        <v>44599</v>
      </c>
      <c r="B431" s="523">
        <v>119</v>
      </c>
      <c r="C431" s="523">
        <v>430</v>
      </c>
      <c r="D431" s="523">
        <v>3</v>
      </c>
      <c r="E431" s="579" t="s">
        <v>1275</v>
      </c>
      <c r="F431" s="580">
        <v>600000</v>
      </c>
      <c r="G431" s="524">
        <v>1</v>
      </c>
      <c r="H431" s="555">
        <v>7.4999999999999997E-2</v>
      </c>
      <c r="I431" s="560" t="s">
        <v>859</v>
      </c>
      <c r="J431" s="523" t="s">
        <v>862</v>
      </c>
      <c r="K431" s="528" t="str">
        <f>IFERROR(VLOOKUP($B431,'Clients-Live'!$A:$C,3,0),"")</f>
        <v>STELLA KONGAI</v>
      </c>
      <c r="L431" s="528">
        <f>IF(E431="STL",Pricing!$D$38,IF(A431="",0,IF(A431&lt;Pricing!$C$25,Pricing!$D$25,VLOOKUP(Disbursements!$F431,Pricing!$B$29:$D$32,3))))</f>
        <v>20000</v>
      </c>
      <c r="M431" s="528">
        <f>IF(E431="STL",0,IF(F431&gt;0,Pricing!$D$21,0))</f>
        <v>5000</v>
      </c>
      <c r="N431" s="529">
        <f>IF(E431="STL",F431*Pricing!$D$40,IF(A431&lt;=Pricing!$C$4,0,IF(AND(A431&gt;Pricing!$C$4,Disbursements!A431&lt;=Pricing!$C$5),F431*Pricing!$E$5,IF(AND(A431&gt;Pricing!$C$5,Disbursements!A431&lt;=Pricing!$C$7),VLOOKUP(F431,Pricing!$D$7:$E$8,2)*Disbursements!F431,F431*Pricing!$E$9))))</f>
        <v>12000</v>
      </c>
      <c r="O431" s="528">
        <f>IF(E431="STL",0,IF($F431&gt;0,$F431*Pricing!$D$17,0))</f>
        <v>60000</v>
      </c>
      <c r="P431" s="530">
        <f t="shared" si="178"/>
        <v>45000</v>
      </c>
      <c r="Q431" s="531">
        <f>IF($A431="","",$G431/VLOOKUP($I431,Ref!$B$23:$D$29,2,0))</f>
        <v>1</v>
      </c>
      <c r="R431" s="530">
        <f t="shared" si="179"/>
        <v>645000</v>
      </c>
      <c r="S431" s="532">
        <f t="shared" si="173"/>
        <v>645000</v>
      </c>
      <c r="T431" s="531">
        <f t="shared" si="180"/>
        <v>645000</v>
      </c>
      <c r="U431" s="533">
        <f t="shared" si="181"/>
        <v>645000</v>
      </c>
      <c r="V431" s="531">
        <f t="shared" si="182"/>
        <v>600000</v>
      </c>
      <c r="W431" s="531">
        <f t="shared" si="183"/>
        <v>45000</v>
      </c>
      <c r="X431" s="534">
        <f t="shared" si="184"/>
        <v>45000</v>
      </c>
      <c r="Y431" s="535">
        <f>IF($A431="","",IF($I431="weekly",$A431+7,EDATE($A431,VLOOKUP($I431,Ref!$B$24:$C$29,2,0))))</f>
        <v>44627</v>
      </c>
      <c r="Z431" s="536" t="str">
        <f t="shared" si="185"/>
        <v>Mon</v>
      </c>
      <c r="AA431" s="531">
        <f t="shared" si="186"/>
        <v>28</v>
      </c>
      <c r="AB431" s="535">
        <f t="shared" si="174"/>
        <v>44627</v>
      </c>
      <c r="AC431" s="537">
        <f t="shared" si="175"/>
        <v>28</v>
      </c>
      <c r="AD431" s="538" t="str">
        <f t="shared" ca="1" si="176"/>
        <v>Expired</v>
      </c>
      <c r="AE431" s="537">
        <f t="shared" ca="1" si="177"/>
        <v>0</v>
      </c>
      <c r="AF431" s="539">
        <f t="shared" ca="1" si="187"/>
        <v>1</v>
      </c>
      <c r="AG431" s="531">
        <f t="shared" ca="1" si="188"/>
        <v>645000</v>
      </c>
      <c r="AH431" s="531">
        <f t="shared" ca="1" si="189"/>
        <v>45000</v>
      </c>
      <c r="AI431" s="531">
        <f t="shared" ca="1" si="190"/>
        <v>600000</v>
      </c>
      <c r="AJ431" s="531">
        <f t="shared" ca="1" si="191"/>
        <v>0</v>
      </c>
      <c r="AK431" s="540">
        <f>SUMIFS('Live Collections'!$S:$S,'Live Collections'!$D:$D,Disbursements!B431,'Live Collections'!$G:$G,Disbursements!C431)</f>
        <v>45000</v>
      </c>
      <c r="AL431" s="540">
        <f>SUMIFS('Live Collections'!$T:$T,'Live Collections'!$D:$D,Disbursements!B431,'Live Collections'!$G:$G,Disbursements!C431)</f>
        <v>600000</v>
      </c>
      <c r="AM431" s="541">
        <f t="shared" si="192"/>
        <v>645000</v>
      </c>
      <c r="AN431" s="542">
        <f t="shared" si="193"/>
        <v>0</v>
      </c>
      <c r="AO431" s="542">
        <f t="shared" si="194"/>
        <v>0</v>
      </c>
      <c r="AP431" s="543">
        <f t="shared" si="195"/>
        <v>0</v>
      </c>
      <c r="AQ431" s="544" t="str">
        <f t="shared" ca="1" si="196"/>
        <v/>
      </c>
      <c r="AR431" s="545">
        <f t="shared" ca="1" si="197"/>
        <v>0</v>
      </c>
      <c r="AS431" s="545">
        <f ca="1">IFERROR(CEILING($AR431*VLOOKUP($I431,Ref!$B$23:$E$29,4,0),1),0)</f>
        <v>0</v>
      </c>
      <c r="AT431" s="545" t="str">
        <f>IF(A431="","",IF(AP431&lt;=1,"Cleared",IF(AS431=0,"Clean",VLOOKUP($AS431,Ref!$G$23:$H$28,2))))</f>
        <v>Cleared</v>
      </c>
      <c r="AU431" s="546" t="str">
        <f t="shared" si="198"/>
        <v>Ok</v>
      </c>
    </row>
    <row r="432" spans="1:47" ht="14.25" customHeight="1" x14ac:dyDescent="0.15">
      <c r="A432" s="575">
        <v>44599</v>
      </c>
      <c r="B432" s="523">
        <v>261</v>
      </c>
      <c r="C432" s="523">
        <v>429</v>
      </c>
      <c r="D432" s="523">
        <v>2</v>
      </c>
      <c r="E432" s="579" t="s">
        <v>1274</v>
      </c>
      <c r="F432" s="580">
        <v>250000</v>
      </c>
      <c r="G432" s="524">
        <v>2</v>
      </c>
      <c r="H432" s="555">
        <v>6.5000000000000002E-2</v>
      </c>
      <c r="I432" s="560" t="s">
        <v>859</v>
      </c>
      <c r="J432" s="523" t="s">
        <v>862</v>
      </c>
      <c r="K432" s="528" t="str">
        <f>IFERROR(VLOOKUP($B432,'Clients-Live'!$A:$C,3,0),"")</f>
        <v>AMANIYO STELLA</v>
      </c>
      <c r="L432" s="528">
        <f>IF(E432="STL",Pricing!$D$38,IF(A432="",0,IF(A432&lt;Pricing!$C$25,Pricing!$D$25,VLOOKUP(Disbursements!$F432,Pricing!$B$29:$D$32,3))))</f>
        <v>15000</v>
      </c>
      <c r="M432" s="528">
        <f>IF(E432="STL",0,IF(F432&gt;0,Pricing!$D$21,0))</f>
        <v>5000</v>
      </c>
      <c r="N432" s="529">
        <f>IF(E432="STL",F432*Pricing!$D$40,IF(A432&lt;=Pricing!$C$4,0,IF(AND(A432&gt;Pricing!$C$4,Disbursements!A432&lt;=Pricing!$C$5),F432*Pricing!$E$5,IF(AND(A432&gt;Pricing!$C$5,Disbursements!A432&lt;=Pricing!$C$7),VLOOKUP(F432,Pricing!$D$7:$E$8,2)*Disbursements!F432,F432*Pricing!$E$9))))</f>
        <v>5000</v>
      </c>
      <c r="O432" s="528">
        <f>IF(E432="STL",0,IF($F432&gt;0,$F432*Pricing!$D$17,0))</f>
        <v>25000</v>
      </c>
      <c r="P432" s="530">
        <f t="shared" si="178"/>
        <v>32500</v>
      </c>
      <c r="Q432" s="531">
        <f>IF($A432="","",$G432/VLOOKUP($I432,Ref!$B$23:$D$29,2,0))</f>
        <v>2</v>
      </c>
      <c r="R432" s="530">
        <f t="shared" si="179"/>
        <v>282500</v>
      </c>
      <c r="S432" s="532">
        <f t="shared" si="173"/>
        <v>141250</v>
      </c>
      <c r="T432" s="531">
        <f t="shared" si="180"/>
        <v>142000</v>
      </c>
      <c r="U432" s="533">
        <f t="shared" si="181"/>
        <v>284000</v>
      </c>
      <c r="V432" s="531">
        <f t="shared" si="182"/>
        <v>125000</v>
      </c>
      <c r="W432" s="531">
        <f t="shared" si="183"/>
        <v>17000</v>
      </c>
      <c r="X432" s="534">
        <f t="shared" si="184"/>
        <v>34000</v>
      </c>
      <c r="Y432" s="535">
        <f>IF($A432="","",IF($I432="weekly",$A432+7,EDATE($A432,VLOOKUP($I432,Ref!$B$24:$C$29,2,0))))</f>
        <v>44627</v>
      </c>
      <c r="Z432" s="536" t="str">
        <f t="shared" si="185"/>
        <v>Mon</v>
      </c>
      <c r="AA432" s="531">
        <f t="shared" si="186"/>
        <v>28</v>
      </c>
      <c r="AB432" s="535">
        <f t="shared" si="174"/>
        <v>44658</v>
      </c>
      <c r="AC432" s="537">
        <f t="shared" si="175"/>
        <v>59</v>
      </c>
      <c r="AD432" s="538" t="str">
        <f t="shared" ca="1" si="176"/>
        <v>Expired</v>
      </c>
      <c r="AE432" s="537">
        <f t="shared" ca="1" si="177"/>
        <v>0</v>
      </c>
      <c r="AF432" s="539">
        <f t="shared" ca="1" si="187"/>
        <v>2</v>
      </c>
      <c r="AG432" s="531">
        <f t="shared" ca="1" si="188"/>
        <v>284000</v>
      </c>
      <c r="AH432" s="531">
        <f t="shared" ca="1" si="189"/>
        <v>34000</v>
      </c>
      <c r="AI432" s="531">
        <f t="shared" ca="1" si="190"/>
        <v>250000</v>
      </c>
      <c r="AJ432" s="531">
        <f t="shared" ca="1" si="191"/>
        <v>0</v>
      </c>
      <c r="AK432" s="540">
        <f>SUMIFS('Live Collections'!$S:$S,'Live Collections'!$D:$D,Disbursements!B432,'Live Collections'!$G:$G,Disbursements!C432)</f>
        <v>34000</v>
      </c>
      <c r="AL432" s="540">
        <f>SUMIFS('Live Collections'!$T:$T,'Live Collections'!$D:$D,Disbursements!B432,'Live Collections'!$G:$G,Disbursements!C432)</f>
        <v>248600</v>
      </c>
      <c r="AM432" s="541">
        <f t="shared" si="192"/>
        <v>282600</v>
      </c>
      <c r="AN432" s="542">
        <f t="shared" si="193"/>
        <v>0</v>
      </c>
      <c r="AO432" s="542">
        <f t="shared" si="194"/>
        <v>1400</v>
      </c>
      <c r="AP432" s="543">
        <f t="shared" si="195"/>
        <v>1400</v>
      </c>
      <c r="AQ432" s="544">
        <f t="shared" ca="1" si="196"/>
        <v>1400</v>
      </c>
      <c r="AR432" s="545">
        <f t="shared" ca="1" si="197"/>
        <v>9.8591549295774655E-3</v>
      </c>
      <c r="AS432" s="545">
        <f ca="1">IFERROR(CEILING($AR432*VLOOKUP($I432,Ref!$B$23:$E$29,4,0),1),0)</f>
        <v>1</v>
      </c>
      <c r="AT432" s="545" t="str">
        <f ca="1">IF(A432="","",IF(AP432&lt;=1,"Cleared",IF(AS432=0,"Clean",VLOOKUP($AS432,Ref!$G$23:$H$28,2))))</f>
        <v>1.(0-30) Days</v>
      </c>
      <c r="AU432" s="546" t="str">
        <f t="shared" si="198"/>
        <v>Ok</v>
      </c>
    </row>
    <row r="433" spans="1:47" ht="14.25" customHeight="1" x14ac:dyDescent="0.15">
      <c r="A433" s="575">
        <v>44600</v>
      </c>
      <c r="B433" s="523">
        <v>321</v>
      </c>
      <c r="C433" s="523">
        <v>431</v>
      </c>
      <c r="D433" s="523">
        <v>1</v>
      </c>
      <c r="E433" s="579" t="s">
        <v>1275</v>
      </c>
      <c r="F433" s="580">
        <v>700000</v>
      </c>
      <c r="G433" s="524">
        <v>2</v>
      </c>
      <c r="H433" s="555">
        <v>7.4999999999999997E-2</v>
      </c>
      <c r="I433" s="560" t="s">
        <v>859</v>
      </c>
      <c r="J433" s="523" t="s">
        <v>863</v>
      </c>
      <c r="K433" s="528" t="str">
        <f>IFERROR(VLOOKUP($B433,'Clients-Live'!$A:$C,3,0),"")</f>
        <v>ANDERU MONICA</v>
      </c>
      <c r="L433" s="528">
        <f>IF(E433="STL",Pricing!$D$38,IF(A433="",0,IF(A433&lt;Pricing!$C$25,Pricing!$D$25,VLOOKUP(Disbursements!$F433,Pricing!$B$29:$D$32,3))))</f>
        <v>20000</v>
      </c>
      <c r="M433" s="528">
        <f>IF(E433="STL",0,IF(F433&gt;0,Pricing!$D$21,0))</f>
        <v>5000</v>
      </c>
      <c r="N433" s="529">
        <f>IF(E433="STL",F433*Pricing!$D$40,IF(A433&lt;=Pricing!$C$4,0,IF(AND(A433&gt;Pricing!$C$4,Disbursements!A433&lt;=Pricing!$C$5),F433*Pricing!$E$5,IF(AND(A433&gt;Pricing!$C$5,Disbursements!A433&lt;=Pricing!$C$7),VLOOKUP(F433,Pricing!$D$7:$E$8,2)*Disbursements!F433,F433*Pricing!$E$9))))</f>
        <v>14000</v>
      </c>
      <c r="O433" s="528">
        <f>IF(E433="STL",0,IF($F433&gt;0,$F433*Pricing!$D$17,0))</f>
        <v>70000</v>
      </c>
      <c r="P433" s="530">
        <f t="shared" si="178"/>
        <v>105000</v>
      </c>
      <c r="Q433" s="531">
        <f>IF($A433="","",$G433/VLOOKUP($I433,Ref!$B$23:$D$29,2,0))</f>
        <v>2</v>
      </c>
      <c r="R433" s="530">
        <f t="shared" si="179"/>
        <v>805000</v>
      </c>
      <c r="S433" s="532">
        <f t="shared" si="173"/>
        <v>402500</v>
      </c>
      <c r="T433" s="531">
        <f t="shared" si="180"/>
        <v>403000</v>
      </c>
      <c r="U433" s="533">
        <f t="shared" si="181"/>
        <v>806000</v>
      </c>
      <c r="V433" s="531">
        <f t="shared" si="182"/>
        <v>350000</v>
      </c>
      <c r="W433" s="531">
        <f t="shared" si="183"/>
        <v>53000</v>
      </c>
      <c r="X433" s="534">
        <f t="shared" si="184"/>
        <v>106000</v>
      </c>
      <c r="Y433" s="535">
        <f>IF($A433="","",IF($I433="weekly",$A433+7,EDATE($A433,VLOOKUP($I433,Ref!$B$24:$C$29,2,0))))</f>
        <v>44628</v>
      </c>
      <c r="Z433" s="536" t="str">
        <f t="shared" si="185"/>
        <v>Tue</v>
      </c>
      <c r="AA433" s="531">
        <f t="shared" si="186"/>
        <v>28</v>
      </c>
      <c r="AB433" s="535">
        <f t="shared" si="174"/>
        <v>44659</v>
      </c>
      <c r="AC433" s="537">
        <f t="shared" si="175"/>
        <v>59</v>
      </c>
      <c r="AD433" s="538" t="str">
        <f t="shared" ca="1" si="176"/>
        <v>Expired</v>
      </c>
      <c r="AE433" s="537">
        <f t="shared" ca="1" si="177"/>
        <v>0</v>
      </c>
      <c r="AF433" s="539">
        <f t="shared" ca="1" si="187"/>
        <v>2</v>
      </c>
      <c r="AG433" s="531">
        <f t="shared" ca="1" si="188"/>
        <v>806000</v>
      </c>
      <c r="AH433" s="531">
        <f t="shared" ca="1" si="189"/>
        <v>106000</v>
      </c>
      <c r="AI433" s="531">
        <f t="shared" ca="1" si="190"/>
        <v>700000</v>
      </c>
      <c r="AJ433" s="531">
        <f t="shared" ca="1" si="191"/>
        <v>0</v>
      </c>
      <c r="AK433" s="540">
        <f>SUMIFS('Live Collections'!$S:$S,'Live Collections'!$D:$D,Disbursements!B433,'Live Collections'!$G:$G,Disbursements!C433)</f>
        <v>106000</v>
      </c>
      <c r="AL433" s="540">
        <f>SUMIFS('Live Collections'!$T:$T,'Live Collections'!$D:$D,Disbursements!B433,'Live Collections'!$G:$G,Disbursements!C433)</f>
        <v>700000</v>
      </c>
      <c r="AM433" s="541">
        <f t="shared" si="192"/>
        <v>806000</v>
      </c>
      <c r="AN433" s="542">
        <f t="shared" si="193"/>
        <v>0</v>
      </c>
      <c r="AO433" s="542">
        <f t="shared" si="194"/>
        <v>0</v>
      </c>
      <c r="AP433" s="543">
        <f t="shared" si="195"/>
        <v>0</v>
      </c>
      <c r="AQ433" s="544" t="str">
        <f t="shared" ca="1" si="196"/>
        <v/>
      </c>
      <c r="AR433" s="545">
        <f t="shared" ca="1" si="197"/>
        <v>0</v>
      </c>
      <c r="AS433" s="545">
        <f ca="1">IFERROR(CEILING($AR433*VLOOKUP($I433,Ref!$B$23:$E$29,4,0),1),0)</f>
        <v>0</v>
      </c>
      <c r="AT433" s="545" t="str">
        <f>IF(A433="","",IF(AP433&lt;=1,"Cleared",IF(AS433=0,"Clean",VLOOKUP($AS433,Ref!$G$23:$H$28,2))))</f>
        <v>Cleared</v>
      </c>
      <c r="AU433" s="546" t="str">
        <f t="shared" si="198"/>
        <v>Ok</v>
      </c>
    </row>
    <row r="434" spans="1:47" ht="14.25" hidden="1" customHeight="1" x14ac:dyDescent="0.15">
      <c r="A434" s="575">
        <v>44601</v>
      </c>
      <c r="B434" s="523">
        <v>96</v>
      </c>
      <c r="C434" s="523">
        <v>432</v>
      </c>
      <c r="D434" s="523">
        <v>3</v>
      </c>
      <c r="E434" s="579" t="s">
        <v>1274</v>
      </c>
      <c r="F434" s="580">
        <v>900000</v>
      </c>
      <c r="G434" s="524">
        <v>5</v>
      </c>
      <c r="H434" s="555">
        <v>6.5000000000000002E-2</v>
      </c>
      <c r="I434" s="560" t="s">
        <v>861</v>
      </c>
      <c r="J434" s="523" t="s">
        <v>863</v>
      </c>
      <c r="K434" s="528" t="str">
        <f>IFERROR(VLOOKUP($B434,'Clients-Live'!$A:$C,3,0),"")</f>
        <v>AKANDU NIGHT YONGORO</v>
      </c>
      <c r="L434" s="528">
        <f>IF(E434="STL",Pricing!$D$38,IF(A434="",0,IF(A434&lt;Pricing!$C$25,Pricing!$D$25,VLOOKUP(Disbursements!$F434,Pricing!$B$29:$D$32,3))))</f>
        <v>20000</v>
      </c>
      <c r="M434" s="528">
        <f>IF(E434="STL",0,IF(F434&gt;0,Pricing!$D$21,0))</f>
        <v>5000</v>
      </c>
      <c r="N434" s="529">
        <f>IF(E434="STL",F434*Pricing!$D$40,IF(A434&lt;=Pricing!$C$4,0,IF(AND(A434&gt;Pricing!$C$4,Disbursements!A434&lt;=Pricing!$C$5),F434*Pricing!$E$5,IF(AND(A434&gt;Pricing!$C$5,Disbursements!A434&lt;=Pricing!$C$7),VLOOKUP(F434,Pricing!$D$7:$E$8,2)*Disbursements!F434,F434*Pricing!$E$9))))</f>
        <v>18000</v>
      </c>
      <c r="O434" s="528">
        <f>IF(E434="STL",0,IF($F434&gt;0,$F434*Pricing!$D$17,0))</f>
        <v>90000</v>
      </c>
      <c r="P434" s="530">
        <f t="shared" si="178"/>
        <v>292500</v>
      </c>
      <c r="Q434" s="531">
        <f>IF($A434="","",$G434/VLOOKUP($I434,Ref!$B$23:$D$29,2,0))</f>
        <v>20</v>
      </c>
      <c r="R434" s="530">
        <f t="shared" si="179"/>
        <v>1192500</v>
      </c>
      <c r="S434" s="532">
        <f t="shared" si="173"/>
        <v>59625</v>
      </c>
      <c r="T434" s="531">
        <f t="shared" si="180"/>
        <v>60000</v>
      </c>
      <c r="U434" s="533">
        <f t="shared" si="181"/>
        <v>1200000</v>
      </c>
      <c r="V434" s="531">
        <f t="shared" si="182"/>
        <v>45000</v>
      </c>
      <c r="W434" s="531">
        <f t="shared" si="183"/>
        <v>15000</v>
      </c>
      <c r="X434" s="534">
        <f t="shared" si="184"/>
        <v>300000</v>
      </c>
      <c r="Y434" s="535">
        <f>IF($A434="","",IF($I434="weekly",$A434+7,EDATE($A434,VLOOKUP($I434,Ref!$B$24:$C$29,2,0))))</f>
        <v>44608</v>
      </c>
      <c r="Z434" s="536" t="str">
        <f t="shared" si="185"/>
        <v>Wed</v>
      </c>
      <c r="AA434" s="531">
        <f t="shared" si="186"/>
        <v>7</v>
      </c>
      <c r="AB434" s="535">
        <f t="shared" si="174"/>
        <v>44751</v>
      </c>
      <c r="AC434" s="537">
        <f t="shared" si="175"/>
        <v>150</v>
      </c>
      <c r="AD434" s="538" t="str">
        <f t="shared" ca="1" si="176"/>
        <v>Expired</v>
      </c>
      <c r="AE434" s="537">
        <f t="shared" ca="1" si="177"/>
        <v>0</v>
      </c>
      <c r="AF434" s="539">
        <f t="shared" ca="1" si="187"/>
        <v>20</v>
      </c>
      <c r="AG434" s="531">
        <f t="shared" ca="1" si="188"/>
        <v>1200000</v>
      </c>
      <c r="AH434" s="531">
        <f t="shared" ca="1" si="189"/>
        <v>300000</v>
      </c>
      <c r="AI434" s="531">
        <f t="shared" ca="1" si="190"/>
        <v>900000</v>
      </c>
      <c r="AJ434" s="531">
        <f t="shared" ca="1" si="191"/>
        <v>0</v>
      </c>
      <c r="AK434" s="540">
        <f>SUMIFS('Live Collections'!$S:$S,'Live Collections'!$D:$D,Disbursements!B434,'Live Collections'!$G:$G,Disbursements!C434)</f>
        <v>90000</v>
      </c>
      <c r="AL434" s="540">
        <f>SUMIFS('Live Collections'!$T:$T,'Live Collections'!$D:$D,Disbursements!B434,'Live Collections'!$G:$G,Disbursements!C434)</f>
        <v>587500</v>
      </c>
      <c r="AM434" s="541">
        <f t="shared" si="192"/>
        <v>677500</v>
      </c>
      <c r="AN434" s="542">
        <f t="shared" si="193"/>
        <v>210000</v>
      </c>
      <c r="AO434" s="542">
        <f t="shared" si="194"/>
        <v>312500</v>
      </c>
      <c r="AP434" s="543">
        <f t="shared" si="195"/>
        <v>522500</v>
      </c>
      <c r="AQ434" s="544">
        <f t="shared" ca="1" si="196"/>
        <v>522500</v>
      </c>
      <c r="AR434" s="545">
        <f t="shared" ca="1" si="197"/>
        <v>8.7083333333333339</v>
      </c>
      <c r="AS434" s="545">
        <f ca="1">IFERROR(CEILING($AR434*VLOOKUP($I434,Ref!$B$23:$E$29,4,0),1),0)</f>
        <v>61</v>
      </c>
      <c r="AT434" s="545" t="str">
        <f ca="1">IF(A434="","",IF(AP434&lt;=1,"Cleared",IF(AS434=0,"Clean",VLOOKUP($AS434,Ref!$G$23:$H$28,2))))</f>
        <v>3.(61-90) Days</v>
      </c>
      <c r="AU434" s="546" t="str">
        <f t="shared" si="198"/>
        <v>Ok</v>
      </c>
    </row>
    <row r="435" spans="1:47" ht="14.25" hidden="1" customHeight="1" x14ac:dyDescent="0.15">
      <c r="A435" s="575">
        <v>44604</v>
      </c>
      <c r="B435" s="523">
        <v>27</v>
      </c>
      <c r="C435" s="523">
        <v>436</v>
      </c>
      <c r="D435" s="523">
        <v>1</v>
      </c>
      <c r="E435" s="579" t="s">
        <v>1976</v>
      </c>
      <c r="F435" s="580">
        <v>1800000</v>
      </c>
      <c r="G435" s="524">
        <v>12</v>
      </c>
      <c r="H435" s="555">
        <v>2.5000000000000001E-2</v>
      </c>
      <c r="I435" s="560" t="s">
        <v>859</v>
      </c>
      <c r="J435" s="523" t="s">
        <v>862</v>
      </c>
      <c r="K435" s="528" t="str">
        <f>IFERROR(VLOOKUP($B435,'Clients-Live'!$A:$C,3,0),"")</f>
        <v>KANA GIFT</v>
      </c>
      <c r="L435" s="528">
        <f>IF(E435="STL",Pricing!$D$38,IF(A435="",0,IF(A435&lt;Pricing!$C$25,Pricing!$D$25,VLOOKUP(Disbursements!$F435,Pricing!$B$29:$D$32,3))))</f>
        <v>10000</v>
      </c>
      <c r="M435" s="528">
        <f>IF(E435="STL",0,IF(F435&gt;0,Pricing!$D$21,0))</f>
        <v>0</v>
      </c>
      <c r="N435" s="529">
        <f>IF(E435="STL",F435*Pricing!$D$40,IF(A435&lt;=Pricing!$C$4,0,IF(AND(A435&gt;Pricing!$C$4,Disbursements!A435&lt;=Pricing!$C$5),F435*Pricing!$E$5,IF(AND(A435&gt;Pricing!$C$5,Disbursements!A435&lt;=Pricing!$C$7),VLOOKUP(F435,Pricing!$D$7:$E$8,2)*Disbursements!F435,F435*Pricing!$E$9))))</f>
        <v>18000</v>
      </c>
      <c r="O435" s="528">
        <f>IF(E435="STL",0,IF($F435&gt;0,$F435*Pricing!$D$17,0))</f>
        <v>0</v>
      </c>
      <c r="P435" s="530">
        <f t="shared" si="178"/>
        <v>540000</v>
      </c>
      <c r="Q435" s="531">
        <f>IF($A435="","",$G435/VLOOKUP($I435,Ref!$B$23:$D$29,2,0))</f>
        <v>12</v>
      </c>
      <c r="R435" s="530">
        <f t="shared" si="179"/>
        <v>2340000</v>
      </c>
      <c r="S435" s="532">
        <f t="shared" si="173"/>
        <v>195000</v>
      </c>
      <c r="T435" s="531">
        <f t="shared" si="180"/>
        <v>195000</v>
      </c>
      <c r="U435" s="533">
        <f t="shared" si="181"/>
        <v>2340000</v>
      </c>
      <c r="V435" s="531">
        <f t="shared" si="182"/>
        <v>150000</v>
      </c>
      <c r="W435" s="531">
        <f t="shared" si="183"/>
        <v>45000</v>
      </c>
      <c r="X435" s="534">
        <f t="shared" si="184"/>
        <v>540000</v>
      </c>
      <c r="Y435" s="535">
        <f>IF($A435="","",IF($I435="weekly",$A435+7,EDATE($A435,VLOOKUP($I435,Ref!$B$24:$C$29,2,0))))</f>
        <v>44632</v>
      </c>
      <c r="Z435" s="536" t="str">
        <f t="shared" si="185"/>
        <v>Sat</v>
      </c>
      <c r="AA435" s="531">
        <f t="shared" si="186"/>
        <v>28</v>
      </c>
      <c r="AB435" s="535">
        <f t="shared" si="174"/>
        <v>44969</v>
      </c>
      <c r="AC435" s="537">
        <f t="shared" si="175"/>
        <v>365</v>
      </c>
      <c r="AD435" s="538" t="str">
        <f t="shared" ca="1" si="176"/>
        <v>Expired</v>
      </c>
      <c r="AE435" s="537">
        <f t="shared" ca="1" si="177"/>
        <v>0</v>
      </c>
      <c r="AF435" s="539">
        <f t="shared" ca="1" si="187"/>
        <v>12</v>
      </c>
      <c r="AG435" s="531">
        <f t="shared" ca="1" si="188"/>
        <v>2340000</v>
      </c>
      <c r="AH435" s="531">
        <f t="shared" ca="1" si="189"/>
        <v>540000</v>
      </c>
      <c r="AI435" s="531">
        <f t="shared" ca="1" si="190"/>
        <v>1800000</v>
      </c>
      <c r="AJ435" s="531">
        <f t="shared" ca="1" si="191"/>
        <v>0</v>
      </c>
      <c r="AK435" s="540">
        <f>SUMIFS('Live Collections'!$S:$S,'Live Collections'!$D:$D,Disbursements!B435,'Live Collections'!$G:$G,Disbursements!C435)</f>
        <v>135000</v>
      </c>
      <c r="AL435" s="540">
        <f>SUMIFS('Live Collections'!$T:$T,'Live Collections'!$D:$D,Disbursements!B435,'Live Collections'!$G:$G,Disbursements!C435)</f>
        <v>450000</v>
      </c>
      <c r="AM435" s="541">
        <f t="shared" si="192"/>
        <v>585000</v>
      </c>
      <c r="AN435" s="542">
        <f t="shared" si="193"/>
        <v>405000</v>
      </c>
      <c r="AO435" s="542">
        <f t="shared" si="194"/>
        <v>1350000</v>
      </c>
      <c r="AP435" s="543">
        <f t="shared" si="195"/>
        <v>1755000</v>
      </c>
      <c r="AQ435" s="544">
        <f t="shared" ca="1" si="196"/>
        <v>1755000</v>
      </c>
      <c r="AR435" s="545">
        <f t="shared" ca="1" si="197"/>
        <v>9</v>
      </c>
      <c r="AS435" s="545">
        <f ca="1">IFERROR(CEILING($AR435*VLOOKUP($I435,Ref!$B$23:$E$29,4,0),1),0)</f>
        <v>270</v>
      </c>
      <c r="AT435" s="545" t="str">
        <f ca="1">IF(A435="","",IF(AP435&lt;=1,"Cleared",IF(AS435=0,"Clean",VLOOKUP($AS435,Ref!$G$23:$H$28,2))))</f>
        <v>4.(91-365) Days</v>
      </c>
      <c r="AU435" s="546" t="str">
        <f t="shared" si="198"/>
        <v>Ok</v>
      </c>
    </row>
    <row r="436" spans="1:47" ht="14.25" hidden="1" customHeight="1" x14ac:dyDescent="0.15">
      <c r="A436" s="575">
        <v>44604</v>
      </c>
      <c r="B436" s="523">
        <v>147</v>
      </c>
      <c r="C436" s="523">
        <v>434</v>
      </c>
      <c r="D436" s="523">
        <v>3</v>
      </c>
      <c r="E436" s="579" t="s">
        <v>1274</v>
      </c>
      <c r="F436" s="580">
        <v>1200000</v>
      </c>
      <c r="G436" s="524">
        <v>5</v>
      </c>
      <c r="H436" s="555">
        <v>6.5000000000000002E-2</v>
      </c>
      <c r="I436" s="560" t="s">
        <v>859</v>
      </c>
      <c r="J436" s="523" t="s">
        <v>862</v>
      </c>
      <c r="K436" s="528" t="str">
        <f>IFERROR(VLOOKUP($B436,'Clients-Live'!$A:$C,3,0),"")</f>
        <v>DRICIRU MARGRET</v>
      </c>
      <c r="L436" s="528">
        <f>IF(E436="STL",Pricing!$D$38,IF(A436="",0,IF(A436&lt;Pricing!$C$25,Pricing!$D$25,VLOOKUP(Disbursements!$F436,Pricing!$B$29:$D$32,3))))</f>
        <v>25000</v>
      </c>
      <c r="M436" s="528">
        <f>IF(E436="STL",0,IF(F436&gt;0,Pricing!$D$21,0))</f>
        <v>5000</v>
      </c>
      <c r="N436" s="529">
        <f>IF(E436="STL",F436*Pricing!$D$40,IF(A436&lt;=Pricing!$C$4,0,IF(AND(A436&gt;Pricing!$C$4,Disbursements!A436&lt;=Pricing!$C$5),F436*Pricing!$E$5,IF(AND(A436&gt;Pricing!$C$5,Disbursements!A436&lt;=Pricing!$C$7),VLOOKUP(F436,Pricing!$D$7:$E$8,2)*Disbursements!F436,F436*Pricing!$E$9))))</f>
        <v>24000</v>
      </c>
      <c r="O436" s="528">
        <f>IF(E436="STL",0,IF($F436&gt;0,$F436*Pricing!$D$17,0))</f>
        <v>120000</v>
      </c>
      <c r="P436" s="530">
        <f t="shared" si="178"/>
        <v>390000</v>
      </c>
      <c r="Q436" s="531">
        <f>IF($A436="","",$G436/VLOOKUP($I436,Ref!$B$23:$D$29,2,0))</f>
        <v>5</v>
      </c>
      <c r="R436" s="530">
        <f t="shared" si="179"/>
        <v>1590000</v>
      </c>
      <c r="S436" s="532">
        <f t="shared" si="173"/>
        <v>318000</v>
      </c>
      <c r="T436" s="531">
        <f t="shared" si="180"/>
        <v>318000</v>
      </c>
      <c r="U436" s="533">
        <f t="shared" si="181"/>
        <v>1590000</v>
      </c>
      <c r="V436" s="531">
        <f t="shared" si="182"/>
        <v>240000</v>
      </c>
      <c r="W436" s="531">
        <f t="shared" si="183"/>
        <v>78000</v>
      </c>
      <c r="X436" s="534">
        <f t="shared" si="184"/>
        <v>390000</v>
      </c>
      <c r="Y436" s="535">
        <f>IF($A436="","",IF($I436="weekly",$A436+7,EDATE($A436,VLOOKUP($I436,Ref!$B$24:$C$29,2,0))))</f>
        <v>44632</v>
      </c>
      <c r="Z436" s="536" t="str">
        <f t="shared" si="185"/>
        <v>Sat</v>
      </c>
      <c r="AA436" s="531">
        <f t="shared" si="186"/>
        <v>28</v>
      </c>
      <c r="AB436" s="535">
        <f t="shared" si="174"/>
        <v>44754</v>
      </c>
      <c r="AC436" s="537">
        <f t="shared" si="175"/>
        <v>150</v>
      </c>
      <c r="AD436" s="538" t="str">
        <f t="shared" ca="1" si="176"/>
        <v>Expired</v>
      </c>
      <c r="AE436" s="537">
        <f t="shared" ca="1" si="177"/>
        <v>0</v>
      </c>
      <c r="AF436" s="539">
        <f t="shared" ca="1" si="187"/>
        <v>5</v>
      </c>
      <c r="AG436" s="531">
        <f t="shared" ca="1" si="188"/>
        <v>1590000</v>
      </c>
      <c r="AH436" s="531">
        <f t="shared" ca="1" si="189"/>
        <v>390000</v>
      </c>
      <c r="AI436" s="531">
        <f t="shared" ca="1" si="190"/>
        <v>1200000</v>
      </c>
      <c r="AJ436" s="531">
        <f t="shared" ca="1" si="191"/>
        <v>0</v>
      </c>
      <c r="AK436" s="540">
        <f>SUMIFS('Live Collections'!$S:$S,'Live Collections'!$D:$D,Disbursements!B436,'Live Collections'!$G:$G,Disbursements!C436)</f>
        <v>234000</v>
      </c>
      <c r="AL436" s="540">
        <f>SUMIFS('Live Collections'!$T:$T,'Live Collections'!$D:$D,Disbursements!B436,'Live Collections'!$G:$G,Disbursements!C436)</f>
        <v>720000</v>
      </c>
      <c r="AM436" s="541">
        <f t="shared" si="192"/>
        <v>954000</v>
      </c>
      <c r="AN436" s="542">
        <f t="shared" si="193"/>
        <v>156000</v>
      </c>
      <c r="AO436" s="542">
        <f t="shared" si="194"/>
        <v>480000</v>
      </c>
      <c r="AP436" s="543">
        <f t="shared" si="195"/>
        <v>636000</v>
      </c>
      <c r="AQ436" s="544">
        <f t="shared" ca="1" si="196"/>
        <v>636000</v>
      </c>
      <c r="AR436" s="545">
        <f t="shared" ca="1" si="197"/>
        <v>2</v>
      </c>
      <c r="AS436" s="545">
        <f ca="1">IFERROR(CEILING($AR436*VLOOKUP($I436,Ref!$B$23:$E$29,4,0),1),0)</f>
        <v>60</v>
      </c>
      <c r="AT436" s="545" t="str">
        <f ca="1">IF(A436="","",IF(AP436&lt;=1,"Cleared",IF(AS436=0,"Clean",VLOOKUP($AS436,Ref!$G$23:$H$28,2))))</f>
        <v>2.(31-60) Days</v>
      </c>
      <c r="AU436" s="546" t="str">
        <f t="shared" si="198"/>
        <v>Ok</v>
      </c>
    </row>
    <row r="437" spans="1:47" ht="14.25" customHeight="1" x14ac:dyDescent="0.15">
      <c r="A437" s="575">
        <v>44604</v>
      </c>
      <c r="B437" s="523">
        <v>175</v>
      </c>
      <c r="C437" s="523">
        <v>433</v>
      </c>
      <c r="D437" s="523">
        <v>2</v>
      </c>
      <c r="E437" s="579" t="s">
        <v>1274</v>
      </c>
      <c r="F437" s="580">
        <v>150000</v>
      </c>
      <c r="G437" s="524">
        <v>1</v>
      </c>
      <c r="H437" s="555">
        <v>6.5000000000000002E-2</v>
      </c>
      <c r="I437" s="560" t="s">
        <v>861</v>
      </c>
      <c r="J437" s="523" t="s">
        <v>863</v>
      </c>
      <c r="K437" s="528" t="str">
        <f>IFERROR(VLOOKUP($B437,'Clients-Live'!$A:$C,3,0),"")</f>
        <v>ZUBEDA WAIGA</v>
      </c>
      <c r="L437" s="528">
        <f>IF(E437="STL",Pricing!$D$38,IF(A437="",0,IF(A437&lt;Pricing!$C$25,Pricing!$D$25,VLOOKUP(Disbursements!$F437,Pricing!$B$29:$D$32,3))))</f>
        <v>15000</v>
      </c>
      <c r="M437" s="528">
        <f>IF(E437="STL",0,IF(F437&gt;0,Pricing!$D$21,0))</f>
        <v>5000</v>
      </c>
      <c r="N437" s="529">
        <f>IF(E437="STL",F437*Pricing!$D$40,IF(A437&lt;=Pricing!$C$4,0,IF(AND(A437&gt;Pricing!$C$4,Disbursements!A437&lt;=Pricing!$C$5),F437*Pricing!$E$5,IF(AND(A437&gt;Pricing!$C$5,Disbursements!A437&lt;=Pricing!$C$7),VLOOKUP(F437,Pricing!$D$7:$E$8,2)*Disbursements!F437,F437*Pricing!$E$9))))</f>
        <v>3000</v>
      </c>
      <c r="O437" s="528">
        <f>IF(E437="STL",0,IF($F437&gt;0,$F437*Pricing!$D$17,0))</f>
        <v>15000</v>
      </c>
      <c r="P437" s="530">
        <f t="shared" si="178"/>
        <v>9750</v>
      </c>
      <c r="Q437" s="531">
        <f>IF($A437="","",$G437/VLOOKUP($I437,Ref!$B$23:$D$29,2,0))</f>
        <v>4</v>
      </c>
      <c r="R437" s="530">
        <f t="shared" si="179"/>
        <v>159750</v>
      </c>
      <c r="S437" s="532">
        <f t="shared" si="173"/>
        <v>39937.5</v>
      </c>
      <c r="T437" s="531">
        <f t="shared" si="180"/>
        <v>40000</v>
      </c>
      <c r="U437" s="533">
        <f t="shared" si="181"/>
        <v>160000</v>
      </c>
      <c r="V437" s="531">
        <f t="shared" si="182"/>
        <v>37500</v>
      </c>
      <c r="W437" s="531">
        <f t="shared" si="183"/>
        <v>2500</v>
      </c>
      <c r="X437" s="534">
        <f t="shared" si="184"/>
        <v>10000</v>
      </c>
      <c r="Y437" s="535">
        <f>IF($A437="","",IF($I437="weekly",$A437+7,EDATE($A437,VLOOKUP($I437,Ref!$B$24:$C$29,2,0))))</f>
        <v>44611</v>
      </c>
      <c r="Z437" s="536" t="str">
        <f t="shared" si="185"/>
        <v>Sat</v>
      </c>
      <c r="AA437" s="531">
        <f t="shared" si="186"/>
        <v>7</v>
      </c>
      <c r="AB437" s="535">
        <f t="shared" si="174"/>
        <v>44632</v>
      </c>
      <c r="AC437" s="537">
        <f t="shared" si="175"/>
        <v>28</v>
      </c>
      <c r="AD437" s="538" t="str">
        <f t="shared" ca="1" si="176"/>
        <v>Expired</v>
      </c>
      <c r="AE437" s="537">
        <f t="shared" ca="1" si="177"/>
        <v>0</v>
      </c>
      <c r="AF437" s="539">
        <f t="shared" ca="1" si="187"/>
        <v>4</v>
      </c>
      <c r="AG437" s="531">
        <f t="shared" ca="1" si="188"/>
        <v>160000</v>
      </c>
      <c r="AH437" s="531">
        <f t="shared" ca="1" si="189"/>
        <v>10000</v>
      </c>
      <c r="AI437" s="531">
        <f t="shared" ca="1" si="190"/>
        <v>150000</v>
      </c>
      <c r="AJ437" s="531">
        <f t="shared" ca="1" si="191"/>
        <v>0</v>
      </c>
      <c r="AK437" s="540">
        <f>SUMIFS('Live Collections'!$S:$S,'Live Collections'!$D:$D,Disbursements!B437,'Live Collections'!$G:$G,Disbursements!C437)</f>
        <v>10000</v>
      </c>
      <c r="AL437" s="540">
        <f>SUMIFS('Live Collections'!$T:$T,'Live Collections'!$D:$D,Disbursements!B437,'Live Collections'!$G:$G,Disbursements!C437)</f>
        <v>149800</v>
      </c>
      <c r="AM437" s="541">
        <f t="shared" si="192"/>
        <v>159800</v>
      </c>
      <c r="AN437" s="542">
        <f t="shared" si="193"/>
        <v>0</v>
      </c>
      <c r="AO437" s="542">
        <f t="shared" si="194"/>
        <v>200</v>
      </c>
      <c r="AP437" s="543">
        <f t="shared" si="195"/>
        <v>200</v>
      </c>
      <c r="AQ437" s="544">
        <f t="shared" ca="1" si="196"/>
        <v>200</v>
      </c>
      <c r="AR437" s="545">
        <f t="shared" ca="1" si="197"/>
        <v>5.0000000000000001E-3</v>
      </c>
      <c r="AS437" s="545">
        <f ca="1">IFERROR(CEILING($AR437*VLOOKUP($I437,Ref!$B$23:$E$29,4,0),1),0)</f>
        <v>1</v>
      </c>
      <c r="AT437" s="545" t="str">
        <f ca="1">IF(A437="","",IF(AP437&lt;=1,"Cleared",IF(AS437=0,"Clean",VLOOKUP($AS437,Ref!$G$23:$H$28,2))))</f>
        <v>1.(0-30) Days</v>
      </c>
      <c r="AU437" s="546" t="str">
        <f t="shared" si="198"/>
        <v>Ok</v>
      </c>
    </row>
    <row r="438" spans="1:47" ht="14.25" customHeight="1" x14ac:dyDescent="0.15">
      <c r="A438" s="575">
        <v>44604</v>
      </c>
      <c r="B438" s="523">
        <v>270</v>
      </c>
      <c r="C438" s="523">
        <v>435</v>
      </c>
      <c r="D438" s="523">
        <v>2</v>
      </c>
      <c r="E438" s="579" t="s">
        <v>1276</v>
      </c>
      <c r="F438" s="580">
        <v>600000</v>
      </c>
      <c r="G438" s="524">
        <v>3</v>
      </c>
      <c r="H438" s="555">
        <v>7.4999999999999997E-2</v>
      </c>
      <c r="I438" s="560" t="s">
        <v>859</v>
      </c>
      <c r="J438" s="523" t="s">
        <v>862</v>
      </c>
      <c r="K438" s="528" t="str">
        <f>IFERROR(VLOOKUP($B438,'Clients-Live'!$A:$C,3,0),"")</f>
        <v>AJOBE SAMUEL</v>
      </c>
      <c r="L438" s="528">
        <f>IF(E438="STL",Pricing!$D$38,IF(A438="",0,IF(A438&lt;Pricing!$C$25,Pricing!$D$25,VLOOKUP(Disbursements!$F438,Pricing!$B$29:$D$32,3))))</f>
        <v>20000</v>
      </c>
      <c r="M438" s="528">
        <f>IF(E438="STL",0,IF(F438&gt;0,Pricing!$D$21,0))</f>
        <v>5000</v>
      </c>
      <c r="N438" s="529">
        <f>IF(E438="STL",F438*Pricing!$D$40,IF(A438&lt;=Pricing!$C$4,0,IF(AND(A438&gt;Pricing!$C$4,Disbursements!A438&lt;=Pricing!$C$5),F438*Pricing!$E$5,IF(AND(A438&gt;Pricing!$C$5,Disbursements!A438&lt;=Pricing!$C$7),VLOOKUP(F438,Pricing!$D$7:$E$8,2)*Disbursements!F438,F438*Pricing!$E$9))))</f>
        <v>12000</v>
      </c>
      <c r="O438" s="528">
        <f>IF(E438="STL",0,IF($F438&gt;0,$F438*Pricing!$D$17,0))</f>
        <v>60000</v>
      </c>
      <c r="P438" s="530">
        <f t="shared" si="178"/>
        <v>135000</v>
      </c>
      <c r="Q438" s="531">
        <f>IF($A438="","",$G438/VLOOKUP($I438,Ref!$B$23:$D$29,2,0))</f>
        <v>3</v>
      </c>
      <c r="R438" s="530">
        <f t="shared" si="179"/>
        <v>735000</v>
      </c>
      <c r="S438" s="532">
        <f t="shared" si="173"/>
        <v>245000</v>
      </c>
      <c r="T438" s="531">
        <f t="shared" si="180"/>
        <v>245000</v>
      </c>
      <c r="U438" s="533">
        <f t="shared" si="181"/>
        <v>735000</v>
      </c>
      <c r="V438" s="531">
        <f t="shared" si="182"/>
        <v>200000</v>
      </c>
      <c r="W438" s="531">
        <f t="shared" si="183"/>
        <v>45000</v>
      </c>
      <c r="X438" s="534">
        <f t="shared" si="184"/>
        <v>135000</v>
      </c>
      <c r="Y438" s="535">
        <f>IF($A438="","",IF($I438="weekly",$A438+7,EDATE($A438,VLOOKUP($I438,Ref!$B$24:$C$29,2,0))))</f>
        <v>44632</v>
      </c>
      <c r="Z438" s="536" t="str">
        <f t="shared" si="185"/>
        <v>Sat</v>
      </c>
      <c r="AA438" s="531">
        <f t="shared" si="186"/>
        <v>28</v>
      </c>
      <c r="AB438" s="535">
        <f t="shared" si="174"/>
        <v>44693</v>
      </c>
      <c r="AC438" s="537">
        <f t="shared" si="175"/>
        <v>89</v>
      </c>
      <c r="AD438" s="538" t="str">
        <f t="shared" ca="1" si="176"/>
        <v>Expired</v>
      </c>
      <c r="AE438" s="537">
        <f t="shared" ca="1" si="177"/>
        <v>0</v>
      </c>
      <c r="AF438" s="539">
        <f t="shared" ca="1" si="187"/>
        <v>3</v>
      </c>
      <c r="AG438" s="531">
        <f t="shared" ca="1" si="188"/>
        <v>735000</v>
      </c>
      <c r="AH438" s="531">
        <f t="shared" ca="1" si="189"/>
        <v>135000</v>
      </c>
      <c r="AI438" s="531">
        <f t="shared" ca="1" si="190"/>
        <v>600000</v>
      </c>
      <c r="AJ438" s="531">
        <f t="shared" ca="1" si="191"/>
        <v>0</v>
      </c>
      <c r="AK438" s="540">
        <f>SUMIFS('Live Collections'!$S:$S,'Live Collections'!$D:$D,Disbursements!B438,'Live Collections'!$G:$G,Disbursements!C438)</f>
        <v>90000</v>
      </c>
      <c r="AL438" s="540">
        <f>SUMIFS('Live Collections'!$T:$T,'Live Collections'!$D:$D,Disbursements!B438,'Live Collections'!$G:$G,Disbursements!C438)</f>
        <v>360000</v>
      </c>
      <c r="AM438" s="541">
        <f t="shared" si="192"/>
        <v>450000</v>
      </c>
      <c r="AN438" s="542">
        <f t="shared" si="193"/>
        <v>45000</v>
      </c>
      <c r="AO438" s="542">
        <f t="shared" si="194"/>
        <v>240000</v>
      </c>
      <c r="AP438" s="543">
        <f t="shared" si="195"/>
        <v>285000</v>
      </c>
      <c r="AQ438" s="544">
        <f t="shared" ca="1" si="196"/>
        <v>285000</v>
      </c>
      <c r="AR438" s="545">
        <f t="shared" ca="1" si="197"/>
        <v>1.1632653061224489</v>
      </c>
      <c r="AS438" s="545">
        <f ca="1">IFERROR(CEILING($AR438*VLOOKUP($I438,Ref!$B$23:$E$29,4,0),1),0)</f>
        <v>35</v>
      </c>
      <c r="AT438" s="545" t="str">
        <f ca="1">IF(A438="","",IF(AP438&lt;=1,"Cleared",IF(AS438=0,"Clean",VLOOKUP($AS438,Ref!$G$23:$H$28,2))))</f>
        <v>2.(31-60) Days</v>
      </c>
      <c r="AU438" s="546" t="str">
        <f t="shared" si="198"/>
        <v>Ok</v>
      </c>
    </row>
    <row r="439" spans="1:47" ht="14.25" customHeight="1" x14ac:dyDescent="0.15">
      <c r="A439" s="575">
        <v>44610</v>
      </c>
      <c r="B439" s="523">
        <v>257</v>
      </c>
      <c r="C439" s="523">
        <v>438</v>
      </c>
      <c r="D439" s="523">
        <v>2</v>
      </c>
      <c r="E439" s="579" t="s">
        <v>1275</v>
      </c>
      <c r="F439" s="580">
        <v>150000</v>
      </c>
      <c r="G439" s="524">
        <v>1</v>
      </c>
      <c r="H439" s="555">
        <v>7.4999999999999997E-2</v>
      </c>
      <c r="I439" s="560" t="s">
        <v>859</v>
      </c>
      <c r="J439" s="523" t="s">
        <v>862</v>
      </c>
      <c r="K439" s="528" t="str">
        <f>IFERROR(VLOOKUP($B439,'Clients-Live'!$A:$C,3,0),"")</f>
        <v>CHANDIGA CYRUS</v>
      </c>
      <c r="L439" s="528">
        <f>IF(E439="STL",Pricing!$D$38,IF(A439="",0,IF(A439&lt;Pricing!$C$25,Pricing!$D$25,VLOOKUP(Disbursements!$F439,Pricing!$B$29:$D$32,3))))</f>
        <v>15000</v>
      </c>
      <c r="M439" s="528">
        <f>IF(E439="STL",0,IF(F439&gt;0,Pricing!$D$21,0))</f>
        <v>5000</v>
      </c>
      <c r="N439" s="529">
        <f>IF(E439="STL",F439*Pricing!$D$40,IF(A439&lt;=Pricing!$C$4,0,IF(AND(A439&gt;Pricing!$C$4,Disbursements!A439&lt;=Pricing!$C$5),F439*Pricing!$E$5,IF(AND(A439&gt;Pricing!$C$5,Disbursements!A439&lt;=Pricing!$C$7),VLOOKUP(F439,Pricing!$D$7:$E$8,2)*Disbursements!F439,F439*Pricing!$E$9))))</f>
        <v>3000</v>
      </c>
      <c r="O439" s="528">
        <f>IF(E439="STL",0,IF($F439&gt;0,$F439*Pricing!$D$17,0))</f>
        <v>15000</v>
      </c>
      <c r="P439" s="530">
        <f t="shared" si="178"/>
        <v>11250</v>
      </c>
      <c r="Q439" s="531">
        <f>IF($A439="","",$G439/VLOOKUP($I439,Ref!$B$23:$D$29,2,0))</f>
        <v>1</v>
      </c>
      <c r="R439" s="530">
        <f t="shared" si="179"/>
        <v>161250</v>
      </c>
      <c r="S439" s="532">
        <f t="shared" si="173"/>
        <v>161250</v>
      </c>
      <c r="T439" s="531">
        <f t="shared" si="180"/>
        <v>162000</v>
      </c>
      <c r="U439" s="533">
        <f t="shared" si="181"/>
        <v>162000</v>
      </c>
      <c r="V439" s="531">
        <f t="shared" si="182"/>
        <v>150000</v>
      </c>
      <c r="W439" s="531">
        <f t="shared" si="183"/>
        <v>12000</v>
      </c>
      <c r="X439" s="534">
        <f t="shared" si="184"/>
        <v>12000</v>
      </c>
      <c r="Y439" s="535">
        <f>IF($A439="","",IF($I439="weekly",$A439+7,EDATE($A439,VLOOKUP($I439,Ref!$B$24:$C$29,2,0))))</f>
        <v>44638</v>
      </c>
      <c r="Z439" s="536" t="str">
        <f t="shared" si="185"/>
        <v>Frid</v>
      </c>
      <c r="AA439" s="531">
        <f t="shared" si="186"/>
        <v>28</v>
      </c>
      <c r="AB439" s="535">
        <f t="shared" si="174"/>
        <v>44638</v>
      </c>
      <c r="AC439" s="537">
        <f t="shared" si="175"/>
        <v>28</v>
      </c>
      <c r="AD439" s="538" t="str">
        <f t="shared" ca="1" si="176"/>
        <v>Expired</v>
      </c>
      <c r="AE439" s="537">
        <f t="shared" ca="1" si="177"/>
        <v>0</v>
      </c>
      <c r="AF439" s="539">
        <f t="shared" ca="1" si="187"/>
        <v>1</v>
      </c>
      <c r="AG439" s="531">
        <f t="shared" ca="1" si="188"/>
        <v>162000</v>
      </c>
      <c r="AH439" s="531">
        <f t="shared" ca="1" si="189"/>
        <v>12000</v>
      </c>
      <c r="AI439" s="531">
        <f t="shared" ca="1" si="190"/>
        <v>150000</v>
      </c>
      <c r="AJ439" s="531">
        <f t="shared" ca="1" si="191"/>
        <v>0</v>
      </c>
      <c r="AK439" s="540">
        <f>SUMIFS('Live Collections'!$S:$S,'Live Collections'!$D:$D,Disbursements!B439,'Live Collections'!$G:$G,Disbursements!C439)</f>
        <v>12000</v>
      </c>
      <c r="AL439" s="540">
        <f>SUMIFS('Live Collections'!$T:$T,'Live Collections'!$D:$D,Disbursements!B439,'Live Collections'!$G:$G,Disbursements!C439)</f>
        <v>149300</v>
      </c>
      <c r="AM439" s="541">
        <f t="shared" si="192"/>
        <v>161300</v>
      </c>
      <c r="AN439" s="542">
        <f t="shared" si="193"/>
        <v>0</v>
      </c>
      <c r="AO439" s="542">
        <f t="shared" si="194"/>
        <v>700</v>
      </c>
      <c r="AP439" s="543">
        <f t="shared" si="195"/>
        <v>700</v>
      </c>
      <c r="AQ439" s="544">
        <f t="shared" ca="1" si="196"/>
        <v>700</v>
      </c>
      <c r="AR439" s="545">
        <f t="shared" ca="1" si="197"/>
        <v>4.3209876543209872E-3</v>
      </c>
      <c r="AS439" s="545">
        <f ca="1">IFERROR(CEILING($AR439*VLOOKUP($I439,Ref!$B$23:$E$29,4,0),1),0)</f>
        <v>1</v>
      </c>
      <c r="AT439" s="545" t="str">
        <f ca="1">IF(A439="","",IF(AP439&lt;=1,"Cleared",IF(AS439=0,"Clean",VLOOKUP($AS439,Ref!$G$23:$H$28,2))))</f>
        <v>1.(0-30) Days</v>
      </c>
      <c r="AU439" s="546" t="str">
        <f t="shared" si="198"/>
        <v>Ok</v>
      </c>
    </row>
    <row r="440" spans="1:47" ht="14.25" customHeight="1" x14ac:dyDescent="0.15">
      <c r="A440" s="575">
        <v>44610</v>
      </c>
      <c r="B440" s="523">
        <v>314</v>
      </c>
      <c r="C440" s="523">
        <v>439</v>
      </c>
      <c r="D440" s="523">
        <v>2</v>
      </c>
      <c r="E440" s="579" t="s">
        <v>1274</v>
      </c>
      <c r="F440" s="580">
        <v>1500000</v>
      </c>
      <c r="G440" s="524">
        <v>1</v>
      </c>
      <c r="H440" s="555">
        <v>6.5000000000000002E-2</v>
      </c>
      <c r="I440" s="560" t="s">
        <v>859</v>
      </c>
      <c r="J440" s="523" t="s">
        <v>864</v>
      </c>
      <c r="K440" s="528" t="str">
        <f>IFERROR(VLOOKUP($B440,'Clients-Live'!$A:$C,3,0),"")</f>
        <v>SHAMIM ALIGAH</v>
      </c>
      <c r="L440" s="528">
        <f>IF(E440="STL",Pricing!$D$38,IF(A440="",0,IF(A440&lt;Pricing!$C$25,Pricing!$D$25,VLOOKUP(Disbursements!$F440,Pricing!$B$29:$D$32,3))))</f>
        <v>25000</v>
      </c>
      <c r="M440" s="528">
        <f>IF(E440="STL",0,IF(F440&gt;0,Pricing!$D$21,0))</f>
        <v>5000</v>
      </c>
      <c r="N440" s="529">
        <f>IF(E440="STL",F440*Pricing!$D$40,IF(A440&lt;=Pricing!$C$4,0,IF(AND(A440&gt;Pricing!$C$4,Disbursements!A440&lt;=Pricing!$C$5),F440*Pricing!$E$5,IF(AND(A440&gt;Pricing!$C$5,Disbursements!A440&lt;=Pricing!$C$7),VLOOKUP(F440,Pricing!$D$7:$E$8,2)*Disbursements!F440,F440*Pricing!$E$9))))</f>
        <v>30000</v>
      </c>
      <c r="O440" s="528">
        <f>IF(E440="STL",0,IF($F440&gt;0,$F440*Pricing!$D$17,0))</f>
        <v>150000</v>
      </c>
      <c r="P440" s="530">
        <f t="shared" si="178"/>
        <v>97500</v>
      </c>
      <c r="Q440" s="531">
        <f>IF($A440="","",$G440/VLOOKUP($I440,Ref!$B$23:$D$29,2,0))</f>
        <v>1</v>
      </c>
      <c r="R440" s="530">
        <f t="shared" si="179"/>
        <v>1597500</v>
      </c>
      <c r="S440" s="532">
        <f t="shared" si="173"/>
        <v>1597500</v>
      </c>
      <c r="T440" s="531">
        <f t="shared" si="180"/>
        <v>1598000</v>
      </c>
      <c r="U440" s="533">
        <f t="shared" si="181"/>
        <v>1598000</v>
      </c>
      <c r="V440" s="531">
        <f t="shared" si="182"/>
        <v>1500000</v>
      </c>
      <c r="W440" s="531">
        <f t="shared" si="183"/>
        <v>98000</v>
      </c>
      <c r="X440" s="534">
        <f t="shared" si="184"/>
        <v>98000</v>
      </c>
      <c r="Y440" s="535">
        <f>IF($A440="","",IF($I440="weekly",$A440+7,EDATE($A440,VLOOKUP($I440,Ref!$B$24:$C$29,2,0))))</f>
        <v>44638</v>
      </c>
      <c r="Z440" s="536" t="str">
        <f t="shared" si="185"/>
        <v>Frid</v>
      </c>
      <c r="AA440" s="531">
        <f t="shared" si="186"/>
        <v>28</v>
      </c>
      <c r="AB440" s="535">
        <f t="shared" si="174"/>
        <v>44638</v>
      </c>
      <c r="AC440" s="537">
        <f t="shared" si="175"/>
        <v>28</v>
      </c>
      <c r="AD440" s="538" t="str">
        <f t="shared" ca="1" si="176"/>
        <v>Expired</v>
      </c>
      <c r="AE440" s="537">
        <f t="shared" ca="1" si="177"/>
        <v>0</v>
      </c>
      <c r="AF440" s="539">
        <f t="shared" ca="1" si="187"/>
        <v>1</v>
      </c>
      <c r="AG440" s="531">
        <f t="shared" ca="1" si="188"/>
        <v>1598000</v>
      </c>
      <c r="AH440" s="531">
        <f t="shared" ca="1" si="189"/>
        <v>98000</v>
      </c>
      <c r="AI440" s="531">
        <f t="shared" ca="1" si="190"/>
        <v>1500000</v>
      </c>
      <c r="AJ440" s="531">
        <f t="shared" ca="1" si="191"/>
        <v>0</v>
      </c>
      <c r="AK440" s="540">
        <f>SUMIFS('Live Collections'!$S:$S,'Live Collections'!$D:$D,Disbursements!B440,'Live Collections'!$G:$G,Disbursements!C440)</f>
        <v>98000</v>
      </c>
      <c r="AL440" s="540">
        <f>SUMIFS('Live Collections'!$T:$T,'Live Collections'!$D:$D,Disbursements!B440,'Live Collections'!$G:$G,Disbursements!C440)</f>
        <v>1499500</v>
      </c>
      <c r="AM440" s="541">
        <f t="shared" si="192"/>
        <v>1597500</v>
      </c>
      <c r="AN440" s="542">
        <f t="shared" si="193"/>
        <v>0</v>
      </c>
      <c r="AO440" s="542">
        <f t="shared" si="194"/>
        <v>500</v>
      </c>
      <c r="AP440" s="543">
        <f t="shared" si="195"/>
        <v>500</v>
      </c>
      <c r="AQ440" s="544">
        <f t="shared" ca="1" si="196"/>
        <v>500</v>
      </c>
      <c r="AR440" s="545">
        <f t="shared" ca="1" si="197"/>
        <v>3.1289111389236547E-4</v>
      </c>
      <c r="AS440" s="545">
        <f ca="1">IFERROR(CEILING($AR440*VLOOKUP($I440,Ref!$B$23:$E$29,4,0),1),0)</f>
        <v>1</v>
      </c>
      <c r="AT440" s="545" t="str">
        <f ca="1">IF(A440="","",IF(AP440&lt;=1,"Cleared",IF(AS440=0,"Clean",VLOOKUP($AS440,Ref!$G$23:$H$28,2))))</f>
        <v>1.(0-30) Days</v>
      </c>
      <c r="AU440" s="546" t="str">
        <f t="shared" si="198"/>
        <v>Ok</v>
      </c>
    </row>
    <row r="441" spans="1:47" ht="14.25" customHeight="1" x14ac:dyDescent="0.15">
      <c r="A441" s="575">
        <v>44613</v>
      </c>
      <c r="B441" s="523">
        <v>71</v>
      </c>
      <c r="C441" s="523">
        <v>437</v>
      </c>
      <c r="D441" s="523">
        <v>3</v>
      </c>
      <c r="E441" s="579" t="s">
        <v>1274</v>
      </c>
      <c r="F441" s="580">
        <v>4000000</v>
      </c>
      <c r="G441" s="524">
        <v>1</v>
      </c>
      <c r="H441" s="555">
        <v>6.5000000000000002E-2</v>
      </c>
      <c r="I441" s="560" t="s">
        <v>859</v>
      </c>
      <c r="J441" s="523" t="s">
        <v>862</v>
      </c>
      <c r="K441" s="528" t="str">
        <f>IFERROR(VLOOKUP($B441,'Clients-Live'!$A:$C,3,0),"")</f>
        <v>AYIKORU HARIET BAUDI</v>
      </c>
      <c r="L441" s="528">
        <f>IF(E441="STL",Pricing!$D$38,IF(A441="",0,IF(A441&lt;Pricing!$C$25,Pricing!$D$25,VLOOKUP(Disbursements!$F441,Pricing!$B$29:$D$32,3))))</f>
        <v>30000</v>
      </c>
      <c r="M441" s="528">
        <f>IF(E441="STL",0,IF(F441&gt;0,Pricing!$D$21,0))</f>
        <v>5000</v>
      </c>
      <c r="N441" s="529">
        <f>IF(E441="STL",F441*Pricing!$D$40,IF(A441&lt;=Pricing!$C$4,0,IF(AND(A441&gt;Pricing!$C$4,Disbursements!A441&lt;=Pricing!$C$5),F441*Pricing!$E$5,IF(AND(A441&gt;Pricing!$C$5,Disbursements!A441&lt;=Pricing!$C$7),VLOOKUP(F441,Pricing!$D$7:$E$8,2)*Disbursements!F441,F441*Pricing!$E$9))))</f>
        <v>80000</v>
      </c>
      <c r="O441" s="528">
        <f>IF(E441="STL",0,IF($F441&gt;0,$F441*Pricing!$D$17,0))</f>
        <v>400000</v>
      </c>
      <c r="P441" s="530">
        <f t="shared" si="178"/>
        <v>260000</v>
      </c>
      <c r="Q441" s="531">
        <f>IF($A441="","",$G441/VLOOKUP($I441,Ref!$B$23:$D$29,2,0))</f>
        <v>1</v>
      </c>
      <c r="R441" s="530">
        <f t="shared" si="179"/>
        <v>4260000</v>
      </c>
      <c r="S441" s="532">
        <f t="shared" si="173"/>
        <v>4260000</v>
      </c>
      <c r="T441" s="531">
        <f t="shared" si="180"/>
        <v>4260000</v>
      </c>
      <c r="U441" s="533">
        <f t="shared" si="181"/>
        <v>4260000</v>
      </c>
      <c r="V441" s="531">
        <f t="shared" si="182"/>
        <v>4000000</v>
      </c>
      <c r="W441" s="531">
        <f t="shared" si="183"/>
        <v>260000</v>
      </c>
      <c r="X441" s="534">
        <f t="shared" si="184"/>
        <v>260000</v>
      </c>
      <c r="Y441" s="535">
        <f>IF($A441="","",IF($I441="weekly",$A441+7,EDATE($A441,VLOOKUP($I441,Ref!$B$24:$C$29,2,0))))</f>
        <v>44641</v>
      </c>
      <c r="Z441" s="536" t="str">
        <f t="shared" si="185"/>
        <v>Mon</v>
      </c>
      <c r="AA441" s="531">
        <f t="shared" si="186"/>
        <v>28</v>
      </c>
      <c r="AB441" s="535">
        <f t="shared" si="174"/>
        <v>44641</v>
      </c>
      <c r="AC441" s="537">
        <f t="shared" si="175"/>
        <v>28</v>
      </c>
      <c r="AD441" s="538" t="str">
        <f t="shared" ca="1" si="176"/>
        <v>Expired</v>
      </c>
      <c r="AE441" s="537">
        <f t="shared" ca="1" si="177"/>
        <v>0</v>
      </c>
      <c r="AF441" s="539">
        <f t="shared" ca="1" si="187"/>
        <v>1</v>
      </c>
      <c r="AG441" s="531">
        <f t="shared" ca="1" si="188"/>
        <v>4260000</v>
      </c>
      <c r="AH441" s="531">
        <f t="shared" ca="1" si="189"/>
        <v>260000</v>
      </c>
      <c r="AI441" s="531">
        <f t="shared" ca="1" si="190"/>
        <v>4000000</v>
      </c>
      <c r="AJ441" s="531">
        <f t="shared" ca="1" si="191"/>
        <v>0</v>
      </c>
      <c r="AK441" s="540">
        <f>SUMIFS('Live Collections'!$S:$S,'Live Collections'!$D:$D,Disbursements!B441,'Live Collections'!$G:$G,Disbursements!C441)</f>
        <v>260000</v>
      </c>
      <c r="AL441" s="540">
        <f>SUMIFS('Live Collections'!$T:$T,'Live Collections'!$D:$D,Disbursements!B441,'Live Collections'!$G:$G,Disbursements!C441)</f>
        <v>4000000</v>
      </c>
      <c r="AM441" s="541">
        <f t="shared" si="192"/>
        <v>4260000</v>
      </c>
      <c r="AN441" s="542">
        <f t="shared" si="193"/>
        <v>0</v>
      </c>
      <c r="AO441" s="542">
        <f t="shared" si="194"/>
        <v>0</v>
      </c>
      <c r="AP441" s="543">
        <f t="shared" si="195"/>
        <v>0</v>
      </c>
      <c r="AQ441" s="544" t="str">
        <f t="shared" ca="1" si="196"/>
        <v/>
      </c>
      <c r="AR441" s="545">
        <f t="shared" ca="1" si="197"/>
        <v>0</v>
      </c>
      <c r="AS441" s="545">
        <f ca="1">IFERROR(CEILING($AR441*VLOOKUP($I441,Ref!$B$23:$E$29,4,0),1),0)</f>
        <v>0</v>
      </c>
      <c r="AT441" s="545" t="str">
        <f>IF(A441="","",IF(AP441&lt;=1,"Cleared",IF(AS441=0,"Clean",VLOOKUP($AS441,Ref!$G$23:$H$28,2))))</f>
        <v>Cleared</v>
      </c>
      <c r="AU441" s="546" t="str">
        <f t="shared" si="198"/>
        <v>Ok</v>
      </c>
    </row>
    <row r="442" spans="1:47" ht="14.25" customHeight="1" x14ac:dyDescent="0.15">
      <c r="A442" s="575">
        <v>44615</v>
      </c>
      <c r="B442" s="523">
        <v>183</v>
      </c>
      <c r="C442" s="523">
        <v>440</v>
      </c>
      <c r="D442" s="523">
        <v>2</v>
      </c>
      <c r="E442" s="579" t="s">
        <v>1274</v>
      </c>
      <c r="F442" s="580">
        <v>400000</v>
      </c>
      <c r="G442" s="524">
        <v>3</v>
      </c>
      <c r="H442" s="555">
        <v>6.5000000000000002E-2</v>
      </c>
      <c r="I442" s="560" t="s">
        <v>861</v>
      </c>
      <c r="J442" s="523" t="s">
        <v>862</v>
      </c>
      <c r="K442" s="528" t="str">
        <f>IFERROR(VLOOKUP($B442,'Clients-Live'!$A:$C,3,0),"")</f>
        <v>NIGHT AMINA HUSSEIN</v>
      </c>
      <c r="L442" s="528">
        <f>IF(E442="STL",Pricing!$D$38,IF(A442="",0,IF(A442&lt;Pricing!$C$25,Pricing!$D$25,VLOOKUP(Disbursements!$F442,Pricing!$B$29:$D$32,3))))</f>
        <v>15000</v>
      </c>
      <c r="M442" s="528">
        <f>IF(E442="STL",0,IF(F442&gt;0,Pricing!$D$21,0))</f>
        <v>5000</v>
      </c>
      <c r="N442" s="529">
        <f>IF(E442="STL",F442*Pricing!$D$40,IF(A442&lt;=Pricing!$C$4,0,IF(AND(A442&gt;Pricing!$C$4,Disbursements!A442&lt;=Pricing!$C$5),F442*Pricing!$E$5,IF(AND(A442&gt;Pricing!$C$5,Disbursements!A442&lt;=Pricing!$C$7),VLOOKUP(F442,Pricing!$D$7:$E$8,2)*Disbursements!F442,F442*Pricing!$E$9))))</f>
        <v>8000</v>
      </c>
      <c r="O442" s="528">
        <f>IF(E442="STL",0,IF($F442&gt;0,$F442*Pricing!$D$17,0))</f>
        <v>40000</v>
      </c>
      <c r="P442" s="530">
        <f t="shared" si="178"/>
        <v>78000</v>
      </c>
      <c r="Q442" s="531">
        <f>IF($A442="","",$G442/VLOOKUP($I442,Ref!$B$23:$D$29,2,0))</f>
        <v>12</v>
      </c>
      <c r="R442" s="530">
        <f t="shared" si="179"/>
        <v>478000</v>
      </c>
      <c r="S442" s="532">
        <f t="shared" si="173"/>
        <v>39833.333333333336</v>
      </c>
      <c r="T442" s="531">
        <f t="shared" si="180"/>
        <v>40000</v>
      </c>
      <c r="U442" s="533">
        <f t="shared" si="181"/>
        <v>480000</v>
      </c>
      <c r="V442" s="531">
        <f t="shared" si="182"/>
        <v>33333.333333333336</v>
      </c>
      <c r="W442" s="531">
        <f t="shared" si="183"/>
        <v>6666.6666666666642</v>
      </c>
      <c r="X442" s="534">
        <f t="shared" si="184"/>
        <v>79999.999999999971</v>
      </c>
      <c r="Y442" s="535">
        <f>IF($A442="","",IF($I442="weekly",$A442+7,EDATE($A442,VLOOKUP($I442,Ref!$B$24:$C$29,2,0))))</f>
        <v>44622</v>
      </c>
      <c r="Z442" s="536" t="str">
        <f t="shared" si="185"/>
        <v>Wed</v>
      </c>
      <c r="AA442" s="531">
        <f t="shared" si="186"/>
        <v>7</v>
      </c>
      <c r="AB442" s="535">
        <f t="shared" si="174"/>
        <v>44704</v>
      </c>
      <c r="AC442" s="537">
        <f t="shared" si="175"/>
        <v>89</v>
      </c>
      <c r="AD442" s="538" t="str">
        <f t="shared" ca="1" si="176"/>
        <v>Expired</v>
      </c>
      <c r="AE442" s="537">
        <f t="shared" ca="1" si="177"/>
        <v>0</v>
      </c>
      <c r="AF442" s="539">
        <f t="shared" ca="1" si="187"/>
        <v>12</v>
      </c>
      <c r="AG442" s="531">
        <f t="shared" ca="1" si="188"/>
        <v>480000</v>
      </c>
      <c r="AH442" s="531">
        <f t="shared" ca="1" si="189"/>
        <v>79999.999999999971</v>
      </c>
      <c r="AI442" s="531">
        <f t="shared" ca="1" si="190"/>
        <v>400000</v>
      </c>
      <c r="AJ442" s="531">
        <f t="shared" ca="1" si="191"/>
        <v>0</v>
      </c>
      <c r="AK442" s="540">
        <f>SUMIFS('Live Collections'!$S:$S,'Live Collections'!$D:$D,Disbursements!B442,'Live Collections'!$G:$G,Disbursements!C442)</f>
        <v>79999.999999999971</v>
      </c>
      <c r="AL442" s="540">
        <f>SUMIFS('Live Collections'!$T:$T,'Live Collections'!$D:$D,Disbursements!B442,'Live Collections'!$G:$G,Disbursements!C442)</f>
        <v>400000</v>
      </c>
      <c r="AM442" s="541">
        <f t="shared" si="192"/>
        <v>480000</v>
      </c>
      <c r="AN442" s="542">
        <f t="shared" si="193"/>
        <v>0</v>
      </c>
      <c r="AO442" s="542">
        <f t="shared" si="194"/>
        <v>0</v>
      </c>
      <c r="AP442" s="543">
        <f t="shared" si="195"/>
        <v>0</v>
      </c>
      <c r="AQ442" s="544" t="str">
        <f t="shared" ca="1" si="196"/>
        <v/>
      </c>
      <c r="AR442" s="545">
        <f t="shared" ca="1" si="197"/>
        <v>0</v>
      </c>
      <c r="AS442" s="545">
        <f ca="1">IFERROR(CEILING($AR442*VLOOKUP($I442,Ref!$B$23:$E$29,4,0),1),0)</f>
        <v>0</v>
      </c>
      <c r="AT442" s="545" t="str">
        <f>IF(A442="","",IF(AP442&lt;=1,"Cleared",IF(AS442=0,"Clean",VLOOKUP($AS442,Ref!$G$23:$H$28,2))))</f>
        <v>Cleared</v>
      </c>
      <c r="AU442" s="546" t="str">
        <f t="shared" si="198"/>
        <v>Ok</v>
      </c>
    </row>
    <row r="443" spans="1:47" ht="14.25" hidden="1" customHeight="1" x14ac:dyDescent="0.15">
      <c r="A443" s="575">
        <v>44615</v>
      </c>
      <c r="B443" s="523">
        <v>238</v>
      </c>
      <c r="C443" s="523">
        <v>441</v>
      </c>
      <c r="D443" s="523">
        <v>2</v>
      </c>
      <c r="E443" s="579" t="s">
        <v>1274</v>
      </c>
      <c r="F443" s="580">
        <v>700000</v>
      </c>
      <c r="G443" s="524">
        <v>6</v>
      </c>
      <c r="H443" s="555">
        <v>6.5000000000000002E-2</v>
      </c>
      <c r="I443" s="560" t="s">
        <v>861</v>
      </c>
      <c r="J443" s="523" t="s">
        <v>862</v>
      </c>
      <c r="K443" s="528" t="str">
        <f>IFERROR(VLOOKUP($B443,'Clients-Live'!$A:$C,3,0),"")</f>
        <v>ANGAIKA SAID</v>
      </c>
      <c r="L443" s="528">
        <f>IF(E443="STL",Pricing!$D$38,IF(A443="",0,IF(A443&lt;Pricing!$C$25,Pricing!$D$25,VLOOKUP(Disbursements!$F443,Pricing!$B$29:$D$32,3))))</f>
        <v>20000</v>
      </c>
      <c r="M443" s="528">
        <f>IF(E443="STL",0,IF(F443&gt;0,Pricing!$D$21,0))</f>
        <v>5000</v>
      </c>
      <c r="N443" s="529">
        <f>IF(E443="STL",F443*Pricing!$D$40,IF(A443&lt;=Pricing!$C$4,0,IF(AND(A443&gt;Pricing!$C$4,Disbursements!A443&lt;=Pricing!$C$5),F443*Pricing!$E$5,IF(AND(A443&gt;Pricing!$C$5,Disbursements!A443&lt;=Pricing!$C$7),VLOOKUP(F443,Pricing!$D$7:$E$8,2)*Disbursements!F443,F443*Pricing!$E$9))))</f>
        <v>14000</v>
      </c>
      <c r="O443" s="528">
        <f>IF(E443="STL",0,IF($F443&gt;0,$F443*Pricing!$D$17,0))</f>
        <v>70000</v>
      </c>
      <c r="P443" s="530">
        <f t="shared" si="178"/>
        <v>273000</v>
      </c>
      <c r="Q443" s="531">
        <f>IF($A443="","",$G443/VLOOKUP($I443,Ref!$B$23:$D$29,2,0))</f>
        <v>24</v>
      </c>
      <c r="R443" s="530">
        <f t="shared" si="179"/>
        <v>973000</v>
      </c>
      <c r="S443" s="532">
        <f t="shared" si="173"/>
        <v>40541.666666666664</v>
      </c>
      <c r="T443" s="531">
        <f t="shared" si="180"/>
        <v>41000</v>
      </c>
      <c r="U443" s="533">
        <f t="shared" si="181"/>
        <v>984000</v>
      </c>
      <c r="V443" s="531">
        <f t="shared" si="182"/>
        <v>29166.666666666668</v>
      </c>
      <c r="W443" s="531">
        <f t="shared" si="183"/>
        <v>11833.333333333332</v>
      </c>
      <c r="X443" s="534">
        <f t="shared" si="184"/>
        <v>284000</v>
      </c>
      <c r="Y443" s="535">
        <f>IF($A443="","",IF($I443="weekly",$A443+7,EDATE($A443,VLOOKUP($I443,Ref!$B$24:$C$29,2,0))))</f>
        <v>44622</v>
      </c>
      <c r="Z443" s="536" t="str">
        <f t="shared" si="185"/>
        <v>Wed</v>
      </c>
      <c r="AA443" s="531">
        <f t="shared" si="186"/>
        <v>7</v>
      </c>
      <c r="AB443" s="535">
        <f t="shared" si="174"/>
        <v>44796</v>
      </c>
      <c r="AC443" s="537">
        <f t="shared" si="175"/>
        <v>181</v>
      </c>
      <c r="AD443" s="538" t="str">
        <f t="shared" ca="1" si="176"/>
        <v>Expired</v>
      </c>
      <c r="AE443" s="537">
        <f t="shared" ca="1" si="177"/>
        <v>0</v>
      </c>
      <c r="AF443" s="539">
        <f t="shared" ca="1" si="187"/>
        <v>24</v>
      </c>
      <c r="AG443" s="531">
        <f t="shared" ca="1" si="188"/>
        <v>984000</v>
      </c>
      <c r="AH443" s="531">
        <f t="shared" ca="1" si="189"/>
        <v>284000</v>
      </c>
      <c r="AI443" s="531">
        <f t="shared" ca="1" si="190"/>
        <v>700000</v>
      </c>
      <c r="AJ443" s="531">
        <f t="shared" ca="1" si="191"/>
        <v>0</v>
      </c>
      <c r="AK443" s="540">
        <f>SUMIFS('Live Collections'!$S:$S,'Live Collections'!$D:$D,Disbursements!B443,'Live Collections'!$G:$G,Disbursements!C443)</f>
        <v>118333.3333333333</v>
      </c>
      <c r="AL443" s="540">
        <f>SUMIFS('Live Collections'!$T:$T,'Live Collections'!$D:$D,Disbursements!B443,'Live Collections'!$G:$G,Disbursements!C443)</f>
        <v>270266.66666666663</v>
      </c>
      <c r="AM443" s="541">
        <f t="shared" si="192"/>
        <v>388599.99999999994</v>
      </c>
      <c r="AN443" s="542">
        <f t="shared" si="193"/>
        <v>165666.66666666669</v>
      </c>
      <c r="AO443" s="542">
        <f t="shared" si="194"/>
        <v>429733.33333333337</v>
      </c>
      <c r="AP443" s="543">
        <f t="shared" si="195"/>
        <v>595400</v>
      </c>
      <c r="AQ443" s="544">
        <f t="shared" ca="1" si="196"/>
        <v>595400</v>
      </c>
      <c r="AR443" s="545">
        <f t="shared" ca="1" si="197"/>
        <v>14.521951219512195</v>
      </c>
      <c r="AS443" s="545">
        <f ca="1">IFERROR(CEILING($AR443*VLOOKUP($I443,Ref!$B$23:$E$29,4,0),1),0)</f>
        <v>102</v>
      </c>
      <c r="AT443" s="545" t="str">
        <f ca="1">IF(A443="","",IF(AP443&lt;=1,"Cleared",IF(AS443=0,"Clean",VLOOKUP($AS443,Ref!$G$23:$H$28,2))))</f>
        <v>4.(91-365) Days</v>
      </c>
      <c r="AU443" s="546" t="str">
        <f t="shared" si="198"/>
        <v>Ok</v>
      </c>
    </row>
    <row r="444" spans="1:47" ht="14.25" customHeight="1" x14ac:dyDescent="0.15">
      <c r="A444" s="575">
        <v>44615</v>
      </c>
      <c r="B444" s="523">
        <v>138</v>
      </c>
      <c r="C444" s="523">
        <v>442</v>
      </c>
      <c r="D444" s="523">
        <v>4</v>
      </c>
      <c r="E444" s="579" t="s">
        <v>1274</v>
      </c>
      <c r="F444" s="580">
        <v>1000000</v>
      </c>
      <c r="G444" s="524">
        <v>2</v>
      </c>
      <c r="H444" s="555">
        <v>6.5000000000000002E-2</v>
      </c>
      <c r="I444" s="560" t="s">
        <v>859</v>
      </c>
      <c r="J444" s="523" t="s">
        <v>864</v>
      </c>
      <c r="K444" s="528" t="str">
        <f>IFERROR(VLOOKUP($B444,'Clients-Live'!$A:$C,3,0),"")</f>
        <v>BEATRICE AMANDRU</v>
      </c>
      <c r="L444" s="528">
        <f>IF(E444="STL",Pricing!$D$38,IF(A444="",0,IF(A444&lt;Pricing!$C$25,Pricing!$D$25,VLOOKUP(Disbursements!$F444,Pricing!$B$29:$D$32,3))))</f>
        <v>20000</v>
      </c>
      <c r="M444" s="528">
        <f>IF(E444="STL",0,IF(F444&gt;0,Pricing!$D$21,0))</f>
        <v>5000</v>
      </c>
      <c r="N444" s="529">
        <f>IF(E444="STL",F444*Pricing!$D$40,IF(A444&lt;=Pricing!$C$4,0,IF(AND(A444&gt;Pricing!$C$4,Disbursements!A444&lt;=Pricing!$C$5),F444*Pricing!$E$5,IF(AND(A444&gt;Pricing!$C$5,Disbursements!A444&lt;=Pricing!$C$7),VLOOKUP(F444,Pricing!$D$7:$E$8,2)*Disbursements!F444,F444*Pricing!$E$9))))</f>
        <v>20000</v>
      </c>
      <c r="O444" s="528">
        <f>IF(E444="STL",0,IF($F444&gt;0,$F444*Pricing!$D$17,0))</f>
        <v>100000</v>
      </c>
      <c r="P444" s="530">
        <f t="shared" si="178"/>
        <v>130000</v>
      </c>
      <c r="Q444" s="531">
        <f>IF($A444="","",$G444/VLOOKUP($I444,Ref!$B$23:$D$29,2,0))</f>
        <v>2</v>
      </c>
      <c r="R444" s="530">
        <f t="shared" si="179"/>
        <v>1130000</v>
      </c>
      <c r="S444" s="532">
        <f t="shared" si="173"/>
        <v>565000</v>
      </c>
      <c r="T444" s="531">
        <f t="shared" si="180"/>
        <v>565000</v>
      </c>
      <c r="U444" s="533">
        <f t="shared" si="181"/>
        <v>1130000</v>
      </c>
      <c r="V444" s="531">
        <f t="shared" si="182"/>
        <v>500000</v>
      </c>
      <c r="W444" s="531">
        <f t="shared" si="183"/>
        <v>65000</v>
      </c>
      <c r="X444" s="534">
        <f t="shared" si="184"/>
        <v>130000</v>
      </c>
      <c r="Y444" s="535">
        <f>IF($A444="","",IF($I444="weekly",$A444+7,EDATE($A444,VLOOKUP($I444,Ref!$B$24:$C$29,2,0))))</f>
        <v>44643</v>
      </c>
      <c r="Z444" s="536" t="str">
        <f t="shared" si="185"/>
        <v>Wed</v>
      </c>
      <c r="AA444" s="531">
        <f t="shared" si="186"/>
        <v>28</v>
      </c>
      <c r="AB444" s="535">
        <f t="shared" si="174"/>
        <v>44674</v>
      </c>
      <c r="AC444" s="537">
        <f t="shared" si="175"/>
        <v>59</v>
      </c>
      <c r="AD444" s="538" t="str">
        <f t="shared" ca="1" si="176"/>
        <v>Expired</v>
      </c>
      <c r="AE444" s="537">
        <f t="shared" ca="1" si="177"/>
        <v>0</v>
      </c>
      <c r="AF444" s="539">
        <f t="shared" ca="1" si="187"/>
        <v>2</v>
      </c>
      <c r="AG444" s="531">
        <f t="shared" ca="1" si="188"/>
        <v>1130000</v>
      </c>
      <c r="AH444" s="531">
        <f t="shared" ca="1" si="189"/>
        <v>130000</v>
      </c>
      <c r="AI444" s="531">
        <f t="shared" ca="1" si="190"/>
        <v>1000000</v>
      </c>
      <c r="AJ444" s="531">
        <f t="shared" ca="1" si="191"/>
        <v>0</v>
      </c>
      <c r="AK444" s="540">
        <f>SUMIFS('Live Collections'!$S:$S,'Live Collections'!$D:$D,Disbursements!B444,'Live Collections'!$G:$G,Disbursements!C444)</f>
        <v>130000</v>
      </c>
      <c r="AL444" s="540">
        <f>SUMIFS('Live Collections'!$T:$T,'Live Collections'!$D:$D,Disbursements!B444,'Live Collections'!$G:$G,Disbursements!C444)</f>
        <v>270000</v>
      </c>
      <c r="AM444" s="541">
        <f t="shared" si="192"/>
        <v>400000</v>
      </c>
      <c r="AN444" s="542">
        <f t="shared" si="193"/>
        <v>0</v>
      </c>
      <c r="AO444" s="542">
        <f t="shared" si="194"/>
        <v>730000</v>
      </c>
      <c r="AP444" s="543">
        <f t="shared" si="195"/>
        <v>730000</v>
      </c>
      <c r="AQ444" s="544">
        <f t="shared" ca="1" si="196"/>
        <v>730000</v>
      </c>
      <c r="AR444" s="545">
        <f t="shared" ca="1" si="197"/>
        <v>1.2920353982300885</v>
      </c>
      <c r="AS444" s="545">
        <f ca="1">IFERROR(CEILING($AR444*VLOOKUP($I444,Ref!$B$23:$E$29,4,0),1),0)</f>
        <v>39</v>
      </c>
      <c r="AT444" s="545" t="str">
        <f ca="1">IF(A444="","",IF(AP444&lt;=1,"Cleared",IF(AS444=0,"Clean",VLOOKUP($AS444,Ref!$G$23:$H$28,2))))</f>
        <v>2.(31-60) Days</v>
      </c>
      <c r="AU444" s="546" t="str">
        <f t="shared" si="198"/>
        <v>Ok</v>
      </c>
    </row>
    <row r="445" spans="1:47" ht="14.25" hidden="1" customHeight="1" x14ac:dyDescent="0.15">
      <c r="A445" s="575">
        <v>44620</v>
      </c>
      <c r="B445" s="523">
        <v>3</v>
      </c>
      <c r="C445" s="523">
        <v>443</v>
      </c>
      <c r="D445" s="523">
        <v>2</v>
      </c>
      <c r="E445" s="579" t="s">
        <v>1274</v>
      </c>
      <c r="F445" s="580">
        <v>2000000</v>
      </c>
      <c r="G445" s="524">
        <v>6</v>
      </c>
      <c r="H445" s="555">
        <v>6.5000000000000002E-2</v>
      </c>
      <c r="I445" s="560" t="s">
        <v>861</v>
      </c>
      <c r="J445" s="523" t="s">
        <v>864</v>
      </c>
      <c r="K445" s="528" t="str">
        <f>IFERROR(VLOOKUP($B445,'Clients-Live'!$A:$C,3,0),"")</f>
        <v>YEKA ARIJABU</v>
      </c>
      <c r="L445" s="528">
        <f>IF(E445="STL",Pricing!$D$38,IF(A445="",0,IF(A445&lt;Pricing!$C$25,Pricing!$D$25,VLOOKUP(Disbursements!$F445,Pricing!$B$29:$D$32,3))))</f>
        <v>25000</v>
      </c>
      <c r="M445" s="528">
        <f>IF(E445="STL",0,IF(F445&gt;0,Pricing!$D$21,0))</f>
        <v>5000</v>
      </c>
      <c r="N445" s="529">
        <f>IF(E445="STL",F445*Pricing!$D$40,IF(A445&lt;=Pricing!$C$4,0,IF(AND(A445&gt;Pricing!$C$4,Disbursements!A445&lt;=Pricing!$C$5),F445*Pricing!$E$5,IF(AND(A445&gt;Pricing!$C$5,Disbursements!A445&lt;=Pricing!$C$7),VLOOKUP(F445,Pricing!$D$7:$E$8,2)*Disbursements!F445,F445*Pricing!$E$9))))</f>
        <v>40000</v>
      </c>
      <c r="O445" s="528">
        <f>IF(E445="STL",0,IF($F445&gt;0,$F445*Pricing!$D$17,0))</f>
        <v>200000</v>
      </c>
      <c r="P445" s="530">
        <f t="shared" si="178"/>
        <v>780000</v>
      </c>
      <c r="Q445" s="531">
        <f>IF($A445="","",$G445/VLOOKUP($I445,Ref!$B$23:$D$29,2,0))</f>
        <v>24</v>
      </c>
      <c r="R445" s="530">
        <f t="shared" si="179"/>
        <v>2780000</v>
      </c>
      <c r="S445" s="532">
        <f t="shared" si="173"/>
        <v>115833.33333333333</v>
      </c>
      <c r="T445" s="531">
        <f t="shared" si="180"/>
        <v>116000</v>
      </c>
      <c r="U445" s="533">
        <f t="shared" si="181"/>
        <v>2784000</v>
      </c>
      <c r="V445" s="531">
        <f t="shared" si="182"/>
        <v>83333.333333333328</v>
      </c>
      <c r="W445" s="531">
        <f t="shared" si="183"/>
        <v>32666.666666666672</v>
      </c>
      <c r="X445" s="534">
        <f t="shared" si="184"/>
        <v>784000.00000000012</v>
      </c>
      <c r="Y445" s="535">
        <f>IF($A445="","",IF($I445="weekly",$A445+7,EDATE($A445,VLOOKUP($I445,Ref!$B$24:$C$29,2,0))))</f>
        <v>44627</v>
      </c>
      <c r="Z445" s="536" t="str">
        <f t="shared" si="185"/>
        <v>Mon</v>
      </c>
      <c r="AA445" s="531">
        <f t="shared" si="186"/>
        <v>7</v>
      </c>
      <c r="AB445" s="535">
        <f t="shared" si="174"/>
        <v>44801</v>
      </c>
      <c r="AC445" s="537">
        <f t="shared" si="175"/>
        <v>181</v>
      </c>
      <c r="AD445" s="538" t="str">
        <f t="shared" ca="1" si="176"/>
        <v>Expired</v>
      </c>
      <c r="AE445" s="537">
        <f t="shared" ca="1" si="177"/>
        <v>0</v>
      </c>
      <c r="AF445" s="539">
        <f t="shared" ca="1" si="187"/>
        <v>24</v>
      </c>
      <c r="AG445" s="531">
        <f t="shared" ca="1" si="188"/>
        <v>2784000</v>
      </c>
      <c r="AH445" s="531">
        <f t="shared" ca="1" si="189"/>
        <v>784000.00000000012</v>
      </c>
      <c r="AI445" s="531">
        <f t="shared" ca="1" si="190"/>
        <v>2000000</v>
      </c>
      <c r="AJ445" s="531">
        <f t="shared" ca="1" si="191"/>
        <v>0</v>
      </c>
      <c r="AK445" s="540">
        <f>SUMIFS('Live Collections'!$S:$S,'Live Collections'!$D:$D,Disbursements!B445,'Live Collections'!$G:$G,Disbursements!C445)</f>
        <v>392000.00000000017</v>
      </c>
      <c r="AL445" s="540">
        <f>SUMIFS('Live Collections'!$T:$T,'Live Collections'!$D:$D,Disbursements!B445,'Live Collections'!$G:$G,Disbursements!C445)</f>
        <v>763000</v>
      </c>
      <c r="AM445" s="541">
        <f t="shared" si="192"/>
        <v>1155000.0000000002</v>
      </c>
      <c r="AN445" s="542">
        <f t="shared" si="193"/>
        <v>391999.99999999994</v>
      </c>
      <c r="AO445" s="542">
        <f t="shared" si="194"/>
        <v>1237000</v>
      </c>
      <c r="AP445" s="543">
        <f t="shared" si="195"/>
        <v>1629000</v>
      </c>
      <c r="AQ445" s="544">
        <f t="shared" ca="1" si="196"/>
        <v>1629000</v>
      </c>
      <c r="AR445" s="545">
        <f t="shared" ca="1" si="197"/>
        <v>14.043103448275861</v>
      </c>
      <c r="AS445" s="545">
        <f ca="1">IFERROR(CEILING($AR445*VLOOKUP($I445,Ref!$B$23:$E$29,4,0),1),0)</f>
        <v>99</v>
      </c>
      <c r="AT445" s="545" t="str">
        <f ca="1">IF(A445="","",IF(AP445&lt;=1,"Cleared",IF(AS445=0,"Clean",VLOOKUP($AS445,Ref!$G$23:$H$28,2))))</f>
        <v>4.(91-365) Days</v>
      </c>
      <c r="AU445" s="546" t="str">
        <f t="shared" si="198"/>
        <v>Ok</v>
      </c>
    </row>
    <row r="446" spans="1:47" ht="14.25" hidden="1" customHeight="1" x14ac:dyDescent="0.15">
      <c r="A446" s="575">
        <v>44620</v>
      </c>
      <c r="B446" s="523">
        <v>177</v>
      </c>
      <c r="C446" s="523">
        <v>444</v>
      </c>
      <c r="D446" s="523">
        <v>2</v>
      </c>
      <c r="E446" s="579" t="s">
        <v>1274</v>
      </c>
      <c r="F446" s="580">
        <v>1500000</v>
      </c>
      <c r="G446" s="524">
        <v>6</v>
      </c>
      <c r="H446" s="555">
        <v>6.5000000000000002E-2</v>
      </c>
      <c r="I446" s="560" t="s">
        <v>861</v>
      </c>
      <c r="J446" s="523" t="s">
        <v>863</v>
      </c>
      <c r="K446" s="528" t="str">
        <f>IFERROR(VLOOKUP($B446,'Clients-Live'!$A:$C,3,0),"")</f>
        <v>EFIT GIFT</v>
      </c>
      <c r="L446" s="528">
        <f>IF(E446="STL",Pricing!$D$38,IF(A446="",0,IF(A446&lt;Pricing!$C$25,Pricing!$D$25,VLOOKUP(Disbursements!$F446,Pricing!$B$29:$D$32,3))))</f>
        <v>25000</v>
      </c>
      <c r="M446" s="528">
        <f>IF(E446="STL",0,IF(F446&gt;0,Pricing!$D$21,0))</f>
        <v>5000</v>
      </c>
      <c r="N446" s="529">
        <f>IF(E446="STL",F446*Pricing!$D$40,IF(A446&lt;=Pricing!$C$4,0,IF(AND(A446&gt;Pricing!$C$4,Disbursements!A446&lt;=Pricing!$C$5),F446*Pricing!$E$5,IF(AND(A446&gt;Pricing!$C$5,Disbursements!A446&lt;=Pricing!$C$7),VLOOKUP(F446,Pricing!$D$7:$E$8,2)*Disbursements!F446,F446*Pricing!$E$9))))</f>
        <v>30000</v>
      </c>
      <c r="O446" s="528">
        <f>IF(E446="STL",0,IF($F446&gt;0,$F446*Pricing!$D$17,0))</f>
        <v>150000</v>
      </c>
      <c r="P446" s="530">
        <f t="shared" si="178"/>
        <v>585000</v>
      </c>
      <c r="Q446" s="531">
        <f>IF($A446="","",$G446/VLOOKUP($I446,Ref!$B$23:$D$29,2,0))</f>
        <v>24</v>
      </c>
      <c r="R446" s="530">
        <f t="shared" si="179"/>
        <v>2085000</v>
      </c>
      <c r="S446" s="532">
        <f t="shared" si="173"/>
        <v>86875</v>
      </c>
      <c r="T446" s="531">
        <f t="shared" si="180"/>
        <v>87000</v>
      </c>
      <c r="U446" s="533">
        <f t="shared" si="181"/>
        <v>2088000</v>
      </c>
      <c r="V446" s="531">
        <f t="shared" si="182"/>
        <v>62500</v>
      </c>
      <c r="W446" s="531">
        <f t="shared" si="183"/>
        <v>24500</v>
      </c>
      <c r="X446" s="534">
        <f t="shared" si="184"/>
        <v>588000</v>
      </c>
      <c r="Y446" s="535">
        <f>IF($A446="","",IF($I446="weekly",$A446+7,EDATE($A446,VLOOKUP($I446,Ref!$B$24:$C$29,2,0))))</f>
        <v>44627</v>
      </c>
      <c r="Z446" s="536" t="str">
        <f t="shared" si="185"/>
        <v>Mon</v>
      </c>
      <c r="AA446" s="531">
        <f t="shared" si="186"/>
        <v>7</v>
      </c>
      <c r="AB446" s="535">
        <f t="shared" si="174"/>
        <v>44801</v>
      </c>
      <c r="AC446" s="537">
        <f t="shared" si="175"/>
        <v>181</v>
      </c>
      <c r="AD446" s="538" t="str">
        <f t="shared" ca="1" si="176"/>
        <v>Expired</v>
      </c>
      <c r="AE446" s="537">
        <f t="shared" ca="1" si="177"/>
        <v>0</v>
      </c>
      <c r="AF446" s="539">
        <f t="shared" ca="1" si="187"/>
        <v>24</v>
      </c>
      <c r="AG446" s="531">
        <f t="shared" ca="1" si="188"/>
        <v>2088000</v>
      </c>
      <c r="AH446" s="531">
        <f t="shared" ca="1" si="189"/>
        <v>588000</v>
      </c>
      <c r="AI446" s="531">
        <f t="shared" ca="1" si="190"/>
        <v>1500000</v>
      </c>
      <c r="AJ446" s="531">
        <f t="shared" ca="1" si="191"/>
        <v>0</v>
      </c>
      <c r="AK446" s="540">
        <f>SUMIFS('Live Collections'!$S:$S,'Live Collections'!$D:$D,Disbursements!B446,'Live Collections'!$G:$G,Disbursements!C446)</f>
        <v>220500</v>
      </c>
      <c r="AL446" s="540">
        <f>SUMIFS('Live Collections'!$T:$T,'Live Collections'!$D:$D,Disbursements!B446,'Live Collections'!$G:$G,Disbursements!C446)</f>
        <v>579500</v>
      </c>
      <c r="AM446" s="541">
        <f t="shared" si="192"/>
        <v>800000</v>
      </c>
      <c r="AN446" s="542">
        <f t="shared" si="193"/>
        <v>367500</v>
      </c>
      <c r="AO446" s="542">
        <f t="shared" si="194"/>
        <v>920500</v>
      </c>
      <c r="AP446" s="543">
        <f t="shared" si="195"/>
        <v>1288000</v>
      </c>
      <c r="AQ446" s="544">
        <f t="shared" ca="1" si="196"/>
        <v>1288000</v>
      </c>
      <c r="AR446" s="545">
        <f t="shared" ca="1" si="197"/>
        <v>14.804597701149426</v>
      </c>
      <c r="AS446" s="545">
        <f ca="1">IFERROR(CEILING($AR446*VLOOKUP($I446,Ref!$B$23:$E$29,4,0),1),0)</f>
        <v>104</v>
      </c>
      <c r="AT446" s="545" t="str">
        <f ca="1">IF(A446="","",IF(AP446&lt;=1,"Cleared",IF(AS446=0,"Clean",VLOOKUP($AS446,Ref!$G$23:$H$28,2))))</f>
        <v>4.(91-365) Days</v>
      </c>
      <c r="AU446" s="546" t="str">
        <f t="shared" si="198"/>
        <v>Ok</v>
      </c>
    </row>
    <row r="447" spans="1:47" ht="14.25" customHeight="1" x14ac:dyDescent="0.15">
      <c r="A447" s="575">
        <v>44621</v>
      </c>
      <c r="B447" s="523">
        <v>126</v>
      </c>
      <c r="C447" s="523">
        <v>445</v>
      </c>
      <c r="D447" s="523">
        <v>4</v>
      </c>
      <c r="E447" s="579" t="s">
        <v>1275</v>
      </c>
      <c r="F447" s="580">
        <v>1500000</v>
      </c>
      <c r="G447" s="524">
        <v>3</v>
      </c>
      <c r="H447" s="555">
        <v>7.4999999999999997E-2</v>
      </c>
      <c r="I447" s="560" t="s">
        <v>859</v>
      </c>
      <c r="J447" s="523" t="s">
        <v>862</v>
      </c>
      <c r="K447" s="528" t="str">
        <f>IFERROR(VLOOKUP($B447,'Clients-Live'!$A:$C,3,0),"")</f>
        <v>OGWAL STEPHEN GERALD</v>
      </c>
      <c r="L447" s="528">
        <f>IF(E447="STL",Pricing!$D$38,IF(A447="",0,IF(A447&lt;Pricing!$C$25,Pricing!$D$25,VLOOKUP(Disbursements!$F447,Pricing!$B$29:$D$32,3))))</f>
        <v>25000</v>
      </c>
      <c r="M447" s="528">
        <f>IF(E447="STL",0,IF(F447&gt;0,Pricing!$D$21,0))</f>
        <v>5000</v>
      </c>
      <c r="N447" s="529">
        <f>IF(E447="STL",F447*Pricing!$D$40,IF(A447&lt;=Pricing!$C$4,0,IF(AND(A447&gt;Pricing!$C$4,Disbursements!A447&lt;=Pricing!$C$5),F447*Pricing!$E$5,IF(AND(A447&gt;Pricing!$C$5,Disbursements!A447&lt;=Pricing!$C$7),VLOOKUP(F447,Pricing!$D$7:$E$8,2)*Disbursements!F447,F447*Pricing!$E$9))))</f>
        <v>30000</v>
      </c>
      <c r="O447" s="528">
        <f>IF(E447="STL",0,IF($F447&gt;0,$F447*Pricing!$D$17,0))</f>
        <v>150000</v>
      </c>
      <c r="P447" s="530">
        <f t="shared" si="178"/>
        <v>337500</v>
      </c>
      <c r="Q447" s="531">
        <f>IF($A447="","",$G447/VLOOKUP($I447,Ref!$B$23:$D$29,2,0))</f>
        <v>3</v>
      </c>
      <c r="R447" s="530">
        <f t="shared" si="179"/>
        <v>1837500</v>
      </c>
      <c r="S447" s="532">
        <f t="shared" si="173"/>
        <v>612500</v>
      </c>
      <c r="T447" s="531">
        <f t="shared" si="180"/>
        <v>613000</v>
      </c>
      <c r="U447" s="533">
        <f t="shared" si="181"/>
        <v>1839000</v>
      </c>
      <c r="V447" s="531">
        <f t="shared" si="182"/>
        <v>500000</v>
      </c>
      <c r="W447" s="531">
        <f t="shared" si="183"/>
        <v>113000</v>
      </c>
      <c r="X447" s="534">
        <f t="shared" si="184"/>
        <v>339000</v>
      </c>
      <c r="Y447" s="535">
        <f>IF($A447="","",IF($I447="weekly",$A447+7,EDATE($A447,VLOOKUP($I447,Ref!$B$24:$C$29,2,0))))</f>
        <v>44652</v>
      </c>
      <c r="Z447" s="536" t="str">
        <f t="shared" si="185"/>
        <v>Frid</v>
      </c>
      <c r="AA447" s="531">
        <f t="shared" si="186"/>
        <v>31</v>
      </c>
      <c r="AB447" s="535">
        <f t="shared" si="174"/>
        <v>44713</v>
      </c>
      <c r="AC447" s="537">
        <f t="shared" si="175"/>
        <v>92</v>
      </c>
      <c r="AD447" s="538" t="str">
        <f t="shared" ca="1" si="176"/>
        <v>Expired</v>
      </c>
      <c r="AE447" s="537">
        <f t="shared" ca="1" si="177"/>
        <v>0</v>
      </c>
      <c r="AF447" s="539">
        <f t="shared" ca="1" si="187"/>
        <v>3</v>
      </c>
      <c r="AG447" s="531">
        <f t="shared" ca="1" si="188"/>
        <v>1839000</v>
      </c>
      <c r="AH447" s="531">
        <f t="shared" ca="1" si="189"/>
        <v>339000</v>
      </c>
      <c r="AI447" s="531">
        <f t="shared" ca="1" si="190"/>
        <v>1500000</v>
      </c>
      <c r="AJ447" s="531">
        <f t="shared" ca="1" si="191"/>
        <v>0</v>
      </c>
      <c r="AK447" s="540">
        <f>SUMIFS('Live Collections'!$S:$S,'Live Collections'!$D:$D,Disbursements!B447,'Live Collections'!$G:$G,Disbursements!C447)</f>
        <v>226000</v>
      </c>
      <c r="AL447" s="540">
        <f>SUMIFS('Live Collections'!$T:$T,'Live Collections'!$D:$D,Disbursements!B447,'Live Collections'!$G:$G,Disbursements!C447)</f>
        <v>997000</v>
      </c>
      <c r="AM447" s="541">
        <f t="shared" si="192"/>
        <v>1223000</v>
      </c>
      <c r="AN447" s="542">
        <f t="shared" si="193"/>
        <v>113000</v>
      </c>
      <c r="AO447" s="542">
        <f t="shared" si="194"/>
        <v>503000</v>
      </c>
      <c r="AP447" s="543">
        <f t="shared" si="195"/>
        <v>616000</v>
      </c>
      <c r="AQ447" s="544">
        <f t="shared" ca="1" si="196"/>
        <v>616000</v>
      </c>
      <c r="AR447" s="545">
        <f t="shared" ca="1" si="197"/>
        <v>1.0048939641109298</v>
      </c>
      <c r="AS447" s="545">
        <f ca="1">IFERROR(CEILING($AR447*VLOOKUP($I447,Ref!$B$23:$E$29,4,0),1),0)</f>
        <v>31</v>
      </c>
      <c r="AT447" s="545" t="str">
        <f ca="1">IF(A447="","",IF(AP447&lt;=1,"Cleared",IF(AS447=0,"Clean",VLOOKUP($AS447,Ref!$G$23:$H$28,2))))</f>
        <v>2.(31-60) Days</v>
      </c>
      <c r="AU447" s="546" t="str">
        <f t="shared" si="198"/>
        <v>Ok</v>
      </c>
    </row>
    <row r="448" spans="1:47" ht="14.25" hidden="1" customHeight="1" x14ac:dyDescent="0.15">
      <c r="A448" s="575">
        <v>44623</v>
      </c>
      <c r="B448" s="523">
        <v>326</v>
      </c>
      <c r="C448" s="523">
        <v>446</v>
      </c>
      <c r="D448" s="523">
        <v>1</v>
      </c>
      <c r="E448" s="579" t="s">
        <v>1274</v>
      </c>
      <c r="F448" s="580">
        <v>2200000</v>
      </c>
      <c r="G448" s="524">
        <v>6</v>
      </c>
      <c r="H448" s="555">
        <v>6.5000000000000002E-2</v>
      </c>
      <c r="I448" s="560" t="s">
        <v>859</v>
      </c>
      <c r="J448" s="523" t="s">
        <v>863</v>
      </c>
      <c r="K448" s="528" t="str">
        <f>IFERROR(VLOOKUP($B448,'Clients-Live'!$A:$C,3,0),"")</f>
        <v>AJUKI HARRIET</v>
      </c>
      <c r="L448" s="528">
        <f>IF(E448="STL",Pricing!$D$38,IF(A448="",0,IF(A448&lt;Pricing!$C$25,Pricing!$D$25,VLOOKUP(Disbursements!$F448,Pricing!$B$29:$D$32,3))))</f>
        <v>30000</v>
      </c>
      <c r="M448" s="528">
        <f>IF(E448="STL",0,IF(F448&gt;0,Pricing!$D$21,0))</f>
        <v>5000</v>
      </c>
      <c r="N448" s="529">
        <f>IF(E448="STL",F448*Pricing!$D$40,IF(A448&lt;=Pricing!$C$4,0,IF(AND(A448&gt;Pricing!$C$4,Disbursements!A448&lt;=Pricing!$C$5),F448*Pricing!$E$5,IF(AND(A448&gt;Pricing!$C$5,Disbursements!A448&lt;=Pricing!$C$7),VLOOKUP(F448,Pricing!$D$7:$E$8,2)*Disbursements!F448,F448*Pricing!$E$9))))</f>
        <v>44000</v>
      </c>
      <c r="O448" s="528">
        <f>IF(E448="STL",0,IF($F448&gt;0,$F448*Pricing!$D$17,0))</f>
        <v>220000</v>
      </c>
      <c r="P448" s="530">
        <f t="shared" si="178"/>
        <v>858000</v>
      </c>
      <c r="Q448" s="531">
        <f>IF($A448="","",$G448/VLOOKUP($I448,Ref!$B$23:$D$29,2,0))</f>
        <v>6</v>
      </c>
      <c r="R448" s="530">
        <f t="shared" si="179"/>
        <v>3058000</v>
      </c>
      <c r="S448" s="532">
        <f t="shared" si="173"/>
        <v>509666.66666666669</v>
      </c>
      <c r="T448" s="531">
        <f t="shared" si="180"/>
        <v>510000</v>
      </c>
      <c r="U448" s="533">
        <f t="shared" si="181"/>
        <v>3060000</v>
      </c>
      <c r="V448" s="531">
        <f t="shared" si="182"/>
        <v>366666.66666666669</v>
      </c>
      <c r="W448" s="531">
        <f t="shared" si="183"/>
        <v>143333.33333333331</v>
      </c>
      <c r="X448" s="534">
        <f t="shared" si="184"/>
        <v>859999.99999999988</v>
      </c>
      <c r="Y448" s="535">
        <f>IF($A448="","",IF($I448="weekly",$A448+7,EDATE($A448,VLOOKUP($I448,Ref!$B$24:$C$29,2,0))))</f>
        <v>44654</v>
      </c>
      <c r="Z448" s="536" t="str">
        <f t="shared" si="185"/>
        <v>Sun</v>
      </c>
      <c r="AA448" s="531">
        <f t="shared" si="186"/>
        <v>31</v>
      </c>
      <c r="AB448" s="535">
        <f t="shared" si="174"/>
        <v>44807</v>
      </c>
      <c r="AC448" s="537">
        <f t="shared" si="175"/>
        <v>184</v>
      </c>
      <c r="AD448" s="538" t="str">
        <f t="shared" ca="1" si="176"/>
        <v>Expired</v>
      </c>
      <c r="AE448" s="537">
        <f t="shared" ca="1" si="177"/>
        <v>0</v>
      </c>
      <c r="AF448" s="539">
        <f t="shared" ca="1" si="187"/>
        <v>6</v>
      </c>
      <c r="AG448" s="531">
        <f t="shared" ca="1" si="188"/>
        <v>3060000</v>
      </c>
      <c r="AH448" s="531">
        <f t="shared" ca="1" si="189"/>
        <v>859999.99999999988</v>
      </c>
      <c r="AI448" s="531">
        <f t="shared" ca="1" si="190"/>
        <v>2200000</v>
      </c>
      <c r="AJ448" s="531">
        <f t="shared" ca="1" si="191"/>
        <v>0</v>
      </c>
      <c r="AK448" s="540">
        <f>SUMIFS('Live Collections'!$S:$S,'Live Collections'!$D:$D,Disbursements!B448,'Live Collections'!$G:$G,Disbursements!C448)</f>
        <v>286666.66666666663</v>
      </c>
      <c r="AL448" s="540">
        <f>SUMIFS('Live Collections'!$T:$T,'Live Collections'!$D:$D,Disbursements!B448,'Live Collections'!$G:$G,Disbursements!C448)</f>
        <v>733333.33333333337</v>
      </c>
      <c r="AM448" s="541">
        <f t="shared" si="192"/>
        <v>1020000</v>
      </c>
      <c r="AN448" s="542">
        <f t="shared" si="193"/>
        <v>573333.33333333326</v>
      </c>
      <c r="AO448" s="542">
        <f t="shared" si="194"/>
        <v>1466666.6666666665</v>
      </c>
      <c r="AP448" s="543">
        <f t="shared" si="195"/>
        <v>2039999.9999999998</v>
      </c>
      <c r="AQ448" s="544">
        <f t="shared" ca="1" si="196"/>
        <v>2039999.9999999998</v>
      </c>
      <c r="AR448" s="545">
        <f t="shared" ca="1" si="197"/>
        <v>3.9999999999999996</v>
      </c>
      <c r="AS448" s="545">
        <f ca="1">IFERROR(CEILING($AR448*VLOOKUP($I448,Ref!$B$23:$E$29,4,0),1),0)</f>
        <v>120</v>
      </c>
      <c r="AT448" s="545" t="str">
        <f ca="1">IF(A448="","",IF(AP448&lt;=1,"Cleared",IF(AS448=0,"Clean",VLOOKUP($AS448,Ref!$G$23:$H$28,2))))</f>
        <v>4.(91-365) Days</v>
      </c>
      <c r="AU448" s="546" t="str">
        <f t="shared" si="198"/>
        <v>Ok</v>
      </c>
    </row>
    <row r="449" spans="1:47" ht="14.25" hidden="1" customHeight="1" x14ac:dyDescent="0.15">
      <c r="A449" s="575">
        <v>44623</v>
      </c>
      <c r="B449" s="523">
        <v>74</v>
      </c>
      <c r="C449" s="523">
        <v>447</v>
      </c>
      <c r="D449" s="523">
        <v>3</v>
      </c>
      <c r="E449" s="579" t="s">
        <v>1274</v>
      </c>
      <c r="F449" s="580">
        <v>200000</v>
      </c>
      <c r="G449" s="524">
        <v>4</v>
      </c>
      <c r="H449" s="555">
        <v>6.5000000000000002E-2</v>
      </c>
      <c r="I449" s="560" t="s">
        <v>861</v>
      </c>
      <c r="J449" s="523" t="s">
        <v>863</v>
      </c>
      <c r="K449" s="528" t="str">
        <f>IFERROR(VLOOKUP($B449,'Clients-Live'!$A:$C,3,0),"")</f>
        <v>YUKUWE AISHA</v>
      </c>
      <c r="L449" s="528">
        <f>IF(E449="STL",Pricing!$D$38,IF(A449="",0,IF(A449&lt;Pricing!$C$25,Pricing!$D$25,VLOOKUP(Disbursements!$F449,Pricing!$B$29:$D$32,3))))</f>
        <v>15000</v>
      </c>
      <c r="M449" s="528">
        <f>IF(E449="STL",0,IF(F449&gt;0,Pricing!$D$21,0))</f>
        <v>5000</v>
      </c>
      <c r="N449" s="529">
        <f>IF(E449="STL",F449*Pricing!$D$40,IF(A449&lt;=Pricing!$C$4,0,IF(AND(A449&gt;Pricing!$C$4,Disbursements!A449&lt;=Pricing!$C$5),F449*Pricing!$E$5,IF(AND(A449&gt;Pricing!$C$5,Disbursements!A449&lt;=Pricing!$C$7),VLOOKUP(F449,Pricing!$D$7:$E$8,2)*Disbursements!F449,F449*Pricing!$E$9))))</f>
        <v>4000</v>
      </c>
      <c r="O449" s="528">
        <f>IF(E449="STL",0,IF($F449&gt;0,$F449*Pricing!$D$17,0))</f>
        <v>20000</v>
      </c>
      <c r="P449" s="530">
        <f t="shared" si="178"/>
        <v>52000</v>
      </c>
      <c r="Q449" s="531">
        <f>IF($A449="","",$G449/VLOOKUP($I449,Ref!$B$23:$D$29,2,0))</f>
        <v>16</v>
      </c>
      <c r="R449" s="530">
        <f t="shared" si="179"/>
        <v>252000</v>
      </c>
      <c r="S449" s="532">
        <f t="shared" si="173"/>
        <v>15750</v>
      </c>
      <c r="T449" s="531">
        <f t="shared" si="180"/>
        <v>16000</v>
      </c>
      <c r="U449" s="533">
        <f t="shared" si="181"/>
        <v>256000</v>
      </c>
      <c r="V449" s="531">
        <f t="shared" si="182"/>
        <v>12500</v>
      </c>
      <c r="W449" s="531">
        <f t="shared" si="183"/>
        <v>3500</v>
      </c>
      <c r="X449" s="534">
        <f t="shared" si="184"/>
        <v>56000</v>
      </c>
      <c r="Y449" s="535">
        <f>IF($A449="","",IF($I449="weekly",$A449+7,EDATE($A449,VLOOKUP($I449,Ref!$B$24:$C$29,2,0))))</f>
        <v>44630</v>
      </c>
      <c r="Z449" s="536" t="str">
        <f t="shared" si="185"/>
        <v>Thu</v>
      </c>
      <c r="AA449" s="531">
        <f t="shared" si="186"/>
        <v>7</v>
      </c>
      <c r="AB449" s="535">
        <f t="shared" si="174"/>
        <v>44745</v>
      </c>
      <c r="AC449" s="537">
        <f t="shared" si="175"/>
        <v>122</v>
      </c>
      <c r="AD449" s="538" t="str">
        <f t="shared" ca="1" si="176"/>
        <v>Expired</v>
      </c>
      <c r="AE449" s="537">
        <f t="shared" ca="1" si="177"/>
        <v>0</v>
      </c>
      <c r="AF449" s="539">
        <f t="shared" ca="1" si="187"/>
        <v>16</v>
      </c>
      <c r="AG449" s="531">
        <f t="shared" ca="1" si="188"/>
        <v>256000</v>
      </c>
      <c r="AH449" s="531">
        <f t="shared" ca="1" si="189"/>
        <v>56000</v>
      </c>
      <c r="AI449" s="531">
        <f t="shared" ca="1" si="190"/>
        <v>200000</v>
      </c>
      <c r="AJ449" s="531">
        <f t="shared" ca="1" si="191"/>
        <v>0</v>
      </c>
      <c r="AK449" s="540">
        <f>SUMIFS('Live Collections'!$S:$S,'Live Collections'!$D:$D,Disbursements!B449,'Live Collections'!$G:$G,Disbursements!C449)</f>
        <v>42000</v>
      </c>
      <c r="AL449" s="540">
        <f>SUMIFS('Live Collections'!$T:$T,'Live Collections'!$D:$D,Disbursements!B449,'Live Collections'!$G:$G,Disbursements!C449)</f>
        <v>149000</v>
      </c>
      <c r="AM449" s="541">
        <f t="shared" si="192"/>
        <v>191000</v>
      </c>
      <c r="AN449" s="542">
        <f t="shared" si="193"/>
        <v>14000</v>
      </c>
      <c r="AO449" s="542">
        <f t="shared" si="194"/>
        <v>51000</v>
      </c>
      <c r="AP449" s="543">
        <f t="shared" si="195"/>
        <v>65000</v>
      </c>
      <c r="AQ449" s="544">
        <f t="shared" ca="1" si="196"/>
        <v>65000</v>
      </c>
      <c r="AR449" s="545">
        <f t="shared" ca="1" si="197"/>
        <v>4.0625</v>
      </c>
      <c r="AS449" s="545">
        <f ca="1">IFERROR(CEILING($AR449*VLOOKUP($I449,Ref!$B$23:$E$29,4,0),1),0)</f>
        <v>29</v>
      </c>
      <c r="AT449" s="545" t="str">
        <f ca="1">IF(A449="","",IF(AP449&lt;=1,"Cleared",IF(AS449=0,"Clean",VLOOKUP($AS449,Ref!$G$23:$H$28,2))))</f>
        <v>1.(0-30) Days</v>
      </c>
      <c r="AU449" s="546" t="str">
        <f t="shared" si="198"/>
        <v>Ok</v>
      </c>
    </row>
    <row r="450" spans="1:47" ht="14.25" customHeight="1" x14ac:dyDescent="0.15">
      <c r="A450" s="575">
        <v>44623</v>
      </c>
      <c r="B450" s="523">
        <v>325</v>
      </c>
      <c r="C450" s="523">
        <v>448</v>
      </c>
      <c r="D450" s="523">
        <v>1</v>
      </c>
      <c r="E450" s="579" t="s">
        <v>1274</v>
      </c>
      <c r="F450" s="580">
        <v>400000</v>
      </c>
      <c r="G450" s="524">
        <v>3</v>
      </c>
      <c r="H450" s="555">
        <v>6.5000000000000002E-2</v>
      </c>
      <c r="I450" s="560" t="s">
        <v>861</v>
      </c>
      <c r="J450" s="523" t="s">
        <v>862</v>
      </c>
      <c r="K450" s="528" t="str">
        <f>IFERROR(VLOOKUP($B450,'Clients-Live'!$A:$C,3,0),"")</f>
        <v>MUNGUFENI RAMSEY</v>
      </c>
      <c r="L450" s="528">
        <f>IF(E450="STL",Pricing!$D$38,IF(A450="",0,IF(A450&lt;Pricing!$C$25,Pricing!$D$25,VLOOKUP(Disbursements!$F450,Pricing!$B$29:$D$32,3))))</f>
        <v>15000</v>
      </c>
      <c r="M450" s="528">
        <f>IF(E450="STL",0,IF(F450&gt;0,Pricing!$D$21,0))</f>
        <v>5000</v>
      </c>
      <c r="N450" s="529">
        <f>IF(E450="STL",F450*Pricing!$D$40,IF(A450&lt;=Pricing!$C$4,0,IF(AND(A450&gt;Pricing!$C$4,Disbursements!A450&lt;=Pricing!$C$5),F450*Pricing!$E$5,IF(AND(A450&gt;Pricing!$C$5,Disbursements!A450&lt;=Pricing!$C$7),VLOOKUP(F450,Pricing!$D$7:$E$8,2)*Disbursements!F450,F450*Pricing!$E$9))))</f>
        <v>8000</v>
      </c>
      <c r="O450" s="528">
        <f>IF(E450="STL",0,IF($F450&gt;0,$F450*Pricing!$D$17,0))</f>
        <v>40000</v>
      </c>
      <c r="P450" s="530">
        <f t="shared" si="178"/>
        <v>78000</v>
      </c>
      <c r="Q450" s="531">
        <f>IF($A450="","",$G450/VLOOKUP($I450,Ref!$B$23:$D$29,2,0))</f>
        <v>12</v>
      </c>
      <c r="R450" s="530">
        <f t="shared" si="179"/>
        <v>478000</v>
      </c>
      <c r="S450" s="532">
        <f t="shared" si="173"/>
        <v>39833.333333333336</v>
      </c>
      <c r="T450" s="531">
        <f t="shared" si="180"/>
        <v>40000</v>
      </c>
      <c r="U450" s="533">
        <f t="shared" si="181"/>
        <v>480000</v>
      </c>
      <c r="V450" s="531">
        <f t="shared" si="182"/>
        <v>33333.333333333336</v>
      </c>
      <c r="W450" s="531">
        <f t="shared" si="183"/>
        <v>6666.6666666666642</v>
      </c>
      <c r="X450" s="534">
        <f t="shared" si="184"/>
        <v>79999.999999999971</v>
      </c>
      <c r="Y450" s="535">
        <f>IF($A450="","",IF($I450="weekly",$A450+7,EDATE($A450,VLOOKUP($I450,Ref!$B$24:$C$29,2,0))))</f>
        <v>44630</v>
      </c>
      <c r="Z450" s="536" t="str">
        <f t="shared" si="185"/>
        <v>Thu</v>
      </c>
      <c r="AA450" s="531">
        <f t="shared" si="186"/>
        <v>7</v>
      </c>
      <c r="AB450" s="535">
        <f t="shared" si="174"/>
        <v>44715</v>
      </c>
      <c r="AC450" s="537">
        <f t="shared" si="175"/>
        <v>92</v>
      </c>
      <c r="AD450" s="538" t="str">
        <f t="shared" ca="1" si="176"/>
        <v>Expired</v>
      </c>
      <c r="AE450" s="537">
        <f t="shared" ca="1" si="177"/>
        <v>0</v>
      </c>
      <c r="AF450" s="539">
        <f t="shared" ca="1" si="187"/>
        <v>12</v>
      </c>
      <c r="AG450" s="531">
        <f t="shared" ca="1" si="188"/>
        <v>480000</v>
      </c>
      <c r="AH450" s="531">
        <f t="shared" ca="1" si="189"/>
        <v>79999.999999999971</v>
      </c>
      <c r="AI450" s="531">
        <f t="shared" ca="1" si="190"/>
        <v>400000</v>
      </c>
      <c r="AJ450" s="531">
        <f t="shared" ca="1" si="191"/>
        <v>0</v>
      </c>
      <c r="AK450" s="540">
        <f>SUMIFS('Live Collections'!$S:$S,'Live Collections'!$D:$D,Disbursements!B450,'Live Collections'!$G:$G,Disbursements!C450)</f>
        <v>6666.6666666666642</v>
      </c>
      <c r="AL450" s="540">
        <f>SUMIFS('Live Collections'!$T:$T,'Live Collections'!$D:$D,Disbursements!B450,'Live Collections'!$G:$G,Disbursements!C450)</f>
        <v>93333.333333333343</v>
      </c>
      <c r="AM450" s="541">
        <f t="shared" si="192"/>
        <v>100000</v>
      </c>
      <c r="AN450" s="542">
        <f t="shared" si="193"/>
        <v>73333.333333333314</v>
      </c>
      <c r="AO450" s="542">
        <f t="shared" si="194"/>
        <v>306666.66666666663</v>
      </c>
      <c r="AP450" s="543">
        <f t="shared" si="195"/>
        <v>379999.99999999994</v>
      </c>
      <c r="AQ450" s="544">
        <f t="shared" ca="1" si="196"/>
        <v>379999.99999999994</v>
      </c>
      <c r="AR450" s="545">
        <f t="shared" ca="1" si="197"/>
        <v>9.4999999999999982</v>
      </c>
      <c r="AS450" s="545">
        <f ca="1">IFERROR(CEILING($AR450*VLOOKUP($I450,Ref!$B$23:$E$29,4,0),1),0)</f>
        <v>67</v>
      </c>
      <c r="AT450" s="545" t="str">
        <f ca="1">IF(A450="","",IF(AP450&lt;=1,"Cleared",IF(AS450=0,"Clean",VLOOKUP($AS450,Ref!$G$23:$H$28,2))))</f>
        <v>3.(61-90) Days</v>
      </c>
      <c r="AU450" s="546" t="str">
        <f t="shared" si="198"/>
        <v>Ok</v>
      </c>
    </row>
    <row r="451" spans="1:47" ht="14.25" customHeight="1" x14ac:dyDescent="0.15">
      <c r="A451" s="575">
        <v>44625</v>
      </c>
      <c r="B451" s="523">
        <v>328</v>
      </c>
      <c r="C451" s="523">
        <v>449</v>
      </c>
      <c r="D451" s="523">
        <v>1</v>
      </c>
      <c r="E451" s="579" t="s">
        <v>1274</v>
      </c>
      <c r="F451" s="580">
        <v>2000000</v>
      </c>
      <c r="G451" s="524">
        <v>2</v>
      </c>
      <c r="H451" s="555">
        <v>6.5000000000000002E-2</v>
      </c>
      <c r="I451" s="560" t="s">
        <v>859</v>
      </c>
      <c r="J451" s="523" t="s">
        <v>864</v>
      </c>
      <c r="K451" s="528" t="str">
        <f>IFERROR(VLOOKUP($B451,'Clients-Live'!$A:$C,3,0),"")</f>
        <v>AGOTIA JOYCE</v>
      </c>
      <c r="L451" s="528">
        <f>IF(E451="STL",Pricing!$D$38,IF(A451="",0,IF(A451&lt;Pricing!$C$25,Pricing!$D$25,VLOOKUP(Disbursements!$F451,Pricing!$B$29:$D$32,3))))</f>
        <v>25000</v>
      </c>
      <c r="M451" s="528">
        <f>IF(E451="STL",0,IF(F451&gt;0,Pricing!$D$21,0))</f>
        <v>5000</v>
      </c>
      <c r="N451" s="529">
        <f>IF(E451="STL",F451*Pricing!$D$40,IF(A451&lt;=Pricing!$C$4,0,IF(AND(A451&gt;Pricing!$C$4,Disbursements!A451&lt;=Pricing!$C$5),F451*Pricing!$E$5,IF(AND(A451&gt;Pricing!$C$5,Disbursements!A451&lt;=Pricing!$C$7),VLOOKUP(F451,Pricing!$D$7:$E$8,2)*Disbursements!F451,F451*Pricing!$E$9))))</f>
        <v>40000</v>
      </c>
      <c r="O451" s="528">
        <f>IF(E451="STL",0,IF($F451&gt;0,$F451*Pricing!$D$17,0))</f>
        <v>200000</v>
      </c>
      <c r="P451" s="530">
        <f t="shared" si="178"/>
        <v>260000</v>
      </c>
      <c r="Q451" s="531">
        <f>IF($A451="","",$G451/VLOOKUP($I451,Ref!$B$23:$D$29,2,0))</f>
        <v>2</v>
      </c>
      <c r="R451" s="530">
        <f t="shared" si="179"/>
        <v>2260000</v>
      </c>
      <c r="S451" s="532">
        <f t="shared" si="173"/>
        <v>1130000</v>
      </c>
      <c r="T451" s="531">
        <f t="shared" si="180"/>
        <v>1130000</v>
      </c>
      <c r="U451" s="533">
        <f t="shared" si="181"/>
        <v>2260000</v>
      </c>
      <c r="V451" s="531">
        <f t="shared" si="182"/>
        <v>1000000</v>
      </c>
      <c r="W451" s="531">
        <f t="shared" si="183"/>
        <v>130000</v>
      </c>
      <c r="X451" s="534">
        <f t="shared" si="184"/>
        <v>260000</v>
      </c>
      <c r="Y451" s="535">
        <f>IF($A451="","",IF($I451="weekly",$A451+7,EDATE($A451,VLOOKUP($I451,Ref!$B$24:$C$29,2,0))))</f>
        <v>44656</v>
      </c>
      <c r="Z451" s="536" t="str">
        <f t="shared" si="185"/>
        <v>Tue</v>
      </c>
      <c r="AA451" s="531">
        <f t="shared" si="186"/>
        <v>31</v>
      </c>
      <c r="AB451" s="535">
        <f t="shared" si="174"/>
        <v>44686</v>
      </c>
      <c r="AC451" s="537">
        <f t="shared" si="175"/>
        <v>61</v>
      </c>
      <c r="AD451" s="538" t="str">
        <f t="shared" ca="1" si="176"/>
        <v>Expired</v>
      </c>
      <c r="AE451" s="537">
        <f t="shared" ca="1" si="177"/>
        <v>0</v>
      </c>
      <c r="AF451" s="539">
        <f t="shared" ca="1" si="187"/>
        <v>2</v>
      </c>
      <c r="AG451" s="531">
        <f t="shared" ca="1" si="188"/>
        <v>2260000</v>
      </c>
      <c r="AH451" s="531">
        <f t="shared" ca="1" si="189"/>
        <v>260000</v>
      </c>
      <c r="AI451" s="531">
        <f t="shared" ca="1" si="190"/>
        <v>2000000</v>
      </c>
      <c r="AJ451" s="531">
        <f t="shared" ca="1" si="191"/>
        <v>0</v>
      </c>
      <c r="AK451" s="540">
        <f>SUMIFS('Live Collections'!$S:$S,'Live Collections'!$D:$D,Disbursements!B451,'Live Collections'!$G:$G,Disbursements!C451)</f>
        <v>260000</v>
      </c>
      <c r="AL451" s="540">
        <f>SUMIFS('Live Collections'!$T:$T,'Live Collections'!$D:$D,Disbursements!B451,'Live Collections'!$G:$G,Disbursements!C451)</f>
        <v>2000000</v>
      </c>
      <c r="AM451" s="541">
        <f t="shared" si="192"/>
        <v>2260000</v>
      </c>
      <c r="AN451" s="542">
        <f t="shared" si="193"/>
        <v>0</v>
      </c>
      <c r="AO451" s="542">
        <f t="shared" si="194"/>
        <v>0</v>
      </c>
      <c r="AP451" s="543">
        <f t="shared" si="195"/>
        <v>0</v>
      </c>
      <c r="AQ451" s="544" t="str">
        <f t="shared" ca="1" si="196"/>
        <v/>
      </c>
      <c r="AR451" s="545">
        <f t="shared" ca="1" si="197"/>
        <v>0</v>
      </c>
      <c r="AS451" s="545">
        <f ca="1">IFERROR(CEILING($AR451*VLOOKUP($I451,Ref!$B$23:$E$29,4,0),1),0)</f>
        <v>0</v>
      </c>
      <c r="AT451" s="545" t="str">
        <f>IF(A451="","",IF(AP451&lt;=1,"Cleared",IF(AS451=0,"Clean",VLOOKUP($AS451,Ref!$G$23:$H$28,2))))</f>
        <v>Cleared</v>
      </c>
      <c r="AU451" s="546" t="str">
        <f t="shared" si="198"/>
        <v>Ok</v>
      </c>
    </row>
    <row r="452" spans="1:47" ht="14.25" hidden="1" customHeight="1" x14ac:dyDescent="0.15">
      <c r="A452" s="575">
        <v>44625</v>
      </c>
      <c r="B452" s="523">
        <v>324</v>
      </c>
      <c r="C452" s="523">
        <v>450</v>
      </c>
      <c r="D452" s="523">
        <v>1</v>
      </c>
      <c r="E452" s="579" t="s">
        <v>1274</v>
      </c>
      <c r="F452" s="580">
        <v>1000000</v>
      </c>
      <c r="G452" s="524">
        <v>6</v>
      </c>
      <c r="H452" s="555">
        <v>6.5000000000000002E-2</v>
      </c>
      <c r="I452" s="560" t="s">
        <v>861</v>
      </c>
      <c r="J452" s="523" t="s">
        <v>864</v>
      </c>
      <c r="K452" s="528" t="str">
        <f>IFERROR(VLOOKUP($B452,'Clients-Live'!$A:$C,3,0),"")</f>
        <v>ARIKE KOKOLE YASSIN</v>
      </c>
      <c r="L452" s="528">
        <f>IF(E452="STL",Pricing!$D$38,IF(A452="",0,IF(A452&lt;Pricing!$C$25,Pricing!$D$25,VLOOKUP(Disbursements!$F452,Pricing!$B$29:$D$32,3))))</f>
        <v>20000</v>
      </c>
      <c r="M452" s="528">
        <f>IF(E452="STL",0,IF(F452&gt;0,Pricing!$D$21,0))</f>
        <v>5000</v>
      </c>
      <c r="N452" s="529">
        <f>IF(E452="STL",F452*Pricing!$D$40,IF(A452&lt;=Pricing!$C$4,0,IF(AND(A452&gt;Pricing!$C$4,Disbursements!A452&lt;=Pricing!$C$5),F452*Pricing!$E$5,IF(AND(A452&gt;Pricing!$C$5,Disbursements!A452&lt;=Pricing!$C$7),VLOOKUP(F452,Pricing!$D$7:$E$8,2)*Disbursements!F452,F452*Pricing!$E$9))))</f>
        <v>20000</v>
      </c>
      <c r="O452" s="528">
        <f>IF(E452="STL",0,IF($F452&gt;0,$F452*Pricing!$D$17,0))</f>
        <v>100000</v>
      </c>
      <c r="P452" s="530">
        <f t="shared" si="178"/>
        <v>390000</v>
      </c>
      <c r="Q452" s="531">
        <f>IF($A452="","",$G452/VLOOKUP($I452,Ref!$B$23:$D$29,2,0))</f>
        <v>24</v>
      </c>
      <c r="R452" s="530">
        <f t="shared" si="179"/>
        <v>1390000</v>
      </c>
      <c r="S452" s="532">
        <f t="shared" ref="S452:S515" si="199">IF($A452="","",$R452/$Q452)</f>
        <v>57916.666666666664</v>
      </c>
      <c r="T452" s="531">
        <f t="shared" si="180"/>
        <v>58000</v>
      </c>
      <c r="U452" s="533">
        <f t="shared" si="181"/>
        <v>1392000</v>
      </c>
      <c r="V452" s="531">
        <f t="shared" si="182"/>
        <v>41666.666666666664</v>
      </c>
      <c r="W452" s="531">
        <f t="shared" si="183"/>
        <v>16333.333333333336</v>
      </c>
      <c r="X452" s="534">
        <f t="shared" si="184"/>
        <v>392000.00000000006</v>
      </c>
      <c r="Y452" s="535">
        <f>IF($A452="","",IF($I452="weekly",$A452+7,EDATE($A452,VLOOKUP($I452,Ref!$B$24:$C$29,2,0))))</f>
        <v>44632</v>
      </c>
      <c r="Z452" s="536" t="str">
        <f t="shared" si="185"/>
        <v>Sat</v>
      </c>
      <c r="AA452" s="531">
        <f t="shared" si="186"/>
        <v>7</v>
      </c>
      <c r="AB452" s="535">
        <f t="shared" ref="AB452:AB515" si="200">IF($A452="","",EDATE($A452,$G452))</f>
        <v>44809</v>
      </c>
      <c r="AC452" s="537">
        <f t="shared" ref="AC452:AC515" si="201">IFERROR($AB452-$A452,"")</f>
        <v>184</v>
      </c>
      <c r="AD452" s="538" t="str">
        <f t="shared" ref="AD452:AD515" ca="1" si="202">IFERROR(IF(TODAY()-$A452&lt;$AB452-$A452,TODAY()-$A452,"Expired"),"")</f>
        <v>Expired</v>
      </c>
      <c r="AE452" s="537">
        <f t="shared" ref="AE452:AE515" ca="1" si="203">IFERROR($AC452-$AD452,0)</f>
        <v>0</v>
      </c>
      <c r="AF452" s="539">
        <f t="shared" ca="1" si="187"/>
        <v>24</v>
      </c>
      <c r="AG452" s="531">
        <f t="shared" ca="1" si="188"/>
        <v>1392000</v>
      </c>
      <c r="AH452" s="531">
        <f t="shared" ca="1" si="189"/>
        <v>392000.00000000006</v>
      </c>
      <c r="AI452" s="531">
        <f t="shared" ca="1" si="190"/>
        <v>1000000</v>
      </c>
      <c r="AJ452" s="531">
        <f t="shared" ca="1" si="191"/>
        <v>0</v>
      </c>
      <c r="AK452" s="540">
        <f>SUMIFS('Live Collections'!$S:$S,'Live Collections'!$D:$D,Disbursements!B452,'Live Collections'!$G:$G,Disbursements!C452)</f>
        <v>130666.66666666672</v>
      </c>
      <c r="AL452" s="540">
        <f>SUMIFS('Live Collections'!$T:$T,'Live Collections'!$D:$D,Disbursements!B452,'Live Collections'!$G:$G,Disbursements!C452)</f>
        <v>489333.33333333326</v>
      </c>
      <c r="AM452" s="541">
        <f t="shared" si="192"/>
        <v>620000</v>
      </c>
      <c r="AN452" s="542">
        <f t="shared" si="193"/>
        <v>261333.33333333334</v>
      </c>
      <c r="AO452" s="542">
        <f t="shared" si="194"/>
        <v>510666.66666666674</v>
      </c>
      <c r="AP452" s="543">
        <f t="shared" si="195"/>
        <v>772000.00000000012</v>
      </c>
      <c r="AQ452" s="544">
        <f t="shared" ca="1" si="196"/>
        <v>772000.00000000012</v>
      </c>
      <c r="AR452" s="545">
        <f t="shared" ca="1" si="197"/>
        <v>13.310344827586208</v>
      </c>
      <c r="AS452" s="545">
        <f ca="1">IFERROR(CEILING($AR452*VLOOKUP($I452,Ref!$B$23:$E$29,4,0),1),0)</f>
        <v>94</v>
      </c>
      <c r="AT452" s="545" t="str">
        <f ca="1">IF(A452="","",IF(AP452&lt;=1,"Cleared",IF(AS452=0,"Clean",VLOOKUP($AS452,Ref!$G$23:$H$28,2))))</f>
        <v>4.(91-365) Days</v>
      </c>
      <c r="AU452" s="546" t="str">
        <f t="shared" si="198"/>
        <v>Ok</v>
      </c>
    </row>
    <row r="453" spans="1:47" ht="14.25" customHeight="1" x14ac:dyDescent="0.15">
      <c r="A453" s="575">
        <v>44625</v>
      </c>
      <c r="B453" s="523">
        <v>139</v>
      </c>
      <c r="C453" s="523">
        <v>451</v>
      </c>
      <c r="D453" s="523">
        <v>2</v>
      </c>
      <c r="E453" s="579" t="s">
        <v>1274</v>
      </c>
      <c r="F453" s="580">
        <v>300000</v>
      </c>
      <c r="G453" s="524">
        <v>3</v>
      </c>
      <c r="H453" s="555">
        <v>6.5000000000000002E-2</v>
      </c>
      <c r="I453" s="560" t="s">
        <v>861</v>
      </c>
      <c r="J453" s="523" t="s">
        <v>862</v>
      </c>
      <c r="K453" s="528" t="str">
        <f>IFERROR(VLOOKUP($B453,'Clients-Live'!$A:$C,3,0),"")</f>
        <v xml:space="preserve">DRICHIRU MAIMUNA </v>
      </c>
      <c r="L453" s="528">
        <f>IF(E453="STL",Pricing!$D$38,IF(A453="",0,IF(A453&lt;Pricing!$C$25,Pricing!$D$25,VLOOKUP(Disbursements!$F453,Pricing!$B$29:$D$32,3))))</f>
        <v>15000</v>
      </c>
      <c r="M453" s="528">
        <f>IF(E453="STL",0,IF(F453&gt;0,Pricing!$D$21,0))</f>
        <v>5000</v>
      </c>
      <c r="N453" s="529">
        <f>IF(E453="STL",F453*Pricing!$D$40,IF(A453&lt;=Pricing!$C$4,0,IF(AND(A453&gt;Pricing!$C$4,Disbursements!A453&lt;=Pricing!$C$5),F453*Pricing!$E$5,IF(AND(A453&gt;Pricing!$C$5,Disbursements!A453&lt;=Pricing!$C$7),VLOOKUP(F453,Pricing!$D$7:$E$8,2)*Disbursements!F453,F453*Pricing!$E$9))))</f>
        <v>6000</v>
      </c>
      <c r="O453" s="528">
        <f>IF(E453="STL",0,IF($F453&gt;0,$F453*Pricing!$D$17,0))</f>
        <v>30000</v>
      </c>
      <c r="P453" s="530">
        <f t="shared" ref="P453:P516" si="204">IF($A453="","",$H453*$F453*$G453)</f>
        <v>58500</v>
      </c>
      <c r="Q453" s="531">
        <f>IF($A453="","",$G453/VLOOKUP($I453,Ref!$B$23:$D$29,2,0))</f>
        <v>12</v>
      </c>
      <c r="R453" s="530">
        <f t="shared" ref="R453:R516" si="205">IF($A453="","",$F453+$P453)</f>
        <v>358500</v>
      </c>
      <c r="S453" s="532">
        <f t="shared" si="199"/>
        <v>29875</v>
      </c>
      <c r="T453" s="531">
        <f t="shared" ref="T453:T516" si="206">IF(R453="","",CEILING(S453,1000))</f>
        <v>30000</v>
      </c>
      <c r="U453" s="533">
        <f t="shared" ref="U453:U516" si="207">IFERROR(T453*Q453,0)</f>
        <v>360000</v>
      </c>
      <c r="V453" s="531">
        <f t="shared" ref="V453:V516" si="208">IF(T453="","",F453/Q453)</f>
        <v>25000</v>
      </c>
      <c r="W453" s="531">
        <f t="shared" ref="W453:W516" si="209">IF(T453="","",T453-V453)</f>
        <v>5000</v>
      </c>
      <c r="X453" s="534">
        <f t="shared" ref="X453:X516" si="210">IF(A453="","",W453*Q453)</f>
        <v>60000</v>
      </c>
      <c r="Y453" s="535">
        <f>IF($A453="","",IF($I453="weekly",$A453+7,EDATE($A453,VLOOKUP($I453,Ref!$B$24:$C$29,2,0))))</f>
        <v>44632</v>
      </c>
      <c r="Z453" s="536" t="str">
        <f t="shared" ref="Z453:Z516" si="211">IFERROR(CHOOSE(WEEKDAY(Y453),"Sun","Mon","Tue","Wed","Thu","Frid","Sat"),"")</f>
        <v>Sat</v>
      </c>
      <c r="AA453" s="531">
        <f t="shared" ref="AA453:AA516" si="212">IFERROR(Y453-A453,0)</f>
        <v>7</v>
      </c>
      <c r="AB453" s="535">
        <f t="shared" si="200"/>
        <v>44717</v>
      </c>
      <c r="AC453" s="537">
        <f t="shared" si="201"/>
        <v>92</v>
      </c>
      <c r="AD453" s="538" t="str">
        <f t="shared" ca="1" si="202"/>
        <v>Expired</v>
      </c>
      <c r="AE453" s="537">
        <f t="shared" ca="1" si="203"/>
        <v>0</v>
      </c>
      <c r="AF453" s="539">
        <f t="shared" ref="AF453:AF516" ca="1" si="213">IFERROR(IF(AD453="Expired",Q453,IF(AD453&gt;AA453,AD453/AA453,0)),"")</f>
        <v>12</v>
      </c>
      <c r="AG453" s="531">
        <f t="shared" ref="AG453:AG516" ca="1" si="214">IFERROR(AF453*T453,"")</f>
        <v>360000</v>
      </c>
      <c r="AH453" s="531">
        <f t="shared" ref="AH453:AH516" ca="1" si="215">IFERROR(AF453*W453,"")</f>
        <v>60000</v>
      </c>
      <c r="AI453" s="531">
        <f t="shared" ref="AI453:AI516" ca="1" si="216">IFERROR(AF453*V453,"")</f>
        <v>300000</v>
      </c>
      <c r="AJ453" s="531">
        <f t="shared" ref="AJ453:AJ516" ca="1" si="217">IF(F453=0,"",U453-AG453)</f>
        <v>0</v>
      </c>
      <c r="AK453" s="540">
        <f>SUMIFS('Live Collections'!$S:$S,'Live Collections'!$D:$D,Disbursements!B453,'Live Collections'!$G:$G,Disbursements!C453)</f>
        <v>30000</v>
      </c>
      <c r="AL453" s="540">
        <f>SUMIFS('Live Collections'!$T:$T,'Live Collections'!$D:$D,Disbursements!B453,'Live Collections'!$G:$G,Disbursements!C453)</f>
        <v>193000</v>
      </c>
      <c r="AM453" s="541">
        <f t="shared" ref="AM453:AM516" si="218">SUM(AK453:AL453)</f>
        <v>223000</v>
      </c>
      <c r="AN453" s="542">
        <f t="shared" ref="AN453:AN516" si="219">IFERROR(W453*Q453-AK453,"")</f>
        <v>30000</v>
      </c>
      <c r="AO453" s="542">
        <f t="shared" ref="AO453:AO516" si="220">IF(F453="","",(F453-AL453))</f>
        <v>107000</v>
      </c>
      <c r="AP453" s="543">
        <f t="shared" ref="AP453:AP516" si="221">IF(F453="","",SUM(AN453:AO453))</f>
        <v>137000</v>
      </c>
      <c r="AQ453" s="544">
        <f t="shared" ref="AQ453:AQ516" ca="1" si="222">IF(AP453&gt;AJ453,AP453-AJ453,"")</f>
        <v>137000</v>
      </c>
      <c r="AR453" s="545">
        <f t="shared" ref="AR453:AR516" ca="1" si="223">IFERROR(AQ453/T453,0)</f>
        <v>4.5666666666666664</v>
      </c>
      <c r="AS453" s="545">
        <f ca="1">IFERROR(CEILING($AR453*VLOOKUP($I453,Ref!$B$23:$E$29,4,0),1),0)</f>
        <v>32</v>
      </c>
      <c r="AT453" s="545" t="str">
        <f ca="1">IF(A453="","",IF(AP453&lt;=1,"Cleared",IF(AS453=0,"Clean",VLOOKUP($AS453,Ref!$G$23:$H$28,2))))</f>
        <v>2.(31-60) Days</v>
      </c>
      <c r="AU453" s="546" t="str">
        <f t="shared" ref="AU453:AU516" si="224">IF(F453="","",IF(OR(AN453&lt;0,AO453&lt;0,AP453&lt;0),"Error on Entry","Ok"))</f>
        <v>Ok</v>
      </c>
    </row>
    <row r="454" spans="1:47" ht="14.25" customHeight="1" x14ac:dyDescent="0.15">
      <c r="A454" s="575">
        <v>44625</v>
      </c>
      <c r="B454" s="523">
        <v>323</v>
      </c>
      <c r="C454" s="523">
        <v>452</v>
      </c>
      <c r="D454" s="523">
        <v>1</v>
      </c>
      <c r="E454" s="579" t="s">
        <v>1274</v>
      </c>
      <c r="F454" s="580">
        <v>2500000</v>
      </c>
      <c r="G454" s="524">
        <v>3</v>
      </c>
      <c r="H454" s="555">
        <v>6.5000000000000002E-2</v>
      </c>
      <c r="I454" s="560" t="s">
        <v>859</v>
      </c>
      <c r="J454" s="523" t="s">
        <v>862</v>
      </c>
      <c r="K454" s="528" t="str">
        <f>IFERROR(VLOOKUP($B454,'Clients-Live'!$A:$C,3,0),"")</f>
        <v>OBIT HAKIM ADROTI</v>
      </c>
      <c r="L454" s="528">
        <f>IF(E454="STL",Pricing!$D$38,IF(A454="",0,IF(A454&lt;Pricing!$C$25,Pricing!$D$25,VLOOKUP(Disbursements!$F454,Pricing!$B$29:$D$32,3))))</f>
        <v>30000</v>
      </c>
      <c r="M454" s="528">
        <f>IF(E454="STL",0,IF(F454&gt;0,Pricing!$D$21,0))</f>
        <v>5000</v>
      </c>
      <c r="N454" s="529">
        <f>IF(E454="STL",F454*Pricing!$D$40,IF(A454&lt;=Pricing!$C$4,0,IF(AND(A454&gt;Pricing!$C$4,Disbursements!A454&lt;=Pricing!$C$5),F454*Pricing!$E$5,IF(AND(A454&gt;Pricing!$C$5,Disbursements!A454&lt;=Pricing!$C$7),VLOOKUP(F454,Pricing!$D$7:$E$8,2)*Disbursements!F454,F454*Pricing!$E$9))))</f>
        <v>50000</v>
      </c>
      <c r="O454" s="528">
        <f>IF(E454="STL",0,IF($F454&gt;0,$F454*Pricing!$D$17,0))</f>
        <v>250000</v>
      </c>
      <c r="P454" s="530">
        <f t="shared" si="204"/>
        <v>487500</v>
      </c>
      <c r="Q454" s="531">
        <f>IF($A454="","",$G454/VLOOKUP($I454,Ref!$B$23:$D$29,2,0))</f>
        <v>3</v>
      </c>
      <c r="R454" s="530">
        <f t="shared" si="205"/>
        <v>2987500</v>
      </c>
      <c r="S454" s="532">
        <f t="shared" si="199"/>
        <v>995833.33333333337</v>
      </c>
      <c r="T454" s="531">
        <f t="shared" si="206"/>
        <v>996000</v>
      </c>
      <c r="U454" s="533">
        <f t="shared" si="207"/>
        <v>2988000</v>
      </c>
      <c r="V454" s="531">
        <f t="shared" si="208"/>
        <v>833333.33333333337</v>
      </c>
      <c r="W454" s="531">
        <f t="shared" si="209"/>
        <v>162666.66666666663</v>
      </c>
      <c r="X454" s="534">
        <f t="shared" si="210"/>
        <v>487999.99999999988</v>
      </c>
      <c r="Y454" s="535">
        <f>IF($A454="","",IF($I454="weekly",$A454+7,EDATE($A454,VLOOKUP($I454,Ref!$B$24:$C$29,2,0))))</f>
        <v>44656</v>
      </c>
      <c r="Z454" s="536" t="str">
        <f t="shared" si="211"/>
        <v>Tue</v>
      </c>
      <c r="AA454" s="531">
        <f t="shared" si="212"/>
        <v>31</v>
      </c>
      <c r="AB454" s="535">
        <f t="shared" si="200"/>
        <v>44717</v>
      </c>
      <c r="AC454" s="537">
        <f t="shared" si="201"/>
        <v>92</v>
      </c>
      <c r="AD454" s="538" t="str">
        <f t="shared" ca="1" si="202"/>
        <v>Expired</v>
      </c>
      <c r="AE454" s="537">
        <f t="shared" ca="1" si="203"/>
        <v>0</v>
      </c>
      <c r="AF454" s="539">
        <f t="shared" ca="1" si="213"/>
        <v>3</v>
      </c>
      <c r="AG454" s="531">
        <f t="shared" ca="1" si="214"/>
        <v>2988000</v>
      </c>
      <c r="AH454" s="531">
        <f t="shared" ca="1" si="215"/>
        <v>487999.99999999988</v>
      </c>
      <c r="AI454" s="531">
        <f t="shared" ca="1" si="216"/>
        <v>2500000</v>
      </c>
      <c r="AJ454" s="531">
        <f t="shared" ca="1" si="217"/>
        <v>0</v>
      </c>
      <c r="AK454" s="540">
        <f>SUMIFS('Live Collections'!$S:$S,'Live Collections'!$D:$D,Disbursements!B454,'Live Collections'!$G:$G,Disbursements!C454)</f>
        <v>0</v>
      </c>
      <c r="AL454" s="540">
        <f>SUMIFS('Live Collections'!$T:$T,'Live Collections'!$D:$D,Disbursements!B454,'Live Collections'!$G:$G,Disbursements!C454)</f>
        <v>0</v>
      </c>
      <c r="AM454" s="541">
        <f t="shared" si="218"/>
        <v>0</v>
      </c>
      <c r="AN454" s="542">
        <f t="shared" si="219"/>
        <v>487999.99999999988</v>
      </c>
      <c r="AO454" s="542">
        <f t="shared" si="220"/>
        <v>2500000</v>
      </c>
      <c r="AP454" s="543">
        <f t="shared" si="221"/>
        <v>2988000</v>
      </c>
      <c r="AQ454" s="544">
        <f t="shared" ca="1" si="222"/>
        <v>2988000</v>
      </c>
      <c r="AR454" s="545">
        <f t="shared" ca="1" si="223"/>
        <v>3</v>
      </c>
      <c r="AS454" s="545">
        <f ca="1">IFERROR(CEILING($AR454*VLOOKUP($I454,Ref!$B$23:$E$29,4,0),1),0)</f>
        <v>90</v>
      </c>
      <c r="AT454" s="545" t="str">
        <f ca="1">IF(A454="","",IF(AP454&lt;=1,"Cleared",IF(AS454=0,"Clean",VLOOKUP($AS454,Ref!$G$23:$H$28,2))))</f>
        <v>3.(61-90) Days</v>
      </c>
      <c r="AU454" s="546" t="str">
        <f t="shared" si="224"/>
        <v>Ok</v>
      </c>
    </row>
    <row r="455" spans="1:47" ht="14.25" customHeight="1" x14ac:dyDescent="0.15">
      <c r="A455" s="575">
        <v>44627</v>
      </c>
      <c r="B455" s="523">
        <v>97</v>
      </c>
      <c r="C455" s="523">
        <v>453</v>
      </c>
      <c r="D455" s="523">
        <v>5</v>
      </c>
      <c r="E455" s="579" t="s">
        <v>1274</v>
      </c>
      <c r="F455" s="580">
        <v>6000000</v>
      </c>
      <c r="G455" s="524">
        <v>1</v>
      </c>
      <c r="H455" s="555">
        <v>6.5000000000000002E-2</v>
      </c>
      <c r="I455" s="560" t="s">
        <v>859</v>
      </c>
      <c r="J455" s="523" t="s">
        <v>862</v>
      </c>
      <c r="K455" s="528" t="str">
        <f>IFERROR(VLOOKUP($B455,'Clients-Live'!$A:$C,3,0),"")</f>
        <v>DRANDUA JOB CHRISPUS</v>
      </c>
      <c r="L455" s="528">
        <f>IF(E455="STL",Pricing!$D$38,IF(A455="",0,IF(A455&lt;Pricing!$C$25,Pricing!$D$25,VLOOKUP(Disbursements!$F455,Pricing!$B$29:$D$32,3))))</f>
        <v>30000</v>
      </c>
      <c r="M455" s="528">
        <f>IF(E455="STL",0,IF(F455&gt;0,Pricing!$D$21,0))</f>
        <v>5000</v>
      </c>
      <c r="N455" s="529">
        <f>IF(E455="STL",F455*Pricing!$D$40,IF(A455&lt;=Pricing!$C$4,0,IF(AND(A455&gt;Pricing!$C$4,Disbursements!A455&lt;=Pricing!$C$5),F455*Pricing!$E$5,IF(AND(A455&gt;Pricing!$C$5,Disbursements!A455&lt;=Pricing!$C$7),VLOOKUP(F455,Pricing!$D$7:$E$8,2)*Disbursements!F455,F455*Pricing!$E$9))))</f>
        <v>120000</v>
      </c>
      <c r="O455" s="528">
        <f>IF(E455="STL",0,IF($F455&gt;0,$F455*Pricing!$D$17,0))</f>
        <v>600000</v>
      </c>
      <c r="P455" s="530">
        <f t="shared" si="204"/>
        <v>390000</v>
      </c>
      <c r="Q455" s="531">
        <f>IF($A455="","",$G455/VLOOKUP($I455,Ref!$B$23:$D$29,2,0))</f>
        <v>1</v>
      </c>
      <c r="R455" s="530">
        <f t="shared" si="205"/>
        <v>6390000</v>
      </c>
      <c r="S455" s="532">
        <f t="shared" si="199"/>
        <v>6390000</v>
      </c>
      <c r="T455" s="531">
        <f t="shared" si="206"/>
        <v>6390000</v>
      </c>
      <c r="U455" s="533">
        <f t="shared" si="207"/>
        <v>6390000</v>
      </c>
      <c r="V455" s="531">
        <f t="shared" si="208"/>
        <v>6000000</v>
      </c>
      <c r="W455" s="531">
        <f t="shared" si="209"/>
        <v>390000</v>
      </c>
      <c r="X455" s="534">
        <f t="shared" si="210"/>
        <v>390000</v>
      </c>
      <c r="Y455" s="535">
        <f>IF($A455="","",IF($I455="weekly",$A455+7,EDATE($A455,VLOOKUP($I455,Ref!$B$24:$C$29,2,0))))</f>
        <v>44658</v>
      </c>
      <c r="Z455" s="536" t="str">
        <f t="shared" si="211"/>
        <v>Thu</v>
      </c>
      <c r="AA455" s="531">
        <f t="shared" si="212"/>
        <v>31</v>
      </c>
      <c r="AB455" s="535">
        <f t="shared" si="200"/>
        <v>44658</v>
      </c>
      <c r="AC455" s="537">
        <f t="shared" si="201"/>
        <v>31</v>
      </c>
      <c r="AD455" s="538" t="str">
        <f t="shared" ca="1" si="202"/>
        <v>Expired</v>
      </c>
      <c r="AE455" s="537">
        <f t="shared" ca="1" si="203"/>
        <v>0</v>
      </c>
      <c r="AF455" s="539">
        <f t="shared" ca="1" si="213"/>
        <v>1</v>
      </c>
      <c r="AG455" s="531">
        <f t="shared" ca="1" si="214"/>
        <v>6390000</v>
      </c>
      <c r="AH455" s="531">
        <f t="shared" ca="1" si="215"/>
        <v>390000</v>
      </c>
      <c r="AI455" s="531">
        <f t="shared" ca="1" si="216"/>
        <v>6000000</v>
      </c>
      <c r="AJ455" s="531">
        <f t="shared" ca="1" si="217"/>
        <v>0</v>
      </c>
      <c r="AK455" s="540">
        <f>SUMIFS('Live Collections'!$S:$S,'Live Collections'!$D:$D,Disbursements!B455,'Live Collections'!$G:$G,Disbursements!C455)</f>
        <v>390000</v>
      </c>
      <c r="AL455" s="540">
        <f>SUMIFS('Live Collections'!$T:$T,'Live Collections'!$D:$D,Disbursements!B455,'Live Collections'!$G:$G,Disbursements!C455)</f>
        <v>6000000</v>
      </c>
      <c r="AM455" s="541">
        <f t="shared" si="218"/>
        <v>6390000</v>
      </c>
      <c r="AN455" s="542">
        <f t="shared" si="219"/>
        <v>0</v>
      </c>
      <c r="AO455" s="542">
        <f t="shared" si="220"/>
        <v>0</v>
      </c>
      <c r="AP455" s="543">
        <f t="shared" si="221"/>
        <v>0</v>
      </c>
      <c r="AQ455" s="544" t="str">
        <f t="shared" ca="1" si="222"/>
        <v/>
      </c>
      <c r="AR455" s="545">
        <f t="shared" ca="1" si="223"/>
        <v>0</v>
      </c>
      <c r="AS455" s="545">
        <f ca="1">IFERROR(CEILING($AR455*VLOOKUP($I455,Ref!$B$23:$E$29,4,0),1),0)</f>
        <v>0</v>
      </c>
      <c r="AT455" s="545" t="str">
        <f>IF(A455="","",IF(AP455&lt;=1,"Cleared",IF(AS455=0,"Clean",VLOOKUP($AS455,Ref!$G$23:$H$28,2))))</f>
        <v>Cleared</v>
      </c>
      <c r="AU455" s="546" t="str">
        <f t="shared" si="224"/>
        <v>Ok</v>
      </c>
    </row>
    <row r="456" spans="1:47" ht="14.25" hidden="1" customHeight="1" x14ac:dyDescent="0.15">
      <c r="A456" s="575">
        <v>44629</v>
      </c>
      <c r="B456" s="523">
        <v>229</v>
      </c>
      <c r="C456" s="523">
        <v>454</v>
      </c>
      <c r="D456" s="523">
        <v>2</v>
      </c>
      <c r="E456" s="579" t="s">
        <v>1274</v>
      </c>
      <c r="F456" s="580">
        <v>1200000</v>
      </c>
      <c r="G456" s="524">
        <v>6</v>
      </c>
      <c r="H456" s="555">
        <v>6.5000000000000002E-2</v>
      </c>
      <c r="I456" s="560" t="s">
        <v>859</v>
      </c>
      <c r="J456" s="523" t="s">
        <v>864</v>
      </c>
      <c r="K456" s="528" t="str">
        <f>IFERROR(VLOOKUP($B456,'Clients-Live'!$A:$C,3,0),"")</f>
        <v>DAWA ANNET</v>
      </c>
      <c r="L456" s="528">
        <f>IF(E456="STL",Pricing!$D$38,IF(A456="",0,IF(A456&lt;Pricing!$C$25,Pricing!$D$25,VLOOKUP(Disbursements!$F456,Pricing!$B$29:$D$32,3))))</f>
        <v>25000</v>
      </c>
      <c r="M456" s="528">
        <f>IF(E456="STL",0,IF(F456&gt;0,Pricing!$D$21,0))</f>
        <v>5000</v>
      </c>
      <c r="N456" s="529">
        <f>IF(E456="STL",F456*Pricing!$D$40,IF(A456&lt;=Pricing!$C$4,0,IF(AND(A456&gt;Pricing!$C$4,Disbursements!A456&lt;=Pricing!$C$5),F456*Pricing!$E$5,IF(AND(A456&gt;Pricing!$C$5,Disbursements!A456&lt;=Pricing!$C$7),VLOOKUP(F456,Pricing!$D$7:$E$8,2)*Disbursements!F456,F456*Pricing!$E$9))))</f>
        <v>24000</v>
      </c>
      <c r="O456" s="528">
        <f>IF(E456="STL",0,IF($F456&gt;0,$F456*Pricing!$D$17,0))</f>
        <v>120000</v>
      </c>
      <c r="P456" s="530">
        <f t="shared" si="204"/>
        <v>468000</v>
      </c>
      <c r="Q456" s="531">
        <f>IF($A456="","",$G456/VLOOKUP($I456,Ref!$B$23:$D$29,2,0))</f>
        <v>6</v>
      </c>
      <c r="R456" s="530">
        <f t="shared" si="205"/>
        <v>1668000</v>
      </c>
      <c r="S456" s="532">
        <f t="shared" si="199"/>
        <v>278000</v>
      </c>
      <c r="T456" s="531">
        <f t="shared" si="206"/>
        <v>278000</v>
      </c>
      <c r="U456" s="533">
        <f t="shared" si="207"/>
        <v>1668000</v>
      </c>
      <c r="V456" s="531">
        <f t="shared" si="208"/>
        <v>200000</v>
      </c>
      <c r="W456" s="531">
        <f t="shared" si="209"/>
        <v>78000</v>
      </c>
      <c r="X456" s="534">
        <f t="shared" si="210"/>
        <v>468000</v>
      </c>
      <c r="Y456" s="535">
        <f>IF($A456="","",IF($I456="weekly",$A456+7,EDATE($A456,VLOOKUP($I456,Ref!$B$24:$C$29,2,0))))</f>
        <v>44660</v>
      </c>
      <c r="Z456" s="536" t="str">
        <f t="shared" si="211"/>
        <v>Sat</v>
      </c>
      <c r="AA456" s="531">
        <f t="shared" si="212"/>
        <v>31</v>
      </c>
      <c r="AB456" s="535">
        <f t="shared" si="200"/>
        <v>44813</v>
      </c>
      <c r="AC456" s="537">
        <f t="shared" si="201"/>
        <v>184</v>
      </c>
      <c r="AD456" s="538" t="str">
        <f t="shared" ca="1" si="202"/>
        <v>Expired</v>
      </c>
      <c r="AE456" s="537">
        <f t="shared" ca="1" si="203"/>
        <v>0</v>
      </c>
      <c r="AF456" s="539">
        <f t="shared" ca="1" si="213"/>
        <v>6</v>
      </c>
      <c r="AG456" s="531">
        <f t="shared" ca="1" si="214"/>
        <v>1668000</v>
      </c>
      <c r="AH456" s="531">
        <f t="shared" ca="1" si="215"/>
        <v>468000</v>
      </c>
      <c r="AI456" s="531">
        <f t="shared" ca="1" si="216"/>
        <v>1200000</v>
      </c>
      <c r="AJ456" s="531">
        <f t="shared" ca="1" si="217"/>
        <v>0</v>
      </c>
      <c r="AK456" s="540">
        <f>SUMIFS('Live Collections'!$S:$S,'Live Collections'!$D:$D,Disbursements!B456,'Live Collections'!$G:$G,Disbursements!C456)</f>
        <v>264000</v>
      </c>
      <c r="AL456" s="540">
        <f>SUMIFS('Live Collections'!$T:$T,'Live Collections'!$D:$D,Disbursements!B456,'Live Collections'!$G:$G,Disbursements!C456)</f>
        <v>722000</v>
      </c>
      <c r="AM456" s="541">
        <f t="shared" si="218"/>
        <v>986000</v>
      </c>
      <c r="AN456" s="542">
        <f t="shared" si="219"/>
        <v>204000</v>
      </c>
      <c r="AO456" s="542">
        <f t="shared" si="220"/>
        <v>478000</v>
      </c>
      <c r="AP456" s="543">
        <f t="shared" si="221"/>
        <v>682000</v>
      </c>
      <c r="AQ456" s="544">
        <f t="shared" ca="1" si="222"/>
        <v>682000</v>
      </c>
      <c r="AR456" s="545">
        <f t="shared" ca="1" si="223"/>
        <v>2.4532374100719423</v>
      </c>
      <c r="AS456" s="545">
        <f ca="1">IFERROR(CEILING($AR456*VLOOKUP($I456,Ref!$B$23:$E$29,4,0),1),0)</f>
        <v>74</v>
      </c>
      <c r="AT456" s="545" t="str">
        <f ca="1">IF(A456="","",IF(AP456&lt;=1,"Cleared",IF(AS456=0,"Clean",VLOOKUP($AS456,Ref!$G$23:$H$28,2))))</f>
        <v>3.(61-90) Days</v>
      </c>
      <c r="AU456" s="546" t="str">
        <f t="shared" si="224"/>
        <v>Ok</v>
      </c>
    </row>
    <row r="457" spans="1:47" ht="14.25" customHeight="1" x14ac:dyDescent="0.15">
      <c r="A457" s="575">
        <v>44629</v>
      </c>
      <c r="B457" s="523">
        <v>329</v>
      </c>
      <c r="C457" s="523">
        <v>455</v>
      </c>
      <c r="D457" s="523">
        <v>1</v>
      </c>
      <c r="E457" s="579" t="s">
        <v>1274</v>
      </c>
      <c r="F457" s="580">
        <v>1500000</v>
      </c>
      <c r="G457" s="524">
        <v>2</v>
      </c>
      <c r="H457" s="555">
        <v>6.5000000000000002E-2</v>
      </c>
      <c r="I457" s="560" t="s">
        <v>859</v>
      </c>
      <c r="J457" s="523" t="s">
        <v>864</v>
      </c>
      <c r="K457" s="528" t="str">
        <f>IFERROR(VLOOKUP($B457,'Clients-Live'!$A:$C,3,0),"")</f>
        <v>NSUBUGA DAVID</v>
      </c>
      <c r="L457" s="528">
        <f>IF(E457="STL",Pricing!$D$38,IF(A457="",0,IF(A457&lt;Pricing!$C$25,Pricing!$D$25,VLOOKUP(Disbursements!$F457,Pricing!$B$29:$D$32,3))))</f>
        <v>25000</v>
      </c>
      <c r="M457" s="528">
        <f>IF(E457="STL",0,IF(F457&gt;0,Pricing!$D$21,0))</f>
        <v>5000</v>
      </c>
      <c r="N457" s="529">
        <f>IF(E457="STL",F457*Pricing!$D$40,IF(A457&lt;=Pricing!$C$4,0,IF(AND(A457&gt;Pricing!$C$4,Disbursements!A457&lt;=Pricing!$C$5),F457*Pricing!$E$5,IF(AND(A457&gt;Pricing!$C$5,Disbursements!A457&lt;=Pricing!$C$7),VLOOKUP(F457,Pricing!$D$7:$E$8,2)*Disbursements!F457,F457*Pricing!$E$9))))</f>
        <v>30000</v>
      </c>
      <c r="O457" s="528">
        <f>IF(E457="STL",0,IF($F457&gt;0,$F457*Pricing!$D$17,0))</f>
        <v>150000</v>
      </c>
      <c r="P457" s="530">
        <f t="shared" si="204"/>
        <v>195000</v>
      </c>
      <c r="Q457" s="531">
        <f>IF($A457="","",$G457/VLOOKUP($I457,Ref!$B$23:$D$29,2,0))</f>
        <v>2</v>
      </c>
      <c r="R457" s="530">
        <f t="shared" si="205"/>
        <v>1695000</v>
      </c>
      <c r="S457" s="532">
        <f t="shared" si="199"/>
        <v>847500</v>
      </c>
      <c r="T457" s="531">
        <f t="shared" si="206"/>
        <v>848000</v>
      </c>
      <c r="U457" s="533">
        <f t="shared" si="207"/>
        <v>1696000</v>
      </c>
      <c r="V457" s="531">
        <f t="shared" si="208"/>
        <v>750000</v>
      </c>
      <c r="W457" s="531">
        <f t="shared" si="209"/>
        <v>98000</v>
      </c>
      <c r="X457" s="534">
        <f t="shared" si="210"/>
        <v>196000</v>
      </c>
      <c r="Y457" s="535">
        <f>IF($A457="","",IF($I457="weekly",$A457+7,EDATE($A457,VLOOKUP($I457,Ref!$B$24:$C$29,2,0))))</f>
        <v>44660</v>
      </c>
      <c r="Z457" s="536" t="str">
        <f t="shared" si="211"/>
        <v>Sat</v>
      </c>
      <c r="AA457" s="531">
        <f t="shared" si="212"/>
        <v>31</v>
      </c>
      <c r="AB457" s="535">
        <f t="shared" si="200"/>
        <v>44690</v>
      </c>
      <c r="AC457" s="537">
        <f t="shared" si="201"/>
        <v>61</v>
      </c>
      <c r="AD457" s="538" t="str">
        <f t="shared" ca="1" si="202"/>
        <v>Expired</v>
      </c>
      <c r="AE457" s="537">
        <f t="shared" ca="1" si="203"/>
        <v>0</v>
      </c>
      <c r="AF457" s="539">
        <f t="shared" ca="1" si="213"/>
        <v>2</v>
      </c>
      <c r="AG457" s="531">
        <f t="shared" ca="1" si="214"/>
        <v>1696000</v>
      </c>
      <c r="AH457" s="531">
        <f t="shared" ca="1" si="215"/>
        <v>196000</v>
      </c>
      <c r="AI457" s="531">
        <f t="shared" ca="1" si="216"/>
        <v>1500000</v>
      </c>
      <c r="AJ457" s="531">
        <f t="shared" ca="1" si="217"/>
        <v>0</v>
      </c>
      <c r="AK457" s="540">
        <f>SUMIFS('Live Collections'!$S:$S,'Live Collections'!$D:$D,Disbursements!B457,'Live Collections'!$G:$G,Disbursements!C457)</f>
        <v>196000</v>
      </c>
      <c r="AL457" s="540">
        <f>SUMIFS('Live Collections'!$T:$T,'Live Collections'!$D:$D,Disbursements!B457,'Live Collections'!$G:$G,Disbursements!C457)</f>
        <v>1499000</v>
      </c>
      <c r="AM457" s="541">
        <f t="shared" si="218"/>
        <v>1695000</v>
      </c>
      <c r="AN457" s="542">
        <f t="shared" si="219"/>
        <v>0</v>
      </c>
      <c r="AO457" s="542">
        <f t="shared" si="220"/>
        <v>1000</v>
      </c>
      <c r="AP457" s="543">
        <f t="shared" si="221"/>
        <v>1000</v>
      </c>
      <c r="AQ457" s="544">
        <f t="shared" ca="1" si="222"/>
        <v>1000</v>
      </c>
      <c r="AR457" s="545">
        <f t="shared" ca="1" si="223"/>
        <v>1.1792452830188679E-3</v>
      </c>
      <c r="AS457" s="545">
        <f ca="1">IFERROR(CEILING($AR457*VLOOKUP($I457,Ref!$B$23:$E$29,4,0),1),0)</f>
        <v>1</v>
      </c>
      <c r="AT457" s="545" t="str">
        <f ca="1">IF(A457="","",IF(AP457&lt;=1,"Cleared",IF(AS457=0,"Clean",VLOOKUP($AS457,Ref!$G$23:$H$28,2))))</f>
        <v>1.(0-30) Days</v>
      </c>
      <c r="AU457" s="546" t="str">
        <f t="shared" si="224"/>
        <v>Ok</v>
      </c>
    </row>
    <row r="458" spans="1:47" ht="14.25" hidden="1" customHeight="1" x14ac:dyDescent="0.15">
      <c r="A458" s="575">
        <v>44629</v>
      </c>
      <c r="B458" s="523">
        <v>218</v>
      </c>
      <c r="C458" s="523">
        <v>456</v>
      </c>
      <c r="D458" s="523">
        <v>2</v>
      </c>
      <c r="E458" s="579" t="s">
        <v>1274</v>
      </c>
      <c r="F458" s="580">
        <v>600000</v>
      </c>
      <c r="G458" s="524">
        <v>6</v>
      </c>
      <c r="H458" s="555">
        <v>6.5000000000000002E-2</v>
      </c>
      <c r="I458" s="560" t="s">
        <v>861</v>
      </c>
      <c r="J458" s="523" t="s">
        <v>864</v>
      </c>
      <c r="K458" s="528" t="str">
        <f>IFERROR(VLOOKUP($B458,'Clients-Live'!$A:$C,3,0),"")</f>
        <v>BUSURA OMAR</v>
      </c>
      <c r="L458" s="528">
        <f>IF(E458="STL",Pricing!$D$38,IF(A458="",0,IF(A458&lt;Pricing!$C$25,Pricing!$D$25,VLOOKUP(Disbursements!$F458,Pricing!$B$29:$D$32,3))))</f>
        <v>20000</v>
      </c>
      <c r="M458" s="528">
        <f>IF(E458="STL",0,IF(F458&gt;0,Pricing!$D$21,0))</f>
        <v>5000</v>
      </c>
      <c r="N458" s="529">
        <f>IF(E458="STL",F458*Pricing!$D$40,IF(A458&lt;=Pricing!$C$4,0,IF(AND(A458&gt;Pricing!$C$4,Disbursements!A458&lt;=Pricing!$C$5),F458*Pricing!$E$5,IF(AND(A458&gt;Pricing!$C$5,Disbursements!A458&lt;=Pricing!$C$7),VLOOKUP(F458,Pricing!$D$7:$E$8,2)*Disbursements!F458,F458*Pricing!$E$9))))</f>
        <v>12000</v>
      </c>
      <c r="O458" s="528">
        <f>IF(E458="STL",0,IF($F458&gt;0,$F458*Pricing!$D$17,0))</f>
        <v>60000</v>
      </c>
      <c r="P458" s="530">
        <f t="shared" si="204"/>
        <v>234000</v>
      </c>
      <c r="Q458" s="531">
        <f>IF($A458="","",$G458/VLOOKUP($I458,Ref!$B$23:$D$29,2,0))</f>
        <v>24</v>
      </c>
      <c r="R458" s="530">
        <f t="shared" si="205"/>
        <v>834000</v>
      </c>
      <c r="S458" s="532">
        <f t="shared" si="199"/>
        <v>34750</v>
      </c>
      <c r="T458" s="531">
        <f t="shared" si="206"/>
        <v>35000</v>
      </c>
      <c r="U458" s="533">
        <f t="shared" si="207"/>
        <v>840000</v>
      </c>
      <c r="V458" s="531">
        <f t="shared" si="208"/>
        <v>25000</v>
      </c>
      <c r="W458" s="531">
        <f t="shared" si="209"/>
        <v>10000</v>
      </c>
      <c r="X458" s="534">
        <f t="shared" si="210"/>
        <v>240000</v>
      </c>
      <c r="Y458" s="535">
        <f>IF($A458="","",IF($I458="weekly",$A458+7,EDATE($A458,VLOOKUP($I458,Ref!$B$24:$C$29,2,0))))</f>
        <v>44636</v>
      </c>
      <c r="Z458" s="536" t="str">
        <f t="shared" si="211"/>
        <v>Wed</v>
      </c>
      <c r="AA458" s="531">
        <f t="shared" si="212"/>
        <v>7</v>
      </c>
      <c r="AB458" s="535">
        <f t="shared" si="200"/>
        <v>44813</v>
      </c>
      <c r="AC458" s="537">
        <f t="shared" si="201"/>
        <v>184</v>
      </c>
      <c r="AD458" s="538" t="str">
        <f t="shared" ca="1" si="202"/>
        <v>Expired</v>
      </c>
      <c r="AE458" s="537">
        <f t="shared" ca="1" si="203"/>
        <v>0</v>
      </c>
      <c r="AF458" s="539">
        <f t="shared" ca="1" si="213"/>
        <v>24</v>
      </c>
      <c r="AG458" s="531">
        <f t="shared" ca="1" si="214"/>
        <v>840000</v>
      </c>
      <c r="AH458" s="531">
        <f t="shared" ca="1" si="215"/>
        <v>240000</v>
      </c>
      <c r="AI458" s="531">
        <f t="shared" ca="1" si="216"/>
        <v>600000</v>
      </c>
      <c r="AJ458" s="531">
        <f t="shared" ca="1" si="217"/>
        <v>0</v>
      </c>
      <c r="AK458" s="540">
        <f>SUMIFS('Live Collections'!$S:$S,'Live Collections'!$D:$D,Disbursements!B458,'Live Collections'!$G:$G,Disbursements!C458)</f>
        <v>40000</v>
      </c>
      <c r="AL458" s="540">
        <f>SUMIFS('Live Collections'!$T:$T,'Live Collections'!$D:$D,Disbursements!B458,'Live Collections'!$G:$G,Disbursements!C458)</f>
        <v>270000</v>
      </c>
      <c r="AM458" s="541">
        <f t="shared" si="218"/>
        <v>310000</v>
      </c>
      <c r="AN458" s="542">
        <f t="shared" si="219"/>
        <v>200000</v>
      </c>
      <c r="AO458" s="542">
        <f t="shared" si="220"/>
        <v>330000</v>
      </c>
      <c r="AP458" s="543">
        <f t="shared" si="221"/>
        <v>530000</v>
      </c>
      <c r="AQ458" s="544">
        <f t="shared" ca="1" si="222"/>
        <v>530000</v>
      </c>
      <c r="AR458" s="545">
        <f t="shared" ca="1" si="223"/>
        <v>15.142857142857142</v>
      </c>
      <c r="AS458" s="545">
        <f ca="1">IFERROR(CEILING($AR458*VLOOKUP($I458,Ref!$B$23:$E$29,4,0),1),0)</f>
        <v>106</v>
      </c>
      <c r="AT458" s="545" t="str">
        <f ca="1">IF(A458="","",IF(AP458&lt;=1,"Cleared",IF(AS458=0,"Clean",VLOOKUP($AS458,Ref!$G$23:$H$28,2))))</f>
        <v>4.(91-365) Days</v>
      </c>
      <c r="AU458" s="546" t="str">
        <f t="shared" si="224"/>
        <v>Ok</v>
      </c>
    </row>
    <row r="459" spans="1:47" ht="14.25" customHeight="1" x14ac:dyDescent="0.15">
      <c r="A459" s="575">
        <v>44630</v>
      </c>
      <c r="B459" s="523">
        <v>331</v>
      </c>
      <c r="C459" s="523">
        <v>457</v>
      </c>
      <c r="D459" s="523">
        <v>1</v>
      </c>
      <c r="E459" s="579" t="s">
        <v>1275</v>
      </c>
      <c r="F459" s="580">
        <v>400000</v>
      </c>
      <c r="G459" s="524">
        <v>2</v>
      </c>
      <c r="H459" s="555">
        <v>7.4999999999999997E-2</v>
      </c>
      <c r="I459" s="560" t="s">
        <v>859</v>
      </c>
      <c r="J459" s="523" t="s">
        <v>864</v>
      </c>
      <c r="K459" s="528" t="str">
        <f>IFERROR(VLOOKUP($B459,'Clients-Live'!$A:$C,3,0),"")</f>
        <v>DRANIKU ALBERT</v>
      </c>
      <c r="L459" s="528">
        <f>IF(E459="STL",Pricing!$D$38,IF(A459="",0,IF(A459&lt;Pricing!$C$25,Pricing!$D$25,VLOOKUP(Disbursements!$F459,Pricing!$B$29:$D$32,3))))</f>
        <v>15000</v>
      </c>
      <c r="M459" s="528">
        <f>IF(E459="STL",0,IF(F459&gt;0,Pricing!$D$21,0))</f>
        <v>5000</v>
      </c>
      <c r="N459" s="529">
        <f>IF(E459="STL",F459*Pricing!$D$40,IF(A459&lt;=Pricing!$C$4,0,IF(AND(A459&gt;Pricing!$C$4,Disbursements!A459&lt;=Pricing!$C$5),F459*Pricing!$E$5,IF(AND(A459&gt;Pricing!$C$5,Disbursements!A459&lt;=Pricing!$C$7),VLOOKUP(F459,Pricing!$D$7:$E$8,2)*Disbursements!F459,F459*Pricing!$E$9))))</f>
        <v>8000</v>
      </c>
      <c r="O459" s="528">
        <f>IF(E459="STL",0,IF($F459&gt;0,$F459*Pricing!$D$17,0))</f>
        <v>40000</v>
      </c>
      <c r="P459" s="530">
        <f t="shared" si="204"/>
        <v>60000</v>
      </c>
      <c r="Q459" s="531">
        <f>IF($A459="","",$G459/VLOOKUP($I459,Ref!$B$23:$D$29,2,0))</f>
        <v>2</v>
      </c>
      <c r="R459" s="530">
        <f t="shared" si="205"/>
        <v>460000</v>
      </c>
      <c r="S459" s="532">
        <f t="shared" si="199"/>
        <v>230000</v>
      </c>
      <c r="T459" s="531">
        <f t="shared" si="206"/>
        <v>230000</v>
      </c>
      <c r="U459" s="533">
        <f t="shared" si="207"/>
        <v>460000</v>
      </c>
      <c r="V459" s="531">
        <f t="shared" si="208"/>
        <v>200000</v>
      </c>
      <c r="W459" s="531">
        <f t="shared" si="209"/>
        <v>30000</v>
      </c>
      <c r="X459" s="534">
        <f t="shared" si="210"/>
        <v>60000</v>
      </c>
      <c r="Y459" s="535">
        <f>IF($A459="","",IF($I459="weekly",$A459+7,EDATE($A459,VLOOKUP($I459,Ref!$B$24:$C$29,2,0))))</f>
        <v>44661</v>
      </c>
      <c r="Z459" s="536" t="str">
        <f t="shared" si="211"/>
        <v>Sun</v>
      </c>
      <c r="AA459" s="531">
        <f t="shared" si="212"/>
        <v>31</v>
      </c>
      <c r="AB459" s="535">
        <f t="shared" si="200"/>
        <v>44691</v>
      </c>
      <c r="AC459" s="537">
        <f t="shared" si="201"/>
        <v>61</v>
      </c>
      <c r="AD459" s="538" t="str">
        <f t="shared" ca="1" si="202"/>
        <v>Expired</v>
      </c>
      <c r="AE459" s="537">
        <f t="shared" ca="1" si="203"/>
        <v>0</v>
      </c>
      <c r="AF459" s="539">
        <f t="shared" ca="1" si="213"/>
        <v>2</v>
      </c>
      <c r="AG459" s="531">
        <f t="shared" ca="1" si="214"/>
        <v>460000</v>
      </c>
      <c r="AH459" s="531">
        <f t="shared" ca="1" si="215"/>
        <v>60000</v>
      </c>
      <c r="AI459" s="531">
        <f t="shared" ca="1" si="216"/>
        <v>400000</v>
      </c>
      <c r="AJ459" s="531">
        <f t="shared" ca="1" si="217"/>
        <v>0</v>
      </c>
      <c r="AK459" s="540">
        <f>SUMIFS('Live Collections'!$S:$S,'Live Collections'!$D:$D,Disbursements!B459,'Live Collections'!$G:$G,Disbursements!C459)</f>
        <v>30000</v>
      </c>
      <c r="AL459" s="540">
        <f>SUMIFS('Live Collections'!$T:$T,'Live Collections'!$D:$D,Disbursements!B459,'Live Collections'!$G:$G,Disbursements!C459)</f>
        <v>120000</v>
      </c>
      <c r="AM459" s="541">
        <f t="shared" si="218"/>
        <v>150000</v>
      </c>
      <c r="AN459" s="542">
        <f t="shared" si="219"/>
        <v>30000</v>
      </c>
      <c r="AO459" s="542">
        <f t="shared" si="220"/>
        <v>280000</v>
      </c>
      <c r="AP459" s="543">
        <f t="shared" si="221"/>
        <v>310000</v>
      </c>
      <c r="AQ459" s="544">
        <f t="shared" ca="1" si="222"/>
        <v>310000</v>
      </c>
      <c r="AR459" s="545">
        <f t="shared" ca="1" si="223"/>
        <v>1.3478260869565217</v>
      </c>
      <c r="AS459" s="545">
        <f ca="1">IFERROR(CEILING($AR459*VLOOKUP($I459,Ref!$B$23:$E$29,4,0),1),0)</f>
        <v>41</v>
      </c>
      <c r="AT459" s="545" t="str">
        <f ca="1">IF(A459="","",IF(AP459&lt;=1,"Cleared",IF(AS459=0,"Clean",VLOOKUP($AS459,Ref!$G$23:$H$28,2))))</f>
        <v>2.(31-60) Days</v>
      </c>
      <c r="AU459" s="546" t="str">
        <f t="shared" si="224"/>
        <v>Ok</v>
      </c>
    </row>
    <row r="460" spans="1:47" ht="14.25" hidden="1" customHeight="1" x14ac:dyDescent="0.15">
      <c r="A460" s="575">
        <v>44631</v>
      </c>
      <c r="B460" s="523">
        <v>187</v>
      </c>
      <c r="C460" s="523">
        <v>458</v>
      </c>
      <c r="D460" s="523">
        <v>2</v>
      </c>
      <c r="E460" s="579" t="s">
        <v>1274</v>
      </c>
      <c r="F460" s="580">
        <v>500000</v>
      </c>
      <c r="G460" s="524">
        <v>4</v>
      </c>
      <c r="H460" s="555">
        <v>6.5000000000000002E-2</v>
      </c>
      <c r="I460" s="560" t="s">
        <v>859</v>
      </c>
      <c r="J460" s="523" t="s">
        <v>863</v>
      </c>
      <c r="K460" s="528" t="str">
        <f>IFERROR(VLOOKUP($B460,'Clients-Live'!$A:$C,3,0),"")</f>
        <v xml:space="preserve">AJIO HARRIET </v>
      </c>
      <c r="L460" s="528">
        <f>IF(E460="STL",Pricing!$D$38,IF(A460="",0,IF(A460&lt;Pricing!$C$25,Pricing!$D$25,VLOOKUP(Disbursements!$F460,Pricing!$B$29:$D$32,3))))</f>
        <v>15000</v>
      </c>
      <c r="M460" s="528">
        <f>IF(E460="STL",0,IF(F460&gt;0,Pricing!$D$21,0))</f>
        <v>5000</v>
      </c>
      <c r="N460" s="529">
        <f>IF(E460="STL",F460*Pricing!$D$40,IF(A460&lt;=Pricing!$C$4,0,IF(AND(A460&gt;Pricing!$C$4,Disbursements!A460&lt;=Pricing!$C$5),F460*Pricing!$E$5,IF(AND(A460&gt;Pricing!$C$5,Disbursements!A460&lt;=Pricing!$C$7),VLOOKUP(F460,Pricing!$D$7:$E$8,2)*Disbursements!F460,F460*Pricing!$E$9))))</f>
        <v>10000</v>
      </c>
      <c r="O460" s="528">
        <f>IF(E460="STL",0,IF($F460&gt;0,$F460*Pricing!$D$17,0))</f>
        <v>50000</v>
      </c>
      <c r="P460" s="530">
        <f t="shared" si="204"/>
        <v>130000</v>
      </c>
      <c r="Q460" s="531">
        <f>IF($A460="","",$G460/VLOOKUP($I460,Ref!$B$23:$D$29,2,0))</f>
        <v>4</v>
      </c>
      <c r="R460" s="530">
        <f t="shared" si="205"/>
        <v>630000</v>
      </c>
      <c r="S460" s="532">
        <f t="shared" si="199"/>
        <v>157500</v>
      </c>
      <c r="T460" s="531">
        <f t="shared" si="206"/>
        <v>158000</v>
      </c>
      <c r="U460" s="533">
        <f t="shared" si="207"/>
        <v>632000</v>
      </c>
      <c r="V460" s="531">
        <f t="shared" si="208"/>
        <v>125000</v>
      </c>
      <c r="W460" s="531">
        <f t="shared" si="209"/>
        <v>33000</v>
      </c>
      <c r="X460" s="534">
        <f t="shared" si="210"/>
        <v>132000</v>
      </c>
      <c r="Y460" s="535">
        <f>IF($A460="","",IF($I460="weekly",$A460+7,EDATE($A460,VLOOKUP($I460,Ref!$B$24:$C$29,2,0))))</f>
        <v>44662</v>
      </c>
      <c r="Z460" s="536" t="str">
        <f t="shared" si="211"/>
        <v>Mon</v>
      </c>
      <c r="AA460" s="531">
        <f t="shared" si="212"/>
        <v>31</v>
      </c>
      <c r="AB460" s="535">
        <f t="shared" si="200"/>
        <v>44753</v>
      </c>
      <c r="AC460" s="537">
        <f t="shared" si="201"/>
        <v>122</v>
      </c>
      <c r="AD460" s="538" t="str">
        <f t="shared" ca="1" si="202"/>
        <v>Expired</v>
      </c>
      <c r="AE460" s="537">
        <f t="shared" ca="1" si="203"/>
        <v>0</v>
      </c>
      <c r="AF460" s="539">
        <f t="shared" ca="1" si="213"/>
        <v>4</v>
      </c>
      <c r="AG460" s="531">
        <f t="shared" ca="1" si="214"/>
        <v>632000</v>
      </c>
      <c r="AH460" s="531">
        <f t="shared" ca="1" si="215"/>
        <v>132000</v>
      </c>
      <c r="AI460" s="531">
        <f t="shared" ca="1" si="216"/>
        <v>500000</v>
      </c>
      <c r="AJ460" s="531">
        <f t="shared" ca="1" si="217"/>
        <v>0</v>
      </c>
      <c r="AK460" s="540">
        <f>SUMIFS('Live Collections'!$S:$S,'Live Collections'!$D:$D,Disbursements!B460,'Live Collections'!$G:$G,Disbursements!C460)</f>
        <v>66000</v>
      </c>
      <c r="AL460" s="540">
        <f>SUMIFS('Live Collections'!$T:$T,'Live Collections'!$D:$D,Disbursements!B460,'Live Collections'!$G:$G,Disbursements!C460)</f>
        <v>231000</v>
      </c>
      <c r="AM460" s="541">
        <f t="shared" si="218"/>
        <v>297000</v>
      </c>
      <c r="AN460" s="542">
        <f t="shared" si="219"/>
        <v>66000</v>
      </c>
      <c r="AO460" s="542">
        <f t="shared" si="220"/>
        <v>269000</v>
      </c>
      <c r="AP460" s="543">
        <f t="shared" si="221"/>
        <v>335000</v>
      </c>
      <c r="AQ460" s="544">
        <f t="shared" ca="1" si="222"/>
        <v>335000</v>
      </c>
      <c r="AR460" s="545">
        <f t="shared" ca="1" si="223"/>
        <v>2.1202531645569622</v>
      </c>
      <c r="AS460" s="545">
        <f ca="1">IFERROR(CEILING($AR460*VLOOKUP($I460,Ref!$B$23:$E$29,4,0),1),0)</f>
        <v>64</v>
      </c>
      <c r="AT460" s="545" t="str">
        <f ca="1">IF(A460="","",IF(AP460&lt;=1,"Cleared",IF(AS460=0,"Clean",VLOOKUP($AS460,Ref!$G$23:$H$28,2))))</f>
        <v>3.(61-90) Days</v>
      </c>
      <c r="AU460" s="546" t="str">
        <f t="shared" si="224"/>
        <v>Ok</v>
      </c>
    </row>
    <row r="461" spans="1:47" ht="14.25" hidden="1" customHeight="1" x14ac:dyDescent="0.15">
      <c r="A461" s="575">
        <v>44631</v>
      </c>
      <c r="B461" s="523">
        <v>103</v>
      </c>
      <c r="C461" s="523">
        <v>459</v>
      </c>
      <c r="D461" s="523">
        <v>3</v>
      </c>
      <c r="E461" s="579" t="s">
        <v>1274</v>
      </c>
      <c r="F461" s="580">
        <v>500000</v>
      </c>
      <c r="G461" s="524">
        <v>4</v>
      </c>
      <c r="H461" s="555">
        <v>6.5000000000000002E-2</v>
      </c>
      <c r="I461" s="560" t="s">
        <v>859</v>
      </c>
      <c r="J461" s="523" t="s">
        <v>863</v>
      </c>
      <c r="K461" s="528" t="str">
        <f>IFERROR(VLOOKUP($B461,'Clients-Live'!$A:$C,3,0),"")</f>
        <v>CHANDIRU ZABIB</v>
      </c>
      <c r="L461" s="528">
        <f>IF(E461="STL",Pricing!$D$38,IF(A461="",0,IF(A461&lt;Pricing!$C$25,Pricing!$D$25,VLOOKUP(Disbursements!$F461,Pricing!$B$29:$D$32,3))))</f>
        <v>15000</v>
      </c>
      <c r="M461" s="528">
        <f>IF(E461="STL",0,IF(F461&gt;0,Pricing!$D$21,0))</f>
        <v>5000</v>
      </c>
      <c r="N461" s="529">
        <f>IF(E461="STL",F461*Pricing!$D$40,IF(A461&lt;=Pricing!$C$4,0,IF(AND(A461&gt;Pricing!$C$4,Disbursements!A461&lt;=Pricing!$C$5),F461*Pricing!$E$5,IF(AND(A461&gt;Pricing!$C$5,Disbursements!A461&lt;=Pricing!$C$7),VLOOKUP(F461,Pricing!$D$7:$E$8,2)*Disbursements!F461,F461*Pricing!$E$9))))</f>
        <v>10000</v>
      </c>
      <c r="O461" s="528">
        <f>IF(E461="STL",0,IF($F461&gt;0,$F461*Pricing!$D$17,0))</f>
        <v>50000</v>
      </c>
      <c r="P461" s="530">
        <f t="shared" si="204"/>
        <v>130000</v>
      </c>
      <c r="Q461" s="531">
        <f>IF($A461="","",$G461/VLOOKUP($I461,Ref!$B$23:$D$29,2,0))</f>
        <v>4</v>
      </c>
      <c r="R461" s="530">
        <f t="shared" si="205"/>
        <v>630000</v>
      </c>
      <c r="S461" s="532">
        <f t="shared" si="199"/>
        <v>157500</v>
      </c>
      <c r="T461" s="531">
        <f t="shared" si="206"/>
        <v>158000</v>
      </c>
      <c r="U461" s="533">
        <f t="shared" si="207"/>
        <v>632000</v>
      </c>
      <c r="V461" s="531">
        <f t="shared" si="208"/>
        <v>125000</v>
      </c>
      <c r="W461" s="531">
        <f t="shared" si="209"/>
        <v>33000</v>
      </c>
      <c r="X461" s="534">
        <f t="shared" si="210"/>
        <v>132000</v>
      </c>
      <c r="Y461" s="535">
        <f>IF($A461="","",IF($I461="weekly",$A461+7,EDATE($A461,VLOOKUP($I461,Ref!$B$24:$C$29,2,0))))</f>
        <v>44662</v>
      </c>
      <c r="Z461" s="536" t="str">
        <f t="shared" si="211"/>
        <v>Mon</v>
      </c>
      <c r="AA461" s="531">
        <f t="shared" si="212"/>
        <v>31</v>
      </c>
      <c r="AB461" s="535">
        <f t="shared" si="200"/>
        <v>44753</v>
      </c>
      <c r="AC461" s="537">
        <f t="shared" si="201"/>
        <v>122</v>
      </c>
      <c r="AD461" s="538" t="str">
        <f t="shared" ca="1" si="202"/>
        <v>Expired</v>
      </c>
      <c r="AE461" s="537">
        <f t="shared" ca="1" si="203"/>
        <v>0</v>
      </c>
      <c r="AF461" s="539">
        <f t="shared" ca="1" si="213"/>
        <v>4</v>
      </c>
      <c r="AG461" s="531">
        <f t="shared" ca="1" si="214"/>
        <v>632000</v>
      </c>
      <c r="AH461" s="531">
        <f t="shared" ca="1" si="215"/>
        <v>132000</v>
      </c>
      <c r="AI461" s="531">
        <f t="shared" ca="1" si="216"/>
        <v>500000</v>
      </c>
      <c r="AJ461" s="531">
        <f t="shared" ca="1" si="217"/>
        <v>0</v>
      </c>
      <c r="AK461" s="540">
        <f>SUMIFS('Live Collections'!$S:$S,'Live Collections'!$D:$D,Disbursements!B461,'Live Collections'!$G:$G,Disbursements!C461)</f>
        <v>66000</v>
      </c>
      <c r="AL461" s="540">
        <f>SUMIFS('Live Collections'!$T:$T,'Live Collections'!$D:$D,Disbursements!B461,'Live Collections'!$G:$G,Disbursements!C461)</f>
        <v>249000</v>
      </c>
      <c r="AM461" s="541">
        <f t="shared" si="218"/>
        <v>315000</v>
      </c>
      <c r="AN461" s="542">
        <f t="shared" si="219"/>
        <v>66000</v>
      </c>
      <c r="AO461" s="542">
        <f t="shared" si="220"/>
        <v>251000</v>
      </c>
      <c r="AP461" s="543">
        <f t="shared" si="221"/>
        <v>317000</v>
      </c>
      <c r="AQ461" s="544">
        <f t="shared" ca="1" si="222"/>
        <v>317000</v>
      </c>
      <c r="AR461" s="545">
        <f t="shared" ca="1" si="223"/>
        <v>2.0063291139240507</v>
      </c>
      <c r="AS461" s="545">
        <f ca="1">IFERROR(CEILING($AR461*VLOOKUP($I461,Ref!$B$23:$E$29,4,0),1),0)</f>
        <v>61</v>
      </c>
      <c r="AT461" s="545" t="str">
        <f ca="1">IF(A461="","",IF(AP461&lt;=1,"Cleared",IF(AS461=0,"Clean",VLOOKUP($AS461,Ref!$G$23:$H$28,2))))</f>
        <v>3.(61-90) Days</v>
      </c>
      <c r="AU461" s="546" t="str">
        <f t="shared" si="224"/>
        <v>Ok</v>
      </c>
    </row>
    <row r="462" spans="1:47" ht="14.25" customHeight="1" x14ac:dyDescent="0.15">
      <c r="A462" s="575">
        <v>44631</v>
      </c>
      <c r="B462" s="523">
        <v>2</v>
      </c>
      <c r="C462" s="523">
        <v>460</v>
      </c>
      <c r="D462" s="523">
        <v>3</v>
      </c>
      <c r="E462" s="579" t="s">
        <v>1274</v>
      </c>
      <c r="F462" s="580">
        <v>300000</v>
      </c>
      <c r="G462" s="524">
        <v>1</v>
      </c>
      <c r="H462" s="555">
        <v>6.5000000000000002E-2</v>
      </c>
      <c r="I462" s="560" t="s">
        <v>859</v>
      </c>
      <c r="J462" s="523" t="s">
        <v>863</v>
      </c>
      <c r="K462" s="528" t="str">
        <f>IFERROR(VLOOKUP($B462,'Clients-Live'!$A:$C,3,0),"")</f>
        <v>LEYA ROSE</v>
      </c>
      <c r="L462" s="528">
        <f>IF(E462="STL",Pricing!$D$38,IF(A462="",0,IF(A462&lt;Pricing!$C$25,Pricing!$D$25,VLOOKUP(Disbursements!$F462,Pricing!$B$29:$D$32,3))))</f>
        <v>15000</v>
      </c>
      <c r="M462" s="528">
        <f>IF(E462="STL",0,IF(F462&gt;0,Pricing!$D$21,0))</f>
        <v>5000</v>
      </c>
      <c r="N462" s="529">
        <f>IF(E462="STL",F462*Pricing!$D$40,IF(A462&lt;=Pricing!$C$4,0,IF(AND(A462&gt;Pricing!$C$4,Disbursements!A462&lt;=Pricing!$C$5),F462*Pricing!$E$5,IF(AND(A462&gt;Pricing!$C$5,Disbursements!A462&lt;=Pricing!$C$7),VLOOKUP(F462,Pricing!$D$7:$E$8,2)*Disbursements!F462,F462*Pricing!$E$9))))</f>
        <v>6000</v>
      </c>
      <c r="O462" s="528">
        <f>IF(E462="STL",0,IF($F462&gt;0,$F462*Pricing!$D$17,0))</f>
        <v>30000</v>
      </c>
      <c r="P462" s="530">
        <f t="shared" si="204"/>
        <v>19500</v>
      </c>
      <c r="Q462" s="531">
        <f>IF($A462="","",$G462/VLOOKUP($I462,Ref!$B$23:$D$29,2,0))</f>
        <v>1</v>
      </c>
      <c r="R462" s="530">
        <f t="shared" si="205"/>
        <v>319500</v>
      </c>
      <c r="S462" s="532">
        <f t="shared" si="199"/>
        <v>319500</v>
      </c>
      <c r="T462" s="531">
        <f t="shared" si="206"/>
        <v>320000</v>
      </c>
      <c r="U462" s="533">
        <f t="shared" si="207"/>
        <v>320000</v>
      </c>
      <c r="V462" s="531">
        <f t="shared" si="208"/>
        <v>300000</v>
      </c>
      <c r="W462" s="531">
        <f t="shared" si="209"/>
        <v>20000</v>
      </c>
      <c r="X462" s="534">
        <f t="shared" si="210"/>
        <v>20000</v>
      </c>
      <c r="Y462" s="535">
        <f>IF($A462="","",IF($I462="weekly",$A462+7,EDATE($A462,VLOOKUP($I462,Ref!$B$24:$C$29,2,0))))</f>
        <v>44662</v>
      </c>
      <c r="Z462" s="536" t="str">
        <f t="shared" si="211"/>
        <v>Mon</v>
      </c>
      <c r="AA462" s="531">
        <f t="shared" si="212"/>
        <v>31</v>
      </c>
      <c r="AB462" s="535">
        <f t="shared" si="200"/>
        <v>44662</v>
      </c>
      <c r="AC462" s="537">
        <f t="shared" si="201"/>
        <v>31</v>
      </c>
      <c r="AD462" s="538" t="str">
        <f t="shared" ca="1" si="202"/>
        <v>Expired</v>
      </c>
      <c r="AE462" s="537">
        <f t="shared" ca="1" si="203"/>
        <v>0</v>
      </c>
      <c r="AF462" s="539">
        <f t="shared" ca="1" si="213"/>
        <v>1</v>
      </c>
      <c r="AG462" s="531">
        <f t="shared" ca="1" si="214"/>
        <v>320000</v>
      </c>
      <c r="AH462" s="531">
        <f t="shared" ca="1" si="215"/>
        <v>20000</v>
      </c>
      <c r="AI462" s="531">
        <f t="shared" ca="1" si="216"/>
        <v>300000</v>
      </c>
      <c r="AJ462" s="531">
        <f t="shared" ca="1" si="217"/>
        <v>0</v>
      </c>
      <c r="AK462" s="540">
        <f>SUMIFS('Live Collections'!$S:$S,'Live Collections'!$D:$D,Disbursements!B462,'Live Collections'!$G:$G,Disbursements!C462)</f>
        <v>20000</v>
      </c>
      <c r="AL462" s="540">
        <f>SUMIFS('Live Collections'!$T:$T,'Live Collections'!$D:$D,Disbursements!B462,'Live Collections'!$G:$G,Disbursements!C462)</f>
        <v>269500</v>
      </c>
      <c r="AM462" s="541">
        <f t="shared" si="218"/>
        <v>289500</v>
      </c>
      <c r="AN462" s="542">
        <f t="shared" si="219"/>
        <v>0</v>
      </c>
      <c r="AO462" s="542">
        <f t="shared" si="220"/>
        <v>30500</v>
      </c>
      <c r="AP462" s="543">
        <f t="shared" si="221"/>
        <v>30500</v>
      </c>
      <c r="AQ462" s="544">
        <f t="shared" ca="1" si="222"/>
        <v>30500</v>
      </c>
      <c r="AR462" s="545">
        <f t="shared" ca="1" si="223"/>
        <v>9.5312499999999994E-2</v>
      </c>
      <c r="AS462" s="545">
        <f ca="1">IFERROR(CEILING($AR462*VLOOKUP($I462,Ref!$B$23:$E$29,4,0),1),0)</f>
        <v>3</v>
      </c>
      <c r="AT462" s="545" t="str">
        <f ca="1">IF(A462="","",IF(AP462&lt;=1,"Cleared",IF(AS462=0,"Clean",VLOOKUP($AS462,Ref!$G$23:$H$28,2))))</f>
        <v>1.(0-30) Days</v>
      </c>
      <c r="AU462" s="546" t="str">
        <f t="shared" si="224"/>
        <v>Ok</v>
      </c>
    </row>
    <row r="463" spans="1:47" ht="14.25" hidden="1" customHeight="1" x14ac:dyDescent="0.15">
      <c r="A463" s="575">
        <v>44631</v>
      </c>
      <c r="B463" s="523">
        <v>32</v>
      </c>
      <c r="C463" s="523">
        <v>461</v>
      </c>
      <c r="D463" s="523">
        <v>3</v>
      </c>
      <c r="E463" s="579" t="s">
        <v>1274</v>
      </c>
      <c r="F463" s="580">
        <v>500000</v>
      </c>
      <c r="G463" s="524">
        <v>5</v>
      </c>
      <c r="H463" s="555">
        <v>6.5000000000000002E-2</v>
      </c>
      <c r="I463" s="560" t="s">
        <v>859</v>
      </c>
      <c r="J463" s="523" t="s">
        <v>862</v>
      </c>
      <c r="K463" s="528" t="str">
        <f>IFERROR(VLOOKUP($B463,'Clients-Live'!$A:$C,3,0),"")</f>
        <v>BAKO LINA ESERU</v>
      </c>
      <c r="L463" s="528">
        <f>IF(E463="STL",Pricing!$D$38,IF(A463="",0,IF(A463&lt;Pricing!$C$25,Pricing!$D$25,VLOOKUP(Disbursements!$F463,Pricing!$B$29:$D$32,3))))</f>
        <v>15000</v>
      </c>
      <c r="M463" s="528">
        <f>IF(E463="STL",0,IF(F463&gt;0,Pricing!$D$21,0))</f>
        <v>5000</v>
      </c>
      <c r="N463" s="529">
        <f>IF(E463="STL",F463*Pricing!$D$40,IF(A463&lt;=Pricing!$C$4,0,IF(AND(A463&gt;Pricing!$C$4,Disbursements!A463&lt;=Pricing!$C$5),F463*Pricing!$E$5,IF(AND(A463&gt;Pricing!$C$5,Disbursements!A463&lt;=Pricing!$C$7),VLOOKUP(F463,Pricing!$D$7:$E$8,2)*Disbursements!F463,F463*Pricing!$E$9))))</f>
        <v>10000</v>
      </c>
      <c r="O463" s="528">
        <f>IF(E463="STL",0,IF($F463&gt;0,$F463*Pricing!$D$17,0))</f>
        <v>50000</v>
      </c>
      <c r="P463" s="530">
        <f t="shared" si="204"/>
        <v>162500</v>
      </c>
      <c r="Q463" s="531">
        <f>IF($A463="","",$G463/VLOOKUP($I463,Ref!$B$23:$D$29,2,0))</f>
        <v>5</v>
      </c>
      <c r="R463" s="530">
        <f t="shared" si="205"/>
        <v>662500</v>
      </c>
      <c r="S463" s="532">
        <f t="shared" si="199"/>
        <v>132500</v>
      </c>
      <c r="T463" s="531">
        <f t="shared" si="206"/>
        <v>133000</v>
      </c>
      <c r="U463" s="533">
        <f t="shared" si="207"/>
        <v>665000</v>
      </c>
      <c r="V463" s="531">
        <f t="shared" si="208"/>
        <v>100000</v>
      </c>
      <c r="W463" s="531">
        <f t="shared" si="209"/>
        <v>33000</v>
      </c>
      <c r="X463" s="534">
        <f t="shared" si="210"/>
        <v>165000</v>
      </c>
      <c r="Y463" s="535">
        <f>IF($A463="","",IF($I463="weekly",$A463+7,EDATE($A463,VLOOKUP($I463,Ref!$B$24:$C$29,2,0))))</f>
        <v>44662</v>
      </c>
      <c r="Z463" s="536" t="str">
        <f t="shared" si="211"/>
        <v>Mon</v>
      </c>
      <c r="AA463" s="531">
        <f t="shared" si="212"/>
        <v>31</v>
      </c>
      <c r="AB463" s="535">
        <f t="shared" si="200"/>
        <v>44784</v>
      </c>
      <c r="AC463" s="537">
        <f t="shared" si="201"/>
        <v>153</v>
      </c>
      <c r="AD463" s="538" t="str">
        <f t="shared" ca="1" si="202"/>
        <v>Expired</v>
      </c>
      <c r="AE463" s="537">
        <f t="shared" ca="1" si="203"/>
        <v>0</v>
      </c>
      <c r="AF463" s="539">
        <f t="shared" ca="1" si="213"/>
        <v>5</v>
      </c>
      <c r="AG463" s="531">
        <f t="shared" ca="1" si="214"/>
        <v>665000</v>
      </c>
      <c r="AH463" s="531">
        <f t="shared" ca="1" si="215"/>
        <v>165000</v>
      </c>
      <c r="AI463" s="531">
        <f t="shared" ca="1" si="216"/>
        <v>500000</v>
      </c>
      <c r="AJ463" s="531">
        <f t="shared" ca="1" si="217"/>
        <v>0</v>
      </c>
      <c r="AK463" s="540">
        <f>SUMIFS('Live Collections'!$S:$S,'Live Collections'!$D:$D,Disbursements!B463,'Live Collections'!$G:$G,Disbursements!C463)</f>
        <v>66000</v>
      </c>
      <c r="AL463" s="540">
        <f>SUMIFS('Live Collections'!$T:$T,'Live Collections'!$D:$D,Disbursements!B463,'Live Collections'!$G:$G,Disbursements!C463)</f>
        <v>166500</v>
      </c>
      <c r="AM463" s="541">
        <f t="shared" si="218"/>
        <v>232500</v>
      </c>
      <c r="AN463" s="542">
        <f t="shared" si="219"/>
        <v>99000</v>
      </c>
      <c r="AO463" s="542">
        <f t="shared" si="220"/>
        <v>333500</v>
      </c>
      <c r="AP463" s="543">
        <f t="shared" si="221"/>
        <v>432500</v>
      </c>
      <c r="AQ463" s="544">
        <f t="shared" ca="1" si="222"/>
        <v>432500</v>
      </c>
      <c r="AR463" s="545">
        <f t="shared" ca="1" si="223"/>
        <v>3.2518796992481205</v>
      </c>
      <c r="AS463" s="545">
        <f ca="1">IFERROR(CEILING($AR463*VLOOKUP($I463,Ref!$B$23:$E$29,4,0),1),0)</f>
        <v>98</v>
      </c>
      <c r="AT463" s="545" t="str">
        <f ca="1">IF(A463="","",IF(AP463&lt;=1,"Cleared",IF(AS463=0,"Clean",VLOOKUP($AS463,Ref!$G$23:$H$28,2))))</f>
        <v>4.(91-365) Days</v>
      </c>
      <c r="AU463" s="546" t="str">
        <f t="shared" si="224"/>
        <v>Ok</v>
      </c>
    </row>
    <row r="464" spans="1:47" ht="14.25" customHeight="1" x14ac:dyDescent="0.15">
      <c r="A464" s="575">
        <v>44631</v>
      </c>
      <c r="B464" s="523">
        <v>330</v>
      </c>
      <c r="C464" s="523">
        <v>462</v>
      </c>
      <c r="D464" s="523">
        <v>1</v>
      </c>
      <c r="E464" s="579" t="s">
        <v>1274</v>
      </c>
      <c r="F464" s="580">
        <v>350000</v>
      </c>
      <c r="G464" s="524">
        <v>3</v>
      </c>
      <c r="H464" s="555">
        <v>6.5000000000000002E-2</v>
      </c>
      <c r="I464" s="560" t="s">
        <v>859</v>
      </c>
      <c r="J464" s="523" t="s">
        <v>864</v>
      </c>
      <c r="K464" s="528" t="str">
        <f>IFERROR(VLOOKUP($B464,'Clients-Live'!$A:$C,3,0),"")</f>
        <v>BACIA AISHA</v>
      </c>
      <c r="L464" s="528">
        <f>IF(E464="STL",Pricing!$D$38,IF(A464="",0,IF(A464&lt;Pricing!$C$25,Pricing!$D$25,VLOOKUP(Disbursements!$F464,Pricing!$B$29:$D$32,3))))</f>
        <v>15000</v>
      </c>
      <c r="M464" s="528">
        <f>IF(E464="STL",0,IF(F464&gt;0,Pricing!$D$21,0))</f>
        <v>5000</v>
      </c>
      <c r="N464" s="529">
        <f>IF(E464="STL",F464*Pricing!$D$40,IF(A464&lt;=Pricing!$C$4,0,IF(AND(A464&gt;Pricing!$C$4,Disbursements!A464&lt;=Pricing!$C$5),F464*Pricing!$E$5,IF(AND(A464&gt;Pricing!$C$5,Disbursements!A464&lt;=Pricing!$C$7),VLOOKUP(F464,Pricing!$D$7:$E$8,2)*Disbursements!F464,F464*Pricing!$E$9))))</f>
        <v>7000</v>
      </c>
      <c r="O464" s="528">
        <f>IF(E464="STL",0,IF($F464&gt;0,$F464*Pricing!$D$17,0))</f>
        <v>35000</v>
      </c>
      <c r="P464" s="530">
        <f t="shared" si="204"/>
        <v>68250</v>
      </c>
      <c r="Q464" s="531">
        <f>IF($A464="","",$G464/VLOOKUP($I464,Ref!$B$23:$D$29,2,0))</f>
        <v>3</v>
      </c>
      <c r="R464" s="530">
        <f t="shared" si="205"/>
        <v>418250</v>
      </c>
      <c r="S464" s="532">
        <f t="shared" si="199"/>
        <v>139416.66666666666</v>
      </c>
      <c r="T464" s="531">
        <f t="shared" si="206"/>
        <v>140000</v>
      </c>
      <c r="U464" s="533">
        <f t="shared" si="207"/>
        <v>420000</v>
      </c>
      <c r="V464" s="531">
        <f t="shared" si="208"/>
        <v>116666.66666666667</v>
      </c>
      <c r="W464" s="531">
        <f t="shared" si="209"/>
        <v>23333.333333333328</v>
      </c>
      <c r="X464" s="534">
        <f t="shared" si="210"/>
        <v>69999.999999999985</v>
      </c>
      <c r="Y464" s="535">
        <f>IF($A464="","",IF($I464="weekly",$A464+7,EDATE($A464,VLOOKUP($I464,Ref!$B$24:$C$29,2,0))))</f>
        <v>44662</v>
      </c>
      <c r="Z464" s="536" t="str">
        <f t="shared" si="211"/>
        <v>Mon</v>
      </c>
      <c r="AA464" s="531">
        <f t="shared" si="212"/>
        <v>31</v>
      </c>
      <c r="AB464" s="535">
        <f t="shared" si="200"/>
        <v>44723</v>
      </c>
      <c r="AC464" s="537">
        <f t="shared" si="201"/>
        <v>92</v>
      </c>
      <c r="AD464" s="538" t="str">
        <f t="shared" ca="1" si="202"/>
        <v>Expired</v>
      </c>
      <c r="AE464" s="537">
        <f t="shared" ca="1" si="203"/>
        <v>0</v>
      </c>
      <c r="AF464" s="539">
        <f t="shared" ca="1" si="213"/>
        <v>3</v>
      </c>
      <c r="AG464" s="531">
        <f t="shared" ca="1" si="214"/>
        <v>420000</v>
      </c>
      <c r="AH464" s="531">
        <f t="shared" ca="1" si="215"/>
        <v>69999.999999999985</v>
      </c>
      <c r="AI464" s="531">
        <f t="shared" ca="1" si="216"/>
        <v>350000</v>
      </c>
      <c r="AJ464" s="531">
        <f t="shared" ca="1" si="217"/>
        <v>0</v>
      </c>
      <c r="AK464" s="540">
        <f>SUMIFS('Live Collections'!$S:$S,'Live Collections'!$D:$D,Disbursements!B464,'Live Collections'!$G:$G,Disbursements!C464)</f>
        <v>69999.999999999985</v>
      </c>
      <c r="AL464" s="540">
        <f>SUMIFS('Live Collections'!$T:$T,'Live Collections'!$D:$D,Disbursements!B464,'Live Collections'!$G:$G,Disbursements!C464)</f>
        <v>348300</v>
      </c>
      <c r="AM464" s="541">
        <f t="shared" si="218"/>
        <v>418300</v>
      </c>
      <c r="AN464" s="542">
        <f t="shared" si="219"/>
        <v>0</v>
      </c>
      <c r="AO464" s="542">
        <f t="shared" si="220"/>
        <v>1700</v>
      </c>
      <c r="AP464" s="543">
        <f t="shared" si="221"/>
        <v>1700</v>
      </c>
      <c r="AQ464" s="544">
        <f t="shared" ca="1" si="222"/>
        <v>1700</v>
      </c>
      <c r="AR464" s="545">
        <f t="shared" ca="1" si="223"/>
        <v>1.2142857142857143E-2</v>
      </c>
      <c r="AS464" s="545">
        <f ca="1">IFERROR(CEILING($AR464*VLOOKUP($I464,Ref!$B$23:$E$29,4,0),1),0)</f>
        <v>1</v>
      </c>
      <c r="AT464" s="545" t="str">
        <f ca="1">IF(A464="","",IF(AP464&lt;=1,"Cleared",IF(AS464=0,"Clean",VLOOKUP($AS464,Ref!$G$23:$H$28,2))))</f>
        <v>1.(0-30) Days</v>
      </c>
      <c r="AU464" s="546" t="str">
        <f t="shared" si="224"/>
        <v>Ok</v>
      </c>
    </row>
    <row r="465" spans="1:47" ht="14.25" customHeight="1" x14ac:dyDescent="0.15">
      <c r="A465" s="575">
        <v>44631</v>
      </c>
      <c r="B465" s="523">
        <v>128</v>
      </c>
      <c r="C465" s="523">
        <v>463</v>
      </c>
      <c r="D465" s="523">
        <v>3</v>
      </c>
      <c r="E465" s="579" t="s">
        <v>1274</v>
      </c>
      <c r="F465" s="580">
        <v>250000</v>
      </c>
      <c r="G465" s="524">
        <v>3</v>
      </c>
      <c r="H465" s="555">
        <v>6.5000000000000002E-2</v>
      </c>
      <c r="I465" s="560" t="s">
        <v>861</v>
      </c>
      <c r="J465" s="523" t="s">
        <v>862</v>
      </c>
      <c r="K465" s="528" t="str">
        <f>IFERROR(VLOOKUP($B465,'Clients-Live'!$A:$C,3,0),"")</f>
        <v>AJONYE BETTY</v>
      </c>
      <c r="L465" s="528">
        <f>IF(E465="STL",Pricing!$D$38,IF(A465="",0,IF(A465&lt;Pricing!$C$25,Pricing!$D$25,VLOOKUP(Disbursements!$F465,Pricing!$B$29:$D$32,3))))</f>
        <v>15000</v>
      </c>
      <c r="M465" s="528">
        <f>IF(E465="STL",0,IF(F465&gt;0,Pricing!$D$21,0))</f>
        <v>5000</v>
      </c>
      <c r="N465" s="529">
        <f>IF(E465="STL",F465*Pricing!$D$40,IF(A465&lt;=Pricing!$C$4,0,IF(AND(A465&gt;Pricing!$C$4,Disbursements!A465&lt;=Pricing!$C$5),F465*Pricing!$E$5,IF(AND(A465&gt;Pricing!$C$5,Disbursements!A465&lt;=Pricing!$C$7),VLOOKUP(F465,Pricing!$D$7:$E$8,2)*Disbursements!F465,F465*Pricing!$E$9))))</f>
        <v>5000</v>
      </c>
      <c r="O465" s="528">
        <f>IF(E465="STL",0,IF($F465&gt;0,$F465*Pricing!$D$17,0))</f>
        <v>25000</v>
      </c>
      <c r="P465" s="530">
        <f t="shared" si="204"/>
        <v>48750</v>
      </c>
      <c r="Q465" s="531">
        <f>IF($A465="","",$G465/VLOOKUP($I465,Ref!$B$23:$D$29,2,0))</f>
        <v>12</v>
      </c>
      <c r="R465" s="530">
        <f t="shared" si="205"/>
        <v>298750</v>
      </c>
      <c r="S465" s="532">
        <f t="shared" si="199"/>
        <v>24895.833333333332</v>
      </c>
      <c r="T465" s="531">
        <f t="shared" si="206"/>
        <v>25000</v>
      </c>
      <c r="U465" s="533">
        <f t="shared" si="207"/>
        <v>300000</v>
      </c>
      <c r="V465" s="531">
        <f t="shared" si="208"/>
        <v>20833.333333333332</v>
      </c>
      <c r="W465" s="531">
        <f t="shared" si="209"/>
        <v>4166.6666666666679</v>
      </c>
      <c r="X465" s="534">
        <f t="shared" si="210"/>
        <v>50000.000000000015</v>
      </c>
      <c r="Y465" s="535">
        <f>IF($A465="","",IF($I465="weekly",$A465+7,EDATE($A465,VLOOKUP($I465,Ref!$B$24:$C$29,2,0))))</f>
        <v>44638</v>
      </c>
      <c r="Z465" s="536" t="str">
        <f t="shared" si="211"/>
        <v>Frid</v>
      </c>
      <c r="AA465" s="531">
        <f t="shared" si="212"/>
        <v>7</v>
      </c>
      <c r="AB465" s="535">
        <f t="shared" si="200"/>
        <v>44723</v>
      </c>
      <c r="AC465" s="537">
        <f t="shared" si="201"/>
        <v>92</v>
      </c>
      <c r="AD465" s="538" t="str">
        <f t="shared" ca="1" si="202"/>
        <v>Expired</v>
      </c>
      <c r="AE465" s="537">
        <f t="shared" ca="1" si="203"/>
        <v>0</v>
      </c>
      <c r="AF465" s="539">
        <f t="shared" ca="1" si="213"/>
        <v>12</v>
      </c>
      <c r="AG465" s="531">
        <f t="shared" ca="1" si="214"/>
        <v>300000</v>
      </c>
      <c r="AH465" s="531">
        <f t="shared" ca="1" si="215"/>
        <v>50000.000000000015</v>
      </c>
      <c r="AI465" s="531">
        <f t="shared" ca="1" si="216"/>
        <v>250000</v>
      </c>
      <c r="AJ465" s="531">
        <f t="shared" ca="1" si="217"/>
        <v>0</v>
      </c>
      <c r="AK465" s="540">
        <f>SUMIFS('Live Collections'!$S:$S,'Live Collections'!$D:$D,Disbursements!B465,'Live Collections'!$G:$G,Disbursements!C465)</f>
        <v>33333.333333333343</v>
      </c>
      <c r="AL465" s="540">
        <f>SUMIFS('Live Collections'!$T:$T,'Live Collections'!$D:$D,Disbursements!B465,'Live Collections'!$G:$G,Disbursements!C465)</f>
        <v>186666.66666666669</v>
      </c>
      <c r="AM465" s="541">
        <f t="shared" si="218"/>
        <v>220000.00000000003</v>
      </c>
      <c r="AN465" s="542">
        <f t="shared" si="219"/>
        <v>16666.666666666672</v>
      </c>
      <c r="AO465" s="542">
        <f t="shared" si="220"/>
        <v>63333.333333333314</v>
      </c>
      <c r="AP465" s="543">
        <f t="shared" si="221"/>
        <v>79999.999999999985</v>
      </c>
      <c r="AQ465" s="544">
        <f t="shared" ca="1" si="222"/>
        <v>79999.999999999985</v>
      </c>
      <c r="AR465" s="545">
        <f t="shared" ca="1" si="223"/>
        <v>3.1999999999999993</v>
      </c>
      <c r="AS465" s="545">
        <f ca="1">IFERROR(CEILING($AR465*VLOOKUP($I465,Ref!$B$23:$E$29,4,0),1),0)</f>
        <v>23</v>
      </c>
      <c r="AT465" s="545" t="str">
        <f ca="1">IF(A465="","",IF(AP465&lt;=1,"Cleared",IF(AS465=0,"Clean",VLOOKUP($AS465,Ref!$G$23:$H$28,2))))</f>
        <v>1.(0-30) Days</v>
      </c>
      <c r="AU465" s="546" t="str">
        <f t="shared" si="224"/>
        <v>Ok</v>
      </c>
    </row>
    <row r="466" spans="1:47" ht="14.25" hidden="1" customHeight="1" x14ac:dyDescent="0.15">
      <c r="A466" s="575">
        <v>44631</v>
      </c>
      <c r="B466" s="523">
        <v>94</v>
      </c>
      <c r="C466" s="523">
        <v>464</v>
      </c>
      <c r="D466" s="523">
        <v>3</v>
      </c>
      <c r="E466" s="579" t="s">
        <v>1274</v>
      </c>
      <c r="F466" s="580">
        <v>300000</v>
      </c>
      <c r="G466" s="524">
        <v>4</v>
      </c>
      <c r="H466" s="555">
        <v>6.5000000000000002E-2</v>
      </c>
      <c r="I466" s="560" t="s">
        <v>859</v>
      </c>
      <c r="J466" s="523" t="s">
        <v>864</v>
      </c>
      <c r="K466" s="528" t="str">
        <f>IFERROR(VLOOKUP($B466,'Clients-Live'!$A:$C,3,0),"")</f>
        <v>NGINYA RICHARD</v>
      </c>
      <c r="L466" s="528">
        <f>IF(E466="STL",Pricing!$D$38,IF(A466="",0,IF(A466&lt;Pricing!$C$25,Pricing!$D$25,VLOOKUP(Disbursements!$F466,Pricing!$B$29:$D$32,3))))</f>
        <v>15000</v>
      </c>
      <c r="M466" s="528">
        <f>IF(E466="STL",0,IF(F466&gt;0,Pricing!$D$21,0))</f>
        <v>5000</v>
      </c>
      <c r="N466" s="529">
        <f>IF(E466="STL",F466*Pricing!$D$40,IF(A466&lt;=Pricing!$C$4,0,IF(AND(A466&gt;Pricing!$C$4,Disbursements!A466&lt;=Pricing!$C$5),F466*Pricing!$E$5,IF(AND(A466&gt;Pricing!$C$5,Disbursements!A466&lt;=Pricing!$C$7),VLOOKUP(F466,Pricing!$D$7:$E$8,2)*Disbursements!F466,F466*Pricing!$E$9))))</f>
        <v>6000</v>
      </c>
      <c r="O466" s="528">
        <f>IF(E466="STL",0,IF($F466&gt;0,$F466*Pricing!$D$17,0))</f>
        <v>30000</v>
      </c>
      <c r="P466" s="530">
        <f t="shared" si="204"/>
        <v>78000</v>
      </c>
      <c r="Q466" s="531">
        <f>IF($A466="","",$G466/VLOOKUP($I466,Ref!$B$23:$D$29,2,0))</f>
        <v>4</v>
      </c>
      <c r="R466" s="530">
        <f t="shared" si="205"/>
        <v>378000</v>
      </c>
      <c r="S466" s="532">
        <f t="shared" si="199"/>
        <v>94500</v>
      </c>
      <c r="T466" s="531">
        <f t="shared" si="206"/>
        <v>95000</v>
      </c>
      <c r="U466" s="533">
        <f t="shared" si="207"/>
        <v>380000</v>
      </c>
      <c r="V466" s="531">
        <f t="shared" si="208"/>
        <v>75000</v>
      </c>
      <c r="W466" s="531">
        <f t="shared" si="209"/>
        <v>20000</v>
      </c>
      <c r="X466" s="534">
        <f t="shared" si="210"/>
        <v>80000</v>
      </c>
      <c r="Y466" s="535">
        <f>IF($A466="","",IF($I466="weekly",$A466+7,EDATE($A466,VLOOKUP($I466,Ref!$B$24:$C$29,2,0))))</f>
        <v>44662</v>
      </c>
      <c r="Z466" s="536" t="str">
        <f t="shared" si="211"/>
        <v>Mon</v>
      </c>
      <c r="AA466" s="531">
        <f t="shared" si="212"/>
        <v>31</v>
      </c>
      <c r="AB466" s="535">
        <f t="shared" si="200"/>
        <v>44753</v>
      </c>
      <c r="AC466" s="537">
        <f t="shared" si="201"/>
        <v>122</v>
      </c>
      <c r="AD466" s="538" t="str">
        <f t="shared" ca="1" si="202"/>
        <v>Expired</v>
      </c>
      <c r="AE466" s="537">
        <f t="shared" ca="1" si="203"/>
        <v>0</v>
      </c>
      <c r="AF466" s="539">
        <f t="shared" ca="1" si="213"/>
        <v>4</v>
      </c>
      <c r="AG466" s="531">
        <f t="shared" ca="1" si="214"/>
        <v>380000</v>
      </c>
      <c r="AH466" s="531">
        <f t="shared" ca="1" si="215"/>
        <v>80000</v>
      </c>
      <c r="AI466" s="531">
        <f t="shared" ca="1" si="216"/>
        <v>300000</v>
      </c>
      <c r="AJ466" s="531">
        <f t="shared" ca="1" si="217"/>
        <v>0</v>
      </c>
      <c r="AK466" s="540">
        <f>SUMIFS('Live Collections'!$S:$S,'Live Collections'!$D:$D,Disbursements!B466,'Live Collections'!$G:$G,Disbursements!C466)</f>
        <v>40000</v>
      </c>
      <c r="AL466" s="540">
        <f>SUMIFS('Live Collections'!$T:$T,'Live Collections'!$D:$D,Disbursements!B466,'Live Collections'!$G:$G,Disbursements!C466)</f>
        <v>149000</v>
      </c>
      <c r="AM466" s="541">
        <f t="shared" si="218"/>
        <v>189000</v>
      </c>
      <c r="AN466" s="542">
        <f t="shared" si="219"/>
        <v>40000</v>
      </c>
      <c r="AO466" s="542">
        <f t="shared" si="220"/>
        <v>151000</v>
      </c>
      <c r="AP466" s="543">
        <f t="shared" si="221"/>
        <v>191000</v>
      </c>
      <c r="AQ466" s="544">
        <f t="shared" ca="1" si="222"/>
        <v>191000</v>
      </c>
      <c r="AR466" s="545">
        <f t="shared" ca="1" si="223"/>
        <v>2.0105263157894737</v>
      </c>
      <c r="AS466" s="545">
        <f ca="1">IFERROR(CEILING($AR466*VLOOKUP($I466,Ref!$B$23:$E$29,4,0),1),0)</f>
        <v>61</v>
      </c>
      <c r="AT466" s="545" t="str">
        <f ca="1">IF(A466="","",IF(AP466&lt;=1,"Cleared",IF(AS466=0,"Clean",VLOOKUP($AS466,Ref!$G$23:$H$28,2))))</f>
        <v>3.(61-90) Days</v>
      </c>
      <c r="AU466" s="546" t="str">
        <f t="shared" si="224"/>
        <v>Ok</v>
      </c>
    </row>
    <row r="467" spans="1:47" ht="14.25" customHeight="1" x14ac:dyDescent="0.15">
      <c r="A467" s="575">
        <v>44631</v>
      </c>
      <c r="B467" s="523">
        <v>336</v>
      </c>
      <c r="C467" s="523">
        <v>465</v>
      </c>
      <c r="D467" s="523">
        <v>1</v>
      </c>
      <c r="E467" s="579" t="s">
        <v>1275</v>
      </c>
      <c r="F467" s="580">
        <v>2000000</v>
      </c>
      <c r="G467" s="524">
        <v>2</v>
      </c>
      <c r="H467" s="555">
        <v>7.4999999999999997E-2</v>
      </c>
      <c r="I467" s="560" t="s">
        <v>859</v>
      </c>
      <c r="J467" s="523" t="s">
        <v>863</v>
      </c>
      <c r="K467" s="528" t="str">
        <f>IFERROR(VLOOKUP($B467,'Clients-Live'!$A:$C,3,0),"")</f>
        <v>BONGO PATRICK NAMISI</v>
      </c>
      <c r="L467" s="528">
        <f>IF(E467="STL",Pricing!$D$38,IF(A467="",0,IF(A467&lt;Pricing!$C$25,Pricing!$D$25,VLOOKUP(Disbursements!$F467,Pricing!$B$29:$D$32,3))))</f>
        <v>25000</v>
      </c>
      <c r="M467" s="528">
        <f>IF(E467="STL",0,IF(F467&gt;0,Pricing!$D$21,0))</f>
        <v>5000</v>
      </c>
      <c r="N467" s="529">
        <f>IF(E467="STL",F467*Pricing!$D$40,IF(A467&lt;=Pricing!$C$4,0,IF(AND(A467&gt;Pricing!$C$4,Disbursements!A467&lt;=Pricing!$C$5),F467*Pricing!$E$5,IF(AND(A467&gt;Pricing!$C$5,Disbursements!A467&lt;=Pricing!$C$7),VLOOKUP(F467,Pricing!$D$7:$E$8,2)*Disbursements!F467,F467*Pricing!$E$9))))</f>
        <v>40000</v>
      </c>
      <c r="O467" s="528">
        <f>IF(E467="STL",0,IF($F467&gt;0,$F467*Pricing!$D$17,0))</f>
        <v>200000</v>
      </c>
      <c r="P467" s="530">
        <f t="shared" si="204"/>
        <v>300000</v>
      </c>
      <c r="Q467" s="531">
        <f>IF($A467="","",$G467/VLOOKUP($I467,Ref!$B$23:$D$29,2,0))</f>
        <v>2</v>
      </c>
      <c r="R467" s="530">
        <f t="shared" si="205"/>
        <v>2300000</v>
      </c>
      <c r="S467" s="532">
        <f t="shared" si="199"/>
        <v>1150000</v>
      </c>
      <c r="T467" s="531">
        <f t="shared" si="206"/>
        <v>1150000</v>
      </c>
      <c r="U467" s="533">
        <f t="shared" si="207"/>
        <v>2300000</v>
      </c>
      <c r="V467" s="531">
        <f t="shared" si="208"/>
        <v>1000000</v>
      </c>
      <c r="W467" s="531">
        <f t="shared" si="209"/>
        <v>150000</v>
      </c>
      <c r="X467" s="534">
        <f t="shared" si="210"/>
        <v>300000</v>
      </c>
      <c r="Y467" s="535">
        <f>IF($A467="","",IF($I467="weekly",$A467+7,EDATE($A467,VLOOKUP($I467,Ref!$B$24:$C$29,2,0))))</f>
        <v>44662</v>
      </c>
      <c r="Z467" s="536" t="str">
        <f t="shared" si="211"/>
        <v>Mon</v>
      </c>
      <c r="AA467" s="531">
        <f t="shared" si="212"/>
        <v>31</v>
      </c>
      <c r="AB467" s="535">
        <f t="shared" si="200"/>
        <v>44692</v>
      </c>
      <c r="AC467" s="537">
        <f t="shared" si="201"/>
        <v>61</v>
      </c>
      <c r="AD467" s="538" t="str">
        <f t="shared" ca="1" si="202"/>
        <v>Expired</v>
      </c>
      <c r="AE467" s="537">
        <f t="shared" ca="1" si="203"/>
        <v>0</v>
      </c>
      <c r="AF467" s="539">
        <f t="shared" ca="1" si="213"/>
        <v>2</v>
      </c>
      <c r="AG467" s="531">
        <f t="shared" ca="1" si="214"/>
        <v>2300000</v>
      </c>
      <c r="AH467" s="531">
        <f t="shared" ca="1" si="215"/>
        <v>300000</v>
      </c>
      <c r="AI467" s="531">
        <f t="shared" ca="1" si="216"/>
        <v>2000000</v>
      </c>
      <c r="AJ467" s="531">
        <f t="shared" ca="1" si="217"/>
        <v>0</v>
      </c>
      <c r="AK467" s="540">
        <f>SUMIFS('Live Collections'!$S:$S,'Live Collections'!$D:$D,Disbursements!B467,'Live Collections'!$G:$G,Disbursements!C467)</f>
        <v>300000</v>
      </c>
      <c r="AL467" s="540">
        <f>SUMIFS('Live Collections'!$T:$T,'Live Collections'!$D:$D,Disbursements!B467,'Live Collections'!$G:$G,Disbursements!C467)</f>
        <v>2000000</v>
      </c>
      <c r="AM467" s="541">
        <f t="shared" si="218"/>
        <v>2300000</v>
      </c>
      <c r="AN467" s="542">
        <f t="shared" si="219"/>
        <v>0</v>
      </c>
      <c r="AO467" s="542">
        <f t="shared" si="220"/>
        <v>0</v>
      </c>
      <c r="AP467" s="543">
        <f t="shared" si="221"/>
        <v>0</v>
      </c>
      <c r="AQ467" s="544" t="str">
        <f t="shared" ca="1" si="222"/>
        <v/>
      </c>
      <c r="AR467" s="545">
        <f t="shared" ca="1" si="223"/>
        <v>0</v>
      </c>
      <c r="AS467" s="545">
        <f ca="1">IFERROR(CEILING($AR467*VLOOKUP($I467,Ref!$B$23:$E$29,4,0),1),0)</f>
        <v>0</v>
      </c>
      <c r="AT467" s="545" t="str">
        <f>IF(A467="","",IF(AP467&lt;=1,"Cleared",IF(AS467=0,"Clean",VLOOKUP($AS467,Ref!$G$23:$H$28,2))))</f>
        <v>Cleared</v>
      </c>
      <c r="AU467" s="546" t="str">
        <f t="shared" si="224"/>
        <v>Ok</v>
      </c>
    </row>
    <row r="468" spans="1:47" ht="14.25" hidden="1" customHeight="1" x14ac:dyDescent="0.15">
      <c r="A468" s="575">
        <v>44632</v>
      </c>
      <c r="B468" s="523">
        <v>175</v>
      </c>
      <c r="C468" s="523">
        <v>466</v>
      </c>
      <c r="D468" s="523">
        <v>3</v>
      </c>
      <c r="E468" s="579" t="s">
        <v>1274</v>
      </c>
      <c r="F468" s="580">
        <v>400000</v>
      </c>
      <c r="G468" s="524">
        <v>4</v>
      </c>
      <c r="H468" s="555">
        <v>6.5000000000000002E-2</v>
      </c>
      <c r="I468" s="560" t="s">
        <v>861</v>
      </c>
      <c r="J468" s="523" t="s">
        <v>863</v>
      </c>
      <c r="K468" s="528" t="str">
        <f>IFERROR(VLOOKUP($B468,'Clients-Live'!$A:$C,3,0),"")</f>
        <v>ZUBEDA WAIGA</v>
      </c>
      <c r="L468" s="528">
        <f>IF(E468="STL",Pricing!$D$38,IF(A468="",0,IF(A468&lt;Pricing!$C$25,Pricing!$D$25,VLOOKUP(Disbursements!$F468,Pricing!$B$29:$D$32,3))))</f>
        <v>15000</v>
      </c>
      <c r="M468" s="528">
        <f>IF(E468="STL",0,IF(F468&gt;0,Pricing!$D$21,0))</f>
        <v>5000</v>
      </c>
      <c r="N468" s="529">
        <f>IF(E468="STL",F468*Pricing!$D$40,IF(A468&lt;=Pricing!$C$4,0,IF(AND(A468&gt;Pricing!$C$4,Disbursements!A468&lt;=Pricing!$C$5),F468*Pricing!$E$5,IF(AND(A468&gt;Pricing!$C$5,Disbursements!A468&lt;=Pricing!$C$7),VLOOKUP(F468,Pricing!$D$7:$E$8,2)*Disbursements!F468,F468*Pricing!$E$9))))</f>
        <v>8000</v>
      </c>
      <c r="O468" s="528">
        <f>IF(E468="STL",0,IF($F468&gt;0,$F468*Pricing!$D$17,0))</f>
        <v>40000</v>
      </c>
      <c r="P468" s="530">
        <f t="shared" si="204"/>
        <v>104000</v>
      </c>
      <c r="Q468" s="531">
        <f>IF($A468="","",$G468/VLOOKUP($I468,Ref!$B$23:$D$29,2,0))</f>
        <v>16</v>
      </c>
      <c r="R468" s="530">
        <f t="shared" si="205"/>
        <v>504000</v>
      </c>
      <c r="S468" s="532">
        <f t="shared" si="199"/>
        <v>31500</v>
      </c>
      <c r="T468" s="531">
        <f t="shared" si="206"/>
        <v>32000</v>
      </c>
      <c r="U468" s="533">
        <f t="shared" si="207"/>
        <v>512000</v>
      </c>
      <c r="V468" s="531">
        <f t="shared" si="208"/>
        <v>25000</v>
      </c>
      <c r="W468" s="531">
        <f t="shared" si="209"/>
        <v>7000</v>
      </c>
      <c r="X468" s="534">
        <f t="shared" si="210"/>
        <v>112000</v>
      </c>
      <c r="Y468" s="535">
        <f>IF($A468="","",IF($I468="weekly",$A468+7,EDATE($A468,VLOOKUP($I468,Ref!$B$24:$C$29,2,0))))</f>
        <v>44639</v>
      </c>
      <c r="Z468" s="536" t="str">
        <f t="shared" si="211"/>
        <v>Sat</v>
      </c>
      <c r="AA468" s="531">
        <f t="shared" si="212"/>
        <v>7</v>
      </c>
      <c r="AB468" s="535">
        <f t="shared" si="200"/>
        <v>44754</v>
      </c>
      <c r="AC468" s="537">
        <f t="shared" si="201"/>
        <v>122</v>
      </c>
      <c r="AD468" s="538" t="str">
        <f t="shared" ca="1" si="202"/>
        <v>Expired</v>
      </c>
      <c r="AE468" s="537">
        <f t="shared" ca="1" si="203"/>
        <v>0</v>
      </c>
      <c r="AF468" s="539">
        <f t="shared" ca="1" si="213"/>
        <v>16</v>
      </c>
      <c r="AG468" s="531">
        <f t="shared" ca="1" si="214"/>
        <v>512000</v>
      </c>
      <c r="AH468" s="531">
        <f t="shared" ca="1" si="215"/>
        <v>112000</v>
      </c>
      <c r="AI468" s="531">
        <f t="shared" ca="1" si="216"/>
        <v>400000</v>
      </c>
      <c r="AJ468" s="531">
        <f t="shared" ca="1" si="217"/>
        <v>0</v>
      </c>
      <c r="AK468" s="540">
        <f>SUMIFS('Live Collections'!$S:$S,'Live Collections'!$D:$D,Disbursements!B468,'Live Collections'!$G:$G,Disbursements!C468)</f>
        <v>28000</v>
      </c>
      <c r="AL468" s="540">
        <f>SUMIFS('Live Collections'!$T:$T,'Live Collections'!$D:$D,Disbursements!B468,'Live Collections'!$G:$G,Disbursements!C468)</f>
        <v>96500</v>
      </c>
      <c r="AM468" s="541">
        <f t="shared" si="218"/>
        <v>124500</v>
      </c>
      <c r="AN468" s="542">
        <f t="shared" si="219"/>
        <v>84000</v>
      </c>
      <c r="AO468" s="542">
        <f t="shared" si="220"/>
        <v>303500</v>
      </c>
      <c r="AP468" s="543">
        <f t="shared" si="221"/>
        <v>387500</v>
      </c>
      <c r="AQ468" s="544">
        <f t="shared" ca="1" si="222"/>
        <v>387500</v>
      </c>
      <c r="AR468" s="545">
        <f t="shared" ca="1" si="223"/>
        <v>12.109375</v>
      </c>
      <c r="AS468" s="545">
        <f ca="1">IFERROR(CEILING($AR468*VLOOKUP($I468,Ref!$B$23:$E$29,4,0),1),0)</f>
        <v>85</v>
      </c>
      <c r="AT468" s="545" t="str">
        <f ca="1">IF(A468="","",IF(AP468&lt;=1,"Cleared",IF(AS468=0,"Clean",VLOOKUP($AS468,Ref!$G$23:$H$28,2))))</f>
        <v>3.(61-90) Days</v>
      </c>
      <c r="AU468" s="546" t="str">
        <f t="shared" si="224"/>
        <v>Ok</v>
      </c>
    </row>
    <row r="469" spans="1:47" ht="14.25" customHeight="1" x14ac:dyDescent="0.15">
      <c r="A469" s="575">
        <v>44635</v>
      </c>
      <c r="B469" s="523">
        <v>335</v>
      </c>
      <c r="C469" s="523">
        <v>467</v>
      </c>
      <c r="D469" s="523">
        <v>1</v>
      </c>
      <c r="E469" s="579" t="s">
        <v>1276</v>
      </c>
      <c r="F469" s="580">
        <v>1500000</v>
      </c>
      <c r="G469" s="524">
        <v>3</v>
      </c>
      <c r="H469" s="555">
        <v>7.4999999999999997E-2</v>
      </c>
      <c r="I469" s="560" t="s">
        <v>859</v>
      </c>
      <c r="J469" s="523" t="s">
        <v>864</v>
      </c>
      <c r="K469" s="528" t="str">
        <f>IFERROR(VLOOKUP($B469,'Clients-Live'!$A:$C,3,0),"")</f>
        <v>FOGO FRANCIS DRANI</v>
      </c>
      <c r="L469" s="528">
        <f>IF(E469="STL",Pricing!$D$38,IF(A469="",0,IF(A469&lt;Pricing!$C$25,Pricing!$D$25,VLOOKUP(Disbursements!$F469,Pricing!$B$29:$D$32,3))))</f>
        <v>25000</v>
      </c>
      <c r="M469" s="528">
        <f>IF(E469="STL",0,IF(F469&gt;0,Pricing!$D$21,0))</f>
        <v>5000</v>
      </c>
      <c r="N469" s="529">
        <f>IF(E469="STL",F469*Pricing!$D$40,IF(A469&lt;=Pricing!$C$4,0,IF(AND(A469&gt;Pricing!$C$4,Disbursements!A469&lt;=Pricing!$C$5),F469*Pricing!$E$5,IF(AND(A469&gt;Pricing!$C$5,Disbursements!A469&lt;=Pricing!$C$7),VLOOKUP(F469,Pricing!$D$7:$E$8,2)*Disbursements!F469,F469*Pricing!$E$9))))</f>
        <v>30000</v>
      </c>
      <c r="O469" s="528">
        <f>IF(E469="STL",0,IF($F469&gt;0,$F469*Pricing!$D$17,0))</f>
        <v>150000</v>
      </c>
      <c r="P469" s="530">
        <f t="shared" si="204"/>
        <v>337500</v>
      </c>
      <c r="Q469" s="531">
        <f>IF($A469="","",$G469/VLOOKUP($I469,Ref!$B$23:$D$29,2,0))</f>
        <v>3</v>
      </c>
      <c r="R469" s="530">
        <f t="shared" si="205"/>
        <v>1837500</v>
      </c>
      <c r="S469" s="532">
        <f t="shared" si="199"/>
        <v>612500</v>
      </c>
      <c r="T469" s="531">
        <f t="shared" si="206"/>
        <v>613000</v>
      </c>
      <c r="U469" s="533">
        <f t="shared" si="207"/>
        <v>1839000</v>
      </c>
      <c r="V469" s="531">
        <f t="shared" si="208"/>
        <v>500000</v>
      </c>
      <c r="W469" s="531">
        <f t="shared" si="209"/>
        <v>113000</v>
      </c>
      <c r="X469" s="534">
        <f t="shared" si="210"/>
        <v>339000</v>
      </c>
      <c r="Y469" s="535">
        <f>IF($A469="","",IF($I469="weekly",$A469+7,EDATE($A469,VLOOKUP($I469,Ref!$B$24:$C$29,2,0))))</f>
        <v>44666</v>
      </c>
      <c r="Z469" s="536" t="str">
        <f t="shared" si="211"/>
        <v>Frid</v>
      </c>
      <c r="AA469" s="531">
        <f t="shared" si="212"/>
        <v>31</v>
      </c>
      <c r="AB469" s="535">
        <f t="shared" si="200"/>
        <v>44727</v>
      </c>
      <c r="AC469" s="537">
        <f t="shared" si="201"/>
        <v>92</v>
      </c>
      <c r="AD469" s="538" t="str">
        <f t="shared" ca="1" si="202"/>
        <v>Expired</v>
      </c>
      <c r="AE469" s="537">
        <f t="shared" ca="1" si="203"/>
        <v>0</v>
      </c>
      <c r="AF469" s="539">
        <f t="shared" ca="1" si="213"/>
        <v>3</v>
      </c>
      <c r="AG469" s="531">
        <f t="shared" ca="1" si="214"/>
        <v>1839000</v>
      </c>
      <c r="AH469" s="531">
        <f t="shared" ca="1" si="215"/>
        <v>339000</v>
      </c>
      <c r="AI469" s="531">
        <f t="shared" ca="1" si="216"/>
        <v>1500000</v>
      </c>
      <c r="AJ469" s="531">
        <f t="shared" ca="1" si="217"/>
        <v>0</v>
      </c>
      <c r="AK469" s="540">
        <f>SUMIFS('Live Collections'!$S:$S,'Live Collections'!$D:$D,Disbursements!B469,'Live Collections'!$G:$G,Disbursements!C469)</f>
        <v>313000</v>
      </c>
      <c r="AL469" s="540">
        <f>SUMIFS('Live Collections'!$T:$T,'Live Collections'!$D:$D,Disbursements!B469,'Live Collections'!$G:$G,Disbursements!C469)</f>
        <v>897000</v>
      </c>
      <c r="AM469" s="541">
        <f t="shared" si="218"/>
        <v>1210000</v>
      </c>
      <c r="AN469" s="542">
        <f t="shared" si="219"/>
        <v>26000</v>
      </c>
      <c r="AO469" s="542">
        <f t="shared" si="220"/>
        <v>603000</v>
      </c>
      <c r="AP469" s="543">
        <f t="shared" si="221"/>
        <v>629000</v>
      </c>
      <c r="AQ469" s="544">
        <f t="shared" ca="1" si="222"/>
        <v>629000</v>
      </c>
      <c r="AR469" s="545">
        <f t="shared" ca="1" si="223"/>
        <v>1.0261011419249593</v>
      </c>
      <c r="AS469" s="545">
        <f ca="1">IFERROR(CEILING($AR469*VLOOKUP($I469,Ref!$B$23:$E$29,4,0),1),0)</f>
        <v>31</v>
      </c>
      <c r="AT469" s="545" t="str">
        <f ca="1">IF(A469="","",IF(AP469&lt;=1,"Cleared",IF(AS469=0,"Clean",VLOOKUP($AS469,Ref!$G$23:$H$28,2))))</f>
        <v>2.(31-60) Days</v>
      </c>
      <c r="AU469" s="546" t="str">
        <f t="shared" si="224"/>
        <v>Ok</v>
      </c>
    </row>
    <row r="470" spans="1:47" ht="14.25" customHeight="1" x14ac:dyDescent="0.15">
      <c r="A470" s="575">
        <v>44636</v>
      </c>
      <c r="B470" s="523">
        <v>217</v>
      </c>
      <c r="C470" s="523">
        <v>468</v>
      </c>
      <c r="D470" s="523">
        <v>3</v>
      </c>
      <c r="E470" s="579" t="s">
        <v>1274</v>
      </c>
      <c r="F470" s="580">
        <v>150000</v>
      </c>
      <c r="G470" s="524">
        <v>2</v>
      </c>
      <c r="H470" s="555">
        <v>6.5000000000000002E-2</v>
      </c>
      <c r="I470" s="560" t="s">
        <v>859</v>
      </c>
      <c r="J470" s="523" t="s">
        <v>864</v>
      </c>
      <c r="K470" s="528" t="str">
        <f>IFERROR(VLOOKUP($B470,'Clients-Live'!$A:$C,3,0),"")</f>
        <v>JAMBA MOSES</v>
      </c>
      <c r="L470" s="528">
        <f>IF(E470="STL",Pricing!$D$38,IF(A470="",0,IF(A470&lt;Pricing!$C$25,Pricing!$D$25,VLOOKUP(Disbursements!$F470,Pricing!$B$29:$D$32,3))))</f>
        <v>15000</v>
      </c>
      <c r="M470" s="528">
        <f>IF(E470="STL",0,IF(F470&gt;0,Pricing!$D$21,0))</f>
        <v>5000</v>
      </c>
      <c r="N470" s="529">
        <f>IF(E470="STL",F470*Pricing!$D$40,IF(A470&lt;=Pricing!$C$4,0,IF(AND(A470&gt;Pricing!$C$4,Disbursements!A470&lt;=Pricing!$C$5),F470*Pricing!$E$5,IF(AND(A470&gt;Pricing!$C$5,Disbursements!A470&lt;=Pricing!$C$7),VLOOKUP(F470,Pricing!$D$7:$E$8,2)*Disbursements!F470,F470*Pricing!$E$9))))</f>
        <v>3000</v>
      </c>
      <c r="O470" s="528">
        <f>IF(E470="STL",0,IF($F470&gt;0,$F470*Pricing!$D$17,0))</f>
        <v>15000</v>
      </c>
      <c r="P470" s="530">
        <f t="shared" si="204"/>
        <v>19500</v>
      </c>
      <c r="Q470" s="531">
        <f>IF($A470="","",$G470/VLOOKUP($I470,Ref!$B$23:$D$29,2,0))</f>
        <v>2</v>
      </c>
      <c r="R470" s="530">
        <f t="shared" si="205"/>
        <v>169500</v>
      </c>
      <c r="S470" s="532">
        <f t="shared" si="199"/>
        <v>84750</v>
      </c>
      <c r="T470" s="531">
        <f t="shared" si="206"/>
        <v>85000</v>
      </c>
      <c r="U470" s="533">
        <f t="shared" si="207"/>
        <v>170000</v>
      </c>
      <c r="V470" s="531">
        <f t="shared" si="208"/>
        <v>75000</v>
      </c>
      <c r="W470" s="531">
        <f t="shared" si="209"/>
        <v>10000</v>
      </c>
      <c r="X470" s="534">
        <f t="shared" si="210"/>
        <v>20000</v>
      </c>
      <c r="Y470" s="535">
        <f>IF($A470="","",IF($I470="weekly",$A470+7,EDATE($A470,VLOOKUP($I470,Ref!$B$24:$C$29,2,0))))</f>
        <v>44667</v>
      </c>
      <c r="Z470" s="536" t="str">
        <f t="shared" si="211"/>
        <v>Sat</v>
      </c>
      <c r="AA470" s="531">
        <f t="shared" si="212"/>
        <v>31</v>
      </c>
      <c r="AB470" s="535">
        <f t="shared" si="200"/>
        <v>44697</v>
      </c>
      <c r="AC470" s="537">
        <f t="shared" si="201"/>
        <v>61</v>
      </c>
      <c r="AD470" s="538" t="str">
        <f t="shared" ca="1" si="202"/>
        <v>Expired</v>
      </c>
      <c r="AE470" s="537">
        <f t="shared" ca="1" si="203"/>
        <v>0</v>
      </c>
      <c r="AF470" s="539">
        <f t="shared" ca="1" si="213"/>
        <v>2</v>
      </c>
      <c r="AG470" s="531">
        <f t="shared" ca="1" si="214"/>
        <v>170000</v>
      </c>
      <c r="AH470" s="531">
        <f t="shared" ca="1" si="215"/>
        <v>20000</v>
      </c>
      <c r="AI470" s="531">
        <f t="shared" ca="1" si="216"/>
        <v>150000</v>
      </c>
      <c r="AJ470" s="531">
        <f t="shared" ca="1" si="217"/>
        <v>0</v>
      </c>
      <c r="AK470" s="540">
        <f>SUMIFS('Live Collections'!$S:$S,'Live Collections'!$D:$D,Disbursements!B470,'Live Collections'!$G:$G,Disbursements!C470)</f>
        <v>20000</v>
      </c>
      <c r="AL470" s="540">
        <f>SUMIFS('Live Collections'!$T:$T,'Live Collections'!$D:$D,Disbursements!B470,'Live Collections'!$G:$G,Disbursements!C470)</f>
        <v>149500</v>
      </c>
      <c r="AM470" s="541">
        <f t="shared" si="218"/>
        <v>169500</v>
      </c>
      <c r="AN470" s="542">
        <f t="shared" si="219"/>
        <v>0</v>
      </c>
      <c r="AO470" s="542">
        <f t="shared" si="220"/>
        <v>500</v>
      </c>
      <c r="AP470" s="543">
        <f t="shared" si="221"/>
        <v>500</v>
      </c>
      <c r="AQ470" s="544">
        <f t="shared" ca="1" si="222"/>
        <v>500</v>
      </c>
      <c r="AR470" s="545">
        <f t="shared" ca="1" si="223"/>
        <v>5.8823529411764705E-3</v>
      </c>
      <c r="AS470" s="545">
        <f ca="1">IFERROR(CEILING($AR470*VLOOKUP($I470,Ref!$B$23:$E$29,4,0),1),0)</f>
        <v>1</v>
      </c>
      <c r="AT470" s="545" t="str">
        <f ca="1">IF(A470="","",IF(AP470&lt;=1,"Cleared",IF(AS470=0,"Clean",VLOOKUP($AS470,Ref!$G$23:$H$28,2))))</f>
        <v>1.(0-30) Days</v>
      </c>
      <c r="AU470" s="546" t="str">
        <f t="shared" si="224"/>
        <v>Ok</v>
      </c>
    </row>
    <row r="471" spans="1:47" ht="14.25" hidden="1" customHeight="1" x14ac:dyDescent="0.15">
      <c r="A471" s="575">
        <v>44636</v>
      </c>
      <c r="B471" s="523">
        <v>233</v>
      </c>
      <c r="C471" s="523">
        <v>469</v>
      </c>
      <c r="D471" s="523">
        <v>2</v>
      </c>
      <c r="E471" s="579" t="s">
        <v>1274</v>
      </c>
      <c r="F471" s="580">
        <v>500000</v>
      </c>
      <c r="G471" s="524">
        <v>4</v>
      </c>
      <c r="H471" s="555">
        <v>6.5000000000000002E-2</v>
      </c>
      <c r="I471" s="560" t="s">
        <v>859</v>
      </c>
      <c r="J471" s="523" t="s">
        <v>863</v>
      </c>
      <c r="K471" s="528" t="str">
        <f>IFERROR(VLOOKUP($B471,'Clients-Live'!$A:$C,3,0),"")</f>
        <v>KAMOYO HARRIET</v>
      </c>
      <c r="L471" s="528">
        <f>IF(E471="STL",Pricing!$D$38,IF(A471="",0,IF(A471&lt;Pricing!$C$25,Pricing!$D$25,VLOOKUP(Disbursements!$F471,Pricing!$B$29:$D$32,3))))</f>
        <v>15000</v>
      </c>
      <c r="M471" s="528">
        <f>IF(E471="STL",0,IF(F471&gt;0,Pricing!$D$21,0))</f>
        <v>5000</v>
      </c>
      <c r="N471" s="529">
        <f>IF(E471="STL",F471*Pricing!$D$40,IF(A471&lt;=Pricing!$C$4,0,IF(AND(A471&gt;Pricing!$C$4,Disbursements!A471&lt;=Pricing!$C$5),F471*Pricing!$E$5,IF(AND(A471&gt;Pricing!$C$5,Disbursements!A471&lt;=Pricing!$C$7),VLOOKUP(F471,Pricing!$D$7:$E$8,2)*Disbursements!F471,F471*Pricing!$E$9))))</f>
        <v>10000</v>
      </c>
      <c r="O471" s="528">
        <f>IF(E471="STL",0,IF($F471&gt;0,$F471*Pricing!$D$17,0))</f>
        <v>50000</v>
      </c>
      <c r="P471" s="530">
        <f t="shared" si="204"/>
        <v>130000</v>
      </c>
      <c r="Q471" s="531">
        <f>IF($A471="","",$G471/VLOOKUP($I471,Ref!$B$23:$D$29,2,0))</f>
        <v>4</v>
      </c>
      <c r="R471" s="530">
        <f t="shared" si="205"/>
        <v>630000</v>
      </c>
      <c r="S471" s="532">
        <f t="shared" si="199"/>
        <v>157500</v>
      </c>
      <c r="T471" s="531">
        <f t="shared" si="206"/>
        <v>158000</v>
      </c>
      <c r="U471" s="533">
        <f t="shared" si="207"/>
        <v>632000</v>
      </c>
      <c r="V471" s="531">
        <f t="shared" si="208"/>
        <v>125000</v>
      </c>
      <c r="W471" s="531">
        <f t="shared" si="209"/>
        <v>33000</v>
      </c>
      <c r="X471" s="534">
        <f t="shared" si="210"/>
        <v>132000</v>
      </c>
      <c r="Y471" s="535">
        <f>IF($A471="","",IF($I471="weekly",$A471+7,EDATE($A471,VLOOKUP($I471,Ref!$B$24:$C$29,2,0))))</f>
        <v>44667</v>
      </c>
      <c r="Z471" s="536" t="str">
        <f t="shared" si="211"/>
        <v>Sat</v>
      </c>
      <c r="AA471" s="531">
        <f t="shared" si="212"/>
        <v>31</v>
      </c>
      <c r="AB471" s="535">
        <f t="shared" si="200"/>
        <v>44758</v>
      </c>
      <c r="AC471" s="537">
        <f t="shared" si="201"/>
        <v>122</v>
      </c>
      <c r="AD471" s="538" t="str">
        <f t="shared" ca="1" si="202"/>
        <v>Expired</v>
      </c>
      <c r="AE471" s="537">
        <f t="shared" ca="1" si="203"/>
        <v>0</v>
      </c>
      <c r="AF471" s="539">
        <f t="shared" ca="1" si="213"/>
        <v>4</v>
      </c>
      <c r="AG471" s="531">
        <f t="shared" ca="1" si="214"/>
        <v>632000</v>
      </c>
      <c r="AH471" s="531">
        <f t="shared" ca="1" si="215"/>
        <v>132000</v>
      </c>
      <c r="AI471" s="531">
        <f t="shared" ca="1" si="216"/>
        <v>500000</v>
      </c>
      <c r="AJ471" s="531">
        <f t="shared" ca="1" si="217"/>
        <v>0</v>
      </c>
      <c r="AK471" s="540">
        <f>SUMIFS('Live Collections'!$S:$S,'Live Collections'!$D:$D,Disbursements!B471,'Live Collections'!$G:$G,Disbursements!C471)</f>
        <v>66000</v>
      </c>
      <c r="AL471" s="540">
        <f>SUMIFS('Live Collections'!$T:$T,'Live Collections'!$D:$D,Disbursements!B471,'Live Collections'!$G:$G,Disbursements!C471)</f>
        <v>199000</v>
      </c>
      <c r="AM471" s="541">
        <f t="shared" si="218"/>
        <v>265000</v>
      </c>
      <c r="AN471" s="542">
        <f t="shared" si="219"/>
        <v>66000</v>
      </c>
      <c r="AO471" s="542">
        <f t="shared" si="220"/>
        <v>301000</v>
      </c>
      <c r="AP471" s="543">
        <f t="shared" si="221"/>
        <v>367000</v>
      </c>
      <c r="AQ471" s="544">
        <f t="shared" ca="1" si="222"/>
        <v>367000</v>
      </c>
      <c r="AR471" s="545">
        <f t="shared" ca="1" si="223"/>
        <v>2.3227848101265822</v>
      </c>
      <c r="AS471" s="545">
        <f ca="1">IFERROR(CEILING($AR471*VLOOKUP($I471,Ref!$B$23:$E$29,4,0),1),0)</f>
        <v>70</v>
      </c>
      <c r="AT471" s="545" t="str">
        <f ca="1">IF(A471="","",IF(AP471&lt;=1,"Cleared",IF(AS471=0,"Clean",VLOOKUP($AS471,Ref!$G$23:$H$28,2))))</f>
        <v>3.(61-90) Days</v>
      </c>
      <c r="AU471" s="546" t="str">
        <f t="shared" si="224"/>
        <v>Ok</v>
      </c>
    </row>
    <row r="472" spans="1:47" ht="14.25" hidden="1" customHeight="1" x14ac:dyDescent="0.15">
      <c r="A472" s="575">
        <v>44637</v>
      </c>
      <c r="B472" s="523">
        <v>239</v>
      </c>
      <c r="C472" s="523">
        <v>470</v>
      </c>
      <c r="D472" s="523">
        <v>2</v>
      </c>
      <c r="E472" s="579" t="s">
        <v>1275</v>
      </c>
      <c r="F472" s="580">
        <v>1000000</v>
      </c>
      <c r="G472" s="524">
        <v>10</v>
      </c>
      <c r="H472" s="555">
        <v>7.4999999999999997E-2</v>
      </c>
      <c r="I472" s="560" t="s">
        <v>859</v>
      </c>
      <c r="J472" s="523" t="s">
        <v>864</v>
      </c>
      <c r="K472" s="528" t="str">
        <f>IFERROR(VLOOKUP($B472,'Clients-Live'!$A:$C,3,0),"")</f>
        <v>HABIBU ABOYI ALLI</v>
      </c>
      <c r="L472" s="528">
        <f>IF(E472="STL",Pricing!$D$38,IF(A472="",0,IF(A472&lt;Pricing!$C$25,Pricing!$D$25,VLOOKUP(Disbursements!$F472,Pricing!$B$29:$D$32,3))))</f>
        <v>20000</v>
      </c>
      <c r="M472" s="528">
        <f>IF(E472="STL",0,IF(F472&gt;0,Pricing!$D$21,0))</f>
        <v>5000</v>
      </c>
      <c r="N472" s="529">
        <f>IF(E472="STL",F472*Pricing!$D$40,IF(A472&lt;=Pricing!$C$4,0,IF(AND(A472&gt;Pricing!$C$4,Disbursements!A472&lt;=Pricing!$C$5),F472*Pricing!$E$5,IF(AND(A472&gt;Pricing!$C$5,Disbursements!A472&lt;=Pricing!$C$7),VLOOKUP(F472,Pricing!$D$7:$E$8,2)*Disbursements!F472,F472*Pricing!$E$9))))</f>
        <v>20000</v>
      </c>
      <c r="O472" s="528">
        <f>IF(E472="STL",0,IF($F472&gt;0,$F472*Pricing!$D$17,0))</f>
        <v>100000</v>
      </c>
      <c r="P472" s="530">
        <f t="shared" si="204"/>
        <v>750000</v>
      </c>
      <c r="Q472" s="531">
        <f>IF($A472="","",$G472/VLOOKUP($I472,Ref!$B$23:$D$29,2,0))</f>
        <v>10</v>
      </c>
      <c r="R472" s="530">
        <f t="shared" si="205"/>
        <v>1750000</v>
      </c>
      <c r="S472" s="532">
        <f t="shared" si="199"/>
        <v>175000</v>
      </c>
      <c r="T472" s="531">
        <f t="shared" si="206"/>
        <v>175000</v>
      </c>
      <c r="U472" s="533">
        <f t="shared" si="207"/>
        <v>1750000</v>
      </c>
      <c r="V472" s="531">
        <f t="shared" si="208"/>
        <v>100000</v>
      </c>
      <c r="W472" s="531">
        <f t="shared" si="209"/>
        <v>75000</v>
      </c>
      <c r="X472" s="534">
        <f t="shared" si="210"/>
        <v>750000</v>
      </c>
      <c r="Y472" s="535">
        <f>IF($A472="","",IF($I472="weekly",$A472+7,EDATE($A472,VLOOKUP($I472,Ref!$B$24:$C$29,2,0))))</f>
        <v>44668</v>
      </c>
      <c r="Z472" s="536" t="str">
        <f t="shared" si="211"/>
        <v>Sun</v>
      </c>
      <c r="AA472" s="531">
        <f t="shared" si="212"/>
        <v>31</v>
      </c>
      <c r="AB472" s="535">
        <f t="shared" si="200"/>
        <v>44943</v>
      </c>
      <c r="AC472" s="537">
        <f t="shared" si="201"/>
        <v>306</v>
      </c>
      <c r="AD472" s="538" t="str">
        <f t="shared" ca="1" si="202"/>
        <v>Expired</v>
      </c>
      <c r="AE472" s="537">
        <f t="shared" ca="1" si="203"/>
        <v>0</v>
      </c>
      <c r="AF472" s="539">
        <f t="shared" ca="1" si="213"/>
        <v>10</v>
      </c>
      <c r="AG472" s="531">
        <f t="shared" ca="1" si="214"/>
        <v>1750000</v>
      </c>
      <c r="AH472" s="531">
        <f t="shared" ca="1" si="215"/>
        <v>750000</v>
      </c>
      <c r="AI472" s="531">
        <f t="shared" ca="1" si="216"/>
        <v>1000000</v>
      </c>
      <c r="AJ472" s="531">
        <f t="shared" ca="1" si="217"/>
        <v>0</v>
      </c>
      <c r="AK472" s="540">
        <f>SUMIFS('Live Collections'!$S:$S,'Live Collections'!$D:$D,Disbursements!B472,'Live Collections'!$G:$G,Disbursements!C472)</f>
        <v>150000</v>
      </c>
      <c r="AL472" s="540">
        <f>SUMIFS('Live Collections'!$T:$T,'Live Collections'!$D:$D,Disbursements!B472,'Live Collections'!$G:$G,Disbursements!C472)</f>
        <v>200000</v>
      </c>
      <c r="AM472" s="541">
        <f t="shared" si="218"/>
        <v>350000</v>
      </c>
      <c r="AN472" s="542">
        <f t="shared" si="219"/>
        <v>600000</v>
      </c>
      <c r="AO472" s="542">
        <f t="shared" si="220"/>
        <v>800000</v>
      </c>
      <c r="AP472" s="543">
        <f t="shared" si="221"/>
        <v>1400000</v>
      </c>
      <c r="AQ472" s="544">
        <f t="shared" ca="1" si="222"/>
        <v>1400000</v>
      </c>
      <c r="AR472" s="545">
        <f t="shared" ca="1" si="223"/>
        <v>8</v>
      </c>
      <c r="AS472" s="545">
        <f ca="1">IFERROR(CEILING($AR472*VLOOKUP($I472,Ref!$B$23:$E$29,4,0),1),0)</f>
        <v>240</v>
      </c>
      <c r="AT472" s="545" t="str">
        <f ca="1">IF(A472="","",IF(AP472&lt;=1,"Cleared",IF(AS472=0,"Clean",VLOOKUP($AS472,Ref!$G$23:$H$28,2))))</f>
        <v>4.(91-365) Days</v>
      </c>
      <c r="AU472" s="546" t="str">
        <f t="shared" si="224"/>
        <v>Ok</v>
      </c>
    </row>
    <row r="473" spans="1:47" ht="14.25" hidden="1" customHeight="1" x14ac:dyDescent="0.15">
      <c r="A473" s="575">
        <v>44637</v>
      </c>
      <c r="B473" s="523">
        <v>337</v>
      </c>
      <c r="C473" s="523">
        <v>471</v>
      </c>
      <c r="D473" s="523">
        <v>1</v>
      </c>
      <c r="E473" s="579" t="s">
        <v>1274</v>
      </c>
      <c r="F473" s="580">
        <v>400000</v>
      </c>
      <c r="G473" s="524">
        <v>4</v>
      </c>
      <c r="H473" s="555">
        <v>6.5000000000000002E-2</v>
      </c>
      <c r="I473" s="560" t="s">
        <v>859</v>
      </c>
      <c r="J473" s="523" t="s">
        <v>862</v>
      </c>
      <c r="K473" s="528" t="str">
        <f>IFERROR(VLOOKUP($B473,'Clients-Live'!$A:$C,3,0),"")</f>
        <v>AYISA AJONYE</v>
      </c>
      <c r="L473" s="528">
        <f>IF(E473="STL",Pricing!$D$38,IF(A473="",0,IF(A473&lt;Pricing!$C$25,Pricing!$D$25,VLOOKUP(Disbursements!$F473,Pricing!$B$29:$D$32,3))))</f>
        <v>15000</v>
      </c>
      <c r="M473" s="528">
        <f>IF(E473="STL",0,IF(F473&gt;0,Pricing!$D$21,0))</f>
        <v>5000</v>
      </c>
      <c r="N473" s="529">
        <f>IF(E473="STL",F473*Pricing!$D$40,IF(A473&lt;=Pricing!$C$4,0,IF(AND(A473&gt;Pricing!$C$4,Disbursements!A473&lt;=Pricing!$C$5),F473*Pricing!$E$5,IF(AND(A473&gt;Pricing!$C$5,Disbursements!A473&lt;=Pricing!$C$7),VLOOKUP(F473,Pricing!$D$7:$E$8,2)*Disbursements!F473,F473*Pricing!$E$9))))</f>
        <v>8000</v>
      </c>
      <c r="O473" s="528">
        <f>IF(E473="STL",0,IF($F473&gt;0,$F473*Pricing!$D$17,0))</f>
        <v>40000</v>
      </c>
      <c r="P473" s="530">
        <f t="shared" si="204"/>
        <v>104000</v>
      </c>
      <c r="Q473" s="531">
        <f>IF($A473="","",$G473/VLOOKUP($I473,Ref!$B$23:$D$29,2,0))</f>
        <v>4</v>
      </c>
      <c r="R473" s="530">
        <f t="shared" si="205"/>
        <v>504000</v>
      </c>
      <c r="S473" s="532">
        <f t="shared" si="199"/>
        <v>126000</v>
      </c>
      <c r="T473" s="531">
        <f t="shared" si="206"/>
        <v>126000</v>
      </c>
      <c r="U473" s="533">
        <f t="shared" si="207"/>
        <v>504000</v>
      </c>
      <c r="V473" s="531">
        <f t="shared" si="208"/>
        <v>100000</v>
      </c>
      <c r="W473" s="531">
        <f t="shared" si="209"/>
        <v>26000</v>
      </c>
      <c r="X473" s="534">
        <f t="shared" si="210"/>
        <v>104000</v>
      </c>
      <c r="Y473" s="535">
        <f>IF($A473="","",IF($I473="weekly",$A473+7,EDATE($A473,VLOOKUP($I473,Ref!$B$24:$C$29,2,0))))</f>
        <v>44668</v>
      </c>
      <c r="Z473" s="536" t="str">
        <f t="shared" si="211"/>
        <v>Sun</v>
      </c>
      <c r="AA473" s="531">
        <f t="shared" si="212"/>
        <v>31</v>
      </c>
      <c r="AB473" s="535">
        <f t="shared" si="200"/>
        <v>44759</v>
      </c>
      <c r="AC473" s="537">
        <f t="shared" si="201"/>
        <v>122</v>
      </c>
      <c r="AD473" s="538" t="str">
        <f t="shared" ca="1" si="202"/>
        <v>Expired</v>
      </c>
      <c r="AE473" s="537">
        <f t="shared" ca="1" si="203"/>
        <v>0</v>
      </c>
      <c r="AF473" s="539">
        <f t="shared" ca="1" si="213"/>
        <v>4</v>
      </c>
      <c r="AG473" s="531">
        <f t="shared" ca="1" si="214"/>
        <v>504000</v>
      </c>
      <c r="AH473" s="531">
        <f t="shared" ca="1" si="215"/>
        <v>104000</v>
      </c>
      <c r="AI473" s="531">
        <f t="shared" ca="1" si="216"/>
        <v>400000</v>
      </c>
      <c r="AJ473" s="531">
        <f t="shared" ca="1" si="217"/>
        <v>0</v>
      </c>
      <c r="AK473" s="540">
        <f>SUMIFS('Live Collections'!$S:$S,'Live Collections'!$D:$D,Disbursements!B473,'Live Collections'!$G:$G,Disbursements!C473)</f>
        <v>98000</v>
      </c>
      <c r="AL473" s="540">
        <f>SUMIFS('Live Collections'!$T:$T,'Live Collections'!$D:$D,Disbursements!B473,'Live Collections'!$G:$G,Disbursements!C473)</f>
        <v>102000</v>
      </c>
      <c r="AM473" s="541">
        <f t="shared" si="218"/>
        <v>200000</v>
      </c>
      <c r="AN473" s="542">
        <f t="shared" si="219"/>
        <v>6000</v>
      </c>
      <c r="AO473" s="542">
        <f t="shared" si="220"/>
        <v>298000</v>
      </c>
      <c r="AP473" s="543">
        <f t="shared" si="221"/>
        <v>304000</v>
      </c>
      <c r="AQ473" s="544">
        <f t="shared" ca="1" si="222"/>
        <v>304000</v>
      </c>
      <c r="AR473" s="545">
        <f t="shared" ca="1" si="223"/>
        <v>2.4126984126984126</v>
      </c>
      <c r="AS473" s="545">
        <f ca="1">IFERROR(CEILING($AR473*VLOOKUP($I473,Ref!$B$23:$E$29,4,0),1),0)</f>
        <v>73</v>
      </c>
      <c r="AT473" s="545" t="str">
        <f ca="1">IF(A473="","",IF(AP473&lt;=1,"Cleared",IF(AS473=0,"Clean",VLOOKUP($AS473,Ref!$G$23:$H$28,2))))</f>
        <v>3.(61-90) Days</v>
      </c>
      <c r="AU473" s="546" t="str">
        <f t="shared" si="224"/>
        <v>Ok</v>
      </c>
    </row>
    <row r="474" spans="1:47" ht="14.25" hidden="1" customHeight="1" x14ac:dyDescent="0.15">
      <c r="A474" s="575">
        <v>44639</v>
      </c>
      <c r="B474" s="523">
        <v>333</v>
      </c>
      <c r="C474" s="523">
        <v>472</v>
      </c>
      <c r="D474" s="523">
        <v>1</v>
      </c>
      <c r="E474" s="579" t="s">
        <v>1274</v>
      </c>
      <c r="F474" s="580">
        <v>500000</v>
      </c>
      <c r="G474" s="524">
        <v>4</v>
      </c>
      <c r="H474" s="555">
        <v>6.5000000000000002E-2</v>
      </c>
      <c r="I474" s="560" t="s">
        <v>861</v>
      </c>
      <c r="J474" s="523" t="s">
        <v>863</v>
      </c>
      <c r="K474" s="528" t="str">
        <f>IFERROR(VLOOKUP($B474,'Clients-Live'!$A:$C,3,0),"")</f>
        <v>OSORU HELLEN</v>
      </c>
      <c r="L474" s="528">
        <f>IF(E474="STL",Pricing!$D$38,IF(A474="",0,IF(A474&lt;Pricing!$C$25,Pricing!$D$25,VLOOKUP(Disbursements!$F474,Pricing!$B$29:$D$32,3))))</f>
        <v>15000</v>
      </c>
      <c r="M474" s="528">
        <f>IF(E474="STL",0,IF(F474&gt;0,Pricing!$D$21,0))</f>
        <v>5000</v>
      </c>
      <c r="N474" s="529">
        <f>IF(E474="STL",F474*Pricing!$D$40,IF(A474&lt;=Pricing!$C$4,0,IF(AND(A474&gt;Pricing!$C$4,Disbursements!A474&lt;=Pricing!$C$5),F474*Pricing!$E$5,IF(AND(A474&gt;Pricing!$C$5,Disbursements!A474&lt;=Pricing!$C$7),VLOOKUP(F474,Pricing!$D$7:$E$8,2)*Disbursements!F474,F474*Pricing!$E$9))))</f>
        <v>10000</v>
      </c>
      <c r="O474" s="528">
        <f>IF(E474="STL",0,IF($F474&gt;0,$F474*Pricing!$D$17,0))</f>
        <v>50000</v>
      </c>
      <c r="P474" s="530">
        <f t="shared" si="204"/>
        <v>130000</v>
      </c>
      <c r="Q474" s="531">
        <f>IF($A474="","",$G474/VLOOKUP($I474,Ref!$B$23:$D$29,2,0))</f>
        <v>16</v>
      </c>
      <c r="R474" s="530">
        <f t="shared" si="205"/>
        <v>630000</v>
      </c>
      <c r="S474" s="532">
        <f t="shared" si="199"/>
        <v>39375</v>
      </c>
      <c r="T474" s="531">
        <f t="shared" si="206"/>
        <v>40000</v>
      </c>
      <c r="U474" s="533">
        <f t="shared" si="207"/>
        <v>640000</v>
      </c>
      <c r="V474" s="531">
        <f t="shared" si="208"/>
        <v>31250</v>
      </c>
      <c r="W474" s="531">
        <f t="shared" si="209"/>
        <v>8750</v>
      </c>
      <c r="X474" s="534">
        <f t="shared" si="210"/>
        <v>140000</v>
      </c>
      <c r="Y474" s="535">
        <f>IF($A474="","",IF($I474="weekly",$A474+7,EDATE($A474,VLOOKUP($I474,Ref!$B$24:$C$29,2,0))))</f>
        <v>44646</v>
      </c>
      <c r="Z474" s="536" t="str">
        <f t="shared" si="211"/>
        <v>Sat</v>
      </c>
      <c r="AA474" s="531">
        <f t="shared" si="212"/>
        <v>7</v>
      </c>
      <c r="AB474" s="535">
        <f t="shared" si="200"/>
        <v>44761</v>
      </c>
      <c r="AC474" s="537">
        <f t="shared" si="201"/>
        <v>122</v>
      </c>
      <c r="AD474" s="538" t="str">
        <f t="shared" ca="1" si="202"/>
        <v>Expired</v>
      </c>
      <c r="AE474" s="537">
        <f t="shared" ca="1" si="203"/>
        <v>0</v>
      </c>
      <c r="AF474" s="539">
        <f t="shared" ca="1" si="213"/>
        <v>16</v>
      </c>
      <c r="AG474" s="531">
        <f t="shared" ca="1" si="214"/>
        <v>640000</v>
      </c>
      <c r="AH474" s="531">
        <f t="shared" ca="1" si="215"/>
        <v>140000</v>
      </c>
      <c r="AI474" s="531">
        <f t="shared" ca="1" si="216"/>
        <v>500000</v>
      </c>
      <c r="AJ474" s="531">
        <f t="shared" ca="1" si="217"/>
        <v>0</v>
      </c>
      <c r="AK474" s="540">
        <f>SUMIFS('Live Collections'!$S:$S,'Live Collections'!$D:$D,Disbursements!B474,'Live Collections'!$G:$G,Disbursements!C474)</f>
        <v>52500</v>
      </c>
      <c r="AL474" s="540">
        <f>SUMIFS('Live Collections'!$T:$T,'Live Collections'!$D:$D,Disbursements!B474,'Live Collections'!$G:$G,Disbursements!C474)</f>
        <v>205100</v>
      </c>
      <c r="AM474" s="541">
        <f t="shared" si="218"/>
        <v>257600</v>
      </c>
      <c r="AN474" s="542">
        <f t="shared" si="219"/>
        <v>87500</v>
      </c>
      <c r="AO474" s="542">
        <f t="shared" si="220"/>
        <v>294900</v>
      </c>
      <c r="AP474" s="543">
        <f t="shared" si="221"/>
        <v>382400</v>
      </c>
      <c r="AQ474" s="544">
        <f t="shared" ca="1" si="222"/>
        <v>382400</v>
      </c>
      <c r="AR474" s="545">
        <f t="shared" ca="1" si="223"/>
        <v>9.56</v>
      </c>
      <c r="AS474" s="545">
        <f ca="1">IFERROR(CEILING($AR474*VLOOKUP($I474,Ref!$B$23:$E$29,4,0),1),0)</f>
        <v>67</v>
      </c>
      <c r="AT474" s="545" t="str">
        <f ca="1">IF(A474="","",IF(AP474&lt;=1,"Cleared",IF(AS474=0,"Clean",VLOOKUP($AS474,Ref!$G$23:$H$28,2))))</f>
        <v>3.(61-90) Days</v>
      </c>
      <c r="AU474" s="546" t="str">
        <f t="shared" si="224"/>
        <v>Ok</v>
      </c>
    </row>
    <row r="475" spans="1:47" ht="14.25" hidden="1" customHeight="1" x14ac:dyDescent="0.15">
      <c r="A475" s="575">
        <v>44639</v>
      </c>
      <c r="B475" s="523">
        <v>51</v>
      </c>
      <c r="C475" s="523">
        <v>473</v>
      </c>
      <c r="D475" s="523">
        <v>2</v>
      </c>
      <c r="E475" s="579" t="s">
        <v>1274</v>
      </c>
      <c r="F475" s="580">
        <v>600000</v>
      </c>
      <c r="G475" s="524">
        <v>6</v>
      </c>
      <c r="H475" s="555">
        <v>6.5000000000000002E-2</v>
      </c>
      <c r="I475" s="560" t="s">
        <v>859</v>
      </c>
      <c r="J475" s="523" t="s">
        <v>862</v>
      </c>
      <c r="K475" s="528" t="str">
        <f>IFERROR(VLOOKUP($B475,'Clients-Live'!$A:$C,3,0),"")</f>
        <v>AYILE STEPHEN</v>
      </c>
      <c r="L475" s="528">
        <f>IF(E475="STL",Pricing!$D$38,IF(A475="",0,IF(A475&lt;Pricing!$C$25,Pricing!$D$25,VLOOKUP(Disbursements!$F475,Pricing!$B$29:$D$32,3))))</f>
        <v>20000</v>
      </c>
      <c r="M475" s="528">
        <f>IF(E475="STL",0,IF(F475&gt;0,Pricing!$D$21,0))</f>
        <v>5000</v>
      </c>
      <c r="N475" s="529">
        <f>IF(E475="STL",F475*Pricing!$D$40,IF(A475&lt;=Pricing!$C$4,0,IF(AND(A475&gt;Pricing!$C$4,Disbursements!A475&lt;=Pricing!$C$5),F475*Pricing!$E$5,IF(AND(A475&gt;Pricing!$C$5,Disbursements!A475&lt;=Pricing!$C$7),VLOOKUP(F475,Pricing!$D$7:$E$8,2)*Disbursements!F475,F475*Pricing!$E$9))))</f>
        <v>12000</v>
      </c>
      <c r="O475" s="528">
        <f>IF(E475="STL",0,IF($F475&gt;0,$F475*Pricing!$D$17,0))</f>
        <v>60000</v>
      </c>
      <c r="P475" s="530">
        <f t="shared" si="204"/>
        <v>234000</v>
      </c>
      <c r="Q475" s="531">
        <f>IF($A475="","",$G475/VLOOKUP($I475,Ref!$B$23:$D$29,2,0))</f>
        <v>6</v>
      </c>
      <c r="R475" s="530">
        <f t="shared" si="205"/>
        <v>834000</v>
      </c>
      <c r="S475" s="532">
        <f t="shared" si="199"/>
        <v>139000</v>
      </c>
      <c r="T475" s="531">
        <f t="shared" si="206"/>
        <v>139000</v>
      </c>
      <c r="U475" s="533">
        <f t="shared" si="207"/>
        <v>834000</v>
      </c>
      <c r="V475" s="531">
        <f t="shared" si="208"/>
        <v>100000</v>
      </c>
      <c r="W475" s="531">
        <f t="shared" si="209"/>
        <v>39000</v>
      </c>
      <c r="X475" s="534">
        <f t="shared" si="210"/>
        <v>234000</v>
      </c>
      <c r="Y475" s="535">
        <f>IF($A475="","",IF($I475="weekly",$A475+7,EDATE($A475,VLOOKUP($I475,Ref!$B$24:$C$29,2,0))))</f>
        <v>44670</v>
      </c>
      <c r="Z475" s="536" t="str">
        <f t="shared" si="211"/>
        <v>Tue</v>
      </c>
      <c r="AA475" s="531">
        <f t="shared" si="212"/>
        <v>31</v>
      </c>
      <c r="AB475" s="535">
        <f t="shared" si="200"/>
        <v>44823</v>
      </c>
      <c r="AC475" s="537">
        <f t="shared" si="201"/>
        <v>184</v>
      </c>
      <c r="AD475" s="538" t="str">
        <f t="shared" ca="1" si="202"/>
        <v>Expired</v>
      </c>
      <c r="AE475" s="537">
        <f t="shared" ca="1" si="203"/>
        <v>0</v>
      </c>
      <c r="AF475" s="539">
        <f t="shared" ca="1" si="213"/>
        <v>6</v>
      </c>
      <c r="AG475" s="531">
        <f t="shared" ca="1" si="214"/>
        <v>834000</v>
      </c>
      <c r="AH475" s="531">
        <f t="shared" ca="1" si="215"/>
        <v>234000</v>
      </c>
      <c r="AI475" s="531">
        <f t="shared" ca="1" si="216"/>
        <v>600000</v>
      </c>
      <c r="AJ475" s="531">
        <f t="shared" ca="1" si="217"/>
        <v>0</v>
      </c>
      <c r="AK475" s="540">
        <f>SUMIFS('Live Collections'!$S:$S,'Live Collections'!$D:$D,Disbursements!B475,'Live Collections'!$G:$G,Disbursements!C475)</f>
        <v>78000</v>
      </c>
      <c r="AL475" s="540">
        <f>SUMIFS('Live Collections'!$T:$T,'Live Collections'!$D:$D,Disbursements!B475,'Live Collections'!$G:$G,Disbursements!C475)</f>
        <v>203000</v>
      </c>
      <c r="AM475" s="541">
        <f t="shared" si="218"/>
        <v>281000</v>
      </c>
      <c r="AN475" s="542">
        <f t="shared" si="219"/>
        <v>156000</v>
      </c>
      <c r="AO475" s="542">
        <f t="shared" si="220"/>
        <v>397000</v>
      </c>
      <c r="AP475" s="543">
        <f t="shared" si="221"/>
        <v>553000</v>
      </c>
      <c r="AQ475" s="544">
        <f t="shared" ca="1" si="222"/>
        <v>553000</v>
      </c>
      <c r="AR475" s="545">
        <f t="shared" ca="1" si="223"/>
        <v>3.9784172661870505</v>
      </c>
      <c r="AS475" s="545">
        <f ca="1">IFERROR(CEILING($AR475*VLOOKUP($I475,Ref!$B$23:$E$29,4,0),1),0)</f>
        <v>120</v>
      </c>
      <c r="AT475" s="545" t="str">
        <f ca="1">IF(A475="","",IF(AP475&lt;=1,"Cleared",IF(AS475=0,"Clean",VLOOKUP($AS475,Ref!$G$23:$H$28,2))))</f>
        <v>4.(91-365) Days</v>
      </c>
      <c r="AU475" s="546" t="str">
        <f t="shared" si="224"/>
        <v>Ok</v>
      </c>
    </row>
    <row r="476" spans="1:47" ht="14.25" hidden="1" customHeight="1" x14ac:dyDescent="0.15">
      <c r="A476" s="575">
        <v>44639</v>
      </c>
      <c r="B476" s="523">
        <v>31</v>
      </c>
      <c r="C476" s="523">
        <v>474</v>
      </c>
      <c r="D476" s="523">
        <v>3</v>
      </c>
      <c r="E476" s="579" t="s">
        <v>1274</v>
      </c>
      <c r="F476" s="580">
        <v>350000</v>
      </c>
      <c r="G476" s="524">
        <v>3</v>
      </c>
      <c r="H476" s="555">
        <v>6.5000000000000002E-2</v>
      </c>
      <c r="I476" s="560" t="s">
        <v>859</v>
      </c>
      <c r="J476" s="523" t="s">
        <v>862</v>
      </c>
      <c r="K476" s="528" t="str">
        <f>IFERROR(VLOOKUP($B476,'Clients-Live'!$A:$C,3,0),"")</f>
        <v>MUNDURU HARRIET</v>
      </c>
      <c r="L476" s="528">
        <f>IF(E476="STL",Pricing!$D$38,IF(A476="",0,IF(A476&lt;Pricing!$C$25,Pricing!$D$25,VLOOKUP(Disbursements!$F476,Pricing!$B$29:$D$32,3))))</f>
        <v>15000</v>
      </c>
      <c r="M476" s="528">
        <f>IF(E476="STL",0,IF(F476&gt;0,Pricing!$D$21,0))</f>
        <v>5000</v>
      </c>
      <c r="N476" s="529">
        <f>IF(E476="STL",F476*Pricing!$D$40,IF(A476&lt;=Pricing!$C$4,0,IF(AND(A476&gt;Pricing!$C$4,Disbursements!A476&lt;=Pricing!$C$5),F476*Pricing!$E$5,IF(AND(A476&gt;Pricing!$C$5,Disbursements!A476&lt;=Pricing!$C$7),VLOOKUP(F476,Pricing!$D$7:$E$8,2)*Disbursements!F476,F476*Pricing!$E$9))))</f>
        <v>7000</v>
      </c>
      <c r="O476" s="528">
        <f>IF(E476="STL",0,IF($F476&gt;0,$F476*Pricing!$D$17,0))</f>
        <v>35000</v>
      </c>
      <c r="P476" s="530">
        <f t="shared" si="204"/>
        <v>68250</v>
      </c>
      <c r="Q476" s="531">
        <f>IF($A476="","",$G476/VLOOKUP($I476,Ref!$B$23:$D$29,2,0))</f>
        <v>3</v>
      </c>
      <c r="R476" s="530">
        <f t="shared" si="205"/>
        <v>418250</v>
      </c>
      <c r="S476" s="532">
        <f t="shared" si="199"/>
        <v>139416.66666666666</v>
      </c>
      <c r="T476" s="531">
        <f t="shared" si="206"/>
        <v>140000</v>
      </c>
      <c r="U476" s="533">
        <f t="shared" si="207"/>
        <v>420000</v>
      </c>
      <c r="V476" s="531">
        <f t="shared" si="208"/>
        <v>116666.66666666667</v>
      </c>
      <c r="W476" s="531">
        <f t="shared" si="209"/>
        <v>23333.333333333328</v>
      </c>
      <c r="X476" s="534">
        <f t="shared" si="210"/>
        <v>69999.999999999985</v>
      </c>
      <c r="Y476" s="535">
        <f>IF($A476="","",IF($I476="weekly",$A476+7,EDATE($A476,VLOOKUP($I476,Ref!$B$24:$C$29,2,0))))</f>
        <v>44670</v>
      </c>
      <c r="Z476" s="536" t="str">
        <f t="shared" si="211"/>
        <v>Tue</v>
      </c>
      <c r="AA476" s="531">
        <f t="shared" si="212"/>
        <v>31</v>
      </c>
      <c r="AB476" s="535">
        <f t="shared" si="200"/>
        <v>44731</v>
      </c>
      <c r="AC476" s="537">
        <f t="shared" si="201"/>
        <v>92</v>
      </c>
      <c r="AD476" s="538" t="str">
        <f t="shared" ca="1" si="202"/>
        <v>Expired</v>
      </c>
      <c r="AE476" s="537">
        <f t="shared" ca="1" si="203"/>
        <v>0</v>
      </c>
      <c r="AF476" s="539">
        <f t="shared" ca="1" si="213"/>
        <v>3</v>
      </c>
      <c r="AG476" s="531">
        <f t="shared" ca="1" si="214"/>
        <v>420000</v>
      </c>
      <c r="AH476" s="531">
        <f t="shared" ca="1" si="215"/>
        <v>69999.999999999985</v>
      </c>
      <c r="AI476" s="531">
        <f t="shared" ca="1" si="216"/>
        <v>350000</v>
      </c>
      <c r="AJ476" s="531">
        <f t="shared" ca="1" si="217"/>
        <v>0</v>
      </c>
      <c r="AK476" s="540">
        <f>SUMIFS('Live Collections'!$S:$S,'Live Collections'!$D:$D,Disbursements!B476,'Live Collections'!$G:$G,Disbursements!C476)</f>
        <v>68333.333333333328</v>
      </c>
      <c r="AL476" s="540">
        <f>SUMIFS('Live Collections'!$T:$T,'Live Collections'!$D:$D,Disbursements!B476,'Live Collections'!$G:$G,Disbursements!C476)</f>
        <v>210666.66666666669</v>
      </c>
      <c r="AM476" s="541">
        <f t="shared" si="218"/>
        <v>279000</v>
      </c>
      <c r="AN476" s="542">
        <f t="shared" si="219"/>
        <v>1666.666666666657</v>
      </c>
      <c r="AO476" s="542">
        <f t="shared" si="220"/>
        <v>139333.33333333331</v>
      </c>
      <c r="AP476" s="543">
        <f t="shared" si="221"/>
        <v>140999.99999999997</v>
      </c>
      <c r="AQ476" s="544">
        <f t="shared" ca="1" si="222"/>
        <v>140999.99999999997</v>
      </c>
      <c r="AR476" s="545">
        <f t="shared" ca="1" si="223"/>
        <v>1.0071428571428569</v>
      </c>
      <c r="AS476" s="545">
        <f ca="1">IFERROR(CEILING($AR476*VLOOKUP($I476,Ref!$B$23:$E$29,4,0),1),0)</f>
        <v>31</v>
      </c>
      <c r="AT476" s="545" t="str">
        <f ca="1">IF(A476="","",IF(AP476&lt;=1,"Cleared",IF(AS476=0,"Clean",VLOOKUP($AS476,Ref!$G$23:$H$28,2))))</f>
        <v>2.(31-60) Days</v>
      </c>
      <c r="AU476" s="546" t="str">
        <f t="shared" si="224"/>
        <v>Ok</v>
      </c>
    </row>
    <row r="477" spans="1:47" ht="14.25" hidden="1" customHeight="1" x14ac:dyDescent="0.15">
      <c r="A477" s="575">
        <v>44641</v>
      </c>
      <c r="B477" s="523">
        <v>339</v>
      </c>
      <c r="C477" s="523">
        <v>475</v>
      </c>
      <c r="D477" s="523">
        <v>1</v>
      </c>
      <c r="E477" s="579" t="s">
        <v>1274</v>
      </c>
      <c r="F477" s="580">
        <v>3000000</v>
      </c>
      <c r="G477" s="524">
        <v>6</v>
      </c>
      <c r="H477" s="555">
        <v>6.5000000000000002E-2</v>
      </c>
      <c r="I477" s="560" t="s">
        <v>859</v>
      </c>
      <c r="J477" s="523" t="s">
        <v>864</v>
      </c>
      <c r="K477" s="528" t="str">
        <f>IFERROR(VLOOKUP($B477,'Clients-Live'!$A:$C,3,0),"")</f>
        <v>GIRE ELIZABETH</v>
      </c>
      <c r="L477" s="528">
        <f>IF(E477="STL",Pricing!$D$38,IF(A477="",0,IF(A477&lt;Pricing!$C$25,Pricing!$D$25,VLOOKUP(Disbursements!$F477,Pricing!$B$29:$D$32,3))))</f>
        <v>30000</v>
      </c>
      <c r="M477" s="528">
        <f>IF(E477="STL",0,IF(F477&gt;0,Pricing!$D$21,0))</f>
        <v>5000</v>
      </c>
      <c r="N477" s="529">
        <f>IF(E477="STL",F477*Pricing!$D$40,IF(A477&lt;=Pricing!$C$4,0,IF(AND(A477&gt;Pricing!$C$4,Disbursements!A477&lt;=Pricing!$C$5),F477*Pricing!$E$5,IF(AND(A477&gt;Pricing!$C$5,Disbursements!A477&lt;=Pricing!$C$7),VLOOKUP(F477,Pricing!$D$7:$E$8,2)*Disbursements!F477,F477*Pricing!$E$9))))</f>
        <v>60000</v>
      </c>
      <c r="O477" s="528">
        <f>IF(E477="STL",0,IF($F477&gt;0,$F477*Pricing!$D$17,0))</f>
        <v>300000</v>
      </c>
      <c r="P477" s="530">
        <f t="shared" si="204"/>
        <v>1170000</v>
      </c>
      <c r="Q477" s="531">
        <f>IF($A477="","",$G477/VLOOKUP($I477,Ref!$B$23:$D$29,2,0))</f>
        <v>6</v>
      </c>
      <c r="R477" s="530">
        <f t="shared" si="205"/>
        <v>4170000</v>
      </c>
      <c r="S477" s="532">
        <f t="shared" si="199"/>
        <v>695000</v>
      </c>
      <c r="T477" s="531">
        <f t="shared" si="206"/>
        <v>695000</v>
      </c>
      <c r="U477" s="533">
        <f t="shared" si="207"/>
        <v>4170000</v>
      </c>
      <c r="V477" s="531">
        <f t="shared" si="208"/>
        <v>500000</v>
      </c>
      <c r="W477" s="531">
        <f t="shared" si="209"/>
        <v>195000</v>
      </c>
      <c r="X477" s="534">
        <f t="shared" si="210"/>
        <v>1170000</v>
      </c>
      <c r="Y477" s="535">
        <f>IF($A477="","",IF($I477="weekly",$A477+7,EDATE($A477,VLOOKUP($I477,Ref!$B$24:$C$29,2,0))))</f>
        <v>44672</v>
      </c>
      <c r="Z477" s="536" t="str">
        <f t="shared" si="211"/>
        <v>Thu</v>
      </c>
      <c r="AA477" s="531">
        <f t="shared" si="212"/>
        <v>31</v>
      </c>
      <c r="AB477" s="535">
        <f t="shared" si="200"/>
        <v>44825</v>
      </c>
      <c r="AC477" s="537">
        <f t="shared" si="201"/>
        <v>184</v>
      </c>
      <c r="AD477" s="538" t="str">
        <f t="shared" ca="1" si="202"/>
        <v>Expired</v>
      </c>
      <c r="AE477" s="537">
        <f t="shared" ca="1" si="203"/>
        <v>0</v>
      </c>
      <c r="AF477" s="539">
        <f t="shared" ca="1" si="213"/>
        <v>6</v>
      </c>
      <c r="AG477" s="531">
        <f t="shared" ca="1" si="214"/>
        <v>4170000</v>
      </c>
      <c r="AH477" s="531">
        <f t="shared" ca="1" si="215"/>
        <v>1170000</v>
      </c>
      <c r="AI477" s="531">
        <f t="shared" ca="1" si="216"/>
        <v>3000000</v>
      </c>
      <c r="AJ477" s="531">
        <f t="shared" ca="1" si="217"/>
        <v>0</v>
      </c>
      <c r="AK477" s="540">
        <f>SUMIFS('Live Collections'!$S:$S,'Live Collections'!$D:$D,Disbursements!B477,'Live Collections'!$G:$G,Disbursements!C477)</f>
        <v>485000</v>
      </c>
      <c r="AL477" s="540">
        <f>SUMIFS('Live Collections'!$T:$T,'Live Collections'!$D:$D,Disbursements!B477,'Live Collections'!$G:$G,Disbursements!C477)</f>
        <v>905000</v>
      </c>
      <c r="AM477" s="541">
        <f t="shared" si="218"/>
        <v>1390000</v>
      </c>
      <c r="AN477" s="542">
        <f t="shared" si="219"/>
        <v>685000</v>
      </c>
      <c r="AO477" s="542">
        <f t="shared" si="220"/>
        <v>2095000</v>
      </c>
      <c r="AP477" s="543">
        <f t="shared" si="221"/>
        <v>2780000</v>
      </c>
      <c r="AQ477" s="544">
        <f t="shared" ca="1" si="222"/>
        <v>2780000</v>
      </c>
      <c r="AR477" s="545">
        <f t="shared" ca="1" si="223"/>
        <v>4</v>
      </c>
      <c r="AS477" s="545">
        <f ca="1">IFERROR(CEILING($AR477*VLOOKUP($I477,Ref!$B$23:$E$29,4,0),1),0)</f>
        <v>120</v>
      </c>
      <c r="AT477" s="545" t="str">
        <f ca="1">IF(A477="","",IF(AP477&lt;=1,"Cleared",IF(AS477=0,"Clean",VLOOKUP($AS477,Ref!$G$23:$H$28,2))))</f>
        <v>4.(91-365) Days</v>
      </c>
      <c r="AU477" s="546" t="str">
        <f t="shared" si="224"/>
        <v>Ok</v>
      </c>
    </row>
    <row r="478" spans="1:47" ht="14.25" hidden="1" customHeight="1" x14ac:dyDescent="0.15">
      <c r="A478" s="575">
        <v>44641</v>
      </c>
      <c r="B478" s="523">
        <v>260</v>
      </c>
      <c r="C478" s="523">
        <v>476</v>
      </c>
      <c r="D478" s="523">
        <v>2</v>
      </c>
      <c r="E478" s="579" t="s">
        <v>1274</v>
      </c>
      <c r="F478" s="580">
        <v>350000</v>
      </c>
      <c r="G478" s="524">
        <v>4</v>
      </c>
      <c r="H478" s="555">
        <v>6.5000000000000002E-2</v>
      </c>
      <c r="I478" s="560" t="s">
        <v>859</v>
      </c>
      <c r="J478" s="523" t="s">
        <v>862</v>
      </c>
      <c r="K478" s="528" t="str">
        <f>IFERROR(VLOOKUP($B478,'Clients-Live'!$A:$C,3,0),"")</f>
        <v>ATAYI GRACE</v>
      </c>
      <c r="L478" s="528">
        <f>IF(E478="STL",Pricing!$D$38,IF(A478="",0,IF(A478&lt;Pricing!$C$25,Pricing!$D$25,VLOOKUP(Disbursements!$F478,Pricing!$B$29:$D$32,3))))</f>
        <v>15000</v>
      </c>
      <c r="M478" s="528">
        <f>IF(E478="STL",0,IF(F478&gt;0,Pricing!$D$21,0))</f>
        <v>5000</v>
      </c>
      <c r="N478" s="529">
        <f>IF(E478="STL",F478*Pricing!$D$40,IF(A478&lt;=Pricing!$C$4,0,IF(AND(A478&gt;Pricing!$C$4,Disbursements!A478&lt;=Pricing!$C$5),F478*Pricing!$E$5,IF(AND(A478&gt;Pricing!$C$5,Disbursements!A478&lt;=Pricing!$C$7),VLOOKUP(F478,Pricing!$D$7:$E$8,2)*Disbursements!F478,F478*Pricing!$E$9))))</f>
        <v>7000</v>
      </c>
      <c r="O478" s="528">
        <f>IF(E478="STL",0,IF($F478&gt;0,$F478*Pricing!$D$17,0))</f>
        <v>35000</v>
      </c>
      <c r="P478" s="530">
        <f t="shared" si="204"/>
        <v>91000</v>
      </c>
      <c r="Q478" s="531">
        <f>IF($A478="","",$G478/VLOOKUP($I478,Ref!$B$23:$D$29,2,0))</f>
        <v>4</v>
      </c>
      <c r="R478" s="530">
        <f t="shared" si="205"/>
        <v>441000</v>
      </c>
      <c r="S478" s="532">
        <f t="shared" si="199"/>
        <v>110250</v>
      </c>
      <c r="T478" s="531">
        <f t="shared" si="206"/>
        <v>111000</v>
      </c>
      <c r="U478" s="533">
        <f t="shared" si="207"/>
        <v>444000</v>
      </c>
      <c r="V478" s="531">
        <f t="shared" si="208"/>
        <v>87500</v>
      </c>
      <c r="W478" s="531">
        <f t="shared" si="209"/>
        <v>23500</v>
      </c>
      <c r="X478" s="534">
        <f t="shared" si="210"/>
        <v>94000</v>
      </c>
      <c r="Y478" s="535">
        <f>IF($A478="","",IF($I478="weekly",$A478+7,EDATE($A478,VLOOKUP($I478,Ref!$B$24:$C$29,2,0))))</f>
        <v>44672</v>
      </c>
      <c r="Z478" s="536" t="str">
        <f t="shared" si="211"/>
        <v>Thu</v>
      </c>
      <c r="AA478" s="531">
        <f t="shared" si="212"/>
        <v>31</v>
      </c>
      <c r="AB478" s="535">
        <f t="shared" si="200"/>
        <v>44763</v>
      </c>
      <c r="AC478" s="537">
        <f t="shared" si="201"/>
        <v>122</v>
      </c>
      <c r="AD478" s="538" t="str">
        <f t="shared" ca="1" si="202"/>
        <v>Expired</v>
      </c>
      <c r="AE478" s="537">
        <f t="shared" ca="1" si="203"/>
        <v>0</v>
      </c>
      <c r="AF478" s="539">
        <f t="shared" ca="1" si="213"/>
        <v>4</v>
      </c>
      <c r="AG478" s="531">
        <f t="shared" ca="1" si="214"/>
        <v>444000</v>
      </c>
      <c r="AH478" s="531">
        <f t="shared" ca="1" si="215"/>
        <v>94000</v>
      </c>
      <c r="AI478" s="531">
        <f t="shared" ca="1" si="216"/>
        <v>350000</v>
      </c>
      <c r="AJ478" s="531">
        <f t="shared" ca="1" si="217"/>
        <v>0</v>
      </c>
      <c r="AK478" s="540">
        <f>SUMIFS('Live Collections'!$S:$S,'Live Collections'!$D:$D,Disbursements!B478,'Live Collections'!$G:$G,Disbursements!C478)</f>
        <v>94000</v>
      </c>
      <c r="AL478" s="540">
        <f>SUMIFS('Live Collections'!$T:$T,'Live Collections'!$D:$D,Disbursements!B478,'Live Collections'!$G:$G,Disbursements!C478)</f>
        <v>96000</v>
      </c>
      <c r="AM478" s="541">
        <f t="shared" si="218"/>
        <v>190000</v>
      </c>
      <c r="AN478" s="542">
        <f t="shared" si="219"/>
        <v>0</v>
      </c>
      <c r="AO478" s="542">
        <f t="shared" si="220"/>
        <v>254000</v>
      </c>
      <c r="AP478" s="543">
        <f t="shared" si="221"/>
        <v>254000</v>
      </c>
      <c r="AQ478" s="544">
        <f t="shared" ca="1" si="222"/>
        <v>254000</v>
      </c>
      <c r="AR478" s="545">
        <f t="shared" ca="1" si="223"/>
        <v>2.2882882882882885</v>
      </c>
      <c r="AS478" s="545">
        <f ca="1">IFERROR(CEILING($AR478*VLOOKUP($I478,Ref!$B$23:$E$29,4,0),1),0)</f>
        <v>69</v>
      </c>
      <c r="AT478" s="545" t="str">
        <f ca="1">IF(A478="","",IF(AP478&lt;=1,"Cleared",IF(AS478=0,"Clean",VLOOKUP($AS478,Ref!$G$23:$H$28,2))))</f>
        <v>3.(61-90) Days</v>
      </c>
      <c r="AU478" s="546" t="str">
        <f t="shared" si="224"/>
        <v>Ok</v>
      </c>
    </row>
    <row r="479" spans="1:47" ht="14.25" hidden="1" customHeight="1" x14ac:dyDescent="0.15">
      <c r="A479" s="575">
        <v>44641</v>
      </c>
      <c r="B479" s="523">
        <v>143</v>
      </c>
      <c r="C479" s="523">
        <v>477</v>
      </c>
      <c r="D479" s="523">
        <v>3</v>
      </c>
      <c r="E479" s="579" t="s">
        <v>1274</v>
      </c>
      <c r="F479" s="580">
        <v>5000000</v>
      </c>
      <c r="G479" s="524">
        <v>5</v>
      </c>
      <c r="H479" s="555">
        <v>6.5000000000000002E-2</v>
      </c>
      <c r="I479" s="560" t="s">
        <v>859</v>
      </c>
      <c r="J479" s="523" t="s">
        <v>864</v>
      </c>
      <c r="K479" s="528" t="str">
        <f>IFERROR(VLOOKUP($B479,'Clients-Live'!$A:$C,3,0),"")</f>
        <v>MORO HAKIM</v>
      </c>
      <c r="L479" s="528">
        <f>IF(E479="STL",Pricing!$D$38,IF(A479="",0,IF(A479&lt;Pricing!$C$25,Pricing!$D$25,VLOOKUP(Disbursements!$F479,Pricing!$B$29:$D$32,3))))</f>
        <v>30000</v>
      </c>
      <c r="M479" s="528">
        <f>IF(E479="STL",0,IF(F479&gt;0,Pricing!$D$21,0))</f>
        <v>5000</v>
      </c>
      <c r="N479" s="529">
        <f>IF(E479="STL",F479*Pricing!$D$40,IF(A479&lt;=Pricing!$C$4,0,IF(AND(A479&gt;Pricing!$C$4,Disbursements!A479&lt;=Pricing!$C$5),F479*Pricing!$E$5,IF(AND(A479&gt;Pricing!$C$5,Disbursements!A479&lt;=Pricing!$C$7),VLOOKUP(F479,Pricing!$D$7:$E$8,2)*Disbursements!F479,F479*Pricing!$E$9))))</f>
        <v>100000</v>
      </c>
      <c r="O479" s="528">
        <f>IF(E479="STL",0,IF($F479&gt;0,$F479*Pricing!$D$17,0))</f>
        <v>500000</v>
      </c>
      <c r="P479" s="530">
        <f t="shared" si="204"/>
        <v>1625000</v>
      </c>
      <c r="Q479" s="531">
        <f>IF($A479="","",$G479/VLOOKUP($I479,Ref!$B$23:$D$29,2,0))</f>
        <v>5</v>
      </c>
      <c r="R479" s="530">
        <f t="shared" si="205"/>
        <v>6625000</v>
      </c>
      <c r="S479" s="532">
        <f t="shared" si="199"/>
        <v>1325000</v>
      </c>
      <c r="T479" s="531">
        <f t="shared" si="206"/>
        <v>1325000</v>
      </c>
      <c r="U479" s="533">
        <f t="shared" si="207"/>
        <v>6625000</v>
      </c>
      <c r="V479" s="531">
        <f t="shared" si="208"/>
        <v>1000000</v>
      </c>
      <c r="W479" s="531">
        <f t="shared" si="209"/>
        <v>325000</v>
      </c>
      <c r="X479" s="534">
        <f t="shared" si="210"/>
        <v>1625000</v>
      </c>
      <c r="Y479" s="535">
        <f>IF($A479="","",IF($I479="weekly",$A479+7,EDATE($A479,VLOOKUP($I479,Ref!$B$24:$C$29,2,0))))</f>
        <v>44672</v>
      </c>
      <c r="Z479" s="536" t="str">
        <f t="shared" si="211"/>
        <v>Thu</v>
      </c>
      <c r="AA479" s="531">
        <f t="shared" si="212"/>
        <v>31</v>
      </c>
      <c r="AB479" s="535">
        <f t="shared" si="200"/>
        <v>44794</v>
      </c>
      <c r="AC479" s="537">
        <f t="shared" si="201"/>
        <v>153</v>
      </c>
      <c r="AD479" s="538" t="str">
        <f t="shared" ca="1" si="202"/>
        <v>Expired</v>
      </c>
      <c r="AE479" s="537">
        <f t="shared" ca="1" si="203"/>
        <v>0</v>
      </c>
      <c r="AF479" s="539">
        <f t="shared" ca="1" si="213"/>
        <v>5</v>
      </c>
      <c r="AG479" s="531">
        <f t="shared" ca="1" si="214"/>
        <v>6625000</v>
      </c>
      <c r="AH479" s="531">
        <f t="shared" ca="1" si="215"/>
        <v>1625000</v>
      </c>
      <c r="AI479" s="531">
        <f t="shared" ca="1" si="216"/>
        <v>5000000</v>
      </c>
      <c r="AJ479" s="531">
        <f t="shared" ca="1" si="217"/>
        <v>0</v>
      </c>
      <c r="AK479" s="540">
        <f>SUMIFS('Live Collections'!$S:$S,'Live Collections'!$D:$D,Disbursements!B479,'Live Collections'!$G:$G,Disbursements!C479)</f>
        <v>650000</v>
      </c>
      <c r="AL479" s="540">
        <f>SUMIFS('Live Collections'!$T:$T,'Live Collections'!$D:$D,Disbursements!B479,'Live Collections'!$G:$G,Disbursements!C479)</f>
        <v>2000000</v>
      </c>
      <c r="AM479" s="541">
        <f t="shared" si="218"/>
        <v>2650000</v>
      </c>
      <c r="AN479" s="542">
        <f t="shared" si="219"/>
        <v>975000</v>
      </c>
      <c r="AO479" s="542">
        <f t="shared" si="220"/>
        <v>3000000</v>
      </c>
      <c r="AP479" s="543">
        <f t="shared" si="221"/>
        <v>3975000</v>
      </c>
      <c r="AQ479" s="544">
        <f t="shared" ca="1" si="222"/>
        <v>3975000</v>
      </c>
      <c r="AR479" s="545">
        <f t="shared" ca="1" si="223"/>
        <v>3</v>
      </c>
      <c r="AS479" s="545">
        <f ca="1">IFERROR(CEILING($AR479*VLOOKUP($I479,Ref!$B$23:$E$29,4,0),1),0)</f>
        <v>90</v>
      </c>
      <c r="AT479" s="545" t="str">
        <f ca="1">IF(A479="","",IF(AP479&lt;=1,"Cleared",IF(AS479=0,"Clean",VLOOKUP($AS479,Ref!$G$23:$H$28,2))))</f>
        <v>3.(61-90) Days</v>
      </c>
      <c r="AU479" s="546" t="str">
        <f t="shared" si="224"/>
        <v>Ok</v>
      </c>
    </row>
    <row r="480" spans="1:47" ht="14.25" customHeight="1" x14ac:dyDescent="0.15">
      <c r="A480" s="575">
        <v>44642</v>
      </c>
      <c r="B480" s="523">
        <v>235</v>
      </c>
      <c r="C480" s="523">
        <v>478</v>
      </c>
      <c r="D480" s="523">
        <v>3</v>
      </c>
      <c r="E480" s="579" t="s">
        <v>1275</v>
      </c>
      <c r="F480" s="580">
        <v>1200000</v>
      </c>
      <c r="G480" s="524">
        <v>2</v>
      </c>
      <c r="H480" s="555">
        <v>7.4999999999999997E-2</v>
      </c>
      <c r="I480" s="560" t="s">
        <v>859</v>
      </c>
      <c r="J480" s="523" t="s">
        <v>863</v>
      </c>
      <c r="K480" s="528" t="str">
        <f>IFERROR(VLOOKUP($B480,'Clients-Live'!$A:$C,3,0),"")</f>
        <v>AMULE ISAAC</v>
      </c>
      <c r="L480" s="528">
        <f>IF(E480="STL",Pricing!$D$38,IF(A480="",0,IF(A480&lt;Pricing!$C$25,Pricing!$D$25,VLOOKUP(Disbursements!$F480,Pricing!$B$29:$D$32,3))))</f>
        <v>25000</v>
      </c>
      <c r="M480" s="528">
        <f>IF(E480="STL",0,IF(F480&gt;0,Pricing!$D$21,0))</f>
        <v>5000</v>
      </c>
      <c r="N480" s="529">
        <f>IF(E480="STL",F480*Pricing!$D$40,IF(A480&lt;=Pricing!$C$4,0,IF(AND(A480&gt;Pricing!$C$4,Disbursements!A480&lt;=Pricing!$C$5),F480*Pricing!$E$5,IF(AND(A480&gt;Pricing!$C$5,Disbursements!A480&lt;=Pricing!$C$7),VLOOKUP(F480,Pricing!$D$7:$E$8,2)*Disbursements!F480,F480*Pricing!$E$9))))</f>
        <v>24000</v>
      </c>
      <c r="O480" s="528">
        <f>IF(E480="STL",0,IF($F480&gt;0,$F480*Pricing!$D$17,0))</f>
        <v>120000</v>
      </c>
      <c r="P480" s="530">
        <f t="shared" si="204"/>
        <v>180000</v>
      </c>
      <c r="Q480" s="531">
        <f>IF($A480="","",$G480/VLOOKUP($I480,Ref!$B$23:$D$29,2,0))</f>
        <v>2</v>
      </c>
      <c r="R480" s="530">
        <f t="shared" si="205"/>
        <v>1380000</v>
      </c>
      <c r="S480" s="532">
        <f t="shared" si="199"/>
        <v>690000</v>
      </c>
      <c r="T480" s="531">
        <f t="shared" si="206"/>
        <v>690000</v>
      </c>
      <c r="U480" s="533">
        <f t="shared" si="207"/>
        <v>1380000</v>
      </c>
      <c r="V480" s="531">
        <f t="shared" si="208"/>
        <v>600000</v>
      </c>
      <c r="W480" s="531">
        <f t="shared" si="209"/>
        <v>90000</v>
      </c>
      <c r="X480" s="534">
        <f t="shared" si="210"/>
        <v>180000</v>
      </c>
      <c r="Y480" s="535">
        <f>IF($A480="","",IF($I480="weekly",$A480+7,EDATE($A480,VLOOKUP($I480,Ref!$B$24:$C$29,2,0))))</f>
        <v>44673</v>
      </c>
      <c r="Z480" s="536" t="str">
        <f t="shared" si="211"/>
        <v>Frid</v>
      </c>
      <c r="AA480" s="531">
        <f t="shared" si="212"/>
        <v>31</v>
      </c>
      <c r="AB480" s="535">
        <f t="shared" si="200"/>
        <v>44703</v>
      </c>
      <c r="AC480" s="537">
        <f t="shared" si="201"/>
        <v>61</v>
      </c>
      <c r="AD480" s="538" t="str">
        <f t="shared" ca="1" si="202"/>
        <v>Expired</v>
      </c>
      <c r="AE480" s="537">
        <f t="shared" ca="1" si="203"/>
        <v>0</v>
      </c>
      <c r="AF480" s="539">
        <f t="shared" ca="1" si="213"/>
        <v>2</v>
      </c>
      <c r="AG480" s="531">
        <f t="shared" ca="1" si="214"/>
        <v>1380000</v>
      </c>
      <c r="AH480" s="531">
        <f t="shared" ca="1" si="215"/>
        <v>180000</v>
      </c>
      <c r="AI480" s="531">
        <f t="shared" ca="1" si="216"/>
        <v>1200000</v>
      </c>
      <c r="AJ480" s="531">
        <f t="shared" ca="1" si="217"/>
        <v>0</v>
      </c>
      <c r="AK480" s="540">
        <f>SUMIFS('Live Collections'!$S:$S,'Live Collections'!$D:$D,Disbursements!B480,'Live Collections'!$G:$G,Disbursements!C480)</f>
        <v>180000</v>
      </c>
      <c r="AL480" s="540">
        <f>SUMIFS('Live Collections'!$T:$T,'Live Collections'!$D:$D,Disbursements!B480,'Live Collections'!$G:$G,Disbursements!C480)</f>
        <v>670000</v>
      </c>
      <c r="AM480" s="541">
        <f t="shared" si="218"/>
        <v>850000</v>
      </c>
      <c r="AN480" s="542">
        <f t="shared" si="219"/>
        <v>0</v>
      </c>
      <c r="AO480" s="542">
        <f t="shared" si="220"/>
        <v>530000</v>
      </c>
      <c r="AP480" s="543">
        <f t="shared" si="221"/>
        <v>530000</v>
      </c>
      <c r="AQ480" s="544">
        <f t="shared" ca="1" si="222"/>
        <v>530000</v>
      </c>
      <c r="AR480" s="545">
        <f t="shared" ca="1" si="223"/>
        <v>0.76811594202898548</v>
      </c>
      <c r="AS480" s="545">
        <f ca="1">IFERROR(CEILING($AR480*VLOOKUP($I480,Ref!$B$23:$E$29,4,0),1),0)</f>
        <v>24</v>
      </c>
      <c r="AT480" s="545" t="str">
        <f ca="1">IF(A480="","",IF(AP480&lt;=1,"Cleared",IF(AS480=0,"Clean",VLOOKUP($AS480,Ref!$G$23:$H$28,2))))</f>
        <v>1.(0-30) Days</v>
      </c>
      <c r="AU480" s="546" t="str">
        <f t="shared" si="224"/>
        <v>Ok</v>
      </c>
    </row>
    <row r="481" spans="1:47" ht="14.25" hidden="1" customHeight="1" x14ac:dyDescent="0.15">
      <c r="A481" s="575">
        <v>44642</v>
      </c>
      <c r="B481" s="523">
        <v>61</v>
      </c>
      <c r="C481" s="523">
        <v>479</v>
      </c>
      <c r="D481" s="523">
        <v>3</v>
      </c>
      <c r="E481" s="579" t="s">
        <v>1274</v>
      </c>
      <c r="F481" s="580">
        <v>300000</v>
      </c>
      <c r="G481" s="524">
        <v>4</v>
      </c>
      <c r="H481" s="555">
        <v>6.5000000000000002E-2</v>
      </c>
      <c r="I481" s="560" t="s">
        <v>859</v>
      </c>
      <c r="J481" s="523" t="s">
        <v>862</v>
      </c>
      <c r="K481" s="528" t="str">
        <f>IFERROR(VLOOKUP($B481,'Clients-Live'!$A:$C,3,0),"")</f>
        <v>AREDU RUKIA</v>
      </c>
      <c r="L481" s="528">
        <f>IF(E481="STL",Pricing!$D$38,IF(A481="",0,IF(A481&lt;Pricing!$C$25,Pricing!$D$25,VLOOKUP(Disbursements!$F481,Pricing!$B$29:$D$32,3))))</f>
        <v>15000</v>
      </c>
      <c r="M481" s="528">
        <f>IF(E481="STL",0,IF(F481&gt;0,Pricing!$D$21,0))</f>
        <v>5000</v>
      </c>
      <c r="N481" s="529">
        <f>IF(E481="STL",F481*Pricing!$D$40,IF(A481&lt;=Pricing!$C$4,0,IF(AND(A481&gt;Pricing!$C$4,Disbursements!A481&lt;=Pricing!$C$5),F481*Pricing!$E$5,IF(AND(A481&gt;Pricing!$C$5,Disbursements!A481&lt;=Pricing!$C$7),VLOOKUP(F481,Pricing!$D$7:$E$8,2)*Disbursements!F481,F481*Pricing!$E$9))))</f>
        <v>6000</v>
      </c>
      <c r="O481" s="528">
        <f>IF(E481="STL",0,IF($F481&gt;0,$F481*Pricing!$D$17,0))</f>
        <v>30000</v>
      </c>
      <c r="P481" s="530">
        <f t="shared" si="204"/>
        <v>78000</v>
      </c>
      <c r="Q481" s="531">
        <f>IF($A481="","",$G481/VLOOKUP($I481,Ref!$B$23:$D$29,2,0))</f>
        <v>4</v>
      </c>
      <c r="R481" s="530">
        <f t="shared" si="205"/>
        <v>378000</v>
      </c>
      <c r="S481" s="532">
        <f t="shared" si="199"/>
        <v>94500</v>
      </c>
      <c r="T481" s="531">
        <f t="shared" si="206"/>
        <v>95000</v>
      </c>
      <c r="U481" s="533">
        <f t="shared" si="207"/>
        <v>380000</v>
      </c>
      <c r="V481" s="531">
        <f t="shared" si="208"/>
        <v>75000</v>
      </c>
      <c r="W481" s="531">
        <f t="shared" si="209"/>
        <v>20000</v>
      </c>
      <c r="X481" s="534">
        <f t="shared" si="210"/>
        <v>80000</v>
      </c>
      <c r="Y481" s="535">
        <f>IF($A481="","",IF($I481="weekly",$A481+7,EDATE($A481,VLOOKUP($I481,Ref!$B$24:$C$29,2,0))))</f>
        <v>44673</v>
      </c>
      <c r="Z481" s="536" t="str">
        <f t="shared" si="211"/>
        <v>Frid</v>
      </c>
      <c r="AA481" s="531">
        <f t="shared" si="212"/>
        <v>31</v>
      </c>
      <c r="AB481" s="535">
        <f t="shared" si="200"/>
        <v>44764</v>
      </c>
      <c r="AC481" s="537">
        <f t="shared" si="201"/>
        <v>122</v>
      </c>
      <c r="AD481" s="538" t="str">
        <f t="shared" ca="1" si="202"/>
        <v>Expired</v>
      </c>
      <c r="AE481" s="537">
        <f t="shared" ca="1" si="203"/>
        <v>0</v>
      </c>
      <c r="AF481" s="539">
        <f t="shared" ca="1" si="213"/>
        <v>4</v>
      </c>
      <c r="AG481" s="531">
        <f t="shared" ca="1" si="214"/>
        <v>380000</v>
      </c>
      <c r="AH481" s="531">
        <f t="shared" ca="1" si="215"/>
        <v>80000</v>
      </c>
      <c r="AI481" s="531">
        <f t="shared" ca="1" si="216"/>
        <v>300000</v>
      </c>
      <c r="AJ481" s="531">
        <f t="shared" ca="1" si="217"/>
        <v>0</v>
      </c>
      <c r="AK481" s="540">
        <f>SUMIFS('Live Collections'!$S:$S,'Live Collections'!$D:$D,Disbursements!B481,'Live Collections'!$G:$G,Disbursements!C481)</f>
        <v>40000</v>
      </c>
      <c r="AL481" s="540">
        <f>SUMIFS('Live Collections'!$T:$T,'Live Collections'!$D:$D,Disbursements!B481,'Live Collections'!$G:$G,Disbursements!C481)</f>
        <v>149000</v>
      </c>
      <c r="AM481" s="541">
        <f t="shared" si="218"/>
        <v>189000</v>
      </c>
      <c r="AN481" s="542">
        <f t="shared" si="219"/>
        <v>40000</v>
      </c>
      <c r="AO481" s="542">
        <f t="shared" si="220"/>
        <v>151000</v>
      </c>
      <c r="AP481" s="543">
        <f t="shared" si="221"/>
        <v>191000</v>
      </c>
      <c r="AQ481" s="544">
        <f t="shared" ca="1" si="222"/>
        <v>191000</v>
      </c>
      <c r="AR481" s="545">
        <f t="shared" ca="1" si="223"/>
        <v>2.0105263157894737</v>
      </c>
      <c r="AS481" s="545">
        <f ca="1">IFERROR(CEILING($AR481*VLOOKUP($I481,Ref!$B$23:$E$29,4,0),1),0)</f>
        <v>61</v>
      </c>
      <c r="AT481" s="545" t="str">
        <f ca="1">IF(A481="","",IF(AP481&lt;=1,"Cleared",IF(AS481=0,"Clean",VLOOKUP($AS481,Ref!$G$23:$H$28,2))))</f>
        <v>3.(61-90) Days</v>
      </c>
      <c r="AU481" s="546" t="str">
        <f t="shared" si="224"/>
        <v>Ok</v>
      </c>
    </row>
    <row r="482" spans="1:47" ht="14.25" hidden="1" customHeight="1" x14ac:dyDescent="0.15">
      <c r="A482" s="575">
        <v>44642</v>
      </c>
      <c r="B482" s="523">
        <v>338</v>
      </c>
      <c r="C482" s="523">
        <v>480</v>
      </c>
      <c r="D482" s="523">
        <v>1</v>
      </c>
      <c r="E482" s="579" t="s">
        <v>1274</v>
      </c>
      <c r="F482" s="580">
        <v>300000</v>
      </c>
      <c r="G482" s="524">
        <v>4</v>
      </c>
      <c r="H482" s="555">
        <v>6.5000000000000002E-2</v>
      </c>
      <c r="I482" s="560" t="s">
        <v>861</v>
      </c>
      <c r="J482" s="523" t="s">
        <v>863</v>
      </c>
      <c r="K482" s="528" t="str">
        <f>IFERROR(VLOOKUP($B482,'Clients-Live'!$A:$C,3,0),"")</f>
        <v>ASERU MARY</v>
      </c>
      <c r="L482" s="528">
        <f>IF(E482="STL",Pricing!$D$38,IF(A482="",0,IF(A482&lt;Pricing!$C$25,Pricing!$D$25,VLOOKUP(Disbursements!$F482,Pricing!$B$29:$D$32,3))))</f>
        <v>15000</v>
      </c>
      <c r="M482" s="528">
        <f>IF(E482="STL",0,IF(F482&gt;0,Pricing!$D$21,0))</f>
        <v>5000</v>
      </c>
      <c r="N482" s="529">
        <f>IF(E482="STL",F482*Pricing!$D$40,IF(A482&lt;=Pricing!$C$4,0,IF(AND(A482&gt;Pricing!$C$4,Disbursements!A482&lt;=Pricing!$C$5),F482*Pricing!$E$5,IF(AND(A482&gt;Pricing!$C$5,Disbursements!A482&lt;=Pricing!$C$7),VLOOKUP(F482,Pricing!$D$7:$E$8,2)*Disbursements!F482,F482*Pricing!$E$9))))</f>
        <v>6000</v>
      </c>
      <c r="O482" s="528">
        <f>IF(E482="STL",0,IF($F482&gt;0,$F482*Pricing!$D$17,0))</f>
        <v>30000</v>
      </c>
      <c r="P482" s="530">
        <f t="shared" si="204"/>
        <v>78000</v>
      </c>
      <c r="Q482" s="531">
        <f>IF($A482="","",$G482/VLOOKUP($I482,Ref!$B$23:$D$29,2,0))</f>
        <v>16</v>
      </c>
      <c r="R482" s="530">
        <f t="shared" si="205"/>
        <v>378000</v>
      </c>
      <c r="S482" s="532">
        <f t="shared" si="199"/>
        <v>23625</v>
      </c>
      <c r="T482" s="531">
        <f t="shared" si="206"/>
        <v>24000</v>
      </c>
      <c r="U482" s="533">
        <f t="shared" si="207"/>
        <v>384000</v>
      </c>
      <c r="V482" s="531">
        <f t="shared" si="208"/>
        <v>18750</v>
      </c>
      <c r="W482" s="531">
        <f t="shared" si="209"/>
        <v>5250</v>
      </c>
      <c r="X482" s="534">
        <f t="shared" si="210"/>
        <v>84000</v>
      </c>
      <c r="Y482" s="535">
        <f>IF($A482="","",IF($I482="weekly",$A482+7,EDATE($A482,VLOOKUP($I482,Ref!$B$24:$C$29,2,0))))</f>
        <v>44649</v>
      </c>
      <c r="Z482" s="536" t="str">
        <f t="shared" si="211"/>
        <v>Tue</v>
      </c>
      <c r="AA482" s="531">
        <f t="shared" si="212"/>
        <v>7</v>
      </c>
      <c r="AB482" s="535">
        <f t="shared" si="200"/>
        <v>44764</v>
      </c>
      <c r="AC482" s="537">
        <f t="shared" si="201"/>
        <v>122</v>
      </c>
      <c r="AD482" s="538" t="str">
        <f t="shared" ca="1" si="202"/>
        <v>Expired</v>
      </c>
      <c r="AE482" s="537">
        <f t="shared" ca="1" si="203"/>
        <v>0</v>
      </c>
      <c r="AF482" s="539">
        <f t="shared" ca="1" si="213"/>
        <v>16</v>
      </c>
      <c r="AG482" s="531">
        <f t="shared" ca="1" si="214"/>
        <v>384000</v>
      </c>
      <c r="AH482" s="531">
        <f t="shared" ca="1" si="215"/>
        <v>84000</v>
      </c>
      <c r="AI482" s="531">
        <f t="shared" ca="1" si="216"/>
        <v>300000</v>
      </c>
      <c r="AJ482" s="531">
        <f t="shared" ca="1" si="217"/>
        <v>0</v>
      </c>
      <c r="AK482" s="540">
        <f>SUMIFS('Live Collections'!$S:$S,'Live Collections'!$D:$D,Disbursements!B482,'Live Collections'!$G:$G,Disbursements!C482)</f>
        <v>52500</v>
      </c>
      <c r="AL482" s="540">
        <f>SUMIFS('Live Collections'!$T:$T,'Live Collections'!$D:$D,Disbursements!B482,'Live Collections'!$G:$G,Disbursements!C482)</f>
        <v>184700</v>
      </c>
      <c r="AM482" s="541">
        <f t="shared" si="218"/>
        <v>237200</v>
      </c>
      <c r="AN482" s="542">
        <f t="shared" si="219"/>
        <v>31500</v>
      </c>
      <c r="AO482" s="542">
        <f t="shared" si="220"/>
        <v>115300</v>
      </c>
      <c r="AP482" s="543">
        <f t="shared" si="221"/>
        <v>146800</v>
      </c>
      <c r="AQ482" s="544">
        <f t="shared" ca="1" si="222"/>
        <v>146800</v>
      </c>
      <c r="AR482" s="545">
        <f t="shared" ca="1" si="223"/>
        <v>6.1166666666666663</v>
      </c>
      <c r="AS482" s="545">
        <f ca="1">IFERROR(CEILING($AR482*VLOOKUP($I482,Ref!$B$23:$E$29,4,0),1),0)</f>
        <v>43</v>
      </c>
      <c r="AT482" s="545" t="str">
        <f ca="1">IF(A482="","",IF(AP482&lt;=1,"Cleared",IF(AS482=0,"Clean",VLOOKUP($AS482,Ref!$G$23:$H$28,2))))</f>
        <v>2.(31-60) Days</v>
      </c>
      <c r="AU482" s="546" t="str">
        <f t="shared" si="224"/>
        <v>Ok</v>
      </c>
    </row>
    <row r="483" spans="1:47" ht="14.25" hidden="1" customHeight="1" x14ac:dyDescent="0.15">
      <c r="A483" s="575">
        <v>44643</v>
      </c>
      <c r="B483" s="523">
        <v>340</v>
      </c>
      <c r="C483" s="523">
        <v>481</v>
      </c>
      <c r="D483" s="523">
        <v>1</v>
      </c>
      <c r="E483" s="579" t="s">
        <v>1274</v>
      </c>
      <c r="F483" s="580">
        <v>600000</v>
      </c>
      <c r="G483" s="524">
        <v>5</v>
      </c>
      <c r="H483" s="555">
        <v>6.5000000000000002E-2</v>
      </c>
      <c r="I483" s="560" t="s">
        <v>861</v>
      </c>
      <c r="J483" s="523" t="s">
        <v>863</v>
      </c>
      <c r="K483" s="528" t="str">
        <f>IFERROR(VLOOKUP($B483,'Clients-Live'!$A:$C,3,0),"")</f>
        <v>NIGHT RAIMA</v>
      </c>
      <c r="L483" s="528">
        <f>IF(E483="STL",Pricing!$D$38,IF(A483="",0,IF(A483&lt;Pricing!$C$25,Pricing!$D$25,VLOOKUP(Disbursements!$F483,Pricing!$B$29:$D$32,3))))</f>
        <v>20000</v>
      </c>
      <c r="M483" s="528">
        <f>IF(E483="STL",0,IF(F483&gt;0,Pricing!$D$21,0))</f>
        <v>5000</v>
      </c>
      <c r="N483" s="529">
        <f>IF(E483="STL",F483*Pricing!$D$40,IF(A483&lt;=Pricing!$C$4,0,IF(AND(A483&gt;Pricing!$C$4,Disbursements!A483&lt;=Pricing!$C$5),F483*Pricing!$E$5,IF(AND(A483&gt;Pricing!$C$5,Disbursements!A483&lt;=Pricing!$C$7),VLOOKUP(F483,Pricing!$D$7:$E$8,2)*Disbursements!F483,F483*Pricing!$E$9))))</f>
        <v>12000</v>
      </c>
      <c r="O483" s="528">
        <f>IF(E483="STL",0,IF($F483&gt;0,$F483*Pricing!$D$17,0))</f>
        <v>60000</v>
      </c>
      <c r="P483" s="530">
        <f t="shared" si="204"/>
        <v>195000</v>
      </c>
      <c r="Q483" s="531">
        <f>IF($A483="","",$G483/VLOOKUP($I483,Ref!$B$23:$D$29,2,0))</f>
        <v>20</v>
      </c>
      <c r="R483" s="530">
        <f t="shared" si="205"/>
        <v>795000</v>
      </c>
      <c r="S483" s="532">
        <f t="shared" si="199"/>
        <v>39750</v>
      </c>
      <c r="T483" s="531">
        <f t="shared" si="206"/>
        <v>40000</v>
      </c>
      <c r="U483" s="533">
        <f t="shared" si="207"/>
        <v>800000</v>
      </c>
      <c r="V483" s="531">
        <f t="shared" si="208"/>
        <v>30000</v>
      </c>
      <c r="W483" s="531">
        <f t="shared" si="209"/>
        <v>10000</v>
      </c>
      <c r="X483" s="534">
        <f t="shared" si="210"/>
        <v>200000</v>
      </c>
      <c r="Y483" s="535">
        <f>IF($A483="","",IF($I483="weekly",$A483+7,EDATE($A483,VLOOKUP($I483,Ref!$B$24:$C$29,2,0))))</f>
        <v>44650</v>
      </c>
      <c r="Z483" s="536" t="str">
        <f t="shared" si="211"/>
        <v>Wed</v>
      </c>
      <c r="AA483" s="531">
        <f t="shared" si="212"/>
        <v>7</v>
      </c>
      <c r="AB483" s="535">
        <f t="shared" si="200"/>
        <v>44796</v>
      </c>
      <c r="AC483" s="537">
        <f t="shared" si="201"/>
        <v>153</v>
      </c>
      <c r="AD483" s="538" t="str">
        <f t="shared" ca="1" si="202"/>
        <v>Expired</v>
      </c>
      <c r="AE483" s="537">
        <f t="shared" ca="1" si="203"/>
        <v>0</v>
      </c>
      <c r="AF483" s="539">
        <f t="shared" ca="1" si="213"/>
        <v>20</v>
      </c>
      <c r="AG483" s="531">
        <f t="shared" ca="1" si="214"/>
        <v>800000</v>
      </c>
      <c r="AH483" s="531">
        <f t="shared" ca="1" si="215"/>
        <v>200000</v>
      </c>
      <c r="AI483" s="531">
        <f t="shared" ca="1" si="216"/>
        <v>600000</v>
      </c>
      <c r="AJ483" s="531">
        <f t="shared" ca="1" si="217"/>
        <v>0</v>
      </c>
      <c r="AK483" s="540">
        <f>SUMIFS('Live Collections'!$S:$S,'Live Collections'!$D:$D,Disbursements!B483,'Live Collections'!$G:$G,Disbursements!C483)</f>
        <v>120000</v>
      </c>
      <c r="AL483" s="540">
        <f>SUMIFS('Live Collections'!$T:$T,'Live Collections'!$D:$D,Disbursements!B483,'Live Collections'!$G:$G,Disbursements!C483)</f>
        <v>600000</v>
      </c>
      <c r="AM483" s="541">
        <f t="shared" si="218"/>
        <v>720000</v>
      </c>
      <c r="AN483" s="542">
        <f t="shared" si="219"/>
        <v>80000</v>
      </c>
      <c r="AO483" s="542">
        <f t="shared" si="220"/>
        <v>0</v>
      </c>
      <c r="AP483" s="543">
        <f t="shared" si="221"/>
        <v>80000</v>
      </c>
      <c r="AQ483" s="544">
        <f t="shared" ca="1" si="222"/>
        <v>80000</v>
      </c>
      <c r="AR483" s="545">
        <f t="shared" ca="1" si="223"/>
        <v>2</v>
      </c>
      <c r="AS483" s="545">
        <f ca="1">IFERROR(CEILING($AR483*VLOOKUP($I483,Ref!$B$23:$E$29,4,0),1),0)</f>
        <v>14</v>
      </c>
      <c r="AT483" s="545" t="str">
        <f ca="1">IF(A483="","",IF(AP483&lt;=1,"Cleared",IF(AS483=0,"Clean",VLOOKUP($AS483,Ref!$G$23:$H$28,2))))</f>
        <v>1.(0-30) Days</v>
      </c>
      <c r="AU483" s="546" t="str">
        <f t="shared" si="224"/>
        <v>Ok</v>
      </c>
    </row>
    <row r="484" spans="1:47" ht="14.25" hidden="1" customHeight="1" x14ac:dyDescent="0.15">
      <c r="A484" s="575">
        <v>44645</v>
      </c>
      <c r="B484" s="523">
        <v>135</v>
      </c>
      <c r="C484" s="523">
        <v>482</v>
      </c>
      <c r="D484" s="523">
        <v>3</v>
      </c>
      <c r="E484" s="579" t="s">
        <v>1274</v>
      </c>
      <c r="F484" s="580">
        <v>550000</v>
      </c>
      <c r="G484" s="524">
        <v>5</v>
      </c>
      <c r="H484" s="555">
        <v>6.5000000000000002E-2</v>
      </c>
      <c r="I484" s="560" t="s">
        <v>859</v>
      </c>
      <c r="J484" s="523" t="s">
        <v>864</v>
      </c>
      <c r="K484" s="528" t="str">
        <f>IFERROR(VLOOKUP($B484,'Clients-Live'!$A:$C,3,0),"")</f>
        <v>SARIF SAIDI</v>
      </c>
      <c r="L484" s="528">
        <f>IF(E484="STL",Pricing!$D$38,IF(A484="",0,IF(A484&lt;Pricing!$C$25,Pricing!$D$25,VLOOKUP(Disbursements!$F484,Pricing!$B$29:$D$32,3))))</f>
        <v>20000</v>
      </c>
      <c r="M484" s="528">
        <f>IF(E484="STL",0,IF(F484&gt;0,Pricing!$D$21,0))</f>
        <v>5000</v>
      </c>
      <c r="N484" s="529">
        <f>IF(E484="STL",F484*Pricing!$D$40,IF(A484&lt;=Pricing!$C$4,0,IF(AND(A484&gt;Pricing!$C$4,Disbursements!A484&lt;=Pricing!$C$5),F484*Pricing!$E$5,IF(AND(A484&gt;Pricing!$C$5,Disbursements!A484&lt;=Pricing!$C$7),VLOOKUP(F484,Pricing!$D$7:$E$8,2)*Disbursements!F484,F484*Pricing!$E$9))))</f>
        <v>11000</v>
      </c>
      <c r="O484" s="528">
        <f>IF(E484="STL",0,IF($F484&gt;0,$F484*Pricing!$D$17,0))</f>
        <v>55000</v>
      </c>
      <c r="P484" s="530">
        <f t="shared" si="204"/>
        <v>178750</v>
      </c>
      <c r="Q484" s="531">
        <f>IF($A484="","",$G484/VLOOKUP($I484,Ref!$B$23:$D$29,2,0))</f>
        <v>5</v>
      </c>
      <c r="R484" s="530">
        <f t="shared" si="205"/>
        <v>728750</v>
      </c>
      <c r="S484" s="532">
        <f t="shared" si="199"/>
        <v>145750</v>
      </c>
      <c r="T484" s="531">
        <f t="shared" si="206"/>
        <v>146000</v>
      </c>
      <c r="U484" s="533">
        <f t="shared" si="207"/>
        <v>730000</v>
      </c>
      <c r="V484" s="531">
        <f t="shared" si="208"/>
        <v>110000</v>
      </c>
      <c r="W484" s="531">
        <f t="shared" si="209"/>
        <v>36000</v>
      </c>
      <c r="X484" s="534">
        <f t="shared" si="210"/>
        <v>180000</v>
      </c>
      <c r="Y484" s="535">
        <f>IF($A484="","",IF($I484="weekly",$A484+7,EDATE($A484,VLOOKUP($I484,Ref!$B$24:$C$29,2,0))))</f>
        <v>44676</v>
      </c>
      <c r="Z484" s="536" t="str">
        <f t="shared" si="211"/>
        <v>Mon</v>
      </c>
      <c r="AA484" s="531">
        <f t="shared" si="212"/>
        <v>31</v>
      </c>
      <c r="AB484" s="535">
        <f t="shared" si="200"/>
        <v>44798</v>
      </c>
      <c r="AC484" s="537">
        <f t="shared" si="201"/>
        <v>153</v>
      </c>
      <c r="AD484" s="538" t="str">
        <f t="shared" ca="1" si="202"/>
        <v>Expired</v>
      </c>
      <c r="AE484" s="537">
        <f t="shared" ca="1" si="203"/>
        <v>0</v>
      </c>
      <c r="AF484" s="539">
        <f t="shared" ca="1" si="213"/>
        <v>5</v>
      </c>
      <c r="AG484" s="531">
        <f t="shared" ca="1" si="214"/>
        <v>730000</v>
      </c>
      <c r="AH484" s="531">
        <f t="shared" ca="1" si="215"/>
        <v>180000</v>
      </c>
      <c r="AI484" s="531">
        <f t="shared" ca="1" si="216"/>
        <v>550000</v>
      </c>
      <c r="AJ484" s="531">
        <f t="shared" ca="1" si="217"/>
        <v>0</v>
      </c>
      <c r="AK484" s="540">
        <f>SUMIFS('Live Collections'!$S:$S,'Live Collections'!$D:$D,Disbursements!B484,'Live Collections'!$G:$G,Disbursements!C484)</f>
        <v>0</v>
      </c>
      <c r="AL484" s="540">
        <f>SUMIFS('Live Collections'!$T:$T,'Live Collections'!$D:$D,Disbursements!B484,'Live Collections'!$G:$G,Disbursements!C484)</f>
        <v>0</v>
      </c>
      <c r="AM484" s="541">
        <f t="shared" si="218"/>
        <v>0</v>
      </c>
      <c r="AN484" s="542">
        <f t="shared" si="219"/>
        <v>180000</v>
      </c>
      <c r="AO484" s="542">
        <f t="shared" si="220"/>
        <v>550000</v>
      </c>
      <c r="AP484" s="543">
        <f t="shared" si="221"/>
        <v>730000</v>
      </c>
      <c r="AQ484" s="544">
        <f t="shared" ca="1" si="222"/>
        <v>730000</v>
      </c>
      <c r="AR484" s="545">
        <f t="shared" ca="1" si="223"/>
        <v>5</v>
      </c>
      <c r="AS484" s="545">
        <f ca="1">IFERROR(CEILING($AR484*VLOOKUP($I484,Ref!$B$23:$E$29,4,0),1),0)</f>
        <v>150</v>
      </c>
      <c r="AT484" s="545" t="str">
        <f ca="1">IF(A484="","",IF(AP484&lt;=1,"Cleared",IF(AS484=0,"Clean",VLOOKUP($AS484,Ref!$G$23:$H$28,2))))</f>
        <v>4.(91-365) Days</v>
      </c>
      <c r="AU484" s="546" t="str">
        <f t="shared" si="224"/>
        <v>Ok</v>
      </c>
    </row>
    <row r="485" spans="1:47" ht="14.25" customHeight="1" x14ac:dyDescent="0.15">
      <c r="A485" s="575">
        <v>44645</v>
      </c>
      <c r="B485" s="523">
        <v>1</v>
      </c>
      <c r="C485" s="523">
        <v>483</v>
      </c>
      <c r="D485" s="523">
        <v>3</v>
      </c>
      <c r="E485" s="579" t="s">
        <v>1976</v>
      </c>
      <c r="F485" s="580">
        <v>5500000</v>
      </c>
      <c r="G485" s="524">
        <v>2</v>
      </c>
      <c r="H485" s="555">
        <v>2.5000000000000001E-2</v>
      </c>
      <c r="I485" s="560" t="s">
        <v>859</v>
      </c>
      <c r="J485" s="523" t="s">
        <v>863</v>
      </c>
      <c r="K485" s="528" t="str">
        <f>IFERROR(VLOOKUP($B485,'Clients-Live'!$A:$C,3,0),"")</f>
        <v>TABAN NICHOLAS</v>
      </c>
      <c r="L485" s="528">
        <f>IF(E485="STL",Pricing!$D$38,IF(A485="",0,IF(A485&lt;Pricing!$C$25,Pricing!$D$25,VLOOKUP(Disbursements!$F485,Pricing!$B$29:$D$32,3))))</f>
        <v>10000</v>
      </c>
      <c r="M485" s="528">
        <f>IF(E485="STL",0,IF(F485&gt;0,Pricing!$D$21,0))</f>
        <v>0</v>
      </c>
      <c r="N485" s="529">
        <f>IF(E485="STL",F485*Pricing!$D$40,IF(A485&lt;=Pricing!$C$4,0,IF(AND(A485&gt;Pricing!$C$4,Disbursements!A485&lt;=Pricing!$C$5),F485*Pricing!$E$5,IF(AND(A485&gt;Pricing!$C$5,Disbursements!A485&lt;=Pricing!$C$7),VLOOKUP(F485,Pricing!$D$7:$E$8,2)*Disbursements!F485,F485*Pricing!$E$9))))</f>
        <v>55000</v>
      </c>
      <c r="O485" s="528">
        <f>IF(E485="STL",0,IF($F485&gt;0,$F485*Pricing!$D$17,0))</f>
        <v>0</v>
      </c>
      <c r="P485" s="530">
        <f t="shared" si="204"/>
        <v>275000</v>
      </c>
      <c r="Q485" s="531">
        <f>IF($A485="","",$G485/VLOOKUP($I485,Ref!$B$23:$D$29,2,0))</f>
        <v>2</v>
      </c>
      <c r="R485" s="530">
        <f t="shared" si="205"/>
        <v>5775000</v>
      </c>
      <c r="S485" s="532">
        <f t="shared" si="199"/>
        <v>2887500</v>
      </c>
      <c r="T485" s="531">
        <f t="shared" si="206"/>
        <v>2888000</v>
      </c>
      <c r="U485" s="533">
        <f t="shared" si="207"/>
        <v>5776000</v>
      </c>
      <c r="V485" s="531">
        <f t="shared" si="208"/>
        <v>2750000</v>
      </c>
      <c r="W485" s="531">
        <f t="shared" si="209"/>
        <v>138000</v>
      </c>
      <c r="X485" s="534">
        <f t="shared" si="210"/>
        <v>276000</v>
      </c>
      <c r="Y485" s="535">
        <f>IF($A485="","",IF($I485="weekly",$A485+7,EDATE($A485,VLOOKUP($I485,Ref!$B$24:$C$29,2,0))))</f>
        <v>44676</v>
      </c>
      <c r="Z485" s="536" t="str">
        <f t="shared" si="211"/>
        <v>Mon</v>
      </c>
      <c r="AA485" s="531">
        <f t="shared" si="212"/>
        <v>31</v>
      </c>
      <c r="AB485" s="535">
        <f t="shared" si="200"/>
        <v>44706</v>
      </c>
      <c r="AC485" s="537">
        <f t="shared" si="201"/>
        <v>61</v>
      </c>
      <c r="AD485" s="538" t="str">
        <f t="shared" ca="1" si="202"/>
        <v>Expired</v>
      </c>
      <c r="AE485" s="537">
        <f t="shared" ca="1" si="203"/>
        <v>0</v>
      </c>
      <c r="AF485" s="539">
        <f t="shared" ca="1" si="213"/>
        <v>2</v>
      </c>
      <c r="AG485" s="531">
        <f t="shared" ca="1" si="214"/>
        <v>5776000</v>
      </c>
      <c r="AH485" s="531">
        <f t="shared" ca="1" si="215"/>
        <v>276000</v>
      </c>
      <c r="AI485" s="531">
        <f t="shared" ca="1" si="216"/>
        <v>5500000</v>
      </c>
      <c r="AJ485" s="531">
        <f t="shared" ca="1" si="217"/>
        <v>0</v>
      </c>
      <c r="AK485" s="540">
        <f>SUMIFS('Live Collections'!$S:$S,'Live Collections'!$D:$D,Disbursements!B485,'Live Collections'!$G:$G,Disbursements!C485)</f>
        <v>0</v>
      </c>
      <c r="AL485" s="540">
        <f>SUMIFS('Live Collections'!$T:$T,'Live Collections'!$D:$D,Disbursements!B485,'Live Collections'!$G:$G,Disbursements!C485)</f>
        <v>0</v>
      </c>
      <c r="AM485" s="541">
        <f t="shared" si="218"/>
        <v>0</v>
      </c>
      <c r="AN485" s="542">
        <f t="shared" si="219"/>
        <v>276000</v>
      </c>
      <c r="AO485" s="542">
        <f t="shared" si="220"/>
        <v>5500000</v>
      </c>
      <c r="AP485" s="543">
        <f t="shared" si="221"/>
        <v>5776000</v>
      </c>
      <c r="AQ485" s="544">
        <f t="shared" ca="1" si="222"/>
        <v>5776000</v>
      </c>
      <c r="AR485" s="545">
        <f t="shared" ca="1" si="223"/>
        <v>2</v>
      </c>
      <c r="AS485" s="545">
        <f ca="1">IFERROR(CEILING($AR485*VLOOKUP($I485,Ref!$B$23:$E$29,4,0),1),0)</f>
        <v>60</v>
      </c>
      <c r="AT485" s="545" t="str">
        <f ca="1">IF(A485="","",IF(AP485&lt;=1,"Cleared",IF(AS485=0,"Clean",VLOOKUP($AS485,Ref!$G$23:$H$28,2))))</f>
        <v>2.(31-60) Days</v>
      </c>
      <c r="AU485" s="546" t="str">
        <f t="shared" si="224"/>
        <v>Ok</v>
      </c>
    </row>
    <row r="486" spans="1:47" ht="14.25" hidden="1" customHeight="1" x14ac:dyDescent="0.15">
      <c r="A486" s="575">
        <v>44645</v>
      </c>
      <c r="B486" s="523">
        <v>344</v>
      </c>
      <c r="C486" s="523">
        <v>484</v>
      </c>
      <c r="D486" s="523">
        <v>1</v>
      </c>
      <c r="E486" s="579" t="s">
        <v>1274</v>
      </c>
      <c r="F486" s="580">
        <v>1000000</v>
      </c>
      <c r="G486" s="524">
        <v>4</v>
      </c>
      <c r="H486" s="555">
        <v>6.5000000000000002E-2</v>
      </c>
      <c r="I486" s="560" t="s">
        <v>859</v>
      </c>
      <c r="J486" s="523" t="s">
        <v>863</v>
      </c>
      <c r="K486" s="528" t="str">
        <f>IFERROR(VLOOKUP($B486,'Clients-Live'!$A:$C,3,0),"")</f>
        <v>ADAM MUSA LEMERIGA</v>
      </c>
      <c r="L486" s="528">
        <f>IF(E486="STL",Pricing!$D$38,IF(A486="",0,IF(A486&lt;Pricing!$C$25,Pricing!$D$25,VLOOKUP(Disbursements!$F486,Pricing!$B$29:$D$32,3))))</f>
        <v>20000</v>
      </c>
      <c r="M486" s="528">
        <f>IF(E486="STL",0,IF(F486&gt;0,Pricing!$D$21,0))</f>
        <v>5000</v>
      </c>
      <c r="N486" s="529">
        <f>IF(E486="STL",F486*Pricing!$D$40,IF(A486&lt;=Pricing!$C$4,0,IF(AND(A486&gt;Pricing!$C$4,Disbursements!A486&lt;=Pricing!$C$5),F486*Pricing!$E$5,IF(AND(A486&gt;Pricing!$C$5,Disbursements!A486&lt;=Pricing!$C$7),VLOOKUP(F486,Pricing!$D$7:$E$8,2)*Disbursements!F486,F486*Pricing!$E$9))))</f>
        <v>20000</v>
      </c>
      <c r="O486" s="528">
        <f>IF(E486="STL",0,IF($F486&gt;0,$F486*Pricing!$D$17,0))</f>
        <v>100000</v>
      </c>
      <c r="P486" s="530">
        <f t="shared" si="204"/>
        <v>260000</v>
      </c>
      <c r="Q486" s="531">
        <f>IF($A486="","",$G486/VLOOKUP($I486,Ref!$B$23:$D$29,2,0))</f>
        <v>4</v>
      </c>
      <c r="R486" s="530">
        <f t="shared" si="205"/>
        <v>1260000</v>
      </c>
      <c r="S486" s="532">
        <f t="shared" si="199"/>
        <v>315000</v>
      </c>
      <c r="T486" s="531">
        <f t="shared" si="206"/>
        <v>315000</v>
      </c>
      <c r="U486" s="533">
        <f t="shared" si="207"/>
        <v>1260000</v>
      </c>
      <c r="V486" s="531">
        <f t="shared" si="208"/>
        <v>250000</v>
      </c>
      <c r="W486" s="531">
        <f t="shared" si="209"/>
        <v>65000</v>
      </c>
      <c r="X486" s="534">
        <f t="shared" si="210"/>
        <v>260000</v>
      </c>
      <c r="Y486" s="535">
        <f>IF($A486="","",IF($I486="weekly",$A486+7,EDATE($A486,VLOOKUP($I486,Ref!$B$24:$C$29,2,0))))</f>
        <v>44676</v>
      </c>
      <c r="Z486" s="536" t="str">
        <f t="shared" si="211"/>
        <v>Mon</v>
      </c>
      <c r="AA486" s="531">
        <f t="shared" si="212"/>
        <v>31</v>
      </c>
      <c r="AB486" s="535">
        <f t="shared" si="200"/>
        <v>44767</v>
      </c>
      <c r="AC486" s="537">
        <f t="shared" si="201"/>
        <v>122</v>
      </c>
      <c r="AD486" s="538" t="str">
        <f t="shared" ca="1" si="202"/>
        <v>Expired</v>
      </c>
      <c r="AE486" s="537">
        <f t="shared" ca="1" si="203"/>
        <v>0</v>
      </c>
      <c r="AF486" s="539">
        <f t="shared" ca="1" si="213"/>
        <v>4</v>
      </c>
      <c r="AG486" s="531">
        <f t="shared" ca="1" si="214"/>
        <v>1260000</v>
      </c>
      <c r="AH486" s="531">
        <f t="shared" ca="1" si="215"/>
        <v>260000</v>
      </c>
      <c r="AI486" s="531">
        <f t="shared" ca="1" si="216"/>
        <v>1000000</v>
      </c>
      <c r="AJ486" s="531">
        <f t="shared" ca="1" si="217"/>
        <v>0</v>
      </c>
      <c r="AK486" s="540">
        <f>SUMIFS('Live Collections'!$S:$S,'Live Collections'!$D:$D,Disbursements!B486,'Live Collections'!$G:$G,Disbursements!C486)</f>
        <v>195000</v>
      </c>
      <c r="AL486" s="540">
        <f>SUMIFS('Live Collections'!$T:$T,'Live Collections'!$D:$D,Disbursements!B486,'Live Collections'!$G:$G,Disbursements!C486)</f>
        <v>325000</v>
      </c>
      <c r="AM486" s="541">
        <f t="shared" si="218"/>
        <v>520000</v>
      </c>
      <c r="AN486" s="542">
        <f t="shared" si="219"/>
        <v>65000</v>
      </c>
      <c r="AO486" s="542">
        <f t="shared" si="220"/>
        <v>675000</v>
      </c>
      <c r="AP486" s="543">
        <f t="shared" si="221"/>
        <v>740000</v>
      </c>
      <c r="AQ486" s="544">
        <f t="shared" ca="1" si="222"/>
        <v>740000</v>
      </c>
      <c r="AR486" s="545">
        <f t="shared" ca="1" si="223"/>
        <v>2.3492063492063493</v>
      </c>
      <c r="AS486" s="545">
        <f ca="1">IFERROR(CEILING($AR486*VLOOKUP($I486,Ref!$B$23:$E$29,4,0),1),0)</f>
        <v>71</v>
      </c>
      <c r="AT486" s="545" t="str">
        <f ca="1">IF(A486="","",IF(AP486&lt;=1,"Cleared",IF(AS486=0,"Clean",VLOOKUP($AS486,Ref!$G$23:$H$28,2))))</f>
        <v>3.(61-90) Days</v>
      </c>
      <c r="AU486" s="546" t="str">
        <f t="shared" si="224"/>
        <v>Ok</v>
      </c>
    </row>
    <row r="487" spans="1:47" ht="14.25" hidden="1" customHeight="1" x14ac:dyDescent="0.15">
      <c r="A487" s="575">
        <v>44645</v>
      </c>
      <c r="B487" s="523">
        <v>343</v>
      </c>
      <c r="C487" s="523">
        <v>485</v>
      </c>
      <c r="D487" s="523">
        <v>1</v>
      </c>
      <c r="E487" s="579" t="s">
        <v>1274</v>
      </c>
      <c r="F487" s="580">
        <v>3000000</v>
      </c>
      <c r="G487" s="524">
        <v>6</v>
      </c>
      <c r="H487" s="555">
        <v>6.5000000000000002E-2</v>
      </c>
      <c r="I487" s="560" t="s">
        <v>859</v>
      </c>
      <c r="J487" s="523" t="s">
        <v>863</v>
      </c>
      <c r="K487" s="528" t="str">
        <f>IFERROR(VLOOKUP($B487,'Clients-Live'!$A:$C,3,0),"")</f>
        <v>MAMBO EDWARD</v>
      </c>
      <c r="L487" s="528">
        <f>IF(E487="STL",Pricing!$D$38,IF(A487="",0,IF(A487&lt;Pricing!$C$25,Pricing!$D$25,VLOOKUP(Disbursements!$F487,Pricing!$B$29:$D$32,3))))</f>
        <v>30000</v>
      </c>
      <c r="M487" s="528">
        <f>IF(E487="STL",0,IF(F487&gt;0,Pricing!$D$21,0))</f>
        <v>5000</v>
      </c>
      <c r="N487" s="529">
        <f>IF(E487="STL",F487*Pricing!$D$40,IF(A487&lt;=Pricing!$C$4,0,IF(AND(A487&gt;Pricing!$C$4,Disbursements!A487&lt;=Pricing!$C$5),F487*Pricing!$E$5,IF(AND(A487&gt;Pricing!$C$5,Disbursements!A487&lt;=Pricing!$C$7),VLOOKUP(F487,Pricing!$D$7:$E$8,2)*Disbursements!F487,F487*Pricing!$E$9))))</f>
        <v>60000</v>
      </c>
      <c r="O487" s="528">
        <f>IF(E487="STL",0,IF($F487&gt;0,$F487*Pricing!$D$17,0))</f>
        <v>300000</v>
      </c>
      <c r="P487" s="530">
        <f t="shared" si="204"/>
        <v>1170000</v>
      </c>
      <c r="Q487" s="531">
        <f>IF($A487="","",$G487/VLOOKUP($I487,Ref!$B$23:$D$29,2,0))</f>
        <v>6</v>
      </c>
      <c r="R487" s="530">
        <f t="shared" si="205"/>
        <v>4170000</v>
      </c>
      <c r="S487" s="532">
        <f t="shared" si="199"/>
        <v>695000</v>
      </c>
      <c r="T487" s="531">
        <f t="shared" si="206"/>
        <v>695000</v>
      </c>
      <c r="U487" s="533">
        <f t="shared" si="207"/>
        <v>4170000</v>
      </c>
      <c r="V487" s="531">
        <f t="shared" si="208"/>
        <v>500000</v>
      </c>
      <c r="W487" s="531">
        <f t="shared" si="209"/>
        <v>195000</v>
      </c>
      <c r="X487" s="534">
        <f t="shared" si="210"/>
        <v>1170000</v>
      </c>
      <c r="Y487" s="535">
        <f>IF($A487="","",IF($I487="weekly",$A487+7,EDATE($A487,VLOOKUP($I487,Ref!$B$24:$C$29,2,0))))</f>
        <v>44676</v>
      </c>
      <c r="Z487" s="536" t="str">
        <f t="shared" si="211"/>
        <v>Mon</v>
      </c>
      <c r="AA487" s="531">
        <f t="shared" si="212"/>
        <v>31</v>
      </c>
      <c r="AB487" s="535">
        <f t="shared" si="200"/>
        <v>44829</v>
      </c>
      <c r="AC487" s="537">
        <f t="shared" si="201"/>
        <v>184</v>
      </c>
      <c r="AD487" s="538" t="str">
        <f t="shared" ca="1" si="202"/>
        <v>Expired</v>
      </c>
      <c r="AE487" s="537">
        <f t="shared" ca="1" si="203"/>
        <v>0</v>
      </c>
      <c r="AF487" s="539">
        <f t="shared" ca="1" si="213"/>
        <v>6</v>
      </c>
      <c r="AG487" s="531">
        <f t="shared" ca="1" si="214"/>
        <v>4170000</v>
      </c>
      <c r="AH487" s="531">
        <f t="shared" ca="1" si="215"/>
        <v>1170000</v>
      </c>
      <c r="AI487" s="531">
        <f t="shared" ca="1" si="216"/>
        <v>3000000</v>
      </c>
      <c r="AJ487" s="531">
        <f t="shared" ca="1" si="217"/>
        <v>0</v>
      </c>
      <c r="AK487" s="540">
        <f>SUMIFS('Live Collections'!$S:$S,'Live Collections'!$D:$D,Disbursements!B487,'Live Collections'!$G:$G,Disbursements!C487)</f>
        <v>585000</v>
      </c>
      <c r="AL487" s="540">
        <f>SUMIFS('Live Collections'!$T:$T,'Live Collections'!$D:$D,Disbursements!B487,'Live Collections'!$G:$G,Disbursements!C487)</f>
        <v>114500</v>
      </c>
      <c r="AM487" s="541">
        <f t="shared" si="218"/>
        <v>699500</v>
      </c>
      <c r="AN487" s="542">
        <f t="shared" si="219"/>
        <v>585000</v>
      </c>
      <c r="AO487" s="542">
        <f t="shared" si="220"/>
        <v>2885500</v>
      </c>
      <c r="AP487" s="543">
        <f t="shared" si="221"/>
        <v>3470500</v>
      </c>
      <c r="AQ487" s="544">
        <f t="shared" ca="1" si="222"/>
        <v>3470500</v>
      </c>
      <c r="AR487" s="545">
        <f t="shared" ca="1" si="223"/>
        <v>4.9935251798561149</v>
      </c>
      <c r="AS487" s="545">
        <f ca="1">IFERROR(CEILING($AR487*VLOOKUP($I487,Ref!$B$23:$E$29,4,0),1),0)</f>
        <v>150</v>
      </c>
      <c r="AT487" s="545" t="str">
        <f ca="1">IF(A487="","",IF(AP487&lt;=1,"Cleared",IF(AS487=0,"Clean",VLOOKUP($AS487,Ref!$G$23:$H$28,2))))</f>
        <v>4.(91-365) Days</v>
      </c>
      <c r="AU487" s="546" t="str">
        <f t="shared" si="224"/>
        <v>Ok</v>
      </c>
    </row>
    <row r="488" spans="1:47" ht="14.25" customHeight="1" x14ac:dyDescent="0.15">
      <c r="A488" s="575">
        <v>44645</v>
      </c>
      <c r="B488" s="523">
        <v>71</v>
      </c>
      <c r="C488" s="523">
        <v>486</v>
      </c>
      <c r="D488" s="523">
        <v>4</v>
      </c>
      <c r="E488" s="579" t="s">
        <v>1274</v>
      </c>
      <c r="F488" s="580">
        <v>5000000</v>
      </c>
      <c r="G488" s="524">
        <v>1</v>
      </c>
      <c r="H488" s="555">
        <v>6.5000000000000002E-2</v>
      </c>
      <c r="I488" s="560" t="s">
        <v>859</v>
      </c>
      <c r="J488" s="523" t="s">
        <v>862</v>
      </c>
      <c r="K488" s="528" t="str">
        <f>IFERROR(VLOOKUP($B488,'Clients-Live'!$A:$C,3,0),"")</f>
        <v>AYIKORU HARIET BAUDI</v>
      </c>
      <c r="L488" s="528">
        <f>IF(E488="STL",Pricing!$D$38,IF(A488="",0,IF(A488&lt;Pricing!$C$25,Pricing!$D$25,VLOOKUP(Disbursements!$F488,Pricing!$B$29:$D$32,3))))</f>
        <v>30000</v>
      </c>
      <c r="M488" s="528">
        <f>IF(E488="STL",0,IF(F488&gt;0,Pricing!$D$21,0))</f>
        <v>5000</v>
      </c>
      <c r="N488" s="529">
        <f>IF(E488="STL",F488*Pricing!$D$40,IF(A488&lt;=Pricing!$C$4,0,IF(AND(A488&gt;Pricing!$C$4,Disbursements!A488&lt;=Pricing!$C$5),F488*Pricing!$E$5,IF(AND(A488&gt;Pricing!$C$5,Disbursements!A488&lt;=Pricing!$C$7),VLOOKUP(F488,Pricing!$D$7:$E$8,2)*Disbursements!F488,F488*Pricing!$E$9))))</f>
        <v>100000</v>
      </c>
      <c r="O488" s="528">
        <f>IF(E488="STL",0,IF($F488&gt;0,$F488*Pricing!$D$17,0))</f>
        <v>500000</v>
      </c>
      <c r="P488" s="530">
        <f t="shared" si="204"/>
        <v>325000</v>
      </c>
      <c r="Q488" s="531">
        <f>IF($A488="","",$G488/VLOOKUP($I488,Ref!$B$23:$D$29,2,0))</f>
        <v>1</v>
      </c>
      <c r="R488" s="530">
        <f t="shared" si="205"/>
        <v>5325000</v>
      </c>
      <c r="S488" s="532">
        <f t="shared" si="199"/>
        <v>5325000</v>
      </c>
      <c r="T488" s="531">
        <f t="shared" si="206"/>
        <v>5325000</v>
      </c>
      <c r="U488" s="533">
        <f t="shared" si="207"/>
        <v>5325000</v>
      </c>
      <c r="V488" s="531">
        <f t="shared" si="208"/>
        <v>5000000</v>
      </c>
      <c r="W488" s="531">
        <f t="shared" si="209"/>
        <v>325000</v>
      </c>
      <c r="X488" s="534">
        <f t="shared" si="210"/>
        <v>325000</v>
      </c>
      <c r="Y488" s="535">
        <f>IF($A488="","",IF($I488="weekly",$A488+7,EDATE($A488,VLOOKUP($I488,Ref!$B$24:$C$29,2,0))))</f>
        <v>44676</v>
      </c>
      <c r="Z488" s="536" t="str">
        <f t="shared" si="211"/>
        <v>Mon</v>
      </c>
      <c r="AA488" s="531">
        <f t="shared" si="212"/>
        <v>31</v>
      </c>
      <c r="AB488" s="535">
        <f t="shared" si="200"/>
        <v>44676</v>
      </c>
      <c r="AC488" s="537">
        <f t="shared" si="201"/>
        <v>31</v>
      </c>
      <c r="AD488" s="538" t="str">
        <f t="shared" ca="1" si="202"/>
        <v>Expired</v>
      </c>
      <c r="AE488" s="537">
        <f t="shared" ca="1" si="203"/>
        <v>0</v>
      </c>
      <c r="AF488" s="539">
        <f t="shared" ca="1" si="213"/>
        <v>1</v>
      </c>
      <c r="AG488" s="531">
        <f t="shared" ca="1" si="214"/>
        <v>5325000</v>
      </c>
      <c r="AH488" s="531">
        <f t="shared" ca="1" si="215"/>
        <v>325000</v>
      </c>
      <c r="AI488" s="531">
        <f t="shared" ca="1" si="216"/>
        <v>5000000</v>
      </c>
      <c r="AJ488" s="531">
        <f t="shared" ca="1" si="217"/>
        <v>0</v>
      </c>
      <c r="AK488" s="540">
        <f>SUMIFS('Live Collections'!$S:$S,'Live Collections'!$D:$D,Disbursements!B488,'Live Collections'!$G:$G,Disbursements!C488)</f>
        <v>325000</v>
      </c>
      <c r="AL488" s="540">
        <f>SUMIFS('Live Collections'!$T:$T,'Live Collections'!$D:$D,Disbursements!B488,'Live Collections'!$G:$G,Disbursements!C488)</f>
        <v>5000000</v>
      </c>
      <c r="AM488" s="541">
        <f t="shared" si="218"/>
        <v>5325000</v>
      </c>
      <c r="AN488" s="542">
        <f t="shared" si="219"/>
        <v>0</v>
      </c>
      <c r="AO488" s="542">
        <f t="shared" si="220"/>
        <v>0</v>
      </c>
      <c r="AP488" s="543">
        <f t="shared" si="221"/>
        <v>0</v>
      </c>
      <c r="AQ488" s="544" t="str">
        <f t="shared" ca="1" si="222"/>
        <v/>
      </c>
      <c r="AR488" s="545">
        <f t="shared" ca="1" si="223"/>
        <v>0</v>
      </c>
      <c r="AS488" s="545">
        <f ca="1">IFERROR(CEILING($AR488*VLOOKUP($I488,Ref!$B$23:$E$29,4,0),1),0)</f>
        <v>0</v>
      </c>
      <c r="AT488" s="545" t="str">
        <f>IF(A488="","",IF(AP488&lt;=1,"Cleared",IF(AS488=0,"Clean",VLOOKUP($AS488,Ref!$G$23:$H$28,2))))</f>
        <v>Cleared</v>
      </c>
      <c r="AU488" s="546" t="str">
        <f t="shared" si="224"/>
        <v>Ok</v>
      </c>
    </row>
    <row r="489" spans="1:47" ht="14.25" hidden="1" customHeight="1" x14ac:dyDescent="0.15">
      <c r="A489" s="575">
        <v>44645</v>
      </c>
      <c r="B489" s="523">
        <v>248</v>
      </c>
      <c r="C489" s="523">
        <v>487</v>
      </c>
      <c r="D489" s="523">
        <v>2</v>
      </c>
      <c r="E489" s="579" t="s">
        <v>1275</v>
      </c>
      <c r="F489" s="580">
        <v>5000000</v>
      </c>
      <c r="G489" s="524">
        <v>7</v>
      </c>
      <c r="H489" s="555">
        <v>7.4999999999999997E-2</v>
      </c>
      <c r="I489" s="560" t="s">
        <v>859</v>
      </c>
      <c r="J489" s="523" t="s">
        <v>862</v>
      </c>
      <c r="K489" s="528" t="str">
        <f>IFERROR(VLOOKUP($B489,'Clients-Live'!$A:$C,3,0),"")</f>
        <v>LETARU GLORIA</v>
      </c>
      <c r="L489" s="528">
        <f>IF(E489="STL",Pricing!$D$38,IF(A489="",0,IF(A489&lt;Pricing!$C$25,Pricing!$D$25,VLOOKUP(Disbursements!$F489,Pricing!$B$29:$D$32,3))))</f>
        <v>30000</v>
      </c>
      <c r="M489" s="528">
        <f>IF(E489="STL",0,IF(F489&gt;0,Pricing!$D$21,0))</f>
        <v>5000</v>
      </c>
      <c r="N489" s="529">
        <f>IF(E489="STL",F489*Pricing!$D$40,IF(A489&lt;=Pricing!$C$4,0,IF(AND(A489&gt;Pricing!$C$4,Disbursements!A489&lt;=Pricing!$C$5),F489*Pricing!$E$5,IF(AND(A489&gt;Pricing!$C$5,Disbursements!A489&lt;=Pricing!$C$7),VLOOKUP(F489,Pricing!$D$7:$E$8,2)*Disbursements!F489,F489*Pricing!$E$9))))</f>
        <v>100000</v>
      </c>
      <c r="O489" s="528">
        <f>IF(E489="STL",0,IF($F489&gt;0,$F489*Pricing!$D$17,0))</f>
        <v>500000</v>
      </c>
      <c r="P489" s="530">
        <f t="shared" si="204"/>
        <v>2625000</v>
      </c>
      <c r="Q489" s="531">
        <f>IF($A489="","",$G489/VLOOKUP($I489,Ref!$B$23:$D$29,2,0))</f>
        <v>7</v>
      </c>
      <c r="R489" s="530">
        <f t="shared" si="205"/>
        <v>7625000</v>
      </c>
      <c r="S489" s="532">
        <f t="shared" si="199"/>
        <v>1089285.7142857143</v>
      </c>
      <c r="T489" s="531">
        <f t="shared" si="206"/>
        <v>1090000</v>
      </c>
      <c r="U489" s="533">
        <f t="shared" si="207"/>
        <v>7630000</v>
      </c>
      <c r="V489" s="531">
        <f t="shared" si="208"/>
        <v>714285.71428571432</v>
      </c>
      <c r="W489" s="531">
        <f t="shared" si="209"/>
        <v>375714.28571428568</v>
      </c>
      <c r="X489" s="534">
        <f t="shared" si="210"/>
        <v>2630000</v>
      </c>
      <c r="Y489" s="535">
        <f>IF($A489="","",IF($I489="weekly",$A489+7,EDATE($A489,VLOOKUP($I489,Ref!$B$24:$C$29,2,0))))</f>
        <v>44676</v>
      </c>
      <c r="Z489" s="536" t="str">
        <f t="shared" si="211"/>
        <v>Mon</v>
      </c>
      <c r="AA489" s="531">
        <f t="shared" si="212"/>
        <v>31</v>
      </c>
      <c r="AB489" s="535">
        <f t="shared" si="200"/>
        <v>44859</v>
      </c>
      <c r="AC489" s="537">
        <f t="shared" si="201"/>
        <v>214</v>
      </c>
      <c r="AD489" s="538" t="str">
        <f t="shared" ca="1" si="202"/>
        <v>Expired</v>
      </c>
      <c r="AE489" s="537">
        <f t="shared" ca="1" si="203"/>
        <v>0</v>
      </c>
      <c r="AF489" s="539">
        <f t="shared" ca="1" si="213"/>
        <v>7</v>
      </c>
      <c r="AG489" s="531">
        <f t="shared" ca="1" si="214"/>
        <v>7630000</v>
      </c>
      <c r="AH489" s="531">
        <f t="shared" ca="1" si="215"/>
        <v>2630000</v>
      </c>
      <c r="AI489" s="531">
        <f t="shared" ca="1" si="216"/>
        <v>5000000</v>
      </c>
      <c r="AJ489" s="531">
        <f t="shared" ca="1" si="217"/>
        <v>0</v>
      </c>
      <c r="AK489" s="540">
        <f>SUMIFS('Live Collections'!$S:$S,'Live Collections'!$D:$D,Disbursements!B489,'Live Collections'!$G:$G,Disbursements!C489)</f>
        <v>751428.57142857136</v>
      </c>
      <c r="AL489" s="540">
        <f>SUMIFS('Live Collections'!$T:$T,'Live Collections'!$D:$D,Disbursements!B489,'Live Collections'!$G:$G,Disbursements!C489)</f>
        <v>148571.42857142864</v>
      </c>
      <c r="AM489" s="541">
        <f t="shared" si="218"/>
        <v>900000</v>
      </c>
      <c r="AN489" s="542">
        <f t="shared" si="219"/>
        <v>1878571.4285714286</v>
      </c>
      <c r="AO489" s="542">
        <f t="shared" si="220"/>
        <v>4851428.5714285709</v>
      </c>
      <c r="AP489" s="543">
        <f t="shared" si="221"/>
        <v>6730000</v>
      </c>
      <c r="AQ489" s="544">
        <f t="shared" ca="1" si="222"/>
        <v>6730000</v>
      </c>
      <c r="AR489" s="545">
        <f t="shared" ca="1" si="223"/>
        <v>6.1743119266055047</v>
      </c>
      <c r="AS489" s="545">
        <f ca="1">IFERROR(CEILING($AR489*VLOOKUP($I489,Ref!$B$23:$E$29,4,0),1),0)</f>
        <v>186</v>
      </c>
      <c r="AT489" s="545" t="str">
        <f ca="1">IF(A489="","",IF(AP489&lt;=1,"Cleared",IF(AS489=0,"Clean",VLOOKUP($AS489,Ref!$G$23:$H$28,2))))</f>
        <v>4.(91-365) Days</v>
      </c>
      <c r="AU489" s="546" t="str">
        <f t="shared" si="224"/>
        <v>Ok</v>
      </c>
    </row>
    <row r="490" spans="1:47" ht="14.25" customHeight="1" x14ac:dyDescent="0.15">
      <c r="A490" s="575">
        <v>44645</v>
      </c>
      <c r="B490" s="523">
        <v>314</v>
      </c>
      <c r="C490" s="523">
        <v>488</v>
      </c>
      <c r="D490" s="523">
        <v>3</v>
      </c>
      <c r="E490" s="579" t="s">
        <v>1274</v>
      </c>
      <c r="F490" s="580">
        <v>2500000</v>
      </c>
      <c r="G490" s="524">
        <v>2</v>
      </c>
      <c r="H490" s="555">
        <v>6.5000000000000002E-2</v>
      </c>
      <c r="I490" s="560" t="s">
        <v>859</v>
      </c>
      <c r="J490" s="523" t="s">
        <v>864</v>
      </c>
      <c r="K490" s="528" t="str">
        <f>IFERROR(VLOOKUP($B490,'Clients-Live'!$A:$C,3,0),"")</f>
        <v>SHAMIM ALIGAH</v>
      </c>
      <c r="L490" s="528">
        <f>IF(E490="STL",Pricing!$D$38,IF(A490="",0,IF(A490&lt;Pricing!$C$25,Pricing!$D$25,VLOOKUP(Disbursements!$F490,Pricing!$B$29:$D$32,3))))</f>
        <v>30000</v>
      </c>
      <c r="M490" s="528">
        <f>IF(E490="STL",0,IF(F490&gt;0,Pricing!$D$21,0))</f>
        <v>5000</v>
      </c>
      <c r="N490" s="529">
        <f>IF(E490="STL",F490*Pricing!$D$40,IF(A490&lt;=Pricing!$C$4,0,IF(AND(A490&gt;Pricing!$C$4,Disbursements!A490&lt;=Pricing!$C$5),F490*Pricing!$E$5,IF(AND(A490&gt;Pricing!$C$5,Disbursements!A490&lt;=Pricing!$C$7),VLOOKUP(F490,Pricing!$D$7:$E$8,2)*Disbursements!F490,F490*Pricing!$E$9))))</f>
        <v>50000</v>
      </c>
      <c r="O490" s="528">
        <f>IF(E490="STL",0,IF($F490&gt;0,$F490*Pricing!$D$17,0))</f>
        <v>250000</v>
      </c>
      <c r="P490" s="530">
        <f t="shared" si="204"/>
        <v>325000</v>
      </c>
      <c r="Q490" s="531">
        <f>IF($A490="","",$G490/VLOOKUP($I490,Ref!$B$23:$D$29,2,0))</f>
        <v>2</v>
      </c>
      <c r="R490" s="530">
        <f t="shared" si="205"/>
        <v>2825000</v>
      </c>
      <c r="S490" s="532">
        <f t="shared" si="199"/>
        <v>1412500</v>
      </c>
      <c r="T490" s="531">
        <f t="shared" si="206"/>
        <v>1413000</v>
      </c>
      <c r="U490" s="533">
        <f t="shared" si="207"/>
        <v>2826000</v>
      </c>
      <c r="V490" s="531">
        <f t="shared" si="208"/>
        <v>1250000</v>
      </c>
      <c r="W490" s="531">
        <f t="shared" si="209"/>
        <v>163000</v>
      </c>
      <c r="X490" s="534">
        <f t="shared" si="210"/>
        <v>326000</v>
      </c>
      <c r="Y490" s="535">
        <f>IF($A490="","",IF($I490="weekly",$A490+7,EDATE($A490,VLOOKUP($I490,Ref!$B$24:$C$29,2,0))))</f>
        <v>44676</v>
      </c>
      <c r="Z490" s="536" t="str">
        <f t="shared" si="211"/>
        <v>Mon</v>
      </c>
      <c r="AA490" s="531">
        <f t="shared" si="212"/>
        <v>31</v>
      </c>
      <c r="AB490" s="535">
        <f t="shared" si="200"/>
        <v>44706</v>
      </c>
      <c r="AC490" s="537">
        <f t="shared" si="201"/>
        <v>61</v>
      </c>
      <c r="AD490" s="538" t="str">
        <f t="shared" ca="1" si="202"/>
        <v>Expired</v>
      </c>
      <c r="AE490" s="537">
        <f t="shared" ca="1" si="203"/>
        <v>0</v>
      </c>
      <c r="AF490" s="539">
        <f t="shared" ca="1" si="213"/>
        <v>2</v>
      </c>
      <c r="AG490" s="531">
        <f t="shared" ca="1" si="214"/>
        <v>2826000</v>
      </c>
      <c r="AH490" s="531">
        <f t="shared" ca="1" si="215"/>
        <v>326000</v>
      </c>
      <c r="AI490" s="531">
        <f t="shared" ca="1" si="216"/>
        <v>2500000</v>
      </c>
      <c r="AJ490" s="531">
        <f t="shared" ca="1" si="217"/>
        <v>0</v>
      </c>
      <c r="AK490" s="540">
        <f>SUMIFS('Live Collections'!$S:$S,'Live Collections'!$D:$D,Disbursements!B490,'Live Collections'!$G:$G,Disbursements!C490)</f>
        <v>326000</v>
      </c>
      <c r="AL490" s="540">
        <f>SUMIFS('Live Collections'!$T:$T,'Live Collections'!$D:$D,Disbursements!B490,'Live Collections'!$G:$G,Disbursements!C490)</f>
        <v>1274000</v>
      </c>
      <c r="AM490" s="541">
        <f t="shared" si="218"/>
        <v>1600000</v>
      </c>
      <c r="AN490" s="542">
        <f t="shared" si="219"/>
        <v>0</v>
      </c>
      <c r="AO490" s="542">
        <f t="shared" si="220"/>
        <v>1226000</v>
      </c>
      <c r="AP490" s="543">
        <f t="shared" si="221"/>
        <v>1226000</v>
      </c>
      <c r="AQ490" s="544">
        <f t="shared" ca="1" si="222"/>
        <v>1226000</v>
      </c>
      <c r="AR490" s="545">
        <f t="shared" ca="1" si="223"/>
        <v>0.86765746638358099</v>
      </c>
      <c r="AS490" s="545">
        <f ca="1">IFERROR(CEILING($AR490*VLOOKUP($I490,Ref!$B$23:$E$29,4,0),1),0)</f>
        <v>27</v>
      </c>
      <c r="AT490" s="545" t="str">
        <f ca="1">IF(A490="","",IF(AP490&lt;=1,"Cleared",IF(AS490=0,"Clean",VLOOKUP($AS490,Ref!$G$23:$H$28,2))))</f>
        <v>1.(0-30) Days</v>
      </c>
      <c r="AU490" s="546" t="str">
        <f t="shared" si="224"/>
        <v>Ok</v>
      </c>
    </row>
    <row r="491" spans="1:47" ht="14.25" hidden="1" customHeight="1" x14ac:dyDescent="0.15">
      <c r="A491" s="575">
        <v>44645</v>
      </c>
      <c r="B491" s="523">
        <v>250</v>
      </c>
      <c r="C491" s="523">
        <v>489</v>
      </c>
      <c r="D491" s="523">
        <v>3</v>
      </c>
      <c r="E491" s="579" t="s">
        <v>1274</v>
      </c>
      <c r="F491" s="580">
        <v>500000</v>
      </c>
      <c r="G491" s="524">
        <v>4</v>
      </c>
      <c r="H491" s="555">
        <v>6.5000000000000002E-2</v>
      </c>
      <c r="I491" s="560" t="s">
        <v>859</v>
      </c>
      <c r="J491" s="523" t="s">
        <v>864</v>
      </c>
      <c r="K491" s="528" t="str">
        <f>IFERROR(VLOOKUP($B491,'Clients-Live'!$A:$C,3,0),"")</f>
        <v>SAKAYA AMINA</v>
      </c>
      <c r="L491" s="528">
        <f>IF(E491="STL",Pricing!$D$38,IF(A491="",0,IF(A491&lt;Pricing!$C$25,Pricing!$D$25,VLOOKUP(Disbursements!$F491,Pricing!$B$29:$D$32,3))))</f>
        <v>15000</v>
      </c>
      <c r="M491" s="528">
        <f>IF(E491="STL",0,IF(F491&gt;0,Pricing!$D$21,0))</f>
        <v>5000</v>
      </c>
      <c r="N491" s="529">
        <f>IF(E491="STL",F491*Pricing!$D$40,IF(A491&lt;=Pricing!$C$4,0,IF(AND(A491&gt;Pricing!$C$4,Disbursements!A491&lt;=Pricing!$C$5),F491*Pricing!$E$5,IF(AND(A491&gt;Pricing!$C$5,Disbursements!A491&lt;=Pricing!$C$7),VLOOKUP(F491,Pricing!$D$7:$E$8,2)*Disbursements!F491,F491*Pricing!$E$9))))</f>
        <v>10000</v>
      </c>
      <c r="O491" s="528">
        <f>IF(E491="STL",0,IF($F491&gt;0,$F491*Pricing!$D$17,0))</f>
        <v>50000</v>
      </c>
      <c r="P491" s="530">
        <f t="shared" si="204"/>
        <v>130000</v>
      </c>
      <c r="Q491" s="531">
        <f>IF($A491="","",$G491/VLOOKUP($I491,Ref!$B$23:$D$29,2,0))</f>
        <v>4</v>
      </c>
      <c r="R491" s="530">
        <f t="shared" si="205"/>
        <v>630000</v>
      </c>
      <c r="S491" s="532">
        <f t="shared" si="199"/>
        <v>157500</v>
      </c>
      <c r="T491" s="531">
        <f t="shared" si="206"/>
        <v>158000</v>
      </c>
      <c r="U491" s="533">
        <f t="shared" si="207"/>
        <v>632000</v>
      </c>
      <c r="V491" s="531">
        <f t="shared" si="208"/>
        <v>125000</v>
      </c>
      <c r="W491" s="531">
        <f t="shared" si="209"/>
        <v>33000</v>
      </c>
      <c r="X491" s="534">
        <f t="shared" si="210"/>
        <v>132000</v>
      </c>
      <c r="Y491" s="535">
        <f>IF($A491="","",IF($I491="weekly",$A491+7,EDATE($A491,VLOOKUP($I491,Ref!$B$24:$C$29,2,0))))</f>
        <v>44676</v>
      </c>
      <c r="Z491" s="536" t="str">
        <f t="shared" si="211"/>
        <v>Mon</v>
      </c>
      <c r="AA491" s="531">
        <f t="shared" si="212"/>
        <v>31</v>
      </c>
      <c r="AB491" s="535">
        <f t="shared" si="200"/>
        <v>44767</v>
      </c>
      <c r="AC491" s="537">
        <f t="shared" si="201"/>
        <v>122</v>
      </c>
      <c r="AD491" s="538" t="str">
        <f t="shared" ca="1" si="202"/>
        <v>Expired</v>
      </c>
      <c r="AE491" s="537">
        <f t="shared" ca="1" si="203"/>
        <v>0</v>
      </c>
      <c r="AF491" s="539">
        <f t="shared" ca="1" si="213"/>
        <v>4</v>
      </c>
      <c r="AG491" s="531">
        <f t="shared" ca="1" si="214"/>
        <v>632000</v>
      </c>
      <c r="AH491" s="531">
        <f t="shared" ca="1" si="215"/>
        <v>132000</v>
      </c>
      <c r="AI491" s="531">
        <f t="shared" ca="1" si="216"/>
        <v>500000</v>
      </c>
      <c r="AJ491" s="531">
        <f t="shared" ca="1" si="217"/>
        <v>0</v>
      </c>
      <c r="AK491" s="540">
        <f>SUMIFS('Live Collections'!$S:$S,'Live Collections'!$D:$D,Disbursements!B491,'Live Collections'!$G:$G,Disbursements!C491)</f>
        <v>33000</v>
      </c>
      <c r="AL491" s="540">
        <f>SUMIFS('Live Collections'!$T:$T,'Live Collections'!$D:$D,Disbursements!B491,'Live Collections'!$G:$G,Disbursements!C491)</f>
        <v>254500</v>
      </c>
      <c r="AM491" s="541">
        <f t="shared" si="218"/>
        <v>287500</v>
      </c>
      <c r="AN491" s="542">
        <f t="shared" si="219"/>
        <v>99000</v>
      </c>
      <c r="AO491" s="542">
        <f t="shared" si="220"/>
        <v>245500</v>
      </c>
      <c r="AP491" s="543">
        <f t="shared" si="221"/>
        <v>344500</v>
      </c>
      <c r="AQ491" s="544">
        <f t="shared" ca="1" si="222"/>
        <v>344500</v>
      </c>
      <c r="AR491" s="545">
        <f t="shared" ca="1" si="223"/>
        <v>2.1803797468354431</v>
      </c>
      <c r="AS491" s="545">
        <f ca="1">IFERROR(CEILING($AR491*VLOOKUP($I491,Ref!$B$23:$E$29,4,0),1),0)</f>
        <v>66</v>
      </c>
      <c r="AT491" s="545" t="str">
        <f ca="1">IF(A491="","",IF(AP491&lt;=1,"Cleared",IF(AS491=0,"Clean",VLOOKUP($AS491,Ref!$G$23:$H$28,2))))</f>
        <v>3.(61-90) Days</v>
      </c>
      <c r="AU491" s="546" t="str">
        <f t="shared" si="224"/>
        <v>Ok</v>
      </c>
    </row>
    <row r="492" spans="1:47" ht="14.25" customHeight="1" x14ac:dyDescent="0.15">
      <c r="A492" s="575">
        <v>44645</v>
      </c>
      <c r="B492" s="523">
        <v>345</v>
      </c>
      <c r="C492" s="523">
        <v>490</v>
      </c>
      <c r="D492" s="523">
        <v>1</v>
      </c>
      <c r="E492" s="579" t="s">
        <v>1277</v>
      </c>
      <c r="F492" s="580">
        <v>300000</v>
      </c>
      <c r="G492" s="524">
        <v>1</v>
      </c>
      <c r="H492" s="555">
        <v>7.4999999999999997E-2</v>
      </c>
      <c r="I492" s="560" t="s">
        <v>859</v>
      </c>
      <c r="J492" s="523" t="s">
        <v>864</v>
      </c>
      <c r="K492" s="528" t="str">
        <f>IFERROR(VLOOKUP($B492,'Clients-Live'!$A:$C,3,0),"")</f>
        <v>MENGE ABDURAHAMAN RATIB</v>
      </c>
      <c r="L492" s="528">
        <f>IF(E492="STL",Pricing!$D$38,IF(A492="",0,IF(A492&lt;Pricing!$C$25,Pricing!$D$25,VLOOKUP(Disbursements!$F492,Pricing!$B$29:$D$32,3))))</f>
        <v>15000</v>
      </c>
      <c r="M492" s="528">
        <f>IF(E492="STL",0,IF(F492&gt;0,Pricing!$D$21,0))</f>
        <v>5000</v>
      </c>
      <c r="N492" s="529">
        <f>IF(E492="STL",F492*Pricing!$D$40,IF(A492&lt;=Pricing!$C$4,0,IF(AND(A492&gt;Pricing!$C$4,Disbursements!A492&lt;=Pricing!$C$5),F492*Pricing!$E$5,IF(AND(A492&gt;Pricing!$C$5,Disbursements!A492&lt;=Pricing!$C$7),VLOOKUP(F492,Pricing!$D$7:$E$8,2)*Disbursements!F492,F492*Pricing!$E$9))))</f>
        <v>6000</v>
      </c>
      <c r="O492" s="528">
        <f>IF(E492="STL",0,IF($F492&gt;0,$F492*Pricing!$D$17,0))</f>
        <v>30000</v>
      </c>
      <c r="P492" s="530">
        <f t="shared" si="204"/>
        <v>22500</v>
      </c>
      <c r="Q492" s="531">
        <f>IF($A492="","",$G492/VLOOKUP($I492,Ref!$B$23:$D$29,2,0))</f>
        <v>1</v>
      </c>
      <c r="R492" s="530">
        <f t="shared" si="205"/>
        <v>322500</v>
      </c>
      <c r="S492" s="532">
        <f t="shared" si="199"/>
        <v>322500</v>
      </c>
      <c r="T492" s="531">
        <f t="shared" si="206"/>
        <v>323000</v>
      </c>
      <c r="U492" s="533">
        <f t="shared" si="207"/>
        <v>323000</v>
      </c>
      <c r="V492" s="531">
        <f t="shared" si="208"/>
        <v>300000</v>
      </c>
      <c r="W492" s="531">
        <f t="shared" si="209"/>
        <v>23000</v>
      </c>
      <c r="X492" s="534">
        <f t="shared" si="210"/>
        <v>23000</v>
      </c>
      <c r="Y492" s="535">
        <f>IF($A492="","",IF($I492="weekly",$A492+7,EDATE($A492,VLOOKUP($I492,Ref!$B$24:$C$29,2,0))))</f>
        <v>44676</v>
      </c>
      <c r="Z492" s="536" t="str">
        <f t="shared" si="211"/>
        <v>Mon</v>
      </c>
      <c r="AA492" s="531">
        <f t="shared" si="212"/>
        <v>31</v>
      </c>
      <c r="AB492" s="535">
        <f t="shared" si="200"/>
        <v>44676</v>
      </c>
      <c r="AC492" s="537">
        <f t="shared" si="201"/>
        <v>31</v>
      </c>
      <c r="AD492" s="538" t="str">
        <f t="shared" ca="1" si="202"/>
        <v>Expired</v>
      </c>
      <c r="AE492" s="537">
        <f t="shared" ca="1" si="203"/>
        <v>0</v>
      </c>
      <c r="AF492" s="539">
        <f t="shared" ca="1" si="213"/>
        <v>1</v>
      </c>
      <c r="AG492" s="531">
        <f t="shared" ca="1" si="214"/>
        <v>323000</v>
      </c>
      <c r="AH492" s="531">
        <f t="shared" ca="1" si="215"/>
        <v>23000</v>
      </c>
      <c r="AI492" s="531">
        <f t="shared" ca="1" si="216"/>
        <v>300000</v>
      </c>
      <c r="AJ492" s="531">
        <f t="shared" ca="1" si="217"/>
        <v>0</v>
      </c>
      <c r="AK492" s="540">
        <f>SUMIFS('Live Collections'!$S:$S,'Live Collections'!$D:$D,Disbursements!B492,'Live Collections'!$G:$G,Disbursements!C492)</f>
        <v>23000</v>
      </c>
      <c r="AL492" s="540">
        <f>SUMIFS('Live Collections'!$T:$T,'Live Collections'!$D:$D,Disbursements!B492,'Live Collections'!$G:$G,Disbursements!C492)</f>
        <v>300000</v>
      </c>
      <c r="AM492" s="541">
        <f t="shared" si="218"/>
        <v>323000</v>
      </c>
      <c r="AN492" s="542">
        <f t="shared" si="219"/>
        <v>0</v>
      </c>
      <c r="AO492" s="542">
        <f t="shared" si="220"/>
        <v>0</v>
      </c>
      <c r="AP492" s="543">
        <f t="shared" si="221"/>
        <v>0</v>
      </c>
      <c r="AQ492" s="544" t="str">
        <f t="shared" ca="1" si="222"/>
        <v/>
      </c>
      <c r="AR492" s="545">
        <f t="shared" ca="1" si="223"/>
        <v>0</v>
      </c>
      <c r="AS492" s="545">
        <f ca="1">IFERROR(CEILING($AR492*VLOOKUP($I492,Ref!$B$23:$E$29,4,0),1),0)</f>
        <v>0</v>
      </c>
      <c r="AT492" s="545" t="str">
        <f>IF(A492="","",IF(AP492&lt;=1,"Cleared",IF(AS492=0,"Clean",VLOOKUP($AS492,Ref!$G$23:$H$28,2))))</f>
        <v>Cleared</v>
      </c>
      <c r="AU492" s="546" t="str">
        <f t="shared" si="224"/>
        <v>Ok</v>
      </c>
    </row>
    <row r="493" spans="1:47" ht="14.25" customHeight="1" x14ac:dyDescent="0.15">
      <c r="A493" s="575">
        <v>44645</v>
      </c>
      <c r="B493" s="523">
        <v>311</v>
      </c>
      <c r="C493" s="523">
        <v>491</v>
      </c>
      <c r="D493" s="523">
        <v>3</v>
      </c>
      <c r="E493" s="579" t="s">
        <v>1275</v>
      </c>
      <c r="F493" s="580">
        <v>400000</v>
      </c>
      <c r="G493" s="524">
        <v>1</v>
      </c>
      <c r="H493" s="555">
        <v>7.4999999999999997E-2</v>
      </c>
      <c r="I493" s="560" t="s">
        <v>859</v>
      </c>
      <c r="J493" s="523" t="s">
        <v>863</v>
      </c>
      <c r="K493" s="528" t="str">
        <f>IFERROR(VLOOKUP($B493,'Clients-Live'!$A:$C,3,0),"")</f>
        <v>PATRICK OKUONZI</v>
      </c>
      <c r="L493" s="528">
        <f>IF(E493="STL",Pricing!$D$38,IF(A493="",0,IF(A493&lt;Pricing!$C$25,Pricing!$D$25,VLOOKUP(Disbursements!$F493,Pricing!$B$29:$D$32,3))))</f>
        <v>15000</v>
      </c>
      <c r="M493" s="528">
        <f>IF(E493="STL",0,IF(F493&gt;0,Pricing!$D$21,0))</f>
        <v>5000</v>
      </c>
      <c r="N493" s="529">
        <f>IF(E493="STL",F493*Pricing!$D$40,IF(A493&lt;=Pricing!$C$4,0,IF(AND(A493&gt;Pricing!$C$4,Disbursements!A493&lt;=Pricing!$C$5),F493*Pricing!$E$5,IF(AND(A493&gt;Pricing!$C$5,Disbursements!A493&lt;=Pricing!$C$7),VLOOKUP(F493,Pricing!$D$7:$E$8,2)*Disbursements!F493,F493*Pricing!$E$9))))</f>
        <v>8000</v>
      </c>
      <c r="O493" s="528">
        <f>IF(E493="STL",0,IF($F493&gt;0,$F493*Pricing!$D$17,0))</f>
        <v>40000</v>
      </c>
      <c r="P493" s="530">
        <f t="shared" si="204"/>
        <v>30000</v>
      </c>
      <c r="Q493" s="531">
        <f>IF($A493="","",$G493/VLOOKUP($I493,Ref!$B$23:$D$29,2,0))</f>
        <v>1</v>
      </c>
      <c r="R493" s="530">
        <f t="shared" si="205"/>
        <v>430000</v>
      </c>
      <c r="S493" s="532">
        <f t="shared" si="199"/>
        <v>430000</v>
      </c>
      <c r="T493" s="531">
        <f t="shared" si="206"/>
        <v>430000</v>
      </c>
      <c r="U493" s="533">
        <f t="shared" si="207"/>
        <v>430000</v>
      </c>
      <c r="V493" s="531">
        <f t="shared" si="208"/>
        <v>400000</v>
      </c>
      <c r="W493" s="531">
        <f t="shared" si="209"/>
        <v>30000</v>
      </c>
      <c r="X493" s="534">
        <f t="shared" si="210"/>
        <v>30000</v>
      </c>
      <c r="Y493" s="535">
        <f>IF($A493="","",IF($I493="weekly",$A493+7,EDATE($A493,VLOOKUP($I493,Ref!$B$24:$C$29,2,0))))</f>
        <v>44676</v>
      </c>
      <c r="Z493" s="536" t="str">
        <f t="shared" si="211"/>
        <v>Mon</v>
      </c>
      <c r="AA493" s="531">
        <f t="shared" si="212"/>
        <v>31</v>
      </c>
      <c r="AB493" s="535">
        <f t="shared" si="200"/>
        <v>44676</v>
      </c>
      <c r="AC493" s="537">
        <f t="shared" si="201"/>
        <v>31</v>
      </c>
      <c r="AD493" s="538" t="str">
        <f t="shared" ca="1" si="202"/>
        <v>Expired</v>
      </c>
      <c r="AE493" s="537">
        <f t="shared" ca="1" si="203"/>
        <v>0</v>
      </c>
      <c r="AF493" s="539">
        <f t="shared" ca="1" si="213"/>
        <v>1</v>
      </c>
      <c r="AG493" s="531">
        <f t="shared" ca="1" si="214"/>
        <v>430000</v>
      </c>
      <c r="AH493" s="531">
        <f t="shared" ca="1" si="215"/>
        <v>30000</v>
      </c>
      <c r="AI493" s="531">
        <f t="shared" ca="1" si="216"/>
        <v>400000</v>
      </c>
      <c r="AJ493" s="531">
        <f t="shared" ca="1" si="217"/>
        <v>0</v>
      </c>
      <c r="AK493" s="540">
        <f>SUMIFS('Live Collections'!$S:$S,'Live Collections'!$D:$D,Disbursements!B493,'Live Collections'!$G:$G,Disbursements!C493)</f>
        <v>30000</v>
      </c>
      <c r="AL493" s="540">
        <f>SUMIFS('Live Collections'!$T:$T,'Live Collections'!$D:$D,Disbursements!B493,'Live Collections'!$G:$G,Disbursements!C493)</f>
        <v>400000</v>
      </c>
      <c r="AM493" s="541">
        <f t="shared" si="218"/>
        <v>430000</v>
      </c>
      <c r="AN493" s="542">
        <f t="shared" si="219"/>
        <v>0</v>
      </c>
      <c r="AO493" s="542">
        <f t="shared" si="220"/>
        <v>0</v>
      </c>
      <c r="AP493" s="543">
        <f t="shared" si="221"/>
        <v>0</v>
      </c>
      <c r="AQ493" s="544" t="str">
        <f t="shared" ca="1" si="222"/>
        <v/>
      </c>
      <c r="AR493" s="545">
        <f t="shared" ca="1" si="223"/>
        <v>0</v>
      </c>
      <c r="AS493" s="545">
        <f ca="1">IFERROR(CEILING($AR493*VLOOKUP($I493,Ref!$B$23:$E$29,4,0),1),0)</f>
        <v>0</v>
      </c>
      <c r="AT493" s="545" t="str">
        <f>IF(A493="","",IF(AP493&lt;=1,"Cleared",IF(AS493=0,"Clean",VLOOKUP($AS493,Ref!$G$23:$H$28,2))))</f>
        <v>Cleared</v>
      </c>
      <c r="AU493" s="546" t="str">
        <f t="shared" si="224"/>
        <v>Ok</v>
      </c>
    </row>
    <row r="494" spans="1:47" ht="14.25" hidden="1" customHeight="1" x14ac:dyDescent="0.15">
      <c r="A494" s="575">
        <v>44653</v>
      </c>
      <c r="B494" s="523">
        <v>310</v>
      </c>
      <c r="C494" s="523">
        <v>492</v>
      </c>
      <c r="D494" s="523">
        <v>1</v>
      </c>
      <c r="E494" s="579" t="s">
        <v>1274</v>
      </c>
      <c r="F494" s="580">
        <v>3000000</v>
      </c>
      <c r="G494" s="524">
        <v>4</v>
      </c>
      <c r="H494" s="555">
        <v>6.5000000000000002E-2</v>
      </c>
      <c r="I494" s="560" t="s">
        <v>859</v>
      </c>
      <c r="J494" s="523" t="s">
        <v>862</v>
      </c>
      <c r="K494" s="528" t="str">
        <f>IFERROR(VLOOKUP($B494,'Clients-Live'!$A:$C,3,0),"")</f>
        <v>TUKEI JOB</v>
      </c>
      <c r="L494" s="528">
        <f>IF(E494="STL",Pricing!$D$38,IF(A494="",0,IF(A494&lt;Pricing!$C$25,Pricing!$D$25,VLOOKUP(Disbursements!$F494,Pricing!$B$29:$D$32,3))))</f>
        <v>30000</v>
      </c>
      <c r="M494" s="528">
        <f>IF(E494="STL",0,IF(F494&gt;0,Pricing!$D$21,0))</f>
        <v>5000</v>
      </c>
      <c r="N494" s="529">
        <f>IF(E494="STL",F494*Pricing!$D$40,IF(A494&lt;=Pricing!$C$4,0,IF(AND(A494&gt;Pricing!$C$4,Disbursements!A494&lt;=Pricing!$C$5),F494*Pricing!$E$5,IF(AND(A494&gt;Pricing!$C$5,Disbursements!A494&lt;=Pricing!$C$7),VLOOKUP(F494,Pricing!$D$7:$E$8,2)*Disbursements!F494,F494*Pricing!$E$9))))</f>
        <v>60000</v>
      </c>
      <c r="O494" s="528">
        <f>IF(E494="STL",0,IF($F494&gt;0,$F494*Pricing!$D$17,0))</f>
        <v>300000</v>
      </c>
      <c r="P494" s="530">
        <f t="shared" si="204"/>
        <v>780000</v>
      </c>
      <c r="Q494" s="531">
        <f>IF($A494="","",$G494/VLOOKUP($I494,Ref!$B$23:$D$29,2,0))</f>
        <v>4</v>
      </c>
      <c r="R494" s="530">
        <f t="shared" si="205"/>
        <v>3780000</v>
      </c>
      <c r="S494" s="532">
        <f t="shared" si="199"/>
        <v>945000</v>
      </c>
      <c r="T494" s="531">
        <f t="shared" si="206"/>
        <v>945000</v>
      </c>
      <c r="U494" s="533">
        <f t="shared" si="207"/>
        <v>3780000</v>
      </c>
      <c r="V494" s="531">
        <f t="shared" si="208"/>
        <v>750000</v>
      </c>
      <c r="W494" s="531">
        <f t="shared" si="209"/>
        <v>195000</v>
      </c>
      <c r="X494" s="534">
        <f t="shared" si="210"/>
        <v>780000</v>
      </c>
      <c r="Y494" s="535">
        <f>IF($A494="","",IF($I494="weekly",$A494+7,EDATE($A494,VLOOKUP($I494,Ref!$B$24:$C$29,2,0))))</f>
        <v>44683</v>
      </c>
      <c r="Z494" s="536" t="str">
        <f t="shared" si="211"/>
        <v>Mon</v>
      </c>
      <c r="AA494" s="531">
        <f t="shared" si="212"/>
        <v>30</v>
      </c>
      <c r="AB494" s="535">
        <f t="shared" si="200"/>
        <v>44775</v>
      </c>
      <c r="AC494" s="537">
        <f t="shared" si="201"/>
        <v>122</v>
      </c>
      <c r="AD494" s="538" t="str">
        <f t="shared" ca="1" si="202"/>
        <v>Expired</v>
      </c>
      <c r="AE494" s="537">
        <f t="shared" ca="1" si="203"/>
        <v>0</v>
      </c>
      <c r="AF494" s="539">
        <f t="shared" ca="1" si="213"/>
        <v>4</v>
      </c>
      <c r="AG494" s="531">
        <f t="shared" ca="1" si="214"/>
        <v>3780000</v>
      </c>
      <c r="AH494" s="531">
        <f t="shared" ca="1" si="215"/>
        <v>780000</v>
      </c>
      <c r="AI494" s="531">
        <f t="shared" ca="1" si="216"/>
        <v>3000000</v>
      </c>
      <c r="AJ494" s="531">
        <f t="shared" ca="1" si="217"/>
        <v>0</v>
      </c>
      <c r="AK494" s="540">
        <f>SUMIFS('Live Collections'!$S:$S,'Live Collections'!$D:$D,Disbursements!B494,'Live Collections'!$G:$G,Disbursements!C494)</f>
        <v>390000</v>
      </c>
      <c r="AL494" s="540">
        <f>SUMIFS('Live Collections'!$T:$T,'Live Collections'!$D:$D,Disbursements!B494,'Live Collections'!$G:$G,Disbursements!C494)</f>
        <v>540000</v>
      </c>
      <c r="AM494" s="541">
        <f t="shared" si="218"/>
        <v>930000</v>
      </c>
      <c r="AN494" s="542">
        <f t="shared" si="219"/>
        <v>390000</v>
      </c>
      <c r="AO494" s="542">
        <f t="shared" si="220"/>
        <v>2460000</v>
      </c>
      <c r="AP494" s="543">
        <f t="shared" si="221"/>
        <v>2850000</v>
      </c>
      <c r="AQ494" s="544">
        <f t="shared" ca="1" si="222"/>
        <v>2850000</v>
      </c>
      <c r="AR494" s="545">
        <f t="shared" ca="1" si="223"/>
        <v>3.0158730158730158</v>
      </c>
      <c r="AS494" s="545">
        <f ca="1">IFERROR(CEILING($AR494*VLOOKUP($I494,Ref!$B$23:$E$29,4,0),1),0)</f>
        <v>91</v>
      </c>
      <c r="AT494" s="545" t="str">
        <f ca="1">IF(A494="","",IF(AP494&lt;=1,"Cleared",IF(AS494=0,"Clean",VLOOKUP($AS494,Ref!$G$23:$H$28,2))))</f>
        <v>4.(91-365) Days</v>
      </c>
      <c r="AU494" s="546" t="str">
        <f t="shared" si="224"/>
        <v>Ok</v>
      </c>
    </row>
    <row r="495" spans="1:47" ht="14.25" hidden="1" customHeight="1" x14ac:dyDescent="0.15">
      <c r="A495" s="575">
        <v>44653</v>
      </c>
      <c r="B495" s="523">
        <v>176</v>
      </c>
      <c r="C495" s="523">
        <v>493</v>
      </c>
      <c r="D495" s="523">
        <v>3</v>
      </c>
      <c r="E495" s="579" t="s">
        <v>1274</v>
      </c>
      <c r="F495" s="580">
        <v>5000000</v>
      </c>
      <c r="G495" s="524">
        <v>6</v>
      </c>
      <c r="H495" s="555">
        <v>6.5000000000000002E-2</v>
      </c>
      <c r="I495" s="560" t="s">
        <v>859</v>
      </c>
      <c r="J495" s="523" t="s">
        <v>863</v>
      </c>
      <c r="K495" s="528" t="str">
        <f>IFERROR(VLOOKUP($B495,'Clients-Live'!$A:$C,3,0),"")</f>
        <v>AJONYE JANE SINANDUGU</v>
      </c>
      <c r="L495" s="528">
        <f>IF(E495="STL",Pricing!$D$38,IF(A495="",0,IF(A495&lt;Pricing!$C$25,Pricing!$D$25,VLOOKUP(Disbursements!$F495,Pricing!$B$29:$D$32,3))))</f>
        <v>30000</v>
      </c>
      <c r="M495" s="528">
        <f>IF(E495="STL",0,IF(F495&gt;0,Pricing!$D$21,0))</f>
        <v>5000</v>
      </c>
      <c r="N495" s="529">
        <f>IF(E495="STL",F495*Pricing!$D$40,IF(A495&lt;=Pricing!$C$4,0,IF(AND(A495&gt;Pricing!$C$4,Disbursements!A495&lt;=Pricing!$C$5),F495*Pricing!$E$5,IF(AND(A495&gt;Pricing!$C$5,Disbursements!A495&lt;=Pricing!$C$7),VLOOKUP(F495,Pricing!$D$7:$E$8,2)*Disbursements!F495,F495*Pricing!$E$9))))</f>
        <v>100000</v>
      </c>
      <c r="O495" s="528">
        <f>IF(E495="STL",0,IF($F495&gt;0,$F495*Pricing!$D$17,0))</f>
        <v>500000</v>
      </c>
      <c r="P495" s="530">
        <f t="shared" si="204"/>
        <v>1950000</v>
      </c>
      <c r="Q495" s="531">
        <f>IF($A495="","",$G495/VLOOKUP($I495,Ref!$B$23:$D$29,2,0))</f>
        <v>6</v>
      </c>
      <c r="R495" s="530">
        <f t="shared" si="205"/>
        <v>6950000</v>
      </c>
      <c r="S495" s="532">
        <f t="shared" si="199"/>
        <v>1158333.3333333333</v>
      </c>
      <c r="T495" s="531">
        <f t="shared" si="206"/>
        <v>1159000</v>
      </c>
      <c r="U495" s="533">
        <f t="shared" si="207"/>
        <v>6954000</v>
      </c>
      <c r="V495" s="531">
        <f t="shared" si="208"/>
        <v>833333.33333333337</v>
      </c>
      <c r="W495" s="531">
        <f t="shared" si="209"/>
        <v>325666.66666666663</v>
      </c>
      <c r="X495" s="534">
        <f t="shared" si="210"/>
        <v>1953999.9999999998</v>
      </c>
      <c r="Y495" s="535">
        <f>IF($A495="","",IF($I495="weekly",$A495+7,EDATE($A495,VLOOKUP($I495,Ref!$B$24:$C$29,2,0))))</f>
        <v>44683</v>
      </c>
      <c r="Z495" s="536" t="str">
        <f t="shared" si="211"/>
        <v>Mon</v>
      </c>
      <c r="AA495" s="531">
        <f t="shared" si="212"/>
        <v>30</v>
      </c>
      <c r="AB495" s="535">
        <f t="shared" si="200"/>
        <v>44836</v>
      </c>
      <c r="AC495" s="537">
        <f t="shared" si="201"/>
        <v>183</v>
      </c>
      <c r="AD495" s="538" t="str">
        <f t="shared" ca="1" si="202"/>
        <v>Expired</v>
      </c>
      <c r="AE495" s="537">
        <f t="shared" ca="1" si="203"/>
        <v>0</v>
      </c>
      <c r="AF495" s="539">
        <f t="shared" ca="1" si="213"/>
        <v>6</v>
      </c>
      <c r="AG495" s="531">
        <f t="shared" ca="1" si="214"/>
        <v>6954000</v>
      </c>
      <c r="AH495" s="531">
        <f t="shared" ca="1" si="215"/>
        <v>1953999.9999999998</v>
      </c>
      <c r="AI495" s="531">
        <f t="shared" ca="1" si="216"/>
        <v>5000000</v>
      </c>
      <c r="AJ495" s="531">
        <f t="shared" ca="1" si="217"/>
        <v>0</v>
      </c>
      <c r="AK495" s="540">
        <f>SUMIFS('Live Collections'!$S:$S,'Live Collections'!$D:$D,Disbursements!B495,'Live Collections'!$G:$G,Disbursements!C495)</f>
        <v>651333.33333333326</v>
      </c>
      <c r="AL495" s="540">
        <f>SUMIFS('Live Collections'!$T:$T,'Live Collections'!$D:$D,Disbursements!B495,'Live Collections'!$G:$G,Disbursements!C495)</f>
        <v>1665666.6666666667</v>
      </c>
      <c r="AM495" s="541">
        <f t="shared" si="218"/>
        <v>2317000</v>
      </c>
      <c r="AN495" s="542">
        <f t="shared" si="219"/>
        <v>1302666.6666666665</v>
      </c>
      <c r="AO495" s="542">
        <f t="shared" si="220"/>
        <v>3334333.333333333</v>
      </c>
      <c r="AP495" s="543">
        <f t="shared" si="221"/>
        <v>4637000</v>
      </c>
      <c r="AQ495" s="544">
        <f t="shared" ca="1" si="222"/>
        <v>4637000</v>
      </c>
      <c r="AR495" s="545">
        <f t="shared" ca="1" si="223"/>
        <v>4.0008628127696291</v>
      </c>
      <c r="AS495" s="545">
        <f ca="1">IFERROR(CEILING($AR495*VLOOKUP($I495,Ref!$B$23:$E$29,4,0),1),0)</f>
        <v>121</v>
      </c>
      <c r="AT495" s="545" t="str">
        <f ca="1">IF(A495="","",IF(AP495&lt;=1,"Cleared",IF(AS495=0,"Clean",VLOOKUP($AS495,Ref!$G$23:$H$28,2))))</f>
        <v>4.(91-365) Days</v>
      </c>
      <c r="AU495" s="546" t="str">
        <f t="shared" si="224"/>
        <v>Ok</v>
      </c>
    </row>
    <row r="496" spans="1:47" ht="14.25" hidden="1" customHeight="1" x14ac:dyDescent="0.15">
      <c r="A496" s="575">
        <v>44653</v>
      </c>
      <c r="B496" s="523">
        <v>99</v>
      </c>
      <c r="C496" s="523">
        <v>494</v>
      </c>
      <c r="D496" s="523">
        <v>3</v>
      </c>
      <c r="E496" s="579" t="s">
        <v>1274</v>
      </c>
      <c r="F496" s="580">
        <v>1000000</v>
      </c>
      <c r="G496" s="524">
        <v>6</v>
      </c>
      <c r="H496" s="555">
        <v>6.5000000000000002E-2</v>
      </c>
      <c r="I496" s="560" t="s">
        <v>859</v>
      </c>
      <c r="J496" s="523" t="s">
        <v>863</v>
      </c>
      <c r="K496" s="528" t="str">
        <f>IFERROR(VLOOKUP($B496,'Clients-Live'!$A:$C,3,0),"")</f>
        <v>SIJALI ASINA SIS</v>
      </c>
      <c r="L496" s="528">
        <f>IF(E496="STL",Pricing!$D$38,IF(A496="",0,IF(A496&lt;Pricing!$C$25,Pricing!$D$25,VLOOKUP(Disbursements!$F496,Pricing!$B$29:$D$32,3))))</f>
        <v>20000</v>
      </c>
      <c r="M496" s="528">
        <f>IF(E496="STL",0,IF(F496&gt;0,Pricing!$D$21,0))</f>
        <v>5000</v>
      </c>
      <c r="N496" s="529">
        <f>IF(E496="STL",F496*Pricing!$D$40,IF(A496&lt;=Pricing!$C$4,0,IF(AND(A496&gt;Pricing!$C$4,Disbursements!A496&lt;=Pricing!$C$5),F496*Pricing!$E$5,IF(AND(A496&gt;Pricing!$C$5,Disbursements!A496&lt;=Pricing!$C$7),VLOOKUP(F496,Pricing!$D$7:$E$8,2)*Disbursements!F496,F496*Pricing!$E$9))))</f>
        <v>20000</v>
      </c>
      <c r="O496" s="528">
        <f>IF(E496="STL",0,IF($F496&gt;0,$F496*Pricing!$D$17,0))</f>
        <v>100000</v>
      </c>
      <c r="P496" s="530">
        <f t="shared" si="204"/>
        <v>390000</v>
      </c>
      <c r="Q496" s="531">
        <f>IF($A496="","",$G496/VLOOKUP($I496,Ref!$B$23:$D$29,2,0))</f>
        <v>6</v>
      </c>
      <c r="R496" s="530">
        <f t="shared" si="205"/>
        <v>1390000</v>
      </c>
      <c r="S496" s="532">
        <f t="shared" si="199"/>
        <v>231666.66666666666</v>
      </c>
      <c r="T496" s="531">
        <f t="shared" si="206"/>
        <v>232000</v>
      </c>
      <c r="U496" s="533">
        <f t="shared" si="207"/>
        <v>1392000</v>
      </c>
      <c r="V496" s="531">
        <f t="shared" si="208"/>
        <v>166666.66666666666</v>
      </c>
      <c r="W496" s="531">
        <f t="shared" si="209"/>
        <v>65333.333333333343</v>
      </c>
      <c r="X496" s="534">
        <f t="shared" si="210"/>
        <v>392000.00000000006</v>
      </c>
      <c r="Y496" s="535">
        <f>IF($A496="","",IF($I496="weekly",$A496+7,EDATE($A496,VLOOKUP($I496,Ref!$B$24:$C$29,2,0))))</f>
        <v>44683</v>
      </c>
      <c r="Z496" s="536" t="str">
        <f t="shared" si="211"/>
        <v>Mon</v>
      </c>
      <c r="AA496" s="531">
        <f t="shared" si="212"/>
        <v>30</v>
      </c>
      <c r="AB496" s="535">
        <f t="shared" si="200"/>
        <v>44836</v>
      </c>
      <c r="AC496" s="537">
        <f t="shared" si="201"/>
        <v>183</v>
      </c>
      <c r="AD496" s="538" t="str">
        <f t="shared" ca="1" si="202"/>
        <v>Expired</v>
      </c>
      <c r="AE496" s="537">
        <f t="shared" ca="1" si="203"/>
        <v>0</v>
      </c>
      <c r="AF496" s="539">
        <f t="shared" ca="1" si="213"/>
        <v>6</v>
      </c>
      <c r="AG496" s="531">
        <f t="shared" ca="1" si="214"/>
        <v>1392000</v>
      </c>
      <c r="AH496" s="531">
        <f t="shared" ca="1" si="215"/>
        <v>392000.00000000006</v>
      </c>
      <c r="AI496" s="531">
        <f t="shared" ca="1" si="216"/>
        <v>1000000</v>
      </c>
      <c r="AJ496" s="531">
        <f t="shared" ca="1" si="217"/>
        <v>0</v>
      </c>
      <c r="AK496" s="540">
        <f>SUMIFS('Live Collections'!$S:$S,'Live Collections'!$D:$D,Disbursements!B496,'Live Collections'!$G:$G,Disbursements!C496)</f>
        <v>162366.66666666669</v>
      </c>
      <c r="AL496" s="540">
        <f>SUMIFS('Live Collections'!$T:$T,'Live Collections'!$D:$D,Disbursements!B496,'Live Collections'!$G:$G,Disbursements!C496)</f>
        <v>300633.33333333331</v>
      </c>
      <c r="AM496" s="541">
        <f t="shared" si="218"/>
        <v>463000</v>
      </c>
      <c r="AN496" s="542">
        <f t="shared" si="219"/>
        <v>229633.33333333337</v>
      </c>
      <c r="AO496" s="542">
        <f t="shared" si="220"/>
        <v>699366.66666666674</v>
      </c>
      <c r="AP496" s="543">
        <f t="shared" si="221"/>
        <v>929000.00000000012</v>
      </c>
      <c r="AQ496" s="544">
        <f t="shared" ca="1" si="222"/>
        <v>929000.00000000012</v>
      </c>
      <c r="AR496" s="545">
        <f t="shared" ca="1" si="223"/>
        <v>4.0043103448275863</v>
      </c>
      <c r="AS496" s="545">
        <f ca="1">IFERROR(CEILING($AR496*VLOOKUP($I496,Ref!$B$23:$E$29,4,0),1),0)</f>
        <v>121</v>
      </c>
      <c r="AT496" s="545" t="str">
        <f ca="1">IF(A496="","",IF(AP496&lt;=1,"Cleared",IF(AS496=0,"Clean",VLOOKUP($AS496,Ref!$G$23:$H$28,2))))</f>
        <v>4.(91-365) Days</v>
      </c>
      <c r="AU496" s="546" t="str">
        <f t="shared" si="224"/>
        <v>Ok</v>
      </c>
    </row>
    <row r="497" spans="1:47" ht="14.25" hidden="1" customHeight="1" x14ac:dyDescent="0.15">
      <c r="A497" s="575">
        <v>44655</v>
      </c>
      <c r="B497" s="523">
        <v>109</v>
      </c>
      <c r="C497" s="523">
        <v>495</v>
      </c>
      <c r="D497" s="523">
        <v>3</v>
      </c>
      <c r="E497" s="579" t="s">
        <v>1274</v>
      </c>
      <c r="F497" s="580">
        <v>300000</v>
      </c>
      <c r="G497" s="524">
        <v>3</v>
      </c>
      <c r="H497" s="555">
        <v>6.5000000000000002E-2</v>
      </c>
      <c r="I497" s="560" t="s">
        <v>861</v>
      </c>
      <c r="J497" s="523" t="s">
        <v>864</v>
      </c>
      <c r="K497" s="528" t="str">
        <f>IFERROR(VLOOKUP($B497,'Clients-Live'!$A:$C,3,0),"")</f>
        <v>TABU KISA</v>
      </c>
      <c r="L497" s="528">
        <f>IF(E497="STL",Pricing!$D$38,IF(A497="",0,IF(A497&lt;Pricing!$C$25,Pricing!$D$25,VLOOKUP(Disbursements!$F497,Pricing!$B$29:$D$32,3))))</f>
        <v>15000</v>
      </c>
      <c r="M497" s="528">
        <f>IF(E497="STL",0,IF(F497&gt;0,Pricing!$D$21,0))</f>
        <v>5000</v>
      </c>
      <c r="N497" s="529">
        <f>IF(E497="STL",F497*Pricing!$D$40,IF(A497&lt;=Pricing!$C$4,0,IF(AND(A497&gt;Pricing!$C$4,Disbursements!A497&lt;=Pricing!$C$5),F497*Pricing!$E$5,IF(AND(A497&gt;Pricing!$C$5,Disbursements!A497&lt;=Pricing!$C$7),VLOOKUP(F497,Pricing!$D$7:$E$8,2)*Disbursements!F497,F497*Pricing!$E$9))))</f>
        <v>6000</v>
      </c>
      <c r="O497" s="528">
        <f>IF(E497="STL",0,IF($F497&gt;0,$F497*Pricing!$D$17,0))</f>
        <v>30000</v>
      </c>
      <c r="P497" s="530">
        <f t="shared" si="204"/>
        <v>58500</v>
      </c>
      <c r="Q497" s="531">
        <f>IF($A497="","",$G497/VLOOKUP($I497,Ref!$B$23:$D$29,2,0))</f>
        <v>12</v>
      </c>
      <c r="R497" s="530">
        <f t="shared" si="205"/>
        <v>358500</v>
      </c>
      <c r="S497" s="532">
        <f t="shared" si="199"/>
        <v>29875</v>
      </c>
      <c r="T497" s="531">
        <f t="shared" si="206"/>
        <v>30000</v>
      </c>
      <c r="U497" s="533">
        <f t="shared" si="207"/>
        <v>360000</v>
      </c>
      <c r="V497" s="531">
        <f t="shared" si="208"/>
        <v>25000</v>
      </c>
      <c r="W497" s="531">
        <f t="shared" si="209"/>
        <v>5000</v>
      </c>
      <c r="X497" s="534">
        <f t="shared" si="210"/>
        <v>60000</v>
      </c>
      <c r="Y497" s="535">
        <f>IF($A497="","",IF($I497="weekly",$A497+7,EDATE($A497,VLOOKUP($I497,Ref!$B$24:$C$29,2,0))))</f>
        <v>44662</v>
      </c>
      <c r="Z497" s="536" t="str">
        <f t="shared" si="211"/>
        <v>Mon</v>
      </c>
      <c r="AA497" s="531">
        <f t="shared" si="212"/>
        <v>7</v>
      </c>
      <c r="AB497" s="535">
        <f t="shared" si="200"/>
        <v>44746</v>
      </c>
      <c r="AC497" s="537">
        <f t="shared" si="201"/>
        <v>91</v>
      </c>
      <c r="AD497" s="538" t="str">
        <f t="shared" ca="1" si="202"/>
        <v>Expired</v>
      </c>
      <c r="AE497" s="537">
        <f t="shared" ca="1" si="203"/>
        <v>0</v>
      </c>
      <c r="AF497" s="539">
        <f t="shared" ca="1" si="213"/>
        <v>12</v>
      </c>
      <c r="AG497" s="531">
        <f t="shared" ca="1" si="214"/>
        <v>360000</v>
      </c>
      <c r="AH497" s="531">
        <f t="shared" ca="1" si="215"/>
        <v>60000</v>
      </c>
      <c r="AI497" s="531">
        <f t="shared" ca="1" si="216"/>
        <v>300000</v>
      </c>
      <c r="AJ497" s="531">
        <f t="shared" ca="1" si="217"/>
        <v>0</v>
      </c>
      <c r="AK497" s="540">
        <f>SUMIFS('Live Collections'!$S:$S,'Live Collections'!$D:$D,Disbursements!B497,'Live Collections'!$G:$G,Disbursements!C497)</f>
        <v>25000</v>
      </c>
      <c r="AL497" s="540">
        <f>SUMIFS('Live Collections'!$T:$T,'Live Collections'!$D:$D,Disbursements!B497,'Live Collections'!$G:$G,Disbursements!C497)</f>
        <v>134000</v>
      </c>
      <c r="AM497" s="541">
        <f t="shared" si="218"/>
        <v>159000</v>
      </c>
      <c r="AN497" s="542">
        <f t="shared" si="219"/>
        <v>35000</v>
      </c>
      <c r="AO497" s="542">
        <f t="shared" si="220"/>
        <v>166000</v>
      </c>
      <c r="AP497" s="543">
        <f t="shared" si="221"/>
        <v>201000</v>
      </c>
      <c r="AQ497" s="544">
        <f t="shared" ca="1" si="222"/>
        <v>201000</v>
      </c>
      <c r="AR497" s="545">
        <f t="shared" ca="1" si="223"/>
        <v>6.7</v>
      </c>
      <c r="AS497" s="545">
        <f ca="1">IFERROR(CEILING($AR497*VLOOKUP($I497,Ref!$B$23:$E$29,4,0),1),0)</f>
        <v>47</v>
      </c>
      <c r="AT497" s="545" t="str">
        <f ca="1">IF(A497="","",IF(AP497&lt;=1,"Cleared",IF(AS497=0,"Clean",VLOOKUP($AS497,Ref!$G$23:$H$28,2))))</f>
        <v>2.(31-60) Days</v>
      </c>
      <c r="AU497" s="546" t="str">
        <f t="shared" si="224"/>
        <v>Ok</v>
      </c>
    </row>
    <row r="498" spans="1:47" ht="14.25" hidden="1" customHeight="1" x14ac:dyDescent="0.15">
      <c r="A498" s="575">
        <v>44655</v>
      </c>
      <c r="B498" s="523">
        <v>342</v>
      </c>
      <c r="C498" s="523">
        <v>496</v>
      </c>
      <c r="D498" s="523">
        <v>1</v>
      </c>
      <c r="E498" s="579" t="s">
        <v>1274</v>
      </c>
      <c r="F498" s="580">
        <v>500000</v>
      </c>
      <c r="G498" s="524">
        <v>5</v>
      </c>
      <c r="H498" s="555">
        <v>6.5000000000000002E-2</v>
      </c>
      <c r="I498" s="560" t="s">
        <v>859</v>
      </c>
      <c r="J498" s="523" t="s">
        <v>862</v>
      </c>
      <c r="K498" s="528" t="str">
        <f>IFERROR(VLOOKUP($B498,'Clients-Live'!$A:$C,3,0),"")</f>
        <v>NYAUSI SHABAN LAWRENCE</v>
      </c>
      <c r="L498" s="528">
        <f>IF(E498="STL",Pricing!$D$38,IF(A498="",0,IF(A498&lt;Pricing!$C$25,Pricing!$D$25,VLOOKUP(Disbursements!$F498,Pricing!$B$29:$D$32,3))))</f>
        <v>15000</v>
      </c>
      <c r="M498" s="528">
        <f>IF(E498="STL",0,IF(F498&gt;0,Pricing!$D$21,0))</f>
        <v>5000</v>
      </c>
      <c r="N498" s="529">
        <f>IF(E498="STL",F498*Pricing!$D$40,IF(A498&lt;=Pricing!$C$4,0,IF(AND(A498&gt;Pricing!$C$4,Disbursements!A498&lt;=Pricing!$C$5),F498*Pricing!$E$5,IF(AND(A498&gt;Pricing!$C$5,Disbursements!A498&lt;=Pricing!$C$7),VLOOKUP(F498,Pricing!$D$7:$E$8,2)*Disbursements!F498,F498*Pricing!$E$9))))</f>
        <v>10000</v>
      </c>
      <c r="O498" s="528">
        <f>IF(E498="STL",0,IF($F498&gt;0,$F498*Pricing!$D$17,0))</f>
        <v>50000</v>
      </c>
      <c r="P498" s="530">
        <f t="shared" si="204"/>
        <v>162500</v>
      </c>
      <c r="Q498" s="531">
        <f>IF($A498="","",$G498/VLOOKUP($I498,Ref!$B$23:$D$29,2,0))</f>
        <v>5</v>
      </c>
      <c r="R498" s="530">
        <f t="shared" si="205"/>
        <v>662500</v>
      </c>
      <c r="S498" s="532">
        <f t="shared" si="199"/>
        <v>132500</v>
      </c>
      <c r="T498" s="531">
        <f t="shared" si="206"/>
        <v>133000</v>
      </c>
      <c r="U498" s="533">
        <f t="shared" si="207"/>
        <v>665000</v>
      </c>
      <c r="V498" s="531">
        <f t="shared" si="208"/>
        <v>100000</v>
      </c>
      <c r="W498" s="531">
        <f t="shared" si="209"/>
        <v>33000</v>
      </c>
      <c r="X498" s="534">
        <f t="shared" si="210"/>
        <v>165000</v>
      </c>
      <c r="Y498" s="535">
        <f>IF($A498="","",IF($I498="weekly",$A498+7,EDATE($A498,VLOOKUP($I498,Ref!$B$24:$C$29,2,0))))</f>
        <v>44685</v>
      </c>
      <c r="Z498" s="536" t="str">
        <f t="shared" si="211"/>
        <v>Wed</v>
      </c>
      <c r="AA498" s="531">
        <f t="shared" si="212"/>
        <v>30</v>
      </c>
      <c r="AB498" s="535">
        <f t="shared" si="200"/>
        <v>44808</v>
      </c>
      <c r="AC498" s="537">
        <f t="shared" si="201"/>
        <v>153</v>
      </c>
      <c r="AD498" s="538" t="str">
        <f t="shared" ca="1" si="202"/>
        <v>Expired</v>
      </c>
      <c r="AE498" s="537">
        <f t="shared" ca="1" si="203"/>
        <v>0</v>
      </c>
      <c r="AF498" s="539">
        <f t="shared" ca="1" si="213"/>
        <v>5</v>
      </c>
      <c r="AG498" s="531">
        <f t="shared" ca="1" si="214"/>
        <v>665000</v>
      </c>
      <c r="AH498" s="531">
        <f t="shared" ca="1" si="215"/>
        <v>165000</v>
      </c>
      <c r="AI498" s="531">
        <f t="shared" ca="1" si="216"/>
        <v>500000</v>
      </c>
      <c r="AJ498" s="531">
        <f t="shared" ca="1" si="217"/>
        <v>0</v>
      </c>
      <c r="AK498" s="540">
        <f>SUMIFS('Live Collections'!$S:$S,'Live Collections'!$D:$D,Disbursements!B498,'Live Collections'!$G:$G,Disbursements!C498)</f>
        <v>46000</v>
      </c>
      <c r="AL498" s="540">
        <f>SUMIFS('Live Collections'!$T:$T,'Live Collections'!$D:$D,Disbursements!B498,'Live Collections'!$G:$G,Disbursements!C498)</f>
        <v>87000</v>
      </c>
      <c r="AM498" s="541">
        <f t="shared" si="218"/>
        <v>133000</v>
      </c>
      <c r="AN498" s="542">
        <f t="shared" si="219"/>
        <v>119000</v>
      </c>
      <c r="AO498" s="542">
        <f t="shared" si="220"/>
        <v>413000</v>
      </c>
      <c r="AP498" s="543">
        <f t="shared" si="221"/>
        <v>532000</v>
      </c>
      <c r="AQ498" s="544">
        <f t="shared" ca="1" si="222"/>
        <v>532000</v>
      </c>
      <c r="AR498" s="545">
        <f t="shared" ca="1" si="223"/>
        <v>4</v>
      </c>
      <c r="AS498" s="545">
        <f ca="1">IFERROR(CEILING($AR498*VLOOKUP($I498,Ref!$B$23:$E$29,4,0),1),0)</f>
        <v>120</v>
      </c>
      <c r="AT498" s="545" t="str">
        <f ca="1">IF(A498="","",IF(AP498&lt;=1,"Cleared",IF(AS498=0,"Clean",VLOOKUP($AS498,Ref!$G$23:$H$28,2))))</f>
        <v>4.(91-365) Days</v>
      </c>
      <c r="AU498" s="546" t="str">
        <f t="shared" si="224"/>
        <v>Ok</v>
      </c>
    </row>
    <row r="499" spans="1:47" ht="14.25" hidden="1" customHeight="1" x14ac:dyDescent="0.15">
      <c r="A499" s="575">
        <v>44656</v>
      </c>
      <c r="B499" s="523">
        <v>289</v>
      </c>
      <c r="C499" s="523">
        <v>497</v>
      </c>
      <c r="D499" s="523">
        <v>2</v>
      </c>
      <c r="E499" s="579" t="s">
        <v>1274</v>
      </c>
      <c r="F499" s="580">
        <v>600000</v>
      </c>
      <c r="G499" s="524">
        <v>5</v>
      </c>
      <c r="H499" s="555">
        <v>6.5000000000000002E-2</v>
      </c>
      <c r="I499" s="560" t="s">
        <v>859</v>
      </c>
      <c r="J499" s="523" t="s">
        <v>864</v>
      </c>
      <c r="K499" s="528" t="str">
        <f>IFERROR(VLOOKUP($B499,'Clients-Live'!$A:$C,3,0),"")</f>
        <v>NAUME NIGHT</v>
      </c>
      <c r="L499" s="528">
        <f>IF(E499="STL",Pricing!$D$38,IF(A499="",0,IF(A499&lt;Pricing!$C$25,Pricing!$D$25,VLOOKUP(Disbursements!$F499,Pricing!$B$29:$D$32,3))))</f>
        <v>20000</v>
      </c>
      <c r="M499" s="528">
        <f>IF(E499="STL",0,IF(F499&gt;0,Pricing!$D$21,0))</f>
        <v>5000</v>
      </c>
      <c r="N499" s="529">
        <f>IF(E499="STL",F499*Pricing!$D$40,IF(A499&lt;=Pricing!$C$4,0,IF(AND(A499&gt;Pricing!$C$4,Disbursements!A499&lt;=Pricing!$C$5),F499*Pricing!$E$5,IF(AND(A499&gt;Pricing!$C$5,Disbursements!A499&lt;=Pricing!$C$7),VLOOKUP(F499,Pricing!$D$7:$E$8,2)*Disbursements!F499,F499*Pricing!$E$9))))</f>
        <v>12000</v>
      </c>
      <c r="O499" s="528">
        <f>IF(E499="STL",0,IF($F499&gt;0,$F499*Pricing!$D$17,0))</f>
        <v>60000</v>
      </c>
      <c r="P499" s="530">
        <f t="shared" si="204"/>
        <v>195000</v>
      </c>
      <c r="Q499" s="531">
        <f>IF($A499="","",$G499/VLOOKUP($I499,Ref!$B$23:$D$29,2,0))</f>
        <v>5</v>
      </c>
      <c r="R499" s="530">
        <f t="shared" si="205"/>
        <v>795000</v>
      </c>
      <c r="S499" s="532">
        <f t="shared" si="199"/>
        <v>159000</v>
      </c>
      <c r="T499" s="531">
        <f t="shared" si="206"/>
        <v>159000</v>
      </c>
      <c r="U499" s="533">
        <f t="shared" si="207"/>
        <v>795000</v>
      </c>
      <c r="V499" s="531">
        <f t="shared" si="208"/>
        <v>120000</v>
      </c>
      <c r="W499" s="531">
        <f t="shared" si="209"/>
        <v>39000</v>
      </c>
      <c r="X499" s="534">
        <f t="shared" si="210"/>
        <v>195000</v>
      </c>
      <c r="Y499" s="535">
        <f>IF($A499="","",IF($I499="weekly",$A499+7,EDATE($A499,VLOOKUP($I499,Ref!$B$24:$C$29,2,0))))</f>
        <v>44686</v>
      </c>
      <c r="Z499" s="536" t="str">
        <f t="shared" si="211"/>
        <v>Thu</v>
      </c>
      <c r="AA499" s="531">
        <f t="shared" si="212"/>
        <v>30</v>
      </c>
      <c r="AB499" s="535">
        <f t="shared" si="200"/>
        <v>44809</v>
      </c>
      <c r="AC499" s="537">
        <f t="shared" si="201"/>
        <v>153</v>
      </c>
      <c r="AD499" s="538" t="str">
        <f t="shared" ca="1" si="202"/>
        <v>Expired</v>
      </c>
      <c r="AE499" s="537">
        <f t="shared" ca="1" si="203"/>
        <v>0</v>
      </c>
      <c r="AF499" s="539">
        <f t="shared" ca="1" si="213"/>
        <v>5</v>
      </c>
      <c r="AG499" s="531">
        <f t="shared" ca="1" si="214"/>
        <v>795000</v>
      </c>
      <c r="AH499" s="531">
        <f t="shared" ca="1" si="215"/>
        <v>195000</v>
      </c>
      <c r="AI499" s="531">
        <f t="shared" ca="1" si="216"/>
        <v>600000</v>
      </c>
      <c r="AJ499" s="531">
        <f t="shared" ca="1" si="217"/>
        <v>0</v>
      </c>
      <c r="AK499" s="540">
        <f>SUMIFS('Live Collections'!$S:$S,'Live Collections'!$D:$D,Disbursements!B499,'Live Collections'!$G:$G,Disbursements!C499)</f>
        <v>39000</v>
      </c>
      <c r="AL499" s="540">
        <f>SUMIFS('Live Collections'!$T:$T,'Live Collections'!$D:$D,Disbursements!B499,'Live Collections'!$G:$G,Disbursements!C499)</f>
        <v>120000</v>
      </c>
      <c r="AM499" s="541">
        <f t="shared" si="218"/>
        <v>159000</v>
      </c>
      <c r="AN499" s="542">
        <f t="shared" si="219"/>
        <v>156000</v>
      </c>
      <c r="AO499" s="542">
        <f t="shared" si="220"/>
        <v>480000</v>
      </c>
      <c r="AP499" s="543">
        <f t="shared" si="221"/>
        <v>636000</v>
      </c>
      <c r="AQ499" s="544">
        <f t="shared" ca="1" si="222"/>
        <v>636000</v>
      </c>
      <c r="AR499" s="545">
        <f t="shared" ca="1" si="223"/>
        <v>4</v>
      </c>
      <c r="AS499" s="545">
        <f ca="1">IFERROR(CEILING($AR499*VLOOKUP($I499,Ref!$B$23:$E$29,4,0),1),0)</f>
        <v>120</v>
      </c>
      <c r="AT499" s="545" t="str">
        <f ca="1">IF(A499="","",IF(AP499&lt;=1,"Cleared",IF(AS499=0,"Clean",VLOOKUP($AS499,Ref!$G$23:$H$28,2))))</f>
        <v>4.(91-365) Days</v>
      </c>
      <c r="AU499" s="546" t="str">
        <f t="shared" si="224"/>
        <v>Ok</v>
      </c>
    </row>
    <row r="500" spans="1:47" ht="14.25" hidden="1" customHeight="1" x14ac:dyDescent="0.15">
      <c r="A500" s="575">
        <v>44656</v>
      </c>
      <c r="B500" s="523">
        <v>42</v>
      </c>
      <c r="C500" s="523">
        <v>498</v>
      </c>
      <c r="D500" s="523">
        <v>4</v>
      </c>
      <c r="E500" s="579" t="s">
        <v>1274</v>
      </c>
      <c r="F500" s="580">
        <v>250000</v>
      </c>
      <c r="G500" s="524">
        <v>3</v>
      </c>
      <c r="H500" s="555">
        <v>6.5000000000000002E-2</v>
      </c>
      <c r="I500" s="560" t="s">
        <v>859</v>
      </c>
      <c r="J500" s="523" t="s">
        <v>862</v>
      </c>
      <c r="K500" s="528" t="str">
        <f>IFERROR(VLOOKUP($B500,'Clients-Live'!$A:$C,3,0),"")</f>
        <v>ABAU   NOLA</v>
      </c>
      <c r="L500" s="528">
        <f>IF(E500="STL",Pricing!$D$38,IF(A500="",0,IF(A500&lt;Pricing!$C$25,Pricing!$D$25,VLOOKUP(Disbursements!$F500,Pricing!$B$29:$D$32,3))))</f>
        <v>15000</v>
      </c>
      <c r="M500" s="528">
        <f>IF(E500="STL",0,IF(F500&gt;0,Pricing!$D$21,0))</f>
        <v>5000</v>
      </c>
      <c r="N500" s="529">
        <f>IF(E500="STL",F500*Pricing!$D$40,IF(A500&lt;=Pricing!$C$4,0,IF(AND(A500&gt;Pricing!$C$4,Disbursements!A500&lt;=Pricing!$C$5),F500*Pricing!$E$5,IF(AND(A500&gt;Pricing!$C$5,Disbursements!A500&lt;=Pricing!$C$7),VLOOKUP(F500,Pricing!$D$7:$E$8,2)*Disbursements!F500,F500*Pricing!$E$9))))</f>
        <v>5000</v>
      </c>
      <c r="O500" s="528">
        <f>IF(E500="STL",0,IF($F500&gt;0,$F500*Pricing!$D$17,0))</f>
        <v>25000</v>
      </c>
      <c r="P500" s="530">
        <f t="shared" si="204"/>
        <v>48750</v>
      </c>
      <c r="Q500" s="531">
        <f>IF($A500="","",$G500/VLOOKUP($I500,Ref!$B$23:$D$29,2,0))</f>
        <v>3</v>
      </c>
      <c r="R500" s="530">
        <f t="shared" si="205"/>
        <v>298750</v>
      </c>
      <c r="S500" s="532">
        <f t="shared" si="199"/>
        <v>99583.333333333328</v>
      </c>
      <c r="T500" s="531">
        <f t="shared" si="206"/>
        <v>100000</v>
      </c>
      <c r="U500" s="533">
        <f t="shared" si="207"/>
        <v>300000</v>
      </c>
      <c r="V500" s="531">
        <f t="shared" si="208"/>
        <v>83333.333333333328</v>
      </c>
      <c r="W500" s="531">
        <f t="shared" si="209"/>
        <v>16666.666666666672</v>
      </c>
      <c r="X500" s="534">
        <f t="shared" si="210"/>
        <v>50000.000000000015</v>
      </c>
      <c r="Y500" s="535">
        <f>IF($A500="","",IF($I500="weekly",$A500+7,EDATE($A500,VLOOKUP($I500,Ref!$B$24:$C$29,2,0))))</f>
        <v>44686</v>
      </c>
      <c r="Z500" s="536" t="str">
        <f t="shared" si="211"/>
        <v>Thu</v>
      </c>
      <c r="AA500" s="531">
        <f t="shared" si="212"/>
        <v>30</v>
      </c>
      <c r="AB500" s="535">
        <f t="shared" si="200"/>
        <v>44747</v>
      </c>
      <c r="AC500" s="537">
        <f t="shared" si="201"/>
        <v>91</v>
      </c>
      <c r="AD500" s="538" t="str">
        <f t="shared" ca="1" si="202"/>
        <v>Expired</v>
      </c>
      <c r="AE500" s="537">
        <f t="shared" ca="1" si="203"/>
        <v>0</v>
      </c>
      <c r="AF500" s="539">
        <f t="shared" ca="1" si="213"/>
        <v>3</v>
      </c>
      <c r="AG500" s="531">
        <f t="shared" ca="1" si="214"/>
        <v>300000</v>
      </c>
      <c r="AH500" s="531">
        <f t="shared" ca="1" si="215"/>
        <v>50000.000000000015</v>
      </c>
      <c r="AI500" s="531">
        <f t="shared" ca="1" si="216"/>
        <v>250000</v>
      </c>
      <c r="AJ500" s="531">
        <f t="shared" ca="1" si="217"/>
        <v>0</v>
      </c>
      <c r="AK500" s="540">
        <f>SUMIFS('Live Collections'!$S:$S,'Live Collections'!$D:$D,Disbursements!B500,'Live Collections'!$G:$G,Disbursements!C500)</f>
        <v>48333.333333333343</v>
      </c>
      <c r="AL500" s="540">
        <f>SUMIFS('Live Collections'!$T:$T,'Live Collections'!$D:$D,Disbursements!B500,'Live Collections'!$G:$G,Disbursements!C500)</f>
        <v>125666.66666666666</v>
      </c>
      <c r="AM500" s="541">
        <f t="shared" si="218"/>
        <v>174000</v>
      </c>
      <c r="AN500" s="542">
        <f t="shared" si="219"/>
        <v>1666.6666666666715</v>
      </c>
      <c r="AO500" s="542">
        <f t="shared" si="220"/>
        <v>124333.33333333334</v>
      </c>
      <c r="AP500" s="543">
        <f t="shared" si="221"/>
        <v>126000.00000000001</v>
      </c>
      <c r="AQ500" s="544">
        <f t="shared" ca="1" si="222"/>
        <v>126000.00000000001</v>
      </c>
      <c r="AR500" s="545">
        <f t="shared" ca="1" si="223"/>
        <v>1.2600000000000002</v>
      </c>
      <c r="AS500" s="545">
        <f ca="1">IFERROR(CEILING($AR500*VLOOKUP($I500,Ref!$B$23:$E$29,4,0),1),0)</f>
        <v>38</v>
      </c>
      <c r="AT500" s="545" t="str">
        <f ca="1">IF(A500="","",IF(AP500&lt;=1,"Cleared",IF(AS500=0,"Clean",VLOOKUP($AS500,Ref!$G$23:$H$28,2))))</f>
        <v>2.(31-60) Days</v>
      </c>
      <c r="AU500" s="546" t="str">
        <f t="shared" si="224"/>
        <v>Ok</v>
      </c>
    </row>
    <row r="501" spans="1:47" ht="14.25" hidden="1" customHeight="1" x14ac:dyDescent="0.15">
      <c r="A501" s="575">
        <v>44656</v>
      </c>
      <c r="B501" s="523">
        <v>346</v>
      </c>
      <c r="C501" s="523">
        <v>499</v>
      </c>
      <c r="D501" s="523">
        <v>1</v>
      </c>
      <c r="E501" s="579" t="s">
        <v>1274</v>
      </c>
      <c r="F501" s="580">
        <v>1000000</v>
      </c>
      <c r="G501" s="524">
        <v>4</v>
      </c>
      <c r="H501" s="555">
        <v>6.5000000000000002E-2</v>
      </c>
      <c r="I501" s="560" t="s">
        <v>859</v>
      </c>
      <c r="J501" s="523" t="s">
        <v>864</v>
      </c>
      <c r="K501" s="528" t="str">
        <f>IFERROR(VLOOKUP($B501,'Clients-Live'!$A:$C,3,0),"")</f>
        <v>BAKO MASUMBUKA AJUGA</v>
      </c>
      <c r="L501" s="528">
        <f>IF(E501="STL",Pricing!$D$38,IF(A501="",0,IF(A501&lt;Pricing!$C$25,Pricing!$D$25,VLOOKUP(Disbursements!$F501,Pricing!$B$29:$D$32,3))))</f>
        <v>20000</v>
      </c>
      <c r="M501" s="528">
        <f>IF(E501="STL",0,IF(F501&gt;0,Pricing!$D$21,0))</f>
        <v>5000</v>
      </c>
      <c r="N501" s="529">
        <f>IF(E501="STL",F501*Pricing!$D$40,IF(A501&lt;=Pricing!$C$4,0,IF(AND(A501&gt;Pricing!$C$4,Disbursements!A501&lt;=Pricing!$C$5),F501*Pricing!$E$5,IF(AND(A501&gt;Pricing!$C$5,Disbursements!A501&lt;=Pricing!$C$7),VLOOKUP(F501,Pricing!$D$7:$E$8,2)*Disbursements!F501,F501*Pricing!$E$9))))</f>
        <v>20000</v>
      </c>
      <c r="O501" s="528">
        <f>IF(E501="STL",0,IF($F501&gt;0,$F501*Pricing!$D$17,0))</f>
        <v>100000</v>
      </c>
      <c r="P501" s="530">
        <f t="shared" si="204"/>
        <v>260000</v>
      </c>
      <c r="Q501" s="531">
        <f>IF($A501="","",$G501/VLOOKUP($I501,Ref!$B$23:$D$29,2,0))</f>
        <v>4</v>
      </c>
      <c r="R501" s="530">
        <f t="shared" si="205"/>
        <v>1260000</v>
      </c>
      <c r="S501" s="532">
        <f t="shared" si="199"/>
        <v>315000</v>
      </c>
      <c r="T501" s="531">
        <f t="shared" si="206"/>
        <v>315000</v>
      </c>
      <c r="U501" s="533">
        <f t="shared" si="207"/>
        <v>1260000</v>
      </c>
      <c r="V501" s="531">
        <f t="shared" si="208"/>
        <v>250000</v>
      </c>
      <c r="W501" s="531">
        <f t="shared" si="209"/>
        <v>65000</v>
      </c>
      <c r="X501" s="534">
        <f t="shared" si="210"/>
        <v>260000</v>
      </c>
      <c r="Y501" s="535">
        <f>IF($A501="","",IF($I501="weekly",$A501+7,EDATE($A501,VLOOKUP($I501,Ref!$B$24:$C$29,2,0))))</f>
        <v>44686</v>
      </c>
      <c r="Z501" s="536" t="str">
        <f t="shared" si="211"/>
        <v>Thu</v>
      </c>
      <c r="AA501" s="531">
        <f t="shared" si="212"/>
        <v>30</v>
      </c>
      <c r="AB501" s="535">
        <f t="shared" si="200"/>
        <v>44778</v>
      </c>
      <c r="AC501" s="537">
        <f t="shared" si="201"/>
        <v>122</v>
      </c>
      <c r="AD501" s="538" t="str">
        <f t="shared" ca="1" si="202"/>
        <v>Expired</v>
      </c>
      <c r="AE501" s="537">
        <f t="shared" ca="1" si="203"/>
        <v>0</v>
      </c>
      <c r="AF501" s="539">
        <f t="shared" ca="1" si="213"/>
        <v>4</v>
      </c>
      <c r="AG501" s="531">
        <f t="shared" ca="1" si="214"/>
        <v>1260000</v>
      </c>
      <c r="AH501" s="531">
        <f t="shared" ca="1" si="215"/>
        <v>260000</v>
      </c>
      <c r="AI501" s="531">
        <f t="shared" ca="1" si="216"/>
        <v>1000000</v>
      </c>
      <c r="AJ501" s="531">
        <f t="shared" ca="1" si="217"/>
        <v>0</v>
      </c>
      <c r="AK501" s="540">
        <f>SUMIFS('Live Collections'!$S:$S,'Live Collections'!$D:$D,Disbursements!B501,'Live Collections'!$G:$G,Disbursements!C501)</f>
        <v>65000</v>
      </c>
      <c r="AL501" s="540">
        <f>SUMIFS('Live Collections'!$T:$T,'Live Collections'!$D:$D,Disbursements!B501,'Live Collections'!$G:$G,Disbursements!C501)</f>
        <v>250000</v>
      </c>
      <c r="AM501" s="541">
        <f t="shared" si="218"/>
        <v>315000</v>
      </c>
      <c r="AN501" s="542">
        <f t="shared" si="219"/>
        <v>195000</v>
      </c>
      <c r="AO501" s="542">
        <f t="shared" si="220"/>
        <v>750000</v>
      </c>
      <c r="AP501" s="543">
        <f t="shared" si="221"/>
        <v>945000</v>
      </c>
      <c r="AQ501" s="544">
        <f t="shared" ca="1" si="222"/>
        <v>945000</v>
      </c>
      <c r="AR501" s="545">
        <f t="shared" ca="1" si="223"/>
        <v>3</v>
      </c>
      <c r="AS501" s="545">
        <f ca="1">IFERROR(CEILING($AR501*VLOOKUP($I501,Ref!$B$23:$E$29,4,0),1),0)</f>
        <v>90</v>
      </c>
      <c r="AT501" s="545" t="str">
        <f ca="1">IF(A501="","",IF(AP501&lt;=1,"Cleared",IF(AS501=0,"Clean",VLOOKUP($AS501,Ref!$G$23:$H$28,2))))</f>
        <v>3.(61-90) Days</v>
      </c>
      <c r="AU501" s="546" t="str">
        <f t="shared" si="224"/>
        <v>Ok</v>
      </c>
    </row>
    <row r="502" spans="1:47" ht="14.25" hidden="1" customHeight="1" x14ac:dyDescent="0.15">
      <c r="A502" s="575">
        <v>44657</v>
      </c>
      <c r="B502" s="523">
        <v>347</v>
      </c>
      <c r="C502" s="523">
        <v>500</v>
      </c>
      <c r="D502" s="523">
        <v>1</v>
      </c>
      <c r="E502" s="579" t="s">
        <v>1274</v>
      </c>
      <c r="F502" s="580">
        <v>400000</v>
      </c>
      <c r="G502" s="524">
        <v>4</v>
      </c>
      <c r="H502" s="555">
        <v>6.5000000000000002E-2</v>
      </c>
      <c r="I502" s="560" t="s">
        <v>859</v>
      </c>
      <c r="J502" s="523" t="s">
        <v>863</v>
      </c>
      <c r="K502" s="528" t="str">
        <f>IFERROR(VLOOKUP($B502,'Clients-Live'!$A:$C,3,0),"")</f>
        <v>AJONYE FATUMA</v>
      </c>
      <c r="L502" s="528">
        <f>IF(E502="STL",Pricing!$D$38,IF(A502="",0,IF(A502&lt;Pricing!$C$25,Pricing!$D$25,VLOOKUP(Disbursements!$F502,Pricing!$B$29:$D$32,3))))</f>
        <v>15000</v>
      </c>
      <c r="M502" s="528">
        <f>IF(E502="STL",0,IF(F502&gt;0,Pricing!$D$21,0))</f>
        <v>5000</v>
      </c>
      <c r="N502" s="529">
        <f>IF(E502="STL",F502*Pricing!$D$40,IF(A502&lt;=Pricing!$C$4,0,IF(AND(A502&gt;Pricing!$C$4,Disbursements!A502&lt;=Pricing!$C$5),F502*Pricing!$E$5,IF(AND(A502&gt;Pricing!$C$5,Disbursements!A502&lt;=Pricing!$C$7),VLOOKUP(F502,Pricing!$D$7:$E$8,2)*Disbursements!F502,F502*Pricing!$E$9))))</f>
        <v>8000</v>
      </c>
      <c r="O502" s="528">
        <f>IF(E502="STL",0,IF($F502&gt;0,$F502*Pricing!$D$17,0))</f>
        <v>40000</v>
      </c>
      <c r="P502" s="530">
        <f t="shared" si="204"/>
        <v>104000</v>
      </c>
      <c r="Q502" s="531">
        <f>IF($A502="","",$G502/VLOOKUP($I502,Ref!$B$23:$D$29,2,0))</f>
        <v>4</v>
      </c>
      <c r="R502" s="530">
        <f t="shared" si="205"/>
        <v>504000</v>
      </c>
      <c r="S502" s="532">
        <f t="shared" si="199"/>
        <v>126000</v>
      </c>
      <c r="T502" s="531">
        <f t="shared" si="206"/>
        <v>126000</v>
      </c>
      <c r="U502" s="533">
        <f t="shared" si="207"/>
        <v>504000</v>
      </c>
      <c r="V502" s="531">
        <f t="shared" si="208"/>
        <v>100000</v>
      </c>
      <c r="W502" s="531">
        <f t="shared" si="209"/>
        <v>26000</v>
      </c>
      <c r="X502" s="534">
        <f t="shared" si="210"/>
        <v>104000</v>
      </c>
      <c r="Y502" s="535">
        <f>IF($A502="","",IF($I502="weekly",$A502+7,EDATE($A502,VLOOKUP($I502,Ref!$B$24:$C$29,2,0))))</f>
        <v>44687</v>
      </c>
      <c r="Z502" s="536" t="str">
        <f t="shared" si="211"/>
        <v>Frid</v>
      </c>
      <c r="AA502" s="531">
        <f t="shared" si="212"/>
        <v>30</v>
      </c>
      <c r="AB502" s="535">
        <f t="shared" si="200"/>
        <v>44779</v>
      </c>
      <c r="AC502" s="537">
        <f t="shared" si="201"/>
        <v>122</v>
      </c>
      <c r="AD502" s="538" t="str">
        <f t="shared" ca="1" si="202"/>
        <v>Expired</v>
      </c>
      <c r="AE502" s="537">
        <f t="shared" ca="1" si="203"/>
        <v>0</v>
      </c>
      <c r="AF502" s="539">
        <f t="shared" ca="1" si="213"/>
        <v>4</v>
      </c>
      <c r="AG502" s="531">
        <f t="shared" ca="1" si="214"/>
        <v>504000</v>
      </c>
      <c r="AH502" s="531">
        <f t="shared" ca="1" si="215"/>
        <v>104000</v>
      </c>
      <c r="AI502" s="531">
        <f t="shared" ca="1" si="216"/>
        <v>400000</v>
      </c>
      <c r="AJ502" s="531">
        <f t="shared" ca="1" si="217"/>
        <v>0</v>
      </c>
      <c r="AK502" s="540">
        <f>SUMIFS('Live Collections'!$S:$S,'Live Collections'!$D:$D,Disbursements!B502,'Live Collections'!$G:$G,Disbursements!C502)</f>
        <v>26000</v>
      </c>
      <c r="AL502" s="540">
        <f>SUMIFS('Live Collections'!$T:$T,'Live Collections'!$D:$D,Disbursements!B502,'Live Collections'!$G:$G,Disbursements!C502)</f>
        <v>100000</v>
      </c>
      <c r="AM502" s="541">
        <f t="shared" si="218"/>
        <v>126000</v>
      </c>
      <c r="AN502" s="542">
        <f t="shared" si="219"/>
        <v>78000</v>
      </c>
      <c r="AO502" s="542">
        <f t="shared" si="220"/>
        <v>300000</v>
      </c>
      <c r="AP502" s="543">
        <f t="shared" si="221"/>
        <v>378000</v>
      </c>
      <c r="AQ502" s="544">
        <f t="shared" ca="1" si="222"/>
        <v>378000</v>
      </c>
      <c r="AR502" s="545">
        <f t="shared" ca="1" si="223"/>
        <v>3</v>
      </c>
      <c r="AS502" s="545">
        <f ca="1">IFERROR(CEILING($AR502*VLOOKUP($I502,Ref!$B$23:$E$29,4,0),1),0)</f>
        <v>90</v>
      </c>
      <c r="AT502" s="545" t="str">
        <f ca="1">IF(A502="","",IF(AP502&lt;=1,"Cleared",IF(AS502=0,"Clean",VLOOKUP($AS502,Ref!$G$23:$H$28,2))))</f>
        <v>3.(61-90) Days</v>
      </c>
      <c r="AU502" s="546" t="str">
        <f t="shared" si="224"/>
        <v>Ok</v>
      </c>
    </row>
    <row r="503" spans="1:47" ht="14.25" customHeight="1" x14ac:dyDescent="0.15">
      <c r="A503" s="575">
        <v>44657</v>
      </c>
      <c r="B503" s="523">
        <v>161</v>
      </c>
      <c r="C503" s="523">
        <v>501</v>
      </c>
      <c r="D503" s="523">
        <v>3</v>
      </c>
      <c r="E503" s="579" t="s">
        <v>1274</v>
      </c>
      <c r="F503" s="580">
        <v>5000000</v>
      </c>
      <c r="G503" s="524">
        <v>1</v>
      </c>
      <c r="H503" s="555">
        <v>6.5000000000000002E-2</v>
      </c>
      <c r="I503" s="560" t="s">
        <v>859</v>
      </c>
      <c r="J503" s="523" t="s">
        <v>864</v>
      </c>
      <c r="K503" s="528" t="str">
        <f>IFERROR(VLOOKUP($B503,'Clients-Live'!$A:$C,3,0),"")</f>
        <v>OKUYO BERNARD</v>
      </c>
      <c r="L503" s="528">
        <f>IF(E503="STL",Pricing!$D$38,IF(A503="",0,IF(A503&lt;Pricing!$C$25,Pricing!$D$25,VLOOKUP(Disbursements!$F503,Pricing!$B$29:$D$32,3))))</f>
        <v>30000</v>
      </c>
      <c r="M503" s="528">
        <f>IF(E503="STL",0,IF(F503&gt;0,Pricing!$D$21,0))</f>
        <v>5000</v>
      </c>
      <c r="N503" s="529">
        <f>IF(E503="STL",F503*Pricing!$D$40,IF(A503&lt;=Pricing!$C$4,0,IF(AND(A503&gt;Pricing!$C$4,Disbursements!A503&lt;=Pricing!$C$5),F503*Pricing!$E$5,IF(AND(A503&gt;Pricing!$C$5,Disbursements!A503&lt;=Pricing!$C$7),VLOOKUP(F503,Pricing!$D$7:$E$8,2)*Disbursements!F503,F503*Pricing!$E$9))))</f>
        <v>100000</v>
      </c>
      <c r="O503" s="528">
        <f>IF(E503="STL",0,IF($F503&gt;0,$F503*Pricing!$D$17,0))</f>
        <v>500000</v>
      </c>
      <c r="P503" s="530">
        <f t="shared" si="204"/>
        <v>325000</v>
      </c>
      <c r="Q503" s="531">
        <f>IF($A503="","",$G503/VLOOKUP($I503,Ref!$B$23:$D$29,2,0))</f>
        <v>1</v>
      </c>
      <c r="R503" s="530">
        <f t="shared" si="205"/>
        <v>5325000</v>
      </c>
      <c r="S503" s="532">
        <f t="shared" si="199"/>
        <v>5325000</v>
      </c>
      <c r="T503" s="531">
        <f t="shared" si="206"/>
        <v>5325000</v>
      </c>
      <c r="U503" s="533">
        <f t="shared" si="207"/>
        <v>5325000</v>
      </c>
      <c r="V503" s="531">
        <f t="shared" si="208"/>
        <v>5000000</v>
      </c>
      <c r="W503" s="531">
        <f t="shared" si="209"/>
        <v>325000</v>
      </c>
      <c r="X503" s="534">
        <f t="shared" si="210"/>
        <v>325000</v>
      </c>
      <c r="Y503" s="535">
        <f>IF($A503="","",IF($I503="weekly",$A503+7,EDATE($A503,VLOOKUP($I503,Ref!$B$24:$C$29,2,0))))</f>
        <v>44687</v>
      </c>
      <c r="Z503" s="536" t="str">
        <f t="shared" si="211"/>
        <v>Frid</v>
      </c>
      <c r="AA503" s="531">
        <f t="shared" si="212"/>
        <v>30</v>
      </c>
      <c r="AB503" s="535">
        <f t="shared" si="200"/>
        <v>44687</v>
      </c>
      <c r="AC503" s="537">
        <f t="shared" si="201"/>
        <v>30</v>
      </c>
      <c r="AD503" s="538" t="str">
        <f t="shared" ca="1" si="202"/>
        <v>Expired</v>
      </c>
      <c r="AE503" s="537">
        <f t="shared" ca="1" si="203"/>
        <v>0</v>
      </c>
      <c r="AF503" s="539">
        <f t="shared" ca="1" si="213"/>
        <v>1</v>
      </c>
      <c r="AG503" s="531">
        <f t="shared" ca="1" si="214"/>
        <v>5325000</v>
      </c>
      <c r="AH503" s="531">
        <f t="shared" ca="1" si="215"/>
        <v>325000</v>
      </c>
      <c r="AI503" s="531">
        <f t="shared" ca="1" si="216"/>
        <v>5000000</v>
      </c>
      <c r="AJ503" s="531">
        <f t="shared" ca="1" si="217"/>
        <v>0</v>
      </c>
      <c r="AK503" s="540">
        <f>SUMIFS('Live Collections'!$S:$S,'Live Collections'!$D:$D,Disbursements!B503,'Live Collections'!$G:$G,Disbursements!C503)</f>
        <v>325000</v>
      </c>
      <c r="AL503" s="540">
        <f>SUMIFS('Live Collections'!$T:$T,'Live Collections'!$D:$D,Disbursements!B503,'Live Collections'!$G:$G,Disbursements!C503)</f>
        <v>675000</v>
      </c>
      <c r="AM503" s="541">
        <f t="shared" si="218"/>
        <v>1000000</v>
      </c>
      <c r="AN503" s="542">
        <f t="shared" si="219"/>
        <v>0</v>
      </c>
      <c r="AO503" s="542">
        <f t="shared" si="220"/>
        <v>4325000</v>
      </c>
      <c r="AP503" s="543">
        <f t="shared" si="221"/>
        <v>4325000</v>
      </c>
      <c r="AQ503" s="544">
        <f t="shared" ca="1" si="222"/>
        <v>4325000</v>
      </c>
      <c r="AR503" s="545">
        <f t="shared" ca="1" si="223"/>
        <v>0.81220657276995301</v>
      </c>
      <c r="AS503" s="545">
        <f ca="1">IFERROR(CEILING($AR503*VLOOKUP($I503,Ref!$B$23:$E$29,4,0),1),0)</f>
        <v>25</v>
      </c>
      <c r="AT503" s="545" t="str">
        <f ca="1">IF(A503="","",IF(AP503&lt;=1,"Cleared",IF(AS503=0,"Clean",VLOOKUP($AS503,Ref!$G$23:$H$28,2))))</f>
        <v>1.(0-30) Days</v>
      </c>
      <c r="AU503" s="546" t="str">
        <f t="shared" si="224"/>
        <v>Ok</v>
      </c>
    </row>
    <row r="504" spans="1:47" ht="14.25" hidden="1" customHeight="1" x14ac:dyDescent="0.15">
      <c r="A504" s="575">
        <v>44660</v>
      </c>
      <c r="B504" s="523">
        <v>72</v>
      </c>
      <c r="C504" s="523">
        <v>502</v>
      </c>
      <c r="D504" s="523">
        <v>3</v>
      </c>
      <c r="E504" s="579" t="s">
        <v>1274</v>
      </c>
      <c r="F504" s="580">
        <v>1800000</v>
      </c>
      <c r="G504" s="524">
        <v>6</v>
      </c>
      <c r="H504" s="555">
        <v>6.5000000000000002E-2</v>
      </c>
      <c r="I504" s="560" t="s">
        <v>859</v>
      </c>
      <c r="J504" s="523" t="s">
        <v>863</v>
      </c>
      <c r="K504" s="528" t="str">
        <f>IFERROR(VLOOKUP($B504,'Clients-Live'!$A:$C,3,0),"")</f>
        <v>MUNDURU MERCY</v>
      </c>
      <c r="L504" s="528">
        <f>IF(E504="STL",Pricing!$D$38,IF(A504="",0,IF(A504&lt;Pricing!$C$25,Pricing!$D$25,VLOOKUP(Disbursements!$F504,Pricing!$B$29:$D$32,3))))</f>
        <v>25000</v>
      </c>
      <c r="M504" s="528">
        <f>IF(E504="STL",0,IF(F504&gt;0,Pricing!$D$21,0))</f>
        <v>5000</v>
      </c>
      <c r="N504" s="529">
        <f>IF(E504="STL",F504*Pricing!$D$40,IF(A504&lt;=Pricing!$C$4,0,IF(AND(A504&gt;Pricing!$C$4,Disbursements!A504&lt;=Pricing!$C$5),F504*Pricing!$E$5,IF(AND(A504&gt;Pricing!$C$5,Disbursements!A504&lt;=Pricing!$C$7),VLOOKUP(F504,Pricing!$D$7:$E$8,2)*Disbursements!F504,F504*Pricing!$E$9))))</f>
        <v>36000</v>
      </c>
      <c r="O504" s="528">
        <f>IF(E504="STL",0,IF($F504&gt;0,$F504*Pricing!$D$17,0))</f>
        <v>180000</v>
      </c>
      <c r="P504" s="530">
        <f t="shared" si="204"/>
        <v>702000</v>
      </c>
      <c r="Q504" s="531">
        <f>IF($A504="","",$G504/VLOOKUP($I504,Ref!$B$23:$D$29,2,0))</f>
        <v>6</v>
      </c>
      <c r="R504" s="530">
        <f t="shared" si="205"/>
        <v>2502000</v>
      </c>
      <c r="S504" s="532">
        <f t="shared" si="199"/>
        <v>417000</v>
      </c>
      <c r="T504" s="531">
        <f t="shared" si="206"/>
        <v>417000</v>
      </c>
      <c r="U504" s="533">
        <f t="shared" si="207"/>
        <v>2502000</v>
      </c>
      <c r="V504" s="531">
        <f t="shared" si="208"/>
        <v>300000</v>
      </c>
      <c r="W504" s="531">
        <f t="shared" si="209"/>
        <v>117000</v>
      </c>
      <c r="X504" s="534">
        <f t="shared" si="210"/>
        <v>702000</v>
      </c>
      <c r="Y504" s="535">
        <f>IF($A504="","",IF($I504="weekly",$A504+7,EDATE($A504,VLOOKUP($I504,Ref!$B$24:$C$29,2,0))))</f>
        <v>44690</v>
      </c>
      <c r="Z504" s="536" t="str">
        <f t="shared" si="211"/>
        <v>Mon</v>
      </c>
      <c r="AA504" s="531">
        <f t="shared" si="212"/>
        <v>30</v>
      </c>
      <c r="AB504" s="535">
        <f t="shared" si="200"/>
        <v>44843</v>
      </c>
      <c r="AC504" s="537">
        <f t="shared" si="201"/>
        <v>183</v>
      </c>
      <c r="AD504" s="538" t="str">
        <f t="shared" ca="1" si="202"/>
        <v>Expired</v>
      </c>
      <c r="AE504" s="537">
        <f t="shared" ca="1" si="203"/>
        <v>0</v>
      </c>
      <c r="AF504" s="539">
        <f t="shared" ca="1" si="213"/>
        <v>6</v>
      </c>
      <c r="AG504" s="531">
        <f t="shared" ca="1" si="214"/>
        <v>2502000</v>
      </c>
      <c r="AH504" s="531">
        <f t="shared" ca="1" si="215"/>
        <v>702000</v>
      </c>
      <c r="AI504" s="531">
        <f t="shared" ca="1" si="216"/>
        <v>1800000</v>
      </c>
      <c r="AJ504" s="531">
        <f t="shared" ca="1" si="217"/>
        <v>0</v>
      </c>
      <c r="AK504" s="540">
        <f>SUMIFS('Live Collections'!$S:$S,'Live Collections'!$D:$D,Disbursements!B504,'Live Collections'!$G:$G,Disbursements!C504)</f>
        <v>117000</v>
      </c>
      <c r="AL504" s="540">
        <f>SUMIFS('Live Collections'!$T:$T,'Live Collections'!$D:$D,Disbursements!B504,'Live Collections'!$G:$G,Disbursements!C504)</f>
        <v>300000</v>
      </c>
      <c r="AM504" s="541">
        <f t="shared" si="218"/>
        <v>417000</v>
      </c>
      <c r="AN504" s="542">
        <f t="shared" si="219"/>
        <v>585000</v>
      </c>
      <c r="AO504" s="542">
        <f t="shared" si="220"/>
        <v>1500000</v>
      </c>
      <c r="AP504" s="543">
        <f t="shared" si="221"/>
        <v>2085000</v>
      </c>
      <c r="AQ504" s="544">
        <f t="shared" ca="1" si="222"/>
        <v>2085000</v>
      </c>
      <c r="AR504" s="545">
        <f t="shared" ca="1" si="223"/>
        <v>5</v>
      </c>
      <c r="AS504" s="545">
        <f ca="1">IFERROR(CEILING($AR504*VLOOKUP($I504,Ref!$B$23:$E$29,4,0),1),0)</f>
        <v>150</v>
      </c>
      <c r="AT504" s="545" t="str">
        <f ca="1">IF(A504="","",IF(AP504&lt;=1,"Cleared",IF(AS504=0,"Clean",VLOOKUP($AS504,Ref!$G$23:$H$28,2))))</f>
        <v>4.(91-365) Days</v>
      </c>
      <c r="AU504" s="546" t="str">
        <f t="shared" si="224"/>
        <v>Ok</v>
      </c>
    </row>
    <row r="505" spans="1:47" ht="14.25" hidden="1" customHeight="1" x14ac:dyDescent="0.15">
      <c r="A505" s="575">
        <v>44660</v>
      </c>
      <c r="B505" s="523">
        <v>328</v>
      </c>
      <c r="C505" s="523">
        <v>503</v>
      </c>
      <c r="D505" s="523">
        <v>2</v>
      </c>
      <c r="E505" s="579" t="s">
        <v>1274</v>
      </c>
      <c r="F505" s="580">
        <v>3000000</v>
      </c>
      <c r="G505" s="524">
        <v>4</v>
      </c>
      <c r="H505" s="555">
        <v>6.5000000000000002E-2</v>
      </c>
      <c r="I505" s="560" t="s">
        <v>859</v>
      </c>
      <c r="J505" s="523" t="s">
        <v>864</v>
      </c>
      <c r="K505" s="528" t="str">
        <f>IFERROR(VLOOKUP($B505,'Clients-Live'!$A:$C,3,0),"")</f>
        <v>AGOTIA JOYCE</v>
      </c>
      <c r="L505" s="528">
        <f>IF(E505="STL",Pricing!$D$38,IF(A505="",0,IF(A505&lt;Pricing!$C$25,Pricing!$D$25,VLOOKUP(Disbursements!$F505,Pricing!$B$29:$D$32,3))))</f>
        <v>30000</v>
      </c>
      <c r="M505" s="528">
        <f>IF(E505="STL",0,IF(F505&gt;0,Pricing!$D$21,0))</f>
        <v>5000</v>
      </c>
      <c r="N505" s="529">
        <f>IF(E505="STL",F505*Pricing!$D$40,IF(A505&lt;=Pricing!$C$4,0,IF(AND(A505&gt;Pricing!$C$4,Disbursements!A505&lt;=Pricing!$C$5),F505*Pricing!$E$5,IF(AND(A505&gt;Pricing!$C$5,Disbursements!A505&lt;=Pricing!$C$7),VLOOKUP(F505,Pricing!$D$7:$E$8,2)*Disbursements!F505,F505*Pricing!$E$9))))</f>
        <v>60000</v>
      </c>
      <c r="O505" s="528">
        <f>IF(E505="STL",0,IF($F505&gt;0,$F505*Pricing!$D$17,0))</f>
        <v>300000</v>
      </c>
      <c r="P505" s="530">
        <f t="shared" si="204"/>
        <v>780000</v>
      </c>
      <c r="Q505" s="531">
        <f>IF($A505="","",$G505/VLOOKUP($I505,Ref!$B$23:$D$29,2,0))</f>
        <v>4</v>
      </c>
      <c r="R505" s="530">
        <f t="shared" si="205"/>
        <v>3780000</v>
      </c>
      <c r="S505" s="532">
        <f t="shared" si="199"/>
        <v>945000</v>
      </c>
      <c r="T505" s="531">
        <f t="shared" si="206"/>
        <v>945000</v>
      </c>
      <c r="U505" s="533">
        <f t="shared" si="207"/>
        <v>3780000</v>
      </c>
      <c r="V505" s="531">
        <f t="shared" si="208"/>
        <v>750000</v>
      </c>
      <c r="W505" s="531">
        <f t="shared" si="209"/>
        <v>195000</v>
      </c>
      <c r="X505" s="534">
        <f t="shared" si="210"/>
        <v>780000</v>
      </c>
      <c r="Y505" s="535">
        <f>IF($A505="","",IF($I505="weekly",$A505+7,EDATE($A505,VLOOKUP($I505,Ref!$B$24:$C$29,2,0))))</f>
        <v>44690</v>
      </c>
      <c r="Z505" s="536" t="str">
        <f t="shared" si="211"/>
        <v>Mon</v>
      </c>
      <c r="AA505" s="531">
        <f t="shared" si="212"/>
        <v>30</v>
      </c>
      <c r="AB505" s="535">
        <f t="shared" si="200"/>
        <v>44782</v>
      </c>
      <c r="AC505" s="537">
        <f t="shared" si="201"/>
        <v>122</v>
      </c>
      <c r="AD505" s="538" t="str">
        <f t="shared" ca="1" si="202"/>
        <v>Expired</v>
      </c>
      <c r="AE505" s="537">
        <f t="shared" ca="1" si="203"/>
        <v>0</v>
      </c>
      <c r="AF505" s="539">
        <f t="shared" ca="1" si="213"/>
        <v>4</v>
      </c>
      <c r="AG505" s="531">
        <f t="shared" ca="1" si="214"/>
        <v>3780000</v>
      </c>
      <c r="AH505" s="531">
        <f t="shared" ca="1" si="215"/>
        <v>780000</v>
      </c>
      <c r="AI505" s="531">
        <f t="shared" ca="1" si="216"/>
        <v>3000000</v>
      </c>
      <c r="AJ505" s="531">
        <f t="shared" ca="1" si="217"/>
        <v>0</v>
      </c>
      <c r="AK505" s="540">
        <f>SUMIFS('Live Collections'!$S:$S,'Live Collections'!$D:$D,Disbursements!B505,'Live Collections'!$G:$G,Disbursements!C505)</f>
        <v>195000</v>
      </c>
      <c r="AL505" s="540">
        <f>SUMIFS('Live Collections'!$T:$T,'Live Collections'!$D:$D,Disbursements!B505,'Live Collections'!$G:$G,Disbursements!C505)</f>
        <v>1000000</v>
      </c>
      <c r="AM505" s="541">
        <f t="shared" si="218"/>
        <v>1195000</v>
      </c>
      <c r="AN505" s="542">
        <f t="shared" si="219"/>
        <v>585000</v>
      </c>
      <c r="AO505" s="542">
        <f t="shared" si="220"/>
        <v>2000000</v>
      </c>
      <c r="AP505" s="543">
        <f t="shared" si="221"/>
        <v>2585000</v>
      </c>
      <c r="AQ505" s="544">
        <f t="shared" ca="1" si="222"/>
        <v>2585000</v>
      </c>
      <c r="AR505" s="545">
        <f t="shared" ca="1" si="223"/>
        <v>2.7354497354497354</v>
      </c>
      <c r="AS505" s="545">
        <f ca="1">IFERROR(CEILING($AR505*VLOOKUP($I505,Ref!$B$23:$E$29,4,0),1),0)</f>
        <v>83</v>
      </c>
      <c r="AT505" s="545" t="str">
        <f ca="1">IF(A505="","",IF(AP505&lt;=1,"Cleared",IF(AS505=0,"Clean",VLOOKUP($AS505,Ref!$G$23:$H$28,2))))</f>
        <v>3.(61-90) Days</v>
      </c>
      <c r="AU505" s="546" t="str">
        <f t="shared" si="224"/>
        <v>Ok</v>
      </c>
    </row>
    <row r="506" spans="1:47" ht="14.25" customHeight="1" x14ac:dyDescent="0.15">
      <c r="A506" s="575">
        <v>44663</v>
      </c>
      <c r="B506" s="523">
        <v>351</v>
      </c>
      <c r="C506" s="523">
        <v>504</v>
      </c>
      <c r="D506" s="523">
        <v>1</v>
      </c>
      <c r="E506" s="579" t="s">
        <v>1277</v>
      </c>
      <c r="F506" s="580">
        <v>1000000</v>
      </c>
      <c r="G506" s="524">
        <v>1</v>
      </c>
      <c r="H506" s="555">
        <v>7.4999999999999997E-2</v>
      </c>
      <c r="I506" s="560" t="s">
        <v>859</v>
      </c>
      <c r="J506" s="523" t="s">
        <v>864</v>
      </c>
      <c r="K506" s="528" t="str">
        <f>IFERROR(VLOOKUP($B506,'Clients-Live'!$A:$C,3,0),"")</f>
        <v>KAGGWA ROBERT</v>
      </c>
      <c r="L506" s="528">
        <f>IF(E506="STL",Pricing!$D$38,IF(A506="",0,IF(A506&lt;Pricing!$C$25,Pricing!$D$25,VLOOKUP(Disbursements!$F506,Pricing!$B$29:$D$32,3))))</f>
        <v>20000</v>
      </c>
      <c r="M506" s="528">
        <f>IF(E506="STL",0,IF(F506&gt;0,Pricing!$D$21,0))</f>
        <v>5000</v>
      </c>
      <c r="N506" s="529">
        <f>IF(E506="STL",F506*Pricing!$D$40,IF(A506&lt;=Pricing!$C$4,0,IF(AND(A506&gt;Pricing!$C$4,Disbursements!A506&lt;=Pricing!$C$5),F506*Pricing!$E$5,IF(AND(A506&gt;Pricing!$C$5,Disbursements!A506&lt;=Pricing!$C$7),VLOOKUP(F506,Pricing!$D$7:$E$8,2)*Disbursements!F506,F506*Pricing!$E$9))))</f>
        <v>20000</v>
      </c>
      <c r="O506" s="528">
        <f>IF(E506="STL",0,IF($F506&gt;0,$F506*Pricing!$D$17,0))</f>
        <v>100000</v>
      </c>
      <c r="P506" s="530">
        <f t="shared" si="204"/>
        <v>75000</v>
      </c>
      <c r="Q506" s="531">
        <f>IF($A506="","",$G506/VLOOKUP($I506,Ref!$B$23:$D$29,2,0))</f>
        <v>1</v>
      </c>
      <c r="R506" s="530">
        <f t="shared" si="205"/>
        <v>1075000</v>
      </c>
      <c r="S506" s="532">
        <f t="shared" si="199"/>
        <v>1075000</v>
      </c>
      <c r="T506" s="531">
        <f t="shared" si="206"/>
        <v>1075000</v>
      </c>
      <c r="U506" s="533">
        <f t="shared" si="207"/>
        <v>1075000</v>
      </c>
      <c r="V506" s="531">
        <f t="shared" si="208"/>
        <v>1000000</v>
      </c>
      <c r="W506" s="531">
        <f t="shared" si="209"/>
        <v>75000</v>
      </c>
      <c r="X506" s="534">
        <f t="shared" si="210"/>
        <v>75000</v>
      </c>
      <c r="Y506" s="535">
        <f>IF($A506="","",IF($I506="weekly",$A506+7,EDATE($A506,VLOOKUP($I506,Ref!$B$24:$C$29,2,0))))</f>
        <v>44693</v>
      </c>
      <c r="Z506" s="536" t="str">
        <f t="shared" si="211"/>
        <v>Thu</v>
      </c>
      <c r="AA506" s="531">
        <f t="shared" si="212"/>
        <v>30</v>
      </c>
      <c r="AB506" s="535">
        <f t="shared" si="200"/>
        <v>44693</v>
      </c>
      <c r="AC506" s="537">
        <f t="shared" si="201"/>
        <v>30</v>
      </c>
      <c r="AD506" s="538" t="str">
        <f t="shared" ca="1" si="202"/>
        <v>Expired</v>
      </c>
      <c r="AE506" s="537">
        <f t="shared" ca="1" si="203"/>
        <v>0</v>
      </c>
      <c r="AF506" s="539">
        <f t="shared" ca="1" si="213"/>
        <v>1</v>
      </c>
      <c r="AG506" s="531">
        <f t="shared" ca="1" si="214"/>
        <v>1075000</v>
      </c>
      <c r="AH506" s="531">
        <f t="shared" ca="1" si="215"/>
        <v>75000</v>
      </c>
      <c r="AI506" s="531">
        <f t="shared" ca="1" si="216"/>
        <v>1000000</v>
      </c>
      <c r="AJ506" s="531">
        <f t="shared" ca="1" si="217"/>
        <v>0</v>
      </c>
      <c r="AK506" s="540">
        <f>SUMIFS('Live Collections'!$S:$S,'Live Collections'!$D:$D,Disbursements!B506,'Live Collections'!$G:$G,Disbursements!C506)</f>
        <v>75000</v>
      </c>
      <c r="AL506" s="540">
        <f>SUMIFS('Live Collections'!$T:$T,'Live Collections'!$D:$D,Disbursements!B506,'Live Collections'!$G:$G,Disbursements!C506)</f>
        <v>1000000</v>
      </c>
      <c r="AM506" s="541">
        <f t="shared" si="218"/>
        <v>1075000</v>
      </c>
      <c r="AN506" s="542">
        <f t="shared" si="219"/>
        <v>0</v>
      </c>
      <c r="AO506" s="542">
        <f t="shared" si="220"/>
        <v>0</v>
      </c>
      <c r="AP506" s="543">
        <f t="shared" si="221"/>
        <v>0</v>
      </c>
      <c r="AQ506" s="544" t="str">
        <f t="shared" ca="1" si="222"/>
        <v/>
      </c>
      <c r="AR506" s="545">
        <f t="shared" ca="1" si="223"/>
        <v>0</v>
      </c>
      <c r="AS506" s="545">
        <f ca="1">IFERROR(CEILING($AR506*VLOOKUP($I506,Ref!$B$23:$E$29,4,0),1),0)</f>
        <v>0</v>
      </c>
      <c r="AT506" s="545" t="str">
        <f>IF(A506="","",IF(AP506&lt;=1,"Cleared",IF(AS506=0,"Clean",VLOOKUP($AS506,Ref!$G$23:$H$28,2))))</f>
        <v>Cleared</v>
      </c>
      <c r="AU506" s="546" t="str">
        <f t="shared" si="224"/>
        <v>Ok</v>
      </c>
    </row>
    <row r="507" spans="1:47" ht="14.25" hidden="1" customHeight="1" x14ac:dyDescent="0.15">
      <c r="A507" s="575">
        <v>44663</v>
      </c>
      <c r="B507" s="523">
        <v>24</v>
      </c>
      <c r="C507" s="523">
        <v>505</v>
      </c>
      <c r="D507" s="523">
        <v>3</v>
      </c>
      <c r="E507" s="579" t="s">
        <v>1976</v>
      </c>
      <c r="F507" s="580">
        <v>1400000</v>
      </c>
      <c r="G507" s="524">
        <v>9</v>
      </c>
      <c r="H507" s="555">
        <v>2.5000000000000001E-2</v>
      </c>
      <c r="I507" s="560" t="s">
        <v>859</v>
      </c>
      <c r="J507" s="523" t="s">
        <v>864</v>
      </c>
      <c r="K507" s="528" t="str">
        <f>IFERROR(VLOOKUP($B507,'Clients-Live'!$A:$C,3,0),"")</f>
        <v>VITA JEROME</v>
      </c>
      <c r="L507" s="528">
        <f>IF(E507="STL",Pricing!$D$38,IF(A507="",0,IF(A507&lt;Pricing!$C$25,Pricing!$D$25,VLOOKUP(Disbursements!$F507,Pricing!$B$29:$D$32,3))))</f>
        <v>10000</v>
      </c>
      <c r="M507" s="528">
        <f>IF(E507="STL",0,IF(F507&gt;0,Pricing!$D$21,0))</f>
        <v>0</v>
      </c>
      <c r="N507" s="529">
        <f>IF(E507="STL",F507*Pricing!$D$40,IF(A507&lt;=Pricing!$C$4,0,IF(AND(A507&gt;Pricing!$C$4,Disbursements!A507&lt;=Pricing!$C$5),F507*Pricing!$E$5,IF(AND(A507&gt;Pricing!$C$5,Disbursements!A507&lt;=Pricing!$C$7),VLOOKUP(F507,Pricing!$D$7:$E$8,2)*Disbursements!F507,F507*Pricing!$E$9))))</f>
        <v>14000</v>
      </c>
      <c r="O507" s="528">
        <f>IF(E507="STL",0,IF($F507&gt;0,$F507*Pricing!$D$17,0))</f>
        <v>0</v>
      </c>
      <c r="P507" s="530">
        <f t="shared" si="204"/>
        <v>315000</v>
      </c>
      <c r="Q507" s="531">
        <f>IF($A507="","",$G507/VLOOKUP($I507,Ref!$B$23:$D$29,2,0))</f>
        <v>9</v>
      </c>
      <c r="R507" s="530">
        <f t="shared" si="205"/>
        <v>1715000</v>
      </c>
      <c r="S507" s="532">
        <f t="shared" si="199"/>
        <v>190555.55555555556</v>
      </c>
      <c r="T507" s="531">
        <f t="shared" si="206"/>
        <v>191000</v>
      </c>
      <c r="U507" s="533">
        <f t="shared" si="207"/>
        <v>1719000</v>
      </c>
      <c r="V507" s="531">
        <f t="shared" si="208"/>
        <v>155555.55555555556</v>
      </c>
      <c r="W507" s="531">
        <f t="shared" si="209"/>
        <v>35444.444444444438</v>
      </c>
      <c r="X507" s="534">
        <f t="shared" si="210"/>
        <v>318999.99999999994</v>
      </c>
      <c r="Y507" s="535">
        <f>IF($A507="","",IF($I507="weekly",$A507+7,EDATE($A507,VLOOKUP($I507,Ref!$B$24:$C$29,2,0))))</f>
        <v>44693</v>
      </c>
      <c r="Z507" s="536" t="str">
        <f t="shared" si="211"/>
        <v>Thu</v>
      </c>
      <c r="AA507" s="531">
        <f t="shared" si="212"/>
        <v>30</v>
      </c>
      <c r="AB507" s="535">
        <f t="shared" si="200"/>
        <v>44938</v>
      </c>
      <c r="AC507" s="537">
        <f t="shared" si="201"/>
        <v>275</v>
      </c>
      <c r="AD507" s="538" t="str">
        <f t="shared" ca="1" si="202"/>
        <v>Expired</v>
      </c>
      <c r="AE507" s="537">
        <f t="shared" ca="1" si="203"/>
        <v>0</v>
      </c>
      <c r="AF507" s="539">
        <f t="shared" ca="1" si="213"/>
        <v>9</v>
      </c>
      <c r="AG507" s="531">
        <f t="shared" ca="1" si="214"/>
        <v>1719000</v>
      </c>
      <c r="AH507" s="531">
        <f t="shared" ca="1" si="215"/>
        <v>318999.99999999994</v>
      </c>
      <c r="AI507" s="531">
        <f t="shared" ca="1" si="216"/>
        <v>1400000</v>
      </c>
      <c r="AJ507" s="531">
        <f t="shared" ca="1" si="217"/>
        <v>0</v>
      </c>
      <c r="AK507" s="540">
        <f>SUMIFS('Live Collections'!$S:$S,'Live Collections'!$D:$D,Disbursements!B507,'Live Collections'!$G:$G,Disbursements!C507)</f>
        <v>70888.888888888876</v>
      </c>
      <c r="AL507" s="540">
        <f>SUMIFS('Live Collections'!$T:$T,'Live Collections'!$D:$D,Disbursements!B507,'Live Collections'!$G:$G,Disbursements!C507)</f>
        <v>311111.11111111112</v>
      </c>
      <c r="AM507" s="541">
        <f t="shared" si="218"/>
        <v>382000</v>
      </c>
      <c r="AN507" s="542">
        <f t="shared" si="219"/>
        <v>248111.11111111107</v>
      </c>
      <c r="AO507" s="542">
        <f t="shared" si="220"/>
        <v>1088888.888888889</v>
      </c>
      <c r="AP507" s="543">
        <f t="shared" si="221"/>
        <v>1337000</v>
      </c>
      <c r="AQ507" s="544">
        <f t="shared" ca="1" si="222"/>
        <v>1337000</v>
      </c>
      <c r="AR507" s="545">
        <f t="shared" ca="1" si="223"/>
        <v>7</v>
      </c>
      <c r="AS507" s="545">
        <f ca="1">IFERROR(CEILING($AR507*VLOOKUP($I507,Ref!$B$23:$E$29,4,0),1),0)</f>
        <v>210</v>
      </c>
      <c r="AT507" s="545" t="str">
        <f ca="1">IF(A507="","",IF(AP507&lt;=1,"Cleared",IF(AS507=0,"Clean",VLOOKUP($AS507,Ref!$G$23:$H$28,2))))</f>
        <v>4.(91-365) Days</v>
      </c>
      <c r="AU507" s="546" t="str">
        <f t="shared" si="224"/>
        <v>Ok</v>
      </c>
    </row>
    <row r="508" spans="1:47" ht="14.25" hidden="1" customHeight="1" x14ac:dyDescent="0.15">
      <c r="A508" s="575">
        <v>44663</v>
      </c>
      <c r="B508" s="523">
        <v>179</v>
      </c>
      <c r="C508" s="523">
        <v>506</v>
      </c>
      <c r="D508" s="523">
        <v>3</v>
      </c>
      <c r="E508" s="579" t="s">
        <v>1274</v>
      </c>
      <c r="F508" s="580">
        <v>700000</v>
      </c>
      <c r="G508" s="524">
        <v>4</v>
      </c>
      <c r="H508" s="555">
        <v>6.5000000000000002E-2</v>
      </c>
      <c r="I508" s="560" t="s">
        <v>859</v>
      </c>
      <c r="J508" s="523" t="s">
        <v>862</v>
      </c>
      <c r="K508" s="528" t="str">
        <f>IFERROR(VLOOKUP($B508,'Clients-Live'!$A:$C,3,0),"")</f>
        <v>GERIA VIOLA</v>
      </c>
      <c r="L508" s="528">
        <f>IF(E508="STL",Pricing!$D$38,IF(A508="",0,IF(A508&lt;Pricing!$C$25,Pricing!$D$25,VLOOKUP(Disbursements!$F508,Pricing!$B$29:$D$32,3))))</f>
        <v>20000</v>
      </c>
      <c r="M508" s="528">
        <f>IF(E508="STL",0,IF(F508&gt;0,Pricing!$D$21,0))</f>
        <v>5000</v>
      </c>
      <c r="N508" s="529">
        <f>IF(E508="STL",F508*Pricing!$D$40,IF(A508&lt;=Pricing!$C$4,0,IF(AND(A508&gt;Pricing!$C$4,Disbursements!A508&lt;=Pricing!$C$5),F508*Pricing!$E$5,IF(AND(A508&gt;Pricing!$C$5,Disbursements!A508&lt;=Pricing!$C$7),VLOOKUP(F508,Pricing!$D$7:$E$8,2)*Disbursements!F508,F508*Pricing!$E$9))))</f>
        <v>14000</v>
      </c>
      <c r="O508" s="528">
        <f>IF(E508="STL",0,IF($F508&gt;0,$F508*Pricing!$D$17,0))</f>
        <v>70000</v>
      </c>
      <c r="P508" s="530">
        <f t="shared" si="204"/>
        <v>182000</v>
      </c>
      <c r="Q508" s="531">
        <f>IF($A508="","",$G508/VLOOKUP($I508,Ref!$B$23:$D$29,2,0))</f>
        <v>4</v>
      </c>
      <c r="R508" s="530">
        <f t="shared" si="205"/>
        <v>882000</v>
      </c>
      <c r="S508" s="532">
        <f t="shared" si="199"/>
        <v>220500</v>
      </c>
      <c r="T508" s="531">
        <f t="shared" si="206"/>
        <v>221000</v>
      </c>
      <c r="U508" s="533">
        <f t="shared" si="207"/>
        <v>884000</v>
      </c>
      <c r="V508" s="531">
        <f t="shared" si="208"/>
        <v>175000</v>
      </c>
      <c r="W508" s="531">
        <f t="shared" si="209"/>
        <v>46000</v>
      </c>
      <c r="X508" s="534">
        <f t="shared" si="210"/>
        <v>184000</v>
      </c>
      <c r="Y508" s="535">
        <f>IF($A508="","",IF($I508="weekly",$A508+7,EDATE($A508,VLOOKUP($I508,Ref!$B$24:$C$29,2,0))))</f>
        <v>44693</v>
      </c>
      <c r="Z508" s="536" t="str">
        <f t="shared" si="211"/>
        <v>Thu</v>
      </c>
      <c r="AA508" s="531">
        <f t="shared" si="212"/>
        <v>30</v>
      </c>
      <c r="AB508" s="535">
        <f t="shared" si="200"/>
        <v>44785</v>
      </c>
      <c r="AC508" s="537">
        <f t="shared" si="201"/>
        <v>122</v>
      </c>
      <c r="AD508" s="538" t="str">
        <f t="shared" ca="1" si="202"/>
        <v>Expired</v>
      </c>
      <c r="AE508" s="537">
        <f t="shared" ca="1" si="203"/>
        <v>0</v>
      </c>
      <c r="AF508" s="539">
        <f t="shared" ca="1" si="213"/>
        <v>4</v>
      </c>
      <c r="AG508" s="531">
        <f t="shared" ca="1" si="214"/>
        <v>884000</v>
      </c>
      <c r="AH508" s="531">
        <f t="shared" ca="1" si="215"/>
        <v>184000</v>
      </c>
      <c r="AI508" s="531">
        <f t="shared" ca="1" si="216"/>
        <v>700000</v>
      </c>
      <c r="AJ508" s="531">
        <f t="shared" ca="1" si="217"/>
        <v>0</v>
      </c>
      <c r="AK508" s="540">
        <f>SUMIFS('Live Collections'!$S:$S,'Live Collections'!$D:$D,Disbursements!B508,'Live Collections'!$G:$G,Disbursements!C508)</f>
        <v>81000</v>
      </c>
      <c r="AL508" s="540">
        <f>SUMIFS('Live Collections'!$T:$T,'Live Collections'!$D:$D,Disbursements!B508,'Live Collections'!$G:$G,Disbursements!C508)</f>
        <v>154000</v>
      </c>
      <c r="AM508" s="541">
        <f t="shared" si="218"/>
        <v>235000</v>
      </c>
      <c r="AN508" s="542">
        <f t="shared" si="219"/>
        <v>103000</v>
      </c>
      <c r="AO508" s="542">
        <f t="shared" si="220"/>
        <v>546000</v>
      </c>
      <c r="AP508" s="543">
        <f t="shared" si="221"/>
        <v>649000</v>
      </c>
      <c r="AQ508" s="544">
        <f t="shared" ca="1" si="222"/>
        <v>649000</v>
      </c>
      <c r="AR508" s="545">
        <f t="shared" ca="1" si="223"/>
        <v>2.936651583710407</v>
      </c>
      <c r="AS508" s="545">
        <f ca="1">IFERROR(CEILING($AR508*VLOOKUP($I508,Ref!$B$23:$E$29,4,0),1),0)</f>
        <v>89</v>
      </c>
      <c r="AT508" s="545" t="str">
        <f ca="1">IF(A508="","",IF(AP508&lt;=1,"Cleared",IF(AS508=0,"Clean",VLOOKUP($AS508,Ref!$G$23:$H$28,2))))</f>
        <v>3.(61-90) Days</v>
      </c>
      <c r="AU508" s="546" t="str">
        <f t="shared" si="224"/>
        <v>Ok</v>
      </c>
    </row>
    <row r="509" spans="1:47" ht="14.25" hidden="1" customHeight="1" x14ac:dyDescent="0.15">
      <c r="A509" s="575">
        <v>44664</v>
      </c>
      <c r="B509" s="523">
        <v>9</v>
      </c>
      <c r="C509" s="523">
        <v>507</v>
      </c>
      <c r="D509" s="523">
        <v>4</v>
      </c>
      <c r="E509" s="579" t="s">
        <v>1274</v>
      </c>
      <c r="F509" s="580">
        <v>550000</v>
      </c>
      <c r="G509" s="524">
        <v>4</v>
      </c>
      <c r="H509" s="555">
        <v>6.5000000000000002E-2</v>
      </c>
      <c r="I509" s="560" t="s">
        <v>859</v>
      </c>
      <c r="J509" s="523" t="s">
        <v>864</v>
      </c>
      <c r="K509" s="528" t="str">
        <f>IFERROR(VLOOKUP($B509,'Clients-Live'!$A:$C,3,0),"")</f>
        <v>TABAN DAVID YAYA</v>
      </c>
      <c r="L509" s="528">
        <f>IF(E509="STL",Pricing!$D$38,IF(A509="",0,IF(A509&lt;Pricing!$C$25,Pricing!$D$25,VLOOKUP(Disbursements!$F509,Pricing!$B$29:$D$32,3))))</f>
        <v>20000</v>
      </c>
      <c r="M509" s="528">
        <f>IF(E509="STL",0,IF(F509&gt;0,Pricing!$D$21,0))</f>
        <v>5000</v>
      </c>
      <c r="N509" s="529">
        <f>IF(E509="STL",F509*Pricing!$D$40,IF(A509&lt;=Pricing!$C$4,0,IF(AND(A509&gt;Pricing!$C$4,Disbursements!A509&lt;=Pricing!$C$5),F509*Pricing!$E$5,IF(AND(A509&gt;Pricing!$C$5,Disbursements!A509&lt;=Pricing!$C$7),VLOOKUP(F509,Pricing!$D$7:$E$8,2)*Disbursements!F509,F509*Pricing!$E$9))))</f>
        <v>11000</v>
      </c>
      <c r="O509" s="528">
        <f>IF(E509="STL",0,IF($F509&gt;0,$F509*Pricing!$D$17,0))</f>
        <v>55000</v>
      </c>
      <c r="P509" s="530">
        <f t="shared" si="204"/>
        <v>143000</v>
      </c>
      <c r="Q509" s="531">
        <f>IF($A509="","",$G509/VLOOKUP($I509,Ref!$B$23:$D$29,2,0))</f>
        <v>4</v>
      </c>
      <c r="R509" s="530">
        <f t="shared" si="205"/>
        <v>693000</v>
      </c>
      <c r="S509" s="532">
        <f t="shared" si="199"/>
        <v>173250</v>
      </c>
      <c r="T509" s="531">
        <f t="shared" si="206"/>
        <v>174000</v>
      </c>
      <c r="U509" s="533">
        <f t="shared" si="207"/>
        <v>696000</v>
      </c>
      <c r="V509" s="531">
        <f t="shared" si="208"/>
        <v>137500</v>
      </c>
      <c r="W509" s="531">
        <f t="shared" si="209"/>
        <v>36500</v>
      </c>
      <c r="X509" s="534">
        <f t="shared" si="210"/>
        <v>146000</v>
      </c>
      <c r="Y509" s="535">
        <f>IF($A509="","",IF($I509="weekly",$A509+7,EDATE($A509,VLOOKUP($I509,Ref!$B$24:$C$29,2,0))))</f>
        <v>44694</v>
      </c>
      <c r="Z509" s="536" t="str">
        <f t="shared" si="211"/>
        <v>Frid</v>
      </c>
      <c r="AA509" s="531">
        <f t="shared" si="212"/>
        <v>30</v>
      </c>
      <c r="AB509" s="535">
        <f t="shared" si="200"/>
        <v>44786</v>
      </c>
      <c r="AC509" s="537">
        <f t="shared" si="201"/>
        <v>122</v>
      </c>
      <c r="AD509" s="538" t="str">
        <f t="shared" ca="1" si="202"/>
        <v>Expired</v>
      </c>
      <c r="AE509" s="537">
        <f t="shared" ca="1" si="203"/>
        <v>0</v>
      </c>
      <c r="AF509" s="539">
        <f t="shared" ca="1" si="213"/>
        <v>4</v>
      </c>
      <c r="AG509" s="531">
        <f t="shared" ca="1" si="214"/>
        <v>696000</v>
      </c>
      <c r="AH509" s="531">
        <f t="shared" ca="1" si="215"/>
        <v>146000</v>
      </c>
      <c r="AI509" s="531">
        <f t="shared" ca="1" si="216"/>
        <v>550000</v>
      </c>
      <c r="AJ509" s="531">
        <f t="shared" ca="1" si="217"/>
        <v>0</v>
      </c>
      <c r="AK509" s="540">
        <f>SUMIFS('Live Collections'!$S:$S,'Live Collections'!$D:$D,Disbursements!B509,'Live Collections'!$G:$G,Disbursements!C509)</f>
        <v>139500</v>
      </c>
      <c r="AL509" s="540">
        <f>SUMIFS('Live Collections'!$T:$T,'Live Collections'!$D:$D,Disbursements!B509,'Live Collections'!$G:$G,Disbursements!C509)</f>
        <v>150500</v>
      </c>
      <c r="AM509" s="541">
        <f t="shared" si="218"/>
        <v>290000</v>
      </c>
      <c r="AN509" s="542">
        <f t="shared" si="219"/>
        <v>6500</v>
      </c>
      <c r="AO509" s="542">
        <f t="shared" si="220"/>
        <v>399500</v>
      </c>
      <c r="AP509" s="543">
        <f t="shared" si="221"/>
        <v>406000</v>
      </c>
      <c r="AQ509" s="544">
        <f t="shared" ca="1" si="222"/>
        <v>406000</v>
      </c>
      <c r="AR509" s="545">
        <f t="shared" ca="1" si="223"/>
        <v>2.3333333333333335</v>
      </c>
      <c r="AS509" s="545">
        <f ca="1">IFERROR(CEILING($AR509*VLOOKUP($I509,Ref!$B$23:$E$29,4,0),1),0)</f>
        <v>70</v>
      </c>
      <c r="AT509" s="545" t="str">
        <f ca="1">IF(A509="","",IF(AP509&lt;=1,"Cleared",IF(AS509=0,"Clean",VLOOKUP($AS509,Ref!$G$23:$H$28,2))))</f>
        <v>3.(61-90) Days</v>
      </c>
      <c r="AU509" s="546" t="str">
        <f t="shared" si="224"/>
        <v>Ok</v>
      </c>
    </row>
    <row r="510" spans="1:47" ht="14.25" hidden="1" customHeight="1" x14ac:dyDescent="0.15">
      <c r="A510" s="575">
        <v>44664</v>
      </c>
      <c r="B510" s="523">
        <v>164</v>
      </c>
      <c r="C510" s="523">
        <v>508</v>
      </c>
      <c r="D510" s="523">
        <v>2</v>
      </c>
      <c r="E510" s="579" t="s">
        <v>1274</v>
      </c>
      <c r="F510" s="580">
        <v>1550000</v>
      </c>
      <c r="G510" s="524">
        <v>6</v>
      </c>
      <c r="H510" s="555">
        <v>6.5000000000000002E-2</v>
      </c>
      <c r="I510" s="560" t="s">
        <v>861</v>
      </c>
      <c r="J510" s="523" t="s">
        <v>864</v>
      </c>
      <c r="K510" s="528" t="str">
        <f>IFERROR(VLOOKUP($B510,'Clients-Live'!$A:$C,3,0),"")</f>
        <v>ARIKE SWAIB</v>
      </c>
      <c r="L510" s="528">
        <f>IF(E510="STL",Pricing!$D$38,IF(A510="",0,IF(A510&lt;Pricing!$C$25,Pricing!$D$25,VLOOKUP(Disbursements!$F510,Pricing!$B$29:$D$32,3))))</f>
        <v>25000</v>
      </c>
      <c r="M510" s="528">
        <f>IF(E510="STL",0,IF(F510&gt;0,Pricing!$D$21,0))</f>
        <v>5000</v>
      </c>
      <c r="N510" s="529">
        <f>IF(E510="STL",F510*Pricing!$D$40,IF(A510&lt;=Pricing!$C$4,0,IF(AND(A510&gt;Pricing!$C$4,Disbursements!A510&lt;=Pricing!$C$5),F510*Pricing!$E$5,IF(AND(A510&gt;Pricing!$C$5,Disbursements!A510&lt;=Pricing!$C$7),VLOOKUP(F510,Pricing!$D$7:$E$8,2)*Disbursements!F510,F510*Pricing!$E$9))))</f>
        <v>31000</v>
      </c>
      <c r="O510" s="528">
        <f>IF(E510="STL",0,IF($F510&gt;0,$F510*Pricing!$D$17,0))</f>
        <v>155000</v>
      </c>
      <c r="P510" s="530">
        <f t="shared" si="204"/>
        <v>604500</v>
      </c>
      <c r="Q510" s="531">
        <f>IF($A510="","",$G510/VLOOKUP($I510,Ref!$B$23:$D$29,2,0))</f>
        <v>24</v>
      </c>
      <c r="R510" s="530">
        <f t="shared" si="205"/>
        <v>2154500</v>
      </c>
      <c r="S510" s="532">
        <f t="shared" si="199"/>
        <v>89770.833333333328</v>
      </c>
      <c r="T510" s="531">
        <f t="shared" si="206"/>
        <v>90000</v>
      </c>
      <c r="U510" s="533">
        <f t="shared" si="207"/>
        <v>2160000</v>
      </c>
      <c r="V510" s="531">
        <f t="shared" si="208"/>
        <v>64583.333333333336</v>
      </c>
      <c r="W510" s="531">
        <f t="shared" si="209"/>
        <v>25416.666666666664</v>
      </c>
      <c r="X510" s="534">
        <f t="shared" si="210"/>
        <v>610000</v>
      </c>
      <c r="Y510" s="535">
        <f>IF($A510="","",IF($I510="weekly",$A510+7,EDATE($A510,VLOOKUP($I510,Ref!$B$24:$C$29,2,0))))</f>
        <v>44671</v>
      </c>
      <c r="Z510" s="536" t="str">
        <f t="shared" si="211"/>
        <v>Wed</v>
      </c>
      <c r="AA510" s="531">
        <f t="shared" si="212"/>
        <v>7</v>
      </c>
      <c r="AB510" s="535">
        <f t="shared" si="200"/>
        <v>44847</v>
      </c>
      <c r="AC510" s="537">
        <f t="shared" si="201"/>
        <v>183</v>
      </c>
      <c r="AD510" s="538" t="str">
        <f t="shared" ca="1" si="202"/>
        <v>Expired</v>
      </c>
      <c r="AE510" s="537">
        <f t="shared" ca="1" si="203"/>
        <v>0</v>
      </c>
      <c r="AF510" s="539">
        <f t="shared" ca="1" si="213"/>
        <v>24</v>
      </c>
      <c r="AG510" s="531">
        <f t="shared" ca="1" si="214"/>
        <v>2160000</v>
      </c>
      <c r="AH510" s="531">
        <f t="shared" ca="1" si="215"/>
        <v>610000</v>
      </c>
      <c r="AI510" s="531">
        <f t="shared" ca="1" si="216"/>
        <v>1550000</v>
      </c>
      <c r="AJ510" s="531">
        <f t="shared" ca="1" si="217"/>
        <v>0</v>
      </c>
      <c r="AK510" s="540">
        <f>SUMIFS('Live Collections'!$S:$S,'Live Collections'!$D:$D,Disbursements!B510,'Live Collections'!$G:$G,Disbursements!C510)</f>
        <v>203333.33333333328</v>
      </c>
      <c r="AL510" s="540">
        <f>SUMIFS('Live Collections'!$T:$T,'Live Collections'!$D:$D,Disbursements!B510,'Live Collections'!$G:$G,Disbursements!C510)</f>
        <v>506666.66666666663</v>
      </c>
      <c r="AM510" s="541">
        <f t="shared" si="218"/>
        <v>709999.99999999988</v>
      </c>
      <c r="AN510" s="542">
        <f t="shared" si="219"/>
        <v>406666.66666666674</v>
      </c>
      <c r="AO510" s="542">
        <f t="shared" si="220"/>
        <v>1043333.3333333334</v>
      </c>
      <c r="AP510" s="543">
        <f t="shared" si="221"/>
        <v>1450000</v>
      </c>
      <c r="AQ510" s="544">
        <f t="shared" ca="1" si="222"/>
        <v>1450000</v>
      </c>
      <c r="AR510" s="545">
        <f t="shared" ca="1" si="223"/>
        <v>16.111111111111111</v>
      </c>
      <c r="AS510" s="545">
        <f ca="1">IFERROR(CEILING($AR510*VLOOKUP($I510,Ref!$B$23:$E$29,4,0),1),0)</f>
        <v>113</v>
      </c>
      <c r="AT510" s="545" t="str">
        <f ca="1">IF(A510="","",IF(AP510&lt;=1,"Cleared",IF(AS510=0,"Clean",VLOOKUP($AS510,Ref!$G$23:$H$28,2))))</f>
        <v>4.(91-365) Days</v>
      </c>
      <c r="AU510" s="546" t="str">
        <f t="shared" si="224"/>
        <v>Ok</v>
      </c>
    </row>
    <row r="511" spans="1:47" ht="14.25" hidden="1" customHeight="1" x14ac:dyDescent="0.15">
      <c r="A511" s="575">
        <v>44664</v>
      </c>
      <c r="B511" s="523">
        <v>13</v>
      </c>
      <c r="C511" s="523">
        <v>509</v>
      </c>
      <c r="D511" s="523">
        <v>2</v>
      </c>
      <c r="E511" s="579" t="s">
        <v>1274</v>
      </c>
      <c r="F511" s="580">
        <v>1000000</v>
      </c>
      <c r="G511" s="524">
        <v>6</v>
      </c>
      <c r="H511" s="555">
        <v>6.5000000000000002E-2</v>
      </c>
      <c r="I511" s="560" t="s">
        <v>859</v>
      </c>
      <c r="J511" s="523" t="s">
        <v>862</v>
      </c>
      <c r="K511" s="528" t="str">
        <f>IFERROR(VLOOKUP($B511,'Clients-Live'!$A:$C,3,0),"")</f>
        <v>ALLONE AMOS DAMAI</v>
      </c>
      <c r="L511" s="528">
        <f>IF(E511="STL",Pricing!$D$38,IF(A511="",0,IF(A511&lt;Pricing!$C$25,Pricing!$D$25,VLOOKUP(Disbursements!$F511,Pricing!$B$29:$D$32,3))))</f>
        <v>20000</v>
      </c>
      <c r="M511" s="528">
        <f>IF(E511="STL",0,IF(F511&gt;0,Pricing!$D$21,0))</f>
        <v>5000</v>
      </c>
      <c r="N511" s="529">
        <f>IF(E511="STL",F511*Pricing!$D$40,IF(A511&lt;=Pricing!$C$4,0,IF(AND(A511&gt;Pricing!$C$4,Disbursements!A511&lt;=Pricing!$C$5),F511*Pricing!$E$5,IF(AND(A511&gt;Pricing!$C$5,Disbursements!A511&lt;=Pricing!$C$7),VLOOKUP(F511,Pricing!$D$7:$E$8,2)*Disbursements!F511,F511*Pricing!$E$9))))</f>
        <v>20000</v>
      </c>
      <c r="O511" s="528">
        <f>IF(E511="STL",0,IF($F511&gt;0,$F511*Pricing!$D$17,0))</f>
        <v>100000</v>
      </c>
      <c r="P511" s="530">
        <f t="shared" si="204"/>
        <v>390000</v>
      </c>
      <c r="Q511" s="531">
        <f>IF($A511="","",$G511/VLOOKUP($I511,Ref!$B$23:$D$29,2,0))</f>
        <v>6</v>
      </c>
      <c r="R511" s="530">
        <f t="shared" si="205"/>
        <v>1390000</v>
      </c>
      <c r="S511" s="532">
        <f t="shared" si="199"/>
        <v>231666.66666666666</v>
      </c>
      <c r="T511" s="531">
        <f t="shared" si="206"/>
        <v>232000</v>
      </c>
      <c r="U511" s="533">
        <f t="shared" si="207"/>
        <v>1392000</v>
      </c>
      <c r="V511" s="531">
        <f t="shared" si="208"/>
        <v>166666.66666666666</v>
      </c>
      <c r="W511" s="531">
        <f t="shared" si="209"/>
        <v>65333.333333333343</v>
      </c>
      <c r="X511" s="534">
        <f t="shared" si="210"/>
        <v>392000.00000000006</v>
      </c>
      <c r="Y511" s="535">
        <f>IF($A511="","",IF($I511="weekly",$A511+7,EDATE($A511,VLOOKUP($I511,Ref!$B$24:$C$29,2,0))))</f>
        <v>44694</v>
      </c>
      <c r="Z511" s="536" t="str">
        <f t="shared" si="211"/>
        <v>Frid</v>
      </c>
      <c r="AA511" s="531">
        <f t="shared" si="212"/>
        <v>30</v>
      </c>
      <c r="AB511" s="535">
        <f t="shared" si="200"/>
        <v>44847</v>
      </c>
      <c r="AC511" s="537">
        <f t="shared" si="201"/>
        <v>183</v>
      </c>
      <c r="AD511" s="538" t="str">
        <f t="shared" ca="1" si="202"/>
        <v>Expired</v>
      </c>
      <c r="AE511" s="537">
        <f t="shared" ca="1" si="203"/>
        <v>0</v>
      </c>
      <c r="AF511" s="539">
        <f t="shared" ca="1" si="213"/>
        <v>6</v>
      </c>
      <c r="AG511" s="531">
        <f t="shared" ca="1" si="214"/>
        <v>1392000</v>
      </c>
      <c r="AH511" s="531">
        <f t="shared" ca="1" si="215"/>
        <v>392000.00000000006</v>
      </c>
      <c r="AI511" s="531">
        <f t="shared" ca="1" si="216"/>
        <v>1000000</v>
      </c>
      <c r="AJ511" s="531">
        <f t="shared" ca="1" si="217"/>
        <v>0</v>
      </c>
      <c r="AK511" s="540">
        <f>SUMIFS('Live Collections'!$S:$S,'Live Collections'!$D:$D,Disbursements!B511,'Live Collections'!$G:$G,Disbursements!C511)</f>
        <v>65333.333333333343</v>
      </c>
      <c r="AL511" s="540">
        <f>SUMIFS('Live Collections'!$T:$T,'Live Collections'!$D:$D,Disbursements!B511,'Live Collections'!$G:$G,Disbursements!C511)</f>
        <v>166366.66666666666</v>
      </c>
      <c r="AM511" s="541">
        <f t="shared" si="218"/>
        <v>231700</v>
      </c>
      <c r="AN511" s="542">
        <f t="shared" si="219"/>
        <v>326666.66666666674</v>
      </c>
      <c r="AO511" s="542">
        <f t="shared" si="220"/>
        <v>833633.33333333337</v>
      </c>
      <c r="AP511" s="543">
        <f t="shared" si="221"/>
        <v>1160300</v>
      </c>
      <c r="AQ511" s="544">
        <f t="shared" ca="1" si="222"/>
        <v>1160300</v>
      </c>
      <c r="AR511" s="545">
        <f t="shared" ca="1" si="223"/>
        <v>5.0012931034482762</v>
      </c>
      <c r="AS511" s="545">
        <f ca="1">IFERROR(CEILING($AR511*VLOOKUP($I511,Ref!$B$23:$E$29,4,0),1),0)</f>
        <v>151</v>
      </c>
      <c r="AT511" s="545" t="str">
        <f ca="1">IF(A511="","",IF(AP511&lt;=1,"Cleared",IF(AS511=0,"Clean",VLOOKUP($AS511,Ref!$G$23:$H$28,2))))</f>
        <v>4.(91-365) Days</v>
      </c>
      <c r="AU511" s="546" t="str">
        <f t="shared" si="224"/>
        <v>Ok</v>
      </c>
    </row>
    <row r="512" spans="1:47" ht="14.25" customHeight="1" x14ac:dyDescent="0.15">
      <c r="A512" s="575">
        <v>44664</v>
      </c>
      <c r="B512" s="523">
        <v>97</v>
      </c>
      <c r="C512" s="523">
        <v>510</v>
      </c>
      <c r="D512" s="523">
        <v>6</v>
      </c>
      <c r="E512" s="579" t="s">
        <v>1274</v>
      </c>
      <c r="F512" s="580">
        <v>8000000</v>
      </c>
      <c r="G512" s="524">
        <v>1</v>
      </c>
      <c r="H512" s="555">
        <v>6.5000000000000002E-2</v>
      </c>
      <c r="I512" s="560" t="s">
        <v>859</v>
      </c>
      <c r="J512" s="523" t="s">
        <v>862</v>
      </c>
      <c r="K512" s="528" t="str">
        <f>IFERROR(VLOOKUP($B512,'Clients-Live'!$A:$C,3,0),"")</f>
        <v>DRANDUA JOB CHRISPUS</v>
      </c>
      <c r="L512" s="528">
        <f>IF(E512="STL",Pricing!$D$38,IF(A512="",0,IF(A512&lt;Pricing!$C$25,Pricing!$D$25,VLOOKUP(Disbursements!$F512,Pricing!$B$29:$D$32,3))))</f>
        <v>30000</v>
      </c>
      <c r="M512" s="528">
        <f>IF(E512="STL",0,IF(F512&gt;0,Pricing!$D$21,0))</f>
        <v>5000</v>
      </c>
      <c r="N512" s="529">
        <f>IF(E512="STL",F512*Pricing!$D$40,IF(A512&lt;=Pricing!$C$4,0,IF(AND(A512&gt;Pricing!$C$4,Disbursements!A512&lt;=Pricing!$C$5),F512*Pricing!$E$5,IF(AND(A512&gt;Pricing!$C$5,Disbursements!A512&lt;=Pricing!$C$7),VLOOKUP(F512,Pricing!$D$7:$E$8,2)*Disbursements!F512,F512*Pricing!$E$9))))</f>
        <v>160000</v>
      </c>
      <c r="O512" s="528">
        <f>IF(E512="STL",0,IF($F512&gt;0,$F512*Pricing!$D$17,0))</f>
        <v>800000</v>
      </c>
      <c r="P512" s="530">
        <f t="shared" si="204"/>
        <v>520000</v>
      </c>
      <c r="Q512" s="531">
        <f>IF($A512="","",$G512/VLOOKUP($I512,Ref!$B$23:$D$29,2,0))</f>
        <v>1</v>
      </c>
      <c r="R512" s="530">
        <f t="shared" si="205"/>
        <v>8520000</v>
      </c>
      <c r="S512" s="532">
        <f t="shared" si="199"/>
        <v>8520000</v>
      </c>
      <c r="T512" s="531">
        <f t="shared" si="206"/>
        <v>8520000</v>
      </c>
      <c r="U512" s="533">
        <f t="shared" si="207"/>
        <v>8520000</v>
      </c>
      <c r="V512" s="531">
        <f t="shared" si="208"/>
        <v>8000000</v>
      </c>
      <c r="W512" s="531">
        <f t="shared" si="209"/>
        <v>520000</v>
      </c>
      <c r="X512" s="534">
        <f t="shared" si="210"/>
        <v>520000</v>
      </c>
      <c r="Y512" s="535">
        <f>IF($A512="","",IF($I512="weekly",$A512+7,EDATE($A512,VLOOKUP($I512,Ref!$B$24:$C$29,2,0))))</f>
        <v>44694</v>
      </c>
      <c r="Z512" s="536" t="str">
        <f t="shared" si="211"/>
        <v>Frid</v>
      </c>
      <c r="AA512" s="531">
        <f t="shared" si="212"/>
        <v>30</v>
      </c>
      <c r="AB512" s="535">
        <f t="shared" si="200"/>
        <v>44694</v>
      </c>
      <c r="AC512" s="537">
        <f t="shared" si="201"/>
        <v>30</v>
      </c>
      <c r="AD512" s="538" t="str">
        <f t="shared" ca="1" si="202"/>
        <v>Expired</v>
      </c>
      <c r="AE512" s="537">
        <f t="shared" ca="1" si="203"/>
        <v>0</v>
      </c>
      <c r="AF512" s="539">
        <f t="shared" ca="1" si="213"/>
        <v>1</v>
      </c>
      <c r="AG512" s="531">
        <f t="shared" ca="1" si="214"/>
        <v>8520000</v>
      </c>
      <c r="AH512" s="531">
        <f t="shared" ca="1" si="215"/>
        <v>520000</v>
      </c>
      <c r="AI512" s="531">
        <f t="shared" ca="1" si="216"/>
        <v>8000000</v>
      </c>
      <c r="AJ512" s="531">
        <f t="shared" ca="1" si="217"/>
        <v>0</v>
      </c>
      <c r="AK512" s="540">
        <f>SUMIFS('Live Collections'!$S:$S,'Live Collections'!$D:$D,Disbursements!B512,'Live Collections'!$G:$G,Disbursements!C512)</f>
        <v>520000</v>
      </c>
      <c r="AL512" s="540">
        <f>SUMIFS('Live Collections'!$T:$T,'Live Collections'!$D:$D,Disbursements!B512,'Live Collections'!$G:$G,Disbursements!C512)</f>
        <v>8000000</v>
      </c>
      <c r="AM512" s="541">
        <f t="shared" si="218"/>
        <v>8520000</v>
      </c>
      <c r="AN512" s="542">
        <f t="shared" si="219"/>
        <v>0</v>
      </c>
      <c r="AO512" s="542">
        <f t="shared" si="220"/>
        <v>0</v>
      </c>
      <c r="AP512" s="543">
        <f t="shared" si="221"/>
        <v>0</v>
      </c>
      <c r="AQ512" s="544" t="str">
        <f t="shared" ca="1" si="222"/>
        <v/>
      </c>
      <c r="AR512" s="545">
        <f t="shared" ca="1" si="223"/>
        <v>0</v>
      </c>
      <c r="AS512" s="545">
        <f ca="1">IFERROR(CEILING($AR512*VLOOKUP($I512,Ref!$B$23:$E$29,4,0),1),0)</f>
        <v>0</v>
      </c>
      <c r="AT512" s="545" t="str">
        <f>IF(A512="","",IF(AP512&lt;=1,"Cleared",IF(AS512=0,"Clean",VLOOKUP($AS512,Ref!$G$23:$H$28,2))))</f>
        <v>Cleared</v>
      </c>
      <c r="AU512" s="546" t="str">
        <f t="shared" si="224"/>
        <v>Ok</v>
      </c>
    </row>
    <row r="513" spans="1:47" ht="14.25" hidden="1" customHeight="1" x14ac:dyDescent="0.15">
      <c r="A513" s="575">
        <v>44672</v>
      </c>
      <c r="B513" s="523">
        <v>291</v>
      </c>
      <c r="C513" s="523">
        <v>511</v>
      </c>
      <c r="D513" s="523">
        <v>2</v>
      </c>
      <c r="E513" s="579" t="s">
        <v>1275</v>
      </c>
      <c r="F513" s="580">
        <v>450000</v>
      </c>
      <c r="G513" s="524">
        <v>3</v>
      </c>
      <c r="H513" s="555">
        <v>7.4999999999999997E-2</v>
      </c>
      <c r="I513" s="560" t="s">
        <v>859</v>
      </c>
      <c r="J513" s="523" t="s">
        <v>862</v>
      </c>
      <c r="K513" s="528" t="str">
        <f>IFERROR(VLOOKUP($B513,'Clients-Live'!$A:$C,3,0),"")</f>
        <v>LEMAKU SWAIB</v>
      </c>
      <c r="L513" s="528">
        <f>IF(E513="STL",Pricing!$D$38,IF(A513="",0,IF(A513&lt;Pricing!$C$25,Pricing!$D$25,VLOOKUP(Disbursements!$F513,Pricing!$B$29:$D$32,3))))</f>
        <v>15000</v>
      </c>
      <c r="M513" s="528">
        <f>IF(E513="STL",0,IF(F513&gt;0,Pricing!$D$21,0))</f>
        <v>5000</v>
      </c>
      <c r="N513" s="529">
        <f>IF(E513="STL",F513*Pricing!$D$40,IF(A513&lt;=Pricing!$C$4,0,IF(AND(A513&gt;Pricing!$C$4,Disbursements!A513&lt;=Pricing!$C$5),F513*Pricing!$E$5,IF(AND(A513&gt;Pricing!$C$5,Disbursements!A513&lt;=Pricing!$C$7),VLOOKUP(F513,Pricing!$D$7:$E$8,2)*Disbursements!F513,F513*Pricing!$E$9))))</f>
        <v>9000</v>
      </c>
      <c r="O513" s="528">
        <f>IF(E513="STL",0,IF($F513&gt;0,$F513*Pricing!$D$17,0))</f>
        <v>45000</v>
      </c>
      <c r="P513" s="530">
        <f t="shared" si="204"/>
        <v>101250</v>
      </c>
      <c r="Q513" s="531">
        <f>IF($A513="","",$G513/VLOOKUP($I513,Ref!$B$23:$D$29,2,0))</f>
        <v>3</v>
      </c>
      <c r="R513" s="530">
        <f t="shared" si="205"/>
        <v>551250</v>
      </c>
      <c r="S513" s="532">
        <f t="shared" si="199"/>
        <v>183750</v>
      </c>
      <c r="T513" s="531">
        <f t="shared" si="206"/>
        <v>184000</v>
      </c>
      <c r="U513" s="533">
        <f t="shared" si="207"/>
        <v>552000</v>
      </c>
      <c r="V513" s="531">
        <f t="shared" si="208"/>
        <v>150000</v>
      </c>
      <c r="W513" s="531">
        <f t="shared" si="209"/>
        <v>34000</v>
      </c>
      <c r="X513" s="534">
        <f t="shared" si="210"/>
        <v>102000</v>
      </c>
      <c r="Y513" s="535">
        <f>IF($A513="","",IF($I513="weekly",$A513+7,EDATE($A513,VLOOKUP($I513,Ref!$B$24:$C$29,2,0))))</f>
        <v>44702</v>
      </c>
      <c r="Z513" s="536" t="str">
        <f t="shared" si="211"/>
        <v>Sat</v>
      </c>
      <c r="AA513" s="531">
        <f t="shared" si="212"/>
        <v>30</v>
      </c>
      <c r="AB513" s="535">
        <f t="shared" si="200"/>
        <v>44763</v>
      </c>
      <c r="AC513" s="537">
        <f t="shared" si="201"/>
        <v>91</v>
      </c>
      <c r="AD513" s="538" t="str">
        <f t="shared" ca="1" si="202"/>
        <v>Expired</v>
      </c>
      <c r="AE513" s="537">
        <f t="shared" ca="1" si="203"/>
        <v>0</v>
      </c>
      <c r="AF513" s="539">
        <f t="shared" ca="1" si="213"/>
        <v>3</v>
      </c>
      <c r="AG513" s="531">
        <f t="shared" ca="1" si="214"/>
        <v>552000</v>
      </c>
      <c r="AH513" s="531">
        <f t="shared" ca="1" si="215"/>
        <v>102000</v>
      </c>
      <c r="AI513" s="531">
        <f t="shared" ca="1" si="216"/>
        <v>450000</v>
      </c>
      <c r="AJ513" s="531">
        <f t="shared" ca="1" si="217"/>
        <v>0</v>
      </c>
      <c r="AK513" s="540">
        <f>SUMIFS('Live Collections'!$S:$S,'Live Collections'!$D:$D,Disbursements!B513,'Live Collections'!$G:$G,Disbursements!C513)</f>
        <v>34000</v>
      </c>
      <c r="AL513" s="540">
        <f>SUMIFS('Live Collections'!$T:$T,'Live Collections'!$D:$D,Disbursements!B513,'Live Collections'!$G:$G,Disbursements!C513)</f>
        <v>126000</v>
      </c>
      <c r="AM513" s="541">
        <f t="shared" si="218"/>
        <v>160000</v>
      </c>
      <c r="AN513" s="542">
        <f t="shared" si="219"/>
        <v>68000</v>
      </c>
      <c r="AO513" s="542">
        <f t="shared" si="220"/>
        <v>324000</v>
      </c>
      <c r="AP513" s="543">
        <f t="shared" si="221"/>
        <v>392000</v>
      </c>
      <c r="AQ513" s="544">
        <f t="shared" ca="1" si="222"/>
        <v>392000</v>
      </c>
      <c r="AR513" s="545">
        <f t="shared" ca="1" si="223"/>
        <v>2.1304347826086958</v>
      </c>
      <c r="AS513" s="545">
        <f ca="1">IFERROR(CEILING($AR513*VLOOKUP($I513,Ref!$B$23:$E$29,4,0),1),0)</f>
        <v>64</v>
      </c>
      <c r="AT513" s="545" t="str">
        <f ca="1">IF(A513="","",IF(AP513&lt;=1,"Cleared",IF(AS513=0,"Clean",VLOOKUP($AS513,Ref!$G$23:$H$28,2))))</f>
        <v>3.(61-90) Days</v>
      </c>
      <c r="AU513" s="546" t="str">
        <f t="shared" si="224"/>
        <v>Ok</v>
      </c>
    </row>
    <row r="514" spans="1:47" ht="14.25" customHeight="1" x14ac:dyDescent="0.15">
      <c r="A514" s="575">
        <v>44672</v>
      </c>
      <c r="B514" s="523">
        <v>140</v>
      </c>
      <c r="C514" s="523">
        <v>512</v>
      </c>
      <c r="D514" s="523">
        <v>2</v>
      </c>
      <c r="E514" s="579" t="s">
        <v>1274</v>
      </c>
      <c r="F514" s="580">
        <v>500000</v>
      </c>
      <c r="G514" s="524">
        <v>1</v>
      </c>
      <c r="H514" s="555">
        <v>6.5000000000000002E-2</v>
      </c>
      <c r="I514" s="560" t="s">
        <v>859</v>
      </c>
      <c r="J514" s="523" t="s">
        <v>863</v>
      </c>
      <c r="K514" s="528" t="str">
        <f>IFERROR(VLOOKUP($B514,'Clients-Live'!$A:$C,3,0),"")</f>
        <v>AYIKORU MARIAM</v>
      </c>
      <c r="L514" s="528">
        <f>IF(E514="STL",Pricing!$D$38,IF(A514="",0,IF(A514&lt;Pricing!$C$25,Pricing!$D$25,VLOOKUP(Disbursements!$F514,Pricing!$B$29:$D$32,3))))</f>
        <v>15000</v>
      </c>
      <c r="M514" s="528">
        <f>IF(E514="STL",0,IF(F514&gt;0,Pricing!$D$21,0))</f>
        <v>5000</v>
      </c>
      <c r="N514" s="529">
        <f>IF(E514="STL",F514*Pricing!$D$40,IF(A514&lt;=Pricing!$C$4,0,IF(AND(A514&gt;Pricing!$C$4,Disbursements!A514&lt;=Pricing!$C$5),F514*Pricing!$E$5,IF(AND(A514&gt;Pricing!$C$5,Disbursements!A514&lt;=Pricing!$C$7),VLOOKUP(F514,Pricing!$D$7:$E$8,2)*Disbursements!F514,F514*Pricing!$E$9))))</f>
        <v>10000</v>
      </c>
      <c r="O514" s="528">
        <f>IF(E514="STL",0,IF($F514&gt;0,$F514*Pricing!$D$17,0))</f>
        <v>50000</v>
      </c>
      <c r="P514" s="530">
        <f t="shared" si="204"/>
        <v>32500</v>
      </c>
      <c r="Q514" s="531">
        <f>IF($A514="","",$G514/VLOOKUP($I514,Ref!$B$23:$D$29,2,0))</f>
        <v>1</v>
      </c>
      <c r="R514" s="530">
        <f t="shared" si="205"/>
        <v>532500</v>
      </c>
      <c r="S514" s="532">
        <f t="shared" si="199"/>
        <v>532500</v>
      </c>
      <c r="T514" s="531">
        <f t="shared" si="206"/>
        <v>533000</v>
      </c>
      <c r="U514" s="533">
        <f t="shared" si="207"/>
        <v>533000</v>
      </c>
      <c r="V514" s="531">
        <f t="shared" si="208"/>
        <v>500000</v>
      </c>
      <c r="W514" s="531">
        <f t="shared" si="209"/>
        <v>33000</v>
      </c>
      <c r="X514" s="534">
        <f t="shared" si="210"/>
        <v>33000</v>
      </c>
      <c r="Y514" s="535">
        <f>IF($A514="","",IF($I514="weekly",$A514+7,EDATE($A514,VLOOKUP($I514,Ref!$B$24:$C$29,2,0))))</f>
        <v>44702</v>
      </c>
      <c r="Z514" s="536" t="str">
        <f t="shared" si="211"/>
        <v>Sat</v>
      </c>
      <c r="AA514" s="531">
        <f t="shared" si="212"/>
        <v>30</v>
      </c>
      <c r="AB514" s="535">
        <f t="shared" si="200"/>
        <v>44702</v>
      </c>
      <c r="AC514" s="537">
        <f t="shared" si="201"/>
        <v>30</v>
      </c>
      <c r="AD514" s="538" t="str">
        <f t="shared" ca="1" si="202"/>
        <v>Expired</v>
      </c>
      <c r="AE514" s="537">
        <f t="shared" ca="1" si="203"/>
        <v>0</v>
      </c>
      <c r="AF514" s="539">
        <f t="shared" ca="1" si="213"/>
        <v>1</v>
      </c>
      <c r="AG514" s="531">
        <f t="shared" ca="1" si="214"/>
        <v>533000</v>
      </c>
      <c r="AH514" s="531">
        <f t="shared" ca="1" si="215"/>
        <v>33000</v>
      </c>
      <c r="AI514" s="531">
        <f t="shared" ca="1" si="216"/>
        <v>500000</v>
      </c>
      <c r="AJ514" s="531">
        <f t="shared" ca="1" si="217"/>
        <v>0</v>
      </c>
      <c r="AK514" s="540">
        <f>SUMIFS('Live Collections'!$S:$S,'Live Collections'!$D:$D,Disbursements!B514,'Live Collections'!$G:$G,Disbursements!C514)</f>
        <v>33000</v>
      </c>
      <c r="AL514" s="540">
        <f>SUMIFS('Live Collections'!$T:$T,'Live Collections'!$D:$D,Disbursements!B514,'Live Collections'!$G:$G,Disbursements!C514)</f>
        <v>167000</v>
      </c>
      <c r="AM514" s="541">
        <f t="shared" si="218"/>
        <v>200000</v>
      </c>
      <c r="AN514" s="542">
        <f t="shared" si="219"/>
        <v>0</v>
      </c>
      <c r="AO514" s="542">
        <f t="shared" si="220"/>
        <v>333000</v>
      </c>
      <c r="AP514" s="543">
        <f t="shared" si="221"/>
        <v>333000</v>
      </c>
      <c r="AQ514" s="544">
        <f t="shared" ca="1" si="222"/>
        <v>333000</v>
      </c>
      <c r="AR514" s="545">
        <f t="shared" ca="1" si="223"/>
        <v>0.62476547842401498</v>
      </c>
      <c r="AS514" s="545">
        <f ca="1">IFERROR(CEILING($AR514*VLOOKUP($I514,Ref!$B$23:$E$29,4,0),1),0)</f>
        <v>19</v>
      </c>
      <c r="AT514" s="545" t="str">
        <f ca="1">IF(A514="","",IF(AP514&lt;=1,"Cleared",IF(AS514=0,"Clean",VLOOKUP($AS514,Ref!$G$23:$H$28,2))))</f>
        <v>1.(0-30) Days</v>
      </c>
      <c r="AU514" s="546" t="str">
        <f t="shared" si="224"/>
        <v>Ok</v>
      </c>
    </row>
    <row r="515" spans="1:47" ht="14.25" hidden="1" customHeight="1" x14ac:dyDescent="0.15">
      <c r="A515" s="575">
        <v>44672</v>
      </c>
      <c r="B515" s="523">
        <v>129</v>
      </c>
      <c r="C515" s="523">
        <v>513</v>
      </c>
      <c r="D515" s="523">
        <v>4</v>
      </c>
      <c r="E515" s="579" t="s">
        <v>1274</v>
      </c>
      <c r="F515" s="580">
        <v>3000000</v>
      </c>
      <c r="G515" s="524">
        <v>3</v>
      </c>
      <c r="H515" s="555">
        <v>6.5000000000000002E-2</v>
      </c>
      <c r="I515" s="560" t="s">
        <v>859</v>
      </c>
      <c r="J515" s="523" t="s">
        <v>863</v>
      </c>
      <c r="K515" s="528" t="str">
        <f>IFERROR(VLOOKUP($B515,'Clients-Live'!$A:$C,3,0),"")</f>
        <v>BAKO ASINA</v>
      </c>
      <c r="L515" s="528">
        <f>IF(E515="STL",Pricing!$D$38,IF(A515="",0,IF(A515&lt;Pricing!$C$25,Pricing!$D$25,VLOOKUP(Disbursements!$F515,Pricing!$B$29:$D$32,3))))</f>
        <v>30000</v>
      </c>
      <c r="M515" s="528">
        <f>IF(E515="STL",0,IF(F515&gt;0,Pricing!$D$21,0))</f>
        <v>5000</v>
      </c>
      <c r="N515" s="529">
        <f>IF(E515="STL",F515*Pricing!$D$40,IF(A515&lt;=Pricing!$C$4,0,IF(AND(A515&gt;Pricing!$C$4,Disbursements!A515&lt;=Pricing!$C$5),F515*Pricing!$E$5,IF(AND(A515&gt;Pricing!$C$5,Disbursements!A515&lt;=Pricing!$C$7),VLOOKUP(F515,Pricing!$D$7:$E$8,2)*Disbursements!F515,F515*Pricing!$E$9))))</f>
        <v>60000</v>
      </c>
      <c r="O515" s="528">
        <f>IF(E515="STL",0,IF($F515&gt;0,$F515*Pricing!$D$17,0))</f>
        <v>300000</v>
      </c>
      <c r="P515" s="530">
        <f t="shared" si="204"/>
        <v>585000</v>
      </c>
      <c r="Q515" s="531">
        <f>IF($A515="","",$G515/VLOOKUP($I515,Ref!$B$23:$D$29,2,0))</f>
        <v>3</v>
      </c>
      <c r="R515" s="530">
        <f t="shared" si="205"/>
        <v>3585000</v>
      </c>
      <c r="S515" s="532">
        <f t="shared" si="199"/>
        <v>1195000</v>
      </c>
      <c r="T515" s="531">
        <f t="shared" si="206"/>
        <v>1195000</v>
      </c>
      <c r="U515" s="533">
        <f t="shared" si="207"/>
        <v>3585000</v>
      </c>
      <c r="V515" s="531">
        <f t="shared" si="208"/>
        <v>1000000</v>
      </c>
      <c r="W515" s="531">
        <f t="shared" si="209"/>
        <v>195000</v>
      </c>
      <c r="X515" s="534">
        <f t="shared" si="210"/>
        <v>585000</v>
      </c>
      <c r="Y515" s="535">
        <f>IF($A515="","",IF($I515="weekly",$A515+7,EDATE($A515,VLOOKUP($I515,Ref!$B$24:$C$29,2,0))))</f>
        <v>44702</v>
      </c>
      <c r="Z515" s="536" t="str">
        <f t="shared" si="211"/>
        <v>Sat</v>
      </c>
      <c r="AA515" s="531">
        <f t="shared" si="212"/>
        <v>30</v>
      </c>
      <c r="AB515" s="535">
        <f t="shared" si="200"/>
        <v>44763</v>
      </c>
      <c r="AC515" s="537">
        <f t="shared" si="201"/>
        <v>91</v>
      </c>
      <c r="AD515" s="538" t="str">
        <f t="shared" ca="1" si="202"/>
        <v>Expired</v>
      </c>
      <c r="AE515" s="537">
        <f t="shared" ca="1" si="203"/>
        <v>0</v>
      </c>
      <c r="AF515" s="539">
        <f t="shared" ca="1" si="213"/>
        <v>3</v>
      </c>
      <c r="AG515" s="531">
        <f t="shared" ca="1" si="214"/>
        <v>3585000</v>
      </c>
      <c r="AH515" s="531">
        <f t="shared" ca="1" si="215"/>
        <v>585000</v>
      </c>
      <c r="AI515" s="531">
        <f t="shared" ca="1" si="216"/>
        <v>3000000</v>
      </c>
      <c r="AJ515" s="531">
        <f t="shared" ca="1" si="217"/>
        <v>0</v>
      </c>
      <c r="AK515" s="540">
        <f>SUMIFS('Live Collections'!$S:$S,'Live Collections'!$D:$D,Disbursements!B515,'Live Collections'!$G:$G,Disbursements!C515)</f>
        <v>195000</v>
      </c>
      <c r="AL515" s="540">
        <f>SUMIFS('Live Collections'!$T:$T,'Live Collections'!$D:$D,Disbursements!B515,'Live Collections'!$G:$G,Disbursements!C515)</f>
        <v>805000</v>
      </c>
      <c r="AM515" s="541">
        <f t="shared" si="218"/>
        <v>1000000</v>
      </c>
      <c r="AN515" s="542">
        <f t="shared" si="219"/>
        <v>390000</v>
      </c>
      <c r="AO515" s="542">
        <f t="shared" si="220"/>
        <v>2195000</v>
      </c>
      <c r="AP515" s="543">
        <f t="shared" si="221"/>
        <v>2585000</v>
      </c>
      <c r="AQ515" s="544">
        <f t="shared" ca="1" si="222"/>
        <v>2585000</v>
      </c>
      <c r="AR515" s="545">
        <f t="shared" ca="1" si="223"/>
        <v>2.1631799163179917</v>
      </c>
      <c r="AS515" s="545">
        <f ca="1">IFERROR(CEILING($AR515*VLOOKUP($I515,Ref!$B$23:$E$29,4,0),1),0)</f>
        <v>65</v>
      </c>
      <c r="AT515" s="545" t="str">
        <f ca="1">IF(A515="","",IF(AP515&lt;=1,"Cleared",IF(AS515=0,"Clean",VLOOKUP($AS515,Ref!$G$23:$H$28,2))))</f>
        <v>3.(61-90) Days</v>
      </c>
      <c r="AU515" s="546" t="str">
        <f t="shared" si="224"/>
        <v>Ok</v>
      </c>
    </row>
    <row r="516" spans="1:47" ht="14.25" hidden="1" customHeight="1" x14ac:dyDescent="0.15">
      <c r="A516" s="575">
        <v>44674</v>
      </c>
      <c r="B516" s="523">
        <v>251</v>
      </c>
      <c r="C516" s="523">
        <v>514</v>
      </c>
      <c r="D516" s="523">
        <v>4</v>
      </c>
      <c r="E516" s="579" t="s">
        <v>1274</v>
      </c>
      <c r="F516" s="580">
        <v>500000</v>
      </c>
      <c r="G516" s="524">
        <v>3</v>
      </c>
      <c r="H516" s="555">
        <v>6.5000000000000002E-2</v>
      </c>
      <c r="I516" s="560" t="s">
        <v>859</v>
      </c>
      <c r="J516" s="523" t="s">
        <v>862</v>
      </c>
      <c r="K516" s="528" t="str">
        <f>IFERROR(VLOOKUP($B516,'Clients-Live'!$A:$C,3,0),"")</f>
        <v>SIDA ZAINABU</v>
      </c>
      <c r="L516" s="528">
        <f>IF(E516="STL",Pricing!$D$38,IF(A516="",0,IF(A516&lt;Pricing!$C$25,Pricing!$D$25,VLOOKUP(Disbursements!$F516,Pricing!$B$29:$D$32,3))))</f>
        <v>15000</v>
      </c>
      <c r="M516" s="528">
        <f>IF(E516="STL",0,IF(F516&gt;0,Pricing!$D$21,0))</f>
        <v>5000</v>
      </c>
      <c r="N516" s="529">
        <f>IF(E516="STL",F516*Pricing!$D$40,IF(A516&lt;=Pricing!$C$4,0,IF(AND(A516&gt;Pricing!$C$4,Disbursements!A516&lt;=Pricing!$C$5),F516*Pricing!$E$5,IF(AND(A516&gt;Pricing!$C$5,Disbursements!A516&lt;=Pricing!$C$7),VLOOKUP(F516,Pricing!$D$7:$E$8,2)*Disbursements!F516,F516*Pricing!$E$9))))</f>
        <v>10000</v>
      </c>
      <c r="O516" s="528">
        <f>IF(E516="STL",0,IF($F516&gt;0,$F516*Pricing!$D$17,0))</f>
        <v>50000</v>
      </c>
      <c r="P516" s="530">
        <f t="shared" si="204"/>
        <v>97500</v>
      </c>
      <c r="Q516" s="531">
        <f>IF($A516="","",$G516/VLOOKUP($I516,Ref!$B$23:$D$29,2,0))</f>
        <v>3</v>
      </c>
      <c r="R516" s="530">
        <f t="shared" si="205"/>
        <v>597500</v>
      </c>
      <c r="S516" s="532">
        <f t="shared" ref="S516:S579" si="225">IF($A516="","",$R516/$Q516)</f>
        <v>199166.66666666666</v>
      </c>
      <c r="T516" s="531">
        <f t="shared" si="206"/>
        <v>200000</v>
      </c>
      <c r="U516" s="533">
        <f t="shared" si="207"/>
        <v>600000</v>
      </c>
      <c r="V516" s="531">
        <f t="shared" si="208"/>
        <v>166666.66666666666</v>
      </c>
      <c r="W516" s="531">
        <f t="shared" si="209"/>
        <v>33333.333333333343</v>
      </c>
      <c r="X516" s="534">
        <f t="shared" si="210"/>
        <v>100000.00000000003</v>
      </c>
      <c r="Y516" s="535">
        <f>IF($A516="","",IF($I516="weekly",$A516+7,EDATE($A516,VLOOKUP($I516,Ref!$B$24:$C$29,2,0))))</f>
        <v>44704</v>
      </c>
      <c r="Z516" s="536" t="str">
        <f t="shared" si="211"/>
        <v>Mon</v>
      </c>
      <c r="AA516" s="531">
        <f t="shared" si="212"/>
        <v>30</v>
      </c>
      <c r="AB516" s="535">
        <f t="shared" ref="AB516:AB579" si="226">IF($A516="","",EDATE($A516,$G516))</f>
        <v>44765</v>
      </c>
      <c r="AC516" s="537">
        <f t="shared" ref="AC516:AC579" si="227">IFERROR($AB516-$A516,"")</f>
        <v>91</v>
      </c>
      <c r="AD516" s="538" t="str">
        <f t="shared" ref="AD516:AD579" ca="1" si="228">IFERROR(IF(TODAY()-$A516&lt;$AB516-$A516,TODAY()-$A516,"Expired"),"")</f>
        <v>Expired</v>
      </c>
      <c r="AE516" s="537">
        <f t="shared" ref="AE516:AE579" ca="1" si="229">IFERROR($AC516-$AD516,0)</f>
        <v>0</v>
      </c>
      <c r="AF516" s="539">
        <f t="shared" ca="1" si="213"/>
        <v>3</v>
      </c>
      <c r="AG516" s="531">
        <f t="shared" ca="1" si="214"/>
        <v>600000</v>
      </c>
      <c r="AH516" s="531">
        <f t="shared" ca="1" si="215"/>
        <v>100000.00000000003</v>
      </c>
      <c r="AI516" s="531">
        <f t="shared" ca="1" si="216"/>
        <v>500000</v>
      </c>
      <c r="AJ516" s="531">
        <f t="shared" ca="1" si="217"/>
        <v>0</v>
      </c>
      <c r="AK516" s="540">
        <f>SUMIFS('Live Collections'!$S:$S,'Live Collections'!$D:$D,Disbursements!B516,'Live Collections'!$G:$G,Disbursements!C516)</f>
        <v>0</v>
      </c>
      <c r="AL516" s="540">
        <f>SUMIFS('Live Collections'!$T:$T,'Live Collections'!$D:$D,Disbursements!B516,'Live Collections'!$G:$G,Disbursements!C516)</f>
        <v>0</v>
      </c>
      <c r="AM516" s="541">
        <f t="shared" si="218"/>
        <v>0</v>
      </c>
      <c r="AN516" s="542">
        <f t="shared" si="219"/>
        <v>100000.00000000003</v>
      </c>
      <c r="AO516" s="542">
        <f t="shared" si="220"/>
        <v>500000</v>
      </c>
      <c r="AP516" s="543">
        <f t="shared" si="221"/>
        <v>600000</v>
      </c>
      <c r="AQ516" s="544">
        <f t="shared" ca="1" si="222"/>
        <v>600000</v>
      </c>
      <c r="AR516" s="545">
        <f t="shared" ca="1" si="223"/>
        <v>3</v>
      </c>
      <c r="AS516" s="545">
        <f ca="1">IFERROR(CEILING($AR516*VLOOKUP($I516,Ref!$B$23:$E$29,4,0),1),0)</f>
        <v>90</v>
      </c>
      <c r="AT516" s="545" t="str">
        <f ca="1">IF(A516="","",IF(AP516&lt;=1,"Cleared",IF(AS516=0,"Clean",VLOOKUP($AS516,Ref!$G$23:$H$28,2))))</f>
        <v>3.(61-90) Days</v>
      </c>
      <c r="AU516" s="546" t="str">
        <f t="shared" si="224"/>
        <v>Ok</v>
      </c>
    </row>
    <row r="517" spans="1:47" ht="14.25" hidden="1" customHeight="1" x14ac:dyDescent="0.15">
      <c r="A517" s="575">
        <v>44674</v>
      </c>
      <c r="B517" s="523">
        <v>78</v>
      </c>
      <c r="C517" s="523">
        <v>515</v>
      </c>
      <c r="D517" s="523">
        <v>3</v>
      </c>
      <c r="E517" s="579" t="s">
        <v>1275</v>
      </c>
      <c r="F517" s="580">
        <v>600000</v>
      </c>
      <c r="G517" s="524">
        <v>3</v>
      </c>
      <c r="H517" s="555">
        <v>7.4999999999999997E-2</v>
      </c>
      <c r="I517" s="560" t="s">
        <v>859</v>
      </c>
      <c r="J517" s="523" t="s">
        <v>862</v>
      </c>
      <c r="K517" s="528" t="str">
        <f>IFERROR(VLOOKUP($B517,'Clients-Live'!$A:$C,3,0),"")</f>
        <v>DIPIYO BEATRICE JOHN</v>
      </c>
      <c r="L517" s="528">
        <f>IF(E517="STL",Pricing!$D$38,IF(A517="",0,IF(A517&lt;Pricing!$C$25,Pricing!$D$25,VLOOKUP(Disbursements!$F517,Pricing!$B$29:$D$32,3))))</f>
        <v>20000</v>
      </c>
      <c r="M517" s="528">
        <f>IF(E517="STL",0,IF(F517&gt;0,Pricing!$D$21,0))</f>
        <v>5000</v>
      </c>
      <c r="N517" s="529">
        <f>IF(E517="STL",F517*Pricing!$D$40,IF(A517&lt;=Pricing!$C$4,0,IF(AND(A517&gt;Pricing!$C$4,Disbursements!A517&lt;=Pricing!$C$5),F517*Pricing!$E$5,IF(AND(A517&gt;Pricing!$C$5,Disbursements!A517&lt;=Pricing!$C$7),VLOOKUP(F517,Pricing!$D$7:$E$8,2)*Disbursements!F517,F517*Pricing!$E$9))))</f>
        <v>12000</v>
      </c>
      <c r="O517" s="528">
        <f>IF(E517="STL",0,IF($F517&gt;0,$F517*Pricing!$D$17,0))</f>
        <v>60000</v>
      </c>
      <c r="P517" s="530">
        <f t="shared" ref="P517:P580" si="230">IF($A517="","",$H517*$F517*$G517)</f>
        <v>135000</v>
      </c>
      <c r="Q517" s="531">
        <f>IF($A517="","",$G517/VLOOKUP($I517,Ref!$B$23:$D$29,2,0))</f>
        <v>3</v>
      </c>
      <c r="R517" s="530">
        <f t="shared" ref="R517:R580" si="231">IF($A517="","",$F517+$P517)</f>
        <v>735000</v>
      </c>
      <c r="S517" s="532">
        <f t="shared" si="225"/>
        <v>245000</v>
      </c>
      <c r="T517" s="531">
        <f t="shared" ref="T517:T580" si="232">IF(R517="","",CEILING(S517,1000))</f>
        <v>245000</v>
      </c>
      <c r="U517" s="533">
        <f t="shared" ref="U517:U580" si="233">IFERROR(T517*Q517,0)</f>
        <v>735000</v>
      </c>
      <c r="V517" s="531">
        <f t="shared" ref="V517:V580" si="234">IF(T517="","",F517/Q517)</f>
        <v>200000</v>
      </c>
      <c r="W517" s="531">
        <f t="shared" ref="W517:W580" si="235">IF(T517="","",T517-V517)</f>
        <v>45000</v>
      </c>
      <c r="X517" s="534">
        <f t="shared" ref="X517:X580" si="236">IF(A517="","",W517*Q517)</f>
        <v>135000</v>
      </c>
      <c r="Y517" s="535">
        <f>IF($A517="","",IF($I517="weekly",$A517+7,EDATE($A517,VLOOKUP($I517,Ref!$B$24:$C$29,2,0))))</f>
        <v>44704</v>
      </c>
      <c r="Z517" s="536" t="str">
        <f t="shared" ref="Z517:Z580" si="237">IFERROR(CHOOSE(WEEKDAY(Y517),"Sun","Mon","Tue","Wed","Thu","Frid","Sat"),"")</f>
        <v>Mon</v>
      </c>
      <c r="AA517" s="531">
        <f t="shared" ref="AA517:AA580" si="238">IFERROR(Y517-A517,0)</f>
        <v>30</v>
      </c>
      <c r="AB517" s="535">
        <f t="shared" si="226"/>
        <v>44765</v>
      </c>
      <c r="AC517" s="537">
        <f t="shared" si="227"/>
        <v>91</v>
      </c>
      <c r="AD517" s="538" t="str">
        <f t="shared" ca="1" si="228"/>
        <v>Expired</v>
      </c>
      <c r="AE517" s="537">
        <f t="shared" ca="1" si="229"/>
        <v>0</v>
      </c>
      <c r="AF517" s="539">
        <f t="shared" ref="AF517:AF580" ca="1" si="239">IFERROR(IF(AD517="Expired",Q517,IF(AD517&gt;AA517,AD517/AA517,0)),"")</f>
        <v>3</v>
      </c>
      <c r="AG517" s="531">
        <f t="shared" ref="AG517:AG580" ca="1" si="240">IFERROR(AF517*T517,"")</f>
        <v>735000</v>
      </c>
      <c r="AH517" s="531">
        <f t="shared" ref="AH517:AH580" ca="1" si="241">IFERROR(AF517*W517,"")</f>
        <v>135000</v>
      </c>
      <c r="AI517" s="531">
        <f t="shared" ref="AI517:AI580" ca="1" si="242">IFERROR(AF517*V517,"")</f>
        <v>600000</v>
      </c>
      <c r="AJ517" s="531">
        <f t="shared" ref="AJ517:AJ580" ca="1" si="243">IF(F517=0,"",U517-AG517)</f>
        <v>0</v>
      </c>
      <c r="AK517" s="540">
        <f>SUMIFS('Live Collections'!$S:$S,'Live Collections'!$D:$D,Disbursements!B517,'Live Collections'!$G:$G,Disbursements!C517)</f>
        <v>45000</v>
      </c>
      <c r="AL517" s="540">
        <f>SUMIFS('Live Collections'!$T:$T,'Live Collections'!$D:$D,Disbursements!B517,'Live Collections'!$G:$G,Disbursements!C517)</f>
        <v>200000</v>
      </c>
      <c r="AM517" s="541">
        <f t="shared" ref="AM517:AM580" si="244">SUM(AK517:AL517)</f>
        <v>245000</v>
      </c>
      <c r="AN517" s="542">
        <f t="shared" ref="AN517:AN580" si="245">IFERROR(W517*Q517-AK517,"")</f>
        <v>90000</v>
      </c>
      <c r="AO517" s="542">
        <f t="shared" ref="AO517:AO580" si="246">IF(F517="","",(F517-AL517))</f>
        <v>400000</v>
      </c>
      <c r="AP517" s="543">
        <f t="shared" ref="AP517:AP580" si="247">IF(F517="","",SUM(AN517:AO517))</f>
        <v>490000</v>
      </c>
      <c r="AQ517" s="544">
        <f t="shared" ref="AQ517:AQ580" ca="1" si="248">IF(AP517&gt;AJ517,AP517-AJ517,"")</f>
        <v>490000</v>
      </c>
      <c r="AR517" s="545">
        <f t="shared" ref="AR517:AR580" ca="1" si="249">IFERROR(AQ517/T517,0)</f>
        <v>2</v>
      </c>
      <c r="AS517" s="545">
        <f ca="1">IFERROR(CEILING($AR517*VLOOKUP($I517,Ref!$B$23:$E$29,4,0),1),0)</f>
        <v>60</v>
      </c>
      <c r="AT517" s="545" t="str">
        <f ca="1">IF(A517="","",IF(AP517&lt;=1,"Cleared",IF(AS517=0,"Clean",VLOOKUP($AS517,Ref!$G$23:$H$28,2))))</f>
        <v>2.(31-60) Days</v>
      </c>
      <c r="AU517" s="546" t="str">
        <f t="shared" ref="AU517:AU580" si="250">IF(F517="","",IF(OR(AN517&lt;0,AO517&lt;0,AP517&lt;0),"Error on Entry","Ok"))</f>
        <v>Ok</v>
      </c>
    </row>
    <row r="518" spans="1:47" ht="14.25" hidden="1" customHeight="1" x14ac:dyDescent="0.15">
      <c r="A518" s="575">
        <v>44674</v>
      </c>
      <c r="B518" s="523">
        <v>124</v>
      </c>
      <c r="C518" s="523">
        <v>516</v>
      </c>
      <c r="D518" s="523">
        <v>3</v>
      </c>
      <c r="E518" s="579" t="s">
        <v>1274</v>
      </c>
      <c r="F518" s="580">
        <v>700000</v>
      </c>
      <c r="G518" s="524">
        <v>5</v>
      </c>
      <c r="H518" s="555">
        <v>6.5000000000000002E-2</v>
      </c>
      <c r="I518" s="560" t="s">
        <v>859</v>
      </c>
      <c r="J518" s="523" t="s">
        <v>863</v>
      </c>
      <c r="K518" s="528" t="str">
        <f>IFERROR(VLOOKUP($B518,'Clients-Live'!$A:$C,3,0),"")</f>
        <v>TIKO ZABIBU</v>
      </c>
      <c r="L518" s="528">
        <f>IF(E518="STL",Pricing!$D$38,IF(A518="",0,IF(A518&lt;Pricing!$C$25,Pricing!$D$25,VLOOKUP(Disbursements!$F518,Pricing!$B$29:$D$32,3))))</f>
        <v>20000</v>
      </c>
      <c r="M518" s="528">
        <f>IF(E518="STL",0,IF(F518&gt;0,Pricing!$D$21,0))</f>
        <v>5000</v>
      </c>
      <c r="N518" s="529">
        <f>IF(E518="STL",F518*Pricing!$D$40,IF(A518&lt;=Pricing!$C$4,0,IF(AND(A518&gt;Pricing!$C$4,Disbursements!A518&lt;=Pricing!$C$5),F518*Pricing!$E$5,IF(AND(A518&gt;Pricing!$C$5,Disbursements!A518&lt;=Pricing!$C$7),VLOOKUP(F518,Pricing!$D$7:$E$8,2)*Disbursements!F518,F518*Pricing!$E$9))))</f>
        <v>14000</v>
      </c>
      <c r="O518" s="528">
        <f>IF(E518="STL",0,IF($F518&gt;0,$F518*Pricing!$D$17,0))</f>
        <v>70000</v>
      </c>
      <c r="P518" s="530">
        <f t="shared" si="230"/>
        <v>227500</v>
      </c>
      <c r="Q518" s="531">
        <f>IF($A518="","",$G518/VLOOKUP($I518,Ref!$B$23:$D$29,2,0))</f>
        <v>5</v>
      </c>
      <c r="R518" s="530">
        <f t="shared" si="231"/>
        <v>927500</v>
      </c>
      <c r="S518" s="532">
        <f t="shared" si="225"/>
        <v>185500</v>
      </c>
      <c r="T518" s="531">
        <f t="shared" si="232"/>
        <v>186000</v>
      </c>
      <c r="U518" s="533">
        <f t="shared" si="233"/>
        <v>930000</v>
      </c>
      <c r="V518" s="531">
        <f t="shared" si="234"/>
        <v>140000</v>
      </c>
      <c r="W518" s="531">
        <f t="shared" si="235"/>
        <v>46000</v>
      </c>
      <c r="X518" s="534">
        <f t="shared" si="236"/>
        <v>230000</v>
      </c>
      <c r="Y518" s="535">
        <f>IF($A518="","",IF($I518="weekly",$A518+7,EDATE($A518,VLOOKUP($I518,Ref!$B$24:$C$29,2,0))))</f>
        <v>44704</v>
      </c>
      <c r="Z518" s="536" t="str">
        <f t="shared" si="237"/>
        <v>Mon</v>
      </c>
      <c r="AA518" s="531">
        <f t="shared" si="238"/>
        <v>30</v>
      </c>
      <c r="AB518" s="535">
        <f t="shared" si="226"/>
        <v>44827</v>
      </c>
      <c r="AC518" s="537">
        <f t="shared" si="227"/>
        <v>153</v>
      </c>
      <c r="AD518" s="538" t="str">
        <f t="shared" ca="1" si="228"/>
        <v>Expired</v>
      </c>
      <c r="AE518" s="537">
        <f t="shared" ca="1" si="229"/>
        <v>0</v>
      </c>
      <c r="AF518" s="539">
        <f t="shared" ca="1" si="239"/>
        <v>5</v>
      </c>
      <c r="AG518" s="531">
        <f t="shared" ca="1" si="240"/>
        <v>930000</v>
      </c>
      <c r="AH518" s="531">
        <f t="shared" ca="1" si="241"/>
        <v>230000</v>
      </c>
      <c r="AI518" s="531">
        <f t="shared" ca="1" si="242"/>
        <v>700000</v>
      </c>
      <c r="AJ518" s="531">
        <f t="shared" ca="1" si="243"/>
        <v>0</v>
      </c>
      <c r="AK518" s="540">
        <f>SUMIFS('Live Collections'!$S:$S,'Live Collections'!$D:$D,Disbursements!B518,'Live Collections'!$G:$G,Disbursements!C518)</f>
        <v>46000</v>
      </c>
      <c r="AL518" s="540">
        <f>SUMIFS('Live Collections'!$T:$T,'Live Collections'!$D:$D,Disbursements!B518,'Live Collections'!$G:$G,Disbursements!C518)</f>
        <v>74000</v>
      </c>
      <c r="AM518" s="541">
        <f t="shared" si="244"/>
        <v>120000</v>
      </c>
      <c r="AN518" s="542">
        <f t="shared" si="245"/>
        <v>184000</v>
      </c>
      <c r="AO518" s="542">
        <f t="shared" si="246"/>
        <v>626000</v>
      </c>
      <c r="AP518" s="543">
        <f t="shared" si="247"/>
        <v>810000</v>
      </c>
      <c r="AQ518" s="544">
        <f t="shared" ca="1" si="248"/>
        <v>810000</v>
      </c>
      <c r="AR518" s="545">
        <f t="shared" ca="1" si="249"/>
        <v>4.354838709677419</v>
      </c>
      <c r="AS518" s="545">
        <f ca="1">IFERROR(CEILING($AR518*VLOOKUP($I518,Ref!$B$23:$E$29,4,0),1),0)</f>
        <v>131</v>
      </c>
      <c r="AT518" s="545" t="str">
        <f ca="1">IF(A518="","",IF(AP518&lt;=1,"Cleared",IF(AS518=0,"Clean",VLOOKUP($AS518,Ref!$G$23:$H$28,2))))</f>
        <v>4.(91-365) Days</v>
      </c>
      <c r="AU518" s="546" t="str">
        <f t="shared" si="250"/>
        <v>Ok</v>
      </c>
    </row>
    <row r="519" spans="1:47" ht="14.25" hidden="1" customHeight="1" x14ac:dyDescent="0.15">
      <c r="A519" s="575">
        <v>44676</v>
      </c>
      <c r="B519" s="523">
        <v>355</v>
      </c>
      <c r="C519" s="523">
        <v>517</v>
      </c>
      <c r="D519" s="523">
        <v>1</v>
      </c>
      <c r="E519" s="579" t="s">
        <v>1274</v>
      </c>
      <c r="F519" s="580">
        <v>1200000</v>
      </c>
      <c r="G519" s="524">
        <v>5</v>
      </c>
      <c r="H519" s="555">
        <v>6.5000000000000002E-2</v>
      </c>
      <c r="I519" s="560" t="s">
        <v>859</v>
      </c>
      <c r="J519" s="523" t="s">
        <v>863</v>
      </c>
      <c r="K519" s="528" t="str">
        <f>IFERROR(VLOOKUP($B519,'Clients-Live'!$A:$C,3,0),"")</f>
        <v>KANYA NAIMA</v>
      </c>
      <c r="L519" s="528">
        <f>IF(E519="STL",Pricing!$D$38,IF(A519="",0,IF(A519&lt;Pricing!$C$25,Pricing!$D$25,VLOOKUP(Disbursements!$F519,Pricing!$B$29:$D$32,3))))</f>
        <v>25000</v>
      </c>
      <c r="M519" s="528">
        <f>IF(E519="STL",0,IF(F519&gt;0,Pricing!$D$21,0))</f>
        <v>5000</v>
      </c>
      <c r="N519" s="529">
        <f>IF(E519="STL",F519*Pricing!$D$40,IF(A519&lt;=Pricing!$C$4,0,IF(AND(A519&gt;Pricing!$C$4,Disbursements!A519&lt;=Pricing!$C$5),F519*Pricing!$E$5,IF(AND(A519&gt;Pricing!$C$5,Disbursements!A519&lt;=Pricing!$C$7),VLOOKUP(F519,Pricing!$D$7:$E$8,2)*Disbursements!F519,F519*Pricing!$E$9))))</f>
        <v>24000</v>
      </c>
      <c r="O519" s="528">
        <f>IF(E519="STL",0,IF($F519&gt;0,$F519*Pricing!$D$17,0))</f>
        <v>120000</v>
      </c>
      <c r="P519" s="530">
        <f t="shared" si="230"/>
        <v>390000</v>
      </c>
      <c r="Q519" s="531">
        <f>IF($A519="","",$G519/VLOOKUP($I519,Ref!$B$23:$D$29,2,0))</f>
        <v>5</v>
      </c>
      <c r="R519" s="530">
        <f t="shared" si="231"/>
        <v>1590000</v>
      </c>
      <c r="S519" s="532">
        <f t="shared" si="225"/>
        <v>318000</v>
      </c>
      <c r="T519" s="531">
        <f t="shared" si="232"/>
        <v>318000</v>
      </c>
      <c r="U519" s="533">
        <f t="shared" si="233"/>
        <v>1590000</v>
      </c>
      <c r="V519" s="531">
        <f t="shared" si="234"/>
        <v>240000</v>
      </c>
      <c r="W519" s="531">
        <f t="shared" si="235"/>
        <v>78000</v>
      </c>
      <c r="X519" s="534">
        <f t="shared" si="236"/>
        <v>390000</v>
      </c>
      <c r="Y519" s="535">
        <f>IF($A519="","",IF($I519="weekly",$A519+7,EDATE($A519,VLOOKUP($I519,Ref!$B$24:$C$29,2,0))))</f>
        <v>44706</v>
      </c>
      <c r="Z519" s="536" t="str">
        <f t="shared" si="237"/>
        <v>Wed</v>
      </c>
      <c r="AA519" s="531">
        <f t="shared" si="238"/>
        <v>30</v>
      </c>
      <c r="AB519" s="535">
        <f t="shared" si="226"/>
        <v>44829</v>
      </c>
      <c r="AC519" s="537">
        <f t="shared" si="227"/>
        <v>153</v>
      </c>
      <c r="AD519" s="538" t="str">
        <f t="shared" ca="1" si="228"/>
        <v>Expired</v>
      </c>
      <c r="AE519" s="537">
        <f t="shared" ca="1" si="229"/>
        <v>0</v>
      </c>
      <c r="AF519" s="539">
        <f t="shared" ca="1" si="239"/>
        <v>5</v>
      </c>
      <c r="AG519" s="531">
        <f t="shared" ca="1" si="240"/>
        <v>1590000</v>
      </c>
      <c r="AH519" s="531">
        <f t="shared" ca="1" si="241"/>
        <v>390000</v>
      </c>
      <c r="AI519" s="531">
        <f t="shared" ca="1" si="242"/>
        <v>1200000</v>
      </c>
      <c r="AJ519" s="531">
        <f t="shared" ca="1" si="243"/>
        <v>0</v>
      </c>
      <c r="AK519" s="540">
        <f>SUMIFS('Live Collections'!$S:$S,'Live Collections'!$D:$D,Disbursements!B519,'Live Collections'!$G:$G,Disbursements!C519)</f>
        <v>78000</v>
      </c>
      <c r="AL519" s="540">
        <f>SUMIFS('Live Collections'!$T:$T,'Live Collections'!$D:$D,Disbursements!B519,'Live Collections'!$G:$G,Disbursements!C519)</f>
        <v>240000</v>
      </c>
      <c r="AM519" s="541">
        <f t="shared" si="244"/>
        <v>318000</v>
      </c>
      <c r="AN519" s="542">
        <f t="shared" si="245"/>
        <v>312000</v>
      </c>
      <c r="AO519" s="542">
        <f t="shared" si="246"/>
        <v>960000</v>
      </c>
      <c r="AP519" s="543">
        <f t="shared" si="247"/>
        <v>1272000</v>
      </c>
      <c r="AQ519" s="544">
        <f t="shared" ca="1" si="248"/>
        <v>1272000</v>
      </c>
      <c r="AR519" s="545">
        <f t="shared" ca="1" si="249"/>
        <v>4</v>
      </c>
      <c r="AS519" s="545">
        <f ca="1">IFERROR(CEILING($AR519*VLOOKUP($I519,Ref!$B$23:$E$29,4,0),1),0)</f>
        <v>120</v>
      </c>
      <c r="AT519" s="545" t="str">
        <f ca="1">IF(A519="","",IF(AP519&lt;=1,"Cleared",IF(AS519=0,"Clean",VLOOKUP($AS519,Ref!$G$23:$H$28,2))))</f>
        <v>4.(91-365) Days</v>
      </c>
      <c r="AU519" s="546" t="str">
        <f t="shared" si="250"/>
        <v>Ok</v>
      </c>
    </row>
    <row r="520" spans="1:47" ht="14.25" hidden="1" customHeight="1" x14ac:dyDescent="0.15">
      <c r="A520" s="575">
        <v>44679</v>
      </c>
      <c r="B520" s="523">
        <v>200</v>
      </c>
      <c r="C520" s="523">
        <v>518</v>
      </c>
      <c r="D520" s="523">
        <v>3</v>
      </c>
      <c r="E520" s="579" t="s">
        <v>1274</v>
      </c>
      <c r="F520" s="580">
        <v>600000</v>
      </c>
      <c r="G520" s="524">
        <v>6</v>
      </c>
      <c r="H520" s="555">
        <v>6.5000000000000002E-2</v>
      </c>
      <c r="I520" s="560" t="s">
        <v>859</v>
      </c>
      <c r="J520" s="523" t="s">
        <v>862</v>
      </c>
      <c r="K520" s="528" t="str">
        <f>IFERROR(VLOOKUP($B520,'Clients-Live'!$A:$C,3,0),"")</f>
        <v>SERIYA FLORENCE</v>
      </c>
      <c r="L520" s="528">
        <f>IF(E520="STL",Pricing!$D$38,IF(A520="",0,IF(A520&lt;Pricing!$C$25,Pricing!$D$25,VLOOKUP(Disbursements!$F520,Pricing!$B$29:$D$32,3))))</f>
        <v>20000</v>
      </c>
      <c r="M520" s="528">
        <f>IF(E520="STL",0,IF(F520&gt;0,Pricing!$D$21,0))</f>
        <v>5000</v>
      </c>
      <c r="N520" s="529">
        <f>IF(E520="STL",F520*Pricing!$D$40,IF(A520&lt;=Pricing!$C$4,0,IF(AND(A520&gt;Pricing!$C$4,Disbursements!A520&lt;=Pricing!$C$5),F520*Pricing!$E$5,IF(AND(A520&gt;Pricing!$C$5,Disbursements!A520&lt;=Pricing!$C$7),VLOOKUP(F520,Pricing!$D$7:$E$8,2)*Disbursements!F520,F520*Pricing!$E$9))))</f>
        <v>12000</v>
      </c>
      <c r="O520" s="528">
        <f>IF(E520="STL",0,IF($F520&gt;0,$F520*Pricing!$D$17,0))</f>
        <v>60000</v>
      </c>
      <c r="P520" s="530">
        <f t="shared" si="230"/>
        <v>234000</v>
      </c>
      <c r="Q520" s="531">
        <f>IF($A520="","",$G520/VLOOKUP($I520,Ref!$B$23:$D$29,2,0))</f>
        <v>6</v>
      </c>
      <c r="R520" s="530">
        <f t="shared" si="231"/>
        <v>834000</v>
      </c>
      <c r="S520" s="532">
        <f t="shared" si="225"/>
        <v>139000</v>
      </c>
      <c r="T520" s="531">
        <f t="shared" si="232"/>
        <v>139000</v>
      </c>
      <c r="U520" s="533">
        <f t="shared" si="233"/>
        <v>834000</v>
      </c>
      <c r="V520" s="531">
        <f t="shared" si="234"/>
        <v>100000</v>
      </c>
      <c r="W520" s="531">
        <f t="shared" si="235"/>
        <v>39000</v>
      </c>
      <c r="X520" s="534">
        <f t="shared" si="236"/>
        <v>234000</v>
      </c>
      <c r="Y520" s="535">
        <f>IF($A520="","",IF($I520="weekly",$A520+7,EDATE($A520,VLOOKUP($I520,Ref!$B$24:$C$29,2,0))))</f>
        <v>44709</v>
      </c>
      <c r="Z520" s="536" t="str">
        <f t="shared" si="237"/>
        <v>Sat</v>
      </c>
      <c r="AA520" s="531">
        <f t="shared" si="238"/>
        <v>30</v>
      </c>
      <c r="AB520" s="535">
        <f t="shared" si="226"/>
        <v>44862</v>
      </c>
      <c r="AC520" s="537">
        <f t="shared" si="227"/>
        <v>183</v>
      </c>
      <c r="AD520" s="538" t="str">
        <f t="shared" ca="1" si="228"/>
        <v>Expired</v>
      </c>
      <c r="AE520" s="537">
        <f t="shared" ca="1" si="229"/>
        <v>0</v>
      </c>
      <c r="AF520" s="539">
        <f t="shared" ca="1" si="239"/>
        <v>6</v>
      </c>
      <c r="AG520" s="531">
        <f t="shared" ca="1" si="240"/>
        <v>834000</v>
      </c>
      <c r="AH520" s="531">
        <f t="shared" ca="1" si="241"/>
        <v>234000</v>
      </c>
      <c r="AI520" s="531">
        <f t="shared" ca="1" si="242"/>
        <v>600000</v>
      </c>
      <c r="AJ520" s="531">
        <f t="shared" ca="1" si="243"/>
        <v>0</v>
      </c>
      <c r="AK520" s="540">
        <f>SUMIFS('Live Collections'!$S:$S,'Live Collections'!$D:$D,Disbursements!B520,'Live Collections'!$G:$G,Disbursements!C520)</f>
        <v>39000</v>
      </c>
      <c r="AL520" s="540">
        <f>SUMIFS('Live Collections'!$T:$T,'Live Collections'!$D:$D,Disbursements!B520,'Live Collections'!$G:$G,Disbursements!C520)</f>
        <v>96000</v>
      </c>
      <c r="AM520" s="541">
        <f t="shared" si="244"/>
        <v>135000</v>
      </c>
      <c r="AN520" s="542">
        <f t="shared" si="245"/>
        <v>195000</v>
      </c>
      <c r="AO520" s="542">
        <f t="shared" si="246"/>
        <v>504000</v>
      </c>
      <c r="AP520" s="543">
        <f t="shared" si="247"/>
        <v>699000</v>
      </c>
      <c r="AQ520" s="544">
        <f t="shared" ca="1" si="248"/>
        <v>699000</v>
      </c>
      <c r="AR520" s="545">
        <f t="shared" ca="1" si="249"/>
        <v>5.028776978417266</v>
      </c>
      <c r="AS520" s="545">
        <f ca="1">IFERROR(CEILING($AR520*VLOOKUP($I520,Ref!$B$23:$E$29,4,0),1),0)</f>
        <v>151</v>
      </c>
      <c r="AT520" s="545" t="str">
        <f ca="1">IF(A520="","",IF(AP520&lt;=1,"Cleared",IF(AS520=0,"Clean",VLOOKUP($AS520,Ref!$G$23:$H$28,2))))</f>
        <v>4.(91-365) Days</v>
      </c>
      <c r="AU520" s="546" t="str">
        <f t="shared" si="250"/>
        <v>Ok</v>
      </c>
    </row>
    <row r="521" spans="1:47" ht="14.25" hidden="1" customHeight="1" x14ac:dyDescent="0.15">
      <c r="A521" s="575">
        <v>44679</v>
      </c>
      <c r="B521" s="523">
        <v>160</v>
      </c>
      <c r="C521" s="523">
        <v>519</v>
      </c>
      <c r="D521" s="523">
        <v>3</v>
      </c>
      <c r="E521" s="579" t="s">
        <v>1274</v>
      </c>
      <c r="F521" s="580">
        <v>500000</v>
      </c>
      <c r="G521" s="524">
        <v>5</v>
      </c>
      <c r="H521" s="555">
        <v>6.5000000000000002E-2</v>
      </c>
      <c r="I521" s="560" t="s">
        <v>859</v>
      </c>
      <c r="J521" s="523" t="s">
        <v>863</v>
      </c>
      <c r="K521" s="528" t="str">
        <f>IFERROR(VLOOKUP($B521,'Clients-Live'!$A:$C,3,0),"")</f>
        <v>CHANDI ZANABU</v>
      </c>
      <c r="L521" s="528">
        <f>IF(E521="STL",Pricing!$D$38,IF(A521="",0,IF(A521&lt;Pricing!$C$25,Pricing!$D$25,VLOOKUP(Disbursements!$F521,Pricing!$B$29:$D$32,3))))</f>
        <v>15000</v>
      </c>
      <c r="M521" s="528">
        <f>IF(E521="STL",0,IF(F521&gt;0,Pricing!$D$21,0))</f>
        <v>5000</v>
      </c>
      <c r="N521" s="529">
        <f>IF(E521="STL",F521*Pricing!$D$40,IF(A521&lt;=Pricing!$C$4,0,IF(AND(A521&gt;Pricing!$C$4,Disbursements!A521&lt;=Pricing!$C$5),F521*Pricing!$E$5,IF(AND(A521&gt;Pricing!$C$5,Disbursements!A521&lt;=Pricing!$C$7),VLOOKUP(F521,Pricing!$D$7:$E$8,2)*Disbursements!F521,F521*Pricing!$E$9))))</f>
        <v>10000</v>
      </c>
      <c r="O521" s="528">
        <f>IF(E521="STL",0,IF($F521&gt;0,$F521*Pricing!$D$17,0))</f>
        <v>50000</v>
      </c>
      <c r="P521" s="530">
        <f t="shared" si="230"/>
        <v>162500</v>
      </c>
      <c r="Q521" s="531">
        <f>IF($A521="","",$G521/VLOOKUP($I521,Ref!$B$23:$D$29,2,0))</f>
        <v>5</v>
      </c>
      <c r="R521" s="530">
        <f t="shared" si="231"/>
        <v>662500</v>
      </c>
      <c r="S521" s="532">
        <f t="shared" si="225"/>
        <v>132500</v>
      </c>
      <c r="T521" s="531">
        <f t="shared" si="232"/>
        <v>133000</v>
      </c>
      <c r="U521" s="533">
        <f t="shared" si="233"/>
        <v>665000</v>
      </c>
      <c r="V521" s="531">
        <f t="shared" si="234"/>
        <v>100000</v>
      </c>
      <c r="W521" s="531">
        <f t="shared" si="235"/>
        <v>33000</v>
      </c>
      <c r="X521" s="534">
        <f t="shared" si="236"/>
        <v>165000</v>
      </c>
      <c r="Y521" s="535">
        <f>IF($A521="","",IF($I521="weekly",$A521+7,EDATE($A521,VLOOKUP($I521,Ref!$B$24:$C$29,2,0))))</f>
        <v>44709</v>
      </c>
      <c r="Z521" s="536" t="str">
        <f t="shared" si="237"/>
        <v>Sat</v>
      </c>
      <c r="AA521" s="531">
        <f t="shared" si="238"/>
        <v>30</v>
      </c>
      <c r="AB521" s="535">
        <f t="shared" si="226"/>
        <v>44832</v>
      </c>
      <c r="AC521" s="537">
        <f t="shared" si="227"/>
        <v>153</v>
      </c>
      <c r="AD521" s="538" t="str">
        <f t="shared" ca="1" si="228"/>
        <v>Expired</v>
      </c>
      <c r="AE521" s="537">
        <f t="shared" ca="1" si="229"/>
        <v>0</v>
      </c>
      <c r="AF521" s="539">
        <f t="shared" ca="1" si="239"/>
        <v>5</v>
      </c>
      <c r="AG521" s="531">
        <f t="shared" ca="1" si="240"/>
        <v>665000</v>
      </c>
      <c r="AH521" s="531">
        <f t="shared" ca="1" si="241"/>
        <v>165000</v>
      </c>
      <c r="AI521" s="531">
        <f t="shared" ca="1" si="242"/>
        <v>500000</v>
      </c>
      <c r="AJ521" s="531">
        <f t="shared" ca="1" si="243"/>
        <v>0</v>
      </c>
      <c r="AK521" s="540">
        <f>SUMIFS('Live Collections'!$S:$S,'Live Collections'!$D:$D,Disbursements!B521,'Live Collections'!$G:$G,Disbursements!C521)</f>
        <v>33000</v>
      </c>
      <c r="AL521" s="540">
        <f>SUMIFS('Live Collections'!$T:$T,'Live Collections'!$D:$D,Disbursements!B521,'Live Collections'!$G:$G,Disbursements!C521)</f>
        <v>99500</v>
      </c>
      <c r="AM521" s="541">
        <f t="shared" si="244"/>
        <v>132500</v>
      </c>
      <c r="AN521" s="542">
        <f t="shared" si="245"/>
        <v>132000</v>
      </c>
      <c r="AO521" s="542">
        <f t="shared" si="246"/>
        <v>400500</v>
      </c>
      <c r="AP521" s="543">
        <f t="shared" si="247"/>
        <v>532500</v>
      </c>
      <c r="AQ521" s="544">
        <f t="shared" ca="1" si="248"/>
        <v>532500</v>
      </c>
      <c r="AR521" s="545">
        <f t="shared" ca="1" si="249"/>
        <v>4.003759398496241</v>
      </c>
      <c r="AS521" s="545">
        <f ca="1">IFERROR(CEILING($AR521*VLOOKUP($I521,Ref!$B$23:$E$29,4,0),1),0)</f>
        <v>121</v>
      </c>
      <c r="AT521" s="545" t="str">
        <f ca="1">IF(A521="","",IF(AP521&lt;=1,"Cleared",IF(AS521=0,"Clean",VLOOKUP($AS521,Ref!$G$23:$H$28,2))))</f>
        <v>4.(91-365) Days</v>
      </c>
      <c r="AU521" s="546" t="str">
        <f t="shared" si="250"/>
        <v>Ok</v>
      </c>
    </row>
    <row r="522" spans="1:47" ht="14.25" hidden="1" customHeight="1" x14ac:dyDescent="0.15">
      <c r="A522" s="575">
        <v>44679</v>
      </c>
      <c r="B522" s="523">
        <v>157</v>
      </c>
      <c r="C522" s="523">
        <v>520</v>
      </c>
      <c r="D522" s="523">
        <v>3</v>
      </c>
      <c r="E522" s="579" t="s">
        <v>1274</v>
      </c>
      <c r="F522" s="580">
        <v>700000</v>
      </c>
      <c r="G522" s="524">
        <v>5</v>
      </c>
      <c r="H522" s="555">
        <v>6.5000000000000002E-2</v>
      </c>
      <c r="I522" s="560" t="s">
        <v>859</v>
      </c>
      <c r="J522" s="523" t="s">
        <v>864</v>
      </c>
      <c r="K522" s="528" t="str">
        <f>IFERROR(VLOOKUP($B522,'Clients-Live'!$A:$C,3,0),"")</f>
        <v>AYITE MARGERT</v>
      </c>
      <c r="L522" s="528">
        <f>IF(E522="STL",Pricing!$D$38,IF(A522="",0,IF(A522&lt;Pricing!$C$25,Pricing!$D$25,VLOOKUP(Disbursements!$F522,Pricing!$B$29:$D$32,3))))</f>
        <v>20000</v>
      </c>
      <c r="M522" s="528">
        <f>IF(E522="STL",0,IF(F522&gt;0,Pricing!$D$21,0))</f>
        <v>5000</v>
      </c>
      <c r="N522" s="529">
        <f>IF(E522="STL",F522*Pricing!$D$40,IF(A522&lt;=Pricing!$C$4,0,IF(AND(A522&gt;Pricing!$C$4,Disbursements!A522&lt;=Pricing!$C$5),F522*Pricing!$E$5,IF(AND(A522&gt;Pricing!$C$5,Disbursements!A522&lt;=Pricing!$C$7),VLOOKUP(F522,Pricing!$D$7:$E$8,2)*Disbursements!F522,F522*Pricing!$E$9))))</f>
        <v>14000</v>
      </c>
      <c r="O522" s="528">
        <f>IF(E522="STL",0,IF($F522&gt;0,$F522*Pricing!$D$17,0))</f>
        <v>70000</v>
      </c>
      <c r="P522" s="530">
        <f t="shared" si="230"/>
        <v>227500</v>
      </c>
      <c r="Q522" s="531">
        <f>IF($A522="","",$G522/VLOOKUP($I522,Ref!$B$23:$D$29,2,0))</f>
        <v>5</v>
      </c>
      <c r="R522" s="530">
        <f t="shared" si="231"/>
        <v>927500</v>
      </c>
      <c r="S522" s="532">
        <f t="shared" si="225"/>
        <v>185500</v>
      </c>
      <c r="T522" s="531">
        <f t="shared" si="232"/>
        <v>186000</v>
      </c>
      <c r="U522" s="533">
        <f t="shared" si="233"/>
        <v>930000</v>
      </c>
      <c r="V522" s="531">
        <f t="shared" si="234"/>
        <v>140000</v>
      </c>
      <c r="W522" s="531">
        <f t="shared" si="235"/>
        <v>46000</v>
      </c>
      <c r="X522" s="534">
        <f t="shared" si="236"/>
        <v>230000</v>
      </c>
      <c r="Y522" s="535">
        <f>IF($A522="","",IF($I522="weekly",$A522+7,EDATE($A522,VLOOKUP($I522,Ref!$B$24:$C$29,2,0))))</f>
        <v>44709</v>
      </c>
      <c r="Z522" s="536" t="str">
        <f t="shared" si="237"/>
        <v>Sat</v>
      </c>
      <c r="AA522" s="531">
        <f t="shared" si="238"/>
        <v>30</v>
      </c>
      <c r="AB522" s="535">
        <f t="shared" si="226"/>
        <v>44832</v>
      </c>
      <c r="AC522" s="537">
        <f t="shared" si="227"/>
        <v>153</v>
      </c>
      <c r="AD522" s="538" t="str">
        <f t="shared" ca="1" si="228"/>
        <v>Expired</v>
      </c>
      <c r="AE522" s="537">
        <f t="shared" ca="1" si="229"/>
        <v>0</v>
      </c>
      <c r="AF522" s="539">
        <f t="shared" ca="1" si="239"/>
        <v>5</v>
      </c>
      <c r="AG522" s="531">
        <f t="shared" ca="1" si="240"/>
        <v>930000</v>
      </c>
      <c r="AH522" s="531">
        <f t="shared" ca="1" si="241"/>
        <v>230000</v>
      </c>
      <c r="AI522" s="531">
        <f t="shared" ca="1" si="242"/>
        <v>700000</v>
      </c>
      <c r="AJ522" s="531">
        <f t="shared" ca="1" si="243"/>
        <v>0</v>
      </c>
      <c r="AK522" s="540">
        <f>SUMIFS('Live Collections'!$S:$S,'Live Collections'!$D:$D,Disbursements!B522,'Live Collections'!$G:$G,Disbursements!C522)</f>
        <v>92000</v>
      </c>
      <c r="AL522" s="540">
        <f>SUMIFS('Live Collections'!$T:$T,'Live Collections'!$D:$D,Disbursements!B522,'Live Collections'!$G:$G,Disbursements!C522)</f>
        <v>58000</v>
      </c>
      <c r="AM522" s="541">
        <f t="shared" si="244"/>
        <v>150000</v>
      </c>
      <c r="AN522" s="542">
        <f t="shared" si="245"/>
        <v>138000</v>
      </c>
      <c r="AO522" s="542">
        <f t="shared" si="246"/>
        <v>642000</v>
      </c>
      <c r="AP522" s="543">
        <f t="shared" si="247"/>
        <v>780000</v>
      </c>
      <c r="AQ522" s="544">
        <f t="shared" ca="1" si="248"/>
        <v>780000</v>
      </c>
      <c r="AR522" s="545">
        <f t="shared" ca="1" si="249"/>
        <v>4.193548387096774</v>
      </c>
      <c r="AS522" s="545">
        <f ca="1">IFERROR(CEILING($AR522*VLOOKUP($I522,Ref!$B$23:$E$29,4,0),1),0)</f>
        <v>126</v>
      </c>
      <c r="AT522" s="545" t="str">
        <f ca="1">IF(A522="","",IF(AP522&lt;=1,"Cleared",IF(AS522=0,"Clean",VLOOKUP($AS522,Ref!$G$23:$H$28,2))))</f>
        <v>4.(91-365) Days</v>
      </c>
      <c r="AU522" s="546" t="str">
        <f t="shared" si="250"/>
        <v>Ok</v>
      </c>
    </row>
    <row r="523" spans="1:47" ht="14.25" hidden="1" customHeight="1" x14ac:dyDescent="0.15">
      <c r="A523" s="575">
        <v>44679</v>
      </c>
      <c r="B523" s="523">
        <v>321</v>
      </c>
      <c r="C523" s="523">
        <v>521</v>
      </c>
      <c r="D523" s="523">
        <v>2</v>
      </c>
      <c r="E523" s="579" t="s">
        <v>1275</v>
      </c>
      <c r="F523" s="580">
        <v>1000000</v>
      </c>
      <c r="G523" s="524">
        <v>2</v>
      </c>
      <c r="H523" s="555">
        <v>7.4999999999999997E-2</v>
      </c>
      <c r="I523" s="560" t="s">
        <v>859</v>
      </c>
      <c r="J523" s="523" t="s">
        <v>863</v>
      </c>
      <c r="K523" s="528" t="str">
        <f>IFERROR(VLOOKUP($B523,'Clients-Live'!$A:$C,3,0),"")</f>
        <v>ANDERU MONICA</v>
      </c>
      <c r="L523" s="528">
        <f>IF(E523="STL",Pricing!$D$38,IF(A523="",0,IF(A523&lt;Pricing!$C$25,Pricing!$D$25,VLOOKUP(Disbursements!$F523,Pricing!$B$29:$D$32,3))))</f>
        <v>20000</v>
      </c>
      <c r="M523" s="528">
        <f>IF(E523="STL",0,IF(F523&gt;0,Pricing!$D$21,0))</f>
        <v>5000</v>
      </c>
      <c r="N523" s="529">
        <f>IF(E523="STL",F523*Pricing!$D$40,IF(A523&lt;=Pricing!$C$4,0,IF(AND(A523&gt;Pricing!$C$4,Disbursements!A523&lt;=Pricing!$C$5),F523*Pricing!$E$5,IF(AND(A523&gt;Pricing!$C$5,Disbursements!A523&lt;=Pricing!$C$7),VLOOKUP(F523,Pricing!$D$7:$E$8,2)*Disbursements!F523,F523*Pricing!$E$9))))</f>
        <v>20000</v>
      </c>
      <c r="O523" s="528">
        <f>IF(E523="STL",0,IF($F523&gt;0,$F523*Pricing!$D$17,0))</f>
        <v>100000</v>
      </c>
      <c r="P523" s="530">
        <f t="shared" si="230"/>
        <v>150000</v>
      </c>
      <c r="Q523" s="531">
        <f>IF($A523="","",$G523/VLOOKUP($I523,Ref!$B$23:$D$29,2,0))</f>
        <v>2</v>
      </c>
      <c r="R523" s="530">
        <f t="shared" si="231"/>
        <v>1150000</v>
      </c>
      <c r="S523" s="532">
        <f t="shared" si="225"/>
        <v>575000</v>
      </c>
      <c r="T523" s="531">
        <f t="shared" si="232"/>
        <v>575000</v>
      </c>
      <c r="U523" s="533">
        <f t="shared" si="233"/>
        <v>1150000</v>
      </c>
      <c r="V523" s="531">
        <f t="shared" si="234"/>
        <v>500000</v>
      </c>
      <c r="W523" s="531">
        <f t="shared" si="235"/>
        <v>75000</v>
      </c>
      <c r="X523" s="534">
        <f t="shared" si="236"/>
        <v>150000</v>
      </c>
      <c r="Y523" s="535">
        <f>IF($A523="","",IF($I523="weekly",$A523+7,EDATE($A523,VLOOKUP($I523,Ref!$B$24:$C$29,2,0))))</f>
        <v>44709</v>
      </c>
      <c r="Z523" s="536" t="str">
        <f t="shared" si="237"/>
        <v>Sat</v>
      </c>
      <c r="AA523" s="531">
        <f t="shared" si="238"/>
        <v>30</v>
      </c>
      <c r="AB523" s="535">
        <f t="shared" si="226"/>
        <v>44740</v>
      </c>
      <c r="AC523" s="537">
        <f t="shared" si="227"/>
        <v>61</v>
      </c>
      <c r="AD523" s="538" t="str">
        <f t="shared" ca="1" si="228"/>
        <v>Expired</v>
      </c>
      <c r="AE523" s="537">
        <f t="shared" ca="1" si="229"/>
        <v>0</v>
      </c>
      <c r="AF523" s="539">
        <f t="shared" ca="1" si="239"/>
        <v>2</v>
      </c>
      <c r="AG523" s="531">
        <f t="shared" ca="1" si="240"/>
        <v>1150000</v>
      </c>
      <c r="AH523" s="531">
        <f t="shared" ca="1" si="241"/>
        <v>150000</v>
      </c>
      <c r="AI523" s="531">
        <f t="shared" ca="1" si="242"/>
        <v>1000000</v>
      </c>
      <c r="AJ523" s="531">
        <f t="shared" ca="1" si="243"/>
        <v>0</v>
      </c>
      <c r="AK523" s="540">
        <f>SUMIFS('Live Collections'!$S:$S,'Live Collections'!$D:$D,Disbursements!B523,'Live Collections'!$G:$G,Disbursements!C523)</f>
        <v>150000</v>
      </c>
      <c r="AL523" s="540">
        <f>SUMIFS('Live Collections'!$T:$T,'Live Collections'!$D:$D,Disbursements!B523,'Live Collections'!$G:$G,Disbursements!C523)</f>
        <v>420000</v>
      </c>
      <c r="AM523" s="541">
        <f t="shared" si="244"/>
        <v>570000</v>
      </c>
      <c r="AN523" s="542">
        <f t="shared" si="245"/>
        <v>0</v>
      </c>
      <c r="AO523" s="542">
        <f t="shared" si="246"/>
        <v>580000</v>
      </c>
      <c r="AP523" s="543">
        <f t="shared" si="247"/>
        <v>580000</v>
      </c>
      <c r="AQ523" s="544">
        <f t="shared" ca="1" si="248"/>
        <v>580000</v>
      </c>
      <c r="AR523" s="545">
        <f t="shared" ca="1" si="249"/>
        <v>1.008695652173913</v>
      </c>
      <c r="AS523" s="545">
        <f ca="1">IFERROR(CEILING($AR523*VLOOKUP($I523,Ref!$B$23:$E$29,4,0),1),0)</f>
        <v>31</v>
      </c>
      <c r="AT523" s="545" t="str">
        <f ca="1">IF(A523="","",IF(AP523&lt;=1,"Cleared",IF(AS523=0,"Clean",VLOOKUP($AS523,Ref!$G$23:$H$28,2))))</f>
        <v>2.(31-60) Days</v>
      </c>
      <c r="AU523" s="546" t="str">
        <f t="shared" si="250"/>
        <v>Ok</v>
      </c>
    </row>
    <row r="524" spans="1:47" ht="14.25" hidden="1" customHeight="1" x14ac:dyDescent="0.15">
      <c r="A524" s="575">
        <v>44679</v>
      </c>
      <c r="B524" s="523">
        <v>287</v>
      </c>
      <c r="C524" s="523">
        <v>522</v>
      </c>
      <c r="D524" s="523">
        <v>2</v>
      </c>
      <c r="E524" s="579" t="s">
        <v>1274</v>
      </c>
      <c r="F524" s="580">
        <v>600000</v>
      </c>
      <c r="G524" s="524">
        <v>5</v>
      </c>
      <c r="H524" s="555">
        <v>6.5000000000000002E-2</v>
      </c>
      <c r="I524" s="560" t="s">
        <v>859</v>
      </c>
      <c r="J524" s="523" t="s">
        <v>862</v>
      </c>
      <c r="K524" s="528" t="str">
        <f>IFERROR(VLOOKUP($B524,'Clients-Live'!$A:$C,3,0),"")</f>
        <v>FAITH JOSEPHINE</v>
      </c>
      <c r="L524" s="528">
        <f>IF(E524="STL",Pricing!$D$38,IF(A524="",0,IF(A524&lt;Pricing!$C$25,Pricing!$D$25,VLOOKUP(Disbursements!$F524,Pricing!$B$29:$D$32,3))))</f>
        <v>20000</v>
      </c>
      <c r="M524" s="528">
        <f>IF(E524="STL",0,IF(F524&gt;0,Pricing!$D$21,0))</f>
        <v>5000</v>
      </c>
      <c r="N524" s="529">
        <f>IF(E524="STL",F524*Pricing!$D$40,IF(A524&lt;=Pricing!$C$4,0,IF(AND(A524&gt;Pricing!$C$4,Disbursements!A524&lt;=Pricing!$C$5),F524*Pricing!$E$5,IF(AND(A524&gt;Pricing!$C$5,Disbursements!A524&lt;=Pricing!$C$7),VLOOKUP(F524,Pricing!$D$7:$E$8,2)*Disbursements!F524,F524*Pricing!$E$9))))</f>
        <v>12000</v>
      </c>
      <c r="O524" s="528">
        <f>IF(E524="STL",0,IF($F524&gt;0,$F524*Pricing!$D$17,0))</f>
        <v>60000</v>
      </c>
      <c r="P524" s="530">
        <f t="shared" si="230"/>
        <v>195000</v>
      </c>
      <c r="Q524" s="531">
        <f>IF($A524="","",$G524/VLOOKUP($I524,Ref!$B$23:$D$29,2,0))</f>
        <v>5</v>
      </c>
      <c r="R524" s="530">
        <f t="shared" si="231"/>
        <v>795000</v>
      </c>
      <c r="S524" s="532">
        <f t="shared" si="225"/>
        <v>159000</v>
      </c>
      <c r="T524" s="531">
        <f t="shared" si="232"/>
        <v>159000</v>
      </c>
      <c r="U524" s="533">
        <f t="shared" si="233"/>
        <v>795000</v>
      </c>
      <c r="V524" s="531">
        <f t="shared" si="234"/>
        <v>120000</v>
      </c>
      <c r="W524" s="531">
        <f t="shared" si="235"/>
        <v>39000</v>
      </c>
      <c r="X524" s="534">
        <f t="shared" si="236"/>
        <v>195000</v>
      </c>
      <c r="Y524" s="535">
        <f>IF($A524="","",IF($I524="weekly",$A524+7,EDATE($A524,VLOOKUP($I524,Ref!$B$24:$C$29,2,0))))</f>
        <v>44709</v>
      </c>
      <c r="Z524" s="536" t="str">
        <f t="shared" si="237"/>
        <v>Sat</v>
      </c>
      <c r="AA524" s="531">
        <f t="shared" si="238"/>
        <v>30</v>
      </c>
      <c r="AB524" s="535">
        <f t="shared" si="226"/>
        <v>44832</v>
      </c>
      <c r="AC524" s="537">
        <f t="shared" si="227"/>
        <v>153</v>
      </c>
      <c r="AD524" s="538" t="str">
        <f t="shared" ca="1" si="228"/>
        <v>Expired</v>
      </c>
      <c r="AE524" s="537">
        <f t="shared" ca="1" si="229"/>
        <v>0</v>
      </c>
      <c r="AF524" s="539">
        <f t="shared" ca="1" si="239"/>
        <v>5</v>
      </c>
      <c r="AG524" s="531">
        <f t="shared" ca="1" si="240"/>
        <v>795000</v>
      </c>
      <c r="AH524" s="531">
        <f t="shared" ca="1" si="241"/>
        <v>195000</v>
      </c>
      <c r="AI524" s="531">
        <f t="shared" ca="1" si="242"/>
        <v>600000</v>
      </c>
      <c r="AJ524" s="531">
        <f t="shared" ca="1" si="243"/>
        <v>0</v>
      </c>
      <c r="AK524" s="540">
        <f>SUMIFS('Live Collections'!$S:$S,'Live Collections'!$D:$D,Disbursements!B524,'Live Collections'!$G:$G,Disbursements!C524)</f>
        <v>39000</v>
      </c>
      <c r="AL524" s="540">
        <f>SUMIFS('Live Collections'!$T:$T,'Live Collections'!$D:$D,Disbursements!B524,'Live Collections'!$G:$G,Disbursements!C524)</f>
        <v>121000</v>
      </c>
      <c r="AM524" s="541">
        <f t="shared" si="244"/>
        <v>160000</v>
      </c>
      <c r="AN524" s="542">
        <f t="shared" si="245"/>
        <v>156000</v>
      </c>
      <c r="AO524" s="542">
        <f t="shared" si="246"/>
        <v>479000</v>
      </c>
      <c r="AP524" s="543">
        <f t="shared" si="247"/>
        <v>635000</v>
      </c>
      <c r="AQ524" s="544">
        <f t="shared" ca="1" si="248"/>
        <v>635000</v>
      </c>
      <c r="AR524" s="545">
        <f t="shared" ca="1" si="249"/>
        <v>3.9937106918238992</v>
      </c>
      <c r="AS524" s="545">
        <f ca="1">IFERROR(CEILING($AR524*VLOOKUP($I524,Ref!$B$23:$E$29,4,0),1),0)</f>
        <v>120</v>
      </c>
      <c r="AT524" s="545" t="str">
        <f ca="1">IF(A524="","",IF(AP524&lt;=1,"Cleared",IF(AS524=0,"Clean",VLOOKUP($AS524,Ref!$G$23:$H$28,2))))</f>
        <v>4.(91-365) Days</v>
      </c>
      <c r="AU524" s="546" t="str">
        <f t="shared" si="250"/>
        <v>Ok</v>
      </c>
    </row>
    <row r="525" spans="1:47" ht="14.25" hidden="1" customHeight="1" x14ac:dyDescent="0.15">
      <c r="A525" s="575">
        <v>44686</v>
      </c>
      <c r="B525" s="523">
        <v>67</v>
      </c>
      <c r="C525" s="523">
        <v>523</v>
      </c>
      <c r="D525" s="523">
        <v>3</v>
      </c>
      <c r="E525" s="579" t="s">
        <v>1274</v>
      </c>
      <c r="F525" s="580">
        <v>400000</v>
      </c>
      <c r="G525" s="524">
        <v>4</v>
      </c>
      <c r="H525" s="555">
        <v>6.5000000000000002E-2</v>
      </c>
      <c r="I525" s="560" t="s">
        <v>859</v>
      </c>
      <c r="J525" s="523" t="s">
        <v>863</v>
      </c>
      <c r="K525" s="528" t="str">
        <f>IFERROR(VLOOKUP($B525,'Clients-Live'!$A:$C,3,0),"")</f>
        <v>KEBITA SAUDA</v>
      </c>
      <c r="L525" s="528">
        <f>IF(E525="STL",Pricing!$D$38,IF(A525="",0,IF(A525&lt;Pricing!$C$25,Pricing!$D$25,VLOOKUP(Disbursements!$F525,Pricing!$B$29:$D$32,3))))</f>
        <v>15000</v>
      </c>
      <c r="M525" s="528">
        <f>IF(E525="STL",0,IF(F525&gt;0,Pricing!$D$21,0))</f>
        <v>5000</v>
      </c>
      <c r="N525" s="529">
        <f>IF(E525="STL",F525*Pricing!$D$40,IF(A525&lt;=Pricing!$C$4,0,IF(AND(A525&gt;Pricing!$C$4,Disbursements!A525&lt;=Pricing!$C$5),F525*Pricing!$E$5,IF(AND(A525&gt;Pricing!$C$5,Disbursements!A525&lt;=Pricing!$C$7),VLOOKUP(F525,Pricing!$D$7:$E$8,2)*Disbursements!F525,F525*Pricing!$E$9))))</f>
        <v>8000</v>
      </c>
      <c r="O525" s="528">
        <f>IF(E525="STL",0,IF($F525&gt;0,$F525*Pricing!$D$17,0))</f>
        <v>40000</v>
      </c>
      <c r="P525" s="530">
        <f t="shared" si="230"/>
        <v>104000</v>
      </c>
      <c r="Q525" s="531">
        <f>IF($A525="","",$G525/VLOOKUP($I525,Ref!$B$23:$D$29,2,0))</f>
        <v>4</v>
      </c>
      <c r="R525" s="530">
        <f t="shared" si="231"/>
        <v>504000</v>
      </c>
      <c r="S525" s="532">
        <f t="shared" si="225"/>
        <v>126000</v>
      </c>
      <c r="T525" s="531">
        <f t="shared" si="232"/>
        <v>126000</v>
      </c>
      <c r="U525" s="533">
        <f t="shared" si="233"/>
        <v>504000</v>
      </c>
      <c r="V525" s="531">
        <f t="shared" si="234"/>
        <v>100000</v>
      </c>
      <c r="W525" s="531">
        <f t="shared" si="235"/>
        <v>26000</v>
      </c>
      <c r="X525" s="534">
        <f t="shared" si="236"/>
        <v>104000</v>
      </c>
      <c r="Y525" s="535">
        <f>IF($A525="","",IF($I525="weekly",$A525+7,EDATE($A525,VLOOKUP($I525,Ref!$B$24:$C$29,2,0))))</f>
        <v>44717</v>
      </c>
      <c r="Z525" s="536" t="str">
        <f t="shared" si="237"/>
        <v>Sun</v>
      </c>
      <c r="AA525" s="531">
        <f t="shared" si="238"/>
        <v>31</v>
      </c>
      <c r="AB525" s="535">
        <f t="shared" si="226"/>
        <v>44809</v>
      </c>
      <c r="AC525" s="537">
        <f t="shared" si="227"/>
        <v>123</v>
      </c>
      <c r="AD525" s="538" t="str">
        <f t="shared" ca="1" si="228"/>
        <v>Expired</v>
      </c>
      <c r="AE525" s="537">
        <f t="shared" ca="1" si="229"/>
        <v>0</v>
      </c>
      <c r="AF525" s="539">
        <f t="shared" ca="1" si="239"/>
        <v>4</v>
      </c>
      <c r="AG525" s="531">
        <f t="shared" ca="1" si="240"/>
        <v>504000</v>
      </c>
      <c r="AH525" s="531">
        <f t="shared" ca="1" si="241"/>
        <v>104000</v>
      </c>
      <c r="AI525" s="531">
        <f t="shared" ca="1" si="242"/>
        <v>400000</v>
      </c>
      <c r="AJ525" s="531">
        <f t="shared" ca="1" si="243"/>
        <v>0</v>
      </c>
      <c r="AK525" s="540">
        <f>SUMIFS('Live Collections'!$S:$S,'Live Collections'!$D:$D,Disbursements!B525,'Live Collections'!$G:$G,Disbursements!C525)</f>
        <v>26000</v>
      </c>
      <c r="AL525" s="540">
        <f>SUMIFS('Live Collections'!$T:$T,'Live Collections'!$D:$D,Disbursements!B525,'Live Collections'!$G:$G,Disbursements!C525)</f>
        <v>14000</v>
      </c>
      <c r="AM525" s="541">
        <f t="shared" si="244"/>
        <v>40000</v>
      </c>
      <c r="AN525" s="542">
        <f t="shared" si="245"/>
        <v>78000</v>
      </c>
      <c r="AO525" s="542">
        <f t="shared" si="246"/>
        <v>386000</v>
      </c>
      <c r="AP525" s="543">
        <f t="shared" si="247"/>
        <v>464000</v>
      </c>
      <c r="AQ525" s="544">
        <f t="shared" ca="1" si="248"/>
        <v>464000</v>
      </c>
      <c r="AR525" s="545">
        <f t="shared" ca="1" si="249"/>
        <v>3.6825396825396823</v>
      </c>
      <c r="AS525" s="545">
        <f ca="1">IFERROR(CEILING($AR525*VLOOKUP($I525,Ref!$B$23:$E$29,4,0),1),0)</f>
        <v>111</v>
      </c>
      <c r="AT525" s="545" t="str">
        <f ca="1">IF(A525="","",IF(AP525&lt;=1,"Cleared",IF(AS525=0,"Clean",VLOOKUP($AS525,Ref!$G$23:$H$28,2))))</f>
        <v>4.(91-365) Days</v>
      </c>
      <c r="AU525" s="546" t="str">
        <f t="shared" si="250"/>
        <v>Ok</v>
      </c>
    </row>
    <row r="526" spans="1:47" ht="14.25" hidden="1" customHeight="1" x14ac:dyDescent="0.15">
      <c r="A526" s="575">
        <v>44686</v>
      </c>
      <c r="B526" s="523">
        <v>228</v>
      </c>
      <c r="C526" s="523">
        <v>524</v>
      </c>
      <c r="D526" s="523">
        <v>7</v>
      </c>
      <c r="E526" s="579" t="s">
        <v>1274</v>
      </c>
      <c r="F526" s="580">
        <v>800000</v>
      </c>
      <c r="G526" s="524">
        <v>4</v>
      </c>
      <c r="H526" s="555">
        <v>6.5000000000000002E-2</v>
      </c>
      <c r="I526" s="560" t="s">
        <v>859</v>
      </c>
      <c r="J526" s="523" t="s">
        <v>863</v>
      </c>
      <c r="K526" s="528" t="str">
        <f>IFERROR(VLOOKUP($B526,'Clients-Live'!$A:$C,3,0),"")</f>
        <v>DADA ISAAC</v>
      </c>
      <c r="L526" s="528">
        <f>IF(E526="STL",Pricing!$D$38,IF(A526="",0,IF(A526&lt;Pricing!$C$25,Pricing!$D$25,VLOOKUP(Disbursements!$F526,Pricing!$B$29:$D$32,3))))</f>
        <v>20000</v>
      </c>
      <c r="M526" s="528">
        <f>IF(E526="STL",0,IF(F526&gt;0,Pricing!$D$21,0))</f>
        <v>5000</v>
      </c>
      <c r="N526" s="529">
        <f>IF(E526="STL",F526*Pricing!$D$40,IF(A526&lt;=Pricing!$C$4,0,IF(AND(A526&gt;Pricing!$C$4,Disbursements!A526&lt;=Pricing!$C$5),F526*Pricing!$E$5,IF(AND(A526&gt;Pricing!$C$5,Disbursements!A526&lt;=Pricing!$C$7),VLOOKUP(F526,Pricing!$D$7:$E$8,2)*Disbursements!F526,F526*Pricing!$E$9))))</f>
        <v>16000</v>
      </c>
      <c r="O526" s="528">
        <f>IF(E526="STL",0,IF($F526&gt;0,$F526*Pricing!$D$17,0))</f>
        <v>80000</v>
      </c>
      <c r="P526" s="530">
        <f t="shared" si="230"/>
        <v>208000</v>
      </c>
      <c r="Q526" s="531">
        <f>IF($A526="","",$G526/VLOOKUP($I526,Ref!$B$23:$D$29,2,0))</f>
        <v>4</v>
      </c>
      <c r="R526" s="530">
        <f t="shared" si="231"/>
        <v>1008000</v>
      </c>
      <c r="S526" s="532">
        <f t="shared" si="225"/>
        <v>252000</v>
      </c>
      <c r="T526" s="531">
        <f t="shared" si="232"/>
        <v>252000</v>
      </c>
      <c r="U526" s="533">
        <f t="shared" si="233"/>
        <v>1008000</v>
      </c>
      <c r="V526" s="531">
        <f t="shared" si="234"/>
        <v>200000</v>
      </c>
      <c r="W526" s="531">
        <f t="shared" si="235"/>
        <v>52000</v>
      </c>
      <c r="X526" s="534">
        <f t="shared" si="236"/>
        <v>208000</v>
      </c>
      <c r="Y526" s="535">
        <f>IF($A526="","",IF($I526="weekly",$A526+7,EDATE($A526,VLOOKUP($I526,Ref!$B$24:$C$29,2,0))))</f>
        <v>44717</v>
      </c>
      <c r="Z526" s="536" t="str">
        <f t="shared" si="237"/>
        <v>Sun</v>
      </c>
      <c r="AA526" s="531">
        <f t="shared" si="238"/>
        <v>31</v>
      </c>
      <c r="AB526" s="535">
        <f t="shared" si="226"/>
        <v>44809</v>
      </c>
      <c r="AC526" s="537">
        <f t="shared" si="227"/>
        <v>123</v>
      </c>
      <c r="AD526" s="538" t="str">
        <f t="shared" ca="1" si="228"/>
        <v>Expired</v>
      </c>
      <c r="AE526" s="537">
        <f t="shared" ca="1" si="229"/>
        <v>0</v>
      </c>
      <c r="AF526" s="539">
        <f t="shared" ca="1" si="239"/>
        <v>4</v>
      </c>
      <c r="AG526" s="531">
        <f t="shared" ca="1" si="240"/>
        <v>1008000</v>
      </c>
      <c r="AH526" s="531">
        <f t="shared" ca="1" si="241"/>
        <v>208000</v>
      </c>
      <c r="AI526" s="531">
        <f t="shared" ca="1" si="242"/>
        <v>800000</v>
      </c>
      <c r="AJ526" s="531">
        <f t="shared" ca="1" si="243"/>
        <v>0</v>
      </c>
      <c r="AK526" s="540">
        <f>SUMIFS('Live Collections'!$S:$S,'Live Collections'!$D:$D,Disbursements!B526,'Live Collections'!$G:$G,Disbursements!C526)</f>
        <v>0</v>
      </c>
      <c r="AL526" s="540">
        <f>SUMIFS('Live Collections'!$T:$T,'Live Collections'!$D:$D,Disbursements!B526,'Live Collections'!$G:$G,Disbursements!C526)</f>
        <v>0</v>
      </c>
      <c r="AM526" s="541">
        <f t="shared" si="244"/>
        <v>0</v>
      </c>
      <c r="AN526" s="542">
        <f t="shared" si="245"/>
        <v>208000</v>
      </c>
      <c r="AO526" s="542">
        <f t="shared" si="246"/>
        <v>800000</v>
      </c>
      <c r="AP526" s="543">
        <f t="shared" si="247"/>
        <v>1008000</v>
      </c>
      <c r="AQ526" s="544">
        <f t="shared" ca="1" si="248"/>
        <v>1008000</v>
      </c>
      <c r="AR526" s="545">
        <f t="shared" ca="1" si="249"/>
        <v>4</v>
      </c>
      <c r="AS526" s="545">
        <f ca="1">IFERROR(CEILING($AR526*VLOOKUP($I526,Ref!$B$23:$E$29,4,0),1),0)</f>
        <v>120</v>
      </c>
      <c r="AT526" s="545" t="str">
        <f ca="1">IF(A526="","",IF(AP526&lt;=1,"Cleared",IF(AS526=0,"Clean",VLOOKUP($AS526,Ref!$G$23:$H$28,2))))</f>
        <v>4.(91-365) Days</v>
      </c>
      <c r="AU526" s="546" t="str">
        <f t="shared" si="250"/>
        <v>Ok</v>
      </c>
    </row>
    <row r="527" spans="1:47" ht="14.25" hidden="1" customHeight="1" x14ac:dyDescent="0.15">
      <c r="A527" s="575">
        <v>44687</v>
      </c>
      <c r="B527" s="523">
        <v>309</v>
      </c>
      <c r="C527" s="523">
        <v>525</v>
      </c>
      <c r="D527" s="523">
        <v>2</v>
      </c>
      <c r="E527" s="579" t="s">
        <v>1274</v>
      </c>
      <c r="F527" s="580">
        <v>1500000</v>
      </c>
      <c r="G527" s="524">
        <v>5</v>
      </c>
      <c r="H527" s="555">
        <v>6.5000000000000002E-2</v>
      </c>
      <c r="I527" s="560" t="s">
        <v>859</v>
      </c>
      <c r="J527" s="523" t="s">
        <v>864</v>
      </c>
      <c r="K527" s="528" t="str">
        <f>IFERROR(VLOOKUP($B527,'Clients-Live'!$A:$C,3,0),"")</f>
        <v>NAMBOZO HALIMA</v>
      </c>
      <c r="L527" s="528">
        <f>IF(E527="STL",Pricing!$D$38,IF(A527="",0,IF(A527&lt;Pricing!$C$25,Pricing!$D$25,VLOOKUP(Disbursements!$F527,Pricing!$B$29:$D$32,3))))</f>
        <v>25000</v>
      </c>
      <c r="M527" s="528">
        <f>IF(E527="STL",0,IF(F527&gt;0,Pricing!$D$21,0))</f>
        <v>5000</v>
      </c>
      <c r="N527" s="529">
        <f>IF(E527="STL",F527*Pricing!$D$40,IF(A527&lt;=Pricing!$C$4,0,IF(AND(A527&gt;Pricing!$C$4,Disbursements!A527&lt;=Pricing!$C$5),F527*Pricing!$E$5,IF(AND(A527&gt;Pricing!$C$5,Disbursements!A527&lt;=Pricing!$C$7),VLOOKUP(F527,Pricing!$D$7:$E$8,2)*Disbursements!F527,F527*Pricing!$E$9))))</f>
        <v>30000</v>
      </c>
      <c r="O527" s="528">
        <f>IF(E527="STL",0,IF($F527&gt;0,$F527*Pricing!$D$17,0))</f>
        <v>150000</v>
      </c>
      <c r="P527" s="530">
        <f t="shared" si="230"/>
        <v>487500</v>
      </c>
      <c r="Q527" s="531">
        <f>IF($A527="","",$G527/VLOOKUP($I527,Ref!$B$23:$D$29,2,0))</f>
        <v>5</v>
      </c>
      <c r="R527" s="530">
        <f t="shared" si="231"/>
        <v>1987500</v>
      </c>
      <c r="S527" s="532">
        <f t="shared" si="225"/>
        <v>397500</v>
      </c>
      <c r="T527" s="531">
        <f t="shared" si="232"/>
        <v>398000</v>
      </c>
      <c r="U527" s="533">
        <f t="shared" si="233"/>
        <v>1990000</v>
      </c>
      <c r="V527" s="531">
        <f t="shared" si="234"/>
        <v>300000</v>
      </c>
      <c r="W527" s="531">
        <f t="shared" si="235"/>
        <v>98000</v>
      </c>
      <c r="X527" s="534">
        <f t="shared" si="236"/>
        <v>490000</v>
      </c>
      <c r="Y527" s="535">
        <f>IF($A527="","",IF($I527="weekly",$A527+7,EDATE($A527,VLOOKUP($I527,Ref!$B$24:$C$29,2,0))))</f>
        <v>44718</v>
      </c>
      <c r="Z527" s="536" t="str">
        <f t="shared" si="237"/>
        <v>Mon</v>
      </c>
      <c r="AA527" s="531">
        <f t="shared" si="238"/>
        <v>31</v>
      </c>
      <c r="AB527" s="535">
        <f t="shared" si="226"/>
        <v>44840</v>
      </c>
      <c r="AC527" s="537">
        <f t="shared" si="227"/>
        <v>153</v>
      </c>
      <c r="AD527" s="538" t="str">
        <f t="shared" ca="1" si="228"/>
        <v>Expired</v>
      </c>
      <c r="AE527" s="537">
        <f t="shared" ca="1" si="229"/>
        <v>0</v>
      </c>
      <c r="AF527" s="539">
        <f t="shared" ca="1" si="239"/>
        <v>5</v>
      </c>
      <c r="AG527" s="531">
        <f t="shared" ca="1" si="240"/>
        <v>1990000</v>
      </c>
      <c r="AH527" s="531">
        <f t="shared" ca="1" si="241"/>
        <v>490000</v>
      </c>
      <c r="AI527" s="531">
        <f t="shared" ca="1" si="242"/>
        <v>1500000</v>
      </c>
      <c r="AJ527" s="531">
        <f t="shared" ca="1" si="243"/>
        <v>0</v>
      </c>
      <c r="AK527" s="540">
        <f>SUMIFS('Live Collections'!$S:$S,'Live Collections'!$D:$D,Disbursements!B527,'Live Collections'!$G:$G,Disbursements!C527)</f>
        <v>98000</v>
      </c>
      <c r="AL527" s="540">
        <f>SUMIFS('Live Collections'!$T:$T,'Live Collections'!$D:$D,Disbursements!B527,'Live Collections'!$G:$G,Disbursements!C527)</f>
        <v>102000</v>
      </c>
      <c r="AM527" s="541">
        <f t="shared" si="244"/>
        <v>200000</v>
      </c>
      <c r="AN527" s="542">
        <f t="shared" si="245"/>
        <v>392000</v>
      </c>
      <c r="AO527" s="542">
        <f t="shared" si="246"/>
        <v>1398000</v>
      </c>
      <c r="AP527" s="543">
        <f t="shared" si="247"/>
        <v>1790000</v>
      </c>
      <c r="AQ527" s="544">
        <f t="shared" ca="1" si="248"/>
        <v>1790000</v>
      </c>
      <c r="AR527" s="545">
        <f t="shared" ca="1" si="249"/>
        <v>4.4974874371859297</v>
      </c>
      <c r="AS527" s="545">
        <f ca="1">IFERROR(CEILING($AR527*VLOOKUP($I527,Ref!$B$23:$E$29,4,0),1),0)</f>
        <v>135</v>
      </c>
      <c r="AT527" s="545" t="str">
        <f ca="1">IF(A527="","",IF(AP527&lt;=1,"Cleared",IF(AS527=0,"Clean",VLOOKUP($AS527,Ref!$G$23:$H$28,2))))</f>
        <v>4.(91-365) Days</v>
      </c>
      <c r="AU527" s="546" t="str">
        <f t="shared" si="250"/>
        <v>Ok</v>
      </c>
    </row>
    <row r="528" spans="1:47" ht="14.25" customHeight="1" x14ac:dyDescent="0.15">
      <c r="A528" s="575">
        <v>44687</v>
      </c>
      <c r="B528" s="523">
        <v>361</v>
      </c>
      <c r="C528" s="523">
        <v>526</v>
      </c>
      <c r="D528" s="523">
        <v>1</v>
      </c>
      <c r="E528" s="579" t="s">
        <v>1274</v>
      </c>
      <c r="F528" s="580">
        <v>500000</v>
      </c>
      <c r="G528" s="524">
        <v>1</v>
      </c>
      <c r="H528" s="555">
        <v>6.5000000000000002E-2</v>
      </c>
      <c r="I528" s="560" t="s">
        <v>859</v>
      </c>
      <c r="J528" s="523" t="s">
        <v>864</v>
      </c>
      <c r="K528" s="528" t="str">
        <f>IFERROR(VLOOKUP($B528,'Clients-Live'!$A:$C,3,0),"")</f>
        <v>MUSA ZAKARIA</v>
      </c>
      <c r="L528" s="528">
        <f>IF(E528="STL",Pricing!$D$38,IF(A528="",0,IF(A528&lt;Pricing!$C$25,Pricing!$D$25,VLOOKUP(Disbursements!$F528,Pricing!$B$29:$D$32,3))))</f>
        <v>15000</v>
      </c>
      <c r="M528" s="528">
        <f>IF(E528="STL",0,IF(F528&gt;0,Pricing!$D$21,0))</f>
        <v>5000</v>
      </c>
      <c r="N528" s="529">
        <f>IF(E528="STL",F528*Pricing!$D$40,IF(A528&lt;=Pricing!$C$4,0,IF(AND(A528&gt;Pricing!$C$4,Disbursements!A528&lt;=Pricing!$C$5),F528*Pricing!$E$5,IF(AND(A528&gt;Pricing!$C$5,Disbursements!A528&lt;=Pricing!$C$7),VLOOKUP(F528,Pricing!$D$7:$E$8,2)*Disbursements!F528,F528*Pricing!$E$9))))</f>
        <v>10000</v>
      </c>
      <c r="O528" s="528">
        <f>IF(E528="STL",0,IF($F528&gt;0,$F528*Pricing!$D$17,0))</f>
        <v>50000</v>
      </c>
      <c r="P528" s="530">
        <f t="shared" si="230"/>
        <v>32500</v>
      </c>
      <c r="Q528" s="531">
        <f>IF($A528="","",$G528/VLOOKUP($I528,Ref!$B$23:$D$29,2,0))</f>
        <v>1</v>
      </c>
      <c r="R528" s="530">
        <f t="shared" si="231"/>
        <v>532500</v>
      </c>
      <c r="S528" s="532">
        <f t="shared" si="225"/>
        <v>532500</v>
      </c>
      <c r="T528" s="531">
        <f t="shared" si="232"/>
        <v>533000</v>
      </c>
      <c r="U528" s="533">
        <f t="shared" si="233"/>
        <v>533000</v>
      </c>
      <c r="V528" s="531">
        <f t="shared" si="234"/>
        <v>500000</v>
      </c>
      <c r="W528" s="531">
        <f t="shared" si="235"/>
        <v>33000</v>
      </c>
      <c r="X528" s="534">
        <f t="shared" si="236"/>
        <v>33000</v>
      </c>
      <c r="Y528" s="535">
        <f>IF($A528="","",IF($I528="weekly",$A528+7,EDATE($A528,VLOOKUP($I528,Ref!$B$24:$C$29,2,0))))</f>
        <v>44718</v>
      </c>
      <c r="Z528" s="536" t="str">
        <f t="shared" si="237"/>
        <v>Mon</v>
      </c>
      <c r="AA528" s="531">
        <f t="shared" si="238"/>
        <v>31</v>
      </c>
      <c r="AB528" s="535">
        <f t="shared" si="226"/>
        <v>44718</v>
      </c>
      <c r="AC528" s="537">
        <f t="shared" si="227"/>
        <v>31</v>
      </c>
      <c r="AD528" s="538" t="str">
        <f t="shared" ca="1" si="228"/>
        <v>Expired</v>
      </c>
      <c r="AE528" s="537">
        <f t="shared" ca="1" si="229"/>
        <v>0</v>
      </c>
      <c r="AF528" s="539">
        <f t="shared" ca="1" si="239"/>
        <v>1</v>
      </c>
      <c r="AG528" s="531">
        <f t="shared" ca="1" si="240"/>
        <v>533000</v>
      </c>
      <c r="AH528" s="531">
        <f t="shared" ca="1" si="241"/>
        <v>33000</v>
      </c>
      <c r="AI528" s="531">
        <f t="shared" ca="1" si="242"/>
        <v>500000</v>
      </c>
      <c r="AJ528" s="531">
        <f t="shared" ca="1" si="243"/>
        <v>0</v>
      </c>
      <c r="AK528" s="540">
        <f>SUMIFS('Live Collections'!$S:$S,'Live Collections'!$D:$D,Disbursements!B528,'Live Collections'!$G:$G,Disbursements!C528)</f>
        <v>0</v>
      </c>
      <c r="AL528" s="540">
        <f>SUMIFS('Live Collections'!$T:$T,'Live Collections'!$D:$D,Disbursements!B528,'Live Collections'!$G:$G,Disbursements!C528)</f>
        <v>0</v>
      </c>
      <c r="AM528" s="541">
        <f t="shared" si="244"/>
        <v>0</v>
      </c>
      <c r="AN528" s="542">
        <f t="shared" si="245"/>
        <v>33000</v>
      </c>
      <c r="AO528" s="542">
        <f t="shared" si="246"/>
        <v>500000</v>
      </c>
      <c r="AP528" s="543">
        <f t="shared" si="247"/>
        <v>533000</v>
      </c>
      <c r="AQ528" s="544">
        <f t="shared" ca="1" si="248"/>
        <v>533000</v>
      </c>
      <c r="AR528" s="545">
        <f t="shared" ca="1" si="249"/>
        <v>1</v>
      </c>
      <c r="AS528" s="545">
        <f ca="1">IFERROR(CEILING($AR528*VLOOKUP($I528,Ref!$B$23:$E$29,4,0),1),0)</f>
        <v>30</v>
      </c>
      <c r="AT528" s="545" t="str">
        <f ca="1">IF(A528="","",IF(AP528&lt;=1,"Cleared",IF(AS528=0,"Clean",VLOOKUP($AS528,Ref!$G$23:$H$28,2))))</f>
        <v>1.(0-30) Days</v>
      </c>
      <c r="AU528" s="546" t="str">
        <f t="shared" si="250"/>
        <v>Ok</v>
      </c>
    </row>
    <row r="529" spans="1:47" ht="14.25" customHeight="1" x14ac:dyDescent="0.15">
      <c r="A529" s="575">
        <v>44690</v>
      </c>
      <c r="B529" s="523">
        <v>362</v>
      </c>
      <c r="C529" s="523">
        <v>527</v>
      </c>
      <c r="D529" s="523">
        <v>1</v>
      </c>
      <c r="E529" s="579" t="s">
        <v>1277</v>
      </c>
      <c r="F529" s="580">
        <v>300000</v>
      </c>
      <c r="G529" s="524">
        <v>1</v>
      </c>
      <c r="H529" s="555">
        <v>7.4999999999999997E-2</v>
      </c>
      <c r="I529" s="560" t="s">
        <v>859</v>
      </c>
      <c r="J529" s="523" t="s">
        <v>862</v>
      </c>
      <c r="K529" s="528" t="str">
        <f>IFERROR(VLOOKUP($B529,'Clients-Live'!$A:$C,3,0),"")</f>
        <v>LUPAI DAVID</v>
      </c>
      <c r="L529" s="528">
        <f>IF(E529="STL",Pricing!$D$38,IF(A529="",0,IF(A529&lt;Pricing!$C$25,Pricing!$D$25,VLOOKUP(Disbursements!$F529,Pricing!$B$29:$D$32,3))))</f>
        <v>15000</v>
      </c>
      <c r="M529" s="528">
        <f>IF(E529="STL",0,IF(F529&gt;0,Pricing!$D$21,0))</f>
        <v>5000</v>
      </c>
      <c r="N529" s="529">
        <f>IF(E529="STL",F529*Pricing!$D$40,IF(A529&lt;=Pricing!$C$4,0,IF(AND(A529&gt;Pricing!$C$4,Disbursements!A529&lt;=Pricing!$C$5),F529*Pricing!$E$5,IF(AND(A529&gt;Pricing!$C$5,Disbursements!A529&lt;=Pricing!$C$7),VLOOKUP(F529,Pricing!$D$7:$E$8,2)*Disbursements!F529,F529*Pricing!$E$9))))</f>
        <v>6000</v>
      </c>
      <c r="O529" s="528">
        <f>IF(E529="STL",0,IF($F529&gt;0,$F529*Pricing!$D$17,0))</f>
        <v>30000</v>
      </c>
      <c r="P529" s="530">
        <f t="shared" si="230"/>
        <v>22500</v>
      </c>
      <c r="Q529" s="531">
        <f>IF($A529="","",$G529/VLOOKUP($I529,Ref!$B$23:$D$29,2,0))</f>
        <v>1</v>
      </c>
      <c r="R529" s="530">
        <f t="shared" si="231"/>
        <v>322500</v>
      </c>
      <c r="S529" s="532">
        <f t="shared" si="225"/>
        <v>322500</v>
      </c>
      <c r="T529" s="531">
        <f t="shared" si="232"/>
        <v>323000</v>
      </c>
      <c r="U529" s="533">
        <f t="shared" si="233"/>
        <v>323000</v>
      </c>
      <c r="V529" s="531">
        <f t="shared" si="234"/>
        <v>300000</v>
      </c>
      <c r="W529" s="531">
        <f t="shared" si="235"/>
        <v>23000</v>
      </c>
      <c r="X529" s="534">
        <f t="shared" si="236"/>
        <v>23000</v>
      </c>
      <c r="Y529" s="535">
        <f>IF($A529="","",IF($I529="weekly",$A529+7,EDATE($A529,VLOOKUP($I529,Ref!$B$24:$C$29,2,0))))</f>
        <v>44721</v>
      </c>
      <c r="Z529" s="536" t="str">
        <f t="shared" si="237"/>
        <v>Thu</v>
      </c>
      <c r="AA529" s="531">
        <f t="shared" si="238"/>
        <v>31</v>
      </c>
      <c r="AB529" s="535">
        <f t="shared" si="226"/>
        <v>44721</v>
      </c>
      <c r="AC529" s="537">
        <f t="shared" si="227"/>
        <v>31</v>
      </c>
      <c r="AD529" s="538" t="str">
        <f t="shared" ca="1" si="228"/>
        <v>Expired</v>
      </c>
      <c r="AE529" s="537">
        <f t="shared" ca="1" si="229"/>
        <v>0</v>
      </c>
      <c r="AF529" s="539">
        <f t="shared" ca="1" si="239"/>
        <v>1</v>
      </c>
      <c r="AG529" s="531">
        <f t="shared" ca="1" si="240"/>
        <v>323000</v>
      </c>
      <c r="AH529" s="531">
        <f t="shared" ca="1" si="241"/>
        <v>23000</v>
      </c>
      <c r="AI529" s="531">
        <f t="shared" ca="1" si="242"/>
        <v>300000</v>
      </c>
      <c r="AJ529" s="531">
        <f t="shared" ca="1" si="243"/>
        <v>0</v>
      </c>
      <c r="AK529" s="540">
        <f>SUMIFS('Live Collections'!$S:$S,'Live Collections'!$D:$D,Disbursements!B529,'Live Collections'!$G:$G,Disbursements!C529)</f>
        <v>23000</v>
      </c>
      <c r="AL529" s="540">
        <f>SUMIFS('Live Collections'!$T:$T,'Live Collections'!$D:$D,Disbursements!B529,'Live Collections'!$G:$G,Disbursements!C529)</f>
        <v>299500</v>
      </c>
      <c r="AM529" s="541">
        <f t="shared" si="244"/>
        <v>322500</v>
      </c>
      <c r="AN529" s="542">
        <f t="shared" si="245"/>
        <v>0</v>
      </c>
      <c r="AO529" s="542">
        <f t="shared" si="246"/>
        <v>500</v>
      </c>
      <c r="AP529" s="543">
        <f t="shared" si="247"/>
        <v>500</v>
      </c>
      <c r="AQ529" s="544">
        <f t="shared" ca="1" si="248"/>
        <v>500</v>
      </c>
      <c r="AR529" s="545">
        <f t="shared" ca="1" si="249"/>
        <v>1.5479876160990713E-3</v>
      </c>
      <c r="AS529" s="545">
        <f ca="1">IFERROR(CEILING($AR529*VLOOKUP($I529,Ref!$B$23:$E$29,4,0),1),0)</f>
        <v>1</v>
      </c>
      <c r="AT529" s="545" t="str">
        <f ca="1">IF(A529="","",IF(AP529&lt;=1,"Cleared",IF(AS529=0,"Clean",VLOOKUP($AS529,Ref!$G$23:$H$28,2))))</f>
        <v>1.(0-30) Days</v>
      </c>
      <c r="AU529" s="546" t="str">
        <f t="shared" si="250"/>
        <v>Ok</v>
      </c>
    </row>
    <row r="530" spans="1:47" ht="14.25" hidden="1" customHeight="1" x14ac:dyDescent="0.15">
      <c r="A530" s="575">
        <v>44691</v>
      </c>
      <c r="B530" s="523">
        <v>329</v>
      </c>
      <c r="C530" s="523">
        <v>528</v>
      </c>
      <c r="D530" s="523">
        <v>2</v>
      </c>
      <c r="E530" s="579" t="s">
        <v>1274</v>
      </c>
      <c r="F530" s="580">
        <v>1000000</v>
      </c>
      <c r="G530" s="524">
        <v>2</v>
      </c>
      <c r="H530" s="555">
        <v>6.5000000000000002E-2</v>
      </c>
      <c r="I530" s="560" t="s">
        <v>859</v>
      </c>
      <c r="J530" s="523" t="s">
        <v>864</v>
      </c>
      <c r="K530" s="528" t="str">
        <f>IFERROR(VLOOKUP($B530,'Clients-Live'!$A:$C,3,0),"")</f>
        <v>NSUBUGA DAVID</v>
      </c>
      <c r="L530" s="528">
        <f>IF(E530="STL",Pricing!$D$38,IF(A530="",0,IF(A530&lt;Pricing!$C$25,Pricing!$D$25,VLOOKUP(Disbursements!$F530,Pricing!$B$29:$D$32,3))))</f>
        <v>20000</v>
      </c>
      <c r="M530" s="528">
        <f>IF(E530="STL",0,IF(F530&gt;0,Pricing!$D$21,0))</f>
        <v>5000</v>
      </c>
      <c r="N530" s="529">
        <f>IF(E530="STL",F530*Pricing!$D$40,IF(A530&lt;=Pricing!$C$4,0,IF(AND(A530&gt;Pricing!$C$4,Disbursements!A530&lt;=Pricing!$C$5),F530*Pricing!$E$5,IF(AND(A530&gt;Pricing!$C$5,Disbursements!A530&lt;=Pricing!$C$7),VLOOKUP(F530,Pricing!$D$7:$E$8,2)*Disbursements!F530,F530*Pricing!$E$9))))</f>
        <v>20000</v>
      </c>
      <c r="O530" s="528">
        <f>IF(E530="STL",0,IF($F530&gt;0,$F530*Pricing!$D$17,0))</f>
        <v>100000</v>
      </c>
      <c r="P530" s="530">
        <f t="shared" si="230"/>
        <v>130000</v>
      </c>
      <c r="Q530" s="531">
        <f>IF($A530="","",$G530/VLOOKUP($I530,Ref!$B$23:$D$29,2,0))</f>
        <v>2</v>
      </c>
      <c r="R530" s="530">
        <f t="shared" si="231"/>
        <v>1130000</v>
      </c>
      <c r="S530" s="532">
        <f t="shared" si="225"/>
        <v>565000</v>
      </c>
      <c r="T530" s="531">
        <f t="shared" si="232"/>
        <v>565000</v>
      </c>
      <c r="U530" s="533">
        <f t="shared" si="233"/>
        <v>1130000</v>
      </c>
      <c r="V530" s="531">
        <f t="shared" si="234"/>
        <v>500000</v>
      </c>
      <c r="W530" s="531">
        <f t="shared" si="235"/>
        <v>65000</v>
      </c>
      <c r="X530" s="534">
        <f t="shared" si="236"/>
        <v>130000</v>
      </c>
      <c r="Y530" s="535">
        <f>IF($A530="","",IF($I530="weekly",$A530+7,EDATE($A530,VLOOKUP($I530,Ref!$B$24:$C$29,2,0))))</f>
        <v>44722</v>
      </c>
      <c r="Z530" s="536" t="str">
        <f t="shared" si="237"/>
        <v>Frid</v>
      </c>
      <c r="AA530" s="531">
        <f t="shared" si="238"/>
        <v>31</v>
      </c>
      <c r="AB530" s="535">
        <f t="shared" si="226"/>
        <v>44752</v>
      </c>
      <c r="AC530" s="537">
        <f t="shared" si="227"/>
        <v>61</v>
      </c>
      <c r="AD530" s="538" t="str">
        <f t="shared" ca="1" si="228"/>
        <v>Expired</v>
      </c>
      <c r="AE530" s="537">
        <f t="shared" ca="1" si="229"/>
        <v>0</v>
      </c>
      <c r="AF530" s="539">
        <f t="shared" ca="1" si="239"/>
        <v>2</v>
      </c>
      <c r="AG530" s="531">
        <f t="shared" ca="1" si="240"/>
        <v>1130000</v>
      </c>
      <c r="AH530" s="531">
        <f t="shared" ca="1" si="241"/>
        <v>130000</v>
      </c>
      <c r="AI530" s="531">
        <f t="shared" ca="1" si="242"/>
        <v>1000000</v>
      </c>
      <c r="AJ530" s="531">
        <f t="shared" ca="1" si="243"/>
        <v>0</v>
      </c>
      <c r="AK530" s="540">
        <f>SUMIFS('Live Collections'!$S:$S,'Live Collections'!$D:$D,Disbursements!B530,'Live Collections'!$G:$G,Disbursements!C530)</f>
        <v>0</v>
      </c>
      <c r="AL530" s="540">
        <f>SUMIFS('Live Collections'!$T:$T,'Live Collections'!$D:$D,Disbursements!B530,'Live Collections'!$G:$G,Disbursements!C530)</f>
        <v>0</v>
      </c>
      <c r="AM530" s="541">
        <f t="shared" si="244"/>
        <v>0</v>
      </c>
      <c r="AN530" s="542">
        <f t="shared" si="245"/>
        <v>130000</v>
      </c>
      <c r="AO530" s="542">
        <f t="shared" si="246"/>
        <v>1000000</v>
      </c>
      <c r="AP530" s="543">
        <f t="shared" si="247"/>
        <v>1130000</v>
      </c>
      <c r="AQ530" s="544">
        <f t="shared" ca="1" si="248"/>
        <v>1130000</v>
      </c>
      <c r="AR530" s="545">
        <f t="shared" ca="1" si="249"/>
        <v>2</v>
      </c>
      <c r="AS530" s="545">
        <f ca="1">IFERROR(CEILING($AR530*VLOOKUP($I530,Ref!$B$23:$E$29,4,0),1),0)</f>
        <v>60</v>
      </c>
      <c r="AT530" s="545" t="str">
        <f ca="1">IF(A530="","",IF(AP530&lt;=1,"Cleared",IF(AS530=0,"Clean",VLOOKUP($AS530,Ref!$G$23:$H$28,2))))</f>
        <v>2.(31-60) Days</v>
      </c>
      <c r="AU530" s="546" t="str">
        <f t="shared" si="250"/>
        <v>Ok</v>
      </c>
    </row>
    <row r="531" spans="1:47" ht="14.25" hidden="1" customHeight="1" x14ac:dyDescent="0.15">
      <c r="A531" s="575">
        <v>44691</v>
      </c>
      <c r="B531" s="523">
        <v>77</v>
      </c>
      <c r="C531" s="523">
        <v>529</v>
      </c>
      <c r="D531" s="523">
        <v>3</v>
      </c>
      <c r="E531" s="579" t="s">
        <v>1274</v>
      </c>
      <c r="F531" s="580">
        <v>2000000</v>
      </c>
      <c r="G531" s="524">
        <v>6</v>
      </c>
      <c r="H531" s="555">
        <v>6.5000000000000002E-2</v>
      </c>
      <c r="I531" s="560" t="s">
        <v>859</v>
      </c>
      <c r="J531" s="523" t="s">
        <v>864</v>
      </c>
      <c r="K531" s="528" t="str">
        <f>IFERROR(VLOOKUP($B531,'Clients-Live'!$A:$C,3,0),"")</f>
        <v>CACA FATUMA</v>
      </c>
      <c r="L531" s="528">
        <f>IF(E531="STL",Pricing!$D$38,IF(A531="",0,IF(A531&lt;Pricing!$C$25,Pricing!$D$25,VLOOKUP(Disbursements!$F531,Pricing!$B$29:$D$32,3))))</f>
        <v>25000</v>
      </c>
      <c r="M531" s="528">
        <f>IF(E531="STL",0,IF(F531&gt;0,Pricing!$D$21,0))</f>
        <v>5000</v>
      </c>
      <c r="N531" s="529">
        <f>IF(E531="STL",F531*Pricing!$D$40,IF(A531&lt;=Pricing!$C$4,0,IF(AND(A531&gt;Pricing!$C$4,Disbursements!A531&lt;=Pricing!$C$5),F531*Pricing!$E$5,IF(AND(A531&gt;Pricing!$C$5,Disbursements!A531&lt;=Pricing!$C$7),VLOOKUP(F531,Pricing!$D$7:$E$8,2)*Disbursements!F531,F531*Pricing!$E$9))))</f>
        <v>40000</v>
      </c>
      <c r="O531" s="528">
        <f>IF(E531="STL",0,IF($F531&gt;0,$F531*Pricing!$D$17,0))</f>
        <v>200000</v>
      </c>
      <c r="P531" s="530">
        <f t="shared" si="230"/>
        <v>780000</v>
      </c>
      <c r="Q531" s="531">
        <f>IF($A531="","",$G531/VLOOKUP($I531,Ref!$B$23:$D$29,2,0))</f>
        <v>6</v>
      </c>
      <c r="R531" s="530">
        <f t="shared" si="231"/>
        <v>2780000</v>
      </c>
      <c r="S531" s="532">
        <f t="shared" si="225"/>
        <v>463333.33333333331</v>
      </c>
      <c r="T531" s="531">
        <f t="shared" si="232"/>
        <v>464000</v>
      </c>
      <c r="U531" s="533">
        <f t="shared" si="233"/>
        <v>2784000</v>
      </c>
      <c r="V531" s="531">
        <f t="shared" si="234"/>
        <v>333333.33333333331</v>
      </c>
      <c r="W531" s="531">
        <f t="shared" si="235"/>
        <v>130666.66666666669</v>
      </c>
      <c r="X531" s="534">
        <f t="shared" si="236"/>
        <v>784000.00000000012</v>
      </c>
      <c r="Y531" s="535">
        <f>IF($A531="","",IF($I531="weekly",$A531+7,EDATE($A531,VLOOKUP($I531,Ref!$B$24:$C$29,2,0))))</f>
        <v>44722</v>
      </c>
      <c r="Z531" s="536" t="str">
        <f t="shared" si="237"/>
        <v>Frid</v>
      </c>
      <c r="AA531" s="531">
        <f t="shared" si="238"/>
        <v>31</v>
      </c>
      <c r="AB531" s="535">
        <f t="shared" si="226"/>
        <v>44875</v>
      </c>
      <c r="AC531" s="537">
        <f t="shared" si="227"/>
        <v>184</v>
      </c>
      <c r="AD531" s="538" t="str">
        <f t="shared" ca="1" si="228"/>
        <v>Expired</v>
      </c>
      <c r="AE531" s="537">
        <f t="shared" ca="1" si="229"/>
        <v>0</v>
      </c>
      <c r="AF531" s="539">
        <f t="shared" ca="1" si="239"/>
        <v>6</v>
      </c>
      <c r="AG531" s="531">
        <f t="shared" ca="1" si="240"/>
        <v>2784000</v>
      </c>
      <c r="AH531" s="531">
        <f t="shared" ca="1" si="241"/>
        <v>784000.00000000012</v>
      </c>
      <c r="AI531" s="531">
        <f t="shared" ca="1" si="242"/>
        <v>2000000</v>
      </c>
      <c r="AJ531" s="531">
        <f t="shared" ca="1" si="243"/>
        <v>0</v>
      </c>
      <c r="AK531" s="540">
        <f>SUMIFS('Live Collections'!$S:$S,'Live Collections'!$D:$D,Disbursements!B531,'Live Collections'!$G:$G,Disbursements!C531)</f>
        <v>0</v>
      </c>
      <c r="AL531" s="540">
        <f>SUMIFS('Live Collections'!$T:$T,'Live Collections'!$D:$D,Disbursements!B531,'Live Collections'!$G:$G,Disbursements!C531)</f>
        <v>0</v>
      </c>
      <c r="AM531" s="541">
        <f t="shared" si="244"/>
        <v>0</v>
      </c>
      <c r="AN531" s="542">
        <f t="shared" si="245"/>
        <v>784000.00000000012</v>
      </c>
      <c r="AO531" s="542">
        <f t="shared" si="246"/>
        <v>2000000</v>
      </c>
      <c r="AP531" s="543">
        <f t="shared" si="247"/>
        <v>2784000</v>
      </c>
      <c r="AQ531" s="544">
        <f t="shared" ca="1" si="248"/>
        <v>2784000</v>
      </c>
      <c r="AR531" s="545">
        <f t="shared" ca="1" si="249"/>
        <v>6</v>
      </c>
      <c r="AS531" s="545">
        <f ca="1">IFERROR(CEILING($AR531*VLOOKUP($I531,Ref!$B$23:$E$29,4,0),1),0)</f>
        <v>180</v>
      </c>
      <c r="AT531" s="545" t="str">
        <f ca="1">IF(A531="","",IF(AP531&lt;=1,"Cleared",IF(AS531=0,"Clean",VLOOKUP($AS531,Ref!$G$23:$H$28,2))))</f>
        <v>4.(91-365) Days</v>
      </c>
      <c r="AU531" s="546" t="str">
        <f t="shared" si="250"/>
        <v>Ok</v>
      </c>
    </row>
    <row r="532" spans="1:47" ht="14.25" hidden="1" customHeight="1" x14ac:dyDescent="0.15">
      <c r="A532" s="575">
        <v>44691</v>
      </c>
      <c r="B532" s="523">
        <v>11</v>
      </c>
      <c r="C532" s="523">
        <v>530</v>
      </c>
      <c r="D532" s="523">
        <v>3</v>
      </c>
      <c r="E532" s="579" t="s">
        <v>1274</v>
      </c>
      <c r="F532" s="580">
        <v>400000</v>
      </c>
      <c r="G532" s="524">
        <v>3</v>
      </c>
      <c r="H532" s="555">
        <v>6.5000000000000002E-2</v>
      </c>
      <c r="I532" s="560" t="s">
        <v>859</v>
      </c>
      <c r="J532" s="523" t="s">
        <v>862</v>
      </c>
      <c r="K532" s="528" t="str">
        <f>IFERROR(VLOOKUP($B532,'Clients-Live'!$A:$C,3,0),"")</f>
        <v>ARIME JUMA</v>
      </c>
      <c r="L532" s="528">
        <f>IF(E532="STL",Pricing!$D$38,IF(A532="",0,IF(A532&lt;Pricing!$C$25,Pricing!$D$25,VLOOKUP(Disbursements!$F532,Pricing!$B$29:$D$32,3))))</f>
        <v>15000</v>
      </c>
      <c r="M532" s="528">
        <f>IF(E532="STL",0,IF(F532&gt;0,Pricing!$D$21,0))</f>
        <v>5000</v>
      </c>
      <c r="N532" s="529">
        <f>IF(E532="STL",F532*Pricing!$D$40,IF(A532&lt;=Pricing!$C$4,0,IF(AND(A532&gt;Pricing!$C$4,Disbursements!A532&lt;=Pricing!$C$5),F532*Pricing!$E$5,IF(AND(A532&gt;Pricing!$C$5,Disbursements!A532&lt;=Pricing!$C$7),VLOOKUP(F532,Pricing!$D$7:$E$8,2)*Disbursements!F532,F532*Pricing!$E$9))))</f>
        <v>8000</v>
      </c>
      <c r="O532" s="528">
        <f>IF(E532="STL",0,IF($F532&gt;0,$F532*Pricing!$D$17,0))</f>
        <v>40000</v>
      </c>
      <c r="P532" s="530">
        <f t="shared" si="230"/>
        <v>78000</v>
      </c>
      <c r="Q532" s="531">
        <f>IF($A532="","",$G532/VLOOKUP($I532,Ref!$B$23:$D$29,2,0))</f>
        <v>3</v>
      </c>
      <c r="R532" s="530">
        <f t="shared" si="231"/>
        <v>478000</v>
      </c>
      <c r="S532" s="532">
        <f t="shared" si="225"/>
        <v>159333.33333333334</v>
      </c>
      <c r="T532" s="531">
        <f t="shared" si="232"/>
        <v>160000</v>
      </c>
      <c r="U532" s="533">
        <f t="shared" si="233"/>
        <v>480000</v>
      </c>
      <c r="V532" s="531">
        <f t="shared" si="234"/>
        <v>133333.33333333334</v>
      </c>
      <c r="W532" s="531">
        <f t="shared" si="235"/>
        <v>26666.666666666657</v>
      </c>
      <c r="X532" s="534">
        <f t="shared" si="236"/>
        <v>79999.999999999971</v>
      </c>
      <c r="Y532" s="535">
        <f>IF($A532="","",IF($I532="weekly",$A532+7,EDATE($A532,VLOOKUP($I532,Ref!$B$24:$C$29,2,0))))</f>
        <v>44722</v>
      </c>
      <c r="Z532" s="536" t="str">
        <f t="shared" si="237"/>
        <v>Frid</v>
      </c>
      <c r="AA532" s="531">
        <f t="shared" si="238"/>
        <v>31</v>
      </c>
      <c r="AB532" s="535">
        <f t="shared" si="226"/>
        <v>44783</v>
      </c>
      <c r="AC532" s="537">
        <f t="shared" si="227"/>
        <v>92</v>
      </c>
      <c r="AD532" s="538" t="str">
        <f t="shared" ca="1" si="228"/>
        <v>Expired</v>
      </c>
      <c r="AE532" s="537">
        <f t="shared" ca="1" si="229"/>
        <v>0</v>
      </c>
      <c r="AF532" s="539">
        <f t="shared" ca="1" si="239"/>
        <v>3</v>
      </c>
      <c r="AG532" s="531">
        <f t="shared" ca="1" si="240"/>
        <v>480000</v>
      </c>
      <c r="AH532" s="531">
        <f t="shared" ca="1" si="241"/>
        <v>79999.999999999971</v>
      </c>
      <c r="AI532" s="531">
        <f t="shared" ca="1" si="242"/>
        <v>400000</v>
      </c>
      <c r="AJ532" s="531">
        <f t="shared" ca="1" si="243"/>
        <v>0</v>
      </c>
      <c r="AK532" s="540">
        <f>SUMIFS('Live Collections'!$S:$S,'Live Collections'!$D:$D,Disbursements!B532,'Live Collections'!$G:$G,Disbursements!C532)</f>
        <v>0</v>
      </c>
      <c r="AL532" s="540">
        <f>SUMIFS('Live Collections'!$T:$T,'Live Collections'!$D:$D,Disbursements!B532,'Live Collections'!$G:$G,Disbursements!C532)</f>
        <v>0</v>
      </c>
      <c r="AM532" s="541">
        <f t="shared" si="244"/>
        <v>0</v>
      </c>
      <c r="AN532" s="542">
        <f t="shared" si="245"/>
        <v>79999.999999999971</v>
      </c>
      <c r="AO532" s="542">
        <f t="shared" si="246"/>
        <v>400000</v>
      </c>
      <c r="AP532" s="543">
        <f t="shared" si="247"/>
        <v>480000</v>
      </c>
      <c r="AQ532" s="544">
        <f t="shared" ca="1" si="248"/>
        <v>480000</v>
      </c>
      <c r="AR532" s="545">
        <f t="shared" ca="1" si="249"/>
        <v>3</v>
      </c>
      <c r="AS532" s="545">
        <f ca="1">IFERROR(CEILING($AR532*VLOOKUP($I532,Ref!$B$23:$E$29,4,0),1),0)</f>
        <v>90</v>
      </c>
      <c r="AT532" s="545" t="str">
        <f ca="1">IF(A532="","",IF(AP532&lt;=1,"Cleared",IF(AS532=0,"Clean",VLOOKUP($AS532,Ref!$G$23:$H$28,2))))</f>
        <v>3.(61-90) Days</v>
      </c>
      <c r="AU532" s="546" t="str">
        <f t="shared" si="250"/>
        <v>Ok</v>
      </c>
    </row>
    <row r="533" spans="1:47" ht="14.25" hidden="1" customHeight="1" x14ac:dyDescent="0.15">
      <c r="A533" s="575">
        <v>44691</v>
      </c>
      <c r="B533" s="523">
        <v>354</v>
      </c>
      <c r="C533" s="523">
        <v>531</v>
      </c>
      <c r="D533" s="523">
        <v>1</v>
      </c>
      <c r="E533" s="579" t="s">
        <v>1274</v>
      </c>
      <c r="F533" s="580">
        <v>200000</v>
      </c>
      <c r="G533" s="524">
        <v>3</v>
      </c>
      <c r="H533" s="555">
        <v>6.5000000000000002E-2</v>
      </c>
      <c r="I533" s="560" t="s">
        <v>859</v>
      </c>
      <c r="J533" s="523" t="s">
        <v>862</v>
      </c>
      <c r="K533" s="528" t="str">
        <f>IFERROR(VLOOKUP($B533,'Clients-Live'!$A:$C,3,0),"")</f>
        <v>EYOTARU DORCUS</v>
      </c>
      <c r="L533" s="528">
        <f>IF(E533="STL",Pricing!$D$38,IF(A533="",0,IF(A533&lt;Pricing!$C$25,Pricing!$D$25,VLOOKUP(Disbursements!$F533,Pricing!$B$29:$D$32,3))))</f>
        <v>15000</v>
      </c>
      <c r="M533" s="528">
        <f>IF(E533="STL",0,IF(F533&gt;0,Pricing!$D$21,0))</f>
        <v>5000</v>
      </c>
      <c r="N533" s="529">
        <f>IF(E533="STL",F533*Pricing!$D$40,IF(A533&lt;=Pricing!$C$4,0,IF(AND(A533&gt;Pricing!$C$4,Disbursements!A533&lt;=Pricing!$C$5),F533*Pricing!$E$5,IF(AND(A533&gt;Pricing!$C$5,Disbursements!A533&lt;=Pricing!$C$7),VLOOKUP(F533,Pricing!$D$7:$E$8,2)*Disbursements!F533,F533*Pricing!$E$9))))</f>
        <v>4000</v>
      </c>
      <c r="O533" s="528">
        <f>IF(E533="STL",0,IF($F533&gt;0,$F533*Pricing!$D$17,0))</f>
        <v>20000</v>
      </c>
      <c r="P533" s="530">
        <f t="shared" si="230"/>
        <v>39000</v>
      </c>
      <c r="Q533" s="531">
        <f>IF($A533="","",$G533/VLOOKUP($I533,Ref!$B$23:$D$29,2,0))</f>
        <v>3</v>
      </c>
      <c r="R533" s="530">
        <f t="shared" si="231"/>
        <v>239000</v>
      </c>
      <c r="S533" s="532">
        <f t="shared" si="225"/>
        <v>79666.666666666672</v>
      </c>
      <c r="T533" s="531">
        <f t="shared" si="232"/>
        <v>80000</v>
      </c>
      <c r="U533" s="533">
        <f t="shared" si="233"/>
        <v>240000</v>
      </c>
      <c r="V533" s="531">
        <f t="shared" si="234"/>
        <v>66666.666666666672</v>
      </c>
      <c r="W533" s="531">
        <f t="shared" si="235"/>
        <v>13333.333333333328</v>
      </c>
      <c r="X533" s="534">
        <f t="shared" si="236"/>
        <v>39999.999999999985</v>
      </c>
      <c r="Y533" s="535">
        <f>IF($A533="","",IF($I533="weekly",$A533+7,EDATE($A533,VLOOKUP($I533,Ref!$B$24:$C$29,2,0))))</f>
        <v>44722</v>
      </c>
      <c r="Z533" s="536" t="str">
        <f t="shared" si="237"/>
        <v>Frid</v>
      </c>
      <c r="AA533" s="531">
        <f t="shared" si="238"/>
        <v>31</v>
      </c>
      <c r="AB533" s="535">
        <f t="shared" si="226"/>
        <v>44783</v>
      </c>
      <c r="AC533" s="537">
        <f t="shared" si="227"/>
        <v>92</v>
      </c>
      <c r="AD533" s="538" t="str">
        <f t="shared" ca="1" si="228"/>
        <v>Expired</v>
      </c>
      <c r="AE533" s="537">
        <f t="shared" ca="1" si="229"/>
        <v>0</v>
      </c>
      <c r="AF533" s="539">
        <f t="shared" ca="1" si="239"/>
        <v>3</v>
      </c>
      <c r="AG533" s="531">
        <f t="shared" ca="1" si="240"/>
        <v>240000</v>
      </c>
      <c r="AH533" s="531">
        <f t="shared" ca="1" si="241"/>
        <v>39999.999999999985</v>
      </c>
      <c r="AI533" s="531">
        <f t="shared" ca="1" si="242"/>
        <v>200000</v>
      </c>
      <c r="AJ533" s="531">
        <f t="shared" ca="1" si="243"/>
        <v>0</v>
      </c>
      <c r="AK533" s="540">
        <f>SUMIFS('Live Collections'!$S:$S,'Live Collections'!$D:$D,Disbursements!B533,'Live Collections'!$G:$G,Disbursements!C533)</f>
        <v>26666.666666666657</v>
      </c>
      <c r="AL533" s="540">
        <f>SUMIFS('Live Collections'!$T:$T,'Live Collections'!$D:$D,Disbursements!B533,'Live Collections'!$G:$G,Disbursements!C533)</f>
        <v>13333.333333333343</v>
      </c>
      <c r="AM533" s="541">
        <f t="shared" si="244"/>
        <v>40000</v>
      </c>
      <c r="AN533" s="542">
        <f t="shared" si="245"/>
        <v>13333.333333333328</v>
      </c>
      <c r="AO533" s="542">
        <f t="shared" si="246"/>
        <v>186666.66666666666</v>
      </c>
      <c r="AP533" s="543">
        <f t="shared" si="247"/>
        <v>200000</v>
      </c>
      <c r="AQ533" s="544">
        <f t="shared" ca="1" si="248"/>
        <v>200000</v>
      </c>
      <c r="AR533" s="545">
        <f t="shared" ca="1" si="249"/>
        <v>2.5</v>
      </c>
      <c r="AS533" s="545">
        <f ca="1">IFERROR(CEILING($AR533*VLOOKUP($I533,Ref!$B$23:$E$29,4,0),1),0)</f>
        <v>75</v>
      </c>
      <c r="AT533" s="545" t="str">
        <f ca="1">IF(A533="","",IF(AP533&lt;=1,"Cleared",IF(AS533=0,"Clean",VLOOKUP($AS533,Ref!$G$23:$H$28,2))))</f>
        <v>3.(61-90) Days</v>
      </c>
      <c r="AU533" s="546" t="str">
        <f t="shared" si="250"/>
        <v>Ok</v>
      </c>
    </row>
    <row r="534" spans="1:47" ht="14.25" hidden="1" customHeight="1" x14ac:dyDescent="0.15">
      <c r="A534" s="575">
        <v>44700</v>
      </c>
      <c r="B534" s="523">
        <v>97</v>
      </c>
      <c r="C534" s="523">
        <v>532</v>
      </c>
      <c r="D534" s="523">
        <v>7</v>
      </c>
      <c r="E534" s="579" t="s">
        <v>1274</v>
      </c>
      <c r="F534" s="580">
        <v>4500000</v>
      </c>
      <c r="G534" s="524">
        <v>1</v>
      </c>
      <c r="H534" s="555">
        <v>6.5000000000000002E-2</v>
      </c>
      <c r="I534" s="560" t="s">
        <v>859</v>
      </c>
      <c r="J534" s="523" t="s">
        <v>862</v>
      </c>
      <c r="K534" s="528" t="str">
        <f>IFERROR(VLOOKUP($B534,'Clients-Live'!$A:$C,3,0),"")</f>
        <v>DRANDUA JOB CHRISPUS</v>
      </c>
      <c r="L534" s="528">
        <f>IF(E534="STL",Pricing!$D$38,IF(A534="",0,IF(A534&lt;Pricing!$C$25,Pricing!$D$25,VLOOKUP(Disbursements!$F534,Pricing!$B$29:$D$32,3))))</f>
        <v>30000</v>
      </c>
      <c r="M534" s="528">
        <f>IF(E534="STL",0,IF(F534&gt;0,Pricing!$D$21,0))</f>
        <v>5000</v>
      </c>
      <c r="N534" s="529">
        <f>IF(E534="STL",F534*Pricing!$D$40,IF(A534&lt;=Pricing!$C$4,0,IF(AND(A534&gt;Pricing!$C$4,Disbursements!A534&lt;=Pricing!$C$5),F534*Pricing!$E$5,IF(AND(A534&gt;Pricing!$C$5,Disbursements!A534&lt;=Pricing!$C$7),VLOOKUP(F534,Pricing!$D$7:$E$8,2)*Disbursements!F534,F534*Pricing!$E$9))))</f>
        <v>90000</v>
      </c>
      <c r="O534" s="528">
        <f>IF(E534="STL",0,IF($F534&gt;0,$F534*Pricing!$D$17,0))</f>
        <v>450000</v>
      </c>
      <c r="P534" s="530">
        <f t="shared" si="230"/>
        <v>292500</v>
      </c>
      <c r="Q534" s="531">
        <f>IF($A534="","",$G534/VLOOKUP($I534,Ref!$B$23:$D$29,2,0))</f>
        <v>1</v>
      </c>
      <c r="R534" s="530">
        <f t="shared" si="231"/>
        <v>4792500</v>
      </c>
      <c r="S534" s="532">
        <f t="shared" si="225"/>
        <v>4792500</v>
      </c>
      <c r="T534" s="531">
        <f t="shared" si="232"/>
        <v>4793000</v>
      </c>
      <c r="U534" s="533">
        <f t="shared" si="233"/>
        <v>4793000</v>
      </c>
      <c r="V534" s="531">
        <f t="shared" si="234"/>
        <v>4500000</v>
      </c>
      <c r="W534" s="531">
        <f t="shared" si="235"/>
        <v>293000</v>
      </c>
      <c r="X534" s="534">
        <f t="shared" si="236"/>
        <v>293000</v>
      </c>
      <c r="Y534" s="535">
        <f>IF($A534="","",IF($I534="weekly",$A534+7,EDATE($A534,VLOOKUP($I534,Ref!$B$24:$C$29,2,0))))</f>
        <v>44731</v>
      </c>
      <c r="Z534" s="536" t="str">
        <f t="shared" si="237"/>
        <v>Sun</v>
      </c>
      <c r="AA534" s="531">
        <f t="shared" si="238"/>
        <v>31</v>
      </c>
      <c r="AB534" s="535">
        <f t="shared" si="226"/>
        <v>44731</v>
      </c>
      <c r="AC534" s="537">
        <f t="shared" si="227"/>
        <v>31</v>
      </c>
      <c r="AD534" s="538" t="str">
        <f t="shared" ca="1" si="228"/>
        <v>Expired</v>
      </c>
      <c r="AE534" s="537">
        <f t="shared" ca="1" si="229"/>
        <v>0</v>
      </c>
      <c r="AF534" s="539">
        <f t="shared" ca="1" si="239"/>
        <v>1</v>
      </c>
      <c r="AG534" s="531">
        <f t="shared" ca="1" si="240"/>
        <v>4793000</v>
      </c>
      <c r="AH534" s="531">
        <f t="shared" ca="1" si="241"/>
        <v>293000</v>
      </c>
      <c r="AI534" s="531">
        <f t="shared" ca="1" si="242"/>
        <v>4500000</v>
      </c>
      <c r="AJ534" s="531">
        <f t="shared" ca="1" si="243"/>
        <v>0</v>
      </c>
      <c r="AK534" s="540">
        <f>SUMIFS('Live Collections'!$S:$S,'Live Collections'!$D:$D,Disbursements!B534,'Live Collections'!$G:$G,Disbursements!C534)</f>
        <v>0</v>
      </c>
      <c r="AL534" s="540">
        <f>SUMIFS('Live Collections'!$T:$T,'Live Collections'!$D:$D,Disbursements!B534,'Live Collections'!$G:$G,Disbursements!C534)</f>
        <v>0</v>
      </c>
      <c r="AM534" s="541">
        <f t="shared" si="244"/>
        <v>0</v>
      </c>
      <c r="AN534" s="542">
        <f t="shared" si="245"/>
        <v>293000</v>
      </c>
      <c r="AO534" s="542">
        <f t="shared" si="246"/>
        <v>4500000</v>
      </c>
      <c r="AP534" s="543">
        <f t="shared" si="247"/>
        <v>4793000</v>
      </c>
      <c r="AQ534" s="544">
        <f t="shared" ca="1" si="248"/>
        <v>4793000</v>
      </c>
      <c r="AR534" s="545">
        <f t="shared" ca="1" si="249"/>
        <v>1</v>
      </c>
      <c r="AS534" s="545">
        <f ca="1">IFERROR(CEILING($AR534*VLOOKUP($I534,Ref!$B$23:$E$29,4,0),1),0)</f>
        <v>30</v>
      </c>
      <c r="AT534" s="545" t="str">
        <f ca="1">IF(A534="","",IF(AP534&lt;=1,"Cleared",IF(AS534=0,"Clean",VLOOKUP($AS534,Ref!$G$23:$H$28,2))))</f>
        <v>1.(0-30) Days</v>
      </c>
      <c r="AU534" s="546" t="str">
        <f t="shared" si="250"/>
        <v>Ok</v>
      </c>
    </row>
    <row r="535" spans="1:47" ht="14.25" hidden="1" customHeight="1" x14ac:dyDescent="0.15">
      <c r="A535" s="575">
        <v>44700</v>
      </c>
      <c r="B535" s="523">
        <v>304</v>
      </c>
      <c r="C535" s="523">
        <v>533</v>
      </c>
      <c r="D535" s="523">
        <v>2</v>
      </c>
      <c r="E535" s="579" t="s">
        <v>1274</v>
      </c>
      <c r="F535" s="580">
        <v>500000</v>
      </c>
      <c r="G535" s="524">
        <v>5</v>
      </c>
      <c r="H535" s="555">
        <v>6.5000000000000002E-2</v>
      </c>
      <c r="I535" s="560" t="s">
        <v>859</v>
      </c>
      <c r="J535" s="523" t="s">
        <v>864</v>
      </c>
      <c r="K535" s="528" t="str">
        <f>IFERROR(VLOOKUP($B535,'Clients-Live'!$A:$C,3,0),"")</f>
        <v>ATAKO GLORIA</v>
      </c>
      <c r="L535" s="528">
        <f>IF(E535="STL",Pricing!$D$38,IF(A535="",0,IF(A535&lt;Pricing!$C$25,Pricing!$D$25,VLOOKUP(Disbursements!$F535,Pricing!$B$29:$D$32,3))))</f>
        <v>15000</v>
      </c>
      <c r="M535" s="528">
        <f>IF(E535="STL",0,IF(F535&gt;0,Pricing!$D$21,0))</f>
        <v>5000</v>
      </c>
      <c r="N535" s="529">
        <f>IF(E535="STL",F535*Pricing!$D$40,IF(A535&lt;=Pricing!$C$4,0,IF(AND(A535&gt;Pricing!$C$4,Disbursements!A535&lt;=Pricing!$C$5),F535*Pricing!$E$5,IF(AND(A535&gt;Pricing!$C$5,Disbursements!A535&lt;=Pricing!$C$7),VLOOKUP(F535,Pricing!$D$7:$E$8,2)*Disbursements!F535,F535*Pricing!$E$9))))</f>
        <v>10000</v>
      </c>
      <c r="O535" s="528">
        <f>IF(E535="STL",0,IF($F535&gt;0,$F535*Pricing!$D$17,0))</f>
        <v>50000</v>
      </c>
      <c r="P535" s="530">
        <f t="shared" si="230"/>
        <v>162500</v>
      </c>
      <c r="Q535" s="531">
        <f>IF($A535="","",$G535/VLOOKUP($I535,Ref!$B$23:$D$29,2,0))</f>
        <v>5</v>
      </c>
      <c r="R535" s="530">
        <f t="shared" si="231"/>
        <v>662500</v>
      </c>
      <c r="S535" s="532">
        <f t="shared" si="225"/>
        <v>132500</v>
      </c>
      <c r="T535" s="531">
        <f t="shared" si="232"/>
        <v>133000</v>
      </c>
      <c r="U535" s="533">
        <f t="shared" si="233"/>
        <v>665000</v>
      </c>
      <c r="V535" s="531">
        <f t="shared" si="234"/>
        <v>100000</v>
      </c>
      <c r="W535" s="531">
        <f t="shared" si="235"/>
        <v>33000</v>
      </c>
      <c r="X535" s="534">
        <f t="shared" si="236"/>
        <v>165000</v>
      </c>
      <c r="Y535" s="535">
        <f>IF($A535="","",IF($I535="weekly",$A535+7,EDATE($A535,VLOOKUP($I535,Ref!$B$24:$C$29,2,0))))</f>
        <v>44731</v>
      </c>
      <c r="Z535" s="536" t="str">
        <f t="shared" si="237"/>
        <v>Sun</v>
      </c>
      <c r="AA535" s="531">
        <f t="shared" si="238"/>
        <v>31</v>
      </c>
      <c r="AB535" s="535">
        <f t="shared" si="226"/>
        <v>44853</v>
      </c>
      <c r="AC535" s="537">
        <f t="shared" si="227"/>
        <v>153</v>
      </c>
      <c r="AD535" s="538" t="str">
        <f t="shared" ca="1" si="228"/>
        <v>Expired</v>
      </c>
      <c r="AE535" s="537">
        <f t="shared" ca="1" si="229"/>
        <v>0</v>
      </c>
      <c r="AF535" s="539">
        <f t="shared" ca="1" si="239"/>
        <v>5</v>
      </c>
      <c r="AG535" s="531">
        <f t="shared" ca="1" si="240"/>
        <v>665000</v>
      </c>
      <c r="AH535" s="531">
        <f t="shared" ca="1" si="241"/>
        <v>165000</v>
      </c>
      <c r="AI535" s="531">
        <f t="shared" ca="1" si="242"/>
        <v>500000</v>
      </c>
      <c r="AJ535" s="531">
        <f t="shared" ca="1" si="243"/>
        <v>0</v>
      </c>
      <c r="AK535" s="540">
        <f>SUMIFS('Live Collections'!$S:$S,'Live Collections'!$D:$D,Disbursements!B535,'Live Collections'!$G:$G,Disbursements!C535)</f>
        <v>0</v>
      </c>
      <c r="AL535" s="540">
        <f>SUMIFS('Live Collections'!$T:$T,'Live Collections'!$D:$D,Disbursements!B535,'Live Collections'!$G:$G,Disbursements!C535)</f>
        <v>0</v>
      </c>
      <c r="AM535" s="541">
        <f t="shared" si="244"/>
        <v>0</v>
      </c>
      <c r="AN535" s="542">
        <f t="shared" si="245"/>
        <v>165000</v>
      </c>
      <c r="AO535" s="542">
        <f t="shared" si="246"/>
        <v>500000</v>
      </c>
      <c r="AP535" s="543">
        <f t="shared" si="247"/>
        <v>665000</v>
      </c>
      <c r="AQ535" s="544">
        <f t="shared" ca="1" si="248"/>
        <v>665000</v>
      </c>
      <c r="AR535" s="545">
        <f t="shared" ca="1" si="249"/>
        <v>5</v>
      </c>
      <c r="AS535" s="545">
        <f ca="1">IFERROR(CEILING($AR535*VLOOKUP($I535,Ref!$B$23:$E$29,4,0),1),0)</f>
        <v>150</v>
      </c>
      <c r="AT535" s="545" t="str">
        <f ca="1">IF(A535="","",IF(AP535&lt;=1,"Cleared",IF(AS535=0,"Clean",VLOOKUP($AS535,Ref!$G$23:$H$28,2))))</f>
        <v>4.(91-365) Days</v>
      </c>
      <c r="AU535" s="546" t="str">
        <f t="shared" si="250"/>
        <v>Ok</v>
      </c>
    </row>
    <row r="536" spans="1:47" ht="14.25" hidden="1" customHeight="1" x14ac:dyDescent="0.15">
      <c r="A536" s="575">
        <v>44700</v>
      </c>
      <c r="B536" s="523">
        <v>142</v>
      </c>
      <c r="C536" s="523">
        <v>534</v>
      </c>
      <c r="D536" s="523">
        <v>3</v>
      </c>
      <c r="E536" s="579" t="s">
        <v>1274</v>
      </c>
      <c r="F536" s="580">
        <v>1500000</v>
      </c>
      <c r="G536" s="524">
        <v>6</v>
      </c>
      <c r="H536" s="555">
        <v>6.5000000000000002E-2</v>
      </c>
      <c r="I536" s="560" t="s">
        <v>859</v>
      </c>
      <c r="J536" s="523" t="s">
        <v>864</v>
      </c>
      <c r="K536" s="528" t="str">
        <f>IFERROR(VLOOKUP($B536,'Clients-Live'!$A:$C,3,0),"")</f>
        <v>TABU MARY</v>
      </c>
      <c r="L536" s="528">
        <f>IF(E536="STL",Pricing!$D$38,IF(A536="",0,IF(A536&lt;Pricing!$C$25,Pricing!$D$25,VLOOKUP(Disbursements!$F536,Pricing!$B$29:$D$32,3))))</f>
        <v>25000</v>
      </c>
      <c r="M536" s="528">
        <f>IF(E536="STL",0,IF(F536&gt;0,Pricing!$D$21,0))</f>
        <v>5000</v>
      </c>
      <c r="N536" s="529">
        <f>IF(E536="STL",F536*Pricing!$D$40,IF(A536&lt;=Pricing!$C$4,0,IF(AND(A536&gt;Pricing!$C$4,Disbursements!A536&lt;=Pricing!$C$5),F536*Pricing!$E$5,IF(AND(A536&gt;Pricing!$C$5,Disbursements!A536&lt;=Pricing!$C$7),VLOOKUP(F536,Pricing!$D$7:$E$8,2)*Disbursements!F536,F536*Pricing!$E$9))))</f>
        <v>30000</v>
      </c>
      <c r="O536" s="528">
        <f>IF(E536="STL",0,IF($F536&gt;0,$F536*Pricing!$D$17,0))</f>
        <v>150000</v>
      </c>
      <c r="P536" s="530">
        <f t="shared" si="230"/>
        <v>585000</v>
      </c>
      <c r="Q536" s="531">
        <f>IF($A536="","",$G536/VLOOKUP($I536,Ref!$B$23:$D$29,2,0))</f>
        <v>6</v>
      </c>
      <c r="R536" s="530">
        <f t="shared" si="231"/>
        <v>2085000</v>
      </c>
      <c r="S536" s="532">
        <f t="shared" si="225"/>
        <v>347500</v>
      </c>
      <c r="T536" s="531">
        <f t="shared" si="232"/>
        <v>348000</v>
      </c>
      <c r="U536" s="533">
        <f t="shared" si="233"/>
        <v>2088000</v>
      </c>
      <c r="V536" s="531">
        <f t="shared" si="234"/>
        <v>250000</v>
      </c>
      <c r="W536" s="531">
        <f t="shared" si="235"/>
        <v>98000</v>
      </c>
      <c r="X536" s="534">
        <f t="shared" si="236"/>
        <v>588000</v>
      </c>
      <c r="Y536" s="535">
        <f>IF($A536="","",IF($I536="weekly",$A536+7,EDATE($A536,VLOOKUP($I536,Ref!$B$24:$C$29,2,0))))</f>
        <v>44731</v>
      </c>
      <c r="Z536" s="536" t="str">
        <f t="shared" si="237"/>
        <v>Sun</v>
      </c>
      <c r="AA536" s="531">
        <f t="shared" si="238"/>
        <v>31</v>
      </c>
      <c r="AB536" s="535">
        <f t="shared" si="226"/>
        <v>44884</v>
      </c>
      <c r="AC536" s="537">
        <f t="shared" si="227"/>
        <v>184</v>
      </c>
      <c r="AD536" s="538" t="str">
        <f t="shared" ca="1" si="228"/>
        <v>Expired</v>
      </c>
      <c r="AE536" s="537">
        <f t="shared" ca="1" si="229"/>
        <v>0</v>
      </c>
      <c r="AF536" s="539">
        <f t="shared" ca="1" si="239"/>
        <v>6</v>
      </c>
      <c r="AG536" s="531">
        <f t="shared" ca="1" si="240"/>
        <v>2088000</v>
      </c>
      <c r="AH536" s="531">
        <f t="shared" ca="1" si="241"/>
        <v>588000</v>
      </c>
      <c r="AI536" s="531">
        <f t="shared" ca="1" si="242"/>
        <v>1500000</v>
      </c>
      <c r="AJ536" s="531">
        <f t="shared" ca="1" si="243"/>
        <v>0</v>
      </c>
      <c r="AK536" s="540">
        <f>SUMIFS('Live Collections'!$S:$S,'Live Collections'!$D:$D,Disbursements!B536,'Live Collections'!$G:$G,Disbursements!C536)</f>
        <v>0</v>
      </c>
      <c r="AL536" s="540">
        <f>SUMIFS('Live Collections'!$T:$T,'Live Collections'!$D:$D,Disbursements!B536,'Live Collections'!$G:$G,Disbursements!C536)</f>
        <v>0</v>
      </c>
      <c r="AM536" s="541">
        <f t="shared" si="244"/>
        <v>0</v>
      </c>
      <c r="AN536" s="542">
        <f t="shared" si="245"/>
        <v>588000</v>
      </c>
      <c r="AO536" s="542">
        <f t="shared" si="246"/>
        <v>1500000</v>
      </c>
      <c r="AP536" s="543">
        <f t="shared" si="247"/>
        <v>2088000</v>
      </c>
      <c r="AQ536" s="544">
        <f t="shared" ca="1" si="248"/>
        <v>2088000</v>
      </c>
      <c r="AR536" s="545">
        <f t="shared" ca="1" si="249"/>
        <v>6</v>
      </c>
      <c r="AS536" s="545">
        <f ca="1">IFERROR(CEILING($AR536*VLOOKUP($I536,Ref!$B$23:$E$29,4,0),1),0)</f>
        <v>180</v>
      </c>
      <c r="AT536" s="545" t="str">
        <f ca="1">IF(A536="","",IF(AP536&lt;=1,"Cleared",IF(AS536=0,"Clean",VLOOKUP($AS536,Ref!$G$23:$H$28,2))))</f>
        <v>4.(91-365) Days</v>
      </c>
      <c r="AU536" s="546" t="str">
        <f t="shared" si="250"/>
        <v>Ok</v>
      </c>
    </row>
    <row r="537" spans="1:47" ht="14.25" hidden="1" customHeight="1" x14ac:dyDescent="0.15">
      <c r="A537" s="575">
        <v>44700</v>
      </c>
      <c r="B537" s="523">
        <v>30</v>
      </c>
      <c r="C537" s="523">
        <v>535</v>
      </c>
      <c r="D537" s="523">
        <v>2</v>
      </c>
      <c r="E537" s="579" t="s">
        <v>1274</v>
      </c>
      <c r="F537" s="580">
        <v>400000</v>
      </c>
      <c r="G537" s="524">
        <v>4</v>
      </c>
      <c r="H537" s="555">
        <v>6.5000000000000002E-2</v>
      </c>
      <c r="I537" s="560" t="s">
        <v>859</v>
      </c>
      <c r="J537" s="523" t="s">
        <v>863</v>
      </c>
      <c r="K537" s="528" t="str">
        <f>IFERROR(VLOOKUP($B537,'Clients-Live'!$A:$C,3,0),"")</f>
        <v>SITARAYA PATRICIA IDERU</v>
      </c>
      <c r="L537" s="528">
        <f>IF(E537="STL",Pricing!$D$38,IF(A537="",0,IF(A537&lt;Pricing!$C$25,Pricing!$D$25,VLOOKUP(Disbursements!$F537,Pricing!$B$29:$D$32,3))))</f>
        <v>15000</v>
      </c>
      <c r="M537" s="528">
        <f>IF(E537="STL",0,IF(F537&gt;0,Pricing!$D$21,0))</f>
        <v>5000</v>
      </c>
      <c r="N537" s="529">
        <f>IF(E537="STL",F537*Pricing!$D$40,IF(A537&lt;=Pricing!$C$4,0,IF(AND(A537&gt;Pricing!$C$4,Disbursements!A537&lt;=Pricing!$C$5),F537*Pricing!$E$5,IF(AND(A537&gt;Pricing!$C$5,Disbursements!A537&lt;=Pricing!$C$7),VLOOKUP(F537,Pricing!$D$7:$E$8,2)*Disbursements!F537,F537*Pricing!$E$9))))</f>
        <v>8000</v>
      </c>
      <c r="O537" s="528">
        <f>IF(E537="STL",0,IF($F537&gt;0,$F537*Pricing!$D$17,0))</f>
        <v>40000</v>
      </c>
      <c r="P537" s="530">
        <f t="shared" si="230"/>
        <v>104000</v>
      </c>
      <c r="Q537" s="531">
        <f>IF($A537="","",$G537/VLOOKUP($I537,Ref!$B$23:$D$29,2,0))</f>
        <v>4</v>
      </c>
      <c r="R537" s="530">
        <f t="shared" si="231"/>
        <v>504000</v>
      </c>
      <c r="S537" s="532">
        <f t="shared" si="225"/>
        <v>126000</v>
      </c>
      <c r="T537" s="531">
        <f t="shared" si="232"/>
        <v>126000</v>
      </c>
      <c r="U537" s="533">
        <f t="shared" si="233"/>
        <v>504000</v>
      </c>
      <c r="V537" s="531">
        <f t="shared" si="234"/>
        <v>100000</v>
      </c>
      <c r="W537" s="531">
        <f t="shared" si="235"/>
        <v>26000</v>
      </c>
      <c r="X537" s="534">
        <f t="shared" si="236"/>
        <v>104000</v>
      </c>
      <c r="Y537" s="535">
        <f>IF($A537="","",IF($I537="weekly",$A537+7,EDATE($A537,VLOOKUP($I537,Ref!$B$24:$C$29,2,0))))</f>
        <v>44731</v>
      </c>
      <c r="Z537" s="536" t="str">
        <f t="shared" si="237"/>
        <v>Sun</v>
      </c>
      <c r="AA537" s="531">
        <f t="shared" si="238"/>
        <v>31</v>
      </c>
      <c r="AB537" s="535">
        <f t="shared" si="226"/>
        <v>44823</v>
      </c>
      <c r="AC537" s="537">
        <f t="shared" si="227"/>
        <v>123</v>
      </c>
      <c r="AD537" s="538" t="str">
        <f t="shared" ca="1" si="228"/>
        <v>Expired</v>
      </c>
      <c r="AE537" s="537">
        <f t="shared" ca="1" si="229"/>
        <v>0</v>
      </c>
      <c r="AF537" s="539">
        <f t="shared" ca="1" si="239"/>
        <v>4</v>
      </c>
      <c r="AG537" s="531">
        <f t="shared" ca="1" si="240"/>
        <v>504000</v>
      </c>
      <c r="AH537" s="531">
        <f t="shared" ca="1" si="241"/>
        <v>104000</v>
      </c>
      <c r="AI537" s="531">
        <f t="shared" ca="1" si="242"/>
        <v>400000</v>
      </c>
      <c r="AJ537" s="531">
        <f t="shared" ca="1" si="243"/>
        <v>0</v>
      </c>
      <c r="AK537" s="540">
        <f>SUMIFS('Live Collections'!$S:$S,'Live Collections'!$D:$D,Disbursements!B537,'Live Collections'!$G:$G,Disbursements!C537)</f>
        <v>0</v>
      </c>
      <c r="AL537" s="540">
        <f>SUMIFS('Live Collections'!$T:$T,'Live Collections'!$D:$D,Disbursements!B537,'Live Collections'!$G:$G,Disbursements!C537)</f>
        <v>0</v>
      </c>
      <c r="AM537" s="541">
        <f t="shared" si="244"/>
        <v>0</v>
      </c>
      <c r="AN537" s="542">
        <f t="shared" si="245"/>
        <v>104000</v>
      </c>
      <c r="AO537" s="542">
        <f t="shared" si="246"/>
        <v>400000</v>
      </c>
      <c r="AP537" s="543">
        <f t="shared" si="247"/>
        <v>504000</v>
      </c>
      <c r="AQ537" s="544">
        <f t="shared" ca="1" si="248"/>
        <v>504000</v>
      </c>
      <c r="AR537" s="545">
        <f t="shared" ca="1" si="249"/>
        <v>4</v>
      </c>
      <c r="AS537" s="545">
        <f ca="1">IFERROR(CEILING($AR537*VLOOKUP($I537,Ref!$B$23:$E$29,4,0),1),0)</f>
        <v>120</v>
      </c>
      <c r="AT537" s="545" t="str">
        <f ca="1">IF(A537="","",IF(AP537&lt;=1,"Cleared",IF(AS537=0,"Clean",VLOOKUP($AS537,Ref!$G$23:$H$28,2))))</f>
        <v>4.(91-365) Days</v>
      </c>
      <c r="AU537" s="546" t="str">
        <f t="shared" si="250"/>
        <v>Ok</v>
      </c>
    </row>
    <row r="538" spans="1:47" ht="14.25" hidden="1" customHeight="1" x14ac:dyDescent="0.15">
      <c r="A538" s="575">
        <v>44700</v>
      </c>
      <c r="B538" s="523">
        <v>53</v>
      </c>
      <c r="C538" s="523">
        <v>536</v>
      </c>
      <c r="D538" s="523">
        <v>3</v>
      </c>
      <c r="E538" s="579" t="s">
        <v>1274</v>
      </c>
      <c r="F538" s="580">
        <v>1000000</v>
      </c>
      <c r="G538" s="524">
        <v>6</v>
      </c>
      <c r="H538" s="555">
        <v>6.5000000000000002E-2</v>
      </c>
      <c r="I538" s="560" t="s">
        <v>859</v>
      </c>
      <c r="J538" s="523" t="s">
        <v>863</v>
      </c>
      <c r="K538" s="528" t="str">
        <f>IFERROR(VLOOKUP($B538,'Clients-Live'!$A:$C,3,0),"")</f>
        <v>KALSUMU INNOCENT</v>
      </c>
      <c r="L538" s="528">
        <f>IF(E538="STL",Pricing!$D$38,IF(A538="",0,IF(A538&lt;Pricing!$C$25,Pricing!$D$25,VLOOKUP(Disbursements!$F538,Pricing!$B$29:$D$32,3))))</f>
        <v>20000</v>
      </c>
      <c r="M538" s="528">
        <f>IF(E538="STL",0,IF(F538&gt;0,Pricing!$D$21,0))</f>
        <v>5000</v>
      </c>
      <c r="N538" s="529">
        <f>IF(E538="STL",F538*Pricing!$D$40,IF(A538&lt;=Pricing!$C$4,0,IF(AND(A538&gt;Pricing!$C$4,Disbursements!A538&lt;=Pricing!$C$5),F538*Pricing!$E$5,IF(AND(A538&gt;Pricing!$C$5,Disbursements!A538&lt;=Pricing!$C$7),VLOOKUP(F538,Pricing!$D$7:$E$8,2)*Disbursements!F538,F538*Pricing!$E$9))))</f>
        <v>20000</v>
      </c>
      <c r="O538" s="528">
        <f>IF(E538="STL",0,IF($F538&gt;0,$F538*Pricing!$D$17,0))</f>
        <v>100000</v>
      </c>
      <c r="P538" s="530">
        <f t="shared" si="230"/>
        <v>390000</v>
      </c>
      <c r="Q538" s="531">
        <f>IF($A538="","",$G538/VLOOKUP($I538,Ref!$B$23:$D$29,2,0))</f>
        <v>6</v>
      </c>
      <c r="R538" s="530">
        <f t="shared" si="231"/>
        <v>1390000</v>
      </c>
      <c r="S538" s="532">
        <f t="shared" si="225"/>
        <v>231666.66666666666</v>
      </c>
      <c r="T538" s="531">
        <f t="shared" si="232"/>
        <v>232000</v>
      </c>
      <c r="U538" s="533">
        <f t="shared" si="233"/>
        <v>1392000</v>
      </c>
      <c r="V538" s="531">
        <f t="shared" si="234"/>
        <v>166666.66666666666</v>
      </c>
      <c r="W538" s="531">
        <f t="shared" si="235"/>
        <v>65333.333333333343</v>
      </c>
      <c r="X538" s="534">
        <f t="shared" si="236"/>
        <v>392000.00000000006</v>
      </c>
      <c r="Y538" s="535">
        <f>IF($A538="","",IF($I538="weekly",$A538+7,EDATE($A538,VLOOKUP($I538,Ref!$B$24:$C$29,2,0))))</f>
        <v>44731</v>
      </c>
      <c r="Z538" s="536" t="str">
        <f t="shared" si="237"/>
        <v>Sun</v>
      </c>
      <c r="AA538" s="531">
        <f t="shared" si="238"/>
        <v>31</v>
      </c>
      <c r="AB538" s="535">
        <f t="shared" si="226"/>
        <v>44884</v>
      </c>
      <c r="AC538" s="537">
        <f t="shared" si="227"/>
        <v>184</v>
      </c>
      <c r="AD538" s="538" t="str">
        <f t="shared" ca="1" si="228"/>
        <v>Expired</v>
      </c>
      <c r="AE538" s="537">
        <f t="shared" ca="1" si="229"/>
        <v>0</v>
      </c>
      <c r="AF538" s="539">
        <f t="shared" ca="1" si="239"/>
        <v>6</v>
      </c>
      <c r="AG538" s="531">
        <f t="shared" ca="1" si="240"/>
        <v>1392000</v>
      </c>
      <c r="AH538" s="531">
        <f t="shared" ca="1" si="241"/>
        <v>392000.00000000006</v>
      </c>
      <c r="AI538" s="531">
        <f t="shared" ca="1" si="242"/>
        <v>1000000</v>
      </c>
      <c r="AJ538" s="531">
        <f t="shared" ca="1" si="243"/>
        <v>0</v>
      </c>
      <c r="AK538" s="540">
        <f>SUMIFS('Live Collections'!$S:$S,'Live Collections'!$D:$D,Disbursements!B538,'Live Collections'!$G:$G,Disbursements!C538)</f>
        <v>0</v>
      </c>
      <c r="AL538" s="540">
        <f>SUMIFS('Live Collections'!$T:$T,'Live Collections'!$D:$D,Disbursements!B538,'Live Collections'!$G:$G,Disbursements!C538)</f>
        <v>0</v>
      </c>
      <c r="AM538" s="541">
        <f t="shared" si="244"/>
        <v>0</v>
      </c>
      <c r="AN538" s="542">
        <f t="shared" si="245"/>
        <v>392000.00000000006</v>
      </c>
      <c r="AO538" s="542">
        <f t="shared" si="246"/>
        <v>1000000</v>
      </c>
      <c r="AP538" s="543">
        <f t="shared" si="247"/>
        <v>1392000</v>
      </c>
      <c r="AQ538" s="544">
        <f t="shared" ca="1" si="248"/>
        <v>1392000</v>
      </c>
      <c r="AR538" s="545">
        <f t="shared" ca="1" si="249"/>
        <v>6</v>
      </c>
      <c r="AS538" s="545">
        <f ca="1">IFERROR(CEILING($AR538*VLOOKUP($I538,Ref!$B$23:$E$29,4,0),1),0)</f>
        <v>180</v>
      </c>
      <c r="AT538" s="545" t="str">
        <f ca="1">IF(A538="","",IF(AP538&lt;=1,"Cleared",IF(AS538=0,"Clean",VLOOKUP($AS538,Ref!$G$23:$H$28,2))))</f>
        <v>4.(91-365) Days</v>
      </c>
      <c r="AU538" s="546" t="str">
        <f t="shared" si="250"/>
        <v>Ok</v>
      </c>
    </row>
    <row r="539" spans="1:47" ht="14.25" hidden="1" customHeight="1" x14ac:dyDescent="0.15">
      <c r="A539" s="575">
        <v>44708</v>
      </c>
      <c r="B539" s="523">
        <v>330</v>
      </c>
      <c r="C539" s="523">
        <v>537</v>
      </c>
      <c r="D539" s="523">
        <v>2</v>
      </c>
      <c r="E539" s="579" t="s">
        <v>1274</v>
      </c>
      <c r="F539" s="580">
        <v>600000</v>
      </c>
      <c r="G539" s="524">
        <v>5</v>
      </c>
      <c r="H539" s="555">
        <v>6.5000000000000002E-2</v>
      </c>
      <c r="I539" s="560" t="s">
        <v>859</v>
      </c>
      <c r="J539" s="523" t="s">
        <v>864</v>
      </c>
      <c r="K539" s="528" t="str">
        <f>IFERROR(VLOOKUP($B539,'Clients-Live'!$A:$C,3,0),"")</f>
        <v>BACIA AISHA</v>
      </c>
      <c r="L539" s="528">
        <f>IF(E539="STL",Pricing!$D$38,IF(A539="",0,IF(A539&lt;Pricing!$C$25,Pricing!$D$25,VLOOKUP(Disbursements!$F539,Pricing!$B$29:$D$32,3))))</f>
        <v>20000</v>
      </c>
      <c r="M539" s="528">
        <f>IF(E539="STL",0,IF(F539&gt;0,Pricing!$D$21,0))</f>
        <v>5000</v>
      </c>
      <c r="N539" s="529">
        <f>IF(E539="STL",F539*Pricing!$D$40,IF(A539&lt;=Pricing!$C$4,0,IF(AND(A539&gt;Pricing!$C$4,Disbursements!A539&lt;=Pricing!$C$5),F539*Pricing!$E$5,IF(AND(A539&gt;Pricing!$C$5,Disbursements!A539&lt;=Pricing!$C$7),VLOOKUP(F539,Pricing!$D$7:$E$8,2)*Disbursements!F539,F539*Pricing!$E$9))))</f>
        <v>12000</v>
      </c>
      <c r="O539" s="528">
        <f>IF(E539="STL",0,IF($F539&gt;0,$F539*Pricing!$D$17,0))</f>
        <v>60000</v>
      </c>
      <c r="P539" s="530">
        <f t="shared" si="230"/>
        <v>195000</v>
      </c>
      <c r="Q539" s="531">
        <f>IF($A539="","",$G539/VLOOKUP($I539,Ref!$B$23:$D$29,2,0))</f>
        <v>5</v>
      </c>
      <c r="R539" s="530">
        <f t="shared" si="231"/>
        <v>795000</v>
      </c>
      <c r="S539" s="532">
        <f t="shared" si="225"/>
        <v>159000</v>
      </c>
      <c r="T539" s="531">
        <f t="shared" si="232"/>
        <v>159000</v>
      </c>
      <c r="U539" s="533">
        <f t="shared" si="233"/>
        <v>795000</v>
      </c>
      <c r="V539" s="531">
        <f t="shared" si="234"/>
        <v>120000</v>
      </c>
      <c r="W539" s="531">
        <f t="shared" si="235"/>
        <v>39000</v>
      </c>
      <c r="X539" s="534">
        <f t="shared" si="236"/>
        <v>195000</v>
      </c>
      <c r="Y539" s="535">
        <f>IF($A539="","",IF($I539="weekly",$A539+7,EDATE($A539,VLOOKUP($I539,Ref!$B$24:$C$29,2,0))))</f>
        <v>44739</v>
      </c>
      <c r="Z539" s="536" t="str">
        <f t="shared" si="237"/>
        <v>Mon</v>
      </c>
      <c r="AA539" s="531">
        <f t="shared" si="238"/>
        <v>31</v>
      </c>
      <c r="AB539" s="535">
        <f t="shared" si="226"/>
        <v>44861</v>
      </c>
      <c r="AC539" s="537">
        <f t="shared" si="227"/>
        <v>153</v>
      </c>
      <c r="AD539" s="538" t="str">
        <f t="shared" ca="1" si="228"/>
        <v>Expired</v>
      </c>
      <c r="AE539" s="537">
        <f t="shared" ca="1" si="229"/>
        <v>0</v>
      </c>
      <c r="AF539" s="539">
        <f t="shared" ca="1" si="239"/>
        <v>5</v>
      </c>
      <c r="AG539" s="531">
        <f t="shared" ca="1" si="240"/>
        <v>795000</v>
      </c>
      <c r="AH539" s="531">
        <f t="shared" ca="1" si="241"/>
        <v>195000</v>
      </c>
      <c r="AI539" s="531">
        <f t="shared" ca="1" si="242"/>
        <v>600000</v>
      </c>
      <c r="AJ539" s="531">
        <f t="shared" ca="1" si="243"/>
        <v>0</v>
      </c>
      <c r="AK539" s="540">
        <f>SUMIFS('Live Collections'!$S:$S,'Live Collections'!$D:$D,Disbursements!B539,'Live Collections'!$G:$G,Disbursements!C539)</f>
        <v>0</v>
      </c>
      <c r="AL539" s="540">
        <f>SUMIFS('Live Collections'!$T:$T,'Live Collections'!$D:$D,Disbursements!B539,'Live Collections'!$G:$G,Disbursements!C539)</f>
        <v>0</v>
      </c>
      <c r="AM539" s="541">
        <f t="shared" si="244"/>
        <v>0</v>
      </c>
      <c r="AN539" s="542">
        <f t="shared" si="245"/>
        <v>195000</v>
      </c>
      <c r="AO539" s="542">
        <f t="shared" si="246"/>
        <v>600000</v>
      </c>
      <c r="AP539" s="543">
        <f t="shared" si="247"/>
        <v>795000</v>
      </c>
      <c r="AQ539" s="544">
        <f t="shared" ca="1" si="248"/>
        <v>795000</v>
      </c>
      <c r="AR539" s="545">
        <f t="shared" ca="1" si="249"/>
        <v>5</v>
      </c>
      <c r="AS539" s="545">
        <f ca="1">IFERROR(CEILING($AR539*VLOOKUP($I539,Ref!$B$23:$E$29,4,0),1),0)</f>
        <v>150</v>
      </c>
      <c r="AT539" s="545" t="str">
        <f ca="1">IF(A539="","",IF(AP539&lt;=1,"Cleared",IF(AS539=0,"Clean",VLOOKUP($AS539,Ref!$G$23:$H$28,2))))</f>
        <v>4.(91-365) Days</v>
      </c>
      <c r="AU539" s="546" t="str">
        <f t="shared" si="250"/>
        <v>Ok</v>
      </c>
    </row>
    <row r="540" spans="1:47" ht="14.25" hidden="1" customHeight="1" x14ac:dyDescent="0.15">
      <c r="A540" s="575">
        <v>44708</v>
      </c>
      <c r="B540" s="523">
        <v>322</v>
      </c>
      <c r="C540" s="523">
        <v>538</v>
      </c>
      <c r="D540" s="523">
        <v>1</v>
      </c>
      <c r="E540" s="579" t="s">
        <v>1274</v>
      </c>
      <c r="F540" s="580">
        <v>600000</v>
      </c>
      <c r="G540" s="524">
        <v>5</v>
      </c>
      <c r="H540" s="555">
        <v>6.5000000000000002E-2</v>
      </c>
      <c r="I540" s="560" t="s">
        <v>859</v>
      </c>
      <c r="J540" s="523" t="s">
        <v>864</v>
      </c>
      <c r="K540" s="528" t="str">
        <f>IFERROR(VLOOKUP($B540,'Clients-Live'!$A:$C,3,0),"")</f>
        <v>KANA SWAIB</v>
      </c>
      <c r="L540" s="528">
        <f>IF(E540="STL",Pricing!$D$38,IF(A540="",0,IF(A540&lt;Pricing!$C$25,Pricing!$D$25,VLOOKUP(Disbursements!$F540,Pricing!$B$29:$D$32,3))))</f>
        <v>20000</v>
      </c>
      <c r="M540" s="528">
        <f>IF(E540="STL",0,IF(F540&gt;0,Pricing!$D$21,0))</f>
        <v>5000</v>
      </c>
      <c r="N540" s="529">
        <f>IF(E540="STL",F540*Pricing!$D$40,IF(A540&lt;=Pricing!$C$4,0,IF(AND(A540&gt;Pricing!$C$4,Disbursements!A540&lt;=Pricing!$C$5),F540*Pricing!$E$5,IF(AND(A540&gt;Pricing!$C$5,Disbursements!A540&lt;=Pricing!$C$7),VLOOKUP(F540,Pricing!$D$7:$E$8,2)*Disbursements!F540,F540*Pricing!$E$9))))</f>
        <v>12000</v>
      </c>
      <c r="O540" s="528">
        <f>IF(E540="STL",0,IF($F540&gt;0,$F540*Pricing!$D$17,0))</f>
        <v>60000</v>
      </c>
      <c r="P540" s="530">
        <f t="shared" si="230"/>
        <v>195000</v>
      </c>
      <c r="Q540" s="531">
        <f>IF($A540="","",$G540/VLOOKUP($I540,Ref!$B$23:$D$29,2,0))</f>
        <v>5</v>
      </c>
      <c r="R540" s="530">
        <f t="shared" si="231"/>
        <v>795000</v>
      </c>
      <c r="S540" s="532">
        <f t="shared" si="225"/>
        <v>159000</v>
      </c>
      <c r="T540" s="531">
        <f t="shared" si="232"/>
        <v>159000</v>
      </c>
      <c r="U540" s="533">
        <f t="shared" si="233"/>
        <v>795000</v>
      </c>
      <c r="V540" s="531">
        <f t="shared" si="234"/>
        <v>120000</v>
      </c>
      <c r="W540" s="531">
        <f t="shared" si="235"/>
        <v>39000</v>
      </c>
      <c r="X540" s="534">
        <f t="shared" si="236"/>
        <v>195000</v>
      </c>
      <c r="Y540" s="535">
        <f>IF($A540="","",IF($I540="weekly",$A540+7,EDATE($A540,VLOOKUP($I540,Ref!$B$24:$C$29,2,0))))</f>
        <v>44739</v>
      </c>
      <c r="Z540" s="536" t="str">
        <f t="shared" si="237"/>
        <v>Mon</v>
      </c>
      <c r="AA540" s="531">
        <f t="shared" si="238"/>
        <v>31</v>
      </c>
      <c r="AB540" s="535">
        <f t="shared" si="226"/>
        <v>44861</v>
      </c>
      <c r="AC540" s="537">
        <f t="shared" si="227"/>
        <v>153</v>
      </c>
      <c r="AD540" s="538" t="str">
        <f t="shared" ca="1" si="228"/>
        <v>Expired</v>
      </c>
      <c r="AE540" s="537">
        <f t="shared" ca="1" si="229"/>
        <v>0</v>
      </c>
      <c r="AF540" s="539">
        <f t="shared" ca="1" si="239"/>
        <v>5</v>
      </c>
      <c r="AG540" s="531">
        <f t="shared" ca="1" si="240"/>
        <v>795000</v>
      </c>
      <c r="AH540" s="531">
        <f t="shared" ca="1" si="241"/>
        <v>195000</v>
      </c>
      <c r="AI540" s="531">
        <f t="shared" ca="1" si="242"/>
        <v>600000</v>
      </c>
      <c r="AJ540" s="531">
        <f t="shared" ca="1" si="243"/>
        <v>0</v>
      </c>
      <c r="AK540" s="540">
        <f>SUMIFS('Live Collections'!$S:$S,'Live Collections'!$D:$D,Disbursements!B540,'Live Collections'!$G:$G,Disbursements!C540)</f>
        <v>0</v>
      </c>
      <c r="AL540" s="540">
        <f>SUMIFS('Live Collections'!$T:$T,'Live Collections'!$D:$D,Disbursements!B540,'Live Collections'!$G:$G,Disbursements!C540)</f>
        <v>0</v>
      </c>
      <c r="AM540" s="541">
        <f t="shared" si="244"/>
        <v>0</v>
      </c>
      <c r="AN540" s="542">
        <f t="shared" si="245"/>
        <v>195000</v>
      </c>
      <c r="AO540" s="542">
        <f t="shared" si="246"/>
        <v>600000</v>
      </c>
      <c r="AP540" s="543">
        <f t="shared" si="247"/>
        <v>795000</v>
      </c>
      <c r="AQ540" s="544">
        <f t="shared" ca="1" si="248"/>
        <v>795000</v>
      </c>
      <c r="AR540" s="545">
        <f t="shared" ca="1" si="249"/>
        <v>5</v>
      </c>
      <c r="AS540" s="545">
        <f ca="1">IFERROR(CEILING($AR540*VLOOKUP($I540,Ref!$B$23:$E$29,4,0),1),0)</f>
        <v>150</v>
      </c>
      <c r="AT540" s="545" t="str">
        <f ca="1">IF(A540="","",IF(AP540&lt;=1,"Cleared",IF(AS540=0,"Clean",VLOOKUP($AS540,Ref!$G$23:$H$28,2))))</f>
        <v>4.(91-365) Days</v>
      </c>
      <c r="AU540" s="546" t="str">
        <f t="shared" si="250"/>
        <v>Ok</v>
      </c>
    </row>
    <row r="541" spans="1:47" ht="14.25" hidden="1" customHeight="1" x14ac:dyDescent="0.15">
      <c r="A541" s="575">
        <v>44708</v>
      </c>
      <c r="B541" s="523">
        <v>345</v>
      </c>
      <c r="C541" s="523">
        <v>539</v>
      </c>
      <c r="D541" s="523">
        <v>2</v>
      </c>
      <c r="E541" s="579" t="s">
        <v>1276</v>
      </c>
      <c r="F541" s="580">
        <v>500000</v>
      </c>
      <c r="G541" s="524">
        <v>3</v>
      </c>
      <c r="H541" s="555">
        <v>7.4999999999999997E-2</v>
      </c>
      <c r="I541" s="560" t="s">
        <v>859</v>
      </c>
      <c r="J541" s="523" t="s">
        <v>864</v>
      </c>
      <c r="K541" s="528" t="str">
        <f>IFERROR(VLOOKUP($B541,'Clients-Live'!$A:$C,3,0),"")</f>
        <v>MENGE ABDURAHAMAN RATIB</v>
      </c>
      <c r="L541" s="528">
        <f>IF(E541="STL",Pricing!$D$38,IF(A541="",0,IF(A541&lt;Pricing!$C$25,Pricing!$D$25,VLOOKUP(Disbursements!$F541,Pricing!$B$29:$D$32,3))))</f>
        <v>15000</v>
      </c>
      <c r="M541" s="528">
        <f>IF(E541="STL",0,IF(F541&gt;0,Pricing!$D$21,0))</f>
        <v>5000</v>
      </c>
      <c r="N541" s="529">
        <f>IF(E541="STL",F541*Pricing!$D$40,IF(A541&lt;=Pricing!$C$4,0,IF(AND(A541&gt;Pricing!$C$4,Disbursements!A541&lt;=Pricing!$C$5),F541*Pricing!$E$5,IF(AND(A541&gt;Pricing!$C$5,Disbursements!A541&lt;=Pricing!$C$7),VLOOKUP(F541,Pricing!$D$7:$E$8,2)*Disbursements!F541,F541*Pricing!$E$9))))</f>
        <v>10000</v>
      </c>
      <c r="O541" s="528">
        <f>IF(E541="STL",0,IF($F541&gt;0,$F541*Pricing!$D$17,0))</f>
        <v>50000</v>
      </c>
      <c r="P541" s="530">
        <f t="shared" si="230"/>
        <v>112500</v>
      </c>
      <c r="Q541" s="531">
        <f>IF($A541="","",$G541/VLOOKUP($I541,Ref!$B$23:$D$29,2,0))</f>
        <v>3</v>
      </c>
      <c r="R541" s="530">
        <f t="shared" si="231"/>
        <v>612500</v>
      </c>
      <c r="S541" s="532">
        <f t="shared" si="225"/>
        <v>204166.66666666666</v>
      </c>
      <c r="T541" s="531">
        <f t="shared" si="232"/>
        <v>205000</v>
      </c>
      <c r="U541" s="533">
        <f t="shared" si="233"/>
        <v>615000</v>
      </c>
      <c r="V541" s="531">
        <f t="shared" si="234"/>
        <v>166666.66666666666</v>
      </c>
      <c r="W541" s="531">
        <f t="shared" si="235"/>
        <v>38333.333333333343</v>
      </c>
      <c r="X541" s="534">
        <f t="shared" si="236"/>
        <v>115000.00000000003</v>
      </c>
      <c r="Y541" s="535">
        <f>IF($A541="","",IF($I541="weekly",$A541+7,EDATE($A541,VLOOKUP($I541,Ref!$B$24:$C$29,2,0))))</f>
        <v>44739</v>
      </c>
      <c r="Z541" s="536" t="str">
        <f t="shared" si="237"/>
        <v>Mon</v>
      </c>
      <c r="AA541" s="531">
        <f t="shared" si="238"/>
        <v>31</v>
      </c>
      <c r="AB541" s="535">
        <f t="shared" si="226"/>
        <v>44800</v>
      </c>
      <c r="AC541" s="537">
        <f t="shared" si="227"/>
        <v>92</v>
      </c>
      <c r="AD541" s="538" t="str">
        <f t="shared" ca="1" si="228"/>
        <v>Expired</v>
      </c>
      <c r="AE541" s="537">
        <f t="shared" ca="1" si="229"/>
        <v>0</v>
      </c>
      <c r="AF541" s="539">
        <f t="shared" ca="1" si="239"/>
        <v>3</v>
      </c>
      <c r="AG541" s="531">
        <f t="shared" ca="1" si="240"/>
        <v>615000</v>
      </c>
      <c r="AH541" s="531">
        <f t="shared" ca="1" si="241"/>
        <v>115000.00000000003</v>
      </c>
      <c r="AI541" s="531">
        <f t="shared" ca="1" si="242"/>
        <v>500000</v>
      </c>
      <c r="AJ541" s="531">
        <f t="shared" ca="1" si="243"/>
        <v>0</v>
      </c>
      <c r="AK541" s="540">
        <f>SUMIFS('Live Collections'!$S:$S,'Live Collections'!$D:$D,Disbursements!B541,'Live Collections'!$G:$G,Disbursements!C541)</f>
        <v>0</v>
      </c>
      <c r="AL541" s="540">
        <f>SUMIFS('Live Collections'!$T:$T,'Live Collections'!$D:$D,Disbursements!B541,'Live Collections'!$G:$G,Disbursements!C541)</f>
        <v>0</v>
      </c>
      <c r="AM541" s="541">
        <f t="shared" si="244"/>
        <v>0</v>
      </c>
      <c r="AN541" s="542">
        <f t="shared" si="245"/>
        <v>115000.00000000003</v>
      </c>
      <c r="AO541" s="542">
        <f t="shared" si="246"/>
        <v>500000</v>
      </c>
      <c r="AP541" s="543">
        <f t="shared" si="247"/>
        <v>615000</v>
      </c>
      <c r="AQ541" s="544">
        <f t="shared" ca="1" si="248"/>
        <v>615000</v>
      </c>
      <c r="AR541" s="545">
        <f t="shared" ca="1" si="249"/>
        <v>3</v>
      </c>
      <c r="AS541" s="545">
        <f ca="1">IFERROR(CEILING($AR541*VLOOKUP($I541,Ref!$B$23:$E$29,4,0),1),0)</f>
        <v>90</v>
      </c>
      <c r="AT541" s="545" t="str">
        <f ca="1">IF(A541="","",IF(AP541&lt;=1,"Cleared",IF(AS541=0,"Clean",VLOOKUP($AS541,Ref!$G$23:$H$28,2))))</f>
        <v>3.(61-90) Days</v>
      </c>
      <c r="AU541" s="546" t="str">
        <f t="shared" si="250"/>
        <v>Ok</v>
      </c>
    </row>
    <row r="542" spans="1:47" ht="14.25" hidden="1" customHeight="1" x14ac:dyDescent="0.15">
      <c r="A542" s="575">
        <v>44708</v>
      </c>
      <c r="B542" s="523">
        <v>272</v>
      </c>
      <c r="C542" s="523">
        <v>540</v>
      </c>
      <c r="D542" s="523">
        <v>2</v>
      </c>
      <c r="E542" s="579" t="s">
        <v>2490</v>
      </c>
      <c r="F542" s="580">
        <v>400000</v>
      </c>
      <c r="G542" s="524">
        <v>5</v>
      </c>
      <c r="H542" s="555">
        <v>7.4999999999999997E-2</v>
      </c>
      <c r="I542" s="560" t="s">
        <v>859</v>
      </c>
      <c r="J542" s="523" t="s">
        <v>862</v>
      </c>
      <c r="K542" s="528" t="str">
        <f>IFERROR(VLOOKUP($B542,'Clients-Live'!$A:$C,3,0),"")</f>
        <v>AFEKU EMMANUEL</v>
      </c>
      <c r="L542" s="528">
        <f>IF(E542="STL",Pricing!$D$38,IF(A542="",0,IF(A542&lt;Pricing!$C$25,Pricing!$D$25,VLOOKUP(Disbursements!$F542,Pricing!$B$29:$D$32,3))))</f>
        <v>15000</v>
      </c>
      <c r="M542" s="528">
        <f>IF(E542="STL",0,IF(F542&gt;0,Pricing!$D$21,0))</f>
        <v>5000</v>
      </c>
      <c r="N542" s="529">
        <f>IF(E542="STL",F542*Pricing!$D$40,IF(A542&lt;=Pricing!$C$4,0,IF(AND(A542&gt;Pricing!$C$4,Disbursements!A542&lt;=Pricing!$C$5),F542*Pricing!$E$5,IF(AND(A542&gt;Pricing!$C$5,Disbursements!A542&lt;=Pricing!$C$7),VLOOKUP(F542,Pricing!$D$7:$E$8,2)*Disbursements!F542,F542*Pricing!$E$9))))</f>
        <v>8000</v>
      </c>
      <c r="O542" s="528">
        <f>IF(E542="STL",0,IF($F542&gt;0,$F542*Pricing!$D$17,0))</f>
        <v>40000</v>
      </c>
      <c r="P542" s="530">
        <f t="shared" si="230"/>
        <v>150000</v>
      </c>
      <c r="Q542" s="531">
        <f>IF($A542="","",$G542/VLOOKUP($I542,Ref!$B$23:$D$29,2,0))</f>
        <v>5</v>
      </c>
      <c r="R542" s="530">
        <f t="shared" si="231"/>
        <v>550000</v>
      </c>
      <c r="S542" s="532">
        <f t="shared" si="225"/>
        <v>110000</v>
      </c>
      <c r="T542" s="531">
        <f t="shared" si="232"/>
        <v>110000</v>
      </c>
      <c r="U542" s="533">
        <f t="shared" si="233"/>
        <v>550000</v>
      </c>
      <c r="V542" s="531">
        <f t="shared" si="234"/>
        <v>80000</v>
      </c>
      <c r="W542" s="531">
        <f t="shared" si="235"/>
        <v>30000</v>
      </c>
      <c r="X542" s="534">
        <f t="shared" si="236"/>
        <v>150000</v>
      </c>
      <c r="Y542" s="535">
        <f>IF($A542="","",IF($I542="weekly",$A542+7,EDATE($A542,VLOOKUP($I542,Ref!$B$24:$C$29,2,0))))</f>
        <v>44739</v>
      </c>
      <c r="Z542" s="536" t="str">
        <f t="shared" si="237"/>
        <v>Mon</v>
      </c>
      <c r="AA542" s="531">
        <f t="shared" si="238"/>
        <v>31</v>
      </c>
      <c r="AB542" s="535">
        <f t="shared" si="226"/>
        <v>44861</v>
      </c>
      <c r="AC542" s="537">
        <f t="shared" si="227"/>
        <v>153</v>
      </c>
      <c r="AD542" s="538" t="str">
        <f t="shared" ca="1" si="228"/>
        <v>Expired</v>
      </c>
      <c r="AE542" s="537">
        <f t="shared" ca="1" si="229"/>
        <v>0</v>
      </c>
      <c r="AF542" s="539">
        <f t="shared" ca="1" si="239"/>
        <v>5</v>
      </c>
      <c r="AG542" s="531">
        <f t="shared" ca="1" si="240"/>
        <v>550000</v>
      </c>
      <c r="AH542" s="531">
        <f t="shared" ca="1" si="241"/>
        <v>150000</v>
      </c>
      <c r="AI542" s="531">
        <f t="shared" ca="1" si="242"/>
        <v>400000</v>
      </c>
      <c r="AJ542" s="531">
        <f t="shared" ca="1" si="243"/>
        <v>0</v>
      </c>
      <c r="AK542" s="540">
        <f>SUMIFS('Live Collections'!$S:$S,'Live Collections'!$D:$D,Disbursements!B542,'Live Collections'!$G:$G,Disbursements!C542)</f>
        <v>0</v>
      </c>
      <c r="AL542" s="540">
        <f>SUMIFS('Live Collections'!$T:$T,'Live Collections'!$D:$D,Disbursements!B542,'Live Collections'!$G:$G,Disbursements!C542)</f>
        <v>0</v>
      </c>
      <c r="AM542" s="541">
        <f t="shared" si="244"/>
        <v>0</v>
      </c>
      <c r="AN542" s="542">
        <f t="shared" si="245"/>
        <v>150000</v>
      </c>
      <c r="AO542" s="542">
        <f t="shared" si="246"/>
        <v>400000</v>
      </c>
      <c r="AP542" s="543">
        <f t="shared" si="247"/>
        <v>550000</v>
      </c>
      <c r="AQ542" s="544">
        <f t="shared" ca="1" si="248"/>
        <v>550000</v>
      </c>
      <c r="AR542" s="545">
        <f t="shared" ca="1" si="249"/>
        <v>5</v>
      </c>
      <c r="AS542" s="545">
        <f ca="1">IFERROR(CEILING($AR542*VLOOKUP($I542,Ref!$B$23:$E$29,4,0),1),0)</f>
        <v>150</v>
      </c>
      <c r="AT542" s="545" t="str">
        <f ca="1">IF(A542="","",IF(AP542&lt;=1,"Cleared",IF(AS542=0,"Clean",VLOOKUP($AS542,Ref!$G$23:$H$28,2))))</f>
        <v>4.(91-365) Days</v>
      </c>
      <c r="AU542" s="546" t="str">
        <f t="shared" si="250"/>
        <v>Ok</v>
      </c>
    </row>
    <row r="543" spans="1:47" ht="14.25" hidden="1" customHeight="1" x14ac:dyDescent="0.15">
      <c r="A543" s="575">
        <v>44708</v>
      </c>
      <c r="B543" s="523">
        <v>221</v>
      </c>
      <c r="C543" s="523">
        <v>541</v>
      </c>
      <c r="D543" s="523">
        <v>3</v>
      </c>
      <c r="E543" s="579" t="s">
        <v>1274</v>
      </c>
      <c r="F543" s="580">
        <v>1000000</v>
      </c>
      <c r="G543" s="524">
        <v>4</v>
      </c>
      <c r="H543" s="555">
        <v>6.5000000000000002E-2</v>
      </c>
      <c r="I543" s="560" t="s">
        <v>859</v>
      </c>
      <c r="J543" s="523" t="s">
        <v>862</v>
      </c>
      <c r="K543" s="528" t="str">
        <f>IFERROR(VLOOKUP($B543,'Clients-Live'!$A:$C,3,0),"")</f>
        <v>NAMUDDU MARY</v>
      </c>
      <c r="L543" s="528">
        <f>IF(E543="STL",Pricing!$D$38,IF(A543="",0,IF(A543&lt;Pricing!$C$25,Pricing!$D$25,VLOOKUP(Disbursements!$F543,Pricing!$B$29:$D$32,3))))</f>
        <v>20000</v>
      </c>
      <c r="M543" s="528">
        <f>IF(E543="STL",0,IF(F543&gt;0,Pricing!$D$21,0))</f>
        <v>5000</v>
      </c>
      <c r="N543" s="529">
        <f>IF(E543="STL",F543*Pricing!$D$40,IF(A543&lt;=Pricing!$C$4,0,IF(AND(A543&gt;Pricing!$C$4,Disbursements!A543&lt;=Pricing!$C$5),F543*Pricing!$E$5,IF(AND(A543&gt;Pricing!$C$5,Disbursements!A543&lt;=Pricing!$C$7),VLOOKUP(F543,Pricing!$D$7:$E$8,2)*Disbursements!F543,F543*Pricing!$E$9))))</f>
        <v>20000</v>
      </c>
      <c r="O543" s="528">
        <f>IF(E543="STL",0,IF($F543&gt;0,$F543*Pricing!$D$17,0))</f>
        <v>100000</v>
      </c>
      <c r="P543" s="530">
        <f t="shared" si="230"/>
        <v>260000</v>
      </c>
      <c r="Q543" s="531">
        <f>IF($A543="","",$G543/VLOOKUP($I543,Ref!$B$23:$D$29,2,0))</f>
        <v>4</v>
      </c>
      <c r="R543" s="530">
        <f t="shared" si="231"/>
        <v>1260000</v>
      </c>
      <c r="S543" s="532">
        <f t="shared" si="225"/>
        <v>315000</v>
      </c>
      <c r="T543" s="531">
        <f t="shared" si="232"/>
        <v>315000</v>
      </c>
      <c r="U543" s="533">
        <f t="shared" si="233"/>
        <v>1260000</v>
      </c>
      <c r="V543" s="531">
        <f t="shared" si="234"/>
        <v>250000</v>
      </c>
      <c r="W543" s="531">
        <f t="shared" si="235"/>
        <v>65000</v>
      </c>
      <c r="X543" s="534">
        <f t="shared" si="236"/>
        <v>260000</v>
      </c>
      <c r="Y543" s="535">
        <f>IF($A543="","",IF($I543="weekly",$A543+7,EDATE($A543,VLOOKUP($I543,Ref!$B$24:$C$29,2,0))))</f>
        <v>44739</v>
      </c>
      <c r="Z543" s="536" t="str">
        <f t="shared" si="237"/>
        <v>Mon</v>
      </c>
      <c r="AA543" s="531">
        <f t="shared" si="238"/>
        <v>31</v>
      </c>
      <c r="AB543" s="535">
        <f t="shared" si="226"/>
        <v>44831</v>
      </c>
      <c r="AC543" s="537">
        <f t="shared" si="227"/>
        <v>123</v>
      </c>
      <c r="AD543" s="538" t="str">
        <f t="shared" ca="1" si="228"/>
        <v>Expired</v>
      </c>
      <c r="AE543" s="537">
        <f t="shared" ca="1" si="229"/>
        <v>0</v>
      </c>
      <c r="AF543" s="539">
        <f t="shared" ca="1" si="239"/>
        <v>4</v>
      </c>
      <c r="AG543" s="531">
        <f t="shared" ca="1" si="240"/>
        <v>1260000</v>
      </c>
      <c r="AH543" s="531">
        <f t="shared" ca="1" si="241"/>
        <v>260000</v>
      </c>
      <c r="AI543" s="531">
        <f t="shared" ca="1" si="242"/>
        <v>1000000</v>
      </c>
      <c r="AJ543" s="531">
        <f t="shared" ca="1" si="243"/>
        <v>0</v>
      </c>
      <c r="AK543" s="540">
        <f>SUMIFS('Live Collections'!$S:$S,'Live Collections'!$D:$D,Disbursements!B543,'Live Collections'!$G:$G,Disbursements!C543)</f>
        <v>0</v>
      </c>
      <c r="AL543" s="540">
        <f>SUMIFS('Live Collections'!$T:$T,'Live Collections'!$D:$D,Disbursements!B543,'Live Collections'!$G:$G,Disbursements!C543)</f>
        <v>0</v>
      </c>
      <c r="AM543" s="541">
        <f t="shared" si="244"/>
        <v>0</v>
      </c>
      <c r="AN543" s="542">
        <f t="shared" si="245"/>
        <v>260000</v>
      </c>
      <c r="AO543" s="542">
        <f t="shared" si="246"/>
        <v>1000000</v>
      </c>
      <c r="AP543" s="543">
        <f t="shared" si="247"/>
        <v>1260000</v>
      </c>
      <c r="AQ543" s="544">
        <f t="shared" ca="1" si="248"/>
        <v>1260000</v>
      </c>
      <c r="AR543" s="545">
        <f t="shared" ca="1" si="249"/>
        <v>4</v>
      </c>
      <c r="AS543" s="545">
        <f ca="1">IFERROR(CEILING($AR543*VLOOKUP($I543,Ref!$B$23:$E$29,4,0),1),0)</f>
        <v>120</v>
      </c>
      <c r="AT543" s="545" t="str">
        <f ca="1">IF(A543="","",IF(AP543&lt;=1,"Cleared",IF(AS543=0,"Clean",VLOOKUP($AS543,Ref!$G$23:$H$28,2))))</f>
        <v>4.(91-365) Days</v>
      </c>
      <c r="AU543" s="546" t="str">
        <f t="shared" si="250"/>
        <v>Ok</v>
      </c>
    </row>
    <row r="544" spans="1:47" ht="14.25" hidden="1" customHeight="1" x14ac:dyDescent="0.15">
      <c r="A544" s="575">
        <v>44708</v>
      </c>
      <c r="B544" s="523">
        <v>71</v>
      </c>
      <c r="C544" s="523">
        <v>542</v>
      </c>
      <c r="D544" s="523">
        <v>5</v>
      </c>
      <c r="E544" s="579" t="s">
        <v>1274</v>
      </c>
      <c r="F544" s="580">
        <v>3000000</v>
      </c>
      <c r="G544" s="524">
        <v>1</v>
      </c>
      <c r="H544" s="555">
        <v>6.5000000000000002E-2</v>
      </c>
      <c r="I544" s="560" t="s">
        <v>859</v>
      </c>
      <c r="J544" s="523" t="s">
        <v>862</v>
      </c>
      <c r="K544" s="528" t="str">
        <f>IFERROR(VLOOKUP($B544,'Clients-Live'!$A:$C,3,0),"")</f>
        <v>AYIKORU HARIET BAUDI</v>
      </c>
      <c r="L544" s="528">
        <f>IF(E544="STL",Pricing!$D$38,IF(A544="",0,IF(A544&lt;Pricing!$C$25,Pricing!$D$25,VLOOKUP(Disbursements!$F544,Pricing!$B$29:$D$32,3))))</f>
        <v>30000</v>
      </c>
      <c r="M544" s="528">
        <f>IF(E544="STL",0,IF(F544&gt;0,Pricing!$D$21,0))</f>
        <v>5000</v>
      </c>
      <c r="N544" s="529">
        <f>IF(E544="STL",F544*Pricing!$D$40,IF(A544&lt;=Pricing!$C$4,0,IF(AND(A544&gt;Pricing!$C$4,Disbursements!A544&lt;=Pricing!$C$5),F544*Pricing!$E$5,IF(AND(A544&gt;Pricing!$C$5,Disbursements!A544&lt;=Pricing!$C$7),VLOOKUP(F544,Pricing!$D$7:$E$8,2)*Disbursements!F544,F544*Pricing!$E$9))))</f>
        <v>60000</v>
      </c>
      <c r="O544" s="528">
        <f>IF(E544="STL",0,IF($F544&gt;0,$F544*Pricing!$D$17,0))</f>
        <v>300000</v>
      </c>
      <c r="P544" s="530">
        <f t="shared" si="230"/>
        <v>195000</v>
      </c>
      <c r="Q544" s="531">
        <f>IF($A544="","",$G544/VLOOKUP($I544,Ref!$B$23:$D$29,2,0))</f>
        <v>1</v>
      </c>
      <c r="R544" s="530">
        <f t="shared" si="231"/>
        <v>3195000</v>
      </c>
      <c r="S544" s="532">
        <f t="shared" si="225"/>
        <v>3195000</v>
      </c>
      <c r="T544" s="531">
        <f t="shared" si="232"/>
        <v>3195000</v>
      </c>
      <c r="U544" s="533">
        <f t="shared" si="233"/>
        <v>3195000</v>
      </c>
      <c r="V544" s="531">
        <f t="shared" si="234"/>
        <v>3000000</v>
      </c>
      <c r="W544" s="531">
        <f t="shared" si="235"/>
        <v>195000</v>
      </c>
      <c r="X544" s="534">
        <f t="shared" si="236"/>
        <v>195000</v>
      </c>
      <c r="Y544" s="535">
        <f>IF($A544="","",IF($I544="weekly",$A544+7,EDATE($A544,VLOOKUP($I544,Ref!$B$24:$C$29,2,0))))</f>
        <v>44739</v>
      </c>
      <c r="Z544" s="536" t="str">
        <f t="shared" si="237"/>
        <v>Mon</v>
      </c>
      <c r="AA544" s="531">
        <f t="shared" si="238"/>
        <v>31</v>
      </c>
      <c r="AB544" s="535">
        <f t="shared" si="226"/>
        <v>44739</v>
      </c>
      <c r="AC544" s="537">
        <f t="shared" si="227"/>
        <v>31</v>
      </c>
      <c r="AD544" s="538" t="str">
        <f t="shared" ca="1" si="228"/>
        <v>Expired</v>
      </c>
      <c r="AE544" s="537">
        <f t="shared" ca="1" si="229"/>
        <v>0</v>
      </c>
      <c r="AF544" s="539">
        <f t="shared" ca="1" si="239"/>
        <v>1</v>
      </c>
      <c r="AG544" s="531">
        <f t="shared" ca="1" si="240"/>
        <v>3195000</v>
      </c>
      <c r="AH544" s="531">
        <f t="shared" ca="1" si="241"/>
        <v>195000</v>
      </c>
      <c r="AI544" s="531">
        <f t="shared" ca="1" si="242"/>
        <v>3000000</v>
      </c>
      <c r="AJ544" s="531">
        <f t="shared" ca="1" si="243"/>
        <v>0</v>
      </c>
      <c r="AK544" s="540">
        <f>SUMIFS('Live Collections'!$S:$S,'Live Collections'!$D:$D,Disbursements!B544,'Live Collections'!$G:$G,Disbursements!C544)</f>
        <v>0</v>
      </c>
      <c r="AL544" s="540">
        <f>SUMIFS('Live Collections'!$T:$T,'Live Collections'!$D:$D,Disbursements!B544,'Live Collections'!$G:$G,Disbursements!C544)</f>
        <v>0</v>
      </c>
      <c r="AM544" s="541">
        <f t="shared" si="244"/>
        <v>0</v>
      </c>
      <c r="AN544" s="542">
        <f t="shared" si="245"/>
        <v>195000</v>
      </c>
      <c r="AO544" s="542">
        <f t="shared" si="246"/>
        <v>3000000</v>
      </c>
      <c r="AP544" s="543">
        <f t="shared" si="247"/>
        <v>3195000</v>
      </c>
      <c r="AQ544" s="544">
        <f t="shared" ca="1" si="248"/>
        <v>3195000</v>
      </c>
      <c r="AR544" s="545">
        <f t="shared" ca="1" si="249"/>
        <v>1</v>
      </c>
      <c r="AS544" s="545">
        <f ca="1">IFERROR(CEILING($AR544*VLOOKUP($I544,Ref!$B$23:$E$29,4,0),1),0)</f>
        <v>30</v>
      </c>
      <c r="AT544" s="545" t="str">
        <f ca="1">IF(A544="","",IF(AP544&lt;=1,"Cleared",IF(AS544=0,"Clean",VLOOKUP($AS544,Ref!$G$23:$H$28,2))))</f>
        <v>1.(0-30) Days</v>
      </c>
      <c r="AU544" s="546" t="str">
        <f t="shared" si="250"/>
        <v>Ok</v>
      </c>
    </row>
    <row r="545" spans="1:47" ht="14.25" hidden="1" customHeight="1" x14ac:dyDescent="0.15">
      <c r="A545" s="575">
        <v>44708</v>
      </c>
      <c r="B545" s="523">
        <v>229</v>
      </c>
      <c r="C545" s="523">
        <v>543</v>
      </c>
      <c r="D545" s="523">
        <v>3</v>
      </c>
      <c r="E545" s="579" t="s">
        <v>1274</v>
      </c>
      <c r="F545" s="580">
        <v>1500000</v>
      </c>
      <c r="G545" s="524">
        <v>6</v>
      </c>
      <c r="H545" s="555">
        <v>6.5000000000000002E-2</v>
      </c>
      <c r="I545" s="560" t="s">
        <v>859</v>
      </c>
      <c r="J545" s="523" t="s">
        <v>864</v>
      </c>
      <c r="K545" s="528" t="str">
        <f>IFERROR(VLOOKUP($B545,'Clients-Live'!$A:$C,3,0),"")</f>
        <v>DAWA ANNET</v>
      </c>
      <c r="L545" s="528">
        <f>IF(E545="STL",Pricing!$D$38,IF(A545="",0,IF(A545&lt;Pricing!$C$25,Pricing!$D$25,VLOOKUP(Disbursements!$F545,Pricing!$B$29:$D$32,3))))</f>
        <v>25000</v>
      </c>
      <c r="M545" s="528">
        <f>IF(E545="STL",0,IF(F545&gt;0,Pricing!$D$21,0))</f>
        <v>5000</v>
      </c>
      <c r="N545" s="529">
        <f>IF(E545="STL",F545*Pricing!$D$40,IF(A545&lt;=Pricing!$C$4,0,IF(AND(A545&gt;Pricing!$C$4,Disbursements!A545&lt;=Pricing!$C$5),F545*Pricing!$E$5,IF(AND(A545&gt;Pricing!$C$5,Disbursements!A545&lt;=Pricing!$C$7),VLOOKUP(F545,Pricing!$D$7:$E$8,2)*Disbursements!F545,F545*Pricing!$E$9))))</f>
        <v>30000</v>
      </c>
      <c r="O545" s="528">
        <f>IF(E545="STL",0,IF($F545&gt;0,$F545*Pricing!$D$17,0))</f>
        <v>150000</v>
      </c>
      <c r="P545" s="530">
        <f t="shared" si="230"/>
        <v>585000</v>
      </c>
      <c r="Q545" s="531">
        <f>IF($A545="","",$G545/VLOOKUP($I545,Ref!$B$23:$D$29,2,0))</f>
        <v>6</v>
      </c>
      <c r="R545" s="530">
        <f t="shared" si="231"/>
        <v>2085000</v>
      </c>
      <c r="S545" s="532">
        <f t="shared" si="225"/>
        <v>347500</v>
      </c>
      <c r="T545" s="531">
        <f t="shared" si="232"/>
        <v>348000</v>
      </c>
      <c r="U545" s="533">
        <f t="shared" si="233"/>
        <v>2088000</v>
      </c>
      <c r="V545" s="531">
        <f t="shared" si="234"/>
        <v>250000</v>
      </c>
      <c r="W545" s="531">
        <f t="shared" si="235"/>
        <v>98000</v>
      </c>
      <c r="X545" s="534">
        <f t="shared" si="236"/>
        <v>588000</v>
      </c>
      <c r="Y545" s="535">
        <f>IF($A545="","",IF($I545="weekly",$A545+7,EDATE($A545,VLOOKUP($I545,Ref!$B$24:$C$29,2,0))))</f>
        <v>44739</v>
      </c>
      <c r="Z545" s="536" t="str">
        <f t="shared" si="237"/>
        <v>Mon</v>
      </c>
      <c r="AA545" s="531">
        <f t="shared" si="238"/>
        <v>31</v>
      </c>
      <c r="AB545" s="535">
        <f t="shared" si="226"/>
        <v>44892</v>
      </c>
      <c r="AC545" s="537">
        <f t="shared" si="227"/>
        <v>184</v>
      </c>
      <c r="AD545" s="538" t="str">
        <f t="shared" ca="1" si="228"/>
        <v>Expired</v>
      </c>
      <c r="AE545" s="537">
        <f t="shared" ca="1" si="229"/>
        <v>0</v>
      </c>
      <c r="AF545" s="539">
        <f t="shared" ca="1" si="239"/>
        <v>6</v>
      </c>
      <c r="AG545" s="531">
        <f t="shared" ca="1" si="240"/>
        <v>2088000</v>
      </c>
      <c r="AH545" s="531">
        <f t="shared" ca="1" si="241"/>
        <v>588000</v>
      </c>
      <c r="AI545" s="531">
        <f t="shared" ca="1" si="242"/>
        <v>1500000</v>
      </c>
      <c r="AJ545" s="531">
        <f t="shared" ca="1" si="243"/>
        <v>0</v>
      </c>
      <c r="AK545" s="540">
        <f>SUMIFS('Live Collections'!$S:$S,'Live Collections'!$D:$D,Disbursements!B545,'Live Collections'!$G:$G,Disbursements!C545)</f>
        <v>0</v>
      </c>
      <c r="AL545" s="540">
        <f>SUMIFS('Live Collections'!$T:$T,'Live Collections'!$D:$D,Disbursements!B545,'Live Collections'!$G:$G,Disbursements!C545)</f>
        <v>0</v>
      </c>
      <c r="AM545" s="541">
        <f t="shared" si="244"/>
        <v>0</v>
      </c>
      <c r="AN545" s="542">
        <f t="shared" si="245"/>
        <v>588000</v>
      </c>
      <c r="AO545" s="542">
        <f t="shared" si="246"/>
        <v>1500000</v>
      </c>
      <c r="AP545" s="543">
        <f t="shared" si="247"/>
        <v>2088000</v>
      </c>
      <c r="AQ545" s="544">
        <f t="shared" ca="1" si="248"/>
        <v>2088000</v>
      </c>
      <c r="AR545" s="545">
        <f t="shared" ca="1" si="249"/>
        <v>6</v>
      </c>
      <c r="AS545" s="545">
        <f ca="1">IFERROR(CEILING($AR545*VLOOKUP($I545,Ref!$B$23:$E$29,4,0),1),0)</f>
        <v>180</v>
      </c>
      <c r="AT545" s="545" t="str">
        <f ca="1">IF(A545="","",IF(AP545&lt;=1,"Cleared",IF(AS545=0,"Clean",VLOOKUP($AS545,Ref!$G$23:$H$28,2))))</f>
        <v>4.(91-365) Days</v>
      </c>
      <c r="AU545" s="546" t="str">
        <f t="shared" si="250"/>
        <v>Ok</v>
      </c>
    </row>
    <row r="546" spans="1:47" ht="14.25" hidden="1" customHeight="1" x14ac:dyDescent="0.15">
      <c r="A546" s="523"/>
      <c r="B546" s="523"/>
      <c r="C546" s="523"/>
      <c r="D546" s="523"/>
      <c r="E546" s="579"/>
      <c r="F546" s="580"/>
      <c r="G546" s="524"/>
      <c r="H546" s="555"/>
      <c r="I546" s="560"/>
      <c r="J546" s="523"/>
      <c r="K546" s="528" t="str">
        <f>IFERROR(VLOOKUP($B546,'Clients-Live'!$A:$C,3,0),"")</f>
        <v/>
      </c>
      <c r="L546" s="528">
        <f>IF(E546="STL",Pricing!$D$38,IF(A546="",0,IF(A546&lt;Pricing!$C$25,Pricing!$D$25,VLOOKUP(Disbursements!$F546,Pricing!$B$29:$D$32,3))))</f>
        <v>0</v>
      </c>
      <c r="M546" s="528">
        <f>IF(E546="STL",0,IF(F546&gt;0,Pricing!$D$21,0))</f>
        <v>0</v>
      </c>
      <c r="N546" s="529">
        <f>IF(E546="STL",F546*Pricing!$D$40,IF(A546&lt;=Pricing!$C$4,0,IF(AND(A546&gt;Pricing!$C$4,Disbursements!A546&lt;=Pricing!$C$5),F546*Pricing!$E$5,IF(AND(A546&gt;Pricing!$C$5,Disbursements!A546&lt;=Pricing!$C$7),VLOOKUP(F546,Pricing!$D$7:$E$8,2)*Disbursements!F546,F546*Pricing!$E$9))))</f>
        <v>0</v>
      </c>
      <c r="O546" s="528">
        <f>IF(E546="STL",0,IF($F546&gt;0,$F546*Pricing!$D$17,0))</f>
        <v>0</v>
      </c>
      <c r="P546" s="530" t="str">
        <f t="shared" si="230"/>
        <v/>
      </c>
      <c r="Q546" s="531" t="str">
        <f>IF($A546="","",$G546/VLOOKUP($I546,Ref!$B$23:$D$29,2,0))</f>
        <v/>
      </c>
      <c r="R546" s="530" t="str">
        <f t="shared" si="231"/>
        <v/>
      </c>
      <c r="S546" s="532" t="str">
        <f t="shared" si="225"/>
        <v/>
      </c>
      <c r="T546" s="531" t="str">
        <f t="shared" si="232"/>
        <v/>
      </c>
      <c r="U546" s="533">
        <f t="shared" si="233"/>
        <v>0</v>
      </c>
      <c r="V546" s="531" t="str">
        <f t="shared" si="234"/>
        <v/>
      </c>
      <c r="W546" s="531" t="str">
        <f t="shared" si="235"/>
        <v/>
      </c>
      <c r="X546" s="534" t="str">
        <f t="shared" si="236"/>
        <v/>
      </c>
      <c r="Y546" s="535" t="str">
        <f>IF($A546="","",IF($I546="weekly",$A546+7,EDATE($A546,VLOOKUP($I546,Ref!$B$24:$C$29,2,0))))</f>
        <v/>
      </c>
      <c r="Z546" s="536" t="str">
        <f t="shared" si="237"/>
        <v/>
      </c>
      <c r="AA546" s="531">
        <f t="shared" si="238"/>
        <v>0</v>
      </c>
      <c r="AB546" s="535" t="str">
        <f t="shared" si="226"/>
        <v/>
      </c>
      <c r="AC546" s="537" t="str">
        <f t="shared" si="227"/>
        <v/>
      </c>
      <c r="AD546" s="538" t="str">
        <f t="shared" ca="1" si="228"/>
        <v/>
      </c>
      <c r="AE546" s="537">
        <f t="shared" ca="1" si="229"/>
        <v>0</v>
      </c>
      <c r="AF546" s="539" t="str">
        <f t="shared" ca="1" si="239"/>
        <v/>
      </c>
      <c r="AG546" s="531" t="str">
        <f t="shared" ca="1" si="240"/>
        <v/>
      </c>
      <c r="AH546" s="531" t="str">
        <f t="shared" ca="1" si="241"/>
        <v/>
      </c>
      <c r="AI546" s="531" t="str">
        <f t="shared" ca="1" si="242"/>
        <v/>
      </c>
      <c r="AJ546" s="531" t="str">
        <f t="shared" si="243"/>
        <v/>
      </c>
      <c r="AK546" s="540">
        <f>SUMIFS('Live Collections'!$S:$S,'Live Collections'!$D:$D,Disbursements!B546,'Live Collections'!$G:$G,Disbursements!C546)</f>
        <v>0</v>
      </c>
      <c r="AL546" s="540">
        <f>SUMIFS('Live Collections'!$T:$T,'Live Collections'!$D:$D,Disbursements!B546,'Live Collections'!$G:$G,Disbursements!C546)</f>
        <v>0</v>
      </c>
      <c r="AM546" s="541">
        <f t="shared" si="244"/>
        <v>0</v>
      </c>
      <c r="AN546" s="542" t="str">
        <f t="shared" si="245"/>
        <v/>
      </c>
      <c r="AO546" s="542" t="str">
        <f t="shared" si="246"/>
        <v/>
      </c>
      <c r="AP546" s="543" t="str">
        <f t="shared" si="247"/>
        <v/>
      </c>
      <c r="AQ546" s="544" t="str">
        <f t="shared" si="248"/>
        <v/>
      </c>
      <c r="AR546" s="545">
        <f t="shared" si="249"/>
        <v>0</v>
      </c>
      <c r="AS546" s="545">
        <f>IFERROR(CEILING($AR546*VLOOKUP($I546,Ref!$B$23:$E$29,4,0),1),0)</f>
        <v>0</v>
      </c>
      <c r="AT546" s="545" t="str">
        <f>IF(A546="","",IF(AP546&lt;=1,"Cleared",IF(AS546=0,"Clean",VLOOKUP($AS546,Ref!$G$23:$H$28,2))))</f>
        <v/>
      </c>
      <c r="AU546" s="546" t="str">
        <f t="shared" si="250"/>
        <v/>
      </c>
    </row>
    <row r="547" spans="1:47" ht="14.25" hidden="1" customHeight="1" x14ac:dyDescent="0.15">
      <c r="A547" s="523"/>
      <c r="B547" s="523"/>
      <c r="C547" s="523"/>
      <c r="D547" s="523"/>
      <c r="E547" s="579"/>
      <c r="F547" s="580"/>
      <c r="G547" s="524"/>
      <c r="H547" s="555"/>
      <c r="I547" s="560"/>
      <c r="J547" s="523"/>
      <c r="K547" s="528" t="str">
        <f>IFERROR(VLOOKUP($B547,'Clients-Live'!$A:$C,3,0),"")</f>
        <v/>
      </c>
      <c r="L547" s="528">
        <f>IF(E547="STL",Pricing!$D$38,IF(A547="",0,IF(A547&lt;Pricing!$C$25,Pricing!$D$25,VLOOKUP(Disbursements!$F547,Pricing!$B$29:$D$32,3))))</f>
        <v>0</v>
      </c>
      <c r="M547" s="528">
        <f>IF(E547="STL",0,IF(F547&gt;0,Pricing!$D$21,0))</f>
        <v>0</v>
      </c>
      <c r="N547" s="529">
        <f>IF(E547="STL",F547*Pricing!$D$40,IF(A547&lt;=Pricing!$C$4,0,IF(AND(A547&gt;Pricing!$C$4,Disbursements!A547&lt;=Pricing!$C$5),F547*Pricing!$E$5,IF(AND(A547&gt;Pricing!$C$5,Disbursements!A547&lt;=Pricing!$C$7),VLOOKUP(F547,Pricing!$D$7:$E$8,2)*Disbursements!F547,F547*Pricing!$E$9))))</f>
        <v>0</v>
      </c>
      <c r="O547" s="528">
        <f>IF(E547="STL",0,IF($F547&gt;0,$F547*Pricing!$D$17,0))</f>
        <v>0</v>
      </c>
      <c r="P547" s="530" t="str">
        <f t="shared" si="230"/>
        <v/>
      </c>
      <c r="Q547" s="531" t="str">
        <f>IF($A547="","",$G547/VLOOKUP($I547,Ref!$B$23:$D$29,2,0))</f>
        <v/>
      </c>
      <c r="R547" s="530" t="str">
        <f t="shared" si="231"/>
        <v/>
      </c>
      <c r="S547" s="532" t="str">
        <f t="shared" si="225"/>
        <v/>
      </c>
      <c r="T547" s="531" t="str">
        <f t="shared" si="232"/>
        <v/>
      </c>
      <c r="U547" s="533">
        <f t="shared" si="233"/>
        <v>0</v>
      </c>
      <c r="V547" s="531" t="str">
        <f t="shared" si="234"/>
        <v/>
      </c>
      <c r="W547" s="531" t="str">
        <f t="shared" si="235"/>
        <v/>
      </c>
      <c r="X547" s="534" t="str">
        <f t="shared" si="236"/>
        <v/>
      </c>
      <c r="Y547" s="535" t="str">
        <f>IF($A547="","",IF($I547="weekly",$A547+7,EDATE($A547,VLOOKUP($I547,Ref!$B$24:$C$29,2,0))))</f>
        <v/>
      </c>
      <c r="Z547" s="536" t="str">
        <f t="shared" si="237"/>
        <v/>
      </c>
      <c r="AA547" s="531">
        <f t="shared" si="238"/>
        <v>0</v>
      </c>
      <c r="AB547" s="535" t="str">
        <f t="shared" si="226"/>
        <v/>
      </c>
      <c r="AC547" s="537" t="str">
        <f t="shared" si="227"/>
        <v/>
      </c>
      <c r="AD547" s="538" t="str">
        <f t="shared" ca="1" si="228"/>
        <v/>
      </c>
      <c r="AE547" s="537">
        <f t="shared" ca="1" si="229"/>
        <v>0</v>
      </c>
      <c r="AF547" s="539" t="str">
        <f t="shared" ca="1" si="239"/>
        <v/>
      </c>
      <c r="AG547" s="531" t="str">
        <f t="shared" ca="1" si="240"/>
        <v/>
      </c>
      <c r="AH547" s="531" t="str">
        <f t="shared" ca="1" si="241"/>
        <v/>
      </c>
      <c r="AI547" s="531" t="str">
        <f t="shared" ca="1" si="242"/>
        <v/>
      </c>
      <c r="AJ547" s="531" t="str">
        <f t="shared" si="243"/>
        <v/>
      </c>
      <c r="AK547" s="540">
        <f>SUMIFS('Live Collections'!$S:$S,'Live Collections'!$D:$D,Disbursements!B547,'Live Collections'!$G:$G,Disbursements!C547)</f>
        <v>0</v>
      </c>
      <c r="AL547" s="540">
        <f>SUMIFS('Live Collections'!$T:$T,'Live Collections'!$D:$D,Disbursements!B547,'Live Collections'!$G:$G,Disbursements!C547)</f>
        <v>0</v>
      </c>
      <c r="AM547" s="541">
        <f t="shared" si="244"/>
        <v>0</v>
      </c>
      <c r="AN547" s="542" t="str">
        <f t="shared" si="245"/>
        <v/>
      </c>
      <c r="AO547" s="542" t="str">
        <f t="shared" si="246"/>
        <v/>
      </c>
      <c r="AP547" s="543" t="str">
        <f t="shared" si="247"/>
        <v/>
      </c>
      <c r="AQ547" s="544" t="str">
        <f t="shared" si="248"/>
        <v/>
      </c>
      <c r="AR547" s="545">
        <f t="shared" si="249"/>
        <v>0</v>
      </c>
      <c r="AS547" s="545">
        <f>IFERROR(CEILING($AR547*VLOOKUP($I547,Ref!$B$23:$E$29,4,0),1),0)</f>
        <v>0</v>
      </c>
      <c r="AT547" s="545" t="str">
        <f>IF(A547="","",IF(AP547&lt;=1,"Cleared",IF(AS547=0,"Clean",VLOOKUP($AS547,Ref!$G$23:$H$28,2))))</f>
        <v/>
      </c>
      <c r="AU547" s="546" t="str">
        <f t="shared" si="250"/>
        <v/>
      </c>
    </row>
    <row r="548" spans="1:47" ht="14.25" hidden="1" customHeight="1" x14ac:dyDescent="0.15">
      <c r="A548" s="523"/>
      <c r="B548" s="523"/>
      <c r="C548" s="523"/>
      <c r="D548" s="523"/>
      <c r="E548" s="579"/>
      <c r="F548" s="580"/>
      <c r="G548" s="524"/>
      <c r="H548" s="555"/>
      <c r="I548" s="560"/>
      <c r="J548" s="523"/>
      <c r="K548" s="528" t="str">
        <f>IFERROR(VLOOKUP($B548,'Clients-Live'!$A:$C,3,0),"")</f>
        <v/>
      </c>
      <c r="L548" s="528">
        <f>IF(E548="STL",Pricing!$D$38,IF(A548="",0,IF(A548&lt;Pricing!$C$25,Pricing!$D$25,VLOOKUP(Disbursements!$F548,Pricing!$B$29:$D$32,3))))</f>
        <v>0</v>
      </c>
      <c r="M548" s="528">
        <f>IF(E548="STL",0,IF(F548&gt;0,Pricing!$D$21,0))</f>
        <v>0</v>
      </c>
      <c r="N548" s="529">
        <f>IF(E548="STL",F548*Pricing!$D$40,IF(A548&lt;=Pricing!$C$4,0,IF(AND(A548&gt;Pricing!$C$4,Disbursements!A548&lt;=Pricing!$C$5),F548*Pricing!$E$5,IF(AND(A548&gt;Pricing!$C$5,Disbursements!A548&lt;=Pricing!$C$7),VLOOKUP(F548,Pricing!$D$7:$E$8,2)*Disbursements!F548,F548*Pricing!$E$9))))</f>
        <v>0</v>
      </c>
      <c r="O548" s="528">
        <f>IF(E548="STL",0,IF($F548&gt;0,$F548*Pricing!$D$17,0))</f>
        <v>0</v>
      </c>
      <c r="P548" s="530" t="str">
        <f t="shared" si="230"/>
        <v/>
      </c>
      <c r="Q548" s="531" t="str">
        <f>IF($A548="","",$G548/VLOOKUP($I548,Ref!$B$23:$D$29,2,0))</f>
        <v/>
      </c>
      <c r="R548" s="530" t="str">
        <f t="shared" si="231"/>
        <v/>
      </c>
      <c r="S548" s="532" t="str">
        <f t="shared" si="225"/>
        <v/>
      </c>
      <c r="T548" s="531" t="str">
        <f t="shared" si="232"/>
        <v/>
      </c>
      <c r="U548" s="533">
        <f t="shared" si="233"/>
        <v>0</v>
      </c>
      <c r="V548" s="531" t="str">
        <f t="shared" si="234"/>
        <v/>
      </c>
      <c r="W548" s="531" t="str">
        <f t="shared" si="235"/>
        <v/>
      </c>
      <c r="X548" s="534" t="str">
        <f t="shared" si="236"/>
        <v/>
      </c>
      <c r="Y548" s="535" t="str">
        <f>IF($A548="","",IF($I548="weekly",$A548+7,EDATE($A548,VLOOKUP($I548,Ref!$B$24:$C$29,2,0))))</f>
        <v/>
      </c>
      <c r="Z548" s="536" t="str">
        <f t="shared" si="237"/>
        <v/>
      </c>
      <c r="AA548" s="531">
        <f t="shared" si="238"/>
        <v>0</v>
      </c>
      <c r="AB548" s="535" t="str">
        <f t="shared" si="226"/>
        <v/>
      </c>
      <c r="AC548" s="537" t="str">
        <f t="shared" si="227"/>
        <v/>
      </c>
      <c r="AD548" s="538" t="str">
        <f t="shared" ca="1" si="228"/>
        <v/>
      </c>
      <c r="AE548" s="537">
        <f t="shared" ca="1" si="229"/>
        <v>0</v>
      </c>
      <c r="AF548" s="539" t="str">
        <f t="shared" ca="1" si="239"/>
        <v/>
      </c>
      <c r="AG548" s="531" t="str">
        <f t="shared" ca="1" si="240"/>
        <v/>
      </c>
      <c r="AH548" s="531" t="str">
        <f t="shared" ca="1" si="241"/>
        <v/>
      </c>
      <c r="AI548" s="531" t="str">
        <f t="shared" ca="1" si="242"/>
        <v/>
      </c>
      <c r="AJ548" s="531" t="str">
        <f t="shared" si="243"/>
        <v/>
      </c>
      <c r="AK548" s="540">
        <f>SUMIFS('Live Collections'!$S:$S,'Live Collections'!$D:$D,Disbursements!B548,'Live Collections'!$G:$G,Disbursements!C548)</f>
        <v>0</v>
      </c>
      <c r="AL548" s="540">
        <f>SUMIFS('Live Collections'!$T:$T,'Live Collections'!$D:$D,Disbursements!B548,'Live Collections'!$G:$G,Disbursements!C548)</f>
        <v>0</v>
      </c>
      <c r="AM548" s="541">
        <f t="shared" si="244"/>
        <v>0</v>
      </c>
      <c r="AN548" s="542" t="str">
        <f t="shared" si="245"/>
        <v/>
      </c>
      <c r="AO548" s="542" t="str">
        <f t="shared" si="246"/>
        <v/>
      </c>
      <c r="AP548" s="543" t="str">
        <f t="shared" si="247"/>
        <v/>
      </c>
      <c r="AQ548" s="544" t="str">
        <f t="shared" si="248"/>
        <v/>
      </c>
      <c r="AR548" s="545">
        <f t="shared" si="249"/>
        <v>0</v>
      </c>
      <c r="AS548" s="545">
        <f>IFERROR(CEILING($AR548*VLOOKUP($I548,Ref!$B$23:$E$29,4,0),1),0)</f>
        <v>0</v>
      </c>
      <c r="AT548" s="545" t="str">
        <f>IF(A548="","",IF(AP548&lt;=1,"Cleared",IF(AS548=0,"Clean",VLOOKUP($AS548,Ref!$G$23:$H$28,2))))</f>
        <v/>
      </c>
      <c r="AU548" s="546" t="str">
        <f t="shared" si="250"/>
        <v/>
      </c>
    </row>
    <row r="549" spans="1:47" ht="14.25" hidden="1" customHeight="1" x14ac:dyDescent="0.15">
      <c r="A549" s="523"/>
      <c r="B549" s="523"/>
      <c r="C549" s="523"/>
      <c r="D549" s="523"/>
      <c r="E549" s="579"/>
      <c r="F549" s="580"/>
      <c r="G549" s="524"/>
      <c r="H549" s="555"/>
      <c r="I549" s="560"/>
      <c r="J549" s="523"/>
      <c r="K549" s="528" t="str">
        <f>IFERROR(VLOOKUP($B549,'Clients-Live'!$A:$C,3,0),"")</f>
        <v/>
      </c>
      <c r="L549" s="528">
        <f>IF(E549="STL",Pricing!$D$38,IF(A549="",0,IF(A549&lt;Pricing!$C$25,Pricing!$D$25,VLOOKUP(Disbursements!$F549,Pricing!$B$29:$D$32,3))))</f>
        <v>0</v>
      </c>
      <c r="M549" s="528">
        <f>IF(E549="STL",0,IF(F549&gt;0,Pricing!$D$21,0))</f>
        <v>0</v>
      </c>
      <c r="N549" s="529">
        <f>IF(E549="STL",F549*Pricing!$D$40,IF(A549&lt;=Pricing!$C$4,0,IF(AND(A549&gt;Pricing!$C$4,Disbursements!A549&lt;=Pricing!$C$5),F549*Pricing!$E$5,IF(AND(A549&gt;Pricing!$C$5,Disbursements!A549&lt;=Pricing!$C$7),VLOOKUP(F549,Pricing!$D$7:$E$8,2)*Disbursements!F549,F549*Pricing!$E$9))))</f>
        <v>0</v>
      </c>
      <c r="O549" s="528">
        <f>IF(E549="STL",0,IF($F549&gt;0,$F549*Pricing!$D$17,0))</f>
        <v>0</v>
      </c>
      <c r="P549" s="530" t="str">
        <f t="shared" si="230"/>
        <v/>
      </c>
      <c r="Q549" s="531" t="str">
        <f>IF($A549="","",$G549/VLOOKUP($I549,Ref!$B$23:$D$29,2,0))</f>
        <v/>
      </c>
      <c r="R549" s="530" t="str">
        <f t="shared" si="231"/>
        <v/>
      </c>
      <c r="S549" s="532" t="str">
        <f t="shared" si="225"/>
        <v/>
      </c>
      <c r="T549" s="531" t="str">
        <f t="shared" si="232"/>
        <v/>
      </c>
      <c r="U549" s="533">
        <f t="shared" si="233"/>
        <v>0</v>
      </c>
      <c r="V549" s="531" t="str">
        <f t="shared" si="234"/>
        <v/>
      </c>
      <c r="W549" s="531" t="str">
        <f t="shared" si="235"/>
        <v/>
      </c>
      <c r="X549" s="534" t="str">
        <f t="shared" si="236"/>
        <v/>
      </c>
      <c r="Y549" s="535" t="str">
        <f>IF($A549="","",IF($I549="weekly",$A549+7,EDATE($A549,VLOOKUP($I549,Ref!$B$24:$C$29,2,0))))</f>
        <v/>
      </c>
      <c r="Z549" s="536" t="str">
        <f t="shared" si="237"/>
        <v/>
      </c>
      <c r="AA549" s="531">
        <f t="shared" si="238"/>
        <v>0</v>
      </c>
      <c r="AB549" s="535" t="str">
        <f t="shared" si="226"/>
        <v/>
      </c>
      <c r="AC549" s="537" t="str">
        <f t="shared" si="227"/>
        <v/>
      </c>
      <c r="AD549" s="538" t="str">
        <f t="shared" ca="1" si="228"/>
        <v/>
      </c>
      <c r="AE549" s="537">
        <f t="shared" ca="1" si="229"/>
        <v>0</v>
      </c>
      <c r="AF549" s="539" t="str">
        <f t="shared" ca="1" si="239"/>
        <v/>
      </c>
      <c r="AG549" s="531" t="str">
        <f t="shared" ca="1" si="240"/>
        <v/>
      </c>
      <c r="AH549" s="531" t="str">
        <f t="shared" ca="1" si="241"/>
        <v/>
      </c>
      <c r="AI549" s="531" t="str">
        <f t="shared" ca="1" si="242"/>
        <v/>
      </c>
      <c r="AJ549" s="531" t="str">
        <f t="shared" si="243"/>
        <v/>
      </c>
      <c r="AK549" s="540">
        <f>SUMIFS('Live Collections'!$S:$S,'Live Collections'!$D:$D,Disbursements!B549,'Live Collections'!$G:$G,Disbursements!C549)</f>
        <v>0</v>
      </c>
      <c r="AL549" s="540">
        <f>SUMIFS('Live Collections'!$T:$T,'Live Collections'!$D:$D,Disbursements!B549,'Live Collections'!$G:$G,Disbursements!C549)</f>
        <v>0</v>
      </c>
      <c r="AM549" s="541">
        <f t="shared" si="244"/>
        <v>0</v>
      </c>
      <c r="AN549" s="542" t="str">
        <f t="shared" si="245"/>
        <v/>
      </c>
      <c r="AO549" s="542" t="str">
        <f t="shared" si="246"/>
        <v/>
      </c>
      <c r="AP549" s="543" t="str">
        <f t="shared" si="247"/>
        <v/>
      </c>
      <c r="AQ549" s="544" t="str">
        <f t="shared" si="248"/>
        <v/>
      </c>
      <c r="AR549" s="545">
        <f t="shared" si="249"/>
        <v>0</v>
      </c>
      <c r="AS549" s="545">
        <f>IFERROR(CEILING($AR549*VLOOKUP($I549,Ref!$B$23:$E$29,4,0),1),0)</f>
        <v>0</v>
      </c>
      <c r="AT549" s="545" t="str">
        <f>IF(A549="","",IF(AP549&lt;=1,"Cleared",IF(AS549=0,"Clean",VLOOKUP($AS549,Ref!$G$23:$H$28,2))))</f>
        <v/>
      </c>
      <c r="AU549" s="546" t="str">
        <f t="shared" si="250"/>
        <v/>
      </c>
    </row>
    <row r="550" spans="1:47" ht="14.25" hidden="1" customHeight="1" x14ac:dyDescent="0.15">
      <c r="A550" s="523"/>
      <c r="B550" s="523"/>
      <c r="C550" s="523"/>
      <c r="D550" s="523"/>
      <c r="E550" s="579"/>
      <c r="F550" s="580"/>
      <c r="G550" s="524"/>
      <c r="H550" s="555"/>
      <c r="I550" s="560"/>
      <c r="J550" s="523"/>
      <c r="K550" s="528" t="str">
        <f>IFERROR(VLOOKUP($B550,'Clients-Live'!$A:$C,3,0),"")</f>
        <v/>
      </c>
      <c r="L550" s="528">
        <f>IF(E550="STL",Pricing!$D$38,IF(A550="",0,IF(A550&lt;Pricing!$C$25,Pricing!$D$25,VLOOKUP(Disbursements!$F550,Pricing!$B$29:$D$32,3))))</f>
        <v>0</v>
      </c>
      <c r="M550" s="528">
        <f>IF(E550="STL",0,IF(F550&gt;0,Pricing!$D$21,0))</f>
        <v>0</v>
      </c>
      <c r="N550" s="529">
        <f>IF(E550="STL",F550*Pricing!$D$40,IF(A550&lt;=Pricing!$C$4,0,IF(AND(A550&gt;Pricing!$C$4,Disbursements!A550&lt;=Pricing!$C$5),F550*Pricing!$E$5,IF(AND(A550&gt;Pricing!$C$5,Disbursements!A550&lt;=Pricing!$C$7),VLOOKUP(F550,Pricing!$D$7:$E$8,2)*Disbursements!F550,F550*Pricing!$E$9))))</f>
        <v>0</v>
      </c>
      <c r="O550" s="528">
        <f>IF(E550="STL",0,IF($F550&gt;0,$F550*Pricing!$D$17,0))</f>
        <v>0</v>
      </c>
      <c r="P550" s="530" t="str">
        <f t="shared" si="230"/>
        <v/>
      </c>
      <c r="Q550" s="531" t="str">
        <f>IF($A550="","",$G550/VLOOKUP($I550,Ref!$B$23:$D$29,2,0))</f>
        <v/>
      </c>
      <c r="R550" s="530" t="str">
        <f t="shared" si="231"/>
        <v/>
      </c>
      <c r="S550" s="532" t="str">
        <f t="shared" si="225"/>
        <v/>
      </c>
      <c r="T550" s="531" t="str">
        <f t="shared" si="232"/>
        <v/>
      </c>
      <c r="U550" s="533">
        <f t="shared" si="233"/>
        <v>0</v>
      </c>
      <c r="V550" s="531" t="str">
        <f t="shared" si="234"/>
        <v/>
      </c>
      <c r="W550" s="531" t="str">
        <f t="shared" si="235"/>
        <v/>
      </c>
      <c r="X550" s="534" t="str">
        <f t="shared" si="236"/>
        <v/>
      </c>
      <c r="Y550" s="535" t="str">
        <f>IF($A550="","",IF($I550="weekly",$A550+7,EDATE($A550,VLOOKUP($I550,Ref!$B$24:$C$29,2,0))))</f>
        <v/>
      </c>
      <c r="Z550" s="536" t="str">
        <f t="shared" si="237"/>
        <v/>
      </c>
      <c r="AA550" s="531">
        <f t="shared" si="238"/>
        <v>0</v>
      </c>
      <c r="AB550" s="535" t="str">
        <f t="shared" si="226"/>
        <v/>
      </c>
      <c r="AC550" s="537" t="str">
        <f t="shared" si="227"/>
        <v/>
      </c>
      <c r="AD550" s="538" t="str">
        <f t="shared" ca="1" si="228"/>
        <v/>
      </c>
      <c r="AE550" s="537">
        <f t="shared" ca="1" si="229"/>
        <v>0</v>
      </c>
      <c r="AF550" s="539" t="str">
        <f t="shared" ca="1" si="239"/>
        <v/>
      </c>
      <c r="AG550" s="531" t="str">
        <f t="shared" ca="1" si="240"/>
        <v/>
      </c>
      <c r="AH550" s="531" t="str">
        <f t="shared" ca="1" si="241"/>
        <v/>
      </c>
      <c r="AI550" s="531" t="str">
        <f t="shared" ca="1" si="242"/>
        <v/>
      </c>
      <c r="AJ550" s="531" t="str">
        <f t="shared" si="243"/>
        <v/>
      </c>
      <c r="AK550" s="540">
        <f>SUMIFS('Live Collections'!$S:$S,'Live Collections'!$D:$D,Disbursements!B550,'Live Collections'!$G:$G,Disbursements!C550)</f>
        <v>0</v>
      </c>
      <c r="AL550" s="540">
        <f>SUMIFS('Live Collections'!$T:$T,'Live Collections'!$D:$D,Disbursements!B550,'Live Collections'!$G:$G,Disbursements!C550)</f>
        <v>0</v>
      </c>
      <c r="AM550" s="541">
        <f t="shared" si="244"/>
        <v>0</v>
      </c>
      <c r="AN550" s="542" t="str">
        <f t="shared" si="245"/>
        <v/>
      </c>
      <c r="AO550" s="542" t="str">
        <f t="shared" si="246"/>
        <v/>
      </c>
      <c r="AP550" s="543" t="str">
        <f t="shared" si="247"/>
        <v/>
      </c>
      <c r="AQ550" s="544" t="str">
        <f t="shared" si="248"/>
        <v/>
      </c>
      <c r="AR550" s="545">
        <f t="shared" si="249"/>
        <v>0</v>
      </c>
      <c r="AS550" s="545">
        <f>IFERROR(CEILING($AR550*VLOOKUP($I550,Ref!$B$23:$E$29,4,0),1),0)</f>
        <v>0</v>
      </c>
      <c r="AT550" s="545" t="str">
        <f>IF(A550="","",IF(AP550&lt;=1,"Cleared",IF(AS550=0,"Clean",VLOOKUP($AS550,Ref!$G$23:$H$28,2))))</f>
        <v/>
      </c>
      <c r="AU550" s="546" t="str">
        <f t="shared" si="250"/>
        <v/>
      </c>
    </row>
    <row r="551" spans="1:47" ht="14.25" hidden="1" customHeight="1" x14ac:dyDescent="0.15">
      <c r="A551" s="523"/>
      <c r="B551" s="523"/>
      <c r="C551" s="523"/>
      <c r="D551" s="523"/>
      <c r="E551" s="579"/>
      <c r="F551" s="580"/>
      <c r="G551" s="524"/>
      <c r="H551" s="555"/>
      <c r="I551" s="560"/>
      <c r="J551" s="523"/>
      <c r="K551" s="528" t="str">
        <f>IFERROR(VLOOKUP($B551,'Clients-Live'!$A:$C,3,0),"")</f>
        <v/>
      </c>
      <c r="L551" s="528">
        <f>IF(E551="STL",Pricing!$D$38,IF(A551="",0,IF(A551&lt;Pricing!$C$25,Pricing!$D$25,VLOOKUP(Disbursements!$F551,Pricing!$B$29:$D$32,3))))</f>
        <v>0</v>
      </c>
      <c r="M551" s="528">
        <f>IF(E551="STL",0,IF(F551&gt;0,Pricing!$D$21,0))</f>
        <v>0</v>
      </c>
      <c r="N551" s="529">
        <f>IF(E551="STL",F551*Pricing!$D$40,IF(A551&lt;=Pricing!$C$4,0,IF(AND(A551&gt;Pricing!$C$4,Disbursements!A551&lt;=Pricing!$C$5),F551*Pricing!$E$5,IF(AND(A551&gt;Pricing!$C$5,Disbursements!A551&lt;=Pricing!$C$7),VLOOKUP(F551,Pricing!$D$7:$E$8,2)*Disbursements!F551,F551*Pricing!$E$9))))</f>
        <v>0</v>
      </c>
      <c r="O551" s="528">
        <f>IF(E551="STL",0,IF($F551&gt;0,$F551*Pricing!$D$17,0))</f>
        <v>0</v>
      </c>
      <c r="P551" s="530" t="str">
        <f t="shared" si="230"/>
        <v/>
      </c>
      <c r="Q551" s="531" t="str">
        <f>IF($A551="","",$G551/VLOOKUP($I551,Ref!$B$23:$D$29,2,0))</f>
        <v/>
      </c>
      <c r="R551" s="530" t="str">
        <f t="shared" si="231"/>
        <v/>
      </c>
      <c r="S551" s="532" t="str">
        <f t="shared" si="225"/>
        <v/>
      </c>
      <c r="T551" s="531" t="str">
        <f t="shared" si="232"/>
        <v/>
      </c>
      <c r="U551" s="533">
        <f t="shared" si="233"/>
        <v>0</v>
      </c>
      <c r="V551" s="531" t="str">
        <f t="shared" si="234"/>
        <v/>
      </c>
      <c r="W551" s="531" t="str">
        <f t="shared" si="235"/>
        <v/>
      </c>
      <c r="X551" s="534" t="str">
        <f t="shared" si="236"/>
        <v/>
      </c>
      <c r="Y551" s="535" t="str">
        <f>IF($A551="","",IF($I551="weekly",$A551+7,EDATE($A551,VLOOKUP($I551,Ref!$B$24:$C$29,2,0))))</f>
        <v/>
      </c>
      <c r="Z551" s="536" t="str">
        <f t="shared" si="237"/>
        <v/>
      </c>
      <c r="AA551" s="531">
        <f t="shared" si="238"/>
        <v>0</v>
      </c>
      <c r="AB551" s="535" t="str">
        <f t="shared" si="226"/>
        <v/>
      </c>
      <c r="AC551" s="537" t="str">
        <f t="shared" si="227"/>
        <v/>
      </c>
      <c r="AD551" s="538" t="str">
        <f t="shared" ca="1" si="228"/>
        <v/>
      </c>
      <c r="AE551" s="537">
        <f t="shared" ca="1" si="229"/>
        <v>0</v>
      </c>
      <c r="AF551" s="539" t="str">
        <f t="shared" ca="1" si="239"/>
        <v/>
      </c>
      <c r="AG551" s="531" t="str">
        <f t="shared" ca="1" si="240"/>
        <v/>
      </c>
      <c r="AH551" s="531" t="str">
        <f t="shared" ca="1" si="241"/>
        <v/>
      </c>
      <c r="AI551" s="531" t="str">
        <f t="shared" ca="1" si="242"/>
        <v/>
      </c>
      <c r="AJ551" s="531" t="str">
        <f t="shared" si="243"/>
        <v/>
      </c>
      <c r="AK551" s="540">
        <f>SUMIFS('Live Collections'!$S:$S,'Live Collections'!$D:$D,Disbursements!B551,'Live Collections'!$G:$G,Disbursements!C551)</f>
        <v>0</v>
      </c>
      <c r="AL551" s="540">
        <f>SUMIFS('Live Collections'!$T:$T,'Live Collections'!$D:$D,Disbursements!B551,'Live Collections'!$G:$G,Disbursements!C551)</f>
        <v>0</v>
      </c>
      <c r="AM551" s="541">
        <f t="shared" si="244"/>
        <v>0</v>
      </c>
      <c r="AN551" s="542" t="str">
        <f t="shared" si="245"/>
        <v/>
      </c>
      <c r="AO551" s="542" t="str">
        <f t="shared" si="246"/>
        <v/>
      </c>
      <c r="AP551" s="543" t="str">
        <f t="shared" si="247"/>
        <v/>
      </c>
      <c r="AQ551" s="544" t="str">
        <f t="shared" si="248"/>
        <v/>
      </c>
      <c r="AR551" s="545">
        <f t="shared" si="249"/>
        <v>0</v>
      </c>
      <c r="AS551" s="545">
        <f>IFERROR(CEILING($AR551*VLOOKUP($I551,Ref!$B$23:$E$29,4,0),1),0)</f>
        <v>0</v>
      </c>
      <c r="AT551" s="545" t="str">
        <f>IF(A551="","",IF(AP551&lt;=1,"Cleared",IF(AS551=0,"Clean",VLOOKUP($AS551,Ref!$G$23:$H$28,2))))</f>
        <v/>
      </c>
      <c r="AU551" s="546" t="str">
        <f t="shared" si="250"/>
        <v/>
      </c>
    </row>
    <row r="552" spans="1:47" ht="14.25" hidden="1" customHeight="1" x14ac:dyDescent="0.15">
      <c r="A552" s="523"/>
      <c r="B552" s="523"/>
      <c r="C552" s="523"/>
      <c r="D552" s="523"/>
      <c r="E552" s="579"/>
      <c r="F552" s="580"/>
      <c r="G552" s="524"/>
      <c r="H552" s="555"/>
      <c r="I552" s="560"/>
      <c r="J552" s="523"/>
      <c r="K552" s="528" t="str">
        <f>IFERROR(VLOOKUP($B552,'Clients-Live'!$A:$C,3,0),"")</f>
        <v/>
      </c>
      <c r="L552" s="528">
        <f>IF(E552="STL",Pricing!$D$38,IF(A552="",0,IF(A552&lt;Pricing!$C$25,Pricing!$D$25,VLOOKUP(Disbursements!$F552,Pricing!$B$29:$D$32,3))))</f>
        <v>0</v>
      </c>
      <c r="M552" s="528">
        <f>IF(E552="STL",0,IF(F552&gt;0,Pricing!$D$21,0))</f>
        <v>0</v>
      </c>
      <c r="N552" s="529">
        <f>IF(E552="STL",F552*Pricing!$D$40,IF(A552&lt;=Pricing!$C$4,0,IF(AND(A552&gt;Pricing!$C$4,Disbursements!A552&lt;=Pricing!$C$5),F552*Pricing!$E$5,IF(AND(A552&gt;Pricing!$C$5,Disbursements!A552&lt;=Pricing!$C$7),VLOOKUP(F552,Pricing!$D$7:$E$8,2)*Disbursements!F552,F552*Pricing!$E$9))))</f>
        <v>0</v>
      </c>
      <c r="O552" s="528">
        <f>IF(E552="STL",0,IF($F552&gt;0,$F552*Pricing!$D$17,0))</f>
        <v>0</v>
      </c>
      <c r="P552" s="530" t="str">
        <f t="shared" si="230"/>
        <v/>
      </c>
      <c r="Q552" s="531" t="str">
        <f>IF($A552="","",$G552/VLOOKUP($I552,Ref!$B$23:$D$29,2,0))</f>
        <v/>
      </c>
      <c r="R552" s="530" t="str">
        <f t="shared" si="231"/>
        <v/>
      </c>
      <c r="S552" s="532" t="str">
        <f t="shared" si="225"/>
        <v/>
      </c>
      <c r="T552" s="531" t="str">
        <f t="shared" si="232"/>
        <v/>
      </c>
      <c r="U552" s="533">
        <f t="shared" si="233"/>
        <v>0</v>
      </c>
      <c r="V552" s="531" t="str">
        <f t="shared" si="234"/>
        <v/>
      </c>
      <c r="W552" s="531" t="str">
        <f t="shared" si="235"/>
        <v/>
      </c>
      <c r="X552" s="534" t="str">
        <f t="shared" si="236"/>
        <v/>
      </c>
      <c r="Y552" s="535" t="str">
        <f>IF($A552="","",IF($I552="weekly",$A552+7,EDATE($A552,VLOOKUP($I552,Ref!$B$24:$C$29,2,0))))</f>
        <v/>
      </c>
      <c r="Z552" s="536" t="str">
        <f t="shared" si="237"/>
        <v/>
      </c>
      <c r="AA552" s="531">
        <f t="shared" si="238"/>
        <v>0</v>
      </c>
      <c r="AB552" s="535" t="str">
        <f t="shared" si="226"/>
        <v/>
      </c>
      <c r="AC552" s="537" t="str">
        <f t="shared" si="227"/>
        <v/>
      </c>
      <c r="AD552" s="538" t="str">
        <f t="shared" ca="1" si="228"/>
        <v/>
      </c>
      <c r="AE552" s="537">
        <f t="shared" ca="1" si="229"/>
        <v>0</v>
      </c>
      <c r="AF552" s="539" t="str">
        <f t="shared" ca="1" si="239"/>
        <v/>
      </c>
      <c r="AG552" s="531" t="str">
        <f t="shared" ca="1" si="240"/>
        <v/>
      </c>
      <c r="AH552" s="531" t="str">
        <f t="shared" ca="1" si="241"/>
        <v/>
      </c>
      <c r="AI552" s="531" t="str">
        <f t="shared" ca="1" si="242"/>
        <v/>
      </c>
      <c r="AJ552" s="531" t="str">
        <f t="shared" si="243"/>
        <v/>
      </c>
      <c r="AK552" s="540">
        <f>SUMIFS('Live Collections'!$S:$S,'Live Collections'!$D:$D,Disbursements!B552,'Live Collections'!$G:$G,Disbursements!C552)</f>
        <v>0</v>
      </c>
      <c r="AL552" s="540">
        <f>SUMIFS('Live Collections'!$T:$T,'Live Collections'!$D:$D,Disbursements!B552,'Live Collections'!$G:$G,Disbursements!C552)</f>
        <v>0</v>
      </c>
      <c r="AM552" s="541">
        <f t="shared" si="244"/>
        <v>0</v>
      </c>
      <c r="AN552" s="542" t="str">
        <f t="shared" si="245"/>
        <v/>
      </c>
      <c r="AO552" s="542" t="str">
        <f t="shared" si="246"/>
        <v/>
      </c>
      <c r="AP552" s="543" t="str">
        <f t="shared" si="247"/>
        <v/>
      </c>
      <c r="AQ552" s="544" t="str">
        <f t="shared" si="248"/>
        <v/>
      </c>
      <c r="AR552" s="545">
        <f t="shared" si="249"/>
        <v>0</v>
      </c>
      <c r="AS552" s="545">
        <f>IFERROR(CEILING($AR552*VLOOKUP($I552,Ref!$B$23:$E$29,4,0),1),0)</f>
        <v>0</v>
      </c>
      <c r="AT552" s="545" t="str">
        <f>IF(A552="","",IF(AP552&lt;=1,"Cleared",IF(AS552=0,"Clean",VLOOKUP($AS552,Ref!$G$23:$H$28,2))))</f>
        <v/>
      </c>
      <c r="AU552" s="546" t="str">
        <f t="shared" si="250"/>
        <v/>
      </c>
    </row>
    <row r="553" spans="1:47" ht="14.25" hidden="1" customHeight="1" x14ac:dyDescent="0.15">
      <c r="A553" s="523"/>
      <c r="B553" s="523"/>
      <c r="C553" s="523"/>
      <c r="D553" s="523"/>
      <c r="E553" s="579"/>
      <c r="F553" s="580"/>
      <c r="G553" s="524"/>
      <c r="H553" s="555"/>
      <c r="I553" s="560"/>
      <c r="J553" s="523"/>
      <c r="K553" s="528" t="str">
        <f>IFERROR(VLOOKUP($B553,'Clients-Live'!$A:$C,3,0),"")</f>
        <v/>
      </c>
      <c r="L553" s="528">
        <f>IF(E553="STL",Pricing!$D$38,IF(A553="",0,IF(A553&lt;Pricing!$C$25,Pricing!$D$25,VLOOKUP(Disbursements!$F553,Pricing!$B$29:$D$32,3))))</f>
        <v>0</v>
      </c>
      <c r="M553" s="528">
        <f>IF(E553="STL",0,IF(F553&gt;0,Pricing!$D$21,0))</f>
        <v>0</v>
      </c>
      <c r="N553" s="529">
        <f>IF(E553="STL",F553*Pricing!$D$40,IF(A553&lt;=Pricing!$C$4,0,IF(AND(A553&gt;Pricing!$C$4,Disbursements!A553&lt;=Pricing!$C$5),F553*Pricing!$E$5,IF(AND(A553&gt;Pricing!$C$5,Disbursements!A553&lt;=Pricing!$C$7),VLOOKUP(F553,Pricing!$D$7:$E$8,2)*Disbursements!F553,F553*Pricing!$E$9))))</f>
        <v>0</v>
      </c>
      <c r="O553" s="528">
        <f>IF(E553="STL",0,IF($F553&gt;0,$F553*Pricing!$D$17,0))</f>
        <v>0</v>
      </c>
      <c r="P553" s="530" t="str">
        <f t="shared" si="230"/>
        <v/>
      </c>
      <c r="Q553" s="531" t="str">
        <f>IF($A553="","",$G553/VLOOKUP($I553,Ref!$B$23:$D$29,2,0))</f>
        <v/>
      </c>
      <c r="R553" s="530" t="str">
        <f t="shared" si="231"/>
        <v/>
      </c>
      <c r="S553" s="532" t="str">
        <f t="shared" si="225"/>
        <v/>
      </c>
      <c r="T553" s="531" t="str">
        <f t="shared" si="232"/>
        <v/>
      </c>
      <c r="U553" s="533">
        <f t="shared" si="233"/>
        <v>0</v>
      </c>
      <c r="V553" s="531" t="str">
        <f t="shared" si="234"/>
        <v/>
      </c>
      <c r="W553" s="531" t="str">
        <f t="shared" si="235"/>
        <v/>
      </c>
      <c r="X553" s="534" t="str">
        <f t="shared" si="236"/>
        <v/>
      </c>
      <c r="Y553" s="535" t="str">
        <f>IF($A553="","",IF($I553="weekly",$A553+7,EDATE($A553,VLOOKUP($I553,Ref!$B$24:$C$29,2,0))))</f>
        <v/>
      </c>
      <c r="Z553" s="536" t="str">
        <f t="shared" si="237"/>
        <v/>
      </c>
      <c r="AA553" s="531">
        <f t="shared" si="238"/>
        <v>0</v>
      </c>
      <c r="AB553" s="535" t="str">
        <f t="shared" si="226"/>
        <v/>
      </c>
      <c r="AC553" s="537" t="str">
        <f t="shared" si="227"/>
        <v/>
      </c>
      <c r="AD553" s="538" t="str">
        <f t="shared" ca="1" si="228"/>
        <v/>
      </c>
      <c r="AE553" s="537">
        <f t="shared" ca="1" si="229"/>
        <v>0</v>
      </c>
      <c r="AF553" s="539" t="str">
        <f t="shared" ca="1" si="239"/>
        <v/>
      </c>
      <c r="AG553" s="531" t="str">
        <f t="shared" ca="1" si="240"/>
        <v/>
      </c>
      <c r="AH553" s="531" t="str">
        <f t="shared" ca="1" si="241"/>
        <v/>
      </c>
      <c r="AI553" s="531" t="str">
        <f t="shared" ca="1" si="242"/>
        <v/>
      </c>
      <c r="AJ553" s="531" t="str">
        <f t="shared" si="243"/>
        <v/>
      </c>
      <c r="AK553" s="540">
        <f>SUMIFS('Live Collections'!$S:$S,'Live Collections'!$D:$D,Disbursements!B553,'Live Collections'!$G:$G,Disbursements!C553)</f>
        <v>0</v>
      </c>
      <c r="AL553" s="540">
        <f>SUMIFS('Live Collections'!$T:$T,'Live Collections'!$D:$D,Disbursements!B553,'Live Collections'!$G:$G,Disbursements!C553)</f>
        <v>0</v>
      </c>
      <c r="AM553" s="541">
        <f t="shared" si="244"/>
        <v>0</v>
      </c>
      <c r="AN553" s="542" t="str">
        <f t="shared" si="245"/>
        <v/>
      </c>
      <c r="AO553" s="542" t="str">
        <f t="shared" si="246"/>
        <v/>
      </c>
      <c r="AP553" s="543" t="str">
        <f t="shared" si="247"/>
        <v/>
      </c>
      <c r="AQ553" s="544" t="str">
        <f t="shared" si="248"/>
        <v/>
      </c>
      <c r="AR553" s="545">
        <f t="shared" si="249"/>
        <v>0</v>
      </c>
      <c r="AS553" s="545">
        <f>IFERROR(CEILING($AR553*VLOOKUP($I553,Ref!$B$23:$E$29,4,0),1),0)</f>
        <v>0</v>
      </c>
      <c r="AT553" s="545" t="str">
        <f>IF(A553="","",IF(AP553&lt;=1,"Cleared",IF(AS553=0,"Clean",VLOOKUP($AS553,Ref!$G$23:$H$28,2))))</f>
        <v/>
      </c>
      <c r="AU553" s="546" t="str">
        <f t="shared" si="250"/>
        <v/>
      </c>
    </row>
    <row r="554" spans="1:47" ht="14.25" hidden="1" customHeight="1" x14ac:dyDescent="0.15">
      <c r="A554" s="523"/>
      <c r="B554" s="523"/>
      <c r="C554" s="523"/>
      <c r="D554" s="523"/>
      <c r="E554" s="579"/>
      <c r="F554" s="580"/>
      <c r="G554" s="524"/>
      <c r="H554" s="555"/>
      <c r="I554" s="560"/>
      <c r="J554" s="523"/>
      <c r="K554" s="528" t="str">
        <f>IFERROR(VLOOKUP($B554,'Clients-Live'!$A:$C,3,0),"")</f>
        <v/>
      </c>
      <c r="L554" s="528">
        <f>IF(E554="STL",Pricing!$D$38,IF(A554="",0,IF(A554&lt;Pricing!$C$25,Pricing!$D$25,VLOOKUP(Disbursements!$F554,Pricing!$B$29:$D$32,3))))</f>
        <v>0</v>
      </c>
      <c r="M554" s="528">
        <f>IF(E554="STL",0,IF(F554&gt;0,Pricing!$D$21,0))</f>
        <v>0</v>
      </c>
      <c r="N554" s="529">
        <f>IF(E554="STL",F554*Pricing!$D$40,IF(A554&lt;=Pricing!$C$4,0,IF(AND(A554&gt;Pricing!$C$4,Disbursements!A554&lt;=Pricing!$C$5),F554*Pricing!$E$5,IF(AND(A554&gt;Pricing!$C$5,Disbursements!A554&lt;=Pricing!$C$7),VLOOKUP(F554,Pricing!$D$7:$E$8,2)*Disbursements!F554,F554*Pricing!$E$9))))</f>
        <v>0</v>
      </c>
      <c r="O554" s="528">
        <f>IF(E554="STL",0,IF($F554&gt;0,$F554*Pricing!$D$17,0))</f>
        <v>0</v>
      </c>
      <c r="P554" s="530" t="str">
        <f t="shared" si="230"/>
        <v/>
      </c>
      <c r="Q554" s="531" t="str">
        <f>IF($A554="","",$G554/VLOOKUP($I554,Ref!$B$23:$D$29,2,0))</f>
        <v/>
      </c>
      <c r="R554" s="530" t="str">
        <f t="shared" si="231"/>
        <v/>
      </c>
      <c r="S554" s="532" t="str">
        <f t="shared" si="225"/>
        <v/>
      </c>
      <c r="T554" s="531" t="str">
        <f t="shared" si="232"/>
        <v/>
      </c>
      <c r="U554" s="533">
        <f t="shared" si="233"/>
        <v>0</v>
      </c>
      <c r="V554" s="531" t="str">
        <f t="shared" si="234"/>
        <v/>
      </c>
      <c r="W554" s="531" t="str">
        <f t="shared" si="235"/>
        <v/>
      </c>
      <c r="X554" s="534" t="str">
        <f t="shared" si="236"/>
        <v/>
      </c>
      <c r="Y554" s="535" t="str">
        <f>IF($A554="","",IF($I554="weekly",$A554+7,EDATE($A554,VLOOKUP($I554,Ref!$B$24:$C$29,2,0))))</f>
        <v/>
      </c>
      <c r="Z554" s="536" t="str">
        <f t="shared" si="237"/>
        <v/>
      </c>
      <c r="AA554" s="531">
        <f t="shared" si="238"/>
        <v>0</v>
      </c>
      <c r="AB554" s="535" t="str">
        <f t="shared" si="226"/>
        <v/>
      </c>
      <c r="AC554" s="537" t="str">
        <f t="shared" si="227"/>
        <v/>
      </c>
      <c r="AD554" s="538" t="str">
        <f t="shared" ca="1" si="228"/>
        <v/>
      </c>
      <c r="AE554" s="537">
        <f t="shared" ca="1" si="229"/>
        <v>0</v>
      </c>
      <c r="AF554" s="539" t="str">
        <f t="shared" ca="1" si="239"/>
        <v/>
      </c>
      <c r="AG554" s="531" t="str">
        <f t="shared" ca="1" si="240"/>
        <v/>
      </c>
      <c r="AH554" s="531" t="str">
        <f t="shared" ca="1" si="241"/>
        <v/>
      </c>
      <c r="AI554" s="531" t="str">
        <f t="shared" ca="1" si="242"/>
        <v/>
      </c>
      <c r="AJ554" s="531" t="str">
        <f t="shared" si="243"/>
        <v/>
      </c>
      <c r="AK554" s="540">
        <f>SUMIFS('Live Collections'!$S:$S,'Live Collections'!$D:$D,Disbursements!B554,'Live Collections'!$G:$G,Disbursements!C554)</f>
        <v>0</v>
      </c>
      <c r="AL554" s="540">
        <f>SUMIFS('Live Collections'!$T:$T,'Live Collections'!$D:$D,Disbursements!B554,'Live Collections'!$G:$G,Disbursements!C554)</f>
        <v>0</v>
      </c>
      <c r="AM554" s="541">
        <f t="shared" si="244"/>
        <v>0</v>
      </c>
      <c r="AN554" s="542" t="str">
        <f t="shared" si="245"/>
        <v/>
      </c>
      <c r="AO554" s="542" t="str">
        <f t="shared" si="246"/>
        <v/>
      </c>
      <c r="AP554" s="543" t="str">
        <f t="shared" si="247"/>
        <v/>
      </c>
      <c r="AQ554" s="544" t="str">
        <f t="shared" si="248"/>
        <v/>
      </c>
      <c r="AR554" s="545">
        <f t="shared" si="249"/>
        <v>0</v>
      </c>
      <c r="AS554" s="545">
        <f>IFERROR(CEILING($AR554*VLOOKUP($I554,Ref!$B$23:$E$29,4,0),1),0)</f>
        <v>0</v>
      </c>
      <c r="AT554" s="545" t="str">
        <f>IF(A554="","",IF(AP554&lt;=1,"Cleared",IF(AS554=0,"Clean",VLOOKUP($AS554,Ref!$G$23:$H$28,2))))</f>
        <v/>
      </c>
      <c r="AU554" s="546" t="str">
        <f t="shared" si="250"/>
        <v/>
      </c>
    </row>
    <row r="555" spans="1:47" ht="14.25" hidden="1" customHeight="1" x14ac:dyDescent="0.15">
      <c r="A555" s="523"/>
      <c r="B555" s="523"/>
      <c r="C555" s="523"/>
      <c r="D555" s="523"/>
      <c r="E555" s="579"/>
      <c r="F555" s="580"/>
      <c r="G555" s="524"/>
      <c r="H555" s="555"/>
      <c r="I555" s="560"/>
      <c r="J555" s="523"/>
      <c r="K555" s="528" t="str">
        <f>IFERROR(VLOOKUP($B555,'Clients-Live'!$A:$C,3,0),"")</f>
        <v/>
      </c>
      <c r="L555" s="528">
        <f>IF(E555="STL",Pricing!$D$38,IF(A555="",0,IF(A555&lt;Pricing!$C$25,Pricing!$D$25,VLOOKUP(Disbursements!$F555,Pricing!$B$29:$D$32,3))))</f>
        <v>0</v>
      </c>
      <c r="M555" s="528">
        <f>IF(E555="STL",0,IF(F555&gt;0,Pricing!$D$21,0))</f>
        <v>0</v>
      </c>
      <c r="N555" s="529">
        <f>IF(E555="STL",F555*Pricing!$D$40,IF(A555&lt;=Pricing!$C$4,0,IF(AND(A555&gt;Pricing!$C$4,Disbursements!A555&lt;=Pricing!$C$5),F555*Pricing!$E$5,IF(AND(A555&gt;Pricing!$C$5,Disbursements!A555&lt;=Pricing!$C$7),VLOOKUP(F555,Pricing!$D$7:$E$8,2)*Disbursements!F555,F555*Pricing!$E$9))))</f>
        <v>0</v>
      </c>
      <c r="O555" s="528">
        <f>IF(E555="STL",0,IF($F555&gt;0,$F555*Pricing!$D$17,0))</f>
        <v>0</v>
      </c>
      <c r="P555" s="530" t="str">
        <f t="shared" si="230"/>
        <v/>
      </c>
      <c r="Q555" s="531" t="str">
        <f>IF($A555="","",$G555/VLOOKUP($I555,Ref!$B$23:$D$29,2,0))</f>
        <v/>
      </c>
      <c r="R555" s="530" t="str">
        <f t="shared" si="231"/>
        <v/>
      </c>
      <c r="S555" s="532" t="str">
        <f t="shared" si="225"/>
        <v/>
      </c>
      <c r="T555" s="531" t="str">
        <f t="shared" si="232"/>
        <v/>
      </c>
      <c r="U555" s="533">
        <f t="shared" si="233"/>
        <v>0</v>
      </c>
      <c r="V555" s="531" t="str">
        <f t="shared" si="234"/>
        <v/>
      </c>
      <c r="W555" s="531" t="str">
        <f t="shared" si="235"/>
        <v/>
      </c>
      <c r="X555" s="534" t="str">
        <f t="shared" si="236"/>
        <v/>
      </c>
      <c r="Y555" s="535" t="str">
        <f>IF($A555="","",IF($I555="weekly",$A555+7,EDATE($A555,VLOOKUP($I555,Ref!$B$24:$C$29,2,0))))</f>
        <v/>
      </c>
      <c r="Z555" s="536" t="str">
        <f t="shared" si="237"/>
        <v/>
      </c>
      <c r="AA555" s="531">
        <f t="shared" si="238"/>
        <v>0</v>
      </c>
      <c r="AB555" s="535" t="str">
        <f t="shared" si="226"/>
        <v/>
      </c>
      <c r="AC555" s="537" t="str">
        <f t="shared" si="227"/>
        <v/>
      </c>
      <c r="AD555" s="538" t="str">
        <f t="shared" ca="1" si="228"/>
        <v/>
      </c>
      <c r="AE555" s="537">
        <f t="shared" ca="1" si="229"/>
        <v>0</v>
      </c>
      <c r="AF555" s="539" t="str">
        <f t="shared" ca="1" si="239"/>
        <v/>
      </c>
      <c r="AG555" s="531" t="str">
        <f t="shared" ca="1" si="240"/>
        <v/>
      </c>
      <c r="AH555" s="531" t="str">
        <f t="shared" ca="1" si="241"/>
        <v/>
      </c>
      <c r="AI555" s="531" t="str">
        <f t="shared" ca="1" si="242"/>
        <v/>
      </c>
      <c r="AJ555" s="531" t="str">
        <f t="shared" si="243"/>
        <v/>
      </c>
      <c r="AK555" s="540">
        <f>SUMIFS('Live Collections'!$S:$S,'Live Collections'!$D:$D,Disbursements!B555,'Live Collections'!$G:$G,Disbursements!C555)</f>
        <v>0</v>
      </c>
      <c r="AL555" s="540">
        <f>SUMIFS('Live Collections'!$T:$T,'Live Collections'!$D:$D,Disbursements!B555,'Live Collections'!$G:$G,Disbursements!C555)</f>
        <v>0</v>
      </c>
      <c r="AM555" s="541">
        <f t="shared" si="244"/>
        <v>0</v>
      </c>
      <c r="AN555" s="542" t="str">
        <f t="shared" si="245"/>
        <v/>
      </c>
      <c r="AO555" s="542" t="str">
        <f t="shared" si="246"/>
        <v/>
      </c>
      <c r="AP555" s="543" t="str">
        <f t="shared" si="247"/>
        <v/>
      </c>
      <c r="AQ555" s="544" t="str">
        <f t="shared" si="248"/>
        <v/>
      </c>
      <c r="AR555" s="545">
        <f t="shared" si="249"/>
        <v>0</v>
      </c>
      <c r="AS555" s="545">
        <f>IFERROR(CEILING($AR555*VLOOKUP($I555,Ref!$B$23:$E$29,4,0),1),0)</f>
        <v>0</v>
      </c>
      <c r="AT555" s="545" t="str">
        <f>IF(A555="","",IF(AP555&lt;=1,"Cleared",IF(AS555=0,"Clean",VLOOKUP($AS555,Ref!$G$23:$H$28,2))))</f>
        <v/>
      </c>
      <c r="AU555" s="546" t="str">
        <f t="shared" si="250"/>
        <v/>
      </c>
    </row>
    <row r="556" spans="1:47" ht="14.25" hidden="1" customHeight="1" x14ac:dyDescent="0.15">
      <c r="A556" s="523"/>
      <c r="B556" s="523"/>
      <c r="C556" s="523"/>
      <c r="D556" s="523"/>
      <c r="E556" s="579"/>
      <c r="F556" s="580"/>
      <c r="G556" s="524"/>
      <c r="H556" s="555"/>
      <c r="I556" s="560"/>
      <c r="J556" s="523"/>
      <c r="K556" s="528" t="str">
        <f>IFERROR(VLOOKUP($B556,'Clients-Live'!$A:$C,3,0),"")</f>
        <v/>
      </c>
      <c r="L556" s="528">
        <f>IF(E556="STL",Pricing!$D$38,IF(A556="",0,IF(A556&lt;Pricing!$C$25,Pricing!$D$25,VLOOKUP(Disbursements!$F556,Pricing!$B$29:$D$32,3))))</f>
        <v>0</v>
      </c>
      <c r="M556" s="528">
        <f>IF(E556="STL",0,IF(F556&gt;0,Pricing!$D$21,0))</f>
        <v>0</v>
      </c>
      <c r="N556" s="529">
        <f>IF(E556="STL",F556*Pricing!$D$40,IF(A556&lt;=Pricing!$C$4,0,IF(AND(A556&gt;Pricing!$C$4,Disbursements!A556&lt;=Pricing!$C$5),F556*Pricing!$E$5,IF(AND(A556&gt;Pricing!$C$5,Disbursements!A556&lt;=Pricing!$C$7),VLOOKUP(F556,Pricing!$D$7:$E$8,2)*Disbursements!F556,F556*Pricing!$E$9))))</f>
        <v>0</v>
      </c>
      <c r="O556" s="528">
        <f>IF(E556="STL",0,IF($F556&gt;0,$F556*Pricing!$D$17,0))</f>
        <v>0</v>
      </c>
      <c r="P556" s="530" t="str">
        <f t="shared" si="230"/>
        <v/>
      </c>
      <c r="Q556" s="531" t="str">
        <f>IF($A556="","",$G556/VLOOKUP($I556,Ref!$B$23:$D$29,2,0))</f>
        <v/>
      </c>
      <c r="R556" s="530" t="str">
        <f t="shared" si="231"/>
        <v/>
      </c>
      <c r="S556" s="532" t="str">
        <f t="shared" si="225"/>
        <v/>
      </c>
      <c r="T556" s="531" t="str">
        <f t="shared" si="232"/>
        <v/>
      </c>
      <c r="U556" s="533">
        <f t="shared" si="233"/>
        <v>0</v>
      </c>
      <c r="V556" s="531" t="str">
        <f t="shared" si="234"/>
        <v/>
      </c>
      <c r="W556" s="531" t="str">
        <f t="shared" si="235"/>
        <v/>
      </c>
      <c r="X556" s="534" t="str">
        <f t="shared" si="236"/>
        <v/>
      </c>
      <c r="Y556" s="535" t="str">
        <f>IF($A556="","",IF($I556="weekly",$A556+7,EDATE($A556,VLOOKUP($I556,Ref!$B$24:$C$29,2,0))))</f>
        <v/>
      </c>
      <c r="Z556" s="536" t="str">
        <f t="shared" si="237"/>
        <v/>
      </c>
      <c r="AA556" s="531">
        <f t="shared" si="238"/>
        <v>0</v>
      </c>
      <c r="AB556" s="535" t="str">
        <f t="shared" si="226"/>
        <v/>
      </c>
      <c r="AC556" s="537" t="str">
        <f t="shared" si="227"/>
        <v/>
      </c>
      <c r="AD556" s="538" t="str">
        <f t="shared" ca="1" si="228"/>
        <v/>
      </c>
      <c r="AE556" s="537">
        <f t="shared" ca="1" si="229"/>
        <v>0</v>
      </c>
      <c r="AF556" s="539" t="str">
        <f t="shared" ca="1" si="239"/>
        <v/>
      </c>
      <c r="AG556" s="531" t="str">
        <f t="shared" ca="1" si="240"/>
        <v/>
      </c>
      <c r="AH556" s="531" t="str">
        <f t="shared" ca="1" si="241"/>
        <v/>
      </c>
      <c r="AI556" s="531" t="str">
        <f t="shared" ca="1" si="242"/>
        <v/>
      </c>
      <c r="AJ556" s="531" t="str">
        <f t="shared" si="243"/>
        <v/>
      </c>
      <c r="AK556" s="540">
        <f>SUMIFS('Live Collections'!$S:$S,'Live Collections'!$D:$D,Disbursements!B556,'Live Collections'!$G:$G,Disbursements!C556)</f>
        <v>0</v>
      </c>
      <c r="AL556" s="540">
        <f>SUMIFS('Live Collections'!$T:$T,'Live Collections'!$D:$D,Disbursements!B556,'Live Collections'!$G:$G,Disbursements!C556)</f>
        <v>0</v>
      </c>
      <c r="AM556" s="541">
        <f t="shared" si="244"/>
        <v>0</v>
      </c>
      <c r="AN556" s="542" t="str">
        <f t="shared" si="245"/>
        <v/>
      </c>
      <c r="AO556" s="542" t="str">
        <f t="shared" si="246"/>
        <v/>
      </c>
      <c r="AP556" s="543" t="str">
        <f t="shared" si="247"/>
        <v/>
      </c>
      <c r="AQ556" s="544" t="str">
        <f t="shared" si="248"/>
        <v/>
      </c>
      <c r="AR556" s="545">
        <f t="shared" si="249"/>
        <v>0</v>
      </c>
      <c r="AS556" s="545">
        <f>IFERROR(CEILING($AR556*VLOOKUP($I556,Ref!$B$23:$E$29,4,0),1),0)</f>
        <v>0</v>
      </c>
      <c r="AT556" s="545" t="str">
        <f>IF(A556="","",IF(AP556&lt;=1,"Cleared",IF(AS556=0,"Clean",VLOOKUP($AS556,Ref!$G$23:$H$28,2))))</f>
        <v/>
      </c>
      <c r="AU556" s="546" t="str">
        <f t="shared" si="250"/>
        <v/>
      </c>
    </row>
    <row r="557" spans="1:47" ht="14.25" hidden="1" customHeight="1" x14ac:dyDescent="0.15">
      <c r="A557" s="523"/>
      <c r="B557" s="523"/>
      <c r="C557" s="523"/>
      <c r="D557" s="523"/>
      <c r="E557" s="579"/>
      <c r="F557" s="580"/>
      <c r="G557" s="524"/>
      <c r="H557" s="555"/>
      <c r="I557" s="560"/>
      <c r="J557" s="523"/>
      <c r="K557" s="528" t="str">
        <f>IFERROR(VLOOKUP($B557,'Clients-Live'!$A:$C,3,0),"")</f>
        <v/>
      </c>
      <c r="L557" s="528">
        <f>IF(E557="STL",Pricing!$D$38,IF(A557="",0,IF(A557&lt;Pricing!$C$25,Pricing!$D$25,VLOOKUP(Disbursements!$F557,Pricing!$B$29:$D$32,3))))</f>
        <v>0</v>
      </c>
      <c r="M557" s="528">
        <f>IF(E557="STL",0,IF(F557&gt;0,Pricing!$D$21,0))</f>
        <v>0</v>
      </c>
      <c r="N557" s="529">
        <f>IF(E557="STL",F557*Pricing!$D$40,IF(A557&lt;=Pricing!$C$4,0,IF(AND(A557&gt;Pricing!$C$4,Disbursements!A557&lt;=Pricing!$C$5),F557*Pricing!$E$5,IF(AND(A557&gt;Pricing!$C$5,Disbursements!A557&lt;=Pricing!$C$7),VLOOKUP(F557,Pricing!$D$7:$E$8,2)*Disbursements!F557,F557*Pricing!$E$9))))</f>
        <v>0</v>
      </c>
      <c r="O557" s="528">
        <f>IF(E557="STL",0,IF($F557&gt;0,$F557*Pricing!$D$17,0))</f>
        <v>0</v>
      </c>
      <c r="P557" s="530" t="str">
        <f t="shared" si="230"/>
        <v/>
      </c>
      <c r="Q557" s="531" t="str">
        <f>IF($A557="","",$G557/VLOOKUP($I557,Ref!$B$23:$D$29,2,0))</f>
        <v/>
      </c>
      <c r="R557" s="530" t="str">
        <f t="shared" si="231"/>
        <v/>
      </c>
      <c r="S557" s="532" t="str">
        <f t="shared" si="225"/>
        <v/>
      </c>
      <c r="T557" s="531" t="str">
        <f t="shared" si="232"/>
        <v/>
      </c>
      <c r="U557" s="533">
        <f t="shared" si="233"/>
        <v>0</v>
      </c>
      <c r="V557" s="531" t="str">
        <f t="shared" si="234"/>
        <v/>
      </c>
      <c r="W557" s="531" t="str">
        <f t="shared" si="235"/>
        <v/>
      </c>
      <c r="X557" s="534" t="str">
        <f t="shared" si="236"/>
        <v/>
      </c>
      <c r="Y557" s="535" t="str">
        <f>IF($A557="","",IF($I557="weekly",$A557+7,EDATE($A557,VLOOKUP($I557,Ref!$B$24:$C$29,2,0))))</f>
        <v/>
      </c>
      <c r="Z557" s="536" t="str">
        <f t="shared" si="237"/>
        <v/>
      </c>
      <c r="AA557" s="531">
        <f t="shared" si="238"/>
        <v>0</v>
      </c>
      <c r="AB557" s="535" t="str">
        <f t="shared" si="226"/>
        <v/>
      </c>
      <c r="AC557" s="537" t="str">
        <f t="shared" si="227"/>
        <v/>
      </c>
      <c r="AD557" s="538" t="str">
        <f t="shared" ca="1" si="228"/>
        <v/>
      </c>
      <c r="AE557" s="537">
        <f t="shared" ca="1" si="229"/>
        <v>0</v>
      </c>
      <c r="AF557" s="539" t="str">
        <f t="shared" ca="1" si="239"/>
        <v/>
      </c>
      <c r="AG557" s="531" t="str">
        <f t="shared" ca="1" si="240"/>
        <v/>
      </c>
      <c r="AH557" s="531" t="str">
        <f t="shared" ca="1" si="241"/>
        <v/>
      </c>
      <c r="AI557" s="531" t="str">
        <f t="shared" ca="1" si="242"/>
        <v/>
      </c>
      <c r="AJ557" s="531" t="str">
        <f t="shared" si="243"/>
        <v/>
      </c>
      <c r="AK557" s="540">
        <f>SUMIFS('Live Collections'!$S:$S,'Live Collections'!$D:$D,Disbursements!B557,'Live Collections'!$G:$G,Disbursements!C557)</f>
        <v>0</v>
      </c>
      <c r="AL557" s="540">
        <f>SUMIFS('Live Collections'!$T:$T,'Live Collections'!$D:$D,Disbursements!B557,'Live Collections'!$G:$G,Disbursements!C557)</f>
        <v>0</v>
      </c>
      <c r="AM557" s="541">
        <f t="shared" si="244"/>
        <v>0</v>
      </c>
      <c r="AN557" s="542" t="str">
        <f t="shared" si="245"/>
        <v/>
      </c>
      <c r="AO557" s="542" t="str">
        <f t="shared" si="246"/>
        <v/>
      </c>
      <c r="AP557" s="543" t="str">
        <f t="shared" si="247"/>
        <v/>
      </c>
      <c r="AQ557" s="544" t="str">
        <f t="shared" si="248"/>
        <v/>
      </c>
      <c r="AR557" s="545">
        <f t="shared" si="249"/>
        <v>0</v>
      </c>
      <c r="AS557" s="545">
        <f>IFERROR(CEILING($AR557*VLOOKUP($I557,Ref!$B$23:$E$29,4,0),1),0)</f>
        <v>0</v>
      </c>
      <c r="AT557" s="545" t="str">
        <f>IF(A557="","",IF(AP557&lt;=1,"Cleared",IF(AS557=0,"Clean",VLOOKUP($AS557,Ref!$G$23:$H$28,2))))</f>
        <v/>
      </c>
      <c r="AU557" s="546" t="str">
        <f t="shared" si="250"/>
        <v/>
      </c>
    </row>
    <row r="558" spans="1:47" ht="14.25" hidden="1" customHeight="1" x14ac:dyDescent="0.15">
      <c r="A558" s="523"/>
      <c r="B558" s="523"/>
      <c r="C558" s="523"/>
      <c r="D558" s="523"/>
      <c r="E558" s="579"/>
      <c r="F558" s="580"/>
      <c r="G558" s="524"/>
      <c r="H558" s="555"/>
      <c r="I558" s="560"/>
      <c r="J558" s="523"/>
      <c r="K558" s="528" t="str">
        <f>IFERROR(VLOOKUP($B558,'Clients-Live'!$A:$C,3,0),"")</f>
        <v/>
      </c>
      <c r="L558" s="528">
        <f>IF(E558="STL",Pricing!$D$38,IF(A558="",0,IF(A558&lt;Pricing!$C$25,Pricing!$D$25,VLOOKUP(Disbursements!$F558,Pricing!$B$29:$D$32,3))))</f>
        <v>0</v>
      </c>
      <c r="M558" s="528">
        <f>IF(E558="STL",0,IF(F558&gt;0,Pricing!$D$21,0))</f>
        <v>0</v>
      </c>
      <c r="N558" s="529">
        <f>IF(E558="STL",F558*Pricing!$D$40,IF(A558&lt;=Pricing!$C$4,0,IF(AND(A558&gt;Pricing!$C$4,Disbursements!A558&lt;=Pricing!$C$5),F558*Pricing!$E$5,IF(AND(A558&gt;Pricing!$C$5,Disbursements!A558&lt;=Pricing!$C$7),VLOOKUP(F558,Pricing!$D$7:$E$8,2)*Disbursements!F558,F558*Pricing!$E$9))))</f>
        <v>0</v>
      </c>
      <c r="O558" s="528">
        <f>IF(E558="STL",0,IF($F558&gt;0,$F558*Pricing!$D$17,0))</f>
        <v>0</v>
      </c>
      <c r="P558" s="530" t="str">
        <f t="shared" si="230"/>
        <v/>
      </c>
      <c r="Q558" s="531" t="str">
        <f>IF($A558="","",$G558/VLOOKUP($I558,Ref!$B$23:$D$29,2,0))</f>
        <v/>
      </c>
      <c r="R558" s="530" t="str">
        <f t="shared" si="231"/>
        <v/>
      </c>
      <c r="S558" s="532" t="str">
        <f t="shared" si="225"/>
        <v/>
      </c>
      <c r="T558" s="531" t="str">
        <f t="shared" si="232"/>
        <v/>
      </c>
      <c r="U558" s="533">
        <f t="shared" si="233"/>
        <v>0</v>
      </c>
      <c r="V558" s="531" t="str">
        <f t="shared" si="234"/>
        <v/>
      </c>
      <c r="W558" s="531" t="str">
        <f t="shared" si="235"/>
        <v/>
      </c>
      <c r="X558" s="534" t="str">
        <f t="shared" si="236"/>
        <v/>
      </c>
      <c r="Y558" s="535" t="str">
        <f>IF($A558="","",IF($I558="weekly",$A558+7,EDATE($A558,VLOOKUP($I558,Ref!$B$24:$C$29,2,0))))</f>
        <v/>
      </c>
      <c r="Z558" s="536" t="str">
        <f t="shared" si="237"/>
        <v/>
      </c>
      <c r="AA558" s="531">
        <f t="shared" si="238"/>
        <v>0</v>
      </c>
      <c r="AB558" s="535" t="str">
        <f t="shared" si="226"/>
        <v/>
      </c>
      <c r="AC558" s="537" t="str">
        <f t="shared" si="227"/>
        <v/>
      </c>
      <c r="AD558" s="538" t="str">
        <f t="shared" ca="1" si="228"/>
        <v/>
      </c>
      <c r="AE558" s="537">
        <f t="shared" ca="1" si="229"/>
        <v>0</v>
      </c>
      <c r="AF558" s="539" t="str">
        <f t="shared" ca="1" si="239"/>
        <v/>
      </c>
      <c r="AG558" s="531" t="str">
        <f t="shared" ca="1" si="240"/>
        <v/>
      </c>
      <c r="AH558" s="531" t="str">
        <f t="shared" ca="1" si="241"/>
        <v/>
      </c>
      <c r="AI558" s="531" t="str">
        <f t="shared" ca="1" si="242"/>
        <v/>
      </c>
      <c r="AJ558" s="531" t="str">
        <f t="shared" si="243"/>
        <v/>
      </c>
      <c r="AK558" s="540">
        <f>SUMIFS('Live Collections'!$S:$S,'Live Collections'!$D:$D,Disbursements!B558,'Live Collections'!$G:$G,Disbursements!C558)</f>
        <v>0</v>
      </c>
      <c r="AL558" s="540">
        <f>SUMIFS('Live Collections'!$T:$T,'Live Collections'!$D:$D,Disbursements!B558,'Live Collections'!$G:$G,Disbursements!C558)</f>
        <v>0</v>
      </c>
      <c r="AM558" s="541">
        <f t="shared" si="244"/>
        <v>0</v>
      </c>
      <c r="AN558" s="542" t="str">
        <f t="shared" si="245"/>
        <v/>
      </c>
      <c r="AO558" s="542" t="str">
        <f t="shared" si="246"/>
        <v/>
      </c>
      <c r="AP558" s="543" t="str">
        <f t="shared" si="247"/>
        <v/>
      </c>
      <c r="AQ558" s="544" t="str">
        <f t="shared" si="248"/>
        <v/>
      </c>
      <c r="AR558" s="545">
        <f t="shared" si="249"/>
        <v>0</v>
      </c>
      <c r="AS558" s="545">
        <f>IFERROR(CEILING($AR558*VLOOKUP($I558,Ref!$B$23:$E$29,4,0),1),0)</f>
        <v>0</v>
      </c>
      <c r="AT558" s="545" t="str">
        <f>IF(A558="","",IF(AP558&lt;=1,"Cleared",IF(AS558=0,"Clean",VLOOKUP($AS558,Ref!$G$23:$H$28,2))))</f>
        <v/>
      </c>
      <c r="AU558" s="546" t="str">
        <f t="shared" si="250"/>
        <v/>
      </c>
    </row>
    <row r="559" spans="1:47" ht="14.25" hidden="1" customHeight="1" x14ac:dyDescent="0.15">
      <c r="A559" s="523"/>
      <c r="B559" s="523"/>
      <c r="C559" s="523"/>
      <c r="D559" s="523"/>
      <c r="E559" s="579"/>
      <c r="F559" s="580"/>
      <c r="G559" s="524"/>
      <c r="H559" s="555"/>
      <c r="I559" s="560"/>
      <c r="J559" s="523"/>
      <c r="K559" s="528" t="str">
        <f>IFERROR(VLOOKUP($B559,'Clients-Live'!$A:$C,3,0),"")</f>
        <v/>
      </c>
      <c r="L559" s="528">
        <f>IF(E559="STL",Pricing!$D$38,IF(A559="",0,IF(A559&lt;Pricing!$C$25,Pricing!$D$25,VLOOKUP(Disbursements!$F559,Pricing!$B$29:$D$32,3))))</f>
        <v>0</v>
      </c>
      <c r="M559" s="528">
        <f>IF(E559="STL",0,IF(F559&gt;0,Pricing!$D$21,0))</f>
        <v>0</v>
      </c>
      <c r="N559" s="529">
        <f>IF(E559="STL",F559*Pricing!$D$40,IF(A559&lt;=Pricing!$C$4,0,IF(AND(A559&gt;Pricing!$C$4,Disbursements!A559&lt;=Pricing!$C$5),F559*Pricing!$E$5,IF(AND(A559&gt;Pricing!$C$5,Disbursements!A559&lt;=Pricing!$C$7),VLOOKUP(F559,Pricing!$D$7:$E$8,2)*Disbursements!F559,F559*Pricing!$E$9))))</f>
        <v>0</v>
      </c>
      <c r="O559" s="528">
        <f>IF(E559="STL",0,IF($F559&gt;0,$F559*Pricing!$D$17,0))</f>
        <v>0</v>
      </c>
      <c r="P559" s="530" t="str">
        <f t="shared" si="230"/>
        <v/>
      </c>
      <c r="Q559" s="531" t="str">
        <f>IF($A559="","",$G559/VLOOKUP($I559,Ref!$B$23:$D$29,2,0))</f>
        <v/>
      </c>
      <c r="R559" s="530" t="str">
        <f t="shared" si="231"/>
        <v/>
      </c>
      <c r="S559" s="532" t="str">
        <f t="shared" si="225"/>
        <v/>
      </c>
      <c r="T559" s="531" t="str">
        <f t="shared" si="232"/>
        <v/>
      </c>
      <c r="U559" s="533">
        <f t="shared" si="233"/>
        <v>0</v>
      </c>
      <c r="V559" s="531" t="str">
        <f t="shared" si="234"/>
        <v/>
      </c>
      <c r="W559" s="531" t="str">
        <f t="shared" si="235"/>
        <v/>
      </c>
      <c r="X559" s="534" t="str">
        <f t="shared" si="236"/>
        <v/>
      </c>
      <c r="Y559" s="535" t="str">
        <f>IF($A559="","",IF($I559="weekly",$A559+7,EDATE($A559,VLOOKUP($I559,Ref!$B$24:$C$29,2,0))))</f>
        <v/>
      </c>
      <c r="Z559" s="536" t="str">
        <f t="shared" si="237"/>
        <v/>
      </c>
      <c r="AA559" s="531">
        <f t="shared" si="238"/>
        <v>0</v>
      </c>
      <c r="AB559" s="535" t="str">
        <f t="shared" si="226"/>
        <v/>
      </c>
      <c r="AC559" s="537" t="str">
        <f t="shared" si="227"/>
        <v/>
      </c>
      <c r="AD559" s="538" t="str">
        <f t="shared" ca="1" si="228"/>
        <v/>
      </c>
      <c r="AE559" s="537">
        <f t="shared" ca="1" si="229"/>
        <v>0</v>
      </c>
      <c r="AF559" s="539" t="str">
        <f t="shared" ca="1" si="239"/>
        <v/>
      </c>
      <c r="AG559" s="531" t="str">
        <f t="shared" ca="1" si="240"/>
        <v/>
      </c>
      <c r="AH559" s="531" t="str">
        <f t="shared" ca="1" si="241"/>
        <v/>
      </c>
      <c r="AI559" s="531" t="str">
        <f t="shared" ca="1" si="242"/>
        <v/>
      </c>
      <c r="AJ559" s="531" t="str">
        <f t="shared" si="243"/>
        <v/>
      </c>
      <c r="AK559" s="540">
        <f>SUMIFS('Live Collections'!$S:$S,'Live Collections'!$D:$D,Disbursements!B559,'Live Collections'!$G:$G,Disbursements!C559)</f>
        <v>0</v>
      </c>
      <c r="AL559" s="540">
        <f>SUMIFS('Live Collections'!$T:$T,'Live Collections'!$D:$D,Disbursements!B559,'Live Collections'!$G:$G,Disbursements!C559)</f>
        <v>0</v>
      </c>
      <c r="AM559" s="541">
        <f t="shared" si="244"/>
        <v>0</v>
      </c>
      <c r="AN559" s="542" t="str">
        <f t="shared" si="245"/>
        <v/>
      </c>
      <c r="AO559" s="542" t="str">
        <f t="shared" si="246"/>
        <v/>
      </c>
      <c r="AP559" s="543" t="str">
        <f t="shared" si="247"/>
        <v/>
      </c>
      <c r="AQ559" s="544" t="str">
        <f t="shared" si="248"/>
        <v/>
      </c>
      <c r="AR559" s="545">
        <f t="shared" si="249"/>
        <v>0</v>
      </c>
      <c r="AS559" s="545">
        <f>IFERROR(CEILING($AR559*VLOOKUP($I559,Ref!$B$23:$E$29,4,0),1),0)</f>
        <v>0</v>
      </c>
      <c r="AT559" s="545" t="str">
        <f>IF(A559="","",IF(AP559&lt;=1,"Cleared",IF(AS559=0,"Clean",VLOOKUP($AS559,Ref!$G$23:$H$28,2))))</f>
        <v/>
      </c>
      <c r="AU559" s="546" t="str">
        <f t="shared" si="250"/>
        <v/>
      </c>
    </row>
    <row r="560" spans="1:47" ht="14.25" hidden="1" customHeight="1" x14ac:dyDescent="0.15">
      <c r="A560" s="523"/>
      <c r="B560" s="523"/>
      <c r="C560" s="523"/>
      <c r="D560" s="523"/>
      <c r="E560" s="579"/>
      <c r="F560" s="580"/>
      <c r="G560" s="524"/>
      <c r="H560" s="555"/>
      <c r="I560" s="560"/>
      <c r="J560" s="523"/>
      <c r="K560" s="528" t="str">
        <f>IFERROR(VLOOKUP($B560,'Clients-Live'!$A:$C,3,0),"")</f>
        <v/>
      </c>
      <c r="L560" s="528">
        <f>IF(E560="STL",Pricing!$D$38,IF(A560="",0,IF(A560&lt;Pricing!$C$25,Pricing!$D$25,VLOOKUP(Disbursements!$F560,Pricing!$B$29:$D$32,3))))</f>
        <v>0</v>
      </c>
      <c r="M560" s="528">
        <f>IF(E560="STL",0,IF(F560&gt;0,Pricing!$D$21,0))</f>
        <v>0</v>
      </c>
      <c r="N560" s="529">
        <f>IF(E560="STL",F560*Pricing!$D$40,IF(A560&lt;=Pricing!$C$4,0,IF(AND(A560&gt;Pricing!$C$4,Disbursements!A560&lt;=Pricing!$C$5),F560*Pricing!$E$5,IF(AND(A560&gt;Pricing!$C$5,Disbursements!A560&lt;=Pricing!$C$7),VLOOKUP(F560,Pricing!$D$7:$E$8,2)*Disbursements!F560,F560*Pricing!$E$9))))</f>
        <v>0</v>
      </c>
      <c r="O560" s="528">
        <f>IF(E560="STL",0,IF($F560&gt;0,$F560*Pricing!$D$17,0))</f>
        <v>0</v>
      </c>
      <c r="P560" s="530" t="str">
        <f t="shared" si="230"/>
        <v/>
      </c>
      <c r="Q560" s="531" t="str">
        <f>IF($A560="","",$G560/VLOOKUP($I560,Ref!$B$23:$D$29,2,0))</f>
        <v/>
      </c>
      <c r="R560" s="530" t="str">
        <f t="shared" si="231"/>
        <v/>
      </c>
      <c r="S560" s="532" t="str">
        <f t="shared" si="225"/>
        <v/>
      </c>
      <c r="T560" s="531" t="str">
        <f t="shared" si="232"/>
        <v/>
      </c>
      <c r="U560" s="533">
        <f t="shared" si="233"/>
        <v>0</v>
      </c>
      <c r="V560" s="531" t="str">
        <f t="shared" si="234"/>
        <v/>
      </c>
      <c r="W560" s="531" t="str">
        <f t="shared" si="235"/>
        <v/>
      </c>
      <c r="X560" s="534" t="str">
        <f t="shared" si="236"/>
        <v/>
      </c>
      <c r="Y560" s="535" t="str">
        <f>IF($A560="","",IF($I560="weekly",$A560+7,EDATE($A560,VLOOKUP($I560,Ref!$B$24:$C$29,2,0))))</f>
        <v/>
      </c>
      <c r="Z560" s="536" t="str">
        <f t="shared" si="237"/>
        <v/>
      </c>
      <c r="AA560" s="531">
        <f t="shared" si="238"/>
        <v>0</v>
      </c>
      <c r="AB560" s="535" t="str">
        <f t="shared" si="226"/>
        <v/>
      </c>
      <c r="AC560" s="537" t="str">
        <f t="shared" si="227"/>
        <v/>
      </c>
      <c r="AD560" s="538" t="str">
        <f t="shared" ca="1" si="228"/>
        <v/>
      </c>
      <c r="AE560" s="537">
        <f t="shared" ca="1" si="229"/>
        <v>0</v>
      </c>
      <c r="AF560" s="539" t="str">
        <f t="shared" ca="1" si="239"/>
        <v/>
      </c>
      <c r="AG560" s="531" t="str">
        <f t="shared" ca="1" si="240"/>
        <v/>
      </c>
      <c r="AH560" s="531" t="str">
        <f t="shared" ca="1" si="241"/>
        <v/>
      </c>
      <c r="AI560" s="531" t="str">
        <f t="shared" ca="1" si="242"/>
        <v/>
      </c>
      <c r="AJ560" s="531" t="str">
        <f t="shared" si="243"/>
        <v/>
      </c>
      <c r="AK560" s="540">
        <f>SUMIFS('Live Collections'!$S:$S,'Live Collections'!$D:$D,Disbursements!B560,'Live Collections'!$G:$G,Disbursements!C560)</f>
        <v>0</v>
      </c>
      <c r="AL560" s="540">
        <f>SUMIFS('Live Collections'!$T:$T,'Live Collections'!$D:$D,Disbursements!B560,'Live Collections'!$G:$G,Disbursements!C560)</f>
        <v>0</v>
      </c>
      <c r="AM560" s="541">
        <f t="shared" si="244"/>
        <v>0</v>
      </c>
      <c r="AN560" s="542" t="str">
        <f t="shared" si="245"/>
        <v/>
      </c>
      <c r="AO560" s="542" t="str">
        <f t="shared" si="246"/>
        <v/>
      </c>
      <c r="AP560" s="543" t="str">
        <f t="shared" si="247"/>
        <v/>
      </c>
      <c r="AQ560" s="544" t="str">
        <f t="shared" si="248"/>
        <v/>
      </c>
      <c r="AR560" s="545">
        <f t="shared" si="249"/>
        <v>0</v>
      </c>
      <c r="AS560" s="545">
        <f>IFERROR(CEILING($AR560*VLOOKUP($I560,Ref!$B$23:$E$29,4,0),1),0)</f>
        <v>0</v>
      </c>
      <c r="AT560" s="545" t="str">
        <f>IF(A560="","",IF(AP560&lt;=1,"Cleared",IF(AS560=0,"Clean",VLOOKUP($AS560,Ref!$G$23:$H$28,2))))</f>
        <v/>
      </c>
      <c r="AU560" s="546" t="str">
        <f t="shared" si="250"/>
        <v/>
      </c>
    </row>
    <row r="561" spans="1:47" ht="14.25" hidden="1" customHeight="1" x14ac:dyDescent="0.15">
      <c r="A561" s="523"/>
      <c r="B561" s="523"/>
      <c r="C561" s="523"/>
      <c r="D561" s="523"/>
      <c r="E561" s="579"/>
      <c r="F561" s="580"/>
      <c r="G561" s="524"/>
      <c r="H561" s="555"/>
      <c r="I561" s="560"/>
      <c r="J561" s="523"/>
      <c r="K561" s="528" t="str">
        <f>IFERROR(VLOOKUP($B561,'Clients-Live'!$A:$C,3,0),"")</f>
        <v/>
      </c>
      <c r="L561" s="528">
        <f>IF(E561="STL",Pricing!$D$38,IF(A561="",0,IF(A561&lt;Pricing!$C$25,Pricing!$D$25,VLOOKUP(Disbursements!$F561,Pricing!$B$29:$D$32,3))))</f>
        <v>0</v>
      </c>
      <c r="M561" s="528">
        <f>IF(E561="STL",0,IF(F561&gt;0,Pricing!$D$21,0))</f>
        <v>0</v>
      </c>
      <c r="N561" s="529">
        <f>IF(E561="STL",F561*Pricing!$D$40,IF(A561&lt;=Pricing!$C$4,0,IF(AND(A561&gt;Pricing!$C$4,Disbursements!A561&lt;=Pricing!$C$5),F561*Pricing!$E$5,IF(AND(A561&gt;Pricing!$C$5,Disbursements!A561&lt;=Pricing!$C$7),VLOOKUP(F561,Pricing!$D$7:$E$8,2)*Disbursements!F561,F561*Pricing!$E$9))))</f>
        <v>0</v>
      </c>
      <c r="O561" s="528">
        <f>IF(E561="STL",0,IF($F561&gt;0,$F561*Pricing!$D$17,0))</f>
        <v>0</v>
      </c>
      <c r="P561" s="530" t="str">
        <f t="shared" si="230"/>
        <v/>
      </c>
      <c r="Q561" s="531" t="str">
        <f>IF($A561="","",$G561/VLOOKUP($I561,Ref!$B$23:$D$29,2,0))</f>
        <v/>
      </c>
      <c r="R561" s="530" t="str">
        <f t="shared" si="231"/>
        <v/>
      </c>
      <c r="S561" s="532" t="str">
        <f t="shared" si="225"/>
        <v/>
      </c>
      <c r="T561" s="531" t="str">
        <f t="shared" si="232"/>
        <v/>
      </c>
      <c r="U561" s="533">
        <f t="shared" si="233"/>
        <v>0</v>
      </c>
      <c r="V561" s="531" t="str">
        <f t="shared" si="234"/>
        <v/>
      </c>
      <c r="W561" s="531" t="str">
        <f t="shared" si="235"/>
        <v/>
      </c>
      <c r="X561" s="534" t="str">
        <f t="shared" si="236"/>
        <v/>
      </c>
      <c r="Y561" s="535" t="str">
        <f>IF($A561="","",IF($I561="weekly",$A561+7,EDATE($A561,VLOOKUP($I561,Ref!$B$24:$C$29,2,0))))</f>
        <v/>
      </c>
      <c r="Z561" s="536" t="str">
        <f t="shared" si="237"/>
        <v/>
      </c>
      <c r="AA561" s="531">
        <f t="shared" si="238"/>
        <v>0</v>
      </c>
      <c r="AB561" s="535" t="str">
        <f t="shared" si="226"/>
        <v/>
      </c>
      <c r="AC561" s="537" t="str">
        <f t="shared" si="227"/>
        <v/>
      </c>
      <c r="AD561" s="538" t="str">
        <f t="shared" ca="1" si="228"/>
        <v/>
      </c>
      <c r="AE561" s="537">
        <f t="shared" ca="1" si="229"/>
        <v>0</v>
      </c>
      <c r="AF561" s="539" t="str">
        <f t="shared" ca="1" si="239"/>
        <v/>
      </c>
      <c r="AG561" s="531" t="str">
        <f t="shared" ca="1" si="240"/>
        <v/>
      </c>
      <c r="AH561" s="531" t="str">
        <f t="shared" ca="1" si="241"/>
        <v/>
      </c>
      <c r="AI561" s="531" t="str">
        <f t="shared" ca="1" si="242"/>
        <v/>
      </c>
      <c r="AJ561" s="531" t="str">
        <f t="shared" si="243"/>
        <v/>
      </c>
      <c r="AK561" s="540">
        <f>SUMIFS('Live Collections'!$S:$S,'Live Collections'!$D:$D,Disbursements!B561,'Live Collections'!$G:$G,Disbursements!C561)</f>
        <v>0</v>
      </c>
      <c r="AL561" s="540">
        <f>SUMIFS('Live Collections'!$T:$T,'Live Collections'!$D:$D,Disbursements!B561,'Live Collections'!$G:$G,Disbursements!C561)</f>
        <v>0</v>
      </c>
      <c r="AM561" s="541">
        <f t="shared" si="244"/>
        <v>0</v>
      </c>
      <c r="AN561" s="542" t="str">
        <f t="shared" si="245"/>
        <v/>
      </c>
      <c r="AO561" s="542" t="str">
        <f t="shared" si="246"/>
        <v/>
      </c>
      <c r="AP561" s="543" t="str">
        <f t="shared" si="247"/>
        <v/>
      </c>
      <c r="AQ561" s="544" t="str">
        <f t="shared" si="248"/>
        <v/>
      </c>
      <c r="AR561" s="545">
        <f t="shared" si="249"/>
        <v>0</v>
      </c>
      <c r="AS561" s="545">
        <f>IFERROR(CEILING($AR561*VLOOKUP($I561,Ref!$B$23:$E$29,4,0),1),0)</f>
        <v>0</v>
      </c>
      <c r="AT561" s="545" t="str">
        <f>IF(A561="","",IF(AP561&lt;=1,"Cleared",IF(AS561=0,"Clean",VLOOKUP($AS561,Ref!$G$23:$H$28,2))))</f>
        <v/>
      </c>
      <c r="AU561" s="546" t="str">
        <f t="shared" si="250"/>
        <v/>
      </c>
    </row>
    <row r="562" spans="1:47" ht="14.25" hidden="1" customHeight="1" x14ac:dyDescent="0.15">
      <c r="A562" s="523"/>
      <c r="B562" s="523"/>
      <c r="C562" s="523"/>
      <c r="D562" s="523"/>
      <c r="E562" s="579"/>
      <c r="F562" s="580"/>
      <c r="G562" s="524"/>
      <c r="H562" s="555"/>
      <c r="I562" s="560"/>
      <c r="J562" s="523"/>
      <c r="K562" s="528" t="str">
        <f>IFERROR(VLOOKUP($B562,'Clients-Live'!$A:$C,3,0),"")</f>
        <v/>
      </c>
      <c r="L562" s="528">
        <f>IF(E562="STL",Pricing!$D$38,IF(A562="",0,IF(A562&lt;Pricing!$C$25,Pricing!$D$25,VLOOKUP(Disbursements!$F562,Pricing!$B$29:$D$32,3))))</f>
        <v>0</v>
      </c>
      <c r="M562" s="528">
        <f>IF(E562="STL",0,IF(F562&gt;0,Pricing!$D$21,0))</f>
        <v>0</v>
      </c>
      <c r="N562" s="529">
        <f>IF(E562="STL",F562*Pricing!$D$40,IF(A562&lt;=Pricing!$C$4,0,IF(AND(A562&gt;Pricing!$C$4,Disbursements!A562&lt;=Pricing!$C$5),F562*Pricing!$E$5,IF(AND(A562&gt;Pricing!$C$5,Disbursements!A562&lt;=Pricing!$C$7),VLOOKUP(F562,Pricing!$D$7:$E$8,2)*Disbursements!F562,F562*Pricing!$E$9))))</f>
        <v>0</v>
      </c>
      <c r="O562" s="528">
        <f>IF(E562="STL",0,IF($F562&gt;0,$F562*Pricing!$D$17,0))</f>
        <v>0</v>
      </c>
      <c r="P562" s="530" t="str">
        <f t="shared" si="230"/>
        <v/>
      </c>
      <c r="Q562" s="531" t="str">
        <f>IF($A562="","",$G562/VLOOKUP($I562,Ref!$B$23:$D$29,2,0))</f>
        <v/>
      </c>
      <c r="R562" s="530" t="str">
        <f t="shared" si="231"/>
        <v/>
      </c>
      <c r="S562" s="532" t="str">
        <f t="shared" si="225"/>
        <v/>
      </c>
      <c r="T562" s="531" t="str">
        <f t="shared" si="232"/>
        <v/>
      </c>
      <c r="U562" s="533">
        <f t="shared" si="233"/>
        <v>0</v>
      </c>
      <c r="V562" s="531" t="str">
        <f t="shared" si="234"/>
        <v/>
      </c>
      <c r="W562" s="531" t="str">
        <f t="shared" si="235"/>
        <v/>
      </c>
      <c r="X562" s="534" t="str">
        <f t="shared" si="236"/>
        <v/>
      </c>
      <c r="Y562" s="535" t="str">
        <f>IF($A562="","",IF($I562="weekly",$A562+7,EDATE($A562,VLOOKUP($I562,Ref!$B$24:$C$29,2,0))))</f>
        <v/>
      </c>
      <c r="Z562" s="536" t="str">
        <f t="shared" si="237"/>
        <v/>
      </c>
      <c r="AA562" s="531">
        <f t="shared" si="238"/>
        <v>0</v>
      </c>
      <c r="AB562" s="535" t="str">
        <f t="shared" si="226"/>
        <v/>
      </c>
      <c r="AC562" s="537" t="str">
        <f t="shared" si="227"/>
        <v/>
      </c>
      <c r="AD562" s="538" t="str">
        <f t="shared" ca="1" si="228"/>
        <v/>
      </c>
      <c r="AE562" s="537">
        <f t="shared" ca="1" si="229"/>
        <v>0</v>
      </c>
      <c r="AF562" s="539" t="str">
        <f t="shared" ca="1" si="239"/>
        <v/>
      </c>
      <c r="AG562" s="531" t="str">
        <f t="shared" ca="1" si="240"/>
        <v/>
      </c>
      <c r="AH562" s="531" t="str">
        <f t="shared" ca="1" si="241"/>
        <v/>
      </c>
      <c r="AI562" s="531" t="str">
        <f t="shared" ca="1" si="242"/>
        <v/>
      </c>
      <c r="AJ562" s="531" t="str">
        <f t="shared" si="243"/>
        <v/>
      </c>
      <c r="AK562" s="540">
        <f>SUMIFS('Live Collections'!$S:$S,'Live Collections'!$D:$D,Disbursements!B562,'Live Collections'!$G:$G,Disbursements!C562)</f>
        <v>0</v>
      </c>
      <c r="AL562" s="540">
        <f>SUMIFS('Live Collections'!$T:$T,'Live Collections'!$D:$D,Disbursements!B562,'Live Collections'!$G:$G,Disbursements!C562)</f>
        <v>0</v>
      </c>
      <c r="AM562" s="541">
        <f t="shared" si="244"/>
        <v>0</v>
      </c>
      <c r="AN562" s="542" t="str">
        <f t="shared" si="245"/>
        <v/>
      </c>
      <c r="AO562" s="542" t="str">
        <f t="shared" si="246"/>
        <v/>
      </c>
      <c r="AP562" s="543" t="str">
        <f t="shared" si="247"/>
        <v/>
      </c>
      <c r="AQ562" s="544" t="str">
        <f t="shared" si="248"/>
        <v/>
      </c>
      <c r="AR562" s="545">
        <f t="shared" si="249"/>
        <v>0</v>
      </c>
      <c r="AS562" s="545">
        <f>IFERROR(CEILING($AR562*VLOOKUP($I562,Ref!$B$23:$E$29,4,0),1),0)</f>
        <v>0</v>
      </c>
      <c r="AT562" s="545" t="str">
        <f>IF(A562="","",IF(AP562&lt;=1,"Cleared",IF(AS562=0,"Clean",VLOOKUP($AS562,Ref!$G$23:$H$28,2))))</f>
        <v/>
      </c>
      <c r="AU562" s="546" t="str">
        <f t="shared" si="250"/>
        <v/>
      </c>
    </row>
    <row r="563" spans="1:47" ht="14.25" hidden="1" customHeight="1" x14ac:dyDescent="0.15">
      <c r="A563" s="523"/>
      <c r="B563" s="523"/>
      <c r="C563" s="523"/>
      <c r="D563" s="523"/>
      <c r="E563" s="579"/>
      <c r="F563" s="580"/>
      <c r="G563" s="524"/>
      <c r="H563" s="555"/>
      <c r="I563" s="560"/>
      <c r="J563" s="523"/>
      <c r="K563" s="528" t="str">
        <f>IFERROR(VLOOKUP($B563,'Clients-Live'!$A:$C,3,0),"")</f>
        <v/>
      </c>
      <c r="L563" s="528">
        <f>IF(E563="STL",Pricing!$D$38,IF(A563="",0,IF(A563&lt;Pricing!$C$25,Pricing!$D$25,VLOOKUP(Disbursements!$F563,Pricing!$B$29:$D$32,3))))</f>
        <v>0</v>
      </c>
      <c r="M563" s="528">
        <f>IF(E563="STL",0,IF(F563&gt;0,Pricing!$D$21,0))</f>
        <v>0</v>
      </c>
      <c r="N563" s="529">
        <f>IF(E563="STL",F563*Pricing!$D$40,IF(A563&lt;=Pricing!$C$4,0,IF(AND(A563&gt;Pricing!$C$4,Disbursements!A563&lt;=Pricing!$C$5),F563*Pricing!$E$5,IF(AND(A563&gt;Pricing!$C$5,Disbursements!A563&lt;=Pricing!$C$7),VLOOKUP(F563,Pricing!$D$7:$E$8,2)*Disbursements!F563,F563*Pricing!$E$9))))</f>
        <v>0</v>
      </c>
      <c r="O563" s="528">
        <f>IF(E563="STL",0,IF($F563&gt;0,$F563*Pricing!$D$17,0))</f>
        <v>0</v>
      </c>
      <c r="P563" s="530" t="str">
        <f t="shared" si="230"/>
        <v/>
      </c>
      <c r="Q563" s="531" t="str">
        <f>IF($A563="","",$G563/VLOOKUP($I563,Ref!$B$23:$D$29,2,0))</f>
        <v/>
      </c>
      <c r="R563" s="530" t="str">
        <f t="shared" si="231"/>
        <v/>
      </c>
      <c r="S563" s="532" t="str">
        <f t="shared" si="225"/>
        <v/>
      </c>
      <c r="T563" s="531" t="str">
        <f t="shared" si="232"/>
        <v/>
      </c>
      <c r="U563" s="533">
        <f t="shared" si="233"/>
        <v>0</v>
      </c>
      <c r="V563" s="531" t="str">
        <f t="shared" si="234"/>
        <v/>
      </c>
      <c r="W563" s="531" t="str">
        <f t="shared" si="235"/>
        <v/>
      </c>
      <c r="X563" s="534" t="str">
        <f t="shared" si="236"/>
        <v/>
      </c>
      <c r="Y563" s="535" t="str">
        <f>IF($A563="","",IF($I563="weekly",$A563+7,EDATE($A563,VLOOKUP($I563,Ref!$B$24:$C$29,2,0))))</f>
        <v/>
      </c>
      <c r="Z563" s="536" t="str">
        <f t="shared" si="237"/>
        <v/>
      </c>
      <c r="AA563" s="531">
        <f t="shared" si="238"/>
        <v>0</v>
      </c>
      <c r="AB563" s="535" t="str">
        <f t="shared" si="226"/>
        <v/>
      </c>
      <c r="AC563" s="537" t="str">
        <f t="shared" si="227"/>
        <v/>
      </c>
      <c r="AD563" s="538" t="str">
        <f t="shared" ca="1" si="228"/>
        <v/>
      </c>
      <c r="AE563" s="537">
        <f t="shared" ca="1" si="229"/>
        <v>0</v>
      </c>
      <c r="AF563" s="539" t="str">
        <f t="shared" ca="1" si="239"/>
        <v/>
      </c>
      <c r="AG563" s="531" t="str">
        <f t="shared" ca="1" si="240"/>
        <v/>
      </c>
      <c r="AH563" s="531" t="str">
        <f t="shared" ca="1" si="241"/>
        <v/>
      </c>
      <c r="AI563" s="531" t="str">
        <f t="shared" ca="1" si="242"/>
        <v/>
      </c>
      <c r="AJ563" s="531" t="str">
        <f t="shared" si="243"/>
        <v/>
      </c>
      <c r="AK563" s="540">
        <f>SUMIFS('Live Collections'!$S:$S,'Live Collections'!$D:$D,Disbursements!B563,'Live Collections'!$G:$G,Disbursements!C563)</f>
        <v>0</v>
      </c>
      <c r="AL563" s="540">
        <f>SUMIFS('Live Collections'!$T:$T,'Live Collections'!$D:$D,Disbursements!B563,'Live Collections'!$G:$G,Disbursements!C563)</f>
        <v>0</v>
      </c>
      <c r="AM563" s="541">
        <f t="shared" si="244"/>
        <v>0</v>
      </c>
      <c r="AN563" s="542" t="str">
        <f t="shared" si="245"/>
        <v/>
      </c>
      <c r="AO563" s="542" t="str">
        <f t="shared" si="246"/>
        <v/>
      </c>
      <c r="AP563" s="543" t="str">
        <f t="shared" si="247"/>
        <v/>
      </c>
      <c r="AQ563" s="544" t="str">
        <f t="shared" si="248"/>
        <v/>
      </c>
      <c r="AR563" s="545">
        <f t="shared" si="249"/>
        <v>0</v>
      </c>
      <c r="AS563" s="545">
        <f>IFERROR(CEILING($AR563*VLOOKUP($I563,Ref!$B$23:$E$29,4,0),1),0)</f>
        <v>0</v>
      </c>
      <c r="AT563" s="545" t="str">
        <f>IF(A563="","",IF(AP563&lt;=1,"Cleared",IF(AS563=0,"Clean",VLOOKUP($AS563,Ref!$G$23:$H$28,2))))</f>
        <v/>
      </c>
      <c r="AU563" s="546" t="str">
        <f t="shared" si="250"/>
        <v/>
      </c>
    </row>
    <row r="564" spans="1:47" ht="14.25" hidden="1" customHeight="1" x14ac:dyDescent="0.15">
      <c r="A564" s="523"/>
      <c r="B564" s="523"/>
      <c r="C564" s="523"/>
      <c r="D564" s="523"/>
      <c r="E564" s="579"/>
      <c r="F564" s="580"/>
      <c r="G564" s="524"/>
      <c r="H564" s="555"/>
      <c r="I564" s="560"/>
      <c r="J564" s="523"/>
      <c r="K564" s="528" t="str">
        <f>IFERROR(VLOOKUP($B564,'Clients-Live'!$A:$C,3,0),"")</f>
        <v/>
      </c>
      <c r="L564" s="528">
        <f>IF(E564="STL",Pricing!$D$38,IF(A564="",0,IF(A564&lt;Pricing!$C$25,Pricing!$D$25,VLOOKUP(Disbursements!$F564,Pricing!$B$29:$D$32,3))))</f>
        <v>0</v>
      </c>
      <c r="M564" s="528">
        <f>IF(E564="STL",0,IF(F564&gt;0,Pricing!$D$21,0))</f>
        <v>0</v>
      </c>
      <c r="N564" s="529">
        <f>IF(E564="STL",F564*Pricing!$D$40,IF(A564&lt;=Pricing!$C$4,0,IF(AND(A564&gt;Pricing!$C$4,Disbursements!A564&lt;=Pricing!$C$5),F564*Pricing!$E$5,IF(AND(A564&gt;Pricing!$C$5,Disbursements!A564&lt;=Pricing!$C$7),VLOOKUP(F564,Pricing!$D$7:$E$8,2)*Disbursements!F564,F564*Pricing!$E$9))))</f>
        <v>0</v>
      </c>
      <c r="O564" s="528">
        <f>IF(E564="STL",0,IF($F564&gt;0,$F564*Pricing!$D$17,0))</f>
        <v>0</v>
      </c>
      <c r="P564" s="530" t="str">
        <f t="shared" si="230"/>
        <v/>
      </c>
      <c r="Q564" s="531" t="str">
        <f>IF($A564="","",$G564/VLOOKUP($I564,Ref!$B$23:$D$29,2,0))</f>
        <v/>
      </c>
      <c r="R564" s="530" t="str">
        <f t="shared" si="231"/>
        <v/>
      </c>
      <c r="S564" s="532" t="str">
        <f t="shared" si="225"/>
        <v/>
      </c>
      <c r="T564" s="531" t="str">
        <f t="shared" si="232"/>
        <v/>
      </c>
      <c r="U564" s="533">
        <f t="shared" si="233"/>
        <v>0</v>
      </c>
      <c r="V564" s="531" t="str">
        <f t="shared" si="234"/>
        <v/>
      </c>
      <c r="W564" s="531" t="str">
        <f t="shared" si="235"/>
        <v/>
      </c>
      <c r="X564" s="534" t="str">
        <f t="shared" si="236"/>
        <v/>
      </c>
      <c r="Y564" s="535" t="str">
        <f>IF($A564="","",IF($I564="weekly",$A564+7,EDATE($A564,VLOOKUP($I564,Ref!$B$24:$C$29,2,0))))</f>
        <v/>
      </c>
      <c r="Z564" s="536" t="str">
        <f t="shared" si="237"/>
        <v/>
      </c>
      <c r="AA564" s="531">
        <f t="shared" si="238"/>
        <v>0</v>
      </c>
      <c r="AB564" s="535" t="str">
        <f t="shared" si="226"/>
        <v/>
      </c>
      <c r="AC564" s="537" t="str">
        <f t="shared" si="227"/>
        <v/>
      </c>
      <c r="AD564" s="538" t="str">
        <f t="shared" ca="1" si="228"/>
        <v/>
      </c>
      <c r="AE564" s="537">
        <f t="shared" ca="1" si="229"/>
        <v>0</v>
      </c>
      <c r="AF564" s="539" t="str">
        <f t="shared" ca="1" si="239"/>
        <v/>
      </c>
      <c r="AG564" s="531" t="str">
        <f t="shared" ca="1" si="240"/>
        <v/>
      </c>
      <c r="AH564" s="531" t="str">
        <f t="shared" ca="1" si="241"/>
        <v/>
      </c>
      <c r="AI564" s="531" t="str">
        <f t="shared" ca="1" si="242"/>
        <v/>
      </c>
      <c r="AJ564" s="531" t="str">
        <f t="shared" si="243"/>
        <v/>
      </c>
      <c r="AK564" s="540">
        <f>SUMIFS('Live Collections'!$S:$S,'Live Collections'!$D:$D,Disbursements!B564,'Live Collections'!$G:$G,Disbursements!C564)</f>
        <v>0</v>
      </c>
      <c r="AL564" s="540">
        <f>SUMIFS('Live Collections'!$T:$T,'Live Collections'!$D:$D,Disbursements!B564,'Live Collections'!$G:$G,Disbursements!C564)</f>
        <v>0</v>
      </c>
      <c r="AM564" s="541">
        <f t="shared" si="244"/>
        <v>0</v>
      </c>
      <c r="AN564" s="542" t="str">
        <f t="shared" si="245"/>
        <v/>
      </c>
      <c r="AO564" s="542" t="str">
        <f t="shared" si="246"/>
        <v/>
      </c>
      <c r="AP564" s="543" t="str">
        <f t="shared" si="247"/>
        <v/>
      </c>
      <c r="AQ564" s="544" t="str">
        <f t="shared" si="248"/>
        <v/>
      </c>
      <c r="AR564" s="545">
        <f t="shared" si="249"/>
        <v>0</v>
      </c>
      <c r="AS564" s="545">
        <f>IFERROR(CEILING($AR564*VLOOKUP($I564,Ref!$B$23:$E$29,4,0),1),0)</f>
        <v>0</v>
      </c>
      <c r="AT564" s="545" t="str">
        <f>IF(A564="","",IF(AP564&lt;=1,"Cleared",IF(AS564=0,"Clean",VLOOKUP($AS564,Ref!$G$23:$H$28,2))))</f>
        <v/>
      </c>
      <c r="AU564" s="546" t="str">
        <f t="shared" si="250"/>
        <v/>
      </c>
    </row>
    <row r="565" spans="1:47" ht="14.25" hidden="1" customHeight="1" x14ac:dyDescent="0.15">
      <c r="A565" s="523"/>
      <c r="B565" s="523"/>
      <c r="C565" s="523"/>
      <c r="D565" s="523"/>
      <c r="E565" s="579"/>
      <c r="F565" s="580"/>
      <c r="G565" s="524"/>
      <c r="H565" s="555"/>
      <c r="I565" s="560"/>
      <c r="J565" s="523"/>
      <c r="K565" s="528" t="str">
        <f>IFERROR(VLOOKUP($B565,'Clients-Live'!$A:$C,3,0),"")</f>
        <v/>
      </c>
      <c r="L565" s="528">
        <f>IF(E565="STL",Pricing!$D$38,IF(A565="",0,IF(A565&lt;Pricing!$C$25,Pricing!$D$25,VLOOKUP(Disbursements!$F565,Pricing!$B$29:$D$32,3))))</f>
        <v>0</v>
      </c>
      <c r="M565" s="528">
        <f>IF(E565="STL",0,IF(F565&gt;0,Pricing!$D$21,0))</f>
        <v>0</v>
      </c>
      <c r="N565" s="529">
        <f>IF(E565="STL",F565*Pricing!$D$40,IF(A565&lt;=Pricing!$C$4,0,IF(AND(A565&gt;Pricing!$C$4,Disbursements!A565&lt;=Pricing!$C$5),F565*Pricing!$E$5,IF(AND(A565&gt;Pricing!$C$5,Disbursements!A565&lt;=Pricing!$C$7),VLOOKUP(F565,Pricing!$D$7:$E$8,2)*Disbursements!F565,F565*Pricing!$E$9))))</f>
        <v>0</v>
      </c>
      <c r="O565" s="528">
        <f>IF(E565="STL",0,IF($F565&gt;0,$F565*Pricing!$D$17,0))</f>
        <v>0</v>
      </c>
      <c r="P565" s="530" t="str">
        <f t="shared" si="230"/>
        <v/>
      </c>
      <c r="Q565" s="531" t="str">
        <f>IF($A565="","",$G565/VLOOKUP($I565,Ref!$B$23:$D$29,2,0))</f>
        <v/>
      </c>
      <c r="R565" s="530" t="str">
        <f t="shared" si="231"/>
        <v/>
      </c>
      <c r="S565" s="532" t="str">
        <f t="shared" si="225"/>
        <v/>
      </c>
      <c r="T565" s="531" t="str">
        <f t="shared" si="232"/>
        <v/>
      </c>
      <c r="U565" s="533">
        <f t="shared" si="233"/>
        <v>0</v>
      </c>
      <c r="V565" s="531" t="str">
        <f t="shared" si="234"/>
        <v/>
      </c>
      <c r="W565" s="531" t="str">
        <f t="shared" si="235"/>
        <v/>
      </c>
      <c r="X565" s="534" t="str">
        <f t="shared" si="236"/>
        <v/>
      </c>
      <c r="Y565" s="535" t="str">
        <f>IF($A565="","",IF($I565="weekly",$A565+7,EDATE($A565,VLOOKUP($I565,Ref!$B$24:$C$29,2,0))))</f>
        <v/>
      </c>
      <c r="Z565" s="536" t="str">
        <f t="shared" si="237"/>
        <v/>
      </c>
      <c r="AA565" s="531">
        <f t="shared" si="238"/>
        <v>0</v>
      </c>
      <c r="AB565" s="535" t="str">
        <f t="shared" si="226"/>
        <v/>
      </c>
      <c r="AC565" s="537" t="str">
        <f t="shared" si="227"/>
        <v/>
      </c>
      <c r="AD565" s="538" t="str">
        <f t="shared" ca="1" si="228"/>
        <v/>
      </c>
      <c r="AE565" s="537">
        <f t="shared" ca="1" si="229"/>
        <v>0</v>
      </c>
      <c r="AF565" s="539" t="str">
        <f t="shared" ca="1" si="239"/>
        <v/>
      </c>
      <c r="AG565" s="531" t="str">
        <f t="shared" ca="1" si="240"/>
        <v/>
      </c>
      <c r="AH565" s="531" t="str">
        <f t="shared" ca="1" si="241"/>
        <v/>
      </c>
      <c r="AI565" s="531" t="str">
        <f t="shared" ca="1" si="242"/>
        <v/>
      </c>
      <c r="AJ565" s="531" t="str">
        <f t="shared" si="243"/>
        <v/>
      </c>
      <c r="AK565" s="540">
        <f>SUMIFS('Live Collections'!$S:$S,'Live Collections'!$D:$D,Disbursements!B565,'Live Collections'!$G:$G,Disbursements!C565)</f>
        <v>0</v>
      </c>
      <c r="AL565" s="540">
        <f>SUMIFS('Live Collections'!$T:$T,'Live Collections'!$D:$D,Disbursements!B565,'Live Collections'!$G:$G,Disbursements!C565)</f>
        <v>0</v>
      </c>
      <c r="AM565" s="541">
        <f t="shared" si="244"/>
        <v>0</v>
      </c>
      <c r="AN565" s="542" t="str">
        <f t="shared" si="245"/>
        <v/>
      </c>
      <c r="AO565" s="542" t="str">
        <f t="shared" si="246"/>
        <v/>
      </c>
      <c r="AP565" s="543" t="str">
        <f t="shared" si="247"/>
        <v/>
      </c>
      <c r="AQ565" s="544" t="str">
        <f t="shared" si="248"/>
        <v/>
      </c>
      <c r="AR565" s="545">
        <f t="shared" si="249"/>
        <v>0</v>
      </c>
      <c r="AS565" s="545">
        <f>IFERROR(CEILING($AR565*VLOOKUP($I565,Ref!$B$23:$E$29,4,0),1),0)</f>
        <v>0</v>
      </c>
      <c r="AT565" s="545" t="str">
        <f>IF(A565="","",IF(AP565&lt;=1,"Cleared",IF(AS565=0,"Clean",VLOOKUP($AS565,Ref!$G$23:$H$28,2))))</f>
        <v/>
      </c>
      <c r="AU565" s="546" t="str">
        <f t="shared" si="250"/>
        <v/>
      </c>
    </row>
    <row r="566" spans="1:47" ht="14.25" hidden="1" customHeight="1" x14ac:dyDescent="0.15">
      <c r="A566" s="523"/>
      <c r="B566" s="523"/>
      <c r="C566" s="523"/>
      <c r="D566" s="523"/>
      <c r="E566" s="579"/>
      <c r="F566" s="580"/>
      <c r="G566" s="524"/>
      <c r="H566" s="555"/>
      <c r="I566" s="560"/>
      <c r="J566" s="523"/>
      <c r="K566" s="528" t="str">
        <f>IFERROR(VLOOKUP($B566,'Clients-Live'!$A:$C,3,0),"")</f>
        <v/>
      </c>
      <c r="L566" s="528">
        <f>IF(E566="STL",Pricing!$D$38,IF(A566="",0,IF(A566&lt;Pricing!$C$25,Pricing!$D$25,VLOOKUP(Disbursements!$F566,Pricing!$B$29:$D$32,3))))</f>
        <v>0</v>
      </c>
      <c r="M566" s="528">
        <f>IF(E566="STL",0,IF(F566&gt;0,Pricing!$D$21,0))</f>
        <v>0</v>
      </c>
      <c r="N566" s="529">
        <f>IF(E566="STL",F566*Pricing!$D$40,IF(A566&lt;=Pricing!$C$4,0,IF(AND(A566&gt;Pricing!$C$4,Disbursements!A566&lt;=Pricing!$C$5),F566*Pricing!$E$5,IF(AND(A566&gt;Pricing!$C$5,Disbursements!A566&lt;=Pricing!$C$7),VLOOKUP(F566,Pricing!$D$7:$E$8,2)*Disbursements!F566,F566*Pricing!$E$9))))</f>
        <v>0</v>
      </c>
      <c r="O566" s="528">
        <f>IF(E566="STL",0,IF($F566&gt;0,$F566*Pricing!$D$17,0))</f>
        <v>0</v>
      </c>
      <c r="P566" s="530" t="str">
        <f t="shared" si="230"/>
        <v/>
      </c>
      <c r="Q566" s="531" t="str">
        <f>IF($A566="","",$G566/VLOOKUP($I566,Ref!$B$23:$D$29,2,0))</f>
        <v/>
      </c>
      <c r="R566" s="530" t="str">
        <f t="shared" si="231"/>
        <v/>
      </c>
      <c r="S566" s="532" t="str">
        <f t="shared" si="225"/>
        <v/>
      </c>
      <c r="T566" s="531" t="str">
        <f t="shared" si="232"/>
        <v/>
      </c>
      <c r="U566" s="533">
        <f t="shared" si="233"/>
        <v>0</v>
      </c>
      <c r="V566" s="531" t="str">
        <f t="shared" si="234"/>
        <v/>
      </c>
      <c r="W566" s="531" t="str">
        <f t="shared" si="235"/>
        <v/>
      </c>
      <c r="X566" s="534" t="str">
        <f t="shared" si="236"/>
        <v/>
      </c>
      <c r="Y566" s="535" t="str">
        <f>IF($A566="","",IF($I566="weekly",$A566+7,EDATE($A566,VLOOKUP($I566,Ref!$B$24:$C$29,2,0))))</f>
        <v/>
      </c>
      <c r="Z566" s="536" t="str">
        <f t="shared" si="237"/>
        <v/>
      </c>
      <c r="AA566" s="531">
        <f t="shared" si="238"/>
        <v>0</v>
      </c>
      <c r="AB566" s="535" t="str">
        <f t="shared" si="226"/>
        <v/>
      </c>
      <c r="AC566" s="537" t="str">
        <f t="shared" si="227"/>
        <v/>
      </c>
      <c r="AD566" s="538" t="str">
        <f t="shared" ca="1" si="228"/>
        <v/>
      </c>
      <c r="AE566" s="537">
        <f t="shared" ca="1" si="229"/>
        <v>0</v>
      </c>
      <c r="AF566" s="539" t="str">
        <f t="shared" ca="1" si="239"/>
        <v/>
      </c>
      <c r="AG566" s="531" t="str">
        <f t="shared" ca="1" si="240"/>
        <v/>
      </c>
      <c r="AH566" s="531" t="str">
        <f t="shared" ca="1" si="241"/>
        <v/>
      </c>
      <c r="AI566" s="531" t="str">
        <f t="shared" ca="1" si="242"/>
        <v/>
      </c>
      <c r="AJ566" s="531" t="str">
        <f t="shared" si="243"/>
        <v/>
      </c>
      <c r="AK566" s="540">
        <f>SUMIFS('Live Collections'!$S:$S,'Live Collections'!$D:$D,Disbursements!B566,'Live Collections'!$G:$G,Disbursements!C566)</f>
        <v>0</v>
      </c>
      <c r="AL566" s="540">
        <f>SUMIFS('Live Collections'!$T:$T,'Live Collections'!$D:$D,Disbursements!B566,'Live Collections'!$G:$G,Disbursements!C566)</f>
        <v>0</v>
      </c>
      <c r="AM566" s="541">
        <f t="shared" si="244"/>
        <v>0</v>
      </c>
      <c r="AN566" s="542" t="str">
        <f t="shared" si="245"/>
        <v/>
      </c>
      <c r="AO566" s="542" t="str">
        <f t="shared" si="246"/>
        <v/>
      </c>
      <c r="AP566" s="543" t="str">
        <f t="shared" si="247"/>
        <v/>
      </c>
      <c r="AQ566" s="544" t="str">
        <f t="shared" si="248"/>
        <v/>
      </c>
      <c r="AR566" s="545">
        <f t="shared" si="249"/>
        <v>0</v>
      </c>
      <c r="AS566" s="545">
        <f>IFERROR(CEILING($AR566*VLOOKUP($I566,Ref!$B$23:$E$29,4,0),1),0)</f>
        <v>0</v>
      </c>
      <c r="AT566" s="545" t="str">
        <f>IF(A566="","",IF(AP566&lt;=1,"Cleared",IF(AS566=0,"Clean",VLOOKUP($AS566,Ref!$G$23:$H$28,2))))</f>
        <v/>
      </c>
      <c r="AU566" s="546" t="str">
        <f t="shared" si="250"/>
        <v/>
      </c>
    </row>
    <row r="567" spans="1:47" ht="14.25" hidden="1" customHeight="1" x14ac:dyDescent="0.15">
      <c r="A567" s="523"/>
      <c r="B567" s="523"/>
      <c r="C567" s="523"/>
      <c r="D567" s="523"/>
      <c r="E567" s="579"/>
      <c r="F567" s="580"/>
      <c r="G567" s="524"/>
      <c r="H567" s="555"/>
      <c r="I567" s="560"/>
      <c r="J567" s="523"/>
      <c r="K567" s="528" t="str">
        <f>IFERROR(VLOOKUP($B567,'Clients-Live'!$A:$C,3,0),"")</f>
        <v/>
      </c>
      <c r="L567" s="528">
        <f>IF(E567="STL",Pricing!$D$38,IF(A567="",0,IF(A567&lt;Pricing!$C$25,Pricing!$D$25,VLOOKUP(Disbursements!$F567,Pricing!$B$29:$D$32,3))))</f>
        <v>0</v>
      </c>
      <c r="M567" s="528">
        <f>IF(E567="STL",0,IF(F567&gt;0,Pricing!$D$21,0))</f>
        <v>0</v>
      </c>
      <c r="N567" s="529">
        <f>IF(E567="STL",F567*Pricing!$D$40,IF(A567&lt;=Pricing!$C$4,0,IF(AND(A567&gt;Pricing!$C$4,Disbursements!A567&lt;=Pricing!$C$5),F567*Pricing!$E$5,IF(AND(A567&gt;Pricing!$C$5,Disbursements!A567&lt;=Pricing!$C$7),VLOOKUP(F567,Pricing!$D$7:$E$8,2)*Disbursements!F567,F567*Pricing!$E$9))))</f>
        <v>0</v>
      </c>
      <c r="O567" s="528">
        <f>IF(E567="STL",0,IF($F567&gt;0,$F567*Pricing!$D$17,0))</f>
        <v>0</v>
      </c>
      <c r="P567" s="530" t="str">
        <f t="shared" si="230"/>
        <v/>
      </c>
      <c r="Q567" s="531" t="str">
        <f>IF($A567="","",$G567/VLOOKUP($I567,Ref!$B$23:$D$29,2,0))</f>
        <v/>
      </c>
      <c r="R567" s="530" t="str">
        <f t="shared" si="231"/>
        <v/>
      </c>
      <c r="S567" s="532" t="str">
        <f t="shared" si="225"/>
        <v/>
      </c>
      <c r="T567" s="531" t="str">
        <f t="shared" si="232"/>
        <v/>
      </c>
      <c r="U567" s="533">
        <f t="shared" si="233"/>
        <v>0</v>
      </c>
      <c r="V567" s="531" t="str">
        <f t="shared" si="234"/>
        <v/>
      </c>
      <c r="W567" s="531" t="str">
        <f t="shared" si="235"/>
        <v/>
      </c>
      <c r="X567" s="534" t="str">
        <f t="shared" si="236"/>
        <v/>
      </c>
      <c r="Y567" s="535" t="str">
        <f>IF($A567="","",IF($I567="weekly",$A567+7,EDATE($A567,VLOOKUP($I567,Ref!$B$24:$C$29,2,0))))</f>
        <v/>
      </c>
      <c r="Z567" s="536" t="str">
        <f t="shared" si="237"/>
        <v/>
      </c>
      <c r="AA567" s="531">
        <f t="shared" si="238"/>
        <v>0</v>
      </c>
      <c r="AB567" s="535" t="str">
        <f t="shared" si="226"/>
        <v/>
      </c>
      <c r="AC567" s="537" t="str">
        <f t="shared" si="227"/>
        <v/>
      </c>
      <c r="AD567" s="538" t="str">
        <f t="shared" ca="1" si="228"/>
        <v/>
      </c>
      <c r="AE567" s="537">
        <f t="shared" ca="1" si="229"/>
        <v>0</v>
      </c>
      <c r="AF567" s="539" t="str">
        <f t="shared" ca="1" si="239"/>
        <v/>
      </c>
      <c r="AG567" s="531" t="str">
        <f t="shared" ca="1" si="240"/>
        <v/>
      </c>
      <c r="AH567" s="531" t="str">
        <f t="shared" ca="1" si="241"/>
        <v/>
      </c>
      <c r="AI567" s="531" t="str">
        <f t="shared" ca="1" si="242"/>
        <v/>
      </c>
      <c r="AJ567" s="531" t="str">
        <f t="shared" si="243"/>
        <v/>
      </c>
      <c r="AK567" s="540">
        <f>SUMIFS('Live Collections'!$S:$S,'Live Collections'!$D:$D,Disbursements!B567,'Live Collections'!$G:$G,Disbursements!C567)</f>
        <v>0</v>
      </c>
      <c r="AL567" s="540">
        <f>SUMIFS('Live Collections'!$T:$T,'Live Collections'!$D:$D,Disbursements!B567,'Live Collections'!$G:$G,Disbursements!C567)</f>
        <v>0</v>
      </c>
      <c r="AM567" s="541">
        <f t="shared" si="244"/>
        <v>0</v>
      </c>
      <c r="AN567" s="542" t="str">
        <f t="shared" si="245"/>
        <v/>
      </c>
      <c r="AO567" s="542" t="str">
        <f t="shared" si="246"/>
        <v/>
      </c>
      <c r="AP567" s="543" t="str">
        <f t="shared" si="247"/>
        <v/>
      </c>
      <c r="AQ567" s="544" t="str">
        <f t="shared" si="248"/>
        <v/>
      </c>
      <c r="AR567" s="545">
        <f t="shared" si="249"/>
        <v>0</v>
      </c>
      <c r="AS567" s="545">
        <f>IFERROR(CEILING($AR567*VLOOKUP($I567,Ref!$B$23:$E$29,4,0),1),0)</f>
        <v>0</v>
      </c>
      <c r="AT567" s="545" t="str">
        <f>IF(A567="","",IF(AP567&lt;=1,"Cleared",IF(AS567=0,"Clean",VLOOKUP($AS567,Ref!$G$23:$H$28,2))))</f>
        <v/>
      </c>
      <c r="AU567" s="546" t="str">
        <f t="shared" si="250"/>
        <v/>
      </c>
    </row>
    <row r="568" spans="1:47" ht="14.25" hidden="1" customHeight="1" x14ac:dyDescent="0.15">
      <c r="A568" s="523"/>
      <c r="B568" s="523"/>
      <c r="C568" s="523"/>
      <c r="D568" s="523"/>
      <c r="E568" s="579"/>
      <c r="F568" s="580"/>
      <c r="G568" s="524"/>
      <c r="H568" s="555"/>
      <c r="I568" s="560"/>
      <c r="J568" s="523"/>
      <c r="K568" s="528" t="str">
        <f>IFERROR(VLOOKUP($B568,'Clients-Live'!$A:$C,3,0),"")</f>
        <v/>
      </c>
      <c r="L568" s="528">
        <f>IF(E568="STL",Pricing!$D$38,IF(A568="",0,IF(A568&lt;Pricing!$C$25,Pricing!$D$25,VLOOKUP(Disbursements!$F568,Pricing!$B$29:$D$32,3))))</f>
        <v>0</v>
      </c>
      <c r="M568" s="528">
        <f>IF(E568="STL",0,IF(F568&gt;0,Pricing!$D$21,0))</f>
        <v>0</v>
      </c>
      <c r="N568" s="529">
        <f>IF(E568="STL",F568*Pricing!$D$40,IF(A568&lt;=Pricing!$C$4,0,IF(AND(A568&gt;Pricing!$C$4,Disbursements!A568&lt;=Pricing!$C$5),F568*Pricing!$E$5,IF(AND(A568&gt;Pricing!$C$5,Disbursements!A568&lt;=Pricing!$C$7),VLOOKUP(F568,Pricing!$D$7:$E$8,2)*Disbursements!F568,F568*Pricing!$E$9))))</f>
        <v>0</v>
      </c>
      <c r="O568" s="528">
        <f>IF(E568="STL",0,IF($F568&gt;0,$F568*Pricing!$D$17,0))</f>
        <v>0</v>
      </c>
      <c r="P568" s="530" t="str">
        <f t="shared" si="230"/>
        <v/>
      </c>
      <c r="Q568" s="531" t="str">
        <f>IF($A568="","",$G568/VLOOKUP($I568,Ref!$B$23:$D$29,2,0))</f>
        <v/>
      </c>
      <c r="R568" s="530" t="str">
        <f t="shared" si="231"/>
        <v/>
      </c>
      <c r="S568" s="532" t="str">
        <f t="shared" si="225"/>
        <v/>
      </c>
      <c r="T568" s="531" t="str">
        <f t="shared" si="232"/>
        <v/>
      </c>
      <c r="U568" s="533">
        <f t="shared" si="233"/>
        <v>0</v>
      </c>
      <c r="V568" s="531" t="str">
        <f t="shared" si="234"/>
        <v/>
      </c>
      <c r="W568" s="531" t="str">
        <f t="shared" si="235"/>
        <v/>
      </c>
      <c r="X568" s="534" t="str">
        <f t="shared" si="236"/>
        <v/>
      </c>
      <c r="Y568" s="535" t="str">
        <f>IF($A568="","",IF($I568="weekly",$A568+7,EDATE($A568,VLOOKUP($I568,Ref!$B$24:$C$29,2,0))))</f>
        <v/>
      </c>
      <c r="Z568" s="536" t="str">
        <f t="shared" si="237"/>
        <v/>
      </c>
      <c r="AA568" s="531">
        <f t="shared" si="238"/>
        <v>0</v>
      </c>
      <c r="AB568" s="535" t="str">
        <f t="shared" si="226"/>
        <v/>
      </c>
      <c r="AC568" s="537" t="str">
        <f t="shared" si="227"/>
        <v/>
      </c>
      <c r="AD568" s="538" t="str">
        <f t="shared" ca="1" si="228"/>
        <v/>
      </c>
      <c r="AE568" s="537">
        <f t="shared" ca="1" si="229"/>
        <v>0</v>
      </c>
      <c r="AF568" s="539" t="str">
        <f t="shared" ca="1" si="239"/>
        <v/>
      </c>
      <c r="AG568" s="531" t="str">
        <f t="shared" ca="1" si="240"/>
        <v/>
      </c>
      <c r="AH568" s="531" t="str">
        <f t="shared" ca="1" si="241"/>
        <v/>
      </c>
      <c r="AI568" s="531" t="str">
        <f t="shared" ca="1" si="242"/>
        <v/>
      </c>
      <c r="AJ568" s="531" t="str">
        <f t="shared" si="243"/>
        <v/>
      </c>
      <c r="AK568" s="540">
        <f>SUMIFS('Live Collections'!$S:$S,'Live Collections'!$D:$D,Disbursements!B568,'Live Collections'!$G:$G,Disbursements!C568)</f>
        <v>0</v>
      </c>
      <c r="AL568" s="540">
        <f>SUMIFS('Live Collections'!$T:$T,'Live Collections'!$D:$D,Disbursements!B568,'Live Collections'!$G:$G,Disbursements!C568)</f>
        <v>0</v>
      </c>
      <c r="AM568" s="541">
        <f t="shared" si="244"/>
        <v>0</v>
      </c>
      <c r="AN568" s="542" t="str">
        <f t="shared" si="245"/>
        <v/>
      </c>
      <c r="AO568" s="542" t="str">
        <f t="shared" si="246"/>
        <v/>
      </c>
      <c r="AP568" s="543" t="str">
        <f t="shared" si="247"/>
        <v/>
      </c>
      <c r="AQ568" s="544" t="str">
        <f t="shared" si="248"/>
        <v/>
      </c>
      <c r="AR568" s="545">
        <f t="shared" si="249"/>
        <v>0</v>
      </c>
      <c r="AS568" s="545">
        <f>IFERROR(CEILING($AR568*VLOOKUP($I568,Ref!$B$23:$E$29,4,0),1),0)</f>
        <v>0</v>
      </c>
      <c r="AT568" s="545" t="str">
        <f>IF(A568="","",IF(AP568&lt;=1,"Cleared",IF(AS568=0,"Clean",VLOOKUP($AS568,Ref!$G$23:$H$28,2))))</f>
        <v/>
      </c>
      <c r="AU568" s="546" t="str">
        <f t="shared" si="250"/>
        <v/>
      </c>
    </row>
    <row r="569" spans="1:47" ht="14.25" hidden="1" customHeight="1" x14ac:dyDescent="0.15">
      <c r="A569" s="523"/>
      <c r="B569" s="523"/>
      <c r="C569" s="523"/>
      <c r="D569" s="523"/>
      <c r="E569" s="579"/>
      <c r="F569" s="580"/>
      <c r="G569" s="524"/>
      <c r="H569" s="555"/>
      <c r="I569" s="560"/>
      <c r="J569" s="523"/>
      <c r="K569" s="528" t="str">
        <f>IFERROR(VLOOKUP($B569,'Clients-Live'!$A:$C,3,0),"")</f>
        <v/>
      </c>
      <c r="L569" s="528">
        <f>IF(E569="STL",Pricing!$D$38,IF(A569="",0,IF(A569&lt;Pricing!$C$25,Pricing!$D$25,VLOOKUP(Disbursements!$F569,Pricing!$B$29:$D$32,3))))</f>
        <v>0</v>
      </c>
      <c r="M569" s="528">
        <f>IF(E569="STL",0,IF(F569&gt;0,Pricing!$D$21,0))</f>
        <v>0</v>
      </c>
      <c r="N569" s="529">
        <f>IF(E569="STL",F569*Pricing!$D$40,IF(A569&lt;=Pricing!$C$4,0,IF(AND(A569&gt;Pricing!$C$4,Disbursements!A569&lt;=Pricing!$C$5),F569*Pricing!$E$5,IF(AND(A569&gt;Pricing!$C$5,Disbursements!A569&lt;=Pricing!$C$7),VLOOKUP(F569,Pricing!$D$7:$E$8,2)*Disbursements!F569,F569*Pricing!$E$9))))</f>
        <v>0</v>
      </c>
      <c r="O569" s="528">
        <f>IF(E569="STL",0,IF($F569&gt;0,$F569*Pricing!$D$17,0))</f>
        <v>0</v>
      </c>
      <c r="P569" s="530" t="str">
        <f t="shared" si="230"/>
        <v/>
      </c>
      <c r="Q569" s="531" t="str">
        <f>IF($A569="","",$G569/VLOOKUP($I569,Ref!$B$23:$D$29,2,0))</f>
        <v/>
      </c>
      <c r="R569" s="530" t="str">
        <f t="shared" si="231"/>
        <v/>
      </c>
      <c r="S569" s="532" t="str">
        <f t="shared" si="225"/>
        <v/>
      </c>
      <c r="T569" s="531" t="str">
        <f t="shared" si="232"/>
        <v/>
      </c>
      <c r="U569" s="533">
        <f t="shared" si="233"/>
        <v>0</v>
      </c>
      <c r="V569" s="531" t="str">
        <f t="shared" si="234"/>
        <v/>
      </c>
      <c r="W569" s="531" t="str">
        <f t="shared" si="235"/>
        <v/>
      </c>
      <c r="X569" s="534" t="str">
        <f t="shared" si="236"/>
        <v/>
      </c>
      <c r="Y569" s="535" t="str">
        <f>IF($A569="","",IF($I569="weekly",$A569+7,EDATE($A569,VLOOKUP($I569,Ref!$B$24:$C$29,2,0))))</f>
        <v/>
      </c>
      <c r="Z569" s="536" t="str">
        <f t="shared" si="237"/>
        <v/>
      </c>
      <c r="AA569" s="531">
        <f t="shared" si="238"/>
        <v>0</v>
      </c>
      <c r="AB569" s="535" t="str">
        <f t="shared" si="226"/>
        <v/>
      </c>
      <c r="AC569" s="537" t="str">
        <f t="shared" si="227"/>
        <v/>
      </c>
      <c r="AD569" s="538" t="str">
        <f t="shared" ca="1" si="228"/>
        <v/>
      </c>
      <c r="AE569" s="537">
        <f t="shared" ca="1" si="229"/>
        <v>0</v>
      </c>
      <c r="AF569" s="539" t="str">
        <f t="shared" ca="1" si="239"/>
        <v/>
      </c>
      <c r="AG569" s="531" t="str">
        <f t="shared" ca="1" si="240"/>
        <v/>
      </c>
      <c r="AH569" s="531" t="str">
        <f t="shared" ca="1" si="241"/>
        <v/>
      </c>
      <c r="AI569" s="531" t="str">
        <f t="shared" ca="1" si="242"/>
        <v/>
      </c>
      <c r="AJ569" s="531" t="str">
        <f t="shared" si="243"/>
        <v/>
      </c>
      <c r="AK569" s="540">
        <f>SUMIFS('Live Collections'!$S:$S,'Live Collections'!$D:$D,Disbursements!B569,'Live Collections'!$G:$G,Disbursements!C569)</f>
        <v>0</v>
      </c>
      <c r="AL569" s="540">
        <f>SUMIFS('Live Collections'!$T:$T,'Live Collections'!$D:$D,Disbursements!B569,'Live Collections'!$G:$G,Disbursements!C569)</f>
        <v>0</v>
      </c>
      <c r="AM569" s="541">
        <f t="shared" si="244"/>
        <v>0</v>
      </c>
      <c r="AN569" s="542" t="str">
        <f t="shared" si="245"/>
        <v/>
      </c>
      <c r="AO569" s="542" t="str">
        <f t="shared" si="246"/>
        <v/>
      </c>
      <c r="AP569" s="543" t="str">
        <f t="shared" si="247"/>
        <v/>
      </c>
      <c r="AQ569" s="544" t="str">
        <f t="shared" si="248"/>
        <v/>
      </c>
      <c r="AR569" s="545">
        <f t="shared" si="249"/>
        <v>0</v>
      </c>
      <c r="AS569" s="545">
        <f>IFERROR(CEILING($AR569*VLOOKUP($I569,Ref!$B$23:$E$29,4,0),1),0)</f>
        <v>0</v>
      </c>
      <c r="AT569" s="545" t="str">
        <f>IF(A569="","",IF(AP569&lt;=1,"Cleared",IF(AS569=0,"Clean",VLOOKUP($AS569,Ref!$G$23:$H$28,2))))</f>
        <v/>
      </c>
      <c r="AU569" s="546" t="str">
        <f t="shared" si="250"/>
        <v/>
      </c>
    </row>
    <row r="570" spans="1:47" ht="14.25" hidden="1" customHeight="1" x14ac:dyDescent="0.15">
      <c r="A570" s="523"/>
      <c r="B570" s="523"/>
      <c r="C570" s="523"/>
      <c r="D570" s="523"/>
      <c r="E570" s="579"/>
      <c r="F570" s="580"/>
      <c r="G570" s="524"/>
      <c r="H570" s="555"/>
      <c r="I570" s="560"/>
      <c r="J570" s="523"/>
      <c r="K570" s="528" t="str">
        <f>IFERROR(VLOOKUP($B570,'Clients-Live'!$A:$C,3,0),"")</f>
        <v/>
      </c>
      <c r="L570" s="528">
        <f>IF(E570="STL",Pricing!$D$38,IF(A570="",0,IF(A570&lt;Pricing!$C$25,Pricing!$D$25,VLOOKUP(Disbursements!$F570,Pricing!$B$29:$D$32,3))))</f>
        <v>0</v>
      </c>
      <c r="M570" s="528">
        <f>IF(E570="STL",0,IF(F570&gt;0,Pricing!$D$21,0))</f>
        <v>0</v>
      </c>
      <c r="N570" s="529">
        <f>IF(E570="STL",F570*Pricing!$D$40,IF(A570&lt;=Pricing!$C$4,0,IF(AND(A570&gt;Pricing!$C$4,Disbursements!A570&lt;=Pricing!$C$5),F570*Pricing!$E$5,IF(AND(A570&gt;Pricing!$C$5,Disbursements!A570&lt;=Pricing!$C$7),VLOOKUP(F570,Pricing!$D$7:$E$8,2)*Disbursements!F570,F570*Pricing!$E$9))))</f>
        <v>0</v>
      </c>
      <c r="O570" s="528">
        <f>IF(E570="STL",0,IF($F570&gt;0,$F570*Pricing!$D$17,0))</f>
        <v>0</v>
      </c>
      <c r="P570" s="530" t="str">
        <f t="shared" si="230"/>
        <v/>
      </c>
      <c r="Q570" s="531" t="str">
        <f>IF($A570="","",$G570/VLOOKUP($I570,Ref!$B$23:$D$29,2,0))</f>
        <v/>
      </c>
      <c r="R570" s="530" t="str">
        <f t="shared" si="231"/>
        <v/>
      </c>
      <c r="S570" s="532" t="str">
        <f t="shared" si="225"/>
        <v/>
      </c>
      <c r="T570" s="531" t="str">
        <f t="shared" si="232"/>
        <v/>
      </c>
      <c r="U570" s="533">
        <f t="shared" si="233"/>
        <v>0</v>
      </c>
      <c r="V570" s="531" t="str">
        <f t="shared" si="234"/>
        <v/>
      </c>
      <c r="W570" s="531" t="str">
        <f t="shared" si="235"/>
        <v/>
      </c>
      <c r="X570" s="534" t="str">
        <f t="shared" si="236"/>
        <v/>
      </c>
      <c r="Y570" s="535" t="str">
        <f>IF($A570="","",IF($I570="weekly",$A570+7,EDATE($A570,VLOOKUP($I570,Ref!$B$24:$C$29,2,0))))</f>
        <v/>
      </c>
      <c r="Z570" s="536" t="str">
        <f t="shared" si="237"/>
        <v/>
      </c>
      <c r="AA570" s="531">
        <f t="shared" si="238"/>
        <v>0</v>
      </c>
      <c r="AB570" s="535" t="str">
        <f t="shared" si="226"/>
        <v/>
      </c>
      <c r="AC570" s="537" t="str">
        <f t="shared" si="227"/>
        <v/>
      </c>
      <c r="AD570" s="538" t="str">
        <f t="shared" ca="1" si="228"/>
        <v/>
      </c>
      <c r="AE570" s="537">
        <f t="shared" ca="1" si="229"/>
        <v>0</v>
      </c>
      <c r="AF570" s="539" t="str">
        <f t="shared" ca="1" si="239"/>
        <v/>
      </c>
      <c r="AG570" s="531" t="str">
        <f t="shared" ca="1" si="240"/>
        <v/>
      </c>
      <c r="AH570" s="531" t="str">
        <f t="shared" ca="1" si="241"/>
        <v/>
      </c>
      <c r="AI570" s="531" t="str">
        <f t="shared" ca="1" si="242"/>
        <v/>
      </c>
      <c r="AJ570" s="531" t="str">
        <f t="shared" si="243"/>
        <v/>
      </c>
      <c r="AK570" s="540">
        <f>SUMIFS('Live Collections'!$S:$S,'Live Collections'!$D:$D,Disbursements!B570,'Live Collections'!$G:$G,Disbursements!C570)</f>
        <v>0</v>
      </c>
      <c r="AL570" s="540">
        <f>SUMIFS('Live Collections'!$T:$T,'Live Collections'!$D:$D,Disbursements!B570,'Live Collections'!$G:$G,Disbursements!C570)</f>
        <v>0</v>
      </c>
      <c r="AM570" s="541">
        <f t="shared" si="244"/>
        <v>0</v>
      </c>
      <c r="AN570" s="542" t="str">
        <f t="shared" si="245"/>
        <v/>
      </c>
      <c r="AO570" s="542" t="str">
        <f t="shared" si="246"/>
        <v/>
      </c>
      <c r="AP570" s="543" t="str">
        <f t="shared" si="247"/>
        <v/>
      </c>
      <c r="AQ570" s="544" t="str">
        <f t="shared" si="248"/>
        <v/>
      </c>
      <c r="AR570" s="545">
        <f t="shared" si="249"/>
        <v>0</v>
      </c>
      <c r="AS570" s="545">
        <f>IFERROR(CEILING($AR570*VLOOKUP($I570,Ref!$B$23:$E$29,4,0),1),0)</f>
        <v>0</v>
      </c>
      <c r="AT570" s="545" t="str">
        <f>IF(A570="","",IF(AP570&lt;=1,"Cleared",IF(AS570=0,"Clean",VLOOKUP($AS570,Ref!$G$23:$H$28,2))))</f>
        <v/>
      </c>
      <c r="AU570" s="546" t="str">
        <f t="shared" si="250"/>
        <v/>
      </c>
    </row>
    <row r="571" spans="1:47" ht="14.25" hidden="1" customHeight="1" x14ac:dyDescent="0.15">
      <c r="A571" s="523"/>
      <c r="B571" s="523"/>
      <c r="C571" s="523"/>
      <c r="D571" s="523"/>
      <c r="E571" s="579"/>
      <c r="F571" s="580"/>
      <c r="G571" s="524"/>
      <c r="H571" s="555"/>
      <c r="I571" s="560"/>
      <c r="J571" s="523"/>
      <c r="K571" s="528" t="str">
        <f>IFERROR(VLOOKUP($B571,'Clients-Live'!$A:$C,3,0),"")</f>
        <v/>
      </c>
      <c r="L571" s="528">
        <f>IF(E571="STL",Pricing!$D$38,IF(A571="",0,IF(A571&lt;Pricing!$C$25,Pricing!$D$25,VLOOKUP(Disbursements!$F571,Pricing!$B$29:$D$32,3))))</f>
        <v>0</v>
      </c>
      <c r="M571" s="528">
        <f>IF(E571="STL",0,IF(F571&gt;0,Pricing!$D$21,0))</f>
        <v>0</v>
      </c>
      <c r="N571" s="529">
        <f>IF(E571="STL",F571*Pricing!$D$40,IF(A571&lt;=Pricing!$C$4,0,IF(AND(A571&gt;Pricing!$C$4,Disbursements!A571&lt;=Pricing!$C$5),F571*Pricing!$E$5,IF(AND(A571&gt;Pricing!$C$5,Disbursements!A571&lt;=Pricing!$C$7),VLOOKUP(F571,Pricing!$D$7:$E$8,2)*Disbursements!F571,F571*Pricing!$E$9))))</f>
        <v>0</v>
      </c>
      <c r="O571" s="528">
        <f>IF(E571="STL",0,IF($F571&gt;0,$F571*Pricing!$D$17,0))</f>
        <v>0</v>
      </c>
      <c r="P571" s="530" t="str">
        <f t="shared" si="230"/>
        <v/>
      </c>
      <c r="Q571" s="531" t="str">
        <f>IF($A571="","",$G571/VLOOKUP($I571,Ref!$B$23:$D$29,2,0))</f>
        <v/>
      </c>
      <c r="R571" s="530" t="str">
        <f t="shared" si="231"/>
        <v/>
      </c>
      <c r="S571" s="532" t="str">
        <f t="shared" si="225"/>
        <v/>
      </c>
      <c r="T571" s="531" t="str">
        <f t="shared" si="232"/>
        <v/>
      </c>
      <c r="U571" s="533">
        <f t="shared" si="233"/>
        <v>0</v>
      </c>
      <c r="V571" s="531" t="str">
        <f t="shared" si="234"/>
        <v/>
      </c>
      <c r="W571" s="531" t="str">
        <f t="shared" si="235"/>
        <v/>
      </c>
      <c r="X571" s="534" t="str">
        <f t="shared" si="236"/>
        <v/>
      </c>
      <c r="Y571" s="535" t="str">
        <f>IF($A571="","",IF($I571="weekly",$A571+7,EDATE($A571,VLOOKUP($I571,Ref!$B$24:$C$29,2,0))))</f>
        <v/>
      </c>
      <c r="Z571" s="536" t="str">
        <f t="shared" si="237"/>
        <v/>
      </c>
      <c r="AA571" s="531">
        <f t="shared" si="238"/>
        <v>0</v>
      </c>
      <c r="AB571" s="535" t="str">
        <f t="shared" si="226"/>
        <v/>
      </c>
      <c r="AC571" s="537" t="str">
        <f t="shared" si="227"/>
        <v/>
      </c>
      <c r="AD571" s="538" t="str">
        <f t="shared" ca="1" si="228"/>
        <v/>
      </c>
      <c r="AE571" s="537">
        <f t="shared" ca="1" si="229"/>
        <v>0</v>
      </c>
      <c r="AF571" s="539" t="str">
        <f t="shared" ca="1" si="239"/>
        <v/>
      </c>
      <c r="AG571" s="531" t="str">
        <f t="shared" ca="1" si="240"/>
        <v/>
      </c>
      <c r="AH571" s="531" t="str">
        <f t="shared" ca="1" si="241"/>
        <v/>
      </c>
      <c r="AI571" s="531" t="str">
        <f t="shared" ca="1" si="242"/>
        <v/>
      </c>
      <c r="AJ571" s="531" t="str">
        <f t="shared" si="243"/>
        <v/>
      </c>
      <c r="AK571" s="540">
        <f>SUMIFS('Live Collections'!$S:$S,'Live Collections'!$D:$D,Disbursements!B571,'Live Collections'!$G:$G,Disbursements!C571)</f>
        <v>0</v>
      </c>
      <c r="AL571" s="540">
        <f>SUMIFS('Live Collections'!$T:$T,'Live Collections'!$D:$D,Disbursements!B571,'Live Collections'!$G:$G,Disbursements!C571)</f>
        <v>0</v>
      </c>
      <c r="AM571" s="541">
        <f t="shared" si="244"/>
        <v>0</v>
      </c>
      <c r="AN571" s="542" t="str">
        <f t="shared" si="245"/>
        <v/>
      </c>
      <c r="AO571" s="542" t="str">
        <f t="shared" si="246"/>
        <v/>
      </c>
      <c r="AP571" s="543" t="str">
        <f t="shared" si="247"/>
        <v/>
      </c>
      <c r="AQ571" s="544" t="str">
        <f t="shared" si="248"/>
        <v/>
      </c>
      <c r="AR571" s="545">
        <f t="shared" si="249"/>
        <v>0</v>
      </c>
      <c r="AS571" s="545">
        <f>IFERROR(CEILING($AR571*VLOOKUP($I571,Ref!$B$23:$E$29,4,0),1),0)</f>
        <v>0</v>
      </c>
      <c r="AT571" s="545" t="str">
        <f>IF(A571="","",IF(AP571&lt;=1,"Cleared",IF(AS571=0,"Clean",VLOOKUP($AS571,Ref!$G$23:$H$28,2))))</f>
        <v/>
      </c>
      <c r="AU571" s="546" t="str">
        <f t="shared" si="250"/>
        <v/>
      </c>
    </row>
    <row r="572" spans="1:47" ht="14.25" hidden="1" customHeight="1" x14ac:dyDescent="0.15">
      <c r="A572" s="523"/>
      <c r="B572" s="523"/>
      <c r="C572" s="523"/>
      <c r="D572" s="523"/>
      <c r="E572" s="579"/>
      <c r="F572" s="580"/>
      <c r="G572" s="524"/>
      <c r="H572" s="555"/>
      <c r="I572" s="560"/>
      <c r="J572" s="523"/>
      <c r="K572" s="528" t="str">
        <f>IFERROR(VLOOKUP($B572,'Clients-Live'!$A:$C,3,0),"")</f>
        <v/>
      </c>
      <c r="L572" s="528">
        <f>IF(E572="STL",Pricing!$D$38,IF(A572="",0,IF(A572&lt;Pricing!$C$25,Pricing!$D$25,VLOOKUP(Disbursements!$F572,Pricing!$B$29:$D$32,3))))</f>
        <v>0</v>
      </c>
      <c r="M572" s="528">
        <f>IF(E572="STL",0,IF(F572&gt;0,Pricing!$D$21,0))</f>
        <v>0</v>
      </c>
      <c r="N572" s="529">
        <f>IF(E572="STL",F572*Pricing!$D$40,IF(A572&lt;=Pricing!$C$4,0,IF(AND(A572&gt;Pricing!$C$4,Disbursements!A572&lt;=Pricing!$C$5),F572*Pricing!$E$5,IF(AND(A572&gt;Pricing!$C$5,Disbursements!A572&lt;=Pricing!$C$7),VLOOKUP(F572,Pricing!$D$7:$E$8,2)*Disbursements!F572,F572*Pricing!$E$9))))</f>
        <v>0</v>
      </c>
      <c r="O572" s="528">
        <f>IF(E572="STL",0,IF($F572&gt;0,$F572*Pricing!$D$17,0))</f>
        <v>0</v>
      </c>
      <c r="P572" s="530" t="str">
        <f t="shared" si="230"/>
        <v/>
      </c>
      <c r="Q572" s="531" t="str">
        <f>IF($A572="","",$G572/VLOOKUP($I572,Ref!$B$23:$D$29,2,0))</f>
        <v/>
      </c>
      <c r="R572" s="530" t="str">
        <f t="shared" si="231"/>
        <v/>
      </c>
      <c r="S572" s="532" t="str">
        <f t="shared" si="225"/>
        <v/>
      </c>
      <c r="T572" s="531" t="str">
        <f t="shared" si="232"/>
        <v/>
      </c>
      <c r="U572" s="533">
        <f t="shared" si="233"/>
        <v>0</v>
      </c>
      <c r="V572" s="531" t="str">
        <f t="shared" si="234"/>
        <v/>
      </c>
      <c r="W572" s="531" t="str">
        <f t="shared" si="235"/>
        <v/>
      </c>
      <c r="X572" s="534" t="str">
        <f t="shared" si="236"/>
        <v/>
      </c>
      <c r="Y572" s="535" t="str">
        <f>IF($A572="","",IF($I572="weekly",$A572+7,EDATE($A572,VLOOKUP($I572,Ref!$B$24:$C$29,2,0))))</f>
        <v/>
      </c>
      <c r="Z572" s="536" t="str">
        <f t="shared" si="237"/>
        <v/>
      </c>
      <c r="AA572" s="531">
        <f t="shared" si="238"/>
        <v>0</v>
      </c>
      <c r="AB572" s="535" t="str">
        <f t="shared" si="226"/>
        <v/>
      </c>
      <c r="AC572" s="537" t="str">
        <f t="shared" si="227"/>
        <v/>
      </c>
      <c r="AD572" s="538" t="str">
        <f t="shared" ca="1" si="228"/>
        <v/>
      </c>
      <c r="AE572" s="537">
        <f t="shared" ca="1" si="229"/>
        <v>0</v>
      </c>
      <c r="AF572" s="539" t="str">
        <f t="shared" ca="1" si="239"/>
        <v/>
      </c>
      <c r="AG572" s="531" t="str">
        <f t="shared" ca="1" si="240"/>
        <v/>
      </c>
      <c r="AH572" s="531" t="str">
        <f t="shared" ca="1" si="241"/>
        <v/>
      </c>
      <c r="AI572" s="531" t="str">
        <f t="shared" ca="1" si="242"/>
        <v/>
      </c>
      <c r="AJ572" s="531" t="str">
        <f t="shared" si="243"/>
        <v/>
      </c>
      <c r="AK572" s="540">
        <f>SUMIFS('Live Collections'!$S:$S,'Live Collections'!$D:$D,Disbursements!B572,'Live Collections'!$G:$G,Disbursements!C572)</f>
        <v>0</v>
      </c>
      <c r="AL572" s="540">
        <f>SUMIFS('Live Collections'!$T:$T,'Live Collections'!$D:$D,Disbursements!B572,'Live Collections'!$G:$G,Disbursements!C572)</f>
        <v>0</v>
      </c>
      <c r="AM572" s="541">
        <f t="shared" si="244"/>
        <v>0</v>
      </c>
      <c r="AN572" s="542" t="str">
        <f t="shared" si="245"/>
        <v/>
      </c>
      <c r="AO572" s="542" t="str">
        <f t="shared" si="246"/>
        <v/>
      </c>
      <c r="AP572" s="543" t="str">
        <f t="shared" si="247"/>
        <v/>
      </c>
      <c r="AQ572" s="544" t="str">
        <f t="shared" si="248"/>
        <v/>
      </c>
      <c r="AR572" s="545">
        <f t="shared" si="249"/>
        <v>0</v>
      </c>
      <c r="AS572" s="545">
        <f>IFERROR(CEILING($AR572*VLOOKUP($I572,Ref!$B$23:$E$29,4,0),1),0)</f>
        <v>0</v>
      </c>
      <c r="AT572" s="545" t="str">
        <f>IF(A572="","",IF(AP572&lt;=1,"Cleared",IF(AS572=0,"Clean",VLOOKUP($AS572,Ref!$G$23:$H$28,2))))</f>
        <v/>
      </c>
      <c r="AU572" s="546" t="str">
        <f t="shared" si="250"/>
        <v/>
      </c>
    </row>
    <row r="573" spans="1:47" ht="14.25" hidden="1" customHeight="1" x14ac:dyDescent="0.15">
      <c r="A573" s="523"/>
      <c r="B573" s="523"/>
      <c r="C573" s="523"/>
      <c r="D573" s="523"/>
      <c r="E573" s="579"/>
      <c r="F573" s="580"/>
      <c r="G573" s="524"/>
      <c r="H573" s="555"/>
      <c r="I573" s="560"/>
      <c r="J573" s="523"/>
      <c r="K573" s="528" t="str">
        <f>IFERROR(VLOOKUP($B573,'Clients-Live'!$A:$C,3,0),"")</f>
        <v/>
      </c>
      <c r="L573" s="528">
        <f>IF(E573="STL",Pricing!$D$38,IF(A573="",0,IF(A573&lt;Pricing!$C$25,Pricing!$D$25,VLOOKUP(Disbursements!$F573,Pricing!$B$29:$D$32,3))))</f>
        <v>0</v>
      </c>
      <c r="M573" s="528">
        <f>IF(E573="STL",0,IF(F573&gt;0,Pricing!$D$21,0))</f>
        <v>0</v>
      </c>
      <c r="N573" s="529">
        <f>IF(E573="STL",F573*Pricing!$D$40,IF(A573&lt;=Pricing!$C$4,0,IF(AND(A573&gt;Pricing!$C$4,Disbursements!A573&lt;=Pricing!$C$5),F573*Pricing!$E$5,IF(AND(A573&gt;Pricing!$C$5,Disbursements!A573&lt;=Pricing!$C$7),VLOOKUP(F573,Pricing!$D$7:$E$8,2)*Disbursements!F573,F573*Pricing!$E$9))))</f>
        <v>0</v>
      </c>
      <c r="O573" s="528">
        <f>IF(E573="STL",0,IF($F573&gt;0,$F573*Pricing!$D$17,0))</f>
        <v>0</v>
      </c>
      <c r="P573" s="530" t="str">
        <f t="shared" si="230"/>
        <v/>
      </c>
      <c r="Q573" s="531" t="str">
        <f>IF($A573="","",$G573/VLOOKUP($I573,Ref!$B$23:$D$29,2,0))</f>
        <v/>
      </c>
      <c r="R573" s="530" t="str">
        <f t="shared" si="231"/>
        <v/>
      </c>
      <c r="S573" s="532" t="str">
        <f t="shared" si="225"/>
        <v/>
      </c>
      <c r="T573" s="531" t="str">
        <f t="shared" si="232"/>
        <v/>
      </c>
      <c r="U573" s="533">
        <f t="shared" si="233"/>
        <v>0</v>
      </c>
      <c r="V573" s="531" t="str">
        <f t="shared" si="234"/>
        <v/>
      </c>
      <c r="W573" s="531" t="str">
        <f t="shared" si="235"/>
        <v/>
      </c>
      <c r="X573" s="534" t="str">
        <f t="shared" si="236"/>
        <v/>
      </c>
      <c r="Y573" s="535" t="str">
        <f>IF($A573="","",IF($I573="weekly",$A573+7,EDATE($A573,VLOOKUP($I573,Ref!$B$24:$C$29,2,0))))</f>
        <v/>
      </c>
      <c r="Z573" s="536" t="str">
        <f t="shared" si="237"/>
        <v/>
      </c>
      <c r="AA573" s="531">
        <f t="shared" si="238"/>
        <v>0</v>
      </c>
      <c r="AB573" s="535" t="str">
        <f t="shared" si="226"/>
        <v/>
      </c>
      <c r="AC573" s="537" t="str">
        <f t="shared" si="227"/>
        <v/>
      </c>
      <c r="AD573" s="538" t="str">
        <f t="shared" ca="1" si="228"/>
        <v/>
      </c>
      <c r="AE573" s="537">
        <f t="shared" ca="1" si="229"/>
        <v>0</v>
      </c>
      <c r="AF573" s="539" t="str">
        <f t="shared" ca="1" si="239"/>
        <v/>
      </c>
      <c r="AG573" s="531" t="str">
        <f t="shared" ca="1" si="240"/>
        <v/>
      </c>
      <c r="AH573" s="531" t="str">
        <f t="shared" ca="1" si="241"/>
        <v/>
      </c>
      <c r="AI573" s="531" t="str">
        <f t="shared" ca="1" si="242"/>
        <v/>
      </c>
      <c r="AJ573" s="531" t="str">
        <f t="shared" si="243"/>
        <v/>
      </c>
      <c r="AK573" s="540">
        <f>SUMIFS('Live Collections'!$S:$S,'Live Collections'!$D:$D,Disbursements!B573,'Live Collections'!$G:$G,Disbursements!C573)</f>
        <v>0</v>
      </c>
      <c r="AL573" s="540">
        <f>SUMIFS('Live Collections'!$T:$T,'Live Collections'!$D:$D,Disbursements!B573,'Live Collections'!$G:$G,Disbursements!C573)</f>
        <v>0</v>
      </c>
      <c r="AM573" s="541">
        <f t="shared" si="244"/>
        <v>0</v>
      </c>
      <c r="AN573" s="542" t="str">
        <f t="shared" si="245"/>
        <v/>
      </c>
      <c r="AO573" s="542" t="str">
        <f t="shared" si="246"/>
        <v/>
      </c>
      <c r="AP573" s="543" t="str">
        <f t="shared" si="247"/>
        <v/>
      </c>
      <c r="AQ573" s="544" t="str">
        <f t="shared" si="248"/>
        <v/>
      </c>
      <c r="AR573" s="545">
        <f t="shared" si="249"/>
        <v>0</v>
      </c>
      <c r="AS573" s="545">
        <f>IFERROR(CEILING($AR573*VLOOKUP($I573,Ref!$B$23:$E$29,4,0),1),0)</f>
        <v>0</v>
      </c>
      <c r="AT573" s="545" t="str">
        <f>IF(A573="","",IF(AP573&lt;=1,"Cleared",IF(AS573=0,"Clean",VLOOKUP($AS573,Ref!$G$23:$H$28,2))))</f>
        <v/>
      </c>
      <c r="AU573" s="546" t="str">
        <f t="shared" si="250"/>
        <v/>
      </c>
    </row>
    <row r="574" spans="1:47" ht="14.25" hidden="1" customHeight="1" x14ac:dyDescent="0.15">
      <c r="A574" s="523"/>
      <c r="B574" s="523"/>
      <c r="C574" s="523"/>
      <c r="D574" s="523"/>
      <c r="E574" s="579"/>
      <c r="F574" s="580"/>
      <c r="G574" s="524"/>
      <c r="H574" s="555"/>
      <c r="I574" s="560"/>
      <c r="J574" s="523"/>
      <c r="K574" s="528" t="str">
        <f>IFERROR(VLOOKUP($B574,'Clients-Live'!$A:$C,3,0),"")</f>
        <v/>
      </c>
      <c r="L574" s="528">
        <f>IF(E574="STL",Pricing!$D$38,IF(A574="",0,IF(A574&lt;Pricing!$C$25,Pricing!$D$25,VLOOKUP(Disbursements!$F574,Pricing!$B$29:$D$32,3))))</f>
        <v>0</v>
      </c>
      <c r="M574" s="528">
        <f>IF(E574="STL",0,IF(F574&gt;0,Pricing!$D$21,0))</f>
        <v>0</v>
      </c>
      <c r="N574" s="529">
        <f>IF(E574="STL",F574*Pricing!$D$40,IF(A574&lt;=Pricing!$C$4,0,IF(AND(A574&gt;Pricing!$C$4,Disbursements!A574&lt;=Pricing!$C$5),F574*Pricing!$E$5,IF(AND(A574&gt;Pricing!$C$5,Disbursements!A574&lt;=Pricing!$C$7),VLOOKUP(F574,Pricing!$D$7:$E$8,2)*Disbursements!F574,F574*Pricing!$E$9))))</f>
        <v>0</v>
      </c>
      <c r="O574" s="528">
        <f>IF(E574="STL",0,IF($F574&gt;0,$F574*Pricing!$D$17,0))</f>
        <v>0</v>
      </c>
      <c r="P574" s="530" t="str">
        <f t="shared" si="230"/>
        <v/>
      </c>
      <c r="Q574" s="531" t="str">
        <f>IF($A574="","",$G574/VLOOKUP($I574,Ref!$B$23:$D$29,2,0))</f>
        <v/>
      </c>
      <c r="R574" s="530" t="str">
        <f t="shared" si="231"/>
        <v/>
      </c>
      <c r="S574" s="532" t="str">
        <f t="shared" si="225"/>
        <v/>
      </c>
      <c r="T574" s="531" t="str">
        <f t="shared" si="232"/>
        <v/>
      </c>
      <c r="U574" s="533">
        <f t="shared" si="233"/>
        <v>0</v>
      </c>
      <c r="V574" s="531" t="str">
        <f t="shared" si="234"/>
        <v/>
      </c>
      <c r="W574" s="531" t="str">
        <f t="shared" si="235"/>
        <v/>
      </c>
      <c r="X574" s="534" t="str">
        <f t="shared" si="236"/>
        <v/>
      </c>
      <c r="Y574" s="535" t="str">
        <f>IF($A574="","",IF($I574="weekly",$A574+7,EDATE($A574,VLOOKUP($I574,Ref!$B$24:$C$29,2,0))))</f>
        <v/>
      </c>
      <c r="Z574" s="536" t="str">
        <f t="shared" si="237"/>
        <v/>
      </c>
      <c r="AA574" s="531">
        <f t="shared" si="238"/>
        <v>0</v>
      </c>
      <c r="AB574" s="535" t="str">
        <f t="shared" si="226"/>
        <v/>
      </c>
      <c r="AC574" s="537" t="str">
        <f t="shared" si="227"/>
        <v/>
      </c>
      <c r="AD574" s="538" t="str">
        <f t="shared" ca="1" si="228"/>
        <v/>
      </c>
      <c r="AE574" s="537">
        <f t="shared" ca="1" si="229"/>
        <v>0</v>
      </c>
      <c r="AF574" s="539" t="str">
        <f t="shared" ca="1" si="239"/>
        <v/>
      </c>
      <c r="AG574" s="531" t="str">
        <f t="shared" ca="1" si="240"/>
        <v/>
      </c>
      <c r="AH574" s="531" t="str">
        <f t="shared" ca="1" si="241"/>
        <v/>
      </c>
      <c r="AI574" s="531" t="str">
        <f t="shared" ca="1" si="242"/>
        <v/>
      </c>
      <c r="AJ574" s="531" t="str">
        <f t="shared" si="243"/>
        <v/>
      </c>
      <c r="AK574" s="540">
        <f>SUMIFS('Live Collections'!$S:$S,'Live Collections'!$D:$D,Disbursements!B574,'Live Collections'!$G:$G,Disbursements!C574)</f>
        <v>0</v>
      </c>
      <c r="AL574" s="540">
        <f>SUMIFS('Live Collections'!$T:$T,'Live Collections'!$D:$D,Disbursements!B574,'Live Collections'!$G:$G,Disbursements!C574)</f>
        <v>0</v>
      </c>
      <c r="AM574" s="541">
        <f t="shared" si="244"/>
        <v>0</v>
      </c>
      <c r="AN574" s="542" t="str">
        <f t="shared" si="245"/>
        <v/>
      </c>
      <c r="AO574" s="542" t="str">
        <f t="shared" si="246"/>
        <v/>
      </c>
      <c r="AP574" s="543" t="str">
        <f t="shared" si="247"/>
        <v/>
      </c>
      <c r="AQ574" s="544" t="str">
        <f t="shared" si="248"/>
        <v/>
      </c>
      <c r="AR574" s="545">
        <f t="shared" si="249"/>
        <v>0</v>
      </c>
      <c r="AS574" s="545">
        <f>IFERROR(CEILING($AR574*VLOOKUP($I574,Ref!$B$23:$E$29,4,0),1),0)</f>
        <v>0</v>
      </c>
      <c r="AT574" s="545" t="str">
        <f>IF(A574="","",IF(AP574&lt;=1,"Cleared",IF(AS574=0,"Clean",VLOOKUP($AS574,Ref!$G$23:$H$28,2))))</f>
        <v/>
      </c>
      <c r="AU574" s="546" t="str">
        <f t="shared" si="250"/>
        <v/>
      </c>
    </row>
    <row r="575" spans="1:47" ht="14.25" hidden="1" customHeight="1" x14ac:dyDescent="0.15">
      <c r="A575" s="523"/>
      <c r="B575" s="523"/>
      <c r="C575" s="523"/>
      <c r="D575" s="523"/>
      <c r="E575" s="579"/>
      <c r="F575" s="580"/>
      <c r="G575" s="524"/>
      <c r="H575" s="555"/>
      <c r="I575" s="560"/>
      <c r="J575" s="523"/>
      <c r="K575" s="528" t="str">
        <f>IFERROR(VLOOKUP($B575,'Clients-Live'!$A:$C,3,0),"")</f>
        <v/>
      </c>
      <c r="L575" s="528">
        <f>IF(E575="STL",Pricing!$D$38,IF(A575="",0,IF(A575&lt;Pricing!$C$25,Pricing!$D$25,VLOOKUP(Disbursements!$F575,Pricing!$B$29:$D$32,3))))</f>
        <v>0</v>
      </c>
      <c r="M575" s="528">
        <f>IF(E575="STL",0,IF(F575&gt;0,Pricing!$D$21,0))</f>
        <v>0</v>
      </c>
      <c r="N575" s="529">
        <f>IF(E575="STL",F575*Pricing!$D$40,IF(A575&lt;=Pricing!$C$4,0,IF(AND(A575&gt;Pricing!$C$4,Disbursements!A575&lt;=Pricing!$C$5),F575*Pricing!$E$5,IF(AND(A575&gt;Pricing!$C$5,Disbursements!A575&lt;=Pricing!$C$7),VLOOKUP(F575,Pricing!$D$7:$E$8,2)*Disbursements!F575,F575*Pricing!$E$9))))</f>
        <v>0</v>
      </c>
      <c r="O575" s="528">
        <f>IF(E575="STL",0,IF($F575&gt;0,$F575*Pricing!$D$17,0))</f>
        <v>0</v>
      </c>
      <c r="P575" s="530" t="str">
        <f t="shared" si="230"/>
        <v/>
      </c>
      <c r="Q575" s="531" t="str">
        <f>IF($A575="","",$G575/VLOOKUP($I575,Ref!$B$23:$D$29,2,0))</f>
        <v/>
      </c>
      <c r="R575" s="530" t="str">
        <f t="shared" si="231"/>
        <v/>
      </c>
      <c r="S575" s="532" t="str">
        <f t="shared" si="225"/>
        <v/>
      </c>
      <c r="T575" s="531" t="str">
        <f t="shared" si="232"/>
        <v/>
      </c>
      <c r="U575" s="533">
        <f t="shared" si="233"/>
        <v>0</v>
      </c>
      <c r="V575" s="531" t="str">
        <f t="shared" si="234"/>
        <v/>
      </c>
      <c r="W575" s="531" t="str">
        <f t="shared" si="235"/>
        <v/>
      </c>
      <c r="X575" s="534" t="str">
        <f t="shared" si="236"/>
        <v/>
      </c>
      <c r="Y575" s="535" t="str">
        <f>IF($A575="","",IF($I575="weekly",$A575+7,EDATE($A575,VLOOKUP($I575,Ref!$B$24:$C$29,2,0))))</f>
        <v/>
      </c>
      <c r="Z575" s="536" t="str">
        <f t="shared" si="237"/>
        <v/>
      </c>
      <c r="AA575" s="531">
        <f t="shared" si="238"/>
        <v>0</v>
      </c>
      <c r="AB575" s="535" t="str">
        <f t="shared" si="226"/>
        <v/>
      </c>
      <c r="AC575" s="537" t="str">
        <f t="shared" si="227"/>
        <v/>
      </c>
      <c r="AD575" s="538" t="str">
        <f t="shared" ca="1" si="228"/>
        <v/>
      </c>
      <c r="AE575" s="537">
        <f t="shared" ca="1" si="229"/>
        <v>0</v>
      </c>
      <c r="AF575" s="539" t="str">
        <f t="shared" ca="1" si="239"/>
        <v/>
      </c>
      <c r="AG575" s="531" t="str">
        <f t="shared" ca="1" si="240"/>
        <v/>
      </c>
      <c r="AH575" s="531" t="str">
        <f t="shared" ca="1" si="241"/>
        <v/>
      </c>
      <c r="AI575" s="531" t="str">
        <f t="shared" ca="1" si="242"/>
        <v/>
      </c>
      <c r="AJ575" s="531" t="str">
        <f t="shared" si="243"/>
        <v/>
      </c>
      <c r="AK575" s="540">
        <f>SUMIFS('Live Collections'!$S:$S,'Live Collections'!$D:$D,Disbursements!B575,'Live Collections'!$G:$G,Disbursements!C575)</f>
        <v>0</v>
      </c>
      <c r="AL575" s="540">
        <f>SUMIFS('Live Collections'!$T:$T,'Live Collections'!$D:$D,Disbursements!B575,'Live Collections'!$G:$G,Disbursements!C575)</f>
        <v>0</v>
      </c>
      <c r="AM575" s="541">
        <f t="shared" si="244"/>
        <v>0</v>
      </c>
      <c r="AN575" s="542" t="str">
        <f t="shared" si="245"/>
        <v/>
      </c>
      <c r="AO575" s="542" t="str">
        <f t="shared" si="246"/>
        <v/>
      </c>
      <c r="AP575" s="543" t="str">
        <f t="shared" si="247"/>
        <v/>
      </c>
      <c r="AQ575" s="544" t="str">
        <f t="shared" si="248"/>
        <v/>
      </c>
      <c r="AR575" s="545">
        <f t="shared" si="249"/>
        <v>0</v>
      </c>
      <c r="AS575" s="545">
        <f>IFERROR(CEILING($AR575*VLOOKUP($I575,Ref!$B$23:$E$29,4,0),1),0)</f>
        <v>0</v>
      </c>
      <c r="AT575" s="545" t="str">
        <f>IF(A575="","",IF(AP575&lt;=1,"Cleared",IF(AS575=0,"Clean",VLOOKUP($AS575,Ref!$G$23:$H$28,2))))</f>
        <v/>
      </c>
      <c r="AU575" s="546" t="str">
        <f t="shared" si="250"/>
        <v/>
      </c>
    </row>
    <row r="576" spans="1:47" ht="14.25" hidden="1" customHeight="1" x14ac:dyDescent="0.15">
      <c r="A576" s="523"/>
      <c r="B576" s="523"/>
      <c r="C576" s="523"/>
      <c r="D576" s="523"/>
      <c r="E576" s="579"/>
      <c r="F576" s="580"/>
      <c r="G576" s="524"/>
      <c r="H576" s="555"/>
      <c r="I576" s="560"/>
      <c r="J576" s="523"/>
      <c r="K576" s="528" t="str">
        <f>IFERROR(VLOOKUP($B576,'Clients-Live'!$A:$C,3,0),"")</f>
        <v/>
      </c>
      <c r="L576" s="528">
        <f>IF(E576="STL",Pricing!$D$38,IF(A576="",0,IF(A576&lt;Pricing!$C$25,Pricing!$D$25,VLOOKUP(Disbursements!$F576,Pricing!$B$29:$D$32,3))))</f>
        <v>0</v>
      </c>
      <c r="M576" s="528">
        <f>IF(E576="STL",0,IF(F576&gt;0,Pricing!$D$21,0))</f>
        <v>0</v>
      </c>
      <c r="N576" s="529">
        <f>IF(E576="STL",F576*Pricing!$D$40,IF(A576&lt;=Pricing!$C$4,0,IF(AND(A576&gt;Pricing!$C$4,Disbursements!A576&lt;=Pricing!$C$5),F576*Pricing!$E$5,IF(AND(A576&gt;Pricing!$C$5,Disbursements!A576&lt;=Pricing!$C$7),VLOOKUP(F576,Pricing!$D$7:$E$8,2)*Disbursements!F576,F576*Pricing!$E$9))))</f>
        <v>0</v>
      </c>
      <c r="O576" s="528">
        <f>IF(E576="STL",0,IF($F576&gt;0,$F576*Pricing!$D$17,0))</f>
        <v>0</v>
      </c>
      <c r="P576" s="530" t="str">
        <f t="shared" si="230"/>
        <v/>
      </c>
      <c r="Q576" s="531" t="str">
        <f>IF($A576="","",$G576/VLOOKUP($I576,Ref!$B$23:$D$29,2,0))</f>
        <v/>
      </c>
      <c r="R576" s="530" t="str">
        <f t="shared" si="231"/>
        <v/>
      </c>
      <c r="S576" s="532" t="str">
        <f t="shared" si="225"/>
        <v/>
      </c>
      <c r="T576" s="531" t="str">
        <f t="shared" si="232"/>
        <v/>
      </c>
      <c r="U576" s="533">
        <f t="shared" si="233"/>
        <v>0</v>
      </c>
      <c r="V576" s="531" t="str">
        <f t="shared" si="234"/>
        <v/>
      </c>
      <c r="W576" s="531" t="str">
        <f t="shared" si="235"/>
        <v/>
      </c>
      <c r="X576" s="534" t="str">
        <f t="shared" si="236"/>
        <v/>
      </c>
      <c r="Y576" s="535" t="str">
        <f>IF($A576="","",IF($I576="weekly",$A576+7,EDATE($A576,VLOOKUP($I576,Ref!$B$24:$C$29,2,0))))</f>
        <v/>
      </c>
      <c r="Z576" s="536" t="str">
        <f t="shared" si="237"/>
        <v/>
      </c>
      <c r="AA576" s="531">
        <f t="shared" si="238"/>
        <v>0</v>
      </c>
      <c r="AB576" s="535" t="str">
        <f t="shared" si="226"/>
        <v/>
      </c>
      <c r="AC576" s="537" t="str">
        <f t="shared" si="227"/>
        <v/>
      </c>
      <c r="AD576" s="538" t="str">
        <f t="shared" ca="1" si="228"/>
        <v/>
      </c>
      <c r="AE576" s="537">
        <f t="shared" ca="1" si="229"/>
        <v>0</v>
      </c>
      <c r="AF576" s="539" t="str">
        <f t="shared" ca="1" si="239"/>
        <v/>
      </c>
      <c r="AG576" s="531" t="str">
        <f t="shared" ca="1" si="240"/>
        <v/>
      </c>
      <c r="AH576" s="531" t="str">
        <f t="shared" ca="1" si="241"/>
        <v/>
      </c>
      <c r="AI576" s="531" t="str">
        <f t="shared" ca="1" si="242"/>
        <v/>
      </c>
      <c r="AJ576" s="531" t="str">
        <f t="shared" si="243"/>
        <v/>
      </c>
      <c r="AK576" s="540">
        <f>SUMIFS('Live Collections'!$S:$S,'Live Collections'!$D:$D,Disbursements!B576,'Live Collections'!$G:$G,Disbursements!C576)</f>
        <v>0</v>
      </c>
      <c r="AL576" s="540">
        <f>SUMIFS('Live Collections'!$T:$T,'Live Collections'!$D:$D,Disbursements!B576,'Live Collections'!$G:$G,Disbursements!C576)</f>
        <v>0</v>
      </c>
      <c r="AM576" s="541">
        <f t="shared" si="244"/>
        <v>0</v>
      </c>
      <c r="AN576" s="542" t="str">
        <f t="shared" si="245"/>
        <v/>
      </c>
      <c r="AO576" s="542" t="str">
        <f t="shared" si="246"/>
        <v/>
      </c>
      <c r="AP576" s="543" t="str">
        <f t="shared" si="247"/>
        <v/>
      </c>
      <c r="AQ576" s="544" t="str">
        <f t="shared" si="248"/>
        <v/>
      </c>
      <c r="AR576" s="545">
        <f t="shared" si="249"/>
        <v>0</v>
      </c>
      <c r="AS576" s="545">
        <f>IFERROR(CEILING($AR576*VLOOKUP($I576,Ref!$B$23:$E$29,4,0),1),0)</f>
        <v>0</v>
      </c>
      <c r="AT576" s="545" t="str">
        <f>IF(A576="","",IF(AP576&lt;=1,"Cleared",IF(AS576=0,"Clean",VLOOKUP($AS576,Ref!$G$23:$H$28,2))))</f>
        <v/>
      </c>
      <c r="AU576" s="546" t="str">
        <f t="shared" si="250"/>
        <v/>
      </c>
    </row>
    <row r="577" spans="1:47" ht="14.25" hidden="1" customHeight="1" x14ac:dyDescent="0.15">
      <c r="A577" s="523"/>
      <c r="B577" s="523"/>
      <c r="C577" s="523"/>
      <c r="D577" s="523"/>
      <c r="E577" s="579"/>
      <c r="F577" s="580"/>
      <c r="G577" s="524"/>
      <c r="H577" s="555"/>
      <c r="I577" s="560"/>
      <c r="J577" s="523"/>
      <c r="K577" s="528" t="str">
        <f>IFERROR(VLOOKUP($B577,'Clients-Live'!$A:$C,3,0),"")</f>
        <v/>
      </c>
      <c r="L577" s="528">
        <f>IF(E577="STL",Pricing!$D$38,IF(A577="",0,IF(A577&lt;Pricing!$C$25,Pricing!$D$25,VLOOKUP(Disbursements!$F577,Pricing!$B$29:$D$32,3))))</f>
        <v>0</v>
      </c>
      <c r="M577" s="528">
        <f>IF(E577="STL",0,IF(F577&gt;0,Pricing!$D$21,0))</f>
        <v>0</v>
      </c>
      <c r="N577" s="529">
        <f>IF(E577="STL",F577*Pricing!$D$40,IF(A577&lt;=Pricing!$C$4,0,IF(AND(A577&gt;Pricing!$C$4,Disbursements!A577&lt;=Pricing!$C$5),F577*Pricing!$E$5,IF(AND(A577&gt;Pricing!$C$5,Disbursements!A577&lt;=Pricing!$C$7),VLOOKUP(F577,Pricing!$D$7:$E$8,2)*Disbursements!F577,F577*Pricing!$E$9))))</f>
        <v>0</v>
      </c>
      <c r="O577" s="528">
        <f>IF(E577="STL",0,IF($F577&gt;0,$F577*Pricing!$D$17,0))</f>
        <v>0</v>
      </c>
      <c r="P577" s="530" t="str">
        <f t="shared" si="230"/>
        <v/>
      </c>
      <c r="Q577" s="531" t="str">
        <f>IF($A577="","",$G577/VLOOKUP($I577,Ref!$B$23:$D$29,2,0))</f>
        <v/>
      </c>
      <c r="R577" s="530" t="str">
        <f t="shared" si="231"/>
        <v/>
      </c>
      <c r="S577" s="532" t="str">
        <f t="shared" si="225"/>
        <v/>
      </c>
      <c r="T577" s="531" t="str">
        <f t="shared" si="232"/>
        <v/>
      </c>
      <c r="U577" s="533">
        <f t="shared" si="233"/>
        <v>0</v>
      </c>
      <c r="V577" s="531" t="str">
        <f t="shared" si="234"/>
        <v/>
      </c>
      <c r="W577" s="531" t="str">
        <f t="shared" si="235"/>
        <v/>
      </c>
      <c r="X577" s="534" t="str">
        <f t="shared" si="236"/>
        <v/>
      </c>
      <c r="Y577" s="535" t="str">
        <f>IF($A577="","",IF($I577="weekly",$A577+7,EDATE($A577,VLOOKUP($I577,Ref!$B$24:$C$29,2,0))))</f>
        <v/>
      </c>
      <c r="Z577" s="536" t="str">
        <f t="shared" si="237"/>
        <v/>
      </c>
      <c r="AA577" s="531">
        <f t="shared" si="238"/>
        <v>0</v>
      </c>
      <c r="AB577" s="535" t="str">
        <f t="shared" si="226"/>
        <v/>
      </c>
      <c r="AC577" s="537" t="str">
        <f t="shared" si="227"/>
        <v/>
      </c>
      <c r="AD577" s="538" t="str">
        <f t="shared" ca="1" si="228"/>
        <v/>
      </c>
      <c r="AE577" s="537">
        <f t="shared" ca="1" si="229"/>
        <v>0</v>
      </c>
      <c r="AF577" s="539" t="str">
        <f t="shared" ca="1" si="239"/>
        <v/>
      </c>
      <c r="AG577" s="531" t="str">
        <f t="shared" ca="1" si="240"/>
        <v/>
      </c>
      <c r="AH577" s="531" t="str">
        <f t="shared" ca="1" si="241"/>
        <v/>
      </c>
      <c r="AI577" s="531" t="str">
        <f t="shared" ca="1" si="242"/>
        <v/>
      </c>
      <c r="AJ577" s="531" t="str">
        <f t="shared" si="243"/>
        <v/>
      </c>
      <c r="AK577" s="540">
        <f>SUMIFS('Live Collections'!$S:$S,'Live Collections'!$D:$D,Disbursements!B577,'Live Collections'!$G:$G,Disbursements!C577)</f>
        <v>0</v>
      </c>
      <c r="AL577" s="540">
        <f>SUMIFS('Live Collections'!$T:$T,'Live Collections'!$D:$D,Disbursements!B577,'Live Collections'!$G:$G,Disbursements!C577)</f>
        <v>0</v>
      </c>
      <c r="AM577" s="541">
        <f t="shared" si="244"/>
        <v>0</v>
      </c>
      <c r="AN577" s="542" t="str">
        <f t="shared" si="245"/>
        <v/>
      </c>
      <c r="AO577" s="542" t="str">
        <f t="shared" si="246"/>
        <v/>
      </c>
      <c r="AP577" s="543" t="str">
        <f t="shared" si="247"/>
        <v/>
      </c>
      <c r="AQ577" s="544" t="str">
        <f t="shared" si="248"/>
        <v/>
      </c>
      <c r="AR577" s="545">
        <f t="shared" si="249"/>
        <v>0</v>
      </c>
      <c r="AS577" s="545">
        <f>IFERROR(CEILING($AR577*VLOOKUP($I577,Ref!$B$23:$E$29,4,0),1),0)</f>
        <v>0</v>
      </c>
      <c r="AT577" s="545" t="str">
        <f>IF(A577="","",IF(AP577&lt;=1,"Cleared",IF(AS577=0,"Clean",VLOOKUP($AS577,Ref!$G$23:$H$28,2))))</f>
        <v/>
      </c>
      <c r="AU577" s="546" t="str">
        <f t="shared" si="250"/>
        <v/>
      </c>
    </row>
    <row r="578" spans="1:47" ht="14.25" hidden="1" customHeight="1" x14ac:dyDescent="0.15">
      <c r="A578" s="523"/>
      <c r="B578" s="523"/>
      <c r="C578" s="523"/>
      <c r="D578" s="523"/>
      <c r="E578" s="579"/>
      <c r="F578" s="580"/>
      <c r="G578" s="524"/>
      <c r="H578" s="555"/>
      <c r="I578" s="560"/>
      <c r="J578" s="523"/>
      <c r="K578" s="528" t="str">
        <f>IFERROR(VLOOKUP($B578,'Clients-Live'!$A:$C,3,0),"")</f>
        <v/>
      </c>
      <c r="L578" s="528">
        <f>IF(E578="STL",Pricing!$D$38,IF(A578="",0,IF(A578&lt;Pricing!$C$25,Pricing!$D$25,VLOOKUP(Disbursements!$F578,Pricing!$B$29:$D$32,3))))</f>
        <v>0</v>
      </c>
      <c r="M578" s="528">
        <f>IF(E578="STL",0,IF(F578&gt;0,Pricing!$D$21,0))</f>
        <v>0</v>
      </c>
      <c r="N578" s="529">
        <f>IF(E578="STL",F578*Pricing!$D$40,IF(A578&lt;=Pricing!$C$4,0,IF(AND(A578&gt;Pricing!$C$4,Disbursements!A578&lt;=Pricing!$C$5),F578*Pricing!$E$5,IF(AND(A578&gt;Pricing!$C$5,Disbursements!A578&lt;=Pricing!$C$7),VLOOKUP(F578,Pricing!$D$7:$E$8,2)*Disbursements!F578,F578*Pricing!$E$9))))</f>
        <v>0</v>
      </c>
      <c r="O578" s="528">
        <f>IF(E578="STL",0,IF($F578&gt;0,$F578*Pricing!$D$17,0))</f>
        <v>0</v>
      </c>
      <c r="P578" s="530" t="str">
        <f t="shared" si="230"/>
        <v/>
      </c>
      <c r="Q578" s="531" t="str">
        <f>IF($A578="","",$G578/VLOOKUP($I578,Ref!$B$23:$D$29,2,0))</f>
        <v/>
      </c>
      <c r="R578" s="530" t="str">
        <f t="shared" si="231"/>
        <v/>
      </c>
      <c r="S578" s="532" t="str">
        <f t="shared" si="225"/>
        <v/>
      </c>
      <c r="T578" s="531" t="str">
        <f t="shared" si="232"/>
        <v/>
      </c>
      <c r="U578" s="533">
        <f t="shared" si="233"/>
        <v>0</v>
      </c>
      <c r="V578" s="531" t="str">
        <f t="shared" si="234"/>
        <v/>
      </c>
      <c r="W578" s="531" t="str">
        <f t="shared" si="235"/>
        <v/>
      </c>
      <c r="X578" s="534" t="str">
        <f t="shared" si="236"/>
        <v/>
      </c>
      <c r="Y578" s="535" t="str">
        <f>IF($A578="","",IF($I578="weekly",$A578+7,EDATE($A578,VLOOKUP($I578,Ref!$B$24:$C$29,2,0))))</f>
        <v/>
      </c>
      <c r="Z578" s="536" t="str">
        <f t="shared" si="237"/>
        <v/>
      </c>
      <c r="AA578" s="531">
        <f t="shared" si="238"/>
        <v>0</v>
      </c>
      <c r="AB578" s="535" t="str">
        <f t="shared" si="226"/>
        <v/>
      </c>
      <c r="AC578" s="537" t="str">
        <f t="shared" si="227"/>
        <v/>
      </c>
      <c r="AD578" s="538" t="str">
        <f t="shared" ca="1" si="228"/>
        <v/>
      </c>
      <c r="AE578" s="537">
        <f t="shared" ca="1" si="229"/>
        <v>0</v>
      </c>
      <c r="AF578" s="539" t="str">
        <f t="shared" ca="1" si="239"/>
        <v/>
      </c>
      <c r="AG578" s="531" t="str">
        <f t="shared" ca="1" si="240"/>
        <v/>
      </c>
      <c r="AH578" s="531" t="str">
        <f t="shared" ca="1" si="241"/>
        <v/>
      </c>
      <c r="AI578" s="531" t="str">
        <f t="shared" ca="1" si="242"/>
        <v/>
      </c>
      <c r="AJ578" s="531" t="str">
        <f t="shared" si="243"/>
        <v/>
      </c>
      <c r="AK578" s="540">
        <f>SUMIFS('Live Collections'!$S:$S,'Live Collections'!$D:$D,Disbursements!B578,'Live Collections'!$G:$G,Disbursements!C578)</f>
        <v>0</v>
      </c>
      <c r="AL578" s="540">
        <f>SUMIFS('Live Collections'!$T:$T,'Live Collections'!$D:$D,Disbursements!B578,'Live Collections'!$G:$G,Disbursements!C578)</f>
        <v>0</v>
      </c>
      <c r="AM578" s="541">
        <f t="shared" si="244"/>
        <v>0</v>
      </c>
      <c r="AN578" s="542" t="str">
        <f t="shared" si="245"/>
        <v/>
      </c>
      <c r="AO578" s="542" t="str">
        <f t="shared" si="246"/>
        <v/>
      </c>
      <c r="AP578" s="543" t="str">
        <f t="shared" si="247"/>
        <v/>
      </c>
      <c r="AQ578" s="544" t="str">
        <f t="shared" si="248"/>
        <v/>
      </c>
      <c r="AR578" s="545">
        <f t="shared" si="249"/>
        <v>0</v>
      </c>
      <c r="AS578" s="545">
        <f>IFERROR(CEILING($AR578*VLOOKUP($I578,Ref!$B$23:$E$29,4,0),1),0)</f>
        <v>0</v>
      </c>
      <c r="AT578" s="545" t="str">
        <f>IF(A578="","",IF(AP578&lt;=1,"Cleared",IF(AS578=0,"Clean",VLOOKUP($AS578,Ref!$G$23:$H$28,2))))</f>
        <v/>
      </c>
      <c r="AU578" s="546" t="str">
        <f t="shared" si="250"/>
        <v/>
      </c>
    </row>
    <row r="579" spans="1:47" ht="14.25" hidden="1" customHeight="1" x14ac:dyDescent="0.15">
      <c r="A579" s="523"/>
      <c r="B579" s="523"/>
      <c r="C579" s="523"/>
      <c r="D579" s="523"/>
      <c r="E579" s="579"/>
      <c r="F579" s="580"/>
      <c r="G579" s="524"/>
      <c r="H579" s="555"/>
      <c r="I579" s="560"/>
      <c r="J579" s="523"/>
      <c r="K579" s="528" t="str">
        <f>IFERROR(VLOOKUP($B579,'Clients-Live'!$A:$C,3,0),"")</f>
        <v/>
      </c>
      <c r="L579" s="528">
        <f>IF(E579="STL",Pricing!$D$38,IF(A579="",0,IF(A579&lt;Pricing!$C$25,Pricing!$D$25,VLOOKUP(Disbursements!$F579,Pricing!$B$29:$D$32,3))))</f>
        <v>0</v>
      </c>
      <c r="M579" s="528">
        <f>IF(E579="STL",0,IF(F579&gt;0,Pricing!$D$21,0))</f>
        <v>0</v>
      </c>
      <c r="N579" s="529">
        <f>IF(E579="STL",F579*Pricing!$D$40,IF(A579&lt;=Pricing!$C$4,0,IF(AND(A579&gt;Pricing!$C$4,Disbursements!A579&lt;=Pricing!$C$5),F579*Pricing!$E$5,IF(AND(A579&gt;Pricing!$C$5,Disbursements!A579&lt;=Pricing!$C$7),VLOOKUP(F579,Pricing!$D$7:$E$8,2)*Disbursements!F579,F579*Pricing!$E$9))))</f>
        <v>0</v>
      </c>
      <c r="O579" s="528">
        <f>IF(E579="STL",0,IF($F579&gt;0,$F579*Pricing!$D$17,0))</f>
        <v>0</v>
      </c>
      <c r="P579" s="530" t="str">
        <f t="shared" si="230"/>
        <v/>
      </c>
      <c r="Q579" s="531" t="str">
        <f>IF($A579="","",$G579/VLOOKUP($I579,Ref!$B$23:$D$29,2,0))</f>
        <v/>
      </c>
      <c r="R579" s="530" t="str">
        <f t="shared" si="231"/>
        <v/>
      </c>
      <c r="S579" s="532" t="str">
        <f t="shared" si="225"/>
        <v/>
      </c>
      <c r="T579" s="531" t="str">
        <f t="shared" si="232"/>
        <v/>
      </c>
      <c r="U579" s="533">
        <f t="shared" si="233"/>
        <v>0</v>
      </c>
      <c r="V579" s="531" t="str">
        <f t="shared" si="234"/>
        <v/>
      </c>
      <c r="W579" s="531" t="str">
        <f t="shared" si="235"/>
        <v/>
      </c>
      <c r="X579" s="534" t="str">
        <f t="shared" si="236"/>
        <v/>
      </c>
      <c r="Y579" s="535" t="str">
        <f>IF($A579="","",IF($I579="weekly",$A579+7,EDATE($A579,VLOOKUP($I579,Ref!$B$24:$C$29,2,0))))</f>
        <v/>
      </c>
      <c r="Z579" s="536" t="str">
        <f t="shared" si="237"/>
        <v/>
      </c>
      <c r="AA579" s="531">
        <f t="shared" si="238"/>
        <v>0</v>
      </c>
      <c r="AB579" s="535" t="str">
        <f t="shared" si="226"/>
        <v/>
      </c>
      <c r="AC579" s="537" t="str">
        <f t="shared" si="227"/>
        <v/>
      </c>
      <c r="AD579" s="538" t="str">
        <f t="shared" ca="1" si="228"/>
        <v/>
      </c>
      <c r="AE579" s="537">
        <f t="shared" ca="1" si="229"/>
        <v>0</v>
      </c>
      <c r="AF579" s="539" t="str">
        <f t="shared" ca="1" si="239"/>
        <v/>
      </c>
      <c r="AG579" s="531" t="str">
        <f t="shared" ca="1" si="240"/>
        <v/>
      </c>
      <c r="AH579" s="531" t="str">
        <f t="shared" ca="1" si="241"/>
        <v/>
      </c>
      <c r="AI579" s="531" t="str">
        <f t="shared" ca="1" si="242"/>
        <v/>
      </c>
      <c r="AJ579" s="531" t="str">
        <f t="shared" si="243"/>
        <v/>
      </c>
      <c r="AK579" s="540">
        <f>SUMIFS('Live Collections'!$S:$S,'Live Collections'!$D:$D,Disbursements!B579,'Live Collections'!$G:$G,Disbursements!C579)</f>
        <v>0</v>
      </c>
      <c r="AL579" s="540">
        <f>SUMIFS('Live Collections'!$T:$T,'Live Collections'!$D:$D,Disbursements!B579,'Live Collections'!$G:$G,Disbursements!C579)</f>
        <v>0</v>
      </c>
      <c r="AM579" s="541">
        <f t="shared" si="244"/>
        <v>0</v>
      </c>
      <c r="AN579" s="542" t="str">
        <f t="shared" si="245"/>
        <v/>
      </c>
      <c r="AO579" s="542" t="str">
        <f t="shared" si="246"/>
        <v/>
      </c>
      <c r="AP579" s="543" t="str">
        <f t="shared" si="247"/>
        <v/>
      </c>
      <c r="AQ579" s="544" t="str">
        <f t="shared" si="248"/>
        <v/>
      </c>
      <c r="AR579" s="545">
        <f t="shared" si="249"/>
        <v>0</v>
      </c>
      <c r="AS579" s="545">
        <f>IFERROR(CEILING($AR579*VLOOKUP($I579,Ref!$B$23:$E$29,4,0),1),0)</f>
        <v>0</v>
      </c>
      <c r="AT579" s="545" t="str">
        <f>IF(A579="","",IF(AP579&lt;=1,"Cleared",IF(AS579=0,"Clean",VLOOKUP($AS579,Ref!$G$23:$H$28,2))))</f>
        <v/>
      </c>
      <c r="AU579" s="546" t="str">
        <f t="shared" si="250"/>
        <v/>
      </c>
    </row>
    <row r="580" spans="1:47" ht="14.25" hidden="1" customHeight="1" x14ac:dyDescent="0.15">
      <c r="A580" s="523"/>
      <c r="B580" s="523"/>
      <c r="C580" s="523"/>
      <c r="D580" s="523"/>
      <c r="E580" s="579"/>
      <c r="F580" s="580"/>
      <c r="G580" s="524"/>
      <c r="H580" s="555"/>
      <c r="I580" s="560"/>
      <c r="J580" s="523"/>
      <c r="K580" s="528" t="str">
        <f>IFERROR(VLOOKUP($B580,'Clients-Live'!$A:$C,3,0),"")</f>
        <v/>
      </c>
      <c r="L580" s="528">
        <f>IF(E580="STL",Pricing!$D$38,IF(A580="",0,IF(A580&lt;Pricing!$C$25,Pricing!$D$25,VLOOKUP(Disbursements!$F580,Pricing!$B$29:$D$32,3))))</f>
        <v>0</v>
      </c>
      <c r="M580" s="528">
        <f>IF(E580="STL",0,IF(F580&gt;0,Pricing!$D$21,0))</f>
        <v>0</v>
      </c>
      <c r="N580" s="529">
        <f>IF(E580="STL",F580*Pricing!$D$40,IF(A580&lt;=Pricing!$C$4,0,IF(AND(A580&gt;Pricing!$C$4,Disbursements!A580&lt;=Pricing!$C$5),F580*Pricing!$E$5,IF(AND(A580&gt;Pricing!$C$5,Disbursements!A580&lt;=Pricing!$C$7),VLOOKUP(F580,Pricing!$D$7:$E$8,2)*Disbursements!F580,F580*Pricing!$E$9))))</f>
        <v>0</v>
      </c>
      <c r="O580" s="528">
        <f>IF(E580="STL",0,IF($F580&gt;0,$F580*Pricing!$D$17,0))</f>
        <v>0</v>
      </c>
      <c r="P580" s="530" t="str">
        <f t="shared" si="230"/>
        <v/>
      </c>
      <c r="Q580" s="531" t="str">
        <f>IF($A580="","",$G580/VLOOKUP($I580,Ref!$B$23:$D$29,2,0))</f>
        <v/>
      </c>
      <c r="R580" s="530" t="str">
        <f t="shared" si="231"/>
        <v/>
      </c>
      <c r="S580" s="532" t="str">
        <f t="shared" ref="S580:S643" si="251">IF($A580="","",$R580/$Q580)</f>
        <v/>
      </c>
      <c r="T580" s="531" t="str">
        <f t="shared" si="232"/>
        <v/>
      </c>
      <c r="U580" s="533">
        <f t="shared" si="233"/>
        <v>0</v>
      </c>
      <c r="V580" s="531" t="str">
        <f t="shared" si="234"/>
        <v/>
      </c>
      <c r="W580" s="531" t="str">
        <f t="shared" si="235"/>
        <v/>
      </c>
      <c r="X580" s="534" t="str">
        <f t="shared" si="236"/>
        <v/>
      </c>
      <c r="Y580" s="535" t="str">
        <f>IF($A580="","",IF($I580="weekly",$A580+7,EDATE($A580,VLOOKUP($I580,Ref!$B$24:$C$29,2,0))))</f>
        <v/>
      </c>
      <c r="Z580" s="536" t="str">
        <f t="shared" si="237"/>
        <v/>
      </c>
      <c r="AA580" s="531">
        <f t="shared" si="238"/>
        <v>0</v>
      </c>
      <c r="AB580" s="535" t="str">
        <f t="shared" ref="AB580:AB643" si="252">IF($A580="","",EDATE($A580,$G580))</f>
        <v/>
      </c>
      <c r="AC580" s="537" t="str">
        <f t="shared" ref="AC580:AC643" si="253">IFERROR($AB580-$A580,"")</f>
        <v/>
      </c>
      <c r="AD580" s="538" t="str">
        <f t="shared" ref="AD580:AD643" ca="1" si="254">IFERROR(IF(TODAY()-$A580&lt;$AB580-$A580,TODAY()-$A580,"Expired"),"")</f>
        <v/>
      </c>
      <c r="AE580" s="537">
        <f t="shared" ref="AE580:AE643" ca="1" si="255">IFERROR($AC580-$AD580,0)</f>
        <v>0</v>
      </c>
      <c r="AF580" s="539" t="str">
        <f t="shared" ca="1" si="239"/>
        <v/>
      </c>
      <c r="AG580" s="531" t="str">
        <f t="shared" ca="1" si="240"/>
        <v/>
      </c>
      <c r="AH580" s="531" t="str">
        <f t="shared" ca="1" si="241"/>
        <v/>
      </c>
      <c r="AI580" s="531" t="str">
        <f t="shared" ca="1" si="242"/>
        <v/>
      </c>
      <c r="AJ580" s="531" t="str">
        <f t="shared" si="243"/>
        <v/>
      </c>
      <c r="AK580" s="540">
        <f>SUMIFS('Live Collections'!$S:$S,'Live Collections'!$D:$D,Disbursements!B580,'Live Collections'!$G:$G,Disbursements!C580)</f>
        <v>0</v>
      </c>
      <c r="AL580" s="540">
        <f>SUMIFS('Live Collections'!$T:$T,'Live Collections'!$D:$D,Disbursements!B580,'Live Collections'!$G:$G,Disbursements!C580)</f>
        <v>0</v>
      </c>
      <c r="AM580" s="541">
        <f t="shared" si="244"/>
        <v>0</v>
      </c>
      <c r="AN580" s="542" t="str">
        <f t="shared" si="245"/>
        <v/>
      </c>
      <c r="AO580" s="542" t="str">
        <f t="shared" si="246"/>
        <v/>
      </c>
      <c r="AP580" s="543" t="str">
        <f t="shared" si="247"/>
        <v/>
      </c>
      <c r="AQ580" s="544" t="str">
        <f t="shared" si="248"/>
        <v/>
      </c>
      <c r="AR580" s="545">
        <f t="shared" si="249"/>
        <v>0</v>
      </c>
      <c r="AS580" s="545">
        <f>IFERROR(CEILING($AR580*VLOOKUP($I580,Ref!$B$23:$E$29,4,0),1),0)</f>
        <v>0</v>
      </c>
      <c r="AT580" s="545" t="str">
        <f>IF(A580="","",IF(AP580&lt;=1,"Cleared",IF(AS580=0,"Clean",VLOOKUP($AS580,Ref!$G$23:$H$28,2))))</f>
        <v/>
      </c>
      <c r="AU580" s="546" t="str">
        <f t="shared" si="250"/>
        <v/>
      </c>
    </row>
    <row r="581" spans="1:47" ht="14.25" hidden="1" customHeight="1" x14ac:dyDescent="0.15">
      <c r="A581" s="523"/>
      <c r="B581" s="523"/>
      <c r="C581" s="523"/>
      <c r="D581" s="523"/>
      <c r="E581" s="579"/>
      <c r="F581" s="580"/>
      <c r="G581" s="524"/>
      <c r="H581" s="555"/>
      <c r="I581" s="560"/>
      <c r="J581" s="523"/>
      <c r="K581" s="528" t="str">
        <f>IFERROR(VLOOKUP($B581,'Clients-Live'!$A:$C,3,0),"")</f>
        <v/>
      </c>
      <c r="L581" s="528">
        <f>IF(E581="STL",Pricing!$D$38,IF(A581="",0,IF(A581&lt;Pricing!$C$25,Pricing!$D$25,VLOOKUP(Disbursements!$F581,Pricing!$B$29:$D$32,3))))</f>
        <v>0</v>
      </c>
      <c r="M581" s="528">
        <f>IF(E581="STL",0,IF(F581&gt;0,Pricing!$D$21,0))</f>
        <v>0</v>
      </c>
      <c r="N581" s="529">
        <f>IF(E581="STL",F581*Pricing!$D$40,IF(A581&lt;=Pricing!$C$4,0,IF(AND(A581&gt;Pricing!$C$4,Disbursements!A581&lt;=Pricing!$C$5),F581*Pricing!$E$5,IF(AND(A581&gt;Pricing!$C$5,Disbursements!A581&lt;=Pricing!$C$7),VLOOKUP(F581,Pricing!$D$7:$E$8,2)*Disbursements!F581,F581*Pricing!$E$9))))</f>
        <v>0</v>
      </c>
      <c r="O581" s="528">
        <f>IF(E581="STL",0,IF($F581&gt;0,$F581*Pricing!$D$17,0))</f>
        <v>0</v>
      </c>
      <c r="P581" s="530" t="str">
        <f t="shared" ref="P581:P644" si="256">IF($A581="","",$H581*$F581*$G581)</f>
        <v/>
      </c>
      <c r="Q581" s="531" t="str">
        <f>IF($A581="","",$G581/VLOOKUP($I581,Ref!$B$23:$D$29,2,0))</f>
        <v/>
      </c>
      <c r="R581" s="530" t="str">
        <f t="shared" ref="R581:R644" si="257">IF($A581="","",$F581+$P581)</f>
        <v/>
      </c>
      <c r="S581" s="532" t="str">
        <f t="shared" si="251"/>
        <v/>
      </c>
      <c r="T581" s="531" t="str">
        <f t="shared" ref="T581:T644" si="258">IF(R581="","",CEILING(S581,1000))</f>
        <v/>
      </c>
      <c r="U581" s="533">
        <f t="shared" ref="U581:U644" si="259">IFERROR(T581*Q581,0)</f>
        <v>0</v>
      </c>
      <c r="V581" s="531" t="str">
        <f t="shared" ref="V581:V644" si="260">IF(T581="","",F581/Q581)</f>
        <v/>
      </c>
      <c r="W581" s="531" t="str">
        <f t="shared" ref="W581:W644" si="261">IF(T581="","",T581-V581)</f>
        <v/>
      </c>
      <c r="X581" s="534" t="str">
        <f t="shared" ref="X581:X644" si="262">IF(A581="","",W581*Q581)</f>
        <v/>
      </c>
      <c r="Y581" s="535" t="str">
        <f>IF($A581="","",IF($I581="weekly",$A581+7,EDATE($A581,VLOOKUP($I581,Ref!$B$24:$C$29,2,0))))</f>
        <v/>
      </c>
      <c r="Z581" s="536" t="str">
        <f t="shared" ref="Z581:Z644" si="263">IFERROR(CHOOSE(WEEKDAY(Y581),"Sun","Mon","Tue","Wed","Thu","Frid","Sat"),"")</f>
        <v/>
      </c>
      <c r="AA581" s="531">
        <f t="shared" ref="AA581:AA644" si="264">IFERROR(Y581-A581,0)</f>
        <v>0</v>
      </c>
      <c r="AB581" s="535" t="str">
        <f t="shared" si="252"/>
        <v/>
      </c>
      <c r="AC581" s="537" t="str">
        <f t="shared" si="253"/>
        <v/>
      </c>
      <c r="AD581" s="538" t="str">
        <f t="shared" ca="1" si="254"/>
        <v/>
      </c>
      <c r="AE581" s="537">
        <f t="shared" ca="1" si="255"/>
        <v>0</v>
      </c>
      <c r="AF581" s="539" t="str">
        <f t="shared" ref="AF581:AF644" ca="1" si="265">IFERROR(IF(AD581="Expired",Q581,IF(AD581&gt;AA581,AD581/AA581,0)),"")</f>
        <v/>
      </c>
      <c r="AG581" s="531" t="str">
        <f t="shared" ref="AG581:AG644" ca="1" si="266">IFERROR(AF581*T581,"")</f>
        <v/>
      </c>
      <c r="AH581" s="531" t="str">
        <f t="shared" ref="AH581:AH644" ca="1" si="267">IFERROR(AF581*W581,"")</f>
        <v/>
      </c>
      <c r="AI581" s="531" t="str">
        <f t="shared" ref="AI581:AI644" ca="1" si="268">IFERROR(AF581*V581,"")</f>
        <v/>
      </c>
      <c r="AJ581" s="531" t="str">
        <f t="shared" ref="AJ581:AJ644" si="269">IF(F581=0,"",U581-AG581)</f>
        <v/>
      </c>
      <c r="AK581" s="540">
        <f>SUMIFS('Live Collections'!$S:$S,'Live Collections'!$D:$D,Disbursements!B581,'Live Collections'!$G:$G,Disbursements!C581)</f>
        <v>0</v>
      </c>
      <c r="AL581" s="540">
        <f>SUMIFS('Live Collections'!$T:$T,'Live Collections'!$D:$D,Disbursements!B581,'Live Collections'!$G:$G,Disbursements!C581)</f>
        <v>0</v>
      </c>
      <c r="AM581" s="541">
        <f t="shared" ref="AM581:AM644" si="270">SUM(AK581:AL581)</f>
        <v>0</v>
      </c>
      <c r="AN581" s="542" t="str">
        <f t="shared" ref="AN581:AN644" si="271">IFERROR(W581*Q581-AK581,"")</f>
        <v/>
      </c>
      <c r="AO581" s="542" t="str">
        <f t="shared" ref="AO581:AO644" si="272">IF(F581="","",(F581-AL581))</f>
        <v/>
      </c>
      <c r="AP581" s="543" t="str">
        <f t="shared" ref="AP581:AP644" si="273">IF(F581="","",SUM(AN581:AO581))</f>
        <v/>
      </c>
      <c r="AQ581" s="544" t="str">
        <f t="shared" ref="AQ581:AQ644" si="274">IF(AP581&gt;AJ581,AP581-AJ581,"")</f>
        <v/>
      </c>
      <c r="AR581" s="545">
        <f t="shared" ref="AR581:AR644" si="275">IFERROR(AQ581/T581,0)</f>
        <v>0</v>
      </c>
      <c r="AS581" s="545">
        <f>IFERROR(CEILING($AR581*VLOOKUP($I581,Ref!$B$23:$E$29,4,0),1),0)</f>
        <v>0</v>
      </c>
      <c r="AT581" s="545" t="str">
        <f>IF(A581="","",IF(AP581&lt;=1,"Cleared",IF(AS581=0,"Clean",VLOOKUP($AS581,Ref!$G$23:$H$28,2))))</f>
        <v/>
      </c>
      <c r="AU581" s="546" t="str">
        <f t="shared" ref="AU581:AU644" si="276">IF(F581="","",IF(OR(AN581&lt;0,AO581&lt;0,AP581&lt;0),"Error on Entry","Ok"))</f>
        <v/>
      </c>
    </row>
    <row r="582" spans="1:47" ht="14.25" hidden="1" customHeight="1" x14ac:dyDescent="0.15">
      <c r="A582" s="523"/>
      <c r="B582" s="523"/>
      <c r="C582" s="523"/>
      <c r="D582" s="523"/>
      <c r="E582" s="579"/>
      <c r="F582" s="580"/>
      <c r="G582" s="524"/>
      <c r="H582" s="555"/>
      <c r="I582" s="560"/>
      <c r="J582" s="523"/>
      <c r="K582" s="528" t="str">
        <f>IFERROR(VLOOKUP($B582,'Clients-Live'!$A:$C,3,0),"")</f>
        <v/>
      </c>
      <c r="L582" s="528">
        <f>IF(E582="STL",Pricing!$D$38,IF(A582="",0,IF(A582&lt;Pricing!$C$25,Pricing!$D$25,VLOOKUP(Disbursements!$F582,Pricing!$B$29:$D$32,3))))</f>
        <v>0</v>
      </c>
      <c r="M582" s="528">
        <f>IF(E582="STL",0,IF(F582&gt;0,Pricing!$D$21,0))</f>
        <v>0</v>
      </c>
      <c r="N582" s="529">
        <f>IF(E582="STL",F582*Pricing!$D$40,IF(A582&lt;=Pricing!$C$4,0,IF(AND(A582&gt;Pricing!$C$4,Disbursements!A582&lt;=Pricing!$C$5),F582*Pricing!$E$5,IF(AND(A582&gt;Pricing!$C$5,Disbursements!A582&lt;=Pricing!$C$7),VLOOKUP(F582,Pricing!$D$7:$E$8,2)*Disbursements!F582,F582*Pricing!$E$9))))</f>
        <v>0</v>
      </c>
      <c r="O582" s="528">
        <f>IF(E582="STL",0,IF($F582&gt;0,$F582*Pricing!$D$17,0))</f>
        <v>0</v>
      </c>
      <c r="P582" s="530" t="str">
        <f t="shared" si="256"/>
        <v/>
      </c>
      <c r="Q582" s="531" t="str">
        <f>IF($A582="","",$G582/VLOOKUP($I582,Ref!$B$23:$D$29,2,0))</f>
        <v/>
      </c>
      <c r="R582" s="530" t="str">
        <f t="shared" si="257"/>
        <v/>
      </c>
      <c r="S582" s="532" t="str">
        <f t="shared" si="251"/>
        <v/>
      </c>
      <c r="T582" s="531" t="str">
        <f t="shared" si="258"/>
        <v/>
      </c>
      <c r="U582" s="533">
        <f t="shared" si="259"/>
        <v>0</v>
      </c>
      <c r="V582" s="531" t="str">
        <f t="shared" si="260"/>
        <v/>
      </c>
      <c r="W582" s="531" t="str">
        <f t="shared" si="261"/>
        <v/>
      </c>
      <c r="X582" s="534" t="str">
        <f t="shared" si="262"/>
        <v/>
      </c>
      <c r="Y582" s="535" t="str">
        <f>IF($A582="","",IF($I582="weekly",$A582+7,EDATE($A582,VLOOKUP($I582,Ref!$B$24:$C$29,2,0))))</f>
        <v/>
      </c>
      <c r="Z582" s="536" t="str">
        <f t="shared" si="263"/>
        <v/>
      </c>
      <c r="AA582" s="531">
        <f t="shared" si="264"/>
        <v>0</v>
      </c>
      <c r="AB582" s="535" t="str">
        <f t="shared" si="252"/>
        <v/>
      </c>
      <c r="AC582" s="537" t="str">
        <f t="shared" si="253"/>
        <v/>
      </c>
      <c r="AD582" s="538" t="str">
        <f t="shared" ca="1" si="254"/>
        <v/>
      </c>
      <c r="AE582" s="537">
        <f t="shared" ca="1" si="255"/>
        <v>0</v>
      </c>
      <c r="AF582" s="539" t="str">
        <f t="shared" ca="1" si="265"/>
        <v/>
      </c>
      <c r="AG582" s="531" t="str">
        <f t="shared" ca="1" si="266"/>
        <v/>
      </c>
      <c r="AH582" s="531" t="str">
        <f t="shared" ca="1" si="267"/>
        <v/>
      </c>
      <c r="AI582" s="531" t="str">
        <f t="shared" ca="1" si="268"/>
        <v/>
      </c>
      <c r="AJ582" s="531" t="str">
        <f t="shared" si="269"/>
        <v/>
      </c>
      <c r="AK582" s="540">
        <f>SUMIFS('Live Collections'!$S:$S,'Live Collections'!$D:$D,Disbursements!B582,'Live Collections'!$G:$G,Disbursements!C582)</f>
        <v>0</v>
      </c>
      <c r="AL582" s="540">
        <f>SUMIFS('Live Collections'!$T:$T,'Live Collections'!$D:$D,Disbursements!B582,'Live Collections'!$G:$G,Disbursements!C582)</f>
        <v>0</v>
      </c>
      <c r="AM582" s="541">
        <f t="shared" si="270"/>
        <v>0</v>
      </c>
      <c r="AN582" s="542" t="str">
        <f t="shared" si="271"/>
        <v/>
      </c>
      <c r="AO582" s="542" t="str">
        <f t="shared" si="272"/>
        <v/>
      </c>
      <c r="AP582" s="543" t="str">
        <f t="shared" si="273"/>
        <v/>
      </c>
      <c r="AQ582" s="544" t="str">
        <f t="shared" si="274"/>
        <v/>
      </c>
      <c r="AR582" s="545">
        <f t="shared" si="275"/>
        <v>0</v>
      </c>
      <c r="AS582" s="545">
        <f>IFERROR(CEILING($AR582*VLOOKUP($I582,Ref!$B$23:$E$29,4,0),1),0)</f>
        <v>0</v>
      </c>
      <c r="AT582" s="545" t="str">
        <f>IF(A582="","",IF(AP582&lt;=1,"Cleared",IF(AS582=0,"Clean",VLOOKUP($AS582,Ref!$G$23:$H$28,2))))</f>
        <v/>
      </c>
      <c r="AU582" s="546" t="str">
        <f t="shared" si="276"/>
        <v/>
      </c>
    </row>
    <row r="583" spans="1:47" ht="14.25" hidden="1" customHeight="1" x14ac:dyDescent="0.15">
      <c r="A583" s="523"/>
      <c r="B583" s="523"/>
      <c r="C583" s="523"/>
      <c r="D583" s="523"/>
      <c r="E583" s="579"/>
      <c r="F583" s="580"/>
      <c r="G583" s="524"/>
      <c r="H583" s="555"/>
      <c r="I583" s="560"/>
      <c r="J583" s="523"/>
      <c r="K583" s="528" t="str">
        <f>IFERROR(VLOOKUP($B583,'Clients-Live'!$A:$C,3,0),"")</f>
        <v/>
      </c>
      <c r="L583" s="528">
        <f>IF(E583="STL",Pricing!$D$38,IF(A583="",0,IF(A583&lt;Pricing!$C$25,Pricing!$D$25,VLOOKUP(Disbursements!$F583,Pricing!$B$29:$D$32,3))))</f>
        <v>0</v>
      </c>
      <c r="M583" s="528">
        <f>IF(E583="STL",0,IF(F583&gt;0,Pricing!$D$21,0))</f>
        <v>0</v>
      </c>
      <c r="N583" s="529">
        <f>IF(E583="STL",F583*Pricing!$D$40,IF(A583&lt;=Pricing!$C$4,0,IF(AND(A583&gt;Pricing!$C$4,Disbursements!A583&lt;=Pricing!$C$5),F583*Pricing!$E$5,IF(AND(A583&gt;Pricing!$C$5,Disbursements!A583&lt;=Pricing!$C$7),VLOOKUP(F583,Pricing!$D$7:$E$8,2)*Disbursements!F583,F583*Pricing!$E$9))))</f>
        <v>0</v>
      </c>
      <c r="O583" s="528">
        <f>IF(E583="STL",0,IF($F583&gt;0,$F583*Pricing!$D$17,0))</f>
        <v>0</v>
      </c>
      <c r="P583" s="530" t="str">
        <f t="shared" si="256"/>
        <v/>
      </c>
      <c r="Q583" s="531" t="str">
        <f>IF($A583="","",$G583/VLOOKUP($I583,Ref!$B$23:$D$29,2,0))</f>
        <v/>
      </c>
      <c r="R583" s="530" t="str">
        <f t="shared" si="257"/>
        <v/>
      </c>
      <c r="S583" s="532" t="str">
        <f t="shared" si="251"/>
        <v/>
      </c>
      <c r="T583" s="531" t="str">
        <f t="shared" si="258"/>
        <v/>
      </c>
      <c r="U583" s="533">
        <f t="shared" si="259"/>
        <v>0</v>
      </c>
      <c r="V583" s="531" t="str">
        <f t="shared" si="260"/>
        <v/>
      </c>
      <c r="W583" s="531" t="str">
        <f t="shared" si="261"/>
        <v/>
      </c>
      <c r="X583" s="534" t="str">
        <f t="shared" si="262"/>
        <v/>
      </c>
      <c r="Y583" s="535" t="str">
        <f>IF($A583="","",IF($I583="weekly",$A583+7,EDATE($A583,VLOOKUP($I583,Ref!$B$24:$C$29,2,0))))</f>
        <v/>
      </c>
      <c r="Z583" s="536" t="str">
        <f t="shared" si="263"/>
        <v/>
      </c>
      <c r="AA583" s="531">
        <f t="shared" si="264"/>
        <v>0</v>
      </c>
      <c r="AB583" s="535" t="str">
        <f t="shared" si="252"/>
        <v/>
      </c>
      <c r="AC583" s="537" t="str">
        <f t="shared" si="253"/>
        <v/>
      </c>
      <c r="AD583" s="538" t="str">
        <f t="shared" ca="1" si="254"/>
        <v/>
      </c>
      <c r="AE583" s="537">
        <f t="shared" ca="1" si="255"/>
        <v>0</v>
      </c>
      <c r="AF583" s="539" t="str">
        <f t="shared" ca="1" si="265"/>
        <v/>
      </c>
      <c r="AG583" s="531" t="str">
        <f t="shared" ca="1" si="266"/>
        <v/>
      </c>
      <c r="AH583" s="531" t="str">
        <f t="shared" ca="1" si="267"/>
        <v/>
      </c>
      <c r="AI583" s="531" t="str">
        <f t="shared" ca="1" si="268"/>
        <v/>
      </c>
      <c r="AJ583" s="531" t="str">
        <f t="shared" si="269"/>
        <v/>
      </c>
      <c r="AK583" s="540">
        <f>SUMIFS('Live Collections'!$S:$S,'Live Collections'!$D:$D,Disbursements!B583,'Live Collections'!$G:$G,Disbursements!C583)</f>
        <v>0</v>
      </c>
      <c r="AL583" s="540">
        <f>SUMIFS('Live Collections'!$T:$T,'Live Collections'!$D:$D,Disbursements!B583,'Live Collections'!$G:$G,Disbursements!C583)</f>
        <v>0</v>
      </c>
      <c r="AM583" s="541">
        <f t="shared" si="270"/>
        <v>0</v>
      </c>
      <c r="AN583" s="542" t="str">
        <f t="shared" si="271"/>
        <v/>
      </c>
      <c r="AO583" s="542" t="str">
        <f t="shared" si="272"/>
        <v/>
      </c>
      <c r="AP583" s="543" t="str">
        <f t="shared" si="273"/>
        <v/>
      </c>
      <c r="AQ583" s="544" t="str">
        <f t="shared" si="274"/>
        <v/>
      </c>
      <c r="AR583" s="545">
        <f t="shared" si="275"/>
        <v>0</v>
      </c>
      <c r="AS583" s="545">
        <f>IFERROR(CEILING($AR583*VLOOKUP($I583,Ref!$B$23:$E$29,4,0),1),0)</f>
        <v>0</v>
      </c>
      <c r="AT583" s="545" t="str">
        <f>IF(A583="","",IF(AP583&lt;=1,"Cleared",IF(AS583=0,"Clean",VLOOKUP($AS583,Ref!$G$23:$H$28,2))))</f>
        <v/>
      </c>
      <c r="AU583" s="546" t="str">
        <f t="shared" si="276"/>
        <v/>
      </c>
    </row>
    <row r="584" spans="1:47" ht="14.25" hidden="1" customHeight="1" x14ac:dyDescent="0.15">
      <c r="A584" s="523"/>
      <c r="B584" s="523"/>
      <c r="C584" s="523"/>
      <c r="D584" s="523"/>
      <c r="E584" s="579"/>
      <c r="F584" s="580"/>
      <c r="G584" s="524"/>
      <c r="H584" s="555"/>
      <c r="I584" s="560"/>
      <c r="J584" s="523"/>
      <c r="K584" s="528" t="str">
        <f>IFERROR(VLOOKUP($B584,'Clients-Live'!$A:$C,3,0),"")</f>
        <v/>
      </c>
      <c r="L584" s="528">
        <f>IF(E584="STL",Pricing!$D$38,IF(A584="",0,IF(A584&lt;Pricing!$C$25,Pricing!$D$25,VLOOKUP(Disbursements!$F584,Pricing!$B$29:$D$32,3))))</f>
        <v>0</v>
      </c>
      <c r="M584" s="528">
        <f>IF(E584="STL",0,IF(F584&gt;0,Pricing!$D$21,0))</f>
        <v>0</v>
      </c>
      <c r="N584" s="529">
        <f>IF(E584="STL",F584*Pricing!$D$40,IF(A584&lt;=Pricing!$C$4,0,IF(AND(A584&gt;Pricing!$C$4,Disbursements!A584&lt;=Pricing!$C$5),F584*Pricing!$E$5,IF(AND(A584&gt;Pricing!$C$5,Disbursements!A584&lt;=Pricing!$C$7),VLOOKUP(F584,Pricing!$D$7:$E$8,2)*Disbursements!F584,F584*Pricing!$E$9))))</f>
        <v>0</v>
      </c>
      <c r="O584" s="528">
        <f>IF(E584="STL",0,IF($F584&gt;0,$F584*Pricing!$D$17,0))</f>
        <v>0</v>
      </c>
      <c r="P584" s="530" t="str">
        <f t="shared" si="256"/>
        <v/>
      </c>
      <c r="Q584" s="531" t="str">
        <f>IF($A584="","",$G584/VLOOKUP($I584,Ref!$B$23:$D$29,2,0))</f>
        <v/>
      </c>
      <c r="R584" s="530" t="str">
        <f t="shared" si="257"/>
        <v/>
      </c>
      <c r="S584" s="532" t="str">
        <f t="shared" si="251"/>
        <v/>
      </c>
      <c r="T584" s="531" t="str">
        <f t="shared" si="258"/>
        <v/>
      </c>
      <c r="U584" s="533">
        <f t="shared" si="259"/>
        <v>0</v>
      </c>
      <c r="V584" s="531" t="str">
        <f t="shared" si="260"/>
        <v/>
      </c>
      <c r="W584" s="531" t="str">
        <f t="shared" si="261"/>
        <v/>
      </c>
      <c r="X584" s="534" t="str">
        <f t="shared" si="262"/>
        <v/>
      </c>
      <c r="Y584" s="535" t="str">
        <f>IF($A584="","",IF($I584="weekly",$A584+7,EDATE($A584,VLOOKUP($I584,Ref!$B$24:$C$29,2,0))))</f>
        <v/>
      </c>
      <c r="Z584" s="536" t="str">
        <f t="shared" si="263"/>
        <v/>
      </c>
      <c r="AA584" s="531">
        <f t="shared" si="264"/>
        <v>0</v>
      </c>
      <c r="AB584" s="535" t="str">
        <f t="shared" si="252"/>
        <v/>
      </c>
      <c r="AC584" s="537" t="str">
        <f t="shared" si="253"/>
        <v/>
      </c>
      <c r="AD584" s="538" t="str">
        <f t="shared" ca="1" si="254"/>
        <v/>
      </c>
      <c r="AE584" s="537">
        <f t="shared" ca="1" si="255"/>
        <v>0</v>
      </c>
      <c r="AF584" s="539" t="str">
        <f t="shared" ca="1" si="265"/>
        <v/>
      </c>
      <c r="AG584" s="531" t="str">
        <f t="shared" ca="1" si="266"/>
        <v/>
      </c>
      <c r="AH584" s="531" t="str">
        <f t="shared" ca="1" si="267"/>
        <v/>
      </c>
      <c r="AI584" s="531" t="str">
        <f t="shared" ca="1" si="268"/>
        <v/>
      </c>
      <c r="AJ584" s="531" t="str">
        <f t="shared" si="269"/>
        <v/>
      </c>
      <c r="AK584" s="540">
        <f>SUMIFS('Live Collections'!$S:$S,'Live Collections'!$D:$D,Disbursements!B584,'Live Collections'!$G:$G,Disbursements!C584)</f>
        <v>0</v>
      </c>
      <c r="AL584" s="540">
        <f>SUMIFS('Live Collections'!$T:$T,'Live Collections'!$D:$D,Disbursements!B584,'Live Collections'!$G:$G,Disbursements!C584)</f>
        <v>0</v>
      </c>
      <c r="AM584" s="541">
        <f t="shared" si="270"/>
        <v>0</v>
      </c>
      <c r="AN584" s="542" t="str">
        <f t="shared" si="271"/>
        <v/>
      </c>
      <c r="AO584" s="542" t="str">
        <f t="shared" si="272"/>
        <v/>
      </c>
      <c r="AP584" s="543" t="str">
        <f t="shared" si="273"/>
        <v/>
      </c>
      <c r="AQ584" s="544" t="str">
        <f t="shared" si="274"/>
        <v/>
      </c>
      <c r="AR584" s="545">
        <f t="shared" si="275"/>
        <v>0</v>
      </c>
      <c r="AS584" s="545">
        <f>IFERROR(CEILING($AR584*VLOOKUP($I584,Ref!$B$23:$E$29,4,0),1),0)</f>
        <v>0</v>
      </c>
      <c r="AT584" s="545" t="str">
        <f>IF(A584="","",IF(AP584&lt;=1,"Cleared",IF(AS584=0,"Clean",VLOOKUP($AS584,Ref!$G$23:$H$28,2))))</f>
        <v/>
      </c>
      <c r="AU584" s="546" t="str">
        <f t="shared" si="276"/>
        <v/>
      </c>
    </row>
    <row r="585" spans="1:47" ht="14.25" hidden="1" customHeight="1" x14ac:dyDescent="0.15">
      <c r="A585" s="523"/>
      <c r="B585" s="523"/>
      <c r="C585" s="523"/>
      <c r="D585" s="523"/>
      <c r="E585" s="579"/>
      <c r="F585" s="580"/>
      <c r="G585" s="524"/>
      <c r="H585" s="555"/>
      <c r="I585" s="560"/>
      <c r="J585" s="523"/>
      <c r="K585" s="528" t="str">
        <f>IFERROR(VLOOKUP($B585,'Clients-Live'!$A:$C,3,0),"")</f>
        <v/>
      </c>
      <c r="L585" s="528">
        <f>IF(E585="STL",Pricing!$D$38,IF(A585="",0,IF(A585&lt;Pricing!$C$25,Pricing!$D$25,VLOOKUP(Disbursements!$F585,Pricing!$B$29:$D$32,3))))</f>
        <v>0</v>
      </c>
      <c r="M585" s="528">
        <f>IF(E585="STL",0,IF(F585&gt;0,Pricing!$D$21,0))</f>
        <v>0</v>
      </c>
      <c r="N585" s="529">
        <f>IF(E585="STL",F585*Pricing!$D$40,IF(A585&lt;=Pricing!$C$4,0,IF(AND(A585&gt;Pricing!$C$4,Disbursements!A585&lt;=Pricing!$C$5),F585*Pricing!$E$5,IF(AND(A585&gt;Pricing!$C$5,Disbursements!A585&lt;=Pricing!$C$7),VLOOKUP(F585,Pricing!$D$7:$E$8,2)*Disbursements!F585,F585*Pricing!$E$9))))</f>
        <v>0</v>
      </c>
      <c r="O585" s="528">
        <f>IF(E585="STL",0,IF($F585&gt;0,$F585*Pricing!$D$17,0))</f>
        <v>0</v>
      </c>
      <c r="P585" s="530" t="str">
        <f t="shared" si="256"/>
        <v/>
      </c>
      <c r="Q585" s="531" t="str">
        <f>IF($A585="","",$G585/VLOOKUP($I585,Ref!$B$23:$D$29,2,0))</f>
        <v/>
      </c>
      <c r="R585" s="530" t="str">
        <f t="shared" si="257"/>
        <v/>
      </c>
      <c r="S585" s="532" t="str">
        <f t="shared" si="251"/>
        <v/>
      </c>
      <c r="T585" s="531" t="str">
        <f t="shared" si="258"/>
        <v/>
      </c>
      <c r="U585" s="533">
        <f t="shared" si="259"/>
        <v>0</v>
      </c>
      <c r="V585" s="531" t="str">
        <f t="shared" si="260"/>
        <v/>
      </c>
      <c r="W585" s="531" t="str">
        <f t="shared" si="261"/>
        <v/>
      </c>
      <c r="X585" s="534" t="str">
        <f t="shared" si="262"/>
        <v/>
      </c>
      <c r="Y585" s="535" t="str">
        <f>IF($A585="","",IF($I585="weekly",$A585+7,EDATE($A585,VLOOKUP($I585,Ref!$B$24:$C$29,2,0))))</f>
        <v/>
      </c>
      <c r="Z585" s="536" t="str">
        <f t="shared" si="263"/>
        <v/>
      </c>
      <c r="AA585" s="531">
        <f t="shared" si="264"/>
        <v>0</v>
      </c>
      <c r="AB585" s="535" t="str">
        <f t="shared" si="252"/>
        <v/>
      </c>
      <c r="AC585" s="537" t="str">
        <f t="shared" si="253"/>
        <v/>
      </c>
      <c r="AD585" s="538" t="str">
        <f t="shared" ca="1" si="254"/>
        <v/>
      </c>
      <c r="AE585" s="537">
        <f t="shared" ca="1" si="255"/>
        <v>0</v>
      </c>
      <c r="AF585" s="539" t="str">
        <f t="shared" ca="1" si="265"/>
        <v/>
      </c>
      <c r="AG585" s="531" t="str">
        <f t="shared" ca="1" si="266"/>
        <v/>
      </c>
      <c r="AH585" s="531" t="str">
        <f t="shared" ca="1" si="267"/>
        <v/>
      </c>
      <c r="AI585" s="531" t="str">
        <f t="shared" ca="1" si="268"/>
        <v/>
      </c>
      <c r="AJ585" s="531" t="str">
        <f t="shared" si="269"/>
        <v/>
      </c>
      <c r="AK585" s="540">
        <f>SUMIFS('Live Collections'!$S:$S,'Live Collections'!$D:$D,Disbursements!B585,'Live Collections'!$G:$G,Disbursements!C585)</f>
        <v>0</v>
      </c>
      <c r="AL585" s="540">
        <f>SUMIFS('Live Collections'!$T:$T,'Live Collections'!$D:$D,Disbursements!B585,'Live Collections'!$G:$G,Disbursements!C585)</f>
        <v>0</v>
      </c>
      <c r="AM585" s="541">
        <f t="shared" si="270"/>
        <v>0</v>
      </c>
      <c r="AN585" s="542" t="str">
        <f t="shared" si="271"/>
        <v/>
      </c>
      <c r="AO585" s="542" t="str">
        <f t="shared" si="272"/>
        <v/>
      </c>
      <c r="AP585" s="543" t="str">
        <f t="shared" si="273"/>
        <v/>
      </c>
      <c r="AQ585" s="544" t="str">
        <f t="shared" si="274"/>
        <v/>
      </c>
      <c r="AR585" s="545">
        <f t="shared" si="275"/>
        <v>0</v>
      </c>
      <c r="AS585" s="545">
        <f>IFERROR(CEILING($AR585*VLOOKUP($I585,Ref!$B$23:$E$29,4,0),1),0)</f>
        <v>0</v>
      </c>
      <c r="AT585" s="545" t="str">
        <f>IF(A585="","",IF(AP585&lt;=1,"Cleared",IF(AS585=0,"Clean",VLOOKUP($AS585,Ref!$G$23:$H$28,2))))</f>
        <v/>
      </c>
      <c r="AU585" s="546" t="str">
        <f t="shared" si="276"/>
        <v/>
      </c>
    </row>
    <row r="586" spans="1:47" ht="14.25" hidden="1" customHeight="1" x14ac:dyDescent="0.15">
      <c r="A586" s="523"/>
      <c r="B586" s="523"/>
      <c r="C586" s="523"/>
      <c r="D586" s="523"/>
      <c r="E586" s="579"/>
      <c r="F586" s="580"/>
      <c r="G586" s="524"/>
      <c r="H586" s="555"/>
      <c r="I586" s="560"/>
      <c r="J586" s="523"/>
      <c r="K586" s="528" t="str">
        <f>IFERROR(VLOOKUP($B586,'Clients-Live'!$A:$C,3,0),"")</f>
        <v/>
      </c>
      <c r="L586" s="528">
        <f>IF(E586="STL",Pricing!$D$38,IF(A586="",0,IF(A586&lt;Pricing!$C$25,Pricing!$D$25,VLOOKUP(Disbursements!$F586,Pricing!$B$29:$D$32,3))))</f>
        <v>0</v>
      </c>
      <c r="M586" s="528">
        <f>IF(E586="STL",0,IF(F586&gt;0,Pricing!$D$21,0))</f>
        <v>0</v>
      </c>
      <c r="N586" s="529">
        <f>IF(E586="STL",F586*Pricing!$D$40,IF(A586&lt;=Pricing!$C$4,0,IF(AND(A586&gt;Pricing!$C$4,Disbursements!A586&lt;=Pricing!$C$5),F586*Pricing!$E$5,IF(AND(A586&gt;Pricing!$C$5,Disbursements!A586&lt;=Pricing!$C$7),VLOOKUP(F586,Pricing!$D$7:$E$8,2)*Disbursements!F586,F586*Pricing!$E$9))))</f>
        <v>0</v>
      </c>
      <c r="O586" s="528">
        <f>IF(E586="STL",0,IF($F586&gt;0,$F586*Pricing!$D$17,0))</f>
        <v>0</v>
      </c>
      <c r="P586" s="530" t="str">
        <f t="shared" si="256"/>
        <v/>
      </c>
      <c r="Q586" s="531" t="str">
        <f>IF($A586="","",$G586/VLOOKUP($I586,Ref!$B$23:$D$29,2,0))</f>
        <v/>
      </c>
      <c r="R586" s="530" t="str">
        <f t="shared" si="257"/>
        <v/>
      </c>
      <c r="S586" s="532" t="str">
        <f t="shared" si="251"/>
        <v/>
      </c>
      <c r="T586" s="531" t="str">
        <f t="shared" si="258"/>
        <v/>
      </c>
      <c r="U586" s="533">
        <f t="shared" si="259"/>
        <v>0</v>
      </c>
      <c r="V586" s="531" t="str">
        <f t="shared" si="260"/>
        <v/>
      </c>
      <c r="W586" s="531" t="str">
        <f t="shared" si="261"/>
        <v/>
      </c>
      <c r="X586" s="534" t="str">
        <f t="shared" si="262"/>
        <v/>
      </c>
      <c r="Y586" s="535" t="str">
        <f>IF($A586="","",IF($I586="weekly",$A586+7,EDATE($A586,VLOOKUP($I586,Ref!$B$24:$C$29,2,0))))</f>
        <v/>
      </c>
      <c r="Z586" s="536" t="str">
        <f t="shared" si="263"/>
        <v/>
      </c>
      <c r="AA586" s="531">
        <f t="shared" si="264"/>
        <v>0</v>
      </c>
      <c r="AB586" s="535" t="str">
        <f t="shared" si="252"/>
        <v/>
      </c>
      <c r="AC586" s="537" t="str">
        <f t="shared" si="253"/>
        <v/>
      </c>
      <c r="AD586" s="538" t="str">
        <f t="shared" ca="1" si="254"/>
        <v/>
      </c>
      <c r="AE586" s="537">
        <f t="shared" ca="1" si="255"/>
        <v>0</v>
      </c>
      <c r="AF586" s="539" t="str">
        <f t="shared" ca="1" si="265"/>
        <v/>
      </c>
      <c r="AG586" s="531" t="str">
        <f t="shared" ca="1" si="266"/>
        <v/>
      </c>
      <c r="AH586" s="531" t="str">
        <f t="shared" ca="1" si="267"/>
        <v/>
      </c>
      <c r="AI586" s="531" t="str">
        <f t="shared" ca="1" si="268"/>
        <v/>
      </c>
      <c r="AJ586" s="531" t="str">
        <f t="shared" si="269"/>
        <v/>
      </c>
      <c r="AK586" s="540">
        <f>SUMIFS('Live Collections'!$S:$S,'Live Collections'!$D:$D,Disbursements!B586,'Live Collections'!$G:$G,Disbursements!C586)</f>
        <v>0</v>
      </c>
      <c r="AL586" s="540">
        <f>SUMIFS('Live Collections'!$T:$T,'Live Collections'!$D:$D,Disbursements!B586,'Live Collections'!$G:$G,Disbursements!C586)</f>
        <v>0</v>
      </c>
      <c r="AM586" s="541">
        <f t="shared" si="270"/>
        <v>0</v>
      </c>
      <c r="AN586" s="542" t="str">
        <f t="shared" si="271"/>
        <v/>
      </c>
      <c r="AO586" s="542" t="str">
        <f t="shared" si="272"/>
        <v/>
      </c>
      <c r="AP586" s="543" t="str">
        <f t="shared" si="273"/>
        <v/>
      </c>
      <c r="AQ586" s="544" t="str">
        <f t="shared" si="274"/>
        <v/>
      </c>
      <c r="AR586" s="545">
        <f t="shared" si="275"/>
        <v>0</v>
      </c>
      <c r="AS586" s="545">
        <f>IFERROR(CEILING($AR586*VLOOKUP($I586,Ref!$B$23:$E$29,4,0),1),0)</f>
        <v>0</v>
      </c>
      <c r="AT586" s="545" t="str">
        <f>IF(A586="","",IF(AP586&lt;=1,"Cleared",IF(AS586=0,"Clean",VLOOKUP($AS586,Ref!$G$23:$H$28,2))))</f>
        <v/>
      </c>
      <c r="AU586" s="546" t="str">
        <f t="shared" si="276"/>
        <v/>
      </c>
    </row>
    <row r="587" spans="1:47" ht="14.25" hidden="1" customHeight="1" x14ac:dyDescent="0.15">
      <c r="A587" s="523"/>
      <c r="B587" s="523"/>
      <c r="C587" s="523"/>
      <c r="D587" s="523"/>
      <c r="E587" s="579"/>
      <c r="F587" s="580"/>
      <c r="G587" s="524"/>
      <c r="H587" s="555"/>
      <c r="I587" s="560"/>
      <c r="J587" s="523"/>
      <c r="K587" s="528" t="str">
        <f>IFERROR(VLOOKUP($B587,'Clients-Live'!$A:$C,3,0),"")</f>
        <v/>
      </c>
      <c r="L587" s="528">
        <f>IF(E587="STL",Pricing!$D$38,IF(A587="",0,IF(A587&lt;Pricing!$C$25,Pricing!$D$25,VLOOKUP(Disbursements!$F587,Pricing!$B$29:$D$32,3))))</f>
        <v>0</v>
      </c>
      <c r="M587" s="528">
        <f>IF(E587="STL",0,IF(F587&gt;0,Pricing!$D$21,0))</f>
        <v>0</v>
      </c>
      <c r="N587" s="529">
        <f>IF(E587="STL",F587*Pricing!$D$40,IF(A587&lt;=Pricing!$C$4,0,IF(AND(A587&gt;Pricing!$C$4,Disbursements!A587&lt;=Pricing!$C$5),F587*Pricing!$E$5,IF(AND(A587&gt;Pricing!$C$5,Disbursements!A587&lt;=Pricing!$C$7),VLOOKUP(F587,Pricing!$D$7:$E$8,2)*Disbursements!F587,F587*Pricing!$E$9))))</f>
        <v>0</v>
      </c>
      <c r="O587" s="528">
        <f>IF(E587="STL",0,IF($F587&gt;0,$F587*Pricing!$D$17,0))</f>
        <v>0</v>
      </c>
      <c r="P587" s="530" t="str">
        <f t="shared" si="256"/>
        <v/>
      </c>
      <c r="Q587" s="531" t="str">
        <f>IF($A587="","",$G587/VLOOKUP($I587,Ref!$B$23:$D$29,2,0))</f>
        <v/>
      </c>
      <c r="R587" s="530" t="str">
        <f t="shared" si="257"/>
        <v/>
      </c>
      <c r="S587" s="532" t="str">
        <f t="shared" si="251"/>
        <v/>
      </c>
      <c r="T587" s="531" t="str">
        <f t="shared" si="258"/>
        <v/>
      </c>
      <c r="U587" s="533">
        <f t="shared" si="259"/>
        <v>0</v>
      </c>
      <c r="V587" s="531" t="str">
        <f t="shared" si="260"/>
        <v/>
      </c>
      <c r="W587" s="531" t="str">
        <f t="shared" si="261"/>
        <v/>
      </c>
      <c r="X587" s="534" t="str">
        <f t="shared" si="262"/>
        <v/>
      </c>
      <c r="Y587" s="535" t="str">
        <f>IF($A587="","",IF($I587="weekly",$A587+7,EDATE($A587,VLOOKUP($I587,Ref!$B$24:$C$29,2,0))))</f>
        <v/>
      </c>
      <c r="Z587" s="536" t="str">
        <f t="shared" si="263"/>
        <v/>
      </c>
      <c r="AA587" s="531">
        <f t="shared" si="264"/>
        <v>0</v>
      </c>
      <c r="AB587" s="535" t="str">
        <f t="shared" si="252"/>
        <v/>
      </c>
      <c r="AC587" s="537" t="str">
        <f t="shared" si="253"/>
        <v/>
      </c>
      <c r="AD587" s="538" t="str">
        <f t="shared" ca="1" si="254"/>
        <v/>
      </c>
      <c r="AE587" s="537">
        <f t="shared" ca="1" si="255"/>
        <v>0</v>
      </c>
      <c r="AF587" s="539" t="str">
        <f t="shared" ca="1" si="265"/>
        <v/>
      </c>
      <c r="AG587" s="531" t="str">
        <f t="shared" ca="1" si="266"/>
        <v/>
      </c>
      <c r="AH587" s="531" t="str">
        <f t="shared" ca="1" si="267"/>
        <v/>
      </c>
      <c r="AI587" s="531" t="str">
        <f t="shared" ca="1" si="268"/>
        <v/>
      </c>
      <c r="AJ587" s="531" t="str">
        <f t="shared" si="269"/>
        <v/>
      </c>
      <c r="AK587" s="540">
        <f>SUMIFS('Live Collections'!$S:$S,'Live Collections'!$D:$D,Disbursements!B587,'Live Collections'!$G:$G,Disbursements!C587)</f>
        <v>0</v>
      </c>
      <c r="AL587" s="540">
        <f>SUMIFS('Live Collections'!$T:$T,'Live Collections'!$D:$D,Disbursements!B587,'Live Collections'!$G:$G,Disbursements!C587)</f>
        <v>0</v>
      </c>
      <c r="AM587" s="541">
        <f t="shared" si="270"/>
        <v>0</v>
      </c>
      <c r="AN587" s="542" t="str">
        <f t="shared" si="271"/>
        <v/>
      </c>
      <c r="AO587" s="542" t="str">
        <f t="shared" si="272"/>
        <v/>
      </c>
      <c r="AP587" s="543" t="str">
        <f t="shared" si="273"/>
        <v/>
      </c>
      <c r="AQ587" s="544" t="str">
        <f t="shared" si="274"/>
        <v/>
      </c>
      <c r="AR587" s="545">
        <f t="shared" si="275"/>
        <v>0</v>
      </c>
      <c r="AS587" s="545">
        <f>IFERROR(CEILING($AR587*VLOOKUP($I587,Ref!$B$23:$E$29,4,0),1),0)</f>
        <v>0</v>
      </c>
      <c r="AT587" s="545" t="str">
        <f>IF(A587="","",IF(AP587&lt;=1,"Cleared",IF(AS587=0,"Clean",VLOOKUP($AS587,Ref!$G$23:$H$28,2))))</f>
        <v/>
      </c>
      <c r="AU587" s="546" t="str">
        <f t="shared" si="276"/>
        <v/>
      </c>
    </row>
    <row r="588" spans="1:47" ht="14.25" hidden="1" customHeight="1" x14ac:dyDescent="0.15">
      <c r="A588" s="523"/>
      <c r="B588" s="523"/>
      <c r="C588" s="523"/>
      <c r="D588" s="523"/>
      <c r="E588" s="579"/>
      <c r="F588" s="580"/>
      <c r="G588" s="524"/>
      <c r="H588" s="555"/>
      <c r="I588" s="560"/>
      <c r="J588" s="523"/>
      <c r="K588" s="528" t="str">
        <f>IFERROR(VLOOKUP($B588,'Clients-Live'!$A:$C,3,0),"")</f>
        <v/>
      </c>
      <c r="L588" s="528">
        <f>IF(E588="STL",Pricing!$D$38,IF(A588="",0,IF(A588&lt;Pricing!$C$25,Pricing!$D$25,VLOOKUP(Disbursements!$F588,Pricing!$B$29:$D$32,3))))</f>
        <v>0</v>
      </c>
      <c r="M588" s="528">
        <f>IF(E588="STL",0,IF(F588&gt;0,Pricing!$D$21,0))</f>
        <v>0</v>
      </c>
      <c r="N588" s="529">
        <f>IF(E588="STL",F588*Pricing!$D$40,IF(A588&lt;=Pricing!$C$4,0,IF(AND(A588&gt;Pricing!$C$4,Disbursements!A588&lt;=Pricing!$C$5),F588*Pricing!$E$5,IF(AND(A588&gt;Pricing!$C$5,Disbursements!A588&lt;=Pricing!$C$7),VLOOKUP(F588,Pricing!$D$7:$E$8,2)*Disbursements!F588,F588*Pricing!$E$9))))</f>
        <v>0</v>
      </c>
      <c r="O588" s="528">
        <f>IF(E588="STL",0,IF($F588&gt;0,$F588*Pricing!$D$17,0))</f>
        <v>0</v>
      </c>
      <c r="P588" s="530" t="str">
        <f t="shared" si="256"/>
        <v/>
      </c>
      <c r="Q588" s="531" t="str">
        <f>IF($A588="","",$G588/VLOOKUP($I588,Ref!$B$23:$D$29,2,0))</f>
        <v/>
      </c>
      <c r="R588" s="530" t="str">
        <f t="shared" si="257"/>
        <v/>
      </c>
      <c r="S588" s="532" t="str">
        <f t="shared" si="251"/>
        <v/>
      </c>
      <c r="T588" s="531" t="str">
        <f t="shared" si="258"/>
        <v/>
      </c>
      <c r="U588" s="533">
        <f t="shared" si="259"/>
        <v>0</v>
      </c>
      <c r="V588" s="531" t="str">
        <f t="shared" si="260"/>
        <v/>
      </c>
      <c r="W588" s="531" t="str">
        <f t="shared" si="261"/>
        <v/>
      </c>
      <c r="X588" s="534" t="str">
        <f t="shared" si="262"/>
        <v/>
      </c>
      <c r="Y588" s="535" t="str">
        <f>IF($A588="","",IF($I588="weekly",$A588+7,EDATE($A588,VLOOKUP($I588,Ref!$B$24:$C$29,2,0))))</f>
        <v/>
      </c>
      <c r="Z588" s="536" t="str">
        <f t="shared" si="263"/>
        <v/>
      </c>
      <c r="AA588" s="531">
        <f t="shared" si="264"/>
        <v>0</v>
      </c>
      <c r="AB588" s="535" t="str">
        <f t="shared" si="252"/>
        <v/>
      </c>
      <c r="AC588" s="537" t="str">
        <f t="shared" si="253"/>
        <v/>
      </c>
      <c r="AD588" s="538" t="str">
        <f t="shared" ca="1" si="254"/>
        <v/>
      </c>
      <c r="AE588" s="537">
        <f t="shared" ca="1" si="255"/>
        <v>0</v>
      </c>
      <c r="AF588" s="539" t="str">
        <f t="shared" ca="1" si="265"/>
        <v/>
      </c>
      <c r="AG588" s="531" t="str">
        <f t="shared" ca="1" si="266"/>
        <v/>
      </c>
      <c r="AH588" s="531" t="str">
        <f t="shared" ca="1" si="267"/>
        <v/>
      </c>
      <c r="AI588" s="531" t="str">
        <f t="shared" ca="1" si="268"/>
        <v/>
      </c>
      <c r="AJ588" s="531" t="str">
        <f t="shared" si="269"/>
        <v/>
      </c>
      <c r="AK588" s="540">
        <f>SUMIFS('Live Collections'!$S:$S,'Live Collections'!$D:$D,Disbursements!B588,'Live Collections'!$G:$G,Disbursements!C588)</f>
        <v>0</v>
      </c>
      <c r="AL588" s="540">
        <f>SUMIFS('Live Collections'!$T:$T,'Live Collections'!$D:$D,Disbursements!B588,'Live Collections'!$G:$G,Disbursements!C588)</f>
        <v>0</v>
      </c>
      <c r="AM588" s="541">
        <f t="shared" si="270"/>
        <v>0</v>
      </c>
      <c r="AN588" s="542" t="str">
        <f t="shared" si="271"/>
        <v/>
      </c>
      <c r="AO588" s="542" t="str">
        <f t="shared" si="272"/>
        <v/>
      </c>
      <c r="AP588" s="543" t="str">
        <f t="shared" si="273"/>
        <v/>
      </c>
      <c r="AQ588" s="544" t="str">
        <f t="shared" si="274"/>
        <v/>
      </c>
      <c r="AR588" s="545">
        <f t="shared" si="275"/>
        <v>0</v>
      </c>
      <c r="AS588" s="545">
        <f>IFERROR(CEILING($AR588*VLOOKUP($I588,Ref!$B$23:$E$29,4,0),1),0)</f>
        <v>0</v>
      </c>
      <c r="AT588" s="545" t="str">
        <f>IF(A588="","",IF(AP588&lt;=1,"Cleared",IF(AS588=0,"Clean",VLOOKUP($AS588,Ref!$G$23:$H$28,2))))</f>
        <v/>
      </c>
      <c r="AU588" s="546" t="str">
        <f t="shared" si="276"/>
        <v/>
      </c>
    </row>
    <row r="589" spans="1:47" ht="14.25" hidden="1" customHeight="1" x14ac:dyDescent="0.15">
      <c r="A589" s="523"/>
      <c r="B589" s="523"/>
      <c r="C589" s="523"/>
      <c r="D589" s="523"/>
      <c r="E589" s="579"/>
      <c r="F589" s="580"/>
      <c r="G589" s="524"/>
      <c r="H589" s="555"/>
      <c r="I589" s="560"/>
      <c r="J589" s="523"/>
      <c r="K589" s="528" t="str">
        <f>IFERROR(VLOOKUP($B589,'Clients-Live'!$A:$C,3,0),"")</f>
        <v/>
      </c>
      <c r="L589" s="528">
        <f>IF(E589="STL",Pricing!$D$38,IF(A589="",0,IF(A589&lt;Pricing!$C$25,Pricing!$D$25,VLOOKUP(Disbursements!$F589,Pricing!$B$29:$D$32,3))))</f>
        <v>0</v>
      </c>
      <c r="M589" s="528">
        <f>IF(E589="STL",0,IF(F589&gt;0,Pricing!$D$21,0))</f>
        <v>0</v>
      </c>
      <c r="N589" s="529">
        <f>IF(E589="STL",F589*Pricing!$D$40,IF(A589&lt;=Pricing!$C$4,0,IF(AND(A589&gt;Pricing!$C$4,Disbursements!A589&lt;=Pricing!$C$5),F589*Pricing!$E$5,IF(AND(A589&gt;Pricing!$C$5,Disbursements!A589&lt;=Pricing!$C$7),VLOOKUP(F589,Pricing!$D$7:$E$8,2)*Disbursements!F589,F589*Pricing!$E$9))))</f>
        <v>0</v>
      </c>
      <c r="O589" s="528">
        <f>IF(E589="STL",0,IF($F589&gt;0,$F589*Pricing!$D$17,0))</f>
        <v>0</v>
      </c>
      <c r="P589" s="530" t="str">
        <f t="shared" si="256"/>
        <v/>
      </c>
      <c r="Q589" s="531" t="str">
        <f>IF($A589="","",$G589/VLOOKUP($I589,Ref!$B$23:$D$29,2,0))</f>
        <v/>
      </c>
      <c r="R589" s="530" t="str">
        <f t="shared" si="257"/>
        <v/>
      </c>
      <c r="S589" s="532" t="str">
        <f t="shared" si="251"/>
        <v/>
      </c>
      <c r="T589" s="531" t="str">
        <f t="shared" si="258"/>
        <v/>
      </c>
      <c r="U589" s="533">
        <f t="shared" si="259"/>
        <v>0</v>
      </c>
      <c r="V589" s="531" t="str">
        <f t="shared" si="260"/>
        <v/>
      </c>
      <c r="W589" s="531" t="str">
        <f t="shared" si="261"/>
        <v/>
      </c>
      <c r="X589" s="534" t="str">
        <f t="shared" si="262"/>
        <v/>
      </c>
      <c r="Y589" s="535" t="str">
        <f>IF($A589="","",IF($I589="weekly",$A589+7,EDATE($A589,VLOOKUP($I589,Ref!$B$24:$C$29,2,0))))</f>
        <v/>
      </c>
      <c r="Z589" s="536" t="str">
        <f t="shared" si="263"/>
        <v/>
      </c>
      <c r="AA589" s="531">
        <f t="shared" si="264"/>
        <v>0</v>
      </c>
      <c r="AB589" s="535" t="str">
        <f t="shared" si="252"/>
        <v/>
      </c>
      <c r="AC589" s="537" t="str">
        <f t="shared" si="253"/>
        <v/>
      </c>
      <c r="AD589" s="538" t="str">
        <f t="shared" ca="1" si="254"/>
        <v/>
      </c>
      <c r="AE589" s="537">
        <f t="shared" ca="1" si="255"/>
        <v>0</v>
      </c>
      <c r="AF589" s="539" t="str">
        <f t="shared" ca="1" si="265"/>
        <v/>
      </c>
      <c r="AG589" s="531" t="str">
        <f t="shared" ca="1" si="266"/>
        <v/>
      </c>
      <c r="AH589" s="531" t="str">
        <f t="shared" ca="1" si="267"/>
        <v/>
      </c>
      <c r="AI589" s="531" t="str">
        <f t="shared" ca="1" si="268"/>
        <v/>
      </c>
      <c r="AJ589" s="531" t="str">
        <f t="shared" si="269"/>
        <v/>
      </c>
      <c r="AK589" s="540">
        <f>SUMIFS('Live Collections'!$S:$S,'Live Collections'!$D:$D,Disbursements!B589,'Live Collections'!$G:$G,Disbursements!C589)</f>
        <v>0</v>
      </c>
      <c r="AL589" s="540">
        <f>SUMIFS('Live Collections'!$T:$T,'Live Collections'!$D:$D,Disbursements!B589,'Live Collections'!$G:$G,Disbursements!C589)</f>
        <v>0</v>
      </c>
      <c r="AM589" s="541">
        <f t="shared" si="270"/>
        <v>0</v>
      </c>
      <c r="AN589" s="542" t="str">
        <f t="shared" si="271"/>
        <v/>
      </c>
      <c r="AO589" s="542" t="str">
        <f t="shared" si="272"/>
        <v/>
      </c>
      <c r="AP589" s="543" t="str">
        <f t="shared" si="273"/>
        <v/>
      </c>
      <c r="AQ589" s="544" t="str">
        <f t="shared" si="274"/>
        <v/>
      </c>
      <c r="AR589" s="545">
        <f t="shared" si="275"/>
        <v>0</v>
      </c>
      <c r="AS589" s="545">
        <f>IFERROR(CEILING($AR589*VLOOKUP($I589,Ref!$B$23:$E$29,4,0),1),0)</f>
        <v>0</v>
      </c>
      <c r="AT589" s="545" t="str">
        <f>IF(A589="","",IF(AP589&lt;=1,"Cleared",IF(AS589=0,"Clean",VLOOKUP($AS589,Ref!$G$23:$H$28,2))))</f>
        <v/>
      </c>
      <c r="AU589" s="546" t="str">
        <f t="shared" si="276"/>
        <v/>
      </c>
    </row>
    <row r="590" spans="1:47" ht="14.25" hidden="1" customHeight="1" x14ac:dyDescent="0.15">
      <c r="A590" s="523"/>
      <c r="B590" s="523"/>
      <c r="C590" s="523"/>
      <c r="D590" s="523"/>
      <c r="E590" s="579"/>
      <c r="F590" s="580"/>
      <c r="G590" s="524"/>
      <c r="H590" s="555"/>
      <c r="I590" s="560"/>
      <c r="J590" s="523"/>
      <c r="K590" s="528" t="str">
        <f>IFERROR(VLOOKUP($B590,'Clients-Live'!$A:$C,3,0),"")</f>
        <v/>
      </c>
      <c r="L590" s="528">
        <f>IF(E590="STL",Pricing!$D$38,IF(A590="",0,IF(A590&lt;Pricing!$C$25,Pricing!$D$25,VLOOKUP(Disbursements!$F590,Pricing!$B$29:$D$32,3))))</f>
        <v>0</v>
      </c>
      <c r="M590" s="528">
        <f>IF(E590="STL",0,IF(F590&gt;0,Pricing!$D$21,0))</f>
        <v>0</v>
      </c>
      <c r="N590" s="529">
        <f>IF(E590="STL",F590*Pricing!$D$40,IF(A590&lt;=Pricing!$C$4,0,IF(AND(A590&gt;Pricing!$C$4,Disbursements!A590&lt;=Pricing!$C$5),F590*Pricing!$E$5,IF(AND(A590&gt;Pricing!$C$5,Disbursements!A590&lt;=Pricing!$C$7),VLOOKUP(F590,Pricing!$D$7:$E$8,2)*Disbursements!F590,F590*Pricing!$E$9))))</f>
        <v>0</v>
      </c>
      <c r="O590" s="528">
        <f>IF(E590="STL",0,IF($F590&gt;0,$F590*Pricing!$D$17,0))</f>
        <v>0</v>
      </c>
      <c r="P590" s="530" t="str">
        <f t="shared" si="256"/>
        <v/>
      </c>
      <c r="Q590" s="531" t="str">
        <f>IF($A590="","",$G590/VLOOKUP($I590,Ref!$B$23:$D$29,2,0))</f>
        <v/>
      </c>
      <c r="R590" s="530" t="str">
        <f t="shared" si="257"/>
        <v/>
      </c>
      <c r="S590" s="532" t="str">
        <f t="shared" si="251"/>
        <v/>
      </c>
      <c r="T590" s="531" t="str">
        <f t="shared" si="258"/>
        <v/>
      </c>
      <c r="U590" s="533">
        <f t="shared" si="259"/>
        <v>0</v>
      </c>
      <c r="V590" s="531" t="str">
        <f t="shared" si="260"/>
        <v/>
      </c>
      <c r="W590" s="531" t="str">
        <f t="shared" si="261"/>
        <v/>
      </c>
      <c r="X590" s="534" t="str">
        <f t="shared" si="262"/>
        <v/>
      </c>
      <c r="Y590" s="535" t="str">
        <f>IF($A590="","",IF($I590="weekly",$A590+7,EDATE($A590,VLOOKUP($I590,Ref!$B$24:$C$29,2,0))))</f>
        <v/>
      </c>
      <c r="Z590" s="536" t="str">
        <f t="shared" si="263"/>
        <v/>
      </c>
      <c r="AA590" s="531">
        <f t="shared" si="264"/>
        <v>0</v>
      </c>
      <c r="AB590" s="535" t="str">
        <f t="shared" si="252"/>
        <v/>
      </c>
      <c r="AC590" s="537" t="str">
        <f t="shared" si="253"/>
        <v/>
      </c>
      <c r="AD590" s="538" t="str">
        <f t="shared" ca="1" si="254"/>
        <v/>
      </c>
      <c r="AE590" s="537">
        <f t="shared" ca="1" si="255"/>
        <v>0</v>
      </c>
      <c r="AF590" s="539" t="str">
        <f t="shared" ca="1" si="265"/>
        <v/>
      </c>
      <c r="AG590" s="531" t="str">
        <f t="shared" ca="1" si="266"/>
        <v/>
      </c>
      <c r="AH590" s="531" t="str">
        <f t="shared" ca="1" si="267"/>
        <v/>
      </c>
      <c r="AI590" s="531" t="str">
        <f t="shared" ca="1" si="268"/>
        <v/>
      </c>
      <c r="AJ590" s="531" t="str">
        <f t="shared" si="269"/>
        <v/>
      </c>
      <c r="AK590" s="540">
        <f>SUMIFS('Live Collections'!$S:$S,'Live Collections'!$D:$D,Disbursements!B590,'Live Collections'!$G:$G,Disbursements!C590)</f>
        <v>0</v>
      </c>
      <c r="AL590" s="540">
        <f>SUMIFS('Live Collections'!$T:$T,'Live Collections'!$D:$D,Disbursements!B590,'Live Collections'!$G:$G,Disbursements!C590)</f>
        <v>0</v>
      </c>
      <c r="AM590" s="541">
        <f t="shared" si="270"/>
        <v>0</v>
      </c>
      <c r="AN590" s="542" t="str">
        <f t="shared" si="271"/>
        <v/>
      </c>
      <c r="AO590" s="542" t="str">
        <f t="shared" si="272"/>
        <v/>
      </c>
      <c r="AP590" s="543" t="str">
        <f t="shared" si="273"/>
        <v/>
      </c>
      <c r="AQ590" s="544" t="str">
        <f t="shared" si="274"/>
        <v/>
      </c>
      <c r="AR590" s="545">
        <f t="shared" si="275"/>
        <v>0</v>
      </c>
      <c r="AS590" s="545">
        <f>IFERROR(CEILING($AR590*VLOOKUP($I590,Ref!$B$23:$E$29,4,0),1),0)</f>
        <v>0</v>
      </c>
      <c r="AT590" s="545" t="str">
        <f>IF(A590="","",IF(AP590&lt;=1,"Cleared",IF(AS590=0,"Clean",VLOOKUP($AS590,Ref!$G$23:$H$28,2))))</f>
        <v/>
      </c>
      <c r="AU590" s="546" t="str">
        <f t="shared" si="276"/>
        <v/>
      </c>
    </row>
    <row r="591" spans="1:47" ht="14.25" hidden="1" customHeight="1" x14ac:dyDescent="0.15">
      <c r="A591" s="523"/>
      <c r="B591" s="523"/>
      <c r="C591" s="523"/>
      <c r="D591" s="523"/>
      <c r="E591" s="579"/>
      <c r="F591" s="580"/>
      <c r="G591" s="524"/>
      <c r="H591" s="555"/>
      <c r="I591" s="560"/>
      <c r="J591" s="523"/>
      <c r="K591" s="528" t="str">
        <f>IFERROR(VLOOKUP($B591,'Clients-Live'!$A:$C,3,0),"")</f>
        <v/>
      </c>
      <c r="L591" s="528">
        <f>IF(E591="STL",Pricing!$D$38,IF(A591="",0,IF(A591&lt;Pricing!$C$25,Pricing!$D$25,VLOOKUP(Disbursements!$F591,Pricing!$B$29:$D$32,3))))</f>
        <v>0</v>
      </c>
      <c r="M591" s="528">
        <f>IF(E591="STL",0,IF(F591&gt;0,Pricing!$D$21,0))</f>
        <v>0</v>
      </c>
      <c r="N591" s="529">
        <f>IF(E591="STL",F591*Pricing!$D$40,IF(A591&lt;=Pricing!$C$4,0,IF(AND(A591&gt;Pricing!$C$4,Disbursements!A591&lt;=Pricing!$C$5),F591*Pricing!$E$5,IF(AND(A591&gt;Pricing!$C$5,Disbursements!A591&lt;=Pricing!$C$7),VLOOKUP(F591,Pricing!$D$7:$E$8,2)*Disbursements!F591,F591*Pricing!$E$9))))</f>
        <v>0</v>
      </c>
      <c r="O591" s="528">
        <f>IF(E591="STL",0,IF($F591&gt;0,$F591*Pricing!$D$17,0))</f>
        <v>0</v>
      </c>
      <c r="P591" s="530" t="str">
        <f t="shared" si="256"/>
        <v/>
      </c>
      <c r="Q591" s="531" t="str">
        <f>IF($A591="","",$G591/VLOOKUP($I591,Ref!$B$23:$D$29,2,0))</f>
        <v/>
      </c>
      <c r="R591" s="530" t="str">
        <f t="shared" si="257"/>
        <v/>
      </c>
      <c r="S591" s="532" t="str">
        <f t="shared" si="251"/>
        <v/>
      </c>
      <c r="T591" s="531" t="str">
        <f t="shared" si="258"/>
        <v/>
      </c>
      <c r="U591" s="533">
        <f t="shared" si="259"/>
        <v>0</v>
      </c>
      <c r="V591" s="531" t="str">
        <f t="shared" si="260"/>
        <v/>
      </c>
      <c r="W591" s="531" t="str">
        <f t="shared" si="261"/>
        <v/>
      </c>
      <c r="X591" s="534" t="str">
        <f t="shared" si="262"/>
        <v/>
      </c>
      <c r="Y591" s="535" t="str">
        <f>IF($A591="","",IF($I591="weekly",$A591+7,EDATE($A591,VLOOKUP($I591,Ref!$B$24:$C$29,2,0))))</f>
        <v/>
      </c>
      <c r="Z591" s="536" t="str">
        <f t="shared" si="263"/>
        <v/>
      </c>
      <c r="AA591" s="531">
        <f t="shared" si="264"/>
        <v>0</v>
      </c>
      <c r="AB591" s="535" t="str">
        <f t="shared" si="252"/>
        <v/>
      </c>
      <c r="AC591" s="537" t="str">
        <f t="shared" si="253"/>
        <v/>
      </c>
      <c r="AD591" s="538" t="str">
        <f t="shared" ca="1" si="254"/>
        <v/>
      </c>
      <c r="AE591" s="537">
        <f t="shared" ca="1" si="255"/>
        <v>0</v>
      </c>
      <c r="AF591" s="539" t="str">
        <f t="shared" ca="1" si="265"/>
        <v/>
      </c>
      <c r="AG591" s="531" t="str">
        <f t="shared" ca="1" si="266"/>
        <v/>
      </c>
      <c r="AH591" s="531" t="str">
        <f t="shared" ca="1" si="267"/>
        <v/>
      </c>
      <c r="AI591" s="531" t="str">
        <f t="shared" ca="1" si="268"/>
        <v/>
      </c>
      <c r="AJ591" s="531" t="str">
        <f t="shared" si="269"/>
        <v/>
      </c>
      <c r="AK591" s="540">
        <f>SUMIFS('Live Collections'!$S:$S,'Live Collections'!$D:$D,Disbursements!B591,'Live Collections'!$G:$G,Disbursements!C591)</f>
        <v>0</v>
      </c>
      <c r="AL591" s="540">
        <f>SUMIFS('Live Collections'!$T:$T,'Live Collections'!$D:$D,Disbursements!B591,'Live Collections'!$G:$G,Disbursements!C591)</f>
        <v>0</v>
      </c>
      <c r="AM591" s="541">
        <f t="shared" si="270"/>
        <v>0</v>
      </c>
      <c r="AN591" s="542" t="str">
        <f t="shared" si="271"/>
        <v/>
      </c>
      <c r="AO591" s="542" t="str">
        <f t="shared" si="272"/>
        <v/>
      </c>
      <c r="AP591" s="543" t="str">
        <f t="shared" si="273"/>
        <v/>
      </c>
      <c r="AQ591" s="544" t="str">
        <f t="shared" si="274"/>
        <v/>
      </c>
      <c r="AR591" s="545">
        <f t="shared" si="275"/>
        <v>0</v>
      </c>
      <c r="AS591" s="545">
        <f>IFERROR(CEILING($AR591*VLOOKUP($I591,Ref!$B$23:$E$29,4,0),1),0)</f>
        <v>0</v>
      </c>
      <c r="AT591" s="545" t="str">
        <f>IF(A591="","",IF(AP591&lt;=1,"Cleared",IF(AS591=0,"Clean",VLOOKUP($AS591,Ref!$G$23:$H$28,2))))</f>
        <v/>
      </c>
      <c r="AU591" s="546" t="str">
        <f t="shared" si="276"/>
        <v/>
      </c>
    </row>
    <row r="592" spans="1:47" ht="14.25" hidden="1" customHeight="1" x14ac:dyDescent="0.15">
      <c r="A592" s="523"/>
      <c r="B592" s="523"/>
      <c r="C592" s="523"/>
      <c r="D592" s="523"/>
      <c r="E592" s="579"/>
      <c r="F592" s="580"/>
      <c r="G592" s="524"/>
      <c r="H592" s="555"/>
      <c r="I592" s="560"/>
      <c r="J592" s="523"/>
      <c r="K592" s="528" t="str">
        <f>IFERROR(VLOOKUP($B592,'Clients-Live'!$A:$C,3,0),"")</f>
        <v/>
      </c>
      <c r="L592" s="528">
        <f>IF(E592="STL",Pricing!$D$38,IF(A592="",0,IF(A592&lt;Pricing!$C$25,Pricing!$D$25,VLOOKUP(Disbursements!$F592,Pricing!$B$29:$D$32,3))))</f>
        <v>0</v>
      </c>
      <c r="M592" s="528">
        <f>IF(E592="STL",0,IF(F592&gt;0,Pricing!$D$21,0))</f>
        <v>0</v>
      </c>
      <c r="N592" s="529">
        <f>IF(E592="STL",F592*Pricing!$D$40,IF(A592&lt;=Pricing!$C$4,0,IF(AND(A592&gt;Pricing!$C$4,Disbursements!A592&lt;=Pricing!$C$5),F592*Pricing!$E$5,IF(AND(A592&gt;Pricing!$C$5,Disbursements!A592&lt;=Pricing!$C$7),VLOOKUP(F592,Pricing!$D$7:$E$8,2)*Disbursements!F592,F592*Pricing!$E$9))))</f>
        <v>0</v>
      </c>
      <c r="O592" s="528">
        <f>IF(E592="STL",0,IF($F592&gt;0,$F592*Pricing!$D$17,0))</f>
        <v>0</v>
      </c>
      <c r="P592" s="530" t="str">
        <f t="shared" si="256"/>
        <v/>
      </c>
      <c r="Q592" s="531" t="str">
        <f>IF($A592="","",$G592/VLOOKUP($I592,Ref!$B$23:$D$29,2,0))</f>
        <v/>
      </c>
      <c r="R592" s="530" t="str">
        <f t="shared" si="257"/>
        <v/>
      </c>
      <c r="S592" s="532" t="str">
        <f t="shared" si="251"/>
        <v/>
      </c>
      <c r="T592" s="531" t="str">
        <f t="shared" si="258"/>
        <v/>
      </c>
      <c r="U592" s="533">
        <f t="shared" si="259"/>
        <v>0</v>
      </c>
      <c r="V592" s="531" t="str">
        <f t="shared" si="260"/>
        <v/>
      </c>
      <c r="W592" s="531" t="str">
        <f t="shared" si="261"/>
        <v/>
      </c>
      <c r="X592" s="534" t="str">
        <f t="shared" si="262"/>
        <v/>
      </c>
      <c r="Y592" s="535" t="str">
        <f>IF($A592="","",IF($I592="weekly",$A592+7,EDATE($A592,VLOOKUP($I592,Ref!$B$24:$C$29,2,0))))</f>
        <v/>
      </c>
      <c r="Z592" s="536" t="str">
        <f t="shared" si="263"/>
        <v/>
      </c>
      <c r="AA592" s="531">
        <f t="shared" si="264"/>
        <v>0</v>
      </c>
      <c r="AB592" s="535" t="str">
        <f t="shared" si="252"/>
        <v/>
      </c>
      <c r="AC592" s="537" t="str">
        <f t="shared" si="253"/>
        <v/>
      </c>
      <c r="AD592" s="538" t="str">
        <f t="shared" ca="1" si="254"/>
        <v/>
      </c>
      <c r="AE592" s="537">
        <f t="shared" ca="1" si="255"/>
        <v>0</v>
      </c>
      <c r="AF592" s="539" t="str">
        <f t="shared" ca="1" si="265"/>
        <v/>
      </c>
      <c r="AG592" s="531" t="str">
        <f t="shared" ca="1" si="266"/>
        <v/>
      </c>
      <c r="AH592" s="531" t="str">
        <f t="shared" ca="1" si="267"/>
        <v/>
      </c>
      <c r="AI592" s="531" t="str">
        <f t="shared" ca="1" si="268"/>
        <v/>
      </c>
      <c r="AJ592" s="531" t="str">
        <f t="shared" si="269"/>
        <v/>
      </c>
      <c r="AK592" s="540">
        <f>SUMIFS('Live Collections'!$S:$S,'Live Collections'!$D:$D,Disbursements!B592,'Live Collections'!$G:$G,Disbursements!C592)</f>
        <v>0</v>
      </c>
      <c r="AL592" s="540">
        <f>SUMIFS('Live Collections'!$T:$T,'Live Collections'!$D:$D,Disbursements!B592,'Live Collections'!$G:$G,Disbursements!C592)</f>
        <v>0</v>
      </c>
      <c r="AM592" s="541">
        <f t="shared" si="270"/>
        <v>0</v>
      </c>
      <c r="AN592" s="542" t="str">
        <f t="shared" si="271"/>
        <v/>
      </c>
      <c r="AO592" s="542" t="str">
        <f t="shared" si="272"/>
        <v/>
      </c>
      <c r="AP592" s="543" t="str">
        <f t="shared" si="273"/>
        <v/>
      </c>
      <c r="AQ592" s="544" t="str">
        <f t="shared" si="274"/>
        <v/>
      </c>
      <c r="AR592" s="545">
        <f t="shared" si="275"/>
        <v>0</v>
      </c>
      <c r="AS592" s="545">
        <f>IFERROR(CEILING($AR592*VLOOKUP($I592,Ref!$B$23:$E$29,4,0),1),0)</f>
        <v>0</v>
      </c>
      <c r="AT592" s="545" t="str">
        <f>IF(A592="","",IF(AP592&lt;=1,"Cleared",IF(AS592=0,"Clean",VLOOKUP($AS592,Ref!$G$23:$H$28,2))))</f>
        <v/>
      </c>
      <c r="AU592" s="546" t="str">
        <f t="shared" si="276"/>
        <v/>
      </c>
    </row>
    <row r="593" spans="1:47" ht="14.25" hidden="1" customHeight="1" x14ac:dyDescent="0.15">
      <c r="A593" s="523"/>
      <c r="B593" s="523"/>
      <c r="C593" s="523"/>
      <c r="D593" s="523"/>
      <c r="E593" s="579"/>
      <c r="F593" s="580"/>
      <c r="G593" s="524"/>
      <c r="H593" s="555"/>
      <c r="I593" s="560"/>
      <c r="J593" s="523"/>
      <c r="K593" s="528" t="str">
        <f>IFERROR(VLOOKUP($B593,'Clients-Live'!$A:$C,3,0),"")</f>
        <v/>
      </c>
      <c r="L593" s="528">
        <f>IF(E593="STL",Pricing!$D$38,IF(A593="",0,IF(A593&lt;Pricing!$C$25,Pricing!$D$25,VLOOKUP(Disbursements!$F593,Pricing!$B$29:$D$32,3))))</f>
        <v>0</v>
      </c>
      <c r="M593" s="528">
        <f>IF(E593="STL",0,IF(F593&gt;0,Pricing!$D$21,0))</f>
        <v>0</v>
      </c>
      <c r="N593" s="529">
        <f>IF(E593="STL",F593*Pricing!$D$40,IF(A593&lt;=Pricing!$C$4,0,IF(AND(A593&gt;Pricing!$C$4,Disbursements!A593&lt;=Pricing!$C$5),F593*Pricing!$E$5,IF(AND(A593&gt;Pricing!$C$5,Disbursements!A593&lt;=Pricing!$C$7),VLOOKUP(F593,Pricing!$D$7:$E$8,2)*Disbursements!F593,F593*Pricing!$E$9))))</f>
        <v>0</v>
      </c>
      <c r="O593" s="528">
        <f>IF(E593="STL",0,IF($F593&gt;0,$F593*Pricing!$D$17,0))</f>
        <v>0</v>
      </c>
      <c r="P593" s="530" t="str">
        <f t="shared" si="256"/>
        <v/>
      </c>
      <c r="Q593" s="531" t="str">
        <f>IF($A593="","",$G593/VLOOKUP($I593,Ref!$B$23:$D$29,2,0))</f>
        <v/>
      </c>
      <c r="R593" s="530" t="str">
        <f t="shared" si="257"/>
        <v/>
      </c>
      <c r="S593" s="532" t="str">
        <f t="shared" si="251"/>
        <v/>
      </c>
      <c r="T593" s="531" t="str">
        <f t="shared" si="258"/>
        <v/>
      </c>
      <c r="U593" s="533">
        <f t="shared" si="259"/>
        <v>0</v>
      </c>
      <c r="V593" s="531" t="str">
        <f t="shared" si="260"/>
        <v/>
      </c>
      <c r="W593" s="531" t="str">
        <f t="shared" si="261"/>
        <v/>
      </c>
      <c r="X593" s="534" t="str">
        <f t="shared" si="262"/>
        <v/>
      </c>
      <c r="Y593" s="535" t="str">
        <f>IF($A593="","",IF($I593="weekly",$A593+7,EDATE($A593,VLOOKUP($I593,Ref!$B$24:$C$29,2,0))))</f>
        <v/>
      </c>
      <c r="Z593" s="536" t="str">
        <f t="shared" si="263"/>
        <v/>
      </c>
      <c r="AA593" s="531">
        <f t="shared" si="264"/>
        <v>0</v>
      </c>
      <c r="AB593" s="535" t="str">
        <f t="shared" si="252"/>
        <v/>
      </c>
      <c r="AC593" s="537" t="str">
        <f t="shared" si="253"/>
        <v/>
      </c>
      <c r="AD593" s="538" t="str">
        <f t="shared" ca="1" si="254"/>
        <v/>
      </c>
      <c r="AE593" s="537">
        <f t="shared" ca="1" si="255"/>
        <v>0</v>
      </c>
      <c r="AF593" s="539" t="str">
        <f t="shared" ca="1" si="265"/>
        <v/>
      </c>
      <c r="AG593" s="531" t="str">
        <f t="shared" ca="1" si="266"/>
        <v/>
      </c>
      <c r="AH593" s="531" t="str">
        <f t="shared" ca="1" si="267"/>
        <v/>
      </c>
      <c r="AI593" s="531" t="str">
        <f t="shared" ca="1" si="268"/>
        <v/>
      </c>
      <c r="AJ593" s="531" t="str">
        <f t="shared" si="269"/>
        <v/>
      </c>
      <c r="AK593" s="540">
        <f>SUMIFS('Live Collections'!$S:$S,'Live Collections'!$D:$D,Disbursements!B593,'Live Collections'!$G:$G,Disbursements!C593)</f>
        <v>0</v>
      </c>
      <c r="AL593" s="540">
        <f>SUMIFS('Live Collections'!$T:$T,'Live Collections'!$D:$D,Disbursements!B593,'Live Collections'!$G:$G,Disbursements!C593)</f>
        <v>0</v>
      </c>
      <c r="AM593" s="541">
        <f t="shared" si="270"/>
        <v>0</v>
      </c>
      <c r="AN593" s="542" t="str">
        <f t="shared" si="271"/>
        <v/>
      </c>
      <c r="AO593" s="542" t="str">
        <f t="shared" si="272"/>
        <v/>
      </c>
      <c r="AP593" s="543" t="str">
        <f t="shared" si="273"/>
        <v/>
      </c>
      <c r="AQ593" s="544" t="str">
        <f t="shared" si="274"/>
        <v/>
      </c>
      <c r="AR593" s="545">
        <f t="shared" si="275"/>
        <v>0</v>
      </c>
      <c r="AS593" s="545">
        <f>IFERROR(CEILING($AR593*VLOOKUP($I593,Ref!$B$23:$E$29,4,0),1),0)</f>
        <v>0</v>
      </c>
      <c r="AT593" s="545" t="str">
        <f>IF(A593="","",IF(AP593&lt;=1,"Cleared",IF(AS593=0,"Clean",VLOOKUP($AS593,Ref!$G$23:$H$28,2))))</f>
        <v/>
      </c>
      <c r="AU593" s="546" t="str">
        <f t="shared" si="276"/>
        <v/>
      </c>
    </row>
    <row r="594" spans="1:47" ht="14.25" hidden="1" customHeight="1" x14ac:dyDescent="0.15">
      <c r="A594" s="523"/>
      <c r="B594" s="523"/>
      <c r="C594" s="523"/>
      <c r="D594" s="523"/>
      <c r="E594" s="579"/>
      <c r="F594" s="580"/>
      <c r="G594" s="524"/>
      <c r="H594" s="555"/>
      <c r="I594" s="560"/>
      <c r="J594" s="523"/>
      <c r="K594" s="528" t="str">
        <f>IFERROR(VLOOKUP($B594,'Clients-Live'!$A:$C,3,0),"")</f>
        <v/>
      </c>
      <c r="L594" s="528">
        <f>IF(E594="STL",Pricing!$D$38,IF(A594="",0,IF(A594&lt;Pricing!$C$25,Pricing!$D$25,VLOOKUP(Disbursements!$F594,Pricing!$B$29:$D$32,3))))</f>
        <v>0</v>
      </c>
      <c r="M594" s="528">
        <f>IF(E594="STL",0,IF(F594&gt;0,Pricing!$D$21,0))</f>
        <v>0</v>
      </c>
      <c r="N594" s="529">
        <f>IF(E594="STL",F594*Pricing!$D$40,IF(A594&lt;=Pricing!$C$4,0,IF(AND(A594&gt;Pricing!$C$4,Disbursements!A594&lt;=Pricing!$C$5),F594*Pricing!$E$5,IF(AND(A594&gt;Pricing!$C$5,Disbursements!A594&lt;=Pricing!$C$7),VLOOKUP(F594,Pricing!$D$7:$E$8,2)*Disbursements!F594,F594*Pricing!$E$9))))</f>
        <v>0</v>
      </c>
      <c r="O594" s="528">
        <f>IF(E594="STL",0,IF($F594&gt;0,$F594*Pricing!$D$17,0))</f>
        <v>0</v>
      </c>
      <c r="P594" s="530" t="str">
        <f t="shared" si="256"/>
        <v/>
      </c>
      <c r="Q594" s="531" t="str">
        <f>IF($A594="","",$G594/VLOOKUP($I594,Ref!$B$23:$D$29,2,0))</f>
        <v/>
      </c>
      <c r="R594" s="530" t="str">
        <f t="shared" si="257"/>
        <v/>
      </c>
      <c r="S594" s="532" t="str">
        <f t="shared" si="251"/>
        <v/>
      </c>
      <c r="T594" s="531" t="str">
        <f t="shared" si="258"/>
        <v/>
      </c>
      <c r="U594" s="533">
        <f t="shared" si="259"/>
        <v>0</v>
      </c>
      <c r="V594" s="531" t="str">
        <f t="shared" si="260"/>
        <v/>
      </c>
      <c r="W594" s="531" t="str">
        <f t="shared" si="261"/>
        <v/>
      </c>
      <c r="X594" s="534" t="str">
        <f t="shared" si="262"/>
        <v/>
      </c>
      <c r="Y594" s="535" t="str">
        <f>IF($A594="","",IF($I594="weekly",$A594+7,EDATE($A594,VLOOKUP($I594,Ref!$B$24:$C$29,2,0))))</f>
        <v/>
      </c>
      <c r="Z594" s="536" t="str">
        <f t="shared" si="263"/>
        <v/>
      </c>
      <c r="AA594" s="531">
        <f t="shared" si="264"/>
        <v>0</v>
      </c>
      <c r="AB594" s="535" t="str">
        <f t="shared" si="252"/>
        <v/>
      </c>
      <c r="AC594" s="537" t="str">
        <f t="shared" si="253"/>
        <v/>
      </c>
      <c r="AD594" s="538" t="str">
        <f t="shared" ca="1" si="254"/>
        <v/>
      </c>
      <c r="AE594" s="537">
        <f t="shared" ca="1" si="255"/>
        <v>0</v>
      </c>
      <c r="AF594" s="539" t="str">
        <f t="shared" ca="1" si="265"/>
        <v/>
      </c>
      <c r="AG594" s="531" t="str">
        <f t="shared" ca="1" si="266"/>
        <v/>
      </c>
      <c r="AH594" s="531" t="str">
        <f t="shared" ca="1" si="267"/>
        <v/>
      </c>
      <c r="AI594" s="531" t="str">
        <f t="shared" ca="1" si="268"/>
        <v/>
      </c>
      <c r="AJ594" s="531" t="str">
        <f t="shared" si="269"/>
        <v/>
      </c>
      <c r="AK594" s="540">
        <f>SUMIFS('Live Collections'!$S:$S,'Live Collections'!$D:$D,Disbursements!B594,'Live Collections'!$G:$G,Disbursements!C594)</f>
        <v>0</v>
      </c>
      <c r="AL594" s="540">
        <f>SUMIFS('Live Collections'!$T:$T,'Live Collections'!$D:$D,Disbursements!B594,'Live Collections'!$G:$G,Disbursements!C594)</f>
        <v>0</v>
      </c>
      <c r="AM594" s="541">
        <f t="shared" si="270"/>
        <v>0</v>
      </c>
      <c r="AN594" s="542" t="str">
        <f t="shared" si="271"/>
        <v/>
      </c>
      <c r="AO594" s="542" t="str">
        <f t="shared" si="272"/>
        <v/>
      </c>
      <c r="AP594" s="543" t="str">
        <f t="shared" si="273"/>
        <v/>
      </c>
      <c r="AQ594" s="544" t="str">
        <f t="shared" si="274"/>
        <v/>
      </c>
      <c r="AR594" s="545">
        <f t="shared" si="275"/>
        <v>0</v>
      </c>
      <c r="AS594" s="545">
        <f>IFERROR(CEILING($AR594*VLOOKUP($I594,Ref!$B$23:$E$29,4,0),1),0)</f>
        <v>0</v>
      </c>
      <c r="AT594" s="545" t="str">
        <f>IF(A594="","",IF(AP594&lt;=1,"Cleared",IF(AS594=0,"Clean",VLOOKUP($AS594,Ref!$G$23:$H$28,2))))</f>
        <v/>
      </c>
      <c r="AU594" s="546" t="str">
        <f t="shared" si="276"/>
        <v/>
      </c>
    </row>
    <row r="595" spans="1:47" ht="14.25" hidden="1" customHeight="1" x14ac:dyDescent="0.15">
      <c r="A595" s="523"/>
      <c r="B595" s="523"/>
      <c r="C595" s="523"/>
      <c r="D595" s="523"/>
      <c r="E595" s="579"/>
      <c r="F595" s="580"/>
      <c r="G595" s="524"/>
      <c r="H595" s="555"/>
      <c r="I595" s="560"/>
      <c r="J595" s="523"/>
      <c r="K595" s="528" t="str">
        <f>IFERROR(VLOOKUP($B595,'Clients-Live'!$A:$C,3,0),"")</f>
        <v/>
      </c>
      <c r="L595" s="528">
        <f>IF(E595="STL",Pricing!$D$38,IF(A595="",0,IF(A595&lt;Pricing!$C$25,Pricing!$D$25,VLOOKUP(Disbursements!$F595,Pricing!$B$29:$D$32,3))))</f>
        <v>0</v>
      </c>
      <c r="M595" s="528">
        <f>IF(E595="STL",0,IF(F595&gt;0,Pricing!$D$21,0))</f>
        <v>0</v>
      </c>
      <c r="N595" s="529">
        <f>IF(E595="STL",F595*Pricing!$D$40,IF(A595&lt;=Pricing!$C$4,0,IF(AND(A595&gt;Pricing!$C$4,Disbursements!A595&lt;=Pricing!$C$5),F595*Pricing!$E$5,IF(AND(A595&gt;Pricing!$C$5,Disbursements!A595&lt;=Pricing!$C$7),VLOOKUP(F595,Pricing!$D$7:$E$8,2)*Disbursements!F595,F595*Pricing!$E$9))))</f>
        <v>0</v>
      </c>
      <c r="O595" s="528">
        <f>IF(E595="STL",0,IF($F595&gt;0,$F595*Pricing!$D$17,0))</f>
        <v>0</v>
      </c>
      <c r="P595" s="530" t="str">
        <f t="shared" si="256"/>
        <v/>
      </c>
      <c r="Q595" s="531" t="str">
        <f>IF($A595="","",$G595/VLOOKUP($I595,Ref!$B$23:$D$29,2,0))</f>
        <v/>
      </c>
      <c r="R595" s="530" t="str">
        <f t="shared" si="257"/>
        <v/>
      </c>
      <c r="S595" s="532" t="str">
        <f t="shared" si="251"/>
        <v/>
      </c>
      <c r="T595" s="531" t="str">
        <f t="shared" si="258"/>
        <v/>
      </c>
      <c r="U595" s="533">
        <f t="shared" si="259"/>
        <v>0</v>
      </c>
      <c r="V595" s="531" t="str">
        <f t="shared" si="260"/>
        <v/>
      </c>
      <c r="W595" s="531" t="str">
        <f t="shared" si="261"/>
        <v/>
      </c>
      <c r="X595" s="534" t="str">
        <f t="shared" si="262"/>
        <v/>
      </c>
      <c r="Y595" s="535" t="str">
        <f>IF($A595="","",IF($I595="weekly",$A595+7,EDATE($A595,VLOOKUP($I595,Ref!$B$24:$C$29,2,0))))</f>
        <v/>
      </c>
      <c r="Z595" s="536" t="str">
        <f t="shared" si="263"/>
        <v/>
      </c>
      <c r="AA595" s="531">
        <f t="shared" si="264"/>
        <v>0</v>
      </c>
      <c r="AB595" s="535" t="str">
        <f t="shared" si="252"/>
        <v/>
      </c>
      <c r="AC595" s="537" t="str">
        <f t="shared" si="253"/>
        <v/>
      </c>
      <c r="AD595" s="538" t="str">
        <f t="shared" ca="1" si="254"/>
        <v/>
      </c>
      <c r="AE595" s="537">
        <f t="shared" ca="1" si="255"/>
        <v>0</v>
      </c>
      <c r="AF595" s="539" t="str">
        <f t="shared" ca="1" si="265"/>
        <v/>
      </c>
      <c r="AG595" s="531" t="str">
        <f t="shared" ca="1" si="266"/>
        <v/>
      </c>
      <c r="AH595" s="531" t="str">
        <f t="shared" ca="1" si="267"/>
        <v/>
      </c>
      <c r="AI595" s="531" t="str">
        <f t="shared" ca="1" si="268"/>
        <v/>
      </c>
      <c r="AJ595" s="531" t="str">
        <f t="shared" si="269"/>
        <v/>
      </c>
      <c r="AK595" s="540">
        <f>SUMIFS('Live Collections'!$S:$S,'Live Collections'!$D:$D,Disbursements!B595,'Live Collections'!$G:$G,Disbursements!C595)</f>
        <v>0</v>
      </c>
      <c r="AL595" s="540">
        <f>SUMIFS('Live Collections'!$T:$T,'Live Collections'!$D:$D,Disbursements!B595,'Live Collections'!$G:$G,Disbursements!C595)</f>
        <v>0</v>
      </c>
      <c r="AM595" s="541">
        <f t="shared" si="270"/>
        <v>0</v>
      </c>
      <c r="AN595" s="542" t="str">
        <f t="shared" si="271"/>
        <v/>
      </c>
      <c r="AO595" s="542" t="str">
        <f t="shared" si="272"/>
        <v/>
      </c>
      <c r="AP595" s="543" t="str">
        <f t="shared" si="273"/>
        <v/>
      </c>
      <c r="AQ595" s="544" t="str">
        <f t="shared" si="274"/>
        <v/>
      </c>
      <c r="AR595" s="545">
        <f t="shared" si="275"/>
        <v>0</v>
      </c>
      <c r="AS595" s="545">
        <f>IFERROR(CEILING($AR595*VLOOKUP($I595,Ref!$B$23:$E$29,4,0),1),0)</f>
        <v>0</v>
      </c>
      <c r="AT595" s="545" t="str">
        <f>IF(A595="","",IF(AP595&lt;=1,"Cleared",IF(AS595=0,"Clean",VLOOKUP($AS595,Ref!$G$23:$H$28,2))))</f>
        <v/>
      </c>
      <c r="AU595" s="546" t="str">
        <f t="shared" si="276"/>
        <v/>
      </c>
    </row>
    <row r="596" spans="1:47" ht="14.25" hidden="1" customHeight="1" x14ac:dyDescent="0.15">
      <c r="A596" s="523"/>
      <c r="B596" s="523"/>
      <c r="C596" s="523"/>
      <c r="D596" s="523"/>
      <c r="E596" s="579"/>
      <c r="F596" s="580"/>
      <c r="G596" s="524"/>
      <c r="H596" s="555"/>
      <c r="I596" s="560"/>
      <c r="J596" s="523"/>
      <c r="K596" s="528" t="str">
        <f>IFERROR(VLOOKUP($B596,'Clients-Live'!$A:$C,3,0),"")</f>
        <v/>
      </c>
      <c r="L596" s="528">
        <f>IF(E596="STL",Pricing!$D$38,IF(A596="",0,IF(A596&lt;Pricing!$C$25,Pricing!$D$25,VLOOKUP(Disbursements!$F596,Pricing!$B$29:$D$32,3))))</f>
        <v>0</v>
      </c>
      <c r="M596" s="528">
        <f>IF(E596="STL",0,IF(F596&gt;0,Pricing!$D$21,0))</f>
        <v>0</v>
      </c>
      <c r="N596" s="529">
        <f>IF(E596="STL",F596*Pricing!$D$40,IF(A596&lt;=Pricing!$C$4,0,IF(AND(A596&gt;Pricing!$C$4,Disbursements!A596&lt;=Pricing!$C$5),F596*Pricing!$E$5,IF(AND(A596&gt;Pricing!$C$5,Disbursements!A596&lt;=Pricing!$C$7),VLOOKUP(F596,Pricing!$D$7:$E$8,2)*Disbursements!F596,F596*Pricing!$E$9))))</f>
        <v>0</v>
      </c>
      <c r="O596" s="528">
        <f>IF(E596="STL",0,IF($F596&gt;0,$F596*Pricing!$D$17,0))</f>
        <v>0</v>
      </c>
      <c r="P596" s="530" t="str">
        <f t="shared" si="256"/>
        <v/>
      </c>
      <c r="Q596" s="531" t="str">
        <f>IF($A596="","",$G596/VLOOKUP($I596,Ref!$B$23:$D$29,2,0))</f>
        <v/>
      </c>
      <c r="R596" s="530" t="str">
        <f t="shared" si="257"/>
        <v/>
      </c>
      <c r="S596" s="532" t="str">
        <f t="shared" si="251"/>
        <v/>
      </c>
      <c r="T596" s="531" t="str">
        <f t="shared" si="258"/>
        <v/>
      </c>
      <c r="U596" s="533">
        <f t="shared" si="259"/>
        <v>0</v>
      </c>
      <c r="V596" s="531" t="str">
        <f t="shared" si="260"/>
        <v/>
      </c>
      <c r="W596" s="531" t="str">
        <f t="shared" si="261"/>
        <v/>
      </c>
      <c r="X596" s="534" t="str">
        <f t="shared" si="262"/>
        <v/>
      </c>
      <c r="Y596" s="535" t="str">
        <f>IF($A596="","",IF($I596="weekly",$A596+7,EDATE($A596,VLOOKUP($I596,Ref!$B$24:$C$29,2,0))))</f>
        <v/>
      </c>
      <c r="Z596" s="536" t="str">
        <f t="shared" si="263"/>
        <v/>
      </c>
      <c r="AA596" s="531">
        <f t="shared" si="264"/>
        <v>0</v>
      </c>
      <c r="AB596" s="535" t="str">
        <f t="shared" si="252"/>
        <v/>
      </c>
      <c r="AC596" s="537" t="str">
        <f t="shared" si="253"/>
        <v/>
      </c>
      <c r="AD596" s="538" t="str">
        <f t="shared" ca="1" si="254"/>
        <v/>
      </c>
      <c r="AE596" s="537">
        <f t="shared" ca="1" si="255"/>
        <v>0</v>
      </c>
      <c r="AF596" s="539" t="str">
        <f t="shared" ca="1" si="265"/>
        <v/>
      </c>
      <c r="AG596" s="531" t="str">
        <f t="shared" ca="1" si="266"/>
        <v/>
      </c>
      <c r="AH596" s="531" t="str">
        <f t="shared" ca="1" si="267"/>
        <v/>
      </c>
      <c r="AI596" s="531" t="str">
        <f t="shared" ca="1" si="268"/>
        <v/>
      </c>
      <c r="AJ596" s="531" t="str">
        <f t="shared" si="269"/>
        <v/>
      </c>
      <c r="AK596" s="540">
        <f>SUMIFS('Live Collections'!$S:$S,'Live Collections'!$D:$D,Disbursements!B596,'Live Collections'!$G:$G,Disbursements!C596)</f>
        <v>0</v>
      </c>
      <c r="AL596" s="540">
        <f>SUMIFS('Live Collections'!$T:$T,'Live Collections'!$D:$D,Disbursements!B596,'Live Collections'!$G:$G,Disbursements!C596)</f>
        <v>0</v>
      </c>
      <c r="AM596" s="541">
        <f t="shared" si="270"/>
        <v>0</v>
      </c>
      <c r="AN596" s="542" t="str">
        <f t="shared" si="271"/>
        <v/>
      </c>
      <c r="AO596" s="542" t="str">
        <f t="shared" si="272"/>
        <v/>
      </c>
      <c r="AP596" s="543" t="str">
        <f t="shared" si="273"/>
        <v/>
      </c>
      <c r="AQ596" s="544" t="str">
        <f t="shared" si="274"/>
        <v/>
      </c>
      <c r="AR596" s="545">
        <f t="shared" si="275"/>
        <v>0</v>
      </c>
      <c r="AS596" s="545">
        <f>IFERROR(CEILING($AR596*VLOOKUP($I596,Ref!$B$23:$E$29,4,0),1),0)</f>
        <v>0</v>
      </c>
      <c r="AT596" s="545" t="str">
        <f>IF(A596="","",IF(AP596&lt;=1,"Cleared",IF(AS596=0,"Clean",VLOOKUP($AS596,Ref!$G$23:$H$28,2))))</f>
        <v/>
      </c>
      <c r="AU596" s="546" t="str">
        <f t="shared" si="276"/>
        <v/>
      </c>
    </row>
    <row r="597" spans="1:47" ht="14.25" hidden="1" customHeight="1" x14ac:dyDescent="0.15">
      <c r="A597" s="523"/>
      <c r="B597" s="523"/>
      <c r="C597" s="523"/>
      <c r="D597" s="523"/>
      <c r="E597" s="579"/>
      <c r="F597" s="580"/>
      <c r="G597" s="524"/>
      <c r="H597" s="555"/>
      <c r="I597" s="560"/>
      <c r="J597" s="523"/>
      <c r="K597" s="528" t="str">
        <f>IFERROR(VLOOKUP($B597,'Clients-Live'!$A:$C,3,0),"")</f>
        <v/>
      </c>
      <c r="L597" s="528">
        <f>IF(E597="STL",Pricing!$D$38,IF(A597="",0,IF(A597&lt;Pricing!$C$25,Pricing!$D$25,VLOOKUP(Disbursements!$F597,Pricing!$B$29:$D$32,3))))</f>
        <v>0</v>
      </c>
      <c r="M597" s="528">
        <f>IF(E597="STL",0,IF(F597&gt;0,Pricing!$D$21,0))</f>
        <v>0</v>
      </c>
      <c r="N597" s="529">
        <f>IF(E597="STL",F597*Pricing!$D$40,IF(A597&lt;=Pricing!$C$4,0,IF(AND(A597&gt;Pricing!$C$4,Disbursements!A597&lt;=Pricing!$C$5),F597*Pricing!$E$5,IF(AND(A597&gt;Pricing!$C$5,Disbursements!A597&lt;=Pricing!$C$7),VLOOKUP(F597,Pricing!$D$7:$E$8,2)*Disbursements!F597,F597*Pricing!$E$9))))</f>
        <v>0</v>
      </c>
      <c r="O597" s="528">
        <f>IF(E597="STL",0,IF($F597&gt;0,$F597*Pricing!$D$17,0))</f>
        <v>0</v>
      </c>
      <c r="P597" s="530" t="str">
        <f t="shared" si="256"/>
        <v/>
      </c>
      <c r="Q597" s="531" t="str">
        <f>IF($A597="","",$G597/VLOOKUP($I597,Ref!$B$23:$D$29,2,0))</f>
        <v/>
      </c>
      <c r="R597" s="530" t="str">
        <f t="shared" si="257"/>
        <v/>
      </c>
      <c r="S597" s="532" t="str">
        <f t="shared" si="251"/>
        <v/>
      </c>
      <c r="T597" s="531" t="str">
        <f t="shared" si="258"/>
        <v/>
      </c>
      <c r="U597" s="533">
        <f t="shared" si="259"/>
        <v>0</v>
      </c>
      <c r="V597" s="531" t="str">
        <f t="shared" si="260"/>
        <v/>
      </c>
      <c r="W597" s="531" t="str">
        <f t="shared" si="261"/>
        <v/>
      </c>
      <c r="X597" s="534" t="str">
        <f t="shared" si="262"/>
        <v/>
      </c>
      <c r="Y597" s="535" t="str">
        <f>IF($A597="","",IF($I597="weekly",$A597+7,EDATE($A597,VLOOKUP($I597,Ref!$B$24:$C$29,2,0))))</f>
        <v/>
      </c>
      <c r="Z597" s="536" t="str">
        <f t="shared" si="263"/>
        <v/>
      </c>
      <c r="AA597" s="531">
        <f t="shared" si="264"/>
        <v>0</v>
      </c>
      <c r="AB597" s="535" t="str">
        <f t="shared" si="252"/>
        <v/>
      </c>
      <c r="AC597" s="537" t="str">
        <f t="shared" si="253"/>
        <v/>
      </c>
      <c r="AD597" s="538" t="str">
        <f t="shared" ca="1" si="254"/>
        <v/>
      </c>
      <c r="AE597" s="537">
        <f t="shared" ca="1" si="255"/>
        <v>0</v>
      </c>
      <c r="AF597" s="539" t="str">
        <f t="shared" ca="1" si="265"/>
        <v/>
      </c>
      <c r="AG597" s="531" t="str">
        <f t="shared" ca="1" si="266"/>
        <v/>
      </c>
      <c r="AH597" s="531" t="str">
        <f t="shared" ca="1" si="267"/>
        <v/>
      </c>
      <c r="AI597" s="531" t="str">
        <f t="shared" ca="1" si="268"/>
        <v/>
      </c>
      <c r="AJ597" s="531" t="str">
        <f t="shared" si="269"/>
        <v/>
      </c>
      <c r="AK597" s="540">
        <f>SUMIFS('Live Collections'!$S:$S,'Live Collections'!$D:$D,Disbursements!B597,'Live Collections'!$G:$G,Disbursements!C597)</f>
        <v>0</v>
      </c>
      <c r="AL597" s="540">
        <f>SUMIFS('Live Collections'!$T:$T,'Live Collections'!$D:$D,Disbursements!B597,'Live Collections'!$G:$G,Disbursements!C597)</f>
        <v>0</v>
      </c>
      <c r="AM597" s="541">
        <f t="shared" si="270"/>
        <v>0</v>
      </c>
      <c r="AN597" s="542" t="str">
        <f t="shared" si="271"/>
        <v/>
      </c>
      <c r="AO597" s="542" t="str">
        <f t="shared" si="272"/>
        <v/>
      </c>
      <c r="AP597" s="543" t="str">
        <f t="shared" si="273"/>
        <v/>
      </c>
      <c r="AQ597" s="544" t="str">
        <f t="shared" si="274"/>
        <v/>
      </c>
      <c r="AR597" s="545">
        <f t="shared" si="275"/>
        <v>0</v>
      </c>
      <c r="AS597" s="545">
        <f>IFERROR(CEILING($AR597*VLOOKUP($I597,Ref!$B$23:$E$29,4,0),1),0)</f>
        <v>0</v>
      </c>
      <c r="AT597" s="545" t="str">
        <f>IF(A597="","",IF(AP597&lt;=1,"Cleared",IF(AS597=0,"Clean",VLOOKUP($AS597,Ref!$G$23:$H$28,2))))</f>
        <v/>
      </c>
      <c r="AU597" s="546" t="str">
        <f t="shared" si="276"/>
        <v/>
      </c>
    </row>
    <row r="598" spans="1:47" ht="14.25" hidden="1" customHeight="1" x14ac:dyDescent="0.15">
      <c r="A598" s="523"/>
      <c r="B598" s="523"/>
      <c r="C598" s="523"/>
      <c r="D598" s="523"/>
      <c r="E598" s="579"/>
      <c r="F598" s="580"/>
      <c r="G598" s="524"/>
      <c r="H598" s="555"/>
      <c r="I598" s="560"/>
      <c r="J598" s="523"/>
      <c r="K598" s="528" t="str">
        <f>IFERROR(VLOOKUP($B598,'Clients-Live'!$A:$C,3,0),"")</f>
        <v/>
      </c>
      <c r="L598" s="528">
        <f>IF(E598="STL",Pricing!$D$38,IF(A598="",0,IF(A598&lt;Pricing!$C$25,Pricing!$D$25,VLOOKUP(Disbursements!$F598,Pricing!$B$29:$D$32,3))))</f>
        <v>0</v>
      </c>
      <c r="M598" s="528">
        <f>IF(E598="STL",0,IF(F598&gt;0,Pricing!$D$21,0))</f>
        <v>0</v>
      </c>
      <c r="N598" s="529">
        <f>IF(E598="STL",F598*Pricing!$D$40,IF(A598&lt;=Pricing!$C$4,0,IF(AND(A598&gt;Pricing!$C$4,Disbursements!A598&lt;=Pricing!$C$5),F598*Pricing!$E$5,IF(AND(A598&gt;Pricing!$C$5,Disbursements!A598&lt;=Pricing!$C$7),VLOOKUP(F598,Pricing!$D$7:$E$8,2)*Disbursements!F598,F598*Pricing!$E$9))))</f>
        <v>0</v>
      </c>
      <c r="O598" s="528">
        <f>IF(E598="STL",0,IF($F598&gt;0,$F598*Pricing!$D$17,0))</f>
        <v>0</v>
      </c>
      <c r="P598" s="530" t="str">
        <f t="shared" si="256"/>
        <v/>
      </c>
      <c r="Q598" s="531" t="str">
        <f>IF($A598="","",$G598/VLOOKUP($I598,Ref!$B$23:$D$29,2,0))</f>
        <v/>
      </c>
      <c r="R598" s="530" t="str">
        <f t="shared" si="257"/>
        <v/>
      </c>
      <c r="S598" s="532" t="str">
        <f t="shared" si="251"/>
        <v/>
      </c>
      <c r="T598" s="531" t="str">
        <f t="shared" si="258"/>
        <v/>
      </c>
      <c r="U598" s="533">
        <f t="shared" si="259"/>
        <v>0</v>
      </c>
      <c r="V598" s="531" t="str">
        <f t="shared" si="260"/>
        <v/>
      </c>
      <c r="W598" s="531" t="str">
        <f t="shared" si="261"/>
        <v/>
      </c>
      <c r="X598" s="534" t="str">
        <f t="shared" si="262"/>
        <v/>
      </c>
      <c r="Y598" s="535" t="str">
        <f>IF($A598="","",IF($I598="weekly",$A598+7,EDATE($A598,VLOOKUP($I598,Ref!$B$24:$C$29,2,0))))</f>
        <v/>
      </c>
      <c r="Z598" s="536" t="str">
        <f t="shared" si="263"/>
        <v/>
      </c>
      <c r="AA598" s="531">
        <f t="shared" si="264"/>
        <v>0</v>
      </c>
      <c r="AB598" s="535" t="str">
        <f t="shared" si="252"/>
        <v/>
      </c>
      <c r="AC598" s="537" t="str">
        <f t="shared" si="253"/>
        <v/>
      </c>
      <c r="AD598" s="538" t="str">
        <f t="shared" ca="1" si="254"/>
        <v/>
      </c>
      <c r="AE598" s="537">
        <f t="shared" ca="1" si="255"/>
        <v>0</v>
      </c>
      <c r="AF598" s="539" t="str">
        <f t="shared" ca="1" si="265"/>
        <v/>
      </c>
      <c r="AG598" s="531" t="str">
        <f t="shared" ca="1" si="266"/>
        <v/>
      </c>
      <c r="AH598" s="531" t="str">
        <f t="shared" ca="1" si="267"/>
        <v/>
      </c>
      <c r="AI598" s="531" t="str">
        <f t="shared" ca="1" si="268"/>
        <v/>
      </c>
      <c r="AJ598" s="531" t="str">
        <f t="shared" si="269"/>
        <v/>
      </c>
      <c r="AK598" s="540">
        <f>SUMIFS('Live Collections'!$S:$S,'Live Collections'!$D:$D,Disbursements!B598,'Live Collections'!$G:$G,Disbursements!C598)</f>
        <v>0</v>
      </c>
      <c r="AL598" s="540">
        <f>SUMIFS('Live Collections'!$T:$T,'Live Collections'!$D:$D,Disbursements!B598,'Live Collections'!$G:$G,Disbursements!C598)</f>
        <v>0</v>
      </c>
      <c r="AM598" s="541">
        <f t="shared" si="270"/>
        <v>0</v>
      </c>
      <c r="AN598" s="542" t="str">
        <f t="shared" si="271"/>
        <v/>
      </c>
      <c r="AO598" s="542" t="str">
        <f t="shared" si="272"/>
        <v/>
      </c>
      <c r="AP598" s="543" t="str">
        <f t="shared" si="273"/>
        <v/>
      </c>
      <c r="AQ598" s="544" t="str">
        <f t="shared" si="274"/>
        <v/>
      </c>
      <c r="AR598" s="545">
        <f t="shared" si="275"/>
        <v>0</v>
      </c>
      <c r="AS598" s="545">
        <f>IFERROR(CEILING($AR598*VLOOKUP($I598,Ref!$B$23:$E$29,4,0),1),0)</f>
        <v>0</v>
      </c>
      <c r="AT598" s="545" t="str">
        <f>IF(A598="","",IF(AP598&lt;=1,"Cleared",IF(AS598=0,"Clean",VLOOKUP($AS598,Ref!$G$23:$H$28,2))))</f>
        <v/>
      </c>
      <c r="AU598" s="546" t="str">
        <f t="shared" si="276"/>
        <v/>
      </c>
    </row>
    <row r="599" spans="1:47" ht="14.25" hidden="1" customHeight="1" x14ac:dyDescent="0.15">
      <c r="A599" s="523"/>
      <c r="B599" s="523"/>
      <c r="C599" s="523"/>
      <c r="D599" s="523"/>
      <c r="E599" s="579"/>
      <c r="F599" s="580"/>
      <c r="G599" s="524"/>
      <c r="H599" s="555"/>
      <c r="I599" s="560"/>
      <c r="J599" s="523"/>
      <c r="K599" s="528" t="str">
        <f>IFERROR(VLOOKUP($B599,'Clients-Live'!$A:$C,3,0),"")</f>
        <v/>
      </c>
      <c r="L599" s="528">
        <f>IF(E599="STL",Pricing!$D$38,IF(A599="",0,IF(A599&lt;Pricing!$C$25,Pricing!$D$25,VLOOKUP(Disbursements!$F599,Pricing!$B$29:$D$32,3))))</f>
        <v>0</v>
      </c>
      <c r="M599" s="528">
        <f>IF(E599="STL",0,IF(F599&gt;0,Pricing!$D$21,0))</f>
        <v>0</v>
      </c>
      <c r="N599" s="529">
        <f>IF(E599="STL",F599*Pricing!$D$40,IF(A599&lt;=Pricing!$C$4,0,IF(AND(A599&gt;Pricing!$C$4,Disbursements!A599&lt;=Pricing!$C$5),F599*Pricing!$E$5,IF(AND(A599&gt;Pricing!$C$5,Disbursements!A599&lt;=Pricing!$C$7),VLOOKUP(F599,Pricing!$D$7:$E$8,2)*Disbursements!F599,F599*Pricing!$E$9))))</f>
        <v>0</v>
      </c>
      <c r="O599" s="528">
        <f>IF(E599="STL",0,IF($F599&gt;0,$F599*Pricing!$D$17,0))</f>
        <v>0</v>
      </c>
      <c r="P599" s="530" t="str">
        <f t="shared" si="256"/>
        <v/>
      </c>
      <c r="Q599" s="531" t="str">
        <f>IF($A599="","",$G599/VLOOKUP($I599,Ref!$B$23:$D$29,2,0))</f>
        <v/>
      </c>
      <c r="R599" s="530" t="str">
        <f t="shared" si="257"/>
        <v/>
      </c>
      <c r="S599" s="532" t="str">
        <f t="shared" si="251"/>
        <v/>
      </c>
      <c r="T599" s="531" t="str">
        <f t="shared" si="258"/>
        <v/>
      </c>
      <c r="U599" s="533">
        <f t="shared" si="259"/>
        <v>0</v>
      </c>
      <c r="V599" s="531" t="str">
        <f t="shared" si="260"/>
        <v/>
      </c>
      <c r="W599" s="531" t="str">
        <f t="shared" si="261"/>
        <v/>
      </c>
      <c r="X599" s="534" t="str">
        <f t="shared" si="262"/>
        <v/>
      </c>
      <c r="Y599" s="535" t="str">
        <f>IF($A599="","",IF($I599="weekly",$A599+7,EDATE($A599,VLOOKUP($I599,Ref!$B$24:$C$29,2,0))))</f>
        <v/>
      </c>
      <c r="Z599" s="536" t="str">
        <f t="shared" si="263"/>
        <v/>
      </c>
      <c r="AA599" s="531">
        <f t="shared" si="264"/>
        <v>0</v>
      </c>
      <c r="AB599" s="535" t="str">
        <f t="shared" si="252"/>
        <v/>
      </c>
      <c r="AC599" s="537" t="str">
        <f t="shared" si="253"/>
        <v/>
      </c>
      <c r="AD599" s="538" t="str">
        <f t="shared" ca="1" si="254"/>
        <v/>
      </c>
      <c r="AE599" s="537">
        <f t="shared" ca="1" si="255"/>
        <v>0</v>
      </c>
      <c r="AF599" s="539" t="str">
        <f t="shared" ca="1" si="265"/>
        <v/>
      </c>
      <c r="AG599" s="531" t="str">
        <f t="shared" ca="1" si="266"/>
        <v/>
      </c>
      <c r="AH599" s="531" t="str">
        <f t="shared" ca="1" si="267"/>
        <v/>
      </c>
      <c r="AI599" s="531" t="str">
        <f t="shared" ca="1" si="268"/>
        <v/>
      </c>
      <c r="AJ599" s="531" t="str">
        <f t="shared" si="269"/>
        <v/>
      </c>
      <c r="AK599" s="540">
        <f>SUMIFS('Live Collections'!$S:$S,'Live Collections'!$D:$D,Disbursements!B599,'Live Collections'!$G:$G,Disbursements!C599)</f>
        <v>0</v>
      </c>
      <c r="AL599" s="540">
        <f>SUMIFS('Live Collections'!$T:$T,'Live Collections'!$D:$D,Disbursements!B599,'Live Collections'!$G:$G,Disbursements!C599)</f>
        <v>0</v>
      </c>
      <c r="AM599" s="541">
        <f t="shared" si="270"/>
        <v>0</v>
      </c>
      <c r="AN599" s="542" t="str">
        <f t="shared" si="271"/>
        <v/>
      </c>
      <c r="AO599" s="542" t="str">
        <f t="shared" si="272"/>
        <v/>
      </c>
      <c r="AP599" s="543" t="str">
        <f t="shared" si="273"/>
        <v/>
      </c>
      <c r="AQ599" s="544" t="str">
        <f t="shared" si="274"/>
        <v/>
      </c>
      <c r="AR599" s="545">
        <f t="shared" si="275"/>
        <v>0</v>
      </c>
      <c r="AS599" s="545">
        <f>IFERROR(CEILING($AR599*VLOOKUP($I599,Ref!$B$23:$E$29,4,0),1),0)</f>
        <v>0</v>
      </c>
      <c r="AT599" s="545" t="str">
        <f>IF(A599="","",IF(AP599&lt;=1,"Cleared",IF(AS599=0,"Clean",VLOOKUP($AS599,Ref!$G$23:$H$28,2))))</f>
        <v/>
      </c>
      <c r="AU599" s="546" t="str">
        <f t="shared" si="276"/>
        <v/>
      </c>
    </row>
    <row r="600" spans="1:47" ht="14.25" hidden="1" customHeight="1" x14ac:dyDescent="0.15">
      <c r="A600" s="523"/>
      <c r="B600" s="523"/>
      <c r="C600" s="523"/>
      <c r="D600" s="523"/>
      <c r="E600" s="579"/>
      <c r="F600" s="580"/>
      <c r="G600" s="524"/>
      <c r="H600" s="555"/>
      <c r="I600" s="560"/>
      <c r="J600" s="523"/>
      <c r="K600" s="528" t="str">
        <f>IFERROR(VLOOKUP($B600,'Clients-Live'!$A:$C,3,0),"")</f>
        <v/>
      </c>
      <c r="L600" s="528">
        <f>IF(E600="STL",Pricing!$D$38,IF(A600="",0,IF(A600&lt;Pricing!$C$25,Pricing!$D$25,VLOOKUP(Disbursements!$F600,Pricing!$B$29:$D$32,3))))</f>
        <v>0</v>
      </c>
      <c r="M600" s="528">
        <f>IF(E600="STL",0,IF(F600&gt;0,Pricing!$D$21,0))</f>
        <v>0</v>
      </c>
      <c r="N600" s="529">
        <f>IF(E600="STL",F600*Pricing!$D$40,IF(A600&lt;=Pricing!$C$4,0,IF(AND(A600&gt;Pricing!$C$4,Disbursements!A600&lt;=Pricing!$C$5),F600*Pricing!$E$5,IF(AND(A600&gt;Pricing!$C$5,Disbursements!A600&lt;=Pricing!$C$7),VLOOKUP(F600,Pricing!$D$7:$E$8,2)*Disbursements!F600,F600*Pricing!$E$9))))</f>
        <v>0</v>
      </c>
      <c r="O600" s="528">
        <f>IF(E600="STL",0,IF($F600&gt;0,$F600*Pricing!$D$17,0))</f>
        <v>0</v>
      </c>
      <c r="P600" s="530" t="str">
        <f t="shared" si="256"/>
        <v/>
      </c>
      <c r="Q600" s="531" t="str">
        <f>IF($A600="","",$G600/VLOOKUP($I600,Ref!$B$23:$D$29,2,0))</f>
        <v/>
      </c>
      <c r="R600" s="530" t="str">
        <f t="shared" si="257"/>
        <v/>
      </c>
      <c r="S600" s="532" t="str">
        <f t="shared" si="251"/>
        <v/>
      </c>
      <c r="T600" s="531" t="str">
        <f t="shared" si="258"/>
        <v/>
      </c>
      <c r="U600" s="533">
        <f t="shared" si="259"/>
        <v>0</v>
      </c>
      <c r="V600" s="531" t="str">
        <f t="shared" si="260"/>
        <v/>
      </c>
      <c r="W600" s="531" t="str">
        <f t="shared" si="261"/>
        <v/>
      </c>
      <c r="X600" s="534" t="str">
        <f t="shared" si="262"/>
        <v/>
      </c>
      <c r="Y600" s="535" t="str">
        <f>IF($A600="","",IF($I600="weekly",$A600+7,EDATE($A600,VLOOKUP($I600,Ref!$B$24:$C$29,2,0))))</f>
        <v/>
      </c>
      <c r="Z600" s="536" t="str">
        <f t="shared" si="263"/>
        <v/>
      </c>
      <c r="AA600" s="531">
        <f t="shared" si="264"/>
        <v>0</v>
      </c>
      <c r="AB600" s="535" t="str">
        <f t="shared" si="252"/>
        <v/>
      </c>
      <c r="AC600" s="537" t="str">
        <f t="shared" si="253"/>
        <v/>
      </c>
      <c r="AD600" s="538" t="str">
        <f t="shared" ca="1" si="254"/>
        <v/>
      </c>
      <c r="AE600" s="537">
        <f t="shared" ca="1" si="255"/>
        <v>0</v>
      </c>
      <c r="AF600" s="539" t="str">
        <f t="shared" ca="1" si="265"/>
        <v/>
      </c>
      <c r="AG600" s="531" t="str">
        <f t="shared" ca="1" si="266"/>
        <v/>
      </c>
      <c r="AH600" s="531" t="str">
        <f t="shared" ca="1" si="267"/>
        <v/>
      </c>
      <c r="AI600" s="531" t="str">
        <f t="shared" ca="1" si="268"/>
        <v/>
      </c>
      <c r="AJ600" s="531" t="str">
        <f t="shared" si="269"/>
        <v/>
      </c>
      <c r="AK600" s="540">
        <f>SUMIFS('Live Collections'!$S:$S,'Live Collections'!$D:$D,Disbursements!B600,'Live Collections'!$G:$G,Disbursements!C600)</f>
        <v>0</v>
      </c>
      <c r="AL600" s="540">
        <f>SUMIFS('Live Collections'!$T:$T,'Live Collections'!$D:$D,Disbursements!B600,'Live Collections'!$G:$G,Disbursements!C600)</f>
        <v>0</v>
      </c>
      <c r="AM600" s="541">
        <f t="shared" si="270"/>
        <v>0</v>
      </c>
      <c r="AN600" s="542" t="str">
        <f t="shared" si="271"/>
        <v/>
      </c>
      <c r="AO600" s="542" t="str">
        <f t="shared" si="272"/>
        <v/>
      </c>
      <c r="AP600" s="543" t="str">
        <f t="shared" si="273"/>
        <v/>
      </c>
      <c r="AQ600" s="544" t="str">
        <f t="shared" si="274"/>
        <v/>
      </c>
      <c r="AR600" s="545">
        <f t="shared" si="275"/>
        <v>0</v>
      </c>
      <c r="AS600" s="545">
        <f>IFERROR(CEILING($AR600*VLOOKUP($I600,Ref!$B$23:$E$29,4,0),1),0)</f>
        <v>0</v>
      </c>
      <c r="AT600" s="545" t="str">
        <f>IF(A600="","",IF(AP600&lt;=1,"Cleared",IF(AS600=0,"Clean",VLOOKUP($AS600,Ref!$G$23:$H$28,2))))</f>
        <v/>
      </c>
      <c r="AU600" s="546" t="str">
        <f t="shared" si="276"/>
        <v/>
      </c>
    </row>
    <row r="601" spans="1:47" ht="14.25" hidden="1" customHeight="1" x14ac:dyDescent="0.15">
      <c r="A601" s="523"/>
      <c r="B601" s="523"/>
      <c r="C601" s="523"/>
      <c r="D601" s="523"/>
      <c r="E601" s="579"/>
      <c r="F601" s="580"/>
      <c r="G601" s="524"/>
      <c r="H601" s="555"/>
      <c r="I601" s="560"/>
      <c r="J601" s="523"/>
      <c r="K601" s="528" t="str">
        <f>IFERROR(VLOOKUP($B601,'Clients-Live'!$A:$C,3,0),"")</f>
        <v/>
      </c>
      <c r="L601" s="528">
        <f>IF(E601="STL",Pricing!$D$38,IF(A601="",0,IF(A601&lt;Pricing!$C$25,Pricing!$D$25,VLOOKUP(Disbursements!$F601,Pricing!$B$29:$D$32,3))))</f>
        <v>0</v>
      </c>
      <c r="M601" s="528">
        <f>IF(E601="STL",0,IF(F601&gt;0,Pricing!$D$21,0))</f>
        <v>0</v>
      </c>
      <c r="N601" s="529">
        <f>IF(E601="STL",F601*Pricing!$D$40,IF(A601&lt;=Pricing!$C$4,0,IF(AND(A601&gt;Pricing!$C$4,Disbursements!A601&lt;=Pricing!$C$5),F601*Pricing!$E$5,IF(AND(A601&gt;Pricing!$C$5,Disbursements!A601&lt;=Pricing!$C$7),VLOOKUP(F601,Pricing!$D$7:$E$8,2)*Disbursements!F601,F601*Pricing!$E$9))))</f>
        <v>0</v>
      </c>
      <c r="O601" s="528">
        <f>IF(E601="STL",0,IF($F601&gt;0,$F601*Pricing!$D$17,0))</f>
        <v>0</v>
      </c>
      <c r="P601" s="530" t="str">
        <f t="shared" si="256"/>
        <v/>
      </c>
      <c r="Q601" s="531" t="str">
        <f>IF($A601="","",$G601/VLOOKUP($I601,Ref!$B$23:$D$29,2,0))</f>
        <v/>
      </c>
      <c r="R601" s="530" t="str">
        <f t="shared" si="257"/>
        <v/>
      </c>
      <c r="S601" s="532" t="str">
        <f t="shared" si="251"/>
        <v/>
      </c>
      <c r="T601" s="531" t="str">
        <f t="shared" si="258"/>
        <v/>
      </c>
      <c r="U601" s="533">
        <f t="shared" si="259"/>
        <v>0</v>
      </c>
      <c r="V601" s="531" t="str">
        <f t="shared" si="260"/>
        <v/>
      </c>
      <c r="W601" s="531" t="str">
        <f t="shared" si="261"/>
        <v/>
      </c>
      <c r="X601" s="534" t="str">
        <f t="shared" si="262"/>
        <v/>
      </c>
      <c r="Y601" s="535" t="str">
        <f>IF($A601="","",IF($I601="weekly",$A601+7,EDATE($A601,VLOOKUP($I601,Ref!$B$24:$C$29,2,0))))</f>
        <v/>
      </c>
      <c r="Z601" s="536" t="str">
        <f t="shared" si="263"/>
        <v/>
      </c>
      <c r="AA601" s="531">
        <f t="shared" si="264"/>
        <v>0</v>
      </c>
      <c r="AB601" s="535" t="str">
        <f t="shared" si="252"/>
        <v/>
      </c>
      <c r="AC601" s="537" t="str">
        <f t="shared" si="253"/>
        <v/>
      </c>
      <c r="AD601" s="538" t="str">
        <f t="shared" ca="1" si="254"/>
        <v/>
      </c>
      <c r="AE601" s="537">
        <f t="shared" ca="1" si="255"/>
        <v>0</v>
      </c>
      <c r="AF601" s="539" t="str">
        <f t="shared" ca="1" si="265"/>
        <v/>
      </c>
      <c r="AG601" s="531" t="str">
        <f t="shared" ca="1" si="266"/>
        <v/>
      </c>
      <c r="AH601" s="531" t="str">
        <f t="shared" ca="1" si="267"/>
        <v/>
      </c>
      <c r="AI601" s="531" t="str">
        <f t="shared" ca="1" si="268"/>
        <v/>
      </c>
      <c r="AJ601" s="531" t="str">
        <f t="shared" si="269"/>
        <v/>
      </c>
      <c r="AK601" s="540">
        <f>SUMIFS('Live Collections'!$S:$S,'Live Collections'!$D:$D,Disbursements!B601,'Live Collections'!$G:$G,Disbursements!C601)</f>
        <v>0</v>
      </c>
      <c r="AL601" s="540">
        <f>SUMIFS('Live Collections'!$T:$T,'Live Collections'!$D:$D,Disbursements!B601,'Live Collections'!$G:$G,Disbursements!C601)</f>
        <v>0</v>
      </c>
      <c r="AM601" s="541">
        <f t="shared" si="270"/>
        <v>0</v>
      </c>
      <c r="AN601" s="542" t="str">
        <f t="shared" si="271"/>
        <v/>
      </c>
      <c r="AO601" s="542" t="str">
        <f t="shared" si="272"/>
        <v/>
      </c>
      <c r="AP601" s="543" t="str">
        <f t="shared" si="273"/>
        <v/>
      </c>
      <c r="AQ601" s="544" t="str">
        <f t="shared" si="274"/>
        <v/>
      </c>
      <c r="AR601" s="545">
        <f t="shared" si="275"/>
        <v>0</v>
      </c>
      <c r="AS601" s="545">
        <f>IFERROR(CEILING($AR601*VLOOKUP($I601,Ref!$B$23:$E$29,4,0),1),0)</f>
        <v>0</v>
      </c>
      <c r="AT601" s="545" t="str">
        <f>IF(A601="","",IF(AP601&lt;=1,"Cleared",IF(AS601=0,"Clean",VLOOKUP($AS601,Ref!$G$23:$H$28,2))))</f>
        <v/>
      </c>
      <c r="AU601" s="546" t="str">
        <f t="shared" si="276"/>
        <v/>
      </c>
    </row>
    <row r="602" spans="1:47" ht="14.25" hidden="1" customHeight="1" x14ac:dyDescent="0.15">
      <c r="A602" s="523"/>
      <c r="B602" s="523"/>
      <c r="C602" s="523"/>
      <c r="D602" s="523"/>
      <c r="E602" s="579"/>
      <c r="F602" s="580"/>
      <c r="G602" s="524"/>
      <c r="H602" s="555"/>
      <c r="I602" s="560"/>
      <c r="J602" s="523"/>
      <c r="K602" s="528" t="str">
        <f>IFERROR(VLOOKUP($B602,'Clients-Live'!$A:$C,3,0),"")</f>
        <v/>
      </c>
      <c r="L602" s="528">
        <f>IF(E602="STL",Pricing!$D$38,IF(A602="",0,IF(A602&lt;Pricing!$C$25,Pricing!$D$25,VLOOKUP(Disbursements!$F602,Pricing!$B$29:$D$32,3))))</f>
        <v>0</v>
      </c>
      <c r="M602" s="528">
        <f>IF(E602="STL",0,IF(F602&gt;0,Pricing!$D$21,0))</f>
        <v>0</v>
      </c>
      <c r="N602" s="529">
        <f>IF(E602="STL",F602*Pricing!$D$40,IF(A602&lt;=Pricing!$C$4,0,IF(AND(A602&gt;Pricing!$C$4,Disbursements!A602&lt;=Pricing!$C$5),F602*Pricing!$E$5,IF(AND(A602&gt;Pricing!$C$5,Disbursements!A602&lt;=Pricing!$C$7),VLOOKUP(F602,Pricing!$D$7:$E$8,2)*Disbursements!F602,F602*Pricing!$E$9))))</f>
        <v>0</v>
      </c>
      <c r="O602" s="528">
        <f>IF(E602="STL",0,IF($F602&gt;0,$F602*Pricing!$D$17,0))</f>
        <v>0</v>
      </c>
      <c r="P602" s="530" t="str">
        <f t="shared" si="256"/>
        <v/>
      </c>
      <c r="Q602" s="531" t="str">
        <f>IF($A602="","",$G602/VLOOKUP($I602,Ref!$B$23:$D$29,2,0))</f>
        <v/>
      </c>
      <c r="R602" s="530" t="str">
        <f t="shared" si="257"/>
        <v/>
      </c>
      <c r="S602" s="532" t="str">
        <f t="shared" si="251"/>
        <v/>
      </c>
      <c r="T602" s="531" t="str">
        <f t="shared" si="258"/>
        <v/>
      </c>
      <c r="U602" s="533">
        <f t="shared" si="259"/>
        <v>0</v>
      </c>
      <c r="V602" s="531" t="str">
        <f t="shared" si="260"/>
        <v/>
      </c>
      <c r="W602" s="531" t="str">
        <f t="shared" si="261"/>
        <v/>
      </c>
      <c r="X602" s="534" t="str">
        <f t="shared" si="262"/>
        <v/>
      </c>
      <c r="Y602" s="535" t="str">
        <f>IF($A602="","",IF($I602="weekly",$A602+7,EDATE($A602,VLOOKUP($I602,Ref!$B$24:$C$29,2,0))))</f>
        <v/>
      </c>
      <c r="Z602" s="536" t="str">
        <f t="shared" si="263"/>
        <v/>
      </c>
      <c r="AA602" s="531">
        <f t="shared" si="264"/>
        <v>0</v>
      </c>
      <c r="AB602" s="535" t="str">
        <f t="shared" si="252"/>
        <v/>
      </c>
      <c r="AC602" s="537" t="str">
        <f t="shared" si="253"/>
        <v/>
      </c>
      <c r="AD602" s="538" t="str">
        <f t="shared" ca="1" si="254"/>
        <v/>
      </c>
      <c r="AE602" s="537">
        <f t="shared" ca="1" si="255"/>
        <v>0</v>
      </c>
      <c r="AF602" s="539" t="str">
        <f t="shared" ca="1" si="265"/>
        <v/>
      </c>
      <c r="AG602" s="531" t="str">
        <f t="shared" ca="1" si="266"/>
        <v/>
      </c>
      <c r="AH602" s="531" t="str">
        <f t="shared" ca="1" si="267"/>
        <v/>
      </c>
      <c r="AI602" s="531" t="str">
        <f t="shared" ca="1" si="268"/>
        <v/>
      </c>
      <c r="AJ602" s="531" t="str">
        <f t="shared" si="269"/>
        <v/>
      </c>
      <c r="AK602" s="540">
        <f>SUMIFS('Live Collections'!$S:$S,'Live Collections'!$D:$D,Disbursements!B602,'Live Collections'!$G:$G,Disbursements!C602)</f>
        <v>0</v>
      </c>
      <c r="AL602" s="540">
        <f>SUMIFS('Live Collections'!$T:$T,'Live Collections'!$D:$D,Disbursements!B602,'Live Collections'!$G:$G,Disbursements!C602)</f>
        <v>0</v>
      </c>
      <c r="AM602" s="541">
        <f t="shared" si="270"/>
        <v>0</v>
      </c>
      <c r="AN602" s="542" t="str">
        <f t="shared" si="271"/>
        <v/>
      </c>
      <c r="AO602" s="542" t="str">
        <f t="shared" si="272"/>
        <v/>
      </c>
      <c r="AP602" s="543" t="str">
        <f t="shared" si="273"/>
        <v/>
      </c>
      <c r="AQ602" s="544" t="str">
        <f t="shared" si="274"/>
        <v/>
      </c>
      <c r="AR602" s="545">
        <f t="shared" si="275"/>
        <v>0</v>
      </c>
      <c r="AS602" s="545">
        <f>IFERROR(CEILING($AR602*VLOOKUP($I602,Ref!$B$23:$E$29,4,0),1),0)</f>
        <v>0</v>
      </c>
      <c r="AT602" s="545" t="str">
        <f>IF(A602="","",IF(AP602&lt;=1,"Cleared",IF(AS602=0,"Clean",VLOOKUP($AS602,Ref!$G$23:$H$28,2))))</f>
        <v/>
      </c>
      <c r="AU602" s="546" t="str">
        <f t="shared" si="276"/>
        <v/>
      </c>
    </row>
    <row r="603" spans="1:47" ht="14.25" hidden="1" customHeight="1" x14ac:dyDescent="0.15">
      <c r="A603" s="523"/>
      <c r="B603" s="523"/>
      <c r="C603" s="523"/>
      <c r="D603" s="523"/>
      <c r="E603" s="579"/>
      <c r="F603" s="580"/>
      <c r="G603" s="524"/>
      <c r="H603" s="555"/>
      <c r="I603" s="560"/>
      <c r="J603" s="523"/>
      <c r="K603" s="528" t="str">
        <f>IFERROR(VLOOKUP($B603,'Clients-Live'!$A:$C,3,0),"")</f>
        <v/>
      </c>
      <c r="L603" s="528">
        <f>IF(E603="STL",Pricing!$D$38,IF(A603="",0,IF(A603&lt;Pricing!$C$25,Pricing!$D$25,VLOOKUP(Disbursements!$F603,Pricing!$B$29:$D$32,3))))</f>
        <v>0</v>
      </c>
      <c r="M603" s="528">
        <f>IF(E603="STL",0,IF(F603&gt;0,Pricing!$D$21,0))</f>
        <v>0</v>
      </c>
      <c r="N603" s="529">
        <f>IF(E603="STL",F603*Pricing!$D$40,IF(A603&lt;=Pricing!$C$4,0,IF(AND(A603&gt;Pricing!$C$4,Disbursements!A603&lt;=Pricing!$C$5),F603*Pricing!$E$5,IF(AND(A603&gt;Pricing!$C$5,Disbursements!A603&lt;=Pricing!$C$7),VLOOKUP(F603,Pricing!$D$7:$E$8,2)*Disbursements!F603,F603*Pricing!$E$9))))</f>
        <v>0</v>
      </c>
      <c r="O603" s="528">
        <f>IF(E603="STL",0,IF($F603&gt;0,$F603*Pricing!$D$17,0))</f>
        <v>0</v>
      </c>
      <c r="P603" s="530" t="str">
        <f t="shared" si="256"/>
        <v/>
      </c>
      <c r="Q603" s="531" t="str">
        <f>IF($A603="","",$G603/VLOOKUP($I603,Ref!$B$23:$D$29,2,0))</f>
        <v/>
      </c>
      <c r="R603" s="530" t="str">
        <f t="shared" si="257"/>
        <v/>
      </c>
      <c r="S603" s="532" t="str">
        <f t="shared" si="251"/>
        <v/>
      </c>
      <c r="T603" s="531" t="str">
        <f t="shared" si="258"/>
        <v/>
      </c>
      <c r="U603" s="533">
        <f t="shared" si="259"/>
        <v>0</v>
      </c>
      <c r="V603" s="531" t="str">
        <f t="shared" si="260"/>
        <v/>
      </c>
      <c r="W603" s="531" t="str">
        <f t="shared" si="261"/>
        <v/>
      </c>
      <c r="X603" s="534" t="str">
        <f t="shared" si="262"/>
        <v/>
      </c>
      <c r="Y603" s="535" t="str">
        <f>IF($A603="","",IF($I603="weekly",$A603+7,EDATE($A603,VLOOKUP($I603,Ref!$B$24:$C$29,2,0))))</f>
        <v/>
      </c>
      <c r="Z603" s="536" t="str">
        <f t="shared" si="263"/>
        <v/>
      </c>
      <c r="AA603" s="531">
        <f t="shared" si="264"/>
        <v>0</v>
      </c>
      <c r="AB603" s="535" t="str">
        <f t="shared" si="252"/>
        <v/>
      </c>
      <c r="AC603" s="537" t="str">
        <f t="shared" si="253"/>
        <v/>
      </c>
      <c r="AD603" s="538" t="str">
        <f t="shared" ca="1" si="254"/>
        <v/>
      </c>
      <c r="AE603" s="537">
        <f t="shared" ca="1" si="255"/>
        <v>0</v>
      </c>
      <c r="AF603" s="539" t="str">
        <f t="shared" ca="1" si="265"/>
        <v/>
      </c>
      <c r="AG603" s="531" t="str">
        <f t="shared" ca="1" si="266"/>
        <v/>
      </c>
      <c r="AH603" s="531" t="str">
        <f t="shared" ca="1" si="267"/>
        <v/>
      </c>
      <c r="AI603" s="531" t="str">
        <f t="shared" ca="1" si="268"/>
        <v/>
      </c>
      <c r="AJ603" s="531" t="str">
        <f t="shared" si="269"/>
        <v/>
      </c>
      <c r="AK603" s="540">
        <f>SUMIFS('Live Collections'!$S:$S,'Live Collections'!$D:$D,Disbursements!B603,'Live Collections'!$G:$G,Disbursements!C603)</f>
        <v>0</v>
      </c>
      <c r="AL603" s="540">
        <f>SUMIFS('Live Collections'!$T:$T,'Live Collections'!$D:$D,Disbursements!B603,'Live Collections'!$G:$G,Disbursements!C603)</f>
        <v>0</v>
      </c>
      <c r="AM603" s="541">
        <f t="shared" si="270"/>
        <v>0</v>
      </c>
      <c r="AN603" s="542" t="str">
        <f t="shared" si="271"/>
        <v/>
      </c>
      <c r="AO603" s="542" t="str">
        <f t="shared" si="272"/>
        <v/>
      </c>
      <c r="AP603" s="543" t="str">
        <f t="shared" si="273"/>
        <v/>
      </c>
      <c r="AQ603" s="544" t="str">
        <f t="shared" si="274"/>
        <v/>
      </c>
      <c r="AR603" s="545">
        <f t="shared" si="275"/>
        <v>0</v>
      </c>
      <c r="AS603" s="545">
        <f>IFERROR(CEILING($AR603*VLOOKUP($I603,Ref!$B$23:$E$29,4,0),1),0)</f>
        <v>0</v>
      </c>
      <c r="AT603" s="545" t="str">
        <f>IF(A603="","",IF(AP603&lt;=1,"Cleared",IF(AS603=0,"Clean",VLOOKUP($AS603,Ref!$G$23:$H$28,2))))</f>
        <v/>
      </c>
      <c r="AU603" s="546" t="str">
        <f t="shared" si="276"/>
        <v/>
      </c>
    </row>
    <row r="604" spans="1:47" ht="14.25" hidden="1" customHeight="1" x14ac:dyDescent="0.15">
      <c r="A604" s="523"/>
      <c r="B604" s="523"/>
      <c r="C604" s="523"/>
      <c r="D604" s="523"/>
      <c r="E604" s="579"/>
      <c r="F604" s="580"/>
      <c r="G604" s="524"/>
      <c r="H604" s="555"/>
      <c r="I604" s="560"/>
      <c r="J604" s="523"/>
      <c r="K604" s="528" t="str">
        <f>IFERROR(VLOOKUP($B604,'Clients-Live'!$A:$C,3,0),"")</f>
        <v/>
      </c>
      <c r="L604" s="528">
        <f>IF(E604="STL",Pricing!$D$38,IF(A604="",0,IF(A604&lt;Pricing!$C$25,Pricing!$D$25,VLOOKUP(Disbursements!$F604,Pricing!$B$29:$D$32,3))))</f>
        <v>0</v>
      </c>
      <c r="M604" s="528">
        <f>IF(E604="STL",0,IF(F604&gt;0,Pricing!$D$21,0))</f>
        <v>0</v>
      </c>
      <c r="N604" s="529">
        <f>IF(E604="STL",F604*Pricing!$D$40,IF(A604&lt;=Pricing!$C$4,0,IF(AND(A604&gt;Pricing!$C$4,Disbursements!A604&lt;=Pricing!$C$5),F604*Pricing!$E$5,IF(AND(A604&gt;Pricing!$C$5,Disbursements!A604&lt;=Pricing!$C$7),VLOOKUP(F604,Pricing!$D$7:$E$8,2)*Disbursements!F604,F604*Pricing!$E$9))))</f>
        <v>0</v>
      </c>
      <c r="O604" s="528">
        <f>IF(E604="STL",0,IF($F604&gt;0,$F604*Pricing!$D$17,0))</f>
        <v>0</v>
      </c>
      <c r="P604" s="530" t="str">
        <f t="shared" si="256"/>
        <v/>
      </c>
      <c r="Q604" s="531" t="str">
        <f>IF($A604="","",$G604/VLOOKUP($I604,Ref!$B$23:$D$29,2,0))</f>
        <v/>
      </c>
      <c r="R604" s="530" t="str">
        <f t="shared" si="257"/>
        <v/>
      </c>
      <c r="S604" s="532" t="str">
        <f t="shared" si="251"/>
        <v/>
      </c>
      <c r="T604" s="531" t="str">
        <f t="shared" si="258"/>
        <v/>
      </c>
      <c r="U604" s="533">
        <f t="shared" si="259"/>
        <v>0</v>
      </c>
      <c r="V604" s="531" t="str">
        <f t="shared" si="260"/>
        <v/>
      </c>
      <c r="W604" s="531" t="str">
        <f t="shared" si="261"/>
        <v/>
      </c>
      <c r="X604" s="534" t="str">
        <f t="shared" si="262"/>
        <v/>
      </c>
      <c r="Y604" s="535" t="str">
        <f>IF($A604="","",IF($I604="weekly",$A604+7,EDATE($A604,VLOOKUP($I604,Ref!$B$24:$C$29,2,0))))</f>
        <v/>
      </c>
      <c r="Z604" s="536" t="str">
        <f t="shared" si="263"/>
        <v/>
      </c>
      <c r="AA604" s="531">
        <f t="shared" si="264"/>
        <v>0</v>
      </c>
      <c r="AB604" s="535" t="str">
        <f t="shared" si="252"/>
        <v/>
      </c>
      <c r="AC604" s="537" t="str">
        <f t="shared" si="253"/>
        <v/>
      </c>
      <c r="AD604" s="538" t="str">
        <f t="shared" ca="1" si="254"/>
        <v/>
      </c>
      <c r="AE604" s="537">
        <f t="shared" ca="1" si="255"/>
        <v>0</v>
      </c>
      <c r="AF604" s="539" t="str">
        <f t="shared" ca="1" si="265"/>
        <v/>
      </c>
      <c r="AG604" s="531" t="str">
        <f t="shared" ca="1" si="266"/>
        <v/>
      </c>
      <c r="AH604" s="531" t="str">
        <f t="shared" ca="1" si="267"/>
        <v/>
      </c>
      <c r="AI604" s="531" t="str">
        <f t="shared" ca="1" si="268"/>
        <v/>
      </c>
      <c r="AJ604" s="531" t="str">
        <f t="shared" si="269"/>
        <v/>
      </c>
      <c r="AK604" s="540">
        <f>SUMIFS('Live Collections'!$S:$S,'Live Collections'!$D:$D,Disbursements!B604,'Live Collections'!$G:$G,Disbursements!C604)</f>
        <v>0</v>
      </c>
      <c r="AL604" s="540">
        <f>SUMIFS('Live Collections'!$T:$T,'Live Collections'!$D:$D,Disbursements!B604,'Live Collections'!$G:$G,Disbursements!C604)</f>
        <v>0</v>
      </c>
      <c r="AM604" s="541">
        <f t="shared" si="270"/>
        <v>0</v>
      </c>
      <c r="AN604" s="542" t="str">
        <f t="shared" si="271"/>
        <v/>
      </c>
      <c r="AO604" s="542" t="str">
        <f t="shared" si="272"/>
        <v/>
      </c>
      <c r="AP604" s="543" t="str">
        <f t="shared" si="273"/>
        <v/>
      </c>
      <c r="AQ604" s="544" t="str">
        <f t="shared" si="274"/>
        <v/>
      </c>
      <c r="AR604" s="545">
        <f t="shared" si="275"/>
        <v>0</v>
      </c>
      <c r="AS604" s="545">
        <f>IFERROR(CEILING($AR604*VLOOKUP($I604,Ref!$B$23:$E$29,4,0),1),0)</f>
        <v>0</v>
      </c>
      <c r="AT604" s="545" t="str">
        <f>IF(A604="","",IF(AP604&lt;=1,"Cleared",IF(AS604=0,"Clean",VLOOKUP($AS604,Ref!$G$23:$H$28,2))))</f>
        <v/>
      </c>
      <c r="AU604" s="546" t="str">
        <f t="shared" si="276"/>
        <v/>
      </c>
    </row>
    <row r="605" spans="1:47" ht="14.25" hidden="1" customHeight="1" x14ac:dyDescent="0.15">
      <c r="A605" s="523"/>
      <c r="B605" s="523"/>
      <c r="C605" s="523"/>
      <c r="D605" s="523"/>
      <c r="E605" s="579"/>
      <c r="F605" s="580"/>
      <c r="G605" s="524"/>
      <c r="H605" s="555"/>
      <c r="I605" s="560"/>
      <c r="J605" s="523"/>
      <c r="K605" s="528" t="str">
        <f>IFERROR(VLOOKUP($B605,'Clients-Live'!$A:$C,3,0),"")</f>
        <v/>
      </c>
      <c r="L605" s="528">
        <f>IF(E605="STL",Pricing!$D$38,IF(A605="",0,IF(A605&lt;Pricing!$C$25,Pricing!$D$25,VLOOKUP(Disbursements!$F605,Pricing!$B$29:$D$32,3))))</f>
        <v>0</v>
      </c>
      <c r="M605" s="528">
        <f>IF(E605="STL",0,IF(F605&gt;0,Pricing!$D$21,0))</f>
        <v>0</v>
      </c>
      <c r="N605" s="529">
        <f>IF(E605="STL",F605*Pricing!$D$40,IF(A605&lt;=Pricing!$C$4,0,IF(AND(A605&gt;Pricing!$C$4,Disbursements!A605&lt;=Pricing!$C$5),F605*Pricing!$E$5,IF(AND(A605&gt;Pricing!$C$5,Disbursements!A605&lt;=Pricing!$C$7),VLOOKUP(F605,Pricing!$D$7:$E$8,2)*Disbursements!F605,F605*Pricing!$E$9))))</f>
        <v>0</v>
      </c>
      <c r="O605" s="528">
        <f>IF(E605="STL",0,IF($F605&gt;0,$F605*Pricing!$D$17,0))</f>
        <v>0</v>
      </c>
      <c r="P605" s="530" t="str">
        <f t="shared" si="256"/>
        <v/>
      </c>
      <c r="Q605" s="531" t="str">
        <f>IF($A605="","",$G605/VLOOKUP($I605,Ref!$B$23:$D$29,2,0))</f>
        <v/>
      </c>
      <c r="R605" s="530" t="str">
        <f t="shared" si="257"/>
        <v/>
      </c>
      <c r="S605" s="532" t="str">
        <f t="shared" si="251"/>
        <v/>
      </c>
      <c r="T605" s="531" t="str">
        <f t="shared" si="258"/>
        <v/>
      </c>
      <c r="U605" s="533">
        <f t="shared" si="259"/>
        <v>0</v>
      </c>
      <c r="V605" s="531" t="str">
        <f t="shared" si="260"/>
        <v/>
      </c>
      <c r="W605" s="531" t="str">
        <f t="shared" si="261"/>
        <v/>
      </c>
      <c r="X605" s="534" t="str">
        <f t="shared" si="262"/>
        <v/>
      </c>
      <c r="Y605" s="535" t="str">
        <f>IF($A605="","",IF($I605="weekly",$A605+7,EDATE($A605,VLOOKUP($I605,Ref!$B$24:$C$29,2,0))))</f>
        <v/>
      </c>
      <c r="Z605" s="536" t="str">
        <f t="shared" si="263"/>
        <v/>
      </c>
      <c r="AA605" s="531">
        <f t="shared" si="264"/>
        <v>0</v>
      </c>
      <c r="AB605" s="535" t="str">
        <f t="shared" si="252"/>
        <v/>
      </c>
      <c r="AC605" s="537" t="str">
        <f t="shared" si="253"/>
        <v/>
      </c>
      <c r="AD605" s="538" t="str">
        <f t="shared" ca="1" si="254"/>
        <v/>
      </c>
      <c r="AE605" s="537">
        <f t="shared" ca="1" si="255"/>
        <v>0</v>
      </c>
      <c r="AF605" s="539" t="str">
        <f t="shared" ca="1" si="265"/>
        <v/>
      </c>
      <c r="AG605" s="531" t="str">
        <f t="shared" ca="1" si="266"/>
        <v/>
      </c>
      <c r="AH605" s="531" t="str">
        <f t="shared" ca="1" si="267"/>
        <v/>
      </c>
      <c r="AI605" s="531" t="str">
        <f t="shared" ca="1" si="268"/>
        <v/>
      </c>
      <c r="AJ605" s="531" t="str">
        <f t="shared" si="269"/>
        <v/>
      </c>
      <c r="AK605" s="540">
        <f>SUMIFS('Live Collections'!$S:$S,'Live Collections'!$D:$D,Disbursements!B605,'Live Collections'!$G:$G,Disbursements!C605)</f>
        <v>0</v>
      </c>
      <c r="AL605" s="540">
        <f>SUMIFS('Live Collections'!$T:$T,'Live Collections'!$D:$D,Disbursements!B605,'Live Collections'!$G:$G,Disbursements!C605)</f>
        <v>0</v>
      </c>
      <c r="AM605" s="541">
        <f t="shared" si="270"/>
        <v>0</v>
      </c>
      <c r="AN605" s="542" t="str">
        <f t="shared" si="271"/>
        <v/>
      </c>
      <c r="AO605" s="542" t="str">
        <f t="shared" si="272"/>
        <v/>
      </c>
      <c r="AP605" s="543" t="str">
        <f t="shared" si="273"/>
        <v/>
      </c>
      <c r="AQ605" s="544" t="str">
        <f t="shared" si="274"/>
        <v/>
      </c>
      <c r="AR605" s="545">
        <f t="shared" si="275"/>
        <v>0</v>
      </c>
      <c r="AS605" s="545">
        <f>IFERROR(CEILING($AR605*VLOOKUP($I605,Ref!$B$23:$E$29,4,0),1),0)</f>
        <v>0</v>
      </c>
      <c r="AT605" s="545" t="str">
        <f>IF(A605="","",IF(AP605&lt;=1,"Cleared",IF(AS605=0,"Clean",VLOOKUP($AS605,Ref!$G$23:$H$28,2))))</f>
        <v/>
      </c>
      <c r="AU605" s="546" t="str">
        <f t="shared" si="276"/>
        <v/>
      </c>
    </row>
    <row r="606" spans="1:47" ht="14.25" hidden="1" customHeight="1" x14ac:dyDescent="0.15">
      <c r="A606" s="523"/>
      <c r="B606" s="523"/>
      <c r="C606" s="523"/>
      <c r="D606" s="523"/>
      <c r="E606" s="579"/>
      <c r="F606" s="580"/>
      <c r="G606" s="524"/>
      <c r="H606" s="555"/>
      <c r="I606" s="560"/>
      <c r="J606" s="523"/>
      <c r="K606" s="528" t="str">
        <f>IFERROR(VLOOKUP($B606,'Clients-Live'!$A:$C,3,0),"")</f>
        <v/>
      </c>
      <c r="L606" s="528">
        <f>IF(E606="STL",Pricing!$D$38,IF(A606="",0,IF(A606&lt;Pricing!$C$25,Pricing!$D$25,VLOOKUP(Disbursements!$F606,Pricing!$B$29:$D$32,3))))</f>
        <v>0</v>
      </c>
      <c r="M606" s="528">
        <f>IF(E606="STL",0,IF(F606&gt;0,Pricing!$D$21,0))</f>
        <v>0</v>
      </c>
      <c r="N606" s="529">
        <f>IF(E606="STL",F606*Pricing!$D$40,IF(A606&lt;=Pricing!$C$4,0,IF(AND(A606&gt;Pricing!$C$4,Disbursements!A606&lt;=Pricing!$C$5),F606*Pricing!$E$5,IF(AND(A606&gt;Pricing!$C$5,Disbursements!A606&lt;=Pricing!$C$7),VLOOKUP(F606,Pricing!$D$7:$E$8,2)*Disbursements!F606,F606*Pricing!$E$9))))</f>
        <v>0</v>
      </c>
      <c r="O606" s="528">
        <f>IF(E606="STL",0,IF($F606&gt;0,$F606*Pricing!$D$17,0))</f>
        <v>0</v>
      </c>
      <c r="P606" s="530" t="str">
        <f t="shared" si="256"/>
        <v/>
      </c>
      <c r="Q606" s="531" t="str">
        <f>IF($A606="","",$G606/VLOOKUP($I606,Ref!$B$23:$D$29,2,0))</f>
        <v/>
      </c>
      <c r="R606" s="530" t="str">
        <f t="shared" si="257"/>
        <v/>
      </c>
      <c r="S606" s="532" t="str">
        <f t="shared" si="251"/>
        <v/>
      </c>
      <c r="T606" s="531" t="str">
        <f t="shared" si="258"/>
        <v/>
      </c>
      <c r="U606" s="533">
        <f t="shared" si="259"/>
        <v>0</v>
      </c>
      <c r="V606" s="531" t="str">
        <f t="shared" si="260"/>
        <v/>
      </c>
      <c r="W606" s="531" t="str">
        <f t="shared" si="261"/>
        <v/>
      </c>
      <c r="X606" s="534" t="str">
        <f t="shared" si="262"/>
        <v/>
      </c>
      <c r="Y606" s="535" t="str">
        <f>IF($A606="","",IF($I606="weekly",$A606+7,EDATE($A606,VLOOKUP($I606,Ref!$B$24:$C$29,2,0))))</f>
        <v/>
      </c>
      <c r="Z606" s="536" t="str">
        <f t="shared" si="263"/>
        <v/>
      </c>
      <c r="AA606" s="531">
        <f t="shared" si="264"/>
        <v>0</v>
      </c>
      <c r="AB606" s="535" t="str">
        <f t="shared" si="252"/>
        <v/>
      </c>
      <c r="AC606" s="537" t="str">
        <f t="shared" si="253"/>
        <v/>
      </c>
      <c r="AD606" s="538" t="str">
        <f t="shared" ca="1" si="254"/>
        <v/>
      </c>
      <c r="AE606" s="537">
        <f t="shared" ca="1" si="255"/>
        <v>0</v>
      </c>
      <c r="AF606" s="539" t="str">
        <f t="shared" ca="1" si="265"/>
        <v/>
      </c>
      <c r="AG606" s="531" t="str">
        <f t="shared" ca="1" si="266"/>
        <v/>
      </c>
      <c r="AH606" s="531" t="str">
        <f t="shared" ca="1" si="267"/>
        <v/>
      </c>
      <c r="AI606" s="531" t="str">
        <f t="shared" ca="1" si="268"/>
        <v/>
      </c>
      <c r="AJ606" s="531" t="str">
        <f t="shared" si="269"/>
        <v/>
      </c>
      <c r="AK606" s="540">
        <f>SUMIFS('Live Collections'!$S:$S,'Live Collections'!$D:$D,Disbursements!B606,'Live Collections'!$G:$G,Disbursements!C606)</f>
        <v>0</v>
      </c>
      <c r="AL606" s="540">
        <f>SUMIFS('Live Collections'!$T:$T,'Live Collections'!$D:$D,Disbursements!B606,'Live Collections'!$G:$G,Disbursements!C606)</f>
        <v>0</v>
      </c>
      <c r="AM606" s="541">
        <f t="shared" si="270"/>
        <v>0</v>
      </c>
      <c r="AN606" s="542" t="str">
        <f t="shared" si="271"/>
        <v/>
      </c>
      <c r="AO606" s="542" t="str">
        <f t="shared" si="272"/>
        <v/>
      </c>
      <c r="AP606" s="543" t="str">
        <f t="shared" si="273"/>
        <v/>
      </c>
      <c r="AQ606" s="544" t="str">
        <f t="shared" si="274"/>
        <v/>
      </c>
      <c r="AR606" s="545">
        <f t="shared" si="275"/>
        <v>0</v>
      </c>
      <c r="AS606" s="545">
        <f>IFERROR(CEILING($AR606*VLOOKUP($I606,Ref!$B$23:$E$29,4,0),1),0)</f>
        <v>0</v>
      </c>
      <c r="AT606" s="545" t="str">
        <f>IF(A606="","",IF(AP606&lt;=1,"Cleared",IF(AS606=0,"Clean",VLOOKUP($AS606,Ref!$G$23:$H$28,2))))</f>
        <v/>
      </c>
      <c r="AU606" s="546" t="str">
        <f t="shared" si="276"/>
        <v/>
      </c>
    </row>
    <row r="607" spans="1:47" ht="14.25" hidden="1" customHeight="1" x14ac:dyDescent="0.15">
      <c r="A607" s="523"/>
      <c r="B607" s="523"/>
      <c r="C607" s="523"/>
      <c r="D607" s="523"/>
      <c r="E607" s="579"/>
      <c r="F607" s="580"/>
      <c r="G607" s="524"/>
      <c r="H607" s="555"/>
      <c r="I607" s="560"/>
      <c r="J607" s="523"/>
      <c r="K607" s="528" t="str">
        <f>IFERROR(VLOOKUP($B607,'Clients-Live'!$A:$C,3,0),"")</f>
        <v/>
      </c>
      <c r="L607" s="528">
        <f>IF(E607="STL",Pricing!$D$38,IF(A607="",0,IF(A607&lt;Pricing!$C$25,Pricing!$D$25,VLOOKUP(Disbursements!$F607,Pricing!$B$29:$D$32,3))))</f>
        <v>0</v>
      </c>
      <c r="M607" s="528">
        <f>IF(E607="STL",0,IF(F607&gt;0,Pricing!$D$21,0))</f>
        <v>0</v>
      </c>
      <c r="N607" s="529">
        <f>IF(E607="STL",F607*Pricing!$D$40,IF(A607&lt;=Pricing!$C$4,0,IF(AND(A607&gt;Pricing!$C$4,Disbursements!A607&lt;=Pricing!$C$5),F607*Pricing!$E$5,IF(AND(A607&gt;Pricing!$C$5,Disbursements!A607&lt;=Pricing!$C$7),VLOOKUP(F607,Pricing!$D$7:$E$8,2)*Disbursements!F607,F607*Pricing!$E$9))))</f>
        <v>0</v>
      </c>
      <c r="O607" s="528">
        <f>IF(E607="STL",0,IF($F607&gt;0,$F607*Pricing!$D$17,0))</f>
        <v>0</v>
      </c>
      <c r="P607" s="530" t="str">
        <f t="shared" si="256"/>
        <v/>
      </c>
      <c r="Q607" s="531" t="str">
        <f>IF($A607="","",$G607/VLOOKUP($I607,Ref!$B$23:$D$29,2,0))</f>
        <v/>
      </c>
      <c r="R607" s="530" t="str">
        <f t="shared" si="257"/>
        <v/>
      </c>
      <c r="S607" s="532" t="str">
        <f t="shared" si="251"/>
        <v/>
      </c>
      <c r="T607" s="531" t="str">
        <f t="shared" si="258"/>
        <v/>
      </c>
      <c r="U607" s="533">
        <f t="shared" si="259"/>
        <v>0</v>
      </c>
      <c r="V607" s="531" t="str">
        <f t="shared" si="260"/>
        <v/>
      </c>
      <c r="W607" s="531" t="str">
        <f t="shared" si="261"/>
        <v/>
      </c>
      <c r="X607" s="534" t="str">
        <f t="shared" si="262"/>
        <v/>
      </c>
      <c r="Y607" s="535" t="str">
        <f>IF($A607="","",IF($I607="weekly",$A607+7,EDATE($A607,VLOOKUP($I607,Ref!$B$24:$C$29,2,0))))</f>
        <v/>
      </c>
      <c r="Z607" s="536" t="str">
        <f t="shared" si="263"/>
        <v/>
      </c>
      <c r="AA607" s="531">
        <f t="shared" si="264"/>
        <v>0</v>
      </c>
      <c r="AB607" s="535" t="str">
        <f t="shared" si="252"/>
        <v/>
      </c>
      <c r="AC607" s="537" t="str">
        <f t="shared" si="253"/>
        <v/>
      </c>
      <c r="AD607" s="538" t="str">
        <f t="shared" ca="1" si="254"/>
        <v/>
      </c>
      <c r="AE607" s="537">
        <f t="shared" ca="1" si="255"/>
        <v>0</v>
      </c>
      <c r="AF607" s="539" t="str">
        <f t="shared" ca="1" si="265"/>
        <v/>
      </c>
      <c r="AG607" s="531" t="str">
        <f t="shared" ca="1" si="266"/>
        <v/>
      </c>
      <c r="AH607" s="531" t="str">
        <f t="shared" ca="1" si="267"/>
        <v/>
      </c>
      <c r="AI607" s="531" t="str">
        <f t="shared" ca="1" si="268"/>
        <v/>
      </c>
      <c r="AJ607" s="531" t="str">
        <f t="shared" si="269"/>
        <v/>
      </c>
      <c r="AK607" s="540">
        <f>SUMIFS('Live Collections'!$S:$S,'Live Collections'!$D:$D,Disbursements!B607,'Live Collections'!$G:$G,Disbursements!C607)</f>
        <v>0</v>
      </c>
      <c r="AL607" s="540">
        <f>SUMIFS('Live Collections'!$T:$T,'Live Collections'!$D:$D,Disbursements!B607,'Live Collections'!$G:$G,Disbursements!C607)</f>
        <v>0</v>
      </c>
      <c r="AM607" s="541">
        <f t="shared" si="270"/>
        <v>0</v>
      </c>
      <c r="AN607" s="542" t="str">
        <f t="shared" si="271"/>
        <v/>
      </c>
      <c r="AO607" s="542" t="str">
        <f t="shared" si="272"/>
        <v/>
      </c>
      <c r="AP607" s="543" t="str">
        <f t="shared" si="273"/>
        <v/>
      </c>
      <c r="AQ607" s="544" t="str">
        <f t="shared" si="274"/>
        <v/>
      </c>
      <c r="AR607" s="545">
        <f t="shared" si="275"/>
        <v>0</v>
      </c>
      <c r="AS607" s="545">
        <f>IFERROR(CEILING($AR607*VLOOKUP($I607,Ref!$B$23:$E$29,4,0),1),0)</f>
        <v>0</v>
      </c>
      <c r="AT607" s="545" t="str">
        <f>IF(A607="","",IF(AP607&lt;=1,"Cleared",IF(AS607=0,"Clean",VLOOKUP($AS607,Ref!$G$23:$H$28,2))))</f>
        <v/>
      </c>
      <c r="AU607" s="546" t="str">
        <f t="shared" si="276"/>
        <v/>
      </c>
    </row>
    <row r="608" spans="1:47" ht="14.25" hidden="1" customHeight="1" x14ac:dyDescent="0.15">
      <c r="A608" s="523"/>
      <c r="B608" s="523"/>
      <c r="C608" s="523"/>
      <c r="D608" s="523"/>
      <c r="E608" s="579"/>
      <c r="F608" s="580"/>
      <c r="G608" s="524"/>
      <c r="H608" s="555"/>
      <c r="I608" s="560"/>
      <c r="J608" s="523"/>
      <c r="K608" s="528" t="str">
        <f>IFERROR(VLOOKUP($B608,'Clients-Live'!$A:$C,3,0),"")</f>
        <v/>
      </c>
      <c r="L608" s="528">
        <f>IF(E608="STL",Pricing!$D$38,IF(A608="",0,IF(A608&lt;Pricing!$C$25,Pricing!$D$25,VLOOKUP(Disbursements!$F608,Pricing!$B$29:$D$32,3))))</f>
        <v>0</v>
      </c>
      <c r="M608" s="528">
        <f>IF(E608="STL",0,IF(F608&gt;0,Pricing!$D$21,0))</f>
        <v>0</v>
      </c>
      <c r="N608" s="529">
        <f>IF(E608="STL",F608*Pricing!$D$40,IF(A608&lt;=Pricing!$C$4,0,IF(AND(A608&gt;Pricing!$C$4,Disbursements!A608&lt;=Pricing!$C$5),F608*Pricing!$E$5,IF(AND(A608&gt;Pricing!$C$5,Disbursements!A608&lt;=Pricing!$C$7),VLOOKUP(F608,Pricing!$D$7:$E$8,2)*Disbursements!F608,F608*Pricing!$E$9))))</f>
        <v>0</v>
      </c>
      <c r="O608" s="528">
        <f>IF(E608="STL",0,IF($F608&gt;0,$F608*Pricing!$D$17,0))</f>
        <v>0</v>
      </c>
      <c r="P608" s="530" t="str">
        <f t="shared" si="256"/>
        <v/>
      </c>
      <c r="Q608" s="531" t="str">
        <f>IF($A608="","",$G608/VLOOKUP($I608,Ref!$B$23:$D$29,2,0))</f>
        <v/>
      </c>
      <c r="R608" s="530" t="str">
        <f t="shared" si="257"/>
        <v/>
      </c>
      <c r="S608" s="532" t="str">
        <f t="shared" si="251"/>
        <v/>
      </c>
      <c r="T608" s="531" t="str">
        <f t="shared" si="258"/>
        <v/>
      </c>
      <c r="U608" s="533">
        <f t="shared" si="259"/>
        <v>0</v>
      </c>
      <c r="V608" s="531" t="str">
        <f t="shared" si="260"/>
        <v/>
      </c>
      <c r="W608" s="531" t="str">
        <f t="shared" si="261"/>
        <v/>
      </c>
      <c r="X608" s="534" t="str">
        <f t="shared" si="262"/>
        <v/>
      </c>
      <c r="Y608" s="535" t="str">
        <f>IF($A608="","",IF($I608="weekly",$A608+7,EDATE($A608,VLOOKUP($I608,Ref!$B$24:$C$29,2,0))))</f>
        <v/>
      </c>
      <c r="Z608" s="536" t="str">
        <f t="shared" si="263"/>
        <v/>
      </c>
      <c r="AA608" s="531">
        <f t="shared" si="264"/>
        <v>0</v>
      </c>
      <c r="AB608" s="535" t="str">
        <f t="shared" si="252"/>
        <v/>
      </c>
      <c r="AC608" s="537" t="str">
        <f t="shared" si="253"/>
        <v/>
      </c>
      <c r="AD608" s="538" t="str">
        <f t="shared" ca="1" si="254"/>
        <v/>
      </c>
      <c r="AE608" s="537">
        <f t="shared" ca="1" si="255"/>
        <v>0</v>
      </c>
      <c r="AF608" s="539" t="str">
        <f t="shared" ca="1" si="265"/>
        <v/>
      </c>
      <c r="AG608" s="531" t="str">
        <f t="shared" ca="1" si="266"/>
        <v/>
      </c>
      <c r="AH608" s="531" t="str">
        <f t="shared" ca="1" si="267"/>
        <v/>
      </c>
      <c r="AI608" s="531" t="str">
        <f t="shared" ca="1" si="268"/>
        <v/>
      </c>
      <c r="AJ608" s="531" t="str">
        <f t="shared" si="269"/>
        <v/>
      </c>
      <c r="AK608" s="540">
        <f>SUMIFS('Live Collections'!$S:$S,'Live Collections'!$D:$D,Disbursements!B608,'Live Collections'!$G:$G,Disbursements!C608)</f>
        <v>0</v>
      </c>
      <c r="AL608" s="540">
        <f>SUMIFS('Live Collections'!$T:$T,'Live Collections'!$D:$D,Disbursements!B608,'Live Collections'!$G:$G,Disbursements!C608)</f>
        <v>0</v>
      </c>
      <c r="AM608" s="541">
        <f t="shared" si="270"/>
        <v>0</v>
      </c>
      <c r="AN608" s="542" t="str">
        <f t="shared" si="271"/>
        <v/>
      </c>
      <c r="AO608" s="542" t="str">
        <f t="shared" si="272"/>
        <v/>
      </c>
      <c r="AP608" s="543" t="str">
        <f t="shared" si="273"/>
        <v/>
      </c>
      <c r="AQ608" s="544" t="str">
        <f t="shared" si="274"/>
        <v/>
      </c>
      <c r="AR608" s="545">
        <f t="shared" si="275"/>
        <v>0</v>
      </c>
      <c r="AS608" s="545">
        <f>IFERROR(CEILING($AR608*VLOOKUP($I608,Ref!$B$23:$E$29,4,0),1),0)</f>
        <v>0</v>
      </c>
      <c r="AT608" s="545" t="str">
        <f>IF(A608="","",IF(AP608&lt;=1,"Cleared",IF(AS608=0,"Clean",VLOOKUP($AS608,Ref!$G$23:$H$28,2))))</f>
        <v/>
      </c>
      <c r="AU608" s="546" t="str">
        <f t="shared" si="276"/>
        <v/>
      </c>
    </row>
    <row r="609" spans="1:47" ht="14.25" hidden="1" customHeight="1" x14ac:dyDescent="0.15">
      <c r="A609" s="523"/>
      <c r="B609" s="523"/>
      <c r="C609" s="523"/>
      <c r="D609" s="523"/>
      <c r="E609" s="579"/>
      <c r="F609" s="580"/>
      <c r="G609" s="524"/>
      <c r="H609" s="555"/>
      <c r="I609" s="560"/>
      <c r="J609" s="523"/>
      <c r="K609" s="528" t="str">
        <f>IFERROR(VLOOKUP($B609,'Clients-Live'!$A:$C,3,0),"")</f>
        <v/>
      </c>
      <c r="L609" s="528">
        <f>IF(E609="STL",Pricing!$D$38,IF(A609="",0,IF(A609&lt;Pricing!$C$25,Pricing!$D$25,VLOOKUP(Disbursements!$F609,Pricing!$B$29:$D$32,3))))</f>
        <v>0</v>
      </c>
      <c r="M609" s="528">
        <f>IF(E609="STL",0,IF(F609&gt;0,Pricing!$D$21,0))</f>
        <v>0</v>
      </c>
      <c r="N609" s="529">
        <f>IF(E609="STL",F609*Pricing!$D$40,IF(A609&lt;=Pricing!$C$4,0,IF(AND(A609&gt;Pricing!$C$4,Disbursements!A609&lt;=Pricing!$C$5),F609*Pricing!$E$5,IF(AND(A609&gt;Pricing!$C$5,Disbursements!A609&lt;=Pricing!$C$7),VLOOKUP(F609,Pricing!$D$7:$E$8,2)*Disbursements!F609,F609*Pricing!$E$9))))</f>
        <v>0</v>
      </c>
      <c r="O609" s="528">
        <f>IF(E609="STL",0,IF($F609&gt;0,$F609*Pricing!$D$17,0))</f>
        <v>0</v>
      </c>
      <c r="P609" s="530" t="str">
        <f t="shared" si="256"/>
        <v/>
      </c>
      <c r="Q609" s="531" t="str">
        <f>IF($A609="","",$G609/VLOOKUP($I609,Ref!$B$23:$D$29,2,0))</f>
        <v/>
      </c>
      <c r="R609" s="530" t="str">
        <f t="shared" si="257"/>
        <v/>
      </c>
      <c r="S609" s="532" t="str">
        <f t="shared" si="251"/>
        <v/>
      </c>
      <c r="T609" s="531" t="str">
        <f t="shared" si="258"/>
        <v/>
      </c>
      <c r="U609" s="533">
        <f t="shared" si="259"/>
        <v>0</v>
      </c>
      <c r="V609" s="531" t="str">
        <f t="shared" si="260"/>
        <v/>
      </c>
      <c r="W609" s="531" t="str">
        <f t="shared" si="261"/>
        <v/>
      </c>
      <c r="X609" s="534" t="str">
        <f t="shared" si="262"/>
        <v/>
      </c>
      <c r="Y609" s="535" t="str">
        <f>IF($A609="","",IF($I609="weekly",$A609+7,EDATE($A609,VLOOKUP($I609,Ref!$B$24:$C$29,2,0))))</f>
        <v/>
      </c>
      <c r="Z609" s="536" t="str">
        <f t="shared" si="263"/>
        <v/>
      </c>
      <c r="AA609" s="531">
        <f t="shared" si="264"/>
        <v>0</v>
      </c>
      <c r="AB609" s="535" t="str">
        <f t="shared" si="252"/>
        <v/>
      </c>
      <c r="AC609" s="537" t="str">
        <f t="shared" si="253"/>
        <v/>
      </c>
      <c r="AD609" s="538" t="str">
        <f t="shared" ca="1" si="254"/>
        <v/>
      </c>
      <c r="AE609" s="537">
        <f t="shared" ca="1" si="255"/>
        <v>0</v>
      </c>
      <c r="AF609" s="539" t="str">
        <f t="shared" ca="1" si="265"/>
        <v/>
      </c>
      <c r="AG609" s="531" t="str">
        <f t="shared" ca="1" si="266"/>
        <v/>
      </c>
      <c r="AH609" s="531" t="str">
        <f t="shared" ca="1" si="267"/>
        <v/>
      </c>
      <c r="AI609" s="531" t="str">
        <f t="shared" ca="1" si="268"/>
        <v/>
      </c>
      <c r="AJ609" s="531" t="str">
        <f t="shared" si="269"/>
        <v/>
      </c>
      <c r="AK609" s="540">
        <f>SUMIFS('Live Collections'!$S:$S,'Live Collections'!$D:$D,Disbursements!B609,'Live Collections'!$G:$G,Disbursements!C609)</f>
        <v>0</v>
      </c>
      <c r="AL609" s="540">
        <f>SUMIFS('Live Collections'!$T:$T,'Live Collections'!$D:$D,Disbursements!B609,'Live Collections'!$G:$G,Disbursements!C609)</f>
        <v>0</v>
      </c>
      <c r="AM609" s="541">
        <f t="shared" si="270"/>
        <v>0</v>
      </c>
      <c r="AN609" s="542" t="str">
        <f t="shared" si="271"/>
        <v/>
      </c>
      <c r="AO609" s="542" t="str">
        <f t="shared" si="272"/>
        <v/>
      </c>
      <c r="AP609" s="543" t="str">
        <f t="shared" si="273"/>
        <v/>
      </c>
      <c r="AQ609" s="544" t="str">
        <f t="shared" si="274"/>
        <v/>
      </c>
      <c r="AR609" s="545">
        <f t="shared" si="275"/>
        <v>0</v>
      </c>
      <c r="AS609" s="545">
        <f>IFERROR(CEILING($AR609*VLOOKUP($I609,Ref!$B$23:$E$29,4,0),1),0)</f>
        <v>0</v>
      </c>
      <c r="AT609" s="545" t="str">
        <f>IF(A609="","",IF(AP609&lt;=1,"Cleared",IF(AS609=0,"Clean",VLOOKUP($AS609,Ref!$G$23:$H$28,2))))</f>
        <v/>
      </c>
      <c r="AU609" s="546" t="str">
        <f t="shared" si="276"/>
        <v/>
      </c>
    </row>
    <row r="610" spans="1:47" ht="14.25" hidden="1" customHeight="1" x14ac:dyDescent="0.15">
      <c r="A610" s="523"/>
      <c r="B610" s="523"/>
      <c r="C610" s="523"/>
      <c r="D610" s="523"/>
      <c r="E610" s="579"/>
      <c r="F610" s="580"/>
      <c r="G610" s="524"/>
      <c r="H610" s="555"/>
      <c r="I610" s="560"/>
      <c r="J610" s="523"/>
      <c r="K610" s="528" t="str">
        <f>IFERROR(VLOOKUP($B610,'Clients-Live'!$A:$C,3,0),"")</f>
        <v/>
      </c>
      <c r="L610" s="528">
        <f>IF(E610="STL",Pricing!$D$38,IF(A610="",0,IF(A610&lt;Pricing!$C$25,Pricing!$D$25,VLOOKUP(Disbursements!$F610,Pricing!$B$29:$D$32,3))))</f>
        <v>0</v>
      </c>
      <c r="M610" s="528">
        <f>IF(E610="STL",0,IF(F610&gt;0,Pricing!$D$21,0))</f>
        <v>0</v>
      </c>
      <c r="N610" s="529">
        <f>IF(E610="STL",F610*Pricing!$D$40,IF(A610&lt;=Pricing!$C$4,0,IF(AND(A610&gt;Pricing!$C$4,Disbursements!A610&lt;=Pricing!$C$5),F610*Pricing!$E$5,IF(AND(A610&gt;Pricing!$C$5,Disbursements!A610&lt;=Pricing!$C$7),VLOOKUP(F610,Pricing!$D$7:$E$8,2)*Disbursements!F610,F610*Pricing!$E$9))))</f>
        <v>0</v>
      </c>
      <c r="O610" s="528">
        <f>IF(E610="STL",0,IF($F610&gt;0,$F610*Pricing!$D$17,0))</f>
        <v>0</v>
      </c>
      <c r="P610" s="530" t="str">
        <f t="shared" si="256"/>
        <v/>
      </c>
      <c r="Q610" s="531" t="str">
        <f>IF($A610="","",$G610/VLOOKUP($I610,Ref!$B$23:$D$29,2,0))</f>
        <v/>
      </c>
      <c r="R610" s="530" t="str">
        <f t="shared" si="257"/>
        <v/>
      </c>
      <c r="S610" s="532" t="str">
        <f t="shared" si="251"/>
        <v/>
      </c>
      <c r="T610" s="531" t="str">
        <f t="shared" si="258"/>
        <v/>
      </c>
      <c r="U610" s="533">
        <f t="shared" si="259"/>
        <v>0</v>
      </c>
      <c r="V610" s="531" t="str">
        <f t="shared" si="260"/>
        <v/>
      </c>
      <c r="W610" s="531" t="str">
        <f t="shared" si="261"/>
        <v/>
      </c>
      <c r="X610" s="534" t="str">
        <f t="shared" si="262"/>
        <v/>
      </c>
      <c r="Y610" s="535" t="str">
        <f>IF($A610="","",IF($I610="weekly",$A610+7,EDATE($A610,VLOOKUP($I610,Ref!$B$24:$C$29,2,0))))</f>
        <v/>
      </c>
      <c r="Z610" s="536" t="str">
        <f t="shared" si="263"/>
        <v/>
      </c>
      <c r="AA610" s="531">
        <f t="shared" si="264"/>
        <v>0</v>
      </c>
      <c r="AB610" s="535" t="str">
        <f t="shared" si="252"/>
        <v/>
      </c>
      <c r="AC610" s="537" t="str">
        <f t="shared" si="253"/>
        <v/>
      </c>
      <c r="AD610" s="538" t="str">
        <f t="shared" ca="1" si="254"/>
        <v/>
      </c>
      <c r="AE610" s="537">
        <f t="shared" ca="1" si="255"/>
        <v>0</v>
      </c>
      <c r="AF610" s="539" t="str">
        <f t="shared" ca="1" si="265"/>
        <v/>
      </c>
      <c r="AG610" s="531" t="str">
        <f t="shared" ca="1" si="266"/>
        <v/>
      </c>
      <c r="AH610" s="531" t="str">
        <f t="shared" ca="1" si="267"/>
        <v/>
      </c>
      <c r="AI610" s="531" t="str">
        <f t="shared" ca="1" si="268"/>
        <v/>
      </c>
      <c r="AJ610" s="531" t="str">
        <f t="shared" si="269"/>
        <v/>
      </c>
      <c r="AK610" s="540">
        <f>SUMIFS('Live Collections'!$S:$S,'Live Collections'!$D:$D,Disbursements!B610,'Live Collections'!$G:$G,Disbursements!C610)</f>
        <v>0</v>
      </c>
      <c r="AL610" s="540">
        <f>SUMIFS('Live Collections'!$T:$T,'Live Collections'!$D:$D,Disbursements!B610,'Live Collections'!$G:$G,Disbursements!C610)</f>
        <v>0</v>
      </c>
      <c r="AM610" s="541">
        <f t="shared" si="270"/>
        <v>0</v>
      </c>
      <c r="AN610" s="542" t="str">
        <f t="shared" si="271"/>
        <v/>
      </c>
      <c r="AO610" s="542" t="str">
        <f t="shared" si="272"/>
        <v/>
      </c>
      <c r="AP610" s="543" t="str">
        <f t="shared" si="273"/>
        <v/>
      </c>
      <c r="AQ610" s="544" t="str">
        <f t="shared" si="274"/>
        <v/>
      </c>
      <c r="AR610" s="545">
        <f t="shared" si="275"/>
        <v>0</v>
      </c>
      <c r="AS610" s="545">
        <f>IFERROR(CEILING($AR610*VLOOKUP($I610,Ref!$B$23:$E$29,4,0),1),0)</f>
        <v>0</v>
      </c>
      <c r="AT610" s="545" t="str">
        <f>IF(A610="","",IF(AP610&lt;=1,"Cleared",IF(AS610=0,"Clean",VLOOKUP($AS610,Ref!$G$23:$H$28,2))))</f>
        <v/>
      </c>
      <c r="AU610" s="546" t="str">
        <f t="shared" si="276"/>
        <v/>
      </c>
    </row>
    <row r="611" spans="1:47" ht="14.25" hidden="1" customHeight="1" x14ac:dyDescent="0.15">
      <c r="A611" s="523"/>
      <c r="B611" s="523"/>
      <c r="C611" s="523"/>
      <c r="D611" s="523"/>
      <c r="E611" s="579"/>
      <c r="F611" s="580"/>
      <c r="G611" s="524"/>
      <c r="H611" s="555"/>
      <c r="I611" s="560"/>
      <c r="J611" s="523"/>
      <c r="K611" s="528" t="str">
        <f>IFERROR(VLOOKUP($B611,'Clients-Live'!$A:$C,3,0),"")</f>
        <v/>
      </c>
      <c r="L611" s="528">
        <f>IF(E611="STL",Pricing!$D$38,IF(A611="",0,IF(A611&lt;Pricing!$C$25,Pricing!$D$25,VLOOKUP(Disbursements!$F611,Pricing!$B$29:$D$32,3))))</f>
        <v>0</v>
      </c>
      <c r="M611" s="528">
        <f>IF(E611="STL",0,IF(F611&gt;0,Pricing!$D$21,0))</f>
        <v>0</v>
      </c>
      <c r="N611" s="529">
        <f>IF(E611="STL",F611*Pricing!$D$40,IF(A611&lt;=Pricing!$C$4,0,IF(AND(A611&gt;Pricing!$C$4,Disbursements!A611&lt;=Pricing!$C$5),F611*Pricing!$E$5,IF(AND(A611&gt;Pricing!$C$5,Disbursements!A611&lt;=Pricing!$C$7),VLOOKUP(F611,Pricing!$D$7:$E$8,2)*Disbursements!F611,F611*Pricing!$E$9))))</f>
        <v>0</v>
      </c>
      <c r="O611" s="528">
        <f>IF(E611="STL",0,IF($F611&gt;0,$F611*Pricing!$D$17,0))</f>
        <v>0</v>
      </c>
      <c r="P611" s="530" t="str">
        <f t="shared" si="256"/>
        <v/>
      </c>
      <c r="Q611" s="531" t="str">
        <f>IF($A611="","",$G611/VLOOKUP($I611,Ref!$B$23:$D$29,2,0))</f>
        <v/>
      </c>
      <c r="R611" s="530" t="str">
        <f t="shared" si="257"/>
        <v/>
      </c>
      <c r="S611" s="532" t="str">
        <f t="shared" si="251"/>
        <v/>
      </c>
      <c r="T611" s="531" t="str">
        <f t="shared" si="258"/>
        <v/>
      </c>
      <c r="U611" s="533">
        <f t="shared" si="259"/>
        <v>0</v>
      </c>
      <c r="V611" s="531" t="str">
        <f t="shared" si="260"/>
        <v/>
      </c>
      <c r="W611" s="531" t="str">
        <f t="shared" si="261"/>
        <v/>
      </c>
      <c r="X611" s="534" t="str">
        <f t="shared" si="262"/>
        <v/>
      </c>
      <c r="Y611" s="535" t="str">
        <f>IF($A611="","",IF($I611="weekly",$A611+7,EDATE($A611,VLOOKUP($I611,Ref!$B$24:$C$29,2,0))))</f>
        <v/>
      </c>
      <c r="Z611" s="536" t="str">
        <f t="shared" si="263"/>
        <v/>
      </c>
      <c r="AA611" s="531">
        <f t="shared" si="264"/>
        <v>0</v>
      </c>
      <c r="AB611" s="535" t="str">
        <f t="shared" si="252"/>
        <v/>
      </c>
      <c r="AC611" s="537" t="str">
        <f t="shared" si="253"/>
        <v/>
      </c>
      <c r="AD611" s="538" t="str">
        <f t="shared" ca="1" si="254"/>
        <v/>
      </c>
      <c r="AE611" s="537">
        <f t="shared" ca="1" si="255"/>
        <v>0</v>
      </c>
      <c r="AF611" s="539" t="str">
        <f t="shared" ca="1" si="265"/>
        <v/>
      </c>
      <c r="AG611" s="531" t="str">
        <f t="shared" ca="1" si="266"/>
        <v/>
      </c>
      <c r="AH611" s="531" t="str">
        <f t="shared" ca="1" si="267"/>
        <v/>
      </c>
      <c r="AI611" s="531" t="str">
        <f t="shared" ca="1" si="268"/>
        <v/>
      </c>
      <c r="AJ611" s="531" t="str">
        <f t="shared" si="269"/>
        <v/>
      </c>
      <c r="AK611" s="540">
        <f>SUMIFS('Live Collections'!$S:$S,'Live Collections'!$D:$D,Disbursements!B611,'Live Collections'!$G:$G,Disbursements!C611)</f>
        <v>0</v>
      </c>
      <c r="AL611" s="540">
        <f>SUMIFS('Live Collections'!$T:$T,'Live Collections'!$D:$D,Disbursements!B611,'Live Collections'!$G:$G,Disbursements!C611)</f>
        <v>0</v>
      </c>
      <c r="AM611" s="541">
        <f t="shared" si="270"/>
        <v>0</v>
      </c>
      <c r="AN611" s="542" t="str">
        <f t="shared" si="271"/>
        <v/>
      </c>
      <c r="AO611" s="542" t="str">
        <f t="shared" si="272"/>
        <v/>
      </c>
      <c r="AP611" s="543" t="str">
        <f t="shared" si="273"/>
        <v/>
      </c>
      <c r="AQ611" s="544" t="str">
        <f t="shared" si="274"/>
        <v/>
      </c>
      <c r="AR611" s="545">
        <f t="shared" si="275"/>
        <v>0</v>
      </c>
      <c r="AS611" s="545">
        <f>IFERROR(CEILING($AR611*VLOOKUP($I611,Ref!$B$23:$E$29,4,0),1),0)</f>
        <v>0</v>
      </c>
      <c r="AT611" s="545" t="str">
        <f>IF(A611="","",IF(AP611&lt;=1,"Cleared",IF(AS611=0,"Clean",VLOOKUP($AS611,Ref!$G$23:$H$28,2))))</f>
        <v/>
      </c>
      <c r="AU611" s="546" t="str">
        <f t="shared" si="276"/>
        <v/>
      </c>
    </row>
    <row r="612" spans="1:47" ht="14.25" hidden="1" customHeight="1" x14ac:dyDescent="0.15">
      <c r="A612" s="523"/>
      <c r="B612" s="523"/>
      <c r="C612" s="523"/>
      <c r="D612" s="523"/>
      <c r="E612" s="579"/>
      <c r="F612" s="580"/>
      <c r="G612" s="524"/>
      <c r="H612" s="555"/>
      <c r="I612" s="560"/>
      <c r="J612" s="523"/>
      <c r="K612" s="528" t="str">
        <f>IFERROR(VLOOKUP($B612,'Clients-Live'!$A:$C,3,0),"")</f>
        <v/>
      </c>
      <c r="L612" s="528">
        <f>IF(E612="STL",Pricing!$D$38,IF(A612="",0,IF(A612&lt;Pricing!$C$25,Pricing!$D$25,VLOOKUP(Disbursements!$F612,Pricing!$B$29:$D$32,3))))</f>
        <v>0</v>
      </c>
      <c r="M612" s="528">
        <f>IF(E612="STL",0,IF(F612&gt;0,Pricing!$D$21,0))</f>
        <v>0</v>
      </c>
      <c r="N612" s="529">
        <f>IF(E612="STL",F612*Pricing!$D$40,IF(A612&lt;=Pricing!$C$4,0,IF(AND(A612&gt;Pricing!$C$4,Disbursements!A612&lt;=Pricing!$C$5),F612*Pricing!$E$5,IF(AND(A612&gt;Pricing!$C$5,Disbursements!A612&lt;=Pricing!$C$7),VLOOKUP(F612,Pricing!$D$7:$E$8,2)*Disbursements!F612,F612*Pricing!$E$9))))</f>
        <v>0</v>
      </c>
      <c r="O612" s="528">
        <f>IF(E612="STL",0,IF($F612&gt;0,$F612*Pricing!$D$17,0))</f>
        <v>0</v>
      </c>
      <c r="P612" s="530" t="str">
        <f t="shared" si="256"/>
        <v/>
      </c>
      <c r="Q612" s="531" t="str">
        <f>IF($A612="","",$G612/VLOOKUP($I612,Ref!$B$23:$D$29,2,0))</f>
        <v/>
      </c>
      <c r="R612" s="530" t="str">
        <f t="shared" si="257"/>
        <v/>
      </c>
      <c r="S612" s="532" t="str">
        <f t="shared" si="251"/>
        <v/>
      </c>
      <c r="T612" s="531" t="str">
        <f t="shared" si="258"/>
        <v/>
      </c>
      <c r="U612" s="533">
        <f t="shared" si="259"/>
        <v>0</v>
      </c>
      <c r="V612" s="531" t="str">
        <f t="shared" si="260"/>
        <v/>
      </c>
      <c r="W612" s="531" t="str">
        <f t="shared" si="261"/>
        <v/>
      </c>
      <c r="X612" s="534" t="str">
        <f t="shared" si="262"/>
        <v/>
      </c>
      <c r="Y612" s="535" t="str">
        <f>IF($A612="","",IF($I612="weekly",$A612+7,EDATE($A612,VLOOKUP($I612,Ref!$B$24:$C$29,2,0))))</f>
        <v/>
      </c>
      <c r="Z612" s="536" t="str">
        <f t="shared" si="263"/>
        <v/>
      </c>
      <c r="AA612" s="531">
        <f t="shared" si="264"/>
        <v>0</v>
      </c>
      <c r="AB612" s="535" t="str">
        <f t="shared" si="252"/>
        <v/>
      </c>
      <c r="AC612" s="537" t="str">
        <f t="shared" si="253"/>
        <v/>
      </c>
      <c r="AD612" s="538" t="str">
        <f t="shared" ca="1" si="254"/>
        <v/>
      </c>
      <c r="AE612" s="537">
        <f t="shared" ca="1" si="255"/>
        <v>0</v>
      </c>
      <c r="AF612" s="539" t="str">
        <f t="shared" ca="1" si="265"/>
        <v/>
      </c>
      <c r="AG612" s="531" t="str">
        <f t="shared" ca="1" si="266"/>
        <v/>
      </c>
      <c r="AH612" s="531" t="str">
        <f t="shared" ca="1" si="267"/>
        <v/>
      </c>
      <c r="AI612" s="531" t="str">
        <f t="shared" ca="1" si="268"/>
        <v/>
      </c>
      <c r="AJ612" s="531" t="str">
        <f t="shared" si="269"/>
        <v/>
      </c>
      <c r="AK612" s="540">
        <f>SUMIFS('Live Collections'!$S:$S,'Live Collections'!$D:$D,Disbursements!B612,'Live Collections'!$G:$G,Disbursements!C612)</f>
        <v>0</v>
      </c>
      <c r="AL612" s="540">
        <f>SUMIFS('Live Collections'!$T:$T,'Live Collections'!$D:$D,Disbursements!B612,'Live Collections'!$G:$G,Disbursements!C612)</f>
        <v>0</v>
      </c>
      <c r="AM612" s="541">
        <f t="shared" si="270"/>
        <v>0</v>
      </c>
      <c r="AN612" s="542" t="str">
        <f t="shared" si="271"/>
        <v/>
      </c>
      <c r="AO612" s="542" t="str">
        <f t="shared" si="272"/>
        <v/>
      </c>
      <c r="AP612" s="543" t="str">
        <f t="shared" si="273"/>
        <v/>
      </c>
      <c r="AQ612" s="544" t="str">
        <f t="shared" si="274"/>
        <v/>
      </c>
      <c r="AR612" s="545">
        <f t="shared" si="275"/>
        <v>0</v>
      </c>
      <c r="AS612" s="545">
        <f>IFERROR(CEILING($AR612*VLOOKUP($I612,Ref!$B$23:$E$29,4,0),1),0)</f>
        <v>0</v>
      </c>
      <c r="AT612" s="545" t="str">
        <f>IF(A612="","",IF(AP612&lt;=1,"Cleared",IF(AS612=0,"Clean",VLOOKUP($AS612,Ref!$G$23:$H$28,2))))</f>
        <v/>
      </c>
      <c r="AU612" s="546" t="str">
        <f t="shared" si="276"/>
        <v/>
      </c>
    </row>
    <row r="613" spans="1:47" ht="14.25" hidden="1" customHeight="1" x14ac:dyDescent="0.15">
      <c r="A613" s="523"/>
      <c r="B613" s="523"/>
      <c r="C613" s="523"/>
      <c r="D613" s="523"/>
      <c r="E613" s="579"/>
      <c r="F613" s="580"/>
      <c r="G613" s="524"/>
      <c r="H613" s="555"/>
      <c r="I613" s="560"/>
      <c r="J613" s="523"/>
      <c r="K613" s="528" t="str">
        <f>IFERROR(VLOOKUP($B613,'Clients-Live'!$A:$C,3,0),"")</f>
        <v/>
      </c>
      <c r="L613" s="528">
        <f>IF(E613="STL",Pricing!$D$38,IF(A613="",0,IF(A613&lt;Pricing!$C$25,Pricing!$D$25,VLOOKUP(Disbursements!$F613,Pricing!$B$29:$D$32,3))))</f>
        <v>0</v>
      </c>
      <c r="M613" s="528">
        <f>IF(E613="STL",0,IF(F613&gt;0,Pricing!$D$21,0))</f>
        <v>0</v>
      </c>
      <c r="N613" s="529">
        <f>IF(E613="STL",F613*Pricing!$D$40,IF(A613&lt;=Pricing!$C$4,0,IF(AND(A613&gt;Pricing!$C$4,Disbursements!A613&lt;=Pricing!$C$5),F613*Pricing!$E$5,IF(AND(A613&gt;Pricing!$C$5,Disbursements!A613&lt;=Pricing!$C$7),VLOOKUP(F613,Pricing!$D$7:$E$8,2)*Disbursements!F613,F613*Pricing!$E$9))))</f>
        <v>0</v>
      </c>
      <c r="O613" s="528">
        <f>IF(E613="STL",0,IF($F613&gt;0,$F613*Pricing!$D$17,0))</f>
        <v>0</v>
      </c>
      <c r="P613" s="530" t="str">
        <f t="shared" si="256"/>
        <v/>
      </c>
      <c r="Q613" s="531" t="str">
        <f>IF($A613="","",$G613/VLOOKUP($I613,Ref!$B$23:$D$29,2,0))</f>
        <v/>
      </c>
      <c r="R613" s="530" t="str">
        <f t="shared" si="257"/>
        <v/>
      </c>
      <c r="S613" s="532" t="str">
        <f t="shared" si="251"/>
        <v/>
      </c>
      <c r="T613" s="531" t="str">
        <f t="shared" si="258"/>
        <v/>
      </c>
      <c r="U613" s="533">
        <f t="shared" si="259"/>
        <v>0</v>
      </c>
      <c r="V613" s="531" t="str">
        <f t="shared" si="260"/>
        <v/>
      </c>
      <c r="W613" s="531" t="str">
        <f t="shared" si="261"/>
        <v/>
      </c>
      <c r="X613" s="534" t="str">
        <f t="shared" si="262"/>
        <v/>
      </c>
      <c r="Y613" s="535" t="str">
        <f>IF($A613="","",IF($I613="weekly",$A613+7,EDATE($A613,VLOOKUP($I613,Ref!$B$24:$C$29,2,0))))</f>
        <v/>
      </c>
      <c r="Z613" s="536" t="str">
        <f t="shared" si="263"/>
        <v/>
      </c>
      <c r="AA613" s="531">
        <f t="shared" si="264"/>
        <v>0</v>
      </c>
      <c r="AB613" s="535" t="str">
        <f t="shared" si="252"/>
        <v/>
      </c>
      <c r="AC613" s="537" t="str">
        <f t="shared" si="253"/>
        <v/>
      </c>
      <c r="AD613" s="538" t="str">
        <f t="shared" ca="1" si="254"/>
        <v/>
      </c>
      <c r="AE613" s="537">
        <f t="shared" ca="1" si="255"/>
        <v>0</v>
      </c>
      <c r="AF613" s="539" t="str">
        <f t="shared" ca="1" si="265"/>
        <v/>
      </c>
      <c r="AG613" s="531" t="str">
        <f t="shared" ca="1" si="266"/>
        <v/>
      </c>
      <c r="AH613" s="531" t="str">
        <f t="shared" ca="1" si="267"/>
        <v/>
      </c>
      <c r="AI613" s="531" t="str">
        <f t="shared" ca="1" si="268"/>
        <v/>
      </c>
      <c r="AJ613" s="531" t="str">
        <f t="shared" si="269"/>
        <v/>
      </c>
      <c r="AK613" s="540">
        <f>SUMIFS('Live Collections'!$S:$S,'Live Collections'!$D:$D,Disbursements!B613,'Live Collections'!$G:$G,Disbursements!C613)</f>
        <v>0</v>
      </c>
      <c r="AL613" s="540">
        <f>SUMIFS('Live Collections'!$T:$T,'Live Collections'!$D:$D,Disbursements!B613,'Live Collections'!$G:$G,Disbursements!C613)</f>
        <v>0</v>
      </c>
      <c r="AM613" s="541">
        <f t="shared" si="270"/>
        <v>0</v>
      </c>
      <c r="AN613" s="542" t="str">
        <f t="shared" si="271"/>
        <v/>
      </c>
      <c r="AO613" s="542" t="str">
        <f t="shared" si="272"/>
        <v/>
      </c>
      <c r="AP613" s="543" t="str">
        <f t="shared" si="273"/>
        <v/>
      </c>
      <c r="AQ613" s="544" t="str">
        <f t="shared" si="274"/>
        <v/>
      </c>
      <c r="AR613" s="545">
        <f t="shared" si="275"/>
        <v>0</v>
      </c>
      <c r="AS613" s="545">
        <f>IFERROR(CEILING($AR613*VLOOKUP($I613,Ref!$B$23:$E$29,4,0),1),0)</f>
        <v>0</v>
      </c>
      <c r="AT613" s="545" t="str">
        <f>IF(A613="","",IF(AP613&lt;=1,"Cleared",IF(AS613=0,"Clean",VLOOKUP($AS613,Ref!$G$23:$H$28,2))))</f>
        <v/>
      </c>
      <c r="AU613" s="546" t="str">
        <f t="shared" si="276"/>
        <v/>
      </c>
    </row>
    <row r="614" spans="1:47" ht="14.25" hidden="1" customHeight="1" x14ac:dyDescent="0.15">
      <c r="A614" s="523"/>
      <c r="B614" s="523"/>
      <c r="C614" s="523"/>
      <c r="D614" s="523"/>
      <c r="E614" s="579"/>
      <c r="F614" s="580"/>
      <c r="G614" s="524"/>
      <c r="H614" s="555"/>
      <c r="I614" s="560"/>
      <c r="J614" s="523"/>
      <c r="K614" s="528" t="str">
        <f>IFERROR(VLOOKUP($B614,'Clients-Live'!$A:$C,3,0),"")</f>
        <v/>
      </c>
      <c r="L614" s="528">
        <f>IF(E614="STL",Pricing!$D$38,IF(A614="",0,IF(A614&lt;Pricing!$C$25,Pricing!$D$25,VLOOKUP(Disbursements!$F614,Pricing!$B$29:$D$32,3))))</f>
        <v>0</v>
      </c>
      <c r="M614" s="528">
        <f>IF(E614="STL",0,IF(F614&gt;0,Pricing!$D$21,0))</f>
        <v>0</v>
      </c>
      <c r="N614" s="529">
        <f>IF(E614="STL",F614*Pricing!$D$40,IF(A614&lt;=Pricing!$C$4,0,IF(AND(A614&gt;Pricing!$C$4,Disbursements!A614&lt;=Pricing!$C$5),F614*Pricing!$E$5,IF(AND(A614&gt;Pricing!$C$5,Disbursements!A614&lt;=Pricing!$C$7),VLOOKUP(F614,Pricing!$D$7:$E$8,2)*Disbursements!F614,F614*Pricing!$E$9))))</f>
        <v>0</v>
      </c>
      <c r="O614" s="528">
        <f>IF(E614="STL",0,IF($F614&gt;0,$F614*Pricing!$D$17,0))</f>
        <v>0</v>
      </c>
      <c r="P614" s="530" t="str">
        <f t="shared" si="256"/>
        <v/>
      </c>
      <c r="Q614" s="531" t="str">
        <f>IF($A614="","",$G614/VLOOKUP($I614,Ref!$B$23:$D$29,2,0))</f>
        <v/>
      </c>
      <c r="R614" s="530" t="str">
        <f t="shared" si="257"/>
        <v/>
      </c>
      <c r="S614" s="532" t="str">
        <f t="shared" si="251"/>
        <v/>
      </c>
      <c r="T614" s="531" t="str">
        <f t="shared" si="258"/>
        <v/>
      </c>
      <c r="U614" s="533">
        <f t="shared" si="259"/>
        <v>0</v>
      </c>
      <c r="V614" s="531" t="str">
        <f t="shared" si="260"/>
        <v/>
      </c>
      <c r="W614" s="531" t="str">
        <f t="shared" si="261"/>
        <v/>
      </c>
      <c r="X614" s="534" t="str">
        <f t="shared" si="262"/>
        <v/>
      </c>
      <c r="Y614" s="535" t="str">
        <f>IF($A614="","",IF($I614="weekly",$A614+7,EDATE($A614,VLOOKUP($I614,Ref!$B$24:$C$29,2,0))))</f>
        <v/>
      </c>
      <c r="Z614" s="536" t="str">
        <f t="shared" si="263"/>
        <v/>
      </c>
      <c r="AA614" s="531">
        <f t="shared" si="264"/>
        <v>0</v>
      </c>
      <c r="AB614" s="535" t="str">
        <f t="shared" si="252"/>
        <v/>
      </c>
      <c r="AC614" s="537" t="str">
        <f t="shared" si="253"/>
        <v/>
      </c>
      <c r="AD614" s="538" t="str">
        <f t="shared" ca="1" si="254"/>
        <v/>
      </c>
      <c r="AE614" s="537">
        <f t="shared" ca="1" si="255"/>
        <v>0</v>
      </c>
      <c r="AF614" s="539" t="str">
        <f t="shared" ca="1" si="265"/>
        <v/>
      </c>
      <c r="AG614" s="531" t="str">
        <f t="shared" ca="1" si="266"/>
        <v/>
      </c>
      <c r="AH614" s="531" t="str">
        <f t="shared" ca="1" si="267"/>
        <v/>
      </c>
      <c r="AI614" s="531" t="str">
        <f t="shared" ca="1" si="268"/>
        <v/>
      </c>
      <c r="AJ614" s="531" t="str">
        <f t="shared" si="269"/>
        <v/>
      </c>
      <c r="AK614" s="540">
        <f>SUMIFS('Live Collections'!$S:$S,'Live Collections'!$D:$D,Disbursements!B614,'Live Collections'!$G:$G,Disbursements!C614)</f>
        <v>0</v>
      </c>
      <c r="AL614" s="540">
        <f>SUMIFS('Live Collections'!$T:$T,'Live Collections'!$D:$D,Disbursements!B614,'Live Collections'!$G:$G,Disbursements!C614)</f>
        <v>0</v>
      </c>
      <c r="AM614" s="541">
        <f t="shared" si="270"/>
        <v>0</v>
      </c>
      <c r="AN614" s="542" t="str">
        <f t="shared" si="271"/>
        <v/>
      </c>
      <c r="AO614" s="542" t="str">
        <f t="shared" si="272"/>
        <v/>
      </c>
      <c r="AP614" s="543" t="str">
        <f t="shared" si="273"/>
        <v/>
      </c>
      <c r="AQ614" s="544" t="str">
        <f t="shared" si="274"/>
        <v/>
      </c>
      <c r="AR614" s="545">
        <f t="shared" si="275"/>
        <v>0</v>
      </c>
      <c r="AS614" s="545">
        <f>IFERROR(CEILING($AR614*VLOOKUP($I614,Ref!$B$23:$E$29,4,0),1),0)</f>
        <v>0</v>
      </c>
      <c r="AT614" s="545" t="str">
        <f>IF(A614="","",IF(AP614&lt;=1,"Cleared",IF(AS614=0,"Clean",VLOOKUP($AS614,Ref!$G$23:$H$28,2))))</f>
        <v/>
      </c>
      <c r="AU614" s="546" t="str">
        <f t="shared" si="276"/>
        <v/>
      </c>
    </row>
    <row r="615" spans="1:47" ht="14.25" hidden="1" customHeight="1" x14ac:dyDescent="0.15">
      <c r="A615" s="523"/>
      <c r="B615" s="523"/>
      <c r="C615" s="523"/>
      <c r="D615" s="523"/>
      <c r="E615" s="579"/>
      <c r="F615" s="580"/>
      <c r="G615" s="524"/>
      <c r="H615" s="555"/>
      <c r="I615" s="560"/>
      <c r="J615" s="523"/>
      <c r="K615" s="528" t="str">
        <f>IFERROR(VLOOKUP($B615,'Clients-Live'!$A:$C,3,0),"")</f>
        <v/>
      </c>
      <c r="L615" s="528">
        <f>IF(E615="STL",Pricing!$D$38,IF(A615="",0,IF(A615&lt;Pricing!$C$25,Pricing!$D$25,VLOOKUP(Disbursements!$F615,Pricing!$B$29:$D$32,3))))</f>
        <v>0</v>
      </c>
      <c r="M615" s="528">
        <f>IF(E615="STL",0,IF(F615&gt;0,Pricing!$D$21,0))</f>
        <v>0</v>
      </c>
      <c r="N615" s="529">
        <f>IF(E615="STL",F615*Pricing!$D$40,IF(A615&lt;=Pricing!$C$4,0,IF(AND(A615&gt;Pricing!$C$4,Disbursements!A615&lt;=Pricing!$C$5),F615*Pricing!$E$5,IF(AND(A615&gt;Pricing!$C$5,Disbursements!A615&lt;=Pricing!$C$7),VLOOKUP(F615,Pricing!$D$7:$E$8,2)*Disbursements!F615,F615*Pricing!$E$9))))</f>
        <v>0</v>
      </c>
      <c r="O615" s="528">
        <f>IF(E615="STL",0,IF($F615&gt;0,$F615*Pricing!$D$17,0))</f>
        <v>0</v>
      </c>
      <c r="P615" s="530" t="str">
        <f t="shared" si="256"/>
        <v/>
      </c>
      <c r="Q615" s="531" t="str">
        <f>IF($A615="","",$G615/VLOOKUP($I615,Ref!$B$23:$D$29,2,0))</f>
        <v/>
      </c>
      <c r="R615" s="530" t="str">
        <f t="shared" si="257"/>
        <v/>
      </c>
      <c r="S615" s="532" t="str">
        <f t="shared" si="251"/>
        <v/>
      </c>
      <c r="T615" s="531" t="str">
        <f t="shared" si="258"/>
        <v/>
      </c>
      <c r="U615" s="533">
        <f t="shared" si="259"/>
        <v>0</v>
      </c>
      <c r="V615" s="531" t="str">
        <f t="shared" si="260"/>
        <v/>
      </c>
      <c r="W615" s="531" t="str">
        <f t="shared" si="261"/>
        <v/>
      </c>
      <c r="X615" s="534" t="str">
        <f t="shared" si="262"/>
        <v/>
      </c>
      <c r="Y615" s="535" t="str">
        <f>IF($A615="","",IF($I615="weekly",$A615+7,EDATE($A615,VLOOKUP($I615,Ref!$B$24:$C$29,2,0))))</f>
        <v/>
      </c>
      <c r="Z615" s="536" t="str">
        <f t="shared" si="263"/>
        <v/>
      </c>
      <c r="AA615" s="531">
        <f t="shared" si="264"/>
        <v>0</v>
      </c>
      <c r="AB615" s="535" t="str">
        <f t="shared" si="252"/>
        <v/>
      </c>
      <c r="AC615" s="537" t="str">
        <f t="shared" si="253"/>
        <v/>
      </c>
      <c r="AD615" s="538" t="str">
        <f t="shared" ca="1" si="254"/>
        <v/>
      </c>
      <c r="AE615" s="537">
        <f t="shared" ca="1" si="255"/>
        <v>0</v>
      </c>
      <c r="AF615" s="539" t="str">
        <f t="shared" ca="1" si="265"/>
        <v/>
      </c>
      <c r="AG615" s="531" t="str">
        <f t="shared" ca="1" si="266"/>
        <v/>
      </c>
      <c r="AH615" s="531" t="str">
        <f t="shared" ca="1" si="267"/>
        <v/>
      </c>
      <c r="AI615" s="531" t="str">
        <f t="shared" ca="1" si="268"/>
        <v/>
      </c>
      <c r="AJ615" s="531" t="str">
        <f t="shared" si="269"/>
        <v/>
      </c>
      <c r="AK615" s="540">
        <f>SUMIFS('Live Collections'!$S:$S,'Live Collections'!$D:$D,Disbursements!B615,'Live Collections'!$G:$G,Disbursements!C615)</f>
        <v>0</v>
      </c>
      <c r="AL615" s="540">
        <f>SUMIFS('Live Collections'!$T:$T,'Live Collections'!$D:$D,Disbursements!B615,'Live Collections'!$G:$G,Disbursements!C615)</f>
        <v>0</v>
      </c>
      <c r="AM615" s="541">
        <f t="shared" si="270"/>
        <v>0</v>
      </c>
      <c r="AN615" s="542" t="str">
        <f t="shared" si="271"/>
        <v/>
      </c>
      <c r="AO615" s="542" t="str">
        <f t="shared" si="272"/>
        <v/>
      </c>
      <c r="AP615" s="543" t="str">
        <f t="shared" si="273"/>
        <v/>
      </c>
      <c r="AQ615" s="544" t="str">
        <f t="shared" si="274"/>
        <v/>
      </c>
      <c r="AR615" s="545">
        <f t="shared" si="275"/>
        <v>0</v>
      </c>
      <c r="AS615" s="545">
        <f>IFERROR(CEILING($AR615*VLOOKUP($I615,Ref!$B$23:$E$29,4,0),1),0)</f>
        <v>0</v>
      </c>
      <c r="AT615" s="545" t="str">
        <f>IF(A615="","",IF(AP615&lt;=1,"Cleared",IF(AS615=0,"Clean",VLOOKUP($AS615,Ref!$G$23:$H$28,2))))</f>
        <v/>
      </c>
      <c r="AU615" s="546" t="str">
        <f t="shared" si="276"/>
        <v/>
      </c>
    </row>
    <row r="616" spans="1:47" ht="14.25" hidden="1" customHeight="1" x14ac:dyDescent="0.15">
      <c r="A616" s="523"/>
      <c r="B616" s="523"/>
      <c r="C616" s="523"/>
      <c r="D616" s="523"/>
      <c r="E616" s="579"/>
      <c r="F616" s="580"/>
      <c r="G616" s="524"/>
      <c r="H616" s="555"/>
      <c r="I616" s="560"/>
      <c r="J616" s="523"/>
      <c r="K616" s="528" t="str">
        <f>IFERROR(VLOOKUP($B616,'Clients-Live'!$A:$C,3,0),"")</f>
        <v/>
      </c>
      <c r="L616" s="528">
        <f>IF(E616="STL",Pricing!$D$38,IF(A616="",0,IF(A616&lt;Pricing!$C$25,Pricing!$D$25,VLOOKUP(Disbursements!$F616,Pricing!$B$29:$D$32,3))))</f>
        <v>0</v>
      </c>
      <c r="M616" s="528">
        <f>IF(E616="STL",0,IF(F616&gt;0,Pricing!$D$21,0))</f>
        <v>0</v>
      </c>
      <c r="N616" s="529">
        <f>IF(E616="STL",F616*Pricing!$D$40,IF(A616&lt;=Pricing!$C$4,0,IF(AND(A616&gt;Pricing!$C$4,Disbursements!A616&lt;=Pricing!$C$5),F616*Pricing!$E$5,IF(AND(A616&gt;Pricing!$C$5,Disbursements!A616&lt;=Pricing!$C$7),VLOOKUP(F616,Pricing!$D$7:$E$8,2)*Disbursements!F616,F616*Pricing!$E$9))))</f>
        <v>0</v>
      </c>
      <c r="O616" s="528">
        <f>IF(E616="STL",0,IF($F616&gt;0,$F616*Pricing!$D$17,0))</f>
        <v>0</v>
      </c>
      <c r="P616" s="530" t="str">
        <f t="shared" si="256"/>
        <v/>
      </c>
      <c r="Q616" s="531" t="str">
        <f>IF($A616="","",$G616/VLOOKUP($I616,Ref!$B$23:$D$29,2,0))</f>
        <v/>
      </c>
      <c r="R616" s="530" t="str">
        <f t="shared" si="257"/>
        <v/>
      </c>
      <c r="S616" s="532" t="str">
        <f t="shared" si="251"/>
        <v/>
      </c>
      <c r="T616" s="531" t="str">
        <f t="shared" si="258"/>
        <v/>
      </c>
      <c r="U616" s="533">
        <f t="shared" si="259"/>
        <v>0</v>
      </c>
      <c r="V616" s="531" t="str">
        <f t="shared" si="260"/>
        <v/>
      </c>
      <c r="W616" s="531" t="str">
        <f t="shared" si="261"/>
        <v/>
      </c>
      <c r="X616" s="534" t="str">
        <f t="shared" si="262"/>
        <v/>
      </c>
      <c r="Y616" s="535" t="str">
        <f>IF($A616="","",IF($I616="weekly",$A616+7,EDATE($A616,VLOOKUP($I616,Ref!$B$24:$C$29,2,0))))</f>
        <v/>
      </c>
      <c r="Z616" s="536" t="str">
        <f t="shared" si="263"/>
        <v/>
      </c>
      <c r="AA616" s="531">
        <f t="shared" si="264"/>
        <v>0</v>
      </c>
      <c r="AB616" s="535" t="str">
        <f t="shared" si="252"/>
        <v/>
      </c>
      <c r="AC616" s="537" t="str">
        <f t="shared" si="253"/>
        <v/>
      </c>
      <c r="AD616" s="538" t="str">
        <f t="shared" ca="1" si="254"/>
        <v/>
      </c>
      <c r="AE616" s="537">
        <f t="shared" ca="1" si="255"/>
        <v>0</v>
      </c>
      <c r="AF616" s="539" t="str">
        <f t="shared" ca="1" si="265"/>
        <v/>
      </c>
      <c r="AG616" s="531" t="str">
        <f t="shared" ca="1" si="266"/>
        <v/>
      </c>
      <c r="AH616" s="531" t="str">
        <f t="shared" ca="1" si="267"/>
        <v/>
      </c>
      <c r="AI616" s="531" t="str">
        <f t="shared" ca="1" si="268"/>
        <v/>
      </c>
      <c r="AJ616" s="531" t="str">
        <f t="shared" si="269"/>
        <v/>
      </c>
      <c r="AK616" s="540">
        <f>SUMIFS('Live Collections'!$S:$S,'Live Collections'!$D:$D,Disbursements!B616,'Live Collections'!$G:$G,Disbursements!C616)</f>
        <v>0</v>
      </c>
      <c r="AL616" s="540">
        <f>SUMIFS('Live Collections'!$T:$T,'Live Collections'!$D:$D,Disbursements!B616,'Live Collections'!$G:$G,Disbursements!C616)</f>
        <v>0</v>
      </c>
      <c r="AM616" s="541">
        <f t="shared" si="270"/>
        <v>0</v>
      </c>
      <c r="AN616" s="542" t="str">
        <f t="shared" si="271"/>
        <v/>
      </c>
      <c r="AO616" s="542" t="str">
        <f t="shared" si="272"/>
        <v/>
      </c>
      <c r="AP616" s="543" t="str">
        <f t="shared" si="273"/>
        <v/>
      </c>
      <c r="AQ616" s="544" t="str">
        <f t="shared" si="274"/>
        <v/>
      </c>
      <c r="AR616" s="545">
        <f t="shared" si="275"/>
        <v>0</v>
      </c>
      <c r="AS616" s="545">
        <f>IFERROR(CEILING($AR616*VLOOKUP($I616,Ref!$B$23:$E$29,4,0),1),0)</f>
        <v>0</v>
      </c>
      <c r="AT616" s="545" t="str">
        <f>IF(A616="","",IF(AP616&lt;=1,"Cleared",IF(AS616=0,"Clean",VLOOKUP($AS616,Ref!$G$23:$H$28,2))))</f>
        <v/>
      </c>
      <c r="AU616" s="546" t="str">
        <f t="shared" si="276"/>
        <v/>
      </c>
    </row>
    <row r="617" spans="1:47" ht="14.25" hidden="1" customHeight="1" x14ac:dyDescent="0.15">
      <c r="A617" s="523"/>
      <c r="B617" s="523"/>
      <c r="C617" s="523"/>
      <c r="D617" s="523"/>
      <c r="E617" s="579"/>
      <c r="F617" s="580"/>
      <c r="G617" s="524"/>
      <c r="H617" s="555"/>
      <c r="I617" s="560"/>
      <c r="J617" s="523"/>
      <c r="K617" s="528" t="str">
        <f>IFERROR(VLOOKUP($B617,'Clients-Live'!$A:$C,3,0),"")</f>
        <v/>
      </c>
      <c r="L617" s="528">
        <f>IF(E617="STL",Pricing!$D$38,IF(A617="",0,IF(A617&lt;Pricing!$C$25,Pricing!$D$25,VLOOKUP(Disbursements!$F617,Pricing!$B$29:$D$32,3))))</f>
        <v>0</v>
      </c>
      <c r="M617" s="528">
        <f>IF(E617="STL",0,IF(F617&gt;0,Pricing!$D$21,0))</f>
        <v>0</v>
      </c>
      <c r="N617" s="529">
        <f>IF(E617="STL",F617*Pricing!$D$40,IF(A617&lt;=Pricing!$C$4,0,IF(AND(A617&gt;Pricing!$C$4,Disbursements!A617&lt;=Pricing!$C$5),F617*Pricing!$E$5,IF(AND(A617&gt;Pricing!$C$5,Disbursements!A617&lt;=Pricing!$C$7),VLOOKUP(F617,Pricing!$D$7:$E$8,2)*Disbursements!F617,F617*Pricing!$E$9))))</f>
        <v>0</v>
      </c>
      <c r="O617" s="528">
        <f>IF(E617="STL",0,IF($F617&gt;0,$F617*Pricing!$D$17,0))</f>
        <v>0</v>
      </c>
      <c r="P617" s="530" t="str">
        <f t="shared" si="256"/>
        <v/>
      </c>
      <c r="Q617" s="531" t="str">
        <f>IF($A617="","",$G617/VLOOKUP($I617,Ref!$B$23:$D$29,2,0))</f>
        <v/>
      </c>
      <c r="R617" s="530" t="str">
        <f t="shared" si="257"/>
        <v/>
      </c>
      <c r="S617" s="532" t="str">
        <f t="shared" si="251"/>
        <v/>
      </c>
      <c r="T617" s="531" t="str">
        <f t="shared" si="258"/>
        <v/>
      </c>
      <c r="U617" s="533">
        <f t="shared" si="259"/>
        <v>0</v>
      </c>
      <c r="V617" s="531" t="str">
        <f t="shared" si="260"/>
        <v/>
      </c>
      <c r="W617" s="531" t="str">
        <f t="shared" si="261"/>
        <v/>
      </c>
      <c r="X617" s="534" t="str">
        <f t="shared" si="262"/>
        <v/>
      </c>
      <c r="Y617" s="535" t="str">
        <f>IF($A617="","",IF($I617="weekly",$A617+7,EDATE($A617,VLOOKUP($I617,Ref!$B$24:$C$29,2,0))))</f>
        <v/>
      </c>
      <c r="Z617" s="536" t="str">
        <f t="shared" si="263"/>
        <v/>
      </c>
      <c r="AA617" s="531">
        <f t="shared" si="264"/>
        <v>0</v>
      </c>
      <c r="AB617" s="535" t="str">
        <f t="shared" si="252"/>
        <v/>
      </c>
      <c r="AC617" s="537" t="str">
        <f t="shared" si="253"/>
        <v/>
      </c>
      <c r="AD617" s="538" t="str">
        <f t="shared" ca="1" si="254"/>
        <v/>
      </c>
      <c r="AE617" s="537">
        <f t="shared" ca="1" si="255"/>
        <v>0</v>
      </c>
      <c r="AF617" s="539" t="str">
        <f t="shared" ca="1" si="265"/>
        <v/>
      </c>
      <c r="AG617" s="531" t="str">
        <f t="shared" ca="1" si="266"/>
        <v/>
      </c>
      <c r="AH617" s="531" t="str">
        <f t="shared" ca="1" si="267"/>
        <v/>
      </c>
      <c r="AI617" s="531" t="str">
        <f t="shared" ca="1" si="268"/>
        <v/>
      </c>
      <c r="AJ617" s="531" t="str">
        <f t="shared" si="269"/>
        <v/>
      </c>
      <c r="AK617" s="540">
        <f>SUMIFS('Live Collections'!$S:$S,'Live Collections'!$D:$D,Disbursements!B617,'Live Collections'!$G:$G,Disbursements!C617)</f>
        <v>0</v>
      </c>
      <c r="AL617" s="540">
        <f>SUMIFS('Live Collections'!$T:$T,'Live Collections'!$D:$D,Disbursements!B617,'Live Collections'!$G:$G,Disbursements!C617)</f>
        <v>0</v>
      </c>
      <c r="AM617" s="541">
        <f t="shared" si="270"/>
        <v>0</v>
      </c>
      <c r="AN617" s="542" t="str">
        <f t="shared" si="271"/>
        <v/>
      </c>
      <c r="AO617" s="542" t="str">
        <f t="shared" si="272"/>
        <v/>
      </c>
      <c r="AP617" s="543" t="str">
        <f t="shared" si="273"/>
        <v/>
      </c>
      <c r="AQ617" s="544" t="str">
        <f t="shared" si="274"/>
        <v/>
      </c>
      <c r="AR617" s="545">
        <f t="shared" si="275"/>
        <v>0</v>
      </c>
      <c r="AS617" s="545">
        <f>IFERROR(CEILING($AR617*VLOOKUP($I617,Ref!$B$23:$E$29,4,0),1),0)</f>
        <v>0</v>
      </c>
      <c r="AT617" s="545" t="str">
        <f>IF(A617="","",IF(AP617&lt;=1,"Cleared",IF(AS617=0,"Clean",VLOOKUP($AS617,Ref!$G$23:$H$28,2))))</f>
        <v/>
      </c>
      <c r="AU617" s="546" t="str">
        <f t="shared" si="276"/>
        <v/>
      </c>
    </row>
    <row r="618" spans="1:47" ht="14.25" hidden="1" customHeight="1" x14ac:dyDescent="0.15">
      <c r="A618" s="523"/>
      <c r="B618" s="523"/>
      <c r="C618" s="523"/>
      <c r="D618" s="523"/>
      <c r="E618" s="579"/>
      <c r="F618" s="580"/>
      <c r="G618" s="524"/>
      <c r="H618" s="555"/>
      <c r="I618" s="560"/>
      <c r="J618" s="523"/>
      <c r="K618" s="528" t="str">
        <f>IFERROR(VLOOKUP($B618,'Clients-Live'!$A:$C,3,0),"")</f>
        <v/>
      </c>
      <c r="L618" s="528">
        <f>IF(E618="STL",Pricing!$D$38,IF(A618="",0,IF(A618&lt;Pricing!$C$25,Pricing!$D$25,VLOOKUP(Disbursements!$F618,Pricing!$B$29:$D$32,3))))</f>
        <v>0</v>
      </c>
      <c r="M618" s="528">
        <f>IF(E618="STL",0,IF(F618&gt;0,Pricing!$D$21,0))</f>
        <v>0</v>
      </c>
      <c r="N618" s="529">
        <f>IF(E618="STL",F618*Pricing!$D$40,IF(A618&lt;=Pricing!$C$4,0,IF(AND(A618&gt;Pricing!$C$4,Disbursements!A618&lt;=Pricing!$C$5),F618*Pricing!$E$5,IF(AND(A618&gt;Pricing!$C$5,Disbursements!A618&lt;=Pricing!$C$7),VLOOKUP(F618,Pricing!$D$7:$E$8,2)*Disbursements!F618,F618*Pricing!$E$9))))</f>
        <v>0</v>
      </c>
      <c r="O618" s="528">
        <f>IF(E618="STL",0,IF($F618&gt;0,$F618*Pricing!$D$17,0))</f>
        <v>0</v>
      </c>
      <c r="P618" s="530" t="str">
        <f t="shared" si="256"/>
        <v/>
      </c>
      <c r="Q618" s="531" t="str">
        <f>IF($A618="","",$G618/VLOOKUP($I618,Ref!$B$23:$D$29,2,0))</f>
        <v/>
      </c>
      <c r="R618" s="530" t="str">
        <f t="shared" si="257"/>
        <v/>
      </c>
      <c r="S618" s="532" t="str">
        <f t="shared" si="251"/>
        <v/>
      </c>
      <c r="T618" s="531" t="str">
        <f t="shared" si="258"/>
        <v/>
      </c>
      <c r="U618" s="533">
        <f t="shared" si="259"/>
        <v>0</v>
      </c>
      <c r="V618" s="531" t="str">
        <f t="shared" si="260"/>
        <v/>
      </c>
      <c r="W618" s="531" t="str">
        <f t="shared" si="261"/>
        <v/>
      </c>
      <c r="X618" s="534" t="str">
        <f t="shared" si="262"/>
        <v/>
      </c>
      <c r="Y618" s="535" t="str">
        <f>IF($A618="","",IF($I618="weekly",$A618+7,EDATE($A618,VLOOKUP($I618,Ref!$B$24:$C$29,2,0))))</f>
        <v/>
      </c>
      <c r="Z618" s="536" t="str">
        <f t="shared" si="263"/>
        <v/>
      </c>
      <c r="AA618" s="531">
        <f t="shared" si="264"/>
        <v>0</v>
      </c>
      <c r="AB618" s="535" t="str">
        <f t="shared" si="252"/>
        <v/>
      </c>
      <c r="AC618" s="537" t="str">
        <f t="shared" si="253"/>
        <v/>
      </c>
      <c r="AD618" s="538" t="str">
        <f t="shared" ca="1" si="254"/>
        <v/>
      </c>
      <c r="AE618" s="537">
        <f t="shared" ca="1" si="255"/>
        <v>0</v>
      </c>
      <c r="AF618" s="539" t="str">
        <f t="shared" ca="1" si="265"/>
        <v/>
      </c>
      <c r="AG618" s="531" t="str">
        <f t="shared" ca="1" si="266"/>
        <v/>
      </c>
      <c r="AH618" s="531" t="str">
        <f t="shared" ca="1" si="267"/>
        <v/>
      </c>
      <c r="AI618" s="531" t="str">
        <f t="shared" ca="1" si="268"/>
        <v/>
      </c>
      <c r="AJ618" s="531" t="str">
        <f t="shared" si="269"/>
        <v/>
      </c>
      <c r="AK618" s="540">
        <f>SUMIFS('Live Collections'!$S:$S,'Live Collections'!$D:$D,Disbursements!B618,'Live Collections'!$G:$G,Disbursements!C618)</f>
        <v>0</v>
      </c>
      <c r="AL618" s="540">
        <f>SUMIFS('Live Collections'!$T:$T,'Live Collections'!$D:$D,Disbursements!B618,'Live Collections'!$G:$G,Disbursements!C618)</f>
        <v>0</v>
      </c>
      <c r="AM618" s="541">
        <f t="shared" si="270"/>
        <v>0</v>
      </c>
      <c r="AN618" s="542" t="str">
        <f t="shared" si="271"/>
        <v/>
      </c>
      <c r="AO618" s="542" t="str">
        <f t="shared" si="272"/>
        <v/>
      </c>
      <c r="AP618" s="543" t="str">
        <f t="shared" si="273"/>
        <v/>
      </c>
      <c r="AQ618" s="544" t="str">
        <f t="shared" si="274"/>
        <v/>
      </c>
      <c r="AR618" s="545">
        <f t="shared" si="275"/>
        <v>0</v>
      </c>
      <c r="AS618" s="545">
        <f>IFERROR(CEILING($AR618*VLOOKUP($I618,Ref!$B$23:$E$29,4,0),1),0)</f>
        <v>0</v>
      </c>
      <c r="AT618" s="545" t="str">
        <f>IF(A618="","",IF(AP618&lt;=1,"Cleared",IF(AS618=0,"Clean",VLOOKUP($AS618,Ref!$G$23:$H$28,2))))</f>
        <v/>
      </c>
      <c r="AU618" s="546" t="str">
        <f t="shared" si="276"/>
        <v/>
      </c>
    </row>
    <row r="619" spans="1:47" ht="14.25" hidden="1" customHeight="1" x14ac:dyDescent="0.15">
      <c r="A619" s="523"/>
      <c r="B619" s="523"/>
      <c r="C619" s="523"/>
      <c r="D619" s="523"/>
      <c r="E619" s="579"/>
      <c r="F619" s="580"/>
      <c r="G619" s="524"/>
      <c r="H619" s="555"/>
      <c r="I619" s="560"/>
      <c r="J619" s="523"/>
      <c r="K619" s="528" t="str">
        <f>IFERROR(VLOOKUP($B619,'Clients-Live'!$A:$C,3,0),"")</f>
        <v/>
      </c>
      <c r="L619" s="528">
        <f>IF(E619="STL",Pricing!$D$38,IF(A619="",0,IF(A619&lt;Pricing!$C$25,Pricing!$D$25,VLOOKUP(Disbursements!$F619,Pricing!$B$29:$D$32,3))))</f>
        <v>0</v>
      </c>
      <c r="M619" s="528">
        <f>IF(E619="STL",0,IF(F619&gt;0,Pricing!$D$21,0))</f>
        <v>0</v>
      </c>
      <c r="N619" s="529">
        <f>IF(E619="STL",F619*Pricing!$D$40,IF(A619&lt;=Pricing!$C$4,0,IF(AND(A619&gt;Pricing!$C$4,Disbursements!A619&lt;=Pricing!$C$5),F619*Pricing!$E$5,IF(AND(A619&gt;Pricing!$C$5,Disbursements!A619&lt;=Pricing!$C$7),VLOOKUP(F619,Pricing!$D$7:$E$8,2)*Disbursements!F619,F619*Pricing!$E$9))))</f>
        <v>0</v>
      </c>
      <c r="O619" s="528">
        <f>IF(E619="STL",0,IF($F619&gt;0,$F619*Pricing!$D$17,0))</f>
        <v>0</v>
      </c>
      <c r="P619" s="530" t="str">
        <f t="shared" si="256"/>
        <v/>
      </c>
      <c r="Q619" s="531" t="str">
        <f>IF($A619="","",$G619/VLOOKUP($I619,Ref!$B$23:$D$29,2,0))</f>
        <v/>
      </c>
      <c r="R619" s="530" t="str">
        <f t="shared" si="257"/>
        <v/>
      </c>
      <c r="S619" s="532" t="str">
        <f t="shared" si="251"/>
        <v/>
      </c>
      <c r="T619" s="531" t="str">
        <f t="shared" si="258"/>
        <v/>
      </c>
      <c r="U619" s="533">
        <f t="shared" si="259"/>
        <v>0</v>
      </c>
      <c r="V619" s="531" t="str">
        <f t="shared" si="260"/>
        <v/>
      </c>
      <c r="W619" s="531" t="str">
        <f t="shared" si="261"/>
        <v/>
      </c>
      <c r="X619" s="534" t="str">
        <f t="shared" si="262"/>
        <v/>
      </c>
      <c r="Y619" s="535" t="str">
        <f>IF($A619="","",IF($I619="weekly",$A619+7,EDATE($A619,VLOOKUP($I619,Ref!$B$24:$C$29,2,0))))</f>
        <v/>
      </c>
      <c r="Z619" s="536" t="str">
        <f t="shared" si="263"/>
        <v/>
      </c>
      <c r="AA619" s="531">
        <f t="shared" si="264"/>
        <v>0</v>
      </c>
      <c r="AB619" s="535" t="str">
        <f t="shared" si="252"/>
        <v/>
      </c>
      <c r="AC619" s="537" t="str">
        <f t="shared" si="253"/>
        <v/>
      </c>
      <c r="AD619" s="538" t="str">
        <f t="shared" ca="1" si="254"/>
        <v/>
      </c>
      <c r="AE619" s="537">
        <f t="shared" ca="1" si="255"/>
        <v>0</v>
      </c>
      <c r="AF619" s="539" t="str">
        <f t="shared" ca="1" si="265"/>
        <v/>
      </c>
      <c r="AG619" s="531" t="str">
        <f t="shared" ca="1" si="266"/>
        <v/>
      </c>
      <c r="AH619" s="531" t="str">
        <f t="shared" ca="1" si="267"/>
        <v/>
      </c>
      <c r="AI619" s="531" t="str">
        <f t="shared" ca="1" si="268"/>
        <v/>
      </c>
      <c r="AJ619" s="531" t="str">
        <f t="shared" si="269"/>
        <v/>
      </c>
      <c r="AK619" s="540">
        <f>SUMIFS('Live Collections'!$S:$S,'Live Collections'!$D:$D,Disbursements!B619,'Live Collections'!$G:$G,Disbursements!C619)</f>
        <v>0</v>
      </c>
      <c r="AL619" s="540">
        <f>SUMIFS('Live Collections'!$T:$T,'Live Collections'!$D:$D,Disbursements!B619,'Live Collections'!$G:$G,Disbursements!C619)</f>
        <v>0</v>
      </c>
      <c r="AM619" s="541">
        <f t="shared" si="270"/>
        <v>0</v>
      </c>
      <c r="AN619" s="542" t="str">
        <f t="shared" si="271"/>
        <v/>
      </c>
      <c r="AO619" s="542" t="str">
        <f t="shared" si="272"/>
        <v/>
      </c>
      <c r="AP619" s="543" t="str">
        <f t="shared" si="273"/>
        <v/>
      </c>
      <c r="AQ619" s="544" t="str">
        <f t="shared" si="274"/>
        <v/>
      </c>
      <c r="AR619" s="545">
        <f t="shared" si="275"/>
        <v>0</v>
      </c>
      <c r="AS619" s="545">
        <f>IFERROR(CEILING($AR619*VLOOKUP($I619,Ref!$B$23:$E$29,4,0),1),0)</f>
        <v>0</v>
      </c>
      <c r="AT619" s="545" t="str">
        <f>IF(A619="","",IF(AP619&lt;=1,"Cleared",IF(AS619=0,"Clean",VLOOKUP($AS619,Ref!$G$23:$H$28,2))))</f>
        <v/>
      </c>
      <c r="AU619" s="546" t="str">
        <f t="shared" si="276"/>
        <v/>
      </c>
    </row>
    <row r="620" spans="1:47" ht="14.25" hidden="1" customHeight="1" x14ac:dyDescent="0.15">
      <c r="A620" s="523"/>
      <c r="B620" s="523"/>
      <c r="C620" s="523"/>
      <c r="D620" s="523"/>
      <c r="E620" s="579"/>
      <c r="F620" s="580"/>
      <c r="G620" s="524"/>
      <c r="H620" s="555"/>
      <c r="I620" s="560"/>
      <c r="J620" s="523"/>
      <c r="K620" s="528" t="str">
        <f>IFERROR(VLOOKUP($B620,'Clients-Live'!$A:$C,3,0),"")</f>
        <v/>
      </c>
      <c r="L620" s="528">
        <f>IF(E620="STL",Pricing!$D$38,IF(A620="",0,IF(A620&lt;Pricing!$C$25,Pricing!$D$25,VLOOKUP(Disbursements!$F620,Pricing!$B$29:$D$32,3))))</f>
        <v>0</v>
      </c>
      <c r="M620" s="528">
        <f>IF(E620="STL",0,IF(F620&gt;0,Pricing!$D$21,0))</f>
        <v>0</v>
      </c>
      <c r="N620" s="529">
        <f>IF(E620="STL",F620*Pricing!$D$40,IF(A620&lt;=Pricing!$C$4,0,IF(AND(A620&gt;Pricing!$C$4,Disbursements!A620&lt;=Pricing!$C$5),F620*Pricing!$E$5,IF(AND(A620&gt;Pricing!$C$5,Disbursements!A620&lt;=Pricing!$C$7),VLOOKUP(F620,Pricing!$D$7:$E$8,2)*Disbursements!F620,F620*Pricing!$E$9))))</f>
        <v>0</v>
      </c>
      <c r="O620" s="528">
        <f>IF(E620="STL",0,IF($F620&gt;0,$F620*Pricing!$D$17,0))</f>
        <v>0</v>
      </c>
      <c r="P620" s="530" t="str">
        <f t="shared" si="256"/>
        <v/>
      </c>
      <c r="Q620" s="531" t="str">
        <f>IF($A620="","",$G620/VLOOKUP($I620,Ref!$B$23:$D$29,2,0))</f>
        <v/>
      </c>
      <c r="R620" s="530" t="str">
        <f t="shared" si="257"/>
        <v/>
      </c>
      <c r="S620" s="532" t="str">
        <f t="shared" si="251"/>
        <v/>
      </c>
      <c r="T620" s="531" t="str">
        <f t="shared" si="258"/>
        <v/>
      </c>
      <c r="U620" s="533">
        <f t="shared" si="259"/>
        <v>0</v>
      </c>
      <c r="V620" s="531" t="str">
        <f t="shared" si="260"/>
        <v/>
      </c>
      <c r="W620" s="531" t="str">
        <f t="shared" si="261"/>
        <v/>
      </c>
      <c r="X620" s="534" t="str">
        <f t="shared" si="262"/>
        <v/>
      </c>
      <c r="Y620" s="535" t="str">
        <f>IF($A620="","",IF($I620="weekly",$A620+7,EDATE($A620,VLOOKUP($I620,Ref!$B$24:$C$29,2,0))))</f>
        <v/>
      </c>
      <c r="Z620" s="536" t="str">
        <f t="shared" si="263"/>
        <v/>
      </c>
      <c r="AA620" s="531">
        <f t="shared" si="264"/>
        <v>0</v>
      </c>
      <c r="AB620" s="535" t="str">
        <f t="shared" si="252"/>
        <v/>
      </c>
      <c r="AC620" s="537" t="str">
        <f t="shared" si="253"/>
        <v/>
      </c>
      <c r="AD620" s="538" t="str">
        <f t="shared" ca="1" si="254"/>
        <v/>
      </c>
      <c r="AE620" s="537">
        <f t="shared" ca="1" si="255"/>
        <v>0</v>
      </c>
      <c r="AF620" s="539" t="str">
        <f t="shared" ca="1" si="265"/>
        <v/>
      </c>
      <c r="AG620" s="531" t="str">
        <f t="shared" ca="1" si="266"/>
        <v/>
      </c>
      <c r="AH620" s="531" t="str">
        <f t="shared" ca="1" si="267"/>
        <v/>
      </c>
      <c r="AI620" s="531" t="str">
        <f t="shared" ca="1" si="268"/>
        <v/>
      </c>
      <c r="AJ620" s="531" t="str">
        <f t="shared" si="269"/>
        <v/>
      </c>
      <c r="AK620" s="540">
        <f>SUMIFS('Live Collections'!$S:$S,'Live Collections'!$D:$D,Disbursements!B620,'Live Collections'!$G:$G,Disbursements!C620)</f>
        <v>0</v>
      </c>
      <c r="AL620" s="540">
        <f>SUMIFS('Live Collections'!$T:$T,'Live Collections'!$D:$D,Disbursements!B620,'Live Collections'!$G:$G,Disbursements!C620)</f>
        <v>0</v>
      </c>
      <c r="AM620" s="541">
        <f t="shared" si="270"/>
        <v>0</v>
      </c>
      <c r="AN620" s="542" t="str">
        <f t="shared" si="271"/>
        <v/>
      </c>
      <c r="AO620" s="542" t="str">
        <f t="shared" si="272"/>
        <v/>
      </c>
      <c r="AP620" s="543" t="str">
        <f t="shared" si="273"/>
        <v/>
      </c>
      <c r="AQ620" s="544" t="str">
        <f t="shared" si="274"/>
        <v/>
      </c>
      <c r="AR620" s="545">
        <f t="shared" si="275"/>
        <v>0</v>
      </c>
      <c r="AS620" s="545">
        <f>IFERROR(CEILING($AR620*VLOOKUP($I620,Ref!$B$23:$E$29,4,0),1),0)</f>
        <v>0</v>
      </c>
      <c r="AT620" s="545" t="str">
        <f>IF(A620="","",IF(AP620&lt;=1,"Cleared",IF(AS620=0,"Clean",VLOOKUP($AS620,Ref!$G$23:$H$28,2))))</f>
        <v/>
      </c>
      <c r="AU620" s="546" t="str">
        <f t="shared" si="276"/>
        <v/>
      </c>
    </row>
    <row r="621" spans="1:47" ht="14.25" hidden="1" customHeight="1" x14ac:dyDescent="0.15">
      <c r="A621" s="523"/>
      <c r="B621" s="523"/>
      <c r="C621" s="523"/>
      <c r="D621" s="523"/>
      <c r="E621" s="579"/>
      <c r="F621" s="580"/>
      <c r="G621" s="524"/>
      <c r="H621" s="555"/>
      <c r="I621" s="560"/>
      <c r="J621" s="523"/>
      <c r="K621" s="528" t="str">
        <f>IFERROR(VLOOKUP($B621,'Clients-Live'!$A:$C,3,0),"")</f>
        <v/>
      </c>
      <c r="L621" s="528">
        <f>IF(E621="STL",Pricing!$D$38,IF(A621="",0,IF(A621&lt;Pricing!$C$25,Pricing!$D$25,VLOOKUP(Disbursements!$F621,Pricing!$B$29:$D$32,3))))</f>
        <v>0</v>
      </c>
      <c r="M621" s="528">
        <f>IF(E621="STL",0,IF(F621&gt;0,Pricing!$D$21,0))</f>
        <v>0</v>
      </c>
      <c r="N621" s="529">
        <f>IF(E621="STL",F621*Pricing!$D$40,IF(A621&lt;=Pricing!$C$4,0,IF(AND(A621&gt;Pricing!$C$4,Disbursements!A621&lt;=Pricing!$C$5),F621*Pricing!$E$5,IF(AND(A621&gt;Pricing!$C$5,Disbursements!A621&lt;=Pricing!$C$7),VLOOKUP(F621,Pricing!$D$7:$E$8,2)*Disbursements!F621,F621*Pricing!$E$9))))</f>
        <v>0</v>
      </c>
      <c r="O621" s="528">
        <f>IF(E621="STL",0,IF($F621&gt;0,$F621*Pricing!$D$17,0))</f>
        <v>0</v>
      </c>
      <c r="P621" s="530" t="str">
        <f t="shared" si="256"/>
        <v/>
      </c>
      <c r="Q621" s="531" t="str">
        <f>IF($A621="","",$G621/VLOOKUP($I621,Ref!$B$23:$D$29,2,0))</f>
        <v/>
      </c>
      <c r="R621" s="530" t="str">
        <f t="shared" si="257"/>
        <v/>
      </c>
      <c r="S621" s="532" t="str">
        <f t="shared" si="251"/>
        <v/>
      </c>
      <c r="T621" s="531" t="str">
        <f t="shared" si="258"/>
        <v/>
      </c>
      <c r="U621" s="533">
        <f t="shared" si="259"/>
        <v>0</v>
      </c>
      <c r="V621" s="531" t="str">
        <f t="shared" si="260"/>
        <v/>
      </c>
      <c r="W621" s="531" t="str">
        <f t="shared" si="261"/>
        <v/>
      </c>
      <c r="X621" s="534" t="str">
        <f t="shared" si="262"/>
        <v/>
      </c>
      <c r="Y621" s="535" t="str">
        <f>IF($A621="","",IF($I621="weekly",$A621+7,EDATE($A621,VLOOKUP($I621,Ref!$B$24:$C$29,2,0))))</f>
        <v/>
      </c>
      <c r="Z621" s="536" t="str">
        <f t="shared" si="263"/>
        <v/>
      </c>
      <c r="AA621" s="531">
        <f t="shared" si="264"/>
        <v>0</v>
      </c>
      <c r="AB621" s="535" t="str">
        <f t="shared" si="252"/>
        <v/>
      </c>
      <c r="AC621" s="537" t="str">
        <f t="shared" si="253"/>
        <v/>
      </c>
      <c r="AD621" s="538" t="str">
        <f t="shared" ca="1" si="254"/>
        <v/>
      </c>
      <c r="AE621" s="537">
        <f t="shared" ca="1" si="255"/>
        <v>0</v>
      </c>
      <c r="AF621" s="539" t="str">
        <f t="shared" ca="1" si="265"/>
        <v/>
      </c>
      <c r="AG621" s="531" t="str">
        <f t="shared" ca="1" si="266"/>
        <v/>
      </c>
      <c r="AH621" s="531" t="str">
        <f t="shared" ca="1" si="267"/>
        <v/>
      </c>
      <c r="AI621" s="531" t="str">
        <f t="shared" ca="1" si="268"/>
        <v/>
      </c>
      <c r="AJ621" s="531" t="str">
        <f t="shared" si="269"/>
        <v/>
      </c>
      <c r="AK621" s="540">
        <f>SUMIFS('Live Collections'!$S:$S,'Live Collections'!$D:$D,Disbursements!B621,'Live Collections'!$G:$G,Disbursements!C621)</f>
        <v>0</v>
      </c>
      <c r="AL621" s="540">
        <f>SUMIFS('Live Collections'!$T:$T,'Live Collections'!$D:$D,Disbursements!B621,'Live Collections'!$G:$G,Disbursements!C621)</f>
        <v>0</v>
      </c>
      <c r="AM621" s="541">
        <f t="shared" si="270"/>
        <v>0</v>
      </c>
      <c r="AN621" s="542" t="str">
        <f t="shared" si="271"/>
        <v/>
      </c>
      <c r="AO621" s="542" t="str">
        <f t="shared" si="272"/>
        <v/>
      </c>
      <c r="AP621" s="543" t="str">
        <f t="shared" si="273"/>
        <v/>
      </c>
      <c r="AQ621" s="544" t="str">
        <f t="shared" si="274"/>
        <v/>
      </c>
      <c r="AR621" s="545">
        <f t="shared" si="275"/>
        <v>0</v>
      </c>
      <c r="AS621" s="545">
        <f>IFERROR(CEILING($AR621*VLOOKUP($I621,Ref!$B$23:$E$29,4,0),1),0)</f>
        <v>0</v>
      </c>
      <c r="AT621" s="545" t="str">
        <f>IF(A621="","",IF(AP621&lt;=1,"Cleared",IF(AS621=0,"Clean",VLOOKUP($AS621,Ref!$G$23:$H$28,2))))</f>
        <v/>
      </c>
      <c r="AU621" s="546" t="str">
        <f t="shared" si="276"/>
        <v/>
      </c>
    </row>
    <row r="622" spans="1:47" ht="14.25" hidden="1" customHeight="1" x14ac:dyDescent="0.15">
      <c r="A622" s="523"/>
      <c r="B622" s="523"/>
      <c r="C622" s="523"/>
      <c r="D622" s="523"/>
      <c r="E622" s="579"/>
      <c r="F622" s="580"/>
      <c r="G622" s="524"/>
      <c r="H622" s="555"/>
      <c r="I622" s="560"/>
      <c r="J622" s="523"/>
      <c r="K622" s="528" t="str">
        <f>IFERROR(VLOOKUP($B622,'Clients-Live'!$A:$C,3,0),"")</f>
        <v/>
      </c>
      <c r="L622" s="528">
        <f>IF(E622="STL",Pricing!$D$38,IF(A622="",0,IF(A622&lt;Pricing!$C$25,Pricing!$D$25,VLOOKUP(Disbursements!$F622,Pricing!$B$29:$D$32,3))))</f>
        <v>0</v>
      </c>
      <c r="M622" s="528">
        <f>IF(E622="STL",0,IF(F622&gt;0,Pricing!$D$21,0))</f>
        <v>0</v>
      </c>
      <c r="N622" s="529">
        <f>IF(E622="STL",F622*Pricing!$D$40,IF(A622&lt;=Pricing!$C$4,0,IF(AND(A622&gt;Pricing!$C$4,Disbursements!A622&lt;=Pricing!$C$5),F622*Pricing!$E$5,IF(AND(A622&gt;Pricing!$C$5,Disbursements!A622&lt;=Pricing!$C$7),VLOOKUP(F622,Pricing!$D$7:$E$8,2)*Disbursements!F622,F622*Pricing!$E$9))))</f>
        <v>0</v>
      </c>
      <c r="O622" s="528">
        <f>IF(E622="STL",0,IF($F622&gt;0,$F622*Pricing!$D$17,0))</f>
        <v>0</v>
      </c>
      <c r="P622" s="530" t="str">
        <f t="shared" si="256"/>
        <v/>
      </c>
      <c r="Q622" s="531" t="str">
        <f>IF($A622="","",$G622/VLOOKUP($I622,Ref!$B$23:$D$29,2,0))</f>
        <v/>
      </c>
      <c r="R622" s="530" t="str">
        <f t="shared" si="257"/>
        <v/>
      </c>
      <c r="S622" s="532" t="str">
        <f t="shared" si="251"/>
        <v/>
      </c>
      <c r="T622" s="531" t="str">
        <f t="shared" si="258"/>
        <v/>
      </c>
      <c r="U622" s="533">
        <f t="shared" si="259"/>
        <v>0</v>
      </c>
      <c r="V622" s="531" t="str">
        <f t="shared" si="260"/>
        <v/>
      </c>
      <c r="W622" s="531" t="str">
        <f t="shared" si="261"/>
        <v/>
      </c>
      <c r="X622" s="534" t="str">
        <f t="shared" si="262"/>
        <v/>
      </c>
      <c r="Y622" s="535" t="str">
        <f>IF($A622="","",IF($I622="weekly",$A622+7,EDATE($A622,VLOOKUP($I622,Ref!$B$24:$C$29,2,0))))</f>
        <v/>
      </c>
      <c r="Z622" s="536" t="str">
        <f t="shared" si="263"/>
        <v/>
      </c>
      <c r="AA622" s="531">
        <f t="shared" si="264"/>
        <v>0</v>
      </c>
      <c r="AB622" s="535" t="str">
        <f t="shared" si="252"/>
        <v/>
      </c>
      <c r="AC622" s="537" t="str">
        <f t="shared" si="253"/>
        <v/>
      </c>
      <c r="AD622" s="538" t="str">
        <f t="shared" ca="1" si="254"/>
        <v/>
      </c>
      <c r="AE622" s="537">
        <f t="shared" ca="1" si="255"/>
        <v>0</v>
      </c>
      <c r="AF622" s="539" t="str">
        <f t="shared" ca="1" si="265"/>
        <v/>
      </c>
      <c r="AG622" s="531" t="str">
        <f t="shared" ca="1" si="266"/>
        <v/>
      </c>
      <c r="AH622" s="531" t="str">
        <f t="shared" ca="1" si="267"/>
        <v/>
      </c>
      <c r="AI622" s="531" t="str">
        <f t="shared" ca="1" si="268"/>
        <v/>
      </c>
      <c r="AJ622" s="531" t="str">
        <f t="shared" si="269"/>
        <v/>
      </c>
      <c r="AK622" s="540">
        <f>SUMIFS('Live Collections'!$S:$S,'Live Collections'!$D:$D,Disbursements!B622,'Live Collections'!$G:$G,Disbursements!C622)</f>
        <v>0</v>
      </c>
      <c r="AL622" s="540">
        <f>SUMIFS('Live Collections'!$T:$T,'Live Collections'!$D:$D,Disbursements!B622,'Live Collections'!$G:$G,Disbursements!C622)</f>
        <v>0</v>
      </c>
      <c r="AM622" s="541">
        <f t="shared" si="270"/>
        <v>0</v>
      </c>
      <c r="AN622" s="542" t="str">
        <f t="shared" si="271"/>
        <v/>
      </c>
      <c r="AO622" s="542" t="str">
        <f t="shared" si="272"/>
        <v/>
      </c>
      <c r="AP622" s="543" t="str">
        <f t="shared" si="273"/>
        <v/>
      </c>
      <c r="AQ622" s="544" t="str">
        <f t="shared" si="274"/>
        <v/>
      </c>
      <c r="AR622" s="545">
        <f t="shared" si="275"/>
        <v>0</v>
      </c>
      <c r="AS622" s="545">
        <f>IFERROR(CEILING($AR622*VLOOKUP($I622,Ref!$B$23:$E$29,4,0),1),0)</f>
        <v>0</v>
      </c>
      <c r="AT622" s="545" t="str">
        <f>IF(A622="","",IF(AP622&lt;=1,"Cleared",IF(AS622=0,"Clean",VLOOKUP($AS622,Ref!$G$23:$H$28,2))))</f>
        <v/>
      </c>
      <c r="AU622" s="546" t="str">
        <f t="shared" si="276"/>
        <v/>
      </c>
    </row>
    <row r="623" spans="1:47" ht="14.25" hidden="1" customHeight="1" x14ac:dyDescent="0.15">
      <c r="A623" s="523"/>
      <c r="B623" s="523"/>
      <c r="C623" s="523"/>
      <c r="D623" s="523"/>
      <c r="E623" s="579"/>
      <c r="F623" s="580"/>
      <c r="G623" s="524"/>
      <c r="H623" s="555"/>
      <c r="I623" s="560"/>
      <c r="J623" s="523"/>
      <c r="K623" s="528" t="str">
        <f>IFERROR(VLOOKUP($B623,'Clients-Live'!$A:$C,3,0),"")</f>
        <v/>
      </c>
      <c r="L623" s="528">
        <f>IF(E623="STL",Pricing!$D$38,IF(A623="",0,IF(A623&lt;Pricing!$C$25,Pricing!$D$25,VLOOKUP(Disbursements!$F623,Pricing!$B$29:$D$32,3))))</f>
        <v>0</v>
      </c>
      <c r="M623" s="528">
        <f>IF(E623="STL",0,IF(F623&gt;0,Pricing!$D$21,0))</f>
        <v>0</v>
      </c>
      <c r="N623" s="529">
        <f>IF(E623="STL",F623*Pricing!$D$40,IF(A623&lt;=Pricing!$C$4,0,IF(AND(A623&gt;Pricing!$C$4,Disbursements!A623&lt;=Pricing!$C$5),F623*Pricing!$E$5,IF(AND(A623&gt;Pricing!$C$5,Disbursements!A623&lt;=Pricing!$C$7),VLOOKUP(F623,Pricing!$D$7:$E$8,2)*Disbursements!F623,F623*Pricing!$E$9))))</f>
        <v>0</v>
      </c>
      <c r="O623" s="528">
        <f>IF(E623="STL",0,IF($F623&gt;0,$F623*Pricing!$D$17,0))</f>
        <v>0</v>
      </c>
      <c r="P623" s="530" t="str">
        <f t="shared" si="256"/>
        <v/>
      </c>
      <c r="Q623" s="531" t="str">
        <f>IF($A623="","",$G623/VLOOKUP($I623,Ref!$B$23:$D$29,2,0))</f>
        <v/>
      </c>
      <c r="R623" s="530" t="str">
        <f t="shared" si="257"/>
        <v/>
      </c>
      <c r="S623" s="532" t="str">
        <f t="shared" si="251"/>
        <v/>
      </c>
      <c r="T623" s="531" t="str">
        <f t="shared" si="258"/>
        <v/>
      </c>
      <c r="U623" s="533">
        <f t="shared" si="259"/>
        <v>0</v>
      </c>
      <c r="V623" s="531" t="str">
        <f t="shared" si="260"/>
        <v/>
      </c>
      <c r="W623" s="531" t="str">
        <f t="shared" si="261"/>
        <v/>
      </c>
      <c r="X623" s="534" t="str">
        <f t="shared" si="262"/>
        <v/>
      </c>
      <c r="Y623" s="535" t="str">
        <f>IF($A623="","",IF($I623="weekly",$A623+7,EDATE($A623,VLOOKUP($I623,Ref!$B$24:$C$29,2,0))))</f>
        <v/>
      </c>
      <c r="Z623" s="536" t="str">
        <f t="shared" si="263"/>
        <v/>
      </c>
      <c r="AA623" s="531">
        <f t="shared" si="264"/>
        <v>0</v>
      </c>
      <c r="AB623" s="535" t="str">
        <f t="shared" si="252"/>
        <v/>
      </c>
      <c r="AC623" s="537" t="str">
        <f t="shared" si="253"/>
        <v/>
      </c>
      <c r="AD623" s="538" t="str">
        <f t="shared" ca="1" si="254"/>
        <v/>
      </c>
      <c r="AE623" s="537">
        <f t="shared" ca="1" si="255"/>
        <v>0</v>
      </c>
      <c r="AF623" s="539" t="str">
        <f t="shared" ca="1" si="265"/>
        <v/>
      </c>
      <c r="AG623" s="531" t="str">
        <f t="shared" ca="1" si="266"/>
        <v/>
      </c>
      <c r="AH623" s="531" t="str">
        <f t="shared" ca="1" si="267"/>
        <v/>
      </c>
      <c r="AI623" s="531" t="str">
        <f t="shared" ca="1" si="268"/>
        <v/>
      </c>
      <c r="AJ623" s="531" t="str">
        <f t="shared" si="269"/>
        <v/>
      </c>
      <c r="AK623" s="540">
        <f>SUMIFS('Live Collections'!$S:$S,'Live Collections'!$D:$D,Disbursements!B623,'Live Collections'!$G:$G,Disbursements!C623)</f>
        <v>0</v>
      </c>
      <c r="AL623" s="540">
        <f>SUMIFS('Live Collections'!$T:$T,'Live Collections'!$D:$D,Disbursements!B623,'Live Collections'!$G:$G,Disbursements!C623)</f>
        <v>0</v>
      </c>
      <c r="AM623" s="541">
        <f t="shared" si="270"/>
        <v>0</v>
      </c>
      <c r="AN623" s="542" t="str">
        <f t="shared" si="271"/>
        <v/>
      </c>
      <c r="AO623" s="542" t="str">
        <f t="shared" si="272"/>
        <v/>
      </c>
      <c r="AP623" s="543" t="str">
        <f t="shared" si="273"/>
        <v/>
      </c>
      <c r="AQ623" s="544" t="str">
        <f t="shared" si="274"/>
        <v/>
      </c>
      <c r="AR623" s="545">
        <f t="shared" si="275"/>
        <v>0</v>
      </c>
      <c r="AS623" s="545">
        <f>IFERROR(CEILING($AR623*VLOOKUP($I623,Ref!$B$23:$E$29,4,0),1),0)</f>
        <v>0</v>
      </c>
      <c r="AT623" s="545" t="str">
        <f>IF(A623="","",IF(AP623&lt;=1,"Cleared",IF(AS623=0,"Clean",VLOOKUP($AS623,Ref!$G$23:$H$28,2))))</f>
        <v/>
      </c>
      <c r="AU623" s="546" t="str">
        <f t="shared" si="276"/>
        <v/>
      </c>
    </row>
    <row r="624" spans="1:47" ht="14.25" hidden="1" customHeight="1" x14ac:dyDescent="0.15">
      <c r="A624" s="523"/>
      <c r="B624" s="523"/>
      <c r="C624" s="523"/>
      <c r="D624" s="523"/>
      <c r="E624" s="579"/>
      <c r="F624" s="580"/>
      <c r="G624" s="524"/>
      <c r="H624" s="555"/>
      <c r="I624" s="560"/>
      <c r="J624" s="523"/>
      <c r="K624" s="528" t="str">
        <f>IFERROR(VLOOKUP($B624,'Clients-Live'!$A:$C,3,0),"")</f>
        <v/>
      </c>
      <c r="L624" s="528">
        <f>IF(E624="STL",Pricing!$D$38,IF(A624="",0,IF(A624&lt;Pricing!$C$25,Pricing!$D$25,VLOOKUP(Disbursements!$F624,Pricing!$B$29:$D$32,3))))</f>
        <v>0</v>
      </c>
      <c r="M624" s="528">
        <f>IF(E624="STL",0,IF(F624&gt;0,Pricing!$D$21,0))</f>
        <v>0</v>
      </c>
      <c r="N624" s="529">
        <f>IF(E624="STL",F624*Pricing!$D$40,IF(A624&lt;=Pricing!$C$4,0,IF(AND(A624&gt;Pricing!$C$4,Disbursements!A624&lt;=Pricing!$C$5),F624*Pricing!$E$5,IF(AND(A624&gt;Pricing!$C$5,Disbursements!A624&lt;=Pricing!$C$7),VLOOKUP(F624,Pricing!$D$7:$E$8,2)*Disbursements!F624,F624*Pricing!$E$9))))</f>
        <v>0</v>
      </c>
      <c r="O624" s="528">
        <f>IF(E624="STL",0,IF($F624&gt;0,$F624*Pricing!$D$17,0))</f>
        <v>0</v>
      </c>
      <c r="P624" s="530" t="str">
        <f t="shared" si="256"/>
        <v/>
      </c>
      <c r="Q624" s="531" t="str">
        <f>IF($A624="","",$G624/VLOOKUP($I624,Ref!$B$23:$D$29,2,0))</f>
        <v/>
      </c>
      <c r="R624" s="530" t="str">
        <f t="shared" si="257"/>
        <v/>
      </c>
      <c r="S624" s="532" t="str">
        <f t="shared" si="251"/>
        <v/>
      </c>
      <c r="T624" s="531" t="str">
        <f t="shared" si="258"/>
        <v/>
      </c>
      <c r="U624" s="533">
        <f t="shared" si="259"/>
        <v>0</v>
      </c>
      <c r="V624" s="531" t="str">
        <f t="shared" si="260"/>
        <v/>
      </c>
      <c r="W624" s="531" t="str">
        <f t="shared" si="261"/>
        <v/>
      </c>
      <c r="X624" s="534" t="str">
        <f t="shared" si="262"/>
        <v/>
      </c>
      <c r="Y624" s="535" t="str">
        <f>IF($A624="","",IF($I624="weekly",$A624+7,EDATE($A624,VLOOKUP($I624,Ref!$B$24:$C$29,2,0))))</f>
        <v/>
      </c>
      <c r="Z624" s="536" t="str">
        <f t="shared" si="263"/>
        <v/>
      </c>
      <c r="AA624" s="531">
        <f t="shared" si="264"/>
        <v>0</v>
      </c>
      <c r="AB624" s="535" t="str">
        <f t="shared" si="252"/>
        <v/>
      </c>
      <c r="AC624" s="537" t="str">
        <f t="shared" si="253"/>
        <v/>
      </c>
      <c r="AD624" s="538" t="str">
        <f t="shared" ca="1" si="254"/>
        <v/>
      </c>
      <c r="AE624" s="537">
        <f t="shared" ca="1" si="255"/>
        <v>0</v>
      </c>
      <c r="AF624" s="539" t="str">
        <f t="shared" ca="1" si="265"/>
        <v/>
      </c>
      <c r="AG624" s="531" t="str">
        <f t="shared" ca="1" si="266"/>
        <v/>
      </c>
      <c r="AH624" s="531" t="str">
        <f t="shared" ca="1" si="267"/>
        <v/>
      </c>
      <c r="AI624" s="531" t="str">
        <f t="shared" ca="1" si="268"/>
        <v/>
      </c>
      <c r="AJ624" s="531" t="str">
        <f t="shared" si="269"/>
        <v/>
      </c>
      <c r="AK624" s="540">
        <f>SUMIFS('Live Collections'!$S:$S,'Live Collections'!$D:$D,Disbursements!B624,'Live Collections'!$G:$G,Disbursements!C624)</f>
        <v>0</v>
      </c>
      <c r="AL624" s="540">
        <f>SUMIFS('Live Collections'!$T:$T,'Live Collections'!$D:$D,Disbursements!B624,'Live Collections'!$G:$G,Disbursements!C624)</f>
        <v>0</v>
      </c>
      <c r="AM624" s="541">
        <f t="shared" si="270"/>
        <v>0</v>
      </c>
      <c r="AN624" s="542" t="str">
        <f t="shared" si="271"/>
        <v/>
      </c>
      <c r="AO624" s="542" t="str">
        <f t="shared" si="272"/>
        <v/>
      </c>
      <c r="AP624" s="543" t="str">
        <f t="shared" si="273"/>
        <v/>
      </c>
      <c r="AQ624" s="544" t="str">
        <f t="shared" si="274"/>
        <v/>
      </c>
      <c r="AR624" s="545">
        <f t="shared" si="275"/>
        <v>0</v>
      </c>
      <c r="AS624" s="545">
        <f>IFERROR(CEILING($AR624*VLOOKUP($I624,Ref!$B$23:$E$29,4,0),1),0)</f>
        <v>0</v>
      </c>
      <c r="AT624" s="545" t="str">
        <f>IF(A624="","",IF(AP624&lt;=1,"Cleared",IF(AS624=0,"Clean",VLOOKUP($AS624,Ref!$G$23:$H$28,2))))</f>
        <v/>
      </c>
      <c r="AU624" s="546" t="str">
        <f t="shared" si="276"/>
        <v/>
      </c>
    </row>
    <row r="625" spans="1:47" ht="14.25" hidden="1" customHeight="1" x14ac:dyDescent="0.15">
      <c r="A625" s="523"/>
      <c r="B625" s="523"/>
      <c r="C625" s="523"/>
      <c r="D625" s="523"/>
      <c r="E625" s="579"/>
      <c r="F625" s="580"/>
      <c r="G625" s="524"/>
      <c r="H625" s="555"/>
      <c r="I625" s="560"/>
      <c r="J625" s="523"/>
      <c r="K625" s="528" t="str">
        <f>IFERROR(VLOOKUP($B625,'Clients-Live'!$A:$C,3,0),"")</f>
        <v/>
      </c>
      <c r="L625" s="528">
        <f>IF(E625="STL",Pricing!$D$38,IF(A625="",0,IF(A625&lt;Pricing!$C$25,Pricing!$D$25,VLOOKUP(Disbursements!$F625,Pricing!$B$29:$D$32,3))))</f>
        <v>0</v>
      </c>
      <c r="M625" s="528">
        <f>IF(E625="STL",0,IF(F625&gt;0,Pricing!$D$21,0))</f>
        <v>0</v>
      </c>
      <c r="N625" s="529">
        <f>IF(E625="STL",F625*Pricing!$D$40,IF(A625&lt;=Pricing!$C$4,0,IF(AND(A625&gt;Pricing!$C$4,Disbursements!A625&lt;=Pricing!$C$5),F625*Pricing!$E$5,IF(AND(A625&gt;Pricing!$C$5,Disbursements!A625&lt;=Pricing!$C$7),VLOOKUP(F625,Pricing!$D$7:$E$8,2)*Disbursements!F625,F625*Pricing!$E$9))))</f>
        <v>0</v>
      </c>
      <c r="O625" s="528">
        <f>IF(E625="STL",0,IF($F625&gt;0,$F625*Pricing!$D$17,0))</f>
        <v>0</v>
      </c>
      <c r="P625" s="530" t="str">
        <f t="shared" si="256"/>
        <v/>
      </c>
      <c r="Q625" s="531" t="str">
        <f>IF($A625="","",$G625/VLOOKUP($I625,Ref!$B$23:$D$29,2,0))</f>
        <v/>
      </c>
      <c r="R625" s="530" t="str">
        <f t="shared" si="257"/>
        <v/>
      </c>
      <c r="S625" s="532" t="str">
        <f t="shared" si="251"/>
        <v/>
      </c>
      <c r="T625" s="531" t="str">
        <f t="shared" si="258"/>
        <v/>
      </c>
      <c r="U625" s="533">
        <f t="shared" si="259"/>
        <v>0</v>
      </c>
      <c r="V625" s="531" t="str">
        <f t="shared" si="260"/>
        <v/>
      </c>
      <c r="W625" s="531" t="str">
        <f t="shared" si="261"/>
        <v/>
      </c>
      <c r="X625" s="534" t="str">
        <f t="shared" si="262"/>
        <v/>
      </c>
      <c r="Y625" s="535" t="str">
        <f>IF($A625="","",IF($I625="weekly",$A625+7,EDATE($A625,VLOOKUP($I625,Ref!$B$24:$C$29,2,0))))</f>
        <v/>
      </c>
      <c r="Z625" s="536" t="str">
        <f t="shared" si="263"/>
        <v/>
      </c>
      <c r="AA625" s="531">
        <f t="shared" si="264"/>
        <v>0</v>
      </c>
      <c r="AB625" s="535" t="str">
        <f t="shared" si="252"/>
        <v/>
      </c>
      <c r="AC625" s="537" t="str">
        <f t="shared" si="253"/>
        <v/>
      </c>
      <c r="AD625" s="538" t="str">
        <f t="shared" ca="1" si="254"/>
        <v/>
      </c>
      <c r="AE625" s="537">
        <f t="shared" ca="1" si="255"/>
        <v>0</v>
      </c>
      <c r="AF625" s="539" t="str">
        <f t="shared" ca="1" si="265"/>
        <v/>
      </c>
      <c r="AG625" s="531" t="str">
        <f t="shared" ca="1" si="266"/>
        <v/>
      </c>
      <c r="AH625" s="531" t="str">
        <f t="shared" ca="1" si="267"/>
        <v/>
      </c>
      <c r="AI625" s="531" t="str">
        <f t="shared" ca="1" si="268"/>
        <v/>
      </c>
      <c r="AJ625" s="531" t="str">
        <f t="shared" si="269"/>
        <v/>
      </c>
      <c r="AK625" s="540">
        <f>SUMIFS('Live Collections'!$S:$S,'Live Collections'!$D:$D,Disbursements!B625,'Live Collections'!$G:$G,Disbursements!C625)</f>
        <v>0</v>
      </c>
      <c r="AL625" s="540">
        <f>SUMIFS('Live Collections'!$T:$T,'Live Collections'!$D:$D,Disbursements!B625,'Live Collections'!$G:$G,Disbursements!C625)</f>
        <v>0</v>
      </c>
      <c r="AM625" s="541">
        <f t="shared" si="270"/>
        <v>0</v>
      </c>
      <c r="AN625" s="542" t="str">
        <f t="shared" si="271"/>
        <v/>
      </c>
      <c r="AO625" s="542" t="str">
        <f t="shared" si="272"/>
        <v/>
      </c>
      <c r="AP625" s="543" t="str">
        <f t="shared" si="273"/>
        <v/>
      </c>
      <c r="AQ625" s="544" t="str">
        <f t="shared" si="274"/>
        <v/>
      </c>
      <c r="AR625" s="545">
        <f t="shared" si="275"/>
        <v>0</v>
      </c>
      <c r="AS625" s="545">
        <f>IFERROR(CEILING($AR625*VLOOKUP($I625,Ref!$B$23:$E$29,4,0),1),0)</f>
        <v>0</v>
      </c>
      <c r="AT625" s="545" t="str">
        <f>IF(A625="","",IF(AP625&lt;=1,"Cleared",IF(AS625=0,"Clean",VLOOKUP($AS625,Ref!$G$23:$H$28,2))))</f>
        <v/>
      </c>
      <c r="AU625" s="546" t="str">
        <f t="shared" si="276"/>
        <v/>
      </c>
    </row>
    <row r="626" spans="1:47" ht="14.25" hidden="1" customHeight="1" x14ac:dyDescent="0.15">
      <c r="A626" s="523"/>
      <c r="B626" s="523"/>
      <c r="C626" s="523"/>
      <c r="D626" s="523"/>
      <c r="E626" s="579"/>
      <c r="F626" s="580"/>
      <c r="G626" s="524"/>
      <c r="H626" s="555"/>
      <c r="I626" s="560"/>
      <c r="J626" s="523"/>
      <c r="K626" s="528" t="str">
        <f>IFERROR(VLOOKUP($B626,'Clients-Live'!$A:$C,3,0),"")</f>
        <v/>
      </c>
      <c r="L626" s="528">
        <f>IF(E626="STL",Pricing!$D$38,IF(A626="",0,IF(A626&lt;Pricing!$C$25,Pricing!$D$25,VLOOKUP(Disbursements!$F626,Pricing!$B$29:$D$32,3))))</f>
        <v>0</v>
      </c>
      <c r="M626" s="528">
        <f>IF(E626="STL",0,IF(F626&gt;0,Pricing!$D$21,0))</f>
        <v>0</v>
      </c>
      <c r="N626" s="529">
        <f>IF(E626="STL",F626*Pricing!$D$40,IF(A626&lt;=Pricing!$C$4,0,IF(AND(A626&gt;Pricing!$C$4,Disbursements!A626&lt;=Pricing!$C$5),F626*Pricing!$E$5,IF(AND(A626&gt;Pricing!$C$5,Disbursements!A626&lt;=Pricing!$C$7),VLOOKUP(F626,Pricing!$D$7:$E$8,2)*Disbursements!F626,F626*Pricing!$E$9))))</f>
        <v>0</v>
      </c>
      <c r="O626" s="528">
        <f>IF(E626="STL",0,IF($F626&gt;0,$F626*Pricing!$D$17,0))</f>
        <v>0</v>
      </c>
      <c r="P626" s="530" t="str">
        <f t="shared" si="256"/>
        <v/>
      </c>
      <c r="Q626" s="531" t="str">
        <f>IF($A626="","",$G626/VLOOKUP($I626,Ref!$B$23:$D$29,2,0))</f>
        <v/>
      </c>
      <c r="R626" s="530" t="str">
        <f t="shared" si="257"/>
        <v/>
      </c>
      <c r="S626" s="532" t="str">
        <f t="shared" si="251"/>
        <v/>
      </c>
      <c r="T626" s="531" t="str">
        <f t="shared" si="258"/>
        <v/>
      </c>
      <c r="U626" s="533">
        <f t="shared" si="259"/>
        <v>0</v>
      </c>
      <c r="V626" s="531" t="str">
        <f t="shared" si="260"/>
        <v/>
      </c>
      <c r="W626" s="531" t="str">
        <f t="shared" si="261"/>
        <v/>
      </c>
      <c r="X626" s="534" t="str">
        <f t="shared" si="262"/>
        <v/>
      </c>
      <c r="Y626" s="535" t="str">
        <f>IF($A626="","",IF($I626="weekly",$A626+7,EDATE($A626,VLOOKUP($I626,Ref!$B$24:$C$29,2,0))))</f>
        <v/>
      </c>
      <c r="Z626" s="536" t="str">
        <f t="shared" si="263"/>
        <v/>
      </c>
      <c r="AA626" s="531">
        <f t="shared" si="264"/>
        <v>0</v>
      </c>
      <c r="AB626" s="535" t="str">
        <f t="shared" si="252"/>
        <v/>
      </c>
      <c r="AC626" s="537" t="str">
        <f t="shared" si="253"/>
        <v/>
      </c>
      <c r="AD626" s="538" t="str">
        <f t="shared" ca="1" si="254"/>
        <v/>
      </c>
      <c r="AE626" s="537">
        <f t="shared" ca="1" si="255"/>
        <v>0</v>
      </c>
      <c r="AF626" s="539" t="str">
        <f t="shared" ca="1" si="265"/>
        <v/>
      </c>
      <c r="AG626" s="531" t="str">
        <f t="shared" ca="1" si="266"/>
        <v/>
      </c>
      <c r="AH626" s="531" t="str">
        <f t="shared" ca="1" si="267"/>
        <v/>
      </c>
      <c r="AI626" s="531" t="str">
        <f t="shared" ca="1" si="268"/>
        <v/>
      </c>
      <c r="AJ626" s="531" t="str">
        <f t="shared" si="269"/>
        <v/>
      </c>
      <c r="AK626" s="540">
        <f>SUMIFS('Live Collections'!$S:$S,'Live Collections'!$D:$D,Disbursements!B626,'Live Collections'!$G:$G,Disbursements!C626)</f>
        <v>0</v>
      </c>
      <c r="AL626" s="540">
        <f>SUMIFS('Live Collections'!$T:$T,'Live Collections'!$D:$D,Disbursements!B626,'Live Collections'!$G:$G,Disbursements!C626)</f>
        <v>0</v>
      </c>
      <c r="AM626" s="541">
        <f t="shared" si="270"/>
        <v>0</v>
      </c>
      <c r="AN626" s="542" t="str">
        <f t="shared" si="271"/>
        <v/>
      </c>
      <c r="AO626" s="542" t="str">
        <f t="shared" si="272"/>
        <v/>
      </c>
      <c r="AP626" s="543" t="str">
        <f t="shared" si="273"/>
        <v/>
      </c>
      <c r="AQ626" s="544" t="str">
        <f t="shared" si="274"/>
        <v/>
      </c>
      <c r="AR626" s="545">
        <f t="shared" si="275"/>
        <v>0</v>
      </c>
      <c r="AS626" s="545">
        <f>IFERROR(CEILING($AR626*VLOOKUP($I626,Ref!$B$23:$E$29,4,0),1),0)</f>
        <v>0</v>
      </c>
      <c r="AT626" s="545" t="str">
        <f>IF(A626="","",IF(AP626&lt;=1,"Cleared",IF(AS626=0,"Clean",VLOOKUP($AS626,Ref!$G$23:$H$28,2))))</f>
        <v/>
      </c>
      <c r="AU626" s="546" t="str">
        <f t="shared" si="276"/>
        <v/>
      </c>
    </row>
    <row r="627" spans="1:47" ht="14.25" hidden="1" customHeight="1" x14ac:dyDescent="0.15">
      <c r="A627" s="523"/>
      <c r="B627" s="523"/>
      <c r="C627" s="523"/>
      <c r="D627" s="523"/>
      <c r="E627" s="579"/>
      <c r="F627" s="580"/>
      <c r="G627" s="524"/>
      <c r="H627" s="555"/>
      <c r="I627" s="560"/>
      <c r="J627" s="523"/>
      <c r="K627" s="528" t="str">
        <f>IFERROR(VLOOKUP($B627,'Clients-Live'!$A:$C,3,0),"")</f>
        <v/>
      </c>
      <c r="L627" s="528">
        <f>IF(E627="STL",Pricing!$D$38,IF(A627="",0,IF(A627&lt;Pricing!$C$25,Pricing!$D$25,VLOOKUP(Disbursements!$F627,Pricing!$B$29:$D$32,3))))</f>
        <v>0</v>
      </c>
      <c r="M627" s="528">
        <f>IF(E627="STL",0,IF(F627&gt;0,Pricing!$D$21,0))</f>
        <v>0</v>
      </c>
      <c r="N627" s="529">
        <f>IF(E627="STL",F627*Pricing!$D$40,IF(A627&lt;=Pricing!$C$4,0,IF(AND(A627&gt;Pricing!$C$4,Disbursements!A627&lt;=Pricing!$C$5),F627*Pricing!$E$5,IF(AND(A627&gt;Pricing!$C$5,Disbursements!A627&lt;=Pricing!$C$7),VLOOKUP(F627,Pricing!$D$7:$E$8,2)*Disbursements!F627,F627*Pricing!$E$9))))</f>
        <v>0</v>
      </c>
      <c r="O627" s="528">
        <f>IF(E627="STL",0,IF($F627&gt;0,$F627*Pricing!$D$17,0))</f>
        <v>0</v>
      </c>
      <c r="P627" s="530" t="str">
        <f t="shared" si="256"/>
        <v/>
      </c>
      <c r="Q627" s="531" t="str">
        <f>IF($A627="","",$G627/VLOOKUP($I627,Ref!$B$23:$D$29,2,0))</f>
        <v/>
      </c>
      <c r="R627" s="530" t="str">
        <f t="shared" si="257"/>
        <v/>
      </c>
      <c r="S627" s="532" t="str">
        <f t="shared" si="251"/>
        <v/>
      </c>
      <c r="T627" s="531" t="str">
        <f t="shared" si="258"/>
        <v/>
      </c>
      <c r="U627" s="533">
        <f t="shared" si="259"/>
        <v>0</v>
      </c>
      <c r="V627" s="531" t="str">
        <f t="shared" si="260"/>
        <v/>
      </c>
      <c r="W627" s="531" t="str">
        <f t="shared" si="261"/>
        <v/>
      </c>
      <c r="X627" s="534" t="str">
        <f t="shared" si="262"/>
        <v/>
      </c>
      <c r="Y627" s="535" t="str">
        <f>IF($A627="","",IF($I627="weekly",$A627+7,EDATE($A627,VLOOKUP($I627,Ref!$B$24:$C$29,2,0))))</f>
        <v/>
      </c>
      <c r="Z627" s="536" t="str">
        <f t="shared" si="263"/>
        <v/>
      </c>
      <c r="AA627" s="531">
        <f t="shared" si="264"/>
        <v>0</v>
      </c>
      <c r="AB627" s="535" t="str">
        <f t="shared" si="252"/>
        <v/>
      </c>
      <c r="AC627" s="537" t="str">
        <f t="shared" si="253"/>
        <v/>
      </c>
      <c r="AD627" s="538" t="str">
        <f t="shared" ca="1" si="254"/>
        <v/>
      </c>
      <c r="AE627" s="537">
        <f t="shared" ca="1" si="255"/>
        <v>0</v>
      </c>
      <c r="AF627" s="539" t="str">
        <f t="shared" ca="1" si="265"/>
        <v/>
      </c>
      <c r="AG627" s="531" t="str">
        <f t="shared" ca="1" si="266"/>
        <v/>
      </c>
      <c r="AH627" s="531" t="str">
        <f t="shared" ca="1" si="267"/>
        <v/>
      </c>
      <c r="AI627" s="531" t="str">
        <f t="shared" ca="1" si="268"/>
        <v/>
      </c>
      <c r="AJ627" s="531" t="str">
        <f t="shared" si="269"/>
        <v/>
      </c>
      <c r="AK627" s="540">
        <f>SUMIFS('Live Collections'!$S:$S,'Live Collections'!$D:$D,Disbursements!B627,'Live Collections'!$G:$G,Disbursements!C627)</f>
        <v>0</v>
      </c>
      <c r="AL627" s="540">
        <f>SUMIFS('Live Collections'!$T:$T,'Live Collections'!$D:$D,Disbursements!B627,'Live Collections'!$G:$G,Disbursements!C627)</f>
        <v>0</v>
      </c>
      <c r="AM627" s="541">
        <f t="shared" si="270"/>
        <v>0</v>
      </c>
      <c r="AN627" s="542" t="str">
        <f t="shared" si="271"/>
        <v/>
      </c>
      <c r="AO627" s="542" t="str">
        <f t="shared" si="272"/>
        <v/>
      </c>
      <c r="AP627" s="543" t="str">
        <f t="shared" si="273"/>
        <v/>
      </c>
      <c r="AQ627" s="544" t="str">
        <f t="shared" si="274"/>
        <v/>
      </c>
      <c r="AR627" s="545">
        <f t="shared" si="275"/>
        <v>0</v>
      </c>
      <c r="AS627" s="545">
        <f>IFERROR(CEILING($AR627*VLOOKUP($I627,Ref!$B$23:$E$29,4,0),1),0)</f>
        <v>0</v>
      </c>
      <c r="AT627" s="545" t="str">
        <f>IF(A627="","",IF(AP627&lt;=1,"Cleared",IF(AS627=0,"Clean",VLOOKUP($AS627,Ref!$G$23:$H$28,2))))</f>
        <v/>
      </c>
      <c r="AU627" s="546" t="str">
        <f t="shared" si="276"/>
        <v/>
      </c>
    </row>
    <row r="628" spans="1:47" ht="14.25" hidden="1" customHeight="1" x14ac:dyDescent="0.15">
      <c r="A628" s="523"/>
      <c r="B628" s="523"/>
      <c r="C628" s="523"/>
      <c r="D628" s="523"/>
      <c r="E628" s="579"/>
      <c r="F628" s="580"/>
      <c r="G628" s="524"/>
      <c r="H628" s="555"/>
      <c r="I628" s="560"/>
      <c r="J628" s="523"/>
      <c r="K628" s="528" t="str">
        <f>IFERROR(VLOOKUP($B628,'Clients-Live'!$A:$C,3,0),"")</f>
        <v/>
      </c>
      <c r="L628" s="528">
        <f>IF(E628="STL",Pricing!$D$38,IF(A628="",0,IF(A628&lt;Pricing!$C$25,Pricing!$D$25,VLOOKUP(Disbursements!$F628,Pricing!$B$29:$D$32,3))))</f>
        <v>0</v>
      </c>
      <c r="M628" s="528">
        <f>IF(E628="STL",0,IF(F628&gt;0,Pricing!$D$21,0))</f>
        <v>0</v>
      </c>
      <c r="N628" s="529">
        <f>IF(E628="STL",F628*Pricing!$D$40,IF(A628&lt;=Pricing!$C$4,0,IF(AND(A628&gt;Pricing!$C$4,Disbursements!A628&lt;=Pricing!$C$5),F628*Pricing!$E$5,IF(AND(A628&gt;Pricing!$C$5,Disbursements!A628&lt;=Pricing!$C$7),VLOOKUP(F628,Pricing!$D$7:$E$8,2)*Disbursements!F628,F628*Pricing!$E$9))))</f>
        <v>0</v>
      </c>
      <c r="O628" s="528">
        <f>IF(E628="STL",0,IF($F628&gt;0,$F628*Pricing!$D$17,0))</f>
        <v>0</v>
      </c>
      <c r="P628" s="530" t="str">
        <f t="shared" si="256"/>
        <v/>
      </c>
      <c r="Q628" s="531" t="str">
        <f>IF($A628="","",$G628/VLOOKUP($I628,Ref!$B$23:$D$29,2,0))</f>
        <v/>
      </c>
      <c r="R628" s="530" t="str">
        <f t="shared" si="257"/>
        <v/>
      </c>
      <c r="S628" s="532" t="str">
        <f t="shared" si="251"/>
        <v/>
      </c>
      <c r="T628" s="531" t="str">
        <f t="shared" si="258"/>
        <v/>
      </c>
      <c r="U628" s="533">
        <f t="shared" si="259"/>
        <v>0</v>
      </c>
      <c r="V628" s="531" t="str">
        <f t="shared" si="260"/>
        <v/>
      </c>
      <c r="W628" s="531" t="str">
        <f t="shared" si="261"/>
        <v/>
      </c>
      <c r="X628" s="534" t="str">
        <f t="shared" si="262"/>
        <v/>
      </c>
      <c r="Y628" s="535" t="str">
        <f>IF($A628="","",IF($I628="weekly",$A628+7,EDATE($A628,VLOOKUP($I628,Ref!$B$24:$C$29,2,0))))</f>
        <v/>
      </c>
      <c r="Z628" s="536" t="str">
        <f t="shared" si="263"/>
        <v/>
      </c>
      <c r="AA628" s="531">
        <f t="shared" si="264"/>
        <v>0</v>
      </c>
      <c r="AB628" s="535" t="str">
        <f t="shared" si="252"/>
        <v/>
      </c>
      <c r="AC628" s="537" t="str">
        <f t="shared" si="253"/>
        <v/>
      </c>
      <c r="AD628" s="538" t="str">
        <f t="shared" ca="1" si="254"/>
        <v/>
      </c>
      <c r="AE628" s="537">
        <f t="shared" ca="1" si="255"/>
        <v>0</v>
      </c>
      <c r="AF628" s="539" t="str">
        <f t="shared" ca="1" si="265"/>
        <v/>
      </c>
      <c r="AG628" s="531" t="str">
        <f t="shared" ca="1" si="266"/>
        <v/>
      </c>
      <c r="AH628" s="531" t="str">
        <f t="shared" ca="1" si="267"/>
        <v/>
      </c>
      <c r="AI628" s="531" t="str">
        <f t="shared" ca="1" si="268"/>
        <v/>
      </c>
      <c r="AJ628" s="531" t="str">
        <f t="shared" si="269"/>
        <v/>
      </c>
      <c r="AK628" s="540">
        <f>SUMIFS('Live Collections'!$S:$S,'Live Collections'!$D:$D,Disbursements!B628,'Live Collections'!$G:$G,Disbursements!C628)</f>
        <v>0</v>
      </c>
      <c r="AL628" s="540">
        <f>SUMIFS('Live Collections'!$T:$T,'Live Collections'!$D:$D,Disbursements!B628,'Live Collections'!$G:$G,Disbursements!C628)</f>
        <v>0</v>
      </c>
      <c r="AM628" s="541">
        <f t="shared" si="270"/>
        <v>0</v>
      </c>
      <c r="AN628" s="542" t="str">
        <f t="shared" si="271"/>
        <v/>
      </c>
      <c r="AO628" s="542" t="str">
        <f t="shared" si="272"/>
        <v/>
      </c>
      <c r="AP628" s="543" t="str">
        <f t="shared" si="273"/>
        <v/>
      </c>
      <c r="AQ628" s="544" t="str">
        <f t="shared" si="274"/>
        <v/>
      </c>
      <c r="AR628" s="545">
        <f t="shared" si="275"/>
        <v>0</v>
      </c>
      <c r="AS628" s="545">
        <f>IFERROR(CEILING($AR628*VLOOKUP($I628,Ref!$B$23:$E$29,4,0),1),0)</f>
        <v>0</v>
      </c>
      <c r="AT628" s="545" t="str">
        <f>IF(A628="","",IF(AP628&lt;=1,"Cleared",IF(AS628=0,"Clean",VLOOKUP($AS628,Ref!$G$23:$H$28,2))))</f>
        <v/>
      </c>
      <c r="AU628" s="546" t="str">
        <f t="shared" si="276"/>
        <v/>
      </c>
    </row>
    <row r="629" spans="1:47" ht="14.25" hidden="1" customHeight="1" x14ac:dyDescent="0.15">
      <c r="A629" s="523"/>
      <c r="B629" s="523"/>
      <c r="C629" s="523"/>
      <c r="D629" s="523"/>
      <c r="E629" s="579"/>
      <c r="F629" s="580"/>
      <c r="G629" s="524"/>
      <c r="H629" s="555"/>
      <c r="I629" s="560"/>
      <c r="J629" s="523"/>
      <c r="K629" s="528" t="str">
        <f>IFERROR(VLOOKUP($B629,'Clients-Live'!$A:$C,3,0),"")</f>
        <v/>
      </c>
      <c r="L629" s="528">
        <f>IF(E629="STL",Pricing!$D$38,IF(A629="",0,IF(A629&lt;Pricing!$C$25,Pricing!$D$25,VLOOKUP(Disbursements!$F629,Pricing!$B$29:$D$32,3))))</f>
        <v>0</v>
      </c>
      <c r="M629" s="528">
        <f>IF(E629="STL",0,IF(F629&gt;0,Pricing!$D$21,0))</f>
        <v>0</v>
      </c>
      <c r="N629" s="529">
        <f>IF(E629="STL",F629*Pricing!$D$40,IF(A629&lt;=Pricing!$C$4,0,IF(AND(A629&gt;Pricing!$C$4,Disbursements!A629&lt;=Pricing!$C$5),F629*Pricing!$E$5,IF(AND(A629&gt;Pricing!$C$5,Disbursements!A629&lt;=Pricing!$C$7),VLOOKUP(F629,Pricing!$D$7:$E$8,2)*Disbursements!F629,F629*Pricing!$E$9))))</f>
        <v>0</v>
      </c>
      <c r="O629" s="528">
        <f>IF(E629="STL",0,IF($F629&gt;0,$F629*Pricing!$D$17,0))</f>
        <v>0</v>
      </c>
      <c r="P629" s="530" t="str">
        <f t="shared" si="256"/>
        <v/>
      </c>
      <c r="Q629" s="531" t="str">
        <f>IF($A629="","",$G629/VLOOKUP($I629,Ref!$B$23:$D$29,2,0))</f>
        <v/>
      </c>
      <c r="R629" s="530" t="str">
        <f t="shared" si="257"/>
        <v/>
      </c>
      <c r="S629" s="532" t="str">
        <f t="shared" si="251"/>
        <v/>
      </c>
      <c r="T629" s="531" t="str">
        <f t="shared" si="258"/>
        <v/>
      </c>
      <c r="U629" s="533">
        <f t="shared" si="259"/>
        <v>0</v>
      </c>
      <c r="V629" s="531" t="str">
        <f t="shared" si="260"/>
        <v/>
      </c>
      <c r="W629" s="531" t="str">
        <f t="shared" si="261"/>
        <v/>
      </c>
      <c r="X629" s="534" t="str">
        <f t="shared" si="262"/>
        <v/>
      </c>
      <c r="Y629" s="535" t="str">
        <f>IF($A629="","",IF($I629="weekly",$A629+7,EDATE($A629,VLOOKUP($I629,Ref!$B$24:$C$29,2,0))))</f>
        <v/>
      </c>
      <c r="Z629" s="536" t="str">
        <f t="shared" si="263"/>
        <v/>
      </c>
      <c r="AA629" s="531">
        <f t="shared" si="264"/>
        <v>0</v>
      </c>
      <c r="AB629" s="535" t="str">
        <f t="shared" si="252"/>
        <v/>
      </c>
      <c r="AC629" s="537" t="str">
        <f t="shared" si="253"/>
        <v/>
      </c>
      <c r="AD629" s="538" t="str">
        <f t="shared" ca="1" si="254"/>
        <v/>
      </c>
      <c r="AE629" s="537">
        <f t="shared" ca="1" si="255"/>
        <v>0</v>
      </c>
      <c r="AF629" s="539" t="str">
        <f t="shared" ca="1" si="265"/>
        <v/>
      </c>
      <c r="AG629" s="531" t="str">
        <f t="shared" ca="1" si="266"/>
        <v/>
      </c>
      <c r="AH629" s="531" t="str">
        <f t="shared" ca="1" si="267"/>
        <v/>
      </c>
      <c r="AI629" s="531" t="str">
        <f t="shared" ca="1" si="268"/>
        <v/>
      </c>
      <c r="AJ629" s="531" t="str">
        <f t="shared" si="269"/>
        <v/>
      </c>
      <c r="AK629" s="540">
        <f>SUMIFS('Live Collections'!$S:$S,'Live Collections'!$D:$D,Disbursements!B629,'Live Collections'!$G:$G,Disbursements!C629)</f>
        <v>0</v>
      </c>
      <c r="AL629" s="540">
        <f>SUMIFS('Live Collections'!$T:$T,'Live Collections'!$D:$D,Disbursements!B629,'Live Collections'!$G:$G,Disbursements!C629)</f>
        <v>0</v>
      </c>
      <c r="AM629" s="541">
        <f t="shared" si="270"/>
        <v>0</v>
      </c>
      <c r="AN629" s="542" t="str">
        <f t="shared" si="271"/>
        <v/>
      </c>
      <c r="AO629" s="542" t="str">
        <f t="shared" si="272"/>
        <v/>
      </c>
      <c r="AP629" s="543" t="str">
        <f t="shared" si="273"/>
        <v/>
      </c>
      <c r="AQ629" s="544" t="str">
        <f t="shared" si="274"/>
        <v/>
      </c>
      <c r="AR629" s="545">
        <f t="shared" si="275"/>
        <v>0</v>
      </c>
      <c r="AS629" s="545">
        <f>IFERROR(CEILING($AR629*VLOOKUP($I629,Ref!$B$23:$E$29,4,0),1),0)</f>
        <v>0</v>
      </c>
      <c r="AT629" s="545" t="str">
        <f>IF(A629="","",IF(AP629&lt;=1,"Cleared",IF(AS629=0,"Clean",VLOOKUP($AS629,Ref!$G$23:$H$28,2))))</f>
        <v/>
      </c>
      <c r="AU629" s="546" t="str">
        <f t="shared" si="276"/>
        <v/>
      </c>
    </row>
    <row r="630" spans="1:47" ht="14.25" hidden="1" customHeight="1" x14ac:dyDescent="0.15">
      <c r="A630" s="523"/>
      <c r="B630" s="523"/>
      <c r="C630" s="523"/>
      <c r="D630" s="523"/>
      <c r="E630" s="579"/>
      <c r="F630" s="580"/>
      <c r="G630" s="524"/>
      <c r="H630" s="555"/>
      <c r="I630" s="560"/>
      <c r="J630" s="523"/>
      <c r="K630" s="528" t="str">
        <f>IFERROR(VLOOKUP($B630,'Clients-Live'!$A:$C,3,0),"")</f>
        <v/>
      </c>
      <c r="L630" s="528">
        <f>IF(E630="STL",Pricing!$D$38,IF(A630="",0,IF(A630&lt;Pricing!$C$25,Pricing!$D$25,VLOOKUP(Disbursements!$F630,Pricing!$B$29:$D$32,3))))</f>
        <v>0</v>
      </c>
      <c r="M630" s="528">
        <f>IF(E630="STL",0,IF(F630&gt;0,Pricing!$D$21,0))</f>
        <v>0</v>
      </c>
      <c r="N630" s="529">
        <f>IF(E630="STL",F630*Pricing!$D$40,IF(A630&lt;=Pricing!$C$4,0,IF(AND(A630&gt;Pricing!$C$4,Disbursements!A630&lt;=Pricing!$C$5),F630*Pricing!$E$5,IF(AND(A630&gt;Pricing!$C$5,Disbursements!A630&lt;=Pricing!$C$7),VLOOKUP(F630,Pricing!$D$7:$E$8,2)*Disbursements!F630,F630*Pricing!$E$9))))</f>
        <v>0</v>
      </c>
      <c r="O630" s="528">
        <f>IF(E630="STL",0,IF($F630&gt;0,$F630*Pricing!$D$17,0))</f>
        <v>0</v>
      </c>
      <c r="P630" s="530" t="str">
        <f t="shared" si="256"/>
        <v/>
      </c>
      <c r="Q630" s="531" t="str">
        <f>IF($A630="","",$G630/VLOOKUP($I630,Ref!$B$23:$D$29,2,0))</f>
        <v/>
      </c>
      <c r="R630" s="530" t="str">
        <f t="shared" si="257"/>
        <v/>
      </c>
      <c r="S630" s="532" t="str">
        <f t="shared" si="251"/>
        <v/>
      </c>
      <c r="T630" s="531" t="str">
        <f t="shared" si="258"/>
        <v/>
      </c>
      <c r="U630" s="533">
        <f t="shared" si="259"/>
        <v>0</v>
      </c>
      <c r="V630" s="531" t="str">
        <f t="shared" si="260"/>
        <v/>
      </c>
      <c r="W630" s="531" t="str">
        <f t="shared" si="261"/>
        <v/>
      </c>
      <c r="X630" s="534" t="str">
        <f t="shared" si="262"/>
        <v/>
      </c>
      <c r="Y630" s="535" t="str">
        <f>IF($A630="","",IF($I630="weekly",$A630+7,EDATE($A630,VLOOKUP($I630,Ref!$B$24:$C$29,2,0))))</f>
        <v/>
      </c>
      <c r="Z630" s="536" t="str">
        <f t="shared" si="263"/>
        <v/>
      </c>
      <c r="AA630" s="531">
        <f t="shared" si="264"/>
        <v>0</v>
      </c>
      <c r="AB630" s="535" t="str">
        <f t="shared" si="252"/>
        <v/>
      </c>
      <c r="AC630" s="537" t="str">
        <f t="shared" si="253"/>
        <v/>
      </c>
      <c r="AD630" s="538" t="str">
        <f t="shared" ca="1" si="254"/>
        <v/>
      </c>
      <c r="AE630" s="537">
        <f t="shared" ca="1" si="255"/>
        <v>0</v>
      </c>
      <c r="AF630" s="539" t="str">
        <f t="shared" ca="1" si="265"/>
        <v/>
      </c>
      <c r="AG630" s="531" t="str">
        <f t="shared" ca="1" si="266"/>
        <v/>
      </c>
      <c r="AH630" s="531" t="str">
        <f t="shared" ca="1" si="267"/>
        <v/>
      </c>
      <c r="AI630" s="531" t="str">
        <f t="shared" ca="1" si="268"/>
        <v/>
      </c>
      <c r="AJ630" s="531" t="str">
        <f t="shared" si="269"/>
        <v/>
      </c>
      <c r="AK630" s="540">
        <f>SUMIFS('Live Collections'!$S:$S,'Live Collections'!$D:$D,Disbursements!B630,'Live Collections'!$G:$G,Disbursements!C630)</f>
        <v>0</v>
      </c>
      <c r="AL630" s="540">
        <f>SUMIFS('Live Collections'!$T:$T,'Live Collections'!$D:$D,Disbursements!B630,'Live Collections'!$G:$G,Disbursements!C630)</f>
        <v>0</v>
      </c>
      <c r="AM630" s="541">
        <f t="shared" si="270"/>
        <v>0</v>
      </c>
      <c r="AN630" s="542" t="str">
        <f t="shared" si="271"/>
        <v/>
      </c>
      <c r="AO630" s="542" t="str">
        <f t="shared" si="272"/>
        <v/>
      </c>
      <c r="AP630" s="543" t="str">
        <f t="shared" si="273"/>
        <v/>
      </c>
      <c r="AQ630" s="544" t="str">
        <f t="shared" si="274"/>
        <v/>
      </c>
      <c r="AR630" s="545">
        <f t="shared" si="275"/>
        <v>0</v>
      </c>
      <c r="AS630" s="545">
        <f>IFERROR(CEILING($AR630*VLOOKUP($I630,Ref!$B$23:$E$29,4,0),1),0)</f>
        <v>0</v>
      </c>
      <c r="AT630" s="545" t="str">
        <f>IF(A630="","",IF(AP630&lt;=1,"Cleared",IF(AS630=0,"Clean",VLOOKUP($AS630,Ref!$G$23:$H$28,2))))</f>
        <v/>
      </c>
      <c r="AU630" s="546" t="str">
        <f t="shared" si="276"/>
        <v/>
      </c>
    </row>
    <row r="631" spans="1:47" ht="14.25" hidden="1" customHeight="1" x14ac:dyDescent="0.15">
      <c r="A631" s="523"/>
      <c r="B631" s="523"/>
      <c r="C631" s="523"/>
      <c r="D631" s="523"/>
      <c r="E631" s="579"/>
      <c r="F631" s="580"/>
      <c r="G631" s="524"/>
      <c r="H631" s="555"/>
      <c r="I631" s="560"/>
      <c r="J631" s="523"/>
      <c r="K631" s="528" t="str">
        <f>IFERROR(VLOOKUP($B631,'Clients-Live'!$A:$C,3,0),"")</f>
        <v/>
      </c>
      <c r="L631" s="528">
        <f>IF(E631="STL",Pricing!$D$38,IF(A631="",0,IF(A631&lt;Pricing!$C$25,Pricing!$D$25,VLOOKUP(Disbursements!$F631,Pricing!$B$29:$D$32,3))))</f>
        <v>0</v>
      </c>
      <c r="M631" s="528">
        <f>IF(E631="STL",0,IF(F631&gt;0,Pricing!$D$21,0))</f>
        <v>0</v>
      </c>
      <c r="N631" s="529">
        <f>IF(E631="STL",F631*Pricing!$D$40,IF(A631&lt;=Pricing!$C$4,0,IF(AND(A631&gt;Pricing!$C$4,Disbursements!A631&lt;=Pricing!$C$5),F631*Pricing!$E$5,IF(AND(A631&gt;Pricing!$C$5,Disbursements!A631&lt;=Pricing!$C$7),VLOOKUP(F631,Pricing!$D$7:$E$8,2)*Disbursements!F631,F631*Pricing!$E$9))))</f>
        <v>0</v>
      </c>
      <c r="O631" s="528">
        <f>IF(E631="STL",0,IF($F631&gt;0,$F631*Pricing!$D$17,0))</f>
        <v>0</v>
      </c>
      <c r="P631" s="530" t="str">
        <f t="shared" si="256"/>
        <v/>
      </c>
      <c r="Q631" s="531" t="str">
        <f>IF($A631="","",$G631/VLOOKUP($I631,Ref!$B$23:$D$29,2,0))</f>
        <v/>
      </c>
      <c r="R631" s="530" t="str">
        <f t="shared" si="257"/>
        <v/>
      </c>
      <c r="S631" s="532" t="str">
        <f t="shared" si="251"/>
        <v/>
      </c>
      <c r="T631" s="531" t="str">
        <f t="shared" si="258"/>
        <v/>
      </c>
      <c r="U631" s="533">
        <f t="shared" si="259"/>
        <v>0</v>
      </c>
      <c r="V631" s="531" t="str">
        <f t="shared" si="260"/>
        <v/>
      </c>
      <c r="W631" s="531" t="str">
        <f t="shared" si="261"/>
        <v/>
      </c>
      <c r="X631" s="534" t="str">
        <f t="shared" si="262"/>
        <v/>
      </c>
      <c r="Y631" s="535" t="str">
        <f>IF($A631="","",IF($I631="weekly",$A631+7,EDATE($A631,VLOOKUP($I631,Ref!$B$24:$C$29,2,0))))</f>
        <v/>
      </c>
      <c r="Z631" s="536" t="str">
        <f t="shared" si="263"/>
        <v/>
      </c>
      <c r="AA631" s="531">
        <f t="shared" si="264"/>
        <v>0</v>
      </c>
      <c r="AB631" s="535" t="str">
        <f t="shared" si="252"/>
        <v/>
      </c>
      <c r="AC631" s="537" t="str">
        <f t="shared" si="253"/>
        <v/>
      </c>
      <c r="AD631" s="538" t="str">
        <f t="shared" ca="1" si="254"/>
        <v/>
      </c>
      <c r="AE631" s="537">
        <f t="shared" ca="1" si="255"/>
        <v>0</v>
      </c>
      <c r="AF631" s="539" t="str">
        <f t="shared" ca="1" si="265"/>
        <v/>
      </c>
      <c r="AG631" s="531" t="str">
        <f t="shared" ca="1" si="266"/>
        <v/>
      </c>
      <c r="AH631" s="531" t="str">
        <f t="shared" ca="1" si="267"/>
        <v/>
      </c>
      <c r="AI631" s="531" t="str">
        <f t="shared" ca="1" si="268"/>
        <v/>
      </c>
      <c r="AJ631" s="531" t="str">
        <f t="shared" si="269"/>
        <v/>
      </c>
      <c r="AK631" s="540">
        <f>SUMIFS('Live Collections'!$S:$S,'Live Collections'!$D:$D,Disbursements!B631,'Live Collections'!$G:$G,Disbursements!C631)</f>
        <v>0</v>
      </c>
      <c r="AL631" s="540">
        <f>SUMIFS('Live Collections'!$T:$T,'Live Collections'!$D:$D,Disbursements!B631,'Live Collections'!$G:$G,Disbursements!C631)</f>
        <v>0</v>
      </c>
      <c r="AM631" s="541">
        <f t="shared" si="270"/>
        <v>0</v>
      </c>
      <c r="AN631" s="542" t="str">
        <f t="shared" si="271"/>
        <v/>
      </c>
      <c r="AO631" s="542" t="str">
        <f t="shared" si="272"/>
        <v/>
      </c>
      <c r="AP631" s="543" t="str">
        <f t="shared" si="273"/>
        <v/>
      </c>
      <c r="AQ631" s="544" t="str">
        <f t="shared" si="274"/>
        <v/>
      </c>
      <c r="AR631" s="545">
        <f t="shared" si="275"/>
        <v>0</v>
      </c>
      <c r="AS631" s="545">
        <f>IFERROR(CEILING($AR631*VLOOKUP($I631,Ref!$B$23:$E$29,4,0),1),0)</f>
        <v>0</v>
      </c>
      <c r="AT631" s="545" t="str">
        <f>IF(A631="","",IF(AP631&lt;=1,"Cleared",IF(AS631=0,"Clean",VLOOKUP($AS631,Ref!$G$23:$H$28,2))))</f>
        <v/>
      </c>
      <c r="AU631" s="546" t="str">
        <f t="shared" si="276"/>
        <v/>
      </c>
    </row>
    <row r="632" spans="1:47" ht="14.25" hidden="1" customHeight="1" x14ac:dyDescent="0.15">
      <c r="A632" s="523"/>
      <c r="B632" s="523"/>
      <c r="C632" s="523"/>
      <c r="D632" s="523"/>
      <c r="E632" s="579"/>
      <c r="F632" s="580"/>
      <c r="G632" s="524"/>
      <c r="H632" s="555"/>
      <c r="I632" s="560"/>
      <c r="J632" s="523"/>
      <c r="K632" s="528" t="str">
        <f>IFERROR(VLOOKUP($B632,'Clients-Live'!$A:$C,3,0),"")</f>
        <v/>
      </c>
      <c r="L632" s="528">
        <f>IF(E632="STL",Pricing!$D$38,IF(A632="",0,IF(A632&lt;Pricing!$C$25,Pricing!$D$25,VLOOKUP(Disbursements!$F632,Pricing!$B$29:$D$32,3))))</f>
        <v>0</v>
      </c>
      <c r="M632" s="528">
        <f>IF(E632="STL",0,IF(F632&gt;0,Pricing!$D$21,0))</f>
        <v>0</v>
      </c>
      <c r="N632" s="529">
        <f>IF(E632="STL",F632*Pricing!$D$40,IF(A632&lt;=Pricing!$C$4,0,IF(AND(A632&gt;Pricing!$C$4,Disbursements!A632&lt;=Pricing!$C$5),F632*Pricing!$E$5,IF(AND(A632&gt;Pricing!$C$5,Disbursements!A632&lt;=Pricing!$C$7),VLOOKUP(F632,Pricing!$D$7:$E$8,2)*Disbursements!F632,F632*Pricing!$E$9))))</f>
        <v>0</v>
      </c>
      <c r="O632" s="528">
        <f>IF(E632="STL",0,IF($F632&gt;0,$F632*Pricing!$D$17,0))</f>
        <v>0</v>
      </c>
      <c r="P632" s="530" t="str">
        <f t="shared" si="256"/>
        <v/>
      </c>
      <c r="Q632" s="531" t="str">
        <f>IF($A632="","",$G632/VLOOKUP($I632,Ref!$B$23:$D$29,2,0))</f>
        <v/>
      </c>
      <c r="R632" s="530" t="str">
        <f t="shared" si="257"/>
        <v/>
      </c>
      <c r="S632" s="532" t="str">
        <f t="shared" si="251"/>
        <v/>
      </c>
      <c r="T632" s="531" t="str">
        <f t="shared" si="258"/>
        <v/>
      </c>
      <c r="U632" s="533">
        <f t="shared" si="259"/>
        <v>0</v>
      </c>
      <c r="V632" s="531" t="str">
        <f t="shared" si="260"/>
        <v/>
      </c>
      <c r="W632" s="531" t="str">
        <f t="shared" si="261"/>
        <v/>
      </c>
      <c r="X632" s="534" t="str">
        <f t="shared" si="262"/>
        <v/>
      </c>
      <c r="Y632" s="535" t="str">
        <f>IF($A632="","",IF($I632="weekly",$A632+7,EDATE($A632,VLOOKUP($I632,Ref!$B$24:$C$29,2,0))))</f>
        <v/>
      </c>
      <c r="Z632" s="536" t="str">
        <f t="shared" si="263"/>
        <v/>
      </c>
      <c r="AA632" s="531">
        <f t="shared" si="264"/>
        <v>0</v>
      </c>
      <c r="AB632" s="535" t="str">
        <f t="shared" si="252"/>
        <v/>
      </c>
      <c r="AC632" s="537" t="str">
        <f t="shared" si="253"/>
        <v/>
      </c>
      <c r="AD632" s="538" t="str">
        <f t="shared" ca="1" si="254"/>
        <v/>
      </c>
      <c r="AE632" s="537">
        <f t="shared" ca="1" si="255"/>
        <v>0</v>
      </c>
      <c r="AF632" s="539" t="str">
        <f t="shared" ca="1" si="265"/>
        <v/>
      </c>
      <c r="AG632" s="531" t="str">
        <f t="shared" ca="1" si="266"/>
        <v/>
      </c>
      <c r="AH632" s="531" t="str">
        <f t="shared" ca="1" si="267"/>
        <v/>
      </c>
      <c r="AI632" s="531" t="str">
        <f t="shared" ca="1" si="268"/>
        <v/>
      </c>
      <c r="AJ632" s="531" t="str">
        <f t="shared" si="269"/>
        <v/>
      </c>
      <c r="AK632" s="540">
        <f>SUMIFS('Live Collections'!$S:$S,'Live Collections'!$D:$D,Disbursements!B632,'Live Collections'!$G:$G,Disbursements!C632)</f>
        <v>0</v>
      </c>
      <c r="AL632" s="540">
        <f>SUMIFS('Live Collections'!$T:$T,'Live Collections'!$D:$D,Disbursements!B632,'Live Collections'!$G:$G,Disbursements!C632)</f>
        <v>0</v>
      </c>
      <c r="AM632" s="541">
        <f t="shared" si="270"/>
        <v>0</v>
      </c>
      <c r="AN632" s="542" t="str">
        <f t="shared" si="271"/>
        <v/>
      </c>
      <c r="AO632" s="542" t="str">
        <f t="shared" si="272"/>
        <v/>
      </c>
      <c r="AP632" s="543" t="str">
        <f t="shared" si="273"/>
        <v/>
      </c>
      <c r="AQ632" s="544" t="str">
        <f t="shared" si="274"/>
        <v/>
      </c>
      <c r="AR632" s="545">
        <f t="shared" si="275"/>
        <v>0</v>
      </c>
      <c r="AS632" s="545">
        <f>IFERROR(CEILING($AR632*VLOOKUP($I632,Ref!$B$23:$E$29,4,0),1),0)</f>
        <v>0</v>
      </c>
      <c r="AT632" s="545" t="str">
        <f>IF(A632="","",IF(AP632&lt;=1,"Cleared",IF(AS632=0,"Clean",VLOOKUP($AS632,Ref!$G$23:$H$28,2))))</f>
        <v/>
      </c>
      <c r="AU632" s="546" t="str">
        <f t="shared" si="276"/>
        <v/>
      </c>
    </row>
    <row r="633" spans="1:47" ht="14.25" hidden="1" customHeight="1" x14ac:dyDescent="0.15">
      <c r="A633" s="523"/>
      <c r="B633" s="523"/>
      <c r="C633" s="523"/>
      <c r="D633" s="523"/>
      <c r="E633" s="579"/>
      <c r="F633" s="580"/>
      <c r="G633" s="524"/>
      <c r="H633" s="555"/>
      <c r="I633" s="560"/>
      <c r="J633" s="523"/>
      <c r="K633" s="528" t="str">
        <f>IFERROR(VLOOKUP($B633,'Clients-Live'!$A:$C,3,0),"")</f>
        <v/>
      </c>
      <c r="L633" s="528">
        <f>IF(E633="STL",Pricing!$D$38,IF(A633="",0,IF(A633&lt;Pricing!$C$25,Pricing!$D$25,VLOOKUP(Disbursements!$F633,Pricing!$B$29:$D$32,3))))</f>
        <v>0</v>
      </c>
      <c r="M633" s="528">
        <f>IF(E633="STL",0,IF(F633&gt;0,Pricing!$D$21,0))</f>
        <v>0</v>
      </c>
      <c r="N633" s="529">
        <f>IF(E633="STL",F633*Pricing!$D$40,IF(A633&lt;=Pricing!$C$4,0,IF(AND(A633&gt;Pricing!$C$4,Disbursements!A633&lt;=Pricing!$C$5),F633*Pricing!$E$5,IF(AND(A633&gt;Pricing!$C$5,Disbursements!A633&lt;=Pricing!$C$7),VLOOKUP(F633,Pricing!$D$7:$E$8,2)*Disbursements!F633,F633*Pricing!$E$9))))</f>
        <v>0</v>
      </c>
      <c r="O633" s="528">
        <f>IF(E633="STL",0,IF($F633&gt;0,$F633*Pricing!$D$17,0))</f>
        <v>0</v>
      </c>
      <c r="P633" s="530" t="str">
        <f t="shared" si="256"/>
        <v/>
      </c>
      <c r="Q633" s="531" t="str">
        <f>IF($A633="","",$G633/VLOOKUP($I633,Ref!$B$23:$D$29,2,0))</f>
        <v/>
      </c>
      <c r="R633" s="530" t="str">
        <f t="shared" si="257"/>
        <v/>
      </c>
      <c r="S633" s="532" t="str">
        <f t="shared" si="251"/>
        <v/>
      </c>
      <c r="T633" s="531" t="str">
        <f t="shared" si="258"/>
        <v/>
      </c>
      <c r="U633" s="533">
        <f t="shared" si="259"/>
        <v>0</v>
      </c>
      <c r="V633" s="531" t="str">
        <f t="shared" si="260"/>
        <v/>
      </c>
      <c r="W633" s="531" t="str">
        <f t="shared" si="261"/>
        <v/>
      </c>
      <c r="X633" s="534" t="str">
        <f t="shared" si="262"/>
        <v/>
      </c>
      <c r="Y633" s="535" t="str">
        <f>IF($A633="","",IF($I633="weekly",$A633+7,EDATE($A633,VLOOKUP($I633,Ref!$B$24:$C$29,2,0))))</f>
        <v/>
      </c>
      <c r="Z633" s="536" t="str">
        <f t="shared" si="263"/>
        <v/>
      </c>
      <c r="AA633" s="531">
        <f t="shared" si="264"/>
        <v>0</v>
      </c>
      <c r="AB633" s="535" t="str">
        <f t="shared" si="252"/>
        <v/>
      </c>
      <c r="AC633" s="537" t="str">
        <f t="shared" si="253"/>
        <v/>
      </c>
      <c r="AD633" s="538" t="str">
        <f t="shared" ca="1" si="254"/>
        <v/>
      </c>
      <c r="AE633" s="537">
        <f t="shared" ca="1" si="255"/>
        <v>0</v>
      </c>
      <c r="AF633" s="539" t="str">
        <f t="shared" ca="1" si="265"/>
        <v/>
      </c>
      <c r="AG633" s="531" t="str">
        <f t="shared" ca="1" si="266"/>
        <v/>
      </c>
      <c r="AH633" s="531" t="str">
        <f t="shared" ca="1" si="267"/>
        <v/>
      </c>
      <c r="AI633" s="531" t="str">
        <f t="shared" ca="1" si="268"/>
        <v/>
      </c>
      <c r="AJ633" s="531" t="str">
        <f t="shared" si="269"/>
        <v/>
      </c>
      <c r="AK633" s="540">
        <f>SUMIFS('Live Collections'!$S:$S,'Live Collections'!$D:$D,Disbursements!B633,'Live Collections'!$G:$G,Disbursements!C633)</f>
        <v>0</v>
      </c>
      <c r="AL633" s="540">
        <f>SUMIFS('Live Collections'!$T:$T,'Live Collections'!$D:$D,Disbursements!B633,'Live Collections'!$G:$G,Disbursements!C633)</f>
        <v>0</v>
      </c>
      <c r="AM633" s="541">
        <f t="shared" si="270"/>
        <v>0</v>
      </c>
      <c r="AN633" s="542" t="str">
        <f t="shared" si="271"/>
        <v/>
      </c>
      <c r="AO633" s="542" t="str">
        <f t="shared" si="272"/>
        <v/>
      </c>
      <c r="AP633" s="543" t="str">
        <f t="shared" si="273"/>
        <v/>
      </c>
      <c r="AQ633" s="544" t="str">
        <f t="shared" si="274"/>
        <v/>
      </c>
      <c r="AR633" s="545">
        <f t="shared" si="275"/>
        <v>0</v>
      </c>
      <c r="AS633" s="545">
        <f>IFERROR(CEILING($AR633*VLOOKUP($I633,Ref!$B$23:$E$29,4,0),1),0)</f>
        <v>0</v>
      </c>
      <c r="AT633" s="545" t="str">
        <f>IF(A633="","",IF(AP633&lt;=1,"Cleared",IF(AS633=0,"Clean",VLOOKUP($AS633,Ref!$G$23:$H$28,2))))</f>
        <v/>
      </c>
      <c r="AU633" s="546" t="str">
        <f t="shared" si="276"/>
        <v/>
      </c>
    </row>
    <row r="634" spans="1:47" ht="14.25" hidden="1" customHeight="1" x14ac:dyDescent="0.15">
      <c r="A634" s="523"/>
      <c r="B634" s="523"/>
      <c r="C634" s="523"/>
      <c r="D634" s="523"/>
      <c r="E634" s="579"/>
      <c r="F634" s="580"/>
      <c r="G634" s="524"/>
      <c r="H634" s="555"/>
      <c r="I634" s="560"/>
      <c r="J634" s="523"/>
      <c r="K634" s="528" t="str">
        <f>IFERROR(VLOOKUP($B634,'Clients-Live'!$A:$C,3,0),"")</f>
        <v/>
      </c>
      <c r="L634" s="528">
        <f>IF(E634="STL",Pricing!$D$38,IF(A634="",0,IF(A634&lt;Pricing!$C$25,Pricing!$D$25,VLOOKUP(Disbursements!$F634,Pricing!$B$29:$D$32,3))))</f>
        <v>0</v>
      </c>
      <c r="M634" s="528">
        <f>IF(E634="STL",0,IF(F634&gt;0,Pricing!$D$21,0))</f>
        <v>0</v>
      </c>
      <c r="N634" s="529">
        <f>IF(E634="STL",F634*Pricing!$D$40,IF(A634&lt;=Pricing!$C$4,0,IF(AND(A634&gt;Pricing!$C$4,Disbursements!A634&lt;=Pricing!$C$5),F634*Pricing!$E$5,IF(AND(A634&gt;Pricing!$C$5,Disbursements!A634&lt;=Pricing!$C$7),VLOOKUP(F634,Pricing!$D$7:$E$8,2)*Disbursements!F634,F634*Pricing!$E$9))))</f>
        <v>0</v>
      </c>
      <c r="O634" s="528">
        <f>IF(E634="STL",0,IF($F634&gt;0,$F634*Pricing!$D$17,0))</f>
        <v>0</v>
      </c>
      <c r="P634" s="530" t="str">
        <f t="shared" si="256"/>
        <v/>
      </c>
      <c r="Q634" s="531" t="str">
        <f>IF($A634="","",$G634/VLOOKUP($I634,Ref!$B$23:$D$29,2,0))</f>
        <v/>
      </c>
      <c r="R634" s="530" t="str">
        <f t="shared" si="257"/>
        <v/>
      </c>
      <c r="S634" s="532" t="str">
        <f t="shared" si="251"/>
        <v/>
      </c>
      <c r="T634" s="531" t="str">
        <f t="shared" si="258"/>
        <v/>
      </c>
      <c r="U634" s="533">
        <f t="shared" si="259"/>
        <v>0</v>
      </c>
      <c r="V634" s="531" t="str">
        <f t="shared" si="260"/>
        <v/>
      </c>
      <c r="W634" s="531" t="str">
        <f t="shared" si="261"/>
        <v/>
      </c>
      <c r="X634" s="534" t="str">
        <f t="shared" si="262"/>
        <v/>
      </c>
      <c r="Y634" s="535" t="str">
        <f>IF($A634="","",IF($I634="weekly",$A634+7,EDATE($A634,VLOOKUP($I634,Ref!$B$24:$C$29,2,0))))</f>
        <v/>
      </c>
      <c r="Z634" s="536" t="str">
        <f t="shared" si="263"/>
        <v/>
      </c>
      <c r="AA634" s="531">
        <f t="shared" si="264"/>
        <v>0</v>
      </c>
      <c r="AB634" s="535" t="str">
        <f t="shared" si="252"/>
        <v/>
      </c>
      <c r="AC634" s="537" t="str">
        <f t="shared" si="253"/>
        <v/>
      </c>
      <c r="AD634" s="538" t="str">
        <f t="shared" ca="1" si="254"/>
        <v/>
      </c>
      <c r="AE634" s="537">
        <f t="shared" ca="1" si="255"/>
        <v>0</v>
      </c>
      <c r="AF634" s="539" t="str">
        <f t="shared" ca="1" si="265"/>
        <v/>
      </c>
      <c r="AG634" s="531" t="str">
        <f t="shared" ca="1" si="266"/>
        <v/>
      </c>
      <c r="AH634" s="531" t="str">
        <f t="shared" ca="1" si="267"/>
        <v/>
      </c>
      <c r="AI634" s="531" t="str">
        <f t="shared" ca="1" si="268"/>
        <v/>
      </c>
      <c r="AJ634" s="531" t="str">
        <f t="shared" si="269"/>
        <v/>
      </c>
      <c r="AK634" s="540">
        <f>SUMIFS('Live Collections'!$S:$S,'Live Collections'!$D:$D,Disbursements!B634,'Live Collections'!$G:$G,Disbursements!C634)</f>
        <v>0</v>
      </c>
      <c r="AL634" s="540">
        <f>SUMIFS('Live Collections'!$T:$T,'Live Collections'!$D:$D,Disbursements!B634,'Live Collections'!$G:$G,Disbursements!C634)</f>
        <v>0</v>
      </c>
      <c r="AM634" s="541">
        <f t="shared" si="270"/>
        <v>0</v>
      </c>
      <c r="AN634" s="542" t="str">
        <f t="shared" si="271"/>
        <v/>
      </c>
      <c r="AO634" s="542" t="str">
        <f t="shared" si="272"/>
        <v/>
      </c>
      <c r="AP634" s="543" t="str">
        <f t="shared" si="273"/>
        <v/>
      </c>
      <c r="AQ634" s="544" t="str">
        <f t="shared" si="274"/>
        <v/>
      </c>
      <c r="AR634" s="545">
        <f t="shared" si="275"/>
        <v>0</v>
      </c>
      <c r="AS634" s="545">
        <f>IFERROR(CEILING($AR634*VLOOKUP($I634,Ref!$B$23:$E$29,4,0),1),0)</f>
        <v>0</v>
      </c>
      <c r="AT634" s="545" t="str">
        <f>IF(A634="","",IF(AP634&lt;=1,"Cleared",IF(AS634=0,"Clean",VLOOKUP($AS634,Ref!$G$23:$H$28,2))))</f>
        <v/>
      </c>
      <c r="AU634" s="546" t="str">
        <f t="shared" si="276"/>
        <v/>
      </c>
    </row>
    <row r="635" spans="1:47" ht="14.25" hidden="1" customHeight="1" x14ac:dyDescent="0.15">
      <c r="A635" s="523"/>
      <c r="B635" s="523"/>
      <c r="C635" s="523"/>
      <c r="D635" s="523"/>
      <c r="E635" s="579"/>
      <c r="F635" s="580"/>
      <c r="G635" s="524"/>
      <c r="H635" s="555"/>
      <c r="I635" s="560"/>
      <c r="J635" s="523"/>
      <c r="K635" s="528" t="str">
        <f>IFERROR(VLOOKUP($B635,'Clients-Live'!$A:$C,3,0),"")</f>
        <v/>
      </c>
      <c r="L635" s="528">
        <f>IF(E635="STL",Pricing!$D$38,IF(A635="",0,IF(A635&lt;Pricing!$C$25,Pricing!$D$25,VLOOKUP(Disbursements!$F635,Pricing!$B$29:$D$32,3))))</f>
        <v>0</v>
      </c>
      <c r="M635" s="528">
        <f>IF(E635="STL",0,IF(F635&gt;0,Pricing!$D$21,0))</f>
        <v>0</v>
      </c>
      <c r="N635" s="529">
        <f>IF(E635="STL",F635*Pricing!$D$40,IF(A635&lt;=Pricing!$C$4,0,IF(AND(A635&gt;Pricing!$C$4,Disbursements!A635&lt;=Pricing!$C$5),F635*Pricing!$E$5,IF(AND(A635&gt;Pricing!$C$5,Disbursements!A635&lt;=Pricing!$C$7),VLOOKUP(F635,Pricing!$D$7:$E$8,2)*Disbursements!F635,F635*Pricing!$E$9))))</f>
        <v>0</v>
      </c>
      <c r="O635" s="528">
        <f>IF(E635="STL",0,IF($F635&gt;0,$F635*Pricing!$D$17,0))</f>
        <v>0</v>
      </c>
      <c r="P635" s="530" t="str">
        <f t="shared" si="256"/>
        <v/>
      </c>
      <c r="Q635" s="531" t="str">
        <f>IF($A635="","",$G635/VLOOKUP($I635,Ref!$B$23:$D$29,2,0))</f>
        <v/>
      </c>
      <c r="R635" s="530" t="str">
        <f t="shared" si="257"/>
        <v/>
      </c>
      <c r="S635" s="532" t="str">
        <f t="shared" si="251"/>
        <v/>
      </c>
      <c r="T635" s="531" t="str">
        <f t="shared" si="258"/>
        <v/>
      </c>
      <c r="U635" s="533">
        <f t="shared" si="259"/>
        <v>0</v>
      </c>
      <c r="V635" s="531" t="str">
        <f t="shared" si="260"/>
        <v/>
      </c>
      <c r="W635" s="531" t="str">
        <f t="shared" si="261"/>
        <v/>
      </c>
      <c r="X635" s="534" t="str">
        <f t="shared" si="262"/>
        <v/>
      </c>
      <c r="Y635" s="535" t="str">
        <f>IF($A635="","",IF($I635="weekly",$A635+7,EDATE($A635,VLOOKUP($I635,Ref!$B$24:$C$29,2,0))))</f>
        <v/>
      </c>
      <c r="Z635" s="536" t="str">
        <f t="shared" si="263"/>
        <v/>
      </c>
      <c r="AA635" s="531">
        <f t="shared" si="264"/>
        <v>0</v>
      </c>
      <c r="AB635" s="535" t="str">
        <f t="shared" si="252"/>
        <v/>
      </c>
      <c r="AC635" s="537" t="str">
        <f t="shared" si="253"/>
        <v/>
      </c>
      <c r="AD635" s="538" t="str">
        <f t="shared" ca="1" si="254"/>
        <v/>
      </c>
      <c r="AE635" s="537">
        <f t="shared" ca="1" si="255"/>
        <v>0</v>
      </c>
      <c r="AF635" s="539" t="str">
        <f t="shared" ca="1" si="265"/>
        <v/>
      </c>
      <c r="AG635" s="531" t="str">
        <f t="shared" ca="1" si="266"/>
        <v/>
      </c>
      <c r="AH635" s="531" t="str">
        <f t="shared" ca="1" si="267"/>
        <v/>
      </c>
      <c r="AI635" s="531" t="str">
        <f t="shared" ca="1" si="268"/>
        <v/>
      </c>
      <c r="AJ635" s="531" t="str">
        <f t="shared" si="269"/>
        <v/>
      </c>
      <c r="AK635" s="540">
        <f>SUMIFS('Live Collections'!$S:$S,'Live Collections'!$D:$D,Disbursements!B635,'Live Collections'!$G:$G,Disbursements!C635)</f>
        <v>0</v>
      </c>
      <c r="AL635" s="540">
        <f>SUMIFS('Live Collections'!$T:$T,'Live Collections'!$D:$D,Disbursements!B635,'Live Collections'!$G:$G,Disbursements!C635)</f>
        <v>0</v>
      </c>
      <c r="AM635" s="541">
        <f t="shared" si="270"/>
        <v>0</v>
      </c>
      <c r="AN635" s="542" t="str">
        <f t="shared" si="271"/>
        <v/>
      </c>
      <c r="AO635" s="542" t="str">
        <f t="shared" si="272"/>
        <v/>
      </c>
      <c r="AP635" s="543" t="str">
        <f t="shared" si="273"/>
        <v/>
      </c>
      <c r="AQ635" s="544" t="str">
        <f t="shared" si="274"/>
        <v/>
      </c>
      <c r="AR635" s="545">
        <f t="shared" si="275"/>
        <v>0</v>
      </c>
      <c r="AS635" s="545">
        <f>IFERROR(CEILING($AR635*VLOOKUP($I635,Ref!$B$23:$E$29,4,0),1),0)</f>
        <v>0</v>
      </c>
      <c r="AT635" s="545" t="str">
        <f>IF(A635="","",IF(AP635&lt;=1,"Cleared",IF(AS635=0,"Clean",VLOOKUP($AS635,Ref!$G$23:$H$28,2))))</f>
        <v/>
      </c>
      <c r="AU635" s="546" t="str">
        <f t="shared" si="276"/>
        <v/>
      </c>
    </row>
    <row r="636" spans="1:47" ht="14.25" hidden="1" customHeight="1" x14ac:dyDescent="0.15">
      <c r="A636" s="523"/>
      <c r="B636" s="523"/>
      <c r="C636" s="523"/>
      <c r="D636" s="523"/>
      <c r="E636" s="579"/>
      <c r="F636" s="580"/>
      <c r="G636" s="524"/>
      <c r="H636" s="555"/>
      <c r="I636" s="560"/>
      <c r="J636" s="523"/>
      <c r="K636" s="528" t="str">
        <f>IFERROR(VLOOKUP($B636,'Clients-Live'!$A:$C,3,0),"")</f>
        <v/>
      </c>
      <c r="L636" s="528">
        <f>IF(E636="STL",Pricing!$D$38,IF(A636="",0,IF(A636&lt;Pricing!$C$25,Pricing!$D$25,VLOOKUP(Disbursements!$F636,Pricing!$B$29:$D$32,3))))</f>
        <v>0</v>
      </c>
      <c r="M636" s="528">
        <f>IF(E636="STL",0,IF(F636&gt;0,Pricing!$D$21,0))</f>
        <v>0</v>
      </c>
      <c r="N636" s="529">
        <f>IF(E636="STL",F636*Pricing!$D$40,IF(A636&lt;=Pricing!$C$4,0,IF(AND(A636&gt;Pricing!$C$4,Disbursements!A636&lt;=Pricing!$C$5),F636*Pricing!$E$5,IF(AND(A636&gt;Pricing!$C$5,Disbursements!A636&lt;=Pricing!$C$7),VLOOKUP(F636,Pricing!$D$7:$E$8,2)*Disbursements!F636,F636*Pricing!$E$9))))</f>
        <v>0</v>
      </c>
      <c r="O636" s="528">
        <f>IF(E636="STL",0,IF($F636&gt;0,$F636*Pricing!$D$17,0))</f>
        <v>0</v>
      </c>
      <c r="P636" s="530" t="str">
        <f t="shared" si="256"/>
        <v/>
      </c>
      <c r="Q636" s="531" t="str">
        <f>IF($A636="","",$G636/VLOOKUP($I636,Ref!$B$23:$D$29,2,0))</f>
        <v/>
      </c>
      <c r="R636" s="530" t="str">
        <f t="shared" si="257"/>
        <v/>
      </c>
      <c r="S636" s="532" t="str">
        <f t="shared" si="251"/>
        <v/>
      </c>
      <c r="T636" s="531" t="str">
        <f t="shared" si="258"/>
        <v/>
      </c>
      <c r="U636" s="533">
        <f t="shared" si="259"/>
        <v>0</v>
      </c>
      <c r="V636" s="531" t="str">
        <f t="shared" si="260"/>
        <v/>
      </c>
      <c r="W636" s="531" t="str">
        <f t="shared" si="261"/>
        <v/>
      </c>
      <c r="X636" s="534" t="str">
        <f t="shared" si="262"/>
        <v/>
      </c>
      <c r="Y636" s="535" t="str">
        <f>IF($A636="","",IF($I636="weekly",$A636+7,EDATE($A636,VLOOKUP($I636,Ref!$B$24:$C$29,2,0))))</f>
        <v/>
      </c>
      <c r="Z636" s="536" t="str">
        <f t="shared" si="263"/>
        <v/>
      </c>
      <c r="AA636" s="531">
        <f t="shared" si="264"/>
        <v>0</v>
      </c>
      <c r="AB636" s="535" t="str">
        <f t="shared" si="252"/>
        <v/>
      </c>
      <c r="AC636" s="537" t="str">
        <f t="shared" si="253"/>
        <v/>
      </c>
      <c r="AD636" s="538" t="str">
        <f t="shared" ca="1" si="254"/>
        <v/>
      </c>
      <c r="AE636" s="537">
        <f t="shared" ca="1" si="255"/>
        <v>0</v>
      </c>
      <c r="AF636" s="539" t="str">
        <f t="shared" ca="1" si="265"/>
        <v/>
      </c>
      <c r="AG636" s="531" t="str">
        <f t="shared" ca="1" si="266"/>
        <v/>
      </c>
      <c r="AH636" s="531" t="str">
        <f t="shared" ca="1" si="267"/>
        <v/>
      </c>
      <c r="AI636" s="531" t="str">
        <f t="shared" ca="1" si="268"/>
        <v/>
      </c>
      <c r="AJ636" s="531" t="str">
        <f t="shared" si="269"/>
        <v/>
      </c>
      <c r="AK636" s="540">
        <f>SUMIFS('Live Collections'!$S:$S,'Live Collections'!$D:$D,Disbursements!B636,'Live Collections'!$G:$G,Disbursements!C636)</f>
        <v>0</v>
      </c>
      <c r="AL636" s="540">
        <f>SUMIFS('Live Collections'!$T:$T,'Live Collections'!$D:$D,Disbursements!B636,'Live Collections'!$G:$G,Disbursements!C636)</f>
        <v>0</v>
      </c>
      <c r="AM636" s="541">
        <f t="shared" si="270"/>
        <v>0</v>
      </c>
      <c r="AN636" s="542" t="str">
        <f t="shared" si="271"/>
        <v/>
      </c>
      <c r="AO636" s="542" t="str">
        <f t="shared" si="272"/>
        <v/>
      </c>
      <c r="AP636" s="543" t="str">
        <f t="shared" si="273"/>
        <v/>
      </c>
      <c r="AQ636" s="544" t="str">
        <f t="shared" si="274"/>
        <v/>
      </c>
      <c r="AR636" s="545">
        <f t="shared" si="275"/>
        <v>0</v>
      </c>
      <c r="AS636" s="545">
        <f>IFERROR(CEILING($AR636*VLOOKUP($I636,Ref!$B$23:$E$29,4,0),1),0)</f>
        <v>0</v>
      </c>
      <c r="AT636" s="545" t="str">
        <f>IF(A636="","",IF(AP636&lt;=1,"Cleared",IF(AS636=0,"Clean",VLOOKUP($AS636,Ref!$G$23:$H$28,2))))</f>
        <v/>
      </c>
      <c r="AU636" s="546" t="str">
        <f t="shared" si="276"/>
        <v/>
      </c>
    </row>
    <row r="637" spans="1:47" ht="14.25" hidden="1" customHeight="1" x14ac:dyDescent="0.15">
      <c r="A637" s="523"/>
      <c r="B637" s="523"/>
      <c r="C637" s="523"/>
      <c r="D637" s="523"/>
      <c r="E637" s="579"/>
      <c r="F637" s="580"/>
      <c r="G637" s="524"/>
      <c r="H637" s="555"/>
      <c r="I637" s="560"/>
      <c r="J637" s="523"/>
      <c r="K637" s="528" t="str">
        <f>IFERROR(VLOOKUP($B637,'Clients-Live'!$A:$C,3,0),"")</f>
        <v/>
      </c>
      <c r="L637" s="528">
        <f>IF(E637="STL",Pricing!$D$38,IF(A637="",0,IF(A637&lt;Pricing!$C$25,Pricing!$D$25,VLOOKUP(Disbursements!$F637,Pricing!$B$29:$D$32,3))))</f>
        <v>0</v>
      </c>
      <c r="M637" s="528">
        <f>IF(E637="STL",0,IF(F637&gt;0,Pricing!$D$21,0))</f>
        <v>0</v>
      </c>
      <c r="N637" s="529">
        <f>IF(E637="STL",F637*Pricing!$D$40,IF(A637&lt;=Pricing!$C$4,0,IF(AND(A637&gt;Pricing!$C$4,Disbursements!A637&lt;=Pricing!$C$5),F637*Pricing!$E$5,IF(AND(A637&gt;Pricing!$C$5,Disbursements!A637&lt;=Pricing!$C$7),VLOOKUP(F637,Pricing!$D$7:$E$8,2)*Disbursements!F637,F637*Pricing!$E$9))))</f>
        <v>0</v>
      </c>
      <c r="O637" s="528">
        <f>IF(E637="STL",0,IF($F637&gt;0,$F637*Pricing!$D$17,0))</f>
        <v>0</v>
      </c>
      <c r="P637" s="530" t="str">
        <f t="shared" si="256"/>
        <v/>
      </c>
      <c r="Q637" s="531" t="str">
        <f>IF($A637="","",$G637/VLOOKUP($I637,Ref!$B$23:$D$29,2,0))</f>
        <v/>
      </c>
      <c r="R637" s="530" t="str">
        <f t="shared" si="257"/>
        <v/>
      </c>
      <c r="S637" s="532" t="str">
        <f t="shared" si="251"/>
        <v/>
      </c>
      <c r="T637" s="531" t="str">
        <f t="shared" si="258"/>
        <v/>
      </c>
      <c r="U637" s="533">
        <f t="shared" si="259"/>
        <v>0</v>
      </c>
      <c r="V637" s="531" t="str">
        <f t="shared" si="260"/>
        <v/>
      </c>
      <c r="W637" s="531" t="str">
        <f t="shared" si="261"/>
        <v/>
      </c>
      <c r="X637" s="534" t="str">
        <f t="shared" si="262"/>
        <v/>
      </c>
      <c r="Y637" s="535" t="str">
        <f>IF($A637="","",IF($I637="weekly",$A637+7,EDATE($A637,VLOOKUP($I637,Ref!$B$24:$C$29,2,0))))</f>
        <v/>
      </c>
      <c r="Z637" s="536" t="str">
        <f t="shared" si="263"/>
        <v/>
      </c>
      <c r="AA637" s="531">
        <f t="shared" si="264"/>
        <v>0</v>
      </c>
      <c r="AB637" s="535" t="str">
        <f t="shared" si="252"/>
        <v/>
      </c>
      <c r="AC637" s="537" t="str">
        <f t="shared" si="253"/>
        <v/>
      </c>
      <c r="AD637" s="538" t="str">
        <f t="shared" ca="1" si="254"/>
        <v/>
      </c>
      <c r="AE637" s="537">
        <f t="shared" ca="1" si="255"/>
        <v>0</v>
      </c>
      <c r="AF637" s="539" t="str">
        <f t="shared" ca="1" si="265"/>
        <v/>
      </c>
      <c r="AG637" s="531" t="str">
        <f t="shared" ca="1" si="266"/>
        <v/>
      </c>
      <c r="AH637" s="531" t="str">
        <f t="shared" ca="1" si="267"/>
        <v/>
      </c>
      <c r="AI637" s="531" t="str">
        <f t="shared" ca="1" si="268"/>
        <v/>
      </c>
      <c r="AJ637" s="531" t="str">
        <f t="shared" si="269"/>
        <v/>
      </c>
      <c r="AK637" s="540">
        <f>SUMIFS('Live Collections'!$S:$S,'Live Collections'!$D:$D,Disbursements!B637,'Live Collections'!$G:$G,Disbursements!C637)</f>
        <v>0</v>
      </c>
      <c r="AL637" s="540">
        <f>SUMIFS('Live Collections'!$T:$T,'Live Collections'!$D:$D,Disbursements!B637,'Live Collections'!$G:$G,Disbursements!C637)</f>
        <v>0</v>
      </c>
      <c r="AM637" s="541">
        <f t="shared" si="270"/>
        <v>0</v>
      </c>
      <c r="AN637" s="542" t="str">
        <f t="shared" si="271"/>
        <v/>
      </c>
      <c r="AO637" s="542" t="str">
        <f t="shared" si="272"/>
        <v/>
      </c>
      <c r="AP637" s="543" t="str">
        <f t="shared" si="273"/>
        <v/>
      </c>
      <c r="AQ637" s="544" t="str">
        <f t="shared" si="274"/>
        <v/>
      </c>
      <c r="AR637" s="545">
        <f t="shared" si="275"/>
        <v>0</v>
      </c>
      <c r="AS637" s="545">
        <f>IFERROR(CEILING($AR637*VLOOKUP($I637,Ref!$B$23:$E$29,4,0),1),0)</f>
        <v>0</v>
      </c>
      <c r="AT637" s="545" t="str">
        <f>IF(A637="","",IF(AP637&lt;=1,"Cleared",IF(AS637=0,"Clean",VLOOKUP($AS637,Ref!$G$23:$H$28,2))))</f>
        <v/>
      </c>
      <c r="AU637" s="546" t="str">
        <f t="shared" si="276"/>
        <v/>
      </c>
    </row>
    <row r="638" spans="1:47" ht="14.25" hidden="1" customHeight="1" x14ac:dyDescent="0.15">
      <c r="A638" s="523"/>
      <c r="B638" s="523"/>
      <c r="C638" s="523"/>
      <c r="D638" s="523"/>
      <c r="E638" s="579"/>
      <c r="F638" s="580"/>
      <c r="G638" s="524"/>
      <c r="H638" s="555"/>
      <c r="I638" s="560"/>
      <c r="J638" s="523"/>
      <c r="K638" s="528" t="str">
        <f>IFERROR(VLOOKUP($B638,'Clients-Live'!$A:$C,3,0),"")</f>
        <v/>
      </c>
      <c r="L638" s="528">
        <f>IF(E638="STL",Pricing!$D$38,IF(A638="",0,IF(A638&lt;Pricing!$C$25,Pricing!$D$25,VLOOKUP(Disbursements!$F638,Pricing!$B$29:$D$32,3))))</f>
        <v>0</v>
      </c>
      <c r="M638" s="528">
        <f>IF(E638="STL",0,IF(F638&gt;0,Pricing!$D$21,0))</f>
        <v>0</v>
      </c>
      <c r="N638" s="529">
        <f>IF(E638="STL",F638*Pricing!$D$40,IF(A638&lt;=Pricing!$C$4,0,IF(AND(A638&gt;Pricing!$C$4,Disbursements!A638&lt;=Pricing!$C$5),F638*Pricing!$E$5,IF(AND(A638&gt;Pricing!$C$5,Disbursements!A638&lt;=Pricing!$C$7),VLOOKUP(F638,Pricing!$D$7:$E$8,2)*Disbursements!F638,F638*Pricing!$E$9))))</f>
        <v>0</v>
      </c>
      <c r="O638" s="528">
        <f>IF(E638="STL",0,IF($F638&gt;0,$F638*Pricing!$D$17,0))</f>
        <v>0</v>
      </c>
      <c r="P638" s="530" t="str">
        <f t="shared" si="256"/>
        <v/>
      </c>
      <c r="Q638" s="531" t="str">
        <f>IF($A638="","",$G638/VLOOKUP($I638,Ref!$B$23:$D$29,2,0))</f>
        <v/>
      </c>
      <c r="R638" s="530" t="str">
        <f t="shared" si="257"/>
        <v/>
      </c>
      <c r="S638" s="532" t="str">
        <f t="shared" si="251"/>
        <v/>
      </c>
      <c r="T638" s="531" t="str">
        <f t="shared" si="258"/>
        <v/>
      </c>
      <c r="U638" s="533">
        <f t="shared" si="259"/>
        <v>0</v>
      </c>
      <c r="V638" s="531" t="str">
        <f t="shared" si="260"/>
        <v/>
      </c>
      <c r="W638" s="531" t="str">
        <f t="shared" si="261"/>
        <v/>
      </c>
      <c r="X638" s="534" t="str">
        <f t="shared" si="262"/>
        <v/>
      </c>
      <c r="Y638" s="535" t="str">
        <f>IF($A638="","",IF($I638="weekly",$A638+7,EDATE($A638,VLOOKUP($I638,Ref!$B$24:$C$29,2,0))))</f>
        <v/>
      </c>
      <c r="Z638" s="536" t="str">
        <f t="shared" si="263"/>
        <v/>
      </c>
      <c r="AA638" s="531">
        <f t="shared" si="264"/>
        <v>0</v>
      </c>
      <c r="AB638" s="535" t="str">
        <f t="shared" si="252"/>
        <v/>
      </c>
      <c r="AC638" s="537" t="str">
        <f t="shared" si="253"/>
        <v/>
      </c>
      <c r="AD638" s="538" t="str">
        <f t="shared" ca="1" si="254"/>
        <v/>
      </c>
      <c r="AE638" s="537">
        <f t="shared" ca="1" si="255"/>
        <v>0</v>
      </c>
      <c r="AF638" s="539" t="str">
        <f t="shared" ca="1" si="265"/>
        <v/>
      </c>
      <c r="AG638" s="531" t="str">
        <f t="shared" ca="1" si="266"/>
        <v/>
      </c>
      <c r="AH638" s="531" t="str">
        <f t="shared" ca="1" si="267"/>
        <v/>
      </c>
      <c r="AI638" s="531" t="str">
        <f t="shared" ca="1" si="268"/>
        <v/>
      </c>
      <c r="AJ638" s="531" t="str">
        <f t="shared" si="269"/>
        <v/>
      </c>
      <c r="AK638" s="540">
        <f>SUMIFS('Live Collections'!$S:$S,'Live Collections'!$D:$D,Disbursements!B638,'Live Collections'!$G:$G,Disbursements!C638)</f>
        <v>0</v>
      </c>
      <c r="AL638" s="540">
        <f>SUMIFS('Live Collections'!$T:$T,'Live Collections'!$D:$D,Disbursements!B638,'Live Collections'!$G:$G,Disbursements!C638)</f>
        <v>0</v>
      </c>
      <c r="AM638" s="541">
        <f t="shared" si="270"/>
        <v>0</v>
      </c>
      <c r="AN638" s="542" t="str">
        <f t="shared" si="271"/>
        <v/>
      </c>
      <c r="AO638" s="542" t="str">
        <f t="shared" si="272"/>
        <v/>
      </c>
      <c r="AP638" s="543" t="str">
        <f t="shared" si="273"/>
        <v/>
      </c>
      <c r="AQ638" s="544" t="str">
        <f t="shared" si="274"/>
        <v/>
      </c>
      <c r="AR638" s="545">
        <f t="shared" si="275"/>
        <v>0</v>
      </c>
      <c r="AS638" s="545">
        <f>IFERROR(CEILING($AR638*VLOOKUP($I638,Ref!$B$23:$E$29,4,0),1),0)</f>
        <v>0</v>
      </c>
      <c r="AT638" s="545" t="str">
        <f>IF(A638="","",IF(AP638&lt;=1,"Cleared",IF(AS638=0,"Clean",VLOOKUP($AS638,Ref!$G$23:$H$28,2))))</f>
        <v/>
      </c>
      <c r="AU638" s="546" t="str">
        <f t="shared" si="276"/>
        <v/>
      </c>
    </row>
    <row r="639" spans="1:47" ht="14.25" hidden="1" customHeight="1" x14ac:dyDescent="0.15">
      <c r="A639" s="523"/>
      <c r="B639" s="523"/>
      <c r="C639" s="523"/>
      <c r="D639" s="523"/>
      <c r="E639" s="579"/>
      <c r="F639" s="580"/>
      <c r="G639" s="524"/>
      <c r="H639" s="555"/>
      <c r="I639" s="560"/>
      <c r="J639" s="523"/>
      <c r="K639" s="528" t="str">
        <f>IFERROR(VLOOKUP($B639,'Clients-Live'!$A:$C,3,0),"")</f>
        <v/>
      </c>
      <c r="L639" s="528">
        <f>IF(E639="STL",Pricing!$D$38,IF(A639="",0,IF(A639&lt;Pricing!$C$25,Pricing!$D$25,VLOOKUP(Disbursements!$F639,Pricing!$B$29:$D$32,3))))</f>
        <v>0</v>
      </c>
      <c r="M639" s="528">
        <f>IF(E639="STL",0,IF(F639&gt;0,Pricing!$D$21,0))</f>
        <v>0</v>
      </c>
      <c r="N639" s="529">
        <f>IF(E639="STL",F639*Pricing!$D$40,IF(A639&lt;=Pricing!$C$4,0,IF(AND(A639&gt;Pricing!$C$4,Disbursements!A639&lt;=Pricing!$C$5),F639*Pricing!$E$5,IF(AND(A639&gt;Pricing!$C$5,Disbursements!A639&lt;=Pricing!$C$7),VLOOKUP(F639,Pricing!$D$7:$E$8,2)*Disbursements!F639,F639*Pricing!$E$9))))</f>
        <v>0</v>
      </c>
      <c r="O639" s="528">
        <f>IF(E639="STL",0,IF($F639&gt;0,$F639*Pricing!$D$17,0))</f>
        <v>0</v>
      </c>
      <c r="P639" s="530" t="str">
        <f t="shared" si="256"/>
        <v/>
      </c>
      <c r="Q639" s="531" t="str">
        <f>IF($A639="","",$G639/VLOOKUP($I639,Ref!$B$23:$D$29,2,0))</f>
        <v/>
      </c>
      <c r="R639" s="530" t="str">
        <f t="shared" si="257"/>
        <v/>
      </c>
      <c r="S639" s="532" t="str">
        <f t="shared" si="251"/>
        <v/>
      </c>
      <c r="T639" s="531" t="str">
        <f t="shared" si="258"/>
        <v/>
      </c>
      <c r="U639" s="533">
        <f t="shared" si="259"/>
        <v>0</v>
      </c>
      <c r="V639" s="531" t="str">
        <f t="shared" si="260"/>
        <v/>
      </c>
      <c r="W639" s="531" t="str">
        <f t="shared" si="261"/>
        <v/>
      </c>
      <c r="X639" s="534" t="str">
        <f t="shared" si="262"/>
        <v/>
      </c>
      <c r="Y639" s="535" t="str">
        <f>IF($A639="","",IF($I639="weekly",$A639+7,EDATE($A639,VLOOKUP($I639,Ref!$B$24:$C$29,2,0))))</f>
        <v/>
      </c>
      <c r="Z639" s="536" t="str">
        <f t="shared" si="263"/>
        <v/>
      </c>
      <c r="AA639" s="531">
        <f t="shared" si="264"/>
        <v>0</v>
      </c>
      <c r="AB639" s="535" t="str">
        <f t="shared" si="252"/>
        <v/>
      </c>
      <c r="AC639" s="537" t="str">
        <f t="shared" si="253"/>
        <v/>
      </c>
      <c r="AD639" s="538" t="str">
        <f t="shared" ca="1" si="254"/>
        <v/>
      </c>
      <c r="AE639" s="537">
        <f t="shared" ca="1" si="255"/>
        <v>0</v>
      </c>
      <c r="AF639" s="539" t="str">
        <f t="shared" ca="1" si="265"/>
        <v/>
      </c>
      <c r="AG639" s="531" t="str">
        <f t="shared" ca="1" si="266"/>
        <v/>
      </c>
      <c r="AH639" s="531" t="str">
        <f t="shared" ca="1" si="267"/>
        <v/>
      </c>
      <c r="AI639" s="531" t="str">
        <f t="shared" ca="1" si="268"/>
        <v/>
      </c>
      <c r="AJ639" s="531" t="str">
        <f t="shared" si="269"/>
        <v/>
      </c>
      <c r="AK639" s="540">
        <f>SUMIFS('Live Collections'!$S:$S,'Live Collections'!$D:$D,Disbursements!B639,'Live Collections'!$G:$G,Disbursements!C639)</f>
        <v>0</v>
      </c>
      <c r="AL639" s="540">
        <f>SUMIFS('Live Collections'!$T:$T,'Live Collections'!$D:$D,Disbursements!B639,'Live Collections'!$G:$G,Disbursements!C639)</f>
        <v>0</v>
      </c>
      <c r="AM639" s="541">
        <f t="shared" si="270"/>
        <v>0</v>
      </c>
      <c r="AN639" s="542" t="str">
        <f t="shared" si="271"/>
        <v/>
      </c>
      <c r="AO639" s="542" t="str">
        <f t="shared" si="272"/>
        <v/>
      </c>
      <c r="AP639" s="543" t="str">
        <f t="shared" si="273"/>
        <v/>
      </c>
      <c r="AQ639" s="544" t="str">
        <f t="shared" si="274"/>
        <v/>
      </c>
      <c r="AR639" s="545">
        <f t="shared" si="275"/>
        <v>0</v>
      </c>
      <c r="AS639" s="545">
        <f>IFERROR(CEILING($AR639*VLOOKUP($I639,Ref!$B$23:$E$29,4,0),1),0)</f>
        <v>0</v>
      </c>
      <c r="AT639" s="545" t="str">
        <f>IF(A639="","",IF(AP639&lt;=1,"Cleared",IF(AS639=0,"Clean",VLOOKUP($AS639,Ref!$G$23:$H$28,2))))</f>
        <v/>
      </c>
      <c r="AU639" s="546" t="str">
        <f t="shared" si="276"/>
        <v/>
      </c>
    </row>
    <row r="640" spans="1:47" ht="14.25" hidden="1" customHeight="1" x14ac:dyDescent="0.15">
      <c r="A640" s="523"/>
      <c r="B640" s="523"/>
      <c r="C640" s="523"/>
      <c r="D640" s="523"/>
      <c r="E640" s="579"/>
      <c r="F640" s="580"/>
      <c r="G640" s="524"/>
      <c r="H640" s="555"/>
      <c r="I640" s="560"/>
      <c r="J640" s="523"/>
      <c r="K640" s="528" t="str">
        <f>IFERROR(VLOOKUP($B640,'Clients-Live'!$A:$C,3,0),"")</f>
        <v/>
      </c>
      <c r="L640" s="528">
        <f>IF(E640="STL",Pricing!$D$38,IF(A640="",0,IF(A640&lt;Pricing!$C$25,Pricing!$D$25,VLOOKUP(Disbursements!$F640,Pricing!$B$29:$D$32,3))))</f>
        <v>0</v>
      </c>
      <c r="M640" s="528">
        <f>IF(E640="STL",0,IF(F640&gt;0,Pricing!$D$21,0))</f>
        <v>0</v>
      </c>
      <c r="N640" s="529">
        <f>IF(E640="STL",F640*Pricing!$D$40,IF(A640&lt;=Pricing!$C$4,0,IF(AND(A640&gt;Pricing!$C$4,Disbursements!A640&lt;=Pricing!$C$5),F640*Pricing!$E$5,IF(AND(A640&gt;Pricing!$C$5,Disbursements!A640&lt;=Pricing!$C$7),VLOOKUP(F640,Pricing!$D$7:$E$8,2)*Disbursements!F640,F640*Pricing!$E$9))))</f>
        <v>0</v>
      </c>
      <c r="O640" s="528">
        <f>IF(E640="STL",0,IF($F640&gt;0,$F640*Pricing!$D$17,0))</f>
        <v>0</v>
      </c>
      <c r="P640" s="530" t="str">
        <f t="shared" si="256"/>
        <v/>
      </c>
      <c r="Q640" s="531" t="str">
        <f>IF($A640="","",$G640/VLOOKUP($I640,Ref!$B$23:$D$29,2,0))</f>
        <v/>
      </c>
      <c r="R640" s="530" t="str">
        <f t="shared" si="257"/>
        <v/>
      </c>
      <c r="S640" s="532" t="str">
        <f t="shared" si="251"/>
        <v/>
      </c>
      <c r="T640" s="531" t="str">
        <f t="shared" si="258"/>
        <v/>
      </c>
      <c r="U640" s="533">
        <f t="shared" si="259"/>
        <v>0</v>
      </c>
      <c r="V640" s="531" t="str">
        <f t="shared" si="260"/>
        <v/>
      </c>
      <c r="W640" s="531" t="str">
        <f t="shared" si="261"/>
        <v/>
      </c>
      <c r="X640" s="534" t="str">
        <f t="shared" si="262"/>
        <v/>
      </c>
      <c r="Y640" s="535" t="str">
        <f>IF($A640="","",IF($I640="weekly",$A640+7,EDATE($A640,VLOOKUP($I640,Ref!$B$24:$C$29,2,0))))</f>
        <v/>
      </c>
      <c r="Z640" s="536" t="str">
        <f t="shared" si="263"/>
        <v/>
      </c>
      <c r="AA640" s="531">
        <f t="shared" si="264"/>
        <v>0</v>
      </c>
      <c r="AB640" s="535" t="str">
        <f t="shared" si="252"/>
        <v/>
      </c>
      <c r="AC640" s="537" t="str">
        <f t="shared" si="253"/>
        <v/>
      </c>
      <c r="AD640" s="538" t="str">
        <f t="shared" ca="1" si="254"/>
        <v/>
      </c>
      <c r="AE640" s="537">
        <f t="shared" ca="1" si="255"/>
        <v>0</v>
      </c>
      <c r="AF640" s="539" t="str">
        <f t="shared" ca="1" si="265"/>
        <v/>
      </c>
      <c r="AG640" s="531" t="str">
        <f t="shared" ca="1" si="266"/>
        <v/>
      </c>
      <c r="AH640" s="531" t="str">
        <f t="shared" ca="1" si="267"/>
        <v/>
      </c>
      <c r="AI640" s="531" t="str">
        <f t="shared" ca="1" si="268"/>
        <v/>
      </c>
      <c r="AJ640" s="531" t="str">
        <f t="shared" si="269"/>
        <v/>
      </c>
      <c r="AK640" s="540">
        <f>SUMIFS('Live Collections'!$S:$S,'Live Collections'!$D:$D,Disbursements!B640,'Live Collections'!$G:$G,Disbursements!C640)</f>
        <v>0</v>
      </c>
      <c r="AL640" s="540">
        <f>SUMIFS('Live Collections'!$T:$T,'Live Collections'!$D:$D,Disbursements!B640,'Live Collections'!$G:$G,Disbursements!C640)</f>
        <v>0</v>
      </c>
      <c r="AM640" s="541">
        <f t="shared" si="270"/>
        <v>0</v>
      </c>
      <c r="AN640" s="542" t="str">
        <f t="shared" si="271"/>
        <v/>
      </c>
      <c r="AO640" s="542" t="str">
        <f t="shared" si="272"/>
        <v/>
      </c>
      <c r="AP640" s="543" t="str">
        <f t="shared" si="273"/>
        <v/>
      </c>
      <c r="AQ640" s="544" t="str">
        <f t="shared" si="274"/>
        <v/>
      </c>
      <c r="AR640" s="545">
        <f t="shared" si="275"/>
        <v>0</v>
      </c>
      <c r="AS640" s="545">
        <f>IFERROR(CEILING($AR640*VLOOKUP($I640,Ref!$B$23:$E$29,4,0),1),0)</f>
        <v>0</v>
      </c>
      <c r="AT640" s="545" t="str">
        <f>IF(A640="","",IF(AP640&lt;=1,"Cleared",IF(AS640=0,"Clean",VLOOKUP($AS640,Ref!$G$23:$H$28,2))))</f>
        <v/>
      </c>
      <c r="AU640" s="546" t="str">
        <f t="shared" si="276"/>
        <v/>
      </c>
    </row>
    <row r="641" spans="1:47" ht="14.25" hidden="1" customHeight="1" x14ac:dyDescent="0.15">
      <c r="A641" s="523"/>
      <c r="B641" s="523"/>
      <c r="C641" s="523"/>
      <c r="D641" s="523"/>
      <c r="E641" s="579"/>
      <c r="F641" s="580"/>
      <c r="G641" s="524"/>
      <c r="H641" s="555"/>
      <c r="I641" s="560"/>
      <c r="J641" s="523"/>
      <c r="K641" s="528" t="str">
        <f>IFERROR(VLOOKUP($B641,'Clients-Live'!$A:$C,3,0),"")</f>
        <v/>
      </c>
      <c r="L641" s="528">
        <f>IF(E641="STL",Pricing!$D$38,IF(A641="",0,IF(A641&lt;Pricing!$C$25,Pricing!$D$25,VLOOKUP(Disbursements!$F641,Pricing!$B$29:$D$32,3))))</f>
        <v>0</v>
      </c>
      <c r="M641" s="528">
        <f>IF(E641="STL",0,IF(F641&gt;0,Pricing!$D$21,0))</f>
        <v>0</v>
      </c>
      <c r="N641" s="529">
        <f>IF(E641="STL",F641*Pricing!$D$40,IF(A641&lt;=Pricing!$C$4,0,IF(AND(A641&gt;Pricing!$C$4,Disbursements!A641&lt;=Pricing!$C$5),F641*Pricing!$E$5,IF(AND(A641&gt;Pricing!$C$5,Disbursements!A641&lt;=Pricing!$C$7),VLOOKUP(F641,Pricing!$D$7:$E$8,2)*Disbursements!F641,F641*Pricing!$E$9))))</f>
        <v>0</v>
      </c>
      <c r="O641" s="528">
        <f>IF(E641="STL",0,IF($F641&gt;0,$F641*Pricing!$D$17,0))</f>
        <v>0</v>
      </c>
      <c r="P641" s="530" t="str">
        <f t="shared" si="256"/>
        <v/>
      </c>
      <c r="Q641" s="531" t="str">
        <f>IF($A641="","",$G641/VLOOKUP($I641,Ref!$B$23:$D$29,2,0))</f>
        <v/>
      </c>
      <c r="R641" s="530" t="str">
        <f t="shared" si="257"/>
        <v/>
      </c>
      <c r="S641" s="532" t="str">
        <f t="shared" si="251"/>
        <v/>
      </c>
      <c r="T641" s="531" t="str">
        <f t="shared" si="258"/>
        <v/>
      </c>
      <c r="U641" s="533">
        <f t="shared" si="259"/>
        <v>0</v>
      </c>
      <c r="V641" s="531" t="str">
        <f t="shared" si="260"/>
        <v/>
      </c>
      <c r="W641" s="531" t="str">
        <f t="shared" si="261"/>
        <v/>
      </c>
      <c r="X641" s="534" t="str">
        <f t="shared" si="262"/>
        <v/>
      </c>
      <c r="Y641" s="535" t="str">
        <f>IF($A641="","",IF($I641="weekly",$A641+7,EDATE($A641,VLOOKUP($I641,Ref!$B$24:$C$29,2,0))))</f>
        <v/>
      </c>
      <c r="Z641" s="536" t="str">
        <f t="shared" si="263"/>
        <v/>
      </c>
      <c r="AA641" s="531">
        <f t="shared" si="264"/>
        <v>0</v>
      </c>
      <c r="AB641" s="535" t="str">
        <f t="shared" si="252"/>
        <v/>
      </c>
      <c r="AC641" s="537" t="str">
        <f t="shared" si="253"/>
        <v/>
      </c>
      <c r="AD641" s="538" t="str">
        <f t="shared" ca="1" si="254"/>
        <v/>
      </c>
      <c r="AE641" s="537">
        <f t="shared" ca="1" si="255"/>
        <v>0</v>
      </c>
      <c r="AF641" s="539" t="str">
        <f t="shared" ca="1" si="265"/>
        <v/>
      </c>
      <c r="AG641" s="531" t="str">
        <f t="shared" ca="1" si="266"/>
        <v/>
      </c>
      <c r="AH641" s="531" t="str">
        <f t="shared" ca="1" si="267"/>
        <v/>
      </c>
      <c r="AI641" s="531" t="str">
        <f t="shared" ca="1" si="268"/>
        <v/>
      </c>
      <c r="AJ641" s="531" t="str">
        <f t="shared" si="269"/>
        <v/>
      </c>
      <c r="AK641" s="540">
        <f>SUMIFS('Live Collections'!$S:$S,'Live Collections'!$D:$D,Disbursements!B641,'Live Collections'!$G:$G,Disbursements!C641)</f>
        <v>0</v>
      </c>
      <c r="AL641" s="540">
        <f>SUMIFS('Live Collections'!$T:$T,'Live Collections'!$D:$D,Disbursements!B641,'Live Collections'!$G:$G,Disbursements!C641)</f>
        <v>0</v>
      </c>
      <c r="AM641" s="541">
        <f t="shared" si="270"/>
        <v>0</v>
      </c>
      <c r="AN641" s="542" t="str">
        <f t="shared" si="271"/>
        <v/>
      </c>
      <c r="AO641" s="542" t="str">
        <f t="shared" si="272"/>
        <v/>
      </c>
      <c r="AP641" s="543" t="str">
        <f t="shared" si="273"/>
        <v/>
      </c>
      <c r="AQ641" s="544" t="str">
        <f t="shared" si="274"/>
        <v/>
      </c>
      <c r="AR641" s="545">
        <f t="shared" si="275"/>
        <v>0</v>
      </c>
      <c r="AS641" s="545">
        <f>IFERROR(CEILING($AR641*VLOOKUP($I641,Ref!$B$23:$E$29,4,0),1),0)</f>
        <v>0</v>
      </c>
      <c r="AT641" s="545" t="str">
        <f>IF(A641="","",IF(AP641&lt;=1,"Cleared",IF(AS641=0,"Clean",VLOOKUP($AS641,Ref!$G$23:$H$28,2))))</f>
        <v/>
      </c>
      <c r="AU641" s="546" t="str">
        <f t="shared" si="276"/>
        <v/>
      </c>
    </row>
    <row r="642" spans="1:47" ht="14.25" hidden="1" customHeight="1" x14ac:dyDescent="0.15">
      <c r="A642" s="523"/>
      <c r="B642" s="523"/>
      <c r="C642" s="523"/>
      <c r="D642" s="523"/>
      <c r="E642" s="579"/>
      <c r="F642" s="580"/>
      <c r="G642" s="524"/>
      <c r="H642" s="555"/>
      <c r="I642" s="560"/>
      <c r="J642" s="523"/>
      <c r="K642" s="528" t="str">
        <f>IFERROR(VLOOKUP($B642,'Clients-Live'!$A:$C,3,0),"")</f>
        <v/>
      </c>
      <c r="L642" s="528">
        <f>IF(E642="STL",Pricing!$D$38,IF(A642="",0,IF(A642&lt;Pricing!$C$25,Pricing!$D$25,VLOOKUP(Disbursements!$F642,Pricing!$B$29:$D$32,3))))</f>
        <v>0</v>
      </c>
      <c r="M642" s="528">
        <f>IF(E642="STL",0,IF(F642&gt;0,Pricing!$D$21,0))</f>
        <v>0</v>
      </c>
      <c r="N642" s="529">
        <f>IF(E642="STL",F642*Pricing!$D$40,IF(A642&lt;=Pricing!$C$4,0,IF(AND(A642&gt;Pricing!$C$4,Disbursements!A642&lt;=Pricing!$C$5),F642*Pricing!$E$5,IF(AND(A642&gt;Pricing!$C$5,Disbursements!A642&lt;=Pricing!$C$7),VLOOKUP(F642,Pricing!$D$7:$E$8,2)*Disbursements!F642,F642*Pricing!$E$9))))</f>
        <v>0</v>
      </c>
      <c r="O642" s="528">
        <f>IF(E642="STL",0,IF($F642&gt;0,$F642*Pricing!$D$17,0))</f>
        <v>0</v>
      </c>
      <c r="P642" s="530" t="str">
        <f t="shared" si="256"/>
        <v/>
      </c>
      <c r="Q642" s="531" t="str">
        <f>IF($A642="","",$G642/VLOOKUP($I642,Ref!$B$23:$D$29,2,0))</f>
        <v/>
      </c>
      <c r="R642" s="530" t="str">
        <f t="shared" si="257"/>
        <v/>
      </c>
      <c r="S642" s="532" t="str">
        <f t="shared" si="251"/>
        <v/>
      </c>
      <c r="T642" s="531" t="str">
        <f t="shared" si="258"/>
        <v/>
      </c>
      <c r="U642" s="533">
        <f t="shared" si="259"/>
        <v>0</v>
      </c>
      <c r="V642" s="531" t="str">
        <f t="shared" si="260"/>
        <v/>
      </c>
      <c r="W642" s="531" t="str">
        <f t="shared" si="261"/>
        <v/>
      </c>
      <c r="X642" s="534" t="str">
        <f t="shared" si="262"/>
        <v/>
      </c>
      <c r="Y642" s="535" t="str">
        <f>IF($A642="","",IF($I642="weekly",$A642+7,EDATE($A642,VLOOKUP($I642,Ref!$B$24:$C$29,2,0))))</f>
        <v/>
      </c>
      <c r="Z642" s="536" t="str">
        <f t="shared" si="263"/>
        <v/>
      </c>
      <c r="AA642" s="531">
        <f t="shared" si="264"/>
        <v>0</v>
      </c>
      <c r="AB642" s="535" t="str">
        <f t="shared" si="252"/>
        <v/>
      </c>
      <c r="AC642" s="537" t="str">
        <f t="shared" si="253"/>
        <v/>
      </c>
      <c r="AD642" s="538" t="str">
        <f t="shared" ca="1" si="254"/>
        <v/>
      </c>
      <c r="AE642" s="537">
        <f t="shared" ca="1" si="255"/>
        <v>0</v>
      </c>
      <c r="AF642" s="539" t="str">
        <f t="shared" ca="1" si="265"/>
        <v/>
      </c>
      <c r="AG642" s="531" t="str">
        <f t="shared" ca="1" si="266"/>
        <v/>
      </c>
      <c r="AH642" s="531" t="str">
        <f t="shared" ca="1" si="267"/>
        <v/>
      </c>
      <c r="AI642" s="531" t="str">
        <f t="shared" ca="1" si="268"/>
        <v/>
      </c>
      <c r="AJ642" s="531" t="str">
        <f t="shared" si="269"/>
        <v/>
      </c>
      <c r="AK642" s="540">
        <f>SUMIFS('Live Collections'!$S:$S,'Live Collections'!$D:$D,Disbursements!B642,'Live Collections'!$G:$G,Disbursements!C642)</f>
        <v>0</v>
      </c>
      <c r="AL642" s="540">
        <f>SUMIFS('Live Collections'!$T:$T,'Live Collections'!$D:$D,Disbursements!B642,'Live Collections'!$G:$G,Disbursements!C642)</f>
        <v>0</v>
      </c>
      <c r="AM642" s="541">
        <f t="shared" si="270"/>
        <v>0</v>
      </c>
      <c r="AN642" s="542" t="str">
        <f t="shared" si="271"/>
        <v/>
      </c>
      <c r="AO642" s="542" t="str">
        <f t="shared" si="272"/>
        <v/>
      </c>
      <c r="AP642" s="543" t="str">
        <f t="shared" si="273"/>
        <v/>
      </c>
      <c r="AQ642" s="544" t="str">
        <f t="shared" si="274"/>
        <v/>
      </c>
      <c r="AR642" s="545">
        <f t="shared" si="275"/>
        <v>0</v>
      </c>
      <c r="AS642" s="545">
        <f>IFERROR(CEILING($AR642*VLOOKUP($I642,Ref!$B$23:$E$29,4,0),1),0)</f>
        <v>0</v>
      </c>
      <c r="AT642" s="545" t="str">
        <f>IF(A642="","",IF(AP642&lt;=1,"Cleared",IF(AS642=0,"Clean",VLOOKUP($AS642,Ref!$G$23:$H$28,2))))</f>
        <v/>
      </c>
      <c r="AU642" s="546" t="str">
        <f t="shared" si="276"/>
        <v/>
      </c>
    </row>
    <row r="643" spans="1:47" ht="14.25" hidden="1" customHeight="1" x14ac:dyDescent="0.15">
      <c r="A643" s="523"/>
      <c r="B643" s="523"/>
      <c r="C643" s="523"/>
      <c r="D643" s="523"/>
      <c r="E643" s="579"/>
      <c r="F643" s="580"/>
      <c r="G643" s="524"/>
      <c r="H643" s="555"/>
      <c r="I643" s="560"/>
      <c r="J643" s="523"/>
      <c r="K643" s="528" t="str">
        <f>IFERROR(VLOOKUP($B643,'Clients-Live'!$A:$C,3,0),"")</f>
        <v/>
      </c>
      <c r="L643" s="528">
        <f>IF(E643="STL",Pricing!$D$38,IF(A643="",0,IF(A643&lt;Pricing!$C$25,Pricing!$D$25,VLOOKUP(Disbursements!$F643,Pricing!$B$29:$D$32,3))))</f>
        <v>0</v>
      </c>
      <c r="M643" s="528">
        <f>IF(E643="STL",0,IF(F643&gt;0,Pricing!$D$21,0))</f>
        <v>0</v>
      </c>
      <c r="N643" s="529">
        <f>IF(E643="STL",F643*Pricing!$D$40,IF(A643&lt;=Pricing!$C$4,0,IF(AND(A643&gt;Pricing!$C$4,Disbursements!A643&lt;=Pricing!$C$5),F643*Pricing!$E$5,IF(AND(A643&gt;Pricing!$C$5,Disbursements!A643&lt;=Pricing!$C$7),VLOOKUP(F643,Pricing!$D$7:$E$8,2)*Disbursements!F643,F643*Pricing!$E$9))))</f>
        <v>0</v>
      </c>
      <c r="O643" s="528">
        <f>IF(E643="STL",0,IF($F643&gt;0,$F643*Pricing!$D$17,0))</f>
        <v>0</v>
      </c>
      <c r="P643" s="530" t="str">
        <f t="shared" si="256"/>
        <v/>
      </c>
      <c r="Q643" s="531" t="str">
        <f>IF($A643="","",$G643/VLOOKUP($I643,Ref!$B$23:$D$29,2,0))</f>
        <v/>
      </c>
      <c r="R643" s="530" t="str">
        <f t="shared" si="257"/>
        <v/>
      </c>
      <c r="S643" s="532" t="str">
        <f t="shared" si="251"/>
        <v/>
      </c>
      <c r="T643" s="531" t="str">
        <f t="shared" si="258"/>
        <v/>
      </c>
      <c r="U643" s="533">
        <f t="shared" si="259"/>
        <v>0</v>
      </c>
      <c r="V643" s="531" t="str">
        <f t="shared" si="260"/>
        <v/>
      </c>
      <c r="W643" s="531" t="str">
        <f t="shared" si="261"/>
        <v/>
      </c>
      <c r="X643" s="534" t="str">
        <f t="shared" si="262"/>
        <v/>
      </c>
      <c r="Y643" s="535" t="str">
        <f>IF($A643="","",IF($I643="weekly",$A643+7,EDATE($A643,VLOOKUP($I643,Ref!$B$24:$C$29,2,0))))</f>
        <v/>
      </c>
      <c r="Z643" s="536" t="str">
        <f t="shared" si="263"/>
        <v/>
      </c>
      <c r="AA643" s="531">
        <f t="shared" si="264"/>
        <v>0</v>
      </c>
      <c r="AB643" s="535" t="str">
        <f t="shared" si="252"/>
        <v/>
      </c>
      <c r="AC643" s="537" t="str">
        <f t="shared" si="253"/>
        <v/>
      </c>
      <c r="AD643" s="538" t="str">
        <f t="shared" ca="1" si="254"/>
        <v/>
      </c>
      <c r="AE643" s="537">
        <f t="shared" ca="1" si="255"/>
        <v>0</v>
      </c>
      <c r="AF643" s="539" t="str">
        <f t="shared" ca="1" si="265"/>
        <v/>
      </c>
      <c r="AG643" s="531" t="str">
        <f t="shared" ca="1" si="266"/>
        <v/>
      </c>
      <c r="AH643" s="531" t="str">
        <f t="shared" ca="1" si="267"/>
        <v/>
      </c>
      <c r="AI643" s="531" t="str">
        <f t="shared" ca="1" si="268"/>
        <v/>
      </c>
      <c r="AJ643" s="531" t="str">
        <f t="shared" si="269"/>
        <v/>
      </c>
      <c r="AK643" s="540">
        <f>SUMIFS('Live Collections'!$S:$S,'Live Collections'!$D:$D,Disbursements!B643,'Live Collections'!$G:$G,Disbursements!C643)</f>
        <v>0</v>
      </c>
      <c r="AL643" s="540">
        <f>SUMIFS('Live Collections'!$T:$T,'Live Collections'!$D:$D,Disbursements!B643,'Live Collections'!$G:$G,Disbursements!C643)</f>
        <v>0</v>
      </c>
      <c r="AM643" s="541">
        <f t="shared" si="270"/>
        <v>0</v>
      </c>
      <c r="AN643" s="542" t="str">
        <f t="shared" si="271"/>
        <v/>
      </c>
      <c r="AO643" s="542" t="str">
        <f t="shared" si="272"/>
        <v/>
      </c>
      <c r="AP643" s="543" t="str">
        <f t="shared" si="273"/>
        <v/>
      </c>
      <c r="AQ643" s="544" t="str">
        <f t="shared" si="274"/>
        <v/>
      </c>
      <c r="AR643" s="545">
        <f t="shared" si="275"/>
        <v>0</v>
      </c>
      <c r="AS643" s="545">
        <f>IFERROR(CEILING($AR643*VLOOKUP($I643,Ref!$B$23:$E$29,4,0),1),0)</f>
        <v>0</v>
      </c>
      <c r="AT643" s="545" t="str">
        <f>IF(A643="","",IF(AP643&lt;=1,"Cleared",IF(AS643=0,"Clean",VLOOKUP($AS643,Ref!$G$23:$H$28,2))))</f>
        <v/>
      </c>
      <c r="AU643" s="546" t="str">
        <f t="shared" si="276"/>
        <v/>
      </c>
    </row>
    <row r="644" spans="1:47" ht="14.25" hidden="1" customHeight="1" x14ac:dyDescent="0.15">
      <c r="A644" s="523"/>
      <c r="B644" s="523"/>
      <c r="C644" s="523"/>
      <c r="D644" s="523"/>
      <c r="E644" s="579"/>
      <c r="F644" s="580"/>
      <c r="G644" s="524"/>
      <c r="H644" s="555"/>
      <c r="I644" s="560"/>
      <c r="J644" s="523"/>
      <c r="K644" s="528" t="str">
        <f>IFERROR(VLOOKUP($B644,'Clients-Live'!$A:$C,3,0),"")</f>
        <v/>
      </c>
      <c r="L644" s="528">
        <f>IF(E644="STL",Pricing!$D$38,IF(A644="",0,IF(A644&lt;Pricing!$C$25,Pricing!$D$25,VLOOKUP(Disbursements!$F644,Pricing!$B$29:$D$32,3))))</f>
        <v>0</v>
      </c>
      <c r="M644" s="528">
        <f>IF(E644="STL",0,IF(F644&gt;0,Pricing!$D$21,0))</f>
        <v>0</v>
      </c>
      <c r="N644" s="529">
        <f>IF(E644="STL",F644*Pricing!$D$40,IF(A644&lt;=Pricing!$C$4,0,IF(AND(A644&gt;Pricing!$C$4,Disbursements!A644&lt;=Pricing!$C$5),F644*Pricing!$E$5,IF(AND(A644&gt;Pricing!$C$5,Disbursements!A644&lt;=Pricing!$C$7),VLOOKUP(F644,Pricing!$D$7:$E$8,2)*Disbursements!F644,F644*Pricing!$E$9))))</f>
        <v>0</v>
      </c>
      <c r="O644" s="528">
        <f>IF(E644="STL",0,IF($F644&gt;0,$F644*Pricing!$D$17,0))</f>
        <v>0</v>
      </c>
      <c r="P644" s="530" t="str">
        <f t="shared" si="256"/>
        <v/>
      </c>
      <c r="Q644" s="531" t="str">
        <f>IF($A644="","",$G644/VLOOKUP($I644,Ref!$B$23:$D$29,2,0))</f>
        <v/>
      </c>
      <c r="R644" s="530" t="str">
        <f t="shared" si="257"/>
        <v/>
      </c>
      <c r="S644" s="532" t="str">
        <f t="shared" ref="S644:S707" si="277">IF($A644="","",$R644/$Q644)</f>
        <v/>
      </c>
      <c r="T644" s="531" t="str">
        <f t="shared" si="258"/>
        <v/>
      </c>
      <c r="U644" s="533">
        <f t="shared" si="259"/>
        <v>0</v>
      </c>
      <c r="V644" s="531" t="str">
        <f t="shared" si="260"/>
        <v/>
      </c>
      <c r="W644" s="531" t="str">
        <f t="shared" si="261"/>
        <v/>
      </c>
      <c r="X644" s="534" t="str">
        <f t="shared" si="262"/>
        <v/>
      </c>
      <c r="Y644" s="535" t="str">
        <f>IF($A644="","",IF($I644="weekly",$A644+7,EDATE($A644,VLOOKUP($I644,Ref!$B$24:$C$29,2,0))))</f>
        <v/>
      </c>
      <c r="Z644" s="536" t="str">
        <f t="shared" si="263"/>
        <v/>
      </c>
      <c r="AA644" s="531">
        <f t="shared" si="264"/>
        <v>0</v>
      </c>
      <c r="AB644" s="535" t="str">
        <f t="shared" ref="AB644:AB707" si="278">IF($A644="","",EDATE($A644,$G644))</f>
        <v/>
      </c>
      <c r="AC644" s="537" t="str">
        <f t="shared" ref="AC644:AC707" si="279">IFERROR($AB644-$A644,"")</f>
        <v/>
      </c>
      <c r="AD644" s="538" t="str">
        <f t="shared" ref="AD644:AD707" ca="1" si="280">IFERROR(IF(TODAY()-$A644&lt;$AB644-$A644,TODAY()-$A644,"Expired"),"")</f>
        <v/>
      </c>
      <c r="AE644" s="537">
        <f t="shared" ref="AE644:AE707" ca="1" si="281">IFERROR($AC644-$AD644,0)</f>
        <v>0</v>
      </c>
      <c r="AF644" s="539" t="str">
        <f t="shared" ca="1" si="265"/>
        <v/>
      </c>
      <c r="AG644" s="531" t="str">
        <f t="shared" ca="1" si="266"/>
        <v/>
      </c>
      <c r="AH644" s="531" t="str">
        <f t="shared" ca="1" si="267"/>
        <v/>
      </c>
      <c r="AI644" s="531" t="str">
        <f t="shared" ca="1" si="268"/>
        <v/>
      </c>
      <c r="AJ644" s="531" t="str">
        <f t="shared" si="269"/>
        <v/>
      </c>
      <c r="AK644" s="540">
        <f>SUMIFS('Live Collections'!$S:$S,'Live Collections'!$D:$D,Disbursements!B644,'Live Collections'!$G:$G,Disbursements!C644)</f>
        <v>0</v>
      </c>
      <c r="AL644" s="540">
        <f>SUMIFS('Live Collections'!$T:$T,'Live Collections'!$D:$D,Disbursements!B644,'Live Collections'!$G:$G,Disbursements!C644)</f>
        <v>0</v>
      </c>
      <c r="AM644" s="541">
        <f t="shared" si="270"/>
        <v>0</v>
      </c>
      <c r="AN644" s="542" t="str">
        <f t="shared" si="271"/>
        <v/>
      </c>
      <c r="AO644" s="542" t="str">
        <f t="shared" si="272"/>
        <v/>
      </c>
      <c r="AP644" s="543" t="str">
        <f t="shared" si="273"/>
        <v/>
      </c>
      <c r="AQ644" s="544" t="str">
        <f t="shared" si="274"/>
        <v/>
      </c>
      <c r="AR644" s="545">
        <f t="shared" si="275"/>
        <v>0</v>
      </c>
      <c r="AS644" s="545">
        <f>IFERROR(CEILING($AR644*VLOOKUP($I644,Ref!$B$23:$E$29,4,0),1),0)</f>
        <v>0</v>
      </c>
      <c r="AT644" s="545" t="str">
        <f>IF(A644="","",IF(AP644&lt;=1,"Cleared",IF(AS644=0,"Clean",VLOOKUP($AS644,Ref!$G$23:$H$28,2))))</f>
        <v/>
      </c>
      <c r="AU644" s="546" t="str">
        <f t="shared" si="276"/>
        <v/>
      </c>
    </row>
    <row r="645" spans="1:47" ht="14.25" hidden="1" customHeight="1" x14ac:dyDescent="0.15">
      <c r="A645" s="523"/>
      <c r="B645" s="523"/>
      <c r="C645" s="523"/>
      <c r="D645" s="523"/>
      <c r="E645" s="579"/>
      <c r="F645" s="580"/>
      <c r="G645" s="524"/>
      <c r="H645" s="555"/>
      <c r="I645" s="560"/>
      <c r="J645" s="523"/>
      <c r="K645" s="528" t="str">
        <f>IFERROR(VLOOKUP($B645,'Clients-Live'!$A:$C,3,0),"")</f>
        <v/>
      </c>
      <c r="L645" s="528">
        <f>IF(E645="STL",Pricing!$D$38,IF(A645="",0,IF(A645&lt;Pricing!$C$25,Pricing!$D$25,VLOOKUP(Disbursements!$F645,Pricing!$B$29:$D$32,3))))</f>
        <v>0</v>
      </c>
      <c r="M645" s="528">
        <f>IF(E645="STL",0,IF(F645&gt;0,Pricing!$D$21,0))</f>
        <v>0</v>
      </c>
      <c r="N645" s="529">
        <f>IF(E645="STL",F645*Pricing!$D$40,IF(A645&lt;=Pricing!$C$4,0,IF(AND(A645&gt;Pricing!$C$4,Disbursements!A645&lt;=Pricing!$C$5),F645*Pricing!$E$5,IF(AND(A645&gt;Pricing!$C$5,Disbursements!A645&lt;=Pricing!$C$7),VLOOKUP(F645,Pricing!$D$7:$E$8,2)*Disbursements!F645,F645*Pricing!$E$9))))</f>
        <v>0</v>
      </c>
      <c r="O645" s="528">
        <f>IF(E645="STL",0,IF($F645&gt;0,$F645*Pricing!$D$17,0))</f>
        <v>0</v>
      </c>
      <c r="P645" s="530" t="str">
        <f t="shared" ref="P645:P708" si="282">IF($A645="","",$H645*$F645*$G645)</f>
        <v/>
      </c>
      <c r="Q645" s="531" t="str">
        <f>IF($A645="","",$G645/VLOOKUP($I645,Ref!$B$23:$D$29,2,0))</f>
        <v/>
      </c>
      <c r="R645" s="530" t="str">
        <f t="shared" ref="R645:R708" si="283">IF($A645="","",$F645+$P645)</f>
        <v/>
      </c>
      <c r="S645" s="532" t="str">
        <f t="shared" si="277"/>
        <v/>
      </c>
      <c r="T645" s="531" t="str">
        <f t="shared" ref="T645:T708" si="284">IF(R645="","",CEILING(S645,1000))</f>
        <v/>
      </c>
      <c r="U645" s="533">
        <f t="shared" ref="U645:U708" si="285">IFERROR(T645*Q645,0)</f>
        <v>0</v>
      </c>
      <c r="V645" s="531" t="str">
        <f t="shared" ref="V645:V708" si="286">IF(T645="","",F645/Q645)</f>
        <v/>
      </c>
      <c r="W645" s="531" t="str">
        <f t="shared" ref="W645:W708" si="287">IF(T645="","",T645-V645)</f>
        <v/>
      </c>
      <c r="X645" s="534" t="str">
        <f t="shared" ref="X645:X708" si="288">IF(A645="","",W645*Q645)</f>
        <v/>
      </c>
      <c r="Y645" s="535" t="str">
        <f>IF($A645="","",IF($I645="weekly",$A645+7,EDATE($A645,VLOOKUP($I645,Ref!$B$24:$C$29,2,0))))</f>
        <v/>
      </c>
      <c r="Z645" s="536" t="str">
        <f t="shared" ref="Z645:Z708" si="289">IFERROR(CHOOSE(WEEKDAY(Y645),"Sun","Mon","Tue","Wed","Thu","Frid","Sat"),"")</f>
        <v/>
      </c>
      <c r="AA645" s="531">
        <f t="shared" ref="AA645:AA708" si="290">IFERROR(Y645-A645,0)</f>
        <v>0</v>
      </c>
      <c r="AB645" s="535" t="str">
        <f t="shared" si="278"/>
        <v/>
      </c>
      <c r="AC645" s="537" t="str">
        <f t="shared" si="279"/>
        <v/>
      </c>
      <c r="AD645" s="538" t="str">
        <f t="shared" ca="1" si="280"/>
        <v/>
      </c>
      <c r="AE645" s="537">
        <f t="shared" ca="1" si="281"/>
        <v>0</v>
      </c>
      <c r="AF645" s="539" t="str">
        <f t="shared" ref="AF645:AF708" ca="1" si="291">IFERROR(IF(AD645="Expired",Q645,IF(AD645&gt;AA645,AD645/AA645,0)),"")</f>
        <v/>
      </c>
      <c r="AG645" s="531" t="str">
        <f t="shared" ref="AG645:AG708" ca="1" si="292">IFERROR(AF645*T645,"")</f>
        <v/>
      </c>
      <c r="AH645" s="531" t="str">
        <f t="shared" ref="AH645:AH708" ca="1" si="293">IFERROR(AF645*W645,"")</f>
        <v/>
      </c>
      <c r="AI645" s="531" t="str">
        <f t="shared" ref="AI645:AI708" ca="1" si="294">IFERROR(AF645*V645,"")</f>
        <v/>
      </c>
      <c r="AJ645" s="531" t="str">
        <f t="shared" ref="AJ645:AJ708" si="295">IF(F645=0,"",U645-AG645)</f>
        <v/>
      </c>
      <c r="AK645" s="540">
        <f>SUMIFS('Live Collections'!$S:$S,'Live Collections'!$D:$D,Disbursements!B645,'Live Collections'!$G:$G,Disbursements!C645)</f>
        <v>0</v>
      </c>
      <c r="AL645" s="540">
        <f>SUMIFS('Live Collections'!$T:$T,'Live Collections'!$D:$D,Disbursements!B645,'Live Collections'!$G:$G,Disbursements!C645)</f>
        <v>0</v>
      </c>
      <c r="AM645" s="541">
        <f t="shared" ref="AM645:AM708" si="296">SUM(AK645:AL645)</f>
        <v>0</v>
      </c>
      <c r="AN645" s="542" t="str">
        <f t="shared" ref="AN645:AN708" si="297">IFERROR(W645*Q645-AK645,"")</f>
        <v/>
      </c>
      <c r="AO645" s="542" t="str">
        <f t="shared" ref="AO645:AO708" si="298">IF(F645="","",(F645-AL645))</f>
        <v/>
      </c>
      <c r="AP645" s="543" t="str">
        <f t="shared" ref="AP645:AP708" si="299">IF(F645="","",SUM(AN645:AO645))</f>
        <v/>
      </c>
      <c r="AQ645" s="544" t="str">
        <f t="shared" ref="AQ645:AQ708" si="300">IF(AP645&gt;AJ645,AP645-AJ645,"")</f>
        <v/>
      </c>
      <c r="AR645" s="545">
        <f t="shared" ref="AR645:AR708" si="301">IFERROR(AQ645/T645,0)</f>
        <v>0</v>
      </c>
      <c r="AS645" s="545">
        <f>IFERROR(CEILING($AR645*VLOOKUP($I645,Ref!$B$23:$E$29,4,0),1),0)</f>
        <v>0</v>
      </c>
      <c r="AT645" s="545" t="str">
        <f>IF(A645="","",IF(AP645&lt;=1,"Cleared",IF(AS645=0,"Clean",VLOOKUP($AS645,Ref!$G$23:$H$28,2))))</f>
        <v/>
      </c>
      <c r="AU645" s="546" t="str">
        <f t="shared" ref="AU645:AU708" si="302">IF(F645="","",IF(OR(AN645&lt;0,AO645&lt;0,AP645&lt;0),"Error on Entry","Ok"))</f>
        <v/>
      </c>
    </row>
    <row r="646" spans="1:47" ht="14.25" hidden="1" customHeight="1" x14ac:dyDescent="0.15">
      <c r="A646" s="523"/>
      <c r="B646" s="523"/>
      <c r="C646" s="523"/>
      <c r="D646" s="523"/>
      <c r="E646" s="579"/>
      <c r="F646" s="580"/>
      <c r="G646" s="524"/>
      <c r="H646" s="555"/>
      <c r="I646" s="560"/>
      <c r="J646" s="523"/>
      <c r="K646" s="528" t="str">
        <f>IFERROR(VLOOKUP($B646,'Clients-Live'!$A:$C,3,0),"")</f>
        <v/>
      </c>
      <c r="L646" s="528">
        <f>IF(E646="STL",Pricing!$D$38,IF(A646="",0,IF(A646&lt;Pricing!$C$25,Pricing!$D$25,VLOOKUP(Disbursements!$F646,Pricing!$B$29:$D$32,3))))</f>
        <v>0</v>
      </c>
      <c r="M646" s="528">
        <f>IF(E646="STL",0,IF(F646&gt;0,Pricing!$D$21,0))</f>
        <v>0</v>
      </c>
      <c r="N646" s="529">
        <f>IF(E646="STL",F646*Pricing!$D$40,IF(A646&lt;=Pricing!$C$4,0,IF(AND(A646&gt;Pricing!$C$4,Disbursements!A646&lt;=Pricing!$C$5),F646*Pricing!$E$5,IF(AND(A646&gt;Pricing!$C$5,Disbursements!A646&lt;=Pricing!$C$7),VLOOKUP(F646,Pricing!$D$7:$E$8,2)*Disbursements!F646,F646*Pricing!$E$9))))</f>
        <v>0</v>
      </c>
      <c r="O646" s="528">
        <f>IF(E646="STL",0,IF($F646&gt;0,$F646*Pricing!$D$17,0))</f>
        <v>0</v>
      </c>
      <c r="P646" s="530" t="str">
        <f t="shared" si="282"/>
        <v/>
      </c>
      <c r="Q646" s="531" t="str">
        <f>IF($A646="","",$G646/VLOOKUP($I646,Ref!$B$23:$D$29,2,0))</f>
        <v/>
      </c>
      <c r="R646" s="530" t="str">
        <f t="shared" si="283"/>
        <v/>
      </c>
      <c r="S646" s="532" t="str">
        <f t="shared" si="277"/>
        <v/>
      </c>
      <c r="T646" s="531" t="str">
        <f t="shared" si="284"/>
        <v/>
      </c>
      <c r="U646" s="533">
        <f t="shared" si="285"/>
        <v>0</v>
      </c>
      <c r="V646" s="531" t="str">
        <f t="shared" si="286"/>
        <v/>
      </c>
      <c r="W646" s="531" t="str">
        <f t="shared" si="287"/>
        <v/>
      </c>
      <c r="X646" s="534" t="str">
        <f t="shared" si="288"/>
        <v/>
      </c>
      <c r="Y646" s="535" t="str">
        <f>IF($A646="","",IF($I646="weekly",$A646+7,EDATE($A646,VLOOKUP($I646,Ref!$B$24:$C$29,2,0))))</f>
        <v/>
      </c>
      <c r="Z646" s="536" t="str">
        <f t="shared" si="289"/>
        <v/>
      </c>
      <c r="AA646" s="531">
        <f t="shared" si="290"/>
        <v>0</v>
      </c>
      <c r="AB646" s="535" t="str">
        <f t="shared" si="278"/>
        <v/>
      </c>
      <c r="AC646" s="537" t="str">
        <f t="shared" si="279"/>
        <v/>
      </c>
      <c r="AD646" s="538" t="str">
        <f t="shared" ca="1" si="280"/>
        <v/>
      </c>
      <c r="AE646" s="537">
        <f t="shared" ca="1" si="281"/>
        <v>0</v>
      </c>
      <c r="AF646" s="539" t="str">
        <f t="shared" ca="1" si="291"/>
        <v/>
      </c>
      <c r="AG646" s="531" t="str">
        <f t="shared" ca="1" si="292"/>
        <v/>
      </c>
      <c r="AH646" s="531" t="str">
        <f t="shared" ca="1" si="293"/>
        <v/>
      </c>
      <c r="AI646" s="531" t="str">
        <f t="shared" ca="1" si="294"/>
        <v/>
      </c>
      <c r="AJ646" s="531" t="str">
        <f t="shared" si="295"/>
        <v/>
      </c>
      <c r="AK646" s="540">
        <f>SUMIFS('Live Collections'!$S:$S,'Live Collections'!$D:$D,Disbursements!B646,'Live Collections'!$G:$G,Disbursements!C646)</f>
        <v>0</v>
      </c>
      <c r="AL646" s="540">
        <f>SUMIFS('Live Collections'!$T:$T,'Live Collections'!$D:$D,Disbursements!B646,'Live Collections'!$G:$G,Disbursements!C646)</f>
        <v>0</v>
      </c>
      <c r="AM646" s="541">
        <f t="shared" si="296"/>
        <v>0</v>
      </c>
      <c r="AN646" s="542" t="str">
        <f t="shared" si="297"/>
        <v/>
      </c>
      <c r="AO646" s="542" t="str">
        <f t="shared" si="298"/>
        <v/>
      </c>
      <c r="AP646" s="543" t="str">
        <f t="shared" si="299"/>
        <v/>
      </c>
      <c r="AQ646" s="544" t="str">
        <f t="shared" si="300"/>
        <v/>
      </c>
      <c r="AR646" s="545">
        <f t="shared" si="301"/>
        <v>0</v>
      </c>
      <c r="AS646" s="545">
        <f>IFERROR(CEILING($AR646*VLOOKUP($I646,Ref!$B$23:$E$29,4,0),1),0)</f>
        <v>0</v>
      </c>
      <c r="AT646" s="545" t="str">
        <f>IF(A646="","",IF(AP646&lt;=1,"Cleared",IF(AS646=0,"Clean",VLOOKUP($AS646,Ref!$G$23:$H$28,2))))</f>
        <v/>
      </c>
      <c r="AU646" s="546" t="str">
        <f t="shared" si="302"/>
        <v/>
      </c>
    </row>
    <row r="647" spans="1:47" ht="14.25" hidden="1" customHeight="1" x14ac:dyDescent="0.15">
      <c r="A647" s="523"/>
      <c r="B647" s="523"/>
      <c r="C647" s="523"/>
      <c r="D647" s="523"/>
      <c r="E647" s="579"/>
      <c r="F647" s="580"/>
      <c r="G647" s="524"/>
      <c r="H647" s="555"/>
      <c r="I647" s="560"/>
      <c r="J647" s="523"/>
      <c r="K647" s="528" t="str">
        <f>IFERROR(VLOOKUP($B647,'Clients-Live'!$A:$C,3,0),"")</f>
        <v/>
      </c>
      <c r="L647" s="528">
        <f>IF(E647="STL",Pricing!$D$38,IF(A647="",0,IF(A647&lt;Pricing!$C$25,Pricing!$D$25,VLOOKUP(Disbursements!$F647,Pricing!$B$29:$D$32,3))))</f>
        <v>0</v>
      </c>
      <c r="M647" s="528">
        <f>IF(E647="STL",0,IF(F647&gt;0,Pricing!$D$21,0))</f>
        <v>0</v>
      </c>
      <c r="N647" s="529">
        <f>IF(E647="STL",F647*Pricing!$D$40,IF(A647&lt;=Pricing!$C$4,0,IF(AND(A647&gt;Pricing!$C$4,Disbursements!A647&lt;=Pricing!$C$5),F647*Pricing!$E$5,IF(AND(A647&gt;Pricing!$C$5,Disbursements!A647&lt;=Pricing!$C$7),VLOOKUP(F647,Pricing!$D$7:$E$8,2)*Disbursements!F647,F647*Pricing!$E$9))))</f>
        <v>0</v>
      </c>
      <c r="O647" s="528">
        <f>IF(E647="STL",0,IF($F647&gt;0,$F647*Pricing!$D$17,0))</f>
        <v>0</v>
      </c>
      <c r="P647" s="530" t="str">
        <f t="shared" si="282"/>
        <v/>
      </c>
      <c r="Q647" s="531" t="str">
        <f>IF($A647="","",$G647/VLOOKUP($I647,Ref!$B$23:$D$29,2,0))</f>
        <v/>
      </c>
      <c r="R647" s="530" t="str">
        <f t="shared" si="283"/>
        <v/>
      </c>
      <c r="S647" s="532" t="str">
        <f t="shared" si="277"/>
        <v/>
      </c>
      <c r="T647" s="531" t="str">
        <f t="shared" si="284"/>
        <v/>
      </c>
      <c r="U647" s="533">
        <f t="shared" si="285"/>
        <v>0</v>
      </c>
      <c r="V647" s="531" t="str">
        <f t="shared" si="286"/>
        <v/>
      </c>
      <c r="W647" s="531" t="str">
        <f t="shared" si="287"/>
        <v/>
      </c>
      <c r="X647" s="534" t="str">
        <f t="shared" si="288"/>
        <v/>
      </c>
      <c r="Y647" s="535" t="str">
        <f>IF($A647="","",IF($I647="weekly",$A647+7,EDATE($A647,VLOOKUP($I647,Ref!$B$24:$C$29,2,0))))</f>
        <v/>
      </c>
      <c r="Z647" s="536" t="str">
        <f t="shared" si="289"/>
        <v/>
      </c>
      <c r="AA647" s="531">
        <f t="shared" si="290"/>
        <v>0</v>
      </c>
      <c r="AB647" s="535" t="str">
        <f t="shared" si="278"/>
        <v/>
      </c>
      <c r="AC647" s="537" t="str">
        <f t="shared" si="279"/>
        <v/>
      </c>
      <c r="AD647" s="538" t="str">
        <f t="shared" ca="1" si="280"/>
        <v/>
      </c>
      <c r="AE647" s="537">
        <f t="shared" ca="1" si="281"/>
        <v>0</v>
      </c>
      <c r="AF647" s="539" t="str">
        <f t="shared" ca="1" si="291"/>
        <v/>
      </c>
      <c r="AG647" s="531" t="str">
        <f t="shared" ca="1" si="292"/>
        <v/>
      </c>
      <c r="AH647" s="531" t="str">
        <f t="shared" ca="1" si="293"/>
        <v/>
      </c>
      <c r="AI647" s="531" t="str">
        <f t="shared" ca="1" si="294"/>
        <v/>
      </c>
      <c r="AJ647" s="531" t="str">
        <f t="shared" si="295"/>
        <v/>
      </c>
      <c r="AK647" s="540">
        <f>SUMIFS('Live Collections'!$S:$S,'Live Collections'!$D:$D,Disbursements!B647,'Live Collections'!$G:$G,Disbursements!C647)</f>
        <v>0</v>
      </c>
      <c r="AL647" s="540">
        <f>SUMIFS('Live Collections'!$T:$T,'Live Collections'!$D:$D,Disbursements!B647,'Live Collections'!$G:$G,Disbursements!C647)</f>
        <v>0</v>
      </c>
      <c r="AM647" s="541">
        <f t="shared" si="296"/>
        <v>0</v>
      </c>
      <c r="AN647" s="542" t="str">
        <f t="shared" si="297"/>
        <v/>
      </c>
      <c r="AO647" s="542" t="str">
        <f t="shared" si="298"/>
        <v/>
      </c>
      <c r="AP647" s="543" t="str">
        <f t="shared" si="299"/>
        <v/>
      </c>
      <c r="AQ647" s="544" t="str">
        <f t="shared" si="300"/>
        <v/>
      </c>
      <c r="AR647" s="545">
        <f t="shared" si="301"/>
        <v>0</v>
      </c>
      <c r="AS647" s="545">
        <f>IFERROR(CEILING($AR647*VLOOKUP($I647,Ref!$B$23:$E$29,4,0),1),0)</f>
        <v>0</v>
      </c>
      <c r="AT647" s="545" t="str">
        <f>IF(A647="","",IF(AP647&lt;=1,"Cleared",IF(AS647=0,"Clean",VLOOKUP($AS647,Ref!$G$23:$H$28,2))))</f>
        <v/>
      </c>
      <c r="AU647" s="546" t="str">
        <f t="shared" si="302"/>
        <v/>
      </c>
    </row>
    <row r="648" spans="1:47" ht="14.25" hidden="1" customHeight="1" x14ac:dyDescent="0.15">
      <c r="A648" s="523"/>
      <c r="B648" s="523"/>
      <c r="C648" s="523"/>
      <c r="D648" s="523"/>
      <c r="E648" s="579"/>
      <c r="F648" s="580"/>
      <c r="G648" s="524"/>
      <c r="H648" s="555"/>
      <c r="I648" s="560"/>
      <c r="J648" s="523"/>
      <c r="K648" s="528" t="str">
        <f>IFERROR(VLOOKUP($B648,'Clients-Live'!$A:$C,3,0),"")</f>
        <v/>
      </c>
      <c r="L648" s="528">
        <f>IF(E648="STL",Pricing!$D$38,IF(A648="",0,IF(A648&lt;Pricing!$C$25,Pricing!$D$25,VLOOKUP(Disbursements!$F648,Pricing!$B$29:$D$32,3))))</f>
        <v>0</v>
      </c>
      <c r="M648" s="528">
        <f>IF(E648="STL",0,IF(F648&gt;0,Pricing!$D$21,0))</f>
        <v>0</v>
      </c>
      <c r="N648" s="529">
        <f>IF(E648="STL",F648*Pricing!$D$40,IF(A648&lt;=Pricing!$C$4,0,IF(AND(A648&gt;Pricing!$C$4,Disbursements!A648&lt;=Pricing!$C$5),F648*Pricing!$E$5,IF(AND(A648&gt;Pricing!$C$5,Disbursements!A648&lt;=Pricing!$C$7),VLOOKUP(F648,Pricing!$D$7:$E$8,2)*Disbursements!F648,F648*Pricing!$E$9))))</f>
        <v>0</v>
      </c>
      <c r="O648" s="528">
        <f>IF(E648="STL",0,IF($F648&gt;0,$F648*Pricing!$D$17,0))</f>
        <v>0</v>
      </c>
      <c r="P648" s="530" t="str">
        <f t="shared" si="282"/>
        <v/>
      </c>
      <c r="Q648" s="531" t="str">
        <f>IF($A648="","",$G648/VLOOKUP($I648,Ref!$B$23:$D$29,2,0))</f>
        <v/>
      </c>
      <c r="R648" s="530" t="str">
        <f t="shared" si="283"/>
        <v/>
      </c>
      <c r="S648" s="532" t="str">
        <f t="shared" si="277"/>
        <v/>
      </c>
      <c r="T648" s="531" t="str">
        <f t="shared" si="284"/>
        <v/>
      </c>
      <c r="U648" s="533">
        <f t="shared" si="285"/>
        <v>0</v>
      </c>
      <c r="V648" s="531" t="str">
        <f t="shared" si="286"/>
        <v/>
      </c>
      <c r="W648" s="531" t="str">
        <f t="shared" si="287"/>
        <v/>
      </c>
      <c r="X648" s="534" t="str">
        <f t="shared" si="288"/>
        <v/>
      </c>
      <c r="Y648" s="535" t="str">
        <f>IF($A648="","",IF($I648="weekly",$A648+7,EDATE($A648,VLOOKUP($I648,Ref!$B$24:$C$29,2,0))))</f>
        <v/>
      </c>
      <c r="Z648" s="536" t="str">
        <f t="shared" si="289"/>
        <v/>
      </c>
      <c r="AA648" s="531">
        <f t="shared" si="290"/>
        <v>0</v>
      </c>
      <c r="AB648" s="535" t="str">
        <f t="shared" si="278"/>
        <v/>
      </c>
      <c r="AC648" s="537" t="str">
        <f t="shared" si="279"/>
        <v/>
      </c>
      <c r="AD648" s="538" t="str">
        <f t="shared" ca="1" si="280"/>
        <v/>
      </c>
      <c r="AE648" s="537">
        <f t="shared" ca="1" si="281"/>
        <v>0</v>
      </c>
      <c r="AF648" s="539" t="str">
        <f t="shared" ca="1" si="291"/>
        <v/>
      </c>
      <c r="AG648" s="531" t="str">
        <f t="shared" ca="1" si="292"/>
        <v/>
      </c>
      <c r="AH648" s="531" t="str">
        <f t="shared" ca="1" si="293"/>
        <v/>
      </c>
      <c r="AI648" s="531" t="str">
        <f t="shared" ca="1" si="294"/>
        <v/>
      </c>
      <c r="AJ648" s="531" t="str">
        <f t="shared" si="295"/>
        <v/>
      </c>
      <c r="AK648" s="540">
        <f>SUMIFS('Live Collections'!$S:$S,'Live Collections'!$D:$D,Disbursements!B648,'Live Collections'!$G:$G,Disbursements!C648)</f>
        <v>0</v>
      </c>
      <c r="AL648" s="540">
        <f>SUMIFS('Live Collections'!$T:$T,'Live Collections'!$D:$D,Disbursements!B648,'Live Collections'!$G:$G,Disbursements!C648)</f>
        <v>0</v>
      </c>
      <c r="AM648" s="541">
        <f t="shared" si="296"/>
        <v>0</v>
      </c>
      <c r="AN648" s="542" t="str">
        <f t="shared" si="297"/>
        <v/>
      </c>
      <c r="AO648" s="542" t="str">
        <f t="shared" si="298"/>
        <v/>
      </c>
      <c r="AP648" s="543" t="str">
        <f t="shared" si="299"/>
        <v/>
      </c>
      <c r="AQ648" s="544" t="str">
        <f t="shared" si="300"/>
        <v/>
      </c>
      <c r="AR648" s="545">
        <f t="shared" si="301"/>
        <v>0</v>
      </c>
      <c r="AS648" s="545">
        <f>IFERROR(CEILING($AR648*VLOOKUP($I648,Ref!$B$23:$E$29,4,0),1),0)</f>
        <v>0</v>
      </c>
      <c r="AT648" s="545" t="str">
        <f>IF(A648="","",IF(AP648&lt;=1,"Cleared",IF(AS648=0,"Clean",VLOOKUP($AS648,Ref!$G$23:$H$28,2))))</f>
        <v/>
      </c>
      <c r="AU648" s="546" t="str">
        <f t="shared" si="302"/>
        <v/>
      </c>
    </row>
    <row r="649" spans="1:47" ht="14.25" hidden="1" customHeight="1" x14ac:dyDescent="0.15">
      <c r="A649" s="523"/>
      <c r="B649" s="523"/>
      <c r="C649" s="523"/>
      <c r="D649" s="523"/>
      <c r="E649" s="579"/>
      <c r="F649" s="580"/>
      <c r="G649" s="524"/>
      <c r="H649" s="555"/>
      <c r="I649" s="560"/>
      <c r="J649" s="523"/>
      <c r="K649" s="528" t="str">
        <f>IFERROR(VLOOKUP($B649,'Clients-Live'!$A:$C,3,0),"")</f>
        <v/>
      </c>
      <c r="L649" s="528">
        <f>IF(E649="STL",Pricing!$D$38,IF(A649="",0,IF(A649&lt;Pricing!$C$25,Pricing!$D$25,VLOOKUP(Disbursements!$F649,Pricing!$B$29:$D$32,3))))</f>
        <v>0</v>
      </c>
      <c r="M649" s="528">
        <f>IF(E649="STL",0,IF(F649&gt;0,Pricing!$D$21,0))</f>
        <v>0</v>
      </c>
      <c r="N649" s="529">
        <f>IF(E649="STL",F649*Pricing!$D$40,IF(A649&lt;=Pricing!$C$4,0,IF(AND(A649&gt;Pricing!$C$4,Disbursements!A649&lt;=Pricing!$C$5),F649*Pricing!$E$5,IF(AND(A649&gt;Pricing!$C$5,Disbursements!A649&lt;=Pricing!$C$7),VLOOKUP(F649,Pricing!$D$7:$E$8,2)*Disbursements!F649,F649*Pricing!$E$9))))</f>
        <v>0</v>
      </c>
      <c r="O649" s="528">
        <f>IF(E649="STL",0,IF($F649&gt;0,$F649*Pricing!$D$17,0))</f>
        <v>0</v>
      </c>
      <c r="P649" s="530" t="str">
        <f t="shared" si="282"/>
        <v/>
      </c>
      <c r="Q649" s="531" t="str">
        <f>IF($A649="","",$G649/VLOOKUP($I649,Ref!$B$23:$D$29,2,0))</f>
        <v/>
      </c>
      <c r="R649" s="530" t="str">
        <f t="shared" si="283"/>
        <v/>
      </c>
      <c r="S649" s="532" t="str">
        <f t="shared" si="277"/>
        <v/>
      </c>
      <c r="T649" s="531" t="str">
        <f t="shared" si="284"/>
        <v/>
      </c>
      <c r="U649" s="533">
        <f t="shared" si="285"/>
        <v>0</v>
      </c>
      <c r="V649" s="531" t="str">
        <f t="shared" si="286"/>
        <v/>
      </c>
      <c r="W649" s="531" t="str">
        <f t="shared" si="287"/>
        <v/>
      </c>
      <c r="X649" s="534" t="str">
        <f t="shared" si="288"/>
        <v/>
      </c>
      <c r="Y649" s="535" t="str">
        <f>IF($A649="","",IF($I649="weekly",$A649+7,EDATE($A649,VLOOKUP($I649,Ref!$B$24:$C$29,2,0))))</f>
        <v/>
      </c>
      <c r="Z649" s="536" t="str">
        <f t="shared" si="289"/>
        <v/>
      </c>
      <c r="AA649" s="531">
        <f t="shared" si="290"/>
        <v>0</v>
      </c>
      <c r="AB649" s="535" t="str">
        <f t="shared" si="278"/>
        <v/>
      </c>
      <c r="AC649" s="537" t="str">
        <f t="shared" si="279"/>
        <v/>
      </c>
      <c r="AD649" s="538" t="str">
        <f t="shared" ca="1" si="280"/>
        <v/>
      </c>
      <c r="AE649" s="537">
        <f t="shared" ca="1" si="281"/>
        <v>0</v>
      </c>
      <c r="AF649" s="539" t="str">
        <f t="shared" ca="1" si="291"/>
        <v/>
      </c>
      <c r="AG649" s="531" t="str">
        <f t="shared" ca="1" si="292"/>
        <v/>
      </c>
      <c r="AH649" s="531" t="str">
        <f t="shared" ca="1" si="293"/>
        <v/>
      </c>
      <c r="AI649" s="531" t="str">
        <f t="shared" ca="1" si="294"/>
        <v/>
      </c>
      <c r="AJ649" s="531" t="str">
        <f t="shared" si="295"/>
        <v/>
      </c>
      <c r="AK649" s="540">
        <f>SUMIFS('Live Collections'!$S:$S,'Live Collections'!$D:$D,Disbursements!B649,'Live Collections'!$G:$G,Disbursements!C649)</f>
        <v>0</v>
      </c>
      <c r="AL649" s="540">
        <f>SUMIFS('Live Collections'!$T:$T,'Live Collections'!$D:$D,Disbursements!B649,'Live Collections'!$G:$G,Disbursements!C649)</f>
        <v>0</v>
      </c>
      <c r="AM649" s="541">
        <f t="shared" si="296"/>
        <v>0</v>
      </c>
      <c r="AN649" s="542" t="str">
        <f t="shared" si="297"/>
        <v/>
      </c>
      <c r="AO649" s="542" t="str">
        <f t="shared" si="298"/>
        <v/>
      </c>
      <c r="AP649" s="543" t="str">
        <f t="shared" si="299"/>
        <v/>
      </c>
      <c r="AQ649" s="544" t="str">
        <f t="shared" si="300"/>
        <v/>
      </c>
      <c r="AR649" s="545">
        <f t="shared" si="301"/>
        <v>0</v>
      </c>
      <c r="AS649" s="545">
        <f>IFERROR(CEILING($AR649*VLOOKUP($I649,Ref!$B$23:$E$29,4,0),1),0)</f>
        <v>0</v>
      </c>
      <c r="AT649" s="545" t="str">
        <f>IF(A649="","",IF(AP649&lt;=1,"Cleared",IF(AS649=0,"Clean",VLOOKUP($AS649,Ref!$G$23:$H$28,2))))</f>
        <v/>
      </c>
      <c r="AU649" s="546" t="str">
        <f t="shared" si="302"/>
        <v/>
      </c>
    </row>
    <row r="650" spans="1:47" ht="14.25" hidden="1" customHeight="1" x14ac:dyDescent="0.15">
      <c r="A650" s="523"/>
      <c r="B650" s="523"/>
      <c r="C650" s="523"/>
      <c r="D650" s="523"/>
      <c r="E650" s="579"/>
      <c r="F650" s="580"/>
      <c r="G650" s="524"/>
      <c r="H650" s="555"/>
      <c r="I650" s="560"/>
      <c r="J650" s="523"/>
      <c r="K650" s="528" t="str">
        <f>IFERROR(VLOOKUP($B650,'Clients-Live'!$A:$C,3,0),"")</f>
        <v/>
      </c>
      <c r="L650" s="528">
        <f>IF(E650="STL",Pricing!$D$38,IF(A650="",0,IF(A650&lt;Pricing!$C$25,Pricing!$D$25,VLOOKUP(Disbursements!$F650,Pricing!$B$29:$D$32,3))))</f>
        <v>0</v>
      </c>
      <c r="M650" s="528">
        <f>IF(E650="STL",0,IF(F650&gt;0,Pricing!$D$21,0))</f>
        <v>0</v>
      </c>
      <c r="N650" s="529">
        <f>IF(E650="STL",F650*Pricing!$D$40,IF(A650&lt;=Pricing!$C$4,0,IF(AND(A650&gt;Pricing!$C$4,Disbursements!A650&lt;=Pricing!$C$5),F650*Pricing!$E$5,IF(AND(A650&gt;Pricing!$C$5,Disbursements!A650&lt;=Pricing!$C$7),VLOOKUP(F650,Pricing!$D$7:$E$8,2)*Disbursements!F650,F650*Pricing!$E$9))))</f>
        <v>0</v>
      </c>
      <c r="O650" s="528">
        <f>IF(E650="STL",0,IF($F650&gt;0,$F650*Pricing!$D$17,0))</f>
        <v>0</v>
      </c>
      <c r="P650" s="530" t="str">
        <f t="shared" si="282"/>
        <v/>
      </c>
      <c r="Q650" s="531" t="str">
        <f>IF($A650="","",$G650/VLOOKUP($I650,Ref!$B$23:$D$29,2,0))</f>
        <v/>
      </c>
      <c r="R650" s="530" t="str">
        <f t="shared" si="283"/>
        <v/>
      </c>
      <c r="S650" s="532" t="str">
        <f t="shared" si="277"/>
        <v/>
      </c>
      <c r="T650" s="531" t="str">
        <f t="shared" si="284"/>
        <v/>
      </c>
      <c r="U650" s="533">
        <f t="shared" si="285"/>
        <v>0</v>
      </c>
      <c r="V650" s="531" t="str">
        <f t="shared" si="286"/>
        <v/>
      </c>
      <c r="W650" s="531" t="str">
        <f t="shared" si="287"/>
        <v/>
      </c>
      <c r="X650" s="534" t="str">
        <f t="shared" si="288"/>
        <v/>
      </c>
      <c r="Y650" s="535" t="str">
        <f>IF($A650="","",IF($I650="weekly",$A650+7,EDATE($A650,VLOOKUP($I650,Ref!$B$24:$C$29,2,0))))</f>
        <v/>
      </c>
      <c r="Z650" s="536" t="str">
        <f t="shared" si="289"/>
        <v/>
      </c>
      <c r="AA650" s="531">
        <f t="shared" si="290"/>
        <v>0</v>
      </c>
      <c r="AB650" s="535" t="str">
        <f t="shared" si="278"/>
        <v/>
      </c>
      <c r="AC650" s="537" t="str">
        <f t="shared" si="279"/>
        <v/>
      </c>
      <c r="AD650" s="538" t="str">
        <f t="shared" ca="1" si="280"/>
        <v/>
      </c>
      <c r="AE650" s="537">
        <f t="shared" ca="1" si="281"/>
        <v>0</v>
      </c>
      <c r="AF650" s="539" t="str">
        <f t="shared" ca="1" si="291"/>
        <v/>
      </c>
      <c r="AG650" s="531" t="str">
        <f t="shared" ca="1" si="292"/>
        <v/>
      </c>
      <c r="AH650" s="531" t="str">
        <f t="shared" ca="1" si="293"/>
        <v/>
      </c>
      <c r="AI650" s="531" t="str">
        <f t="shared" ca="1" si="294"/>
        <v/>
      </c>
      <c r="AJ650" s="531" t="str">
        <f t="shared" si="295"/>
        <v/>
      </c>
      <c r="AK650" s="540">
        <f>SUMIFS('Live Collections'!$S:$S,'Live Collections'!$D:$D,Disbursements!B650,'Live Collections'!$G:$G,Disbursements!C650)</f>
        <v>0</v>
      </c>
      <c r="AL650" s="540">
        <f>SUMIFS('Live Collections'!$T:$T,'Live Collections'!$D:$D,Disbursements!B650,'Live Collections'!$G:$G,Disbursements!C650)</f>
        <v>0</v>
      </c>
      <c r="AM650" s="541">
        <f t="shared" si="296"/>
        <v>0</v>
      </c>
      <c r="AN650" s="542" t="str">
        <f t="shared" si="297"/>
        <v/>
      </c>
      <c r="AO650" s="542" t="str">
        <f t="shared" si="298"/>
        <v/>
      </c>
      <c r="AP650" s="543" t="str">
        <f t="shared" si="299"/>
        <v/>
      </c>
      <c r="AQ650" s="544" t="str">
        <f t="shared" si="300"/>
        <v/>
      </c>
      <c r="AR650" s="545">
        <f t="shared" si="301"/>
        <v>0</v>
      </c>
      <c r="AS650" s="545">
        <f>IFERROR(CEILING($AR650*VLOOKUP($I650,Ref!$B$23:$E$29,4,0),1),0)</f>
        <v>0</v>
      </c>
      <c r="AT650" s="545" t="str">
        <f>IF(A650="","",IF(AP650&lt;=1,"Cleared",IF(AS650=0,"Clean",VLOOKUP($AS650,Ref!$G$23:$H$28,2))))</f>
        <v/>
      </c>
      <c r="AU650" s="546" t="str">
        <f t="shared" si="302"/>
        <v/>
      </c>
    </row>
    <row r="651" spans="1:47" ht="14.25" hidden="1" customHeight="1" x14ac:dyDescent="0.15">
      <c r="A651" s="523"/>
      <c r="B651" s="523"/>
      <c r="C651" s="523"/>
      <c r="D651" s="523"/>
      <c r="E651" s="579"/>
      <c r="F651" s="580"/>
      <c r="G651" s="524"/>
      <c r="H651" s="555"/>
      <c r="I651" s="560"/>
      <c r="J651" s="523"/>
      <c r="K651" s="528" t="str">
        <f>IFERROR(VLOOKUP($B651,'Clients-Live'!$A:$C,3,0),"")</f>
        <v/>
      </c>
      <c r="L651" s="528">
        <f>IF(E651="STL",Pricing!$D$38,IF(A651="",0,IF(A651&lt;Pricing!$C$25,Pricing!$D$25,VLOOKUP(Disbursements!$F651,Pricing!$B$29:$D$32,3))))</f>
        <v>0</v>
      </c>
      <c r="M651" s="528">
        <f>IF(E651="STL",0,IF(F651&gt;0,Pricing!$D$21,0))</f>
        <v>0</v>
      </c>
      <c r="N651" s="529">
        <f>IF(E651="STL",F651*Pricing!$D$40,IF(A651&lt;=Pricing!$C$4,0,IF(AND(A651&gt;Pricing!$C$4,Disbursements!A651&lt;=Pricing!$C$5),F651*Pricing!$E$5,IF(AND(A651&gt;Pricing!$C$5,Disbursements!A651&lt;=Pricing!$C$7),VLOOKUP(F651,Pricing!$D$7:$E$8,2)*Disbursements!F651,F651*Pricing!$E$9))))</f>
        <v>0</v>
      </c>
      <c r="O651" s="528">
        <f>IF(E651="STL",0,IF($F651&gt;0,$F651*Pricing!$D$17,0))</f>
        <v>0</v>
      </c>
      <c r="P651" s="530" t="str">
        <f t="shared" si="282"/>
        <v/>
      </c>
      <c r="Q651" s="531" t="str">
        <f>IF($A651="","",$G651/VLOOKUP($I651,Ref!$B$23:$D$29,2,0))</f>
        <v/>
      </c>
      <c r="R651" s="530" t="str">
        <f t="shared" si="283"/>
        <v/>
      </c>
      <c r="S651" s="532" t="str">
        <f t="shared" si="277"/>
        <v/>
      </c>
      <c r="T651" s="531" t="str">
        <f t="shared" si="284"/>
        <v/>
      </c>
      <c r="U651" s="533">
        <f t="shared" si="285"/>
        <v>0</v>
      </c>
      <c r="V651" s="531" t="str">
        <f t="shared" si="286"/>
        <v/>
      </c>
      <c r="W651" s="531" t="str">
        <f t="shared" si="287"/>
        <v/>
      </c>
      <c r="X651" s="534" t="str">
        <f t="shared" si="288"/>
        <v/>
      </c>
      <c r="Y651" s="535" t="str">
        <f>IF($A651="","",IF($I651="weekly",$A651+7,EDATE($A651,VLOOKUP($I651,Ref!$B$24:$C$29,2,0))))</f>
        <v/>
      </c>
      <c r="Z651" s="536" t="str">
        <f t="shared" si="289"/>
        <v/>
      </c>
      <c r="AA651" s="531">
        <f t="shared" si="290"/>
        <v>0</v>
      </c>
      <c r="AB651" s="535" t="str">
        <f t="shared" si="278"/>
        <v/>
      </c>
      <c r="AC651" s="537" t="str">
        <f t="shared" si="279"/>
        <v/>
      </c>
      <c r="AD651" s="538" t="str">
        <f t="shared" ca="1" si="280"/>
        <v/>
      </c>
      <c r="AE651" s="537">
        <f t="shared" ca="1" si="281"/>
        <v>0</v>
      </c>
      <c r="AF651" s="539" t="str">
        <f t="shared" ca="1" si="291"/>
        <v/>
      </c>
      <c r="AG651" s="531" t="str">
        <f t="shared" ca="1" si="292"/>
        <v/>
      </c>
      <c r="AH651" s="531" t="str">
        <f t="shared" ca="1" si="293"/>
        <v/>
      </c>
      <c r="AI651" s="531" t="str">
        <f t="shared" ca="1" si="294"/>
        <v/>
      </c>
      <c r="AJ651" s="531" t="str">
        <f t="shared" si="295"/>
        <v/>
      </c>
      <c r="AK651" s="540">
        <f>SUMIFS('Live Collections'!$S:$S,'Live Collections'!$D:$D,Disbursements!B651,'Live Collections'!$G:$G,Disbursements!C651)</f>
        <v>0</v>
      </c>
      <c r="AL651" s="540">
        <f>SUMIFS('Live Collections'!$T:$T,'Live Collections'!$D:$D,Disbursements!B651,'Live Collections'!$G:$G,Disbursements!C651)</f>
        <v>0</v>
      </c>
      <c r="AM651" s="541">
        <f t="shared" si="296"/>
        <v>0</v>
      </c>
      <c r="AN651" s="542" t="str">
        <f t="shared" si="297"/>
        <v/>
      </c>
      <c r="AO651" s="542" t="str">
        <f t="shared" si="298"/>
        <v/>
      </c>
      <c r="AP651" s="543" t="str">
        <f t="shared" si="299"/>
        <v/>
      </c>
      <c r="AQ651" s="544" t="str">
        <f t="shared" si="300"/>
        <v/>
      </c>
      <c r="AR651" s="545">
        <f t="shared" si="301"/>
        <v>0</v>
      </c>
      <c r="AS651" s="545">
        <f>IFERROR(CEILING($AR651*VLOOKUP($I651,Ref!$B$23:$E$29,4,0),1),0)</f>
        <v>0</v>
      </c>
      <c r="AT651" s="545" t="str">
        <f>IF(A651="","",IF(AP651&lt;=1,"Cleared",IF(AS651=0,"Clean",VLOOKUP($AS651,Ref!$G$23:$H$28,2))))</f>
        <v/>
      </c>
      <c r="AU651" s="546" t="str">
        <f t="shared" si="302"/>
        <v/>
      </c>
    </row>
    <row r="652" spans="1:47" ht="14.25" hidden="1" customHeight="1" x14ac:dyDescent="0.15">
      <c r="A652" s="523"/>
      <c r="B652" s="523"/>
      <c r="C652" s="523"/>
      <c r="D652" s="523"/>
      <c r="E652" s="579"/>
      <c r="F652" s="580"/>
      <c r="G652" s="524"/>
      <c r="H652" s="555"/>
      <c r="I652" s="560"/>
      <c r="J652" s="523"/>
      <c r="K652" s="528" t="str">
        <f>IFERROR(VLOOKUP($B652,'Clients-Live'!$A:$C,3,0),"")</f>
        <v/>
      </c>
      <c r="L652" s="528">
        <f>IF(E652="STL",Pricing!$D$38,IF(A652="",0,IF(A652&lt;Pricing!$C$25,Pricing!$D$25,VLOOKUP(Disbursements!$F652,Pricing!$B$29:$D$32,3))))</f>
        <v>0</v>
      </c>
      <c r="M652" s="528">
        <f>IF(E652="STL",0,IF(F652&gt;0,Pricing!$D$21,0))</f>
        <v>0</v>
      </c>
      <c r="N652" s="529">
        <f>IF(E652="STL",F652*Pricing!$D$40,IF(A652&lt;=Pricing!$C$4,0,IF(AND(A652&gt;Pricing!$C$4,Disbursements!A652&lt;=Pricing!$C$5),F652*Pricing!$E$5,IF(AND(A652&gt;Pricing!$C$5,Disbursements!A652&lt;=Pricing!$C$7),VLOOKUP(F652,Pricing!$D$7:$E$8,2)*Disbursements!F652,F652*Pricing!$E$9))))</f>
        <v>0</v>
      </c>
      <c r="O652" s="528">
        <f>IF(E652="STL",0,IF($F652&gt;0,$F652*Pricing!$D$17,0))</f>
        <v>0</v>
      </c>
      <c r="P652" s="530" t="str">
        <f t="shared" si="282"/>
        <v/>
      </c>
      <c r="Q652" s="531" t="str">
        <f>IF($A652="","",$G652/VLOOKUP($I652,Ref!$B$23:$D$29,2,0))</f>
        <v/>
      </c>
      <c r="R652" s="530" t="str">
        <f t="shared" si="283"/>
        <v/>
      </c>
      <c r="S652" s="532" t="str">
        <f t="shared" si="277"/>
        <v/>
      </c>
      <c r="T652" s="531" t="str">
        <f t="shared" si="284"/>
        <v/>
      </c>
      <c r="U652" s="533">
        <f t="shared" si="285"/>
        <v>0</v>
      </c>
      <c r="V652" s="531" t="str">
        <f t="shared" si="286"/>
        <v/>
      </c>
      <c r="W652" s="531" t="str">
        <f t="shared" si="287"/>
        <v/>
      </c>
      <c r="X652" s="534" t="str">
        <f t="shared" si="288"/>
        <v/>
      </c>
      <c r="Y652" s="535" t="str">
        <f>IF($A652="","",IF($I652="weekly",$A652+7,EDATE($A652,VLOOKUP($I652,Ref!$B$24:$C$29,2,0))))</f>
        <v/>
      </c>
      <c r="Z652" s="536" t="str">
        <f t="shared" si="289"/>
        <v/>
      </c>
      <c r="AA652" s="531">
        <f t="shared" si="290"/>
        <v>0</v>
      </c>
      <c r="AB652" s="535" t="str">
        <f t="shared" si="278"/>
        <v/>
      </c>
      <c r="AC652" s="537" t="str">
        <f t="shared" si="279"/>
        <v/>
      </c>
      <c r="AD652" s="538" t="str">
        <f t="shared" ca="1" si="280"/>
        <v/>
      </c>
      <c r="AE652" s="537">
        <f t="shared" ca="1" si="281"/>
        <v>0</v>
      </c>
      <c r="AF652" s="539" t="str">
        <f t="shared" ca="1" si="291"/>
        <v/>
      </c>
      <c r="AG652" s="531" t="str">
        <f t="shared" ca="1" si="292"/>
        <v/>
      </c>
      <c r="AH652" s="531" t="str">
        <f t="shared" ca="1" si="293"/>
        <v/>
      </c>
      <c r="AI652" s="531" t="str">
        <f t="shared" ca="1" si="294"/>
        <v/>
      </c>
      <c r="AJ652" s="531" t="str">
        <f t="shared" si="295"/>
        <v/>
      </c>
      <c r="AK652" s="540">
        <f>SUMIFS('Live Collections'!$S:$S,'Live Collections'!$D:$D,Disbursements!B652,'Live Collections'!$G:$G,Disbursements!C652)</f>
        <v>0</v>
      </c>
      <c r="AL652" s="540">
        <f>SUMIFS('Live Collections'!$T:$T,'Live Collections'!$D:$D,Disbursements!B652,'Live Collections'!$G:$G,Disbursements!C652)</f>
        <v>0</v>
      </c>
      <c r="AM652" s="541">
        <f t="shared" si="296"/>
        <v>0</v>
      </c>
      <c r="AN652" s="542" t="str">
        <f t="shared" si="297"/>
        <v/>
      </c>
      <c r="AO652" s="542" t="str">
        <f t="shared" si="298"/>
        <v/>
      </c>
      <c r="AP652" s="543" t="str">
        <f t="shared" si="299"/>
        <v/>
      </c>
      <c r="AQ652" s="544" t="str">
        <f t="shared" si="300"/>
        <v/>
      </c>
      <c r="AR652" s="545">
        <f t="shared" si="301"/>
        <v>0</v>
      </c>
      <c r="AS652" s="545">
        <f>IFERROR(CEILING($AR652*VLOOKUP($I652,Ref!$B$23:$E$29,4,0),1),0)</f>
        <v>0</v>
      </c>
      <c r="AT652" s="545" t="str">
        <f>IF(A652="","",IF(AP652&lt;=1,"Cleared",IF(AS652=0,"Clean",VLOOKUP($AS652,Ref!$G$23:$H$28,2))))</f>
        <v/>
      </c>
      <c r="AU652" s="546" t="str">
        <f t="shared" si="302"/>
        <v/>
      </c>
    </row>
    <row r="653" spans="1:47" ht="14.25" hidden="1" customHeight="1" x14ac:dyDescent="0.15">
      <c r="A653" s="523"/>
      <c r="B653" s="523"/>
      <c r="C653" s="523"/>
      <c r="D653" s="523"/>
      <c r="E653" s="579"/>
      <c r="F653" s="580"/>
      <c r="G653" s="524"/>
      <c r="H653" s="555"/>
      <c r="I653" s="560"/>
      <c r="J653" s="523"/>
      <c r="K653" s="528" t="str">
        <f>IFERROR(VLOOKUP($B653,'Clients-Live'!$A:$C,3,0),"")</f>
        <v/>
      </c>
      <c r="L653" s="528">
        <f>IF(E653="STL",Pricing!$D$38,IF(A653="",0,IF(A653&lt;Pricing!$C$25,Pricing!$D$25,VLOOKUP(Disbursements!$F653,Pricing!$B$29:$D$32,3))))</f>
        <v>0</v>
      </c>
      <c r="M653" s="528">
        <f>IF(E653="STL",0,IF(F653&gt;0,Pricing!$D$21,0))</f>
        <v>0</v>
      </c>
      <c r="N653" s="529">
        <f>IF(E653="STL",F653*Pricing!$D$40,IF(A653&lt;=Pricing!$C$4,0,IF(AND(A653&gt;Pricing!$C$4,Disbursements!A653&lt;=Pricing!$C$5),F653*Pricing!$E$5,IF(AND(A653&gt;Pricing!$C$5,Disbursements!A653&lt;=Pricing!$C$7),VLOOKUP(F653,Pricing!$D$7:$E$8,2)*Disbursements!F653,F653*Pricing!$E$9))))</f>
        <v>0</v>
      </c>
      <c r="O653" s="528">
        <f>IF(E653="STL",0,IF($F653&gt;0,$F653*Pricing!$D$17,0))</f>
        <v>0</v>
      </c>
      <c r="P653" s="530" t="str">
        <f t="shared" si="282"/>
        <v/>
      </c>
      <c r="Q653" s="531" t="str">
        <f>IF($A653="","",$G653/VLOOKUP($I653,Ref!$B$23:$D$29,2,0))</f>
        <v/>
      </c>
      <c r="R653" s="530" t="str">
        <f t="shared" si="283"/>
        <v/>
      </c>
      <c r="S653" s="532" t="str">
        <f t="shared" si="277"/>
        <v/>
      </c>
      <c r="T653" s="531" t="str">
        <f t="shared" si="284"/>
        <v/>
      </c>
      <c r="U653" s="533">
        <f t="shared" si="285"/>
        <v>0</v>
      </c>
      <c r="V653" s="531" t="str">
        <f t="shared" si="286"/>
        <v/>
      </c>
      <c r="W653" s="531" t="str">
        <f t="shared" si="287"/>
        <v/>
      </c>
      <c r="X653" s="534" t="str">
        <f t="shared" si="288"/>
        <v/>
      </c>
      <c r="Y653" s="535" t="str">
        <f>IF($A653="","",IF($I653="weekly",$A653+7,EDATE($A653,VLOOKUP($I653,Ref!$B$24:$C$29,2,0))))</f>
        <v/>
      </c>
      <c r="Z653" s="536" t="str">
        <f t="shared" si="289"/>
        <v/>
      </c>
      <c r="AA653" s="531">
        <f t="shared" si="290"/>
        <v>0</v>
      </c>
      <c r="AB653" s="535" t="str">
        <f t="shared" si="278"/>
        <v/>
      </c>
      <c r="AC653" s="537" t="str">
        <f t="shared" si="279"/>
        <v/>
      </c>
      <c r="AD653" s="538" t="str">
        <f t="shared" ca="1" si="280"/>
        <v/>
      </c>
      <c r="AE653" s="537">
        <f t="shared" ca="1" si="281"/>
        <v>0</v>
      </c>
      <c r="AF653" s="539" t="str">
        <f t="shared" ca="1" si="291"/>
        <v/>
      </c>
      <c r="AG653" s="531" t="str">
        <f t="shared" ca="1" si="292"/>
        <v/>
      </c>
      <c r="AH653" s="531" t="str">
        <f t="shared" ca="1" si="293"/>
        <v/>
      </c>
      <c r="AI653" s="531" t="str">
        <f t="shared" ca="1" si="294"/>
        <v/>
      </c>
      <c r="AJ653" s="531" t="str">
        <f t="shared" si="295"/>
        <v/>
      </c>
      <c r="AK653" s="540">
        <f>SUMIFS('Live Collections'!$S:$S,'Live Collections'!$D:$D,Disbursements!B653,'Live Collections'!$G:$G,Disbursements!C653)</f>
        <v>0</v>
      </c>
      <c r="AL653" s="540">
        <f>SUMIFS('Live Collections'!$T:$T,'Live Collections'!$D:$D,Disbursements!B653,'Live Collections'!$G:$G,Disbursements!C653)</f>
        <v>0</v>
      </c>
      <c r="AM653" s="541">
        <f t="shared" si="296"/>
        <v>0</v>
      </c>
      <c r="AN653" s="542" t="str">
        <f t="shared" si="297"/>
        <v/>
      </c>
      <c r="AO653" s="542" t="str">
        <f t="shared" si="298"/>
        <v/>
      </c>
      <c r="AP653" s="543" t="str">
        <f t="shared" si="299"/>
        <v/>
      </c>
      <c r="AQ653" s="544" t="str">
        <f t="shared" si="300"/>
        <v/>
      </c>
      <c r="AR653" s="545">
        <f t="shared" si="301"/>
        <v>0</v>
      </c>
      <c r="AS653" s="545">
        <f>IFERROR(CEILING($AR653*VLOOKUP($I653,Ref!$B$23:$E$29,4,0),1),0)</f>
        <v>0</v>
      </c>
      <c r="AT653" s="545" t="str">
        <f>IF(A653="","",IF(AP653&lt;=1,"Cleared",IF(AS653=0,"Clean",VLOOKUP($AS653,Ref!$G$23:$H$28,2))))</f>
        <v/>
      </c>
      <c r="AU653" s="546" t="str">
        <f t="shared" si="302"/>
        <v/>
      </c>
    </row>
    <row r="654" spans="1:47" ht="14.25" hidden="1" customHeight="1" x14ac:dyDescent="0.15">
      <c r="A654" s="523"/>
      <c r="B654" s="523"/>
      <c r="C654" s="523"/>
      <c r="D654" s="523"/>
      <c r="E654" s="579"/>
      <c r="F654" s="580"/>
      <c r="G654" s="524"/>
      <c r="H654" s="555"/>
      <c r="I654" s="560"/>
      <c r="J654" s="523"/>
      <c r="K654" s="528" t="str">
        <f>IFERROR(VLOOKUP($B654,'Clients-Live'!$A:$C,3,0),"")</f>
        <v/>
      </c>
      <c r="L654" s="528">
        <f>IF(E654="STL",Pricing!$D$38,IF(A654="",0,IF(A654&lt;Pricing!$C$25,Pricing!$D$25,VLOOKUP(Disbursements!$F654,Pricing!$B$29:$D$32,3))))</f>
        <v>0</v>
      </c>
      <c r="M654" s="528">
        <f>IF(E654="STL",0,IF(F654&gt;0,Pricing!$D$21,0))</f>
        <v>0</v>
      </c>
      <c r="N654" s="529">
        <f>IF(E654="STL",F654*Pricing!$D$40,IF(A654&lt;=Pricing!$C$4,0,IF(AND(A654&gt;Pricing!$C$4,Disbursements!A654&lt;=Pricing!$C$5),F654*Pricing!$E$5,IF(AND(A654&gt;Pricing!$C$5,Disbursements!A654&lt;=Pricing!$C$7),VLOOKUP(F654,Pricing!$D$7:$E$8,2)*Disbursements!F654,F654*Pricing!$E$9))))</f>
        <v>0</v>
      </c>
      <c r="O654" s="528">
        <f>IF(E654="STL",0,IF($F654&gt;0,$F654*Pricing!$D$17,0))</f>
        <v>0</v>
      </c>
      <c r="P654" s="530" t="str">
        <f t="shared" si="282"/>
        <v/>
      </c>
      <c r="Q654" s="531" t="str">
        <f>IF($A654="","",$G654/VLOOKUP($I654,Ref!$B$23:$D$29,2,0))</f>
        <v/>
      </c>
      <c r="R654" s="530" t="str">
        <f t="shared" si="283"/>
        <v/>
      </c>
      <c r="S654" s="532" t="str">
        <f t="shared" si="277"/>
        <v/>
      </c>
      <c r="T654" s="531" t="str">
        <f t="shared" si="284"/>
        <v/>
      </c>
      <c r="U654" s="533">
        <f t="shared" si="285"/>
        <v>0</v>
      </c>
      <c r="V654" s="531" t="str">
        <f t="shared" si="286"/>
        <v/>
      </c>
      <c r="W654" s="531" t="str">
        <f t="shared" si="287"/>
        <v/>
      </c>
      <c r="X654" s="534" t="str">
        <f t="shared" si="288"/>
        <v/>
      </c>
      <c r="Y654" s="535" t="str">
        <f>IF($A654="","",IF($I654="weekly",$A654+7,EDATE($A654,VLOOKUP($I654,Ref!$B$24:$C$29,2,0))))</f>
        <v/>
      </c>
      <c r="Z654" s="536" t="str">
        <f t="shared" si="289"/>
        <v/>
      </c>
      <c r="AA654" s="531">
        <f t="shared" si="290"/>
        <v>0</v>
      </c>
      <c r="AB654" s="535" t="str">
        <f t="shared" si="278"/>
        <v/>
      </c>
      <c r="AC654" s="537" t="str">
        <f t="shared" si="279"/>
        <v/>
      </c>
      <c r="AD654" s="538" t="str">
        <f t="shared" ca="1" si="280"/>
        <v/>
      </c>
      <c r="AE654" s="537">
        <f t="shared" ca="1" si="281"/>
        <v>0</v>
      </c>
      <c r="AF654" s="539" t="str">
        <f t="shared" ca="1" si="291"/>
        <v/>
      </c>
      <c r="AG654" s="531" t="str">
        <f t="shared" ca="1" si="292"/>
        <v/>
      </c>
      <c r="AH654" s="531" t="str">
        <f t="shared" ca="1" si="293"/>
        <v/>
      </c>
      <c r="AI654" s="531" t="str">
        <f t="shared" ca="1" si="294"/>
        <v/>
      </c>
      <c r="AJ654" s="531" t="str">
        <f t="shared" si="295"/>
        <v/>
      </c>
      <c r="AK654" s="540">
        <f>SUMIFS('Live Collections'!$S:$S,'Live Collections'!$D:$D,Disbursements!B654,'Live Collections'!$G:$G,Disbursements!C654)</f>
        <v>0</v>
      </c>
      <c r="AL654" s="540">
        <f>SUMIFS('Live Collections'!$T:$T,'Live Collections'!$D:$D,Disbursements!B654,'Live Collections'!$G:$G,Disbursements!C654)</f>
        <v>0</v>
      </c>
      <c r="AM654" s="541">
        <f t="shared" si="296"/>
        <v>0</v>
      </c>
      <c r="AN654" s="542" t="str">
        <f t="shared" si="297"/>
        <v/>
      </c>
      <c r="AO654" s="542" t="str">
        <f t="shared" si="298"/>
        <v/>
      </c>
      <c r="AP654" s="543" t="str">
        <f t="shared" si="299"/>
        <v/>
      </c>
      <c r="AQ654" s="544" t="str">
        <f t="shared" si="300"/>
        <v/>
      </c>
      <c r="AR654" s="545">
        <f t="shared" si="301"/>
        <v>0</v>
      </c>
      <c r="AS654" s="545">
        <f>IFERROR(CEILING($AR654*VLOOKUP($I654,Ref!$B$23:$E$29,4,0),1),0)</f>
        <v>0</v>
      </c>
      <c r="AT654" s="545" t="str">
        <f>IF(A654="","",IF(AP654&lt;=1,"Cleared",IF(AS654=0,"Clean",VLOOKUP($AS654,Ref!$G$23:$H$28,2))))</f>
        <v/>
      </c>
      <c r="AU654" s="546" t="str">
        <f t="shared" si="302"/>
        <v/>
      </c>
    </row>
    <row r="655" spans="1:47" ht="14.25" hidden="1" customHeight="1" x14ac:dyDescent="0.15">
      <c r="A655" s="523"/>
      <c r="B655" s="523"/>
      <c r="C655" s="523"/>
      <c r="D655" s="523"/>
      <c r="E655" s="579"/>
      <c r="F655" s="580"/>
      <c r="G655" s="524"/>
      <c r="H655" s="555"/>
      <c r="I655" s="560"/>
      <c r="J655" s="523"/>
      <c r="K655" s="528" t="str">
        <f>IFERROR(VLOOKUP($B655,'Clients-Live'!$A:$C,3,0),"")</f>
        <v/>
      </c>
      <c r="L655" s="528">
        <f>IF(E655="STL",Pricing!$D$38,IF(A655="",0,IF(A655&lt;Pricing!$C$25,Pricing!$D$25,VLOOKUP(Disbursements!$F655,Pricing!$B$29:$D$32,3))))</f>
        <v>0</v>
      </c>
      <c r="M655" s="528">
        <f>IF(E655="STL",0,IF(F655&gt;0,Pricing!$D$21,0))</f>
        <v>0</v>
      </c>
      <c r="N655" s="529">
        <f>IF(E655="STL",F655*Pricing!$D$40,IF(A655&lt;=Pricing!$C$4,0,IF(AND(A655&gt;Pricing!$C$4,Disbursements!A655&lt;=Pricing!$C$5),F655*Pricing!$E$5,IF(AND(A655&gt;Pricing!$C$5,Disbursements!A655&lt;=Pricing!$C$7),VLOOKUP(F655,Pricing!$D$7:$E$8,2)*Disbursements!F655,F655*Pricing!$E$9))))</f>
        <v>0</v>
      </c>
      <c r="O655" s="528">
        <f>IF(E655="STL",0,IF($F655&gt;0,$F655*Pricing!$D$17,0))</f>
        <v>0</v>
      </c>
      <c r="P655" s="530" t="str">
        <f t="shared" si="282"/>
        <v/>
      </c>
      <c r="Q655" s="531" t="str">
        <f>IF($A655="","",$G655/VLOOKUP($I655,Ref!$B$23:$D$29,2,0))</f>
        <v/>
      </c>
      <c r="R655" s="530" t="str">
        <f t="shared" si="283"/>
        <v/>
      </c>
      <c r="S655" s="532" t="str">
        <f t="shared" si="277"/>
        <v/>
      </c>
      <c r="T655" s="531" t="str">
        <f t="shared" si="284"/>
        <v/>
      </c>
      <c r="U655" s="533">
        <f t="shared" si="285"/>
        <v>0</v>
      </c>
      <c r="V655" s="531" t="str">
        <f t="shared" si="286"/>
        <v/>
      </c>
      <c r="W655" s="531" t="str">
        <f t="shared" si="287"/>
        <v/>
      </c>
      <c r="X655" s="534" t="str">
        <f t="shared" si="288"/>
        <v/>
      </c>
      <c r="Y655" s="535" t="str">
        <f>IF($A655="","",IF($I655="weekly",$A655+7,EDATE($A655,VLOOKUP($I655,Ref!$B$24:$C$29,2,0))))</f>
        <v/>
      </c>
      <c r="Z655" s="536" t="str">
        <f t="shared" si="289"/>
        <v/>
      </c>
      <c r="AA655" s="531">
        <f t="shared" si="290"/>
        <v>0</v>
      </c>
      <c r="AB655" s="535" t="str">
        <f t="shared" si="278"/>
        <v/>
      </c>
      <c r="AC655" s="537" t="str">
        <f t="shared" si="279"/>
        <v/>
      </c>
      <c r="AD655" s="538" t="str">
        <f t="shared" ca="1" si="280"/>
        <v/>
      </c>
      <c r="AE655" s="537">
        <f t="shared" ca="1" si="281"/>
        <v>0</v>
      </c>
      <c r="AF655" s="539" t="str">
        <f t="shared" ca="1" si="291"/>
        <v/>
      </c>
      <c r="AG655" s="531" t="str">
        <f t="shared" ca="1" si="292"/>
        <v/>
      </c>
      <c r="AH655" s="531" t="str">
        <f t="shared" ca="1" si="293"/>
        <v/>
      </c>
      <c r="AI655" s="531" t="str">
        <f t="shared" ca="1" si="294"/>
        <v/>
      </c>
      <c r="AJ655" s="531" t="str">
        <f t="shared" si="295"/>
        <v/>
      </c>
      <c r="AK655" s="540">
        <f>SUMIFS('Live Collections'!$S:$S,'Live Collections'!$D:$D,Disbursements!B655,'Live Collections'!$G:$G,Disbursements!C655)</f>
        <v>0</v>
      </c>
      <c r="AL655" s="540">
        <f>SUMIFS('Live Collections'!$T:$T,'Live Collections'!$D:$D,Disbursements!B655,'Live Collections'!$G:$G,Disbursements!C655)</f>
        <v>0</v>
      </c>
      <c r="AM655" s="541">
        <f t="shared" si="296"/>
        <v>0</v>
      </c>
      <c r="AN655" s="542" t="str">
        <f t="shared" si="297"/>
        <v/>
      </c>
      <c r="AO655" s="542" t="str">
        <f t="shared" si="298"/>
        <v/>
      </c>
      <c r="AP655" s="543" t="str">
        <f t="shared" si="299"/>
        <v/>
      </c>
      <c r="AQ655" s="544" t="str">
        <f t="shared" si="300"/>
        <v/>
      </c>
      <c r="AR655" s="545">
        <f t="shared" si="301"/>
        <v>0</v>
      </c>
      <c r="AS655" s="545">
        <f>IFERROR(CEILING($AR655*VLOOKUP($I655,Ref!$B$23:$E$29,4,0),1),0)</f>
        <v>0</v>
      </c>
      <c r="AT655" s="545" t="str">
        <f>IF(A655="","",IF(AP655&lt;=1,"Cleared",IF(AS655=0,"Clean",VLOOKUP($AS655,Ref!$G$23:$H$28,2))))</f>
        <v/>
      </c>
      <c r="AU655" s="546" t="str">
        <f t="shared" si="302"/>
        <v/>
      </c>
    </row>
    <row r="656" spans="1:47" ht="14.25" hidden="1" customHeight="1" x14ac:dyDescent="0.15">
      <c r="A656" s="523"/>
      <c r="B656" s="523"/>
      <c r="C656" s="523"/>
      <c r="D656" s="523"/>
      <c r="E656" s="579"/>
      <c r="F656" s="580"/>
      <c r="G656" s="524"/>
      <c r="H656" s="555"/>
      <c r="I656" s="560"/>
      <c r="J656" s="523"/>
      <c r="K656" s="528" t="str">
        <f>IFERROR(VLOOKUP($B656,'Clients-Live'!$A:$C,3,0),"")</f>
        <v/>
      </c>
      <c r="L656" s="528">
        <f>IF(E656="STL",Pricing!$D$38,IF(A656="",0,IF(A656&lt;Pricing!$C$25,Pricing!$D$25,VLOOKUP(Disbursements!$F656,Pricing!$B$29:$D$32,3))))</f>
        <v>0</v>
      </c>
      <c r="M656" s="528">
        <f>IF(E656="STL",0,IF(F656&gt;0,Pricing!$D$21,0))</f>
        <v>0</v>
      </c>
      <c r="N656" s="529">
        <f>IF(E656="STL",F656*Pricing!$D$40,IF(A656&lt;=Pricing!$C$4,0,IF(AND(A656&gt;Pricing!$C$4,Disbursements!A656&lt;=Pricing!$C$5),F656*Pricing!$E$5,IF(AND(A656&gt;Pricing!$C$5,Disbursements!A656&lt;=Pricing!$C$7),VLOOKUP(F656,Pricing!$D$7:$E$8,2)*Disbursements!F656,F656*Pricing!$E$9))))</f>
        <v>0</v>
      </c>
      <c r="O656" s="528">
        <f>IF(E656="STL",0,IF($F656&gt;0,$F656*Pricing!$D$17,0))</f>
        <v>0</v>
      </c>
      <c r="P656" s="530" t="str">
        <f t="shared" si="282"/>
        <v/>
      </c>
      <c r="Q656" s="531" t="str">
        <f>IF($A656="","",$G656/VLOOKUP($I656,Ref!$B$23:$D$29,2,0))</f>
        <v/>
      </c>
      <c r="R656" s="530" t="str">
        <f t="shared" si="283"/>
        <v/>
      </c>
      <c r="S656" s="532" t="str">
        <f t="shared" si="277"/>
        <v/>
      </c>
      <c r="T656" s="531" t="str">
        <f t="shared" si="284"/>
        <v/>
      </c>
      <c r="U656" s="533">
        <f t="shared" si="285"/>
        <v>0</v>
      </c>
      <c r="V656" s="531" t="str">
        <f t="shared" si="286"/>
        <v/>
      </c>
      <c r="W656" s="531" t="str">
        <f t="shared" si="287"/>
        <v/>
      </c>
      <c r="X656" s="534" t="str">
        <f t="shared" si="288"/>
        <v/>
      </c>
      <c r="Y656" s="535" t="str">
        <f>IF($A656="","",IF($I656="weekly",$A656+7,EDATE($A656,VLOOKUP($I656,Ref!$B$24:$C$29,2,0))))</f>
        <v/>
      </c>
      <c r="Z656" s="536" t="str">
        <f t="shared" si="289"/>
        <v/>
      </c>
      <c r="AA656" s="531">
        <f t="shared" si="290"/>
        <v>0</v>
      </c>
      <c r="AB656" s="535" t="str">
        <f t="shared" si="278"/>
        <v/>
      </c>
      <c r="AC656" s="537" t="str">
        <f t="shared" si="279"/>
        <v/>
      </c>
      <c r="AD656" s="538" t="str">
        <f t="shared" ca="1" si="280"/>
        <v/>
      </c>
      <c r="AE656" s="537">
        <f t="shared" ca="1" si="281"/>
        <v>0</v>
      </c>
      <c r="AF656" s="539" t="str">
        <f t="shared" ca="1" si="291"/>
        <v/>
      </c>
      <c r="AG656" s="531" t="str">
        <f t="shared" ca="1" si="292"/>
        <v/>
      </c>
      <c r="AH656" s="531" t="str">
        <f t="shared" ca="1" si="293"/>
        <v/>
      </c>
      <c r="AI656" s="531" t="str">
        <f t="shared" ca="1" si="294"/>
        <v/>
      </c>
      <c r="AJ656" s="531" t="str">
        <f t="shared" si="295"/>
        <v/>
      </c>
      <c r="AK656" s="540">
        <f>SUMIFS('Live Collections'!$S:$S,'Live Collections'!$D:$D,Disbursements!B656,'Live Collections'!$G:$G,Disbursements!C656)</f>
        <v>0</v>
      </c>
      <c r="AL656" s="540">
        <f>SUMIFS('Live Collections'!$T:$T,'Live Collections'!$D:$D,Disbursements!B656,'Live Collections'!$G:$G,Disbursements!C656)</f>
        <v>0</v>
      </c>
      <c r="AM656" s="541">
        <f t="shared" si="296"/>
        <v>0</v>
      </c>
      <c r="AN656" s="542" t="str">
        <f t="shared" si="297"/>
        <v/>
      </c>
      <c r="AO656" s="542" t="str">
        <f t="shared" si="298"/>
        <v/>
      </c>
      <c r="AP656" s="543" t="str">
        <f t="shared" si="299"/>
        <v/>
      </c>
      <c r="AQ656" s="544" t="str">
        <f t="shared" si="300"/>
        <v/>
      </c>
      <c r="AR656" s="545">
        <f t="shared" si="301"/>
        <v>0</v>
      </c>
      <c r="AS656" s="545">
        <f>IFERROR(CEILING($AR656*VLOOKUP($I656,Ref!$B$23:$E$29,4,0),1),0)</f>
        <v>0</v>
      </c>
      <c r="AT656" s="545" t="str">
        <f>IF(A656="","",IF(AP656&lt;=1,"Cleared",IF(AS656=0,"Clean",VLOOKUP($AS656,Ref!$G$23:$H$28,2))))</f>
        <v/>
      </c>
      <c r="AU656" s="546" t="str">
        <f t="shared" si="302"/>
        <v/>
      </c>
    </row>
    <row r="657" spans="1:47" ht="14.25" hidden="1" customHeight="1" x14ac:dyDescent="0.15">
      <c r="A657" s="523"/>
      <c r="B657" s="523"/>
      <c r="C657" s="523"/>
      <c r="D657" s="523"/>
      <c r="E657" s="579"/>
      <c r="F657" s="580"/>
      <c r="G657" s="524"/>
      <c r="H657" s="555"/>
      <c r="I657" s="560"/>
      <c r="J657" s="523"/>
      <c r="K657" s="528" t="str">
        <f>IFERROR(VLOOKUP($B657,'Clients-Live'!$A:$C,3,0),"")</f>
        <v/>
      </c>
      <c r="L657" s="528">
        <f>IF(E657="STL",Pricing!$D$38,IF(A657="",0,IF(A657&lt;Pricing!$C$25,Pricing!$D$25,VLOOKUP(Disbursements!$F657,Pricing!$B$29:$D$32,3))))</f>
        <v>0</v>
      </c>
      <c r="M657" s="528">
        <f>IF(E657="STL",0,IF(F657&gt;0,Pricing!$D$21,0))</f>
        <v>0</v>
      </c>
      <c r="N657" s="529">
        <f>IF(E657="STL",F657*Pricing!$D$40,IF(A657&lt;=Pricing!$C$4,0,IF(AND(A657&gt;Pricing!$C$4,Disbursements!A657&lt;=Pricing!$C$5),F657*Pricing!$E$5,IF(AND(A657&gt;Pricing!$C$5,Disbursements!A657&lt;=Pricing!$C$7),VLOOKUP(F657,Pricing!$D$7:$E$8,2)*Disbursements!F657,F657*Pricing!$E$9))))</f>
        <v>0</v>
      </c>
      <c r="O657" s="528">
        <f>IF(E657="STL",0,IF($F657&gt;0,$F657*Pricing!$D$17,0))</f>
        <v>0</v>
      </c>
      <c r="P657" s="530" t="str">
        <f t="shared" si="282"/>
        <v/>
      </c>
      <c r="Q657" s="531" t="str">
        <f>IF($A657="","",$G657/VLOOKUP($I657,Ref!$B$23:$D$29,2,0))</f>
        <v/>
      </c>
      <c r="R657" s="530" t="str">
        <f t="shared" si="283"/>
        <v/>
      </c>
      <c r="S657" s="532" t="str">
        <f t="shared" si="277"/>
        <v/>
      </c>
      <c r="T657" s="531" t="str">
        <f t="shared" si="284"/>
        <v/>
      </c>
      <c r="U657" s="533">
        <f t="shared" si="285"/>
        <v>0</v>
      </c>
      <c r="V657" s="531" t="str">
        <f t="shared" si="286"/>
        <v/>
      </c>
      <c r="W657" s="531" t="str">
        <f t="shared" si="287"/>
        <v/>
      </c>
      <c r="X657" s="534" t="str">
        <f t="shared" si="288"/>
        <v/>
      </c>
      <c r="Y657" s="535" t="str">
        <f>IF($A657="","",IF($I657="weekly",$A657+7,EDATE($A657,VLOOKUP($I657,Ref!$B$24:$C$29,2,0))))</f>
        <v/>
      </c>
      <c r="Z657" s="536" t="str">
        <f t="shared" si="289"/>
        <v/>
      </c>
      <c r="AA657" s="531">
        <f t="shared" si="290"/>
        <v>0</v>
      </c>
      <c r="AB657" s="535" t="str">
        <f t="shared" si="278"/>
        <v/>
      </c>
      <c r="AC657" s="537" t="str">
        <f t="shared" si="279"/>
        <v/>
      </c>
      <c r="AD657" s="538" t="str">
        <f t="shared" ca="1" si="280"/>
        <v/>
      </c>
      <c r="AE657" s="537">
        <f t="shared" ca="1" si="281"/>
        <v>0</v>
      </c>
      <c r="AF657" s="539" t="str">
        <f t="shared" ca="1" si="291"/>
        <v/>
      </c>
      <c r="AG657" s="531" t="str">
        <f t="shared" ca="1" si="292"/>
        <v/>
      </c>
      <c r="AH657" s="531" t="str">
        <f t="shared" ca="1" si="293"/>
        <v/>
      </c>
      <c r="AI657" s="531" t="str">
        <f t="shared" ca="1" si="294"/>
        <v/>
      </c>
      <c r="AJ657" s="531" t="str">
        <f t="shared" si="295"/>
        <v/>
      </c>
      <c r="AK657" s="540">
        <f>SUMIFS('Live Collections'!$S:$S,'Live Collections'!$D:$D,Disbursements!B657,'Live Collections'!$G:$G,Disbursements!C657)</f>
        <v>0</v>
      </c>
      <c r="AL657" s="540">
        <f>SUMIFS('Live Collections'!$T:$T,'Live Collections'!$D:$D,Disbursements!B657,'Live Collections'!$G:$G,Disbursements!C657)</f>
        <v>0</v>
      </c>
      <c r="AM657" s="541">
        <f t="shared" si="296"/>
        <v>0</v>
      </c>
      <c r="AN657" s="542" t="str">
        <f t="shared" si="297"/>
        <v/>
      </c>
      <c r="AO657" s="542" t="str">
        <f t="shared" si="298"/>
        <v/>
      </c>
      <c r="AP657" s="543" t="str">
        <f t="shared" si="299"/>
        <v/>
      </c>
      <c r="AQ657" s="544" t="str">
        <f t="shared" si="300"/>
        <v/>
      </c>
      <c r="AR657" s="545">
        <f t="shared" si="301"/>
        <v>0</v>
      </c>
      <c r="AS657" s="545">
        <f>IFERROR(CEILING($AR657*VLOOKUP($I657,Ref!$B$23:$E$29,4,0),1),0)</f>
        <v>0</v>
      </c>
      <c r="AT657" s="545" t="str">
        <f>IF(A657="","",IF(AP657&lt;=1,"Cleared",IF(AS657=0,"Clean",VLOOKUP($AS657,Ref!$G$23:$H$28,2))))</f>
        <v/>
      </c>
      <c r="AU657" s="546" t="str">
        <f t="shared" si="302"/>
        <v/>
      </c>
    </row>
    <row r="658" spans="1:47" ht="14.25" hidden="1" customHeight="1" x14ac:dyDescent="0.15">
      <c r="A658" s="523"/>
      <c r="B658" s="523"/>
      <c r="C658" s="523"/>
      <c r="D658" s="523"/>
      <c r="E658" s="579"/>
      <c r="F658" s="580"/>
      <c r="G658" s="524"/>
      <c r="H658" s="555"/>
      <c r="I658" s="560"/>
      <c r="J658" s="523"/>
      <c r="K658" s="528" t="str">
        <f>IFERROR(VLOOKUP($B658,'Clients-Live'!$A:$C,3,0),"")</f>
        <v/>
      </c>
      <c r="L658" s="528">
        <f>IF(E658="STL",Pricing!$D$38,IF(A658="",0,IF(A658&lt;Pricing!$C$25,Pricing!$D$25,VLOOKUP(Disbursements!$F658,Pricing!$B$29:$D$32,3))))</f>
        <v>0</v>
      </c>
      <c r="M658" s="528">
        <f>IF(E658="STL",0,IF(F658&gt;0,Pricing!$D$21,0))</f>
        <v>0</v>
      </c>
      <c r="N658" s="529">
        <f>IF(E658="STL",F658*Pricing!$D$40,IF(A658&lt;=Pricing!$C$4,0,IF(AND(A658&gt;Pricing!$C$4,Disbursements!A658&lt;=Pricing!$C$5),F658*Pricing!$E$5,IF(AND(A658&gt;Pricing!$C$5,Disbursements!A658&lt;=Pricing!$C$7),VLOOKUP(F658,Pricing!$D$7:$E$8,2)*Disbursements!F658,F658*Pricing!$E$9))))</f>
        <v>0</v>
      </c>
      <c r="O658" s="528">
        <f>IF(E658="STL",0,IF($F658&gt;0,$F658*Pricing!$D$17,0))</f>
        <v>0</v>
      </c>
      <c r="P658" s="530" t="str">
        <f t="shared" si="282"/>
        <v/>
      </c>
      <c r="Q658" s="531" t="str">
        <f>IF($A658="","",$G658/VLOOKUP($I658,Ref!$B$23:$D$29,2,0))</f>
        <v/>
      </c>
      <c r="R658" s="530" t="str">
        <f t="shared" si="283"/>
        <v/>
      </c>
      <c r="S658" s="532" t="str">
        <f t="shared" si="277"/>
        <v/>
      </c>
      <c r="T658" s="531" t="str">
        <f t="shared" si="284"/>
        <v/>
      </c>
      <c r="U658" s="533">
        <f t="shared" si="285"/>
        <v>0</v>
      </c>
      <c r="V658" s="531" t="str">
        <f t="shared" si="286"/>
        <v/>
      </c>
      <c r="W658" s="531" t="str">
        <f t="shared" si="287"/>
        <v/>
      </c>
      <c r="X658" s="534" t="str">
        <f t="shared" si="288"/>
        <v/>
      </c>
      <c r="Y658" s="535" t="str">
        <f>IF($A658="","",IF($I658="weekly",$A658+7,EDATE($A658,VLOOKUP($I658,Ref!$B$24:$C$29,2,0))))</f>
        <v/>
      </c>
      <c r="Z658" s="536" t="str">
        <f t="shared" si="289"/>
        <v/>
      </c>
      <c r="AA658" s="531">
        <f t="shared" si="290"/>
        <v>0</v>
      </c>
      <c r="AB658" s="535" t="str">
        <f t="shared" si="278"/>
        <v/>
      </c>
      <c r="AC658" s="537" t="str">
        <f t="shared" si="279"/>
        <v/>
      </c>
      <c r="AD658" s="538" t="str">
        <f t="shared" ca="1" si="280"/>
        <v/>
      </c>
      <c r="AE658" s="537">
        <f t="shared" ca="1" si="281"/>
        <v>0</v>
      </c>
      <c r="AF658" s="539" t="str">
        <f t="shared" ca="1" si="291"/>
        <v/>
      </c>
      <c r="AG658" s="531" t="str">
        <f t="shared" ca="1" si="292"/>
        <v/>
      </c>
      <c r="AH658" s="531" t="str">
        <f t="shared" ca="1" si="293"/>
        <v/>
      </c>
      <c r="AI658" s="531" t="str">
        <f t="shared" ca="1" si="294"/>
        <v/>
      </c>
      <c r="AJ658" s="531" t="str">
        <f t="shared" si="295"/>
        <v/>
      </c>
      <c r="AK658" s="540">
        <f>SUMIFS('Live Collections'!$S:$S,'Live Collections'!$D:$D,Disbursements!B658,'Live Collections'!$G:$G,Disbursements!C658)</f>
        <v>0</v>
      </c>
      <c r="AL658" s="540">
        <f>SUMIFS('Live Collections'!$T:$T,'Live Collections'!$D:$D,Disbursements!B658,'Live Collections'!$G:$G,Disbursements!C658)</f>
        <v>0</v>
      </c>
      <c r="AM658" s="541">
        <f t="shared" si="296"/>
        <v>0</v>
      </c>
      <c r="AN658" s="542" t="str">
        <f t="shared" si="297"/>
        <v/>
      </c>
      <c r="AO658" s="542" t="str">
        <f t="shared" si="298"/>
        <v/>
      </c>
      <c r="AP658" s="543" t="str">
        <f t="shared" si="299"/>
        <v/>
      </c>
      <c r="AQ658" s="544" t="str">
        <f t="shared" si="300"/>
        <v/>
      </c>
      <c r="AR658" s="545">
        <f t="shared" si="301"/>
        <v>0</v>
      </c>
      <c r="AS658" s="545">
        <f>IFERROR(CEILING($AR658*VLOOKUP($I658,Ref!$B$23:$E$29,4,0),1),0)</f>
        <v>0</v>
      </c>
      <c r="AT658" s="545" t="str">
        <f>IF(A658="","",IF(AP658&lt;=1,"Cleared",IF(AS658=0,"Clean",VLOOKUP($AS658,Ref!$G$23:$H$28,2))))</f>
        <v/>
      </c>
      <c r="AU658" s="546" t="str">
        <f t="shared" si="302"/>
        <v/>
      </c>
    </row>
    <row r="659" spans="1:47" ht="14.25" hidden="1" customHeight="1" x14ac:dyDescent="0.15">
      <c r="A659" s="523"/>
      <c r="B659" s="523"/>
      <c r="C659" s="523"/>
      <c r="D659" s="523"/>
      <c r="E659" s="579"/>
      <c r="F659" s="580"/>
      <c r="G659" s="524"/>
      <c r="H659" s="555"/>
      <c r="I659" s="560"/>
      <c r="J659" s="523"/>
      <c r="K659" s="528" t="str">
        <f>IFERROR(VLOOKUP($B659,'Clients-Live'!$A:$C,3,0),"")</f>
        <v/>
      </c>
      <c r="L659" s="528">
        <f>IF(E659="STL",Pricing!$D$38,IF(A659="",0,IF(A659&lt;Pricing!$C$25,Pricing!$D$25,VLOOKUP(Disbursements!$F659,Pricing!$B$29:$D$32,3))))</f>
        <v>0</v>
      </c>
      <c r="M659" s="528">
        <f>IF(E659="STL",0,IF(F659&gt;0,Pricing!$D$21,0))</f>
        <v>0</v>
      </c>
      <c r="N659" s="529">
        <f>IF(E659="STL",F659*Pricing!$D$40,IF(A659&lt;=Pricing!$C$4,0,IF(AND(A659&gt;Pricing!$C$4,Disbursements!A659&lt;=Pricing!$C$5),F659*Pricing!$E$5,IF(AND(A659&gt;Pricing!$C$5,Disbursements!A659&lt;=Pricing!$C$7),VLOOKUP(F659,Pricing!$D$7:$E$8,2)*Disbursements!F659,F659*Pricing!$E$9))))</f>
        <v>0</v>
      </c>
      <c r="O659" s="528">
        <f>IF(E659="STL",0,IF($F659&gt;0,$F659*Pricing!$D$17,0))</f>
        <v>0</v>
      </c>
      <c r="P659" s="530" t="str">
        <f t="shared" si="282"/>
        <v/>
      </c>
      <c r="Q659" s="531" t="str">
        <f>IF($A659="","",$G659/VLOOKUP($I659,Ref!$B$23:$D$29,2,0))</f>
        <v/>
      </c>
      <c r="R659" s="530" t="str">
        <f t="shared" si="283"/>
        <v/>
      </c>
      <c r="S659" s="532" t="str">
        <f t="shared" si="277"/>
        <v/>
      </c>
      <c r="T659" s="531" t="str">
        <f t="shared" si="284"/>
        <v/>
      </c>
      <c r="U659" s="533">
        <f t="shared" si="285"/>
        <v>0</v>
      </c>
      <c r="V659" s="531" t="str">
        <f t="shared" si="286"/>
        <v/>
      </c>
      <c r="W659" s="531" t="str">
        <f t="shared" si="287"/>
        <v/>
      </c>
      <c r="X659" s="534" t="str">
        <f t="shared" si="288"/>
        <v/>
      </c>
      <c r="Y659" s="535" t="str">
        <f>IF($A659="","",IF($I659="weekly",$A659+7,EDATE($A659,VLOOKUP($I659,Ref!$B$24:$C$29,2,0))))</f>
        <v/>
      </c>
      <c r="Z659" s="536" t="str">
        <f t="shared" si="289"/>
        <v/>
      </c>
      <c r="AA659" s="531">
        <f t="shared" si="290"/>
        <v>0</v>
      </c>
      <c r="AB659" s="535" t="str">
        <f t="shared" si="278"/>
        <v/>
      </c>
      <c r="AC659" s="537" t="str">
        <f t="shared" si="279"/>
        <v/>
      </c>
      <c r="AD659" s="538" t="str">
        <f t="shared" ca="1" si="280"/>
        <v/>
      </c>
      <c r="AE659" s="537">
        <f t="shared" ca="1" si="281"/>
        <v>0</v>
      </c>
      <c r="AF659" s="539" t="str">
        <f t="shared" ca="1" si="291"/>
        <v/>
      </c>
      <c r="AG659" s="531" t="str">
        <f t="shared" ca="1" si="292"/>
        <v/>
      </c>
      <c r="AH659" s="531" t="str">
        <f t="shared" ca="1" si="293"/>
        <v/>
      </c>
      <c r="AI659" s="531" t="str">
        <f t="shared" ca="1" si="294"/>
        <v/>
      </c>
      <c r="AJ659" s="531" t="str">
        <f t="shared" si="295"/>
        <v/>
      </c>
      <c r="AK659" s="540">
        <f>SUMIFS('Live Collections'!$S:$S,'Live Collections'!$D:$D,Disbursements!B659,'Live Collections'!$G:$G,Disbursements!C659)</f>
        <v>0</v>
      </c>
      <c r="AL659" s="540">
        <f>SUMIFS('Live Collections'!$T:$T,'Live Collections'!$D:$D,Disbursements!B659,'Live Collections'!$G:$G,Disbursements!C659)</f>
        <v>0</v>
      </c>
      <c r="AM659" s="541">
        <f t="shared" si="296"/>
        <v>0</v>
      </c>
      <c r="AN659" s="542" t="str">
        <f t="shared" si="297"/>
        <v/>
      </c>
      <c r="AO659" s="542" t="str">
        <f t="shared" si="298"/>
        <v/>
      </c>
      <c r="AP659" s="543" t="str">
        <f t="shared" si="299"/>
        <v/>
      </c>
      <c r="AQ659" s="544" t="str">
        <f t="shared" si="300"/>
        <v/>
      </c>
      <c r="AR659" s="545">
        <f t="shared" si="301"/>
        <v>0</v>
      </c>
      <c r="AS659" s="545">
        <f>IFERROR(CEILING($AR659*VLOOKUP($I659,Ref!$B$23:$E$29,4,0),1),0)</f>
        <v>0</v>
      </c>
      <c r="AT659" s="545" t="str">
        <f>IF(A659="","",IF(AP659&lt;=1,"Cleared",IF(AS659=0,"Clean",VLOOKUP($AS659,Ref!$G$23:$H$28,2))))</f>
        <v/>
      </c>
      <c r="AU659" s="546" t="str">
        <f t="shared" si="302"/>
        <v/>
      </c>
    </row>
    <row r="660" spans="1:47" ht="14.25" hidden="1" customHeight="1" x14ac:dyDescent="0.15">
      <c r="A660" s="523"/>
      <c r="B660" s="523"/>
      <c r="C660" s="523"/>
      <c r="D660" s="523"/>
      <c r="E660" s="579"/>
      <c r="F660" s="580"/>
      <c r="G660" s="524"/>
      <c r="H660" s="555"/>
      <c r="I660" s="560"/>
      <c r="J660" s="523"/>
      <c r="K660" s="528" t="str">
        <f>IFERROR(VLOOKUP($B660,'Clients-Live'!$A:$C,3,0),"")</f>
        <v/>
      </c>
      <c r="L660" s="528">
        <f>IF(E660="STL",Pricing!$D$38,IF(A660="",0,IF(A660&lt;Pricing!$C$25,Pricing!$D$25,VLOOKUP(Disbursements!$F660,Pricing!$B$29:$D$32,3))))</f>
        <v>0</v>
      </c>
      <c r="M660" s="528">
        <f>IF(E660="STL",0,IF(F660&gt;0,Pricing!$D$21,0))</f>
        <v>0</v>
      </c>
      <c r="N660" s="529">
        <f>IF(E660="STL",F660*Pricing!$D$40,IF(A660&lt;=Pricing!$C$4,0,IF(AND(A660&gt;Pricing!$C$4,Disbursements!A660&lt;=Pricing!$C$5),F660*Pricing!$E$5,IF(AND(A660&gt;Pricing!$C$5,Disbursements!A660&lt;=Pricing!$C$7),VLOOKUP(F660,Pricing!$D$7:$E$8,2)*Disbursements!F660,F660*Pricing!$E$9))))</f>
        <v>0</v>
      </c>
      <c r="O660" s="528">
        <f>IF(E660="STL",0,IF($F660&gt;0,$F660*Pricing!$D$17,0))</f>
        <v>0</v>
      </c>
      <c r="P660" s="530" t="str">
        <f t="shared" si="282"/>
        <v/>
      </c>
      <c r="Q660" s="531" t="str">
        <f>IF($A660="","",$G660/VLOOKUP($I660,Ref!$B$23:$D$29,2,0))</f>
        <v/>
      </c>
      <c r="R660" s="530" t="str">
        <f t="shared" si="283"/>
        <v/>
      </c>
      <c r="S660" s="532" t="str">
        <f t="shared" si="277"/>
        <v/>
      </c>
      <c r="T660" s="531" t="str">
        <f t="shared" si="284"/>
        <v/>
      </c>
      <c r="U660" s="533">
        <f t="shared" si="285"/>
        <v>0</v>
      </c>
      <c r="V660" s="531" t="str">
        <f t="shared" si="286"/>
        <v/>
      </c>
      <c r="W660" s="531" t="str">
        <f t="shared" si="287"/>
        <v/>
      </c>
      <c r="X660" s="534" t="str">
        <f t="shared" si="288"/>
        <v/>
      </c>
      <c r="Y660" s="535" t="str">
        <f>IF($A660="","",IF($I660="weekly",$A660+7,EDATE($A660,VLOOKUP($I660,Ref!$B$24:$C$29,2,0))))</f>
        <v/>
      </c>
      <c r="Z660" s="536" t="str">
        <f t="shared" si="289"/>
        <v/>
      </c>
      <c r="AA660" s="531">
        <f t="shared" si="290"/>
        <v>0</v>
      </c>
      <c r="AB660" s="535" t="str">
        <f t="shared" si="278"/>
        <v/>
      </c>
      <c r="AC660" s="537" t="str">
        <f t="shared" si="279"/>
        <v/>
      </c>
      <c r="AD660" s="538" t="str">
        <f t="shared" ca="1" si="280"/>
        <v/>
      </c>
      <c r="AE660" s="537">
        <f t="shared" ca="1" si="281"/>
        <v>0</v>
      </c>
      <c r="AF660" s="539" t="str">
        <f t="shared" ca="1" si="291"/>
        <v/>
      </c>
      <c r="AG660" s="531" t="str">
        <f t="shared" ca="1" si="292"/>
        <v/>
      </c>
      <c r="AH660" s="531" t="str">
        <f t="shared" ca="1" si="293"/>
        <v/>
      </c>
      <c r="AI660" s="531" t="str">
        <f t="shared" ca="1" si="294"/>
        <v/>
      </c>
      <c r="AJ660" s="531" t="str">
        <f t="shared" si="295"/>
        <v/>
      </c>
      <c r="AK660" s="540">
        <f>SUMIFS('Live Collections'!$S:$S,'Live Collections'!$D:$D,Disbursements!B660,'Live Collections'!$G:$G,Disbursements!C660)</f>
        <v>0</v>
      </c>
      <c r="AL660" s="540">
        <f>SUMIFS('Live Collections'!$T:$T,'Live Collections'!$D:$D,Disbursements!B660,'Live Collections'!$G:$G,Disbursements!C660)</f>
        <v>0</v>
      </c>
      <c r="AM660" s="541">
        <f t="shared" si="296"/>
        <v>0</v>
      </c>
      <c r="AN660" s="542" t="str">
        <f t="shared" si="297"/>
        <v/>
      </c>
      <c r="AO660" s="542" t="str">
        <f t="shared" si="298"/>
        <v/>
      </c>
      <c r="AP660" s="543" t="str">
        <f t="shared" si="299"/>
        <v/>
      </c>
      <c r="AQ660" s="544" t="str">
        <f t="shared" si="300"/>
        <v/>
      </c>
      <c r="AR660" s="545">
        <f t="shared" si="301"/>
        <v>0</v>
      </c>
      <c r="AS660" s="545">
        <f>IFERROR(CEILING($AR660*VLOOKUP($I660,Ref!$B$23:$E$29,4,0),1),0)</f>
        <v>0</v>
      </c>
      <c r="AT660" s="545" t="str">
        <f>IF(A660="","",IF(AP660&lt;=1,"Cleared",IF(AS660=0,"Clean",VLOOKUP($AS660,Ref!$G$23:$H$28,2))))</f>
        <v/>
      </c>
      <c r="AU660" s="546" t="str">
        <f t="shared" si="302"/>
        <v/>
      </c>
    </row>
    <row r="661" spans="1:47" ht="14.25" hidden="1" customHeight="1" x14ac:dyDescent="0.15">
      <c r="A661" s="523"/>
      <c r="B661" s="523"/>
      <c r="C661" s="523"/>
      <c r="D661" s="523"/>
      <c r="E661" s="579"/>
      <c r="F661" s="580"/>
      <c r="G661" s="524"/>
      <c r="H661" s="555"/>
      <c r="I661" s="560"/>
      <c r="J661" s="523"/>
      <c r="K661" s="528" t="str">
        <f>IFERROR(VLOOKUP($B661,'Clients-Live'!$A:$C,3,0),"")</f>
        <v/>
      </c>
      <c r="L661" s="528">
        <f>IF(E661="STL",Pricing!$D$38,IF(A661="",0,IF(A661&lt;Pricing!$C$25,Pricing!$D$25,VLOOKUP(Disbursements!$F661,Pricing!$B$29:$D$32,3))))</f>
        <v>0</v>
      </c>
      <c r="M661" s="528">
        <f>IF(E661="STL",0,IF(F661&gt;0,Pricing!$D$21,0))</f>
        <v>0</v>
      </c>
      <c r="N661" s="529">
        <f>IF(E661="STL",F661*Pricing!$D$40,IF(A661&lt;=Pricing!$C$4,0,IF(AND(A661&gt;Pricing!$C$4,Disbursements!A661&lt;=Pricing!$C$5),F661*Pricing!$E$5,IF(AND(A661&gt;Pricing!$C$5,Disbursements!A661&lt;=Pricing!$C$7),VLOOKUP(F661,Pricing!$D$7:$E$8,2)*Disbursements!F661,F661*Pricing!$E$9))))</f>
        <v>0</v>
      </c>
      <c r="O661" s="528">
        <f>IF(E661="STL",0,IF($F661&gt;0,$F661*Pricing!$D$17,0))</f>
        <v>0</v>
      </c>
      <c r="P661" s="530" t="str">
        <f t="shared" si="282"/>
        <v/>
      </c>
      <c r="Q661" s="531" t="str">
        <f>IF($A661="","",$G661/VLOOKUP($I661,Ref!$B$23:$D$29,2,0))</f>
        <v/>
      </c>
      <c r="R661" s="530" t="str">
        <f t="shared" si="283"/>
        <v/>
      </c>
      <c r="S661" s="532" t="str">
        <f t="shared" si="277"/>
        <v/>
      </c>
      <c r="T661" s="531" t="str">
        <f t="shared" si="284"/>
        <v/>
      </c>
      <c r="U661" s="533">
        <f t="shared" si="285"/>
        <v>0</v>
      </c>
      <c r="V661" s="531" t="str">
        <f t="shared" si="286"/>
        <v/>
      </c>
      <c r="W661" s="531" t="str">
        <f t="shared" si="287"/>
        <v/>
      </c>
      <c r="X661" s="534" t="str">
        <f t="shared" si="288"/>
        <v/>
      </c>
      <c r="Y661" s="535" t="str">
        <f>IF($A661="","",IF($I661="weekly",$A661+7,EDATE($A661,VLOOKUP($I661,Ref!$B$24:$C$29,2,0))))</f>
        <v/>
      </c>
      <c r="Z661" s="536" t="str">
        <f t="shared" si="289"/>
        <v/>
      </c>
      <c r="AA661" s="531">
        <f t="shared" si="290"/>
        <v>0</v>
      </c>
      <c r="AB661" s="535" t="str">
        <f t="shared" si="278"/>
        <v/>
      </c>
      <c r="AC661" s="537" t="str">
        <f t="shared" si="279"/>
        <v/>
      </c>
      <c r="AD661" s="538" t="str">
        <f t="shared" ca="1" si="280"/>
        <v/>
      </c>
      <c r="AE661" s="537">
        <f t="shared" ca="1" si="281"/>
        <v>0</v>
      </c>
      <c r="AF661" s="539" t="str">
        <f t="shared" ca="1" si="291"/>
        <v/>
      </c>
      <c r="AG661" s="531" t="str">
        <f t="shared" ca="1" si="292"/>
        <v/>
      </c>
      <c r="AH661" s="531" t="str">
        <f t="shared" ca="1" si="293"/>
        <v/>
      </c>
      <c r="AI661" s="531" t="str">
        <f t="shared" ca="1" si="294"/>
        <v/>
      </c>
      <c r="AJ661" s="531" t="str">
        <f t="shared" si="295"/>
        <v/>
      </c>
      <c r="AK661" s="540">
        <f>SUMIFS('Live Collections'!$S:$S,'Live Collections'!$D:$D,Disbursements!B661,'Live Collections'!$G:$G,Disbursements!C661)</f>
        <v>0</v>
      </c>
      <c r="AL661" s="540">
        <f>SUMIFS('Live Collections'!$T:$T,'Live Collections'!$D:$D,Disbursements!B661,'Live Collections'!$G:$G,Disbursements!C661)</f>
        <v>0</v>
      </c>
      <c r="AM661" s="541">
        <f t="shared" si="296"/>
        <v>0</v>
      </c>
      <c r="AN661" s="542" t="str">
        <f t="shared" si="297"/>
        <v/>
      </c>
      <c r="AO661" s="542" t="str">
        <f t="shared" si="298"/>
        <v/>
      </c>
      <c r="AP661" s="543" t="str">
        <f t="shared" si="299"/>
        <v/>
      </c>
      <c r="AQ661" s="544" t="str">
        <f t="shared" si="300"/>
        <v/>
      </c>
      <c r="AR661" s="545">
        <f t="shared" si="301"/>
        <v>0</v>
      </c>
      <c r="AS661" s="545">
        <f>IFERROR(CEILING($AR661*VLOOKUP($I661,Ref!$B$23:$E$29,4,0),1),0)</f>
        <v>0</v>
      </c>
      <c r="AT661" s="545" t="str">
        <f>IF(A661="","",IF(AP661&lt;=1,"Cleared",IF(AS661=0,"Clean",VLOOKUP($AS661,Ref!$G$23:$H$28,2))))</f>
        <v/>
      </c>
      <c r="AU661" s="546" t="str">
        <f t="shared" si="302"/>
        <v/>
      </c>
    </row>
    <row r="662" spans="1:47" ht="14.25" hidden="1" customHeight="1" x14ac:dyDescent="0.15">
      <c r="A662" s="523"/>
      <c r="B662" s="523"/>
      <c r="C662" s="523"/>
      <c r="D662" s="523"/>
      <c r="E662" s="579"/>
      <c r="F662" s="580"/>
      <c r="G662" s="524"/>
      <c r="H662" s="555"/>
      <c r="I662" s="560"/>
      <c r="J662" s="523"/>
      <c r="K662" s="528" t="str">
        <f>IFERROR(VLOOKUP($B662,'Clients-Live'!$A:$C,3,0),"")</f>
        <v/>
      </c>
      <c r="L662" s="528">
        <f>IF(E662="STL",Pricing!$D$38,IF(A662="",0,IF(A662&lt;Pricing!$C$25,Pricing!$D$25,VLOOKUP(Disbursements!$F662,Pricing!$B$29:$D$32,3))))</f>
        <v>0</v>
      </c>
      <c r="M662" s="528">
        <f>IF(E662="STL",0,IF(F662&gt;0,Pricing!$D$21,0))</f>
        <v>0</v>
      </c>
      <c r="N662" s="529">
        <f>IF(E662="STL",F662*Pricing!$D$40,IF(A662&lt;=Pricing!$C$4,0,IF(AND(A662&gt;Pricing!$C$4,Disbursements!A662&lt;=Pricing!$C$5),F662*Pricing!$E$5,IF(AND(A662&gt;Pricing!$C$5,Disbursements!A662&lt;=Pricing!$C$7),VLOOKUP(F662,Pricing!$D$7:$E$8,2)*Disbursements!F662,F662*Pricing!$E$9))))</f>
        <v>0</v>
      </c>
      <c r="O662" s="528">
        <f>IF(E662="STL",0,IF($F662&gt;0,$F662*Pricing!$D$17,0))</f>
        <v>0</v>
      </c>
      <c r="P662" s="530" t="str">
        <f t="shared" si="282"/>
        <v/>
      </c>
      <c r="Q662" s="531" t="str">
        <f>IF($A662="","",$G662/VLOOKUP($I662,Ref!$B$23:$D$29,2,0))</f>
        <v/>
      </c>
      <c r="R662" s="530" t="str">
        <f t="shared" si="283"/>
        <v/>
      </c>
      <c r="S662" s="532" t="str">
        <f t="shared" si="277"/>
        <v/>
      </c>
      <c r="T662" s="531" t="str">
        <f t="shared" si="284"/>
        <v/>
      </c>
      <c r="U662" s="533">
        <f t="shared" si="285"/>
        <v>0</v>
      </c>
      <c r="V662" s="531" t="str">
        <f t="shared" si="286"/>
        <v/>
      </c>
      <c r="W662" s="531" t="str">
        <f t="shared" si="287"/>
        <v/>
      </c>
      <c r="X662" s="534" t="str">
        <f t="shared" si="288"/>
        <v/>
      </c>
      <c r="Y662" s="535" t="str">
        <f>IF($A662="","",IF($I662="weekly",$A662+7,EDATE($A662,VLOOKUP($I662,Ref!$B$24:$C$29,2,0))))</f>
        <v/>
      </c>
      <c r="Z662" s="536" t="str">
        <f t="shared" si="289"/>
        <v/>
      </c>
      <c r="AA662" s="531">
        <f t="shared" si="290"/>
        <v>0</v>
      </c>
      <c r="AB662" s="535" t="str">
        <f t="shared" si="278"/>
        <v/>
      </c>
      <c r="AC662" s="537" t="str">
        <f t="shared" si="279"/>
        <v/>
      </c>
      <c r="AD662" s="538" t="str">
        <f t="shared" ca="1" si="280"/>
        <v/>
      </c>
      <c r="AE662" s="537">
        <f t="shared" ca="1" si="281"/>
        <v>0</v>
      </c>
      <c r="AF662" s="539" t="str">
        <f t="shared" ca="1" si="291"/>
        <v/>
      </c>
      <c r="AG662" s="531" t="str">
        <f t="shared" ca="1" si="292"/>
        <v/>
      </c>
      <c r="AH662" s="531" t="str">
        <f t="shared" ca="1" si="293"/>
        <v/>
      </c>
      <c r="AI662" s="531" t="str">
        <f t="shared" ca="1" si="294"/>
        <v/>
      </c>
      <c r="AJ662" s="531" t="str">
        <f t="shared" si="295"/>
        <v/>
      </c>
      <c r="AK662" s="540">
        <f>SUMIFS('Live Collections'!$S:$S,'Live Collections'!$D:$D,Disbursements!B662,'Live Collections'!$G:$G,Disbursements!C662)</f>
        <v>0</v>
      </c>
      <c r="AL662" s="540">
        <f>SUMIFS('Live Collections'!$T:$T,'Live Collections'!$D:$D,Disbursements!B662,'Live Collections'!$G:$G,Disbursements!C662)</f>
        <v>0</v>
      </c>
      <c r="AM662" s="541">
        <f t="shared" si="296"/>
        <v>0</v>
      </c>
      <c r="AN662" s="542" t="str">
        <f t="shared" si="297"/>
        <v/>
      </c>
      <c r="AO662" s="542" t="str">
        <f t="shared" si="298"/>
        <v/>
      </c>
      <c r="AP662" s="543" t="str">
        <f t="shared" si="299"/>
        <v/>
      </c>
      <c r="AQ662" s="544" t="str">
        <f t="shared" si="300"/>
        <v/>
      </c>
      <c r="AR662" s="545">
        <f t="shared" si="301"/>
        <v>0</v>
      </c>
      <c r="AS662" s="545">
        <f>IFERROR(CEILING($AR662*VLOOKUP($I662,Ref!$B$23:$E$29,4,0),1),0)</f>
        <v>0</v>
      </c>
      <c r="AT662" s="545" t="str">
        <f>IF(A662="","",IF(AP662&lt;=1,"Cleared",IF(AS662=0,"Clean",VLOOKUP($AS662,Ref!$G$23:$H$28,2))))</f>
        <v/>
      </c>
      <c r="AU662" s="546" t="str">
        <f t="shared" si="302"/>
        <v/>
      </c>
    </row>
    <row r="663" spans="1:47" ht="14.25" hidden="1" customHeight="1" x14ac:dyDescent="0.15">
      <c r="A663" s="523"/>
      <c r="B663" s="523"/>
      <c r="C663" s="523"/>
      <c r="D663" s="523"/>
      <c r="E663" s="579"/>
      <c r="F663" s="580"/>
      <c r="G663" s="524"/>
      <c r="H663" s="555"/>
      <c r="I663" s="560"/>
      <c r="J663" s="523"/>
      <c r="K663" s="528" t="str">
        <f>IFERROR(VLOOKUP($B663,'Clients-Live'!$A:$C,3,0),"")</f>
        <v/>
      </c>
      <c r="L663" s="528">
        <f>IF(E663="STL",Pricing!$D$38,IF(A663="",0,IF(A663&lt;Pricing!$C$25,Pricing!$D$25,VLOOKUP(Disbursements!$F663,Pricing!$B$29:$D$32,3))))</f>
        <v>0</v>
      </c>
      <c r="M663" s="528">
        <f>IF(E663="STL",0,IF(F663&gt;0,Pricing!$D$21,0))</f>
        <v>0</v>
      </c>
      <c r="N663" s="529">
        <f>IF(E663="STL",F663*Pricing!$D$40,IF(A663&lt;=Pricing!$C$4,0,IF(AND(A663&gt;Pricing!$C$4,Disbursements!A663&lt;=Pricing!$C$5),F663*Pricing!$E$5,IF(AND(A663&gt;Pricing!$C$5,Disbursements!A663&lt;=Pricing!$C$7),VLOOKUP(F663,Pricing!$D$7:$E$8,2)*Disbursements!F663,F663*Pricing!$E$9))))</f>
        <v>0</v>
      </c>
      <c r="O663" s="528">
        <f>IF(E663="STL",0,IF($F663&gt;0,$F663*Pricing!$D$17,0))</f>
        <v>0</v>
      </c>
      <c r="P663" s="530" t="str">
        <f t="shared" si="282"/>
        <v/>
      </c>
      <c r="Q663" s="531" t="str">
        <f>IF($A663="","",$G663/VLOOKUP($I663,Ref!$B$23:$D$29,2,0))</f>
        <v/>
      </c>
      <c r="R663" s="530" t="str">
        <f t="shared" si="283"/>
        <v/>
      </c>
      <c r="S663" s="532" t="str">
        <f t="shared" si="277"/>
        <v/>
      </c>
      <c r="T663" s="531" t="str">
        <f t="shared" si="284"/>
        <v/>
      </c>
      <c r="U663" s="533">
        <f t="shared" si="285"/>
        <v>0</v>
      </c>
      <c r="V663" s="531" t="str">
        <f t="shared" si="286"/>
        <v/>
      </c>
      <c r="W663" s="531" t="str">
        <f t="shared" si="287"/>
        <v/>
      </c>
      <c r="X663" s="534" t="str">
        <f t="shared" si="288"/>
        <v/>
      </c>
      <c r="Y663" s="535" t="str">
        <f>IF($A663="","",IF($I663="weekly",$A663+7,EDATE($A663,VLOOKUP($I663,Ref!$B$24:$C$29,2,0))))</f>
        <v/>
      </c>
      <c r="Z663" s="536" t="str">
        <f t="shared" si="289"/>
        <v/>
      </c>
      <c r="AA663" s="531">
        <f t="shared" si="290"/>
        <v>0</v>
      </c>
      <c r="AB663" s="535" t="str">
        <f t="shared" si="278"/>
        <v/>
      </c>
      <c r="AC663" s="537" t="str">
        <f t="shared" si="279"/>
        <v/>
      </c>
      <c r="AD663" s="538" t="str">
        <f t="shared" ca="1" si="280"/>
        <v/>
      </c>
      <c r="AE663" s="537">
        <f t="shared" ca="1" si="281"/>
        <v>0</v>
      </c>
      <c r="AF663" s="539" t="str">
        <f t="shared" ca="1" si="291"/>
        <v/>
      </c>
      <c r="AG663" s="531" t="str">
        <f t="shared" ca="1" si="292"/>
        <v/>
      </c>
      <c r="AH663" s="531" t="str">
        <f t="shared" ca="1" si="293"/>
        <v/>
      </c>
      <c r="AI663" s="531" t="str">
        <f t="shared" ca="1" si="294"/>
        <v/>
      </c>
      <c r="AJ663" s="531" t="str">
        <f t="shared" si="295"/>
        <v/>
      </c>
      <c r="AK663" s="540">
        <f>SUMIFS('Live Collections'!$S:$S,'Live Collections'!$D:$D,Disbursements!B663,'Live Collections'!$G:$G,Disbursements!C663)</f>
        <v>0</v>
      </c>
      <c r="AL663" s="540">
        <f>SUMIFS('Live Collections'!$T:$T,'Live Collections'!$D:$D,Disbursements!B663,'Live Collections'!$G:$G,Disbursements!C663)</f>
        <v>0</v>
      </c>
      <c r="AM663" s="541">
        <f t="shared" si="296"/>
        <v>0</v>
      </c>
      <c r="AN663" s="542" t="str">
        <f t="shared" si="297"/>
        <v/>
      </c>
      <c r="AO663" s="542" t="str">
        <f t="shared" si="298"/>
        <v/>
      </c>
      <c r="AP663" s="543" t="str">
        <f t="shared" si="299"/>
        <v/>
      </c>
      <c r="AQ663" s="544" t="str">
        <f t="shared" si="300"/>
        <v/>
      </c>
      <c r="AR663" s="545">
        <f t="shared" si="301"/>
        <v>0</v>
      </c>
      <c r="AS663" s="545">
        <f>IFERROR(CEILING($AR663*VLOOKUP($I663,Ref!$B$23:$E$29,4,0),1),0)</f>
        <v>0</v>
      </c>
      <c r="AT663" s="545" t="str">
        <f>IF(A663="","",IF(AP663&lt;=1,"Cleared",IF(AS663=0,"Clean",VLOOKUP($AS663,Ref!$G$23:$H$28,2))))</f>
        <v/>
      </c>
      <c r="AU663" s="546" t="str">
        <f t="shared" si="302"/>
        <v/>
      </c>
    </row>
    <row r="664" spans="1:47" ht="14.25" hidden="1" customHeight="1" x14ac:dyDescent="0.15">
      <c r="A664" s="523"/>
      <c r="B664" s="523"/>
      <c r="C664" s="523"/>
      <c r="D664" s="523"/>
      <c r="E664" s="579"/>
      <c r="F664" s="580"/>
      <c r="G664" s="524"/>
      <c r="H664" s="555"/>
      <c r="I664" s="560"/>
      <c r="J664" s="523"/>
      <c r="K664" s="528" t="str">
        <f>IFERROR(VLOOKUP($B664,'Clients-Live'!$A:$C,3,0),"")</f>
        <v/>
      </c>
      <c r="L664" s="528">
        <f>IF(E664="STL",Pricing!$D$38,IF(A664="",0,IF(A664&lt;Pricing!$C$25,Pricing!$D$25,VLOOKUP(Disbursements!$F664,Pricing!$B$29:$D$32,3))))</f>
        <v>0</v>
      </c>
      <c r="M664" s="528">
        <f>IF(E664="STL",0,IF(F664&gt;0,Pricing!$D$21,0))</f>
        <v>0</v>
      </c>
      <c r="N664" s="529">
        <f>IF(E664="STL",F664*Pricing!$D$40,IF(A664&lt;=Pricing!$C$4,0,IF(AND(A664&gt;Pricing!$C$4,Disbursements!A664&lt;=Pricing!$C$5),F664*Pricing!$E$5,IF(AND(A664&gt;Pricing!$C$5,Disbursements!A664&lt;=Pricing!$C$7),VLOOKUP(F664,Pricing!$D$7:$E$8,2)*Disbursements!F664,F664*Pricing!$E$9))))</f>
        <v>0</v>
      </c>
      <c r="O664" s="528">
        <f>IF(E664="STL",0,IF($F664&gt;0,$F664*Pricing!$D$17,0))</f>
        <v>0</v>
      </c>
      <c r="P664" s="530" t="str">
        <f t="shared" si="282"/>
        <v/>
      </c>
      <c r="Q664" s="531" t="str">
        <f>IF($A664="","",$G664/VLOOKUP($I664,Ref!$B$23:$D$29,2,0))</f>
        <v/>
      </c>
      <c r="R664" s="530" t="str">
        <f t="shared" si="283"/>
        <v/>
      </c>
      <c r="S664" s="532" t="str">
        <f t="shared" si="277"/>
        <v/>
      </c>
      <c r="T664" s="531" t="str">
        <f t="shared" si="284"/>
        <v/>
      </c>
      <c r="U664" s="533">
        <f t="shared" si="285"/>
        <v>0</v>
      </c>
      <c r="V664" s="531" t="str">
        <f t="shared" si="286"/>
        <v/>
      </c>
      <c r="W664" s="531" t="str">
        <f t="shared" si="287"/>
        <v/>
      </c>
      <c r="X664" s="534" t="str">
        <f t="shared" si="288"/>
        <v/>
      </c>
      <c r="Y664" s="535" t="str">
        <f>IF($A664="","",IF($I664="weekly",$A664+7,EDATE($A664,VLOOKUP($I664,Ref!$B$24:$C$29,2,0))))</f>
        <v/>
      </c>
      <c r="Z664" s="536" t="str">
        <f t="shared" si="289"/>
        <v/>
      </c>
      <c r="AA664" s="531">
        <f t="shared" si="290"/>
        <v>0</v>
      </c>
      <c r="AB664" s="535" t="str">
        <f t="shared" si="278"/>
        <v/>
      </c>
      <c r="AC664" s="537" t="str">
        <f t="shared" si="279"/>
        <v/>
      </c>
      <c r="AD664" s="538" t="str">
        <f t="shared" ca="1" si="280"/>
        <v/>
      </c>
      <c r="AE664" s="537">
        <f t="shared" ca="1" si="281"/>
        <v>0</v>
      </c>
      <c r="AF664" s="539" t="str">
        <f t="shared" ca="1" si="291"/>
        <v/>
      </c>
      <c r="AG664" s="531" t="str">
        <f t="shared" ca="1" si="292"/>
        <v/>
      </c>
      <c r="AH664" s="531" t="str">
        <f t="shared" ca="1" si="293"/>
        <v/>
      </c>
      <c r="AI664" s="531" t="str">
        <f t="shared" ca="1" si="294"/>
        <v/>
      </c>
      <c r="AJ664" s="531" t="str">
        <f t="shared" si="295"/>
        <v/>
      </c>
      <c r="AK664" s="540">
        <f>SUMIFS('Live Collections'!$S:$S,'Live Collections'!$D:$D,Disbursements!B664,'Live Collections'!$G:$G,Disbursements!C664)</f>
        <v>0</v>
      </c>
      <c r="AL664" s="540">
        <f>SUMIFS('Live Collections'!$T:$T,'Live Collections'!$D:$D,Disbursements!B664,'Live Collections'!$G:$G,Disbursements!C664)</f>
        <v>0</v>
      </c>
      <c r="AM664" s="541">
        <f t="shared" si="296"/>
        <v>0</v>
      </c>
      <c r="AN664" s="542" t="str">
        <f t="shared" si="297"/>
        <v/>
      </c>
      <c r="AO664" s="542" t="str">
        <f t="shared" si="298"/>
        <v/>
      </c>
      <c r="AP664" s="543" t="str">
        <f t="shared" si="299"/>
        <v/>
      </c>
      <c r="AQ664" s="544" t="str">
        <f t="shared" si="300"/>
        <v/>
      </c>
      <c r="AR664" s="545">
        <f t="shared" si="301"/>
        <v>0</v>
      </c>
      <c r="AS664" s="545">
        <f>IFERROR(CEILING($AR664*VLOOKUP($I664,Ref!$B$23:$E$29,4,0),1),0)</f>
        <v>0</v>
      </c>
      <c r="AT664" s="545" t="str">
        <f>IF(A664="","",IF(AP664&lt;=1,"Cleared",IF(AS664=0,"Clean",VLOOKUP($AS664,Ref!$G$23:$H$28,2))))</f>
        <v/>
      </c>
      <c r="AU664" s="546" t="str">
        <f t="shared" si="302"/>
        <v/>
      </c>
    </row>
    <row r="665" spans="1:47" ht="14.25" hidden="1" customHeight="1" x14ac:dyDescent="0.15">
      <c r="A665" s="523"/>
      <c r="B665" s="523"/>
      <c r="C665" s="523"/>
      <c r="D665" s="523"/>
      <c r="E665" s="579"/>
      <c r="F665" s="580"/>
      <c r="G665" s="524"/>
      <c r="H665" s="555"/>
      <c r="I665" s="560"/>
      <c r="J665" s="523"/>
      <c r="K665" s="528" t="str">
        <f>IFERROR(VLOOKUP($B665,'Clients-Live'!$A:$C,3,0),"")</f>
        <v/>
      </c>
      <c r="L665" s="528">
        <f>IF(E665="STL",Pricing!$D$38,IF(A665="",0,IF(A665&lt;Pricing!$C$25,Pricing!$D$25,VLOOKUP(Disbursements!$F665,Pricing!$B$29:$D$32,3))))</f>
        <v>0</v>
      </c>
      <c r="M665" s="528">
        <f>IF(E665="STL",0,IF(F665&gt;0,Pricing!$D$21,0))</f>
        <v>0</v>
      </c>
      <c r="N665" s="529">
        <f>IF(E665="STL",F665*Pricing!$D$40,IF(A665&lt;=Pricing!$C$4,0,IF(AND(A665&gt;Pricing!$C$4,Disbursements!A665&lt;=Pricing!$C$5),F665*Pricing!$E$5,IF(AND(A665&gt;Pricing!$C$5,Disbursements!A665&lt;=Pricing!$C$7),VLOOKUP(F665,Pricing!$D$7:$E$8,2)*Disbursements!F665,F665*Pricing!$E$9))))</f>
        <v>0</v>
      </c>
      <c r="O665" s="528">
        <f>IF(E665="STL",0,IF($F665&gt;0,$F665*Pricing!$D$17,0))</f>
        <v>0</v>
      </c>
      <c r="P665" s="530" t="str">
        <f t="shared" si="282"/>
        <v/>
      </c>
      <c r="Q665" s="531" t="str">
        <f>IF($A665="","",$G665/VLOOKUP($I665,Ref!$B$23:$D$29,2,0))</f>
        <v/>
      </c>
      <c r="R665" s="530" t="str">
        <f t="shared" si="283"/>
        <v/>
      </c>
      <c r="S665" s="532" t="str">
        <f t="shared" si="277"/>
        <v/>
      </c>
      <c r="T665" s="531" t="str">
        <f t="shared" si="284"/>
        <v/>
      </c>
      <c r="U665" s="533">
        <f t="shared" si="285"/>
        <v>0</v>
      </c>
      <c r="V665" s="531" t="str">
        <f t="shared" si="286"/>
        <v/>
      </c>
      <c r="W665" s="531" t="str">
        <f t="shared" si="287"/>
        <v/>
      </c>
      <c r="X665" s="534" t="str">
        <f t="shared" si="288"/>
        <v/>
      </c>
      <c r="Y665" s="535" t="str">
        <f>IF($A665="","",IF($I665="weekly",$A665+7,EDATE($A665,VLOOKUP($I665,Ref!$B$24:$C$29,2,0))))</f>
        <v/>
      </c>
      <c r="Z665" s="536" t="str">
        <f t="shared" si="289"/>
        <v/>
      </c>
      <c r="AA665" s="531">
        <f t="shared" si="290"/>
        <v>0</v>
      </c>
      <c r="AB665" s="535" t="str">
        <f t="shared" si="278"/>
        <v/>
      </c>
      <c r="AC665" s="537" t="str">
        <f t="shared" si="279"/>
        <v/>
      </c>
      <c r="AD665" s="538" t="str">
        <f t="shared" ca="1" si="280"/>
        <v/>
      </c>
      <c r="AE665" s="537">
        <f t="shared" ca="1" si="281"/>
        <v>0</v>
      </c>
      <c r="AF665" s="539" t="str">
        <f t="shared" ca="1" si="291"/>
        <v/>
      </c>
      <c r="AG665" s="531" t="str">
        <f t="shared" ca="1" si="292"/>
        <v/>
      </c>
      <c r="AH665" s="531" t="str">
        <f t="shared" ca="1" si="293"/>
        <v/>
      </c>
      <c r="AI665" s="531" t="str">
        <f t="shared" ca="1" si="294"/>
        <v/>
      </c>
      <c r="AJ665" s="531" t="str">
        <f t="shared" si="295"/>
        <v/>
      </c>
      <c r="AK665" s="540">
        <f>SUMIFS('Live Collections'!$S:$S,'Live Collections'!$D:$D,Disbursements!B665,'Live Collections'!$G:$G,Disbursements!C665)</f>
        <v>0</v>
      </c>
      <c r="AL665" s="540">
        <f>SUMIFS('Live Collections'!$T:$T,'Live Collections'!$D:$D,Disbursements!B665,'Live Collections'!$G:$G,Disbursements!C665)</f>
        <v>0</v>
      </c>
      <c r="AM665" s="541">
        <f t="shared" si="296"/>
        <v>0</v>
      </c>
      <c r="AN665" s="542" t="str">
        <f t="shared" si="297"/>
        <v/>
      </c>
      <c r="AO665" s="542" t="str">
        <f t="shared" si="298"/>
        <v/>
      </c>
      <c r="AP665" s="543" t="str">
        <f t="shared" si="299"/>
        <v/>
      </c>
      <c r="AQ665" s="544" t="str">
        <f t="shared" si="300"/>
        <v/>
      </c>
      <c r="AR665" s="545">
        <f t="shared" si="301"/>
        <v>0</v>
      </c>
      <c r="AS665" s="545">
        <f>IFERROR(CEILING($AR665*VLOOKUP($I665,Ref!$B$23:$E$29,4,0),1),0)</f>
        <v>0</v>
      </c>
      <c r="AT665" s="545" t="str">
        <f>IF(A665="","",IF(AP665&lt;=1,"Cleared",IF(AS665=0,"Clean",VLOOKUP($AS665,Ref!$G$23:$H$28,2))))</f>
        <v/>
      </c>
      <c r="AU665" s="546" t="str">
        <f t="shared" si="302"/>
        <v/>
      </c>
    </row>
    <row r="666" spans="1:47" ht="14.25" hidden="1" customHeight="1" x14ac:dyDescent="0.15">
      <c r="A666" s="523"/>
      <c r="B666" s="523"/>
      <c r="C666" s="523"/>
      <c r="D666" s="523"/>
      <c r="E666" s="579"/>
      <c r="F666" s="580"/>
      <c r="G666" s="524"/>
      <c r="H666" s="555"/>
      <c r="I666" s="560"/>
      <c r="J666" s="523"/>
      <c r="K666" s="528" t="str">
        <f>IFERROR(VLOOKUP($B666,'Clients-Live'!$A:$C,3,0),"")</f>
        <v/>
      </c>
      <c r="L666" s="528">
        <f>IF(E666="STL",Pricing!$D$38,IF(A666="",0,IF(A666&lt;Pricing!$C$25,Pricing!$D$25,VLOOKUP(Disbursements!$F666,Pricing!$B$29:$D$32,3))))</f>
        <v>0</v>
      </c>
      <c r="M666" s="528">
        <f>IF(E666="STL",0,IF(F666&gt;0,Pricing!$D$21,0))</f>
        <v>0</v>
      </c>
      <c r="N666" s="529">
        <f>IF(E666="STL",F666*Pricing!$D$40,IF(A666&lt;=Pricing!$C$4,0,IF(AND(A666&gt;Pricing!$C$4,Disbursements!A666&lt;=Pricing!$C$5),F666*Pricing!$E$5,IF(AND(A666&gt;Pricing!$C$5,Disbursements!A666&lt;=Pricing!$C$7),VLOOKUP(F666,Pricing!$D$7:$E$8,2)*Disbursements!F666,F666*Pricing!$E$9))))</f>
        <v>0</v>
      </c>
      <c r="O666" s="528">
        <f>IF(E666="STL",0,IF($F666&gt;0,$F666*Pricing!$D$17,0))</f>
        <v>0</v>
      </c>
      <c r="P666" s="530" t="str">
        <f t="shared" si="282"/>
        <v/>
      </c>
      <c r="Q666" s="531" t="str">
        <f>IF($A666="","",$G666/VLOOKUP($I666,Ref!$B$23:$D$29,2,0))</f>
        <v/>
      </c>
      <c r="R666" s="530" t="str">
        <f t="shared" si="283"/>
        <v/>
      </c>
      <c r="S666" s="532" t="str">
        <f t="shared" si="277"/>
        <v/>
      </c>
      <c r="T666" s="531" t="str">
        <f t="shared" si="284"/>
        <v/>
      </c>
      <c r="U666" s="533">
        <f t="shared" si="285"/>
        <v>0</v>
      </c>
      <c r="V666" s="531" t="str">
        <f t="shared" si="286"/>
        <v/>
      </c>
      <c r="W666" s="531" t="str">
        <f t="shared" si="287"/>
        <v/>
      </c>
      <c r="X666" s="534" t="str">
        <f t="shared" si="288"/>
        <v/>
      </c>
      <c r="Y666" s="535" t="str">
        <f>IF($A666="","",IF($I666="weekly",$A666+7,EDATE($A666,VLOOKUP($I666,Ref!$B$24:$C$29,2,0))))</f>
        <v/>
      </c>
      <c r="Z666" s="536" t="str">
        <f t="shared" si="289"/>
        <v/>
      </c>
      <c r="AA666" s="531">
        <f t="shared" si="290"/>
        <v>0</v>
      </c>
      <c r="AB666" s="535" t="str">
        <f t="shared" si="278"/>
        <v/>
      </c>
      <c r="AC666" s="537" t="str">
        <f t="shared" si="279"/>
        <v/>
      </c>
      <c r="AD666" s="538" t="str">
        <f t="shared" ca="1" si="280"/>
        <v/>
      </c>
      <c r="AE666" s="537">
        <f t="shared" ca="1" si="281"/>
        <v>0</v>
      </c>
      <c r="AF666" s="539" t="str">
        <f t="shared" ca="1" si="291"/>
        <v/>
      </c>
      <c r="AG666" s="531" t="str">
        <f t="shared" ca="1" si="292"/>
        <v/>
      </c>
      <c r="AH666" s="531" t="str">
        <f t="shared" ca="1" si="293"/>
        <v/>
      </c>
      <c r="AI666" s="531" t="str">
        <f t="shared" ca="1" si="294"/>
        <v/>
      </c>
      <c r="AJ666" s="531" t="str">
        <f t="shared" si="295"/>
        <v/>
      </c>
      <c r="AK666" s="540">
        <f>SUMIFS('Live Collections'!$S:$S,'Live Collections'!$D:$D,Disbursements!B666,'Live Collections'!$G:$G,Disbursements!C666)</f>
        <v>0</v>
      </c>
      <c r="AL666" s="540">
        <f>SUMIFS('Live Collections'!$T:$T,'Live Collections'!$D:$D,Disbursements!B666,'Live Collections'!$G:$G,Disbursements!C666)</f>
        <v>0</v>
      </c>
      <c r="AM666" s="541">
        <f t="shared" si="296"/>
        <v>0</v>
      </c>
      <c r="AN666" s="542" t="str">
        <f t="shared" si="297"/>
        <v/>
      </c>
      <c r="AO666" s="542" t="str">
        <f t="shared" si="298"/>
        <v/>
      </c>
      <c r="AP666" s="543" t="str">
        <f t="shared" si="299"/>
        <v/>
      </c>
      <c r="AQ666" s="544" t="str">
        <f t="shared" si="300"/>
        <v/>
      </c>
      <c r="AR666" s="545">
        <f t="shared" si="301"/>
        <v>0</v>
      </c>
      <c r="AS666" s="545">
        <f>IFERROR(CEILING($AR666*VLOOKUP($I666,Ref!$B$23:$E$29,4,0),1),0)</f>
        <v>0</v>
      </c>
      <c r="AT666" s="545" t="str">
        <f>IF(A666="","",IF(AP666&lt;=1,"Cleared",IF(AS666=0,"Clean",VLOOKUP($AS666,Ref!$G$23:$H$28,2))))</f>
        <v/>
      </c>
      <c r="AU666" s="546" t="str">
        <f t="shared" si="302"/>
        <v/>
      </c>
    </row>
    <row r="667" spans="1:47" ht="14.25" hidden="1" customHeight="1" x14ac:dyDescent="0.15">
      <c r="A667" s="523"/>
      <c r="B667" s="523"/>
      <c r="C667" s="523"/>
      <c r="D667" s="523"/>
      <c r="E667" s="579"/>
      <c r="F667" s="580"/>
      <c r="G667" s="524"/>
      <c r="H667" s="555"/>
      <c r="I667" s="560"/>
      <c r="J667" s="523"/>
      <c r="K667" s="528" t="str">
        <f>IFERROR(VLOOKUP($B667,'Clients-Live'!$A:$C,3,0),"")</f>
        <v/>
      </c>
      <c r="L667" s="528">
        <f>IF(E667="STL",Pricing!$D$38,IF(A667="",0,IF(A667&lt;Pricing!$C$25,Pricing!$D$25,VLOOKUP(Disbursements!$F667,Pricing!$B$29:$D$32,3))))</f>
        <v>0</v>
      </c>
      <c r="M667" s="528">
        <f>IF(E667="STL",0,IF(F667&gt;0,Pricing!$D$21,0))</f>
        <v>0</v>
      </c>
      <c r="N667" s="529">
        <f>IF(E667="STL",F667*Pricing!$D$40,IF(A667&lt;=Pricing!$C$4,0,IF(AND(A667&gt;Pricing!$C$4,Disbursements!A667&lt;=Pricing!$C$5),F667*Pricing!$E$5,IF(AND(A667&gt;Pricing!$C$5,Disbursements!A667&lt;=Pricing!$C$7),VLOOKUP(F667,Pricing!$D$7:$E$8,2)*Disbursements!F667,F667*Pricing!$E$9))))</f>
        <v>0</v>
      </c>
      <c r="O667" s="528">
        <f>IF(E667="STL",0,IF($F667&gt;0,$F667*Pricing!$D$17,0))</f>
        <v>0</v>
      </c>
      <c r="P667" s="530" t="str">
        <f t="shared" si="282"/>
        <v/>
      </c>
      <c r="Q667" s="531" t="str">
        <f>IF($A667="","",$G667/VLOOKUP($I667,Ref!$B$23:$D$29,2,0))</f>
        <v/>
      </c>
      <c r="R667" s="530" t="str">
        <f t="shared" si="283"/>
        <v/>
      </c>
      <c r="S667" s="532" t="str">
        <f t="shared" si="277"/>
        <v/>
      </c>
      <c r="T667" s="531" t="str">
        <f t="shared" si="284"/>
        <v/>
      </c>
      <c r="U667" s="533">
        <f t="shared" si="285"/>
        <v>0</v>
      </c>
      <c r="V667" s="531" t="str">
        <f t="shared" si="286"/>
        <v/>
      </c>
      <c r="W667" s="531" t="str">
        <f t="shared" si="287"/>
        <v/>
      </c>
      <c r="X667" s="534" t="str">
        <f t="shared" si="288"/>
        <v/>
      </c>
      <c r="Y667" s="535" t="str">
        <f>IF($A667="","",IF($I667="weekly",$A667+7,EDATE($A667,VLOOKUP($I667,Ref!$B$24:$C$29,2,0))))</f>
        <v/>
      </c>
      <c r="Z667" s="536" t="str">
        <f t="shared" si="289"/>
        <v/>
      </c>
      <c r="AA667" s="531">
        <f t="shared" si="290"/>
        <v>0</v>
      </c>
      <c r="AB667" s="535" t="str">
        <f t="shared" si="278"/>
        <v/>
      </c>
      <c r="AC667" s="537" t="str">
        <f t="shared" si="279"/>
        <v/>
      </c>
      <c r="AD667" s="538" t="str">
        <f t="shared" ca="1" si="280"/>
        <v/>
      </c>
      <c r="AE667" s="537">
        <f t="shared" ca="1" si="281"/>
        <v>0</v>
      </c>
      <c r="AF667" s="539" t="str">
        <f t="shared" ca="1" si="291"/>
        <v/>
      </c>
      <c r="AG667" s="531" t="str">
        <f t="shared" ca="1" si="292"/>
        <v/>
      </c>
      <c r="AH667" s="531" t="str">
        <f t="shared" ca="1" si="293"/>
        <v/>
      </c>
      <c r="AI667" s="531" t="str">
        <f t="shared" ca="1" si="294"/>
        <v/>
      </c>
      <c r="AJ667" s="531" t="str">
        <f t="shared" si="295"/>
        <v/>
      </c>
      <c r="AK667" s="540">
        <f>SUMIFS('Live Collections'!$S:$S,'Live Collections'!$D:$D,Disbursements!B667,'Live Collections'!$G:$G,Disbursements!C667)</f>
        <v>0</v>
      </c>
      <c r="AL667" s="540">
        <f>SUMIFS('Live Collections'!$T:$T,'Live Collections'!$D:$D,Disbursements!B667,'Live Collections'!$G:$G,Disbursements!C667)</f>
        <v>0</v>
      </c>
      <c r="AM667" s="541">
        <f t="shared" si="296"/>
        <v>0</v>
      </c>
      <c r="AN667" s="542" t="str">
        <f t="shared" si="297"/>
        <v/>
      </c>
      <c r="AO667" s="542" t="str">
        <f t="shared" si="298"/>
        <v/>
      </c>
      <c r="AP667" s="543" t="str">
        <f t="shared" si="299"/>
        <v/>
      </c>
      <c r="AQ667" s="544" t="str">
        <f t="shared" si="300"/>
        <v/>
      </c>
      <c r="AR667" s="545">
        <f t="shared" si="301"/>
        <v>0</v>
      </c>
      <c r="AS667" s="545">
        <f>IFERROR(CEILING($AR667*VLOOKUP($I667,Ref!$B$23:$E$29,4,0),1),0)</f>
        <v>0</v>
      </c>
      <c r="AT667" s="545" t="str">
        <f>IF(A667="","",IF(AP667&lt;=1,"Cleared",IF(AS667=0,"Clean",VLOOKUP($AS667,Ref!$G$23:$H$28,2))))</f>
        <v/>
      </c>
      <c r="AU667" s="546" t="str">
        <f t="shared" si="302"/>
        <v/>
      </c>
    </row>
    <row r="668" spans="1:47" ht="14.25" hidden="1" customHeight="1" x14ac:dyDescent="0.15">
      <c r="A668" s="523"/>
      <c r="B668" s="523"/>
      <c r="C668" s="523"/>
      <c r="D668" s="523"/>
      <c r="E668" s="579"/>
      <c r="F668" s="580"/>
      <c r="G668" s="524"/>
      <c r="H668" s="555"/>
      <c r="I668" s="560"/>
      <c r="J668" s="523"/>
      <c r="K668" s="528" t="str">
        <f>IFERROR(VLOOKUP($B668,'Clients-Live'!$A:$C,3,0),"")</f>
        <v/>
      </c>
      <c r="L668" s="528">
        <f>IF(E668="STL",Pricing!$D$38,IF(A668="",0,IF(A668&lt;Pricing!$C$25,Pricing!$D$25,VLOOKUP(Disbursements!$F668,Pricing!$B$29:$D$32,3))))</f>
        <v>0</v>
      </c>
      <c r="M668" s="528">
        <f>IF(E668="STL",0,IF(F668&gt;0,Pricing!$D$21,0))</f>
        <v>0</v>
      </c>
      <c r="N668" s="529">
        <f>IF(E668="STL",F668*Pricing!$D$40,IF(A668&lt;=Pricing!$C$4,0,IF(AND(A668&gt;Pricing!$C$4,Disbursements!A668&lt;=Pricing!$C$5),F668*Pricing!$E$5,IF(AND(A668&gt;Pricing!$C$5,Disbursements!A668&lt;=Pricing!$C$7),VLOOKUP(F668,Pricing!$D$7:$E$8,2)*Disbursements!F668,F668*Pricing!$E$9))))</f>
        <v>0</v>
      </c>
      <c r="O668" s="528">
        <f>IF(E668="STL",0,IF($F668&gt;0,$F668*Pricing!$D$17,0))</f>
        <v>0</v>
      </c>
      <c r="P668" s="530" t="str">
        <f t="shared" si="282"/>
        <v/>
      </c>
      <c r="Q668" s="531" t="str">
        <f>IF($A668="","",$G668/VLOOKUP($I668,Ref!$B$23:$D$29,2,0))</f>
        <v/>
      </c>
      <c r="R668" s="530" t="str">
        <f t="shared" si="283"/>
        <v/>
      </c>
      <c r="S668" s="532" t="str">
        <f t="shared" si="277"/>
        <v/>
      </c>
      <c r="T668" s="531" t="str">
        <f t="shared" si="284"/>
        <v/>
      </c>
      <c r="U668" s="533">
        <f t="shared" si="285"/>
        <v>0</v>
      </c>
      <c r="V668" s="531" t="str">
        <f t="shared" si="286"/>
        <v/>
      </c>
      <c r="W668" s="531" t="str">
        <f t="shared" si="287"/>
        <v/>
      </c>
      <c r="X668" s="534" t="str">
        <f t="shared" si="288"/>
        <v/>
      </c>
      <c r="Y668" s="535" t="str">
        <f>IF($A668="","",IF($I668="weekly",$A668+7,EDATE($A668,VLOOKUP($I668,Ref!$B$24:$C$29,2,0))))</f>
        <v/>
      </c>
      <c r="Z668" s="536" t="str">
        <f t="shared" si="289"/>
        <v/>
      </c>
      <c r="AA668" s="531">
        <f t="shared" si="290"/>
        <v>0</v>
      </c>
      <c r="AB668" s="535" t="str">
        <f t="shared" si="278"/>
        <v/>
      </c>
      <c r="AC668" s="537" t="str">
        <f t="shared" si="279"/>
        <v/>
      </c>
      <c r="AD668" s="538" t="str">
        <f t="shared" ca="1" si="280"/>
        <v/>
      </c>
      <c r="AE668" s="537">
        <f t="shared" ca="1" si="281"/>
        <v>0</v>
      </c>
      <c r="AF668" s="539" t="str">
        <f t="shared" ca="1" si="291"/>
        <v/>
      </c>
      <c r="AG668" s="531" t="str">
        <f t="shared" ca="1" si="292"/>
        <v/>
      </c>
      <c r="AH668" s="531" t="str">
        <f t="shared" ca="1" si="293"/>
        <v/>
      </c>
      <c r="AI668" s="531" t="str">
        <f t="shared" ca="1" si="294"/>
        <v/>
      </c>
      <c r="AJ668" s="531" t="str">
        <f t="shared" si="295"/>
        <v/>
      </c>
      <c r="AK668" s="540">
        <f>SUMIFS('Live Collections'!$S:$S,'Live Collections'!$D:$D,Disbursements!B668,'Live Collections'!$G:$G,Disbursements!C668)</f>
        <v>0</v>
      </c>
      <c r="AL668" s="540">
        <f>SUMIFS('Live Collections'!$T:$T,'Live Collections'!$D:$D,Disbursements!B668,'Live Collections'!$G:$G,Disbursements!C668)</f>
        <v>0</v>
      </c>
      <c r="AM668" s="541">
        <f t="shared" si="296"/>
        <v>0</v>
      </c>
      <c r="AN668" s="542" t="str">
        <f t="shared" si="297"/>
        <v/>
      </c>
      <c r="AO668" s="542" t="str">
        <f t="shared" si="298"/>
        <v/>
      </c>
      <c r="AP668" s="543" t="str">
        <f t="shared" si="299"/>
        <v/>
      </c>
      <c r="AQ668" s="544" t="str">
        <f t="shared" si="300"/>
        <v/>
      </c>
      <c r="AR668" s="545">
        <f t="shared" si="301"/>
        <v>0</v>
      </c>
      <c r="AS668" s="545">
        <f>IFERROR(CEILING($AR668*VLOOKUP($I668,Ref!$B$23:$E$29,4,0),1),0)</f>
        <v>0</v>
      </c>
      <c r="AT668" s="545" t="str">
        <f>IF(A668="","",IF(AP668&lt;=1,"Cleared",IF(AS668=0,"Clean",VLOOKUP($AS668,Ref!$G$23:$H$28,2))))</f>
        <v/>
      </c>
      <c r="AU668" s="546" t="str">
        <f t="shared" si="302"/>
        <v/>
      </c>
    </row>
    <row r="669" spans="1:47" ht="14.25" hidden="1" customHeight="1" x14ac:dyDescent="0.15">
      <c r="A669" s="523"/>
      <c r="B669" s="523"/>
      <c r="C669" s="523"/>
      <c r="D669" s="523"/>
      <c r="E669" s="579"/>
      <c r="F669" s="580"/>
      <c r="G669" s="524"/>
      <c r="H669" s="555"/>
      <c r="I669" s="560"/>
      <c r="J669" s="523"/>
      <c r="K669" s="528" t="str">
        <f>IFERROR(VLOOKUP($B669,'Clients-Live'!$A:$C,3,0),"")</f>
        <v/>
      </c>
      <c r="L669" s="528">
        <f>IF(E669="STL",Pricing!$D$38,IF(A669="",0,IF(A669&lt;Pricing!$C$25,Pricing!$D$25,VLOOKUP(Disbursements!$F669,Pricing!$B$29:$D$32,3))))</f>
        <v>0</v>
      </c>
      <c r="M669" s="528">
        <f>IF(E669="STL",0,IF(F669&gt;0,Pricing!$D$21,0))</f>
        <v>0</v>
      </c>
      <c r="N669" s="529">
        <f>IF(E669="STL",F669*Pricing!$D$40,IF(A669&lt;=Pricing!$C$4,0,IF(AND(A669&gt;Pricing!$C$4,Disbursements!A669&lt;=Pricing!$C$5),F669*Pricing!$E$5,IF(AND(A669&gt;Pricing!$C$5,Disbursements!A669&lt;=Pricing!$C$7),VLOOKUP(F669,Pricing!$D$7:$E$8,2)*Disbursements!F669,F669*Pricing!$E$9))))</f>
        <v>0</v>
      </c>
      <c r="O669" s="528">
        <f>IF(E669="STL",0,IF($F669&gt;0,$F669*Pricing!$D$17,0))</f>
        <v>0</v>
      </c>
      <c r="P669" s="530" t="str">
        <f t="shared" si="282"/>
        <v/>
      </c>
      <c r="Q669" s="531" t="str">
        <f>IF($A669="","",$G669/VLOOKUP($I669,Ref!$B$23:$D$29,2,0))</f>
        <v/>
      </c>
      <c r="R669" s="530" t="str">
        <f t="shared" si="283"/>
        <v/>
      </c>
      <c r="S669" s="532" t="str">
        <f t="shared" si="277"/>
        <v/>
      </c>
      <c r="T669" s="531" t="str">
        <f t="shared" si="284"/>
        <v/>
      </c>
      <c r="U669" s="533">
        <f t="shared" si="285"/>
        <v>0</v>
      </c>
      <c r="V669" s="531" t="str">
        <f t="shared" si="286"/>
        <v/>
      </c>
      <c r="W669" s="531" t="str">
        <f t="shared" si="287"/>
        <v/>
      </c>
      <c r="X669" s="534" t="str">
        <f t="shared" si="288"/>
        <v/>
      </c>
      <c r="Y669" s="535" t="str">
        <f>IF($A669="","",IF($I669="weekly",$A669+7,EDATE($A669,VLOOKUP($I669,Ref!$B$24:$C$29,2,0))))</f>
        <v/>
      </c>
      <c r="Z669" s="536" t="str">
        <f t="shared" si="289"/>
        <v/>
      </c>
      <c r="AA669" s="531">
        <f t="shared" si="290"/>
        <v>0</v>
      </c>
      <c r="AB669" s="535" t="str">
        <f t="shared" si="278"/>
        <v/>
      </c>
      <c r="AC669" s="537" t="str">
        <f t="shared" si="279"/>
        <v/>
      </c>
      <c r="AD669" s="538" t="str">
        <f t="shared" ca="1" si="280"/>
        <v/>
      </c>
      <c r="AE669" s="537">
        <f t="shared" ca="1" si="281"/>
        <v>0</v>
      </c>
      <c r="AF669" s="539" t="str">
        <f t="shared" ca="1" si="291"/>
        <v/>
      </c>
      <c r="AG669" s="531" t="str">
        <f t="shared" ca="1" si="292"/>
        <v/>
      </c>
      <c r="AH669" s="531" t="str">
        <f t="shared" ca="1" si="293"/>
        <v/>
      </c>
      <c r="AI669" s="531" t="str">
        <f t="shared" ca="1" si="294"/>
        <v/>
      </c>
      <c r="AJ669" s="531" t="str">
        <f t="shared" si="295"/>
        <v/>
      </c>
      <c r="AK669" s="540">
        <f>SUMIFS('Live Collections'!$S:$S,'Live Collections'!$D:$D,Disbursements!B669,'Live Collections'!$G:$G,Disbursements!C669)</f>
        <v>0</v>
      </c>
      <c r="AL669" s="540">
        <f>SUMIFS('Live Collections'!$T:$T,'Live Collections'!$D:$D,Disbursements!B669,'Live Collections'!$G:$G,Disbursements!C669)</f>
        <v>0</v>
      </c>
      <c r="AM669" s="541">
        <f t="shared" si="296"/>
        <v>0</v>
      </c>
      <c r="AN669" s="542" t="str">
        <f t="shared" si="297"/>
        <v/>
      </c>
      <c r="AO669" s="542" t="str">
        <f t="shared" si="298"/>
        <v/>
      </c>
      <c r="AP669" s="543" t="str">
        <f t="shared" si="299"/>
        <v/>
      </c>
      <c r="AQ669" s="544" t="str">
        <f t="shared" si="300"/>
        <v/>
      </c>
      <c r="AR669" s="545">
        <f t="shared" si="301"/>
        <v>0</v>
      </c>
      <c r="AS669" s="545">
        <f>IFERROR(CEILING($AR669*VLOOKUP($I669,Ref!$B$23:$E$29,4,0),1),0)</f>
        <v>0</v>
      </c>
      <c r="AT669" s="545" t="str">
        <f>IF(A669="","",IF(AP669&lt;=1,"Cleared",IF(AS669=0,"Clean",VLOOKUP($AS669,Ref!$G$23:$H$28,2))))</f>
        <v/>
      </c>
      <c r="AU669" s="546" t="str">
        <f t="shared" si="302"/>
        <v/>
      </c>
    </row>
    <row r="670" spans="1:47" ht="14.25" hidden="1" customHeight="1" x14ac:dyDescent="0.15">
      <c r="A670" s="523"/>
      <c r="B670" s="523"/>
      <c r="C670" s="523"/>
      <c r="D670" s="523"/>
      <c r="E670" s="579"/>
      <c r="F670" s="580"/>
      <c r="G670" s="524"/>
      <c r="H670" s="555"/>
      <c r="I670" s="560"/>
      <c r="J670" s="523"/>
      <c r="K670" s="528" t="str">
        <f>IFERROR(VLOOKUP($B670,'Clients-Live'!$A:$C,3,0),"")</f>
        <v/>
      </c>
      <c r="L670" s="528">
        <f>IF(E670="STL",Pricing!$D$38,IF(A670="",0,IF(A670&lt;Pricing!$C$25,Pricing!$D$25,VLOOKUP(Disbursements!$F670,Pricing!$B$29:$D$32,3))))</f>
        <v>0</v>
      </c>
      <c r="M670" s="528">
        <f>IF(E670="STL",0,IF(F670&gt;0,Pricing!$D$21,0))</f>
        <v>0</v>
      </c>
      <c r="N670" s="529">
        <f>IF(E670="STL",F670*Pricing!$D$40,IF(A670&lt;=Pricing!$C$4,0,IF(AND(A670&gt;Pricing!$C$4,Disbursements!A670&lt;=Pricing!$C$5),F670*Pricing!$E$5,IF(AND(A670&gt;Pricing!$C$5,Disbursements!A670&lt;=Pricing!$C$7),VLOOKUP(F670,Pricing!$D$7:$E$8,2)*Disbursements!F670,F670*Pricing!$E$9))))</f>
        <v>0</v>
      </c>
      <c r="O670" s="528">
        <f>IF(E670="STL",0,IF($F670&gt;0,$F670*Pricing!$D$17,0))</f>
        <v>0</v>
      </c>
      <c r="P670" s="530" t="str">
        <f t="shared" si="282"/>
        <v/>
      </c>
      <c r="Q670" s="531" t="str">
        <f>IF($A670="","",$G670/VLOOKUP($I670,Ref!$B$23:$D$29,2,0))</f>
        <v/>
      </c>
      <c r="R670" s="530" t="str">
        <f t="shared" si="283"/>
        <v/>
      </c>
      <c r="S670" s="532" t="str">
        <f t="shared" si="277"/>
        <v/>
      </c>
      <c r="T670" s="531" t="str">
        <f t="shared" si="284"/>
        <v/>
      </c>
      <c r="U670" s="533">
        <f t="shared" si="285"/>
        <v>0</v>
      </c>
      <c r="V670" s="531" t="str">
        <f t="shared" si="286"/>
        <v/>
      </c>
      <c r="W670" s="531" t="str">
        <f t="shared" si="287"/>
        <v/>
      </c>
      <c r="X670" s="534" t="str">
        <f t="shared" si="288"/>
        <v/>
      </c>
      <c r="Y670" s="535" t="str">
        <f>IF($A670="","",IF($I670="weekly",$A670+7,EDATE($A670,VLOOKUP($I670,Ref!$B$24:$C$29,2,0))))</f>
        <v/>
      </c>
      <c r="Z670" s="536" t="str">
        <f t="shared" si="289"/>
        <v/>
      </c>
      <c r="AA670" s="531">
        <f t="shared" si="290"/>
        <v>0</v>
      </c>
      <c r="AB670" s="535" t="str">
        <f t="shared" si="278"/>
        <v/>
      </c>
      <c r="AC670" s="537" t="str">
        <f t="shared" si="279"/>
        <v/>
      </c>
      <c r="AD670" s="538" t="str">
        <f t="shared" ca="1" si="280"/>
        <v/>
      </c>
      <c r="AE670" s="537">
        <f t="shared" ca="1" si="281"/>
        <v>0</v>
      </c>
      <c r="AF670" s="539" t="str">
        <f t="shared" ca="1" si="291"/>
        <v/>
      </c>
      <c r="AG670" s="531" t="str">
        <f t="shared" ca="1" si="292"/>
        <v/>
      </c>
      <c r="AH670" s="531" t="str">
        <f t="shared" ca="1" si="293"/>
        <v/>
      </c>
      <c r="AI670" s="531" t="str">
        <f t="shared" ca="1" si="294"/>
        <v/>
      </c>
      <c r="AJ670" s="531" t="str">
        <f t="shared" si="295"/>
        <v/>
      </c>
      <c r="AK670" s="540">
        <f>SUMIFS('Live Collections'!$S:$S,'Live Collections'!$D:$D,Disbursements!B670,'Live Collections'!$G:$G,Disbursements!C670)</f>
        <v>0</v>
      </c>
      <c r="AL670" s="540">
        <f>SUMIFS('Live Collections'!$T:$T,'Live Collections'!$D:$D,Disbursements!B670,'Live Collections'!$G:$G,Disbursements!C670)</f>
        <v>0</v>
      </c>
      <c r="AM670" s="541">
        <f t="shared" si="296"/>
        <v>0</v>
      </c>
      <c r="AN670" s="542" t="str">
        <f t="shared" si="297"/>
        <v/>
      </c>
      <c r="AO670" s="542" t="str">
        <f t="shared" si="298"/>
        <v/>
      </c>
      <c r="AP670" s="543" t="str">
        <f t="shared" si="299"/>
        <v/>
      </c>
      <c r="AQ670" s="544" t="str">
        <f t="shared" si="300"/>
        <v/>
      </c>
      <c r="AR670" s="545">
        <f t="shared" si="301"/>
        <v>0</v>
      </c>
      <c r="AS670" s="545">
        <f>IFERROR(CEILING($AR670*VLOOKUP($I670,Ref!$B$23:$E$29,4,0),1),0)</f>
        <v>0</v>
      </c>
      <c r="AT670" s="545" t="str">
        <f>IF(A670="","",IF(AP670&lt;=1,"Cleared",IF(AS670=0,"Clean",VLOOKUP($AS670,Ref!$G$23:$H$28,2))))</f>
        <v/>
      </c>
      <c r="AU670" s="546" t="str">
        <f t="shared" si="302"/>
        <v/>
      </c>
    </row>
    <row r="671" spans="1:47" ht="14.25" hidden="1" customHeight="1" x14ac:dyDescent="0.15">
      <c r="A671" s="523"/>
      <c r="B671" s="523"/>
      <c r="C671" s="523"/>
      <c r="D671" s="523"/>
      <c r="E671" s="579"/>
      <c r="F671" s="580"/>
      <c r="G671" s="524"/>
      <c r="H671" s="555"/>
      <c r="I671" s="560"/>
      <c r="J671" s="523"/>
      <c r="K671" s="528" t="str">
        <f>IFERROR(VLOOKUP($B671,'Clients-Live'!$A:$C,3,0),"")</f>
        <v/>
      </c>
      <c r="L671" s="528">
        <f>IF(E671="STL",Pricing!$D$38,IF(A671="",0,IF(A671&lt;Pricing!$C$25,Pricing!$D$25,VLOOKUP(Disbursements!$F671,Pricing!$B$29:$D$32,3))))</f>
        <v>0</v>
      </c>
      <c r="M671" s="528">
        <f>IF(E671="STL",0,IF(F671&gt;0,Pricing!$D$21,0))</f>
        <v>0</v>
      </c>
      <c r="N671" s="529">
        <f>IF(E671="STL",F671*Pricing!$D$40,IF(A671&lt;=Pricing!$C$4,0,IF(AND(A671&gt;Pricing!$C$4,Disbursements!A671&lt;=Pricing!$C$5),F671*Pricing!$E$5,IF(AND(A671&gt;Pricing!$C$5,Disbursements!A671&lt;=Pricing!$C$7),VLOOKUP(F671,Pricing!$D$7:$E$8,2)*Disbursements!F671,F671*Pricing!$E$9))))</f>
        <v>0</v>
      </c>
      <c r="O671" s="528">
        <f>IF(E671="STL",0,IF($F671&gt;0,$F671*Pricing!$D$17,0))</f>
        <v>0</v>
      </c>
      <c r="P671" s="530" t="str">
        <f t="shared" si="282"/>
        <v/>
      </c>
      <c r="Q671" s="531" t="str">
        <f>IF($A671="","",$G671/VLOOKUP($I671,Ref!$B$23:$D$29,2,0))</f>
        <v/>
      </c>
      <c r="R671" s="530" t="str">
        <f t="shared" si="283"/>
        <v/>
      </c>
      <c r="S671" s="532" t="str">
        <f t="shared" si="277"/>
        <v/>
      </c>
      <c r="T671" s="531" t="str">
        <f t="shared" si="284"/>
        <v/>
      </c>
      <c r="U671" s="533">
        <f t="shared" si="285"/>
        <v>0</v>
      </c>
      <c r="V671" s="531" t="str">
        <f t="shared" si="286"/>
        <v/>
      </c>
      <c r="W671" s="531" t="str">
        <f t="shared" si="287"/>
        <v/>
      </c>
      <c r="X671" s="534" t="str">
        <f t="shared" si="288"/>
        <v/>
      </c>
      <c r="Y671" s="535" t="str">
        <f>IF($A671="","",IF($I671="weekly",$A671+7,EDATE($A671,VLOOKUP($I671,Ref!$B$24:$C$29,2,0))))</f>
        <v/>
      </c>
      <c r="Z671" s="536" t="str">
        <f t="shared" si="289"/>
        <v/>
      </c>
      <c r="AA671" s="531">
        <f t="shared" si="290"/>
        <v>0</v>
      </c>
      <c r="AB671" s="535" t="str">
        <f t="shared" si="278"/>
        <v/>
      </c>
      <c r="AC671" s="537" t="str">
        <f t="shared" si="279"/>
        <v/>
      </c>
      <c r="AD671" s="538" t="str">
        <f t="shared" ca="1" si="280"/>
        <v/>
      </c>
      <c r="AE671" s="537">
        <f t="shared" ca="1" si="281"/>
        <v>0</v>
      </c>
      <c r="AF671" s="539" t="str">
        <f t="shared" ca="1" si="291"/>
        <v/>
      </c>
      <c r="AG671" s="531" t="str">
        <f t="shared" ca="1" si="292"/>
        <v/>
      </c>
      <c r="AH671" s="531" t="str">
        <f t="shared" ca="1" si="293"/>
        <v/>
      </c>
      <c r="AI671" s="531" t="str">
        <f t="shared" ca="1" si="294"/>
        <v/>
      </c>
      <c r="AJ671" s="531" t="str">
        <f t="shared" si="295"/>
        <v/>
      </c>
      <c r="AK671" s="540">
        <f>SUMIFS('Live Collections'!$S:$S,'Live Collections'!$D:$D,Disbursements!B671,'Live Collections'!$G:$G,Disbursements!C671)</f>
        <v>0</v>
      </c>
      <c r="AL671" s="540">
        <f>SUMIFS('Live Collections'!$T:$T,'Live Collections'!$D:$D,Disbursements!B671,'Live Collections'!$G:$G,Disbursements!C671)</f>
        <v>0</v>
      </c>
      <c r="AM671" s="541">
        <f t="shared" si="296"/>
        <v>0</v>
      </c>
      <c r="AN671" s="542" t="str">
        <f t="shared" si="297"/>
        <v/>
      </c>
      <c r="AO671" s="542" t="str">
        <f t="shared" si="298"/>
        <v/>
      </c>
      <c r="AP671" s="543" t="str">
        <f t="shared" si="299"/>
        <v/>
      </c>
      <c r="AQ671" s="544" t="str">
        <f t="shared" si="300"/>
        <v/>
      </c>
      <c r="AR671" s="545">
        <f t="shared" si="301"/>
        <v>0</v>
      </c>
      <c r="AS671" s="545">
        <f>IFERROR(CEILING($AR671*VLOOKUP($I671,Ref!$B$23:$E$29,4,0),1),0)</f>
        <v>0</v>
      </c>
      <c r="AT671" s="545" t="str">
        <f>IF(A671="","",IF(AP671&lt;=1,"Cleared",IF(AS671=0,"Clean",VLOOKUP($AS671,Ref!$G$23:$H$28,2))))</f>
        <v/>
      </c>
      <c r="AU671" s="546" t="str">
        <f t="shared" si="302"/>
        <v/>
      </c>
    </row>
    <row r="672" spans="1:47" ht="14.25" hidden="1" customHeight="1" x14ac:dyDescent="0.15">
      <c r="A672" s="523"/>
      <c r="B672" s="523"/>
      <c r="C672" s="523"/>
      <c r="D672" s="523"/>
      <c r="E672" s="579"/>
      <c r="F672" s="580"/>
      <c r="G672" s="524"/>
      <c r="H672" s="555"/>
      <c r="I672" s="560"/>
      <c r="J672" s="523"/>
      <c r="K672" s="528" t="str">
        <f>IFERROR(VLOOKUP($B672,'Clients-Live'!$A:$C,3,0),"")</f>
        <v/>
      </c>
      <c r="L672" s="528">
        <f>IF(E672="STL",Pricing!$D$38,IF(A672="",0,IF(A672&lt;Pricing!$C$25,Pricing!$D$25,VLOOKUP(Disbursements!$F672,Pricing!$B$29:$D$32,3))))</f>
        <v>0</v>
      </c>
      <c r="M672" s="528">
        <f>IF(E672="STL",0,IF(F672&gt;0,Pricing!$D$21,0))</f>
        <v>0</v>
      </c>
      <c r="N672" s="529">
        <f>IF(E672="STL",F672*Pricing!$D$40,IF(A672&lt;=Pricing!$C$4,0,IF(AND(A672&gt;Pricing!$C$4,Disbursements!A672&lt;=Pricing!$C$5),F672*Pricing!$E$5,IF(AND(A672&gt;Pricing!$C$5,Disbursements!A672&lt;=Pricing!$C$7),VLOOKUP(F672,Pricing!$D$7:$E$8,2)*Disbursements!F672,F672*Pricing!$E$9))))</f>
        <v>0</v>
      </c>
      <c r="O672" s="528">
        <f>IF(E672="STL",0,IF($F672&gt;0,$F672*Pricing!$D$17,0))</f>
        <v>0</v>
      </c>
      <c r="P672" s="530" t="str">
        <f t="shared" si="282"/>
        <v/>
      </c>
      <c r="Q672" s="531" t="str">
        <f>IF($A672="","",$G672/VLOOKUP($I672,Ref!$B$23:$D$29,2,0))</f>
        <v/>
      </c>
      <c r="R672" s="530" t="str">
        <f t="shared" si="283"/>
        <v/>
      </c>
      <c r="S672" s="532" t="str">
        <f t="shared" si="277"/>
        <v/>
      </c>
      <c r="T672" s="531" t="str">
        <f t="shared" si="284"/>
        <v/>
      </c>
      <c r="U672" s="533">
        <f t="shared" si="285"/>
        <v>0</v>
      </c>
      <c r="V672" s="531" t="str">
        <f t="shared" si="286"/>
        <v/>
      </c>
      <c r="W672" s="531" t="str">
        <f t="shared" si="287"/>
        <v/>
      </c>
      <c r="X672" s="534" t="str">
        <f t="shared" si="288"/>
        <v/>
      </c>
      <c r="Y672" s="535" t="str">
        <f>IF($A672="","",IF($I672="weekly",$A672+7,EDATE($A672,VLOOKUP($I672,Ref!$B$24:$C$29,2,0))))</f>
        <v/>
      </c>
      <c r="Z672" s="536" t="str">
        <f t="shared" si="289"/>
        <v/>
      </c>
      <c r="AA672" s="531">
        <f t="shared" si="290"/>
        <v>0</v>
      </c>
      <c r="AB672" s="535" t="str">
        <f t="shared" si="278"/>
        <v/>
      </c>
      <c r="AC672" s="537" t="str">
        <f t="shared" si="279"/>
        <v/>
      </c>
      <c r="AD672" s="538" t="str">
        <f t="shared" ca="1" si="280"/>
        <v/>
      </c>
      <c r="AE672" s="537">
        <f t="shared" ca="1" si="281"/>
        <v>0</v>
      </c>
      <c r="AF672" s="539" t="str">
        <f t="shared" ca="1" si="291"/>
        <v/>
      </c>
      <c r="AG672" s="531" t="str">
        <f t="shared" ca="1" si="292"/>
        <v/>
      </c>
      <c r="AH672" s="531" t="str">
        <f t="shared" ca="1" si="293"/>
        <v/>
      </c>
      <c r="AI672" s="531" t="str">
        <f t="shared" ca="1" si="294"/>
        <v/>
      </c>
      <c r="AJ672" s="531" t="str">
        <f t="shared" si="295"/>
        <v/>
      </c>
      <c r="AK672" s="540">
        <f>SUMIFS('Live Collections'!$S:$S,'Live Collections'!$D:$D,Disbursements!B672,'Live Collections'!$G:$G,Disbursements!C672)</f>
        <v>0</v>
      </c>
      <c r="AL672" s="540">
        <f>SUMIFS('Live Collections'!$T:$T,'Live Collections'!$D:$D,Disbursements!B672,'Live Collections'!$G:$G,Disbursements!C672)</f>
        <v>0</v>
      </c>
      <c r="AM672" s="541">
        <f t="shared" si="296"/>
        <v>0</v>
      </c>
      <c r="AN672" s="542" t="str">
        <f t="shared" si="297"/>
        <v/>
      </c>
      <c r="AO672" s="542" t="str">
        <f t="shared" si="298"/>
        <v/>
      </c>
      <c r="AP672" s="543" t="str">
        <f t="shared" si="299"/>
        <v/>
      </c>
      <c r="AQ672" s="544" t="str">
        <f t="shared" si="300"/>
        <v/>
      </c>
      <c r="AR672" s="545">
        <f t="shared" si="301"/>
        <v>0</v>
      </c>
      <c r="AS672" s="545">
        <f>IFERROR(CEILING($AR672*VLOOKUP($I672,Ref!$B$23:$E$29,4,0),1),0)</f>
        <v>0</v>
      </c>
      <c r="AT672" s="545" t="str">
        <f>IF(A672="","",IF(AP672&lt;=1,"Cleared",IF(AS672=0,"Clean",VLOOKUP($AS672,Ref!$G$23:$H$28,2))))</f>
        <v/>
      </c>
      <c r="AU672" s="546" t="str">
        <f t="shared" si="302"/>
        <v/>
      </c>
    </row>
    <row r="673" spans="1:47" ht="14.25" hidden="1" customHeight="1" x14ac:dyDescent="0.15">
      <c r="A673" s="523"/>
      <c r="B673" s="523"/>
      <c r="C673" s="523"/>
      <c r="D673" s="523"/>
      <c r="E673" s="579"/>
      <c r="F673" s="580"/>
      <c r="G673" s="524"/>
      <c r="H673" s="555"/>
      <c r="I673" s="560"/>
      <c r="J673" s="523"/>
      <c r="K673" s="528" t="str">
        <f>IFERROR(VLOOKUP($B673,'Clients-Live'!$A:$C,3,0),"")</f>
        <v/>
      </c>
      <c r="L673" s="528">
        <f>IF(E673="STL",Pricing!$D$38,IF(A673="",0,IF(A673&lt;Pricing!$C$25,Pricing!$D$25,VLOOKUP(Disbursements!$F673,Pricing!$B$29:$D$32,3))))</f>
        <v>0</v>
      </c>
      <c r="M673" s="528">
        <f>IF(E673="STL",0,IF(F673&gt;0,Pricing!$D$21,0))</f>
        <v>0</v>
      </c>
      <c r="N673" s="529">
        <f>IF(E673="STL",F673*Pricing!$D$40,IF(A673&lt;=Pricing!$C$4,0,IF(AND(A673&gt;Pricing!$C$4,Disbursements!A673&lt;=Pricing!$C$5),F673*Pricing!$E$5,IF(AND(A673&gt;Pricing!$C$5,Disbursements!A673&lt;=Pricing!$C$7),VLOOKUP(F673,Pricing!$D$7:$E$8,2)*Disbursements!F673,F673*Pricing!$E$9))))</f>
        <v>0</v>
      </c>
      <c r="O673" s="528">
        <f>IF(E673="STL",0,IF($F673&gt;0,$F673*Pricing!$D$17,0))</f>
        <v>0</v>
      </c>
      <c r="P673" s="530" t="str">
        <f t="shared" si="282"/>
        <v/>
      </c>
      <c r="Q673" s="531" t="str">
        <f>IF($A673="","",$G673/VLOOKUP($I673,Ref!$B$23:$D$29,2,0))</f>
        <v/>
      </c>
      <c r="R673" s="530" t="str">
        <f t="shared" si="283"/>
        <v/>
      </c>
      <c r="S673" s="532" t="str">
        <f t="shared" si="277"/>
        <v/>
      </c>
      <c r="T673" s="531" t="str">
        <f t="shared" si="284"/>
        <v/>
      </c>
      <c r="U673" s="533">
        <f t="shared" si="285"/>
        <v>0</v>
      </c>
      <c r="V673" s="531" t="str">
        <f t="shared" si="286"/>
        <v/>
      </c>
      <c r="W673" s="531" t="str">
        <f t="shared" si="287"/>
        <v/>
      </c>
      <c r="X673" s="534" t="str">
        <f t="shared" si="288"/>
        <v/>
      </c>
      <c r="Y673" s="535" t="str">
        <f>IF($A673="","",IF($I673="weekly",$A673+7,EDATE($A673,VLOOKUP($I673,Ref!$B$24:$C$29,2,0))))</f>
        <v/>
      </c>
      <c r="Z673" s="536" t="str">
        <f t="shared" si="289"/>
        <v/>
      </c>
      <c r="AA673" s="531">
        <f t="shared" si="290"/>
        <v>0</v>
      </c>
      <c r="AB673" s="535" t="str">
        <f t="shared" si="278"/>
        <v/>
      </c>
      <c r="AC673" s="537" t="str">
        <f t="shared" si="279"/>
        <v/>
      </c>
      <c r="AD673" s="538" t="str">
        <f t="shared" ca="1" si="280"/>
        <v/>
      </c>
      <c r="AE673" s="537">
        <f t="shared" ca="1" si="281"/>
        <v>0</v>
      </c>
      <c r="AF673" s="539" t="str">
        <f t="shared" ca="1" si="291"/>
        <v/>
      </c>
      <c r="AG673" s="531" t="str">
        <f t="shared" ca="1" si="292"/>
        <v/>
      </c>
      <c r="AH673" s="531" t="str">
        <f t="shared" ca="1" si="293"/>
        <v/>
      </c>
      <c r="AI673" s="531" t="str">
        <f t="shared" ca="1" si="294"/>
        <v/>
      </c>
      <c r="AJ673" s="531" t="str">
        <f t="shared" si="295"/>
        <v/>
      </c>
      <c r="AK673" s="540">
        <f>SUMIFS('Live Collections'!$S:$S,'Live Collections'!$D:$D,Disbursements!B673,'Live Collections'!$G:$G,Disbursements!C673)</f>
        <v>0</v>
      </c>
      <c r="AL673" s="540">
        <f>SUMIFS('Live Collections'!$T:$T,'Live Collections'!$D:$D,Disbursements!B673,'Live Collections'!$G:$G,Disbursements!C673)</f>
        <v>0</v>
      </c>
      <c r="AM673" s="541">
        <f t="shared" si="296"/>
        <v>0</v>
      </c>
      <c r="AN673" s="542" t="str">
        <f t="shared" si="297"/>
        <v/>
      </c>
      <c r="AO673" s="542" t="str">
        <f t="shared" si="298"/>
        <v/>
      </c>
      <c r="AP673" s="543" t="str">
        <f t="shared" si="299"/>
        <v/>
      </c>
      <c r="AQ673" s="544" t="str">
        <f t="shared" si="300"/>
        <v/>
      </c>
      <c r="AR673" s="545">
        <f t="shared" si="301"/>
        <v>0</v>
      </c>
      <c r="AS673" s="545">
        <f>IFERROR(CEILING($AR673*VLOOKUP($I673,Ref!$B$23:$E$29,4,0),1),0)</f>
        <v>0</v>
      </c>
      <c r="AT673" s="545" t="str">
        <f>IF(A673="","",IF(AP673&lt;=1,"Cleared",IF(AS673=0,"Clean",VLOOKUP($AS673,Ref!$G$23:$H$28,2))))</f>
        <v/>
      </c>
      <c r="AU673" s="546" t="str">
        <f t="shared" si="302"/>
        <v/>
      </c>
    </row>
    <row r="674" spans="1:47" ht="14.25" hidden="1" customHeight="1" x14ac:dyDescent="0.15">
      <c r="A674" s="523"/>
      <c r="B674" s="523"/>
      <c r="C674" s="523"/>
      <c r="D674" s="523"/>
      <c r="E674" s="579"/>
      <c r="F674" s="580"/>
      <c r="G674" s="524"/>
      <c r="H674" s="555"/>
      <c r="I674" s="560"/>
      <c r="J674" s="523"/>
      <c r="K674" s="528" t="str">
        <f>IFERROR(VLOOKUP($B674,'Clients-Live'!$A:$C,3,0),"")</f>
        <v/>
      </c>
      <c r="L674" s="528">
        <f>IF(E674="STL",Pricing!$D$38,IF(A674="",0,IF(A674&lt;Pricing!$C$25,Pricing!$D$25,VLOOKUP(Disbursements!$F674,Pricing!$B$29:$D$32,3))))</f>
        <v>0</v>
      </c>
      <c r="M674" s="528">
        <f>IF(E674="STL",0,IF(F674&gt;0,Pricing!$D$21,0))</f>
        <v>0</v>
      </c>
      <c r="N674" s="529">
        <f>IF(E674="STL",F674*Pricing!$D$40,IF(A674&lt;=Pricing!$C$4,0,IF(AND(A674&gt;Pricing!$C$4,Disbursements!A674&lt;=Pricing!$C$5),F674*Pricing!$E$5,IF(AND(A674&gt;Pricing!$C$5,Disbursements!A674&lt;=Pricing!$C$7),VLOOKUP(F674,Pricing!$D$7:$E$8,2)*Disbursements!F674,F674*Pricing!$E$9))))</f>
        <v>0</v>
      </c>
      <c r="O674" s="528">
        <f>IF(E674="STL",0,IF($F674&gt;0,$F674*Pricing!$D$17,0))</f>
        <v>0</v>
      </c>
      <c r="P674" s="530" t="str">
        <f t="shared" si="282"/>
        <v/>
      </c>
      <c r="Q674" s="531" t="str">
        <f>IF($A674="","",$G674/VLOOKUP($I674,Ref!$B$23:$D$29,2,0))</f>
        <v/>
      </c>
      <c r="R674" s="530" t="str">
        <f t="shared" si="283"/>
        <v/>
      </c>
      <c r="S674" s="532" t="str">
        <f t="shared" si="277"/>
        <v/>
      </c>
      <c r="T674" s="531" t="str">
        <f t="shared" si="284"/>
        <v/>
      </c>
      <c r="U674" s="533">
        <f t="shared" si="285"/>
        <v>0</v>
      </c>
      <c r="V674" s="531" t="str">
        <f t="shared" si="286"/>
        <v/>
      </c>
      <c r="W674" s="531" t="str">
        <f t="shared" si="287"/>
        <v/>
      </c>
      <c r="X674" s="534" t="str">
        <f t="shared" si="288"/>
        <v/>
      </c>
      <c r="Y674" s="535" t="str">
        <f>IF($A674="","",IF($I674="weekly",$A674+7,EDATE($A674,VLOOKUP($I674,Ref!$B$24:$C$29,2,0))))</f>
        <v/>
      </c>
      <c r="Z674" s="536" t="str">
        <f t="shared" si="289"/>
        <v/>
      </c>
      <c r="AA674" s="531">
        <f t="shared" si="290"/>
        <v>0</v>
      </c>
      <c r="AB674" s="535" t="str">
        <f t="shared" si="278"/>
        <v/>
      </c>
      <c r="AC674" s="537" t="str">
        <f t="shared" si="279"/>
        <v/>
      </c>
      <c r="AD674" s="538" t="str">
        <f t="shared" ca="1" si="280"/>
        <v/>
      </c>
      <c r="AE674" s="537">
        <f t="shared" ca="1" si="281"/>
        <v>0</v>
      </c>
      <c r="AF674" s="539" t="str">
        <f t="shared" ca="1" si="291"/>
        <v/>
      </c>
      <c r="AG674" s="531" t="str">
        <f t="shared" ca="1" si="292"/>
        <v/>
      </c>
      <c r="AH674" s="531" t="str">
        <f t="shared" ca="1" si="293"/>
        <v/>
      </c>
      <c r="AI674" s="531" t="str">
        <f t="shared" ca="1" si="294"/>
        <v/>
      </c>
      <c r="AJ674" s="531" t="str">
        <f t="shared" si="295"/>
        <v/>
      </c>
      <c r="AK674" s="540">
        <f>SUMIFS('Live Collections'!$S:$S,'Live Collections'!$D:$D,Disbursements!B674,'Live Collections'!$G:$G,Disbursements!C674)</f>
        <v>0</v>
      </c>
      <c r="AL674" s="540">
        <f>SUMIFS('Live Collections'!$T:$T,'Live Collections'!$D:$D,Disbursements!B674,'Live Collections'!$G:$G,Disbursements!C674)</f>
        <v>0</v>
      </c>
      <c r="AM674" s="541">
        <f t="shared" si="296"/>
        <v>0</v>
      </c>
      <c r="AN674" s="542" t="str">
        <f t="shared" si="297"/>
        <v/>
      </c>
      <c r="AO674" s="542" t="str">
        <f t="shared" si="298"/>
        <v/>
      </c>
      <c r="AP674" s="543" t="str">
        <f t="shared" si="299"/>
        <v/>
      </c>
      <c r="AQ674" s="544" t="str">
        <f t="shared" si="300"/>
        <v/>
      </c>
      <c r="AR674" s="545">
        <f t="shared" si="301"/>
        <v>0</v>
      </c>
      <c r="AS674" s="545">
        <f>IFERROR(CEILING($AR674*VLOOKUP($I674,Ref!$B$23:$E$29,4,0),1),0)</f>
        <v>0</v>
      </c>
      <c r="AT674" s="545" t="str">
        <f>IF(A674="","",IF(AP674&lt;=1,"Cleared",IF(AS674=0,"Clean",VLOOKUP($AS674,Ref!$G$23:$H$28,2))))</f>
        <v/>
      </c>
      <c r="AU674" s="546" t="str">
        <f t="shared" si="302"/>
        <v/>
      </c>
    </row>
    <row r="675" spans="1:47" ht="14.25" hidden="1" customHeight="1" x14ac:dyDescent="0.15">
      <c r="A675" s="523"/>
      <c r="B675" s="523"/>
      <c r="C675" s="523"/>
      <c r="D675" s="523"/>
      <c r="E675" s="579"/>
      <c r="F675" s="580"/>
      <c r="G675" s="524"/>
      <c r="H675" s="555"/>
      <c r="I675" s="560"/>
      <c r="J675" s="523"/>
      <c r="K675" s="528" t="str">
        <f>IFERROR(VLOOKUP($B675,'Clients-Live'!$A:$C,3,0),"")</f>
        <v/>
      </c>
      <c r="L675" s="528">
        <f>IF(E675="STL",Pricing!$D$38,IF(A675="",0,IF(A675&lt;Pricing!$C$25,Pricing!$D$25,VLOOKUP(Disbursements!$F675,Pricing!$B$29:$D$32,3))))</f>
        <v>0</v>
      </c>
      <c r="M675" s="528">
        <f>IF(E675="STL",0,IF(F675&gt;0,Pricing!$D$21,0))</f>
        <v>0</v>
      </c>
      <c r="N675" s="529">
        <f>IF(E675="STL",F675*Pricing!$D$40,IF(A675&lt;=Pricing!$C$4,0,IF(AND(A675&gt;Pricing!$C$4,Disbursements!A675&lt;=Pricing!$C$5),F675*Pricing!$E$5,IF(AND(A675&gt;Pricing!$C$5,Disbursements!A675&lt;=Pricing!$C$7),VLOOKUP(F675,Pricing!$D$7:$E$8,2)*Disbursements!F675,F675*Pricing!$E$9))))</f>
        <v>0</v>
      </c>
      <c r="O675" s="528">
        <f>IF(E675="STL",0,IF($F675&gt;0,$F675*Pricing!$D$17,0))</f>
        <v>0</v>
      </c>
      <c r="P675" s="530" t="str">
        <f t="shared" si="282"/>
        <v/>
      </c>
      <c r="Q675" s="531" t="str">
        <f>IF($A675="","",$G675/VLOOKUP($I675,Ref!$B$23:$D$29,2,0))</f>
        <v/>
      </c>
      <c r="R675" s="530" t="str">
        <f t="shared" si="283"/>
        <v/>
      </c>
      <c r="S675" s="532" t="str">
        <f t="shared" si="277"/>
        <v/>
      </c>
      <c r="T675" s="531" t="str">
        <f t="shared" si="284"/>
        <v/>
      </c>
      <c r="U675" s="533">
        <f t="shared" si="285"/>
        <v>0</v>
      </c>
      <c r="V675" s="531" t="str">
        <f t="shared" si="286"/>
        <v/>
      </c>
      <c r="W675" s="531" t="str">
        <f t="shared" si="287"/>
        <v/>
      </c>
      <c r="X675" s="534" t="str">
        <f t="shared" si="288"/>
        <v/>
      </c>
      <c r="Y675" s="535" t="str">
        <f>IF($A675="","",IF($I675="weekly",$A675+7,EDATE($A675,VLOOKUP($I675,Ref!$B$24:$C$29,2,0))))</f>
        <v/>
      </c>
      <c r="Z675" s="536" t="str">
        <f t="shared" si="289"/>
        <v/>
      </c>
      <c r="AA675" s="531">
        <f t="shared" si="290"/>
        <v>0</v>
      </c>
      <c r="AB675" s="535" t="str">
        <f t="shared" si="278"/>
        <v/>
      </c>
      <c r="AC675" s="537" t="str">
        <f t="shared" si="279"/>
        <v/>
      </c>
      <c r="AD675" s="538" t="str">
        <f t="shared" ca="1" si="280"/>
        <v/>
      </c>
      <c r="AE675" s="537">
        <f t="shared" ca="1" si="281"/>
        <v>0</v>
      </c>
      <c r="AF675" s="539" t="str">
        <f t="shared" ca="1" si="291"/>
        <v/>
      </c>
      <c r="AG675" s="531" t="str">
        <f t="shared" ca="1" si="292"/>
        <v/>
      </c>
      <c r="AH675" s="531" t="str">
        <f t="shared" ca="1" si="293"/>
        <v/>
      </c>
      <c r="AI675" s="531" t="str">
        <f t="shared" ca="1" si="294"/>
        <v/>
      </c>
      <c r="AJ675" s="531" t="str">
        <f t="shared" si="295"/>
        <v/>
      </c>
      <c r="AK675" s="540">
        <f>SUMIFS('Live Collections'!$S:$S,'Live Collections'!$D:$D,Disbursements!B675,'Live Collections'!$G:$G,Disbursements!C675)</f>
        <v>0</v>
      </c>
      <c r="AL675" s="540">
        <f>SUMIFS('Live Collections'!$T:$T,'Live Collections'!$D:$D,Disbursements!B675,'Live Collections'!$G:$G,Disbursements!C675)</f>
        <v>0</v>
      </c>
      <c r="AM675" s="541">
        <f t="shared" si="296"/>
        <v>0</v>
      </c>
      <c r="AN675" s="542" t="str">
        <f t="shared" si="297"/>
        <v/>
      </c>
      <c r="AO675" s="542" t="str">
        <f t="shared" si="298"/>
        <v/>
      </c>
      <c r="AP675" s="543" t="str">
        <f t="shared" si="299"/>
        <v/>
      </c>
      <c r="AQ675" s="544" t="str">
        <f t="shared" si="300"/>
        <v/>
      </c>
      <c r="AR675" s="545">
        <f t="shared" si="301"/>
        <v>0</v>
      </c>
      <c r="AS675" s="545">
        <f>IFERROR(CEILING($AR675*VLOOKUP($I675,Ref!$B$23:$E$29,4,0),1),0)</f>
        <v>0</v>
      </c>
      <c r="AT675" s="545" t="str">
        <f>IF(A675="","",IF(AP675&lt;=1,"Cleared",IF(AS675=0,"Clean",VLOOKUP($AS675,Ref!$G$23:$H$28,2))))</f>
        <v/>
      </c>
      <c r="AU675" s="546" t="str">
        <f t="shared" si="302"/>
        <v/>
      </c>
    </row>
    <row r="676" spans="1:47" ht="14.25" hidden="1" customHeight="1" x14ac:dyDescent="0.15">
      <c r="A676" s="523"/>
      <c r="B676" s="523"/>
      <c r="C676" s="523"/>
      <c r="D676" s="523"/>
      <c r="E676" s="579"/>
      <c r="F676" s="580"/>
      <c r="G676" s="524"/>
      <c r="H676" s="555"/>
      <c r="I676" s="560"/>
      <c r="J676" s="523"/>
      <c r="K676" s="528" t="str">
        <f>IFERROR(VLOOKUP($B676,'Clients-Live'!$A:$C,3,0),"")</f>
        <v/>
      </c>
      <c r="L676" s="528">
        <f>IF(E676="STL",Pricing!$D$38,IF(A676="",0,IF(A676&lt;Pricing!$C$25,Pricing!$D$25,VLOOKUP(Disbursements!$F676,Pricing!$B$29:$D$32,3))))</f>
        <v>0</v>
      </c>
      <c r="M676" s="528">
        <f>IF(E676="STL",0,IF(F676&gt;0,Pricing!$D$21,0))</f>
        <v>0</v>
      </c>
      <c r="N676" s="529">
        <f>IF(E676="STL",F676*Pricing!$D$40,IF(A676&lt;=Pricing!$C$4,0,IF(AND(A676&gt;Pricing!$C$4,Disbursements!A676&lt;=Pricing!$C$5),F676*Pricing!$E$5,IF(AND(A676&gt;Pricing!$C$5,Disbursements!A676&lt;=Pricing!$C$7),VLOOKUP(F676,Pricing!$D$7:$E$8,2)*Disbursements!F676,F676*Pricing!$E$9))))</f>
        <v>0</v>
      </c>
      <c r="O676" s="528">
        <f>IF(E676="STL",0,IF($F676&gt;0,$F676*Pricing!$D$17,0))</f>
        <v>0</v>
      </c>
      <c r="P676" s="530" t="str">
        <f t="shared" si="282"/>
        <v/>
      </c>
      <c r="Q676" s="531" t="str">
        <f>IF($A676="","",$G676/VLOOKUP($I676,Ref!$B$23:$D$29,2,0))</f>
        <v/>
      </c>
      <c r="R676" s="530" t="str">
        <f t="shared" si="283"/>
        <v/>
      </c>
      <c r="S676" s="532" t="str">
        <f t="shared" si="277"/>
        <v/>
      </c>
      <c r="T676" s="531" t="str">
        <f t="shared" si="284"/>
        <v/>
      </c>
      <c r="U676" s="533">
        <f t="shared" si="285"/>
        <v>0</v>
      </c>
      <c r="V676" s="531" t="str">
        <f t="shared" si="286"/>
        <v/>
      </c>
      <c r="W676" s="531" t="str">
        <f t="shared" si="287"/>
        <v/>
      </c>
      <c r="X676" s="534" t="str">
        <f t="shared" si="288"/>
        <v/>
      </c>
      <c r="Y676" s="535" t="str">
        <f>IF($A676="","",IF($I676="weekly",$A676+7,EDATE($A676,VLOOKUP($I676,Ref!$B$24:$C$29,2,0))))</f>
        <v/>
      </c>
      <c r="Z676" s="536" t="str">
        <f t="shared" si="289"/>
        <v/>
      </c>
      <c r="AA676" s="531">
        <f t="shared" si="290"/>
        <v>0</v>
      </c>
      <c r="AB676" s="535" t="str">
        <f t="shared" si="278"/>
        <v/>
      </c>
      <c r="AC676" s="537" t="str">
        <f t="shared" si="279"/>
        <v/>
      </c>
      <c r="AD676" s="538" t="str">
        <f t="shared" ca="1" si="280"/>
        <v/>
      </c>
      <c r="AE676" s="537">
        <f t="shared" ca="1" si="281"/>
        <v>0</v>
      </c>
      <c r="AF676" s="539" t="str">
        <f t="shared" ca="1" si="291"/>
        <v/>
      </c>
      <c r="AG676" s="531" t="str">
        <f t="shared" ca="1" si="292"/>
        <v/>
      </c>
      <c r="AH676" s="531" t="str">
        <f t="shared" ca="1" si="293"/>
        <v/>
      </c>
      <c r="AI676" s="531" t="str">
        <f t="shared" ca="1" si="294"/>
        <v/>
      </c>
      <c r="AJ676" s="531" t="str">
        <f t="shared" si="295"/>
        <v/>
      </c>
      <c r="AK676" s="540">
        <f>SUMIFS('Live Collections'!$S:$S,'Live Collections'!$D:$D,Disbursements!B676,'Live Collections'!$G:$G,Disbursements!C676)</f>
        <v>0</v>
      </c>
      <c r="AL676" s="540">
        <f>SUMIFS('Live Collections'!$T:$T,'Live Collections'!$D:$D,Disbursements!B676,'Live Collections'!$G:$G,Disbursements!C676)</f>
        <v>0</v>
      </c>
      <c r="AM676" s="541">
        <f t="shared" si="296"/>
        <v>0</v>
      </c>
      <c r="AN676" s="542" t="str">
        <f t="shared" si="297"/>
        <v/>
      </c>
      <c r="AO676" s="542" t="str">
        <f t="shared" si="298"/>
        <v/>
      </c>
      <c r="AP676" s="543" t="str">
        <f t="shared" si="299"/>
        <v/>
      </c>
      <c r="AQ676" s="544" t="str">
        <f t="shared" si="300"/>
        <v/>
      </c>
      <c r="AR676" s="545">
        <f t="shared" si="301"/>
        <v>0</v>
      </c>
      <c r="AS676" s="545">
        <f>IFERROR(CEILING($AR676*VLOOKUP($I676,Ref!$B$23:$E$29,4,0),1),0)</f>
        <v>0</v>
      </c>
      <c r="AT676" s="545" t="str">
        <f>IF(A676="","",IF(AP676&lt;=1,"Cleared",IF(AS676=0,"Clean",VLOOKUP($AS676,Ref!$G$23:$H$28,2))))</f>
        <v/>
      </c>
      <c r="AU676" s="546" t="str">
        <f t="shared" si="302"/>
        <v/>
      </c>
    </row>
    <row r="677" spans="1:47" ht="14.25" hidden="1" customHeight="1" x14ac:dyDescent="0.15">
      <c r="A677" s="523"/>
      <c r="B677" s="523"/>
      <c r="C677" s="523"/>
      <c r="D677" s="523"/>
      <c r="E677" s="579"/>
      <c r="F677" s="580"/>
      <c r="G677" s="524"/>
      <c r="H677" s="555"/>
      <c r="I677" s="560"/>
      <c r="J677" s="523"/>
      <c r="K677" s="528" t="str">
        <f>IFERROR(VLOOKUP($B677,'Clients-Live'!$A:$C,3,0),"")</f>
        <v/>
      </c>
      <c r="L677" s="528">
        <f>IF(E677="STL",Pricing!$D$38,IF(A677="",0,IF(A677&lt;Pricing!$C$25,Pricing!$D$25,VLOOKUP(Disbursements!$F677,Pricing!$B$29:$D$32,3))))</f>
        <v>0</v>
      </c>
      <c r="M677" s="528">
        <f>IF(E677="STL",0,IF(F677&gt;0,Pricing!$D$21,0))</f>
        <v>0</v>
      </c>
      <c r="N677" s="529">
        <f>IF(E677="STL",F677*Pricing!$D$40,IF(A677&lt;=Pricing!$C$4,0,IF(AND(A677&gt;Pricing!$C$4,Disbursements!A677&lt;=Pricing!$C$5),F677*Pricing!$E$5,IF(AND(A677&gt;Pricing!$C$5,Disbursements!A677&lt;=Pricing!$C$7),VLOOKUP(F677,Pricing!$D$7:$E$8,2)*Disbursements!F677,F677*Pricing!$E$9))))</f>
        <v>0</v>
      </c>
      <c r="O677" s="528">
        <f>IF(E677="STL",0,IF($F677&gt;0,$F677*Pricing!$D$17,0))</f>
        <v>0</v>
      </c>
      <c r="P677" s="530" t="str">
        <f t="shared" si="282"/>
        <v/>
      </c>
      <c r="Q677" s="531" t="str">
        <f>IF($A677="","",$G677/VLOOKUP($I677,Ref!$B$23:$D$29,2,0))</f>
        <v/>
      </c>
      <c r="R677" s="530" t="str">
        <f t="shared" si="283"/>
        <v/>
      </c>
      <c r="S677" s="532" t="str">
        <f t="shared" si="277"/>
        <v/>
      </c>
      <c r="T677" s="531" t="str">
        <f t="shared" si="284"/>
        <v/>
      </c>
      <c r="U677" s="533">
        <f t="shared" si="285"/>
        <v>0</v>
      </c>
      <c r="V677" s="531" t="str">
        <f t="shared" si="286"/>
        <v/>
      </c>
      <c r="W677" s="531" t="str">
        <f t="shared" si="287"/>
        <v/>
      </c>
      <c r="X677" s="534" t="str">
        <f t="shared" si="288"/>
        <v/>
      </c>
      <c r="Y677" s="535" t="str">
        <f>IF($A677="","",IF($I677="weekly",$A677+7,EDATE($A677,VLOOKUP($I677,Ref!$B$24:$C$29,2,0))))</f>
        <v/>
      </c>
      <c r="Z677" s="536" t="str">
        <f t="shared" si="289"/>
        <v/>
      </c>
      <c r="AA677" s="531">
        <f t="shared" si="290"/>
        <v>0</v>
      </c>
      <c r="AB677" s="535" t="str">
        <f t="shared" si="278"/>
        <v/>
      </c>
      <c r="AC677" s="537" t="str">
        <f t="shared" si="279"/>
        <v/>
      </c>
      <c r="AD677" s="538" t="str">
        <f t="shared" ca="1" si="280"/>
        <v/>
      </c>
      <c r="AE677" s="537">
        <f t="shared" ca="1" si="281"/>
        <v>0</v>
      </c>
      <c r="AF677" s="539" t="str">
        <f t="shared" ca="1" si="291"/>
        <v/>
      </c>
      <c r="AG677" s="531" t="str">
        <f t="shared" ca="1" si="292"/>
        <v/>
      </c>
      <c r="AH677" s="531" t="str">
        <f t="shared" ca="1" si="293"/>
        <v/>
      </c>
      <c r="AI677" s="531" t="str">
        <f t="shared" ca="1" si="294"/>
        <v/>
      </c>
      <c r="AJ677" s="531" t="str">
        <f t="shared" si="295"/>
        <v/>
      </c>
      <c r="AK677" s="540">
        <f>SUMIFS('Live Collections'!$S:$S,'Live Collections'!$D:$D,Disbursements!B677,'Live Collections'!$G:$G,Disbursements!C677)</f>
        <v>0</v>
      </c>
      <c r="AL677" s="540">
        <f>SUMIFS('Live Collections'!$T:$T,'Live Collections'!$D:$D,Disbursements!B677,'Live Collections'!$G:$G,Disbursements!C677)</f>
        <v>0</v>
      </c>
      <c r="AM677" s="541">
        <f t="shared" si="296"/>
        <v>0</v>
      </c>
      <c r="AN677" s="542" t="str">
        <f t="shared" si="297"/>
        <v/>
      </c>
      <c r="AO677" s="542" t="str">
        <f t="shared" si="298"/>
        <v/>
      </c>
      <c r="AP677" s="543" t="str">
        <f t="shared" si="299"/>
        <v/>
      </c>
      <c r="AQ677" s="544" t="str">
        <f t="shared" si="300"/>
        <v/>
      </c>
      <c r="AR677" s="545">
        <f t="shared" si="301"/>
        <v>0</v>
      </c>
      <c r="AS677" s="545">
        <f>IFERROR(CEILING($AR677*VLOOKUP($I677,Ref!$B$23:$E$29,4,0),1),0)</f>
        <v>0</v>
      </c>
      <c r="AT677" s="545" t="str">
        <f>IF(A677="","",IF(AP677&lt;=1,"Cleared",IF(AS677=0,"Clean",VLOOKUP($AS677,Ref!$G$23:$H$28,2))))</f>
        <v/>
      </c>
      <c r="AU677" s="546" t="str">
        <f t="shared" si="302"/>
        <v/>
      </c>
    </row>
    <row r="678" spans="1:47" ht="14.25" hidden="1" customHeight="1" x14ac:dyDescent="0.15">
      <c r="A678" s="523"/>
      <c r="B678" s="523"/>
      <c r="C678" s="523"/>
      <c r="D678" s="523"/>
      <c r="E678" s="579"/>
      <c r="F678" s="580"/>
      <c r="G678" s="524"/>
      <c r="H678" s="555"/>
      <c r="I678" s="560"/>
      <c r="J678" s="523"/>
      <c r="K678" s="528" t="str">
        <f>IFERROR(VLOOKUP($B678,'Clients-Live'!$A:$C,3,0),"")</f>
        <v/>
      </c>
      <c r="L678" s="528">
        <f>IF(E678="STL",Pricing!$D$38,IF(A678="",0,IF(A678&lt;Pricing!$C$25,Pricing!$D$25,VLOOKUP(Disbursements!$F678,Pricing!$B$29:$D$32,3))))</f>
        <v>0</v>
      </c>
      <c r="M678" s="528">
        <f>IF(E678="STL",0,IF(F678&gt;0,Pricing!$D$21,0))</f>
        <v>0</v>
      </c>
      <c r="N678" s="529">
        <f>IF(E678="STL",F678*Pricing!$D$40,IF(A678&lt;=Pricing!$C$4,0,IF(AND(A678&gt;Pricing!$C$4,Disbursements!A678&lt;=Pricing!$C$5),F678*Pricing!$E$5,IF(AND(A678&gt;Pricing!$C$5,Disbursements!A678&lt;=Pricing!$C$7),VLOOKUP(F678,Pricing!$D$7:$E$8,2)*Disbursements!F678,F678*Pricing!$E$9))))</f>
        <v>0</v>
      </c>
      <c r="O678" s="528">
        <f>IF(E678="STL",0,IF($F678&gt;0,$F678*Pricing!$D$17,0))</f>
        <v>0</v>
      </c>
      <c r="P678" s="530" t="str">
        <f t="shared" si="282"/>
        <v/>
      </c>
      <c r="Q678" s="531" t="str">
        <f>IF($A678="","",$G678/VLOOKUP($I678,Ref!$B$23:$D$29,2,0))</f>
        <v/>
      </c>
      <c r="R678" s="530" t="str">
        <f t="shared" si="283"/>
        <v/>
      </c>
      <c r="S678" s="532" t="str">
        <f t="shared" si="277"/>
        <v/>
      </c>
      <c r="T678" s="531" t="str">
        <f t="shared" si="284"/>
        <v/>
      </c>
      <c r="U678" s="533">
        <f t="shared" si="285"/>
        <v>0</v>
      </c>
      <c r="V678" s="531" t="str">
        <f t="shared" si="286"/>
        <v/>
      </c>
      <c r="W678" s="531" t="str">
        <f t="shared" si="287"/>
        <v/>
      </c>
      <c r="X678" s="534" t="str">
        <f t="shared" si="288"/>
        <v/>
      </c>
      <c r="Y678" s="535" t="str">
        <f>IF($A678="","",IF($I678="weekly",$A678+7,EDATE($A678,VLOOKUP($I678,Ref!$B$24:$C$29,2,0))))</f>
        <v/>
      </c>
      <c r="Z678" s="536" t="str">
        <f t="shared" si="289"/>
        <v/>
      </c>
      <c r="AA678" s="531">
        <f t="shared" si="290"/>
        <v>0</v>
      </c>
      <c r="AB678" s="535" t="str">
        <f t="shared" si="278"/>
        <v/>
      </c>
      <c r="AC678" s="537" t="str">
        <f t="shared" si="279"/>
        <v/>
      </c>
      <c r="AD678" s="538" t="str">
        <f t="shared" ca="1" si="280"/>
        <v/>
      </c>
      <c r="AE678" s="537">
        <f t="shared" ca="1" si="281"/>
        <v>0</v>
      </c>
      <c r="AF678" s="539" t="str">
        <f t="shared" ca="1" si="291"/>
        <v/>
      </c>
      <c r="AG678" s="531" t="str">
        <f t="shared" ca="1" si="292"/>
        <v/>
      </c>
      <c r="AH678" s="531" t="str">
        <f t="shared" ca="1" si="293"/>
        <v/>
      </c>
      <c r="AI678" s="531" t="str">
        <f t="shared" ca="1" si="294"/>
        <v/>
      </c>
      <c r="AJ678" s="531" t="str">
        <f t="shared" si="295"/>
        <v/>
      </c>
      <c r="AK678" s="540">
        <f>SUMIFS('Live Collections'!$S:$S,'Live Collections'!$D:$D,Disbursements!B678,'Live Collections'!$G:$G,Disbursements!C678)</f>
        <v>0</v>
      </c>
      <c r="AL678" s="540">
        <f>SUMIFS('Live Collections'!$T:$T,'Live Collections'!$D:$D,Disbursements!B678,'Live Collections'!$G:$G,Disbursements!C678)</f>
        <v>0</v>
      </c>
      <c r="AM678" s="541">
        <f t="shared" si="296"/>
        <v>0</v>
      </c>
      <c r="AN678" s="542" t="str">
        <f t="shared" si="297"/>
        <v/>
      </c>
      <c r="AO678" s="542" t="str">
        <f t="shared" si="298"/>
        <v/>
      </c>
      <c r="AP678" s="543" t="str">
        <f t="shared" si="299"/>
        <v/>
      </c>
      <c r="AQ678" s="544" t="str">
        <f t="shared" si="300"/>
        <v/>
      </c>
      <c r="AR678" s="545">
        <f t="shared" si="301"/>
        <v>0</v>
      </c>
      <c r="AS678" s="545">
        <f>IFERROR(CEILING($AR678*VLOOKUP($I678,Ref!$B$23:$E$29,4,0),1),0)</f>
        <v>0</v>
      </c>
      <c r="AT678" s="545" t="str">
        <f>IF(A678="","",IF(AP678&lt;=1,"Cleared",IF(AS678=0,"Clean",VLOOKUP($AS678,Ref!$G$23:$H$28,2))))</f>
        <v/>
      </c>
      <c r="AU678" s="546" t="str">
        <f t="shared" si="302"/>
        <v/>
      </c>
    </row>
    <row r="679" spans="1:47" ht="14.25" hidden="1" customHeight="1" x14ac:dyDescent="0.15">
      <c r="A679" s="523"/>
      <c r="B679" s="523"/>
      <c r="C679" s="523"/>
      <c r="D679" s="523"/>
      <c r="E679" s="579"/>
      <c r="F679" s="580"/>
      <c r="G679" s="524"/>
      <c r="H679" s="555"/>
      <c r="I679" s="560"/>
      <c r="J679" s="523"/>
      <c r="K679" s="528" t="str">
        <f>IFERROR(VLOOKUP($B679,'Clients-Live'!$A:$C,3,0),"")</f>
        <v/>
      </c>
      <c r="L679" s="528">
        <f>IF(E679="STL",Pricing!$D$38,IF(A679="",0,IF(A679&lt;Pricing!$C$25,Pricing!$D$25,VLOOKUP(Disbursements!$F679,Pricing!$B$29:$D$32,3))))</f>
        <v>0</v>
      </c>
      <c r="M679" s="528">
        <f>IF(E679="STL",0,IF(F679&gt;0,Pricing!$D$21,0))</f>
        <v>0</v>
      </c>
      <c r="N679" s="529">
        <f>IF(E679="STL",F679*Pricing!$D$40,IF(A679&lt;=Pricing!$C$4,0,IF(AND(A679&gt;Pricing!$C$4,Disbursements!A679&lt;=Pricing!$C$5),F679*Pricing!$E$5,IF(AND(A679&gt;Pricing!$C$5,Disbursements!A679&lt;=Pricing!$C$7),VLOOKUP(F679,Pricing!$D$7:$E$8,2)*Disbursements!F679,F679*Pricing!$E$9))))</f>
        <v>0</v>
      </c>
      <c r="O679" s="528">
        <f>IF(E679="STL",0,IF($F679&gt;0,$F679*Pricing!$D$17,0))</f>
        <v>0</v>
      </c>
      <c r="P679" s="530" t="str">
        <f t="shared" si="282"/>
        <v/>
      </c>
      <c r="Q679" s="531" t="str">
        <f>IF($A679="","",$G679/VLOOKUP($I679,Ref!$B$23:$D$29,2,0))</f>
        <v/>
      </c>
      <c r="R679" s="530" t="str">
        <f t="shared" si="283"/>
        <v/>
      </c>
      <c r="S679" s="532" t="str">
        <f t="shared" si="277"/>
        <v/>
      </c>
      <c r="T679" s="531" t="str">
        <f t="shared" si="284"/>
        <v/>
      </c>
      <c r="U679" s="533">
        <f t="shared" si="285"/>
        <v>0</v>
      </c>
      <c r="V679" s="531" t="str">
        <f t="shared" si="286"/>
        <v/>
      </c>
      <c r="W679" s="531" t="str">
        <f t="shared" si="287"/>
        <v/>
      </c>
      <c r="X679" s="534" t="str">
        <f t="shared" si="288"/>
        <v/>
      </c>
      <c r="Y679" s="535" t="str">
        <f>IF($A679="","",IF($I679="weekly",$A679+7,EDATE($A679,VLOOKUP($I679,Ref!$B$24:$C$29,2,0))))</f>
        <v/>
      </c>
      <c r="Z679" s="536" t="str">
        <f t="shared" si="289"/>
        <v/>
      </c>
      <c r="AA679" s="531">
        <f t="shared" si="290"/>
        <v>0</v>
      </c>
      <c r="AB679" s="535" t="str">
        <f t="shared" si="278"/>
        <v/>
      </c>
      <c r="AC679" s="537" t="str">
        <f t="shared" si="279"/>
        <v/>
      </c>
      <c r="AD679" s="538" t="str">
        <f t="shared" ca="1" si="280"/>
        <v/>
      </c>
      <c r="AE679" s="537">
        <f t="shared" ca="1" si="281"/>
        <v>0</v>
      </c>
      <c r="AF679" s="539" t="str">
        <f t="shared" ca="1" si="291"/>
        <v/>
      </c>
      <c r="AG679" s="531" t="str">
        <f t="shared" ca="1" si="292"/>
        <v/>
      </c>
      <c r="AH679" s="531" t="str">
        <f t="shared" ca="1" si="293"/>
        <v/>
      </c>
      <c r="AI679" s="531" t="str">
        <f t="shared" ca="1" si="294"/>
        <v/>
      </c>
      <c r="AJ679" s="531" t="str">
        <f t="shared" si="295"/>
        <v/>
      </c>
      <c r="AK679" s="540">
        <f>SUMIFS('Live Collections'!$S:$S,'Live Collections'!$D:$D,Disbursements!B679,'Live Collections'!$G:$G,Disbursements!C679)</f>
        <v>0</v>
      </c>
      <c r="AL679" s="540">
        <f>SUMIFS('Live Collections'!$T:$T,'Live Collections'!$D:$D,Disbursements!B679,'Live Collections'!$G:$G,Disbursements!C679)</f>
        <v>0</v>
      </c>
      <c r="AM679" s="541">
        <f t="shared" si="296"/>
        <v>0</v>
      </c>
      <c r="AN679" s="542" t="str">
        <f t="shared" si="297"/>
        <v/>
      </c>
      <c r="AO679" s="542" t="str">
        <f t="shared" si="298"/>
        <v/>
      </c>
      <c r="AP679" s="543" t="str">
        <f t="shared" si="299"/>
        <v/>
      </c>
      <c r="AQ679" s="544" t="str">
        <f t="shared" si="300"/>
        <v/>
      </c>
      <c r="AR679" s="545">
        <f t="shared" si="301"/>
        <v>0</v>
      </c>
      <c r="AS679" s="545">
        <f>IFERROR(CEILING($AR679*VLOOKUP($I679,Ref!$B$23:$E$29,4,0),1),0)</f>
        <v>0</v>
      </c>
      <c r="AT679" s="545" t="str">
        <f>IF(A679="","",IF(AP679&lt;=1,"Cleared",IF(AS679=0,"Clean",VLOOKUP($AS679,Ref!$G$23:$H$28,2))))</f>
        <v/>
      </c>
      <c r="AU679" s="546" t="str">
        <f t="shared" si="302"/>
        <v/>
      </c>
    </row>
    <row r="680" spans="1:47" ht="14.25" hidden="1" customHeight="1" x14ac:dyDescent="0.15">
      <c r="A680" s="523"/>
      <c r="B680" s="523"/>
      <c r="C680" s="523"/>
      <c r="D680" s="523"/>
      <c r="E680" s="579"/>
      <c r="F680" s="580"/>
      <c r="G680" s="524"/>
      <c r="H680" s="555"/>
      <c r="I680" s="560"/>
      <c r="J680" s="523"/>
      <c r="K680" s="528" t="str">
        <f>IFERROR(VLOOKUP($B680,'Clients-Live'!$A:$C,3,0),"")</f>
        <v/>
      </c>
      <c r="L680" s="528">
        <f>IF(E680="STL",Pricing!$D$38,IF(A680="",0,IF(A680&lt;Pricing!$C$25,Pricing!$D$25,VLOOKUP(Disbursements!$F680,Pricing!$B$29:$D$32,3))))</f>
        <v>0</v>
      </c>
      <c r="M680" s="528">
        <f>IF(E680="STL",0,IF(F680&gt;0,Pricing!$D$21,0))</f>
        <v>0</v>
      </c>
      <c r="N680" s="529">
        <f>IF(E680="STL",F680*Pricing!$D$40,IF(A680&lt;=Pricing!$C$4,0,IF(AND(A680&gt;Pricing!$C$4,Disbursements!A680&lt;=Pricing!$C$5),F680*Pricing!$E$5,IF(AND(A680&gt;Pricing!$C$5,Disbursements!A680&lt;=Pricing!$C$7),VLOOKUP(F680,Pricing!$D$7:$E$8,2)*Disbursements!F680,F680*Pricing!$E$9))))</f>
        <v>0</v>
      </c>
      <c r="O680" s="528">
        <f>IF(E680="STL",0,IF($F680&gt;0,$F680*Pricing!$D$17,0))</f>
        <v>0</v>
      </c>
      <c r="P680" s="530" t="str">
        <f t="shared" si="282"/>
        <v/>
      </c>
      <c r="Q680" s="531" t="str">
        <f>IF($A680="","",$G680/VLOOKUP($I680,Ref!$B$23:$D$29,2,0))</f>
        <v/>
      </c>
      <c r="R680" s="530" t="str">
        <f t="shared" si="283"/>
        <v/>
      </c>
      <c r="S680" s="532" t="str">
        <f t="shared" si="277"/>
        <v/>
      </c>
      <c r="T680" s="531" t="str">
        <f t="shared" si="284"/>
        <v/>
      </c>
      <c r="U680" s="533">
        <f t="shared" si="285"/>
        <v>0</v>
      </c>
      <c r="V680" s="531" t="str">
        <f t="shared" si="286"/>
        <v/>
      </c>
      <c r="W680" s="531" t="str">
        <f t="shared" si="287"/>
        <v/>
      </c>
      <c r="X680" s="534" t="str">
        <f t="shared" si="288"/>
        <v/>
      </c>
      <c r="Y680" s="535" t="str">
        <f>IF($A680="","",IF($I680="weekly",$A680+7,EDATE($A680,VLOOKUP($I680,Ref!$B$24:$C$29,2,0))))</f>
        <v/>
      </c>
      <c r="Z680" s="536" t="str">
        <f t="shared" si="289"/>
        <v/>
      </c>
      <c r="AA680" s="531">
        <f t="shared" si="290"/>
        <v>0</v>
      </c>
      <c r="AB680" s="535" t="str">
        <f t="shared" si="278"/>
        <v/>
      </c>
      <c r="AC680" s="537" t="str">
        <f t="shared" si="279"/>
        <v/>
      </c>
      <c r="AD680" s="538" t="str">
        <f t="shared" ca="1" si="280"/>
        <v/>
      </c>
      <c r="AE680" s="537">
        <f t="shared" ca="1" si="281"/>
        <v>0</v>
      </c>
      <c r="AF680" s="539" t="str">
        <f t="shared" ca="1" si="291"/>
        <v/>
      </c>
      <c r="AG680" s="531" t="str">
        <f t="shared" ca="1" si="292"/>
        <v/>
      </c>
      <c r="AH680" s="531" t="str">
        <f t="shared" ca="1" si="293"/>
        <v/>
      </c>
      <c r="AI680" s="531" t="str">
        <f t="shared" ca="1" si="294"/>
        <v/>
      </c>
      <c r="AJ680" s="531" t="str">
        <f t="shared" si="295"/>
        <v/>
      </c>
      <c r="AK680" s="540">
        <f>SUMIFS('Live Collections'!$S:$S,'Live Collections'!$D:$D,Disbursements!B680,'Live Collections'!$G:$G,Disbursements!C680)</f>
        <v>0</v>
      </c>
      <c r="AL680" s="540">
        <f>SUMIFS('Live Collections'!$T:$T,'Live Collections'!$D:$D,Disbursements!B680,'Live Collections'!$G:$G,Disbursements!C680)</f>
        <v>0</v>
      </c>
      <c r="AM680" s="541">
        <f t="shared" si="296"/>
        <v>0</v>
      </c>
      <c r="AN680" s="542" t="str">
        <f t="shared" si="297"/>
        <v/>
      </c>
      <c r="AO680" s="542" t="str">
        <f t="shared" si="298"/>
        <v/>
      </c>
      <c r="AP680" s="543" t="str">
        <f t="shared" si="299"/>
        <v/>
      </c>
      <c r="AQ680" s="544" t="str">
        <f t="shared" si="300"/>
        <v/>
      </c>
      <c r="AR680" s="545">
        <f t="shared" si="301"/>
        <v>0</v>
      </c>
      <c r="AS680" s="545">
        <f>IFERROR(CEILING($AR680*VLOOKUP($I680,Ref!$B$23:$E$29,4,0),1),0)</f>
        <v>0</v>
      </c>
      <c r="AT680" s="545" t="str">
        <f>IF(A680="","",IF(AP680&lt;=1,"Cleared",IF(AS680=0,"Clean",VLOOKUP($AS680,Ref!$G$23:$H$28,2))))</f>
        <v/>
      </c>
      <c r="AU680" s="546" t="str">
        <f t="shared" si="302"/>
        <v/>
      </c>
    </row>
    <row r="681" spans="1:47" ht="14.25" hidden="1" customHeight="1" x14ac:dyDescent="0.15">
      <c r="A681" s="523"/>
      <c r="B681" s="523"/>
      <c r="C681" s="523"/>
      <c r="D681" s="523"/>
      <c r="E681" s="579"/>
      <c r="F681" s="580"/>
      <c r="G681" s="524"/>
      <c r="H681" s="555"/>
      <c r="I681" s="560"/>
      <c r="J681" s="523"/>
      <c r="K681" s="528" t="str">
        <f>IFERROR(VLOOKUP($B681,'Clients-Live'!$A:$C,3,0),"")</f>
        <v/>
      </c>
      <c r="L681" s="528">
        <f>IF(E681="STL",Pricing!$D$38,IF(A681="",0,IF(A681&lt;Pricing!$C$25,Pricing!$D$25,VLOOKUP(Disbursements!$F681,Pricing!$B$29:$D$32,3))))</f>
        <v>0</v>
      </c>
      <c r="M681" s="528">
        <f>IF(E681="STL",0,IF(F681&gt;0,Pricing!$D$21,0))</f>
        <v>0</v>
      </c>
      <c r="N681" s="529">
        <f>IF(E681="STL",F681*Pricing!$D$40,IF(A681&lt;=Pricing!$C$4,0,IF(AND(A681&gt;Pricing!$C$4,Disbursements!A681&lt;=Pricing!$C$5),F681*Pricing!$E$5,IF(AND(A681&gt;Pricing!$C$5,Disbursements!A681&lt;=Pricing!$C$7),VLOOKUP(F681,Pricing!$D$7:$E$8,2)*Disbursements!F681,F681*Pricing!$E$9))))</f>
        <v>0</v>
      </c>
      <c r="O681" s="528">
        <f>IF(E681="STL",0,IF($F681&gt;0,$F681*Pricing!$D$17,0))</f>
        <v>0</v>
      </c>
      <c r="P681" s="530" t="str">
        <f t="shared" si="282"/>
        <v/>
      </c>
      <c r="Q681" s="531" t="str">
        <f>IF($A681="","",$G681/VLOOKUP($I681,Ref!$B$23:$D$29,2,0))</f>
        <v/>
      </c>
      <c r="R681" s="530" t="str">
        <f t="shared" si="283"/>
        <v/>
      </c>
      <c r="S681" s="532" t="str">
        <f t="shared" si="277"/>
        <v/>
      </c>
      <c r="T681" s="531" t="str">
        <f t="shared" si="284"/>
        <v/>
      </c>
      <c r="U681" s="533">
        <f t="shared" si="285"/>
        <v>0</v>
      </c>
      <c r="V681" s="531" t="str">
        <f t="shared" si="286"/>
        <v/>
      </c>
      <c r="W681" s="531" t="str">
        <f t="shared" si="287"/>
        <v/>
      </c>
      <c r="X681" s="534" t="str">
        <f t="shared" si="288"/>
        <v/>
      </c>
      <c r="Y681" s="535" t="str">
        <f>IF($A681="","",IF($I681="weekly",$A681+7,EDATE($A681,VLOOKUP($I681,Ref!$B$24:$C$29,2,0))))</f>
        <v/>
      </c>
      <c r="Z681" s="536" t="str">
        <f t="shared" si="289"/>
        <v/>
      </c>
      <c r="AA681" s="531">
        <f t="shared" si="290"/>
        <v>0</v>
      </c>
      <c r="AB681" s="535" t="str">
        <f t="shared" si="278"/>
        <v/>
      </c>
      <c r="AC681" s="537" t="str">
        <f t="shared" si="279"/>
        <v/>
      </c>
      <c r="AD681" s="538" t="str">
        <f t="shared" ca="1" si="280"/>
        <v/>
      </c>
      <c r="AE681" s="537">
        <f t="shared" ca="1" si="281"/>
        <v>0</v>
      </c>
      <c r="AF681" s="539" t="str">
        <f t="shared" ca="1" si="291"/>
        <v/>
      </c>
      <c r="AG681" s="531" t="str">
        <f t="shared" ca="1" si="292"/>
        <v/>
      </c>
      <c r="AH681" s="531" t="str">
        <f t="shared" ca="1" si="293"/>
        <v/>
      </c>
      <c r="AI681" s="531" t="str">
        <f t="shared" ca="1" si="294"/>
        <v/>
      </c>
      <c r="AJ681" s="531" t="str">
        <f t="shared" si="295"/>
        <v/>
      </c>
      <c r="AK681" s="540">
        <f>SUMIFS('Live Collections'!$S:$S,'Live Collections'!$D:$D,Disbursements!B681,'Live Collections'!$G:$G,Disbursements!C681)</f>
        <v>0</v>
      </c>
      <c r="AL681" s="540">
        <f>SUMIFS('Live Collections'!$T:$T,'Live Collections'!$D:$D,Disbursements!B681,'Live Collections'!$G:$G,Disbursements!C681)</f>
        <v>0</v>
      </c>
      <c r="AM681" s="541">
        <f t="shared" si="296"/>
        <v>0</v>
      </c>
      <c r="AN681" s="542" t="str">
        <f t="shared" si="297"/>
        <v/>
      </c>
      <c r="AO681" s="542" t="str">
        <f t="shared" si="298"/>
        <v/>
      </c>
      <c r="AP681" s="543" t="str">
        <f t="shared" si="299"/>
        <v/>
      </c>
      <c r="AQ681" s="544" t="str">
        <f t="shared" si="300"/>
        <v/>
      </c>
      <c r="AR681" s="545">
        <f t="shared" si="301"/>
        <v>0</v>
      </c>
      <c r="AS681" s="545">
        <f>IFERROR(CEILING($AR681*VLOOKUP($I681,Ref!$B$23:$E$29,4,0),1),0)</f>
        <v>0</v>
      </c>
      <c r="AT681" s="545" t="str">
        <f>IF(A681="","",IF(AP681&lt;=1,"Cleared",IF(AS681=0,"Clean",VLOOKUP($AS681,Ref!$G$23:$H$28,2))))</f>
        <v/>
      </c>
      <c r="AU681" s="546" t="str">
        <f t="shared" si="302"/>
        <v/>
      </c>
    </row>
    <row r="682" spans="1:47" ht="14.25" hidden="1" customHeight="1" x14ac:dyDescent="0.15">
      <c r="A682" s="523"/>
      <c r="B682" s="523"/>
      <c r="C682" s="523"/>
      <c r="D682" s="523"/>
      <c r="E682" s="579"/>
      <c r="F682" s="580"/>
      <c r="G682" s="524"/>
      <c r="H682" s="555"/>
      <c r="I682" s="560"/>
      <c r="J682" s="523"/>
      <c r="K682" s="528" t="str">
        <f>IFERROR(VLOOKUP($B682,'Clients-Live'!$A:$C,3,0),"")</f>
        <v/>
      </c>
      <c r="L682" s="528">
        <f>IF(E682="STL",Pricing!$D$38,IF(A682="",0,IF(A682&lt;Pricing!$C$25,Pricing!$D$25,VLOOKUP(Disbursements!$F682,Pricing!$B$29:$D$32,3))))</f>
        <v>0</v>
      </c>
      <c r="M682" s="528">
        <f>IF(E682="STL",0,IF(F682&gt;0,Pricing!$D$21,0))</f>
        <v>0</v>
      </c>
      <c r="N682" s="529">
        <f>IF(E682="STL",F682*Pricing!$D$40,IF(A682&lt;=Pricing!$C$4,0,IF(AND(A682&gt;Pricing!$C$4,Disbursements!A682&lt;=Pricing!$C$5),F682*Pricing!$E$5,IF(AND(A682&gt;Pricing!$C$5,Disbursements!A682&lt;=Pricing!$C$7),VLOOKUP(F682,Pricing!$D$7:$E$8,2)*Disbursements!F682,F682*Pricing!$E$9))))</f>
        <v>0</v>
      </c>
      <c r="O682" s="528">
        <f>IF(E682="STL",0,IF($F682&gt;0,$F682*Pricing!$D$17,0))</f>
        <v>0</v>
      </c>
      <c r="P682" s="530" t="str">
        <f t="shared" si="282"/>
        <v/>
      </c>
      <c r="Q682" s="531" t="str">
        <f>IF($A682="","",$G682/VLOOKUP($I682,Ref!$B$23:$D$29,2,0))</f>
        <v/>
      </c>
      <c r="R682" s="530" t="str">
        <f t="shared" si="283"/>
        <v/>
      </c>
      <c r="S682" s="532" t="str">
        <f t="shared" si="277"/>
        <v/>
      </c>
      <c r="T682" s="531" t="str">
        <f t="shared" si="284"/>
        <v/>
      </c>
      <c r="U682" s="533">
        <f t="shared" si="285"/>
        <v>0</v>
      </c>
      <c r="V682" s="531" t="str">
        <f t="shared" si="286"/>
        <v/>
      </c>
      <c r="W682" s="531" t="str">
        <f t="shared" si="287"/>
        <v/>
      </c>
      <c r="X682" s="534" t="str">
        <f t="shared" si="288"/>
        <v/>
      </c>
      <c r="Y682" s="535" t="str">
        <f>IF($A682="","",IF($I682="weekly",$A682+7,EDATE($A682,VLOOKUP($I682,Ref!$B$24:$C$29,2,0))))</f>
        <v/>
      </c>
      <c r="Z682" s="536" t="str">
        <f t="shared" si="289"/>
        <v/>
      </c>
      <c r="AA682" s="531">
        <f t="shared" si="290"/>
        <v>0</v>
      </c>
      <c r="AB682" s="535" t="str">
        <f t="shared" si="278"/>
        <v/>
      </c>
      <c r="AC682" s="537" t="str">
        <f t="shared" si="279"/>
        <v/>
      </c>
      <c r="AD682" s="538" t="str">
        <f t="shared" ca="1" si="280"/>
        <v/>
      </c>
      <c r="AE682" s="537">
        <f t="shared" ca="1" si="281"/>
        <v>0</v>
      </c>
      <c r="AF682" s="539" t="str">
        <f t="shared" ca="1" si="291"/>
        <v/>
      </c>
      <c r="AG682" s="531" t="str">
        <f t="shared" ca="1" si="292"/>
        <v/>
      </c>
      <c r="AH682" s="531" t="str">
        <f t="shared" ca="1" si="293"/>
        <v/>
      </c>
      <c r="AI682" s="531" t="str">
        <f t="shared" ca="1" si="294"/>
        <v/>
      </c>
      <c r="AJ682" s="531" t="str">
        <f t="shared" si="295"/>
        <v/>
      </c>
      <c r="AK682" s="540">
        <f>SUMIFS('Live Collections'!$S:$S,'Live Collections'!$D:$D,Disbursements!B682,'Live Collections'!$G:$G,Disbursements!C682)</f>
        <v>0</v>
      </c>
      <c r="AL682" s="540">
        <f>SUMIFS('Live Collections'!$T:$T,'Live Collections'!$D:$D,Disbursements!B682,'Live Collections'!$G:$G,Disbursements!C682)</f>
        <v>0</v>
      </c>
      <c r="AM682" s="541">
        <f t="shared" si="296"/>
        <v>0</v>
      </c>
      <c r="AN682" s="542" t="str">
        <f t="shared" si="297"/>
        <v/>
      </c>
      <c r="AO682" s="542" t="str">
        <f t="shared" si="298"/>
        <v/>
      </c>
      <c r="AP682" s="543" t="str">
        <f t="shared" si="299"/>
        <v/>
      </c>
      <c r="AQ682" s="544" t="str">
        <f t="shared" si="300"/>
        <v/>
      </c>
      <c r="AR682" s="545">
        <f t="shared" si="301"/>
        <v>0</v>
      </c>
      <c r="AS682" s="545">
        <f>IFERROR(CEILING($AR682*VLOOKUP($I682,Ref!$B$23:$E$29,4,0),1),0)</f>
        <v>0</v>
      </c>
      <c r="AT682" s="545" t="str">
        <f>IF(A682="","",IF(AP682&lt;=1,"Cleared",IF(AS682=0,"Clean",VLOOKUP($AS682,Ref!$G$23:$H$28,2))))</f>
        <v/>
      </c>
      <c r="AU682" s="546" t="str">
        <f t="shared" si="302"/>
        <v/>
      </c>
    </row>
    <row r="683" spans="1:47" ht="14.25" hidden="1" customHeight="1" x14ac:dyDescent="0.15">
      <c r="A683" s="523"/>
      <c r="B683" s="523"/>
      <c r="C683" s="523"/>
      <c r="D683" s="523"/>
      <c r="E683" s="579"/>
      <c r="F683" s="580"/>
      <c r="G683" s="524"/>
      <c r="H683" s="555"/>
      <c r="I683" s="560"/>
      <c r="J683" s="523"/>
      <c r="K683" s="528" t="str">
        <f>IFERROR(VLOOKUP($B683,'Clients-Live'!$A:$C,3,0),"")</f>
        <v/>
      </c>
      <c r="L683" s="528">
        <f>IF(E683="STL",Pricing!$D$38,IF(A683="",0,IF(A683&lt;Pricing!$C$25,Pricing!$D$25,VLOOKUP(Disbursements!$F683,Pricing!$B$29:$D$32,3))))</f>
        <v>0</v>
      </c>
      <c r="M683" s="528">
        <f>IF(E683="STL",0,IF(F683&gt;0,Pricing!$D$21,0))</f>
        <v>0</v>
      </c>
      <c r="N683" s="529">
        <f>IF(E683="STL",F683*Pricing!$D$40,IF(A683&lt;=Pricing!$C$4,0,IF(AND(A683&gt;Pricing!$C$4,Disbursements!A683&lt;=Pricing!$C$5),F683*Pricing!$E$5,IF(AND(A683&gt;Pricing!$C$5,Disbursements!A683&lt;=Pricing!$C$7),VLOOKUP(F683,Pricing!$D$7:$E$8,2)*Disbursements!F683,F683*Pricing!$E$9))))</f>
        <v>0</v>
      </c>
      <c r="O683" s="528">
        <f>IF(E683="STL",0,IF($F683&gt;0,$F683*Pricing!$D$17,0))</f>
        <v>0</v>
      </c>
      <c r="P683" s="530" t="str">
        <f t="shared" si="282"/>
        <v/>
      </c>
      <c r="Q683" s="531" t="str">
        <f>IF($A683="","",$G683/VLOOKUP($I683,Ref!$B$23:$D$29,2,0))</f>
        <v/>
      </c>
      <c r="R683" s="530" t="str">
        <f t="shared" si="283"/>
        <v/>
      </c>
      <c r="S683" s="532" t="str">
        <f t="shared" si="277"/>
        <v/>
      </c>
      <c r="T683" s="531" t="str">
        <f t="shared" si="284"/>
        <v/>
      </c>
      <c r="U683" s="533">
        <f t="shared" si="285"/>
        <v>0</v>
      </c>
      <c r="V683" s="531" t="str">
        <f t="shared" si="286"/>
        <v/>
      </c>
      <c r="W683" s="531" t="str">
        <f t="shared" si="287"/>
        <v/>
      </c>
      <c r="X683" s="534" t="str">
        <f t="shared" si="288"/>
        <v/>
      </c>
      <c r="Y683" s="535" t="str">
        <f>IF($A683="","",IF($I683="weekly",$A683+7,EDATE($A683,VLOOKUP($I683,Ref!$B$24:$C$29,2,0))))</f>
        <v/>
      </c>
      <c r="Z683" s="536" t="str">
        <f t="shared" si="289"/>
        <v/>
      </c>
      <c r="AA683" s="531">
        <f t="shared" si="290"/>
        <v>0</v>
      </c>
      <c r="AB683" s="535" t="str">
        <f t="shared" si="278"/>
        <v/>
      </c>
      <c r="AC683" s="537" t="str">
        <f t="shared" si="279"/>
        <v/>
      </c>
      <c r="AD683" s="538" t="str">
        <f t="shared" ca="1" si="280"/>
        <v/>
      </c>
      <c r="AE683" s="537">
        <f t="shared" ca="1" si="281"/>
        <v>0</v>
      </c>
      <c r="AF683" s="539" t="str">
        <f t="shared" ca="1" si="291"/>
        <v/>
      </c>
      <c r="AG683" s="531" t="str">
        <f t="shared" ca="1" si="292"/>
        <v/>
      </c>
      <c r="AH683" s="531" t="str">
        <f t="shared" ca="1" si="293"/>
        <v/>
      </c>
      <c r="AI683" s="531" t="str">
        <f t="shared" ca="1" si="294"/>
        <v/>
      </c>
      <c r="AJ683" s="531" t="str">
        <f t="shared" si="295"/>
        <v/>
      </c>
      <c r="AK683" s="540">
        <f>SUMIFS('Live Collections'!$S:$S,'Live Collections'!$D:$D,Disbursements!B683,'Live Collections'!$G:$G,Disbursements!C683)</f>
        <v>0</v>
      </c>
      <c r="AL683" s="540">
        <f>SUMIFS('Live Collections'!$T:$T,'Live Collections'!$D:$D,Disbursements!B683,'Live Collections'!$G:$G,Disbursements!C683)</f>
        <v>0</v>
      </c>
      <c r="AM683" s="541">
        <f t="shared" si="296"/>
        <v>0</v>
      </c>
      <c r="AN683" s="542" t="str">
        <f t="shared" si="297"/>
        <v/>
      </c>
      <c r="AO683" s="542" t="str">
        <f t="shared" si="298"/>
        <v/>
      </c>
      <c r="AP683" s="543" t="str">
        <f t="shared" si="299"/>
        <v/>
      </c>
      <c r="AQ683" s="544" t="str">
        <f t="shared" si="300"/>
        <v/>
      </c>
      <c r="AR683" s="545">
        <f t="shared" si="301"/>
        <v>0</v>
      </c>
      <c r="AS683" s="545">
        <f>IFERROR(CEILING($AR683*VLOOKUP($I683,Ref!$B$23:$E$29,4,0),1),0)</f>
        <v>0</v>
      </c>
      <c r="AT683" s="545" t="str">
        <f>IF(A683="","",IF(AP683&lt;=1,"Cleared",IF(AS683=0,"Clean",VLOOKUP($AS683,Ref!$G$23:$H$28,2))))</f>
        <v/>
      </c>
      <c r="AU683" s="546" t="str">
        <f t="shared" si="302"/>
        <v/>
      </c>
    </row>
    <row r="684" spans="1:47" ht="14.25" hidden="1" customHeight="1" x14ac:dyDescent="0.15">
      <c r="A684" s="523"/>
      <c r="B684" s="523"/>
      <c r="C684" s="523"/>
      <c r="D684" s="523"/>
      <c r="E684" s="579"/>
      <c r="F684" s="580"/>
      <c r="G684" s="524"/>
      <c r="H684" s="555"/>
      <c r="I684" s="560"/>
      <c r="J684" s="523"/>
      <c r="K684" s="528" t="str">
        <f>IFERROR(VLOOKUP($B684,'Clients-Live'!$A:$C,3,0),"")</f>
        <v/>
      </c>
      <c r="L684" s="528">
        <f>IF(E684="STL",Pricing!$D$38,IF(A684="",0,IF(A684&lt;Pricing!$C$25,Pricing!$D$25,VLOOKUP(Disbursements!$F684,Pricing!$B$29:$D$32,3))))</f>
        <v>0</v>
      </c>
      <c r="M684" s="528">
        <f>IF(E684="STL",0,IF(F684&gt;0,Pricing!$D$21,0))</f>
        <v>0</v>
      </c>
      <c r="N684" s="529">
        <f>IF(E684="STL",F684*Pricing!$D$40,IF(A684&lt;=Pricing!$C$4,0,IF(AND(A684&gt;Pricing!$C$4,Disbursements!A684&lt;=Pricing!$C$5),F684*Pricing!$E$5,IF(AND(A684&gt;Pricing!$C$5,Disbursements!A684&lt;=Pricing!$C$7),VLOOKUP(F684,Pricing!$D$7:$E$8,2)*Disbursements!F684,F684*Pricing!$E$9))))</f>
        <v>0</v>
      </c>
      <c r="O684" s="528">
        <f>IF(E684="STL",0,IF($F684&gt;0,$F684*Pricing!$D$17,0))</f>
        <v>0</v>
      </c>
      <c r="P684" s="530" t="str">
        <f t="shared" si="282"/>
        <v/>
      </c>
      <c r="Q684" s="531" t="str">
        <f>IF($A684="","",$G684/VLOOKUP($I684,Ref!$B$23:$D$29,2,0))</f>
        <v/>
      </c>
      <c r="R684" s="530" t="str">
        <f t="shared" si="283"/>
        <v/>
      </c>
      <c r="S684" s="532" t="str">
        <f t="shared" si="277"/>
        <v/>
      </c>
      <c r="T684" s="531" t="str">
        <f t="shared" si="284"/>
        <v/>
      </c>
      <c r="U684" s="533">
        <f t="shared" si="285"/>
        <v>0</v>
      </c>
      <c r="V684" s="531" t="str">
        <f t="shared" si="286"/>
        <v/>
      </c>
      <c r="W684" s="531" t="str">
        <f t="shared" si="287"/>
        <v/>
      </c>
      <c r="X684" s="534" t="str">
        <f t="shared" si="288"/>
        <v/>
      </c>
      <c r="Y684" s="535" t="str">
        <f>IF($A684="","",IF($I684="weekly",$A684+7,EDATE($A684,VLOOKUP($I684,Ref!$B$24:$C$29,2,0))))</f>
        <v/>
      </c>
      <c r="Z684" s="536" t="str">
        <f t="shared" si="289"/>
        <v/>
      </c>
      <c r="AA684" s="531">
        <f t="shared" si="290"/>
        <v>0</v>
      </c>
      <c r="AB684" s="535" t="str">
        <f t="shared" si="278"/>
        <v/>
      </c>
      <c r="AC684" s="537" t="str">
        <f t="shared" si="279"/>
        <v/>
      </c>
      <c r="AD684" s="538" t="str">
        <f t="shared" ca="1" si="280"/>
        <v/>
      </c>
      <c r="AE684" s="537">
        <f t="shared" ca="1" si="281"/>
        <v>0</v>
      </c>
      <c r="AF684" s="539" t="str">
        <f t="shared" ca="1" si="291"/>
        <v/>
      </c>
      <c r="AG684" s="531" t="str">
        <f t="shared" ca="1" si="292"/>
        <v/>
      </c>
      <c r="AH684" s="531" t="str">
        <f t="shared" ca="1" si="293"/>
        <v/>
      </c>
      <c r="AI684" s="531" t="str">
        <f t="shared" ca="1" si="294"/>
        <v/>
      </c>
      <c r="AJ684" s="531" t="str">
        <f t="shared" si="295"/>
        <v/>
      </c>
      <c r="AK684" s="540">
        <f>SUMIFS('Live Collections'!$S:$S,'Live Collections'!$D:$D,Disbursements!B684,'Live Collections'!$G:$G,Disbursements!C684)</f>
        <v>0</v>
      </c>
      <c r="AL684" s="540">
        <f>SUMIFS('Live Collections'!$T:$T,'Live Collections'!$D:$D,Disbursements!B684,'Live Collections'!$G:$G,Disbursements!C684)</f>
        <v>0</v>
      </c>
      <c r="AM684" s="541">
        <f t="shared" si="296"/>
        <v>0</v>
      </c>
      <c r="AN684" s="542" t="str">
        <f t="shared" si="297"/>
        <v/>
      </c>
      <c r="AO684" s="542" t="str">
        <f t="shared" si="298"/>
        <v/>
      </c>
      <c r="AP684" s="543" t="str">
        <f t="shared" si="299"/>
        <v/>
      </c>
      <c r="AQ684" s="544" t="str">
        <f t="shared" si="300"/>
        <v/>
      </c>
      <c r="AR684" s="545">
        <f t="shared" si="301"/>
        <v>0</v>
      </c>
      <c r="AS684" s="545">
        <f>IFERROR(CEILING($AR684*VLOOKUP($I684,Ref!$B$23:$E$29,4,0),1),0)</f>
        <v>0</v>
      </c>
      <c r="AT684" s="545" t="str">
        <f>IF(A684="","",IF(AP684&lt;=1,"Cleared",IF(AS684=0,"Clean",VLOOKUP($AS684,Ref!$G$23:$H$28,2))))</f>
        <v/>
      </c>
      <c r="AU684" s="546" t="str">
        <f t="shared" si="302"/>
        <v/>
      </c>
    </row>
    <row r="685" spans="1:47" ht="14.25" hidden="1" customHeight="1" x14ac:dyDescent="0.15">
      <c r="A685" s="523"/>
      <c r="B685" s="523"/>
      <c r="C685" s="523"/>
      <c r="D685" s="523"/>
      <c r="E685" s="579"/>
      <c r="F685" s="580"/>
      <c r="G685" s="524"/>
      <c r="H685" s="555"/>
      <c r="I685" s="560"/>
      <c r="J685" s="523"/>
      <c r="K685" s="528" t="str">
        <f>IFERROR(VLOOKUP($B685,'Clients-Live'!$A:$C,3,0),"")</f>
        <v/>
      </c>
      <c r="L685" s="528">
        <f>IF(E685="STL",Pricing!$D$38,IF(A685="",0,IF(A685&lt;Pricing!$C$25,Pricing!$D$25,VLOOKUP(Disbursements!$F685,Pricing!$B$29:$D$32,3))))</f>
        <v>0</v>
      </c>
      <c r="M685" s="528">
        <f>IF(E685="STL",0,IF(F685&gt;0,Pricing!$D$21,0))</f>
        <v>0</v>
      </c>
      <c r="N685" s="529">
        <f>IF(E685="STL",F685*Pricing!$D$40,IF(A685&lt;=Pricing!$C$4,0,IF(AND(A685&gt;Pricing!$C$4,Disbursements!A685&lt;=Pricing!$C$5),F685*Pricing!$E$5,IF(AND(A685&gt;Pricing!$C$5,Disbursements!A685&lt;=Pricing!$C$7),VLOOKUP(F685,Pricing!$D$7:$E$8,2)*Disbursements!F685,F685*Pricing!$E$9))))</f>
        <v>0</v>
      </c>
      <c r="O685" s="528">
        <f>IF(E685="STL",0,IF($F685&gt;0,$F685*Pricing!$D$17,0))</f>
        <v>0</v>
      </c>
      <c r="P685" s="530" t="str">
        <f t="shared" si="282"/>
        <v/>
      </c>
      <c r="Q685" s="531" t="str">
        <f>IF($A685="","",$G685/VLOOKUP($I685,Ref!$B$23:$D$29,2,0))</f>
        <v/>
      </c>
      <c r="R685" s="530" t="str">
        <f t="shared" si="283"/>
        <v/>
      </c>
      <c r="S685" s="532" t="str">
        <f t="shared" si="277"/>
        <v/>
      </c>
      <c r="T685" s="531" t="str">
        <f t="shared" si="284"/>
        <v/>
      </c>
      <c r="U685" s="533">
        <f t="shared" si="285"/>
        <v>0</v>
      </c>
      <c r="V685" s="531" t="str">
        <f t="shared" si="286"/>
        <v/>
      </c>
      <c r="W685" s="531" t="str">
        <f t="shared" si="287"/>
        <v/>
      </c>
      <c r="X685" s="534" t="str">
        <f t="shared" si="288"/>
        <v/>
      </c>
      <c r="Y685" s="535" t="str">
        <f>IF($A685="","",IF($I685="weekly",$A685+7,EDATE($A685,VLOOKUP($I685,Ref!$B$24:$C$29,2,0))))</f>
        <v/>
      </c>
      <c r="Z685" s="536" t="str">
        <f t="shared" si="289"/>
        <v/>
      </c>
      <c r="AA685" s="531">
        <f t="shared" si="290"/>
        <v>0</v>
      </c>
      <c r="AB685" s="535" t="str">
        <f t="shared" si="278"/>
        <v/>
      </c>
      <c r="AC685" s="537" t="str">
        <f t="shared" si="279"/>
        <v/>
      </c>
      <c r="AD685" s="538" t="str">
        <f t="shared" ca="1" si="280"/>
        <v/>
      </c>
      <c r="AE685" s="537">
        <f t="shared" ca="1" si="281"/>
        <v>0</v>
      </c>
      <c r="AF685" s="539" t="str">
        <f t="shared" ca="1" si="291"/>
        <v/>
      </c>
      <c r="AG685" s="531" t="str">
        <f t="shared" ca="1" si="292"/>
        <v/>
      </c>
      <c r="AH685" s="531" t="str">
        <f t="shared" ca="1" si="293"/>
        <v/>
      </c>
      <c r="AI685" s="531" t="str">
        <f t="shared" ca="1" si="294"/>
        <v/>
      </c>
      <c r="AJ685" s="531" t="str">
        <f t="shared" si="295"/>
        <v/>
      </c>
      <c r="AK685" s="540">
        <f>SUMIFS('Live Collections'!$S:$S,'Live Collections'!$D:$D,Disbursements!B685,'Live Collections'!$G:$G,Disbursements!C685)</f>
        <v>0</v>
      </c>
      <c r="AL685" s="540">
        <f>SUMIFS('Live Collections'!$T:$T,'Live Collections'!$D:$D,Disbursements!B685,'Live Collections'!$G:$G,Disbursements!C685)</f>
        <v>0</v>
      </c>
      <c r="AM685" s="541">
        <f t="shared" si="296"/>
        <v>0</v>
      </c>
      <c r="AN685" s="542" t="str">
        <f t="shared" si="297"/>
        <v/>
      </c>
      <c r="AO685" s="542" t="str">
        <f t="shared" si="298"/>
        <v/>
      </c>
      <c r="AP685" s="543" t="str">
        <f t="shared" si="299"/>
        <v/>
      </c>
      <c r="AQ685" s="544" t="str">
        <f t="shared" si="300"/>
        <v/>
      </c>
      <c r="AR685" s="545">
        <f t="shared" si="301"/>
        <v>0</v>
      </c>
      <c r="AS685" s="545">
        <f>IFERROR(CEILING($AR685*VLOOKUP($I685,Ref!$B$23:$E$29,4,0),1),0)</f>
        <v>0</v>
      </c>
      <c r="AT685" s="545" t="str">
        <f>IF(A685="","",IF(AP685&lt;=1,"Cleared",IF(AS685=0,"Clean",VLOOKUP($AS685,Ref!$G$23:$H$28,2))))</f>
        <v/>
      </c>
      <c r="AU685" s="546" t="str">
        <f t="shared" si="302"/>
        <v/>
      </c>
    </row>
    <row r="686" spans="1:47" ht="14.25" hidden="1" customHeight="1" x14ac:dyDescent="0.15">
      <c r="A686" s="523"/>
      <c r="B686" s="523"/>
      <c r="C686" s="523"/>
      <c r="D686" s="523"/>
      <c r="E686" s="579"/>
      <c r="F686" s="580"/>
      <c r="G686" s="524"/>
      <c r="H686" s="555"/>
      <c r="I686" s="560"/>
      <c r="J686" s="523"/>
      <c r="K686" s="528" t="str">
        <f>IFERROR(VLOOKUP($B686,'Clients-Live'!$A:$C,3,0),"")</f>
        <v/>
      </c>
      <c r="L686" s="528">
        <f>IF(E686="STL",Pricing!$D$38,IF(A686="",0,IF(A686&lt;Pricing!$C$25,Pricing!$D$25,VLOOKUP(Disbursements!$F686,Pricing!$B$29:$D$32,3))))</f>
        <v>0</v>
      </c>
      <c r="M686" s="528">
        <f>IF(E686="STL",0,IF(F686&gt;0,Pricing!$D$21,0))</f>
        <v>0</v>
      </c>
      <c r="N686" s="529">
        <f>IF(E686="STL",F686*Pricing!$D$40,IF(A686&lt;=Pricing!$C$4,0,IF(AND(A686&gt;Pricing!$C$4,Disbursements!A686&lt;=Pricing!$C$5),F686*Pricing!$E$5,IF(AND(A686&gt;Pricing!$C$5,Disbursements!A686&lt;=Pricing!$C$7),VLOOKUP(F686,Pricing!$D$7:$E$8,2)*Disbursements!F686,F686*Pricing!$E$9))))</f>
        <v>0</v>
      </c>
      <c r="O686" s="528">
        <f>IF(E686="STL",0,IF($F686&gt;0,$F686*Pricing!$D$17,0))</f>
        <v>0</v>
      </c>
      <c r="P686" s="530" t="str">
        <f t="shared" si="282"/>
        <v/>
      </c>
      <c r="Q686" s="531" t="str">
        <f>IF($A686="","",$G686/VLOOKUP($I686,Ref!$B$23:$D$29,2,0))</f>
        <v/>
      </c>
      <c r="R686" s="530" t="str">
        <f t="shared" si="283"/>
        <v/>
      </c>
      <c r="S686" s="532" t="str">
        <f t="shared" si="277"/>
        <v/>
      </c>
      <c r="T686" s="531" t="str">
        <f t="shared" si="284"/>
        <v/>
      </c>
      <c r="U686" s="533">
        <f t="shared" si="285"/>
        <v>0</v>
      </c>
      <c r="V686" s="531" t="str">
        <f t="shared" si="286"/>
        <v/>
      </c>
      <c r="W686" s="531" t="str">
        <f t="shared" si="287"/>
        <v/>
      </c>
      <c r="X686" s="534" t="str">
        <f t="shared" si="288"/>
        <v/>
      </c>
      <c r="Y686" s="535" t="str">
        <f>IF($A686="","",IF($I686="weekly",$A686+7,EDATE($A686,VLOOKUP($I686,Ref!$B$24:$C$29,2,0))))</f>
        <v/>
      </c>
      <c r="Z686" s="536" t="str">
        <f t="shared" si="289"/>
        <v/>
      </c>
      <c r="AA686" s="531">
        <f t="shared" si="290"/>
        <v>0</v>
      </c>
      <c r="AB686" s="535" t="str">
        <f t="shared" si="278"/>
        <v/>
      </c>
      <c r="AC686" s="537" t="str">
        <f t="shared" si="279"/>
        <v/>
      </c>
      <c r="AD686" s="538" t="str">
        <f t="shared" ca="1" si="280"/>
        <v/>
      </c>
      <c r="AE686" s="537">
        <f t="shared" ca="1" si="281"/>
        <v>0</v>
      </c>
      <c r="AF686" s="539" t="str">
        <f t="shared" ca="1" si="291"/>
        <v/>
      </c>
      <c r="AG686" s="531" t="str">
        <f t="shared" ca="1" si="292"/>
        <v/>
      </c>
      <c r="AH686" s="531" t="str">
        <f t="shared" ca="1" si="293"/>
        <v/>
      </c>
      <c r="AI686" s="531" t="str">
        <f t="shared" ca="1" si="294"/>
        <v/>
      </c>
      <c r="AJ686" s="531" t="str">
        <f t="shared" si="295"/>
        <v/>
      </c>
      <c r="AK686" s="540">
        <f>SUMIFS('Live Collections'!$S:$S,'Live Collections'!$D:$D,Disbursements!B686,'Live Collections'!$G:$G,Disbursements!C686)</f>
        <v>0</v>
      </c>
      <c r="AL686" s="540">
        <f>SUMIFS('Live Collections'!$T:$T,'Live Collections'!$D:$D,Disbursements!B686,'Live Collections'!$G:$G,Disbursements!C686)</f>
        <v>0</v>
      </c>
      <c r="AM686" s="541">
        <f t="shared" si="296"/>
        <v>0</v>
      </c>
      <c r="AN686" s="542" t="str">
        <f t="shared" si="297"/>
        <v/>
      </c>
      <c r="AO686" s="542" t="str">
        <f t="shared" si="298"/>
        <v/>
      </c>
      <c r="AP686" s="543" t="str">
        <f t="shared" si="299"/>
        <v/>
      </c>
      <c r="AQ686" s="544" t="str">
        <f t="shared" si="300"/>
        <v/>
      </c>
      <c r="AR686" s="545">
        <f t="shared" si="301"/>
        <v>0</v>
      </c>
      <c r="AS686" s="545">
        <f>IFERROR(CEILING($AR686*VLOOKUP($I686,Ref!$B$23:$E$29,4,0),1),0)</f>
        <v>0</v>
      </c>
      <c r="AT686" s="545" t="str">
        <f>IF(A686="","",IF(AP686&lt;=1,"Cleared",IF(AS686=0,"Clean",VLOOKUP($AS686,Ref!$G$23:$H$28,2))))</f>
        <v/>
      </c>
      <c r="AU686" s="546" t="str">
        <f t="shared" si="302"/>
        <v/>
      </c>
    </row>
    <row r="687" spans="1:47" ht="14.25" hidden="1" customHeight="1" x14ac:dyDescent="0.15">
      <c r="A687" s="523"/>
      <c r="B687" s="523"/>
      <c r="C687" s="523"/>
      <c r="D687" s="523"/>
      <c r="E687" s="579"/>
      <c r="F687" s="580"/>
      <c r="G687" s="524"/>
      <c r="H687" s="555"/>
      <c r="I687" s="560"/>
      <c r="J687" s="523"/>
      <c r="K687" s="528" t="str">
        <f>IFERROR(VLOOKUP($B687,'Clients-Live'!$A:$C,3,0),"")</f>
        <v/>
      </c>
      <c r="L687" s="528">
        <f>IF(E687="STL",Pricing!$D$38,IF(A687="",0,IF(A687&lt;Pricing!$C$25,Pricing!$D$25,VLOOKUP(Disbursements!$F687,Pricing!$B$29:$D$32,3))))</f>
        <v>0</v>
      </c>
      <c r="M687" s="528">
        <f>IF(E687="STL",0,IF(F687&gt;0,Pricing!$D$21,0))</f>
        <v>0</v>
      </c>
      <c r="N687" s="529">
        <f>IF(E687="STL",F687*Pricing!$D$40,IF(A687&lt;=Pricing!$C$4,0,IF(AND(A687&gt;Pricing!$C$4,Disbursements!A687&lt;=Pricing!$C$5),F687*Pricing!$E$5,IF(AND(A687&gt;Pricing!$C$5,Disbursements!A687&lt;=Pricing!$C$7),VLOOKUP(F687,Pricing!$D$7:$E$8,2)*Disbursements!F687,F687*Pricing!$E$9))))</f>
        <v>0</v>
      </c>
      <c r="O687" s="528">
        <f>IF(E687="STL",0,IF($F687&gt;0,$F687*Pricing!$D$17,0))</f>
        <v>0</v>
      </c>
      <c r="P687" s="530" t="str">
        <f t="shared" si="282"/>
        <v/>
      </c>
      <c r="Q687" s="531" t="str">
        <f>IF($A687="","",$G687/VLOOKUP($I687,Ref!$B$23:$D$29,2,0))</f>
        <v/>
      </c>
      <c r="R687" s="530" t="str">
        <f t="shared" si="283"/>
        <v/>
      </c>
      <c r="S687" s="532" t="str">
        <f t="shared" si="277"/>
        <v/>
      </c>
      <c r="T687" s="531" t="str">
        <f t="shared" si="284"/>
        <v/>
      </c>
      <c r="U687" s="533">
        <f t="shared" si="285"/>
        <v>0</v>
      </c>
      <c r="V687" s="531" t="str">
        <f t="shared" si="286"/>
        <v/>
      </c>
      <c r="W687" s="531" t="str">
        <f t="shared" si="287"/>
        <v/>
      </c>
      <c r="X687" s="534" t="str">
        <f t="shared" si="288"/>
        <v/>
      </c>
      <c r="Y687" s="535" t="str">
        <f>IF($A687="","",IF($I687="weekly",$A687+7,EDATE($A687,VLOOKUP($I687,Ref!$B$24:$C$29,2,0))))</f>
        <v/>
      </c>
      <c r="Z687" s="536" t="str">
        <f t="shared" si="289"/>
        <v/>
      </c>
      <c r="AA687" s="531">
        <f t="shared" si="290"/>
        <v>0</v>
      </c>
      <c r="AB687" s="535" t="str">
        <f t="shared" si="278"/>
        <v/>
      </c>
      <c r="AC687" s="537" t="str">
        <f t="shared" si="279"/>
        <v/>
      </c>
      <c r="AD687" s="538" t="str">
        <f t="shared" ca="1" si="280"/>
        <v/>
      </c>
      <c r="AE687" s="537">
        <f t="shared" ca="1" si="281"/>
        <v>0</v>
      </c>
      <c r="AF687" s="539" t="str">
        <f t="shared" ca="1" si="291"/>
        <v/>
      </c>
      <c r="AG687" s="531" t="str">
        <f t="shared" ca="1" si="292"/>
        <v/>
      </c>
      <c r="AH687" s="531" t="str">
        <f t="shared" ca="1" si="293"/>
        <v/>
      </c>
      <c r="AI687" s="531" t="str">
        <f t="shared" ca="1" si="294"/>
        <v/>
      </c>
      <c r="AJ687" s="531" t="str">
        <f t="shared" si="295"/>
        <v/>
      </c>
      <c r="AK687" s="540">
        <f>SUMIFS('Live Collections'!$S:$S,'Live Collections'!$D:$D,Disbursements!B687,'Live Collections'!$G:$G,Disbursements!C687)</f>
        <v>0</v>
      </c>
      <c r="AL687" s="540">
        <f>SUMIFS('Live Collections'!$T:$T,'Live Collections'!$D:$D,Disbursements!B687,'Live Collections'!$G:$G,Disbursements!C687)</f>
        <v>0</v>
      </c>
      <c r="AM687" s="541">
        <f t="shared" si="296"/>
        <v>0</v>
      </c>
      <c r="AN687" s="542" t="str">
        <f t="shared" si="297"/>
        <v/>
      </c>
      <c r="AO687" s="542" t="str">
        <f t="shared" si="298"/>
        <v/>
      </c>
      <c r="AP687" s="543" t="str">
        <f t="shared" si="299"/>
        <v/>
      </c>
      <c r="AQ687" s="544" t="str">
        <f t="shared" si="300"/>
        <v/>
      </c>
      <c r="AR687" s="545">
        <f t="shared" si="301"/>
        <v>0</v>
      </c>
      <c r="AS687" s="545">
        <f>IFERROR(CEILING($AR687*VLOOKUP($I687,Ref!$B$23:$E$29,4,0),1),0)</f>
        <v>0</v>
      </c>
      <c r="AT687" s="545" t="str">
        <f>IF(A687="","",IF(AP687&lt;=1,"Cleared",IF(AS687=0,"Clean",VLOOKUP($AS687,Ref!$G$23:$H$28,2))))</f>
        <v/>
      </c>
      <c r="AU687" s="546" t="str">
        <f t="shared" si="302"/>
        <v/>
      </c>
    </row>
    <row r="688" spans="1:47" ht="14.25" hidden="1" customHeight="1" x14ac:dyDescent="0.15">
      <c r="A688" s="523"/>
      <c r="B688" s="523"/>
      <c r="C688" s="523"/>
      <c r="D688" s="523"/>
      <c r="E688" s="579"/>
      <c r="F688" s="580"/>
      <c r="G688" s="524"/>
      <c r="H688" s="555"/>
      <c r="I688" s="560"/>
      <c r="J688" s="523"/>
      <c r="K688" s="528" t="str">
        <f>IFERROR(VLOOKUP($B688,'Clients-Live'!$A:$C,3,0),"")</f>
        <v/>
      </c>
      <c r="L688" s="528">
        <f>IF(E688="STL",Pricing!$D$38,IF(A688="",0,IF(A688&lt;Pricing!$C$25,Pricing!$D$25,VLOOKUP(Disbursements!$F688,Pricing!$B$29:$D$32,3))))</f>
        <v>0</v>
      </c>
      <c r="M688" s="528">
        <f>IF(E688="STL",0,IF(F688&gt;0,Pricing!$D$21,0))</f>
        <v>0</v>
      </c>
      <c r="N688" s="529">
        <f>IF(E688="STL",F688*Pricing!$D$40,IF(A688&lt;=Pricing!$C$4,0,IF(AND(A688&gt;Pricing!$C$4,Disbursements!A688&lt;=Pricing!$C$5),F688*Pricing!$E$5,IF(AND(A688&gt;Pricing!$C$5,Disbursements!A688&lt;=Pricing!$C$7),VLOOKUP(F688,Pricing!$D$7:$E$8,2)*Disbursements!F688,F688*Pricing!$E$9))))</f>
        <v>0</v>
      </c>
      <c r="O688" s="528">
        <f>IF(E688="STL",0,IF($F688&gt;0,$F688*Pricing!$D$17,0))</f>
        <v>0</v>
      </c>
      <c r="P688" s="530" t="str">
        <f t="shared" si="282"/>
        <v/>
      </c>
      <c r="Q688" s="531" t="str">
        <f>IF($A688="","",$G688/VLOOKUP($I688,Ref!$B$23:$D$29,2,0))</f>
        <v/>
      </c>
      <c r="R688" s="530" t="str">
        <f t="shared" si="283"/>
        <v/>
      </c>
      <c r="S688" s="532" t="str">
        <f t="shared" si="277"/>
        <v/>
      </c>
      <c r="T688" s="531" t="str">
        <f t="shared" si="284"/>
        <v/>
      </c>
      <c r="U688" s="533">
        <f t="shared" si="285"/>
        <v>0</v>
      </c>
      <c r="V688" s="531" t="str">
        <f t="shared" si="286"/>
        <v/>
      </c>
      <c r="W688" s="531" t="str">
        <f t="shared" si="287"/>
        <v/>
      </c>
      <c r="X688" s="534" t="str">
        <f t="shared" si="288"/>
        <v/>
      </c>
      <c r="Y688" s="535" t="str">
        <f>IF($A688="","",IF($I688="weekly",$A688+7,EDATE($A688,VLOOKUP($I688,Ref!$B$24:$C$29,2,0))))</f>
        <v/>
      </c>
      <c r="Z688" s="536" t="str">
        <f t="shared" si="289"/>
        <v/>
      </c>
      <c r="AA688" s="531">
        <f t="shared" si="290"/>
        <v>0</v>
      </c>
      <c r="AB688" s="535" t="str">
        <f t="shared" si="278"/>
        <v/>
      </c>
      <c r="AC688" s="537" t="str">
        <f t="shared" si="279"/>
        <v/>
      </c>
      <c r="AD688" s="538" t="str">
        <f t="shared" ca="1" si="280"/>
        <v/>
      </c>
      <c r="AE688" s="537">
        <f t="shared" ca="1" si="281"/>
        <v>0</v>
      </c>
      <c r="AF688" s="539" t="str">
        <f t="shared" ca="1" si="291"/>
        <v/>
      </c>
      <c r="AG688" s="531" t="str">
        <f t="shared" ca="1" si="292"/>
        <v/>
      </c>
      <c r="AH688" s="531" t="str">
        <f t="shared" ca="1" si="293"/>
        <v/>
      </c>
      <c r="AI688" s="531" t="str">
        <f t="shared" ca="1" si="294"/>
        <v/>
      </c>
      <c r="AJ688" s="531" t="str">
        <f t="shared" si="295"/>
        <v/>
      </c>
      <c r="AK688" s="540">
        <f>SUMIFS('Live Collections'!$S:$S,'Live Collections'!$D:$D,Disbursements!B688,'Live Collections'!$G:$G,Disbursements!C688)</f>
        <v>0</v>
      </c>
      <c r="AL688" s="540">
        <f>SUMIFS('Live Collections'!$T:$T,'Live Collections'!$D:$D,Disbursements!B688,'Live Collections'!$G:$G,Disbursements!C688)</f>
        <v>0</v>
      </c>
      <c r="AM688" s="541">
        <f t="shared" si="296"/>
        <v>0</v>
      </c>
      <c r="AN688" s="542" t="str">
        <f t="shared" si="297"/>
        <v/>
      </c>
      <c r="AO688" s="542" t="str">
        <f t="shared" si="298"/>
        <v/>
      </c>
      <c r="AP688" s="543" t="str">
        <f t="shared" si="299"/>
        <v/>
      </c>
      <c r="AQ688" s="544" t="str">
        <f t="shared" si="300"/>
        <v/>
      </c>
      <c r="AR688" s="545">
        <f t="shared" si="301"/>
        <v>0</v>
      </c>
      <c r="AS688" s="545">
        <f>IFERROR(CEILING($AR688*VLOOKUP($I688,Ref!$B$23:$E$29,4,0),1),0)</f>
        <v>0</v>
      </c>
      <c r="AT688" s="545" t="str">
        <f>IF(A688="","",IF(AP688&lt;=1,"Cleared",IF(AS688=0,"Clean",VLOOKUP($AS688,Ref!$G$23:$H$28,2))))</f>
        <v/>
      </c>
      <c r="AU688" s="546" t="str">
        <f t="shared" si="302"/>
        <v/>
      </c>
    </row>
    <row r="689" spans="1:47" ht="14.25" hidden="1" customHeight="1" x14ac:dyDescent="0.15">
      <c r="A689" s="523"/>
      <c r="B689" s="523"/>
      <c r="C689" s="523"/>
      <c r="D689" s="523"/>
      <c r="E689" s="579"/>
      <c r="F689" s="580"/>
      <c r="G689" s="524"/>
      <c r="H689" s="555"/>
      <c r="I689" s="560"/>
      <c r="J689" s="523"/>
      <c r="K689" s="528" t="str">
        <f>IFERROR(VLOOKUP($B689,'Clients-Live'!$A:$C,3,0),"")</f>
        <v/>
      </c>
      <c r="L689" s="528">
        <f>IF(E689="STL",Pricing!$D$38,IF(A689="",0,IF(A689&lt;Pricing!$C$25,Pricing!$D$25,VLOOKUP(Disbursements!$F689,Pricing!$B$29:$D$32,3))))</f>
        <v>0</v>
      </c>
      <c r="M689" s="528">
        <f>IF(E689="STL",0,IF(F689&gt;0,Pricing!$D$21,0))</f>
        <v>0</v>
      </c>
      <c r="N689" s="529">
        <f>IF(E689="STL",F689*Pricing!$D$40,IF(A689&lt;=Pricing!$C$4,0,IF(AND(A689&gt;Pricing!$C$4,Disbursements!A689&lt;=Pricing!$C$5),F689*Pricing!$E$5,IF(AND(A689&gt;Pricing!$C$5,Disbursements!A689&lt;=Pricing!$C$7),VLOOKUP(F689,Pricing!$D$7:$E$8,2)*Disbursements!F689,F689*Pricing!$E$9))))</f>
        <v>0</v>
      </c>
      <c r="O689" s="528">
        <f>IF(E689="STL",0,IF($F689&gt;0,$F689*Pricing!$D$17,0))</f>
        <v>0</v>
      </c>
      <c r="P689" s="530" t="str">
        <f t="shared" si="282"/>
        <v/>
      </c>
      <c r="Q689" s="531" t="str">
        <f>IF($A689="","",$G689/VLOOKUP($I689,Ref!$B$23:$D$29,2,0))</f>
        <v/>
      </c>
      <c r="R689" s="530" t="str">
        <f t="shared" si="283"/>
        <v/>
      </c>
      <c r="S689" s="532" t="str">
        <f t="shared" si="277"/>
        <v/>
      </c>
      <c r="T689" s="531" t="str">
        <f t="shared" si="284"/>
        <v/>
      </c>
      <c r="U689" s="533">
        <f t="shared" si="285"/>
        <v>0</v>
      </c>
      <c r="V689" s="531" t="str">
        <f t="shared" si="286"/>
        <v/>
      </c>
      <c r="W689" s="531" t="str">
        <f t="shared" si="287"/>
        <v/>
      </c>
      <c r="X689" s="534" t="str">
        <f t="shared" si="288"/>
        <v/>
      </c>
      <c r="Y689" s="535" t="str">
        <f>IF($A689="","",IF($I689="weekly",$A689+7,EDATE($A689,VLOOKUP($I689,Ref!$B$24:$C$29,2,0))))</f>
        <v/>
      </c>
      <c r="Z689" s="536" t="str">
        <f t="shared" si="289"/>
        <v/>
      </c>
      <c r="AA689" s="531">
        <f t="shared" si="290"/>
        <v>0</v>
      </c>
      <c r="AB689" s="535" t="str">
        <f t="shared" si="278"/>
        <v/>
      </c>
      <c r="AC689" s="537" t="str">
        <f t="shared" si="279"/>
        <v/>
      </c>
      <c r="AD689" s="538" t="str">
        <f t="shared" ca="1" si="280"/>
        <v/>
      </c>
      <c r="AE689" s="537">
        <f t="shared" ca="1" si="281"/>
        <v>0</v>
      </c>
      <c r="AF689" s="539" t="str">
        <f t="shared" ca="1" si="291"/>
        <v/>
      </c>
      <c r="AG689" s="531" t="str">
        <f t="shared" ca="1" si="292"/>
        <v/>
      </c>
      <c r="AH689" s="531" t="str">
        <f t="shared" ca="1" si="293"/>
        <v/>
      </c>
      <c r="AI689" s="531" t="str">
        <f t="shared" ca="1" si="294"/>
        <v/>
      </c>
      <c r="AJ689" s="531" t="str">
        <f t="shared" si="295"/>
        <v/>
      </c>
      <c r="AK689" s="540">
        <f>SUMIFS('Live Collections'!$S:$S,'Live Collections'!$D:$D,Disbursements!B689,'Live Collections'!$G:$G,Disbursements!C689)</f>
        <v>0</v>
      </c>
      <c r="AL689" s="540">
        <f>SUMIFS('Live Collections'!$T:$T,'Live Collections'!$D:$D,Disbursements!B689,'Live Collections'!$G:$G,Disbursements!C689)</f>
        <v>0</v>
      </c>
      <c r="AM689" s="541">
        <f t="shared" si="296"/>
        <v>0</v>
      </c>
      <c r="AN689" s="542" t="str">
        <f t="shared" si="297"/>
        <v/>
      </c>
      <c r="AO689" s="542" t="str">
        <f t="shared" si="298"/>
        <v/>
      </c>
      <c r="AP689" s="543" t="str">
        <f t="shared" si="299"/>
        <v/>
      </c>
      <c r="AQ689" s="544" t="str">
        <f t="shared" si="300"/>
        <v/>
      </c>
      <c r="AR689" s="545">
        <f t="shared" si="301"/>
        <v>0</v>
      </c>
      <c r="AS689" s="545">
        <f>IFERROR(CEILING($AR689*VLOOKUP($I689,Ref!$B$23:$E$29,4,0),1),0)</f>
        <v>0</v>
      </c>
      <c r="AT689" s="545" t="str">
        <f>IF(A689="","",IF(AP689&lt;=1,"Cleared",IF(AS689=0,"Clean",VLOOKUP($AS689,Ref!$G$23:$H$28,2))))</f>
        <v/>
      </c>
      <c r="AU689" s="546" t="str">
        <f t="shared" si="302"/>
        <v/>
      </c>
    </row>
    <row r="690" spans="1:47" ht="14.25" hidden="1" customHeight="1" x14ac:dyDescent="0.15">
      <c r="A690" s="523"/>
      <c r="B690" s="523"/>
      <c r="C690" s="523"/>
      <c r="D690" s="523"/>
      <c r="E690" s="579"/>
      <c r="F690" s="580"/>
      <c r="G690" s="524"/>
      <c r="H690" s="555"/>
      <c r="I690" s="560"/>
      <c r="J690" s="523"/>
      <c r="K690" s="528" t="str">
        <f>IFERROR(VLOOKUP($B690,'Clients-Live'!$A:$C,3,0),"")</f>
        <v/>
      </c>
      <c r="L690" s="528">
        <f>IF(E690="STL",Pricing!$D$38,IF(A690="",0,IF(A690&lt;Pricing!$C$25,Pricing!$D$25,VLOOKUP(Disbursements!$F690,Pricing!$B$29:$D$32,3))))</f>
        <v>0</v>
      </c>
      <c r="M690" s="528">
        <f>IF(E690="STL",0,IF(F690&gt;0,Pricing!$D$21,0))</f>
        <v>0</v>
      </c>
      <c r="N690" s="529">
        <f>IF(E690="STL",F690*Pricing!$D$40,IF(A690&lt;=Pricing!$C$4,0,IF(AND(A690&gt;Pricing!$C$4,Disbursements!A690&lt;=Pricing!$C$5),F690*Pricing!$E$5,IF(AND(A690&gt;Pricing!$C$5,Disbursements!A690&lt;=Pricing!$C$7),VLOOKUP(F690,Pricing!$D$7:$E$8,2)*Disbursements!F690,F690*Pricing!$E$9))))</f>
        <v>0</v>
      </c>
      <c r="O690" s="528">
        <f>IF(E690="STL",0,IF($F690&gt;0,$F690*Pricing!$D$17,0))</f>
        <v>0</v>
      </c>
      <c r="P690" s="530" t="str">
        <f t="shared" si="282"/>
        <v/>
      </c>
      <c r="Q690" s="531" t="str">
        <f>IF($A690="","",$G690/VLOOKUP($I690,Ref!$B$23:$D$29,2,0))</f>
        <v/>
      </c>
      <c r="R690" s="530" t="str">
        <f t="shared" si="283"/>
        <v/>
      </c>
      <c r="S690" s="532" t="str">
        <f t="shared" si="277"/>
        <v/>
      </c>
      <c r="T690" s="531" t="str">
        <f t="shared" si="284"/>
        <v/>
      </c>
      <c r="U690" s="533">
        <f t="shared" si="285"/>
        <v>0</v>
      </c>
      <c r="V690" s="531" t="str">
        <f t="shared" si="286"/>
        <v/>
      </c>
      <c r="W690" s="531" t="str">
        <f t="shared" si="287"/>
        <v/>
      </c>
      <c r="X690" s="534" t="str">
        <f t="shared" si="288"/>
        <v/>
      </c>
      <c r="Y690" s="535" t="str">
        <f>IF($A690="","",IF($I690="weekly",$A690+7,EDATE($A690,VLOOKUP($I690,Ref!$B$24:$C$29,2,0))))</f>
        <v/>
      </c>
      <c r="Z690" s="536" t="str">
        <f t="shared" si="289"/>
        <v/>
      </c>
      <c r="AA690" s="531">
        <f t="shared" si="290"/>
        <v>0</v>
      </c>
      <c r="AB690" s="535" t="str">
        <f t="shared" si="278"/>
        <v/>
      </c>
      <c r="AC690" s="537" t="str">
        <f t="shared" si="279"/>
        <v/>
      </c>
      <c r="AD690" s="538" t="str">
        <f t="shared" ca="1" si="280"/>
        <v/>
      </c>
      <c r="AE690" s="537">
        <f t="shared" ca="1" si="281"/>
        <v>0</v>
      </c>
      <c r="AF690" s="539" t="str">
        <f t="shared" ca="1" si="291"/>
        <v/>
      </c>
      <c r="AG690" s="531" t="str">
        <f t="shared" ca="1" si="292"/>
        <v/>
      </c>
      <c r="AH690" s="531" t="str">
        <f t="shared" ca="1" si="293"/>
        <v/>
      </c>
      <c r="AI690" s="531" t="str">
        <f t="shared" ca="1" si="294"/>
        <v/>
      </c>
      <c r="AJ690" s="531" t="str">
        <f t="shared" si="295"/>
        <v/>
      </c>
      <c r="AK690" s="540">
        <f>SUMIFS('Live Collections'!$S:$S,'Live Collections'!$D:$D,Disbursements!B690,'Live Collections'!$G:$G,Disbursements!C690)</f>
        <v>0</v>
      </c>
      <c r="AL690" s="540">
        <f>SUMIFS('Live Collections'!$T:$T,'Live Collections'!$D:$D,Disbursements!B690,'Live Collections'!$G:$G,Disbursements!C690)</f>
        <v>0</v>
      </c>
      <c r="AM690" s="541">
        <f t="shared" si="296"/>
        <v>0</v>
      </c>
      <c r="AN690" s="542" t="str">
        <f t="shared" si="297"/>
        <v/>
      </c>
      <c r="AO690" s="542" t="str">
        <f t="shared" si="298"/>
        <v/>
      </c>
      <c r="AP690" s="543" t="str">
        <f t="shared" si="299"/>
        <v/>
      </c>
      <c r="AQ690" s="544" t="str">
        <f t="shared" si="300"/>
        <v/>
      </c>
      <c r="AR690" s="545">
        <f t="shared" si="301"/>
        <v>0</v>
      </c>
      <c r="AS690" s="545">
        <f>IFERROR(CEILING($AR690*VLOOKUP($I690,Ref!$B$23:$E$29,4,0),1),0)</f>
        <v>0</v>
      </c>
      <c r="AT690" s="545" t="str">
        <f>IF(A690="","",IF(AP690&lt;=1,"Cleared",IF(AS690=0,"Clean",VLOOKUP($AS690,Ref!$G$23:$H$28,2))))</f>
        <v/>
      </c>
      <c r="AU690" s="546" t="str">
        <f t="shared" si="302"/>
        <v/>
      </c>
    </row>
    <row r="691" spans="1:47" ht="14.25" hidden="1" customHeight="1" x14ac:dyDescent="0.15">
      <c r="A691" s="523"/>
      <c r="B691" s="523"/>
      <c r="C691" s="523"/>
      <c r="D691" s="523"/>
      <c r="E691" s="579"/>
      <c r="F691" s="580"/>
      <c r="G691" s="524"/>
      <c r="H691" s="555"/>
      <c r="I691" s="560"/>
      <c r="J691" s="523"/>
      <c r="K691" s="528" t="str">
        <f>IFERROR(VLOOKUP($B691,'Clients-Live'!$A:$C,3,0),"")</f>
        <v/>
      </c>
      <c r="L691" s="528">
        <f>IF(E691="STL",Pricing!$D$38,IF(A691="",0,IF(A691&lt;Pricing!$C$25,Pricing!$D$25,VLOOKUP(Disbursements!$F691,Pricing!$B$29:$D$32,3))))</f>
        <v>0</v>
      </c>
      <c r="M691" s="528">
        <f>IF(E691="STL",0,IF(F691&gt;0,Pricing!$D$21,0))</f>
        <v>0</v>
      </c>
      <c r="N691" s="529">
        <f>IF(E691="STL",F691*Pricing!$D$40,IF(A691&lt;=Pricing!$C$4,0,IF(AND(A691&gt;Pricing!$C$4,Disbursements!A691&lt;=Pricing!$C$5),F691*Pricing!$E$5,IF(AND(A691&gt;Pricing!$C$5,Disbursements!A691&lt;=Pricing!$C$7),VLOOKUP(F691,Pricing!$D$7:$E$8,2)*Disbursements!F691,F691*Pricing!$E$9))))</f>
        <v>0</v>
      </c>
      <c r="O691" s="528">
        <f>IF(E691="STL",0,IF($F691&gt;0,$F691*Pricing!$D$17,0))</f>
        <v>0</v>
      </c>
      <c r="P691" s="530" t="str">
        <f t="shared" si="282"/>
        <v/>
      </c>
      <c r="Q691" s="531" t="str">
        <f>IF($A691="","",$G691/VLOOKUP($I691,Ref!$B$23:$D$29,2,0))</f>
        <v/>
      </c>
      <c r="R691" s="530" t="str">
        <f t="shared" si="283"/>
        <v/>
      </c>
      <c r="S691" s="532" t="str">
        <f t="shared" si="277"/>
        <v/>
      </c>
      <c r="T691" s="531" t="str">
        <f t="shared" si="284"/>
        <v/>
      </c>
      <c r="U691" s="533">
        <f t="shared" si="285"/>
        <v>0</v>
      </c>
      <c r="V691" s="531" t="str">
        <f t="shared" si="286"/>
        <v/>
      </c>
      <c r="W691" s="531" t="str">
        <f t="shared" si="287"/>
        <v/>
      </c>
      <c r="X691" s="534" t="str">
        <f t="shared" si="288"/>
        <v/>
      </c>
      <c r="Y691" s="535" t="str">
        <f>IF($A691="","",IF($I691="weekly",$A691+7,EDATE($A691,VLOOKUP($I691,Ref!$B$24:$C$29,2,0))))</f>
        <v/>
      </c>
      <c r="Z691" s="536" t="str">
        <f t="shared" si="289"/>
        <v/>
      </c>
      <c r="AA691" s="531">
        <f t="shared" si="290"/>
        <v>0</v>
      </c>
      <c r="AB691" s="535" t="str">
        <f t="shared" si="278"/>
        <v/>
      </c>
      <c r="AC691" s="537" t="str">
        <f t="shared" si="279"/>
        <v/>
      </c>
      <c r="AD691" s="538" t="str">
        <f t="shared" ca="1" si="280"/>
        <v/>
      </c>
      <c r="AE691" s="537">
        <f t="shared" ca="1" si="281"/>
        <v>0</v>
      </c>
      <c r="AF691" s="539" t="str">
        <f t="shared" ca="1" si="291"/>
        <v/>
      </c>
      <c r="AG691" s="531" t="str">
        <f t="shared" ca="1" si="292"/>
        <v/>
      </c>
      <c r="AH691" s="531" t="str">
        <f t="shared" ca="1" si="293"/>
        <v/>
      </c>
      <c r="AI691" s="531" t="str">
        <f t="shared" ca="1" si="294"/>
        <v/>
      </c>
      <c r="AJ691" s="531" t="str">
        <f t="shared" si="295"/>
        <v/>
      </c>
      <c r="AK691" s="540">
        <f>SUMIFS('Live Collections'!$S:$S,'Live Collections'!$D:$D,Disbursements!B691,'Live Collections'!$G:$G,Disbursements!C691)</f>
        <v>0</v>
      </c>
      <c r="AL691" s="540">
        <f>SUMIFS('Live Collections'!$T:$T,'Live Collections'!$D:$D,Disbursements!B691,'Live Collections'!$G:$G,Disbursements!C691)</f>
        <v>0</v>
      </c>
      <c r="AM691" s="541">
        <f t="shared" si="296"/>
        <v>0</v>
      </c>
      <c r="AN691" s="542" t="str">
        <f t="shared" si="297"/>
        <v/>
      </c>
      <c r="AO691" s="542" t="str">
        <f t="shared" si="298"/>
        <v/>
      </c>
      <c r="AP691" s="543" t="str">
        <f t="shared" si="299"/>
        <v/>
      </c>
      <c r="AQ691" s="544" t="str">
        <f t="shared" si="300"/>
        <v/>
      </c>
      <c r="AR691" s="545">
        <f t="shared" si="301"/>
        <v>0</v>
      </c>
      <c r="AS691" s="545">
        <f>IFERROR(CEILING($AR691*VLOOKUP($I691,Ref!$B$23:$E$29,4,0),1),0)</f>
        <v>0</v>
      </c>
      <c r="AT691" s="545" t="str">
        <f>IF(A691="","",IF(AP691&lt;=1,"Cleared",IF(AS691=0,"Clean",VLOOKUP($AS691,Ref!$G$23:$H$28,2))))</f>
        <v/>
      </c>
      <c r="AU691" s="546" t="str">
        <f t="shared" si="302"/>
        <v/>
      </c>
    </row>
    <row r="692" spans="1:47" ht="14.25" hidden="1" customHeight="1" x14ac:dyDescent="0.15">
      <c r="A692" s="523"/>
      <c r="B692" s="523"/>
      <c r="C692" s="523"/>
      <c r="D692" s="523"/>
      <c r="E692" s="579"/>
      <c r="F692" s="580"/>
      <c r="G692" s="524"/>
      <c r="H692" s="555"/>
      <c r="I692" s="560"/>
      <c r="J692" s="523"/>
      <c r="K692" s="528" t="str">
        <f>IFERROR(VLOOKUP($B692,'Clients-Live'!$A:$C,3,0),"")</f>
        <v/>
      </c>
      <c r="L692" s="528">
        <f>IF(E692="STL",Pricing!$D$38,IF(A692="",0,IF(A692&lt;Pricing!$C$25,Pricing!$D$25,VLOOKUP(Disbursements!$F692,Pricing!$B$29:$D$32,3))))</f>
        <v>0</v>
      </c>
      <c r="M692" s="528">
        <f>IF(E692="STL",0,IF(F692&gt;0,Pricing!$D$21,0))</f>
        <v>0</v>
      </c>
      <c r="N692" s="529">
        <f>IF(E692="STL",F692*Pricing!$D$40,IF(A692&lt;=Pricing!$C$4,0,IF(AND(A692&gt;Pricing!$C$4,Disbursements!A692&lt;=Pricing!$C$5),F692*Pricing!$E$5,IF(AND(A692&gt;Pricing!$C$5,Disbursements!A692&lt;=Pricing!$C$7),VLOOKUP(F692,Pricing!$D$7:$E$8,2)*Disbursements!F692,F692*Pricing!$E$9))))</f>
        <v>0</v>
      </c>
      <c r="O692" s="528">
        <f>IF(E692="STL",0,IF($F692&gt;0,$F692*Pricing!$D$17,0))</f>
        <v>0</v>
      </c>
      <c r="P692" s="530" t="str">
        <f t="shared" si="282"/>
        <v/>
      </c>
      <c r="Q692" s="531" t="str">
        <f>IF($A692="","",$G692/VLOOKUP($I692,Ref!$B$23:$D$29,2,0))</f>
        <v/>
      </c>
      <c r="R692" s="530" t="str">
        <f t="shared" si="283"/>
        <v/>
      </c>
      <c r="S692" s="532" t="str">
        <f t="shared" si="277"/>
        <v/>
      </c>
      <c r="T692" s="531" t="str">
        <f t="shared" si="284"/>
        <v/>
      </c>
      <c r="U692" s="533">
        <f t="shared" si="285"/>
        <v>0</v>
      </c>
      <c r="V692" s="531" t="str">
        <f t="shared" si="286"/>
        <v/>
      </c>
      <c r="W692" s="531" t="str">
        <f t="shared" si="287"/>
        <v/>
      </c>
      <c r="X692" s="534" t="str">
        <f t="shared" si="288"/>
        <v/>
      </c>
      <c r="Y692" s="535" t="str">
        <f>IF($A692="","",IF($I692="weekly",$A692+7,EDATE($A692,VLOOKUP($I692,Ref!$B$24:$C$29,2,0))))</f>
        <v/>
      </c>
      <c r="Z692" s="536" t="str">
        <f t="shared" si="289"/>
        <v/>
      </c>
      <c r="AA692" s="531">
        <f t="shared" si="290"/>
        <v>0</v>
      </c>
      <c r="AB692" s="535" t="str">
        <f t="shared" si="278"/>
        <v/>
      </c>
      <c r="AC692" s="537" t="str">
        <f t="shared" si="279"/>
        <v/>
      </c>
      <c r="AD692" s="538" t="str">
        <f t="shared" ca="1" si="280"/>
        <v/>
      </c>
      <c r="AE692" s="537">
        <f t="shared" ca="1" si="281"/>
        <v>0</v>
      </c>
      <c r="AF692" s="539" t="str">
        <f t="shared" ca="1" si="291"/>
        <v/>
      </c>
      <c r="AG692" s="531" t="str">
        <f t="shared" ca="1" si="292"/>
        <v/>
      </c>
      <c r="AH692" s="531" t="str">
        <f t="shared" ca="1" si="293"/>
        <v/>
      </c>
      <c r="AI692" s="531" t="str">
        <f t="shared" ca="1" si="294"/>
        <v/>
      </c>
      <c r="AJ692" s="531" t="str">
        <f t="shared" si="295"/>
        <v/>
      </c>
      <c r="AK692" s="540">
        <f>SUMIFS('Live Collections'!$S:$S,'Live Collections'!$D:$D,Disbursements!B692,'Live Collections'!$G:$G,Disbursements!C692)</f>
        <v>0</v>
      </c>
      <c r="AL692" s="540">
        <f>SUMIFS('Live Collections'!$T:$T,'Live Collections'!$D:$D,Disbursements!B692,'Live Collections'!$G:$G,Disbursements!C692)</f>
        <v>0</v>
      </c>
      <c r="AM692" s="541">
        <f t="shared" si="296"/>
        <v>0</v>
      </c>
      <c r="AN692" s="542" t="str">
        <f t="shared" si="297"/>
        <v/>
      </c>
      <c r="AO692" s="542" t="str">
        <f t="shared" si="298"/>
        <v/>
      </c>
      <c r="AP692" s="543" t="str">
        <f t="shared" si="299"/>
        <v/>
      </c>
      <c r="AQ692" s="544" t="str">
        <f t="shared" si="300"/>
        <v/>
      </c>
      <c r="AR692" s="545">
        <f t="shared" si="301"/>
        <v>0</v>
      </c>
      <c r="AS692" s="545">
        <f>IFERROR(CEILING($AR692*VLOOKUP($I692,Ref!$B$23:$E$29,4,0),1),0)</f>
        <v>0</v>
      </c>
      <c r="AT692" s="545" t="str">
        <f>IF(A692="","",IF(AP692&lt;=1,"Cleared",IF(AS692=0,"Clean",VLOOKUP($AS692,Ref!$G$23:$H$28,2))))</f>
        <v/>
      </c>
      <c r="AU692" s="546" t="str">
        <f t="shared" si="302"/>
        <v/>
      </c>
    </row>
    <row r="693" spans="1:47" ht="14.25" hidden="1" customHeight="1" x14ac:dyDescent="0.15">
      <c r="A693" s="523"/>
      <c r="B693" s="523"/>
      <c r="C693" s="523"/>
      <c r="D693" s="523"/>
      <c r="E693" s="579"/>
      <c r="F693" s="580"/>
      <c r="G693" s="524"/>
      <c r="H693" s="555"/>
      <c r="I693" s="560"/>
      <c r="J693" s="523"/>
      <c r="K693" s="528" t="str">
        <f>IFERROR(VLOOKUP($B693,'Clients-Live'!$A:$C,3,0),"")</f>
        <v/>
      </c>
      <c r="L693" s="528">
        <f>IF(E693="STL",Pricing!$D$38,IF(A693="",0,IF(A693&lt;Pricing!$C$25,Pricing!$D$25,VLOOKUP(Disbursements!$F693,Pricing!$B$29:$D$32,3))))</f>
        <v>0</v>
      </c>
      <c r="M693" s="528">
        <f>IF(E693="STL",0,IF(F693&gt;0,Pricing!$D$21,0))</f>
        <v>0</v>
      </c>
      <c r="N693" s="529">
        <f>IF(E693="STL",F693*Pricing!$D$40,IF(A693&lt;=Pricing!$C$4,0,IF(AND(A693&gt;Pricing!$C$4,Disbursements!A693&lt;=Pricing!$C$5),F693*Pricing!$E$5,IF(AND(A693&gt;Pricing!$C$5,Disbursements!A693&lt;=Pricing!$C$7),VLOOKUP(F693,Pricing!$D$7:$E$8,2)*Disbursements!F693,F693*Pricing!$E$9))))</f>
        <v>0</v>
      </c>
      <c r="O693" s="528">
        <f>IF(E693="STL",0,IF($F693&gt;0,$F693*Pricing!$D$17,0))</f>
        <v>0</v>
      </c>
      <c r="P693" s="530" t="str">
        <f t="shared" si="282"/>
        <v/>
      </c>
      <c r="Q693" s="531" t="str">
        <f>IF($A693="","",$G693/VLOOKUP($I693,Ref!$B$23:$D$29,2,0))</f>
        <v/>
      </c>
      <c r="R693" s="530" t="str">
        <f t="shared" si="283"/>
        <v/>
      </c>
      <c r="S693" s="532" t="str">
        <f t="shared" si="277"/>
        <v/>
      </c>
      <c r="T693" s="531" t="str">
        <f t="shared" si="284"/>
        <v/>
      </c>
      <c r="U693" s="533">
        <f t="shared" si="285"/>
        <v>0</v>
      </c>
      <c r="V693" s="531" t="str">
        <f t="shared" si="286"/>
        <v/>
      </c>
      <c r="W693" s="531" t="str">
        <f t="shared" si="287"/>
        <v/>
      </c>
      <c r="X693" s="534" t="str">
        <f t="shared" si="288"/>
        <v/>
      </c>
      <c r="Y693" s="535" t="str">
        <f>IF($A693="","",IF($I693="weekly",$A693+7,EDATE($A693,VLOOKUP($I693,Ref!$B$24:$C$29,2,0))))</f>
        <v/>
      </c>
      <c r="Z693" s="536" t="str">
        <f t="shared" si="289"/>
        <v/>
      </c>
      <c r="AA693" s="531">
        <f t="shared" si="290"/>
        <v>0</v>
      </c>
      <c r="AB693" s="535" t="str">
        <f t="shared" si="278"/>
        <v/>
      </c>
      <c r="AC693" s="537" t="str">
        <f t="shared" si="279"/>
        <v/>
      </c>
      <c r="AD693" s="538" t="str">
        <f t="shared" ca="1" si="280"/>
        <v/>
      </c>
      <c r="AE693" s="537">
        <f t="shared" ca="1" si="281"/>
        <v>0</v>
      </c>
      <c r="AF693" s="539" t="str">
        <f t="shared" ca="1" si="291"/>
        <v/>
      </c>
      <c r="AG693" s="531" t="str">
        <f t="shared" ca="1" si="292"/>
        <v/>
      </c>
      <c r="AH693" s="531" t="str">
        <f t="shared" ca="1" si="293"/>
        <v/>
      </c>
      <c r="AI693" s="531" t="str">
        <f t="shared" ca="1" si="294"/>
        <v/>
      </c>
      <c r="AJ693" s="531" t="str">
        <f t="shared" si="295"/>
        <v/>
      </c>
      <c r="AK693" s="540">
        <f>SUMIFS('Live Collections'!$S:$S,'Live Collections'!$D:$D,Disbursements!B693,'Live Collections'!$G:$G,Disbursements!C693)</f>
        <v>0</v>
      </c>
      <c r="AL693" s="540">
        <f>SUMIFS('Live Collections'!$T:$T,'Live Collections'!$D:$D,Disbursements!B693,'Live Collections'!$G:$G,Disbursements!C693)</f>
        <v>0</v>
      </c>
      <c r="AM693" s="541">
        <f t="shared" si="296"/>
        <v>0</v>
      </c>
      <c r="AN693" s="542" t="str">
        <f t="shared" si="297"/>
        <v/>
      </c>
      <c r="AO693" s="542" t="str">
        <f t="shared" si="298"/>
        <v/>
      </c>
      <c r="AP693" s="543" t="str">
        <f t="shared" si="299"/>
        <v/>
      </c>
      <c r="AQ693" s="544" t="str">
        <f t="shared" si="300"/>
        <v/>
      </c>
      <c r="AR693" s="545">
        <f t="shared" si="301"/>
        <v>0</v>
      </c>
      <c r="AS693" s="545">
        <f>IFERROR(CEILING($AR693*VLOOKUP($I693,Ref!$B$23:$E$29,4,0),1),0)</f>
        <v>0</v>
      </c>
      <c r="AT693" s="545" t="str">
        <f>IF(A693="","",IF(AP693&lt;=1,"Cleared",IF(AS693=0,"Clean",VLOOKUP($AS693,Ref!$G$23:$H$28,2))))</f>
        <v/>
      </c>
      <c r="AU693" s="546" t="str">
        <f t="shared" si="302"/>
        <v/>
      </c>
    </row>
    <row r="694" spans="1:47" ht="14.25" hidden="1" customHeight="1" x14ac:dyDescent="0.15">
      <c r="A694" s="523"/>
      <c r="B694" s="523"/>
      <c r="C694" s="523"/>
      <c r="D694" s="523"/>
      <c r="E694" s="579"/>
      <c r="F694" s="580"/>
      <c r="G694" s="524"/>
      <c r="H694" s="555"/>
      <c r="I694" s="560"/>
      <c r="J694" s="523"/>
      <c r="K694" s="528" t="str">
        <f>IFERROR(VLOOKUP($B694,'Clients-Live'!$A:$C,3,0),"")</f>
        <v/>
      </c>
      <c r="L694" s="528">
        <f>IF(E694="STL",Pricing!$D$38,IF(A694="",0,IF(A694&lt;Pricing!$C$25,Pricing!$D$25,VLOOKUP(Disbursements!$F694,Pricing!$B$29:$D$32,3))))</f>
        <v>0</v>
      </c>
      <c r="M694" s="528">
        <f>IF(E694="STL",0,IF(F694&gt;0,Pricing!$D$21,0))</f>
        <v>0</v>
      </c>
      <c r="N694" s="529">
        <f>IF(E694="STL",F694*Pricing!$D$40,IF(A694&lt;=Pricing!$C$4,0,IF(AND(A694&gt;Pricing!$C$4,Disbursements!A694&lt;=Pricing!$C$5),F694*Pricing!$E$5,IF(AND(A694&gt;Pricing!$C$5,Disbursements!A694&lt;=Pricing!$C$7),VLOOKUP(F694,Pricing!$D$7:$E$8,2)*Disbursements!F694,F694*Pricing!$E$9))))</f>
        <v>0</v>
      </c>
      <c r="O694" s="528">
        <f>IF(E694="STL",0,IF($F694&gt;0,$F694*Pricing!$D$17,0))</f>
        <v>0</v>
      </c>
      <c r="P694" s="530" t="str">
        <f t="shared" si="282"/>
        <v/>
      </c>
      <c r="Q694" s="531" t="str">
        <f>IF($A694="","",$G694/VLOOKUP($I694,Ref!$B$23:$D$29,2,0))</f>
        <v/>
      </c>
      <c r="R694" s="530" t="str">
        <f t="shared" si="283"/>
        <v/>
      </c>
      <c r="S694" s="532" t="str">
        <f t="shared" si="277"/>
        <v/>
      </c>
      <c r="T694" s="531" t="str">
        <f t="shared" si="284"/>
        <v/>
      </c>
      <c r="U694" s="533">
        <f t="shared" si="285"/>
        <v>0</v>
      </c>
      <c r="V694" s="531" t="str">
        <f t="shared" si="286"/>
        <v/>
      </c>
      <c r="W694" s="531" t="str">
        <f t="shared" si="287"/>
        <v/>
      </c>
      <c r="X694" s="534" t="str">
        <f t="shared" si="288"/>
        <v/>
      </c>
      <c r="Y694" s="535" t="str">
        <f>IF($A694="","",IF($I694="weekly",$A694+7,EDATE($A694,VLOOKUP($I694,Ref!$B$24:$C$29,2,0))))</f>
        <v/>
      </c>
      <c r="Z694" s="536" t="str">
        <f t="shared" si="289"/>
        <v/>
      </c>
      <c r="AA694" s="531">
        <f t="shared" si="290"/>
        <v>0</v>
      </c>
      <c r="AB694" s="535" t="str">
        <f t="shared" si="278"/>
        <v/>
      </c>
      <c r="AC694" s="537" t="str">
        <f t="shared" si="279"/>
        <v/>
      </c>
      <c r="AD694" s="538" t="str">
        <f t="shared" ca="1" si="280"/>
        <v/>
      </c>
      <c r="AE694" s="537">
        <f t="shared" ca="1" si="281"/>
        <v>0</v>
      </c>
      <c r="AF694" s="539" t="str">
        <f t="shared" ca="1" si="291"/>
        <v/>
      </c>
      <c r="AG694" s="531" t="str">
        <f t="shared" ca="1" si="292"/>
        <v/>
      </c>
      <c r="AH694" s="531" t="str">
        <f t="shared" ca="1" si="293"/>
        <v/>
      </c>
      <c r="AI694" s="531" t="str">
        <f t="shared" ca="1" si="294"/>
        <v/>
      </c>
      <c r="AJ694" s="531" t="str">
        <f t="shared" si="295"/>
        <v/>
      </c>
      <c r="AK694" s="540">
        <f>SUMIFS('Live Collections'!$S:$S,'Live Collections'!$D:$D,Disbursements!B694,'Live Collections'!$G:$G,Disbursements!C694)</f>
        <v>0</v>
      </c>
      <c r="AL694" s="540">
        <f>SUMIFS('Live Collections'!$T:$T,'Live Collections'!$D:$D,Disbursements!B694,'Live Collections'!$G:$G,Disbursements!C694)</f>
        <v>0</v>
      </c>
      <c r="AM694" s="541">
        <f t="shared" si="296"/>
        <v>0</v>
      </c>
      <c r="AN694" s="542" t="str">
        <f t="shared" si="297"/>
        <v/>
      </c>
      <c r="AO694" s="542" t="str">
        <f t="shared" si="298"/>
        <v/>
      </c>
      <c r="AP694" s="543" t="str">
        <f t="shared" si="299"/>
        <v/>
      </c>
      <c r="AQ694" s="544" t="str">
        <f t="shared" si="300"/>
        <v/>
      </c>
      <c r="AR694" s="545">
        <f t="shared" si="301"/>
        <v>0</v>
      </c>
      <c r="AS694" s="545">
        <f>IFERROR(CEILING($AR694*VLOOKUP($I694,Ref!$B$23:$E$29,4,0),1),0)</f>
        <v>0</v>
      </c>
      <c r="AT694" s="545" t="str">
        <f>IF(A694="","",IF(AP694&lt;=1,"Cleared",IF(AS694=0,"Clean",VLOOKUP($AS694,Ref!$G$23:$H$28,2))))</f>
        <v/>
      </c>
      <c r="AU694" s="546" t="str">
        <f t="shared" si="302"/>
        <v/>
      </c>
    </row>
    <row r="695" spans="1:47" ht="14.25" hidden="1" customHeight="1" x14ac:dyDescent="0.15">
      <c r="A695" s="523"/>
      <c r="B695" s="523"/>
      <c r="C695" s="523"/>
      <c r="D695" s="523"/>
      <c r="E695" s="579"/>
      <c r="F695" s="580"/>
      <c r="G695" s="524"/>
      <c r="H695" s="555"/>
      <c r="I695" s="560"/>
      <c r="J695" s="523"/>
      <c r="K695" s="528" t="str">
        <f>IFERROR(VLOOKUP($B695,'Clients-Live'!$A:$C,3,0),"")</f>
        <v/>
      </c>
      <c r="L695" s="528">
        <f>IF(E695="STL",Pricing!$D$38,IF(A695="",0,IF(A695&lt;Pricing!$C$25,Pricing!$D$25,VLOOKUP(Disbursements!$F695,Pricing!$B$29:$D$32,3))))</f>
        <v>0</v>
      </c>
      <c r="M695" s="528">
        <f>IF(E695="STL",0,IF(F695&gt;0,Pricing!$D$21,0))</f>
        <v>0</v>
      </c>
      <c r="N695" s="529">
        <f>IF(E695="STL",F695*Pricing!$D$40,IF(A695&lt;=Pricing!$C$4,0,IF(AND(A695&gt;Pricing!$C$4,Disbursements!A695&lt;=Pricing!$C$5),F695*Pricing!$E$5,IF(AND(A695&gt;Pricing!$C$5,Disbursements!A695&lt;=Pricing!$C$7),VLOOKUP(F695,Pricing!$D$7:$E$8,2)*Disbursements!F695,F695*Pricing!$E$9))))</f>
        <v>0</v>
      </c>
      <c r="O695" s="528">
        <f>IF(E695="STL",0,IF($F695&gt;0,$F695*Pricing!$D$17,0))</f>
        <v>0</v>
      </c>
      <c r="P695" s="530" t="str">
        <f t="shared" si="282"/>
        <v/>
      </c>
      <c r="Q695" s="531" t="str">
        <f>IF($A695="","",$G695/VLOOKUP($I695,Ref!$B$23:$D$29,2,0))</f>
        <v/>
      </c>
      <c r="R695" s="530" t="str">
        <f t="shared" si="283"/>
        <v/>
      </c>
      <c r="S695" s="532" t="str">
        <f t="shared" si="277"/>
        <v/>
      </c>
      <c r="T695" s="531" t="str">
        <f t="shared" si="284"/>
        <v/>
      </c>
      <c r="U695" s="533">
        <f t="shared" si="285"/>
        <v>0</v>
      </c>
      <c r="V695" s="531" t="str">
        <f t="shared" si="286"/>
        <v/>
      </c>
      <c r="W695" s="531" t="str">
        <f t="shared" si="287"/>
        <v/>
      </c>
      <c r="X695" s="534" t="str">
        <f t="shared" si="288"/>
        <v/>
      </c>
      <c r="Y695" s="535" t="str">
        <f>IF($A695="","",IF($I695="weekly",$A695+7,EDATE($A695,VLOOKUP($I695,Ref!$B$24:$C$29,2,0))))</f>
        <v/>
      </c>
      <c r="Z695" s="536" t="str">
        <f t="shared" si="289"/>
        <v/>
      </c>
      <c r="AA695" s="531">
        <f t="shared" si="290"/>
        <v>0</v>
      </c>
      <c r="AB695" s="535" t="str">
        <f t="shared" si="278"/>
        <v/>
      </c>
      <c r="AC695" s="537" t="str">
        <f t="shared" si="279"/>
        <v/>
      </c>
      <c r="AD695" s="538" t="str">
        <f t="shared" ca="1" si="280"/>
        <v/>
      </c>
      <c r="AE695" s="537">
        <f t="shared" ca="1" si="281"/>
        <v>0</v>
      </c>
      <c r="AF695" s="539" t="str">
        <f t="shared" ca="1" si="291"/>
        <v/>
      </c>
      <c r="AG695" s="531" t="str">
        <f t="shared" ca="1" si="292"/>
        <v/>
      </c>
      <c r="AH695" s="531" t="str">
        <f t="shared" ca="1" si="293"/>
        <v/>
      </c>
      <c r="AI695" s="531" t="str">
        <f t="shared" ca="1" si="294"/>
        <v/>
      </c>
      <c r="AJ695" s="531" t="str">
        <f t="shared" si="295"/>
        <v/>
      </c>
      <c r="AK695" s="540">
        <f>SUMIFS('Live Collections'!$S:$S,'Live Collections'!$D:$D,Disbursements!B695,'Live Collections'!$G:$G,Disbursements!C695)</f>
        <v>0</v>
      </c>
      <c r="AL695" s="540">
        <f>SUMIFS('Live Collections'!$T:$T,'Live Collections'!$D:$D,Disbursements!B695,'Live Collections'!$G:$G,Disbursements!C695)</f>
        <v>0</v>
      </c>
      <c r="AM695" s="541">
        <f t="shared" si="296"/>
        <v>0</v>
      </c>
      <c r="AN695" s="542" t="str">
        <f t="shared" si="297"/>
        <v/>
      </c>
      <c r="AO695" s="542" t="str">
        <f t="shared" si="298"/>
        <v/>
      </c>
      <c r="AP695" s="543" t="str">
        <f t="shared" si="299"/>
        <v/>
      </c>
      <c r="AQ695" s="544" t="str">
        <f t="shared" si="300"/>
        <v/>
      </c>
      <c r="AR695" s="545">
        <f t="shared" si="301"/>
        <v>0</v>
      </c>
      <c r="AS695" s="545">
        <f>IFERROR(CEILING($AR695*VLOOKUP($I695,Ref!$B$23:$E$29,4,0),1),0)</f>
        <v>0</v>
      </c>
      <c r="AT695" s="545" t="str">
        <f>IF(A695="","",IF(AP695&lt;=1,"Cleared",IF(AS695=0,"Clean",VLOOKUP($AS695,Ref!$G$23:$H$28,2))))</f>
        <v/>
      </c>
      <c r="AU695" s="546" t="str">
        <f t="shared" si="302"/>
        <v/>
      </c>
    </row>
    <row r="696" spans="1:47" ht="14.25" hidden="1" customHeight="1" x14ac:dyDescent="0.15">
      <c r="A696" s="523"/>
      <c r="B696" s="523"/>
      <c r="C696" s="523"/>
      <c r="D696" s="523"/>
      <c r="E696" s="579"/>
      <c r="F696" s="580"/>
      <c r="G696" s="524"/>
      <c r="H696" s="555"/>
      <c r="I696" s="560"/>
      <c r="J696" s="523"/>
      <c r="K696" s="528" t="str">
        <f>IFERROR(VLOOKUP($B696,'Clients-Live'!$A:$C,3,0),"")</f>
        <v/>
      </c>
      <c r="L696" s="528">
        <f>IF(E696="STL",Pricing!$D$38,IF(A696="",0,IF(A696&lt;Pricing!$C$25,Pricing!$D$25,VLOOKUP(Disbursements!$F696,Pricing!$B$29:$D$32,3))))</f>
        <v>0</v>
      </c>
      <c r="M696" s="528">
        <f>IF(E696="STL",0,IF(F696&gt;0,Pricing!$D$21,0))</f>
        <v>0</v>
      </c>
      <c r="N696" s="529">
        <f>IF(E696="STL",F696*Pricing!$D$40,IF(A696&lt;=Pricing!$C$4,0,IF(AND(A696&gt;Pricing!$C$4,Disbursements!A696&lt;=Pricing!$C$5),F696*Pricing!$E$5,IF(AND(A696&gt;Pricing!$C$5,Disbursements!A696&lt;=Pricing!$C$7),VLOOKUP(F696,Pricing!$D$7:$E$8,2)*Disbursements!F696,F696*Pricing!$E$9))))</f>
        <v>0</v>
      </c>
      <c r="O696" s="528">
        <f>IF(E696="STL",0,IF($F696&gt;0,$F696*Pricing!$D$17,0))</f>
        <v>0</v>
      </c>
      <c r="P696" s="530" t="str">
        <f t="shared" si="282"/>
        <v/>
      </c>
      <c r="Q696" s="531" t="str">
        <f>IF($A696="","",$G696/VLOOKUP($I696,Ref!$B$23:$D$29,2,0))</f>
        <v/>
      </c>
      <c r="R696" s="530" t="str">
        <f t="shared" si="283"/>
        <v/>
      </c>
      <c r="S696" s="532" t="str">
        <f t="shared" si="277"/>
        <v/>
      </c>
      <c r="T696" s="531" t="str">
        <f t="shared" si="284"/>
        <v/>
      </c>
      <c r="U696" s="533">
        <f t="shared" si="285"/>
        <v>0</v>
      </c>
      <c r="V696" s="531" t="str">
        <f t="shared" si="286"/>
        <v/>
      </c>
      <c r="W696" s="531" t="str">
        <f t="shared" si="287"/>
        <v/>
      </c>
      <c r="X696" s="534" t="str">
        <f t="shared" si="288"/>
        <v/>
      </c>
      <c r="Y696" s="535" t="str">
        <f>IF($A696="","",IF($I696="weekly",$A696+7,EDATE($A696,VLOOKUP($I696,Ref!$B$24:$C$29,2,0))))</f>
        <v/>
      </c>
      <c r="Z696" s="536" t="str">
        <f t="shared" si="289"/>
        <v/>
      </c>
      <c r="AA696" s="531">
        <f t="shared" si="290"/>
        <v>0</v>
      </c>
      <c r="AB696" s="535" t="str">
        <f t="shared" si="278"/>
        <v/>
      </c>
      <c r="AC696" s="537" t="str">
        <f t="shared" si="279"/>
        <v/>
      </c>
      <c r="AD696" s="538" t="str">
        <f t="shared" ca="1" si="280"/>
        <v/>
      </c>
      <c r="AE696" s="537">
        <f t="shared" ca="1" si="281"/>
        <v>0</v>
      </c>
      <c r="AF696" s="539" t="str">
        <f t="shared" ca="1" si="291"/>
        <v/>
      </c>
      <c r="AG696" s="531" t="str">
        <f t="shared" ca="1" si="292"/>
        <v/>
      </c>
      <c r="AH696" s="531" t="str">
        <f t="shared" ca="1" si="293"/>
        <v/>
      </c>
      <c r="AI696" s="531" t="str">
        <f t="shared" ca="1" si="294"/>
        <v/>
      </c>
      <c r="AJ696" s="531" t="str">
        <f t="shared" si="295"/>
        <v/>
      </c>
      <c r="AK696" s="540">
        <f>SUMIFS('Live Collections'!$S:$S,'Live Collections'!$D:$D,Disbursements!B696,'Live Collections'!$G:$G,Disbursements!C696)</f>
        <v>0</v>
      </c>
      <c r="AL696" s="540">
        <f>SUMIFS('Live Collections'!$T:$T,'Live Collections'!$D:$D,Disbursements!B696,'Live Collections'!$G:$G,Disbursements!C696)</f>
        <v>0</v>
      </c>
      <c r="AM696" s="541">
        <f t="shared" si="296"/>
        <v>0</v>
      </c>
      <c r="AN696" s="542" t="str">
        <f t="shared" si="297"/>
        <v/>
      </c>
      <c r="AO696" s="542" t="str">
        <f t="shared" si="298"/>
        <v/>
      </c>
      <c r="AP696" s="543" t="str">
        <f t="shared" si="299"/>
        <v/>
      </c>
      <c r="AQ696" s="544" t="str">
        <f t="shared" si="300"/>
        <v/>
      </c>
      <c r="AR696" s="545">
        <f t="shared" si="301"/>
        <v>0</v>
      </c>
      <c r="AS696" s="545">
        <f>IFERROR(CEILING($AR696*VLOOKUP($I696,Ref!$B$23:$E$29,4,0),1),0)</f>
        <v>0</v>
      </c>
      <c r="AT696" s="545" t="str">
        <f>IF(A696="","",IF(AP696&lt;=1,"Cleared",IF(AS696=0,"Clean",VLOOKUP($AS696,Ref!$G$23:$H$28,2))))</f>
        <v/>
      </c>
      <c r="AU696" s="546" t="str">
        <f t="shared" si="302"/>
        <v/>
      </c>
    </row>
    <row r="697" spans="1:47" ht="14.25" hidden="1" customHeight="1" x14ac:dyDescent="0.15">
      <c r="A697" s="523"/>
      <c r="B697" s="523"/>
      <c r="C697" s="523"/>
      <c r="D697" s="523"/>
      <c r="E697" s="579"/>
      <c r="F697" s="580"/>
      <c r="G697" s="524"/>
      <c r="H697" s="555"/>
      <c r="I697" s="560"/>
      <c r="J697" s="523"/>
      <c r="K697" s="528" t="str">
        <f>IFERROR(VLOOKUP($B697,'Clients-Live'!$A:$C,3,0),"")</f>
        <v/>
      </c>
      <c r="L697" s="528">
        <f>IF(E697="STL",Pricing!$D$38,IF(A697="",0,IF(A697&lt;Pricing!$C$25,Pricing!$D$25,VLOOKUP(Disbursements!$F697,Pricing!$B$29:$D$32,3))))</f>
        <v>0</v>
      </c>
      <c r="M697" s="528">
        <f>IF(E697="STL",0,IF(F697&gt;0,Pricing!$D$21,0))</f>
        <v>0</v>
      </c>
      <c r="N697" s="529">
        <f>IF(E697="STL",F697*Pricing!$D$40,IF(A697&lt;=Pricing!$C$4,0,IF(AND(A697&gt;Pricing!$C$4,Disbursements!A697&lt;=Pricing!$C$5),F697*Pricing!$E$5,IF(AND(A697&gt;Pricing!$C$5,Disbursements!A697&lt;=Pricing!$C$7),VLOOKUP(F697,Pricing!$D$7:$E$8,2)*Disbursements!F697,F697*Pricing!$E$9))))</f>
        <v>0</v>
      </c>
      <c r="O697" s="528">
        <f>IF(E697="STL",0,IF($F697&gt;0,$F697*Pricing!$D$17,0))</f>
        <v>0</v>
      </c>
      <c r="P697" s="530" t="str">
        <f t="shared" si="282"/>
        <v/>
      </c>
      <c r="Q697" s="531" t="str">
        <f>IF($A697="","",$G697/VLOOKUP($I697,Ref!$B$23:$D$29,2,0))</f>
        <v/>
      </c>
      <c r="R697" s="530" t="str">
        <f t="shared" si="283"/>
        <v/>
      </c>
      <c r="S697" s="532" t="str">
        <f t="shared" si="277"/>
        <v/>
      </c>
      <c r="T697" s="531" t="str">
        <f t="shared" si="284"/>
        <v/>
      </c>
      <c r="U697" s="533">
        <f t="shared" si="285"/>
        <v>0</v>
      </c>
      <c r="V697" s="531" t="str">
        <f t="shared" si="286"/>
        <v/>
      </c>
      <c r="W697" s="531" t="str">
        <f t="shared" si="287"/>
        <v/>
      </c>
      <c r="X697" s="534" t="str">
        <f t="shared" si="288"/>
        <v/>
      </c>
      <c r="Y697" s="535" t="str">
        <f>IF($A697="","",IF($I697="weekly",$A697+7,EDATE($A697,VLOOKUP($I697,Ref!$B$24:$C$29,2,0))))</f>
        <v/>
      </c>
      <c r="Z697" s="536" t="str">
        <f t="shared" si="289"/>
        <v/>
      </c>
      <c r="AA697" s="531">
        <f t="shared" si="290"/>
        <v>0</v>
      </c>
      <c r="AB697" s="535" t="str">
        <f t="shared" si="278"/>
        <v/>
      </c>
      <c r="AC697" s="537" t="str">
        <f t="shared" si="279"/>
        <v/>
      </c>
      <c r="AD697" s="538" t="str">
        <f t="shared" ca="1" si="280"/>
        <v/>
      </c>
      <c r="AE697" s="537">
        <f t="shared" ca="1" si="281"/>
        <v>0</v>
      </c>
      <c r="AF697" s="539" t="str">
        <f t="shared" ca="1" si="291"/>
        <v/>
      </c>
      <c r="AG697" s="531" t="str">
        <f t="shared" ca="1" si="292"/>
        <v/>
      </c>
      <c r="AH697" s="531" t="str">
        <f t="shared" ca="1" si="293"/>
        <v/>
      </c>
      <c r="AI697" s="531" t="str">
        <f t="shared" ca="1" si="294"/>
        <v/>
      </c>
      <c r="AJ697" s="531" t="str">
        <f t="shared" si="295"/>
        <v/>
      </c>
      <c r="AK697" s="540">
        <f>SUMIFS('Live Collections'!$S:$S,'Live Collections'!$D:$D,Disbursements!B697,'Live Collections'!$G:$G,Disbursements!C697)</f>
        <v>0</v>
      </c>
      <c r="AL697" s="540">
        <f>SUMIFS('Live Collections'!$T:$T,'Live Collections'!$D:$D,Disbursements!B697,'Live Collections'!$G:$G,Disbursements!C697)</f>
        <v>0</v>
      </c>
      <c r="AM697" s="541">
        <f t="shared" si="296"/>
        <v>0</v>
      </c>
      <c r="AN697" s="542" t="str">
        <f t="shared" si="297"/>
        <v/>
      </c>
      <c r="AO697" s="542" t="str">
        <f t="shared" si="298"/>
        <v/>
      </c>
      <c r="AP697" s="543" t="str">
        <f t="shared" si="299"/>
        <v/>
      </c>
      <c r="AQ697" s="544" t="str">
        <f t="shared" si="300"/>
        <v/>
      </c>
      <c r="AR697" s="545">
        <f t="shared" si="301"/>
        <v>0</v>
      </c>
      <c r="AS697" s="545">
        <f>IFERROR(CEILING($AR697*VLOOKUP($I697,Ref!$B$23:$E$29,4,0),1),0)</f>
        <v>0</v>
      </c>
      <c r="AT697" s="545" t="str">
        <f>IF(A697="","",IF(AP697&lt;=1,"Cleared",IF(AS697=0,"Clean",VLOOKUP($AS697,Ref!$G$23:$H$28,2))))</f>
        <v/>
      </c>
      <c r="AU697" s="546" t="str">
        <f t="shared" si="302"/>
        <v/>
      </c>
    </row>
    <row r="698" spans="1:47" ht="14.25" hidden="1" customHeight="1" x14ac:dyDescent="0.15">
      <c r="A698" s="523"/>
      <c r="B698" s="523"/>
      <c r="C698" s="523"/>
      <c r="D698" s="523"/>
      <c r="E698" s="579"/>
      <c r="F698" s="580"/>
      <c r="G698" s="524"/>
      <c r="H698" s="555"/>
      <c r="I698" s="560"/>
      <c r="J698" s="523"/>
      <c r="K698" s="528" t="str">
        <f>IFERROR(VLOOKUP($B698,'Clients-Live'!$A:$C,3,0),"")</f>
        <v/>
      </c>
      <c r="L698" s="528">
        <f>IF(E698="STL",Pricing!$D$38,IF(A698="",0,IF(A698&lt;Pricing!$C$25,Pricing!$D$25,VLOOKUP(Disbursements!$F698,Pricing!$B$29:$D$32,3))))</f>
        <v>0</v>
      </c>
      <c r="M698" s="528">
        <f>IF(E698="STL",0,IF(F698&gt;0,Pricing!$D$21,0))</f>
        <v>0</v>
      </c>
      <c r="N698" s="529">
        <f>IF(E698="STL",F698*Pricing!$D$40,IF(A698&lt;=Pricing!$C$4,0,IF(AND(A698&gt;Pricing!$C$4,Disbursements!A698&lt;=Pricing!$C$5),F698*Pricing!$E$5,IF(AND(A698&gt;Pricing!$C$5,Disbursements!A698&lt;=Pricing!$C$7),VLOOKUP(F698,Pricing!$D$7:$E$8,2)*Disbursements!F698,F698*Pricing!$E$9))))</f>
        <v>0</v>
      </c>
      <c r="O698" s="528">
        <f>IF(E698="STL",0,IF($F698&gt;0,$F698*Pricing!$D$17,0))</f>
        <v>0</v>
      </c>
      <c r="P698" s="530" t="str">
        <f t="shared" si="282"/>
        <v/>
      </c>
      <c r="Q698" s="531" t="str">
        <f>IF($A698="","",$G698/VLOOKUP($I698,Ref!$B$23:$D$29,2,0))</f>
        <v/>
      </c>
      <c r="R698" s="530" t="str">
        <f t="shared" si="283"/>
        <v/>
      </c>
      <c r="S698" s="532" t="str">
        <f t="shared" si="277"/>
        <v/>
      </c>
      <c r="T698" s="531" t="str">
        <f t="shared" si="284"/>
        <v/>
      </c>
      <c r="U698" s="533">
        <f t="shared" si="285"/>
        <v>0</v>
      </c>
      <c r="V698" s="531" t="str">
        <f t="shared" si="286"/>
        <v/>
      </c>
      <c r="W698" s="531" t="str">
        <f t="shared" si="287"/>
        <v/>
      </c>
      <c r="X698" s="534" t="str">
        <f t="shared" si="288"/>
        <v/>
      </c>
      <c r="Y698" s="535" t="str">
        <f>IF($A698="","",IF($I698="weekly",$A698+7,EDATE($A698,VLOOKUP($I698,Ref!$B$24:$C$29,2,0))))</f>
        <v/>
      </c>
      <c r="Z698" s="536" t="str">
        <f t="shared" si="289"/>
        <v/>
      </c>
      <c r="AA698" s="531">
        <f t="shared" si="290"/>
        <v>0</v>
      </c>
      <c r="AB698" s="535" t="str">
        <f t="shared" si="278"/>
        <v/>
      </c>
      <c r="AC698" s="537" t="str">
        <f t="shared" si="279"/>
        <v/>
      </c>
      <c r="AD698" s="538" t="str">
        <f t="shared" ca="1" si="280"/>
        <v/>
      </c>
      <c r="AE698" s="537">
        <f t="shared" ca="1" si="281"/>
        <v>0</v>
      </c>
      <c r="AF698" s="539" t="str">
        <f t="shared" ca="1" si="291"/>
        <v/>
      </c>
      <c r="AG698" s="531" t="str">
        <f t="shared" ca="1" si="292"/>
        <v/>
      </c>
      <c r="AH698" s="531" t="str">
        <f t="shared" ca="1" si="293"/>
        <v/>
      </c>
      <c r="AI698" s="531" t="str">
        <f t="shared" ca="1" si="294"/>
        <v/>
      </c>
      <c r="AJ698" s="531" t="str">
        <f t="shared" si="295"/>
        <v/>
      </c>
      <c r="AK698" s="540">
        <f>SUMIFS('Live Collections'!$S:$S,'Live Collections'!$D:$D,Disbursements!B698,'Live Collections'!$G:$G,Disbursements!C698)</f>
        <v>0</v>
      </c>
      <c r="AL698" s="540">
        <f>SUMIFS('Live Collections'!$T:$T,'Live Collections'!$D:$D,Disbursements!B698,'Live Collections'!$G:$G,Disbursements!C698)</f>
        <v>0</v>
      </c>
      <c r="AM698" s="541">
        <f t="shared" si="296"/>
        <v>0</v>
      </c>
      <c r="AN698" s="542" t="str">
        <f t="shared" si="297"/>
        <v/>
      </c>
      <c r="AO698" s="542" t="str">
        <f t="shared" si="298"/>
        <v/>
      </c>
      <c r="AP698" s="543" t="str">
        <f t="shared" si="299"/>
        <v/>
      </c>
      <c r="AQ698" s="544" t="str">
        <f t="shared" si="300"/>
        <v/>
      </c>
      <c r="AR698" s="545">
        <f t="shared" si="301"/>
        <v>0</v>
      </c>
      <c r="AS698" s="545">
        <f>IFERROR(CEILING($AR698*VLOOKUP($I698,Ref!$B$23:$E$29,4,0),1),0)</f>
        <v>0</v>
      </c>
      <c r="AT698" s="545" t="str">
        <f>IF(A698="","",IF(AP698&lt;=1,"Cleared",IF(AS698=0,"Clean",VLOOKUP($AS698,Ref!$G$23:$H$28,2))))</f>
        <v/>
      </c>
      <c r="AU698" s="546" t="str">
        <f t="shared" si="302"/>
        <v/>
      </c>
    </row>
    <row r="699" spans="1:47" ht="14.25" hidden="1" customHeight="1" x14ac:dyDescent="0.15">
      <c r="A699" s="523"/>
      <c r="B699" s="523"/>
      <c r="C699" s="523"/>
      <c r="D699" s="523"/>
      <c r="E699" s="579"/>
      <c r="F699" s="580"/>
      <c r="G699" s="524"/>
      <c r="H699" s="555"/>
      <c r="I699" s="560"/>
      <c r="J699" s="523"/>
      <c r="K699" s="528" t="str">
        <f>IFERROR(VLOOKUP($B699,'Clients-Live'!$A:$C,3,0),"")</f>
        <v/>
      </c>
      <c r="L699" s="528">
        <f>IF(E699="STL",Pricing!$D$38,IF(A699="",0,IF(A699&lt;Pricing!$C$25,Pricing!$D$25,VLOOKUP(Disbursements!$F699,Pricing!$B$29:$D$32,3))))</f>
        <v>0</v>
      </c>
      <c r="M699" s="528">
        <f>IF(E699="STL",0,IF(F699&gt;0,Pricing!$D$21,0))</f>
        <v>0</v>
      </c>
      <c r="N699" s="529">
        <f>IF(E699="STL",F699*Pricing!$D$40,IF(A699&lt;=Pricing!$C$4,0,IF(AND(A699&gt;Pricing!$C$4,Disbursements!A699&lt;=Pricing!$C$5),F699*Pricing!$E$5,IF(AND(A699&gt;Pricing!$C$5,Disbursements!A699&lt;=Pricing!$C$7),VLOOKUP(F699,Pricing!$D$7:$E$8,2)*Disbursements!F699,F699*Pricing!$E$9))))</f>
        <v>0</v>
      </c>
      <c r="O699" s="528">
        <f>IF(E699="STL",0,IF($F699&gt;0,$F699*Pricing!$D$17,0))</f>
        <v>0</v>
      </c>
      <c r="P699" s="530" t="str">
        <f t="shared" si="282"/>
        <v/>
      </c>
      <c r="Q699" s="531" t="str">
        <f>IF($A699="","",$G699/VLOOKUP($I699,Ref!$B$23:$D$29,2,0))</f>
        <v/>
      </c>
      <c r="R699" s="530" t="str">
        <f t="shared" si="283"/>
        <v/>
      </c>
      <c r="S699" s="532" t="str">
        <f t="shared" si="277"/>
        <v/>
      </c>
      <c r="T699" s="531" t="str">
        <f t="shared" si="284"/>
        <v/>
      </c>
      <c r="U699" s="533">
        <f t="shared" si="285"/>
        <v>0</v>
      </c>
      <c r="V699" s="531" t="str">
        <f t="shared" si="286"/>
        <v/>
      </c>
      <c r="W699" s="531" t="str">
        <f t="shared" si="287"/>
        <v/>
      </c>
      <c r="X699" s="534" t="str">
        <f t="shared" si="288"/>
        <v/>
      </c>
      <c r="Y699" s="535" t="str">
        <f>IF($A699="","",IF($I699="weekly",$A699+7,EDATE($A699,VLOOKUP($I699,Ref!$B$24:$C$29,2,0))))</f>
        <v/>
      </c>
      <c r="Z699" s="536" t="str">
        <f t="shared" si="289"/>
        <v/>
      </c>
      <c r="AA699" s="531">
        <f t="shared" si="290"/>
        <v>0</v>
      </c>
      <c r="AB699" s="535" t="str">
        <f t="shared" si="278"/>
        <v/>
      </c>
      <c r="AC699" s="537" t="str">
        <f t="shared" si="279"/>
        <v/>
      </c>
      <c r="AD699" s="538" t="str">
        <f t="shared" ca="1" si="280"/>
        <v/>
      </c>
      <c r="AE699" s="537">
        <f t="shared" ca="1" si="281"/>
        <v>0</v>
      </c>
      <c r="AF699" s="539" t="str">
        <f t="shared" ca="1" si="291"/>
        <v/>
      </c>
      <c r="AG699" s="531" t="str">
        <f t="shared" ca="1" si="292"/>
        <v/>
      </c>
      <c r="AH699" s="531" t="str">
        <f t="shared" ca="1" si="293"/>
        <v/>
      </c>
      <c r="AI699" s="531" t="str">
        <f t="shared" ca="1" si="294"/>
        <v/>
      </c>
      <c r="AJ699" s="531" t="str">
        <f t="shared" si="295"/>
        <v/>
      </c>
      <c r="AK699" s="540">
        <f>SUMIFS('Live Collections'!$S:$S,'Live Collections'!$D:$D,Disbursements!B699,'Live Collections'!$G:$G,Disbursements!C699)</f>
        <v>0</v>
      </c>
      <c r="AL699" s="540">
        <f>SUMIFS('Live Collections'!$T:$T,'Live Collections'!$D:$D,Disbursements!B699,'Live Collections'!$G:$G,Disbursements!C699)</f>
        <v>0</v>
      </c>
      <c r="AM699" s="541">
        <f t="shared" si="296"/>
        <v>0</v>
      </c>
      <c r="AN699" s="542" t="str">
        <f t="shared" si="297"/>
        <v/>
      </c>
      <c r="AO699" s="542" t="str">
        <f t="shared" si="298"/>
        <v/>
      </c>
      <c r="AP699" s="543" t="str">
        <f t="shared" si="299"/>
        <v/>
      </c>
      <c r="AQ699" s="544" t="str">
        <f t="shared" si="300"/>
        <v/>
      </c>
      <c r="AR699" s="545">
        <f t="shared" si="301"/>
        <v>0</v>
      </c>
      <c r="AS699" s="545">
        <f>IFERROR(CEILING($AR699*VLOOKUP($I699,Ref!$B$23:$E$29,4,0),1),0)</f>
        <v>0</v>
      </c>
      <c r="AT699" s="545" t="str">
        <f>IF(A699="","",IF(AP699&lt;=1,"Cleared",IF(AS699=0,"Clean",VLOOKUP($AS699,Ref!$G$23:$H$28,2))))</f>
        <v/>
      </c>
      <c r="AU699" s="546" t="str">
        <f t="shared" si="302"/>
        <v/>
      </c>
    </row>
    <row r="700" spans="1:47" ht="14.25" hidden="1" customHeight="1" x14ac:dyDescent="0.15">
      <c r="A700" s="523"/>
      <c r="B700" s="523"/>
      <c r="C700" s="523"/>
      <c r="D700" s="523"/>
      <c r="E700" s="579"/>
      <c r="F700" s="580"/>
      <c r="G700" s="524"/>
      <c r="H700" s="555"/>
      <c r="I700" s="560"/>
      <c r="J700" s="523"/>
      <c r="K700" s="528" t="str">
        <f>IFERROR(VLOOKUP($B700,'Clients-Live'!$A:$C,3,0),"")</f>
        <v/>
      </c>
      <c r="L700" s="528">
        <f>IF(E700="STL",Pricing!$D$38,IF(A700="",0,IF(A700&lt;Pricing!$C$25,Pricing!$D$25,VLOOKUP(Disbursements!$F700,Pricing!$B$29:$D$32,3))))</f>
        <v>0</v>
      </c>
      <c r="M700" s="528">
        <f>IF(E700="STL",0,IF(F700&gt;0,Pricing!$D$21,0))</f>
        <v>0</v>
      </c>
      <c r="N700" s="529">
        <f>IF(E700="STL",F700*Pricing!$D$40,IF(A700&lt;=Pricing!$C$4,0,IF(AND(A700&gt;Pricing!$C$4,Disbursements!A700&lt;=Pricing!$C$5),F700*Pricing!$E$5,IF(AND(A700&gt;Pricing!$C$5,Disbursements!A700&lt;=Pricing!$C$7),VLOOKUP(F700,Pricing!$D$7:$E$8,2)*Disbursements!F700,F700*Pricing!$E$9))))</f>
        <v>0</v>
      </c>
      <c r="O700" s="528">
        <f>IF(E700="STL",0,IF($F700&gt;0,$F700*Pricing!$D$17,0))</f>
        <v>0</v>
      </c>
      <c r="P700" s="530" t="str">
        <f t="shared" si="282"/>
        <v/>
      </c>
      <c r="Q700" s="531" t="str">
        <f>IF($A700="","",$G700/VLOOKUP($I700,Ref!$B$23:$D$29,2,0))</f>
        <v/>
      </c>
      <c r="R700" s="530" t="str">
        <f t="shared" si="283"/>
        <v/>
      </c>
      <c r="S700" s="532" t="str">
        <f t="shared" si="277"/>
        <v/>
      </c>
      <c r="T700" s="531" t="str">
        <f t="shared" si="284"/>
        <v/>
      </c>
      <c r="U700" s="533">
        <f t="shared" si="285"/>
        <v>0</v>
      </c>
      <c r="V700" s="531" t="str">
        <f t="shared" si="286"/>
        <v/>
      </c>
      <c r="W700" s="531" t="str">
        <f t="shared" si="287"/>
        <v/>
      </c>
      <c r="X700" s="534" t="str">
        <f t="shared" si="288"/>
        <v/>
      </c>
      <c r="Y700" s="535" t="str">
        <f>IF($A700="","",IF($I700="weekly",$A700+7,EDATE($A700,VLOOKUP($I700,Ref!$B$24:$C$29,2,0))))</f>
        <v/>
      </c>
      <c r="Z700" s="536" t="str">
        <f t="shared" si="289"/>
        <v/>
      </c>
      <c r="AA700" s="531">
        <f t="shared" si="290"/>
        <v>0</v>
      </c>
      <c r="AB700" s="535" t="str">
        <f t="shared" si="278"/>
        <v/>
      </c>
      <c r="AC700" s="537" t="str">
        <f t="shared" si="279"/>
        <v/>
      </c>
      <c r="AD700" s="538" t="str">
        <f t="shared" ca="1" si="280"/>
        <v/>
      </c>
      <c r="AE700" s="537">
        <f t="shared" ca="1" si="281"/>
        <v>0</v>
      </c>
      <c r="AF700" s="539" t="str">
        <f t="shared" ca="1" si="291"/>
        <v/>
      </c>
      <c r="AG700" s="531" t="str">
        <f t="shared" ca="1" si="292"/>
        <v/>
      </c>
      <c r="AH700" s="531" t="str">
        <f t="shared" ca="1" si="293"/>
        <v/>
      </c>
      <c r="AI700" s="531" t="str">
        <f t="shared" ca="1" si="294"/>
        <v/>
      </c>
      <c r="AJ700" s="531" t="str">
        <f t="shared" si="295"/>
        <v/>
      </c>
      <c r="AK700" s="540">
        <f>SUMIFS('Live Collections'!$S:$S,'Live Collections'!$D:$D,Disbursements!B700,'Live Collections'!$G:$G,Disbursements!C700)</f>
        <v>0</v>
      </c>
      <c r="AL700" s="540">
        <f>SUMIFS('Live Collections'!$T:$T,'Live Collections'!$D:$D,Disbursements!B700,'Live Collections'!$G:$G,Disbursements!C700)</f>
        <v>0</v>
      </c>
      <c r="AM700" s="541">
        <f t="shared" si="296"/>
        <v>0</v>
      </c>
      <c r="AN700" s="542" t="str">
        <f t="shared" si="297"/>
        <v/>
      </c>
      <c r="AO700" s="542" t="str">
        <f t="shared" si="298"/>
        <v/>
      </c>
      <c r="AP700" s="543" t="str">
        <f t="shared" si="299"/>
        <v/>
      </c>
      <c r="AQ700" s="544" t="str">
        <f t="shared" si="300"/>
        <v/>
      </c>
      <c r="AR700" s="545">
        <f t="shared" si="301"/>
        <v>0</v>
      </c>
      <c r="AS700" s="545">
        <f>IFERROR(CEILING($AR700*VLOOKUP($I700,Ref!$B$23:$E$29,4,0),1),0)</f>
        <v>0</v>
      </c>
      <c r="AT700" s="545" t="str">
        <f>IF(A700="","",IF(AP700&lt;=1,"Cleared",IF(AS700=0,"Clean",VLOOKUP($AS700,Ref!$G$23:$H$28,2))))</f>
        <v/>
      </c>
      <c r="AU700" s="546" t="str">
        <f t="shared" si="302"/>
        <v/>
      </c>
    </row>
    <row r="701" spans="1:47" ht="14.25" hidden="1" customHeight="1" x14ac:dyDescent="0.15">
      <c r="A701" s="523"/>
      <c r="B701" s="523"/>
      <c r="C701" s="523"/>
      <c r="D701" s="523"/>
      <c r="E701" s="579"/>
      <c r="F701" s="580"/>
      <c r="G701" s="524"/>
      <c r="H701" s="555"/>
      <c r="I701" s="560"/>
      <c r="J701" s="523"/>
      <c r="K701" s="528" t="str">
        <f>IFERROR(VLOOKUP($B701,'Clients-Live'!$A:$C,3,0),"")</f>
        <v/>
      </c>
      <c r="L701" s="528">
        <f>IF(E701="STL",Pricing!$D$38,IF(A701="",0,IF(A701&lt;Pricing!$C$25,Pricing!$D$25,VLOOKUP(Disbursements!$F701,Pricing!$B$29:$D$32,3))))</f>
        <v>0</v>
      </c>
      <c r="M701" s="528">
        <f>IF(E701="STL",0,IF(F701&gt;0,Pricing!$D$21,0))</f>
        <v>0</v>
      </c>
      <c r="N701" s="529">
        <f>IF(E701="STL",F701*Pricing!$D$40,IF(A701&lt;=Pricing!$C$4,0,IF(AND(A701&gt;Pricing!$C$4,Disbursements!A701&lt;=Pricing!$C$5),F701*Pricing!$E$5,IF(AND(A701&gt;Pricing!$C$5,Disbursements!A701&lt;=Pricing!$C$7),VLOOKUP(F701,Pricing!$D$7:$E$8,2)*Disbursements!F701,F701*Pricing!$E$9))))</f>
        <v>0</v>
      </c>
      <c r="O701" s="528">
        <f>IF(E701="STL",0,IF($F701&gt;0,$F701*Pricing!$D$17,0))</f>
        <v>0</v>
      </c>
      <c r="P701" s="530" t="str">
        <f t="shared" si="282"/>
        <v/>
      </c>
      <c r="Q701" s="531" t="str">
        <f>IF($A701="","",$G701/VLOOKUP($I701,Ref!$B$23:$D$29,2,0))</f>
        <v/>
      </c>
      <c r="R701" s="530" t="str">
        <f t="shared" si="283"/>
        <v/>
      </c>
      <c r="S701" s="532" t="str">
        <f t="shared" si="277"/>
        <v/>
      </c>
      <c r="T701" s="531" t="str">
        <f t="shared" si="284"/>
        <v/>
      </c>
      <c r="U701" s="533">
        <f t="shared" si="285"/>
        <v>0</v>
      </c>
      <c r="V701" s="531" t="str">
        <f t="shared" si="286"/>
        <v/>
      </c>
      <c r="W701" s="531" t="str">
        <f t="shared" si="287"/>
        <v/>
      </c>
      <c r="X701" s="534" t="str">
        <f t="shared" si="288"/>
        <v/>
      </c>
      <c r="Y701" s="535" t="str">
        <f>IF($A701="","",IF($I701="weekly",$A701+7,EDATE($A701,VLOOKUP($I701,Ref!$B$24:$C$29,2,0))))</f>
        <v/>
      </c>
      <c r="Z701" s="536" t="str">
        <f t="shared" si="289"/>
        <v/>
      </c>
      <c r="AA701" s="531">
        <f t="shared" si="290"/>
        <v>0</v>
      </c>
      <c r="AB701" s="535" t="str">
        <f t="shared" si="278"/>
        <v/>
      </c>
      <c r="AC701" s="537" t="str">
        <f t="shared" si="279"/>
        <v/>
      </c>
      <c r="AD701" s="538" t="str">
        <f t="shared" ca="1" si="280"/>
        <v/>
      </c>
      <c r="AE701" s="537">
        <f t="shared" ca="1" si="281"/>
        <v>0</v>
      </c>
      <c r="AF701" s="539" t="str">
        <f t="shared" ca="1" si="291"/>
        <v/>
      </c>
      <c r="AG701" s="531" t="str">
        <f t="shared" ca="1" si="292"/>
        <v/>
      </c>
      <c r="AH701" s="531" t="str">
        <f t="shared" ca="1" si="293"/>
        <v/>
      </c>
      <c r="AI701" s="531" t="str">
        <f t="shared" ca="1" si="294"/>
        <v/>
      </c>
      <c r="AJ701" s="531" t="str">
        <f t="shared" si="295"/>
        <v/>
      </c>
      <c r="AK701" s="540">
        <f>SUMIFS('Live Collections'!$S:$S,'Live Collections'!$D:$D,Disbursements!B701,'Live Collections'!$G:$G,Disbursements!C701)</f>
        <v>0</v>
      </c>
      <c r="AL701" s="540">
        <f>SUMIFS('Live Collections'!$T:$T,'Live Collections'!$D:$D,Disbursements!B701,'Live Collections'!$G:$G,Disbursements!C701)</f>
        <v>0</v>
      </c>
      <c r="AM701" s="541">
        <f t="shared" si="296"/>
        <v>0</v>
      </c>
      <c r="AN701" s="542" t="str">
        <f t="shared" si="297"/>
        <v/>
      </c>
      <c r="AO701" s="542" t="str">
        <f t="shared" si="298"/>
        <v/>
      </c>
      <c r="AP701" s="543" t="str">
        <f t="shared" si="299"/>
        <v/>
      </c>
      <c r="AQ701" s="544" t="str">
        <f t="shared" si="300"/>
        <v/>
      </c>
      <c r="AR701" s="545">
        <f t="shared" si="301"/>
        <v>0</v>
      </c>
      <c r="AS701" s="545">
        <f>IFERROR(CEILING($AR701*VLOOKUP($I701,Ref!$B$23:$E$29,4,0),1),0)</f>
        <v>0</v>
      </c>
      <c r="AT701" s="545" t="str">
        <f>IF(A701="","",IF(AP701&lt;=1,"Cleared",IF(AS701=0,"Clean",VLOOKUP($AS701,Ref!$G$23:$H$28,2))))</f>
        <v/>
      </c>
      <c r="AU701" s="546" t="str">
        <f t="shared" si="302"/>
        <v/>
      </c>
    </row>
    <row r="702" spans="1:47" ht="14.25" hidden="1" customHeight="1" x14ac:dyDescent="0.15">
      <c r="A702" s="523"/>
      <c r="B702" s="523"/>
      <c r="C702" s="523"/>
      <c r="D702" s="523"/>
      <c r="E702" s="579"/>
      <c r="F702" s="580"/>
      <c r="G702" s="524"/>
      <c r="H702" s="555"/>
      <c r="I702" s="560"/>
      <c r="J702" s="523"/>
      <c r="K702" s="528" t="str">
        <f>IFERROR(VLOOKUP($B702,'Clients-Live'!$A:$C,3,0),"")</f>
        <v/>
      </c>
      <c r="L702" s="528">
        <f>IF(E702="STL",Pricing!$D$38,IF(A702="",0,IF(A702&lt;Pricing!$C$25,Pricing!$D$25,VLOOKUP(Disbursements!$F702,Pricing!$B$29:$D$32,3))))</f>
        <v>0</v>
      </c>
      <c r="M702" s="528">
        <f>IF(E702="STL",0,IF(F702&gt;0,Pricing!$D$21,0))</f>
        <v>0</v>
      </c>
      <c r="N702" s="529">
        <f>IF(E702="STL",F702*Pricing!$D$40,IF(A702&lt;=Pricing!$C$4,0,IF(AND(A702&gt;Pricing!$C$4,Disbursements!A702&lt;=Pricing!$C$5),F702*Pricing!$E$5,IF(AND(A702&gt;Pricing!$C$5,Disbursements!A702&lt;=Pricing!$C$7),VLOOKUP(F702,Pricing!$D$7:$E$8,2)*Disbursements!F702,F702*Pricing!$E$9))))</f>
        <v>0</v>
      </c>
      <c r="O702" s="528">
        <f>IF(E702="STL",0,IF($F702&gt;0,$F702*Pricing!$D$17,0))</f>
        <v>0</v>
      </c>
      <c r="P702" s="530" t="str">
        <f t="shared" si="282"/>
        <v/>
      </c>
      <c r="Q702" s="531" t="str">
        <f>IF($A702="","",$G702/VLOOKUP($I702,Ref!$B$23:$D$29,2,0))</f>
        <v/>
      </c>
      <c r="R702" s="530" t="str">
        <f t="shared" si="283"/>
        <v/>
      </c>
      <c r="S702" s="532" t="str">
        <f t="shared" si="277"/>
        <v/>
      </c>
      <c r="T702" s="531" t="str">
        <f t="shared" si="284"/>
        <v/>
      </c>
      <c r="U702" s="533">
        <f t="shared" si="285"/>
        <v>0</v>
      </c>
      <c r="V702" s="531" t="str">
        <f t="shared" si="286"/>
        <v/>
      </c>
      <c r="W702" s="531" t="str">
        <f t="shared" si="287"/>
        <v/>
      </c>
      <c r="X702" s="534" t="str">
        <f t="shared" si="288"/>
        <v/>
      </c>
      <c r="Y702" s="535" t="str">
        <f>IF($A702="","",IF($I702="weekly",$A702+7,EDATE($A702,VLOOKUP($I702,Ref!$B$24:$C$29,2,0))))</f>
        <v/>
      </c>
      <c r="Z702" s="536" t="str">
        <f t="shared" si="289"/>
        <v/>
      </c>
      <c r="AA702" s="531">
        <f t="shared" si="290"/>
        <v>0</v>
      </c>
      <c r="AB702" s="535" t="str">
        <f t="shared" si="278"/>
        <v/>
      </c>
      <c r="AC702" s="537" t="str">
        <f t="shared" si="279"/>
        <v/>
      </c>
      <c r="AD702" s="538" t="str">
        <f t="shared" ca="1" si="280"/>
        <v/>
      </c>
      <c r="AE702" s="537">
        <f t="shared" ca="1" si="281"/>
        <v>0</v>
      </c>
      <c r="AF702" s="539" t="str">
        <f t="shared" ca="1" si="291"/>
        <v/>
      </c>
      <c r="AG702" s="531" t="str">
        <f t="shared" ca="1" si="292"/>
        <v/>
      </c>
      <c r="AH702" s="531" t="str">
        <f t="shared" ca="1" si="293"/>
        <v/>
      </c>
      <c r="AI702" s="531" t="str">
        <f t="shared" ca="1" si="294"/>
        <v/>
      </c>
      <c r="AJ702" s="531" t="str">
        <f t="shared" si="295"/>
        <v/>
      </c>
      <c r="AK702" s="540">
        <f>SUMIFS('Live Collections'!$S:$S,'Live Collections'!$D:$D,Disbursements!B702,'Live Collections'!$G:$G,Disbursements!C702)</f>
        <v>0</v>
      </c>
      <c r="AL702" s="540">
        <f>SUMIFS('Live Collections'!$T:$T,'Live Collections'!$D:$D,Disbursements!B702,'Live Collections'!$G:$G,Disbursements!C702)</f>
        <v>0</v>
      </c>
      <c r="AM702" s="541">
        <f t="shared" si="296"/>
        <v>0</v>
      </c>
      <c r="AN702" s="542" t="str">
        <f t="shared" si="297"/>
        <v/>
      </c>
      <c r="AO702" s="542" t="str">
        <f t="shared" si="298"/>
        <v/>
      </c>
      <c r="AP702" s="543" t="str">
        <f t="shared" si="299"/>
        <v/>
      </c>
      <c r="AQ702" s="544" t="str">
        <f t="shared" si="300"/>
        <v/>
      </c>
      <c r="AR702" s="545">
        <f t="shared" si="301"/>
        <v>0</v>
      </c>
      <c r="AS702" s="545">
        <f>IFERROR(CEILING($AR702*VLOOKUP($I702,Ref!$B$23:$E$29,4,0),1),0)</f>
        <v>0</v>
      </c>
      <c r="AT702" s="545" t="str">
        <f>IF(A702="","",IF(AP702&lt;=1,"Cleared",IF(AS702=0,"Clean",VLOOKUP($AS702,Ref!$G$23:$H$28,2))))</f>
        <v/>
      </c>
      <c r="AU702" s="546" t="str">
        <f t="shared" si="302"/>
        <v/>
      </c>
    </row>
    <row r="703" spans="1:47" ht="14.25" hidden="1" customHeight="1" x14ac:dyDescent="0.15">
      <c r="A703" s="523"/>
      <c r="B703" s="523"/>
      <c r="C703" s="523"/>
      <c r="D703" s="523"/>
      <c r="E703" s="579"/>
      <c r="F703" s="580"/>
      <c r="G703" s="524"/>
      <c r="H703" s="555"/>
      <c r="I703" s="560"/>
      <c r="J703" s="523"/>
      <c r="K703" s="528" t="str">
        <f>IFERROR(VLOOKUP($B703,'Clients-Live'!$A:$C,3,0),"")</f>
        <v/>
      </c>
      <c r="L703" s="528">
        <f>IF(E703="STL",Pricing!$D$38,IF(A703="",0,IF(A703&lt;Pricing!$C$25,Pricing!$D$25,VLOOKUP(Disbursements!$F703,Pricing!$B$29:$D$32,3))))</f>
        <v>0</v>
      </c>
      <c r="M703" s="528">
        <f>IF(E703="STL",0,IF(F703&gt;0,Pricing!$D$21,0))</f>
        <v>0</v>
      </c>
      <c r="N703" s="529">
        <f>IF(E703="STL",F703*Pricing!$D$40,IF(A703&lt;=Pricing!$C$4,0,IF(AND(A703&gt;Pricing!$C$4,Disbursements!A703&lt;=Pricing!$C$5),F703*Pricing!$E$5,IF(AND(A703&gt;Pricing!$C$5,Disbursements!A703&lt;=Pricing!$C$7),VLOOKUP(F703,Pricing!$D$7:$E$8,2)*Disbursements!F703,F703*Pricing!$E$9))))</f>
        <v>0</v>
      </c>
      <c r="O703" s="528">
        <f>IF(E703="STL",0,IF($F703&gt;0,$F703*Pricing!$D$17,0))</f>
        <v>0</v>
      </c>
      <c r="P703" s="530" t="str">
        <f t="shared" si="282"/>
        <v/>
      </c>
      <c r="Q703" s="531" t="str">
        <f>IF($A703="","",$G703/VLOOKUP($I703,Ref!$B$23:$D$29,2,0))</f>
        <v/>
      </c>
      <c r="R703" s="530" t="str">
        <f t="shared" si="283"/>
        <v/>
      </c>
      <c r="S703" s="532" t="str">
        <f t="shared" si="277"/>
        <v/>
      </c>
      <c r="T703" s="531" t="str">
        <f t="shared" si="284"/>
        <v/>
      </c>
      <c r="U703" s="533">
        <f t="shared" si="285"/>
        <v>0</v>
      </c>
      <c r="V703" s="531" t="str">
        <f t="shared" si="286"/>
        <v/>
      </c>
      <c r="W703" s="531" t="str">
        <f t="shared" si="287"/>
        <v/>
      </c>
      <c r="X703" s="534" t="str">
        <f t="shared" si="288"/>
        <v/>
      </c>
      <c r="Y703" s="535" t="str">
        <f>IF($A703="","",IF($I703="weekly",$A703+7,EDATE($A703,VLOOKUP($I703,Ref!$B$24:$C$29,2,0))))</f>
        <v/>
      </c>
      <c r="Z703" s="536" t="str">
        <f t="shared" si="289"/>
        <v/>
      </c>
      <c r="AA703" s="531">
        <f t="shared" si="290"/>
        <v>0</v>
      </c>
      <c r="AB703" s="535" t="str">
        <f t="shared" si="278"/>
        <v/>
      </c>
      <c r="AC703" s="537" t="str">
        <f t="shared" si="279"/>
        <v/>
      </c>
      <c r="AD703" s="538" t="str">
        <f t="shared" ca="1" si="280"/>
        <v/>
      </c>
      <c r="AE703" s="537">
        <f t="shared" ca="1" si="281"/>
        <v>0</v>
      </c>
      <c r="AF703" s="539" t="str">
        <f t="shared" ca="1" si="291"/>
        <v/>
      </c>
      <c r="AG703" s="531" t="str">
        <f t="shared" ca="1" si="292"/>
        <v/>
      </c>
      <c r="AH703" s="531" t="str">
        <f t="shared" ca="1" si="293"/>
        <v/>
      </c>
      <c r="AI703" s="531" t="str">
        <f t="shared" ca="1" si="294"/>
        <v/>
      </c>
      <c r="AJ703" s="531" t="str">
        <f t="shared" si="295"/>
        <v/>
      </c>
      <c r="AK703" s="540">
        <f>SUMIFS('Live Collections'!$S:$S,'Live Collections'!$D:$D,Disbursements!B703,'Live Collections'!$G:$G,Disbursements!C703)</f>
        <v>0</v>
      </c>
      <c r="AL703" s="540">
        <f>SUMIFS('Live Collections'!$T:$T,'Live Collections'!$D:$D,Disbursements!B703,'Live Collections'!$G:$G,Disbursements!C703)</f>
        <v>0</v>
      </c>
      <c r="AM703" s="541">
        <f t="shared" si="296"/>
        <v>0</v>
      </c>
      <c r="AN703" s="542" t="str">
        <f t="shared" si="297"/>
        <v/>
      </c>
      <c r="AO703" s="542" t="str">
        <f t="shared" si="298"/>
        <v/>
      </c>
      <c r="AP703" s="543" t="str">
        <f t="shared" si="299"/>
        <v/>
      </c>
      <c r="AQ703" s="544" t="str">
        <f t="shared" si="300"/>
        <v/>
      </c>
      <c r="AR703" s="545">
        <f t="shared" si="301"/>
        <v>0</v>
      </c>
      <c r="AS703" s="545">
        <f>IFERROR(CEILING($AR703*VLOOKUP($I703,Ref!$B$23:$E$29,4,0),1),0)</f>
        <v>0</v>
      </c>
      <c r="AT703" s="545" t="str">
        <f>IF(A703="","",IF(AP703&lt;=1,"Cleared",IF(AS703=0,"Clean",VLOOKUP($AS703,Ref!$G$23:$H$28,2))))</f>
        <v/>
      </c>
      <c r="AU703" s="546" t="str">
        <f t="shared" si="302"/>
        <v/>
      </c>
    </row>
    <row r="704" spans="1:47" ht="14.25" hidden="1" customHeight="1" x14ac:dyDescent="0.15">
      <c r="A704" s="523"/>
      <c r="B704" s="523"/>
      <c r="C704" s="523"/>
      <c r="D704" s="523"/>
      <c r="E704" s="579"/>
      <c r="F704" s="580"/>
      <c r="G704" s="524"/>
      <c r="H704" s="555"/>
      <c r="I704" s="560"/>
      <c r="J704" s="523"/>
      <c r="K704" s="528" t="str">
        <f>IFERROR(VLOOKUP($B704,'Clients-Live'!$A:$C,3,0),"")</f>
        <v/>
      </c>
      <c r="L704" s="528">
        <f>IF(E704="STL",Pricing!$D$38,IF(A704="",0,IF(A704&lt;Pricing!$C$25,Pricing!$D$25,VLOOKUP(Disbursements!$F704,Pricing!$B$29:$D$32,3))))</f>
        <v>0</v>
      </c>
      <c r="M704" s="528">
        <f>IF(E704="STL",0,IF(F704&gt;0,Pricing!$D$21,0))</f>
        <v>0</v>
      </c>
      <c r="N704" s="529">
        <f>IF(E704="STL",F704*Pricing!$D$40,IF(A704&lt;=Pricing!$C$4,0,IF(AND(A704&gt;Pricing!$C$4,Disbursements!A704&lt;=Pricing!$C$5),F704*Pricing!$E$5,IF(AND(A704&gt;Pricing!$C$5,Disbursements!A704&lt;=Pricing!$C$7),VLOOKUP(F704,Pricing!$D$7:$E$8,2)*Disbursements!F704,F704*Pricing!$E$9))))</f>
        <v>0</v>
      </c>
      <c r="O704" s="528">
        <f>IF(E704="STL",0,IF($F704&gt;0,$F704*Pricing!$D$17,0))</f>
        <v>0</v>
      </c>
      <c r="P704" s="530" t="str">
        <f t="shared" si="282"/>
        <v/>
      </c>
      <c r="Q704" s="531" t="str">
        <f>IF($A704="","",$G704/VLOOKUP($I704,Ref!$B$23:$D$29,2,0))</f>
        <v/>
      </c>
      <c r="R704" s="530" t="str">
        <f t="shared" si="283"/>
        <v/>
      </c>
      <c r="S704" s="532" t="str">
        <f t="shared" si="277"/>
        <v/>
      </c>
      <c r="T704" s="531" t="str">
        <f t="shared" si="284"/>
        <v/>
      </c>
      <c r="U704" s="533">
        <f t="shared" si="285"/>
        <v>0</v>
      </c>
      <c r="V704" s="531" t="str">
        <f t="shared" si="286"/>
        <v/>
      </c>
      <c r="W704" s="531" t="str">
        <f t="shared" si="287"/>
        <v/>
      </c>
      <c r="X704" s="534" t="str">
        <f t="shared" si="288"/>
        <v/>
      </c>
      <c r="Y704" s="535" t="str">
        <f>IF($A704="","",IF($I704="weekly",$A704+7,EDATE($A704,VLOOKUP($I704,Ref!$B$24:$C$29,2,0))))</f>
        <v/>
      </c>
      <c r="Z704" s="536" t="str">
        <f t="shared" si="289"/>
        <v/>
      </c>
      <c r="AA704" s="531">
        <f t="shared" si="290"/>
        <v>0</v>
      </c>
      <c r="AB704" s="535" t="str">
        <f t="shared" si="278"/>
        <v/>
      </c>
      <c r="AC704" s="537" t="str">
        <f t="shared" si="279"/>
        <v/>
      </c>
      <c r="AD704" s="538" t="str">
        <f t="shared" ca="1" si="280"/>
        <v/>
      </c>
      <c r="AE704" s="537">
        <f t="shared" ca="1" si="281"/>
        <v>0</v>
      </c>
      <c r="AF704" s="539" t="str">
        <f t="shared" ca="1" si="291"/>
        <v/>
      </c>
      <c r="AG704" s="531" t="str">
        <f t="shared" ca="1" si="292"/>
        <v/>
      </c>
      <c r="AH704" s="531" t="str">
        <f t="shared" ca="1" si="293"/>
        <v/>
      </c>
      <c r="AI704" s="531" t="str">
        <f t="shared" ca="1" si="294"/>
        <v/>
      </c>
      <c r="AJ704" s="531" t="str">
        <f t="shared" si="295"/>
        <v/>
      </c>
      <c r="AK704" s="540">
        <f>SUMIFS('Live Collections'!$S:$S,'Live Collections'!$D:$D,Disbursements!B704,'Live Collections'!$G:$G,Disbursements!C704)</f>
        <v>0</v>
      </c>
      <c r="AL704" s="540">
        <f>SUMIFS('Live Collections'!$T:$T,'Live Collections'!$D:$D,Disbursements!B704,'Live Collections'!$G:$G,Disbursements!C704)</f>
        <v>0</v>
      </c>
      <c r="AM704" s="541">
        <f t="shared" si="296"/>
        <v>0</v>
      </c>
      <c r="AN704" s="542" t="str">
        <f t="shared" si="297"/>
        <v/>
      </c>
      <c r="AO704" s="542" t="str">
        <f t="shared" si="298"/>
        <v/>
      </c>
      <c r="AP704" s="543" t="str">
        <f t="shared" si="299"/>
        <v/>
      </c>
      <c r="AQ704" s="544" t="str">
        <f t="shared" si="300"/>
        <v/>
      </c>
      <c r="AR704" s="545">
        <f t="shared" si="301"/>
        <v>0</v>
      </c>
      <c r="AS704" s="545">
        <f>IFERROR(CEILING($AR704*VLOOKUP($I704,Ref!$B$23:$E$29,4,0),1),0)</f>
        <v>0</v>
      </c>
      <c r="AT704" s="545" t="str">
        <f>IF(A704="","",IF(AP704&lt;=1,"Cleared",IF(AS704=0,"Clean",VLOOKUP($AS704,Ref!$G$23:$H$28,2))))</f>
        <v/>
      </c>
      <c r="AU704" s="546" t="str">
        <f t="shared" si="302"/>
        <v/>
      </c>
    </row>
    <row r="705" spans="1:47" ht="14.25" hidden="1" customHeight="1" x14ac:dyDescent="0.15">
      <c r="A705" s="523"/>
      <c r="B705" s="523"/>
      <c r="C705" s="523"/>
      <c r="D705" s="523"/>
      <c r="E705" s="579"/>
      <c r="F705" s="580"/>
      <c r="G705" s="524"/>
      <c r="H705" s="555"/>
      <c r="I705" s="560"/>
      <c r="J705" s="523"/>
      <c r="K705" s="528" t="str">
        <f>IFERROR(VLOOKUP($B705,'Clients-Live'!$A:$C,3,0),"")</f>
        <v/>
      </c>
      <c r="L705" s="528">
        <f>IF(E705="STL",Pricing!$D$38,IF(A705="",0,IF(A705&lt;Pricing!$C$25,Pricing!$D$25,VLOOKUP(Disbursements!$F705,Pricing!$B$29:$D$32,3))))</f>
        <v>0</v>
      </c>
      <c r="M705" s="528">
        <f>IF(E705="STL",0,IF(F705&gt;0,Pricing!$D$21,0))</f>
        <v>0</v>
      </c>
      <c r="N705" s="529">
        <f>IF(E705="STL",F705*Pricing!$D$40,IF(A705&lt;=Pricing!$C$4,0,IF(AND(A705&gt;Pricing!$C$4,Disbursements!A705&lt;=Pricing!$C$5),F705*Pricing!$E$5,IF(AND(A705&gt;Pricing!$C$5,Disbursements!A705&lt;=Pricing!$C$7),VLOOKUP(F705,Pricing!$D$7:$E$8,2)*Disbursements!F705,F705*Pricing!$E$9))))</f>
        <v>0</v>
      </c>
      <c r="O705" s="528">
        <f>IF(E705="STL",0,IF($F705&gt;0,$F705*Pricing!$D$17,0))</f>
        <v>0</v>
      </c>
      <c r="P705" s="530" t="str">
        <f t="shared" si="282"/>
        <v/>
      </c>
      <c r="Q705" s="531" t="str">
        <f>IF($A705="","",$G705/VLOOKUP($I705,Ref!$B$23:$D$29,2,0))</f>
        <v/>
      </c>
      <c r="R705" s="530" t="str">
        <f t="shared" si="283"/>
        <v/>
      </c>
      <c r="S705" s="532" t="str">
        <f t="shared" si="277"/>
        <v/>
      </c>
      <c r="T705" s="531" t="str">
        <f t="shared" si="284"/>
        <v/>
      </c>
      <c r="U705" s="533">
        <f t="shared" si="285"/>
        <v>0</v>
      </c>
      <c r="V705" s="531" t="str">
        <f t="shared" si="286"/>
        <v/>
      </c>
      <c r="W705" s="531" t="str">
        <f t="shared" si="287"/>
        <v/>
      </c>
      <c r="X705" s="534" t="str">
        <f t="shared" si="288"/>
        <v/>
      </c>
      <c r="Y705" s="535" t="str">
        <f>IF($A705="","",IF($I705="weekly",$A705+7,EDATE($A705,VLOOKUP($I705,Ref!$B$24:$C$29,2,0))))</f>
        <v/>
      </c>
      <c r="Z705" s="536" t="str">
        <f t="shared" si="289"/>
        <v/>
      </c>
      <c r="AA705" s="531">
        <f t="shared" si="290"/>
        <v>0</v>
      </c>
      <c r="AB705" s="535" t="str">
        <f t="shared" si="278"/>
        <v/>
      </c>
      <c r="AC705" s="537" t="str">
        <f t="shared" si="279"/>
        <v/>
      </c>
      <c r="AD705" s="538" t="str">
        <f t="shared" ca="1" si="280"/>
        <v/>
      </c>
      <c r="AE705" s="537">
        <f t="shared" ca="1" si="281"/>
        <v>0</v>
      </c>
      <c r="AF705" s="539" t="str">
        <f t="shared" ca="1" si="291"/>
        <v/>
      </c>
      <c r="AG705" s="531" t="str">
        <f t="shared" ca="1" si="292"/>
        <v/>
      </c>
      <c r="AH705" s="531" t="str">
        <f t="shared" ca="1" si="293"/>
        <v/>
      </c>
      <c r="AI705" s="531" t="str">
        <f t="shared" ca="1" si="294"/>
        <v/>
      </c>
      <c r="AJ705" s="531" t="str">
        <f t="shared" si="295"/>
        <v/>
      </c>
      <c r="AK705" s="540">
        <f>SUMIFS('Live Collections'!$S:$S,'Live Collections'!$D:$D,Disbursements!B705,'Live Collections'!$G:$G,Disbursements!C705)</f>
        <v>0</v>
      </c>
      <c r="AL705" s="540">
        <f>SUMIFS('Live Collections'!$T:$T,'Live Collections'!$D:$D,Disbursements!B705,'Live Collections'!$G:$G,Disbursements!C705)</f>
        <v>0</v>
      </c>
      <c r="AM705" s="541">
        <f t="shared" si="296"/>
        <v>0</v>
      </c>
      <c r="AN705" s="542" t="str">
        <f t="shared" si="297"/>
        <v/>
      </c>
      <c r="AO705" s="542" t="str">
        <f t="shared" si="298"/>
        <v/>
      </c>
      <c r="AP705" s="543" t="str">
        <f t="shared" si="299"/>
        <v/>
      </c>
      <c r="AQ705" s="544" t="str">
        <f t="shared" si="300"/>
        <v/>
      </c>
      <c r="AR705" s="545">
        <f t="shared" si="301"/>
        <v>0</v>
      </c>
      <c r="AS705" s="545">
        <f>IFERROR(CEILING($AR705*VLOOKUP($I705,Ref!$B$23:$E$29,4,0),1),0)</f>
        <v>0</v>
      </c>
      <c r="AT705" s="545" t="str">
        <f>IF(A705="","",IF(AP705&lt;=1,"Cleared",IF(AS705=0,"Clean",VLOOKUP($AS705,Ref!$G$23:$H$28,2))))</f>
        <v/>
      </c>
      <c r="AU705" s="546" t="str">
        <f t="shared" si="302"/>
        <v/>
      </c>
    </row>
    <row r="706" spans="1:47" ht="14.25" hidden="1" customHeight="1" x14ac:dyDescent="0.15">
      <c r="A706" s="523"/>
      <c r="B706" s="523"/>
      <c r="C706" s="523"/>
      <c r="D706" s="523"/>
      <c r="E706" s="579"/>
      <c r="F706" s="580"/>
      <c r="G706" s="524"/>
      <c r="H706" s="555"/>
      <c r="I706" s="560"/>
      <c r="J706" s="523"/>
      <c r="K706" s="528" t="str">
        <f>IFERROR(VLOOKUP($B706,'Clients-Live'!$A:$C,3,0),"")</f>
        <v/>
      </c>
      <c r="L706" s="528">
        <f>IF(E706="STL",Pricing!$D$38,IF(A706="",0,IF(A706&lt;Pricing!$C$25,Pricing!$D$25,VLOOKUP(Disbursements!$F706,Pricing!$B$29:$D$32,3))))</f>
        <v>0</v>
      </c>
      <c r="M706" s="528">
        <f>IF(E706="STL",0,IF(F706&gt;0,Pricing!$D$21,0))</f>
        <v>0</v>
      </c>
      <c r="N706" s="529">
        <f>IF(E706="STL",F706*Pricing!$D$40,IF(A706&lt;=Pricing!$C$4,0,IF(AND(A706&gt;Pricing!$C$4,Disbursements!A706&lt;=Pricing!$C$5),F706*Pricing!$E$5,IF(AND(A706&gt;Pricing!$C$5,Disbursements!A706&lt;=Pricing!$C$7),VLOOKUP(F706,Pricing!$D$7:$E$8,2)*Disbursements!F706,F706*Pricing!$E$9))))</f>
        <v>0</v>
      </c>
      <c r="O706" s="528">
        <f>IF(E706="STL",0,IF($F706&gt;0,$F706*Pricing!$D$17,0))</f>
        <v>0</v>
      </c>
      <c r="P706" s="530" t="str">
        <f t="shared" si="282"/>
        <v/>
      </c>
      <c r="Q706" s="531" t="str">
        <f>IF($A706="","",$G706/VLOOKUP($I706,Ref!$B$23:$D$29,2,0))</f>
        <v/>
      </c>
      <c r="R706" s="530" t="str">
        <f t="shared" si="283"/>
        <v/>
      </c>
      <c r="S706" s="532" t="str">
        <f t="shared" si="277"/>
        <v/>
      </c>
      <c r="T706" s="531" t="str">
        <f t="shared" si="284"/>
        <v/>
      </c>
      <c r="U706" s="533">
        <f t="shared" si="285"/>
        <v>0</v>
      </c>
      <c r="V706" s="531" t="str">
        <f t="shared" si="286"/>
        <v/>
      </c>
      <c r="W706" s="531" t="str">
        <f t="shared" si="287"/>
        <v/>
      </c>
      <c r="X706" s="534" t="str">
        <f t="shared" si="288"/>
        <v/>
      </c>
      <c r="Y706" s="535" t="str">
        <f>IF($A706="","",IF($I706="weekly",$A706+7,EDATE($A706,VLOOKUP($I706,Ref!$B$24:$C$29,2,0))))</f>
        <v/>
      </c>
      <c r="Z706" s="536" t="str">
        <f t="shared" si="289"/>
        <v/>
      </c>
      <c r="AA706" s="531">
        <f t="shared" si="290"/>
        <v>0</v>
      </c>
      <c r="AB706" s="535" t="str">
        <f t="shared" si="278"/>
        <v/>
      </c>
      <c r="AC706" s="537" t="str">
        <f t="shared" si="279"/>
        <v/>
      </c>
      <c r="AD706" s="538" t="str">
        <f t="shared" ca="1" si="280"/>
        <v/>
      </c>
      <c r="AE706" s="537">
        <f t="shared" ca="1" si="281"/>
        <v>0</v>
      </c>
      <c r="AF706" s="539" t="str">
        <f t="shared" ca="1" si="291"/>
        <v/>
      </c>
      <c r="AG706" s="531" t="str">
        <f t="shared" ca="1" si="292"/>
        <v/>
      </c>
      <c r="AH706" s="531" t="str">
        <f t="shared" ca="1" si="293"/>
        <v/>
      </c>
      <c r="AI706" s="531" t="str">
        <f t="shared" ca="1" si="294"/>
        <v/>
      </c>
      <c r="AJ706" s="531" t="str">
        <f t="shared" si="295"/>
        <v/>
      </c>
      <c r="AK706" s="540">
        <f>SUMIFS('Live Collections'!$S:$S,'Live Collections'!$D:$D,Disbursements!B706,'Live Collections'!$G:$G,Disbursements!C706)</f>
        <v>0</v>
      </c>
      <c r="AL706" s="540">
        <f>SUMIFS('Live Collections'!$T:$T,'Live Collections'!$D:$D,Disbursements!B706,'Live Collections'!$G:$G,Disbursements!C706)</f>
        <v>0</v>
      </c>
      <c r="AM706" s="541">
        <f t="shared" si="296"/>
        <v>0</v>
      </c>
      <c r="AN706" s="542" t="str">
        <f t="shared" si="297"/>
        <v/>
      </c>
      <c r="AO706" s="542" t="str">
        <f t="shared" si="298"/>
        <v/>
      </c>
      <c r="AP706" s="543" t="str">
        <f t="shared" si="299"/>
        <v/>
      </c>
      <c r="AQ706" s="544" t="str">
        <f t="shared" si="300"/>
        <v/>
      </c>
      <c r="AR706" s="545">
        <f t="shared" si="301"/>
        <v>0</v>
      </c>
      <c r="AS706" s="545">
        <f>IFERROR(CEILING($AR706*VLOOKUP($I706,Ref!$B$23:$E$29,4,0),1),0)</f>
        <v>0</v>
      </c>
      <c r="AT706" s="545" t="str">
        <f>IF(A706="","",IF(AP706&lt;=1,"Cleared",IF(AS706=0,"Clean",VLOOKUP($AS706,Ref!$G$23:$H$28,2))))</f>
        <v/>
      </c>
      <c r="AU706" s="546" t="str">
        <f t="shared" si="302"/>
        <v/>
      </c>
    </row>
    <row r="707" spans="1:47" ht="14.25" hidden="1" customHeight="1" x14ac:dyDescent="0.15">
      <c r="A707" s="523"/>
      <c r="B707" s="523"/>
      <c r="C707" s="523"/>
      <c r="D707" s="523"/>
      <c r="E707" s="579"/>
      <c r="F707" s="580"/>
      <c r="G707" s="524"/>
      <c r="H707" s="555"/>
      <c r="I707" s="560"/>
      <c r="J707" s="523"/>
      <c r="K707" s="528" t="str">
        <f>IFERROR(VLOOKUP($B707,'Clients-Live'!$A:$C,3,0),"")</f>
        <v/>
      </c>
      <c r="L707" s="528">
        <f>IF(E707="STL",Pricing!$D$38,IF(A707="",0,IF(A707&lt;Pricing!$C$25,Pricing!$D$25,VLOOKUP(Disbursements!$F707,Pricing!$B$29:$D$32,3))))</f>
        <v>0</v>
      </c>
      <c r="M707" s="528">
        <f>IF(E707="STL",0,IF(F707&gt;0,Pricing!$D$21,0))</f>
        <v>0</v>
      </c>
      <c r="N707" s="529">
        <f>IF(E707="STL",F707*Pricing!$D$40,IF(A707&lt;=Pricing!$C$4,0,IF(AND(A707&gt;Pricing!$C$4,Disbursements!A707&lt;=Pricing!$C$5),F707*Pricing!$E$5,IF(AND(A707&gt;Pricing!$C$5,Disbursements!A707&lt;=Pricing!$C$7),VLOOKUP(F707,Pricing!$D$7:$E$8,2)*Disbursements!F707,F707*Pricing!$E$9))))</f>
        <v>0</v>
      </c>
      <c r="O707" s="528">
        <f>IF(E707="STL",0,IF($F707&gt;0,$F707*Pricing!$D$17,0))</f>
        <v>0</v>
      </c>
      <c r="P707" s="530" t="str">
        <f t="shared" si="282"/>
        <v/>
      </c>
      <c r="Q707" s="531" t="str">
        <f>IF($A707="","",$G707/VLOOKUP($I707,Ref!$B$23:$D$29,2,0))</f>
        <v/>
      </c>
      <c r="R707" s="530" t="str">
        <f t="shared" si="283"/>
        <v/>
      </c>
      <c r="S707" s="532" t="str">
        <f t="shared" si="277"/>
        <v/>
      </c>
      <c r="T707" s="531" t="str">
        <f t="shared" si="284"/>
        <v/>
      </c>
      <c r="U707" s="533">
        <f t="shared" si="285"/>
        <v>0</v>
      </c>
      <c r="V707" s="531" t="str">
        <f t="shared" si="286"/>
        <v/>
      </c>
      <c r="W707" s="531" t="str">
        <f t="shared" si="287"/>
        <v/>
      </c>
      <c r="X707" s="534" t="str">
        <f t="shared" si="288"/>
        <v/>
      </c>
      <c r="Y707" s="535" t="str">
        <f>IF($A707="","",IF($I707="weekly",$A707+7,EDATE($A707,VLOOKUP($I707,Ref!$B$24:$C$29,2,0))))</f>
        <v/>
      </c>
      <c r="Z707" s="536" t="str">
        <f t="shared" si="289"/>
        <v/>
      </c>
      <c r="AA707" s="531">
        <f t="shared" si="290"/>
        <v>0</v>
      </c>
      <c r="AB707" s="535" t="str">
        <f t="shared" si="278"/>
        <v/>
      </c>
      <c r="AC707" s="537" t="str">
        <f t="shared" si="279"/>
        <v/>
      </c>
      <c r="AD707" s="538" t="str">
        <f t="shared" ca="1" si="280"/>
        <v/>
      </c>
      <c r="AE707" s="537">
        <f t="shared" ca="1" si="281"/>
        <v>0</v>
      </c>
      <c r="AF707" s="539" t="str">
        <f t="shared" ca="1" si="291"/>
        <v/>
      </c>
      <c r="AG707" s="531" t="str">
        <f t="shared" ca="1" si="292"/>
        <v/>
      </c>
      <c r="AH707" s="531" t="str">
        <f t="shared" ca="1" si="293"/>
        <v/>
      </c>
      <c r="AI707" s="531" t="str">
        <f t="shared" ca="1" si="294"/>
        <v/>
      </c>
      <c r="AJ707" s="531" t="str">
        <f t="shared" si="295"/>
        <v/>
      </c>
      <c r="AK707" s="540">
        <f>SUMIFS('Live Collections'!$S:$S,'Live Collections'!$D:$D,Disbursements!B707,'Live Collections'!$G:$G,Disbursements!C707)</f>
        <v>0</v>
      </c>
      <c r="AL707" s="540">
        <f>SUMIFS('Live Collections'!$T:$T,'Live Collections'!$D:$D,Disbursements!B707,'Live Collections'!$G:$G,Disbursements!C707)</f>
        <v>0</v>
      </c>
      <c r="AM707" s="541">
        <f t="shared" si="296"/>
        <v>0</v>
      </c>
      <c r="AN707" s="542" t="str">
        <f t="shared" si="297"/>
        <v/>
      </c>
      <c r="AO707" s="542" t="str">
        <f t="shared" si="298"/>
        <v/>
      </c>
      <c r="AP707" s="543" t="str">
        <f t="shared" si="299"/>
        <v/>
      </c>
      <c r="AQ707" s="544" t="str">
        <f t="shared" si="300"/>
        <v/>
      </c>
      <c r="AR707" s="545">
        <f t="shared" si="301"/>
        <v>0</v>
      </c>
      <c r="AS707" s="545">
        <f>IFERROR(CEILING($AR707*VLOOKUP($I707,Ref!$B$23:$E$29,4,0),1),0)</f>
        <v>0</v>
      </c>
      <c r="AT707" s="545" t="str">
        <f>IF(A707="","",IF(AP707&lt;=1,"Cleared",IF(AS707=0,"Clean",VLOOKUP($AS707,Ref!$G$23:$H$28,2))))</f>
        <v/>
      </c>
      <c r="AU707" s="546" t="str">
        <f t="shared" si="302"/>
        <v/>
      </c>
    </row>
    <row r="708" spans="1:47" ht="14.25" hidden="1" customHeight="1" x14ac:dyDescent="0.15">
      <c r="A708" s="523"/>
      <c r="B708" s="523"/>
      <c r="C708" s="523"/>
      <c r="D708" s="523"/>
      <c r="E708" s="579"/>
      <c r="F708" s="580"/>
      <c r="G708" s="524"/>
      <c r="H708" s="555"/>
      <c r="I708" s="560"/>
      <c r="J708" s="523"/>
      <c r="K708" s="528" t="str">
        <f>IFERROR(VLOOKUP($B708,'Clients-Live'!$A:$C,3,0),"")</f>
        <v/>
      </c>
      <c r="L708" s="528">
        <f>IF(E708="STL",Pricing!$D$38,IF(A708="",0,IF(A708&lt;Pricing!$C$25,Pricing!$D$25,VLOOKUP(Disbursements!$F708,Pricing!$B$29:$D$32,3))))</f>
        <v>0</v>
      </c>
      <c r="M708" s="528">
        <f>IF(E708="STL",0,IF(F708&gt;0,Pricing!$D$21,0))</f>
        <v>0</v>
      </c>
      <c r="N708" s="529">
        <f>IF(E708="STL",F708*Pricing!$D$40,IF(A708&lt;=Pricing!$C$4,0,IF(AND(A708&gt;Pricing!$C$4,Disbursements!A708&lt;=Pricing!$C$5),F708*Pricing!$E$5,IF(AND(A708&gt;Pricing!$C$5,Disbursements!A708&lt;=Pricing!$C$7),VLOOKUP(F708,Pricing!$D$7:$E$8,2)*Disbursements!F708,F708*Pricing!$E$9))))</f>
        <v>0</v>
      </c>
      <c r="O708" s="528">
        <f>IF(E708="STL",0,IF($F708&gt;0,$F708*Pricing!$D$17,0))</f>
        <v>0</v>
      </c>
      <c r="P708" s="530" t="str">
        <f t="shared" si="282"/>
        <v/>
      </c>
      <c r="Q708" s="531" t="str">
        <f>IF($A708="","",$G708/VLOOKUP($I708,Ref!$B$23:$D$29,2,0))</f>
        <v/>
      </c>
      <c r="R708" s="530" t="str">
        <f t="shared" si="283"/>
        <v/>
      </c>
      <c r="S708" s="532" t="str">
        <f t="shared" ref="S708:S771" si="303">IF($A708="","",$R708/$Q708)</f>
        <v/>
      </c>
      <c r="T708" s="531" t="str">
        <f t="shared" si="284"/>
        <v/>
      </c>
      <c r="U708" s="533">
        <f t="shared" si="285"/>
        <v>0</v>
      </c>
      <c r="V708" s="531" t="str">
        <f t="shared" si="286"/>
        <v/>
      </c>
      <c r="W708" s="531" t="str">
        <f t="shared" si="287"/>
        <v/>
      </c>
      <c r="X708" s="534" t="str">
        <f t="shared" si="288"/>
        <v/>
      </c>
      <c r="Y708" s="535" t="str">
        <f>IF($A708="","",IF($I708="weekly",$A708+7,EDATE($A708,VLOOKUP($I708,Ref!$B$24:$C$29,2,0))))</f>
        <v/>
      </c>
      <c r="Z708" s="536" t="str">
        <f t="shared" si="289"/>
        <v/>
      </c>
      <c r="AA708" s="531">
        <f t="shared" si="290"/>
        <v>0</v>
      </c>
      <c r="AB708" s="535" t="str">
        <f t="shared" ref="AB708:AB771" si="304">IF($A708="","",EDATE($A708,$G708))</f>
        <v/>
      </c>
      <c r="AC708" s="537" t="str">
        <f t="shared" ref="AC708:AC771" si="305">IFERROR($AB708-$A708,"")</f>
        <v/>
      </c>
      <c r="AD708" s="538" t="str">
        <f t="shared" ref="AD708:AD771" ca="1" si="306">IFERROR(IF(TODAY()-$A708&lt;$AB708-$A708,TODAY()-$A708,"Expired"),"")</f>
        <v/>
      </c>
      <c r="AE708" s="537">
        <f t="shared" ref="AE708:AE771" ca="1" si="307">IFERROR($AC708-$AD708,0)</f>
        <v>0</v>
      </c>
      <c r="AF708" s="539" t="str">
        <f t="shared" ca="1" si="291"/>
        <v/>
      </c>
      <c r="AG708" s="531" t="str">
        <f t="shared" ca="1" si="292"/>
        <v/>
      </c>
      <c r="AH708" s="531" t="str">
        <f t="shared" ca="1" si="293"/>
        <v/>
      </c>
      <c r="AI708" s="531" t="str">
        <f t="shared" ca="1" si="294"/>
        <v/>
      </c>
      <c r="AJ708" s="531" t="str">
        <f t="shared" si="295"/>
        <v/>
      </c>
      <c r="AK708" s="540">
        <f>SUMIFS('Live Collections'!$S:$S,'Live Collections'!$D:$D,Disbursements!B708,'Live Collections'!$G:$G,Disbursements!C708)</f>
        <v>0</v>
      </c>
      <c r="AL708" s="540">
        <f>SUMIFS('Live Collections'!$T:$T,'Live Collections'!$D:$D,Disbursements!B708,'Live Collections'!$G:$G,Disbursements!C708)</f>
        <v>0</v>
      </c>
      <c r="AM708" s="541">
        <f t="shared" si="296"/>
        <v>0</v>
      </c>
      <c r="AN708" s="542" t="str">
        <f t="shared" si="297"/>
        <v/>
      </c>
      <c r="AO708" s="542" t="str">
        <f t="shared" si="298"/>
        <v/>
      </c>
      <c r="AP708" s="543" t="str">
        <f t="shared" si="299"/>
        <v/>
      </c>
      <c r="AQ708" s="544" t="str">
        <f t="shared" si="300"/>
        <v/>
      </c>
      <c r="AR708" s="545">
        <f t="shared" si="301"/>
        <v>0</v>
      </c>
      <c r="AS708" s="545">
        <f>IFERROR(CEILING($AR708*VLOOKUP($I708,Ref!$B$23:$E$29,4,0),1),0)</f>
        <v>0</v>
      </c>
      <c r="AT708" s="545" t="str">
        <f>IF(A708="","",IF(AP708&lt;=1,"Cleared",IF(AS708=0,"Clean",VLOOKUP($AS708,Ref!$G$23:$H$28,2))))</f>
        <v/>
      </c>
      <c r="AU708" s="546" t="str">
        <f t="shared" si="302"/>
        <v/>
      </c>
    </row>
    <row r="709" spans="1:47" ht="14.25" hidden="1" customHeight="1" x14ac:dyDescent="0.15">
      <c r="A709" s="523"/>
      <c r="B709" s="523"/>
      <c r="C709" s="523"/>
      <c r="D709" s="523"/>
      <c r="E709" s="579"/>
      <c r="F709" s="580"/>
      <c r="G709" s="524"/>
      <c r="H709" s="555"/>
      <c r="I709" s="560"/>
      <c r="J709" s="523"/>
      <c r="K709" s="528" t="str">
        <f>IFERROR(VLOOKUP($B709,'Clients-Live'!$A:$C,3,0),"")</f>
        <v/>
      </c>
      <c r="L709" s="528">
        <f>IF(E709="STL",Pricing!$D$38,IF(A709="",0,IF(A709&lt;Pricing!$C$25,Pricing!$D$25,VLOOKUP(Disbursements!$F709,Pricing!$B$29:$D$32,3))))</f>
        <v>0</v>
      </c>
      <c r="M709" s="528">
        <f>IF(E709="STL",0,IF(F709&gt;0,Pricing!$D$21,0))</f>
        <v>0</v>
      </c>
      <c r="N709" s="529">
        <f>IF(E709="STL",F709*Pricing!$D$40,IF(A709&lt;=Pricing!$C$4,0,IF(AND(A709&gt;Pricing!$C$4,Disbursements!A709&lt;=Pricing!$C$5),F709*Pricing!$E$5,IF(AND(A709&gt;Pricing!$C$5,Disbursements!A709&lt;=Pricing!$C$7),VLOOKUP(F709,Pricing!$D$7:$E$8,2)*Disbursements!F709,F709*Pricing!$E$9))))</f>
        <v>0</v>
      </c>
      <c r="O709" s="528">
        <f>IF(E709="STL",0,IF($F709&gt;0,$F709*Pricing!$D$17,0))</f>
        <v>0</v>
      </c>
      <c r="P709" s="530" t="str">
        <f t="shared" ref="P709:P772" si="308">IF($A709="","",$H709*$F709*$G709)</f>
        <v/>
      </c>
      <c r="Q709" s="531" t="str">
        <f>IF($A709="","",$G709/VLOOKUP($I709,Ref!$B$23:$D$29,2,0))</f>
        <v/>
      </c>
      <c r="R709" s="530" t="str">
        <f t="shared" ref="R709:R772" si="309">IF($A709="","",$F709+$P709)</f>
        <v/>
      </c>
      <c r="S709" s="532" t="str">
        <f t="shared" si="303"/>
        <v/>
      </c>
      <c r="T709" s="531" t="str">
        <f t="shared" ref="T709:T772" si="310">IF(R709="","",CEILING(S709,1000))</f>
        <v/>
      </c>
      <c r="U709" s="533">
        <f t="shared" ref="U709:U772" si="311">IFERROR(T709*Q709,0)</f>
        <v>0</v>
      </c>
      <c r="V709" s="531" t="str">
        <f t="shared" ref="V709:V772" si="312">IF(T709="","",F709/Q709)</f>
        <v/>
      </c>
      <c r="W709" s="531" t="str">
        <f t="shared" ref="W709:W772" si="313">IF(T709="","",T709-V709)</f>
        <v/>
      </c>
      <c r="X709" s="534" t="str">
        <f t="shared" ref="X709:X772" si="314">IF(A709="","",W709*Q709)</f>
        <v/>
      </c>
      <c r="Y709" s="535" t="str">
        <f>IF($A709="","",IF($I709="weekly",$A709+7,EDATE($A709,VLOOKUP($I709,Ref!$B$24:$C$29,2,0))))</f>
        <v/>
      </c>
      <c r="Z709" s="536" t="str">
        <f t="shared" ref="Z709:Z772" si="315">IFERROR(CHOOSE(WEEKDAY(Y709),"Sun","Mon","Tue","Wed","Thu","Frid","Sat"),"")</f>
        <v/>
      </c>
      <c r="AA709" s="531">
        <f t="shared" ref="AA709:AA772" si="316">IFERROR(Y709-A709,0)</f>
        <v>0</v>
      </c>
      <c r="AB709" s="535" t="str">
        <f t="shared" si="304"/>
        <v/>
      </c>
      <c r="AC709" s="537" t="str">
        <f t="shared" si="305"/>
        <v/>
      </c>
      <c r="AD709" s="538" t="str">
        <f t="shared" ca="1" si="306"/>
        <v/>
      </c>
      <c r="AE709" s="537">
        <f t="shared" ca="1" si="307"/>
        <v>0</v>
      </c>
      <c r="AF709" s="539" t="str">
        <f t="shared" ref="AF709:AF772" ca="1" si="317">IFERROR(IF(AD709="Expired",Q709,IF(AD709&gt;AA709,AD709/AA709,0)),"")</f>
        <v/>
      </c>
      <c r="AG709" s="531" t="str">
        <f t="shared" ref="AG709:AG772" ca="1" si="318">IFERROR(AF709*T709,"")</f>
        <v/>
      </c>
      <c r="AH709" s="531" t="str">
        <f t="shared" ref="AH709:AH772" ca="1" si="319">IFERROR(AF709*W709,"")</f>
        <v/>
      </c>
      <c r="AI709" s="531" t="str">
        <f t="shared" ref="AI709:AI772" ca="1" si="320">IFERROR(AF709*V709,"")</f>
        <v/>
      </c>
      <c r="AJ709" s="531" t="str">
        <f t="shared" ref="AJ709:AJ772" si="321">IF(F709=0,"",U709-AG709)</f>
        <v/>
      </c>
      <c r="AK709" s="540">
        <f>SUMIFS('Live Collections'!$S:$S,'Live Collections'!$D:$D,Disbursements!B709,'Live Collections'!$G:$G,Disbursements!C709)</f>
        <v>0</v>
      </c>
      <c r="AL709" s="540">
        <f>SUMIFS('Live Collections'!$T:$T,'Live Collections'!$D:$D,Disbursements!B709,'Live Collections'!$G:$G,Disbursements!C709)</f>
        <v>0</v>
      </c>
      <c r="AM709" s="541">
        <f t="shared" ref="AM709:AM772" si="322">SUM(AK709:AL709)</f>
        <v>0</v>
      </c>
      <c r="AN709" s="542" t="str">
        <f t="shared" ref="AN709:AN772" si="323">IFERROR(W709*Q709-AK709,"")</f>
        <v/>
      </c>
      <c r="AO709" s="542" t="str">
        <f t="shared" ref="AO709:AO772" si="324">IF(F709="","",(F709-AL709))</f>
        <v/>
      </c>
      <c r="AP709" s="543" t="str">
        <f t="shared" ref="AP709:AP772" si="325">IF(F709="","",SUM(AN709:AO709))</f>
        <v/>
      </c>
      <c r="AQ709" s="544" t="str">
        <f t="shared" ref="AQ709:AQ772" si="326">IF(AP709&gt;AJ709,AP709-AJ709,"")</f>
        <v/>
      </c>
      <c r="AR709" s="545">
        <f t="shared" ref="AR709:AR772" si="327">IFERROR(AQ709/T709,0)</f>
        <v>0</v>
      </c>
      <c r="AS709" s="545">
        <f>IFERROR(CEILING($AR709*VLOOKUP($I709,Ref!$B$23:$E$29,4,0),1),0)</f>
        <v>0</v>
      </c>
      <c r="AT709" s="545" t="str">
        <f>IF(A709="","",IF(AP709&lt;=1,"Cleared",IF(AS709=0,"Clean",VLOOKUP($AS709,Ref!$G$23:$H$28,2))))</f>
        <v/>
      </c>
      <c r="AU709" s="546" t="str">
        <f t="shared" ref="AU709:AU772" si="328">IF(F709="","",IF(OR(AN709&lt;0,AO709&lt;0,AP709&lt;0),"Error on Entry","Ok"))</f>
        <v/>
      </c>
    </row>
    <row r="710" spans="1:47" ht="14.25" hidden="1" customHeight="1" x14ac:dyDescent="0.15">
      <c r="A710" s="523"/>
      <c r="B710" s="523"/>
      <c r="C710" s="523"/>
      <c r="D710" s="523"/>
      <c r="E710" s="579"/>
      <c r="F710" s="580"/>
      <c r="G710" s="524"/>
      <c r="H710" s="555"/>
      <c r="I710" s="560"/>
      <c r="J710" s="523"/>
      <c r="K710" s="528" t="str">
        <f>IFERROR(VLOOKUP($B710,'Clients-Live'!$A:$C,3,0),"")</f>
        <v/>
      </c>
      <c r="L710" s="528">
        <f>IF(E710="STL",Pricing!$D$38,IF(A710="",0,IF(A710&lt;Pricing!$C$25,Pricing!$D$25,VLOOKUP(Disbursements!$F710,Pricing!$B$29:$D$32,3))))</f>
        <v>0</v>
      </c>
      <c r="M710" s="528">
        <f>IF(E710="STL",0,IF(F710&gt;0,Pricing!$D$21,0))</f>
        <v>0</v>
      </c>
      <c r="N710" s="529">
        <f>IF(E710="STL",F710*Pricing!$D$40,IF(A710&lt;=Pricing!$C$4,0,IF(AND(A710&gt;Pricing!$C$4,Disbursements!A710&lt;=Pricing!$C$5),F710*Pricing!$E$5,IF(AND(A710&gt;Pricing!$C$5,Disbursements!A710&lt;=Pricing!$C$7),VLOOKUP(F710,Pricing!$D$7:$E$8,2)*Disbursements!F710,F710*Pricing!$E$9))))</f>
        <v>0</v>
      </c>
      <c r="O710" s="528">
        <f>IF(E710="STL",0,IF($F710&gt;0,$F710*Pricing!$D$17,0))</f>
        <v>0</v>
      </c>
      <c r="P710" s="530" t="str">
        <f t="shared" si="308"/>
        <v/>
      </c>
      <c r="Q710" s="531" t="str">
        <f>IF($A710="","",$G710/VLOOKUP($I710,Ref!$B$23:$D$29,2,0))</f>
        <v/>
      </c>
      <c r="R710" s="530" t="str">
        <f t="shared" si="309"/>
        <v/>
      </c>
      <c r="S710" s="532" t="str">
        <f t="shared" si="303"/>
        <v/>
      </c>
      <c r="T710" s="531" t="str">
        <f t="shared" si="310"/>
        <v/>
      </c>
      <c r="U710" s="533">
        <f t="shared" si="311"/>
        <v>0</v>
      </c>
      <c r="V710" s="531" t="str">
        <f t="shared" si="312"/>
        <v/>
      </c>
      <c r="W710" s="531" t="str">
        <f t="shared" si="313"/>
        <v/>
      </c>
      <c r="X710" s="534" t="str">
        <f t="shared" si="314"/>
        <v/>
      </c>
      <c r="Y710" s="535" t="str">
        <f>IF($A710="","",IF($I710="weekly",$A710+7,EDATE($A710,VLOOKUP($I710,Ref!$B$24:$C$29,2,0))))</f>
        <v/>
      </c>
      <c r="Z710" s="536" t="str">
        <f t="shared" si="315"/>
        <v/>
      </c>
      <c r="AA710" s="531">
        <f t="shared" si="316"/>
        <v>0</v>
      </c>
      <c r="AB710" s="535" t="str">
        <f t="shared" si="304"/>
        <v/>
      </c>
      <c r="AC710" s="537" t="str">
        <f t="shared" si="305"/>
        <v/>
      </c>
      <c r="AD710" s="538" t="str">
        <f t="shared" ca="1" si="306"/>
        <v/>
      </c>
      <c r="AE710" s="537">
        <f t="shared" ca="1" si="307"/>
        <v>0</v>
      </c>
      <c r="AF710" s="539" t="str">
        <f t="shared" ca="1" si="317"/>
        <v/>
      </c>
      <c r="AG710" s="531" t="str">
        <f t="shared" ca="1" si="318"/>
        <v/>
      </c>
      <c r="AH710" s="531" t="str">
        <f t="shared" ca="1" si="319"/>
        <v/>
      </c>
      <c r="AI710" s="531" t="str">
        <f t="shared" ca="1" si="320"/>
        <v/>
      </c>
      <c r="AJ710" s="531" t="str">
        <f t="shared" si="321"/>
        <v/>
      </c>
      <c r="AK710" s="540">
        <f>SUMIFS('Live Collections'!$S:$S,'Live Collections'!$D:$D,Disbursements!B710,'Live Collections'!$G:$G,Disbursements!C710)</f>
        <v>0</v>
      </c>
      <c r="AL710" s="540">
        <f>SUMIFS('Live Collections'!$T:$T,'Live Collections'!$D:$D,Disbursements!B710,'Live Collections'!$G:$G,Disbursements!C710)</f>
        <v>0</v>
      </c>
      <c r="AM710" s="541">
        <f t="shared" si="322"/>
        <v>0</v>
      </c>
      <c r="AN710" s="542" t="str">
        <f t="shared" si="323"/>
        <v/>
      </c>
      <c r="AO710" s="542" t="str">
        <f t="shared" si="324"/>
        <v/>
      </c>
      <c r="AP710" s="543" t="str">
        <f t="shared" si="325"/>
        <v/>
      </c>
      <c r="AQ710" s="544" t="str">
        <f t="shared" si="326"/>
        <v/>
      </c>
      <c r="AR710" s="545">
        <f t="shared" si="327"/>
        <v>0</v>
      </c>
      <c r="AS710" s="545">
        <f>IFERROR(CEILING($AR710*VLOOKUP($I710,Ref!$B$23:$E$29,4,0),1),0)</f>
        <v>0</v>
      </c>
      <c r="AT710" s="545" t="str">
        <f>IF(A710="","",IF(AP710&lt;=1,"Cleared",IF(AS710=0,"Clean",VLOOKUP($AS710,Ref!$G$23:$H$28,2))))</f>
        <v/>
      </c>
      <c r="AU710" s="546" t="str">
        <f t="shared" si="328"/>
        <v/>
      </c>
    </row>
    <row r="711" spans="1:47" ht="14.25" hidden="1" customHeight="1" x14ac:dyDescent="0.15">
      <c r="A711" s="523"/>
      <c r="B711" s="523"/>
      <c r="C711" s="523"/>
      <c r="D711" s="523"/>
      <c r="E711" s="579"/>
      <c r="F711" s="580"/>
      <c r="G711" s="524"/>
      <c r="H711" s="555"/>
      <c r="I711" s="560"/>
      <c r="J711" s="523"/>
      <c r="K711" s="528" t="str">
        <f>IFERROR(VLOOKUP($B711,'Clients-Live'!$A:$C,3,0),"")</f>
        <v/>
      </c>
      <c r="L711" s="528">
        <f>IF(E711="STL",Pricing!$D$38,IF(A711="",0,IF(A711&lt;Pricing!$C$25,Pricing!$D$25,VLOOKUP(Disbursements!$F711,Pricing!$B$29:$D$32,3))))</f>
        <v>0</v>
      </c>
      <c r="M711" s="528">
        <f>IF(E711="STL",0,IF(F711&gt;0,Pricing!$D$21,0))</f>
        <v>0</v>
      </c>
      <c r="N711" s="529">
        <f>IF(E711="STL",F711*Pricing!$D$40,IF(A711&lt;=Pricing!$C$4,0,IF(AND(A711&gt;Pricing!$C$4,Disbursements!A711&lt;=Pricing!$C$5),F711*Pricing!$E$5,IF(AND(A711&gt;Pricing!$C$5,Disbursements!A711&lt;=Pricing!$C$7),VLOOKUP(F711,Pricing!$D$7:$E$8,2)*Disbursements!F711,F711*Pricing!$E$9))))</f>
        <v>0</v>
      </c>
      <c r="O711" s="528">
        <f>IF(E711="STL",0,IF($F711&gt;0,$F711*Pricing!$D$17,0))</f>
        <v>0</v>
      </c>
      <c r="P711" s="530" t="str">
        <f t="shared" si="308"/>
        <v/>
      </c>
      <c r="Q711" s="531" t="str">
        <f>IF($A711="","",$G711/VLOOKUP($I711,Ref!$B$23:$D$29,2,0))</f>
        <v/>
      </c>
      <c r="R711" s="530" t="str">
        <f t="shared" si="309"/>
        <v/>
      </c>
      <c r="S711" s="532" t="str">
        <f t="shared" si="303"/>
        <v/>
      </c>
      <c r="T711" s="531" t="str">
        <f t="shared" si="310"/>
        <v/>
      </c>
      <c r="U711" s="533">
        <f t="shared" si="311"/>
        <v>0</v>
      </c>
      <c r="V711" s="531" t="str">
        <f t="shared" si="312"/>
        <v/>
      </c>
      <c r="W711" s="531" t="str">
        <f t="shared" si="313"/>
        <v/>
      </c>
      <c r="X711" s="534" t="str">
        <f t="shared" si="314"/>
        <v/>
      </c>
      <c r="Y711" s="535" t="str">
        <f>IF($A711="","",IF($I711="weekly",$A711+7,EDATE($A711,VLOOKUP($I711,Ref!$B$24:$C$29,2,0))))</f>
        <v/>
      </c>
      <c r="Z711" s="536" t="str">
        <f t="shared" si="315"/>
        <v/>
      </c>
      <c r="AA711" s="531">
        <f t="shared" si="316"/>
        <v>0</v>
      </c>
      <c r="AB711" s="535" t="str">
        <f t="shared" si="304"/>
        <v/>
      </c>
      <c r="AC711" s="537" t="str">
        <f t="shared" si="305"/>
        <v/>
      </c>
      <c r="AD711" s="538" t="str">
        <f t="shared" ca="1" si="306"/>
        <v/>
      </c>
      <c r="AE711" s="537">
        <f t="shared" ca="1" si="307"/>
        <v>0</v>
      </c>
      <c r="AF711" s="539" t="str">
        <f t="shared" ca="1" si="317"/>
        <v/>
      </c>
      <c r="AG711" s="531" t="str">
        <f t="shared" ca="1" si="318"/>
        <v/>
      </c>
      <c r="AH711" s="531" t="str">
        <f t="shared" ca="1" si="319"/>
        <v/>
      </c>
      <c r="AI711" s="531" t="str">
        <f t="shared" ca="1" si="320"/>
        <v/>
      </c>
      <c r="AJ711" s="531" t="str">
        <f t="shared" si="321"/>
        <v/>
      </c>
      <c r="AK711" s="540">
        <f>SUMIFS('Live Collections'!$S:$S,'Live Collections'!$D:$D,Disbursements!B711,'Live Collections'!$G:$G,Disbursements!C711)</f>
        <v>0</v>
      </c>
      <c r="AL711" s="540">
        <f>SUMIFS('Live Collections'!$T:$T,'Live Collections'!$D:$D,Disbursements!B711,'Live Collections'!$G:$G,Disbursements!C711)</f>
        <v>0</v>
      </c>
      <c r="AM711" s="541">
        <f t="shared" si="322"/>
        <v>0</v>
      </c>
      <c r="AN711" s="542" t="str">
        <f t="shared" si="323"/>
        <v/>
      </c>
      <c r="AO711" s="542" t="str">
        <f t="shared" si="324"/>
        <v/>
      </c>
      <c r="AP711" s="543" t="str">
        <f t="shared" si="325"/>
        <v/>
      </c>
      <c r="AQ711" s="544" t="str">
        <f t="shared" si="326"/>
        <v/>
      </c>
      <c r="AR711" s="545">
        <f t="shared" si="327"/>
        <v>0</v>
      </c>
      <c r="AS711" s="545">
        <f>IFERROR(CEILING($AR711*VLOOKUP($I711,Ref!$B$23:$E$29,4,0),1),0)</f>
        <v>0</v>
      </c>
      <c r="AT711" s="545" t="str">
        <f>IF(A711="","",IF(AP711&lt;=1,"Cleared",IF(AS711=0,"Clean",VLOOKUP($AS711,Ref!$G$23:$H$28,2))))</f>
        <v/>
      </c>
      <c r="AU711" s="546" t="str">
        <f t="shared" si="328"/>
        <v/>
      </c>
    </row>
    <row r="712" spans="1:47" ht="14.25" hidden="1" customHeight="1" x14ac:dyDescent="0.15">
      <c r="A712" s="523"/>
      <c r="B712" s="523"/>
      <c r="C712" s="523"/>
      <c r="D712" s="523"/>
      <c r="E712" s="579"/>
      <c r="F712" s="580"/>
      <c r="G712" s="524"/>
      <c r="H712" s="555"/>
      <c r="I712" s="560"/>
      <c r="J712" s="523"/>
      <c r="K712" s="528" t="str">
        <f>IFERROR(VLOOKUP($B712,'Clients-Live'!$A:$C,3,0),"")</f>
        <v/>
      </c>
      <c r="L712" s="528">
        <f>IF(E712="STL",Pricing!$D$38,IF(A712="",0,IF(A712&lt;Pricing!$C$25,Pricing!$D$25,VLOOKUP(Disbursements!$F712,Pricing!$B$29:$D$32,3))))</f>
        <v>0</v>
      </c>
      <c r="M712" s="528">
        <f>IF(E712="STL",0,IF(F712&gt;0,Pricing!$D$21,0))</f>
        <v>0</v>
      </c>
      <c r="N712" s="529">
        <f>IF(E712="STL",F712*Pricing!$D$40,IF(A712&lt;=Pricing!$C$4,0,IF(AND(A712&gt;Pricing!$C$4,Disbursements!A712&lt;=Pricing!$C$5),F712*Pricing!$E$5,IF(AND(A712&gt;Pricing!$C$5,Disbursements!A712&lt;=Pricing!$C$7),VLOOKUP(F712,Pricing!$D$7:$E$8,2)*Disbursements!F712,F712*Pricing!$E$9))))</f>
        <v>0</v>
      </c>
      <c r="O712" s="528">
        <f>IF(E712="STL",0,IF($F712&gt;0,$F712*Pricing!$D$17,0))</f>
        <v>0</v>
      </c>
      <c r="P712" s="530" t="str">
        <f t="shared" si="308"/>
        <v/>
      </c>
      <c r="Q712" s="531" t="str">
        <f>IF($A712="","",$G712/VLOOKUP($I712,Ref!$B$23:$D$29,2,0))</f>
        <v/>
      </c>
      <c r="R712" s="530" t="str">
        <f t="shared" si="309"/>
        <v/>
      </c>
      <c r="S712" s="532" t="str">
        <f t="shared" si="303"/>
        <v/>
      </c>
      <c r="T712" s="531" t="str">
        <f t="shared" si="310"/>
        <v/>
      </c>
      <c r="U712" s="533">
        <f t="shared" si="311"/>
        <v>0</v>
      </c>
      <c r="V712" s="531" t="str">
        <f t="shared" si="312"/>
        <v/>
      </c>
      <c r="W712" s="531" t="str">
        <f t="shared" si="313"/>
        <v/>
      </c>
      <c r="X712" s="534" t="str">
        <f t="shared" si="314"/>
        <v/>
      </c>
      <c r="Y712" s="535" t="str">
        <f>IF($A712="","",IF($I712="weekly",$A712+7,EDATE($A712,VLOOKUP($I712,Ref!$B$24:$C$29,2,0))))</f>
        <v/>
      </c>
      <c r="Z712" s="536" t="str">
        <f t="shared" si="315"/>
        <v/>
      </c>
      <c r="AA712" s="531">
        <f t="shared" si="316"/>
        <v>0</v>
      </c>
      <c r="AB712" s="535" t="str">
        <f t="shared" si="304"/>
        <v/>
      </c>
      <c r="AC712" s="537" t="str">
        <f t="shared" si="305"/>
        <v/>
      </c>
      <c r="AD712" s="538" t="str">
        <f t="shared" ca="1" si="306"/>
        <v/>
      </c>
      <c r="AE712" s="537">
        <f t="shared" ca="1" si="307"/>
        <v>0</v>
      </c>
      <c r="AF712" s="539" t="str">
        <f t="shared" ca="1" si="317"/>
        <v/>
      </c>
      <c r="AG712" s="531" t="str">
        <f t="shared" ca="1" si="318"/>
        <v/>
      </c>
      <c r="AH712" s="531" t="str">
        <f t="shared" ca="1" si="319"/>
        <v/>
      </c>
      <c r="AI712" s="531" t="str">
        <f t="shared" ca="1" si="320"/>
        <v/>
      </c>
      <c r="AJ712" s="531" t="str">
        <f t="shared" si="321"/>
        <v/>
      </c>
      <c r="AK712" s="540">
        <f>SUMIFS('Live Collections'!$S:$S,'Live Collections'!$D:$D,Disbursements!B712,'Live Collections'!$G:$G,Disbursements!C712)</f>
        <v>0</v>
      </c>
      <c r="AL712" s="540">
        <f>SUMIFS('Live Collections'!$T:$T,'Live Collections'!$D:$D,Disbursements!B712,'Live Collections'!$G:$G,Disbursements!C712)</f>
        <v>0</v>
      </c>
      <c r="AM712" s="541">
        <f t="shared" si="322"/>
        <v>0</v>
      </c>
      <c r="AN712" s="542" t="str">
        <f t="shared" si="323"/>
        <v/>
      </c>
      <c r="AO712" s="542" t="str">
        <f t="shared" si="324"/>
        <v/>
      </c>
      <c r="AP712" s="543" t="str">
        <f t="shared" si="325"/>
        <v/>
      </c>
      <c r="AQ712" s="544" t="str">
        <f t="shared" si="326"/>
        <v/>
      </c>
      <c r="AR712" s="545">
        <f t="shared" si="327"/>
        <v>0</v>
      </c>
      <c r="AS712" s="545">
        <f>IFERROR(CEILING($AR712*VLOOKUP($I712,Ref!$B$23:$E$29,4,0),1),0)</f>
        <v>0</v>
      </c>
      <c r="AT712" s="545" t="str">
        <f>IF(A712="","",IF(AP712&lt;=1,"Cleared",IF(AS712=0,"Clean",VLOOKUP($AS712,Ref!$G$23:$H$28,2))))</f>
        <v/>
      </c>
      <c r="AU712" s="546" t="str">
        <f t="shared" si="328"/>
        <v/>
      </c>
    </row>
    <row r="713" spans="1:47" ht="14.25" hidden="1" customHeight="1" x14ac:dyDescent="0.15">
      <c r="A713" s="523"/>
      <c r="B713" s="523"/>
      <c r="C713" s="523"/>
      <c r="D713" s="523"/>
      <c r="E713" s="579"/>
      <c r="F713" s="580"/>
      <c r="G713" s="524"/>
      <c r="H713" s="555"/>
      <c r="I713" s="560"/>
      <c r="J713" s="523"/>
      <c r="K713" s="528" t="str">
        <f>IFERROR(VLOOKUP($B713,'Clients-Live'!$A:$C,3,0),"")</f>
        <v/>
      </c>
      <c r="L713" s="528">
        <f>IF(E713="STL",Pricing!$D$38,IF(A713="",0,IF(A713&lt;Pricing!$C$25,Pricing!$D$25,VLOOKUP(Disbursements!$F713,Pricing!$B$29:$D$32,3))))</f>
        <v>0</v>
      </c>
      <c r="M713" s="528">
        <f>IF(E713="STL",0,IF(F713&gt;0,Pricing!$D$21,0))</f>
        <v>0</v>
      </c>
      <c r="N713" s="529">
        <f>IF(E713="STL",F713*Pricing!$D$40,IF(A713&lt;=Pricing!$C$4,0,IF(AND(A713&gt;Pricing!$C$4,Disbursements!A713&lt;=Pricing!$C$5),F713*Pricing!$E$5,IF(AND(A713&gt;Pricing!$C$5,Disbursements!A713&lt;=Pricing!$C$7),VLOOKUP(F713,Pricing!$D$7:$E$8,2)*Disbursements!F713,F713*Pricing!$E$9))))</f>
        <v>0</v>
      </c>
      <c r="O713" s="528">
        <f>IF(E713="STL",0,IF($F713&gt;0,$F713*Pricing!$D$17,0))</f>
        <v>0</v>
      </c>
      <c r="P713" s="530" t="str">
        <f t="shared" si="308"/>
        <v/>
      </c>
      <c r="Q713" s="531" t="str">
        <f>IF($A713="","",$G713/VLOOKUP($I713,Ref!$B$23:$D$29,2,0))</f>
        <v/>
      </c>
      <c r="R713" s="530" t="str">
        <f t="shared" si="309"/>
        <v/>
      </c>
      <c r="S713" s="532" t="str">
        <f t="shared" si="303"/>
        <v/>
      </c>
      <c r="T713" s="531" t="str">
        <f t="shared" si="310"/>
        <v/>
      </c>
      <c r="U713" s="533">
        <f t="shared" si="311"/>
        <v>0</v>
      </c>
      <c r="V713" s="531" t="str">
        <f t="shared" si="312"/>
        <v/>
      </c>
      <c r="W713" s="531" t="str">
        <f t="shared" si="313"/>
        <v/>
      </c>
      <c r="X713" s="534" t="str">
        <f t="shared" si="314"/>
        <v/>
      </c>
      <c r="Y713" s="535" t="str">
        <f>IF($A713="","",IF($I713="weekly",$A713+7,EDATE($A713,VLOOKUP($I713,Ref!$B$24:$C$29,2,0))))</f>
        <v/>
      </c>
      <c r="Z713" s="536" t="str">
        <f t="shared" si="315"/>
        <v/>
      </c>
      <c r="AA713" s="531">
        <f t="shared" si="316"/>
        <v>0</v>
      </c>
      <c r="AB713" s="535" t="str">
        <f t="shared" si="304"/>
        <v/>
      </c>
      <c r="AC713" s="537" t="str">
        <f t="shared" si="305"/>
        <v/>
      </c>
      <c r="AD713" s="538" t="str">
        <f t="shared" ca="1" si="306"/>
        <v/>
      </c>
      <c r="AE713" s="537">
        <f t="shared" ca="1" si="307"/>
        <v>0</v>
      </c>
      <c r="AF713" s="539" t="str">
        <f t="shared" ca="1" si="317"/>
        <v/>
      </c>
      <c r="AG713" s="531" t="str">
        <f t="shared" ca="1" si="318"/>
        <v/>
      </c>
      <c r="AH713" s="531" t="str">
        <f t="shared" ca="1" si="319"/>
        <v/>
      </c>
      <c r="AI713" s="531" t="str">
        <f t="shared" ca="1" si="320"/>
        <v/>
      </c>
      <c r="AJ713" s="531" t="str">
        <f t="shared" si="321"/>
        <v/>
      </c>
      <c r="AK713" s="540">
        <f>SUMIFS('Live Collections'!$S:$S,'Live Collections'!$D:$D,Disbursements!B713,'Live Collections'!$G:$G,Disbursements!C713)</f>
        <v>0</v>
      </c>
      <c r="AL713" s="540">
        <f>SUMIFS('Live Collections'!$T:$T,'Live Collections'!$D:$D,Disbursements!B713,'Live Collections'!$G:$G,Disbursements!C713)</f>
        <v>0</v>
      </c>
      <c r="AM713" s="541">
        <f t="shared" si="322"/>
        <v>0</v>
      </c>
      <c r="AN713" s="542" t="str">
        <f t="shared" si="323"/>
        <v/>
      </c>
      <c r="AO713" s="542" t="str">
        <f t="shared" si="324"/>
        <v/>
      </c>
      <c r="AP713" s="543" t="str">
        <f t="shared" si="325"/>
        <v/>
      </c>
      <c r="AQ713" s="544" t="str">
        <f t="shared" si="326"/>
        <v/>
      </c>
      <c r="AR713" s="545">
        <f t="shared" si="327"/>
        <v>0</v>
      </c>
      <c r="AS713" s="545">
        <f>IFERROR(CEILING($AR713*VLOOKUP($I713,Ref!$B$23:$E$29,4,0),1),0)</f>
        <v>0</v>
      </c>
      <c r="AT713" s="545" t="str">
        <f>IF(A713="","",IF(AP713&lt;=1,"Cleared",IF(AS713=0,"Clean",VLOOKUP($AS713,Ref!$G$23:$H$28,2))))</f>
        <v/>
      </c>
      <c r="AU713" s="546" t="str">
        <f t="shared" si="328"/>
        <v/>
      </c>
    </row>
    <row r="714" spans="1:47" ht="14.25" hidden="1" customHeight="1" x14ac:dyDescent="0.15">
      <c r="A714" s="523"/>
      <c r="B714" s="523"/>
      <c r="C714" s="523"/>
      <c r="D714" s="523"/>
      <c r="E714" s="579"/>
      <c r="F714" s="580"/>
      <c r="G714" s="524"/>
      <c r="H714" s="555"/>
      <c r="I714" s="560"/>
      <c r="J714" s="523"/>
      <c r="K714" s="528" t="str">
        <f>IFERROR(VLOOKUP($B714,'Clients-Live'!$A:$C,3,0),"")</f>
        <v/>
      </c>
      <c r="L714" s="528">
        <f>IF(E714="STL",Pricing!$D$38,IF(A714="",0,IF(A714&lt;Pricing!$C$25,Pricing!$D$25,VLOOKUP(Disbursements!$F714,Pricing!$B$29:$D$32,3))))</f>
        <v>0</v>
      </c>
      <c r="M714" s="528">
        <f>IF(E714="STL",0,IF(F714&gt;0,Pricing!$D$21,0))</f>
        <v>0</v>
      </c>
      <c r="N714" s="529">
        <f>IF(E714="STL",F714*Pricing!$D$40,IF(A714&lt;=Pricing!$C$4,0,IF(AND(A714&gt;Pricing!$C$4,Disbursements!A714&lt;=Pricing!$C$5),F714*Pricing!$E$5,IF(AND(A714&gt;Pricing!$C$5,Disbursements!A714&lt;=Pricing!$C$7),VLOOKUP(F714,Pricing!$D$7:$E$8,2)*Disbursements!F714,F714*Pricing!$E$9))))</f>
        <v>0</v>
      </c>
      <c r="O714" s="528">
        <f>IF(E714="STL",0,IF($F714&gt;0,$F714*Pricing!$D$17,0))</f>
        <v>0</v>
      </c>
      <c r="P714" s="530" t="str">
        <f t="shared" si="308"/>
        <v/>
      </c>
      <c r="Q714" s="531" t="str">
        <f>IF($A714="","",$G714/VLOOKUP($I714,Ref!$B$23:$D$29,2,0))</f>
        <v/>
      </c>
      <c r="R714" s="530" t="str">
        <f t="shared" si="309"/>
        <v/>
      </c>
      <c r="S714" s="532" t="str">
        <f t="shared" si="303"/>
        <v/>
      </c>
      <c r="T714" s="531" t="str">
        <f t="shared" si="310"/>
        <v/>
      </c>
      <c r="U714" s="533">
        <f t="shared" si="311"/>
        <v>0</v>
      </c>
      <c r="V714" s="531" t="str">
        <f t="shared" si="312"/>
        <v/>
      </c>
      <c r="W714" s="531" t="str">
        <f t="shared" si="313"/>
        <v/>
      </c>
      <c r="X714" s="534" t="str">
        <f t="shared" si="314"/>
        <v/>
      </c>
      <c r="Y714" s="535" t="str">
        <f>IF($A714="","",IF($I714="weekly",$A714+7,EDATE($A714,VLOOKUP($I714,Ref!$B$24:$C$29,2,0))))</f>
        <v/>
      </c>
      <c r="Z714" s="536" t="str">
        <f t="shared" si="315"/>
        <v/>
      </c>
      <c r="AA714" s="531">
        <f t="shared" si="316"/>
        <v>0</v>
      </c>
      <c r="AB714" s="535" t="str">
        <f t="shared" si="304"/>
        <v/>
      </c>
      <c r="AC714" s="537" t="str">
        <f t="shared" si="305"/>
        <v/>
      </c>
      <c r="AD714" s="538" t="str">
        <f t="shared" ca="1" si="306"/>
        <v/>
      </c>
      <c r="AE714" s="537">
        <f t="shared" ca="1" si="307"/>
        <v>0</v>
      </c>
      <c r="AF714" s="539" t="str">
        <f t="shared" ca="1" si="317"/>
        <v/>
      </c>
      <c r="AG714" s="531" t="str">
        <f t="shared" ca="1" si="318"/>
        <v/>
      </c>
      <c r="AH714" s="531" t="str">
        <f t="shared" ca="1" si="319"/>
        <v/>
      </c>
      <c r="AI714" s="531" t="str">
        <f t="shared" ca="1" si="320"/>
        <v/>
      </c>
      <c r="AJ714" s="531" t="str">
        <f t="shared" si="321"/>
        <v/>
      </c>
      <c r="AK714" s="540">
        <f>SUMIFS('Live Collections'!$S:$S,'Live Collections'!$D:$D,Disbursements!B714,'Live Collections'!$G:$G,Disbursements!C714)</f>
        <v>0</v>
      </c>
      <c r="AL714" s="540">
        <f>SUMIFS('Live Collections'!$T:$T,'Live Collections'!$D:$D,Disbursements!B714,'Live Collections'!$G:$G,Disbursements!C714)</f>
        <v>0</v>
      </c>
      <c r="AM714" s="541">
        <f t="shared" si="322"/>
        <v>0</v>
      </c>
      <c r="AN714" s="542" t="str">
        <f t="shared" si="323"/>
        <v/>
      </c>
      <c r="AO714" s="542" t="str">
        <f t="shared" si="324"/>
        <v/>
      </c>
      <c r="AP714" s="543" t="str">
        <f t="shared" si="325"/>
        <v/>
      </c>
      <c r="AQ714" s="544" t="str">
        <f t="shared" si="326"/>
        <v/>
      </c>
      <c r="AR714" s="545">
        <f t="shared" si="327"/>
        <v>0</v>
      </c>
      <c r="AS714" s="545">
        <f>IFERROR(CEILING($AR714*VLOOKUP($I714,Ref!$B$23:$E$29,4,0),1),0)</f>
        <v>0</v>
      </c>
      <c r="AT714" s="545" t="str">
        <f>IF(A714="","",IF(AP714&lt;=1,"Cleared",IF(AS714=0,"Clean",VLOOKUP($AS714,Ref!$G$23:$H$28,2))))</f>
        <v/>
      </c>
      <c r="AU714" s="546" t="str">
        <f t="shared" si="328"/>
        <v/>
      </c>
    </row>
    <row r="715" spans="1:47" ht="14.25" hidden="1" customHeight="1" x14ac:dyDescent="0.15">
      <c r="A715" s="523"/>
      <c r="B715" s="523"/>
      <c r="C715" s="523"/>
      <c r="D715" s="523"/>
      <c r="E715" s="579"/>
      <c r="F715" s="580"/>
      <c r="G715" s="524"/>
      <c r="H715" s="555"/>
      <c r="I715" s="560"/>
      <c r="J715" s="523"/>
      <c r="K715" s="528" t="str">
        <f>IFERROR(VLOOKUP($B715,'Clients-Live'!$A:$C,3,0),"")</f>
        <v/>
      </c>
      <c r="L715" s="528">
        <f>IF(E715="STL",Pricing!$D$38,IF(A715="",0,IF(A715&lt;Pricing!$C$25,Pricing!$D$25,VLOOKUP(Disbursements!$F715,Pricing!$B$29:$D$32,3))))</f>
        <v>0</v>
      </c>
      <c r="M715" s="528">
        <f>IF(E715="STL",0,IF(F715&gt;0,Pricing!$D$21,0))</f>
        <v>0</v>
      </c>
      <c r="N715" s="529">
        <f>IF(E715="STL",F715*Pricing!$D$40,IF(A715&lt;=Pricing!$C$4,0,IF(AND(A715&gt;Pricing!$C$4,Disbursements!A715&lt;=Pricing!$C$5),F715*Pricing!$E$5,IF(AND(A715&gt;Pricing!$C$5,Disbursements!A715&lt;=Pricing!$C$7),VLOOKUP(F715,Pricing!$D$7:$E$8,2)*Disbursements!F715,F715*Pricing!$E$9))))</f>
        <v>0</v>
      </c>
      <c r="O715" s="528">
        <f>IF(E715="STL",0,IF($F715&gt;0,$F715*Pricing!$D$17,0))</f>
        <v>0</v>
      </c>
      <c r="P715" s="530" t="str">
        <f t="shared" si="308"/>
        <v/>
      </c>
      <c r="Q715" s="531" t="str">
        <f>IF($A715="","",$G715/VLOOKUP($I715,Ref!$B$23:$D$29,2,0))</f>
        <v/>
      </c>
      <c r="R715" s="530" t="str">
        <f t="shared" si="309"/>
        <v/>
      </c>
      <c r="S715" s="532" t="str">
        <f t="shared" si="303"/>
        <v/>
      </c>
      <c r="T715" s="531" t="str">
        <f t="shared" si="310"/>
        <v/>
      </c>
      <c r="U715" s="533">
        <f t="shared" si="311"/>
        <v>0</v>
      </c>
      <c r="V715" s="531" t="str">
        <f t="shared" si="312"/>
        <v/>
      </c>
      <c r="W715" s="531" t="str">
        <f t="shared" si="313"/>
        <v/>
      </c>
      <c r="X715" s="534" t="str">
        <f t="shared" si="314"/>
        <v/>
      </c>
      <c r="Y715" s="535" t="str">
        <f>IF($A715="","",IF($I715="weekly",$A715+7,EDATE($A715,VLOOKUP($I715,Ref!$B$24:$C$29,2,0))))</f>
        <v/>
      </c>
      <c r="Z715" s="536" t="str">
        <f t="shared" si="315"/>
        <v/>
      </c>
      <c r="AA715" s="531">
        <f t="shared" si="316"/>
        <v>0</v>
      </c>
      <c r="AB715" s="535" t="str">
        <f t="shared" si="304"/>
        <v/>
      </c>
      <c r="AC715" s="537" t="str">
        <f t="shared" si="305"/>
        <v/>
      </c>
      <c r="AD715" s="538" t="str">
        <f t="shared" ca="1" si="306"/>
        <v/>
      </c>
      <c r="AE715" s="537">
        <f t="shared" ca="1" si="307"/>
        <v>0</v>
      </c>
      <c r="AF715" s="539" t="str">
        <f t="shared" ca="1" si="317"/>
        <v/>
      </c>
      <c r="AG715" s="531" t="str">
        <f t="shared" ca="1" si="318"/>
        <v/>
      </c>
      <c r="AH715" s="531" t="str">
        <f t="shared" ca="1" si="319"/>
        <v/>
      </c>
      <c r="AI715" s="531" t="str">
        <f t="shared" ca="1" si="320"/>
        <v/>
      </c>
      <c r="AJ715" s="531" t="str">
        <f t="shared" si="321"/>
        <v/>
      </c>
      <c r="AK715" s="540">
        <f>SUMIFS('Live Collections'!$S:$S,'Live Collections'!$D:$D,Disbursements!B715,'Live Collections'!$G:$G,Disbursements!C715)</f>
        <v>0</v>
      </c>
      <c r="AL715" s="540">
        <f>SUMIFS('Live Collections'!$T:$T,'Live Collections'!$D:$D,Disbursements!B715,'Live Collections'!$G:$G,Disbursements!C715)</f>
        <v>0</v>
      </c>
      <c r="AM715" s="541">
        <f t="shared" si="322"/>
        <v>0</v>
      </c>
      <c r="AN715" s="542" t="str">
        <f t="shared" si="323"/>
        <v/>
      </c>
      <c r="AO715" s="542" t="str">
        <f t="shared" si="324"/>
        <v/>
      </c>
      <c r="AP715" s="543" t="str">
        <f t="shared" si="325"/>
        <v/>
      </c>
      <c r="AQ715" s="544" t="str">
        <f t="shared" si="326"/>
        <v/>
      </c>
      <c r="AR715" s="545">
        <f t="shared" si="327"/>
        <v>0</v>
      </c>
      <c r="AS715" s="545">
        <f>IFERROR(CEILING($AR715*VLOOKUP($I715,Ref!$B$23:$E$29,4,0),1),0)</f>
        <v>0</v>
      </c>
      <c r="AT715" s="545" t="str">
        <f>IF(A715="","",IF(AP715&lt;=1,"Cleared",IF(AS715=0,"Clean",VLOOKUP($AS715,Ref!$G$23:$H$28,2))))</f>
        <v/>
      </c>
      <c r="AU715" s="546" t="str">
        <f t="shared" si="328"/>
        <v/>
      </c>
    </row>
    <row r="716" spans="1:47" ht="14.25" hidden="1" customHeight="1" x14ac:dyDescent="0.15">
      <c r="A716" s="523"/>
      <c r="B716" s="523"/>
      <c r="C716" s="523"/>
      <c r="D716" s="523"/>
      <c r="E716" s="579"/>
      <c r="F716" s="580"/>
      <c r="G716" s="524"/>
      <c r="H716" s="555"/>
      <c r="I716" s="560"/>
      <c r="J716" s="523"/>
      <c r="K716" s="528" t="str">
        <f>IFERROR(VLOOKUP($B716,'Clients-Live'!$A:$C,3,0),"")</f>
        <v/>
      </c>
      <c r="L716" s="528">
        <f>IF(E716="STL",Pricing!$D$38,IF(A716="",0,IF(A716&lt;Pricing!$C$25,Pricing!$D$25,VLOOKUP(Disbursements!$F716,Pricing!$B$29:$D$32,3))))</f>
        <v>0</v>
      </c>
      <c r="M716" s="528">
        <f>IF(E716="STL",0,IF(F716&gt;0,Pricing!$D$21,0))</f>
        <v>0</v>
      </c>
      <c r="N716" s="529">
        <f>IF(E716="STL",F716*Pricing!$D$40,IF(A716&lt;=Pricing!$C$4,0,IF(AND(A716&gt;Pricing!$C$4,Disbursements!A716&lt;=Pricing!$C$5),F716*Pricing!$E$5,IF(AND(A716&gt;Pricing!$C$5,Disbursements!A716&lt;=Pricing!$C$7),VLOOKUP(F716,Pricing!$D$7:$E$8,2)*Disbursements!F716,F716*Pricing!$E$9))))</f>
        <v>0</v>
      </c>
      <c r="O716" s="528">
        <f>IF(E716="STL",0,IF($F716&gt;0,$F716*Pricing!$D$17,0))</f>
        <v>0</v>
      </c>
      <c r="P716" s="530" t="str">
        <f t="shared" si="308"/>
        <v/>
      </c>
      <c r="Q716" s="531" t="str">
        <f>IF($A716="","",$G716/VLOOKUP($I716,Ref!$B$23:$D$29,2,0))</f>
        <v/>
      </c>
      <c r="R716" s="530" t="str">
        <f t="shared" si="309"/>
        <v/>
      </c>
      <c r="S716" s="532" t="str">
        <f t="shared" si="303"/>
        <v/>
      </c>
      <c r="T716" s="531" t="str">
        <f t="shared" si="310"/>
        <v/>
      </c>
      <c r="U716" s="533">
        <f t="shared" si="311"/>
        <v>0</v>
      </c>
      <c r="V716" s="531" t="str">
        <f t="shared" si="312"/>
        <v/>
      </c>
      <c r="W716" s="531" t="str">
        <f t="shared" si="313"/>
        <v/>
      </c>
      <c r="X716" s="534" t="str">
        <f t="shared" si="314"/>
        <v/>
      </c>
      <c r="Y716" s="535" t="str">
        <f>IF($A716="","",IF($I716="weekly",$A716+7,EDATE($A716,VLOOKUP($I716,Ref!$B$24:$C$29,2,0))))</f>
        <v/>
      </c>
      <c r="Z716" s="536" t="str">
        <f t="shared" si="315"/>
        <v/>
      </c>
      <c r="AA716" s="531">
        <f t="shared" si="316"/>
        <v>0</v>
      </c>
      <c r="AB716" s="535" t="str">
        <f t="shared" si="304"/>
        <v/>
      </c>
      <c r="AC716" s="537" t="str">
        <f t="shared" si="305"/>
        <v/>
      </c>
      <c r="AD716" s="538" t="str">
        <f t="shared" ca="1" si="306"/>
        <v/>
      </c>
      <c r="AE716" s="537">
        <f t="shared" ca="1" si="307"/>
        <v>0</v>
      </c>
      <c r="AF716" s="539" t="str">
        <f t="shared" ca="1" si="317"/>
        <v/>
      </c>
      <c r="AG716" s="531" t="str">
        <f t="shared" ca="1" si="318"/>
        <v/>
      </c>
      <c r="AH716" s="531" t="str">
        <f t="shared" ca="1" si="319"/>
        <v/>
      </c>
      <c r="AI716" s="531" t="str">
        <f t="shared" ca="1" si="320"/>
        <v/>
      </c>
      <c r="AJ716" s="531" t="str">
        <f t="shared" si="321"/>
        <v/>
      </c>
      <c r="AK716" s="540">
        <f>SUMIFS('Live Collections'!$S:$S,'Live Collections'!$D:$D,Disbursements!B716,'Live Collections'!$G:$G,Disbursements!C716)</f>
        <v>0</v>
      </c>
      <c r="AL716" s="540">
        <f>SUMIFS('Live Collections'!$T:$T,'Live Collections'!$D:$D,Disbursements!B716,'Live Collections'!$G:$G,Disbursements!C716)</f>
        <v>0</v>
      </c>
      <c r="AM716" s="541">
        <f t="shared" si="322"/>
        <v>0</v>
      </c>
      <c r="AN716" s="542" t="str">
        <f t="shared" si="323"/>
        <v/>
      </c>
      <c r="AO716" s="542" t="str">
        <f t="shared" si="324"/>
        <v/>
      </c>
      <c r="AP716" s="543" t="str">
        <f t="shared" si="325"/>
        <v/>
      </c>
      <c r="AQ716" s="544" t="str">
        <f t="shared" si="326"/>
        <v/>
      </c>
      <c r="AR716" s="545">
        <f t="shared" si="327"/>
        <v>0</v>
      </c>
      <c r="AS716" s="545">
        <f>IFERROR(CEILING($AR716*VLOOKUP($I716,Ref!$B$23:$E$29,4,0),1),0)</f>
        <v>0</v>
      </c>
      <c r="AT716" s="545" t="str">
        <f>IF(A716="","",IF(AP716&lt;=1,"Cleared",IF(AS716=0,"Clean",VLOOKUP($AS716,Ref!$G$23:$H$28,2))))</f>
        <v/>
      </c>
      <c r="AU716" s="546" t="str">
        <f t="shared" si="328"/>
        <v/>
      </c>
    </row>
    <row r="717" spans="1:47" ht="14.25" hidden="1" customHeight="1" x14ac:dyDescent="0.15">
      <c r="A717" s="523"/>
      <c r="B717" s="523"/>
      <c r="C717" s="523"/>
      <c r="D717" s="523"/>
      <c r="E717" s="579"/>
      <c r="F717" s="580"/>
      <c r="G717" s="524"/>
      <c r="H717" s="555"/>
      <c r="I717" s="560"/>
      <c r="J717" s="523"/>
      <c r="K717" s="528" t="str">
        <f>IFERROR(VLOOKUP($B717,'Clients-Live'!$A:$C,3,0),"")</f>
        <v/>
      </c>
      <c r="L717" s="528">
        <f>IF(E717="STL",Pricing!$D$38,IF(A717="",0,IF(A717&lt;Pricing!$C$25,Pricing!$D$25,VLOOKUP(Disbursements!$F717,Pricing!$B$29:$D$32,3))))</f>
        <v>0</v>
      </c>
      <c r="M717" s="528">
        <f>IF(E717="STL",0,IF(F717&gt;0,Pricing!$D$21,0))</f>
        <v>0</v>
      </c>
      <c r="N717" s="529">
        <f>IF(E717="STL",F717*Pricing!$D$40,IF(A717&lt;=Pricing!$C$4,0,IF(AND(A717&gt;Pricing!$C$4,Disbursements!A717&lt;=Pricing!$C$5),F717*Pricing!$E$5,IF(AND(A717&gt;Pricing!$C$5,Disbursements!A717&lt;=Pricing!$C$7),VLOOKUP(F717,Pricing!$D$7:$E$8,2)*Disbursements!F717,F717*Pricing!$E$9))))</f>
        <v>0</v>
      </c>
      <c r="O717" s="528">
        <f>IF(E717="STL",0,IF($F717&gt;0,$F717*Pricing!$D$17,0))</f>
        <v>0</v>
      </c>
      <c r="P717" s="530" t="str">
        <f t="shared" si="308"/>
        <v/>
      </c>
      <c r="Q717" s="531" t="str">
        <f>IF($A717="","",$G717/VLOOKUP($I717,Ref!$B$23:$D$29,2,0))</f>
        <v/>
      </c>
      <c r="R717" s="530" t="str">
        <f t="shared" si="309"/>
        <v/>
      </c>
      <c r="S717" s="532" t="str">
        <f t="shared" si="303"/>
        <v/>
      </c>
      <c r="T717" s="531" t="str">
        <f t="shared" si="310"/>
        <v/>
      </c>
      <c r="U717" s="533">
        <f t="shared" si="311"/>
        <v>0</v>
      </c>
      <c r="V717" s="531" t="str">
        <f t="shared" si="312"/>
        <v/>
      </c>
      <c r="W717" s="531" t="str">
        <f t="shared" si="313"/>
        <v/>
      </c>
      <c r="X717" s="534" t="str">
        <f t="shared" si="314"/>
        <v/>
      </c>
      <c r="Y717" s="535" t="str">
        <f>IF($A717="","",IF($I717="weekly",$A717+7,EDATE($A717,VLOOKUP($I717,Ref!$B$24:$C$29,2,0))))</f>
        <v/>
      </c>
      <c r="Z717" s="536" t="str">
        <f t="shared" si="315"/>
        <v/>
      </c>
      <c r="AA717" s="531">
        <f t="shared" si="316"/>
        <v>0</v>
      </c>
      <c r="AB717" s="535" t="str">
        <f t="shared" si="304"/>
        <v/>
      </c>
      <c r="AC717" s="537" t="str">
        <f t="shared" si="305"/>
        <v/>
      </c>
      <c r="AD717" s="538" t="str">
        <f t="shared" ca="1" si="306"/>
        <v/>
      </c>
      <c r="AE717" s="537">
        <f t="shared" ca="1" si="307"/>
        <v>0</v>
      </c>
      <c r="AF717" s="539" t="str">
        <f t="shared" ca="1" si="317"/>
        <v/>
      </c>
      <c r="AG717" s="531" t="str">
        <f t="shared" ca="1" si="318"/>
        <v/>
      </c>
      <c r="AH717" s="531" t="str">
        <f t="shared" ca="1" si="319"/>
        <v/>
      </c>
      <c r="AI717" s="531" t="str">
        <f t="shared" ca="1" si="320"/>
        <v/>
      </c>
      <c r="AJ717" s="531" t="str">
        <f t="shared" si="321"/>
        <v/>
      </c>
      <c r="AK717" s="540">
        <f>SUMIFS('Live Collections'!$S:$S,'Live Collections'!$D:$D,Disbursements!B717,'Live Collections'!$G:$G,Disbursements!C717)</f>
        <v>0</v>
      </c>
      <c r="AL717" s="540">
        <f>SUMIFS('Live Collections'!$T:$T,'Live Collections'!$D:$D,Disbursements!B717,'Live Collections'!$G:$G,Disbursements!C717)</f>
        <v>0</v>
      </c>
      <c r="AM717" s="541">
        <f t="shared" si="322"/>
        <v>0</v>
      </c>
      <c r="AN717" s="542" t="str">
        <f t="shared" si="323"/>
        <v/>
      </c>
      <c r="AO717" s="542" t="str">
        <f t="shared" si="324"/>
        <v/>
      </c>
      <c r="AP717" s="543" t="str">
        <f t="shared" si="325"/>
        <v/>
      </c>
      <c r="AQ717" s="544" t="str">
        <f t="shared" si="326"/>
        <v/>
      </c>
      <c r="AR717" s="545">
        <f t="shared" si="327"/>
        <v>0</v>
      </c>
      <c r="AS717" s="545">
        <f>IFERROR(CEILING($AR717*VLOOKUP($I717,Ref!$B$23:$E$29,4,0),1),0)</f>
        <v>0</v>
      </c>
      <c r="AT717" s="545" t="str">
        <f>IF(A717="","",IF(AP717&lt;=1,"Cleared",IF(AS717=0,"Clean",VLOOKUP($AS717,Ref!$G$23:$H$28,2))))</f>
        <v/>
      </c>
      <c r="AU717" s="546" t="str">
        <f t="shared" si="328"/>
        <v/>
      </c>
    </row>
    <row r="718" spans="1:47" ht="14.25" hidden="1" customHeight="1" x14ac:dyDescent="0.15">
      <c r="A718" s="523"/>
      <c r="B718" s="523"/>
      <c r="C718" s="523"/>
      <c r="D718" s="523"/>
      <c r="E718" s="579"/>
      <c r="F718" s="580"/>
      <c r="G718" s="524"/>
      <c r="H718" s="555"/>
      <c r="I718" s="560"/>
      <c r="J718" s="523"/>
      <c r="K718" s="528" t="str">
        <f>IFERROR(VLOOKUP($B718,'Clients-Live'!$A:$C,3,0),"")</f>
        <v/>
      </c>
      <c r="L718" s="528">
        <f>IF(E718="STL",Pricing!$D$38,IF(A718="",0,IF(A718&lt;Pricing!$C$25,Pricing!$D$25,VLOOKUP(Disbursements!$F718,Pricing!$B$29:$D$32,3))))</f>
        <v>0</v>
      </c>
      <c r="M718" s="528">
        <f>IF(E718="STL",0,IF(F718&gt;0,Pricing!$D$21,0))</f>
        <v>0</v>
      </c>
      <c r="N718" s="529">
        <f>IF(E718="STL",F718*Pricing!$D$40,IF(A718&lt;=Pricing!$C$4,0,IF(AND(A718&gt;Pricing!$C$4,Disbursements!A718&lt;=Pricing!$C$5),F718*Pricing!$E$5,IF(AND(A718&gt;Pricing!$C$5,Disbursements!A718&lt;=Pricing!$C$7),VLOOKUP(F718,Pricing!$D$7:$E$8,2)*Disbursements!F718,F718*Pricing!$E$9))))</f>
        <v>0</v>
      </c>
      <c r="O718" s="528">
        <f>IF(E718="STL",0,IF($F718&gt;0,$F718*Pricing!$D$17,0))</f>
        <v>0</v>
      </c>
      <c r="P718" s="530" t="str">
        <f t="shared" si="308"/>
        <v/>
      </c>
      <c r="Q718" s="531" t="str">
        <f>IF($A718="","",$G718/VLOOKUP($I718,Ref!$B$23:$D$29,2,0))</f>
        <v/>
      </c>
      <c r="R718" s="530" t="str">
        <f t="shared" si="309"/>
        <v/>
      </c>
      <c r="S718" s="532" t="str">
        <f t="shared" si="303"/>
        <v/>
      </c>
      <c r="T718" s="531" t="str">
        <f t="shared" si="310"/>
        <v/>
      </c>
      <c r="U718" s="533">
        <f t="shared" si="311"/>
        <v>0</v>
      </c>
      <c r="V718" s="531" t="str">
        <f t="shared" si="312"/>
        <v/>
      </c>
      <c r="W718" s="531" t="str">
        <f t="shared" si="313"/>
        <v/>
      </c>
      <c r="X718" s="534" t="str">
        <f t="shared" si="314"/>
        <v/>
      </c>
      <c r="Y718" s="535" t="str">
        <f>IF($A718="","",IF($I718="weekly",$A718+7,EDATE($A718,VLOOKUP($I718,Ref!$B$24:$C$29,2,0))))</f>
        <v/>
      </c>
      <c r="Z718" s="536" t="str">
        <f t="shared" si="315"/>
        <v/>
      </c>
      <c r="AA718" s="531">
        <f t="shared" si="316"/>
        <v>0</v>
      </c>
      <c r="AB718" s="535" t="str">
        <f t="shared" si="304"/>
        <v/>
      </c>
      <c r="AC718" s="537" t="str">
        <f t="shared" si="305"/>
        <v/>
      </c>
      <c r="AD718" s="538" t="str">
        <f t="shared" ca="1" si="306"/>
        <v/>
      </c>
      <c r="AE718" s="537">
        <f t="shared" ca="1" si="307"/>
        <v>0</v>
      </c>
      <c r="AF718" s="539" t="str">
        <f t="shared" ca="1" si="317"/>
        <v/>
      </c>
      <c r="AG718" s="531" t="str">
        <f t="shared" ca="1" si="318"/>
        <v/>
      </c>
      <c r="AH718" s="531" t="str">
        <f t="shared" ca="1" si="319"/>
        <v/>
      </c>
      <c r="AI718" s="531" t="str">
        <f t="shared" ca="1" si="320"/>
        <v/>
      </c>
      <c r="AJ718" s="531" t="str">
        <f t="shared" si="321"/>
        <v/>
      </c>
      <c r="AK718" s="540">
        <f>SUMIFS('Live Collections'!$S:$S,'Live Collections'!$D:$D,Disbursements!B718,'Live Collections'!$G:$G,Disbursements!C718)</f>
        <v>0</v>
      </c>
      <c r="AL718" s="540">
        <f>SUMIFS('Live Collections'!$T:$T,'Live Collections'!$D:$D,Disbursements!B718,'Live Collections'!$G:$G,Disbursements!C718)</f>
        <v>0</v>
      </c>
      <c r="AM718" s="541">
        <f t="shared" si="322"/>
        <v>0</v>
      </c>
      <c r="AN718" s="542" t="str">
        <f t="shared" si="323"/>
        <v/>
      </c>
      <c r="AO718" s="542" t="str">
        <f t="shared" si="324"/>
        <v/>
      </c>
      <c r="AP718" s="543" t="str">
        <f t="shared" si="325"/>
        <v/>
      </c>
      <c r="AQ718" s="544" t="str">
        <f t="shared" si="326"/>
        <v/>
      </c>
      <c r="AR718" s="545">
        <f t="shared" si="327"/>
        <v>0</v>
      </c>
      <c r="AS718" s="545">
        <f>IFERROR(CEILING($AR718*VLOOKUP($I718,Ref!$B$23:$E$29,4,0),1),0)</f>
        <v>0</v>
      </c>
      <c r="AT718" s="545" t="str">
        <f>IF(A718="","",IF(AP718&lt;=1,"Cleared",IF(AS718=0,"Clean",VLOOKUP($AS718,Ref!$G$23:$H$28,2))))</f>
        <v/>
      </c>
      <c r="AU718" s="546" t="str">
        <f t="shared" si="328"/>
        <v/>
      </c>
    </row>
    <row r="719" spans="1:47" ht="14.25" hidden="1" customHeight="1" x14ac:dyDescent="0.15">
      <c r="A719" s="523"/>
      <c r="B719" s="523"/>
      <c r="C719" s="523"/>
      <c r="D719" s="523"/>
      <c r="E719" s="579"/>
      <c r="F719" s="580"/>
      <c r="G719" s="524"/>
      <c r="H719" s="555"/>
      <c r="I719" s="560"/>
      <c r="J719" s="523"/>
      <c r="K719" s="528" t="str">
        <f>IFERROR(VLOOKUP($B719,'Clients-Live'!$A:$C,3,0),"")</f>
        <v/>
      </c>
      <c r="L719" s="528">
        <f>IF(E719="STL",Pricing!$D$38,IF(A719="",0,IF(A719&lt;Pricing!$C$25,Pricing!$D$25,VLOOKUP(Disbursements!$F719,Pricing!$B$29:$D$32,3))))</f>
        <v>0</v>
      </c>
      <c r="M719" s="528">
        <f>IF(E719="STL",0,IF(F719&gt;0,Pricing!$D$21,0))</f>
        <v>0</v>
      </c>
      <c r="N719" s="529">
        <f>IF(E719="STL",F719*Pricing!$D$40,IF(A719&lt;=Pricing!$C$4,0,IF(AND(A719&gt;Pricing!$C$4,Disbursements!A719&lt;=Pricing!$C$5),F719*Pricing!$E$5,IF(AND(A719&gt;Pricing!$C$5,Disbursements!A719&lt;=Pricing!$C$7),VLOOKUP(F719,Pricing!$D$7:$E$8,2)*Disbursements!F719,F719*Pricing!$E$9))))</f>
        <v>0</v>
      </c>
      <c r="O719" s="528">
        <f>IF(E719="STL",0,IF($F719&gt;0,$F719*Pricing!$D$17,0))</f>
        <v>0</v>
      </c>
      <c r="P719" s="530" t="str">
        <f t="shared" si="308"/>
        <v/>
      </c>
      <c r="Q719" s="531" t="str">
        <f>IF($A719="","",$G719/VLOOKUP($I719,Ref!$B$23:$D$29,2,0))</f>
        <v/>
      </c>
      <c r="R719" s="530" t="str">
        <f t="shared" si="309"/>
        <v/>
      </c>
      <c r="S719" s="532" t="str">
        <f t="shared" si="303"/>
        <v/>
      </c>
      <c r="T719" s="531" t="str">
        <f t="shared" si="310"/>
        <v/>
      </c>
      <c r="U719" s="533">
        <f t="shared" si="311"/>
        <v>0</v>
      </c>
      <c r="V719" s="531" t="str">
        <f t="shared" si="312"/>
        <v/>
      </c>
      <c r="W719" s="531" t="str">
        <f t="shared" si="313"/>
        <v/>
      </c>
      <c r="X719" s="534" t="str">
        <f t="shared" si="314"/>
        <v/>
      </c>
      <c r="Y719" s="535" t="str">
        <f>IF($A719="","",IF($I719="weekly",$A719+7,EDATE($A719,VLOOKUP($I719,Ref!$B$24:$C$29,2,0))))</f>
        <v/>
      </c>
      <c r="Z719" s="536" t="str">
        <f t="shared" si="315"/>
        <v/>
      </c>
      <c r="AA719" s="531">
        <f t="shared" si="316"/>
        <v>0</v>
      </c>
      <c r="AB719" s="535" t="str">
        <f t="shared" si="304"/>
        <v/>
      </c>
      <c r="AC719" s="537" t="str">
        <f t="shared" si="305"/>
        <v/>
      </c>
      <c r="AD719" s="538" t="str">
        <f t="shared" ca="1" si="306"/>
        <v/>
      </c>
      <c r="AE719" s="537">
        <f t="shared" ca="1" si="307"/>
        <v>0</v>
      </c>
      <c r="AF719" s="539" t="str">
        <f t="shared" ca="1" si="317"/>
        <v/>
      </c>
      <c r="AG719" s="531" t="str">
        <f t="shared" ca="1" si="318"/>
        <v/>
      </c>
      <c r="AH719" s="531" t="str">
        <f t="shared" ca="1" si="319"/>
        <v/>
      </c>
      <c r="AI719" s="531" t="str">
        <f t="shared" ca="1" si="320"/>
        <v/>
      </c>
      <c r="AJ719" s="531" t="str">
        <f t="shared" si="321"/>
        <v/>
      </c>
      <c r="AK719" s="540">
        <f>SUMIFS('Live Collections'!$S:$S,'Live Collections'!$D:$D,Disbursements!B719,'Live Collections'!$G:$G,Disbursements!C719)</f>
        <v>0</v>
      </c>
      <c r="AL719" s="540">
        <f>SUMIFS('Live Collections'!$T:$T,'Live Collections'!$D:$D,Disbursements!B719,'Live Collections'!$G:$G,Disbursements!C719)</f>
        <v>0</v>
      </c>
      <c r="AM719" s="541">
        <f t="shared" si="322"/>
        <v>0</v>
      </c>
      <c r="AN719" s="542" t="str">
        <f t="shared" si="323"/>
        <v/>
      </c>
      <c r="AO719" s="542" t="str">
        <f t="shared" si="324"/>
        <v/>
      </c>
      <c r="AP719" s="543" t="str">
        <f t="shared" si="325"/>
        <v/>
      </c>
      <c r="AQ719" s="544" t="str">
        <f t="shared" si="326"/>
        <v/>
      </c>
      <c r="AR719" s="545">
        <f t="shared" si="327"/>
        <v>0</v>
      </c>
      <c r="AS719" s="545">
        <f>IFERROR(CEILING($AR719*VLOOKUP($I719,Ref!$B$23:$E$29,4,0),1),0)</f>
        <v>0</v>
      </c>
      <c r="AT719" s="545" t="str">
        <f>IF(A719="","",IF(AP719&lt;=1,"Cleared",IF(AS719=0,"Clean",VLOOKUP($AS719,Ref!$G$23:$H$28,2))))</f>
        <v/>
      </c>
      <c r="AU719" s="546" t="str">
        <f t="shared" si="328"/>
        <v/>
      </c>
    </row>
    <row r="720" spans="1:47" ht="14.25" hidden="1" customHeight="1" x14ac:dyDescent="0.15">
      <c r="A720" s="523"/>
      <c r="B720" s="523"/>
      <c r="C720" s="523"/>
      <c r="D720" s="523"/>
      <c r="E720" s="579"/>
      <c r="F720" s="580"/>
      <c r="G720" s="524"/>
      <c r="H720" s="555"/>
      <c r="I720" s="560"/>
      <c r="J720" s="523"/>
      <c r="K720" s="528" t="str">
        <f>IFERROR(VLOOKUP($B720,'Clients-Live'!$A:$C,3,0),"")</f>
        <v/>
      </c>
      <c r="L720" s="528">
        <f>IF(E720="STL",Pricing!$D$38,IF(A720="",0,IF(A720&lt;Pricing!$C$25,Pricing!$D$25,VLOOKUP(Disbursements!$F720,Pricing!$B$29:$D$32,3))))</f>
        <v>0</v>
      </c>
      <c r="M720" s="528">
        <f>IF(E720="STL",0,IF(F720&gt;0,Pricing!$D$21,0))</f>
        <v>0</v>
      </c>
      <c r="N720" s="529">
        <f>IF(E720="STL",F720*Pricing!$D$40,IF(A720&lt;=Pricing!$C$4,0,IF(AND(A720&gt;Pricing!$C$4,Disbursements!A720&lt;=Pricing!$C$5),F720*Pricing!$E$5,IF(AND(A720&gt;Pricing!$C$5,Disbursements!A720&lt;=Pricing!$C$7),VLOOKUP(F720,Pricing!$D$7:$E$8,2)*Disbursements!F720,F720*Pricing!$E$9))))</f>
        <v>0</v>
      </c>
      <c r="O720" s="528">
        <f>IF(E720="STL",0,IF($F720&gt;0,$F720*Pricing!$D$17,0))</f>
        <v>0</v>
      </c>
      <c r="P720" s="530" t="str">
        <f t="shared" si="308"/>
        <v/>
      </c>
      <c r="Q720" s="531" t="str">
        <f>IF($A720="","",$G720/VLOOKUP($I720,Ref!$B$23:$D$29,2,0))</f>
        <v/>
      </c>
      <c r="R720" s="530" t="str">
        <f t="shared" si="309"/>
        <v/>
      </c>
      <c r="S720" s="532" t="str">
        <f t="shared" si="303"/>
        <v/>
      </c>
      <c r="T720" s="531" t="str">
        <f t="shared" si="310"/>
        <v/>
      </c>
      <c r="U720" s="533">
        <f t="shared" si="311"/>
        <v>0</v>
      </c>
      <c r="V720" s="531" t="str">
        <f t="shared" si="312"/>
        <v/>
      </c>
      <c r="W720" s="531" t="str">
        <f t="shared" si="313"/>
        <v/>
      </c>
      <c r="X720" s="534" t="str">
        <f t="shared" si="314"/>
        <v/>
      </c>
      <c r="Y720" s="535" t="str">
        <f>IF($A720="","",IF($I720="weekly",$A720+7,EDATE($A720,VLOOKUP($I720,Ref!$B$24:$C$29,2,0))))</f>
        <v/>
      </c>
      <c r="Z720" s="536" t="str">
        <f t="shared" si="315"/>
        <v/>
      </c>
      <c r="AA720" s="531">
        <f t="shared" si="316"/>
        <v>0</v>
      </c>
      <c r="AB720" s="535" t="str">
        <f t="shared" si="304"/>
        <v/>
      </c>
      <c r="AC720" s="537" t="str">
        <f t="shared" si="305"/>
        <v/>
      </c>
      <c r="AD720" s="538" t="str">
        <f t="shared" ca="1" si="306"/>
        <v/>
      </c>
      <c r="AE720" s="537">
        <f t="shared" ca="1" si="307"/>
        <v>0</v>
      </c>
      <c r="AF720" s="539" t="str">
        <f t="shared" ca="1" si="317"/>
        <v/>
      </c>
      <c r="AG720" s="531" t="str">
        <f t="shared" ca="1" si="318"/>
        <v/>
      </c>
      <c r="AH720" s="531" t="str">
        <f t="shared" ca="1" si="319"/>
        <v/>
      </c>
      <c r="AI720" s="531" t="str">
        <f t="shared" ca="1" si="320"/>
        <v/>
      </c>
      <c r="AJ720" s="531" t="str">
        <f t="shared" si="321"/>
        <v/>
      </c>
      <c r="AK720" s="540">
        <f>SUMIFS('Live Collections'!$S:$S,'Live Collections'!$D:$D,Disbursements!B720,'Live Collections'!$G:$G,Disbursements!C720)</f>
        <v>0</v>
      </c>
      <c r="AL720" s="540">
        <f>SUMIFS('Live Collections'!$T:$T,'Live Collections'!$D:$D,Disbursements!B720,'Live Collections'!$G:$G,Disbursements!C720)</f>
        <v>0</v>
      </c>
      <c r="AM720" s="541">
        <f t="shared" si="322"/>
        <v>0</v>
      </c>
      <c r="AN720" s="542" t="str">
        <f t="shared" si="323"/>
        <v/>
      </c>
      <c r="AO720" s="542" t="str">
        <f t="shared" si="324"/>
        <v/>
      </c>
      <c r="AP720" s="543" t="str">
        <f t="shared" si="325"/>
        <v/>
      </c>
      <c r="AQ720" s="544" t="str">
        <f t="shared" si="326"/>
        <v/>
      </c>
      <c r="AR720" s="545">
        <f t="shared" si="327"/>
        <v>0</v>
      </c>
      <c r="AS720" s="545">
        <f>IFERROR(CEILING($AR720*VLOOKUP($I720,Ref!$B$23:$E$29,4,0),1),0)</f>
        <v>0</v>
      </c>
      <c r="AT720" s="545" t="str">
        <f>IF(A720="","",IF(AP720&lt;=1,"Cleared",IF(AS720=0,"Clean",VLOOKUP($AS720,Ref!$G$23:$H$28,2))))</f>
        <v/>
      </c>
      <c r="AU720" s="546" t="str">
        <f t="shared" si="328"/>
        <v/>
      </c>
    </row>
    <row r="721" spans="1:47" ht="14.25" hidden="1" customHeight="1" x14ac:dyDescent="0.15">
      <c r="A721" s="523"/>
      <c r="B721" s="523"/>
      <c r="C721" s="523"/>
      <c r="D721" s="523"/>
      <c r="E721" s="579"/>
      <c r="F721" s="580"/>
      <c r="G721" s="524"/>
      <c r="H721" s="555"/>
      <c r="I721" s="560"/>
      <c r="J721" s="523"/>
      <c r="K721" s="528" t="str">
        <f>IFERROR(VLOOKUP($B721,'Clients-Live'!$A:$C,3,0),"")</f>
        <v/>
      </c>
      <c r="L721" s="528">
        <f>IF(E721="STL",Pricing!$D$38,IF(A721="",0,IF(A721&lt;Pricing!$C$25,Pricing!$D$25,VLOOKUP(Disbursements!$F721,Pricing!$B$29:$D$32,3))))</f>
        <v>0</v>
      </c>
      <c r="M721" s="528">
        <f>IF(E721="STL",0,IF(F721&gt;0,Pricing!$D$21,0))</f>
        <v>0</v>
      </c>
      <c r="N721" s="529">
        <f>IF(E721="STL",F721*Pricing!$D$40,IF(A721&lt;=Pricing!$C$4,0,IF(AND(A721&gt;Pricing!$C$4,Disbursements!A721&lt;=Pricing!$C$5),F721*Pricing!$E$5,IF(AND(A721&gt;Pricing!$C$5,Disbursements!A721&lt;=Pricing!$C$7),VLOOKUP(F721,Pricing!$D$7:$E$8,2)*Disbursements!F721,F721*Pricing!$E$9))))</f>
        <v>0</v>
      </c>
      <c r="O721" s="528">
        <f>IF(E721="STL",0,IF($F721&gt;0,$F721*Pricing!$D$17,0))</f>
        <v>0</v>
      </c>
      <c r="P721" s="530" t="str">
        <f t="shared" si="308"/>
        <v/>
      </c>
      <c r="Q721" s="531" t="str">
        <f>IF($A721="","",$G721/VLOOKUP($I721,Ref!$B$23:$D$29,2,0))</f>
        <v/>
      </c>
      <c r="R721" s="530" t="str">
        <f t="shared" si="309"/>
        <v/>
      </c>
      <c r="S721" s="532" t="str">
        <f t="shared" si="303"/>
        <v/>
      </c>
      <c r="T721" s="531" t="str">
        <f t="shared" si="310"/>
        <v/>
      </c>
      <c r="U721" s="533">
        <f t="shared" si="311"/>
        <v>0</v>
      </c>
      <c r="V721" s="531" t="str">
        <f t="shared" si="312"/>
        <v/>
      </c>
      <c r="W721" s="531" t="str">
        <f t="shared" si="313"/>
        <v/>
      </c>
      <c r="X721" s="534" t="str">
        <f t="shared" si="314"/>
        <v/>
      </c>
      <c r="Y721" s="535" t="str">
        <f>IF($A721="","",IF($I721="weekly",$A721+7,EDATE($A721,VLOOKUP($I721,Ref!$B$24:$C$29,2,0))))</f>
        <v/>
      </c>
      <c r="Z721" s="536" t="str">
        <f t="shared" si="315"/>
        <v/>
      </c>
      <c r="AA721" s="531">
        <f t="shared" si="316"/>
        <v>0</v>
      </c>
      <c r="AB721" s="535" t="str">
        <f t="shared" si="304"/>
        <v/>
      </c>
      <c r="AC721" s="537" t="str">
        <f t="shared" si="305"/>
        <v/>
      </c>
      <c r="AD721" s="538" t="str">
        <f t="shared" ca="1" si="306"/>
        <v/>
      </c>
      <c r="AE721" s="537">
        <f t="shared" ca="1" si="307"/>
        <v>0</v>
      </c>
      <c r="AF721" s="539" t="str">
        <f t="shared" ca="1" si="317"/>
        <v/>
      </c>
      <c r="AG721" s="531" t="str">
        <f t="shared" ca="1" si="318"/>
        <v/>
      </c>
      <c r="AH721" s="531" t="str">
        <f t="shared" ca="1" si="319"/>
        <v/>
      </c>
      <c r="AI721" s="531" t="str">
        <f t="shared" ca="1" si="320"/>
        <v/>
      </c>
      <c r="AJ721" s="531" t="str">
        <f t="shared" si="321"/>
        <v/>
      </c>
      <c r="AK721" s="540">
        <f>SUMIFS('Live Collections'!$S:$S,'Live Collections'!$D:$D,Disbursements!B721,'Live Collections'!$G:$G,Disbursements!C721)</f>
        <v>0</v>
      </c>
      <c r="AL721" s="540">
        <f>SUMIFS('Live Collections'!$T:$T,'Live Collections'!$D:$D,Disbursements!B721,'Live Collections'!$G:$G,Disbursements!C721)</f>
        <v>0</v>
      </c>
      <c r="AM721" s="541">
        <f t="shared" si="322"/>
        <v>0</v>
      </c>
      <c r="AN721" s="542" t="str">
        <f t="shared" si="323"/>
        <v/>
      </c>
      <c r="AO721" s="542" t="str">
        <f t="shared" si="324"/>
        <v/>
      </c>
      <c r="AP721" s="543" t="str">
        <f t="shared" si="325"/>
        <v/>
      </c>
      <c r="AQ721" s="544" t="str">
        <f t="shared" si="326"/>
        <v/>
      </c>
      <c r="AR721" s="545">
        <f t="shared" si="327"/>
        <v>0</v>
      </c>
      <c r="AS721" s="545">
        <f>IFERROR(CEILING($AR721*VLOOKUP($I721,Ref!$B$23:$E$29,4,0),1),0)</f>
        <v>0</v>
      </c>
      <c r="AT721" s="545" t="str">
        <f>IF(A721="","",IF(AP721&lt;=1,"Cleared",IF(AS721=0,"Clean",VLOOKUP($AS721,Ref!$G$23:$H$28,2))))</f>
        <v/>
      </c>
      <c r="AU721" s="546" t="str">
        <f t="shared" si="328"/>
        <v/>
      </c>
    </row>
    <row r="722" spans="1:47" ht="14.25" hidden="1" customHeight="1" x14ac:dyDescent="0.15">
      <c r="A722" s="523"/>
      <c r="B722" s="523"/>
      <c r="C722" s="523"/>
      <c r="D722" s="523"/>
      <c r="E722" s="579"/>
      <c r="F722" s="580"/>
      <c r="G722" s="524"/>
      <c r="H722" s="555"/>
      <c r="I722" s="560"/>
      <c r="J722" s="523"/>
      <c r="K722" s="528" t="str">
        <f>IFERROR(VLOOKUP($B722,'Clients-Live'!$A:$C,3,0),"")</f>
        <v/>
      </c>
      <c r="L722" s="528">
        <f>IF(E722="STL",Pricing!$D$38,IF(A722="",0,IF(A722&lt;Pricing!$C$25,Pricing!$D$25,VLOOKUP(Disbursements!$F722,Pricing!$B$29:$D$32,3))))</f>
        <v>0</v>
      </c>
      <c r="M722" s="528">
        <f>IF(E722="STL",0,IF(F722&gt;0,Pricing!$D$21,0))</f>
        <v>0</v>
      </c>
      <c r="N722" s="529">
        <f>IF(E722="STL",F722*Pricing!$D$40,IF(A722&lt;=Pricing!$C$4,0,IF(AND(A722&gt;Pricing!$C$4,Disbursements!A722&lt;=Pricing!$C$5),F722*Pricing!$E$5,IF(AND(A722&gt;Pricing!$C$5,Disbursements!A722&lt;=Pricing!$C$7),VLOOKUP(F722,Pricing!$D$7:$E$8,2)*Disbursements!F722,F722*Pricing!$E$9))))</f>
        <v>0</v>
      </c>
      <c r="O722" s="528">
        <f>IF(E722="STL",0,IF($F722&gt;0,$F722*Pricing!$D$17,0))</f>
        <v>0</v>
      </c>
      <c r="P722" s="530" t="str">
        <f t="shared" si="308"/>
        <v/>
      </c>
      <c r="Q722" s="531" t="str">
        <f>IF($A722="","",$G722/VLOOKUP($I722,Ref!$B$23:$D$29,2,0))</f>
        <v/>
      </c>
      <c r="R722" s="530" t="str">
        <f t="shared" si="309"/>
        <v/>
      </c>
      <c r="S722" s="532" t="str">
        <f t="shared" si="303"/>
        <v/>
      </c>
      <c r="T722" s="531" t="str">
        <f t="shared" si="310"/>
        <v/>
      </c>
      <c r="U722" s="533">
        <f t="shared" si="311"/>
        <v>0</v>
      </c>
      <c r="V722" s="531" t="str">
        <f t="shared" si="312"/>
        <v/>
      </c>
      <c r="W722" s="531" t="str">
        <f t="shared" si="313"/>
        <v/>
      </c>
      <c r="X722" s="534" t="str">
        <f t="shared" si="314"/>
        <v/>
      </c>
      <c r="Y722" s="535" t="str">
        <f>IF($A722="","",IF($I722="weekly",$A722+7,EDATE($A722,VLOOKUP($I722,Ref!$B$24:$C$29,2,0))))</f>
        <v/>
      </c>
      <c r="Z722" s="536" t="str">
        <f t="shared" si="315"/>
        <v/>
      </c>
      <c r="AA722" s="531">
        <f t="shared" si="316"/>
        <v>0</v>
      </c>
      <c r="AB722" s="535" t="str">
        <f t="shared" si="304"/>
        <v/>
      </c>
      <c r="AC722" s="537" t="str">
        <f t="shared" si="305"/>
        <v/>
      </c>
      <c r="AD722" s="538" t="str">
        <f t="shared" ca="1" si="306"/>
        <v/>
      </c>
      <c r="AE722" s="537">
        <f t="shared" ca="1" si="307"/>
        <v>0</v>
      </c>
      <c r="AF722" s="539" t="str">
        <f t="shared" ca="1" si="317"/>
        <v/>
      </c>
      <c r="AG722" s="531" t="str">
        <f t="shared" ca="1" si="318"/>
        <v/>
      </c>
      <c r="AH722" s="531" t="str">
        <f t="shared" ca="1" si="319"/>
        <v/>
      </c>
      <c r="AI722" s="531" t="str">
        <f t="shared" ca="1" si="320"/>
        <v/>
      </c>
      <c r="AJ722" s="531" t="str">
        <f t="shared" si="321"/>
        <v/>
      </c>
      <c r="AK722" s="540">
        <f>SUMIFS('Live Collections'!$S:$S,'Live Collections'!$D:$D,Disbursements!B722,'Live Collections'!$G:$G,Disbursements!C722)</f>
        <v>0</v>
      </c>
      <c r="AL722" s="540">
        <f>SUMIFS('Live Collections'!$T:$T,'Live Collections'!$D:$D,Disbursements!B722,'Live Collections'!$G:$G,Disbursements!C722)</f>
        <v>0</v>
      </c>
      <c r="AM722" s="541">
        <f t="shared" si="322"/>
        <v>0</v>
      </c>
      <c r="AN722" s="542" t="str">
        <f t="shared" si="323"/>
        <v/>
      </c>
      <c r="AO722" s="542" t="str">
        <f t="shared" si="324"/>
        <v/>
      </c>
      <c r="AP722" s="543" t="str">
        <f t="shared" si="325"/>
        <v/>
      </c>
      <c r="AQ722" s="544" t="str">
        <f t="shared" si="326"/>
        <v/>
      </c>
      <c r="AR722" s="545">
        <f t="shared" si="327"/>
        <v>0</v>
      </c>
      <c r="AS722" s="545">
        <f>IFERROR(CEILING($AR722*VLOOKUP($I722,Ref!$B$23:$E$29,4,0),1),0)</f>
        <v>0</v>
      </c>
      <c r="AT722" s="545" t="str">
        <f>IF(A722="","",IF(AP722&lt;=1,"Cleared",IF(AS722=0,"Clean",VLOOKUP($AS722,Ref!$G$23:$H$28,2))))</f>
        <v/>
      </c>
      <c r="AU722" s="546" t="str">
        <f t="shared" si="328"/>
        <v/>
      </c>
    </row>
    <row r="723" spans="1:47" ht="14.25" hidden="1" customHeight="1" x14ac:dyDescent="0.15">
      <c r="A723" s="523"/>
      <c r="B723" s="523"/>
      <c r="C723" s="523"/>
      <c r="D723" s="523"/>
      <c r="E723" s="579"/>
      <c r="F723" s="580"/>
      <c r="G723" s="524"/>
      <c r="H723" s="555"/>
      <c r="I723" s="560"/>
      <c r="J723" s="523"/>
      <c r="K723" s="528" t="str">
        <f>IFERROR(VLOOKUP($B723,'Clients-Live'!$A:$C,3,0),"")</f>
        <v/>
      </c>
      <c r="L723" s="528">
        <f>IF(E723="STL",Pricing!$D$38,IF(A723="",0,IF(A723&lt;Pricing!$C$25,Pricing!$D$25,VLOOKUP(Disbursements!$F723,Pricing!$B$29:$D$32,3))))</f>
        <v>0</v>
      </c>
      <c r="M723" s="528">
        <f>IF(E723="STL",0,IF(F723&gt;0,Pricing!$D$21,0))</f>
        <v>0</v>
      </c>
      <c r="N723" s="529">
        <f>IF(E723="STL",F723*Pricing!$D$40,IF(A723&lt;=Pricing!$C$4,0,IF(AND(A723&gt;Pricing!$C$4,Disbursements!A723&lt;=Pricing!$C$5),F723*Pricing!$E$5,IF(AND(A723&gt;Pricing!$C$5,Disbursements!A723&lt;=Pricing!$C$7),VLOOKUP(F723,Pricing!$D$7:$E$8,2)*Disbursements!F723,F723*Pricing!$E$9))))</f>
        <v>0</v>
      </c>
      <c r="O723" s="528">
        <f>IF(E723="STL",0,IF($F723&gt;0,$F723*Pricing!$D$17,0))</f>
        <v>0</v>
      </c>
      <c r="P723" s="530" t="str">
        <f t="shared" si="308"/>
        <v/>
      </c>
      <c r="Q723" s="531" t="str">
        <f>IF($A723="","",$G723/VLOOKUP($I723,Ref!$B$23:$D$29,2,0))</f>
        <v/>
      </c>
      <c r="R723" s="530" t="str">
        <f t="shared" si="309"/>
        <v/>
      </c>
      <c r="S723" s="532" t="str">
        <f t="shared" si="303"/>
        <v/>
      </c>
      <c r="T723" s="531" t="str">
        <f t="shared" si="310"/>
        <v/>
      </c>
      <c r="U723" s="533">
        <f t="shared" si="311"/>
        <v>0</v>
      </c>
      <c r="V723" s="531" t="str">
        <f t="shared" si="312"/>
        <v/>
      </c>
      <c r="W723" s="531" t="str">
        <f t="shared" si="313"/>
        <v/>
      </c>
      <c r="X723" s="534" t="str">
        <f t="shared" si="314"/>
        <v/>
      </c>
      <c r="Y723" s="535" t="str">
        <f>IF($A723="","",IF($I723="weekly",$A723+7,EDATE($A723,VLOOKUP($I723,Ref!$B$24:$C$29,2,0))))</f>
        <v/>
      </c>
      <c r="Z723" s="536" t="str">
        <f t="shared" si="315"/>
        <v/>
      </c>
      <c r="AA723" s="531">
        <f t="shared" si="316"/>
        <v>0</v>
      </c>
      <c r="AB723" s="535" t="str">
        <f t="shared" si="304"/>
        <v/>
      </c>
      <c r="AC723" s="537" t="str">
        <f t="shared" si="305"/>
        <v/>
      </c>
      <c r="AD723" s="538" t="str">
        <f t="shared" ca="1" si="306"/>
        <v/>
      </c>
      <c r="AE723" s="537">
        <f t="shared" ca="1" si="307"/>
        <v>0</v>
      </c>
      <c r="AF723" s="539" t="str">
        <f t="shared" ca="1" si="317"/>
        <v/>
      </c>
      <c r="AG723" s="531" t="str">
        <f t="shared" ca="1" si="318"/>
        <v/>
      </c>
      <c r="AH723" s="531" t="str">
        <f t="shared" ca="1" si="319"/>
        <v/>
      </c>
      <c r="AI723" s="531" t="str">
        <f t="shared" ca="1" si="320"/>
        <v/>
      </c>
      <c r="AJ723" s="531" t="str">
        <f t="shared" si="321"/>
        <v/>
      </c>
      <c r="AK723" s="540">
        <f>SUMIFS('Live Collections'!$S:$S,'Live Collections'!$D:$D,Disbursements!B723,'Live Collections'!$G:$G,Disbursements!C723)</f>
        <v>0</v>
      </c>
      <c r="AL723" s="540">
        <f>SUMIFS('Live Collections'!$T:$T,'Live Collections'!$D:$D,Disbursements!B723,'Live Collections'!$G:$G,Disbursements!C723)</f>
        <v>0</v>
      </c>
      <c r="AM723" s="541">
        <f t="shared" si="322"/>
        <v>0</v>
      </c>
      <c r="AN723" s="542" t="str">
        <f t="shared" si="323"/>
        <v/>
      </c>
      <c r="AO723" s="542" t="str">
        <f t="shared" si="324"/>
        <v/>
      </c>
      <c r="AP723" s="543" t="str">
        <f t="shared" si="325"/>
        <v/>
      </c>
      <c r="AQ723" s="544" t="str">
        <f t="shared" si="326"/>
        <v/>
      </c>
      <c r="AR723" s="545">
        <f t="shared" si="327"/>
        <v>0</v>
      </c>
      <c r="AS723" s="545">
        <f>IFERROR(CEILING($AR723*VLOOKUP($I723,Ref!$B$23:$E$29,4,0),1),0)</f>
        <v>0</v>
      </c>
      <c r="AT723" s="545" t="str">
        <f>IF(A723="","",IF(AP723&lt;=1,"Cleared",IF(AS723=0,"Clean",VLOOKUP($AS723,Ref!$G$23:$H$28,2))))</f>
        <v/>
      </c>
      <c r="AU723" s="546" t="str">
        <f t="shared" si="328"/>
        <v/>
      </c>
    </row>
    <row r="724" spans="1:47" ht="14.25" hidden="1" customHeight="1" x14ac:dyDescent="0.15">
      <c r="A724" s="523"/>
      <c r="B724" s="523"/>
      <c r="C724" s="523"/>
      <c r="D724" s="523"/>
      <c r="E724" s="579"/>
      <c r="F724" s="580"/>
      <c r="G724" s="524"/>
      <c r="H724" s="555"/>
      <c r="I724" s="560"/>
      <c r="J724" s="523"/>
      <c r="K724" s="528" t="str">
        <f>IFERROR(VLOOKUP($B724,'Clients-Live'!$A:$C,3,0),"")</f>
        <v/>
      </c>
      <c r="L724" s="528">
        <f>IF(E724="STL",Pricing!$D$38,IF(A724="",0,IF(A724&lt;Pricing!$C$25,Pricing!$D$25,VLOOKUP(Disbursements!$F724,Pricing!$B$29:$D$32,3))))</f>
        <v>0</v>
      </c>
      <c r="M724" s="528">
        <f>IF(E724="STL",0,IF(F724&gt;0,Pricing!$D$21,0))</f>
        <v>0</v>
      </c>
      <c r="N724" s="529">
        <f>IF(E724="STL",F724*Pricing!$D$40,IF(A724&lt;=Pricing!$C$4,0,IF(AND(A724&gt;Pricing!$C$4,Disbursements!A724&lt;=Pricing!$C$5),F724*Pricing!$E$5,IF(AND(A724&gt;Pricing!$C$5,Disbursements!A724&lt;=Pricing!$C$7),VLOOKUP(F724,Pricing!$D$7:$E$8,2)*Disbursements!F724,F724*Pricing!$E$9))))</f>
        <v>0</v>
      </c>
      <c r="O724" s="528">
        <f>IF(E724="STL",0,IF($F724&gt;0,$F724*Pricing!$D$17,0))</f>
        <v>0</v>
      </c>
      <c r="P724" s="530" t="str">
        <f t="shared" si="308"/>
        <v/>
      </c>
      <c r="Q724" s="531" t="str">
        <f>IF($A724="","",$G724/VLOOKUP($I724,Ref!$B$23:$D$29,2,0))</f>
        <v/>
      </c>
      <c r="R724" s="530" t="str">
        <f t="shared" si="309"/>
        <v/>
      </c>
      <c r="S724" s="532" t="str">
        <f t="shared" si="303"/>
        <v/>
      </c>
      <c r="T724" s="531" t="str">
        <f t="shared" si="310"/>
        <v/>
      </c>
      <c r="U724" s="533">
        <f t="shared" si="311"/>
        <v>0</v>
      </c>
      <c r="V724" s="531" t="str">
        <f t="shared" si="312"/>
        <v/>
      </c>
      <c r="W724" s="531" t="str">
        <f t="shared" si="313"/>
        <v/>
      </c>
      <c r="X724" s="534" t="str">
        <f t="shared" si="314"/>
        <v/>
      </c>
      <c r="Y724" s="535" t="str">
        <f>IF($A724="","",IF($I724="weekly",$A724+7,EDATE($A724,VLOOKUP($I724,Ref!$B$24:$C$29,2,0))))</f>
        <v/>
      </c>
      <c r="Z724" s="536" t="str">
        <f t="shared" si="315"/>
        <v/>
      </c>
      <c r="AA724" s="531">
        <f t="shared" si="316"/>
        <v>0</v>
      </c>
      <c r="AB724" s="535" t="str">
        <f t="shared" si="304"/>
        <v/>
      </c>
      <c r="AC724" s="537" t="str">
        <f t="shared" si="305"/>
        <v/>
      </c>
      <c r="AD724" s="538" t="str">
        <f t="shared" ca="1" si="306"/>
        <v/>
      </c>
      <c r="AE724" s="537">
        <f t="shared" ca="1" si="307"/>
        <v>0</v>
      </c>
      <c r="AF724" s="539" t="str">
        <f t="shared" ca="1" si="317"/>
        <v/>
      </c>
      <c r="AG724" s="531" t="str">
        <f t="shared" ca="1" si="318"/>
        <v/>
      </c>
      <c r="AH724" s="531" t="str">
        <f t="shared" ca="1" si="319"/>
        <v/>
      </c>
      <c r="AI724" s="531" t="str">
        <f t="shared" ca="1" si="320"/>
        <v/>
      </c>
      <c r="AJ724" s="531" t="str">
        <f t="shared" si="321"/>
        <v/>
      </c>
      <c r="AK724" s="540">
        <f>SUMIFS('Live Collections'!$S:$S,'Live Collections'!$D:$D,Disbursements!B724,'Live Collections'!$G:$G,Disbursements!C724)</f>
        <v>0</v>
      </c>
      <c r="AL724" s="540">
        <f>SUMIFS('Live Collections'!$T:$T,'Live Collections'!$D:$D,Disbursements!B724,'Live Collections'!$G:$G,Disbursements!C724)</f>
        <v>0</v>
      </c>
      <c r="AM724" s="541">
        <f t="shared" si="322"/>
        <v>0</v>
      </c>
      <c r="AN724" s="542" t="str">
        <f t="shared" si="323"/>
        <v/>
      </c>
      <c r="AO724" s="542" t="str">
        <f t="shared" si="324"/>
        <v/>
      </c>
      <c r="AP724" s="543" t="str">
        <f t="shared" si="325"/>
        <v/>
      </c>
      <c r="AQ724" s="544" t="str">
        <f t="shared" si="326"/>
        <v/>
      </c>
      <c r="AR724" s="545">
        <f t="shared" si="327"/>
        <v>0</v>
      </c>
      <c r="AS724" s="545">
        <f>IFERROR(CEILING($AR724*VLOOKUP($I724,Ref!$B$23:$E$29,4,0),1),0)</f>
        <v>0</v>
      </c>
      <c r="AT724" s="545" t="str">
        <f>IF(A724="","",IF(AP724&lt;=1,"Cleared",IF(AS724=0,"Clean",VLOOKUP($AS724,Ref!$G$23:$H$28,2))))</f>
        <v/>
      </c>
      <c r="AU724" s="546" t="str">
        <f t="shared" si="328"/>
        <v/>
      </c>
    </row>
    <row r="725" spans="1:47" ht="14.25" hidden="1" customHeight="1" x14ac:dyDescent="0.15">
      <c r="A725" s="523"/>
      <c r="B725" s="523"/>
      <c r="C725" s="523"/>
      <c r="D725" s="523"/>
      <c r="E725" s="579"/>
      <c r="F725" s="580"/>
      <c r="G725" s="524"/>
      <c r="H725" s="555"/>
      <c r="I725" s="560"/>
      <c r="J725" s="523"/>
      <c r="K725" s="528" t="str">
        <f>IFERROR(VLOOKUP($B725,'Clients-Live'!$A:$C,3,0),"")</f>
        <v/>
      </c>
      <c r="L725" s="528">
        <f>IF(E725="STL",Pricing!$D$38,IF(A725="",0,IF(A725&lt;Pricing!$C$25,Pricing!$D$25,VLOOKUP(Disbursements!$F725,Pricing!$B$29:$D$32,3))))</f>
        <v>0</v>
      </c>
      <c r="M725" s="528">
        <f>IF(E725="STL",0,IF(F725&gt;0,Pricing!$D$21,0))</f>
        <v>0</v>
      </c>
      <c r="N725" s="529">
        <f>IF(E725="STL",F725*Pricing!$D$40,IF(A725&lt;=Pricing!$C$4,0,IF(AND(A725&gt;Pricing!$C$4,Disbursements!A725&lt;=Pricing!$C$5),F725*Pricing!$E$5,IF(AND(A725&gt;Pricing!$C$5,Disbursements!A725&lt;=Pricing!$C$7),VLOOKUP(F725,Pricing!$D$7:$E$8,2)*Disbursements!F725,F725*Pricing!$E$9))))</f>
        <v>0</v>
      </c>
      <c r="O725" s="528">
        <f>IF(E725="STL",0,IF($F725&gt;0,$F725*Pricing!$D$17,0))</f>
        <v>0</v>
      </c>
      <c r="P725" s="530" t="str">
        <f t="shared" si="308"/>
        <v/>
      </c>
      <c r="Q725" s="531" t="str">
        <f>IF($A725="","",$G725/VLOOKUP($I725,Ref!$B$23:$D$29,2,0))</f>
        <v/>
      </c>
      <c r="R725" s="530" t="str">
        <f t="shared" si="309"/>
        <v/>
      </c>
      <c r="S725" s="532" t="str">
        <f t="shared" si="303"/>
        <v/>
      </c>
      <c r="T725" s="531" t="str">
        <f t="shared" si="310"/>
        <v/>
      </c>
      <c r="U725" s="533">
        <f t="shared" si="311"/>
        <v>0</v>
      </c>
      <c r="V725" s="531" t="str">
        <f t="shared" si="312"/>
        <v/>
      </c>
      <c r="W725" s="531" t="str">
        <f t="shared" si="313"/>
        <v/>
      </c>
      <c r="X725" s="534" t="str">
        <f t="shared" si="314"/>
        <v/>
      </c>
      <c r="Y725" s="535" t="str">
        <f>IF($A725="","",IF($I725="weekly",$A725+7,EDATE($A725,VLOOKUP($I725,Ref!$B$24:$C$29,2,0))))</f>
        <v/>
      </c>
      <c r="Z725" s="536" t="str">
        <f t="shared" si="315"/>
        <v/>
      </c>
      <c r="AA725" s="531">
        <f t="shared" si="316"/>
        <v>0</v>
      </c>
      <c r="AB725" s="535" t="str">
        <f t="shared" si="304"/>
        <v/>
      </c>
      <c r="AC725" s="537" t="str">
        <f t="shared" si="305"/>
        <v/>
      </c>
      <c r="AD725" s="538" t="str">
        <f t="shared" ca="1" si="306"/>
        <v/>
      </c>
      <c r="AE725" s="537">
        <f t="shared" ca="1" si="307"/>
        <v>0</v>
      </c>
      <c r="AF725" s="539" t="str">
        <f t="shared" ca="1" si="317"/>
        <v/>
      </c>
      <c r="AG725" s="531" t="str">
        <f t="shared" ca="1" si="318"/>
        <v/>
      </c>
      <c r="AH725" s="531" t="str">
        <f t="shared" ca="1" si="319"/>
        <v/>
      </c>
      <c r="AI725" s="531" t="str">
        <f t="shared" ca="1" si="320"/>
        <v/>
      </c>
      <c r="AJ725" s="531" t="str">
        <f t="shared" si="321"/>
        <v/>
      </c>
      <c r="AK725" s="540">
        <f>SUMIFS('Live Collections'!$S:$S,'Live Collections'!$D:$D,Disbursements!B725,'Live Collections'!$G:$G,Disbursements!C725)</f>
        <v>0</v>
      </c>
      <c r="AL725" s="540">
        <f>SUMIFS('Live Collections'!$T:$T,'Live Collections'!$D:$D,Disbursements!B725,'Live Collections'!$G:$G,Disbursements!C725)</f>
        <v>0</v>
      </c>
      <c r="AM725" s="541">
        <f t="shared" si="322"/>
        <v>0</v>
      </c>
      <c r="AN725" s="542" t="str">
        <f t="shared" si="323"/>
        <v/>
      </c>
      <c r="AO725" s="542" t="str">
        <f t="shared" si="324"/>
        <v/>
      </c>
      <c r="AP725" s="543" t="str">
        <f t="shared" si="325"/>
        <v/>
      </c>
      <c r="AQ725" s="544" t="str">
        <f t="shared" si="326"/>
        <v/>
      </c>
      <c r="AR725" s="545">
        <f t="shared" si="327"/>
        <v>0</v>
      </c>
      <c r="AS725" s="545">
        <f>IFERROR(CEILING($AR725*VLOOKUP($I725,Ref!$B$23:$E$29,4,0),1),0)</f>
        <v>0</v>
      </c>
      <c r="AT725" s="545" t="str">
        <f>IF(A725="","",IF(AP725&lt;=1,"Cleared",IF(AS725=0,"Clean",VLOOKUP($AS725,Ref!$G$23:$H$28,2))))</f>
        <v/>
      </c>
      <c r="AU725" s="546" t="str">
        <f t="shared" si="328"/>
        <v/>
      </c>
    </row>
    <row r="726" spans="1:47" ht="14.25" hidden="1" customHeight="1" x14ac:dyDescent="0.15">
      <c r="A726" s="523"/>
      <c r="B726" s="523"/>
      <c r="C726" s="523"/>
      <c r="D726" s="523"/>
      <c r="E726" s="579"/>
      <c r="F726" s="580"/>
      <c r="G726" s="524"/>
      <c r="H726" s="555"/>
      <c r="I726" s="560"/>
      <c r="J726" s="523"/>
      <c r="K726" s="528" t="str">
        <f>IFERROR(VLOOKUP($B726,'Clients-Live'!$A:$C,3,0),"")</f>
        <v/>
      </c>
      <c r="L726" s="528">
        <f>IF(E726="STL",Pricing!$D$38,IF(A726="",0,IF(A726&lt;Pricing!$C$25,Pricing!$D$25,VLOOKUP(Disbursements!$F726,Pricing!$B$29:$D$32,3))))</f>
        <v>0</v>
      </c>
      <c r="M726" s="528">
        <f>IF(E726="STL",0,IF(F726&gt;0,Pricing!$D$21,0))</f>
        <v>0</v>
      </c>
      <c r="N726" s="529">
        <f>IF(E726="STL",F726*Pricing!$D$40,IF(A726&lt;=Pricing!$C$4,0,IF(AND(A726&gt;Pricing!$C$4,Disbursements!A726&lt;=Pricing!$C$5),F726*Pricing!$E$5,IF(AND(A726&gt;Pricing!$C$5,Disbursements!A726&lt;=Pricing!$C$7),VLOOKUP(F726,Pricing!$D$7:$E$8,2)*Disbursements!F726,F726*Pricing!$E$9))))</f>
        <v>0</v>
      </c>
      <c r="O726" s="528">
        <f>IF(E726="STL",0,IF($F726&gt;0,$F726*Pricing!$D$17,0))</f>
        <v>0</v>
      </c>
      <c r="P726" s="530" t="str">
        <f t="shared" si="308"/>
        <v/>
      </c>
      <c r="Q726" s="531" t="str">
        <f>IF($A726="","",$G726/VLOOKUP($I726,Ref!$B$23:$D$29,2,0))</f>
        <v/>
      </c>
      <c r="R726" s="530" t="str">
        <f t="shared" si="309"/>
        <v/>
      </c>
      <c r="S726" s="532" t="str">
        <f t="shared" si="303"/>
        <v/>
      </c>
      <c r="T726" s="531" t="str">
        <f t="shared" si="310"/>
        <v/>
      </c>
      <c r="U726" s="533">
        <f t="shared" si="311"/>
        <v>0</v>
      </c>
      <c r="V726" s="531" t="str">
        <f t="shared" si="312"/>
        <v/>
      </c>
      <c r="W726" s="531" t="str">
        <f t="shared" si="313"/>
        <v/>
      </c>
      <c r="X726" s="534" t="str">
        <f t="shared" si="314"/>
        <v/>
      </c>
      <c r="Y726" s="535" t="str">
        <f>IF($A726="","",IF($I726="weekly",$A726+7,EDATE($A726,VLOOKUP($I726,Ref!$B$24:$C$29,2,0))))</f>
        <v/>
      </c>
      <c r="Z726" s="536" t="str">
        <f t="shared" si="315"/>
        <v/>
      </c>
      <c r="AA726" s="531">
        <f t="shared" si="316"/>
        <v>0</v>
      </c>
      <c r="AB726" s="535" t="str">
        <f t="shared" si="304"/>
        <v/>
      </c>
      <c r="AC726" s="537" t="str">
        <f t="shared" si="305"/>
        <v/>
      </c>
      <c r="AD726" s="538" t="str">
        <f t="shared" ca="1" si="306"/>
        <v/>
      </c>
      <c r="AE726" s="537">
        <f t="shared" ca="1" si="307"/>
        <v>0</v>
      </c>
      <c r="AF726" s="539" t="str">
        <f t="shared" ca="1" si="317"/>
        <v/>
      </c>
      <c r="AG726" s="531" t="str">
        <f t="shared" ca="1" si="318"/>
        <v/>
      </c>
      <c r="AH726" s="531" t="str">
        <f t="shared" ca="1" si="319"/>
        <v/>
      </c>
      <c r="AI726" s="531" t="str">
        <f t="shared" ca="1" si="320"/>
        <v/>
      </c>
      <c r="AJ726" s="531" t="str">
        <f t="shared" si="321"/>
        <v/>
      </c>
      <c r="AK726" s="540">
        <f>SUMIFS('Live Collections'!$S:$S,'Live Collections'!$D:$D,Disbursements!B726,'Live Collections'!$G:$G,Disbursements!C726)</f>
        <v>0</v>
      </c>
      <c r="AL726" s="540">
        <f>SUMIFS('Live Collections'!$T:$T,'Live Collections'!$D:$D,Disbursements!B726,'Live Collections'!$G:$G,Disbursements!C726)</f>
        <v>0</v>
      </c>
      <c r="AM726" s="541">
        <f t="shared" si="322"/>
        <v>0</v>
      </c>
      <c r="AN726" s="542" t="str">
        <f t="shared" si="323"/>
        <v/>
      </c>
      <c r="AO726" s="542" t="str">
        <f t="shared" si="324"/>
        <v/>
      </c>
      <c r="AP726" s="543" t="str">
        <f t="shared" si="325"/>
        <v/>
      </c>
      <c r="AQ726" s="544" t="str">
        <f t="shared" si="326"/>
        <v/>
      </c>
      <c r="AR726" s="545">
        <f t="shared" si="327"/>
        <v>0</v>
      </c>
      <c r="AS726" s="545">
        <f>IFERROR(CEILING($AR726*VLOOKUP($I726,Ref!$B$23:$E$29,4,0),1),0)</f>
        <v>0</v>
      </c>
      <c r="AT726" s="545" t="str">
        <f>IF(A726="","",IF(AP726&lt;=1,"Cleared",IF(AS726=0,"Clean",VLOOKUP($AS726,Ref!$G$23:$H$28,2))))</f>
        <v/>
      </c>
      <c r="AU726" s="546" t="str">
        <f t="shared" si="328"/>
        <v/>
      </c>
    </row>
    <row r="727" spans="1:47" ht="14.25" hidden="1" customHeight="1" x14ac:dyDescent="0.15">
      <c r="A727" s="523"/>
      <c r="B727" s="523"/>
      <c r="C727" s="523"/>
      <c r="D727" s="523"/>
      <c r="E727" s="579"/>
      <c r="F727" s="580"/>
      <c r="G727" s="524"/>
      <c r="H727" s="555"/>
      <c r="I727" s="560"/>
      <c r="J727" s="523"/>
      <c r="K727" s="528" t="str">
        <f>IFERROR(VLOOKUP($B727,'Clients-Live'!$A:$C,3,0),"")</f>
        <v/>
      </c>
      <c r="L727" s="528">
        <f>IF(E727="STL",Pricing!$D$38,IF(A727="",0,IF(A727&lt;Pricing!$C$25,Pricing!$D$25,VLOOKUP(Disbursements!$F727,Pricing!$B$29:$D$32,3))))</f>
        <v>0</v>
      </c>
      <c r="M727" s="528">
        <f>IF(E727="STL",0,IF(F727&gt;0,Pricing!$D$21,0))</f>
        <v>0</v>
      </c>
      <c r="N727" s="529">
        <f>IF(E727="STL",F727*Pricing!$D$40,IF(A727&lt;=Pricing!$C$4,0,IF(AND(A727&gt;Pricing!$C$4,Disbursements!A727&lt;=Pricing!$C$5),F727*Pricing!$E$5,IF(AND(A727&gt;Pricing!$C$5,Disbursements!A727&lt;=Pricing!$C$7),VLOOKUP(F727,Pricing!$D$7:$E$8,2)*Disbursements!F727,F727*Pricing!$E$9))))</f>
        <v>0</v>
      </c>
      <c r="O727" s="528">
        <f>IF(E727="STL",0,IF($F727&gt;0,$F727*Pricing!$D$17,0))</f>
        <v>0</v>
      </c>
      <c r="P727" s="530" t="str">
        <f t="shared" si="308"/>
        <v/>
      </c>
      <c r="Q727" s="531" t="str">
        <f>IF($A727="","",$G727/VLOOKUP($I727,Ref!$B$23:$D$29,2,0))</f>
        <v/>
      </c>
      <c r="R727" s="530" t="str">
        <f t="shared" si="309"/>
        <v/>
      </c>
      <c r="S727" s="532" t="str">
        <f t="shared" si="303"/>
        <v/>
      </c>
      <c r="T727" s="531" t="str">
        <f t="shared" si="310"/>
        <v/>
      </c>
      <c r="U727" s="533">
        <f t="shared" si="311"/>
        <v>0</v>
      </c>
      <c r="V727" s="531" t="str">
        <f t="shared" si="312"/>
        <v/>
      </c>
      <c r="W727" s="531" t="str">
        <f t="shared" si="313"/>
        <v/>
      </c>
      <c r="X727" s="534" t="str">
        <f t="shared" si="314"/>
        <v/>
      </c>
      <c r="Y727" s="535" t="str">
        <f>IF($A727="","",IF($I727="weekly",$A727+7,EDATE($A727,VLOOKUP($I727,Ref!$B$24:$C$29,2,0))))</f>
        <v/>
      </c>
      <c r="Z727" s="536" t="str">
        <f t="shared" si="315"/>
        <v/>
      </c>
      <c r="AA727" s="531">
        <f t="shared" si="316"/>
        <v>0</v>
      </c>
      <c r="AB727" s="535" t="str">
        <f t="shared" si="304"/>
        <v/>
      </c>
      <c r="AC727" s="537" t="str">
        <f t="shared" si="305"/>
        <v/>
      </c>
      <c r="AD727" s="538" t="str">
        <f t="shared" ca="1" si="306"/>
        <v/>
      </c>
      <c r="AE727" s="537">
        <f t="shared" ca="1" si="307"/>
        <v>0</v>
      </c>
      <c r="AF727" s="539" t="str">
        <f t="shared" ca="1" si="317"/>
        <v/>
      </c>
      <c r="AG727" s="531" t="str">
        <f t="shared" ca="1" si="318"/>
        <v/>
      </c>
      <c r="AH727" s="531" t="str">
        <f t="shared" ca="1" si="319"/>
        <v/>
      </c>
      <c r="AI727" s="531" t="str">
        <f t="shared" ca="1" si="320"/>
        <v/>
      </c>
      <c r="AJ727" s="531" t="str">
        <f t="shared" si="321"/>
        <v/>
      </c>
      <c r="AK727" s="540">
        <f>SUMIFS('Live Collections'!$S:$S,'Live Collections'!$D:$D,Disbursements!B727,'Live Collections'!$G:$G,Disbursements!C727)</f>
        <v>0</v>
      </c>
      <c r="AL727" s="540">
        <f>SUMIFS('Live Collections'!$T:$T,'Live Collections'!$D:$D,Disbursements!B727,'Live Collections'!$G:$G,Disbursements!C727)</f>
        <v>0</v>
      </c>
      <c r="AM727" s="541">
        <f t="shared" si="322"/>
        <v>0</v>
      </c>
      <c r="AN727" s="542" t="str">
        <f t="shared" si="323"/>
        <v/>
      </c>
      <c r="AO727" s="542" t="str">
        <f t="shared" si="324"/>
        <v/>
      </c>
      <c r="AP727" s="543" t="str">
        <f t="shared" si="325"/>
        <v/>
      </c>
      <c r="AQ727" s="544" t="str">
        <f t="shared" si="326"/>
        <v/>
      </c>
      <c r="AR727" s="545">
        <f t="shared" si="327"/>
        <v>0</v>
      </c>
      <c r="AS727" s="545">
        <f>IFERROR(CEILING($AR727*VLOOKUP($I727,Ref!$B$23:$E$29,4,0),1),0)</f>
        <v>0</v>
      </c>
      <c r="AT727" s="545" t="str">
        <f>IF(A727="","",IF(AP727&lt;=1,"Cleared",IF(AS727=0,"Clean",VLOOKUP($AS727,Ref!$G$23:$H$28,2))))</f>
        <v/>
      </c>
      <c r="AU727" s="546" t="str">
        <f t="shared" si="328"/>
        <v/>
      </c>
    </row>
    <row r="728" spans="1:47" ht="14.25" hidden="1" customHeight="1" x14ac:dyDescent="0.15">
      <c r="A728" s="523"/>
      <c r="B728" s="523"/>
      <c r="C728" s="523"/>
      <c r="D728" s="523"/>
      <c r="E728" s="579"/>
      <c r="F728" s="580"/>
      <c r="G728" s="524"/>
      <c r="H728" s="555"/>
      <c r="I728" s="560"/>
      <c r="J728" s="523"/>
      <c r="K728" s="528" t="str">
        <f>IFERROR(VLOOKUP($B728,'Clients-Live'!$A:$C,3,0),"")</f>
        <v/>
      </c>
      <c r="L728" s="528">
        <f>IF(E728="STL",Pricing!$D$38,IF(A728="",0,IF(A728&lt;Pricing!$C$25,Pricing!$D$25,VLOOKUP(Disbursements!$F728,Pricing!$B$29:$D$32,3))))</f>
        <v>0</v>
      </c>
      <c r="M728" s="528">
        <f>IF(E728="STL",0,IF(F728&gt;0,Pricing!$D$21,0))</f>
        <v>0</v>
      </c>
      <c r="N728" s="529">
        <f>IF(E728="STL",F728*Pricing!$D$40,IF(A728&lt;=Pricing!$C$4,0,IF(AND(A728&gt;Pricing!$C$4,Disbursements!A728&lt;=Pricing!$C$5),F728*Pricing!$E$5,IF(AND(A728&gt;Pricing!$C$5,Disbursements!A728&lt;=Pricing!$C$7),VLOOKUP(F728,Pricing!$D$7:$E$8,2)*Disbursements!F728,F728*Pricing!$E$9))))</f>
        <v>0</v>
      </c>
      <c r="O728" s="528">
        <f>IF(E728="STL",0,IF($F728&gt;0,$F728*Pricing!$D$17,0))</f>
        <v>0</v>
      </c>
      <c r="P728" s="530" t="str">
        <f t="shared" si="308"/>
        <v/>
      </c>
      <c r="Q728" s="531" t="str">
        <f>IF($A728="","",$G728/VLOOKUP($I728,Ref!$B$23:$D$29,2,0))</f>
        <v/>
      </c>
      <c r="R728" s="530" t="str">
        <f t="shared" si="309"/>
        <v/>
      </c>
      <c r="S728" s="532" t="str">
        <f t="shared" si="303"/>
        <v/>
      </c>
      <c r="T728" s="531" t="str">
        <f t="shared" si="310"/>
        <v/>
      </c>
      <c r="U728" s="533">
        <f t="shared" si="311"/>
        <v>0</v>
      </c>
      <c r="V728" s="531" t="str">
        <f t="shared" si="312"/>
        <v/>
      </c>
      <c r="W728" s="531" t="str">
        <f t="shared" si="313"/>
        <v/>
      </c>
      <c r="X728" s="534" t="str">
        <f t="shared" si="314"/>
        <v/>
      </c>
      <c r="Y728" s="535" t="str">
        <f>IF($A728="","",IF($I728="weekly",$A728+7,EDATE($A728,VLOOKUP($I728,Ref!$B$24:$C$29,2,0))))</f>
        <v/>
      </c>
      <c r="Z728" s="536" t="str">
        <f t="shared" si="315"/>
        <v/>
      </c>
      <c r="AA728" s="531">
        <f t="shared" si="316"/>
        <v>0</v>
      </c>
      <c r="AB728" s="535" t="str">
        <f t="shared" si="304"/>
        <v/>
      </c>
      <c r="AC728" s="537" t="str">
        <f t="shared" si="305"/>
        <v/>
      </c>
      <c r="AD728" s="538" t="str">
        <f t="shared" ca="1" si="306"/>
        <v/>
      </c>
      <c r="AE728" s="537">
        <f t="shared" ca="1" si="307"/>
        <v>0</v>
      </c>
      <c r="AF728" s="539" t="str">
        <f t="shared" ca="1" si="317"/>
        <v/>
      </c>
      <c r="AG728" s="531" t="str">
        <f t="shared" ca="1" si="318"/>
        <v/>
      </c>
      <c r="AH728" s="531" t="str">
        <f t="shared" ca="1" si="319"/>
        <v/>
      </c>
      <c r="AI728" s="531" t="str">
        <f t="shared" ca="1" si="320"/>
        <v/>
      </c>
      <c r="AJ728" s="531" t="str">
        <f t="shared" si="321"/>
        <v/>
      </c>
      <c r="AK728" s="540">
        <f>SUMIFS('Live Collections'!$S:$S,'Live Collections'!$D:$D,Disbursements!B728,'Live Collections'!$G:$G,Disbursements!C728)</f>
        <v>0</v>
      </c>
      <c r="AL728" s="540">
        <f>SUMIFS('Live Collections'!$T:$T,'Live Collections'!$D:$D,Disbursements!B728,'Live Collections'!$G:$G,Disbursements!C728)</f>
        <v>0</v>
      </c>
      <c r="AM728" s="541">
        <f t="shared" si="322"/>
        <v>0</v>
      </c>
      <c r="AN728" s="542" t="str">
        <f t="shared" si="323"/>
        <v/>
      </c>
      <c r="AO728" s="542" t="str">
        <f t="shared" si="324"/>
        <v/>
      </c>
      <c r="AP728" s="543" t="str">
        <f t="shared" si="325"/>
        <v/>
      </c>
      <c r="AQ728" s="544" t="str">
        <f t="shared" si="326"/>
        <v/>
      </c>
      <c r="AR728" s="545">
        <f t="shared" si="327"/>
        <v>0</v>
      </c>
      <c r="AS728" s="545">
        <f>IFERROR(CEILING($AR728*VLOOKUP($I728,Ref!$B$23:$E$29,4,0),1),0)</f>
        <v>0</v>
      </c>
      <c r="AT728" s="545" t="str">
        <f>IF(A728="","",IF(AP728&lt;=1,"Cleared",IF(AS728=0,"Clean",VLOOKUP($AS728,Ref!$G$23:$H$28,2))))</f>
        <v/>
      </c>
      <c r="AU728" s="546" t="str">
        <f t="shared" si="328"/>
        <v/>
      </c>
    </row>
    <row r="729" spans="1:47" ht="14.25" hidden="1" customHeight="1" x14ac:dyDescent="0.15">
      <c r="A729" s="523"/>
      <c r="B729" s="523"/>
      <c r="C729" s="523"/>
      <c r="D729" s="523"/>
      <c r="E729" s="579"/>
      <c r="F729" s="580"/>
      <c r="G729" s="524"/>
      <c r="H729" s="555"/>
      <c r="I729" s="560"/>
      <c r="J729" s="523"/>
      <c r="K729" s="528" t="str">
        <f>IFERROR(VLOOKUP($B729,'Clients-Live'!$A:$C,3,0),"")</f>
        <v/>
      </c>
      <c r="L729" s="528">
        <f>IF(E729="STL",Pricing!$D$38,IF(A729="",0,IF(A729&lt;Pricing!$C$25,Pricing!$D$25,VLOOKUP(Disbursements!$F729,Pricing!$B$29:$D$32,3))))</f>
        <v>0</v>
      </c>
      <c r="M729" s="528">
        <f>IF(E729="STL",0,IF(F729&gt;0,Pricing!$D$21,0))</f>
        <v>0</v>
      </c>
      <c r="N729" s="529">
        <f>IF(E729="STL",F729*Pricing!$D$40,IF(A729&lt;=Pricing!$C$4,0,IF(AND(A729&gt;Pricing!$C$4,Disbursements!A729&lt;=Pricing!$C$5),F729*Pricing!$E$5,IF(AND(A729&gt;Pricing!$C$5,Disbursements!A729&lt;=Pricing!$C$7),VLOOKUP(F729,Pricing!$D$7:$E$8,2)*Disbursements!F729,F729*Pricing!$E$9))))</f>
        <v>0</v>
      </c>
      <c r="O729" s="528">
        <f>IF(E729="STL",0,IF($F729&gt;0,$F729*Pricing!$D$17,0))</f>
        <v>0</v>
      </c>
      <c r="P729" s="530" t="str">
        <f t="shared" si="308"/>
        <v/>
      </c>
      <c r="Q729" s="531" t="str">
        <f>IF($A729="","",$G729/VLOOKUP($I729,Ref!$B$23:$D$29,2,0))</f>
        <v/>
      </c>
      <c r="R729" s="530" t="str">
        <f t="shared" si="309"/>
        <v/>
      </c>
      <c r="S729" s="532" t="str">
        <f t="shared" si="303"/>
        <v/>
      </c>
      <c r="T729" s="531" t="str">
        <f t="shared" si="310"/>
        <v/>
      </c>
      <c r="U729" s="533">
        <f t="shared" si="311"/>
        <v>0</v>
      </c>
      <c r="V729" s="531" t="str">
        <f t="shared" si="312"/>
        <v/>
      </c>
      <c r="W729" s="531" t="str">
        <f t="shared" si="313"/>
        <v/>
      </c>
      <c r="X729" s="534" t="str">
        <f t="shared" si="314"/>
        <v/>
      </c>
      <c r="Y729" s="535" t="str">
        <f>IF($A729="","",IF($I729="weekly",$A729+7,EDATE($A729,VLOOKUP($I729,Ref!$B$24:$C$29,2,0))))</f>
        <v/>
      </c>
      <c r="Z729" s="536" t="str">
        <f t="shared" si="315"/>
        <v/>
      </c>
      <c r="AA729" s="531">
        <f t="shared" si="316"/>
        <v>0</v>
      </c>
      <c r="AB729" s="535" t="str">
        <f t="shared" si="304"/>
        <v/>
      </c>
      <c r="AC729" s="537" t="str">
        <f t="shared" si="305"/>
        <v/>
      </c>
      <c r="AD729" s="538" t="str">
        <f t="shared" ca="1" si="306"/>
        <v/>
      </c>
      <c r="AE729" s="537">
        <f t="shared" ca="1" si="307"/>
        <v>0</v>
      </c>
      <c r="AF729" s="539" t="str">
        <f t="shared" ca="1" si="317"/>
        <v/>
      </c>
      <c r="AG729" s="531" t="str">
        <f t="shared" ca="1" si="318"/>
        <v/>
      </c>
      <c r="AH729" s="531" t="str">
        <f t="shared" ca="1" si="319"/>
        <v/>
      </c>
      <c r="AI729" s="531" t="str">
        <f t="shared" ca="1" si="320"/>
        <v/>
      </c>
      <c r="AJ729" s="531" t="str">
        <f t="shared" si="321"/>
        <v/>
      </c>
      <c r="AK729" s="540">
        <f>SUMIFS('Live Collections'!$S:$S,'Live Collections'!$D:$D,Disbursements!B729,'Live Collections'!$G:$G,Disbursements!C729)</f>
        <v>0</v>
      </c>
      <c r="AL729" s="540">
        <f>SUMIFS('Live Collections'!$T:$T,'Live Collections'!$D:$D,Disbursements!B729,'Live Collections'!$G:$G,Disbursements!C729)</f>
        <v>0</v>
      </c>
      <c r="AM729" s="541">
        <f t="shared" si="322"/>
        <v>0</v>
      </c>
      <c r="AN729" s="542" t="str">
        <f t="shared" si="323"/>
        <v/>
      </c>
      <c r="AO729" s="542" t="str">
        <f t="shared" si="324"/>
        <v/>
      </c>
      <c r="AP729" s="543" t="str">
        <f t="shared" si="325"/>
        <v/>
      </c>
      <c r="AQ729" s="544" t="str">
        <f t="shared" si="326"/>
        <v/>
      </c>
      <c r="AR729" s="545">
        <f t="shared" si="327"/>
        <v>0</v>
      </c>
      <c r="AS729" s="545">
        <f>IFERROR(CEILING($AR729*VLOOKUP($I729,Ref!$B$23:$E$29,4,0),1),0)</f>
        <v>0</v>
      </c>
      <c r="AT729" s="545" t="str">
        <f>IF(A729="","",IF(AP729&lt;=1,"Cleared",IF(AS729=0,"Clean",VLOOKUP($AS729,Ref!$G$23:$H$28,2))))</f>
        <v/>
      </c>
      <c r="AU729" s="546" t="str">
        <f t="shared" si="328"/>
        <v/>
      </c>
    </row>
    <row r="730" spans="1:47" ht="14.25" hidden="1" customHeight="1" x14ac:dyDescent="0.15">
      <c r="A730" s="523"/>
      <c r="B730" s="523"/>
      <c r="C730" s="523"/>
      <c r="D730" s="523"/>
      <c r="E730" s="579"/>
      <c r="F730" s="580"/>
      <c r="G730" s="524"/>
      <c r="H730" s="555"/>
      <c r="I730" s="560"/>
      <c r="J730" s="523"/>
      <c r="K730" s="528" t="str">
        <f>IFERROR(VLOOKUP($B730,'Clients-Live'!$A:$C,3,0),"")</f>
        <v/>
      </c>
      <c r="L730" s="528">
        <f>IF(E730="STL",Pricing!$D$38,IF(A730="",0,IF(A730&lt;Pricing!$C$25,Pricing!$D$25,VLOOKUP(Disbursements!$F730,Pricing!$B$29:$D$32,3))))</f>
        <v>0</v>
      </c>
      <c r="M730" s="528">
        <f>IF(E730="STL",0,IF(F730&gt;0,Pricing!$D$21,0))</f>
        <v>0</v>
      </c>
      <c r="N730" s="529">
        <f>IF(E730="STL",F730*Pricing!$D$40,IF(A730&lt;=Pricing!$C$4,0,IF(AND(A730&gt;Pricing!$C$4,Disbursements!A730&lt;=Pricing!$C$5),F730*Pricing!$E$5,IF(AND(A730&gt;Pricing!$C$5,Disbursements!A730&lt;=Pricing!$C$7),VLOOKUP(F730,Pricing!$D$7:$E$8,2)*Disbursements!F730,F730*Pricing!$E$9))))</f>
        <v>0</v>
      </c>
      <c r="O730" s="528">
        <f>IF(E730="STL",0,IF($F730&gt;0,$F730*Pricing!$D$17,0))</f>
        <v>0</v>
      </c>
      <c r="P730" s="530" t="str">
        <f t="shared" si="308"/>
        <v/>
      </c>
      <c r="Q730" s="531" t="str">
        <f>IF($A730="","",$G730/VLOOKUP($I730,Ref!$B$23:$D$29,2,0))</f>
        <v/>
      </c>
      <c r="R730" s="530" t="str">
        <f t="shared" si="309"/>
        <v/>
      </c>
      <c r="S730" s="532" t="str">
        <f t="shared" si="303"/>
        <v/>
      </c>
      <c r="T730" s="531" t="str">
        <f t="shared" si="310"/>
        <v/>
      </c>
      <c r="U730" s="533">
        <f t="shared" si="311"/>
        <v>0</v>
      </c>
      <c r="V730" s="531" t="str">
        <f t="shared" si="312"/>
        <v/>
      </c>
      <c r="W730" s="531" t="str">
        <f t="shared" si="313"/>
        <v/>
      </c>
      <c r="X730" s="534" t="str">
        <f t="shared" si="314"/>
        <v/>
      </c>
      <c r="Y730" s="535" t="str">
        <f>IF($A730="","",IF($I730="weekly",$A730+7,EDATE($A730,VLOOKUP($I730,Ref!$B$24:$C$29,2,0))))</f>
        <v/>
      </c>
      <c r="Z730" s="536" t="str">
        <f t="shared" si="315"/>
        <v/>
      </c>
      <c r="AA730" s="531">
        <f t="shared" si="316"/>
        <v>0</v>
      </c>
      <c r="AB730" s="535" t="str">
        <f t="shared" si="304"/>
        <v/>
      </c>
      <c r="AC730" s="537" t="str">
        <f t="shared" si="305"/>
        <v/>
      </c>
      <c r="AD730" s="538" t="str">
        <f t="shared" ca="1" si="306"/>
        <v/>
      </c>
      <c r="AE730" s="537">
        <f t="shared" ca="1" si="307"/>
        <v>0</v>
      </c>
      <c r="AF730" s="539" t="str">
        <f t="shared" ca="1" si="317"/>
        <v/>
      </c>
      <c r="AG730" s="531" t="str">
        <f t="shared" ca="1" si="318"/>
        <v/>
      </c>
      <c r="AH730" s="531" t="str">
        <f t="shared" ca="1" si="319"/>
        <v/>
      </c>
      <c r="AI730" s="531" t="str">
        <f t="shared" ca="1" si="320"/>
        <v/>
      </c>
      <c r="AJ730" s="531" t="str">
        <f t="shared" si="321"/>
        <v/>
      </c>
      <c r="AK730" s="540">
        <f>SUMIFS('Live Collections'!$S:$S,'Live Collections'!$D:$D,Disbursements!B730,'Live Collections'!$G:$G,Disbursements!C730)</f>
        <v>0</v>
      </c>
      <c r="AL730" s="540">
        <f>SUMIFS('Live Collections'!$T:$T,'Live Collections'!$D:$D,Disbursements!B730,'Live Collections'!$G:$G,Disbursements!C730)</f>
        <v>0</v>
      </c>
      <c r="AM730" s="541">
        <f t="shared" si="322"/>
        <v>0</v>
      </c>
      <c r="AN730" s="542" t="str">
        <f t="shared" si="323"/>
        <v/>
      </c>
      <c r="AO730" s="542" t="str">
        <f t="shared" si="324"/>
        <v/>
      </c>
      <c r="AP730" s="543" t="str">
        <f t="shared" si="325"/>
        <v/>
      </c>
      <c r="AQ730" s="544" t="str">
        <f t="shared" si="326"/>
        <v/>
      </c>
      <c r="AR730" s="545">
        <f t="shared" si="327"/>
        <v>0</v>
      </c>
      <c r="AS730" s="545">
        <f>IFERROR(CEILING($AR730*VLOOKUP($I730,Ref!$B$23:$E$29,4,0),1),0)</f>
        <v>0</v>
      </c>
      <c r="AT730" s="545" t="str">
        <f>IF(A730="","",IF(AP730&lt;=1,"Cleared",IF(AS730=0,"Clean",VLOOKUP($AS730,Ref!$G$23:$H$28,2))))</f>
        <v/>
      </c>
      <c r="AU730" s="546" t="str">
        <f t="shared" si="328"/>
        <v/>
      </c>
    </row>
    <row r="731" spans="1:47" ht="14.25" hidden="1" customHeight="1" x14ac:dyDescent="0.15">
      <c r="A731" s="523"/>
      <c r="B731" s="523"/>
      <c r="C731" s="523"/>
      <c r="D731" s="523"/>
      <c r="E731" s="579"/>
      <c r="F731" s="580"/>
      <c r="G731" s="524"/>
      <c r="H731" s="555"/>
      <c r="I731" s="560"/>
      <c r="J731" s="523"/>
      <c r="K731" s="528" t="str">
        <f>IFERROR(VLOOKUP($B731,'Clients-Live'!$A:$C,3,0),"")</f>
        <v/>
      </c>
      <c r="L731" s="528">
        <f>IF(E731="STL",Pricing!$D$38,IF(A731="",0,IF(A731&lt;Pricing!$C$25,Pricing!$D$25,VLOOKUP(Disbursements!$F731,Pricing!$B$29:$D$32,3))))</f>
        <v>0</v>
      </c>
      <c r="M731" s="528">
        <f>IF(E731="STL",0,IF(F731&gt;0,Pricing!$D$21,0))</f>
        <v>0</v>
      </c>
      <c r="N731" s="529">
        <f>IF(E731="STL",F731*Pricing!$D$40,IF(A731&lt;=Pricing!$C$4,0,IF(AND(A731&gt;Pricing!$C$4,Disbursements!A731&lt;=Pricing!$C$5),F731*Pricing!$E$5,IF(AND(A731&gt;Pricing!$C$5,Disbursements!A731&lt;=Pricing!$C$7),VLOOKUP(F731,Pricing!$D$7:$E$8,2)*Disbursements!F731,F731*Pricing!$E$9))))</f>
        <v>0</v>
      </c>
      <c r="O731" s="528">
        <f>IF(E731="STL",0,IF($F731&gt;0,$F731*Pricing!$D$17,0))</f>
        <v>0</v>
      </c>
      <c r="P731" s="530" t="str">
        <f t="shared" si="308"/>
        <v/>
      </c>
      <c r="Q731" s="531" t="str">
        <f>IF($A731="","",$G731/VLOOKUP($I731,Ref!$B$23:$D$29,2,0))</f>
        <v/>
      </c>
      <c r="R731" s="530" t="str">
        <f t="shared" si="309"/>
        <v/>
      </c>
      <c r="S731" s="532" t="str">
        <f t="shared" si="303"/>
        <v/>
      </c>
      <c r="T731" s="531" t="str">
        <f t="shared" si="310"/>
        <v/>
      </c>
      <c r="U731" s="533">
        <f t="shared" si="311"/>
        <v>0</v>
      </c>
      <c r="V731" s="531" t="str">
        <f t="shared" si="312"/>
        <v/>
      </c>
      <c r="W731" s="531" t="str">
        <f t="shared" si="313"/>
        <v/>
      </c>
      <c r="X731" s="534" t="str">
        <f t="shared" si="314"/>
        <v/>
      </c>
      <c r="Y731" s="535" t="str">
        <f>IF($A731="","",IF($I731="weekly",$A731+7,EDATE($A731,VLOOKUP($I731,Ref!$B$24:$C$29,2,0))))</f>
        <v/>
      </c>
      <c r="Z731" s="536" t="str">
        <f t="shared" si="315"/>
        <v/>
      </c>
      <c r="AA731" s="531">
        <f t="shared" si="316"/>
        <v>0</v>
      </c>
      <c r="AB731" s="535" t="str">
        <f t="shared" si="304"/>
        <v/>
      </c>
      <c r="AC731" s="537" t="str">
        <f t="shared" si="305"/>
        <v/>
      </c>
      <c r="AD731" s="538" t="str">
        <f t="shared" ca="1" si="306"/>
        <v/>
      </c>
      <c r="AE731" s="537">
        <f t="shared" ca="1" si="307"/>
        <v>0</v>
      </c>
      <c r="AF731" s="539" t="str">
        <f t="shared" ca="1" si="317"/>
        <v/>
      </c>
      <c r="AG731" s="531" t="str">
        <f t="shared" ca="1" si="318"/>
        <v/>
      </c>
      <c r="AH731" s="531" t="str">
        <f t="shared" ca="1" si="319"/>
        <v/>
      </c>
      <c r="AI731" s="531" t="str">
        <f t="shared" ca="1" si="320"/>
        <v/>
      </c>
      <c r="AJ731" s="531" t="str">
        <f t="shared" si="321"/>
        <v/>
      </c>
      <c r="AK731" s="540">
        <f>SUMIFS('Live Collections'!$S:$S,'Live Collections'!$D:$D,Disbursements!B731,'Live Collections'!$G:$G,Disbursements!C731)</f>
        <v>0</v>
      </c>
      <c r="AL731" s="540">
        <f>SUMIFS('Live Collections'!$T:$T,'Live Collections'!$D:$D,Disbursements!B731,'Live Collections'!$G:$G,Disbursements!C731)</f>
        <v>0</v>
      </c>
      <c r="AM731" s="541">
        <f t="shared" si="322"/>
        <v>0</v>
      </c>
      <c r="AN731" s="542" t="str">
        <f t="shared" si="323"/>
        <v/>
      </c>
      <c r="AO731" s="542" t="str">
        <f t="shared" si="324"/>
        <v/>
      </c>
      <c r="AP731" s="543" t="str">
        <f t="shared" si="325"/>
        <v/>
      </c>
      <c r="AQ731" s="544" t="str">
        <f t="shared" si="326"/>
        <v/>
      </c>
      <c r="AR731" s="545">
        <f t="shared" si="327"/>
        <v>0</v>
      </c>
      <c r="AS731" s="545">
        <f>IFERROR(CEILING($AR731*VLOOKUP($I731,Ref!$B$23:$E$29,4,0),1),0)</f>
        <v>0</v>
      </c>
      <c r="AT731" s="545" t="str">
        <f>IF(A731="","",IF(AP731&lt;=1,"Cleared",IF(AS731=0,"Clean",VLOOKUP($AS731,Ref!$G$23:$H$28,2))))</f>
        <v/>
      </c>
      <c r="AU731" s="546" t="str">
        <f t="shared" si="328"/>
        <v/>
      </c>
    </row>
    <row r="732" spans="1:47" ht="14.25" hidden="1" customHeight="1" x14ac:dyDescent="0.15">
      <c r="A732" s="523"/>
      <c r="B732" s="523"/>
      <c r="C732" s="523"/>
      <c r="D732" s="523"/>
      <c r="E732" s="579"/>
      <c r="F732" s="580"/>
      <c r="G732" s="524"/>
      <c r="H732" s="555"/>
      <c r="I732" s="560"/>
      <c r="J732" s="523"/>
      <c r="K732" s="528" t="str">
        <f>IFERROR(VLOOKUP($B732,'Clients-Live'!$A:$C,3,0),"")</f>
        <v/>
      </c>
      <c r="L732" s="528">
        <f>IF(E732="STL",Pricing!$D$38,IF(A732="",0,IF(A732&lt;Pricing!$C$25,Pricing!$D$25,VLOOKUP(Disbursements!$F732,Pricing!$B$29:$D$32,3))))</f>
        <v>0</v>
      </c>
      <c r="M732" s="528">
        <f>IF(E732="STL",0,IF(F732&gt;0,Pricing!$D$21,0))</f>
        <v>0</v>
      </c>
      <c r="N732" s="529">
        <f>IF(E732="STL",F732*Pricing!$D$40,IF(A732&lt;=Pricing!$C$4,0,IF(AND(A732&gt;Pricing!$C$4,Disbursements!A732&lt;=Pricing!$C$5),F732*Pricing!$E$5,IF(AND(A732&gt;Pricing!$C$5,Disbursements!A732&lt;=Pricing!$C$7),VLOOKUP(F732,Pricing!$D$7:$E$8,2)*Disbursements!F732,F732*Pricing!$E$9))))</f>
        <v>0</v>
      </c>
      <c r="O732" s="528">
        <f>IF(E732="STL",0,IF($F732&gt;0,$F732*Pricing!$D$17,0))</f>
        <v>0</v>
      </c>
      <c r="P732" s="530" t="str">
        <f t="shared" si="308"/>
        <v/>
      </c>
      <c r="Q732" s="531" t="str">
        <f>IF($A732="","",$G732/VLOOKUP($I732,Ref!$B$23:$D$29,2,0))</f>
        <v/>
      </c>
      <c r="R732" s="530" t="str">
        <f t="shared" si="309"/>
        <v/>
      </c>
      <c r="S732" s="532" t="str">
        <f t="shared" si="303"/>
        <v/>
      </c>
      <c r="T732" s="531" t="str">
        <f t="shared" si="310"/>
        <v/>
      </c>
      <c r="U732" s="533">
        <f t="shared" si="311"/>
        <v>0</v>
      </c>
      <c r="V732" s="531" t="str">
        <f t="shared" si="312"/>
        <v/>
      </c>
      <c r="W732" s="531" t="str">
        <f t="shared" si="313"/>
        <v/>
      </c>
      <c r="X732" s="534" t="str">
        <f t="shared" si="314"/>
        <v/>
      </c>
      <c r="Y732" s="535" t="str">
        <f>IF($A732="","",IF($I732="weekly",$A732+7,EDATE($A732,VLOOKUP($I732,Ref!$B$24:$C$29,2,0))))</f>
        <v/>
      </c>
      <c r="Z732" s="536" t="str">
        <f t="shared" si="315"/>
        <v/>
      </c>
      <c r="AA732" s="531">
        <f t="shared" si="316"/>
        <v>0</v>
      </c>
      <c r="AB732" s="535" t="str">
        <f t="shared" si="304"/>
        <v/>
      </c>
      <c r="AC732" s="537" t="str">
        <f t="shared" si="305"/>
        <v/>
      </c>
      <c r="AD732" s="538" t="str">
        <f t="shared" ca="1" si="306"/>
        <v/>
      </c>
      <c r="AE732" s="537">
        <f t="shared" ca="1" si="307"/>
        <v>0</v>
      </c>
      <c r="AF732" s="539" t="str">
        <f t="shared" ca="1" si="317"/>
        <v/>
      </c>
      <c r="AG732" s="531" t="str">
        <f t="shared" ca="1" si="318"/>
        <v/>
      </c>
      <c r="AH732" s="531" t="str">
        <f t="shared" ca="1" si="319"/>
        <v/>
      </c>
      <c r="AI732" s="531" t="str">
        <f t="shared" ca="1" si="320"/>
        <v/>
      </c>
      <c r="AJ732" s="531" t="str">
        <f t="shared" si="321"/>
        <v/>
      </c>
      <c r="AK732" s="540">
        <f>SUMIFS('Live Collections'!$S:$S,'Live Collections'!$D:$D,Disbursements!B732,'Live Collections'!$G:$G,Disbursements!C732)</f>
        <v>0</v>
      </c>
      <c r="AL732" s="540">
        <f>SUMIFS('Live Collections'!$T:$T,'Live Collections'!$D:$D,Disbursements!B732,'Live Collections'!$G:$G,Disbursements!C732)</f>
        <v>0</v>
      </c>
      <c r="AM732" s="541">
        <f t="shared" si="322"/>
        <v>0</v>
      </c>
      <c r="AN732" s="542" t="str">
        <f t="shared" si="323"/>
        <v/>
      </c>
      <c r="AO732" s="542" t="str">
        <f t="shared" si="324"/>
        <v/>
      </c>
      <c r="AP732" s="543" t="str">
        <f t="shared" si="325"/>
        <v/>
      </c>
      <c r="AQ732" s="544" t="str">
        <f t="shared" si="326"/>
        <v/>
      </c>
      <c r="AR732" s="545">
        <f t="shared" si="327"/>
        <v>0</v>
      </c>
      <c r="AS732" s="545">
        <f>IFERROR(CEILING($AR732*VLOOKUP($I732,Ref!$B$23:$E$29,4,0),1),0)</f>
        <v>0</v>
      </c>
      <c r="AT732" s="545" t="str">
        <f>IF(A732="","",IF(AP732&lt;=1,"Cleared",IF(AS732=0,"Clean",VLOOKUP($AS732,Ref!$G$23:$H$28,2))))</f>
        <v/>
      </c>
      <c r="AU732" s="546" t="str">
        <f t="shared" si="328"/>
        <v/>
      </c>
    </row>
    <row r="733" spans="1:47" ht="14.25" hidden="1" customHeight="1" x14ac:dyDescent="0.15">
      <c r="A733" s="523"/>
      <c r="B733" s="523"/>
      <c r="C733" s="523"/>
      <c r="D733" s="523"/>
      <c r="E733" s="579"/>
      <c r="F733" s="580"/>
      <c r="G733" s="524"/>
      <c r="H733" s="555"/>
      <c r="I733" s="560"/>
      <c r="J733" s="523"/>
      <c r="K733" s="528" t="str">
        <f>IFERROR(VLOOKUP($B733,'Clients-Live'!$A:$C,3,0),"")</f>
        <v/>
      </c>
      <c r="L733" s="528">
        <f>IF(E733="STL",Pricing!$D$38,IF(A733="",0,IF(A733&lt;Pricing!$C$25,Pricing!$D$25,VLOOKUP(Disbursements!$F733,Pricing!$B$29:$D$32,3))))</f>
        <v>0</v>
      </c>
      <c r="M733" s="528">
        <f>IF(E733="STL",0,IF(F733&gt;0,Pricing!$D$21,0))</f>
        <v>0</v>
      </c>
      <c r="N733" s="529">
        <f>IF(E733="STL",F733*Pricing!$D$40,IF(A733&lt;=Pricing!$C$4,0,IF(AND(A733&gt;Pricing!$C$4,Disbursements!A733&lt;=Pricing!$C$5),F733*Pricing!$E$5,IF(AND(A733&gt;Pricing!$C$5,Disbursements!A733&lt;=Pricing!$C$7),VLOOKUP(F733,Pricing!$D$7:$E$8,2)*Disbursements!F733,F733*Pricing!$E$9))))</f>
        <v>0</v>
      </c>
      <c r="O733" s="528">
        <f>IF(E733="STL",0,IF($F733&gt;0,$F733*Pricing!$D$17,0))</f>
        <v>0</v>
      </c>
      <c r="P733" s="530" t="str">
        <f t="shared" si="308"/>
        <v/>
      </c>
      <c r="Q733" s="531" t="str">
        <f>IF($A733="","",$G733/VLOOKUP($I733,Ref!$B$23:$D$29,2,0))</f>
        <v/>
      </c>
      <c r="R733" s="530" t="str">
        <f t="shared" si="309"/>
        <v/>
      </c>
      <c r="S733" s="532" t="str">
        <f t="shared" si="303"/>
        <v/>
      </c>
      <c r="T733" s="531" t="str">
        <f t="shared" si="310"/>
        <v/>
      </c>
      <c r="U733" s="533">
        <f t="shared" si="311"/>
        <v>0</v>
      </c>
      <c r="V733" s="531" t="str">
        <f t="shared" si="312"/>
        <v/>
      </c>
      <c r="W733" s="531" t="str">
        <f t="shared" si="313"/>
        <v/>
      </c>
      <c r="X733" s="534" t="str">
        <f t="shared" si="314"/>
        <v/>
      </c>
      <c r="Y733" s="535" t="str">
        <f>IF($A733="","",IF($I733="weekly",$A733+7,EDATE($A733,VLOOKUP($I733,Ref!$B$24:$C$29,2,0))))</f>
        <v/>
      </c>
      <c r="Z733" s="536" t="str">
        <f t="shared" si="315"/>
        <v/>
      </c>
      <c r="AA733" s="531">
        <f t="shared" si="316"/>
        <v>0</v>
      </c>
      <c r="AB733" s="535" t="str">
        <f t="shared" si="304"/>
        <v/>
      </c>
      <c r="AC733" s="537" t="str">
        <f t="shared" si="305"/>
        <v/>
      </c>
      <c r="AD733" s="538" t="str">
        <f t="shared" ca="1" si="306"/>
        <v/>
      </c>
      <c r="AE733" s="537">
        <f t="shared" ca="1" si="307"/>
        <v>0</v>
      </c>
      <c r="AF733" s="539" t="str">
        <f t="shared" ca="1" si="317"/>
        <v/>
      </c>
      <c r="AG733" s="531" t="str">
        <f t="shared" ca="1" si="318"/>
        <v/>
      </c>
      <c r="AH733" s="531" t="str">
        <f t="shared" ca="1" si="319"/>
        <v/>
      </c>
      <c r="AI733" s="531" t="str">
        <f t="shared" ca="1" si="320"/>
        <v/>
      </c>
      <c r="AJ733" s="531" t="str">
        <f t="shared" si="321"/>
        <v/>
      </c>
      <c r="AK733" s="540">
        <f>SUMIFS('Live Collections'!$S:$S,'Live Collections'!$D:$D,Disbursements!B733,'Live Collections'!$G:$G,Disbursements!C733)</f>
        <v>0</v>
      </c>
      <c r="AL733" s="540">
        <f>SUMIFS('Live Collections'!$T:$T,'Live Collections'!$D:$D,Disbursements!B733,'Live Collections'!$G:$G,Disbursements!C733)</f>
        <v>0</v>
      </c>
      <c r="AM733" s="541">
        <f t="shared" si="322"/>
        <v>0</v>
      </c>
      <c r="AN733" s="542" t="str">
        <f t="shared" si="323"/>
        <v/>
      </c>
      <c r="AO733" s="542" t="str">
        <f t="shared" si="324"/>
        <v/>
      </c>
      <c r="AP733" s="543" t="str">
        <f t="shared" si="325"/>
        <v/>
      </c>
      <c r="AQ733" s="544" t="str">
        <f t="shared" si="326"/>
        <v/>
      </c>
      <c r="AR733" s="545">
        <f t="shared" si="327"/>
        <v>0</v>
      </c>
      <c r="AS733" s="545">
        <f>IFERROR(CEILING($AR733*VLOOKUP($I733,Ref!$B$23:$E$29,4,0),1),0)</f>
        <v>0</v>
      </c>
      <c r="AT733" s="545" t="str">
        <f>IF(A733="","",IF(AP733&lt;=1,"Cleared",IF(AS733=0,"Clean",VLOOKUP($AS733,Ref!$G$23:$H$28,2))))</f>
        <v/>
      </c>
      <c r="AU733" s="546" t="str">
        <f t="shared" si="328"/>
        <v/>
      </c>
    </row>
    <row r="734" spans="1:47" ht="14.25" hidden="1" customHeight="1" x14ac:dyDescent="0.15">
      <c r="A734" s="523"/>
      <c r="B734" s="523"/>
      <c r="C734" s="523"/>
      <c r="D734" s="523"/>
      <c r="E734" s="579"/>
      <c r="F734" s="580"/>
      <c r="G734" s="524"/>
      <c r="H734" s="555"/>
      <c r="I734" s="560"/>
      <c r="J734" s="523"/>
      <c r="K734" s="528" t="str">
        <f>IFERROR(VLOOKUP($B734,'Clients-Live'!$A:$C,3,0),"")</f>
        <v/>
      </c>
      <c r="L734" s="528">
        <f>IF(E734="STL",Pricing!$D$38,IF(A734="",0,IF(A734&lt;Pricing!$C$25,Pricing!$D$25,VLOOKUP(Disbursements!$F734,Pricing!$B$29:$D$32,3))))</f>
        <v>0</v>
      </c>
      <c r="M734" s="528">
        <f>IF(E734="STL",0,IF(F734&gt;0,Pricing!$D$21,0))</f>
        <v>0</v>
      </c>
      <c r="N734" s="529">
        <f>IF(E734="STL",F734*Pricing!$D$40,IF(A734&lt;=Pricing!$C$4,0,IF(AND(A734&gt;Pricing!$C$4,Disbursements!A734&lt;=Pricing!$C$5),F734*Pricing!$E$5,IF(AND(A734&gt;Pricing!$C$5,Disbursements!A734&lt;=Pricing!$C$7),VLOOKUP(F734,Pricing!$D$7:$E$8,2)*Disbursements!F734,F734*Pricing!$E$9))))</f>
        <v>0</v>
      </c>
      <c r="O734" s="528">
        <f>IF(E734="STL",0,IF($F734&gt;0,$F734*Pricing!$D$17,0))</f>
        <v>0</v>
      </c>
      <c r="P734" s="530" t="str">
        <f t="shared" si="308"/>
        <v/>
      </c>
      <c r="Q734" s="531" t="str">
        <f>IF($A734="","",$G734/VLOOKUP($I734,Ref!$B$23:$D$29,2,0))</f>
        <v/>
      </c>
      <c r="R734" s="530" t="str">
        <f t="shared" si="309"/>
        <v/>
      </c>
      <c r="S734" s="532" t="str">
        <f t="shared" si="303"/>
        <v/>
      </c>
      <c r="T734" s="531" t="str">
        <f t="shared" si="310"/>
        <v/>
      </c>
      <c r="U734" s="533">
        <f t="shared" si="311"/>
        <v>0</v>
      </c>
      <c r="V734" s="531" t="str">
        <f t="shared" si="312"/>
        <v/>
      </c>
      <c r="W734" s="531" t="str">
        <f t="shared" si="313"/>
        <v/>
      </c>
      <c r="X734" s="534" t="str">
        <f t="shared" si="314"/>
        <v/>
      </c>
      <c r="Y734" s="535" t="str">
        <f>IF($A734="","",IF($I734="weekly",$A734+7,EDATE($A734,VLOOKUP($I734,Ref!$B$24:$C$29,2,0))))</f>
        <v/>
      </c>
      <c r="Z734" s="536" t="str">
        <f t="shared" si="315"/>
        <v/>
      </c>
      <c r="AA734" s="531">
        <f t="shared" si="316"/>
        <v>0</v>
      </c>
      <c r="AB734" s="535" t="str">
        <f t="shared" si="304"/>
        <v/>
      </c>
      <c r="AC734" s="537" t="str">
        <f t="shared" si="305"/>
        <v/>
      </c>
      <c r="AD734" s="538" t="str">
        <f t="shared" ca="1" si="306"/>
        <v/>
      </c>
      <c r="AE734" s="537">
        <f t="shared" ca="1" si="307"/>
        <v>0</v>
      </c>
      <c r="AF734" s="539" t="str">
        <f t="shared" ca="1" si="317"/>
        <v/>
      </c>
      <c r="AG734" s="531" t="str">
        <f t="shared" ca="1" si="318"/>
        <v/>
      </c>
      <c r="AH734" s="531" t="str">
        <f t="shared" ca="1" si="319"/>
        <v/>
      </c>
      <c r="AI734" s="531" t="str">
        <f t="shared" ca="1" si="320"/>
        <v/>
      </c>
      <c r="AJ734" s="531" t="str">
        <f t="shared" si="321"/>
        <v/>
      </c>
      <c r="AK734" s="540">
        <f>SUMIFS('Live Collections'!$S:$S,'Live Collections'!$D:$D,Disbursements!B734,'Live Collections'!$G:$G,Disbursements!C734)</f>
        <v>0</v>
      </c>
      <c r="AL734" s="540">
        <f>SUMIFS('Live Collections'!$T:$T,'Live Collections'!$D:$D,Disbursements!B734,'Live Collections'!$G:$G,Disbursements!C734)</f>
        <v>0</v>
      </c>
      <c r="AM734" s="541">
        <f t="shared" si="322"/>
        <v>0</v>
      </c>
      <c r="AN734" s="542" t="str">
        <f t="shared" si="323"/>
        <v/>
      </c>
      <c r="AO734" s="542" t="str">
        <f t="shared" si="324"/>
        <v/>
      </c>
      <c r="AP734" s="543" t="str">
        <f t="shared" si="325"/>
        <v/>
      </c>
      <c r="AQ734" s="544" t="str">
        <f t="shared" si="326"/>
        <v/>
      </c>
      <c r="AR734" s="545">
        <f t="shared" si="327"/>
        <v>0</v>
      </c>
      <c r="AS734" s="545">
        <f>IFERROR(CEILING($AR734*VLOOKUP($I734,Ref!$B$23:$E$29,4,0),1),0)</f>
        <v>0</v>
      </c>
      <c r="AT734" s="545" t="str">
        <f>IF(A734="","",IF(AP734&lt;=1,"Cleared",IF(AS734=0,"Clean",VLOOKUP($AS734,Ref!$G$23:$H$28,2))))</f>
        <v/>
      </c>
      <c r="AU734" s="546" t="str">
        <f t="shared" si="328"/>
        <v/>
      </c>
    </row>
    <row r="735" spans="1:47" ht="14.25" hidden="1" customHeight="1" x14ac:dyDescent="0.15">
      <c r="A735" s="523"/>
      <c r="B735" s="523"/>
      <c r="C735" s="523"/>
      <c r="D735" s="523"/>
      <c r="E735" s="579"/>
      <c r="F735" s="580"/>
      <c r="G735" s="524"/>
      <c r="H735" s="555"/>
      <c r="I735" s="560"/>
      <c r="J735" s="523"/>
      <c r="K735" s="528" t="str">
        <f>IFERROR(VLOOKUP($B735,'Clients-Live'!$A:$C,3,0),"")</f>
        <v/>
      </c>
      <c r="L735" s="528">
        <f>IF(E735="STL",Pricing!$D$38,IF(A735="",0,IF(A735&lt;Pricing!$C$25,Pricing!$D$25,VLOOKUP(Disbursements!$F735,Pricing!$B$29:$D$32,3))))</f>
        <v>0</v>
      </c>
      <c r="M735" s="528">
        <f>IF(E735="STL",0,IF(F735&gt;0,Pricing!$D$21,0))</f>
        <v>0</v>
      </c>
      <c r="N735" s="529">
        <f>IF(E735="STL",F735*Pricing!$D$40,IF(A735&lt;=Pricing!$C$4,0,IF(AND(A735&gt;Pricing!$C$4,Disbursements!A735&lt;=Pricing!$C$5),F735*Pricing!$E$5,IF(AND(A735&gt;Pricing!$C$5,Disbursements!A735&lt;=Pricing!$C$7),VLOOKUP(F735,Pricing!$D$7:$E$8,2)*Disbursements!F735,F735*Pricing!$E$9))))</f>
        <v>0</v>
      </c>
      <c r="O735" s="528">
        <f>IF(E735="STL",0,IF($F735&gt;0,$F735*Pricing!$D$17,0))</f>
        <v>0</v>
      </c>
      <c r="P735" s="530" t="str">
        <f t="shared" si="308"/>
        <v/>
      </c>
      <c r="Q735" s="531" t="str">
        <f>IF($A735="","",$G735/VLOOKUP($I735,Ref!$B$23:$D$29,2,0))</f>
        <v/>
      </c>
      <c r="R735" s="530" t="str">
        <f t="shared" si="309"/>
        <v/>
      </c>
      <c r="S735" s="532" t="str">
        <f t="shared" si="303"/>
        <v/>
      </c>
      <c r="T735" s="531" t="str">
        <f t="shared" si="310"/>
        <v/>
      </c>
      <c r="U735" s="533">
        <f t="shared" si="311"/>
        <v>0</v>
      </c>
      <c r="V735" s="531" t="str">
        <f t="shared" si="312"/>
        <v/>
      </c>
      <c r="W735" s="531" t="str">
        <f t="shared" si="313"/>
        <v/>
      </c>
      <c r="X735" s="534" t="str">
        <f t="shared" si="314"/>
        <v/>
      </c>
      <c r="Y735" s="535" t="str">
        <f>IF($A735="","",IF($I735="weekly",$A735+7,EDATE($A735,VLOOKUP($I735,Ref!$B$24:$C$29,2,0))))</f>
        <v/>
      </c>
      <c r="Z735" s="536" t="str">
        <f t="shared" si="315"/>
        <v/>
      </c>
      <c r="AA735" s="531">
        <f t="shared" si="316"/>
        <v>0</v>
      </c>
      <c r="AB735" s="535" t="str">
        <f t="shared" si="304"/>
        <v/>
      </c>
      <c r="AC735" s="537" t="str">
        <f t="shared" si="305"/>
        <v/>
      </c>
      <c r="AD735" s="538" t="str">
        <f t="shared" ca="1" si="306"/>
        <v/>
      </c>
      <c r="AE735" s="537">
        <f t="shared" ca="1" si="307"/>
        <v>0</v>
      </c>
      <c r="AF735" s="539" t="str">
        <f t="shared" ca="1" si="317"/>
        <v/>
      </c>
      <c r="AG735" s="531" t="str">
        <f t="shared" ca="1" si="318"/>
        <v/>
      </c>
      <c r="AH735" s="531" t="str">
        <f t="shared" ca="1" si="319"/>
        <v/>
      </c>
      <c r="AI735" s="531" t="str">
        <f t="shared" ca="1" si="320"/>
        <v/>
      </c>
      <c r="AJ735" s="531" t="str">
        <f t="shared" si="321"/>
        <v/>
      </c>
      <c r="AK735" s="540">
        <f>SUMIFS('Live Collections'!$S:$S,'Live Collections'!$D:$D,Disbursements!B735,'Live Collections'!$G:$G,Disbursements!C735)</f>
        <v>0</v>
      </c>
      <c r="AL735" s="540">
        <f>SUMIFS('Live Collections'!$T:$T,'Live Collections'!$D:$D,Disbursements!B735,'Live Collections'!$G:$G,Disbursements!C735)</f>
        <v>0</v>
      </c>
      <c r="AM735" s="541">
        <f t="shared" si="322"/>
        <v>0</v>
      </c>
      <c r="AN735" s="542" t="str">
        <f t="shared" si="323"/>
        <v/>
      </c>
      <c r="AO735" s="542" t="str">
        <f t="shared" si="324"/>
        <v/>
      </c>
      <c r="AP735" s="543" t="str">
        <f t="shared" si="325"/>
        <v/>
      </c>
      <c r="AQ735" s="544" t="str">
        <f t="shared" si="326"/>
        <v/>
      </c>
      <c r="AR735" s="545">
        <f t="shared" si="327"/>
        <v>0</v>
      </c>
      <c r="AS735" s="545">
        <f>IFERROR(CEILING($AR735*VLOOKUP($I735,Ref!$B$23:$E$29,4,0),1),0)</f>
        <v>0</v>
      </c>
      <c r="AT735" s="545" t="str">
        <f>IF(A735="","",IF(AP735&lt;=1,"Cleared",IF(AS735=0,"Clean",VLOOKUP($AS735,Ref!$G$23:$H$28,2))))</f>
        <v/>
      </c>
      <c r="AU735" s="546" t="str">
        <f t="shared" si="328"/>
        <v/>
      </c>
    </row>
    <row r="736" spans="1:47" ht="14.25" hidden="1" customHeight="1" x14ac:dyDescent="0.15">
      <c r="A736" s="523"/>
      <c r="B736" s="523"/>
      <c r="C736" s="523"/>
      <c r="D736" s="523"/>
      <c r="E736" s="579"/>
      <c r="F736" s="580"/>
      <c r="G736" s="524"/>
      <c r="H736" s="555"/>
      <c r="I736" s="560"/>
      <c r="J736" s="523"/>
      <c r="K736" s="528" t="str">
        <f>IFERROR(VLOOKUP($B736,'Clients-Live'!$A:$C,3,0),"")</f>
        <v/>
      </c>
      <c r="L736" s="528">
        <f>IF(E736="STL",Pricing!$D$38,IF(A736="",0,IF(A736&lt;Pricing!$C$25,Pricing!$D$25,VLOOKUP(Disbursements!$F736,Pricing!$B$29:$D$32,3))))</f>
        <v>0</v>
      </c>
      <c r="M736" s="528">
        <f>IF(E736="STL",0,IF(F736&gt;0,Pricing!$D$21,0))</f>
        <v>0</v>
      </c>
      <c r="N736" s="529">
        <f>IF(E736="STL",F736*Pricing!$D$40,IF(A736&lt;=Pricing!$C$4,0,IF(AND(A736&gt;Pricing!$C$4,Disbursements!A736&lt;=Pricing!$C$5),F736*Pricing!$E$5,IF(AND(A736&gt;Pricing!$C$5,Disbursements!A736&lt;=Pricing!$C$7),VLOOKUP(F736,Pricing!$D$7:$E$8,2)*Disbursements!F736,F736*Pricing!$E$9))))</f>
        <v>0</v>
      </c>
      <c r="O736" s="528">
        <f>IF(E736="STL",0,IF($F736&gt;0,$F736*Pricing!$D$17,0))</f>
        <v>0</v>
      </c>
      <c r="P736" s="530" t="str">
        <f t="shared" si="308"/>
        <v/>
      </c>
      <c r="Q736" s="531" t="str">
        <f>IF($A736="","",$G736/VLOOKUP($I736,Ref!$B$23:$D$29,2,0))</f>
        <v/>
      </c>
      <c r="R736" s="530" t="str">
        <f t="shared" si="309"/>
        <v/>
      </c>
      <c r="S736" s="532" t="str">
        <f t="shared" si="303"/>
        <v/>
      </c>
      <c r="T736" s="531" t="str">
        <f t="shared" si="310"/>
        <v/>
      </c>
      <c r="U736" s="533">
        <f t="shared" si="311"/>
        <v>0</v>
      </c>
      <c r="V736" s="531" t="str">
        <f t="shared" si="312"/>
        <v/>
      </c>
      <c r="W736" s="531" t="str">
        <f t="shared" si="313"/>
        <v/>
      </c>
      <c r="X736" s="534" t="str">
        <f t="shared" si="314"/>
        <v/>
      </c>
      <c r="Y736" s="535" t="str">
        <f>IF($A736="","",IF($I736="weekly",$A736+7,EDATE($A736,VLOOKUP($I736,Ref!$B$24:$C$29,2,0))))</f>
        <v/>
      </c>
      <c r="Z736" s="536" t="str">
        <f t="shared" si="315"/>
        <v/>
      </c>
      <c r="AA736" s="531">
        <f t="shared" si="316"/>
        <v>0</v>
      </c>
      <c r="AB736" s="535" t="str">
        <f t="shared" si="304"/>
        <v/>
      </c>
      <c r="AC736" s="537" t="str">
        <f t="shared" si="305"/>
        <v/>
      </c>
      <c r="AD736" s="538" t="str">
        <f t="shared" ca="1" si="306"/>
        <v/>
      </c>
      <c r="AE736" s="537">
        <f t="shared" ca="1" si="307"/>
        <v>0</v>
      </c>
      <c r="AF736" s="539" t="str">
        <f t="shared" ca="1" si="317"/>
        <v/>
      </c>
      <c r="AG736" s="531" t="str">
        <f t="shared" ca="1" si="318"/>
        <v/>
      </c>
      <c r="AH736" s="531" t="str">
        <f t="shared" ca="1" si="319"/>
        <v/>
      </c>
      <c r="AI736" s="531" t="str">
        <f t="shared" ca="1" si="320"/>
        <v/>
      </c>
      <c r="AJ736" s="531" t="str">
        <f t="shared" si="321"/>
        <v/>
      </c>
      <c r="AK736" s="540">
        <f>SUMIFS('Live Collections'!$S:$S,'Live Collections'!$D:$D,Disbursements!B736,'Live Collections'!$G:$G,Disbursements!C736)</f>
        <v>0</v>
      </c>
      <c r="AL736" s="540">
        <f>SUMIFS('Live Collections'!$T:$T,'Live Collections'!$D:$D,Disbursements!B736,'Live Collections'!$G:$G,Disbursements!C736)</f>
        <v>0</v>
      </c>
      <c r="AM736" s="541">
        <f t="shared" si="322"/>
        <v>0</v>
      </c>
      <c r="AN736" s="542" t="str">
        <f t="shared" si="323"/>
        <v/>
      </c>
      <c r="AO736" s="542" t="str">
        <f t="shared" si="324"/>
        <v/>
      </c>
      <c r="AP736" s="543" t="str">
        <f t="shared" si="325"/>
        <v/>
      </c>
      <c r="AQ736" s="544" t="str">
        <f t="shared" si="326"/>
        <v/>
      </c>
      <c r="AR736" s="545">
        <f t="shared" si="327"/>
        <v>0</v>
      </c>
      <c r="AS736" s="545">
        <f>IFERROR(CEILING($AR736*VLOOKUP($I736,Ref!$B$23:$E$29,4,0),1),0)</f>
        <v>0</v>
      </c>
      <c r="AT736" s="545" t="str">
        <f>IF(A736="","",IF(AP736&lt;=1,"Cleared",IF(AS736=0,"Clean",VLOOKUP($AS736,Ref!$G$23:$H$28,2))))</f>
        <v/>
      </c>
      <c r="AU736" s="546" t="str">
        <f t="shared" si="328"/>
        <v/>
      </c>
    </row>
    <row r="737" spans="1:47" ht="14.25" hidden="1" customHeight="1" x14ac:dyDescent="0.15">
      <c r="A737" s="523"/>
      <c r="B737" s="523"/>
      <c r="C737" s="523"/>
      <c r="D737" s="523"/>
      <c r="E737" s="579"/>
      <c r="F737" s="580"/>
      <c r="G737" s="524"/>
      <c r="H737" s="555"/>
      <c r="I737" s="560"/>
      <c r="J737" s="523"/>
      <c r="K737" s="528" t="str">
        <f>IFERROR(VLOOKUP($B737,'Clients-Live'!$A:$C,3,0),"")</f>
        <v/>
      </c>
      <c r="L737" s="528">
        <f>IF(E737="STL",Pricing!$D$38,IF(A737="",0,IF(A737&lt;Pricing!$C$25,Pricing!$D$25,VLOOKUP(Disbursements!$F737,Pricing!$B$29:$D$32,3))))</f>
        <v>0</v>
      </c>
      <c r="M737" s="528">
        <f>IF(E737="STL",0,IF(F737&gt;0,Pricing!$D$21,0))</f>
        <v>0</v>
      </c>
      <c r="N737" s="529">
        <f>IF(E737="STL",F737*Pricing!$D$40,IF(A737&lt;=Pricing!$C$4,0,IF(AND(A737&gt;Pricing!$C$4,Disbursements!A737&lt;=Pricing!$C$5),F737*Pricing!$E$5,IF(AND(A737&gt;Pricing!$C$5,Disbursements!A737&lt;=Pricing!$C$7),VLOOKUP(F737,Pricing!$D$7:$E$8,2)*Disbursements!F737,F737*Pricing!$E$9))))</f>
        <v>0</v>
      </c>
      <c r="O737" s="528">
        <f>IF(E737="STL",0,IF($F737&gt;0,$F737*Pricing!$D$17,0))</f>
        <v>0</v>
      </c>
      <c r="P737" s="530" t="str">
        <f t="shared" si="308"/>
        <v/>
      </c>
      <c r="Q737" s="531" t="str">
        <f>IF($A737="","",$G737/VLOOKUP($I737,Ref!$B$23:$D$29,2,0))</f>
        <v/>
      </c>
      <c r="R737" s="530" t="str">
        <f t="shared" si="309"/>
        <v/>
      </c>
      <c r="S737" s="532" t="str">
        <f t="shared" si="303"/>
        <v/>
      </c>
      <c r="T737" s="531" t="str">
        <f t="shared" si="310"/>
        <v/>
      </c>
      <c r="U737" s="533">
        <f t="shared" si="311"/>
        <v>0</v>
      </c>
      <c r="V737" s="531" t="str">
        <f t="shared" si="312"/>
        <v/>
      </c>
      <c r="W737" s="531" t="str">
        <f t="shared" si="313"/>
        <v/>
      </c>
      <c r="X737" s="534" t="str">
        <f t="shared" si="314"/>
        <v/>
      </c>
      <c r="Y737" s="535" t="str">
        <f>IF($A737="","",IF($I737="weekly",$A737+7,EDATE($A737,VLOOKUP($I737,Ref!$B$24:$C$29,2,0))))</f>
        <v/>
      </c>
      <c r="Z737" s="536" t="str">
        <f t="shared" si="315"/>
        <v/>
      </c>
      <c r="AA737" s="531">
        <f t="shared" si="316"/>
        <v>0</v>
      </c>
      <c r="AB737" s="535" t="str">
        <f t="shared" si="304"/>
        <v/>
      </c>
      <c r="AC737" s="537" t="str">
        <f t="shared" si="305"/>
        <v/>
      </c>
      <c r="AD737" s="538" t="str">
        <f t="shared" ca="1" si="306"/>
        <v/>
      </c>
      <c r="AE737" s="537">
        <f t="shared" ca="1" si="307"/>
        <v>0</v>
      </c>
      <c r="AF737" s="539" t="str">
        <f t="shared" ca="1" si="317"/>
        <v/>
      </c>
      <c r="AG737" s="531" t="str">
        <f t="shared" ca="1" si="318"/>
        <v/>
      </c>
      <c r="AH737" s="531" t="str">
        <f t="shared" ca="1" si="319"/>
        <v/>
      </c>
      <c r="AI737" s="531" t="str">
        <f t="shared" ca="1" si="320"/>
        <v/>
      </c>
      <c r="AJ737" s="531" t="str">
        <f t="shared" si="321"/>
        <v/>
      </c>
      <c r="AK737" s="540">
        <f>SUMIFS('Live Collections'!$S:$S,'Live Collections'!$D:$D,Disbursements!B737,'Live Collections'!$G:$G,Disbursements!C737)</f>
        <v>0</v>
      </c>
      <c r="AL737" s="540">
        <f>SUMIFS('Live Collections'!$T:$T,'Live Collections'!$D:$D,Disbursements!B737,'Live Collections'!$G:$G,Disbursements!C737)</f>
        <v>0</v>
      </c>
      <c r="AM737" s="541">
        <f t="shared" si="322"/>
        <v>0</v>
      </c>
      <c r="AN737" s="542" t="str">
        <f t="shared" si="323"/>
        <v/>
      </c>
      <c r="AO737" s="542" t="str">
        <f t="shared" si="324"/>
        <v/>
      </c>
      <c r="AP737" s="543" t="str">
        <f t="shared" si="325"/>
        <v/>
      </c>
      <c r="AQ737" s="544" t="str">
        <f t="shared" si="326"/>
        <v/>
      </c>
      <c r="AR737" s="545">
        <f t="shared" si="327"/>
        <v>0</v>
      </c>
      <c r="AS737" s="545">
        <f>IFERROR(CEILING($AR737*VLOOKUP($I737,Ref!$B$23:$E$29,4,0),1),0)</f>
        <v>0</v>
      </c>
      <c r="AT737" s="545" t="str">
        <f>IF(A737="","",IF(AP737&lt;=1,"Cleared",IF(AS737=0,"Clean",VLOOKUP($AS737,Ref!$G$23:$H$28,2))))</f>
        <v/>
      </c>
      <c r="AU737" s="546" t="str">
        <f t="shared" si="328"/>
        <v/>
      </c>
    </row>
    <row r="738" spans="1:47" ht="14.25" hidden="1" customHeight="1" x14ac:dyDescent="0.15">
      <c r="A738" s="523"/>
      <c r="B738" s="523"/>
      <c r="C738" s="523"/>
      <c r="D738" s="523"/>
      <c r="E738" s="579"/>
      <c r="F738" s="580"/>
      <c r="G738" s="524"/>
      <c r="H738" s="555"/>
      <c r="I738" s="560"/>
      <c r="J738" s="523"/>
      <c r="K738" s="528" t="str">
        <f>IFERROR(VLOOKUP($B738,'Clients-Live'!$A:$C,3,0),"")</f>
        <v/>
      </c>
      <c r="L738" s="528">
        <f>IF(E738="STL",Pricing!$D$38,IF(A738="",0,IF(A738&lt;Pricing!$C$25,Pricing!$D$25,VLOOKUP(Disbursements!$F738,Pricing!$B$29:$D$32,3))))</f>
        <v>0</v>
      </c>
      <c r="M738" s="528">
        <f>IF(E738="STL",0,IF(F738&gt;0,Pricing!$D$21,0))</f>
        <v>0</v>
      </c>
      <c r="N738" s="529">
        <f>IF(E738="STL",F738*Pricing!$D$40,IF(A738&lt;=Pricing!$C$4,0,IF(AND(A738&gt;Pricing!$C$4,Disbursements!A738&lt;=Pricing!$C$5),F738*Pricing!$E$5,IF(AND(A738&gt;Pricing!$C$5,Disbursements!A738&lt;=Pricing!$C$7),VLOOKUP(F738,Pricing!$D$7:$E$8,2)*Disbursements!F738,F738*Pricing!$E$9))))</f>
        <v>0</v>
      </c>
      <c r="O738" s="528">
        <f>IF(E738="STL",0,IF($F738&gt;0,$F738*Pricing!$D$17,0))</f>
        <v>0</v>
      </c>
      <c r="P738" s="530" t="str">
        <f t="shared" si="308"/>
        <v/>
      </c>
      <c r="Q738" s="531" t="str">
        <f>IF($A738="","",$G738/VLOOKUP($I738,Ref!$B$23:$D$29,2,0))</f>
        <v/>
      </c>
      <c r="R738" s="530" t="str">
        <f t="shared" si="309"/>
        <v/>
      </c>
      <c r="S738" s="532" t="str">
        <f t="shared" si="303"/>
        <v/>
      </c>
      <c r="T738" s="531" t="str">
        <f t="shared" si="310"/>
        <v/>
      </c>
      <c r="U738" s="533">
        <f t="shared" si="311"/>
        <v>0</v>
      </c>
      <c r="V738" s="531" t="str">
        <f t="shared" si="312"/>
        <v/>
      </c>
      <c r="W738" s="531" t="str">
        <f t="shared" si="313"/>
        <v/>
      </c>
      <c r="X738" s="534" t="str">
        <f t="shared" si="314"/>
        <v/>
      </c>
      <c r="Y738" s="535" t="str">
        <f>IF($A738="","",IF($I738="weekly",$A738+7,EDATE($A738,VLOOKUP($I738,Ref!$B$24:$C$29,2,0))))</f>
        <v/>
      </c>
      <c r="Z738" s="536" t="str">
        <f t="shared" si="315"/>
        <v/>
      </c>
      <c r="AA738" s="531">
        <f t="shared" si="316"/>
        <v>0</v>
      </c>
      <c r="AB738" s="535" t="str">
        <f t="shared" si="304"/>
        <v/>
      </c>
      <c r="AC738" s="537" t="str">
        <f t="shared" si="305"/>
        <v/>
      </c>
      <c r="AD738" s="538" t="str">
        <f t="shared" ca="1" si="306"/>
        <v/>
      </c>
      <c r="AE738" s="537">
        <f t="shared" ca="1" si="307"/>
        <v>0</v>
      </c>
      <c r="AF738" s="539" t="str">
        <f t="shared" ca="1" si="317"/>
        <v/>
      </c>
      <c r="AG738" s="531" t="str">
        <f t="shared" ca="1" si="318"/>
        <v/>
      </c>
      <c r="AH738" s="531" t="str">
        <f t="shared" ca="1" si="319"/>
        <v/>
      </c>
      <c r="AI738" s="531" t="str">
        <f t="shared" ca="1" si="320"/>
        <v/>
      </c>
      <c r="AJ738" s="531" t="str">
        <f t="shared" si="321"/>
        <v/>
      </c>
      <c r="AK738" s="540">
        <f>SUMIFS('Live Collections'!$S:$S,'Live Collections'!$D:$D,Disbursements!B738,'Live Collections'!$G:$G,Disbursements!C738)</f>
        <v>0</v>
      </c>
      <c r="AL738" s="540">
        <f>SUMIFS('Live Collections'!$T:$T,'Live Collections'!$D:$D,Disbursements!B738,'Live Collections'!$G:$G,Disbursements!C738)</f>
        <v>0</v>
      </c>
      <c r="AM738" s="541">
        <f t="shared" si="322"/>
        <v>0</v>
      </c>
      <c r="AN738" s="542" t="str">
        <f t="shared" si="323"/>
        <v/>
      </c>
      <c r="AO738" s="542" t="str">
        <f t="shared" si="324"/>
        <v/>
      </c>
      <c r="AP738" s="543" t="str">
        <f t="shared" si="325"/>
        <v/>
      </c>
      <c r="AQ738" s="544" t="str">
        <f t="shared" si="326"/>
        <v/>
      </c>
      <c r="AR738" s="545">
        <f t="shared" si="327"/>
        <v>0</v>
      </c>
      <c r="AS738" s="545">
        <f>IFERROR(CEILING($AR738*VLOOKUP($I738,Ref!$B$23:$E$29,4,0),1),0)</f>
        <v>0</v>
      </c>
      <c r="AT738" s="545" t="str">
        <f>IF(A738="","",IF(AP738&lt;=1,"Cleared",IF(AS738=0,"Clean",VLOOKUP($AS738,Ref!$G$23:$H$28,2))))</f>
        <v/>
      </c>
      <c r="AU738" s="546" t="str">
        <f t="shared" si="328"/>
        <v/>
      </c>
    </row>
    <row r="739" spans="1:47" ht="14.25" hidden="1" customHeight="1" x14ac:dyDescent="0.15">
      <c r="A739" s="523"/>
      <c r="B739" s="523"/>
      <c r="C739" s="523"/>
      <c r="D739" s="523"/>
      <c r="E739" s="579"/>
      <c r="F739" s="580"/>
      <c r="G739" s="524"/>
      <c r="H739" s="555"/>
      <c r="I739" s="560"/>
      <c r="J739" s="523"/>
      <c r="K739" s="528" t="str">
        <f>IFERROR(VLOOKUP($B739,'Clients-Live'!$A:$C,3,0),"")</f>
        <v/>
      </c>
      <c r="L739" s="528">
        <f>IF(E739="STL",Pricing!$D$38,IF(A739="",0,IF(A739&lt;Pricing!$C$25,Pricing!$D$25,VLOOKUP(Disbursements!$F739,Pricing!$B$29:$D$32,3))))</f>
        <v>0</v>
      </c>
      <c r="M739" s="528">
        <f>IF(E739="STL",0,IF(F739&gt;0,Pricing!$D$21,0))</f>
        <v>0</v>
      </c>
      <c r="N739" s="529">
        <f>IF(E739="STL",F739*Pricing!$D$40,IF(A739&lt;=Pricing!$C$4,0,IF(AND(A739&gt;Pricing!$C$4,Disbursements!A739&lt;=Pricing!$C$5),F739*Pricing!$E$5,IF(AND(A739&gt;Pricing!$C$5,Disbursements!A739&lt;=Pricing!$C$7),VLOOKUP(F739,Pricing!$D$7:$E$8,2)*Disbursements!F739,F739*Pricing!$E$9))))</f>
        <v>0</v>
      </c>
      <c r="O739" s="528">
        <f>IF(E739="STL",0,IF($F739&gt;0,$F739*Pricing!$D$17,0))</f>
        <v>0</v>
      </c>
      <c r="P739" s="530" t="str">
        <f t="shared" si="308"/>
        <v/>
      </c>
      <c r="Q739" s="531" t="str">
        <f>IF($A739="","",$G739/VLOOKUP($I739,Ref!$B$23:$D$29,2,0))</f>
        <v/>
      </c>
      <c r="R739" s="530" t="str">
        <f t="shared" si="309"/>
        <v/>
      </c>
      <c r="S739" s="532" t="str">
        <f t="shared" si="303"/>
        <v/>
      </c>
      <c r="T739" s="531" t="str">
        <f t="shared" si="310"/>
        <v/>
      </c>
      <c r="U739" s="533">
        <f t="shared" si="311"/>
        <v>0</v>
      </c>
      <c r="V739" s="531" t="str">
        <f t="shared" si="312"/>
        <v/>
      </c>
      <c r="W739" s="531" t="str">
        <f t="shared" si="313"/>
        <v/>
      </c>
      <c r="X739" s="534" t="str">
        <f t="shared" si="314"/>
        <v/>
      </c>
      <c r="Y739" s="535" t="str">
        <f>IF($A739="","",IF($I739="weekly",$A739+7,EDATE($A739,VLOOKUP($I739,Ref!$B$24:$C$29,2,0))))</f>
        <v/>
      </c>
      <c r="Z739" s="536" t="str">
        <f t="shared" si="315"/>
        <v/>
      </c>
      <c r="AA739" s="531">
        <f t="shared" si="316"/>
        <v>0</v>
      </c>
      <c r="AB739" s="535" t="str">
        <f t="shared" si="304"/>
        <v/>
      </c>
      <c r="AC739" s="537" t="str">
        <f t="shared" si="305"/>
        <v/>
      </c>
      <c r="AD739" s="538" t="str">
        <f t="shared" ca="1" si="306"/>
        <v/>
      </c>
      <c r="AE739" s="537">
        <f t="shared" ca="1" si="307"/>
        <v>0</v>
      </c>
      <c r="AF739" s="539" t="str">
        <f t="shared" ca="1" si="317"/>
        <v/>
      </c>
      <c r="AG739" s="531" t="str">
        <f t="shared" ca="1" si="318"/>
        <v/>
      </c>
      <c r="AH739" s="531" t="str">
        <f t="shared" ca="1" si="319"/>
        <v/>
      </c>
      <c r="AI739" s="531" t="str">
        <f t="shared" ca="1" si="320"/>
        <v/>
      </c>
      <c r="AJ739" s="531" t="str">
        <f t="shared" si="321"/>
        <v/>
      </c>
      <c r="AK739" s="540">
        <f>SUMIFS('Live Collections'!$S:$S,'Live Collections'!$D:$D,Disbursements!B739,'Live Collections'!$G:$G,Disbursements!C739)</f>
        <v>0</v>
      </c>
      <c r="AL739" s="540">
        <f>SUMIFS('Live Collections'!$T:$T,'Live Collections'!$D:$D,Disbursements!B739,'Live Collections'!$G:$G,Disbursements!C739)</f>
        <v>0</v>
      </c>
      <c r="AM739" s="541">
        <f t="shared" si="322"/>
        <v>0</v>
      </c>
      <c r="AN739" s="542" t="str">
        <f t="shared" si="323"/>
        <v/>
      </c>
      <c r="AO739" s="542" t="str">
        <f t="shared" si="324"/>
        <v/>
      </c>
      <c r="AP739" s="543" t="str">
        <f t="shared" si="325"/>
        <v/>
      </c>
      <c r="AQ739" s="544" t="str">
        <f t="shared" si="326"/>
        <v/>
      </c>
      <c r="AR739" s="545">
        <f t="shared" si="327"/>
        <v>0</v>
      </c>
      <c r="AS739" s="545">
        <f>IFERROR(CEILING($AR739*VLOOKUP($I739,Ref!$B$23:$E$29,4,0),1),0)</f>
        <v>0</v>
      </c>
      <c r="AT739" s="545" t="str">
        <f>IF(A739="","",IF(AP739&lt;=1,"Cleared",IF(AS739=0,"Clean",VLOOKUP($AS739,Ref!$G$23:$H$28,2))))</f>
        <v/>
      </c>
      <c r="AU739" s="546" t="str">
        <f t="shared" si="328"/>
        <v/>
      </c>
    </row>
    <row r="740" spans="1:47" ht="14.25" hidden="1" customHeight="1" x14ac:dyDescent="0.15">
      <c r="A740" s="523"/>
      <c r="B740" s="523"/>
      <c r="C740" s="523"/>
      <c r="D740" s="523"/>
      <c r="E740" s="579"/>
      <c r="F740" s="580"/>
      <c r="G740" s="524"/>
      <c r="H740" s="555"/>
      <c r="I740" s="560"/>
      <c r="J740" s="523"/>
      <c r="K740" s="528" t="str">
        <f>IFERROR(VLOOKUP($B740,'Clients-Live'!$A:$C,3,0),"")</f>
        <v/>
      </c>
      <c r="L740" s="528">
        <f>IF(E740="STL",Pricing!$D$38,IF(A740="",0,IF(A740&lt;Pricing!$C$25,Pricing!$D$25,VLOOKUP(Disbursements!$F740,Pricing!$B$29:$D$32,3))))</f>
        <v>0</v>
      </c>
      <c r="M740" s="528">
        <f>IF(E740="STL",0,IF(F740&gt;0,Pricing!$D$21,0))</f>
        <v>0</v>
      </c>
      <c r="N740" s="529">
        <f>IF(E740="STL",F740*Pricing!$D$40,IF(A740&lt;=Pricing!$C$4,0,IF(AND(A740&gt;Pricing!$C$4,Disbursements!A740&lt;=Pricing!$C$5),F740*Pricing!$E$5,IF(AND(A740&gt;Pricing!$C$5,Disbursements!A740&lt;=Pricing!$C$7),VLOOKUP(F740,Pricing!$D$7:$E$8,2)*Disbursements!F740,F740*Pricing!$E$9))))</f>
        <v>0</v>
      </c>
      <c r="O740" s="528">
        <f>IF(E740="STL",0,IF($F740&gt;0,$F740*Pricing!$D$17,0))</f>
        <v>0</v>
      </c>
      <c r="P740" s="530" t="str">
        <f t="shared" si="308"/>
        <v/>
      </c>
      <c r="Q740" s="531" t="str">
        <f>IF($A740="","",$G740/VLOOKUP($I740,Ref!$B$23:$D$29,2,0))</f>
        <v/>
      </c>
      <c r="R740" s="530" t="str">
        <f t="shared" si="309"/>
        <v/>
      </c>
      <c r="S740" s="532" t="str">
        <f t="shared" si="303"/>
        <v/>
      </c>
      <c r="T740" s="531" t="str">
        <f t="shared" si="310"/>
        <v/>
      </c>
      <c r="U740" s="533">
        <f t="shared" si="311"/>
        <v>0</v>
      </c>
      <c r="V740" s="531" t="str">
        <f t="shared" si="312"/>
        <v/>
      </c>
      <c r="W740" s="531" t="str">
        <f t="shared" si="313"/>
        <v/>
      </c>
      <c r="X740" s="534" t="str">
        <f t="shared" si="314"/>
        <v/>
      </c>
      <c r="Y740" s="535" t="str">
        <f>IF($A740="","",IF($I740="weekly",$A740+7,EDATE($A740,VLOOKUP($I740,Ref!$B$24:$C$29,2,0))))</f>
        <v/>
      </c>
      <c r="Z740" s="536" t="str">
        <f t="shared" si="315"/>
        <v/>
      </c>
      <c r="AA740" s="531">
        <f t="shared" si="316"/>
        <v>0</v>
      </c>
      <c r="AB740" s="535" t="str">
        <f t="shared" si="304"/>
        <v/>
      </c>
      <c r="AC740" s="537" t="str">
        <f t="shared" si="305"/>
        <v/>
      </c>
      <c r="AD740" s="538" t="str">
        <f t="shared" ca="1" si="306"/>
        <v/>
      </c>
      <c r="AE740" s="537">
        <f t="shared" ca="1" si="307"/>
        <v>0</v>
      </c>
      <c r="AF740" s="539" t="str">
        <f t="shared" ca="1" si="317"/>
        <v/>
      </c>
      <c r="AG740" s="531" t="str">
        <f t="shared" ca="1" si="318"/>
        <v/>
      </c>
      <c r="AH740" s="531" t="str">
        <f t="shared" ca="1" si="319"/>
        <v/>
      </c>
      <c r="AI740" s="531" t="str">
        <f t="shared" ca="1" si="320"/>
        <v/>
      </c>
      <c r="AJ740" s="531" t="str">
        <f t="shared" si="321"/>
        <v/>
      </c>
      <c r="AK740" s="540">
        <f>SUMIFS('Live Collections'!$S:$S,'Live Collections'!$D:$D,Disbursements!B740,'Live Collections'!$G:$G,Disbursements!C740)</f>
        <v>0</v>
      </c>
      <c r="AL740" s="540">
        <f>SUMIFS('Live Collections'!$T:$T,'Live Collections'!$D:$D,Disbursements!B740,'Live Collections'!$G:$G,Disbursements!C740)</f>
        <v>0</v>
      </c>
      <c r="AM740" s="541">
        <f t="shared" si="322"/>
        <v>0</v>
      </c>
      <c r="AN740" s="542" t="str">
        <f t="shared" si="323"/>
        <v/>
      </c>
      <c r="AO740" s="542" t="str">
        <f t="shared" si="324"/>
        <v/>
      </c>
      <c r="AP740" s="543" t="str">
        <f t="shared" si="325"/>
        <v/>
      </c>
      <c r="AQ740" s="544" t="str">
        <f t="shared" si="326"/>
        <v/>
      </c>
      <c r="AR740" s="545">
        <f t="shared" si="327"/>
        <v>0</v>
      </c>
      <c r="AS740" s="545">
        <f>IFERROR(CEILING($AR740*VLOOKUP($I740,Ref!$B$23:$E$29,4,0),1),0)</f>
        <v>0</v>
      </c>
      <c r="AT740" s="545" t="str">
        <f>IF(A740="","",IF(AP740&lt;=1,"Cleared",IF(AS740=0,"Clean",VLOOKUP($AS740,Ref!$G$23:$H$28,2))))</f>
        <v/>
      </c>
      <c r="AU740" s="546" t="str">
        <f t="shared" si="328"/>
        <v/>
      </c>
    </row>
    <row r="741" spans="1:47" ht="14.25" hidden="1" customHeight="1" x14ac:dyDescent="0.15">
      <c r="A741" s="523"/>
      <c r="B741" s="523"/>
      <c r="C741" s="523"/>
      <c r="D741" s="523"/>
      <c r="E741" s="579"/>
      <c r="F741" s="580"/>
      <c r="G741" s="524"/>
      <c r="H741" s="555"/>
      <c r="I741" s="560"/>
      <c r="J741" s="523"/>
      <c r="K741" s="528" t="str">
        <f>IFERROR(VLOOKUP($B741,'Clients-Live'!$A:$C,3,0),"")</f>
        <v/>
      </c>
      <c r="L741" s="528">
        <f>IF(E741="STL",Pricing!$D$38,IF(A741="",0,IF(A741&lt;Pricing!$C$25,Pricing!$D$25,VLOOKUP(Disbursements!$F741,Pricing!$B$29:$D$32,3))))</f>
        <v>0</v>
      </c>
      <c r="M741" s="528">
        <f>IF(E741="STL",0,IF(F741&gt;0,Pricing!$D$21,0))</f>
        <v>0</v>
      </c>
      <c r="N741" s="529">
        <f>IF(E741="STL",F741*Pricing!$D$40,IF(A741&lt;=Pricing!$C$4,0,IF(AND(A741&gt;Pricing!$C$4,Disbursements!A741&lt;=Pricing!$C$5),F741*Pricing!$E$5,IF(AND(A741&gt;Pricing!$C$5,Disbursements!A741&lt;=Pricing!$C$7),VLOOKUP(F741,Pricing!$D$7:$E$8,2)*Disbursements!F741,F741*Pricing!$E$9))))</f>
        <v>0</v>
      </c>
      <c r="O741" s="528">
        <f>IF(E741="STL",0,IF($F741&gt;0,$F741*Pricing!$D$17,0))</f>
        <v>0</v>
      </c>
      <c r="P741" s="530" t="str">
        <f t="shared" si="308"/>
        <v/>
      </c>
      <c r="Q741" s="531" t="str">
        <f>IF($A741="","",$G741/VLOOKUP($I741,Ref!$B$23:$D$29,2,0))</f>
        <v/>
      </c>
      <c r="R741" s="530" t="str">
        <f t="shared" si="309"/>
        <v/>
      </c>
      <c r="S741" s="532" t="str">
        <f t="shared" si="303"/>
        <v/>
      </c>
      <c r="T741" s="531" t="str">
        <f t="shared" si="310"/>
        <v/>
      </c>
      <c r="U741" s="533">
        <f t="shared" si="311"/>
        <v>0</v>
      </c>
      <c r="V741" s="531" t="str">
        <f t="shared" si="312"/>
        <v/>
      </c>
      <c r="W741" s="531" t="str">
        <f t="shared" si="313"/>
        <v/>
      </c>
      <c r="X741" s="534" t="str">
        <f t="shared" si="314"/>
        <v/>
      </c>
      <c r="Y741" s="535" t="str">
        <f>IF($A741="","",IF($I741="weekly",$A741+7,EDATE($A741,VLOOKUP($I741,Ref!$B$24:$C$29,2,0))))</f>
        <v/>
      </c>
      <c r="Z741" s="536" t="str">
        <f t="shared" si="315"/>
        <v/>
      </c>
      <c r="AA741" s="531">
        <f t="shared" si="316"/>
        <v>0</v>
      </c>
      <c r="AB741" s="535" t="str">
        <f t="shared" si="304"/>
        <v/>
      </c>
      <c r="AC741" s="537" t="str">
        <f t="shared" si="305"/>
        <v/>
      </c>
      <c r="AD741" s="538" t="str">
        <f t="shared" ca="1" si="306"/>
        <v/>
      </c>
      <c r="AE741" s="537">
        <f t="shared" ca="1" si="307"/>
        <v>0</v>
      </c>
      <c r="AF741" s="539" t="str">
        <f t="shared" ca="1" si="317"/>
        <v/>
      </c>
      <c r="AG741" s="531" t="str">
        <f t="shared" ca="1" si="318"/>
        <v/>
      </c>
      <c r="AH741" s="531" t="str">
        <f t="shared" ca="1" si="319"/>
        <v/>
      </c>
      <c r="AI741" s="531" t="str">
        <f t="shared" ca="1" si="320"/>
        <v/>
      </c>
      <c r="AJ741" s="531" t="str">
        <f t="shared" si="321"/>
        <v/>
      </c>
      <c r="AK741" s="540">
        <f>SUMIFS('Live Collections'!$S:$S,'Live Collections'!$D:$D,Disbursements!B741,'Live Collections'!$G:$G,Disbursements!C741)</f>
        <v>0</v>
      </c>
      <c r="AL741" s="540">
        <f>SUMIFS('Live Collections'!$T:$T,'Live Collections'!$D:$D,Disbursements!B741,'Live Collections'!$G:$G,Disbursements!C741)</f>
        <v>0</v>
      </c>
      <c r="AM741" s="541">
        <f t="shared" si="322"/>
        <v>0</v>
      </c>
      <c r="AN741" s="542" t="str">
        <f t="shared" si="323"/>
        <v/>
      </c>
      <c r="AO741" s="542" t="str">
        <f t="shared" si="324"/>
        <v/>
      </c>
      <c r="AP741" s="543" t="str">
        <f t="shared" si="325"/>
        <v/>
      </c>
      <c r="AQ741" s="544" t="str">
        <f t="shared" si="326"/>
        <v/>
      </c>
      <c r="AR741" s="545">
        <f t="shared" si="327"/>
        <v>0</v>
      </c>
      <c r="AS741" s="545">
        <f>IFERROR(CEILING($AR741*VLOOKUP($I741,Ref!$B$23:$E$29,4,0),1),0)</f>
        <v>0</v>
      </c>
      <c r="AT741" s="545" t="str">
        <f>IF(A741="","",IF(AP741&lt;=1,"Cleared",IF(AS741=0,"Clean",VLOOKUP($AS741,Ref!$G$23:$H$28,2))))</f>
        <v/>
      </c>
      <c r="AU741" s="546" t="str">
        <f t="shared" si="328"/>
        <v/>
      </c>
    </row>
    <row r="742" spans="1:47" ht="14.25" hidden="1" customHeight="1" x14ac:dyDescent="0.15">
      <c r="A742" s="523"/>
      <c r="B742" s="523"/>
      <c r="C742" s="523"/>
      <c r="D742" s="523"/>
      <c r="E742" s="579"/>
      <c r="F742" s="580"/>
      <c r="G742" s="524"/>
      <c r="H742" s="555"/>
      <c r="I742" s="560"/>
      <c r="J742" s="523"/>
      <c r="K742" s="528" t="str">
        <f>IFERROR(VLOOKUP($B742,'Clients-Live'!$A:$C,3,0),"")</f>
        <v/>
      </c>
      <c r="L742" s="528">
        <f>IF(E742="STL",Pricing!$D$38,IF(A742="",0,IF(A742&lt;Pricing!$C$25,Pricing!$D$25,VLOOKUP(Disbursements!$F742,Pricing!$B$29:$D$32,3))))</f>
        <v>0</v>
      </c>
      <c r="M742" s="528">
        <f>IF(E742="STL",0,IF(F742&gt;0,Pricing!$D$21,0))</f>
        <v>0</v>
      </c>
      <c r="N742" s="529">
        <f>IF(E742="STL",F742*Pricing!$D$40,IF(A742&lt;=Pricing!$C$4,0,IF(AND(A742&gt;Pricing!$C$4,Disbursements!A742&lt;=Pricing!$C$5),F742*Pricing!$E$5,IF(AND(A742&gt;Pricing!$C$5,Disbursements!A742&lt;=Pricing!$C$7),VLOOKUP(F742,Pricing!$D$7:$E$8,2)*Disbursements!F742,F742*Pricing!$E$9))))</f>
        <v>0</v>
      </c>
      <c r="O742" s="528">
        <f>IF(E742="STL",0,IF($F742&gt;0,$F742*Pricing!$D$17,0))</f>
        <v>0</v>
      </c>
      <c r="P742" s="530" t="str">
        <f t="shared" si="308"/>
        <v/>
      </c>
      <c r="Q742" s="531" t="str">
        <f>IF($A742="","",$G742/VLOOKUP($I742,Ref!$B$23:$D$29,2,0))</f>
        <v/>
      </c>
      <c r="R742" s="530" t="str">
        <f t="shared" si="309"/>
        <v/>
      </c>
      <c r="S742" s="532" t="str">
        <f t="shared" si="303"/>
        <v/>
      </c>
      <c r="T742" s="531" t="str">
        <f t="shared" si="310"/>
        <v/>
      </c>
      <c r="U742" s="533">
        <f t="shared" si="311"/>
        <v>0</v>
      </c>
      <c r="V742" s="531" t="str">
        <f t="shared" si="312"/>
        <v/>
      </c>
      <c r="W742" s="531" t="str">
        <f t="shared" si="313"/>
        <v/>
      </c>
      <c r="X742" s="534" t="str">
        <f t="shared" si="314"/>
        <v/>
      </c>
      <c r="Y742" s="535" t="str">
        <f>IF($A742="","",IF($I742="weekly",$A742+7,EDATE($A742,VLOOKUP($I742,Ref!$B$24:$C$29,2,0))))</f>
        <v/>
      </c>
      <c r="Z742" s="536" t="str">
        <f t="shared" si="315"/>
        <v/>
      </c>
      <c r="AA742" s="531">
        <f t="shared" si="316"/>
        <v>0</v>
      </c>
      <c r="AB742" s="535" t="str">
        <f t="shared" si="304"/>
        <v/>
      </c>
      <c r="AC742" s="537" t="str">
        <f t="shared" si="305"/>
        <v/>
      </c>
      <c r="AD742" s="538" t="str">
        <f t="shared" ca="1" si="306"/>
        <v/>
      </c>
      <c r="AE742" s="537">
        <f t="shared" ca="1" si="307"/>
        <v>0</v>
      </c>
      <c r="AF742" s="539" t="str">
        <f t="shared" ca="1" si="317"/>
        <v/>
      </c>
      <c r="AG742" s="531" t="str">
        <f t="shared" ca="1" si="318"/>
        <v/>
      </c>
      <c r="AH742" s="531" t="str">
        <f t="shared" ca="1" si="319"/>
        <v/>
      </c>
      <c r="AI742" s="531" t="str">
        <f t="shared" ca="1" si="320"/>
        <v/>
      </c>
      <c r="AJ742" s="531" t="str">
        <f t="shared" si="321"/>
        <v/>
      </c>
      <c r="AK742" s="540">
        <f>SUMIFS('Live Collections'!$S:$S,'Live Collections'!$D:$D,Disbursements!B742,'Live Collections'!$G:$G,Disbursements!C742)</f>
        <v>0</v>
      </c>
      <c r="AL742" s="540">
        <f>SUMIFS('Live Collections'!$T:$T,'Live Collections'!$D:$D,Disbursements!B742,'Live Collections'!$G:$G,Disbursements!C742)</f>
        <v>0</v>
      </c>
      <c r="AM742" s="541">
        <f t="shared" si="322"/>
        <v>0</v>
      </c>
      <c r="AN742" s="542" t="str">
        <f t="shared" si="323"/>
        <v/>
      </c>
      <c r="AO742" s="542" t="str">
        <f t="shared" si="324"/>
        <v/>
      </c>
      <c r="AP742" s="543" t="str">
        <f t="shared" si="325"/>
        <v/>
      </c>
      <c r="AQ742" s="544" t="str">
        <f t="shared" si="326"/>
        <v/>
      </c>
      <c r="AR742" s="545">
        <f t="shared" si="327"/>
        <v>0</v>
      </c>
      <c r="AS742" s="545">
        <f>IFERROR(CEILING($AR742*VLOOKUP($I742,Ref!$B$23:$E$29,4,0),1),0)</f>
        <v>0</v>
      </c>
      <c r="AT742" s="545" t="str">
        <f>IF(A742="","",IF(AP742&lt;=1,"Cleared",IF(AS742=0,"Clean",VLOOKUP($AS742,Ref!$G$23:$H$28,2))))</f>
        <v/>
      </c>
      <c r="AU742" s="546" t="str">
        <f t="shared" si="328"/>
        <v/>
      </c>
    </row>
    <row r="743" spans="1:47" ht="14.25" hidden="1" customHeight="1" x14ac:dyDescent="0.15">
      <c r="A743" s="523"/>
      <c r="B743" s="523"/>
      <c r="C743" s="523"/>
      <c r="D743" s="523"/>
      <c r="E743" s="579"/>
      <c r="F743" s="580"/>
      <c r="G743" s="524"/>
      <c r="H743" s="555"/>
      <c r="I743" s="560"/>
      <c r="J743" s="523"/>
      <c r="K743" s="528" t="str">
        <f>IFERROR(VLOOKUP($B743,'Clients-Live'!$A:$C,3,0),"")</f>
        <v/>
      </c>
      <c r="L743" s="528">
        <f>IF(E743="STL",Pricing!$D$38,IF(A743="",0,IF(A743&lt;Pricing!$C$25,Pricing!$D$25,VLOOKUP(Disbursements!$F743,Pricing!$B$29:$D$32,3))))</f>
        <v>0</v>
      </c>
      <c r="M743" s="528">
        <f>IF(E743="STL",0,IF(F743&gt;0,Pricing!$D$21,0))</f>
        <v>0</v>
      </c>
      <c r="N743" s="529">
        <f>IF(E743="STL",F743*Pricing!$D$40,IF(A743&lt;=Pricing!$C$4,0,IF(AND(A743&gt;Pricing!$C$4,Disbursements!A743&lt;=Pricing!$C$5),F743*Pricing!$E$5,IF(AND(A743&gt;Pricing!$C$5,Disbursements!A743&lt;=Pricing!$C$7),VLOOKUP(F743,Pricing!$D$7:$E$8,2)*Disbursements!F743,F743*Pricing!$E$9))))</f>
        <v>0</v>
      </c>
      <c r="O743" s="528">
        <f>IF(E743="STL",0,IF($F743&gt;0,$F743*Pricing!$D$17,0))</f>
        <v>0</v>
      </c>
      <c r="P743" s="530" t="str">
        <f t="shared" si="308"/>
        <v/>
      </c>
      <c r="Q743" s="531" t="str">
        <f>IF($A743="","",$G743/VLOOKUP($I743,Ref!$B$23:$D$29,2,0))</f>
        <v/>
      </c>
      <c r="R743" s="530" t="str">
        <f t="shared" si="309"/>
        <v/>
      </c>
      <c r="S743" s="532" t="str">
        <f t="shared" si="303"/>
        <v/>
      </c>
      <c r="T743" s="531" t="str">
        <f t="shared" si="310"/>
        <v/>
      </c>
      <c r="U743" s="533">
        <f t="shared" si="311"/>
        <v>0</v>
      </c>
      <c r="V743" s="531" t="str">
        <f t="shared" si="312"/>
        <v/>
      </c>
      <c r="W743" s="531" t="str">
        <f t="shared" si="313"/>
        <v/>
      </c>
      <c r="X743" s="534" t="str">
        <f t="shared" si="314"/>
        <v/>
      </c>
      <c r="Y743" s="535" t="str">
        <f>IF($A743="","",IF($I743="weekly",$A743+7,EDATE($A743,VLOOKUP($I743,Ref!$B$24:$C$29,2,0))))</f>
        <v/>
      </c>
      <c r="Z743" s="536" t="str">
        <f t="shared" si="315"/>
        <v/>
      </c>
      <c r="AA743" s="531">
        <f t="shared" si="316"/>
        <v>0</v>
      </c>
      <c r="AB743" s="535" t="str">
        <f t="shared" si="304"/>
        <v/>
      </c>
      <c r="AC743" s="537" t="str">
        <f t="shared" si="305"/>
        <v/>
      </c>
      <c r="AD743" s="538" t="str">
        <f t="shared" ca="1" si="306"/>
        <v/>
      </c>
      <c r="AE743" s="537">
        <f t="shared" ca="1" si="307"/>
        <v>0</v>
      </c>
      <c r="AF743" s="539" t="str">
        <f t="shared" ca="1" si="317"/>
        <v/>
      </c>
      <c r="AG743" s="531" t="str">
        <f t="shared" ca="1" si="318"/>
        <v/>
      </c>
      <c r="AH743" s="531" t="str">
        <f t="shared" ca="1" si="319"/>
        <v/>
      </c>
      <c r="AI743" s="531" t="str">
        <f t="shared" ca="1" si="320"/>
        <v/>
      </c>
      <c r="AJ743" s="531" t="str">
        <f t="shared" si="321"/>
        <v/>
      </c>
      <c r="AK743" s="540">
        <f>SUMIFS('Live Collections'!$S:$S,'Live Collections'!$D:$D,Disbursements!B743,'Live Collections'!$G:$G,Disbursements!C743)</f>
        <v>0</v>
      </c>
      <c r="AL743" s="540">
        <f>SUMIFS('Live Collections'!$T:$T,'Live Collections'!$D:$D,Disbursements!B743,'Live Collections'!$G:$G,Disbursements!C743)</f>
        <v>0</v>
      </c>
      <c r="AM743" s="541">
        <f t="shared" si="322"/>
        <v>0</v>
      </c>
      <c r="AN743" s="542" t="str">
        <f t="shared" si="323"/>
        <v/>
      </c>
      <c r="AO743" s="542" t="str">
        <f t="shared" si="324"/>
        <v/>
      </c>
      <c r="AP743" s="543" t="str">
        <f t="shared" si="325"/>
        <v/>
      </c>
      <c r="AQ743" s="544" t="str">
        <f t="shared" si="326"/>
        <v/>
      </c>
      <c r="AR743" s="545">
        <f t="shared" si="327"/>
        <v>0</v>
      </c>
      <c r="AS743" s="545">
        <f>IFERROR(CEILING($AR743*VLOOKUP($I743,Ref!$B$23:$E$29,4,0),1),0)</f>
        <v>0</v>
      </c>
      <c r="AT743" s="545" t="str">
        <f>IF(A743="","",IF(AP743&lt;=1,"Cleared",IF(AS743=0,"Clean",VLOOKUP($AS743,Ref!$G$23:$H$28,2))))</f>
        <v/>
      </c>
      <c r="AU743" s="546" t="str">
        <f t="shared" si="328"/>
        <v/>
      </c>
    </row>
    <row r="744" spans="1:47" ht="14.25" hidden="1" customHeight="1" x14ac:dyDescent="0.15">
      <c r="A744" s="523"/>
      <c r="B744" s="523"/>
      <c r="C744" s="523"/>
      <c r="D744" s="523"/>
      <c r="E744" s="579"/>
      <c r="F744" s="580"/>
      <c r="G744" s="524"/>
      <c r="H744" s="555"/>
      <c r="I744" s="560"/>
      <c r="J744" s="523"/>
      <c r="K744" s="528" t="str">
        <f>IFERROR(VLOOKUP($B744,'Clients-Live'!$A:$C,3,0),"")</f>
        <v/>
      </c>
      <c r="L744" s="528">
        <f>IF(E744="STL",Pricing!$D$38,IF(A744="",0,IF(A744&lt;Pricing!$C$25,Pricing!$D$25,VLOOKUP(Disbursements!$F744,Pricing!$B$29:$D$32,3))))</f>
        <v>0</v>
      </c>
      <c r="M744" s="528">
        <f>IF(E744="STL",0,IF(F744&gt;0,Pricing!$D$21,0))</f>
        <v>0</v>
      </c>
      <c r="N744" s="529">
        <f>IF(E744="STL",F744*Pricing!$D$40,IF(A744&lt;=Pricing!$C$4,0,IF(AND(A744&gt;Pricing!$C$4,Disbursements!A744&lt;=Pricing!$C$5),F744*Pricing!$E$5,IF(AND(A744&gt;Pricing!$C$5,Disbursements!A744&lt;=Pricing!$C$7),VLOOKUP(F744,Pricing!$D$7:$E$8,2)*Disbursements!F744,F744*Pricing!$E$9))))</f>
        <v>0</v>
      </c>
      <c r="O744" s="528">
        <f>IF(E744="STL",0,IF($F744&gt;0,$F744*Pricing!$D$17,0))</f>
        <v>0</v>
      </c>
      <c r="P744" s="530" t="str">
        <f t="shared" si="308"/>
        <v/>
      </c>
      <c r="Q744" s="531" t="str">
        <f>IF($A744="","",$G744/VLOOKUP($I744,Ref!$B$23:$D$29,2,0))</f>
        <v/>
      </c>
      <c r="R744" s="530" t="str">
        <f t="shared" si="309"/>
        <v/>
      </c>
      <c r="S744" s="532" t="str">
        <f t="shared" si="303"/>
        <v/>
      </c>
      <c r="T744" s="531" t="str">
        <f t="shared" si="310"/>
        <v/>
      </c>
      <c r="U744" s="533">
        <f t="shared" si="311"/>
        <v>0</v>
      </c>
      <c r="V744" s="531" t="str">
        <f t="shared" si="312"/>
        <v/>
      </c>
      <c r="W744" s="531" t="str">
        <f t="shared" si="313"/>
        <v/>
      </c>
      <c r="X744" s="534" t="str">
        <f t="shared" si="314"/>
        <v/>
      </c>
      <c r="Y744" s="535" t="str">
        <f>IF($A744="","",IF($I744="weekly",$A744+7,EDATE($A744,VLOOKUP($I744,Ref!$B$24:$C$29,2,0))))</f>
        <v/>
      </c>
      <c r="Z744" s="536" t="str">
        <f t="shared" si="315"/>
        <v/>
      </c>
      <c r="AA744" s="531">
        <f t="shared" si="316"/>
        <v>0</v>
      </c>
      <c r="AB744" s="535" t="str">
        <f t="shared" si="304"/>
        <v/>
      </c>
      <c r="AC744" s="537" t="str">
        <f t="shared" si="305"/>
        <v/>
      </c>
      <c r="AD744" s="538" t="str">
        <f t="shared" ca="1" si="306"/>
        <v/>
      </c>
      <c r="AE744" s="537">
        <f t="shared" ca="1" si="307"/>
        <v>0</v>
      </c>
      <c r="AF744" s="539" t="str">
        <f t="shared" ca="1" si="317"/>
        <v/>
      </c>
      <c r="AG744" s="531" t="str">
        <f t="shared" ca="1" si="318"/>
        <v/>
      </c>
      <c r="AH744" s="531" t="str">
        <f t="shared" ca="1" si="319"/>
        <v/>
      </c>
      <c r="AI744" s="531" t="str">
        <f t="shared" ca="1" si="320"/>
        <v/>
      </c>
      <c r="AJ744" s="531" t="str">
        <f t="shared" si="321"/>
        <v/>
      </c>
      <c r="AK744" s="540">
        <f>SUMIFS('Live Collections'!$S:$S,'Live Collections'!$D:$D,Disbursements!B744,'Live Collections'!$G:$G,Disbursements!C744)</f>
        <v>0</v>
      </c>
      <c r="AL744" s="540">
        <f>SUMIFS('Live Collections'!$T:$T,'Live Collections'!$D:$D,Disbursements!B744,'Live Collections'!$G:$G,Disbursements!C744)</f>
        <v>0</v>
      </c>
      <c r="AM744" s="541">
        <f t="shared" si="322"/>
        <v>0</v>
      </c>
      <c r="AN744" s="542" t="str">
        <f t="shared" si="323"/>
        <v/>
      </c>
      <c r="AO744" s="542" t="str">
        <f t="shared" si="324"/>
        <v/>
      </c>
      <c r="AP744" s="543" t="str">
        <f t="shared" si="325"/>
        <v/>
      </c>
      <c r="AQ744" s="544" t="str">
        <f t="shared" si="326"/>
        <v/>
      </c>
      <c r="AR744" s="545">
        <f t="shared" si="327"/>
        <v>0</v>
      </c>
      <c r="AS744" s="545">
        <f>IFERROR(CEILING($AR744*VLOOKUP($I744,Ref!$B$23:$E$29,4,0),1),0)</f>
        <v>0</v>
      </c>
      <c r="AT744" s="545" t="str">
        <f>IF(A744="","",IF(AP744&lt;=1,"Cleared",IF(AS744=0,"Clean",VLOOKUP($AS744,Ref!$G$23:$H$28,2))))</f>
        <v/>
      </c>
      <c r="AU744" s="546" t="str">
        <f t="shared" si="328"/>
        <v/>
      </c>
    </row>
    <row r="745" spans="1:47" ht="14.25" hidden="1" customHeight="1" x14ac:dyDescent="0.15">
      <c r="A745" s="523"/>
      <c r="B745" s="523"/>
      <c r="C745" s="523"/>
      <c r="D745" s="523"/>
      <c r="E745" s="579"/>
      <c r="F745" s="580"/>
      <c r="G745" s="524"/>
      <c r="H745" s="555"/>
      <c r="I745" s="560"/>
      <c r="J745" s="523"/>
      <c r="K745" s="528" t="str">
        <f>IFERROR(VLOOKUP($B745,'Clients-Live'!$A:$C,3,0),"")</f>
        <v/>
      </c>
      <c r="L745" s="528">
        <f>IF(E745="STL",Pricing!$D$38,IF(A745="",0,IF(A745&lt;Pricing!$C$25,Pricing!$D$25,VLOOKUP(Disbursements!$F745,Pricing!$B$29:$D$32,3))))</f>
        <v>0</v>
      </c>
      <c r="M745" s="528">
        <f>IF(E745="STL",0,IF(F745&gt;0,Pricing!$D$21,0))</f>
        <v>0</v>
      </c>
      <c r="N745" s="529">
        <f>IF(E745="STL",F745*Pricing!$D$40,IF(A745&lt;=Pricing!$C$4,0,IF(AND(A745&gt;Pricing!$C$4,Disbursements!A745&lt;=Pricing!$C$5),F745*Pricing!$E$5,IF(AND(A745&gt;Pricing!$C$5,Disbursements!A745&lt;=Pricing!$C$7),VLOOKUP(F745,Pricing!$D$7:$E$8,2)*Disbursements!F745,F745*Pricing!$E$9))))</f>
        <v>0</v>
      </c>
      <c r="O745" s="528">
        <f>IF(E745="STL",0,IF($F745&gt;0,$F745*Pricing!$D$17,0))</f>
        <v>0</v>
      </c>
      <c r="P745" s="530" t="str">
        <f t="shared" si="308"/>
        <v/>
      </c>
      <c r="Q745" s="531" t="str">
        <f>IF($A745="","",$G745/VLOOKUP($I745,Ref!$B$23:$D$29,2,0))</f>
        <v/>
      </c>
      <c r="R745" s="530" t="str">
        <f t="shared" si="309"/>
        <v/>
      </c>
      <c r="S745" s="532" t="str">
        <f t="shared" si="303"/>
        <v/>
      </c>
      <c r="T745" s="531" t="str">
        <f t="shared" si="310"/>
        <v/>
      </c>
      <c r="U745" s="533">
        <f t="shared" si="311"/>
        <v>0</v>
      </c>
      <c r="V745" s="531" t="str">
        <f t="shared" si="312"/>
        <v/>
      </c>
      <c r="W745" s="531" t="str">
        <f t="shared" si="313"/>
        <v/>
      </c>
      <c r="X745" s="534" t="str">
        <f t="shared" si="314"/>
        <v/>
      </c>
      <c r="Y745" s="535" t="str">
        <f>IF($A745="","",IF($I745="weekly",$A745+7,EDATE($A745,VLOOKUP($I745,Ref!$B$24:$C$29,2,0))))</f>
        <v/>
      </c>
      <c r="Z745" s="536" t="str">
        <f t="shared" si="315"/>
        <v/>
      </c>
      <c r="AA745" s="531">
        <f t="shared" si="316"/>
        <v>0</v>
      </c>
      <c r="AB745" s="535" t="str">
        <f t="shared" si="304"/>
        <v/>
      </c>
      <c r="AC745" s="537" t="str">
        <f t="shared" si="305"/>
        <v/>
      </c>
      <c r="AD745" s="538" t="str">
        <f t="shared" ca="1" si="306"/>
        <v/>
      </c>
      <c r="AE745" s="537">
        <f t="shared" ca="1" si="307"/>
        <v>0</v>
      </c>
      <c r="AF745" s="539" t="str">
        <f t="shared" ca="1" si="317"/>
        <v/>
      </c>
      <c r="AG745" s="531" t="str">
        <f t="shared" ca="1" si="318"/>
        <v/>
      </c>
      <c r="AH745" s="531" t="str">
        <f t="shared" ca="1" si="319"/>
        <v/>
      </c>
      <c r="AI745" s="531" t="str">
        <f t="shared" ca="1" si="320"/>
        <v/>
      </c>
      <c r="AJ745" s="531" t="str">
        <f t="shared" si="321"/>
        <v/>
      </c>
      <c r="AK745" s="540">
        <f>SUMIFS('Live Collections'!$S:$S,'Live Collections'!$D:$D,Disbursements!B745,'Live Collections'!$G:$G,Disbursements!C745)</f>
        <v>0</v>
      </c>
      <c r="AL745" s="540">
        <f>SUMIFS('Live Collections'!$T:$T,'Live Collections'!$D:$D,Disbursements!B745,'Live Collections'!$G:$G,Disbursements!C745)</f>
        <v>0</v>
      </c>
      <c r="AM745" s="541">
        <f t="shared" si="322"/>
        <v>0</v>
      </c>
      <c r="AN745" s="542" t="str">
        <f t="shared" si="323"/>
        <v/>
      </c>
      <c r="AO745" s="542" t="str">
        <f t="shared" si="324"/>
        <v/>
      </c>
      <c r="AP745" s="543" t="str">
        <f t="shared" si="325"/>
        <v/>
      </c>
      <c r="AQ745" s="544" t="str">
        <f t="shared" si="326"/>
        <v/>
      </c>
      <c r="AR745" s="545">
        <f t="shared" si="327"/>
        <v>0</v>
      </c>
      <c r="AS745" s="545">
        <f>IFERROR(CEILING($AR745*VLOOKUP($I745,Ref!$B$23:$E$29,4,0),1),0)</f>
        <v>0</v>
      </c>
      <c r="AT745" s="545" t="str">
        <f>IF(A745="","",IF(AP745&lt;=1,"Cleared",IF(AS745=0,"Clean",VLOOKUP($AS745,Ref!$G$23:$H$28,2))))</f>
        <v/>
      </c>
      <c r="AU745" s="546" t="str">
        <f t="shared" si="328"/>
        <v/>
      </c>
    </row>
    <row r="746" spans="1:47" ht="14.25" hidden="1" customHeight="1" x14ac:dyDescent="0.15">
      <c r="A746" s="523"/>
      <c r="B746" s="523"/>
      <c r="C746" s="523"/>
      <c r="D746" s="523"/>
      <c r="E746" s="579"/>
      <c r="F746" s="580"/>
      <c r="G746" s="524"/>
      <c r="H746" s="555"/>
      <c r="I746" s="560"/>
      <c r="J746" s="523"/>
      <c r="K746" s="528" t="str">
        <f>IFERROR(VLOOKUP($B746,'Clients-Live'!$A:$C,3,0),"")</f>
        <v/>
      </c>
      <c r="L746" s="528">
        <f>IF(E746="STL",Pricing!$D$38,IF(A746="",0,IF(A746&lt;Pricing!$C$25,Pricing!$D$25,VLOOKUP(Disbursements!$F746,Pricing!$B$29:$D$32,3))))</f>
        <v>0</v>
      </c>
      <c r="M746" s="528">
        <f>IF(E746="STL",0,IF(F746&gt;0,Pricing!$D$21,0))</f>
        <v>0</v>
      </c>
      <c r="N746" s="529">
        <f>IF(E746="STL",F746*Pricing!$D$40,IF(A746&lt;=Pricing!$C$4,0,IF(AND(A746&gt;Pricing!$C$4,Disbursements!A746&lt;=Pricing!$C$5),F746*Pricing!$E$5,IF(AND(A746&gt;Pricing!$C$5,Disbursements!A746&lt;=Pricing!$C$7),VLOOKUP(F746,Pricing!$D$7:$E$8,2)*Disbursements!F746,F746*Pricing!$E$9))))</f>
        <v>0</v>
      </c>
      <c r="O746" s="528">
        <f>IF(E746="STL",0,IF($F746&gt;0,$F746*Pricing!$D$17,0))</f>
        <v>0</v>
      </c>
      <c r="P746" s="530" t="str">
        <f t="shared" si="308"/>
        <v/>
      </c>
      <c r="Q746" s="531" t="str">
        <f>IF($A746="","",$G746/VLOOKUP($I746,Ref!$B$23:$D$29,2,0))</f>
        <v/>
      </c>
      <c r="R746" s="530" t="str">
        <f t="shared" si="309"/>
        <v/>
      </c>
      <c r="S746" s="532" t="str">
        <f t="shared" si="303"/>
        <v/>
      </c>
      <c r="T746" s="531" t="str">
        <f t="shared" si="310"/>
        <v/>
      </c>
      <c r="U746" s="533">
        <f t="shared" si="311"/>
        <v>0</v>
      </c>
      <c r="V746" s="531" t="str">
        <f t="shared" si="312"/>
        <v/>
      </c>
      <c r="W746" s="531" t="str">
        <f t="shared" si="313"/>
        <v/>
      </c>
      <c r="X746" s="534" t="str">
        <f t="shared" si="314"/>
        <v/>
      </c>
      <c r="Y746" s="535" t="str">
        <f>IF($A746="","",IF($I746="weekly",$A746+7,EDATE($A746,VLOOKUP($I746,Ref!$B$24:$C$29,2,0))))</f>
        <v/>
      </c>
      <c r="Z746" s="536" t="str">
        <f t="shared" si="315"/>
        <v/>
      </c>
      <c r="AA746" s="531">
        <f t="shared" si="316"/>
        <v>0</v>
      </c>
      <c r="AB746" s="535" t="str">
        <f t="shared" si="304"/>
        <v/>
      </c>
      <c r="AC746" s="537" t="str">
        <f t="shared" si="305"/>
        <v/>
      </c>
      <c r="AD746" s="538" t="str">
        <f t="shared" ca="1" si="306"/>
        <v/>
      </c>
      <c r="AE746" s="537">
        <f t="shared" ca="1" si="307"/>
        <v>0</v>
      </c>
      <c r="AF746" s="539" t="str">
        <f t="shared" ca="1" si="317"/>
        <v/>
      </c>
      <c r="AG746" s="531" t="str">
        <f t="shared" ca="1" si="318"/>
        <v/>
      </c>
      <c r="AH746" s="531" t="str">
        <f t="shared" ca="1" si="319"/>
        <v/>
      </c>
      <c r="AI746" s="531" t="str">
        <f t="shared" ca="1" si="320"/>
        <v/>
      </c>
      <c r="AJ746" s="531" t="str">
        <f t="shared" si="321"/>
        <v/>
      </c>
      <c r="AK746" s="540">
        <f>SUMIFS('Live Collections'!$S:$S,'Live Collections'!$D:$D,Disbursements!B746,'Live Collections'!$G:$G,Disbursements!C746)</f>
        <v>0</v>
      </c>
      <c r="AL746" s="540">
        <f>SUMIFS('Live Collections'!$T:$T,'Live Collections'!$D:$D,Disbursements!B746,'Live Collections'!$G:$G,Disbursements!C746)</f>
        <v>0</v>
      </c>
      <c r="AM746" s="541">
        <f t="shared" si="322"/>
        <v>0</v>
      </c>
      <c r="AN746" s="542" t="str">
        <f t="shared" si="323"/>
        <v/>
      </c>
      <c r="AO746" s="542" t="str">
        <f t="shared" si="324"/>
        <v/>
      </c>
      <c r="AP746" s="543" t="str">
        <f t="shared" si="325"/>
        <v/>
      </c>
      <c r="AQ746" s="544" t="str">
        <f t="shared" si="326"/>
        <v/>
      </c>
      <c r="AR746" s="545">
        <f t="shared" si="327"/>
        <v>0</v>
      </c>
      <c r="AS746" s="545">
        <f>IFERROR(CEILING($AR746*VLOOKUP($I746,Ref!$B$23:$E$29,4,0),1),0)</f>
        <v>0</v>
      </c>
      <c r="AT746" s="545" t="str">
        <f>IF(A746="","",IF(AP746&lt;=1,"Cleared",IF(AS746=0,"Clean",VLOOKUP($AS746,Ref!$G$23:$H$28,2))))</f>
        <v/>
      </c>
      <c r="AU746" s="546" t="str">
        <f t="shared" si="328"/>
        <v/>
      </c>
    </row>
    <row r="747" spans="1:47" ht="14.25" hidden="1" customHeight="1" x14ac:dyDescent="0.15">
      <c r="A747" s="523"/>
      <c r="B747" s="523"/>
      <c r="C747" s="523"/>
      <c r="D747" s="523"/>
      <c r="E747" s="579"/>
      <c r="F747" s="580"/>
      <c r="G747" s="524"/>
      <c r="H747" s="555"/>
      <c r="I747" s="560"/>
      <c r="J747" s="523"/>
      <c r="K747" s="528" t="str">
        <f>IFERROR(VLOOKUP($B747,'Clients-Live'!$A:$C,3,0),"")</f>
        <v/>
      </c>
      <c r="L747" s="528">
        <f>IF(E747="STL",Pricing!$D$38,IF(A747="",0,IF(A747&lt;Pricing!$C$25,Pricing!$D$25,VLOOKUP(Disbursements!$F747,Pricing!$B$29:$D$32,3))))</f>
        <v>0</v>
      </c>
      <c r="M747" s="528">
        <f>IF(E747="STL",0,IF(F747&gt;0,Pricing!$D$21,0))</f>
        <v>0</v>
      </c>
      <c r="N747" s="529">
        <f>IF(E747="STL",F747*Pricing!$D$40,IF(A747&lt;=Pricing!$C$4,0,IF(AND(A747&gt;Pricing!$C$4,Disbursements!A747&lt;=Pricing!$C$5),F747*Pricing!$E$5,IF(AND(A747&gt;Pricing!$C$5,Disbursements!A747&lt;=Pricing!$C$7),VLOOKUP(F747,Pricing!$D$7:$E$8,2)*Disbursements!F747,F747*Pricing!$E$9))))</f>
        <v>0</v>
      </c>
      <c r="O747" s="528">
        <f>IF(E747="STL",0,IF($F747&gt;0,$F747*Pricing!$D$17,0))</f>
        <v>0</v>
      </c>
      <c r="P747" s="530" t="str">
        <f t="shared" si="308"/>
        <v/>
      </c>
      <c r="Q747" s="531" t="str">
        <f>IF($A747="","",$G747/VLOOKUP($I747,Ref!$B$23:$D$29,2,0))</f>
        <v/>
      </c>
      <c r="R747" s="530" t="str">
        <f t="shared" si="309"/>
        <v/>
      </c>
      <c r="S747" s="532" t="str">
        <f t="shared" si="303"/>
        <v/>
      </c>
      <c r="T747" s="531" t="str">
        <f t="shared" si="310"/>
        <v/>
      </c>
      <c r="U747" s="533">
        <f t="shared" si="311"/>
        <v>0</v>
      </c>
      <c r="V747" s="531" t="str">
        <f t="shared" si="312"/>
        <v/>
      </c>
      <c r="W747" s="531" t="str">
        <f t="shared" si="313"/>
        <v/>
      </c>
      <c r="X747" s="534" t="str">
        <f t="shared" si="314"/>
        <v/>
      </c>
      <c r="Y747" s="535" t="str">
        <f>IF($A747="","",IF($I747="weekly",$A747+7,EDATE($A747,VLOOKUP($I747,Ref!$B$24:$C$29,2,0))))</f>
        <v/>
      </c>
      <c r="Z747" s="536" t="str">
        <f t="shared" si="315"/>
        <v/>
      </c>
      <c r="AA747" s="531">
        <f t="shared" si="316"/>
        <v>0</v>
      </c>
      <c r="AB747" s="535" t="str">
        <f t="shared" si="304"/>
        <v/>
      </c>
      <c r="AC747" s="537" t="str">
        <f t="shared" si="305"/>
        <v/>
      </c>
      <c r="AD747" s="538" t="str">
        <f t="shared" ca="1" si="306"/>
        <v/>
      </c>
      <c r="AE747" s="537">
        <f t="shared" ca="1" si="307"/>
        <v>0</v>
      </c>
      <c r="AF747" s="539" t="str">
        <f t="shared" ca="1" si="317"/>
        <v/>
      </c>
      <c r="AG747" s="531" t="str">
        <f t="shared" ca="1" si="318"/>
        <v/>
      </c>
      <c r="AH747" s="531" t="str">
        <f t="shared" ca="1" si="319"/>
        <v/>
      </c>
      <c r="AI747" s="531" t="str">
        <f t="shared" ca="1" si="320"/>
        <v/>
      </c>
      <c r="AJ747" s="531" t="str">
        <f t="shared" si="321"/>
        <v/>
      </c>
      <c r="AK747" s="540">
        <f>SUMIFS('Live Collections'!$S:$S,'Live Collections'!$D:$D,Disbursements!B747,'Live Collections'!$G:$G,Disbursements!C747)</f>
        <v>0</v>
      </c>
      <c r="AL747" s="540">
        <f>SUMIFS('Live Collections'!$T:$T,'Live Collections'!$D:$D,Disbursements!B747,'Live Collections'!$G:$G,Disbursements!C747)</f>
        <v>0</v>
      </c>
      <c r="AM747" s="541">
        <f t="shared" si="322"/>
        <v>0</v>
      </c>
      <c r="AN747" s="542" t="str">
        <f t="shared" si="323"/>
        <v/>
      </c>
      <c r="AO747" s="542" t="str">
        <f t="shared" si="324"/>
        <v/>
      </c>
      <c r="AP747" s="543" t="str">
        <f t="shared" si="325"/>
        <v/>
      </c>
      <c r="AQ747" s="544" t="str">
        <f t="shared" si="326"/>
        <v/>
      </c>
      <c r="AR747" s="545">
        <f t="shared" si="327"/>
        <v>0</v>
      </c>
      <c r="AS747" s="545">
        <f>IFERROR(CEILING($AR747*VLOOKUP($I747,Ref!$B$23:$E$29,4,0),1),0)</f>
        <v>0</v>
      </c>
      <c r="AT747" s="545" t="str">
        <f>IF(A747="","",IF(AP747&lt;=1,"Cleared",IF(AS747=0,"Clean",VLOOKUP($AS747,Ref!$G$23:$H$28,2))))</f>
        <v/>
      </c>
      <c r="AU747" s="546" t="str">
        <f t="shared" si="328"/>
        <v/>
      </c>
    </row>
    <row r="748" spans="1:47" ht="14.25" hidden="1" customHeight="1" x14ac:dyDescent="0.15">
      <c r="A748" s="523"/>
      <c r="B748" s="523"/>
      <c r="C748" s="523"/>
      <c r="D748" s="523"/>
      <c r="E748" s="579"/>
      <c r="F748" s="580"/>
      <c r="G748" s="524"/>
      <c r="H748" s="555"/>
      <c r="I748" s="560"/>
      <c r="J748" s="523"/>
      <c r="K748" s="528" t="str">
        <f>IFERROR(VLOOKUP($B748,'Clients-Live'!$A:$C,3,0),"")</f>
        <v/>
      </c>
      <c r="L748" s="528">
        <f>IF(E748="STL",Pricing!$D$38,IF(A748="",0,IF(A748&lt;Pricing!$C$25,Pricing!$D$25,VLOOKUP(Disbursements!$F748,Pricing!$B$29:$D$32,3))))</f>
        <v>0</v>
      </c>
      <c r="M748" s="528">
        <f>IF(E748="STL",0,IF(F748&gt;0,Pricing!$D$21,0))</f>
        <v>0</v>
      </c>
      <c r="N748" s="529">
        <f>IF(E748="STL",F748*Pricing!$D$40,IF(A748&lt;=Pricing!$C$4,0,IF(AND(A748&gt;Pricing!$C$4,Disbursements!A748&lt;=Pricing!$C$5),F748*Pricing!$E$5,IF(AND(A748&gt;Pricing!$C$5,Disbursements!A748&lt;=Pricing!$C$7),VLOOKUP(F748,Pricing!$D$7:$E$8,2)*Disbursements!F748,F748*Pricing!$E$9))))</f>
        <v>0</v>
      </c>
      <c r="O748" s="528">
        <f>IF(E748="STL",0,IF($F748&gt;0,$F748*Pricing!$D$17,0))</f>
        <v>0</v>
      </c>
      <c r="P748" s="530" t="str">
        <f t="shared" si="308"/>
        <v/>
      </c>
      <c r="Q748" s="531" t="str">
        <f>IF($A748="","",$G748/VLOOKUP($I748,Ref!$B$23:$D$29,2,0))</f>
        <v/>
      </c>
      <c r="R748" s="530" t="str">
        <f t="shared" si="309"/>
        <v/>
      </c>
      <c r="S748" s="532" t="str">
        <f t="shared" si="303"/>
        <v/>
      </c>
      <c r="T748" s="531" t="str">
        <f t="shared" si="310"/>
        <v/>
      </c>
      <c r="U748" s="533">
        <f t="shared" si="311"/>
        <v>0</v>
      </c>
      <c r="V748" s="531" t="str">
        <f t="shared" si="312"/>
        <v/>
      </c>
      <c r="W748" s="531" t="str">
        <f t="shared" si="313"/>
        <v/>
      </c>
      <c r="X748" s="534" t="str">
        <f t="shared" si="314"/>
        <v/>
      </c>
      <c r="Y748" s="535" t="str">
        <f>IF($A748="","",IF($I748="weekly",$A748+7,EDATE($A748,VLOOKUP($I748,Ref!$B$24:$C$29,2,0))))</f>
        <v/>
      </c>
      <c r="Z748" s="536" t="str">
        <f t="shared" si="315"/>
        <v/>
      </c>
      <c r="AA748" s="531">
        <f t="shared" si="316"/>
        <v>0</v>
      </c>
      <c r="AB748" s="535" t="str">
        <f t="shared" si="304"/>
        <v/>
      </c>
      <c r="AC748" s="537" t="str">
        <f t="shared" si="305"/>
        <v/>
      </c>
      <c r="AD748" s="538" t="str">
        <f t="shared" ca="1" si="306"/>
        <v/>
      </c>
      <c r="AE748" s="537">
        <f t="shared" ca="1" si="307"/>
        <v>0</v>
      </c>
      <c r="AF748" s="539" t="str">
        <f t="shared" ca="1" si="317"/>
        <v/>
      </c>
      <c r="AG748" s="531" t="str">
        <f t="shared" ca="1" si="318"/>
        <v/>
      </c>
      <c r="AH748" s="531" t="str">
        <f t="shared" ca="1" si="319"/>
        <v/>
      </c>
      <c r="AI748" s="531" t="str">
        <f t="shared" ca="1" si="320"/>
        <v/>
      </c>
      <c r="AJ748" s="531" t="str">
        <f t="shared" si="321"/>
        <v/>
      </c>
      <c r="AK748" s="540">
        <f>SUMIFS('Live Collections'!$S:$S,'Live Collections'!$D:$D,Disbursements!B748,'Live Collections'!$G:$G,Disbursements!C748)</f>
        <v>0</v>
      </c>
      <c r="AL748" s="540">
        <f>SUMIFS('Live Collections'!$T:$T,'Live Collections'!$D:$D,Disbursements!B748,'Live Collections'!$G:$G,Disbursements!C748)</f>
        <v>0</v>
      </c>
      <c r="AM748" s="541">
        <f t="shared" si="322"/>
        <v>0</v>
      </c>
      <c r="AN748" s="542" t="str">
        <f t="shared" si="323"/>
        <v/>
      </c>
      <c r="AO748" s="542" t="str">
        <f t="shared" si="324"/>
        <v/>
      </c>
      <c r="AP748" s="543" t="str">
        <f t="shared" si="325"/>
        <v/>
      </c>
      <c r="AQ748" s="544" t="str">
        <f t="shared" si="326"/>
        <v/>
      </c>
      <c r="AR748" s="545">
        <f t="shared" si="327"/>
        <v>0</v>
      </c>
      <c r="AS748" s="545">
        <f>IFERROR(CEILING($AR748*VLOOKUP($I748,Ref!$B$23:$E$29,4,0),1),0)</f>
        <v>0</v>
      </c>
      <c r="AT748" s="545" t="str">
        <f>IF(A748="","",IF(AP748&lt;=1,"Cleared",IF(AS748=0,"Clean",VLOOKUP($AS748,Ref!$G$23:$H$28,2))))</f>
        <v/>
      </c>
      <c r="AU748" s="546" t="str">
        <f t="shared" si="328"/>
        <v/>
      </c>
    </row>
    <row r="749" spans="1:47" ht="14.25" hidden="1" customHeight="1" x14ac:dyDescent="0.15">
      <c r="A749" s="523"/>
      <c r="B749" s="523"/>
      <c r="C749" s="523"/>
      <c r="D749" s="523"/>
      <c r="E749" s="579"/>
      <c r="F749" s="580"/>
      <c r="G749" s="524"/>
      <c r="H749" s="555"/>
      <c r="I749" s="560"/>
      <c r="J749" s="523"/>
      <c r="K749" s="528" t="str">
        <f>IFERROR(VLOOKUP($B749,'Clients-Live'!$A:$C,3,0),"")</f>
        <v/>
      </c>
      <c r="L749" s="528">
        <f>IF(E749="STL",Pricing!$D$38,IF(A749="",0,IF(A749&lt;Pricing!$C$25,Pricing!$D$25,VLOOKUP(Disbursements!$F749,Pricing!$B$29:$D$32,3))))</f>
        <v>0</v>
      </c>
      <c r="M749" s="528">
        <f>IF(E749="STL",0,IF(F749&gt;0,Pricing!$D$21,0))</f>
        <v>0</v>
      </c>
      <c r="N749" s="529">
        <f>IF(E749="STL",F749*Pricing!$D$40,IF(A749&lt;=Pricing!$C$4,0,IF(AND(A749&gt;Pricing!$C$4,Disbursements!A749&lt;=Pricing!$C$5),F749*Pricing!$E$5,IF(AND(A749&gt;Pricing!$C$5,Disbursements!A749&lt;=Pricing!$C$7),VLOOKUP(F749,Pricing!$D$7:$E$8,2)*Disbursements!F749,F749*Pricing!$E$9))))</f>
        <v>0</v>
      </c>
      <c r="O749" s="528">
        <f>IF(E749="STL",0,IF($F749&gt;0,$F749*Pricing!$D$17,0))</f>
        <v>0</v>
      </c>
      <c r="P749" s="530" t="str">
        <f t="shared" si="308"/>
        <v/>
      </c>
      <c r="Q749" s="531" t="str">
        <f>IF($A749="","",$G749/VLOOKUP($I749,Ref!$B$23:$D$29,2,0))</f>
        <v/>
      </c>
      <c r="R749" s="530" t="str">
        <f t="shared" si="309"/>
        <v/>
      </c>
      <c r="S749" s="532" t="str">
        <f t="shared" si="303"/>
        <v/>
      </c>
      <c r="T749" s="531" t="str">
        <f t="shared" si="310"/>
        <v/>
      </c>
      <c r="U749" s="533">
        <f t="shared" si="311"/>
        <v>0</v>
      </c>
      <c r="V749" s="531" t="str">
        <f t="shared" si="312"/>
        <v/>
      </c>
      <c r="W749" s="531" t="str">
        <f t="shared" si="313"/>
        <v/>
      </c>
      <c r="X749" s="534" t="str">
        <f t="shared" si="314"/>
        <v/>
      </c>
      <c r="Y749" s="535" t="str">
        <f>IF($A749="","",IF($I749="weekly",$A749+7,EDATE($A749,VLOOKUP($I749,Ref!$B$24:$C$29,2,0))))</f>
        <v/>
      </c>
      <c r="Z749" s="536" t="str">
        <f t="shared" si="315"/>
        <v/>
      </c>
      <c r="AA749" s="531">
        <f t="shared" si="316"/>
        <v>0</v>
      </c>
      <c r="AB749" s="535" t="str">
        <f t="shared" si="304"/>
        <v/>
      </c>
      <c r="AC749" s="537" t="str">
        <f t="shared" si="305"/>
        <v/>
      </c>
      <c r="AD749" s="538" t="str">
        <f t="shared" ca="1" si="306"/>
        <v/>
      </c>
      <c r="AE749" s="537">
        <f t="shared" ca="1" si="307"/>
        <v>0</v>
      </c>
      <c r="AF749" s="539" t="str">
        <f t="shared" ca="1" si="317"/>
        <v/>
      </c>
      <c r="AG749" s="531" t="str">
        <f t="shared" ca="1" si="318"/>
        <v/>
      </c>
      <c r="AH749" s="531" t="str">
        <f t="shared" ca="1" si="319"/>
        <v/>
      </c>
      <c r="AI749" s="531" t="str">
        <f t="shared" ca="1" si="320"/>
        <v/>
      </c>
      <c r="AJ749" s="531" t="str">
        <f t="shared" si="321"/>
        <v/>
      </c>
      <c r="AK749" s="540">
        <f>SUMIFS('Live Collections'!$S:$S,'Live Collections'!$D:$D,Disbursements!B749,'Live Collections'!$G:$G,Disbursements!C749)</f>
        <v>0</v>
      </c>
      <c r="AL749" s="540">
        <f>SUMIFS('Live Collections'!$T:$T,'Live Collections'!$D:$D,Disbursements!B749,'Live Collections'!$G:$G,Disbursements!C749)</f>
        <v>0</v>
      </c>
      <c r="AM749" s="541">
        <f t="shared" si="322"/>
        <v>0</v>
      </c>
      <c r="AN749" s="542" t="str">
        <f t="shared" si="323"/>
        <v/>
      </c>
      <c r="AO749" s="542" t="str">
        <f t="shared" si="324"/>
        <v/>
      </c>
      <c r="AP749" s="543" t="str">
        <f t="shared" si="325"/>
        <v/>
      </c>
      <c r="AQ749" s="544" t="str">
        <f t="shared" si="326"/>
        <v/>
      </c>
      <c r="AR749" s="545">
        <f t="shared" si="327"/>
        <v>0</v>
      </c>
      <c r="AS749" s="545">
        <f>IFERROR(CEILING($AR749*VLOOKUP($I749,Ref!$B$23:$E$29,4,0),1),0)</f>
        <v>0</v>
      </c>
      <c r="AT749" s="545" t="str">
        <f>IF(A749="","",IF(AP749&lt;=1,"Cleared",IF(AS749=0,"Clean",VLOOKUP($AS749,Ref!$G$23:$H$28,2))))</f>
        <v/>
      </c>
      <c r="AU749" s="546" t="str">
        <f t="shared" si="328"/>
        <v/>
      </c>
    </row>
    <row r="750" spans="1:47" ht="14.25" hidden="1" customHeight="1" x14ac:dyDescent="0.15">
      <c r="A750" s="523"/>
      <c r="B750" s="523"/>
      <c r="C750" s="523"/>
      <c r="D750" s="523"/>
      <c r="E750" s="579"/>
      <c r="F750" s="580"/>
      <c r="G750" s="524"/>
      <c r="H750" s="555"/>
      <c r="I750" s="560"/>
      <c r="J750" s="523"/>
      <c r="K750" s="528" t="str">
        <f>IFERROR(VLOOKUP($B750,'Clients-Live'!$A:$C,3,0),"")</f>
        <v/>
      </c>
      <c r="L750" s="528">
        <f>IF(E750="STL",Pricing!$D$38,IF(A750="",0,IF(A750&lt;Pricing!$C$25,Pricing!$D$25,VLOOKUP(Disbursements!$F750,Pricing!$B$29:$D$32,3))))</f>
        <v>0</v>
      </c>
      <c r="M750" s="528">
        <f>IF(E750="STL",0,IF(F750&gt;0,Pricing!$D$21,0))</f>
        <v>0</v>
      </c>
      <c r="N750" s="529">
        <f>IF(E750="STL",F750*Pricing!$D$40,IF(A750&lt;=Pricing!$C$4,0,IF(AND(A750&gt;Pricing!$C$4,Disbursements!A750&lt;=Pricing!$C$5),F750*Pricing!$E$5,IF(AND(A750&gt;Pricing!$C$5,Disbursements!A750&lt;=Pricing!$C$7),VLOOKUP(F750,Pricing!$D$7:$E$8,2)*Disbursements!F750,F750*Pricing!$E$9))))</f>
        <v>0</v>
      </c>
      <c r="O750" s="528">
        <f>IF(E750="STL",0,IF($F750&gt;0,$F750*Pricing!$D$17,0))</f>
        <v>0</v>
      </c>
      <c r="P750" s="530" t="str">
        <f t="shared" si="308"/>
        <v/>
      </c>
      <c r="Q750" s="531" t="str">
        <f>IF($A750="","",$G750/VLOOKUP($I750,Ref!$B$23:$D$29,2,0))</f>
        <v/>
      </c>
      <c r="R750" s="530" t="str">
        <f t="shared" si="309"/>
        <v/>
      </c>
      <c r="S750" s="532" t="str">
        <f t="shared" si="303"/>
        <v/>
      </c>
      <c r="T750" s="531" t="str">
        <f t="shared" si="310"/>
        <v/>
      </c>
      <c r="U750" s="533">
        <f t="shared" si="311"/>
        <v>0</v>
      </c>
      <c r="V750" s="531" t="str">
        <f t="shared" si="312"/>
        <v/>
      </c>
      <c r="W750" s="531" t="str">
        <f t="shared" si="313"/>
        <v/>
      </c>
      <c r="X750" s="534" t="str">
        <f t="shared" si="314"/>
        <v/>
      </c>
      <c r="Y750" s="535" t="str">
        <f>IF($A750="","",IF($I750="weekly",$A750+7,EDATE($A750,VLOOKUP($I750,Ref!$B$24:$C$29,2,0))))</f>
        <v/>
      </c>
      <c r="Z750" s="536" t="str">
        <f t="shared" si="315"/>
        <v/>
      </c>
      <c r="AA750" s="531">
        <f t="shared" si="316"/>
        <v>0</v>
      </c>
      <c r="AB750" s="535" t="str">
        <f t="shared" si="304"/>
        <v/>
      </c>
      <c r="AC750" s="537" t="str">
        <f t="shared" si="305"/>
        <v/>
      </c>
      <c r="AD750" s="538" t="str">
        <f t="shared" ca="1" si="306"/>
        <v/>
      </c>
      <c r="AE750" s="537">
        <f t="shared" ca="1" si="307"/>
        <v>0</v>
      </c>
      <c r="AF750" s="539" t="str">
        <f t="shared" ca="1" si="317"/>
        <v/>
      </c>
      <c r="AG750" s="531" t="str">
        <f t="shared" ca="1" si="318"/>
        <v/>
      </c>
      <c r="AH750" s="531" t="str">
        <f t="shared" ca="1" si="319"/>
        <v/>
      </c>
      <c r="AI750" s="531" t="str">
        <f t="shared" ca="1" si="320"/>
        <v/>
      </c>
      <c r="AJ750" s="531" t="str">
        <f t="shared" si="321"/>
        <v/>
      </c>
      <c r="AK750" s="540">
        <f>SUMIFS('Live Collections'!$S:$S,'Live Collections'!$D:$D,Disbursements!B750,'Live Collections'!$G:$G,Disbursements!C750)</f>
        <v>0</v>
      </c>
      <c r="AL750" s="540">
        <f>SUMIFS('Live Collections'!$T:$T,'Live Collections'!$D:$D,Disbursements!B750,'Live Collections'!$G:$G,Disbursements!C750)</f>
        <v>0</v>
      </c>
      <c r="AM750" s="541">
        <f t="shared" si="322"/>
        <v>0</v>
      </c>
      <c r="AN750" s="542" t="str">
        <f t="shared" si="323"/>
        <v/>
      </c>
      <c r="AO750" s="542" t="str">
        <f t="shared" si="324"/>
        <v/>
      </c>
      <c r="AP750" s="543" t="str">
        <f t="shared" si="325"/>
        <v/>
      </c>
      <c r="AQ750" s="544" t="str">
        <f t="shared" si="326"/>
        <v/>
      </c>
      <c r="AR750" s="545">
        <f t="shared" si="327"/>
        <v>0</v>
      </c>
      <c r="AS750" s="545">
        <f>IFERROR(CEILING($AR750*VLOOKUP($I750,Ref!$B$23:$E$29,4,0),1),0)</f>
        <v>0</v>
      </c>
      <c r="AT750" s="545" t="str">
        <f>IF(A750="","",IF(AP750&lt;=1,"Cleared",IF(AS750=0,"Clean",VLOOKUP($AS750,Ref!$G$23:$H$28,2))))</f>
        <v/>
      </c>
      <c r="AU750" s="546" t="str">
        <f t="shared" si="328"/>
        <v/>
      </c>
    </row>
    <row r="751" spans="1:47" ht="14.25" hidden="1" customHeight="1" x14ac:dyDescent="0.15">
      <c r="A751" s="523"/>
      <c r="B751" s="523"/>
      <c r="C751" s="523"/>
      <c r="D751" s="523"/>
      <c r="E751" s="579"/>
      <c r="F751" s="580"/>
      <c r="G751" s="524"/>
      <c r="H751" s="555"/>
      <c r="I751" s="560"/>
      <c r="J751" s="523"/>
      <c r="K751" s="528" t="str">
        <f>IFERROR(VLOOKUP($B751,'Clients-Live'!$A:$C,3,0),"")</f>
        <v/>
      </c>
      <c r="L751" s="528">
        <f>IF(E751="STL",Pricing!$D$38,IF(A751="",0,IF(A751&lt;Pricing!$C$25,Pricing!$D$25,VLOOKUP(Disbursements!$F751,Pricing!$B$29:$D$32,3))))</f>
        <v>0</v>
      </c>
      <c r="M751" s="528">
        <f>IF(E751="STL",0,IF(F751&gt;0,Pricing!$D$21,0))</f>
        <v>0</v>
      </c>
      <c r="N751" s="529">
        <f>IF(E751="STL",F751*Pricing!$D$40,IF(A751&lt;=Pricing!$C$4,0,IF(AND(A751&gt;Pricing!$C$4,Disbursements!A751&lt;=Pricing!$C$5),F751*Pricing!$E$5,IF(AND(A751&gt;Pricing!$C$5,Disbursements!A751&lt;=Pricing!$C$7),VLOOKUP(F751,Pricing!$D$7:$E$8,2)*Disbursements!F751,F751*Pricing!$E$9))))</f>
        <v>0</v>
      </c>
      <c r="O751" s="528">
        <f>IF(E751="STL",0,IF($F751&gt;0,$F751*Pricing!$D$17,0))</f>
        <v>0</v>
      </c>
      <c r="P751" s="530" t="str">
        <f t="shared" si="308"/>
        <v/>
      </c>
      <c r="Q751" s="531" t="str">
        <f>IF($A751="","",$G751/VLOOKUP($I751,Ref!$B$23:$D$29,2,0))</f>
        <v/>
      </c>
      <c r="R751" s="530" t="str">
        <f t="shared" si="309"/>
        <v/>
      </c>
      <c r="S751" s="532" t="str">
        <f t="shared" si="303"/>
        <v/>
      </c>
      <c r="T751" s="531" t="str">
        <f t="shared" si="310"/>
        <v/>
      </c>
      <c r="U751" s="533">
        <f t="shared" si="311"/>
        <v>0</v>
      </c>
      <c r="V751" s="531" t="str">
        <f t="shared" si="312"/>
        <v/>
      </c>
      <c r="W751" s="531" t="str">
        <f t="shared" si="313"/>
        <v/>
      </c>
      <c r="X751" s="534" t="str">
        <f t="shared" si="314"/>
        <v/>
      </c>
      <c r="Y751" s="535" t="str">
        <f>IF($A751="","",IF($I751="weekly",$A751+7,EDATE($A751,VLOOKUP($I751,Ref!$B$24:$C$29,2,0))))</f>
        <v/>
      </c>
      <c r="Z751" s="536" t="str">
        <f t="shared" si="315"/>
        <v/>
      </c>
      <c r="AA751" s="531">
        <f t="shared" si="316"/>
        <v>0</v>
      </c>
      <c r="AB751" s="535" t="str">
        <f t="shared" si="304"/>
        <v/>
      </c>
      <c r="AC751" s="537" t="str">
        <f t="shared" si="305"/>
        <v/>
      </c>
      <c r="AD751" s="538" t="str">
        <f t="shared" ca="1" si="306"/>
        <v/>
      </c>
      <c r="AE751" s="537">
        <f t="shared" ca="1" si="307"/>
        <v>0</v>
      </c>
      <c r="AF751" s="539" t="str">
        <f t="shared" ca="1" si="317"/>
        <v/>
      </c>
      <c r="AG751" s="531" t="str">
        <f t="shared" ca="1" si="318"/>
        <v/>
      </c>
      <c r="AH751" s="531" t="str">
        <f t="shared" ca="1" si="319"/>
        <v/>
      </c>
      <c r="AI751" s="531" t="str">
        <f t="shared" ca="1" si="320"/>
        <v/>
      </c>
      <c r="AJ751" s="531" t="str">
        <f t="shared" si="321"/>
        <v/>
      </c>
      <c r="AK751" s="540">
        <f>SUMIFS('Live Collections'!$S:$S,'Live Collections'!$D:$D,Disbursements!B751,'Live Collections'!$G:$G,Disbursements!C751)</f>
        <v>0</v>
      </c>
      <c r="AL751" s="540">
        <f>SUMIFS('Live Collections'!$T:$T,'Live Collections'!$D:$D,Disbursements!B751,'Live Collections'!$G:$G,Disbursements!C751)</f>
        <v>0</v>
      </c>
      <c r="AM751" s="541">
        <f t="shared" si="322"/>
        <v>0</v>
      </c>
      <c r="AN751" s="542" t="str">
        <f t="shared" si="323"/>
        <v/>
      </c>
      <c r="AO751" s="542" t="str">
        <f t="shared" si="324"/>
        <v/>
      </c>
      <c r="AP751" s="543" t="str">
        <f t="shared" si="325"/>
        <v/>
      </c>
      <c r="AQ751" s="544" t="str">
        <f t="shared" si="326"/>
        <v/>
      </c>
      <c r="AR751" s="545">
        <f t="shared" si="327"/>
        <v>0</v>
      </c>
      <c r="AS751" s="545">
        <f>IFERROR(CEILING($AR751*VLOOKUP($I751,Ref!$B$23:$E$29,4,0),1),0)</f>
        <v>0</v>
      </c>
      <c r="AT751" s="545" t="str">
        <f>IF(A751="","",IF(AP751&lt;=1,"Cleared",IF(AS751=0,"Clean",VLOOKUP($AS751,Ref!$G$23:$H$28,2))))</f>
        <v/>
      </c>
      <c r="AU751" s="546" t="str">
        <f t="shared" si="328"/>
        <v/>
      </c>
    </row>
    <row r="752" spans="1:47" ht="14.25" hidden="1" customHeight="1" x14ac:dyDescent="0.15">
      <c r="A752" s="523"/>
      <c r="B752" s="523"/>
      <c r="C752" s="523"/>
      <c r="D752" s="523"/>
      <c r="E752" s="579"/>
      <c r="F752" s="580"/>
      <c r="G752" s="524"/>
      <c r="H752" s="555"/>
      <c r="I752" s="560"/>
      <c r="J752" s="523"/>
      <c r="K752" s="528" t="str">
        <f>IFERROR(VLOOKUP($B752,'Clients-Live'!$A:$C,3,0),"")</f>
        <v/>
      </c>
      <c r="L752" s="528">
        <f>IF(E752="STL",Pricing!$D$38,IF(A752="",0,IF(A752&lt;Pricing!$C$25,Pricing!$D$25,VLOOKUP(Disbursements!$F752,Pricing!$B$29:$D$32,3))))</f>
        <v>0</v>
      </c>
      <c r="M752" s="528">
        <f>IF(E752="STL",0,IF(F752&gt;0,Pricing!$D$21,0))</f>
        <v>0</v>
      </c>
      <c r="N752" s="529">
        <f>IF(E752="STL",F752*Pricing!$D$40,IF(A752&lt;=Pricing!$C$4,0,IF(AND(A752&gt;Pricing!$C$4,Disbursements!A752&lt;=Pricing!$C$5),F752*Pricing!$E$5,IF(AND(A752&gt;Pricing!$C$5,Disbursements!A752&lt;=Pricing!$C$7),VLOOKUP(F752,Pricing!$D$7:$E$8,2)*Disbursements!F752,F752*Pricing!$E$9))))</f>
        <v>0</v>
      </c>
      <c r="O752" s="528">
        <f>IF(E752="STL",0,IF($F752&gt;0,$F752*Pricing!$D$17,0))</f>
        <v>0</v>
      </c>
      <c r="P752" s="530" t="str">
        <f t="shared" si="308"/>
        <v/>
      </c>
      <c r="Q752" s="531" t="str">
        <f>IF($A752="","",$G752/VLOOKUP($I752,Ref!$B$23:$D$29,2,0))</f>
        <v/>
      </c>
      <c r="R752" s="530" t="str">
        <f t="shared" si="309"/>
        <v/>
      </c>
      <c r="S752" s="532" t="str">
        <f t="shared" si="303"/>
        <v/>
      </c>
      <c r="T752" s="531" t="str">
        <f t="shared" si="310"/>
        <v/>
      </c>
      <c r="U752" s="533">
        <f t="shared" si="311"/>
        <v>0</v>
      </c>
      <c r="V752" s="531" t="str">
        <f t="shared" si="312"/>
        <v/>
      </c>
      <c r="W752" s="531" t="str">
        <f t="shared" si="313"/>
        <v/>
      </c>
      <c r="X752" s="534" t="str">
        <f t="shared" si="314"/>
        <v/>
      </c>
      <c r="Y752" s="535" t="str">
        <f>IF($A752="","",IF($I752="weekly",$A752+7,EDATE($A752,VLOOKUP($I752,Ref!$B$24:$C$29,2,0))))</f>
        <v/>
      </c>
      <c r="Z752" s="536" t="str">
        <f t="shared" si="315"/>
        <v/>
      </c>
      <c r="AA752" s="531">
        <f t="shared" si="316"/>
        <v>0</v>
      </c>
      <c r="AB752" s="535" t="str">
        <f t="shared" si="304"/>
        <v/>
      </c>
      <c r="AC752" s="537" t="str">
        <f t="shared" si="305"/>
        <v/>
      </c>
      <c r="AD752" s="538" t="str">
        <f t="shared" ca="1" si="306"/>
        <v/>
      </c>
      <c r="AE752" s="537">
        <f t="shared" ca="1" si="307"/>
        <v>0</v>
      </c>
      <c r="AF752" s="539" t="str">
        <f t="shared" ca="1" si="317"/>
        <v/>
      </c>
      <c r="AG752" s="531" t="str">
        <f t="shared" ca="1" si="318"/>
        <v/>
      </c>
      <c r="AH752" s="531" t="str">
        <f t="shared" ca="1" si="319"/>
        <v/>
      </c>
      <c r="AI752" s="531" t="str">
        <f t="shared" ca="1" si="320"/>
        <v/>
      </c>
      <c r="AJ752" s="531" t="str">
        <f t="shared" si="321"/>
        <v/>
      </c>
      <c r="AK752" s="540">
        <f>SUMIFS('Live Collections'!$S:$S,'Live Collections'!$D:$D,Disbursements!B752,'Live Collections'!$G:$G,Disbursements!C752)</f>
        <v>0</v>
      </c>
      <c r="AL752" s="540">
        <f>SUMIFS('Live Collections'!$T:$T,'Live Collections'!$D:$D,Disbursements!B752,'Live Collections'!$G:$G,Disbursements!C752)</f>
        <v>0</v>
      </c>
      <c r="AM752" s="541">
        <f t="shared" si="322"/>
        <v>0</v>
      </c>
      <c r="AN752" s="542" t="str">
        <f t="shared" si="323"/>
        <v/>
      </c>
      <c r="AO752" s="542" t="str">
        <f t="shared" si="324"/>
        <v/>
      </c>
      <c r="AP752" s="543" t="str">
        <f t="shared" si="325"/>
        <v/>
      </c>
      <c r="AQ752" s="544" t="str">
        <f t="shared" si="326"/>
        <v/>
      </c>
      <c r="AR752" s="545">
        <f t="shared" si="327"/>
        <v>0</v>
      </c>
      <c r="AS752" s="545">
        <f>IFERROR(CEILING($AR752*VLOOKUP($I752,Ref!$B$23:$E$29,4,0),1),0)</f>
        <v>0</v>
      </c>
      <c r="AT752" s="545" t="str">
        <f>IF(A752="","",IF(AP752&lt;=1,"Cleared",IF(AS752=0,"Clean",VLOOKUP($AS752,Ref!$G$23:$H$28,2))))</f>
        <v/>
      </c>
      <c r="AU752" s="546" t="str">
        <f t="shared" si="328"/>
        <v/>
      </c>
    </row>
    <row r="753" spans="1:47" ht="14.25" hidden="1" customHeight="1" x14ac:dyDescent="0.15">
      <c r="A753" s="523"/>
      <c r="B753" s="523"/>
      <c r="C753" s="523"/>
      <c r="D753" s="523"/>
      <c r="E753" s="579"/>
      <c r="F753" s="580"/>
      <c r="G753" s="524"/>
      <c r="H753" s="555"/>
      <c r="I753" s="560"/>
      <c r="J753" s="523"/>
      <c r="K753" s="528" t="str">
        <f>IFERROR(VLOOKUP($B753,'Clients-Live'!$A:$C,3,0),"")</f>
        <v/>
      </c>
      <c r="L753" s="528">
        <f>IF(E753="STL",Pricing!$D$38,IF(A753="",0,IF(A753&lt;Pricing!$C$25,Pricing!$D$25,VLOOKUP(Disbursements!$F753,Pricing!$B$29:$D$32,3))))</f>
        <v>0</v>
      </c>
      <c r="M753" s="528">
        <f>IF(E753="STL",0,IF(F753&gt;0,Pricing!$D$21,0))</f>
        <v>0</v>
      </c>
      <c r="N753" s="529">
        <f>IF(E753="STL",F753*Pricing!$D$40,IF(A753&lt;=Pricing!$C$4,0,IF(AND(A753&gt;Pricing!$C$4,Disbursements!A753&lt;=Pricing!$C$5),F753*Pricing!$E$5,IF(AND(A753&gt;Pricing!$C$5,Disbursements!A753&lt;=Pricing!$C$7),VLOOKUP(F753,Pricing!$D$7:$E$8,2)*Disbursements!F753,F753*Pricing!$E$9))))</f>
        <v>0</v>
      </c>
      <c r="O753" s="528">
        <f>IF(E753="STL",0,IF($F753&gt;0,$F753*Pricing!$D$17,0))</f>
        <v>0</v>
      </c>
      <c r="P753" s="530" t="str">
        <f t="shared" si="308"/>
        <v/>
      </c>
      <c r="Q753" s="531" t="str">
        <f>IF($A753="","",$G753/VLOOKUP($I753,Ref!$B$23:$D$29,2,0))</f>
        <v/>
      </c>
      <c r="R753" s="530" t="str">
        <f t="shared" si="309"/>
        <v/>
      </c>
      <c r="S753" s="532" t="str">
        <f t="shared" si="303"/>
        <v/>
      </c>
      <c r="T753" s="531" t="str">
        <f t="shared" si="310"/>
        <v/>
      </c>
      <c r="U753" s="533">
        <f t="shared" si="311"/>
        <v>0</v>
      </c>
      <c r="V753" s="531" t="str">
        <f t="shared" si="312"/>
        <v/>
      </c>
      <c r="W753" s="531" t="str">
        <f t="shared" si="313"/>
        <v/>
      </c>
      <c r="X753" s="534" t="str">
        <f t="shared" si="314"/>
        <v/>
      </c>
      <c r="Y753" s="535" t="str">
        <f>IF($A753="","",IF($I753="weekly",$A753+7,EDATE($A753,VLOOKUP($I753,Ref!$B$24:$C$29,2,0))))</f>
        <v/>
      </c>
      <c r="Z753" s="536" t="str">
        <f t="shared" si="315"/>
        <v/>
      </c>
      <c r="AA753" s="531">
        <f t="shared" si="316"/>
        <v>0</v>
      </c>
      <c r="AB753" s="535" t="str">
        <f t="shared" si="304"/>
        <v/>
      </c>
      <c r="AC753" s="537" t="str">
        <f t="shared" si="305"/>
        <v/>
      </c>
      <c r="AD753" s="538" t="str">
        <f t="shared" ca="1" si="306"/>
        <v/>
      </c>
      <c r="AE753" s="537">
        <f t="shared" ca="1" si="307"/>
        <v>0</v>
      </c>
      <c r="AF753" s="539" t="str">
        <f t="shared" ca="1" si="317"/>
        <v/>
      </c>
      <c r="AG753" s="531" t="str">
        <f t="shared" ca="1" si="318"/>
        <v/>
      </c>
      <c r="AH753" s="531" t="str">
        <f t="shared" ca="1" si="319"/>
        <v/>
      </c>
      <c r="AI753" s="531" t="str">
        <f t="shared" ca="1" si="320"/>
        <v/>
      </c>
      <c r="AJ753" s="531" t="str">
        <f t="shared" si="321"/>
        <v/>
      </c>
      <c r="AK753" s="540">
        <f>SUMIFS('Live Collections'!$S:$S,'Live Collections'!$D:$D,Disbursements!B753,'Live Collections'!$G:$G,Disbursements!C753)</f>
        <v>0</v>
      </c>
      <c r="AL753" s="540">
        <f>SUMIFS('Live Collections'!$T:$T,'Live Collections'!$D:$D,Disbursements!B753,'Live Collections'!$G:$G,Disbursements!C753)</f>
        <v>0</v>
      </c>
      <c r="AM753" s="541">
        <f t="shared" si="322"/>
        <v>0</v>
      </c>
      <c r="AN753" s="542" t="str">
        <f t="shared" si="323"/>
        <v/>
      </c>
      <c r="AO753" s="542" t="str">
        <f t="shared" si="324"/>
        <v/>
      </c>
      <c r="AP753" s="543" t="str">
        <f t="shared" si="325"/>
        <v/>
      </c>
      <c r="AQ753" s="544" t="str">
        <f t="shared" si="326"/>
        <v/>
      </c>
      <c r="AR753" s="545">
        <f t="shared" si="327"/>
        <v>0</v>
      </c>
      <c r="AS753" s="545">
        <f>IFERROR(CEILING($AR753*VLOOKUP($I753,Ref!$B$23:$E$29,4,0),1),0)</f>
        <v>0</v>
      </c>
      <c r="AT753" s="545" t="str">
        <f>IF(A753="","",IF(AP753&lt;=1,"Cleared",IF(AS753=0,"Clean",VLOOKUP($AS753,Ref!$G$23:$H$28,2))))</f>
        <v/>
      </c>
      <c r="AU753" s="546" t="str">
        <f t="shared" si="328"/>
        <v/>
      </c>
    </row>
    <row r="754" spans="1:47" ht="14.25" hidden="1" customHeight="1" x14ac:dyDescent="0.15">
      <c r="A754" s="523"/>
      <c r="B754" s="523"/>
      <c r="C754" s="523"/>
      <c r="D754" s="523"/>
      <c r="E754" s="579"/>
      <c r="F754" s="580"/>
      <c r="G754" s="524"/>
      <c r="H754" s="555"/>
      <c r="I754" s="560"/>
      <c r="J754" s="523"/>
      <c r="K754" s="528" t="str">
        <f>IFERROR(VLOOKUP($B754,'Clients-Live'!$A:$C,3,0),"")</f>
        <v/>
      </c>
      <c r="L754" s="528">
        <f>IF(E754="STL",Pricing!$D$38,IF(A754="",0,IF(A754&lt;Pricing!$C$25,Pricing!$D$25,VLOOKUP(Disbursements!$F754,Pricing!$B$29:$D$32,3))))</f>
        <v>0</v>
      </c>
      <c r="M754" s="528">
        <f>IF(E754="STL",0,IF(F754&gt;0,Pricing!$D$21,0))</f>
        <v>0</v>
      </c>
      <c r="N754" s="529">
        <f>IF(E754="STL",F754*Pricing!$D$40,IF(A754&lt;=Pricing!$C$4,0,IF(AND(A754&gt;Pricing!$C$4,Disbursements!A754&lt;=Pricing!$C$5),F754*Pricing!$E$5,IF(AND(A754&gt;Pricing!$C$5,Disbursements!A754&lt;=Pricing!$C$7),VLOOKUP(F754,Pricing!$D$7:$E$8,2)*Disbursements!F754,F754*Pricing!$E$9))))</f>
        <v>0</v>
      </c>
      <c r="O754" s="528">
        <f>IF(E754="STL",0,IF($F754&gt;0,$F754*Pricing!$D$17,0))</f>
        <v>0</v>
      </c>
      <c r="P754" s="530" t="str">
        <f t="shared" si="308"/>
        <v/>
      </c>
      <c r="Q754" s="531" t="str">
        <f>IF($A754="","",$G754/VLOOKUP($I754,Ref!$B$23:$D$29,2,0))</f>
        <v/>
      </c>
      <c r="R754" s="530" t="str">
        <f t="shared" si="309"/>
        <v/>
      </c>
      <c r="S754" s="532" t="str">
        <f t="shared" si="303"/>
        <v/>
      </c>
      <c r="T754" s="531" t="str">
        <f t="shared" si="310"/>
        <v/>
      </c>
      <c r="U754" s="533">
        <f t="shared" si="311"/>
        <v>0</v>
      </c>
      <c r="V754" s="531" t="str">
        <f t="shared" si="312"/>
        <v/>
      </c>
      <c r="W754" s="531" t="str">
        <f t="shared" si="313"/>
        <v/>
      </c>
      <c r="X754" s="534" t="str">
        <f t="shared" si="314"/>
        <v/>
      </c>
      <c r="Y754" s="535" t="str">
        <f>IF($A754="","",IF($I754="weekly",$A754+7,EDATE($A754,VLOOKUP($I754,Ref!$B$24:$C$29,2,0))))</f>
        <v/>
      </c>
      <c r="Z754" s="536" t="str">
        <f t="shared" si="315"/>
        <v/>
      </c>
      <c r="AA754" s="531">
        <f t="shared" si="316"/>
        <v>0</v>
      </c>
      <c r="AB754" s="535" t="str">
        <f t="shared" si="304"/>
        <v/>
      </c>
      <c r="AC754" s="537" t="str">
        <f t="shared" si="305"/>
        <v/>
      </c>
      <c r="AD754" s="538" t="str">
        <f t="shared" ca="1" si="306"/>
        <v/>
      </c>
      <c r="AE754" s="537">
        <f t="shared" ca="1" si="307"/>
        <v>0</v>
      </c>
      <c r="AF754" s="539" t="str">
        <f t="shared" ca="1" si="317"/>
        <v/>
      </c>
      <c r="AG754" s="531" t="str">
        <f t="shared" ca="1" si="318"/>
        <v/>
      </c>
      <c r="AH754" s="531" t="str">
        <f t="shared" ca="1" si="319"/>
        <v/>
      </c>
      <c r="AI754" s="531" t="str">
        <f t="shared" ca="1" si="320"/>
        <v/>
      </c>
      <c r="AJ754" s="531" t="str">
        <f t="shared" si="321"/>
        <v/>
      </c>
      <c r="AK754" s="540">
        <f>SUMIFS('Live Collections'!$S:$S,'Live Collections'!$D:$D,Disbursements!B754,'Live Collections'!$G:$G,Disbursements!C754)</f>
        <v>0</v>
      </c>
      <c r="AL754" s="540">
        <f>SUMIFS('Live Collections'!$T:$T,'Live Collections'!$D:$D,Disbursements!B754,'Live Collections'!$G:$G,Disbursements!C754)</f>
        <v>0</v>
      </c>
      <c r="AM754" s="541">
        <f t="shared" si="322"/>
        <v>0</v>
      </c>
      <c r="AN754" s="542" t="str">
        <f t="shared" si="323"/>
        <v/>
      </c>
      <c r="AO754" s="542" t="str">
        <f t="shared" si="324"/>
        <v/>
      </c>
      <c r="AP754" s="543" t="str">
        <f t="shared" si="325"/>
        <v/>
      </c>
      <c r="AQ754" s="544" t="str">
        <f t="shared" si="326"/>
        <v/>
      </c>
      <c r="AR754" s="545">
        <f t="shared" si="327"/>
        <v>0</v>
      </c>
      <c r="AS754" s="545">
        <f>IFERROR(CEILING($AR754*VLOOKUP($I754,Ref!$B$23:$E$29,4,0),1),0)</f>
        <v>0</v>
      </c>
      <c r="AT754" s="545" t="str">
        <f>IF(A754="","",IF(AP754&lt;=1,"Cleared",IF(AS754=0,"Clean",VLOOKUP($AS754,Ref!$G$23:$H$28,2))))</f>
        <v/>
      </c>
      <c r="AU754" s="546" t="str">
        <f t="shared" si="328"/>
        <v/>
      </c>
    </row>
    <row r="755" spans="1:47" ht="14.25" hidden="1" customHeight="1" x14ac:dyDescent="0.15">
      <c r="A755" s="523"/>
      <c r="B755" s="523"/>
      <c r="C755" s="523"/>
      <c r="D755" s="523"/>
      <c r="E755" s="579"/>
      <c r="F755" s="580"/>
      <c r="G755" s="524"/>
      <c r="H755" s="555"/>
      <c r="I755" s="560"/>
      <c r="J755" s="523"/>
      <c r="K755" s="528" t="str">
        <f>IFERROR(VLOOKUP($B755,'Clients-Live'!$A:$C,3,0),"")</f>
        <v/>
      </c>
      <c r="L755" s="528">
        <f>IF(E755="STL",Pricing!$D$38,IF(A755="",0,IF(A755&lt;Pricing!$C$25,Pricing!$D$25,VLOOKUP(Disbursements!$F755,Pricing!$B$29:$D$32,3))))</f>
        <v>0</v>
      </c>
      <c r="M755" s="528">
        <f>IF(E755="STL",0,IF(F755&gt;0,Pricing!$D$21,0))</f>
        <v>0</v>
      </c>
      <c r="N755" s="529">
        <f>IF(E755="STL",F755*Pricing!$D$40,IF(A755&lt;=Pricing!$C$4,0,IF(AND(A755&gt;Pricing!$C$4,Disbursements!A755&lt;=Pricing!$C$5),F755*Pricing!$E$5,IF(AND(A755&gt;Pricing!$C$5,Disbursements!A755&lt;=Pricing!$C$7),VLOOKUP(F755,Pricing!$D$7:$E$8,2)*Disbursements!F755,F755*Pricing!$E$9))))</f>
        <v>0</v>
      </c>
      <c r="O755" s="528">
        <f>IF(E755="STL",0,IF($F755&gt;0,$F755*Pricing!$D$17,0))</f>
        <v>0</v>
      </c>
      <c r="P755" s="530" t="str">
        <f t="shared" si="308"/>
        <v/>
      </c>
      <c r="Q755" s="531" t="str">
        <f>IF($A755="","",$G755/VLOOKUP($I755,Ref!$B$23:$D$29,2,0))</f>
        <v/>
      </c>
      <c r="R755" s="530" t="str">
        <f t="shared" si="309"/>
        <v/>
      </c>
      <c r="S755" s="532" t="str">
        <f t="shared" si="303"/>
        <v/>
      </c>
      <c r="T755" s="531" t="str">
        <f t="shared" si="310"/>
        <v/>
      </c>
      <c r="U755" s="533">
        <f t="shared" si="311"/>
        <v>0</v>
      </c>
      <c r="V755" s="531" t="str">
        <f t="shared" si="312"/>
        <v/>
      </c>
      <c r="W755" s="531" t="str">
        <f t="shared" si="313"/>
        <v/>
      </c>
      <c r="X755" s="534" t="str">
        <f t="shared" si="314"/>
        <v/>
      </c>
      <c r="Y755" s="535" t="str">
        <f>IF($A755="","",IF($I755="weekly",$A755+7,EDATE($A755,VLOOKUP($I755,Ref!$B$24:$C$29,2,0))))</f>
        <v/>
      </c>
      <c r="Z755" s="536" t="str">
        <f t="shared" si="315"/>
        <v/>
      </c>
      <c r="AA755" s="531">
        <f t="shared" si="316"/>
        <v>0</v>
      </c>
      <c r="AB755" s="535" t="str">
        <f t="shared" si="304"/>
        <v/>
      </c>
      <c r="AC755" s="537" t="str">
        <f t="shared" si="305"/>
        <v/>
      </c>
      <c r="AD755" s="538" t="str">
        <f t="shared" ca="1" si="306"/>
        <v/>
      </c>
      <c r="AE755" s="537">
        <f t="shared" ca="1" si="307"/>
        <v>0</v>
      </c>
      <c r="AF755" s="539" t="str">
        <f t="shared" ca="1" si="317"/>
        <v/>
      </c>
      <c r="AG755" s="531" t="str">
        <f t="shared" ca="1" si="318"/>
        <v/>
      </c>
      <c r="AH755" s="531" t="str">
        <f t="shared" ca="1" si="319"/>
        <v/>
      </c>
      <c r="AI755" s="531" t="str">
        <f t="shared" ca="1" si="320"/>
        <v/>
      </c>
      <c r="AJ755" s="531" t="str">
        <f t="shared" si="321"/>
        <v/>
      </c>
      <c r="AK755" s="540">
        <f>SUMIFS('Live Collections'!$S:$S,'Live Collections'!$D:$D,Disbursements!B755,'Live Collections'!$G:$G,Disbursements!C755)</f>
        <v>0</v>
      </c>
      <c r="AL755" s="540">
        <f>SUMIFS('Live Collections'!$T:$T,'Live Collections'!$D:$D,Disbursements!B755,'Live Collections'!$G:$G,Disbursements!C755)</f>
        <v>0</v>
      </c>
      <c r="AM755" s="541">
        <f t="shared" si="322"/>
        <v>0</v>
      </c>
      <c r="AN755" s="542" t="str">
        <f t="shared" si="323"/>
        <v/>
      </c>
      <c r="AO755" s="542" t="str">
        <f t="shared" si="324"/>
        <v/>
      </c>
      <c r="AP755" s="543" t="str">
        <f t="shared" si="325"/>
        <v/>
      </c>
      <c r="AQ755" s="544" t="str">
        <f t="shared" si="326"/>
        <v/>
      </c>
      <c r="AR755" s="545">
        <f t="shared" si="327"/>
        <v>0</v>
      </c>
      <c r="AS755" s="545">
        <f>IFERROR(CEILING($AR755*VLOOKUP($I755,Ref!$B$23:$E$29,4,0),1),0)</f>
        <v>0</v>
      </c>
      <c r="AT755" s="545" t="str">
        <f>IF(A755="","",IF(AP755&lt;=1,"Cleared",IF(AS755=0,"Clean",VLOOKUP($AS755,Ref!$G$23:$H$28,2))))</f>
        <v/>
      </c>
      <c r="AU755" s="546" t="str">
        <f t="shared" si="328"/>
        <v/>
      </c>
    </row>
    <row r="756" spans="1:47" ht="14.25" hidden="1" customHeight="1" x14ac:dyDescent="0.15">
      <c r="A756" s="523"/>
      <c r="B756" s="523"/>
      <c r="C756" s="523"/>
      <c r="D756" s="523"/>
      <c r="E756" s="579"/>
      <c r="F756" s="580"/>
      <c r="G756" s="524"/>
      <c r="H756" s="555"/>
      <c r="I756" s="560"/>
      <c r="J756" s="523"/>
      <c r="K756" s="528" t="str">
        <f>IFERROR(VLOOKUP($B756,'Clients-Live'!$A:$C,3,0),"")</f>
        <v/>
      </c>
      <c r="L756" s="528">
        <f>IF(E756="STL",Pricing!$D$38,IF(A756="",0,IF(A756&lt;Pricing!$C$25,Pricing!$D$25,VLOOKUP(Disbursements!$F756,Pricing!$B$29:$D$32,3))))</f>
        <v>0</v>
      </c>
      <c r="M756" s="528">
        <f>IF(E756="STL",0,IF(F756&gt;0,Pricing!$D$21,0))</f>
        <v>0</v>
      </c>
      <c r="N756" s="529">
        <f>IF(E756="STL",F756*Pricing!$D$40,IF(A756&lt;=Pricing!$C$4,0,IF(AND(A756&gt;Pricing!$C$4,Disbursements!A756&lt;=Pricing!$C$5),F756*Pricing!$E$5,IF(AND(A756&gt;Pricing!$C$5,Disbursements!A756&lt;=Pricing!$C$7),VLOOKUP(F756,Pricing!$D$7:$E$8,2)*Disbursements!F756,F756*Pricing!$E$9))))</f>
        <v>0</v>
      </c>
      <c r="O756" s="528">
        <f>IF(E756="STL",0,IF($F756&gt;0,$F756*Pricing!$D$17,0))</f>
        <v>0</v>
      </c>
      <c r="P756" s="530" t="str">
        <f t="shared" si="308"/>
        <v/>
      </c>
      <c r="Q756" s="531" t="str">
        <f>IF($A756="","",$G756/VLOOKUP($I756,Ref!$B$23:$D$29,2,0))</f>
        <v/>
      </c>
      <c r="R756" s="530" t="str">
        <f t="shared" si="309"/>
        <v/>
      </c>
      <c r="S756" s="532" t="str">
        <f t="shared" si="303"/>
        <v/>
      </c>
      <c r="T756" s="531" t="str">
        <f t="shared" si="310"/>
        <v/>
      </c>
      <c r="U756" s="533">
        <f t="shared" si="311"/>
        <v>0</v>
      </c>
      <c r="V756" s="531" t="str">
        <f t="shared" si="312"/>
        <v/>
      </c>
      <c r="W756" s="531" t="str">
        <f t="shared" si="313"/>
        <v/>
      </c>
      <c r="X756" s="534" t="str">
        <f t="shared" si="314"/>
        <v/>
      </c>
      <c r="Y756" s="535" t="str">
        <f>IF($A756="","",IF($I756="weekly",$A756+7,EDATE($A756,VLOOKUP($I756,Ref!$B$24:$C$29,2,0))))</f>
        <v/>
      </c>
      <c r="Z756" s="536" t="str">
        <f t="shared" si="315"/>
        <v/>
      </c>
      <c r="AA756" s="531">
        <f t="shared" si="316"/>
        <v>0</v>
      </c>
      <c r="AB756" s="535" t="str">
        <f t="shared" si="304"/>
        <v/>
      </c>
      <c r="AC756" s="537" t="str">
        <f t="shared" si="305"/>
        <v/>
      </c>
      <c r="AD756" s="538" t="str">
        <f t="shared" ca="1" si="306"/>
        <v/>
      </c>
      <c r="AE756" s="537">
        <f t="shared" ca="1" si="307"/>
        <v>0</v>
      </c>
      <c r="AF756" s="539" t="str">
        <f t="shared" ca="1" si="317"/>
        <v/>
      </c>
      <c r="AG756" s="531" t="str">
        <f t="shared" ca="1" si="318"/>
        <v/>
      </c>
      <c r="AH756" s="531" t="str">
        <f t="shared" ca="1" si="319"/>
        <v/>
      </c>
      <c r="AI756" s="531" t="str">
        <f t="shared" ca="1" si="320"/>
        <v/>
      </c>
      <c r="AJ756" s="531" t="str">
        <f t="shared" si="321"/>
        <v/>
      </c>
      <c r="AK756" s="540">
        <f>SUMIFS('Live Collections'!$S:$S,'Live Collections'!$D:$D,Disbursements!B756,'Live Collections'!$G:$G,Disbursements!C756)</f>
        <v>0</v>
      </c>
      <c r="AL756" s="540">
        <f>SUMIFS('Live Collections'!$T:$T,'Live Collections'!$D:$D,Disbursements!B756,'Live Collections'!$G:$G,Disbursements!C756)</f>
        <v>0</v>
      </c>
      <c r="AM756" s="541">
        <f t="shared" si="322"/>
        <v>0</v>
      </c>
      <c r="AN756" s="542" t="str">
        <f t="shared" si="323"/>
        <v/>
      </c>
      <c r="AO756" s="542" t="str">
        <f t="shared" si="324"/>
        <v/>
      </c>
      <c r="AP756" s="543" t="str">
        <f t="shared" si="325"/>
        <v/>
      </c>
      <c r="AQ756" s="544" t="str">
        <f t="shared" si="326"/>
        <v/>
      </c>
      <c r="AR756" s="545">
        <f t="shared" si="327"/>
        <v>0</v>
      </c>
      <c r="AS756" s="545">
        <f>IFERROR(CEILING($AR756*VLOOKUP($I756,Ref!$B$23:$E$29,4,0),1),0)</f>
        <v>0</v>
      </c>
      <c r="AT756" s="545" t="str">
        <f>IF(A756="","",IF(AP756&lt;=1,"Cleared",IF(AS756=0,"Clean",VLOOKUP($AS756,Ref!$G$23:$H$28,2))))</f>
        <v/>
      </c>
      <c r="AU756" s="546" t="str">
        <f t="shared" si="328"/>
        <v/>
      </c>
    </row>
    <row r="757" spans="1:47" ht="14.25" hidden="1" customHeight="1" x14ac:dyDescent="0.15">
      <c r="A757" s="523"/>
      <c r="B757" s="523"/>
      <c r="C757" s="523"/>
      <c r="D757" s="523"/>
      <c r="E757" s="579"/>
      <c r="F757" s="580"/>
      <c r="G757" s="524"/>
      <c r="H757" s="555"/>
      <c r="I757" s="560"/>
      <c r="J757" s="523"/>
      <c r="K757" s="528" t="str">
        <f>IFERROR(VLOOKUP($B757,'Clients-Live'!$A:$C,3,0),"")</f>
        <v/>
      </c>
      <c r="L757" s="528">
        <f>IF(E757="STL",Pricing!$D$38,IF(A757="",0,IF(A757&lt;Pricing!$C$25,Pricing!$D$25,VLOOKUP(Disbursements!$F757,Pricing!$B$29:$D$32,3))))</f>
        <v>0</v>
      </c>
      <c r="M757" s="528">
        <f>IF(E757="STL",0,IF(F757&gt;0,Pricing!$D$21,0))</f>
        <v>0</v>
      </c>
      <c r="N757" s="529">
        <f>IF(E757="STL",F757*Pricing!$D$40,IF(A757&lt;=Pricing!$C$4,0,IF(AND(A757&gt;Pricing!$C$4,Disbursements!A757&lt;=Pricing!$C$5),F757*Pricing!$E$5,IF(AND(A757&gt;Pricing!$C$5,Disbursements!A757&lt;=Pricing!$C$7),VLOOKUP(F757,Pricing!$D$7:$E$8,2)*Disbursements!F757,F757*Pricing!$E$9))))</f>
        <v>0</v>
      </c>
      <c r="O757" s="528">
        <f>IF(E757="STL",0,IF($F757&gt;0,$F757*Pricing!$D$17,0))</f>
        <v>0</v>
      </c>
      <c r="P757" s="530" t="str">
        <f t="shared" si="308"/>
        <v/>
      </c>
      <c r="Q757" s="531" t="str">
        <f>IF($A757="","",$G757/VLOOKUP($I757,Ref!$B$23:$D$29,2,0))</f>
        <v/>
      </c>
      <c r="R757" s="530" t="str">
        <f t="shared" si="309"/>
        <v/>
      </c>
      <c r="S757" s="532" t="str">
        <f t="shared" si="303"/>
        <v/>
      </c>
      <c r="T757" s="531" t="str">
        <f t="shared" si="310"/>
        <v/>
      </c>
      <c r="U757" s="533">
        <f t="shared" si="311"/>
        <v>0</v>
      </c>
      <c r="V757" s="531" t="str">
        <f t="shared" si="312"/>
        <v/>
      </c>
      <c r="W757" s="531" t="str">
        <f t="shared" si="313"/>
        <v/>
      </c>
      <c r="X757" s="534" t="str">
        <f t="shared" si="314"/>
        <v/>
      </c>
      <c r="Y757" s="535" t="str">
        <f>IF($A757="","",IF($I757="weekly",$A757+7,EDATE($A757,VLOOKUP($I757,Ref!$B$24:$C$29,2,0))))</f>
        <v/>
      </c>
      <c r="Z757" s="536" t="str">
        <f t="shared" si="315"/>
        <v/>
      </c>
      <c r="AA757" s="531">
        <f t="shared" si="316"/>
        <v>0</v>
      </c>
      <c r="AB757" s="535" t="str">
        <f t="shared" si="304"/>
        <v/>
      </c>
      <c r="AC757" s="537" t="str">
        <f t="shared" si="305"/>
        <v/>
      </c>
      <c r="AD757" s="538" t="str">
        <f t="shared" ca="1" si="306"/>
        <v/>
      </c>
      <c r="AE757" s="537">
        <f t="shared" ca="1" si="307"/>
        <v>0</v>
      </c>
      <c r="AF757" s="539" t="str">
        <f t="shared" ca="1" si="317"/>
        <v/>
      </c>
      <c r="AG757" s="531" t="str">
        <f t="shared" ca="1" si="318"/>
        <v/>
      </c>
      <c r="AH757" s="531" t="str">
        <f t="shared" ca="1" si="319"/>
        <v/>
      </c>
      <c r="AI757" s="531" t="str">
        <f t="shared" ca="1" si="320"/>
        <v/>
      </c>
      <c r="AJ757" s="531" t="str">
        <f t="shared" si="321"/>
        <v/>
      </c>
      <c r="AK757" s="540">
        <f>SUMIFS('Live Collections'!$S:$S,'Live Collections'!$D:$D,Disbursements!B757,'Live Collections'!$G:$G,Disbursements!C757)</f>
        <v>0</v>
      </c>
      <c r="AL757" s="540">
        <f>SUMIFS('Live Collections'!$T:$T,'Live Collections'!$D:$D,Disbursements!B757,'Live Collections'!$G:$G,Disbursements!C757)</f>
        <v>0</v>
      </c>
      <c r="AM757" s="541">
        <f t="shared" si="322"/>
        <v>0</v>
      </c>
      <c r="AN757" s="542" t="str">
        <f t="shared" si="323"/>
        <v/>
      </c>
      <c r="AO757" s="542" t="str">
        <f t="shared" si="324"/>
        <v/>
      </c>
      <c r="AP757" s="543" t="str">
        <f t="shared" si="325"/>
        <v/>
      </c>
      <c r="AQ757" s="544" t="str">
        <f t="shared" si="326"/>
        <v/>
      </c>
      <c r="AR757" s="545">
        <f t="shared" si="327"/>
        <v>0</v>
      </c>
      <c r="AS757" s="545">
        <f>IFERROR(CEILING($AR757*VLOOKUP($I757,Ref!$B$23:$E$29,4,0),1),0)</f>
        <v>0</v>
      </c>
      <c r="AT757" s="545" t="str">
        <f>IF(A757="","",IF(AP757&lt;=1,"Cleared",IF(AS757=0,"Clean",VLOOKUP($AS757,Ref!$G$23:$H$28,2))))</f>
        <v/>
      </c>
      <c r="AU757" s="546" t="str">
        <f t="shared" si="328"/>
        <v/>
      </c>
    </row>
    <row r="758" spans="1:47" ht="14.25" hidden="1" customHeight="1" x14ac:dyDescent="0.15">
      <c r="A758" s="523"/>
      <c r="B758" s="523"/>
      <c r="C758" s="523"/>
      <c r="D758" s="523"/>
      <c r="E758" s="579"/>
      <c r="F758" s="580"/>
      <c r="G758" s="524"/>
      <c r="H758" s="555"/>
      <c r="I758" s="560"/>
      <c r="J758" s="523"/>
      <c r="K758" s="528" t="str">
        <f>IFERROR(VLOOKUP($B758,'Clients-Live'!$A:$C,3,0),"")</f>
        <v/>
      </c>
      <c r="L758" s="528">
        <f>IF(E758="STL",Pricing!$D$38,IF(A758="",0,IF(A758&lt;Pricing!$C$25,Pricing!$D$25,VLOOKUP(Disbursements!$F758,Pricing!$B$29:$D$32,3))))</f>
        <v>0</v>
      </c>
      <c r="M758" s="528">
        <f>IF(E758="STL",0,IF(F758&gt;0,Pricing!$D$21,0))</f>
        <v>0</v>
      </c>
      <c r="N758" s="529">
        <f>IF(E758="STL",F758*Pricing!$D$40,IF(A758&lt;=Pricing!$C$4,0,IF(AND(A758&gt;Pricing!$C$4,Disbursements!A758&lt;=Pricing!$C$5),F758*Pricing!$E$5,IF(AND(A758&gt;Pricing!$C$5,Disbursements!A758&lt;=Pricing!$C$7),VLOOKUP(F758,Pricing!$D$7:$E$8,2)*Disbursements!F758,F758*Pricing!$E$9))))</f>
        <v>0</v>
      </c>
      <c r="O758" s="528">
        <f>IF(E758="STL",0,IF($F758&gt;0,$F758*Pricing!$D$17,0))</f>
        <v>0</v>
      </c>
      <c r="P758" s="530" t="str">
        <f t="shared" si="308"/>
        <v/>
      </c>
      <c r="Q758" s="531" t="str">
        <f>IF($A758="","",$G758/VLOOKUP($I758,Ref!$B$23:$D$29,2,0))</f>
        <v/>
      </c>
      <c r="R758" s="530" t="str">
        <f t="shared" si="309"/>
        <v/>
      </c>
      <c r="S758" s="532" t="str">
        <f t="shared" si="303"/>
        <v/>
      </c>
      <c r="T758" s="531" t="str">
        <f t="shared" si="310"/>
        <v/>
      </c>
      <c r="U758" s="533">
        <f t="shared" si="311"/>
        <v>0</v>
      </c>
      <c r="V758" s="531" t="str">
        <f t="shared" si="312"/>
        <v/>
      </c>
      <c r="W758" s="531" t="str">
        <f t="shared" si="313"/>
        <v/>
      </c>
      <c r="X758" s="534" t="str">
        <f t="shared" si="314"/>
        <v/>
      </c>
      <c r="Y758" s="535" t="str">
        <f>IF($A758="","",IF($I758="weekly",$A758+7,EDATE($A758,VLOOKUP($I758,Ref!$B$24:$C$29,2,0))))</f>
        <v/>
      </c>
      <c r="Z758" s="536" t="str">
        <f t="shared" si="315"/>
        <v/>
      </c>
      <c r="AA758" s="531">
        <f t="shared" si="316"/>
        <v>0</v>
      </c>
      <c r="AB758" s="535" t="str">
        <f t="shared" si="304"/>
        <v/>
      </c>
      <c r="AC758" s="537" t="str">
        <f t="shared" si="305"/>
        <v/>
      </c>
      <c r="AD758" s="538" t="str">
        <f t="shared" ca="1" si="306"/>
        <v/>
      </c>
      <c r="AE758" s="537">
        <f t="shared" ca="1" si="307"/>
        <v>0</v>
      </c>
      <c r="AF758" s="539" t="str">
        <f t="shared" ca="1" si="317"/>
        <v/>
      </c>
      <c r="AG758" s="531" t="str">
        <f t="shared" ca="1" si="318"/>
        <v/>
      </c>
      <c r="AH758" s="531" t="str">
        <f t="shared" ca="1" si="319"/>
        <v/>
      </c>
      <c r="AI758" s="531" t="str">
        <f t="shared" ca="1" si="320"/>
        <v/>
      </c>
      <c r="AJ758" s="531" t="str">
        <f t="shared" si="321"/>
        <v/>
      </c>
      <c r="AK758" s="540">
        <f>SUMIFS('Live Collections'!$S:$S,'Live Collections'!$D:$D,Disbursements!B758,'Live Collections'!$G:$G,Disbursements!C758)</f>
        <v>0</v>
      </c>
      <c r="AL758" s="540">
        <f>SUMIFS('Live Collections'!$T:$T,'Live Collections'!$D:$D,Disbursements!B758,'Live Collections'!$G:$G,Disbursements!C758)</f>
        <v>0</v>
      </c>
      <c r="AM758" s="541">
        <f t="shared" si="322"/>
        <v>0</v>
      </c>
      <c r="AN758" s="542" t="str">
        <f t="shared" si="323"/>
        <v/>
      </c>
      <c r="AO758" s="542" t="str">
        <f t="shared" si="324"/>
        <v/>
      </c>
      <c r="AP758" s="543" t="str">
        <f t="shared" si="325"/>
        <v/>
      </c>
      <c r="AQ758" s="544" t="str">
        <f t="shared" si="326"/>
        <v/>
      </c>
      <c r="AR758" s="545">
        <f t="shared" si="327"/>
        <v>0</v>
      </c>
      <c r="AS758" s="545">
        <f>IFERROR(CEILING($AR758*VLOOKUP($I758,Ref!$B$23:$E$29,4,0),1),0)</f>
        <v>0</v>
      </c>
      <c r="AT758" s="545" t="str">
        <f>IF(A758="","",IF(AP758&lt;=1,"Cleared",IF(AS758=0,"Clean",VLOOKUP($AS758,Ref!$G$23:$H$28,2))))</f>
        <v/>
      </c>
      <c r="AU758" s="546" t="str">
        <f t="shared" si="328"/>
        <v/>
      </c>
    </row>
    <row r="759" spans="1:47" ht="14.25" hidden="1" customHeight="1" x14ac:dyDescent="0.15">
      <c r="A759" s="523"/>
      <c r="B759" s="523"/>
      <c r="C759" s="523"/>
      <c r="D759" s="523"/>
      <c r="E759" s="579"/>
      <c r="F759" s="580"/>
      <c r="G759" s="524"/>
      <c r="H759" s="555"/>
      <c r="I759" s="560"/>
      <c r="J759" s="523"/>
      <c r="K759" s="528" t="str">
        <f>IFERROR(VLOOKUP($B759,'Clients-Live'!$A:$C,3,0),"")</f>
        <v/>
      </c>
      <c r="L759" s="528">
        <f>IF(E759="STL",Pricing!$D$38,IF(A759="",0,IF(A759&lt;Pricing!$C$25,Pricing!$D$25,VLOOKUP(Disbursements!$F759,Pricing!$B$29:$D$32,3))))</f>
        <v>0</v>
      </c>
      <c r="M759" s="528">
        <f>IF(E759="STL",0,IF(F759&gt;0,Pricing!$D$21,0))</f>
        <v>0</v>
      </c>
      <c r="N759" s="529">
        <f>IF(E759="STL",F759*Pricing!$D$40,IF(A759&lt;=Pricing!$C$4,0,IF(AND(A759&gt;Pricing!$C$4,Disbursements!A759&lt;=Pricing!$C$5),F759*Pricing!$E$5,IF(AND(A759&gt;Pricing!$C$5,Disbursements!A759&lt;=Pricing!$C$7),VLOOKUP(F759,Pricing!$D$7:$E$8,2)*Disbursements!F759,F759*Pricing!$E$9))))</f>
        <v>0</v>
      </c>
      <c r="O759" s="528">
        <f>IF(E759="STL",0,IF($F759&gt;0,$F759*Pricing!$D$17,0))</f>
        <v>0</v>
      </c>
      <c r="P759" s="530" t="str">
        <f t="shared" si="308"/>
        <v/>
      </c>
      <c r="Q759" s="531" t="str">
        <f>IF($A759="","",$G759/VLOOKUP($I759,Ref!$B$23:$D$29,2,0))</f>
        <v/>
      </c>
      <c r="R759" s="530" t="str">
        <f t="shared" si="309"/>
        <v/>
      </c>
      <c r="S759" s="532" t="str">
        <f t="shared" si="303"/>
        <v/>
      </c>
      <c r="T759" s="531" t="str">
        <f t="shared" si="310"/>
        <v/>
      </c>
      <c r="U759" s="533">
        <f t="shared" si="311"/>
        <v>0</v>
      </c>
      <c r="V759" s="531" t="str">
        <f t="shared" si="312"/>
        <v/>
      </c>
      <c r="W759" s="531" t="str">
        <f t="shared" si="313"/>
        <v/>
      </c>
      <c r="X759" s="534" t="str">
        <f t="shared" si="314"/>
        <v/>
      </c>
      <c r="Y759" s="535" t="str">
        <f>IF($A759="","",IF($I759="weekly",$A759+7,EDATE($A759,VLOOKUP($I759,Ref!$B$24:$C$29,2,0))))</f>
        <v/>
      </c>
      <c r="Z759" s="536" t="str">
        <f t="shared" si="315"/>
        <v/>
      </c>
      <c r="AA759" s="531">
        <f t="shared" si="316"/>
        <v>0</v>
      </c>
      <c r="AB759" s="535" t="str">
        <f t="shared" si="304"/>
        <v/>
      </c>
      <c r="AC759" s="537" t="str">
        <f t="shared" si="305"/>
        <v/>
      </c>
      <c r="AD759" s="538" t="str">
        <f t="shared" ca="1" si="306"/>
        <v/>
      </c>
      <c r="AE759" s="537">
        <f t="shared" ca="1" si="307"/>
        <v>0</v>
      </c>
      <c r="AF759" s="539" t="str">
        <f t="shared" ca="1" si="317"/>
        <v/>
      </c>
      <c r="AG759" s="531" t="str">
        <f t="shared" ca="1" si="318"/>
        <v/>
      </c>
      <c r="AH759" s="531" t="str">
        <f t="shared" ca="1" si="319"/>
        <v/>
      </c>
      <c r="AI759" s="531" t="str">
        <f t="shared" ca="1" si="320"/>
        <v/>
      </c>
      <c r="AJ759" s="531" t="str">
        <f t="shared" si="321"/>
        <v/>
      </c>
      <c r="AK759" s="540">
        <f>SUMIFS('Live Collections'!$S:$S,'Live Collections'!$D:$D,Disbursements!B759,'Live Collections'!$G:$G,Disbursements!C759)</f>
        <v>0</v>
      </c>
      <c r="AL759" s="540">
        <f>SUMIFS('Live Collections'!$T:$T,'Live Collections'!$D:$D,Disbursements!B759,'Live Collections'!$G:$G,Disbursements!C759)</f>
        <v>0</v>
      </c>
      <c r="AM759" s="541">
        <f t="shared" si="322"/>
        <v>0</v>
      </c>
      <c r="AN759" s="542" t="str">
        <f t="shared" si="323"/>
        <v/>
      </c>
      <c r="AO759" s="542" t="str">
        <f t="shared" si="324"/>
        <v/>
      </c>
      <c r="AP759" s="543" t="str">
        <f t="shared" si="325"/>
        <v/>
      </c>
      <c r="AQ759" s="544" t="str">
        <f t="shared" si="326"/>
        <v/>
      </c>
      <c r="AR759" s="545">
        <f t="shared" si="327"/>
        <v>0</v>
      </c>
      <c r="AS759" s="545">
        <f>IFERROR(CEILING($AR759*VLOOKUP($I759,Ref!$B$23:$E$29,4,0),1),0)</f>
        <v>0</v>
      </c>
      <c r="AT759" s="545" t="str">
        <f>IF(A759="","",IF(AP759&lt;=1,"Cleared",IF(AS759=0,"Clean",VLOOKUP($AS759,Ref!$G$23:$H$28,2))))</f>
        <v/>
      </c>
      <c r="AU759" s="546" t="str">
        <f t="shared" si="328"/>
        <v/>
      </c>
    </row>
    <row r="760" spans="1:47" ht="14.25" hidden="1" customHeight="1" x14ac:dyDescent="0.15">
      <c r="A760" s="523"/>
      <c r="B760" s="523"/>
      <c r="C760" s="523"/>
      <c r="D760" s="523"/>
      <c r="E760" s="579"/>
      <c r="F760" s="580"/>
      <c r="G760" s="524"/>
      <c r="H760" s="555"/>
      <c r="I760" s="560"/>
      <c r="J760" s="523"/>
      <c r="K760" s="528" t="str">
        <f>IFERROR(VLOOKUP($B760,'Clients-Live'!$A:$C,3,0),"")</f>
        <v/>
      </c>
      <c r="L760" s="528">
        <f>IF(E760="STL",Pricing!$D$38,IF(A760="",0,IF(A760&lt;Pricing!$C$25,Pricing!$D$25,VLOOKUP(Disbursements!$F760,Pricing!$B$29:$D$32,3))))</f>
        <v>0</v>
      </c>
      <c r="M760" s="528">
        <f>IF(E760="STL",0,IF(F760&gt;0,Pricing!$D$21,0))</f>
        <v>0</v>
      </c>
      <c r="N760" s="529">
        <f>IF(E760="STL",F760*Pricing!$D$40,IF(A760&lt;=Pricing!$C$4,0,IF(AND(A760&gt;Pricing!$C$4,Disbursements!A760&lt;=Pricing!$C$5),F760*Pricing!$E$5,IF(AND(A760&gt;Pricing!$C$5,Disbursements!A760&lt;=Pricing!$C$7),VLOOKUP(F760,Pricing!$D$7:$E$8,2)*Disbursements!F760,F760*Pricing!$E$9))))</f>
        <v>0</v>
      </c>
      <c r="O760" s="528">
        <f>IF(E760="STL",0,IF($F760&gt;0,$F760*Pricing!$D$17,0))</f>
        <v>0</v>
      </c>
      <c r="P760" s="530" t="str">
        <f t="shared" si="308"/>
        <v/>
      </c>
      <c r="Q760" s="531" t="str">
        <f>IF($A760="","",$G760/VLOOKUP($I760,Ref!$B$23:$D$29,2,0))</f>
        <v/>
      </c>
      <c r="R760" s="530" t="str">
        <f t="shared" si="309"/>
        <v/>
      </c>
      <c r="S760" s="532" t="str">
        <f t="shared" si="303"/>
        <v/>
      </c>
      <c r="T760" s="531" t="str">
        <f t="shared" si="310"/>
        <v/>
      </c>
      <c r="U760" s="533">
        <f t="shared" si="311"/>
        <v>0</v>
      </c>
      <c r="V760" s="531" t="str">
        <f t="shared" si="312"/>
        <v/>
      </c>
      <c r="W760" s="531" t="str">
        <f t="shared" si="313"/>
        <v/>
      </c>
      <c r="X760" s="534" t="str">
        <f t="shared" si="314"/>
        <v/>
      </c>
      <c r="Y760" s="535" t="str">
        <f>IF($A760="","",IF($I760="weekly",$A760+7,EDATE($A760,VLOOKUP($I760,Ref!$B$24:$C$29,2,0))))</f>
        <v/>
      </c>
      <c r="Z760" s="536" t="str">
        <f t="shared" si="315"/>
        <v/>
      </c>
      <c r="AA760" s="531">
        <f t="shared" si="316"/>
        <v>0</v>
      </c>
      <c r="AB760" s="535" t="str">
        <f t="shared" si="304"/>
        <v/>
      </c>
      <c r="AC760" s="537" t="str">
        <f t="shared" si="305"/>
        <v/>
      </c>
      <c r="AD760" s="538" t="str">
        <f t="shared" ca="1" si="306"/>
        <v/>
      </c>
      <c r="AE760" s="537">
        <f t="shared" ca="1" si="307"/>
        <v>0</v>
      </c>
      <c r="AF760" s="539" t="str">
        <f t="shared" ca="1" si="317"/>
        <v/>
      </c>
      <c r="AG760" s="531" t="str">
        <f t="shared" ca="1" si="318"/>
        <v/>
      </c>
      <c r="AH760" s="531" t="str">
        <f t="shared" ca="1" si="319"/>
        <v/>
      </c>
      <c r="AI760" s="531" t="str">
        <f t="shared" ca="1" si="320"/>
        <v/>
      </c>
      <c r="AJ760" s="531" t="str">
        <f t="shared" si="321"/>
        <v/>
      </c>
      <c r="AK760" s="540">
        <f>SUMIFS('Live Collections'!$S:$S,'Live Collections'!$D:$D,Disbursements!B760,'Live Collections'!$G:$G,Disbursements!C760)</f>
        <v>0</v>
      </c>
      <c r="AL760" s="540">
        <f>SUMIFS('Live Collections'!$T:$T,'Live Collections'!$D:$D,Disbursements!B760,'Live Collections'!$G:$G,Disbursements!C760)</f>
        <v>0</v>
      </c>
      <c r="AM760" s="541">
        <f t="shared" si="322"/>
        <v>0</v>
      </c>
      <c r="AN760" s="542" t="str">
        <f t="shared" si="323"/>
        <v/>
      </c>
      <c r="AO760" s="542" t="str">
        <f t="shared" si="324"/>
        <v/>
      </c>
      <c r="AP760" s="543" t="str">
        <f t="shared" si="325"/>
        <v/>
      </c>
      <c r="AQ760" s="544" t="str">
        <f t="shared" si="326"/>
        <v/>
      </c>
      <c r="AR760" s="545">
        <f t="shared" si="327"/>
        <v>0</v>
      </c>
      <c r="AS760" s="545">
        <f>IFERROR(CEILING($AR760*VLOOKUP($I760,Ref!$B$23:$E$29,4,0),1),0)</f>
        <v>0</v>
      </c>
      <c r="AT760" s="545" t="str">
        <f>IF(A760="","",IF(AP760&lt;=1,"Cleared",IF(AS760=0,"Clean",VLOOKUP($AS760,Ref!$G$23:$H$28,2))))</f>
        <v/>
      </c>
      <c r="AU760" s="546" t="str">
        <f t="shared" si="328"/>
        <v/>
      </c>
    </row>
    <row r="761" spans="1:47" ht="14.25" hidden="1" customHeight="1" x14ac:dyDescent="0.15">
      <c r="A761" s="523"/>
      <c r="B761" s="523"/>
      <c r="C761" s="523"/>
      <c r="D761" s="523"/>
      <c r="E761" s="579"/>
      <c r="F761" s="580"/>
      <c r="G761" s="524"/>
      <c r="H761" s="555"/>
      <c r="I761" s="560"/>
      <c r="J761" s="523"/>
      <c r="K761" s="528" t="str">
        <f>IFERROR(VLOOKUP($B761,'Clients-Live'!$A:$C,3,0),"")</f>
        <v/>
      </c>
      <c r="L761" s="528">
        <f>IF(E761="STL",Pricing!$D$38,IF(A761="",0,IF(A761&lt;Pricing!$C$25,Pricing!$D$25,VLOOKUP(Disbursements!$F761,Pricing!$B$29:$D$32,3))))</f>
        <v>0</v>
      </c>
      <c r="M761" s="528">
        <f>IF(E761="STL",0,IF(F761&gt;0,Pricing!$D$21,0))</f>
        <v>0</v>
      </c>
      <c r="N761" s="529">
        <f>IF(E761="STL",F761*Pricing!$D$40,IF(A761&lt;=Pricing!$C$4,0,IF(AND(A761&gt;Pricing!$C$4,Disbursements!A761&lt;=Pricing!$C$5),F761*Pricing!$E$5,IF(AND(A761&gt;Pricing!$C$5,Disbursements!A761&lt;=Pricing!$C$7),VLOOKUP(F761,Pricing!$D$7:$E$8,2)*Disbursements!F761,F761*Pricing!$E$9))))</f>
        <v>0</v>
      </c>
      <c r="O761" s="528">
        <f>IF(E761="STL",0,IF($F761&gt;0,$F761*Pricing!$D$17,0))</f>
        <v>0</v>
      </c>
      <c r="P761" s="530" t="str">
        <f t="shared" si="308"/>
        <v/>
      </c>
      <c r="Q761" s="531" t="str">
        <f>IF($A761="","",$G761/VLOOKUP($I761,Ref!$B$23:$D$29,2,0))</f>
        <v/>
      </c>
      <c r="R761" s="530" t="str">
        <f t="shared" si="309"/>
        <v/>
      </c>
      <c r="S761" s="532" t="str">
        <f t="shared" si="303"/>
        <v/>
      </c>
      <c r="T761" s="531" t="str">
        <f t="shared" si="310"/>
        <v/>
      </c>
      <c r="U761" s="533">
        <f t="shared" si="311"/>
        <v>0</v>
      </c>
      <c r="V761" s="531" t="str">
        <f t="shared" si="312"/>
        <v/>
      </c>
      <c r="W761" s="531" t="str">
        <f t="shared" si="313"/>
        <v/>
      </c>
      <c r="X761" s="534" t="str">
        <f t="shared" si="314"/>
        <v/>
      </c>
      <c r="Y761" s="535" t="str">
        <f>IF($A761="","",IF($I761="weekly",$A761+7,EDATE($A761,VLOOKUP($I761,Ref!$B$24:$C$29,2,0))))</f>
        <v/>
      </c>
      <c r="Z761" s="536" t="str">
        <f t="shared" si="315"/>
        <v/>
      </c>
      <c r="AA761" s="531">
        <f t="shared" si="316"/>
        <v>0</v>
      </c>
      <c r="AB761" s="535" t="str">
        <f t="shared" si="304"/>
        <v/>
      </c>
      <c r="AC761" s="537" t="str">
        <f t="shared" si="305"/>
        <v/>
      </c>
      <c r="AD761" s="538" t="str">
        <f t="shared" ca="1" si="306"/>
        <v/>
      </c>
      <c r="AE761" s="537">
        <f t="shared" ca="1" si="307"/>
        <v>0</v>
      </c>
      <c r="AF761" s="539" t="str">
        <f t="shared" ca="1" si="317"/>
        <v/>
      </c>
      <c r="AG761" s="531" t="str">
        <f t="shared" ca="1" si="318"/>
        <v/>
      </c>
      <c r="AH761" s="531" t="str">
        <f t="shared" ca="1" si="319"/>
        <v/>
      </c>
      <c r="AI761" s="531" t="str">
        <f t="shared" ca="1" si="320"/>
        <v/>
      </c>
      <c r="AJ761" s="531" t="str">
        <f t="shared" si="321"/>
        <v/>
      </c>
      <c r="AK761" s="540">
        <f>SUMIFS('Live Collections'!$S:$S,'Live Collections'!$D:$D,Disbursements!B761,'Live Collections'!$G:$G,Disbursements!C761)</f>
        <v>0</v>
      </c>
      <c r="AL761" s="540">
        <f>SUMIFS('Live Collections'!$T:$T,'Live Collections'!$D:$D,Disbursements!B761,'Live Collections'!$G:$G,Disbursements!C761)</f>
        <v>0</v>
      </c>
      <c r="AM761" s="541">
        <f t="shared" si="322"/>
        <v>0</v>
      </c>
      <c r="AN761" s="542" t="str">
        <f t="shared" si="323"/>
        <v/>
      </c>
      <c r="AO761" s="542" t="str">
        <f t="shared" si="324"/>
        <v/>
      </c>
      <c r="AP761" s="543" t="str">
        <f t="shared" si="325"/>
        <v/>
      </c>
      <c r="AQ761" s="544" t="str">
        <f t="shared" si="326"/>
        <v/>
      </c>
      <c r="AR761" s="545">
        <f t="shared" si="327"/>
        <v>0</v>
      </c>
      <c r="AS761" s="545">
        <f>IFERROR(CEILING($AR761*VLOOKUP($I761,Ref!$B$23:$E$29,4,0),1),0)</f>
        <v>0</v>
      </c>
      <c r="AT761" s="545" t="str">
        <f>IF(A761="","",IF(AP761&lt;=1,"Cleared",IF(AS761=0,"Clean",VLOOKUP($AS761,Ref!$G$23:$H$28,2))))</f>
        <v/>
      </c>
      <c r="AU761" s="546" t="str">
        <f t="shared" si="328"/>
        <v/>
      </c>
    </row>
    <row r="762" spans="1:47" ht="14.25" hidden="1" customHeight="1" x14ac:dyDescent="0.15">
      <c r="A762" s="523"/>
      <c r="B762" s="523"/>
      <c r="C762" s="523"/>
      <c r="D762" s="523"/>
      <c r="E762" s="579"/>
      <c r="F762" s="580"/>
      <c r="G762" s="524"/>
      <c r="H762" s="555"/>
      <c r="I762" s="560"/>
      <c r="J762" s="523"/>
      <c r="K762" s="528" t="str">
        <f>IFERROR(VLOOKUP($B762,'Clients-Live'!$A:$C,3,0),"")</f>
        <v/>
      </c>
      <c r="L762" s="528">
        <f>IF(E762="STL",Pricing!$D$38,IF(A762="",0,IF(A762&lt;Pricing!$C$25,Pricing!$D$25,VLOOKUP(Disbursements!$F762,Pricing!$B$29:$D$32,3))))</f>
        <v>0</v>
      </c>
      <c r="M762" s="528">
        <f>IF(E762="STL",0,IF(F762&gt;0,Pricing!$D$21,0))</f>
        <v>0</v>
      </c>
      <c r="N762" s="529">
        <f>IF(E762="STL",F762*Pricing!$D$40,IF(A762&lt;=Pricing!$C$4,0,IF(AND(A762&gt;Pricing!$C$4,Disbursements!A762&lt;=Pricing!$C$5),F762*Pricing!$E$5,IF(AND(A762&gt;Pricing!$C$5,Disbursements!A762&lt;=Pricing!$C$7),VLOOKUP(F762,Pricing!$D$7:$E$8,2)*Disbursements!F762,F762*Pricing!$E$9))))</f>
        <v>0</v>
      </c>
      <c r="O762" s="528">
        <f>IF(E762="STL",0,IF($F762&gt;0,$F762*Pricing!$D$17,0))</f>
        <v>0</v>
      </c>
      <c r="P762" s="530" t="str">
        <f t="shared" si="308"/>
        <v/>
      </c>
      <c r="Q762" s="531" t="str">
        <f>IF($A762="","",$G762/VLOOKUP($I762,Ref!$B$23:$D$29,2,0))</f>
        <v/>
      </c>
      <c r="R762" s="530" t="str">
        <f t="shared" si="309"/>
        <v/>
      </c>
      <c r="S762" s="532" t="str">
        <f t="shared" si="303"/>
        <v/>
      </c>
      <c r="T762" s="531" t="str">
        <f t="shared" si="310"/>
        <v/>
      </c>
      <c r="U762" s="533">
        <f t="shared" si="311"/>
        <v>0</v>
      </c>
      <c r="V762" s="531" t="str">
        <f t="shared" si="312"/>
        <v/>
      </c>
      <c r="W762" s="531" t="str">
        <f t="shared" si="313"/>
        <v/>
      </c>
      <c r="X762" s="534" t="str">
        <f t="shared" si="314"/>
        <v/>
      </c>
      <c r="Y762" s="535" t="str">
        <f>IF($A762="","",IF($I762="weekly",$A762+7,EDATE($A762,VLOOKUP($I762,Ref!$B$24:$C$29,2,0))))</f>
        <v/>
      </c>
      <c r="Z762" s="536" t="str">
        <f t="shared" si="315"/>
        <v/>
      </c>
      <c r="AA762" s="531">
        <f t="shared" si="316"/>
        <v>0</v>
      </c>
      <c r="AB762" s="535" t="str">
        <f t="shared" si="304"/>
        <v/>
      </c>
      <c r="AC762" s="537" t="str">
        <f t="shared" si="305"/>
        <v/>
      </c>
      <c r="AD762" s="538" t="str">
        <f t="shared" ca="1" si="306"/>
        <v/>
      </c>
      <c r="AE762" s="537">
        <f t="shared" ca="1" si="307"/>
        <v>0</v>
      </c>
      <c r="AF762" s="539" t="str">
        <f t="shared" ca="1" si="317"/>
        <v/>
      </c>
      <c r="AG762" s="531" t="str">
        <f t="shared" ca="1" si="318"/>
        <v/>
      </c>
      <c r="AH762" s="531" t="str">
        <f t="shared" ca="1" si="319"/>
        <v/>
      </c>
      <c r="AI762" s="531" t="str">
        <f t="shared" ca="1" si="320"/>
        <v/>
      </c>
      <c r="AJ762" s="531" t="str">
        <f t="shared" si="321"/>
        <v/>
      </c>
      <c r="AK762" s="540">
        <f>SUMIFS('Live Collections'!$S:$S,'Live Collections'!$D:$D,Disbursements!B762,'Live Collections'!$G:$G,Disbursements!C762)</f>
        <v>0</v>
      </c>
      <c r="AL762" s="540">
        <f>SUMIFS('Live Collections'!$T:$T,'Live Collections'!$D:$D,Disbursements!B762,'Live Collections'!$G:$G,Disbursements!C762)</f>
        <v>0</v>
      </c>
      <c r="AM762" s="541">
        <f t="shared" si="322"/>
        <v>0</v>
      </c>
      <c r="AN762" s="542" t="str">
        <f t="shared" si="323"/>
        <v/>
      </c>
      <c r="AO762" s="542" t="str">
        <f t="shared" si="324"/>
        <v/>
      </c>
      <c r="AP762" s="543" t="str">
        <f t="shared" si="325"/>
        <v/>
      </c>
      <c r="AQ762" s="544" t="str">
        <f t="shared" si="326"/>
        <v/>
      </c>
      <c r="AR762" s="545">
        <f t="shared" si="327"/>
        <v>0</v>
      </c>
      <c r="AS762" s="545">
        <f>IFERROR(CEILING($AR762*VLOOKUP($I762,Ref!$B$23:$E$29,4,0),1),0)</f>
        <v>0</v>
      </c>
      <c r="AT762" s="545" t="str">
        <f>IF(A762="","",IF(AP762&lt;=1,"Cleared",IF(AS762=0,"Clean",VLOOKUP($AS762,Ref!$G$23:$H$28,2))))</f>
        <v/>
      </c>
      <c r="AU762" s="546" t="str">
        <f t="shared" si="328"/>
        <v/>
      </c>
    </row>
    <row r="763" spans="1:47" ht="14.25" hidden="1" customHeight="1" x14ac:dyDescent="0.15">
      <c r="A763" s="523"/>
      <c r="B763" s="523"/>
      <c r="C763" s="523"/>
      <c r="D763" s="523"/>
      <c r="E763" s="579"/>
      <c r="F763" s="580"/>
      <c r="G763" s="524"/>
      <c r="H763" s="555"/>
      <c r="I763" s="560"/>
      <c r="J763" s="523"/>
      <c r="K763" s="528" t="str">
        <f>IFERROR(VLOOKUP($B763,'Clients-Live'!$A:$C,3,0),"")</f>
        <v/>
      </c>
      <c r="L763" s="528">
        <f>IF(E763="STL",Pricing!$D$38,IF(A763="",0,IF(A763&lt;Pricing!$C$25,Pricing!$D$25,VLOOKUP(Disbursements!$F763,Pricing!$B$29:$D$32,3))))</f>
        <v>0</v>
      </c>
      <c r="M763" s="528">
        <f>IF(E763="STL",0,IF(F763&gt;0,Pricing!$D$21,0))</f>
        <v>0</v>
      </c>
      <c r="N763" s="529">
        <f>IF(E763="STL",F763*Pricing!$D$40,IF(A763&lt;=Pricing!$C$4,0,IF(AND(A763&gt;Pricing!$C$4,Disbursements!A763&lt;=Pricing!$C$5),F763*Pricing!$E$5,IF(AND(A763&gt;Pricing!$C$5,Disbursements!A763&lt;=Pricing!$C$7),VLOOKUP(F763,Pricing!$D$7:$E$8,2)*Disbursements!F763,F763*Pricing!$E$9))))</f>
        <v>0</v>
      </c>
      <c r="O763" s="528">
        <f>IF(E763="STL",0,IF($F763&gt;0,$F763*Pricing!$D$17,0))</f>
        <v>0</v>
      </c>
      <c r="P763" s="530" t="str">
        <f t="shared" si="308"/>
        <v/>
      </c>
      <c r="Q763" s="531" t="str">
        <f>IF($A763="","",$G763/VLOOKUP($I763,Ref!$B$23:$D$29,2,0))</f>
        <v/>
      </c>
      <c r="R763" s="530" t="str">
        <f t="shared" si="309"/>
        <v/>
      </c>
      <c r="S763" s="532" t="str">
        <f t="shared" si="303"/>
        <v/>
      </c>
      <c r="T763" s="531" t="str">
        <f t="shared" si="310"/>
        <v/>
      </c>
      <c r="U763" s="533">
        <f t="shared" si="311"/>
        <v>0</v>
      </c>
      <c r="V763" s="531" t="str">
        <f t="shared" si="312"/>
        <v/>
      </c>
      <c r="W763" s="531" t="str">
        <f t="shared" si="313"/>
        <v/>
      </c>
      <c r="X763" s="534" t="str">
        <f t="shared" si="314"/>
        <v/>
      </c>
      <c r="Y763" s="535" t="str">
        <f>IF($A763="","",IF($I763="weekly",$A763+7,EDATE($A763,VLOOKUP($I763,Ref!$B$24:$C$29,2,0))))</f>
        <v/>
      </c>
      <c r="Z763" s="536" t="str">
        <f t="shared" si="315"/>
        <v/>
      </c>
      <c r="AA763" s="531">
        <f t="shared" si="316"/>
        <v>0</v>
      </c>
      <c r="AB763" s="535" t="str">
        <f t="shared" si="304"/>
        <v/>
      </c>
      <c r="AC763" s="537" t="str">
        <f t="shared" si="305"/>
        <v/>
      </c>
      <c r="AD763" s="538" t="str">
        <f t="shared" ca="1" si="306"/>
        <v/>
      </c>
      <c r="AE763" s="537">
        <f t="shared" ca="1" si="307"/>
        <v>0</v>
      </c>
      <c r="AF763" s="539" t="str">
        <f t="shared" ca="1" si="317"/>
        <v/>
      </c>
      <c r="AG763" s="531" t="str">
        <f t="shared" ca="1" si="318"/>
        <v/>
      </c>
      <c r="AH763" s="531" t="str">
        <f t="shared" ca="1" si="319"/>
        <v/>
      </c>
      <c r="AI763" s="531" t="str">
        <f t="shared" ca="1" si="320"/>
        <v/>
      </c>
      <c r="AJ763" s="531" t="str">
        <f t="shared" si="321"/>
        <v/>
      </c>
      <c r="AK763" s="540">
        <f>SUMIFS('Live Collections'!$S:$S,'Live Collections'!$D:$D,Disbursements!B763,'Live Collections'!$G:$G,Disbursements!C763)</f>
        <v>0</v>
      </c>
      <c r="AL763" s="540">
        <f>SUMIFS('Live Collections'!$T:$T,'Live Collections'!$D:$D,Disbursements!B763,'Live Collections'!$G:$G,Disbursements!C763)</f>
        <v>0</v>
      </c>
      <c r="AM763" s="541">
        <f t="shared" si="322"/>
        <v>0</v>
      </c>
      <c r="AN763" s="542" t="str">
        <f t="shared" si="323"/>
        <v/>
      </c>
      <c r="AO763" s="542" t="str">
        <f t="shared" si="324"/>
        <v/>
      </c>
      <c r="AP763" s="543" t="str">
        <f t="shared" si="325"/>
        <v/>
      </c>
      <c r="AQ763" s="544" t="str">
        <f t="shared" si="326"/>
        <v/>
      </c>
      <c r="AR763" s="545">
        <f t="shared" si="327"/>
        <v>0</v>
      </c>
      <c r="AS763" s="545">
        <f>IFERROR(CEILING($AR763*VLOOKUP($I763,Ref!$B$23:$E$29,4,0),1),0)</f>
        <v>0</v>
      </c>
      <c r="AT763" s="545" t="str">
        <f>IF(A763="","",IF(AP763&lt;=1,"Cleared",IF(AS763=0,"Clean",VLOOKUP($AS763,Ref!$G$23:$H$28,2))))</f>
        <v/>
      </c>
      <c r="AU763" s="546" t="str">
        <f t="shared" si="328"/>
        <v/>
      </c>
    </row>
    <row r="764" spans="1:47" ht="14.25" hidden="1" customHeight="1" x14ac:dyDescent="0.15">
      <c r="A764" s="523"/>
      <c r="B764" s="523"/>
      <c r="C764" s="523"/>
      <c r="D764" s="523"/>
      <c r="E764" s="579"/>
      <c r="F764" s="580"/>
      <c r="G764" s="524"/>
      <c r="H764" s="555"/>
      <c r="I764" s="560"/>
      <c r="J764" s="523"/>
      <c r="K764" s="528" t="str">
        <f>IFERROR(VLOOKUP($B764,'Clients-Live'!$A:$C,3,0),"")</f>
        <v/>
      </c>
      <c r="L764" s="528">
        <f>IF(E764="STL",Pricing!$D$38,IF(A764="",0,IF(A764&lt;Pricing!$C$25,Pricing!$D$25,VLOOKUP(Disbursements!$F764,Pricing!$B$29:$D$32,3))))</f>
        <v>0</v>
      </c>
      <c r="M764" s="528">
        <f>IF(E764="STL",0,IF(F764&gt;0,Pricing!$D$21,0))</f>
        <v>0</v>
      </c>
      <c r="N764" s="529">
        <f>IF(E764="STL",F764*Pricing!$D$40,IF(A764&lt;=Pricing!$C$4,0,IF(AND(A764&gt;Pricing!$C$4,Disbursements!A764&lt;=Pricing!$C$5),F764*Pricing!$E$5,IF(AND(A764&gt;Pricing!$C$5,Disbursements!A764&lt;=Pricing!$C$7),VLOOKUP(F764,Pricing!$D$7:$E$8,2)*Disbursements!F764,F764*Pricing!$E$9))))</f>
        <v>0</v>
      </c>
      <c r="O764" s="528">
        <f>IF(E764="STL",0,IF($F764&gt;0,$F764*Pricing!$D$17,0))</f>
        <v>0</v>
      </c>
      <c r="P764" s="530" t="str">
        <f t="shared" si="308"/>
        <v/>
      </c>
      <c r="Q764" s="531" t="str">
        <f>IF($A764="","",$G764/VLOOKUP($I764,Ref!$B$23:$D$29,2,0))</f>
        <v/>
      </c>
      <c r="R764" s="530" t="str">
        <f t="shared" si="309"/>
        <v/>
      </c>
      <c r="S764" s="532" t="str">
        <f t="shared" si="303"/>
        <v/>
      </c>
      <c r="T764" s="531" t="str">
        <f t="shared" si="310"/>
        <v/>
      </c>
      <c r="U764" s="533">
        <f t="shared" si="311"/>
        <v>0</v>
      </c>
      <c r="V764" s="531" t="str">
        <f t="shared" si="312"/>
        <v/>
      </c>
      <c r="W764" s="531" t="str">
        <f t="shared" si="313"/>
        <v/>
      </c>
      <c r="X764" s="534" t="str">
        <f t="shared" si="314"/>
        <v/>
      </c>
      <c r="Y764" s="535" t="str">
        <f>IF($A764="","",IF($I764="weekly",$A764+7,EDATE($A764,VLOOKUP($I764,Ref!$B$24:$C$29,2,0))))</f>
        <v/>
      </c>
      <c r="Z764" s="536" t="str">
        <f t="shared" si="315"/>
        <v/>
      </c>
      <c r="AA764" s="531">
        <f t="shared" si="316"/>
        <v>0</v>
      </c>
      <c r="AB764" s="535" t="str">
        <f t="shared" si="304"/>
        <v/>
      </c>
      <c r="AC764" s="537" t="str">
        <f t="shared" si="305"/>
        <v/>
      </c>
      <c r="AD764" s="538" t="str">
        <f t="shared" ca="1" si="306"/>
        <v/>
      </c>
      <c r="AE764" s="537">
        <f t="shared" ca="1" si="307"/>
        <v>0</v>
      </c>
      <c r="AF764" s="539" t="str">
        <f t="shared" ca="1" si="317"/>
        <v/>
      </c>
      <c r="AG764" s="531" t="str">
        <f t="shared" ca="1" si="318"/>
        <v/>
      </c>
      <c r="AH764" s="531" t="str">
        <f t="shared" ca="1" si="319"/>
        <v/>
      </c>
      <c r="AI764" s="531" t="str">
        <f t="shared" ca="1" si="320"/>
        <v/>
      </c>
      <c r="AJ764" s="531" t="str">
        <f t="shared" si="321"/>
        <v/>
      </c>
      <c r="AK764" s="540">
        <f>SUMIFS('Live Collections'!$S:$S,'Live Collections'!$D:$D,Disbursements!B764,'Live Collections'!$G:$G,Disbursements!C764)</f>
        <v>0</v>
      </c>
      <c r="AL764" s="540">
        <f>SUMIFS('Live Collections'!$T:$T,'Live Collections'!$D:$D,Disbursements!B764,'Live Collections'!$G:$G,Disbursements!C764)</f>
        <v>0</v>
      </c>
      <c r="AM764" s="541">
        <f t="shared" si="322"/>
        <v>0</v>
      </c>
      <c r="AN764" s="542" t="str">
        <f t="shared" si="323"/>
        <v/>
      </c>
      <c r="AO764" s="542" t="str">
        <f t="shared" si="324"/>
        <v/>
      </c>
      <c r="AP764" s="543" t="str">
        <f t="shared" si="325"/>
        <v/>
      </c>
      <c r="AQ764" s="544" t="str">
        <f t="shared" si="326"/>
        <v/>
      </c>
      <c r="AR764" s="545">
        <f t="shared" si="327"/>
        <v>0</v>
      </c>
      <c r="AS764" s="545">
        <f>IFERROR(CEILING($AR764*VLOOKUP($I764,Ref!$B$23:$E$29,4,0),1),0)</f>
        <v>0</v>
      </c>
      <c r="AT764" s="545" t="str">
        <f>IF(A764="","",IF(AP764&lt;=1,"Cleared",IF(AS764=0,"Clean",VLOOKUP($AS764,Ref!$G$23:$H$28,2))))</f>
        <v/>
      </c>
      <c r="AU764" s="546" t="str">
        <f t="shared" si="328"/>
        <v/>
      </c>
    </row>
    <row r="765" spans="1:47" ht="14.25" hidden="1" customHeight="1" x14ac:dyDescent="0.15">
      <c r="A765" s="523"/>
      <c r="B765" s="523"/>
      <c r="C765" s="523"/>
      <c r="D765" s="523"/>
      <c r="E765" s="579"/>
      <c r="F765" s="580"/>
      <c r="G765" s="524"/>
      <c r="H765" s="555"/>
      <c r="I765" s="560"/>
      <c r="J765" s="523"/>
      <c r="K765" s="528" t="str">
        <f>IFERROR(VLOOKUP($B765,'Clients-Live'!$A:$C,3,0),"")</f>
        <v/>
      </c>
      <c r="L765" s="528">
        <f>IF(E765="STL",Pricing!$D$38,IF(A765="",0,IF(A765&lt;Pricing!$C$25,Pricing!$D$25,VLOOKUP(Disbursements!$F765,Pricing!$B$29:$D$32,3))))</f>
        <v>0</v>
      </c>
      <c r="M765" s="528">
        <f>IF(E765="STL",0,IF(F765&gt;0,Pricing!$D$21,0))</f>
        <v>0</v>
      </c>
      <c r="N765" s="529">
        <f>IF(E765="STL",F765*Pricing!$D$40,IF(A765&lt;=Pricing!$C$4,0,IF(AND(A765&gt;Pricing!$C$4,Disbursements!A765&lt;=Pricing!$C$5),F765*Pricing!$E$5,IF(AND(A765&gt;Pricing!$C$5,Disbursements!A765&lt;=Pricing!$C$7),VLOOKUP(F765,Pricing!$D$7:$E$8,2)*Disbursements!F765,F765*Pricing!$E$9))))</f>
        <v>0</v>
      </c>
      <c r="O765" s="528">
        <f>IF(E765="STL",0,IF($F765&gt;0,$F765*Pricing!$D$17,0))</f>
        <v>0</v>
      </c>
      <c r="P765" s="530" t="str">
        <f t="shared" si="308"/>
        <v/>
      </c>
      <c r="Q765" s="531" t="str">
        <f>IF($A765="","",$G765/VLOOKUP($I765,Ref!$B$23:$D$29,2,0))</f>
        <v/>
      </c>
      <c r="R765" s="530" t="str">
        <f t="shared" si="309"/>
        <v/>
      </c>
      <c r="S765" s="532" t="str">
        <f t="shared" si="303"/>
        <v/>
      </c>
      <c r="T765" s="531" t="str">
        <f t="shared" si="310"/>
        <v/>
      </c>
      <c r="U765" s="533">
        <f t="shared" si="311"/>
        <v>0</v>
      </c>
      <c r="V765" s="531" t="str">
        <f t="shared" si="312"/>
        <v/>
      </c>
      <c r="W765" s="531" t="str">
        <f t="shared" si="313"/>
        <v/>
      </c>
      <c r="X765" s="534" t="str">
        <f t="shared" si="314"/>
        <v/>
      </c>
      <c r="Y765" s="535" t="str">
        <f>IF($A765="","",IF($I765="weekly",$A765+7,EDATE($A765,VLOOKUP($I765,Ref!$B$24:$C$29,2,0))))</f>
        <v/>
      </c>
      <c r="Z765" s="536" t="str">
        <f t="shared" si="315"/>
        <v/>
      </c>
      <c r="AA765" s="531">
        <f t="shared" si="316"/>
        <v>0</v>
      </c>
      <c r="AB765" s="535" t="str">
        <f t="shared" si="304"/>
        <v/>
      </c>
      <c r="AC765" s="537" t="str">
        <f t="shared" si="305"/>
        <v/>
      </c>
      <c r="AD765" s="538" t="str">
        <f t="shared" ca="1" si="306"/>
        <v/>
      </c>
      <c r="AE765" s="537">
        <f t="shared" ca="1" si="307"/>
        <v>0</v>
      </c>
      <c r="AF765" s="539" t="str">
        <f t="shared" ca="1" si="317"/>
        <v/>
      </c>
      <c r="AG765" s="531" t="str">
        <f t="shared" ca="1" si="318"/>
        <v/>
      </c>
      <c r="AH765" s="531" t="str">
        <f t="shared" ca="1" si="319"/>
        <v/>
      </c>
      <c r="AI765" s="531" t="str">
        <f t="shared" ca="1" si="320"/>
        <v/>
      </c>
      <c r="AJ765" s="531" t="str">
        <f t="shared" si="321"/>
        <v/>
      </c>
      <c r="AK765" s="540">
        <f>SUMIFS('Live Collections'!$S:$S,'Live Collections'!$D:$D,Disbursements!B765,'Live Collections'!$G:$G,Disbursements!C765)</f>
        <v>0</v>
      </c>
      <c r="AL765" s="540">
        <f>SUMIFS('Live Collections'!$T:$T,'Live Collections'!$D:$D,Disbursements!B765,'Live Collections'!$G:$G,Disbursements!C765)</f>
        <v>0</v>
      </c>
      <c r="AM765" s="541">
        <f t="shared" si="322"/>
        <v>0</v>
      </c>
      <c r="AN765" s="542" t="str">
        <f t="shared" si="323"/>
        <v/>
      </c>
      <c r="AO765" s="542" t="str">
        <f t="shared" si="324"/>
        <v/>
      </c>
      <c r="AP765" s="543" t="str">
        <f t="shared" si="325"/>
        <v/>
      </c>
      <c r="AQ765" s="544" t="str">
        <f t="shared" si="326"/>
        <v/>
      </c>
      <c r="AR765" s="545">
        <f t="shared" si="327"/>
        <v>0</v>
      </c>
      <c r="AS765" s="545">
        <f>IFERROR(CEILING($AR765*VLOOKUP($I765,Ref!$B$23:$E$29,4,0),1),0)</f>
        <v>0</v>
      </c>
      <c r="AT765" s="545" t="str">
        <f>IF(A765="","",IF(AP765&lt;=1,"Cleared",IF(AS765=0,"Clean",VLOOKUP($AS765,Ref!$G$23:$H$28,2))))</f>
        <v/>
      </c>
      <c r="AU765" s="546" t="str">
        <f t="shared" si="328"/>
        <v/>
      </c>
    </row>
    <row r="766" spans="1:47" ht="14.25" hidden="1" customHeight="1" x14ac:dyDescent="0.15">
      <c r="A766" s="523"/>
      <c r="B766" s="523"/>
      <c r="C766" s="523"/>
      <c r="D766" s="523"/>
      <c r="E766" s="579"/>
      <c r="F766" s="580"/>
      <c r="G766" s="524"/>
      <c r="H766" s="555"/>
      <c r="I766" s="560"/>
      <c r="J766" s="523"/>
      <c r="K766" s="528" t="str">
        <f>IFERROR(VLOOKUP($B766,'Clients-Live'!$A:$C,3,0),"")</f>
        <v/>
      </c>
      <c r="L766" s="528">
        <f>IF(E766="STL",Pricing!$D$38,IF(A766="",0,IF(A766&lt;Pricing!$C$25,Pricing!$D$25,VLOOKUP(Disbursements!$F766,Pricing!$B$29:$D$32,3))))</f>
        <v>0</v>
      </c>
      <c r="M766" s="528">
        <f>IF(E766="STL",0,IF(F766&gt;0,Pricing!$D$21,0))</f>
        <v>0</v>
      </c>
      <c r="N766" s="529">
        <f>IF(E766="STL",F766*Pricing!$D$40,IF(A766&lt;=Pricing!$C$4,0,IF(AND(A766&gt;Pricing!$C$4,Disbursements!A766&lt;=Pricing!$C$5),F766*Pricing!$E$5,IF(AND(A766&gt;Pricing!$C$5,Disbursements!A766&lt;=Pricing!$C$7),VLOOKUP(F766,Pricing!$D$7:$E$8,2)*Disbursements!F766,F766*Pricing!$E$9))))</f>
        <v>0</v>
      </c>
      <c r="O766" s="528">
        <f>IF(E766="STL",0,IF($F766&gt;0,$F766*Pricing!$D$17,0))</f>
        <v>0</v>
      </c>
      <c r="P766" s="530" t="str">
        <f t="shared" si="308"/>
        <v/>
      </c>
      <c r="Q766" s="531" t="str">
        <f>IF($A766="","",$G766/VLOOKUP($I766,Ref!$B$23:$D$29,2,0))</f>
        <v/>
      </c>
      <c r="R766" s="530" t="str">
        <f t="shared" si="309"/>
        <v/>
      </c>
      <c r="S766" s="532" t="str">
        <f t="shared" si="303"/>
        <v/>
      </c>
      <c r="T766" s="531" t="str">
        <f t="shared" si="310"/>
        <v/>
      </c>
      <c r="U766" s="533">
        <f t="shared" si="311"/>
        <v>0</v>
      </c>
      <c r="V766" s="531" t="str">
        <f t="shared" si="312"/>
        <v/>
      </c>
      <c r="W766" s="531" t="str">
        <f t="shared" si="313"/>
        <v/>
      </c>
      <c r="X766" s="534" t="str">
        <f t="shared" si="314"/>
        <v/>
      </c>
      <c r="Y766" s="535" t="str">
        <f>IF($A766="","",IF($I766="weekly",$A766+7,EDATE($A766,VLOOKUP($I766,Ref!$B$24:$C$29,2,0))))</f>
        <v/>
      </c>
      <c r="Z766" s="536" t="str">
        <f t="shared" si="315"/>
        <v/>
      </c>
      <c r="AA766" s="531">
        <f t="shared" si="316"/>
        <v>0</v>
      </c>
      <c r="AB766" s="535" t="str">
        <f t="shared" si="304"/>
        <v/>
      </c>
      <c r="AC766" s="537" t="str">
        <f t="shared" si="305"/>
        <v/>
      </c>
      <c r="AD766" s="538" t="str">
        <f t="shared" ca="1" si="306"/>
        <v/>
      </c>
      <c r="AE766" s="537">
        <f t="shared" ca="1" si="307"/>
        <v>0</v>
      </c>
      <c r="AF766" s="539" t="str">
        <f t="shared" ca="1" si="317"/>
        <v/>
      </c>
      <c r="AG766" s="531" t="str">
        <f t="shared" ca="1" si="318"/>
        <v/>
      </c>
      <c r="AH766" s="531" t="str">
        <f t="shared" ca="1" si="319"/>
        <v/>
      </c>
      <c r="AI766" s="531" t="str">
        <f t="shared" ca="1" si="320"/>
        <v/>
      </c>
      <c r="AJ766" s="531" t="str">
        <f t="shared" si="321"/>
        <v/>
      </c>
      <c r="AK766" s="540">
        <f>SUMIFS('Live Collections'!$S:$S,'Live Collections'!$D:$D,Disbursements!B766,'Live Collections'!$G:$G,Disbursements!C766)</f>
        <v>0</v>
      </c>
      <c r="AL766" s="540">
        <f>SUMIFS('Live Collections'!$T:$T,'Live Collections'!$D:$D,Disbursements!B766,'Live Collections'!$G:$G,Disbursements!C766)</f>
        <v>0</v>
      </c>
      <c r="AM766" s="541">
        <f t="shared" si="322"/>
        <v>0</v>
      </c>
      <c r="AN766" s="542" t="str">
        <f t="shared" si="323"/>
        <v/>
      </c>
      <c r="AO766" s="542" t="str">
        <f t="shared" si="324"/>
        <v/>
      </c>
      <c r="AP766" s="543" t="str">
        <f t="shared" si="325"/>
        <v/>
      </c>
      <c r="AQ766" s="544" t="str">
        <f t="shared" si="326"/>
        <v/>
      </c>
      <c r="AR766" s="545">
        <f t="shared" si="327"/>
        <v>0</v>
      </c>
      <c r="AS766" s="545">
        <f>IFERROR(CEILING($AR766*VLOOKUP($I766,Ref!$B$23:$E$29,4,0),1),0)</f>
        <v>0</v>
      </c>
      <c r="AT766" s="545" t="str">
        <f>IF(A766="","",IF(AP766&lt;=1,"Cleared",IF(AS766=0,"Clean",VLOOKUP($AS766,Ref!$G$23:$H$28,2))))</f>
        <v/>
      </c>
      <c r="AU766" s="546" t="str">
        <f t="shared" si="328"/>
        <v/>
      </c>
    </row>
    <row r="767" spans="1:47" ht="14.25" hidden="1" customHeight="1" x14ac:dyDescent="0.15">
      <c r="A767" s="523"/>
      <c r="B767" s="523"/>
      <c r="C767" s="523"/>
      <c r="D767" s="523"/>
      <c r="E767" s="579"/>
      <c r="F767" s="580"/>
      <c r="G767" s="524"/>
      <c r="H767" s="555"/>
      <c r="I767" s="560"/>
      <c r="J767" s="523"/>
      <c r="K767" s="528" t="str">
        <f>IFERROR(VLOOKUP($B767,'Clients-Live'!$A:$C,3,0),"")</f>
        <v/>
      </c>
      <c r="L767" s="528">
        <f>IF(E767="STL",Pricing!$D$38,IF(A767="",0,IF(A767&lt;Pricing!$C$25,Pricing!$D$25,VLOOKUP(Disbursements!$F767,Pricing!$B$29:$D$32,3))))</f>
        <v>0</v>
      </c>
      <c r="M767" s="528">
        <f>IF(E767="STL",0,IF(F767&gt;0,Pricing!$D$21,0))</f>
        <v>0</v>
      </c>
      <c r="N767" s="529">
        <f>IF(E767="STL",F767*Pricing!$D$40,IF(A767&lt;=Pricing!$C$4,0,IF(AND(A767&gt;Pricing!$C$4,Disbursements!A767&lt;=Pricing!$C$5),F767*Pricing!$E$5,IF(AND(A767&gt;Pricing!$C$5,Disbursements!A767&lt;=Pricing!$C$7),VLOOKUP(F767,Pricing!$D$7:$E$8,2)*Disbursements!F767,F767*Pricing!$E$9))))</f>
        <v>0</v>
      </c>
      <c r="O767" s="528">
        <f>IF(E767="STL",0,IF($F767&gt;0,$F767*Pricing!$D$17,0))</f>
        <v>0</v>
      </c>
      <c r="P767" s="530" t="str">
        <f t="shared" si="308"/>
        <v/>
      </c>
      <c r="Q767" s="531" t="str">
        <f>IF($A767="","",$G767/VLOOKUP($I767,Ref!$B$23:$D$29,2,0))</f>
        <v/>
      </c>
      <c r="R767" s="530" t="str">
        <f t="shared" si="309"/>
        <v/>
      </c>
      <c r="S767" s="532" t="str">
        <f t="shared" si="303"/>
        <v/>
      </c>
      <c r="T767" s="531" t="str">
        <f t="shared" si="310"/>
        <v/>
      </c>
      <c r="U767" s="533">
        <f t="shared" si="311"/>
        <v>0</v>
      </c>
      <c r="V767" s="531" t="str">
        <f t="shared" si="312"/>
        <v/>
      </c>
      <c r="W767" s="531" t="str">
        <f t="shared" si="313"/>
        <v/>
      </c>
      <c r="X767" s="534" t="str">
        <f t="shared" si="314"/>
        <v/>
      </c>
      <c r="Y767" s="535" t="str">
        <f>IF($A767="","",IF($I767="weekly",$A767+7,EDATE($A767,VLOOKUP($I767,Ref!$B$24:$C$29,2,0))))</f>
        <v/>
      </c>
      <c r="Z767" s="536" t="str">
        <f t="shared" si="315"/>
        <v/>
      </c>
      <c r="AA767" s="531">
        <f t="shared" si="316"/>
        <v>0</v>
      </c>
      <c r="AB767" s="535" t="str">
        <f t="shared" si="304"/>
        <v/>
      </c>
      <c r="AC767" s="537" t="str">
        <f t="shared" si="305"/>
        <v/>
      </c>
      <c r="AD767" s="538" t="str">
        <f t="shared" ca="1" si="306"/>
        <v/>
      </c>
      <c r="AE767" s="537">
        <f t="shared" ca="1" si="307"/>
        <v>0</v>
      </c>
      <c r="AF767" s="539" t="str">
        <f t="shared" ca="1" si="317"/>
        <v/>
      </c>
      <c r="AG767" s="531" t="str">
        <f t="shared" ca="1" si="318"/>
        <v/>
      </c>
      <c r="AH767" s="531" t="str">
        <f t="shared" ca="1" si="319"/>
        <v/>
      </c>
      <c r="AI767" s="531" t="str">
        <f t="shared" ca="1" si="320"/>
        <v/>
      </c>
      <c r="AJ767" s="531" t="str">
        <f t="shared" si="321"/>
        <v/>
      </c>
      <c r="AK767" s="540">
        <f>SUMIFS('Live Collections'!$S:$S,'Live Collections'!$D:$D,Disbursements!B767,'Live Collections'!$G:$G,Disbursements!C767)</f>
        <v>0</v>
      </c>
      <c r="AL767" s="540">
        <f>SUMIFS('Live Collections'!$T:$T,'Live Collections'!$D:$D,Disbursements!B767,'Live Collections'!$G:$G,Disbursements!C767)</f>
        <v>0</v>
      </c>
      <c r="AM767" s="541">
        <f t="shared" si="322"/>
        <v>0</v>
      </c>
      <c r="AN767" s="542" t="str">
        <f t="shared" si="323"/>
        <v/>
      </c>
      <c r="AO767" s="542" t="str">
        <f t="shared" si="324"/>
        <v/>
      </c>
      <c r="AP767" s="543" t="str">
        <f t="shared" si="325"/>
        <v/>
      </c>
      <c r="AQ767" s="544" t="str">
        <f t="shared" si="326"/>
        <v/>
      </c>
      <c r="AR767" s="545">
        <f t="shared" si="327"/>
        <v>0</v>
      </c>
      <c r="AS767" s="545">
        <f>IFERROR(CEILING($AR767*VLOOKUP($I767,Ref!$B$23:$E$29,4,0),1),0)</f>
        <v>0</v>
      </c>
      <c r="AT767" s="545" t="str">
        <f>IF(A767="","",IF(AP767&lt;=1,"Cleared",IF(AS767=0,"Clean",VLOOKUP($AS767,Ref!$G$23:$H$28,2))))</f>
        <v/>
      </c>
      <c r="AU767" s="546" t="str">
        <f t="shared" si="328"/>
        <v/>
      </c>
    </row>
    <row r="768" spans="1:47" ht="14.25" hidden="1" customHeight="1" x14ac:dyDescent="0.15">
      <c r="A768" s="523"/>
      <c r="B768" s="523"/>
      <c r="C768" s="523"/>
      <c r="D768" s="523"/>
      <c r="E768" s="579"/>
      <c r="F768" s="580"/>
      <c r="G768" s="524"/>
      <c r="H768" s="555"/>
      <c r="I768" s="560"/>
      <c r="J768" s="523"/>
      <c r="K768" s="528" t="str">
        <f>IFERROR(VLOOKUP($B768,'Clients-Live'!$A:$C,3,0),"")</f>
        <v/>
      </c>
      <c r="L768" s="528">
        <f>IF(E768="STL",Pricing!$D$38,IF(A768="",0,IF(A768&lt;Pricing!$C$25,Pricing!$D$25,VLOOKUP(Disbursements!$F768,Pricing!$B$29:$D$32,3))))</f>
        <v>0</v>
      </c>
      <c r="M768" s="528">
        <f>IF(E768="STL",0,IF(F768&gt;0,Pricing!$D$21,0))</f>
        <v>0</v>
      </c>
      <c r="N768" s="529">
        <f>IF(E768="STL",F768*Pricing!$D$40,IF(A768&lt;=Pricing!$C$4,0,IF(AND(A768&gt;Pricing!$C$4,Disbursements!A768&lt;=Pricing!$C$5),F768*Pricing!$E$5,IF(AND(A768&gt;Pricing!$C$5,Disbursements!A768&lt;=Pricing!$C$7),VLOOKUP(F768,Pricing!$D$7:$E$8,2)*Disbursements!F768,F768*Pricing!$E$9))))</f>
        <v>0</v>
      </c>
      <c r="O768" s="528">
        <f>IF(E768="STL",0,IF($F768&gt;0,$F768*Pricing!$D$17,0))</f>
        <v>0</v>
      </c>
      <c r="P768" s="530" t="str">
        <f t="shared" si="308"/>
        <v/>
      </c>
      <c r="Q768" s="531" t="str">
        <f>IF($A768="","",$G768/VLOOKUP($I768,Ref!$B$23:$D$29,2,0))</f>
        <v/>
      </c>
      <c r="R768" s="530" t="str">
        <f t="shared" si="309"/>
        <v/>
      </c>
      <c r="S768" s="532" t="str">
        <f t="shared" si="303"/>
        <v/>
      </c>
      <c r="T768" s="531" t="str">
        <f t="shared" si="310"/>
        <v/>
      </c>
      <c r="U768" s="533">
        <f t="shared" si="311"/>
        <v>0</v>
      </c>
      <c r="V768" s="531" t="str">
        <f t="shared" si="312"/>
        <v/>
      </c>
      <c r="W768" s="531" t="str">
        <f t="shared" si="313"/>
        <v/>
      </c>
      <c r="X768" s="534" t="str">
        <f t="shared" si="314"/>
        <v/>
      </c>
      <c r="Y768" s="535" t="str">
        <f>IF($A768="","",IF($I768="weekly",$A768+7,EDATE($A768,VLOOKUP($I768,Ref!$B$24:$C$29,2,0))))</f>
        <v/>
      </c>
      <c r="Z768" s="536" t="str">
        <f t="shared" si="315"/>
        <v/>
      </c>
      <c r="AA768" s="531">
        <f t="shared" si="316"/>
        <v>0</v>
      </c>
      <c r="AB768" s="535" t="str">
        <f t="shared" si="304"/>
        <v/>
      </c>
      <c r="AC768" s="537" t="str">
        <f t="shared" si="305"/>
        <v/>
      </c>
      <c r="AD768" s="538" t="str">
        <f t="shared" ca="1" si="306"/>
        <v/>
      </c>
      <c r="AE768" s="537">
        <f t="shared" ca="1" si="307"/>
        <v>0</v>
      </c>
      <c r="AF768" s="539" t="str">
        <f t="shared" ca="1" si="317"/>
        <v/>
      </c>
      <c r="AG768" s="531" t="str">
        <f t="shared" ca="1" si="318"/>
        <v/>
      </c>
      <c r="AH768" s="531" t="str">
        <f t="shared" ca="1" si="319"/>
        <v/>
      </c>
      <c r="AI768" s="531" t="str">
        <f t="shared" ca="1" si="320"/>
        <v/>
      </c>
      <c r="AJ768" s="531" t="str">
        <f t="shared" si="321"/>
        <v/>
      </c>
      <c r="AK768" s="540">
        <f>SUMIFS('Live Collections'!$S:$S,'Live Collections'!$D:$D,Disbursements!B768,'Live Collections'!$G:$G,Disbursements!C768)</f>
        <v>0</v>
      </c>
      <c r="AL768" s="540">
        <f>SUMIFS('Live Collections'!$T:$T,'Live Collections'!$D:$D,Disbursements!B768,'Live Collections'!$G:$G,Disbursements!C768)</f>
        <v>0</v>
      </c>
      <c r="AM768" s="541">
        <f t="shared" si="322"/>
        <v>0</v>
      </c>
      <c r="AN768" s="542" t="str">
        <f t="shared" si="323"/>
        <v/>
      </c>
      <c r="AO768" s="542" t="str">
        <f t="shared" si="324"/>
        <v/>
      </c>
      <c r="AP768" s="543" t="str">
        <f t="shared" si="325"/>
        <v/>
      </c>
      <c r="AQ768" s="544" t="str">
        <f t="shared" si="326"/>
        <v/>
      </c>
      <c r="AR768" s="545">
        <f t="shared" si="327"/>
        <v>0</v>
      </c>
      <c r="AS768" s="545">
        <f>IFERROR(CEILING($AR768*VLOOKUP($I768,Ref!$B$23:$E$29,4,0),1),0)</f>
        <v>0</v>
      </c>
      <c r="AT768" s="545" t="str">
        <f>IF(A768="","",IF(AP768&lt;=1,"Cleared",IF(AS768=0,"Clean",VLOOKUP($AS768,Ref!$G$23:$H$28,2))))</f>
        <v/>
      </c>
      <c r="AU768" s="546" t="str">
        <f t="shared" si="328"/>
        <v/>
      </c>
    </row>
    <row r="769" spans="1:47" ht="14.25" hidden="1" customHeight="1" x14ac:dyDescent="0.15">
      <c r="A769" s="523"/>
      <c r="B769" s="523"/>
      <c r="C769" s="523"/>
      <c r="D769" s="523"/>
      <c r="E769" s="579"/>
      <c r="F769" s="580"/>
      <c r="G769" s="524"/>
      <c r="H769" s="555"/>
      <c r="I769" s="560"/>
      <c r="J769" s="523"/>
      <c r="K769" s="528" t="str">
        <f>IFERROR(VLOOKUP($B769,'Clients-Live'!$A:$C,3,0),"")</f>
        <v/>
      </c>
      <c r="L769" s="528">
        <f>IF(E769="STL",Pricing!$D$38,IF(A769="",0,IF(A769&lt;Pricing!$C$25,Pricing!$D$25,VLOOKUP(Disbursements!$F769,Pricing!$B$29:$D$32,3))))</f>
        <v>0</v>
      </c>
      <c r="M769" s="528">
        <f>IF(E769="STL",0,IF(F769&gt;0,Pricing!$D$21,0))</f>
        <v>0</v>
      </c>
      <c r="N769" s="529">
        <f>IF(E769="STL",F769*Pricing!$D$40,IF(A769&lt;=Pricing!$C$4,0,IF(AND(A769&gt;Pricing!$C$4,Disbursements!A769&lt;=Pricing!$C$5),F769*Pricing!$E$5,IF(AND(A769&gt;Pricing!$C$5,Disbursements!A769&lt;=Pricing!$C$7),VLOOKUP(F769,Pricing!$D$7:$E$8,2)*Disbursements!F769,F769*Pricing!$E$9))))</f>
        <v>0</v>
      </c>
      <c r="O769" s="528">
        <f>IF(E769="STL",0,IF($F769&gt;0,$F769*Pricing!$D$17,0))</f>
        <v>0</v>
      </c>
      <c r="P769" s="530" t="str">
        <f t="shared" si="308"/>
        <v/>
      </c>
      <c r="Q769" s="531" t="str">
        <f>IF($A769="","",$G769/VLOOKUP($I769,Ref!$B$23:$D$29,2,0))</f>
        <v/>
      </c>
      <c r="R769" s="530" t="str">
        <f t="shared" si="309"/>
        <v/>
      </c>
      <c r="S769" s="532" t="str">
        <f t="shared" si="303"/>
        <v/>
      </c>
      <c r="T769" s="531" t="str">
        <f t="shared" si="310"/>
        <v/>
      </c>
      <c r="U769" s="533">
        <f t="shared" si="311"/>
        <v>0</v>
      </c>
      <c r="V769" s="531" t="str">
        <f t="shared" si="312"/>
        <v/>
      </c>
      <c r="W769" s="531" t="str">
        <f t="shared" si="313"/>
        <v/>
      </c>
      <c r="X769" s="534" t="str">
        <f t="shared" si="314"/>
        <v/>
      </c>
      <c r="Y769" s="535" t="str">
        <f>IF($A769="","",IF($I769="weekly",$A769+7,EDATE($A769,VLOOKUP($I769,Ref!$B$24:$C$29,2,0))))</f>
        <v/>
      </c>
      <c r="Z769" s="536" t="str">
        <f t="shared" si="315"/>
        <v/>
      </c>
      <c r="AA769" s="531">
        <f t="shared" si="316"/>
        <v>0</v>
      </c>
      <c r="AB769" s="535" t="str">
        <f t="shared" si="304"/>
        <v/>
      </c>
      <c r="AC769" s="537" t="str">
        <f t="shared" si="305"/>
        <v/>
      </c>
      <c r="AD769" s="538" t="str">
        <f t="shared" ca="1" si="306"/>
        <v/>
      </c>
      <c r="AE769" s="537">
        <f t="shared" ca="1" si="307"/>
        <v>0</v>
      </c>
      <c r="AF769" s="539" t="str">
        <f t="shared" ca="1" si="317"/>
        <v/>
      </c>
      <c r="AG769" s="531" t="str">
        <f t="shared" ca="1" si="318"/>
        <v/>
      </c>
      <c r="AH769" s="531" t="str">
        <f t="shared" ca="1" si="319"/>
        <v/>
      </c>
      <c r="AI769" s="531" t="str">
        <f t="shared" ca="1" si="320"/>
        <v/>
      </c>
      <c r="AJ769" s="531" t="str">
        <f t="shared" si="321"/>
        <v/>
      </c>
      <c r="AK769" s="540">
        <f>SUMIFS('Live Collections'!$S:$S,'Live Collections'!$D:$D,Disbursements!B769,'Live Collections'!$G:$G,Disbursements!C769)</f>
        <v>0</v>
      </c>
      <c r="AL769" s="540">
        <f>SUMIFS('Live Collections'!$T:$T,'Live Collections'!$D:$D,Disbursements!B769,'Live Collections'!$G:$G,Disbursements!C769)</f>
        <v>0</v>
      </c>
      <c r="AM769" s="541">
        <f t="shared" si="322"/>
        <v>0</v>
      </c>
      <c r="AN769" s="542" t="str">
        <f t="shared" si="323"/>
        <v/>
      </c>
      <c r="AO769" s="542" t="str">
        <f t="shared" si="324"/>
        <v/>
      </c>
      <c r="AP769" s="543" t="str">
        <f t="shared" si="325"/>
        <v/>
      </c>
      <c r="AQ769" s="544" t="str">
        <f t="shared" si="326"/>
        <v/>
      </c>
      <c r="AR769" s="545">
        <f t="shared" si="327"/>
        <v>0</v>
      </c>
      <c r="AS769" s="545">
        <f>IFERROR(CEILING($AR769*VLOOKUP($I769,Ref!$B$23:$E$29,4,0),1),0)</f>
        <v>0</v>
      </c>
      <c r="AT769" s="545" t="str">
        <f>IF(A769="","",IF(AP769&lt;=1,"Cleared",IF(AS769=0,"Clean",VLOOKUP($AS769,Ref!$G$23:$H$28,2))))</f>
        <v/>
      </c>
      <c r="AU769" s="546" t="str">
        <f t="shared" si="328"/>
        <v/>
      </c>
    </row>
    <row r="770" spans="1:47" ht="14.25" hidden="1" customHeight="1" x14ac:dyDescent="0.15">
      <c r="A770" s="523"/>
      <c r="B770" s="523"/>
      <c r="C770" s="523"/>
      <c r="D770" s="523"/>
      <c r="E770" s="579"/>
      <c r="F770" s="580"/>
      <c r="G770" s="524"/>
      <c r="H770" s="555"/>
      <c r="I770" s="560"/>
      <c r="J770" s="523"/>
      <c r="K770" s="528" t="str">
        <f>IFERROR(VLOOKUP($B770,'Clients-Live'!$A:$C,3,0),"")</f>
        <v/>
      </c>
      <c r="L770" s="528">
        <f>IF(E770="STL",Pricing!$D$38,IF(A770="",0,IF(A770&lt;Pricing!$C$25,Pricing!$D$25,VLOOKUP(Disbursements!$F770,Pricing!$B$29:$D$32,3))))</f>
        <v>0</v>
      </c>
      <c r="M770" s="528">
        <f>IF(E770="STL",0,IF(F770&gt;0,Pricing!$D$21,0))</f>
        <v>0</v>
      </c>
      <c r="N770" s="529">
        <f>IF(E770="STL",F770*Pricing!$D$40,IF(A770&lt;=Pricing!$C$4,0,IF(AND(A770&gt;Pricing!$C$4,Disbursements!A770&lt;=Pricing!$C$5),F770*Pricing!$E$5,IF(AND(A770&gt;Pricing!$C$5,Disbursements!A770&lt;=Pricing!$C$7),VLOOKUP(F770,Pricing!$D$7:$E$8,2)*Disbursements!F770,F770*Pricing!$E$9))))</f>
        <v>0</v>
      </c>
      <c r="O770" s="528">
        <f>IF(E770="STL",0,IF($F770&gt;0,$F770*Pricing!$D$17,0))</f>
        <v>0</v>
      </c>
      <c r="P770" s="530" t="str">
        <f t="shared" si="308"/>
        <v/>
      </c>
      <c r="Q770" s="531" t="str">
        <f>IF($A770="","",$G770/VLOOKUP($I770,Ref!$B$23:$D$29,2,0))</f>
        <v/>
      </c>
      <c r="R770" s="530" t="str">
        <f t="shared" si="309"/>
        <v/>
      </c>
      <c r="S770" s="532" t="str">
        <f t="shared" si="303"/>
        <v/>
      </c>
      <c r="T770" s="531" t="str">
        <f t="shared" si="310"/>
        <v/>
      </c>
      <c r="U770" s="533">
        <f t="shared" si="311"/>
        <v>0</v>
      </c>
      <c r="V770" s="531" t="str">
        <f t="shared" si="312"/>
        <v/>
      </c>
      <c r="W770" s="531" t="str">
        <f t="shared" si="313"/>
        <v/>
      </c>
      <c r="X770" s="534" t="str">
        <f t="shared" si="314"/>
        <v/>
      </c>
      <c r="Y770" s="535" t="str">
        <f>IF($A770="","",IF($I770="weekly",$A770+7,EDATE($A770,VLOOKUP($I770,Ref!$B$24:$C$29,2,0))))</f>
        <v/>
      </c>
      <c r="Z770" s="536" t="str">
        <f t="shared" si="315"/>
        <v/>
      </c>
      <c r="AA770" s="531">
        <f t="shared" si="316"/>
        <v>0</v>
      </c>
      <c r="AB770" s="535" t="str">
        <f t="shared" si="304"/>
        <v/>
      </c>
      <c r="AC770" s="537" t="str">
        <f t="shared" si="305"/>
        <v/>
      </c>
      <c r="AD770" s="538" t="str">
        <f t="shared" ca="1" si="306"/>
        <v/>
      </c>
      <c r="AE770" s="537">
        <f t="shared" ca="1" si="307"/>
        <v>0</v>
      </c>
      <c r="AF770" s="539" t="str">
        <f t="shared" ca="1" si="317"/>
        <v/>
      </c>
      <c r="AG770" s="531" t="str">
        <f t="shared" ca="1" si="318"/>
        <v/>
      </c>
      <c r="AH770" s="531" t="str">
        <f t="shared" ca="1" si="319"/>
        <v/>
      </c>
      <c r="AI770" s="531" t="str">
        <f t="shared" ca="1" si="320"/>
        <v/>
      </c>
      <c r="AJ770" s="531" t="str">
        <f t="shared" si="321"/>
        <v/>
      </c>
      <c r="AK770" s="540">
        <f>SUMIFS('Live Collections'!$S:$S,'Live Collections'!$D:$D,Disbursements!B770,'Live Collections'!$G:$G,Disbursements!C770)</f>
        <v>0</v>
      </c>
      <c r="AL770" s="540">
        <f>SUMIFS('Live Collections'!$T:$T,'Live Collections'!$D:$D,Disbursements!B770,'Live Collections'!$G:$G,Disbursements!C770)</f>
        <v>0</v>
      </c>
      <c r="AM770" s="541">
        <f t="shared" si="322"/>
        <v>0</v>
      </c>
      <c r="AN770" s="542" t="str">
        <f t="shared" si="323"/>
        <v/>
      </c>
      <c r="AO770" s="542" t="str">
        <f t="shared" si="324"/>
        <v/>
      </c>
      <c r="AP770" s="543" t="str">
        <f t="shared" si="325"/>
        <v/>
      </c>
      <c r="AQ770" s="544" t="str">
        <f t="shared" si="326"/>
        <v/>
      </c>
      <c r="AR770" s="545">
        <f t="shared" si="327"/>
        <v>0</v>
      </c>
      <c r="AS770" s="545">
        <f>IFERROR(CEILING($AR770*VLOOKUP($I770,Ref!$B$23:$E$29,4,0),1),0)</f>
        <v>0</v>
      </c>
      <c r="AT770" s="545" t="str">
        <f>IF(A770="","",IF(AP770&lt;=1,"Cleared",IF(AS770=0,"Clean",VLOOKUP($AS770,Ref!$G$23:$H$28,2))))</f>
        <v/>
      </c>
      <c r="AU770" s="546" t="str">
        <f t="shared" si="328"/>
        <v/>
      </c>
    </row>
    <row r="771" spans="1:47" ht="14.25" hidden="1" customHeight="1" x14ac:dyDescent="0.15">
      <c r="A771" s="523"/>
      <c r="B771" s="523"/>
      <c r="C771" s="523"/>
      <c r="D771" s="523"/>
      <c r="E771" s="579"/>
      <c r="F771" s="580"/>
      <c r="G771" s="524"/>
      <c r="H771" s="555"/>
      <c r="I771" s="560"/>
      <c r="J771" s="523"/>
      <c r="K771" s="528" t="str">
        <f>IFERROR(VLOOKUP($B771,'Clients-Live'!$A:$C,3,0),"")</f>
        <v/>
      </c>
      <c r="L771" s="528">
        <f>IF(E771="STL",Pricing!$D$38,IF(A771="",0,IF(A771&lt;Pricing!$C$25,Pricing!$D$25,VLOOKUP(Disbursements!$F771,Pricing!$B$29:$D$32,3))))</f>
        <v>0</v>
      </c>
      <c r="M771" s="528">
        <f>IF(E771="STL",0,IF(F771&gt;0,Pricing!$D$21,0))</f>
        <v>0</v>
      </c>
      <c r="N771" s="529">
        <f>IF(E771="STL",F771*Pricing!$D$40,IF(A771&lt;=Pricing!$C$4,0,IF(AND(A771&gt;Pricing!$C$4,Disbursements!A771&lt;=Pricing!$C$5),F771*Pricing!$E$5,IF(AND(A771&gt;Pricing!$C$5,Disbursements!A771&lt;=Pricing!$C$7),VLOOKUP(F771,Pricing!$D$7:$E$8,2)*Disbursements!F771,F771*Pricing!$E$9))))</f>
        <v>0</v>
      </c>
      <c r="O771" s="528">
        <f>IF(E771="STL",0,IF($F771&gt;0,$F771*Pricing!$D$17,0))</f>
        <v>0</v>
      </c>
      <c r="P771" s="530" t="str">
        <f t="shared" si="308"/>
        <v/>
      </c>
      <c r="Q771" s="531" t="str">
        <f>IF($A771="","",$G771/VLOOKUP($I771,Ref!$B$23:$D$29,2,0))</f>
        <v/>
      </c>
      <c r="R771" s="530" t="str">
        <f t="shared" si="309"/>
        <v/>
      </c>
      <c r="S771" s="532" t="str">
        <f t="shared" si="303"/>
        <v/>
      </c>
      <c r="T771" s="531" t="str">
        <f t="shared" si="310"/>
        <v/>
      </c>
      <c r="U771" s="533">
        <f t="shared" si="311"/>
        <v>0</v>
      </c>
      <c r="V771" s="531" t="str">
        <f t="shared" si="312"/>
        <v/>
      </c>
      <c r="W771" s="531" t="str">
        <f t="shared" si="313"/>
        <v/>
      </c>
      <c r="X771" s="534" t="str">
        <f t="shared" si="314"/>
        <v/>
      </c>
      <c r="Y771" s="535" t="str">
        <f>IF($A771="","",IF($I771="weekly",$A771+7,EDATE($A771,VLOOKUP($I771,Ref!$B$24:$C$29,2,0))))</f>
        <v/>
      </c>
      <c r="Z771" s="536" t="str">
        <f t="shared" si="315"/>
        <v/>
      </c>
      <c r="AA771" s="531">
        <f t="shared" si="316"/>
        <v>0</v>
      </c>
      <c r="AB771" s="535" t="str">
        <f t="shared" si="304"/>
        <v/>
      </c>
      <c r="AC771" s="537" t="str">
        <f t="shared" si="305"/>
        <v/>
      </c>
      <c r="AD771" s="538" t="str">
        <f t="shared" ca="1" si="306"/>
        <v/>
      </c>
      <c r="AE771" s="537">
        <f t="shared" ca="1" si="307"/>
        <v>0</v>
      </c>
      <c r="AF771" s="539" t="str">
        <f t="shared" ca="1" si="317"/>
        <v/>
      </c>
      <c r="AG771" s="531" t="str">
        <f t="shared" ca="1" si="318"/>
        <v/>
      </c>
      <c r="AH771" s="531" t="str">
        <f t="shared" ca="1" si="319"/>
        <v/>
      </c>
      <c r="AI771" s="531" t="str">
        <f t="shared" ca="1" si="320"/>
        <v/>
      </c>
      <c r="AJ771" s="531" t="str">
        <f t="shared" si="321"/>
        <v/>
      </c>
      <c r="AK771" s="540">
        <f>SUMIFS('Live Collections'!$S:$S,'Live Collections'!$D:$D,Disbursements!B771,'Live Collections'!$G:$G,Disbursements!C771)</f>
        <v>0</v>
      </c>
      <c r="AL771" s="540">
        <f>SUMIFS('Live Collections'!$T:$T,'Live Collections'!$D:$D,Disbursements!B771,'Live Collections'!$G:$G,Disbursements!C771)</f>
        <v>0</v>
      </c>
      <c r="AM771" s="541">
        <f t="shared" si="322"/>
        <v>0</v>
      </c>
      <c r="AN771" s="542" t="str">
        <f t="shared" si="323"/>
        <v/>
      </c>
      <c r="AO771" s="542" t="str">
        <f t="shared" si="324"/>
        <v/>
      </c>
      <c r="AP771" s="543" t="str">
        <f t="shared" si="325"/>
        <v/>
      </c>
      <c r="AQ771" s="544" t="str">
        <f t="shared" si="326"/>
        <v/>
      </c>
      <c r="AR771" s="545">
        <f t="shared" si="327"/>
        <v>0</v>
      </c>
      <c r="AS771" s="545">
        <f>IFERROR(CEILING($AR771*VLOOKUP($I771,Ref!$B$23:$E$29,4,0),1),0)</f>
        <v>0</v>
      </c>
      <c r="AT771" s="545" t="str">
        <f>IF(A771="","",IF(AP771&lt;=1,"Cleared",IF(AS771=0,"Clean",VLOOKUP($AS771,Ref!$G$23:$H$28,2))))</f>
        <v/>
      </c>
      <c r="AU771" s="546" t="str">
        <f t="shared" si="328"/>
        <v/>
      </c>
    </row>
    <row r="772" spans="1:47" ht="14.25" hidden="1" customHeight="1" x14ac:dyDescent="0.15">
      <c r="A772" s="523"/>
      <c r="B772" s="523"/>
      <c r="C772" s="523"/>
      <c r="D772" s="523"/>
      <c r="E772" s="579"/>
      <c r="F772" s="580"/>
      <c r="G772" s="524"/>
      <c r="H772" s="555"/>
      <c r="I772" s="560"/>
      <c r="J772" s="523"/>
      <c r="K772" s="528" t="str">
        <f>IFERROR(VLOOKUP($B772,'Clients-Live'!$A:$C,3,0),"")</f>
        <v/>
      </c>
      <c r="L772" s="528">
        <f>IF(E772="STL",Pricing!$D$38,IF(A772="",0,IF(A772&lt;Pricing!$C$25,Pricing!$D$25,VLOOKUP(Disbursements!$F772,Pricing!$B$29:$D$32,3))))</f>
        <v>0</v>
      </c>
      <c r="M772" s="528">
        <f>IF(E772="STL",0,IF(F772&gt;0,Pricing!$D$21,0))</f>
        <v>0</v>
      </c>
      <c r="N772" s="529">
        <f>IF(E772="STL",F772*Pricing!$D$40,IF(A772&lt;=Pricing!$C$4,0,IF(AND(A772&gt;Pricing!$C$4,Disbursements!A772&lt;=Pricing!$C$5),F772*Pricing!$E$5,IF(AND(A772&gt;Pricing!$C$5,Disbursements!A772&lt;=Pricing!$C$7),VLOOKUP(F772,Pricing!$D$7:$E$8,2)*Disbursements!F772,F772*Pricing!$E$9))))</f>
        <v>0</v>
      </c>
      <c r="O772" s="528">
        <f>IF(E772="STL",0,IF($F772&gt;0,$F772*Pricing!$D$17,0))</f>
        <v>0</v>
      </c>
      <c r="P772" s="530" t="str">
        <f t="shared" si="308"/>
        <v/>
      </c>
      <c r="Q772" s="531" t="str">
        <f>IF($A772="","",$G772/VLOOKUP($I772,Ref!$B$23:$D$29,2,0))</f>
        <v/>
      </c>
      <c r="R772" s="530" t="str">
        <f t="shared" si="309"/>
        <v/>
      </c>
      <c r="S772" s="532" t="str">
        <f t="shared" ref="S772:S835" si="329">IF($A772="","",$R772/$Q772)</f>
        <v/>
      </c>
      <c r="T772" s="531" t="str">
        <f t="shared" si="310"/>
        <v/>
      </c>
      <c r="U772" s="533">
        <f t="shared" si="311"/>
        <v>0</v>
      </c>
      <c r="V772" s="531" t="str">
        <f t="shared" si="312"/>
        <v/>
      </c>
      <c r="W772" s="531" t="str">
        <f t="shared" si="313"/>
        <v/>
      </c>
      <c r="X772" s="534" t="str">
        <f t="shared" si="314"/>
        <v/>
      </c>
      <c r="Y772" s="535" t="str">
        <f>IF($A772="","",IF($I772="weekly",$A772+7,EDATE($A772,VLOOKUP($I772,Ref!$B$24:$C$29,2,0))))</f>
        <v/>
      </c>
      <c r="Z772" s="536" t="str">
        <f t="shared" si="315"/>
        <v/>
      </c>
      <c r="AA772" s="531">
        <f t="shared" si="316"/>
        <v>0</v>
      </c>
      <c r="AB772" s="535" t="str">
        <f t="shared" ref="AB772:AB835" si="330">IF($A772="","",EDATE($A772,$G772))</f>
        <v/>
      </c>
      <c r="AC772" s="537" t="str">
        <f t="shared" ref="AC772:AC835" si="331">IFERROR($AB772-$A772,"")</f>
        <v/>
      </c>
      <c r="AD772" s="538" t="str">
        <f t="shared" ref="AD772:AD835" ca="1" si="332">IFERROR(IF(TODAY()-$A772&lt;$AB772-$A772,TODAY()-$A772,"Expired"),"")</f>
        <v/>
      </c>
      <c r="AE772" s="537">
        <f t="shared" ref="AE772:AE835" ca="1" si="333">IFERROR($AC772-$AD772,0)</f>
        <v>0</v>
      </c>
      <c r="AF772" s="539" t="str">
        <f t="shared" ca="1" si="317"/>
        <v/>
      </c>
      <c r="AG772" s="531" t="str">
        <f t="shared" ca="1" si="318"/>
        <v/>
      </c>
      <c r="AH772" s="531" t="str">
        <f t="shared" ca="1" si="319"/>
        <v/>
      </c>
      <c r="AI772" s="531" t="str">
        <f t="shared" ca="1" si="320"/>
        <v/>
      </c>
      <c r="AJ772" s="531" t="str">
        <f t="shared" si="321"/>
        <v/>
      </c>
      <c r="AK772" s="540">
        <f>SUMIFS('Live Collections'!$S:$S,'Live Collections'!$D:$D,Disbursements!B772,'Live Collections'!$G:$G,Disbursements!C772)</f>
        <v>0</v>
      </c>
      <c r="AL772" s="540">
        <f>SUMIFS('Live Collections'!$T:$T,'Live Collections'!$D:$D,Disbursements!B772,'Live Collections'!$G:$G,Disbursements!C772)</f>
        <v>0</v>
      </c>
      <c r="AM772" s="541">
        <f t="shared" si="322"/>
        <v>0</v>
      </c>
      <c r="AN772" s="542" t="str">
        <f t="shared" si="323"/>
        <v/>
      </c>
      <c r="AO772" s="542" t="str">
        <f t="shared" si="324"/>
        <v/>
      </c>
      <c r="AP772" s="543" t="str">
        <f t="shared" si="325"/>
        <v/>
      </c>
      <c r="AQ772" s="544" t="str">
        <f t="shared" si="326"/>
        <v/>
      </c>
      <c r="AR772" s="545">
        <f t="shared" si="327"/>
        <v>0</v>
      </c>
      <c r="AS772" s="545">
        <f>IFERROR(CEILING($AR772*VLOOKUP($I772,Ref!$B$23:$E$29,4,0),1),0)</f>
        <v>0</v>
      </c>
      <c r="AT772" s="545" t="str">
        <f>IF(A772="","",IF(AP772&lt;=1,"Cleared",IF(AS772=0,"Clean",VLOOKUP($AS772,Ref!$G$23:$H$28,2))))</f>
        <v/>
      </c>
      <c r="AU772" s="546" t="str">
        <f t="shared" si="328"/>
        <v/>
      </c>
    </row>
    <row r="773" spans="1:47" ht="14.25" hidden="1" customHeight="1" x14ac:dyDescent="0.15">
      <c r="A773" s="523"/>
      <c r="B773" s="523"/>
      <c r="C773" s="523"/>
      <c r="D773" s="523"/>
      <c r="E773" s="579"/>
      <c r="F773" s="580"/>
      <c r="G773" s="524"/>
      <c r="H773" s="555"/>
      <c r="I773" s="560"/>
      <c r="J773" s="523"/>
      <c r="K773" s="528" t="str">
        <f>IFERROR(VLOOKUP($B773,'Clients-Live'!$A:$C,3,0),"")</f>
        <v/>
      </c>
      <c r="L773" s="528">
        <f>IF(E773="STL",Pricing!$D$38,IF(A773="",0,IF(A773&lt;Pricing!$C$25,Pricing!$D$25,VLOOKUP(Disbursements!$F773,Pricing!$B$29:$D$32,3))))</f>
        <v>0</v>
      </c>
      <c r="M773" s="528">
        <f>IF(E773="STL",0,IF(F773&gt;0,Pricing!$D$21,0))</f>
        <v>0</v>
      </c>
      <c r="N773" s="529">
        <f>IF(E773="STL",F773*Pricing!$D$40,IF(A773&lt;=Pricing!$C$4,0,IF(AND(A773&gt;Pricing!$C$4,Disbursements!A773&lt;=Pricing!$C$5),F773*Pricing!$E$5,IF(AND(A773&gt;Pricing!$C$5,Disbursements!A773&lt;=Pricing!$C$7),VLOOKUP(F773,Pricing!$D$7:$E$8,2)*Disbursements!F773,F773*Pricing!$E$9))))</f>
        <v>0</v>
      </c>
      <c r="O773" s="528">
        <f>IF(E773="STL",0,IF($F773&gt;0,$F773*Pricing!$D$17,0))</f>
        <v>0</v>
      </c>
      <c r="P773" s="530" t="str">
        <f t="shared" ref="P773:P836" si="334">IF($A773="","",$H773*$F773*$G773)</f>
        <v/>
      </c>
      <c r="Q773" s="531" t="str">
        <f>IF($A773="","",$G773/VLOOKUP($I773,Ref!$B$23:$D$29,2,0))</f>
        <v/>
      </c>
      <c r="R773" s="530" t="str">
        <f t="shared" ref="R773:R836" si="335">IF($A773="","",$F773+$P773)</f>
        <v/>
      </c>
      <c r="S773" s="532" t="str">
        <f t="shared" si="329"/>
        <v/>
      </c>
      <c r="T773" s="531" t="str">
        <f t="shared" ref="T773:T836" si="336">IF(R773="","",CEILING(S773,1000))</f>
        <v/>
      </c>
      <c r="U773" s="533">
        <f t="shared" ref="U773:U836" si="337">IFERROR(T773*Q773,0)</f>
        <v>0</v>
      </c>
      <c r="V773" s="531" t="str">
        <f t="shared" ref="V773:V836" si="338">IF(T773="","",F773/Q773)</f>
        <v/>
      </c>
      <c r="W773" s="531" t="str">
        <f t="shared" ref="W773:W836" si="339">IF(T773="","",T773-V773)</f>
        <v/>
      </c>
      <c r="X773" s="534" t="str">
        <f t="shared" ref="X773:X836" si="340">IF(A773="","",W773*Q773)</f>
        <v/>
      </c>
      <c r="Y773" s="535" t="str">
        <f>IF($A773="","",IF($I773="weekly",$A773+7,EDATE($A773,VLOOKUP($I773,Ref!$B$24:$C$29,2,0))))</f>
        <v/>
      </c>
      <c r="Z773" s="536" t="str">
        <f t="shared" ref="Z773:Z836" si="341">IFERROR(CHOOSE(WEEKDAY(Y773),"Sun","Mon","Tue","Wed","Thu","Frid","Sat"),"")</f>
        <v/>
      </c>
      <c r="AA773" s="531">
        <f t="shared" ref="AA773:AA836" si="342">IFERROR(Y773-A773,0)</f>
        <v>0</v>
      </c>
      <c r="AB773" s="535" t="str">
        <f t="shared" si="330"/>
        <v/>
      </c>
      <c r="AC773" s="537" t="str">
        <f t="shared" si="331"/>
        <v/>
      </c>
      <c r="AD773" s="538" t="str">
        <f t="shared" ca="1" si="332"/>
        <v/>
      </c>
      <c r="AE773" s="537">
        <f t="shared" ca="1" si="333"/>
        <v>0</v>
      </c>
      <c r="AF773" s="539" t="str">
        <f t="shared" ref="AF773:AF836" ca="1" si="343">IFERROR(IF(AD773="Expired",Q773,IF(AD773&gt;AA773,AD773/AA773,0)),"")</f>
        <v/>
      </c>
      <c r="AG773" s="531" t="str">
        <f t="shared" ref="AG773:AG836" ca="1" si="344">IFERROR(AF773*T773,"")</f>
        <v/>
      </c>
      <c r="AH773" s="531" t="str">
        <f t="shared" ref="AH773:AH836" ca="1" si="345">IFERROR(AF773*W773,"")</f>
        <v/>
      </c>
      <c r="AI773" s="531" t="str">
        <f t="shared" ref="AI773:AI836" ca="1" si="346">IFERROR(AF773*V773,"")</f>
        <v/>
      </c>
      <c r="AJ773" s="531" t="str">
        <f t="shared" ref="AJ773:AJ836" si="347">IF(F773=0,"",U773-AG773)</f>
        <v/>
      </c>
      <c r="AK773" s="540">
        <f>SUMIFS('Live Collections'!$S:$S,'Live Collections'!$D:$D,Disbursements!B773,'Live Collections'!$G:$G,Disbursements!C773)</f>
        <v>0</v>
      </c>
      <c r="AL773" s="540">
        <f>SUMIFS('Live Collections'!$T:$T,'Live Collections'!$D:$D,Disbursements!B773,'Live Collections'!$G:$G,Disbursements!C773)</f>
        <v>0</v>
      </c>
      <c r="AM773" s="541">
        <f t="shared" ref="AM773:AM836" si="348">SUM(AK773:AL773)</f>
        <v>0</v>
      </c>
      <c r="AN773" s="542" t="str">
        <f t="shared" ref="AN773:AN836" si="349">IFERROR(W773*Q773-AK773,"")</f>
        <v/>
      </c>
      <c r="AO773" s="542" t="str">
        <f t="shared" ref="AO773:AO836" si="350">IF(F773="","",(F773-AL773))</f>
        <v/>
      </c>
      <c r="AP773" s="543" t="str">
        <f t="shared" ref="AP773:AP836" si="351">IF(F773="","",SUM(AN773:AO773))</f>
        <v/>
      </c>
      <c r="AQ773" s="544" t="str">
        <f t="shared" ref="AQ773:AQ836" si="352">IF(AP773&gt;AJ773,AP773-AJ773,"")</f>
        <v/>
      </c>
      <c r="AR773" s="545">
        <f t="shared" ref="AR773:AR836" si="353">IFERROR(AQ773/T773,0)</f>
        <v>0</v>
      </c>
      <c r="AS773" s="545">
        <f>IFERROR(CEILING($AR773*VLOOKUP($I773,Ref!$B$23:$E$29,4,0),1),0)</f>
        <v>0</v>
      </c>
      <c r="AT773" s="545" t="str">
        <f>IF(A773="","",IF(AP773&lt;=1,"Cleared",IF(AS773=0,"Clean",VLOOKUP($AS773,Ref!$G$23:$H$28,2))))</f>
        <v/>
      </c>
      <c r="AU773" s="546" t="str">
        <f t="shared" ref="AU773:AU836" si="354">IF(F773="","",IF(OR(AN773&lt;0,AO773&lt;0,AP773&lt;0),"Error on Entry","Ok"))</f>
        <v/>
      </c>
    </row>
    <row r="774" spans="1:47" ht="14.25" hidden="1" customHeight="1" x14ac:dyDescent="0.15">
      <c r="A774" s="523"/>
      <c r="B774" s="523"/>
      <c r="C774" s="523"/>
      <c r="D774" s="523"/>
      <c r="E774" s="579"/>
      <c r="F774" s="580"/>
      <c r="G774" s="524"/>
      <c r="H774" s="555"/>
      <c r="I774" s="560"/>
      <c r="J774" s="523"/>
      <c r="K774" s="528" t="str">
        <f>IFERROR(VLOOKUP($B774,'Clients-Live'!$A:$C,3,0),"")</f>
        <v/>
      </c>
      <c r="L774" s="528">
        <f>IF(E774="STL",Pricing!$D$38,IF(A774="",0,IF(A774&lt;Pricing!$C$25,Pricing!$D$25,VLOOKUP(Disbursements!$F774,Pricing!$B$29:$D$32,3))))</f>
        <v>0</v>
      </c>
      <c r="M774" s="528">
        <f>IF(E774="STL",0,IF(F774&gt;0,Pricing!$D$21,0))</f>
        <v>0</v>
      </c>
      <c r="N774" s="529">
        <f>IF(E774="STL",F774*Pricing!$D$40,IF(A774&lt;=Pricing!$C$4,0,IF(AND(A774&gt;Pricing!$C$4,Disbursements!A774&lt;=Pricing!$C$5),F774*Pricing!$E$5,IF(AND(A774&gt;Pricing!$C$5,Disbursements!A774&lt;=Pricing!$C$7),VLOOKUP(F774,Pricing!$D$7:$E$8,2)*Disbursements!F774,F774*Pricing!$E$9))))</f>
        <v>0</v>
      </c>
      <c r="O774" s="528">
        <f>IF(E774="STL",0,IF($F774&gt;0,$F774*Pricing!$D$17,0))</f>
        <v>0</v>
      </c>
      <c r="P774" s="530" t="str">
        <f t="shared" si="334"/>
        <v/>
      </c>
      <c r="Q774" s="531" t="str">
        <f>IF($A774="","",$G774/VLOOKUP($I774,Ref!$B$23:$D$29,2,0))</f>
        <v/>
      </c>
      <c r="R774" s="530" t="str">
        <f t="shared" si="335"/>
        <v/>
      </c>
      <c r="S774" s="532" t="str">
        <f t="shared" si="329"/>
        <v/>
      </c>
      <c r="T774" s="531" t="str">
        <f t="shared" si="336"/>
        <v/>
      </c>
      <c r="U774" s="533">
        <f t="shared" si="337"/>
        <v>0</v>
      </c>
      <c r="V774" s="531" t="str">
        <f t="shared" si="338"/>
        <v/>
      </c>
      <c r="W774" s="531" t="str">
        <f t="shared" si="339"/>
        <v/>
      </c>
      <c r="X774" s="534" t="str">
        <f t="shared" si="340"/>
        <v/>
      </c>
      <c r="Y774" s="535" t="str">
        <f>IF($A774="","",IF($I774="weekly",$A774+7,EDATE($A774,VLOOKUP($I774,Ref!$B$24:$C$29,2,0))))</f>
        <v/>
      </c>
      <c r="Z774" s="536" t="str">
        <f t="shared" si="341"/>
        <v/>
      </c>
      <c r="AA774" s="531">
        <f t="shared" si="342"/>
        <v>0</v>
      </c>
      <c r="AB774" s="535" t="str">
        <f t="shared" si="330"/>
        <v/>
      </c>
      <c r="AC774" s="537" t="str">
        <f t="shared" si="331"/>
        <v/>
      </c>
      <c r="AD774" s="538" t="str">
        <f t="shared" ca="1" si="332"/>
        <v/>
      </c>
      <c r="AE774" s="537">
        <f t="shared" ca="1" si="333"/>
        <v>0</v>
      </c>
      <c r="AF774" s="539" t="str">
        <f t="shared" ca="1" si="343"/>
        <v/>
      </c>
      <c r="AG774" s="531" t="str">
        <f t="shared" ca="1" si="344"/>
        <v/>
      </c>
      <c r="AH774" s="531" t="str">
        <f t="shared" ca="1" si="345"/>
        <v/>
      </c>
      <c r="AI774" s="531" t="str">
        <f t="shared" ca="1" si="346"/>
        <v/>
      </c>
      <c r="AJ774" s="531" t="str">
        <f t="shared" si="347"/>
        <v/>
      </c>
      <c r="AK774" s="540">
        <f>SUMIFS('Live Collections'!$S:$S,'Live Collections'!$D:$D,Disbursements!B774,'Live Collections'!$G:$G,Disbursements!C774)</f>
        <v>0</v>
      </c>
      <c r="AL774" s="540">
        <f>SUMIFS('Live Collections'!$T:$T,'Live Collections'!$D:$D,Disbursements!B774,'Live Collections'!$G:$G,Disbursements!C774)</f>
        <v>0</v>
      </c>
      <c r="AM774" s="541">
        <f t="shared" si="348"/>
        <v>0</v>
      </c>
      <c r="AN774" s="542" t="str">
        <f t="shared" si="349"/>
        <v/>
      </c>
      <c r="AO774" s="542" t="str">
        <f t="shared" si="350"/>
        <v/>
      </c>
      <c r="AP774" s="543" t="str">
        <f t="shared" si="351"/>
        <v/>
      </c>
      <c r="AQ774" s="544" t="str">
        <f t="shared" si="352"/>
        <v/>
      </c>
      <c r="AR774" s="545">
        <f t="shared" si="353"/>
        <v>0</v>
      </c>
      <c r="AS774" s="545">
        <f>IFERROR(CEILING($AR774*VLOOKUP($I774,Ref!$B$23:$E$29,4,0),1),0)</f>
        <v>0</v>
      </c>
      <c r="AT774" s="545" t="str">
        <f>IF(A774="","",IF(AP774&lt;=1,"Cleared",IF(AS774=0,"Clean",VLOOKUP($AS774,Ref!$G$23:$H$28,2))))</f>
        <v/>
      </c>
      <c r="AU774" s="546" t="str">
        <f t="shared" si="354"/>
        <v/>
      </c>
    </row>
    <row r="775" spans="1:47" ht="14.25" hidden="1" customHeight="1" x14ac:dyDescent="0.15">
      <c r="A775" s="523"/>
      <c r="B775" s="523"/>
      <c r="C775" s="523"/>
      <c r="D775" s="523"/>
      <c r="E775" s="579"/>
      <c r="F775" s="580"/>
      <c r="G775" s="524"/>
      <c r="H775" s="555"/>
      <c r="I775" s="560"/>
      <c r="J775" s="523"/>
      <c r="K775" s="528" t="str">
        <f>IFERROR(VLOOKUP($B775,'Clients-Live'!$A:$C,3,0),"")</f>
        <v/>
      </c>
      <c r="L775" s="528">
        <f>IF(E775="STL",Pricing!$D$38,IF(A775="",0,IF(A775&lt;Pricing!$C$25,Pricing!$D$25,VLOOKUP(Disbursements!$F775,Pricing!$B$29:$D$32,3))))</f>
        <v>0</v>
      </c>
      <c r="M775" s="528">
        <f>IF(E775="STL",0,IF(F775&gt;0,Pricing!$D$21,0))</f>
        <v>0</v>
      </c>
      <c r="N775" s="529">
        <f>IF(E775="STL",F775*Pricing!$D$40,IF(A775&lt;=Pricing!$C$4,0,IF(AND(A775&gt;Pricing!$C$4,Disbursements!A775&lt;=Pricing!$C$5),F775*Pricing!$E$5,IF(AND(A775&gt;Pricing!$C$5,Disbursements!A775&lt;=Pricing!$C$7),VLOOKUP(F775,Pricing!$D$7:$E$8,2)*Disbursements!F775,F775*Pricing!$E$9))))</f>
        <v>0</v>
      </c>
      <c r="O775" s="528">
        <f>IF(E775="STL",0,IF($F775&gt;0,$F775*Pricing!$D$17,0))</f>
        <v>0</v>
      </c>
      <c r="P775" s="530" t="str">
        <f t="shared" si="334"/>
        <v/>
      </c>
      <c r="Q775" s="531" t="str">
        <f>IF($A775="","",$G775/VLOOKUP($I775,Ref!$B$23:$D$29,2,0))</f>
        <v/>
      </c>
      <c r="R775" s="530" t="str">
        <f t="shared" si="335"/>
        <v/>
      </c>
      <c r="S775" s="532" t="str">
        <f t="shared" si="329"/>
        <v/>
      </c>
      <c r="T775" s="531" t="str">
        <f t="shared" si="336"/>
        <v/>
      </c>
      <c r="U775" s="533">
        <f t="shared" si="337"/>
        <v>0</v>
      </c>
      <c r="V775" s="531" t="str">
        <f t="shared" si="338"/>
        <v/>
      </c>
      <c r="W775" s="531" t="str">
        <f t="shared" si="339"/>
        <v/>
      </c>
      <c r="X775" s="534" t="str">
        <f t="shared" si="340"/>
        <v/>
      </c>
      <c r="Y775" s="535" t="str">
        <f>IF($A775="","",IF($I775="weekly",$A775+7,EDATE($A775,VLOOKUP($I775,Ref!$B$24:$C$29,2,0))))</f>
        <v/>
      </c>
      <c r="Z775" s="536" t="str">
        <f t="shared" si="341"/>
        <v/>
      </c>
      <c r="AA775" s="531">
        <f t="shared" si="342"/>
        <v>0</v>
      </c>
      <c r="AB775" s="535" t="str">
        <f t="shared" si="330"/>
        <v/>
      </c>
      <c r="AC775" s="537" t="str">
        <f t="shared" si="331"/>
        <v/>
      </c>
      <c r="AD775" s="538" t="str">
        <f t="shared" ca="1" si="332"/>
        <v/>
      </c>
      <c r="AE775" s="537">
        <f t="shared" ca="1" si="333"/>
        <v>0</v>
      </c>
      <c r="AF775" s="539" t="str">
        <f t="shared" ca="1" si="343"/>
        <v/>
      </c>
      <c r="AG775" s="531" t="str">
        <f t="shared" ca="1" si="344"/>
        <v/>
      </c>
      <c r="AH775" s="531" t="str">
        <f t="shared" ca="1" si="345"/>
        <v/>
      </c>
      <c r="AI775" s="531" t="str">
        <f t="shared" ca="1" si="346"/>
        <v/>
      </c>
      <c r="AJ775" s="531" t="str">
        <f t="shared" si="347"/>
        <v/>
      </c>
      <c r="AK775" s="540">
        <f>SUMIFS('Live Collections'!$S:$S,'Live Collections'!$D:$D,Disbursements!B775,'Live Collections'!$G:$G,Disbursements!C775)</f>
        <v>0</v>
      </c>
      <c r="AL775" s="540">
        <f>SUMIFS('Live Collections'!$T:$T,'Live Collections'!$D:$D,Disbursements!B775,'Live Collections'!$G:$G,Disbursements!C775)</f>
        <v>0</v>
      </c>
      <c r="AM775" s="541">
        <f t="shared" si="348"/>
        <v>0</v>
      </c>
      <c r="AN775" s="542" t="str">
        <f t="shared" si="349"/>
        <v/>
      </c>
      <c r="AO775" s="542" t="str">
        <f t="shared" si="350"/>
        <v/>
      </c>
      <c r="AP775" s="543" t="str">
        <f t="shared" si="351"/>
        <v/>
      </c>
      <c r="AQ775" s="544" t="str">
        <f t="shared" si="352"/>
        <v/>
      </c>
      <c r="AR775" s="545">
        <f t="shared" si="353"/>
        <v>0</v>
      </c>
      <c r="AS775" s="545">
        <f>IFERROR(CEILING($AR775*VLOOKUP($I775,Ref!$B$23:$E$29,4,0),1),0)</f>
        <v>0</v>
      </c>
      <c r="AT775" s="545" t="str">
        <f>IF(A775="","",IF(AP775&lt;=1,"Cleared",IF(AS775=0,"Clean",VLOOKUP($AS775,Ref!$G$23:$H$28,2))))</f>
        <v/>
      </c>
      <c r="AU775" s="546" t="str">
        <f t="shared" si="354"/>
        <v/>
      </c>
    </row>
    <row r="776" spans="1:47" ht="14.25" hidden="1" customHeight="1" x14ac:dyDescent="0.15">
      <c r="A776" s="523"/>
      <c r="B776" s="523"/>
      <c r="C776" s="523"/>
      <c r="D776" s="523"/>
      <c r="E776" s="579"/>
      <c r="F776" s="580"/>
      <c r="G776" s="524"/>
      <c r="H776" s="555"/>
      <c r="I776" s="560"/>
      <c r="J776" s="523"/>
      <c r="K776" s="528" t="str">
        <f>IFERROR(VLOOKUP($B776,'Clients-Live'!$A:$C,3,0),"")</f>
        <v/>
      </c>
      <c r="L776" s="528">
        <f>IF(E776="STL",Pricing!$D$38,IF(A776="",0,IF(A776&lt;Pricing!$C$25,Pricing!$D$25,VLOOKUP(Disbursements!$F776,Pricing!$B$29:$D$32,3))))</f>
        <v>0</v>
      </c>
      <c r="M776" s="528">
        <f>IF(E776="STL",0,IF(F776&gt;0,Pricing!$D$21,0))</f>
        <v>0</v>
      </c>
      <c r="N776" s="529">
        <f>IF(E776="STL",F776*Pricing!$D$40,IF(A776&lt;=Pricing!$C$4,0,IF(AND(A776&gt;Pricing!$C$4,Disbursements!A776&lt;=Pricing!$C$5),F776*Pricing!$E$5,IF(AND(A776&gt;Pricing!$C$5,Disbursements!A776&lt;=Pricing!$C$7),VLOOKUP(F776,Pricing!$D$7:$E$8,2)*Disbursements!F776,F776*Pricing!$E$9))))</f>
        <v>0</v>
      </c>
      <c r="O776" s="528">
        <f>IF(E776="STL",0,IF($F776&gt;0,$F776*Pricing!$D$17,0))</f>
        <v>0</v>
      </c>
      <c r="P776" s="530" t="str">
        <f t="shared" si="334"/>
        <v/>
      </c>
      <c r="Q776" s="531" t="str">
        <f>IF($A776="","",$G776/VLOOKUP($I776,Ref!$B$23:$D$29,2,0))</f>
        <v/>
      </c>
      <c r="R776" s="530" t="str">
        <f t="shared" si="335"/>
        <v/>
      </c>
      <c r="S776" s="532" t="str">
        <f t="shared" si="329"/>
        <v/>
      </c>
      <c r="T776" s="531" t="str">
        <f t="shared" si="336"/>
        <v/>
      </c>
      <c r="U776" s="533">
        <f t="shared" si="337"/>
        <v>0</v>
      </c>
      <c r="V776" s="531" t="str">
        <f t="shared" si="338"/>
        <v/>
      </c>
      <c r="W776" s="531" t="str">
        <f t="shared" si="339"/>
        <v/>
      </c>
      <c r="X776" s="534" t="str">
        <f t="shared" si="340"/>
        <v/>
      </c>
      <c r="Y776" s="535" t="str">
        <f>IF($A776="","",IF($I776="weekly",$A776+7,EDATE($A776,VLOOKUP($I776,Ref!$B$24:$C$29,2,0))))</f>
        <v/>
      </c>
      <c r="Z776" s="536" t="str">
        <f t="shared" si="341"/>
        <v/>
      </c>
      <c r="AA776" s="531">
        <f t="shared" si="342"/>
        <v>0</v>
      </c>
      <c r="AB776" s="535" t="str">
        <f t="shared" si="330"/>
        <v/>
      </c>
      <c r="AC776" s="537" t="str">
        <f t="shared" si="331"/>
        <v/>
      </c>
      <c r="AD776" s="538" t="str">
        <f t="shared" ca="1" si="332"/>
        <v/>
      </c>
      <c r="AE776" s="537">
        <f t="shared" ca="1" si="333"/>
        <v>0</v>
      </c>
      <c r="AF776" s="539" t="str">
        <f t="shared" ca="1" si="343"/>
        <v/>
      </c>
      <c r="AG776" s="531" t="str">
        <f t="shared" ca="1" si="344"/>
        <v/>
      </c>
      <c r="AH776" s="531" t="str">
        <f t="shared" ca="1" si="345"/>
        <v/>
      </c>
      <c r="AI776" s="531" t="str">
        <f t="shared" ca="1" si="346"/>
        <v/>
      </c>
      <c r="AJ776" s="531" t="str">
        <f t="shared" si="347"/>
        <v/>
      </c>
      <c r="AK776" s="540">
        <f>SUMIFS('Live Collections'!$S:$S,'Live Collections'!$D:$D,Disbursements!B776,'Live Collections'!$G:$G,Disbursements!C776)</f>
        <v>0</v>
      </c>
      <c r="AL776" s="540">
        <f>SUMIFS('Live Collections'!$T:$T,'Live Collections'!$D:$D,Disbursements!B776,'Live Collections'!$G:$G,Disbursements!C776)</f>
        <v>0</v>
      </c>
      <c r="AM776" s="541">
        <f t="shared" si="348"/>
        <v>0</v>
      </c>
      <c r="AN776" s="542" t="str">
        <f t="shared" si="349"/>
        <v/>
      </c>
      <c r="AO776" s="542" t="str">
        <f t="shared" si="350"/>
        <v/>
      </c>
      <c r="AP776" s="543" t="str">
        <f t="shared" si="351"/>
        <v/>
      </c>
      <c r="AQ776" s="544" t="str">
        <f t="shared" si="352"/>
        <v/>
      </c>
      <c r="AR776" s="545">
        <f t="shared" si="353"/>
        <v>0</v>
      </c>
      <c r="AS776" s="545">
        <f>IFERROR(CEILING($AR776*VLOOKUP($I776,Ref!$B$23:$E$29,4,0),1),0)</f>
        <v>0</v>
      </c>
      <c r="AT776" s="545" t="str">
        <f>IF(A776="","",IF(AP776&lt;=1,"Cleared",IF(AS776=0,"Clean",VLOOKUP($AS776,Ref!$G$23:$H$28,2))))</f>
        <v/>
      </c>
      <c r="AU776" s="546" t="str">
        <f t="shared" si="354"/>
        <v/>
      </c>
    </row>
    <row r="777" spans="1:47" ht="14.25" hidden="1" customHeight="1" x14ac:dyDescent="0.15">
      <c r="A777" s="523"/>
      <c r="B777" s="523"/>
      <c r="C777" s="523"/>
      <c r="D777" s="523"/>
      <c r="E777" s="579"/>
      <c r="F777" s="580"/>
      <c r="G777" s="524"/>
      <c r="H777" s="555"/>
      <c r="I777" s="560"/>
      <c r="J777" s="523"/>
      <c r="K777" s="528" t="str">
        <f>IFERROR(VLOOKUP($B777,'Clients-Live'!$A:$C,3,0),"")</f>
        <v/>
      </c>
      <c r="L777" s="528">
        <f>IF(E777="STL",Pricing!$D$38,IF(A777="",0,IF(A777&lt;Pricing!$C$25,Pricing!$D$25,VLOOKUP(Disbursements!$F777,Pricing!$B$29:$D$32,3))))</f>
        <v>0</v>
      </c>
      <c r="M777" s="528">
        <f>IF(E777="STL",0,IF(F777&gt;0,Pricing!$D$21,0))</f>
        <v>0</v>
      </c>
      <c r="N777" s="529">
        <f>IF(E777="STL",F777*Pricing!$D$40,IF(A777&lt;=Pricing!$C$4,0,IF(AND(A777&gt;Pricing!$C$4,Disbursements!A777&lt;=Pricing!$C$5),F777*Pricing!$E$5,IF(AND(A777&gt;Pricing!$C$5,Disbursements!A777&lt;=Pricing!$C$7),VLOOKUP(F777,Pricing!$D$7:$E$8,2)*Disbursements!F777,F777*Pricing!$E$9))))</f>
        <v>0</v>
      </c>
      <c r="O777" s="528">
        <f>IF(E777="STL",0,IF($F777&gt;0,$F777*Pricing!$D$17,0))</f>
        <v>0</v>
      </c>
      <c r="P777" s="530" t="str">
        <f t="shared" si="334"/>
        <v/>
      </c>
      <c r="Q777" s="531" t="str">
        <f>IF($A777="","",$G777/VLOOKUP($I777,Ref!$B$23:$D$29,2,0))</f>
        <v/>
      </c>
      <c r="R777" s="530" t="str">
        <f t="shared" si="335"/>
        <v/>
      </c>
      <c r="S777" s="532" t="str">
        <f t="shared" si="329"/>
        <v/>
      </c>
      <c r="T777" s="531" t="str">
        <f t="shared" si="336"/>
        <v/>
      </c>
      <c r="U777" s="533">
        <f t="shared" si="337"/>
        <v>0</v>
      </c>
      <c r="V777" s="531" t="str">
        <f t="shared" si="338"/>
        <v/>
      </c>
      <c r="W777" s="531" t="str">
        <f t="shared" si="339"/>
        <v/>
      </c>
      <c r="X777" s="534" t="str">
        <f t="shared" si="340"/>
        <v/>
      </c>
      <c r="Y777" s="535" t="str">
        <f>IF($A777="","",IF($I777="weekly",$A777+7,EDATE($A777,VLOOKUP($I777,Ref!$B$24:$C$29,2,0))))</f>
        <v/>
      </c>
      <c r="Z777" s="536" t="str">
        <f t="shared" si="341"/>
        <v/>
      </c>
      <c r="AA777" s="531">
        <f t="shared" si="342"/>
        <v>0</v>
      </c>
      <c r="AB777" s="535" t="str">
        <f t="shared" si="330"/>
        <v/>
      </c>
      <c r="AC777" s="537" t="str">
        <f t="shared" si="331"/>
        <v/>
      </c>
      <c r="AD777" s="538" t="str">
        <f t="shared" ca="1" si="332"/>
        <v/>
      </c>
      <c r="AE777" s="537">
        <f t="shared" ca="1" si="333"/>
        <v>0</v>
      </c>
      <c r="AF777" s="539" t="str">
        <f t="shared" ca="1" si="343"/>
        <v/>
      </c>
      <c r="AG777" s="531" t="str">
        <f t="shared" ca="1" si="344"/>
        <v/>
      </c>
      <c r="AH777" s="531" t="str">
        <f t="shared" ca="1" si="345"/>
        <v/>
      </c>
      <c r="AI777" s="531" t="str">
        <f t="shared" ca="1" si="346"/>
        <v/>
      </c>
      <c r="AJ777" s="531" t="str">
        <f t="shared" si="347"/>
        <v/>
      </c>
      <c r="AK777" s="540">
        <f>SUMIFS('Live Collections'!$S:$S,'Live Collections'!$D:$D,Disbursements!B777,'Live Collections'!$G:$G,Disbursements!C777)</f>
        <v>0</v>
      </c>
      <c r="AL777" s="540">
        <f>SUMIFS('Live Collections'!$T:$T,'Live Collections'!$D:$D,Disbursements!B777,'Live Collections'!$G:$G,Disbursements!C777)</f>
        <v>0</v>
      </c>
      <c r="AM777" s="541">
        <f t="shared" si="348"/>
        <v>0</v>
      </c>
      <c r="AN777" s="542" t="str">
        <f t="shared" si="349"/>
        <v/>
      </c>
      <c r="AO777" s="542" t="str">
        <f t="shared" si="350"/>
        <v/>
      </c>
      <c r="AP777" s="543" t="str">
        <f t="shared" si="351"/>
        <v/>
      </c>
      <c r="AQ777" s="544" t="str">
        <f t="shared" si="352"/>
        <v/>
      </c>
      <c r="AR777" s="545">
        <f t="shared" si="353"/>
        <v>0</v>
      </c>
      <c r="AS777" s="545">
        <f>IFERROR(CEILING($AR777*VLOOKUP($I777,Ref!$B$23:$E$29,4,0),1),0)</f>
        <v>0</v>
      </c>
      <c r="AT777" s="545" t="str">
        <f>IF(A777="","",IF(AP777&lt;=1,"Cleared",IF(AS777=0,"Clean",VLOOKUP($AS777,Ref!$G$23:$H$28,2))))</f>
        <v/>
      </c>
      <c r="AU777" s="546" t="str">
        <f t="shared" si="354"/>
        <v/>
      </c>
    </row>
    <row r="778" spans="1:47" ht="14.25" hidden="1" customHeight="1" x14ac:dyDescent="0.15">
      <c r="A778" s="523"/>
      <c r="B778" s="523"/>
      <c r="C778" s="523"/>
      <c r="D778" s="523"/>
      <c r="E778" s="579"/>
      <c r="F778" s="580"/>
      <c r="G778" s="524"/>
      <c r="H778" s="555"/>
      <c r="I778" s="560"/>
      <c r="J778" s="523"/>
      <c r="K778" s="528" t="str">
        <f>IFERROR(VLOOKUP($B778,'Clients-Live'!$A:$C,3,0),"")</f>
        <v/>
      </c>
      <c r="L778" s="528">
        <f>IF(E778="STL",Pricing!$D$38,IF(A778="",0,IF(A778&lt;Pricing!$C$25,Pricing!$D$25,VLOOKUP(Disbursements!$F778,Pricing!$B$29:$D$32,3))))</f>
        <v>0</v>
      </c>
      <c r="M778" s="528">
        <f>IF(E778="STL",0,IF(F778&gt;0,Pricing!$D$21,0))</f>
        <v>0</v>
      </c>
      <c r="N778" s="529">
        <f>IF(E778="STL",F778*Pricing!$D$40,IF(A778&lt;=Pricing!$C$4,0,IF(AND(A778&gt;Pricing!$C$4,Disbursements!A778&lt;=Pricing!$C$5),F778*Pricing!$E$5,IF(AND(A778&gt;Pricing!$C$5,Disbursements!A778&lt;=Pricing!$C$7),VLOOKUP(F778,Pricing!$D$7:$E$8,2)*Disbursements!F778,F778*Pricing!$E$9))))</f>
        <v>0</v>
      </c>
      <c r="O778" s="528">
        <f>IF(E778="STL",0,IF($F778&gt;0,$F778*Pricing!$D$17,0))</f>
        <v>0</v>
      </c>
      <c r="P778" s="530" t="str">
        <f t="shared" si="334"/>
        <v/>
      </c>
      <c r="Q778" s="531" t="str">
        <f>IF($A778="","",$G778/VLOOKUP($I778,Ref!$B$23:$D$29,2,0))</f>
        <v/>
      </c>
      <c r="R778" s="530" t="str">
        <f t="shared" si="335"/>
        <v/>
      </c>
      <c r="S778" s="532" t="str">
        <f t="shared" si="329"/>
        <v/>
      </c>
      <c r="T778" s="531" t="str">
        <f t="shared" si="336"/>
        <v/>
      </c>
      <c r="U778" s="533">
        <f t="shared" si="337"/>
        <v>0</v>
      </c>
      <c r="V778" s="531" t="str">
        <f t="shared" si="338"/>
        <v/>
      </c>
      <c r="W778" s="531" t="str">
        <f t="shared" si="339"/>
        <v/>
      </c>
      <c r="X778" s="534" t="str">
        <f t="shared" si="340"/>
        <v/>
      </c>
      <c r="Y778" s="535" t="str">
        <f>IF($A778="","",IF($I778="weekly",$A778+7,EDATE($A778,VLOOKUP($I778,Ref!$B$24:$C$29,2,0))))</f>
        <v/>
      </c>
      <c r="Z778" s="536" t="str">
        <f t="shared" si="341"/>
        <v/>
      </c>
      <c r="AA778" s="531">
        <f t="shared" si="342"/>
        <v>0</v>
      </c>
      <c r="AB778" s="535" t="str">
        <f t="shared" si="330"/>
        <v/>
      </c>
      <c r="AC778" s="537" t="str">
        <f t="shared" si="331"/>
        <v/>
      </c>
      <c r="AD778" s="538" t="str">
        <f t="shared" ca="1" si="332"/>
        <v/>
      </c>
      <c r="AE778" s="537">
        <f t="shared" ca="1" si="333"/>
        <v>0</v>
      </c>
      <c r="AF778" s="539" t="str">
        <f t="shared" ca="1" si="343"/>
        <v/>
      </c>
      <c r="AG778" s="531" t="str">
        <f t="shared" ca="1" si="344"/>
        <v/>
      </c>
      <c r="AH778" s="531" t="str">
        <f t="shared" ca="1" si="345"/>
        <v/>
      </c>
      <c r="AI778" s="531" t="str">
        <f t="shared" ca="1" si="346"/>
        <v/>
      </c>
      <c r="AJ778" s="531" t="str">
        <f t="shared" si="347"/>
        <v/>
      </c>
      <c r="AK778" s="540">
        <f>SUMIFS('Live Collections'!$S:$S,'Live Collections'!$D:$D,Disbursements!B778,'Live Collections'!$G:$G,Disbursements!C778)</f>
        <v>0</v>
      </c>
      <c r="AL778" s="540">
        <f>SUMIFS('Live Collections'!$T:$T,'Live Collections'!$D:$D,Disbursements!B778,'Live Collections'!$G:$G,Disbursements!C778)</f>
        <v>0</v>
      </c>
      <c r="AM778" s="541">
        <f t="shared" si="348"/>
        <v>0</v>
      </c>
      <c r="AN778" s="542" t="str">
        <f t="shared" si="349"/>
        <v/>
      </c>
      <c r="AO778" s="542" t="str">
        <f t="shared" si="350"/>
        <v/>
      </c>
      <c r="AP778" s="543" t="str">
        <f t="shared" si="351"/>
        <v/>
      </c>
      <c r="AQ778" s="544" t="str">
        <f t="shared" si="352"/>
        <v/>
      </c>
      <c r="AR778" s="545">
        <f t="shared" si="353"/>
        <v>0</v>
      </c>
      <c r="AS778" s="545">
        <f>IFERROR(CEILING($AR778*VLOOKUP($I778,Ref!$B$23:$E$29,4,0),1),0)</f>
        <v>0</v>
      </c>
      <c r="AT778" s="545" t="str">
        <f>IF(A778="","",IF(AP778&lt;=1,"Cleared",IF(AS778=0,"Clean",VLOOKUP($AS778,Ref!$G$23:$H$28,2))))</f>
        <v/>
      </c>
      <c r="AU778" s="546" t="str">
        <f t="shared" si="354"/>
        <v/>
      </c>
    </row>
    <row r="779" spans="1:47" ht="14.25" hidden="1" customHeight="1" x14ac:dyDescent="0.15">
      <c r="A779" s="523"/>
      <c r="B779" s="523"/>
      <c r="C779" s="523"/>
      <c r="D779" s="523"/>
      <c r="E779" s="579"/>
      <c r="F779" s="580"/>
      <c r="G779" s="524"/>
      <c r="H779" s="555"/>
      <c r="I779" s="560"/>
      <c r="J779" s="523"/>
      <c r="K779" s="528" t="str">
        <f>IFERROR(VLOOKUP($B779,'Clients-Live'!$A:$C,3,0),"")</f>
        <v/>
      </c>
      <c r="L779" s="528">
        <f>IF(E779="STL",Pricing!$D$38,IF(A779="",0,IF(A779&lt;Pricing!$C$25,Pricing!$D$25,VLOOKUP(Disbursements!$F779,Pricing!$B$29:$D$32,3))))</f>
        <v>0</v>
      </c>
      <c r="M779" s="528">
        <f>IF(E779="STL",0,IF(F779&gt;0,Pricing!$D$21,0))</f>
        <v>0</v>
      </c>
      <c r="N779" s="529">
        <f>IF(E779="STL",F779*Pricing!$D$40,IF(A779&lt;=Pricing!$C$4,0,IF(AND(A779&gt;Pricing!$C$4,Disbursements!A779&lt;=Pricing!$C$5),F779*Pricing!$E$5,IF(AND(A779&gt;Pricing!$C$5,Disbursements!A779&lt;=Pricing!$C$7),VLOOKUP(F779,Pricing!$D$7:$E$8,2)*Disbursements!F779,F779*Pricing!$E$9))))</f>
        <v>0</v>
      </c>
      <c r="O779" s="528">
        <f>IF(E779="STL",0,IF($F779&gt;0,$F779*Pricing!$D$17,0))</f>
        <v>0</v>
      </c>
      <c r="P779" s="530" t="str">
        <f t="shared" si="334"/>
        <v/>
      </c>
      <c r="Q779" s="531" t="str">
        <f>IF($A779="","",$G779/VLOOKUP($I779,Ref!$B$23:$D$29,2,0))</f>
        <v/>
      </c>
      <c r="R779" s="530" t="str">
        <f t="shared" si="335"/>
        <v/>
      </c>
      <c r="S779" s="532" t="str">
        <f t="shared" si="329"/>
        <v/>
      </c>
      <c r="T779" s="531" t="str">
        <f t="shared" si="336"/>
        <v/>
      </c>
      <c r="U779" s="533">
        <f t="shared" si="337"/>
        <v>0</v>
      </c>
      <c r="V779" s="531" t="str">
        <f t="shared" si="338"/>
        <v/>
      </c>
      <c r="W779" s="531" t="str">
        <f t="shared" si="339"/>
        <v/>
      </c>
      <c r="X779" s="534" t="str">
        <f t="shared" si="340"/>
        <v/>
      </c>
      <c r="Y779" s="535" t="str">
        <f>IF($A779="","",IF($I779="weekly",$A779+7,EDATE($A779,VLOOKUP($I779,Ref!$B$24:$C$29,2,0))))</f>
        <v/>
      </c>
      <c r="Z779" s="536" t="str">
        <f t="shared" si="341"/>
        <v/>
      </c>
      <c r="AA779" s="531">
        <f t="shared" si="342"/>
        <v>0</v>
      </c>
      <c r="AB779" s="535" t="str">
        <f t="shared" si="330"/>
        <v/>
      </c>
      <c r="AC779" s="537" t="str">
        <f t="shared" si="331"/>
        <v/>
      </c>
      <c r="AD779" s="538" t="str">
        <f t="shared" ca="1" si="332"/>
        <v/>
      </c>
      <c r="AE779" s="537">
        <f t="shared" ca="1" si="333"/>
        <v>0</v>
      </c>
      <c r="AF779" s="539" t="str">
        <f t="shared" ca="1" si="343"/>
        <v/>
      </c>
      <c r="AG779" s="531" t="str">
        <f t="shared" ca="1" si="344"/>
        <v/>
      </c>
      <c r="AH779" s="531" t="str">
        <f t="shared" ca="1" si="345"/>
        <v/>
      </c>
      <c r="AI779" s="531" t="str">
        <f t="shared" ca="1" si="346"/>
        <v/>
      </c>
      <c r="AJ779" s="531" t="str">
        <f t="shared" si="347"/>
        <v/>
      </c>
      <c r="AK779" s="540">
        <f>SUMIFS('Live Collections'!$S:$S,'Live Collections'!$D:$D,Disbursements!B779,'Live Collections'!$G:$G,Disbursements!C779)</f>
        <v>0</v>
      </c>
      <c r="AL779" s="540">
        <f>SUMIFS('Live Collections'!$T:$T,'Live Collections'!$D:$D,Disbursements!B779,'Live Collections'!$G:$G,Disbursements!C779)</f>
        <v>0</v>
      </c>
      <c r="AM779" s="541">
        <f t="shared" si="348"/>
        <v>0</v>
      </c>
      <c r="AN779" s="542" t="str">
        <f t="shared" si="349"/>
        <v/>
      </c>
      <c r="AO779" s="542" t="str">
        <f t="shared" si="350"/>
        <v/>
      </c>
      <c r="AP779" s="543" t="str">
        <f t="shared" si="351"/>
        <v/>
      </c>
      <c r="AQ779" s="544" t="str">
        <f t="shared" si="352"/>
        <v/>
      </c>
      <c r="AR779" s="545">
        <f t="shared" si="353"/>
        <v>0</v>
      </c>
      <c r="AS779" s="545">
        <f>IFERROR(CEILING($AR779*VLOOKUP($I779,Ref!$B$23:$E$29,4,0),1),0)</f>
        <v>0</v>
      </c>
      <c r="AT779" s="545" t="str">
        <f>IF(A779="","",IF(AP779&lt;=1,"Cleared",IF(AS779=0,"Clean",VLOOKUP($AS779,Ref!$G$23:$H$28,2))))</f>
        <v/>
      </c>
      <c r="AU779" s="546" t="str">
        <f t="shared" si="354"/>
        <v/>
      </c>
    </row>
    <row r="780" spans="1:47" ht="14.25" hidden="1" customHeight="1" x14ac:dyDescent="0.15">
      <c r="A780" s="523"/>
      <c r="B780" s="523"/>
      <c r="C780" s="523"/>
      <c r="D780" s="523"/>
      <c r="E780" s="579"/>
      <c r="F780" s="580"/>
      <c r="G780" s="524"/>
      <c r="H780" s="555"/>
      <c r="I780" s="560"/>
      <c r="J780" s="523"/>
      <c r="K780" s="528" t="str">
        <f>IFERROR(VLOOKUP($B780,'Clients-Live'!$A:$C,3,0),"")</f>
        <v/>
      </c>
      <c r="L780" s="528">
        <f>IF(E780="STL",Pricing!$D$38,IF(A780="",0,IF(A780&lt;Pricing!$C$25,Pricing!$D$25,VLOOKUP(Disbursements!$F780,Pricing!$B$29:$D$32,3))))</f>
        <v>0</v>
      </c>
      <c r="M780" s="528">
        <f>IF(E780="STL",0,IF(F780&gt;0,Pricing!$D$21,0))</f>
        <v>0</v>
      </c>
      <c r="N780" s="529">
        <f>IF(E780="STL",F780*Pricing!$D$40,IF(A780&lt;=Pricing!$C$4,0,IF(AND(A780&gt;Pricing!$C$4,Disbursements!A780&lt;=Pricing!$C$5),F780*Pricing!$E$5,IF(AND(A780&gt;Pricing!$C$5,Disbursements!A780&lt;=Pricing!$C$7),VLOOKUP(F780,Pricing!$D$7:$E$8,2)*Disbursements!F780,F780*Pricing!$E$9))))</f>
        <v>0</v>
      </c>
      <c r="O780" s="528">
        <f>IF(E780="STL",0,IF($F780&gt;0,$F780*Pricing!$D$17,0))</f>
        <v>0</v>
      </c>
      <c r="P780" s="530" t="str">
        <f t="shared" si="334"/>
        <v/>
      </c>
      <c r="Q780" s="531" t="str">
        <f>IF($A780="","",$G780/VLOOKUP($I780,Ref!$B$23:$D$29,2,0))</f>
        <v/>
      </c>
      <c r="R780" s="530" t="str">
        <f t="shared" si="335"/>
        <v/>
      </c>
      <c r="S780" s="532" t="str">
        <f t="shared" si="329"/>
        <v/>
      </c>
      <c r="T780" s="531" t="str">
        <f t="shared" si="336"/>
        <v/>
      </c>
      <c r="U780" s="533">
        <f t="shared" si="337"/>
        <v>0</v>
      </c>
      <c r="V780" s="531" t="str">
        <f t="shared" si="338"/>
        <v/>
      </c>
      <c r="W780" s="531" t="str">
        <f t="shared" si="339"/>
        <v/>
      </c>
      <c r="X780" s="534" t="str">
        <f t="shared" si="340"/>
        <v/>
      </c>
      <c r="Y780" s="535" t="str">
        <f>IF($A780="","",IF($I780="weekly",$A780+7,EDATE($A780,VLOOKUP($I780,Ref!$B$24:$C$29,2,0))))</f>
        <v/>
      </c>
      <c r="Z780" s="536" t="str">
        <f t="shared" si="341"/>
        <v/>
      </c>
      <c r="AA780" s="531">
        <f t="shared" si="342"/>
        <v>0</v>
      </c>
      <c r="AB780" s="535" t="str">
        <f t="shared" si="330"/>
        <v/>
      </c>
      <c r="AC780" s="537" t="str">
        <f t="shared" si="331"/>
        <v/>
      </c>
      <c r="AD780" s="538" t="str">
        <f t="shared" ca="1" si="332"/>
        <v/>
      </c>
      <c r="AE780" s="537">
        <f t="shared" ca="1" si="333"/>
        <v>0</v>
      </c>
      <c r="AF780" s="539" t="str">
        <f t="shared" ca="1" si="343"/>
        <v/>
      </c>
      <c r="AG780" s="531" t="str">
        <f t="shared" ca="1" si="344"/>
        <v/>
      </c>
      <c r="AH780" s="531" t="str">
        <f t="shared" ca="1" si="345"/>
        <v/>
      </c>
      <c r="AI780" s="531" t="str">
        <f t="shared" ca="1" si="346"/>
        <v/>
      </c>
      <c r="AJ780" s="531" t="str">
        <f t="shared" si="347"/>
        <v/>
      </c>
      <c r="AK780" s="540">
        <f>SUMIFS('Live Collections'!$S:$S,'Live Collections'!$D:$D,Disbursements!B780,'Live Collections'!$G:$G,Disbursements!C780)</f>
        <v>0</v>
      </c>
      <c r="AL780" s="540">
        <f>SUMIFS('Live Collections'!$T:$T,'Live Collections'!$D:$D,Disbursements!B780,'Live Collections'!$G:$G,Disbursements!C780)</f>
        <v>0</v>
      </c>
      <c r="AM780" s="541">
        <f t="shared" si="348"/>
        <v>0</v>
      </c>
      <c r="AN780" s="542" t="str">
        <f t="shared" si="349"/>
        <v/>
      </c>
      <c r="AO780" s="542" t="str">
        <f t="shared" si="350"/>
        <v/>
      </c>
      <c r="AP780" s="543" t="str">
        <f t="shared" si="351"/>
        <v/>
      </c>
      <c r="AQ780" s="544" t="str">
        <f t="shared" si="352"/>
        <v/>
      </c>
      <c r="AR780" s="545">
        <f t="shared" si="353"/>
        <v>0</v>
      </c>
      <c r="AS780" s="545">
        <f>IFERROR(CEILING($AR780*VLOOKUP($I780,Ref!$B$23:$E$29,4,0),1),0)</f>
        <v>0</v>
      </c>
      <c r="AT780" s="545" t="str">
        <f>IF(A780="","",IF(AP780&lt;=1,"Cleared",IF(AS780=0,"Clean",VLOOKUP($AS780,Ref!$G$23:$H$28,2))))</f>
        <v/>
      </c>
      <c r="AU780" s="546" t="str">
        <f t="shared" si="354"/>
        <v/>
      </c>
    </row>
    <row r="781" spans="1:47" ht="14.25" hidden="1" customHeight="1" x14ac:dyDescent="0.15">
      <c r="A781" s="523"/>
      <c r="B781" s="523"/>
      <c r="C781" s="523"/>
      <c r="D781" s="523"/>
      <c r="E781" s="579"/>
      <c r="F781" s="580"/>
      <c r="G781" s="524"/>
      <c r="H781" s="555"/>
      <c r="I781" s="560"/>
      <c r="J781" s="523"/>
      <c r="K781" s="528" t="str">
        <f>IFERROR(VLOOKUP($B781,'Clients-Live'!$A:$C,3,0),"")</f>
        <v/>
      </c>
      <c r="L781" s="528">
        <f>IF(E781="STL",Pricing!$D$38,IF(A781="",0,IF(A781&lt;Pricing!$C$25,Pricing!$D$25,VLOOKUP(Disbursements!$F781,Pricing!$B$29:$D$32,3))))</f>
        <v>0</v>
      </c>
      <c r="M781" s="528">
        <f>IF(E781="STL",0,IF(F781&gt;0,Pricing!$D$21,0))</f>
        <v>0</v>
      </c>
      <c r="N781" s="529">
        <f>IF(E781="STL",F781*Pricing!$D$40,IF(A781&lt;=Pricing!$C$4,0,IF(AND(A781&gt;Pricing!$C$4,Disbursements!A781&lt;=Pricing!$C$5),F781*Pricing!$E$5,IF(AND(A781&gt;Pricing!$C$5,Disbursements!A781&lt;=Pricing!$C$7),VLOOKUP(F781,Pricing!$D$7:$E$8,2)*Disbursements!F781,F781*Pricing!$E$9))))</f>
        <v>0</v>
      </c>
      <c r="O781" s="528">
        <f>IF(E781="STL",0,IF($F781&gt;0,$F781*Pricing!$D$17,0))</f>
        <v>0</v>
      </c>
      <c r="P781" s="530" t="str">
        <f t="shared" si="334"/>
        <v/>
      </c>
      <c r="Q781" s="531" t="str">
        <f>IF($A781="","",$G781/VLOOKUP($I781,Ref!$B$23:$D$29,2,0))</f>
        <v/>
      </c>
      <c r="R781" s="530" t="str">
        <f t="shared" si="335"/>
        <v/>
      </c>
      <c r="S781" s="532" t="str">
        <f t="shared" si="329"/>
        <v/>
      </c>
      <c r="T781" s="531" t="str">
        <f t="shared" si="336"/>
        <v/>
      </c>
      <c r="U781" s="533">
        <f t="shared" si="337"/>
        <v>0</v>
      </c>
      <c r="V781" s="531" t="str">
        <f t="shared" si="338"/>
        <v/>
      </c>
      <c r="W781" s="531" t="str">
        <f t="shared" si="339"/>
        <v/>
      </c>
      <c r="X781" s="534" t="str">
        <f t="shared" si="340"/>
        <v/>
      </c>
      <c r="Y781" s="535" t="str">
        <f>IF($A781="","",IF($I781="weekly",$A781+7,EDATE($A781,VLOOKUP($I781,Ref!$B$24:$C$29,2,0))))</f>
        <v/>
      </c>
      <c r="Z781" s="536" t="str">
        <f t="shared" si="341"/>
        <v/>
      </c>
      <c r="AA781" s="531">
        <f t="shared" si="342"/>
        <v>0</v>
      </c>
      <c r="AB781" s="535" t="str">
        <f t="shared" si="330"/>
        <v/>
      </c>
      <c r="AC781" s="537" t="str">
        <f t="shared" si="331"/>
        <v/>
      </c>
      <c r="AD781" s="538" t="str">
        <f t="shared" ca="1" si="332"/>
        <v/>
      </c>
      <c r="AE781" s="537">
        <f t="shared" ca="1" si="333"/>
        <v>0</v>
      </c>
      <c r="AF781" s="539" t="str">
        <f t="shared" ca="1" si="343"/>
        <v/>
      </c>
      <c r="AG781" s="531" t="str">
        <f t="shared" ca="1" si="344"/>
        <v/>
      </c>
      <c r="AH781" s="531" t="str">
        <f t="shared" ca="1" si="345"/>
        <v/>
      </c>
      <c r="AI781" s="531" t="str">
        <f t="shared" ca="1" si="346"/>
        <v/>
      </c>
      <c r="AJ781" s="531" t="str">
        <f t="shared" si="347"/>
        <v/>
      </c>
      <c r="AK781" s="540">
        <f>SUMIFS('Live Collections'!$S:$S,'Live Collections'!$D:$D,Disbursements!B781,'Live Collections'!$G:$G,Disbursements!C781)</f>
        <v>0</v>
      </c>
      <c r="AL781" s="540">
        <f>SUMIFS('Live Collections'!$T:$T,'Live Collections'!$D:$D,Disbursements!B781,'Live Collections'!$G:$G,Disbursements!C781)</f>
        <v>0</v>
      </c>
      <c r="AM781" s="541">
        <f t="shared" si="348"/>
        <v>0</v>
      </c>
      <c r="AN781" s="542" t="str">
        <f t="shared" si="349"/>
        <v/>
      </c>
      <c r="AO781" s="542" t="str">
        <f t="shared" si="350"/>
        <v/>
      </c>
      <c r="AP781" s="543" t="str">
        <f t="shared" si="351"/>
        <v/>
      </c>
      <c r="AQ781" s="544" t="str">
        <f t="shared" si="352"/>
        <v/>
      </c>
      <c r="AR781" s="545">
        <f t="shared" si="353"/>
        <v>0</v>
      </c>
      <c r="AS781" s="545">
        <f>IFERROR(CEILING($AR781*VLOOKUP($I781,Ref!$B$23:$E$29,4,0),1),0)</f>
        <v>0</v>
      </c>
      <c r="AT781" s="545" t="str">
        <f>IF(A781="","",IF(AP781&lt;=1,"Cleared",IF(AS781=0,"Clean",VLOOKUP($AS781,Ref!$G$23:$H$28,2))))</f>
        <v/>
      </c>
      <c r="AU781" s="546" t="str">
        <f t="shared" si="354"/>
        <v/>
      </c>
    </row>
    <row r="782" spans="1:47" ht="14.25" hidden="1" customHeight="1" x14ac:dyDescent="0.15">
      <c r="A782" s="523"/>
      <c r="B782" s="523"/>
      <c r="C782" s="523"/>
      <c r="D782" s="523"/>
      <c r="E782" s="579"/>
      <c r="F782" s="580"/>
      <c r="G782" s="524"/>
      <c r="H782" s="555"/>
      <c r="I782" s="560"/>
      <c r="J782" s="523"/>
      <c r="K782" s="528" t="str">
        <f>IFERROR(VLOOKUP($B782,'Clients-Live'!$A:$C,3,0),"")</f>
        <v/>
      </c>
      <c r="L782" s="528">
        <f>IF(E782="STL",Pricing!$D$38,IF(A782="",0,IF(A782&lt;Pricing!$C$25,Pricing!$D$25,VLOOKUP(Disbursements!$F782,Pricing!$B$29:$D$32,3))))</f>
        <v>0</v>
      </c>
      <c r="M782" s="528">
        <f>IF(E782="STL",0,IF(F782&gt;0,Pricing!$D$21,0))</f>
        <v>0</v>
      </c>
      <c r="N782" s="529">
        <f>IF(E782="STL",F782*Pricing!$D$40,IF(A782&lt;=Pricing!$C$4,0,IF(AND(A782&gt;Pricing!$C$4,Disbursements!A782&lt;=Pricing!$C$5),F782*Pricing!$E$5,IF(AND(A782&gt;Pricing!$C$5,Disbursements!A782&lt;=Pricing!$C$7),VLOOKUP(F782,Pricing!$D$7:$E$8,2)*Disbursements!F782,F782*Pricing!$E$9))))</f>
        <v>0</v>
      </c>
      <c r="O782" s="528">
        <f>IF(E782="STL",0,IF($F782&gt;0,$F782*Pricing!$D$17,0))</f>
        <v>0</v>
      </c>
      <c r="P782" s="530" t="str">
        <f t="shared" si="334"/>
        <v/>
      </c>
      <c r="Q782" s="531" t="str">
        <f>IF($A782="","",$G782/VLOOKUP($I782,Ref!$B$23:$D$29,2,0))</f>
        <v/>
      </c>
      <c r="R782" s="530" t="str">
        <f t="shared" si="335"/>
        <v/>
      </c>
      <c r="S782" s="532" t="str">
        <f t="shared" si="329"/>
        <v/>
      </c>
      <c r="T782" s="531" t="str">
        <f t="shared" si="336"/>
        <v/>
      </c>
      <c r="U782" s="533">
        <f t="shared" si="337"/>
        <v>0</v>
      </c>
      <c r="V782" s="531" t="str">
        <f t="shared" si="338"/>
        <v/>
      </c>
      <c r="W782" s="531" t="str">
        <f t="shared" si="339"/>
        <v/>
      </c>
      <c r="X782" s="534" t="str">
        <f t="shared" si="340"/>
        <v/>
      </c>
      <c r="Y782" s="535" t="str">
        <f>IF($A782="","",IF($I782="weekly",$A782+7,EDATE($A782,VLOOKUP($I782,Ref!$B$24:$C$29,2,0))))</f>
        <v/>
      </c>
      <c r="Z782" s="536" t="str">
        <f t="shared" si="341"/>
        <v/>
      </c>
      <c r="AA782" s="531">
        <f t="shared" si="342"/>
        <v>0</v>
      </c>
      <c r="AB782" s="535" t="str">
        <f t="shared" si="330"/>
        <v/>
      </c>
      <c r="AC782" s="537" t="str">
        <f t="shared" si="331"/>
        <v/>
      </c>
      <c r="AD782" s="538" t="str">
        <f t="shared" ca="1" si="332"/>
        <v/>
      </c>
      <c r="AE782" s="537">
        <f t="shared" ca="1" si="333"/>
        <v>0</v>
      </c>
      <c r="AF782" s="539" t="str">
        <f t="shared" ca="1" si="343"/>
        <v/>
      </c>
      <c r="AG782" s="531" t="str">
        <f t="shared" ca="1" si="344"/>
        <v/>
      </c>
      <c r="AH782" s="531" t="str">
        <f t="shared" ca="1" si="345"/>
        <v/>
      </c>
      <c r="AI782" s="531" t="str">
        <f t="shared" ca="1" si="346"/>
        <v/>
      </c>
      <c r="AJ782" s="531" t="str">
        <f t="shared" si="347"/>
        <v/>
      </c>
      <c r="AK782" s="540">
        <f>SUMIFS('Live Collections'!$S:$S,'Live Collections'!$D:$D,Disbursements!B782,'Live Collections'!$G:$G,Disbursements!C782)</f>
        <v>0</v>
      </c>
      <c r="AL782" s="540">
        <f>SUMIFS('Live Collections'!$T:$T,'Live Collections'!$D:$D,Disbursements!B782,'Live Collections'!$G:$G,Disbursements!C782)</f>
        <v>0</v>
      </c>
      <c r="AM782" s="541">
        <f t="shared" si="348"/>
        <v>0</v>
      </c>
      <c r="AN782" s="542" t="str">
        <f t="shared" si="349"/>
        <v/>
      </c>
      <c r="AO782" s="542" t="str">
        <f t="shared" si="350"/>
        <v/>
      </c>
      <c r="AP782" s="543" t="str">
        <f t="shared" si="351"/>
        <v/>
      </c>
      <c r="AQ782" s="544" t="str">
        <f t="shared" si="352"/>
        <v/>
      </c>
      <c r="AR782" s="545">
        <f t="shared" si="353"/>
        <v>0</v>
      </c>
      <c r="AS782" s="545">
        <f>IFERROR(CEILING($AR782*VLOOKUP($I782,Ref!$B$23:$E$29,4,0),1),0)</f>
        <v>0</v>
      </c>
      <c r="AT782" s="545" t="str">
        <f>IF(A782="","",IF(AP782&lt;=1,"Cleared",IF(AS782=0,"Clean",VLOOKUP($AS782,Ref!$G$23:$H$28,2))))</f>
        <v/>
      </c>
      <c r="AU782" s="546" t="str">
        <f t="shared" si="354"/>
        <v/>
      </c>
    </row>
    <row r="783" spans="1:47" ht="14.25" hidden="1" customHeight="1" x14ac:dyDescent="0.15">
      <c r="A783" s="523"/>
      <c r="B783" s="523"/>
      <c r="C783" s="523"/>
      <c r="D783" s="523"/>
      <c r="E783" s="579"/>
      <c r="F783" s="580"/>
      <c r="G783" s="524"/>
      <c r="H783" s="555"/>
      <c r="I783" s="560"/>
      <c r="J783" s="523"/>
      <c r="K783" s="528" t="str">
        <f>IFERROR(VLOOKUP($B783,'Clients-Live'!$A:$C,3,0),"")</f>
        <v/>
      </c>
      <c r="L783" s="528">
        <f>IF(E783="STL",Pricing!$D$38,IF(A783="",0,IF(A783&lt;Pricing!$C$25,Pricing!$D$25,VLOOKUP(Disbursements!$F783,Pricing!$B$29:$D$32,3))))</f>
        <v>0</v>
      </c>
      <c r="M783" s="528">
        <f>IF(E783="STL",0,IF(F783&gt;0,Pricing!$D$21,0))</f>
        <v>0</v>
      </c>
      <c r="N783" s="529">
        <f>IF(E783="STL",F783*Pricing!$D$40,IF(A783&lt;=Pricing!$C$4,0,IF(AND(A783&gt;Pricing!$C$4,Disbursements!A783&lt;=Pricing!$C$5),F783*Pricing!$E$5,IF(AND(A783&gt;Pricing!$C$5,Disbursements!A783&lt;=Pricing!$C$7),VLOOKUP(F783,Pricing!$D$7:$E$8,2)*Disbursements!F783,F783*Pricing!$E$9))))</f>
        <v>0</v>
      </c>
      <c r="O783" s="528">
        <f>IF(E783="STL",0,IF($F783&gt;0,$F783*Pricing!$D$17,0))</f>
        <v>0</v>
      </c>
      <c r="P783" s="530" t="str">
        <f t="shared" si="334"/>
        <v/>
      </c>
      <c r="Q783" s="531" t="str">
        <f>IF($A783="","",$G783/VLOOKUP($I783,Ref!$B$23:$D$29,2,0))</f>
        <v/>
      </c>
      <c r="R783" s="530" t="str">
        <f t="shared" si="335"/>
        <v/>
      </c>
      <c r="S783" s="532" t="str">
        <f t="shared" si="329"/>
        <v/>
      </c>
      <c r="T783" s="531" t="str">
        <f t="shared" si="336"/>
        <v/>
      </c>
      <c r="U783" s="533">
        <f t="shared" si="337"/>
        <v>0</v>
      </c>
      <c r="V783" s="531" t="str">
        <f t="shared" si="338"/>
        <v/>
      </c>
      <c r="W783" s="531" t="str">
        <f t="shared" si="339"/>
        <v/>
      </c>
      <c r="X783" s="534" t="str">
        <f t="shared" si="340"/>
        <v/>
      </c>
      <c r="Y783" s="535" t="str">
        <f>IF($A783="","",IF($I783="weekly",$A783+7,EDATE($A783,VLOOKUP($I783,Ref!$B$24:$C$29,2,0))))</f>
        <v/>
      </c>
      <c r="Z783" s="536" t="str">
        <f t="shared" si="341"/>
        <v/>
      </c>
      <c r="AA783" s="531">
        <f t="shared" si="342"/>
        <v>0</v>
      </c>
      <c r="AB783" s="535" t="str">
        <f t="shared" si="330"/>
        <v/>
      </c>
      <c r="AC783" s="537" t="str">
        <f t="shared" si="331"/>
        <v/>
      </c>
      <c r="AD783" s="538" t="str">
        <f t="shared" ca="1" si="332"/>
        <v/>
      </c>
      <c r="AE783" s="537">
        <f t="shared" ca="1" si="333"/>
        <v>0</v>
      </c>
      <c r="AF783" s="539" t="str">
        <f t="shared" ca="1" si="343"/>
        <v/>
      </c>
      <c r="AG783" s="531" t="str">
        <f t="shared" ca="1" si="344"/>
        <v/>
      </c>
      <c r="AH783" s="531" t="str">
        <f t="shared" ca="1" si="345"/>
        <v/>
      </c>
      <c r="AI783" s="531" t="str">
        <f t="shared" ca="1" si="346"/>
        <v/>
      </c>
      <c r="AJ783" s="531" t="str">
        <f t="shared" si="347"/>
        <v/>
      </c>
      <c r="AK783" s="540">
        <f>SUMIFS('Live Collections'!$S:$S,'Live Collections'!$D:$D,Disbursements!B783,'Live Collections'!$G:$G,Disbursements!C783)</f>
        <v>0</v>
      </c>
      <c r="AL783" s="540">
        <f>SUMIFS('Live Collections'!$T:$T,'Live Collections'!$D:$D,Disbursements!B783,'Live Collections'!$G:$G,Disbursements!C783)</f>
        <v>0</v>
      </c>
      <c r="AM783" s="541">
        <f t="shared" si="348"/>
        <v>0</v>
      </c>
      <c r="AN783" s="542" t="str">
        <f t="shared" si="349"/>
        <v/>
      </c>
      <c r="AO783" s="542" t="str">
        <f t="shared" si="350"/>
        <v/>
      </c>
      <c r="AP783" s="543" t="str">
        <f t="shared" si="351"/>
        <v/>
      </c>
      <c r="AQ783" s="544" t="str">
        <f t="shared" si="352"/>
        <v/>
      </c>
      <c r="AR783" s="545">
        <f t="shared" si="353"/>
        <v>0</v>
      </c>
      <c r="AS783" s="545">
        <f>IFERROR(CEILING($AR783*VLOOKUP($I783,Ref!$B$23:$E$29,4,0),1),0)</f>
        <v>0</v>
      </c>
      <c r="AT783" s="545" t="str">
        <f>IF(A783="","",IF(AP783&lt;=1,"Cleared",IF(AS783=0,"Clean",VLOOKUP($AS783,Ref!$G$23:$H$28,2))))</f>
        <v/>
      </c>
      <c r="AU783" s="546" t="str">
        <f t="shared" si="354"/>
        <v/>
      </c>
    </row>
    <row r="784" spans="1:47" ht="14.25" hidden="1" customHeight="1" x14ac:dyDescent="0.15">
      <c r="A784" s="523"/>
      <c r="B784" s="523"/>
      <c r="C784" s="523"/>
      <c r="D784" s="523"/>
      <c r="E784" s="579"/>
      <c r="F784" s="580"/>
      <c r="G784" s="524"/>
      <c r="H784" s="555"/>
      <c r="I784" s="560"/>
      <c r="J784" s="523"/>
      <c r="K784" s="528" t="str">
        <f>IFERROR(VLOOKUP($B784,'Clients-Live'!$A:$C,3,0),"")</f>
        <v/>
      </c>
      <c r="L784" s="528">
        <f>IF(E784="STL",Pricing!$D$38,IF(A784="",0,IF(A784&lt;Pricing!$C$25,Pricing!$D$25,VLOOKUP(Disbursements!$F784,Pricing!$B$29:$D$32,3))))</f>
        <v>0</v>
      </c>
      <c r="M784" s="528">
        <f>IF(E784="STL",0,IF(F784&gt;0,Pricing!$D$21,0))</f>
        <v>0</v>
      </c>
      <c r="N784" s="529">
        <f>IF(E784="STL",F784*Pricing!$D$40,IF(A784&lt;=Pricing!$C$4,0,IF(AND(A784&gt;Pricing!$C$4,Disbursements!A784&lt;=Pricing!$C$5),F784*Pricing!$E$5,IF(AND(A784&gt;Pricing!$C$5,Disbursements!A784&lt;=Pricing!$C$7),VLOOKUP(F784,Pricing!$D$7:$E$8,2)*Disbursements!F784,F784*Pricing!$E$9))))</f>
        <v>0</v>
      </c>
      <c r="O784" s="528">
        <f>IF(E784="STL",0,IF($F784&gt;0,$F784*Pricing!$D$17,0))</f>
        <v>0</v>
      </c>
      <c r="P784" s="530" t="str">
        <f t="shared" si="334"/>
        <v/>
      </c>
      <c r="Q784" s="531" t="str">
        <f>IF($A784="","",$G784/VLOOKUP($I784,Ref!$B$23:$D$29,2,0))</f>
        <v/>
      </c>
      <c r="R784" s="530" t="str">
        <f t="shared" si="335"/>
        <v/>
      </c>
      <c r="S784" s="532" t="str">
        <f t="shared" si="329"/>
        <v/>
      </c>
      <c r="T784" s="531" t="str">
        <f t="shared" si="336"/>
        <v/>
      </c>
      <c r="U784" s="533">
        <f t="shared" si="337"/>
        <v>0</v>
      </c>
      <c r="V784" s="531" t="str">
        <f t="shared" si="338"/>
        <v/>
      </c>
      <c r="W784" s="531" t="str">
        <f t="shared" si="339"/>
        <v/>
      </c>
      <c r="X784" s="534" t="str">
        <f t="shared" si="340"/>
        <v/>
      </c>
      <c r="Y784" s="535" t="str">
        <f>IF($A784="","",IF($I784="weekly",$A784+7,EDATE($A784,VLOOKUP($I784,Ref!$B$24:$C$29,2,0))))</f>
        <v/>
      </c>
      <c r="Z784" s="536" t="str">
        <f t="shared" si="341"/>
        <v/>
      </c>
      <c r="AA784" s="531">
        <f t="shared" si="342"/>
        <v>0</v>
      </c>
      <c r="AB784" s="535" t="str">
        <f t="shared" si="330"/>
        <v/>
      </c>
      <c r="AC784" s="537" t="str">
        <f t="shared" si="331"/>
        <v/>
      </c>
      <c r="AD784" s="538" t="str">
        <f t="shared" ca="1" si="332"/>
        <v/>
      </c>
      <c r="AE784" s="537">
        <f t="shared" ca="1" si="333"/>
        <v>0</v>
      </c>
      <c r="AF784" s="539" t="str">
        <f t="shared" ca="1" si="343"/>
        <v/>
      </c>
      <c r="AG784" s="531" t="str">
        <f t="shared" ca="1" si="344"/>
        <v/>
      </c>
      <c r="AH784" s="531" t="str">
        <f t="shared" ca="1" si="345"/>
        <v/>
      </c>
      <c r="AI784" s="531" t="str">
        <f t="shared" ca="1" si="346"/>
        <v/>
      </c>
      <c r="AJ784" s="531" t="str">
        <f t="shared" si="347"/>
        <v/>
      </c>
      <c r="AK784" s="540">
        <f>SUMIFS('Live Collections'!$S:$S,'Live Collections'!$D:$D,Disbursements!B784,'Live Collections'!$G:$G,Disbursements!C784)</f>
        <v>0</v>
      </c>
      <c r="AL784" s="540">
        <f>SUMIFS('Live Collections'!$T:$T,'Live Collections'!$D:$D,Disbursements!B784,'Live Collections'!$G:$G,Disbursements!C784)</f>
        <v>0</v>
      </c>
      <c r="AM784" s="541">
        <f t="shared" si="348"/>
        <v>0</v>
      </c>
      <c r="AN784" s="542" t="str">
        <f t="shared" si="349"/>
        <v/>
      </c>
      <c r="AO784" s="542" t="str">
        <f t="shared" si="350"/>
        <v/>
      </c>
      <c r="AP784" s="543" t="str">
        <f t="shared" si="351"/>
        <v/>
      </c>
      <c r="AQ784" s="544" t="str">
        <f t="shared" si="352"/>
        <v/>
      </c>
      <c r="AR784" s="545">
        <f t="shared" si="353"/>
        <v>0</v>
      </c>
      <c r="AS784" s="545">
        <f>IFERROR(CEILING($AR784*VLOOKUP($I784,Ref!$B$23:$E$29,4,0),1),0)</f>
        <v>0</v>
      </c>
      <c r="AT784" s="545" t="str">
        <f>IF(A784="","",IF(AP784&lt;=1,"Cleared",IF(AS784=0,"Clean",VLOOKUP($AS784,Ref!$G$23:$H$28,2))))</f>
        <v/>
      </c>
      <c r="AU784" s="546" t="str">
        <f t="shared" si="354"/>
        <v/>
      </c>
    </row>
    <row r="785" spans="1:47" ht="14.25" hidden="1" customHeight="1" x14ac:dyDescent="0.15">
      <c r="A785" s="523"/>
      <c r="B785" s="523"/>
      <c r="C785" s="523"/>
      <c r="D785" s="523"/>
      <c r="E785" s="579"/>
      <c r="F785" s="580"/>
      <c r="G785" s="524"/>
      <c r="H785" s="555"/>
      <c r="I785" s="560"/>
      <c r="J785" s="523"/>
      <c r="K785" s="528" t="str">
        <f>IFERROR(VLOOKUP($B785,'Clients-Live'!$A:$C,3,0),"")</f>
        <v/>
      </c>
      <c r="L785" s="528">
        <f>IF(E785="STL",Pricing!$D$38,IF(A785="",0,IF(A785&lt;Pricing!$C$25,Pricing!$D$25,VLOOKUP(Disbursements!$F785,Pricing!$B$29:$D$32,3))))</f>
        <v>0</v>
      </c>
      <c r="M785" s="528">
        <f>IF(E785="STL",0,IF(F785&gt;0,Pricing!$D$21,0))</f>
        <v>0</v>
      </c>
      <c r="N785" s="529">
        <f>IF(E785="STL",F785*Pricing!$D$40,IF(A785&lt;=Pricing!$C$4,0,IF(AND(A785&gt;Pricing!$C$4,Disbursements!A785&lt;=Pricing!$C$5),F785*Pricing!$E$5,IF(AND(A785&gt;Pricing!$C$5,Disbursements!A785&lt;=Pricing!$C$7),VLOOKUP(F785,Pricing!$D$7:$E$8,2)*Disbursements!F785,F785*Pricing!$E$9))))</f>
        <v>0</v>
      </c>
      <c r="O785" s="528">
        <f>IF(E785="STL",0,IF($F785&gt;0,$F785*Pricing!$D$17,0))</f>
        <v>0</v>
      </c>
      <c r="P785" s="530" t="str">
        <f t="shared" si="334"/>
        <v/>
      </c>
      <c r="Q785" s="531" t="str">
        <f>IF($A785="","",$G785/VLOOKUP($I785,Ref!$B$23:$D$29,2,0))</f>
        <v/>
      </c>
      <c r="R785" s="530" t="str">
        <f t="shared" si="335"/>
        <v/>
      </c>
      <c r="S785" s="532" t="str">
        <f t="shared" si="329"/>
        <v/>
      </c>
      <c r="T785" s="531" t="str">
        <f t="shared" si="336"/>
        <v/>
      </c>
      <c r="U785" s="533">
        <f t="shared" si="337"/>
        <v>0</v>
      </c>
      <c r="V785" s="531" t="str">
        <f t="shared" si="338"/>
        <v/>
      </c>
      <c r="W785" s="531" t="str">
        <f t="shared" si="339"/>
        <v/>
      </c>
      <c r="X785" s="534" t="str">
        <f t="shared" si="340"/>
        <v/>
      </c>
      <c r="Y785" s="535" t="str">
        <f>IF($A785="","",IF($I785="weekly",$A785+7,EDATE($A785,VLOOKUP($I785,Ref!$B$24:$C$29,2,0))))</f>
        <v/>
      </c>
      <c r="Z785" s="536" t="str">
        <f t="shared" si="341"/>
        <v/>
      </c>
      <c r="AA785" s="531">
        <f t="shared" si="342"/>
        <v>0</v>
      </c>
      <c r="AB785" s="535" t="str">
        <f t="shared" si="330"/>
        <v/>
      </c>
      <c r="AC785" s="537" t="str">
        <f t="shared" si="331"/>
        <v/>
      </c>
      <c r="AD785" s="538" t="str">
        <f t="shared" ca="1" si="332"/>
        <v/>
      </c>
      <c r="AE785" s="537">
        <f t="shared" ca="1" si="333"/>
        <v>0</v>
      </c>
      <c r="AF785" s="539" t="str">
        <f t="shared" ca="1" si="343"/>
        <v/>
      </c>
      <c r="AG785" s="531" t="str">
        <f t="shared" ca="1" si="344"/>
        <v/>
      </c>
      <c r="AH785" s="531" t="str">
        <f t="shared" ca="1" si="345"/>
        <v/>
      </c>
      <c r="AI785" s="531" t="str">
        <f t="shared" ca="1" si="346"/>
        <v/>
      </c>
      <c r="AJ785" s="531" t="str">
        <f t="shared" si="347"/>
        <v/>
      </c>
      <c r="AK785" s="540">
        <f>SUMIFS('Live Collections'!$S:$S,'Live Collections'!$D:$D,Disbursements!B785,'Live Collections'!$G:$G,Disbursements!C785)</f>
        <v>0</v>
      </c>
      <c r="AL785" s="540">
        <f>SUMIFS('Live Collections'!$T:$T,'Live Collections'!$D:$D,Disbursements!B785,'Live Collections'!$G:$G,Disbursements!C785)</f>
        <v>0</v>
      </c>
      <c r="AM785" s="541">
        <f t="shared" si="348"/>
        <v>0</v>
      </c>
      <c r="AN785" s="542" t="str">
        <f t="shared" si="349"/>
        <v/>
      </c>
      <c r="AO785" s="542" t="str">
        <f t="shared" si="350"/>
        <v/>
      </c>
      <c r="AP785" s="543" t="str">
        <f t="shared" si="351"/>
        <v/>
      </c>
      <c r="AQ785" s="544" t="str">
        <f t="shared" si="352"/>
        <v/>
      </c>
      <c r="AR785" s="545">
        <f t="shared" si="353"/>
        <v>0</v>
      </c>
      <c r="AS785" s="545">
        <f>IFERROR(CEILING($AR785*VLOOKUP($I785,Ref!$B$23:$E$29,4,0),1),0)</f>
        <v>0</v>
      </c>
      <c r="AT785" s="545" t="str">
        <f>IF(A785="","",IF(AP785&lt;=1,"Cleared",IF(AS785=0,"Clean",VLOOKUP($AS785,Ref!$G$23:$H$28,2))))</f>
        <v/>
      </c>
      <c r="AU785" s="546" t="str">
        <f t="shared" si="354"/>
        <v/>
      </c>
    </row>
    <row r="786" spans="1:47" ht="14.25" hidden="1" customHeight="1" x14ac:dyDescent="0.15">
      <c r="A786" s="523"/>
      <c r="B786" s="523"/>
      <c r="C786" s="523"/>
      <c r="D786" s="523"/>
      <c r="E786" s="579"/>
      <c r="F786" s="580"/>
      <c r="G786" s="524"/>
      <c r="H786" s="555"/>
      <c r="I786" s="560"/>
      <c r="J786" s="523"/>
      <c r="K786" s="528" t="str">
        <f>IFERROR(VLOOKUP($B786,'Clients-Live'!$A:$C,3,0),"")</f>
        <v/>
      </c>
      <c r="L786" s="528">
        <f>IF(E786="STL",Pricing!$D$38,IF(A786="",0,IF(A786&lt;Pricing!$C$25,Pricing!$D$25,VLOOKUP(Disbursements!$F786,Pricing!$B$29:$D$32,3))))</f>
        <v>0</v>
      </c>
      <c r="M786" s="528">
        <f>IF(E786="STL",0,IF(F786&gt;0,Pricing!$D$21,0))</f>
        <v>0</v>
      </c>
      <c r="N786" s="529">
        <f>IF(E786="STL",F786*Pricing!$D$40,IF(A786&lt;=Pricing!$C$4,0,IF(AND(A786&gt;Pricing!$C$4,Disbursements!A786&lt;=Pricing!$C$5),F786*Pricing!$E$5,IF(AND(A786&gt;Pricing!$C$5,Disbursements!A786&lt;=Pricing!$C$7),VLOOKUP(F786,Pricing!$D$7:$E$8,2)*Disbursements!F786,F786*Pricing!$E$9))))</f>
        <v>0</v>
      </c>
      <c r="O786" s="528">
        <f>IF(E786="STL",0,IF($F786&gt;0,$F786*Pricing!$D$17,0))</f>
        <v>0</v>
      </c>
      <c r="P786" s="530" t="str">
        <f t="shared" si="334"/>
        <v/>
      </c>
      <c r="Q786" s="531" t="str">
        <f>IF($A786="","",$G786/VLOOKUP($I786,Ref!$B$23:$D$29,2,0))</f>
        <v/>
      </c>
      <c r="R786" s="530" t="str">
        <f t="shared" si="335"/>
        <v/>
      </c>
      <c r="S786" s="532" t="str">
        <f t="shared" si="329"/>
        <v/>
      </c>
      <c r="T786" s="531" t="str">
        <f t="shared" si="336"/>
        <v/>
      </c>
      <c r="U786" s="533">
        <f t="shared" si="337"/>
        <v>0</v>
      </c>
      <c r="V786" s="531" t="str">
        <f t="shared" si="338"/>
        <v/>
      </c>
      <c r="W786" s="531" t="str">
        <f t="shared" si="339"/>
        <v/>
      </c>
      <c r="X786" s="534" t="str">
        <f t="shared" si="340"/>
        <v/>
      </c>
      <c r="Y786" s="535" t="str">
        <f>IF($A786="","",IF($I786="weekly",$A786+7,EDATE($A786,VLOOKUP($I786,Ref!$B$24:$C$29,2,0))))</f>
        <v/>
      </c>
      <c r="Z786" s="536" t="str">
        <f t="shared" si="341"/>
        <v/>
      </c>
      <c r="AA786" s="531">
        <f t="shared" si="342"/>
        <v>0</v>
      </c>
      <c r="AB786" s="535" t="str">
        <f t="shared" si="330"/>
        <v/>
      </c>
      <c r="AC786" s="537" t="str">
        <f t="shared" si="331"/>
        <v/>
      </c>
      <c r="AD786" s="538" t="str">
        <f t="shared" ca="1" si="332"/>
        <v/>
      </c>
      <c r="AE786" s="537">
        <f t="shared" ca="1" si="333"/>
        <v>0</v>
      </c>
      <c r="AF786" s="539" t="str">
        <f t="shared" ca="1" si="343"/>
        <v/>
      </c>
      <c r="AG786" s="531" t="str">
        <f t="shared" ca="1" si="344"/>
        <v/>
      </c>
      <c r="AH786" s="531" t="str">
        <f t="shared" ca="1" si="345"/>
        <v/>
      </c>
      <c r="AI786" s="531" t="str">
        <f t="shared" ca="1" si="346"/>
        <v/>
      </c>
      <c r="AJ786" s="531" t="str">
        <f t="shared" si="347"/>
        <v/>
      </c>
      <c r="AK786" s="540">
        <f>SUMIFS('Live Collections'!$S:$S,'Live Collections'!$D:$D,Disbursements!B786,'Live Collections'!$G:$G,Disbursements!C786)</f>
        <v>0</v>
      </c>
      <c r="AL786" s="540">
        <f>SUMIFS('Live Collections'!$T:$T,'Live Collections'!$D:$D,Disbursements!B786,'Live Collections'!$G:$G,Disbursements!C786)</f>
        <v>0</v>
      </c>
      <c r="AM786" s="541">
        <f t="shared" si="348"/>
        <v>0</v>
      </c>
      <c r="AN786" s="542" t="str">
        <f t="shared" si="349"/>
        <v/>
      </c>
      <c r="AO786" s="542" t="str">
        <f t="shared" si="350"/>
        <v/>
      </c>
      <c r="AP786" s="543" t="str">
        <f t="shared" si="351"/>
        <v/>
      </c>
      <c r="AQ786" s="544" t="str">
        <f t="shared" si="352"/>
        <v/>
      </c>
      <c r="AR786" s="545">
        <f t="shared" si="353"/>
        <v>0</v>
      </c>
      <c r="AS786" s="545">
        <f>IFERROR(CEILING($AR786*VLOOKUP($I786,Ref!$B$23:$E$29,4,0),1),0)</f>
        <v>0</v>
      </c>
      <c r="AT786" s="545" t="str">
        <f>IF(A786="","",IF(AP786&lt;=1,"Cleared",IF(AS786=0,"Clean",VLOOKUP($AS786,Ref!$G$23:$H$28,2))))</f>
        <v/>
      </c>
      <c r="AU786" s="546" t="str">
        <f t="shared" si="354"/>
        <v/>
      </c>
    </row>
    <row r="787" spans="1:47" ht="14.25" hidden="1" customHeight="1" x14ac:dyDescent="0.15">
      <c r="A787" s="523"/>
      <c r="B787" s="523"/>
      <c r="C787" s="523"/>
      <c r="D787" s="523"/>
      <c r="E787" s="579"/>
      <c r="F787" s="580"/>
      <c r="G787" s="524"/>
      <c r="H787" s="555"/>
      <c r="I787" s="560"/>
      <c r="J787" s="523"/>
      <c r="K787" s="528" t="str">
        <f>IFERROR(VLOOKUP($B787,'Clients-Live'!$A:$C,3,0),"")</f>
        <v/>
      </c>
      <c r="L787" s="528">
        <f>IF(E787="STL",Pricing!$D$38,IF(A787="",0,IF(A787&lt;Pricing!$C$25,Pricing!$D$25,VLOOKUP(Disbursements!$F787,Pricing!$B$29:$D$32,3))))</f>
        <v>0</v>
      </c>
      <c r="M787" s="528">
        <f>IF(E787="STL",0,IF(F787&gt;0,Pricing!$D$21,0))</f>
        <v>0</v>
      </c>
      <c r="N787" s="529">
        <f>IF(E787="STL",F787*Pricing!$D$40,IF(A787&lt;=Pricing!$C$4,0,IF(AND(A787&gt;Pricing!$C$4,Disbursements!A787&lt;=Pricing!$C$5),F787*Pricing!$E$5,IF(AND(A787&gt;Pricing!$C$5,Disbursements!A787&lt;=Pricing!$C$7),VLOOKUP(F787,Pricing!$D$7:$E$8,2)*Disbursements!F787,F787*Pricing!$E$9))))</f>
        <v>0</v>
      </c>
      <c r="O787" s="528">
        <f>IF(E787="STL",0,IF($F787&gt;0,$F787*Pricing!$D$17,0))</f>
        <v>0</v>
      </c>
      <c r="P787" s="530" t="str">
        <f t="shared" si="334"/>
        <v/>
      </c>
      <c r="Q787" s="531" t="str">
        <f>IF($A787="","",$G787/VLOOKUP($I787,Ref!$B$23:$D$29,2,0))</f>
        <v/>
      </c>
      <c r="R787" s="530" t="str">
        <f t="shared" si="335"/>
        <v/>
      </c>
      <c r="S787" s="532" t="str">
        <f t="shared" si="329"/>
        <v/>
      </c>
      <c r="T787" s="531" t="str">
        <f t="shared" si="336"/>
        <v/>
      </c>
      <c r="U787" s="533">
        <f t="shared" si="337"/>
        <v>0</v>
      </c>
      <c r="V787" s="531" t="str">
        <f t="shared" si="338"/>
        <v/>
      </c>
      <c r="W787" s="531" t="str">
        <f t="shared" si="339"/>
        <v/>
      </c>
      <c r="X787" s="534" t="str">
        <f t="shared" si="340"/>
        <v/>
      </c>
      <c r="Y787" s="535" t="str">
        <f>IF($A787="","",IF($I787="weekly",$A787+7,EDATE($A787,VLOOKUP($I787,Ref!$B$24:$C$29,2,0))))</f>
        <v/>
      </c>
      <c r="Z787" s="536" t="str">
        <f t="shared" si="341"/>
        <v/>
      </c>
      <c r="AA787" s="531">
        <f t="shared" si="342"/>
        <v>0</v>
      </c>
      <c r="AB787" s="535" t="str">
        <f t="shared" si="330"/>
        <v/>
      </c>
      <c r="AC787" s="537" t="str">
        <f t="shared" si="331"/>
        <v/>
      </c>
      <c r="AD787" s="538" t="str">
        <f t="shared" ca="1" si="332"/>
        <v/>
      </c>
      <c r="AE787" s="537">
        <f t="shared" ca="1" si="333"/>
        <v>0</v>
      </c>
      <c r="AF787" s="539" t="str">
        <f t="shared" ca="1" si="343"/>
        <v/>
      </c>
      <c r="AG787" s="531" t="str">
        <f t="shared" ca="1" si="344"/>
        <v/>
      </c>
      <c r="AH787" s="531" t="str">
        <f t="shared" ca="1" si="345"/>
        <v/>
      </c>
      <c r="AI787" s="531" t="str">
        <f t="shared" ca="1" si="346"/>
        <v/>
      </c>
      <c r="AJ787" s="531" t="str">
        <f t="shared" si="347"/>
        <v/>
      </c>
      <c r="AK787" s="540">
        <f>SUMIFS('Live Collections'!$S:$S,'Live Collections'!$D:$D,Disbursements!B787,'Live Collections'!$G:$G,Disbursements!C787)</f>
        <v>0</v>
      </c>
      <c r="AL787" s="540">
        <f>SUMIFS('Live Collections'!$T:$T,'Live Collections'!$D:$D,Disbursements!B787,'Live Collections'!$G:$G,Disbursements!C787)</f>
        <v>0</v>
      </c>
      <c r="AM787" s="541">
        <f t="shared" si="348"/>
        <v>0</v>
      </c>
      <c r="AN787" s="542" t="str">
        <f t="shared" si="349"/>
        <v/>
      </c>
      <c r="AO787" s="542" t="str">
        <f t="shared" si="350"/>
        <v/>
      </c>
      <c r="AP787" s="543" t="str">
        <f t="shared" si="351"/>
        <v/>
      </c>
      <c r="AQ787" s="544" t="str">
        <f t="shared" si="352"/>
        <v/>
      </c>
      <c r="AR787" s="545">
        <f t="shared" si="353"/>
        <v>0</v>
      </c>
      <c r="AS787" s="545">
        <f>IFERROR(CEILING($AR787*VLOOKUP($I787,Ref!$B$23:$E$29,4,0),1),0)</f>
        <v>0</v>
      </c>
      <c r="AT787" s="545" t="str">
        <f>IF(A787="","",IF(AP787&lt;=1,"Cleared",IF(AS787=0,"Clean",VLOOKUP($AS787,Ref!$G$23:$H$28,2))))</f>
        <v/>
      </c>
      <c r="AU787" s="546" t="str">
        <f t="shared" si="354"/>
        <v/>
      </c>
    </row>
    <row r="788" spans="1:47" ht="14.25" hidden="1" customHeight="1" x14ac:dyDescent="0.15">
      <c r="A788" s="523"/>
      <c r="B788" s="523"/>
      <c r="C788" s="523"/>
      <c r="D788" s="523"/>
      <c r="E788" s="579"/>
      <c r="F788" s="580"/>
      <c r="G788" s="524"/>
      <c r="H788" s="555"/>
      <c r="I788" s="560"/>
      <c r="J788" s="523"/>
      <c r="K788" s="528" t="str">
        <f>IFERROR(VLOOKUP($B788,'Clients-Live'!$A:$C,3,0),"")</f>
        <v/>
      </c>
      <c r="L788" s="528">
        <f>IF(E788="STL",Pricing!$D$38,IF(A788="",0,IF(A788&lt;Pricing!$C$25,Pricing!$D$25,VLOOKUP(Disbursements!$F788,Pricing!$B$29:$D$32,3))))</f>
        <v>0</v>
      </c>
      <c r="M788" s="528">
        <f>IF(E788="STL",0,IF(F788&gt;0,Pricing!$D$21,0))</f>
        <v>0</v>
      </c>
      <c r="N788" s="529">
        <f>IF(E788="STL",F788*Pricing!$D$40,IF(A788&lt;=Pricing!$C$4,0,IF(AND(A788&gt;Pricing!$C$4,Disbursements!A788&lt;=Pricing!$C$5),F788*Pricing!$E$5,IF(AND(A788&gt;Pricing!$C$5,Disbursements!A788&lt;=Pricing!$C$7),VLOOKUP(F788,Pricing!$D$7:$E$8,2)*Disbursements!F788,F788*Pricing!$E$9))))</f>
        <v>0</v>
      </c>
      <c r="O788" s="528">
        <f>IF(E788="STL",0,IF($F788&gt;0,$F788*Pricing!$D$17,0))</f>
        <v>0</v>
      </c>
      <c r="P788" s="530" t="str">
        <f t="shared" si="334"/>
        <v/>
      </c>
      <c r="Q788" s="531" t="str">
        <f>IF($A788="","",$G788/VLOOKUP($I788,Ref!$B$23:$D$29,2,0))</f>
        <v/>
      </c>
      <c r="R788" s="530" t="str">
        <f t="shared" si="335"/>
        <v/>
      </c>
      <c r="S788" s="532" t="str">
        <f t="shared" si="329"/>
        <v/>
      </c>
      <c r="T788" s="531" t="str">
        <f t="shared" si="336"/>
        <v/>
      </c>
      <c r="U788" s="533">
        <f t="shared" si="337"/>
        <v>0</v>
      </c>
      <c r="V788" s="531" t="str">
        <f t="shared" si="338"/>
        <v/>
      </c>
      <c r="W788" s="531" t="str">
        <f t="shared" si="339"/>
        <v/>
      </c>
      <c r="X788" s="534" t="str">
        <f t="shared" si="340"/>
        <v/>
      </c>
      <c r="Y788" s="535" t="str">
        <f>IF($A788="","",IF($I788="weekly",$A788+7,EDATE($A788,VLOOKUP($I788,Ref!$B$24:$C$29,2,0))))</f>
        <v/>
      </c>
      <c r="Z788" s="536" t="str">
        <f t="shared" si="341"/>
        <v/>
      </c>
      <c r="AA788" s="531">
        <f t="shared" si="342"/>
        <v>0</v>
      </c>
      <c r="AB788" s="535" t="str">
        <f t="shared" si="330"/>
        <v/>
      </c>
      <c r="AC788" s="537" t="str">
        <f t="shared" si="331"/>
        <v/>
      </c>
      <c r="AD788" s="538" t="str">
        <f t="shared" ca="1" si="332"/>
        <v/>
      </c>
      <c r="AE788" s="537">
        <f t="shared" ca="1" si="333"/>
        <v>0</v>
      </c>
      <c r="AF788" s="539" t="str">
        <f t="shared" ca="1" si="343"/>
        <v/>
      </c>
      <c r="AG788" s="531" t="str">
        <f t="shared" ca="1" si="344"/>
        <v/>
      </c>
      <c r="AH788" s="531" t="str">
        <f t="shared" ca="1" si="345"/>
        <v/>
      </c>
      <c r="AI788" s="531" t="str">
        <f t="shared" ca="1" si="346"/>
        <v/>
      </c>
      <c r="AJ788" s="531" t="str">
        <f t="shared" si="347"/>
        <v/>
      </c>
      <c r="AK788" s="540">
        <f>SUMIFS('Live Collections'!$S:$S,'Live Collections'!$D:$D,Disbursements!B788,'Live Collections'!$G:$G,Disbursements!C788)</f>
        <v>0</v>
      </c>
      <c r="AL788" s="540">
        <f>SUMIFS('Live Collections'!$T:$T,'Live Collections'!$D:$D,Disbursements!B788,'Live Collections'!$G:$G,Disbursements!C788)</f>
        <v>0</v>
      </c>
      <c r="AM788" s="541">
        <f t="shared" si="348"/>
        <v>0</v>
      </c>
      <c r="AN788" s="542" t="str">
        <f t="shared" si="349"/>
        <v/>
      </c>
      <c r="AO788" s="542" t="str">
        <f t="shared" si="350"/>
        <v/>
      </c>
      <c r="AP788" s="543" t="str">
        <f t="shared" si="351"/>
        <v/>
      </c>
      <c r="AQ788" s="544" t="str">
        <f t="shared" si="352"/>
        <v/>
      </c>
      <c r="AR788" s="545">
        <f t="shared" si="353"/>
        <v>0</v>
      </c>
      <c r="AS788" s="545">
        <f>IFERROR(CEILING($AR788*VLOOKUP($I788,Ref!$B$23:$E$29,4,0),1),0)</f>
        <v>0</v>
      </c>
      <c r="AT788" s="545" t="str">
        <f>IF(A788="","",IF(AP788&lt;=1,"Cleared",IF(AS788=0,"Clean",VLOOKUP($AS788,Ref!$G$23:$H$28,2))))</f>
        <v/>
      </c>
      <c r="AU788" s="546" t="str">
        <f t="shared" si="354"/>
        <v/>
      </c>
    </row>
    <row r="789" spans="1:47" ht="14.25" hidden="1" customHeight="1" x14ac:dyDescent="0.15">
      <c r="A789" s="523"/>
      <c r="B789" s="523"/>
      <c r="C789" s="523"/>
      <c r="D789" s="523"/>
      <c r="E789" s="579"/>
      <c r="F789" s="580"/>
      <c r="G789" s="524"/>
      <c r="H789" s="555"/>
      <c r="I789" s="560"/>
      <c r="J789" s="523"/>
      <c r="K789" s="528" t="str">
        <f>IFERROR(VLOOKUP($B789,'Clients-Live'!$A:$C,3,0),"")</f>
        <v/>
      </c>
      <c r="L789" s="528">
        <f>IF(E789="STL",Pricing!$D$38,IF(A789="",0,IF(A789&lt;Pricing!$C$25,Pricing!$D$25,VLOOKUP(Disbursements!$F789,Pricing!$B$29:$D$32,3))))</f>
        <v>0</v>
      </c>
      <c r="M789" s="528">
        <f>IF(E789="STL",0,IF(F789&gt;0,Pricing!$D$21,0))</f>
        <v>0</v>
      </c>
      <c r="N789" s="529">
        <f>IF(E789="STL",F789*Pricing!$D$40,IF(A789&lt;=Pricing!$C$4,0,IF(AND(A789&gt;Pricing!$C$4,Disbursements!A789&lt;=Pricing!$C$5),F789*Pricing!$E$5,IF(AND(A789&gt;Pricing!$C$5,Disbursements!A789&lt;=Pricing!$C$7),VLOOKUP(F789,Pricing!$D$7:$E$8,2)*Disbursements!F789,F789*Pricing!$E$9))))</f>
        <v>0</v>
      </c>
      <c r="O789" s="528">
        <f>IF(E789="STL",0,IF($F789&gt;0,$F789*Pricing!$D$17,0))</f>
        <v>0</v>
      </c>
      <c r="P789" s="530" t="str">
        <f t="shared" si="334"/>
        <v/>
      </c>
      <c r="Q789" s="531" t="str">
        <f>IF($A789="","",$G789/VLOOKUP($I789,Ref!$B$23:$D$29,2,0))</f>
        <v/>
      </c>
      <c r="R789" s="530" t="str">
        <f t="shared" si="335"/>
        <v/>
      </c>
      <c r="S789" s="532" t="str">
        <f t="shared" si="329"/>
        <v/>
      </c>
      <c r="T789" s="531" t="str">
        <f t="shared" si="336"/>
        <v/>
      </c>
      <c r="U789" s="533">
        <f t="shared" si="337"/>
        <v>0</v>
      </c>
      <c r="V789" s="531" t="str">
        <f t="shared" si="338"/>
        <v/>
      </c>
      <c r="W789" s="531" t="str">
        <f t="shared" si="339"/>
        <v/>
      </c>
      <c r="X789" s="534" t="str">
        <f t="shared" si="340"/>
        <v/>
      </c>
      <c r="Y789" s="535" t="str">
        <f>IF($A789="","",IF($I789="weekly",$A789+7,EDATE($A789,VLOOKUP($I789,Ref!$B$24:$C$29,2,0))))</f>
        <v/>
      </c>
      <c r="Z789" s="536" t="str">
        <f t="shared" si="341"/>
        <v/>
      </c>
      <c r="AA789" s="531">
        <f t="shared" si="342"/>
        <v>0</v>
      </c>
      <c r="AB789" s="535" t="str">
        <f t="shared" si="330"/>
        <v/>
      </c>
      <c r="AC789" s="537" t="str">
        <f t="shared" si="331"/>
        <v/>
      </c>
      <c r="AD789" s="538" t="str">
        <f t="shared" ca="1" si="332"/>
        <v/>
      </c>
      <c r="AE789" s="537">
        <f t="shared" ca="1" si="333"/>
        <v>0</v>
      </c>
      <c r="AF789" s="539" t="str">
        <f t="shared" ca="1" si="343"/>
        <v/>
      </c>
      <c r="AG789" s="531" t="str">
        <f t="shared" ca="1" si="344"/>
        <v/>
      </c>
      <c r="AH789" s="531" t="str">
        <f t="shared" ca="1" si="345"/>
        <v/>
      </c>
      <c r="AI789" s="531" t="str">
        <f t="shared" ca="1" si="346"/>
        <v/>
      </c>
      <c r="AJ789" s="531" t="str">
        <f t="shared" si="347"/>
        <v/>
      </c>
      <c r="AK789" s="540">
        <f>SUMIFS('Live Collections'!$S:$S,'Live Collections'!$D:$D,Disbursements!B789,'Live Collections'!$G:$G,Disbursements!C789)</f>
        <v>0</v>
      </c>
      <c r="AL789" s="540">
        <f>SUMIFS('Live Collections'!$T:$T,'Live Collections'!$D:$D,Disbursements!B789,'Live Collections'!$G:$G,Disbursements!C789)</f>
        <v>0</v>
      </c>
      <c r="AM789" s="541">
        <f t="shared" si="348"/>
        <v>0</v>
      </c>
      <c r="AN789" s="542" t="str">
        <f t="shared" si="349"/>
        <v/>
      </c>
      <c r="AO789" s="542" t="str">
        <f t="shared" si="350"/>
        <v/>
      </c>
      <c r="AP789" s="543" t="str">
        <f t="shared" si="351"/>
        <v/>
      </c>
      <c r="AQ789" s="544" t="str">
        <f t="shared" si="352"/>
        <v/>
      </c>
      <c r="AR789" s="545">
        <f t="shared" si="353"/>
        <v>0</v>
      </c>
      <c r="AS789" s="545">
        <f>IFERROR(CEILING($AR789*VLOOKUP($I789,Ref!$B$23:$E$29,4,0),1),0)</f>
        <v>0</v>
      </c>
      <c r="AT789" s="545" t="str">
        <f>IF(A789="","",IF(AP789&lt;=1,"Cleared",IF(AS789=0,"Clean",VLOOKUP($AS789,Ref!$G$23:$H$28,2))))</f>
        <v/>
      </c>
      <c r="AU789" s="546" t="str">
        <f t="shared" si="354"/>
        <v/>
      </c>
    </row>
    <row r="790" spans="1:47" ht="14.25" hidden="1" customHeight="1" x14ac:dyDescent="0.15">
      <c r="A790" s="523"/>
      <c r="B790" s="523"/>
      <c r="C790" s="523"/>
      <c r="D790" s="523"/>
      <c r="E790" s="579"/>
      <c r="F790" s="580"/>
      <c r="G790" s="524"/>
      <c r="H790" s="555"/>
      <c r="I790" s="560"/>
      <c r="J790" s="523"/>
      <c r="K790" s="528" t="str">
        <f>IFERROR(VLOOKUP($B790,'Clients-Live'!$A:$C,3,0),"")</f>
        <v/>
      </c>
      <c r="L790" s="528">
        <f>IF(E790="STL",Pricing!$D$38,IF(A790="",0,IF(A790&lt;Pricing!$C$25,Pricing!$D$25,VLOOKUP(Disbursements!$F790,Pricing!$B$29:$D$32,3))))</f>
        <v>0</v>
      </c>
      <c r="M790" s="528">
        <f>IF(E790="STL",0,IF(F790&gt;0,Pricing!$D$21,0))</f>
        <v>0</v>
      </c>
      <c r="N790" s="529">
        <f>IF(E790="STL",F790*Pricing!$D$40,IF(A790&lt;=Pricing!$C$4,0,IF(AND(A790&gt;Pricing!$C$4,Disbursements!A790&lt;=Pricing!$C$5),F790*Pricing!$E$5,IF(AND(A790&gt;Pricing!$C$5,Disbursements!A790&lt;=Pricing!$C$7),VLOOKUP(F790,Pricing!$D$7:$E$8,2)*Disbursements!F790,F790*Pricing!$E$9))))</f>
        <v>0</v>
      </c>
      <c r="O790" s="528">
        <f>IF(E790="STL",0,IF($F790&gt;0,$F790*Pricing!$D$17,0))</f>
        <v>0</v>
      </c>
      <c r="P790" s="530" t="str">
        <f t="shared" si="334"/>
        <v/>
      </c>
      <c r="Q790" s="531" t="str">
        <f>IF($A790="","",$G790/VLOOKUP($I790,Ref!$B$23:$D$29,2,0))</f>
        <v/>
      </c>
      <c r="R790" s="530" t="str">
        <f t="shared" si="335"/>
        <v/>
      </c>
      <c r="S790" s="532" t="str">
        <f t="shared" si="329"/>
        <v/>
      </c>
      <c r="T790" s="531" t="str">
        <f t="shared" si="336"/>
        <v/>
      </c>
      <c r="U790" s="533">
        <f t="shared" si="337"/>
        <v>0</v>
      </c>
      <c r="V790" s="531" t="str">
        <f t="shared" si="338"/>
        <v/>
      </c>
      <c r="W790" s="531" t="str">
        <f t="shared" si="339"/>
        <v/>
      </c>
      <c r="X790" s="534" t="str">
        <f t="shared" si="340"/>
        <v/>
      </c>
      <c r="Y790" s="535" t="str">
        <f>IF($A790="","",IF($I790="weekly",$A790+7,EDATE($A790,VLOOKUP($I790,Ref!$B$24:$C$29,2,0))))</f>
        <v/>
      </c>
      <c r="Z790" s="536" t="str">
        <f t="shared" si="341"/>
        <v/>
      </c>
      <c r="AA790" s="531">
        <f t="shared" si="342"/>
        <v>0</v>
      </c>
      <c r="AB790" s="535" t="str">
        <f t="shared" si="330"/>
        <v/>
      </c>
      <c r="AC790" s="537" t="str">
        <f t="shared" si="331"/>
        <v/>
      </c>
      <c r="AD790" s="538" t="str">
        <f t="shared" ca="1" si="332"/>
        <v/>
      </c>
      <c r="AE790" s="537">
        <f t="shared" ca="1" si="333"/>
        <v>0</v>
      </c>
      <c r="AF790" s="539" t="str">
        <f t="shared" ca="1" si="343"/>
        <v/>
      </c>
      <c r="AG790" s="531" t="str">
        <f t="shared" ca="1" si="344"/>
        <v/>
      </c>
      <c r="AH790" s="531" t="str">
        <f t="shared" ca="1" si="345"/>
        <v/>
      </c>
      <c r="AI790" s="531" t="str">
        <f t="shared" ca="1" si="346"/>
        <v/>
      </c>
      <c r="AJ790" s="531" t="str">
        <f t="shared" si="347"/>
        <v/>
      </c>
      <c r="AK790" s="540">
        <f>SUMIFS('Live Collections'!$S:$S,'Live Collections'!$D:$D,Disbursements!B790,'Live Collections'!$G:$G,Disbursements!C790)</f>
        <v>0</v>
      </c>
      <c r="AL790" s="540">
        <f>SUMIFS('Live Collections'!$T:$T,'Live Collections'!$D:$D,Disbursements!B790,'Live Collections'!$G:$G,Disbursements!C790)</f>
        <v>0</v>
      </c>
      <c r="AM790" s="541">
        <f t="shared" si="348"/>
        <v>0</v>
      </c>
      <c r="AN790" s="542" t="str">
        <f t="shared" si="349"/>
        <v/>
      </c>
      <c r="AO790" s="542" t="str">
        <f t="shared" si="350"/>
        <v/>
      </c>
      <c r="AP790" s="543" t="str">
        <f t="shared" si="351"/>
        <v/>
      </c>
      <c r="AQ790" s="544" t="str">
        <f t="shared" si="352"/>
        <v/>
      </c>
      <c r="AR790" s="545">
        <f t="shared" si="353"/>
        <v>0</v>
      </c>
      <c r="AS790" s="545">
        <f>IFERROR(CEILING($AR790*VLOOKUP($I790,Ref!$B$23:$E$29,4,0),1),0)</f>
        <v>0</v>
      </c>
      <c r="AT790" s="545" t="str">
        <f>IF(A790="","",IF(AP790&lt;=1,"Cleared",IF(AS790=0,"Clean",VLOOKUP($AS790,Ref!$G$23:$H$28,2))))</f>
        <v/>
      </c>
      <c r="AU790" s="546" t="str">
        <f t="shared" si="354"/>
        <v/>
      </c>
    </row>
    <row r="791" spans="1:47" ht="14.25" hidden="1" customHeight="1" x14ac:dyDescent="0.15">
      <c r="A791" s="523"/>
      <c r="B791" s="523"/>
      <c r="C791" s="523"/>
      <c r="D791" s="523"/>
      <c r="E791" s="579"/>
      <c r="F791" s="580"/>
      <c r="G791" s="524"/>
      <c r="H791" s="555"/>
      <c r="I791" s="560"/>
      <c r="J791" s="523"/>
      <c r="K791" s="528" t="str">
        <f>IFERROR(VLOOKUP($B791,'Clients-Live'!$A:$C,3,0),"")</f>
        <v/>
      </c>
      <c r="L791" s="528">
        <f>IF(E791="STL",Pricing!$D$38,IF(A791="",0,IF(A791&lt;Pricing!$C$25,Pricing!$D$25,VLOOKUP(Disbursements!$F791,Pricing!$B$29:$D$32,3))))</f>
        <v>0</v>
      </c>
      <c r="M791" s="528">
        <f>IF(E791="STL",0,IF(F791&gt;0,Pricing!$D$21,0))</f>
        <v>0</v>
      </c>
      <c r="N791" s="529">
        <f>IF(E791="STL",F791*Pricing!$D$40,IF(A791&lt;=Pricing!$C$4,0,IF(AND(A791&gt;Pricing!$C$4,Disbursements!A791&lt;=Pricing!$C$5),F791*Pricing!$E$5,IF(AND(A791&gt;Pricing!$C$5,Disbursements!A791&lt;=Pricing!$C$7),VLOOKUP(F791,Pricing!$D$7:$E$8,2)*Disbursements!F791,F791*Pricing!$E$9))))</f>
        <v>0</v>
      </c>
      <c r="O791" s="528">
        <f>IF(E791="STL",0,IF($F791&gt;0,$F791*Pricing!$D$17,0))</f>
        <v>0</v>
      </c>
      <c r="P791" s="530" t="str">
        <f t="shared" si="334"/>
        <v/>
      </c>
      <c r="Q791" s="531" t="str">
        <f>IF($A791="","",$G791/VLOOKUP($I791,Ref!$B$23:$D$29,2,0))</f>
        <v/>
      </c>
      <c r="R791" s="530" t="str">
        <f t="shared" si="335"/>
        <v/>
      </c>
      <c r="S791" s="532" t="str">
        <f t="shared" si="329"/>
        <v/>
      </c>
      <c r="T791" s="531" t="str">
        <f t="shared" si="336"/>
        <v/>
      </c>
      <c r="U791" s="533">
        <f t="shared" si="337"/>
        <v>0</v>
      </c>
      <c r="V791" s="531" t="str">
        <f t="shared" si="338"/>
        <v/>
      </c>
      <c r="W791" s="531" t="str">
        <f t="shared" si="339"/>
        <v/>
      </c>
      <c r="X791" s="534" t="str">
        <f t="shared" si="340"/>
        <v/>
      </c>
      <c r="Y791" s="535" t="str">
        <f>IF($A791="","",IF($I791="weekly",$A791+7,EDATE($A791,VLOOKUP($I791,Ref!$B$24:$C$29,2,0))))</f>
        <v/>
      </c>
      <c r="Z791" s="536" t="str">
        <f t="shared" si="341"/>
        <v/>
      </c>
      <c r="AA791" s="531">
        <f t="shared" si="342"/>
        <v>0</v>
      </c>
      <c r="AB791" s="535" t="str">
        <f t="shared" si="330"/>
        <v/>
      </c>
      <c r="AC791" s="537" t="str">
        <f t="shared" si="331"/>
        <v/>
      </c>
      <c r="AD791" s="538" t="str">
        <f t="shared" ca="1" si="332"/>
        <v/>
      </c>
      <c r="AE791" s="537">
        <f t="shared" ca="1" si="333"/>
        <v>0</v>
      </c>
      <c r="AF791" s="539" t="str">
        <f t="shared" ca="1" si="343"/>
        <v/>
      </c>
      <c r="AG791" s="531" t="str">
        <f t="shared" ca="1" si="344"/>
        <v/>
      </c>
      <c r="AH791" s="531" t="str">
        <f t="shared" ca="1" si="345"/>
        <v/>
      </c>
      <c r="AI791" s="531" t="str">
        <f t="shared" ca="1" si="346"/>
        <v/>
      </c>
      <c r="AJ791" s="531" t="str">
        <f t="shared" si="347"/>
        <v/>
      </c>
      <c r="AK791" s="540">
        <f>SUMIFS('Live Collections'!$S:$S,'Live Collections'!$D:$D,Disbursements!B791,'Live Collections'!$G:$G,Disbursements!C791)</f>
        <v>0</v>
      </c>
      <c r="AL791" s="540">
        <f>SUMIFS('Live Collections'!$T:$T,'Live Collections'!$D:$D,Disbursements!B791,'Live Collections'!$G:$G,Disbursements!C791)</f>
        <v>0</v>
      </c>
      <c r="AM791" s="541">
        <f t="shared" si="348"/>
        <v>0</v>
      </c>
      <c r="AN791" s="542" t="str">
        <f t="shared" si="349"/>
        <v/>
      </c>
      <c r="AO791" s="542" t="str">
        <f t="shared" si="350"/>
        <v/>
      </c>
      <c r="AP791" s="543" t="str">
        <f t="shared" si="351"/>
        <v/>
      </c>
      <c r="AQ791" s="544" t="str">
        <f t="shared" si="352"/>
        <v/>
      </c>
      <c r="AR791" s="545">
        <f t="shared" si="353"/>
        <v>0</v>
      </c>
      <c r="AS791" s="545">
        <f>IFERROR(CEILING($AR791*VLOOKUP($I791,Ref!$B$23:$E$29,4,0),1),0)</f>
        <v>0</v>
      </c>
      <c r="AT791" s="545" t="str">
        <f>IF(A791="","",IF(AP791&lt;=1,"Cleared",IF(AS791=0,"Clean",VLOOKUP($AS791,Ref!$G$23:$H$28,2))))</f>
        <v/>
      </c>
      <c r="AU791" s="546" t="str">
        <f t="shared" si="354"/>
        <v/>
      </c>
    </row>
    <row r="792" spans="1:47" ht="14.25" hidden="1" customHeight="1" x14ac:dyDescent="0.15">
      <c r="A792" s="523"/>
      <c r="B792" s="523"/>
      <c r="C792" s="523"/>
      <c r="D792" s="523"/>
      <c r="E792" s="579"/>
      <c r="F792" s="580"/>
      <c r="G792" s="524"/>
      <c r="H792" s="555"/>
      <c r="I792" s="560"/>
      <c r="J792" s="523"/>
      <c r="K792" s="528" t="str">
        <f>IFERROR(VLOOKUP($B792,'Clients-Live'!$A:$C,3,0),"")</f>
        <v/>
      </c>
      <c r="L792" s="528">
        <f>IF(E792="STL",Pricing!$D$38,IF(A792="",0,IF(A792&lt;Pricing!$C$25,Pricing!$D$25,VLOOKUP(Disbursements!$F792,Pricing!$B$29:$D$32,3))))</f>
        <v>0</v>
      </c>
      <c r="M792" s="528">
        <f>IF(E792="STL",0,IF(F792&gt;0,Pricing!$D$21,0))</f>
        <v>0</v>
      </c>
      <c r="N792" s="529">
        <f>IF(E792="STL",F792*Pricing!$D$40,IF(A792&lt;=Pricing!$C$4,0,IF(AND(A792&gt;Pricing!$C$4,Disbursements!A792&lt;=Pricing!$C$5),F792*Pricing!$E$5,IF(AND(A792&gt;Pricing!$C$5,Disbursements!A792&lt;=Pricing!$C$7),VLOOKUP(F792,Pricing!$D$7:$E$8,2)*Disbursements!F792,F792*Pricing!$E$9))))</f>
        <v>0</v>
      </c>
      <c r="O792" s="528">
        <f>IF(E792="STL",0,IF($F792&gt;0,$F792*Pricing!$D$17,0))</f>
        <v>0</v>
      </c>
      <c r="P792" s="530" t="str">
        <f t="shared" si="334"/>
        <v/>
      </c>
      <c r="Q792" s="531" t="str">
        <f>IF($A792="","",$G792/VLOOKUP($I792,Ref!$B$23:$D$29,2,0))</f>
        <v/>
      </c>
      <c r="R792" s="530" t="str">
        <f t="shared" si="335"/>
        <v/>
      </c>
      <c r="S792" s="532" t="str">
        <f t="shared" si="329"/>
        <v/>
      </c>
      <c r="T792" s="531" t="str">
        <f t="shared" si="336"/>
        <v/>
      </c>
      <c r="U792" s="533">
        <f t="shared" si="337"/>
        <v>0</v>
      </c>
      <c r="V792" s="531" t="str">
        <f t="shared" si="338"/>
        <v/>
      </c>
      <c r="W792" s="531" t="str">
        <f t="shared" si="339"/>
        <v/>
      </c>
      <c r="X792" s="534" t="str">
        <f t="shared" si="340"/>
        <v/>
      </c>
      <c r="Y792" s="535" t="str">
        <f>IF($A792="","",IF($I792="weekly",$A792+7,EDATE($A792,VLOOKUP($I792,Ref!$B$24:$C$29,2,0))))</f>
        <v/>
      </c>
      <c r="Z792" s="536" t="str">
        <f t="shared" si="341"/>
        <v/>
      </c>
      <c r="AA792" s="531">
        <f t="shared" si="342"/>
        <v>0</v>
      </c>
      <c r="AB792" s="535" t="str">
        <f t="shared" si="330"/>
        <v/>
      </c>
      <c r="AC792" s="537" t="str">
        <f t="shared" si="331"/>
        <v/>
      </c>
      <c r="AD792" s="538" t="str">
        <f t="shared" ca="1" si="332"/>
        <v/>
      </c>
      <c r="AE792" s="537">
        <f t="shared" ca="1" si="333"/>
        <v>0</v>
      </c>
      <c r="AF792" s="539" t="str">
        <f t="shared" ca="1" si="343"/>
        <v/>
      </c>
      <c r="AG792" s="531" t="str">
        <f t="shared" ca="1" si="344"/>
        <v/>
      </c>
      <c r="AH792" s="531" t="str">
        <f t="shared" ca="1" si="345"/>
        <v/>
      </c>
      <c r="AI792" s="531" t="str">
        <f t="shared" ca="1" si="346"/>
        <v/>
      </c>
      <c r="AJ792" s="531" t="str">
        <f t="shared" si="347"/>
        <v/>
      </c>
      <c r="AK792" s="540">
        <f>SUMIFS('Live Collections'!$S:$S,'Live Collections'!$D:$D,Disbursements!B792,'Live Collections'!$G:$G,Disbursements!C792)</f>
        <v>0</v>
      </c>
      <c r="AL792" s="540">
        <f>SUMIFS('Live Collections'!$T:$T,'Live Collections'!$D:$D,Disbursements!B792,'Live Collections'!$G:$G,Disbursements!C792)</f>
        <v>0</v>
      </c>
      <c r="AM792" s="541">
        <f t="shared" si="348"/>
        <v>0</v>
      </c>
      <c r="AN792" s="542" t="str">
        <f t="shared" si="349"/>
        <v/>
      </c>
      <c r="AO792" s="542" t="str">
        <f t="shared" si="350"/>
        <v/>
      </c>
      <c r="AP792" s="543" t="str">
        <f t="shared" si="351"/>
        <v/>
      </c>
      <c r="AQ792" s="544" t="str">
        <f t="shared" si="352"/>
        <v/>
      </c>
      <c r="AR792" s="545">
        <f t="shared" si="353"/>
        <v>0</v>
      </c>
      <c r="AS792" s="545">
        <f>IFERROR(CEILING($AR792*VLOOKUP($I792,Ref!$B$23:$E$29,4,0),1),0)</f>
        <v>0</v>
      </c>
      <c r="AT792" s="545" t="str">
        <f>IF(A792="","",IF(AP792&lt;=1,"Cleared",IF(AS792=0,"Clean",VLOOKUP($AS792,Ref!$G$23:$H$28,2))))</f>
        <v/>
      </c>
      <c r="AU792" s="546" t="str">
        <f t="shared" si="354"/>
        <v/>
      </c>
    </row>
    <row r="793" spans="1:47" ht="14.25" hidden="1" customHeight="1" x14ac:dyDescent="0.15">
      <c r="A793" s="523"/>
      <c r="B793" s="523"/>
      <c r="C793" s="523"/>
      <c r="D793" s="523"/>
      <c r="E793" s="579"/>
      <c r="F793" s="580"/>
      <c r="G793" s="524"/>
      <c r="H793" s="555"/>
      <c r="I793" s="560"/>
      <c r="J793" s="523"/>
      <c r="K793" s="528" t="str">
        <f>IFERROR(VLOOKUP($B793,'Clients-Live'!$A:$C,3,0),"")</f>
        <v/>
      </c>
      <c r="L793" s="528">
        <f>IF(E793="STL",Pricing!$D$38,IF(A793="",0,IF(A793&lt;Pricing!$C$25,Pricing!$D$25,VLOOKUP(Disbursements!$F793,Pricing!$B$29:$D$32,3))))</f>
        <v>0</v>
      </c>
      <c r="M793" s="528">
        <f>IF(E793="STL",0,IF(F793&gt;0,Pricing!$D$21,0))</f>
        <v>0</v>
      </c>
      <c r="N793" s="529">
        <f>IF(E793="STL",F793*Pricing!$D$40,IF(A793&lt;=Pricing!$C$4,0,IF(AND(A793&gt;Pricing!$C$4,Disbursements!A793&lt;=Pricing!$C$5),F793*Pricing!$E$5,IF(AND(A793&gt;Pricing!$C$5,Disbursements!A793&lt;=Pricing!$C$7),VLOOKUP(F793,Pricing!$D$7:$E$8,2)*Disbursements!F793,F793*Pricing!$E$9))))</f>
        <v>0</v>
      </c>
      <c r="O793" s="528">
        <f>IF(E793="STL",0,IF($F793&gt;0,$F793*Pricing!$D$17,0))</f>
        <v>0</v>
      </c>
      <c r="P793" s="530" t="str">
        <f t="shared" si="334"/>
        <v/>
      </c>
      <c r="Q793" s="531" t="str">
        <f>IF($A793="","",$G793/VLOOKUP($I793,Ref!$B$23:$D$29,2,0))</f>
        <v/>
      </c>
      <c r="R793" s="530" t="str">
        <f t="shared" si="335"/>
        <v/>
      </c>
      <c r="S793" s="532" t="str">
        <f t="shared" si="329"/>
        <v/>
      </c>
      <c r="T793" s="531" t="str">
        <f t="shared" si="336"/>
        <v/>
      </c>
      <c r="U793" s="533">
        <f t="shared" si="337"/>
        <v>0</v>
      </c>
      <c r="V793" s="531" t="str">
        <f t="shared" si="338"/>
        <v/>
      </c>
      <c r="W793" s="531" t="str">
        <f t="shared" si="339"/>
        <v/>
      </c>
      <c r="X793" s="534" t="str">
        <f t="shared" si="340"/>
        <v/>
      </c>
      <c r="Y793" s="535" t="str">
        <f>IF($A793="","",IF($I793="weekly",$A793+7,EDATE($A793,VLOOKUP($I793,Ref!$B$24:$C$29,2,0))))</f>
        <v/>
      </c>
      <c r="Z793" s="536" t="str">
        <f t="shared" si="341"/>
        <v/>
      </c>
      <c r="AA793" s="531">
        <f t="shared" si="342"/>
        <v>0</v>
      </c>
      <c r="AB793" s="535" t="str">
        <f t="shared" si="330"/>
        <v/>
      </c>
      <c r="AC793" s="537" t="str">
        <f t="shared" si="331"/>
        <v/>
      </c>
      <c r="AD793" s="538" t="str">
        <f t="shared" ca="1" si="332"/>
        <v/>
      </c>
      <c r="AE793" s="537">
        <f t="shared" ca="1" si="333"/>
        <v>0</v>
      </c>
      <c r="AF793" s="539" t="str">
        <f t="shared" ca="1" si="343"/>
        <v/>
      </c>
      <c r="AG793" s="531" t="str">
        <f t="shared" ca="1" si="344"/>
        <v/>
      </c>
      <c r="AH793" s="531" t="str">
        <f t="shared" ca="1" si="345"/>
        <v/>
      </c>
      <c r="AI793" s="531" t="str">
        <f t="shared" ca="1" si="346"/>
        <v/>
      </c>
      <c r="AJ793" s="531" t="str">
        <f t="shared" si="347"/>
        <v/>
      </c>
      <c r="AK793" s="540">
        <f>SUMIFS('Live Collections'!$S:$S,'Live Collections'!$D:$D,Disbursements!B793,'Live Collections'!$G:$G,Disbursements!C793)</f>
        <v>0</v>
      </c>
      <c r="AL793" s="540">
        <f>SUMIFS('Live Collections'!$T:$T,'Live Collections'!$D:$D,Disbursements!B793,'Live Collections'!$G:$G,Disbursements!C793)</f>
        <v>0</v>
      </c>
      <c r="AM793" s="541">
        <f t="shared" si="348"/>
        <v>0</v>
      </c>
      <c r="AN793" s="542" t="str">
        <f t="shared" si="349"/>
        <v/>
      </c>
      <c r="AO793" s="542" t="str">
        <f t="shared" si="350"/>
        <v/>
      </c>
      <c r="AP793" s="543" t="str">
        <f t="shared" si="351"/>
        <v/>
      </c>
      <c r="AQ793" s="544" t="str">
        <f t="shared" si="352"/>
        <v/>
      </c>
      <c r="AR793" s="545">
        <f t="shared" si="353"/>
        <v>0</v>
      </c>
      <c r="AS793" s="545">
        <f>IFERROR(CEILING($AR793*VLOOKUP($I793,Ref!$B$23:$E$29,4,0),1),0)</f>
        <v>0</v>
      </c>
      <c r="AT793" s="545" t="str">
        <f>IF(A793="","",IF(AP793&lt;=1,"Cleared",IF(AS793=0,"Clean",VLOOKUP($AS793,Ref!$G$23:$H$28,2))))</f>
        <v/>
      </c>
      <c r="AU793" s="546" t="str">
        <f t="shared" si="354"/>
        <v/>
      </c>
    </row>
    <row r="794" spans="1:47" ht="14.25" hidden="1" customHeight="1" x14ac:dyDescent="0.15">
      <c r="A794" s="523"/>
      <c r="B794" s="523"/>
      <c r="C794" s="523"/>
      <c r="D794" s="523"/>
      <c r="E794" s="579"/>
      <c r="F794" s="580"/>
      <c r="G794" s="524"/>
      <c r="H794" s="555"/>
      <c r="I794" s="560"/>
      <c r="J794" s="523"/>
      <c r="K794" s="528" t="str">
        <f>IFERROR(VLOOKUP($B794,'Clients-Live'!$A:$C,3,0),"")</f>
        <v/>
      </c>
      <c r="L794" s="528">
        <f>IF(E794="STL",Pricing!$D$38,IF(A794="",0,IF(A794&lt;Pricing!$C$25,Pricing!$D$25,VLOOKUP(Disbursements!$F794,Pricing!$B$29:$D$32,3))))</f>
        <v>0</v>
      </c>
      <c r="M794" s="528">
        <f>IF(E794="STL",0,IF(F794&gt;0,Pricing!$D$21,0))</f>
        <v>0</v>
      </c>
      <c r="N794" s="529">
        <f>IF(E794="STL",F794*Pricing!$D$40,IF(A794&lt;=Pricing!$C$4,0,IF(AND(A794&gt;Pricing!$C$4,Disbursements!A794&lt;=Pricing!$C$5),F794*Pricing!$E$5,IF(AND(A794&gt;Pricing!$C$5,Disbursements!A794&lt;=Pricing!$C$7),VLOOKUP(F794,Pricing!$D$7:$E$8,2)*Disbursements!F794,F794*Pricing!$E$9))))</f>
        <v>0</v>
      </c>
      <c r="O794" s="528">
        <f>IF(E794="STL",0,IF($F794&gt;0,$F794*Pricing!$D$17,0))</f>
        <v>0</v>
      </c>
      <c r="P794" s="530" t="str">
        <f t="shared" si="334"/>
        <v/>
      </c>
      <c r="Q794" s="531" t="str">
        <f>IF($A794="","",$G794/VLOOKUP($I794,Ref!$B$23:$D$29,2,0))</f>
        <v/>
      </c>
      <c r="R794" s="530" t="str">
        <f t="shared" si="335"/>
        <v/>
      </c>
      <c r="S794" s="532" t="str">
        <f t="shared" si="329"/>
        <v/>
      </c>
      <c r="T794" s="531" t="str">
        <f t="shared" si="336"/>
        <v/>
      </c>
      <c r="U794" s="533">
        <f t="shared" si="337"/>
        <v>0</v>
      </c>
      <c r="V794" s="531" t="str">
        <f t="shared" si="338"/>
        <v/>
      </c>
      <c r="W794" s="531" t="str">
        <f t="shared" si="339"/>
        <v/>
      </c>
      <c r="X794" s="534" t="str">
        <f t="shared" si="340"/>
        <v/>
      </c>
      <c r="Y794" s="535" t="str">
        <f>IF($A794="","",IF($I794="weekly",$A794+7,EDATE($A794,VLOOKUP($I794,Ref!$B$24:$C$29,2,0))))</f>
        <v/>
      </c>
      <c r="Z794" s="536" t="str">
        <f t="shared" si="341"/>
        <v/>
      </c>
      <c r="AA794" s="531">
        <f t="shared" si="342"/>
        <v>0</v>
      </c>
      <c r="AB794" s="535" t="str">
        <f t="shared" si="330"/>
        <v/>
      </c>
      <c r="AC794" s="537" t="str">
        <f t="shared" si="331"/>
        <v/>
      </c>
      <c r="AD794" s="538" t="str">
        <f t="shared" ca="1" si="332"/>
        <v/>
      </c>
      <c r="AE794" s="537">
        <f t="shared" ca="1" si="333"/>
        <v>0</v>
      </c>
      <c r="AF794" s="539" t="str">
        <f t="shared" ca="1" si="343"/>
        <v/>
      </c>
      <c r="AG794" s="531" t="str">
        <f t="shared" ca="1" si="344"/>
        <v/>
      </c>
      <c r="AH794" s="531" t="str">
        <f t="shared" ca="1" si="345"/>
        <v/>
      </c>
      <c r="AI794" s="531" t="str">
        <f t="shared" ca="1" si="346"/>
        <v/>
      </c>
      <c r="AJ794" s="531" t="str">
        <f t="shared" si="347"/>
        <v/>
      </c>
      <c r="AK794" s="540">
        <f>SUMIFS('Live Collections'!$S:$S,'Live Collections'!$D:$D,Disbursements!B794,'Live Collections'!$G:$G,Disbursements!C794)</f>
        <v>0</v>
      </c>
      <c r="AL794" s="540">
        <f>SUMIFS('Live Collections'!$T:$T,'Live Collections'!$D:$D,Disbursements!B794,'Live Collections'!$G:$G,Disbursements!C794)</f>
        <v>0</v>
      </c>
      <c r="AM794" s="541">
        <f t="shared" si="348"/>
        <v>0</v>
      </c>
      <c r="AN794" s="542" t="str">
        <f t="shared" si="349"/>
        <v/>
      </c>
      <c r="AO794" s="542" t="str">
        <f t="shared" si="350"/>
        <v/>
      </c>
      <c r="AP794" s="543" t="str">
        <f t="shared" si="351"/>
        <v/>
      </c>
      <c r="AQ794" s="544" t="str">
        <f t="shared" si="352"/>
        <v/>
      </c>
      <c r="AR794" s="545">
        <f t="shared" si="353"/>
        <v>0</v>
      </c>
      <c r="AS794" s="545">
        <f>IFERROR(CEILING($AR794*VLOOKUP($I794,Ref!$B$23:$E$29,4,0),1),0)</f>
        <v>0</v>
      </c>
      <c r="AT794" s="545" t="str">
        <f>IF(A794="","",IF(AP794&lt;=1,"Cleared",IF(AS794=0,"Clean",VLOOKUP($AS794,Ref!$G$23:$H$28,2))))</f>
        <v/>
      </c>
      <c r="AU794" s="546" t="str">
        <f t="shared" si="354"/>
        <v/>
      </c>
    </row>
    <row r="795" spans="1:47" ht="14.25" hidden="1" customHeight="1" x14ac:dyDescent="0.15">
      <c r="A795" s="523"/>
      <c r="B795" s="523"/>
      <c r="C795" s="523"/>
      <c r="D795" s="523"/>
      <c r="E795" s="579"/>
      <c r="F795" s="580"/>
      <c r="G795" s="524"/>
      <c r="H795" s="555"/>
      <c r="I795" s="560"/>
      <c r="J795" s="523"/>
      <c r="K795" s="528" t="str">
        <f>IFERROR(VLOOKUP($B795,'Clients-Live'!$A:$C,3,0),"")</f>
        <v/>
      </c>
      <c r="L795" s="528">
        <f>IF(E795="STL",Pricing!$D$38,IF(A795="",0,IF(A795&lt;Pricing!$C$25,Pricing!$D$25,VLOOKUP(Disbursements!$F795,Pricing!$B$29:$D$32,3))))</f>
        <v>0</v>
      </c>
      <c r="M795" s="528">
        <f>IF(E795="STL",0,IF(F795&gt;0,Pricing!$D$21,0))</f>
        <v>0</v>
      </c>
      <c r="N795" s="529">
        <f>IF(E795="STL",F795*Pricing!$D$40,IF(A795&lt;=Pricing!$C$4,0,IF(AND(A795&gt;Pricing!$C$4,Disbursements!A795&lt;=Pricing!$C$5),F795*Pricing!$E$5,IF(AND(A795&gt;Pricing!$C$5,Disbursements!A795&lt;=Pricing!$C$7),VLOOKUP(F795,Pricing!$D$7:$E$8,2)*Disbursements!F795,F795*Pricing!$E$9))))</f>
        <v>0</v>
      </c>
      <c r="O795" s="528">
        <f>IF(E795="STL",0,IF($F795&gt;0,$F795*Pricing!$D$17,0))</f>
        <v>0</v>
      </c>
      <c r="P795" s="530" t="str">
        <f t="shared" si="334"/>
        <v/>
      </c>
      <c r="Q795" s="531" t="str">
        <f>IF($A795="","",$G795/VLOOKUP($I795,Ref!$B$23:$D$29,2,0))</f>
        <v/>
      </c>
      <c r="R795" s="530" t="str">
        <f t="shared" si="335"/>
        <v/>
      </c>
      <c r="S795" s="532" t="str">
        <f t="shared" si="329"/>
        <v/>
      </c>
      <c r="T795" s="531" t="str">
        <f t="shared" si="336"/>
        <v/>
      </c>
      <c r="U795" s="533">
        <f t="shared" si="337"/>
        <v>0</v>
      </c>
      <c r="V795" s="531" t="str">
        <f t="shared" si="338"/>
        <v/>
      </c>
      <c r="W795" s="531" t="str">
        <f t="shared" si="339"/>
        <v/>
      </c>
      <c r="X795" s="534" t="str">
        <f t="shared" si="340"/>
        <v/>
      </c>
      <c r="Y795" s="535" t="str">
        <f>IF($A795="","",IF($I795="weekly",$A795+7,EDATE($A795,VLOOKUP($I795,Ref!$B$24:$C$29,2,0))))</f>
        <v/>
      </c>
      <c r="Z795" s="536" t="str">
        <f t="shared" si="341"/>
        <v/>
      </c>
      <c r="AA795" s="531">
        <f t="shared" si="342"/>
        <v>0</v>
      </c>
      <c r="AB795" s="535" t="str">
        <f t="shared" si="330"/>
        <v/>
      </c>
      <c r="AC795" s="537" t="str">
        <f t="shared" si="331"/>
        <v/>
      </c>
      <c r="AD795" s="538" t="str">
        <f t="shared" ca="1" si="332"/>
        <v/>
      </c>
      <c r="AE795" s="537">
        <f t="shared" ca="1" si="333"/>
        <v>0</v>
      </c>
      <c r="AF795" s="539" t="str">
        <f t="shared" ca="1" si="343"/>
        <v/>
      </c>
      <c r="AG795" s="531" t="str">
        <f t="shared" ca="1" si="344"/>
        <v/>
      </c>
      <c r="AH795" s="531" t="str">
        <f t="shared" ca="1" si="345"/>
        <v/>
      </c>
      <c r="AI795" s="531" t="str">
        <f t="shared" ca="1" si="346"/>
        <v/>
      </c>
      <c r="AJ795" s="531" t="str">
        <f t="shared" si="347"/>
        <v/>
      </c>
      <c r="AK795" s="540">
        <f>SUMIFS('Live Collections'!$S:$S,'Live Collections'!$D:$D,Disbursements!B795,'Live Collections'!$G:$G,Disbursements!C795)</f>
        <v>0</v>
      </c>
      <c r="AL795" s="540">
        <f>SUMIFS('Live Collections'!$T:$T,'Live Collections'!$D:$D,Disbursements!B795,'Live Collections'!$G:$G,Disbursements!C795)</f>
        <v>0</v>
      </c>
      <c r="AM795" s="541">
        <f t="shared" si="348"/>
        <v>0</v>
      </c>
      <c r="AN795" s="542" t="str">
        <f t="shared" si="349"/>
        <v/>
      </c>
      <c r="AO795" s="542" t="str">
        <f t="shared" si="350"/>
        <v/>
      </c>
      <c r="AP795" s="543" t="str">
        <f t="shared" si="351"/>
        <v/>
      </c>
      <c r="AQ795" s="544" t="str">
        <f t="shared" si="352"/>
        <v/>
      </c>
      <c r="AR795" s="545">
        <f t="shared" si="353"/>
        <v>0</v>
      </c>
      <c r="AS795" s="545">
        <f>IFERROR(CEILING($AR795*VLOOKUP($I795,Ref!$B$23:$E$29,4,0),1),0)</f>
        <v>0</v>
      </c>
      <c r="AT795" s="545" t="str">
        <f>IF(A795="","",IF(AP795&lt;=1,"Cleared",IF(AS795=0,"Clean",VLOOKUP($AS795,Ref!$G$23:$H$28,2))))</f>
        <v/>
      </c>
      <c r="AU795" s="546" t="str">
        <f t="shared" si="354"/>
        <v/>
      </c>
    </row>
    <row r="796" spans="1:47" ht="14.25" hidden="1" customHeight="1" x14ac:dyDescent="0.15">
      <c r="A796" s="523"/>
      <c r="B796" s="523"/>
      <c r="C796" s="523"/>
      <c r="D796" s="523"/>
      <c r="E796" s="579"/>
      <c r="F796" s="580"/>
      <c r="G796" s="524"/>
      <c r="H796" s="555"/>
      <c r="I796" s="560"/>
      <c r="J796" s="523"/>
      <c r="K796" s="528" t="str">
        <f>IFERROR(VLOOKUP($B796,'Clients-Live'!$A:$C,3,0),"")</f>
        <v/>
      </c>
      <c r="L796" s="528">
        <f>IF(E796="STL",Pricing!$D$38,IF(A796="",0,IF(A796&lt;Pricing!$C$25,Pricing!$D$25,VLOOKUP(Disbursements!$F796,Pricing!$B$29:$D$32,3))))</f>
        <v>0</v>
      </c>
      <c r="M796" s="528">
        <f>IF(E796="STL",0,IF(F796&gt;0,Pricing!$D$21,0))</f>
        <v>0</v>
      </c>
      <c r="N796" s="529">
        <f>IF(E796="STL",F796*Pricing!$D$40,IF(A796&lt;=Pricing!$C$4,0,IF(AND(A796&gt;Pricing!$C$4,Disbursements!A796&lt;=Pricing!$C$5),F796*Pricing!$E$5,IF(AND(A796&gt;Pricing!$C$5,Disbursements!A796&lt;=Pricing!$C$7),VLOOKUP(F796,Pricing!$D$7:$E$8,2)*Disbursements!F796,F796*Pricing!$E$9))))</f>
        <v>0</v>
      </c>
      <c r="O796" s="528">
        <f>IF(E796="STL",0,IF($F796&gt;0,$F796*Pricing!$D$17,0))</f>
        <v>0</v>
      </c>
      <c r="P796" s="530" t="str">
        <f t="shared" si="334"/>
        <v/>
      </c>
      <c r="Q796" s="531" t="str">
        <f>IF($A796="","",$G796/VLOOKUP($I796,Ref!$B$23:$D$29,2,0))</f>
        <v/>
      </c>
      <c r="R796" s="530" t="str">
        <f t="shared" si="335"/>
        <v/>
      </c>
      <c r="S796" s="532" t="str">
        <f t="shared" si="329"/>
        <v/>
      </c>
      <c r="T796" s="531" t="str">
        <f t="shared" si="336"/>
        <v/>
      </c>
      <c r="U796" s="533">
        <f t="shared" si="337"/>
        <v>0</v>
      </c>
      <c r="V796" s="531" t="str">
        <f t="shared" si="338"/>
        <v/>
      </c>
      <c r="W796" s="531" t="str">
        <f t="shared" si="339"/>
        <v/>
      </c>
      <c r="X796" s="534" t="str">
        <f t="shared" si="340"/>
        <v/>
      </c>
      <c r="Y796" s="535" t="str">
        <f>IF($A796="","",IF($I796="weekly",$A796+7,EDATE($A796,VLOOKUP($I796,Ref!$B$24:$C$29,2,0))))</f>
        <v/>
      </c>
      <c r="Z796" s="536" t="str">
        <f t="shared" si="341"/>
        <v/>
      </c>
      <c r="AA796" s="531">
        <f t="shared" si="342"/>
        <v>0</v>
      </c>
      <c r="AB796" s="535" t="str">
        <f t="shared" si="330"/>
        <v/>
      </c>
      <c r="AC796" s="537" t="str">
        <f t="shared" si="331"/>
        <v/>
      </c>
      <c r="AD796" s="538" t="str">
        <f t="shared" ca="1" si="332"/>
        <v/>
      </c>
      <c r="AE796" s="537">
        <f t="shared" ca="1" si="333"/>
        <v>0</v>
      </c>
      <c r="AF796" s="539" t="str">
        <f t="shared" ca="1" si="343"/>
        <v/>
      </c>
      <c r="AG796" s="531" t="str">
        <f t="shared" ca="1" si="344"/>
        <v/>
      </c>
      <c r="AH796" s="531" t="str">
        <f t="shared" ca="1" si="345"/>
        <v/>
      </c>
      <c r="AI796" s="531" t="str">
        <f t="shared" ca="1" si="346"/>
        <v/>
      </c>
      <c r="AJ796" s="531" t="str">
        <f t="shared" si="347"/>
        <v/>
      </c>
      <c r="AK796" s="540">
        <f>SUMIFS('Live Collections'!$S:$S,'Live Collections'!$D:$D,Disbursements!B796,'Live Collections'!$G:$G,Disbursements!C796)</f>
        <v>0</v>
      </c>
      <c r="AL796" s="540">
        <f>SUMIFS('Live Collections'!$T:$T,'Live Collections'!$D:$D,Disbursements!B796,'Live Collections'!$G:$G,Disbursements!C796)</f>
        <v>0</v>
      </c>
      <c r="AM796" s="541">
        <f t="shared" si="348"/>
        <v>0</v>
      </c>
      <c r="AN796" s="542" t="str">
        <f t="shared" si="349"/>
        <v/>
      </c>
      <c r="AO796" s="542" t="str">
        <f t="shared" si="350"/>
        <v/>
      </c>
      <c r="AP796" s="543" t="str">
        <f t="shared" si="351"/>
        <v/>
      </c>
      <c r="AQ796" s="544" t="str">
        <f t="shared" si="352"/>
        <v/>
      </c>
      <c r="AR796" s="545">
        <f t="shared" si="353"/>
        <v>0</v>
      </c>
      <c r="AS796" s="545">
        <f>IFERROR(CEILING($AR796*VLOOKUP($I796,Ref!$B$23:$E$29,4,0),1),0)</f>
        <v>0</v>
      </c>
      <c r="AT796" s="545" t="str">
        <f>IF(A796="","",IF(AP796&lt;=1,"Cleared",IF(AS796=0,"Clean",VLOOKUP($AS796,Ref!$G$23:$H$28,2))))</f>
        <v/>
      </c>
      <c r="AU796" s="546" t="str">
        <f t="shared" si="354"/>
        <v/>
      </c>
    </row>
    <row r="797" spans="1:47" ht="14.25" hidden="1" customHeight="1" x14ac:dyDescent="0.15">
      <c r="A797" s="523"/>
      <c r="B797" s="523"/>
      <c r="C797" s="523"/>
      <c r="D797" s="523"/>
      <c r="E797" s="579"/>
      <c r="F797" s="580"/>
      <c r="G797" s="524"/>
      <c r="H797" s="555"/>
      <c r="I797" s="560"/>
      <c r="J797" s="523"/>
      <c r="K797" s="528" t="str">
        <f>IFERROR(VLOOKUP($B797,'Clients-Live'!$A:$C,3,0),"")</f>
        <v/>
      </c>
      <c r="L797" s="528">
        <f>IF(E797="STL",Pricing!$D$38,IF(A797="",0,IF(A797&lt;Pricing!$C$25,Pricing!$D$25,VLOOKUP(Disbursements!$F797,Pricing!$B$29:$D$32,3))))</f>
        <v>0</v>
      </c>
      <c r="M797" s="528">
        <f>IF(E797="STL",0,IF(F797&gt;0,Pricing!$D$21,0))</f>
        <v>0</v>
      </c>
      <c r="N797" s="529">
        <f>IF(E797="STL",F797*Pricing!$D$40,IF(A797&lt;=Pricing!$C$4,0,IF(AND(A797&gt;Pricing!$C$4,Disbursements!A797&lt;=Pricing!$C$5),F797*Pricing!$E$5,IF(AND(A797&gt;Pricing!$C$5,Disbursements!A797&lt;=Pricing!$C$7),VLOOKUP(F797,Pricing!$D$7:$E$8,2)*Disbursements!F797,F797*Pricing!$E$9))))</f>
        <v>0</v>
      </c>
      <c r="O797" s="528">
        <f>IF(E797="STL",0,IF($F797&gt;0,$F797*Pricing!$D$17,0))</f>
        <v>0</v>
      </c>
      <c r="P797" s="530" t="str">
        <f t="shared" si="334"/>
        <v/>
      </c>
      <c r="Q797" s="531" t="str">
        <f>IF($A797="","",$G797/VLOOKUP($I797,Ref!$B$23:$D$29,2,0))</f>
        <v/>
      </c>
      <c r="R797" s="530" t="str">
        <f t="shared" si="335"/>
        <v/>
      </c>
      <c r="S797" s="532" t="str">
        <f t="shared" si="329"/>
        <v/>
      </c>
      <c r="T797" s="531" t="str">
        <f t="shared" si="336"/>
        <v/>
      </c>
      <c r="U797" s="533">
        <f t="shared" si="337"/>
        <v>0</v>
      </c>
      <c r="V797" s="531" t="str">
        <f t="shared" si="338"/>
        <v/>
      </c>
      <c r="W797" s="531" t="str">
        <f t="shared" si="339"/>
        <v/>
      </c>
      <c r="X797" s="534" t="str">
        <f t="shared" si="340"/>
        <v/>
      </c>
      <c r="Y797" s="535" t="str">
        <f>IF($A797="","",IF($I797="weekly",$A797+7,EDATE($A797,VLOOKUP($I797,Ref!$B$24:$C$29,2,0))))</f>
        <v/>
      </c>
      <c r="Z797" s="536" t="str">
        <f t="shared" si="341"/>
        <v/>
      </c>
      <c r="AA797" s="531">
        <f t="shared" si="342"/>
        <v>0</v>
      </c>
      <c r="AB797" s="535" t="str">
        <f t="shared" si="330"/>
        <v/>
      </c>
      <c r="AC797" s="537" t="str">
        <f t="shared" si="331"/>
        <v/>
      </c>
      <c r="AD797" s="538" t="str">
        <f t="shared" ca="1" si="332"/>
        <v/>
      </c>
      <c r="AE797" s="537">
        <f t="shared" ca="1" si="333"/>
        <v>0</v>
      </c>
      <c r="AF797" s="539" t="str">
        <f t="shared" ca="1" si="343"/>
        <v/>
      </c>
      <c r="AG797" s="531" t="str">
        <f t="shared" ca="1" si="344"/>
        <v/>
      </c>
      <c r="AH797" s="531" t="str">
        <f t="shared" ca="1" si="345"/>
        <v/>
      </c>
      <c r="AI797" s="531" t="str">
        <f t="shared" ca="1" si="346"/>
        <v/>
      </c>
      <c r="AJ797" s="531" t="str">
        <f t="shared" si="347"/>
        <v/>
      </c>
      <c r="AK797" s="540">
        <f>SUMIFS('Live Collections'!$S:$S,'Live Collections'!$D:$D,Disbursements!B797,'Live Collections'!$G:$G,Disbursements!C797)</f>
        <v>0</v>
      </c>
      <c r="AL797" s="540">
        <f>SUMIFS('Live Collections'!$T:$T,'Live Collections'!$D:$D,Disbursements!B797,'Live Collections'!$G:$G,Disbursements!C797)</f>
        <v>0</v>
      </c>
      <c r="AM797" s="541">
        <f t="shared" si="348"/>
        <v>0</v>
      </c>
      <c r="AN797" s="542" t="str">
        <f t="shared" si="349"/>
        <v/>
      </c>
      <c r="AO797" s="542" t="str">
        <f t="shared" si="350"/>
        <v/>
      </c>
      <c r="AP797" s="543" t="str">
        <f t="shared" si="351"/>
        <v/>
      </c>
      <c r="AQ797" s="544" t="str">
        <f t="shared" si="352"/>
        <v/>
      </c>
      <c r="AR797" s="545">
        <f t="shared" si="353"/>
        <v>0</v>
      </c>
      <c r="AS797" s="545">
        <f>IFERROR(CEILING($AR797*VLOOKUP($I797,Ref!$B$23:$E$29,4,0),1),0)</f>
        <v>0</v>
      </c>
      <c r="AT797" s="545" t="str">
        <f>IF(A797="","",IF(AP797&lt;=1,"Cleared",IF(AS797=0,"Clean",VLOOKUP($AS797,Ref!$G$23:$H$28,2))))</f>
        <v/>
      </c>
      <c r="AU797" s="546" t="str">
        <f t="shared" si="354"/>
        <v/>
      </c>
    </row>
    <row r="798" spans="1:47" ht="14.25" hidden="1" customHeight="1" x14ac:dyDescent="0.15">
      <c r="A798" s="523"/>
      <c r="B798" s="523"/>
      <c r="C798" s="523"/>
      <c r="D798" s="523"/>
      <c r="E798" s="579"/>
      <c r="F798" s="580"/>
      <c r="G798" s="524"/>
      <c r="H798" s="555"/>
      <c r="I798" s="560"/>
      <c r="J798" s="523"/>
      <c r="K798" s="528" t="str">
        <f>IFERROR(VLOOKUP($B798,'Clients-Live'!$A:$C,3,0),"")</f>
        <v/>
      </c>
      <c r="L798" s="528">
        <f>IF(E798="STL",Pricing!$D$38,IF(A798="",0,IF(A798&lt;Pricing!$C$25,Pricing!$D$25,VLOOKUP(Disbursements!$F798,Pricing!$B$29:$D$32,3))))</f>
        <v>0</v>
      </c>
      <c r="M798" s="528">
        <f>IF(E798="STL",0,IF(F798&gt;0,Pricing!$D$21,0))</f>
        <v>0</v>
      </c>
      <c r="N798" s="529">
        <f>IF(E798="STL",F798*Pricing!$D$40,IF(A798&lt;=Pricing!$C$4,0,IF(AND(A798&gt;Pricing!$C$4,Disbursements!A798&lt;=Pricing!$C$5),F798*Pricing!$E$5,IF(AND(A798&gt;Pricing!$C$5,Disbursements!A798&lt;=Pricing!$C$7),VLOOKUP(F798,Pricing!$D$7:$E$8,2)*Disbursements!F798,F798*Pricing!$E$9))))</f>
        <v>0</v>
      </c>
      <c r="O798" s="528">
        <f>IF(E798="STL",0,IF($F798&gt;0,$F798*Pricing!$D$17,0))</f>
        <v>0</v>
      </c>
      <c r="P798" s="530" t="str">
        <f t="shared" si="334"/>
        <v/>
      </c>
      <c r="Q798" s="531" t="str">
        <f>IF($A798="","",$G798/VLOOKUP($I798,Ref!$B$23:$D$29,2,0))</f>
        <v/>
      </c>
      <c r="R798" s="530" t="str">
        <f t="shared" si="335"/>
        <v/>
      </c>
      <c r="S798" s="532" t="str">
        <f t="shared" si="329"/>
        <v/>
      </c>
      <c r="T798" s="531" t="str">
        <f t="shared" si="336"/>
        <v/>
      </c>
      <c r="U798" s="533">
        <f t="shared" si="337"/>
        <v>0</v>
      </c>
      <c r="V798" s="531" t="str">
        <f t="shared" si="338"/>
        <v/>
      </c>
      <c r="W798" s="531" t="str">
        <f t="shared" si="339"/>
        <v/>
      </c>
      <c r="X798" s="534" t="str">
        <f t="shared" si="340"/>
        <v/>
      </c>
      <c r="Y798" s="535" t="str">
        <f>IF($A798="","",IF($I798="weekly",$A798+7,EDATE($A798,VLOOKUP($I798,Ref!$B$24:$C$29,2,0))))</f>
        <v/>
      </c>
      <c r="Z798" s="536" t="str">
        <f t="shared" si="341"/>
        <v/>
      </c>
      <c r="AA798" s="531">
        <f t="shared" si="342"/>
        <v>0</v>
      </c>
      <c r="AB798" s="535" t="str">
        <f t="shared" si="330"/>
        <v/>
      </c>
      <c r="AC798" s="537" t="str">
        <f t="shared" si="331"/>
        <v/>
      </c>
      <c r="AD798" s="538" t="str">
        <f t="shared" ca="1" si="332"/>
        <v/>
      </c>
      <c r="AE798" s="537">
        <f t="shared" ca="1" si="333"/>
        <v>0</v>
      </c>
      <c r="AF798" s="539" t="str">
        <f t="shared" ca="1" si="343"/>
        <v/>
      </c>
      <c r="AG798" s="531" t="str">
        <f t="shared" ca="1" si="344"/>
        <v/>
      </c>
      <c r="AH798" s="531" t="str">
        <f t="shared" ca="1" si="345"/>
        <v/>
      </c>
      <c r="AI798" s="531" t="str">
        <f t="shared" ca="1" si="346"/>
        <v/>
      </c>
      <c r="AJ798" s="531" t="str">
        <f t="shared" si="347"/>
        <v/>
      </c>
      <c r="AK798" s="540">
        <f>SUMIFS('Live Collections'!$S:$S,'Live Collections'!$D:$D,Disbursements!B798,'Live Collections'!$G:$G,Disbursements!C798)</f>
        <v>0</v>
      </c>
      <c r="AL798" s="540">
        <f>SUMIFS('Live Collections'!$T:$T,'Live Collections'!$D:$D,Disbursements!B798,'Live Collections'!$G:$G,Disbursements!C798)</f>
        <v>0</v>
      </c>
      <c r="AM798" s="541">
        <f t="shared" si="348"/>
        <v>0</v>
      </c>
      <c r="AN798" s="542" t="str">
        <f t="shared" si="349"/>
        <v/>
      </c>
      <c r="AO798" s="542" t="str">
        <f t="shared" si="350"/>
        <v/>
      </c>
      <c r="AP798" s="543" t="str">
        <f t="shared" si="351"/>
        <v/>
      </c>
      <c r="AQ798" s="544" t="str">
        <f t="shared" si="352"/>
        <v/>
      </c>
      <c r="AR798" s="545">
        <f t="shared" si="353"/>
        <v>0</v>
      </c>
      <c r="AS798" s="545">
        <f>IFERROR(CEILING($AR798*VLOOKUP($I798,Ref!$B$23:$E$29,4,0),1),0)</f>
        <v>0</v>
      </c>
      <c r="AT798" s="545" t="str">
        <f>IF(A798="","",IF(AP798&lt;=1,"Cleared",IF(AS798=0,"Clean",VLOOKUP($AS798,Ref!$G$23:$H$28,2))))</f>
        <v/>
      </c>
      <c r="AU798" s="546" t="str">
        <f t="shared" si="354"/>
        <v/>
      </c>
    </row>
    <row r="799" spans="1:47" ht="14.25" hidden="1" customHeight="1" x14ac:dyDescent="0.15">
      <c r="A799" s="523"/>
      <c r="B799" s="523"/>
      <c r="C799" s="523"/>
      <c r="D799" s="523"/>
      <c r="E799" s="579"/>
      <c r="F799" s="580"/>
      <c r="G799" s="524"/>
      <c r="H799" s="555"/>
      <c r="I799" s="560"/>
      <c r="J799" s="523"/>
      <c r="K799" s="528" t="str">
        <f>IFERROR(VLOOKUP($B799,'Clients-Live'!$A:$C,3,0),"")</f>
        <v/>
      </c>
      <c r="L799" s="528">
        <f>IF(E799="STL",Pricing!$D$38,IF(A799="",0,IF(A799&lt;Pricing!$C$25,Pricing!$D$25,VLOOKUP(Disbursements!$F799,Pricing!$B$29:$D$32,3))))</f>
        <v>0</v>
      </c>
      <c r="M799" s="528">
        <f>IF(E799="STL",0,IF(F799&gt;0,Pricing!$D$21,0))</f>
        <v>0</v>
      </c>
      <c r="N799" s="529">
        <f>IF(E799="STL",F799*Pricing!$D$40,IF(A799&lt;=Pricing!$C$4,0,IF(AND(A799&gt;Pricing!$C$4,Disbursements!A799&lt;=Pricing!$C$5),F799*Pricing!$E$5,IF(AND(A799&gt;Pricing!$C$5,Disbursements!A799&lt;=Pricing!$C$7),VLOOKUP(F799,Pricing!$D$7:$E$8,2)*Disbursements!F799,F799*Pricing!$E$9))))</f>
        <v>0</v>
      </c>
      <c r="O799" s="528">
        <f>IF(E799="STL",0,IF($F799&gt;0,$F799*Pricing!$D$17,0))</f>
        <v>0</v>
      </c>
      <c r="P799" s="530" t="str">
        <f t="shared" si="334"/>
        <v/>
      </c>
      <c r="Q799" s="531" t="str">
        <f>IF($A799="","",$G799/VLOOKUP($I799,Ref!$B$23:$D$29,2,0))</f>
        <v/>
      </c>
      <c r="R799" s="530" t="str">
        <f t="shared" si="335"/>
        <v/>
      </c>
      <c r="S799" s="532" t="str">
        <f t="shared" si="329"/>
        <v/>
      </c>
      <c r="T799" s="531" t="str">
        <f t="shared" si="336"/>
        <v/>
      </c>
      <c r="U799" s="533">
        <f t="shared" si="337"/>
        <v>0</v>
      </c>
      <c r="V799" s="531" t="str">
        <f t="shared" si="338"/>
        <v/>
      </c>
      <c r="W799" s="531" t="str">
        <f t="shared" si="339"/>
        <v/>
      </c>
      <c r="X799" s="534" t="str">
        <f t="shared" si="340"/>
        <v/>
      </c>
      <c r="Y799" s="535" t="str">
        <f>IF($A799="","",IF($I799="weekly",$A799+7,EDATE($A799,VLOOKUP($I799,Ref!$B$24:$C$29,2,0))))</f>
        <v/>
      </c>
      <c r="Z799" s="536" t="str">
        <f t="shared" si="341"/>
        <v/>
      </c>
      <c r="AA799" s="531">
        <f t="shared" si="342"/>
        <v>0</v>
      </c>
      <c r="AB799" s="535" t="str">
        <f t="shared" si="330"/>
        <v/>
      </c>
      <c r="AC799" s="537" t="str">
        <f t="shared" si="331"/>
        <v/>
      </c>
      <c r="AD799" s="538" t="str">
        <f t="shared" ca="1" si="332"/>
        <v/>
      </c>
      <c r="AE799" s="537">
        <f t="shared" ca="1" si="333"/>
        <v>0</v>
      </c>
      <c r="AF799" s="539" t="str">
        <f t="shared" ca="1" si="343"/>
        <v/>
      </c>
      <c r="AG799" s="531" t="str">
        <f t="shared" ca="1" si="344"/>
        <v/>
      </c>
      <c r="AH799" s="531" t="str">
        <f t="shared" ca="1" si="345"/>
        <v/>
      </c>
      <c r="AI799" s="531" t="str">
        <f t="shared" ca="1" si="346"/>
        <v/>
      </c>
      <c r="AJ799" s="531" t="str">
        <f t="shared" si="347"/>
        <v/>
      </c>
      <c r="AK799" s="540">
        <f>SUMIFS('Live Collections'!$S:$S,'Live Collections'!$D:$D,Disbursements!B799,'Live Collections'!$G:$G,Disbursements!C799)</f>
        <v>0</v>
      </c>
      <c r="AL799" s="540">
        <f>SUMIFS('Live Collections'!$T:$T,'Live Collections'!$D:$D,Disbursements!B799,'Live Collections'!$G:$G,Disbursements!C799)</f>
        <v>0</v>
      </c>
      <c r="AM799" s="541">
        <f t="shared" si="348"/>
        <v>0</v>
      </c>
      <c r="AN799" s="542" t="str">
        <f t="shared" si="349"/>
        <v/>
      </c>
      <c r="AO799" s="542" t="str">
        <f t="shared" si="350"/>
        <v/>
      </c>
      <c r="AP799" s="543" t="str">
        <f t="shared" si="351"/>
        <v/>
      </c>
      <c r="AQ799" s="544" t="str">
        <f t="shared" si="352"/>
        <v/>
      </c>
      <c r="AR799" s="545">
        <f t="shared" si="353"/>
        <v>0</v>
      </c>
      <c r="AS799" s="545">
        <f>IFERROR(CEILING($AR799*VLOOKUP($I799,Ref!$B$23:$E$29,4,0),1),0)</f>
        <v>0</v>
      </c>
      <c r="AT799" s="545" t="str">
        <f>IF(A799="","",IF(AP799&lt;=1,"Cleared",IF(AS799=0,"Clean",VLOOKUP($AS799,Ref!$G$23:$H$28,2))))</f>
        <v/>
      </c>
      <c r="AU799" s="546" t="str">
        <f t="shared" si="354"/>
        <v/>
      </c>
    </row>
    <row r="800" spans="1:47" ht="14.25" hidden="1" customHeight="1" x14ac:dyDescent="0.15">
      <c r="A800" s="523"/>
      <c r="B800" s="523"/>
      <c r="C800" s="523"/>
      <c r="D800" s="523"/>
      <c r="E800" s="579"/>
      <c r="F800" s="580"/>
      <c r="G800" s="524"/>
      <c r="H800" s="555"/>
      <c r="I800" s="560"/>
      <c r="J800" s="523"/>
      <c r="K800" s="528" t="str">
        <f>IFERROR(VLOOKUP($B800,'Clients-Live'!$A:$C,3,0),"")</f>
        <v/>
      </c>
      <c r="L800" s="528">
        <f>IF(E800="STL",Pricing!$D$38,IF(A800="",0,IF(A800&lt;Pricing!$C$25,Pricing!$D$25,VLOOKUP(Disbursements!$F800,Pricing!$B$29:$D$32,3))))</f>
        <v>0</v>
      </c>
      <c r="M800" s="528">
        <f>IF(E800="STL",0,IF(F800&gt;0,Pricing!$D$21,0))</f>
        <v>0</v>
      </c>
      <c r="N800" s="529">
        <f>IF(E800="STL",F800*Pricing!$D$40,IF(A800&lt;=Pricing!$C$4,0,IF(AND(A800&gt;Pricing!$C$4,Disbursements!A800&lt;=Pricing!$C$5),F800*Pricing!$E$5,IF(AND(A800&gt;Pricing!$C$5,Disbursements!A800&lt;=Pricing!$C$7),VLOOKUP(F800,Pricing!$D$7:$E$8,2)*Disbursements!F800,F800*Pricing!$E$9))))</f>
        <v>0</v>
      </c>
      <c r="O800" s="528">
        <f>IF(E800="STL",0,IF($F800&gt;0,$F800*Pricing!$D$17,0))</f>
        <v>0</v>
      </c>
      <c r="P800" s="530" t="str">
        <f t="shared" si="334"/>
        <v/>
      </c>
      <c r="Q800" s="531" t="str">
        <f>IF($A800="","",$G800/VLOOKUP($I800,Ref!$B$23:$D$29,2,0))</f>
        <v/>
      </c>
      <c r="R800" s="530" t="str">
        <f t="shared" si="335"/>
        <v/>
      </c>
      <c r="S800" s="532" t="str">
        <f t="shared" si="329"/>
        <v/>
      </c>
      <c r="T800" s="531" t="str">
        <f t="shared" si="336"/>
        <v/>
      </c>
      <c r="U800" s="533">
        <f t="shared" si="337"/>
        <v>0</v>
      </c>
      <c r="V800" s="531" t="str">
        <f t="shared" si="338"/>
        <v/>
      </c>
      <c r="W800" s="531" t="str">
        <f t="shared" si="339"/>
        <v/>
      </c>
      <c r="X800" s="534" t="str">
        <f t="shared" si="340"/>
        <v/>
      </c>
      <c r="Y800" s="535" t="str">
        <f>IF($A800="","",IF($I800="weekly",$A800+7,EDATE($A800,VLOOKUP($I800,Ref!$B$24:$C$29,2,0))))</f>
        <v/>
      </c>
      <c r="Z800" s="536" t="str">
        <f t="shared" si="341"/>
        <v/>
      </c>
      <c r="AA800" s="531">
        <f t="shared" si="342"/>
        <v>0</v>
      </c>
      <c r="AB800" s="535" t="str">
        <f t="shared" si="330"/>
        <v/>
      </c>
      <c r="AC800" s="537" t="str">
        <f t="shared" si="331"/>
        <v/>
      </c>
      <c r="AD800" s="538" t="str">
        <f t="shared" ca="1" si="332"/>
        <v/>
      </c>
      <c r="AE800" s="537">
        <f t="shared" ca="1" si="333"/>
        <v>0</v>
      </c>
      <c r="AF800" s="539" t="str">
        <f t="shared" ca="1" si="343"/>
        <v/>
      </c>
      <c r="AG800" s="531" t="str">
        <f t="shared" ca="1" si="344"/>
        <v/>
      </c>
      <c r="AH800" s="531" t="str">
        <f t="shared" ca="1" si="345"/>
        <v/>
      </c>
      <c r="AI800" s="531" t="str">
        <f t="shared" ca="1" si="346"/>
        <v/>
      </c>
      <c r="AJ800" s="531" t="str">
        <f t="shared" si="347"/>
        <v/>
      </c>
      <c r="AK800" s="540">
        <f>SUMIFS('Live Collections'!$S:$S,'Live Collections'!$D:$D,Disbursements!B800,'Live Collections'!$G:$G,Disbursements!C800)</f>
        <v>0</v>
      </c>
      <c r="AL800" s="540">
        <f>SUMIFS('Live Collections'!$T:$T,'Live Collections'!$D:$D,Disbursements!B800,'Live Collections'!$G:$G,Disbursements!C800)</f>
        <v>0</v>
      </c>
      <c r="AM800" s="541">
        <f t="shared" si="348"/>
        <v>0</v>
      </c>
      <c r="AN800" s="542" t="str">
        <f t="shared" si="349"/>
        <v/>
      </c>
      <c r="AO800" s="542" t="str">
        <f t="shared" si="350"/>
        <v/>
      </c>
      <c r="AP800" s="543" t="str">
        <f t="shared" si="351"/>
        <v/>
      </c>
      <c r="AQ800" s="544" t="str">
        <f t="shared" si="352"/>
        <v/>
      </c>
      <c r="AR800" s="545">
        <f t="shared" si="353"/>
        <v>0</v>
      </c>
      <c r="AS800" s="545">
        <f>IFERROR(CEILING($AR800*VLOOKUP($I800,Ref!$B$23:$E$29,4,0),1),0)</f>
        <v>0</v>
      </c>
      <c r="AT800" s="545" t="str">
        <f>IF(A800="","",IF(AP800&lt;=1,"Cleared",IF(AS800=0,"Clean",VLOOKUP($AS800,Ref!$G$23:$H$28,2))))</f>
        <v/>
      </c>
      <c r="AU800" s="546" t="str">
        <f t="shared" si="354"/>
        <v/>
      </c>
    </row>
    <row r="801" spans="1:47" ht="14.25" hidden="1" customHeight="1" x14ac:dyDescent="0.15">
      <c r="A801" s="523"/>
      <c r="B801" s="523"/>
      <c r="C801" s="523"/>
      <c r="D801" s="523"/>
      <c r="E801" s="579"/>
      <c r="F801" s="580"/>
      <c r="G801" s="524"/>
      <c r="H801" s="555"/>
      <c r="I801" s="560"/>
      <c r="J801" s="523"/>
      <c r="K801" s="528" t="str">
        <f>IFERROR(VLOOKUP($B801,'Clients-Live'!$A:$C,3,0),"")</f>
        <v/>
      </c>
      <c r="L801" s="528">
        <f>IF(E801="STL",Pricing!$D$38,IF(A801="",0,IF(A801&lt;Pricing!$C$25,Pricing!$D$25,VLOOKUP(Disbursements!$F801,Pricing!$B$29:$D$32,3))))</f>
        <v>0</v>
      </c>
      <c r="M801" s="528">
        <f>IF(E801="STL",0,IF(F801&gt;0,Pricing!$D$21,0))</f>
        <v>0</v>
      </c>
      <c r="N801" s="529">
        <f>IF(E801="STL",F801*Pricing!$D$40,IF(A801&lt;=Pricing!$C$4,0,IF(AND(A801&gt;Pricing!$C$4,Disbursements!A801&lt;=Pricing!$C$5),F801*Pricing!$E$5,IF(AND(A801&gt;Pricing!$C$5,Disbursements!A801&lt;=Pricing!$C$7),VLOOKUP(F801,Pricing!$D$7:$E$8,2)*Disbursements!F801,F801*Pricing!$E$9))))</f>
        <v>0</v>
      </c>
      <c r="O801" s="528">
        <f>IF(E801="STL",0,IF($F801&gt;0,$F801*Pricing!$D$17,0))</f>
        <v>0</v>
      </c>
      <c r="P801" s="530" t="str">
        <f t="shared" si="334"/>
        <v/>
      </c>
      <c r="Q801" s="531" t="str">
        <f>IF($A801="","",$G801/VLOOKUP($I801,Ref!$B$23:$D$29,2,0))</f>
        <v/>
      </c>
      <c r="R801" s="530" t="str">
        <f t="shared" si="335"/>
        <v/>
      </c>
      <c r="S801" s="532" t="str">
        <f t="shared" si="329"/>
        <v/>
      </c>
      <c r="T801" s="531" t="str">
        <f t="shared" si="336"/>
        <v/>
      </c>
      <c r="U801" s="533">
        <f t="shared" si="337"/>
        <v>0</v>
      </c>
      <c r="V801" s="531" t="str">
        <f t="shared" si="338"/>
        <v/>
      </c>
      <c r="W801" s="531" t="str">
        <f t="shared" si="339"/>
        <v/>
      </c>
      <c r="X801" s="534" t="str">
        <f t="shared" si="340"/>
        <v/>
      </c>
      <c r="Y801" s="535" t="str">
        <f>IF($A801="","",IF($I801="weekly",$A801+7,EDATE($A801,VLOOKUP($I801,Ref!$B$24:$C$29,2,0))))</f>
        <v/>
      </c>
      <c r="Z801" s="536" t="str">
        <f t="shared" si="341"/>
        <v/>
      </c>
      <c r="AA801" s="531">
        <f t="shared" si="342"/>
        <v>0</v>
      </c>
      <c r="AB801" s="535" t="str">
        <f t="shared" si="330"/>
        <v/>
      </c>
      <c r="AC801" s="537" t="str">
        <f t="shared" si="331"/>
        <v/>
      </c>
      <c r="AD801" s="538" t="str">
        <f t="shared" ca="1" si="332"/>
        <v/>
      </c>
      <c r="AE801" s="537">
        <f t="shared" ca="1" si="333"/>
        <v>0</v>
      </c>
      <c r="AF801" s="539" t="str">
        <f t="shared" ca="1" si="343"/>
        <v/>
      </c>
      <c r="AG801" s="531" t="str">
        <f t="shared" ca="1" si="344"/>
        <v/>
      </c>
      <c r="AH801" s="531" t="str">
        <f t="shared" ca="1" si="345"/>
        <v/>
      </c>
      <c r="AI801" s="531" t="str">
        <f t="shared" ca="1" si="346"/>
        <v/>
      </c>
      <c r="AJ801" s="531" t="str">
        <f t="shared" si="347"/>
        <v/>
      </c>
      <c r="AK801" s="540">
        <f>SUMIFS('Live Collections'!$S:$S,'Live Collections'!$D:$D,Disbursements!B801,'Live Collections'!$G:$G,Disbursements!C801)</f>
        <v>0</v>
      </c>
      <c r="AL801" s="540">
        <f>SUMIFS('Live Collections'!$T:$T,'Live Collections'!$D:$D,Disbursements!B801,'Live Collections'!$G:$G,Disbursements!C801)</f>
        <v>0</v>
      </c>
      <c r="AM801" s="541">
        <f t="shared" si="348"/>
        <v>0</v>
      </c>
      <c r="AN801" s="542" t="str">
        <f t="shared" si="349"/>
        <v/>
      </c>
      <c r="AO801" s="542" t="str">
        <f t="shared" si="350"/>
        <v/>
      </c>
      <c r="AP801" s="543" t="str">
        <f t="shared" si="351"/>
        <v/>
      </c>
      <c r="AQ801" s="544" t="str">
        <f t="shared" si="352"/>
        <v/>
      </c>
      <c r="AR801" s="545">
        <f t="shared" si="353"/>
        <v>0</v>
      </c>
      <c r="AS801" s="545">
        <f>IFERROR(CEILING($AR801*VLOOKUP($I801,Ref!$B$23:$E$29,4,0),1),0)</f>
        <v>0</v>
      </c>
      <c r="AT801" s="545" t="str">
        <f>IF(A801="","",IF(AP801&lt;=1,"Cleared",IF(AS801=0,"Clean",VLOOKUP($AS801,Ref!$G$23:$H$28,2))))</f>
        <v/>
      </c>
      <c r="AU801" s="546" t="str">
        <f t="shared" si="354"/>
        <v/>
      </c>
    </row>
    <row r="802" spans="1:47" ht="14.25" hidden="1" customHeight="1" x14ac:dyDescent="0.15">
      <c r="A802" s="523"/>
      <c r="B802" s="523"/>
      <c r="C802" s="523"/>
      <c r="D802" s="523"/>
      <c r="E802" s="579"/>
      <c r="F802" s="580"/>
      <c r="G802" s="524"/>
      <c r="H802" s="555"/>
      <c r="I802" s="560"/>
      <c r="J802" s="523"/>
      <c r="K802" s="528" t="str">
        <f>IFERROR(VLOOKUP($B802,'Clients-Live'!$A:$C,3,0),"")</f>
        <v/>
      </c>
      <c r="L802" s="528">
        <f>IF(E802="STL",Pricing!$D$38,IF(A802="",0,IF(A802&lt;Pricing!$C$25,Pricing!$D$25,VLOOKUP(Disbursements!$F802,Pricing!$B$29:$D$32,3))))</f>
        <v>0</v>
      </c>
      <c r="M802" s="528">
        <f>IF(E802="STL",0,IF(F802&gt;0,Pricing!$D$21,0))</f>
        <v>0</v>
      </c>
      <c r="N802" s="529">
        <f>IF(E802="STL",F802*Pricing!$D$40,IF(A802&lt;=Pricing!$C$4,0,IF(AND(A802&gt;Pricing!$C$4,Disbursements!A802&lt;=Pricing!$C$5),F802*Pricing!$E$5,IF(AND(A802&gt;Pricing!$C$5,Disbursements!A802&lt;=Pricing!$C$7),VLOOKUP(F802,Pricing!$D$7:$E$8,2)*Disbursements!F802,F802*Pricing!$E$9))))</f>
        <v>0</v>
      </c>
      <c r="O802" s="528">
        <f>IF(E802="STL",0,IF($F802&gt;0,$F802*Pricing!$D$17,0))</f>
        <v>0</v>
      </c>
      <c r="P802" s="530" t="str">
        <f t="shared" si="334"/>
        <v/>
      </c>
      <c r="Q802" s="531" t="str">
        <f>IF($A802="","",$G802/VLOOKUP($I802,Ref!$B$23:$D$29,2,0))</f>
        <v/>
      </c>
      <c r="R802" s="530" t="str">
        <f t="shared" si="335"/>
        <v/>
      </c>
      <c r="S802" s="532" t="str">
        <f t="shared" si="329"/>
        <v/>
      </c>
      <c r="T802" s="531" t="str">
        <f t="shared" si="336"/>
        <v/>
      </c>
      <c r="U802" s="533">
        <f t="shared" si="337"/>
        <v>0</v>
      </c>
      <c r="V802" s="531" t="str">
        <f t="shared" si="338"/>
        <v/>
      </c>
      <c r="W802" s="531" t="str">
        <f t="shared" si="339"/>
        <v/>
      </c>
      <c r="X802" s="534" t="str">
        <f t="shared" si="340"/>
        <v/>
      </c>
      <c r="Y802" s="535" t="str">
        <f>IF($A802="","",IF($I802="weekly",$A802+7,EDATE($A802,VLOOKUP($I802,Ref!$B$24:$C$29,2,0))))</f>
        <v/>
      </c>
      <c r="Z802" s="536" t="str">
        <f t="shared" si="341"/>
        <v/>
      </c>
      <c r="AA802" s="531">
        <f t="shared" si="342"/>
        <v>0</v>
      </c>
      <c r="AB802" s="535" t="str">
        <f t="shared" si="330"/>
        <v/>
      </c>
      <c r="AC802" s="537" t="str">
        <f t="shared" si="331"/>
        <v/>
      </c>
      <c r="AD802" s="538" t="str">
        <f t="shared" ca="1" si="332"/>
        <v/>
      </c>
      <c r="AE802" s="537">
        <f t="shared" ca="1" si="333"/>
        <v>0</v>
      </c>
      <c r="AF802" s="539" t="str">
        <f t="shared" ca="1" si="343"/>
        <v/>
      </c>
      <c r="AG802" s="531" t="str">
        <f t="shared" ca="1" si="344"/>
        <v/>
      </c>
      <c r="AH802" s="531" t="str">
        <f t="shared" ca="1" si="345"/>
        <v/>
      </c>
      <c r="AI802" s="531" t="str">
        <f t="shared" ca="1" si="346"/>
        <v/>
      </c>
      <c r="AJ802" s="531" t="str">
        <f t="shared" si="347"/>
        <v/>
      </c>
      <c r="AK802" s="540">
        <f>SUMIFS('Live Collections'!$S:$S,'Live Collections'!$D:$D,Disbursements!B802,'Live Collections'!$G:$G,Disbursements!C802)</f>
        <v>0</v>
      </c>
      <c r="AL802" s="540">
        <f>SUMIFS('Live Collections'!$T:$T,'Live Collections'!$D:$D,Disbursements!B802,'Live Collections'!$G:$G,Disbursements!C802)</f>
        <v>0</v>
      </c>
      <c r="AM802" s="541">
        <f t="shared" si="348"/>
        <v>0</v>
      </c>
      <c r="AN802" s="542" t="str">
        <f t="shared" si="349"/>
        <v/>
      </c>
      <c r="AO802" s="542" t="str">
        <f t="shared" si="350"/>
        <v/>
      </c>
      <c r="AP802" s="543" t="str">
        <f t="shared" si="351"/>
        <v/>
      </c>
      <c r="AQ802" s="544" t="str">
        <f t="shared" si="352"/>
        <v/>
      </c>
      <c r="AR802" s="545">
        <f t="shared" si="353"/>
        <v>0</v>
      </c>
      <c r="AS802" s="545">
        <f>IFERROR(CEILING($AR802*VLOOKUP($I802,Ref!$B$23:$E$29,4,0),1),0)</f>
        <v>0</v>
      </c>
      <c r="AT802" s="545" t="str">
        <f>IF(A802="","",IF(AP802&lt;=1,"Cleared",IF(AS802=0,"Clean",VLOOKUP($AS802,Ref!$G$23:$H$28,2))))</f>
        <v/>
      </c>
      <c r="AU802" s="546" t="str">
        <f t="shared" si="354"/>
        <v/>
      </c>
    </row>
    <row r="803" spans="1:47" ht="14.25" hidden="1" customHeight="1" x14ac:dyDescent="0.15">
      <c r="A803" s="523"/>
      <c r="B803" s="523"/>
      <c r="C803" s="523"/>
      <c r="D803" s="523"/>
      <c r="E803" s="579"/>
      <c r="F803" s="580"/>
      <c r="G803" s="524"/>
      <c r="H803" s="555"/>
      <c r="I803" s="560"/>
      <c r="J803" s="523"/>
      <c r="K803" s="528" t="str">
        <f>IFERROR(VLOOKUP($B803,'Clients-Live'!$A:$C,3,0),"")</f>
        <v/>
      </c>
      <c r="L803" s="528">
        <f>IF(E803="STL",Pricing!$D$38,IF(A803="",0,IF(A803&lt;Pricing!$C$25,Pricing!$D$25,VLOOKUP(Disbursements!$F803,Pricing!$B$29:$D$32,3))))</f>
        <v>0</v>
      </c>
      <c r="M803" s="528">
        <f>IF(E803="STL",0,IF(F803&gt;0,Pricing!$D$21,0))</f>
        <v>0</v>
      </c>
      <c r="N803" s="529">
        <f>IF(E803="STL",F803*Pricing!$D$40,IF(A803&lt;=Pricing!$C$4,0,IF(AND(A803&gt;Pricing!$C$4,Disbursements!A803&lt;=Pricing!$C$5),F803*Pricing!$E$5,IF(AND(A803&gt;Pricing!$C$5,Disbursements!A803&lt;=Pricing!$C$7),VLOOKUP(F803,Pricing!$D$7:$E$8,2)*Disbursements!F803,F803*Pricing!$E$9))))</f>
        <v>0</v>
      </c>
      <c r="O803" s="528">
        <f>IF(E803="STL",0,IF($F803&gt;0,$F803*Pricing!$D$17,0))</f>
        <v>0</v>
      </c>
      <c r="P803" s="530" t="str">
        <f t="shared" si="334"/>
        <v/>
      </c>
      <c r="Q803" s="531" t="str">
        <f>IF($A803="","",$G803/VLOOKUP($I803,Ref!$B$23:$D$29,2,0))</f>
        <v/>
      </c>
      <c r="R803" s="530" t="str">
        <f t="shared" si="335"/>
        <v/>
      </c>
      <c r="S803" s="532" t="str">
        <f t="shared" si="329"/>
        <v/>
      </c>
      <c r="T803" s="531" t="str">
        <f t="shared" si="336"/>
        <v/>
      </c>
      <c r="U803" s="533">
        <f t="shared" si="337"/>
        <v>0</v>
      </c>
      <c r="V803" s="531" t="str">
        <f t="shared" si="338"/>
        <v/>
      </c>
      <c r="W803" s="531" t="str">
        <f t="shared" si="339"/>
        <v/>
      </c>
      <c r="X803" s="534" t="str">
        <f t="shared" si="340"/>
        <v/>
      </c>
      <c r="Y803" s="535" t="str">
        <f>IF($A803="","",IF($I803="weekly",$A803+7,EDATE($A803,VLOOKUP($I803,Ref!$B$24:$C$29,2,0))))</f>
        <v/>
      </c>
      <c r="Z803" s="536" t="str">
        <f t="shared" si="341"/>
        <v/>
      </c>
      <c r="AA803" s="531">
        <f t="shared" si="342"/>
        <v>0</v>
      </c>
      <c r="AB803" s="535" t="str">
        <f t="shared" si="330"/>
        <v/>
      </c>
      <c r="AC803" s="537" t="str">
        <f t="shared" si="331"/>
        <v/>
      </c>
      <c r="AD803" s="538" t="str">
        <f t="shared" ca="1" si="332"/>
        <v/>
      </c>
      <c r="AE803" s="537">
        <f t="shared" ca="1" si="333"/>
        <v>0</v>
      </c>
      <c r="AF803" s="539" t="str">
        <f t="shared" ca="1" si="343"/>
        <v/>
      </c>
      <c r="AG803" s="531" t="str">
        <f t="shared" ca="1" si="344"/>
        <v/>
      </c>
      <c r="AH803" s="531" t="str">
        <f t="shared" ca="1" si="345"/>
        <v/>
      </c>
      <c r="AI803" s="531" t="str">
        <f t="shared" ca="1" si="346"/>
        <v/>
      </c>
      <c r="AJ803" s="531" t="str">
        <f t="shared" si="347"/>
        <v/>
      </c>
      <c r="AK803" s="540">
        <f>SUMIFS('Live Collections'!$S:$S,'Live Collections'!$D:$D,Disbursements!B803,'Live Collections'!$G:$G,Disbursements!C803)</f>
        <v>0</v>
      </c>
      <c r="AL803" s="540">
        <f>SUMIFS('Live Collections'!$T:$T,'Live Collections'!$D:$D,Disbursements!B803,'Live Collections'!$G:$G,Disbursements!C803)</f>
        <v>0</v>
      </c>
      <c r="AM803" s="541">
        <f t="shared" si="348"/>
        <v>0</v>
      </c>
      <c r="AN803" s="542" t="str">
        <f t="shared" si="349"/>
        <v/>
      </c>
      <c r="AO803" s="542" t="str">
        <f t="shared" si="350"/>
        <v/>
      </c>
      <c r="AP803" s="543" t="str">
        <f t="shared" si="351"/>
        <v/>
      </c>
      <c r="AQ803" s="544" t="str">
        <f t="shared" si="352"/>
        <v/>
      </c>
      <c r="AR803" s="545">
        <f t="shared" si="353"/>
        <v>0</v>
      </c>
      <c r="AS803" s="545">
        <f>IFERROR(CEILING($AR803*VLOOKUP($I803,Ref!$B$23:$E$29,4,0),1),0)</f>
        <v>0</v>
      </c>
      <c r="AT803" s="545" t="str">
        <f>IF(A803="","",IF(AP803&lt;=1,"Cleared",IF(AS803=0,"Clean",VLOOKUP($AS803,Ref!$G$23:$H$28,2))))</f>
        <v/>
      </c>
      <c r="AU803" s="546" t="str">
        <f t="shared" si="354"/>
        <v/>
      </c>
    </row>
    <row r="804" spans="1:47" ht="14.25" hidden="1" customHeight="1" x14ac:dyDescent="0.15">
      <c r="A804" s="523"/>
      <c r="B804" s="523"/>
      <c r="C804" s="523"/>
      <c r="D804" s="523"/>
      <c r="E804" s="579"/>
      <c r="F804" s="580"/>
      <c r="G804" s="524"/>
      <c r="H804" s="555"/>
      <c r="I804" s="560"/>
      <c r="J804" s="523"/>
      <c r="K804" s="528" t="str">
        <f>IFERROR(VLOOKUP($B804,'Clients-Live'!$A:$C,3,0),"")</f>
        <v/>
      </c>
      <c r="L804" s="528">
        <f>IF(E804="STL",Pricing!$D$38,IF(A804="",0,IF(A804&lt;Pricing!$C$25,Pricing!$D$25,VLOOKUP(Disbursements!$F804,Pricing!$B$29:$D$32,3))))</f>
        <v>0</v>
      </c>
      <c r="M804" s="528">
        <f>IF(E804="STL",0,IF(F804&gt;0,Pricing!$D$21,0))</f>
        <v>0</v>
      </c>
      <c r="N804" s="529">
        <f>IF(E804="STL",F804*Pricing!$D$40,IF(A804&lt;=Pricing!$C$4,0,IF(AND(A804&gt;Pricing!$C$4,Disbursements!A804&lt;=Pricing!$C$5),F804*Pricing!$E$5,IF(AND(A804&gt;Pricing!$C$5,Disbursements!A804&lt;=Pricing!$C$7),VLOOKUP(F804,Pricing!$D$7:$E$8,2)*Disbursements!F804,F804*Pricing!$E$9))))</f>
        <v>0</v>
      </c>
      <c r="O804" s="528">
        <f>IF(E804="STL",0,IF($F804&gt;0,$F804*Pricing!$D$17,0))</f>
        <v>0</v>
      </c>
      <c r="P804" s="530" t="str">
        <f t="shared" si="334"/>
        <v/>
      </c>
      <c r="Q804" s="531" t="str">
        <f>IF($A804="","",$G804/VLOOKUP($I804,Ref!$B$23:$D$29,2,0))</f>
        <v/>
      </c>
      <c r="R804" s="530" t="str">
        <f t="shared" si="335"/>
        <v/>
      </c>
      <c r="S804" s="532" t="str">
        <f t="shared" si="329"/>
        <v/>
      </c>
      <c r="T804" s="531" t="str">
        <f t="shared" si="336"/>
        <v/>
      </c>
      <c r="U804" s="533">
        <f t="shared" si="337"/>
        <v>0</v>
      </c>
      <c r="V804" s="531" t="str">
        <f t="shared" si="338"/>
        <v/>
      </c>
      <c r="W804" s="531" t="str">
        <f t="shared" si="339"/>
        <v/>
      </c>
      <c r="X804" s="534" t="str">
        <f t="shared" si="340"/>
        <v/>
      </c>
      <c r="Y804" s="535" t="str">
        <f>IF($A804="","",IF($I804="weekly",$A804+7,EDATE($A804,VLOOKUP($I804,Ref!$B$24:$C$29,2,0))))</f>
        <v/>
      </c>
      <c r="Z804" s="536" t="str">
        <f t="shared" si="341"/>
        <v/>
      </c>
      <c r="AA804" s="531">
        <f t="shared" si="342"/>
        <v>0</v>
      </c>
      <c r="AB804" s="535" t="str">
        <f t="shared" si="330"/>
        <v/>
      </c>
      <c r="AC804" s="537" t="str">
        <f t="shared" si="331"/>
        <v/>
      </c>
      <c r="AD804" s="538" t="str">
        <f t="shared" ca="1" si="332"/>
        <v/>
      </c>
      <c r="AE804" s="537">
        <f t="shared" ca="1" si="333"/>
        <v>0</v>
      </c>
      <c r="AF804" s="539" t="str">
        <f t="shared" ca="1" si="343"/>
        <v/>
      </c>
      <c r="AG804" s="531" t="str">
        <f t="shared" ca="1" si="344"/>
        <v/>
      </c>
      <c r="AH804" s="531" t="str">
        <f t="shared" ca="1" si="345"/>
        <v/>
      </c>
      <c r="AI804" s="531" t="str">
        <f t="shared" ca="1" si="346"/>
        <v/>
      </c>
      <c r="AJ804" s="531" t="str">
        <f t="shared" si="347"/>
        <v/>
      </c>
      <c r="AK804" s="540">
        <f>SUMIFS('Live Collections'!$S:$S,'Live Collections'!$D:$D,Disbursements!B804,'Live Collections'!$G:$G,Disbursements!C804)</f>
        <v>0</v>
      </c>
      <c r="AL804" s="540">
        <f>SUMIFS('Live Collections'!$T:$T,'Live Collections'!$D:$D,Disbursements!B804,'Live Collections'!$G:$G,Disbursements!C804)</f>
        <v>0</v>
      </c>
      <c r="AM804" s="541">
        <f t="shared" si="348"/>
        <v>0</v>
      </c>
      <c r="AN804" s="542" t="str">
        <f t="shared" si="349"/>
        <v/>
      </c>
      <c r="AO804" s="542" t="str">
        <f t="shared" si="350"/>
        <v/>
      </c>
      <c r="AP804" s="543" t="str">
        <f t="shared" si="351"/>
        <v/>
      </c>
      <c r="AQ804" s="544" t="str">
        <f t="shared" si="352"/>
        <v/>
      </c>
      <c r="AR804" s="545">
        <f t="shared" si="353"/>
        <v>0</v>
      </c>
      <c r="AS804" s="545">
        <f>IFERROR(CEILING($AR804*VLOOKUP($I804,Ref!$B$23:$E$29,4,0),1),0)</f>
        <v>0</v>
      </c>
      <c r="AT804" s="545" t="str">
        <f>IF(A804="","",IF(AP804&lt;=1,"Cleared",IF(AS804=0,"Clean",VLOOKUP($AS804,Ref!$G$23:$H$28,2))))</f>
        <v/>
      </c>
      <c r="AU804" s="546" t="str">
        <f t="shared" si="354"/>
        <v/>
      </c>
    </row>
    <row r="805" spans="1:47" ht="14.25" hidden="1" customHeight="1" x14ac:dyDescent="0.15">
      <c r="A805" s="523"/>
      <c r="B805" s="523"/>
      <c r="C805" s="523"/>
      <c r="D805" s="523"/>
      <c r="E805" s="579"/>
      <c r="F805" s="580"/>
      <c r="G805" s="524"/>
      <c r="H805" s="555"/>
      <c r="I805" s="560"/>
      <c r="J805" s="523"/>
      <c r="K805" s="528" t="str">
        <f>IFERROR(VLOOKUP($B805,'Clients-Live'!$A:$C,3,0),"")</f>
        <v/>
      </c>
      <c r="L805" s="528">
        <f>IF(E805="STL",Pricing!$D$38,IF(A805="",0,IF(A805&lt;Pricing!$C$25,Pricing!$D$25,VLOOKUP(Disbursements!$F805,Pricing!$B$29:$D$32,3))))</f>
        <v>0</v>
      </c>
      <c r="M805" s="528">
        <f>IF(E805="STL",0,IF(F805&gt;0,Pricing!$D$21,0))</f>
        <v>0</v>
      </c>
      <c r="N805" s="529">
        <f>IF(E805="STL",F805*Pricing!$D$40,IF(A805&lt;=Pricing!$C$4,0,IF(AND(A805&gt;Pricing!$C$4,Disbursements!A805&lt;=Pricing!$C$5),F805*Pricing!$E$5,IF(AND(A805&gt;Pricing!$C$5,Disbursements!A805&lt;=Pricing!$C$7),VLOOKUP(F805,Pricing!$D$7:$E$8,2)*Disbursements!F805,F805*Pricing!$E$9))))</f>
        <v>0</v>
      </c>
      <c r="O805" s="528">
        <f>IF(E805="STL",0,IF($F805&gt;0,$F805*Pricing!$D$17,0))</f>
        <v>0</v>
      </c>
      <c r="P805" s="530" t="str">
        <f t="shared" si="334"/>
        <v/>
      </c>
      <c r="Q805" s="531" t="str">
        <f>IF($A805="","",$G805/VLOOKUP($I805,Ref!$B$23:$D$29,2,0))</f>
        <v/>
      </c>
      <c r="R805" s="530" t="str">
        <f t="shared" si="335"/>
        <v/>
      </c>
      <c r="S805" s="532" t="str">
        <f t="shared" si="329"/>
        <v/>
      </c>
      <c r="T805" s="531" t="str">
        <f t="shared" si="336"/>
        <v/>
      </c>
      <c r="U805" s="533">
        <f t="shared" si="337"/>
        <v>0</v>
      </c>
      <c r="V805" s="531" t="str">
        <f t="shared" si="338"/>
        <v/>
      </c>
      <c r="W805" s="531" t="str">
        <f t="shared" si="339"/>
        <v/>
      </c>
      <c r="X805" s="534" t="str">
        <f t="shared" si="340"/>
        <v/>
      </c>
      <c r="Y805" s="535" t="str">
        <f>IF($A805="","",IF($I805="weekly",$A805+7,EDATE($A805,VLOOKUP($I805,Ref!$B$24:$C$29,2,0))))</f>
        <v/>
      </c>
      <c r="Z805" s="536" t="str">
        <f t="shared" si="341"/>
        <v/>
      </c>
      <c r="AA805" s="531">
        <f t="shared" si="342"/>
        <v>0</v>
      </c>
      <c r="AB805" s="535" t="str">
        <f t="shared" si="330"/>
        <v/>
      </c>
      <c r="AC805" s="537" t="str">
        <f t="shared" si="331"/>
        <v/>
      </c>
      <c r="AD805" s="538" t="str">
        <f t="shared" ca="1" si="332"/>
        <v/>
      </c>
      <c r="AE805" s="537">
        <f t="shared" ca="1" si="333"/>
        <v>0</v>
      </c>
      <c r="AF805" s="539" t="str">
        <f t="shared" ca="1" si="343"/>
        <v/>
      </c>
      <c r="AG805" s="531" t="str">
        <f t="shared" ca="1" si="344"/>
        <v/>
      </c>
      <c r="AH805" s="531" t="str">
        <f t="shared" ca="1" si="345"/>
        <v/>
      </c>
      <c r="AI805" s="531" t="str">
        <f t="shared" ca="1" si="346"/>
        <v/>
      </c>
      <c r="AJ805" s="531" t="str">
        <f t="shared" si="347"/>
        <v/>
      </c>
      <c r="AK805" s="540">
        <f>SUMIFS('Live Collections'!$S:$S,'Live Collections'!$D:$D,Disbursements!B805,'Live Collections'!$G:$G,Disbursements!C805)</f>
        <v>0</v>
      </c>
      <c r="AL805" s="540">
        <f>SUMIFS('Live Collections'!$T:$T,'Live Collections'!$D:$D,Disbursements!B805,'Live Collections'!$G:$G,Disbursements!C805)</f>
        <v>0</v>
      </c>
      <c r="AM805" s="541">
        <f t="shared" si="348"/>
        <v>0</v>
      </c>
      <c r="AN805" s="542" t="str">
        <f t="shared" si="349"/>
        <v/>
      </c>
      <c r="AO805" s="542" t="str">
        <f t="shared" si="350"/>
        <v/>
      </c>
      <c r="AP805" s="543" t="str">
        <f t="shared" si="351"/>
        <v/>
      </c>
      <c r="AQ805" s="544" t="str">
        <f t="shared" si="352"/>
        <v/>
      </c>
      <c r="AR805" s="545">
        <f t="shared" si="353"/>
        <v>0</v>
      </c>
      <c r="AS805" s="545">
        <f>IFERROR(CEILING($AR805*VLOOKUP($I805,Ref!$B$23:$E$29,4,0),1),0)</f>
        <v>0</v>
      </c>
      <c r="AT805" s="545" t="str">
        <f>IF(A805="","",IF(AP805&lt;=1,"Cleared",IF(AS805=0,"Clean",VLOOKUP($AS805,Ref!$G$23:$H$28,2))))</f>
        <v/>
      </c>
      <c r="AU805" s="546" t="str">
        <f t="shared" si="354"/>
        <v/>
      </c>
    </row>
    <row r="806" spans="1:47" ht="14.25" hidden="1" customHeight="1" x14ac:dyDescent="0.15">
      <c r="A806" s="523"/>
      <c r="B806" s="523"/>
      <c r="C806" s="523"/>
      <c r="D806" s="523"/>
      <c r="E806" s="579"/>
      <c r="F806" s="580"/>
      <c r="G806" s="524"/>
      <c r="H806" s="555"/>
      <c r="I806" s="560"/>
      <c r="J806" s="523"/>
      <c r="K806" s="528" t="str">
        <f>IFERROR(VLOOKUP($B806,'Clients-Live'!$A:$C,3,0),"")</f>
        <v/>
      </c>
      <c r="L806" s="528">
        <f>IF(E806="STL",Pricing!$D$38,IF(A806="",0,IF(A806&lt;Pricing!$C$25,Pricing!$D$25,VLOOKUP(Disbursements!$F806,Pricing!$B$29:$D$32,3))))</f>
        <v>0</v>
      </c>
      <c r="M806" s="528">
        <f>IF(E806="STL",0,IF(F806&gt;0,Pricing!$D$21,0))</f>
        <v>0</v>
      </c>
      <c r="N806" s="529">
        <f>IF(E806="STL",F806*Pricing!$D$40,IF(A806&lt;=Pricing!$C$4,0,IF(AND(A806&gt;Pricing!$C$4,Disbursements!A806&lt;=Pricing!$C$5),F806*Pricing!$E$5,IF(AND(A806&gt;Pricing!$C$5,Disbursements!A806&lt;=Pricing!$C$7),VLOOKUP(F806,Pricing!$D$7:$E$8,2)*Disbursements!F806,F806*Pricing!$E$9))))</f>
        <v>0</v>
      </c>
      <c r="O806" s="528">
        <f>IF(E806="STL",0,IF($F806&gt;0,$F806*Pricing!$D$17,0))</f>
        <v>0</v>
      </c>
      <c r="P806" s="530" t="str">
        <f t="shared" si="334"/>
        <v/>
      </c>
      <c r="Q806" s="531" t="str">
        <f>IF($A806="","",$G806/VLOOKUP($I806,Ref!$B$23:$D$29,2,0))</f>
        <v/>
      </c>
      <c r="R806" s="530" t="str">
        <f t="shared" si="335"/>
        <v/>
      </c>
      <c r="S806" s="532" t="str">
        <f t="shared" si="329"/>
        <v/>
      </c>
      <c r="T806" s="531" t="str">
        <f t="shared" si="336"/>
        <v/>
      </c>
      <c r="U806" s="533">
        <f t="shared" si="337"/>
        <v>0</v>
      </c>
      <c r="V806" s="531" t="str">
        <f t="shared" si="338"/>
        <v/>
      </c>
      <c r="W806" s="531" t="str">
        <f t="shared" si="339"/>
        <v/>
      </c>
      <c r="X806" s="534" t="str">
        <f t="shared" si="340"/>
        <v/>
      </c>
      <c r="Y806" s="535" t="str">
        <f>IF($A806="","",IF($I806="weekly",$A806+7,EDATE($A806,VLOOKUP($I806,Ref!$B$24:$C$29,2,0))))</f>
        <v/>
      </c>
      <c r="Z806" s="536" t="str">
        <f t="shared" si="341"/>
        <v/>
      </c>
      <c r="AA806" s="531">
        <f t="shared" si="342"/>
        <v>0</v>
      </c>
      <c r="AB806" s="535" t="str">
        <f t="shared" si="330"/>
        <v/>
      </c>
      <c r="AC806" s="537" t="str">
        <f t="shared" si="331"/>
        <v/>
      </c>
      <c r="AD806" s="538" t="str">
        <f t="shared" ca="1" si="332"/>
        <v/>
      </c>
      <c r="AE806" s="537">
        <f t="shared" ca="1" si="333"/>
        <v>0</v>
      </c>
      <c r="AF806" s="539" t="str">
        <f t="shared" ca="1" si="343"/>
        <v/>
      </c>
      <c r="AG806" s="531" t="str">
        <f t="shared" ca="1" si="344"/>
        <v/>
      </c>
      <c r="AH806" s="531" t="str">
        <f t="shared" ca="1" si="345"/>
        <v/>
      </c>
      <c r="AI806" s="531" t="str">
        <f t="shared" ca="1" si="346"/>
        <v/>
      </c>
      <c r="AJ806" s="531" t="str">
        <f t="shared" si="347"/>
        <v/>
      </c>
      <c r="AK806" s="540">
        <f>SUMIFS('Live Collections'!$S:$S,'Live Collections'!$D:$D,Disbursements!B806,'Live Collections'!$G:$G,Disbursements!C806)</f>
        <v>0</v>
      </c>
      <c r="AL806" s="540">
        <f>SUMIFS('Live Collections'!$T:$T,'Live Collections'!$D:$D,Disbursements!B806,'Live Collections'!$G:$G,Disbursements!C806)</f>
        <v>0</v>
      </c>
      <c r="AM806" s="541">
        <f t="shared" si="348"/>
        <v>0</v>
      </c>
      <c r="AN806" s="542" t="str">
        <f t="shared" si="349"/>
        <v/>
      </c>
      <c r="AO806" s="542" t="str">
        <f t="shared" si="350"/>
        <v/>
      </c>
      <c r="AP806" s="543" t="str">
        <f t="shared" si="351"/>
        <v/>
      </c>
      <c r="AQ806" s="544" t="str">
        <f t="shared" si="352"/>
        <v/>
      </c>
      <c r="AR806" s="545">
        <f t="shared" si="353"/>
        <v>0</v>
      </c>
      <c r="AS806" s="545">
        <f>IFERROR(CEILING($AR806*VLOOKUP($I806,Ref!$B$23:$E$29,4,0),1),0)</f>
        <v>0</v>
      </c>
      <c r="AT806" s="545" t="str">
        <f>IF(A806="","",IF(AP806&lt;=1,"Cleared",IF(AS806=0,"Clean",VLOOKUP($AS806,Ref!$G$23:$H$28,2))))</f>
        <v/>
      </c>
      <c r="AU806" s="546" t="str">
        <f t="shared" si="354"/>
        <v/>
      </c>
    </row>
    <row r="807" spans="1:47" ht="14.25" hidden="1" customHeight="1" x14ac:dyDescent="0.15">
      <c r="A807" s="523"/>
      <c r="B807" s="523"/>
      <c r="C807" s="523"/>
      <c r="D807" s="523"/>
      <c r="E807" s="579"/>
      <c r="F807" s="580"/>
      <c r="G807" s="524"/>
      <c r="H807" s="555"/>
      <c r="I807" s="560"/>
      <c r="J807" s="523"/>
      <c r="K807" s="528" t="str">
        <f>IFERROR(VLOOKUP($B807,'Clients-Live'!$A:$C,3,0),"")</f>
        <v/>
      </c>
      <c r="L807" s="528">
        <f>IF(E807="STL",Pricing!$D$38,IF(A807="",0,IF(A807&lt;Pricing!$C$25,Pricing!$D$25,VLOOKUP(Disbursements!$F807,Pricing!$B$29:$D$32,3))))</f>
        <v>0</v>
      </c>
      <c r="M807" s="528">
        <f>IF(E807="STL",0,IF(F807&gt;0,Pricing!$D$21,0))</f>
        <v>0</v>
      </c>
      <c r="N807" s="529">
        <f>IF(E807="STL",F807*Pricing!$D$40,IF(A807&lt;=Pricing!$C$4,0,IF(AND(A807&gt;Pricing!$C$4,Disbursements!A807&lt;=Pricing!$C$5),F807*Pricing!$E$5,IF(AND(A807&gt;Pricing!$C$5,Disbursements!A807&lt;=Pricing!$C$7),VLOOKUP(F807,Pricing!$D$7:$E$8,2)*Disbursements!F807,F807*Pricing!$E$9))))</f>
        <v>0</v>
      </c>
      <c r="O807" s="528">
        <f>IF(E807="STL",0,IF($F807&gt;0,$F807*Pricing!$D$17,0))</f>
        <v>0</v>
      </c>
      <c r="P807" s="530" t="str">
        <f t="shared" si="334"/>
        <v/>
      </c>
      <c r="Q807" s="531" t="str">
        <f>IF($A807="","",$G807/VLOOKUP($I807,Ref!$B$23:$D$29,2,0))</f>
        <v/>
      </c>
      <c r="R807" s="530" t="str">
        <f t="shared" si="335"/>
        <v/>
      </c>
      <c r="S807" s="532" t="str">
        <f t="shared" si="329"/>
        <v/>
      </c>
      <c r="T807" s="531" t="str">
        <f t="shared" si="336"/>
        <v/>
      </c>
      <c r="U807" s="533">
        <f t="shared" si="337"/>
        <v>0</v>
      </c>
      <c r="V807" s="531" t="str">
        <f t="shared" si="338"/>
        <v/>
      </c>
      <c r="W807" s="531" t="str">
        <f t="shared" si="339"/>
        <v/>
      </c>
      <c r="X807" s="534" t="str">
        <f t="shared" si="340"/>
        <v/>
      </c>
      <c r="Y807" s="535" t="str">
        <f>IF($A807="","",IF($I807="weekly",$A807+7,EDATE($A807,VLOOKUP($I807,Ref!$B$24:$C$29,2,0))))</f>
        <v/>
      </c>
      <c r="Z807" s="536" t="str">
        <f t="shared" si="341"/>
        <v/>
      </c>
      <c r="AA807" s="531">
        <f t="shared" si="342"/>
        <v>0</v>
      </c>
      <c r="AB807" s="535" t="str">
        <f t="shared" si="330"/>
        <v/>
      </c>
      <c r="AC807" s="537" t="str">
        <f t="shared" si="331"/>
        <v/>
      </c>
      <c r="AD807" s="538" t="str">
        <f t="shared" ca="1" si="332"/>
        <v/>
      </c>
      <c r="AE807" s="537">
        <f t="shared" ca="1" si="333"/>
        <v>0</v>
      </c>
      <c r="AF807" s="539" t="str">
        <f t="shared" ca="1" si="343"/>
        <v/>
      </c>
      <c r="AG807" s="531" t="str">
        <f t="shared" ca="1" si="344"/>
        <v/>
      </c>
      <c r="AH807" s="531" t="str">
        <f t="shared" ca="1" si="345"/>
        <v/>
      </c>
      <c r="AI807" s="531" t="str">
        <f t="shared" ca="1" si="346"/>
        <v/>
      </c>
      <c r="AJ807" s="531" t="str">
        <f t="shared" si="347"/>
        <v/>
      </c>
      <c r="AK807" s="540">
        <f>SUMIFS('Live Collections'!$S:$S,'Live Collections'!$D:$D,Disbursements!B807,'Live Collections'!$G:$G,Disbursements!C807)</f>
        <v>0</v>
      </c>
      <c r="AL807" s="540">
        <f>SUMIFS('Live Collections'!$T:$T,'Live Collections'!$D:$D,Disbursements!B807,'Live Collections'!$G:$G,Disbursements!C807)</f>
        <v>0</v>
      </c>
      <c r="AM807" s="541">
        <f t="shared" si="348"/>
        <v>0</v>
      </c>
      <c r="AN807" s="542" t="str">
        <f t="shared" si="349"/>
        <v/>
      </c>
      <c r="AO807" s="542" t="str">
        <f t="shared" si="350"/>
        <v/>
      </c>
      <c r="AP807" s="543" t="str">
        <f t="shared" si="351"/>
        <v/>
      </c>
      <c r="AQ807" s="544" t="str">
        <f t="shared" si="352"/>
        <v/>
      </c>
      <c r="AR807" s="545">
        <f t="shared" si="353"/>
        <v>0</v>
      </c>
      <c r="AS807" s="545">
        <f>IFERROR(CEILING($AR807*VLOOKUP($I807,Ref!$B$23:$E$29,4,0),1),0)</f>
        <v>0</v>
      </c>
      <c r="AT807" s="545" t="str">
        <f>IF(A807="","",IF(AP807&lt;=1,"Cleared",IF(AS807=0,"Clean",VLOOKUP($AS807,Ref!$G$23:$H$28,2))))</f>
        <v/>
      </c>
      <c r="AU807" s="546" t="str">
        <f t="shared" si="354"/>
        <v/>
      </c>
    </row>
    <row r="808" spans="1:47" ht="14.25" hidden="1" customHeight="1" x14ac:dyDescent="0.15">
      <c r="A808" s="523"/>
      <c r="B808" s="523"/>
      <c r="C808" s="523"/>
      <c r="D808" s="523"/>
      <c r="E808" s="579"/>
      <c r="F808" s="580"/>
      <c r="G808" s="524"/>
      <c r="H808" s="555"/>
      <c r="I808" s="560"/>
      <c r="J808" s="523"/>
      <c r="K808" s="528" t="str">
        <f>IFERROR(VLOOKUP($B808,'Clients-Live'!$A:$C,3,0),"")</f>
        <v/>
      </c>
      <c r="L808" s="528">
        <f>IF(E808="STL",Pricing!$D$38,IF(A808="",0,IF(A808&lt;Pricing!$C$25,Pricing!$D$25,VLOOKUP(Disbursements!$F808,Pricing!$B$29:$D$32,3))))</f>
        <v>0</v>
      </c>
      <c r="M808" s="528">
        <f>IF(E808="STL",0,IF(F808&gt;0,Pricing!$D$21,0))</f>
        <v>0</v>
      </c>
      <c r="N808" s="529">
        <f>IF(E808="STL",F808*Pricing!$D$40,IF(A808&lt;=Pricing!$C$4,0,IF(AND(A808&gt;Pricing!$C$4,Disbursements!A808&lt;=Pricing!$C$5),F808*Pricing!$E$5,IF(AND(A808&gt;Pricing!$C$5,Disbursements!A808&lt;=Pricing!$C$7),VLOOKUP(F808,Pricing!$D$7:$E$8,2)*Disbursements!F808,F808*Pricing!$E$9))))</f>
        <v>0</v>
      </c>
      <c r="O808" s="528">
        <f>IF(E808="STL",0,IF($F808&gt;0,$F808*Pricing!$D$17,0))</f>
        <v>0</v>
      </c>
      <c r="P808" s="530" t="str">
        <f t="shared" si="334"/>
        <v/>
      </c>
      <c r="Q808" s="531" t="str">
        <f>IF($A808="","",$G808/VLOOKUP($I808,Ref!$B$23:$D$29,2,0))</f>
        <v/>
      </c>
      <c r="R808" s="530" t="str">
        <f t="shared" si="335"/>
        <v/>
      </c>
      <c r="S808" s="532" t="str">
        <f t="shared" si="329"/>
        <v/>
      </c>
      <c r="T808" s="531" t="str">
        <f t="shared" si="336"/>
        <v/>
      </c>
      <c r="U808" s="533">
        <f t="shared" si="337"/>
        <v>0</v>
      </c>
      <c r="V808" s="531" t="str">
        <f t="shared" si="338"/>
        <v/>
      </c>
      <c r="W808" s="531" t="str">
        <f t="shared" si="339"/>
        <v/>
      </c>
      <c r="X808" s="534" t="str">
        <f t="shared" si="340"/>
        <v/>
      </c>
      <c r="Y808" s="535" t="str">
        <f>IF($A808="","",IF($I808="weekly",$A808+7,EDATE($A808,VLOOKUP($I808,Ref!$B$24:$C$29,2,0))))</f>
        <v/>
      </c>
      <c r="Z808" s="536" t="str">
        <f t="shared" si="341"/>
        <v/>
      </c>
      <c r="AA808" s="531">
        <f t="shared" si="342"/>
        <v>0</v>
      </c>
      <c r="AB808" s="535" t="str">
        <f t="shared" si="330"/>
        <v/>
      </c>
      <c r="AC808" s="537" t="str">
        <f t="shared" si="331"/>
        <v/>
      </c>
      <c r="AD808" s="538" t="str">
        <f t="shared" ca="1" si="332"/>
        <v/>
      </c>
      <c r="AE808" s="537">
        <f t="shared" ca="1" si="333"/>
        <v>0</v>
      </c>
      <c r="AF808" s="539" t="str">
        <f t="shared" ca="1" si="343"/>
        <v/>
      </c>
      <c r="AG808" s="531" t="str">
        <f t="shared" ca="1" si="344"/>
        <v/>
      </c>
      <c r="AH808" s="531" t="str">
        <f t="shared" ca="1" si="345"/>
        <v/>
      </c>
      <c r="AI808" s="531" t="str">
        <f t="shared" ca="1" si="346"/>
        <v/>
      </c>
      <c r="AJ808" s="531" t="str">
        <f t="shared" si="347"/>
        <v/>
      </c>
      <c r="AK808" s="540">
        <f>SUMIFS('Live Collections'!$S:$S,'Live Collections'!$D:$D,Disbursements!B808,'Live Collections'!$G:$G,Disbursements!C808)</f>
        <v>0</v>
      </c>
      <c r="AL808" s="540">
        <f>SUMIFS('Live Collections'!$T:$T,'Live Collections'!$D:$D,Disbursements!B808,'Live Collections'!$G:$G,Disbursements!C808)</f>
        <v>0</v>
      </c>
      <c r="AM808" s="541">
        <f t="shared" si="348"/>
        <v>0</v>
      </c>
      <c r="AN808" s="542" t="str">
        <f t="shared" si="349"/>
        <v/>
      </c>
      <c r="AO808" s="542" t="str">
        <f t="shared" si="350"/>
        <v/>
      </c>
      <c r="AP808" s="543" t="str">
        <f t="shared" si="351"/>
        <v/>
      </c>
      <c r="AQ808" s="544" t="str">
        <f t="shared" si="352"/>
        <v/>
      </c>
      <c r="AR808" s="545">
        <f t="shared" si="353"/>
        <v>0</v>
      </c>
      <c r="AS808" s="545">
        <f>IFERROR(CEILING($AR808*VLOOKUP($I808,Ref!$B$23:$E$29,4,0),1),0)</f>
        <v>0</v>
      </c>
      <c r="AT808" s="545" t="str">
        <f>IF(A808="","",IF(AP808&lt;=1,"Cleared",IF(AS808=0,"Clean",VLOOKUP($AS808,Ref!$G$23:$H$28,2))))</f>
        <v/>
      </c>
      <c r="AU808" s="546" t="str">
        <f t="shared" si="354"/>
        <v/>
      </c>
    </row>
    <row r="809" spans="1:47" ht="14.25" hidden="1" customHeight="1" x14ac:dyDescent="0.15">
      <c r="A809" s="523"/>
      <c r="B809" s="523"/>
      <c r="C809" s="523"/>
      <c r="D809" s="523"/>
      <c r="E809" s="579"/>
      <c r="F809" s="580"/>
      <c r="G809" s="524"/>
      <c r="H809" s="555"/>
      <c r="I809" s="560"/>
      <c r="J809" s="523"/>
      <c r="K809" s="528" t="str">
        <f>IFERROR(VLOOKUP($B809,'Clients-Live'!$A:$C,3,0),"")</f>
        <v/>
      </c>
      <c r="L809" s="528">
        <f>IF(E809="STL",Pricing!$D$38,IF(A809="",0,IF(A809&lt;Pricing!$C$25,Pricing!$D$25,VLOOKUP(Disbursements!$F809,Pricing!$B$29:$D$32,3))))</f>
        <v>0</v>
      </c>
      <c r="M809" s="528">
        <f>IF(E809="STL",0,IF(F809&gt;0,Pricing!$D$21,0))</f>
        <v>0</v>
      </c>
      <c r="N809" s="529">
        <f>IF(E809="STL",F809*Pricing!$D$40,IF(A809&lt;=Pricing!$C$4,0,IF(AND(A809&gt;Pricing!$C$4,Disbursements!A809&lt;=Pricing!$C$5),F809*Pricing!$E$5,IF(AND(A809&gt;Pricing!$C$5,Disbursements!A809&lt;=Pricing!$C$7),VLOOKUP(F809,Pricing!$D$7:$E$8,2)*Disbursements!F809,F809*Pricing!$E$9))))</f>
        <v>0</v>
      </c>
      <c r="O809" s="528">
        <f>IF(E809="STL",0,IF($F809&gt;0,$F809*Pricing!$D$17,0))</f>
        <v>0</v>
      </c>
      <c r="P809" s="530" t="str">
        <f t="shared" si="334"/>
        <v/>
      </c>
      <c r="Q809" s="531" t="str">
        <f>IF($A809="","",$G809/VLOOKUP($I809,Ref!$B$23:$D$29,2,0))</f>
        <v/>
      </c>
      <c r="R809" s="530" t="str">
        <f t="shared" si="335"/>
        <v/>
      </c>
      <c r="S809" s="532" t="str">
        <f t="shared" si="329"/>
        <v/>
      </c>
      <c r="T809" s="531" t="str">
        <f t="shared" si="336"/>
        <v/>
      </c>
      <c r="U809" s="533">
        <f t="shared" si="337"/>
        <v>0</v>
      </c>
      <c r="V809" s="531" t="str">
        <f t="shared" si="338"/>
        <v/>
      </c>
      <c r="W809" s="531" t="str">
        <f t="shared" si="339"/>
        <v/>
      </c>
      <c r="X809" s="534" t="str">
        <f t="shared" si="340"/>
        <v/>
      </c>
      <c r="Y809" s="535" t="str">
        <f>IF($A809="","",IF($I809="weekly",$A809+7,EDATE($A809,VLOOKUP($I809,Ref!$B$24:$C$29,2,0))))</f>
        <v/>
      </c>
      <c r="Z809" s="536" t="str">
        <f t="shared" si="341"/>
        <v/>
      </c>
      <c r="AA809" s="531">
        <f t="shared" si="342"/>
        <v>0</v>
      </c>
      <c r="AB809" s="535" t="str">
        <f t="shared" si="330"/>
        <v/>
      </c>
      <c r="AC809" s="537" t="str">
        <f t="shared" si="331"/>
        <v/>
      </c>
      <c r="AD809" s="538" t="str">
        <f t="shared" ca="1" si="332"/>
        <v/>
      </c>
      <c r="AE809" s="537">
        <f t="shared" ca="1" si="333"/>
        <v>0</v>
      </c>
      <c r="AF809" s="539" t="str">
        <f t="shared" ca="1" si="343"/>
        <v/>
      </c>
      <c r="AG809" s="531" t="str">
        <f t="shared" ca="1" si="344"/>
        <v/>
      </c>
      <c r="AH809" s="531" t="str">
        <f t="shared" ca="1" si="345"/>
        <v/>
      </c>
      <c r="AI809" s="531" t="str">
        <f t="shared" ca="1" si="346"/>
        <v/>
      </c>
      <c r="AJ809" s="531" t="str">
        <f t="shared" si="347"/>
        <v/>
      </c>
      <c r="AK809" s="540">
        <f>SUMIFS('Live Collections'!$S:$S,'Live Collections'!$D:$D,Disbursements!B809,'Live Collections'!$G:$G,Disbursements!C809)</f>
        <v>0</v>
      </c>
      <c r="AL809" s="540">
        <f>SUMIFS('Live Collections'!$T:$T,'Live Collections'!$D:$D,Disbursements!B809,'Live Collections'!$G:$G,Disbursements!C809)</f>
        <v>0</v>
      </c>
      <c r="AM809" s="541">
        <f t="shared" si="348"/>
        <v>0</v>
      </c>
      <c r="AN809" s="542" t="str">
        <f t="shared" si="349"/>
        <v/>
      </c>
      <c r="AO809" s="542" t="str">
        <f t="shared" si="350"/>
        <v/>
      </c>
      <c r="AP809" s="543" t="str">
        <f t="shared" si="351"/>
        <v/>
      </c>
      <c r="AQ809" s="544" t="str">
        <f t="shared" si="352"/>
        <v/>
      </c>
      <c r="AR809" s="545">
        <f t="shared" si="353"/>
        <v>0</v>
      </c>
      <c r="AS809" s="545">
        <f>IFERROR(CEILING($AR809*VLOOKUP($I809,Ref!$B$23:$E$29,4,0),1),0)</f>
        <v>0</v>
      </c>
      <c r="AT809" s="545" t="str">
        <f>IF(A809="","",IF(AP809&lt;=1,"Cleared",IF(AS809=0,"Clean",VLOOKUP($AS809,Ref!$G$23:$H$28,2))))</f>
        <v/>
      </c>
      <c r="AU809" s="546" t="str">
        <f t="shared" si="354"/>
        <v/>
      </c>
    </row>
    <row r="810" spans="1:47" ht="14.25" hidden="1" customHeight="1" x14ac:dyDescent="0.15">
      <c r="A810" s="523"/>
      <c r="B810" s="523"/>
      <c r="C810" s="523"/>
      <c r="D810" s="523"/>
      <c r="E810" s="579"/>
      <c r="F810" s="580"/>
      <c r="G810" s="524"/>
      <c r="H810" s="555"/>
      <c r="I810" s="560"/>
      <c r="J810" s="523"/>
      <c r="K810" s="528" t="str">
        <f>IFERROR(VLOOKUP($B810,'Clients-Live'!$A:$C,3,0),"")</f>
        <v/>
      </c>
      <c r="L810" s="528">
        <f>IF(E810="STL",Pricing!$D$38,IF(A810="",0,IF(A810&lt;Pricing!$C$25,Pricing!$D$25,VLOOKUP(Disbursements!$F810,Pricing!$B$29:$D$32,3))))</f>
        <v>0</v>
      </c>
      <c r="M810" s="528">
        <f>IF(E810="STL",0,IF(F810&gt;0,Pricing!$D$21,0))</f>
        <v>0</v>
      </c>
      <c r="N810" s="529">
        <f>IF(E810="STL",F810*Pricing!$D$40,IF(A810&lt;=Pricing!$C$4,0,IF(AND(A810&gt;Pricing!$C$4,Disbursements!A810&lt;=Pricing!$C$5),F810*Pricing!$E$5,IF(AND(A810&gt;Pricing!$C$5,Disbursements!A810&lt;=Pricing!$C$7),VLOOKUP(F810,Pricing!$D$7:$E$8,2)*Disbursements!F810,F810*Pricing!$E$9))))</f>
        <v>0</v>
      </c>
      <c r="O810" s="528">
        <f>IF(E810="STL",0,IF($F810&gt;0,$F810*Pricing!$D$17,0))</f>
        <v>0</v>
      </c>
      <c r="P810" s="530" t="str">
        <f t="shared" si="334"/>
        <v/>
      </c>
      <c r="Q810" s="531" t="str">
        <f>IF($A810="","",$G810/VLOOKUP($I810,Ref!$B$23:$D$29,2,0))</f>
        <v/>
      </c>
      <c r="R810" s="530" t="str">
        <f t="shared" si="335"/>
        <v/>
      </c>
      <c r="S810" s="532" t="str">
        <f t="shared" si="329"/>
        <v/>
      </c>
      <c r="T810" s="531" t="str">
        <f t="shared" si="336"/>
        <v/>
      </c>
      <c r="U810" s="533">
        <f t="shared" si="337"/>
        <v>0</v>
      </c>
      <c r="V810" s="531" t="str">
        <f t="shared" si="338"/>
        <v/>
      </c>
      <c r="W810" s="531" t="str">
        <f t="shared" si="339"/>
        <v/>
      </c>
      <c r="X810" s="534" t="str">
        <f t="shared" si="340"/>
        <v/>
      </c>
      <c r="Y810" s="535" t="str">
        <f>IF($A810="","",IF($I810="weekly",$A810+7,EDATE($A810,VLOOKUP($I810,Ref!$B$24:$C$29,2,0))))</f>
        <v/>
      </c>
      <c r="Z810" s="536" t="str">
        <f t="shared" si="341"/>
        <v/>
      </c>
      <c r="AA810" s="531">
        <f t="shared" si="342"/>
        <v>0</v>
      </c>
      <c r="AB810" s="535" t="str">
        <f t="shared" si="330"/>
        <v/>
      </c>
      <c r="AC810" s="537" t="str">
        <f t="shared" si="331"/>
        <v/>
      </c>
      <c r="AD810" s="538" t="str">
        <f t="shared" ca="1" si="332"/>
        <v/>
      </c>
      <c r="AE810" s="537">
        <f t="shared" ca="1" si="333"/>
        <v>0</v>
      </c>
      <c r="AF810" s="539" t="str">
        <f t="shared" ca="1" si="343"/>
        <v/>
      </c>
      <c r="AG810" s="531" t="str">
        <f t="shared" ca="1" si="344"/>
        <v/>
      </c>
      <c r="AH810" s="531" t="str">
        <f t="shared" ca="1" si="345"/>
        <v/>
      </c>
      <c r="AI810" s="531" t="str">
        <f t="shared" ca="1" si="346"/>
        <v/>
      </c>
      <c r="AJ810" s="531" t="str">
        <f t="shared" si="347"/>
        <v/>
      </c>
      <c r="AK810" s="540">
        <f>SUMIFS('Live Collections'!$S:$S,'Live Collections'!$D:$D,Disbursements!B810,'Live Collections'!$G:$G,Disbursements!C810)</f>
        <v>0</v>
      </c>
      <c r="AL810" s="540">
        <f>SUMIFS('Live Collections'!$T:$T,'Live Collections'!$D:$D,Disbursements!B810,'Live Collections'!$G:$G,Disbursements!C810)</f>
        <v>0</v>
      </c>
      <c r="AM810" s="541">
        <f t="shared" si="348"/>
        <v>0</v>
      </c>
      <c r="AN810" s="542" t="str">
        <f t="shared" si="349"/>
        <v/>
      </c>
      <c r="AO810" s="542" t="str">
        <f t="shared" si="350"/>
        <v/>
      </c>
      <c r="AP810" s="543" t="str">
        <f t="shared" si="351"/>
        <v/>
      </c>
      <c r="AQ810" s="544" t="str">
        <f t="shared" si="352"/>
        <v/>
      </c>
      <c r="AR810" s="545">
        <f t="shared" si="353"/>
        <v>0</v>
      </c>
      <c r="AS810" s="545">
        <f>IFERROR(CEILING($AR810*VLOOKUP($I810,Ref!$B$23:$E$29,4,0),1),0)</f>
        <v>0</v>
      </c>
      <c r="AT810" s="545" t="str">
        <f>IF(A810="","",IF(AP810&lt;=1,"Cleared",IF(AS810=0,"Clean",VLOOKUP($AS810,Ref!$G$23:$H$28,2))))</f>
        <v/>
      </c>
      <c r="AU810" s="546" t="str">
        <f t="shared" si="354"/>
        <v/>
      </c>
    </row>
    <row r="811" spans="1:47" ht="14.25" hidden="1" customHeight="1" x14ac:dyDescent="0.15">
      <c r="A811" s="523"/>
      <c r="B811" s="523"/>
      <c r="C811" s="523"/>
      <c r="D811" s="523"/>
      <c r="E811" s="579"/>
      <c r="F811" s="580"/>
      <c r="G811" s="524"/>
      <c r="H811" s="555"/>
      <c r="I811" s="560"/>
      <c r="J811" s="523"/>
      <c r="K811" s="528" t="str">
        <f>IFERROR(VLOOKUP($B811,'Clients-Live'!$A:$C,3,0),"")</f>
        <v/>
      </c>
      <c r="L811" s="528">
        <f>IF(E811="STL",Pricing!$D$38,IF(A811="",0,IF(A811&lt;Pricing!$C$25,Pricing!$D$25,VLOOKUP(Disbursements!$F811,Pricing!$B$29:$D$32,3))))</f>
        <v>0</v>
      </c>
      <c r="M811" s="528">
        <f>IF(E811="STL",0,IF(F811&gt;0,Pricing!$D$21,0))</f>
        <v>0</v>
      </c>
      <c r="N811" s="529">
        <f>IF(E811="STL",F811*Pricing!$D$40,IF(A811&lt;=Pricing!$C$4,0,IF(AND(A811&gt;Pricing!$C$4,Disbursements!A811&lt;=Pricing!$C$5),F811*Pricing!$E$5,IF(AND(A811&gt;Pricing!$C$5,Disbursements!A811&lt;=Pricing!$C$7),VLOOKUP(F811,Pricing!$D$7:$E$8,2)*Disbursements!F811,F811*Pricing!$E$9))))</f>
        <v>0</v>
      </c>
      <c r="O811" s="528">
        <f>IF(E811="STL",0,IF($F811&gt;0,$F811*Pricing!$D$17,0))</f>
        <v>0</v>
      </c>
      <c r="P811" s="530" t="str">
        <f t="shared" si="334"/>
        <v/>
      </c>
      <c r="Q811" s="531" t="str">
        <f>IF($A811="","",$G811/VLOOKUP($I811,Ref!$B$23:$D$29,2,0))</f>
        <v/>
      </c>
      <c r="R811" s="530" t="str">
        <f t="shared" si="335"/>
        <v/>
      </c>
      <c r="S811" s="532" t="str">
        <f t="shared" si="329"/>
        <v/>
      </c>
      <c r="T811" s="531" t="str">
        <f t="shared" si="336"/>
        <v/>
      </c>
      <c r="U811" s="533">
        <f t="shared" si="337"/>
        <v>0</v>
      </c>
      <c r="V811" s="531" t="str">
        <f t="shared" si="338"/>
        <v/>
      </c>
      <c r="W811" s="531" t="str">
        <f t="shared" si="339"/>
        <v/>
      </c>
      <c r="X811" s="534" t="str">
        <f t="shared" si="340"/>
        <v/>
      </c>
      <c r="Y811" s="535" t="str">
        <f>IF($A811="","",IF($I811="weekly",$A811+7,EDATE($A811,VLOOKUP($I811,Ref!$B$24:$C$29,2,0))))</f>
        <v/>
      </c>
      <c r="Z811" s="536" t="str">
        <f t="shared" si="341"/>
        <v/>
      </c>
      <c r="AA811" s="531">
        <f t="shared" si="342"/>
        <v>0</v>
      </c>
      <c r="AB811" s="535" t="str">
        <f t="shared" si="330"/>
        <v/>
      </c>
      <c r="AC811" s="537" t="str">
        <f t="shared" si="331"/>
        <v/>
      </c>
      <c r="AD811" s="538" t="str">
        <f t="shared" ca="1" si="332"/>
        <v/>
      </c>
      <c r="AE811" s="537">
        <f t="shared" ca="1" si="333"/>
        <v>0</v>
      </c>
      <c r="AF811" s="539" t="str">
        <f t="shared" ca="1" si="343"/>
        <v/>
      </c>
      <c r="AG811" s="531" t="str">
        <f t="shared" ca="1" si="344"/>
        <v/>
      </c>
      <c r="AH811" s="531" t="str">
        <f t="shared" ca="1" si="345"/>
        <v/>
      </c>
      <c r="AI811" s="531" t="str">
        <f t="shared" ca="1" si="346"/>
        <v/>
      </c>
      <c r="AJ811" s="531" t="str">
        <f t="shared" si="347"/>
        <v/>
      </c>
      <c r="AK811" s="540">
        <f>SUMIFS('Live Collections'!$S:$S,'Live Collections'!$D:$D,Disbursements!B811,'Live Collections'!$G:$G,Disbursements!C811)</f>
        <v>0</v>
      </c>
      <c r="AL811" s="540">
        <f>SUMIFS('Live Collections'!$T:$T,'Live Collections'!$D:$D,Disbursements!B811,'Live Collections'!$G:$G,Disbursements!C811)</f>
        <v>0</v>
      </c>
      <c r="AM811" s="541">
        <f t="shared" si="348"/>
        <v>0</v>
      </c>
      <c r="AN811" s="542" t="str">
        <f t="shared" si="349"/>
        <v/>
      </c>
      <c r="AO811" s="542" t="str">
        <f t="shared" si="350"/>
        <v/>
      </c>
      <c r="AP811" s="543" t="str">
        <f t="shared" si="351"/>
        <v/>
      </c>
      <c r="AQ811" s="544" t="str">
        <f t="shared" si="352"/>
        <v/>
      </c>
      <c r="AR811" s="545">
        <f t="shared" si="353"/>
        <v>0</v>
      </c>
      <c r="AS811" s="545">
        <f>IFERROR(CEILING($AR811*VLOOKUP($I811,Ref!$B$23:$E$29,4,0),1),0)</f>
        <v>0</v>
      </c>
      <c r="AT811" s="545" t="str">
        <f>IF(A811="","",IF(AP811&lt;=1,"Cleared",IF(AS811=0,"Clean",VLOOKUP($AS811,Ref!$G$23:$H$28,2))))</f>
        <v/>
      </c>
      <c r="AU811" s="546" t="str">
        <f t="shared" si="354"/>
        <v/>
      </c>
    </row>
    <row r="812" spans="1:47" ht="14.25" hidden="1" customHeight="1" x14ac:dyDescent="0.15">
      <c r="A812" s="523"/>
      <c r="B812" s="523"/>
      <c r="C812" s="523"/>
      <c r="D812" s="523"/>
      <c r="E812" s="579"/>
      <c r="F812" s="580"/>
      <c r="G812" s="524"/>
      <c r="H812" s="555"/>
      <c r="I812" s="560"/>
      <c r="J812" s="523"/>
      <c r="K812" s="528" t="str">
        <f>IFERROR(VLOOKUP($B812,'Clients-Live'!$A:$C,3,0),"")</f>
        <v/>
      </c>
      <c r="L812" s="528">
        <f>IF(E812="STL",Pricing!$D$38,IF(A812="",0,IF(A812&lt;Pricing!$C$25,Pricing!$D$25,VLOOKUP(Disbursements!$F812,Pricing!$B$29:$D$32,3))))</f>
        <v>0</v>
      </c>
      <c r="M812" s="528">
        <f>IF(E812="STL",0,IF(F812&gt;0,Pricing!$D$21,0))</f>
        <v>0</v>
      </c>
      <c r="N812" s="529">
        <f>IF(E812="STL",F812*Pricing!$D$40,IF(A812&lt;=Pricing!$C$4,0,IF(AND(A812&gt;Pricing!$C$4,Disbursements!A812&lt;=Pricing!$C$5),F812*Pricing!$E$5,IF(AND(A812&gt;Pricing!$C$5,Disbursements!A812&lt;=Pricing!$C$7),VLOOKUP(F812,Pricing!$D$7:$E$8,2)*Disbursements!F812,F812*Pricing!$E$9))))</f>
        <v>0</v>
      </c>
      <c r="O812" s="528">
        <f>IF(E812="STL",0,IF($F812&gt;0,$F812*Pricing!$D$17,0))</f>
        <v>0</v>
      </c>
      <c r="P812" s="530" t="str">
        <f t="shared" si="334"/>
        <v/>
      </c>
      <c r="Q812" s="531" t="str">
        <f>IF($A812="","",$G812/VLOOKUP($I812,Ref!$B$23:$D$29,2,0))</f>
        <v/>
      </c>
      <c r="R812" s="530" t="str">
        <f t="shared" si="335"/>
        <v/>
      </c>
      <c r="S812" s="532" t="str">
        <f t="shared" si="329"/>
        <v/>
      </c>
      <c r="T812" s="531" t="str">
        <f t="shared" si="336"/>
        <v/>
      </c>
      <c r="U812" s="533">
        <f t="shared" si="337"/>
        <v>0</v>
      </c>
      <c r="V812" s="531" t="str">
        <f t="shared" si="338"/>
        <v/>
      </c>
      <c r="W812" s="531" t="str">
        <f t="shared" si="339"/>
        <v/>
      </c>
      <c r="X812" s="534" t="str">
        <f t="shared" si="340"/>
        <v/>
      </c>
      <c r="Y812" s="535" t="str">
        <f>IF($A812="","",IF($I812="weekly",$A812+7,EDATE($A812,VLOOKUP($I812,Ref!$B$24:$C$29,2,0))))</f>
        <v/>
      </c>
      <c r="Z812" s="536" t="str">
        <f t="shared" si="341"/>
        <v/>
      </c>
      <c r="AA812" s="531">
        <f t="shared" si="342"/>
        <v>0</v>
      </c>
      <c r="AB812" s="535" t="str">
        <f t="shared" si="330"/>
        <v/>
      </c>
      <c r="AC812" s="537" t="str">
        <f t="shared" si="331"/>
        <v/>
      </c>
      <c r="AD812" s="538" t="str">
        <f t="shared" ca="1" si="332"/>
        <v/>
      </c>
      <c r="AE812" s="537">
        <f t="shared" ca="1" si="333"/>
        <v>0</v>
      </c>
      <c r="AF812" s="539" t="str">
        <f t="shared" ca="1" si="343"/>
        <v/>
      </c>
      <c r="AG812" s="531" t="str">
        <f t="shared" ca="1" si="344"/>
        <v/>
      </c>
      <c r="AH812" s="531" t="str">
        <f t="shared" ca="1" si="345"/>
        <v/>
      </c>
      <c r="AI812" s="531" t="str">
        <f t="shared" ca="1" si="346"/>
        <v/>
      </c>
      <c r="AJ812" s="531" t="str">
        <f t="shared" si="347"/>
        <v/>
      </c>
      <c r="AK812" s="540">
        <f>SUMIFS('Live Collections'!$S:$S,'Live Collections'!$D:$D,Disbursements!B812,'Live Collections'!$G:$G,Disbursements!C812)</f>
        <v>0</v>
      </c>
      <c r="AL812" s="540">
        <f>SUMIFS('Live Collections'!$T:$T,'Live Collections'!$D:$D,Disbursements!B812,'Live Collections'!$G:$G,Disbursements!C812)</f>
        <v>0</v>
      </c>
      <c r="AM812" s="541">
        <f t="shared" si="348"/>
        <v>0</v>
      </c>
      <c r="AN812" s="542" t="str">
        <f t="shared" si="349"/>
        <v/>
      </c>
      <c r="AO812" s="542" t="str">
        <f t="shared" si="350"/>
        <v/>
      </c>
      <c r="AP812" s="543" t="str">
        <f t="shared" si="351"/>
        <v/>
      </c>
      <c r="AQ812" s="544" t="str">
        <f t="shared" si="352"/>
        <v/>
      </c>
      <c r="AR812" s="545">
        <f t="shared" si="353"/>
        <v>0</v>
      </c>
      <c r="AS812" s="545">
        <f>IFERROR(CEILING($AR812*VLOOKUP($I812,Ref!$B$23:$E$29,4,0),1),0)</f>
        <v>0</v>
      </c>
      <c r="AT812" s="545" t="str">
        <f>IF(A812="","",IF(AP812&lt;=1,"Cleared",IF(AS812=0,"Clean",VLOOKUP($AS812,Ref!$G$23:$H$28,2))))</f>
        <v/>
      </c>
      <c r="AU812" s="546" t="str">
        <f t="shared" si="354"/>
        <v/>
      </c>
    </row>
    <row r="813" spans="1:47" ht="14.25" hidden="1" customHeight="1" x14ac:dyDescent="0.15">
      <c r="A813" s="523"/>
      <c r="B813" s="523"/>
      <c r="C813" s="523"/>
      <c r="D813" s="523"/>
      <c r="E813" s="579"/>
      <c r="F813" s="580"/>
      <c r="G813" s="524"/>
      <c r="H813" s="555"/>
      <c r="I813" s="560"/>
      <c r="J813" s="523"/>
      <c r="K813" s="528" t="str">
        <f>IFERROR(VLOOKUP($B813,'Clients-Live'!$A:$C,3,0),"")</f>
        <v/>
      </c>
      <c r="L813" s="528">
        <f>IF(E813="STL",Pricing!$D$38,IF(A813="",0,IF(A813&lt;Pricing!$C$25,Pricing!$D$25,VLOOKUP(Disbursements!$F813,Pricing!$B$29:$D$32,3))))</f>
        <v>0</v>
      </c>
      <c r="M813" s="528">
        <f>IF(E813="STL",0,IF(F813&gt;0,Pricing!$D$21,0))</f>
        <v>0</v>
      </c>
      <c r="N813" s="529">
        <f>IF(E813="STL",F813*Pricing!$D$40,IF(A813&lt;=Pricing!$C$4,0,IF(AND(A813&gt;Pricing!$C$4,Disbursements!A813&lt;=Pricing!$C$5),F813*Pricing!$E$5,IF(AND(A813&gt;Pricing!$C$5,Disbursements!A813&lt;=Pricing!$C$7),VLOOKUP(F813,Pricing!$D$7:$E$8,2)*Disbursements!F813,F813*Pricing!$E$9))))</f>
        <v>0</v>
      </c>
      <c r="O813" s="528">
        <f>IF(E813="STL",0,IF($F813&gt;0,$F813*Pricing!$D$17,0))</f>
        <v>0</v>
      </c>
      <c r="P813" s="530" t="str">
        <f t="shared" si="334"/>
        <v/>
      </c>
      <c r="Q813" s="531" t="str">
        <f>IF($A813="","",$G813/VLOOKUP($I813,Ref!$B$23:$D$29,2,0))</f>
        <v/>
      </c>
      <c r="R813" s="530" t="str">
        <f t="shared" si="335"/>
        <v/>
      </c>
      <c r="S813" s="532" t="str">
        <f t="shared" si="329"/>
        <v/>
      </c>
      <c r="T813" s="531" t="str">
        <f t="shared" si="336"/>
        <v/>
      </c>
      <c r="U813" s="533">
        <f t="shared" si="337"/>
        <v>0</v>
      </c>
      <c r="V813" s="531" t="str">
        <f t="shared" si="338"/>
        <v/>
      </c>
      <c r="W813" s="531" t="str">
        <f t="shared" si="339"/>
        <v/>
      </c>
      <c r="X813" s="534" t="str">
        <f t="shared" si="340"/>
        <v/>
      </c>
      <c r="Y813" s="535" t="str">
        <f>IF($A813="","",IF($I813="weekly",$A813+7,EDATE($A813,VLOOKUP($I813,Ref!$B$24:$C$29,2,0))))</f>
        <v/>
      </c>
      <c r="Z813" s="536" t="str">
        <f t="shared" si="341"/>
        <v/>
      </c>
      <c r="AA813" s="531">
        <f t="shared" si="342"/>
        <v>0</v>
      </c>
      <c r="AB813" s="535" t="str">
        <f t="shared" si="330"/>
        <v/>
      </c>
      <c r="AC813" s="537" t="str">
        <f t="shared" si="331"/>
        <v/>
      </c>
      <c r="AD813" s="538" t="str">
        <f t="shared" ca="1" si="332"/>
        <v/>
      </c>
      <c r="AE813" s="537">
        <f t="shared" ca="1" si="333"/>
        <v>0</v>
      </c>
      <c r="AF813" s="539" t="str">
        <f t="shared" ca="1" si="343"/>
        <v/>
      </c>
      <c r="AG813" s="531" t="str">
        <f t="shared" ca="1" si="344"/>
        <v/>
      </c>
      <c r="AH813" s="531" t="str">
        <f t="shared" ca="1" si="345"/>
        <v/>
      </c>
      <c r="AI813" s="531" t="str">
        <f t="shared" ca="1" si="346"/>
        <v/>
      </c>
      <c r="AJ813" s="531" t="str">
        <f t="shared" si="347"/>
        <v/>
      </c>
      <c r="AK813" s="540">
        <f>SUMIFS('Live Collections'!$S:$S,'Live Collections'!$D:$D,Disbursements!B813,'Live Collections'!$G:$G,Disbursements!C813)</f>
        <v>0</v>
      </c>
      <c r="AL813" s="540">
        <f>SUMIFS('Live Collections'!$T:$T,'Live Collections'!$D:$D,Disbursements!B813,'Live Collections'!$G:$G,Disbursements!C813)</f>
        <v>0</v>
      </c>
      <c r="AM813" s="541">
        <f t="shared" si="348"/>
        <v>0</v>
      </c>
      <c r="AN813" s="542" t="str">
        <f t="shared" si="349"/>
        <v/>
      </c>
      <c r="AO813" s="542" t="str">
        <f t="shared" si="350"/>
        <v/>
      </c>
      <c r="AP813" s="543" t="str">
        <f t="shared" si="351"/>
        <v/>
      </c>
      <c r="AQ813" s="544" t="str">
        <f t="shared" si="352"/>
        <v/>
      </c>
      <c r="AR813" s="545">
        <f t="shared" si="353"/>
        <v>0</v>
      </c>
      <c r="AS813" s="545">
        <f>IFERROR(CEILING($AR813*VLOOKUP($I813,Ref!$B$23:$E$29,4,0),1),0)</f>
        <v>0</v>
      </c>
      <c r="AT813" s="545" t="str">
        <f>IF(A813="","",IF(AP813&lt;=1,"Cleared",IF(AS813=0,"Clean",VLOOKUP($AS813,Ref!$G$23:$H$28,2))))</f>
        <v/>
      </c>
      <c r="AU813" s="546" t="str">
        <f t="shared" si="354"/>
        <v/>
      </c>
    </row>
    <row r="814" spans="1:47" ht="14.25" hidden="1" customHeight="1" x14ac:dyDescent="0.15">
      <c r="A814" s="523"/>
      <c r="B814" s="523"/>
      <c r="C814" s="523"/>
      <c r="D814" s="523"/>
      <c r="E814" s="579"/>
      <c r="F814" s="580"/>
      <c r="G814" s="524"/>
      <c r="H814" s="555"/>
      <c r="I814" s="560"/>
      <c r="J814" s="523"/>
      <c r="K814" s="528" t="str">
        <f>IFERROR(VLOOKUP($B814,'Clients-Live'!$A:$C,3,0),"")</f>
        <v/>
      </c>
      <c r="L814" s="528">
        <f>IF(E814="STL",Pricing!$D$38,IF(A814="",0,IF(A814&lt;Pricing!$C$25,Pricing!$D$25,VLOOKUP(Disbursements!$F814,Pricing!$B$29:$D$32,3))))</f>
        <v>0</v>
      </c>
      <c r="M814" s="528">
        <f>IF(E814="STL",0,IF(F814&gt;0,Pricing!$D$21,0))</f>
        <v>0</v>
      </c>
      <c r="N814" s="529">
        <f>IF(E814="STL",F814*Pricing!$D$40,IF(A814&lt;=Pricing!$C$4,0,IF(AND(A814&gt;Pricing!$C$4,Disbursements!A814&lt;=Pricing!$C$5),F814*Pricing!$E$5,IF(AND(A814&gt;Pricing!$C$5,Disbursements!A814&lt;=Pricing!$C$7),VLOOKUP(F814,Pricing!$D$7:$E$8,2)*Disbursements!F814,F814*Pricing!$E$9))))</f>
        <v>0</v>
      </c>
      <c r="O814" s="528">
        <f>IF(E814="STL",0,IF($F814&gt;0,$F814*Pricing!$D$17,0))</f>
        <v>0</v>
      </c>
      <c r="P814" s="530" t="str">
        <f t="shared" si="334"/>
        <v/>
      </c>
      <c r="Q814" s="531" t="str">
        <f>IF($A814="","",$G814/VLOOKUP($I814,Ref!$B$23:$D$29,2,0))</f>
        <v/>
      </c>
      <c r="R814" s="530" t="str">
        <f t="shared" si="335"/>
        <v/>
      </c>
      <c r="S814" s="532" t="str">
        <f t="shared" si="329"/>
        <v/>
      </c>
      <c r="T814" s="531" t="str">
        <f t="shared" si="336"/>
        <v/>
      </c>
      <c r="U814" s="533">
        <f t="shared" si="337"/>
        <v>0</v>
      </c>
      <c r="V814" s="531" t="str">
        <f t="shared" si="338"/>
        <v/>
      </c>
      <c r="W814" s="531" t="str">
        <f t="shared" si="339"/>
        <v/>
      </c>
      <c r="X814" s="534" t="str">
        <f t="shared" si="340"/>
        <v/>
      </c>
      <c r="Y814" s="535" t="str">
        <f>IF($A814="","",IF($I814="weekly",$A814+7,EDATE($A814,VLOOKUP($I814,Ref!$B$24:$C$29,2,0))))</f>
        <v/>
      </c>
      <c r="Z814" s="536" t="str">
        <f t="shared" si="341"/>
        <v/>
      </c>
      <c r="AA814" s="531">
        <f t="shared" si="342"/>
        <v>0</v>
      </c>
      <c r="AB814" s="535" t="str">
        <f t="shared" si="330"/>
        <v/>
      </c>
      <c r="AC814" s="537" t="str">
        <f t="shared" si="331"/>
        <v/>
      </c>
      <c r="AD814" s="538" t="str">
        <f t="shared" ca="1" si="332"/>
        <v/>
      </c>
      <c r="AE814" s="537">
        <f t="shared" ca="1" si="333"/>
        <v>0</v>
      </c>
      <c r="AF814" s="539" t="str">
        <f t="shared" ca="1" si="343"/>
        <v/>
      </c>
      <c r="AG814" s="531" t="str">
        <f t="shared" ca="1" si="344"/>
        <v/>
      </c>
      <c r="AH814" s="531" t="str">
        <f t="shared" ca="1" si="345"/>
        <v/>
      </c>
      <c r="AI814" s="531" t="str">
        <f t="shared" ca="1" si="346"/>
        <v/>
      </c>
      <c r="AJ814" s="531" t="str">
        <f t="shared" si="347"/>
        <v/>
      </c>
      <c r="AK814" s="540">
        <f>SUMIFS('Live Collections'!$S:$S,'Live Collections'!$D:$D,Disbursements!B814,'Live Collections'!$G:$G,Disbursements!C814)</f>
        <v>0</v>
      </c>
      <c r="AL814" s="540">
        <f>SUMIFS('Live Collections'!$T:$T,'Live Collections'!$D:$D,Disbursements!B814,'Live Collections'!$G:$G,Disbursements!C814)</f>
        <v>0</v>
      </c>
      <c r="AM814" s="541">
        <f t="shared" si="348"/>
        <v>0</v>
      </c>
      <c r="AN814" s="542" t="str">
        <f t="shared" si="349"/>
        <v/>
      </c>
      <c r="AO814" s="542" t="str">
        <f t="shared" si="350"/>
        <v/>
      </c>
      <c r="AP814" s="543" t="str">
        <f t="shared" si="351"/>
        <v/>
      </c>
      <c r="AQ814" s="544" t="str">
        <f t="shared" si="352"/>
        <v/>
      </c>
      <c r="AR814" s="545">
        <f t="shared" si="353"/>
        <v>0</v>
      </c>
      <c r="AS814" s="545">
        <f>IFERROR(CEILING($AR814*VLOOKUP($I814,Ref!$B$23:$E$29,4,0),1),0)</f>
        <v>0</v>
      </c>
      <c r="AT814" s="545" t="str">
        <f>IF(A814="","",IF(AP814&lt;=1,"Cleared",IF(AS814=0,"Clean",VLOOKUP($AS814,Ref!$G$23:$H$28,2))))</f>
        <v/>
      </c>
      <c r="AU814" s="546" t="str">
        <f t="shared" si="354"/>
        <v/>
      </c>
    </row>
    <row r="815" spans="1:47" ht="14.25" hidden="1" customHeight="1" x14ac:dyDescent="0.15">
      <c r="A815" s="523"/>
      <c r="B815" s="523"/>
      <c r="C815" s="523"/>
      <c r="D815" s="523"/>
      <c r="E815" s="579"/>
      <c r="F815" s="580"/>
      <c r="G815" s="524"/>
      <c r="H815" s="555"/>
      <c r="I815" s="560"/>
      <c r="J815" s="523"/>
      <c r="K815" s="528" t="str">
        <f>IFERROR(VLOOKUP($B815,'Clients-Live'!$A:$C,3,0),"")</f>
        <v/>
      </c>
      <c r="L815" s="528">
        <f>IF(E815="STL",Pricing!$D$38,IF(A815="",0,IF(A815&lt;Pricing!$C$25,Pricing!$D$25,VLOOKUP(Disbursements!$F815,Pricing!$B$29:$D$32,3))))</f>
        <v>0</v>
      </c>
      <c r="M815" s="528">
        <f>IF(E815="STL",0,IF(F815&gt;0,Pricing!$D$21,0))</f>
        <v>0</v>
      </c>
      <c r="N815" s="529">
        <f>IF(E815="STL",F815*Pricing!$D$40,IF(A815&lt;=Pricing!$C$4,0,IF(AND(A815&gt;Pricing!$C$4,Disbursements!A815&lt;=Pricing!$C$5),F815*Pricing!$E$5,IF(AND(A815&gt;Pricing!$C$5,Disbursements!A815&lt;=Pricing!$C$7),VLOOKUP(F815,Pricing!$D$7:$E$8,2)*Disbursements!F815,F815*Pricing!$E$9))))</f>
        <v>0</v>
      </c>
      <c r="O815" s="528">
        <f>IF(E815="STL",0,IF($F815&gt;0,$F815*Pricing!$D$17,0))</f>
        <v>0</v>
      </c>
      <c r="P815" s="530" t="str">
        <f t="shared" si="334"/>
        <v/>
      </c>
      <c r="Q815" s="531" t="str">
        <f>IF($A815="","",$G815/VLOOKUP($I815,Ref!$B$23:$D$29,2,0))</f>
        <v/>
      </c>
      <c r="R815" s="530" t="str">
        <f t="shared" si="335"/>
        <v/>
      </c>
      <c r="S815" s="532" t="str">
        <f t="shared" si="329"/>
        <v/>
      </c>
      <c r="T815" s="531" t="str">
        <f t="shared" si="336"/>
        <v/>
      </c>
      <c r="U815" s="533">
        <f t="shared" si="337"/>
        <v>0</v>
      </c>
      <c r="V815" s="531" t="str">
        <f t="shared" si="338"/>
        <v/>
      </c>
      <c r="W815" s="531" t="str">
        <f t="shared" si="339"/>
        <v/>
      </c>
      <c r="X815" s="534" t="str">
        <f t="shared" si="340"/>
        <v/>
      </c>
      <c r="Y815" s="535" t="str">
        <f>IF($A815="","",IF($I815="weekly",$A815+7,EDATE($A815,VLOOKUP($I815,Ref!$B$24:$C$29,2,0))))</f>
        <v/>
      </c>
      <c r="Z815" s="536" t="str">
        <f t="shared" si="341"/>
        <v/>
      </c>
      <c r="AA815" s="531">
        <f t="shared" si="342"/>
        <v>0</v>
      </c>
      <c r="AB815" s="535" t="str">
        <f t="shared" si="330"/>
        <v/>
      </c>
      <c r="AC815" s="537" t="str">
        <f t="shared" si="331"/>
        <v/>
      </c>
      <c r="AD815" s="538" t="str">
        <f t="shared" ca="1" si="332"/>
        <v/>
      </c>
      <c r="AE815" s="537">
        <f t="shared" ca="1" si="333"/>
        <v>0</v>
      </c>
      <c r="AF815" s="539" t="str">
        <f t="shared" ca="1" si="343"/>
        <v/>
      </c>
      <c r="AG815" s="531" t="str">
        <f t="shared" ca="1" si="344"/>
        <v/>
      </c>
      <c r="AH815" s="531" t="str">
        <f t="shared" ca="1" si="345"/>
        <v/>
      </c>
      <c r="AI815" s="531" t="str">
        <f t="shared" ca="1" si="346"/>
        <v/>
      </c>
      <c r="AJ815" s="531" t="str">
        <f t="shared" si="347"/>
        <v/>
      </c>
      <c r="AK815" s="540">
        <f>SUMIFS('Live Collections'!$S:$S,'Live Collections'!$D:$D,Disbursements!B815,'Live Collections'!$G:$G,Disbursements!C815)</f>
        <v>0</v>
      </c>
      <c r="AL815" s="540">
        <f>SUMIFS('Live Collections'!$T:$T,'Live Collections'!$D:$D,Disbursements!B815,'Live Collections'!$G:$G,Disbursements!C815)</f>
        <v>0</v>
      </c>
      <c r="AM815" s="541">
        <f t="shared" si="348"/>
        <v>0</v>
      </c>
      <c r="AN815" s="542" t="str">
        <f t="shared" si="349"/>
        <v/>
      </c>
      <c r="AO815" s="542" t="str">
        <f t="shared" si="350"/>
        <v/>
      </c>
      <c r="AP815" s="543" t="str">
        <f t="shared" si="351"/>
        <v/>
      </c>
      <c r="AQ815" s="544" t="str">
        <f t="shared" si="352"/>
        <v/>
      </c>
      <c r="AR815" s="545">
        <f t="shared" si="353"/>
        <v>0</v>
      </c>
      <c r="AS815" s="545">
        <f>IFERROR(CEILING($AR815*VLOOKUP($I815,Ref!$B$23:$E$29,4,0),1),0)</f>
        <v>0</v>
      </c>
      <c r="AT815" s="545" t="str">
        <f>IF(A815="","",IF(AP815&lt;=1,"Cleared",IF(AS815=0,"Clean",VLOOKUP($AS815,Ref!$G$23:$H$28,2))))</f>
        <v/>
      </c>
      <c r="AU815" s="546" t="str">
        <f t="shared" si="354"/>
        <v/>
      </c>
    </row>
    <row r="816" spans="1:47" ht="14.25" hidden="1" customHeight="1" x14ac:dyDescent="0.15">
      <c r="A816" s="523"/>
      <c r="B816" s="523"/>
      <c r="C816" s="523"/>
      <c r="D816" s="523"/>
      <c r="E816" s="579"/>
      <c r="F816" s="580"/>
      <c r="G816" s="524"/>
      <c r="H816" s="555"/>
      <c r="I816" s="560"/>
      <c r="J816" s="523"/>
      <c r="K816" s="528" t="str">
        <f>IFERROR(VLOOKUP($B816,'Clients-Live'!$A:$C,3,0),"")</f>
        <v/>
      </c>
      <c r="L816" s="528">
        <f>IF(E816="STL",Pricing!$D$38,IF(A816="",0,IF(A816&lt;Pricing!$C$25,Pricing!$D$25,VLOOKUP(Disbursements!$F816,Pricing!$B$29:$D$32,3))))</f>
        <v>0</v>
      </c>
      <c r="M816" s="528">
        <f>IF(E816="STL",0,IF(F816&gt;0,Pricing!$D$21,0))</f>
        <v>0</v>
      </c>
      <c r="N816" s="529">
        <f>IF(E816="STL",F816*Pricing!$D$40,IF(A816&lt;=Pricing!$C$4,0,IF(AND(A816&gt;Pricing!$C$4,Disbursements!A816&lt;=Pricing!$C$5),F816*Pricing!$E$5,IF(AND(A816&gt;Pricing!$C$5,Disbursements!A816&lt;=Pricing!$C$7),VLOOKUP(F816,Pricing!$D$7:$E$8,2)*Disbursements!F816,F816*Pricing!$E$9))))</f>
        <v>0</v>
      </c>
      <c r="O816" s="528">
        <f>IF(E816="STL",0,IF($F816&gt;0,$F816*Pricing!$D$17,0))</f>
        <v>0</v>
      </c>
      <c r="P816" s="530" t="str">
        <f t="shared" si="334"/>
        <v/>
      </c>
      <c r="Q816" s="531" t="str">
        <f>IF($A816="","",$G816/VLOOKUP($I816,Ref!$B$23:$D$29,2,0))</f>
        <v/>
      </c>
      <c r="R816" s="530" t="str">
        <f t="shared" si="335"/>
        <v/>
      </c>
      <c r="S816" s="532" t="str">
        <f t="shared" si="329"/>
        <v/>
      </c>
      <c r="T816" s="531" t="str">
        <f t="shared" si="336"/>
        <v/>
      </c>
      <c r="U816" s="533">
        <f t="shared" si="337"/>
        <v>0</v>
      </c>
      <c r="V816" s="531" t="str">
        <f t="shared" si="338"/>
        <v/>
      </c>
      <c r="W816" s="531" t="str">
        <f t="shared" si="339"/>
        <v/>
      </c>
      <c r="X816" s="534" t="str">
        <f t="shared" si="340"/>
        <v/>
      </c>
      <c r="Y816" s="535" t="str">
        <f>IF($A816="","",IF($I816="weekly",$A816+7,EDATE($A816,VLOOKUP($I816,Ref!$B$24:$C$29,2,0))))</f>
        <v/>
      </c>
      <c r="Z816" s="536" t="str">
        <f t="shared" si="341"/>
        <v/>
      </c>
      <c r="AA816" s="531">
        <f t="shared" si="342"/>
        <v>0</v>
      </c>
      <c r="AB816" s="535" t="str">
        <f t="shared" si="330"/>
        <v/>
      </c>
      <c r="AC816" s="537" t="str">
        <f t="shared" si="331"/>
        <v/>
      </c>
      <c r="AD816" s="538" t="str">
        <f t="shared" ca="1" si="332"/>
        <v/>
      </c>
      <c r="AE816" s="537">
        <f t="shared" ca="1" si="333"/>
        <v>0</v>
      </c>
      <c r="AF816" s="539" t="str">
        <f t="shared" ca="1" si="343"/>
        <v/>
      </c>
      <c r="AG816" s="531" t="str">
        <f t="shared" ca="1" si="344"/>
        <v/>
      </c>
      <c r="AH816" s="531" t="str">
        <f t="shared" ca="1" si="345"/>
        <v/>
      </c>
      <c r="AI816" s="531" t="str">
        <f t="shared" ca="1" si="346"/>
        <v/>
      </c>
      <c r="AJ816" s="531" t="str">
        <f t="shared" si="347"/>
        <v/>
      </c>
      <c r="AK816" s="540">
        <f>SUMIFS('Live Collections'!$S:$S,'Live Collections'!$D:$D,Disbursements!B816,'Live Collections'!$G:$G,Disbursements!C816)</f>
        <v>0</v>
      </c>
      <c r="AL816" s="540">
        <f>SUMIFS('Live Collections'!$T:$T,'Live Collections'!$D:$D,Disbursements!B816,'Live Collections'!$G:$G,Disbursements!C816)</f>
        <v>0</v>
      </c>
      <c r="AM816" s="541">
        <f t="shared" si="348"/>
        <v>0</v>
      </c>
      <c r="AN816" s="542" t="str">
        <f t="shared" si="349"/>
        <v/>
      </c>
      <c r="AO816" s="542" t="str">
        <f t="shared" si="350"/>
        <v/>
      </c>
      <c r="AP816" s="543" t="str">
        <f t="shared" si="351"/>
        <v/>
      </c>
      <c r="AQ816" s="544" t="str">
        <f t="shared" si="352"/>
        <v/>
      </c>
      <c r="AR816" s="545">
        <f t="shared" si="353"/>
        <v>0</v>
      </c>
      <c r="AS816" s="545">
        <f>IFERROR(CEILING($AR816*VLOOKUP($I816,Ref!$B$23:$E$29,4,0),1),0)</f>
        <v>0</v>
      </c>
      <c r="AT816" s="545" t="str">
        <f>IF(A816="","",IF(AP816&lt;=1,"Cleared",IF(AS816=0,"Clean",VLOOKUP($AS816,Ref!$G$23:$H$28,2))))</f>
        <v/>
      </c>
      <c r="AU816" s="546" t="str">
        <f t="shared" si="354"/>
        <v/>
      </c>
    </row>
    <row r="817" spans="1:47" ht="14.25" hidden="1" customHeight="1" x14ac:dyDescent="0.15">
      <c r="A817" s="523"/>
      <c r="B817" s="523"/>
      <c r="C817" s="523"/>
      <c r="D817" s="523"/>
      <c r="E817" s="579"/>
      <c r="F817" s="580"/>
      <c r="G817" s="524"/>
      <c r="H817" s="555"/>
      <c r="I817" s="560"/>
      <c r="J817" s="523"/>
      <c r="K817" s="528" t="str">
        <f>IFERROR(VLOOKUP($B817,'Clients-Live'!$A:$C,3,0),"")</f>
        <v/>
      </c>
      <c r="L817" s="528">
        <f>IF(E817="STL",Pricing!$D$38,IF(A817="",0,IF(A817&lt;Pricing!$C$25,Pricing!$D$25,VLOOKUP(Disbursements!$F817,Pricing!$B$29:$D$32,3))))</f>
        <v>0</v>
      </c>
      <c r="M817" s="528">
        <f>IF(E817="STL",0,IF(F817&gt;0,Pricing!$D$21,0))</f>
        <v>0</v>
      </c>
      <c r="N817" s="529">
        <f>IF(E817="STL",F817*Pricing!$D$40,IF(A817&lt;=Pricing!$C$4,0,IF(AND(A817&gt;Pricing!$C$4,Disbursements!A817&lt;=Pricing!$C$5),F817*Pricing!$E$5,IF(AND(A817&gt;Pricing!$C$5,Disbursements!A817&lt;=Pricing!$C$7),VLOOKUP(F817,Pricing!$D$7:$E$8,2)*Disbursements!F817,F817*Pricing!$E$9))))</f>
        <v>0</v>
      </c>
      <c r="O817" s="528">
        <f>IF(E817="STL",0,IF($F817&gt;0,$F817*Pricing!$D$17,0))</f>
        <v>0</v>
      </c>
      <c r="P817" s="530" t="str">
        <f t="shared" si="334"/>
        <v/>
      </c>
      <c r="Q817" s="531" t="str">
        <f>IF($A817="","",$G817/VLOOKUP($I817,Ref!$B$23:$D$29,2,0))</f>
        <v/>
      </c>
      <c r="R817" s="530" t="str">
        <f t="shared" si="335"/>
        <v/>
      </c>
      <c r="S817" s="532" t="str">
        <f t="shared" si="329"/>
        <v/>
      </c>
      <c r="T817" s="531" t="str">
        <f t="shared" si="336"/>
        <v/>
      </c>
      <c r="U817" s="533">
        <f t="shared" si="337"/>
        <v>0</v>
      </c>
      <c r="V817" s="531" t="str">
        <f t="shared" si="338"/>
        <v/>
      </c>
      <c r="W817" s="531" t="str">
        <f t="shared" si="339"/>
        <v/>
      </c>
      <c r="X817" s="534" t="str">
        <f t="shared" si="340"/>
        <v/>
      </c>
      <c r="Y817" s="535" t="str">
        <f>IF($A817="","",IF($I817="weekly",$A817+7,EDATE($A817,VLOOKUP($I817,Ref!$B$24:$C$29,2,0))))</f>
        <v/>
      </c>
      <c r="Z817" s="536" t="str">
        <f t="shared" si="341"/>
        <v/>
      </c>
      <c r="AA817" s="531">
        <f t="shared" si="342"/>
        <v>0</v>
      </c>
      <c r="AB817" s="535" t="str">
        <f t="shared" si="330"/>
        <v/>
      </c>
      <c r="AC817" s="537" t="str">
        <f t="shared" si="331"/>
        <v/>
      </c>
      <c r="AD817" s="538" t="str">
        <f t="shared" ca="1" si="332"/>
        <v/>
      </c>
      <c r="AE817" s="537">
        <f t="shared" ca="1" si="333"/>
        <v>0</v>
      </c>
      <c r="AF817" s="539" t="str">
        <f t="shared" ca="1" si="343"/>
        <v/>
      </c>
      <c r="AG817" s="531" t="str">
        <f t="shared" ca="1" si="344"/>
        <v/>
      </c>
      <c r="AH817" s="531" t="str">
        <f t="shared" ca="1" si="345"/>
        <v/>
      </c>
      <c r="AI817" s="531" t="str">
        <f t="shared" ca="1" si="346"/>
        <v/>
      </c>
      <c r="AJ817" s="531" t="str">
        <f t="shared" si="347"/>
        <v/>
      </c>
      <c r="AK817" s="540">
        <f>SUMIFS('Live Collections'!$S:$S,'Live Collections'!$D:$D,Disbursements!B817,'Live Collections'!$G:$G,Disbursements!C817)</f>
        <v>0</v>
      </c>
      <c r="AL817" s="540">
        <f>SUMIFS('Live Collections'!$T:$T,'Live Collections'!$D:$D,Disbursements!B817,'Live Collections'!$G:$G,Disbursements!C817)</f>
        <v>0</v>
      </c>
      <c r="AM817" s="541">
        <f t="shared" si="348"/>
        <v>0</v>
      </c>
      <c r="AN817" s="542" t="str">
        <f t="shared" si="349"/>
        <v/>
      </c>
      <c r="AO817" s="542" t="str">
        <f t="shared" si="350"/>
        <v/>
      </c>
      <c r="AP817" s="543" t="str">
        <f t="shared" si="351"/>
        <v/>
      </c>
      <c r="AQ817" s="544" t="str">
        <f t="shared" si="352"/>
        <v/>
      </c>
      <c r="AR817" s="545">
        <f t="shared" si="353"/>
        <v>0</v>
      </c>
      <c r="AS817" s="545">
        <f>IFERROR(CEILING($AR817*VLOOKUP($I817,Ref!$B$23:$E$29,4,0),1),0)</f>
        <v>0</v>
      </c>
      <c r="AT817" s="545" t="str">
        <f>IF(A817="","",IF(AP817&lt;=1,"Cleared",IF(AS817=0,"Clean",VLOOKUP($AS817,Ref!$G$23:$H$28,2))))</f>
        <v/>
      </c>
      <c r="AU817" s="546" t="str">
        <f t="shared" si="354"/>
        <v/>
      </c>
    </row>
    <row r="818" spans="1:47" ht="14.25" hidden="1" customHeight="1" x14ac:dyDescent="0.15">
      <c r="A818" s="523"/>
      <c r="B818" s="523"/>
      <c r="C818" s="523"/>
      <c r="D818" s="523"/>
      <c r="E818" s="579"/>
      <c r="F818" s="580"/>
      <c r="G818" s="524"/>
      <c r="H818" s="555"/>
      <c r="I818" s="560"/>
      <c r="J818" s="523"/>
      <c r="K818" s="528" t="str">
        <f>IFERROR(VLOOKUP($B818,'Clients-Live'!$A:$C,3,0),"")</f>
        <v/>
      </c>
      <c r="L818" s="528">
        <f>IF(E818="STL",Pricing!$D$38,IF(A818="",0,IF(A818&lt;Pricing!$C$25,Pricing!$D$25,VLOOKUP(Disbursements!$F818,Pricing!$B$29:$D$32,3))))</f>
        <v>0</v>
      </c>
      <c r="M818" s="528">
        <f>IF(E818="STL",0,IF(F818&gt;0,Pricing!$D$21,0))</f>
        <v>0</v>
      </c>
      <c r="N818" s="529">
        <f>IF(E818="STL",F818*Pricing!$D$40,IF(A818&lt;=Pricing!$C$4,0,IF(AND(A818&gt;Pricing!$C$4,Disbursements!A818&lt;=Pricing!$C$5),F818*Pricing!$E$5,IF(AND(A818&gt;Pricing!$C$5,Disbursements!A818&lt;=Pricing!$C$7),VLOOKUP(F818,Pricing!$D$7:$E$8,2)*Disbursements!F818,F818*Pricing!$E$9))))</f>
        <v>0</v>
      </c>
      <c r="O818" s="528">
        <f>IF(E818="STL",0,IF($F818&gt;0,$F818*Pricing!$D$17,0))</f>
        <v>0</v>
      </c>
      <c r="P818" s="530" t="str">
        <f t="shared" si="334"/>
        <v/>
      </c>
      <c r="Q818" s="531" t="str">
        <f>IF($A818="","",$G818/VLOOKUP($I818,Ref!$B$23:$D$29,2,0))</f>
        <v/>
      </c>
      <c r="R818" s="530" t="str">
        <f t="shared" si="335"/>
        <v/>
      </c>
      <c r="S818" s="532" t="str">
        <f t="shared" si="329"/>
        <v/>
      </c>
      <c r="T818" s="531" t="str">
        <f t="shared" si="336"/>
        <v/>
      </c>
      <c r="U818" s="533">
        <f t="shared" si="337"/>
        <v>0</v>
      </c>
      <c r="V818" s="531" t="str">
        <f t="shared" si="338"/>
        <v/>
      </c>
      <c r="W818" s="531" t="str">
        <f t="shared" si="339"/>
        <v/>
      </c>
      <c r="X818" s="534" t="str">
        <f t="shared" si="340"/>
        <v/>
      </c>
      <c r="Y818" s="535" t="str">
        <f>IF($A818="","",IF($I818="weekly",$A818+7,EDATE($A818,VLOOKUP($I818,Ref!$B$24:$C$29,2,0))))</f>
        <v/>
      </c>
      <c r="Z818" s="536" t="str">
        <f t="shared" si="341"/>
        <v/>
      </c>
      <c r="AA818" s="531">
        <f t="shared" si="342"/>
        <v>0</v>
      </c>
      <c r="AB818" s="535" t="str">
        <f t="shared" si="330"/>
        <v/>
      </c>
      <c r="AC818" s="537" t="str">
        <f t="shared" si="331"/>
        <v/>
      </c>
      <c r="AD818" s="538" t="str">
        <f t="shared" ca="1" si="332"/>
        <v/>
      </c>
      <c r="AE818" s="537">
        <f t="shared" ca="1" si="333"/>
        <v>0</v>
      </c>
      <c r="AF818" s="539" t="str">
        <f t="shared" ca="1" si="343"/>
        <v/>
      </c>
      <c r="AG818" s="531" t="str">
        <f t="shared" ca="1" si="344"/>
        <v/>
      </c>
      <c r="AH818" s="531" t="str">
        <f t="shared" ca="1" si="345"/>
        <v/>
      </c>
      <c r="AI818" s="531" t="str">
        <f t="shared" ca="1" si="346"/>
        <v/>
      </c>
      <c r="AJ818" s="531" t="str">
        <f t="shared" si="347"/>
        <v/>
      </c>
      <c r="AK818" s="540">
        <f>SUMIFS('Live Collections'!$S:$S,'Live Collections'!$D:$D,Disbursements!B818,'Live Collections'!$G:$G,Disbursements!C818)</f>
        <v>0</v>
      </c>
      <c r="AL818" s="540">
        <f>SUMIFS('Live Collections'!$T:$T,'Live Collections'!$D:$D,Disbursements!B818,'Live Collections'!$G:$G,Disbursements!C818)</f>
        <v>0</v>
      </c>
      <c r="AM818" s="541">
        <f t="shared" si="348"/>
        <v>0</v>
      </c>
      <c r="AN818" s="542" t="str">
        <f t="shared" si="349"/>
        <v/>
      </c>
      <c r="AO818" s="542" t="str">
        <f t="shared" si="350"/>
        <v/>
      </c>
      <c r="AP818" s="543" t="str">
        <f t="shared" si="351"/>
        <v/>
      </c>
      <c r="AQ818" s="544" t="str">
        <f t="shared" si="352"/>
        <v/>
      </c>
      <c r="AR818" s="545">
        <f t="shared" si="353"/>
        <v>0</v>
      </c>
      <c r="AS818" s="545">
        <f>IFERROR(CEILING($AR818*VLOOKUP($I818,Ref!$B$23:$E$29,4,0),1),0)</f>
        <v>0</v>
      </c>
      <c r="AT818" s="545" t="str">
        <f>IF(A818="","",IF(AP818&lt;=1,"Cleared",IF(AS818=0,"Clean",VLOOKUP($AS818,Ref!$G$23:$H$28,2))))</f>
        <v/>
      </c>
      <c r="AU818" s="546" t="str">
        <f t="shared" si="354"/>
        <v/>
      </c>
    </row>
    <row r="819" spans="1:47" ht="14.25" hidden="1" customHeight="1" x14ac:dyDescent="0.15">
      <c r="A819" s="523"/>
      <c r="B819" s="523"/>
      <c r="C819" s="523"/>
      <c r="D819" s="523"/>
      <c r="E819" s="579"/>
      <c r="F819" s="580"/>
      <c r="G819" s="524"/>
      <c r="H819" s="555"/>
      <c r="I819" s="560"/>
      <c r="J819" s="523"/>
      <c r="K819" s="528" t="str">
        <f>IFERROR(VLOOKUP($B819,'Clients-Live'!$A:$C,3,0),"")</f>
        <v/>
      </c>
      <c r="L819" s="528">
        <f>IF(E819="STL",Pricing!$D$38,IF(A819="",0,IF(A819&lt;Pricing!$C$25,Pricing!$D$25,VLOOKUP(Disbursements!$F819,Pricing!$B$29:$D$32,3))))</f>
        <v>0</v>
      </c>
      <c r="M819" s="528">
        <f>IF(E819="STL",0,IF(F819&gt;0,Pricing!$D$21,0))</f>
        <v>0</v>
      </c>
      <c r="N819" s="529">
        <f>IF(E819="STL",F819*Pricing!$D$40,IF(A819&lt;=Pricing!$C$4,0,IF(AND(A819&gt;Pricing!$C$4,Disbursements!A819&lt;=Pricing!$C$5),F819*Pricing!$E$5,IF(AND(A819&gt;Pricing!$C$5,Disbursements!A819&lt;=Pricing!$C$7),VLOOKUP(F819,Pricing!$D$7:$E$8,2)*Disbursements!F819,F819*Pricing!$E$9))))</f>
        <v>0</v>
      </c>
      <c r="O819" s="528">
        <f>IF(E819="STL",0,IF($F819&gt;0,$F819*Pricing!$D$17,0))</f>
        <v>0</v>
      </c>
      <c r="P819" s="530" t="str">
        <f t="shared" si="334"/>
        <v/>
      </c>
      <c r="Q819" s="531" t="str">
        <f>IF($A819="","",$G819/VLOOKUP($I819,Ref!$B$23:$D$29,2,0))</f>
        <v/>
      </c>
      <c r="R819" s="530" t="str">
        <f t="shared" si="335"/>
        <v/>
      </c>
      <c r="S819" s="532" t="str">
        <f t="shared" si="329"/>
        <v/>
      </c>
      <c r="T819" s="531" t="str">
        <f t="shared" si="336"/>
        <v/>
      </c>
      <c r="U819" s="533">
        <f t="shared" si="337"/>
        <v>0</v>
      </c>
      <c r="V819" s="531" t="str">
        <f t="shared" si="338"/>
        <v/>
      </c>
      <c r="W819" s="531" t="str">
        <f t="shared" si="339"/>
        <v/>
      </c>
      <c r="X819" s="534" t="str">
        <f t="shared" si="340"/>
        <v/>
      </c>
      <c r="Y819" s="535" t="str">
        <f>IF($A819="","",IF($I819="weekly",$A819+7,EDATE($A819,VLOOKUP($I819,Ref!$B$24:$C$29,2,0))))</f>
        <v/>
      </c>
      <c r="Z819" s="536" t="str">
        <f t="shared" si="341"/>
        <v/>
      </c>
      <c r="AA819" s="531">
        <f t="shared" si="342"/>
        <v>0</v>
      </c>
      <c r="AB819" s="535" t="str">
        <f t="shared" si="330"/>
        <v/>
      </c>
      <c r="AC819" s="537" t="str">
        <f t="shared" si="331"/>
        <v/>
      </c>
      <c r="AD819" s="538" t="str">
        <f t="shared" ca="1" si="332"/>
        <v/>
      </c>
      <c r="AE819" s="537">
        <f t="shared" ca="1" si="333"/>
        <v>0</v>
      </c>
      <c r="AF819" s="539" t="str">
        <f t="shared" ca="1" si="343"/>
        <v/>
      </c>
      <c r="AG819" s="531" t="str">
        <f t="shared" ca="1" si="344"/>
        <v/>
      </c>
      <c r="AH819" s="531" t="str">
        <f t="shared" ca="1" si="345"/>
        <v/>
      </c>
      <c r="AI819" s="531" t="str">
        <f t="shared" ca="1" si="346"/>
        <v/>
      </c>
      <c r="AJ819" s="531" t="str">
        <f t="shared" si="347"/>
        <v/>
      </c>
      <c r="AK819" s="540">
        <f>SUMIFS('Live Collections'!$S:$S,'Live Collections'!$D:$D,Disbursements!B819,'Live Collections'!$G:$G,Disbursements!C819)</f>
        <v>0</v>
      </c>
      <c r="AL819" s="540">
        <f>SUMIFS('Live Collections'!$T:$T,'Live Collections'!$D:$D,Disbursements!B819,'Live Collections'!$G:$G,Disbursements!C819)</f>
        <v>0</v>
      </c>
      <c r="AM819" s="541">
        <f t="shared" si="348"/>
        <v>0</v>
      </c>
      <c r="AN819" s="542" t="str">
        <f t="shared" si="349"/>
        <v/>
      </c>
      <c r="AO819" s="542" t="str">
        <f t="shared" si="350"/>
        <v/>
      </c>
      <c r="AP819" s="543" t="str">
        <f t="shared" si="351"/>
        <v/>
      </c>
      <c r="AQ819" s="544" t="str">
        <f t="shared" si="352"/>
        <v/>
      </c>
      <c r="AR819" s="545">
        <f t="shared" si="353"/>
        <v>0</v>
      </c>
      <c r="AS819" s="545">
        <f>IFERROR(CEILING($AR819*VLOOKUP($I819,Ref!$B$23:$E$29,4,0),1),0)</f>
        <v>0</v>
      </c>
      <c r="AT819" s="545" t="str">
        <f>IF(A819="","",IF(AP819&lt;=1,"Cleared",IF(AS819=0,"Clean",VLOOKUP($AS819,Ref!$G$23:$H$28,2))))</f>
        <v/>
      </c>
      <c r="AU819" s="546" t="str">
        <f t="shared" si="354"/>
        <v/>
      </c>
    </row>
    <row r="820" spans="1:47" ht="14.25" hidden="1" customHeight="1" x14ac:dyDescent="0.15">
      <c r="A820" s="523"/>
      <c r="B820" s="523"/>
      <c r="C820" s="523"/>
      <c r="D820" s="523"/>
      <c r="E820" s="579"/>
      <c r="F820" s="580"/>
      <c r="G820" s="524"/>
      <c r="H820" s="555"/>
      <c r="I820" s="560"/>
      <c r="J820" s="523"/>
      <c r="K820" s="528" t="str">
        <f>IFERROR(VLOOKUP($B820,'Clients-Live'!$A:$C,3,0),"")</f>
        <v/>
      </c>
      <c r="L820" s="528">
        <f>IF(E820="STL",Pricing!$D$38,IF(A820="",0,IF(A820&lt;Pricing!$C$25,Pricing!$D$25,VLOOKUP(Disbursements!$F820,Pricing!$B$29:$D$32,3))))</f>
        <v>0</v>
      </c>
      <c r="M820" s="528">
        <f>IF(E820="STL",0,IF(F820&gt;0,Pricing!$D$21,0))</f>
        <v>0</v>
      </c>
      <c r="N820" s="529">
        <f>IF(E820="STL",F820*Pricing!$D$40,IF(A820&lt;=Pricing!$C$4,0,IF(AND(A820&gt;Pricing!$C$4,Disbursements!A820&lt;=Pricing!$C$5),F820*Pricing!$E$5,IF(AND(A820&gt;Pricing!$C$5,Disbursements!A820&lt;=Pricing!$C$7),VLOOKUP(F820,Pricing!$D$7:$E$8,2)*Disbursements!F820,F820*Pricing!$E$9))))</f>
        <v>0</v>
      </c>
      <c r="O820" s="528">
        <f>IF(E820="STL",0,IF($F820&gt;0,$F820*Pricing!$D$17,0))</f>
        <v>0</v>
      </c>
      <c r="P820" s="530" t="str">
        <f t="shared" si="334"/>
        <v/>
      </c>
      <c r="Q820" s="531" t="str">
        <f>IF($A820="","",$G820/VLOOKUP($I820,Ref!$B$23:$D$29,2,0))</f>
        <v/>
      </c>
      <c r="R820" s="530" t="str">
        <f t="shared" si="335"/>
        <v/>
      </c>
      <c r="S820" s="532" t="str">
        <f t="shared" si="329"/>
        <v/>
      </c>
      <c r="T820" s="531" t="str">
        <f t="shared" si="336"/>
        <v/>
      </c>
      <c r="U820" s="533">
        <f t="shared" si="337"/>
        <v>0</v>
      </c>
      <c r="V820" s="531" t="str">
        <f t="shared" si="338"/>
        <v/>
      </c>
      <c r="W820" s="531" t="str">
        <f t="shared" si="339"/>
        <v/>
      </c>
      <c r="X820" s="534" t="str">
        <f t="shared" si="340"/>
        <v/>
      </c>
      <c r="Y820" s="535" t="str">
        <f>IF($A820="","",IF($I820="weekly",$A820+7,EDATE($A820,VLOOKUP($I820,Ref!$B$24:$C$29,2,0))))</f>
        <v/>
      </c>
      <c r="Z820" s="536" t="str">
        <f t="shared" si="341"/>
        <v/>
      </c>
      <c r="AA820" s="531">
        <f t="shared" si="342"/>
        <v>0</v>
      </c>
      <c r="AB820" s="535" t="str">
        <f t="shared" si="330"/>
        <v/>
      </c>
      <c r="AC820" s="537" t="str">
        <f t="shared" si="331"/>
        <v/>
      </c>
      <c r="AD820" s="538" t="str">
        <f t="shared" ca="1" si="332"/>
        <v/>
      </c>
      <c r="AE820" s="537">
        <f t="shared" ca="1" si="333"/>
        <v>0</v>
      </c>
      <c r="AF820" s="539" t="str">
        <f t="shared" ca="1" si="343"/>
        <v/>
      </c>
      <c r="AG820" s="531" t="str">
        <f t="shared" ca="1" si="344"/>
        <v/>
      </c>
      <c r="AH820" s="531" t="str">
        <f t="shared" ca="1" si="345"/>
        <v/>
      </c>
      <c r="AI820" s="531" t="str">
        <f t="shared" ca="1" si="346"/>
        <v/>
      </c>
      <c r="AJ820" s="531" t="str">
        <f t="shared" si="347"/>
        <v/>
      </c>
      <c r="AK820" s="540">
        <f>SUMIFS('Live Collections'!$S:$S,'Live Collections'!$D:$D,Disbursements!B820,'Live Collections'!$G:$G,Disbursements!C820)</f>
        <v>0</v>
      </c>
      <c r="AL820" s="540">
        <f>SUMIFS('Live Collections'!$T:$T,'Live Collections'!$D:$D,Disbursements!B820,'Live Collections'!$G:$G,Disbursements!C820)</f>
        <v>0</v>
      </c>
      <c r="AM820" s="541">
        <f t="shared" si="348"/>
        <v>0</v>
      </c>
      <c r="AN820" s="542" t="str">
        <f t="shared" si="349"/>
        <v/>
      </c>
      <c r="AO820" s="542" t="str">
        <f t="shared" si="350"/>
        <v/>
      </c>
      <c r="AP820" s="543" t="str">
        <f t="shared" si="351"/>
        <v/>
      </c>
      <c r="AQ820" s="544" t="str">
        <f t="shared" si="352"/>
        <v/>
      </c>
      <c r="AR820" s="545">
        <f t="shared" si="353"/>
        <v>0</v>
      </c>
      <c r="AS820" s="545">
        <f>IFERROR(CEILING($AR820*VLOOKUP($I820,Ref!$B$23:$E$29,4,0),1),0)</f>
        <v>0</v>
      </c>
      <c r="AT820" s="545" t="str">
        <f>IF(A820="","",IF(AP820&lt;=1,"Cleared",IF(AS820=0,"Clean",VLOOKUP($AS820,Ref!$G$23:$H$28,2))))</f>
        <v/>
      </c>
      <c r="AU820" s="546" t="str">
        <f t="shared" si="354"/>
        <v/>
      </c>
    </row>
    <row r="821" spans="1:47" ht="14.25" hidden="1" customHeight="1" x14ac:dyDescent="0.15">
      <c r="A821" s="523"/>
      <c r="B821" s="523"/>
      <c r="C821" s="523"/>
      <c r="D821" s="523"/>
      <c r="E821" s="579"/>
      <c r="F821" s="580"/>
      <c r="G821" s="524"/>
      <c r="H821" s="555"/>
      <c r="I821" s="560"/>
      <c r="J821" s="523"/>
      <c r="K821" s="528" t="str">
        <f>IFERROR(VLOOKUP($B821,'Clients-Live'!$A:$C,3,0),"")</f>
        <v/>
      </c>
      <c r="L821" s="528">
        <f>IF(E821="STL",Pricing!$D$38,IF(A821="",0,IF(A821&lt;Pricing!$C$25,Pricing!$D$25,VLOOKUP(Disbursements!$F821,Pricing!$B$29:$D$32,3))))</f>
        <v>0</v>
      </c>
      <c r="M821" s="528">
        <f>IF(E821="STL",0,IF(F821&gt;0,Pricing!$D$21,0))</f>
        <v>0</v>
      </c>
      <c r="N821" s="529">
        <f>IF(E821="STL",F821*Pricing!$D$40,IF(A821&lt;=Pricing!$C$4,0,IF(AND(A821&gt;Pricing!$C$4,Disbursements!A821&lt;=Pricing!$C$5),F821*Pricing!$E$5,IF(AND(A821&gt;Pricing!$C$5,Disbursements!A821&lt;=Pricing!$C$7),VLOOKUP(F821,Pricing!$D$7:$E$8,2)*Disbursements!F821,F821*Pricing!$E$9))))</f>
        <v>0</v>
      </c>
      <c r="O821" s="528">
        <f>IF(E821="STL",0,IF($F821&gt;0,$F821*Pricing!$D$17,0))</f>
        <v>0</v>
      </c>
      <c r="P821" s="530" t="str">
        <f t="shared" si="334"/>
        <v/>
      </c>
      <c r="Q821" s="531" t="str">
        <f>IF($A821="","",$G821/VLOOKUP($I821,Ref!$B$23:$D$29,2,0))</f>
        <v/>
      </c>
      <c r="R821" s="530" t="str">
        <f t="shared" si="335"/>
        <v/>
      </c>
      <c r="S821" s="532" t="str">
        <f t="shared" si="329"/>
        <v/>
      </c>
      <c r="T821" s="531" t="str">
        <f t="shared" si="336"/>
        <v/>
      </c>
      <c r="U821" s="533">
        <f t="shared" si="337"/>
        <v>0</v>
      </c>
      <c r="V821" s="531" t="str">
        <f t="shared" si="338"/>
        <v/>
      </c>
      <c r="W821" s="531" t="str">
        <f t="shared" si="339"/>
        <v/>
      </c>
      <c r="X821" s="534" t="str">
        <f t="shared" si="340"/>
        <v/>
      </c>
      <c r="Y821" s="535" t="str">
        <f>IF($A821="","",IF($I821="weekly",$A821+7,EDATE($A821,VLOOKUP($I821,Ref!$B$24:$C$29,2,0))))</f>
        <v/>
      </c>
      <c r="Z821" s="536" t="str">
        <f t="shared" si="341"/>
        <v/>
      </c>
      <c r="AA821" s="531">
        <f t="shared" si="342"/>
        <v>0</v>
      </c>
      <c r="AB821" s="535" t="str">
        <f t="shared" si="330"/>
        <v/>
      </c>
      <c r="AC821" s="537" t="str">
        <f t="shared" si="331"/>
        <v/>
      </c>
      <c r="AD821" s="538" t="str">
        <f t="shared" ca="1" si="332"/>
        <v/>
      </c>
      <c r="AE821" s="537">
        <f t="shared" ca="1" si="333"/>
        <v>0</v>
      </c>
      <c r="AF821" s="539" t="str">
        <f t="shared" ca="1" si="343"/>
        <v/>
      </c>
      <c r="AG821" s="531" t="str">
        <f t="shared" ca="1" si="344"/>
        <v/>
      </c>
      <c r="AH821" s="531" t="str">
        <f t="shared" ca="1" si="345"/>
        <v/>
      </c>
      <c r="AI821" s="531" t="str">
        <f t="shared" ca="1" si="346"/>
        <v/>
      </c>
      <c r="AJ821" s="531" t="str">
        <f t="shared" si="347"/>
        <v/>
      </c>
      <c r="AK821" s="540">
        <f>SUMIFS('Live Collections'!$S:$S,'Live Collections'!$D:$D,Disbursements!B821,'Live Collections'!$G:$G,Disbursements!C821)</f>
        <v>0</v>
      </c>
      <c r="AL821" s="540">
        <f>SUMIFS('Live Collections'!$T:$T,'Live Collections'!$D:$D,Disbursements!B821,'Live Collections'!$G:$G,Disbursements!C821)</f>
        <v>0</v>
      </c>
      <c r="AM821" s="541">
        <f t="shared" si="348"/>
        <v>0</v>
      </c>
      <c r="AN821" s="542" t="str">
        <f t="shared" si="349"/>
        <v/>
      </c>
      <c r="AO821" s="542" t="str">
        <f t="shared" si="350"/>
        <v/>
      </c>
      <c r="AP821" s="543" t="str">
        <f t="shared" si="351"/>
        <v/>
      </c>
      <c r="AQ821" s="544" t="str">
        <f t="shared" si="352"/>
        <v/>
      </c>
      <c r="AR821" s="545">
        <f t="shared" si="353"/>
        <v>0</v>
      </c>
      <c r="AS821" s="545">
        <f>IFERROR(CEILING($AR821*VLOOKUP($I821,Ref!$B$23:$E$29,4,0),1),0)</f>
        <v>0</v>
      </c>
      <c r="AT821" s="545" t="str">
        <f>IF(A821="","",IF(AP821&lt;=1,"Cleared",IF(AS821=0,"Clean",VLOOKUP($AS821,Ref!$G$23:$H$28,2))))</f>
        <v/>
      </c>
      <c r="AU821" s="546" t="str">
        <f t="shared" si="354"/>
        <v/>
      </c>
    </row>
    <row r="822" spans="1:47" ht="14.25" hidden="1" customHeight="1" x14ac:dyDescent="0.15">
      <c r="A822" s="523"/>
      <c r="B822" s="523"/>
      <c r="C822" s="523"/>
      <c r="D822" s="523"/>
      <c r="E822" s="579"/>
      <c r="F822" s="580"/>
      <c r="G822" s="524"/>
      <c r="H822" s="555"/>
      <c r="I822" s="560"/>
      <c r="J822" s="523"/>
      <c r="K822" s="528" t="str">
        <f>IFERROR(VLOOKUP($B822,'Clients-Live'!$A:$C,3,0),"")</f>
        <v/>
      </c>
      <c r="L822" s="528">
        <f>IF(E822="STL",Pricing!$D$38,IF(A822="",0,IF(A822&lt;Pricing!$C$25,Pricing!$D$25,VLOOKUP(Disbursements!$F822,Pricing!$B$29:$D$32,3))))</f>
        <v>0</v>
      </c>
      <c r="M822" s="528">
        <f>IF(E822="STL",0,IF(F822&gt;0,Pricing!$D$21,0))</f>
        <v>0</v>
      </c>
      <c r="N822" s="529">
        <f>IF(E822="STL",F822*Pricing!$D$40,IF(A822&lt;=Pricing!$C$4,0,IF(AND(A822&gt;Pricing!$C$4,Disbursements!A822&lt;=Pricing!$C$5),F822*Pricing!$E$5,IF(AND(A822&gt;Pricing!$C$5,Disbursements!A822&lt;=Pricing!$C$7),VLOOKUP(F822,Pricing!$D$7:$E$8,2)*Disbursements!F822,F822*Pricing!$E$9))))</f>
        <v>0</v>
      </c>
      <c r="O822" s="528">
        <f>IF(E822="STL",0,IF($F822&gt;0,$F822*Pricing!$D$17,0))</f>
        <v>0</v>
      </c>
      <c r="P822" s="530" t="str">
        <f t="shared" si="334"/>
        <v/>
      </c>
      <c r="Q822" s="531" t="str">
        <f>IF($A822="","",$G822/VLOOKUP($I822,Ref!$B$23:$D$29,2,0))</f>
        <v/>
      </c>
      <c r="R822" s="530" t="str">
        <f t="shared" si="335"/>
        <v/>
      </c>
      <c r="S822" s="532" t="str">
        <f t="shared" si="329"/>
        <v/>
      </c>
      <c r="T822" s="531" t="str">
        <f t="shared" si="336"/>
        <v/>
      </c>
      <c r="U822" s="533">
        <f t="shared" si="337"/>
        <v>0</v>
      </c>
      <c r="V822" s="531" t="str">
        <f t="shared" si="338"/>
        <v/>
      </c>
      <c r="W822" s="531" t="str">
        <f t="shared" si="339"/>
        <v/>
      </c>
      <c r="X822" s="534" t="str">
        <f t="shared" si="340"/>
        <v/>
      </c>
      <c r="Y822" s="535" t="str">
        <f>IF($A822="","",IF($I822="weekly",$A822+7,EDATE($A822,VLOOKUP($I822,Ref!$B$24:$C$29,2,0))))</f>
        <v/>
      </c>
      <c r="Z822" s="536" t="str">
        <f t="shared" si="341"/>
        <v/>
      </c>
      <c r="AA822" s="531">
        <f t="shared" si="342"/>
        <v>0</v>
      </c>
      <c r="AB822" s="535" t="str">
        <f t="shared" si="330"/>
        <v/>
      </c>
      <c r="AC822" s="537" t="str">
        <f t="shared" si="331"/>
        <v/>
      </c>
      <c r="AD822" s="538" t="str">
        <f t="shared" ca="1" si="332"/>
        <v/>
      </c>
      <c r="AE822" s="537">
        <f t="shared" ca="1" si="333"/>
        <v>0</v>
      </c>
      <c r="AF822" s="539" t="str">
        <f t="shared" ca="1" si="343"/>
        <v/>
      </c>
      <c r="AG822" s="531" t="str">
        <f t="shared" ca="1" si="344"/>
        <v/>
      </c>
      <c r="AH822" s="531" t="str">
        <f t="shared" ca="1" si="345"/>
        <v/>
      </c>
      <c r="AI822" s="531" t="str">
        <f t="shared" ca="1" si="346"/>
        <v/>
      </c>
      <c r="AJ822" s="531" t="str">
        <f t="shared" si="347"/>
        <v/>
      </c>
      <c r="AK822" s="540">
        <f>SUMIFS('Live Collections'!$S:$S,'Live Collections'!$D:$D,Disbursements!B822,'Live Collections'!$G:$G,Disbursements!C822)</f>
        <v>0</v>
      </c>
      <c r="AL822" s="540">
        <f>SUMIFS('Live Collections'!$T:$T,'Live Collections'!$D:$D,Disbursements!B822,'Live Collections'!$G:$G,Disbursements!C822)</f>
        <v>0</v>
      </c>
      <c r="AM822" s="541">
        <f t="shared" si="348"/>
        <v>0</v>
      </c>
      <c r="AN822" s="542" t="str">
        <f t="shared" si="349"/>
        <v/>
      </c>
      <c r="AO822" s="542" t="str">
        <f t="shared" si="350"/>
        <v/>
      </c>
      <c r="AP822" s="543" t="str">
        <f t="shared" si="351"/>
        <v/>
      </c>
      <c r="AQ822" s="544" t="str">
        <f t="shared" si="352"/>
        <v/>
      </c>
      <c r="AR822" s="545">
        <f t="shared" si="353"/>
        <v>0</v>
      </c>
      <c r="AS822" s="545">
        <f>IFERROR(CEILING($AR822*VLOOKUP($I822,Ref!$B$23:$E$29,4,0),1),0)</f>
        <v>0</v>
      </c>
      <c r="AT822" s="545" t="str">
        <f>IF(A822="","",IF(AP822&lt;=1,"Cleared",IF(AS822=0,"Clean",VLOOKUP($AS822,Ref!$G$23:$H$28,2))))</f>
        <v/>
      </c>
      <c r="AU822" s="546" t="str">
        <f t="shared" si="354"/>
        <v/>
      </c>
    </row>
    <row r="823" spans="1:47" ht="14.25" hidden="1" customHeight="1" x14ac:dyDescent="0.15">
      <c r="A823" s="523"/>
      <c r="B823" s="523"/>
      <c r="C823" s="523"/>
      <c r="D823" s="523"/>
      <c r="E823" s="579"/>
      <c r="F823" s="580"/>
      <c r="G823" s="524"/>
      <c r="H823" s="555"/>
      <c r="I823" s="560"/>
      <c r="J823" s="523"/>
      <c r="K823" s="528" t="str">
        <f>IFERROR(VLOOKUP($B823,'Clients-Live'!$A:$C,3,0),"")</f>
        <v/>
      </c>
      <c r="L823" s="528">
        <f>IF(E823="STL",Pricing!$D$38,IF(A823="",0,IF(A823&lt;Pricing!$C$25,Pricing!$D$25,VLOOKUP(Disbursements!$F823,Pricing!$B$29:$D$32,3))))</f>
        <v>0</v>
      </c>
      <c r="M823" s="528">
        <f>IF(E823="STL",0,IF(F823&gt;0,Pricing!$D$21,0))</f>
        <v>0</v>
      </c>
      <c r="N823" s="529">
        <f>IF(E823="STL",F823*Pricing!$D$40,IF(A823&lt;=Pricing!$C$4,0,IF(AND(A823&gt;Pricing!$C$4,Disbursements!A823&lt;=Pricing!$C$5),F823*Pricing!$E$5,IF(AND(A823&gt;Pricing!$C$5,Disbursements!A823&lt;=Pricing!$C$7),VLOOKUP(F823,Pricing!$D$7:$E$8,2)*Disbursements!F823,F823*Pricing!$E$9))))</f>
        <v>0</v>
      </c>
      <c r="O823" s="528">
        <f>IF(E823="STL",0,IF($F823&gt;0,$F823*Pricing!$D$17,0))</f>
        <v>0</v>
      </c>
      <c r="P823" s="530" t="str">
        <f t="shared" si="334"/>
        <v/>
      </c>
      <c r="Q823" s="531" t="str">
        <f>IF($A823="","",$G823/VLOOKUP($I823,Ref!$B$23:$D$29,2,0))</f>
        <v/>
      </c>
      <c r="R823" s="530" t="str">
        <f t="shared" si="335"/>
        <v/>
      </c>
      <c r="S823" s="532" t="str">
        <f t="shared" si="329"/>
        <v/>
      </c>
      <c r="T823" s="531" t="str">
        <f t="shared" si="336"/>
        <v/>
      </c>
      <c r="U823" s="533">
        <f t="shared" si="337"/>
        <v>0</v>
      </c>
      <c r="V823" s="531" t="str">
        <f t="shared" si="338"/>
        <v/>
      </c>
      <c r="W823" s="531" t="str">
        <f t="shared" si="339"/>
        <v/>
      </c>
      <c r="X823" s="534" t="str">
        <f t="shared" si="340"/>
        <v/>
      </c>
      <c r="Y823" s="535" t="str">
        <f>IF($A823="","",IF($I823="weekly",$A823+7,EDATE($A823,VLOOKUP($I823,Ref!$B$24:$C$29,2,0))))</f>
        <v/>
      </c>
      <c r="Z823" s="536" t="str">
        <f t="shared" si="341"/>
        <v/>
      </c>
      <c r="AA823" s="531">
        <f t="shared" si="342"/>
        <v>0</v>
      </c>
      <c r="AB823" s="535" t="str">
        <f t="shared" si="330"/>
        <v/>
      </c>
      <c r="AC823" s="537" t="str">
        <f t="shared" si="331"/>
        <v/>
      </c>
      <c r="AD823" s="538" t="str">
        <f t="shared" ca="1" si="332"/>
        <v/>
      </c>
      <c r="AE823" s="537">
        <f t="shared" ca="1" si="333"/>
        <v>0</v>
      </c>
      <c r="AF823" s="539" t="str">
        <f t="shared" ca="1" si="343"/>
        <v/>
      </c>
      <c r="AG823" s="531" t="str">
        <f t="shared" ca="1" si="344"/>
        <v/>
      </c>
      <c r="AH823" s="531" t="str">
        <f t="shared" ca="1" si="345"/>
        <v/>
      </c>
      <c r="AI823" s="531" t="str">
        <f t="shared" ca="1" si="346"/>
        <v/>
      </c>
      <c r="AJ823" s="531" t="str">
        <f t="shared" si="347"/>
        <v/>
      </c>
      <c r="AK823" s="540">
        <f>SUMIFS('Live Collections'!$S:$S,'Live Collections'!$D:$D,Disbursements!B823,'Live Collections'!$G:$G,Disbursements!C823)</f>
        <v>0</v>
      </c>
      <c r="AL823" s="540">
        <f>SUMIFS('Live Collections'!$T:$T,'Live Collections'!$D:$D,Disbursements!B823,'Live Collections'!$G:$G,Disbursements!C823)</f>
        <v>0</v>
      </c>
      <c r="AM823" s="541">
        <f t="shared" si="348"/>
        <v>0</v>
      </c>
      <c r="AN823" s="542" t="str">
        <f t="shared" si="349"/>
        <v/>
      </c>
      <c r="AO823" s="542" t="str">
        <f t="shared" si="350"/>
        <v/>
      </c>
      <c r="AP823" s="543" t="str">
        <f t="shared" si="351"/>
        <v/>
      </c>
      <c r="AQ823" s="544" t="str">
        <f t="shared" si="352"/>
        <v/>
      </c>
      <c r="AR823" s="545">
        <f t="shared" si="353"/>
        <v>0</v>
      </c>
      <c r="AS823" s="545">
        <f>IFERROR(CEILING($AR823*VLOOKUP($I823,Ref!$B$23:$E$29,4,0),1),0)</f>
        <v>0</v>
      </c>
      <c r="AT823" s="545" t="str">
        <f>IF(A823="","",IF(AP823&lt;=1,"Cleared",IF(AS823=0,"Clean",VLOOKUP($AS823,Ref!$G$23:$H$28,2))))</f>
        <v/>
      </c>
      <c r="AU823" s="546" t="str">
        <f t="shared" si="354"/>
        <v/>
      </c>
    </row>
    <row r="824" spans="1:47" ht="14.25" hidden="1" customHeight="1" x14ac:dyDescent="0.15">
      <c r="A824" s="523"/>
      <c r="B824" s="523"/>
      <c r="C824" s="523"/>
      <c r="D824" s="523"/>
      <c r="E824" s="579"/>
      <c r="F824" s="580"/>
      <c r="G824" s="524"/>
      <c r="H824" s="555"/>
      <c r="I824" s="560"/>
      <c r="J824" s="523"/>
      <c r="K824" s="528" t="str">
        <f>IFERROR(VLOOKUP($B824,'Clients-Live'!$A:$C,3,0),"")</f>
        <v/>
      </c>
      <c r="L824" s="528">
        <f>IF(E824="STL",Pricing!$D$38,IF(A824="",0,IF(A824&lt;Pricing!$C$25,Pricing!$D$25,VLOOKUP(Disbursements!$F824,Pricing!$B$29:$D$32,3))))</f>
        <v>0</v>
      </c>
      <c r="M824" s="528">
        <f>IF(E824="STL",0,IF(F824&gt;0,Pricing!$D$21,0))</f>
        <v>0</v>
      </c>
      <c r="N824" s="529">
        <f>IF(E824="STL",F824*Pricing!$D$40,IF(A824&lt;=Pricing!$C$4,0,IF(AND(A824&gt;Pricing!$C$4,Disbursements!A824&lt;=Pricing!$C$5),F824*Pricing!$E$5,IF(AND(A824&gt;Pricing!$C$5,Disbursements!A824&lt;=Pricing!$C$7),VLOOKUP(F824,Pricing!$D$7:$E$8,2)*Disbursements!F824,F824*Pricing!$E$9))))</f>
        <v>0</v>
      </c>
      <c r="O824" s="528">
        <f>IF(E824="STL",0,IF($F824&gt;0,$F824*Pricing!$D$17,0))</f>
        <v>0</v>
      </c>
      <c r="P824" s="530" t="str">
        <f t="shared" si="334"/>
        <v/>
      </c>
      <c r="Q824" s="531" t="str">
        <f>IF($A824="","",$G824/VLOOKUP($I824,Ref!$B$23:$D$29,2,0))</f>
        <v/>
      </c>
      <c r="R824" s="530" t="str">
        <f t="shared" si="335"/>
        <v/>
      </c>
      <c r="S824" s="532" t="str">
        <f t="shared" si="329"/>
        <v/>
      </c>
      <c r="T824" s="531" t="str">
        <f t="shared" si="336"/>
        <v/>
      </c>
      <c r="U824" s="533">
        <f t="shared" si="337"/>
        <v>0</v>
      </c>
      <c r="V824" s="531" t="str">
        <f t="shared" si="338"/>
        <v/>
      </c>
      <c r="W824" s="531" t="str">
        <f t="shared" si="339"/>
        <v/>
      </c>
      <c r="X824" s="534" t="str">
        <f t="shared" si="340"/>
        <v/>
      </c>
      <c r="Y824" s="535" t="str">
        <f>IF($A824="","",IF($I824="weekly",$A824+7,EDATE($A824,VLOOKUP($I824,Ref!$B$24:$C$29,2,0))))</f>
        <v/>
      </c>
      <c r="Z824" s="536" t="str">
        <f t="shared" si="341"/>
        <v/>
      </c>
      <c r="AA824" s="531">
        <f t="shared" si="342"/>
        <v>0</v>
      </c>
      <c r="AB824" s="535" t="str">
        <f t="shared" si="330"/>
        <v/>
      </c>
      <c r="AC824" s="537" t="str">
        <f t="shared" si="331"/>
        <v/>
      </c>
      <c r="AD824" s="538" t="str">
        <f t="shared" ca="1" si="332"/>
        <v/>
      </c>
      <c r="AE824" s="537">
        <f t="shared" ca="1" si="333"/>
        <v>0</v>
      </c>
      <c r="AF824" s="539" t="str">
        <f t="shared" ca="1" si="343"/>
        <v/>
      </c>
      <c r="AG824" s="531" t="str">
        <f t="shared" ca="1" si="344"/>
        <v/>
      </c>
      <c r="AH824" s="531" t="str">
        <f t="shared" ca="1" si="345"/>
        <v/>
      </c>
      <c r="AI824" s="531" t="str">
        <f t="shared" ca="1" si="346"/>
        <v/>
      </c>
      <c r="AJ824" s="531" t="str">
        <f t="shared" si="347"/>
        <v/>
      </c>
      <c r="AK824" s="540">
        <f>SUMIFS('Live Collections'!$S:$S,'Live Collections'!$D:$D,Disbursements!B824,'Live Collections'!$G:$G,Disbursements!C824)</f>
        <v>0</v>
      </c>
      <c r="AL824" s="540">
        <f>SUMIFS('Live Collections'!$T:$T,'Live Collections'!$D:$D,Disbursements!B824,'Live Collections'!$G:$G,Disbursements!C824)</f>
        <v>0</v>
      </c>
      <c r="AM824" s="541">
        <f t="shared" si="348"/>
        <v>0</v>
      </c>
      <c r="AN824" s="542" t="str">
        <f t="shared" si="349"/>
        <v/>
      </c>
      <c r="AO824" s="542" t="str">
        <f t="shared" si="350"/>
        <v/>
      </c>
      <c r="AP824" s="543" t="str">
        <f t="shared" si="351"/>
        <v/>
      </c>
      <c r="AQ824" s="544" t="str">
        <f t="shared" si="352"/>
        <v/>
      </c>
      <c r="AR824" s="545">
        <f t="shared" si="353"/>
        <v>0</v>
      </c>
      <c r="AS824" s="545">
        <f>IFERROR(CEILING($AR824*VLOOKUP($I824,Ref!$B$23:$E$29,4,0),1),0)</f>
        <v>0</v>
      </c>
      <c r="AT824" s="545" t="str">
        <f>IF(A824="","",IF(AP824&lt;=1,"Cleared",IF(AS824=0,"Clean",VLOOKUP($AS824,Ref!$G$23:$H$28,2))))</f>
        <v/>
      </c>
      <c r="AU824" s="546" t="str">
        <f t="shared" si="354"/>
        <v/>
      </c>
    </row>
    <row r="825" spans="1:47" ht="14.25" hidden="1" customHeight="1" x14ac:dyDescent="0.15">
      <c r="A825" s="523"/>
      <c r="B825" s="523"/>
      <c r="C825" s="523"/>
      <c r="D825" s="523"/>
      <c r="E825" s="579"/>
      <c r="F825" s="580"/>
      <c r="G825" s="524"/>
      <c r="H825" s="555"/>
      <c r="I825" s="560"/>
      <c r="J825" s="523"/>
      <c r="K825" s="528" t="str">
        <f>IFERROR(VLOOKUP($B825,'Clients-Live'!$A:$C,3,0),"")</f>
        <v/>
      </c>
      <c r="L825" s="528">
        <f>IF(E825="STL",Pricing!$D$38,IF(A825="",0,IF(A825&lt;Pricing!$C$25,Pricing!$D$25,VLOOKUP(Disbursements!$F825,Pricing!$B$29:$D$32,3))))</f>
        <v>0</v>
      </c>
      <c r="M825" s="528">
        <f>IF(E825="STL",0,IF(F825&gt;0,Pricing!$D$21,0))</f>
        <v>0</v>
      </c>
      <c r="N825" s="529">
        <f>IF(E825="STL",F825*Pricing!$D$40,IF(A825&lt;=Pricing!$C$4,0,IF(AND(A825&gt;Pricing!$C$4,Disbursements!A825&lt;=Pricing!$C$5),F825*Pricing!$E$5,IF(AND(A825&gt;Pricing!$C$5,Disbursements!A825&lt;=Pricing!$C$7),VLOOKUP(F825,Pricing!$D$7:$E$8,2)*Disbursements!F825,F825*Pricing!$E$9))))</f>
        <v>0</v>
      </c>
      <c r="O825" s="528">
        <f>IF(E825="STL",0,IF($F825&gt;0,$F825*Pricing!$D$17,0))</f>
        <v>0</v>
      </c>
      <c r="P825" s="530" t="str">
        <f t="shared" si="334"/>
        <v/>
      </c>
      <c r="Q825" s="531" t="str">
        <f>IF($A825="","",$G825/VLOOKUP($I825,Ref!$B$23:$D$29,2,0))</f>
        <v/>
      </c>
      <c r="R825" s="530" t="str">
        <f t="shared" si="335"/>
        <v/>
      </c>
      <c r="S825" s="532" t="str">
        <f t="shared" si="329"/>
        <v/>
      </c>
      <c r="T825" s="531" t="str">
        <f t="shared" si="336"/>
        <v/>
      </c>
      <c r="U825" s="533">
        <f t="shared" si="337"/>
        <v>0</v>
      </c>
      <c r="V825" s="531" t="str">
        <f t="shared" si="338"/>
        <v/>
      </c>
      <c r="W825" s="531" t="str">
        <f t="shared" si="339"/>
        <v/>
      </c>
      <c r="X825" s="534" t="str">
        <f t="shared" si="340"/>
        <v/>
      </c>
      <c r="Y825" s="535" t="str">
        <f>IF($A825="","",IF($I825="weekly",$A825+7,EDATE($A825,VLOOKUP($I825,Ref!$B$24:$C$29,2,0))))</f>
        <v/>
      </c>
      <c r="Z825" s="536" t="str">
        <f t="shared" si="341"/>
        <v/>
      </c>
      <c r="AA825" s="531">
        <f t="shared" si="342"/>
        <v>0</v>
      </c>
      <c r="AB825" s="535" t="str">
        <f t="shared" si="330"/>
        <v/>
      </c>
      <c r="AC825" s="537" t="str">
        <f t="shared" si="331"/>
        <v/>
      </c>
      <c r="AD825" s="538" t="str">
        <f t="shared" ca="1" si="332"/>
        <v/>
      </c>
      <c r="AE825" s="537">
        <f t="shared" ca="1" si="333"/>
        <v>0</v>
      </c>
      <c r="AF825" s="539" t="str">
        <f t="shared" ca="1" si="343"/>
        <v/>
      </c>
      <c r="AG825" s="531" t="str">
        <f t="shared" ca="1" si="344"/>
        <v/>
      </c>
      <c r="AH825" s="531" t="str">
        <f t="shared" ca="1" si="345"/>
        <v/>
      </c>
      <c r="AI825" s="531" t="str">
        <f t="shared" ca="1" si="346"/>
        <v/>
      </c>
      <c r="AJ825" s="531" t="str">
        <f t="shared" si="347"/>
        <v/>
      </c>
      <c r="AK825" s="540">
        <f>SUMIFS('Live Collections'!$S:$S,'Live Collections'!$D:$D,Disbursements!B825,'Live Collections'!$G:$G,Disbursements!C825)</f>
        <v>0</v>
      </c>
      <c r="AL825" s="540">
        <f>SUMIFS('Live Collections'!$T:$T,'Live Collections'!$D:$D,Disbursements!B825,'Live Collections'!$G:$G,Disbursements!C825)</f>
        <v>0</v>
      </c>
      <c r="AM825" s="541">
        <f t="shared" si="348"/>
        <v>0</v>
      </c>
      <c r="AN825" s="542" t="str">
        <f t="shared" si="349"/>
        <v/>
      </c>
      <c r="AO825" s="542" t="str">
        <f t="shared" si="350"/>
        <v/>
      </c>
      <c r="AP825" s="543" t="str">
        <f t="shared" si="351"/>
        <v/>
      </c>
      <c r="AQ825" s="544" t="str">
        <f t="shared" si="352"/>
        <v/>
      </c>
      <c r="AR825" s="545">
        <f t="shared" si="353"/>
        <v>0</v>
      </c>
      <c r="AS825" s="545">
        <f>IFERROR(CEILING($AR825*VLOOKUP($I825,Ref!$B$23:$E$29,4,0),1),0)</f>
        <v>0</v>
      </c>
      <c r="AT825" s="545" t="str">
        <f>IF(A825="","",IF(AP825&lt;=1,"Cleared",IF(AS825=0,"Clean",VLOOKUP($AS825,Ref!$G$23:$H$28,2))))</f>
        <v/>
      </c>
      <c r="AU825" s="546" t="str">
        <f t="shared" si="354"/>
        <v/>
      </c>
    </row>
    <row r="826" spans="1:47" ht="14.25" hidden="1" customHeight="1" x14ac:dyDescent="0.15">
      <c r="A826" s="523"/>
      <c r="B826" s="523"/>
      <c r="C826" s="523"/>
      <c r="D826" s="523"/>
      <c r="E826" s="579"/>
      <c r="F826" s="580"/>
      <c r="G826" s="524"/>
      <c r="H826" s="555"/>
      <c r="I826" s="560"/>
      <c r="J826" s="523"/>
      <c r="K826" s="528" t="str">
        <f>IFERROR(VLOOKUP($B826,'Clients-Live'!$A:$C,3,0),"")</f>
        <v/>
      </c>
      <c r="L826" s="528">
        <f>IF(E826="STL",Pricing!$D$38,IF(A826="",0,IF(A826&lt;Pricing!$C$25,Pricing!$D$25,VLOOKUP(Disbursements!$F826,Pricing!$B$29:$D$32,3))))</f>
        <v>0</v>
      </c>
      <c r="M826" s="528">
        <f>IF(E826="STL",0,IF(F826&gt;0,Pricing!$D$21,0))</f>
        <v>0</v>
      </c>
      <c r="N826" s="529">
        <f>IF(E826="STL",F826*Pricing!$D$40,IF(A826&lt;=Pricing!$C$4,0,IF(AND(A826&gt;Pricing!$C$4,Disbursements!A826&lt;=Pricing!$C$5),F826*Pricing!$E$5,IF(AND(A826&gt;Pricing!$C$5,Disbursements!A826&lt;=Pricing!$C$7),VLOOKUP(F826,Pricing!$D$7:$E$8,2)*Disbursements!F826,F826*Pricing!$E$9))))</f>
        <v>0</v>
      </c>
      <c r="O826" s="528">
        <f>IF(E826="STL",0,IF($F826&gt;0,$F826*Pricing!$D$17,0))</f>
        <v>0</v>
      </c>
      <c r="P826" s="530" t="str">
        <f t="shared" si="334"/>
        <v/>
      </c>
      <c r="Q826" s="531" t="str">
        <f>IF($A826="","",$G826/VLOOKUP($I826,Ref!$B$23:$D$29,2,0))</f>
        <v/>
      </c>
      <c r="R826" s="530" t="str">
        <f t="shared" si="335"/>
        <v/>
      </c>
      <c r="S826" s="532" t="str">
        <f t="shared" si="329"/>
        <v/>
      </c>
      <c r="T826" s="531" t="str">
        <f t="shared" si="336"/>
        <v/>
      </c>
      <c r="U826" s="533">
        <f t="shared" si="337"/>
        <v>0</v>
      </c>
      <c r="V826" s="531" t="str">
        <f t="shared" si="338"/>
        <v/>
      </c>
      <c r="W826" s="531" t="str">
        <f t="shared" si="339"/>
        <v/>
      </c>
      <c r="X826" s="534" t="str">
        <f t="shared" si="340"/>
        <v/>
      </c>
      <c r="Y826" s="535" t="str">
        <f>IF($A826="","",IF($I826="weekly",$A826+7,EDATE($A826,VLOOKUP($I826,Ref!$B$24:$C$29,2,0))))</f>
        <v/>
      </c>
      <c r="Z826" s="536" t="str">
        <f t="shared" si="341"/>
        <v/>
      </c>
      <c r="AA826" s="531">
        <f t="shared" si="342"/>
        <v>0</v>
      </c>
      <c r="AB826" s="535" t="str">
        <f t="shared" si="330"/>
        <v/>
      </c>
      <c r="AC826" s="537" t="str">
        <f t="shared" si="331"/>
        <v/>
      </c>
      <c r="AD826" s="538" t="str">
        <f t="shared" ca="1" si="332"/>
        <v/>
      </c>
      <c r="AE826" s="537">
        <f t="shared" ca="1" si="333"/>
        <v>0</v>
      </c>
      <c r="AF826" s="539" t="str">
        <f t="shared" ca="1" si="343"/>
        <v/>
      </c>
      <c r="AG826" s="531" t="str">
        <f t="shared" ca="1" si="344"/>
        <v/>
      </c>
      <c r="AH826" s="531" t="str">
        <f t="shared" ca="1" si="345"/>
        <v/>
      </c>
      <c r="AI826" s="531" t="str">
        <f t="shared" ca="1" si="346"/>
        <v/>
      </c>
      <c r="AJ826" s="531" t="str">
        <f t="shared" si="347"/>
        <v/>
      </c>
      <c r="AK826" s="540">
        <f>SUMIFS('Live Collections'!$S:$S,'Live Collections'!$D:$D,Disbursements!B826,'Live Collections'!$G:$G,Disbursements!C826)</f>
        <v>0</v>
      </c>
      <c r="AL826" s="540">
        <f>SUMIFS('Live Collections'!$T:$T,'Live Collections'!$D:$D,Disbursements!B826,'Live Collections'!$G:$G,Disbursements!C826)</f>
        <v>0</v>
      </c>
      <c r="AM826" s="541">
        <f t="shared" si="348"/>
        <v>0</v>
      </c>
      <c r="AN826" s="542" t="str">
        <f t="shared" si="349"/>
        <v/>
      </c>
      <c r="AO826" s="542" t="str">
        <f t="shared" si="350"/>
        <v/>
      </c>
      <c r="AP826" s="543" t="str">
        <f t="shared" si="351"/>
        <v/>
      </c>
      <c r="AQ826" s="544" t="str">
        <f t="shared" si="352"/>
        <v/>
      </c>
      <c r="AR826" s="545">
        <f t="shared" si="353"/>
        <v>0</v>
      </c>
      <c r="AS826" s="545">
        <f>IFERROR(CEILING($AR826*VLOOKUP($I826,Ref!$B$23:$E$29,4,0),1),0)</f>
        <v>0</v>
      </c>
      <c r="AT826" s="545" t="str">
        <f>IF(A826="","",IF(AP826&lt;=1,"Cleared",IF(AS826=0,"Clean",VLOOKUP($AS826,Ref!$G$23:$H$28,2))))</f>
        <v/>
      </c>
      <c r="AU826" s="546" t="str">
        <f t="shared" si="354"/>
        <v/>
      </c>
    </row>
    <row r="827" spans="1:47" ht="14.25" hidden="1" customHeight="1" x14ac:dyDescent="0.15">
      <c r="A827" s="523"/>
      <c r="B827" s="523"/>
      <c r="C827" s="523"/>
      <c r="D827" s="523"/>
      <c r="E827" s="579"/>
      <c r="F827" s="580"/>
      <c r="G827" s="524"/>
      <c r="H827" s="555"/>
      <c r="I827" s="560"/>
      <c r="J827" s="523"/>
      <c r="K827" s="528" t="str">
        <f>IFERROR(VLOOKUP($B827,'Clients-Live'!$A:$C,3,0),"")</f>
        <v/>
      </c>
      <c r="L827" s="528">
        <f>IF(E827="STL",Pricing!$D$38,IF(A827="",0,IF(A827&lt;Pricing!$C$25,Pricing!$D$25,VLOOKUP(Disbursements!$F827,Pricing!$B$29:$D$32,3))))</f>
        <v>0</v>
      </c>
      <c r="M827" s="528">
        <f>IF(E827="STL",0,IF(F827&gt;0,Pricing!$D$21,0))</f>
        <v>0</v>
      </c>
      <c r="N827" s="529">
        <f>IF(E827="STL",F827*Pricing!$D$40,IF(A827&lt;=Pricing!$C$4,0,IF(AND(A827&gt;Pricing!$C$4,Disbursements!A827&lt;=Pricing!$C$5),F827*Pricing!$E$5,IF(AND(A827&gt;Pricing!$C$5,Disbursements!A827&lt;=Pricing!$C$7),VLOOKUP(F827,Pricing!$D$7:$E$8,2)*Disbursements!F827,F827*Pricing!$E$9))))</f>
        <v>0</v>
      </c>
      <c r="O827" s="528">
        <f>IF(E827="STL",0,IF($F827&gt;0,$F827*Pricing!$D$17,0))</f>
        <v>0</v>
      </c>
      <c r="P827" s="530" t="str">
        <f t="shared" si="334"/>
        <v/>
      </c>
      <c r="Q827" s="531" t="str">
        <f>IF($A827="","",$G827/VLOOKUP($I827,Ref!$B$23:$D$29,2,0))</f>
        <v/>
      </c>
      <c r="R827" s="530" t="str">
        <f t="shared" si="335"/>
        <v/>
      </c>
      <c r="S827" s="532" t="str">
        <f t="shared" si="329"/>
        <v/>
      </c>
      <c r="T827" s="531" t="str">
        <f t="shared" si="336"/>
        <v/>
      </c>
      <c r="U827" s="533">
        <f t="shared" si="337"/>
        <v>0</v>
      </c>
      <c r="V827" s="531" t="str">
        <f t="shared" si="338"/>
        <v/>
      </c>
      <c r="W827" s="531" t="str">
        <f t="shared" si="339"/>
        <v/>
      </c>
      <c r="X827" s="534" t="str">
        <f t="shared" si="340"/>
        <v/>
      </c>
      <c r="Y827" s="535" t="str">
        <f>IF($A827="","",IF($I827="weekly",$A827+7,EDATE($A827,VLOOKUP($I827,Ref!$B$24:$C$29,2,0))))</f>
        <v/>
      </c>
      <c r="Z827" s="536" t="str">
        <f t="shared" si="341"/>
        <v/>
      </c>
      <c r="AA827" s="531">
        <f t="shared" si="342"/>
        <v>0</v>
      </c>
      <c r="AB827" s="535" t="str">
        <f t="shared" si="330"/>
        <v/>
      </c>
      <c r="AC827" s="537" t="str">
        <f t="shared" si="331"/>
        <v/>
      </c>
      <c r="AD827" s="538" t="str">
        <f t="shared" ca="1" si="332"/>
        <v/>
      </c>
      <c r="AE827" s="537">
        <f t="shared" ca="1" si="333"/>
        <v>0</v>
      </c>
      <c r="AF827" s="539" t="str">
        <f t="shared" ca="1" si="343"/>
        <v/>
      </c>
      <c r="AG827" s="531" t="str">
        <f t="shared" ca="1" si="344"/>
        <v/>
      </c>
      <c r="AH827" s="531" t="str">
        <f t="shared" ca="1" si="345"/>
        <v/>
      </c>
      <c r="AI827" s="531" t="str">
        <f t="shared" ca="1" si="346"/>
        <v/>
      </c>
      <c r="AJ827" s="531" t="str">
        <f t="shared" si="347"/>
        <v/>
      </c>
      <c r="AK827" s="540">
        <f>SUMIFS('Live Collections'!$S:$S,'Live Collections'!$D:$D,Disbursements!B827,'Live Collections'!$G:$G,Disbursements!C827)</f>
        <v>0</v>
      </c>
      <c r="AL827" s="540">
        <f>SUMIFS('Live Collections'!$T:$T,'Live Collections'!$D:$D,Disbursements!B827,'Live Collections'!$G:$G,Disbursements!C827)</f>
        <v>0</v>
      </c>
      <c r="AM827" s="541">
        <f t="shared" si="348"/>
        <v>0</v>
      </c>
      <c r="AN827" s="542" t="str">
        <f t="shared" si="349"/>
        <v/>
      </c>
      <c r="AO827" s="542" t="str">
        <f t="shared" si="350"/>
        <v/>
      </c>
      <c r="AP827" s="543" t="str">
        <f t="shared" si="351"/>
        <v/>
      </c>
      <c r="AQ827" s="544" t="str">
        <f t="shared" si="352"/>
        <v/>
      </c>
      <c r="AR827" s="545">
        <f t="shared" si="353"/>
        <v>0</v>
      </c>
      <c r="AS827" s="545">
        <f>IFERROR(CEILING($AR827*VLOOKUP($I827,Ref!$B$23:$E$29,4,0),1),0)</f>
        <v>0</v>
      </c>
      <c r="AT827" s="545" t="str">
        <f>IF(A827="","",IF(AP827&lt;=1,"Cleared",IF(AS827=0,"Clean",VLOOKUP($AS827,Ref!$G$23:$H$28,2))))</f>
        <v/>
      </c>
      <c r="AU827" s="546" t="str">
        <f t="shared" si="354"/>
        <v/>
      </c>
    </row>
    <row r="828" spans="1:47" ht="14.25" hidden="1" customHeight="1" x14ac:dyDescent="0.15">
      <c r="A828" s="523"/>
      <c r="B828" s="523"/>
      <c r="C828" s="523"/>
      <c r="D828" s="523"/>
      <c r="E828" s="579"/>
      <c r="F828" s="580"/>
      <c r="G828" s="524"/>
      <c r="H828" s="555"/>
      <c r="I828" s="560"/>
      <c r="J828" s="523"/>
      <c r="K828" s="528" t="str">
        <f>IFERROR(VLOOKUP($B828,'Clients-Live'!$A:$C,3,0),"")</f>
        <v/>
      </c>
      <c r="L828" s="528">
        <f>IF(E828="STL",Pricing!$D$38,IF(A828="",0,IF(A828&lt;Pricing!$C$25,Pricing!$D$25,VLOOKUP(Disbursements!$F828,Pricing!$B$29:$D$32,3))))</f>
        <v>0</v>
      </c>
      <c r="M828" s="528">
        <f>IF(E828="STL",0,IF(F828&gt;0,Pricing!$D$21,0))</f>
        <v>0</v>
      </c>
      <c r="N828" s="529">
        <f>IF(E828="STL",F828*Pricing!$D$40,IF(A828&lt;=Pricing!$C$4,0,IF(AND(A828&gt;Pricing!$C$4,Disbursements!A828&lt;=Pricing!$C$5),F828*Pricing!$E$5,IF(AND(A828&gt;Pricing!$C$5,Disbursements!A828&lt;=Pricing!$C$7),VLOOKUP(F828,Pricing!$D$7:$E$8,2)*Disbursements!F828,F828*Pricing!$E$9))))</f>
        <v>0</v>
      </c>
      <c r="O828" s="528">
        <f>IF(E828="STL",0,IF($F828&gt;0,$F828*Pricing!$D$17,0))</f>
        <v>0</v>
      </c>
      <c r="P828" s="530" t="str">
        <f t="shared" si="334"/>
        <v/>
      </c>
      <c r="Q828" s="531" t="str">
        <f>IF($A828="","",$G828/VLOOKUP($I828,Ref!$B$23:$D$29,2,0))</f>
        <v/>
      </c>
      <c r="R828" s="530" t="str">
        <f t="shared" si="335"/>
        <v/>
      </c>
      <c r="S828" s="532" t="str">
        <f t="shared" si="329"/>
        <v/>
      </c>
      <c r="T828" s="531" t="str">
        <f t="shared" si="336"/>
        <v/>
      </c>
      <c r="U828" s="533">
        <f t="shared" si="337"/>
        <v>0</v>
      </c>
      <c r="V828" s="531" t="str">
        <f t="shared" si="338"/>
        <v/>
      </c>
      <c r="W828" s="531" t="str">
        <f t="shared" si="339"/>
        <v/>
      </c>
      <c r="X828" s="534" t="str">
        <f t="shared" si="340"/>
        <v/>
      </c>
      <c r="Y828" s="535" t="str">
        <f>IF($A828="","",IF($I828="weekly",$A828+7,EDATE($A828,VLOOKUP($I828,Ref!$B$24:$C$29,2,0))))</f>
        <v/>
      </c>
      <c r="Z828" s="536" t="str">
        <f t="shared" si="341"/>
        <v/>
      </c>
      <c r="AA828" s="531">
        <f t="shared" si="342"/>
        <v>0</v>
      </c>
      <c r="AB828" s="535" t="str">
        <f t="shared" si="330"/>
        <v/>
      </c>
      <c r="AC828" s="537" t="str">
        <f t="shared" si="331"/>
        <v/>
      </c>
      <c r="AD828" s="538" t="str">
        <f t="shared" ca="1" si="332"/>
        <v/>
      </c>
      <c r="AE828" s="537">
        <f t="shared" ca="1" si="333"/>
        <v>0</v>
      </c>
      <c r="AF828" s="539" t="str">
        <f t="shared" ca="1" si="343"/>
        <v/>
      </c>
      <c r="AG828" s="531" t="str">
        <f t="shared" ca="1" si="344"/>
        <v/>
      </c>
      <c r="AH828" s="531" t="str">
        <f t="shared" ca="1" si="345"/>
        <v/>
      </c>
      <c r="AI828" s="531" t="str">
        <f t="shared" ca="1" si="346"/>
        <v/>
      </c>
      <c r="AJ828" s="531" t="str">
        <f t="shared" si="347"/>
        <v/>
      </c>
      <c r="AK828" s="540">
        <f>SUMIFS('Live Collections'!$S:$S,'Live Collections'!$D:$D,Disbursements!B828,'Live Collections'!$G:$G,Disbursements!C828)</f>
        <v>0</v>
      </c>
      <c r="AL828" s="540">
        <f>SUMIFS('Live Collections'!$T:$T,'Live Collections'!$D:$D,Disbursements!B828,'Live Collections'!$G:$G,Disbursements!C828)</f>
        <v>0</v>
      </c>
      <c r="AM828" s="541">
        <f t="shared" si="348"/>
        <v>0</v>
      </c>
      <c r="AN828" s="542" t="str">
        <f t="shared" si="349"/>
        <v/>
      </c>
      <c r="AO828" s="542" t="str">
        <f t="shared" si="350"/>
        <v/>
      </c>
      <c r="AP828" s="543" t="str">
        <f t="shared" si="351"/>
        <v/>
      </c>
      <c r="AQ828" s="544" t="str">
        <f t="shared" si="352"/>
        <v/>
      </c>
      <c r="AR828" s="545">
        <f t="shared" si="353"/>
        <v>0</v>
      </c>
      <c r="AS828" s="545">
        <f>IFERROR(CEILING($AR828*VLOOKUP($I828,Ref!$B$23:$E$29,4,0),1),0)</f>
        <v>0</v>
      </c>
      <c r="AT828" s="545" t="str">
        <f>IF(A828="","",IF(AP828&lt;=1,"Cleared",IF(AS828=0,"Clean",VLOOKUP($AS828,Ref!$G$23:$H$28,2))))</f>
        <v/>
      </c>
      <c r="AU828" s="546" t="str">
        <f t="shared" si="354"/>
        <v/>
      </c>
    </row>
    <row r="829" spans="1:47" ht="14.25" hidden="1" customHeight="1" x14ac:dyDescent="0.15">
      <c r="A829" s="523"/>
      <c r="B829" s="523"/>
      <c r="C829" s="523"/>
      <c r="D829" s="523"/>
      <c r="E829" s="579"/>
      <c r="F829" s="580"/>
      <c r="G829" s="524"/>
      <c r="H829" s="555"/>
      <c r="I829" s="560"/>
      <c r="J829" s="523"/>
      <c r="K829" s="528" t="str">
        <f>IFERROR(VLOOKUP($B829,'Clients-Live'!$A:$C,3,0),"")</f>
        <v/>
      </c>
      <c r="L829" s="528">
        <f>IF(E829="STL",Pricing!$D$38,IF(A829="",0,IF(A829&lt;Pricing!$C$25,Pricing!$D$25,VLOOKUP(Disbursements!$F829,Pricing!$B$29:$D$32,3))))</f>
        <v>0</v>
      </c>
      <c r="M829" s="528">
        <f>IF(E829="STL",0,IF(F829&gt;0,Pricing!$D$21,0))</f>
        <v>0</v>
      </c>
      <c r="N829" s="529">
        <f>IF(E829="STL",F829*Pricing!$D$40,IF(A829&lt;=Pricing!$C$4,0,IF(AND(A829&gt;Pricing!$C$4,Disbursements!A829&lt;=Pricing!$C$5),F829*Pricing!$E$5,IF(AND(A829&gt;Pricing!$C$5,Disbursements!A829&lt;=Pricing!$C$7),VLOOKUP(F829,Pricing!$D$7:$E$8,2)*Disbursements!F829,F829*Pricing!$E$9))))</f>
        <v>0</v>
      </c>
      <c r="O829" s="528">
        <f>IF(E829="STL",0,IF($F829&gt;0,$F829*Pricing!$D$17,0))</f>
        <v>0</v>
      </c>
      <c r="P829" s="530" t="str">
        <f t="shared" si="334"/>
        <v/>
      </c>
      <c r="Q829" s="531" t="str">
        <f>IF($A829="","",$G829/VLOOKUP($I829,Ref!$B$23:$D$29,2,0))</f>
        <v/>
      </c>
      <c r="R829" s="530" t="str">
        <f t="shared" si="335"/>
        <v/>
      </c>
      <c r="S829" s="532" t="str">
        <f t="shared" si="329"/>
        <v/>
      </c>
      <c r="T829" s="531" t="str">
        <f t="shared" si="336"/>
        <v/>
      </c>
      <c r="U829" s="533">
        <f t="shared" si="337"/>
        <v>0</v>
      </c>
      <c r="V829" s="531" t="str">
        <f t="shared" si="338"/>
        <v/>
      </c>
      <c r="W829" s="531" t="str">
        <f t="shared" si="339"/>
        <v/>
      </c>
      <c r="X829" s="534" t="str">
        <f t="shared" si="340"/>
        <v/>
      </c>
      <c r="Y829" s="535" t="str">
        <f>IF($A829="","",IF($I829="weekly",$A829+7,EDATE($A829,VLOOKUP($I829,Ref!$B$24:$C$29,2,0))))</f>
        <v/>
      </c>
      <c r="Z829" s="536" t="str">
        <f t="shared" si="341"/>
        <v/>
      </c>
      <c r="AA829" s="531">
        <f t="shared" si="342"/>
        <v>0</v>
      </c>
      <c r="AB829" s="535" t="str">
        <f t="shared" si="330"/>
        <v/>
      </c>
      <c r="AC829" s="537" t="str">
        <f t="shared" si="331"/>
        <v/>
      </c>
      <c r="AD829" s="538" t="str">
        <f t="shared" ca="1" si="332"/>
        <v/>
      </c>
      <c r="AE829" s="537">
        <f t="shared" ca="1" si="333"/>
        <v>0</v>
      </c>
      <c r="AF829" s="539" t="str">
        <f t="shared" ca="1" si="343"/>
        <v/>
      </c>
      <c r="AG829" s="531" t="str">
        <f t="shared" ca="1" si="344"/>
        <v/>
      </c>
      <c r="AH829" s="531" t="str">
        <f t="shared" ca="1" si="345"/>
        <v/>
      </c>
      <c r="AI829" s="531" t="str">
        <f t="shared" ca="1" si="346"/>
        <v/>
      </c>
      <c r="AJ829" s="531" t="str">
        <f t="shared" si="347"/>
        <v/>
      </c>
      <c r="AK829" s="540">
        <f>SUMIFS('Live Collections'!$S:$S,'Live Collections'!$D:$D,Disbursements!B829,'Live Collections'!$G:$G,Disbursements!C829)</f>
        <v>0</v>
      </c>
      <c r="AL829" s="540">
        <f>SUMIFS('Live Collections'!$T:$T,'Live Collections'!$D:$D,Disbursements!B829,'Live Collections'!$G:$G,Disbursements!C829)</f>
        <v>0</v>
      </c>
      <c r="AM829" s="541">
        <f t="shared" si="348"/>
        <v>0</v>
      </c>
      <c r="AN829" s="542" t="str">
        <f t="shared" si="349"/>
        <v/>
      </c>
      <c r="AO829" s="542" t="str">
        <f t="shared" si="350"/>
        <v/>
      </c>
      <c r="AP829" s="543" t="str">
        <f t="shared" si="351"/>
        <v/>
      </c>
      <c r="AQ829" s="544" t="str">
        <f t="shared" si="352"/>
        <v/>
      </c>
      <c r="AR829" s="545">
        <f t="shared" si="353"/>
        <v>0</v>
      </c>
      <c r="AS829" s="545">
        <f>IFERROR(CEILING($AR829*VLOOKUP($I829,Ref!$B$23:$E$29,4,0),1),0)</f>
        <v>0</v>
      </c>
      <c r="AT829" s="545" t="str">
        <f>IF(A829="","",IF(AP829&lt;=1,"Cleared",IF(AS829=0,"Clean",VLOOKUP($AS829,Ref!$G$23:$H$28,2))))</f>
        <v/>
      </c>
      <c r="AU829" s="546" t="str">
        <f t="shared" si="354"/>
        <v/>
      </c>
    </row>
    <row r="830" spans="1:47" ht="14.25" hidden="1" customHeight="1" x14ac:dyDescent="0.15">
      <c r="A830" s="523"/>
      <c r="B830" s="523"/>
      <c r="C830" s="523"/>
      <c r="D830" s="523"/>
      <c r="E830" s="579"/>
      <c r="F830" s="580"/>
      <c r="G830" s="524"/>
      <c r="H830" s="555"/>
      <c r="I830" s="560"/>
      <c r="J830" s="523"/>
      <c r="K830" s="528" t="str">
        <f>IFERROR(VLOOKUP($B830,'Clients-Live'!$A:$C,3,0),"")</f>
        <v/>
      </c>
      <c r="L830" s="528">
        <f>IF(E830="STL",Pricing!$D$38,IF(A830="",0,IF(A830&lt;Pricing!$C$25,Pricing!$D$25,VLOOKUP(Disbursements!$F830,Pricing!$B$29:$D$32,3))))</f>
        <v>0</v>
      </c>
      <c r="M830" s="528">
        <f>IF(E830="STL",0,IF(F830&gt;0,Pricing!$D$21,0))</f>
        <v>0</v>
      </c>
      <c r="N830" s="529">
        <f>IF(E830="STL",F830*Pricing!$D$40,IF(A830&lt;=Pricing!$C$4,0,IF(AND(A830&gt;Pricing!$C$4,Disbursements!A830&lt;=Pricing!$C$5),F830*Pricing!$E$5,IF(AND(A830&gt;Pricing!$C$5,Disbursements!A830&lt;=Pricing!$C$7),VLOOKUP(F830,Pricing!$D$7:$E$8,2)*Disbursements!F830,F830*Pricing!$E$9))))</f>
        <v>0</v>
      </c>
      <c r="O830" s="528">
        <f>IF(E830="STL",0,IF($F830&gt;0,$F830*Pricing!$D$17,0))</f>
        <v>0</v>
      </c>
      <c r="P830" s="530" t="str">
        <f t="shared" si="334"/>
        <v/>
      </c>
      <c r="Q830" s="531" t="str">
        <f>IF($A830="","",$G830/VLOOKUP($I830,Ref!$B$23:$D$29,2,0))</f>
        <v/>
      </c>
      <c r="R830" s="530" t="str">
        <f t="shared" si="335"/>
        <v/>
      </c>
      <c r="S830" s="532" t="str">
        <f t="shared" si="329"/>
        <v/>
      </c>
      <c r="T830" s="531" t="str">
        <f t="shared" si="336"/>
        <v/>
      </c>
      <c r="U830" s="533">
        <f t="shared" si="337"/>
        <v>0</v>
      </c>
      <c r="V830" s="531" t="str">
        <f t="shared" si="338"/>
        <v/>
      </c>
      <c r="W830" s="531" t="str">
        <f t="shared" si="339"/>
        <v/>
      </c>
      <c r="X830" s="534" t="str">
        <f t="shared" si="340"/>
        <v/>
      </c>
      <c r="Y830" s="535" t="str">
        <f>IF($A830="","",IF($I830="weekly",$A830+7,EDATE($A830,VLOOKUP($I830,Ref!$B$24:$C$29,2,0))))</f>
        <v/>
      </c>
      <c r="Z830" s="536" t="str">
        <f t="shared" si="341"/>
        <v/>
      </c>
      <c r="AA830" s="531">
        <f t="shared" si="342"/>
        <v>0</v>
      </c>
      <c r="AB830" s="535" t="str">
        <f t="shared" si="330"/>
        <v/>
      </c>
      <c r="AC830" s="537" t="str">
        <f t="shared" si="331"/>
        <v/>
      </c>
      <c r="AD830" s="538" t="str">
        <f t="shared" ca="1" si="332"/>
        <v/>
      </c>
      <c r="AE830" s="537">
        <f t="shared" ca="1" si="333"/>
        <v>0</v>
      </c>
      <c r="AF830" s="539" t="str">
        <f t="shared" ca="1" si="343"/>
        <v/>
      </c>
      <c r="AG830" s="531" t="str">
        <f t="shared" ca="1" si="344"/>
        <v/>
      </c>
      <c r="AH830" s="531" t="str">
        <f t="shared" ca="1" si="345"/>
        <v/>
      </c>
      <c r="AI830" s="531" t="str">
        <f t="shared" ca="1" si="346"/>
        <v/>
      </c>
      <c r="AJ830" s="531" t="str">
        <f t="shared" si="347"/>
        <v/>
      </c>
      <c r="AK830" s="540">
        <f>SUMIFS('Live Collections'!$S:$S,'Live Collections'!$D:$D,Disbursements!B830,'Live Collections'!$G:$G,Disbursements!C830)</f>
        <v>0</v>
      </c>
      <c r="AL830" s="540">
        <f>SUMIFS('Live Collections'!$T:$T,'Live Collections'!$D:$D,Disbursements!B830,'Live Collections'!$G:$G,Disbursements!C830)</f>
        <v>0</v>
      </c>
      <c r="AM830" s="541">
        <f t="shared" si="348"/>
        <v>0</v>
      </c>
      <c r="AN830" s="542" t="str">
        <f t="shared" si="349"/>
        <v/>
      </c>
      <c r="AO830" s="542" t="str">
        <f t="shared" si="350"/>
        <v/>
      </c>
      <c r="AP830" s="543" t="str">
        <f t="shared" si="351"/>
        <v/>
      </c>
      <c r="AQ830" s="544" t="str">
        <f t="shared" si="352"/>
        <v/>
      </c>
      <c r="AR830" s="545">
        <f t="shared" si="353"/>
        <v>0</v>
      </c>
      <c r="AS830" s="545">
        <f>IFERROR(CEILING($AR830*VLOOKUP($I830,Ref!$B$23:$E$29,4,0),1),0)</f>
        <v>0</v>
      </c>
      <c r="AT830" s="545" t="str">
        <f>IF(A830="","",IF(AP830&lt;=1,"Cleared",IF(AS830=0,"Clean",VLOOKUP($AS830,Ref!$G$23:$H$28,2))))</f>
        <v/>
      </c>
      <c r="AU830" s="546" t="str">
        <f t="shared" si="354"/>
        <v/>
      </c>
    </row>
    <row r="831" spans="1:47" ht="14.25" hidden="1" customHeight="1" x14ac:dyDescent="0.15">
      <c r="A831" s="523"/>
      <c r="B831" s="523"/>
      <c r="C831" s="523"/>
      <c r="D831" s="523"/>
      <c r="E831" s="579"/>
      <c r="F831" s="580"/>
      <c r="G831" s="524"/>
      <c r="H831" s="555"/>
      <c r="I831" s="560"/>
      <c r="J831" s="523"/>
      <c r="K831" s="528" t="str">
        <f>IFERROR(VLOOKUP($B831,'Clients-Live'!$A:$C,3,0),"")</f>
        <v/>
      </c>
      <c r="L831" s="528">
        <f>IF(E831="STL",Pricing!$D$38,IF(A831="",0,IF(A831&lt;Pricing!$C$25,Pricing!$D$25,VLOOKUP(Disbursements!$F831,Pricing!$B$29:$D$32,3))))</f>
        <v>0</v>
      </c>
      <c r="M831" s="528">
        <f>IF(E831="STL",0,IF(F831&gt;0,Pricing!$D$21,0))</f>
        <v>0</v>
      </c>
      <c r="N831" s="529">
        <f>IF(E831="STL",F831*Pricing!$D$40,IF(A831&lt;=Pricing!$C$4,0,IF(AND(A831&gt;Pricing!$C$4,Disbursements!A831&lt;=Pricing!$C$5),F831*Pricing!$E$5,IF(AND(A831&gt;Pricing!$C$5,Disbursements!A831&lt;=Pricing!$C$7),VLOOKUP(F831,Pricing!$D$7:$E$8,2)*Disbursements!F831,F831*Pricing!$E$9))))</f>
        <v>0</v>
      </c>
      <c r="O831" s="528">
        <f>IF(E831="STL",0,IF($F831&gt;0,$F831*Pricing!$D$17,0))</f>
        <v>0</v>
      </c>
      <c r="P831" s="530" t="str">
        <f t="shared" si="334"/>
        <v/>
      </c>
      <c r="Q831" s="531" t="str">
        <f>IF($A831="","",$G831/VLOOKUP($I831,Ref!$B$23:$D$29,2,0))</f>
        <v/>
      </c>
      <c r="R831" s="530" t="str">
        <f t="shared" si="335"/>
        <v/>
      </c>
      <c r="S831" s="532" t="str">
        <f t="shared" si="329"/>
        <v/>
      </c>
      <c r="T831" s="531" t="str">
        <f t="shared" si="336"/>
        <v/>
      </c>
      <c r="U831" s="533">
        <f t="shared" si="337"/>
        <v>0</v>
      </c>
      <c r="V831" s="531" t="str">
        <f t="shared" si="338"/>
        <v/>
      </c>
      <c r="W831" s="531" t="str">
        <f t="shared" si="339"/>
        <v/>
      </c>
      <c r="X831" s="534" t="str">
        <f t="shared" si="340"/>
        <v/>
      </c>
      <c r="Y831" s="535" t="str">
        <f>IF($A831="","",IF($I831="weekly",$A831+7,EDATE($A831,VLOOKUP($I831,Ref!$B$24:$C$29,2,0))))</f>
        <v/>
      </c>
      <c r="Z831" s="536" t="str">
        <f t="shared" si="341"/>
        <v/>
      </c>
      <c r="AA831" s="531">
        <f t="shared" si="342"/>
        <v>0</v>
      </c>
      <c r="AB831" s="535" t="str">
        <f t="shared" si="330"/>
        <v/>
      </c>
      <c r="AC831" s="537" t="str">
        <f t="shared" si="331"/>
        <v/>
      </c>
      <c r="AD831" s="538" t="str">
        <f t="shared" ca="1" si="332"/>
        <v/>
      </c>
      <c r="AE831" s="537">
        <f t="shared" ca="1" si="333"/>
        <v>0</v>
      </c>
      <c r="AF831" s="539" t="str">
        <f t="shared" ca="1" si="343"/>
        <v/>
      </c>
      <c r="AG831" s="531" t="str">
        <f t="shared" ca="1" si="344"/>
        <v/>
      </c>
      <c r="AH831" s="531" t="str">
        <f t="shared" ca="1" si="345"/>
        <v/>
      </c>
      <c r="AI831" s="531" t="str">
        <f t="shared" ca="1" si="346"/>
        <v/>
      </c>
      <c r="AJ831" s="531" t="str">
        <f t="shared" si="347"/>
        <v/>
      </c>
      <c r="AK831" s="540">
        <f>SUMIFS('Live Collections'!$S:$S,'Live Collections'!$D:$D,Disbursements!B831,'Live Collections'!$G:$G,Disbursements!C831)</f>
        <v>0</v>
      </c>
      <c r="AL831" s="540">
        <f>SUMIFS('Live Collections'!$T:$T,'Live Collections'!$D:$D,Disbursements!B831,'Live Collections'!$G:$G,Disbursements!C831)</f>
        <v>0</v>
      </c>
      <c r="AM831" s="541">
        <f t="shared" si="348"/>
        <v>0</v>
      </c>
      <c r="AN831" s="542" t="str">
        <f t="shared" si="349"/>
        <v/>
      </c>
      <c r="AO831" s="542" t="str">
        <f t="shared" si="350"/>
        <v/>
      </c>
      <c r="AP831" s="543" t="str">
        <f t="shared" si="351"/>
        <v/>
      </c>
      <c r="AQ831" s="544" t="str">
        <f t="shared" si="352"/>
        <v/>
      </c>
      <c r="AR831" s="545">
        <f t="shared" si="353"/>
        <v>0</v>
      </c>
      <c r="AS831" s="545">
        <f>IFERROR(CEILING($AR831*VLOOKUP($I831,Ref!$B$23:$E$29,4,0),1),0)</f>
        <v>0</v>
      </c>
      <c r="AT831" s="545" t="str">
        <f>IF(A831="","",IF(AP831&lt;=1,"Cleared",IF(AS831=0,"Clean",VLOOKUP($AS831,Ref!$G$23:$H$28,2))))</f>
        <v/>
      </c>
      <c r="AU831" s="546" t="str">
        <f t="shared" si="354"/>
        <v/>
      </c>
    </row>
    <row r="832" spans="1:47" ht="14.25" hidden="1" customHeight="1" x14ac:dyDescent="0.15">
      <c r="A832" s="523"/>
      <c r="B832" s="523"/>
      <c r="C832" s="523"/>
      <c r="D832" s="523"/>
      <c r="E832" s="579"/>
      <c r="F832" s="580"/>
      <c r="G832" s="524"/>
      <c r="H832" s="555"/>
      <c r="I832" s="560"/>
      <c r="J832" s="523"/>
      <c r="K832" s="528" t="str">
        <f>IFERROR(VLOOKUP($B832,'Clients-Live'!$A:$C,3,0),"")</f>
        <v/>
      </c>
      <c r="L832" s="528">
        <f>IF(E832="STL",Pricing!$D$38,IF(A832="",0,IF(A832&lt;Pricing!$C$25,Pricing!$D$25,VLOOKUP(Disbursements!$F832,Pricing!$B$29:$D$32,3))))</f>
        <v>0</v>
      </c>
      <c r="M832" s="528">
        <f>IF(E832="STL",0,IF(F832&gt;0,Pricing!$D$21,0))</f>
        <v>0</v>
      </c>
      <c r="N832" s="529">
        <f>IF(E832="STL",F832*Pricing!$D$40,IF(A832&lt;=Pricing!$C$4,0,IF(AND(A832&gt;Pricing!$C$4,Disbursements!A832&lt;=Pricing!$C$5),F832*Pricing!$E$5,IF(AND(A832&gt;Pricing!$C$5,Disbursements!A832&lt;=Pricing!$C$7),VLOOKUP(F832,Pricing!$D$7:$E$8,2)*Disbursements!F832,F832*Pricing!$E$9))))</f>
        <v>0</v>
      </c>
      <c r="O832" s="528">
        <f>IF(E832="STL",0,IF($F832&gt;0,$F832*Pricing!$D$17,0))</f>
        <v>0</v>
      </c>
      <c r="P832" s="530" t="str">
        <f t="shared" si="334"/>
        <v/>
      </c>
      <c r="Q832" s="531" t="str">
        <f>IF($A832="","",$G832/VLOOKUP($I832,Ref!$B$23:$D$29,2,0))</f>
        <v/>
      </c>
      <c r="R832" s="530" t="str">
        <f t="shared" si="335"/>
        <v/>
      </c>
      <c r="S832" s="532" t="str">
        <f t="shared" si="329"/>
        <v/>
      </c>
      <c r="T832" s="531" t="str">
        <f t="shared" si="336"/>
        <v/>
      </c>
      <c r="U832" s="533">
        <f t="shared" si="337"/>
        <v>0</v>
      </c>
      <c r="V832" s="531" t="str">
        <f t="shared" si="338"/>
        <v/>
      </c>
      <c r="W832" s="531" t="str">
        <f t="shared" si="339"/>
        <v/>
      </c>
      <c r="X832" s="534" t="str">
        <f t="shared" si="340"/>
        <v/>
      </c>
      <c r="Y832" s="535" t="str">
        <f>IF($A832="","",IF($I832="weekly",$A832+7,EDATE($A832,VLOOKUP($I832,Ref!$B$24:$C$29,2,0))))</f>
        <v/>
      </c>
      <c r="Z832" s="536" t="str">
        <f t="shared" si="341"/>
        <v/>
      </c>
      <c r="AA832" s="531">
        <f t="shared" si="342"/>
        <v>0</v>
      </c>
      <c r="AB832" s="535" t="str">
        <f t="shared" si="330"/>
        <v/>
      </c>
      <c r="AC832" s="537" t="str">
        <f t="shared" si="331"/>
        <v/>
      </c>
      <c r="AD832" s="538" t="str">
        <f t="shared" ca="1" si="332"/>
        <v/>
      </c>
      <c r="AE832" s="537">
        <f t="shared" ca="1" si="333"/>
        <v>0</v>
      </c>
      <c r="AF832" s="539" t="str">
        <f t="shared" ca="1" si="343"/>
        <v/>
      </c>
      <c r="AG832" s="531" t="str">
        <f t="shared" ca="1" si="344"/>
        <v/>
      </c>
      <c r="AH832" s="531" t="str">
        <f t="shared" ca="1" si="345"/>
        <v/>
      </c>
      <c r="AI832" s="531" t="str">
        <f t="shared" ca="1" si="346"/>
        <v/>
      </c>
      <c r="AJ832" s="531" t="str">
        <f t="shared" si="347"/>
        <v/>
      </c>
      <c r="AK832" s="540">
        <f>SUMIFS('Live Collections'!$S:$S,'Live Collections'!$D:$D,Disbursements!B832,'Live Collections'!$G:$G,Disbursements!C832)</f>
        <v>0</v>
      </c>
      <c r="AL832" s="540">
        <f>SUMIFS('Live Collections'!$T:$T,'Live Collections'!$D:$D,Disbursements!B832,'Live Collections'!$G:$G,Disbursements!C832)</f>
        <v>0</v>
      </c>
      <c r="AM832" s="541">
        <f t="shared" si="348"/>
        <v>0</v>
      </c>
      <c r="AN832" s="542" t="str">
        <f t="shared" si="349"/>
        <v/>
      </c>
      <c r="AO832" s="542" t="str">
        <f t="shared" si="350"/>
        <v/>
      </c>
      <c r="AP832" s="543" t="str">
        <f t="shared" si="351"/>
        <v/>
      </c>
      <c r="AQ832" s="544" t="str">
        <f t="shared" si="352"/>
        <v/>
      </c>
      <c r="AR832" s="545">
        <f t="shared" si="353"/>
        <v>0</v>
      </c>
      <c r="AS832" s="545">
        <f>IFERROR(CEILING($AR832*VLOOKUP($I832,Ref!$B$23:$E$29,4,0),1),0)</f>
        <v>0</v>
      </c>
      <c r="AT832" s="545" t="str">
        <f>IF(A832="","",IF(AP832&lt;=1,"Cleared",IF(AS832=0,"Clean",VLOOKUP($AS832,Ref!$G$23:$H$28,2))))</f>
        <v/>
      </c>
      <c r="AU832" s="546" t="str">
        <f t="shared" si="354"/>
        <v/>
      </c>
    </row>
    <row r="833" spans="1:47" ht="14.25" hidden="1" customHeight="1" x14ac:dyDescent="0.15">
      <c r="A833" s="523"/>
      <c r="B833" s="523"/>
      <c r="C833" s="523"/>
      <c r="D833" s="523"/>
      <c r="E833" s="579"/>
      <c r="F833" s="580"/>
      <c r="G833" s="524"/>
      <c r="H833" s="555"/>
      <c r="I833" s="560"/>
      <c r="J833" s="523"/>
      <c r="K833" s="528" t="str">
        <f>IFERROR(VLOOKUP($B833,'Clients-Live'!$A:$C,3,0),"")</f>
        <v/>
      </c>
      <c r="L833" s="528">
        <f>IF(E833="STL",Pricing!$D$38,IF(A833="",0,IF(A833&lt;Pricing!$C$25,Pricing!$D$25,VLOOKUP(Disbursements!$F833,Pricing!$B$29:$D$32,3))))</f>
        <v>0</v>
      </c>
      <c r="M833" s="528">
        <f>IF(E833="STL",0,IF(F833&gt;0,Pricing!$D$21,0))</f>
        <v>0</v>
      </c>
      <c r="N833" s="529">
        <f>IF(E833="STL",F833*Pricing!$D$40,IF(A833&lt;=Pricing!$C$4,0,IF(AND(A833&gt;Pricing!$C$4,Disbursements!A833&lt;=Pricing!$C$5),F833*Pricing!$E$5,IF(AND(A833&gt;Pricing!$C$5,Disbursements!A833&lt;=Pricing!$C$7),VLOOKUP(F833,Pricing!$D$7:$E$8,2)*Disbursements!F833,F833*Pricing!$E$9))))</f>
        <v>0</v>
      </c>
      <c r="O833" s="528">
        <f>IF(E833="STL",0,IF($F833&gt;0,$F833*Pricing!$D$17,0))</f>
        <v>0</v>
      </c>
      <c r="P833" s="530" t="str">
        <f t="shared" si="334"/>
        <v/>
      </c>
      <c r="Q833" s="531" t="str">
        <f>IF($A833="","",$G833/VLOOKUP($I833,Ref!$B$23:$D$29,2,0))</f>
        <v/>
      </c>
      <c r="R833" s="530" t="str">
        <f t="shared" si="335"/>
        <v/>
      </c>
      <c r="S833" s="532" t="str">
        <f t="shared" si="329"/>
        <v/>
      </c>
      <c r="T833" s="531" t="str">
        <f t="shared" si="336"/>
        <v/>
      </c>
      <c r="U833" s="533">
        <f t="shared" si="337"/>
        <v>0</v>
      </c>
      <c r="V833" s="531" t="str">
        <f t="shared" si="338"/>
        <v/>
      </c>
      <c r="W833" s="531" t="str">
        <f t="shared" si="339"/>
        <v/>
      </c>
      <c r="X833" s="534" t="str">
        <f t="shared" si="340"/>
        <v/>
      </c>
      <c r="Y833" s="535" t="str">
        <f>IF($A833="","",IF($I833="weekly",$A833+7,EDATE($A833,VLOOKUP($I833,Ref!$B$24:$C$29,2,0))))</f>
        <v/>
      </c>
      <c r="Z833" s="536" t="str">
        <f t="shared" si="341"/>
        <v/>
      </c>
      <c r="AA833" s="531">
        <f t="shared" si="342"/>
        <v>0</v>
      </c>
      <c r="AB833" s="535" t="str">
        <f t="shared" si="330"/>
        <v/>
      </c>
      <c r="AC833" s="537" t="str">
        <f t="shared" si="331"/>
        <v/>
      </c>
      <c r="AD833" s="538" t="str">
        <f t="shared" ca="1" si="332"/>
        <v/>
      </c>
      <c r="AE833" s="537">
        <f t="shared" ca="1" si="333"/>
        <v>0</v>
      </c>
      <c r="AF833" s="539" t="str">
        <f t="shared" ca="1" si="343"/>
        <v/>
      </c>
      <c r="AG833" s="531" t="str">
        <f t="shared" ca="1" si="344"/>
        <v/>
      </c>
      <c r="AH833" s="531" t="str">
        <f t="shared" ca="1" si="345"/>
        <v/>
      </c>
      <c r="AI833" s="531" t="str">
        <f t="shared" ca="1" si="346"/>
        <v/>
      </c>
      <c r="AJ833" s="531" t="str">
        <f t="shared" si="347"/>
        <v/>
      </c>
      <c r="AK833" s="540">
        <f>SUMIFS('Live Collections'!$S:$S,'Live Collections'!$D:$D,Disbursements!B833,'Live Collections'!$G:$G,Disbursements!C833)</f>
        <v>0</v>
      </c>
      <c r="AL833" s="540">
        <f>SUMIFS('Live Collections'!$T:$T,'Live Collections'!$D:$D,Disbursements!B833,'Live Collections'!$G:$G,Disbursements!C833)</f>
        <v>0</v>
      </c>
      <c r="AM833" s="541">
        <f t="shared" si="348"/>
        <v>0</v>
      </c>
      <c r="AN833" s="542" t="str">
        <f t="shared" si="349"/>
        <v/>
      </c>
      <c r="AO833" s="542" t="str">
        <f t="shared" si="350"/>
        <v/>
      </c>
      <c r="AP833" s="543" t="str">
        <f t="shared" si="351"/>
        <v/>
      </c>
      <c r="AQ833" s="544" t="str">
        <f t="shared" si="352"/>
        <v/>
      </c>
      <c r="AR833" s="545">
        <f t="shared" si="353"/>
        <v>0</v>
      </c>
      <c r="AS833" s="545">
        <f>IFERROR(CEILING($AR833*VLOOKUP($I833,Ref!$B$23:$E$29,4,0),1),0)</f>
        <v>0</v>
      </c>
      <c r="AT833" s="545" t="str">
        <f>IF(A833="","",IF(AP833&lt;=1,"Cleared",IF(AS833=0,"Clean",VLOOKUP($AS833,Ref!$G$23:$H$28,2))))</f>
        <v/>
      </c>
      <c r="AU833" s="546" t="str">
        <f t="shared" si="354"/>
        <v/>
      </c>
    </row>
    <row r="834" spans="1:47" ht="14.25" hidden="1" customHeight="1" x14ac:dyDescent="0.15">
      <c r="A834" s="523"/>
      <c r="B834" s="523"/>
      <c r="C834" s="523"/>
      <c r="D834" s="523"/>
      <c r="E834" s="579"/>
      <c r="F834" s="580"/>
      <c r="G834" s="524"/>
      <c r="H834" s="555"/>
      <c r="I834" s="560"/>
      <c r="J834" s="523"/>
      <c r="K834" s="528" t="str">
        <f>IFERROR(VLOOKUP($B834,'Clients-Live'!$A:$C,3,0),"")</f>
        <v/>
      </c>
      <c r="L834" s="528">
        <f>IF(E834="STL",Pricing!$D$38,IF(A834="",0,IF(A834&lt;Pricing!$C$25,Pricing!$D$25,VLOOKUP(Disbursements!$F834,Pricing!$B$29:$D$32,3))))</f>
        <v>0</v>
      </c>
      <c r="M834" s="528">
        <f>IF(E834="STL",0,IF(F834&gt;0,Pricing!$D$21,0))</f>
        <v>0</v>
      </c>
      <c r="N834" s="529">
        <f>IF(E834="STL",F834*Pricing!$D$40,IF(A834&lt;=Pricing!$C$4,0,IF(AND(A834&gt;Pricing!$C$4,Disbursements!A834&lt;=Pricing!$C$5),F834*Pricing!$E$5,IF(AND(A834&gt;Pricing!$C$5,Disbursements!A834&lt;=Pricing!$C$7),VLOOKUP(F834,Pricing!$D$7:$E$8,2)*Disbursements!F834,F834*Pricing!$E$9))))</f>
        <v>0</v>
      </c>
      <c r="O834" s="528">
        <f>IF(E834="STL",0,IF($F834&gt;0,$F834*Pricing!$D$17,0))</f>
        <v>0</v>
      </c>
      <c r="P834" s="530" t="str">
        <f t="shared" si="334"/>
        <v/>
      </c>
      <c r="Q834" s="531" t="str">
        <f>IF($A834="","",$G834/VLOOKUP($I834,Ref!$B$23:$D$29,2,0))</f>
        <v/>
      </c>
      <c r="R834" s="530" t="str">
        <f t="shared" si="335"/>
        <v/>
      </c>
      <c r="S834" s="532" t="str">
        <f t="shared" si="329"/>
        <v/>
      </c>
      <c r="T834" s="531" t="str">
        <f t="shared" si="336"/>
        <v/>
      </c>
      <c r="U834" s="533">
        <f t="shared" si="337"/>
        <v>0</v>
      </c>
      <c r="V834" s="531" t="str">
        <f t="shared" si="338"/>
        <v/>
      </c>
      <c r="W834" s="531" t="str">
        <f t="shared" si="339"/>
        <v/>
      </c>
      <c r="X834" s="534" t="str">
        <f t="shared" si="340"/>
        <v/>
      </c>
      <c r="Y834" s="535" t="str">
        <f>IF($A834="","",IF($I834="weekly",$A834+7,EDATE($A834,VLOOKUP($I834,Ref!$B$24:$C$29,2,0))))</f>
        <v/>
      </c>
      <c r="Z834" s="536" t="str">
        <f t="shared" si="341"/>
        <v/>
      </c>
      <c r="AA834" s="531">
        <f t="shared" si="342"/>
        <v>0</v>
      </c>
      <c r="AB834" s="535" t="str">
        <f t="shared" si="330"/>
        <v/>
      </c>
      <c r="AC834" s="537" t="str">
        <f t="shared" si="331"/>
        <v/>
      </c>
      <c r="AD834" s="538" t="str">
        <f t="shared" ca="1" si="332"/>
        <v/>
      </c>
      <c r="AE834" s="537">
        <f t="shared" ca="1" si="333"/>
        <v>0</v>
      </c>
      <c r="AF834" s="539" t="str">
        <f t="shared" ca="1" si="343"/>
        <v/>
      </c>
      <c r="AG834" s="531" t="str">
        <f t="shared" ca="1" si="344"/>
        <v/>
      </c>
      <c r="AH834" s="531" t="str">
        <f t="shared" ca="1" si="345"/>
        <v/>
      </c>
      <c r="AI834" s="531" t="str">
        <f t="shared" ca="1" si="346"/>
        <v/>
      </c>
      <c r="AJ834" s="531" t="str">
        <f t="shared" si="347"/>
        <v/>
      </c>
      <c r="AK834" s="540">
        <f>SUMIFS('Live Collections'!$S:$S,'Live Collections'!$D:$D,Disbursements!B834,'Live Collections'!$G:$G,Disbursements!C834)</f>
        <v>0</v>
      </c>
      <c r="AL834" s="540">
        <f>SUMIFS('Live Collections'!$T:$T,'Live Collections'!$D:$D,Disbursements!B834,'Live Collections'!$G:$G,Disbursements!C834)</f>
        <v>0</v>
      </c>
      <c r="AM834" s="541">
        <f t="shared" si="348"/>
        <v>0</v>
      </c>
      <c r="AN834" s="542" t="str">
        <f t="shared" si="349"/>
        <v/>
      </c>
      <c r="AO834" s="542" t="str">
        <f t="shared" si="350"/>
        <v/>
      </c>
      <c r="AP834" s="543" t="str">
        <f t="shared" si="351"/>
        <v/>
      </c>
      <c r="AQ834" s="544" t="str">
        <f t="shared" si="352"/>
        <v/>
      </c>
      <c r="AR834" s="545">
        <f t="shared" si="353"/>
        <v>0</v>
      </c>
      <c r="AS834" s="545">
        <f>IFERROR(CEILING($AR834*VLOOKUP($I834,Ref!$B$23:$E$29,4,0),1),0)</f>
        <v>0</v>
      </c>
      <c r="AT834" s="545" t="str">
        <f>IF(A834="","",IF(AP834&lt;=1,"Cleared",IF(AS834=0,"Clean",VLOOKUP($AS834,Ref!$G$23:$H$28,2))))</f>
        <v/>
      </c>
      <c r="AU834" s="546" t="str">
        <f t="shared" si="354"/>
        <v/>
      </c>
    </row>
    <row r="835" spans="1:47" ht="14.25" hidden="1" customHeight="1" x14ac:dyDescent="0.15">
      <c r="A835" s="523"/>
      <c r="B835" s="523"/>
      <c r="C835" s="523"/>
      <c r="D835" s="523"/>
      <c r="E835" s="579"/>
      <c r="F835" s="580"/>
      <c r="G835" s="524"/>
      <c r="H835" s="555"/>
      <c r="I835" s="560"/>
      <c r="J835" s="523"/>
      <c r="K835" s="528" t="str">
        <f>IFERROR(VLOOKUP($B835,'Clients-Live'!$A:$C,3,0),"")</f>
        <v/>
      </c>
      <c r="L835" s="528">
        <f>IF(E835="STL",Pricing!$D$38,IF(A835="",0,IF(A835&lt;Pricing!$C$25,Pricing!$D$25,VLOOKUP(Disbursements!$F835,Pricing!$B$29:$D$32,3))))</f>
        <v>0</v>
      </c>
      <c r="M835" s="528">
        <f>IF(E835="STL",0,IF(F835&gt;0,Pricing!$D$21,0))</f>
        <v>0</v>
      </c>
      <c r="N835" s="529">
        <f>IF(E835="STL",F835*Pricing!$D$40,IF(A835&lt;=Pricing!$C$4,0,IF(AND(A835&gt;Pricing!$C$4,Disbursements!A835&lt;=Pricing!$C$5),F835*Pricing!$E$5,IF(AND(A835&gt;Pricing!$C$5,Disbursements!A835&lt;=Pricing!$C$7),VLOOKUP(F835,Pricing!$D$7:$E$8,2)*Disbursements!F835,F835*Pricing!$E$9))))</f>
        <v>0</v>
      </c>
      <c r="O835" s="528">
        <f>IF(E835="STL",0,IF($F835&gt;0,$F835*Pricing!$D$17,0))</f>
        <v>0</v>
      </c>
      <c r="P835" s="530" t="str">
        <f t="shared" si="334"/>
        <v/>
      </c>
      <c r="Q835" s="531" t="str">
        <f>IF($A835="","",$G835/VLOOKUP($I835,Ref!$B$23:$D$29,2,0))</f>
        <v/>
      </c>
      <c r="R835" s="530" t="str">
        <f t="shared" si="335"/>
        <v/>
      </c>
      <c r="S835" s="532" t="str">
        <f t="shared" si="329"/>
        <v/>
      </c>
      <c r="T835" s="531" t="str">
        <f t="shared" si="336"/>
        <v/>
      </c>
      <c r="U835" s="533">
        <f t="shared" si="337"/>
        <v>0</v>
      </c>
      <c r="V835" s="531" t="str">
        <f t="shared" si="338"/>
        <v/>
      </c>
      <c r="W835" s="531" t="str">
        <f t="shared" si="339"/>
        <v/>
      </c>
      <c r="X835" s="534" t="str">
        <f t="shared" si="340"/>
        <v/>
      </c>
      <c r="Y835" s="535" t="str">
        <f>IF($A835="","",IF($I835="weekly",$A835+7,EDATE($A835,VLOOKUP($I835,Ref!$B$24:$C$29,2,0))))</f>
        <v/>
      </c>
      <c r="Z835" s="536" t="str">
        <f t="shared" si="341"/>
        <v/>
      </c>
      <c r="AA835" s="531">
        <f t="shared" si="342"/>
        <v>0</v>
      </c>
      <c r="AB835" s="535" t="str">
        <f t="shared" si="330"/>
        <v/>
      </c>
      <c r="AC835" s="537" t="str">
        <f t="shared" si="331"/>
        <v/>
      </c>
      <c r="AD835" s="538" t="str">
        <f t="shared" ca="1" si="332"/>
        <v/>
      </c>
      <c r="AE835" s="537">
        <f t="shared" ca="1" si="333"/>
        <v>0</v>
      </c>
      <c r="AF835" s="539" t="str">
        <f t="shared" ca="1" si="343"/>
        <v/>
      </c>
      <c r="AG835" s="531" t="str">
        <f t="shared" ca="1" si="344"/>
        <v/>
      </c>
      <c r="AH835" s="531" t="str">
        <f t="shared" ca="1" si="345"/>
        <v/>
      </c>
      <c r="AI835" s="531" t="str">
        <f t="shared" ca="1" si="346"/>
        <v/>
      </c>
      <c r="AJ835" s="531" t="str">
        <f t="shared" si="347"/>
        <v/>
      </c>
      <c r="AK835" s="540">
        <f>SUMIFS('Live Collections'!$S:$S,'Live Collections'!$D:$D,Disbursements!B835,'Live Collections'!$G:$G,Disbursements!C835)</f>
        <v>0</v>
      </c>
      <c r="AL835" s="540">
        <f>SUMIFS('Live Collections'!$T:$T,'Live Collections'!$D:$D,Disbursements!B835,'Live Collections'!$G:$G,Disbursements!C835)</f>
        <v>0</v>
      </c>
      <c r="AM835" s="541">
        <f t="shared" si="348"/>
        <v>0</v>
      </c>
      <c r="AN835" s="542" t="str">
        <f t="shared" si="349"/>
        <v/>
      </c>
      <c r="AO835" s="542" t="str">
        <f t="shared" si="350"/>
        <v/>
      </c>
      <c r="AP835" s="543" t="str">
        <f t="shared" si="351"/>
        <v/>
      </c>
      <c r="AQ835" s="544" t="str">
        <f t="shared" si="352"/>
        <v/>
      </c>
      <c r="AR835" s="545">
        <f t="shared" si="353"/>
        <v>0</v>
      </c>
      <c r="AS835" s="545">
        <f>IFERROR(CEILING($AR835*VLOOKUP($I835,Ref!$B$23:$E$29,4,0),1),0)</f>
        <v>0</v>
      </c>
      <c r="AT835" s="545" t="str">
        <f>IF(A835="","",IF(AP835&lt;=1,"Cleared",IF(AS835=0,"Clean",VLOOKUP($AS835,Ref!$G$23:$H$28,2))))</f>
        <v/>
      </c>
      <c r="AU835" s="546" t="str">
        <f t="shared" si="354"/>
        <v/>
      </c>
    </row>
    <row r="836" spans="1:47" ht="14.25" hidden="1" customHeight="1" x14ac:dyDescent="0.15">
      <c r="A836" s="523"/>
      <c r="B836" s="523"/>
      <c r="C836" s="523"/>
      <c r="D836" s="523"/>
      <c r="E836" s="579"/>
      <c r="F836" s="580"/>
      <c r="G836" s="524"/>
      <c r="H836" s="555"/>
      <c r="I836" s="560"/>
      <c r="J836" s="523"/>
      <c r="K836" s="528" t="str">
        <f>IFERROR(VLOOKUP($B836,'Clients-Live'!$A:$C,3,0),"")</f>
        <v/>
      </c>
      <c r="L836" s="528">
        <f>IF(E836="STL",Pricing!$D$38,IF(A836="",0,IF(A836&lt;Pricing!$C$25,Pricing!$D$25,VLOOKUP(Disbursements!$F836,Pricing!$B$29:$D$32,3))))</f>
        <v>0</v>
      </c>
      <c r="M836" s="528">
        <f>IF(E836="STL",0,IF(F836&gt;0,Pricing!$D$21,0))</f>
        <v>0</v>
      </c>
      <c r="N836" s="529">
        <f>IF(E836="STL",F836*Pricing!$D$40,IF(A836&lt;=Pricing!$C$4,0,IF(AND(A836&gt;Pricing!$C$4,Disbursements!A836&lt;=Pricing!$C$5),F836*Pricing!$E$5,IF(AND(A836&gt;Pricing!$C$5,Disbursements!A836&lt;=Pricing!$C$7),VLOOKUP(F836,Pricing!$D$7:$E$8,2)*Disbursements!F836,F836*Pricing!$E$9))))</f>
        <v>0</v>
      </c>
      <c r="O836" s="528">
        <f>IF(E836="STL",0,IF($F836&gt;0,$F836*Pricing!$D$17,0))</f>
        <v>0</v>
      </c>
      <c r="P836" s="530" t="str">
        <f t="shared" si="334"/>
        <v/>
      </c>
      <c r="Q836" s="531" t="str">
        <f>IF($A836="","",$G836/VLOOKUP($I836,Ref!$B$23:$D$29,2,0))</f>
        <v/>
      </c>
      <c r="R836" s="530" t="str">
        <f t="shared" si="335"/>
        <v/>
      </c>
      <c r="S836" s="532" t="str">
        <f t="shared" ref="S836:S899" si="355">IF($A836="","",$R836/$Q836)</f>
        <v/>
      </c>
      <c r="T836" s="531" t="str">
        <f t="shared" si="336"/>
        <v/>
      </c>
      <c r="U836" s="533">
        <f t="shared" si="337"/>
        <v>0</v>
      </c>
      <c r="V836" s="531" t="str">
        <f t="shared" si="338"/>
        <v/>
      </c>
      <c r="W836" s="531" t="str">
        <f t="shared" si="339"/>
        <v/>
      </c>
      <c r="X836" s="534" t="str">
        <f t="shared" si="340"/>
        <v/>
      </c>
      <c r="Y836" s="535" t="str">
        <f>IF($A836="","",IF($I836="weekly",$A836+7,EDATE($A836,VLOOKUP($I836,Ref!$B$24:$C$29,2,0))))</f>
        <v/>
      </c>
      <c r="Z836" s="536" t="str">
        <f t="shared" si="341"/>
        <v/>
      </c>
      <c r="AA836" s="531">
        <f t="shared" si="342"/>
        <v>0</v>
      </c>
      <c r="AB836" s="535" t="str">
        <f t="shared" ref="AB836:AB899" si="356">IF($A836="","",EDATE($A836,$G836))</f>
        <v/>
      </c>
      <c r="AC836" s="537" t="str">
        <f t="shared" ref="AC836:AC899" si="357">IFERROR($AB836-$A836,"")</f>
        <v/>
      </c>
      <c r="AD836" s="538" t="str">
        <f t="shared" ref="AD836:AD899" ca="1" si="358">IFERROR(IF(TODAY()-$A836&lt;$AB836-$A836,TODAY()-$A836,"Expired"),"")</f>
        <v/>
      </c>
      <c r="AE836" s="537">
        <f t="shared" ref="AE836:AE899" ca="1" si="359">IFERROR($AC836-$AD836,0)</f>
        <v>0</v>
      </c>
      <c r="AF836" s="539" t="str">
        <f t="shared" ca="1" si="343"/>
        <v/>
      </c>
      <c r="AG836" s="531" t="str">
        <f t="shared" ca="1" si="344"/>
        <v/>
      </c>
      <c r="AH836" s="531" t="str">
        <f t="shared" ca="1" si="345"/>
        <v/>
      </c>
      <c r="AI836" s="531" t="str">
        <f t="shared" ca="1" si="346"/>
        <v/>
      </c>
      <c r="AJ836" s="531" t="str">
        <f t="shared" si="347"/>
        <v/>
      </c>
      <c r="AK836" s="540">
        <f>SUMIFS('Live Collections'!$S:$S,'Live Collections'!$D:$D,Disbursements!B836,'Live Collections'!$G:$G,Disbursements!C836)</f>
        <v>0</v>
      </c>
      <c r="AL836" s="540">
        <f>SUMIFS('Live Collections'!$T:$T,'Live Collections'!$D:$D,Disbursements!B836,'Live Collections'!$G:$G,Disbursements!C836)</f>
        <v>0</v>
      </c>
      <c r="AM836" s="541">
        <f t="shared" si="348"/>
        <v>0</v>
      </c>
      <c r="AN836" s="542" t="str">
        <f t="shared" si="349"/>
        <v/>
      </c>
      <c r="AO836" s="542" t="str">
        <f t="shared" si="350"/>
        <v/>
      </c>
      <c r="AP836" s="543" t="str">
        <f t="shared" si="351"/>
        <v/>
      </c>
      <c r="AQ836" s="544" t="str">
        <f t="shared" si="352"/>
        <v/>
      </c>
      <c r="AR836" s="545">
        <f t="shared" si="353"/>
        <v>0</v>
      </c>
      <c r="AS836" s="545">
        <f>IFERROR(CEILING($AR836*VLOOKUP($I836,Ref!$B$23:$E$29,4,0),1),0)</f>
        <v>0</v>
      </c>
      <c r="AT836" s="545" t="str">
        <f>IF(A836="","",IF(AP836&lt;=1,"Cleared",IF(AS836=0,"Clean",VLOOKUP($AS836,Ref!$G$23:$H$28,2))))</f>
        <v/>
      </c>
      <c r="AU836" s="546" t="str">
        <f t="shared" si="354"/>
        <v/>
      </c>
    </row>
    <row r="837" spans="1:47" ht="14.25" hidden="1" customHeight="1" x14ac:dyDescent="0.15">
      <c r="A837" s="523"/>
      <c r="B837" s="523"/>
      <c r="C837" s="523"/>
      <c r="D837" s="523"/>
      <c r="E837" s="579"/>
      <c r="F837" s="580"/>
      <c r="G837" s="524"/>
      <c r="H837" s="555"/>
      <c r="I837" s="560"/>
      <c r="J837" s="523"/>
      <c r="K837" s="528" t="str">
        <f>IFERROR(VLOOKUP($B837,'Clients-Live'!$A:$C,3,0),"")</f>
        <v/>
      </c>
      <c r="L837" s="528">
        <f>IF(E837="STL",Pricing!$D$38,IF(A837="",0,IF(A837&lt;Pricing!$C$25,Pricing!$D$25,VLOOKUP(Disbursements!$F837,Pricing!$B$29:$D$32,3))))</f>
        <v>0</v>
      </c>
      <c r="M837" s="528">
        <f>IF(E837="STL",0,IF(F837&gt;0,Pricing!$D$21,0))</f>
        <v>0</v>
      </c>
      <c r="N837" s="529">
        <f>IF(E837="STL",F837*Pricing!$D$40,IF(A837&lt;=Pricing!$C$4,0,IF(AND(A837&gt;Pricing!$C$4,Disbursements!A837&lt;=Pricing!$C$5),F837*Pricing!$E$5,IF(AND(A837&gt;Pricing!$C$5,Disbursements!A837&lt;=Pricing!$C$7),VLOOKUP(F837,Pricing!$D$7:$E$8,2)*Disbursements!F837,F837*Pricing!$E$9))))</f>
        <v>0</v>
      </c>
      <c r="O837" s="528">
        <f>IF(E837="STL",0,IF($F837&gt;0,$F837*Pricing!$D$17,0))</f>
        <v>0</v>
      </c>
      <c r="P837" s="530" t="str">
        <f t="shared" ref="P837:P900" si="360">IF($A837="","",$H837*$F837*$G837)</f>
        <v/>
      </c>
      <c r="Q837" s="531" t="str">
        <f>IF($A837="","",$G837/VLOOKUP($I837,Ref!$B$23:$D$29,2,0))</f>
        <v/>
      </c>
      <c r="R837" s="530" t="str">
        <f t="shared" ref="R837:R900" si="361">IF($A837="","",$F837+$P837)</f>
        <v/>
      </c>
      <c r="S837" s="532" t="str">
        <f t="shared" si="355"/>
        <v/>
      </c>
      <c r="T837" s="531" t="str">
        <f t="shared" ref="T837:T900" si="362">IF(R837="","",CEILING(S837,1000))</f>
        <v/>
      </c>
      <c r="U837" s="533">
        <f t="shared" ref="U837:U900" si="363">IFERROR(T837*Q837,0)</f>
        <v>0</v>
      </c>
      <c r="V837" s="531" t="str">
        <f t="shared" ref="V837:V900" si="364">IF(T837="","",F837/Q837)</f>
        <v/>
      </c>
      <c r="W837" s="531" t="str">
        <f t="shared" ref="W837:W900" si="365">IF(T837="","",T837-V837)</f>
        <v/>
      </c>
      <c r="X837" s="534" t="str">
        <f t="shared" ref="X837:X900" si="366">IF(A837="","",W837*Q837)</f>
        <v/>
      </c>
      <c r="Y837" s="535" t="str">
        <f>IF($A837="","",IF($I837="weekly",$A837+7,EDATE($A837,VLOOKUP($I837,Ref!$B$24:$C$29,2,0))))</f>
        <v/>
      </c>
      <c r="Z837" s="536" t="str">
        <f t="shared" ref="Z837:Z900" si="367">IFERROR(CHOOSE(WEEKDAY(Y837),"Sun","Mon","Tue","Wed","Thu","Frid","Sat"),"")</f>
        <v/>
      </c>
      <c r="AA837" s="531">
        <f t="shared" ref="AA837:AA900" si="368">IFERROR(Y837-A837,0)</f>
        <v>0</v>
      </c>
      <c r="AB837" s="535" t="str">
        <f t="shared" si="356"/>
        <v/>
      </c>
      <c r="AC837" s="537" t="str">
        <f t="shared" si="357"/>
        <v/>
      </c>
      <c r="AD837" s="538" t="str">
        <f t="shared" ca="1" si="358"/>
        <v/>
      </c>
      <c r="AE837" s="537">
        <f t="shared" ca="1" si="359"/>
        <v>0</v>
      </c>
      <c r="AF837" s="539" t="str">
        <f t="shared" ref="AF837:AF900" ca="1" si="369">IFERROR(IF(AD837="Expired",Q837,IF(AD837&gt;AA837,AD837/AA837,0)),"")</f>
        <v/>
      </c>
      <c r="AG837" s="531" t="str">
        <f t="shared" ref="AG837:AG900" ca="1" si="370">IFERROR(AF837*T837,"")</f>
        <v/>
      </c>
      <c r="AH837" s="531" t="str">
        <f t="shared" ref="AH837:AH900" ca="1" si="371">IFERROR(AF837*W837,"")</f>
        <v/>
      </c>
      <c r="AI837" s="531" t="str">
        <f t="shared" ref="AI837:AI900" ca="1" si="372">IFERROR(AF837*V837,"")</f>
        <v/>
      </c>
      <c r="AJ837" s="531" t="str">
        <f t="shared" ref="AJ837:AJ900" si="373">IF(F837=0,"",U837-AG837)</f>
        <v/>
      </c>
      <c r="AK837" s="540">
        <f>SUMIFS('Live Collections'!$S:$S,'Live Collections'!$D:$D,Disbursements!B837,'Live Collections'!$G:$G,Disbursements!C837)</f>
        <v>0</v>
      </c>
      <c r="AL837" s="540">
        <f>SUMIFS('Live Collections'!$T:$T,'Live Collections'!$D:$D,Disbursements!B837,'Live Collections'!$G:$G,Disbursements!C837)</f>
        <v>0</v>
      </c>
      <c r="AM837" s="541">
        <f t="shared" ref="AM837:AM900" si="374">SUM(AK837:AL837)</f>
        <v>0</v>
      </c>
      <c r="AN837" s="542" t="str">
        <f t="shared" ref="AN837:AN900" si="375">IFERROR(W837*Q837-AK837,"")</f>
        <v/>
      </c>
      <c r="AO837" s="542" t="str">
        <f t="shared" ref="AO837:AO900" si="376">IF(F837="","",(F837-AL837))</f>
        <v/>
      </c>
      <c r="AP837" s="543" t="str">
        <f t="shared" ref="AP837:AP900" si="377">IF(F837="","",SUM(AN837:AO837))</f>
        <v/>
      </c>
      <c r="AQ837" s="544" t="str">
        <f t="shared" ref="AQ837:AQ900" si="378">IF(AP837&gt;AJ837,AP837-AJ837,"")</f>
        <v/>
      </c>
      <c r="AR837" s="545">
        <f t="shared" ref="AR837:AR900" si="379">IFERROR(AQ837/T837,0)</f>
        <v>0</v>
      </c>
      <c r="AS837" s="545">
        <f>IFERROR(CEILING($AR837*VLOOKUP($I837,Ref!$B$23:$E$29,4,0),1),0)</f>
        <v>0</v>
      </c>
      <c r="AT837" s="545" t="str">
        <f>IF(A837="","",IF(AP837&lt;=1,"Cleared",IF(AS837=0,"Clean",VLOOKUP($AS837,Ref!$G$23:$H$28,2))))</f>
        <v/>
      </c>
      <c r="AU837" s="546" t="str">
        <f t="shared" ref="AU837:AU900" si="380">IF(F837="","",IF(OR(AN837&lt;0,AO837&lt;0,AP837&lt;0),"Error on Entry","Ok"))</f>
        <v/>
      </c>
    </row>
    <row r="838" spans="1:47" ht="14.25" hidden="1" customHeight="1" x14ac:dyDescent="0.15">
      <c r="A838" s="523"/>
      <c r="B838" s="523"/>
      <c r="C838" s="523"/>
      <c r="D838" s="523"/>
      <c r="E838" s="579"/>
      <c r="F838" s="580"/>
      <c r="G838" s="524"/>
      <c r="H838" s="555"/>
      <c r="I838" s="560"/>
      <c r="J838" s="523"/>
      <c r="K838" s="528" t="str">
        <f>IFERROR(VLOOKUP($B838,'Clients-Live'!$A:$C,3,0),"")</f>
        <v/>
      </c>
      <c r="L838" s="528">
        <f>IF(E838="STL",Pricing!$D$38,IF(A838="",0,IF(A838&lt;Pricing!$C$25,Pricing!$D$25,VLOOKUP(Disbursements!$F838,Pricing!$B$29:$D$32,3))))</f>
        <v>0</v>
      </c>
      <c r="M838" s="528">
        <f>IF(E838="STL",0,IF(F838&gt;0,Pricing!$D$21,0))</f>
        <v>0</v>
      </c>
      <c r="N838" s="529">
        <f>IF(E838="STL",F838*Pricing!$D$40,IF(A838&lt;=Pricing!$C$4,0,IF(AND(A838&gt;Pricing!$C$4,Disbursements!A838&lt;=Pricing!$C$5),F838*Pricing!$E$5,IF(AND(A838&gt;Pricing!$C$5,Disbursements!A838&lt;=Pricing!$C$7),VLOOKUP(F838,Pricing!$D$7:$E$8,2)*Disbursements!F838,F838*Pricing!$E$9))))</f>
        <v>0</v>
      </c>
      <c r="O838" s="528">
        <f>IF(E838="STL",0,IF($F838&gt;0,$F838*Pricing!$D$17,0))</f>
        <v>0</v>
      </c>
      <c r="P838" s="530" t="str">
        <f t="shared" si="360"/>
        <v/>
      </c>
      <c r="Q838" s="531" t="str">
        <f>IF($A838="","",$G838/VLOOKUP($I838,Ref!$B$23:$D$29,2,0))</f>
        <v/>
      </c>
      <c r="R838" s="530" t="str">
        <f t="shared" si="361"/>
        <v/>
      </c>
      <c r="S838" s="532" t="str">
        <f t="shared" si="355"/>
        <v/>
      </c>
      <c r="T838" s="531" t="str">
        <f t="shared" si="362"/>
        <v/>
      </c>
      <c r="U838" s="533">
        <f t="shared" si="363"/>
        <v>0</v>
      </c>
      <c r="V838" s="531" t="str">
        <f t="shared" si="364"/>
        <v/>
      </c>
      <c r="W838" s="531" t="str">
        <f t="shared" si="365"/>
        <v/>
      </c>
      <c r="X838" s="534" t="str">
        <f t="shared" si="366"/>
        <v/>
      </c>
      <c r="Y838" s="535" t="str">
        <f>IF($A838="","",IF($I838="weekly",$A838+7,EDATE($A838,VLOOKUP($I838,Ref!$B$24:$C$29,2,0))))</f>
        <v/>
      </c>
      <c r="Z838" s="536" t="str">
        <f t="shared" si="367"/>
        <v/>
      </c>
      <c r="AA838" s="531">
        <f t="shared" si="368"/>
        <v>0</v>
      </c>
      <c r="AB838" s="535" t="str">
        <f t="shared" si="356"/>
        <v/>
      </c>
      <c r="AC838" s="537" t="str">
        <f t="shared" si="357"/>
        <v/>
      </c>
      <c r="AD838" s="538" t="str">
        <f t="shared" ca="1" si="358"/>
        <v/>
      </c>
      <c r="AE838" s="537">
        <f t="shared" ca="1" si="359"/>
        <v>0</v>
      </c>
      <c r="AF838" s="539" t="str">
        <f t="shared" ca="1" si="369"/>
        <v/>
      </c>
      <c r="AG838" s="531" t="str">
        <f t="shared" ca="1" si="370"/>
        <v/>
      </c>
      <c r="AH838" s="531" t="str">
        <f t="shared" ca="1" si="371"/>
        <v/>
      </c>
      <c r="AI838" s="531" t="str">
        <f t="shared" ca="1" si="372"/>
        <v/>
      </c>
      <c r="AJ838" s="531" t="str">
        <f t="shared" si="373"/>
        <v/>
      </c>
      <c r="AK838" s="540">
        <f>SUMIFS('Live Collections'!$S:$S,'Live Collections'!$D:$D,Disbursements!B838,'Live Collections'!$G:$G,Disbursements!C838)</f>
        <v>0</v>
      </c>
      <c r="AL838" s="540">
        <f>SUMIFS('Live Collections'!$T:$T,'Live Collections'!$D:$D,Disbursements!B838,'Live Collections'!$G:$G,Disbursements!C838)</f>
        <v>0</v>
      </c>
      <c r="AM838" s="541">
        <f t="shared" si="374"/>
        <v>0</v>
      </c>
      <c r="AN838" s="542" t="str">
        <f t="shared" si="375"/>
        <v/>
      </c>
      <c r="AO838" s="542" t="str">
        <f t="shared" si="376"/>
        <v/>
      </c>
      <c r="AP838" s="543" t="str">
        <f t="shared" si="377"/>
        <v/>
      </c>
      <c r="AQ838" s="544" t="str">
        <f t="shared" si="378"/>
        <v/>
      </c>
      <c r="AR838" s="545">
        <f t="shared" si="379"/>
        <v>0</v>
      </c>
      <c r="AS838" s="545">
        <f>IFERROR(CEILING($AR838*VLOOKUP($I838,Ref!$B$23:$E$29,4,0),1),0)</f>
        <v>0</v>
      </c>
      <c r="AT838" s="545" t="str">
        <f>IF(A838="","",IF(AP838&lt;=1,"Cleared",IF(AS838=0,"Clean",VLOOKUP($AS838,Ref!$G$23:$H$28,2))))</f>
        <v/>
      </c>
      <c r="AU838" s="546" t="str">
        <f t="shared" si="380"/>
        <v/>
      </c>
    </row>
    <row r="839" spans="1:47" ht="14.25" hidden="1" customHeight="1" x14ac:dyDescent="0.15">
      <c r="A839" s="523"/>
      <c r="B839" s="523"/>
      <c r="C839" s="523"/>
      <c r="D839" s="523"/>
      <c r="E839" s="579"/>
      <c r="F839" s="580"/>
      <c r="G839" s="524"/>
      <c r="H839" s="555"/>
      <c r="I839" s="560"/>
      <c r="J839" s="523"/>
      <c r="K839" s="528" t="str">
        <f>IFERROR(VLOOKUP($B839,'Clients-Live'!$A:$C,3,0),"")</f>
        <v/>
      </c>
      <c r="L839" s="528">
        <f>IF(E839="STL",Pricing!$D$38,IF(A839="",0,IF(A839&lt;Pricing!$C$25,Pricing!$D$25,VLOOKUP(Disbursements!$F839,Pricing!$B$29:$D$32,3))))</f>
        <v>0</v>
      </c>
      <c r="M839" s="528">
        <f>IF(E839="STL",0,IF(F839&gt;0,Pricing!$D$21,0))</f>
        <v>0</v>
      </c>
      <c r="N839" s="529">
        <f>IF(E839="STL",F839*Pricing!$D$40,IF(A839&lt;=Pricing!$C$4,0,IF(AND(A839&gt;Pricing!$C$4,Disbursements!A839&lt;=Pricing!$C$5),F839*Pricing!$E$5,IF(AND(A839&gt;Pricing!$C$5,Disbursements!A839&lt;=Pricing!$C$7),VLOOKUP(F839,Pricing!$D$7:$E$8,2)*Disbursements!F839,F839*Pricing!$E$9))))</f>
        <v>0</v>
      </c>
      <c r="O839" s="528">
        <f>IF(E839="STL",0,IF($F839&gt;0,$F839*Pricing!$D$17,0))</f>
        <v>0</v>
      </c>
      <c r="P839" s="530" t="str">
        <f t="shared" si="360"/>
        <v/>
      </c>
      <c r="Q839" s="531" t="str">
        <f>IF($A839="","",$G839/VLOOKUP($I839,Ref!$B$23:$D$29,2,0))</f>
        <v/>
      </c>
      <c r="R839" s="530" t="str">
        <f t="shared" si="361"/>
        <v/>
      </c>
      <c r="S839" s="532" t="str">
        <f t="shared" si="355"/>
        <v/>
      </c>
      <c r="T839" s="531" t="str">
        <f t="shared" si="362"/>
        <v/>
      </c>
      <c r="U839" s="533">
        <f t="shared" si="363"/>
        <v>0</v>
      </c>
      <c r="V839" s="531" t="str">
        <f t="shared" si="364"/>
        <v/>
      </c>
      <c r="W839" s="531" t="str">
        <f t="shared" si="365"/>
        <v/>
      </c>
      <c r="X839" s="534" t="str">
        <f t="shared" si="366"/>
        <v/>
      </c>
      <c r="Y839" s="535" t="str">
        <f>IF($A839="","",IF($I839="weekly",$A839+7,EDATE($A839,VLOOKUP($I839,Ref!$B$24:$C$29,2,0))))</f>
        <v/>
      </c>
      <c r="Z839" s="536" t="str">
        <f t="shared" si="367"/>
        <v/>
      </c>
      <c r="AA839" s="531">
        <f t="shared" si="368"/>
        <v>0</v>
      </c>
      <c r="AB839" s="535" t="str">
        <f t="shared" si="356"/>
        <v/>
      </c>
      <c r="AC839" s="537" t="str">
        <f t="shared" si="357"/>
        <v/>
      </c>
      <c r="AD839" s="538" t="str">
        <f t="shared" ca="1" si="358"/>
        <v/>
      </c>
      <c r="AE839" s="537">
        <f t="shared" ca="1" si="359"/>
        <v>0</v>
      </c>
      <c r="AF839" s="539" t="str">
        <f t="shared" ca="1" si="369"/>
        <v/>
      </c>
      <c r="AG839" s="531" t="str">
        <f t="shared" ca="1" si="370"/>
        <v/>
      </c>
      <c r="AH839" s="531" t="str">
        <f t="shared" ca="1" si="371"/>
        <v/>
      </c>
      <c r="AI839" s="531" t="str">
        <f t="shared" ca="1" si="372"/>
        <v/>
      </c>
      <c r="AJ839" s="531" t="str">
        <f t="shared" si="373"/>
        <v/>
      </c>
      <c r="AK839" s="540">
        <f>SUMIFS('Live Collections'!$S:$S,'Live Collections'!$D:$D,Disbursements!B839,'Live Collections'!$G:$G,Disbursements!C839)</f>
        <v>0</v>
      </c>
      <c r="AL839" s="540">
        <f>SUMIFS('Live Collections'!$T:$T,'Live Collections'!$D:$D,Disbursements!B839,'Live Collections'!$G:$G,Disbursements!C839)</f>
        <v>0</v>
      </c>
      <c r="AM839" s="541">
        <f t="shared" si="374"/>
        <v>0</v>
      </c>
      <c r="AN839" s="542" t="str">
        <f t="shared" si="375"/>
        <v/>
      </c>
      <c r="AO839" s="542" t="str">
        <f t="shared" si="376"/>
        <v/>
      </c>
      <c r="AP839" s="543" t="str">
        <f t="shared" si="377"/>
        <v/>
      </c>
      <c r="AQ839" s="544" t="str">
        <f t="shared" si="378"/>
        <v/>
      </c>
      <c r="AR839" s="545">
        <f t="shared" si="379"/>
        <v>0</v>
      </c>
      <c r="AS839" s="545">
        <f>IFERROR(CEILING($AR839*VLOOKUP($I839,Ref!$B$23:$E$29,4,0),1),0)</f>
        <v>0</v>
      </c>
      <c r="AT839" s="545" t="str">
        <f>IF(A839="","",IF(AP839&lt;=1,"Cleared",IF(AS839=0,"Clean",VLOOKUP($AS839,Ref!$G$23:$H$28,2))))</f>
        <v/>
      </c>
      <c r="AU839" s="546" t="str">
        <f t="shared" si="380"/>
        <v/>
      </c>
    </row>
    <row r="840" spans="1:47" ht="14.25" hidden="1" customHeight="1" x14ac:dyDescent="0.15">
      <c r="A840" s="523"/>
      <c r="B840" s="523"/>
      <c r="C840" s="523"/>
      <c r="D840" s="523"/>
      <c r="E840" s="579"/>
      <c r="F840" s="580"/>
      <c r="G840" s="524"/>
      <c r="H840" s="555"/>
      <c r="I840" s="560"/>
      <c r="J840" s="523"/>
      <c r="K840" s="528" t="str">
        <f>IFERROR(VLOOKUP($B840,'Clients-Live'!$A:$C,3,0),"")</f>
        <v/>
      </c>
      <c r="L840" s="528">
        <f>IF(E840="STL",Pricing!$D$38,IF(A840="",0,IF(A840&lt;Pricing!$C$25,Pricing!$D$25,VLOOKUP(Disbursements!$F840,Pricing!$B$29:$D$32,3))))</f>
        <v>0</v>
      </c>
      <c r="M840" s="528">
        <f>IF(E840="STL",0,IF(F840&gt;0,Pricing!$D$21,0))</f>
        <v>0</v>
      </c>
      <c r="N840" s="529">
        <f>IF(E840="STL",F840*Pricing!$D$40,IF(A840&lt;=Pricing!$C$4,0,IF(AND(A840&gt;Pricing!$C$4,Disbursements!A840&lt;=Pricing!$C$5),F840*Pricing!$E$5,IF(AND(A840&gt;Pricing!$C$5,Disbursements!A840&lt;=Pricing!$C$7),VLOOKUP(F840,Pricing!$D$7:$E$8,2)*Disbursements!F840,F840*Pricing!$E$9))))</f>
        <v>0</v>
      </c>
      <c r="O840" s="528">
        <f>IF(E840="STL",0,IF($F840&gt;0,$F840*Pricing!$D$17,0))</f>
        <v>0</v>
      </c>
      <c r="P840" s="530" t="str">
        <f t="shared" si="360"/>
        <v/>
      </c>
      <c r="Q840" s="531" t="str">
        <f>IF($A840="","",$G840/VLOOKUP($I840,Ref!$B$23:$D$29,2,0))</f>
        <v/>
      </c>
      <c r="R840" s="530" t="str">
        <f t="shared" si="361"/>
        <v/>
      </c>
      <c r="S840" s="532" t="str">
        <f t="shared" si="355"/>
        <v/>
      </c>
      <c r="T840" s="531" t="str">
        <f t="shared" si="362"/>
        <v/>
      </c>
      <c r="U840" s="533">
        <f t="shared" si="363"/>
        <v>0</v>
      </c>
      <c r="V840" s="531" t="str">
        <f t="shared" si="364"/>
        <v/>
      </c>
      <c r="W840" s="531" t="str">
        <f t="shared" si="365"/>
        <v/>
      </c>
      <c r="X840" s="534" t="str">
        <f t="shared" si="366"/>
        <v/>
      </c>
      <c r="Y840" s="535" t="str">
        <f>IF($A840="","",IF($I840="weekly",$A840+7,EDATE($A840,VLOOKUP($I840,Ref!$B$24:$C$29,2,0))))</f>
        <v/>
      </c>
      <c r="Z840" s="536" t="str">
        <f t="shared" si="367"/>
        <v/>
      </c>
      <c r="AA840" s="531">
        <f t="shared" si="368"/>
        <v>0</v>
      </c>
      <c r="AB840" s="535" t="str">
        <f t="shared" si="356"/>
        <v/>
      </c>
      <c r="AC840" s="537" t="str">
        <f t="shared" si="357"/>
        <v/>
      </c>
      <c r="AD840" s="538" t="str">
        <f t="shared" ca="1" si="358"/>
        <v/>
      </c>
      <c r="AE840" s="537">
        <f t="shared" ca="1" si="359"/>
        <v>0</v>
      </c>
      <c r="AF840" s="539" t="str">
        <f t="shared" ca="1" si="369"/>
        <v/>
      </c>
      <c r="AG840" s="531" t="str">
        <f t="shared" ca="1" si="370"/>
        <v/>
      </c>
      <c r="AH840" s="531" t="str">
        <f t="shared" ca="1" si="371"/>
        <v/>
      </c>
      <c r="AI840" s="531" t="str">
        <f t="shared" ca="1" si="372"/>
        <v/>
      </c>
      <c r="AJ840" s="531" t="str">
        <f t="shared" si="373"/>
        <v/>
      </c>
      <c r="AK840" s="540">
        <f>SUMIFS('Live Collections'!$S:$S,'Live Collections'!$D:$D,Disbursements!B840,'Live Collections'!$G:$G,Disbursements!C840)</f>
        <v>0</v>
      </c>
      <c r="AL840" s="540">
        <f>SUMIFS('Live Collections'!$T:$T,'Live Collections'!$D:$D,Disbursements!B840,'Live Collections'!$G:$G,Disbursements!C840)</f>
        <v>0</v>
      </c>
      <c r="AM840" s="541">
        <f t="shared" si="374"/>
        <v>0</v>
      </c>
      <c r="AN840" s="542" t="str">
        <f t="shared" si="375"/>
        <v/>
      </c>
      <c r="AO840" s="542" t="str">
        <f t="shared" si="376"/>
        <v/>
      </c>
      <c r="AP840" s="543" t="str">
        <f t="shared" si="377"/>
        <v/>
      </c>
      <c r="AQ840" s="544" t="str">
        <f t="shared" si="378"/>
        <v/>
      </c>
      <c r="AR840" s="545">
        <f t="shared" si="379"/>
        <v>0</v>
      </c>
      <c r="AS840" s="545">
        <f>IFERROR(CEILING($AR840*VLOOKUP($I840,Ref!$B$23:$E$29,4,0),1),0)</f>
        <v>0</v>
      </c>
      <c r="AT840" s="545" t="str">
        <f>IF(A840="","",IF(AP840&lt;=1,"Cleared",IF(AS840=0,"Clean",VLOOKUP($AS840,Ref!$G$23:$H$28,2))))</f>
        <v/>
      </c>
      <c r="AU840" s="546" t="str">
        <f t="shared" si="380"/>
        <v/>
      </c>
    </row>
    <row r="841" spans="1:47" ht="14.25" hidden="1" customHeight="1" x14ac:dyDescent="0.15">
      <c r="A841" s="523"/>
      <c r="B841" s="523"/>
      <c r="C841" s="523"/>
      <c r="D841" s="523"/>
      <c r="E841" s="579"/>
      <c r="F841" s="580"/>
      <c r="G841" s="524"/>
      <c r="H841" s="555"/>
      <c r="I841" s="560"/>
      <c r="J841" s="523"/>
      <c r="K841" s="528" t="str">
        <f>IFERROR(VLOOKUP($B841,'Clients-Live'!$A:$C,3,0),"")</f>
        <v/>
      </c>
      <c r="L841" s="528">
        <f>IF(E841="STL",Pricing!$D$38,IF(A841="",0,IF(A841&lt;Pricing!$C$25,Pricing!$D$25,VLOOKUP(Disbursements!$F841,Pricing!$B$29:$D$32,3))))</f>
        <v>0</v>
      </c>
      <c r="M841" s="528">
        <f>IF(E841="STL",0,IF(F841&gt;0,Pricing!$D$21,0))</f>
        <v>0</v>
      </c>
      <c r="N841" s="529">
        <f>IF(E841="STL",F841*Pricing!$D$40,IF(A841&lt;=Pricing!$C$4,0,IF(AND(A841&gt;Pricing!$C$4,Disbursements!A841&lt;=Pricing!$C$5),F841*Pricing!$E$5,IF(AND(A841&gt;Pricing!$C$5,Disbursements!A841&lt;=Pricing!$C$7),VLOOKUP(F841,Pricing!$D$7:$E$8,2)*Disbursements!F841,F841*Pricing!$E$9))))</f>
        <v>0</v>
      </c>
      <c r="O841" s="528">
        <f>IF(E841="STL",0,IF($F841&gt;0,$F841*Pricing!$D$17,0))</f>
        <v>0</v>
      </c>
      <c r="P841" s="530" t="str">
        <f t="shared" si="360"/>
        <v/>
      </c>
      <c r="Q841" s="531" t="str">
        <f>IF($A841="","",$G841/VLOOKUP($I841,Ref!$B$23:$D$29,2,0))</f>
        <v/>
      </c>
      <c r="R841" s="530" t="str">
        <f t="shared" si="361"/>
        <v/>
      </c>
      <c r="S841" s="532" t="str">
        <f t="shared" si="355"/>
        <v/>
      </c>
      <c r="T841" s="531" t="str">
        <f t="shared" si="362"/>
        <v/>
      </c>
      <c r="U841" s="533">
        <f t="shared" si="363"/>
        <v>0</v>
      </c>
      <c r="V841" s="531" t="str">
        <f t="shared" si="364"/>
        <v/>
      </c>
      <c r="W841" s="531" t="str">
        <f t="shared" si="365"/>
        <v/>
      </c>
      <c r="X841" s="534" t="str">
        <f t="shared" si="366"/>
        <v/>
      </c>
      <c r="Y841" s="535" t="str">
        <f>IF($A841="","",IF($I841="weekly",$A841+7,EDATE($A841,VLOOKUP($I841,Ref!$B$24:$C$29,2,0))))</f>
        <v/>
      </c>
      <c r="Z841" s="536" t="str">
        <f t="shared" si="367"/>
        <v/>
      </c>
      <c r="AA841" s="531">
        <f t="shared" si="368"/>
        <v>0</v>
      </c>
      <c r="AB841" s="535" t="str">
        <f t="shared" si="356"/>
        <v/>
      </c>
      <c r="AC841" s="537" t="str">
        <f t="shared" si="357"/>
        <v/>
      </c>
      <c r="AD841" s="538" t="str">
        <f t="shared" ca="1" si="358"/>
        <v/>
      </c>
      <c r="AE841" s="537">
        <f t="shared" ca="1" si="359"/>
        <v>0</v>
      </c>
      <c r="AF841" s="539" t="str">
        <f t="shared" ca="1" si="369"/>
        <v/>
      </c>
      <c r="AG841" s="531" t="str">
        <f t="shared" ca="1" si="370"/>
        <v/>
      </c>
      <c r="AH841" s="531" t="str">
        <f t="shared" ca="1" si="371"/>
        <v/>
      </c>
      <c r="AI841" s="531" t="str">
        <f t="shared" ca="1" si="372"/>
        <v/>
      </c>
      <c r="AJ841" s="531" t="str">
        <f t="shared" si="373"/>
        <v/>
      </c>
      <c r="AK841" s="540">
        <f>SUMIFS('Live Collections'!$S:$S,'Live Collections'!$D:$D,Disbursements!B841,'Live Collections'!$G:$G,Disbursements!C841)</f>
        <v>0</v>
      </c>
      <c r="AL841" s="540">
        <f>SUMIFS('Live Collections'!$T:$T,'Live Collections'!$D:$D,Disbursements!B841,'Live Collections'!$G:$G,Disbursements!C841)</f>
        <v>0</v>
      </c>
      <c r="AM841" s="541">
        <f t="shared" si="374"/>
        <v>0</v>
      </c>
      <c r="AN841" s="542" t="str">
        <f t="shared" si="375"/>
        <v/>
      </c>
      <c r="AO841" s="542" t="str">
        <f t="shared" si="376"/>
        <v/>
      </c>
      <c r="AP841" s="543" t="str">
        <f t="shared" si="377"/>
        <v/>
      </c>
      <c r="AQ841" s="544" t="str">
        <f t="shared" si="378"/>
        <v/>
      </c>
      <c r="AR841" s="545">
        <f t="shared" si="379"/>
        <v>0</v>
      </c>
      <c r="AS841" s="545">
        <f>IFERROR(CEILING($AR841*VLOOKUP($I841,Ref!$B$23:$E$29,4,0),1),0)</f>
        <v>0</v>
      </c>
      <c r="AT841" s="545" t="str">
        <f>IF(A841="","",IF(AP841&lt;=1,"Cleared",IF(AS841=0,"Clean",VLOOKUP($AS841,Ref!$G$23:$H$28,2))))</f>
        <v/>
      </c>
      <c r="AU841" s="546" t="str">
        <f t="shared" si="380"/>
        <v/>
      </c>
    </row>
    <row r="842" spans="1:47" ht="14.25" hidden="1" customHeight="1" x14ac:dyDescent="0.15">
      <c r="A842" s="523"/>
      <c r="B842" s="523"/>
      <c r="C842" s="523"/>
      <c r="D842" s="523"/>
      <c r="E842" s="579"/>
      <c r="F842" s="580"/>
      <c r="G842" s="524"/>
      <c r="H842" s="555"/>
      <c r="I842" s="560"/>
      <c r="J842" s="523"/>
      <c r="K842" s="528" t="str">
        <f>IFERROR(VLOOKUP($B842,'Clients-Live'!$A:$C,3,0),"")</f>
        <v/>
      </c>
      <c r="L842" s="528">
        <f>IF(E842="STL",Pricing!$D$38,IF(A842="",0,IF(A842&lt;Pricing!$C$25,Pricing!$D$25,VLOOKUP(Disbursements!$F842,Pricing!$B$29:$D$32,3))))</f>
        <v>0</v>
      </c>
      <c r="M842" s="528">
        <f>IF(E842="STL",0,IF(F842&gt;0,Pricing!$D$21,0))</f>
        <v>0</v>
      </c>
      <c r="N842" s="529">
        <f>IF(E842="STL",F842*Pricing!$D$40,IF(A842&lt;=Pricing!$C$4,0,IF(AND(A842&gt;Pricing!$C$4,Disbursements!A842&lt;=Pricing!$C$5),F842*Pricing!$E$5,IF(AND(A842&gt;Pricing!$C$5,Disbursements!A842&lt;=Pricing!$C$7),VLOOKUP(F842,Pricing!$D$7:$E$8,2)*Disbursements!F842,F842*Pricing!$E$9))))</f>
        <v>0</v>
      </c>
      <c r="O842" s="528">
        <f>IF(E842="STL",0,IF($F842&gt;0,$F842*Pricing!$D$17,0))</f>
        <v>0</v>
      </c>
      <c r="P842" s="530" t="str">
        <f t="shared" si="360"/>
        <v/>
      </c>
      <c r="Q842" s="531" t="str">
        <f>IF($A842="","",$G842/VLOOKUP($I842,Ref!$B$23:$D$29,2,0))</f>
        <v/>
      </c>
      <c r="R842" s="530" t="str">
        <f t="shared" si="361"/>
        <v/>
      </c>
      <c r="S842" s="532" t="str">
        <f t="shared" si="355"/>
        <v/>
      </c>
      <c r="T842" s="531" t="str">
        <f t="shared" si="362"/>
        <v/>
      </c>
      <c r="U842" s="533">
        <f t="shared" si="363"/>
        <v>0</v>
      </c>
      <c r="V842" s="531" t="str">
        <f t="shared" si="364"/>
        <v/>
      </c>
      <c r="W842" s="531" t="str">
        <f t="shared" si="365"/>
        <v/>
      </c>
      <c r="X842" s="534" t="str">
        <f t="shared" si="366"/>
        <v/>
      </c>
      <c r="Y842" s="535" t="str">
        <f>IF($A842="","",IF($I842="weekly",$A842+7,EDATE($A842,VLOOKUP($I842,Ref!$B$24:$C$29,2,0))))</f>
        <v/>
      </c>
      <c r="Z842" s="536" t="str">
        <f t="shared" si="367"/>
        <v/>
      </c>
      <c r="AA842" s="531">
        <f t="shared" si="368"/>
        <v>0</v>
      </c>
      <c r="AB842" s="535" t="str">
        <f t="shared" si="356"/>
        <v/>
      </c>
      <c r="AC842" s="537" t="str">
        <f t="shared" si="357"/>
        <v/>
      </c>
      <c r="AD842" s="538" t="str">
        <f t="shared" ca="1" si="358"/>
        <v/>
      </c>
      <c r="AE842" s="537">
        <f t="shared" ca="1" si="359"/>
        <v>0</v>
      </c>
      <c r="AF842" s="539" t="str">
        <f t="shared" ca="1" si="369"/>
        <v/>
      </c>
      <c r="AG842" s="531" t="str">
        <f t="shared" ca="1" si="370"/>
        <v/>
      </c>
      <c r="AH842" s="531" t="str">
        <f t="shared" ca="1" si="371"/>
        <v/>
      </c>
      <c r="AI842" s="531" t="str">
        <f t="shared" ca="1" si="372"/>
        <v/>
      </c>
      <c r="AJ842" s="531" t="str">
        <f t="shared" si="373"/>
        <v/>
      </c>
      <c r="AK842" s="540">
        <f>SUMIFS('Live Collections'!$S:$S,'Live Collections'!$D:$D,Disbursements!B842,'Live Collections'!$G:$G,Disbursements!C842)</f>
        <v>0</v>
      </c>
      <c r="AL842" s="540">
        <f>SUMIFS('Live Collections'!$T:$T,'Live Collections'!$D:$D,Disbursements!B842,'Live Collections'!$G:$G,Disbursements!C842)</f>
        <v>0</v>
      </c>
      <c r="AM842" s="541">
        <f t="shared" si="374"/>
        <v>0</v>
      </c>
      <c r="AN842" s="542" t="str">
        <f t="shared" si="375"/>
        <v/>
      </c>
      <c r="AO842" s="542" t="str">
        <f t="shared" si="376"/>
        <v/>
      </c>
      <c r="AP842" s="543" t="str">
        <f t="shared" si="377"/>
        <v/>
      </c>
      <c r="AQ842" s="544" t="str">
        <f t="shared" si="378"/>
        <v/>
      </c>
      <c r="AR842" s="545">
        <f t="shared" si="379"/>
        <v>0</v>
      </c>
      <c r="AS842" s="545">
        <f>IFERROR(CEILING($AR842*VLOOKUP($I842,Ref!$B$23:$E$29,4,0),1),0)</f>
        <v>0</v>
      </c>
      <c r="AT842" s="545" t="str">
        <f>IF(A842="","",IF(AP842&lt;=1,"Cleared",IF(AS842=0,"Clean",VLOOKUP($AS842,Ref!$G$23:$H$28,2))))</f>
        <v/>
      </c>
      <c r="AU842" s="546" t="str">
        <f t="shared" si="380"/>
        <v/>
      </c>
    </row>
    <row r="843" spans="1:47" ht="14.25" hidden="1" customHeight="1" x14ac:dyDescent="0.15">
      <c r="A843" s="523"/>
      <c r="B843" s="523"/>
      <c r="C843" s="523"/>
      <c r="D843" s="523"/>
      <c r="E843" s="579"/>
      <c r="F843" s="580"/>
      <c r="G843" s="524"/>
      <c r="H843" s="555"/>
      <c r="I843" s="560"/>
      <c r="J843" s="523"/>
      <c r="K843" s="528" t="str">
        <f>IFERROR(VLOOKUP($B843,'Clients-Live'!$A:$C,3,0),"")</f>
        <v/>
      </c>
      <c r="L843" s="528">
        <f>IF(E843="STL",Pricing!$D$38,IF(A843="",0,IF(A843&lt;Pricing!$C$25,Pricing!$D$25,VLOOKUP(Disbursements!$F843,Pricing!$B$29:$D$32,3))))</f>
        <v>0</v>
      </c>
      <c r="M843" s="528">
        <f>IF(E843="STL",0,IF(F843&gt;0,Pricing!$D$21,0))</f>
        <v>0</v>
      </c>
      <c r="N843" s="529">
        <f>IF(E843="STL",F843*Pricing!$D$40,IF(A843&lt;=Pricing!$C$4,0,IF(AND(A843&gt;Pricing!$C$4,Disbursements!A843&lt;=Pricing!$C$5),F843*Pricing!$E$5,IF(AND(A843&gt;Pricing!$C$5,Disbursements!A843&lt;=Pricing!$C$7),VLOOKUP(F843,Pricing!$D$7:$E$8,2)*Disbursements!F843,F843*Pricing!$E$9))))</f>
        <v>0</v>
      </c>
      <c r="O843" s="528">
        <f>IF(E843="STL",0,IF($F843&gt;0,$F843*Pricing!$D$17,0))</f>
        <v>0</v>
      </c>
      <c r="P843" s="530" t="str">
        <f t="shared" si="360"/>
        <v/>
      </c>
      <c r="Q843" s="531" t="str">
        <f>IF($A843="","",$G843/VLOOKUP($I843,Ref!$B$23:$D$29,2,0))</f>
        <v/>
      </c>
      <c r="R843" s="530" t="str">
        <f t="shared" si="361"/>
        <v/>
      </c>
      <c r="S843" s="532" t="str">
        <f t="shared" si="355"/>
        <v/>
      </c>
      <c r="T843" s="531" t="str">
        <f t="shared" si="362"/>
        <v/>
      </c>
      <c r="U843" s="533">
        <f t="shared" si="363"/>
        <v>0</v>
      </c>
      <c r="V843" s="531" t="str">
        <f t="shared" si="364"/>
        <v/>
      </c>
      <c r="W843" s="531" t="str">
        <f t="shared" si="365"/>
        <v/>
      </c>
      <c r="X843" s="534" t="str">
        <f t="shared" si="366"/>
        <v/>
      </c>
      <c r="Y843" s="535" t="str">
        <f>IF($A843="","",IF($I843="weekly",$A843+7,EDATE($A843,VLOOKUP($I843,Ref!$B$24:$C$29,2,0))))</f>
        <v/>
      </c>
      <c r="Z843" s="536" t="str">
        <f t="shared" si="367"/>
        <v/>
      </c>
      <c r="AA843" s="531">
        <f t="shared" si="368"/>
        <v>0</v>
      </c>
      <c r="AB843" s="535" t="str">
        <f t="shared" si="356"/>
        <v/>
      </c>
      <c r="AC843" s="537" t="str">
        <f t="shared" si="357"/>
        <v/>
      </c>
      <c r="AD843" s="538" t="str">
        <f t="shared" ca="1" si="358"/>
        <v/>
      </c>
      <c r="AE843" s="537">
        <f t="shared" ca="1" si="359"/>
        <v>0</v>
      </c>
      <c r="AF843" s="539" t="str">
        <f t="shared" ca="1" si="369"/>
        <v/>
      </c>
      <c r="AG843" s="531" t="str">
        <f t="shared" ca="1" si="370"/>
        <v/>
      </c>
      <c r="AH843" s="531" t="str">
        <f t="shared" ca="1" si="371"/>
        <v/>
      </c>
      <c r="AI843" s="531" t="str">
        <f t="shared" ca="1" si="372"/>
        <v/>
      </c>
      <c r="AJ843" s="531" t="str">
        <f t="shared" si="373"/>
        <v/>
      </c>
      <c r="AK843" s="540">
        <f>SUMIFS('Live Collections'!$S:$S,'Live Collections'!$D:$D,Disbursements!B843,'Live Collections'!$G:$G,Disbursements!C843)</f>
        <v>0</v>
      </c>
      <c r="AL843" s="540">
        <f>SUMIFS('Live Collections'!$T:$T,'Live Collections'!$D:$D,Disbursements!B843,'Live Collections'!$G:$G,Disbursements!C843)</f>
        <v>0</v>
      </c>
      <c r="AM843" s="541">
        <f t="shared" si="374"/>
        <v>0</v>
      </c>
      <c r="AN843" s="542" t="str">
        <f t="shared" si="375"/>
        <v/>
      </c>
      <c r="AO843" s="542" t="str">
        <f t="shared" si="376"/>
        <v/>
      </c>
      <c r="AP843" s="543" t="str">
        <f t="shared" si="377"/>
        <v/>
      </c>
      <c r="AQ843" s="544" t="str">
        <f t="shared" si="378"/>
        <v/>
      </c>
      <c r="AR843" s="545">
        <f t="shared" si="379"/>
        <v>0</v>
      </c>
      <c r="AS843" s="545">
        <f>IFERROR(CEILING($AR843*VLOOKUP($I843,Ref!$B$23:$E$29,4,0),1),0)</f>
        <v>0</v>
      </c>
      <c r="AT843" s="545" t="str">
        <f>IF(A843="","",IF(AP843&lt;=1,"Cleared",IF(AS843=0,"Clean",VLOOKUP($AS843,Ref!$G$23:$H$28,2))))</f>
        <v/>
      </c>
      <c r="AU843" s="546" t="str">
        <f t="shared" si="380"/>
        <v/>
      </c>
    </row>
    <row r="844" spans="1:47" ht="14.25" hidden="1" customHeight="1" x14ac:dyDescent="0.15">
      <c r="A844" s="523"/>
      <c r="B844" s="523"/>
      <c r="C844" s="523"/>
      <c r="D844" s="523"/>
      <c r="E844" s="579"/>
      <c r="F844" s="580"/>
      <c r="G844" s="524"/>
      <c r="H844" s="555"/>
      <c r="I844" s="560"/>
      <c r="J844" s="523"/>
      <c r="K844" s="528" t="str">
        <f>IFERROR(VLOOKUP($B844,'Clients-Live'!$A:$C,3,0),"")</f>
        <v/>
      </c>
      <c r="L844" s="528">
        <f>IF(E844="STL",Pricing!$D$38,IF(A844="",0,IF(A844&lt;Pricing!$C$25,Pricing!$D$25,VLOOKUP(Disbursements!$F844,Pricing!$B$29:$D$32,3))))</f>
        <v>0</v>
      </c>
      <c r="M844" s="528">
        <f>IF(E844="STL",0,IF(F844&gt;0,Pricing!$D$21,0))</f>
        <v>0</v>
      </c>
      <c r="N844" s="529">
        <f>IF(E844="STL",F844*Pricing!$D$40,IF(A844&lt;=Pricing!$C$4,0,IF(AND(A844&gt;Pricing!$C$4,Disbursements!A844&lt;=Pricing!$C$5),F844*Pricing!$E$5,IF(AND(A844&gt;Pricing!$C$5,Disbursements!A844&lt;=Pricing!$C$7),VLOOKUP(F844,Pricing!$D$7:$E$8,2)*Disbursements!F844,F844*Pricing!$E$9))))</f>
        <v>0</v>
      </c>
      <c r="O844" s="528">
        <f>IF(E844="STL",0,IF($F844&gt;0,$F844*Pricing!$D$17,0))</f>
        <v>0</v>
      </c>
      <c r="P844" s="530" t="str">
        <f t="shared" si="360"/>
        <v/>
      </c>
      <c r="Q844" s="531" t="str">
        <f>IF($A844="","",$G844/VLOOKUP($I844,Ref!$B$23:$D$29,2,0))</f>
        <v/>
      </c>
      <c r="R844" s="530" t="str">
        <f t="shared" si="361"/>
        <v/>
      </c>
      <c r="S844" s="532" t="str">
        <f t="shared" si="355"/>
        <v/>
      </c>
      <c r="T844" s="531" t="str">
        <f t="shared" si="362"/>
        <v/>
      </c>
      <c r="U844" s="533">
        <f t="shared" si="363"/>
        <v>0</v>
      </c>
      <c r="V844" s="531" t="str">
        <f t="shared" si="364"/>
        <v/>
      </c>
      <c r="W844" s="531" t="str">
        <f t="shared" si="365"/>
        <v/>
      </c>
      <c r="X844" s="534" t="str">
        <f t="shared" si="366"/>
        <v/>
      </c>
      <c r="Y844" s="535" t="str">
        <f>IF($A844="","",IF($I844="weekly",$A844+7,EDATE($A844,VLOOKUP($I844,Ref!$B$24:$C$29,2,0))))</f>
        <v/>
      </c>
      <c r="Z844" s="536" t="str">
        <f t="shared" si="367"/>
        <v/>
      </c>
      <c r="AA844" s="531">
        <f t="shared" si="368"/>
        <v>0</v>
      </c>
      <c r="AB844" s="535" t="str">
        <f t="shared" si="356"/>
        <v/>
      </c>
      <c r="AC844" s="537" t="str">
        <f t="shared" si="357"/>
        <v/>
      </c>
      <c r="AD844" s="538" t="str">
        <f t="shared" ca="1" si="358"/>
        <v/>
      </c>
      <c r="AE844" s="537">
        <f t="shared" ca="1" si="359"/>
        <v>0</v>
      </c>
      <c r="AF844" s="539" t="str">
        <f t="shared" ca="1" si="369"/>
        <v/>
      </c>
      <c r="AG844" s="531" t="str">
        <f t="shared" ca="1" si="370"/>
        <v/>
      </c>
      <c r="AH844" s="531" t="str">
        <f t="shared" ca="1" si="371"/>
        <v/>
      </c>
      <c r="AI844" s="531" t="str">
        <f t="shared" ca="1" si="372"/>
        <v/>
      </c>
      <c r="AJ844" s="531" t="str">
        <f t="shared" si="373"/>
        <v/>
      </c>
      <c r="AK844" s="540">
        <f>SUMIFS('Live Collections'!$S:$S,'Live Collections'!$D:$D,Disbursements!B844,'Live Collections'!$G:$G,Disbursements!C844)</f>
        <v>0</v>
      </c>
      <c r="AL844" s="540">
        <f>SUMIFS('Live Collections'!$T:$T,'Live Collections'!$D:$D,Disbursements!B844,'Live Collections'!$G:$G,Disbursements!C844)</f>
        <v>0</v>
      </c>
      <c r="AM844" s="541">
        <f t="shared" si="374"/>
        <v>0</v>
      </c>
      <c r="AN844" s="542" t="str">
        <f t="shared" si="375"/>
        <v/>
      </c>
      <c r="AO844" s="542" t="str">
        <f t="shared" si="376"/>
        <v/>
      </c>
      <c r="AP844" s="543" t="str">
        <f t="shared" si="377"/>
        <v/>
      </c>
      <c r="AQ844" s="544" t="str">
        <f t="shared" si="378"/>
        <v/>
      </c>
      <c r="AR844" s="545">
        <f t="shared" si="379"/>
        <v>0</v>
      </c>
      <c r="AS844" s="545">
        <f>IFERROR(CEILING($AR844*VLOOKUP($I844,Ref!$B$23:$E$29,4,0),1),0)</f>
        <v>0</v>
      </c>
      <c r="AT844" s="545" t="str">
        <f>IF(A844="","",IF(AP844&lt;=1,"Cleared",IF(AS844=0,"Clean",VLOOKUP($AS844,Ref!$G$23:$H$28,2))))</f>
        <v/>
      </c>
      <c r="AU844" s="546" t="str">
        <f t="shared" si="380"/>
        <v/>
      </c>
    </row>
    <row r="845" spans="1:47" ht="14.25" hidden="1" customHeight="1" x14ac:dyDescent="0.15">
      <c r="A845" s="523"/>
      <c r="B845" s="523"/>
      <c r="C845" s="523"/>
      <c r="D845" s="523"/>
      <c r="E845" s="579"/>
      <c r="F845" s="580"/>
      <c r="G845" s="524"/>
      <c r="H845" s="555"/>
      <c r="I845" s="560"/>
      <c r="J845" s="523"/>
      <c r="K845" s="528" t="str">
        <f>IFERROR(VLOOKUP($B845,'Clients-Live'!$A:$C,3,0),"")</f>
        <v/>
      </c>
      <c r="L845" s="528">
        <f>IF(E845="STL",Pricing!$D$38,IF(A845="",0,IF(A845&lt;Pricing!$C$25,Pricing!$D$25,VLOOKUP(Disbursements!$F845,Pricing!$B$29:$D$32,3))))</f>
        <v>0</v>
      </c>
      <c r="M845" s="528">
        <f>IF(E845="STL",0,IF(F845&gt;0,Pricing!$D$21,0))</f>
        <v>0</v>
      </c>
      <c r="N845" s="529">
        <f>IF(E845="STL",F845*Pricing!$D$40,IF(A845&lt;=Pricing!$C$4,0,IF(AND(A845&gt;Pricing!$C$4,Disbursements!A845&lt;=Pricing!$C$5),F845*Pricing!$E$5,IF(AND(A845&gt;Pricing!$C$5,Disbursements!A845&lt;=Pricing!$C$7),VLOOKUP(F845,Pricing!$D$7:$E$8,2)*Disbursements!F845,F845*Pricing!$E$9))))</f>
        <v>0</v>
      </c>
      <c r="O845" s="528">
        <f>IF(E845="STL",0,IF($F845&gt;0,$F845*Pricing!$D$17,0))</f>
        <v>0</v>
      </c>
      <c r="P845" s="530" t="str">
        <f t="shared" si="360"/>
        <v/>
      </c>
      <c r="Q845" s="531" t="str">
        <f>IF($A845="","",$G845/VLOOKUP($I845,Ref!$B$23:$D$29,2,0))</f>
        <v/>
      </c>
      <c r="R845" s="530" t="str">
        <f t="shared" si="361"/>
        <v/>
      </c>
      <c r="S845" s="532" t="str">
        <f t="shared" si="355"/>
        <v/>
      </c>
      <c r="T845" s="531" t="str">
        <f t="shared" si="362"/>
        <v/>
      </c>
      <c r="U845" s="533">
        <f t="shared" si="363"/>
        <v>0</v>
      </c>
      <c r="V845" s="531" t="str">
        <f t="shared" si="364"/>
        <v/>
      </c>
      <c r="W845" s="531" t="str">
        <f t="shared" si="365"/>
        <v/>
      </c>
      <c r="X845" s="534" t="str">
        <f t="shared" si="366"/>
        <v/>
      </c>
      <c r="Y845" s="535" t="str">
        <f>IF($A845="","",IF($I845="weekly",$A845+7,EDATE($A845,VLOOKUP($I845,Ref!$B$24:$C$29,2,0))))</f>
        <v/>
      </c>
      <c r="Z845" s="536" t="str">
        <f t="shared" si="367"/>
        <v/>
      </c>
      <c r="AA845" s="531">
        <f t="shared" si="368"/>
        <v>0</v>
      </c>
      <c r="AB845" s="535" t="str">
        <f t="shared" si="356"/>
        <v/>
      </c>
      <c r="AC845" s="537" t="str">
        <f t="shared" si="357"/>
        <v/>
      </c>
      <c r="AD845" s="538" t="str">
        <f t="shared" ca="1" si="358"/>
        <v/>
      </c>
      <c r="AE845" s="537">
        <f t="shared" ca="1" si="359"/>
        <v>0</v>
      </c>
      <c r="AF845" s="539" t="str">
        <f t="shared" ca="1" si="369"/>
        <v/>
      </c>
      <c r="AG845" s="531" t="str">
        <f t="shared" ca="1" si="370"/>
        <v/>
      </c>
      <c r="AH845" s="531" t="str">
        <f t="shared" ca="1" si="371"/>
        <v/>
      </c>
      <c r="AI845" s="531" t="str">
        <f t="shared" ca="1" si="372"/>
        <v/>
      </c>
      <c r="AJ845" s="531" t="str">
        <f t="shared" si="373"/>
        <v/>
      </c>
      <c r="AK845" s="540">
        <f>SUMIFS('Live Collections'!$S:$S,'Live Collections'!$D:$D,Disbursements!B845,'Live Collections'!$G:$G,Disbursements!C845)</f>
        <v>0</v>
      </c>
      <c r="AL845" s="540">
        <f>SUMIFS('Live Collections'!$T:$T,'Live Collections'!$D:$D,Disbursements!B845,'Live Collections'!$G:$G,Disbursements!C845)</f>
        <v>0</v>
      </c>
      <c r="AM845" s="541">
        <f t="shared" si="374"/>
        <v>0</v>
      </c>
      <c r="AN845" s="542" t="str">
        <f t="shared" si="375"/>
        <v/>
      </c>
      <c r="AO845" s="542" t="str">
        <f t="shared" si="376"/>
        <v/>
      </c>
      <c r="AP845" s="543" t="str">
        <f t="shared" si="377"/>
        <v/>
      </c>
      <c r="AQ845" s="544" t="str">
        <f t="shared" si="378"/>
        <v/>
      </c>
      <c r="AR845" s="545">
        <f t="shared" si="379"/>
        <v>0</v>
      </c>
      <c r="AS845" s="545">
        <f>IFERROR(CEILING($AR845*VLOOKUP($I845,Ref!$B$23:$E$29,4,0),1),0)</f>
        <v>0</v>
      </c>
      <c r="AT845" s="545" t="str">
        <f>IF(A845="","",IF(AP845&lt;=1,"Cleared",IF(AS845=0,"Clean",VLOOKUP($AS845,Ref!$G$23:$H$28,2))))</f>
        <v/>
      </c>
      <c r="AU845" s="546" t="str">
        <f t="shared" si="380"/>
        <v/>
      </c>
    </row>
    <row r="846" spans="1:47" ht="14.25" hidden="1" customHeight="1" x14ac:dyDescent="0.15">
      <c r="A846" s="523"/>
      <c r="B846" s="523"/>
      <c r="C846" s="523"/>
      <c r="D846" s="523"/>
      <c r="E846" s="579"/>
      <c r="F846" s="580"/>
      <c r="G846" s="524"/>
      <c r="H846" s="555"/>
      <c r="I846" s="560"/>
      <c r="J846" s="523"/>
      <c r="K846" s="528" t="str">
        <f>IFERROR(VLOOKUP($B846,'Clients-Live'!$A:$C,3,0),"")</f>
        <v/>
      </c>
      <c r="L846" s="528">
        <f>IF(E846="STL",Pricing!$D$38,IF(A846="",0,IF(A846&lt;Pricing!$C$25,Pricing!$D$25,VLOOKUP(Disbursements!$F846,Pricing!$B$29:$D$32,3))))</f>
        <v>0</v>
      </c>
      <c r="M846" s="528">
        <f>IF(E846="STL",0,IF(F846&gt;0,Pricing!$D$21,0))</f>
        <v>0</v>
      </c>
      <c r="N846" s="529">
        <f>IF(E846="STL",F846*Pricing!$D$40,IF(A846&lt;=Pricing!$C$4,0,IF(AND(A846&gt;Pricing!$C$4,Disbursements!A846&lt;=Pricing!$C$5),F846*Pricing!$E$5,IF(AND(A846&gt;Pricing!$C$5,Disbursements!A846&lt;=Pricing!$C$7),VLOOKUP(F846,Pricing!$D$7:$E$8,2)*Disbursements!F846,F846*Pricing!$E$9))))</f>
        <v>0</v>
      </c>
      <c r="O846" s="528">
        <f>IF(E846="STL",0,IF($F846&gt;0,$F846*Pricing!$D$17,0))</f>
        <v>0</v>
      </c>
      <c r="P846" s="530" t="str">
        <f t="shared" si="360"/>
        <v/>
      </c>
      <c r="Q846" s="531" t="str">
        <f>IF($A846="","",$G846/VLOOKUP($I846,Ref!$B$23:$D$29,2,0))</f>
        <v/>
      </c>
      <c r="R846" s="530" t="str">
        <f t="shared" si="361"/>
        <v/>
      </c>
      <c r="S846" s="532" t="str">
        <f t="shared" si="355"/>
        <v/>
      </c>
      <c r="T846" s="531" t="str">
        <f t="shared" si="362"/>
        <v/>
      </c>
      <c r="U846" s="533">
        <f t="shared" si="363"/>
        <v>0</v>
      </c>
      <c r="V846" s="531" t="str">
        <f t="shared" si="364"/>
        <v/>
      </c>
      <c r="W846" s="531" t="str">
        <f t="shared" si="365"/>
        <v/>
      </c>
      <c r="X846" s="534" t="str">
        <f t="shared" si="366"/>
        <v/>
      </c>
      <c r="Y846" s="535" t="str">
        <f>IF($A846="","",IF($I846="weekly",$A846+7,EDATE($A846,VLOOKUP($I846,Ref!$B$24:$C$29,2,0))))</f>
        <v/>
      </c>
      <c r="Z846" s="536" t="str">
        <f t="shared" si="367"/>
        <v/>
      </c>
      <c r="AA846" s="531">
        <f t="shared" si="368"/>
        <v>0</v>
      </c>
      <c r="AB846" s="535" t="str">
        <f t="shared" si="356"/>
        <v/>
      </c>
      <c r="AC846" s="537" t="str">
        <f t="shared" si="357"/>
        <v/>
      </c>
      <c r="AD846" s="538" t="str">
        <f t="shared" ca="1" si="358"/>
        <v/>
      </c>
      <c r="AE846" s="537">
        <f t="shared" ca="1" si="359"/>
        <v>0</v>
      </c>
      <c r="AF846" s="539" t="str">
        <f t="shared" ca="1" si="369"/>
        <v/>
      </c>
      <c r="AG846" s="531" t="str">
        <f t="shared" ca="1" si="370"/>
        <v/>
      </c>
      <c r="AH846" s="531" t="str">
        <f t="shared" ca="1" si="371"/>
        <v/>
      </c>
      <c r="AI846" s="531" t="str">
        <f t="shared" ca="1" si="372"/>
        <v/>
      </c>
      <c r="AJ846" s="531" t="str">
        <f t="shared" si="373"/>
        <v/>
      </c>
      <c r="AK846" s="540">
        <f>SUMIFS('Live Collections'!$S:$S,'Live Collections'!$D:$D,Disbursements!B846,'Live Collections'!$G:$G,Disbursements!C846)</f>
        <v>0</v>
      </c>
      <c r="AL846" s="540">
        <f>SUMIFS('Live Collections'!$T:$T,'Live Collections'!$D:$D,Disbursements!B846,'Live Collections'!$G:$G,Disbursements!C846)</f>
        <v>0</v>
      </c>
      <c r="AM846" s="541">
        <f t="shared" si="374"/>
        <v>0</v>
      </c>
      <c r="AN846" s="542" t="str">
        <f t="shared" si="375"/>
        <v/>
      </c>
      <c r="AO846" s="542" t="str">
        <f t="shared" si="376"/>
        <v/>
      </c>
      <c r="AP846" s="543" t="str">
        <f t="shared" si="377"/>
        <v/>
      </c>
      <c r="AQ846" s="544" t="str">
        <f t="shared" si="378"/>
        <v/>
      </c>
      <c r="AR846" s="545">
        <f t="shared" si="379"/>
        <v>0</v>
      </c>
      <c r="AS846" s="545">
        <f>IFERROR(CEILING($AR846*VLOOKUP($I846,Ref!$B$23:$E$29,4,0),1),0)</f>
        <v>0</v>
      </c>
      <c r="AT846" s="545" t="str">
        <f>IF(A846="","",IF(AP846&lt;=1,"Cleared",IF(AS846=0,"Clean",VLOOKUP($AS846,Ref!$G$23:$H$28,2))))</f>
        <v/>
      </c>
      <c r="AU846" s="546" t="str">
        <f t="shared" si="380"/>
        <v/>
      </c>
    </row>
    <row r="847" spans="1:47" ht="14.25" hidden="1" customHeight="1" x14ac:dyDescent="0.15">
      <c r="A847" s="523"/>
      <c r="B847" s="523"/>
      <c r="C847" s="523"/>
      <c r="D847" s="523"/>
      <c r="E847" s="579"/>
      <c r="F847" s="580"/>
      <c r="G847" s="524"/>
      <c r="H847" s="555"/>
      <c r="I847" s="560"/>
      <c r="J847" s="523"/>
      <c r="K847" s="528" t="str">
        <f>IFERROR(VLOOKUP($B847,'Clients-Live'!$A:$C,3,0),"")</f>
        <v/>
      </c>
      <c r="L847" s="528">
        <f>IF(E847="STL",Pricing!$D$38,IF(A847="",0,IF(A847&lt;Pricing!$C$25,Pricing!$D$25,VLOOKUP(Disbursements!$F847,Pricing!$B$29:$D$32,3))))</f>
        <v>0</v>
      </c>
      <c r="M847" s="528">
        <f>IF(E847="STL",0,IF(F847&gt;0,Pricing!$D$21,0))</f>
        <v>0</v>
      </c>
      <c r="N847" s="529">
        <f>IF(E847="STL",F847*Pricing!$D$40,IF(A847&lt;=Pricing!$C$4,0,IF(AND(A847&gt;Pricing!$C$4,Disbursements!A847&lt;=Pricing!$C$5),F847*Pricing!$E$5,IF(AND(A847&gt;Pricing!$C$5,Disbursements!A847&lt;=Pricing!$C$7),VLOOKUP(F847,Pricing!$D$7:$E$8,2)*Disbursements!F847,F847*Pricing!$E$9))))</f>
        <v>0</v>
      </c>
      <c r="O847" s="528">
        <f>IF(E847="STL",0,IF($F847&gt;0,$F847*Pricing!$D$17,0))</f>
        <v>0</v>
      </c>
      <c r="P847" s="530" t="str">
        <f t="shared" si="360"/>
        <v/>
      </c>
      <c r="Q847" s="531" t="str">
        <f>IF($A847="","",$G847/VLOOKUP($I847,Ref!$B$23:$D$29,2,0))</f>
        <v/>
      </c>
      <c r="R847" s="530" t="str">
        <f t="shared" si="361"/>
        <v/>
      </c>
      <c r="S847" s="532" t="str">
        <f t="shared" si="355"/>
        <v/>
      </c>
      <c r="T847" s="531" t="str">
        <f t="shared" si="362"/>
        <v/>
      </c>
      <c r="U847" s="533">
        <f t="shared" si="363"/>
        <v>0</v>
      </c>
      <c r="V847" s="531" t="str">
        <f t="shared" si="364"/>
        <v/>
      </c>
      <c r="W847" s="531" t="str">
        <f t="shared" si="365"/>
        <v/>
      </c>
      <c r="X847" s="534" t="str">
        <f t="shared" si="366"/>
        <v/>
      </c>
      <c r="Y847" s="535" t="str">
        <f>IF($A847="","",IF($I847="weekly",$A847+7,EDATE($A847,VLOOKUP($I847,Ref!$B$24:$C$29,2,0))))</f>
        <v/>
      </c>
      <c r="Z847" s="536" t="str">
        <f t="shared" si="367"/>
        <v/>
      </c>
      <c r="AA847" s="531">
        <f t="shared" si="368"/>
        <v>0</v>
      </c>
      <c r="AB847" s="535" t="str">
        <f t="shared" si="356"/>
        <v/>
      </c>
      <c r="AC847" s="537" t="str">
        <f t="shared" si="357"/>
        <v/>
      </c>
      <c r="AD847" s="538" t="str">
        <f t="shared" ca="1" si="358"/>
        <v/>
      </c>
      <c r="AE847" s="537">
        <f t="shared" ca="1" si="359"/>
        <v>0</v>
      </c>
      <c r="AF847" s="539" t="str">
        <f t="shared" ca="1" si="369"/>
        <v/>
      </c>
      <c r="AG847" s="531" t="str">
        <f t="shared" ca="1" si="370"/>
        <v/>
      </c>
      <c r="AH847" s="531" t="str">
        <f t="shared" ca="1" si="371"/>
        <v/>
      </c>
      <c r="AI847" s="531" t="str">
        <f t="shared" ca="1" si="372"/>
        <v/>
      </c>
      <c r="AJ847" s="531" t="str">
        <f t="shared" si="373"/>
        <v/>
      </c>
      <c r="AK847" s="540">
        <f>SUMIFS('Live Collections'!$S:$S,'Live Collections'!$D:$D,Disbursements!B847,'Live Collections'!$G:$G,Disbursements!C847)</f>
        <v>0</v>
      </c>
      <c r="AL847" s="540">
        <f>SUMIFS('Live Collections'!$T:$T,'Live Collections'!$D:$D,Disbursements!B847,'Live Collections'!$G:$G,Disbursements!C847)</f>
        <v>0</v>
      </c>
      <c r="AM847" s="541">
        <f t="shared" si="374"/>
        <v>0</v>
      </c>
      <c r="AN847" s="542" t="str">
        <f t="shared" si="375"/>
        <v/>
      </c>
      <c r="AO847" s="542" t="str">
        <f t="shared" si="376"/>
        <v/>
      </c>
      <c r="AP847" s="543" t="str">
        <f t="shared" si="377"/>
        <v/>
      </c>
      <c r="AQ847" s="544" t="str">
        <f t="shared" si="378"/>
        <v/>
      </c>
      <c r="AR847" s="545">
        <f t="shared" si="379"/>
        <v>0</v>
      </c>
      <c r="AS847" s="545">
        <f>IFERROR(CEILING($AR847*VLOOKUP($I847,Ref!$B$23:$E$29,4,0),1),0)</f>
        <v>0</v>
      </c>
      <c r="AT847" s="545" t="str">
        <f>IF(A847="","",IF(AP847&lt;=1,"Cleared",IF(AS847=0,"Clean",VLOOKUP($AS847,Ref!$G$23:$H$28,2))))</f>
        <v/>
      </c>
      <c r="AU847" s="546" t="str">
        <f t="shared" si="380"/>
        <v/>
      </c>
    </row>
    <row r="848" spans="1:47" ht="14.25" hidden="1" customHeight="1" x14ac:dyDescent="0.15">
      <c r="A848" s="523"/>
      <c r="B848" s="523"/>
      <c r="C848" s="523"/>
      <c r="D848" s="523"/>
      <c r="E848" s="579"/>
      <c r="F848" s="580"/>
      <c r="G848" s="524"/>
      <c r="H848" s="555"/>
      <c r="I848" s="560"/>
      <c r="J848" s="523"/>
      <c r="K848" s="528" t="str">
        <f>IFERROR(VLOOKUP($B848,'Clients-Live'!$A:$C,3,0),"")</f>
        <v/>
      </c>
      <c r="L848" s="528">
        <f>IF(E848="STL",Pricing!$D$38,IF(A848="",0,IF(A848&lt;Pricing!$C$25,Pricing!$D$25,VLOOKUP(Disbursements!$F848,Pricing!$B$29:$D$32,3))))</f>
        <v>0</v>
      </c>
      <c r="M848" s="528">
        <f>IF(E848="STL",0,IF(F848&gt;0,Pricing!$D$21,0))</f>
        <v>0</v>
      </c>
      <c r="N848" s="529">
        <f>IF(E848="STL",F848*Pricing!$D$40,IF(A848&lt;=Pricing!$C$4,0,IF(AND(A848&gt;Pricing!$C$4,Disbursements!A848&lt;=Pricing!$C$5),F848*Pricing!$E$5,IF(AND(A848&gt;Pricing!$C$5,Disbursements!A848&lt;=Pricing!$C$7),VLOOKUP(F848,Pricing!$D$7:$E$8,2)*Disbursements!F848,F848*Pricing!$E$9))))</f>
        <v>0</v>
      </c>
      <c r="O848" s="528">
        <f>IF(E848="STL",0,IF($F848&gt;0,$F848*Pricing!$D$17,0))</f>
        <v>0</v>
      </c>
      <c r="P848" s="530" t="str">
        <f t="shared" si="360"/>
        <v/>
      </c>
      <c r="Q848" s="531" t="str">
        <f>IF($A848="","",$G848/VLOOKUP($I848,Ref!$B$23:$D$29,2,0))</f>
        <v/>
      </c>
      <c r="R848" s="530" t="str">
        <f t="shared" si="361"/>
        <v/>
      </c>
      <c r="S848" s="532" t="str">
        <f t="shared" si="355"/>
        <v/>
      </c>
      <c r="T848" s="531" t="str">
        <f t="shared" si="362"/>
        <v/>
      </c>
      <c r="U848" s="533">
        <f t="shared" si="363"/>
        <v>0</v>
      </c>
      <c r="V848" s="531" t="str">
        <f t="shared" si="364"/>
        <v/>
      </c>
      <c r="W848" s="531" t="str">
        <f t="shared" si="365"/>
        <v/>
      </c>
      <c r="X848" s="534" t="str">
        <f t="shared" si="366"/>
        <v/>
      </c>
      <c r="Y848" s="535" t="str">
        <f>IF($A848="","",IF($I848="weekly",$A848+7,EDATE($A848,VLOOKUP($I848,Ref!$B$24:$C$29,2,0))))</f>
        <v/>
      </c>
      <c r="Z848" s="536" t="str">
        <f t="shared" si="367"/>
        <v/>
      </c>
      <c r="AA848" s="531">
        <f t="shared" si="368"/>
        <v>0</v>
      </c>
      <c r="AB848" s="535" t="str">
        <f t="shared" si="356"/>
        <v/>
      </c>
      <c r="AC848" s="537" t="str">
        <f t="shared" si="357"/>
        <v/>
      </c>
      <c r="AD848" s="538" t="str">
        <f t="shared" ca="1" si="358"/>
        <v/>
      </c>
      <c r="AE848" s="537">
        <f t="shared" ca="1" si="359"/>
        <v>0</v>
      </c>
      <c r="AF848" s="539" t="str">
        <f t="shared" ca="1" si="369"/>
        <v/>
      </c>
      <c r="AG848" s="531" t="str">
        <f t="shared" ca="1" si="370"/>
        <v/>
      </c>
      <c r="AH848" s="531" t="str">
        <f t="shared" ca="1" si="371"/>
        <v/>
      </c>
      <c r="AI848" s="531" t="str">
        <f t="shared" ca="1" si="372"/>
        <v/>
      </c>
      <c r="AJ848" s="531" t="str">
        <f t="shared" si="373"/>
        <v/>
      </c>
      <c r="AK848" s="540">
        <f>SUMIFS('Live Collections'!$S:$S,'Live Collections'!$D:$D,Disbursements!B848,'Live Collections'!$G:$G,Disbursements!C848)</f>
        <v>0</v>
      </c>
      <c r="AL848" s="540">
        <f>SUMIFS('Live Collections'!$T:$T,'Live Collections'!$D:$D,Disbursements!B848,'Live Collections'!$G:$G,Disbursements!C848)</f>
        <v>0</v>
      </c>
      <c r="AM848" s="541">
        <f t="shared" si="374"/>
        <v>0</v>
      </c>
      <c r="AN848" s="542" t="str">
        <f t="shared" si="375"/>
        <v/>
      </c>
      <c r="AO848" s="542" t="str">
        <f t="shared" si="376"/>
        <v/>
      </c>
      <c r="AP848" s="543" t="str">
        <f t="shared" si="377"/>
        <v/>
      </c>
      <c r="AQ848" s="544" t="str">
        <f t="shared" si="378"/>
        <v/>
      </c>
      <c r="AR848" s="545">
        <f t="shared" si="379"/>
        <v>0</v>
      </c>
      <c r="AS848" s="545">
        <f>IFERROR(CEILING($AR848*VLOOKUP($I848,Ref!$B$23:$E$29,4,0),1),0)</f>
        <v>0</v>
      </c>
      <c r="AT848" s="545" t="str">
        <f>IF(A848="","",IF(AP848&lt;=1,"Cleared",IF(AS848=0,"Clean",VLOOKUP($AS848,Ref!$G$23:$H$28,2))))</f>
        <v/>
      </c>
      <c r="AU848" s="546" t="str">
        <f t="shared" si="380"/>
        <v/>
      </c>
    </row>
    <row r="849" spans="1:47" ht="14.25" hidden="1" customHeight="1" x14ac:dyDescent="0.15">
      <c r="A849" s="523"/>
      <c r="B849" s="523"/>
      <c r="C849" s="523"/>
      <c r="D849" s="523"/>
      <c r="E849" s="579"/>
      <c r="F849" s="580"/>
      <c r="G849" s="524"/>
      <c r="H849" s="555"/>
      <c r="I849" s="560"/>
      <c r="J849" s="523"/>
      <c r="K849" s="528" t="str">
        <f>IFERROR(VLOOKUP($B849,'Clients-Live'!$A:$C,3,0),"")</f>
        <v/>
      </c>
      <c r="L849" s="528">
        <f>IF(E849="STL",Pricing!$D$38,IF(A849="",0,IF(A849&lt;Pricing!$C$25,Pricing!$D$25,VLOOKUP(Disbursements!$F849,Pricing!$B$29:$D$32,3))))</f>
        <v>0</v>
      </c>
      <c r="M849" s="528">
        <f>IF(E849="STL",0,IF(F849&gt;0,Pricing!$D$21,0))</f>
        <v>0</v>
      </c>
      <c r="N849" s="529">
        <f>IF(E849="STL",F849*Pricing!$D$40,IF(A849&lt;=Pricing!$C$4,0,IF(AND(A849&gt;Pricing!$C$4,Disbursements!A849&lt;=Pricing!$C$5),F849*Pricing!$E$5,IF(AND(A849&gt;Pricing!$C$5,Disbursements!A849&lt;=Pricing!$C$7),VLOOKUP(F849,Pricing!$D$7:$E$8,2)*Disbursements!F849,F849*Pricing!$E$9))))</f>
        <v>0</v>
      </c>
      <c r="O849" s="528">
        <f>IF(E849="STL",0,IF($F849&gt;0,$F849*Pricing!$D$17,0))</f>
        <v>0</v>
      </c>
      <c r="P849" s="530" t="str">
        <f t="shared" si="360"/>
        <v/>
      </c>
      <c r="Q849" s="531" t="str">
        <f>IF($A849="","",$G849/VLOOKUP($I849,Ref!$B$23:$D$29,2,0))</f>
        <v/>
      </c>
      <c r="R849" s="530" t="str">
        <f t="shared" si="361"/>
        <v/>
      </c>
      <c r="S849" s="532" t="str">
        <f t="shared" si="355"/>
        <v/>
      </c>
      <c r="T849" s="531" t="str">
        <f t="shared" si="362"/>
        <v/>
      </c>
      <c r="U849" s="533">
        <f t="shared" si="363"/>
        <v>0</v>
      </c>
      <c r="V849" s="531" t="str">
        <f t="shared" si="364"/>
        <v/>
      </c>
      <c r="W849" s="531" t="str">
        <f t="shared" si="365"/>
        <v/>
      </c>
      <c r="X849" s="534" t="str">
        <f t="shared" si="366"/>
        <v/>
      </c>
      <c r="Y849" s="535" t="str">
        <f>IF($A849="","",IF($I849="weekly",$A849+7,EDATE($A849,VLOOKUP($I849,Ref!$B$24:$C$29,2,0))))</f>
        <v/>
      </c>
      <c r="Z849" s="536" t="str">
        <f t="shared" si="367"/>
        <v/>
      </c>
      <c r="AA849" s="531">
        <f t="shared" si="368"/>
        <v>0</v>
      </c>
      <c r="AB849" s="535" t="str">
        <f t="shared" si="356"/>
        <v/>
      </c>
      <c r="AC849" s="537" t="str">
        <f t="shared" si="357"/>
        <v/>
      </c>
      <c r="AD849" s="538" t="str">
        <f t="shared" ca="1" si="358"/>
        <v/>
      </c>
      <c r="AE849" s="537">
        <f t="shared" ca="1" si="359"/>
        <v>0</v>
      </c>
      <c r="AF849" s="539" t="str">
        <f t="shared" ca="1" si="369"/>
        <v/>
      </c>
      <c r="AG849" s="531" t="str">
        <f t="shared" ca="1" si="370"/>
        <v/>
      </c>
      <c r="AH849" s="531" t="str">
        <f t="shared" ca="1" si="371"/>
        <v/>
      </c>
      <c r="AI849" s="531" t="str">
        <f t="shared" ca="1" si="372"/>
        <v/>
      </c>
      <c r="AJ849" s="531" t="str">
        <f t="shared" si="373"/>
        <v/>
      </c>
      <c r="AK849" s="540">
        <f>SUMIFS('Live Collections'!$S:$S,'Live Collections'!$D:$D,Disbursements!B849,'Live Collections'!$G:$G,Disbursements!C849)</f>
        <v>0</v>
      </c>
      <c r="AL849" s="540">
        <f>SUMIFS('Live Collections'!$T:$T,'Live Collections'!$D:$D,Disbursements!B849,'Live Collections'!$G:$G,Disbursements!C849)</f>
        <v>0</v>
      </c>
      <c r="AM849" s="541">
        <f t="shared" si="374"/>
        <v>0</v>
      </c>
      <c r="AN849" s="542" t="str">
        <f t="shared" si="375"/>
        <v/>
      </c>
      <c r="AO849" s="542" t="str">
        <f t="shared" si="376"/>
        <v/>
      </c>
      <c r="AP849" s="543" t="str">
        <f t="shared" si="377"/>
        <v/>
      </c>
      <c r="AQ849" s="544" t="str">
        <f t="shared" si="378"/>
        <v/>
      </c>
      <c r="AR849" s="545">
        <f t="shared" si="379"/>
        <v>0</v>
      </c>
      <c r="AS849" s="545">
        <f>IFERROR(CEILING($AR849*VLOOKUP($I849,Ref!$B$23:$E$29,4,0),1),0)</f>
        <v>0</v>
      </c>
      <c r="AT849" s="545" t="str">
        <f>IF(A849="","",IF(AP849&lt;=1,"Cleared",IF(AS849=0,"Clean",VLOOKUP($AS849,Ref!$G$23:$H$28,2))))</f>
        <v/>
      </c>
      <c r="AU849" s="546" t="str">
        <f t="shared" si="380"/>
        <v/>
      </c>
    </row>
    <row r="850" spans="1:47" ht="14.25" hidden="1" customHeight="1" x14ac:dyDescent="0.15">
      <c r="A850" s="523"/>
      <c r="B850" s="523"/>
      <c r="C850" s="523"/>
      <c r="D850" s="523"/>
      <c r="E850" s="579"/>
      <c r="F850" s="580"/>
      <c r="G850" s="524"/>
      <c r="H850" s="555"/>
      <c r="I850" s="560"/>
      <c r="J850" s="523"/>
      <c r="K850" s="528" t="str">
        <f>IFERROR(VLOOKUP($B850,'Clients-Live'!$A:$C,3,0),"")</f>
        <v/>
      </c>
      <c r="L850" s="528">
        <f>IF(E850="STL",Pricing!$D$38,IF(A850="",0,IF(A850&lt;Pricing!$C$25,Pricing!$D$25,VLOOKUP(Disbursements!$F850,Pricing!$B$29:$D$32,3))))</f>
        <v>0</v>
      </c>
      <c r="M850" s="528">
        <f>IF(E850="STL",0,IF(F850&gt;0,Pricing!$D$21,0))</f>
        <v>0</v>
      </c>
      <c r="N850" s="529">
        <f>IF(E850="STL",F850*Pricing!$D$40,IF(A850&lt;=Pricing!$C$4,0,IF(AND(A850&gt;Pricing!$C$4,Disbursements!A850&lt;=Pricing!$C$5),F850*Pricing!$E$5,IF(AND(A850&gt;Pricing!$C$5,Disbursements!A850&lt;=Pricing!$C$7),VLOOKUP(F850,Pricing!$D$7:$E$8,2)*Disbursements!F850,F850*Pricing!$E$9))))</f>
        <v>0</v>
      </c>
      <c r="O850" s="528">
        <f>IF(E850="STL",0,IF($F850&gt;0,$F850*Pricing!$D$17,0))</f>
        <v>0</v>
      </c>
      <c r="P850" s="530" t="str">
        <f t="shared" si="360"/>
        <v/>
      </c>
      <c r="Q850" s="531" t="str">
        <f>IF($A850="","",$G850/VLOOKUP($I850,Ref!$B$23:$D$29,2,0))</f>
        <v/>
      </c>
      <c r="R850" s="530" t="str">
        <f t="shared" si="361"/>
        <v/>
      </c>
      <c r="S850" s="532" t="str">
        <f t="shared" si="355"/>
        <v/>
      </c>
      <c r="T850" s="531" t="str">
        <f t="shared" si="362"/>
        <v/>
      </c>
      <c r="U850" s="533">
        <f t="shared" si="363"/>
        <v>0</v>
      </c>
      <c r="V850" s="531" t="str">
        <f t="shared" si="364"/>
        <v/>
      </c>
      <c r="W850" s="531" t="str">
        <f t="shared" si="365"/>
        <v/>
      </c>
      <c r="X850" s="534" t="str">
        <f t="shared" si="366"/>
        <v/>
      </c>
      <c r="Y850" s="535" t="str">
        <f>IF($A850="","",IF($I850="weekly",$A850+7,EDATE($A850,VLOOKUP($I850,Ref!$B$24:$C$29,2,0))))</f>
        <v/>
      </c>
      <c r="Z850" s="536" t="str">
        <f t="shared" si="367"/>
        <v/>
      </c>
      <c r="AA850" s="531">
        <f t="shared" si="368"/>
        <v>0</v>
      </c>
      <c r="AB850" s="535" t="str">
        <f t="shared" si="356"/>
        <v/>
      </c>
      <c r="AC850" s="537" t="str">
        <f t="shared" si="357"/>
        <v/>
      </c>
      <c r="AD850" s="538" t="str">
        <f t="shared" ca="1" si="358"/>
        <v/>
      </c>
      <c r="AE850" s="537">
        <f t="shared" ca="1" si="359"/>
        <v>0</v>
      </c>
      <c r="AF850" s="539" t="str">
        <f t="shared" ca="1" si="369"/>
        <v/>
      </c>
      <c r="AG850" s="531" t="str">
        <f t="shared" ca="1" si="370"/>
        <v/>
      </c>
      <c r="AH850" s="531" t="str">
        <f t="shared" ca="1" si="371"/>
        <v/>
      </c>
      <c r="AI850" s="531" t="str">
        <f t="shared" ca="1" si="372"/>
        <v/>
      </c>
      <c r="AJ850" s="531" t="str">
        <f t="shared" si="373"/>
        <v/>
      </c>
      <c r="AK850" s="540">
        <f>SUMIFS('Live Collections'!$S:$S,'Live Collections'!$D:$D,Disbursements!B850,'Live Collections'!$G:$G,Disbursements!C850)</f>
        <v>0</v>
      </c>
      <c r="AL850" s="540">
        <f>SUMIFS('Live Collections'!$T:$T,'Live Collections'!$D:$D,Disbursements!B850,'Live Collections'!$G:$G,Disbursements!C850)</f>
        <v>0</v>
      </c>
      <c r="AM850" s="541">
        <f t="shared" si="374"/>
        <v>0</v>
      </c>
      <c r="AN850" s="542" t="str">
        <f t="shared" si="375"/>
        <v/>
      </c>
      <c r="AO850" s="542" t="str">
        <f t="shared" si="376"/>
        <v/>
      </c>
      <c r="AP850" s="543" t="str">
        <f t="shared" si="377"/>
        <v/>
      </c>
      <c r="AQ850" s="544" t="str">
        <f t="shared" si="378"/>
        <v/>
      </c>
      <c r="AR850" s="545">
        <f t="shared" si="379"/>
        <v>0</v>
      </c>
      <c r="AS850" s="545">
        <f>IFERROR(CEILING($AR850*VLOOKUP($I850,Ref!$B$23:$E$29,4,0),1),0)</f>
        <v>0</v>
      </c>
      <c r="AT850" s="545" t="str">
        <f>IF(A850="","",IF(AP850&lt;=1,"Cleared",IF(AS850=0,"Clean",VLOOKUP($AS850,Ref!$G$23:$H$28,2))))</f>
        <v/>
      </c>
      <c r="AU850" s="546" t="str">
        <f t="shared" si="380"/>
        <v/>
      </c>
    </row>
    <row r="851" spans="1:47" ht="14.25" hidden="1" customHeight="1" x14ac:dyDescent="0.15">
      <c r="A851" s="523"/>
      <c r="B851" s="523"/>
      <c r="C851" s="523"/>
      <c r="D851" s="523"/>
      <c r="E851" s="579"/>
      <c r="F851" s="580"/>
      <c r="G851" s="524"/>
      <c r="H851" s="555"/>
      <c r="I851" s="560"/>
      <c r="J851" s="523"/>
      <c r="K851" s="528" t="str">
        <f>IFERROR(VLOOKUP($B851,'Clients-Live'!$A:$C,3,0),"")</f>
        <v/>
      </c>
      <c r="L851" s="528">
        <f>IF(E851="STL",Pricing!$D$38,IF(A851="",0,IF(A851&lt;Pricing!$C$25,Pricing!$D$25,VLOOKUP(Disbursements!$F851,Pricing!$B$29:$D$32,3))))</f>
        <v>0</v>
      </c>
      <c r="M851" s="528">
        <f>IF(E851="STL",0,IF(F851&gt;0,Pricing!$D$21,0))</f>
        <v>0</v>
      </c>
      <c r="N851" s="529">
        <f>IF(E851="STL",F851*Pricing!$D$40,IF(A851&lt;=Pricing!$C$4,0,IF(AND(A851&gt;Pricing!$C$4,Disbursements!A851&lt;=Pricing!$C$5),F851*Pricing!$E$5,IF(AND(A851&gt;Pricing!$C$5,Disbursements!A851&lt;=Pricing!$C$7),VLOOKUP(F851,Pricing!$D$7:$E$8,2)*Disbursements!F851,F851*Pricing!$E$9))))</f>
        <v>0</v>
      </c>
      <c r="O851" s="528">
        <f>IF(E851="STL",0,IF($F851&gt;0,$F851*Pricing!$D$17,0))</f>
        <v>0</v>
      </c>
      <c r="P851" s="530" t="str">
        <f t="shared" si="360"/>
        <v/>
      </c>
      <c r="Q851" s="531" t="str">
        <f>IF($A851="","",$G851/VLOOKUP($I851,Ref!$B$23:$D$29,2,0))</f>
        <v/>
      </c>
      <c r="R851" s="530" t="str">
        <f t="shared" si="361"/>
        <v/>
      </c>
      <c r="S851" s="532" t="str">
        <f t="shared" si="355"/>
        <v/>
      </c>
      <c r="T851" s="531" t="str">
        <f t="shared" si="362"/>
        <v/>
      </c>
      <c r="U851" s="533">
        <f t="shared" si="363"/>
        <v>0</v>
      </c>
      <c r="V851" s="531" t="str">
        <f t="shared" si="364"/>
        <v/>
      </c>
      <c r="W851" s="531" t="str">
        <f t="shared" si="365"/>
        <v/>
      </c>
      <c r="X851" s="534" t="str">
        <f t="shared" si="366"/>
        <v/>
      </c>
      <c r="Y851" s="535" t="str">
        <f>IF($A851="","",IF($I851="weekly",$A851+7,EDATE($A851,VLOOKUP($I851,Ref!$B$24:$C$29,2,0))))</f>
        <v/>
      </c>
      <c r="Z851" s="536" t="str">
        <f t="shared" si="367"/>
        <v/>
      </c>
      <c r="AA851" s="531">
        <f t="shared" si="368"/>
        <v>0</v>
      </c>
      <c r="AB851" s="535" t="str">
        <f t="shared" si="356"/>
        <v/>
      </c>
      <c r="AC851" s="537" t="str">
        <f t="shared" si="357"/>
        <v/>
      </c>
      <c r="AD851" s="538" t="str">
        <f t="shared" ca="1" si="358"/>
        <v/>
      </c>
      <c r="AE851" s="537">
        <f t="shared" ca="1" si="359"/>
        <v>0</v>
      </c>
      <c r="AF851" s="539" t="str">
        <f t="shared" ca="1" si="369"/>
        <v/>
      </c>
      <c r="AG851" s="531" t="str">
        <f t="shared" ca="1" si="370"/>
        <v/>
      </c>
      <c r="AH851" s="531" t="str">
        <f t="shared" ca="1" si="371"/>
        <v/>
      </c>
      <c r="AI851" s="531" t="str">
        <f t="shared" ca="1" si="372"/>
        <v/>
      </c>
      <c r="AJ851" s="531" t="str">
        <f t="shared" si="373"/>
        <v/>
      </c>
      <c r="AK851" s="540">
        <f>SUMIFS('Live Collections'!$S:$S,'Live Collections'!$D:$D,Disbursements!B851,'Live Collections'!$G:$G,Disbursements!C851)</f>
        <v>0</v>
      </c>
      <c r="AL851" s="540">
        <f>SUMIFS('Live Collections'!$T:$T,'Live Collections'!$D:$D,Disbursements!B851,'Live Collections'!$G:$G,Disbursements!C851)</f>
        <v>0</v>
      </c>
      <c r="AM851" s="541">
        <f t="shared" si="374"/>
        <v>0</v>
      </c>
      <c r="AN851" s="542" t="str">
        <f t="shared" si="375"/>
        <v/>
      </c>
      <c r="AO851" s="542" t="str">
        <f t="shared" si="376"/>
        <v/>
      </c>
      <c r="AP851" s="543" t="str">
        <f t="shared" si="377"/>
        <v/>
      </c>
      <c r="AQ851" s="544" t="str">
        <f t="shared" si="378"/>
        <v/>
      </c>
      <c r="AR851" s="545">
        <f t="shared" si="379"/>
        <v>0</v>
      </c>
      <c r="AS851" s="545">
        <f>IFERROR(CEILING($AR851*VLOOKUP($I851,Ref!$B$23:$E$29,4,0),1),0)</f>
        <v>0</v>
      </c>
      <c r="AT851" s="545" t="str">
        <f>IF(A851="","",IF(AP851&lt;=1,"Cleared",IF(AS851=0,"Clean",VLOOKUP($AS851,Ref!$G$23:$H$28,2))))</f>
        <v/>
      </c>
      <c r="AU851" s="546" t="str">
        <f t="shared" si="380"/>
        <v/>
      </c>
    </row>
    <row r="852" spans="1:47" ht="14.25" hidden="1" customHeight="1" x14ac:dyDescent="0.15">
      <c r="A852" s="523"/>
      <c r="B852" s="523"/>
      <c r="C852" s="523"/>
      <c r="D852" s="523"/>
      <c r="E852" s="579"/>
      <c r="F852" s="580"/>
      <c r="G852" s="524"/>
      <c r="H852" s="555"/>
      <c r="I852" s="560"/>
      <c r="J852" s="523"/>
      <c r="K852" s="528" t="str">
        <f>IFERROR(VLOOKUP($B852,'Clients-Live'!$A:$C,3,0),"")</f>
        <v/>
      </c>
      <c r="L852" s="528">
        <f>IF(E852="STL",Pricing!$D$38,IF(A852="",0,IF(A852&lt;Pricing!$C$25,Pricing!$D$25,VLOOKUP(Disbursements!$F852,Pricing!$B$29:$D$32,3))))</f>
        <v>0</v>
      </c>
      <c r="M852" s="528">
        <f>IF(E852="STL",0,IF(F852&gt;0,Pricing!$D$21,0))</f>
        <v>0</v>
      </c>
      <c r="N852" s="529">
        <f>IF(E852="STL",F852*Pricing!$D$40,IF(A852&lt;=Pricing!$C$4,0,IF(AND(A852&gt;Pricing!$C$4,Disbursements!A852&lt;=Pricing!$C$5),F852*Pricing!$E$5,IF(AND(A852&gt;Pricing!$C$5,Disbursements!A852&lt;=Pricing!$C$7),VLOOKUP(F852,Pricing!$D$7:$E$8,2)*Disbursements!F852,F852*Pricing!$E$9))))</f>
        <v>0</v>
      </c>
      <c r="O852" s="528">
        <f>IF(E852="STL",0,IF($F852&gt;0,$F852*Pricing!$D$17,0))</f>
        <v>0</v>
      </c>
      <c r="P852" s="530" t="str">
        <f t="shared" si="360"/>
        <v/>
      </c>
      <c r="Q852" s="531" t="str">
        <f>IF($A852="","",$G852/VLOOKUP($I852,Ref!$B$23:$D$29,2,0))</f>
        <v/>
      </c>
      <c r="R852" s="530" t="str">
        <f t="shared" si="361"/>
        <v/>
      </c>
      <c r="S852" s="532" t="str">
        <f t="shared" si="355"/>
        <v/>
      </c>
      <c r="T852" s="531" t="str">
        <f t="shared" si="362"/>
        <v/>
      </c>
      <c r="U852" s="533">
        <f t="shared" si="363"/>
        <v>0</v>
      </c>
      <c r="V852" s="531" t="str">
        <f t="shared" si="364"/>
        <v/>
      </c>
      <c r="W852" s="531" t="str">
        <f t="shared" si="365"/>
        <v/>
      </c>
      <c r="X852" s="534" t="str">
        <f t="shared" si="366"/>
        <v/>
      </c>
      <c r="Y852" s="535" t="str">
        <f>IF($A852="","",IF($I852="weekly",$A852+7,EDATE($A852,VLOOKUP($I852,Ref!$B$24:$C$29,2,0))))</f>
        <v/>
      </c>
      <c r="Z852" s="536" t="str">
        <f t="shared" si="367"/>
        <v/>
      </c>
      <c r="AA852" s="531">
        <f t="shared" si="368"/>
        <v>0</v>
      </c>
      <c r="AB852" s="535" t="str">
        <f t="shared" si="356"/>
        <v/>
      </c>
      <c r="AC852" s="537" t="str">
        <f t="shared" si="357"/>
        <v/>
      </c>
      <c r="AD852" s="538" t="str">
        <f t="shared" ca="1" si="358"/>
        <v/>
      </c>
      <c r="AE852" s="537">
        <f t="shared" ca="1" si="359"/>
        <v>0</v>
      </c>
      <c r="AF852" s="539" t="str">
        <f t="shared" ca="1" si="369"/>
        <v/>
      </c>
      <c r="AG852" s="531" t="str">
        <f t="shared" ca="1" si="370"/>
        <v/>
      </c>
      <c r="AH852" s="531" t="str">
        <f t="shared" ca="1" si="371"/>
        <v/>
      </c>
      <c r="AI852" s="531" t="str">
        <f t="shared" ca="1" si="372"/>
        <v/>
      </c>
      <c r="AJ852" s="531" t="str">
        <f t="shared" si="373"/>
        <v/>
      </c>
      <c r="AK852" s="540">
        <f>SUMIFS('Live Collections'!$S:$S,'Live Collections'!$D:$D,Disbursements!B852,'Live Collections'!$G:$G,Disbursements!C852)</f>
        <v>0</v>
      </c>
      <c r="AL852" s="540">
        <f>SUMIFS('Live Collections'!$T:$T,'Live Collections'!$D:$D,Disbursements!B852,'Live Collections'!$G:$G,Disbursements!C852)</f>
        <v>0</v>
      </c>
      <c r="AM852" s="541">
        <f t="shared" si="374"/>
        <v>0</v>
      </c>
      <c r="AN852" s="542" t="str">
        <f t="shared" si="375"/>
        <v/>
      </c>
      <c r="AO852" s="542" t="str">
        <f t="shared" si="376"/>
        <v/>
      </c>
      <c r="AP852" s="543" t="str">
        <f t="shared" si="377"/>
        <v/>
      </c>
      <c r="AQ852" s="544" t="str">
        <f t="shared" si="378"/>
        <v/>
      </c>
      <c r="AR852" s="545">
        <f t="shared" si="379"/>
        <v>0</v>
      </c>
      <c r="AS852" s="545">
        <f>IFERROR(CEILING($AR852*VLOOKUP($I852,Ref!$B$23:$E$29,4,0),1),0)</f>
        <v>0</v>
      </c>
      <c r="AT852" s="545" t="str">
        <f>IF(A852="","",IF(AP852&lt;=1,"Cleared",IF(AS852=0,"Clean",VLOOKUP($AS852,Ref!$G$23:$H$28,2))))</f>
        <v/>
      </c>
      <c r="AU852" s="546" t="str">
        <f t="shared" si="380"/>
        <v/>
      </c>
    </row>
    <row r="853" spans="1:47" ht="14.25" hidden="1" customHeight="1" x14ac:dyDescent="0.15">
      <c r="A853" s="523"/>
      <c r="B853" s="523"/>
      <c r="C853" s="523"/>
      <c r="D853" s="523"/>
      <c r="E853" s="579"/>
      <c r="F853" s="580"/>
      <c r="G853" s="524"/>
      <c r="H853" s="555"/>
      <c r="I853" s="560"/>
      <c r="J853" s="523"/>
      <c r="K853" s="528" t="str">
        <f>IFERROR(VLOOKUP($B853,'Clients-Live'!$A:$C,3,0),"")</f>
        <v/>
      </c>
      <c r="L853" s="528">
        <f>IF(E853="STL",Pricing!$D$38,IF(A853="",0,IF(A853&lt;Pricing!$C$25,Pricing!$D$25,VLOOKUP(Disbursements!$F853,Pricing!$B$29:$D$32,3))))</f>
        <v>0</v>
      </c>
      <c r="M853" s="528">
        <f>IF(E853="STL",0,IF(F853&gt;0,Pricing!$D$21,0))</f>
        <v>0</v>
      </c>
      <c r="N853" s="529">
        <f>IF(E853="STL",F853*Pricing!$D$40,IF(A853&lt;=Pricing!$C$4,0,IF(AND(A853&gt;Pricing!$C$4,Disbursements!A853&lt;=Pricing!$C$5),F853*Pricing!$E$5,IF(AND(A853&gt;Pricing!$C$5,Disbursements!A853&lt;=Pricing!$C$7),VLOOKUP(F853,Pricing!$D$7:$E$8,2)*Disbursements!F853,F853*Pricing!$E$9))))</f>
        <v>0</v>
      </c>
      <c r="O853" s="528">
        <f>IF(E853="STL",0,IF($F853&gt;0,$F853*Pricing!$D$17,0))</f>
        <v>0</v>
      </c>
      <c r="P853" s="530" t="str">
        <f t="shared" si="360"/>
        <v/>
      </c>
      <c r="Q853" s="531" t="str">
        <f>IF($A853="","",$G853/VLOOKUP($I853,Ref!$B$23:$D$29,2,0))</f>
        <v/>
      </c>
      <c r="R853" s="530" t="str">
        <f t="shared" si="361"/>
        <v/>
      </c>
      <c r="S853" s="532" t="str">
        <f t="shared" si="355"/>
        <v/>
      </c>
      <c r="T853" s="531" t="str">
        <f t="shared" si="362"/>
        <v/>
      </c>
      <c r="U853" s="533">
        <f t="shared" si="363"/>
        <v>0</v>
      </c>
      <c r="V853" s="531" t="str">
        <f t="shared" si="364"/>
        <v/>
      </c>
      <c r="W853" s="531" t="str">
        <f t="shared" si="365"/>
        <v/>
      </c>
      <c r="X853" s="534" t="str">
        <f t="shared" si="366"/>
        <v/>
      </c>
      <c r="Y853" s="535" t="str">
        <f>IF($A853="","",IF($I853="weekly",$A853+7,EDATE($A853,VLOOKUP($I853,Ref!$B$24:$C$29,2,0))))</f>
        <v/>
      </c>
      <c r="Z853" s="536" t="str">
        <f t="shared" si="367"/>
        <v/>
      </c>
      <c r="AA853" s="531">
        <f t="shared" si="368"/>
        <v>0</v>
      </c>
      <c r="AB853" s="535" t="str">
        <f t="shared" si="356"/>
        <v/>
      </c>
      <c r="AC853" s="537" t="str">
        <f t="shared" si="357"/>
        <v/>
      </c>
      <c r="AD853" s="538" t="str">
        <f t="shared" ca="1" si="358"/>
        <v/>
      </c>
      <c r="AE853" s="537">
        <f t="shared" ca="1" si="359"/>
        <v>0</v>
      </c>
      <c r="AF853" s="539" t="str">
        <f t="shared" ca="1" si="369"/>
        <v/>
      </c>
      <c r="AG853" s="531" t="str">
        <f t="shared" ca="1" si="370"/>
        <v/>
      </c>
      <c r="AH853" s="531" t="str">
        <f t="shared" ca="1" si="371"/>
        <v/>
      </c>
      <c r="AI853" s="531" t="str">
        <f t="shared" ca="1" si="372"/>
        <v/>
      </c>
      <c r="AJ853" s="531" t="str">
        <f t="shared" si="373"/>
        <v/>
      </c>
      <c r="AK853" s="540">
        <f>SUMIFS('Live Collections'!$S:$S,'Live Collections'!$D:$D,Disbursements!B853,'Live Collections'!$G:$G,Disbursements!C853)</f>
        <v>0</v>
      </c>
      <c r="AL853" s="540">
        <f>SUMIFS('Live Collections'!$T:$T,'Live Collections'!$D:$D,Disbursements!B853,'Live Collections'!$G:$G,Disbursements!C853)</f>
        <v>0</v>
      </c>
      <c r="AM853" s="541">
        <f t="shared" si="374"/>
        <v>0</v>
      </c>
      <c r="AN853" s="542" t="str">
        <f t="shared" si="375"/>
        <v/>
      </c>
      <c r="AO853" s="542" t="str">
        <f t="shared" si="376"/>
        <v/>
      </c>
      <c r="AP853" s="543" t="str">
        <f t="shared" si="377"/>
        <v/>
      </c>
      <c r="AQ853" s="544" t="str">
        <f t="shared" si="378"/>
        <v/>
      </c>
      <c r="AR853" s="545">
        <f t="shared" si="379"/>
        <v>0</v>
      </c>
      <c r="AS853" s="545">
        <f>IFERROR(CEILING($AR853*VLOOKUP($I853,Ref!$B$23:$E$29,4,0),1),0)</f>
        <v>0</v>
      </c>
      <c r="AT853" s="545" t="str">
        <f>IF(A853="","",IF(AP853&lt;=1,"Cleared",IF(AS853=0,"Clean",VLOOKUP($AS853,Ref!$G$23:$H$28,2))))</f>
        <v/>
      </c>
      <c r="AU853" s="546" t="str">
        <f t="shared" si="380"/>
        <v/>
      </c>
    </row>
    <row r="854" spans="1:47" ht="14.25" hidden="1" customHeight="1" x14ac:dyDescent="0.15">
      <c r="A854" s="523"/>
      <c r="B854" s="523"/>
      <c r="C854" s="523"/>
      <c r="D854" s="523"/>
      <c r="E854" s="579"/>
      <c r="F854" s="580"/>
      <c r="G854" s="524"/>
      <c r="H854" s="555"/>
      <c r="I854" s="560"/>
      <c r="J854" s="523"/>
      <c r="K854" s="528" t="str">
        <f>IFERROR(VLOOKUP($B854,'Clients-Live'!$A:$C,3,0),"")</f>
        <v/>
      </c>
      <c r="L854" s="528">
        <f>IF(E854="STL",Pricing!$D$38,IF(A854="",0,IF(A854&lt;Pricing!$C$25,Pricing!$D$25,VLOOKUP(Disbursements!$F854,Pricing!$B$29:$D$32,3))))</f>
        <v>0</v>
      </c>
      <c r="M854" s="528">
        <f>IF(E854="STL",0,IF(F854&gt;0,Pricing!$D$21,0))</f>
        <v>0</v>
      </c>
      <c r="N854" s="529">
        <f>IF(E854="STL",F854*Pricing!$D$40,IF(A854&lt;=Pricing!$C$4,0,IF(AND(A854&gt;Pricing!$C$4,Disbursements!A854&lt;=Pricing!$C$5),F854*Pricing!$E$5,IF(AND(A854&gt;Pricing!$C$5,Disbursements!A854&lt;=Pricing!$C$7),VLOOKUP(F854,Pricing!$D$7:$E$8,2)*Disbursements!F854,F854*Pricing!$E$9))))</f>
        <v>0</v>
      </c>
      <c r="O854" s="528">
        <f>IF(E854="STL",0,IF($F854&gt;0,$F854*Pricing!$D$17,0))</f>
        <v>0</v>
      </c>
      <c r="P854" s="530" t="str">
        <f t="shared" si="360"/>
        <v/>
      </c>
      <c r="Q854" s="531" t="str">
        <f>IF($A854="","",$G854/VLOOKUP($I854,Ref!$B$23:$D$29,2,0))</f>
        <v/>
      </c>
      <c r="R854" s="530" t="str">
        <f t="shared" si="361"/>
        <v/>
      </c>
      <c r="S854" s="532" t="str">
        <f t="shared" si="355"/>
        <v/>
      </c>
      <c r="T854" s="531" t="str">
        <f t="shared" si="362"/>
        <v/>
      </c>
      <c r="U854" s="533">
        <f t="shared" si="363"/>
        <v>0</v>
      </c>
      <c r="V854" s="531" t="str">
        <f t="shared" si="364"/>
        <v/>
      </c>
      <c r="W854" s="531" t="str">
        <f t="shared" si="365"/>
        <v/>
      </c>
      <c r="X854" s="534" t="str">
        <f t="shared" si="366"/>
        <v/>
      </c>
      <c r="Y854" s="535" t="str">
        <f>IF($A854="","",IF($I854="weekly",$A854+7,EDATE($A854,VLOOKUP($I854,Ref!$B$24:$C$29,2,0))))</f>
        <v/>
      </c>
      <c r="Z854" s="536" t="str">
        <f t="shared" si="367"/>
        <v/>
      </c>
      <c r="AA854" s="531">
        <f t="shared" si="368"/>
        <v>0</v>
      </c>
      <c r="AB854" s="535" t="str">
        <f t="shared" si="356"/>
        <v/>
      </c>
      <c r="AC854" s="537" t="str">
        <f t="shared" si="357"/>
        <v/>
      </c>
      <c r="AD854" s="538" t="str">
        <f t="shared" ca="1" si="358"/>
        <v/>
      </c>
      <c r="AE854" s="537">
        <f t="shared" ca="1" si="359"/>
        <v>0</v>
      </c>
      <c r="AF854" s="539" t="str">
        <f t="shared" ca="1" si="369"/>
        <v/>
      </c>
      <c r="AG854" s="531" t="str">
        <f t="shared" ca="1" si="370"/>
        <v/>
      </c>
      <c r="AH854" s="531" t="str">
        <f t="shared" ca="1" si="371"/>
        <v/>
      </c>
      <c r="AI854" s="531" t="str">
        <f t="shared" ca="1" si="372"/>
        <v/>
      </c>
      <c r="AJ854" s="531" t="str">
        <f t="shared" si="373"/>
        <v/>
      </c>
      <c r="AK854" s="540">
        <f>SUMIFS('Live Collections'!$S:$S,'Live Collections'!$D:$D,Disbursements!B854,'Live Collections'!$G:$G,Disbursements!C854)</f>
        <v>0</v>
      </c>
      <c r="AL854" s="540">
        <f>SUMIFS('Live Collections'!$T:$T,'Live Collections'!$D:$D,Disbursements!B854,'Live Collections'!$G:$G,Disbursements!C854)</f>
        <v>0</v>
      </c>
      <c r="AM854" s="541">
        <f t="shared" si="374"/>
        <v>0</v>
      </c>
      <c r="AN854" s="542" t="str">
        <f t="shared" si="375"/>
        <v/>
      </c>
      <c r="AO854" s="542" t="str">
        <f t="shared" si="376"/>
        <v/>
      </c>
      <c r="AP854" s="543" t="str">
        <f t="shared" si="377"/>
        <v/>
      </c>
      <c r="AQ854" s="544" t="str">
        <f t="shared" si="378"/>
        <v/>
      </c>
      <c r="AR854" s="545">
        <f t="shared" si="379"/>
        <v>0</v>
      </c>
      <c r="AS854" s="545">
        <f>IFERROR(CEILING($AR854*VLOOKUP($I854,Ref!$B$23:$E$29,4,0),1),0)</f>
        <v>0</v>
      </c>
      <c r="AT854" s="545" t="str">
        <f>IF(A854="","",IF(AP854&lt;=1,"Cleared",IF(AS854=0,"Clean",VLOOKUP($AS854,Ref!$G$23:$H$28,2))))</f>
        <v/>
      </c>
      <c r="AU854" s="546" t="str">
        <f t="shared" si="380"/>
        <v/>
      </c>
    </row>
    <row r="855" spans="1:47" ht="14.25" hidden="1" customHeight="1" x14ac:dyDescent="0.15">
      <c r="A855" s="523"/>
      <c r="B855" s="523"/>
      <c r="C855" s="523"/>
      <c r="D855" s="523"/>
      <c r="E855" s="579"/>
      <c r="F855" s="580"/>
      <c r="G855" s="524"/>
      <c r="H855" s="555"/>
      <c r="I855" s="560"/>
      <c r="J855" s="523"/>
      <c r="K855" s="528" t="str">
        <f>IFERROR(VLOOKUP($B855,'Clients-Live'!$A:$C,3,0),"")</f>
        <v/>
      </c>
      <c r="L855" s="528">
        <f>IF(E855="STL",Pricing!$D$38,IF(A855="",0,IF(A855&lt;Pricing!$C$25,Pricing!$D$25,VLOOKUP(Disbursements!$F855,Pricing!$B$29:$D$32,3))))</f>
        <v>0</v>
      </c>
      <c r="M855" s="528">
        <f>IF(E855="STL",0,IF(F855&gt;0,Pricing!$D$21,0))</f>
        <v>0</v>
      </c>
      <c r="N855" s="529">
        <f>IF(E855="STL",F855*Pricing!$D$40,IF(A855&lt;=Pricing!$C$4,0,IF(AND(A855&gt;Pricing!$C$4,Disbursements!A855&lt;=Pricing!$C$5),F855*Pricing!$E$5,IF(AND(A855&gt;Pricing!$C$5,Disbursements!A855&lt;=Pricing!$C$7),VLOOKUP(F855,Pricing!$D$7:$E$8,2)*Disbursements!F855,F855*Pricing!$E$9))))</f>
        <v>0</v>
      </c>
      <c r="O855" s="528">
        <f>IF(E855="STL",0,IF($F855&gt;0,$F855*Pricing!$D$17,0))</f>
        <v>0</v>
      </c>
      <c r="P855" s="530" t="str">
        <f t="shared" si="360"/>
        <v/>
      </c>
      <c r="Q855" s="531" t="str">
        <f>IF($A855="","",$G855/VLOOKUP($I855,Ref!$B$23:$D$29,2,0))</f>
        <v/>
      </c>
      <c r="R855" s="530" t="str">
        <f t="shared" si="361"/>
        <v/>
      </c>
      <c r="S855" s="532" t="str">
        <f t="shared" si="355"/>
        <v/>
      </c>
      <c r="T855" s="531" t="str">
        <f t="shared" si="362"/>
        <v/>
      </c>
      <c r="U855" s="533">
        <f t="shared" si="363"/>
        <v>0</v>
      </c>
      <c r="V855" s="531" t="str">
        <f t="shared" si="364"/>
        <v/>
      </c>
      <c r="W855" s="531" t="str">
        <f t="shared" si="365"/>
        <v/>
      </c>
      <c r="X855" s="534" t="str">
        <f t="shared" si="366"/>
        <v/>
      </c>
      <c r="Y855" s="535" t="str">
        <f>IF($A855="","",IF($I855="weekly",$A855+7,EDATE($A855,VLOOKUP($I855,Ref!$B$24:$C$29,2,0))))</f>
        <v/>
      </c>
      <c r="Z855" s="536" t="str">
        <f t="shared" si="367"/>
        <v/>
      </c>
      <c r="AA855" s="531">
        <f t="shared" si="368"/>
        <v>0</v>
      </c>
      <c r="AB855" s="535" t="str">
        <f t="shared" si="356"/>
        <v/>
      </c>
      <c r="AC855" s="537" t="str">
        <f t="shared" si="357"/>
        <v/>
      </c>
      <c r="AD855" s="538" t="str">
        <f t="shared" ca="1" si="358"/>
        <v/>
      </c>
      <c r="AE855" s="537">
        <f t="shared" ca="1" si="359"/>
        <v>0</v>
      </c>
      <c r="AF855" s="539" t="str">
        <f t="shared" ca="1" si="369"/>
        <v/>
      </c>
      <c r="AG855" s="531" t="str">
        <f t="shared" ca="1" si="370"/>
        <v/>
      </c>
      <c r="AH855" s="531" t="str">
        <f t="shared" ca="1" si="371"/>
        <v/>
      </c>
      <c r="AI855" s="531" t="str">
        <f t="shared" ca="1" si="372"/>
        <v/>
      </c>
      <c r="AJ855" s="531" t="str">
        <f t="shared" si="373"/>
        <v/>
      </c>
      <c r="AK855" s="540">
        <f>SUMIFS('Live Collections'!$S:$S,'Live Collections'!$D:$D,Disbursements!B855,'Live Collections'!$G:$G,Disbursements!C855)</f>
        <v>0</v>
      </c>
      <c r="AL855" s="540">
        <f>SUMIFS('Live Collections'!$T:$T,'Live Collections'!$D:$D,Disbursements!B855,'Live Collections'!$G:$G,Disbursements!C855)</f>
        <v>0</v>
      </c>
      <c r="AM855" s="541">
        <f t="shared" si="374"/>
        <v>0</v>
      </c>
      <c r="AN855" s="542" t="str">
        <f t="shared" si="375"/>
        <v/>
      </c>
      <c r="AO855" s="542" t="str">
        <f t="shared" si="376"/>
        <v/>
      </c>
      <c r="AP855" s="543" t="str">
        <f t="shared" si="377"/>
        <v/>
      </c>
      <c r="AQ855" s="544" t="str">
        <f t="shared" si="378"/>
        <v/>
      </c>
      <c r="AR855" s="545">
        <f t="shared" si="379"/>
        <v>0</v>
      </c>
      <c r="AS855" s="545">
        <f>IFERROR(CEILING($AR855*VLOOKUP($I855,Ref!$B$23:$E$29,4,0),1),0)</f>
        <v>0</v>
      </c>
      <c r="AT855" s="545" t="str">
        <f>IF(A855="","",IF(AP855&lt;=1,"Cleared",IF(AS855=0,"Clean",VLOOKUP($AS855,Ref!$G$23:$H$28,2))))</f>
        <v/>
      </c>
      <c r="AU855" s="546" t="str">
        <f t="shared" si="380"/>
        <v/>
      </c>
    </row>
    <row r="856" spans="1:47" ht="14.25" hidden="1" customHeight="1" x14ac:dyDescent="0.15">
      <c r="A856" s="523"/>
      <c r="B856" s="523"/>
      <c r="C856" s="523"/>
      <c r="D856" s="523"/>
      <c r="E856" s="579"/>
      <c r="F856" s="580"/>
      <c r="G856" s="524"/>
      <c r="H856" s="555"/>
      <c r="I856" s="560"/>
      <c r="J856" s="523"/>
      <c r="K856" s="528" t="str">
        <f>IFERROR(VLOOKUP($B856,'Clients-Live'!$A:$C,3,0),"")</f>
        <v/>
      </c>
      <c r="L856" s="528">
        <f>IF(E856="STL",Pricing!$D$38,IF(A856="",0,IF(A856&lt;Pricing!$C$25,Pricing!$D$25,VLOOKUP(Disbursements!$F856,Pricing!$B$29:$D$32,3))))</f>
        <v>0</v>
      </c>
      <c r="M856" s="528">
        <f>IF(E856="STL",0,IF(F856&gt;0,Pricing!$D$21,0))</f>
        <v>0</v>
      </c>
      <c r="N856" s="529">
        <f>IF(E856="STL",F856*Pricing!$D$40,IF(A856&lt;=Pricing!$C$4,0,IF(AND(A856&gt;Pricing!$C$4,Disbursements!A856&lt;=Pricing!$C$5),F856*Pricing!$E$5,IF(AND(A856&gt;Pricing!$C$5,Disbursements!A856&lt;=Pricing!$C$7),VLOOKUP(F856,Pricing!$D$7:$E$8,2)*Disbursements!F856,F856*Pricing!$E$9))))</f>
        <v>0</v>
      </c>
      <c r="O856" s="528">
        <f>IF(E856="STL",0,IF($F856&gt;0,$F856*Pricing!$D$17,0))</f>
        <v>0</v>
      </c>
      <c r="P856" s="530" t="str">
        <f t="shared" si="360"/>
        <v/>
      </c>
      <c r="Q856" s="531" t="str">
        <f>IF($A856="","",$G856/VLOOKUP($I856,Ref!$B$23:$D$29,2,0))</f>
        <v/>
      </c>
      <c r="R856" s="530" t="str">
        <f t="shared" si="361"/>
        <v/>
      </c>
      <c r="S856" s="532" t="str">
        <f t="shared" si="355"/>
        <v/>
      </c>
      <c r="T856" s="531" t="str">
        <f t="shared" si="362"/>
        <v/>
      </c>
      <c r="U856" s="533">
        <f t="shared" si="363"/>
        <v>0</v>
      </c>
      <c r="V856" s="531" t="str">
        <f t="shared" si="364"/>
        <v/>
      </c>
      <c r="W856" s="531" t="str">
        <f t="shared" si="365"/>
        <v/>
      </c>
      <c r="X856" s="534" t="str">
        <f t="shared" si="366"/>
        <v/>
      </c>
      <c r="Y856" s="535" t="str">
        <f>IF($A856="","",IF($I856="weekly",$A856+7,EDATE($A856,VLOOKUP($I856,Ref!$B$24:$C$29,2,0))))</f>
        <v/>
      </c>
      <c r="Z856" s="536" t="str">
        <f t="shared" si="367"/>
        <v/>
      </c>
      <c r="AA856" s="531">
        <f t="shared" si="368"/>
        <v>0</v>
      </c>
      <c r="AB856" s="535" t="str">
        <f t="shared" si="356"/>
        <v/>
      </c>
      <c r="AC856" s="537" t="str">
        <f t="shared" si="357"/>
        <v/>
      </c>
      <c r="AD856" s="538" t="str">
        <f t="shared" ca="1" si="358"/>
        <v/>
      </c>
      <c r="AE856" s="537">
        <f t="shared" ca="1" si="359"/>
        <v>0</v>
      </c>
      <c r="AF856" s="539" t="str">
        <f t="shared" ca="1" si="369"/>
        <v/>
      </c>
      <c r="AG856" s="531" t="str">
        <f t="shared" ca="1" si="370"/>
        <v/>
      </c>
      <c r="AH856" s="531" t="str">
        <f t="shared" ca="1" si="371"/>
        <v/>
      </c>
      <c r="AI856" s="531" t="str">
        <f t="shared" ca="1" si="372"/>
        <v/>
      </c>
      <c r="AJ856" s="531" t="str">
        <f t="shared" si="373"/>
        <v/>
      </c>
      <c r="AK856" s="540">
        <f>SUMIFS('Live Collections'!$S:$S,'Live Collections'!$D:$D,Disbursements!B856,'Live Collections'!$G:$G,Disbursements!C856)</f>
        <v>0</v>
      </c>
      <c r="AL856" s="540">
        <f>SUMIFS('Live Collections'!$T:$T,'Live Collections'!$D:$D,Disbursements!B856,'Live Collections'!$G:$G,Disbursements!C856)</f>
        <v>0</v>
      </c>
      <c r="AM856" s="541">
        <f t="shared" si="374"/>
        <v>0</v>
      </c>
      <c r="AN856" s="542" t="str">
        <f t="shared" si="375"/>
        <v/>
      </c>
      <c r="AO856" s="542" t="str">
        <f t="shared" si="376"/>
        <v/>
      </c>
      <c r="AP856" s="543" t="str">
        <f t="shared" si="377"/>
        <v/>
      </c>
      <c r="AQ856" s="544" t="str">
        <f t="shared" si="378"/>
        <v/>
      </c>
      <c r="AR856" s="545">
        <f t="shared" si="379"/>
        <v>0</v>
      </c>
      <c r="AS856" s="545">
        <f>IFERROR(CEILING($AR856*VLOOKUP($I856,Ref!$B$23:$E$29,4,0),1),0)</f>
        <v>0</v>
      </c>
      <c r="AT856" s="545" t="str">
        <f>IF(A856="","",IF(AP856&lt;=1,"Cleared",IF(AS856=0,"Clean",VLOOKUP($AS856,Ref!$G$23:$H$28,2))))</f>
        <v/>
      </c>
      <c r="AU856" s="546" t="str">
        <f t="shared" si="380"/>
        <v/>
      </c>
    </row>
    <row r="857" spans="1:47" ht="14.25" hidden="1" customHeight="1" x14ac:dyDescent="0.15">
      <c r="A857" s="523"/>
      <c r="B857" s="523"/>
      <c r="C857" s="523"/>
      <c r="D857" s="523"/>
      <c r="E857" s="579"/>
      <c r="F857" s="580"/>
      <c r="G857" s="524"/>
      <c r="H857" s="555"/>
      <c r="I857" s="560"/>
      <c r="J857" s="523"/>
      <c r="K857" s="528" t="str">
        <f>IFERROR(VLOOKUP($B857,'Clients-Live'!$A:$C,3,0),"")</f>
        <v/>
      </c>
      <c r="L857" s="528">
        <f>IF(E857="STL",Pricing!$D$38,IF(A857="",0,IF(A857&lt;Pricing!$C$25,Pricing!$D$25,VLOOKUP(Disbursements!$F857,Pricing!$B$29:$D$32,3))))</f>
        <v>0</v>
      </c>
      <c r="M857" s="528">
        <f>IF(E857="STL",0,IF(F857&gt;0,Pricing!$D$21,0))</f>
        <v>0</v>
      </c>
      <c r="N857" s="529">
        <f>IF(E857="STL",F857*Pricing!$D$40,IF(A857&lt;=Pricing!$C$4,0,IF(AND(A857&gt;Pricing!$C$4,Disbursements!A857&lt;=Pricing!$C$5),F857*Pricing!$E$5,IF(AND(A857&gt;Pricing!$C$5,Disbursements!A857&lt;=Pricing!$C$7),VLOOKUP(F857,Pricing!$D$7:$E$8,2)*Disbursements!F857,F857*Pricing!$E$9))))</f>
        <v>0</v>
      </c>
      <c r="O857" s="528">
        <f>IF(E857="STL",0,IF($F857&gt;0,$F857*Pricing!$D$17,0))</f>
        <v>0</v>
      </c>
      <c r="P857" s="530" t="str">
        <f t="shared" si="360"/>
        <v/>
      </c>
      <c r="Q857" s="531" t="str">
        <f>IF($A857="","",$G857/VLOOKUP($I857,Ref!$B$23:$D$29,2,0))</f>
        <v/>
      </c>
      <c r="R857" s="530" t="str">
        <f t="shared" si="361"/>
        <v/>
      </c>
      <c r="S857" s="532" t="str">
        <f t="shared" si="355"/>
        <v/>
      </c>
      <c r="T857" s="531" t="str">
        <f t="shared" si="362"/>
        <v/>
      </c>
      <c r="U857" s="533">
        <f t="shared" si="363"/>
        <v>0</v>
      </c>
      <c r="V857" s="531" t="str">
        <f t="shared" si="364"/>
        <v/>
      </c>
      <c r="W857" s="531" t="str">
        <f t="shared" si="365"/>
        <v/>
      </c>
      <c r="X857" s="534" t="str">
        <f t="shared" si="366"/>
        <v/>
      </c>
      <c r="Y857" s="535" t="str">
        <f>IF($A857="","",IF($I857="weekly",$A857+7,EDATE($A857,VLOOKUP($I857,Ref!$B$24:$C$29,2,0))))</f>
        <v/>
      </c>
      <c r="Z857" s="536" t="str">
        <f t="shared" si="367"/>
        <v/>
      </c>
      <c r="AA857" s="531">
        <f t="shared" si="368"/>
        <v>0</v>
      </c>
      <c r="AB857" s="535" t="str">
        <f t="shared" si="356"/>
        <v/>
      </c>
      <c r="AC857" s="537" t="str">
        <f t="shared" si="357"/>
        <v/>
      </c>
      <c r="AD857" s="538" t="str">
        <f t="shared" ca="1" si="358"/>
        <v/>
      </c>
      <c r="AE857" s="537">
        <f t="shared" ca="1" si="359"/>
        <v>0</v>
      </c>
      <c r="AF857" s="539" t="str">
        <f t="shared" ca="1" si="369"/>
        <v/>
      </c>
      <c r="AG857" s="531" t="str">
        <f t="shared" ca="1" si="370"/>
        <v/>
      </c>
      <c r="AH857" s="531" t="str">
        <f t="shared" ca="1" si="371"/>
        <v/>
      </c>
      <c r="AI857" s="531" t="str">
        <f t="shared" ca="1" si="372"/>
        <v/>
      </c>
      <c r="AJ857" s="531" t="str">
        <f t="shared" si="373"/>
        <v/>
      </c>
      <c r="AK857" s="540">
        <f>SUMIFS('Live Collections'!$S:$S,'Live Collections'!$D:$D,Disbursements!B857,'Live Collections'!$G:$G,Disbursements!C857)</f>
        <v>0</v>
      </c>
      <c r="AL857" s="540">
        <f>SUMIFS('Live Collections'!$T:$T,'Live Collections'!$D:$D,Disbursements!B857,'Live Collections'!$G:$G,Disbursements!C857)</f>
        <v>0</v>
      </c>
      <c r="AM857" s="541">
        <f t="shared" si="374"/>
        <v>0</v>
      </c>
      <c r="AN857" s="542" t="str">
        <f t="shared" si="375"/>
        <v/>
      </c>
      <c r="AO857" s="542" t="str">
        <f t="shared" si="376"/>
        <v/>
      </c>
      <c r="AP857" s="543" t="str">
        <f t="shared" si="377"/>
        <v/>
      </c>
      <c r="AQ857" s="544" t="str">
        <f t="shared" si="378"/>
        <v/>
      </c>
      <c r="AR857" s="545">
        <f t="shared" si="379"/>
        <v>0</v>
      </c>
      <c r="AS857" s="545">
        <f>IFERROR(CEILING($AR857*VLOOKUP($I857,Ref!$B$23:$E$29,4,0),1),0)</f>
        <v>0</v>
      </c>
      <c r="AT857" s="545" t="str">
        <f>IF(A857="","",IF(AP857&lt;=1,"Cleared",IF(AS857=0,"Clean",VLOOKUP($AS857,Ref!$G$23:$H$28,2))))</f>
        <v/>
      </c>
      <c r="AU857" s="546" t="str">
        <f t="shared" si="380"/>
        <v/>
      </c>
    </row>
    <row r="858" spans="1:47" ht="14.25" hidden="1" customHeight="1" x14ac:dyDescent="0.15">
      <c r="A858" s="523"/>
      <c r="B858" s="523"/>
      <c r="C858" s="523"/>
      <c r="D858" s="523"/>
      <c r="E858" s="579"/>
      <c r="F858" s="580"/>
      <c r="G858" s="524"/>
      <c r="H858" s="555"/>
      <c r="I858" s="560"/>
      <c r="J858" s="523"/>
      <c r="K858" s="528" t="str">
        <f>IFERROR(VLOOKUP($B858,'Clients-Live'!$A:$C,3,0),"")</f>
        <v/>
      </c>
      <c r="L858" s="528">
        <f>IF(E858="STL",Pricing!$D$38,IF(A858="",0,IF(A858&lt;Pricing!$C$25,Pricing!$D$25,VLOOKUP(Disbursements!$F858,Pricing!$B$29:$D$32,3))))</f>
        <v>0</v>
      </c>
      <c r="M858" s="528">
        <f>IF(E858="STL",0,IF(F858&gt;0,Pricing!$D$21,0))</f>
        <v>0</v>
      </c>
      <c r="N858" s="529">
        <f>IF(E858="STL",F858*Pricing!$D$40,IF(A858&lt;=Pricing!$C$4,0,IF(AND(A858&gt;Pricing!$C$4,Disbursements!A858&lt;=Pricing!$C$5),F858*Pricing!$E$5,IF(AND(A858&gt;Pricing!$C$5,Disbursements!A858&lt;=Pricing!$C$7),VLOOKUP(F858,Pricing!$D$7:$E$8,2)*Disbursements!F858,F858*Pricing!$E$9))))</f>
        <v>0</v>
      </c>
      <c r="O858" s="528">
        <f>IF(E858="STL",0,IF($F858&gt;0,$F858*Pricing!$D$17,0))</f>
        <v>0</v>
      </c>
      <c r="P858" s="530" t="str">
        <f t="shared" si="360"/>
        <v/>
      </c>
      <c r="Q858" s="531" t="str">
        <f>IF($A858="","",$G858/VLOOKUP($I858,Ref!$B$23:$D$29,2,0))</f>
        <v/>
      </c>
      <c r="R858" s="530" t="str">
        <f t="shared" si="361"/>
        <v/>
      </c>
      <c r="S858" s="532" t="str">
        <f t="shared" si="355"/>
        <v/>
      </c>
      <c r="T858" s="531" t="str">
        <f t="shared" si="362"/>
        <v/>
      </c>
      <c r="U858" s="533">
        <f t="shared" si="363"/>
        <v>0</v>
      </c>
      <c r="V858" s="531" t="str">
        <f t="shared" si="364"/>
        <v/>
      </c>
      <c r="W858" s="531" t="str">
        <f t="shared" si="365"/>
        <v/>
      </c>
      <c r="X858" s="534" t="str">
        <f t="shared" si="366"/>
        <v/>
      </c>
      <c r="Y858" s="535" t="str">
        <f>IF($A858="","",IF($I858="weekly",$A858+7,EDATE($A858,VLOOKUP($I858,Ref!$B$24:$C$29,2,0))))</f>
        <v/>
      </c>
      <c r="Z858" s="536" t="str">
        <f t="shared" si="367"/>
        <v/>
      </c>
      <c r="AA858" s="531">
        <f t="shared" si="368"/>
        <v>0</v>
      </c>
      <c r="AB858" s="535" t="str">
        <f t="shared" si="356"/>
        <v/>
      </c>
      <c r="AC858" s="537" t="str">
        <f t="shared" si="357"/>
        <v/>
      </c>
      <c r="AD858" s="538" t="str">
        <f t="shared" ca="1" si="358"/>
        <v/>
      </c>
      <c r="AE858" s="537">
        <f t="shared" ca="1" si="359"/>
        <v>0</v>
      </c>
      <c r="AF858" s="539" t="str">
        <f t="shared" ca="1" si="369"/>
        <v/>
      </c>
      <c r="AG858" s="531" t="str">
        <f t="shared" ca="1" si="370"/>
        <v/>
      </c>
      <c r="AH858" s="531" t="str">
        <f t="shared" ca="1" si="371"/>
        <v/>
      </c>
      <c r="AI858" s="531" t="str">
        <f t="shared" ca="1" si="372"/>
        <v/>
      </c>
      <c r="AJ858" s="531" t="str">
        <f t="shared" si="373"/>
        <v/>
      </c>
      <c r="AK858" s="540">
        <f>SUMIFS('Live Collections'!$S:$S,'Live Collections'!$D:$D,Disbursements!B858,'Live Collections'!$G:$G,Disbursements!C858)</f>
        <v>0</v>
      </c>
      <c r="AL858" s="540">
        <f>SUMIFS('Live Collections'!$T:$T,'Live Collections'!$D:$D,Disbursements!B858,'Live Collections'!$G:$G,Disbursements!C858)</f>
        <v>0</v>
      </c>
      <c r="AM858" s="541">
        <f t="shared" si="374"/>
        <v>0</v>
      </c>
      <c r="AN858" s="542" t="str">
        <f t="shared" si="375"/>
        <v/>
      </c>
      <c r="AO858" s="542" t="str">
        <f t="shared" si="376"/>
        <v/>
      </c>
      <c r="AP858" s="543" t="str">
        <f t="shared" si="377"/>
        <v/>
      </c>
      <c r="AQ858" s="544" t="str">
        <f t="shared" si="378"/>
        <v/>
      </c>
      <c r="AR858" s="545">
        <f t="shared" si="379"/>
        <v>0</v>
      </c>
      <c r="AS858" s="545">
        <f>IFERROR(CEILING($AR858*VLOOKUP($I858,Ref!$B$23:$E$29,4,0),1),0)</f>
        <v>0</v>
      </c>
      <c r="AT858" s="545" t="str">
        <f>IF(A858="","",IF(AP858&lt;=1,"Cleared",IF(AS858=0,"Clean",VLOOKUP($AS858,Ref!$G$23:$H$28,2))))</f>
        <v/>
      </c>
      <c r="AU858" s="546" t="str">
        <f t="shared" si="380"/>
        <v/>
      </c>
    </row>
    <row r="859" spans="1:47" ht="14.25" hidden="1" customHeight="1" x14ac:dyDescent="0.15">
      <c r="A859" s="523"/>
      <c r="B859" s="523"/>
      <c r="C859" s="523"/>
      <c r="D859" s="523"/>
      <c r="E859" s="579"/>
      <c r="F859" s="580"/>
      <c r="G859" s="524"/>
      <c r="H859" s="555"/>
      <c r="I859" s="560"/>
      <c r="J859" s="523"/>
      <c r="K859" s="528" t="str">
        <f>IFERROR(VLOOKUP($B859,'Clients-Live'!$A:$C,3,0),"")</f>
        <v/>
      </c>
      <c r="L859" s="528">
        <f>IF(E859="STL",Pricing!$D$38,IF(A859="",0,IF(A859&lt;Pricing!$C$25,Pricing!$D$25,VLOOKUP(Disbursements!$F859,Pricing!$B$29:$D$32,3))))</f>
        <v>0</v>
      </c>
      <c r="M859" s="528">
        <f>IF(E859="STL",0,IF(F859&gt;0,Pricing!$D$21,0))</f>
        <v>0</v>
      </c>
      <c r="N859" s="529">
        <f>IF(E859="STL",F859*Pricing!$D$40,IF(A859&lt;=Pricing!$C$4,0,IF(AND(A859&gt;Pricing!$C$4,Disbursements!A859&lt;=Pricing!$C$5),F859*Pricing!$E$5,IF(AND(A859&gt;Pricing!$C$5,Disbursements!A859&lt;=Pricing!$C$7),VLOOKUP(F859,Pricing!$D$7:$E$8,2)*Disbursements!F859,F859*Pricing!$E$9))))</f>
        <v>0</v>
      </c>
      <c r="O859" s="528">
        <f>IF(E859="STL",0,IF($F859&gt;0,$F859*Pricing!$D$17,0))</f>
        <v>0</v>
      </c>
      <c r="P859" s="530" t="str">
        <f t="shared" si="360"/>
        <v/>
      </c>
      <c r="Q859" s="531" t="str">
        <f>IF($A859="","",$G859/VLOOKUP($I859,Ref!$B$23:$D$29,2,0))</f>
        <v/>
      </c>
      <c r="R859" s="530" t="str">
        <f t="shared" si="361"/>
        <v/>
      </c>
      <c r="S859" s="532" t="str">
        <f t="shared" si="355"/>
        <v/>
      </c>
      <c r="T859" s="531" t="str">
        <f t="shared" si="362"/>
        <v/>
      </c>
      <c r="U859" s="533">
        <f t="shared" si="363"/>
        <v>0</v>
      </c>
      <c r="V859" s="531" t="str">
        <f t="shared" si="364"/>
        <v/>
      </c>
      <c r="W859" s="531" t="str">
        <f t="shared" si="365"/>
        <v/>
      </c>
      <c r="X859" s="534" t="str">
        <f t="shared" si="366"/>
        <v/>
      </c>
      <c r="Y859" s="535" t="str">
        <f>IF($A859="","",IF($I859="weekly",$A859+7,EDATE($A859,VLOOKUP($I859,Ref!$B$24:$C$29,2,0))))</f>
        <v/>
      </c>
      <c r="Z859" s="536" t="str">
        <f t="shared" si="367"/>
        <v/>
      </c>
      <c r="AA859" s="531">
        <f t="shared" si="368"/>
        <v>0</v>
      </c>
      <c r="AB859" s="535" t="str">
        <f t="shared" si="356"/>
        <v/>
      </c>
      <c r="AC859" s="537" t="str">
        <f t="shared" si="357"/>
        <v/>
      </c>
      <c r="AD859" s="538" t="str">
        <f t="shared" ca="1" si="358"/>
        <v/>
      </c>
      <c r="AE859" s="537">
        <f t="shared" ca="1" si="359"/>
        <v>0</v>
      </c>
      <c r="AF859" s="539" t="str">
        <f t="shared" ca="1" si="369"/>
        <v/>
      </c>
      <c r="AG859" s="531" t="str">
        <f t="shared" ca="1" si="370"/>
        <v/>
      </c>
      <c r="AH859" s="531" t="str">
        <f t="shared" ca="1" si="371"/>
        <v/>
      </c>
      <c r="AI859" s="531" t="str">
        <f t="shared" ca="1" si="372"/>
        <v/>
      </c>
      <c r="AJ859" s="531" t="str">
        <f t="shared" si="373"/>
        <v/>
      </c>
      <c r="AK859" s="540">
        <f>SUMIFS('Live Collections'!$S:$S,'Live Collections'!$D:$D,Disbursements!B859,'Live Collections'!$G:$G,Disbursements!C859)</f>
        <v>0</v>
      </c>
      <c r="AL859" s="540">
        <f>SUMIFS('Live Collections'!$T:$T,'Live Collections'!$D:$D,Disbursements!B859,'Live Collections'!$G:$G,Disbursements!C859)</f>
        <v>0</v>
      </c>
      <c r="AM859" s="541">
        <f t="shared" si="374"/>
        <v>0</v>
      </c>
      <c r="AN859" s="542" t="str">
        <f t="shared" si="375"/>
        <v/>
      </c>
      <c r="AO859" s="542" t="str">
        <f t="shared" si="376"/>
        <v/>
      </c>
      <c r="AP859" s="543" t="str">
        <f t="shared" si="377"/>
        <v/>
      </c>
      <c r="AQ859" s="544" t="str">
        <f t="shared" si="378"/>
        <v/>
      </c>
      <c r="AR859" s="545">
        <f t="shared" si="379"/>
        <v>0</v>
      </c>
      <c r="AS859" s="545">
        <f>IFERROR(CEILING($AR859*VLOOKUP($I859,Ref!$B$23:$E$29,4,0),1),0)</f>
        <v>0</v>
      </c>
      <c r="AT859" s="545" t="str">
        <f>IF(A859="","",IF(AP859&lt;=1,"Cleared",IF(AS859=0,"Clean",VLOOKUP($AS859,Ref!$G$23:$H$28,2))))</f>
        <v/>
      </c>
      <c r="AU859" s="546" t="str">
        <f t="shared" si="380"/>
        <v/>
      </c>
    </row>
    <row r="860" spans="1:47" ht="14.25" hidden="1" customHeight="1" x14ac:dyDescent="0.15">
      <c r="A860" s="523"/>
      <c r="B860" s="523"/>
      <c r="C860" s="523"/>
      <c r="D860" s="523"/>
      <c r="E860" s="579"/>
      <c r="F860" s="580"/>
      <c r="G860" s="524"/>
      <c r="H860" s="555"/>
      <c r="I860" s="560"/>
      <c r="J860" s="523"/>
      <c r="K860" s="528" t="str">
        <f>IFERROR(VLOOKUP($B860,'Clients-Live'!$A:$C,3,0),"")</f>
        <v/>
      </c>
      <c r="L860" s="528">
        <f>IF(E860="STL",Pricing!$D$38,IF(A860="",0,IF(A860&lt;Pricing!$C$25,Pricing!$D$25,VLOOKUP(Disbursements!$F860,Pricing!$B$29:$D$32,3))))</f>
        <v>0</v>
      </c>
      <c r="M860" s="528">
        <f>IF(E860="STL",0,IF(F860&gt;0,Pricing!$D$21,0))</f>
        <v>0</v>
      </c>
      <c r="N860" s="529">
        <f>IF(E860="STL",F860*Pricing!$D$40,IF(A860&lt;=Pricing!$C$4,0,IF(AND(A860&gt;Pricing!$C$4,Disbursements!A860&lt;=Pricing!$C$5),F860*Pricing!$E$5,IF(AND(A860&gt;Pricing!$C$5,Disbursements!A860&lt;=Pricing!$C$7),VLOOKUP(F860,Pricing!$D$7:$E$8,2)*Disbursements!F860,F860*Pricing!$E$9))))</f>
        <v>0</v>
      </c>
      <c r="O860" s="528">
        <f>IF(E860="STL",0,IF($F860&gt;0,$F860*Pricing!$D$17,0))</f>
        <v>0</v>
      </c>
      <c r="P860" s="530" t="str">
        <f t="shared" si="360"/>
        <v/>
      </c>
      <c r="Q860" s="531" t="str">
        <f>IF($A860="","",$G860/VLOOKUP($I860,Ref!$B$23:$D$29,2,0))</f>
        <v/>
      </c>
      <c r="R860" s="530" t="str">
        <f t="shared" si="361"/>
        <v/>
      </c>
      <c r="S860" s="532" t="str">
        <f t="shared" si="355"/>
        <v/>
      </c>
      <c r="T860" s="531" t="str">
        <f t="shared" si="362"/>
        <v/>
      </c>
      <c r="U860" s="533">
        <f t="shared" si="363"/>
        <v>0</v>
      </c>
      <c r="V860" s="531" t="str">
        <f t="shared" si="364"/>
        <v/>
      </c>
      <c r="W860" s="531" t="str">
        <f t="shared" si="365"/>
        <v/>
      </c>
      <c r="X860" s="534" t="str">
        <f t="shared" si="366"/>
        <v/>
      </c>
      <c r="Y860" s="535" t="str">
        <f>IF($A860="","",IF($I860="weekly",$A860+7,EDATE($A860,VLOOKUP($I860,Ref!$B$24:$C$29,2,0))))</f>
        <v/>
      </c>
      <c r="Z860" s="536" t="str">
        <f t="shared" si="367"/>
        <v/>
      </c>
      <c r="AA860" s="531">
        <f t="shared" si="368"/>
        <v>0</v>
      </c>
      <c r="AB860" s="535" t="str">
        <f t="shared" si="356"/>
        <v/>
      </c>
      <c r="AC860" s="537" t="str">
        <f t="shared" si="357"/>
        <v/>
      </c>
      <c r="AD860" s="538" t="str">
        <f t="shared" ca="1" si="358"/>
        <v/>
      </c>
      <c r="AE860" s="537">
        <f t="shared" ca="1" si="359"/>
        <v>0</v>
      </c>
      <c r="AF860" s="539" t="str">
        <f t="shared" ca="1" si="369"/>
        <v/>
      </c>
      <c r="AG860" s="531" t="str">
        <f t="shared" ca="1" si="370"/>
        <v/>
      </c>
      <c r="AH860" s="531" t="str">
        <f t="shared" ca="1" si="371"/>
        <v/>
      </c>
      <c r="AI860" s="531" t="str">
        <f t="shared" ca="1" si="372"/>
        <v/>
      </c>
      <c r="AJ860" s="531" t="str">
        <f t="shared" si="373"/>
        <v/>
      </c>
      <c r="AK860" s="540">
        <f>SUMIFS('Live Collections'!$S:$S,'Live Collections'!$D:$D,Disbursements!B860,'Live Collections'!$G:$G,Disbursements!C860)</f>
        <v>0</v>
      </c>
      <c r="AL860" s="540">
        <f>SUMIFS('Live Collections'!$T:$T,'Live Collections'!$D:$D,Disbursements!B860,'Live Collections'!$G:$G,Disbursements!C860)</f>
        <v>0</v>
      </c>
      <c r="AM860" s="541">
        <f t="shared" si="374"/>
        <v>0</v>
      </c>
      <c r="AN860" s="542" t="str">
        <f t="shared" si="375"/>
        <v/>
      </c>
      <c r="AO860" s="542" t="str">
        <f t="shared" si="376"/>
        <v/>
      </c>
      <c r="AP860" s="543" t="str">
        <f t="shared" si="377"/>
        <v/>
      </c>
      <c r="AQ860" s="544" t="str">
        <f t="shared" si="378"/>
        <v/>
      </c>
      <c r="AR860" s="545">
        <f t="shared" si="379"/>
        <v>0</v>
      </c>
      <c r="AS860" s="545">
        <f>IFERROR(CEILING($AR860*VLOOKUP($I860,Ref!$B$23:$E$29,4,0),1),0)</f>
        <v>0</v>
      </c>
      <c r="AT860" s="545" t="str">
        <f>IF(A860="","",IF(AP860&lt;=1,"Cleared",IF(AS860=0,"Clean",VLOOKUP($AS860,Ref!$G$23:$H$28,2))))</f>
        <v/>
      </c>
      <c r="AU860" s="546" t="str">
        <f t="shared" si="380"/>
        <v/>
      </c>
    </row>
    <row r="861" spans="1:47" ht="14.25" hidden="1" customHeight="1" x14ac:dyDescent="0.15">
      <c r="A861" s="523"/>
      <c r="B861" s="523"/>
      <c r="C861" s="523"/>
      <c r="D861" s="523"/>
      <c r="E861" s="579"/>
      <c r="F861" s="580"/>
      <c r="G861" s="524"/>
      <c r="H861" s="555"/>
      <c r="I861" s="560"/>
      <c r="J861" s="523"/>
      <c r="K861" s="528" t="str">
        <f>IFERROR(VLOOKUP($B861,'Clients-Live'!$A:$C,3,0),"")</f>
        <v/>
      </c>
      <c r="L861" s="528">
        <f>IF(E861="STL",Pricing!$D$38,IF(A861="",0,IF(A861&lt;Pricing!$C$25,Pricing!$D$25,VLOOKUP(Disbursements!$F861,Pricing!$B$29:$D$32,3))))</f>
        <v>0</v>
      </c>
      <c r="M861" s="528">
        <f>IF(E861="STL",0,IF(F861&gt;0,Pricing!$D$21,0))</f>
        <v>0</v>
      </c>
      <c r="N861" s="529">
        <f>IF(E861="STL",F861*Pricing!$D$40,IF(A861&lt;=Pricing!$C$4,0,IF(AND(A861&gt;Pricing!$C$4,Disbursements!A861&lt;=Pricing!$C$5),F861*Pricing!$E$5,IF(AND(A861&gt;Pricing!$C$5,Disbursements!A861&lt;=Pricing!$C$7),VLOOKUP(F861,Pricing!$D$7:$E$8,2)*Disbursements!F861,F861*Pricing!$E$9))))</f>
        <v>0</v>
      </c>
      <c r="O861" s="528">
        <f>IF(E861="STL",0,IF($F861&gt;0,$F861*Pricing!$D$17,0))</f>
        <v>0</v>
      </c>
      <c r="P861" s="530" t="str">
        <f t="shared" si="360"/>
        <v/>
      </c>
      <c r="Q861" s="531" t="str">
        <f>IF($A861="","",$G861/VLOOKUP($I861,Ref!$B$23:$D$29,2,0))</f>
        <v/>
      </c>
      <c r="R861" s="530" t="str">
        <f t="shared" si="361"/>
        <v/>
      </c>
      <c r="S861" s="532" t="str">
        <f t="shared" si="355"/>
        <v/>
      </c>
      <c r="T861" s="531" t="str">
        <f t="shared" si="362"/>
        <v/>
      </c>
      <c r="U861" s="533">
        <f t="shared" si="363"/>
        <v>0</v>
      </c>
      <c r="V861" s="531" t="str">
        <f t="shared" si="364"/>
        <v/>
      </c>
      <c r="W861" s="531" t="str">
        <f t="shared" si="365"/>
        <v/>
      </c>
      <c r="X861" s="534" t="str">
        <f t="shared" si="366"/>
        <v/>
      </c>
      <c r="Y861" s="535" t="str">
        <f>IF($A861="","",IF($I861="weekly",$A861+7,EDATE($A861,VLOOKUP($I861,Ref!$B$24:$C$29,2,0))))</f>
        <v/>
      </c>
      <c r="Z861" s="536" t="str">
        <f t="shared" si="367"/>
        <v/>
      </c>
      <c r="AA861" s="531">
        <f t="shared" si="368"/>
        <v>0</v>
      </c>
      <c r="AB861" s="535" t="str">
        <f t="shared" si="356"/>
        <v/>
      </c>
      <c r="AC861" s="537" t="str">
        <f t="shared" si="357"/>
        <v/>
      </c>
      <c r="AD861" s="538" t="str">
        <f t="shared" ca="1" si="358"/>
        <v/>
      </c>
      <c r="AE861" s="537">
        <f t="shared" ca="1" si="359"/>
        <v>0</v>
      </c>
      <c r="AF861" s="539" t="str">
        <f t="shared" ca="1" si="369"/>
        <v/>
      </c>
      <c r="AG861" s="531" t="str">
        <f t="shared" ca="1" si="370"/>
        <v/>
      </c>
      <c r="AH861" s="531" t="str">
        <f t="shared" ca="1" si="371"/>
        <v/>
      </c>
      <c r="AI861" s="531" t="str">
        <f t="shared" ca="1" si="372"/>
        <v/>
      </c>
      <c r="AJ861" s="531" t="str">
        <f t="shared" si="373"/>
        <v/>
      </c>
      <c r="AK861" s="540">
        <f>SUMIFS('Live Collections'!$S:$S,'Live Collections'!$D:$D,Disbursements!B861,'Live Collections'!$G:$G,Disbursements!C861)</f>
        <v>0</v>
      </c>
      <c r="AL861" s="540">
        <f>SUMIFS('Live Collections'!$T:$T,'Live Collections'!$D:$D,Disbursements!B861,'Live Collections'!$G:$G,Disbursements!C861)</f>
        <v>0</v>
      </c>
      <c r="AM861" s="541">
        <f t="shared" si="374"/>
        <v>0</v>
      </c>
      <c r="AN861" s="542" t="str">
        <f t="shared" si="375"/>
        <v/>
      </c>
      <c r="AO861" s="542" t="str">
        <f t="shared" si="376"/>
        <v/>
      </c>
      <c r="AP861" s="543" t="str">
        <f t="shared" si="377"/>
        <v/>
      </c>
      <c r="AQ861" s="544" t="str">
        <f t="shared" si="378"/>
        <v/>
      </c>
      <c r="AR861" s="545">
        <f t="shared" si="379"/>
        <v>0</v>
      </c>
      <c r="AS861" s="545">
        <f>IFERROR(CEILING($AR861*VLOOKUP($I861,Ref!$B$23:$E$29,4,0),1),0)</f>
        <v>0</v>
      </c>
      <c r="AT861" s="545" t="str">
        <f>IF(A861="","",IF(AP861&lt;=1,"Cleared",IF(AS861=0,"Clean",VLOOKUP($AS861,Ref!$G$23:$H$28,2))))</f>
        <v/>
      </c>
      <c r="AU861" s="546" t="str">
        <f t="shared" si="380"/>
        <v/>
      </c>
    </row>
    <row r="862" spans="1:47" ht="14.25" hidden="1" customHeight="1" x14ac:dyDescent="0.15">
      <c r="A862" s="523"/>
      <c r="B862" s="523"/>
      <c r="C862" s="523"/>
      <c r="D862" s="523"/>
      <c r="E862" s="579"/>
      <c r="F862" s="580"/>
      <c r="G862" s="524"/>
      <c r="H862" s="555"/>
      <c r="I862" s="560"/>
      <c r="J862" s="523"/>
      <c r="K862" s="528" t="str">
        <f>IFERROR(VLOOKUP($B862,'Clients-Live'!$A:$C,3,0),"")</f>
        <v/>
      </c>
      <c r="L862" s="528">
        <f>IF(E862="STL",Pricing!$D$38,IF(A862="",0,IF(A862&lt;Pricing!$C$25,Pricing!$D$25,VLOOKUP(Disbursements!$F862,Pricing!$B$29:$D$32,3))))</f>
        <v>0</v>
      </c>
      <c r="M862" s="528">
        <f>IF(E862="STL",0,IF(F862&gt;0,Pricing!$D$21,0))</f>
        <v>0</v>
      </c>
      <c r="N862" s="529">
        <f>IF(E862="STL",F862*Pricing!$D$40,IF(A862&lt;=Pricing!$C$4,0,IF(AND(A862&gt;Pricing!$C$4,Disbursements!A862&lt;=Pricing!$C$5),F862*Pricing!$E$5,IF(AND(A862&gt;Pricing!$C$5,Disbursements!A862&lt;=Pricing!$C$7),VLOOKUP(F862,Pricing!$D$7:$E$8,2)*Disbursements!F862,F862*Pricing!$E$9))))</f>
        <v>0</v>
      </c>
      <c r="O862" s="528">
        <f>IF(E862="STL",0,IF($F862&gt;0,$F862*Pricing!$D$17,0))</f>
        <v>0</v>
      </c>
      <c r="P862" s="530" t="str">
        <f t="shared" si="360"/>
        <v/>
      </c>
      <c r="Q862" s="531" t="str">
        <f>IF($A862="","",$G862/VLOOKUP($I862,Ref!$B$23:$D$29,2,0))</f>
        <v/>
      </c>
      <c r="R862" s="530" t="str">
        <f t="shared" si="361"/>
        <v/>
      </c>
      <c r="S862" s="532" t="str">
        <f t="shared" si="355"/>
        <v/>
      </c>
      <c r="T862" s="531" t="str">
        <f t="shared" si="362"/>
        <v/>
      </c>
      <c r="U862" s="533">
        <f t="shared" si="363"/>
        <v>0</v>
      </c>
      <c r="V862" s="531" t="str">
        <f t="shared" si="364"/>
        <v/>
      </c>
      <c r="W862" s="531" t="str">
        <f t="shared" si="365"/>
        <v/>
      </c>
      <c r="X862" s="534" t="str">
        <f t="shared" si="366"/>
        <v/>
      </c>
      <c r="Y862" s="535" t="str">
        <f>IF($A862="","",IF($I862="weekly",$A862+7,EDATE($A862,VLOOKUP($I862,Ref!$B$24:$C$29,2,0))))</f>
        <v/>
      </c>
      <c r="Z862" s="536" t="str">
        <f t="shared" si="367"/>
        <v/>
      </c>
      <c r="AA862" s="531">
        <f t="shared" si="368"/>
        <v>0</v>
      </c>
      <c r="AB862" s="535" t="str">
        <f t="shared" si="356"/>
        <v/>
      </c>
      <c r="AC862" s="537" t="str">
        <f t="shared" si="357"/>
        <v/>
      </c>
      <c r="AD862" s="538" t="str">
        <f t="shared" ca="1" si="358"/>
        <v/>
      </c>
      <c r="AE862" s="537">
        <f t="shared" ca="1" si="359"/>
        <v>0</v>
      </c>
      <c r="AF862" s="539" t="str">
        <f t="shared" ca="1" si="369"/>
        <v/>
      </c>
      <c r="AG862" s="531" t="str">
        <f t="shared" ca="1" si="370"/>
        <v/>
      </c>
      <c r="AH862" s="531" t="str">
        <f t="shared" ca="1" si="371"/>
        <v/>
      </c>
      <c r="AI862" s="531" t="str">
        <f t="shared" ca="1" si="372"/>
        <v/>
      </c>
      <c r="AJ862" s="531" t="str">
        <f t="shared" si="373"/>
        <v/>
      </c>
      <c r="AK862" s="540">
        <f>SUMIFS('Live Collections'!$S:$S,'Live Collections'!$D:$D,Disbursements!B862,'Live Collections'!$G:$G,Disbursements!C862)</f>
        <v>0</v>
      </c>
      <c r="AL862" s="540">
        <f>SUMIFS('Live Collections'!$T:$T,'Live Collections'!$D:$D,Disbursements!B862,'Live Collections'!$G:$G,Disbursements!C862)</f>
        <v>0</v>
      </c>
      <c r="AM862" s="541">
        <f t="shared" si="374"/>
        <v>0</v>
      </c>
      <c r="AN862" s="542" t="str">
        <f t="shared" si="375"/>
        <v/>
      </c>
      <c r="AO862" s="542" t="str">
        <f t="shared" si="376"/>
        <v/>
      </c>
      <c r="AP862" s="543" t="str">
        <f t="shared" si="377"/>
        <v/>
      </c>
      <c r="AQ862" s="544" t="str">
        <f t="shared" si="378"/>
        <v/>
      </c>
      <c r="AR862" s="545">
        <f t="shared" si="379"/>
        <v>0</v>
      </c>
      <c r="AS862" s="545">
        <f>IFERROR(CEILING($AR862*VLOOKUP($I862,Ref!$B$23:$E$29,4,0),1),0)</f>
        <v>0</v>
      </c>
      <c r="AT862" s="545" t="str">
        <f>IF(A862="","",IF(AP862&lt;=1,"Cleared",IF(AS862=0,"Clean",VLOOKUP($AS862,Ref!$G$23:$H$28,2))))</f>
        <v/>
      </c>
      <c r="AU862" s="546" t="str">
        <f t="shared" si="380"/>
        <v/>
      </c>
    </row>
    <row r="863" spans="1:47" ht="14.25" hidden="1" customHeight="1" x14ac:dyDescent="0.15">
      <c r="A863" s="523"/>
      <c r="B863" s="523"/>
      <c r="C863" s="523"/>
      <c r="D863" s="523"/>
      <c r="E863" s="579"/>
      <c r="F863" s="580"/>
      <c r="G863" s="524"/>
      <c r="H863" s="555"/>
      <c r="I863" s="560"/>
      <c r="J863" s="523"/>
      <c r="K863" s="528" t="str">
        <f>IFERROR(VLOOKUP($B863,'Clients-Live'!$A:$C,3,0),"")</f>
        <v/>
      </c>
      <c r="L863" s="528">
        <f>IF(E863="STL",Pricing!$D$38,IF(A863="",0,IF(A863&lt;Pricing!$C$25,Pricing!$D$25,VLOOKUP(Disbursements!$F863,Pricing!$B$29:$D$32,3))))</f>
        <v>0</v>
      </c>
      <c r="M863" s="528">
        <f>IF(E863="STL",0,IF(F863&gt;0,Pricing!$D$21,0))</f>
        <v>0</v>
      </c>
      <c r="N863" s="529">
        <f>IF(E863="STL",F863*Pricing!$D$40,IF(A863&lt;=Pricing!$C$4,0,IF(AND(A863&gt;Pricing!$C$4,Disbursements!A863&lt;=Pricing!$C$5),F863*Pricing!$E$5,IF(AND(A863&gt;Pricing!$C$5,Disbursements!A863&lt;=Pricing!$C$7),VLOOKUP(F863,Pricing!$D$7:$E$8,2)*Disbursements!F863,F863*Pricing!$E$9))))</f>
        <v>0</v>
      </c>
      <c r="O863" s="528">
        <f>IF(E863="STL",0,IF($F863&gt;0,$F863*Pricing!$D$17,0))</f>
        <v>0</v>
      </c>
      <c r="P863" s="530" t="str">
        <f t="shared" si="360"/>
        <v/>
      </c>
      <c r="Q863" s="531" t="str">
        <f>IF($A863="","",$G863/VLOOKUP($I863,Ref!$B$23:$D$29,2,0))</f>
        <v/>
      </c>
      <c r="R863" s="530" t="str">
        <f t="shared" si="361"/>
        <v/>
      </c>
      <c r="S863" s="532" t="str">
        <f t="shared" si="355"/>
        <v/>
      </c>
      <c r="T863" s="531" t="str">
        <f t="shared" si="362"/>
        <v/>
      </c>
      <c r="U863" s="533">
        <f t="shared" si="363"/>
        <v>0</v>
      </c>
      <c r="V863" s="531" t="str">
        <f t="shared" si="364"/>
        <v/>
      </c>
      <c r="W863" s="531" t="str">
        <f t="shared" si="365"/>
        <v/>
      </c>
      <c r="X863" s="534" t="str">
        <f t="shared" si="366"/>
        <v/>
      </c>
      <c r="Y863" s="535" t="str">
        <f>IF($A863="","",IF($I863="weekly",$A863+7,EDATE($A863,VLOOKUP($I863,Ref!$B$24:$C$29,2,0))))</f>
        <v/>
      </c>
      <c r="Z863" s="536" t="str">
        <f t="shared" si="367"/>
        <v/>
      </c>
      <c r="AA863" s="531">
        <f t="shared" si="368"/>
        <v>0</v>
      </c>
      <c r="AB863" s="535" t="str">
        <f t="shared" si="356"/>
        <v/>
      </c>
      <c r="AC863" s="537" t="str">
        <f t="shared" si="357"/>
        <v/>
      </c>
      <c r="AD863" s="538" t="str">
        <f t="shared" ca="1" si="358"/>
        <v/>
      </c>
      <c r="AE863" s="537">
        <f t="shared" ca="1" si="359"/>
        <v>0</v>
      </c>
      <c r="AF863" s="539" t="str">
        <f t="shared" ca="1" si="369"/>
        <v/>
      </c>
      <c r="AG863" s="531" t="str">
        <f t="shared" ca="1" si="370"/>
        <v/>
      </c>
      <c r="AH863" s="531" t="str">
        <f t="shared" ca="1" si="371"/>
        <v/>
      </c>
      <c r="AI863" s="531" t="str">
        <f t="shared" ca="1" si="372"/>
        <v/>
      </c>
      <c r="AJ863" s="531" t="str">
        <f t="shared" si="373"/>
        <v/>
      </c>
      <c r="AK863" s="540">
        <f>SUMIFS('Live Collections'!$S:$S,'Live Collections'!$D:$D,Disbursements!B863,'Live Collections'!$G:$G,Disbursements!C863)</f>
        <v>0</v>
      </c>
      <c r="AL863" s="540">
        <f>SUMIFS('Live Collections'!$T:$T,'Live Collections'!$D:$D,Disbursements!B863,'Live Collections'!$G:$G,Disbursements!C863)</f>
        <v>0</v>
      </c>
      <c r="AM863" s="541">
        <f t="shared" si="374"/>
        <v>0</v>
      </c>
      <c r="AN863" s="542" t="str">
        <f t="shared" si="375"/>
        <v/>
      </c>
      <c r="AO863" s="542" t="str">
        <f t="shared" si="376"/>
        <v/>
      </c>
      <c r="AP863" s="543" t="str">
        <f t="shared" si="377"/>
        <v/>
      </c>
      <c r="AQ863" s="544" t="str">
        <f t="shared" si="378"/>
        <v/>
      </c>
      <c r="AR863" s="545">
        <f t="shared" si="379"/>
        <v>0</v>
      </c>
      <c r="AS863" s="545">
        <f>IFERROR(CEILING($AR863*VLOOKUP($I863,Ref!$B$23:$E$29,4,0),1),0)</f>
        <v>0</v>
      </c>
      <c r="AT863" s="545" t="str">
        <f>IF(A863="","",IF(AP863&lt;=1,"Cleared",IF(AS863=0,"Clean",VLOOKUP($AS863,Ref!$G$23:$H$28,2))))</f>
        <v/>
      </c>
      <c r="AU863" s="546" t="str">
        <f t="shared" si="380"/>
        <v/>
      </c>
    </row>
    <row r="864" spans="1:47" ht="14.25" hidden="1" customHeight="1" x14ac:dyDescent="0.15">
      <c r="A864" s="523"/>
      <c r="B864" s="523"/>
      <c r="C864" s="523"/>
      <c r="D864" s="523"/>
      <c r="E864" s="579"/>
      <c r="F864" s="580"/>
      <c r="G864" s="524"/>
      <c r="H864" s="555"/>
      <c r="I864" s="560"/>
      <c r="J864" s="523"/>
      <c r="K864" s="528" t="str">
        <f>IFERROR(VLOOKUP($B864,'Clients-Live'!$A:$C,3,0),"")</f>
        <v/>
      </c>
      <c r="L864" s="528">
        <f>IF(E864="STL",Pricing!$D$38,IF(A864="",0,IF(A864&lt;Pricing!$C$25,Pricing!$D$25,VLOOKUP(Disbursements!$F864,Pricing!$B$29:$D$32,3))))</f>
        <v>0</v>
      </c>
      <c r="M864" s="528">
        <f>IF(E864="STL",0,IF(F864&gt;0,Pricing!$D$21,0))</f>
        <v>0</v>
      </c>
      <c r="N864" s="529">
        <f>IF(E864="STL",F864*Pricing!$D$40,IF(A864&lt;=Pricing!$C$4,0,IF(AND(A864&gt;Pricing!$C$4,Disbursements!A864&lt;=Pricing!$C$5),F864*Pricing!$E$5,IF(AND(A864&gt;Pricing!$C$5,Disbursements!A864&lt;=Pricing!$C$7),VLOOKUP(F864,Pricing!$D$7:$E$8,2)*Disbursements!F864,F864*Pricing!$E$9))))</f>
        <v>0</v>
      </c>
      <c r="O864" s="528">
        <f>IF(E864="STL",0,IF($F864&gt;0,$F864*Pricing!$D$17,0))</f>
        <v>0</v>
      </c>
      <c r="P864" s="530" t="str">
        <f t="shared" si="360"/>
        <v/>
      </c>
      <c r="Q864" s="531" t="str">
        <f>IF($A864="","",$G864/VLOOKUP($I864,Ref!$B$23:$D$29,2,0))</f>
        <v/>
      </c>
      <c r="R864" s="530" t="str">
        <f t="shared" si="361"/>
        <v/>
      </c>
      <c r="S864" s="532" t="str">
        <f t="shared" si="355"/>
        <v/>
      </c>
      <c r="T864" s="531" t="str">
        <f t="shared" si="362"/>
        <v/>
      </c>
      <c r="U864" s="533">
        <f t="shared" si="363"/>
        <v>0</v>
      </c>
      <c r="V864" s="531" t="str">
        <f t="shared" si="364"/>
        <v/>
      </c>
      <c r="W864" s="531" t="str">
        <f t="shared" si="365"/>
        <v/>
      </c>
      <c r="X864" s="534" t="str">
        <f t="shared" si="366"/>
        <v/>
      </c>
      <c r="Y864" s="535" t="str">
        <f>IF($A864="","",IF($I864="weekly",$A864+7,EDATE($A864,VLOOKUP($I864,Ref!$B$24:$C$29,2,0))))</f>
        <v/>
      </c>
      <c r="Z864" s="536" t="str">
        <f t="shared" si="367"/>
        <v/>
      </c>
      <c r="AA864" s="531">
        <f t="shared" si="368"/>
        <v>0</v>
      </c>
      <c r="AB864" s="535" t="str">
        <f t="shared" si="356"/>
        <v/>
      </c>
      <c r="AC864" s="537" t="str">
        <f t="shared" si="357"/>
        <v/>
      </c>
      <c r="AD864" s="538" t="str">
        <f t="shared" ca="1" si="358"/>
        <v/>
      </c>
      <c r="AE864" s="537">
        <f t="shared" ca="1" si="359"/>
        <v>0</v>
      </c>
      <c r="AF864" s="539" t="str">
        <f t="shared" ca="1" si="369"/>
        <v/>
      </c>
      <c r="AG864" s="531" t="str">
        <f t="shared" ca="1" si="370"/>
        <v/>
      </c>
      <c r="AH864" s="531" t="str">
        <f t="shared" ca="1" si="371"/>
        <v/>
      </c>
      <c r="AI864" s="531" t="str">
        <f t="shared" ca="1" si="372"/>
        <v/>
      </c>
      <c r="AJ864" s="531" t="str">
        <f t="shared" si="373"/>
        <v/>
      </c>
      <c r="AK864" s="540">
        <f>SUMIFS('Live Collections'!$S:$S,'Live Collections'!$D:$D,Disbursements!B864,'Live Collections'!$G:$G,Disbursements!C864)</f>
        <v>0</v>
      </c>
      <c r="AL864" s="540">
        <f>SUMIFS('Live Collections'!$T:$T,'Live Collections'!$D:$D,Disbursements!B864,'Live Collections'!$G:$G,Disbursements!C864)</f>
        <v>0</v>
      </c>
      <c r="AM864" s="541">
        <f t="shared" si="374"/>
        <v>0</v>
      </c>
      <c r="AN864" s="542" t="str">
        <f t="shared" si="375"/>
        <v/>
      </c>
      <c r="AO864" s="542" t="str">
        <f t="shared" si="376"/>
        <v/>
      </c>
      <c r="AP864" s="543" t="str">
        <f t="shared" si="377"/>
        <v/>
      </c>
      <c r="AQ864" s="544" t="str">
        <f t="shared" si="378"/>
        <v/>
      </c>
      <c r="AR864" s="545">
        <f t="shared" si="379"/>
        <v>0</v>
      </c>
      <c r="AS864" s="545">
        <f>IFERROR(CEILING($AR864*VLOOKUP($I864,Ref!$B$23:$E$29,4,0),1),0)</f>
        <v>0</v>
      </c>
      <c r="AT864" s="545" t="str">
        <f>IF(A864="","",IF(AP864&lt;=1,"Cleared",IF(AS864=0,"Clean",VLOOKUP($AS864,Ref!$G$23:$H$28,2))))</f>
        <v/>
      </c>
      <c r="AU864" s="546" t="str">
        <f t="shared" si="380"/>
        <v/>
      </c>
    </row>
    <row r="865" spans="1:47" ht="14.25" hidden="1" customHeight="1" x14ac:dyDescent="0.15">
      <c r="A865" s="523"/>
      <c r="B865" s="523"/>
      <c r="C865" s="523"/>
      <c r="D865" s="523"/>
      <c r="E865" s="579"/>
      <c r="F865" s="580"/>
      <c r="G865" s="524"/>
      <c r="H865" s="555"/>
      <c r="I865" s="560"/>
      <c r="J865" s="523"/>
      <c r="K865" s="528" t="str">
        <f>IFERROR(VLOOKUP($B865,'Clients-Live'!$A:$C,3,0),"")</f>
        <v/>
      </c>
      <c r="L865" s="528">
        <f>IF(E865="STL",Pricing!$D$38,IF(A865="",0,IF(A865&lt;Pricing!$C$25,Pricing!$D$25,VLOOKUP(Disbursements!$F865,Pricing!$B$29:$D$32,3))))</f>
        <v>0</v>
      </c>
      <c r="M865" s="528">
        <f>IF(E865="STL",0,IF(F865&gt;0,Pricing!$D$21,0))</f>
        <v>0</v>
      </c>
      <c r="N865" s="529">
        <f>IF(E865="STL",F865*Pricing!$D$40,IF(A865&lt;=Pricing!$C$4,0,IF(AND(A865&gt;Pricing!$C$4,Disbursements!A865&lt;=Pricing!$C$5),F865*Pricing!$E$5,IF(AND(A865&gt;Pricing!$C$5,Disbursements!A865&lt;=Pricing!$C$7),VLOOKUP(F865,Pricing!$D$7:$E$8,2)*Disbursements!F865,F865*Pricing!$E$9))))</f>
        <v>0</v>
      </c>
      <c r="O865" s="528">
        <f>IF(E865="STL",0,IF($F865&gt;0,$F865*Pricing!$D$17,0))</f>
        <v>0</v>
      </c>
      <c r="P865" s="530" t="str">
        <f t="shared" si="360"/>
        <v/>
      </c>
      <c r="Q865" s="531" t="str">
        <f>IF($A865="","",$G865/VLOOKUP($I865,Ref!$B$23:$D$29,2,0))</f>
        <v/>
      </c>
      <c r="R865" s="530" t="str">
        <f t="shared" si="361"/>
        <v/>
      </c>
      <c r="S865" s="532" t="str">
        <f t="shared" si="355"/>
        <v/>
      </c>
      <c r="T865" s="531" t="str">
        <f t="shared" si="362"/>
        <v/>
      </c>
      <c r="U865" s="533">
        <f t="shared" si="363"/>
        <v>0</v>
      </c>
      <c r="V865" s="531" t="str">
        <f t="shared" si="364"/>
        <v/>
      </c>
      <c r="W865" s="531" t="str">
        <f t="shared" si="365"/>
        <v/>
      </c>
      <c r="X865" s="534" t="str">
        <f t="shared" si="366"/>
        <v/>
      </c>
      <c r="Y865" s="535" t="str">
        <f>IF($A865="","",IF($I865="weekly",$A865+7,EDATE($A865,VLOOKUP($I865,Ref!$B$24:$C$29,2,0))))</f>
        <v/>
      </c>
      <c r="Z865" s="536" t="str">
        <f t="shared" si="367"/>
        <v/>
      </c>
      <c r="AA865" s="531">
        <f t="shared" si="368"/>
        <v>0</v>
      </c>
      <c r="AB865" s="535" t="str">
        <f t="shared" si="356"/>
        <v/>
      </c>
      <c r="AC865" s="537" t="str">
        <f t="shared" si="357"/>
        <v/>
      </c>
      <c r="AD865" s="538" t="str">
        <f t="shared" ca="1" si="358"/>
        <v/>
      </c>
      <c r="AE865" s="537">
        <f t="shared" ca="1" si="359"/>
        <v>0</v>
      </c>
      <c r="AF865" s="539" t="str">
        <f t="shared" ca="1" si="369"/>
        <v/>
      </c>
      <c r="AG865" s="531" t="str">
        <f t="shared" ca="1" si="370"/>
        <v/>
      </c>
      <c r="AH865" s="531" t="str">
        <f t="shared" ca="1" si="371"/>
        <v/>
      </c>
      <c r="AI865" s="531" t="str">
        <f t="shared" ca="1" si="372"/>
        <v/>
      </c>
      <c r="AJ865" s="531" t="str">
        <f t="shared" si="373"/>
        <v/>
      </c>
      <c r="AK865" s="540">
        <f>SUMIFS('Live Collections'!$S:$S,'Live Collections'!$D:$D,Disbursements!B865,'Live Collections'!$G:$G,Disbursements!C865)</f>
        <v>0</v>
      </c>
      <c r="AL865" s="540">
        <f>SUMIFS('Live Collections'!$T:$T,'Live Collections'!$D:$D,Disbursements!B865,'Live Collections'!$G:$G,Disbursements!C865)</f>
        <v>0</v>
      </c>
      <c r="AM865" s="541">
        <f t="shared" si="374"/>
        <v>0</v>
      </c>
      <c r="AN865" s="542" t="str">
        <f t="shared" si="375"/>
        <v/>
      </c>
      <c r="AO865" s="542" t="str">
        <f t="shared" si="376"/>
        <v/>
      </c>
      <c r="AP865" s="543" t="str">
        <f t="shared" si="377"/>
        <v/>
      </c>
      <c r="AQ865" s="544" t="str">
        <f t="shared" si="378"/>
        <v/>
      </c>
      <c r="AR865" s="545">
        <f t="shared" si="379"/>
        <v>0</v>
      </c>
      <c r="AS865" s="545">
        <f>IFERROR(CEILING($AR865*VLOOKUP($I865,Ref!$B$23:$E$29,4,0),1),0)</f>
        <v>0</v>
      </c>
      <c r="AT865" s="545" t="str">
        <f>IF(A865="","",IF(AP865&lt;=1,"Cleared",IF(AS865=0,"Clean",VLOOKUP($AS865,Ref!$G$23:$H$28,2))))</f>
        <v/>
      </c>
      <c r="AU865" s="546" t="str">
        <f t="shared" si="380"/>
        <v/>
      </c>
    </row>
    <row r="866" spans="1:47" ht="14.25" hidden="1" customHeight="1" x14ac:dyDescent="0.15">
      <c r="A866" s="523"/>
      <c r="B866" s="523"/>
      <c r="C866" s="523"/>
      <c r="D866" s="523"/>
      <c r="E866" s="579"/>
      <c r="F866" s="580"/>
      <c r="G866" s="524"/>
      <c r="H866" s="555"/>
      <c r="I866" s="560"/>
      <c r="J866" s="523"/>
      <c r="K866" s="528" t="str">
        <f>IFERROR(VLOOKUP($B866,'Clients-Live'!$A:$C,3,0),"")</f>
        <v/>
      </c>
      <c r="L866" s="528">
        <f>IF(E866="STL",Pricing!$D$38,IF(A866="",0,IF(A866&lt;Pricing!$C$25,Pricing!$D$25,VLOOKUP(Disbursements!$F866,Pricing!$B$29:$D$32,3))))</f>
        <v>0</v>
      </c>
      <c r="M866" s="528">
        <f>IF(E866="STL",0,IF(F866&gt;0,Pricing!$D$21,0))</f>
        <v>0</v>
      </c>
      <c r="N866" s="529">
        <f>IF(E866="STL",F866*Pricing!$D$40,IF(A866&lt;=Pricing!$C$4,0,IF(AND(A866&gt;Pricing!$C$4,Disbursements!A866&lt;=Pricing!$C$5),F866*Pricing!$E$5,IF(AND(A866&gt;Pricing!$C$5,Disbursements!A866&lt;=Pricing!$C$7),VLOOKUP(F866,Pricing!$D$7:$E$8,2)*Disbursements!F866,F866*Pricing!$E$9))))</f>
        <v>0</v>
      </c>
      <c r="O866" s="528">
        <f>IF(E866="STL",0,IF($F866&gt;0,$F866*Pricing!$D$17,0))</f>
        <v>0</v>
      </c>
      <c r="P866" s="530" t="str">
        <f t="shared" si="360"/>
        <v/>
      </c>
      <c r="Q866" s="531" t="str">
        <f>IF($A866="","",$G866/VLOOKUP($I866,Ref!$B$23:$D$29,2,0))</f>
        <v/>
      </c>
      <c r="R866" s="530" t="str">
        <f t="shared" si="361"/>
        <v/>
      </c>
      <c r="S866" s="532" t="str">
        <f t="shared" si="355"/>
        <v/>
      </c>
      <c r="T866" s="531" t="str">
        <f t="shared" si="362"/>
        <v/>
      </c>
      <c r="U866" s="533">
        <f t="shared" si="363"/>
        <v>0</v>
      </c>
      <c r="V866" s="531" t="str">
        <f t="shared" si="364"/>
        <v/>
      </c>
      <c r="W866" s="531" t="str">
        <f t="shared" si="365"/>
        <v/>
      </c>
      <c r="X866" s="534" t="str">
        <f t="shared" si="366"/>
        <v/>
      </c>
      <c r="Y866" s="535" t="str">
        <f>IF($A866="","",IF($I866="weekly",$A866+7,EDATE($A866,VLOOKUP($I866,Ref!$B$24:$C$29,2,0))))</f>
        <v/>
      </c>
      <c r="Z866" s="536" t="str">
        <f t="shared" si="367"/>
        <v/>
      </c>
      <c r="AA866" s="531">
        <f t="shared" si="368"/>
        <v>0</v>
      </c>
      <c r="AB866" s="535" t="str">
        <f t="shared" si="356"/>
        <v/>
      </c>
      <c r="AC866" s="537" t="str">
        <f t="shared" si="357"/>
        <v/>
      </c>
      <c r="AD866" s="538" t="str">
        <f t="shared" ca="1" si="358"/>
        <v/>
      </c>
      <c r="AE866" s="537">
        <f t="shared" ca="1" si="359"/>
        <v>0</v>
      </c>
      <c r="AF866" s="539" t="str">
        <f t="shared" ca="1" si="369"/>
        <v/>
      </c>
      <c r="AG866" s="531" t="str">
        <f t="shared" ca="1" si="370"/>
        <v/>
      </c>
      <c r="AH866" s="531" t="str">
        <f t="shared" ca="1" si="371"/>
        <v/>
      </c>
      <c r="AI866" s="531" t="str">
        <f t="shared" ca="1" si="372"/>
        <v/>
      </c>
      <c r="AJ866" s="531" t="str">
        <f t="shared" si="373"/>
        <v/>
      </c>
      <c r="AK866" s="540">
        <f>SUMIFS('Live Collections'!$S:$S,'Live Collections'!$D:$D,Disbursements!B866,'Live Collections'!$G:$G,Disbursements!C866)</f>
        <v>0</v>
      </c>
      <c r="AL866" s="540">
        <f>SUMIFS('Live Collections'!$T:$T,'Live Collections'!$D:$D,Disbursements!B866,'Live Collections'!$G:$G,Disbursements!C866)</f>
        <v>0</v>
      </c>
      <c r="AM866" s="541">
        <f t="shared" si="374"/>
        <v>0</v>
      </c>
      <c r="AN866" s="542" t="str">
        <f t="shared" si="375"/>
        <v/>
      </c>
      <c r="AO866" s="542" t="str">
        <f t="shared" si="376"/>
        <v/>
      </c>
      <c r="AP866" s="543" t="str">
        <f t="shared" si="377"/>
        <v/>
      </c>
      <c r="AQ866" s="544" t="str">
        <f t="shared" si="378"/>
        <v/>
      </c>
      <c r="AR866" s="545">
        <f t="shared" si="379"/>
        <v>0</v>
      </c>
      <c r="AS866" s="545">
        <f>IFERROR(CEILING($AR866*VLOOKUP($I866,Ref!$B$23:$E$29,4,0),1),0)</f>
        <v>0</v>
      </c>
      <c r="AT866" s="545" t="str">
        <f>IF(A866="","",IF(AP866&lt;=1,"Cleared",IF(AS866=0,"Clean",VLOOKUP($AS866,Ref!$G$23:$H$28,2))))</f>
        <v/>
      </c>
      <c r="AU866" s="546" t="str">
        <f t="shared" si="380"/>
        <v/>
      </c>
    </row>
    <row r="867" spans="1:47" ht="14.25" hidden="1" customHeight="1" x14ac:dyDescent="0.15">
      <c r="A867" s="523"/>
      <c r="B867" s="523"/>
      <c r="C867" s="523"/>
      <c r="D867" s="523"/>
      <c r="E867" s="579"/>
      <c r="F867" s="580"/>
      <c r="G867" s="524"/>
      <c r="H867" s="555"/>
      <c r="I867" s="560"/>
      <c r="J867" s="523"/>
      <c r="K867" s="528" t="str">
        <f>IFERROR(VLOOKUP($B867,'Clients-Live'!$A:$C,3,0),"")</f>
        <v/>
      </c>
      <c r="L867" s="528">
        <f>IF(E867="STL",Pricing!$D$38,IF(A867="",0,IF(A867&lt;Pricing!$C$25,Pricing!$D$25,VLOOKUP(Disbursements!$F867,Pricing!$B$29:$D$32,3))))</f>
        <v>0</v>
      </c>
      <c r="M867" s="528">
        <f>IF(E867="STL",0,IF(F867&gt;0,Pricing!$D$21,0))</f>
        <v>0</v>
      </c>
      <c r="N867" s="529">
        <f>IF(E867="STL",F867*Pricing!$D$40,IF(A867&lt;=Pricing!$C$4,0,IF(AND(A867&gt;Pricing!$C$4,Disbursements!A867&lt;=Pricing!$C$5),F867*Pricing!$E$5,IF(AND(A867&gt;Pricing!$C$5,Disbursements!A867&lt;=Pricing!$C$7),VLOOKUP(F867,Pricing!$D$7:$E$8,2)*Disbursements!F867,F867*Pricing!$E$9))))</f>
        <v>0</v>
      </c>
      <c r="O867" s="528">
        <f>IF(E867="STL",0,IF($F867&gt;0,$F867*Pricing!$D$17,0))</f>
        <v>0</v>
      </c>
      <c r="P867" s="530" t="str">
        <f t="shared" si="360"/>
        <v/>
      </c>
      <c r="Q867" s="531" t="str">
        <f>IF($A867="","",$G867/VLOOKUP($I867,Ref!$B$23:$D$29,2,0))</f>
        <v/>
      </c>
      <c r="R867" s="530" t="str">
        <f t="shared" si="361"/>
        <v/>
      </c>
      <c r="S867" s="532" t="str">
        <f t="shared" si="355"/>
        <v/>
      </c>
      <c r="T867" s="531" t="str">
        <f t="shared" si="362"/>
        <v/>
      </c>
      <c r="U867" s="533">
        <f t="shared" si="363"/>
        <v>0</v>
      </c>
      <c r="V867" s="531" t="str">
        <f t="shared" si="364"/>
        <v/>
      </c>
      <c r="W867" s="531" t="str">
        <f t="shared" si="365"/>
        <v/>
      </c>
      <c r="X867" s="534" t="str">
        <f t="shared" si="366"/>
        <v/>
      </c>
      <c r="Y867" s="535" t="str">
        <f>IF($A867="","",IF($I867="weekly",$A867+7,EDATE($A867,VLOOKUP($I867,Ref!$B$24:$C$29,2,0))))</f>
        <v/>
      </c>
      <c r="Z867" s="536" t="str">
        <f t="shared" si="367"/>
        <v/>
      </c>
      <c r="AA867" s="531">
        <f t="shared" si="368"/>
        <v>0</v>
      </c>
      <c r="AB867" s="535" t="str">
        <f t="shared" si="356"/>
        <v/>
      </c>
      <c r="AC867" s="537" t="str">
        <f t="shared" si="357"/>
        <v/>
      </c>
      <c r="AD867" s="538" t="str">
        <f t="shared" ca="1" si="358"/>
        <v/>
      </c>
      <c r="AE867" s="537">
        <f t="shared" ca="1" si="359"/>
        <v>0</v>
      </c>
      <c r="AF867" s="539" t="str">
        <f t="shared" ca="1" si="369"/>
        <v/>
      </c>
      <c r="AG867" s="531" t="str">
        <f t="shared" ca="1" si="370"/>
        <v/>
      </c>
      <c r="AH867" s="531" t="str">
        <f t="shared" ca="1" si="371"/>
        <v/>
      </c>
      <c r="AI867" s="531" t="str">
        <f t="shared" ca="1" si="372"/>
        <v/>
      </c>
      <c r="AJ867" s="531" t="str">
        <f t="shared" si="373"/>
        <v/>
      </c>
      <c r="AK867" s="540">
        <f>SUMIFS('Live Collections'!$S:$S,'Live Collections'!$D:$D,Disbursements!B867,'Live Collections'!$G:$G,Disbursements!C867)</f>
        <v>0</v>
      </c>
      <c r="AL867" s="540">
        <f>SUMIFS('Live Collections'!$T:$T,'Live Collections'!$D:$D,Disbursements!B867,'Live Collections'!$G:$G,Disbursements!C867)</f>
        <v>0</v>
      </c>
      <c r="AM867" s="541">
        <f t="shared" si="374"/>
        <v>0</v>
      </c>
      <c r="AN867" s="542" t="str">
        <f t="shared" si="375"/>
        <v/>
      </c>
      <c r="AO867" s="542" t="str">
        <f t="shared" si="376"/>
        <v/>
      </c>
      <c r="AP867" s="543" t="str">
        <f t="shared" si="377"/>
        <v/>
      </c>
      <c r="AQ867" s="544" t="str">
        <f t="shared" si="378"/>
        <v/>
      </c>
      <c r="AR867" s="545">
        <f t="shared" si="379"/>
        <v>0</v>
      </c>
      <c r="AS867" s="545">
        <f>IFERROR(CEILING($AR867*VLOOKUP($I867,Ref!$B$23:$E$29,4,0),1),0)</f>
        <v>0</v>
      </c>
      <c r="AT867" s="545" t="str">
        <f>IF(A867="","",IF(AP867&lt;=1,"Cleared",IF(AS867=0,"Clean",VLOOKUP($AS867,Ref!$G$23:$H$28,2))))</f>
        <v/>
      </c>
      <c r="AU867" s="546" t="str">
        <f t="shared" si="380"/>
        <v/>
      </c>
    </row>
    <row r="868" spans="1:47" ht="14.25" hidden="1" customHeight="1" x14ac:dyDescent="0.15">
      <c r="A868" s="523"/>
      <c r="B868" s="523"/>
      <c r="C868" s="523"/>
      <c r="D868" s="523"/>
      <c r="E868" s="579"/>
      <c r="F868" s="580"/>
      <c r="G868" s="524"/>
      <c r="H868" s="555"/>
      <c r="I868" s="560"/>
      <c r="J868" s="523"/>
      <c r="K868" s="528" t="str">
        <f>IFERROR(VLOOKUP($B868,'Clients-Live'!$A:$C,3,0),"")</f>
        <v/>
      </c>
      <c r="L868" s="528">
        <f>IF(E868="STL",Pricing!$D$38,IF(A868="",0,IF(A868&lt;Pricing!$C$25,Pricing!$D$25,VLOOKUP(Disbursements!$F868,Pricing!$B$29:$D$32,3))))</f>
        <v>0</v>
      </c>
      <c r="M868" s="528">
        <f>IF(E868="STL",0,IF(F868&gt;0,Pricing!$D$21,0))</f>
        <v>0</v>
      </c>
      <c r="N868" s="529">
        <f>IF(E868="STL",F868*Pricing!$D$40,IF(A868&lt;=Pricing!$C$4,0,IF(AND(A868&gt;Pricing!$C$4,Disbursements!A868&lt;=Pricing!$C$5),F868*Pricing!$E$5,IF(AND(A868&gt;Pricing!$C$5,Disbursements!A868&lt;=Pricing!$C$7),VLOOKUP(F868,Pricing!$D$7:$E$8,2)*Disbursements!F868,F868*Pricing!$E$9))))</f>
        <v>0</v>
      </c>
      <c r="O868" s="528">
        <f>IF(E868="STL",0,IF($F868&gt;0,$F868*Pricing!$D$17,0))</f>
        <v>0</v>
      </c>
      <c r="P868" s="530" t="str">
        <f t="shared" si="360"/>
        <v/>
      </c>
      <c r="Q868" s="531" t="str">
        <f>IF($A868="","",$G868/VLOOKUP($I868,Ref!$B$23:$D$29,2,0))</f>
        <v/>
      </c>
      <c r="R868" s="530" t="str">
        <f t="shared" si="361"/>
        <v/>
      </c>
      <c r="S868" s="532" t="str">
        <f t="shared" si="355"/>
        <v/>
      </c>
      <c r="T868" s="531" t="str">
        <f t="shared" si="362"/>
        <v/>
      </c>
      <c r="U868" s="533">
        <f t="shared" si="363"/>
        <v>0</v>
      </c>
      <c r="V868" s="531" t="str">
        <f t="shared" si="364"/>
        <v/>
      </c>
      <c r="W868" s="531" t="str">
        <f t="shared" si="365"/>
        <v/>
      </c>
      <c r="X868" s="534" t="str">
        <f t="shared" si="366"/>
        <v/>
      </c>
      <c r="Y868" s="535" t="str">
        <f>IF($A868="","",IF($I868="weekly",$A868+7,EDATE($A868,VLOOKUP($I868,Ref!$B$24:$C$29,2,0))))</f>
        <v/>
      </c>
      <c r="Z868" s="536" t="str">
        <f t="shared" si="367"/>
        <v/>
      </c>
      <c r="AA868" s="531">
        <f t="shared" si="368"/>
        <v>0</v>
      </c>
      <c r="AB868" s="535" t="str">
        <f t="shared" si="356"/>
        <v/>
      </c>
      <c r="AC868" s="537" t="str">
        <f t="shared" si="357"/>
        <v/>
      </c>
      <c r="AD868" s="538" t="str">
        <f t="shared" ca="1" si="358"/>
        <v/>
      </c>
      <c r="AE868" s="537">
        <f t="shared" ca="1" si="359"/>
        <v>0</v>
      </c>
      <c r="AF868" s="539" t="str">
        <f t="shared" ca="1" si="369"/>
        <v/>
      </c>
      <c r="AG868" s="531" t="str">
        <f t="shared" ca="1" si="370"/>
        <v/>
      </c>
      <c r="AH868" s="531" t="str">
        <f t="shared" ca="1" si="371"/>
        <v/>
      </c>
      <c r="AI868" s="531" t="str">
        <f t="shared" ca="1" si="372"/>
        <v/>
      </c>
      <c r="AJ868" s="531" t="str">
        <f t="shared" si="373"/>
        <v/>
      </c>
      <c r="AK868" s="540">
        <f>SUMIFS('Live Collections'!$S:$S,'Live Collections'!$D:$D,Disbursements!B868,'Live Collections'!$G:$G,Disbursements!C868)</f>
        <v>0</v>
      </c>
      <c r="AL868" s="540">
        <f>SUMIFS('Live Collections'!$T:$T,'Live Collections'!$D:$D,Disbursements!B868,'Live Collections'!$G:$G,Disbursements!C868)</f>
        <v>0</v>
      </c>
      <c r="AM868" s="541">
        <f t="shared" si="374"/>
        <v>0</v>
      </c>
      <c r="AN868" s="542" t="str">
        <f t="shared" si="375"/>
        <v/>
      </c>
      <c r="AO868" s="542" t="str">
        <f t="shared" si="376"/>
        <v/>
      </c>
      <c r="AP868" s="543" t="str">
        <f t="shared" si="377"/>
        <v/>
      </c>
      <c r="AQ868" s="544" t="str">
        <f t="shared" si="378"/>
        <v/>
      </c>
      <c r="AR868" s="545">
        <f t="shared" si="379"/>
        <v>0</v>
      </c>
      <c r="AS868" s="545">
        <f>IFERROR(CEILING($AR868*VLOOKUP($I868,Ref!$B$23:$E$29,4,0),1),0)</f>
        <v>0</v>
      </c>
      <c r="AT868" s="545" t="str">
        <f>IF(A868="","",IF(AP868&lt;=1,"Cleared",IF(AS868=0,"Clean",VLOOKUP($AS868,Ref!$G$23:$H$28,2))))</f>
        <v/>
      </c>
      <c r="AU868" s="546" t="str">
        <f t="shared" si="380"/>
        <v/>
      </c>
    </row>
    <row r="869" spans="1:47" ht="14.25" hidden="1" customHeight="1" x14ac:dyDescent="0.15">
      <c r="A869" s="523"/>
      <c r="B869" s="523"/>
      <c r="C869" s="523"/>
      <c r="D869" s="523"/>
      <c r="E869" s="579"/>
      <c r="F869" s="580"/>
      <c r="G869" s="524"/>
      <c r="H869" s="555"/>
      <c r="I869" s="560"/>
      <c r="J869" s="523"/>
      <c r="K869" s="528" t="str">
        <f>IFERROR(VLOOKUP($B869,'Clients-Live'!$A:$C,3,0),"")</f>
        <v/>
      </c>
      <c r="L869" s="528">
        <f>IF(E869="STL",Pricing!$D$38,IF(A869="",0,IF(A869&lt;Pricing!$C$25,Pricing!$D$25,VLOOKUP(Disbursements!$F869,Pricing!$B$29:$D$32,3))))</f>
        <v>0</v>
      </c>
      <c r="M869" s="528">
        <f>IF(E869="STL",0,IF(F869&gt;0,Pricing!$D$21,0))</f>
        <v>0</v>
      </c>
      <c r="N869" s="529">
        <f>IF(E869="STL",F869*Pricing!$D$40,IF(A869&lt;=Pricing!$C$4,0,IF(AND(A869&gt;Pricing!$C$4,Disbursements!A869&lt;=Pricing!$C$5),F869*Pricing!$E$5,IF(AND(A869&gt;Pricing!$C$5,Disbursements!A869&lt;=Pricing!$C$7),VLOOKUP(F869,Pricing!$D$7:$E$8,2)*Disbursements!F869,F869*Pricing!$E$9))))</f>
        <v>0</v>
      </c>
      <c r="O869" s="528">
        <f>IF(E869="STL",0,IF($F869&gt;0,$F869*Pricing!$D$17,0))</f>
        <v>0</v>
      </c>
      <c r="P869" s="530" t="str">
        <f t="shared" si="360"/>
        <v/>
      </c>
      <c r="Q869" s="531" t="str">
        <f>IF($A869="","",$G869/VLOOKUP($I869,Ref!$B$23:$D$29,2,0))</f>
        <v/>
      </c>
      <c r="R869" s="530" t="str">
        <f t="shared" si="361"/>
        <v/>
      </c>
      <c r="S869" s="532" t="str">
        <f t="shared" si="355"/>
        <v/>
      </c>
      <c r="T869" s="531" t="str">
        <f t="shared" si="362"/>
        <v/>
      </c>
      <c r="U869" s="533">
        <f t="shared" si="363"/>
        <v>0</v>
      </c>
      <c r="V869" s="531" t="str">
        <f t="shared" si="364"/>
        <v/>
      </c>
      <c r="W869" s="531" t="str">
        <f t="shared" si="365"/>
        <v/>
      </c>
      <c r="X869" s="534" t="str">
        <f t="shared" si="366"/>
        <v/>
      </c>
      <c r="Y869" s="535" t="str">
        <f>IF($A869="","",IF($I869="weekly",$A869+7,EDATE($A869,VLOOKUP($I869,Ref!$B$24:$C$29,2,0))))</f>
        <v/>
      </c>
      <c r="Z869" s="536" t="str">
        <f t="shared" si="367"/>
        <v/>
      </c>
      <c r="AA869" s="531">
        <f t="shared" si="368"/>
        <v>0</v>
      </c>
      <c r="AB869" s="535" t="str">
        <f t="shared" si="356"/>
        <v/>
      </c>
      <c r="AC869" s="537" t="str">
        <f t="shared" si="357"/>
        <v/>
      </c>
      <c r="AD869" s="538" t="str">
        <f t="shared" ca="1" si="358"/>
        <v/>
      </c>
      <c r="AE869" s="537">
        <f t="shared" ca="1" si="359"/>
        <v>0</v>
      </c>
      <c r="AF869" s="539" t="str">
        <f t="shared" ca="1" si="369"/>
        <v/>
      </c>
      <c r="AG869" s="531" t="str">
        <f t="shared" ca="1" si="370"/>
        <v/>
      </c>
      <c r="AH869" s="531" t="str">
        <f t="shared" ca="1" si="371"/>
        <v/>
      </c>
      <c r="AI869" s="531" t="str">
        <f t="shared" ca="1" si="372"/>
        <v/>
      </c>
      <c r="AJ869" s="531" t="str">
        <f t="shared" si="373"/>
        <v/>
      </c>
      <c r="AK869" s="540">
        <f>SUMIFS('Live Collections'!$S:$S,'Live Collections'!$D:$D,Disbursements!B869,'Live Collections'!$G:$G,Disbursements!C869)</f>
        <v>0</v>
      </c>
      <c r="AL869" s="540">
        <f>SUMIFS('Live Collections'!$T:$T,'Live Collections'!$D:$D,Disbursements!B869,'Live Collections'!$G:$G,Disbursements!C869)</f>
        <v>0</v>
      </c>
      <c r="AM869" s="541">
        <f t="shared" si="374"/>
        <v>0</v>
      </c>
      <c r="AN869" s="542" t="str">
        <f t="shared" si="375"/>
        <v/>
      </c>
      <c r="AO869" s="542" t="str">
        <f t="shared" si="376"/>
        <v/>
      </c>
      <c r="AP869" s="543" t="str">
        <f t="shared" si="377"/>
        <v/>
      </c>
      <c r="AQ869" s="544" t="str">
        <f t="shared" si="378"/>
        <v/>
      </c>
      <c r="AR869" s="545">
        <f t="shared" si="379"/>
        <v>0</v>
      </c>
      <c r="AS869" s="545">
        <f>IFERROR(CEILING($AR869*VLOOKUP($I869,Ref!$B$23:$E$29,4,0),1),0)</f>
        <v>0</v>
      </c>
      <c r="AT869" s="545" t="str">
        <f>IF(A869="","",IF(AP869&lt;=1,"Cleared",IF(AS869=0,"Clean",VLOOKUP($AS869,Ref!$G$23:$H$28,2))))</f>
        <v/>
      </c>
      <c r="AU869" s="546" t="str">
        <f t="shared" si="380"/>
        <v/>
      </c>
    </row>
    <row r="870" spans="1:47" ht="14.25" hidden="1" customHeight="1" x14ac:dyDescent="0.15">
      <c r="A870" s="523"/>
      <c r="B870" s="523"/>
      <c r="C870" s="523"/>
      <c r="D870" s="523"/>
      <c r="E870" s="579"/>
      <c r="F870" s="580"/>
      <c r="G870" s="524"/>
      <c r="H870" s="555"/>
      <c r="I870" s="560"/>
      <c r="J870" s="523"/>
      <c r="K870" s="528" t="str">
        <f>IFERROR(VLOOKUP($B870,'Clients-Live'!$A:$C,3,0),"")</f>
        <v/>
      </c>
      <c r="L870" s="528">
        <f>IF(E870="STL",Pricing!$D$38,IF(A870="",0,IF(A870&lt;Pricing!$C$25,Pricing!$D$25,VLOOKUP(Disbursements!$F870,Pricing!$B$29:$D$32,3))))</f>
        <v>0</v>
      </c>
      <c r="M870" s="528">
        <f>IF(E870="STL",0,IF(F870&gt;0,Pricing!$D$21,0))</f>
        <v>0</v>
      </c>
      <c r="N870" s="529">
        <f>IF(E870="STL",F870*Pricing!$D$40,IF(A870&lt;=Pricing!$C$4,0,IF(AND(A870&gt;Pricing!$C$4,Disbursements!A870&lt;=Pricing!$C$5),F870*Pricing!$E$5,IF(AND(A870&gt;Pricing!$C$5,Disbursements!A870&lt;=Pricing!$C$7),VLOOKUP(F870,Pricing!$D$7:$E$8,2)*Disbursements!F870,F870*Pricing!$E$9))))</f>
        <v>0</v>
      </c>
      <c r="O870" s="528">
        <f>IF(E870="STL",0,IF($F870&gt;0,$F870*Pricing!$D$17,0))</f>
        <v>0</v>
      </c>
      <c r="P870" s="530" t="str">
        <f t="shared" si="360"/>
        <v/>
      </c>
      <c r="Q870" s="531" t="str">
        <f>IF($A870="","",$G870/VLOOKUP($I870,Ref!$B$23:$D$29,2,0))</f>
        <v/>
      </c>
      <c r="R870" s="530" t="str">
        <f t="shared" si="361"/>
        <v/>
      </c>
      <c r="S870" s="532" t="str">
        <f t="shared" si="355"/>
        <v/>
      </c>
      <c r="T870" s="531" t="str">
        <f t="shared" si="362"/>
        <v/>
      </c>
      <c r="U870" s="533">
        <f t="shared" si="363"/>
        <v>0</v>
      </c>
      <c r="V870" s="531" t="str">
        <f t="shared" si="364"/>
        <v/>
      </c>
      <c r="W870" s="531" t="str">
        <f t="shared" si="365"/>
        <v/>
      </c>
      <c r="X870" s="534" t="str">
        <f t="shared" si="366"/>
        <v/>
      </c>
      <c r="Y870" s="535" t="str">
        <f>IF($A870="","",IF($I870="weekly",$A870+7,EDATE($A870,VLOOKUP($I870,Ref!$B$24:$C$29,2,0))))</f>
        <v/>
      </c>
      <c r="Z870" s="536" t="str">
        <f t="shared" si="367"/>
        <v/>
      </c>
      <c r="AA870" s="531">
        <f t="shared" si="368"/>
        <v>0</v>
      </c>
      <c r="AB870" s="535" t="str">
        <f t="shared" si="356"/>
        <v/>
      </c>
      <c r="AC870" s="537" t="str">
        <f t="shared" si="357"/>
        <v/>
      </c>
      <c r="AD870" s="538" t="str">
        <f t="shared" ca="1" si="358"/>
        <v/>
      </c>
      <c r="AE870" s="537">
        <f t="shared" ca="1" si="359"/>
        <v>0</v>
      </c>
      <c r="AF870" s="539" t="str">
        <f t="shared" ca="1" si="369"/>
        <v/>
      </c>
      <c r="AG870" s="531" t="str">
        <f t="shared" ca="1" si="370"/>
        <v/>
      </c>
      <c r="AH870" s="531" t="str">
        <f t="shared" ca="1" si="371"/>
        <v/>
      </c>
      <c r="AI870" s="531" t="str">
        <f t="shared" ca="1" si="372"/>
        <v/>
      </c>
      <c r="AJ870" s="531" t="str">
        <f t="shared" si="373"/>
        <v/>
      </c>
      <c r="AK870" s="540">
        <f>SUMIFS('Live Collections'!$S:$S,'Live Collections'!$D:$D,Disbursements!B870,'Live Collections'!$G:$G,Disbursements!C870)</f>
        <v>0</v>
      </c>
      <c r="AL870" s="540">
        <f>SUMIFS('Live Collections'!$T:$T,'Live Collections'!$D:$D,Disbursements!B870,'Live Collections'!$G:$G,Disbursements!C870)</f>
        <v>0</v>
      </c>
      <c r="AM870" s="541">
        <f t="shared" si="374"/>
        <v>0</v>
      </c>
      <c r="AN870" s="542" t="str">
        <f t="shared" si="375"/>
        <v/>
      </c>
      <c r="AO870" s="542" t="str">
        <f t="shared" si="376"/>
        <v/>
      </c>
      <c r="AP870" s="543" t="str">
        <f t="shared" si="377"/>
        <v/>
      </c>
      <c r="AQ870" s="544" t="str">
        <f t="shared" si="378"/>
        <v/>
      </c>
      <c r="AR870" s="545">
        <f t="shared" si="379"/>
        <v>0</v>
      </c>
      <c r="AS870" s="545">
        <f>IFERROR(CEILING($AR870*VLOOKUP($I870,Ref!$B$23:$E$29,4,0),1),0)</f>
        <v>0</v>
      </c>
      <c r="AT870" s="545" t="str">
        <f>IF(A870="","",IF(AP870&lt;=1,"Cleared",IF(AS870=0,"Clean",VLOOKUP($AS870,Ref!$G$23:$H$28,2))))</f>
        <v/>
      </c>
      <c r="AU870" s="546" t="str">
        <f t="shared" si="380"/>
        <v/>
      </c>
    </row>
    <row r="871" spans="1:47" ht="14.25" hidden="1" customHeight="1" x14ac:dyDescent="0.15">
      <c r="A871" s="523"/>
      <c r="B871" s="523"/>
      <c r="C871" s="523"/>
      <c r="D871" s="523"/>
      <c r="E871" s="579"/>
      <c r="F871" s="580"/>
      <c r="G871" s="524"/>
      <c r="H871" s="555"/>
      <c r="I871" s="560"/>
      <c r="J871" s="523"/>
      <c r="K871" s="528" t="str">
        <f>IFERROR(VLOOKUP($B871,'Clients-Live'!$A:$C,3,0),"")</f>
        <v/>
      </c>
      <c r="L871" s="528">
        <f>IF(E871="STL",Pricing!$D$38,IF(A871="",0,IF(A871&lt;Pricing!$C$25,Pricing!$D$25,VLOOKUP(Disbursements!$F871,Pricing!$B$29:$D$32,3))))</f>
        <v>0</v>
      </c>
      <c r="M871" s="528">
        <f>IF(E871="STL",0,IF(F871&gt;0,Pricing!$D$21,0))</f>
        <v>0</v>
      </c>
      <c r="N871" s="529">
        <f>IF(E871="STL",F871*Pricing!$D$40,IF(A871&lt;=Pricing!$C$4,0,IF(AND(A871&gt;Pricing!$C$4,Disbursements!A871&lt;=Pricing!$C$5),F871*Pricing!$E$5,IF(AND(A871&gt;Pricing!$C$5,Disbursements!A871&lt;=Pricing!$C$7),VLOOKUP(F871,Pricing!$D$7:$E$8,2)*Disbursements!F871,F871*Pricing!$E$9))))</f>
        <v>0</v>
      </c>
      <c r="O871" s="528">
        <f>IF(E871="STL",0,IF($F871&gt;0,$F871*Pricing!$D$17,0))</f>
        <v>0</v>
      </c>
      <c r="P871" s="530" t="str">
        <f t="shared" si="360"/>
        <v/>
      </c>
      <c r="Q871" s="531" t="str">
        <f>IF($A871="","",$G871/VLOOKUP($I871,Ref!$B$23:$D$29,2,0))</f>
        <v/>
      </c>
      <c r="R871" s="530" t="str">
        <f t="shared" si="361"/>
        <v/>
      </c>
      <c r="S871" s="532" t="str">
        <f t="shared" si="355"/>
        <v/>
      </c>
      <c r="T871" s="531" t="str">
        <f t="shared" si="362"/>
        <v/>
      </c>
      <c r="U871" s="533">
        <f t="shared" si="363"/>
        <v>0</v>
      </c>
      <c r="V871" s="531" t="str">
        <f t="shared" si="364"/>
        <v/>
      </c>
      <c r="W871" s="531" t="str">
        <f t="shared" si="365"/>
        <v/>
      </c>
      <c r="X871" s="534" t="str">
        <f t="shared" si="366"/>
        <v/>
      </c>
      <c r="Y871" s="535" t="str">
        <f>IF($A871="","",IF($I871="weekly",$A871+7,EDATE($A871,VLOOKUP($I871,Ref!$B$24:$C$29,2,0))))</f>
        <v/>
      </c>
      <c r="Z871" s="536" t="str">
        <f t="shared" si="367"/>
        <v/>
      </c>
      <c r="AA871" s="531">
        <f t="shared" si="368"/>
        <v>0</v>
      </c>
      <c r="AB871" s="535" t="str">
        <f t="shared" si="356"/>
        <v/>
      </c>
      <c r="AC871" s="537" t="str">
        <f t="shared" si="357"/>
        <v/>
      </c>
      <c r="AD871" s="538" t="str">
        <f t="shared" ca="1" si="358"/>
        <v/>
      </c>
      <c r="AE871" s="537">
        <f t="shared" ca="1" si="359"/>
        <v>0</v>
      </c>
      <c r="AF871" s="539" t="str">
        <f t="shared" ca="1" si="369"/>
        <v/>
      </c>
      <c r="AG871" s="531" t="str">
        <f t="shared" ca="1" si="370"/>
        <v/>
      </c>
      <c r="AH871" s="531" t="str">
        <f t="shared" ca="1" si="371"/>
        <v/>
      </c>
      <c r="AI871" s="531" t="str">
        <f t="shared" ca="1" si="372"/>
        <v/>
      </c>
      <c r="AJ871" s="531" t="str">
        <f t="shared" si="373"/>
        <v/>
      </c>
      <c r="AK871" s="540">
        <f>SUMIFS('Live Collections'!$S:$S,'Live Collections'!$D:$D,Disbursements!B871,'Live Collections'!$G:$G,Disbursements!C871)</f>
        <v>0</v>
      </c>
      <c r="AL871" s="540">
        <f>SUMIFS('Live Collections'!$T:$T,'Live Collections'!$D:$D,Disbursements!B871,'Live Collections'!$G:$G,Disbursements!C871)</f>
        <v>0</v>
      </c>
      <c r="AM871" s="541">
        <f t="shared" si="374"/>
        <v>0</v>
      </c>
      <c r="AN871" s="542" t="str">
        <f t="shared" si="375"/>
        <v/>
      </c>
      <c r="AO871" s="542" t="str">
        <f t="shared" si="376"/>
        <v/>
      </c>
      <c r="AP871" s="543" t="str">
        <f t="shared" si="377"/>
        <v/>
      </c>
      <c r="AQ871" s="544" t="str">
        <f t="shared" si="378"/>
        <v/>
      </c>
      <c r="AR871" s="545">
        <f t="shared" si="379"/>
        <v>0</v>
      </c>
      <c r="AS871" s="545">
        <f>IFERROR(CEILING($AR871*VLOOKUP($I871,Ref!$B$23:$E$29,4,0),1),0)</f>
        <v>0</v>
      </c>
      <c r="AT871" s="545" t="str">
        <f>IF(A871="","",IF(AP871&lt;=1,"Cleared",IF(AS871=0,"Clean",VLOOKUP($AS871,Ref!$G$23:$H$28,2))))</f>
        <v/>
      </c>
      <c r="AU871" s="546" t="str">
        <f t="shared" si="380"/>
        <v/>
      </c>
    </row>
    <row r="872" spans="1:47" ht="14.25" hidden="1" customHeight="1" x14ac:dyDescent="0.15">
      <c r="A872" s="523"/>
      <c r="B872" s="523"/>
      <c r="C872" s="523"/>
      <c r="D872" s="523"/>
      <c r="E872" s="579"/>
      <c r="F872" s="580"/>
      <c r="G872" s="524"/>
      <c r="H872" s="555"/>
      <c r="I872" s="560"/>
      <c r="J872" s="523"/>
      <c r="K872" s="528" t="str">
        <f>IFERROR(VLOOKUP($B872,'Clients-Live'!$A:$C,3,0),"")</f>
        <v/>
      </c>
      <c r="L872" s="528">
        <f>IF(E872="STL",Pricing!$D$38,IF(A872="",0,IF(A872&lt;Pricing!$C$25,Pricing!$D$25,VLOOKUP(Disbursements!$F872,Pricing!$B$29:$D$32,3))))</f>
        <v>0</v>
      </c>
      <c r="M872" s="528">
        <f>IF(E872="STL",0,IF(F872&gt;0,Pricing!$D$21,0))</f>
        <v>0</v>
      </c>
      <c r="N872" s="529">
        <f>IF(E872="STL",F872*Pricing!$D$40,IF(A872&lt;=Pricing!$C$4,0,IF(AND(A872&gt;Pricing!$C$4,Disbursements!A872&lt;=Pricing!$C$5),F872*Pricing!$E$5,IF(AND(A872&gt;Pricing!$C$5,Disbursements!A872&lt;=Pricing!$C$7),VLOOKUP(F872,Pricing!$D$7:$E$8,2)*Disbursements!F872,F872*Pricing!$E$9))))</f>
        <v>0</v>
      </c>
      <c r="O872" s="528">
        <f>IF(E872="STL",0,IF($F872&gt;0,$F872*Pricing!$D$17,0))</f>
        <v>0</v>
      </c>
      <c r="P872" s="530" t="str">
        <f t="shared" si="360"/>
        <v/>
      </c>
      <c r="Q872" s="531" t="str">
        <f>IF($A872="","",$G872/VLOOKUP($I872,Ref!$B$23:$D$29,2,0))</f>
        <v/>
      </c>
      <c r="R872" s="530" t="str">
        <f t="shared" si="361"/>
        <v/>
      </c>
      <c r="S872" s="532" t="str">
        <f t="shared" si="355"/>
        <v/>
      </c>
      <c r="T872" s="531" t="str">
        <f t="shared" si="362"/>
        <v/>
      </c>
      <c r="U872" s="533">
        <f t="shared" si="363"/>
        <v>0</v>
      </c>
      <c r="V872" s="531" t="str">
        <f t="shared" si="364"/>
        <v/>
      </c>
      <c r="W872" s="531" t="str">
        <f t="shared" si="365"/>
        <v/>
      </c>
      <c r="X872" s="534" t="str">
        <f t="shared" si="366"/>
        <v/>
      </c>
      <c r="Y872" s="535" t="str">
        <f>IF($A872="","",IF($I872="weekly",$A872+7,EDATE($A872,VLOOKUP($I872,Ref!$B$24:$C$29,2,0))))</f>
        <v/>
      </c>
      <c r="Z872" s="536" t="str">
        <f t="shared" si="367"/>
        <v/>
      </c>
      <c r="AA872" s="531">
        <f t="shared" si="368"/>
        <v>0</v>
      </c>
      <c r="AB872" s="535" t="str">
        <f t="shared" si="356"/>
        <v/>
      </c>
      <c r="AC872" s="537" t="str">
        <f t="shared" si="357"/>
        <v/>
      </c>
      <c r="AD872" s="538" t="str">
        <f t="shared" ca="1" si="358"/>
        <v/>
      </c>
      <c r="AE872" s="537">
        <f t="shared" ca="1" si="359"/>
        <v>0</v>
      </c>
      <c r="AF872" s="539" t="str">
        <f t="shared" ca="1" si="369"/>
        <v/>
      </c>
      <c r="AG872" s="531" t="str">
        <f t="shared" ca="1" si="370"/>
        <v/>
      </c>
      <c r="AH872" s="531" t="str">
        <f t="shared" ca="1" si="371"/>
        <v/>
      </c>
      <c r="AI872" s="531" t="str">
        <f t="shared" ca="1" si="372"/>
        <v/>
      </c>
      <c r="AJ872" s="531" t="str">
        <f t="shared" si="373"/>
        <v/>
      </c>
      <c r="AK872" s="540">
        <f>SUMIFS('Live Collections'!$S:$S,'Live Collections'!$D:$D,Disbursements!B872,'Live Collections'!$G:$G,Disbursements!C872)</f>
        <v>0</v>
      </c>
      <c r="AL872" s="540">
        <f>SUMIFS('Live Collections'!$T:$T,'Live Collections'!$D:$D,Disbursements!B872,'Live Collections'!$G:$G,Disbursements!C872)</f>
        <v>0</v>
      </c>
      <c r="AM872" s="541">
        <f t="shared" si="374"/>
        <v>0</v>
      </c>
      <c r="AN872" s="542" t="str">
        <f t="shared" si="375"/>
        <v/>
      </c>
      <c r="AO872" s="542" t="str">
        <f t="shared" si="376"/>
        <v/>
      </c>
      <c r="AP872" s="543" t="str">
        <f t="shared" si="377"/>
        <v/>
      </c>
      <c r="AQ872" s="544" t="str">
        <f t="shared" si="378"/>
        <v/>
      </c>
      <c r="AR872" s="545">
        <f t="shared" si="379"/>
        <v>0</v>
      </c>
      <c r="AS872" s="545">
        <f>IFERROR(CEILING($AR872*VLOOKUP($I872,Ref!$B$23:$E$29,4,0),1),0)</f>
        <v>0</v>
      </c>
      <c r="AT872" s="545" t="str">
        <f>IF(A872="","",IF(AP872&lt;=1,"Cleared",IF(AS872=0,"Clean",VLOOKUP($AS872,Ref!$G$23:$H$28,2))))</f>
        <v/>
      </c>
      <c r="AU872" s="546" t="str">
        <f t="shared" si="380"/>
        <v/>
      </c>
    </row>
    <row r="873" spans="1:47" ht="14.25" hidden="1" customHeight="1" x14ac:dyDescent="0.15">
      <c r="A873" s="523"/>
      <c r="B873" s="523"/>
      <c r="C873" s="523"/>
      <c r="D873" s="523"/>
      <c r="E873" s="579"/>
      <c r="F873" s="580"/>
      <c r="G873" s="524"/>
      <c r="H873" s="555"/>
      <c r="I873" s="560"/>
      <c r="J873" s="523"/>
      <c r="K873" s="528" t="str">
        <f>IFERROR(VLOOKUP($B873,'Clients-Live'!$A:$C,3,0),"")</f>
        <v/>
      </c>
      <c r="L873" s="528">
        <f>IF(E873="STL",Pricing!$D$38,IF(A873="",0,IF(A873&lt;Pricing!$C$25,Pricing!$D$25,VLOOKUP(Disbursements!$F873,Pricing!$B$29:$D$32,3))))</f>
        <v>0</v>
      </c>
      <c r="M873" s="528">
        <f>IF(E873="STL",0,IF(F873&gt;0,Pricing!$D$21,0))</f>
        <v>0</v>
      </c>
      <c r="N873" s="529">
        <f>IF(E873="STL",F873*Pricing!$D$40,IF(A873&lt;=Pricing!$C$4,0,IF(AND(A873&gt;Pricing!$C$4,Disbursements!A873&lt;=Pricing!$C$5),F873*Pricing!$E$5,IF(AND(A873&gt;Pricing!$C$5,Disbursements!A873&lt;=Pricing!$C$7),VLOOKUP(F873,Pricing!$D$7:$E$8,2)*Disbursements!F873,F873*Pricing!$E$9))))</f>
        <v>0</v>
      </c>
      <c r="O873" s="528">
        <f>IF(E873="STL",0,IF($F873&gt;0,$F873*Pricing!$D$17,0))</f>
        <v>0</v>
      </c>
      <c r="P873" s="530" t="str">
        <f t="shared" si="360"/>
        <v/>
      </c>
      <c r="Q873" s="531" t="str">
        <f>IF($A873="","",$G873/VLOOKUP($I873,Ref!$B$23:$D$29,2,0))</f>
        <v/>
      </c>
      <c r="R873" s="530" t="str">
        <f t="shared" si="361"/>
        <v/>
      </c>
      <c r="S873" s="532" t="str">
        <f t="shared" si="355"/>
        <v/>
      </c>
      <c r="T873" s="531" t="str">
        <f t="shared" si="362"/>
        <v/>
      </c>
      <c r="U873" s="533">
        <f t="shared" si="363"/>
        <v>0</v>
      </c>
      <c r="V873" s="531" t="str">
        <f t="shared" si="364"/>
        <v/>
      </c>
      <c r="W873" s="531" t="str">
        <f t="shared" si="365"/>
        <v/>
      </c>
      <c r="X873" s="534" t="str">
        <f t="shared" si="366"/>
        <v/>
      </c>
      <c r="Y873" s="535" t="str">
        <f>IF($A873="","",IF($I873="weekly",$A873+7,EDATE($A873,VLOOKUP($I873,Ref!$B$24:$C$29,2,0))))</f>
        <v/>
      </c>
      <c r="Z873" s="536" t="str">
        <f t="shared" si="367"/>
        <v/>
      </c>
      <c r="AA873" s="531">
        <f t="shared" si="368"/>
        <v>0</v>
      </c>
      <c r="AB873" s="535" t="str">
        <f t="shared" si="356"/>
        <v/>
      </c>
      <c r="AC873" s="537" t="str">
        <f t="shared" si="357"/>
        <v/>
      </c>
      <c r="AD873" s="538" t="str">
        <f t="shared" ca="1" si="358"/>
        <v/>
      </c>
      <c r="AE873" s="537">
        <f t="shared" ca="1" si="359"/>
        <v>0</v>
      </c>
      <c r="AF873" s="539" t="str">
        <f t="shared" ca="1" si="369"/>
        <v/>
      </c>
      <c r="AG873" s="531" t="str">
        <f t="shared" ca="1" si="370"/>
        <v/>
      </c>
      <c r="AH873" s="531" t="str">
        <f t="shared" ca="1" si="371"/>
        <v/>
      </c>
      <c r="AI873" s="531" t="str">
        <f t="shared" ca="1" si="372"/>
        <v/>
      </c>
      <c r="AJ873" s="531" t="str">
        <f t="shared" si="373"/>
        <v/>
      </c>
      <c r="AK873" s="540">
        <f>SUMIFS('Live Collections'!$S:$S,'Live Collections'!$D:$D,Disbursements!B873,'Live Collections'!$G:$G,Disbursements!C873)</f>
        <v>0</v>
      </c>
      <c r="AL873" s="540">
        <f>SUMIFS('Live Collections'!$T:$T,'Live Collections'!$D:$D,Disbursements!B873,'Live Collections'!$G:$G,Disbursements!C873)</f>
        <v>0</v>
      </c>
      <c r="AM873" s="541">
        <f t="shared" si="374"/>
        <v>0</v>
      </c>
      <c r="AN873" s="542" t="str">
        <f t="shared" si="375"/>
        <v/>
      </c>
      <c r="AO873" s="542" t="str">
        <f t="shared" si="376"/>
        <v/>
      </c>
      <c r="AP873" s="543" t="str">
        <f t="shared" si="377"/>
        <v/>
      </c>
      <c r="AQ873" s="544" t="str">
        <f t="shared" si="378"/>
        <v/>
      </c>
      <c r="AR873" s="545">
        <f t="shared" si="379"/>
        <v>0</v>
      </c>
      <c r="AS873" s="545">
        <f>IFERROR(CEILING($AR873*VLOOKUP($I873,Ref!$B$23:$E$29,4,0),1),0)</f>
        <v>0</v>
      </c>
      <c r="AT873" s="545" t="str">
        <f>IF(A873="","",IF(AP873&lt;=1,"Cleared",IF(AS873=0,"Clean",VLOOKUP($AS873,Ref!$G$23:$H$28,2))))</f>
        <v/>
      </c>
      <c r="AU873" s="546" t="str">
        <f t="shared" si="380"/>
        <v/>
      </c>
    </row>
    <row r="874" spans="1:47" ht="14.25" hidden="1" customHeight="1" x14ac:dyDescent="0.15">
      <c r="A874" s="523"/>
      <c r="B874" s="523"/>
      <c r="C874" s="523"/>
      <c r="D874" s="523"/>
      <c r="E874" s="579"/>
      <c r="F874" s="580"/>
      <c r="G874" s="524"/>
      <c r="H874" s="555"/>
      <c r="I874" s="560"/>
      <c r="J874" s="523"/>
      <c r="K874" s="528" t="str">
        <f>IFERROR(VLOOKUP($B874,'Clients-Live'!$A:$C,3,0),"")</f>
        <v/>
      </c>
      <c r="L874" s="528">
        <f>IF(E874="STL",Pricing!$D$38,IF(A874="",0,IF(A874&lt;Pricing!$C$25,Pricing!$D$25,VLOOKUP(Disbursements!$F874,Pricing!$B$29:$D$32,3))))</f>
        <v>0</v>
      </c>
      <c r="M874" s="528">
        <f>IF(E874="STL",0,IF(F874&gt;0,Pricing!$D$21,0))</f>
        <v>0</v>
      </c>
      <c r="N874" s="529">
        <f>IF(E874="STL",F874*Pricing!$D$40,IF(A874&lt;=Pricing!$C$4,0,IF(AND(A874&gt;Pricing!$C$4,Disbursements!A874&lt;=Pricing!$C$5),F874*Pricing!$E$5,IF(AND(A874&gt;Pricing!$C$5,Disbursements!A874&lt;=Pricing!$C$7),VLOOKUP(F874,Pricing!$D$7:$E$8,2)*Disbursements!F874,F874*Pricing!$E$9))))</f>
        <v>0</v>
      </c>
      <c r="O874" s="528">
        <f>IF(E874="STL",0,IF($F874&gt;0,$F874*Pricing!$D$17,0))</f>
        <v>0</v>
      </c>
      <c r="P874" s="530" t="str">
        <f t="shared" si="360"/>
        <v/>
      </c>
      <c r="Q874" s="531" t="str">
        <f>IF($A874="","",$G874/VLOOKUP($I874,Ref!$B$23:$D$29,2,0))</f>
        <v/>
      </c>
      <c r="R874" s="530" t="str">
        <f t="shared" si="361"/>
        <v/>
      </c>
      <c r="S874" s="532" t="str">
        <f t="shared" si="355"/>
        <v/>
      </c>
      <c r="T874" s="531" t="str">
        <f t="shared" si="362"/>
        <v/>
      </c>
      <c r="U874" s="533">
        <f t="shared" si="363"/>
        <v>0</v>
      </c>
      <c r="V874" s="531" t="str">
        <f t="shared" si="364"/>
        <v/>
      </c>
      <c r="W874" s="531" t="str">
        <f t="shared" si="365"/>
        <v/>
      </c>
      <c r="X874" s="534" t="str">
        <f t="shared" si="366"/>
        <v/>
      </c>
      <c r="Y874" s="535" t="str">
        <f>IF($A874="","",IF($I874="weekly",$A874+7,EDATE($A874,VLOOKUP($I874,Ref!$B$24:$C$29,2,0))))</f>
        <v/>
      </c>
      <c r="Z874" s="536" t="str">
        <f t="shared" si="367"/>
        <v/>
      </c>
      <c r="AA874" s="531">
        <f t="shared" si="368"/>
        <v>0</v>
      </c>
      <c r="AB874" s="535" t="str">
        <f t="shared" si="356"/>
        <v/>
      </c>
      <c r="AC874" s="537" t="str">
        <f t="shared" si="357"/>
        <v/>
      </c>
      <c r="AD874" s="538" t="str">
        <f t="shared" ca="1" si="358"/>
        <v/>
      </c>
      <c r="AE874" s="537">
        <f t="shared" ca="1" si="359"/>
        <v>0</v>
      </c>
      <c r="AF874" s="539" t="str">
        <f t="shared" ca="1" si="369"/>
        <v/>
      </c>
      <c r="AG874" s="531" t="str">
        <f t="shared" ca="1" si="370"/>
        <v/>
      </c>
      <c r="AH874" s="531" t="str">
        <f t="shared" ca="1" si="371"/>
        <v/>
      </c>
      <c r="AI874" s="531" t="str">
        <f t="shared" ca="1" si="372"/>
        <v/>
      </c>
      <c r="AJ874" s="531" t="str">
        <f t="shared" si="373"/>
        <v/>
      </c>
      <c r="AK874" s="540">
        <f>SUMIFS('Live Collections'!$S:$S,'Live Collections'!$D:$D,Disbursements!B874,'Live Collections'!$G:$G,Disbursements!C874)</f>
        <v>0</v>
      </c>
      <c r="AL874" s="540">
        <f>SUMIFS('Live Collections'!$T:$T,'Live Collections'!$D:$D,Disbursements!B874,'Live Collections'!$G:$G,Disbursements!C874)</f>
        <v>0</v>
      </c>
      <c r="AM874" s="541">
        <f t="shared" si="374"/>
        <v>0</v>
      </c>
      <c r="AN874" s="542" t="str">
        <f t="shared" si="375"/>
        <v/>
      </c>
      <c r="AO874" s="542" t="str">
        <f t="shared" si="376"/>
        <v/>
      </c>
      <c r="AP874" s="543" t="str">
        <f t="shared" si="377"/>
        <v/>
      </c>
      <c r="AQ874" s="544" t="str">
        <f t="shared" si="378"/>
        <v/>
      </c>
      <c r="AR874" s="545">
        <f t="shared" si="379"/>
        <v>0</v>
      </c>
      <c r="AS874" s="545">
        <f>IFERROR(CEILING($AR874*VLOOKUP($I874,Ref!$B$23:$E$29,4,0),1),0)</f>
        <v>0</v>
      </c>
      <c r="AT874" s="545" t="str">
        <f>IF(A874="","",IF(AP874&lt;=1,"Cleared",IF(AS874=0,"Clean",VLOOKUP($AS874,Ref!$G$23:$H$28,2))))</f>
        <v/>
      </c>
      <c r="AU874" s="546" t="str">
        <f t="shared" si="380"/>
        <v/>
      </c>
    </row>
    <row r="875" spans="1:47" ht="14.25" hidden="1" customHeight="1" x14ac:dyDescent="0.15">
      <c r="A875" s="523"/>
      <c r="B875" s="523"/>
      <c r="C875" s="523"/>
      <c r="D875" s="523"/>
      <c r="E875" s="579"/>
      <c r="F875" s="580"/>
      <c r="G875" s="524"/>
      <c r="H875" s="555"/>
      <c r="I875" s="560"/>
      <c r="J875" s="523"/>
      <c r="K875" s="528" t="str">
        <f>IFERROR(VLOOKUP($B875,'Clients-Live'!$A:$C,3,0),"")</f>
        <v/>
      </c>
      <c r="L875" s="528">
        <f>IF(E875="STL",Pricing!$D$38,IF(A875="",0,IF(A875&lt;Pricing!$C$25,Pricing!$D$25,VLOOKUP(Disbursements!$F875,Pricing!$B$29:$D$32,3))))</f>
        <v>0</v>
      </c>
      <c r="M875" s="528">
        <f>IF(E875="STL",0,IF(F875&gt;0,Pricing!$D$21,0))</f>
        <v>0</v>
      </c>
      <c r="N875" s="529">
        <f>IF(E875="STL",F875*Pricing!$D$40,IF(A875&lt;=Pricing!$C$4,0,IF(AND(A875&gt;Pricing!$C$4,Disbursements!A875&lt;=Pricing!$C$5),F875*Pricing!$E$5,IF(AND(A875&gt;Pricing!$C$5,Disbursements!A875&lt;=Pricing!$C$7),VLOOKUP(F875,Pricing!$D$7:$E$8,2)*Disbursements!F875,F875*Pricing!$E$9))))</f>
        <v>0</v>
      </c>
      <c r="O875" s="528">
        <f>IF(E875="STL",0,IF($F875&gt;0,$F875*Pricing!$D$17,0))</f>
        <v>0</v>
      </c>
      <c r="P875" s="530" t="str">
        <f t="shared" si="360"/>
        <v/>
      </c>
      <c r="Q875" s="531" t="str">
        <f>IF($A875="","",$G875/VLOOKUP($I875,Ref!$B$23:$D$29,2,0))</f>
        <v/>
      </c>
      <c r="R875" s="530" t="str">
        <f t="shared" si="361"/>
        <v/>
      </c>
      <c r="S875" s="532" t="str">
        <f t="shared" si="355"/>
        <v/>
      </c>
      <c r="T875" s="531" t="str">
        <f t="shared" si="362"/>
        <v/>
      </c>
      <c r="U875" s="533">
        <f t="shared" si="363"/>
        <v>0</v>
      </c>
      <c r="V875" s="531" t="str">
        <f t="shared" si="364"/>
        <v/>
      </c>
      <c r="W875" s="531" t="str">
        <f t="shared" si="365"/>
        <v/>
      </c>
      <c r="X875" s="534" t="str">
        <f t="shared" si="366"/>
        <v/>
      </c>
      <c r="Y875" s="535" t="str">
        <f>IF($A875="","",IF($I875="weekly",$A875+7,EDATE($A875,VLOOKUP($I875,Ref!$B$24:$C$29,2,0))))</f>
        <v/>
      </c>
      <c r="Z875" s="536" t="str">
        <f t="shared" si="367"/>
        <v/>
      </c>
      <c r="AA875" s="531">
        <f t="shared" si="368"/>
        <v>0</v>
      </c>
      <c r="AB875" s="535" t="str">
        <f t="shared" si="356"/>
        <v/>
      </c>
      <c r="AC875" s="537" t="str">
        <f t="shared" si="357"/>
        <v/>
      </c>
      <c r="AD875" s="538" t="str">
        <f t="shared" ca="1" si="358"/>
        <v/>
      </c>
      <c r="AE875" s="537">
        <f t="shared" ca="1" si="359"/>
        <v>0</v>
      </c>
      <c r="AF875" s="539" t="str">
        <f t="shared" ca="1" si="369"/>
        <v/>
      </c>
      <c r="AG875" s="531" t="str">
        <f t="shared" ca="1" si="370"/>
        <v/>
      </c>
      <c r="AH875" s="531" t="str">
        <f t="shared" ca="1" si="371"/>
        <v/>
      </c>
      <c r="AI875" s="531" t="str">
        <f t="shared" ca="1" si="372"/>
        <v/>
      </c>
      <c r="AJ875" s="531" t="str">
        <f t="shared" si="373"/>
        <v/>
      </c>
      <c r="AK875" s="540">
        <f>SUMIFS('Live Collections'!$S:$S,'Live Collections'!$D:$D,Disbursements!B875,'Live Collections'!$G:$G,Disbursements!C875)</f>
        <v>0</v>
      </c>
      <c r="AL875" s="540">
        <f>SUMIFS('Live Collections'!$T:$T,'Live Collections'!$D:$D,Disbursements!B875,'Live Collections'!$G:$G,Disbursements!C875)</f>
        <v>0</v>
      </c>
      <c r="AM875" s="541">
        <f t="shared" si="374"/>
        <v>0</v>
      </c>
      <c r="AN875" s="542" t="str">
        <f t="shared" si="375"/>
        <v/>
      </c>
      <c r="AO875" s="542" t="str">
        <f t="shared" si="376"/>
        <v/>
      </c>
      <c r="AP875" s="543" t="str">
        <f t="shared" si="377"/>
        <v/>
      </c>
      <c r="AQ875" s="544" t="str">
        <f t="shared" si="378"/>
        <v/>
      </c>
      <c r="AR875" s="545">
        <f t="shared" si="379"/>
        <v>0</v>
      </c>
      <c r="AS875" s="545">
        <f>IFERROR(CEILING($AR875*VLOOKUP($I875,Ref!$B$23:$E$29,4,0),1),0)</f>
        <v>0</v>
      </c>
      <c r="AT875" s="545" t="str">
        <f>IF(A875="","",IF(AP875&lt;=1,"Cleared",IF(AS875=0,"Clean",VLOOKUP($AS875,Ref!$G$23:$H$28,2))))</f>
        <v/>
      </c>
      <c r="AU875" s="546" t="str">
        <f t="shared" si="380"/>
        <v/>
      </c>
    </row>
    <row r="876" spans="1:47" ht="14.25" hidden="1" customHeight="1" x14ac:dyDescent="0.15">
      <c r="A876" s="523"/>
      <c r="B876" s="523"/>
      <c r="C876" s="523"/>
      <c r="D876" s="523"/>
      <c r="E876" s="579"/>
      <c r="F876" s="580"/>
      <c r="G876" s="524"/>
      <c r="H876" s="555"/>
      <c r="I876" s="560"/>
      <c r="J876" s="523"/>
      <c r="K876" s="528" t="str">
        <f>IFERROR(VLOOKUP($B876,'Clients-Live'!$A:$C,3,0),"")</f>
        <v/>
      </c>
      <c r="L876" s="528">
        <f>IF(E876="STL",Pricing!$D$38,IF(A876="",0,IF(A876&lt;Pricing!$C$25,Pricing!$D$25,VLOOKUP(Disbursements!$F876,Pricing!$B$29:$D$32,3))))</f>
        <v>0</v>
      </c>
      <c r="M876" s="528">
        <f>IF(E876="STL",0,IF(F876&gt;0,Pricing!$D$21,0))</f>
        <v>0</v>
      </c>
      <c r="N876" s="529">
        <f>IF(E876="STL",F876*Pricing!$D$40,IF(A876&lt;=Pricing!$C$4,0,IF(AND(A876&gt;Pricing!$C$4,Disbursements!A876&lt;=Pricing!$C$5),F876*Pricing!$E$5,IF(AND(A876&gt;Pricing!$C$5,Disbursements!A876&lt;=Pricing!$C$7),VLOOKUP(F876,Pricing!$D$7:$E$8,2)*Disbursements!F876,F876*Pricing!$E$9))))</f>
        <v>0</v>
      </c>
      <c r="O876" s="528">
        <f>IF(E876="STL",0,IF($F876&gt;0,$F876*Pricing!$D$17,0))</f>
        <v>0</v>
      </c>
      <c r="P876" s="530" t="str">
        <f t="shared" si="360"/>
        <v/>
      </c>
      <c r="Q876" s="531" t="str">
        <f>IF($A876="","",$G876/VLOOKUP($I876,Ref!$B$23:$D$29,2,0))</f>
        <v/>
      </c>
      <c r="R876" s="530" t="str">
        <f t="shared" si="361"/>
        <v/>
      </c>
      <c r="S876" s="532" t="str">
        <f t="shared" si="355"/>
        <v/>
      </c>
      <c r="T876" s="531" t="str">
        <f t="shared" si="362"/>
        <v/>
      </c>
      <c r="U876" s="533">
        <f t="shared" si="363"/>
        <v>0</v>
      </c>
      <c r="V876" s="531" t="str">
        <f t="shared" si="364"/>
        <v/>
      </c>
      <c r="W876" s="531" t="str">
        <f t="shared" si="365"/>
        <v/>
      </c>
      <c r="X876" s="534" t="str">
        <f t="shared" si="366"/>
        <v/>
      </c>
      <c r="Y876" s="535" t="str">
        <f>IF($A876="","",IF($I876="weekly",$A876+7,EDATE($A876,VLOOKUP($I876,Ref!$B$24:$C$29,2,0))))</f>
        <v/>
      </c>
      <c r="Z876" s="536" t="str">
        <f t="shared" si="367"/>
        <v/>
      </c>
      <c r="AA876" s="531">
        <f t="shared" si="368"/>
        <v>0</v>
      </c>
      <c r="AB876" s="535" t="str">
        <f t="shared" si="356"/>
        <v/>
      </c>
      <c r="AC876" s="537" t="str">
        <f t="shared" si="357"/>
        <v/>
      </c>
      <c r="AD876" s="538" t="str">
        <f t="shared" ca="1" si="358"/>
        <v/>
      </c>
      <c r="AE876" s="537">
        <f t="shared" ca="1" si="359"/>
        <v>0</v>
      </c>
      <c r="AF876" s="539" t="str">
        <f t="shared" ca="1" si="369"/>
        <v/>
      </c>
      <c r="AG876" s="531" t="str">
        <f t="shared" ca="1" si="370"/>
        <v/>
      </c>
      <c r="AH876" s="531" t="str">
        <f t="shared" ca="1" si="371"/>
        <v/>
      </c>
      <c r="AI876" s="531" t="str">
        <f t="shared" ca="1" si="372"/>
        <v/>
      </c>
      <c r="AJ876" s="531" t="str">
        <f t="shared" si="373"/>
        <v/>
      </c>
      <c r="AK876" s="540">
        <f>SUMIFS('Live Collections'!$S:$S,'Live Collections'!$D:$D,Disbursements!B876,'Live Collections'!$G:$G,Disbursements!C876)</f>
        <v>0</v>
      </c>
      <c r="AL876" s="540">
        <f>SUMIFS('Live Collections'!$T:$T,'Live Collections'!$D:$D,Disbursements!B876,'Live Collections'!$G:$G,Disbursements!C876)</f>
        <v>0</v>
      </c>
      <c r="AM876" s="541">
        <f t="shared" si="374"/>
        <v>0</v>
      </c>
      <c r="AN876" s="542" t="str">
        <f t="shared" si="375"/>
        <v/>
      </c>
      <c r="AO876" s="542" t="str">
        <f t="shared" si="376"/>
        <v/>
      </c>
      <c r="AP876" s="543" t="str">
        <f t="shared" si="377"/>
        <v/>
      </c>
      <c r="AQ876" s="544" t="str">
        <f t="shared" si="378"/>
        <v/>
      </c>
      <c r="AR876" s="545">
        <f t="shared" si="379"/>
        <v>0</v>
      </c>
      <c r="AS876" s="545">
        <f>IFERROR(CEILING($AR876*VLOOKUP($I876,Ref!$B$23:$E$29,4,0),1),0)</f>
        <v>0</v>
      </c>
      <c r="AT876" s="545" t="str">
        <f>IF(A876="","",IF(AP876&lt;=1,"Cleared",IF(AS876=0,"Clean",VLOOKUP($AS876,Ref!$G$23:$H$28,2))))</f>
        <v/>
      </c>
      <c r="AU876" s="546" t="str">
        <f t="shared" si="380"/>
        <v/>
      </c>
    </row>
    <row r="877" spans="1:47" ht="14.25" hidden="1" customHeight="1" x14ac:dyDescent="0.15">
      <c r="A877" s="523"/>
      <c r="B877" s="523"/>
      <c r="C877" s="523"/>
      <c r="D877" s="523"/>
      <c r="E877" s="579"/>
      <c r="F877" s="580"/>
      <c r="G877" s="524"/>
      <c r="H877" s="555"/>
      <c r="I877" s="560"/>
      <c r="J877" s="523"/>
      <c r="K877" s="528" t="str">
        <f>IFERROR(VLOOKUP($B877,'Clients-Live'!$A:$C,3,0),"")</f>
        <v/>
      </c>
      <c r="L877" s="528">
        <f>IF(E877="STL",Pricing!$D$38,IF(A877="",0,IF(A877&lt;Pricing!$C$25,Pricing!$D$25,VLOOKUP(Disbursements!$F877,Pricing!$B$29:$D$32,3))))</f>
        <v>0</v>
      </c>
      <c r="M877" s="528">
        <f>IF(E877="STL",0,IF(F877&gt;0,Pricing!$D$21,0))</f>
        <v>0</v>
      </c>
      <c r="N877" s="529">
        <f>IF(E877="STL",F877*Pricing!$D$40,IF(A877&lt;=Pricing!$C$4,0,IF(AND(A877&gt;Pricing!$C$4,Disbursements!A877&lt;=Pricing!$C$5),F877*Pricing!$E$5,IF(AND(A877&gt;Pricing!$C$5,Disbursements!A877&lt;=Pricing!$C$7),VLOOKUP(F877,Pricing!$D$7:$E$8,2)*Disbursements!F877,F877*Pricing!$E$9))))</f>
        <v>0</v>
      </c>
      <c r="O877" s="528">
        <f>IF(E877="STL",0,IF($F877&gt;0,$F877*Pricing!$D$17,0))</f>
        <v>0</v>
      </c>
      <c r="P877" s="530" t="str">
        <f t="shared" si="360"/>
        <v/>
      </c>
      <c r="Q877" s="531" t="str">
        <f>IF($A877="","",$G877/VLOOKUP($I877,Ref!$B$23:$D$29,2,0))</f>
        <v/>
      </c>
      <c r="R877" s="530" t="str">
        <f t="shared" si="361"/>
        <v/>
      </c>
      <c r="S877" s="532" t="str">
        <f t="shared" si="355"/>
        <v/>
      </c>
      <c r="T877" s="531" t="str">
        <f t="shared" si="362"/>
        <v/>
      </c>
      <c r="U877" s="533">
        <f t="shared" si="363"/>
        <v>0</v>
      </c>
      <c r="V877" s="531" t="str">
        <f t="shared" si="364"/>
        <v/>
      </c>
      <c r="W877" s="531" t="str">
        <f t="shared" si="365"/>
        <v/>
      </c>
      <c r="X877" s="534" t="str">
        <f t="shared" si="366"/>
        <v/>
      </c>
      <c r="Y877" s="535" t="str">
        <f>IF($A877="","",IF($I877="weekly",$A877+7,EDATE($A877,VLOOKUP($I877,Ref!$B$24:$C$29,2,0))))</f>
        <v/>
      </c>
      <c r="Z877" s="536" t="str">
        <f t="shared" si="367"/>
        <v/>
      </c>
      <c r="AA877" s="531">
        <f t="shared" si="368"/>
        <v>0</v>
      </c>
      <c r="AB877" s="535" t="str">
        <f t="shared" si="356"/>
        <v/>
      </c>
      <c r="AC877" s="537" t="str">
        <f t="shared" si="357"/>
        <v/>
      </c>
      <c r="AD877" s="538" t="str">
        <f t="shared" ca="1" si="358"/>
        <v/>
      </c>
      <c r="AE877" s="537">
        <f t="shared" ca="1" si="359"/>
        <v>0</v>
      </c>
      <c r="AF877" s="539" t="str">
        <f t="shared" ca="1" si="369"/>
        <v/>
      </c>
      <c r="AG877" s="531" t="str">
        <f t="shared" ca="1" si="370"/>
        <v/>
      </c>
      <c r="AH877" s="531" t="str">
        <f t="shared" ca="1" si="371"/>
        <v/>
      </c>
      <c r="AI877" s="531" t="str">
        <f t="shared" ca="1" si="372"/>
        <v/>
      </c>
      <c r="AJ877" s="531" t="str">
        <f t="shared" si="373"/>
        <v/>
      </c>
      <c r="AK877" s="540">
        <f>SUMIFS('Live Collections'!$S:$S,'Live Collections'!$D:$D,Disbursements!B877,'Live Collections'!$G:$G,Disbursements!C877)</f>
        <v>0</v>
      </c>
      <c r="AL877" s="540">
        <f>SUMIFS('Live Collections'!$T:$T,'Live Collections'!$D:$D,Disbursements!B877,'Live Collections'!$G:$G,Disbursements!C877)</f>
        <v>0</v>
      </c>
      <c r="AM877" s="541">
        <f t="shared" si="374"/>
        <v>0</v>
      </c>
      <c r="AN877" s="542" t="str">
        <f t="shared" si="375"/>
        <v/>
      </c>
      <c r="AO877" s="542" t="str">
        <f t="shared" si="376"/>
        <v/>
      </c>
      <c r="AP877" s="543" t="str">
        <f t="shared" si="377"/>
        <v/>
      </c>
      <c r="AQ877" s="544" t="str">
        <f t="shared" si="378"/>
        <v/>
      </c>
      <c r="AR877" s="545">
        <f t="shared" si="379"/>
        <v>0</v>
      </c>
      <c r="AS877" s="545">
        <f>IFERROR(CEILING($AR877*VLOOKUP($I877,Ref!$B$23:$E$29,4,0),1),0)</f>
        <v>0</v>
      </c>
      <c r="AT877" s="545" t="str">
        <f>IF(A877="","",IF(AP877&lt;=1,"Cleared",IF(AS877=0,"Clean",VLOOKUP($AS877,Ref!$G$23:$H$28,2))))</f>
        <v/>
      </c>
      <c r="AU877" s="546" t="str">
        <f t="shared" si="380"/>
        <v/>
      </c>
    </row>
    <row r="878" spans="1:47" ht="14.25" hidden="1" customHeight="1" x14ac:dyDescent="0.15">
      <c r="A878" s="523"/>
      <c r="B878" s="523"/>
      <c r="C878" s="523"/>
      <c r="D878" s="523"/>
      <c r="E878" s="579"/>
      <c r="F878" s="580"/>
      <c r="G878" s="524"/>
      <c r="H878" s="555"/>
      <c r="I878" s="560"/>
      <c r="J878" s="523"/>
      <c r="K878" s="528" t="str">
        <f>IFERROR(VLOOKUP($B878,'Clients-Live'!$A:$C,3,0),"")</f>
        <v/>
      </c>
      <c r="L878" s="528">
        <f>IF(E878="STL",Pricing!$D$38,IF(A878="",0,IF(A878&lt;Pricing!$C$25,Pricing!$D$25,VLOOKUP(Disbursements!$F878,Pricing!$B$29:$D$32,3))))</f>
        <v>0</v>
      </c>
      <c r="M878" s="528">
        <f>IF(E878="STL",0,IF(F878&gt;0,Pricing!$D$21,0))</f>
        <v>0</v>
      </c>
      <c r="N878" s="529">
        <f>IF(E878="STL",F878*Pricing!$D$40,IF(A878&lt;=Pricing!$C$4,0,IF(AND(A878&gt;Pricing!$C$4,Disbursements!A878&lt;=Pricing!$C$5),F878*Pricing!$E$5,IF(AND(A878&gt;Pricing!$C$5,Disbursements!A878&lt;=Pricing!$C$7),VLOOKUP(F878,Pricing!$D$7:$E$8,2)*Disbursements!F878,F878*Pricing!$E$9))))</f>
        <v>0</v>
      </c>
      <c r="O878" s="528">
        <f>IF(E878="STL",0,IF($F878&gt;0,$F878*Pricing!$D$17,0))</f>
        <v>0</v>
      </c>
      <c r="P878" s="530" t="str">
        <f t="shared" si="360"/>
        <v/>
      </c>
      <c r="Q878" s="531" t="str">
        <f>IF($A878="","",$G878/VLOOKUP($I878,Ref!$B$23:$D$29,2,0))</f>
        <v/>
      </c>
      <c r="R878" s="530" t="str">
        <f t="shared" si="361"/>
        <v/>
      </c>
      <c r="S878" s="532" t="str">
        <f t="shared" si="355"/>
        <v/>
      </c>
      <c r="T878" s="531" t="str">
        <f t="shared" si="362"/>
        <v/>
      </c>
      <c r="U878" s="533">
        <f t="shared" si="363"/>
        <v>0</v>
      </c>
      <c r="V878" s="531" t="str">
        <f t="shared" si="364"/>
        <v/>
      </c>
      <c r="W878" s="531" t="str">
        <f t="shared" si="365"/>
        <v/>
      </c>
      <c r="X878" s="534" t="str">
        <f t="shared" si="366"/>
        <v/>
      </c>
      <c r="Y878" s="535" t="str">
        <f>IF($A878="","",IF($I878="weekly",$A878+7,EDATE($A878,VLOOKUP($I878,Ref!$B$24:$C$29,2,0))))</f>
        <v/>
      </c>
      <c r="Z878" s="536" t="str">
        <f t="shared" si="367"/>
        <v/>
      </c>
      <c r="AA878" s="531">
        <f t="shared" si="368"/>
        <v>0</v>
      </c>
      <c r="AB878" s="535" t="str">
        <f t="shared" si="356"/>
        <v/>
      </c>
      <c r="AC878" s="537" t="str">
        <f t="shared" si="357"/>
        <v/>
      </c>
      <c r="AD878" s="538" t="str">
        <f t="shared" ca="1" si="358"/>
        <v/>
      </c>
      <c r="AE878" s="537">
        <f t="shared" ca="1" si="359"/>
        <v>0</v>
      </c>
      <c r="AF878" s="539" t="str">
        <f t="shared" ca="1" si="369"/>
        <v/>
      </c>
      <c r="AG878" s="531" t="str">
        <f t="shared" ca="1" si="370"/>
        <v/>
      </c>
      <c r="AH878" s="531" t="str">
        <f t="shared" ca="1" si="371"/>
        <v/>
      </c>
      <c r="AI878" s="531" t="str">
        <f t="shared" ca="1" si="372"/>
        <v/>
      </c>
      <c r="AJ878" s="531" t="str">
        <f t="shared" si="373"/>
        <v/>
      </c>
      <c r="AK878" s="540">
        <f>SUMIFS('Live Collections'!$S:$S,'Live Collections'!$D:$D,Disbursements!B878,'Live Collections'!$G:$G,Disbursements!C878)</f>
        <v>0</v>
      </c>
      <c r="AL878" s="540">
        <f>SUMIFS('Live Collections'!$T:$T,'Live Collections'!$D:$D,Disbursements!B878,'Live Collections'!$G:$G,Disbursements!C878)</f>
        <v>0</v>
      </c>
      <c r="AM878" s="541">
        <f t="shared" si="374"/>
        <v>0</v>
      </c>
      <c r="AN878" s="542" t="str">
        <f t="shared" si="375"/>
        <v/>
      </c>
      <c r="AO878" s="542" t="str">
        <f t="shared" si="376"/>
        <v/>
      </c>
      <c r="AP878" s="543" t="str">
        <f t="shared" si="377"/>
        <v/>
      </c>
      <c r="AQ878" s="544" t="str">
        <f t="shared" si="378"/>
        <v/>
      </c>
      <c r="AR878" s="545">
        <f t="shared" si="379"/>
        <v>0</v>
      </c>
      <c r="AS878" s="545">
        <f>IFERROR(CEILING($AR878*VLOOKUP($I878,Ref!$B$23:$E$29,4,0),1),0)</f>
        <v>0</v>
      </c>
      <c r="AT878" s="545" t="str">
        <f>IF(A878="","",IF(AP878&lt;=1,"Cleared",IF(AS878=0,"Clean",VLOOKUP($AS878,Ref!$G$23:$H$28,2))))</f>
        <v/>
      </c>
      <c r="AU878" s="546" t="str">
        <f t="shared" si="380"/>
        <v/>
      </c>
    </row>
    <row r="879" spans="1:47" ht="14.25" hidden="1" customHeight="1" x14ac:dyDescent="0.15">
      <c r="A879" s="523"/>
      <c r="B879" s="523"/>
      <c r="C879" s="523"/>
      <c r="D879" s="523"/>
      <c r="E879" s="579"/>
      <c r="F879" s="580"/>
      <c r="G879" s="524"/>
      <c r="H879" s="555"/>
      <c r="I879" s="560"/>
      <c r="J879" s="523"/>
      <c r="K879" s="528" t="str">
        <f>IFERROR(VLOOKUP($B879,'Clients-Live'!$A:$C,3,0),"")</f>
        <v/>
      </c>
      <c r="L879" s="528">
        <f>IF(E879="STL",Pricing!$D$38,IF(A879="",0,IF(A879&lt;Pricing!$C$25,Pricing!$D$25,VLOOKUP(Disbursements!$F879,Pricing!$B$29:$D$32,3))))</f>
        <v>0</v>
      </c>
      <c r="M879" s="528">
        <f>IF(E879="STL",0,IF(F879&gt;0,Pricing!$D$21,0))</f>
        <v>0</v>
      </c>
      <c r="N879" s="529">
        <f>IF(E879="STL",F879*Pricing!$D$40,IF(A879&lt;=Pricing!$C$4,0,IF(AND(A879&gt;Pricing!$C$4,Disbursements!A879&lt;=Pricing!$C$5),F879*Pricing!$E$5,IF(AND(A879&gt;Pricing!$C$5,Disbursements!A879&lt;=Pricing!$C$7),VLOOKUP(F879,Pricing!$D$7:$E$8,2)*Disbursements!F879,F879*Pricing!$E$9))))</f>
        <v>0</v>
      </c>
      <c r="O879" s="528">
        <f>IF(E879="STL",0,IF($F879&gt;0,$F879*Pricing!$D$17,0))</f>
        <v>0</v>
      </c>
      <c r="P879" s="530" t="str">
        <f t="shared" si="360"/>
        <v/>
      </c>
      <c r="Q879" s="531" t="str">
        <f>IF($A879="","",$G879/VLOOKUP($I879,Ref!$B$23:$D$29,2,0))</f>
        <v/>
      </c>
      <c r="R879" s="530" t="str">
        <f t="shared" si="361"/>
        <v/>
      </c>
      <c r="S879" s="532" t="str">
        <f t="shared" si="355"/>
        <v/>
      </c>
      <c r="T879" s="531" t="str">
        <f t="shared" si="362"/>
        <v/>
      </c>
      <c r="U879" s="533">
        <f t="shared" si="363"/>
        <v>0</v>
      </c>
      <c r="V879" s="531" t="str">
        <f t="shared" si="364"/>
        <v/>
      </c>
      <c r="W879" s="531" t="str">
        <f t="shared" si="365"/>
        <v/>
      </c>
      <c r="X879" s="534" t="str">
        <f t="shared" si="366"/>
        <v/>
      </c>
      <c r="Y879" s="535" t="str">
        <f>IF($A879="","",IF($I879="weekly",$A879+7,EDATE($A879,VLOOKUP($I879,Ref!$B$24:$C$29,2,0))))</f>
        <v/>
      </c>
      <c r="Z879" s="536" t="str">
        <f t="shared" si="367"/>
        <v/>
      </c>
      <c r="AA879" s="531">
        <f t="shared" si="368"/>
        <v>0</v>
      </c>
      <c r="AB879" s="535" t="str">
        <f t="shared" si="356"/>
        <v/>
      </c>
      <c r="AC879" s="537" t="str">
        <f t="shared" si="357"/>
        <v/>
      </c>
      <c r="AD879" s="538" t="str">
        <f t="shared" ca="1" si="358"/>
        <v/>
      </c>
      <c r="AE879" s="537">
        <f t="shared" ca="1" si="359"/>
        <v>0</v>
      </c>
      <c r="AF879" s="539" t="str">
        <f t="shared" ca="1" si="369"/>
        <v/>
      </c>
      <c r="AG879" s="531" t="str">
        <f t="shared" ca="1" si="370"/>
        <v/>
      </c>
      <c r="AH879" s="531" t="str">
        <f t="shared" ca="1" si="371"/>
        <v/>
      </c>
      <c r="AI879" s="531" t="str">
        <f t="shared" ca="1" si="372"/>
        <v/>
      </c>
      <c r="AJ879" s="531" t="str">
        <f t="shared" si="373"/>
        <v/>
      </c>
      <c r="AK879" s="540">
        <f>SUMIFS('Live Collections'!$S:$S,'Live Collections'!$D:$D,Disbursements!B879,'Live Collections'!$G:$G,Disbursements!C879)</f>
        <v>0</v>
      </c>
      <c r="AL879" s="540">
        <f>SUMIFS('Live Collections'!$T:$T,'Live Collections'!$D:$D,Disbursements!B879,'Live Collections'!$G:$G,Disbursements!C879)</f>
        <v>0</v>
      </c>
      <c r="AM879" s="541">
        <f t="shared" si="374"/>
        <v>0</v>
      </c>
      <c r="AN879" s="542" t="str">
        <f t="shared" si="375"/>
        <v/>
      </c>
      <c r="AO879" s="542" t="str">
        <f t="shared" si="376"/>
        <v/>
      </c>
      <c r="AP879" s="543" t="str">
        <f t="shared" si="377"/>
        <v/>
      </c>
      <c r="AQ879" s="544" t="str">
        <f t="shared" si="378"/>
        <v/>
      </c>
      <c r="AR879" s="545">
        <f t="shared" si="379"/>
        <v>0</v>
      </c>
      <c r="AS879" s="545">
        <f>IFERROR(CEILING($AR879*VLOOKUP($I879,Ref!$B$23:$E$29,4,0),1),0)</f>
        <v>0</v>
      </c>
      <c r="AT879" s="545" t="str">
        <f>IF(A879="","",IF(AP879&lt;=1,"Cleared",IF(AS879=0,"Clean",VLOOKUP($AS879,Ref!$G$23:$H$28,2))))</f>
        <v/>
      </c>
      <c r="AU879" s="546" t="str">
        <f t="shared" si="380"/>
        <v/>
      </c>
    </row>
    <row r="880" spans="1:47" ht="14.25" hidden="1" customHeight="1" x14ac:dyDescent="0.15">
      <c r="A880" s="523"/>
      <c r="B880" s="523"/>
      <c r="C880" s="523"/>
      <c r="D880" s="523"/>
      <c r="E880" s="579"/>
      <c r="F880" s="580"/>
      <c r="G880" s="524"/>
      <c r="H880" s="555"/>
      <c r="I880" s="560"/>
      <c r="J880" s="523"/>
      <c r="K880" s="528" t="str">
        <f>IFERROR(VLOOKUP($B880,'Clients-Live'!$A:$C,3,0),"")</f>
        <v/>
      </c>
      <c r="L880" s="528">
        <f>IF(E880="STL",Pricing!$D$38,IF(A880="",0,IF(A880&lt;Pricing!$C$25,Pricing!$D$25,VLOOKUP(Disbursements!$F880,Pricing!$B$29:$D$32,3))))</f>
        <v>0</v>
      </c>
      <c r="M880" s="528">
        <f>IF(E880="STL",0,IF(F880&gt;0,Pricing!$D$21,0))</f>
        <v>0</v>
      </c>
      <c r="N880" s="529">
        <f>IF(E880="STL",F880*Pricing!$D$40,IF(A880&lt;=Pricing!$C$4,0,IF(AND(A880&gt;Pricing!$C$4,Disbursements!A880&lt;=Pricing!$C$5),F880*Pricing!$E$5,IF(AND(A880&gt;Pricing!$C$5,Disbursements!A880&lt;=Pricing!$C$7),VLOOKUP(F880,Pricing!$D$7:$E$8,2)*Disbursements!F880,F880*Pricing!$E$9))))</f>
        <v>0</v>
      </c>
      <c r="O880" s="528">
        <f>IF(E880="STL",0,IF($F880&gt;0,$F880*Pricing!$D$17,0))</f>
        <v>0</v>
      </c>
      <c r="P880" s="530" t="str">
        <f t="shared" si="360"/>
        <v/>
      </c>
      <c r="Q880" s="531" t="str">
        <f>IF($A880="","",$G880/VLOOKUP($I880,Ref!$B$23:$D$29,2,0))</f>
        <v/>
      </c>
      <c r="R880" s="530" t="str">
        <f t="shared" si="361"/>
        <v/>
      </c>
      <c r="S880" s="532" t="str">
        <f t="shared" si="355"/>
        <v/>
      </c>
      <c r="T880" s="531" t="str">
        <f t="shared" si="362"/>
        <v/>
      </c>
      <c r="U880" s="533">
        <f t="shared" si="363"/>
        <v>0</v>
      </c>
      <c r="V880" s="531" t="str">
        <f t="shared" si="364"/>
        <v/>
      </c>
      <c r="W880" s="531" t="str">
        <f t="shared" si="365"/>
        <v/>
      </c>
      <c r="X880" s="534" t="str">
        <f t="shared" si="366"/>
        <v/>
      </c>
      <c r="Y880" s="535" t="str">
        <f>IF($A880="","",IF($I880="weekly",$A880+7,EDATE($A880,VLOOKUP($I880,Ref!$B$24:$C$29,2,0))))</f>
        <v/>
      </c>
      <c r="Z880" s="536" t="str">
        <f t="shared" si="367"/>
        <v/>
      </c>
      <c r="AA880" s="531">
        <f t="shared" si="368"/>
        <v>0</v>
      </c>
      <c r="AB880" s="535" t="str">
        <f t="shared" si="356"/>
        <v/>
      </c>
      <c r="AC880" s="537" t="str">
        <f t="shared" si="357"/>
        <v/>
      </c>
      <c r="AD880" s="538" t="str">
        <f t="shared" ca="1" si="358"/>
        <v/>
      </c>
      <c r="AE880" s="537">
        <f t="shared" ca="1" si="359"/>
        <v>0</v>
      </c>
      <c r="AF880" s="539" t="str">
        <f t="shared" ca="1" si="369"/>
        <v/>
      </c>
      <c r="AG880" s="531" t="str">
        <f t="shared" ca="1" si="370"/>
        <v/>
      </c>
      <c r="AH880" s="531" t="str">
        <f t="shared" ca="1" si="371"/>
        <v/>
      </c>
      <c r="AI880" s="531" t="str">
        <f t="shared" ca="1" si="372"/>
        <v/>
      </c>
      <c r="AJ880" s="531" t="str">
        <f t="shared" si="373"/>
        <v/>
      </c>
      <c r="AK880" s="540">
        <f>SUMIFS('Live Collections'!$S:$S,'Live Collections'!$D:$D,Disbursements!B880,'Live Collections'!$G:$G,Disbursements!C880)</f>
        <v>0</v>
      </c>
      <c r="AL880" s="540">
        <f>SUMIFS('Live Collections'!$T:$T,'Live Collections'!$D:$D,Disbursements!B880,'Live Collections'!$G:$G,Disbursements!C880)</f>
        <v>0</v>
      </c>
      <c r="AM880" s="541">
        <f t="shared" si="374"/>
        <v>0</v>
      </c>
      <c r="AN880" s="542" t="str">
        <f t="shared" si="375"/>
        <v/>
      </c>
      <c r="AO880" s="542" t="str">
        <f t="shared" si="376"/>
        <v/>
      </c>
      <c r="AP880" s="543" t="str">
        <f t="shared" si="377"/>
        <v/>
      </c>
      <c r="AQ880" s="544" t="str">
        <f t="shared" si="378"/>
        <v/>
      </c>
      <c r="AR880" s="545">
        <f t="shared" si="379"/>
        <v>0</v>
      </c>
      <c r="AS880" s="545">
        <f>IFERROR(CEILING($AR880*VLOOKUP($I880,Ref!$B$23:$E$29,4,0),1),0)</f>
        <v>0</v>
      </c>
      <c r="AT880" s="545" t="str">
        <f>IF(A880="","",IF(AP880&lt;=1,"Cleared",IF(AS880=0,"Clean",VLOOKUP($AS880,Ref!$G$23:$H$28,2))))</f>
        <v/>
      </c>
      <c r="AU880" s="546" t="str">
        <f t="shared" si="380"/>
        <v/>
      </c>
    </row>
    <row r="881" spans="1:47" ht="14.25" hidden="1" customHeight="1" x14ac:dyDescent="0.15">
      <c r="A881" s="523"/>
      <c r="B881" s="523"/>
      <c r="C881" s="523"/>
      <c r="D881" s="523"/>
      <c r="E881" s="579"/>
      <c r="F881" s="580"/>
      <c r="G881" s="524"/>
      <c r="H881" s="555"/>
      <c r="I881" s="560"/>
      <c r="J881" s="523"/>
      <c r="K881" s="528" t="str">
        <f>IFERROR(VLOOKUP($B881,'Clients-Live'!$A:$C,3,0),"")</f>
        <v/>
      </c>
      <c r="L881" s="528">
        <f>IF(E881="STL",Pricing!$D$38,IF(A881="",0,IF(A881&lt;Pricing!$C$25,Pricing!$D$25,VLOOKUP(Disbursements!$F881,Pricing!$B$29:$D$32,3))))</f>
        <v>0</v>
      </c>
      <c r="M881" s="528">
        <f>IF(E881="STL",0,IF(F881&gt;0,Pricing!$D$21,0))</f>
        <v>0</v>
      </c>
      <c r="N881" s="529">
        <f>IF(E881="STL",F881*Pricing!$D$40,IF(A881&lt;=Pricing!$C$4,0,IF(AND(A881&gt;Pricing!$C$4,Disbursements!A881&lt;=Pricing!$C$5),F881*Pricing!$E$5,IF(AND(A881&gt;Pricing!$C$5,Disbursements!A881&lt;=Pricing!$C$7),VLOOKUP(F881,Pricing!$D$7:$E$8,2)*Disbursements!F881,F881*Pricing!$E$9))))</f>
        <v>0</v>
      </c>
      <c r="O881" s="528">
        <f>IF(E881="STL",0,IF($F881&gt;0,$F881*Pricing!$D$17,0))</f>
        <v>0</v>
      </c>
      <c r="P881" s="530" t="str">
        <f t="shared" si="360"/>
        <v/>
      </c>
      <c r="Q881" s="531" t="str">
        <f>IF($A881="","",$G881/VLOOKUP($I881,Ref!$B$23:$D$29,2,0))</f>
        <v/>
      </c>
      <c r="R881" s="530" t="str">
        <f t="shared" si="361"/>
        <v/>
      </c>
      <c r="S881" s="532" t="str">
        <f t="shared" si="355"/>
        <v/>
      </c>
      <c r="T881" s="531" t="str">
        <f t="shared" si="362"/>
        <v/>
      </c>
      <c r="U881" s="533">
        <f t="shared" si="363"/>
        <v>0</v>
      </c>
      <c r="V881" s="531" t="str">
        <f t="shared" si="364"/>
        <v/>
      </c>
      <c r="W881" s="531" t="str">
        <f t="shared" si="365"/>
        <v/>
      </c>
      <c r="X881" s="534" t="str">
        <f t="shared" si="366"/>
        <v/>
      </c>
      <c r="Y881" s="535" t="str">
        <f>IF($A881="","",IF($I881="weekly",$A881+7,EDATE($A881,VLOOKUP($I881,Ref!$B$24:$C$29,2,0))))</f>
        <v/>
      </c>
      <c r="Z881" s="536" t="str">
        <f t="shared" si="367"/>
        <v/>
      </c>
      <c r="AA881" s="531">
        <f t="shared" si="368"/>
        <v>0</v>
      </c>
      <c r="AB881" s="535" t="str">
        <f t="shared" si="356"/>
        <v/>
      </c>
      <c r="AC881" s="537" t="str">
        <f t="shared" si="357"/>
        <v/>
      </c>
      <c r="AD881" s="538" t="str">
        <f t="shared" ca="1" si="358"/>
        <v/>
      </c>
      <c r="AE881" s="537">
        <f t="shared" ca="1" si="359"/>
        <v>0</v>
      </c>
      <c r="AF881" s="539" t="str">
        <f t="shared" ca="1" si="369"/>
        <v/>
      </c>
      <c r="AG881" s="531" t="str">
        <f t="shared" ca="1" si="370"/>
        <v/>
      </c>
      <c r="AH881" s="531" t="str">
        <f t="shared" ca="1" si="371"/>
        <v/>
      </c>
      <c r="AI881" s="531" t="str">
        <f t="shared" ca="1" si="372"/>
        <v/>
      </c>
      <c r="AJ881" s="531" t="str">
        <f t="shared" si="373"/>
        <v/>
      </c>
      <c r="AK881" s="540">
        <f>SUMIFS('Live Collections'!$S:$S,'Live Collections'!$D:$D,Disbursements!B881,'Live Collections'!$G:$G,Disbursements!C881)</f>
        <v>0</v>
      </c>
      <c r="AL881" s="540">
        <f>SUMIFS('Live Collections'!$T:$T,'Live Collections'!$D:$D,Disbursements!B881,'Live Collections'!$G:$G,Disbursements!C881)</f>
        <v>0</v>
      </c>
      <c r="AM881" s="541">
        <f t="shared" si="374"/>
        <v>0</v>
      </c>
      <c r="AN881" s="542" t="str">
        <f t="shared" si="375"/>
        <v/>
      </c>
      <c r="AO881" s="542" t="str">
        <f t="shared" si="376"/>
        <v/>
      </c>
      <c r="AP881" s="543" t="str">
        <f t="shared" si="377"/>
        <v/>
      </c>
      <c r="AQ881" s="544" t="str">
        <f t="shared" si="378"/>
        <v/>
      </c>
      <c r="AR881" s="545">
        <f t="shared" si="379"/>
        <v>0</v>
      </c>
      <c r="AS881" s="545">
        <f>IFERROR(CEILING($AR881*VLOOKUP($I881,Ref!$B$23:$E$29,4,0),1),0)</f>
        <v>0</v>
      </c>
      <c r="AT881" s="545" t="str">
        <f>IF(A881="","",IF(AP881&lt;=1,"Cleared",IF(AS881=0,"Clean",VLOOKUP($AS881,Ref!$G$23:$H$28,2))))</f>
        <v/>
      </c>
      <c r="AU881" s="546" t="str">
        <f t="shared" si="380"/>
        <v/>
      </c>
    </row>
    <row r="882" spans="1:47" ht="14.25" hidden="1" customHeight="1" x14ac:dyDescent="0.15">
      <c r="A882" s="523"/>
      <c r="B882" s="523"/>
      <c r="C882" s="523"/>
      <c r="D882" s="523"/>
      <c r="E882" s="579"/>
      <c r="F882" s="580"/>
      <c r="G882" s="524"/>
      <c r="H882" s="555"/>
      <c r="I882" s="560"/>
      <c r="J882" s="523"/>
      <c r="K882" s="528" t="str">
        <f>IFERROR(VLOOKUP($B882,'Clients-Live'!$A:$C,3,0),"")</f>
        <v/>
      </c>
      <c r="L882" s="528">
        <f>IF(E882="STL",Pricing!$D$38,IF(A882="",0,IF(A882&lt;Pricing!$C$25,Pricing!$D$25,VLOOKUP(Disbursements!$F882,Pricing!$B$29:$D$32,3))))</f>
        <v>0</v>
      </c>
      <c r="M882" s="528">
        <f>IF(E882="STL",0,IF(F882&gt;0,Pricing!$D$21,0))</f>
        <v>0</v>
      </c>
      <c r="N882" s="529">
        <f>IF(E882="STL",F882*Pricing!$D$40,IF(A882&lt;=Pricing!$C$4,0,IF(AND(A882&gt;Pricing!$C$4,Disbursements!A882&lt;=Pricing!$C$5),F882*Pricing!$E$5,IF(AND(A882&gt;Pricing!$C$5,Disbursements!A882&lt;=Pricing!$C$7),VLOOKUP(F882,Pricing!$D$7:$E$8,2)*Disbursements!F882,F882*Pricing!$E$9))))</f>
        <v>0</v>
      </c>
      <c r="O882" s="528">
        <f>IF(E882="STL",0,IF($F882&gt;0,$F882*Pricing!$D$17,0))</f>
        <v>0</v>
      </c>
      <c r="P882" s="530" t="str">
        <f t="shared" si="360"/>
        <v/>
      </c>
      <c r="Q882" s="531" t="str">
        <f>IF($A882="","",$G882/VLOOKUP($I882,Ref!$B$23:$D$29,2,0))</f>
        <v/>
      </c>
      <c r="R882" s="530" t="str">
        <f t="shared" si="361"/>
        <v/>
      </c>
      <c r="S882" s="532" t="str">
        <f t="shared" si="355"/>
        <v/>
      </c>
      <c r="T882" s="531" t="str">
        <f t="shared" si="362"/>
        <v/>
      </c>
      <c r="U882" s="533">
        <f t="shared" si="363"/>
        <v>0</v>
      </c>
      <c r="V882" s="531" t="str">
        <f t="shared" si="364"/>
        <v/>
      </c>
      <c r="W882" s="531" t="str">
        <f t="shared" si="365"/>
        <v/>
      </c>
      <c r="X882" s="534" t="str">
        <f t="shared" si="366"/>
        <v/>
      </c>
      <c r="Y882" s="535" t="str">
        <f>IF($A882="","",IF($I882="weekly",$A882+7,EDATE($A882,VLOOKUP($I882,Ref!$B$24:$C$29,2,0))))</f>
        <v/>
      </c>
      <c r="Z882" s="536" t="str">
        <f t="shared" si="367"/>
        <v/>
      </c>
      <c r="AA882" s="531">
        <f t="shared" si="368"/>
        <v>0</v>
      </c>
      <c r="AB882" s="535" t="str">
        <f t="shared" si="356"/>
        <v/>
      </c>
      <c r="AC882" s="537" t="str">
        <f t="shared" si="357"/>
        <v/>
      </c>
      <c r="AD882" s="538" t="str">
        <f t="shared" ca="1" si="358"/>
        <v/>
      </c>
      <c r="AE882" s="537">
        <f t="shared" ca="1" si="359"/>
        <v>0</v>
      </c>
      <c r="AF882" s="539" t="str">
        <f t="shared" ca="1" si="369"/>
        <v/>
      </c>
      <c r="AG882" s="531" t="str">
        <f t="shared" ca="1" si="370"/>
        <v/>
      </c>
      <c r="AH882" s="531" t="str">
        <f t="shared" ca="1" si="371"/>
        <v/>
      </c>
      <c r="AI882" s="531" t="str">
        <f t="shared" ca="1" si="372"/>
        <v/>
      </c>
      <c r="AJ882" s="531" t="str">
        <f t="shared" si="373"/>
        <v/>
      </c>
      <c r="AK882" s="540">
        <f>SUMIFS('Live Collections'!$S:$S,'Live Collections'!$D:$D,Disbursements!B882,'Live Collections'!$G:$G,Disbursements!C882)</f>
        <v>0</v>
      </c>
      <c r="AL882" s="540">
        <f>SUMIFS('Live Collections'!$T:$T,'Live Collections'!$D:$D,Disbursements!B882,'Live Collections'!$G:$G,Disbursements!C882)</f>
        <v>0</v>
      </c>
      <c r="AM882" s="541">
        <f t="shared" si="374"/>
        <v>0</v>
      </c>
      <c r="AN882" s="542" t="str">
        <f t="shared" si="375"/>
        <v/>
      </c>
      <c r="AO882" s="542" t="str">
        <f t="shared" si="376"/>
        <v/>
      </c>
      <c r="AP882" s="543" t="str">
        <f t="shared" si="377"/>
        <v/>
      </c>
      <c r="AQ882" s="544" t="str">
        <f t="shared" si="378"/>
        <v/>
      </c>
      <c r="AR882" s="545">
        <f t="shared" si="379"/>
        <v>0</v>
      </c>
      <c r="AS882" s="545">
        <f>IFERROR(CEILING($AR882*VLOOKUP($I882,Ref!$B$23:$E$29,4,0),1),0)</f>
        <v>0</v>
      </c>
      <c r="AT882" s="545" t="str">
        <f>IF(A882="","",IF(AP882&lt;=1,"Cleared",IF(AS882=0,"Clean",VLOOKUP($AS882,Ref!$G$23:$H$28,2))))</f>
        <v/>
      </c>
      <c r="AU882" s="546" t="str">
        <f t="shared" si="380"/>
        <v/>
      </c>
    </row>
    <row r="883" spans="1:47" ht="14.25" hidden="1" customHeight="1" x14ac:dyDescent="0.15">
      <c r="A883" s="523"/>
      <c r="B883" s="523"/>
      <c r="C883" s="523"/>
      <c r="D883" s="523"/>
      <c r="E883" s="579"/>
      <c r="F883" s="580"/>
      <c r="G883" s="524"/>
      <c r="H883" s="555"/>
      <c r="I883" s="560"/>
      <c r="J883" s="523"/>
      <c r="K883" s="528" t="str">
        <f>IFERROR(VLOOKUP($B883,'Clients-Live'!$A:$C,3,0),"")</f>
        <v/>
      </c>
      <c r="L883" s="528">
        <f>IF(E883="STL",Pricing!$D$38,IF(A883="",0,IF(A883&lt;Pricing!$C$25,Pricing!$D$25,VLOOKUP(Disbursements!$F883,Pricing!$B$29:$D$32,3))))</f>
        <v>0</v>
      </c>
      <c r="M883" s="528">
        <f>IF(E883="STL",0,IF(F883&gt;0,Pricing!$D$21,0))</f>
        <v>0</v>
      </c>
      <c r="N883" s="529">
        <f>IF(E883="STL",F883*Pricing!$D$40,IF(A883&lt;=Pricing!$C$4,0,IF(AND(A883&gt;Pricing!$C$4,Disbursements!A883&lt;=Pricing!$C$5),F883*Pricing!$E$5,IF(AND(A883&gt;Pricing!$C$5,Disbursements!A883&lt;=Pricing!$C$7),VLOOKUP(F883,Pricing!$D$7:$E$8,2)*Disbursements!F883,F883*Pricing!$E$9))))</f>
        <v>0</v>
      </c>
      <c r="O883" s="528">
        <f>IF(E883="STL",0,IF($F883&gt;0,$F883*Pricing!$D$17,0))</f>
        <v>0</v>
      </c>
      <c r="P883" s="530" t="str">
        <f t="shared" si="360"/>
        <v/>
      </c>
      <c r="Q883" s="531" t="str">
        <f>IF($A883="","",$G883/VLOOKUP($I883,Ref!$B$23:$D$29,2,0))</f>
        <v/>
      </c>
      <c r="R883" s="530" t="str">
        <f t="shared" si="361"/>
        <v/>
      </c>
      <c r="S883" s="532" t="str">
        <f t="shared" si="355"/>
        <v/>
      </c>
      <c r="T883" s="531" t="str">
        <f t="shared" si="362"/>
        <v/>
      </c>
      <c r="U883" s="533">
        <f t="shared" si="363"/>
        <v>0</v>
      </c>
      <c r="V883" s="531" t="str">
        <f t="shared" si="364"/>
        <v/>
      </c>
      <c r="W883" s="531" t="str">
        <f t="shared" si="365"/>
        <v/>
      </c>
      <c r="X883" s="534" t="str">
        <f t="shared" si="366"/>
        <v/>
      </c>
      <c r="Y883" s="535" t="str">
        <f>IF($A883="","",IF($I883="weekly",$A883+7,EDATE($A883,VLOOKUP($I883,Ref!$B$24:$C$29,2,0))))</f>
        <v/>
      </c>
      <c r="Z883" s="536" t="str">
        <f t="shared" si="367"/>
        <v/>
      </c>
      <c r="AA883" s="531">
        <f t="shared" si="368"/>
        <v>0</v>
      </c>
      <c r="AB883" s="535" t="str">
        <f t="shared" si="356"/>
        <v/>
      </c>
      <c r="AC883" s="537" t="str">
        <f t="shared" si="357"/>
        <v/>
      </c>
      <c r="AD883" s="538" t="str">
        <f t="shared" ca="1" si="358"/>
        <v/>
      </c>
      <c r="AE883" s="537">
        <f t="shared" ca="1" si="359"/>
        <v>0</v>
      </c>
      <c r="AF883" s="539" t="str">
        <f t="shared" ca="1" si="369"/>
        <v/>
      </c>
      <c r="AG883" s="531" t="str">
        <f t="shared" ca="1" si="370"/>
        <v/>
      </c>
      <c r="AH883" s="531" t="str">
        <f t="shared" ca="1" si="371"/>
        <v/>
      </c>
      <c r="AI883" s="531" t="str">
        <f t="shared" ca="1" si="372"/>
        <v/>
      </c>
      <c r="AJ883" s="531" t="str">
        <f t="shared" si="373"/>
        <v/>
      </c>
      <c r="AK883" s="540">
        <f>SUMIFS('Live Collections'!$S:$S,'Live Collections'!$D:$D,Disbursements!B883,'Live Collections'!$G:$G,Disbursements!C883)</f>
        <v>0</v>
      </c>
      <c r="AL883" s="540">
        <f>SUMIFS('Live Collections'!$T:$T,'Live Collections'!$D:$D,Disbursements!B883,'Live Collections'!$G:$G,Disbursements!C883)</f>
        <v>0</v>
      </c>
      <c r="AM883" s="541">
        <f t="shared" si="374"/>
        <v>0</v>
      </c>
      <c r="AN883" s="542" t="str">
        <f t="shared" si="375"/>
        <v/>
      </c>
      <c r="AO883" s="542" t="str">
        <f t="shared" si="376"/>
        <v/>
      </c>
      <c r="AP883" s="543" t="str">
        <f t="shared" si="377"/>
        <v/>
      </c>
      <c r="AQ883" s="544" t="str">
        <f t="shared" si="378"/>
        <v/>
      </c>
      <c r="AR883" s="545">
        <f t="shared" si="379"/>
        <v>0</v>
      </c>
      <c r="AS883" s="545">
        <f>IFERROR(CEILING($AR883*VLOOKUP($I883,Ref!$B$23:$E$29,4,0),1),0)</f>
        <v>0</v>
      </c>
      <c r="AT883" s="545" t="str">
        <f>IF(A883="","",IF(AP883&lt;=1,"Cleared",IF(AS883=0,"Clean",VLOOKUP($AS883,Ref!$G$23:$H$28,2))))</f>
        <v/>
      </c>
      <c r="AU883" s="546" t="str">
        <f t="shared" si="380"/>
        <v/>
      </c>
    </row>
    <row r="884" spans="1:47" ht="14.25" hidden="1" customHeight="1" x14ac:dyDescent="0.15">
      <c r="A884" s="523"/>
      <c r="B884" s="523"/>
      <c r="C884" s="523"/>
      <c r="D884" s="523"/>
      <c r="E884" s="579"/>
      <c r="F884" s="580"/>
      <c r="G884" s="524"/>
      <c r="H884" s="555"/>
      <c r="I884" s="560"/>
      <c r="J884" s="523"/>
      <c r="K884" s="528" t="str">
        <f>IFERROR(VLOOKUP($B884,'Clients-Live'!$A:$C,3,0),"")</f>
        <v/>
      </c>
      <c r="L884" s="528">
        <f>IF(E884="STL",Pricing!$D$38,IF(A884="",0,IF(A884&lt;Pricing!$C$25,Pricing!$D$25,VLOOKUP(Disbursements!$F884,Pricing!$B$29:$D$32,3))))</f>
        <v>0</v>
      </c>
      <c r="M884" s="528">
        <f>IF(E884="STL",0,IF(F884&gt;0,Pricing!$D$21,0))</f>
        <v>0</v>
      </c>
      <c r="N884" s="529">
        <f>IF(E884="STL",F884*Pricing!$D$40,IF(A884&lt;=Pricing!$C$4,0,IF(AND(A884&gt;Pricing!$C$4,Disbursements!A884&lt;=Pricing!$C$5),F884*Pricing!$E$5,IF(AND(A884&gt;Pricing!$C$5,Disbursements!A884&lt;=Pricing!$C$7),VLOOKUP(F884,Pricing!$D$7:$E$8,2)*Disbursements!F884,F884*Pricing!$E$9))))</f>
        <v>0</v>
      </c>
      <c r="O884" s="528">
        <f>IF(E884="STL",0,IF($F884&gt;0,$F884*Pricing!$D$17,0))</f>
        <v>0</v>
      </c>
      <c r="P884" s="530" t="str">
        <f t="shared" si="360"/>
        <v/>
      </c>
      <c r="Q884" s="531" t="str">
        <f>IF($A884="","",$G884/VLOOKUP($I884,Ref!$B$23:$D$29,2,0))</f>
        <v/>
      </c>
      <c r="R884" s="530" t="str">
        <f t="shared" si="361"/>
        <v/>
      </c>
      <c r="S884" s="532" t="str">
        <f t="shared" si="355"/>
        <v/>
      </c>
      <c r="T884" s="531" t="str">
        <f t="shared" si="362"/>
        <v/>
      </c>
      <c r="U884" s="533">
        <f t="shared" si="363"/>
        <v>0</v>
      </c>
      <c r="V884" s="531" t="str">
        <f t="shared" si="364"/>
        <v/>
      </c>
      <c r="W884" s="531" t="str">
        <f t="shared" si="365"/>
        <v/>
      </c>
      <c r="X884" s="534" t="str">
        <f t="shared" si="366"/>
        <v/>
      </c>
      <c r="Y884" s="535" t="str">
        <f>IF($A884="","",IF($I884="weekly",$A884+7,EDATE($A884,VLOOKUP($I884,Ref!$B$24:$C$29,2,0))))</f>
        <v/>
      </c>
      <c r="Z884" s="536" t="str">
        <f t="shared" si="367"/>
        <v/>
      </c>
      <c r="AA884" s="531">
        <f t="shared" si="368"/>
        <v>0</v>
      </c>
      <c r="AB884" s="535" t="str">
        <f t="shared" si="356"/>
        <v/>
      </c>
      <c r="AC884" s="537" t="str">
        <f t="shared" si="357"/>
        <v/>
      </c>
      <c r="AD884" s="538" t="str">
        <f t="shared" ca="1" si="358"/>
        <v/>
      </c>
      <c r="AE884" s="537">
        <f t="shared" ca="1" si="359"/>
        <v>0</v>
      </c>
      <c r="AF884" s="539" t="str">
        <f t="shared" ca="1" si="369"/>
        <v/>
      </c>
      <c r="AG884" s="531" t="str">
        <f t="shared" ca="1" si="370"/>
        <v/>
      </c>
      <c r="AH884" s="531" t="str">
        <f t="shared" ca="1" si="371"/>
        <v/>
      </c>
      <c r="AI884" s="531" t="str">
        <f t="shared" ca="1" si="372"/>
        <v/>
      </c>
      <c r="AJ884" s="531" t="str">
        <f t="shared" si="373"/>
        <v/>
      </c>
      <c r="AK884" s="540">
        <f>SUMIFS('Live Collections'!$S:$S,'Live Collections'!$D:$D,Disbursements!B884,'Live Collections'!$G:$G,Disbursements!C884)</f>
        <v>0</v>
      </c>
      <c r="AL884" s="540">
        <f>SUMIFS('Live Collections'!$T:$T,'Live Collections'!$D:$D,Disbursements!B884,'Live Collections'!$G:$G,Disbursements!C884)</f>
        <v>0</v>
      </c>
      <c r="AM884" s="541">
        <f t="shared" si="374"/>
        <v>0</v>
      </c>
      <c r="AN884" s="542" t="str">
        <f t="shared" si="375"/>
        <v/>
      </c>
      <c r="AO884" s="542" t="str">
        <f t="shared" si="376"/>
        <v/>
      </c>
      <c r="AP884" s="543" t="str">
        <f t="shared" si="377"/>
        <v/>
      </c>
      <c r="AQ884" s="544" t="str">
        <f t="shared" si="378"/>
        <v/>
      </c>
      <c r="AR884" s="545">
        <f t="shared" si="379"/>
        <v>0</v>
      </c>
      <c r="AS884" s="545">
        <f>IFERROR(CEILING($AR884*VLOOKUP($I884,Ref!$B$23:$E$29,4,0),1),0)</f>
        <v>0</v>
      </c>
      <c r="AT884" s="545" t="str">
        <f>IF(A884="","",IF(AP884&lt;=1,"Cleared",IF(AS884=0,"Clean",VLOOKUP($AS884,Ref!$G$23:$H$28,2))))</f>
        <v/>
      </c>
      <c r="AU884" s="546" t="str">
        <f t="shared" si="380"/>
        <v/>
      </c>
    </row>
    <row r="885" spans="1:47" ht="14.25" hidden="1" customHeight="1" x14ac:dyDescent="0.15">
      <c r="A885" s="523"/>
      <c r="B885" s="523"/>
      <c r="C885" s="523"/>
      <c r="D885" s="523"/>
      <c r="E885" s="579"/>
      <c r="F885" s="580"/>
      <c r="G885" s="524"/>
      <c r="H885" s="555"/>
      <c r="I885" s="560"/>
      <c r="J885" s="523"/>
      <c r="K885" s="528" t="str">
        <f>IFERROR(VLOOKUP($B885,'Clients-Live'!$A:$C,3,0),"")</f>
        <v/>
      </c>
      <c r="L885" s="528">
        <f>IF(E885="STL",Pricing!$D$38,IF(A885="",0,IF(A885&lt;Pricing!$C$25,Pricing!$D$25,VLOOKUP(Disbursements!$F885,Pricing!$B$29:$D$32,3))))</f>
        <v>0</v>
      </c>
      <c r="M885" s="528">
        <f>IF(E885="STL",0,IF(F885&gt;0,Pricing!$D$21,0))</f>
        <v>0</v>
      </c>
      <c r="N885" s="529">
        <f>IF(E885="STL",F885*Pricing!$D$40,IF(A885&lt;=Pricing!$C$4,0,IF(AND(A885&gt;Pricing!$C$4,Disbursements!A885&lt;=Pricing!$C$5),F885*Pricing!$E$5,IF(AND(A885&gt;Pricing!$C$5,Disbursements!A885&lt;=Pricing!$C$7),VLOOKUP(F885,Pricing!$D$7:$E$8,2)*Disbursements!F885,F885*Pricing!$E$9))))</f>
        <v>0</v>
      </c>
      <c r="O885" s="528">
        <f>IF(E885="STL",0,IF($F885&gt;0,$F885*Pricing!$D$17,0))</f>
        <v>0</v>
      </c>
      <c r="P885" s="530" t="str">
        <f t="shared" si="360"/>
        <v/>
      </c>
      <c r="Q885" s="531" t="str">
        <f>IF($A885="","",$G885/VLOOKUP($I885,Ref!$B$23:$D$29,2,0))</f>
        <v/>
      </c>
      <c r="R885" s="530" t="str">
        <f t="shared" si="361"/>
        <v/>
      </c>
      <c r="S885" s="532" t="str">
        <f t="shared" si="355"/>
        <v/>
      </c>
      <c r="T885" s="531" t="str">
        <f t="shared" si="362"/>
        <v/>
      </c>
      <c r="U885" s="533">
        <f t="shared" si="363"/>
        <v>0</v>
      </c>
      <c r="V885" s="531" t="str">
        <f t="shared" si="364"/>
        <v/>
      </c>
      <c r="W885" s="531" t="str">
        <f t="shared" si="365"/>
        <v/>
      </c>
      <c r="X885" s="534" t="str">
        <f t="shared" si="366"/>
        <v/>
      </c>
      <c r="Y885" s="535" t="str">
        <f>IF($A885="","",IF($I885="weekly",$A885+7,EDATE($A885,VLOOKUP($I885,Ref!$B$24:$C$29,2,0))))</f>
        <v/>
      </c>
      <c r="Z885" s="536" t="str">
        <f t="shared" si="367"/>
        <v/>
      </c>
      <c r="AA885" s="531">
        <f t="shared" si="368"/>
        <v>0</v>
      </c>
      <c r="AB885" s="535" t="str">
        <f t="shared" si="356"/>
        <v/>
      </c>
      <c r="AC885" s="537" t="str">
        <f t="shared" si="357"/>
        <v/>
      </c>
      <c r="AD885" s="538" t="str">
        <f t="shared" ca="1" si="358"/>
        <v/>
      </c>
      <c r="AE885" s="537">
        <f t="shared" ca="1" si="359"/>
        <v>0</v>
      </c>
      <c r="AF885" s="539" t="str">
        <f t="shared" ca="1" si="369"/>
        <v/>
      </c>
      <c r="AG885" s="531" t="str">
        <f t="shared" ca="1" si="370"/>
        <v/>
      </c>
      <c r="AH885" s="531" t="str">
        <f t="shared" ca="1" si="371"/>
        <v/>
      </c>
      <c r="AI885" s="531" t="str">
        <f t="shared" ca="1" si="372"/>
        <v/>
      </c>
      <c r="AJ885" s="531" t="str">
        <f t="shared" si="373"/>
        <v/>
      </c>
      <c r="AK885" s="540">
        <f>SUMIFS('Live Collections'!$S:$S,'Live Collections'!$D:$D,Disbursements!B885,'Live Collections'!$G:$G,Disbursements!C885)</f>
        <v>0</v>
      </c>
      <c r="AL885" s="540">
        <f>SUMIFS('Live Collections'!$T:$T,'Live Collections'!$D:$D,Disbursements!B885,'Live Collections'!$G:$G,Disbursements!C885)</f>
        <v>0</v>
      </c>
      <c r="AM885" s="541">
        <f t="shared" si="374"/>
        <v>0</v>
      </c>
      <c r="AN885" s="542" t="str">
        <f t="shared" si="375"/>
        <v/>
      </c>
      <c r="AO885" s="542" t="str">
        <f t="shared" si="376"/>
        <v/>
      </c>
      <c r="AP885" s="543" t="str">
        <f t="shared" si="377"/>
        <v/>
      </c>
      <c r="AQ885" s="544" t="str">
        <f t="shared" si="378"/>
        <v/>
      </c>
      <c r="AR885" s="545">
        <f t="shared" si="379"/>
        <v>0</v>
      </c>
      <c r="AS885" s="545">
        <f>IFERROR(CEILING($AR885*VLOOKUP($I885,Ref!$B$23:$E$29,4,0),1),0)</f>
        <v>0</v>
      </c>
      <c r="AT885" s="545" t="str">
        <f>IF(A885="","",IF(AP885&lt;=1,"Cleared",IF(AS885=0,"Clean",VLOOKUP($AS885,Ref!$G$23:$H$28,2))))</f>
        <v/>
      </c>
      <c r="AU885" s="546" t="str">
        <f t="shared" si="380"/>
        <v/>
      </c>
    </row>
    <row r="886" spans="1:47" ht="14.25" hidden="1" customHeight="1" x14ac:dyDescent="0.15">
      <c r="A886" s="523"/>
      <c r="B886" s="523"/>
      <c r="C886" s="523"/>
      <c r="D886" s="523"/>
      <c r="E886" s="579"/>
      <c r="F886" s="580"/>
      <c r="G886" s="524"/>
      <c r="H886" s="555"/>
      <c r="I886" s="560"/>
      <c r="J886" s="523"/>
      <c r="K886" s="528" t="str">
        <f>IFERROR(VLOOKUP($B886,'Clients-Live'!$A:$C,3,0),"")</f>
        <v/>
      </c>
      <c r="L886" s="528">
        <f>IF(E886="STL",Pricing!$D$38,IF(A886="",0,IF(A886&lt;Pricing!$C$25,Pricing!$D$25,VLOOKUP(Disbursements!$F886,Pricing!$B$29:$D$32,3))))</f>
        <v>0</v>
      </c>
      <c r="M886" s="528">
        <f>IF(E886="STL",0,IF(F886&gt;0,Pricing!$D$21,0))</f>
        <v>0</v>
      </c>
      <c r="N886" s="529">
        <f>IF(E886="STL",F886*Pricing!$D$40,IF(A886&lt;=Pricing!$C$4,0,IF(AND(A886&gt;Pricing!$C$4,Disbursements!A886&lt;=Pricing!$C$5),F886*Pricing!$E$5,IF(AND(A886&gt;Pricing!$C$5,Disbursements!A886&lt;=Pricing!$C$7),VLOOKUP(F886,Pricing!$D$7:$E$8,2)*Disbursements!F886,F886*Pricing!$E$9))))</f>
        <v>0</v>
      </c>
      <c r="O886" s="528">
        <f>IF(E886="STL",0,IF($F886&gt;0,$F886*Pricing!$D$17,0))</f>
        <v>0</v>
      </c>
      <c r="P886" s="530" t="str">
        <f t="shared" si="360"/>
        <v/>
      </c>
      <c r="Q886" s="531" t="str">
        <f>IF($A886="","",$G886/VLOOKUP($I886,Ref!$B$23:$D$29,2,0))</f>
        <v/>
      </c>
      <c r="R886" s="530" t="str">
        <f t="shared" si="361"/>
        <v/>
      </c>
      <c r="S886" s="532" t="str">
        <f t="shared" si="355"/>
        <v/>
      </c>
      <c r="T886" s="531" t="str">
        <f t="shared" si="362"/>
        <v/>
      </c>
      <c r="U886" s="533">
        <f t="shared" si="363"/>
        <v>0</v>
      </c>
      <c r="V886" s="531" t="str">
        <f t="shared" si="364"/>
        <v/>
      </c>
      <c r="W886" s="531" t="str">
        <f t="shared" si="365"/>
        <v/>
      </c>
      <c r="X886" s="534" t="str">
        <f t="shared" si="366"/>
        <v/>
      </c>
      <c r="Y886" s="535" t="str">
        <f>IF($A886="","",IF($I886="weekly",$A886+7,EDATE($A886,VLOOKUP($I886,Ref!$B$24:$C$29,2,0))))</f>
        <v/>
      </c>
      <c r="Z886" s="536" t="str">
        <f t="shared" si="367"/>
        <v/>
      </c>
      <c r="AA886" s="531">
        <f t="shared" si="368"/>
        <v>0</v>
      </c>
      <c r="AB886" s="535" t="str">
        <f t="shared" si="356"/>
        <v/>
      </c>
      <c r="AC886" s="537" t="str">
        <f t="shared" si="357"/>
        <v/>
      </c>
      <c r="AD886" s="538" t="str">
        <f t="shared" ca="1" si="358"/>
        <v/>
      </c>
      <c r="AE886" s="537">
        <f t="shared" ca="1" si="359"/>
        <v>0</v>
      </c>
      <c r="AF886" s="539" t="str">
        <f t="shared" ca="1" si="369"/>
        <v/>
      </c>
      <c r="AG886" s="531" t="str">
        <f t="shared" ca="1" si="370"/>
        <v/>
      </c>
      <c r="AH886" s="531" t="str">
        <f t="shared" ca="1" si="371"/>
        <v/>
      </c>
      <c r="AI886" s="531" t="str">
        <f t="shared" ca="1" si="372"/>
        <v/>
      </c>
      <c r="AJ886" s="531" t="str">
        <f t="shared" si="373"/>
        <v/>
      </c>
      <c r="AK886" s="540">
        <f>SUMIFS('Live Collections'!$S:$S,'Live Collections'!$D:$D,Disbursements!B886,'Live Collections'!$G:$G,Disbursements!C886)</f>
        <v>0</v>
      </c>
      <c r="AL886" s="540">
        <f>SUMIFS('Live Collections'!$T:$T,'Live Collections'!$D:$D,Disbursements!B886,'Live Collections'!$G:$G,Disbursements!C886)</f>
        <v>0</v>
      </c>
      <c r="AM886" s="541">
        <f t="shared" si="374"/>
        <v>0</v>
      </c>
      <c r="AN886" s="542" t="str">
        <f t="shared" si="375"/>
        <v/>
      </c>
      <c r="AO886" s="542" t="str">
        <f t="shared" si="376"/>
        <v/>
      </c>
      <c r="AP886" s="543" t="str">
        <f t="shared" si="377"/>
        <v/>
      </c>
      <c r="AQ886" s="544" t="str">
        <f t="shared" si="378"/>
        <v/>
      </c>
      <c r="AR886" s="545">
        <f t="shared" si="379"/>
        <v>0</v>
      </c>
      <c r="AS886" s="545">
        <f>IFERROR(CEILING($AR886*VLOOKUP($I886,Ref!$B$23:$E$29,4,0),1),0)</f>
        <v>0</v>
      </c>
      <c r="AT886" s="545" t="str">
        <f>IF(A886="","",IF(AP886&lt;=1,"Cleared",IF(AS886=0,"Clean",VLOOKUP($AS886,Ref!$G$23:$H$28,2))))</f>
        <v/>
      </c>
      <c r="AU886" s="546" t="str">
        <f t="shared" si="380"/>
        <v/>
      </c>
    </row>
    <row r="887" spans="1:47" ht="14.25" hidden="1" customHeight="1" x14ac:dyDescent="0.15">
      <c r="A887" s="523"/>
      <c r="B887" s="523"/>
      <c r="C887" s="523"/>
      <c r="D887" s="523"/>
      <c r="E887" s="579"/>
      <c r="F887" s="580"/>
      <c r="G887" s="524"/>
      <c r="H887" s="555"/>
      <c r="I887" s="560"/>
      <c r="J887" s="523"/>
      <c r="K887" s="528" t="str">
        <f>IFERROR(VLOOKUP($B887,'Clients-Live'!$A:$C,3,0),"")</f>
        <v/>
      </c>
      <c r="L887" s="528">
        <f>IF(E887="STL",Pricing!$D$38,IF(A887="",0,IF(A887&lt;Pricing!$C$25,Pricing!$D$25,VLOOKUP(Disbursements!$F887,Pricing!$B$29:$D$32,3))))</f>
        <v>0</v>
      </c>
      <c r="M887" s="528">
        <f>IF(E887="STL",0,IF(F887&gt;0,Pricing!$D$21,0))</f>
        <v>0</v>
      </c>
      <c r="N887" s="529">
        <f>IF(E887="STL",F887*Pricing!$D$40,IF(A887&lt;=Pricing!$C$4,0,IF(AND(A887&gt;Pricing!$C$4,Disbursements!A887&lt;=Pricing!$C$5),F887*Pricing!$E$5,IF(AND(A887&gt;Pricing!$C$5,Disbursements!A887&lt;=Pricing!$C$7),VLOOKUP(F887,Pricing!$D$7:$E$8,2)*Disbursements!F887,F887*Pricing!$E$9))))</f>
        <v>0</v>
      </c>
      <c r="O887" s="528">
        <f>IF(E887="STL",0,IF($F887&gt;0,$F887*Pricing!$D$17,0))</f>
        <v>0</v>
      </c>
      <c r="P887" s="530" t="str">
        <f t="shared" si="360"/>
        <v/>
      </c>
      <c r="Q887" s="531" t="str">
        <f>IF($A887="","",$G887/VLOOKUP($I887,Ref!$B$23:$D$29,2,0))</f>
        <v/>
      </c>
      <c r="R887" s="530" t="str">
        <f t="shared" si="361"/>
        <v/>
      </c>
      <c r="S887" s="532" t="str">
        <f t="shared" si="355"/>
        <v/>
      </c>
      <c r="T887" s="531" t="str">
        <f t="shared" si="362"/>
        <v/>
      </c>
      <c r="U887" s="533">
        <f t="shared" si="363"/>
        <v>0</v>
      </c>
      <c r="V887" s="531" t="str">
        <f t="shared" si="364"/>
        <v/>
      </c>
      <c r="W887" s="531" t="str">
        <f t="shared" si="365"/>
        <v/>
      </c>
      <c r="X887" s="534" t="str">
        <f t="shared" si="366"/>
        <v/>
      </c>
      <c r="Y887" s="535" t="str">
        <f>IF($A887="","",IF($I887="weekly",$A887+7,EDATE($A887,VLOOKUP($I887,Ref!$B$24:$C$29,2,0))))</f>
        <v/>
      </c>
      <c r="Z887" s="536" t="str">
        <f t="shared" si="367"/>
        <v/>
      </c>
      <c r="AA887" s="531">
        <f t="shared" si="368"/>
        <v>0</v>
      </c>
      <c r="AB887" s="535" t="str">
        <f t="shared" si="356"/>
        <v/>
      </c>
      <c r="AC887" s="537" t="str">
        <f t="shared" si="357"/>
        <v/>
      </c>
      <c r="AD887" s="538" t="str">
        <f t="shared" ca="1" si="358"/>
        <v/>
      </c>
      <c r="AE887" s="537">
        <f t="shared" ca="1" si="359"/>
        <v>0</v>
      </c>
      <c r="AF887" s="539" t="str">
        <f t="shared" ca="1" si="369"/>
        <v/>
      </c>
      <c r="AG887" s="531" t="str">
        <f t="shared" ca="1" si="370"/>
        <v/>
      </c>
      <c r="AH887" s="531" t="str">
        <f t="shared" ca="1" si="371"/>
        <v/>
      </c>
      <c r="AI887" s="531" t="str">
        <f t="shared" ca="1" si="372"/>
        <v/>
      </c>
      <c r="AJ887" s="531" t="str">
        <f t="shared" si="373"/>
        <v/>
      </c>
      <c r="AK887" s="540">
        <f>SUMIFS('Live Collections'!$S:$S,'Live Collections'!$D:$D,Disbursements!B887,'Live Collections'!$G:$G,Disbursements!C887)</f>
        <v>0</v>
      </c>
      <c r="AL887" s="540">
        <f>SUMIFS('Live Collections'!$T:$T,'Live Collections'!$D:$D,Disbursements!B887,'Live Collections'!$G:$G,Disbursements!C887)</f>
        <v>0</v>
      </c>
      <c r="AM887" s="541">
        <f t="shared" si="374"/>
        <v>0</v>
      </c>
      <c r="AN887" s="542" t="str">
        <f t="shared" si="375"/>
        <v/>
      </c>
      <c r="AO887" s="542" t="str">
        <f t="shared" si="376"/>
        <v/>
      </c>
      <c r="AP887" s="543" t="str">
        <f t="shared" si="377"/>
        <v/>
      </c>
      <c r="AQ887" s="544" t="str">
        <f t="shared" si="378"/>
        <v/>
      </c>
      <c r="AR887" s="545">
        <f t="shared" si="379"/>
        <v>0</v>
      </c>
      <c r="AS887" s="545">
        <f>IFERROR(CEILING($AR887*VLOOKUP($I887,Ref!$B$23:$E$29,4,0),1),0)</f>
        <v>0</v>
      </c>
      <c r="AT887" s="545" t="str">
        <f>IF(A887="","",IF(AP887&lt;=1,"Cleared",IF(AS887=0,"Clean",VLOOKUP($AS887,Ref!$G$23:$H$28,2))))</f>
        <v/>
      </c>
      <c r="AU887" s="546" t="str">
        <f t="shared" si="380"/>
        <v/>
      </c>
    </row>
    <row r="888" spans="1:47" ht="14.25" hidden="1" customHeight="1" x14ac:dyDescent="0.15">
      <c r="A888" s="523"/>
      <c r="B888" s="523"/>
      <c r="C888" s="523"/>
      <c r="D888" s="523"/>
      <c r="E888" s="579"/>
      <c r="F888" s="580"/>
      <c r="G888" s="524"/>
      <c r="H888" s="555"/>
      <c r="I888" s="560"/>
      <c r="J888" s="523"/>
      <c r="K888" s="528" t="str">
        <f>IFERROR(VLOOKUP($B888,'Clients-Live'!$A:$C,3,0),"")</f>
        <v/>
      </c>
      <c r="L888" s="528">
        <f>IF(E888="STL",Pricing!$D$38,IF(A888="",0,IF(A888&lt;Pricing!$C$25,Pricing!$D$25,VLOOKUP(Disbursements!$F888,Pricing!$B$29:$D$32,3))))</f>
        <v>0</v>
      </c>
      <c r="M888" s="528">
        <f>IF(E888="STL",0,IF(F888&gt;0,Pricing!$D$21,0))</f>
        <v>0</v>
      </c>
      <c r="N888" s="529">
        <f>IF(E888="STL",F888*Pricing!$D$40,IF(A888&lt;=Pricing!$C$4,0,IF(AND(A888&gt;Pricing!$C$4,Disbursements!A888&lt;=Pricing!$C$5),F888*Pricing!$E$5,IF(AND(A888&gt;Pricing!$C$5,Disbursements!A888&lt;=Pricing!$C$7),VLOOKUP(F888,Pricing!$D$7:$E$8,2)*Disbursements!F888,F888*Pricing!$E$9))))</f>
        <v>0</v>
      </c>
      <c r="O888" s="528">
        <f>IF(E888="STL",0,IF($F888&gt;0,$F888*Pricing!$D$17,0))</f>
        <v>0</v>
      </c>
      <c r="P888" s="530" t="str">
        <f t="shared" si="360"/>
        <v/>
      </c>
      <c r="Q888" s="531" t="str">
        <f>IF($A888="","",$G888/VLOOKUP($I888,Ref!$B$23:$D$29,2,0))</f>
        <v/>
      </c>
      <c r="R888" s="530" t="str">
        <f t="shared" si="361"/>
        <v/>
      </c>
      <c r="S888" s="532" t="str">
        <f t="shared" si="355"/>
        <v/>
      </c>
      <c r="T888" s="531" t="str">
        <f t="shared" si="362"/>
        <v/>
      </c>
      <c r="U888" s="533">
        <f t="shared" si="363"/>
        <v>0</v>
      </c>
      <c r="V888" s="531" t="str">
        <f t="shared" si="364"/>
        <v/>
      </c>
      <c r="W888" s="531" t="str">
        <f t="shared" si="365"/>
        <v/>
      </c>
      <c r="X888" s="534" t="str">
        <f t="shared" si="366"/>
        <v/>
      </c>
      <c r="Y888" s="535" t="str">
        <f>IF($A888="","",IF($I888="weekly",$A888+7,EDATE($A888,VLOOKUP($I888,Ref!$B$24:$C$29,2,0))))</f>
        <v/>
      </c>
      <c r="Z888" s="536" t="str">
        <f t="shared" si="367"/>
        <v/>
      </c>
      <c r="AA888" s="531">
        <f t="shared" si="368"/>
        <v>0</v>
      </c>
      <c r="AB888" s="535" t="str">
        <f t="shared" si="356"/>
        <v/>
      </c>
      <c r="AC888" s="537" t="str">
        <f t="shared" si="357"/>
        <v/>
      </c>
      <c r="AD888" s="538" t="str">
        <f t="shared" ca="1" si="358"/>
        <v/>
      </c>
      <c r="AE888" s="537">
        <f t="shared" ca="1" si="359"/>
        <v>0</v>
      </c>
      <c r="AF888" s="539" t="str">
        <f t="shared" ca="1" si="369"/>
        <v/>
      </c>
      <c r="AG888" s="531" t="str">
        <f t="shared" ca="1" si="370"/>
        <v/>
      </c>
      <c r="AH888" s="531" t="str">
        <f t="shared" ca="1" si="371"/>
        <v/>
      </c>
      <c r="AI888" s="531" t="str">
        <f t="shared" ca="1" si="372"/>
        <v/>
      </c>
      <c r="AJ888" s="531" t="str">
        <f t="shared" si="373"/>
        <v/>
      </c>
      <c r="AK888" s="540">
        <f>SUMIFS('Live Collections'!$S:$S,'Live Collections'!$D:$D,Disbursements!B888,'Live Collections'!$G:$G,Disbursements!C888)</f>
        <v>0</v>
      </c>
      <c r="AL888" s="540">
        <f>SUMIFS('Live Collections'!$T:$T,'Live Collections'!$D:$D,Disbursements!B888,'Live Collections'!$G:$G,Disbursements!C888)</f>
        <v>0</v>
      </c>
      <c r="AM888" s="541">
        <f t="shared" si="374"/>
        <v>0</v>
      </c>
      <c r="AN888" s="542" t="str">
        <f t="shared" si="375"/>
        <v/>
      </c>
      <c r="AO888" s="542" t="str">
        <f t="shared" si="376"/>
        <v/>
      </c>
      <c r="AP888" s="543" t="str">
        <f t="shared" si="377"/>
        <v/>
      </c>
      <c r="AQ888" s="544" t="str">
        <f t="shared" si="378"/>
        <v/>
      </c>
      <c r="AR888" s="545">
        <f t="shared" si="379"/>
        <v>0</v>
      </c>
      <c r="AS888" s="545">
        <f>IFERROR(CEILING($AR888*VLOOKUP($I888,Ref!$B$23:$E$29,4,0),1),0)</f>
        <v>0</v>
      </c>
      <c r="AT888" s="545" t="str">
        <f>IF(A888="","",IF(AP888&lt;=1,"Cleared",IF(AS888=0,"Clean",VLOOKUP($AS888,Ref!$G$23:$H$28,2))))</f>
        <v/>
      </c>
      <c r="AU888" s="546" t="str">
        <f t="shared" si="380"/>
        <v/>
      </c>
    </row>
    <row r="889" spans="1:47" ht="14.25" hidden="1" customHeight="1" x14ac:dyDescent="0.15">
      <c r="A889" s="523"/>
      <c r="B889" s="523"/>
      <c r="C889" s="523"/>
      <c r="D889" s="523"/>
      <c r="E889" s="579"/>
      <c r="F889" s="580"/>
      <c r="G889" s="524"/>
      <c r="H889" s="555"/>
      <c r="I889" s="560"/>
      <c r="J889" s="523"/>
      <c r="K889" s="528" t="str">
        <f>IFERROR(VLOOKUP($B889,'Clients-Live'!$A:$C,3,0),"")</f>
        <v/>
      </c>
      <c r="L889" s="528">
        <f>IF(E889="STL",Pricing!$D$38,IF(A889="",0,IF(A889&lt;Pricing!$C$25,Pricing!$D$25,VLOOKUP(Disbursements!$F889,Pricing!$B$29:$D$32,3))))</f>
        <v>0</v>
      </c>
      <c r="M889" s="528">
        <f>IF(E889="STL",0,IF(F889&gt;0,Pricing!$D$21,0))</f>
        <v>0</v>
      </c>
      <c r="N889" s="529">
        <f>IF(E889="STL",F889*Pricing!$D$40,IF(A889&lt;=Pricing!$C$4,0,IF(AND(A889&gt;Pricing!$C$4,Disbursements!A889&lt;=Pricing!$C$5),F889*Pricing!$E$5,IF(AND(A889&gt;Pricing!$C$5,Disbursements!A889&lt;=Pricing!$C$7),VLOOKUP(F889,Pricing!$D$7:$E$8,2)*Disbursements!F889,F889*Pricing!$E$9))))</f>
        <v>0</v>
      </c>
      <c r="O889" s="528">
        <f>IF(E889="STL",0,IF($F889&gt;0,$F889*Pricing!$D$17,0))</f>
        <v>0</v>
      </c>
      <c r="P889" s="530" t="str">
        <f t="shared" si="360"/>
        <v/>
      </c>
      <c r="Q889" s="531" t="str">
        <f>IF($A889="","",$G889/VLOOKUP($I889,Ref!$B$23:$D$29,2,0))</f>
        <v/>
      </c>
      <c r="R889" s="530" t="str">
        <f t="shared" si="361"/>
        <v/>
      </c>
      <c r="S889" s="532" t="str">
        <f t="shared" si="355"/>
        <v/>
      </c>
      <c r="T889" s="531" t="str">
        <f t="shared" si="362"/>
        <v/>
      </c>
      <c r="U889" s="533">
        <f t="shared" si="363"/>
        <v>0</v>
      </c>
      <c r="V889" s="531" t="str">
        <f t="shared" si="364"/>
        <v/>
      </c>
      <c r="W889" s="531" t="str">
        <f t="shared" si="365"/>
        <v/>
      </c>
      <c r="X889" s="534" t="str">
        <f t="shared" si="366"/>
        <v/>
      </c>
      <c r="Y889" s="535" t="str">
        <f>IF($A889="","",IF($I889="weekly",$A889+7,EDATE($A889,VLOOKUP($I889,Ref!$B$24:$C$29,2,0))))</f>
        <v/>
      </c>
      <c r="Z889" s="536" t="str">
        <f t="shared" si="367"/>
        <v/>
      </c>
      <c r="AA889" s="531">
        <f t="shared" si="368"/>
        <v>0</v>
      </c>
      <c r="AB889" s="535" t="str">
        <f t="shared" si="356"/>
        <v/>
      </c>
      <c r="AC889" s="537" t="str">
        <f t="shared" si="357"/>
        <v/>
      </c>
      <c r="AD889" s="538" t="str">
        <f t="shared" ca="1" si="358"/>
        <v/>
      </c>
      <c r="AE889" s="537">
        <f t="shared" ca="1" si="359"/>
        <v>0</v>
      </c>
      <c r="AF889" s="539" t="str">
        <f t="shared" ca="1" si="369"/>
        <v/>
      </c>
      <c r="AG889" s="531" t="str">
        <f t="shared" ca="1" si="370"/>
        <v/>
      </c>
      <c r="AH889" s="531" t="str">
        <f t="shared" ca="1" si="371"/>
        <v/>
      </c>
      <c r="AI889" s="531" t="str">
        <f t="shared" ca="1" si="372"/>
        <v/>
      </c>
      <c r="AJ889" s="531" t="str">
        <f t="shared" si="373"/>
        <v/>
      </c>
      <c r="AK889" s="540">
        <f>SUMIFS('Live Collections'!$S:$S,'Live Collections'!$D:$D,Disbursements!B889,'Live Collections'!$G:$G,Disbursements!C889)</f>
        <v>0</v>
      </c>
      <c r="AL889" s="540">
        <f>SUMIFS('Live Collections'!$T:$T,'Live Collections'!$D:$D,Disbursements!B889,'Live Collections'!$G:$G,Disbursements!C889)</f>
        <v>0</v>
      </c>
      <c r="AM889" s="541">
        <f t="shared" si="374"/>
        <v>0</v>
      </c>
      <c r="AN889" s="542" t="str">
        <f t="shared" si="375"/>
        <v/>
      </c>
      <c r="AO889" s="542" t="str">
        <f t="shared" si="376"/>
        <v/>
      </c>
      <c r="AP889" s="543" t="str">
        <f t="shared" si="377"/>
        <v/>
      </c>
      <c r="AQ889" s="544" t="str">
        <f t="shared" si="378"/>
        <v/>
      </c>
      <c r="AR889" s="545">
        <f t="shared" si="379"/>
        <v>0</v>
      </c>
      <c r="AS889" s="545">
        <f>IFERROR(CEILING($AR889*VLOOKUP($I889,Ref!$B$23:$E$29,4,0),1),0)</f>
        <v>0</v>
      </c>
      <c r="AT889" s="545" t="str">
        <f>IF(A889="","",IF(AP889&lt;=1,"Cleared",IF(AS889=0,"Clean",VLOOKUP($AS889,Ref!$G$23:$H$28,2))))</f>
        <v/>
      </c>
      <c r="AU889" s="546" t="str">
        <f t="shared" si="380"/>
        <v/>
      </c>
    </row>
    <row r="890" spans="1:47" ht="14.25" hidden="1" customHeight="1" x14ac:dyDescent="0.15">
      <c r="A890" s="523"/>
      <c r="B890" s="523"/>
      <c r="C890" s="523"/>
      <c r="D890" s="523"/>
      <c r="E890" s="579"/>
      <c r="F890" s="580"/>
      <c r="G890" s="524"/>
      <c r="H890" s="555"/>
      <c r="I890" s="560"/>
      <c r="J890" s="523"/>
      <c r="K890" s="528" t="str">
        <f>IFERROR(VLOOKUP($B890,'Clients-Live'!$A:$C,3,0),"")</f>
        <v/>
      </c>
      <c r="L890" s="528">
        <f>IF(E890="STL",Pricing!$D$38,IF(A890="",0,IF(A890&lt;Pricing!$C$25,Pricing!$D$25,VLOOKUP(Disbursements!$F890,Pricing!$B$29:$D$32,3))))</f>
        <v>0</v>
      </c>
      <c r="M890" s="528">
        <f>IF(E890="STL",0,IF(F890&gt;0,Pricing!$D$21,0))</f>
        <v>0</v>
      </c>
      <c r="N890" s="529">
        <f>IF(E890="STL",F890*Pricing!$D$40,IF(A890&lt;=Pricing!$C$4,0,IF(AND(A890&gt;Pricing!$C$4,Disbursements!A890&lt;=Pricing!$C$5),F890*Pricing!$E$5,IF(AND(A890&gt;Pricing!$C$5,Disbursements!A890&lt;=Pricing!$C$7),VLOOKUP(F890,Pricing!$D$7:$E$8,2)*Disbursements!F890,F890*Pricing!$E$9))))</f>
        <v>0</v>
      </c>
      <c r="O890" s="528">
        <f>IF(E890="STL",0,IF($F890&gt;0,$F890*Pricing!$D$17,0))</f>
        <v>0</v>
      </c>
      <c r="P890" s="530" t="str">
        <f t="shared" si="360"/>
        <v/>
      </c>
      <c r="Q890" s="531" t="str">
        <f>IF($A890="","",$G890/VLOOKUP($I890,Ref!$B$23:$D$29,2,0))</f>
        <v/>
      </c>
      <c r="R890" s="530" t="str">
        <f t="shared" si="361"/>
        <v/>
      </c>
      <c r="S890" s="532" t="str">
        <f t="shared" si="355"/>
        <v/>
      </c>
      <c r="T890" s="531" t="str">
        <f t="shared" si="362"/>
        <v/>
      </c>
      <c r="U890" s="533">
        <f t="shared" si="363"/>
        <v>0</v>
      </c>
      <c r="V890" s="531" t="str">
        <f t="shared" si="364"/>
        <v/>
      </c>
      <c r="W890" s="531" t="str">
        <f t="shared" si="365"/>
        <v/>
      </c>
      <c r="X890" s="534" t="str">
        <f t="shared" si="366"/>
        <v/>
      </c>
      <c r="Y890" s="535" t="str">
        <f>IF($A890="","",IF($I890="weekly",$A890+7,EDATE($A890,VLOOKUP($I890,Ref!$B$24:$C$29,2,0))))</f>
        <v/>
      </c>
      <c r="Z890" s="536" t="str">
        <f t="shared" si="367"/>
        <v/>
      </c>
      <c r="AA890" s="531">
        <f t="shared" si="368"/>
        <v>0</v>
      </c>
      <c r="AB890" s="535" t="str">
        <f t="shared" si="356"/>
        <v/>
      </c>
      <c r="AC890" s="537" t="str">
        <f t="shared" si="357"/>
        <v/>
      </c>
      <c r="AD890" s="538" t="str">
        <f t="shared" ca="1" si="358"/>
        <v/>
      </c>
      <c r="AE890" s="537">
        <f t="shared" ca="1" si="359"/>
        <v>0</v>
      </c>
      <c r="AF890" s="539" t="str">
        <f t="shared" ca="1" si="369"/>
        <v/>
      </c>
      <c r="AG890" s="531" t="str">
        <f t="shared" ca="1" si="370"/>
        <v/>
      </c>
      <c r="AH890" s="531" t="str">
        <f t="shared" ca="1" si="371"/>
        <v/>
      </c>
      <c r="AI890" s="531" t="str">
        <f t="shared" ca="1" si="372"/>
        <v/>
      </c>
      <c r="AJ890" s="531" t="str">
        <f t="shared" si="373"/>
        <v/>
      </c>
      <c r="AK890" s="540">
        <f>SUMIFS('Live Collections'!$S:$S,'Live Collections'!$D:$D,Disbursements!B890,'Live Collections'!$G:$G,Disbursements!C890)</f>
        <v>0</v>
      </c>
      <c r="AL890" s="540">
        <f>SUMIFS('Live Collections'!$T:$T,'Live Collections'!$D:$D,Disbursements!B890,'Live Collections'!$G:$G,Disbursements!C890)</f>
        <v>0</v>
      </c>
      <c r="AM890" s="541">
        <f t="shared" si="374"/>
        <v>0</v>
      </c>
      <c r="AN890" s="542" t="str">
        <f t="shared" si="375"/>
        <v/>
      </c>
      <c r="AO890" s="542" t="str">
        <f t="shared" si="376"/>
        <v/>
      </c>
      <c r="AP890" s="543" t="str">
        <f t="shared" si="377"/>
        <v/>
      </c>
      <c r="AQ890" s="544" t="str">
        <f t="shared" si="378"/>
        <v/>
      </c>
      <c r="AR890" s="545">
        <f t="shared" si="379"/>
        <v>0</v>
      </c>
      <c r="AS890" s="545">
        <f>IFERROR(CEILING($AR890*VLOOKUP($I890,Ref!$B$23:$E$29,4,0),1),0)</f>
        <v>0</v>
      </c>
      <c r="AT890" s="545" t="str">
        <f>IF(A890="","",IF(AP890&lt;=1,"Cleared",IF(AS890=0,"Clean",VLOOKUP($AS890,Ref!$G$23:$H$28,2))))</f>
        <v/>
      </c>
      <c r="AU890" s="546" t="str">
        <f t="shared" si="380"/>
        <v/>
      </c>
    </row>
    <row r="891" spans="1:47" ht="14.25" hidden="1" customHeight="1" x14ac:dyDescent="0.15">
      <c r="A891" s="523"/>
      <c r="B891" s="523"/>
      <c r="C891" s="523"/>
      <c r="D891" s="523"/>
      <c r="E891" s="579"/>
      <c r="F891" s="580"/>
      <c r="G891" s="524"/>
      <c r="H891" s="555"/>
      <c r="I891" s="560"/>
      <c r="J891" s="523"/>
      <c r="K891" s="528" t="str">
        <f>IFERROR(VLOOKUP($B891,'Clients-Live'!$A:$C,3,0),"")</f>
        <v/>
      </c>
      <c r="L891" s="528">
        <f>IF(E891="STL",Pricing!$D$38,IF(A891="",0,IF(A891&lt;Pricing!$C$25,Pricing!$D$25,VLOOKUP(Disbursements!$F891,Pricing!$B$29:$D$32,3))))</f>
        <v>0</v>
      </c>
      <c r="M891" s="528">
        <f>IF(E891="STL",0,IF(F891&gt;0,Pricing!$D$21,0))</f>
        <v>0</v>
      </c>
      <c r="N891" s="529">
        <f>IF(E891="STL",F891*Pricing!$D$40,IF(A891&lt;=Pricing!$C$4,0,IF(AND(A891&gt;Pricing!$C$4,Disbursements!A891&lt;=Pricing!$C$5),F891*Pricing!$E$5,IF(AND(A891&gt;Pricing!$C$5,Disbursements!A891&lt;=Pricing!$C$7),VLOOKUP(F891,Pricing!$D$7:$E$8,2)*Disbursements!F891,F891*Pricing!$E$9))))</f>
        <v>0</v>
      </c>
      <c r="O891" s="528">
        <f>IF(E891="STL",0,IF($F891&gt;0,$F891*Pricing!$D$17,0))</f>
        <v>0</v>
      </c>
      <c r="P891" s="530" t="str">
        <f t="shared" si="360"/>
        <v/>
      </c>
      <c r="Q891" s="531" t="str">
        <f>IF($A891="","",$G891/VLOOKUP($I891,Ref!$B$23:$D$29,2,0))</f>
        <v/>
      </c>
      <c r="R891" s="530" t="str">
        <f t="shared" si="361"/>
        <v/>
      </c>
      <c r="S891" s="532" t="str">
        <f t="shared" si="355"/>
        <v/>
      </c>
      <c r="T891" s="531" t="str">
        <f t="shared" si="362"/>
        <v/>
      </c>
      <c r="U891" s="533">
        <f t="shared" si="363"/>
        <v>0</v>
      </c>
      <c r="V891" s="531" t="str">
        <f t="shared" si="364"/>
        <v/>
      </c>
      <c r="W891" s="531" t="str">
        <f t="shared" si="365"/>
        <v/>
      </c>
      <c r="X891" s="534" t="str">
        <f t="shared" si="366"/>
        <v/>
      </c>
      <c r="Y891" s="535" t="str">
        <f>IF($A891="","",IF($I891="weekly",$A891+7,EDATE($A891,VLOOKUP($I891,Ref!$B$24:$C$29,2,0))))</f>
        <v/>
      </c>
      <c r="Z891" s="536" t="str">
        <f t="shared" si="367"/>
        <v/>
      </c>
      <c r="AA891" s="531">
        <f t="shared" si="368"/>
        <v>0</v>
      </c>
      <c r="AB891" s="535" t="str">
        <f t="shared" si="356"/>
        <v/>
      </c>
      <c r="AC891" s="537" t="str">
        <f t="shared" si="357"/>
        <v/>
      </c>
      <c r="AD891" s="538" t="str">
        <f t="shared" ca="1" si="358"/>
        <v/>
      </c>
      <c r="AE891" s="537">
        <f t="shared" ca="1" si="359"/>
        <v>0</v>
      </c>
      <c r="AF891" s="539" t="str">
        <f t="shared" ca="1" si="369"/>
        <v/>
      </c>
      <c r="AG891" s="531" t="str">
        <f t="shared" ca="1" si="370"/>
        <v/>
      </c>
      <c r="AH891" s="531" t="str">
        <f t="shared" ca="1" si="371"/>
        <v/>
      </c>
      <c r="AI891" s="531" t="str">
        <f t="shared" ca="1" si="372"/>
        <v/>
      </c>
      <c r="AJ891" s="531" t="str">
        <f t="shared" si="373"/>
        <v/>
      </c>
      <c r="AK891" s="540">
        <f>SUMIFS('Live Collections'!$S:$S,'Live Collections'!$D:$D,Disbursements!B891,'Live Collections'!$G:$G,Disbursements!C891)</f>
        <v>0</v>
      </c>
      <c r="AL891" s="540">
        <f>SUMIFS('Live Collections'!$T:$T,'Live Collections'!$D:$D,Disbursements!B891,'Live Collections'!$G:$G,Disbursements!C891)</f>
        <v>0</v>
      </c>
      <c r="AM891" s="541">
        <f t="shared" si="374"/>
        <v>0</v>
      </c>
      <c r="AN891" s="542" t="str">
        <f t="shared" si="375"/>
        <v/>
      </c>
      <c r="AO891" s="542" t="str">
        <f t="shared" si="376"/>
        <v/>
      </c>
      <c r="AP891" s="543" t="str">
        <f t="shared" si="377"/>
        <v/>
      </c>
      <c r="AQ891" s="544" t="str">
        <f t="shared" si="378"/>
        <v/>
      </c>
      <c r="AR891" s="545">
        <f t="shared" si="379"/>
        <v>0</v>
      </c>
      <c r="AS891" s="545">
        <f>IFERROR(CEILING($AR891*VLOOKUP($I891,Ref!$B$23:$E$29,4,0),1),0)</f>
        <v>0</v>
      </c>
      <c r="AT891" s="545" t="str">
        <f>IF(A891="","",IF(AP891&lt;=1,"Cleared",IF(AS891=0,"Clean",VLOOKUP($AS891,Ref!$G$23:$H$28,2))))</f>
        <v/>
      </c>
      <c r="AU891" s="546" t="str">
        <f t="shared" si="380"/>
        <v/>
      </c>
    </row>
    <row r="892" spans="1:47" ht="14.25" hidden="1" customHeight="1" x14ac:dyDescent="0.15">
      <c r="A892" s="523"/>
      <c r="B892" s="523"/>
      <c r="C892" s="523"/>
      <c r="D892" s="523"/>
      <c r="E892" s="579"/>
      <c r="F892" s="580"/>
      <c r="G892" s="524"/>
      <c r="H892" s="555"/>
      <c r="I892" s="560"/>
      <c r="J892" s="523"/>
      <c r="K892" s="528" t="str">
        <f>IFERROR(VLOOKUP($B892,'Clients-Live'!$A:$C,3,0),"")</f>
        <v/>
      </c>
      <c r="L892" s="528">
        <f>IF(E892="STL",Pricing!$D$38,IF(A892="",0,IF(A892&lt;Pricing!$C$25,Pricing!$D$25,VLOOKUP(Disbursements!$F892,Pricing!$B$29:$D$32,3))))</f>
        <v>0</v>
      </c>
      <c r="M892" s="528">
        <f>IF(E892="STL",0,IF(F892&gt;0,Pricing!$D$21,0))</f>
        <v>0</v>
      </c>
      <c r="N892" s="529">
        <f>IF(E892="STL",F892*Pricing!$D$40,IF(A892&lt;=Pricing!$C$4,0,IF(AND(A892&gt;Pricing!$C$4,Disbursements!A892&lt;=Pricing!$C$5),F892*Pricing!$E$5,IF(AND(A892&gt;Pricing!$C$5,Disbursements!A892&lt;=Pricing!$C$7),VLOOKUP(F892,Pricing!$D$7:$E$8,2)*Disbursements!F892,F892*Pricing!$E$9))))</f>
        <v>0</v>
      </c>
      <c r="O892" s="528">
        <f>IF(E892="STL",0,IF($F892&gt;0,$F892*Pricing!$D$17,0))</f>
        <v>0</v>
      </c>
      <c r="P892" s="530" t="str">
        <f t="shared" si="360"/>
        <v/>
      </c>
      <c r="Q892" s="531" t="str">
        <f>IF($A892="","",$G892/VLOOKUP($I892,Ref!$B$23:$D$29,2,0))</f>
        <v/>
      </c>
      <c r="R892" s="530" t="str">
        <f t="shared" si="361"/>
        <v/>
      </c>
      <c r="S892" s="532" t="str">
        <f t="shared" si="355"/>
        <v/>
      </c>
      <c r="T892" s="531" t="str">
        <f t="shared" si="362"/>
        <v/>
      </c>
      <c r="U892" s="533">
        <f t="shared" si="363"/>
        <v>0</v>
      </c>
      <c r="V892" s="531" t="str">
        <f t="shared" si="364"/>
        <v/>
      </c>
      <c r="W892" s="531" t="str">
        <f t="shared" si="365"/>
        <v/>
      </c>
      <c r="X892" s="534" t="str">
        <f t="shared" si="366"/>
        <v/>
      </c>
      <c r="Y892" s="535" t="str">
        <f>IF($A892="","",IF($I892="weekly",$A892+7,EDATE($A892,VLOOKUP($I892,Ref!$B$24:$C$29,2,0))))</f>
        <v/>
      </c>
      <c r="Z892" s="536" t="str">
        <f t="shared" si="367"/>
        <v/>
      </c>
      <c r="AA892" s="531">
        <f t="shared" si="368"/>
        <v>0</v>
      </c>
      <c r="AB892" s="535" t="str">
        <f t="shared" si="356"/>
        <v/>
      </c>
      <c r="AC892" s="537" t="str">
        <f t="shared" si="357"/>
        <v/>
      </c>
      <c r="AD892" s="538" t="str">
        <f t="shared" ca="1" si="358"/>
        <v/>
      </c>
      <c r="AE892" s="537">
        <f t="shared" ca="1" si="359"/>
        <v>0</v>
      </c>
      <c r="AF892" s="539" t="str">
        <f t="shared" ca="1" si="369"/>
        <v/>
      </c>
      <c r="AG892" s="531" t="str">
        <f t="shared" ca="1" si="370"/>
        <v/>
      </c>
      <c r="AH892" s="531" t="str">
        <f t="shared" ca="1" si="371"/>
        <v/>
      </c>
      <c r="AI892" s="531" t="str">
        <f t="shared" ca="1" si="372"/>
        <v/>
      </c>
      <c r="AJ892" s="531" t="str">
        <f t="shared" si="373"/>
        <v/>
      </c>
      <c r="AK892" s="540">
        <f>SUMIFS('Live Collections'!$S:$S,'Live Collections'!$D:$D,Disbursements!B892,'Live Collections'!$G:$G,Disbursements!C892)</f>
        <v>0</v>
      </c>
      <c r="AL892" s="540">
        <f>SUMIFS('Live Collections'!$T:$T,'Live Collections'!$D:$D,Disbursements!B892,'Live Collections'!$G:$G,Disbursements!C892)</f>
        <v>0</v>
      </c>
      <c r="AM892" s="541">
        <f t="shared" si="374"/>
        <v>0</v>
      </c>
      <c r="AN892" s="542" t="str">
        <f t="shared" si="375"/>
        <v/>
      </c>
      <c r="AO892" s="542" t="str">
        <f t="shared" si="376"/>
        <v/>
      </c>
      <c r="AP892" s="543" t="str">
        <f t="shared" si="377"/>
        <v/>
      </c>
      <c r="AQ892" s="544" t="str">
        <f t="shared" si="378"/>
        <v/>
      </c>
      <c r="AR892" s="545">
        <f t="shared" si="379"/>
        <v>0</v>
      </c>
      <c r="AS892" s="545">
        <f>IFERROR(CEILING($AR892*VLOOKUP($I892,Ref!$B$23:$E$29,4,0),1),0)</f>
        <v>0</v>
      </c>
      <c r="AT892" s="545" t="str">
        <f>IF(A892="","",IF(AP892&lt;=1,"Cleared",IF(AS892=0,"Clean",VLOOKUP($AS892,Ref!$G$23:$H$28,2))))</f>
        <v/>
      </c>
      <c r="AU892" s="546" t="str">
        <f t="shared" si="380"/>
        <v/>
      </c>
    </row>
    <row r="893" spans="1:47" ht="14.25" hidden="1" customHeight="1" x14ac:dyDescent="0.15">
      <c r="A893" s="523"/>
      <c r="B893" s="523"/>
      <c r="C893" s="523"/>
      <c r="D893" s="523"/>
      <c r="E893" s="579"/>
      <c r="F893" s="580"/>
      <c r="G893" s="524"/>
      <c r="H893" s="555"/>
      <c r="I893" s="560"/>
      <c r="J893" s="523"/>
      <c r="K893" s="528" t="str">
        <f>IFERROR(VLOOKUP($B893,'Clients-Live'!$A:$C,3,0),"")</f>
        <v/>
      </c>
      <c r="L893" s="528">
        <f>IF(E893="STL",Pricing!$D$38,IF(A893="",0,IF(A893&lt;Pricing!$C$25,Pricing!$D$25,VLOOKUP(Disbursements!$F893,Pricing!$B$29:$D$32,3))))</f>
        <v>0</v>
      </c>
      <c r="M893" s="528">
        <f>IF(E893="STL",0,IF(F893&gt;0,Pricing!$D$21,0))</f>
        <v>0</v>
      </c>
      <c r="N893" s="529">
        <f>IF(E893="STL",F893*Pricing!$D$40,IF(A893&lt;=Pricing!$C$4,0,IF(AND(A893&gt;Pricing!$C$4,Disbursements!A893&lt;=Pricing!$C$5),F893*Pricing!$E$5,IF(AND(A893&gt;Pricing!$C$5,Disbursements!A893&lt;=Pricing!$C$7),VLOOKUP(F893,Pricing!$D$7:$E$8,2)*Disbursements!F893,F893*Pricing!$E$9))))</f>
        <v>0</v>
      </c>
      <c r="O893" s="528">
        <f>IF(E893="STL",0,IF($F893&gt;0,$F893*Pricing!$D$17,0))</f>
        <v>0</v>
      </c>
      <c r="P893" s="530" t="str">
        <f t="shared" si="360"/>
        <v/>
      </c>
      <c r="Q893" s="531" t="str">
        <f>IF($A893="","",$G893/VLOOKUP($I893,Ref!$B$23:$D$29,2,0))</f>
        <v/>
      </c>
      <c r="R893" s="530" t="str">
        <f t="shared" si="361"/>
        <v/>
      </c>
      <c r="S893" s="532" t="str">
        <f t="shared" si="355"/>
        <v/>
      </c>
      <c r="T893" s="531" t="str">
        <f t="shared" si="362"/>
        <v/>
      </c>
      <c r="U893" s="533">
        <f t="shared" si="363"/>
        <v>0</v>
      </c>
      <c r="V893" s="531" t="str">
        <f t="shared" si="364"/>
        <v/>
      </c>
      <c r="W893" s="531" t="str">
        <f t="shared" si="365"/>
        <v/>
      </c>
      <c r="X893" s="534" t="str">
        <f t="shared" si="366"/>
        <v/>
      </c>
      <c r="Y893" s="535" t="str">
        <f>IF($A893="","",IF($I893="weekly",$A893+7,EDATE($A893,VLOOKUP($I893,Ref!$B$24:$C$29,2,0))))</f>
        <v/>
      </c>
      <c r="Z893" s="536" t="str">
        <f t="shared" si="367"/>
        <v/>
      </c>
      <c r="AA893" s="531">
        <f t="shared" si="368"/>
        <v>0</v>
      </c>
      <c r="AB893" s="535" t="str">
        <f t="shared" si="356"/>
        <v/>
      </c>
      <c r="AC893" s="537" t="str">
        <f t="shared" si="357"/>
        <v/>
      </c>
      <c r="AD893" s="538" t="str">
        <f t="shared" ca="1" si="358"/>
        <v/>
      </c>
      <c r="AE893" s="537">
        <f t="shared" ca="1" si="359"/>
        <v>0</v>
      </c>
      <c r="AF893" s="539" t="str">
        <f t="shared" ca="1" si="369"/>
        <v/>
      </c>
      <c r="AG893" s="531" t="str">
        <f t="shared" ca="1" si="370"/>
        <v/>
      </c>
      <c r="AH893" s="531" t="str">
        <f t="shared" ca="1" si="371"/>
        <v/>
      </c>
      <c r="AI893" s="531" t="str">
        <f t="shared" ca="1" si="372"/>
        <v/>
      </c>
      <c r="AJ893" s="531" t="str">
        <f t="shared" si="373"/>
        <v/>
      </c>
      <c r="AK893" s="540">
        <f>SUMIFS('Live Collections'!$S:$S,'Live Collections'!$D:$D,Disbursements!B893,'Live Collections'!$G:$G,Disbursements!C893)</f>
        <v>0</v>
      </c>
      <c r="AL893" s="540">
        <f>SUMIFS('Live Collections'!$T:$T,'Live Collections'!$D:$D,Disbursements!B893,'Live Collections'!$G:$G,Disbursements!C893)</f>
        <v>0</v>
      </c>
      <c r="AM893" s="541">
        <f t="shared" si="374"/>
        <v>0</v>
      </c>
      <c r="AN893" s="542" t="str">
        <f t="shared" si="375"/>
        <v/>
      </c>
      <c r="AO893" s="542" t="str">
        <f t="shared" si="376"/>
        <v/>
      </c>
      <c r="AP893" s="543" t="str">
        <f t="shared" si="377"/>
        <v/>
      </c>
      <c r="AQ893" s="544" t="str">
        <f t="shared" si="378"/>
        <v/>
      </c>
      <c r="AR893" s="545">
        <f t="shared" si="379"/>
        <v>0</v>
      </c>
      <c r="AS893" s="545">
        <f>IFERROR(CEILING($AR893*VLOOKUP($I893,Ref!$B$23:$E$29,4,0),1),0)</f>
        <v>0</v>
      </c>
      <c r="AT893" s="545" t="str">
        <f>IF(A893="","",IF(AP893&lt;=1,"Cleared",IF(AS893=0,"Clean",VLOOKUP($AS893,Ref!$G$23:$H$28,2))))</f>
        <v/>
      </c>
      <c r="AU893" s="546" t="str">
        <f t="shared" si="380"/>
        <v/>
      </c>
    </row>
    <row r="894" spans="1:47" ht="14.25" hidden="1" customHeight="1" x14ac:dyDescent="0.15">
      <c r="A894" s="523"/>
      <c r="B894" s="523"/>
      <c r="C894" s="523"/>
      <c r="D894" s="523"/>
      <c r="E894" s="579"/>
      <c r="F894" s="580"/>
      <c r="G894" s="524"/>
      <c r="H894" s="555"/>
      <c r="I894" s="560"/>
      <c r="J894" s="523"/>
      <c r="K894" s="528" t="str">
        <f>IFERROR(VLOOKUP($B894,'Clients-Live'!$A:$C,3,0),"")</f>
        <v/>
      </c>
      <c r="L894" s="528">
        <f>IF(E894="STL",Pricing!$D$38,IF(A894="",0,IF(A894&lt;Pricing!$C$25,Pricing!$D$25,VLOOKUP(Disbursements!$F894,Pricing!$B$29:$D$32,3))))</f>
        <v>0</v>
      </c>
      <c r="M894" s="528">
        <f>IF(E894="STL",0,IF(F894&gt;0,Pricing!$D$21,0))</f>
        <v>0</v>
      </c>
      <c r="N894" s="529">
        <f>IF(E894="STL",F894*Pricing!$D$40,IF(A894&lt;=Pricing!$C$4,0,IF(AND(A894&gt;Pricing!$C$4,Disbursements!A894&lt;=Pricing!$C$5),F894*Pricing!$E$5,IF(AND(A894&gt;Pricing!$C$5,Disbursements!A894&lt;=Pricing!$C$7),VLOOKUP(F894,Pricing!$D$7:$E$8,2)*Disbursements!F894,F894*Pricing!$E$9))))</f>
        <v>0</v>
      </c>
      <c r="O894" s="528">
        <f>IF(E894="STL",0,IF($F894&gt;0,$F894*Pricing!$D$17,0))</f>
        <v>0</v>
      </c>
      <c r="P894" s="530" t="str">
        <f t="shared" si="360"/>
        <v/>
      </c>
      <c r="Q894" s="531" t="str">
        <f>IF($A894="","",$G894/VLOOKUP($I894,Ref!$B$23:$D$29,2,0))</f>
        <v/>
      </c>
      <c r="R894" s="530" t="str">
        <f t="shared" si="361"/>
        <v/>
      </c>
      <c r="S894" s="532" t="str">
        <f t="shared" si="355"/>
        <v/>
      </c>
      <c r="T894" s="531" t="str">
        <f t="shared" si="362"/>
        <v/>
      </c>
      <c r="U894" s="533">
        <f t="shared" si="363"/>
        <v>0</v>
      </c>
      <c r="V894" s="531" t="str">
        <f t="shared" si="364"/>
        <v/>
      </c>
      <c r="W894" s="531" t="str">
        <f t="shared" si="365"/>
        <v/>
      </c>
      <c r="X894" s="534" t="str">
        <f t="shared" si="366"/>
        <v/>
      </c>
      <c r="Y894" s="535" t="str">
        <f>IF($A894="","",IF($I894="weekly",$A894+7,EDATE($A894,VLOOKUP($I894,Ref!$B$24:$C$29,2,0))))</f>
        <v/>
      </c>
      <c r="Z894" s="536" t="str">
        <f t="shared" si="367"/>
        <v/>
      </c>
      <c r="AA894" s="531">
        <f t="shared" si="368"/>
        <v>0</v>
      </c>
      <c r="AB894" s="535" t="str">
        <f t="shared" si="356"/>
        <v/>
      </c>
      <c r="AC894" s="537" t="str">
        <f t="shared" si="357"/>
        <v/>
      </c>
      <c r="AD894" s="538" t="str">
        <f t="shared" ca="1" si="358"/>
        <v/>
      </c>
      <c r="AE894" s="537">
        <f t="shared" ca="1" si="359"/>
        <v>0</v>
      </c>
      <c r="AF894" s="539" t="str">
        <f t="shared" ca="1" si="369"/>
        <v/>
      </c>
      <c r="AG894" s="531" t="str">
        <f t="shared" ca="1" si="370"/>
        <v/>
      </c>
      <c r="AH894" s="531" t="str">
        <f t="shared" ca="1" si="371"/>
        <v/>
      </c>
      <c r="AI894" s="531" t="str">
        <f t="shared" ca="1" si="372"/>
        <v/>
      </c>
      <c r="AJ894" s="531" t="str">
        <f t="shared" si="373"/>
        <v/>
      </c>
      <c r="AK894" s="540">
        <f>SUMIFS('Live Collections'!$S:$S,'Live Collections'!$D:$D,Disbursements!B894,'Live Collections'!$G:$G,Disbursements!C894)</f>
        <v>0</v>
      </c>
      <c r="AL894" s="540">
        <f>SUMIFS('Live Collections'!$T:$T,'Live Collections'!$D:$D,Disbursements!B894,'Live Collections'!$G:$G,Disbursements!C894)</f>
        <v>0</v>
      </c>
      <c r="AM894" s="541">
        <f t="shared" si="374"/>
        <v>0</v>
      </c>
      <c r="AN894" s="542" t="str">
        <f t="shared" si="375"/>
        <v/>
      </c>
      <c r="AO894" s="542" t="str">
        <f t="shared" si="376"/>
        <v/>
      </c>
      <c r="AP894" s="543" t="str">
        <f t="shared" si="377"/>
        <v/>
      </c>
      <c r="AQ894" s="544" t="str">
        <f t="shared" si="378"/>
        <v/>
      </c>
      <c r="AR894" s="545">
        <f t="shared" si="379"/>
        <v>0</v>
      </c>
      <c r="AS894" s="545">
        <f>IFERROR(CEILING($AR894*VLOOKUP($I894,Ref!$B$23:$E$29,4,0),1),0)</f>
        <v>0</v>
      </c>
      <c r="AT894" s="545" t="str">
        <f>IF(A894="","",IF(AP894&lt;=1,"Cleared",IF(AS894=0,"Clean",VLOOKUP($AS894,Ref!$G$23:$H$28,2))))</f>
        <v/>
      </c>
      <c r="AU894" s="546" t="str">
        <f t="shared" si="380"/>
        <v/>
      </c>
    </row>
    <row r="895" spans="1:47" ht="14.25" hidden="1" customHeight="1" x14ac:dyDescent="0.15">
      <c r="A895" s="523"/>
      <c r="B895" s="523"/>
      <c r="C895" s="523"/>
      <c r="D895" s="523"/>
      <c r="E895" s="579"/>
      <c r="F895" s="580"/>
      <c r="G895" s="524"/>
      <c r="H895" s="555"/>
      <c r="I895" s="560"/>
      <c r="J895" s="523"/>
      <c r="K895" s="528" t="str">
        <f>IFERROR(VLOOKUP($B895,'Clients-Live'!$A:$C,3,0),"")</f>
        <v/>
      </c>
      <c r="L895" s="528">
        <f>IF(E895="STL",Pricing!$D$38,IF(A895="",0,IF(A895&lt;Pricing!$C$25,Pricing!$D$25,VLOOKUP(Disbursements!$F895,Pricing!$B$29:$D$32,3))))</f>
        <v>0</v>
      </c>
      <c r="M895" s="528">
        <f>IF(E895="STL",0,IF(F895&gt;0,Pricing!$D$21,0))</f>
        <v>0</v>
      </c>
      <c r="N895" s="529">
        <f>IF(E895="STL",F895*Pricing!$D$40,IF(A895&lt;=Pricing!$C$4,0,IF(AND(A895&gt;Pricing!$C$4,Disbursements!A895&lt;=Pricing!$C$5),F895*Pricing!$E$5,IF(AND(A895&gt;Pricing!$C$5,Disbursements!A895&lt;=Pricing!$C$7),VLOOKUP(F895,Pricing!$D$7:$E$8,2)*Disbursements!F895,F895*Pricing!$E$9))))</f>
        <v>0</v>
      </c>
      <c r="O895" s="528">
        <f>IF(E895="STL",0,IF($F895&gt;0,$F895*Pricing!$D$17,0))</f>
        <v>0</v>
      </c>
      <c r="P895" s="530" t="str">
        <f t="shared" si="360"/>
        <v/>
      </c>
      <c r="Q895" s="531" t="str">
        <f>IF($A895="","",$G895/VLOOKUP($I895,Ref!$B$23:$D$29,2,0))</f>
        <v/>
      </c>
      <c r="R895" s="530" t="str">
        <f t="shared" si="361"/>
        <v/>
      </c>
      <c r="S895" s="532" t="str">
        <f t="shared" si="355"/>
        <v/>
      </c>
      <c r="T895" s="531" t="str">
        <f t="shared" si="362"/>
        <v/>
      </c>
      <c r="U895" s="533">
        <f t="shared" si="363"/>
        <v>0</v>
      </c>
      <c r="V895" s="531" t="str">
        <f t="shared" si="364"/>
        <v/>
      </c>
      <c r="W895" s="531" t="str">
        <f t="shared" si="365"/>
        <v/>
      </c>
      <c r="X895" s="534" t="str">
        <f t="shared" si="366"/>
        <v/>
      </c>
      <c r="Y895" s="535" t="str">
        <f>IF($A895="","",IF($I895="weekly",$A895+7,EDATE($A895,VLOOKUP($I895,Ref!$B$24:$C$29,2,0))))</f>
        <v/>
      </c>
      <c r="Z895" s="536" t="str">
        <f t="shared" si="367"/>
        <v/>
      </c>
      <c r="AA895" s="531">
        <f t="shared" si="368"/>
        <v>0</v>
      </c>
      <c r="AB895" s="535" t="str">
        <f t="shared" si="356"/>
        <v/>
      </c>
      <c r="AC895" s="537" t="str">
        <f t="shared" si="357"/>
        <v/>
      </c>
      <c r="AD895" s="538" t="str">
        <f t="shared" ca="1" si="358"/>
        <v/>
      </c>
      <c r="AE895" s="537">
        <f t="shared" ca="1" si="359"/>
        <v>0</v>
      </c>
      <c r="AF895" s="539" t="str">
        <f t="shared" ca="1" si="369"/>
        <v/>
      </c>
      <c r="AG895" s="531" t="str">
        <f t="shared" ca="1" si="370"/>
        <v/>
      </c>
      <c r="AH895" s="531" t="str">
        <f t="shared" ca="1" si="371"/>
        <v/>
      </c>
      <c r="AI895" s="531" t="str">
        <f t="shared" ca="1" si="372"/>
        <v/>
      </c>
      <c r="AJ895" s="531" t="str">
        <f t="shared" si="373"/>
        <v/>
      </c>
      <c r="AK895" s="540">
        <f>SUMIFS('Live Collections'!$S:$S,'Live Collections'!$D:$D,Disbursements!B895,'Live Collections'!$G:$G,Disbursements!C895)</f>
        <v>0</v>
      </c>
      <c r="AL895" s="540">
        <f>SUMIFS('Live Collections'!$T:$T,'Live Collections'!$D:$D,Disbursements!B895,'Live Collections'!$G:$G,Disbursements!C895)</f>
        <v>0</v>
      </c>
      <c r="AM895" s="541">
        <f t="shared" si="374"/>
        <v>0</v>
      </c>
      <c r="AN895" s="542" t="str">
        <f t="shared" si="375"/>
        <v/>
      </c>
      <c r="AO895" s="542" t="str">
        <f t="shared" si="376"/>
        <v/>
      </c>
      <c r="AP895" s="543" t="str">
        <f t="shared" si="377"/>
        <v/>
      </c>
      <c r="AQ895" s="544" t="str">
        <f t="shared" si="378"/>
        <v/>
      </c>
      <c r="AR895" s="545">
        <f t="shared" si="379"/>
        <v>0</v>
      </c>
      <c r="AS895" s="545">
        <f>IFERROR(CEILING($AR895*VLOOKUP($I895,Ref!$B$23:$E$29,4,0),1),0)</f>
        <v>0</v>
      </c>
      <c r="AT895" s="545" t="str">
        <f>IF(A895="","",IF(AP895&lt;=1,"Cleared",IF(AS895=0,"Clean",VLOOKUP($AS895,Ref!$G$23:$H$28,2))))</f>
        <v/>
      </c>
      <c r="AU895" s="546" t="str">
        <f t="shared" si="380"/>
        <v/>
      </c>
    </row>
    <row r="896" spans="1:47" ht="14.25" hidden="1" customHeight="1" x14ac:dyDescent="0.15">
      <c r="A896" s="523"/>
      <c r="B896" s="523"/>
      <c r="C896" s="523"/>
      <c r="D896" s="523"/>
      <c r="E896" s="579"/>
      <c r="F896" s="580"/>
      <c r="G896" s="524"/>
      <c r="H896" s="555"/>
      <c r="I896" s="560"/>
      <c r="J896" s="523"/>
      <c r="K896" s="528" t="str">
        <f>IFERROR(VLOOKUP($B896,'Clients-Live'!$A:$C,3,0),"")</f>
        <v/>
      </c>
      <c r="L896" s="528">
        <f>IF(E896="STL",Pricing!$D$38,IF(A896="",0,IF(A896&lt;Pricing!$C$25,Pricing!$D$25,VLOOKUP(Disbursements!$F896,Pricing!$B$29:$D$32,3))))</f>
        <v>0</v>
      </c>
      <c r="M896" s="528">
        <f>IF(E896="STL",0,IF(F896&gt;0,Pricing!$D$21,0))</f>
        <v>0</v>
      </c>
      <c r="N896" s="529">
        <f>IF(E896="STL",F896*Pricing!$D$40,IF(A896&lt;=Pricing!$C$4,0,IF(AND(A896&gt;Pricing!$C$4,Disbursements!A896&lt;=Pricing!$C$5),F896*Pricing!$E$5,IF(AND(A896&gt;Pricing!$C$5,Disbursements!A896&lt;=Pricing!$C$7),VLOOKUP(F896,Pricing!$D$7:$E$8,2)*Disbursements!F896,F896*Pricing!$E$9))))</f>
        <v>0</v>
      </c>
      <c r="O896" s="528">
        <f>IF(E896="STL",0,IF($F896&gt;0,$F896*Pricing!$D$17,0))</f>
        <v>0</v>
      </c>
      <c r="P896" s="530" t="str">
        <f t="shared" si="360"/>
        <v/>
      </c>
      <c r="Q896" s="531" t="str">
        <f>IF($A896="","",$G896/VLOOKUP($I896,Ref!$B$23:$D$29,2,0))</f>
        <v/>
      </c>
      <c r="R896" s="530" t="str">
        <f t="shared" si="361"/>
        <v/>
      </c>
      <c r="S896" s="532" t="str">
        <f t="shared" si="355"/>
        <v/>
      </c>
      <c r="T896" s="531" t="str">
        <f t="shared" si="362"/>
        <v/>
      </c>
      <c r="U896" s="533">
        <f t="shared" si="363"/>
        <v>0</v>
      </c>
      <c r="V896" s="531" t="str">
        <f t="shared" si="364"/>
        <v/>
      </c>
      <c r="W896" s="531" t="str">
        <f t="shared" si="365"/>
        <v/>
      </c>
      <c r="X896" s="534" t="str">
        <f t="shared" si="366"/>
        <v/>
      </c>
      <c r="Y896" s="535" t="str">
        <f>IF($A896="","",IF($I896="weekly",$A896+7,EDATE($A896,VLOOKUP($I896,Ref!$B$24:$C$29,2,0))))</f>
        <v/>
      </c>
      <c r="Z896" s="536" t="str">
        <f t="shared" si="367"/>
        <v/>
      </c>
      <c r="AA896" s="531">
        <f t="shared" si="368"/>
        <v>0</v>
      </c>
      <c r="AB896" s="535" t="str">
        <f t="shared" si="356"/>
        <v/>
      </c>
      <c r="AC896" s="537" t="str">
        <f t="shared" si="357"/>
        <v/>
      </c>
      <c r="AD896" s="538" t="str">
        <f t="shared" ca="1" si="358"/>
        <v/>
      </c>
      <c r="AE896" s="537">
        <f t="shared" ca="1" si="359"/>
        <v>0</v>
      </c>
      <c r="AF896" s="539" t="str">
        <f t="shared" ca="1" si="369"/>
        <v/>
      </c>
      <c r="AG896" s="531" t="str">
        <f t="shared" ca="1" si="370"/>
        <v/>
      </c>
      <c r="AH896" s="531" t="str">
        <f t="shared" ca="1" si="371"/>
        <v/>
      </c>
      <c r="AI896" s="531" t="str">
        <f t="shared" ca="1" si="372"/>
        <v/>
      </c>
      <c r="AJ896" s="531" t="str">
        <f t="shared" si="373"/>
        <v/>
      </c>
      <c r="AK896" s="540">
        <f>SUMIFS('Live Collections'!$S:$S,'Live Collections'!$D:$D,Disbursements!B896,'Live Collections'!$G:$G,Disbursements!C896)</f>
        <v>0</v>
      </c>
      <c r="AL896" s="540">
        <f>SUMIFS('Live Collections'!$T:$T,'Live Collections'!$D:$D,Disbursements!B896,'Live Collections'!$G:$G,Disbursements!C896)</f>
        <v>0</v>
      </c>
      <c r="AM896" s="541">
        <f t="shared" si="374"/>
        <v>0</v>
      </c>
      <c r="AN896" s="542" t="str">
        <f t="shared" si="375"/>
        <v/>
      </c>
      <c r="AO896" s="542" t="str">
        <f t="shared" si="376"/>
        <v/>
      </c>
      <c r="AP896" s="543" t="str">
        <f t="shared" si="377"/>
        <v/>
      </c>
      <c r="AQ896" s="544" t="str">
        <f t="shared" si="378"/>
        <v/>
      </c>
      <c r="AR896" s="545">
        <f t="shared" si="379"/>
        <v>0</v>
      </c>
      <c r="AS896" s="545">
        <f>IFERROR(CEILING($AR896*VLOOKUP($I896,Ref!$B$23:$E$29,4,0),1),0)</f>
        <v>0</v>
      </c>
      <c r="AT896" s="545" t="str">
        <f>IF(A896="","",IF(AP896&lt;=1,"Cleared",IF(AS896=0,"Clean",VLOOKUP($AS896,Ref!$G$23:$H$28,2))))</f>
        <v/>
      </c>
      <c r="AU896" s="546" t="str">
        <f t="shared" si="380"/>
        <v/>
      </c>
    </row>
    <row r="897" spans="1:47" ht="14.25" hidden="1" customHeight="1" x14ac:dyDescent="0.15">
      <c r="A897" s="523"/>
      <c r="B897" s="523"/>
      <c r="C897" s="523"/>
      <c r="D897" s="523"/>
      <c r="E897" s="579"/>
      <c r="F897" s="580"/>
      <c r="G897" s="524"/>
      <c r="H897" s="555"/>
      <c r="I897" s="560"/>
      <c r="J897" s="523"/>
      <c r="K897" s="528" t="str">
        <f>IFERROR(VLOOKUP($B897,'Clients-Live'!$A:$C,3,0),"")</f>
        <v/>
      </c>
      <c r="L897" s="528">
        <f>IF(E897="STL",Pricing!$D$38,IF(A897="",0,IF(A897&lt;Pricing!$C$25,Pricing!$D$25,VLOOKUP(Disbursements!$F897,Pricing!$B$29:$D$32,3))))</f>
        <v>0</v>
      </c>
      <c r="M897" s="528">
        <f>IF(E897="STL",0,IF(F897&gt;0,Pricing!$D$21,0))</f>
        <v>0</v>
      </c>
      <c r="N897" s="529">
        <f>IF(E897="STL",F897*Pricing!$D$40,IF(A897&lt;=Pricing!$C$4,0,IF(AND(A897&gt;Pricing!$C$4,Disbursements!A897&lt;=Pricing!$C$5),F897*Pricing!$E$5,IF(AND(A897&gt;Pricing!$C$5,Disbursements!A897&lt;=Pricing!$C$7),VLOOKUP(F897,Pricing!$D$7:$E$8,2)*Disbursements!F897,F897*Pricing!$E$9))))</f>
        <v>0</v>
      </c>
      <c r="O897" s="528">
        <f>IF(E897="STL",0,IF($F897&gt;0,$F897*Pricing!$D$17,0))</f>
        <v>0</v>
      </c>
      <c r="P897" s="530" t="str">
        <f t="shared" si="360"/>
        <v/>
      </c>
      <c r="Q897" s="531" t="str">
        <f>IF($A897="","",$G897/VLOOKUP($I897,Ref!$B$23:$D$29,2,0))</f>
        <v/>
      </c>
      <c r="R897" s="530" t="str">
        <f t="shared" si="361"/>
        <v/>
      </c>
      <c r="S897" s="532" t="str">
        <f t="shared" si="355"/>
        <v/>
      </c>
      <c r="T897" s="531" t="str">
        <f t="shared" si="362"/>
        <v/>
      </c>
      <c r="U897" s="533">
        <f t="shared" si="363"/>
        <v>0</v>
      </c>
      <c r="V897" s="531" t="str">
        <f t="shared" si="364"/>
        <v/>
      </c>
      <c r="W897" s="531" t="str">
        <f t="shared" si="365"/>
        <v/>
      </c>
      <c r="X897" s="534" t="str">
        <f t="shared" si="366"/>
        <v/>
      </c>
      <c r="Y897" s="535" t="str">
        <f>IF($A897="","",IF($I897="weekly",$A897+7,EDATE($A897,VLOOKUP($I897,Ref!$B$24:$C$29,2,0))))</f>
        <v/>
      </c>
      <c r="Z897" s="536" t="str">
        <f t="shared" si="367"/>
        <v/>
      </c>
      <c r="AA897" s="531">
        <f t="shared" si="368"/>
        <v>0</v>
      </c>
      <c r="AB897" s="535" t="str">
        <f t="shared" si="356"/>
        <v/>
      </c>
      <c r="AC897" s="537" t="str">
        <f t="shared" si="357"/>
        <v/>
      </c>
      <c r="AD897" s="538" t="str">
        <f t="shared" ca="1" si="358"/>
        <v/>
      </c>
      <c r="AE897" s="537">
        <f t="shared" ca="1" si="359"/>
        <v>0</v>
      </c>
      <c r="AF897" s="539" t="str">
        <f t="shared" ca="1" si="369"/>
        <v/>
      </c>
      <c r="AG897" s="531" t="str">
        <f t="shared" ca="1" si="370"/>
        <v/>
      </c>
      <c r="AH897" s="531" t="str">
        <f t="shared" ca="1" si="371"/>
        <v/>
      </c>
      <c r="AI897" s="531" t="str">
        <f t="shared" ca="1" si="372"/>
        <v/>
      </c>
      <c r="AJ897" s="531" t="str">
        <f t="shared" si="373"/>
        <v/>
      </c>
      <c r="AK897" s="540">
        <f>SUMIFS('Live Collections'!$S:$S,'Live Collections'!$D:$D,Disbursements!B897,'Live Collections'!$G:$G,Disbursements!C897)</f>
        <v>0</v>
      </c>
      <c r="AL897" s="540">
        <f>SUMIFS('Live Collections'!$T:$T,'Live Collections'!$D:$D,Disbursements!B897,'Live Collections'!$G:$G,Disbursements!C897)</f>
        <v>0</v>
      </c>
      <c r="AM897" s="541">
        <f t="shared" si="374"/>
        <v>0</v>
      </c>
      <c r="AN897" s="542" t="str">
        <f t="shared" si="375"/>
        <v/>
      </c>
      <c r="AO897" s="542" t="str">
        <f t="shared" si="376"/>
        <v/>
      </c>
      <c r="AP897" s="543" t="str">
        <f t="shared" si="377"/>
        <v/>
      </c>
      <c r="AQ897" s="544" t="str">
        <f t="shared" si="378"/>
        <v/>
      </c>
      <c r="AR897" s="545">
        <f t="shared" si="379"/>
        <v>0</v>
      </c>
      <c r="AS897" s="545">
        <f>IFERROR(CEILING($AR897*VLOOKUP($I897,Ref!$B$23:$E$29,4,0),1),0)</f>
        <v>0</v>
      </c>
      <c r="AT897" s="545" t="str">
        <f>IF(A897="","",IF(AP897&lt;=1,"Cleared",IF(AS897=0,"Clean",VLOOKUP($AS897,Ref!$G$23:$H$28,2))))</f>
        <v/>
      </c>
      <c r="AU897" s="546" t="str">
        <f t="shared" si="380"/>
        <v/>
      </c>
    </row>
    <row r="898" spans="1:47" ht="14.25" hidden="1" customHeight="1" x14ac:dyDescent="0.15">
      <c r="A898" s="523"/>
      <c r="B898" s="523"/>
      <c r="C898" s="523"/>
      <c r="D898" s="523"/>
      <c r="E898" s="579"/>
      <c r="F898" s="580"/>
      <c r="G898" s="524"/>
      <c r="H898" s="555"/>
      <c r="I898" s="560"/>
      <c r="J898" s="523"/>
      <c r="K898" s="528" t="str">
        <f>IFERROR(VLOOKUP($B898,'Clients-Live'!$A:$C,3,0),"")</f>
        <v/>
      </c>
      <c r="L898" s="528">
        <f>IF(E898="STL",Pricing!$D$38,IF(A898="",0,IF(A898&lt;Pricing!$C$25,Pricing!$D$25,VLOOKUP(Disbursements!$F898,Pricing!$B$29:$D$32,3))))</f>
        <v>0</v>
      </c>
      <c r="M898" s="528">
        <f>IF(E898="STL",0,IF(F898&gt;0,Pricing!$D$21,0))</f>
        <v>0</v>
      </c>
      <c r="N898" s="529">
        <f>IF(E898="STL",F898*Pricing!$D$40,IF(A898&lt;=Pricing!$C$4,0,IF(AND(A898&gt;Pricing!$C$4,Disbursements!A898&lt;=Pricing!$C$5),F898*Pricing!$E$5,IF(AND(A898&gt;Pricing!$C$5,Disbursements!A898&lt;=Pricing!$C$7),VLOOKUP(F898,Pricing!$D$7:$E$8,2)*Disbursements!F898,F898*Pricing!$E$9))))</f>
        <v>0</v>
      </c>
      <c r="O898" s="528">
        <f>IF(E898="STL",0,IF($F898&gt;0,$F898*Pricing!$D$17,0))</f>
        <v>0</v>
      </c>
      <c r="P898" s="530" t="str">
        <f t="shared" si="360"/>
        <v/>
      </c>
      <c r="Q898" s="531" t="str">
        <f>IF($A898="","",$G898/VLOOKUP($I898,Ref!$B$23:$D$29,2,0))</f>
        <v/>
      </c>
      <c r="R898" s="530" t="str">
        <f t="shared" si="361"/>
        <v/>
      </c>
      <c r="S898" s="532" t="str">
        <f t="shared" si="355"/>
        <v/>
      </c>
      <c r="T898" s="531" t="str">
        <f t="shared" si="362"/>
        <v/>
      </c>
      <c r="U898" s="533">
        <f t="shared" si="363"/>
        <v>0</v>
      </c>
      <c r="V898" s="531" t="str">
        <f t="shared" si="364"/>
        <v/>
      </c>
      <c r="W898" s="531" t="str">
        <f t="shared" si="365"/>
        <v/>
      </c>
      <c r="X898" s="534" t="str">
        <f t="shared" si="366"/>
        <v/>
      </c>
      <c r="Y898" s="535" t="str">
        <f>IF($A898="","",IF($I898="weekly",$A898+7,EDATE($A898,VLOOKUP($I898,Ref!$B$24:$C$29,2,0))))</f>
        <v/>
      </c>
      <c r="Z898" s="536" t="str">
        <f t="shared" si="367"/>
        <v/>
      </c>
      <c r="AA898" s="531">
        <f t="shared" si="368"/>
        <v>0</v>
      </c>
      <c r="AB898" s="535" t="str">
        <f t="shared" si="356"/>
        <v/>
      </c>
      <c r="AC898" s="537" t="str">
        <f t="shared" si="357"/>
        <v/>
      </c>
      <c r="AD898" s="538" t="str">
        <f t="shared" ca="1" si="358"/>
        <v/>
      </c>
      <c r="AE898" s="537">
        <f t="shared" ca="1" si="359"/>
        <v>0</v>
      </c>
      <c r="AF898" s="539" t="str">
        <f t="shared" ca="1" si="369"/>
        <v/>
      </c>
      <c r="AG898" s="531" t="str">
        <f t="shared" ca="1" si="370"/>
        <v/>
      </c>
      <c r="AH898" s="531" t="str">
        <f t="shared" ca="1" si="371"/>
        <v/>
      </c>
      <c r="AI898" s="531" t="str">
        <f t="shared" ca="1" si="372"/>
        <v/>
      </c>
      <c r="AJ898" s="531" t="str">
        <f t="shared" si="373"/>
        <v/>
      </c>
      <c r="AK898" s="540">
        <f>SUMIFS('Live Collections'!$S:$S,'Live Collections'!$D:$D,Disbursements!B898,'Live Collections'!$G:$G,Disbursements!C898)</f>
        <v>0</v>
      </c>
      <c r="AL898" s="540">
        <f>SUMIFS('Live Collections'!$T:$T,'Live Collections'!$D:$D,Disbursements!B898,'Live Collections'!$G:$G,Disbursements!C898)</f>
        <v>0</v>
      </c>
      <c r="AM898" s="541">
        <f t="shared" si="374"/>
        <v>0</v>
      </c>
      <c r="AN898" s="542" t="str">
        <f t="shared" si="375"/>
        <v/>
      </c>
      <c r="AO898" s="542" t="str">
        <f t="shared" si="376"/>
        <v/>
      </c>
      <c r="AP898" s="543" t="str">
        <f t="shared" si="377"/>
        <v/>
      </c>
      <c r="AQ898" s="544" t="str">
        <f t="shared" si="378"/>
        <v/>
      </c>
      <c r="AR898" s="545">
        <f t="shared" si="379"/>
        <v>0</v>
      </c>
      <c r="AS898" s="545">
        <f>IFERROR(CEILING($AR898*VLOOKUP($I898,Ref!$B$23:$E$29,4,0),1),0)</f>
        <v>0</v>
      </c>
      <c r="AT898" s="545" t="str">
        <f>IF(A898="","",IF(AP898&lt;=1,"Cleared",IF(AS898=0,"Clean",VLOOKUP($AS898,Ref!$G$23:$H$28,2))))</f>
        <v/>
      </c>
      <c r="AU898" s="546" t="str">
        <f t="shared" si="380"/>
        <v/>
      </c>
    </row>
    <row r="899" spans="1:47" ht="14.25" hidden="1" customHeight="1" x14ac:dyDescent="0.15">
      <c r="A899" s="523"/>
      <c r="B899" s="523"/>
      <c r="C899" s="523"/>
      <c r="D899" s="523"/>
      <c r="E899" s="579"/>
      <c r="F899" s="580"/>
      <c r="G899" s="524"/>
      <c r="H899" s="555"/>
      <c r="I899" s="560"/>
      <c r="J899" s="523"/>
      <c r="K899" s="528" t="str">
        <f>IFERROR(VLOOKUP($B899,'Clients-Live'!$A:$C,3,0),"")</f>
        <v/>
      </c>
      <c r="L899" s="528">
        <f>IF(E899="STL",Pricing!$D$38,IF(A899="",0,IF(A899&lt;Pricing!$C$25,Pricing!$D$25,VLOOKUP(Disbursements!$F899,Pricing!$B$29:$D$32,3))))</f>
        <v>0</v>
      </c>
      <c r="M899" s="528">
        <f>IF(E899="STL",0,IF(F899&gt;0,Pricing!$D$21,0))</f>
        <v>0</v>
      </c>
      <c r="N899" s="529">
        <f>IF(E899="STL",F899*Pricing!$D$40,IF(A899&lt;=Pricing!$C$4,0,IF(AND(A899&gt;Pricing!$C$4,Disbursements!A899&lt;=Pricing!$C$5),F899*Pricing!$E$5,IF(AND(A899&gt;Pricing!$C$5,Disbursements!A899&lt;=Pricing!$C$7),VLOOKUP(F899,Pricing!$D$7:$E$8,2)*Disbursements!F899,F899*Pricing!$E$9))))</f>
        <v>0</v>
      </c>
      <c r="O899" s="528">
        <f>IF(E899="STL",0,IF($F899&gt;0,$F899*Pricing!$D$17,0))</f>
        <v>0</v>
      </c>
      <c r="P899" s="530" t="str">
        <f t="shared" si="360"/>
        <v/>
      </c>
      <c r="Q899" s="531" t="str">
        <f>IF($A899="","",$G899/VLOOKUP($I899,Ref!$B$23:$D$29,2,0))</f>
        <v/>
      </c>
      <c r="R899" s="530" t="str">
        <f t="shared" si="361"/>
        <v/>
      </c>
      <c r="S899" s="532" t="str">
        <f t="shared" si="355"/>
        <v/>
      </c>
      <c r="T899" s="531" t="str">
        <f t="shared" si="362"/>
        <v/>
      </c>
      <c r="U899" s="533">
        <f t="shared" si="363"/>
        <v>0</v>
      </c>
      <c r="V899" s="531" t="str">
        <f t="shared" si="364"/>
        <v/>
      </c>
      <c r="W899" s="531" t="str">
        <f t="shared" si="365"/>
        <v/>
      </c>
      <c r="X899" s="534" t="str">
        <f t="shared" si="366"/>
        <v/>
      </c>
      <c r="Y899" s="535" t="str">
        <f>IF($A899="","",IF($I899="weekly",$A899+7,EDATE($A899,VLOOKUP($I899,Ref!$B$24:$C$29,2,0))))</f>
        <v/>
      </c>
      <c r="Z899" s="536" t="str">
        <f t="shared" si="367"/>
        <v/>
      </c>
      <c r="AA899" s="531">
        <f t="shared" si="368"/>
        <v>0</v>
      </c>
      <c r="AB899" s="535" t="str">
        <f t="shared" si="356"/>
        <v/>
      </c>
      <c r="AC899" s="537" t="str">
        <f t="shared" si="357"/>
        <v/>
      </c>
      <c r="AD899" s="538" t="str">
        <f t="shared" ca="1" si="358"/>
        <v/>
      </c>
      <c r="AE899" s="537">
        <f t="shared" ca="1" si="359"/>
        <v>0</v>
      </c>
      <c r="AF899" s="539" t="str">
        <f t="shared" ca="1" si="369"/>
        <v/>
      </c>
      <c r="AG899" s="531" t="str">
        <f t="shared" ca="1" si="370"/>
        <v/>
      </c>
      <c r="AH899" s="531" t="str">
        <f t="shared" ca="1" si="371"/>
        <v/>
      </c>
      <c r="AI899" s="531" t="str">
        <f t="shared" ca="1" si="372"/>
        <v/>
      </c>
      <c r="AJ899" s="531" t="str">
        <f t="shared" si="373"/>
        <v/>
      </c>
      <c r="AK899" s="540">
        <f>SUMIFS('Live Collections'!$S:$S,'Live Collections'!$D:$D,Disbursements!B899,'Live Collections'!$G:$G,Disbursements!C899)</f>
        <v>0</v>
      </c>
      <c r="AL899" s="540">
        <f>SUMIFS('Live Collections'!$T:$T,'Live Collections'!$D:$D,Disbursements!B899,'Live Collections'!$G:$G,Disbursements!C899)</f>
        <v>0</v>
      </c>
      <c r="AM899" s="541">
        <f t="shared" si="374"/>
        <v>0</v>
      </c>
      <c r="AN899" s="542" t="str">
        <f t="shared" si="375"/>
        <v/>
      </c>
      <c r="AO899" s="542" t="str">
        <f t="shared" si="376"/>
        <v/>
      </c>
      <c r="AP899" s="543" t="str">
        <f t="shared" si="377"/>
        <v/>
      </c>
      <c r="AQ899" s="544" t="str">
        <f t="shared" si="378"/>
        <v/>
      </c>
      <c r="AR899" s="545">
        <f t="shared" si="379"/>
        <v>0</v>
      </c>
      <c r="AS899" s="545">
        <f>IFERROR(CEILING($AR899*VLOOKUP($I899,Ref!$B$23:$E$29,4,0),1),0)</f>
        <v>0</v>
      </c>
      <c r="AT899" s="545" t="str">
        <f>IF(A899="","",IF(AP899&lt;=1,"Cleared",IF(AS899=0,"Clean",VLOOKUP($AS899,Ref!$G$23:$H$28,2))))</f>
        <v/>
      </c>
      <c r="AU899" s="546" t="str">
        <f t="shared" si="380"/>
        <v/>
      </c>
    </row>
    <row r="900" spans="1:47" ht="14.25" hidden="1" customHeight="1" x14ac:dyDescent="0.15">
      <c r="A900" s="523"/>
      <c r="B900" s="523"/>
      <c r="C900" s="523"/>
      <c r="D900" s="523"/>
      <c r="E900" s="579"/>
      <c r="F900" s="580"/>
      <c r="G900" s="524"/>
      <c r="H900" s="555"/>
      <c r="I900" s="560"/>
      <c r="J900" s="523"/>
      <c r="K900" s="528" t="str">
        <f>IFERROR(VLOOKUP($B900,'Clients-Live'!$A:$C,3,0),"")</f>
        <v/>
      </c>
      <c r="L900" s="528">
        <f>IF(E900="STL",Pricing!$D$38,IF(A900="",0,IF(A900&lt;Pricing!$C$25,Pricing!$D$25,VLOOKUP(Disbursements!$F900,Pricing!$B$29:$D$32,3))))</f>
        <v>0</v>
      </c>
      <c r="M900" s="528">
        <f>IF(E900="STL",0,IF(F900&gt;0,Pricing!$D$21,0))</f>
        <v>0</v>
      </c>
      <c r="N900" s="529">
        <f>IF(E900="STL",F900*Pricing!$D$40,IF(A900&lt;=Pricing!$C$4,0,IF(AND(A900&gt;Pricing!$C$4,Disbursements!A900&lt;=Pricing!$C$5),F900*Pricing!$E$5,IF(AND(A900&gt;Pricing!$C$5,Disbursements!A900&lt;=Pricing!$C$7),VLOOKUP(F900,Pricing!$D$7:$E$8,2)*Disbursements!F900,F900*Pricing!$E$9))))</f>
        <v>0</v>
      </c>
      <c r="O900" s="528">
        <f>IF(E900="STL",0,IF($F900&gt;0,$F900*Pricing!$D$17,0))</f>
        <v>0</v>
      </c>
      <c r="P900" s="530" t="str">
        <f t="shared" si="360"/>
        <v/>
      </c>
      <c r="Q900" s="531" t="str">
        <f>IF($A900="","",$G900/VLOOKUP($I900,Ref!$B$23:$D$29,2,0))</f>
        <v/>
      </c>
      <c r="R900" s="530" t="str">
        <f t="shared" si="361"/>
        <v/>
      </c>
      <c r="S900" s="532" t="str">
        <f t="shared" ref="S900:S963" si="381">IF($A900="","",$R900/$Q900)</f>
        <v/>
      </c>
      <c r="T900" s="531" t="str">
        <f t="shared" si="362"/>
        <v/>
      </c>
      <c r="U900" s="533">
        <f t="shared" si="363"/>
        <v>0</v>
      </c>
      <c r="V900" s="531" t="str">
        <f t="shared" si="364"/>
        <v/>
      </c>
      <c r="W900" s="531" t="str">
        <f t="shared" si="365"/>
        <v/>
      </c>
      <c r="X900" s="534" t="str">
        <f t="shared" si="366"/>
        <v/>
      </c>
      <c r="Y900" s="535" t="str">
        <f>IF($A900="","",IF($I900="weekly",$A900+7,EDATE($A900,VLOOKUP($I900,Ref!$B$24:$C$29,2,0))))</f>
        <v/>
      </c>
      <c r="Z900" s="536" t="str">
        <f t="shared" si="367"/>
        <v/>
      </c>
      <c r="AA900" s="531">
        <f t="shared" si="368"/>
        <v>0</v>
      </c>
      <c r="AB900" s="535" t="str">
        <f t="shared" ref="AB900:AB963" si="382">IF($A900="","",EDATE($A900,$G900))</f>
        <v/>
      </c>
      <c r="AC900" s="537" t="str">
        <f t="shared" ref="AC900:AC963" si="383">IFERROR($AB900-$A900,"")</f>
        <v/>
      </c>
      <c r="AD900" s="538" t="str">
        <f t="shared" ref="AD900:AD963" ca="1" si="384">IFERROR(IF(TODAY()-$A900&lt;$AB900-$A900,TODAY()-$A900,"Expired"),"")</f>
        <v/>
      </c>
      <c r="AE900" s="537">
        <f t="shared" ref="AE900:AE963" ca="1" si="385">IFERROR($AC900-$AD900,0)</f>
        <v>0</v>
      </c>
      <c r="AF900" s="539" t="str">
        <f t="shared" ca="1" si="369"/>
        <v/>
      </c>
      <c r="AG900" s="531" t="str">
        <f t="shared" ca="1" si="370"/>
        <v/>
      </c>
      <c r="AH900" s="531" t="str">
        <f t="shared" ca="1" si="371"/>
        <v/>
      </c>
      <c r="AI900" s="531" t="str">
        <f t="shared" ca="1" si="372"/>
        <v/>
      </c>
      <c r="AJ900" s="531" t="str">
        <f t="shared" si="373"/>
        <v/>
      </c>
      <c r="AK900" s="540">
        <f>SUMIFS('Live Collections'!$S:$S,'Live Collections'!$D:$D,Disbursements!B900,'Live Collections'!$G:$G,Disbursements!C900)</f>
        <v>0</v>
      </c>
      <c r="AL900" s="540">
        <f>SUMIFS('Live Collections'!$T:$T,'Live Collections'!$D:$D,Disbursements!B900,'Live Collections'!$G:$G,Disbursements!C900)</f>
        <v>0</v>
      </c>
      <c r="AM900" s="541">
        <f t="shared" si="374"/>
        <v>0</v>
      </c>
      <c r="AN900" s="542" t="str">
        <f t="shared" si="375"/>
        <v/>
      </c>
      <c r="AO900" s="542" t="str">
        <f t="shared" si="376"/>
        <v/>
      </c>
      <c r="AP900" s="543" t="str">
        <f t="shared" si="377"/>
        <v/>
      </c>
      <c r="AQ900" s="544" t="str">
        <f t="shared" si="378"/>
        <v/>
      </c>
      <c r="AR900" s="545">
        <f t="shared" si="379"/>
        <v>0</v>
      </c>
      <c r="AS900" s="545">
        <f>IFERROR(CEILING($AR900*VLOOKUP($I900,Ref!$B$23:$E$29,4,0),1),0)</f>
        <v>0</v>
      </c>
      <c r="AT900" s="545" t="str">
        <f>IF(A900="","",IF(AP900&lt;=1,"Cleared",IF(AS900=0,"Clean",VLOOKUP($AS900,Ref!$G$23:$H$28,2))))</f>
        <v/>
      </c>
      <c r="AU900" s="546" t="str">
        <f t="shared" si="380"/>
        <v/>
      </c>
    </row>
    <row r="901" spans="1:47" ht="14.25" hidden="1" customHeight="1" x14ac:dyDescent="0.15">
      <c r="A901" s="523"/>
      <c r="B901" s="523"/>
      <c r="C901" s="523"/>
      <c r="D901" s="523"/>
      <c r="E901" s="579"/>
      <c r="F901" s="580"/>
      <c r="G901" s="524"/>
      <c r="H901" s="555"/>
      <c r="I901" s="560"/>
      <c r="J901" s="523"/>
      <c r="K901" s="528" t="str">
        <f>IFERROR(VLOOKUP($B901,'Clients-Live'!$A:$C,3,0),"")</f>
        <v/>
      </c>
      <c r="L901" s="528">
        <f>IF(E901="STL",Pricing!$D$38,IF(A901="",0,IF(A901&lt;Pricing!$C$25,Pricing!$D$25,VLOOKUP(Disbursements!$F901,Pricing!$B$29:$D$32,3))))</f>
        <v>0</v>
      </c>
      <c r="M901" s="528">
        <f>IF(E901="STL",0,IF(F901&gt;0,Pricing!$D$21,0))</f>
        <v>0</v>
      </c>
      <c r="N901" s="529">
        <f>IF(E901="STL",F901*Pricing!$D$40,IF(A901&lt;=Pricing!$C$4,0,IF(AND(A901&gt;Pricing!$C$4,Disbursements!A901&lt;=Pricing!$C$5),F901*Pricing!$E$5,IF(AND(A901&gt;Pricing!$C$5,Disbursements!A901&lt;=Pricing!$C$7),VLOOKUP(F901,Pricing!$D$7:$E$8,2)*Disbursements!F901,F901*Pricing!$E$9))))</f>
        <v>0</v>
      </c>
      <c r="O901" s="528">
        <f>IF(E901="STL",0,IF($F901&gt;0,$F901*Pricing!$D$17,0))</f>
        <v>0</v>
      </c>
      <c r="P901" s="530" t="str">
        <f t="shared" ref="P901:P964" si="386">IF($A901="","",$H901*$F901*$G901)</f>
        <v/>
      </c>
      <c r="Q901" s="531" t="str">
        <f>IF($A901="","",$G901/VLOOKUP($I901,Ref!$B$23:$D$29,2,0))</f>
        <v/>
      </c>
      <c r="R901" s="530" t="str">
        <f t="shared" ref="R901:R964" si="387">IF($A901="","",$F901+$P901)</f>
        <v/>
      </c>
      <c r="S901" s="532" t="str">
        <f t="shared" si="381"/>
        <v/>
      </c>
      <c r="T901" s="531" t="str">
        <f t="shared" ref="T901:T964" si="388">IF(R901="","",CEILING(S901,1000))</f>
        <v/>
      </c>
      <c r="U901" s="533">
        <f t="shared" ref="U901:U964" si="389">IFERROR(T901*Q901,0)</f>
        <v>0</v>
      </c>
      <c r="V901" s="531" t="str">
        <f t="shared" ref="V901:V964" si="390">IF(T901="","",F901/Q901)</f>
        <v/>
      </c>
      <c r="W901" s="531" t="str">
        <f t="shared" ref="W901:W964" si="391">IF(T901="","",T901-V901)</f>
        <v/>
      </c>
      <c r="X901" s="534" t="str">
        <f t="shared" ref="X901:X964" si="392">IF(A901="","",W901*Q901)</f>
        <v/>
      </c>
      <c r="Y901" s="535" t="str">
        <f>IF($A901="","",IF($I901="weekly",$A901+7,EDATE($A901,VLOOKUP($I901,Ref!$B$24:$C$29,2,0))))</f>
        <v/>
      </c>
      <c r="Z901" s="536" t="str">
        <f t="shared" ref="Z901:Z964" si="393">IFERROR(CHOOSE(WEEKDAY(Y901),"Sun","Mon","Tue","Wed","Thu","Frid","Sat"),"")</f>
        <v/>
      </c>
      <c r="AA901" s="531">
        <f t="shared" ref="AA901:AA964" si="394">IFERROR(Y901-A901,0)</f>
        <v>0</v>
      </c>
      <c r="AB901" s="535" t="str">
        <f t="shared" si="382"/>
        <v/>
      </c>
      <c r="AC901" s="537" t="str">
        <f t="shared" si="383"/>
        <v/>
      </c>
      <c r="AD901" s="538" t="str">
        <f t="shared" ca="1" si="384"/>
        <v/>
      </c>
      <c r="AE901" s="537">
        <f t="shared" ca="1" si="385"/>
        <v>0</v>
      </c>
      <c r="AF901" s="539" t="str">
        <f t="shared" ref="AF901:AF964" ca="1" si="395">IFERROR(IF(AD901="Expired",Q901,IF(AD901&gt;AA901,AD901/AA901,0)),"")</f>
        <v/>
      </c>
      <c r="AG901" s="531" t="str">
        <f t="shared" ref="AG901:AG964" ca="1" si="396">IFERROR(AF901*T901,"")</f>
        <v/>
      </c>
      <c r="AH901" s="531" t="str">
        <f t="shared" ref="AH901:AH964" ca="1" si="397">IFERROR(AF901*W901,"")</f>
        <v/>
      </c>
      <c r="AI901" s="531" t="str">
        <f t="shared" ref="AI901:AI964" ca="1" si="398">IFERROR(AF901*V901,"")</f>
        <v/>
      </c>
      <c r="AJ901" s="531" t="str">
        <f t="shared" ref="AJ901:AJ964" si="399">IF(F901=0,"",U901-AG901)</f>
        <v/>
      </c>
      <c r="AK901" s="540">
        <f>SUMIFS('Live Collections'!$S:$S,'Live Collections'!$D:$D,Disbursements!B901,'Live Collections'!$G:$G,Disbursements!C901)</f>
        <v>0</v>
      </c>
      <c r="AL901" s="540">
        <f>SUMIFS('Live Collections'!$T:$T,'Live Collections'!$D:$D,Disbursements!B901,'Live Collections'!$G:$G,Disbursements!C901)</f>
        <v>0</v>
      </c>
      <c r="AM901" s="541">
        <f t="shared" ref="AM901:AM964" si="400">SUM(AK901:AL901)</f>
        <v>0</v>
      </c>
      <c r="AN901" s="542" t="str">
        <f t="shared" ref="AN901:AN964" si="401">IFERROR(W901*Q901-AK901,"")</f>
        <v/>
      </c>
      <c r="AO901" s="542" t="str">
        <f t="shared" ref="AO901:AO964" si="402">IF(F901="","",(F901-AL901))</f>
        <v/>
      </c>
      <c r="AP901" s="543" t="str">
        <f t="shared" ref="AP901:AP964" si="403">IF(F901="","",SUM(AN901:AO901))</f>
        <v/>
      </c>
      <c r="AQ901" s="544" t="str">
        <f t="shared" ref="AQ901:AQ964" si="404">IF(AP901&gt;AJ901,AP901-AJ901,"")</f>
        <v/>
      </c>
      <c r="AR901" s="545">
        <f t="shared" ref="AR901:AR964" si="405">IFERROR(AQ901/T901,0)</f>
        <v>0</v>
      </c>
      <c r="AS901" s="545">
        <f>IFERROR(CEILING($AR901*VLOOKUP($I901,Ref!$B$23:$E$29,4,0),1),0)</f>
        <v>0</v>
      </c>
      <c r="AT901" s="545" t="str">
        <f>IF(A901="","",IF(AP901&lt;=1,"Cleared",IF(AS901=0,"Clean",VLOOKUP($AS901,Ref!$G$23:$H$28,2))))</f>
        <v/>
      </c>
      <c r="AU901" s="546" t="str">
        <f t="shared" ref="AU901:AU964" si="406">IF(F901="","",IF(OR(AN901&lt;0,AO901&lt;0,AP901&lt;0),"Error on Entry","Ok"))</f>
        <v/>
      </c>
    </row>
    <row r="902" spans="1:47" ht="14.25" hidden="1" customHeight="1" x14ac:dyDescent="0.15">
      <c r="A902" s="523"/>
      <c r="B902" s="523"/>
      <c r="C902" s="523"/>
      <c r="D902" s="523"/>
      <c r="E902" s="579"/>
      <c r="F902" s="580"/>
      <c r="G902" s="524"/>
      <c r="H902" s="555"/>
      <c r="I902" s="560"/>
      <c r="J902" s="523"/>
      <c r="K902" s="528" t="str">
        <f>IFERROR(VLOOKUP($B902,'Clients-Live'!$A:$C,3,0),"")</f>
        <v/>
      </c>
      <c r="L902" s="528">
        <f>IF(E902="STL",Pricing!$D$38,IF(A902="",0,IF(A902&lt;Pricing!$C$25,Pricing!$D$25,VLOOKUP(Disbursements!$F902,Pricing!$B$29:$D$32,3))))</f>
        <v>0</v>
      </c>
      <c r="M902" s="528">
        <f>IF(E902="STL",0,IF(F902&gt;0,Pricing!$D$21,0))</f>
        <v>0</v>
      </c>
      <c r="N902" s="529">
        <f>IF(E902="STL",F902*Pricing!$D$40,IF(A902&lt;=Pricing!$C$4,0,IF(AND(A902&gt;Pricing!$C$4,Disbursements!A902&lt;=Pricing!$C$5),F902*Pricing!$E$5,IF(AND(A902&gt;Pricing!$C$5,Disbursements!A902&lt;=Pricing!$C$7),VLOOKUP(F902,Pricing!$D$7:$E$8,2)*Disbursements!F902,F902*Pricing!$E$9))))</f>
        <v>0</v>
      </c>
      <c r="O902" s="528">
        <f>IF(E902="STL",0,IF($F902&gt;0,$F902*Pricing!$D$17,0))</f>
        <v>0</v>
      </c>
      <c r="P902" s="530" t="str">
        <f t="shared" si="386"/>
        <v/>
      </c>
      <c r="Q902" s="531" t="str">
        <f>IF($A902="","",$G902/VLOOKUP($I902,Ref!$B$23:$D$29,2,0))</f>
        <v/>
      </c>
      <c r="R902" s="530" t="str">
        <f t="shared" si="387"/>
        <v/>
      </c>
      <c r="S902" s="532" t="str">
        <f t="shared" si="381"/>
        <v/>
      </c>
      <c r="T902" s="531" t="str">
        <f t="shared" si="388"/>
        <v/>
      </c>
      <c r="U902" s="533">
        <f t="shared" si="389"/>
        <v>0</v>
      </c>
      <c r="V902" s="531" t="str">
        <f t="shared" si="390"/>
        <v/>
      </c>
      <c r="W902" s="531" t="str">
        <f t="shared" si="391"/>
        <v/>
      </c>
      <c r="X902" s="534" t="str">
        <f t="shared" si="392"/>
        <v/>
      </c>
      <c r="Y902" s="535" t="str">
        <f>IF($A902="","",IF($I902="weekly",$A902+7,EDATE($A902,VLOOKUP($I902,Ref!$B$24:$C$29,2,0))))</f>
        <v/>
      </c>
      <c r="Z902" s="536" t="str">
        <f t="shared" si="393"/>
        <v/>
      </c>
      <c r="AA902" s="531">
        <f t="shared" si="394"/>
        <v>0</v>
      </c>
      <c r="AB902" s="535" t="str">
        <f t="shared" si="382"/>
        <v/>
      </c>
      <c r="AC902" s="537" t="str">
        <f t="shared" si="383"/>
        <v/>
      </c>
      <c r="AD902" s="538" t="str">
        <f t="shared" ca="1" si="384"/>
        <v/>
      </c>
      <c r="AE902" s="537">
        <f t="shared" ca="1" si="385"/>
        <v>0</v>
      </c>
      <c r="AF902" s="539" t="str">
        <f t="shared" ca="1" si="395"/>
        <v/>
      </c>
      <c r="AG902" s="531" t="str">
        <f t="shared" ca="1" si="396"/>
        <v/>
      </c>
      <c r="AH902" s="531" t="str">
        <f t="shared" ca="1" si="397"/>
        <v/>
      </c>
      <c r="AI902" s="531" t="str">
        <f t="shared" ca="1" si="398"/>
        <v/>
      </c>
      <c r="AJ902" s="531" t="str">
        <f t="shared" si="399"/>
        <v/>
      </c>
      <c r="AK902" s="540">
        <f>SUMIFS('Live Collections'!$S:$S,'Live Collections'!$D:$D,Disbursements!B902,'Live Collections'!$G:$G,Disbursements!C902)</f>
        <v>0</v>
      </c>
      <c r="AL902" s="540">
        <f>SUMIFS('Live Collections'!$T:$T,'Live Collections'!$D:$D,Disbursements!B902,'Live Collections'!$G:$G,Disbursements!C902)</f>
        <v>0</v>
      </c>
      <c r="AM902" s="541">
        <f t="shared" si="400"/>
        <v>0</v>
      </c>
      <c r="AN902" s="542" t="str">
        <f t="shared" si="401"/>
        <v/>
      </c>
      <c r="AO902" s="542" t="str">
        <f t="shared" si="402"/>
        <v/>
      </c>
      <c r="AP902" s="543" t="str">
        <f t="shared" si="403"/>
        <v/>
      </c>
      <c r="AQ902" s="544" t="str">
        <f t="shared" si="404"/>
        <v/>
      </c>
      <c r="AR902" s="545">
        <f t="shared" si="405"/>
        <v>0</v>
      </c>
      <c r="AS902" s="545">
        <f>IFERROR(CEILING($AR902*VLOOKUP($I902,Ref!$B$23:$E$29,4,0),1),0)</f>
        <v>0</v>
      </c>
      <c r="AT902" s="545" t="str">
        <f>IF(A902="","",IF(AP902&lt;=1,"Cleared",IF(AS902=0,"Clean",VLOOKUP($AS902,Ref!$G$23:$H$28,2))))</f>
        <v/>
      </c>
      <c r="AU902" s="546" t="str">
        <f t="shared" si="406"/>
        <v/>
      </c>
    </row>
    <row r="903" spans="1:47" ht="14.25" hidden="1" customHeight="1" x14ac:dyDescent="0.15">
      <c r="A903" s="523"/>
      <c r="B903" s="523"/>
      <c r="C903" s="523"/>
      <c r="D903" s="523"/>
      <c r="E903" s="579"/>
      <c r="F903" s="580"/>
      <c r="G903" s="524"/>
      <c r="H903" s="555"/>
      <c r="I903" s="560"/>
      <c r="J903" s="523"/>
      <c r="K903" s="528" t="str">
        <f>IFERROR(VLOOKUP($B903,'Clients-Live'!$A:$C,3,0),"")</f>
        <v/>
      </c>
      <c r="L903" s="528">
        <f>IF(E903="STL",Pricing!$D$38,IF(A903="",0,IF(A903&lt;Pricing!$C$25,Pricing!$D$25,VLOOKUP(Disbursements!$F903,Pricing!$B$29:$D$32,3))))</f>
        <v>0</v>
      </c>
      <c r="M903" s="528">
        <f>IF(E903="STL",0,IF(F903&gt;0,Pricing!$D$21,0))</f>
        <v>0</v>
      </c>
      <c r="N903" s="529">
        <f>IF(E903="STL",F903*Pricing!$D$40,IF(A903&lt;=Pricing!$C$4,0,IF(AND(A903&gt;Pricing!$C$4,Disbursements!A903&lt;=Pricing!$C$5),F903*Pricing!$E$5,IF(AND(A903&gt;Pricing!$C$5,Disbursements!A903&lt;=Pricing!$C$7),VLOOKUP(F903,Pricing!$D$7:$E$8,2)*Disbursements!F903,F903*Pricing!$E$9))))</f>
        <v>0</v>
      </c>
      <c r="O903" s="528">
        <f>IF(E903="STL",0,IF($F903&gt;0,$F903*Pricing!$D$17,0))</f>
        <v>0</v>
      </c>
      <c r="P903" s="530" t="str">
        <f t="shared" si="386"/>
        <v/>
      </c>
      <c r="Q903" s="531" t="str">
        <f>IF($A903="","",$G903/VLOOKUP($I903,Ref!$B$23:$D$29,2,0))</f>
        <v/>
      </c>
      <c r="R903" s="530" t="str">
        <f t="shared" si="387"/>
        <v/>
      </c>
      <c r="S903" s="532" t="str">
        <f t="shared" si="381"/>
        <v/>
      </c>
      <c r="T903" s="531" t="str">
        <f t="shared" si="388"/>
        <v/>
      </c>
      <c r="U903" s="533">
        <f t="shared" si="389"/>
        <v>0</v>
      </c>
      <c r="V903" s="531" t="str">
        <f t="shared" si="390"/>
        <v/>
      </c>
      <c r="W903" s="531" t="str">
        <f t="shared" si="391"/>
        <v/>
      </c>
      <c r="X903" s="534" t="str">
        <f t="shared" si="392"/>
        <v/>
      </c>
      <c r="Y903" s="535" t="str">
        <f>IF($A903="","",IF($I903="weekly",$A903+7,EDATE($A903,VLOOKUP($I903,Ref!$B$24:$C$29,2,0))))</f>
        <v/>
      </c>
      <c r="Z903" s="536" t="str">
        <f t="shared" si="393"/>
        <v/>
      </c>
      <c r="AA903" s="531">
        <f t="shared" si="394"/>
        <v>0</v>
      </c>
      <c r="AB903" s="535" t="str">
        <f t="shared" si="382"/>
        <v/>
      </c>
      <c r="AC903" s="537" t="str">
        <f t="shared" si="383"/>
        <v/>
      </c>
      <c r="AD903" s="538" t="str">
        <f t="shared" ca="1" si="384"/>
        <v/>
      </c>
      <c r="AE903" s="537">
        <f t="shared" ca="1" si="385"/>
        <v>0</v>
      </c>
      <c r="AF903" s="539" t="str">
        <f t="shared" ca="1" si="395"/>
        <v/>
      </c>
      <c r="AG903" s="531" t="str">
        <f t="shared" ca="1" si="396"/>
        <v/>
      </c>
      <c r="AH903" s="531" t="str">
        <f t="shared" ca="1" si="397"/>
        <v/>
      </c>
      <c r="AI903" s="531" t="str">
        <f t="shared" ca="1" si="398"/>
        <v/>
      </c>
      <c r="AJ903" s="531" t="str">
        <f t="shared" si="399"/>
        <v/>
      </c>
      <c r="AK903" s="540">
        <f>SUMIFS('Live Collections'!$S:$S,'Live Collections'!$D:$D,Disbursements!B903,'Live Collections'!$G:$G,Disbursements!C903)</f>
        <v>0</v>
      </c>
      <c r="AL903" s="540">
        <f>SUMIFS('Live Collections'!$T:$T,'Live Collections'!$D:$D,Disbursements!B903,'Live Collections'!$G:$G,Disbursements!C903)</f>
        <v>0</v>
      </c>
      <c r="AM903" s="541">
        <f t="shared" si="400"/>
        <v>0</v>
      </c>
      <c r="AN903" s="542" t="str">
        <f t="shared" si="401"/>
        <v/>
      </c>
      <c r="AO903" s="542" t="str">
        <f t="shared" si="402"/>
        <v/>
      </c>
      <c r="AP903" s="543" t="str">
        <f t="shared" si="403"/>
        <v/>
      </c>
      <c r="AQ903" s="544" t="str">
        <f t="shared" si="404"/>
        <v/>
      </c>
      <c r="AR903" s="545">
        <f t="shared" si="405"/>
        <v>0</v>
      </c>
      <c r="AS903" s="545">
        <f>IFERROR(CEILING($AR903*VLOOKUP($I903,Ref!$B$23:$E$29,4,0),1),0)</f>
        <v>0</v>
      </c>
      <c r="AT903" s="545" t="str">
        <f>IF(A903="","",IF(AP903&lt;=1,"Cleared",IF(AS903=0,"Clean",VLOOKUP($AS903,Ref!$G$23:$H$28,2))))</f>
        <v/>
      </c>
      <c r="AU903" s="546" t="str">
        <f t="shared" si="406"/>
        <v/>
      </c>
    </row>
    <row r="904" spans="1:47" ht="14.25" hidden="1" customHeight="1" x14ac:dyDescent="0.15">
      <c r="A904" s="523"/>
      <c r="B904" s="523"/>
      <c r="C904" s="523"/>
      <c r="D904" s="523"/>
      <c r="E904" s="579"/>
      <c r="F904" s="580"/>
      <c r="G904" s="524"/>
      <c r="H904" s="555"/>
      <c r="I904" s="560"/>
      <c r="J904" s="523"/>
      <c r="K904" s="528" t="str">
        <f>IFERROR(VLOOKUP($B904,'Clients-Live'!$A:$C,3,0),"")</f>
        <v/>
      </c>
      <c r="L904" s="528">
        <f>IF(E904="STL",Pricing!$D$38,IF(A904="",0,IF(A904&lt;Pricing!$C$25,Pricing!$D$25,VLOOKUP(Disbursements!$F904,Pricing!$B$29:$D$32,3))))</f>
        <v>0</v>
      </c>
      <c r="M904" s="528">
        <f>IF(E904="STL",0,IF(F904&gt;0,Pricing!$D$21,0))</f>
        <v>0</v>
      </c>
      <c r="N904" s="529">
        <f>IF(E904="STL",F904*Pricing!$D$40,IF(A904&lt;=Pricing!$C$4,0,IF(AND(A904&gt;Pricing!$C$4,Disbursements!A904&lt;=Pricing!$C$5),F904*Pricing!$E$5,IF(AND(A904&gt;Pricing!$C$5,Disbursements!A904&lt;=Pricing!$C$7),VLOOKUP(F904,Pricing!$D$7:$E$8,2)*Disbursements!F904,F904*Pricing!$E$9))))</f>
        <v>0</v>
      </c>
      <c r="O904" s="528">
        <f>IF(E904="STL",0,IF($F904&gt;0,$F904*Pricing!$D$17,0))</f>
        <v>0</v>
      </c>
      <c r="P904" s="530" t="str">
        <f t="shared" si="386"/>
        <v/>
      </c>
      <c r="Q904" s="531" t="str">
        <f>IF($A904="","",$G904/VLOOKUP($I904,Ref!$B$23:$D$29,2,0))</f>
        <v/>
      </c>
      <c r="R904" s="530" t="str">
        <f t="shared" si="387"/>
        <v/>
      </c>
      <c r="S904" s="532" t="str">
        <f t="shared" si="381"/>
        <v/>
      </c>
      <c r="T904" s="531" t="str">
        <f t="shared" si="388"/>
        <v/>
      </c>
      <c r="U904" s="533">
        <f t="shared" si="389"/>
        <v>0</v>
      </c>
      <c r="V904" s="531" t="str">
        <f t="shared" si="390"/>
        <v/>
      </c>
      <c r="W904" s="531" t="str">
        <f t="shared" si="391"/>
        <v/>
      </c>
      <c r="X904" s="534" t="str">
        <f t="shared" si="392"/>
        <v/>
      </c>
      <c r="Y904" s="535" t="str">
        <f>IF($A904="","",IF($I904="weekly",$A904+7,EDATE($A904,VLOOKUP($I904,Ref!$B$24:$C$29,2,0))))</f>
        <v/>
      </c>
      <c r="Z904" s="536" t="str">
        <f t="shared" si="393"/>
        <v/>
      </c>
      <c r="AA904" s="531">
        <f t="shared" si="394"/>
        <v>0</v>
      </c>
      <c r="AB904" s="535" t="str">
        <f t="shared" si="382"/>
        <v/>
      </c>
      <c r="AC904" s="537" t="str">
        <f t="shared" si="383"/>
        <v/>
      </c>
      <c r="AD904" s="538" t="str">
        <f t="shared" ca="1" si="384"/>
        <v/>
      </c>
      <c r="AE904" s="537">
        <f t="shared" ca="1" si="385"/>
        <v>0</v>
      </c>
      <c r="AF904" s="539" t="str">
        <f t="shared" ca="1" si="395"/>
        <v/>
      </c>
      <c r="AG904" s="531" t="str">
        <f t="shared" ca="1" si="396"/>
        <v/>
      </c>
      <c r="AH904" s="531" t="str">
        <f t="shared" ca="1" si="397"/>
        <v/>
      </c>
      <c r="AI904" s="531" t="str">
        <f t="shared" ca="1" si="398"/>
        <v/>
      </c>
      <c r="AJ904" s="531" t="str">
        <f t="shared" si="399"/>
        <v/>
      </c>
      <c r="AK904" s="540">
        <f>SUMIFS('Live Collections'!$S:$S,'Live Collections'!$D:$D,Disbursements!B904,'Live Collections'!$G:$G,Disbursements!C904)</f>
        <v>0</v>
      </c>
      <c r="AL904" s="540">
        <f>SUMIFS('Live Collections'!$T:$T,'Live Collections'!$D:$D,Disbursements!B904,'Live Collections'!$G:$G,Disbursements!C904)</f>
        <v>0</v>
      </c>
      <c r="AM904" s="541">
        <f t="shared" si="400"/>
        <v>0</v>
      </c>
      <c r="AN904" s="542" t="str">
        <f t="shared" si="401"/>
        <v/>
      </c>
      <c r="AO904" s="542" t="str">
        <f t="shared" si="402"/>
        <v/>
      </c>
      <c r="AP904" s="543" t="str">
        <f t="shared" si="403"/>
        <v/>
      </c>
      <c r="AQ904" s="544" t="str">
        <f t="shared" si="404"/>
        <v/>
      </c>
      <c r="AR904" s="545">
        <f t="shared" si="405"/>
        <v>0</v>
      </c>
      <c r="AS904" s="545">
        <f>IFERROR(CEILING($AR904*VLOOKUP($I904,Ref!$B$23:$E$29,4,0),1),0)</f>
        <v>0</v>
      </c>
      <c r="AT904" s="545" t="str">
        <f>IF(A904="","",IF(AP904&lt;=1,"Cleared",IF(AS904=0,"Clean",VLOOKUP($AS904,Ref!$G$23:$H$28,2))))</f>
        <v/>
      </c>
      <c r="AU904" s="546" t="str">
        <f t="shared" si="406"/>
        <v/>
      </c>
    </row>
    <row r="905" spans="1:47" ht="14.25" hidden="1" customHeight="1" x14ac:dyDescent="0.15">
      <c r="A905" s="523"/>
      <c r="B905" s="523"/>
      <c r="C905" s="523"/>
      <c r="D905" s="523"/>
      <c r="E905" s="579"/>
      <c r="F905" s="580"/>
      <c r="G905" s="524"/>
      <c r="H905" s="555"/>
      <c r="I905" s="560"/>
      <c r="J905" s="523"/>
      <c r="K905" s="528" t="str">
        <f>IFERROR(VLOOKUP($B905,'Clients-Live'!$A:$C,3,0),"")</f>
        <v/>
      </c>
      <c r="L905" s="528">
        <f>IF(E905="STL",Pricing!$D$38,IF(A905="",0,IF(A905&lt;Pricing!$C$25,Pricing!$D$25,VLOOKUP(Disbursements!$F905,Pricing!$B$29:$D$32,3))))</f>
        <v>0</v>
      </c>
      <c r="M905" s="528">
        <f>IF(E905="STL",0,IF(F905&gt;0,Pricing!$D$21,0))</f>
        <v>0</v>
      </c>
      <c r="N905" s="529">
        <f>IF(E905="STL",F905*Pricing!$D$40,IF(A905&lt;=Pricing!$C$4,0,IF(AND(A905&gt;Pricing!$C$4,Disbursements!A905&lt;=Pricing!$C$5),F905*Pricing!$E$5,IF(AND(A905&gt;Pricing!$C$5,Disbursements!A905&lt;=Pricing!$C$7),VLOOKUP(F905,Pricing!$D$7:$E$8,2)*Disbursements!F905,F905*Pricing!$E$9))))</f>
        <v>0</v>
      </c>
      <c r="O905" s="528">
        <f>IF(E905="STL",0,IF($F905&gt;0,$F905*Pricing!$D$17,0))</f>
        <v>0</v>
      </c>
      <c r="P905" s="530" t="str">
        <f t="shared" si="386"/>
        <v/>
      </c>
      <c r="Q905" s="531" t="str">
        <f>IF($A905="","",$G905/VLOOKUP($I905,Ref!$B$23:$D$29,2,0))</f>
        <v/>
      </c>
      <c r="R905" s="530" t="str">
        <f t="shared" si="387"/>
        <v/>
      </c>
      <c r="S905" s="532" t="str">
        <f t="shared" si="381"/>
        <v/>
      </c>
      <c r="T905" s="531" t="str">
        <f t="shared" si="388"/>
        <v/>
      </c>
      <c r="U905" s="533">
        <f t="shared" si="389"/>
        <v>0</v>
      </c>
      <c r="V905" s="531" t="str">
        <f t="shared" si="390"/>
        <v/>
      </c>
      <c r="W905" s="531" t="str">
        <f t="shared" si="391"/>
        <v/>
      </c>
      <c r="X905" s="534" t="str">
        <f t="shared" si="392"/>
        <v/>
      </c>
      <c r="Y905" s="535" t="str">
        <f>IF($A905="","",IF($I905="weekly",$A905+7,EDATE($A905,VLOOKUP($I905,Ref!$B$24:$C$29,2,0))))</f>
        <v/>
      </c>
      <c r="Z905" s="536" t="str">
        <f t="shared" si="393"/>
        <v/>
      </c>
      <c r="AA905" s="531">
        <f t="shared" si="394"/>
        <v>0</v>
      </c>
      <c r="AB905" s="535" t="str">
        <f t="shared" si="382"/>
        <v/>
      </c>
      <c r="AC905" s="537" t="str">
        <f t="shared" si="383"/>
        <v/>
      </c>
      <c r="AD905" s="538" t="str">
        <f t="shared" ca="1" si="384"/>
        <v/>
      </c>
      <c r="AE905" s="537">
        <f t="shared" ca="1" si="385"/>
        <v>0</v>
      </c>
      <c r="AF905" s="539" t="str">
        <f t="shared" ca="1" si="395"/>
        <v/>
      </c>
      <c r="AG905" s="531" t="str">
        <f t="shared" ca="1" si="396"/>
        <v/>
      </c>
      <c r="AH905" s="531" t="str">
        <f t="shared" ca="1" si="397"/>
        <v/>
      </c>
      <c r="AI905" s="531" t="str">
        <f t="shared" ca="1" si="398"/>
        <v/>
      </c>
      <c r="AJ905" s="531" t="str">
        <f t="shared" si="399"/>
        <v/>
      </c>
      <c r="AK905" s="540">
        <f>SUMIFS('Live Collections'!$S:$S,'Live Collections'!$D:$D,Disbursements!B905,'Live Collections'!$G:$G,Disbursements!C905)</f>
        <v>0</v>
      </c>
      <c r="AL905" s="540">
        <f>SUMIFS('Live Collections'!$T:$T,'Live Collections'!$D:$D,Disbursements!B905,'Live Collections'!$G:$G,Disbursements!C905)</f>
        <v>0</v>
      </c>
      <c r="AM905" s="541">
        <f t="shared" si="400"/>
        <v>0</v>
      </c>
      <c r="AN905" s="542" t="str">
        <f t="shared" si="401"/>
        <v/>
      </c>
      <c r="AO905" s="542" t="str">
        <f t="shared" si="402"/>
        <v/>
      </c>
      <c r="AP905" s="543" t="str">
        <f t="shared" si="403"/>
        <v/>
      </c>
      <c r="AQ905" s="544" t="str">
        <f t="shared" si="404"/>
        <v/>
      </c>
      <c r="AR905" s="545">
        <f t="shared" si="405"/>
        <v>0</v>
      </c>
      <c r="AS905" s="545">
        <f>IFERROR(CEILING($AR905*VLOOKUP($I905,Ref!$B$23:$E$29,4,0),1),0)</f>
        <v>0</v>
      </c>
      <c r="AT905" s="545" t="str">
        <f>IF(A905="","",IF(AP905&lt;=1,"Cleared",IF(AS905=0,"Clean",VLOOKUP($AS905,Ref!$G$23:$H$28,2))))</f>
        <v/>
      </c>
      <c r="AU905" s="546" t="str">
        <f t="shared" si="406"/>
        <v/>
      </c>
    </row>
    <row r="906" spans="1:47" ht="14.25" hidden="1" customHeight="1" x14ac:dyDescent="0.15">
      <c r="A906" s="523"/>
      <c r="B906" s="523"/>
      <c r="C906" s="523"/>
      <c r="D906" s="523"/>
      <c r="E906" s="579"/>
      <c r="F906" s="580"/>
      <c r="G906" s="524"/>
      <c r="H906" s="555"/>
      <c r="I906" s="560"/>
      <c r="J906" s="523"/>
      <c r="K906" s="528" t="str">
        <f>IFERROR(VLOOKUP($B906,'Clients-Live'!$A:$C,3,0),"")</f>
        <v/>
      </c>
      <c r="L906" s="528">
        <f>IF(E906="STL",Pricing!$D$38,IF(A906="",0,IF(A906&lt;Pricing!$C$25,Pricing!$D$25,VLOOKUP(Disbursements!$F906,Pricing!$B$29:$D$32,3))))</f>
        <v>0</v>
      </c>
      <c r="M906" s="528">
        <f>IF(E906="STL",0,IF(F906&gt;0,Pricing!$D$21,0))</f>
        <v>0</v>
      </c>
      <c r="N906" s="529">
        <f>IF(E906="STL",F906*Pricing!$D$40,IF(A906&lt;=Pricing!$C$4,0,IF(AND(A906&gt;Pricing!$C$4,Disbursements!A906&lt;=Pricing!$C$5),F906*Pricing!$E$5,IF(AND(A906&gt;Pricing!$C$5,Disbursements!A906&lt;=Pricing!$C$7),VLOOKUP(F906,Pricing!$D$7:$E$8,2)*Disbursements!F906,F906*Pricing!$E$9))))</f>
        <v>0</v>
      </c>
      <c r="O906" s="528">
        <f>IF(E906="STL",0,IF($F906&gt;0,$F906*Pricing!$D$17,0))</f>
        <v>0</v>
      </c>
      <c r="P906" s="530" t="str">
        <f t="shared" si="386"/>
        <v/>
      </c>
      <c r="Q906" s="531" t="str">
        <f>IF($A906="","",$G906/VLOOKUP($I906,Ref!$B$23:$D$29,2,0))</f>
        <v/>
      </c>
      <c r="R906" s="530" t="str">
        <f t="shared" si="387"/>
        <v/>
      </c>
      <c r="S906" s="532" t="str">
        <f t="shared" si="381"/>
        <v/>
      </c>
      <c r="T906" s="531" t="str">
        <f t="shared" si="388"/>
        <v/>
      </c>
      <c r="U906" s="533">
        <f t="shared" si="389"/>
        <v>0</v>
      </c>
      <c r="V906" s="531" t="str">
        <f t="shared" si="390"/>
        <v/>
      </c>
      <c r="W906" s="531" t="str">
        <f t="shared" si="391"/>
        <v/>
      </c>
      <c r="X906" s="534" t="str">
        <f t="shared" si="392"/>
        <v/>
      </c>
      <c r="Y906" s="535" t="str">
        <f>IF($A906="","",IF($I906="weekly",$A906+7,EDATE($A906,VLOOKUP($I906,Ref!$B$24:$C$29,2,0))))</f>
        <v/>
      </c>
      <c r="Z906" s="536" t="str">
        <f t="shared" si="393"/>
        <v/>
      </c>
      <c r="AA906" s="531">
        <f t="shared" si="394"/>
        <v>0</v>
      </c>
      <c r="AB906" s="535" t="str">
        <f t="shared" si="382"/>
        <v/>
      </c>
      <c r="AC906" s="537" t="str">
        <f t="shared" si="383"/>
        <v/>
      </c>
      <c r="AD906" s="538" t="str">
        <f t="shared" ca="1" si="384"/>
        <v/>
      </c>
      <c r="AE906" s="537">
        <f t="shared" ca="1" si="385"/>
        <v>0</v>
      </c>
      <c r="AF906" s="539" t="str">
        <f t="shared" ca="1" si="395"/>
        <v/>
      </c>
      <c r="AG906" s="531" t="str">
        <f t="shared" ca="1" si="396"/>
        <v/>
      </c>
      <c r="AH906" s="531" t="str">
        <f t="shared" ca="1" si="397"/>
        <v/>
      </c>
      <c r="AI906" s="531" t="str">
        <f t="shared" ca="1" si="398"/>
        <v/>
      </c>
      <c r="AJ906" s="531" t="str">
        <f t="shared" si="399"/>
        <v/>
      </c>
      <c r="AK906" s="540">
        <f>SUMIFS('Live Collections'!$S:$S,'Live Collections'!$D:$D,Disbursements!B906,'Live Collections'!$G:$G,Disbursements!C906)</f>
        <v>0</v>
      </c>
      <c r="AL906" s="540">
        <f>SUMIFS('Live Collections'!$T:$T,'Live Collections'!$D:$D,Disbursements!B906,'Live Collections'!$G:$G,Disbursements!C906)</f>
        <v>0</v>
      </c>
      <c r="AM906" s="541">
        <f t="shared" si="400"/>
        <v>0</v>
      </c>
      <c r="AN906" s="542" t="str">
        <f t="shared" si="401"/>
        <v/>
      </c>
      <c r="AO906" s="542" t="str">
        <f t="shared" si="402"/>
        <v/>
      </c>
      <c r="AP906" s="543" t="str">
        <f t="shared" si="403"/>
        <v/>
      </c>
      <c r="AQ906" s="544" t="str">
        <f t="shared" si="404"/>
        <v/>
      </c>
      <c r="AR906" s="545">
        <f t="shared" si="405"/>
        <v>0</v>
      </c>
      <c r="AS906" s="545">
        <f>IFERROR(CEILING($AR906*VLOOKUP($I906,Ref!$B$23:$E$29,4,0),1),0)</f>
        <v>0</v>
      </c>
      <c r="AT906" s="545" t="str">
        <f>IF(A906="","",IF(AP906&lt;=1,"Cleared",IF(AS906=0,"Clean",VLOOKUP($AS906,Ref!$G$23:$H$28,2))))</f>
        <v/>
      </c>
      <c r="AU906" s="546" t="str">
        <f t="shared" si="406"/>
        <v/>
      </c>
    </row>
    <row r="907" spans="1:47" ht="14.25" hidden="1" customHeight="1" x14ac:dyDescent="0.15">
      <c r="A907" s="523"/>
      <c r="B907" s="523"/>
      <c r="C907" s="523"/>
      <c r="D907" s="523"/>
      <c r="E907" s="579"/>
      <c r="F907" s="580"/>
      <c r="G907" s="524"/>
      <c r="H907" s="555"/>
      <c r="I907" s="560"/>
      <c r="J907" s="523"/>
      <c r="K907" s="528" t="str">
        <f>IFERROR(VLOOKUP($B907,'Clients-Live'!$A:$C,3,0),"")</f>
        <v/>
      </c>
      <c r="L907" s="528">
        <f>IF(E907="STL",Pricing!$D$38,IF(A907="",0,IF(A907&lt;Pricing!$C$25,Pricing!$D$25,VLOOKUP(Disbursements!$F907,Pricing!$B$29:$D$32,3))))</f>
        <v>0</v>
      </c>
      <c r="M907" s="528">
        <f>IF(E907="STL",0,IF(F907&gt;0,Pricing!$D$21,0))</f>
        <v>0</v>
      </c>
      <c r="N907" s="529">
        <f>IF(E907="STL",F907*Pricing!$D$40,IF(A907&lt;=Pricing!$C$4,0,IF(AND(A907&gt;Pricing!$C$4,Disbursements!A907&lt;=Pricing!$C$5),F907*Pricing!$E$5,IF(AND(A907&gt;Pricing!$C$5,Disbursements!A907&lt;=Pricing!$C$7),VLOOKUP(F907,Pricing!$D$7:$E$8,2)*Disbursements!F907,F907*Pricing!$E$9))))</f>
        <v>0</v>
      </c>
      <c r="O907" s="528">
        <f>IF(E907="STL",0,IF($F907&gt;0,$F907*Pricing!$D$17,0))</f>
        <v>0</v>
      </c>
      <c r="P907" s="530" t="str">
        <f t="shared" si="386"/>
        <v/>
      </c>
      <c r="Q907" s="531" t="str">
        <f>IF($A907="","",$G907/VLOOKUP($I907,Ref!$B$23:$D$29,2,0))</f>
        <v/>
      </c>
      <c r="R907" s="530" t="str">
        <f t="shared" si="387"/>
        <v/>
      </c>
      <c r="S907" s="532" t="str">
        <f t="shared" si="381"/>
        <v/>
      </c>
      <c r="T907" s="531" t="str">
        <f t="shared" si="388"/>
        <v/>
      </c>
      <c r="U907" s="533">
        <f t="shared" si="389"/>
        <v>0</v>
      </c>
      <c r="V907" s="531" t="str">
        <f t="shared" si="390"/>
        <v/>
      </c>
      <c r="W907" s="531" t="str">
        <f t="shared" si="391"/>
        <v/>
      </c>
      <c r="X907" s="534" t="str">
        <f t="shared" si="392"/>
        <v/>
      </c>
      <c r="Y907" s="535" t="str">
        <f>IF($A907="","",IF($I907="weekly",$A907+7,EDATE($A907,VLOOKUP($I907,Ref!$B$24:$C$29,2,0))))</f>
        <v/>
      </c>
      <c r="Z907" s="536" t="str">
        <f t="shared" si="393"/>
        <v/>
      </c>
      <c r="AA907" s="531">
        <f t="shared" si="394"/>
        <v>0</v>
      </c>
      <c r="AB907" s="535" t="str">
        <f t="shared" si="382"/>
        <v/>
      </c>
      <c r="AC907" s="537" t="str">
        <f t="shared" si="383"/>
        <v/>
      </c>
      <c r="AD907" s="538" t="str">
        <f t="shared" ca="1" si="384"/>
        <v/>
      </c>
      <c r="AE907" s="537">
        <f t="shared" ca="1" si="385"/>
        <v>0</v>
      </c>
      <c r="AF907" s="539" t="str">
        <f t="shared" ca="1" si="395"/>
        <v/>
      </c>
      <c r="AG907" s="531" t="str">
        <f t="shared" ca="1" si="396"/>
        <v/>
      </c>
      <c r="AH907" s="531" t="str">
        <f t="shared" ca="1" si="397"/>
        <v/>
      </c>
      <c r="AI907" s="531" t="str">
        <f t="shared" ca="1" si="398"/>
        <v/>
      </c>
      <c r="AJ907" s="531" t="str">
        <f t="shared" si="399"/>
        <v/>
      </c>
      <c r="AK907" s="540">
        <f>SUMIFS('Live Collections'!$S:$S,'Live Collections'!$D:$D,Disbursements!B907,'Live Collections'!$G:$G,Disbursements!C907)</f>
        <v>0</v>
      </c>
      <c r="AL907" s="540">
        <f>SUMIFS('Live Collections'!$T:$T,'Live Collections'!$D:$D,Disbursements!B907,'Live Collections'!$G:$G,Disbursements!C907)</f>
        <v>0</v>
      </c>
      <c r="AM907" s="541">
        <f t="shared" si="400"/>
        <v>0</v>
      </c>
      <c r="AN907" s="542" t="str">
        <f t="shared" si="401"/>
        <v/>
      </c>
      <c r="AO907" s="542" t="str">
        <f t="shared" si="402"/>
        <v/>
      </c>
      <c r="AP907" s="543" t="str">
        <f t="shared" si="403"/>
        <v/>
      </c>
      <c r="AQ907" s="544" t="str">
        <f t="shared" si="404"/>
        <v/>
      </c>
      <c r="AR907" s="545">
        <f t="shared" si="405"/>
        <v>0</v>
      </c>
      <c r="AS907" s="545">
        <f>IFERROR(CEILING($AR907*VLOOKUP($I907,Ref!$B$23:$E$29,4,0),1),0)</f>
        <v>0</v>
      </c>
      <c r="AT907" s="545" t="str">
        <f>IF(A907="","",IF(AP907&lt;=1,"Cleared",IF(AS907=0,"Clean",VLOOKUP($AS907,Ref!$G$23:$H$28,2))))</f>
        <v/>
      </c>
      <c r="AU907" s="546" t="str">
        <f t="shared" si="406"/>
        <v/>
      </c>
    </row>
    <row r="908" spans="1:47" ht="14.25" hidden="1" customHeight="1" x14ac:dyDescent="0.15">
      <c r="A908" s="523"/>
      <c r="B908" s="523"/>
      <c r="C908" s="523"/>
      <c r="D908" s="523"/>
      <c r="E908" s="579"/>
      <c r="F908" s="580"/>
      <c r="G908" s="524"/>
      <c r="H908" s="555"/>
      <c r="I908" s="560"/>
      <c r="J908" s="523"/>
      <c r="K908" s="528" t="str">
        <f>IFERROR(VLOOKUP($B908,'Clients-Live'!$A:$C,3,0),"")</f>
        <v/>
      </c>
      <c r="L908" s="528">
        <f>IF(E908="STL",Pricing!$D$38,IF(A908="",0,IF(A908&lt;Pricing!$C$25,Pricing!$D$25,VLOOKUP(Disbursements!$F908,Pricing!$B$29:$D$32,3))))</f>
        <v>0</v>
      </c>
      <c r="M908" s="528">
        <f>IF(E908="STL",0,IF(F908&gt;0,Pricing!$D$21,0))</f>
        <v>0</v>
      </c>
      <c r="N908" s="529">
        <f>IF(E908="STL",F908*Pricing!$D$40,IF(A908&lt;=Pricing!$C$4,0,IF(AND(A908&gt;Pricing!$C$4,Disbursements!A908&lt;=Pricing!$C$5),F908*Pricing!$E$5,IF(AND(A908&gt;Pricing!$C$5,Disbursements!A908&lt;=Pricing!$C$7),VLOOKUP(F908,Pricing!$D$7:$E$8,2)*Disbursements!F908,F908*Pricing!$E$9))))</f>
        <v>0</v>
      </c>
      <c r="O908" s="528">
        <f>IF(E908="STL",0,IF($F908&gt;0,$F908*Pricing!$D$17,0))</f>
        <v>0</v>
      </c>
      <c r="P908" s="530" t="str">
        <f t="shared" si="386"/>
        <v/>
      </c>
      <c r="Q908" s="531" t="str">
        <f>IF($A908="","",$G908/VLOOKUP($I908,Ref!$B$23:$D$29,2,0))</f>
        <v/>
      </c>
      <c r="R908" s="530" t="str">
        <f t="shared" si="387"/>
        <v/>
      </c>
      <c r="S908" s="532" t="str">
        <f t="shared" si="381"/>
        <v/>
      </c>
      <c r="T908" s="531" t="str">
        <f t="shared" si="388"/>
        <v/>
      </c>
      <c r="U908" s="533">
        <f t="shared" si="389"/>
        <v>0</v>
      </c>
      <c r="V908" s="531" t="str">
        <f t="shared" si="390"/>
        <v/>
      </c>
      <c r="W908" s="531" t="str">
        <f t="shared" si="391"/>
        <v/>
      </c>
      <c r="X908" s="534" t="str">
        <f t="shared" si="392"/>
        <v/>
      </c>
      <c r="Y908" s="535" t="str">
        <f>IF($A908="","",IF($I908="weekly",$A908+7,EDATE($A908,VLOOKUP($I908,Ref!$B$24:$C$29,2,0))))</f>
        <v/>
      </c>
      <c r="Z908" s="536" t="str">
        <f t="shared" si="393"/>
        <v/>
      </c>
      <c r="AA908" s="531">
        <f t="shared" si="394"/>
        <v>0</v>
      </c>
      <c r="AB908" s="535" t="str">
        <f t="shared" si="382"/>
        <v/>
      </c>
      <c r="AC908" s="537" t="str">
        <f t="shared" si="383"/>
        <v/>
      </c>
      <c r="AD908" s="538" t="str">
        <f t="shared" ca="1" si="384"/>
        <v/>
      </c>
      <c r="AE908" s="537">
        <f t="shared" ca="1" si="385"/>
        <v>0</v>
      </c>
      <c r="AF908" s="539" t="str">
        <f t="shared" ca="1" si="395"/>
        <v/>
      </c>
      <c r="AG908" s="531" t="str">
        <f t="shared" ca="1" si="396"/>
        <v/>
      </c>
      <c r="AH908" s="531" t="str">
        <f t="shared" ca="1" si="397"/>
        <v/>
      </c>
      <c r="AI908" s="531" t="str">
        <f t="shared" ca="1" si="398"/>
        <v/>
      </c>
      <c r="AJ908" s="531" t="str">
        <f t="shared" si="399"/>
        <v/>
      </c>
      <c r="AK908" s="540">
        <f>SUMIFS('Live Collections'!$S:$S,'Live Collections'!$D:$D,Disbursements!B908,'Live Collections'!$G:$G,Disbursements!C908)</f>
        <v>0</v>
      </c>
      <c r="AL908" s="540">
        <f>SUMIFS('Live Collections'!$T:$T,'Live Collections'!$D:$D,Disbursements!B908,'Live Collections'!$G:$G,Disbursements!C908)</f>
        <v>0</v>
      </c>
      <c r="AM908" s="541">
        <f t="shared" si="400"/>
        <v>0</v>
      </c>
      <c r="AN908" s="542" t="str">
        <f t="shared" si="401"/>
        <v/>
      </c>
      <c r="AO908" s="542" t="str">
        <f t="shared" si="402"/>
        <v/>
      </c>
      <c r="AP908" s="543" t="str">
        <f t="shared" si="403"/>
        <v/>
      </c>
      <c r="AQ908" s="544" t="str">
        <f t="shared" si="404"/>
        <v/>
      </c>
      <c r="AR908" s="545">
        <f t="shared" si="405"/>
        <v>0</v>
      </c>
      <c r="AS908" s="545">
        <f>IFERROR(CEILING($AR908*VLOOKUP($I908,Ref!$B$23:$E$29,4,0),1),0)</f>
        <v>0</v>
      </c>
      <c r="AT908" s="545" t="str">
        <f>IF(A908="","",IF(AP908&lt;=1,"Cleared",IF(AS908=0,"Clean",VLOOKUP($AS908,Ref!$G$23:$H$28,2))))</f>
        <v/>
      </c>
      <c r="AU908" s="546" t="str">
        <f t="shared" si="406"/>
        <v/>
      </c>
    </row>
    <row r="909" spans="1:47" ht="14.25" hidden="1" customHeight="1" x14ac:dyDescent="0.15">
      <c r="A909" s="523"/>
      <c r="B909" s="523"/>
      <c r="C909" s="523"/>
      <c r="D909" s="523"/>
      <c r="E909" s="579"/>
      <c r="F909" s="580"/>
      <c r="G909" s="524"/>
      <c r="H909" s="555"/>
      <c r="I909" s="560"/>
      <c r="J909" s="523"/>
      <c r="K909" s="528" t="str">
        <f>IFERROR(VLOOKUP($B909,'Clients-Live'!$A:$C,3,0),"")</f>
        <v/>
      </c>
      <c r="L909" s="528">
        <f>IF(E909="STL",Pricing!$D$38,IF(A909="",0,IF(A909&lt;Pricing!$C$25,Pricing!$D$25,VLOOKUP(Disbursements!$F909,Pricing!$B$29:$D$32,3))))</f>
        <v>0</v>
      </c>
      <c r="M909" s="528">
        <f>IF(E909="STL",0,IF(F909&gt;0,Pricing!$D$21,0))</f>
        <v>0</v>
      </c>
      <c r="N909" s="529">
        <f>IF(E909="STL",F909*Pricing!$D$40,IF(A909&lt;=Pricing!$C$4,0,IF(AND(A909&gt;Pricing!$C$4,Disbursements!A909&lt;=Pricing!$C$5),F909*Pricing!$E$5,IF(AND(A909&gt;Pricing!$C$5,Disbursements!A909&lt;=Pricing!$C$7),VLOOKUP(F909,Pricing!$D$7:$E$8,2)*Disbursements!F909,F909*Pricing!$E$9))))</f>
        <v>0</v>
      </c>
      <c r="O909" s="528">
        <f>IF(E909="STL",0,IF($F909&gt;0,$F909*Pricing!$D$17,0))</f>
        <v>0</v>
      </c>
      <c r="P909" s="530" t="str">
        <f t="shared" si="386"/>
        <v/>
      </c>
      <c r="Q909" s="531" t="str">
        <f>IF($A909="","",$G909/VLOOKUP($I909,Ref!$B$23:$D$29,2,0))</f>
        <v/>
      </c>
      <c r="R909" s="530" t="str">
        <f t="shared" si="387"/>
        <v/>
      </c>
      <c r="S909" s="532" t="str">
        <f t="shared" si="381"/>
        <v/>
      </c>
      <c r="T909" s="531" t="str">
        <f t="shared" si="388"/>
        <v/>
      </c>
      <c r="U909" s="533">
        <f t="shared" si="389"/>
        <v>0</v>
      </c>
      <c r="V909" s="531" t="str">
        <f t="shared" si="390"/>
        <v/>
      </c>
      <c r="W909" s="531" t="str">
        <f t="shared" si="391"/>
        <v/>
      </c>
      <c r="X909" s="534" t="str">
        <f t="shared" si="392"/>
        <v/>
      </c>
      <c r="Y909" s="535" t="str">
        <f>IF($A909="","",IF($I909="weekly",$A909+7,EDATE($A909,VLOOKUP($I909,Ref!$B$24:$C$29,2,0))))</f>
        <v/>
      </c>
      <c r="Z909" s="536" t="str">
        <f t="shared" si="393"/>
        <v/>
      </c>
      <c r="AA909" s="531">
        <f t="shared" si="394"/>
        <v>0</v>
      </c>
      <c r="AB909" s="535" t="str">
        <f t="shared" si="382"/>
        <v/>
      </c>
      <c r="AC909" s="537" t="str">
        <f t="shared" si="383"/>
        <v/>
      </c>
      <c r="AD909" s="538" t="str">
        <f t="shared" ca="1" si="384"/>
        <v/>
      </c>
      <c r="AE909" s="537">
        <f t="shared" ca="1" si="385"/>
        <v>0</v>
      </c>
      <c r="AF909" s="539" t="str">
        <f t="shared" ca="1" si="395"/>
        <v/>
      </c>
      <c r="AG909" s="531" t="str">
        <f t="shared" ca="1" si="396"/>
        <v/>
      </c>
      <c r="AH909" s="531" t="str">
        <f t="shared" ca="1" si="397"/>
        <v/>
      </c>
      <c r="AI909" s="531" t="str">
        <f t="shared" ca="1" si="398"/>
        <v/>
      </c>
      <c r="AJ909" s="531" t="str">
        <f t="shared" si="399"/>
        <v/>
      </c>
      <c r="AK909" s="540">
        <f>SUMIFS('Live Collections'!$S:$S,'Live Collections'!$D:$D,Disbursements!B909,'Live Collections'!$G:$G,Disbursements!C909)</f>
        <v>0</v>
      </c>
      <c r="AL909" s="540">
        <f>SUMIFS('Live Collections'!$T:$T,'Live Collections'!$D:$D,Disbursements!B909,'Live Collections'!$G:$G,Disbursements!C909)</f>
        <v>0</v>
      </c>
      <c r="AM909" s="541">
        <f t="shared" si="400"/>
        <v>0</v>
      </c>
      <c r="AN909" s="542" t="str">
        <f t="shared" si="401"/>
        <v/>
      </c>
      <c r="AO909" s="542" t="str">
        <f t="shared" si="402"/>
        <v/>
      </c>
      <c r="AP909" s="543" t="str">
        <f t="shared" si="403"/>
        <v/>
      </c>
      <c r="AQ909" s="544" t="str">
        <f t="shared" si="404"/>
        <v/>
      </c>
      <c r="AR909" s="545">
        <f t="shared" si="405"/>
        <v>0</v>
      </c>
      <c r="AS909" s="545">
        <f>IFERROR(CEILING($AR909*VLOOKUP($I909,Ref!$B$23:$E$29,4,0),1),0)</f>
        <v>0</v>
      </c>
      <c r="AT909" s="545" t="str">
        <f>IF(A909="","",IF(AP909&lt;=1,"Cleared",IF(AS909=0,"Clean",VLOOKUP($AS909,Ref!$G$23:$H$28,2))))</f>
        <v/>
      </c>
      <c r="AU909" s="546" t="str">
        <f t="shared" si="406"/>
        <v/>
      </c>
    </row>
    <row r="910" spans="1:47" ht="14.25" hidden="1" customHeight="1" x14ac:dyDescent="0.15">
      <c r="A910" s="523"/>
      <c r="B910" s="523"/>
      <c r="C910" s="523"/>
      <c r="D910" s="523"/>
      <c r="E910" s="579"/>
      <c r="F910" s="580"/>
      <c r="G910" s="524"/>
      <c r="H910" s="555"/>
      <c r="I910" s="560"/>
      <c r="J910" s="523"/>
      <c r="K910" s="528" t="str">
        <f>IFERROR(VLOOKUP($B910,'Clients-Live'!$A:$C,3,0),"")</f>
        <v/>
      </c>
      <c r="L910" s="528">
        <f>IF(E910="STL",Pricing!$D$38,IF(A910="",0,IF(A910&lt;Pricing!$C$25,Pricing!$D$25,VLOOKUP(Disbursements!$F910,Pricing!$B$29:$D$32,3))))</f>
        <v>0</v>
      </c>
      <c r="M910" s="528">
        <f>IF(E910="STL",0,IF(F910&gt;0,Pricing!$D$21,0))</f>
        <v>0</v>
      </c>
      <c r="N910" s="529">
        <f>IF(E910="STL",F910*Pricing!$D$40,IF(A910&lt;=Pricing!$C$4,0,IF(AND(A910&gt;Pricing!$C$4,Disbursements!A910&lt;=Pricing!$C$5),F910*Pricing!$E$5,IF(AND(A910&gt;Pricing!$C$5,Disbursements!A910&lt;=Pricing!$C$7),VLOOKUP(F910,Pricing!$D$7:$E$8,2)*Disbursements!F910,F910*Pricing!$E$9))))</f>
        <v>0</v>
      </c>
      <c r="O910" s="528">
        <f>IF(E910="STL",0,IF($F910&gt;0,$F910*Pricing!$D$17,0))</f>
        <v>0</v>
      </c>
      <c r="P910" s="530" t="str">
        <f t="shared" si="386"/>
        <v/>
      </c>
      <c r="Q910" s="531" t="str">
        <f>IF($A910="","",$G910/VLOOKUP($I910,Ref!$B$23:$D$29,2,0))</f>
        <v/>
      </c>
      <c r="R910" s="530" t="str">
        <f t="shared" si="387"/>
        <v/>
      </c>
      <c r="S910" s="532" t="str">
        <f t="shared" si="381"/>
        <v/>
      </c>
      <c r="T910" s="531" t="str">
        <f t="shared" si="388"/>
        <v/>
      </c>
      <c r="U910" s="533">
        <f t="shared" si="389"/>
        <v>0</v>
      </c>
      <c r="V910" s="531" t="str">
        <f t="shared" si="390"/>
        <v/>
      </c>
      <c r="W910" s="531" t="str">
        <f t="shared" si="391"/>
        <v/>
      </c>
      <c r="X910" s="534" t="str">
        <f t="shared" si="392"/>
        <v/>
      </c>
      <c r="Y910" s="535" t="str">
        <f>IF($A910="","",IF($I910="weekly",$A910+7,EDATE($A910,VLOOKUP($I910,Ref!$B$24:$C$29,2,0))))</f>
        <v/>
      </c>
      <c r="Z910" s="536" t="str">
        <f t="shared" si="393"/>
        <v/>
      </c>
      <c r="AA910" s="531">
        <f t="shared" si="394"/>
        <v>0</v>
      </c>
      <c r="AB910" s="535" t="str">
        <f t="shared" si="382"/>
        <v/>
      </c>
      <c r="AC910" s="537" t="str">
        <f t="shared" si="383"/>
        <v/>
      </c>
      <c r="AD910" s="538" t="str">
        <f t="shared" ca="1" si="384"/>
        <v/>
      </c>
      <c r="AE910" s="537">
        <f t="shared" ca="1" si="385"/>
        <v>0</v>
      </c>
      <c r="AF910" s="539" t="str">
        <f t="shared" ca="1" si="395"/>
        <v/>
      </c>
      <c r="AG910" s="531" t="str">
        <f t="shared" ca="1" si="396"/>
        <v/>
      </c>
      <c r="AH910" s="531" t="str">
        <f t="shared" ca="1" si="397"/>
        <v/>
      </c>
      <c r="AI910" s="531" t="str">
        <f t="shared" ca="1" si="398"/>
        <v/>
      </c>
      <c r="AJ910" s="531" t="str">
        <f t="shared" si="399"/>
        <v/>
      </c>
      <c r="AK910" s="540">
        <f>SUMIFS('Live Collections'!$S:$S,'Live Collections'!$D:$D,Disbursements!B910,'Live Collections'!$G:$G,Disbursements!C910)</f>
        <v>0</v>
      </c>
      <c r="AL910" s="540">
        <f>SUMIFS('Live Collections'!$T:$T,'Live Collections'!$D:$D,Disbursements!B910,'Live Collections'!$G:$G,Disbursements!C910)</f>
        <v>0</v>
      </c>
      <c r="AM910" s="541">
        <f t="shared" si="400"/>
        <v>0</v>
      </c>
      <c r="AN910" s="542" t="str">
        <f t="shared" si="401"/>
        <v/>
      </c>
      <c r="AO910" s="542" t="str">
        <f t="shared" si="402"/>
        <v/>
      </c>
      <c r="AP910" s="543" t="str">
        <f t="shared" si="403"/>
        <v/>
      </c>
      <c r="AQ910" s="544" t="str">
        <f t="shared" si="404"/>
        <v/>
      </c>
      <c r="AR910" s="545">
        <f t="shared" si="405"/>
        <v>0</v>
      </c>
      <c r="AS910" s="545">
        <f>IFERROR(CEILING($AR910*VLOOKUP($I910,Ref!$B$23:$E$29,4,0),1),0)</f>
        <v>0</v>
      </c>
      <c r="AT910" s="545" t="str">
        <f>IF(A910="","",IF(AP910&lt;=1,"Cleared",IF(AS910=0,"Clean",VLOOKUP($AS910,Ref!$G$23:$H$28,2))))</f>
        <v/>
      </c>
      <c r="AU910" s="546" t="str">
        <f t="shared" si="406"/>
        <v/>
      </c>
    </row>
    <row r="911" spans="1:47" ht="14.25" hidden="1" customHeight="1" x14ac:dyDescent="0.15">
      <c r="A911" s="523"/>
      <c r="B911" s="523"/>
      <c r="C911" s="523"/>
      <c r="D911" s="523"/>
      <c r="E911" s="579"/>
      <c r="F911" s="580"/>
      <c r="G911" s="524"/>
      <c r="H911" s="555"/>
      <c r="I911" s="560"/>
      <c r="J911" s="523"/>
      <c r="K911" s="528" t="str">
        <f>IFERROR(VLOOKUP($B911,'Clients-Live'!$A:$C,3,0),"")</f>
        <v/>
      </c>
      <c r="L911" s="528">
        <f>IF(E911="STL",Pricing!$D$38,IF(A911="",0,IF(A911&lt;Pricing!$C$25,Pricing!$D$25,VLOOKUP(Disbursements!$F911,Pricing!$B$29:$D$32,3))))</f>
        <v>0</v>
      </c>
      <c r="M911" s="528">
        <f>IF(E911="STL",0,IF(F911&gt;0,Pricing!$D$21,0))</f>
        <v>0</v>
      </c>
      <c r="N911" s="529">
        <f>IF(E911="STL",F911*Pricing!$D$40,IF(A911&lt;=Pricing!$C$4,0,IF(AND(A911&gt;Pricing!$C$4,Disbursements!A911&lt;=Pricing!$C$5),F911*Pricing!$E$5,IF(AND(A911&gt;Pricing!$C$5,Disbursements!A911&lt;=Pricing!$C$7),VLOOKUP(F911,Pricing!$D$7:$E$8,2)*Disbursements!F911,F911*Pricing!$E$9))))</f>
        <v>0</v>
      </c>
      <c r="O911" s="528">
        <f>IF(E911="STL",0,IF($F911&gt;0,$F911*Pricing!$D$17,0))</f>
        <v>0</v>
      </c>
      <c r="P911" s="530" t="str">
        <f t="shared" si="386"/>
        <v/>
      </c>
      <c r="Q911" s="531" t="str">
        <f>IF($A911="","",$G911/VLOOKUP($I911,Ref!$B$23:$D$29,2,0))</f>
        <v/>
      </c>
      <c r="R911" s="530" t="str">
        <f t="shared" si="387"/>
        <v/>
      </c>
      <c r="S911" s="532" t="str">
        <f t="shared" si="381"/>
        <v/>
      </c>
      <c r="T911" s="531" t="str">
        <f t="shared" si="388"/>
        <v/>
      </c>
      <c r="U911" s="533">
        <f t="shared" si="389"/>
        <v>0</v>
      </c>
      <c r="V911" s="531" t="str">
        <f t="shared" si="390"/>
        <v/>
      </c>
      <c r="W911" s="531" t="str">
        <f t="shared" si="391"/>
        <v/>
      </c>
      <c r="X911" s="534" t="str">
        <f t="shared" si="392"/>
        <v/>
      </c>
      <c r="Y911" s="535" t="str">
        <f>IF($A911="","",IF($I911="weekly",$A911+7,EDATE($A911,VLOOKUP($I911,Ref!$B$24:$C$29,2,0))))</f>
        <v/>
      </c>
      <c r="Z911" s="536" t="str">
        <f t="shared" si="393"/>
        <v/>
      </c>
      <c r="AA911" s="531">
        <f t="shared" si="394"/>
        <v>0</v>
      </c>
      <c r="AB911" s="535" t="str">
        <f t="shared" si="382"/>
        <v/>
      </c>
      <c r="AC911" s="537" t="str">
        <f t="shared" si="383"/>
        <v/>
      </c>
      <c r="AD911" s="538" t="str">
        <f t="shared" ca="1" si="384"/>
        <v/>
      </c>
      <c r="AE911" s="537">
        <f t="shared" ca="1" si="385"/>
        <v>0</v>
      </c>
      <c r="AF911" s="539" t="str">
        <f t="shared" ca="1" si="395"/>
        <v/>
      </c>
      <c r="AG911" s="531" t="str">
        <f t="shared" ca="1" si="396"/>
        <v/>
      </c>
      <c r="AH911" s="531" t="str">
        <f t="shared" ca="1" si="397"/>
        <v/>
      </c>
      <c r="AI911" s="531" t="str">
        <f t="shared" ca="1" si="398"/>
        <v/>
      </c>
      <c r="AJ911" s="531" t="str">
        <f t="shared" si="399"/>
        <v/>
      </c>
      <c r="AK911" s="540">
        <f>SUMIFS('Live Collections'!$S:$S,'Live Collections'!$D:$D,Disbursements!B911,'Live Collections'!$G:$G,Disbursements!C911)</f>
        <v>0</v>
      </c>
      <c r="AL911" s="540">
        <f>SUMIFS('Live Collections'!$T:$T,'Live Collections'!$D:$D,Disbursements!B911,'Live Collections'!$G:$G,Disbursements!C911)</f>
        <v>0</v>
      </c>
      <c r="AM911" s="541">
        <f t="shared" si="400"/>
        <v>0</v>
      </c>
      <c r="AN911" s="542" t="str">
        <f t="shared" si="401"/>
        <v/>
      </c>
      <c r="AO911" s="542" t="str">
        <f t="shared" si="402"/>
        <v/>
      </c>
      <c r="AP911" s="543" t="str">
        <f t="shared" si="403"/>
        <v/>
      </c>
      <c r="AQ911" s="544" t="str">
        <f t="shared" si="404"/>
        <v/>
      </c>
      <c r="AR911" s="545">
        <f t="shared" si="405"/>
        <v>0</v>
      </c>
      <c r="AS911" s="545">
        <f>IFERROR(CEILING($AR911*VLOOKUP($I911,Ref!$B$23:$E$29,4,0),1),0)</f>
        <v>0</v>
      </c>
      <c r="AT911" s="545" t="str">
        <f>IF(A911="","",IF(AP911&lt;=1,"Cleared",IF(AS911=0,"Clean",VLOOKUP($AS911,Ref!$G$23:$H$28,2))))</f>
        <v/>
      </c>
      <c r="AU911" s="546" t="str">
        <f t="shared" si="406"/>
        <v/>
      </c>
    </row>
    <row r="912" spans="1:47" ht="14.25" hidden="1" customHeight="1" x14ac:dyDescent="0.15">
      <c r="A912" s="523"/>
      <c r="B912" s="523"/>
      <c r="C912" s="523"/>
      <c r="D912" s="523"/>
      <c r="E912" s="579"/>
      <c r="F912" s="580"/>
      <c r="G912" s="524"/>
      <c r="H912" s="555"/>
      <c r="I912" s="560"/>
      <c r="J912" s="523"/>
      <c r="K912" s="528" t="str">
        <f>IFERROR(VLOOKUP($B912,'Clients-Live'!$A:$C,3,0),"")</f>
        <v/>
      </c>
      <c r="L912" s="528">
        <f>IF(E912="STL",Pricing!$D$38,IF(A912="",0,IF(A912&lt;Pricing!$C$25,Pricing!$D$25,VLOOKUP(Disbursements!$F912,Pricing!$B$29:$D$32,3))))</f>
        <v>0</v>
      </c>
      <c r="M912" s="528">
        <f>IF(E912="STL",0,IF(F912&gt;0,Pricing!$D$21,0))</f>
        <v>0</v>
      </c>
      <c r="N912" s="529">
        <f>IF(E912="STL",F912*Pricing!$D$40,IF(A912&lt;=Pricing!$C$4,0,IF(AND(A912&gt;Pricing!$C$4,Disbursements!A912&lt;=Pricing!$C$5),F912*Pricing!$E$5,IF(AND(A912&gt;Pricing!$C$5,Disbursements!A912&lt;=Pricing!$C$7),VLOOKUP(F912,Pricing!$D$7:$E$8,2)*Disbursements!F912,F912*Pricing!$E$9))))</f>
        <v>0</v>
      </c>
      <c r="O912" s="528">
        <f>IF(E912="STL",0,IF($F912&gt;0,$F912*Pricing!$D$17,0))</f>
        <v>0</v>
      </c>
      <c r="P912" s="530" t="str">
        <f t="shared" si="386"/>
        <v/>
      </c>
      <c r="Q912" s="531" t="str">
        <f>IF($A912="","",$G912/VLOOKUP($I912,Ref!$B$23:$D$29,2,0))</f>
        <v/>
      </c>
      <c r="R912" s="530" t="str">
        <f t="shared" si="387"/>
        <v/>
      </c>
      <c r="S912" s="532" t="str">
        <f t="shared" si="381"/>
        <v/>
      </c>
      <c r="T912" s="531" t="str">
        <f t="shared" si="388"/>
        <v/>
      </c>
      <c r="U912" s="533">
        <f t="shared" si="389"/>
        <v>0</v>
      </c>
      <c r="V912" s="531" t="str">
        <f t="shared" si="390"/>
        <v/>
      </c>
      <c r="W912" s="531" t="str">
        <f t="shared" si="391"/>
        <v/>
      </c>
      <c r="X912" s="534" t="str">
        <f t="shared" si="392"/>
        <v/>
      </c>
      <c r="Y912" s="535" t="str">
        <f>IF($A912="","",IF($I912="weekly",$A912+7,EDATE($A912,VLOOKUP($I912,Ref!$B$24:$C$29,2,0))))</f>
        <v/>
      </c>
      <c r="Z912" s="536" t="str">
        <f t="shared" si="393"/>
        <v/>
      </c>
      <c r="AA912" s="531">
        <f t="shared" si="394"/>
        <v>0</v>
      </c>
      <c r="AB912" s="535" t="str">
        <f t="shared" si="382"/>
        <v/>
      </c>
      <c r="AC912" s="537" t="str">
        <f t="shared" si="383"/>
        <v/>
      </c>
      <c r="AD912" s="538" t="str">
        <f t="shared" ca="1" si="384"/>
        <v/>
      </c>
      <c r="AE912" s="537">
        <f t="shared" ca="1" si="385"/>
        <v>0</v>
      </c>
      <c r="AF912" s="539" t="str">
        <f t="shared" ca="1" si="395"/>
        <v/>
      </c>
      <c r="AG912" s="531" t="str">
        <f t="shared" ca="1" si="396"/>
        <v/>
      </c>
      <c r="AH912" s="531" t="str">
        <f t="shared" ca="1" si="397"/>
        <v/>
      </c>
      <c r="AI912" s="531" t="str">
        <f t="shared" ca="1" si="398"/>
        <v/>
      </c>
      <c r="AJ912" s="531" t="str">
        <f t="shared" si="399"/>
        <v/>
      </c>
      <c r="AK912" s="540">
        <f>SUMIFS('Live Collections'!$S:$S,'Live Collections'!$D:$D,Disbursements!B912,'Live Collections'!$G:$G,Disbursements!C912)</f>
        <v>0</v>
      </c>
      <c r="AL912" s="540">
        <f>SUMIFS('Live Collections'!$T:$T,'Live Collections'!$D:$D,Disbursements!B912,'Live Collections'!$G:$G,Disbursements!C912)</f>
        <v>0</v>
      </c>
      <c r="AM912" s="541">
        <f t="shared" si="400"/>
        <v>0</v>
      </c>
      <c r="AN912" s="542" t="str">
        <f t="shared" si="401"/>
        <v/>
      </c>
      <c r="AO912" s="542" t="str">
        <f t="shared" si="402"/>
        <v/>
      </c>
      <c r="AP912" s="543" t="str">
        <f t="shared" si="403"/>
        <v/>
      </c>
      <c r="AQ912" s="544" t="str">
        <f t="shared" si="404"/>
        <v/>
      </c>
      <c r="AR912" s="545">
        <f t="shared" si="405"/>
        <v>0</v>
      </c>
      <c r="AS912" s="545">
        <f>IFERROR(CEILING($AR912*VLOOKUP($I912,Ref!$B$23:$E$29,4,0),1),0)</f>
        <v>0</v>
      </c>
      <c r="AT912" s="545" t="str">
        <f>IF(A912="","",IF(AP912&lt;=1,"Cleared",IF(AS912=0,"Clean",VLOOKUP($AS912,Ref!$G$23:$H$28,2))))</f>
        <v/>
      </c>
      <c r="AU912" s="546" t="str">
        <f t="shared" si="406"/>
        <v/>
      </c>
    </row>
    <row r="913" spans="1:47" ht="14.25" hidden="1" customHeight="1" x14ac:dyDescent="0.15">
      <c r="A913" s="523"/>
      <c r="B913" s="523"/>
      <c r="C913" s="523"/>
      <c r="D913" s="523"/>
      <c r="E913" s="579"/>
      <c r="F913" s="580"/>
      <c r="G913" s="524"/>
      <c r="H913" s="555"/>
      <c r="I913" s="560"/>
      <c r="J913" s="523"/>
      <c r="K913" s="528" t="str">
        <f>IFERROR(VLOOKUP($B913,'Clients-Live'!$A:$C,3,0),"")</f>
        <v/>
      </c>
      <c r="L913" s="528">
        <f>IF(E913="STL",Pricing!$D$38,IF(A913="",0,IF(A913&lt;Pricing!$C$25,Pricing!$D$25,VLOOKUP(Disbursements!$F913,Pricing!$B$29:$D$32,3))))</f>
        <v>0</v>
      </c>
      <c r="M913" s="528">
        <f>IF(E913="STL",0,IF(F913&gt;0,Pricing!$D$21,0))</f>
        <v>0</v>
      </c>
      <c r="N913" s="529">
        <f>IF(E913="STL",F913*Pricing!$D$40,IF(A913&lt;=Pricing!$C$4,0,IF(AND(A913&gt;Pricing!$C$4,Disbursements!A913&lt;=Pricing!$C$5),F913*Pricing!$E$5,IF(AND(A913&gt;Pricing!$C$5,Disbursements!A913&lt;=Pricing!$C$7),VLOOKUP(F913,Pricing!$D$7:$E$8,2)*Disbursements!F913,F913*Pricing!$E$9))))</f>
        <v>0</v>
      </c>
      <c r="O913" s="528">
        <f>IF(E913="STL",0,IF($F913&gt;0,$F913*Pricing!$D$17,0))</f>
        <v>0</v>
      </c>
      <c r="P913" s="530" t="str">
        <f t="shared" si="386"/>
        <v/>
      </c>
      <c r="Q913" s="531" t="str">
        <f>IF($A913="","",$G913/VLOOKUP($I913,Ref!$B$23:$D$29,2,0))</f>
        <v/>
      </c>
      <c r="R913" s="530" t="str">
        <f t="shared" si="387"/>
        <v/>
      </c>
      <c r="S913" s="532" t="str">
        <f t="shared" si="381"/>
        <v/>
      </c>
      <c r="T913" s="531" t="str">
        <f t="shared" si="388"/>
        <v/>
      </c>
      <c r="U913" s="533">
        <f t="shared" si="389"/>
        <v>0</v>
      </c>
      <c r="V913" s="531" t="str">
        <f t="shared" si="390"/>
        <v/>
      </c>
      <c r="W913" s="531" t="str">
        <f t="shared" si="391"/>
        <v/>
      </c>
      <c r="X913" s="534" t="str">
        <f t="shared" si="392"/>
        <v/>
      </c>
      <c r="Y913" s="535" t="str">
        <f>IF($A913="","",IF($I913="weekly",$A913+7,EDATE($A913,VLOOKUP($I913,Ref!$B$24:$C$29,2,0))))</f>
        <v/>
      </c>
      <c r="Z913" s="536" t="str">
        <f t="shared" si="393"/>
        <v/>
      </c>
      <c r="AA913" s="531">
        <f t="shared" si="394"/>
        <v>0</v>
      </c>
      <c r="AB913" s="535" t="str">
        <f t="shared" si="382"/>
        <v/>
      </c>
      <c r="AC913" s="537" t="str">
        <f t="shared" si="383"/>
        <v/>
      </c>
      <c r="AD913" s="538" t="str">
        <f t="shared" ca="1" si="384"/>
        <v/>
      </c>
      <c r="AE913" s="537">
        <f t="shared" ca="1" si="385"/>
        <v>0</v>
      </c>
      <c r="AF913" s="539" t="str">
        <f t="shared" ca="1" si="395"/>
        <v/>
      </c>
      <c r="AG913" s="531" t="str">
        <f t="shared" ca="1" si="396"/>
        <v/>
      </c>
      <c r="AH913" s="531" t="str">
        <f t="shared" ca="1" si="397"/>
        <v/>
      </c>
      <c r="AI913" s="531" t="str">
        <f t="shared" ca="1" si="398"/>
        <v/>
      </c>
      <c r="AJ913" s="531" t="str">
        <f t="shared" si="399"/>
        <v/>
      </c>
      <c r="AK913" s="540">
        <f>SUMIFS('Live Collections'!$S:$S,'Live Collections'!$D:$D,Disbursements!B913,'Live Collections'!$G:$G,Disbursements!C913)</f>
        <v>0</v>
      </c>
      <c r="AL913" s="540">
        <f>SUMIFS('Live Collections'!$T:$T,'Live Collections'!$D:$D,Disbursements!B913,'Live Collections'!$G:$G,Disbursements!C913)</f>
        <v>0</v>
      </c>
      <c r="AM913" s="541">
        <f t="shared" si="400"/>
        <v>0</v>
      </c>
      <c r="AN913" s="542" t="str">
        <f t="shared" si="401"/>
        <v/>
      </c>
      <c r="AO913" s="542" t="str">
        <f t="shared" si="402"/>
        <v/>
      </c>
      <c r="AP913" s="543" t="str">
        <f t="shared" si="403"/>
        <v/>
      </c>
      <c r="AQ913" s="544" t="str">
        <f t="shared" si="404"/>
        <v/>
      </c>
      <c r="AR913" s="545">
        <f t="shared" si="405"/>
        <v>0</v>
      </c>
      <c r="AS913" s="545">
        <f>IFERROR(CEILING($AR913*VLOOKUP($I913,Ref!$B$23:$E$29,4,0),1),0)</f>
        <v>0</v>
      </c>
      <c r="AT913" s="545" t="str">
        <f>IF(A913="","",IF(AP913&lt;=1,"Cleared",IF(AS913=0,"Clean",VLOOKUP($AS913,Ref!$G$23:$H$28,2))))</f>
        <v/>
      </c>
      <c r="AU913" s="546" t="str">
        <f t="shared" si="406"/>
        <v/>
      </c>
    </row>
    <row r="914" spans="1:47" ht="14.25" hidden="1" customHeight="1" x14ac:dyDescent="0.15">
      <c r="A914" s="523"/>
      <c r="B914" s="523"/>
      <c r="C914" s="523"/>
      <c r="D914" s="523"/>
      <c r="E914" s="579"/>
      <c r="F914" s="580"/>
      <c r="G914" s="524"/>
      <c r="H914" s="555"/>
      <c r="I914" s="560"/>
      <c r="J914" s="523"/>
      <c r="K914" s="528" t="str">
        <f>IFERROR(VLOOKUP($B914,'Clients-Live'!$A:$C,3,0),"")</f>
        <v/>
      </c>
      <c r="L914" s="528">
        <f>IF(E914="STL",Pricing!$D$38,IF(A914="",0,IF(A914&lt;Pricing!$C$25,Pricing!$D$25,VLOOKUP(Disbursements!$F914,Pricing!$B$29:$D$32,3))))</f>
        <v>0</v>
      </c>
      <c r="M914" s="528">
        <f>IF(E914="STL",0,IF(F914&gt;0,Pricing!$D$21,0))</f>
        <v>0</v>
      </c>
      <c r="N914" s="529">
        <f>IF(E914="STL",F914*Pricing!$D$40,IF(A914&lt;=Pricing!$C$4,0,IF(AND(A914&gt;Pricing!$C$4,Disbursements!A914&lt;=Pricing!$C$5),F914*Pricing!$E$5,IF(AND(A914&gt;Pricing!$C$5,Disbursements!A914&lt;=Pricing!$C$7),VLOOKUP(F914,Pricing!$D$7:$E$8,2)*Disbursements!F914,F914*Pricing!$E$9))))</f>
        <v>0</v>
      </c>
      <c r="O914" s="528">
        <f>IF(E914="STL",0,IF($F914&gt;0,$F914*Pricing!$D$17,0))</f>
        <v>0</v>
      </c>
      <c r="P914" s="530" t="str">
        <f t="shared" si="386"/>
        <v/>
      </c>
      <c r="Q914" s="531" t="str">
        <f>IF($A914="","",$G914/VLOOKUP($I914,Ref!$B$23:$D$29,2,0))</f>
        <v/>
      </c>
      <c r="R914" s="530" t="str">
        <f t="shared" si="387"/>
        <v/>
      </c>
      <c r="S914" s="532" t="str">
        <f t="shared" si="381"/>
        <v/>
      </c>
      <c r="T914" s="531" t="str">
        <f t="shared" si="388"/>
        <v/>
      </c>
      <c r="U914" s="533">
        <f t="shared" si="389"/>
        <v>0</v>
      </c>
      <c r="V914" s="531" t="str">
        <f t="shared" si="390"/>
        <v/>
      </c>
      <c r="W914" s="531" t="str">
        <f t="shared" si="391"/>
        <v/>
      </c>
      <c r="X914" s="534" t="str">
        <f t="shared" si="392"/>
        <v/>
      </c>
      <c r="Y914" s="535" t="str">
        <f>IF($A914="","",IF($I914="weekly",$A914+7,EDATE($A914,VLOOKUP($I914,Ref!$B$24:$C$29,2,0))))</f>
        <v/>
      </c>
      <c r="Z914" s="536" t="str">
        <f t="shared" si="393"/>
        <v/>
      </c>
      <c r="AA914" s="531">
        <f t="shared" si="394"/>
        <v>0</v>
      </c>
      <c r="AB914" s="535" t="str">
        <f t="shared" si="382"/>
        <v/>
      </c>
      <c r="AC914" s="537" t="str">
        <f t="shared" si="383"/>
        <v/>
      </c>
      <c r="AD914" s="538" t="str">
        <f t="shared" ca="1" si="384"/>
        <v/>
      </c>
      <c r="AE914" s="537">
        <f t="shared" ca="1" si="385"/>
        <v>0</v>
      </c>
      <c r="AF914" s="539" t="str">
        <f t="shared" ca="1" si="395"/>
        <v/>
      </c>
      <c r="AG914" s="531" t="str">
        <f t="shared" ca="1" si="396"/>
        <v/>
      </c>
      <c r="AH914" s="531" t="str">
        <f t="shared" ca="1" si="397"/>
        <v/>
      </c>
      <c r="AI914" s="531" t="str">
        <f t="shared" ca="1" si="398"/>
        <v/>
      </c>
      <c r="AJ914" s="531" t="str">
        <f t="shared" si="399"/>
        <v/>
      </c>
      <c r="AK914" s="540">
        <f>SUMIFS('Live Collections'!$S:$S,'Live Collections'!$D:$D,Disbursements!B914,'Live Collections'!$G:$G,Disbursements!C914)</f>
        <v>0</v>
      </c>
      <c r="AL914" s="540">
        <f>SUMIFS('Live Collections'!$T:$T,'Live Collections'!$D:$D,Disbursements!B914,'Live Collections'!$G:$G,Disbursements!C914)</f>
        <v>0</v>
      </c>
      <c r="AM914" s="541">
        <f t="shared" si="400"/>
        <v>0</v>
      </c>
      <c r="AN914" s="542" t="str">
        <f t="shared" si="401"/>
        <v/>
      </c>
      <c r="AO914" s="542" t="str">
        <f t="shared" si="402"/>
        <v/>
      </c>
      <c r="AP914" s="543" t="str">
        <f t="shared" si="403"/>
        <v/>
      </c>
      <c r="AQ914" s="544" t="str">
        <f t="shared" si="404"/>
        <v/>
      </c>
      <c r="AR914" s="545">
        <f t="shared" si="405"/>
        <v>0</v>
      </c>
      <c r="AS914" s="545">
        <f>IFERROR(CEILING($AR914*VLOOKUP($I914,Ref!$B$23:$E$29,4,0),1),0)</f>
        <v>0</v>
      </c>
      <c r="AT914" s="545" t="str">
        <f>IF(A914="","",IF(AP914&lt;=1,"Cleared",IF(AS914=0,"Clean",VLOOKUP($AS914,Ref!$G$23:$H$28,2))))</f>
        <v/>
      </c>
      <c r="AU914" s="546" t="str">
        <f t="shared" si="406"/>
        <v/>
      </c>
    </row>
    <row r="915" spans="1:47" ht="14.25" hidden="1" customHeight="1" x14ac:dyDescent="0.15">
      <c r="A915" s="523"/>
      <c r="B915" s="523"/>
      <c r="C915" s="523"/>
      <c r="D915" s="523"/>
      <c r="E915" s="579"/>
      <c r="F915" s="580"/>
      <c r="G915" s="524"/>
      <c r="H915" s="555"/>
      <c r="I915" s="560"/>
      <c r="J915" s="523"/>
      <c r="K915" s="528" t="str">
        <f>IFERROR(VLOOKUP($B915,'Clients-Live'!$A:$C,3,0),"")</f>
        <v/>
      </c>
      <c r="L915" s="528">
        <f>IF(E915="STL",Pricing!$D$38,IF(A915="",0,IF(A915&lt;Pricing!$C$25,Pricing!$D$25,VLOOKUP(Disbursements!$F915,Pricing!$B$29:$D$32,3))))</f>
        <v>0</v>
      </c>
      <c r="M915" s="528">
        <f>IF(E915="STL",0,IF(F915&gt;0,Pricing!$D$21,0))</f>
        <v>0</v>
      </c>
      <c r="N915" s="529">
        <f>IF(E915="STL",F915*Pricing!$D$40,IF(A915&lt;=Pricing!$C$4,0,IF(AND(A915&gt;Pricing!$C$4,Disbursements!A915&lt;=Pricing!$C$5),F915*Pricing!$E$5,IF(AND(A915&gt;Pricing!$C$5,Disbursements!A915&lt;=Pricing!$C$7),VLOOKUP(F915,Pricing!$D$7:$E$8,2)*Disbursements!F915,F915*Pricing!$E$9))))</f>
        <v>0</v>
      </c>
      <c r="O915" s="528">
        <f>IF(E915="STL",0,IF($F915&gt;0,$F915*Pricing!$D$17,0))</f>
        <v>0</v>
      </c>
      <c r="P915" s="530" t="str">
        <f t="shared" si="386"/>
        <v/>
      </c>
      <c r="Q915" s="531" t="str">
        <f>IF($A915="","",$G915/VLOOKUP($I915,Ref!$B$23:$D$29,2,0))</f>
        <v/>
      </c>
      <c r="R915" s="530" t="str">
        <f t="shared" si="387"/>
        <v/>
      </c>
      <c r="S915" s="532" t="str">
        <f t="shared" si="381"/>
        <v/>
      </c>
      <c r="T915" s="531" t="str">
        <f t="shared" si="388"/>
        <v/>
      </c>
      <c r="U915" s="533">
        <f t="shared" si="389"/>
        <v>0</v>
      </c>
      <c r="V915" s="531" t="str">
        <f t="shared" si="390"/>
        <v/>
      </c>
      <c r="W915" s="531" t="str">
        <f t="shared" si="391"/>
        <v/>
      </c>
      <c r="X915" s="534" t="str">
        <f t="shared" si="392"/>
        <v/>
      </c>
      <c r="Y915" s="535" t="str">
        <f>IF($A915="","",IF($I915="weekly",$A915+7,EDATE($A915,VLOOKUP($I915,Ref!$B$24:$C$29,2,0))))</f>
        <v/>
      </c>
      <c r="Z915" s="536" t="str">
        <f t="shared" si="393"/>
        <v/>
      </c>
      <c r="AA915" s="531">
        <f t="shared" si="394"/>
        <v>0</v>
      </c>
      <c r="AB915" s="535" t="str">
        <f t="shared" si="382"/>
        <v/>
      </c>
      <c r="AC915" s="537" t="str">
        <f t="shared" si="383"/>
        <v/>
      </c>
      <c r="AD915" s="538" t="str">
        <f t="shared" ca="1" si="384"/>
        <v/>
      </c>
      <c r="AE915" s="537">
        <f t="shared" ca="1" si="385"/>
        <v>0</v>
      </c>
      <c r="AF915" s="539" t="str">
        <f t="shared" ca="1" si="395"/>
        <v/>
      </c>
      <c r="AG915" s="531" t="str">
        <f t="shared" ca="1" si="396"/>
        <v/>
      </c>
      <c r="AH915" s="531" t="str">
        <f t="shared" ca="1" si="397"/>
        <v/>
      </c>
      <c r="AI915" s="531" t="str">
        <f t="shared" ca="1" si="398"/>
        <v/>
      </c>
      <c r="AJ915" s="531" t="str">
        <f t="shared" si="399"/>
        <v/>
      </c>
      <c r="AK915" s="540">
        <f>SUMIFS('Live Collections'!$S:$S,'Live Collections'!$D:$D,Disbursements!B915,'Live Collections'!$G:$G,Disbursements!C915)</f>
        <v>0</v>
      </c>
      <c r="AL915" s="540">
        <f>SUMIFS('Live Collections'!$T:$T,'Live Collections'!$D:$D,Disbursements!B915,'Live Collections'!$G:$G,Disbursements!C915)</f>
        <v>0</v>
      </c>
      <c r="AM915" s="541">
        <f t="shared" si="400"/>
        <v>0</v>
      </c>
      <c r="AN915" s="542" t="str">
        <f t="shared" si="401"/>
        <v/>
      </c>
      <c r="AO915" s="542" t="str">
        <f t="shared" si="402"/>
        <v/>
      </c>
      <c r="AP915" s="543" t="str">
        <f t="shared" si="403"/>
        <v/>
      </c>
      <c r="AQ915" s="544" t="str">
        <f t="shared" si="404"/>
        <v/>
      </c>
      <c r="AR915" s="545">
        <f t="shared" si="405"/>
        <v>0</v>
      </c>
      <c r="AS915" s="545">
        <f>IFERROR(CEILING($AR915*VLOOKUP($I915,Ref!$B$23:$E$29,4,0),1),0)</f>
        <v>0</v>
      </c>
      <c r="AT915" s="545" t="str">
        <f>IF(A915="","",IF(AP915&lt;=1,"Cleared",IF(AS915=0,"Clean",VLOOKUP($AS915,Ref!$G$23:$H$28,2))))</f>
        <v/>
      </c>
      <c r="AU915" s="546" t="str">
        <f t="shared" si="406"/>
        <v/>
      </c>
    </row>
    <row r="916" spans="1:47" ht="14.25" hidden="1" customHeight="1" x14ac:dyDescent="0.15">
      <c r="A916" s="523"/>
      <c r="B916" s="523"/>
      <c r="C916" s="523"/>
      <c r="D916" s="523"/>
      <c r="E916" s="579"/>
      <c r="F916" s="580"/>
      <c r="G916" s="524"/>
      <c r="H916" s="555"/>
      <c r="I916" s="560"/>
      <c r="J916" s="523"/>
      <c r="K916" s="528" t="str">
        <f>IFERROR(VLOOKUP($B916,'Clients-Live'!$A:$C,3,0),"")</f>
        <v/>
      </c>
      <c r="L916" s="528">
        <f>IF(E916="STL",Pricing!$D$38,IF(A916="",0,IF(A916&lt;Pricing!$C$25,Pricing!$D$25,VLOOKUP(Disbursements!$F916,Pricing!$B$29:$D$32,3))))</f>
        <v>0</v>
      </c>
      <c r="M916" s="528">
        <f>IF(E916="STL",0,IF(F916&gt;0,Pricing!$D$21,0))</f>
        <v>0</v>
      </c>
      <c r="N916" s="529">
        <f>IF(E916="STL",F916*Pricing!$D$40,IF(A916&lt;=Pricing!$C$4,0,IF(AND(A916&gt;Pricing!$C$4,Disbursements!A916&lt;=Pricing!$C$5),F916*Pricing!$E$5,IF(AND(A916&gt;Pricing!$C$5,Disbursements!A916&lt;=Pricing!$C$7),VLOOKUP(F916,Pricing!$D$7:$E$8,2)*Disbursements!F916,F916*Pricing!$E$9))))</f>
        <v>0</v>
      </c>
      <c r="O916" s="528">
        <f>IF(E916="STL",0,IF($F916&gt;0,$F916*Pricing!$D$17,0))</f>
        <v>0</v>
      </c>
      <c r="P916" s="530" t="str">
        <f t="shared" si="386"/>
        <v/>
      </c>
      <c r="Q916" s="531" t="str">
        <f>IF($A916="","",$G916/VLOOKUP($I916,Ref!$B$23:$D$29,2,0))</f>
        <v/>
      </c>
      <c r="R916" s="530" t="str">
        <f t="shared" si="387"/>
        <v/>
      </c>
      <c r="S916" s="532" t="str">
        <f t="shared" si="381"/>
        <v/>
      </c>
      <c r="T916" s="531" t="str">
        <f t="shared" si="388"/>
        <v/>
      </c>
      <c r="U916" s="533">
        <f t="shared" si="389"/>
        <v>0</v>
      </c>
      <c r="V916" s="531" t="str">
        <f t="shared" si="390"/>
        <v/>
      </c>
      <c r="W916" s="531" t="str">
        <f t="shared" si="391"/>
        <v/>
      </c>
      <c r="X916" s="534" t="str">
        <f t="shared" si="392"/>
        <v/>
      </c>
      <c r="Y916" s="535" t="str">
        <f>IF($A916="","",IF($I916="weekly",$A916+7,EDATE($A916,VLOOKUP($I916,Ref!$B$24:$C$29,2,0))))</f>
        <v/>
      </c>
      <c r="Z916" s="536" t="str">
        <f t="shared" si="393"/>
        <v/>
      </c>
      <c r="AA916" s="531">
        <f t="shared" si="394"/>
        <v>0</v>
      </c>
      <c r="AB916" s="535" t="str">
        <f t="shared" si="382"/>
        <v/>
      </c>
      <c r="AC916" s="537" t="str">
        <f t="shared" si="383"/>
        <v/>
      </c>
      <c r="AD916" s="538" t="str">
        <f t="shared" ca="1" si="384"/>
        <v/>
      </c>
      <c r="AE916" s="537">
        <f t="shared" ca="1" si="385"/>
        <v>0</v>
      </c>
      <c r="AF916" s="539" t="str">
        <f t="shared" ca="1" si="395"/>
        <v/>
      </c>
      <c r="AG916" s="531" t="str">
        <f t="shared" ca="1" si="396"/>
        <v/>
      </c>
      <c r="AH916" s="531" t="str">
        <f t="shared" ca="1" si="397"/>
        <v/>
      </c>
      <c r="AI916" s="531" t="str">
        <f t="shared" ca="1" si="398"/>
        <v/>
      </c>
      <c r="AJ916" s="531" t="str">
        <f t="shared" si="399"/>
        <v/>
      </c>
      <c r="AK916" s="540">
        <f>SUMIFS('Live Collections'!$S:$S,'Live Collections'!$D:$D,Disbursements!B916,'Live Collections'!$G:$G,Disbursements!C916)</f>
        <v>0</v>
      </c>
      <c r="AL916" s="540">
        <f>SUMIFS('Live Collections'!$T:$T,'Live Collections'!$D:$D,Disbursements!B916,'Live Collections'!$G:$G,Disbursements!C916)</f>
        <v>0</v>
      </c>
      <c r="AM916" s="541">
        <f t="shared" si="400"/>
        <v>0</v>
      </c>
      <c r="AN916" s="542" t="str">
        <f t="shared" si="401"/>
        <v/>
      </c>
      <c r="AO916" s="542" t="str">
        <f t="shared" si="402"/>
        <v/>
      </c>
      <c r="AP916" s="543" t="str">
        <f t="shared" si="403"/>
        <v/>
      </c>
      <c r="AQ916" s="544" t="str">
        <f t="shared" si="404"/>
        <v/>
      </c>
      <c r="AR916" s="545">
        <f t="shared" si="405"/>
        <v>0</v>
      </c>
      <c r="AS916" s="545">
        <f>IFERROR(CEILING($AR916*VLOOKUP($I916,Ref!$B$23:$E$29,4,0),1),0)</f>
        <v>0</v>
      </c>
      <c r="AT916" s="545" t="str">
        <f>IF(A916="","",IF(AP916&lt;=1,"Cleared",IF(AS916=0,"Clean",VLOOKUP($AS916,Ref!$G$23:$H$28,2))))</f>
        <v/>
      </c>
      <c r="AU916" s="546" t="str">
        <f t="shared" si="406"/>
        <v/>
      </c>
    </row>
    <row r="917" spans="1:47" ht="14.25" hidden="1" customHeight="1" x14ac:dyDescent="0.15">
      <c r="A917" s="523"/>
      <c r="B917" s="523"/>
      <c r="C917" s="523"/>
      <c r="D917" s="523"/>
      <c r="E917" s="579"/>
      <c r="F917" s="580"/>
      <c r="G917" s="524"/>
      <c r="H917" s="555"/>
      <c r="I917" s="560"/>
      <c r="J917" s="523"/>
      <c r="K917" s="528" t="str">
        <f>IFERROR(VLOOKUP($B917,'Clients-Live'!$A:$C,3,0),"")</f>
        <v/>
      </c>
      <c r="L917" s="528">
        <f>IF(E917="STL",Pricing!$D$38,IF(A917="",0,IF(A917&lt;Pricing!$C$25,Pricing!$D$25,VLOOKUP(Disbursements!$F917,Pricing!$B$29:$D$32,3))))</f>
        <v>0</v>
      </c>
      <c r="M917" s="528">
        <f>IF(E917="STL",0,IF(F917&gt;0,Pricing!$D$21,0))</f>
        <v>0</v>
      </c>
      <c r="N917" s="529">
        <f>IF(E917="STL",F917*Pricing!$D$40,IF(A917&lt;=Pricing!$C$4,0,IF(AND(A917&gt;Pricing!$C$4,Disbursements!A917&lt;=Pricing!$C$5),F917*Pricing!$E$5,IF(AND(A917&gt;Pricing!$C$5,Disbursements!A917&lt;=Pricing!$C$7),VLOOKUP(F917,Pricing!$D$7:$E$8,2)*Disbursements!F917,F917*Pricing!$E$9))))</f>
        <v>0</v>
      </c>
      <c r="O917" s="528">
        <f>IF(E917="STL",0,IF($F917&gt;0,$F917*Pricing!$D$17,0))</f>
        <v>0</v>
      </c>
      <c r="P917" s="530" t="str">
        <f t="shared" si="386"/>
        <v/>
      </c>
      <c r="Q917" s="531" t="str">
        <f>IF($A917="","",$G917/VLOOKUP($I917,Ref!$B$23:$D$29,2,0))</f>
        <v/>
      </c>
      <c r="R917" s="530" t="str">
        <f t="shared" si="387"/>
        <v/>
      </c>
      <c r="S917" s="532" t="str">
        <f t="shared" si="381"/>
        <v/>
      </c>
      <c r="T917" s="531" t="str">
        <f t="shared" si="388"/>
        <v/>
      </c>
      <c r="U917" s="533">
        <f t="shared" si="389"/>
        <v>0</v>
      </c>
      <c r="V917" s="531" t="str">
        <f t="shared" si="390"/>
        <v/>
      </c>
      <c r="W917" s="531" t="str">
        <f t="shared" si="391"/>
        <v/>
      </c>
      <c r="X917" s="534" t="str">
        <f t="shared" si="392"/>
        <v/>
      </c>
      <c r="Y917" s="535" t="str">
        <f>IF($A917="","",IF($I917="weekly",$A917+7,EDATE($A917,VLOOKUP($I917,Ref!$B$24:$C$29,2,0))))</f>
        <v/>
      </c>
      <c r="Z917" s="536" t="str">
        <f t="shared" si="393"/>
        <v/>
      </c>
      <c r="AA917" s="531">
        <f t="shared" si="394"/>
        <v>0</v>
      </c>
      <c r="AB917" s="535" t="str">
        <f t="shared" si="382"/>
        <v/>
      </c>
      <c r="AC917" s="537" t="str">
        <f t="shared" si="383"/>
        <v/>
      </c>
      <c r="AD917" s="538" t="str">
        <f t="shared" ca="1" si="384"/>
        <v/>
      </c>
      <c r="AE917" s="537">
        <f t="shared" ca="1" si="385"/>
        <v>0</v>
      </c>
      <c r="AF917" s="539" t="str">
        <f t="shared" ca="1" si="395"/>
        <v/>
      </c>
      <c r="AG917" s="531" t="str">
        <f t="shared" ca="1" si="396"/>
        <v/>
      </c>
      <c r="AH917" s="531" t="str">
        <f t="shared" ca="1" si="397"/>
        <v/>
      </c>
      <c r="AI917" s="531" t="str">
        <f t="shared" ca="1" si="398"/>
        <v/>
      </c>
      <c r="AJ917" s="531" t="str">
        <f t="shared" si="399"/>
        <v/>
      </c>
      <c r="AK917" s="540">
        <f>SUMIFS('Live Collections'!$S:$S,'Live Collections'!$D:$D,Disbursements!B917,'Live Collections'!$G:$G,Disbursements!C917)</f>
        <v>0</v>
      </c>
      <c r="AL917" s="540">
        <f>SUMIFS('Live Collections'!$T:$T,'Live Collections'!$D:$D,Disbursements!B917,'Live Collections'!$G:$G,Disbursements!C917)</f>
        <v>0</v>
      </c>
      <c r="AM917" s="541">
        <f t="shared" si="400"/>
        <v>0</v>
      </c>
      <c r="AN917" s="542" t="str">
        <f t="shared" si="401"/>
        <v/>
      </c>
      <c r="AO917" s="542" t="str">
        <f t="shared" si="402"/>
        <v/>
      </c>
      <c r="AP917" s="543" t="str">
        <f t="shared" si="403"/>
        <v/>
      </c>
      <c r="AQ917" s="544" t="str">
        <f t="shared" si="404"/>
        <v/>
      </c>
      <c r="AR917" s="545">
        <f t="shared" si="405"/>
        <v>0</v>
      </c>
      <c r="AS917" s="545">
        <f>IFERROR(CEILING($AR917*VLOOKUP($I917,Ref!$B$23:$E$29,4,0),1),0)</f>
        <v>0</v>
      </c>
      <c r="AT917" s="545" t="str">
        <f>IF(A917="","",IF(AP917&lt;=1,"Cleared",IF(AS917=0,"Clean",VLOOKUP($AS917,Ref!$G$23:$H$28,2))))</f>
        <v/>
      </c>
      <c r="AU917" s="546" t="str">
        <f t="shared" si="406"/>
        <v/>
      </c>
    </row>
    <row r="918" spans="1:47" ht="14.25" hidden="1" customHeight="1" x14ac:dyDescent="0.15">
      <c r="A918" s="523"/>
      <c r="B918" s="523"/>
      <c r="C918" s="523"/>
      <c r="D918" s="523"/>
      <c r="E918" s="579"/>
      <c r="F918" s="580"/>
      <c r="G918" s="524"/>
      <c r="H918" s="555"/>
      <c r="I918" s="560"/>
      <c r="J918" s="523"/>
      <c r="K918" s="528" t="str">
        <f>IFERROR(VLOOKUP($B918,'Clients-Live'!$A:$C,3,0),"")</f>
        <v/>
      </c>
      <c r="L918" s="528">
        <f>IF(E918="STL",Pricing!$D$38,IF(A918="",0,IF(A918&lt;Pricing!$C$25,Pricing!$D$25,VLOOKUP(Disbursements!$F918,Pricing!$B$29:$D$32,3))))</f>
        <v>0</v>
      </c>
      <c r="M918" s="528">
        <f>IF(E918="STL",0,IF(F918&gt;0,Pricing!$D$21,0))</f>
        <v>0</v>
      </c>
      <c r="N918" s="529">
        <f>IF(E918="STL",F918*Pricing!$D$40,IF(A918&lt;=Pricing!$C$4,0,IF(AND(A918&gt;Pricing!$C$4,Disbursements!A918&lt;=Pricing!$C$5),F918*Pricing!$E$5,IF(AND(A918&gt;Pricing!$C$5,Disbursements!A918&lt;=Pricing!$C$7),VLOOKUP(F918,Pricing!$D$7:$E$8,2)*Disbursements!F918,F918*Pricing!$E$9))))</f>
        <v>0</v>
      </c>
      <c r="O918" s="528">
        <f>IF(E918="STL",0,IF($F918&gt;0,$F918*Pricing!$D$17,0))</f>
        <v>0</v>
      </c>
      <c r="P918" s="530" t="str">
        <f t="shared" si="386"/>
        <v/>
      </c>
      <c r="Q918" s="531" t="str">
        <f>IF($A918="","",$G918/VLOOKUP($I918,Ref!$B$23:$D$29,2,0))</f>
        <v/>
      </c>
      <c r="R918" s="530" t="str">
        <f t="shared" si="387"/>
        <v/>
      </c>
      <c r="S918" s="532" t="str">
        <f t="shared" si="381"/>
        <v/>
      </c>
      <c r="T918" s="531" t="str">
        <f t="shared" si="388"/>
        <v/>
      </c>
      <c r="U918" s="533">
        <f t="shared" si="389"/>
        <v>0</v>
      </c>
      <c r="V918" s="531" t="str">
        <f t="shared" si="390"/>
        <v/>
      </c>
      <c r="W918" s="531" t="str">
        <f t="shared" si="391"/>
        <v/>
      </c>
      <c r="X918" s="534" t="str">
        <f t="shared" si="392"/>
        <v/>
      </c>
      <c r="Y918" s="535" t="str">
        <f>IF($A918="","",IF($I918="weekly",$A918+7,EDATE($A918,VLOOKUP($I918,Ref!$B$24:$C$29,2,0))))</f>
        <v/>
      </c>
      <c r="Z918" s="536" t="str">
        <f t="shared" si="393"/>
        <v/>
      </c>
      <c r="AA918" s="531">
        <f t="shared" si="394"/>
        <v>0</v>
      </c>
      <c r="AB918" s="535" t="str">
        <f t="shared" si="382"/>
        <v/>
      </c>
      <c r="AC918" s="537" t="str">
        <f t="shared" si="383"/>
        <v/>
      </c>
      <c r="AD918" s="538" t="str">
        <f t="shared" ca="1" si="384"/>
        <v/>
      </c>
      <c r="AE918" s="537">
        <f t="shared" ca="1" si="385"/>
        <v>0</v>
      </c>
      <c r="AF918" s="539" t="str">
        <f t="shared" ca="1" si="395"/>
        <v/>
      </c>
      <c r="AG918" s="531" t="str">
        <f t="shared" ca="1" si="396"/>
        <v/>
      </c>
      <c r="AH918" s="531" t="str">
        <f t="shared" ca="1" si="397"/>
        <v/>
      </c>
      <c r="AI918" s="531" t="str">
        <f t="shared" ca="1" si="398"/>
        <v/>
      </c>
      <c r="AJ918" s="531" t="str">
        <f t="shared" si="399"/>
        <v/>
      </c>
      <c r="AK918" s="540">
        <f>SUMIFS('Live Collections'!$S:$S,'Live Collections'!$D:$D,Disbursements!B918,'Live Collections'!$G:$G,Disbursements!C918)</f>
        <v>0</v>
      </c>
      <c r="AL918" s="540">
        <f>SUMIFS('Live Collections'!$T:$T,'Live Collections'!$D:$D,Disbursements!B918,'Live Collections'!$G:$G,Disbursements!C918)</f>
        <v>0</v>
      </c>
      <c r="AM918" s="541">
        <f t="shared" si="400"/>
        <v>0</v>
      </c>
      <c r="AN918" s="542" t="str">
        <f t="shared" si="401"/>
        <v/>
      </c>
      <c r="AO918" s="542" t="str">
        <f t="shared" si="402"/>
        <v/>
      </c>
      <c r="AP918" s="543" t="str">
        <f t="shared" si="403"/>
        <v/>
      </c>
      <c r="AQ918" s="544" t="str">
        <f t="shared" si="404"/>
        <v/>
      </c>
      <c r="AR918" s="545">
        <f t="shared" si="405"/>
        <v>0</v>
      </c>
      <c r="AS918" s="545">
        <f>IFERROR(CEILING($AR918*VLOOKUP($I918,Ref!$B$23:$E$29,4,0),1),0)</f>
        <v>0</v>
      </c>
      <c r="AT918" s="545" t="str">
        <f>IF(A918="","",IF(AP918&lt;=1,"Cleared",IF(AS918=0,"Clean",VLOOKUP($AS918,Ref!$G$23:$H$28,2))))</f>
        <v/>
      </c>
      <c r="AU918" s="546" t="str">
        <f t="shared" si="406"/>
        <v/>
      </c>
    </row>
    <row r="919" spans="1:47" ht="14.25" hidden="1" customHeight="1" x14ac:dyDescent="0.15">
      <c r="A919" s="523"/>
      <c r="B919" s="523"/>
      <c r="C919" s="523"/>
      <c r="D919" s="523"/>
      <c r="E919" s="579"/>
      <c r="F919" s="580"/>
      <c r="G919" s="524"/>
      <c r="H919" s="555"/>
      <c r="I919" s="560"/>
      <c r="J919" s="523"/>
      <c r="K919" s="528" t="str">
        <f>IFERROR(VLOOKUP($B919,'Clients-Live'!$A:$C,3,0),"")</f>
        <v/>
      </c>
      <c r="L919" s="528">
        <f>IF(E919="STL",Pricing!$D$38,IF(A919="",0,IF(A919&lt;Pricing!$C$25,Pricing!$D$25,VLOOKUP(Disbursements!$F919,Pricing!$B$29:$D$32,3))))</f>
        <v>0</v>
      </c>
      <c r="M919" s="528">
        <f>IF(E919="STL",0,IF(F919&gt;0,Pricing!$D$21,0))</f>
        <v>0</v>
      </c>
      <c r="N919" s="529">
        <f>IF(E919="STL",F919*Pricing!$D$40,IF(A919&lt;=Pricing!$C$4,0,IF(AND(A919&gt;Pricing!$C$4,Disbursements!A919&lt;=Pricing!$C$5),F919*Pricing!$E$5,IF(AND(A919&gt;Pricing!$C$5,Disbursements!A919&lt;=Pricing!$C$7),VLOOKUP(F919,Pricing!$D$7:$E$8,2)*Disbursements!F919,F919*Pricing!$E$9))))</f>
        <v>0</v>
      </c>
      <c r="O919" s="528">
        <f>IF(E919="STL",0,IF($F919&gt;0,$F919*Pricing!$D$17,0))</f>
        <v>0</v>
      </c>
      <c r="P919" s="530" t="str">
        <f t="shared" si="386"/>
        <v/>
      </c>
      <c r="Q919" s="531" t="str">
        <f>IF($A919="","",$G919/VLOOKUP($I919,Ref!$B$23:$D$29,2,0))</f>
        <v/>
      </c>
      <c r="R919" s="530" t="str">
        <f t="shared" si="387"/>
        <v/>
      </c>
      <c r="S919" s="532" t="str">
        <f t="shared" si="381"/>
        <v/>
      </c>
      <c r="T919" s="531" t="str">
        <f t="shared" si="388"/>
        <v/>
      </c>
      <c r="U919" s="533">
        <f t="shared" si="389"/>
        <v>0</v>
      </c>
      <c r="V919" s="531" t="str">
        <f t="shared" si="390"/>
        <v/>
      </c>
      <c r="W919" s="531" t="str">
        <f t="shared" si="391"/>
        <v/>
      </c>
      <c r="X919" s="534" t="str">
        <f t="shared" si="392"/>
        <v/>
      </c>
      <c r="Y919" s="535" t="str">
        <f>IF($A919="","",IF($I919="weekly",$A919+7,EDATE($A919,VLOOKUP($I919,Ref!$B$24:$C$29,2,0))))</f>
        <v/>
      </c>
      <c r="Z919" s="536" t="str">
        <f t="shared" si="393"/>
        <v/>
      </c>
      <c r="AA919" s="531">
        <f t="shared" si="394"/>
        <v>0</v>
      </c>
      <c r="AB919" s="535" t="str">
        <f t="shared" si="382"/>
        <v/>
      </c>
      <c r="AC919" s="537" t="str">
        <f t="shared" si="383"/>
        <v/>
      </c>
      <c r="AD919" s="538" t="str">
        <f t="shared" ca="1" si="384"/>
        <v/>
      </c>
      <c r="AE919" s="537">
        <f t="shared" ca="1" si="385"/>
        <v>0</v>
      </c>
      <c r="AF919" s="539" t="str">
        <f t="shared" ca="1" si="395"/>
        <v/>
      </c>
      <c r="AG919" s="531" t="str">
        <f t="shared" ca="1" si="396"/>
        <v/>
      </c>
      <c r="AH919" s="531" t="str">
        <f t="shared" ca="1" si="397"/>
        <v/>
      </c>
      <c r="AI919" s="531" t="str">
        <f t="shared" ca="1" si="398"/>
        <v/>
      </c>
      <c r="AJ919" s="531" t="str">
        <f t="shared" si="399"/>
        <v/>
      </c>
      <c r="AK919" s="540">
        <f>SUMIFS('Live Collections'!$S:$S,'Live Collections'!$D:$D,Disbursements!B919,'Live Collections'!$G:$G,Disbursements!C919)</f>
        <v>0</v>
      </c>
      <c r="AL919" s="540">
        <f>SUMIFS('Live Collections'!$T:$T,'Live Collections'!$D:$D,Disbursements!B919,'Live Collections'!$G:$G,Disbursements!C919)</f>
        <v>0</v>
      </c>
      <c r="AM919" s="541">
        <f t="shared" si="400"/>
        <v>0</v>
      </c>
      <c r="AN919" s="542" t="str">
        <f t="shared" si="401"/>
        <v/>
      </c>
      <c r="AO919" s="542" t="str">
        <f t="shared" si="402"/>
        <v/>
      </c>
      <c r="AP919" s="543" t="str">
        <f t="shared" si="403"/>
        <v/>
      </c>
      <c r="AQ919" s="544" t="str">
        <f t="shared" si="404"/>
        <v/>
      </c>
      <c r="AR919" s="545">
        <f t="shared" si="405"/>
        <v>0</v>
      </c>
      <c r="AS919" s="545">
        <f>IFERROR(CEILING($AR919*VLOOKUP($I919,Ref!$B$23:$E$29,4,0),1),0)</f>
        <v>0</v>
      </c>
      <c r="AT919" s="545" t="str">
        <f>IF(A919="","",IF(AP919&lt;=1,"Cleared",IF(AS919=0,"Clean",VLOOKUP($AS919,Ref!$G$23:$H$28,2))))</f>
        <v/>
      </c>
      <c r="AU919" s="546" t="str">
        <f t="shared" si="406"/>
        <v/>
      </c>
    </row>
    <row r="920" spans="1:47" ht="14.25" hidden="1" customHeight="1" x14ac:dyDescent="0.15">
      <c r="A920" s="523"/>
      <c r="B920" s="523"/>
      <c r="C920" s="523"/>
      <c r="D920" s="523"/>
      <c r="E920" s="579"/>
      <c r="F920" s="580"/>
      <c r="G920" s="524"/>
      <c r="H920" s="555"/>
      <c r="I920" s="560"/>
      <c r="J920" s="523"/>
      <c r="K920" s="528" t="str">
        <f>IFERROR(VLOOKUP($B920,'Clients-Live'!$A:$C,3,0),"")</f>
        <v/>
      </c>
      <c r="L920" s="528">
        <f>IF(E920="STL",Pricing!$D$38,IF(A920="",0,IF(A920&lt;Pricing!$C$25,Pricing!$D$25,VLOOKUP(Disbursements!$F920,Pricing!$B$29:$D$32,3))))</f>
        <v>0</v>
      </c>
      <c r="M920" s="528">
        <f>IF(E920="STL",0,IF(F920&gt;0,Pricing!$D$21,0))</f>
        <v>0</v>
      </c>
      <c r="N920" s="529">
        <f>IF(E920="STL",F920*Pricing!$D$40,IF(A920&lt;=Pricing!$C$4,0,IF(AND(A920&gt;Pricing!$C$4,Disbursements!A920&lt;=Pricing!$C$5),F920*Pricing!$E$5,IF(AND(A920&gt;Pricing!$C$5,Disbursements!A920&lt;=Pricing!$C$7),VLOOKUP(F920,Pricing!$D$7:$E$8,2)*Disbursements!F920,F920*Pricing!$E$9))))</f>
        <v>0</v>
      </c>
      <c r="O920" s="528">
        <f>IF(E920="STL",0,IF($F920&gt;0,$F920*Pricing!$D$17,0))</f>
        <v>0</v>
      </c>
      <c r="P920" s="530" t="str">
        <f t="shared" si="386"/>
        <v/>
      </c>
      <c r="Q920" s="531" t="str">
        <f>IF($A920="","",$G920/VLOOKUP($I920,Ref!$B$23:$D$29,2,0))</f>
        <v/>
      </c>
      <c r="R920" s="530" t="str">
        <f t="shared" si="387"/>
        <v/>
      </c>
      <c r="S920" s="532" t="str">
        <f t="shared" si="381"/>
        <v/>
      </c>
      <c r="T920" s="531" t="str">
        <f t="shared" si="388"/>
        <v/>
      </c>
      <c r="U920" s="533">
        <f t="shared" si="389"/>
        <v>0</v>
      </c>
      <c r="V920" s="531" t="str">
        <f t="shared" si="390"/>
        <v/>
      </c>
      <c r="W920" s="531" t="str">
        <f t="shared" si="391"/>
        <v/>
      </c>
      <c r="X920" s="534" t="str">
        <f t="shared" si="392"/>
        <v/>
      </c>
      <c r="Y920" s="535" t="str">
        <f>IF($A920="","",IF($I920="weekly",$A920+7,EDATE($A920,VLOOKUP($I920,Ref!$B$24:$C$29,2,0))))</f>
        <v/>
      </c>
      <c r="Z920" s="536" t="str">
        <f t="shared" si="393"/>
        <v/>
      </c>
      <c r="AA920" s="531">
        <f t="shared" si="394"/>
        <v>0</v>
      </c>
      <c r="AB920" s="535" t="str">
        <f t="shared" si="382"/>
        <v/>
      </c>
      <c r="AC920" s="537" t="str">
        <f t="shared" si="383"/>
        <v/>
      </c>
      <c r="AD920" s="538" t="str">
        <f t="shared" ca="1" si="384"/>
        <v/>
      </c>
      <c r="AE920" s="537">
        <f t="shared" ca="1" si="385"/>
        <v>0</v>
      </c>
      <c r="AF920" s="539" t="str">
        <f t="shared" ca="1" si="395"/>
        <v/>
      </c>
      <c r="AG920" s="531" t="str">
        <f t="shared" ca="1" si="396"/>
        <v/>
      </c>
      <c r="AH920" s="531" t="str">
        <f t="shared" ca="1" si="397"/>
        <v/>
      </c>
      <c r="AI920" s="531" t="str">
        <f t="shared" ca="1" si="398"/>
        <v/>
      </c>
      <c r="AJ920" s="531" t="str">
        <f t="shared" si="399"/>
        <v/>
      </c>
      <c r="AK920" s="540">
        <f>SUMIFS('Live Collections'!$S:$S,'Live Collections'!$D:$D,Disbursements!B920,'Live Collections'!$G:$G,Disbursements!C920)</f>
        <v>0</v>
      </c>
      <c r="AL920" s="540">
        <f>SUMIFS('Live Collections'!$T:$T,'Live Collections'!$D:$D,Disbursements!B920,'Live Collections'!$G:$G,Disbursements!C920)</f>
        <v>0</v>
      </c>
      <c r="AM920" s="541">
        <f t="shared" si="400"/>
        <v>0</v>
      </c>
      <c r="AN920" s="542" t="str">
        <f t="shared" si="401"/>
        <v/>
      </c>
      <c r="AO920" s="542" t="str">
        <f t="shared" si="402"/>
        <v/>
      </c>
      <c r="AP920" s="543" t="str">
        <f t="shared" si="403"/>
        <v/>
      </c>
      <c r="AQ920" s="544" t="str">
        <f t="shared" si="404"/>
        <v/>
      </c>
      <c r="AR920" s="545">
        <f t="shared" si="405"/>
        <v>0</v>
      </c>
      <c r="AS920" s="545">
        <f>IFERROR(CEILING($AR920*VLOOKUP($I920,Ref!$B$23:$E$29,4,0),1),0)</f>
        <v>0</v>
      </c>
      <c r="AT920" s="545" t="str">
        <f>IF(A920="","",IF(AP920&lt;=1,"Cleared",IF(AS920=0,"Clean",VLOOKUP($AS920,Ref!$G$23:$H$28,2))))</f>
        <v/>
      </c>
      <c r="AU920" s="546" t="str">
        <f t="shared" si="406"/>
        <v/>
      </c>
    </row>
    <row r="921" spans="1:47" ht="14.25" hidden="1" customHeight="1" x14ac:dyDescent="0.15">
      <c r="A921" s="523"/>
      <c r="B921" s="523"/>
      <c r="C921" s="523"/>
      <c r="D921" s="523"/>
      <c r="E921" s="579"/>
      <c r="F921" s="580"/>
      <c r="G921" s="524"/>
      <c r="H921" s="555"/>
      <c r="I921" s="560"/>
      <c r="J921" s="523"/>
      <c r="K921" s="528" t="str">
        <f>IFERROR(VLOOKUP($B921,'Clients-Live'!$A:$C,3,0),"")</f>
        <v/>
      </c>
      <c r="L921" s="528">
        <f>IF(E921="STL",Pricing!$D$38,IF(A921="",0,IF(A921&lt;Pricing!$C$25,Pricing!$D$25,VLOOKUP(Disbursements!$F921,Pricing!$B$29:$D$32,3))))</f>
        <v>0</v>
      </c>
      <c r="M921" s="528">
        <f>IF(E921="STL",0,IF(F921&gt;0,Pricing!$D$21,0))</f>
        <v>0</v>
      </c>
      <c r="N921" s="529">
        <f>IF(E921="STL",F921*Pricing!$D$40,IF(A921&lt;=Pricing!$C$4,0,IF(AND(A921&gt;Pricing!$C$4,Disbursements!A921&lt;=Pricing!$C$5),F921*Pricing!$E$5,IF(AND(A921&gt;Pricing!$C$5,Disbursements!A921&lt;=Pricing!$C$7),VLOOKUP(F921,Pricing!$D$7:$E$8,2)*Disbursements!F921,F921*Pricing!$E$9))))</f>
        <v>0</v>
      </c>
      <c r="O921" s="528">
        <f>IF(E921="STL",0,IF($F921&gt;0,$F921*Pricing!$D$17,0))</f>
        <v>0</v>
      </c>
      <c r="P921" s="530" t="str">
        <f t="shared" si="386"/>
        <v/>
      </c>
      <c r="Q921" s="531" t="str">
        <f>IF($A921="","",$G921/VLOOKUP($I921,Ref!$B$23:$D$29,2,0))</f>
        <v/>
      </c>
      <c r="R921" s="530" t="str">
        <f t="shared" si="387"/>
        <v/>
      </c>
      <c r="S921" s="532" t="str">
        <f t="shared" si="381"/>
        <v/>
      </c>
      <c r="T921" s="531" t="str">
        <f t="shared" si="388"/>
        <v/>
      </c>
      <c r="U921" s="533">
        <f t="shared" si="389"/>
        <v>0</v>
      </c>
      <c r="V921" s="531" t="str">
        <f t="shared" si="390"/>
        <v/>
      </c>
      <c r="W921" s="531" t="str">
        <f t="shared" si="391"/>
        <v/>
      </c>
      <c r="X921" s="534" t="str">
        <f t="shared" si="392"/>
        <v/>
      </c>
      <c r="Y921" s="535" t="str">
        <f>IF($A921="","",IF($I921="weekly",$A921+7,EDATE($A921,VLOOKUP($I921,Ref!$B$24:$C$29,2,0))))</f>
        <v/>
      </c>
      <c r="Z921" s="536" t="str">
        <f t="shared" si="393"/>
        <v/>
      </c>
      <c r="AA921" s="531">
        <f t="shared" si="394"/>
        <v>0</v>
      </c>
      <c r="AB921" s="535" t="str">
        <f t="shared" si="382"/>
        <v/>
      </c>
      <c r="AC921" s="537" t="str">
        <f t="shared" si="383"/>
        <v/>
      </c>
      <c r="AD921" s="538" t="str">
        <f t="shared" ca="1" si="384"/>
        <v/>
      </c>
      <c r="AE921" s="537">
        <f t="shared" ca="1" si="385"/>
        <v>0</v>
      </c>
      <c r="AF921" s="539" t="str">
        <f t="shared" ca="1" si="395"/>
        <v/>
      </c>
      <c r="AG921" s="531" t="str">
        <f t="shared" ca="1" si="396"/>
        <v/>
      </c>
      <c r="AH921" s="531" t="str">
        <f t="shared" ca="1" si="397"/>
        <v/>
      </c>
      <c r="AI921" s="531" t="str">
        <f t="shared" ca="1" si="398"/>
        <v/>
      </c>
      <c r="AJ921" s="531" t="str">
        <f t="shared" si="399"/>
        <v/>
      </c>
      <c r="AK921" s="540">
        <f>SUMIFS('Live Collections'!$S:$S,'Live Collections'!$D:$D,Disbursements!B921,'Live Collections'!$G:$G,Disbursements!C921)</f>
        <v>0</v>
      </c>
      <c r="AL921" s="540">
        <f>SUMIFS('Live Collections'!$T:$T,'Live Collections'!$D:$D,Disbursements!B921,'Live Collections'!$G:$G,Disbursements!C921)</f>
        <v>0</v>
      </c>
      <c r="AM921" s="541">
        <f t="shared" si="400"/>
        <v>0</v>
      </c>
      <c r="AN921" s="542" t="str">
        <f t="shared" si="401"/>
        <v/>
      </c>
      <c r="AO921" s="542" t="str">
        <f t="shared" si="402"/>
        <v/>
      </c>
      <c r="AP921" s="543" t="str">
        <f t="shared" si="403"/>
        <v/>
      </c>
      <c r="AQ921" s="544" t="str">
        <f t="shared" si="404"/>
        <v/>
      </c>
      <c r="AR921" s="545">
        <f t="shared" si="405"/>
        <v>0</v>
      </c>
      <c r="AS921" s="545">
        <f>IFERROR(CEILING($AR921*VLOOKUP($I921,Ref!$B$23:$E$29,4,0),1),0)</f>
        <v>0</v>
      </c>
      <c r="AT921" s="545" t="str">
        <f>IF(A921="","",IF(AP921&lt;=1,"Cleared",IF(AS921=0,"Clean",VLOOKUP($AS921,Ref!$G$23:$H$28,2))))</f>
        <v/>
      </c>
      <c r="AU921" s="546" t="str">
        <f t="shared" si="406"/>
        <v/>
      </c>
    </row>
    <row r="922" spans="1:47" ht="14.25" hidden="1" customHeight="1" x14ac:dyDescent="0.15">
      <c r="A922" s="523"/>
      <c r="B922" s="523"/>
      <c r="C922" s="523"/>
      <c r="D922" s="523"/>
      <c r="E922" s="579"/>
      <c r="F922" s="580"/>
      <c r="G922" s="524"/>
      <c r="H922" s="555"/>
      <c r="I922" s="560"/>
      <c r="J922" s="523"/>
      <c r="K922" s="528" t="str">
        <f>IFERROR(VLOOKUP($B922,'Clients-Live'!$A:$C,3,0),"")</f>
        <v/>
      </c>
      <c r="L922" s="528">
        <f>IF(E922="STL",Pricing!$D$38,IF(A922="",0,IF(A922&lt;Pricing!$C$25,Pricing!$D$25,VLOOKUP(Disbursements!$F922,Pricing!$B$29:$D$32,3))))</f>
        <v>0</v>
      </c>
      <c r="M922" s="528">
        <f>IF(E922="STL",0,IF(F922&gt;0,Pricing!$D$21,0))</f>
        <v>0</v>
      </c>
      <c r="N922" s="529">
        <f>IF(E922="STL",F922*Pricing!$D$40,IF(A922&lt;=Pricing!$C$4,0,IF(AND(A922&gt;Pricing!$C$4,Disbursements!A922&lt;=Pricing!$C$5),F922*Pricing!$E$5,IF(AND(A922&gt;Pricing!$C$5,Disbursements!A922&lt;=Pricing!$C$7),VLOOKUP(F922,Pricing!$D$7:$E$8,2)*Disbursements!F922,F922*Pricing!$E$9))))</f>
        <v>0</v>
      </c>
      <c r="O922" s="528">
        <f>IF(E922="STL",0,IF($F922&gt;0,$F922*Pricing!$D$17,0))</f>
        <v>0</v>
      </c>
      <c r="P922" s="530" t="str">
        <f t="shared" si="386"/>
        <v/>
      </c>
      <c r="Q922" s="531" t="str">
        <f>IF($A922="","",$G922/VLOOKUP($I922,Ref!$B$23:$D$29,2,0))</f>
        <v/>
      </c>
      <c r="R922" s="530" t="str">
        <f t="shared" si="387"/>
        <v/>
      </c>
      <c r="S922" s="532" t="str">
        <f t="shared" si="381"/>
        <v/>
      </c>
      <c r="T922" s="531" t="str">
        <f t="shared" si="388"/>
        <v/>
      </c>
      <c r="U922" s="533">
        <f t="shared" si="389"/>
        <v>0</v>
      </c>
      <c r="V922" s="531" t="str">
        <f t="shared" si="390"/>
        <v/>
      </c>
      <c r="W922" s="531" t="str">
        <f t="shared" si="391"/>
        <v/>
      </c>
      <c r="X922" s="534" t="str">
        <f t="shared" si="392"/>
        <v/>
      </c>
      <c r="Y922" s="535" t="str">
        <f>IF($A922="","",IF($I922="weekly",$A922+7,EDATE($A922,VLOOKUP($I922,Ref!$B$24:$C$29,2,0))))</f>
        <v/>
      </c>
      <c r="Z922" s="536" t="str">
        <f t="shared" si="393"/>
        <v/>
      </c>
      <c r="AA922" s="531">
        <f t="shared" si="394"/>
        <v>0</v>
      </c>
      <c r="AB922" s="535" t="str">
        <f t="shared" si="382"/>
        <v/>
      </c>
      <c r="AC922" s="537" t="str">
        <f t="shared" si="383"/>
        <v/>
      </c>
      <c r="AD922" s="538" t="str">
        <f t="shared" ca="1" si="384"/>
        <v/>
      </c>
      <c r="AE922" s="537">
        <f t="shared" ca="1" si="385"/>
        <v>0</v>
      </c>
      <c r="AF922" s="539" t="str">
        <f t="shared" ca="1" si="395"/>
        <v/>
      </c>
      <c r="AG922" s="531" t="str">
        <f t="shared" ca="1" si="396"/>
        <v/>
      </c>
      <c r="AH922" s="531" t="str">
        <f t="shared" ca="1" si="397"/>
        <v/>
      </c>
      <c r="AI922" s="531" t="str">
        <f t="shared" ca="1" si="398"/>
        <v/>
      </c>
      <c r="AJ922" s="531" t="str">
        <f t="shared" si="399"/>
        <v/>
      </c>
      <c r="AK922" s="540">
        <f>SUMIFS('Live Collections'!$S:$S,'Live Collections'!$D:$D,Disbursements!B922,'Live Collections'!$G:$G,Disbursements!C922)</f>
        <v>0</v>
      </c>
      <c r="AL922" s="540">
        <f>SUMIFS('Live Collections'!$T:$T,'Live Collections'!$D:$D,Disbursements!B922,'Live Collections'!$G:$G,Disbursements!C922)</f>
        <v>0</v>
      </c>
      <c r="AM922" s="541">
        <f t="shared" si="400"/>
        <v>0</v>
      </c>
      <c r="AN922" s="542" t="str">
        <f t="shared" si="401"/>
        <v/>
      </c>
      <c r="AO922" s="542" t="str">
        <f t="shared" si="402"/>
        <v/>
      </c>
      <c r="AP922" s="543" t="str">
        <f t="shared" si="403"/>
        <v/>
      </c>
      <c r="AQ922" s="544" t="str">
        <f t="shared" si="404"/>
        <v/>
      </c>
      <c r="AR922" s="545">
        <f t="shared" si="405"/>
        <v>0</v>
      </c>
      <c r="AS922" s="545">
        <f>IFERROR(CEILING($AR922*VLOOKUP($I922,Ref!$B$23:$E$29,4,0),1),0)</f>
        <v>0</v>
      </c>
      <c r="AT922" s="545" t="str">
        <f>IF(A922="","",IF(AP922&lt;=1,"Cleared",IF(AS922=0,"Clean",VLOOKUP($AS922,Ref!$G$23:$H$28,2))))</f>
        <v/>
      </c>
      <c r="AU922" s="546" t="str">
        <f t="shared" si="406"/>
        <v/>
      </c>
    </row>
    <row r="923" spans="1:47" ht="14.25" hidden="1" customHeight="1" x14ac:dyDescent="0.15">
      <c r="A923" s="523"/>
      <c r="B923" s="523"/>
      <c r="C923" s="523"/>
      <c r="D923" s="523"/>
      <c r="E923" s="579"/>
      <c r="F923" s="580"/>
      <c r="G923" s="524"/>
      <c r="H923" s="555"/>
      <c r="I923" s="560"/>
      <c r="J923" s="523"/>
      <c r="K923" s="528" t="str">
        <f>IFERROR(VLOOKUP($B923,'Clients-Live'!$A:$C,3,0),"")</f>
        <v/>
      </c>
      <c r="L923" s="528">
        <f>IF(E923="STL",Pricing!$D$38,IF(A923="",0,IF(A923&lt;Pricing!$C$25,Pricing!$D$25,VLOOKUP(Disbursements!$F923,Pricing!$B$29:$D$32,3))))</f>
        <v>0</v>
      </c>
      <c r="M923" s="528">
        <f>IF(E923="STL",0,IF(F923&gt;0,Pricing!$D$21,0))</f>
        <v>0</v>
      </c>
      <c r="N923" s="529">
        <f>IF(E923="STL",F923*Pricing!$D$40,IF(A923&lt;=Pricing!$C$4,0,IF(AND(A923&gt;Pricing!$C$4,Disbursements!A923&lt;=Pricing!$C$5),F923*Pricing!$E$5,IF(AND(A923&gt;Pricing!$C$5,Disbursements!A923&lt;=Pricing!$C$7),VLOOKUP(F923,Pricing!$D$7:$E$8,2)*Disbursements!F923,F923*Pricing!$E$9))))</f>
        <v>0</v>
      </c>
      <c r="O923" s="528">
        <f>IF(E923="STL",0,IF($F923&gt;0,$F923*Pricing!$D$17,0))</f>
        <v>0</v>
      </c>
      <c r="P923" s="530" t="str">
        <f t="shared" si="386"/>
        <v/>
      </c>
      <c r="Q923" s="531" t="str">
        <f>IF($A923="","",$G923/VLOOKUP($I923,Ref!$B$23:$D$29,2,0))</f>
        <v/>
      </c>
      <c r="R923" s="530" t="str">
        <f t="shared" si="387"/>
        <v/>
      </c>
      <c r="S923" s="532" t="str">
        <f t="shared" si="381"/>
        <v/>
      </c>
      <c r="T923" s="531" t="str">
        <f t="shared" si="388"/>
        <v/>
      </c>
      <c r="U923" s="533">
        <f t="shared" si="389"/>
        <v>0</v>
      </c>
      <c r="V923" s="531" t="str">
        <f t="shared" si="390"/>
        <v/>
      </c>
      <c r="W923" s="531" t="str">
        <f t="shared" si="391"/>
        <v/>
      </c>
      <c r="X923" s="534" t="str">
        <f t="shared" si="392"/>
        <v/>
      </c>
      <c r="Y923" s="535" t="str">
        <f>IF($A923="","",IF($I923="weekly",$A923+7,EDATE($A923,VLOOKUP($I923,Ref!$B$24:$C$29,2,0))))</f>
        <v/>
      </c>
      <c r="Z923" s="536" t="str">
        <f t="shared" si="393"/>
        <v/>
      </c>
      <c r="AA923" s="531">
        <f t="shared" si="394"/>
        <v>0</v>
      </c>
      <c r="AB923" s="535" t="str">
        <f t="shared" si="382"/>
        <v/>
      </c>
      <c r="AC923" s="537" t="str">
        <f t="shared" si="383"/>
        <v/>
      </c>
      <c r="AD923" s="538" t="str">
        <f t="shared" ca="1" si="384"/>
        <v/>
      </c>
      <c r="AE923" s="537">
        <f t="shared" ca="1" si="385"/>
        <v>0</v>
      </c>
      <c r="AF923" s="539" t="str">
        <f t="shared" ca="1" si="395"/>
        <v/>
      </c>
      <c r="AG923" s="531" t="str">
        <f t="shared" ca="1" si="396"/>
        <v/>
      </c>
      <c r="AH923" s="531" t="str">
        <f t="shared" ca="1" si="397"/>
        <v/>
      </c>
      <c r="AI923" s="531" t="str">
        <f t="shared" ca="1" si="398"/>
        <v/>
      </c>
      <c r="AJ923" s="531" t="str">
        <f t="shared" si="399"/>
        <v/>
      </c>
      <c r="AK923" s="540">
        <f>SUMIFS('Live Collections'!$S:$S,'Live Collections'!$D:$D,Disbursements!B923,'Live Collections'!$G:$G,Disbursements!C923)</f>
        <v>0</v>
      </c>
      <c r="AL923" s="540">
        <f>SUMIFS('Live Collections'!$T:$T,'Live Collections'!$D:$D,Disbursements!B923,'Live Collections'!$G:$G,Disbursements!C923)</f>
        <v>0</v>
      </c>
      <c r="AM923" s="541">
        <f t="shared" si="400"/>
        <v>0</v>
      </c>
      <c r="AN923" s="542" t="str">
        <f t="shared" si="401"/>
        <v/>
      </c>
      <c r="AO923" s="542" t="str">
        <f t="shared" si="402"/>
        <v/>
      </c>
      <c r="AP923" s="543" t="str">
        <f t="shared" si="403"/>
        <v/>
      </c>
      <c r="AQ923" s="544" t="str">
        <f t="shared" si="404"/>
        <v/>
      </c>
      <c r="AR923" s="545">
        <f t="shared" si="405"/>
        <v>0</v>
      </c>
      <c r="AS923" s="545">
        <f>IFERROR(CEILING($AR923*VLOOKUP($I923,Ref!$B$23:$E$29,4,0),1),0)</f>
        <v>0</v>
      </c>
      <c r="AT923" s="545" t="str">
        <f>IF(A923="","",IF(AP923&lt;=1,"Cleared",IF(AS923=0,"Clean",VLOOKUP($AS923,Ref!$G$23:$H$28,2))))</f>
        <v/>
      </c>
      <c r="AU923" s="546" t="str">
        <f t="shared" si="406"/>
        <v/>
      </c>
    </row>
    <row r="924" spans="1:47" ht="14.25" hidden="1" customHeight="1" x14ac:dyDescent="0.15">
      <c r="A924" s="523"/>
      <c r="B924" s="523"/>
      <c r="C924" s="523"/>
      <c r="D924" s="523"/>
      <c r="E924" s="579"/>
      <c r="F924" s="580"/>
      <c r="G924" s="524"/>
      <c r="H924" s="555"/>
      <c r="I924" s="560"/>
      <c r="J924" s="523"/>
      <c r="K924" s="528" t="str">
        <f>IFERROR(VLOOKUP($B924,'Clients-Live'!$A:$C,3,0),"")</f>
        <v/>
      </c>
      <c r="L924" s="528">
        <f>IF(E924="STL",Pricing!$D$38,IF(A924="",0,IF(A924&lt;Pricing!$C$25,Pricing!$D$25,VLOOKUP(Disbursements!$F924,Pricing!$B$29:$D$32,3))))</f>
        <v>0</v>
      </c>
      <c r="M924" s="528">
        <f>IF(E924="STL",0,IF(F924&gt;0,Pricing!$D$21,0))</f>
        <v>0</v>
      </c>
      <c r="N924" s="529">
        <f>IF(E924="STL",F924*Pricing!$D$40,IF(A924&lt;=Pricing!$C$4,0,IF(AND(A924&gt;Pricing!$C$4,Disbursements!A924&lt;=Pricing!$C$5),F924*Pricing!$E$5,IF(AND(A924&gt;Pricing!$C$5,Disbursements!A924&lt;=Pricing!$C$7),VLOOKUP(F924,Pricing!$D$7:$E$8,2)*Disbursements!F924,F924*Pricing!$E$9))))</f>
        <v>0</v>
      </c>
      <c r="O924" s="528">
        <f>IF(E924="STL",0,IF($F924&gt;0,$F924*Pricing!$D$17,0))</f>
        <v>0</v>
      </c>
      <c r="P924" s="530" t="str">
        <f t="shared" si="386"/>
        <v/>
      </c>
      <c r="Q924" s="531" t="str">
        <f>IF($A924="","",$G924/VLOOKUP($I924,Ref!$B$23:$D$29,2,0))</f>
        <v/>
      </c>
      <c r="R924" s="530" t="str">
        <f t="shared" si="387"/>
        <v/>
      </c>
      <c r="S924" s="532" t="str">
        <f t="shared" si="381"/>
        <v/>
      </c>
      <c r="T924" s="531" t="str">
        <f t="shared" si="388"/>
        <v/>
      </c>
      <c r="U924" s="533">
        <f t="shared" si="389"/>
        <v>0</v>
      </c>
      <c r="V924" s="531" t="str">
        <f t="shared" si="390"/>
        <v/>
      </c>
      <c r="W924" s="531" t="str">
        <f t="shared" si="391"/>
        <v/>
      </c>
      <c r="X924" s="534" t="str">
        <f t="shared" si="392"/>
        <v/>
      </c>
      <c r="Y924" s="535" t="str">
        <f>IF($A924="","",IF($I924="weekly",$A924+7,EDATE($A924,VLOOKUP($I924,Ref!$B$24:$C$29,2,0))))</f>
        <v/>
      </c>
      <c r="Z924" s="536" t="str">
        <f t="shared" si="393"/>
        <v/>
      </c>
      <c r="AA924" s="531">
        <f t="shared" si="394"/>
        <v>0</v>
      </c>
      <c r="AB924" s="535" t="str">
        <f t="shared" si="382"/>
        <v/>
      </c>
      <c r="AC924" s="537" t="str">
        <f t="shared" si="383"/>
        <v/>
      </c>
      <c r="AD924" s="538" t="str">
        <f t="shared" ca="1" si="384"/>
        <v/>
      </c>
      <c r="AE924" s="537">
        <f t="shared" ca="1" si="385"/>
        <v>0</v>
      </c>
      <c r="AF924" s="539" t="str">
        <f t="shared" ca="1" si="395"/>
        <v/>
      </c>
      <c r="AG924" s="531" t="str">
        <f t="shared" ca="1" si="396"/>
        <v/>
      </c>
      <c r="AH924" s="531" t="str">
        <f t="shared" ca="1" si="397"/>
        <v/>
      </c>
      <c r="AI924" s="531" t="str">
        <f t="shared" ca="1" si="398"/>
        <v/>
      </c>
      <c r="AJ924" s="531" t="str">
        <f t="shared" si="399"/>
        <v/>
      </c>
      <c r="AK924" s="540">
        <f>SUMIFS('Live Collections'!$S:$S,'Live Collections'!$D:$D,Disbursements!B924,'Live Collections'!$G:$G,Disbursements!C924)</f>
        <v>0</v>
      </c>
      <c r="AL924" s="540">
        <f>SUMIFS('Live Collections'!$T:$T,'Live Collections'!$D:$D,Disbursements!B924,'Live Collections'!$G:$G,Disbursements!C924)</f>
        <v>0</v>
      </c>
      <c r="AM924" s="541">
        <f t="shared" si="400"/>
        <v>0</v>
      </c>
      <c r="AN924" s="542" t="str">
        <f t="shared" si="401"/>
        <v/>
      </c>
      <c r="AO924" s="542" t="str">
        <f t="shared" si="402"/>
        <v/>
      </c>
      <c r="AP924" s="543" t="str">
        <f t="shared" si="403"/>
        <v/>
      </c>
      <c r="AQ924" s="544" t="str">
        <f t="shared" si="404"/>
        <v/>
      </c>
      <c r="AR924" s="545">
        <f t="shared" si="405"/>
        <v>0</v>
      </c>
      <c r="AS924" s="545">
        <f>IFERROR(CEILING($AR924*VLOOKUP($I924,Ref!$B$23:$E$29,4,0),1),0)</f>
        <v>0</v>
      </c>
      <c r="AT924" s="545" t="str">
        <f>IF(A924="","",IF(AP924&lt;=1,"Cleared",IF(AS924=0,"Clean",VLOOKUP($AS924,Ref!$G$23:$H$28,2))))</f>
        <v/>
      </c>
      <c r="AU924" s="546" t="str">
        <f t="shared" si="406"/>
        <v/>
      </c>
    </row>
    <row r="925" spans="1:47" ht="14.25" hidden="1" customHeight="1" x14ac:dyDescent="0.15">
      <c r="A925" s="523"/>
      <c r="B925" s="523"/>
      <c r="C925" s="523"/>
      <c r="D925" s="523"/>
      <c r="E925" s="579"/>
      <c r="F925" s="580"/>
      <c r="G925" s="524"/>
      <c r="H925" s="555"/>
      <c r="I925" s="560"/>
      <c r="J925" s="523"/>
      <c r="K925" s="528" t="str">
        <f>IFERROR(VLOOKUP($B925,'Clients-Live'!$A:$C,3,0),"")</f>
        <v/>
      </c>
      <c r="L925" s="528">
        <f>IF(E925="STL",Pricing!$D$38,IF(A925="",0,IF(A925&lt;Pricing!$C$25,Pricing!$D$25,VLOOKUP(Disbursements!$F925,Pricing!$B$29:$D$32,3))))</f>
        <v>0</v>
      </c>
      <c r="M925" s="528">
        <f>IF(E925="STL",0,IF(F925&gt;0,Pricing!$D$21,0))</f>
        <v>0</v>
      </c>
      <c r="N925" s="529">
        <f>IF(E925="STL",F925*Pricing!$D$40,IF(A925&lt;=Pricing!$C$4,0,IF(AND(A925&gt;Pricing!$C$4,Disbursements!A925&lt;=Pricing!$C$5),F925*Pricing!$E$5,IF(AND(A925&gt;Pricing!$C$5,Disbursements!A925&lt;=Pricing!$C$7),VLOOKUP(F925,Pricing!$D$7:$E$8,2)*Disbursements!F925,F925*Pricing!$E$9))))</f>
        <v>0</v>
      </c>
      <c r="O925" s="528">
        <f>IF(E925="STL",0,IF($F925&gt;0,$F925*Pricing!$D$17,0))</f>
        <v>0</v>
      </c>
      <c r="P925" s="530" t="str">
        <f t="shared" si="386"/>
        <v/>
      </c>
      <c r="Q925" s="531" t="str">
        <f>IF($A925="","",$G925/VLOOKUP($I925,Ref!$B$23:$D$29,2,0))</f>
        <v/>
      </c>
      <c r="R925" s="530" t="str">
        <f t="shared" si="387"/>
        <v/>
      </c>
      <c r="S925" s="532" t="str">
        <f t="shared" si="381"/>
        <v/>
      </c>
      <c r="T925" s="531" t="str">
        <f t="shared" si="388"/>
        <v/>
      </c>
      <c r="U925" s="533">
        <f t="shared" si="389"/>
        <v>0</v>
      </c>
      <c r="V925" s="531" t="str">
        <f t="shared" si="390"/>
        <v/>
      </c>
      <c r="W925" s="531" t="str">
        <f t="shared" si="391"/>
        <v/>
      </c>
      <c r="X925" s="534" t="str">
        <f t="shared" si="392"/>
        <v/>
      </c>
      <c r="Y925" s="535" t="str">
        <f>IF($A925="","",IF($I925="weekly",$A925+7,EDATE($A925,VLOOKUP($I925,Ref!$B$24:$C$29,2,0))))</f>
        <v/>
      </c>
      <c r="Z925" s="536" t="str">
        <f t="shared" si="393"/>
        <v/>
      </c>
      <c r="AA925" s="531">
        <f t="shared" si="394"/>
        <v>0</v>
      </c>
      <c r="AB925" s="535" t="str">
        <f t="shared" si="382"/>
        <v/>
      </c>
      <c r="AC925" s="537" t="str">
        <f t="shared" si="383"/>
        <v/>
      </c>
      <c r="AD925" s="538" t="str">
        <f t="shared" ca="1" si="384"/>
        <v/>
      </c>
      <c r="AE925" s="537">
        <f t="shared" ca="1" si="385"/>
        <v>0</v>
      </c>
      <c r="AF925" s="539" t="str">
        <f t="shared" ca="1" si="395"/>
        <v/>
      </c>
      <c r="AG925" s="531" t="str">
        <f t="shared" ca="1" si="396"/>
        <v/>
      </c>
      <c r="AH925" s="531" t="str">
        <f t="shared" ca="1" si="397"/>
        <v/>
      </c>
      <c r="AI925" s="531" t="str">
        <f t="shared" ca="1" si="398"/>
        <v/>
      </c>
      <c r="AJ925" s="531" t="str">
        <f t="shared" si="399"/>
        <v/>
      </c>
      <c r="AK925" s="540">
        <f>SUMIFS('Live Collections'!$S:$S,'Live Collections'!$D:$D,Disbursements!B925,'Live Collections'!$G:$G,Disbursements!C925)</f>
        <v>0</v>
      </c>
      <c r="AL925" s="540">
        <f>SUMIFS('Live Collections'!$T:$T,'Live Collections'!$D:$D,Disbursements!B925,'Live Collections'!$G:$G,Disbursements!C925)</f>
        <v>0</v>
      </c>
      <c r="AM925" s="541">
        <f t="shared" si="400"/>
        <v>0</v>
      </c>
      <c r="AN925" s="542" t="str">
        <f t="shared" si="401"/>
        <v/>
      </c>
      <c r="AO925" s="542" t="str">
        <f t="shared" si="402"/>
        <v/>
      </c>
      <c r="AP925" s="543" t="str">
        <f t="shared" si="403"/>
        <v/>
      </c>
      <c r="AQ925" s="544" t="str">
        <f t="shared" si="404"/>
        <v/>
      </c>
      <c r="AR925" s="545">
        <f t="shared" si="405"/>
        <v>0</v>
      </c>
      <c r="AS925" s="545">
        <f>IFERROR(CEILING($AR925*VLOOKUP($I925,Ref!$B$23:$E$29,4,0),1),0)</f>
        <v>0</v>
      </c>
      <c r="AT925" s="545" t="str">
        <f>IF(A925="","",IF(AP925&lt;=1,"Cleared",IF(AS925=0,"Clean",VLOOKUP($AS925,Ref!$G$23:$H$28,2))))</f>
        <v/>
      </c>
      <c r="AU925" s="546" t="str">
        <f t="shared" si="406"/>
        <v/>
      </c>
    </row>
    <row r="926" spans="1:47" ht="14.25" hidden="1" customHeight="1" x14ac:dyDescent="0.15">
      <c r="A926" s="523"/>
      <c r="B926" s="523"/>
      <c r="C926" s="523"/>
      <c r="D926" s="523"/>
      <c r="E926" s="579"/>
      <c r="F926" s="580"/>
      <c r="G926" s="524"/>
      <c r="H926" s="555"/>
      <c r="I926" s="560"/>
      <c r="J926" s="523"/>
      <c r="K926" s="528" t="str">
        <f>IFERROR(VLOOKUP($B926,'Clients-Live'!$A:$C,3,0),"")</f>
        <v/>
      </c>
      <c r="L926" s="528">
        <f>IF(E926="STL",Pricing!$D$38,IF(A926="",0,IF(A926&lt;Pricing!$C$25,Pricing!$D$25,VLOOKUP(Disbursements!$F926,Pricing!$B$29:$D$32,3))))</f>
        <v>0</v>
      </c>
      <c r="M926" s="528">
        <f>IF(E926="STL",0,IF(F926&gt;0,Pricing!$D$21,0))</f>
        <v>0</v>
      </c>
      <c r="N926" s="529">
        <f>IF(E926="STL",F926*Pricing!$D$40,IF(A926&lt;=Pricing!$C$4,0,IF(AND(A926&gt;Pricing!$C$4,Disbursements!A926&lt;=Pricing!$C$5),F926*Pricing!$E$5,IF(AND(A926&gt;Pricing!$C$5,Disbursements!A926&lt;=Pricing!$C$7),VLOOKUP(F926,Pricing!$D$7:$E$8,2)*Disbursements!F926,F926*Pricing!$E$9))))</f>
        <v>0</v>
      </c>
      <c r="O926" s="528">
        <f>IF(E926="STL",0,IF($F926&gt;0,$F926*Pricing!$D$17,0))</f>
        <v>0</v>
      </c>
      <c r="P926" s="530" t="str">
        <f t="shared" si="386"/>
        <v/>
      </c>
      <c r="Q926" s="531" t="str">
        <f>IF($A926="","",$G926/VLOOKUP($I926,Ref!$B$23:$D$29,2,0))</f>
        <v/>
      </c>
      <c r="R926" s="530" t="str">
        <f t="shared" si="387"/>
        <v/>
      </c>
      <c r="S926" s="532" t="str">
        <f t="shared" si="381"/>
        <v/>
      </c>
      <c r="T926" s="531" t="str">
        <f t="shared" si="388"/>
        <v/>
      </c>
      <c r="U926" s="533">
        <f t="shared" si="389"/>
        <v>0</v>
      </c>
      <c r="V926" s="531" t="str">
        <f t="shared" si="390"/>
        <v/>
      </c>
      <c r="W926" s="531" t="str">
        <f t="shared" si="391"/>
        <v/>
      </c>
      <c r="X926" s="534" t="str">
        <f t="shared" si="392"/>
        <v/>
      </c>
      <c r="Y926" s="535" t="str">
        <f>IF($A926="","",IF($I926="weekly",$A926+7,EDATE($A926,VLOOKUP($I926,Ref!$B$24:$C$29,2,0))))</f>
        <v/>
      </c>
      <c r="Z926" s="536" t="str">
        <f t="shared" si="393"/>
        <v/>
      </c>
      <c r="AA926" s="531">
        <f t="shared" si="394"/>
        <v>0</v>
      </c>
      <c r="AB926" s="535" t="str">
        <f t="shared" si="382"/>
        <v/>
      </c>
      <c r="AC926" s="537" t="str">
        <f t="shared" si="383"/>
        <v/>
      </c>
      <c r="AD926" s="538" t="str">
        <f t="shared" ca="1" si="384"/>
        <v/>
      </c>
      <c r="AE926" s="537">
        <f t="shared" ca="1" si="385"/>
        <v>0</v>
      </c>
      <c r="AF926" s="539" t="str">
        <f t="shared" ca="1" si="395"/>
        <v/>
      </c>
      <c r="AG926" s="531" t="str">
        <f t="shared" ca="1" si="396"/>
        <v/>
      </c>
      <c r="AH926" s="531" t="str">
        <f t="shared" ca="1" si="397"/>
        <v/>
      </c>
      <c r="AI926" s="531" t="str">
        <f t="shared" ca="1" si="398"/>
        <v/>
      </c>
      <c r="AJ926" s="531" t="str">
        <f t="shared" si="399"/>
        <v/>
      </c>
      <c r="AK926" s="540">
        <f>SUMIFS('Live Collections'!$S:$S,'Live Collections'!$D:$D,Disbursements!B926,'Live Collections'!$G:$G,Disbursements!C926)</f>
        <v>0</v>
      </c>
      <c r="AL926" s="540">
        <f>SUMIFS('Live Collections'!$T:$T,'Live Collections'!$D:$D,Disbursements!B926,'Live Collections'!$G:$G,Disbursements!C926)</f>
        <v>0</v>
      </c>
      <c r="AM926" s="541">
        <f t="shared" si="400"/>
        <v>0</v>
      </c>
      <c r="AN926" s="542" t="str">
        <f t="shared" si="401"/>
        <v/>
      </c>
      <c r="AO926" s="542" t="str">
        <f t="shared" si="402"/>
        <v/>
      </c>
      <c r="AP926" s="543" t="str">
        <f t="shared" si="403"/>
        <v/>
      </c>
      <c r="AQ926" s="544" t="str">
        <f t="shared" si="404"/>
        <v/>
      </c>
      <c r="AR926" s="545">
        <f t="shared" si="405"/>
        <v>0</v>
      </c>
      <c r="AS926" s="545">
        <f>IFERROR(CEILING($AR926*VLOOKUP($I926,Ref!$B$23:$E$29,4,0),1),0)</f>
        <v>0</v>
      </c>
      <c r="AT926" s="545" t="str">
        <f>IF(A926="","",IF(AP926&lt;=1,"Cleared",IF(AS926=0,"Clean",VLOOKUP($AS926,Ref!$G$23:$H$28,2))))</f>
        <v/>
      </c>
      <c r="AU926" s="546" t="str">
        <f t="shared" si="406"/>
        <v/>
      </c>
    </row>
    <row r="927" spans="1:47" ht="14.25" hidden="1" customHeight="1" x14ac:dyDescent="0.15">
      <c r="A927" s="523"/>
      <c r="B927" s="523"/>
      <c r="C927" s="523"/>
      <c r="D927" s="523"/>
      <c r="E927" s="579"/>
      <c r="F927" s="580"/>
      <c r="G927" s="524"/>
      <c r="H927" s="555"/>
      <c r="I927" s="560"/>
      <c r="J927" s="523"/>
      <c r="K927" s="528" t="str">
        <f>IFERROR(VLOOKUP($B927,'Clients-Live'!$A:$C,3,0),"")</f>
        <v/>
      </c>
      <c r="L927" s="528">
        <f>IF(E927="STL",Pricing!$D$38,IF(A927="",0,IF(A927&lt;Pricing!$C$25,Pricing!$D$25,VLOOKUP(Disbursements!$F927,Pricing!$B$29:$D$32,3))))</f>
        <v>0</v>
      </c>
      <c r="M927" s="528">
        <f>IF(E927="STL",0,IF(F927&gt;0,Pricing!$D$21,0))</f>
        <v>0</v>
      </c>
      <c r="N927" s="529">
        <f>IF(E927="STL",F927*Pricing!$D$40,IF(A927&lt;=Pricing!$C$4,0,IF(AND(A927&gt;Pricing!$C$4,Disbursements!A927&lt;=Pricing!$C$5),F927*Pricing!$E$5,IF(AND(A927&gt;Pricing!$C$5,Disbursements!A927&lt;=Pricing!$C$7),VLOOKUP(F927,Pricing!$D$7:$E$8,2)*Disbursements!F927,F927*Pricing!$E$9))))</f>
        <v>0</v>
      </c>
      <c r="O927" s="528">
        <f>IF(E927="STL",0,IF($F927&gt;0,$F927*Pricing!$D$17,0))</f>
        <v>0</v>
      </c>
      <c r="P927" s="530" t="str">
        <f t="shared" si="386"/>
        <v/>
      </c>
      <c r="Q927" s="531" t="str">
        <f>IF($A927="","",$G927/VLOOKUP($I927,Ref!$B$23:$D$29,2,0))</f>
        <v/>
      </c>
      <c r="R927" s="530" t="str">
        <f t="shared" si="387"/>
        <v/>
      </c>
      <c r="S927" s="532" t="str">
        <f t="shared" si="381"/>
        <v/>
      </c>
      <c r="T927" s="531" t="str">
        <f t="shared" si="388"/>
        <v/>
      </c>
      <c r="U927" s="533">
        <f t="shared" si="389"/>
        <v>0</v>
      </c>
      <c r="V927" s="531" t="str">
        <f t="shared" si="390"/>
        <v/>
      </c>
      <c r="W927" s="531" t="str">
        <f t="shared" si="391"/>
        <v/>
      </c>
      <c r="X927" s="534" t="str">
        <f t="shared" si="392"/>
        <v/>
      </c>
      <c r="Y927" s="535" t="str">
        <f>IF($A927="","",IF($I927="weekly",$A927+7,EDATE($A927,VLOOKUP($I927,Ref!$B$24:$C$29,2,0))))</f>
        <v/>
      </c>
      <c r="Z927" s="536" t="str">
        <f t="shared" si="393"/>
        <v/>
      </c>
      <c r="AA927" s="531">
        <f t="shared" si="394"/>
        <v>0</v>
      </c>
      <c r="AB927" s="535" t="str">
        <f t="shared" si="382"/>
        <v/>
      </c>
      <c r="AC927" s="537" t="str">
        <f t="shared" si="383"/>
        <v/>
      </c>
      <c r="AD927" s="538" t="str">
        <f t="shared" ca="1" si="384"/>
        <v/>
      </c>
      <c r="AE927" s="537">
        <f t="shared" ca="1" si="385"/>
        <v>0</v>
      </c>
      <c r="AF927" s="539" t="str">
        <f t="shared" ca="1" si="395"/>
        <v/>
      </c>
      <c r="AG927" s="531" t="str">
        <f t="shared" ca="1" si="396"/>
        <v/>
      </c>
      <c r="AH927" s="531" t="str">
        <f t="shared" ca="1" si="397"/>
        <v/>
      </c>
      <c r="AI927" s="531" t="str">
        <f t="shared" ca="1" si="398"/>
        <v/>
      </c>
      <c r="AJ927" s="531" t="str">
        <f t="shared" si="399"/>
        <v/>
      </c>
      <c r="AK927" s="540">
        <f>SUMIFS('Live Collections'!$S:$S,'Live Collections'!$D:$D,Disbursements!B927,'Live Collections'!$G:$G,Disbursements!C927)</f>
        <v>0</v>
      </c>
      <c r="AL927" s="540">
        <f>SUMIFS('Live Collections'!$T:$T,'Live Collections'!$D:$D,Disbursements!B927,'Live Collections'!$G:$G,Disbursements!C927)</f>
        <v>0</v>
      </c>
      <c r="AM927" s="541">
        <f t="shared" si="400"/>
        <v>0</v>
      </c>
      <c r="AN927" s="542" t="str">
        <f t="shared" si="401"/>
        <v/>
      </c>
      <c r="AO927" s="542" t="str">
        <f t="shared" si="402"/>
        <v/>
      </c>
      <c r="AP927" s="543" t="str">
        <f t="shared" si="403"/>
        <v/>
      </c>
      <c r="AQ927" s="544" t="str">
        <f t="shared" si="404"/>
        <v/>
      </c>
      <c r="AR927" s="545">
        <f t="shared" si="405"/>
        <v>0</v>
      </c>
      <c r="AS927" s="545">
        <f>IFERROR(CEILING($AR927*VLOOKUP($I927,Ref!$B$23:$E$29,4,0),1),0)</f>
        <v>0</v>
      </c>
      <c r="AT927" s="545" t="str">
        <f>IF(A927="","",IF(AP927&lt;=1,"Cleared",IF(AS927=0,"Clean",VLOOKUP($AS927,Ref!$G$23:$H$28,2))))</f>
        <v/>
      </c>
      <c r="AU927" s="546" t="str">
        <f t="shared" si="406"/>
        <v/>
      </c>
    </row>
    <row r="928" spans="1:47" ht="14.25" hidden="1" customHeight="1" x14ac:dyDescent="0.15">
      <c r="A928" s="523"/>
      <c r="B928" s="523"/>
      <c r="C928" s="523"/>
      <c r="D928" s="523"/>
      <c r="E928" s="579"/>
      <c r="F928" s="580"/>
      <c r="G928" s="524"/>
      <c r="H928" s="555"/>
      <c r="I928" s="560"/>
      <c r="J928" s="523"/>
      <c r="K928" s="528" t="str">
        <f>IFERROR(VLOOKUP($B928,'Clients-Live'!$A:$C,3,0),"")</f>
        <v/>
      </c>
      <c r="L928" s="528">
        <f>IF(E928="STL",Pricing!$D$38,IF(A928="",0,IF(A928&lt;Pricing!$C$25,Pricing!$D$25,VLOOKUP(Disbursements!$F928,Pricing!$B$29:$D$32,3))))</f>
        <v>0</v>
      </c>
      <c r="M928" s="528">
        <f>IF(E928="STL",0,IF(F928&gt;0,Pricing!$D$21,0))</f>
        <v>0</v>
      </c>
      <c r="N928" s="529">
        <f>IF(E928="STL",F928*Pricing!$D$40,IF(A928&lt;=Pricing!$C$4,0,IF(AND(A928&gt;Pricing!$C$4,Disbursements!A928&lt;=Pricing!$C$5),F928*Pricing!$E$5,IF(AND(A928&gt;Pricing!$C$5,Disbursements!A928&lt;=Pricing!$C$7),VLOOKUP(F928,Pricing!$D$7:$E$8,2)*Disbursements!F928,F928*Pricing!$E$9))))</f>
        <v>0</v>
      </c>
      <c r="O928" s="528">
        <f>IF(E928="STL",0,IF($F928&gt;0,$F928*Pricing!$D$17,0))</f>
        <v>0</v>
      </c>
      <c r="P928" s="530" t="str">
        <f t="shared" si="386"/>
        <v/>
      </c>
      <c r="Q928" s="531" t="str">
        <f>IF($A928="","",$G928/VLOOKUP($I928,Ref!$B$23:$D$29,2,0))</f>
        <v/>
      </c>
      <c r="R928" s="530" t="str">
        <f t="shared" si="387"/>
        <v/>
      </c>
      <c r="S928" s="532" t="str">
        <f t="shared" si="381"/>
        <v/>
      </c>
      <c r="T928" s="531" t="str">
        <f t="shared" si="388"/>
        <v/>
      </c>
      <c r="U928" s="533">
        <f t="shared" si="389"/>
        <v>0</v>
      </c>
      <c r="V928" s="531" t="str">
        <f t="shared" si="390"/>
        <v/>
      </c>
      <c r="W928" s="531" t="str">
        <f t="shared" si="391"/>
        <v/>
      </c>
      <c r="X928" s="534" t="str">
        <f t="shared" si="392"/>
        <v/>
      </c>
      <c r="Y928" s="535" t="str">
        <f>IF($A928="","",IF($I928="weekly",$A928+7,EDATE($A928,VLOOKUP($I928,Ref!$B$24:$C$29,2,0))))</f>
        <v/>
      </c>
      <c r="Z928" s="536" t="str">
        <f t="shared" si="393"/>
        <v/>
      </c>
      <c r="AA928" s="531">
        <f t="shared" si="394"/>
        <v>0</v>
      </c>
      <c r="AB928" s="535" t="str">
        <f t="shared" si="382"/>
        <v/>
      </c>
      <c r="AC928" s="537" t="str">
        <f t="shared" si="383"/>
        <v/>
      </c>
      <c r="AD928" s="538" t="str">
        <f t="shared" ca="1" si="384"/>
        <v/>
      </c>
      <c r="AE928" s="537">
        <f t="shared" ca="1" si="385"/>
        <v>0</v>
      </c>
      <c r="AF928" s="539" t="str">
        <f t="shared" ca="1" si="395"/>
        <v/>
      </c>
      <c r="AG928" s="531" t="str">
        <f t="shared" ca="1" si="396"/>
        <v/>
      </c>
      <c r="AH928" s="531" t="str">
        <f t="shared" ca="1" si="397"/>
        <v/>
      </c>
      <c r="AI928" s="531" t="str">
        <f t="shared" ca="1" si="398"/>
        <v/>
      </c>
      <c r="AJ928" s="531" t="str">
        <f t="shared" si="399"/>
        <v/>
      </c>
      <c r="AK928" s="540">
        <f>SUMIFS('Live Collections'!$S:$S,'Live Collections'!$D:$D,Disbursements!B928,'Live Collections'!$G:$G,Disbursements!C928)</f>
        <v>0</v>
      </c>
      <c r="AL928" s="540">
        <f>SUMIFS('Live Collections'!$T:$T,'Live Collections'!$D:$D,Disbursements!B928,'Live Collections'!$G:$G,Disbursements!C928)</f>
        <v>0</v>
      </c>
      <c r="AM928" s="541">
        <f t="shared" si="400"/>
        <v>0</v>
      </c>
      <c r="AN928" s="542" t="str">
        <f t="shared" si="401"/>
        <v/>
      </c>
      <c r="AO928" s="542" t="str">
        <f t="shared" si="402"/>
        <v/>
      </c>
      <c r="AP928" s="543" t="str">
        <f t="shared" si="403"/>
        <v/>
      </c>
      <c r="AQ928" s="544" t="str">
        <f t="shared" si="404"/>
        <v/>
      </c>
      <c r="AR928" s="545">
        <f t="shared" si="405"/>
        <v>0</v>
      </c>
      <c r="AS928" s="545">
        <f>IFERROR(CEILING($AR928*VLOOKUP($I928,Ref!$B$23:$E$29,4,0),1),0)</f>
        <v>0</v>
      </c>
      <c r="AT928" s="545" t="str">
        <f>IF(A928="","",IF(AP928&lt;=1,"Cleared",IF(AS928=0,"Clean",VLOOKUP($AS928,Ref!$G$23:$H$28,2))))</f>
        <v/>
      </c>
      <c r="AU928" s="546" t="str">
        <f t="shared" si="406"/>
        <v/>
      </c>
    </row>
    <row r="929" spans="1:47" ht="14.25" hidden="1" customHeight="1" x14ac:dyDescent="0.15">
      <c r="A929" s="523"/>
      <c r="B929" s="523"/>
      <c r="C929" s="523"/>
      <c r="D929" s="523"/>
      <c r="E929" s="579"/>
      <c r="F929" s="580"/>
      <c r="G929" s="524"/>
      <c r="H929" s="555"/>
      <c r="I929" s="560"/>
      <c r="J929" s="523"/>
      <c r="K929" s="528" t="str">
        <f>IFERROR(VLOOKUP($B929,'Clients-Live'!$A:$C,3,0),"")</f>
        <v/>
      </c>
      <c r="L929" s="528">
        <f>IF(E929="STL",Pricing!$D$38,IF(A929="",0,IF(A929&lt;Pricing!$C$25,Pricing!$D$25,VLOOKUP(Disbursements!$F929,Pricing!$B$29:$D$32,3))))</f>
        <v>0</v>
      </c>
      <c r="M929" s="528">
        <f>IF(E929="STL",0,IF(F929&gt;0,Pricing!$D$21,0))</f>
        <v>0</v>
      </c>
      <c r="N929" s="529">
        <f>IF(E929="STL",F929*Pricing!$D$40,IF(A929&lt;=Pricing!$C$4,0,IF(AND(A929&gt;Pricing!$C$4,Disbursements!A929&lt;=Pricing!$C$5),F929*Pricing!$E$5,IF(AND(A929&gt;Pricing!$C$5,Disbursements!A929&lt;=Pricing!$C$7),VLOOKUP(F929,Pricing!$D$7:$E$8,2)*Disbursements!F929,F929*Pricing!$E$9))))</f>
        <v>0</v>
      </c>
      <c r="O929" s="528">
        <f>IF(E929="STL",0,IF($F929&gt;0,$F929*Pricing!$D$17,0))</f>
        <v>0</v>
      </c>
      <c r="P929" s="530" t="str">
        <f t="shared" si="386"/>
        <v/>
      </c>
      <c r="Q929" s="531" t="str">
        <f>IF($A929="","",$G929/VLOOKUP($I929,Ref!$B$23:$D$29,2,0))</f>
        <v/>
      </c>
      <c r="R929" s="530" t="str">
        <f t="shared" si="387"/>
        <v/>
      </c>
      <c r="S929" s="532" t="str">
        <f t="shared" si="381"/>
        <v/>
      </c>
      <c r="T929" s="531" t="str">
        <f t="shared" si="388"/>
        <v/>
      </c>
      <c r="U929" s="533">
        <f t="shared" si="389"/>
        <v>0</v>
      </c>
      <c r="V929" s="531" t="str">
        <f t="shared" si="390"/>
        <v/>
      </c>
      <c r="W929" s="531" t="str">
        <f t="shared" si="391"/>
        <v/>
      </c>
      <c r="X929" s="534" t="str">
        <f t="shared" si="392"/>
        <v/>
      </c>
      <c r="Y929" s="535" t="str">
        <f>IF($A929="","",IF($I929="weekly",$A929+7,EDATE($A929,VLOOKUP($I929,Ref!$B$24:$C$29,2,0))))</f>
        <v/>
      </c>
      <c r="Z929" s="536" t="str">
        <f t="shared" si="393"/>
        <v/>
      </c>
      <c r="AA929" s="531">
        <f t="shared" si="394"/>
        <v>0</v>
      </c>
      <c r="AB929" s="535" t="str">
        <f t="shared" si="382"/>
        <v/>
      </c>
      <c r="AC929" s="537" t="str">
        <f t="shared" si="383"/>
        <v/>
      </c>
      <c r="AD929" s="538" t="str">
        <f t="shared" ca="1" si="384"/>
        <v/>
      </c>
      <c r="AE929" s="537">
        <f t="shared" ca="1" si="385"/>
        <v>0</v>
      </c>
      <c r="AF929" s="539" t="str">
        <f t="shared" ca="1" si="395"/>
        <v/>
      </c>
      <c r="AG929" s="531" t="str">
        <f t="shared" ca="1" si="396"/>
        <v/>
      </c>
      <c r="AH929" s="531" t="str">
        <f t="shared" ca="1" si="397"/>
        <v/>
      </c>
      <c r="AI929" s="531" t="str">
        <f t="shared" ca="1" si="398"/>
        <v/>
      </c>
      <c r="AJ929" s="531" t="str">
        <f t="shared" si="399"/>
        <v/>
      </c>
      <c r="AK929" s="540">
        <f>SUMIFS('Live Collections'!$S:$S,'Live Collections'!$D:$D,Disbursements!B929,'Live Collections'!$G:$G,Disbursements!C929)</f>
        <v>0</v>
      </c>
      <c r="AL929" s="540">
        <f>SUMIFS('Live Collections'!$T:$T,'Live Collections'!$D:$D,Disbursements!B929,'Live Collections'!$G:$G,Disbursements!C929)</f>
        <v>0</v>
      </c>
      <c r="AM929" s="541">
        <f t="shared" si="400"/>
        <v>0</v>
      </c>
      <c r="AN929" s="542" t="str">
        <f t="shared" si="401"/>
        <v/>
      </c>
      <c r="AO929" s="542" t="str">
        <f t="shared" si="402"/>
        <v/>
      </c>
      <c r="AP929" s="543" t="str">
        <f t="shared" si="403"/>
        <v/>
      </c>
      <c r="AQ929" s="544" t="str">
        <f t="shared" si="404"/>
        <v/>
      </c>
      <c r="AR929" s="545">
        <f t="shared" si="405"/>
        <v>0</v>
      </c>
      <c r="AS929" s="545">
        <f>IFERROR(CEILING($AR929*VLOOKUP($I929,Ref!$B$23:$E$29,4,0),1),0)</f>
        <v>0</v>
      </c>
      <c r="AT929" s="545" t="str">
        <f>IF(A929="","",IF(AP929&lt;=1,"Cleared",IF(AS929=0,"Clean",VLOOKUP($AS929,Ref!$G$23:$H$28,2))))</f>
        <v/>
      </c>
      <c r="AU929" s="546" t="str">
        <f t="shared" si="406"/>
        <v/>
      </c>
    </row>
    <row r="930" spans="1:47" ht="14.25" hidden="1" customHeight="1" x14ac:dyDescent="0.15">
      <c r="A930" s="523"/>
      <c r="B930" s="523"/>
      <c r="C930" s="523"/>
      <c r="D930" s="523"/>
      <c r="E930" s="579"/>
      <c r="F930" s="580"/>
      <c r="G930" s="524"/>
      <c r="H930" s="555"/>
      <c r="I930" s="560"/>
      <c r="J930" s="523"/>
      <c r="K930" s="528" t="str">
        <f>IFERROR(VLOOKUP($B930,'Clients-Live'!$A:$C,3,0),"")</f>
        <v/>
      </c>
      <c r="L930" s="528">
        <f>IF(E930="STL",Pricing!$D$38,IF(A930="",0,IF(A930&lt;Pricing!$C$25,Pricing!$D$25,VLOOKUP(Disbursements!$F930,Pricing!$B$29:$D$32,3))))</f>
        <v>0</v>
      </c>
      <c r="M930" s="528">
        <f>IF(E930="STL",0,IF(F930&gt;0,Pricing!$D$21,0))</f>
        <v>0</v>
      </c>
      <c r="N930" s="529">
        <f>IF(E930="STL",F930*Pricing!$D$40,IF(A930&lt;=Pricing!$C$4,0,IF(AND(A930&gt;Pricing!$C$4,Disbursements!A930&lt;=Pricing!$C$5),F930*Pricing!$E$5,IF(AND(A930&gt;Pricing!$C$5,Disbursements!A930&lt;=Pricing!$C$7),VLOOKUP(F930,Pricing!$D$7:$E$8,2)*Disbursements!F930,F930*Pricing!$E$9))))</f>
        <v>0</v>
      </c>
      <c r="O930" s="528">
        <f>IF(E930="STL",0,IF($F930&gt;0,$F930*Pricing!$D$17,0))</f>
        <v>0</v>
      </c>
      <c r="P930" s="530" t="str">
        <f t="shared" si="386"/>
        <v/>
      </c>
      <c r="Q930" s="531" t="str">
        <f>IF($A930="","",$G930/VLOOKUP($I930,Ref!$B$23:$D$29,2,0))</f>
        <v/>
      </c>
      <c r="R930" s="530" t="str">
        <f t="shared" si="387"/>
        <v/>
      </c>
      <c r="S930" s="532" t="str">
        <f t="shared" si="381"/>
        <v/>
      </c>
      <c r="T930" s="531" t="str">
        <f t="shared" si="388"/>
        <v/>
      </c>
      <c r="U930" s="533">
        <f t="shared" si="389"/>
        <v>0</v>
      </c>
      <c r="V930" s="531" t="str">
        <f t="shared" si="390"/>
        <v/>
      </c>
      <c r="W930" s="531" t="str">
        <f t="shared" si="391"/>
        <v/>
      </c>
      <c r="X930" s="534" t="str">
        <f t="shared" si="392"/>
        <v/>
      </c>
      <c r="Y930" s="535" t="str">
        <f>IF($A930="","",IF($I930="weekly",$A930+7,EDATE($A930,VLOOKUP($I930,Ref!$B$24:$C$29,2,0))))</f>
        <v/>
      </c>
      <c r="Z930" s="536" t="str">
        <f t="shared" si="393"/>
        <v/>
      </c>
      <c r="AA930" s="531">
        <f t="shared" si="394"/>
        <v>0</v>
      </c>
      <c r="AB930" s="535" t="str">
        <f t="shared" si="382"/>
        <v/>
      </c>
      <c r="AC930" s="537" t="str">
        <f t="shared" si="383"/>
        <v/>
      </c>
      <c r="AD930" s="538" t="str">
        <f t="shared" ca="1" si="384"/>
        <v/>
      </c>
      <c r="AE930" s="537">
        <f t="shared" ca="1" si="385"/>
        <v>0</v>
      </c>
      <c r="AF930" s="539" t="str">
        <f t="shared" ca="1" si="395"/>
        <v/>
      </c>
      <c r="AG930" s="531" t="str">
        <f t="shared" ca="1" si="396"/>
        <v/>
      </c>
      <c r="AH930" s="531" t="str">
        <f t="shared" ca="1" si="397"/>
        <v/>
      </c>
      <c r="AI930" s="531" t="str">
        <f t="shared" ca="1" si="398"/>
        <v/>
      </c>
      <c r="AJ930" s="531" t="str">
        <f t="shared" si="399"/>
        <v/>
      </c>
      <c r="AK930" s="540">
        <f>SUMIFS('Live Collections'!$S:$S,'Live Collections'!$D:$D,Disbursements!B930,'Live Collections'!$G:$G,Disbursements!C930)</f>
        <v>0</v>
      </c>
      <c r="AL930" s="540">
        <f>SUMIFS('Live Collections'!$T:$T,'Live Collections'!$D:$D,Disbursements!B930,'Live Collections'!$G:$G,Disbursements!C930)</f>
        <v>0</v>
      </c>
      <c r="AM930" s="541">
        <f t="shared" si="400"/>
        <v>0</v>
      </c>
      <c r="AN930" s="542" t="str">
        <f t="shared" si="401"/>
        <v/>
      </c>
      <c r="AO930" s="542" t="str">
        <f t="shared" si="402"/>
        <v/>
      </c>
      <c r="AP930" s="543" t="str">
        <f t="shared" si="403"/>
        <v/>
      </c>
      <c r="AQ930" s="544" t="str">
        <f t="shared" si="404"/>
        <v/>
      </c>
      <c r="AR930" s="545">
        <f t="shared" si="405"/>
        <v>0</v>
      </c>
      <c r="AS930" s="545">
        <f>IFERROR(CEILING($AR930*VLOOKUP($I930,Ref!$B$23:$E$29,4,0),1),0)</f>
        <v>0</v>
      </c>
      <c r="AT930" s="545" t="str">
        <f>IF(A930="","",IF(AP930&lt;=1,"Cleared",IF(AS930=0,"Clean",VLOOKUP($AS930,Ref!$G$23:$H$28,2))))</f>
        <v/>
      </c>
      <c r="AU930" s="546" t="str">
        <f t="shared" si="406"/>
        <v/>
      </c>
    </row>
    <row r="931" spans="1:47" ht="14.25" hidden="1" customHeight="1" x14ac:dyDescent="0.15">
      <c r="A931" s="523"/>
      <c r="B931" s="523"/>
      <c r="C931" s="523"/>
      <c r="D931" s="523"/>
      <c r="E931" s="579"/>
      <c r="F931" s="580"/>
      <c r="G931" s="524"/>
      <c r="H931" s="555"/>
      <c r="I931" s="560"/>
      <c r="J931" s="523"/>
      <c r="K931" s="528" t="str">
        <f>IFERROR(VLOOKUP($B931,'Clients-Live'!$A:$C,3,0),"")</f>
        <v/>
      </c>
      <c r="L931" s="528">
        <f>IF(E931="STL",Pricing!$D$38,IF(A931="",0,IF(A931&lt;Pricing!$C$25,Pricing!$D$25,VLOOKUP(Disbursements!$F931,Pricing!$B$29:$D$32,3))))</f>
        <v>0</v>
      </c>
      <c r="M931" s="528">
        <f>IF(E931="STL",0,IF(F931&gt;0,Pricing!$D$21,0))</f>
        <v>0</v>
      </c>
      <c r="N931" s="529">
        <f>IF(E931="STL",F931*Pricing!$D$40,IF(A931&lt;=Pricing!$C$4,0,IF(AND(A931&gt;Pricing!$C$4,Disbursements!A931&lt;=Pricing!$C$5),F931*Pricing!$E$5,IF(AND(A931&gt;Pricing!$C$5,Disbursements!A931&lt;=Pricing!$C$7),VLOOKUP(F931,Pricing!$D$7:$E$8,2)*Disbursements!F931,F931*Pricing!$E$9))))</f>
        <v>0</v>
      </c>
      <c r="O931" s="528">
        <f>IF(E931="STL",0,IF($F931&gt;0,$F931*Pricing!$D$17,0))</f>
        <v>0</v>
      </c>
      <c r="P931" s="530" t="str">
        <f t="shared" si="386"/>
        <v/>
      </c>
      <c r="Q931" s="531" t="str">
        <f>IF($A931="","",$G931/VLOOKUP($I931,Ref!$B$23:$D$29,2,0))</f>
        <v/>
      </c>
      <c r="R931" s="530" t="str">
        <f t="shared" si="387"/>
        <v/>
      </c>
      <c r="S931" s="532" t="str">
        <f t="shared" si="381"/>
        <v/>
      </c>
      <c r="T931" s="531" t="str">
        <f t="shared" si="388"/>
        <v/>
      </c>
      <c r="U931" s="533">
        <f t="shared" si="389"/>
        <v>0</v>
      </c>
      <c r="V931" s="531" t="str">
        <f t="shared" si="390"/>
        <v/>
      </c>
      <c r="W931" s="531" t="str">
        <f t="shared" si="391"/>
        <v/>
      </c>
      <c r="X931" s="534" t="str">
        <f t="shared" si="392"/>
        <v/>
      </c>
      <c r="Y931" s="535" t="str">
        <f>IF($A931="","",IF($I931="weekly",$A931+7,EDATE($A931,VLOOKUP($I931,Ref!$B$24:$C$29,2,0))))</f>
        <v/>
      </c>
      <c r="Z931" s="536" t="str">
        <f t="shared" si="393"/>
        <v/>
      </c>
      <c r="AA931" s="531">
        <f t="shared" si="394"/>
        <v>0</v>
      </c>
      <c r="AB931" s="535" t="str">
        <f t="shared" si="382"/>
        <v/>
      </c>
      <c r="AC931" s="537" t="str">
        <f t="shared" si="383"/>
        <v/>
      </c>
      <c r="AD931" s="538" t="str">
        <f t="shared" ca="1" si="384"/>
        <v/>
      </c>
      <c r="AE931" s="537">
        <f t="shared" ca="1" si="385"/>
        <v>0</v>
      </c>
      <c r="AF931" s="539" t="str">
        <f t="shared" ca="1" si="395"/>
        <v/>
      </c>
      <c r="AG931" s="531" t="str">
        <f t="shared" ca="1" si="396"/>
        <v/>
      </c>
      <c r="AH931" s="531" t="str">
        <f t="shared" ca="1" si="397"/>
        <v/>
      </c>
      <c r="AI931" s="531" t="str">
        <f t="shared" ca="1" si="398"/>
        <v/>
      </c>
      <c r="AJ931" s="531" t="str">
        <f t="shared" si="399"/>
        <v/>
      </c>
      <c r="AK931" s="540">
        <f>SUMIFS('Live Collections'!$S:$S,'Live Collections'!$D:$D,Disbursements!B931,'Live Collections'!$G:$G,Disbursements!C931)</f>
        <v>0</v>
      </c>
      <c r="AL931" s="540">
        <f>SUMIFS('Live Collections'!$T:$T,'Live Collections'!$D:$D,Disbursements!B931,'Live Collections'!$G:$G,Disbursements!C931)</f>
        <v>0</v>
      </c>
      <c r="AM931" s="541">
        <f t="shared" si="400"/>
        <v>0</v>
      </c>
      <c r="AN931" s="542" t="str">
        <f t="shared" si="401"/>
        <v/>
      </c>
      <c r="AO931" s="542" t="str">
        <f t="shared" si="402"/>
        <v/>
      </c>
      <c r="AP931" s="543" t="str">
        <f t="shared" si="403"/>
        <v/>
      </c>
      <c r="AQ931" s="544" t="str">
        <f t="shared" si="404"/>
        <v/>
      </c>
      <c r="AR931" s="545">
        <f t="shared" si="405"/>
        <v>0</v>
      </c>
      <c r="AS931" s="545">
        <f>IFERROR(CEILING($AR931*VLOOKUP($I931,Ref!$B$23:$E$29,4,0),1),0)</f>
        <v>0</v>
      </c>
      <c r="AT931" s="545" t="str">
        <f>IF(A931="","",IF(AP931&lt;=1,"Cleared",IF(AS931=0,"Clean",VLOOKUP($AS931,Ref!$G$23:$H$28,2))))</f>
        <v/>
      </c>
      <c r="AU931" s="546" t="str">
        <f t="shared" si="406"/>
        <v/>
      </c>
    </row>
    <row r="932" spans="1:47" ht="14.25" hidden="1" customHeight="1" x14ac:dyDescent="0.15">
      <c r="A932" s="523"/>
      <c r="B932" s="523"/>
      <c r="C932" s="523"/>
      <c r="D932" s="523"/>
      <c r="E932" s="579"/>
      <c r="F932" s="580"/>
      <c r="G932" s="524"/>
      <c r="H932" s="555"/>
      <c r="I932" s="560"/>
      <c r="J932" s="523"/>
      <c r="K932" s="528" t="str">
        <f>IFERROR(VLOOKUP($B932,'Clients-Live'!$A:$C,3,0),"")</f>
        <v/>
      </c>
      <c r="L932" s="528">
        <f>IF(E932="STL",Pricing!$D$38,IF(A932="",0,IF(A932&lt;Pricing!$C$25,Pricing!$D$25,VLOOKUP(Disbursements!$F932,Pricing!$B$29:$D$32,3))))</f>
        <v>0</v>
      </c>
      <c r="M932" s="528">
        <f>IF(E932="STL",0,IF(F932&gt;0,Pricing!$D$21,0))</f>
        <v>0</v>
      </c>
      <c r="N932" s="529">
        <f>IF(E932="STL",F932*Pricing!$D$40,IF(A932&lt;=Pricing!$C$4,0,IF(AND(A932&gt;Pricing!$C$4,Disbursements!A932&lt;=Pricing!$C$5),F932*Pricing!$E$5,IF(AND(A932&gt;Pricing!$C$5,Disbursements!A932&lt;=Pricing!$C$7),VLOOKUP(F932,Pricing!$D$7:$E$8,2)*Disbursements!F932,F932*Pricing!$E$9))))</f>
        <v>0</v>
      </c>
      <c r="O932" s="528">
        <f>IF(E932="STL",0,IF($F932&gt;0,$F932*Pricing!$D$17,0))</f>
        <v>0</v>
      </c>
      <c r="P932" s="530" t="str">
        <f t="shared" si="386"/>
        <v/>
      </c>
      <c r="Q932" s="531" t="str">
        <f>IF($A932="","",$G932/VLOOKUP($I932,Ref!$B$23:$D$29,2,0))</f>
        <v/>
      </c>
      <c r="R932" s="530" t="str">
        <f t="shared" si="387"/>
        <v/>
      </c>
      <c r="S932" s="532" t="str">
        <f t="shared" si="381"/>
        <v/>
      </c>
      <c r="T932" s="531" t="str">
        <f t="shared" si="388"/>
        <v/>
      </c>
      <c r="U932" s="533">
        <f t="shared" si="389"/>
        <v>0</v>
      </c>
      <c r="V932" s="531" t="str">
        <f t="shared" si="390"/>
        <v/>
      </c>
      <c r="W932" s="531" t="str">
        <f t="shared" si="391"/>
        <v/>
      </c>
      <c r="X932" s="534" t="str">
        <f t="shared" si="392"/>
        <v/>
      </c>
      <c r="Y932" s="535" t="str">
        <f>IF($A932="","",IF($I932="weekly",$A932+7,EDATE($A932,VLOOKUP($I932,Ref!$B$24:$C$29,2,0))))</f>
        <v/>
      </c>
      <c r="Z932" s="536" t="str">
        <f t="shared" si="393"/>
        <v/>
      </c>
      <c r="AA932" s="531">
        <f t="shared" si="394"/>
        <v>0</v>
      </c>
      <c r="AB932" s="535" t="str">
        <f t="shared" si="382"/>
        <v/>
      </c>
      <c r="AC932" s="537" t="str">
        <f t="shared" si="383"/>
        <v/>
      </c>
      <c r="AD932" s="538" t="str">
        <f t="shared" ca="1" si="384"/>
        <v/>
      </c>
      <c r="AE932" s="537">
        <f t="shared" ca="1" si="385"/>
        <v>0</v>
      </c>
      <c r="AF932" s="539" t="str">
        <f t="shared" ca="1" si="395"/>
        <v/>
      </c>
      <c r="AG932" s="531" t="str">
        <f t="shared" ca="1" si="396"/>
        <v/>
      </c>
      <c r="AH932" s="531" t="str">
        <f t="shared" ca="1" si="397"/>
        <v/>
      </c>
      <c r="AI932" s="531" t="str">
        <f t="shared" ca="1" si="398"/>
        <v/>
      </c>
      <c r="AJ932" s="531" t="str">
        <f t="shared" si="399"/>
        <v/>
      </c>
      <c r="AK932" s="540">
        <f>SUMIFS('Live Collections'!$S:$S,'Live Collections'!$D:$D,Disbursements!B932,'Live Collections'!$G:$G,Disbursements!C932)</f>
        <v>0</v>
      </c>
      <c r="AL932" s="540">
        <f>SUMIFS('Live Collections'!$T:$T,'Live Collections'!$D:$D,Disbursements!B932,'Live Collections'!$G:$G,Disbursements!C932)</f>
        <v>0</v>
      </c>
      <c r="AM932" s="541">
        <f t="shared" si="400"/>
        <v>0</v>
      </c>
      <c r="AN932" s="542" t="str">
        <f t="shared" si="401"/>
        <v/>
      </c>
      <c r="AO932" s="542" t="str">
        <f t="shared" si="402"/>
        <v/>
      </c>
      <c r="AP932" s="543" t="str">
        <f t="shared" si="403"/>
        <v/>
      </c>
      <c r="AQ932" s="544" t="str">
        <f t="shared" si="404"/>
        <v/>
      </c>
      <c r="AR932" s="545">
        <f t="shared" si="405"/>
        <v>0</v>
      </c>
      <c r="AS932" s="545">
        <f>IFERROR(CEILING($AR932*VLOOKUP($I932,Ref!$B$23:$E$29,4,0),1),0)</f>
        <v>0</v>
      </c>
      <c r="AT932" s="545" t="str">
        <f>IF(A932="","",IF(AP932&lt;=1,"Cleared",IF(AS932=0,"Clean",VLOOKUP($AS932,Ref!$G$23:$H$28,2))))</f>
        <v/>
      </c>
      <c r="AU932" s="546" t="str">
        <f t="shared" si="406"/>
        <v/>
      </c>
    </row>
    <row r="933" spans="1:47" ht="14.25" hidden="1" customHeight="1" x14ac:dyDescent="0.15">
      <c r="A933" s="523"/>
      <c r="B933" s="523"/>
      <c r="C933" s="523"/>
      <c r="D933" s="523"/>
      <c r="E933" s="579"/>
      <c r="F933" s="580"/>
      <c r="G933" s="524"/>
      <c r="H933" s="555"/>
      <c r="I933" s="560"/>
      <c r="J933" s="523"/>
      <c r="K933" s="528" t="str">
        <f>IFERROR(VLOOKUP($B933,'Clients-Live'!$A:$C,3,0),"")</f>
        <v/>
      </c>
      <c r="L933" s="528">
        <f>IF(E933="STL",Pricing!$D$38,IF(A933="",0,IF(A933&lt;Pricing!$C$25,Pricing!$D$25,VLOOKUP(Disbursements!$F933,Pricing!$B$29:$D$32,3))))</f>
        <v>0</v>
      </c>
      <c r="M933" s="528">
        <f>IF(E933="STL",0,IF(F933&gt;0,Pricing!$D$21,0))</f>
        <v>0</v>
      </c>
      <c r="N933" s="529">
        <f>IF(E933="STL",F933*Pricing!$D$40,IF(A933&lt;=Pricing!$C$4,0,IF(AND(A933&gt;Pricing!$C$4,Disbursements!A933&lt;=Pricing!$C$5),F933*Pricing!$E$5,IF(AND(A933&gt;Pricing!$C$5,Disbursements!A933&lt;=Pricing!$C$7),VLOOKUP(F933,Pricing!$D$7:$E$8,2)*Disbursements!F933,F933*Pricing!$E$9))))</f>
        <v>0</v>
      </c>
      <c r="O933" s="528">
        <f>IF(E933="STL",0,IF($F933&gt;0,$F933*Pricing!$D$17,0))</f>
        <v>0</v>
      </c>
      <c r="P933" s="530" t="str">
        <f t="shared" si="386"/>
        <v/>
      </c>
      <c r="Q933" s="531" t="str">
        <f>IF($A933="","",$G933/VLOOKUP($I933,Ref!$B$23:$D$29,2,0))</f>
        <v/>
      </c>
      <c r="R933" s="530" t="str">
        <f t="shared" si="387"/>
        <v/>
      </c>
      <c r="S933" s="532" t="str">
        <f t="shared" si="381"/>
        <v/>
      </c>
      <c r="T933" s="531" t="str">
        <f t="shared" si="388"/>
        <v/>
      </c>
      <c r="U933" s="533">
        <f t="shared" si="389"/>
        <v>0</v>
      </c>
      <c r="V933" s="531" t="str">
        <f t="shared" si="390"/>
        <v/>
      </c>
      <c r="W933" s="531" t="str">
        <f t="shared" si="391"/>
        <v/>
      </c>
      <c r="X933" s="534" t="str">
        <f t="shared" si="392"/>
        <v/>
      </c>
      <c r="Y933" s="535" t="str">
        <f>IF($A933="","",IF($I933="weekly",$A933+7,EDATE($A933,VLOOKUP($I933,Ref!$B$24:$C$29,2,0))))</f>
        <v/>
      </c>
      <c r="Z933" s="536" t="str">
        <f t="shared" si="393"/>
        <v/>
      </c>
      <c r="AA933" s="531">
        <f t="shared" si="394"/>
        <v>0</v>
      </c>
      <c r="AB933" s="535" t="str">
        <f t="shared" si="382"/>
        <v/>
      </c>
      <c r="AC933" s="537" t="str">
        <f t="shared" si="383"/>
        <v/>
      </c>
      <c r="AD933" s="538" t="str">
        <f t="shared" ca="1" si="384"/>
        <v/>
      </c>
      <c r="AE933" s="537">
        <f t="shared" ca="1" si="385"/>
        <v>0</v>
      </c>
      <c r="AF933" s="539" t="str">
        <f t="shared" ca="1" si="395"/>
        <v/>
      </c>
      <c r="AG933" s="531" t="str">
        <f t="shared" ca="1" si="396"/>
        <v/>
      </c>
      <c r="AH933" s="531" t="str">
        <f t="shared" ca="1" si="397"/>
        <v/>
      </c>
      <c r="AI933" s="531" t="str">
        <f t="shared" ca="1" si="398"/>
        <v/>
      </c>
      <c r="AJ933" s="531" t="str">
        <f t="shared" si="399"/>
        <v/>
      </c>
      <c r="AK933" s="540">
        <f>SUMIFS('Live Collections'!$S:$S,'Live Collections'!$D:$D,Disbursements!B933,'Live Collections'!$G:$G,Disbursements!C933)</f>
        <v>0</v>
      </c>
      <c r="AL933" s="540">
        <f>SUMIFS('Live Collections'!$T:$T,'Live Collections'!$D:$D,Disbursements!B933,'Live Collections'!$G:$G,Disbursements!C933)</f>
        <v>0</v>
      </c>
      <c r="AM933" s="541">
        <f t="shared" si="400"/>
        <v>0</v>
      </c>
      <c r="AN933" s="542" t="str">
        <f t="shared" si="401"/>
        <v/>
      </c>
      <c r="AO933" s="542" t="str">
        <f t="shared" si="402"/>
        <v/>
      </c>
      <c r="AP933" s="543" t="str">
        <f t="shared" si="403"/>
        <v/>
      </c>
      <c r="AQ933" s="544" t="str">
        <f t="shared" si="404"/>
        <v/>
      </c>
      <c r="AR933" s="545">
        <f t="shared" si="405"/>
        <v>0</v>
      </c>
      <c r="AS933" s="545">
        <f>IFERROR(CEILING($AR933*VLOOKUP($I933,Ref!$B$23:$E$29,4,0),1),0)</f>
        <v>0</v>
      </c>
      <c r="AT933" s="545" t="str">
        <f>IF(A933="","",IF(AP933&lt;=1,"Cleared",IF(AS933=0,"Clean",VLOOKUP($AS933,Ref!$G$23:$H$28,2))))</f>
        <v/>
      </c>
      <c r="AU933" s="546" t="str">
        <f t="shared" si="406"/>
        <v/>
      </c>
    </row>
    <row r="934" spans="1:47" ht="14.25" hidden="1" customHeight="1" x14ac:dyDescent="0.15">
      <c r="A934" s="523"/>
      <c r="B934" s="523"/>
      <c r="C934" s="523"/>
      <c r="D934" s="523"/>
      <c r="E934" s="579"/>
      <c r="F934" s="580"/>
      <c r="G934" s="524"/>
      <c r="H934" s="555"/>
      <c r="I934" s="560"/>
      <c r="J934" s="523"/>
      <c r="K934" s="528" t="str">
        <f>IFERROR(VLOOKUP($B934,'Clients-Live'!$A:$C,3,0),"")</f>
        <v/>
      </c>
      <c r="L934" s="528">
        <f>IF(E934="STL",Pricing!$D$38,IF(A934="",0,IF(A934&lt;Pricing!$C$25,Pricing!$D$25,VLOOKUP(Disbursements!$F934,Pricing!$B$29:$D$32,3))))</f>
        <v>0</v>
      </c>
      <c r="M934" s="528">
        <f>IF(E934="STL",0,IF(F934&gt;0,Pricing!$D$21,0))</f>
        <v>0</v>
      </c>
      <c r="N934" s="529">
        <f>IF(E934="STL",F934*Pricing!$D$40,IF(A934&lt;=Pricing!$C$4,0,IF(AND(A934&gt;Pricing!$C$4,Disbursements!A934&lt;=Pricing!$C$5),F934*Pricing!$E$5,IF(AND(A934&gt;Pricing!$C$5,Disbursements!A934&lt;=Pricing!$C$7),VLOOKUP(F934,Pricing!$D$7:$E$8,2)*Disbursements!F934,F934*Pricing!$E$9))))</f>
        <v>0</v>
      </c>
      <c r="O934" s="528">
        <f>IF(E934="STL",0,IF($F934&gt;0,$F934*Pricing!$D$17,0))</f>
        <v>0</v>
      </c>
      <c r="P934" s="530" t="str">
        <f t="shared" si="386"/>
        <v/>
      </c>
      <c r="Q934" s="531" t="str">
        <f>IF($A934="","",$G934/VLOOKUP($I934,Ref!$B$23:$D$29,2,0))</f>
        <v/>
      </c>
      <c r="R934" s="530" t="str">
        <f t="shared" si="387"/>
        <v/>
      </c>
      <c r="S934" s="532" t="str">
        <f t="shared" si="381"/>
        <v/>
      </c>
      <c r="T934" s="531" t="str">
        <f t="shared" si="388"/>
        <v/>
      </c>
      <c r="U934" s="533">
        <f t="shared" si="389"/>
        <v>0</v>
      </c>
      <c r="V934" s="531" t="str">
        <f t="shared" si="390"/>
        <v/>
      </c>
      <c r="W934" s="531" t="str">
        <f t="shared" si="391"/>
        <v/>
      </c>
      <c r="X934" s="534" t="str">
        <f t="shared" si="392"/>
        <v/>
      </c>
      <c r="Y934" s="535" t="str">
        <f>IF($A934="","",IF($I934="weekly",$A934+7,EDATE($A934,VLOOKUP($I934,Ref!$B$24:$C$29,2,0))))</f>
        <v/>
      </c>
      <c r="Z934" s="536" t="str">
        <f t="shared" si="393"/>
        <v/>
      </c>
      <c r="AA934" s="531">
        <f t="shared" si="394"/>
        <v>0</v>
      </c>
      <c r="AB934" s="535" t="str">
        <f t="shared" si="382"/>
        <v/>
      </c>
      <c r="AC934" s="537" t="str">
        <f t="shared" si="383"/>
        <v/>
      </c>
      <c r="AD934" s="538" t="str">
        <f t="shared" ca="1" si="384"/>
        <v/>
      </c>
      <c r="AE934" s="537">
        <f t="shared" ca="1" si="385"/>
        <v>0</v>
      </c>
      <c r="AF934" s="539" t="str">
        <f t="shared" ca="1" si="395"/>
        <v/>
      </c>
      <c r="AG934" s="531" t="str">
        <f t="shared" ca="1" si="396"/>
        <v/>
      </c>
      <c r="AH934" s="531" t="str">
        <f t="shared" ca="1" si="397"/>
        <v/>
      </c>
      <c r="AI934" s="531" t="str">
        <f t="shared" ca="1" si="398"/>
        <v/>
      </c>
      <c r="AJ934" s="531" t="str">
        <f t="shared" si="399"/>
        <v/>
      </c>
      <c r="AK934" s="540">
        <f>SUMIFS('Live Collections'!$S:$S,'Live Collections'!$D:$D,Disbursements!B934,'Live Collections'!$G:$G,Disbursements!C934)</f>
        <v>0</v>
      </c>
      <c r="AL934" s="540">
        <f>SUMIFS('Live Collections'!$T:$T,'Live Collections'!$D:$D,Disbursements!B934,'Live Collections'!$G:$G,Disbursements!C934)</f>
        <v>0</v>
      </c>
      <c r="AM934" s="541">
        <f t="shared" si="400"/>
        <v>0</v>
      </c>
      <c r="AN934" s="542" t="str">
        <f t="shared" si="401"/>
        <v/>
      </c>
      <c r="AO934" s="542" t="str">
        <f t="shared" si="402"/>
        <v/>
      </c>
      <c r="AP934" s="543" t="str">
        <f t="shared" si="403"/>
        <v/>
      </c>
      <c r="AQ934" s="544" t="str">
        <f t="shared" si="404"/>
        <v/>
      </c>
      <c r="AR934" s="545">
        <f t="shared" si="405"/>
        <v>0</v>
      </c>
      <c r="AS934" s="545">
        <f>IFERROR(CEILING($AR934*VLOOKUP($I934,Ref!$B$23:$E$29,4,0),1),0)</f>
        <v>0</v>
      </c>
      <c r="AT934" s="545" t="str">
        <f>IF(A934="","",IF(AP934&lt;=1,"Cleared",IF(AS934=0,"Clean",VLOOKUP($AS934,Ref!$G$23:$H$28,2))))</f>
        <v/>
      </c>
      <c r="AU934" s="546" t="str">
        <f t="shared" si="406"/>
        <v/>
      </c>
    </row>
    <row r="935" spans="1:47" ht="14.25" hidden="1" customHeight="1" x14ac:dyDescent="0.15">
      <c r="A935" s="523"/>
      <c r="B935" s="523"/>
      <c r="C935" s="523"/>
      <c r="D935" s="523"/>
      <c r="E935" s="579"/>
      <c r="F935" s="580"/>
      <c r="G935" s="524"/>
      <c r="H935" s="555"/>
      <c r="I935" s="560"/>
      <c r="J935" s="523"/>
      <c r="K935" s="528" t="str">
        <f>IFERROR(VLOOKUP($B935,'Clients-Live'!$A:$C,3,0),"")</f>
        <v/>
      </c>
      <c r="L935" s="528">
        <f>IF(E935="STL",Pricing!$D$38,IF(A935="",0,IF(A935&lt;Pricing!$C$25,Pricing!$D$25,VLOOKUP(Disbursements!$F935,Pricing!$B$29:$D$32,3))))</f>
        <v>0</v>
      </c>
      <c r="M935" s="528">
        <f>IF(E935="STL",0,IF(F935&gt;0,Pricing!$D$21,0))</f>
        <v>0</v>
      </c>
      <c r="N935" s="529">
        <f>IF(E935="STL",F935*Pricing!$D$40,IF(A935&lt;=Pricing!$C$4,0,IF(AND(A935&gt;Pricing!$C$4,Disbursements!A935&lt;=Pricing!$C$5),F935*Pricing!$E$5,IF(AND(A935&gt;Pricing!$C$5,Disbursements!A935&lt;=Pricing!$C$7),VLOOKUP(F935,Pricing!$D$7:$E$8,2)*Disbursements!F935,F935*Pricing!$E$9))))</f>
        <v>0</v>
      </c>
      <c r="O935" s="528">
        <f>IF(E935="STL",0,IF($F935&gt;0,$F935*Pricing!$D$17,0))</f>
        <v>0</v>
      </c>
      <c r="P935" s="530" t="str">
        <f t="shared" si="386"/>
        <v/>
      </c>
      <c r="Q935" s="531" t="str">
        <f>IF($A935="","",$G935/VLOOKUP($I935,Ref!$B$23:$D$29,2,0))</f>
        <v/>
      </c>
      <c r="R935" s="530" t="str">
        <f t="shared" si="387"/>
        <v/>
      </c>
      <c r="S935" s="532" t="str">
        <f t="shared" si="381"/>
        <v/>
      </c>
      <c r="T935" s="531" t="str">
        <f t="shared" si="388"/>
        <v/>
      </c>
      <c r="U935" s="533">
        <f t="shared" si="389"/>
        <v>0</v>
      </c>
      <c r="V935" s="531" t="str">
        <f t="shared" si="390"/>
        <v/>
      </c>
      <c r="W935" s="531" t="str">
        <f t="shared" si="391"/>
        <v/>
      </c>
      <c r="X935" s="534" t="str">
        <f t="shared" si="392"/>
        <v/>
      </c>
      <c r="Y935" s="535" t="str">
        <f>IF($A935="","",IF($I935="weekly",$A935+7,EDATE($A935,VLOOKUP($I935,Ref!$B$24:$C$29,2,0))))</f>
        <v/>
      </c>
      <c r="Z935" s="536" t="str">
        <f t="shared" si="393"/>
        <v/>
      </c>
      <c r="AA935" s="531">
        <f t="shared" si="394"/>
        <v>0</v>
      </c>
      <c r="AB935" s="535" t="str">
        <f t="shared" si="382"/>
        <v/>
      </c>
      <c r="AC935" s="537" t="str">
        <f t="shared" si="383"/>
        <v/>
      </c>
      <c r="AD935" s="538" t="str">
        <f t="shared" ca="1" si="384"/>
        <v/>
      </c>
      <c r="AE935" s="537">
        <f t="shared" ca="1" si="385"/>
        <v>0</v>
      </c>
      <c r="AF935" s="539" t="str">
        <f t="shared" ca="1" si="395"/>
        <v/>
      </c>
      <c r="AG935" s="531" t="str">
        <f t="shared" ca="1" si="396"/>
        <v/>
      </c>
      <c r="AH935" s="531" t="str">
        <f t="shared" ca="1" si="397"/>
        <v/>
      </c>
      <c r="AI935" s="531" t="str">
        <f t="shared" ca="1" si="398"/>
        <v/>
      </c>
      <c r="AJ935" s="531" t="str">
        <f t="shared" si="399"/>
        <v/>
      </c>
      <c r="AK935" s="540">
        <f>SUMIFS('Live Collections'!$S:$S,'Live Collections'!$D:$D,Disbursements!B935,'Live Collections'!$G:$G,Disbursements!C935)</f>
        <v>0</v>
      </c>
      <c r="AL935" s="540">
        <f>SUMIFS('Live Collections'!$T:$T,'Live Collections'!$D:$D,Disbursements!B935,'Live Collections'!$G:$G,Disbursements!C935)</f>
        <v>0</v>
      </c>
      <c r="AM935" s="541">
        <f t="shared" si="400"/>
        <v>0</v>
      </c>
      <c r="AN935" s="542" t="str">
        <f t="shared" si="401"/>
        <v/>
      </c>
      <c r="AO935" s="542" t="str">
        <f t="shared" si="402"/>
        <v/>
      </c>
      <c r="AP935" s="543" t="str">
        <f t="shared" si="403"/>
        <v/>
      </c>
      <c r="AQ935" s="544" t="str">
        <f t="shared" si="404"/>
        <v/>
      </c>
      <c r="AR935" s="545">
        <f t="shared" si="405"/>
        <v>0</v>
      </c>
      <c r="AS935" s="545">
        <f>IFERROR(CEILING($AR935*VLOOKUP($I935,Ref!$B$23:$E$29,4,0),1),0)</f>
        <v>0</v>
      </c>
      <c r="AT935" s="545" t="str">
        <f>IF(A935="","",IF(AP935&lt;=1,"Cleared",IF(AS935=0,"Clean",VLOOKUP($AS935,Ref!$G$23:$H$28,2))))</f>
        <v/>
      </c>
      <c r="AU935" s="546" t="str">
        <f t="shared" si="406"/>
        <v/>
      </c>
    </row>
    <row r="936" spans="1:47" ht="14.25" hidden="1" customHeight="1" x14ac:dyDescent="0.15">
      <c r="A936" s="523"/>
      <c r="B936" s="523"/>
      <c r="C936" s="523"/>
      <c r="D936" s="523"/>
      <c r="E936" s="579"/>
      <c r="F936" s="580"/>
      <c r="G936" s="524"/>
      <c r="H936" s="555"/>
      <c r="I936" s="560"/>
      <c r="J936" s="523"/>
      <c r="K936" s="528" t="str">
        <f>IFERROR(VLOOKUP($B936,'Clients-Live'!$A:$C,3,0),"")</f>
        <v/>
      </c>
      <c r="L936" s="528">
        <f>IF(E936="STL",Pricing!$D$38,IF(A936="",0,IF(A936&lt;Pricing!$C$25,Pricing!$D$25,VLOOKUP(Disbursements!$F936,Pricing!$B$29:$D$32,3))))</f>
        <v>0</v>
      </c>
      <c r="M936" s="528">
        <f>IF(E936="STL",0,IF(F936&gt;0,Pricing!$D$21,0))</f>
        <v>0</v>
      </c>
      <c r="N936" s="529">
        <f>IF(E936="STL",F936*Pricing!$D$40,IF(A936&lt;=Pricing!$C$4,0,IF(AND(A936&gt;Pricing!$C$4,Disbursements!A936&lt;=Pricing!$C$5),F936*Pricing!$E$5,IF(AND(A936&gt;Pricing!$C$5,Disbursements!A936&lt;=Pricing!$C$7),VLOOKUP(F936,Pricing!$D$7:$E$8,2)*Disbursements!F936,F936*Pricing!$E$9))))</f>
        <v>0</v>
      </c>
      <c r="O936" s="528">
        <f>IF(E936="STL",0,IF($F936&gt;0,$F936*Pricing!$D$17,0))</f>
        <v>0</v>
      </c>
      <c r="P936" s="530" t="str">
        <f t="shared" si="386"/>
        <v/>
      </c>
      <c r="Q936" s="531" t="str">
        <f>IF($A936="","",$G936/VLOOKUP($I936,Ref!$B$23:$D$29,2,0))</f>
        <v/>
      </c>
      <c r="R936" s="530" t="str">
        <f t="shared" si="387"/>
        <v/>
      </c>
      <c r="S936" s="532" t="str">
        <f t="shared" si="381"/>
        <v/>
      </c>
      <c r="T936" s="531" t="str">
        <f t="shared" si="388"/>
        <v/>
      </c>
      <c r="U936" s="533">
        <f t="shared" si="389"/>
        <v>0</v>
      </c>
      <c r="V936" s="531" t="str">
        <f t="shared" si="390"/>
        <v/>
      </c>
      <c r="W936" s="531" t="str">
        <f t="shared" si="391"/>
        <v/>
      </c>
      <c r="X936" s="534" t="str">
        <f t="shared" si="392"/>
        <v/>
      </c>
      <c r="Y936" s="535" t="str">
        <f>IF($A936="","",IF($I936="weekly",$A936+7,EDATE($A936,VLOOKUP($I936,Ref!$B$24:$C$29,2,0))))</f>
        <v/>
      </c>
      <c r="Z936" s="536" t="str">
        <f t="shared" si="393"/>
        <v/>
      </c>
      <c r="AA936" s="531">
        <f t="shared" si="394"/>
        <v>0</v>
      </c>
      <c r="AB936" s="535" t="str">
        <f t="shared" si="382"/>
        <v/>
      </c>
      <c r="AC936" s="537" t="str">
        <f t="shared" si="383"/>
        <v/>
      </c>
      <c r="AD936" s="538" t="str">
        <f t="shared" ca="1" si="384"/>
        <v/>
      </c>
      <c r="AE936" s="537">
        <f t="shared" ca="1" si="385"/>
        <v>0</v>
      </c>
      <c r="AF936" s="539" t="str">
        <f t="shared" ca="1" si="395"/>
        <v/>
      </c>
      <c r="AG936" s="531" t="str">
        <f t="shared" ca="1" si="396"/>
        <v/>
      </c>
      <c r="AH936" s="531" t="str">
        <f t="shared" ca="1" si="397"/>
        <v/>
      </c>
      <c r="AI936" s="531" t="str">
        <f t="shared" ca="1" si="398"/>
        <v/>
      </c>
      <c r="AJ936" s="531" t="str">
        <f t="shared" si="399"/>
        <v/>
      </c>
      <c r="AK936" s="540">
        <f>SUMIFS('Live Collections'!$S:$S,'Live Collections'!$D:$D,Disbursements!B936,'Live Collections'!$G:$G,Disbursements!C936)</f>
        <v>0</v>
      </c>
      <c r="AL936" s="540">
        <f>SUMIFS('Live Collections'!$T:$T,'Live Collections'!$D:$D,Disbursements!B936,'Live Collections'!$G:$G,Disbursements!C936)</f>
        <v>0</v>
      </c>
      <c r="AM936" s="541">
        <f t="shared" si="400"/>
        <v>0</v>
      </c>
      <c r="AN936" s="542" t="str">
        <f t="shared" si="401"/>
        <v/>
      </c>
      <c r="AO936" s="542" t="str">
        <f t="shared" si="402"/>
        <v/>
      </c>
      <c r="AP936" s="543" t="str">
        <f t="shared" si="403"/>
        <v/>
      </c>
      <c r="AQ936" s="544" t="str">
        <f t="shared" si="404"/>
        <v/>
      </c>
      <c r="AR936" s="545">
        <f t="shared" si="405"/>
        <v>0</v>
      </c>
      <c r="AS936" s="545">
        <f>IFERROR(CEILING($AR936*VLOOKUP($I936,Ref!$B$23:$E$29,4,0),1),0)</f>
        <v>0</v>
      </c>
      <c r="AT936" s="545" t="str">
        <f>IF(A936="","",IF(AP936&lt;=1,"Cleared",IF(AS936=0,"Clean",VLOOKUP($AS936,Ref!$G$23:$H$28,2))))</f>
        <v/>
      </c>
      <c r="AU936" s="546" t="str">
        <f t="shared" si="406"/>
        <v/>
      </c>
    </row>
    <row r="937" spans="1:47" ht="14.25" hidden="1" customHeight="1" x14ac:dyDescent="0.15">
      <c r="A937" s="523"/>
      <c r="B937" s="523"/>
      <c r="C937" s="523"/>
      <c r="D937" s="523"/>
      <c r="E937" s="579"/>
      <c r="F937" s="580"/>
      <c r="G937" s="524"/>
      <c r="H937" s="555"/>
      <c r="I937" s="560"/>
      <c r="J937" s="523"/>
      <c r="K937" s="528" t="str">
        <f>IFERROR(VLOOKUP($B937,'Clients-Live'!$A:$C,3,0),"")</f>
        <v/>
      </c>
      <c r="L937" s="528">
        <f>IF(E937="STL",Pricing!$D$38,IF(A937="",0,IF(A937&lt;Pricing!$C$25,Pricing!$D$25,VLOOKUP(Disbursements!$F937,Pricing!$B$29:$D$32,3))))</f>
        <v>0</v>
      </c>
      <c r="M937" s="528">
        <f>IF(E937="STL",0,IF(F937&gt;0,Pricing!$D$21,0))</f>
        <v>0</v>
      </c>
      <c r="N937" s="529">
        <f>IF(E937="STL",F937*Pricing!$D$40,IF(A937&lt;=Pricing!$C$4,0,IF(AND(A937&gt;Pricing!$C$4,Disbursements!A937&lt;=Pricing!$C$5),F937*Pricing!$E$5,IF(AND(A937&gt;Pricing!$C$5,Disbursements!A937&lt;=Pricing!$C$7),VLOOKUP(F937,Pricing!$D$7:$E$8,2)*Disbursements!F937,F937*Pricing!$E$9))))</f>
        <v>0</v>
      </c>
      <c r="O937" s="528">
        <f>IF(E937="STL",0,IF($F937&gt;0,$F937*Pricing!$D$17,0))</f>
        <v>0</v>
      </c>
      <c r="P937" s="530" t="str">
        <f t="shared" si="386"/>
        <v/>
      </c>
      <c r="Q937" s="531" t="str">
        <f>IF($A937="","",$G937/VLOOKUP($I937,Ref!$B$23:$D$29,2,0))</f>
        <v/>
      </c>
      <c r="R937" s="530" t="str">
        <f t="shared" si="387"/>
        <v/>
      </c>
      <c r="S937" s="532" t="str">
        <f t="shared" si="381"/>
        <v/>
      </c>
      <c r="T937" s="531" t="str">
        <f t="shared" si="388"/>
        <v/>
      </c>
      <c r="U937" s="533">
        <f t="shared" si="389"/>
        <v>0</v>
      </c>
      <c r="V937" s="531" t="str">
        <f t="shared" si="390"/>
        <v/>
      </c>
      <c r="W937" s="531" t="str">
        <f t="shared" si="391"/>
        <v/>
      </c>
      <c r="X937" s="534" t="str">
        <f t="shared" si="392"/>
        <v/>
      </c>
      <c r="Y937" s="535" t="str">
        <f>IF($A937="","",IF($I937="weekly",$A937+7,EDATE($A937,VLOOKUP($I937,Ref!$B$24:$C$29,2,0))))</f>
        <v/>
      </c>
      <c r="Z937" s="536" t="str">
        <f t="shared" si="393"/>
        <v/>
      </c>
      <c r="AA937" s="531">
        <f t="shared" si="394"/>
        <v>0</v>
      </c>
      <c r="AB937" s="535" t="str">
        <f t="shared" si="382"/>
        <v/>
      </c>
      <c r="AC937" s="537" t="str">
        <f t="shared" si="383"/>
        <v/>
      </c>
      <c r="AD937" s="538" t="str">
        <f t="shared" ca="1" si="384"/>
        <v/>
      </c>
      <c r="AE937" s="537">
        <f t="shared" ca="1" si="385"/>
        <v>0</v>
      </c>
      <c r="AF937" s="539" t="str">
        <f t="shared" ca="1" si="395"/>
        <v/>
      </c>
      <c r="AG937" s="531" t="str">
        <f t="shared" ca="1" si="396"/>
        <v/>
      </c>
      <c r="AH937" s="531" t="str">
        <f t="shared" ca="1" si="397"/>
        <v/>
      </c>
      <c r="AI937" s="531" t="str">
        <f t="shared" ca="1" si="398"/>
        <v/>
      </c>
      <c r="AJ937" s="531" t="str">
        <f t="shared" si="399"/>
        <v/>
      </c>
      <c r="AK937" s="540">
        <f>SUMIFS('Live Collections'!$S:$S,'Live Collections'!$D:$D,Disbursements!B937,'Live Collections'!$G:$G,Disbursements!C937)</f>
        <v>0</v>
      </c>
      <c r="AL937" s="540">
        <f>SUMIFS('Live Collections'!$T:$T,'Live Collections'!$D:$D,Disbursements!B937,'Live Collections'!$G:$G,Disbursements!C937)</f>
        <v>0</v>
      </c>
      <c r="AM937" s="541">
        <f t="shared" si="400"/>
        <v>0</v>
      </c>
      <c r="AN937" s="542" t="str">
        <f t="shared" si="401"/>
        <v/>
      </c>
      <c r="AO937" s="542" t="str">
        <f t="shared" si="402"/>
        <v/>
      </c>
      <c r="AP937" s="543" t="str">
        <f t="shared" si="403"/>
        <v/>
      </c>
      <c r="AQ937" s="544" t="str">
        <f t="shared" si="404"/>
        <v/>
      </c>
      <c r="AR937" s="545">
        <f t="shared" si="405"/>
        <v>0</v>
      </c>
      <c r="AS937" s="545">
        <f>IFERROR(CEILING($AR937*VLOOKUP($I937,Ref!$B$23:$E$29,4,0),1),0)</f>
        <v>0</v>
      </c>
      <c r="AT937" s="545" t="str">
        <f>IF(A937="","",IF(AP937&lt;=1,"Cleared",IF(AS937=0,"Clean",VLOOKUP($AS937,Ref!$G$23:$H$28,2))))</f>
        <v/>
      </c>
      <c r="AU937" s="546" t="str">
        <f t="shared" si="406"/>
        <v/>
      </c>
    </row>
    <row r="938" spans="1:47" ht="14.25" hidden="1" customHeight="1" x14ac:dyDescent="0.15">
      <c r="A938" s="523"/>
      <c r="B938" s="523"/>
      <c r="C938" s="523"/>
      <c r="D938" s="523"/>
      <c r="E938" s="579"/>
      <c r="F938" s="580"/>
      <c r="G938" s="524"/>
      <c r="H938" s="555"/>
      <c r="I938" s="560"/>
      <c r="J938" s="523"/>
      <c r="K938" s="528" t="str">
        <f>IFERROR(VLOOKUP($B938,'Clients-Live'!$A:$C,3,0),"")</f>
        <v/>
      </c>
      <c r="L938" s="528">
        <f>IF(E938="STL",Pricing!$D$38,IF(A938="",0,IF(A938&lt;Pricing!$C$25,Pricing!$D$25,VLOOKUP(Disbursements!$F938,Pricing!$B$29:$D$32,3))))</f>
        <v>0</v>
      </c>
      <c r="M938" s="528">
        <f>IF(E938="STL",0,IF(F938&gt;0,Pricing!$D$21,0))</f>
        <v>0</v>
      </c>
      <c r="N938" s="529">
        <f>IF(E938="STL",F938*Pricing!$D$40,IF(A938&lt;=Pricing!$C$4,0,IF(AND(A938&gt;Pricing!$C$4,Disbursements!A938&lt;=Pricing!$C$5),F938*Pricing!$E$5,IF(AND(A938&gt;Pricing!$C$5,Disbursements!A938&lt;=Pricing!$C$7),VLOOKUP(F938,Pricing!$D$7:$E$8,2)*Disbursements!F938,F938*Pricing!$E$9))))</f>
        <v>0</v>
      </c>
      <c r="O938" s="528">
        <f>IF(E938="STL",0,IF($F938&gt;0,$F938*Pricing!$D$17,0))</f>
        <v>0</v>
      </c>
      <c r="P938" s="530" t="str">
        <f t="shared" si="386"/>
        <v/>
      </c>
      <c r="Q938" s="531" t="str">
        <f>IF($A938="","",$G938/VLOOKUP($I938,Ref!$B$23:$D$29,2,0))</f>
        <v/>
      </c>
      <c r="R938" s="530" t="str">
        <f t="shared" si="387"/>
        <v/>
      </c>
      <c r="S938" s="532" t="str">
        <f t="shared" si="381"/>
        <v/>
      </c>
      <c r="T938" s="531" t="str">
        <f t="shared" si="388"/>
        <v/>
      </c>
      <c r="U938" s="533">
        <f t="shared" si="389"/>
        <v>0</v>
      </c>
      <c r="V938" s="531" t="str">
        <f t="shared" si="390"/>
        <v/>
      </c>
      <c r="W938" s="531" t="str">
        <f t="shared" si="391"/>
        <v/>
      </c>
      <c r="X938" s="534" t="str">
        <f t="shared" si="392"/>
        <v/>
      </c>
      <c r="Y938" s="535" t="str">
        <f>IF($A938="","",IF($I938="weekly",$A938+7,EDATE($A938,VLOOKUP($I938,Ref!$B$24:$C$29,2,0))))</f>
        <v/>
      </c>
      <c r="Z938" s="536" t="str">
        <f t="shared" si="393"/>
        <v/>
      </c>
      <c r="AA938" s="531">
        <f t="shared" si="394"/>
        <v>0</v>
      </c>
      <c r="AB938" s="535" t="str">
        <f t="shared" si="382"/>
        <v/>
      </c>
      <c r="AC938" s="537" t="str">
        <f t="shared" si="383"/>
        <v/>
      </c>
      <c r="AD938" s="538" t="str">
        <f t="shared" ca="1" si="384"/>
        <v/>
      </c>
      <c r="AE938" s="537">
        <f t="shared" ca="1" si="385"/>
        <v>0</v>
      </c>
      <c r="AF938" s="539" t="str">
        <f t="shared" ca="1" si="395"/>
        <v/>
      </c>
      <c r="AG938" s="531" t="str">
        <f t="shared" ca="1" si="396"/>
        <v/>
      </c>
      <c r="AH938" s="531" t="str">
        <f t="shared" ca="1" si="397"/>
        <v/>
      </c>
      <c r="AI938" s="531" t="str">
        <f t="shared" ca="1" si="398"/>
        <v/>
      </c>
      <c r="AJ938" s="531" t="str">
        <f t="shared" si="399"/>
        <v/>
      </c>
      <c r="AK938" s="540">
        <f>SUMIFS('Live Collections'!$S:$S,'Live Collections'!$D:$D,Disbursements!B938,'Live Collections'!$G:$G,Disbursements!C938)</f>
        <v>0</v>
      </c>
      <c r="AL938" s="540">
        <f>SUMIFS('Live Collections'!$T:$T,'Live Collections'!$D:$D,Disbursements!B938,'Live Collections'!$G:$G,Disbursements!C938)</f>
        <v>0</v>
      </c>
      <c r="AM938" s="541">
        <f t="shared" si="400"/>
        <v>0</v>
      </c>
      <c r="AN938" s="542" t="str">
        <f t="shared" si="401"/>
        <v/>
      </c>
      <c r="AO938" s="542" t="str">
        <f t="shared" si="402"/>
        <v/>
      </c>
      <c r="AP938" s="543" t="str">
        <f t="shared" si="403"/>
        <v/>
      </c>
      <c r="AQ938" s="544" t="str">
        <f t="shared" si="404"/>
        <v/>
      </c>
      <c r="AR938" s="545">
        <f t="shared" si="405"/>
        <v>0</v>
      </c>
      <c r="AS938" s="545">
        <f>IFERROR(CEILING($AR938*VLOOKUP($I938,Ref!$B$23:$E$29,4,0),1),0)</f>
        <v>0</v>
      </c>
      <c r="AT938" s="545" t="str">
        <f>IF(A938="","",IF(AP938&lt;=1,"Cleared",IF(AS938=0,"Clean",VLOOKUP($AS938,Ref!$G$23:$H$28,2))))</f>
        <v/>
      </c>
      <c r="AU938" s="546" t="str">
        <f t="shared" si="406"/>
        <v/>
      </c>
    </row>
    <row r="939" spans="1:47" ht="14.25" hidden="1" customHeight="1" x14ac:dyDescent="0.15">
      <c r="A939" s="523"/>
      <c r="B939" s="523"/>
      <c r="C939" s="523"/>
      <c r="D939" s="523"/>
      <c r="E939" s="579"/>
      <c r="F939" s="580"/>
      <c r="G939" s="524"/>
      <c r="H939" s="555"/>
      <c r="I939" s="560"/>
      <c r="J939" s="523"/>
      <c r="K939" s="528" t="str">
        <f>IFERROR(VLOOKUP($B939,'Clients-Live'!$A:$C,3,0),"")</f>
        <v/>
      </c>
      <c r="L939" s="528">
        <f>IF(E939="STL",Pricing!$D$38,IF(A939="",0,IF(A939&lt;Pricing!$C$25,Pricing!$D$25,VLOOKUP(Disbursements!$F939,Pricing!$B$29:$D$32,3))))</f>
        <v>0</v>
      </c>
      <c r="M939" s="528">
        <f>IF(E939="STL",0,IF(F939&gt;0,Pricing!$D$21,0))</f>
        <v>0</v>
      </c>
      <c r="N939" s="529">
        <f>IF(E939="STL",F939*Pricing!$D$40,IF(A939&lt;=Pricing!$C$4,0,IF(AND(A939&gt;Pricing!$C$4,Disbursements!A939&lt;=Pricing!$C$5),F939*Pricing!$E$5,IF(AND(A939&gt;Pricing!$C$5,Disbursements!A939&lt;=Pricing!$C$7),VLOOKUP(F939,Pricing!$D$7:$E$8,2)*Disbursements!F939,F939*Pricing!$E$9))))</f>
        <v>0</v>
      </c>
      <c r="O939" s="528">
        <f>IF(E939="STL",0,IF($F939&gt;0,$F939*Pricing!$D$17,0))</f>
        <v>0</v>
      </c>
      <c r="P939" s="530" t="str">
        <f t="shared" si="386"/>
        <v/>
      </c>
      <c r="Q939" s="531" t="str">
        <f>IF($A939="","",$G939/VLOOKUP($I939,Ref!$B$23:$D$29,2,0))</f>
        <v/>
      </c>
      <c r="R939" s="530" t="str">
        <f t="shared" si="387"/>
        <v/>
      </c>
      <c r="S939" s="532" t="str">
        <f t="shared" si="381"/>
        <v/>
      </c>
      <c r="T939" s="531" t="str">
        <f t="shared" si="388"/>
        <v/>
      </c>
      <c r="U939" s="533">
        <f t="shared" si="389"/>
        <v>0</v>
      </c>
      <c r="V939" s="531" t="str">
        <f t="shared" si="390"/>
        <v/>
      </c>
      <c r="W939" s="531" t="str">
        <f t="shared" si="391"/>
        <v/>
      </c>
      <c r="X939" s="534" t="str">
        <f t="shared" si="392"/>
        <v/>
      </c>
      <c r="Y939" s="535" t="str">
        <f>IF($A939="","",IF($I939="weekly",$A939+7,EDATE($A939,VLOOKUP($I939,Ref!$B$24:$C$29,2,0))))</f>
        <v/>
      </c>
      <c r="Z939" s="536" t="str">
        <f t="shared" si="393"/>
        <v/>
      </c>
      <c r="AA939" s="531">
        <f t="shared" si="394"/>
        <v>0</v>
      </c>
      <c r="AB939" s="535" t="str">
        <f t="shared" si="382"/>
        <v/>
      </c>
      <c r="AC939" s="537" t="str">
        <f t="shared" si="383"/>
        <v/>
      </c>
      <c r="AD939" s="538" t="str">
        <f t="shared" ca="1" si="384"/>
        <v/>
      </c>
      <c r="AE939" s="537">
        <f t="shared" ca="1" si="385"/>
        <v>0</v>
      </c>
      <c r="AF939" s="539" t="str">
        <f t="shared" ca="1" si="395"/>
        <v/>
      </c>
      <c r="AG939" s="531" t="str">
        <f t="shared" ca="1" si="396"/>
        <v/>
      </c>
      <c r="AH939" s="531" t="str">
        <f t="shared" ca="1" si="397"/>
        <v/>
      </c>
      <c r="AI939" s="531" t="str">
        <f t="shared" ca="1" si="398"/>
        <v/>
      </c>
      <c r="AJ939" s="531" t="str">
        <f t="shared" si="399"/>
        <v/>
      </c>
      <c r="AK939" s="540">
        <f>SUMIFS('Live Collections'!$S:$S,'Live Collections'!$D:$D,Disbursements!B939,'Live Collections'!$G:$G,Disbursements!C939)</f>
        <v>0</v>
      </c>
      <c r="AL939" s="540">
        <f>SUMIFS('Live Collections'!$T:$T,'Live Collections'!$D:$D,Disbursements!B939,'Live Collections'!$G:$G,Disbursements!C939)</f>
        <v>0</v>
      </c>
      <c r="AM939" s="541">
        <f t="shared" si="400"/>
        <v>0</v>
      </c>
      <c r="AN939" s="542" t="str">
        <f t="shared" si="401"/>
        <v/>
      </c>
      <c r="AO939" s="542" t="str">
        <f t="shared" si="402"/>
        <v/>
      </c>
      <c r="AP939" s="543" t="str">
        <f t="shared" si="403"/>
        <v/>
      </c>
      <c r="AQ939" s="544" t="str">
        <f t="shared" si="404"/>
        <v/>
      </c>
      <c r="AR939" s="545">
        <f t="shared" si="405"/>
        <v>0</v>
      </c>
      <c r="AS939" s="545">
        <f>IFERROR(CEILING($AR939*VLOOKUP($I939,Ref!$B$23:$E$29,4,0),1),0)</f>
        <v>0</v>
      </c>
      <c r="AT939" s="545" t="str">
        <f>IF(A939="","",IF(AP939&lt;=1,"Cleared",IF(AS939=0,"Clean",VLOOKUP($AS939,Ref!$G$23:$H$28,2))))</f>
        <v/>
      </c>
      <c r="AU939" s="546" t="str">
        <f t="shared" si="406"/>
        <v/>
      </c>
    </row>
    <row r="940" spans="1:47" ht="14.25" hidden="1" customHeight="1" x14ac:dyDescent="0.15">
      <c r="A940" s="523"/>
      <c r="B940" s="523"/>
      <c r="C940" s="523"/>
      <c r="D940" s="523"/>
      <c r="E940" s="579"/>
      <c r="F940" s="580"/>
      <c r="G940" s="524"/>
      <c r="H940" s="555"/>
      <c r="I940" s="560"/>
      <c r="J940" s="523"/>
      <c r="K940" s="528" t="str">
        <f>IFERROR(VLOOKUP($B940,'Clients-Live'!$A:$C,3,0),"")</f>
        <v/>
      </c>
      <c r="L940" s="528">
        <f>IF(E940="STL",Pricing!$D$38,IF(A940="",0,IF(A940&lt;Pricing!$C$25,Pricing!$D$25,VLOOKUP(Disbursements!$F940,Pricing!$B$29:$D$32,3))))</f>
        <v>0</v>
      </c>
      <c r="M940" s="528">
        <f>IF(E940="STL",0,IF(F940&gt;0,Pricing!$D$21,0))</f>
        <v>0</v>
      </c>
      <c r="N940" s="529">
        <f>IF(E940="STL",F940*Pricing!$D$40,IF(A940&lt;=Pricing!$C$4,0,IF(AND(A940&gt;Pricing!$C$4,Disbursements!A940&lt;=Pricing!$C$5),F940*Pricing!$E$5,IF(AND(A940&gt;Pricing!$C$5,Disbursements!A940&lt;=Pricing!$C$7),VLOOKUP(F940,Pricing!$D$7:$E$8,2)*Disbursements!F940,F940*Pricing!$E$9))))</f>
        <v>0</v>
      </c>
      <c r="O940" s="528">
        <f>IF(E940="STL",0,IF($F940&gt;0,$F940*Pricing!$D$17,0))</f>
        <v>0</v>
      </c>
      <c r="P940" s="530" t="str">
        <f t="shared" si="386"/>
        <v/>
      </c>
      <c r="Q940" s="531" t="str">
        <f>IF($A940="","",$G940/VLOOKUP($I940,Ref!$B$23:$D$29,2,0))</f>
        <v/>
      </c>
      <c r="R940" s="530" t="str">
        <f t="shared" si="387"/>
        <v/>
      </c>
      <c r="S940" s="532" t="str">
        <f t="shared" si="381"/>
        <v/>
      </c>
      <c r="T940" s="531" t="str">
        <f t="shared" si="388"/>
        <v/>
      </c>
      <c r="U940" s="533">
        <f t="shared" si="389"/>
        <v>0</v>
      </c>
      <c r="V940" s="531" t="str">
        <f t="shared" si="390"/>
        <v/>
      </c>
      <c r="W940" s="531" t="str">
        <f t="shared" si="391"/>
        <v/>
      </c>
      <c r="X940" s="534" t="str">
        <f t="shared" si="392"/>
        <v/>
      </c>
      <c r="Y940" s="535" t="str">
        <f>IF($A940="","",IF($I940="weekly",$A940+7,EDATE($A940,VLOOKUP($I940,Ref!$B$24:$C$29,2,0))))</f>
        <v/>
      </c>
      <c r="Z940" s="536" t="str">
        <f t="shared" si="393"/>
        <v/>
      </c>
      <c r="AA940" s="531">
        <f t="shared" si="394"/>
        <v>0</v>
      </c>
      <c r="AB940" s="535" t="str">
        <f t="shared" si="382"/>
        <v/>
      </c>
      <c r="AC940" s="537" t="str">
        <f t="shared" si="383"/>
        <v/>
      </c>
      <c r="AD940" s="538" t="str">
        <f t="shared" ca="1" si="384"/>
        <v/>
      </c>
      <c r="AE940" s="537">
        <f t="shared" ca="1" si="385"/>
        <v>0</v>
      </c>
      <c r="AF940" s="539" t="str">
        <f t="shared" ca="1" si="395"/>
        <v/>
      </c>
      <c r="AG940" s="531" t="str">
        <f t="shared" ca="1" si="396"/>
        <v/>
      </c>
      <c r="AH940" s="531" t="str">
        <f t="shared" ca="1" si="397"/>
        <v/>
      </c>
      <c r="AI940" s="531" t="str">
        <f t="shared" ca="1" si="398"/>
        <v/>
      </c>
      <c r="AJ940" s="531" t="str">
        <f t="shared" si="399"/>
        <v/>
      </c>
      <c r="AK940" s="540">
        <f>SUMIFS('Live Collections'!$S:$S,'Live Collections'!$D:$D,Disbursements!B940,'Live Collections'!$G:$G,Disbursements!C940)</f>
        <v>0</v>
      </c>
      <c r="AL940" s="540">
        <f>SUMIFS('Live Collections'!$T:$T,'Live Collections'!$D:$D,Disbursements!B940,'Live Collections'!$G:$G,Disbursements!C940)</f>
        <v>0</v>
      </c>
      <c r="AM940" s="541">
        <f t="shared" si="400"/>
        <v>0</v>
      </c>
      <c r="AN940" s="542" t="str">
        <f t="shared" si="401"/>
        <v/>
      </c>
      <c r="AO940" s="542" t="str">
        <f t="shared" si="402"/>
        <v/>
      </c>
      <c r="AP940" s="543" t="str">
        <f t="shared" si="403"/>
        <v/>
      </c>
      <c r="AQ940" s="544" t="str">
        <f t="shared" si="404"/>
        <v/>
      </c>
      <c r="AR940" s="545">
        <f t="shared" si="405"/>
        <v>0</v>
      </c>
      <c r="AS940" s="545">
        <f>IFERROR(CEILING($AR940*VLOOKUP($I940,Ref!$B$23:$E$29,4,0),1),0)</f>
        <v>0</v>
      </c>
      <c r="AT940" s="545" t="str">
        <f>IF(A940="","",IF(AP940&lt;=1,"Cleared",IF(AS940=0,"Clean",VLOOKUP($AS940,Ref!$G$23:$H$28,2))))</f>
        <v/>
      </c>
      <c r="AU940" s="546" t="str">
        <f t="shared" si="406"/>
        <v/>
      </c>
    </row>
    <row r="941" spans="1:47" ht="14.25" hidden="1" customHeight="1" x14ac:dyDescent="0.15">
      <c r="A941" s="523"/>
      <c r="B941" s="523"/>
      <c r="C941" s="523"/>
      <c r="D941" s="523"/>
      <c r="E941" s="579"/>
      <c r="F941" s="580"/>
      <c r="G941" s="524"/>
      <c r="H941" s="555"/>
      <c r="I941" s="560"/>
      <c r="J941" s="523"/>
      <c r="K941" s="528" t="str">
        <f>IFERROR(VLOOKUP($B941,'Clients-Live'!$A:$C,3,0),"")</f>
        <v/>
      </c>
      <c r="L941" s="528">
        <f>IF(E941="STL",Pricing!$D$38,IF(A941="",0,IF(A941&lt;Pricing!$C$25,Pricing!$D$25,VLOOKUP(Disbursements!$F941,Pricing!$B$29:$D$32,3))))</f>
        <v>0</v>
      </c>
      <c r="M941" s="528">
        <f>IF(E941="STL",0,IF(F941&gt;0,Pricing!$D$21,0))</f>
        <v>0</v>
      </c>
      <c r="N941" s="529">
        <f>IF(E941="STL",F941*Pricing!$D$40,IF(A941&lt;=Pricing!$C$4,0,IF(AND(A941&gt;Pricing!$C$4,Disbursements!A941&lt;=Pricing!$C$5),F941*Pricing!$E$5,IF(AND(A941&gt;Pricing!$C$5,Disbursements!A941&lt;=Pricing!$C$7),VLOOKUP(F941,Pricing!$D$7:$E$8,2)*Disbursements!F941,F941*Pricing!$E$9))))</f>
        <v>0</v>
      </c>
      <c r="O941" s="528">
        <f>IF(E941="STL",0,IF($F941&gt;0,$F941*Pricing!$D$17,0))</f>
        <v>0</v>
      </c>
      <c r="P941" s="530" t="str">
        <f t="shared" si="386"/>
        <v/>
      </c>
      <c r="Q941" s="531" t="str">
        <f>IF($A941="","",$G941/VLOOKUP($I941,Ref!$B$23:$D$29,2,0))</f>
        <v/>
      </c>
      <c r="R941" s="530" t="str">
        <f t="shared" si="387"/>
        <v/>
      </c>
      <c r="S941" s="532" t="str">
        <f t="shared" si="381"/>
        <v/>
      </c>
      <c r="T941" s="531" t="str">
        <f t="shared" si="388"/>
        <v/>
      </c>
      <c r="U941" s="533">
        <f t="shared" si="389"/>
        <v>0</v>
      </c>
      <c r="V941" s="531" t="str">
        <f t="shared" si="390"/>
        <v/>
      </c>
      <c r="W941" s="531" t="str">
        <f t="shared" si="391"/>
        <v/>
      </c>
      <c r="X941" s="534" t="str">
        <f t="shared" si="392"/>
        <v/>
      </c>
      <c r="Y941" s="535" t="str">
        <f>IF($A941="","",IF($I941="weekly",$A941+7,EDATE($A941,VLOOKUP($I941,Ref!$B$24:$C$29,2,0))))</f>
        <v/>
      </c>
      <c r="Z941" s="536" t="str">
        <f t="shared" si="393"/>
        <v/>
      </c>
      <c r="AA941" s="531">
        <f t="shared" si="394"/>
        <v>0</v>
      </c>
      <c r="AB941" s="535" t="str">
        <f t="shared" si="382"/>
        <v/>
      </c>
      <c r="AC941" s="537" t="str">
        <f t="shared" si="383"/>
        <v/>
      </c>
      <c r="AD941" s="538" t="str">
        <f t="shared" ca="1" si="384"/>
        <v/>
      </c>
      <c r="AE941" s="537">
        <f t="shared" ca="1" si="385"/>
        <v>0</v>
      </c>
      <c r="AF941" s="539" t="str">
        <f t="shared" ca="1" si="395"/>
        <v/>
      </c>
      <c r="AG941" s="531" t="str">
        <f t="shared" ca="1" si="396"/>
        <v/>
      </c>
      <c r="AH941" s="531" t="str">
        <f t="shared" ca="1" si="397"/>
        <v/>
      </c>
      <c r="AI941" s="531" t="str">
        <f t="shared" ca="1" si="398"/>
        <v/>
      </c>
      <c r="AJ941" s="531" t="str">
        <f t="shared" si="399"/>
        <v/>
      </c>
      <c r="AK941" s="540">
        <f>SUMIFS('Live Collections'!$S:$S,'Live Collections'!$D:$D,Disbursements!B941,'Live Collections'!$G:$G,Disbursements!C941)</f>
        <v>0</v>
      </c>
      <c r="AL941" s="540">
        <f>SUMIFS('Live Collections'!$T:$T,'Live Collections'!$D:$D,Disbursements!B941,'Live Collections'!$G:$G,Disbursements!C941)</f>
        <v>0</v>
      </c>
      <c r="AM941" s="541">
        <f t="shared" si="400"/>
        <v>0</v>
      </c>
      <c r="AN941" s="542" t="str">
        <f t="shared" si="401"/>
        <v/>
      </c>
      <c r="AO941" s="542" t="str">
        <f t="shared" si="402"/>
        <v/>
      </c>
      <c r="AP941" s="543" t="str">
        <f t="shared" si="403"/>
        <v/>
      </c>
      <c r="AQ941" s="544" t="str">
        <f t="shared" si="404"/>
        <v/>
      </c>
      <c r="AR941" s="545">
        <f t="shared" si="405"/>
        <v>0</v>
      </c>
      <c r="AS941" s="545">
        <f>IFERROR(CEILING($AR941*VLOOKUP($I941,Ref!$B$23:$E$29,4,0),1),0)</f>
        <v>0</v>
      </c>
      <c r="AT941" s="545" t="str">
        <f>IF(A941="","",IF(AP941&lt;=1,"Cleared",IF(AS941=0,"Clean",VLOOKUP($AS941,Ref!$G$23:$H$28,2))))</f>
        <v/>
      </c>
      <c r="AU941" s="546" t="str">
        <f t="shared" si="406"/>
        <v/>
      </c>
    </row>
    <row r="942" spans="1:47" ht="14.25" hidden="1" customHeight="1" x14ac:dyDescent="0.15">
      <c r="A942" s="523"/>
      <c r="B942" s="523"/>
      <c r="C942" s="523"/>
      <c r="D942" s="523"/>
      <c r="E942" s="579"/>
      <c r="F942" s="580"/>
      <c r="G942" s="524"/>
      <c r="H942" s="555"/>
      <c r="I942" s="560"/>
      <c r="J942" s="523"/>
      <c r="K942" s="528" t="str">
        <f>IFERROR(VLOOKUP($B942,'Clients-Live'!$A:$C,3,0),"")</f>
        <v/>
      </c>
      <c r="L942" s="528">
        <f>IF(E942="STL",Pricing!$D$38,IF(A942="",0,IF(A942&lt;Pricing!$C$25,Pricing!$D$25,VLOOKUP(Disbursements!$F942,Pricing!$B$29:$D$32,3))))</f>
        <v>0</v>
      </c>
      <c r="M942" s="528">
        <f>IF(E942="STL",0,IF(F942&gt;0,Pricing!$D$21,0))</f>
        <v>0</v>
      </c>
      <c r="N942" s="529">
        <f>IF(E942="STL",F942*Pricing!$D$40,IF(A942&lt;=Pricing!$C$4,0,IF(AND(A942&gt;Pricing!$C$4,Disbursements!A942&lt;=Pricing!$C$5),F942*Pricing!$E$5,IF(AND(A942&gt;Pricing!$C$5,Disbursements!A942&lt;=Pricing!$C$7),VLOOKUP(F942,Pricing!$D$7:$E$8,2)*Disbursements!F942,F942*Pricing!$E$9))))</f>
        <v>0</v>
      </c>
      <c r="O942" s="528">
        <f>IF(E942="STL",0,IF($F942&gt;0,$F942*Pricing!$D$17,0))</f>
        <v>0</v>
      </c>
      <c r="P942" s="530" t="str">
        <f t="shared" si="386"/>
        <v/>
      </c>
      <c r="Q942" s="531" t="str">
        <f>IF($A942="","",$G942/VLOOKUP($I942,Ref!$B$23:$D$29,2,0))</f>
        <v/>
      </c>
      <c r="R942" s="530" t="str">
        <f t="shared" si="387"/>
        <v/>
      </c>
      <c r="S942" s="532" t="str">
        <f t="shared" si="381"/>
        <v/>
      </c>
      <c r="T942" s="531" t="str">
        <f t="shared" si="388"/>
        <v/>
      </c>
      <c r="U942" s="533">
        <f t="shared" si="389"/>
        <v>0</v>
      </c>
      <c r="V942" s="531" t="str">
        <f t="shared" si="390"/>
        <v/>
      </c>
      <c r="W942" s="531" t="str">
        <f t="shared" si="391"/>
        <v/>
      </c>
      <c r="X942" s="534" t="str">
        <f t="shared" si="392"/>
        <v/>
      </c>
      <c r="Y942" s="535" t="str">
        <f>IF($A942="","",IF($I942="weekly",$A942+7,EDATE($A942,VLOOKUP($I942,Ref!$B$24:$C$29,2,0))))</f>
        <v/>
      </c>
      <c r="Z942" s="536" t="str">
        <f t="shared" si="393"/>
        <v/>
      </c>
      <c r="AA942" s="531">
        <f t="shared" si="394"/>
        <v>0</v>
      </c>
      <c r="AB942" s="535" t="str">
        <f t="shared" si="382"/>
        <v/>
      </c>
      <c r="AC942" s="537" t="str">
        <f t="shared" si="383"/>
        <v/>
      </c>
      <c r="AD942" s="538" t="str">
        <f t="shared" ca="1" si="384"/>
        <v/>
      </c>
      <c r="AE942" s="537">
        <f t="shared" ca="1" si="385"/>
        <v>0</v>
      </c>
      <c r="AF942" s="539" t="str">
        <f t="shared" ca="1" si="395"/>
        <v/>
      </c>
      <c r="AG942" s="531" t="str">
        <f t="shared" ca="1" si="396"/>
        <v/>
      </c>
      <c r="AH942" s="531" t="str">
        <f t="shared" ca="1" si="397"/>
        <v/>
      </c>
      <c r="AI942" s="531" t="str">
        <f t="shared" ca="1" si="398"/>
        <v/>
      </c>
      <c r="AJ942" s="531" t="str">
        <f t="shared" si="399"/>
        <v/>
      </c>
      <c r="AK942" s="540">
        <f>SUMIFS('Live Collections'!$S:$S,'Live Collections'!$D:$D,Disbursements!B942,'Live Collections'!$G:$G,Disbursements!C942)</f>
        <v>0</v>
      </c>
      <c r="AL942" s="540">
        <f>SUMIFS('Live Collections'!$T:$T,'Live Collections'!$D:$D,Disbursements!B942,'Live Collections'!$G:$G,Disbursements!C942)</f>
        <v>0</v>
      </c>
      <c r="AM942" s="541">
        <f t="shared" si="400"/>
        <v>0</v>
      </c>
      <c r="AN942" s="542" t="str">
        <f t="shared" si="401"/>
        <v/>
      </c>
      <c r="AO942" s="542" t="str">
        <f t="shared" si="402"/>
        <v/>
      </c>
      <c r="AP942" s="543" t="str">
        <f t="shared" si="403"/>
        <v/>
      </c>
      <c r="AQ942" s="544" t="str">
        <f t="shared" si="404"/>
        <v/>
      </c>
      <c r="AR942" s="545">
        <f t="shared" si="405"/>
        <v>0</v>
      </c>
      <c r="AS942" s="545">
        <f>IFERROR(CEILING($AR942*VLOOKUP($I942,Ref!$B$23:$E$29,4,0),1),0)</f>
        <v>0</v>
      </c>
      <c r="AT942" s="545" t="str">
        <f>IF(A942="","",IF(AP942&lt;=1,"Cleared",IF(AS942=0,"Clean",VLOOKUP($AS942,Ref!$G$23:$H$28,2))))</f>
        <v/>
      </c>
      <c r="AU942" s="546" t="str">
        <f t="shared" si="406"/>
        <v/>
      </c>
    </row>
    <row r="943" spans="1:47" ht="14.25" hidden="1" customHeight="1" x14ac:dyDescent="0.15">
      <c r="A943" s="523"/>
      <c r="B943" s="523"/>
      <c r="C943" s="523"/>
      <c r="D943" s="523"/>
      <c r="E943" s="579"/>
      <c r="F943" s="580"/>
      <c r="G943" s="524"/>
      <c r="H943" s="555"/>
      <c r="I943" s="560"/>
      <c r="J943" s="523"/>
      <c r="K943" s="528" t="str">
        <f>IFERROR(VLOOKUP($B943,'Clients-Live'!$A:$C,3,0),"")</f>
        <v/>
      </c>
      <c r="L943" s="528">
        <f>IF(E943="STL",Pricing!$D$38,IF(A943="",0,IF(A943&lt;Pricing!$C$25,Pricing!$D$25,VLOOKUP(Disbursements!$F943,Pricing!$B$29:$D$32,3))))</f>
        <v>0</v>
      </c>
      <c r="M943" s="528">
        <f>IF(E943="STL",0,IF(F943&gt;0,Pricing!$D$21,0))</f>
        <v>0</v>
      </c>
      <c r="N943" s="529">
        <f>IF(E943="STL",F943*Pricing!$D$40,IF(A943&lt;=Pricing!$C$4,0,IF(AND(A943&gt;Pricing!$C$4,Disbursements!A943&lt;=Pricing!$C$5),F943*Pricing!$E$5,IF(AND(A943&gt;Pricing!$C$5,Disbursements!A943&lt;=Pricing!$C$7),VLOOKUP(F943,Pricing!$D$7:$E$8,2)*Disbursements!F943,F943*Pricing!$E$9))))</f>
        <v>0</v>
      </c>
      <c r="O943" s="528">
        <f>IF(E943="STL",0,IF($F943&gt;0,$F943*Pricing!$D$17,0))</f>
        <v>0</v>
      </c>
      <c r="P943" s="530" t="str">
        <f t="shared" si="386"/>
        <v/>
      </c>
      <c r="Q943" s="531" t="str">
        <f>IF($A943="","",$G943/VLOOKUP($I943,Ref!$B$23:$D$29,2,0))</f>
        <v/>
      </c>
      <c r="R943" s="530" t="str">
        <f t="shared" si="387"/>
        <v/>
      </c>
      <c r="S943" s="532" t="str">
        <f t="shared" si="381"/>
        <v/>
      </c>
      <c r="T943" s="531" t="str">
        <f t="shared" si="388"/>
        <v/>
      </c>
      <c r="U943" s="533">
        <f t="shared" si="389"/>
        <v>0</v>
      </c>
      <c r="V943" s="531" t="str">
        <f t="shared" si="390"/>
        <v/>
      </c>
      <c r="W943" s="531" t="str">
        <f t="shared" si="391"/>
        <v/>
      </c>
      <c r="X943" s="534" t="str">
        <f t="shared" si="392"/>
        <v/>
      </c>
      <c r="Y943" s="535" t="str">
        <f>IF($A943="","",IF($I943="weekly",$A943+7,EDATE($A943,VLOOKUP($I943,Ref!$B$24:$C$29,2,0))))</f>
        <v/>
      </c>
      <c r="Z943" s="536" t="str">
        <f t="shared" si="393"/>
        <v/>
      </c>
      <c r="AA943" s="531">
        <f t="shared" si="394"/>
        <v>0</v>
      </c>
      <c r="AB943" s="535" t="str">
        <f t="shared" si="382"/>
        <v/>
      </c>
      <c r="AC943" s="537" t="str">
        <f t="shared" si="383"/>
        <v/>
      </c>
      <c r="AD943" s="538" t="str">
        <f t="shared" ca="1" si="384"/>
        <v/>
      </c>
      <c r="AE943" s="537">
        <f t="shared" ca="1" si="385"/>
        <v>0</v>
      </c>
      <c r="AF943" s="539" t="str">
        <f t="shared" ca="1" si="395"/>
        <v/>
      </c>
      <c r="AG943" s="531" t="str">
        <f t="shared" ca="1" si="396"/>
        <v/>
      </c>
      <c r="AH943" s="531" t="str">
        <f t="shared" ca="1" si="397"/>
        <v/>
      </c>
      <c r="AI943" s="531" t="str">
        <f t="shared" ca="1" si="398"/>
        <v/>
      </c>
      <c r="AJ943" s="531" t="str">
        <f t="shared" si="399"/>
        <v/>
      </c>
      <c r="AK943" s="540">
        <f>SUMIFS('Live Collections'!$S:$S,'Live Collections'!$D:$D,Disbursements!B943,'Live Collections'!$G:$G,Disbursements!C943)</f>
        <v>0</v>
      </c>
      <c r="AL943" s="540">
        <f>SUMIFS('Live Collections'!$T:$T,'Live Collections'!$D:$D,Disbursements!B943,'Live Collections'!$G:$G,Disbursements!C943)</f>
        <v>0</v>
      </c>
      <c r="AM943" s="541">
        <f t="shared" si="400"/>
        <v>0</v>
      </c>
      <c r="AN943" s="542" t="str">
        <f t="shared" si="401"/>
        <v/>
      </c>
      <c r="AO943" s="542" t="str">
        <f t="shared" si="402"/>
        <v/>
      </c>
      <c r="AP943" s="543" t="str">
        <f t="shared" si="403"/>
        <v/>
      </c>
      <c r="AQ943" s="544" t="str">
        <f t="shared" si="404"/>
        <v/>
      </c>
      <c r="AR943" s="545">
        <f t="shared" si="405"/>
        <v>0</v>
      </c>
      <c r="AS943" s="545">
        <f>IFERROR(CEILING($AR943*VLOOKUP($I943,Ref!$B$23:$E$29,4,0),1),0)</f>
        <v>0</v>
      </c>
      <c r="AT943" s="545" t="str">
        <f>IF(A943="","",IF(AP943&lt;=1,"Cleared",IF(AS943=0,"Clean",VLOOKUP($AS943,Ref!$G$23:$H$28,2))))</f>
        <v/>
      </c>
      <c r="AU943" s="546" t="str">
        <f t="shared" si="406"/>
        <v/>
      </c>
    </row>
    <row r="944" spans="1:47" ht="14.25" hidden="1" customHeight="1" x14ac:dyDescent="0.15">
      <c r="A944" s="523"/>
      <c r="B944" s="523"/>
      <c r="C944" s="523"/>
      <c r="D944" s="523"/>
      <c r="E944" s="579"/>
      <c r="F944" s="580"/>
      <c r="G944" s="524"/>
      <c r="H944" s="555"/>
      <c r="I944" s="560"/>
      <c r="J944" s="523"/>
      <c r="K944" s="528" t="str">
        <f>IFERROR(VLOOKUP($B944,'Clients-Live'!$A:$C,3,0),"")</f>
        <v/>
      </c>
      <c r="L944" s="528">
        <f>IF(E944="STL",Pricing!$D$38,IF(A944="",0,IF(A944&lt;Pricing!$C$25,Pricing!$D$25,VLOOKUP(Disbursements!$F944,Pricing!$B$29:$D$32,3))))</f>
        <v>0</v>
      </c>
      <c r="M944" s="528">
        <f>IF(E944="STL",0,IF(F944&gt;0,Pricing!$D$21,0))</f>
        <v>0</v>
      </c>
      <c r="N944" s="529">
        <f>IF(E944="STL",F944*Pricing!$D$40,IF(A944&lt;=Pricing!$C$4,0,IF(AND(A944&gt;Pricing!$C$4,Disbursements!A944&lt;=Pricing!$C$5),F944*Pricing!$E$5,IF(AND(A944&gt;Pricing!$C$5,Disbursements!A944&lt;=Pricing!$C$7),VLOOKUP(F944,Pricing!$D$7:$E$8,2)*Disbursements!F944,F944*Pricing!$E$9))))</f>
        <v>0</v>
      </c>
      <c r="O944" s="528">
        <f>IF(E944="STL",0,IF($F944&gt;0,$F944*Pricing!$D$17,0))</f>
        <v>0</v>
      </c>
      <c r="P944" s="530" t="str">
        <f t="shared" si="386"/>
        <v/>
      </c>
      <c r="Q944" s="531" t="str">
        <f>IF($A944="","",$G944/VLOOKUP($I944,Ref!$B$23:$D$29,2,0))</f>
        <v/>
      </c>
      <c r="R944" s="530" t="str">
        <f t="shared" si="387"/>
        <v/>
      </c>
      <c r="S944" s="532" t="str">
        <f t="shared" si="381"/>
        <v/>
      </c>
      <c r="T944" s="531" t="str">
        <f t="shared" si="388"/>
        <v/>
      </c>
      <c r="U944" s="533">
        <f t="shared" si="389"/>
        <v>0</v>
      </c>
      <c r="V944" s="531" t="str">
        <f t="shared" si="390"/>
        <v/>
      </c>
      <c r="W944" s="531" t="str">
        <f t="shared" si="391"/>
        <v/>
      </c>
      <c r="X944" s="534" t="str">
        <f t="shared" si="392"/>
        <v/>
      </c>
      <c r="Y944" s="535" t="str">
        <f>IF($A944="","",IF($I944="weekly",$A944+7,EDATE($A944,VLOOKUP($I944,Ref!$B$24:$C$29,2,0))))</f>
        <v/>
      </c>
      <c r="Z944" s="536" t="str">
        <f t="shared" si="393"/>
        <v/>
      </c>
      <c r="AA944" s="531">
        <f t="shared" si="394"/>
        <v>0</v>
      </c>
      <c r="AB944" s="535" t="str">
        <f t="shared" si="382"/>
        <v/>
      </c>
      <c r="AC944" s="537" t="str">
        <f t="shared" si="383"/>
        <v/>
      </c>
      <c r="AD944" s="538" t="str">
        <f t="shared" ca="1" si="384"/>
        <v/>
      </c>
      <c r="AE944" s="537">
        <f t="shared" ca="1" si="385"/>
        <v>0</v>
      </c>
      <c r="AF944" s="539" t="str">
        <f t="shared" ca="1" si="395"/>
        <v/>
      </c>
      <c r="AG944" s="531" t="str">
        <f t="shared" ca="1" si="396"/>
        <v/>
      </c>
      <c r="AH944" s="531" t="str">
        <f t="shared" ca="1" si="397"/>
        <v/>
      </c>
      <c r="AI944" s="531" t="str">
        <f t="shared" ca="1" si="398"/>
        <v/>
      </c>
      <c r="AJ944" s="531" t="str">
        <f t="shared" si="399"/>
        <v/>
      </c>
      <c r="AK944" s="540">
        <f>SUMIFS('Live Collections'!$S:$S,'Live Collections'!$D:$D,Disbursements!B944,'Live Collections'!$G:$G,Disbursements!C944)</f>
        <v>0</v>
      </c>
      <c r="AL944" s="540">
        <f>SUMIFS('Live Collections'!$T:$T,'Live Collections'!$D:$D,Disbursements!B944,'Live Collections'!$G:$G,Disbursements!C944)</f>
        <v>0</v>
      </c>
      <c r="AM944" s="541">
        <f t="shared" si="400"/>
        <v>0</v>
      </c>
      <c r="AN944" s="542" t="str">
        <f t="shared" si="401"/>
        <v/>
      </c>
      <c r="AO944" s="542" t="str">
        <f t="shared" si="402"/>
        <v/>
      </c>
      <c r="AP944" s="543" t="str">
        <f t="shared" si="403"/>
        <v/>
      </c>
      <c r="AQ944" s="544" t="str">
        <f t="shared" si="404"/>
        <v/>
      </c>
      <c r="AR944" s="545">
        <f t="shared" si="405"/>
        <v>0</v>
      </c>
      <c r="AS944" s="545">
        <f>IFERROR(CEILING($AR944*VLOOKUP($I944,Ref!$B$23:$E$29,4,0),1),0)</f>
        <v>0</v>
      </c>
      <c r="AT944" s="545" t="str">
        <f>IF(A944="","",IF(AP944&lt;=1,"Cleared",IF(AS944=0,"Clean",VLOOKUP($AS944,Ref!$G$23:$H$28,2))))</f>
        <v/>
      </c>
      <c r="AU944" s="546" t="str">
        <f t="shared" si="406"/>
        <v/>
      </c>
    </row>
    <row r="945" spans="1:47" ht="14.25" hidden="1" customHeight="1" x14ac:dyDescent="0.15">
      <c r="A945" s="523"/>
      <c r="B945" s="523"/>
      <c r="C945" s="523"/>
      <c r="D945" s="523"/>
      <c r="E945" s="579"/>
      <c r="F945" s="580"/>
      <c r="G945" s="524"/>
      <c r="H945" s="555"/>
      <c r="I945" s="560"/>
      <c r="J945" s="523"/>
      <c r="K945" s="528" t="str">
        <f>IFERROR(VLOOKUP($B945,'Clients-Live'!$A:$C,3,0),"")</f>
        <v/>
      </c>
      <c r="L945" s="528">
        <f>IF(E945="STL",Pricing!$D$38,IF(A945="",0,IF(A945&lt;Pricing!$C$25,Pricing!$D$25,VLOOKUP(Disbursements!$F945,Pricing!$B$29:$D$32,3))))</f>
        <v>0</v>
      </c>
      <c r="M945" s="528">
        <f>IF(E945="STL",0,IF(F945&gt;0,Pricing!$D$21,0))</f>
        <v>0</v>
      </c>
      <c r="N945" s="529">
        <f>IF(E945="STL",F945*Pricing!$D$40,IF(A945&lt;=Pricing!$C$4,0,IF(AND(A945&gt;Pricing!$C$4,Disbursements!A945&lt;=Pricing!$C$5),F945*Pricing!$E$5,IF(AND(A945&gt;Pricing!$C$5,Disbursements!A945&lt;=Pricing!$C$7),VLOOKUP(F945,Pricing!$D$7:$E$8,2)*Disbursements!F945,F945*Pricing!$E$9))))</f>
        <v>0</v>
      </c>
      <c r="O945" s="528">
        <f>IF(E945="STL",0,IF($F945&gt;0,$F945*Pricing!$D$17,0))</f>
        <v>0</v>
      </c>
      <c r="P945" s="530" t="str">
        <f t="shared" si="386"/>
        <v/>
      </c>
      <c r="Q945" s="531" t="str">
        <f>IF($A945="","",$G945/VLOOKUP($I945,Ref!$B$23:$D$29,2,0))</f>
        <v/>
      </c>
      <c r="R945" s="530" t="str">
        <f t="shared" si="387"/>
        <v/>
      </c>
      <c r="S945" s="532" t="str">
        <f t="shared" si="381"/>
        <v/>
      </c>
      <c r="T945" s="531" t="str">
        <f t="shared" si="388"/>
        <v/>
      </c>
      <c r="U945" s="533">
        <f t="shared" si="389"/>
        <v>0</v>
      </c>
      <c r="V945" s="531" t="str">
        <f t="shared" si="390"/>
        <v/>
      </c>
      <c r="W945" s="531" t="str">
        <f t="shared" si="391"/>
        <v/>
      </c>
      <c r="X945" s="534" t="str">
        <f t="shared" si="392"/>
        <v/>
      </c>
      <c r="Y945" s="535" t="str">
        <f>IF($A945="","",IF($I945="weekly",$A945+7,EDATE($A945,VLOOKUP($I945,Ref!$B$24:$C$29,2,0))))</f>
        <v/>
      </c>
      <c r="Z945" s="536" t="str">
        <f t="shared" si="393"/>
        <v/>
      </c>
      <c r="AA945" s="531">
        <f t="shared" si="394"/>
        <v>0</v>
      </c>
      <c r="AB945" s="535" t="str">
        <f t="shared" si="382"/>
        <v/>
      </c>
      <c r="AC945" s="537" t="str">
        <f t="shared" si="383"/>
        <v/>
      </c>
      <c r="AD945" s="538" t="str">
        <f t="shared" ca="1" si="384"/>
        <v/>
      </c>
      <c r="AE945" s="537">
        <f t="shared" ca="1" si="385"/>
        <v>0</v>
      </c>
      <c r="AF945" s="539" t="str">
        <f t="shared" ca="1" si="395"/>
        <v/>
      </c>
      <c r="AG945" s="531" t="str">
        <f t="shared" ca="1" si="396"/>
        <v/>
      </c>
      <c r="AH945" s="531" t="str">
        <f t="shared" ca="1" si="397"/>
        <v/>
      </c>
      <c r="AI945" s="531" t="str">
        <f t="shared" ca="1" si="398"/>
        <v/>
      </c>
      <c r="AJ945" s="531" t="str">
        <f t="shared" si="399"/>
        <v/>
      </c>
      <c r="AK945" s="540">
        <f>SUMIFS('Live Collections'!$S:$S,'Live Collections'!$D:$D,Disbursements!B945,'Live Collections'!$G:$G,Disbursements!C945)</f>
        <v>0</v>
      </c>
      <c r="AL945" s="540">
        <f>SUMIFS('Live Collections'!$T:$T,'Live Collections'!$D:$D,Disbursements!B945,'Live Collections'!$G:$G,Disbursements!C945)</f>
        <v>0</v>
      </c>
      <c r="AM945" s="541">
        <f t="shared" si="400"/>
        <v>0</v>
      </c>
      <c r="AN945" s="542" t="str">
        <f t="shared" si="401"/>
        <v/>
      </c>
      <c r="AO945" s="542" t="str">
        <f t="shared" si="402"/>
        <v/>
      </c>
      <c r="AP945" s="543" t="str">
        <f t="shared" si="403"/>
        <v/>
      </c>
      <c r="AQ945" s="544" t="str">
        <f t="shared" si="404"/>
        <v/>
      </c>
      <c r="AR945" s="545">
        <f t="shared" si="405"/>
        <v>0</v>
      </c>
      <c r="AS945" s="545">
        <f>IFERROR(CEILING($AR945*VLOOKUP($I945,Ref!$B$23:$E$29,4,0),1),0)</f>
        <v>0</v>
      </c>
      <c r="AT945" s="545" t="str">
        <f>IF(A945="","",IF(AP945&lt;=1,"Cleared",IF(AS945=0,"Clean",VLOOKUP($AS945,Ref!$G$23:$H$28,2))))</f>
        <v/>
      </c>
      <c r="AU945" s="546" t="str">
        <f t="shared" si="406"/>
        <v/>
      </c>
    </row>
    <row r="946" spans="1:47" ht="14.25" hidden="1" customHeight="1" x14ac:dyDescent="0.15">
      <c r="A946" s="523"/>
      <c r="B946" s="523"/>
      <c r="C946" s="523"/>
      <c r="D946" s="523"/>
      <c r="E946" s="579"/>
      <c r="F946" s="580"/>
      <c r="G946" s="524"/>
      <c r="H946" s="555"/>
      <c r="I946" s="560"/>
      <c r="J946" s="523"/>
      <c r="K946" s="528" t="str">
        <f>IFERROR(VLOOKUP($B946,'Clients-Live'!$A:$C,3,0),"")</f>
        <v/>
      </c>
      <c r="L946" s="528">
        <f>IF(E946="STL",Pricing!$D$38,IF(A946="",0,IF(A946&lt;Pricing!$C$25,Pricing!$D$25,VLOOKUP(Disbursements!$F946,Pricing!$B$29:$D$32,3))))</f>
        <v>0</v>
      </c>
      <c r="M946" s="528">
        <f>IF(E946="STL",0,IF(F946&gt;0,Pricing!$D$21,0))</f>
        <v>0</v>
      </c>
      <c r="N946" s="529">
        <f>IF(E946="STL",F946*Pricing!$D$40,IF(A946&lt;=Pricing!$C$4,0,IF(AND(A946&gt;Pricing!$C$4,Disbursements!A946&lt;=Pricing!$C$5),F946*Pricing!$E$5,IF(AND(A946&gt;Pricing!$C$5,Disbursements!A946&lt;=Pricing!$C$7),VLOOKUP(F946,Pricing!$D$7:$E$8,2)*Disbursements!F946,F946*Pricing!$E$9))))</f>
        <v>0</v>
      </c>
      <c r="O946" s="528">
        <f>IF(E946="STL",0,IF($F946&gt;0,$F946*Pricing!$D$17,0))</f>
        <v>0</v>
      </c>
      <c r="P946" s="530" t="str">
        <f t="shared" si="386"/>
        <v/>
      </c>
      <c r="Q946" s="531" t="str">
        <f>IF($A946="","",$G946/VLOOKUP($I946,Ref!$B$23:$D$29,2,0))</f>
        <v/>
      </c>
      <c r="R946" s="530" t="str">
        <f t="shared" si="387"/>
        <v/>
      </c>
      <c r="S946" s="532" t="str">
        <f t="shared" si="381"/>
        <v/>
      </c>
      <c r="T946" s="531" t="str">
        <f t="shared" si="388"/>
        <v/>
      </c>
      <c r="U946" s="533">
        <f t="shared" si="389"/>
        <v>0</v>
      </c>
      <c r="V946" s="531" t="str">
        <f t="shared" si="390"/>
        <v/>
      </c>
      <c r="W946" s="531" t="str">
        <f t="shared" si="391"/>
        <v/>
      </c>
      <c r="X946" s="534" t="str">
        <f t="shared" si="392"/>
        <v/>
      </c>
      <c r="Y946" s="535" t="str">
        <f>IF($A946="","",IF($I946="weekly",$A946+7,EDATE($A946,VLOOKUP($I946,Ref!$B$24:$C$29,2,0))))</f>
        <v/>
      </c>
      <c r="Z946" s="536" t="str">
        <f t="shared" si="393"/>
        <v/>
      </c>
      <c r="AA946" s="531">
        <f t="shared" si="394"/>
        <v>0</v>
      </c>
      <c r="AB946" s="535" t="str">
        <f t="shared" si="382"/>
        <v/>
      </c>
      <c r="AC946" s="537" t="str">
        <f t="shared" si="383"/>
        <v/>
      </c>
      <c r="AD946" s="538" t="str">
        <f t="shared" ca="1" si="384"/>
        <v/>
      </c>
      <c r="AE946" s="537">
        <f t="shared" ca="1" si="385"/>
        <v>0</v>
      </c>
      <c r="AF946" s="539" t="str">
        <f t="shared" ca="1" si="395"/>
        <v/>
      </c>
      <c r="AG946" s="531" t="str">
        <f t="shared" ca="1" si="396"/>
        <v/>
      </c>
      <c r="AH946" s="531" t="str">
        <f t="shared" ca="1" si="397"/>
        <v/>
      </c>
      <c r="AI946" s="531" t="str">
        <f t="shared" ca="1" si="398"/>
        <v/>
      </c>
      <c r="AJ946" s="531" t="str">
        <f t="shared" si="399"/>
        <v/>
      </c>
      <c r="AK946" s="540">
        <f>SUMIFS('Live Collections'!$S:$S,'Live Collections'!$D:$D,Disbursements!B946,'Live Collections'!$G:$G,Disbursements!C946)</f>
        <v>0</v>
      </c>
      <c r="AL946" s="540">
        <f>SUMIFS('Live Collections'!$T:$T,'Live Collections'!$D:$D,Disbursements!B946,'Live Collections'!$G:$G,Disbursements!C946)</f>
        <v>0</v>
      </c>
      <c r="AM946" s="541">
        <f t="shared" si="400"/>
        <v>0</v>
      </c>
      <c r="AN946" s="542" t="str">
        <f t="shared" si="401"/>
        <v/>
      </c>
      <c r="AO946" s="542" t="str">
        <f t="shared" si="402"/>
        <v/>
      </c>
      <c r="AP946" s="543" t="str">
        <f t="shared" si="403"/>
        <v/>
      </c>
      <c r="AQ946" s="544" t="str">
        <f t="shared" si="404"/>
        <v/>
      </c>
      <c r="AR946" s="545">
        <f t="shared" si="405"/>
        <v>0</v>
      </c>
      <c r="AS946" s="545">
        <f>IFERROR(CEILING($AR946*VLOOKUP($I946,Ref!$B$23:$E$29,4,0),1),0)</f>
        <v>0</v>
      </c>
      <c r="AT946" s="545" t="str">
        <f>IF(A946="","",IF(AP946&lt;=1,"Cleared",IF(AS946=0,"Clean",VLOOKUP($AS946,Ref!$G$23:$H$28,2))))</f>
        <v/>
      </c>
      <c r="AU946" s="546" t="str">
        <f t="shared" si="406"/>
        <v/>
      </c>
    </row>
    <row r="947" spans="1:47" ht="14.25" hidden="1" customHeight="1" x14ac:dyDescent="0.15">
      <c r="A947" s="523"/>
      <c r="B947" s="523"/>
      <c r="C947" s="523"/>
      <c r="D947" s="523"/>
      <c r="E947" s="579"/>
      <c r="F947" s="580"/>
      <c r="G947" s="524"/>
      <c r="H947" s="555"/>
      <c r="I947" s="560"/>
      <c r="J947" s="523"/>
      <c r="K947" s="528" t="str">
        <f>IFERROR(VLOOKUP($B947,'Clients-Live'!$A:$C,3,0),"")</f>
        <v/>
      </c>
      <c r="L947" s="528">
        <f>IF(E947="STL",Pricing!$D$38,IF(A947="",0,IF(A947&lt;Pricing!$C$25,Pricing!$D$25,VLOOKUP(Disbursements!$F947,Pricing!$B$29:$D$32,3))))</f>
        <v>0</v>
      </c>
      <c r="M947" s="528">
        <f>IF(E947="STL",0,IF(F947&gt;0,Pricing!$D$21,0))</f>
        <v>0</v>
      </c>
      <c r="N947" s="529">
        <f>IF(E947="STL",F947*Pricing!$D$40,IF(A947&lt;=Pricing!$C$4,0,IF(AND(A947&gt;Pricing!$C$4,Disbursements!A947&lt;=Pricing!$C$5),F947*Pricing!$E$5,IF(AND(A947&gt;Pricing!$C$5,Disbursements!A947&lt;=Pricing!$C$7),VLOOKUP(F947,Pricing!$D$7:$E$8,2)*Disbursements!F947,F947*Pricing!$E$9))))</f>
        <v>0</v>
      </c>
      <c r="O947" s="528">
        <f>IF(E947="STL",0,IF($F947&gt;0,$F947*Pricing!$D$17,0))</f>
        <v>0</v>
      </c>
      <c r="P947" s="530" t="str">
        <f t="shared" si="386"/>
        <v/>
      </c>
      <c r="Q947" s="531" t="str">
        <f>IF($A947="","",$G947/VLOOKUP($I947,Ref!$B$23:$D$29,2,0))</f>
        <v/>
      </c>
      <c r="R947" s="530" t="str">
        <f t="shared" si="387"/>
        <v/>
      </c>
      <c r="S947" s="532" t="str">
        <f t="shared" si="381"/>
        <v/>
      </c>
      <c r="T947" s="531" t="str">
        <f t="shared" si="388"/>
        <v/>
      </c>
      <c r="U947" s="533">
        <f t="shared" si="389"/>
        <v>0</v>
      </c>
      <c r="V947" s="531" t="str">
        <f t="shared" si="390"/>
        <v/>
      </c>
      <c r="W947" s="531" t="str">
        <f t="shared" si="391"/>
        <v/>
      </c>
      <c r="X947" s="534" t="str">
        <f t="shared" si="392"/>
        <v/>
      </c>
      <c r="Y947" s="535" t="str">
        <f>IF($A947="","",IF($I947="weekly",$A947+7,EDATE($A947,VLOOKUP($I947,Ref!$B$24:$C$29,2,0))))</f>
        <v/>
      </c>
      <c r="Z947" s="536" t="str">
        <f t="shared" si="393"/>
        <v/>
      </c>
      <c r="AA947" s="531">
        <f t="shared" si="394"/>
        <v>0</v>
      </c>
      <c r="AB947" s="535" t="str">
        <f t="shared" si="382"/>
        <v/>
      </c>
      <c r="AC947" s="537" t="str">
        <f t="shared" si="383"/>
        <v/>
      </c>
      <c r="AD947" s="538" t="str">
        <f t="shared" ca="1" si="384"/>
        <v/>
      </c>
      <c r="AE947" s="537">
        <f t="shared" ca="1" si="385"/>
        <v>0</v>
      </c>
      <c r="AF947" s="539" t="str">
        <f t="shared" ca="1" si="395"/>
        <v/>
      </c>
      <c r="AG947" s="531" t="str">
        <f t="shared" ca="1" si="396"/>
        <v/>
      </c>
      <c r="AH947" s="531" t="str">
        <f t="shared" ca="1" si="397"/>
        <v/>
      </c>
      <c r="AI947" s="531" t="str">
        <f t="shared" ca="1" si="398"/>
        <v/>
      </c>
      <c r="AJ947" s="531" t="str">
        <f t="shared" si="399"/>
        <v/>
      </c>
      <c r="AK947" s="540">
        <f>SUMIFS('Live Collections'!$S:$S,'Live Collections'!$D:$D,Disbursements!B947,'Live Collections'!$G:$G,Disbursements!C947)</f>
        <v>0</v>
      </c>
      <c r="AL947" s="540">
        <f>SUMIFS('Live Collections'!$T:$T,'Live Collections'!$D:$D,Disbursements!B947,'Live Collections'!$G:$G,Disbursements!C947)</f>
        <v>0</v>
      </c>
      <c r="AM947" s="541">
        <f t="shared" si="400"/>
        <v>0</v>
      </c>
      <c r="AN947" s="542" t="str">
        <f t="shared" si="401"/>
        <v/>
      </c>
      <c r="AO947" s="542" t="str">
        <f t="shared" si="402"/>
        <v/>
      </c>
      <c r="AP947" s="543" t="str">
        <f t="shared" si="403"/>
        <v/>
      </c>
      <c r="AQ947" s="544" t="str">
        <f t="shared" si="404"/>
        <v/>
      </c>
      <c r="AR947" s="545">
        <f t="shared" si="405"/>
        <v>0</v>
      </c>
      <c r="AS947" s="545">
        <f>IFERROR(CEILING($AR947*VLOOKUP($I947,Ref!$B$23:$E$29,4,0),1),0)</f>
        <v>0</v>
      </c>
      <c r="AT947" s="545" t="str">
        <f>IF(A947="","",IF(AP947&lt;=1,"Cleared",IF(AS947=0,"Clean",VLOOKUP($AS947,Ref!$G$23:$H$28,2))))</f>
        <v/>
      </c>
      <c r="AU947" s="546" t="str">
        <f t="shared" si="406"/>
        <v/>
      </c>
    </row>
    <row r="948" spans="1:47" ht="14.25" hidden="1" customHeight="1" x14ac:dyDescent="0.15">
      <c r="A948" s="523"/>
      <c r="B948" s="523"/>
      <c r="C948" s="523"/>
      <c r="D948" s="523"/>
      <c r="E948" s="579"/>
      <c r="F948" s="580"/>
      <c r="G948" s="524"/>
      <c r="H948" s="555"/>
      <c r="I948" s="560"/>
      <c r="J948" s="523"/>
      <c r="K948" s="528" t="str">
        <f>IFERROR(VLOOKUP($B948,'Clients-Live'!$A:$C,3,0),"")</f>
        <v/>
      </c>
      <c r="L948" s="528">
        <f>IF(E948="STL",Pricing!$D$38,IF(A948="",0,IF(A948&lt;Pricing!$C$25,Pricing!$D$25,VLOOKUP(Disbursements!$F948,Pricing!$B$29:$D$32,3))))</f>
        <v>0</v>
      </c>
      <c r="M948" s="528">
        <f>IF(E948="STL",0,IF(F948&gt;0,Pricing!$D$21,0))</f>
        <v>0</v>
      </c>
      <c r="N948" s="529">
        <f>IF(E948="STL",F948*Pricing!$D$40,IF(A948&lt;=Pricing!$C$4,0,IF(AND(A948&gt;Pricing!$C$4,Disbursements!A948&lt;=Pricing!$C$5),F948*Pricing!$E$5,IF(AND(A948&gt;Pricing!$C$5,Disbursements!A948&lt;=Pricing!$C$7),VLOOKUP(F948,Pricing!$D$7:$E$8,2)*Disbursements!F948,F948*Pricing!$E$9))))</f>
        <v>0</v>
      </c>
      <c r="O948" s="528">
        <f>IF(E948="STL",0,IF($F948&gt;0,$F948*Pricing!$D$17,0))</f>
        <v>0</v>
      </c>
      <c r="P948" s="530" t="str">
        <f t="shared" si="386"/>
        <v/>
      </c>
      <c r="Q948" s="531" t="str">
        <f>IF($A948="","",$G948/VLOOKUP($I948,Ref!$B$23:$D$29,2,0))</f>
        <v/>
      </c>
      <c r="R948" s="530" t="str">
        <f t="shared" si="387"/>
        <v/>
      </c>
      <c r="S948" s="532" t="str">
        <f t="shared" si="381"/>
        <v/>
      </c>
      <c r="T948" s="531" t="str">
        <f t="shared" si="388"/>
        <v/>
      </c>
      <c r="U948" s="533">
        <f t="shared" si="389"/>
        <v>0</v>
      </c>
      <c r="V948" s="531" t="str">
        <f t="shared" si="390"/>
        <v/>
      </c>
      <c r="W948" s="531" t="str">
        <f t="shared" si="391"/>
        <v/>
      </c>
      <c r="X948" s="534" t="str">
        <f t="shared" si="392"/>
        <v/>
      </c>
      <c r="Y948" s="535" t="str">
        <f>IF($A948="","",IF($I948="weekly",$A948+7,EDATE($A948,VLOOKUP($I948,Ref!$B$24:$C$29,2,0))))</f>
        <v/>
      </c>
      <c r="Z948" s="536" t="str">
        <f t="shared" si="393"/>
        <v/>
      </c>
      <c r="AA948" s="531">
        <f t="shared" si="394"/>
        <v>0</v>
      </c>
      <c r="AB948" s="535" t="str">
        <f t="shared" si="382"/>
        <v/>
      </c>
      <c r="AC948" s="537" t="str">
        <f t="shared" si="383"/>
        <v/>
      </c>
      <c r="AD948" s="538" t="str">
        <f t="shared" ca="1" si="384"/>
        <v/>
      </c>
      <c r="AE948" s="537">
        <f t="shared" ca="1" si="385"/>
        <v>0</v>
      </c>
      <c r="AF948" s="539" t="str">
        <f t="shared" ca="1" si="395"/>
        <v/>
      </c>
      <c r="AG948" s="531" t="str">
        <f t="shared" ca="1" si="396"/>
        <v/>
      </c>
      <c r="AH948" s="531" t="str">
        <f t="shared" ca="1" si="397"/>
        <v/>
      </c>
      <c r="AI948" s="531" t="str">
        <f t="shared" ca="1" si="398"/>
        <v/>
      </c>
      <c r="AJ948" s="531" t="str">
        <f t="shared" si="399"/>
        <v/>
      </c>
      <c r="AK948" s="540">
        <f>SUMIFS('Live Collections'!$S:$S,'Live Collections'!$D:$D,Disbursements!B948,'Live Collections'!$G:$G,Disbursements!C948)</f>
        <v>0</v>
      </c>
      <c r="AL948" s="540">
        <f>SUMIFS('Live Collections'!$T:$T,'Live Collections'!$D:$D,Disbursements!B948,'Live Collections'!$G:$G,Disbursements!C948)</f>
        <v>0</v>
      </c>
      <c r="AM948" s="541">
        <f t="shared" si="400"/>
        <v>0</v>
      </c>
      <c r="AN948" s="542" t="str">
        <f t="shared" si="401"/>
        <v/>
      </c>
      <c r="AO948" s="542" t="str">
        <f t="shared" si="402"/>
        <v/>
      </c>
      <c r="AP948" s="543" t="str">
        <f t="shared" si="403"/>
        <v/>
      </c>
      <c r="AQ948" s="544" t="str">
        <f t="shared" si="404"/>
        <v/>
      </c>
      <c r="AR948" s="545">
        <f t="shared" si="405"/>
        <v>0</v>
      </c>
      <c r="AS948" s="545">
        <f>IFERROR(CEILING($AR948*VLOOKUP($I948,Ref!$B$23:$E$29,4,0),1),0)</f>
        <v>0</v>
      </c>
      <c r="AT948" s="545" t="str">
        <f>IF(A948="","",IF(AP948&lt;=1,"Cleared",IF(AS948=0,"Clean",VLOOKUP($AS948,Ref!$G$23:$H$28,2))))</f>
        <v/>
      </c>
      <c r="AU948" s="546" t="str">
        <f t="shared" si="406"/>
        <v/>
      </c>
    </row>
    <row r="949" spans="1:47" ht="14.25" hidden="1" customHeight="1" x14ac:dyDescent="0.15">
      <c r="A949" s="523"/>
      <c r="B949" s="523"/>
      <c r="C949" s="523"/>
      <c r="D949" s="523"/>
      <c r="E949" s="579"/>
      <c r="F949" s="580"/>
      <c r="G949" s="524"/>
      <c r="H949" s="555"/>
      <c r="I949" s="560"/>
      <c r="J949" s="523"/>
      <c r="K949" s="528" t="str">
        <f>IFERROR(VLOOKUP($B949,'Clients-Live'!$A:$C,3,0),"")</f>
        <v/>
      </c>
      <c r="L949" s="528">
        <f>IF(E949="STL",Pricing!$D$38,IF(A949="",0,IF(A949&lt;Pricing!$C$25,Pricing!$D$25,VLOOKUP(Disbursements!$F949,Pricing!$B$29:$D$32,3))))</f>
        <v>0</v>
      </c>
      <c r="M949" s="528">
        <f>IF(E949="STL",0,IF(F949&gt;0,Pricing!$D$21,0))</f>
        <v>0</v>
      </c>
      <c r="N949" s="529">
        <f>IF(E949="STL",F949*Pricing!$D$40,IF(A949&lt;=Pricing!$C$4,0,IF(AND(A949&gt;Pricing!$C$4,Disbursements!A949&lt;=Pricing!$C$5),F949*Pricing!$E$5,IF(AND(A949&gt;Pricing!$C$5,Disbursements!A949&lt;=Pricing!$C$7),VLOOKUP(F949,Pricing!$D$7:$E$8,2)*Disbursements!F949,F949*Pricing!$E$9))))</f>
        <v>0</v>
      </c>
      <c r="O949" s="528">
        <f>IF(E949="STL",0,IF($F949&gt;0,$F949*Pricing!$D$17,0))</f>
        <v>0</v>
      </c>
      <c r="P949" s="530" t="str">
        <f t="shared" si="386"/>
        <v/>
      </c>
      <c r="Q949" s="531" t="str">
        <f>IF($A949="","",$G949/VLOOKUP($I949,Ref!$B$23:$D$29,2,0))</f>
        <v/>
      </c>
      <c r="R949" s="530" t="str">
        <f t="shared" si="387"/>
        <v/>
      </c>
      <c r="S949" s="532" t="str">
        <f t="shared" si="381"/>
        <v/>
      </c>
      <c r="T949" s="531" t="str">
        <f t="shared" si="388"/>
        <v/>
      </c>
      <c r="U949" s="533">
        <f t="shared" si="389"/>
        <v>0</v>
      </c>
      <c r="V949" s="531" t="str">
        <f t="shared" si="390"/>
        <v/>
      </c>
      <c r="W949" s="531" t="str">
        <f t="shared" si="391"/>
        <v/>
      </c>
      <c r="X949" s="534" t="str">
        <f t="shared" si="392"/>
        <v/>
      </c>
      <c r="Y949" s="535" t="str">
        <f>IF($A949="","",IF($I949="weekly",$A949+7,EDATE($A949,VLOOKUP($I949,Ref!$B$24:$C$29,2,0))))</f>
        <v/>
      </c>
      <c r="Z949" s="536" t="str">
        <f t="shared" si="393"/>
        <v/>
      </c>
      <c r="AA949" s="531">
        <f t="shared" si="394"/>
        <v>0</v>
      </c>
      <c r="AB949" s="535" t="str">
        <f t="shared" si="382"/>
        <v/>
      </c>
      <c r="AC949" s="537" t="str">
        <f t="shared" si="383"/>
        <v/>
      </c>
      <c r="AD949" s="538" t="str">
        <f t="shared" ca="1" si="384"/>
        <v/>
      </c>
      <c r="AE949" s="537">
        <f t="shared" ca="1" si="385"/>
        <v>0</v>
      </c>
      <c r="AF949" s="539" t="str">
        <f t="shared" ca="1" si="395"/>
        <v/>
      </c>
      <c r="AG949" s="531" t="str">
        <f t="shared" ca="1" si="396"/>
        <v/>
      </c>
      <c r="AH949" s="531" t="str">
        <f t="shared" ca="1" si="397"/>
        <v/>
      </c>
      <c r="AI949" s="531" t="str">
        <f t="shared" ca="1" si="398"/>
        <v/>
      </c>
      <c r="AJ949" s="531" t="str">
        <f t="shared" si="399"/>
        <v/>
      </c>
      <c r="AK949" s="540">
        <f>SUMIFS('Live Collections'!$S:$S,'Live Collections'!$D:$D,Disbursements!B949,'Live Collections'!$G:$G,Disbursements!C949)</f>
        <v>0</v>
      </c>
      <c r="AL949" s="540">
        <f>SUMIFS('Live Collections'!$T:$T,'Live Collections'!$D:$D,Disbursements!B949,'Live Collections'!$G:$G,Disbursements!C949)</f>
        <v>0</v>
      </c>
      <c r="AM949" s="541">
        <f t="shared" si="400"/>
        <v>0</v>
      </c>
      <c r="AN949" s="542" t="str">
        <f t="shared" si="401"/>
        <v/>
      </c>
      <c r="AO949" s="542" t="str">
        <f t="shared" si="402"/>
        <v/>
      </c>
      <c r="AP949" s="543" t="str">
        <f t="shared" si="403"/>
        <v/>
      </c>
      <c r="AQ949" s="544" t="str">
        <f t="shared" si="404"/>
        <v/>
      </c>
      <c r="AR949" s="545">
        <f t="shared" si="405"/>
        <v>0</v>
      </c>
      <c r="AS949" s="545">
        <f>IFERROR(CEILING($AR949*VLOOKUP($I949,Ref!$B$23:$E$29,4,0),1),0)</f>
        <v>0</v>
      </c>
      <c r="AT949" s="545" t="str">
        <f>IF(A949="","",IF(AP949&lt;=1,"Cleared",IF(AS949=0,"Clean",VLOOKUP($AS949,Ref!$G$23:$H$28,2))))</f>
        <v/>
      </c>
      <c r="AU949" s="546" t="str">
        <f t="shared" si="406"/>
        <v/>
      </c>
    </row>
    <row r="950" spans="1:47" ht="14.25" hidden="1" customHeight="1" x14ac:dyDescent="0.15">
      <c r="A950" s="523"/>
      <c r="B950" s="523"/>
      <c r="C950" s="523"/>
      <c r="D950" s="523"/>
      <c r="E950" s="579"/>
      <c r="F950" s="580"/>
      <c r="G950" s="524"/>
      <c r="H950" s="555"/>
      <c r="I950" s="560"/>
      <c r="J950" s="523"/>
      <c r="K950" s="528" t="str">
        <f>IFERROR(VLOOKUP($B950,'Clients-Live'!$A:$C,3,0),"")</f>
        <v/>
      </c>
      <c r="L950" s="528">
        <f>IF(E950="STL",Pricing!$D$38,IF(A950="",0,IF(A950&lt;Pricing!$C$25,Pricing!$D$25,VLOOKUP(Disbursements!$F950,Pricing!$B$29:$D$32,3))))</f>
        <v>0</v>
      </c>
      <c r="M950" s="528">
        <f>IF(E950="STL",0,IF(F950&gt;0,Pricing!$D$21,0))</f>
        <v>0</v>
      </c>
      <c r="N950" s="529">
        <f>IF(E950="STL",F950*Pricing!$D$40,IF(A950&lt;=Pricing!$C$4,0,IF(AND(A950&gt;Pricing!$C$4,Disbursements!A950&lt;=Pricing!$C$5),F950*Pricing!$E$5,IF(AND(A950&gt;Pricing!$C$5,Disbursements!A950&lt;=Pricing!$C$7),VLOOKUP(F950,Pricing!$D$7:$E$8,2)*Disbursements!F950,F950*Pricing!$E$9))))</f>
        <v>0</v>
      </c>
      <c r="O950" s="528">
        <f>IF(E950="STL",0,IF($F950&gt;0,$F950*Pricing!$D$17,0))</f>
        <v>0</v>
      </c>
      <c r="P950" s="530" t="str">
        <f t="shared" si="386"/>
        <v/>
      </c>
      <c r="Q950" s="531" t="str">
        <f>IF($A950="","",$G950/VLOOKUP($I950,Ref!$B$23:$D$29,2,0))</f>
        <v/>
      </c>
      <c r="R950" s="530" t="str">
        <f t="shared" si="387"/>
        <v/>
      </c>
      <c r="S950" s="532" t="str">
        <f t="shared" si="381"/>
        <v/>
      </c>
      <c r="T950" s="531" t="str">
        <f t="shared" si="388"/>
        <v/>
      </c>
      <c r="U950" s="533">
        <f t="shared" si="389"/>
        <v>0</v>
      </c>
      <c r="V950" s="531" t="str">
        <f t="shared" si="390"/>
        <v/>
      </c>
      <c r="W950" s="531" t="str">
        <f t="shared" si="391"/>
        <v/>
      </c>
      <c r="X950" s="534" t="str">
        <f t="shared" si="392"/>
        <v/>
      </c>
      <c r="Y950" s="535" t="str">
        <f>IF($A950="","",IF($I950="weekly",$A950+7,EDATE($A950,VLOOKUP($I950,Ref!$B$24:$C$29,2,0))))</f>
        <v/>
      </c>
      <c r="Z950" s="536" t="str">
        <f t="shared" si="393"/>
        <v/>
      </c>
      <c r="AA950" s="531">
        <f t="shared" si="394"/>
        <v>0</v>
      </c>
      <c r="AB950" s="535" t="str">
        <f t="shared" si="382"/>
        <v/>
      </c>
      <c r="AC950" s="537" t="str">
        <f t="shared" si="383"/>
        <v/>
      </c>
      <c r="AD950" s="538" t="str">
        <f t="shared" ca="1" si="384"/>
        <v/>
      </c>
      <c r="AE950" s="537">
        <f t="shared" ca="1" si="385"/>
        <v>0</v>
      </c>
      <c r="AF950" s="539" t="str">
        <f t="shared" ca="1" si="395"/>
        <v/>
      </c>
      <c r="AG950" s="531" t="str">
        <f t="shared" ca="1" si="396"/>
        <v/>
      </c>
      <c r="AH950" s="531" t="str">
        <f t="shared" ca="1" si="397"/>
        <v/>
      </c>
      <c r="AI950" s="531" t="str">
        <f t="shared" ca="1" si="398"/>
        <v/>
      </c>
      <c r="AJ950" s="531" t="str">
        <f t="shared" si="399"/>
        <v/>
      </c>
      <c r="AK950" s="540">
        <f>SUMIFS('Live Collections'!$S:$S,'Live Collections'!$D:$D,Disbursements!B950,'Live Collections'!$G:$G,Disbursements!C950)</f>
        <v>0</v>
      </c>
      <c r="AL950" s="540">
        <f>SUMIFS('Live Collections'!$T:$T,'Live Collections'!$D:$D,Disbursements!B950,'Live Collections'!$G:$G,Disbursements!C950)</f>
        <v>0</v>
      </c>
      <c r="AM950" s="541">
        <f t="shared" si="400"/>
        <v>0</v>
      </c>
      <c r="AN950" s="542" t="str">
        <f t="shared" si="401"/>
        <v/>
      </c>
      <c r="AO950" s="542" t="str">
        <f t="shared" si="402"/>
        <v/>
      </c>
      <c r="AP950" s="543" t="str">
        <f t="shared" si="403"/>
        <v/>
      </c>
      <c r="AQ950" s="544" t="str">
        <f t="shared" si="404"/>
        <v/>
      </c>
      <c r="AR950" s="545">
        <f t="shared" si="405"/>
        <v>0</v>
      </c>
      <c r="AS950" s="545">
        <f>IFERROR(CEILING($AR950*VLOOKUP($I950,Ref!$B$23:$E$29,4,0),1),0)</f>
        <v>0</v>
      </c>
      <c r="AT950" s="545" t="str">
        <f>IF(A950="","",IF(AP950&lt;=1,"Cleared",IF(AS950=0,"Clean",VLOOKUP($AS950,Ref!$G$23:$H$28,2))))</f>
        <v/>
      </c>
      <c r="AU950" s="546" t="str">
        <f t="shared" si="406"/>
        <v/>
      </c>
    </row>
    <row r="951" spans="1:47" ht="14.25" hidden="1" customHeight="1" x14ac:dyDescent="0.15">
      <c r="A951" s="523"/>
      <c r="B951" s="523"/>
      <c r="C951" s="523"/>
      <c r="D951" s="523"/>
      <c r="E951" s="579"/>
      <c r="F951" s="580"/>
      <c r="G951" s="524"/>
      <c r="H951" s="555"/>
      <c r="I951" s="560"/>
      <c r="J951" s="523"/>
      <c r="K951" s="528" t="str">
        <f>IFERROR(VLOOKUP($B951,'Clients-Live'!$A:$C,3,0),"")</f>
        <v/>
      </c>
      <c r="L951" s="528">
        <f>IF(E951="STL",Pricing!$D$38,IF(A951="",0,IF(A951&lt;Pricing!$C$25,Pricing!$D$25,VLOOKUP(Disbursements!$F951,Pricing!$B$29:$D$32,3))))</f>
        <v>0</v>
      </c>
      <c r="M951" s="528">
        <f>IF(E951="STL",0,IF(F951&gt;0,Pricing!$D$21,0))</f>
        <v>0</v>
      </c>
      <c r="N951" s="529">
        <f>IF(E951="STL",F951*Pricing!$D$40,IF(A951&lt;=Pricing!$C$4,0,IF(AND(A951&gt;Pricing!$C$4,Disbursements!A951&lt;=Pricing!$C$5),F951*Pricing!$E$5,IF(AND(A951&gt;Pricing!$C$5,Disbursements!A951&lt;=Pricing!$C$7),VLOOKUP(F951,Pricing!$D$7:$E$8,2)*Disbursements!F951,F951*Pricing!$E$9))))</f>
        <v>0</v>
      </c>
      <c r="O951" s="528">
        <f>IF(E951="STL",0,IF($F951&gt;0,$F951*Pricing!$D$17,0))</f>
        <v>0</v>
      </c>
      <c r="P951" s="530" t="str">
        <f t="shared" si="386"/>
        <v/>
      </c>
      <c r="Q951" s="531" t="str">
        <f>IF($A951="","",$G951/VLOOKUP($I951,Ref!$B$23:$D$29,2,0))</f>
        <v/>
      </c>
      <c r="R951" s="530" t="str">
        <f t="shared" si="387"/>
        <v/>
      </c>
      <c r="S951" s="532" t="str">
        <f t="shared" si="381"/>
        <v/>
      </c>
      <c r="T951" s="531" t="str">
        <f t="shared" si="388"/>
        <v/>
      </c>
      <c r="U951" s="533">
        <f t="shared" si="389"/>
        <v>0</v>
      </c>
      <c r="V951" s="531" t="str">
        <f t="shared" si="390"/>
        <v/>
      </c>
      <c r="W951" s="531" t="str">
        <f t="shared" si="391"/>
        <v/>
      </c>
      <c r="X951" s="534" t="str">
        <f t="shared" si="392"/>
        <v/>
      </c>
      <c r="Y951" s="535" t="str">
        <f>IF($A951="","",IF($I951="weekly",$A951+7,EDATE($A951,VLOOKUP($I951,Ref!$B$24:$C$29,2,0))))</f>
        <v/>
      </c>
      <c r="Z951" s="536" t="str">
        <f t="shared" si="393"/>
        <v/>
      </c>
      <c r="AA951" s="531">
        <f t="shared" si="394"/>
        <v>0</v>
      </c>
      <c r="AB951" s="535" t="str">
        <f t="shared" si="382"/>
        <v/>
      </c>
      <c r="AC951" s="537" t="str">
        <f t="shared" si="383"/>
        <v/>
      </c>
      <c r="AD951" s="538" t="str">
        <f t="shared" ca="1" si="384"/>
        <v/>
      </c>
      <c r="AE951" s="537">
        <f t="shared" ca="1" si="385"/>
        <v>0</v>
      </c>
      <c r="AF951" s="539" t="str">
        <f t="shared" ca="1" si="395"/>
        <v/>
      </c>
      <c r="AG951" s="531" t="str">
        <f t="shared" ca="1" si="396"/>
        <v/>
      </c>
      <c r="AH951" s="531" t="str">
        <f t="shared" ca="1" si="397"/>
        <v/>
      </c>
      <c r="AI951" s="531" t="str">
        <f t="shared" ca="1" si="398"/>
        <v/>
      </c>
      <c r="AJ951" s="531" t="str">
        <f t="shared" si="399"/>
        <v/>
      </c>
      <c r="AK951" s="540">
        <f>SUMIFS('Live Collections'!$S:$S,'Live Collections'!$D:$D,Disbursements!B951,'Live Collections'!$G:$G,Disbursements!C951)</f>
        <v>0</v>
      </c>
      <c r="AL951" s="540">
        <f>SUMIFS('Live Collections'!$T:$T,'Live Collections'!$D:$D,Disbursements!B951,'Live Collections'!$G:$G,Disbursements!C951)</f>
        <v>0</v>
      </c>
      <c r="AM951" s="541">
        <f t="shared" si="400"/>
        <v>0</v>
      </c>
      <c r="AN951" s="542" t="str">
        <f t="shared" si="401"/>
        <v/>
      </c>
      <c r="AO951" s="542" t="str">
        <f t="shared" si="402"/>
        <v/>
      </c>
      <c r="AP951" s="543" t="str">
        <f t="shared" si="403"/>
        <v/>
      </c>
      <c r="AQ951" s="544" t="str">
        <f t="shared" si="404"/>
        <v/>
      </c>
      <c r="AR951" s="545">
        <f t="shared" si="405"/>
        <v>0</v>
      </c>
      <c r="AS951" s="545">
        <f>IFERROR(CEILING($AR951*VLOOKUP($I951,Ref!$B$23:$E$29,4,0),1),0)</f>
        <v>0</v>
      </c>
      <c r="AT951" s="545" t="str">
        <f>IF(A951="","",IF(AP951&lt;=1,"Cleared",IF(AS951=0,"Clean",VLOOKUP($AS951,Ref!$G$23:$H$28,2))))</f>
        <v/>
      </c>
      <c r="AU951" s="546" t="str">
        <f t="shared" si="406"/>
        <v/>
      </c>
    </row>
    <row r="952" spans="1:47" ht="14.25" hidden="1" customHeight="1" x14ac:dyDescent="0.15">
      <c r="A952" s="523"/>
      <c r="B952" s="523"/>
      <c r="C952" s="523"/>
      <c r="D952" s="523"/>
      <c r="E952" s="579"/>
      <c r="F952" s="580"/>
      <c r="G952" s="524"/>
      <c r="H952" s="555"/>
      <c r="I952" s="560"/>
      <c r="J952" s="523"/>
      <c r="K952" s="528" t="str">
        <f>IFERROR(VLOOKUP($B952,'Clients-Live'!$A:$C,3,0),"")</f>
        <v/>
      </c>
      <c r="L952" s="528">
        <f>IF(E952="STL",Pricing!$D$38,IF(A952="",0,IF(A952&lt;Pricing!$C$25,Pricing!$D$25,VLOOKUP(Disbursements!$F952,Pricing!$B$29:$D$32,3))))</f>
        <v>0</v>
      </c>
      <c r="M952" s="528">
        <f>IF(E952="STL",0,IF(F952&gt;0,Pricing!$D$21,0))</f>
        <v>0</v>
      </c>
      <c r="N952" s="529">
        <f>IF(E952="STL",F952*Pricing!$D$40,IF(A952&lt;=Pricing!$C$4,0,IF(AND(A952&gt;Pricing!$C$4,Disbursements!A952&lt;=Pricing!$C$5),F952*Pricing!$E$5,IF(AND(A952&gt;Pricing!$C$5,Disbursements!A952&lt;=Pricing!$C$7),VLOOKUP(F952,Pricing!$D$7:$E$8,2)*Disbursements!F952,F952*Pricing!$E$9))))</f>
        <v>0</v>
      </c>
      <c r="O952" s="528">
        <f>IF(E952="STL",0,IF($F952&gt;0,$F952*Pricing!$D$17,0))</f>
        <v>0</v>
      </c>
      <c r="P952" s="530" t="str">
        <f t="shared" si="386"/>
        <v/>
      </c>
      <c r="Q952" s="531" t="str">
        <f>IF($A952="","",$G952/VLOOKUP($I952,Ref!$B$23:$D$29,2,0))</f>
        <v/>
      </c>
      <c r="R952" s="530" t="str">
        <f t="shared" si="387"/>
        <v/>
      </c>
      <c r="S952" s="532" t="str">
        <f t="shared" si="381"/>
        <v/>
      </c>
      <c r="T952" s="531" t="str">
        <f t="shared" si="388"/>
        <v/>
      </c>
      <c r="U952" s="533">
        <f t="shared" si="389"/>
        <v>0</v>
      </c>
      <c r="V952" s="531" t="str">
        <f t="shared" si="390"/>
        <v/>
      </c>
      <c r="W952" s="531" t="str">
        <f t="shared" si="391"/>
        <v/>
      </c>
      <c r="X952" s="534" t="str">
        <f t="shared" si="392"/>
        <v/>
      </c>
      <c r="Y952" s="535" t="str">
        <f>IF($A952="","",IF($I952="weekly",$A952+7,EDATE($A952,VLOOKUP($I952,Ref!$B$24:$C$29,2,0))))</f>
        <v/>
      </c>
      <c r="Z952" s="536" t="str">
        <f t="shared" si="393"/>
        <v/>
      </c>
      <c r="AA952" s="531">
        <f t="shared" si="394"/>
        <v>0</v>
      </c>
      <c r="AB952" s="535" t="str">
        <f t="shared" si="382"/>
        <v/>
      </c>
      <c r="AC952" s="537" t="str">
        <f t="shared" si="383"/>
        <v/>
      </c>
      <c r="AD952" s="538" t="str">
        <f t="shared" ca="1" si="384"/>
        <v/>
      </c>
      <c r="AE952" s="537">
        <f t="shared" ca="1" si="385"/>
        <v>0</v>
      </c>
      <c r="AF952" s="539" t="str">
        <f t="shared" ca="1" si="395"/>
        <v/>
      </c>
      <c r="AG952" s="531" t="str">
        <f t="shared" ca="1" si="396"/>
        <v/>
      </c>
      <c r="AH952" s="531" t="str">
        <f t="shared" ca="1" si="397"/>
        <v/>
      </c>
      <c r="AI952" s="531" t="str">
        <f t="shared" ca="1" si="398"/>
        <v/>
      </c>
      <c r="AJ952" s="531" t="str">
        <f t="shared" si="399"/>
        <v/>
      </c>
      <c r="AK952" s="540">
        <f>SUMIFS('Live Collections'!$S:$S,'Live Collections'!$D:$D,Disbursements!B952,'Live Collections'!$G:$G,Disbursements!C952)</f>
        <v>0</v>
      </c>
      <c r="AL952" s="540">
        <f>SUMIFS('Live Collections'!$T:$T,'Live Collections'!$D:$D,Disbursements!B952,'Live Collections'!$G:$G,Disbursements!C952)</f>
        <v>0</v>
      </c>
      <c r="AM952" s="541">
        <f t="shared" si="400"/>
        <v>0</v>
      </c>
      <c r="AN952" s="542" t="str">
        <f t="shared" si="401"/>
        <v/>
      </c>
      <c r="AO952" s="542" t="str">
        <f t="shared" si="402"/>
        <v/>
      </c>
      <c r="AP952" s="543" t="str">
        <f t="shared" si="403"/>
        <v/>
      </c>
      <c r="AQ952" s="544" t="str">
        <f t="shared" si="404"/>
        <v/>
      </c>
      <c r="AR952" s="545">
        <f t="shared" si="405"/>
        <v>0</v>
      </c>
      <c r="AS952" s="545">
        <f>IFERROR(CEILING($AR952*VLOOKUP($I952,Ref!$B$23:$E$29,4,0),1),0)</f>
        <v>0</v>
      </c>
      <c r="AT952" s="545" t="str">
        <f>IF(A952="","",IF(AP952&lt;=1,"Cleared",IF(AS952=0,"Clean",VLOOKUP($AS952,Ref!$G$23:$H$28,2))))</f>
        <v/>
      </c>
      <c r="AU952" s="546" t="str">
        <f t="shared" si="406"/>
        <v/>
      </c>
    </row>
    <row r="953" spans="1:47" ht="14.25" hidden="1" customHeight="1" x14ac:dyDescent="0.15">
      <c r="A953" s="523"/>
      <c r="B953" s="523"/>
      <c r="C953" s="523"/>
      <c r="D953" s="523"/>
      <c r="E953" s="579"/>
      <c r="F953" s="580"/>
      <c r="G953" s="524"/>
      <c r="H953" s="555"/>
      <c r="I953" s="560"/>
      <c r="J953" s="523"/>
      <c r="K953" s="528" t="str">
        <f>IFERROR(VLOOKUP($B953,'Clients-Live'!$A:$C,3,0),"")</f>
        <v/>
      </c>
      <c r="L953" s="528">
        <f>IF(E953="STL",Pricing!$D$38,IF(A953="",0,IF(A953&lt;Pricing!$C$25,Pricing!$D$25,VLOOKUP(Disbursements!$F953,Pricing!$B$29:$D$32,3))))</f>
        <v>0</v>
      </c>
      <c r="M953" s="528">
        <f>IF(E953="STL",0,IF(F953&gt;0,Pricing!$D$21,0))</f>
        <v>0</v>
      </c>
      <c r="N953" s="529">
        <f>IF(E953="STL",F953*Pricing!$D$40,IF(A953&lt;=Pricing!$C$4,0,IF(AND(A953&gt;Pricing!$C$4,Disbursements!A953&lt;=Pricing!$C$5),F953*Pricing!$E$5,IF(AND(A953&gt;Pricing!$C$5,Disbursements!A953&lt;=Pricing!$C$7),VLOOKUP(F953,Pricing!$D$7:$E$8,2)*Disbursements!F953,F953*Pricing!$E$9))))</f>
        <v>0</v>
      </c>
      <c r="O953" s="528">
        <f>IF(E953="STL",0,IF($F953&gt;0,$F953*Pricing!$D$17,0))</f>
        <v>0</v>
      </c>
      <c r="P953" s="530" t="str">
        <f t="shared" si="386"/>
        <v/>
      </c>
      <c r="Q953" s="531" t="str">
        <f>IF($A953="","",$G953/VLOOKUP($I953,Ref!$B$23:$D$29,2,0))</f>
        <v/>
      </c>
      <c r="R953" s="530" t="str">
        <f t="shared" si="387"/>
        <v/>
      </c>
      <c r="S953" s="532" t="str">
        <f t="shared" si="381"/>
        <v/>
      </c>
      <c r="T953" s="531" t="str">
        <f t="shared" si="388"/>
        <v/>
      </c>
      <c r="U953" s="533">
        <f t="shared" si="389"/>
        <v>0</v>
      </c>
      <c r="V953" s="531" t="str">
        <f t="shared" si="390"/>
        <v/>
      </c>
      <c r="W953" s="531" t="str">
        <f t="shared" si="391"/>
        <v/>
      </c>
      <c r="X953" s="534" t="str">
        <f t="shared" si="392"/>
        <v/>
      </c>
      <c r="Y953" s="535" t="str">
        <f>IF($A953="","",IF($I953="weekly",$A953+7,EDATE($A953,VLOOKUP($I953,Ref!$B$24:$C$29,2,0))))</f>
        <v/>
      </c>
      <c r="Z953" s="536" t="str">
        <f t="shared" si="393"/>
        <v/>
      </c>
      <c r="AA953" s="531">
        <f t="shared" si="394"/>
        <v>0</v>
      </c>
      <c r="AB953" s="535" t="str">
        <f t="shared" si="382"/>
        <v/>
      </c>
      <c r="AC953" s="537" t="str">
        <f t="shared" si="383"/>
        <v/>
      </c>
      <c r="AD953" s="538" t="str">
        <f t="shared" ca="1" si="384"/>
        <v/>
      </c>
      <c r="AE953" s="537">
        <f t="shared" ca="1" si="385"/>
        <v>0</v>
      </c>
      <c r="AF953" s="539" t="str">
        <f t="shared" ca="1" si="395"/>
        <v/>
      </c>
      <c r="AG953" s="531" t="str">
        <f t="shared" ca="1" si="396"/>
        <v/>
      </c>
      <c r="AH953" s="531" t="str">
        <f t="shared" ca="1" si="397"/>
        <v/>
      </c>
      <c r="AI953" s="531" t="str">
        <f t="shared" ca="1" si="398"/>
        <v/>
      </c>
      <c r="AJ953" s="531" t="str">
        <f t="shared" si="399"/>
        <v/>
      </c>
      <c r="AK953" s="540">
        <f>SUMIFS('Live Collections'!$S:$S,'Live Collections'!$D:$D,Disbursements!B953,'Live Collections'!$G:$G,Disbursements!C953)</f>
        <v>0</v>
      </c>
      <c r="AL953" s="540">
        <f>SUMIFS('Live Collections'!$T:$T,'Live Collections'!$D:$D,Disbursements!B953,'Live Collections'!$G:$G,Disbursements!C953)</f>
        <v>0</v>
      </c>
      <c r="AM953" s="541">
        <f t="shared" si="400"/>
        <v>0</v>
      </c>
      <c r="AN953" s="542" t="str">
        <f t="shared" si="401"/>
        <v/>
      </c>
      <c r="AO953" s="542" t="str">
        <f t="shared" si="402"/>
        <v/>
      </c>
      <c r="AP953" s="543" t="str">
        <f t="shared" si="403"/>
        <v/>
      </c>
      <c r="AQ953" s="544" t="str">
        <f t="shared" si="404"/>
        <v/>
      </c>
      <c r="AR953" s="545">
        <f t="shared" si="405"/>
        <v>0</v>
      </c>
      <c r="AS953" s="545">
        <f>IFERROR(CEILING($AR953*VLOOKUP($I953,Ref!$B$23:$E$29,4,0),1),0)</f>
        <v>0</v>
      </c>
      <c r="AT953" s="545" t="str">
        <f>IF(A953="","",IF(AP953&lt;=1,"Cleared",IF(AS953=0,"Clean",VLOOKUP($AS953,Ref!$G$23:$H$28,2))))</f>
        <v/>
      </c>
      <c r="AU953" s="546" t="str">
        <f t="shared" si="406"/>
        <v/>
      </c>
    </row>
    <row r="954" spans="1:47" ht="14.25" hidden="1" customHeight="1" x14ac:dyDescent="0.15">
      <c r="A954" s="523"/>
      <c r="B954" s="523"/>
      <c r="C954" s="523"/>
      <c r="D954" s="523"/>
      <c r="E954" s="579"/>
      <c r="F954" s="580"/>
      <c r="G954" s="524"/>
      <c r="H954" s="555"/>
      <c r="I954" s="560"/>
      <c r="J954" s="523"/>
      <c r="K954" s="528" t="str">
        <f>IFERROR(VLOOKUP($B954,'Clients-Live'!$A:$C,3,0),"")</f>
        <v/>
      </c>
      <c r="L954" s="528">
        <f>IF(E954="STL",Pricing!$D$38,IF(A954="",0,IF(A954&lt;Pricing!$C$25,Pricing!$D$25,VLOOKUP(Disbursements!$F954,Pricing!$B$29:$D$32,3))))</f>
        <v>0</v>
      </c>
      <c r="M954" s="528">
        <f>IF(E954="STL",0,IF(F954&gt;0,Pricing!$D$21,0))</f>
        <v>0</v>
      </c>
      <c r="N954" s="529">
        <f>IF(E954="STL",F954*Pricing!$D$40,IF(A954&lt;=Pricing!$C$4,0,IF(AND(A954&gt;Pricing!$C$4,Disbursements!A954&lt;=Pricing!$C$5),F954*Pricing!$E$5,IF(AND(A954&gt;Pricing!$C$5,Disbursements!A954&lt;=Pricing!$C$7),VLOOKUP(F954,Pricing!$D$7:$E$8,2)*Disbursements!F954,F954*Pricing!$E$9))))</f>
        <v>0</v>
      </c>
      <c r="O954" s="528">
        <f>IF(E954="STL",0,IF($F954&gt;0,$F954*Pricing!$D$17,0))</f>
        <v>0</v>
      </c>
      <c r="P954" s="530" t="str">
        <f t="shared" si="386"/>
        <v/>
      </c>
      <c r="Q954" s="531" t="str">
        <f>IF($A954="","",$G954/VLOOKUP($I954,Ref!$B$23:$D$29,2,0))</f>
        <v/>
      </c>
      <c r="R954" s="530" t="str">
        <f t="shared" si="387"/>
        <v/>
      </c>
      <c r="S954" s="532" t="str">
        <f t="shared" si="381"/>
        <v/>
      </c>
      <c r="T954" s="531" t="str">
        <f t="shared" si="388"/>
        <v/>
      </c>
      <c r="U954" s="533">
        <f t="shared" si="389"/>
        <v>0</v>
      </c>
      <c r="V954" s="531" t="str">
        <f t="shared" si="390"/>
        <v/>
      </c>
      <c r="W954" s="531" t="str">
        <f t="shared" si="391"/>
        <v/>
      </c>
      <c r="X954" s="534" t="str">
        <f t="shared" si="392"/>
        <v/>
      </c>
      <c r="Y954" s="535" t="str">
        <f>IF($A954="","",IF($I954="weekly",$A954+7,EDATE($A954,VLOOKUP($I954,Ref!$B$24:$C$29,2,0))))</f>
        <v/>
      </c>
      <c r="Z954" s="536" t="str">
        <f t="shared" si="393"/>
        <v/>
      </c>
      <c r="AA954" s="531">
        <f t="shared" si="394"/>
        <v>0</v>
      </c>
      <c r="AB954" s="535" t="str">
        <f t="shared" si="382"/>
        <v/>
      </c>
      <c r="AC954" s="537" t="str">
        <f t="shared" si="383"/>
        <v/>
      </c>
      <c r="AD954" s="538" t="str">
        <f t="shared" ca="1" si="384"/>
        <v/>
      </c>
      <c r="AE954" s="537">
        <f t="shared" ca="1" si="385"/>
        <v>0</v>
      </c>
      <c r="AF954" s="539" t="str">
        <f t="shared" ca="1" si="395"/>
        <v/>
      </c>
      <c r="AG954" s="531" t="str">
        <f t="shared" ca="1" si="396"/>
        <v/>
      </c>
      <c r="AH954" s="531" t="str">
        <f t="shared" ca="1" si="397"/>
        <v/>
      </c>
      <c r="AI954" s="531" t="str">
        <f t="shared" ca="1" si="398"/>
        <v/>
      </c>
      <c r="AJ954" s="531" t="str">
        <f t="shared" si="399"/>
        <v/>
      </c>
      <c r="AK954" s="540">
        <f>SUMIFS('Live Collections'!$S:$S,'Live Collections'!$D:$D,Disbursements!B954,'Live Collections'!$G:$G,Disbursements!C954)</f>
        <v>0</v>
      </c>
      <c r="AL954" s="540">
        <f>SUMIFS('Live Collections'!$T:$T,'Live Collections'!$D:$D,Disbursements!B954,'Live Collections'!$G:$G,Disbursements!C954)</f>
        <v>0</v>
      </c>
      <c r="AM954" s="541">
        <f t="shared" si="400"/>
        <v>0</v>
      </c>
      <c r="AN954" s="542" t="str">
        <f t="shared" si="401"/>
        <v/>
      </c>
      <c r="AO954" s="542" t="str">
        <f t="shared" si="402"/>
        <v/>
      </c>
      <c r="AP954" s="543" t="str">
        <f t="shared" si="403"/>
        <v/>
      </c>
      <c r="AQ954" s="544" t="str">
        <f t="shared" si="404"/>
        <v/>
      </c>
      <c r="AR954" s="545">
        <f t="shared" si="405"/>
        <v>0</v>
      </c>
      <c r="AS954" s="545">
        <f>IFERROR(CEILING($AR954*VLOOKUP($I954,Ref!$B$23:$E$29,4,0),1),0)</f>
        <v>0</v>
      </c>
      <c r="AT954" s="545" t="str">
        <f>IF(A954="","",IF(AP954&lt;=1,"Cleared",IF(AS954=0,"Clean",VLOOKUP($AS954,Ref!$G$23:$H$28,2))))</f>
        <v/>
      </c>
      <c r="AU954" s="546" t="str">
        <f t="shared" si="406"/>
        <v/>
      </c>
    </row>
    <row r="955" spans="1:47" ht="14.25" hidden="1" customHeight="1" x14ac:dyDescent="0.15">
      <c r="A955" s="523"/>
      <c r="B955" s="523"/>
      <c r="C955" s="523"/>
      <c r="D955" s="523"/>
      <c r="E955" s="579"/>
      <c r="F955" s="580"/>
      <c r="G955" s="524"/>
      <c r="H955" s="555"/>
      <c r="I955" s="560"/>
      <c r="J955" s="523"/>
      <c r="K955" s="528" t="str">
        <f>IFERROR(VLOOKUP($B955,'Clients-Live'!$A:$C,3,0),"")</f>
        <v/>
      </c>
      <c r="L955" s="528">
        <f>IF(E955="STL",Pricing!$D$38,IF(A955="",0,IF(A955&lt;Pricing!$C$25,Pricing!$D$25,VLOOKUP(Disbursements!$F955,Pricing!$B$29:$D$32,3))))</f>
        <v>0</v>
      </c>
      <c r="M955" s="528">
        <f>IF(E955="STL",0,IF(F955&gt;0,Pricing!$D$21,0))</f>
        <v>0</v>
      </c>
      <c r="N955" s="529">
        <f>IF(E955="STL",F955*Pricing!$D$40,IF(A955&lt;=Pricing!$C$4,0,IF(AND(A955&gt;Pricing!$C$4,Disbursements!A955&lt;=Pricing!$C$5),F955*Pricing!$E$5,IF(AND(A955&gt;Pricing!$C$5,Disbursements!A955&lt;=Pricing!$C$7),VLOOKUP(F955,Pricing!$D$7:$E$8,2)*Disbursements!F955,F955*Pricing!$E$9))))</f>
        <v>0</v>
      </c>
      <c r="O955" s="528">
        <f>IF(E955="STL",0,IF($F955&gt;0,$F955*Pricing!$D$17,0))</f>
        <v>0</v>
      </c>
      <c r="P955" s="530" t="str">
        <f t="shared" si="386"/>
        <v/>
      </c>
      <c r="Q955" s="531" t="str">
        <f>IF($A955="","",$G955/VLOOKUP($I955,Ref!$B$23:$D$29,2,0))</f>
        <v/>
      </c>
      <c r="R955" s="530" t="str">
        <f t="shared" si="387"/>
        <v/>
      </c>
      <c r="S955" s="532" t="str">
        <f t="shared" si="381"/>
        <v/>
      </c>
      <c r="T955" s="531" t="str">
        <f t="shared" si="388"/>
        <v/>
      </c>
      <c r="U955" s="533">
        <f t="shared" si="389"/>
        <v>0</v>
      </c>
      <c r="V955" s="531" t="str">
        <f t="shared" si="390"/>
        <v/>
      </c>
      <c r="W955" s="531" t="str">
        <f t="shared" si="391"/>
        <v/>
      </c>
      <c r="X955" s="534" t="str">
        <f t="shared" si="392"/>
        <v/>
      </c>
      <c r="Y955" s="535" t="str">
        <f>IF($A955="","",IF($I955="weekly",$A955+7,EDATE($A955,VLOOKUP($I955,Ref!$B$24:$C$29,2,0))))</f>
        <v/>
      </c>
      <c r="Z955" s="536" t="str">
        <f t="shared" si="393"/>
        <v/>
      </c>
      <c r="AA955" s="531">
        <f t="shared" si="394"/>
        <v>0</v>
      </c>
      <c r="AB955" s="535" t="str">
        <f t="shared" si="382"/>
        <v/>
      </c>
      <c r="AC955" s="537" t="str">
        <f t="shared" si="383"/>
        <v/>
      </c>
      <c r="AD955" s="538" t="str">
        <f t="shared" ca="1" si="384"/>
        <v/>
      </c>
      <c r="AE955" s="537">
        <f t="shared" ca="1" si="385"/>
        <v>0</v>
      </c>
      <c r="AF955" s="539" t="str">
        <f t="shared" ca="1" si="395"/>
        <v/>
      </c>
      <c r="AG955" s="531" t="str">
        <f t="shared" ca="1" si="396"/>
        <v/>
      </c>
      <c r="AH955" s="531" t="str">
        <f t="shared" ca="1" si="397"/>
        <v/>
      </c>
      <c r="AI955" s="531" t="str">
        <f t="shared" ca="1" si="398"/>
        <v/>
      </c>
      <c r="AJ955" s="531" t="str">
        <f t="shared" si="399"/>
        <v/>
      </c>
      <c r="AK955" s="540">
        <f>SUMIFS('Live Collections'!$S:$S,'Live Collections'!$D:$D,Disbursements!B955,'Live Collections'!$G:$G,Disbursements!C955)</f>
        <v>0</v>
      </c>
      <c r="AL955" s="540">
        <f>SUMIFS('Live Collections'!$T:$T,'Live Collections'!$D:$D,Disbursements!B955,'Live Collections'!$G:$G,Disbursements!C955)</f>
        <v>0</v>
      </c>
      <c r="AM955" s="541">
        <f t="shared" si="400"/>
        <v>0</v>
      </c>
      <c r="AN955" s="542" t="str">
        <f t="shared" si="401"/>
        <v/>
      </c>
      <c r="AO955" s="542" t="str">
        <f t="shared" si="402"/>
        <v/>
      </c>
      <c r="AP955" s="543" t="str">
        <f t="shared" si="403"/>
        <v/>
      </c>
      <c r="AQ955" s="544" t="str">
        <f t="shared" si="404"/>
        <v/>
      </c>
      <c r="AR955" s="545">
        <f t="shared" si="405"/>
        <v>0</v>
      </c>
      <c r="AS955" s="545">
        <f>IFERROR(CEILING($AR955*VLOOKUP($I955,Ref!$B$23:$E$29,4,0),1),0)</f>
        <v>0</v>
      </c>
      <c r="AT955" s="545" t="str">
        <f>IF(A955="","",IF(AP955&lt;=1,"Cleared",IF(AS955=0,"Clean",VLOOKUP($AS955,Ref!$G$23:$H$28,2))))</f>
        <v/>
      </c>
      <c r="AU955" s="546" t="str">
        <f t="shared" si="406"/>
        <v/>
      </c>
    </row>
    <row r="956" spans="1:47" ht="14.25" hidden="1" customHeight="1" x14ac:dyDescent="0.15">
      <c r="A956" s="523"/>
      <c r="B956" s="523"/>
      <c r="C956" s="523"/>
      <c r="D956" s="523"/>
      <c r="E956" s="579"/>
      <c r="F956" s="580"/>
      <c r="G956" s="524"/>
      <c r="H956" s="555"/>
      <c r="I956" s="560"/>
      <c r="J956" s="523"/>
      <c r="K956" s="528" t="str">
        <f>IFERROR(VLOOKUP($B956,'Clients-Live'!$A:$C,3,0),"")</f>
        <v/>
      </c>
      <c r="L956" s="528">
        <f>IF(E956="STL",Pricing!$D$38,IF(A956="",0,IF(A956&lt;Pricing!$C$25,Pricing!$D$25,VLOOKUP(Disbursements!$F956,Pricing!$B$29:$D$32,3))))</f>
        <v>0</v>
      </c>
      <c r="M956" s="528">
        <f>IF(E956="STL",0,IF(F956&gt;0,Pricing!$D$21,0))</f>
        <v>0</v>
      </c>
      <c r="N956" s="529">
        <f>IF(E956="STL",F956*Pricing!$D$40,IF(A956&lt;=Pricing!$C$4,0,IF(AND(A956&gt;Pricing!$C$4,Disbursements!A956&lt;=Pricing!$C$5),F956*Pricing!$E$5,IF(AND(A956&gt;Pricing!$C$5,Disbursements!A956&lt;=Pricing!$C$7),VLOOKUP(F956,Pricing!$D$7:$E$8,2)*Disbursements!F956,F956*Pricing!$E$9))))</f>
        <v>0</v>
      </c>
      <c r="O956" s="528">
        <f>IF(E956="STL",0,IF($F956&gt;0,$F956*Pricing!$D$17,0))</f>
        <v>0</v>
      </c>
      <c r="P956" s="530" t="str">
        <f t="shared" si="386"/>
        <v/>
      </c>
      <c r="Q956" s="531" t="str">
        <f>IF($A956="","",$G956/VLOOKUP($I956,Ref!$B$23:$D$29,2,0))</f>
        <v/>
      </c>
      <c r="R956" s="530" t="str">
        <f t="shared" si="387"/>
        <v/>
      </c>
      <c r="S956" s="532" t="str">
        <f t="shared" si="381"/>
        <v/>
      </c>
      <c r="T956" s="531" t="str">
        <f t="shared" si="388"/>
        <v/>
      </c>
      <c r="U956" s="533">
        <f t="shared" si="389"/>
        <v>0</v>
      </c>
      <c r="V956" s="531" t="str">
        <f t="shared" si="390"/>
        <v/>
      </c>
      <c r="W956" s="531" t="str">
        <f t="shared" si="391"/>
        <v/>
      </c>
      <c r="X956" s="534" t="str">
        <f t="shared" si="392"/>
        <v/>
      </c>
      <c r="Y956" s="535" t="str">
        <f>IF($A956="","",IF($I956="weekly",$A956+7,EDATE($A956,VLOOKUP($I956,Ref!$B$24:$C$29,2,0))))</f>
        <v/>
      </c>
      <c r="Z956" s="536" t="str">
        <f t="shared" si="393"/>
        <v/>
      </c>
      <c r="AA956" s="531">
        <f t="shared" si="394"/>
        <v>0</v>
      </c>
      <c r="AB956" s="535" t="str">
        <f t="shared" si="382"/>
        <v/>
      </c>
      <c r="AC956" s="537" t="str">
        <f t="shared" si="383"/>
        <v/>
      </c>
      <c r="AD956" s="538" t="str">
        <f t="shared" ca="1" si="384"/>
        <v/>
      </c>
      <c r="AE956" s="537">
        <f t="shared" ca="1" si="385"/>
        <v>0</v>
      </c>
      <c r="AF956" s="539" t="str">
        <f t="shared" ca="1" si="395"/>
        <v/>
      </c>
      <c r="AG956" s="531" t="str">
        <f t="shared" ca="1" si="396"/>
        <v/>
      </c>
      <c r="AH956" s="531" t="str">
        <f t="shared" ca="1" si="397"/>
        <v/>
      </c>
      <c r="AI956" s="531" t="str">
        <f t="shared" ca="1" si="398"/>
        <v/>
      </c>
      <c r="AJ956" s="531" t="str">
        <f t="shared" si="399"/>
        <v/>
      </c>
      <c r="AK956" s="540">
        <f>SUMIFS('Live Collections'!$S:$S,'Live Collections'!$D:$D,Disbursements!B956,'Live Collections'!$G:$G,Disbursements!C956)</f>
        <v>0</v>
      </c>
      <c r="AL956" s="540">
        <f>SUMIFS('Live Collections'!$T:$T,'Live Collections'!$D:$D,Disbursements!B956,'Live Collections'!$G:$G,Disbursements!C956)</f>
        <v>0</v>
      </c>
      <c r="AM956" s="541">
        <f t="shared" si="400"/>
        <v>0</v>
      </c>
      <c r="AN956" s="542" t="str">
        <f t="shared" si="401"/>
        <v/>
      </c>
      <c r="AO956" s="542" t="str">
        <f t="shared" si="402"/>
        <v/>
      </c>
      <c r="AP956" s="543" t="str">
        <f t="shared" si="403"/>
        <v/>
      </c>
      <c r="AQ956" s="544" t="str">
        <f t="shared" si="404"/>
        <v/>
      </c>
      <c r="AR956" s="545">
        <f t="shared" si="405"/>
        <v>0</v>
      </c>
      <c r="AS956" s="545">
        <f>IFERROR(CEILING($AR956*VLOOKUP($I956,Ref!$B$23:$E$29,4,0),1),0)</f>
        <v>0</v>
      </c>
      <c r="AT956" s="545" t="str">
        <f>IF(A956="","",IF(AP956&lt;=1,"Cleared",IF(AS956=0,"Clean",VLOOKUP($AS956,Ref!$G$23:$H$28,2))))</f>
        <v/>
      </c>
      <c r="AU956" s="546" t="str">
        <f t="shared" si="406"/>
        <v/>
      </c>
    </row>
    <row r="957" spans="1:47" ht="14.25" hidden="1" customHeight="1" x14ac:dyDescent="0.15">
      <c r="A957" s="523"/>
      <c r="B957" s="523"/>
      <c r="C957" s="523"/>
      <c r="D957" s="523"/>
      <c r="E957" s="579"/>
      <c r="F957" s="580"/>
      <c r="G957" s="524"/>
      <c r="H957" s="555"/>
      <c r="I957" s="560"/>
      <c r="J957" s="523"/>
      <c r="K957" s="528" t="str">
        <f>IFERROR(VLOOKUP($B957,'Clients-Live'!$A:$C,3,0),"")</f>
        <v/>
      </c>
      <c r="L957" s="528">
        <f>IF(E957="STL",Pricing!$D$38,IF(A957="",0,IF(A957&lt;Pricing!$C$25,Pricing!$D$25,VLOOKUP(Disbursements!$F957,Pricing!$B$29:$D$32,3))))</f>
        <v>0</v>
      </c>
      <c r="M957" s="528">
        <f>IF(E957="STL",0,IF(F957&gt;0,Pricing!$D$21,0))</f>
        <v>0</v>
      </c>
      <c r="N957" s="529">
        <f>IF(E957="STL",F957*Pricing!$D$40,IF(A957&lt;=Pricing!$C$4,0,IF(AND(A957&gt;Pricing!$C$4,Disbursements!A957&lt;=Pricing!$C$5),F957*Pricing!$E$5,IF(AND(A957&gt;Pricing!$C$5,Disbursements!A957&lt;=Pricing!$C$7),VLOOKUP(F957,Pricing!$D$7:$E$8,2)*Disbursements!F957,F957*Pricing!$E$9))))</f>
        <v>0</v>
      </c>
      <c r="O957" s="528">
        <f>IF(E957="STL",0,IF($F957&gt;0,$F957*Pricing!$D$17,0))</f>
        <v>0</v>
      </c>
      <c r="P957" s="530" t="str">
        <f t="shared" si="386"/>
        <v/>
      </c>
      <c r="Q957" s="531" t="str">
        <f>IF($A957="","",$G957/VLOOKUP($I957,Ref!$B$23:$D$29,2,0))</f>
        <v/>
      </c>
      <c r="R957" s="530" t="str">
        <f t="shared" si="387"/>
        <v/>
      </c>
      <c r="S957" s="532" t="str">
        <f t="shared" si="381"/>
        <v/>
      </c>
      <c r="T957" s="531" t="str">
        <f t="shared" si="388"/>
        <v/>
      </c>
      <c r="U957" s="533">
        <f t="shared" si="389"/>
        <v>0</v>
      </c>
      <c r="V957" s="531" t="str">
        <f t="shared" si="390"/>
        <v/>
      </c>
      <c r="W957" s="531" t="str">
        <f t="shared" si="391"/>
        <v/>
      </c>
      <c r="X957" s="534" t="str">
        <f t="shared" si="392"/>
        <v/>
      </c>
      <c r="Y957" s="535" t="str">
        <f>IF($A957="","",IF($I957="weekly",$A957+7,EDATE($A957,VLOOKUP($I957,Ref!$B$24:$C$29,2,0))))</f>
        <v/>
      </c>
      <c r="Z957" s="536" t="str">
        <f t="shared" si="393"/>
        <v/>
      </c>
      <c r="AA957" s="531">
        <f t="shared" si="394"/>
        <v>0</v>
      </c>
      <c r="AB957" s="535" t="str">
        <f t="shared" si="382"/>
        <v/>
      </c>
      <c r="AC957" s="537" t="str">
        <f t="shared" si="383"/>
        <v/>
      </c>
      <c r="AD957" s="538" t="str">
        <f t="shared" ca="1" si="384"/>
        <v/>
      </c>
      <c r="AE957" s="537">
        <f t="shared" ca="1" si="385"/>
        <v>0</v>
      </c>
      <c r="AF957" s="539" t="str">
        <f t="shared" ca="1" si="395"/>
        <v/>
      </c>
      <c r="AG957" s="531" t="str">
        <f t="shared" ca="1" si="396"/>
        <v/>
      </c>
      <c r="AH957" s="531" t="str">
        <f t="shared" ca="1" si="397"/>
        <v/>
      </c>
      <c r="AI957" s="531" t="str">
        <f t="shared" ca="1" si="398"/>
        <v/>
      </c>
      <c r="AJ957" s="531" t="str">
        <f t="shared" si="399"/>
        <v/>
      </c>
      <c r="AK957" s="540">
        <f>SUMIFS('Live Collections'!$S:$S,'Live Collections'!$D:$D,Disbursements!B957,'Live Collections'!$G:$G,Disbursements!C957)</f>
        <v>0</v>
      </c>
      <c r="AL957" s="540">
        <f>SUMIFS('Live Collections'!$T:$T,'Live Collections'!$D:$D,Disbursements!B957,'Live Collections'!$G:$G,Disbursements!C957)</f>
        <v>0</v>
      </c>
      <c r="AM957" s="541">
        <f t="shared" si="400"/>
        <v>0</v>
      </c>
      <c r="AN957" s="542" t="str">
        <f t="shared" si="401"/>
        <v/>
      </c>
      <c r="AO957" s="542" t="str">
        <f t="shared" si="402"/>
        <v/>
      </c>
      <c r="AP957" s="543" t="str">
        <f t="shared" si="403"/>
        <v/>
      </c>
      <c r="AQ957" s="544" t="str">
        <f t="shared" si="404"/>
        <v/>
      </c>
      <c r="AR957" s="545">
        <f t="shared" si="405"/>
        <v>0</v>
      </c>
      <c r="AS957" s="545">
        <f>IFERROR(CEILING($AR957*VLOOKUP($I957,Ref!$B$23:$E$29,4,0),1),0)</f>
        <v>0</v>
      </c>
      <c r="AT957" s="545" t="str">
        <f>IF(A957="","",IF(AP957&lt;=1,"Cleared",IF(AS957=0,"Clean",VLOOKUP($AS957,Ref!$G$23:$H$28,2))))</f>
        <v/>
      </c>
      <c r="AU957" s="546" t="str">
        <f t="shared" si="406"/>
        <v/>
      </c>
    </row>
    <row r="958" spans="1:47" ht="14.25" hidden="1" customHeight="1" x14ac:dyDescent="0.15">
      <c r="A958" s="523"/>
      <c r="B958" s="523"/>
      <c r="C958" s="523"/>
      <c r="D958" s="523"/>
      <c r="E958" s="579"/>
      <c r="F958" s="580"/>
      <c r="G958" s="524"/>
      <c r="H958" s="555"/>
      <c r="I958" s="560"/>
      <c r="J958" s="523"/>
      <c r="K958" s="528" t="str">
        <f>IFERROR(VLOOKUP($B958,'Clients-Live'!$A:$C,3,0),"")</f>
        <v/>
      </c>
      <c r="L958" s="528">
        <f>IF(E958="STL",Pricing!$D$38,IF(A958="",0,IF(A958&lt;Pricing!$C$25,Pricing!$D$25,VLOOKUP(Disbursements!$F958,Pricing!$B$29:$D$32,3))))</f>
        <v>0</v>
      </c>
      <c r="M958" s="528">
        <f>IF(E958="STL",0,IF(F958&gt;0,Pricing!$D$21,0))</f>
        <v>0</v>
      </c>
      <c r="N958" s="529">
        <f>IF(E958="STL",F958*Pricing!$D$40,IF(A958&lt;=Pricing!$C$4,0,IF(AND(A958&gt;Pricing!$C$4,Disbursements!A958&lt;=Pricing!$C$5),F958*Pricing!$E$5,IF(AND(A958&gt;Pricing!$C$5,Disbursements!A958&lt;=Pricing!$C$7),VLOOKUP(F958,Pricing!$D$7:$E$8,2)*Disbursements!F958,F958*Pricing!$E$9))))</f>
        <v>0</v>
      </c>
      <c r="O958" s="528">
        <f>IF(E958="STL",0,IF($F958&gt;0,$F958*Pricing!$D$17,0))</f>
        <v>0</v>
      </c>
      <c r="P958" s="530" t="str">
        <f t="shared" si="386"/>
        <v/>
      </c>
      <c r="Q958" s="531" t="str">
        <f>IF($A958="","",$G958/VLOOKUP($I958,Ref!$B$23:$D$29,2,0))</f>
        <v/>
      </c>
      <c r="R958" s="530" t="str">
        <f t="shared" si="387"/>
        <v/>
      </c>
      <c r="S958" s="532" t="str">
        <f t="shared" si="381"/>
        <v/>
      </c>
      <c r="T958" s="531" t="str">
        <f t="shared" si="388"/>
        <v/>
      </c>
      <c r="U958" s="533">
        <f t="shared" si="389"/>
        <v>0</v>
      </c>
      <c r="V958" s="531" t="str">
        <f t="shared" si="390"/>
        <v/>
      </c>
      <c r="W958" s="531" t="str">
        <f t="shared" si="391"/>
        <v/>
      </c>
      <c r="X958" s="534" t="str">
        <f t="shared" si="392"/>
        <v/>
      </c>
      <c r="Y958" s="535" t="str">
        <f>IF($A958="","",IF($I958="weekly",$A958+7,EDATE($A958,VLOOKUP($I958,Ref!$B$24:$C$29,2,0))))</f>
        <v/>
      </c>
      <c r="Z958" s="536" t="str">
        <f t="shared" si="393"/>
        <v/>
      </c>
      <c r="AA958" s="531">
        <f t="shared" si="394"/>
        <v>0</v>
      </c>
      <c r="AB958" s="535" t="str">
        <f t="shared" si="382"/>
        <v/>
      </c>
      <c r="AC958" s="537" t="str">
        <f t="shared" si="383"/>
        <v/>
      </c>
      <c r="AD958" s="538" t="str">
        <f t="shared" ca="1" si="384"/>
        <v/>
      </c>
      <c r="AE958" s="537">
        <f t="shared" ca="1" si="385"/>
        <v>0</v>
      </c>
      <c r="AF958" s="539" t="str">
        <f t="shared" ca="1" si="395"/>
        <v/>
      </c>
      <c r="AG958" s="531" t="str">
        <f t="shared" ca="1" si="396"/>
        <v/>
      </c>
      <c r="AH958" s="531" t="str">
        <f t="shared" ca="1" si="397"/>
        <v/>
      </c>
      <c r="AI958" s="531" t="str">
        <f t="shared" ca="1" si="398"/>
        <v/>
      </c>
      <c r="AJ958" s="531" t="str">
        <f t="shared" si="399"/>
        <v/>
      </c>
      <c r="AK958" s="540">
        <f>SUMIFS('Live Collections'!$S:$S,'Live Collections'!$D:$D,Disbursements!B958,'Live Collections'!$G:$G,Disbursements!C958)</f>
        <v>0</v>
      </c>
      <c r="AL958" s="540">
        <f>SUMIFS('Live Collections'!$T:$T,'Live Collections'!$D:$D,Disbursements!B958,'Live Collections'!$G:$G,Disbursements!C958)</f>
        <v>0</v>
      </c>
      <c r="AM958" s="541">
        <f t="shared" si="400"/>
        <v>0</v>
      </c>
      <c r="AN958" s="542" t="str">
        <f t="shared" si="401"/>
        <v/>
      </c>
      <c r="AO958" s="542" t="str">
        <f t="shared" si="402"/>
        <v/>
      </c>
      <c r="AP958" s="543" t="str">
        <f t="shared" si="403"/>
        <v/>
      </c>
      <c r="AQ958" s="544" t="str">
        <f t="shared" si="404"/>
        <v/>
      </c>
      <c r="AR958" s="545">
        <f t="shared" si="405"/>
        <v>0</v>
      </c>
      <c r="AS958" s="545">
        <f>IFERROR(CEILING($AR958*VLOOKUP($I958,Ref!$B$23:$E$29,4,0),1),0)</f>
        <v>0</v>
      </c>
      <c r="AT958" s="545" t="str">
        <f>IF(A958="","",IF(AP958&lt;=1,"Cleared",IF(AS958=0,"Clean",VLOOKUP($AS958,Ref!$G$23:$H$28,2))))</f>
        <v/>
      </c>
      <c r="AU958" s="546" t="str">
        <f t="shared" si="406"/>
        <v/>
      </c>
    </row>
    <row r="959" spans="1:47" ht="14.25" hidden="1" customHeight="1" x14ac:dyDescent="0.15">
      <c r="A959" s="523"/>
      <c r="B959" s="523"/>
      <c r="C959" s="523"/>
      <c r="D959" s="523"/>
      <c r="E959" s="579"/>
      <c r="F959" s="580"/>
      <c r="G959" s="524"/>
      <c r="H959" s="555"/>
      <c r="I959" s="560"/>
      <c r="J959" s="523"/>
      <c r="K959" s="528" t="str">
        <f>IFERROR(VLOOKUP($B959,'Clients-Live'!$A:$C,3,0),"")</f>
        <v/>
      </c>
      <c r="L959" s="528">
        <f>IF(E959="STL",Pricing!$D$38,IF(A959="",0,IF(A959&lt;Pricing!$C$25,Pricing!$D$25,VLOOKUP(Disbursements!$F959,Pricing!$B$29:$D$32,3))))</f>
        <v>0</v>
      </c>
      <c r="M959" s="528">
        <f>IF(E959="STL",0,IF(F959&gt;0,Pricing!$D$21,0))</f>
        <v>0</v>
      </c>
      <c r="N959" s="529">
        <f>IF(E959="STL",F959*Pricing!$D$40,IF(A959&lt;=Pricing!$C$4,0,IF(AND(A959&gt;Pricing!$C$4,Disbursements!A959&lt;=Pricing!$C$5),F959*Pricing!$E$5,IF(AND(A959&gt;Pricing!$C$5,Disbursements!A959&lt;=Pricing!$C$7),VLOOKUP(F959,Pricing!$D$7:$E$8,2)*Disbursements!F959,F959*Pricing!$E$9))))</f>
        <v>0</v>
      </c>
      <c r="O959" s="528">
        <f>IF(E959="STL",0,IF($F959&gt;0,$F959*Pricing!$D$17,0))</f>
        <v>0</v>
      </c>
      <c r="P959" s="530" t="str">
        <f t="shared" si="386"/>
        <v/>
      </c>
      <c r="Q959" s="531" t="str">
        <f>IF($A959="","",$G959/VLOOKUP($I959,Ref!$B$23:$D$29,2,0))</f>
        <v/>
      </c>
      <c r="R959" s="530" t="str">
        <f t="shared" si="387"/>
        <v/>
      </c>
      <c r="S959" s="532" t="str">
        <f t="shared" si="381"/>
        <v/>
      </c>
      <c r="T959" s="531" t="str">
        <f t="shared" si="388"/>
        <v/>
      </c>
      <c r="U959" s="533">
        <f t="shared" si="389"/>
        <v>0</v>
      </c>
      <c r="V959" s="531" t="str">
        <f t="shared" si="390"/>
        <v/>
      </c>
      <c r="W959" s="531" t="str">
        <f t="shared" si="391"/>
        <v/>
      </c>
      <c r="X959" s="534" t="str">
        <f t="shared" si="392"/>
        <v/>
      </c>
      <c r="Y959" s="535" t="str">
        <f>IF($A959="","",IF($I959="weekly",$A959+7,EDATE($A959,VLOOKUP($I959,Ref!$B$24:$C$29,2,0))))</f>
        <v/>
      </c>
      <c r="Z959" s="536" t="str">
        <f t="shared" si="393"/>
        <v/>
      </c>
      <c r="AA959" s="531">
        <f t="shared" si="394"/>
        <v>0</v>
      </c>
      <c r="AB959" s="535" t="str">
        <f t="shared" si="382"/>
        <v/>
      </c>
      <c r="AC959" s="537" t="str">
        <f t="shared" si="383"/>
        <v/>
      </c>
      <c r="AD959" s="538" t="str">
        <f t="shared" ca="1" si="384"/>
        <v/>
      </c>
      <c r="AE959" s="537">
        <f t="shared" ca="1" si="385"/>
        <v>0</v>
      </c>
      <c r="AF959" s="539" t="str">
        <f t="shared" ca="1" si="395"/>
        <v/>
      </c>
      <c r="AG959" s="531" t="str">
        <f t="shared" ca="1" si="396"/>
        <v/>
      </c>
      <c r="AH959" s="531" t="str">
        <f t="shared" ca="1" si="397"/>
        <v/>
      </c>
      <c r="AI959" s="531" t="str">
        <f t="shared" ca="1" si="398"/>
        <v/>
      </c>
      <c r="AJ959" s="531" t="str">
        <f t="shared" si="399"/>
        <v/>
      </c>
      <c r="AK959" s="540">
        <f>SUMIFS('Live Collections'!$S:$S,'Live Collections'!$D:$D,Disbursements!B959,'Live Collections'!$G:$G,Disbursements!C959)</f>
        <v>0</v>
      </c>
      <c r="AL959" s="540">
        <f>SUMIFS('Live Collections'!$T:$T,'Live Collections'!$D:$D,Disbursements!B959,'Live Collections'!$G:$G,Disbursements!C959)</f>
        <v>0</v>
      </c>
      <c r="AM959" s="541">
        <f t="shared" si="400"/>
        <v>0</v>
      </c>
      <c r="AN959" s="542" t="str">
        <f t="shared" si="401"/>
        <v/>
      </c>
      <c r="AO959" s="542" t="str">
        <f t="shared" si="402"/>
        <v/>
      </c>
      <c r="AP959" s="543" t="str">
        <f t="shared" si="403"/>
        <v/>
      </c>
      <c r="AQ959" s="544" t="str">
        <f t="shared" si="404"/>
        <v/>
      </c>
      <c r="AR959" s="545">
        <f t="shared" si="405"/>
        <v>0</v>
      </c>
      <c r="AS959" s="545">
        <f>IFERROR(CEILING($AR959*VLOOKUP($I959,Ref!$B$23:$E$29,4,0),1),0)</f>
        <v>0</v>
      </c>
      <c r="AT959" s="545" t="str">
        <f>IF(A959="","",IF(AP959&lt;=1,"Cleared",IF(AS959=0,"Clean",VLOOKUP($AS959,Ref!$G$23:$H$28,2))))</f>
        <v/>
      </c>
      <c r="AU959" s="546" t="str">
        <f t="shared" si="406"/>
        <v/>
      </c>
    </row>
    <row r="960" spans="1:47" ht="14.25" hidden="1" customHeight="1" x14ac:dyDescent="0.15">
      <c r="A960" s="523"/>
      <c r="B960" s="523"/>
      <c r="C960" s="523"/>
      <c r="D960" s="523"/>
      <c r="E960" s="579"/>
      <c r="F960" s="580"/>
      <c r="G960" s="524"/>
      <c r="H960" s="555"/>
      <c r="I960" s="560"/>
      <c r="J960" s="523"/>
      <c r="K960" s="528" t="str">
        <f>IFERROR(VLOOKUP($B960,'Clients-Live'!$A:$C,3,0),"")</f>
        <v/>
      </c>
      <c r="L960" s="528">
        <f>IF(E960="STL",Pricing!$D$38,IF(A960="",0,IF(A960&lt;Pricing!$C$25,Pricing!$D$25,VLOOKUP(Disbursements!$F960,Pricing!$B$29:$D$32,3))))</f>
        <v>0</v>
      </c>
      <c r="M960" s="528">
        <f>IF(E960="STL",0,IF(F960&gt;0,Pricing!$D$21,0))</f>
        <v>0</v>
      </c>
      <c r="N960" s="529">
        <f>IF(E960="STL",F960*Pricing!$D$40,IF(A960&lt;=Pricing!$C$4,0,IF(AND(A960&gt;Pricing!$C$4,Disbursements!A960&lt;=Pricing!$C$5),F960*Pricing!$E$5,IF(AND(A960&gt;Pricing!$C$5,Disbursements!A960&lt;=Pricing!$C$7),VLOOKUP(F960,Pricing!$D$7:$E$8,2)*Disbursements!F960,F960*Pricing!$E$9))))</f>
        <v>0</v>
      </c>
      <c r="O960" s="528">
        <f>IF(E960="STL",0,IF($F960&gt;0,$F960*Pricing!$D$17,0))</f>
        <v>0</v>
      </c>
      <c r="P960" s="530" t="str">
        <f t="shared" si="386"/>
        <v/>
      </c>
      <c r="Q960" s="531" t="str">
        <f>IF($A960="","",$G960/VLOOKUP($I960,Ref!$B$23:$D$29,2,0))</f>
        <v/>
      </c>
      <c r="R960" s="530" t="str">
        <f t="shared" si="387"/>
        <v/>
      </c>
      <c r="S960" s="532" t="str">
        <f t="shared" si="381"/>
        <v/>
      </c>
      <c r="T960" s="531" t="str">
        <f t="shared" si="388"/>
        <v/>
      </c>
      <c r="U960" s="533">
        <f t="shared" si="389"/>
        <v>0</v>
      </c>
      <c r="V960" s="531" t="str">
        <f t="shared" si="390"/>
        <v/>
      </c>
      <c r="W960" s="531" t="str">
        <f t="shared" si="391"/>
        <v/>
      </c>
      <c r="X960" s="534" t="str">
        <f t="shared" si="392"/>
        <v/>
      </c>
      <c r="Y960" s="535" t="str">
        <f>IF($A960="","",IF($I960="weekly",$A960+7,EDATE($A960,VLOOKUP($I960,Ref!$B$24:$C$29,2,0))))</f>
        <v/>
      </c>
      <c r="Z960" s="536" t="str">
        <f t="shared" si="393"/>
        <v/>
      </c>
      <c r="AA960" s="531">
        <f t="shared" si="394"/>
        <v>0</v>
      </c>
      <c r="AB960" s="535" t="str">
        <f t="shared" si="382"/>
        <v/>
      </c>
      <c r="AC960" s="537" t="str">
        <f t="shared" si="383"/>
        <v/>
      </c>
      <c r="AD960" s="538" t="str">
        <f t="shared" ca="1" si="384"/>
        <v/>
      </c>
      <c r="AE960" s="537">
        <f t="shared" ca="1" si="385"/>
        <v>0</v>
      </c>
      <c r="AF960" s="539" t="str">
        <f t="shared" ca="1" si="395"/>
        <v/>
      </c>
      <c r="AG960" s="531" t="str">
        <f t="shared" ca="1" si="396"/>
        <v/>
      </c>
      <c r="AH960" s="531" t="str">
        <f t="shared" ca="1" si="397"/>
        <v/>
      </c>
      <c r="AI960" s="531" t="str">
        <f t="shared" ca="1" si="398"/>
        <v/>
      </c>
      <c r="AJ960" s="531" t="str">
        <f t="shared" si="399"/>
        <v/>
      </c>
      <c r="AK960" s="540">
        <f>SUMIFS('Live Collections'!$S:$S,'Live Collections'!$D:$D,Disbursements!B960,'Live Collections'!$G:$G,Disbursements!C960)</f>
        <v>0</v>
      </c>
      <c r="AL960" s="540">
        <f>SUMIFS('Live Collections'!$T:$T,'Live Collections'!$D:$D,Disbursements!B960,'Live Collections'!$G:$G,Disbursements!C960)</f>
        <v>0</v>
      </c>
      <c r="AM960" s="541">
        <f t="shared" si="400"/>
        <v>0</v>
      </c>
      <c r="AN960" s="542" t="str">
        <f t="shared" si="401"/>
        <v/>
      </c>
      <c r="AO960" s="542" t="str">
        <f t="shared" si="402"/>
        <v/>
      </c>
      <c r="AP960" s="543" t="str">
        <f t="shared" si="403"/>
        <v/>
      </c>
      <c r="AQ960" s="544" t="str">
        <f t="shared" si="404"/>
        <v/>
      </c>
      <c r="AR960" s="545">
        <f t="shared" si="405"/>
        <v>0</v>
      </c>
      <c r="AS960" s="545">
        <f>IFERROR(CEILING($AR960*VLOOKUP($I960,Ref!$B$23:$E$29,4,0),1),0)</f>
        <v>0</v>
      </c>
      <c r="AT960" s="545" t="str">
        <f>IF(A960="","",IF(AP960&lt;=1,"Cleared",IF(AS960=0,"Clean",VLOOKUP($AS960,Ref!$G$23:$H$28,2))))</f>
        <v/>
      </c>
      <c r="AU960" s="546" t="str">
        <f t="shared" si="406"/>
        <v/>
      </c>
    </row>
    <row r="961" spans="1:47" ht="14.25" hidden="1" customHeight="1" x14ac:dyDescent="0.15">
      <c r="A961" s="523"/>
      <c r="B961" s="523"/>
      <c r="C961" s="523"/>
      <c r="D961" s="523"/>
      <c r="E961" s="579"/>
      <c r="F961" s="580"/>
      <c r="G961" s="524"/>
      <c r="H961" s="555"/>
      <c r="I961" s="560"/>
      <c r="J961" s="523"/>
      <c r="K961" s="528" t="str">
        <f>IFERROR(VLOOKUP($B961,'Clients-Live'!$A:$C,3,0),"")</f>
        <v/>
      </c>
      <c r="L961" s="528">
        <f>IF(E961="STL",Pricing!$D$38,IF(A961="",0,IF(A961&lt;Pricing!$C$25,Pricing!$D$25,VLOOKUP(Disbursements!$F961,Pricing!$B$29:$D$32,3))))</f>
        <v>0</v>
      </c>
      <c r="M961" s="528">
        <f>IF(E961="STL",0,IF(F961&gt;0,Pricing!$D$21,0))</f>
        <v>0</v>
      </c>
      <c r="N961" s="529">
        <f>IF(E961="STL",F961*Pricing!$D$40,IF(A961&lt;=Pricing!$C$4,0,IF(AND(A961&gt;Pricing!$C$4,Disbursements!A961&lt;=Pricing!$C$5),F961*Pricing!$E$5,IF(AND(A961&gt;Pricing!$C$5,Disbursements!A961&lt;=Pricing!$C$7),VLOOKUP(F961,Pricing!$D$7:$E$8,2)*Disbursements!F961,F961*Pricing!$E$9))))</f>
        <v>0</v>
      </c>
      <c r="O961" s="528">
        <f>IF(E961="STL",0,IF($F961&gt;0,$F961*Pricing!$D$17,0))</f>
        <v>0</v>
      </c>
      <c r="P961" s="530" t="str">
        <f t="shared" si="386"/>
        <v/>
      </c>
      <c r="Q961" s="531" t="str">
        <f>IF($A961="","",$G961/VLOOKUP($I961,Ref!$B$23:$D$29,2,0))</f>
        <v/>
      </c>
      <c r="R961" s="530" t="str">
        <f t="shared" si="387"/>
        <v/>
      </c>
      <c r="S961" s="532" t="str">
        <f t="shared" si="381"/>
        <v/>
      </c>
      <c r="T961" s="531" t="str">
        <f t="shared" si="388"/>
        <v/>
      </c>
      <c r="U961" s="533">
        <f t="shared" si="389"/>
        <v>0</v>
      </c>
      <c r="V961" s="531" t="str">
        <f t="shared" si="390"/>
        <v/>
      </c>
      <c r="W961" s="531" t="str">
        <f t="shared" si="391"/>
        <v/>
      </c>
      <c r="X961" s="534" t="str">
        <f t="shared" si="392"/>
        <v/>
      </c>
      <c r="Y961" s="535" t="str">
        <f>IF($A961="","",IF($I961="weekly",$A961+7,EDATE($A961,VLOOKUP($I961,Ref!$B$24:$C$29,2,0))))</f>
        <v/>
      </c>
      <c r="Z961" s="536" t="str">
        <f t="shared" si="393"/>
        <v/>
      </c>
      <c r="AA961" s="531">
        <f t="shared" si="394"/>
        <v>0</v>
      </c>
      <c r="AB961" s="535" t="str">
        <f t="shared" si="382"/>
        <v/>
      </c>
      <c r="AC961" s="537" t="str">
        <f t="shared" si="383"/>
        <v/>
      </c>
      <c r="AD961" s="538" t="str">
        <f t="shared" ca="1" si="384"/>
        <v/>
      </c>
      <c r="AE961" s="537">
        <f t="shared" ca="1" si="385"/>
        <v>0</v>
      </c>
      <c r="AF961" s="539" t="str">
        <f t="shared" ca="1" si="395"/>
        <v/>
      </c>
      <c r="AG961" s="531" t="str">
        <f t="shared" ca="1" si="396"/>
        <v/>
      </c>
      <c r="AH961" s="531" t="str">
        <f t="shared" ca="1" si="397"/>
        <v/>
      </c>
      <c r="AI961" s="531" t="str">
        <f t="shared" ca="1" si="398"/>
        <v/>
      </c>
      <c r="AJ961" s="531" t="str">
        <f t="shared" si="399"/>
        <v/>
      </c>
      <c r="AK961" s="540">
        <f>SUMIFS('Live Collections'!$S:$S,'Live Collections'!$D:$D,Disbursements!B961,'Live Collections'!$G:$G,Disbursements!C961)</f>
        <v>0</v>
      </c>
      <c r="AL961" s="540">
        <f>SUMIFS('Live Collections'!$T:$T,'Live Collections'!$D:$D,Disbursements!B961,'Live Collections'!$G:$G,Disbursements!C961)</f>
        <v>0</v>
      </c>
      <c r="AM961" s="541">
        <f t="shared" si="400"/>
        <v>0</v>
      </c>
      <c r="AN961" s="542" t="str">
        <f t="shared" si="401"/>
        <v/>
      </c>
      <c r="AO961" s="542" t="str">
        <f t="shared" si="402"/>
        <v/>
      </c>
      <c r="AP961" s="543" t="str">
        <f t="shared" si="403"/>
        <v/>
      </c>
      <c r="AQ961" s="544" t="str">
        <f t="shared" si="404"/>
        <v/>
      </c>
      <c r="AR961" s="545">
        <f t="shared" si="405"/>
        <v>0</v>
      </c>
      <c r="AS961" s="545">
        <f>IFERROR(CEILING($AR961*VLOOKUP($I961,Ref!$B$23:$E$29,4,0),1),0)</f>
        <v>0</v>
      </c>
      <c r="AT961" s="545" t="str">
        <f>IF(A961="","",IF(AP961&lt;=1,"Cleared",IF(AS961=0,"Clean",VLOOKUP($AS961,Ref!$G$23:$H$28,2))))</f>
        <v/>
      </c>
      <c r="AU961" s="546" t="str">
        <f t="shared" si="406"/>
        <v/>
      </c>
    </row>
    <row r="962" spans="1:47" ht="14.25" hidden="1" customHeight="1" x14ac:dyDescent="0.15">
      <c r="A962" s="523"/>
      <c r="B962" s="523"/>
      <c r="C962" s="523"/>
      <c r="D962" s="523"/>
      <c r="E962" s="579"/>
      <c r="F962" s="580"/>
      <c r="G962" s="524"/>
      <c r="H962" s="555"/>
      <c r="I962" s="560"/>
      <c r="J962" s="523"/>
      <c r="K962" s="528" t="str">
        <f>IFERROR(VLOOKUP($B962,'Clients-Live'!$A:$C,3,0),"")</f>
        <v/>
      </c>
      <c r="L962" s="528">
        <f>IF(E962="STL",Pricing!$D$38,IF(A962="",0,IF(A962&lt;Pricing!$C$25,Pricing!$D$25,VLOOKUP(Disbursements!$F962,Pricing!$B$29:$D$32,3))))</f>
        <v>0</v>
      </c>
      <c r="M962" s="528">
        <f>IF(E962="STL",0,IF(F962&gt;0,Pricing!$D$21,0))</f>
        <v>0</v>
      </c>
      <c r="N962" s="529">
        <f>IF(E962="STL",F962*Pricing!$D$40,IF(A962&lt;=Pricing!$C$4,0,IF(AND(A962&gt;Pricing!$C$4,Disbursements!A962&lt;=Pricing!$C$5),F962*Pricing!$E$5,IF(AND(A962&gt;Pricing!$C$5,Disbursements!A962&lt;=Pricing!$C$7),VLOOKUP(F962,Pricing!$D$7:$E$8,2)*Disbursements!F962,F962*Pricing!$E$9))))</f>
        <v>0</v>
      </c>
      <c r="O962" s="528">
        <f>IF(E962="STL",0,IF($F962&gt;0,$F962*Pricing!$D$17,0))</f>
        <v>0</v>
      </c>
      <c r="P962" s="530" t="str">
        <f t="shared" si="386"/>
        <v/>
      </c>
      <c r="Q962" s="531" t="str">
        <f>IF($A962="","",$G962/VLOOKUP($I962,Ref!$B$23:$D$29,2,0))</f>
        <v/>
      </c>
      <c r="R962" s="530" t="str">
        <f t="shared" si="387"/>
        <v/>
      </c>
      <c r="S962" s="532" t="str">
        <f t="shared" si="381"/>
        <v/>
      </c>
      <c r="T962" s="531" t="str">
        <f t="shared" si="388"/>
        <v/>
      </c>
      <c r="U962" s="533">
        <f t="shared" si="389"/>
        <v>0</v>
      </c>
      <c r="V962" s="531" t="str">
        <f t="shared" si="390"/>
        <v/>
      </c>
      <c r="W962" s="531" t="str">
        <f t="shared" si="391"/>
        <v/>
      </c>
      <c r="X962" s="534" t="str">
        <f t="shared" si="392"/>
        <v/>
      </c>
      <c r="Y962" s="535" t="str">
        <f>IF($A962="","",IF($I962="weekly",$A962+7,EDATE($A962,VLOOKUP($I962,Ref!$B$24:$C$29,2,0))))</f>
        <v/>
      </c>
      <c r="Z962" s="536" t="str">
        <f t="shared" si="393"/>
        <v/>
      </c>
      <c r="AA962" s="531">
        <f t="shared" si="394"/>
        <v>0</v>
      </c>
      <c r="AB962" s="535" t="str">
        <f t="shared" si="382"/>
        <v/>
      </c>
      <c r="AC962" s="537" t="str">
        <f t="shared" si="383"/>
        <v/>
      </c>
      <c r="AD962" s="538" t="str">
        <f t="shared" ca="1" si="384"/>
        <v/>
      </c>
      <c r="AE962" s="537">
        <f t="shared" ca="1" si="385"/>
        <v>0</v>
      </c>
      <c r="AF962" s="539" t="str">
        <f t="shared" ca="1" si="395"/>
        <v/>
      </c>
      <c r="AG962" s="531" t="str">
        <f t="shared" ca="1" si="396"/>
        <v/>
      </c>
      <c r="AH962" s="531" t="str">
        <f t="shared" ca="1" si="397"/>
        <v/>
      </c>
      <c r="AI962" s="531" t="str">
        <f t="shared" ca="1" si="398"/>
        <v/>
      </c>
      <c r="AJ962" s="531" t="str">
        <f t="shared" si="399"/>
        <v/>
      </c>
      <c r="AK962" s="540">
        <f>SUMIFS('Live Collections'!$S:$S,'Live Collections'!$D:$D,Disbursements!B962,'Live Collections'!$G:$G,Disbursements!C962)</f>
        <v>0</v>
      </c>
      <c r="AL962" s="540">
        <f>SUMIFS('Live Collections'!$T:$T,'Live Collections'!$D:$D,Disbursements!B962,'Live Collections'!$G:$G,Disbursements!C962)</f>
        <v>0</v>
      </c>
      <c r="AM962" s="541">
        <f t="shared" si="400"/>
        <v>0</v>
      </c>
      <c r="AN962" s="542" t="str">
        <f t="shared" si="401"/>
        <v/>
      </c>
      <c r="AO962" s="542" t="str">
        <f t="shared" si="402"/>
        <v/>
      </c>
      <c r="AP962" s="543" t="str">
        <f t="shared" si="403"/>
        <v/>
      </c>
      <c r="AQ962" s="544" t="str">
        <f t="shared" si="404"/>
        <v/>
      </c>
      <c r="AR962" s="545">
        <f t="shared" si="405"/>
        <v>0</v>
      </c>
      <c r="AS962" s="545">
        <f>IFERROR(CEILING($AR962*VLOOKUP($I962,Ref!$B$23:$E$29,4,0),1),0)</f>
        <v>0</v>
      </c>
      <c r="AT962" s="545" t="str">
        <f>IF(A962="","",IF(AP962&lt;=1,"Cleared",IF(AS962=0,"Clean",VLOOKUP($AS962,Ref!$G$23:$H$28,2))))</f>
        <v/>
      </c>
      <c r="AU962" s="546" t="str">
        <f t="shared" si="406"/>
        <v/>
      </c>
    </row>
    <row r="963" spans="1:47" ht="14.25" hidden="1" customHeight="1" x14ac:dyDescent="0.15">
      <c r="A963" s="523"/>
      <c r="B963" s="523"/>
      <c r="C963" s="523"/>
      <c r="D963" s="523"/>
      <c r="E963" s="579"/>
      <c r="F963" s="580"/>
      <c r="G963" s="524"/>
      <c r="H963" s="555"/>
      <c r="I963" s="560"/>
      <c r="J963" s="523"/>
      <c r="K963" s="528" t="str">
        <f>IFERROR(VLOOKUP($B963,'Clients-Live'!$A:$C,3,0),"")</f>
        <v/>
      </c>
      <c r="L963" s="528">
        <f>IF(E963="STL",Pricing!$D$38,IF(A963="",0,IF(A963&lt;Pricing!$C$25,Pricing!$D$25,VLOOKUP(Disbursements!$F963,Pricing!$B$29:$D$32,3))))</f>
        <v>0</v>
      </c>
      <c r="M963" s="528">
        <f>IF(E963="STL",0,IF(F963&gt;0,Pricing!$D$21,0))</f>
        <v>0</v>
      </c>
      <c r="N963" s="529">
        <f>IF(E963="STL",F963*Pricing!$D$40,IF(A963&lt;=Pricing!$C$4,0,IF(AND(A963&gt;Pricing!$C$4,Disbursements!A963&lt;=Pricing!$C$5),F963*Pricing!$E$5,IF(AND(A963&gt;Pricing!$C$5,Disbursements!A963&lt;=Pricing!$C$7),VLOOKUP(F963,Pricing!$D$7:$E$8,2)*Disbursements!F963,F963*Pricing!$E$9))))</f>
        <v>0</v>
      </c>
      <c r="O963" s="528">
        <f>IF(E963="STL",0,IF($F963&gt;0,$F963*Pricing!$D$17,0))</f>
        <v>0</v>
      </c>
      <c r="P963" s="530" t="str">
        <f t="shared" si="386"/>
        <v/>
      </c>
      <c r="Q963" s="531" t="str">
        <f>IF($A963="","",$G963/VLOOKUP($I963,Ref!$B$23:$D$29,2,0))</f>
        <v/>
      </c>
      <c r="R963" s="530" t="str">
        <f t="shared" si="387"/>
        <v/>
      </c>
      <c r="S963" s="532" t="str">
        <f t="shared" si="381"/>
        <v/>
      </c>
      <c r="T963" s="531" t="str">
        <f t="shared" si="388"/>
        <v/>
      </c>
      <c r="U963" s="533">
        <f t="shared" si="389"/>
        <v>0</v>
      </c>
      <c r="V963" s="531" t="str">
        <f t="shared" si="390"/>
        <v/>
      </c>
      <c r="W963" s="531" t="str">
        <f t="shared" si="391"/>
        <v/>
      </c>
      <c r="X963" s="534" t="str">
        <f t="shared" si="392"/>
        <v/>
      </c>
      <c r="Y963" s="535" t="str">
        <f>IF($A963="","",IF($I963="weekly",$A963+7,EDATE($A963,VLOOKUP($I963,Ref!$B$24:$C$29,2,0))))</f>
        <v/>
      </c>
      <c r="Z963" s="536" t="str">
        <f t="shared" si="393"/>
        <v/>
      </c>
      <c r="AA963" s="531">
        <f t="shared" si="394"/>
        <v>0</v>
      </c>
      <c r="AB963" s="535" t="str">
        <f t="shared" si="382"/>
        <v/>
      </c>
      <c r="AC963" s="537" t="str">
        <f t="shared" si="383"/>
        <v/>
      </c>
      <c r="AD963" s="538" t="str">
        <f t="shared" ca="1" si="384"/>
        <v/>
      </c>
      <c r="AE963" s="537">
        <f t="shared" ca="1" si="385"/>
        <v>0</v>
      </c>
      <c r="AF963" s="539" t="str">
        <f t="shared" ca="1" si="395"/>
        <v/>
      </c>
      <c r="AG963" s="531" t="str">
        <f t="shared" ca="1" si="396"/>
        <v/>
      </c>
      <c r="AH963" s="531" t="str">
        <f t="shared" ca="1" si="397"/>
        <v/>
      </c>
      <c r="AI963" s="531" t="str">
        <f t="shared" ca="1" si="398"/>
        <v/>
      </c>
      <c r="AJ963" s="531" t="str">
        <f t="shared" si="399"/>
        <v/>
      </c>
      <c r="AK963" s="540">
        <f>SUMIFS('Live Collections'!$S:$S,'Live Collections'!$D:$D,Disbursements!B963,'Live Collections'!$G:$G,Disbursements!C963)</f>
        <v>0</v>
      </c>
      <c r="AL963" s="540">
        <f>SUMIFS('Live Collections'!$T:$T,'Live Collections'!$D:$D,Disbursements!B963,'Live Collections'!$G:$G,Disbursements!C963)</f>
        <v>0</v>
      </c>
      <c r="AM963" s="541">
        <f t="shared" si="400"/>
        <v>0</v>
      </c>
      <c r="AN963" s="542" t="str">
        <f t="shared" si="401"/>
        <v/>
      </c>
      <c r="AO963" s="542" t="str">
        <f t="shared" si="402"/>
        <v/>
      </c>
      <c r="AP963" s="543" t="str">
        <f t="shared" si="403"/>
        <v/>
      </c>
      <c r="AQ963" s="544" t="str">
        <f t="shared" si="404"/>
        <v/>
      </c>
      <c r="AR963" s="545">
        <f t="shared" si="405"/>
        <v>0</v>
      </c>
      <c r="AS963" s="545">
        <f>IFERROR(CEILING($AR963*VLOOKUP($I963,Ref!$B$23:$E$29,4,0),1),0)</f>
        <v>0</v>
      </c>
      <c r="AT963" s="545" t="str">
        <f>IF(A963="","",IF(AP963&lt;=1,"Cleared",IF(AS963=0,"Clean",VLOOKUP($AS963,Ref!$G$23:$H$28,2))))</f>
        <v/>
      </c>
      <c r="AU963" s="546" t="str">
        <f t="shared" si="406"/>
        <v/>
      </c>
    </row>
    <row r="964" spans="1:47" ht="14.25" hidden="1" customHeight="1" x14ac:dyDescent="0.15">
      <c r="A964" s="523"/>
      <c r="B964" s="523"/>
      <c r="C964" s="523"/>
      <c r="D964" s="523"/>
      <c r="E964" s="579"/>
      <c r="F964" s="580"/>
      <c r="G964" s="524"/>
      <c r="H964" s="555"/>
      <c r="I964" s="560"/>
      <c r="J964" s="523"/>
      <c r="K964" s="528" t="str">
        <f>IFERROR(VLOOKUP($B964,'Clients-Live'!$A:$C,3,0),"")</f>
        <v/>
      </c>
      <c r="L964" s="528">
        <f>IF(E964="STL",Pricing!$D$38,IF(A964="",0,IF(A964&lt;Pricing!$C$25,Pricing!$D$25,VLOOKUP(Disbursements!$F964,Pricing!$B$29:$D$32,3))))</f>
        <v>0</v>
      </c>
      <c r="M964" s="528">
        <f>IF(E964="STL",0,IF(F964&gt;0,Pricing!$D$21,0))</f>
        <v>0</v>
      </c>
      <c r="N964" s="529">
        <f>IF(E964="STL",F964*Pricing!$D$40,IF(A964&lt;=Pricing!$C$4,0,IF(AND(A964&gt;Pricing!$C$4,Disbursements!A964&lt;=Pricing!$C$5),F964*Pricing!$E$5,IF(AND(A964&gt;Pricing!$C$5,Disbursements!A964&lt;=Pricing!$C$7),VLOOKUP(F964,Pricing!$D$7:$E$8,2)*Disbursements!F964,F964*Pricing!$E$9))))</f>
        <v>0</v>
      </c>
      <c r="O964" s="528">
        <f>IF(E964="STL",0,IF($F964&gt;0,$F964*Pricing!$D$17,0))</f>
        <v>0</v>
      </c>
      <c r="P964" s="530" t="str">
        <f t="shared" si="386"/>
        <v/>
      </c>
      <c r="Q964" s="531" t="str">
        <f>IF($A964="","",$G964/VLOOKUP($I964,Ref!$B$23:$D$29,2,0))</f>
        <v/>
      </c>
      <c r="R964" s="530" t="str">
        <f t="shared" si="387"/>
        <v/>
      </c>
      <c r="S964" s="532" t="str">
        <f t="shared" ref="S964:S1027" si="407">IF($A964="","",$R964/$Q964)</f>
        <v/>
      </c>
      <c r="T964" s="531" t="str">
        <f t="shared" si="388"/>
        <v/>
      </c>
      <c r="U964" s="533">
        <f t="shared" si="389"/>
        <v>0</v>
      </c>
      <c r="V964" s="531" t="str">
        <f t="shared" si="390"/>
        <v/>
      </c>
      <c r="W964" s="531" t="str">
        <f t="shared" si="391"/>
        <v/>
      </c>
      <c r="X964" s="534" t="str">
        <f t="shared" si="392"/>
        <v/>
      </c>
      <c r="Y964" s="535" t="str">
        <f>IF($A964="","",IF($I964="weekly",$A964+7,EDATE($A964,VLOOKUP($I964,Ref!$B$24:$C$29,2,0))))</f>
        <v/>
      </c>
      <c r="Z964" s="536" t="str">
        <f t="shared" si="393"/>
        <v/>
      </c>
      <c r="AA964" s="531">
        <f t="shared" si="394"/>
        <v>0</v>
      </c>
      <c r="AB964" s="535" t="str">
        <f t="shared" ref="AB964:AB1027" si="408">IF($A964="","",EDATE($A964,$G964))</f>
        <v/>
      </c>
      <c r="AC964" s="537" t="str">
        <f t="shared" ref="AC964:AC1027" si="409">IFERROR($AB964-$A964,"")</f>
        <v/>
      </c>
      <c r="AD964" s="538" t="str">
        <f t="shared" ref="AD964:AD1027" ca="1" si="410">IFERROR(IF(TODAY()-$A964&lt;$AB964-$A964,TODAY()-$A964,"Expired"),"")</f>
        <v/>
      </c>
      <c r="AE964" s="537">
        <f t="shared" ref="AE964:AE1027" ca="1" si="411">IFERROR($AC964-$AD964,0)</f>
        <v>0</v>
      </c>
      <c r="AF964" s="539" t="str">
        <f t="shared" ca="1" si="395"/>
        <v/>
      </c>
      <c r="AG964" s="531" t="str">
        <f t="shared" ca="1" si="396"/>
        <v/>
      </c>
      <c r="AH964" s="531" t="str">
        <f t="shared" ca="1" si="397"/>
        <v/>
      </c>
      <c r="AI964" s="531" t="str">
        <f t="shared" ca="1" si="398"/>
        <v/>
      </c>
      <c r="AJ964" s="531" t="str">
        <f t="shared" si="399"/>
        <v/>
      </c>
      <c r="AK964" s="540">
        <f>SUMIFS('Live Collections'!$S:$S,'Live Collections'!$D:$D,Disbursements!B964,'Live Collections'!$G:$G,Disbursements!C964)</f>
        <v>0</v>
      </c>
      <c r="AL964" s="540">
        <f>SUMIFS('Live Collections'!$T:$T,'Live Collections'!$D:$D,Disbursements!B964,'Live Collections'!$G:$G,Disbursements!C964)</f>
        <v>0</v>
      </c>
      <c r="AM964" s="541">
        <f t="shared" si="400"/>
        <v>0</v>
      </c>
      <c r="AN964" s="542" t="str">
        <f t="shared" si="401"/>
        <v/>
      </c>
      <c r="AO964" s="542" t="str">
        <f t="shared" si="402"/>
        <v/>
      </c>
      <c r="AP964" s="543" t="str">
        <f t="shared" si="403"/>
        <v/>
      </c>
      <c r="AQ964" s="544" t="str">
        <f t="shared" si="404"/>
        <v/>
      </c>
      <c r="AR964" s="545">
        <f t="shared" si="405"/>
        <v>0</v>
      </c>
      <c r="AS964" s="545">
        <f>IFERROR(CEILING($AR964*VLOOKUP($I964,Ref!$B$23:$E$29,4,0),1),0)</f>
        <v>0</v>
      </c>
      <c r="AT964" s="545" t="str">
        <f>IF(A964="","",IF(AP964&lt;=1,"Cleared",IF(AS964=0,"Clean",VLOOKUP($AS964,Ref!$G$23:$H$28,2))))</f>
        <v/>
      </c>
      <c r="AU964" s="546" t="str">
        <f t="shared" si="406"/>
        <v/>
      </c>
    </row>
    <row r="965" spans="1:47" ht="14.25" hidden="1" customHeight="1" x14ac:dyDescent="0.15">
      <c r="A965" s="523"/>
      <c r="B965" s="523"/>
      <c r="C965" s="523"/>
      <c r="D965" s="523"/>
      <c r="E965" s="579"/>
      <c r="F965" s="580"/>
      <c r="G965" s="524"/>
      <c r="H965" s="555"/>
      <c r="I965" s="560"/>
      <c r="J965" s="523"/>
      <c r="K965" s="528" t="str">
        <f>IFERROR(VLOOKUP($B965,'Clients-Live'!$A:$C,3,0),"")</f>
        <v/>
      </c>
      <c r="L965" s="528">
        <f>IF(E965="STL",Pricing!$D$38,IF(A965="",0,IF(A965&lt;Pricing!$C$25,Pricing!$D$25,VLOOKUP(Disbursements!$F965,Pricing!$B$29:$D$32,3))))</f>
        <v>0</v>
      </c>
      <c r="M965" s="528">
        <f>IF(E965="STL",0,IF(F965&gt;0,Pricing!$D$21,0))</f>
        <v>0</v>
      </c>
      <c r="N965" s="529">
        <f>IF(E965="STL",F965*Pricing!$D$40,IF(A965&lt;=Pricing!$C$4,0,IF(AND(A965&gt;Pricing!$C$4,Disbursements!A965&lt;=Pricing!$C$5),F965*Pricing!$E$5,IF(AND(A965&gt;Pricing!$C$5,Disbursements!A965&lt;=Pricing!$C$7),VLOOKUP(F965,Pricing!$D$7:$E$8,2)*Disbursements!F965,F965*Pricing!$E$9))))</f>
        <v>0</v>
      </c>
      <c r="O965" s="528">
        <f>IF(E965="STL",0,IF($F965&gt;0,$F965*Pricing!$D$17,0))</f>
        <v>0</v>
      </c>
      <c r="P965" s="530" t="str">
        <f t="shared" ref="P965:P1028" si="412">IF($A965="","",$H965*$F965*$G965)</f>
        <v/>
      </c>
      <c r="Q965" s="531" t="str">
        <f>IF($A965="","",$G965/VLOOKUP($I965,Ref!$B$23:$D$29,2,0))</f>
        <v/>
      </c>
      <c r="R965" s="530" t="str">
        <f t="shared" ref="R965:R1028" si="413">IF($A965="","",$F965+$P965)</f>
        <v/>
      </c>
      <c r="S965" s="532" t="str">
        <f t="shared" si="407"/>
        <v/>
      </c>
      <c r="T965" s="531" t="str">
        <f t="shared" ref="T965:T1028" si="414">IF(R965="","",CEILING(S965,1000))</f>
        <v/>
      </c>
      <c r="U965" s="533">
        <f t="shared" ref="U965:U1028" si="415">IFERROR(T965*Q965,0)</f>
        <v>0</v>
      </c>
      <c r="V965" s="531" t="str">
        <f t="shared" ref="V965:V1028" si="416">IF(T965="","",F965/Q965)</f>
        <v/>
      </c>
      <c r="W965" s="531" t="str">
        <f t="shared" ref="W965:W1028" si="417">IF(T965="","",T965-V965)</f>
        <v/>
      </c>
      <c r="X965" s="534" t="str">
        <f t="shared" ref="X965:X1028" si="418">IF(A965="","",W965*Q965)</f>
        <v/>
      </c>
      <c r="Y965" s="535" t="str">
        <f>IF($A965="","",IF($I965="weekly",$A965+7,EDATE($A965,VLOOKUP($I965,Ref!$B$24:$C$29,2,0))))</f>
        <v/>
      </c>
      <c r="Z965" s="536" t="str">
        <f t="shared" ref="Z965:Z1028" si="419">IFERROR(CHOOSE(WEEKDAY(Y965),"Sun","Mon","Tue","Wed","Thu","Frid","Sat"),"")</f>
        <v/>
      </c>
      <c r="AA965" s="531">
        <f t="shared" ref="AA965:AA1028" si="420">IFERROR(Y965-A965,0)</f>
        <v>0</v>
      </c>
      <c r="AB965" s="535" t="str">
        <f t="shared" si="408"/>
        <v/>
      </c>
      <c r="AC965" s="537" t="str">
        <f t="shared" si="409"/>
        <v/>
      </c>
      <c r="AD965" s="538" t="str">
        <f t="shared" ca="1" si="410"/>
        <v/>
      </c>
      <c r="AE965" s="537">
        <f t="shared" ca="1" si="411"/>
        <v>0</v>
      </c>
      <c r="AF965" s="539" t="str">
        <f t="shared" ref="AF965:AF1028" ca="1" si="421">IFERROR(IF(AD965="Expired",Q965,IF(AD965&gt;AA965,AD965/AA965,0)),"")</f>
        <v/>
      </c>
      <c r="AG965" s="531" t="str">
        <f t="shared" ref="AG965:AG1028" ca="1" si="422">IFERROR(AF965*T965,"")</f>
        <v/>
      </c>
      <c r="AH965" s="531" t="str">
        <f t="shared" ref="AH965:AH1028" ca="1" si="423">IFERROR(AF965*W965,"")</f>
        <v/>
      </c>
      <c r="AI965" s="531" t="str">
        <f t="shared" ref="AI965:AI1028" ca="1" si="424">IFERROR(AF965*V965,"")</f>
        <v/>
      </c>
      <c r="AJ965" s="531" t="str">
        <f t="shared" ref="AJ965:AJ1028" si="425">IF(F965=0,"",U965-AG965)</f>
        <v/>
      </c>
      <c r="AK965" s="540">
        <f>SUMIFS('Live Collections'!$S:$S,'Live Collections'!$D:$D,Disbursements!B965,'Live Collections'!$G:$G,Disbursements!C965)</f>
        <v>0</v>
      </c>
      <c r="AL965" s="540">
        <f>SUMIFS('Live Collections'!$T:$T,'Live Collections'!$D:$D,Disbursements!B965,'Live Collections'!$G:$G,Disbursements!C965)</f>
        <v>0</v>
      </c>
      <c r="AM965" s="541">
        <f t="shared" ref="AM965:AM1028" si="426">SUM(AK965:AL965)</f>
        <v>0</v>
      </c>
      <c r="AN965" s="542" t="str">
        <f t="shared" ref="AN965:AN1028" si="427">IFERROR(W965*Q965-AK965,"")</f>
        <v/>
      </c>
      <c r="AO965" s="542" t="str">
        <f t="shared" ref="AO965:AO1028" si="428">IF(F965="","",(F965-AL965))</f>
        <v/>
      </c>
      <c r="AP965" s="543" t="str">
        <f t="shared" ref="AP965:AP1028" si="429">IF(F965="","",SUM(AN965:AO965))</f>
        <v/>
      </c>
      <c r="AQ965" s="544" t="str">
        <f t="shared" ref="AQ965:AQ1028" si="430">IF(AP965&gt;AJ965,AP965-AJ965,"")</f>
        <v/>
      </c>
      <c r="AR965" s="545">
        <f t="shared" ref="AR965:AR1028" si="431">IFERROR(AQ965/T965,0)</f>
        <v>0</v>
      </c>
      <c r="AS965" s="545">
        <f>IFERROR(CEILING($AR965*VLOOKUP($I965,Ref!$B$23:$E$29,4,0),1),0)</f>
        <v>0</v>
      </c>
      <c r="AT965" s="545" t="str">
        <f>IF(A965="","",IF(AP965&lt;=1,"Cleared",IF(AS965=0,"Clean",VLOOKUP($AS965,Ref!$G$23:$H$28,2))))</f>
        <v/>
      </c>
      <c r="AU965" s="546" t="str">
        <f t="shared" ref="AU965:AU1028" si="432">IF(F965="","",IF(OR(AN965&lt;0,AO965&lt;0,AP965&lt;0),"Error on Entry","Ok"))</f>
        <v/>
      </c>
    </row>
    <row r="966" spans="1:47" ht="14.25" hidden="1" customHeight="1" x14ac:dyDescent="0.15">
      <c r="A966" s="523"/>
      <c r="B966" s="523"/>
      <c r="C966" s="523"/>
      <c r="D966" s="523"/>
      <c r="E966" s="579"/>
      <c r="F966" s="580"/>
      <c r="G966" s="524"/>
      <c r="H966" s="555"/>
      <c r="I966" s="560"/>
      <c r="J966" s="523"/>
      <c r="K966" s="528" t="str">
        <f>IFERROR(VLOOKUP($B966,'Clients-Live'!$A:$C,3,0),"")</f>
        <v/>
      </c>
      <c r="L966" s="528">
        <f>IF(E966="STL",Pricing!$D$38,IF(A966="",0,IF(A966&lt;Pricing!$C$25,Pricing!$D$25,VLOOKUP(Disbursements!$F966,Pricing!$B$29:$D$32,3))))</f>
        <v>0</v>
      </c>
      <c r="M966" s="528">
        <f>IF(E966="STL",0,IF(F966&gt;0,Pricing!$D$21,0))</f>
        <v>0</v>
      </c>
      <c r="N966" s="529">
        <f>IF(E966="STL",F966*Pricing!$D$40,IF(A966&lt;=Pricing!$C$4,0,IF(AND(A966&gt;Pricing!$C$4,Disbursements!A966&lt;=Pricing!$C$5),F966*Pricing!$E$5,IF(AND(A966&gt;Pricing!$C$5,Disbursements!A966&lt;=Pricing!$C$7),VLOOKUP(F966,Pricing!$D$7:$E$8,2)*Disbursements!F966,F966*Pricing!$E$9))))</f>
        <v>0</v>
      </c>
      <c r="O966" s="528">
        <f>IF(E966="STL",0,IF($F966&gt;0,$F966*Pricing!$D$17,0))</f>
        <v>0</v>
      </c>
      <c r="P966" s="530" t="str">
        <f t="shared" si="412"/>
        <v/>
      </c>
      <c r="Q966" s="531" t="str">
        <f>IF($A966="","",$G966/VLOOKUP($I966,Ref!$B$23:$D$29,2,0))</f>
        <v/>
      </c>
      <c r="R966" s="530" t="str">
        <f t="shared" si="413"/>
        <v/>
      </c>
      <c r="S966" s="532" t="str">
        <f t="shared" si="407"/>
        <v/>
      </c>
      <c r="T966" s="531" t="str">
        <f t="shared" si="414"/>
        <v/>
      </c>
      <c r="U966" s="533">
        <f t="shared" si="415"/>
        <v>0</v>
      </c>
      <c r="V966" s="531" t="str">
        <f t="shared" si="416"/>
        <v/>
      </c>
      <c r="W966" s="531" t="str">
        <f t="shared" si="417"/>
        <v/>
      </c>
      <c r="X966" s="534" t="str">
        <f t="shared" si="418"/>
        <v/>
      </c>
      <c r="Y966" s="535" t="str">
        <f>IF($A966="","",IF($I966="weekly",$A966+7,EDATE($A966,VLOOKUP($I966,Ref!$B$24:$C$29,2,0))))</f>
        <v/>
      </c>
      <c r="Z966" s="536" t="str">
        <f t="shared" si="419"/>
        <v/>
      </c>
      <c r="AA966" s="531">
        <f t="shared" si="420"/>
        <v>0</v>
      </c>
      <c r="AB966" s="535" t="str">
        <f t="shared" si="408"/>
        <v/>
      </c>
      <c r="AC966" s="537" t="str">
        <f t="shared" si="409"/>
        <v/>
      </c>
      <c r="AD966" s="538" t="str">
        <f t="shared" ca="1" si="410"/>
        <v/>
      </c>
      <c r="AE966" s="537">
        <f t="shared" ca="1" si="411"/>
        <v>0</v>
      </c>
      <c r="AF966" s="539" t="str">
        <f t="shared" ca="1" si="421"/>
        <v/>
      </c>
      <c r="AG966" s="531" t="str">
        <f t="shared" ca="1" si="422"/>
        <v/>
      </c>
      <c r="AH966" s="531" t="str">
        <f t="shared" ca="1" si="423"/>
        <v/>
      </c>
      <c r="AI966" s="531" t="str">
        <f t="shared" ca="1" si="424"/>
        <v/>
      </c>
      <c r="AJ966" s="531" t="str">
        <f t="shared" si="425"/>
        <v/>
      </c>
      <c r="AK966" s="540">
        <f>SUMIFS('Live Collections'!$S:$S,'Live Collections'!$D:$D,Disbursements!B966,'Live Collections'!$G:$G,Disbursements!C966)</f>
        <v>0</v>
      </c>
      <c r="AL966" s="540">
        <f>SUMIFS('Live Collections'!$T:$T,'Live Collections'!$D:$D,Disbursements!B966,'Live Collections'!$G:$G,Disbursements!C966)</f>
        <v>0</v>
      </c>
      <c r="AM966" s="541">
        <f t="shared" si="426"/>
        <v>0</v>
      </c>
      <c r="AN966" s="542" t="str">
        <f t="shared" si="427"/>
        <v/>
      </c>
      <c r="AO966" s="542" t="str">
        <f t="shared" si="428"/>
        <v/>
      </c>
      <c r="AP966" s="543" t="str">
        <f t="shared" si="429"/>
        <v/>
      </c>
      <c r="AQ966" s="544" t="str">
        <f t="shared" si="430"/>
        <v/>
      </c>
      <c r="AR966" s="545">
        <f t="shared" si="431"/>
        <v>0</v>
      </c>
      <c r="AS966" s="545">
        <f>IFERROR(CEILING($AR966*VLOOKUP($I966,Ref!$B$23:$E$29,4,0),1),0)</f>
        <v>0</v>
      </c>
      <c r="AT966" s="545" t="str">
        <f>IF(A966="","",IF(AP966&lt;=1,"Cleared",IF(AS966=0,"Clean",VLOOKUP($AS966,Ref!$G$23:$H$28,2))))</f>
        <v/>
      </c>
      <c r="AU966" s="546" t="str">
        <f t="shared" si="432"/>
        <v/>
      </c>
    </row>
    <row r="967" spans="1:47" ht="14.25" hidden="1" customHeight="1" x14ac:dyDescent="0.15">
      <c r="A967" s="523"/>
      <c r="B967" s="523"/>
      <c r="C967" s="523"/>
      <c r="D967" s="523"/>
      <c r="E967" s="579"/>
      <c r="F967" s="580"/>
      <c r="G967" s="524"/>
      <c r="H967" s="555"/>
      <c r="I967" s="560"/>
      <c r="J967" s="523"/>
      <c r="K967" s="528" t="str">
        <f>IFERROR(VLOOKUP($B967,'Clients-Live'!$A:$C,3,0),"")</f>
        <v/>
      </c>
      <c r="L967" s="528">
        <f>IF(E967="STL",Pricing!$D$38,IF(A967="",0,IF(A967&lt;Pricing!$C$25,Pricing!$D$25,VLOOKUP(Disbursements!$F967,Pricing!$B$29:$D$32,3))))</f>
        <v>0</v>
      </c>
      <c r="M967" s="528">
        <f>IF(E967="STL",0,IF(F967&gt;0,Pricing!$D$21,0))</f>
        <v>0</v>
      </c>
      <c r="N967" s="529">
        <f>IF(E967="STL",F967*Pricing!$D$40,IF(A967&lt;=Pricing!$C$4,0,IF(AND(A967&gt;Pricing!$C$4,Disbursements!A967&lt;=Pricing!$C$5),F967*Pricing!$E$5,IF(AND(A967&gt;Pricing!$C$5,Disbursements!A967&lt;=Pricing!$C$7),VLOOKUP(F967,Pricing!$D$7:$E$8,2)*Disbursements!F967,F967*Pricing!$E$9))))</f>
        <v>0</v>
      </c>
      <c r="O967" s="528">
        <f>IF(E967="STL",0,IF($F967&gt;0,$F967*Pricing!$D$17,0))</f>
        <v>0</v>
      </c>
      <c r="P967" s="530" t="str">
        <f t="shared" si="412"/>
        <v/>
      </c>
      <c r="Q967" s="531" t="str">
        <f>IF($A967="","",$G967/VLOOKUP($I967,Ref!$B$23:$D$29,2,0))</f>
        <v/>
      </c>
      <c r="R967" s="530" t="str">
        <f t="shared" si="413"/>
        <v/>
      </c>
      <c r="S967" s="532" t="str">
        <f t="shared" si="407"/>
        <v/>
      </c>
      <c r="T967" s="531" t="str">
        <f t="shared" si="414"/>
        <v/>
      </c>
      <c r="U967" s="533">
        <f t="shared" si="415"/>
        <v>0</v>
      </c>
      <c r="V967" s="531" t="str">
        <f t="shared" si="416"/>
        <v/>
      </c>
      <c r="W967" s="531" t="str">
        <f t="shared" si="417"/>
        <v/>
      </c>
      <c r="X967" s="534" t="str">
        <f t="shared" si="418"/>
        <v/>
      </c>
      <c r="Y967" s="535" t="str">
        <f>IF($A967="","",IF($I967="weekly",$A967+7,EDATE($A967,VLOOKUP($I967,Ref!$B$24:$C$29,2,0))))</f>
        <v/>
      </c>
      <c r="Z967" s="536" t="str">
        <f t="shared" si="419"/>
        <v/>
      </c>
      <c r="AA967" s="531">
        <f t="shared" si="420"/>
        <v>0</v>
      </c>
      <c r="AB967" s="535" t="str">
        <f t="shared" si="408"/>
        <v/>
      </c>
      <c r="AC967" s="537" t="str">
        <f t="shared" si="409"/>
        <v/>
      </c>
      <c r="AD967" s="538" t="str">
        <f t="shared" ca="1" si="410"/>
        <v/>
      </c>
      <c r="AE967" s="537">
        <f t="shared" ca="1" si="411"/>
        <v>0</v>
      </c>
      <c r="AF967" s="539" t="str">
        <f t="shared" ca="1" si="421"/>
        <v/>
      </c>
      <c r="AG967" s="531" t="str">
        <f t="shared" ca="1" si="422"/>
        <v/>
      </c>
      <c r="AH967" s="531" t="str">
        <f t="shared" ca="1" si="423"/>
        <v/>
      </c>
      <c r="AI967" s="531" t="str">
        <f t="shared" ca="1" si="424"/>
        <v/>
      </c>
      <c r="AJ967" s="531" t="str">
        <f t="shared" si="425"/>
        <v/>
      </c>
      <c r="AK967" s="540">
        <f>SUMIFS('Live Collections'!$S:$S,'Live Collections'!$D:$D,Disbursements!B967,'Live Collections'!$G:$G,Disbursements!C967)</f>
        <v>0</v>
      </c>
      <c r="AL967" s="540">
        <f>SUMIFS('Live Collections'!$T:$T,'Live Collections'!$D:$D,Disbursements!B967,'Live Collections'!$G:$G,Disbursements!C967)</f>
        <v>0</v>
      </c>
      <c r="AM967" s="541">
        <f t="shared" si="426"/>
        <v>0</v>
      </c>
      <c r="AN967" s="542" t="str">
        <f t="shared" si="427"/>
        <v/>
      </c>
      <c r="AO967" s="542" t="str">
        <f t="shared" si="428"/>
        <v/>
      </c>
      <c r="AP967" s="543" t="str">
        <f t="shared" si="429"/>
        <v/>
      </c>
      <c r="AQ967" s="544" t="str">
        <f t="shared" si="430"/>
        <v/>
      </c>
      <c r="AR967" s="545">
        <f t="shared" si="431"/>
        <v>0</v>
      </c>
      <c r="AS967" s="545">
        <f>IFERROR(CEILING($AR967*VLOOKUP($I967,Ref!$B$23:$E$29,4,0),1),0)</f>
        <v>0</v>
      </c>
      <c r="AT967" s="545" t="str">
        <f>IF(A967="","",IF(AP967&lt;=1,"Cleared",IF(AS967=0,"Clean",VLOOKUP($AS967,Ref!$G$23:$H$28,2))))</f>
        <v/>
      </c>
      <c r="AU967" s="546" t="str">
        <f t="shared" si="432"/>
        <v/>
      </c>
    </row>
    <row r="968" spans="1:47" ht="14.25" hidden="1" customHeight="1" x14ac:dyDescent="0.15">
      <c r="A968" s="523"/>
      <c r="B968" s="523"/>
      <c r="C968" s="523"/>
      <c r="D968" s="523"/>
      <c r="E968" s="579"/>
      <c r="F968" s="580"/>
      <c r="G968" s="524"/>
      <c r="H968" s="555"/>
      <c r="I968" s="560"/>
      <c r="J968" s="523"/>
      <c r="K968" s="528" t="str">
        <f>IFERROR(VLOOKUP($B968,'Clients-Live'!$A:$C,3,0),"")</f>
        <v/>
      </c>
      <c r="L968" s="528">
        <f>IF(E968="STL",Pricing!$D$38,IF(A968="",0,IF(A968&lt;Pricing!$C$25,Pricing!$D$25,VLOOKUP(Disbursements!$F968,Pricing!$B$29:$D$32,3))))</f>
        <v>0</v>
      </c>
      <c r="M968" s="528">
        <f>IF(E968="STL",0,IF(F968&gt;0,Pricing!$D$21,0))</f>
        <v>0</v>
      </c>
      <c r="N968" s="529">
        <f>IF(E968="STL",F968*Pricing!$D$40,IF(A968&lt;=Pricing!$C$4,0,IF(AND(A968&gt;Pricing!$C$4,Disbursements!A968&lt;=Pricing!$C$5),F968*Pricing!$E$5,IF(AND(A968&gt;Pricing!$C$5,Disbursements!A968&lt;=Pricing!$C$7),VLOOKUP(F968,Pricing!$D$7:$E$8,2)*Disbursements!F968,F968*Pricing!$E$9))))</f>
        <v>0</v>
      </c>
      <c r="O968" s="528">
        <f>IF(E968="STL",0,IF($F968&gt;0,$F968*Pricing!$D$17,0))</f>
        <v>0</v>
      </c>
      <c r="P968" s="530" t="str">
        <f t="shared" si="412"/>
        <v/>
      </c>
      <c r="Q968" s="531" t="str">
        <f>IF($A968="","",$G968/VLOOKUP($I968,Ref!$B$23:$D$29,2,0))</f>
        <v/>
      </c>
      <c r="R968" s="530" t="str">
        <f t="shared" si="413"/>
        <v/>
      </c>
      <c r="S968" s="532" t="str">
        <f t="shared" si="407"/>
        <v/>
      </c>
      <c r="T968" s="531" t="str">
        <f t="shared" si="414"/>
        <v/>
      </c>
      <c r="U968" s="533">
        <f t="shared" si="415"/>
        <v>0</v>
      </c>
      <c r="V968" s="531" t="str">
        <f t="shared" si="416"/>
        <v/>
      </c>
      <c r="W968" s="531" t="str">
        <f t="shared" si="417"/>
        <v/>
      </c>
      <c r="X968" s="534" t="str">
        <f t="shared" si="418"/>
        <v/>
      </c>
      <c r="Y968" s="535" t="str">
        <f>IF($A968="","",IF($I968="weekly",$A968+7,EDATE($A968,VLOOKUP($I968,Ref!$B$24:$C$29,2,0))))</f>
        <v/>
      </c>
      <c r="Z968" s="536" t="str">
        <f t="shared" si="419"/>
        <v/>
      </c>
      <c r="AA968" s="531">
        <f t="shared" si="420"/>
        <v>0</v>
      </c>
      <c r="AB968" s="535" t="str">
        <f t="shared" si="408"/>
        <v/>
      </c>
      <c r="AC968" s="537" t="str">
        <f t="shared" si="409"/>
        <v/>
      </c>
      <c r="AD968" s="538" t="str">
        <f t="shared" ca="1" si="410"/>
        <v/>
      </c>
      <c r="AE968" s="537">
        <f t="shared" ca="1" si="411"/>
        <v>0</v>
      </c>
      <c r="AF968" s="539" t="str">
        <f t="shared" ca="1" si="421"/>
        <v/>
      </c>
      <c r="AG968" s="531" t="str">
        <f t="shared" ca="1" si="422"/>
        <v/>
      </c>
      <c r="AH968" s="531" t="str">
        <f t="shared" ca="1" si="423"/>
        <v/>
      </c>
      <c r="AI968" s="531" t="str">
        <f t="shared" ca="1" si="424"/>
        <v/>
      </c>
      <c r="AJ968" s="531" t="str">
        <f t="shared" si="425"/>
        <v/>
      </c>
      <c r="AK968" s="540">
        <f>SUMIFS('Live Collections'!$S:$S,'Live Collections'!$D:$D,Disbursements!B968,'Live Collections'!$G:$G,Disbursements!C968)</f>
        <v>0</v>
      </c>
      <c r="AL968" s="540">
        <f>SUMIFS('Live Collections'!$T:$T,'Live Collections'!$D:$D,Disbursements!B968,'Live Collections'!$G:$G,Disbursements!C968)</f>
        <v>0</v>
      </c>
      <c r="AM968" s="541">
        <f t="shared" si="426"/>
        <v>0</v>
      </c>
      <c r="AN968" s="542" t="str">
        <f t="shared" si="427"/>
        <v/>
      </c>
      <c r="AO968" s="542" t="str">
        <f t="shared" si="428"/>
        <v/>
      </c>
      <c r="AP968" s="543" t="str">
        <f t="shared" si="429"/>
        <v/>
      </c>
      <c r="AQ968" s="544" t="str">
        <f t="shared" si="430"/>
        <v/>
      </c>
      <c r="AR968" s="545">
        <f t="shared" si="431"/>
        <v>0</v>
      </c>
      <c r="AS968" s="545">
        <f>IFERROR(CEILING($AR968*VLOOKUP($I968,Ref!$B$23:$E$29,4,0),1),0)</f>
        <v>0</v>
      </c>
      <c r="AT968" s="545" t="str">
        <f>IF(A968="","",IF(AP968&lt;=1,"Cleared",IF(AS968=0,"Clean",VLOOKUP($AS968,Ref!$G$23:$H$28,2))))</f>
        <v/>
      </c>
      <c r="AU968" s="546" t="str">
        <f t="shared" si="432"/>
        <v/>
      </c>
    </row>
    <row r="969" spans="1:47" ht="14.25" hidden="1" customHeight="1" x14ac:dyDescent="0.15">
      <c r="A969" s="523"/>
      <c r="B969" s="523"/>
      <c r="C969" s="523"/>
      <c r="D969" s="523"/>
      <c r="E969" s="579"/>
      <c r="F969" s="580"/>
      <c r="G969" s="524"/>
      <c r="H969" s="555"/>
      <c r="I969" s="560"/>
      <c r="J969" s="523"/>
      <c r="K969" s="528" t="str">
        <f>IFERROR(VLOOKUP($B969,'Clients-Live'!$A:$C,3,0),"")</f>
        <v/>
      </c>
      <c r="L969" s="528">
        <f>IF(E969="STL",Pricing!$D$38,IF(A969="",0,IF(A969&lt;Pricing!$C$25,Pricing!$D$25,VLOOKUP(Disbursements!$F969,Pricing!$B$29:$D$32,3))))</f>
        <v>0</v>
      </c>
      <c r="M969" s="528">
        <f>IF(E969="STL",0,IF(F969&gt;0,Pricing!$D$21,0))</f>
        <v>0</v>
      </c>
      <c r="N969" s="529">
        <f>IF(E969="STL",F969*Pricing!$D$40,IF(A969&lt;=Pricing!$C$4,0,IF(AND(A969&gt;Pricing!$C$4,Disbursements!A969&lt;=Pricing!$C$5),F969*Pricing!$E$5,IF(AND(A969&gt;Pricing!$C$5,Disbursements!A969&lt;=Pricing!$C$7),VLOOKUP(F969,Pricing!$D$7:$E$8,2)*Disbursements!F969,F969*Pricing!$E$9))))</f>
        <v>0</v>
      </c>
      <c r="O969" s="528">
        <f>IF(E969="STL",0,IF($F969&gt;0,$F969*Pricing!$D$17,0))</f>
        <v>0</v>
      </c>
      <c r="P969" s="530" t="str">
        <f t="shared" si="412"/>
        <v/>
      </c>
      <c r="Q969" s="531" t="str">
        <f>IF($A969="","",$G969/VLOOKUP($I969,Ref!$B$23:$D$29,2,0))</f>
        <v/>
      </c>
      <c r="R969" s="530" t="str">
        <f t="shared" si="413"/>
        <v/>
      </c>
      <c r="S969" s="532" t="str">
        <f t="shared" si="407"/>
        <v/>
      </c>
      <c r="T969" s="531" t="str">
        <f t="shared" si="414"/>
        <v/>
      </c>
      <c r="U969" s="533">
        <f t="shared" si="415"/>
        <v>0</v>
      </c>
      <c r="V969" s="531" t="str">
        <f t="shared" si="416"/>
        <v/>
      </c>
      <c r="W969" s="531" t="str">
        <f t="shared" si="417"/>
        <v/>
      </c>
      <c r="X969" s="534" t="str">
        <f t="shared" si="418"/>
        <v/>
      </c>
      <c r="Y969" s="535" t="str">
        <f>IF($A969="","",IF($I969="weekly",$A969+7,EDATE($A969,VLOOKUP($I969,Ref!$B$24:$C$29,2,0))))</f>
        <v/>
      </c>
      <c r="Z969" s="536" t="str">
        <f t="shared" si="419"/>
        <v/>
      </c>
      <c r="AA969" s="531">
        <f t="shared" si="420"/>
        <v>0</v>
      </c>
      <c r="AB969" s="535" t="str">
        <f t="shared" si="408"/>
        <v/>
      </c>
      <c r="AC969" s="537" t="str">
        <f t="shared" si="409"/>
        <v/>
      </c>
      <c r="AD969" s="538" t="str">
        <f t="shared" ca="1" si="410"/>
        <v/>
      </c>
      <c r="AE969" s="537">
        <f t="shared" ca="1" si="411"/>
        <v>0</v>
      </c>
      <c r="AF969" s="539" t="str">
        <f t="shared" ca="1" si="421"/>
        <v/>
      </c>
      <c r="AG969" s="531" t="str">
        <f t="shared" ca="1" si="422"/>
        <v/>
      </c>
      <c r="AH969" s="531" t="str">
        <f t="shared" ca="1" si="423"/>
        <v/>
      </c>
      <c r="AI969" s="531" t="str">
        <f t="shared" ca="1" si="424"/>
        <v/>
      </c>
      <c r="AJ969" s="531" t="str">
        <f t="shared" si="425"/>
        <v/>
      </c>
      <c r="AK969" s="540">
        <f>SUMIFS('Live Collections'!$S:$S,'Live Collections'!$D:$D,Disbursements!B969,'Live Collections'!$G:$G,Disbursements!C969)</f>
        <v>0</v>
      </c>
      <c r="AL969" s="540">
        <f>SUMIFS('Live Collections'!$T:$T,'Live Collections'!$D:$D,Disbursements!B969,'Live Collections'!$G:$G,Disbursements!C969)</f>
        <v>0</v>
      </c>
      <c r="AM969" s="541">
        <f t="shared" si="426"/>
        <v>0</v>
      </c>
      <c r="AN969" s="542" t="str">
        <f t="shared" si="427"/>
        <v/>
      </c>
      <c r="AO969" s="542" t="str">
        <f t="shared" si="428"/>
        <v/>
      </c>
      <c r="AP969" s="543" t="str">
        <f t="shared" si="429"/>
        <v/>
      </c>
      <c r="AQ969" s="544" t="str">
        <f t="shared" si="430"/>
        <v/>
      </c>
      <c r="AR969" s="545">
        <f t="shared" si="431"/>
        <v>0</v>
      </c>
      <c r="AS969" s="545">
        <f>IFERROR(CEILING($AR969*VLOOKUP($I969,Ref!$B$23:$E$29,4,0),1),0)</f>
        <v>0</v>
      </c>
      <c r="AT969" s="545" t="str">
        <f>IF(A969="","",IF(AP969&lt;=1,"Cleared",IF(AS969=0,"Clean",VLOOKUP($AS969,Ref!$G$23:$H$28,2))))</f>
        <v/>
      </c>
      <c r="AU969" s="546" t="str">
        <f t="shared" si="432"/>
        <v/>
      </c>
    </row>
    <row r="970" spans="1:47" ht="14.25" hidden="1" customHeight="1" x14ac:dyDescent="0.15">
      <c r="A970" s="523"/>
      <c r="B970" s="523"/>
      <c r="C970" s="523"/>
      <c r="D970" s="523"/>
      <c r="E970" s="579"/>
      <c r="F970" s="580"/>
      <c r="G970" s="524"/>
      <c r="H970" s="555"/>
      <c r="I970" s="560"/>
      <c r="J970" s="523"/>
      <c r="K970" s="528" t="str">
        <f>IFERROR(VLOOKUP($B970,'Clients-Live'!$A:$C,3,0),"")</f>
        <v/>
      </c>
      <c r="L970" s="528">
        <f>IF(E970="STL",Pricing!$D$38,IF(A970="",0,IF(A970&lt;Pricing!$C$25,Pricing!$D$25,VLOOKUP(Disbursements!$F970,Pricing!$B$29:$D$32,3))))</f>
        <v>0</v>
      </c>
      <c r="M970" s="528">
        <f>IF(E970="STL",0,IF(F970&gt;0,Pricing!$D$21,0))</f>
        <v>0</v>
      </c>
      <c r="N970" s="529">
        <f>IF(E970="STL",F970*Pricing!$D$40,IF(A970&lt;=Pricing!$C$4,0,IF(AND(A970&gt;Pricing!$C$4,Disbursements!A970&lt;=Pricing!$C$5),F970*Pricing!$E$5,IF(AND(A970&gt;Pricing!$C$5,Disbursements!A970&lt;=Pricing!$C$7),VLOOKUP(F970,Pricing!$D$7:$E$8,2)*Disbursements!F970,F970*Pricing!$E$9))))</f>
        <v>0</v>
      </c>
      <c r="O970" s="528">
        <f>IF(E970="STL",0,IF($F970&gt;0,$F970*Pricing!$D$17,0))</f>
        <v>0</v>
      </c>
      <c r="P970" s="530" t="str">
        <f t="shared" si="412"/>
        <v/>
      </c>
      <c r="Q970" s="531" t="str">
        <f>IF($A970="","",$G970/VLOOKUP($I970,Ref!$B$23:$D$29,2,0))</f>
        <v/>
      </c>
      <c r="R970" s="530" t="str">
        <f t="shared" si="413"/>
        <v/>
      </c>
      <c r="S970" s="532" t="str">
        <f t="shared" si="407"/>
        <v/>
      </c>
      <c r="T970" s="531" t="str">
        <f t="shared" si="414"/>
        <v/>
      </c>
      <c r="U970" s="533">
        <f t="shared" si="415"/>
        <v>0</v>
      </c>
      <c r="V970" s="531" t="str">
        <f t="shared" si="416"/>
        <v/>
      </c>
      <c r="W970" s="531" t="str">
        <f t="shared" si="417"/>
        <v/>
      </c>
      <c r="X970" s="534" t="str">
        <f t="shared" si="418"/>
        <v/>
      </c>
      <c r="Y970" s="535" t="str">
        <f>IF($A970="","",IF($I970="weekly",$A970+7,EDATE($A970,VLOOKUP($I970,Ref!$B$24:$C$29,2,0))))</f>
        <v/>
      </c>
      <c r="Z970" s="536" t="str">
        <f t="shared" si="419"/>
        <v/>
      </c>
      <c r="AA970" s="531">
        <f t="shared" si="420"/>
        <v>0</v>
      </c>
      <c r="AB970" s="535" t="str">
        <f t="shared" si="408"/>
        <v/>
      </c>
      <c r="AC970" s="537" t="str">
        <f t="shared" si="409"/>
        <v/>
      </c>
      <c r="AD970" s="538" t="str">
        <f t="shared" ca="1" si="410"/>
        <v/>
      </c>
      <c r="AE970" s="537">
        <f t="shared" ca="1" si="411"/>
        <v>0</v>
      </c>
      <c r="AF970" s="539" t="str">
        <f t="shared" ca="1" si="421"/>
        <v/>
      </c>
      <c r="AG970" s="531" t="str">
        <f t="shared" ca="1" si="422"/>
        <v/>
      </c>
      <c r="AH970" s="531" t="str">
        <f t="shared" ca="1" si="423"/>
        <v/>
      </c>
      <c r="AI970" s="531" t="str">
        <f t="shared" ca="1" si="424"/>
        <v/>
      </c>
      <c r="AJ970" s="531" t="str">
        <f t="shared" si="425"/>
        <v/>
      </c>
      <c r="AK970" s="540">
        <f>SUMIFS('Live Collections'!$S:$S,'Live Collections'!$D:$D,Disbursements!B970,'Live Collections'!$G:$G,Disbursements!C970)</f>
        <v>0</v>
      </c>
      <c r="AL970" s="540">
        <f>SUMIFS('Live Collections'!$T:$T,'Live Collections'!$D:$D,Disbursements!B970,'Live Collections'!$G:$G,Disbursements!C970)</f>
        <v>0</v>
      </c>
      <c r="AM970" s="541">
        <f t="shared" si="426"/>
        <v>0</v>
      </c>
      <c r="AN970" s="542" t="str">
        <f t="shared" si="427"/>
        <v/>
      </c>
      <c r="AO970" s="542" t="str">
        <f t="shared" si="428"/>
        <v/>
      </c>
      <c r="AP970" s="543" t="str">
        <f t="shared" si="429"/>
        <v/>
      </c>
      <c r="AQ970" s="544" t="str">
        <f t="shared" si="430"/>
        <v/>
      </c>
      <c r="AR970" s="545">
        <f t="shared" si="431"/>
        <v>0</v>
      </c>
      <c r="AS970" s="545">
        <f>IFERROR(CEILING($AR970*VLOOKUP($I970,Ref!$B$23:$E$29,4,0),1),0)</f>
        <v>0</v>
      </c>
      <c r="AT970" s="545" t="str">
        <f>IF(A970="","",IF(AP970&lt;=1,"Cleared",IF(AS970=0,"Clean",VLOOKUP($AS970,Ref!$G$23:$H$28,2))))</f>
        <v/>
      </c>
      <c r="AU970" s="546" t="str">
        <f t="shared" si="432"/>
        <v/>
      </c>
    </row>
    <row r="971" spans="1:47" ht="14.25" hidden="1" customHeight="1" x14ac:dyDescent="0.15">
      <c r="A971" s="523"/>
      <c r="B971" s="523"/>
      <c r="C971" s="523"/>
      <c r="D971" s="523"/>
      <c r="E971" s="579"/>
      <c r="F971" s="580"/>
      <c r="G971" s="524"/>
      <c r="H971" s="555"/>
      <c r="I971" s="560"/>
      <c r="J971" s="523"/>
      <c r="K971" s="528" t="str">
        <f>IFERROR(VLOOKUP($B971,'Clients-Live'!$A:$C,3,0),"")</f>
        <v/>
      </c>
      <c r="L971" s="528">
        <f>IF(E971="STL",Pricing!$D$38,IF(A971="",0,IF(A971&lt;Pricing!$C$25,Pricing!$D$25,VLOOKUP(Disbursements!$F971,Pricing!$B$29:$D$32,3))))</f>
        <v>0</v>
      </c>
      <c r="M971" s="528">
        <f>IF(E971="STL",0,IF(F971&gt;0,Pricing!$D$21,0))</f>
        <v>0</v>
      </c>
      <c r="N971" s="529">
        <f>IF(E971="STL",F971*Pricing!$D$40,IF(A971&lt;=Pricing!$C$4,0,IF(AND(A971&gt;Pricing!$C$4,Disbursements!A971&lt;=Pricing!$C$5),F971*Pricing!$E$5,IF(AND(A971&gt;Pricing!$C$5,Disbursements!A971&lt;=Pricing!$C$7),VLOOKUP(F971,Pricing!$D$7:$E$8,2)*Disbursements!F971,F971*Pricing!$E$9))))</f>
        <v>0</v>
      </c>
      <c r="O971" s="528">
        <f>IF(E971="STL",0,IF($F971&gt;0,$F971*Pricing!$D$17,0))</f>
        <v>0</v>
      </c>
      <c r="P971" s="530" t="str">
        <f t="shared" si="412"/>
        <v/>
      </c>
      <c r="Q971" s="531" t="str">
        <f>IF($A971="","",$G971/VLOOKUP($I971,Ref!$B$23:$D$29,2,0))</f>
        <v/>
      </c>
      <c r="R971" s="530" t="str">
        <f t="shared" si="413"/>
        <v/>
      </c>
      <c r="S971" s="532" t="str">
        <f t="shared" si="407"/>
        <v/>
      </c>
      <c r="T971" s="531" t="str">
        <f t="shared" si="414"/>
        <v/>
      </c>
      <c r="U971" s="533">
        <f t="shared" si="415"/>
        <v>0</v>
      </c>
      <c r="V971" s="531" t="str">
        <f t="shared" si="416"/>
        <v/>
      </c>
      <c r="W971" s="531" t="str">
        <f t="shared" si="417"/>
        <v/>
      </c>
      <c r="X971" s="534" t="str">
        <f t="shared" si="418"/>
        <v/>
      </c>
      <c r="Y971" s="535" t="str">
        <f>IF($A971="","",IF($I971="weekly",$A971+7,EDATE($A971,VLOOKUP($I971,Ref!$B$24:$C$29,2,0))))</f>
        <v/>
      </c>
      <c r="Z971" s="536" t="str">
        <f t="shared" si="419"/>
        <v/>
      </c>
      <c r="AA971" s="531">
        <f t="shared" si="420"/>
        <v>0</v>
      </c>
      <c r="AB971" s="535" t="str">
        <f t="shared" si="408"/>
        <v/>
      </c>
      <c r="AC971" s="537" t="str">
        <f t="shared" si="409"/>
        <v/>
      </c>
      <c r="AD971" s="538" t="str">
        <f t="shared" ca="1" si="410"/>
        <v/>
      </c>
      <c r="AE971" s="537">
        <f t="shared" ca="1" si="411"/>
        <v>0</v>
      </c>
      <c r="AF971" s="539" t="str">
        <f t="shared" ca="1" si="421"/>
        <v/>
      </c>
      <c r="AG971" s="531" t="str">
        <f t="shared" ca="1" si="422"/>
        <v/>
      </c>
      <c r="AH971" s="531" t="str">
        <f t="shared" ca="1" si="423"/>
        <v/>
      </c>
      <c r="AI971" s="531" t="str">
        <f t="shared" ca="1" si="424"/>
        <v/>
      </c>
      <c r="AJ971" s="531" t="str">
        <f t="shared" si="425"/>
        <v/>
      </c>
      <c r="AK971" s="540">
        <f>SUMIFS('Live Collections'!$S:$S,'Live Collections'!$D:$D,Disbursements!B971,'Live Collections'!$G:$G,Disbursements!C971)</f>
        <v>0</v>
      </c>
      <c r="AL971" s="540">
        <f>SUMIFS('Live Collections'!$T:$T,'Live Collections'!$D:$D,Disbursements!B971,'Live Collections'!$G:$G,Disbursements!C971)</f>
        <v>0</v>
      </c>
      <c r="AM971" s="541">
        <f t="shared" si="426"/>
        <v>0</v>
      </c>
      <c r="AN971" s="542" t="str">
        <f t="shared" si="427"/>
        <v/>
      </c>
      <c r="AO971" s="542" t="str">
        <f t="shared" si="428"/>
        <v/>
      </c>
      <c r="AP971" s="543" t="str">
        <f t="shared" si="429"/>
        <v/>
      </c>
      <c r="AQ971" s="544" t="str">
        <f t="shared" si="430"/>
        <v/>
      </c>
      <c r="AR971" s="545">
        <f t="shared" si="431"/>
        <v>0</v>
      </c>
      <c r="AS971" s="545">
        <f>IFERROR(CEILING($AR971*VLOOKUP($I971,Ref!$B$23:$E$29,4,0),1),0)</f>
        <v>0</v>
      </c>
      <c r="AT971" s="545" t="str">
        <f>IF(A971="","",IF(AP971&lt;=1,"Cleared",IF(AS971=0,"Clean",VLOOKUP($AS971,Ref!$G$23:$H$28,2))))</f>
        <v/>
      </c>
      <c r="AU971" s="546" t="str">
        <f t="shared" si="432"/>
        <v/>
      </c>
    </row>
    <row r="972" spans="1:47" ht="14.25" hidden="1" customHeight="1" x14ac:dyDescent="0.15">
      <c r="A972" s="523"/>
      <c r="B972" s="523"/>
      <c r="C972" s="523"/>
      <c r="D972" s="523"/>
      <c r="E972" s="579"/>
      <c r="F972" s="580"/>
      <c r="G972" s="524"/>
      <c r="H972" s="555"/>
      <c r="I972" s="560"/>
      <c r="J972" s="523"/>
      <c r="K972" s="528" t="str">
        <f>IFERROR(VLOOKUP($B972,'Clients-Live'!$A:$C,3,0),"")</f>
        <v/>
      </c>
      <c r="L972" s="528">
        <f>IF(E972="STL",Pricing!$D$38,IF(A972="",0,IF(A972&lt;Pricing!$C$25,Pricing!$D$25,VLOOKUP(Disbursements!$F972,Pricing!$B$29:$D$32,3))))</f>
        <v>0</v>
      </c>
      <c r="M972" s="528">
        <f>IF(E972="STL",0,IF(F972&gt;0,Pricing!$D$21,0))</f>
        <v>0</v>
      </c>
      <c r="N972" s="529">
        <f>IF(E972="STL",F972*Pricing!$D$40,IF(A972&lt;=Pricing!$C$4,0,IF(AND(A972&gt;Pricing!$C$4,Disbursements!A972&lt;=Pricing!$C$5),F972*Pricing!$E$5,IF(AND(A972&gt;Pricing!$C$5,Disbursements!A972&lt;=Pricing!$C$7),VLOOKUP(F972,Pricing!$D$7:$E$8,2)*Disbursements!F972,F972*Pricing!$E$9))))</f>
        <v>0</v>
      </c>
      <c r="O972" s="528">
        <f>IF(E972="STL",0,IF($F972&gt;0,$F972*Pricing!$D$17,0))</f>
        <v>0</v>
      </c>
      <c r="P972" s="530" t="str">
        <f t="shared" si="412"/>
        <v/>
      </c>
      <c r="Q972" s="531" t="str">
        <f>IF($A972="","",$G972/VLOOKUP($I972,Ref!$B$23:$D$29,2,0))</f>
        <v/>
      </c>
      <c r="R972" s="530" t="str">
        <f t="shared" si="413"/>
        <v/>
      </c>
      <c r="S972" s="532" t="str">
        <f t="shared" si="407"/>
        <v/>
      </c>
      <c r="T972" s="531" t="str">
        <f t="shared" si="414"/>
        <v/>
      </c>
      <c r="U972" s="533">
        <f t="shared" si="415"/>
        <v>0</v>
      </c>
      <c r="V972" s="531" t="str">
        <f t="shared" si="416"/>
        <v/>
      </c>
      <c r="W972" s="531" t="str">
        <f t="shared" si="417"/>
        <v/>
      </c>
      <c r="X972" s="534" t="str">
        <f t="shared" si="418"/>
        <v/>
      </c>
      <c r="Y972" s="535" t="str">
        <f>IF($A972="","",IF($I972="weekly",$A972+7,EDATE($A972,VLOOKUP($I972,Ref!$B$24:$C$29,2,0))))</f>
        <v/>
      </c>
      <c r="Z972" s="536" t="str">
        <f t="shared" si="419"/>
        <v/>
      </c>
      <c r="AA972" s="531">
        <f t="shared" si="420"/>
        <v>0</v>
      </c>
      <c r="AB972" s="535" t="str">
        <f t="shared" si="408"/>
        <v/>
      </c>
      <c r="AC972" s="537" t="str">
        <f t="shared" si="409"/>
        <v/>
      </c>
      <c r="AD972" s="538" t="str">
        <f t="shared" ca="1" si="410"/>
        <v/>
      </c>
      <c r="AE972" s="537">
        <f t="shared" ca="1" si="411"/>
        <v>0</v>
      </c>
      <c r="AF972" s="539" t="str">
        <f t="shared" ca="1" si="421"/>
        <v/>
      </c>
      <c r="AG972" s="531" t="str">
        <f t="shared" ca="1" si="422"/>
        <v/>
      </c>
      <c r="AH972" s="531" t="str">
        <f t="shared" ca="1" si="423"/>
        <v/>
      </c>
      <c r="AI972" s="531" t="str">
        <f t="shared" ca="1" si="424"/>
        <v/>
      </c>
      <c r="AJ972" s="531" t="str">
        <f t="shared" si="425"/>
        <v/>
      </c>
      <c r="AK972" s="540">
        <f>SUMIFS('Live Collections'!$S:$S,'Live Collections'!$D:$D,Disbursements!B972,'Live Collections'!$G:$G,Disbursements!C972)</f>
        <v>0</v>
      </c>
      <c r="AL972" s="540">
        <f>SUMIFS('Live Collections'!$T:$T,'Live Collections'!$D:$D,Disbursements!B972,'Live Collections'!$G:$G,Disbursements!C972)</f>
        <v>0</v>
      </c>
      <c r="AM972" s="541">
        <f t="shared" si="426"/>
        <v>0</v>
      </c>
      <c r="AN972" s="542" t="str">
        <f t="shared" si="427"/>
        <v/>
      </c>
      <c r="AO972" s="542" t="str">
        <f t="shared" si="428"/>
        <v/>
      </c>
      <c r="AP972" s="543" t="str">
        <f t="shared" si="429"/>
        <v/>
      </c>
      <c r="AQ972" s="544" t="str">
        <f t="shared" si="430"/>
        <v/>
      </c>
      <c r="AR972" s="545">
        <f t="shared" si="431"/>
        <v>0</v>
      </c>
      <c r="AS972" s="545">
        <f>IFERROR(CEILING($AR972*VLOOKUP($I972,Ref!$B$23:$E$29,4,0),1),0)</f>
        <v>0</v>
      </c>
      <c r="AT972" s="545" t="str">
        <f>IF(A972="","",IF(AP972&lt;=1,"Cleared",IF(AS972=0,"Clean",VLOOKUP($AS972,Ref!$G$23:$H$28,2))))</f>
        <v/>
      </c>
      <c r="AU972" s="546" t="str">
        <f t="shared" si="432"/>
        <v/>
      </c>
    </row>
    <row r="973" spans="1:47" ht="14.25" hidden="1" customHeight="1" x14ac:dyDescent="0.15">
      <c r="A973" s="523"/>
      <c r="B973" s="523"/>
      <c r="C973" s="523"/>
      <c r="D973" s="523"/>
      <c r="E973" s="579"/>
      <c r="F973" s="580"/>
      <c r="G973" s="524"/>
      <c r="H973" s="555"/>
      <c r="I973" s="560"/>
      <c r="J973" s="523"/>
      <c r="K973" s="528" t="str">
        <f>IFERROR(VLOOKUP($B973,'Clients-Live'!$A:$C,3,0),"")</f>
        <v/>
      </c>
      <c r="L973" s="528">
        <f>IF(E973="STL",Pricing!$D$38,IF(A973="",0,IF(A973&lt;Pricing!$C$25,Pricing!$D$25,VLOOKUP(Disbursements!$F973,Pricing!$B$29:$D$32,3))))</f>
        <v>0</v>
      </c>
      <c r="M973" s="528">
        <f>IF(E973="STL",0,IF(F973&gt;0,Pricing!$D$21,0))</f>
        <v>0</v>
      </c>
      <c r="N973" s="529">
        <f>IF(E973="STL",F973*Pricing!$D$40,IF(A973&lt;=Pricing!$C$4,0,IF(AND(A973&gt;Pricing!$C$4,Disbursements!A973&lt;=Pricing!$C$5),F973*Pricing!$E$5,IF(AND(A973&gt;Pricing!$C$5,Disbursements!A973&lt;=Pricing!$C$7),VLOOKUP(F973,Pricing!$D$7:$E$8,2)*Disbursements!F973,F973*Pricing!$E$9))))</f>
        <v>0</v>
      </c>
      <c r="O973" s="528">
        <f>IF(E973="STL",0,IF($F973&gt;0,$F973*Pricing!$D$17,0))</f>
        <v>0</v>
      </c>
      <c r="P973" s="530" t="str">
        <f t="shared" si="412"/>
        <v/>
      </c>
      <c r="Q973" s="531" t="str">
        <f>IF($A973="","",$G973/VLOOKUP($I973,Ref!$B$23:$D$29,2,0))</f>
        <v/>
      </c>
      <c r="R973" s="530" t="str">
        <f t="shared" si="413"/>
        <v/>
      </c>
      <c r="S973" s="532" t="str">
        <f t="shared" si="407"/>
        <v/>
      </c>
      <c r="T973" s="531" t="str">
        <f t="shared" si="414"/>
        <v/>
      </c>
      <c r="U973" s="533">
        <f t="shared" si="415"/>
        <v>0</v>
      </c>
      <c r="V973" s="531" t="str">
        <f t="shared" si="416"/>
        <v/>
      </c>
      <c r="W973" s="531" t="str">
        <f t="shared" si="417"/>
        <v/>
      </c>
      <c r="X973" s="534" t="str">
        <f t="shared" si="418"/>
        <v/>
      </c>
      <c r="Y973" s="535" t="str">
        <f>IF($A973="","",IF($I973="weekly",$A973+7,EDATE($A973,VLOOKUP($I973,Ref!$B$24:$C$29,2,0))))</f>
        <v/>
      </c>
      <c r="Z973" s="536" t="str">
        <f t="shared" si="419"/>
        <v/>
      </c>
      <c r="AA973" s="531">
        <f t="shared" si="420"/>
        <v>0</v>
      </c>
      <c r="AB973" s="535" t="str">
        <f t="shared" si="408"/>
        <v/>
      </c>
      <c r="AC973" s="537" t="str">
        <f t="shared" si="409"/>
        <v/>
      </c>
      <c r="AD973" s="538" t="str">
        <f t="shared" ca="1" si="410"/>
        <v/>
      </c>
      <c r="AE973" s="537">
        <f t="shared" ca="1" si="411"/>
        <v>0</v>
      </c>
      <c r="AF973" s="539" t="str">
        <f t="shared" ca="1" si="421"/>
        <v/>
      </c>
      <c r="AG973" s="531" t="str">
        <f t="shared" ca="1" si="422"/>
        <v/>
      </c>
      <c r="AH973" s="531" t="str">
        <f t="shared" ca="1" si="423"/>
        <v/>
      </c>
      <c r="AI973" s="531" t="str">
        <f t="shared" ca="1" si="424"/>
        <v/>
      </c>
      <c r="AJ973" s="531" t="str">
        <f t="shared" si="425"/>
        <v/>
      </c>
      <c r="AK973" s="540">
        <f>SUMIFS('Live Collections'!$S:$S,'Live Collections'!$D:$D,Disbursements!B973,'Live Collections'!$G:$G,Disbursements!C973)</f>
        <v>0</v>
      </c>
      <c r="AL973" s="540">
        <f>SUMIFS('Live Collections'!$T:$T,'Live Collections'!$D:$D,Disbursements!B973,'Live Collections'!$G:$G,Disbursements!C973)</f>
        <v>0</v>
      </c>
      <c r="AM973" s="541">
        <f t="shared" si="426"/>
        <v>0</v>
      </c>
      <c r="AN973" s="542" t="str">
        <f t="shared" si="427"/>
        <v/>
      </c>
      <c r="AO973" s="542" t="str">
        <f t="shared" si="428"/>
        <v/>
      </c>
      <c r="AP973" s="543" t="str">
        <f t="shared" si="429"/>
        <v/>
      </c>
      <c r="AQ973" s="544" t="str">
        <f t="shared" si="430"/>
        <v/>
      </c>
      <c r="AR973" s="545">
        <f t="shared" si="431"/>
        <v>0</v>
      </c>
      <c r="AS973" s="545">
        <f>IFERROR(CEILING($AR973*VLOOKUP($I973,Ref!$B$23:$E$29,4,0),1),0)</f>
        <v>0</v>
      </c>
      <c r="AT973" s="545" t="str">
        <f>IF(A973="","",IF(AP973&lt;=1,"Cleared",IF(AS973=0,"Clean",VLOOKUP($AS973,Ref!$G$23:$H$28,2))))</f>
        <v/>
      </c>
      <c r="AU973" s="546" t="str">
        <f t="shared" si="432"/>
        <v/>
      </c>
    </row>
    <row r="974" spans="1:47" ht="14.25" hidden="1" customHeight="1" x14ac:dyDescent="0.15">
      <c r="A974" s="523"/>
      <c r="B974" s="523"/>
      <c r="C974" s="523"/>
      <c r="D974" s="523"/>
      <c r="E974" s="579"/>
      <c r="F974" s="580"/>
      <c r="G974" s="524"/>
      <c r="H974" s="555"/>
      <c r="I974" s="560"/>
      <c r="J974" s="523"/>
      <c r="K974" s="528" t="str">
        <f>IFERROR(VLOOKUP($B974,'Clients-Live'!$A:$C,3,0),"")</f>
        <v/>
      </c>
      <c r="L974" s="528">
        <f>IF(E974="STL",Pricing!$D$38,IF(A974="",0,IF(A974&lt;Pricing!$C$25,Pricing!$D$25,VLOOKUP(Disbursements!$F974,Pricing!$B$29:$D$32,3))))</f>
        <v>0</v>
      </c>
      <c r="M974" s="528">
        <f>IF(E974="STL",0,IF(F974&gt;0,Pricing!$D$21,0))</f>
        <v>0</v>
      </c>
      <c r="N974" s="529">
        <f>IF(E974="STL",F974*Pricing!$D$40,IF(A974&lt;=Pricing!$C$4,0,IF(AND(A974&gt;Pricing!$C$4,Disbursements!A974&lt;=Pricing!$C$5),F974*Pricing!$E$5,IF(AND(A974&gt;Pricing!$C$5,Disbursements!A974&lt;=Pricing!$C$7),VLOOKUP(F974,Pricing!$D$7:$E$8,2)*Disbursements!F974,F974*Pricing!$E$9))))</f>
        <v>0</v>
      </c>
      <c r="O974" s="528">
        <f>IF(E974="STL",0,IF($F974&gt;0,$F974*Pricing!$D$17,0))</f>
        <v>0</v>
      </c>
      <c r="P974" s="530" t="str">
        <f t="shared" si="412"/>
        <v/>
      </c>
      <c r="Q974" s="531" t="str">
        <f>IF($A974="","",$G974/VLOOKUP($I974,Ref!$B$23:$D$29,2,0))</f>
        <v/>
      </c>
      <c r="R974" s="530" t="str">
        <f t="shared" si="413"/>
        <v/>
      </c>
      <c r="S974" s="532" t="str">
        <f t="shared" si="407"/>
        <v/>
      </c>
      <c r="T974" s="531" t="str">
        <f t="shared" si="414"/>
        <v/>
      </c>
      <c r="U974" s="533">
        <f t="shared" si="415"/>
        <v>0</v>
      </c>
      <c r="V974" s="531" t="str">
        <f t="shared" si="416"/>
        <v/>
      </c>
      <c r="W974" s="531" t="str">
        <f t="shared" si="417"/>
        <v/>
      </c>
      <c r="X974" s="534" t="str">
        <f t="shared" si="418"/>
        <v/>
      </c>
      <c r="Y974" s="535" t="str">
        <f>IF($A974="","",IF($I974="weekly",$A974+7,EDATE($A974,VLOOKUP($I974,Ref!$B$24:$C$29,2,0))))</f>
        <v/>
      </c>
      <c r="Z974" s="536" t="str">
        <f t="shared" si="419"/>
        <v/>
      </c>
      <c r="AA974" s="531">
        <f t="shared" si="420"/>
        <v>0</v>
      </c>
      <c r="AB974" s="535" t="str">
        <f t="shared" si="408"/>
        <v/>
      </c>
      <c r="AC974" s="537" t="str">
        <f t="shared" si="409"/>
        <v/>
      </c>
      <c r="AD974" s="538" t="str">
        <f t="shared" ca="1" si="410"/>
        <v/>
      </c>
      <c r="AE974" s="537">
        <f t="shared" ca="1" si="411"/>
        <v>0</v>
      </c>
      <c r="AF974" s="539" t="str">
        <f t="shared" ca="1" si="421"/>
        <v/>
      </c>
      <c r="AG974" s="531" t="str">
        <f t="shared" ca="1" si="422"/>
        <v/>
      </c>
      <c r="AH974" s="531" t="str">
        <f t="shared" ca="1" si="423"/>
        <v/>
      </c>
      <c r="AI974" s="531" t="str">
        <f t="shared" ca="1" si="424"/>
        <v/>
      </c>
      <c r="AJ974" s="531" t="str">
        <f t="shared" si="425"/>
        <v/>
      </c>
      <c r="AK974" s="540">
        <f>SUMIFS('Live Collections'!$S:$S,'Live Collections'!$D:$D,Disbursements!B974,'Live Collections'!$G:$G,Disbursements!C974)</f>
        <v>0</v>
      </c>
      <c r="AL974" s="540">
        <f>SUMIFS('Live Collections'!$T:$T,'Live Collections'!$D:$D,Disbursements!B974,'Live Collections'!$G:$G,Disbursements!C974)</f>
        <v>0</v>
      </c>
      <c r="AM974" s="541">
        <f t="shared" si="426"/>
        <v>0</v>
      </c>
      <c r="AN974" s="542" t="str">
        <f t="shared" si="427"/>
        <v/>
      </c>
      <c r="AO974" s="542" t="str">
        <f t="shared" si="428"/>
        <v/>
      </c>
      <c r="AP974" s="543" t="str">
        <f t="shared" si="429"/>
        <v/>
      </c>
      <c r="AQ974" s="544" t="str">
        <f t="shared" si="430"/>
        <v/>
      </c>
      <c r="AR974" s="545">
        <f t="shared" si="431"/>
        <v>0</v>
      </c>
      <c r="AS974" s="545">
        <f>IFERROR(CEILING($AR974*VLOOKUP($I974,Ref!$B$23:$E$29,4,0),1),0)</f>
        <v>0</v>
      </c>
      <c r="AT974" s="545" t="str">
        <f>IF(A974="","",IF(AP974&lt;=1,"Cleared",IF(AS974=0,"Clean",VLOOKUP($AS974,Ref!$G$23:$H$28,2))))</f>
        <v/>
      </c>
      <c r="AU974" s="546" t="str">
        <f t="shared" si="432"/>
        <v/>
      </c>
    </row>
    <row r="975" spans="1:47" ht="14.25" hidden="1" customHeight="1" x14ac:dyDescent="0.15">
      <c r="A975" s="523"/>
      <c r="B975" s="523"/>
      <c r="C975" s="523"/>
      <c r="D975" s="523"/>
      <c r="E975" s="579"/>
      <c r="F975" s="580"/>
      <c r="G975" s="524"/>
      <c r="H975" s="555"/>
      <c r="I975" s="560"/>
      <c r="J975" s="523"/>
      <c r="K975" s="528" t="str">
        <f>IFERROR(VLOOKUP($B975,'Clients-Live'!$A:$C,3,0),"")</f>
        <v/>
      </c>
      <c r="L975" s="528">
        <f>IF(E975="STL",Pricing!$D$38,IF(A975="",0,IF(A975&lt;Pricing!$C$25,Pricing!$D$25,VLOOKUP(Disbursements!$F975,Pricing!$B$29:$D$32,3))))</f>
        <v>0</v>
      </c>
      <c r="M975" s="528">
        <f>IF(E975="STL",0,IF(F975&gt;0,Pricing!$D$21,0))</f>
        <v>0</v>
      </c>
      <c r="N975" s="529">
        <f>IF(E975="STL",F975*Pricing!$D$40,IF(A975&lt;=Pricing!$C$4,0,IF(AND(A975&gt;Pricing!$C$4,Disbursements!A975&lt;=Pricing!$C$5),F975*Pricing!$E$5,IF(AND(A975&gt;Pricing!$C$5,Disbursements!A975&lt;=Pricing!$C$7),VLOOKUP(F975,Pricing!$D$7:$E$8,2)*Disbursements!F975,F975*Pricing!$E$9))))</f>
        <v>0</v>
      </c>
      <c r="O975" s="528">
        <f>IF(E975="STL",0,IF($F975&gt;0,$F975*Pricing!$D$17,0))</f>
        <v>0</v>
      </c>
      <c r="P975" s="530" t="str">
        <f t="shared" si="412"/>
        <v/>
      </c>
      <c r="Q975" s="531" t="str">
        <f>IF($A975="","",$G975/VLOOKUP($I975,Ref!$B$23:$D$29,2,0))</f>
        <v/>
      </c>
      <c r="R975" s="530" t="str">
        <f t="shared" si="413"/>
        <v/>
      </c>
      <c r="S975" s="532" t="str">
        <f t="shared" si="407"/>
        <v/>
      </c>
      <c r="T975" s="531" t="str">
        <f t="shared" si="414"/>
        <v/>
      </c>
      <c r="U975" s="533">
        <f t="shared" si="415"/>
        <v>0</v>
      </c>
      <c r="V975" s="531" t="str">
        <f t="shared" si="416"/>
        <v/>
      </c>
      <c r="W975" s="531" t="str">
        <f t="shared" si="417"/>
        <v/>
      </c>
      <c r="X975" s="534" t="str">
        <f t="shared" si="418"/>
        <v/>
      </c>
      <c r="Y975" s="535" t="str">
        <f>IF($A975="","",IF($I975="weekly",$A975+7,EDATE($A975,VLOOKUP($I975,Ref!$B$24:$C$29,2,0))))</f>
        <v/>
      </c>
      <c r="Z975" s="536" t="str">
        <f t="shared" si="419"/>
        <v/>
      </c>
      <c r="AA975" s="531">
        <f t="shared" si="420"/>
        <v>0</v>
      </c>
      <c r="AB975" s="535" t="str">
        <f t="shared" si="408"/>
        <v/>
      </c>
      <c r="AC975" s="537" t="str">
        <f t="shared" si="409"/>
        <v/>
      </c>
      <c r="AD975" s="538" t="str">
        <f t="shared" ca="1" si="410"/>
        <v/>
      </c>
      <c r="AE975" s="537">
        <f t="shared" ca="1" si="411"/>
        <v>0</v>
      </c>
      <c r="AF975" s="539" t="str">
        <f t="shared" ca="1" si="421"/>
        <v/>
      </c>
      <c r="AG975" s="531" t="str">
        <f t="shared" ca="1" si="422"/>
        <v/>
      </c>
      <c r="AH975" s="531" t="str">
        <f t="shared" ca="1" si="423"/>
        <v/>
      </c>
      <c r="AI975" s="531" t="str">
        <f t="shared" ca="1" si="424"/>
        <v/>
      </c>
      <c r="AJ975" s="531" t="str">
        <f t="shared" si="425"/>
        <v/>
      </c>
      <c r="AK975" s="540">
        <f>SUMIFS('Live Collections'!$S:$S,'Live Collections'!$D:$D,Disbursements!B975,'Live Collections'!$G:$G,Disbursements!C975)</f>
        <v>0</v>
      </c>
      <c r="AL975" s="540">
        <f>SUMIFS('Live Collections'!$T:$T,'Live Collections'!$D:$D,Disbursements!B975,'Live Collections'!$G:$G,Disbursements!C975)</f>
        <v>0</v>
      </c>
      <c r="AM975" s="541">
        <f t="shared" si="426"/>
        <v>0</v>
      </c>
      <c r="AN975" s="542" t="str">
        <f t="shared" si="427"/>
        <v/>
      </c>
      <c r="AO975" s="542" t="str">
        <f t="shared" si="428"/>
        <v/>
      </c>
      <c r="AP975" s="543" t="str">
        <f t="shared" si="429"/>
        <v/>
      </c>
      <c r="AQ975" s="544" t="str">
        <f t="shared" si="430"/>
        <v/>
      </c>
      <c r="AR975" s="545">
        <f t="shared" si="431"/>
        <v>0</v>
      </c>
      <c r="AS975" s="545">
        <f>IFERROR(CEILING($AR975*VLOOKUP($I975,Ref!$B$23:$E$29,4,0),1),0)</f>
        <v>0</v>
      </c>
      <c r="AT975" s="545" t="str">
        <f>IF(A975="","",IF(AP975&lt;=1,"Cleared",IF(AS975=0,"Clean",VLOOKUP($AS975,Ref!$G$23:$H$28,2))))</f>
        <v/>
      </c>
      <c r="AU975" s="546" t="str">
        <f t="shared" si="432"/>
        <v/>
      </c>
    </row>
    <row r="976" spans="1:47" ht="14.25" hidden="1" customHeight="1" x14ac:dyDescent="0.15">
      <c r="A976" s="523"/>
      <c r="B976" s="523"/>
      <c r="C976" s="523"/>
      <c r="D976" s="523"/>
      <c r="E976" s="579"/>
      <c r="F976" s="580"/>
      <c r="G976" s="524"/>
      <c r="H976" s="555"/>
      <c r="I976" s="560"/>
      <c r="J976" s="523"/>
      <c r="K976" s="528" t="str">
        <f>IFERROR(VLOOKUP($B976,'Clients-Live'!$A:$C,3,0),"")</f>
        <v/>
      </c>
      <c r="L976" s="528">
        <f>IF(E976="STL",Pricing!$D$38,IF(A976="",0,IF(A976&lt;Pricing!$C$25,Pricing!$D$25,VLOOKUP(Disbursements!$F976,Pricing!$B$29:$D$32,3))))</f>
        <v>0</v>
      </c>
      <c r="M976" s="528">
        <f>IF(E976="STL",0,IF(F976&gt;0,Pricing!$D$21,0))</f>
        <v>0</v>
      </c>
      <c r="N976" s="529">
        <f>IF(E976="STL",F976*Pricing!$D$40,IF(A976&lt;=Pricing!$C$4,0,IF(AND(A976&gt;Pricing!$C$4,Disbursements!A976&lt;=Pricing!$C$5),F976*Pricing!$E$5,IF(AND(A976&gt;Pricing!$C$5,Disbursements!A976&lt;=Pricing!$C$7),VLOOKUP(F976,Pricing!$D$7:$E$8,2)*Disbursements!F976,F976*Pricing!$E$9))))</f>
        <v>0</v>
      </c>
      <c r="O976" s="528">
        <f>IF(E976="STL",0,IF($F976&gt;0,$F976*Pricing!$D$17,0))</f>
        <v>0</v>
      </c>
      <c r="P976" s="530" t="str">
        <f t="shared" si="412"/>
        <v/>
      </c>
      <c r="Q976" s="531" t="str">
        <f>IF($A976="","",$G976/VLOOKUP($I976,Ref!$B$23:$D$29,2,0))</f>
        <v/>
      </c>
      <c r="R976" s="530" t="str">
        <f t="shared" si="413"/>
        <v/>
      </c>
      <c r="S976" s="532" t="str">
        <f t="shared" si="407"/>
        <v/>
      </c>
      <c r="T976" s="531" t="str">
        <f t="shared" si="414"/>
        <v/>
      </c>
      <c r="U976" s="533">
        <f t="shared" si="415"/>
        <v>0</v>
      </c>
      <c r="V976" s="531" t="str">
        <f t="shared" si="416"/>
        <v/>
      </c>
      <c r="W976" s="531" t="str">
        <f t="shared" si="417"/>
        <v/>
      </c>
      <c r="X976" s="534" t="str">
        <f t="shared" si="418"/>
        <v/>
      </c>
      <c r="Y976" s="535" t="str">
        <f>IF($A976="","",IF($I976="weekly",$A976+7,EDATE($A976,VLOOKUP($I976,Ref!$B$24:$C$29,2,0))))</f>
        <v/>
      </c>
      <c r="Z976" s="536" t="str">
        <f t="shared" si="419"/>
        <v/>
      </c>
      <c r="AA976" s="531">
        <f t="shared" si="420"/>
        <v>0</v>
      </c>
      <c r="AB976" s="535" t="str">
        <f t="shared" si="408"/>
        <v/>
      </c>
      <c r="AC976" s="537" t="str">
        <f t="shared" si="409"/>
        <v/>
      </c>
      <c r="AD976" s="538" t="str">
        <f t="shared" ca="1" si="410"/>
        <v/>
      </c>
      <c r="AE976" s="537">
        <f t="shared" ca="1" si="411"/>
        <v>0</v>
      </c>
      <c r="AF976" s="539" t="str">
        <f t="shared" ca="1" si="421"/>
        <v/>
      </c>
      <c r="AG976" s="531" t="str">
        <f t="shared" ca="1" si="422"/>
        <v/>
      </c>
      <c r="AH976" s="531" t="str">
        <f t="shared" ca="1" si="423"/>
        <v/>
      </c>
      <c r="AI976" s="531" t="str">
        <f t="shared" ca="1" si="424"/>
        <v/>
      </c>
      <c r="AJ976" s="531" t="str">
        <f t="shared" si="425"/>
        <v/>
      </c>
      <c r="AK976" s="540">
        <f>SUMIFS('Live Collections'!$S:$S,'Live Collections'!$D:$D,Disbursements!B976,'Live Collections'!$G:$G,Disbursements!C976)</f>
        <v>0</v>
      </c>
      <c r="AL976" s="540">
        <f>SUMIFS('Live Collections'!$T:$T,'Live Collections'!$D:$D,Disbursements!B976,'Live Collections'!$G:$G,Disbursements!C976)</f>
        <v>0</v>
      </c>
      <c r="AM976" s="541">
        <f t="shared" si="426"/>
        <v>0</v>
      </c>
      <c r="AN976" s="542" t="str">
        <f t="shared" si="427"/>
        <v/>
      </c>
      <c r="AO976" s="542" t="str">
        <f t="shared" si="428"/>
        <v/>
      </c>
      <c r="AP976" s="543" t="str">
        <f t="shared" si="429"/>
        <v/>
      </c>
      <c r="AQ976" s="544" t="str">
        <f t="shared" si="430"/>
        <v/>
      </c>
      <c r="AR976" s="545">
        <f t="shared" si="431"/>
        <v>0</v>
      </c>
      <c r="AS976" s="545">
        <f>IFERROR(CEILING($AR976*VLOOKUP($I976,Ref!$B$23:$E$29,4,0),1),0)</f>
        <v>0</v>
      </c>
      <c r="AT976" s="545" t="str">
        <f>IF(A976="","",IF(AP976&lt;=1,"Cleared",IF(AS976=0,"Clean",VLOOKUP($AS976,Ref!$G$23:$H$28,2))))</f>
        <v/>
      </c>
      <c r="AU976" s="546" t="str">
        <f t="shared" si="432"/>
        <v/>
      </c>
    </row>
    <row r="977" spans="1:47" ht="14.25" hidden="1" customHeight="1" x14ac:dyDescent="0.15">
      <c r="A977" s="523"/>
      <c r="B977" s="523"/>
      <c r="C977" s="523"/>
      <c r="D977" s="523"/>
      <c r="E977" s="579"/>
      <c r="F977" s="580"/>
      <c r="G977" s="524"/>
      <c r="H977" s="555"/>
      <c r="I977" s="560"/>
      <c r="J977" s="523"/>
      <c r="K977" s="528" t="str">
        <f>IFERROR(VLOOKUP($B977,'Clients-Live'!$A:$C,3,0),"")</f>
        <v/>
      </c>
      <c r="L977" s="528">
        <f>IF(E977="STL",Pricing!$D$38,IF(A977="",0,IF(A977&lt;Pricing!$C$25,Pricing!$D$25,VLOOKUP(Disbursements!$F977,Pricing!$B$29:$D$32,3))))</f>
        <v>0</v>
      </c>
      <c r="M977" s="528">
        <f>IF(E977="STL",0,IF(F977&gt;0,Pricing!$D$21,0))</f>
        <v>0</v>
      </c>
      <c r="N977" s="529">
        <f>IF(E977="STL",F977*Pricing!$D$40,IF(A977&lt;=Pricing!$C$4,0,IF(AND(A977&gt;Pricing!$C$4,Disbursements!A977&lt;=Pricing!$C$5),F977*Pricing!$E$5,IF(AND(A977&gt;Pricing!$C$5,Disbursements!A977&lt;=Pricing!$C$7),VLOOKUP(F977,Pricing!$D$7:$E$8,2)*Disbursements!F977,F977*Pricing!$E$9))))</f>
        <v>0</v>
      </c>
      <c r="O977" s="528">
        <f>IF(E977="STL",0,IF($F977&gt;0,$F977*Pricing!$D$17,0))</f>
        <v>0</v>
      </c>
      <c r="P977" s="530" t="str">
        <f t="shared" si="412"/>
        <v/>
      </c>
      <c r="Q977" s="531" t="str">
        <f>IF($A977="","",$G977/VLOOKUP($I977,Ref!$B$23:$D$29,2,0))</f>
        <v/>
      </c>
      <c r="R977" s="530" t="str">
        <f t="shared" si="413"/>
        <v/>
      </c>
      <c r="S977" s="532" t="str">
        <f t="shared" si="407"/>
        <v/>
      </c>
      <c r="T977" s="531" t="str">
        <f t="shared" si="414"/>
        <v/>
      </c>
      <c r="U977" s="533">
        <f t="shared" si="415"/>
        <v>0</v>
      </c>
      <c r="V977" s="531" t="str">
        <f t="shared" si="416"/>
        <v/>
      </c>
      <c r="W977" s="531" t="str">
        <f t="shared" si="417"/>
        <v/>
      </c>
      <c r="X977" s="534" t="str">
        <f t="shared" si="418"/>
        <v/>
      </c>
      <c r="Y977" s="535" t="str">
        <f>IF($A977="","",IF($I977="weekly",$A977+7,EDATE($A977,VLOOKUP($I977,Ref!$B$24:$C$29,2,0))))</f>
        <v/>
      </c>
      <c r="Z977" s="536" t="str">
        <f t="shared" si="419"/>
        <v/>
      </c>
      <c r="AA977" s="531">
        <f t="shared" si="420"/>
        <v>0</v>
      </c>
      <c r="AB977" s="535" t="str">
        <f t="shared" si="408"/>
        <v/>
      </c>
      <c r="AC977" s="537" t="str">
        <f t="shared" si="409"/>
        <v/>
      </c>
      <c r="AD977" s="538" t="str">
        <f t="shared" ca="1" si="410"/>
        <v/>
      </c>
      <c r="AE977" s="537">
        <f t="shared" ca="1" si="411"/>
        <v>0</v>
      </c>
      <c r="AF977" s="539" t="str">
        <f t="shared" ca="1" si="421"/>
        <v/>
      </c>
      <c r="AG977" s="531" t="str">
        <f t="shared" ca="1" si="422"/>
        <v/>
      </c>
      <c r="AH977" s="531" t="str">
        <f t="shared" ca="1" si="423"/>
        <v/>
      </c>
      <c r="AI977" s="531" t="str">
        <f t="shared" ca="1" si="424"/>
        <v/>
      </c>
      <c r="AJ977" s="531" t="str">
        <f t="shared" si="425"/>
        <v/>
      </c>
      <c r="AK977" s="540">
        <f>SUMIFS('Live Collections'!$S:$S,'Live Collections'!$D:$D,Disbursements!B977,'Live Collections'!$G:$G,Disbursements!C977)</f>
        <v>0</v>
      </c>
      <c r="AL977" s="540">
        <f>SUMIFS('Live Collections'!$T:$T,'Live Collections'!$D:$D,Disbursements!B977,'Live Collections'!$G:$G,Disbursements!C977)</f>
        <v>0</v>
      </c>
      <c r="AM977" s="541">
        <f t="shared" si="426"/>
        <v>0</v>
      </c>
      <c r="AN977" s="542" t="str">
        <f t="shared" si="427"/>
        <v/>
      </c>
      <c r="AO977" s="542" t="str">
        <f t="shared" si="428"/>
        <v/>
      </c>
      <c r="AP977" s="543" t="str">
        <f t="shared" si="429"/>
        <v/>
      </c>
      <c r="AQ977" s="544" t="str">
        <f t="shared" si="430"/>
        <v/>
      </c>
      <c r="AR977" s="545">
        <f t="shared" si="431"/>
        <v>0</v>
      </c>
      <c r="AS977" s="545">
        <f>IFERROR(CEILING($AR977*VLOOKUP($I977,Ref!$B$23:$E$29,4,0),1),0)</f>
        <v>0</v>
      </c>
      <c r="AT977" s="545" t="str">
        <f>IF(A977="","",IF(AP977&lt;=1,"Cleared",IF(AS977=0,"Clean",VLOOKUP($AS977,Ref!$G$23:$H$28,2))))</f>
        <v/>
      </c>
      <c r="AU977" s="546" t="str">
        <f t="shared" si="432"/>
        <v/>
      </c>
    </row>
    <row r="978" spans="1:47" ht="14.25" hidden="1" customHeight="1" x14ac:dyDescent="0.15">
      <c r="A978" s="523"/>
      <c r="B978" s="523"/>
      <c r="C978" s="523"/>
      <c r="D978" s="523"/>
      <c r="E978" s="579"/>
      <c r="F978" s="580"/>
      <c r="G978" s="524"/>
      <c r="H978" s="555"/>
      <c r="I978" s="560"/>
      <c r="J978" s="523"/>
      <c r="K978" s="528" t="str">
        <f>IFERROR(VLOOKUP($B978,'Clients-Live'!$A:$C,3,0),"")</f>
        <v/>
      </c>
      <c r="L978" s="528">
        <f>IF(E978="STL",Pricing!$D$38,IF(A978="",0,IF(A978&lt;Pricing!$C$25,Pricing!$D$25,VLOOKUP(Disbursements!$F978,Pricing!$B$29:$D$32,3))))</f>
        <v>0</v>
      </c>
      <c r="M978" s="528">
        <f>IF(E978="STL",0,IF(F978&gt;0,Pricing!$D$21,0))</f>
        <v>0</v>
      </c>
      <c r="N978" s="529">
        <f>IF(E978="STL",F978*Pricing!$D$40,IF(A978&lt;=Pricing!$C$4,0,IF(AND(A978&gt;Pricing!$C$4,Disbursements!A978&lt;=Pricing!$C$5),F978*Pricing!$E$5,IF(AND(A978&gt;Pricing!$C$5,Disbursements!A978&lt;=Pricing!$C$7),VLOOKUP(F978,Pricing!$D$7:$E$8,2)*Disbursements!F978,F978*Pricing!$E$9))))</f>
        <v>0</v>
      </c>
      <c r="O978" s="528">
        <f>IF(E978="STL",0,IF($F978&gt;0,$F978*Pricing!$D$17,0))</f>
        <v>0</v>
      </c>
      <c r="P978" s="530" t="str">
        <f t="shared" si="412"/>
        <v/>
      </c>
      <c r="Q978" s="531" t="str">
        <f>IF($A978="","",$G978/VLOOKUP($I978,Ref!$B$23:$D$29,2,0))</f>
        <v/>
      </c>
      <c r="R978" s="530" t="str">
        <f t="shared" si="413"/>
        <v/>
      </c>
      <c r="S978" s="532" t="str">
        <f t="shared" si="407"/>
        <v/>
      </c>
      <c r="T978" s="531" t="str">
        <f t="shared" si="414"/>
        <v/>
      </c>
      <c r="U978" s="533">
        <f t="shared" si="415"/>
        <v>0</v>
      </c>
      <c r="V978" s="531" t="str">
        <f t="shared" si="416"/>
        <v/>
      </c>
      <c r="W978" s="531" t="str">
        <f t="shared" si="417"/>
        <v/>
      </c>
      <c r="X978" s="534" t="str">
        <f t="shared" si="418"/>
        <v/>
      </c>
      <c r="Y978" s="535" t="str">
        <f>IF($A978="","",IF($I978="weekly",$A978+7,EDATE($A978,VLOOKUP($I978,Ref!$B$24:$C$29,2,0))))</f>
        <v/>
      </c>
      <c r="Z978" s="536" t="str">
        <f t="shared" si="419"/>
        <v/>
      </c>
      <c r="AA978" s="531">
        <f t="shared" si="420"/>
        <v>0</v>
      </c>
      <c r="AB978" s="535" t="str">
        <f t="shared" si="408"/>
        <v/>
      </c>
      <c r="AC978" s="537" t="str">
        <f t="shared" si="409"/>
        <v/>
      </c>
      <c r="AD978" s="538" t="str">
        <f t="shared" ca="1" si="410"/>
        <v/>
      </c>
      <c r="AE978" s="537">
        <f t="shared" ca="1" si="411"/>
        <v>0</v>
      </c>
      <c r="AF978" s="539" t="str">
        <f t="shared" ca="1" si="421"/>
        <v/>
      </c>
      <c r="AG978" s="531" t="str">
        <f t="shared" ca="1" si="422"/>
        <v/>
      </c>
      <c r="AH978" s="531" t="str">
        <f t="shared" ca="1" si="423"/>
        <v/>
      </c>
      <c r="AI978" s="531" t="str">
        <f t="shared" ca="1" si="424"/>
        <v/>
      </c>
      <c r="AJ978" s="531" t="str">
        <f t="shared" si="425"/>
        <v/>
      </c>
      <c r="AK978" s="540">
        <f>SUMIFS('Live Collections'!$S:$S,'Live Collections'!$D:$D,Disbursements!B978,'Live Collections'!$G:$G,Disbursements!C978)</f>
        <v>0</v>
      </c>
      <c r="AL978" s="540">
        <f>SUMIFS('Live Collections'!$T:$T,'Live Collections'!$D:$D,Disbursements!B978,'Live Collections'!$G:$G,Disbursements!C978)</f>
        <v>0</v>
      </c>
      <c r="AM978" s="541">
        <f t="shared" si="426"/>
        <v>0</v>
      </c>
      <c r="AN978" s="542" t="str">
        <f t="shared" si="427"/>
        <v/>
      </c>
      <c r="AO978" s="542" t="str">
        <f t="shared" si="428"/>
        <v/>
      </c>
      <c r="AP978" s="543" t="str">
        <f t="shared" si="429"/>
        <v/>
      </c>
      <c r="AQ978" s="544" t="str">
        <f t="shared" si="430"/>
        <v/>
      </c>
      <c r="AR978" s="545">
        <f t="shared" si="431"/>
        <v>0</v>
      </c>
      <c r="AS978" s="545">
        <f>IFERROR(CEILING($AR978*VLOOKUP($I978,Ref!$B$23:$E$29,4,0),1),0)</f>
        <v>0</v>
      </c>
      <c r="AT978" s="545" t="str">
        <f>IF(A978="","",IF(AP978&lt;=1,"Cleared",IF(AS978=0,"Clean",VLOOKUP($AS978,Ref!$G$23:$H$28,2))))</f>
        <v/>
      </c>
      <c r="AU978" s="546" t="str">
        <f t="shared" si="432"/>
        <v/>
      </c>
    </row>
    <row r="979" spans="1:47" ht="14.25" hidden="1" customHeight="1" x14ac:dyDescent="0.15">
      <c r="A979" s="523"/>
      <c r="B979" s="523"/>
      <c r="C979" s="523"/>
      <c r="D979" s="523"/>
      <c r="E979" s="579"/>
      <c r="F979" s="580"/>
      <c r="G979" s="524"/>
      <c r="H979" s="555"/>
      <c r="I979" s="560"/>
      <c r="J979" s="523"/>
      <c r="K979" s="528" t="str">
        <f>IFERROR(VLOOKUP($B979,'Clients-Live'!$A:$C,3,0),"")</f>
        <v/>
      </c>
      <c r="L979" s="528">
        <f>IF(E979="STL",Pricing!$D$38,IF(A979="",0,IF(A979&lt;Pricing!$C$25,Pricing!$D$25,VLOOKUP(Disbursements!$F979,Pricing!$B$29:$D$32,3))))</f>
        <v>0</v>
      </c>
      <c r="M979" s="528">
        <f>IF(E979="STL",0,IF(F979&gt;0,Pricing!$D$21,0))</f>
        <v>0</v>
      </c>
      <c r="N979" s="529">
        <f>IF(E979="STL",F979*Pricing!$D$40,IF(A979&lt;=Pricing!$C$4,0,IF(AND(A979&gt;Pricing!$C$4,Disbursements!A979&lt;=Pricing!$C$5),F979*Pricing!$E$5,IF(AND(A979&gt;Pricing!$C$5,Disbursements!A979&lt;=Pricing!$C$7),VLOOKUP(F979,Pricing!$D$7:$E$8,2)*Disbursements!F979,F979*Pricing!$E$9))))</f>
        <v>0</v>
      </c>
      <c r="O979" s="528">
        <f>IF(E979="STL",0,IF($F979&gt;0,$F979*Pricing!$D$17,0))</f>
        <v>0</v>
      </c>
      <c r="P979" s="530" t="str">
        <f t="shared" si="412"/>
        <v/>
      </c>
      <c r="Q979" s="531" t="str">
        <f>IF($A979="","",$G979/VLOOKUP($I979,Ref!$B$23:$D$29,2,0))</f>
        <v/>
      </c>
      <c r="R979" s="530" t="str">
        <f t="shared" si="413"/>
        <v/>
      </c>
      <c r="S979" s="532" t="str">
        <f t="shared" si="407"/>
        <v/>
      </c>
      <c r="T979" s="531" t="str">
        <f t="shared" si="414"/>
        <v/>
      </c>
      <c r="U979" s="533">
        <f t="shared" si="415"/>
        <v>0</v>
      </c>
      <c r="V979" s="531" t="str">
        <f t="shared" si="416"/>
        <v/>
      </c>
      <c r="W979" s="531" t="str">
        <f t="shared" si="417"/>
        <v/>
      </c>
      <c r="X979" s="534" t="str">
        <f t="shared" si="418"/>
        <v/>
      </c>
      <c r="Y979" s="535" t="str">
        <f>IF($A979="","",IF($I979="weekly",$A979+7,EDATE($A979,VLOOKUP($I979,Ref!$B$24:$C$29,2,0))))</f>
        <v/>
      </c>
      <c r="Z979" s="536" t="str">
        <f t="shared" si="419"/>
        <v/>
      </c>
      <c r="AA979" s="531">
        <f t="shared" si="420"/>
        <v>0</v>
      </c>
      <c r="AB979" s="535" t="str">
        <f t="shared" si="408"/>
        <v/>
      </c>
      <c r="AC979" s="537" t="str">
        <f t="shared" si="409"/>
        <v/>
      </c>
      <c r="AD979" s="538" t="str">
        <f t="shared" ca="1" si="410"/>
        <v/>
      </c>
      <c r="AE979" s="537">
        <f t="shared" ca="1" si="411"/>
        <v>0</v>
      </c>
      <c r="AF979" s="539" t="str">
        <f t="shared" ca="1" si="421"/>
        <v/>
      </c>
      <c r="AG979" s="531" t="str">
        <f t="shared" ca="1" si="422"/>
        <v/>
      </c>
      <c r="AH979" s="531" t="str">
        <f t="shared" ca="1" si="423"/>
        <v/>
      </c>
      <c r="AI979" s="531" t="str">
        <f t="shared" ca="1" si="424"/>
        <v/>
      </c>
      <c r="AJ979" s="531" t="str">
        <f t="shared" si="425"/>
        <v/>
      </c>
      <c r="AK979" s="540">
        <f>SUMIFS('Live Collections'!$S:$S,'Live Collections'!$D:$D,Disbursements!B979,'Live Collections'!$G:$G,Disbursements!C979)</f>
        <v>0</v>
      </c>
      <c r="AL979" s="540">
        <f>SUMIFS('Live Collections'!$T:$T,'Live Collections'!$D:$D,Disbursements!B979,'Live Collections'!$G:$G,Disbursements!C979)</f>
        <v>0</v>
      </c>
      <c r="AM979" s="541">
        <f t="shared" si="426"/>
        <v>0</v>
      </c>
      <c r="AN979" s="542" t="str">
        <f t="shared" si="427"/>
        <v/>
      </c>
      <c r="AO979" s="542" t="str">
        <f t="shared" si="428"/>
        <v/>
      </c>
      <c r="AP979" s="543" t="str">
        <f t="shared" si="429"/>
        <v/>
      </c>
      <c r="AQ979" s="544" t="str">
        <f t="shared" si="430"/>
        <v/>
      </c>
      <c r="AR979" s="545">
        <f t="shared" si="431"/>
        <v>0</v>
      </c>
      <c r="AS979" s="545">
        <f>IFERROR(CEILING($AR979*VLOOKUP($I979,Ref!$B$23:$E$29,4,0),1),0)</f>
        <v>0</v>
      </c>
      <c r="AT979" s="545" t="str">
        <f>IF(A979="","",IF(AP979&lt;=1,"Cleared",IF(AS979=0,"Clean",VLOOKUP($AS979,Ref!$G$23:$H$28,2))))</f>
        <v/>
      </c>
      <c r="AU979" s="546" t="str">
        <f t="shared" si="432"/>
        <v/>
      </c>
    </row>
    <row r="980" spans="1:47" ht="14.25" hidden="1" customHeight="1" x14ac:dyDescent="0.15">
      <c r="A980" s="523"/>
      <c r="B980" s="523"/>
      <c r="C980" s="523"/>
      <c r="D980" s="523"/>
      <c r="E980" s="579"/>
      <c r="F980" s="580"/>
      <c r="G980" s="524"/>
      <c r="H980" s="555"/>
      <c r="I980" s="560"/>
      <c r="J980" s="523"/>
      <c r="K980" s="528" t="str">
        <f>IFERROR(VLOOKUP($B980,'Clients-Live'!$A:$C,3,0),"")</f>
        <v/>
      </c>
      <c r="L980" s="528">
        <f>IF(E980="STL",Pricing!$D$38,IF(A980="",0,IF(A980&lt;Pricing!$C$25,Pricing!$D$25,VLOOKUP(Disbursements!$F980,Pricing!$B$29:$D$32,3))))</f>
        <v>0</v>
      </c>
      <c r="M980" s="528">
        <f>IF(E980="STL",0,IF(F980&gt;0,Pricing!$D$21,0))</f>
        <v>0</v>
      </c>
      <c r="N980" s="529">
        <f>IF(E980="STL",F980*Pricing!$D$40,IF(A980&lt;=Pricing!$C$4,0,IF(AND(A980&gt;Pricing!$C$4,Disbursements!A980&lt;=Pricing!$C$5),F980*Pricing!$E$5,IF(AND(A980&gt;Pricing!$C$5,Disbursements!A980&lt;=Pricing!$C$7),VLOOKUP(F980,Pricing!$D$7:$E$8,2)*Disbursements!F980,F980*Pricing!$E$9))))</f>
        <v>0</v>
      </c>
      <c r="O980" s="528">
        <f>IF(E980="STL",0,IF($F980&gt;0,$F980*Pricing!$D$17,0))</f>
        <v>0</v>
      </c>
      <c r="P980" s="530" t="str">
        <f t="shared" si="412"/>
        <v/>
      </c>
      <c r="Q980" s="531" t="str">
        <f>IF($A980="","",$G980/VLOOKUP($I980,Ref!$B$23:$D$29,2,0))</f>
        <v/>
      </c>
      <c r="R980" s="530" t="str">
        <f t="shared" si="413"/>
        <v/>
      </c>
      <c r="S980" s="532" t="str">
        <f t="shared" si="407"/>
        <v/>
      </c>
      <c r="T980" s="531" t="str">
        <f t="shared" si="414"/>
        <v/>
      </c>
      <c r="U980" s="533">
        <f t="shared" si="415"/>
        <v>0</v>
      </c>
      <c r="V980" s="531" t="str">
        <f t="shared" si="416"/>
        <v/>
      </c>
      <c r="W980" s="531" t="str">
        <f t="shared" si="417"/>
        <v/>
      </c>
      <c r="X980" s="534" t="str">
        <f t="shared" si="418"/>
        <v/>
      </c>
      <c r="Y980" s="535" t="str">
        <f>IF($A980="","",IF($I980="weekly",$A980+7,EDATE($A980,VLOOKUP($I980,Ref!$B$24:$C$29,2,0))))</f>
        <v/>
      </c>
      <c r="Z980" s="536" t="str">
        <f t="shared" si="419"/>
        <v/>
      </c>
      <c r="AA980" s="531">
        <f t="shared" si="420"/>
        <v>0</v>
      </c>
      <c r="AB980" s="535" t="str">
        <f t="shared" si="408"/>
        <v/>
      </c>
      <c r="AC980" s="537" t="str">
        <f t="shared" si="409"/>
        <v/>
      </c>
      <c r="AD980" s="538" t="str">
        <f t="shared" ca="1" si="410"/>
        <v/>
      </c>
      <c r="AE980" s="537">
        <f t="shared" ca="1" si="411"/>
        <v>0</v>
      </c>
      <c r="AF980" s="539" t="str">
        <f t="shared" ca="1" si="421"/>
        <v/>
      </c>
      <c r="AG980" s="531" t="str">
        <f t="shared" ca="1" si="422"/>
        <v/>
      </c>
      <c r="AH980" s="531" t="str">
        <f t="shared" ca="1" si="423"/>
        <v/>
      </c>
      <c r="AI980" s="531" t="str">
        <f t="shared" ca="1" si="424"/>
        <v/>
      </c>
      <c r="AJ980" s="531" t="str">
        <f t="shared" si="425"/>
        <v/>
      </c>
      <c r="AK980" s="540">
        <f>SUMIFS('Live Collections'!$S:$S,'Live Collections'!$D:$D,Disbursements!B980,'Live Collections'!$G:$G,Disbursements!C980)</f>
        <v>0</v>
      </c>
      <c r="AL980" s="540">
        <f>SUMIFS('Live Collections'!$T:$T,'Live Collections'!$D:$D,Disbursements!B980,'Live Collections'!$G:$G,Disbursements!C980)</f>
        <v>0</v>
      </c>
      <c r="AM980" s="541">
        <f t="shared" si="426"/>
        <v>0</v>
      </c>
      <c r="AN980" s="542" t="str">
        <f t="shared" si="427"/>
        <v/>
      </c>
      <c r="AO980" s="542" t="str">
        <f t="shared" si="428"/>
        <v/>
      </c>
      <c r="AP980" s="543" t="str">
        <f t="shared" si="429"/>
        <v/>
      </c>
      <c r="AQ980" s="544" t="str">
        <f t="shared" si="430"/>
        <v/>
      </c>
      <c r="AR980" s="545">
        <f t="shared" si="431"/>
        <v>0</v>
      </c>
      <c r="AS980" s="545">
        <f>IFERROR(CEILING($AR980*VLOOKUP($I980,Ref!$B$23:$E$29,4,0),1),0)</f>
        <v>0</v>
      </c>
      <c r="AT980" s="545" t="str">
        <f>IF(A980="","",IF(AP980&lt;=1,"Cleared",IF(AS980=0,"Clean",VLOOKUP($AS980,Ref!$G$23:$H$28,2))))</f>
        <v/>
      </c>
      <c r="AU980" s="546" t="str">
        <f t="shared" si="432"/>
        <v/>
      </c>
    </row>
    <row r="981" spans="1:47" ht="14.25" hidden="1" customHeight="1" x14ac:dyDescent="0.15">
      <c r="A981" s="523"/>
      <c r="B981" s="523"/>
      <c r="C981" s="523"/>
      <c r="D981" s="523"/>
      <c r="E981" s="579"/>
      <c r="F981" s="580"/>
      <c r="G981" s="524"/>
      <c r="H981" s="555"/>
      <c r="I981" s="560"/>
      <c r="J981" s="523"/>
      <c r="K981" s="528" t="str">
        <f>IFERROR(VLOOKUP($B981,'Clients-Live'!$A:$C,3,0),"")</f>
        <v/>
      </c>
      <c r="L981" s="528">
        <f>IF(E981="STL",Pricing!$D$38,IF(A981="",0,IF(A981&lt;Pricing!$C$25,Pricing!$D$25,VLOOKUP(Disbursements!$F981,Pricing!$B$29:$D$32,3))))</f>
        <v>0</v>
      </c>
      <c r="M981" s="528">
        <f>IF(E981="STL",0,IF(F981&gt;0,Pricing!$D$21,0))</f>
        <v>0</v>
      </c>
      <c r="N981" s="529">
        <f>IF(E981="STL",F981*Pricing!$D$40,IF(A981&lt;=Pricing!$C$4,0,IF(AND(A981&gt;Pricing!$C$4,Disbursements!A981&lt;=Pricing!$C$5),F981*Pricing!$E$5,IF(AND(A981&gt;Pricing!$C$5,Disbursements!A981&lt;=Pricing!$C$7),VLOOKUP(F981,Pricing!$D$7:$E$8,2)*Disbursements!F981,F981*Pricing!$E$9))))</f>
        <v>0</v>
      </c>
      <c r="O981" s="528">
        <f>IF(E981="STL",0,IF($F981&gt;0,$F981*Pricing!$D$17,0))</f>
        <v>0</v>
      </c>
      <c r="P981" s="530" t="str">
        <f t="shared" si="412"/>
        <v/>
      </c>
      <c r="Q981" s="531" t="str">
        <f>IF($A981="","",$G981/VLOOKUP($I981,Ref!$B$23:$D$29,2,0))</f>
        <v/>
      </c>
      <c r="R981" s="530" t="str">
        <f t="shared" si="413"/>
        <v/>
      </c>
      <c r="S981" s="532" t="str">
        <f t="shared" si="407"/>
        <v/>
      </c>
      <c r="T981" s="531" t="str">
        <f t="shared" si="414"/>
        <v/>
      </c>
      <c r="U981" s="533">
        <f t="shared" si="415"/>
        <v>0</v>
      </c>
      <c r="V981" s="531" t="str">
        <f t="shared" si="416"/>
        <v/>
      </c>
      <c r="W981" s="531" t="str">
        <f t="shared" si="417"/>
        <v/>
      </c>
      <c r="X981" s="534" t="str">
        <f t="shared" si="418"/>
        <v/>
      </c>
      <c r="Y981" s="535" t="str">
        <f>IF($A981="","",IF($I981="weekly",$A981+7,EDATE($A981,VLOOKUP($I981,Ref!$B$24:$C$29,2,0))))</f>
        <v/>
      </c>
      <c r="Z981" s="536" t="str">
        <f t="shared" si="419"/>
        <v/>
      </c>
      <c r="AA981" s="531">
        <f t="shared" si="420"/>
        <v>0</v>
      </c>
      <c r="AB981" s="535" t="str">
        <f t="shared" si="408"/>
        <v/>
      </c>
      <c r="AC981" s="537" t="str">
        <f t="shared" si="409"/>
        <v/>
      </c>
      <c r="AD981" s="538" t="str">
        <f t="shared" ca="1" si="410"/>
        <v/>
      </c>
      <c r="AE981" s="537">
        <f t="shared" ca="1" si="411"/>
        <v>0</v>
      </c>
      <c r="AF981" s="539" t="str">
        <f t="shared" ca="1" si="421"/>
        <v/>
      </c>
      <c r="AG981" s="531" t="str">
        <f t="shared" ca="1" si="422"/>
        <v/>
      </c>
      <c r="AH981" s="531" t="str">
        <f t="shared" ca="1" si="423"/>
        <v/>
      </c>
      <c r="AI981" s="531" t="str">
        <f t="shared" ca="1" si="424"/>
        <v/>
      </c>
      <c r="AJ981" s="531" t="str">
        <f t="shared" si="425"/>
        <v/>
      </c>
      <c r="AK981" s="540">
        <f>SUMIFS('Live Collections'!$S:$S,'Live Collections'!$D:$D,Disbursements!B981,'Live Collections'!$G:$G,Disbursements!C981)</f>
        <v>0</v>
      </c>
      <c r="AL981" s="540">
        <f>SUMIFS('Live Collections'!$T:$T,'Live Collections'!$D:$D,Disbursements!B981,'Live Collections'!$G:$G,Disbursements!C981)</f>
        <v>0</v>
      </c>
      <c r="AM981" s="541">
        <f t="shared" si="426"/>
        <v>0</v>
      </c>
      <c r="AN981" s="542" t="str">
        <f t="shared" si="427"/>
        <v/>
      </c>
      <c r="AO981" s="542" t="str">
        <f t="shared" si="428"/>
        <v/>
      </c>
      <c r="AP981" s="543" t="str">
        <f t="shared" si="429"/>
        <v/>
      </c>
      <c r="AQ981" s="544" t="str">
        <f t="shared" si="430"/>
        <v/>
      </c>
      <c r="AR981" s="545">
        <f t="shared" si="431"/>
        <v>0</v>
      </c>
      <c r="AS981" s="545">
        <f>IFERROR(CEILING($AR981*VLOOKUP($I981,Ref!$B$23:$E$29,4,0),1),0)</f>
        <v>0</v>
      </c>
      <c r="AT981" s="545" t="str">
        <f>IF(A981="","",IF(AP981&lt;=1,"Cleared",IF(AS981=0,"Clean",VLOOKUP($AS981,Ref!$G$23:$H$28,2))))</f>
        <v/>
      </c>
      <c r="AU981" s="546" t="str">
        <f t="shared" si="432"/>
        <v/>
      </c>
    </row>
    <row r="982" spans="1:47" ht="14.25" hidden="1" customHeight="1" x14ac:dyDescent="0.15">
      <c r="A982" s="523"/>
      <c r="B982" s="523"/>
      <c r="C982" s="523"/>
      <c r="D982" s="523"/>
      <c r="E982" s="579"/>
      <c r="F982" s="580"/>
      <c r="G982" s="524"/>
      <c r="H982" s="555"/>
      <c r="I982" s="560"/>
      <c r="J982" s="523"/>
      <c r="K982" s="528" t="str">
        <f>IFERROR(VLOOKUP($B982,'Clients-Live'!$A:$C,3,0),"")</f>
        <v/>
      </c>
      <c r="L982" s="528">
        <f>IF(E982="STL",Pricing!$D$38,IF(A982="",0,IF(A982&lt;Pricing!$C$25,Pricing!$D$25,VLOOKUP(Disbursements!$F982,Pricing!$B$29:$D$32,3))))</f>
        <v>0</v>
      </c>
      <c r="M982" s="528">
        <f>IF(E982="STL",0,IF(F982&gt;0,Pricing!$D$21,0))</f>
        <v>0</v>
      </c>
      <c r="N982" s="529">
        <f>IF(E982="STL",F982*Pricing!$D$40,IF(A982&lt;=Pricing!$C$4,0,IF(AND(A982&gt;Pricing!$C$4,Disbursements!A982&lt;=Pricing!$C$5),F982*Pricing!$E$5,IF(AND(A982&gt;Pricing!$C$5,Disbursements!A982&lt;=Pricing!$C$7),VLOOKUP(F982,Pricing!$D$7:$E$8,2)*Disbursements!F982,F982*Pricing!$E$9))))</f>
        <v>0</v>
      </c>
      <c r="O982" s="528">
        <f>IF(E982="STL",0,IF($F982&gt;0,$F982*Pricing!$D$17,0))</f>
        <v>0</v>
      </c>
      <c r="P982" s="530" t="str">
        <f t="shared" si="412"/>
        <v/>
      </c>
      <c r="Q982" s="531" t="str">
        <f>IF($A982="","",$G982/VLOOKUP($I982,Ref!$B$23:$D$29,2,0))</f>
        <v/>
      </c>
      <c r="R982" s="530" t="str">
        <f t="shared" si="413"/>
        <v/>
      </c>
      <c r="S982" s="532" t="str">
        <f t="shared" si="407"/>
        <v/>
      </c>
      <c r="T982" s="531" t="str">
        <f t="shared" si="414"/>
        <v/>
      </c>
      <c r="U982" s="533">
        <f t="shared" si="415"/>
        <v>0</v>
      </c>
      <c r="V982" s="531" t="str">
        <f t="shared" si="416"/>
        <v/>
      </c>
      <c r="W982" s="531" t="str">
        <f t="shared" si="417"/>
        <v/>
      </c>
      <c r="X982" s="534" t="str">
        <f t="shared" si="418"/>
        <v/>
      </c>
      <c r="Y982" s="535" t="str">
        <f>IF($A982="","",IF($I982="weekly",$A982+7,EDATE($A982,VLOOKUP($I982,Ref!$B$24:$C$29,2,0))))</f>
        <v/>
      </c>
      <c r="Z982" s="536" t="str">
        <f t="shared" si="419"/>
        <v/>
      </c>
      <c r="AA982" s="531">
        <f t="shared" si="420"/>
        <v>0</v>
      </c>
      <c r="AB982" s="535" t="str">
        <f t="shared" si="408"/>
        <v/>
      </c>
      <c r="AC982" s="537" t="str">
        <f t="shared" si="409"/>
        <v/>
      </c>
      <c r="AD982" s="538" t="str">
        <f t="shared" ca="1" si="410"/>
        <v/>
      </c>
      <c r="AE982" s="537">
        <f t="shared" ca="1" si="411"/>
        <v>0</v>
      </c>
      <c r="AF982" s="539" t="str">
        <f t="shared" ca="1" si="421"/>
        <v/>
      </c>
      <c r="AG982" s="531" t="str">
        <f t="shared" ca="1" si="422"/>
        <v/>
      </c>
      <c r="AH982" s="531" t="str">
        <f t="shared" ca="1" si="423"/>
        <v/>
      </c>
      <c r="AI982" s="531" t="str">
        <f t="shared" ca="1" si="424"/>
        <v/>
      </c>
      <c r="AJ982" s="531" t="str">
        <f t="shared" si="425"/>
        <v/>
      </c>
      <c r="AK982" s="540">
        <f>SUMIFS('Live Collections'!$S:$S,'Live Collections'!$D:$D,Disbursements!B982,'Live Collections'!$G:$G,Disbursements!C982)</f>
        <v>0</v>
      </c>
      <c r="AL982" s="540">
        <f>SUMIFS('Live Collections'!$T:$T,'Live Collections'!$D:$D,Disbursements!B982,'Live Collections'!$G:$G,Disbursements!C982)</f>
        <v>0</v>
      </c>
      <c r="AM982" s="541">
        <f t="shared" si="426"/>
        <v>0</v>
      </c>
      <c r="AN982" s="542" t="str">
        <f t="shared" si="427"/>
        <v/>
      </c>
      <c r="AO982" s="542" t="str">
        <f t="shared" si="428"/>
        <v/>
      </c>
      <c r="AP982" s="543" t="str">
        <f t="shared" si="429"/>
        <v/>
      </c>
      <c r="AQ982" s="544" t="str">
        <f t="shared" si="430"/>
        <v/>
      </c>
      <c r="AR982" s="545">
        <f t="shared" si="431"/>
        <v>0</v>
      </c>
      <c r="AS982" s="545">
        <f>IFERROR(CEILING($AR982*VLOOKUP($I982,Ref!$B$23:$E$29,4,0),1),0)</f>
        <v>0</v>
      </c>
      <c r="AT982" s="545" t="str">
        <f>IF(A982="","",IF(AP982&lt;=1,"Cleared",IF(AS982=0,"Clean",VLOOKUP($AS982,Ref!$G$23:$H$28,2))))</f>
        <v/>
      </c>
      <c r="AU982" s="546" t="str">
        <f t="shared" si="432"/>
        <v/>
      </c>
    </row>
    <row r="983" spans="1:47" ht="14.25" hidden="1" customHeight="1" x14ac:dyDescent="0.15">
      <c r="A983" s="523"/>
      <c r="B983" s="523"/>
      <c r="C983" s="523"/>
      <c r="D983" s="523"/>
      <c r="E983" s="579"/>
      <c r="F983" s="580"/>
      <c r="G983" s="524"/>
      <c r="H983" s="555"/>
      <c r="I983" s="560"/>
      <c r="J983" s="523"/>
      <c r="K983" s="528" t="str">
        <f>IFERROR(VLOOKUP($B983,'Clients-Live'!$A:$C,3,0),"")</f>
        <v/>
      </c>
      <c r="L983" s="528">
        <f>IF(E983="STL",Pricing!$D$38,IF(A983="",0,IF(A983&lt;Pricing!$C$25,Pricing!$D$25,VLOOKUP(Disbursements!$F983,Pricing!$B$29:$D$32,3))))</f>
        <v>0</v>
      </c>
      <c r="M983" s="528">
        <f>IF(E983="STL",0,IF(F983&gt;0,Pricing!$D$21,0))</f>
        <v>0</v>
      </c>
      <c r="N983" s="529">
        <f>IF(E983="STL",F983*Pricing!$D$40,IF(A983&lt;=Pricing!$C$4,0,IF(AND(A983&gt;Pricing!$C$4,Disbursements!A983&lt;=Pricing!$C$5),F983*Pricing!$E$5,IF(AND(A983&gt;Pricing!$C$5,Disbursements!A983&lt;=Pricing!$C$7),VLOOKUP(F983,Pricing!$D$7:$E$8,2)*Disbursements!F983,F983*Pricing!$E$9))))</f>
        <v>0</v>
      </c>
      <c r="O983" s="528">
        <f>IF(E983="STL",0,IF($F983&gt;0,$F983*Pricing!$D$17,0))</f>
        <v>0</v>
      </c>
      <c r="P983" s="530" t="str">
        <f t="shared" si="412"/>
        <v/>
      </c>
      <c r="Q983" s="531" t="str">
        <f>IF($A983="","",$G983/VLOOKUP($I983,Ref!$B$23:$D$29,2,0))</f>
        <v/>
      </c>
      <c r="R983" s="530" t="str">
        <f t="shared" si="413"/>
        <v/>
      </c>
      <c r="S983" s="532" t="str">
        <f t="shared" si="407"/>
        <v/>
      </c>
      <c r="T983" s="531" t="str">
        <f t="shared" si="414"/>
        <v/>
      </c>
      <c r="U983" s="533">
        <f t="shared" si="415"/>
        <v>0</v>
      </c>
      <c r="V983" s="531" t="str">
        <f t="shared" si="416"/>
        <v/>
      </c>
      <c r="W983" s="531" t="str">
        <f t="shared" si="417"/>
        <v/>
      </c>
      <c r="X983" s="534" t="str">
        <f t="shared" si="418"/>
        <v/>
      </c>
      <c r="Y983" s="535" t="str">
        <f>IF($A983="","",IF($I983="weekly",$A983+7,EDATE($A983,VLOOKUP($I983,Ref!$B$24:$C$29,2,0))))</f>
        <v/>
      </c>
      <c r="Z983" s="536" t="str">
        <f t="shared" si="419"/>
        <v/>
      </c>
      <c r="AA983" s="531">
        <f t="shared" si="420"/>
        <v>0</v>
      </c>
      <c r="AB983" s="535" t="str">
        <f t="shared" si="408"/>
        <v/>
      </c>
      <c r="AC983" s="537" t="str">
        <f t="shared" si="409"/>
        <v/>
      </c>
      <c r="AD983" s="538" t="str">
        <f t="shared" ca="1" si="410"/>
        <v/>
      </c>
      <c r="AE983" s="537">
        <f t="shared" ca="1" si="411"/>
        <v>0</v>
      </c>
      <c r="AF983" s="539" t="str">
        <f t="shared" ca="1" si="421"/>
        <v/>
      </c>
      <c r="AG983" s="531" t="str">
        <f t="shared" ca="1" si="422"/>
        <v/>
      </c>
      <c r="AH983" s="531" t="str">
        <f t="shared" ca="1" si="423"/>
        <v/>
      </c>
      <c r="AI983" s="531" t="str">
        <f t="shared" ca="1" si="424"/>
        <v/>
      </c>
      <c r="AJ983" s="531" t="str">
        <f t="shared" si="425"/>
        <v/>
      </c>
      <c r="AK983" s="540">
        <f>SUMIFS('Live Collections'!$S:$S,'Live Collections'!$D:$D,Disbursements!B983,'Live Collections'!$G:$G,Disbursements!C983)</f>
        <v>0</v>
      </c>
      <c r="AL983" s="540">
        <f>SUMIFS('Live Collections'!$T:$T,'Live Collections'!$D:$D,Disbursements!B983,'Live Collections'!$G:$G,Disbursements!C983)</f>
        <v>0</v>
      </c>
      <c r="AM983" s="541">
        <f t="shared" si="426"/>
        <v>0</v>
      </c>
      <c r="AN983" s="542" t="str">
        <f t="shared" si="427"/>
        <v/>
      </c>
      <c r="AO983" s="542" t="str">
        <f t="shared" si="428"/>
        <v/>
      </c>
      <c r="AP983" s="543" t="str">
        <f t="shared" si="429"/>
        <v/>
      </c>
      <c r="AQ983" s="544" t="str">
        <f t="shared" si="430"/>
        <v/>
      </c>
      <c r="AR983" s="545">
        <f t="shared" si="431"/>
        <v>0</v>
      </c>
      <c r="AS983" s="545">
        <f>IFERROR(CEILING($AR983*VLOOKUP($I983,Ref!$B$23:$E$29,4,0),1),0)</f>
        <v>0</v>
      </c>
      <c r="AT983" s="545" t="str">
        <f>IF(A983="","",IF(AP983&lt;=1,"Cleared",IF(AS983=0,"Clean",VLOOKUP($AS983,Ref!$G$23:$H$28,2))))</f>
        <v/>
      </c>
      <c r="AU983" s="546" t="str">
        <f t="shared" si="432"/>
        <v/>
      </c>
    </row>
    <row r="984" spans="1:47" ht="14.25" hidden="1" customHeight="1" x14ac:dyDescent="0.15">
      <c r="A984" s="523"/>
      <c r="B984" s="523"/>
      <c r="C984" s="523"/>
      <c r="D984" s="523"/>
      <c r="E984" s="579"/>
      <c r="F984" s="580"/>
      <c r="G984" s="524"/>
      <c r="H984" s="555"/>
      <c r="I984" s="560"/>
      <c r="J984" s="523"/>
      <c r="K984" s="528" t="str">
        <f>IFERROR(VLOOKUP($B984,'Clients-Live'!$A:$C,3,0),"")</f>
        <v/>
      </c>
      <c r="L984" s="528">
        <f>IF(E984="STL",Pricing!$D$38,IF(A984="",0,IF(A984&lt;Pricing!$C$25,Pricing!$D$25,VLOOKUP(Disbursements!$F984,Pricing!$B$29:$D$32,3))))</f>
        <v>0</v>
      </c>
      <c r="M984" s="528">
        <f>IF(E984="STL",0,IF(F984&gt;0,Pricing!$D$21,0))</f>
        <v>0</v>
      </c>
      <c r="N984" s="529">
        <f>IF(E984="STL",F984*Pricing!$D$40,IF(A984&lt;=Pricing!$C$4,0,IF(AND(A984&gt;Pricing!$C$4,Disbursements!A984&lt;=Pricing!$C$5),F984*Pricing!$E$5,IF(AND(A984&gt;Pricing!$C$5,Disbursements!A984&lt;=Pricing!$C$7),VLOOKUP(F984,Pricing!$D$7:$E$8,2)*Disbursements!F984,F984*Pricing!$E$9))))</f>
        <v>0</v>
      </c>
      <c r="O984" s="528">
        <f>IF(E984="STL",0,IF($F984&gt;0,$F984*Pricing!$D$17,0))</f>
        <v>0</v>
      </c>
      <c r="P984" s="530" t="str">
        <f t="shared" si="412"/>
        <v/>
      </c>
      <c r="Q984" s="531" t="str">
        <f>IF($A984="","",$G984/VLOOKUP($I984,Ref!$B$23:$D$29,2,0))</f>
        <v/>
      </c>
      <c r="R984" s="530" t="str">
        <f t="shared" si="413"/>
        <v/>
      </c>
      <c r="S984" s="532" t="str">
        <f t="shared" si="407"/>
        <v/>
      </c>
      <c r="T984" s="531" t="str">
        <f t="shared" si="414"/>
        <v/>
      </c>
      <c r="U984" s="533">
        <f t="shared" si="415"/>
        <v>0</v>
      </c>
      <c r="V984" s="531" t="str">
        <f t="shared" si="416"/>
        <v/>
      </c>
      <c r="W984" s="531" t="str">
        <f t="shared" si="417"/>
        <v/>
      </c>
      <c r="X984" s="534" t="str">
        <f t="shared" si="418"/>
        <v/>
      </c>
      <c r="Y984" s="535" t="str">
        <f>IF($A984="","",IF($I984="weekly",$A984+7,EDATE($A984,VLOOKUP($I984,Ref!$B$24:$C$29,2,0))))</f>
        <v/>
      </c>
      <c r="Z984" s="536" t="str">
        <f t="shared" si="419"/>
        <v/>
      </c>
      <c r="AA984" s="531">
        <f t="shared" si="420"/>
        <v>0</v>
      </c>
      <c r="AB984" s="535" t="str">
        <f t="shared" si="408"/>
        <v/>
      </c>
      <c r="AC984" s="537" t="str">
        <f t="shared" si="409"/>
        <v/>
      </c>
      <c r="AD984" s="538" t="str">
        <f t="shared" ca="1" si="410"/>
        <v/>
      </c>
      <c r="AE984" s="537">
        <f t="shared" ca="1" si="411"/>
        <v>0</v>
      </c>
      <c r="AF984" s="539" t="str">
        <f t="shared" ca="1" si="421"/>
        <v/>
      </c>
      <c r="AG984" s="531" t="str">
        <f t="shared" ca="1" si="422"/>
        <v/>
      </c>
      <c r="AH984" s="531" t="str">
        <f t="shared" ca="1" si="423"/>
        <v/>
      </c>
      <c r="AI984" s="531" t="str">
        <f t="shared" ca="1" si="424"/>
        <v/>
      </c>
      <c r="AJ984" s="531" t="str">
        <f t="shared" si="425"/>
        <v/>
      </c>
      <c r="AK984" s="540">
        <f>SUMIFS('Live Collections'!$S:$S,'Live Collections'!$D:$D,Disbursements!B984,'Live Collections'!$G:$G,Disbursements!C984)</f>
        <v>0</v>
      </c>
      <c r="AL984" s="540">
        <f>SUMIFS('Live Collections'!$T:$T,'Live Collections'!$D:$D,Disbursements!B984,'Live Collections'!$G:$G,Disbursements!C984)</f>
        <v>0</v>
      </c>
      <c r="AM984" s="541">
        <f t="shared" si="426"/>
        <v>0</v>
      </c>
      <c r="AN984" s="542" t="str">
        <f t="shared" si="427"/>
        <v/>
      </c>
      <c r="AO984" s="542" t="str">
        <f t="shared" si="428"/>
        <v/>
      </c>
      <c r="AP984" s="543" t="str">
        <f t="shared" si="429"/>
        <v/>
      </c>
      <c r="AQ984" s="544" t="str">
        <f t="shared" si="430"/>
        <v/>
      </c>
      <c r="AR984" s="545">
        <f t="shared" si="431"/>
        <v>0</v>
      </c>
      <c r="AS984" s="545">
        <f>IFERROR(CEILING($AR984*VLOOKUP($I984,Ref!$B$23:$E$29,4,0),1),0)</f>
        <v>0</v>
      </c>
      <c r="AT984" s="545" t="str">
        <f>IF(A984="","",IF(AP984&lt;=1,"Cleared",IF(AS984=0,"Clean",VLOOKUP($AS984,Ref!$G$23:$H$28,2))))</f>
        <v/>
      </c>
      <c r="AU984" s="546" t="str">
        <f t="shared" si="432"/>
        <v/>
      </c>
    </row>
    <row r="985" spans="1:47" ht="14.25" hidden="1" customHeight="1" x14ac:dyDescent="0.15">
      <c r="A985" s="523"/>
      <c r="B985" s="523"/>
      <c r="C985" s="523"/>
      <c r="D985" s="523"/>
      <c r="E985" s="579"/>
      <c r="F985" s="580"/>
      <c r="G985" s="524"/>
      <c r="H985" s="555"/>
      <c r="I985" s="560"/>
      <c r="J985" s="523"/>
      <c r="K985" s="528" t="str">
        <f>IFERROR(VLOOKUP($B985,'Clients-Live'!$A:$C,3,0),"")</f>
        <v/>
      </c>
      <c r="L985" s="528">
        <f>IF(E985="STL",Pricing!$D$38,IF(A985="",0,IF(A985&lt;Pricing!$C$25,Pricing!$D$25,VLOOKUP(Disbursements!$F985,Pricing!$B$29:$D$32,3))))</f>
        <v>0</v>
      </c>
      <c r="M985" s="528">
        <f>IF(E985="STL",0,IF(F985&gt;0,Pricing!$D$21,0))</f>
        <v>0</v>
      </c>
      <c r="N985" s="529">
        <f>IF(E985="STL",F985*Pricing!$D$40,IF(A985&lt;=Pricing!$C$4,0,IF(AND(A985&gt;Pricing!$C$4,Disbursements!A985&lt;=Pricing!$C$5),F985*Pricing!$E$5,IF(AND(A985&gt;Pricing!$C$5,Disbursements!A985&lt;=Pricing!$C$7),VLOOKUP(F985,Pricing!$D$7:$E$8,2)*Disbursements!F985,F985*Pricing!$E$9))))</f>
        <v>0</v>
      </c>
      <c r="O985" s="528">
        <f>IF(E985="STL",0,IF($F985&gt;0,$F985*Pricing!$D$17,0))</f>
        <v>0</v>
      </c>
      <c r="P985" s="530" t="str">
        <f t="shared" si="412"/>
        <v/>
      </c>
      <c r="Q985" s="531" t="str">
        <f>IF($A985="","",$G985/VLOOKUP($I985,Ref!$B$23:$D$29,2,0))</f>
        <v/>
      </c>
      <c r="R985" s="530" t="str">
        <f t="shared" si="413"/>
        <v/>
      </c>
      <c r="S985" s="532" t="str">
        <f t="shared" si="407"/>
        <v/>
      </c>
      <c r="T985" s="531" t="str">
        <f t="shared" si="414"/>
        <v/>
      </c>
      <c r="U985" s="533">
        <f t="shared" si="415"/>
        <v>0</v>
      </c>
      <c r="V985" s="531" t="str">
        <f t="shared" si="416"/>
        <v/>
      </c>
      <c r="W985" s="531" t="str">
        <f t="shared" si="417"/>
        <v/>
      </c>
      <c r="X985" s="534" t="str">
        <f t="shared" si="418"/>
        <v/>
      </c>
      <c r="Y985" s="535" t="str">
        <f>IF($A985="","",IF($I985="weekly",$A985+7,EDATE($A985,VLOOKUP($I985,Ref!$B$24:$C$29,2,0))))</f>
        <v/>
      </c>
      <c r="Z985" s="536" t="str">
        <f t="shared" si="419"/>
        <v/>
      </c>
      <c r="AA985" s="531">
        <f t="shared" si="420"/>
        <v>0</v>
      </c>
      <c r="AB985" s="535" t="str">
        <f t="shared" si="408"/>
        <v/>
      </c>
      <c r="AC985" s="537" t="str">
        <f t="shared" si="409"/>
        <v/>
      </c>
      <c r="AD985" s="538" t="str">
        <f t="shared" ca="1" si="410"/>
        <v/>
      </c>
      <c r="AE985" s="537">
        <f t="shared" ca="1" si="411"/>
        <v>0</v>
      </c>
      <c r="AF985" s="539" t="str">
        <f t="shared" ca="1" si="421"/>
        <v/>
      </c>
      <c r="AG985" s="531" t="str">
        <f t="shared" ca="1" si="422"/>
        <v/>
      </c>
      <c r="AH985" s="531" t="str">
        <f t="shared" ca="1" si="423"/>
        <v/>
      </c>
      <c r="AI985" s="531" t="str">
        <f t="shared" ca="1" si="424"/>
        <v/>
      </c>
      <c r="AJ985" s="531" t="str">
        <f t="shared" si="425"/>
        <v/>
      </c>
      <c r="AK985" s="540">
        <f>SUMIFS('Live Collections'!$S:$S,'Live Collections'!$D:$D,Disbursements!B985,'Live Collections'!$G:$G,Disbursements!C985)</f>
        <v>0</v>
      </c>
      <c r="AL985" s="540">
        <f>SUMIFS('Live Collections'!$T:$T,'Live Collections'!$D:$D,Disbursements!B985,'Live Collections'!$G:$G,Disbursements!C985)</f>
        <v>0</v>
      </c>
      <c r="AM985" s="541">
        <f t="shared" si="426"/>
        <v>0</v>
      </c>
      <c r="AN985" s="542" t="str">
        <f t="shared" si="427"/>
        <v/>
      </c>
      <c r="AO985" s="542" t="str">
        <f t="shared" si="428"/>
        <v/>
      </c>
      <c r="AP985" s="543" t="str">
        <f t="shared" si="429"/>
        <v/>
      </c>
      <c r="AQ985" s="544" t="str">
        <f t="shared" si="430"/>
        <v/>
      </c>
      <c r="AR985" s="545">
        <f t="shared" si="431"/>
        <v>0</v>
      </c>
      <c r="AS985" s="545">
        <f>IFERROR(CEILING($AR985*VLOOKUP($I985,Ref!$B$23:$E$29,4,0),1),0)</f>
        <v>0</v>
      </c>
      <c r="AT985" s="545" t="str">
        <f>IF(A985="","",IF(AP985&lt;=1,"Cleared",IF(AS985=0,"Clean",VLOOKUP($AS985,Ref!$G$23:$H$28,2))))</f>
        <v/>
      </c>
      <c r="AU985" s="546" t="str">
        <f t="shared" si="432"/>
        <v/>
      </c>
    </row>
    <row r="986" spans="1:47" ht="14.25" hidden="1" customHeight="1" x14ac:dyDescent="0.15">
      <c r="A986" s="523"/>
      <c r="B986" s="523"/>
      <c r="C986" s="523"/>
      <c r="D986" s="523"/>
      <c r="E986" s="579"/>
      <c r="F986" s="580"/>
      <c r="G986" s="524"/>
      <c r="H986" s="555"/>
      <c r="I986" s="560"/>
      <c r="J986" s="523"/>
      <c r="K986" s="528" t="str">
        <f>IFERROR(VLOOKUP($B986,'Clients-Live'!$A:$C,3,0),"")</f>
        <v/>
      </c>
      <c r="L986" s="528">
        <f>IF(E986="STL",Pricing!$D$38,IF(A986="",0,IF(A986&lt;Pricing!$C$25,Pricing!$D$25,VLOOKUP(Disbursements!$F986,Pricing!$B$29:$D$32,3))))</f>
        <v>0</v>
      </c>
      <c r="M986" s="528">
        <f>IF(E986="STL",0,IF(F986&gt;0,Pricing!$D$21,0))</f>
        <v>0</v>
      </c>
      <c r="N986" s="529">
        <f>IF(E986="STL",F986*Pricing!$D$40,IF(A986&lt;=Pricing!$C$4,0,IF(AND(A986&gt;Pricing!$C$4,Disbursements!A986&lt;=Pricing!$C$5),F986*Pricing!$E$5,IF(AND(A986&gt;Pricing!$C$5,Disbursements!A986&lt;=Pricing!$C$7),VLOOKUP(F986,Pricing!$D$7:$E$8,2)*Disbursements!F986,F986*Pricing!$E$9))))</f>
        <v>0</v>
      </c>
      <c r="O986" s="528">
        <f>IF(E986="STL",0,IF($F986&gt;0,$F986*Pricing!$D$17,0))</f>
        <v>0</v>
      </c>
      <c r="P986" s="530" t="str">
        <f t="shared" si="412"/>
        <v/>
      </c>
      <c r="Q986" s="531" t="str">
        <f>IF($A986="","",$G986/VLOOKUP($I986,Ref!$B$23:$D$29,2,0))</f>
        <v/>
      </c>
      <c r="R986" s="530" t="str">
        <f t="shared" si="413"/>
        <v/>
      </c>
      <c r="S986" s="532" t="str">
        <f t="shared" si="407"/>
        <v/>
      </c>
      <c r="T986" s="531" t="str">
        <f t="shared" si="414"/>
        <v/>
      </c>
      <c r="U986" s="533">
        <f t="shared" si="415"/>
        <v>0</v>
      </c>
      <c r="V986" s="531" t="str">
        <f t="shared" si="416"/>
        <v/>
      </c>
      <c r="W986" s="531" t="str">
        <f t="shared" si="417"/>
        <v/>
      </c>
      <c r="X986" s="534" t="str">
        <f t="shared" si="418"/>
        <v/>
      </c>
      <c r="Y986" s="535" t="str">
        <f>IF($A986="","",IF($I986="weekly",$A986+7,EDATE($A986,VLOOKUP($I986,Ref!$B$24:$C$29,2,0))))</f>
        <v/>
      </c>
      <c r="Z986" s="536" t="str">
        <f t="shared" si="419"/>
        <v/>
      </c>
      <c r="AA986" s="531">
        <f t="shared" si="420"/>
        <v>0</v>
      </c>
      <c r="AB986" s="535" t="str">
        <f t="shared" si="408"/>
        <v/>
      </c>
      <c r="AC986" s="537" t="str">
        <f t="shared" si="409"/>
        <v/>
      </c>
      <c r="AD986" s="538" t="str">
        <f t="shared" ca="1" si="410"/>
        <v/>
      </c>
      <c r="AE986" s="537">
        <f t="shared" ca="1" si="411"/>
        <v>0</v>
      </c>
      <c r="AF986" s="539" t="str">
        <f t="shared" ca="1" si="421"/>
        <v/>
      </c>
      <c r="AG986" s="531" t="str">
        <f t="shared" ca="1" si="422"/>
        <v/>
      </c>
      <c r="AH986" s="531" t="str">
        <f t="shared" ca="1" si="423"/>
        <v/>
      </c>
      <c r="AI986" s="531" t="str">
        <f t="shared" ca="1" si="424"/>
        <v/>
      </c>
      <c r="AJ986" s="531" t="str">
        <f t="shared" si="425"/>
        <v/>
      </c>
      <c r="AK986" s="540">
        <f>SUMIFS('Live Collections'!$S:$S,'Live Collections'!$D:$D,Disbursements!B986,'Live Collections'!$G:$G,Disbursements!C986)</f>
        <v>0</v>
      </c>
      <c r="AL986" s="540">
        <f>SUMIFS('Live Collections'!$T:$T,'Live Collections'!$D:$D,Disbursements!B986,'Live Collections'!$G:$G,Disbursements!C986)</f>
        <v>0</v>
      </c>
      <c r="AM986" s="541">
        <f t="shared" si="426"/>
        <v>0</v>
      </c>
      <c r="AN986" s="542" t="str">
        <f t="shared" si="427"/>
        <v/>
      </c>
      <c r="AO986" s="542" t="str">
        <f t="shared" si="428"/>
        <v/>
      </c>
      <c r="AP986" s="543" t="str">
        <f t="shared" si="429"/>
        <v/>
      </c>
      <c r="AQ986" s="544" t="str">
        <f t="shared" si="430"/>
        <v/>
      </c>
      <c r="AR986" s="545">
        <f t="shared" si="431"/>
        <v>0</v>
      </c>
      <c r="AS986" s="545">
        <f>IFERROR(CEILING($AR986*VLOOKUP($I986,Ref!$B$23:$E$29,4,0),1),0)</f>
        <v>0</v>
      </c>
      <c r="AT986" s="545" t="str">
        <f>IF(A986="","",IF(AP986&lt;=1,"Cleared",IF(AS986=0,"Clean",VLOOKUP($AS986,Ref!$G$23:$H$28,2))))</f>
        <v/>
      </c>
      <c r="AU986" s="546" t="str">
        <f t="shared" si="432"/>
        <v/>
      </c>
    </row>
    <row r="987" spans="1:47" ht="14.25" hidden="1" customHeight="1" x14ac:dyDescent="0.15">
      <c r="A987" s="523"/>
      <c r="B987" s="523"/>
      <c r="C987" s="523"/>
      <c r="D987" s="523"/>
      <c r="E987" s="579"/>
      <c r="F987" s="580"/>
      <c r="G987" s="524"/>
      <c r="H987" s="555"/>
      <c r="I987" s="560"/>
      <c r="J987" s="523"/>
      <c r="K987" s="528" t="str">
        <f>IFERROR(VLOOKUP($B987,'Clients-Live'!$A:$C,3,0),"")</f>
        <v/>
      </c>
      <c r="L987" s="528">
        <f>IF(E987="STL",Pricing!$D$38,IF(A987="",0,IF(A987&lt;Pricing!$C$25,Pricing!$D$25,VLOOKUP(Disbursements!$F987,Pricing!$B$29:$D$32,3))))</f>
        <v>0</v>
      </c>
      <c r="M987" s="528">
        <f>IF(E987="STL",0,IF(F987&gt;0,Pricing!$D$21,0))</f>
        <v>0</v>
      </c>
      <c r="N987" s="529">
        <f>IF(E987="STL",F987*Pricing!$D$40,IF(A987&lt;=Pricing!$C$4,0,IF(AND(A987&gt;Pricing!$C$4,Disbursements!A987&lt;=Pricing!$C$5),F987*Pricing!$E$5,IF(AND(A987&gt;Pricing!$C$5,Disbursements!A987&lt;=Pricing!$C$7),VLOOKUP(F987,Pricing!$D$7:$E$8,2)*Disbursements!F987,F987*Pricing!$E$9))))</f>
        <v>0</v>
      </c>
      <c r="O987" s="528">
        <f>IF(E987="STL",0,IF($F987&gt;0,$F987*Pricing!$D$17,0))</f>
        <v>0</v>
      </c>
      <c r="P987" s="530" t="str">
        <f t="shared" si="412"/>
        <v/>
      </c>
      <c r="Q987" s="531" t="str">
        <f>IF($A987="","",$G987/VLOOKUP($I987,Ref!$B$23:$D$29,2,0))</f>
        <v/>
      </c>
      <c r="R987" s="530" t="str">
        <f t="shared" si="413"/>
        <v/>
      </c>
      <c r="S987" s="532" t="str">
        <f t="shared" si="407"/>
        <v/>
      </c>
      <c r="T987" s="531" t="str">
        <f t="shared" si="414"/>
        <v/>
      </c>
      <c r="U987" s="533">
        <f t="shared" si="415"/>
        <v>0</v>
      </c>
      <c r="V987" s="531" t="str">
        <f t="shared" si="416"/>
        <v/>
      </c>
      <c r="W987" s="531" t="str">
        <f t="shared" si="417"/>
        <v/>
      </c>
      <c r="X987" s="534" t="str">
        <f t="shared" si="418"/>
        <v/>
      </c>
      <c r="Y987" s="535" t="str">
        <f>IF($A987="","",IF($I987="weekly",$A987+7,EDATE($A987,VLOOKUP($I987,Ref!$B$24:$C$29,2,0))))</f>
        <v/>
      </c>
      <c r="Z987" s="536" t="str">
        <f t="shared" si="419"/>
        <v/>
      </c>
      <c r="AA987" s="531">
        <f t="shared" si="420"/>
        <v>0</v>
      </c>
      <c r="AB987" s="535" t="str">
        <f t="shared" si="408"/>
        <v/>
      </c>
      <c r="AC987" s="537" t="str">
        <f t="shared" si="409"/>
        <v/>
      </c>
      <c r="AD987" s="538" t="str">
        <f t="shared" ca="1" si="410"/>
        <v/>
      </c>
      <c r="AE987" s="537">
        <f t="shared" ca="1" si="411"/>
        <v>0</v>
      </c>
      <c r="AF987" s="539" t="str">
        <f t="shared" ca="1" si="421"/>
        <v/>
      </c>
      <c r="AG987" s="531" t="str">
        <f t="shared" ca="1" si="422"/>
        <v/>
      </c>
      <c r="AH987" s="531" t="str">
        <f t="shared" ca="1" si="423"/>
        <v/>
      </c>
      <c r="AI987" s="531" t="str">
        <f t="shared" ca="1" si="424"/>
        <v/>
      </c>
      <c r="AJ987" s="531" t="str">
        <f t="shared" si="425"/>
        <v/>
      </c>
      <c r="AK987" s="540">
        <f>SUMIFS('Live Collections'!$S:$S,'Live Collections'!$D:$D,Disbursements!B987,'Live Collections'!$G:$G,Disbursements!C987)</f>
        <v>0</v>
      </c>
      <c r="AL987" s="540">
        <f>SUMIFS('Live Collections'!$T:$T,'Live Collections'!$D:$D,Disbursements!B987,'Live Collections'!$G:$G,Disbursements!C987)</f>
        <v>0</v>
      </c>
      <c r="AM987" s="541">
        <f t="shared" si="426"/>
        <v>0</v>
      </c>
      <c r="AN987" s="542" t="str">
        <f t="shared" si="427"/>
        <v/>
      </c>
      <c r="AO987" s="542" t="str">
        <f t="shared" si="428"/>
        <v/>
      </c>
      <c r="AP987" s="543" t="str">
        <f t="shared" si="429"/>
        <v/>
      </c>
      <c r="AQ987" s="544" t="str">
        <f t="shared" si="430"/>
        <v/>
      </c>
      <c r="AR987" s="545">
        <f t="shared" si="431"/>
        <v>0</v>
      </c>
      <c r="AS987" s="545">
        <f>IFERROR(CEILING($AR987*VLOOKUP($I987,Ref!$B$23:$E$29,4,0),1),0)</f>
        <v>0</v>
      </c>
      <c r="AT987" s="545" t="str">
        <f>IF(A987="","",IF(AP987&lt;=1,"Cleared",IF(AS987=0,"Clean",VLOOKUP($AS987,Ref!$G$23:$H$28,2))))</f>
        <v/>
      </c>
      <c r="AU987" s="546" t="str">
        <f t="shared" si="432"/>
        <v/>
      </c>
    </row>
    <row r="988" spans="1:47" ht="14.25" hidden="1" customHeight="1" x14ac:dyDescent="0.15">
      <c r="A988" s="523"/>
      <c r="B988" s="523"/>
      <c r="C988" s="523"/>
      <c r="D988" s="523"/>
      <c r="E988" s="579"/>
      <c r="F988" s="580"/>
      <c r="G988" s="524"/>
      <c r="H988" s="555"/>
      <c r="I988" s="560"/>
      <c r="J988" s="523"/>
      <c r="K988" s="528" t="str">
        <f>IFERROR(VLOOKUP($B988,'Clients-Live'!$A:$C,3,0),"")</f>
        <v/>
      </c>
      <c r="L988" s="528">
        <f>IF(E988="STL",Pricing!$D$38,IF(A988="",0,IF(A988&lt;Pricing!$C$25,Pricing!$D$25,VLOOKUP(Disbursements!$F988,Pricing!$B$29:$D$32,3))))</f>
        <v>0</v>
      </c>
      <c r="M988" s="528">
        <f>IF(E988="STL",0,IF(F988&gt;0,Pricing!$D$21,0))</f>
        <v>0</v>
      </c>
      <c r="N988" s="529">
        <f>IF(E988="STL",F988*Pricing!$D$40,IF(A988&lt;=Pricing!$C$4,0,IF(AND(A988&gt;Pricing!$C$4,Disbursements!A988&lt;=Pricing!$C$5),F988*Pricing!$E$5,IF(AND(A988&gt;Pricing!$C$5,Disbursements!A988&lt;=Pricing!$C$7),VLOOKUP(F988,Pricing!$D$7:$E$8,2)*Disbursements!F988,F988*Pricing!$E$9))))</f>
        <v>0</v>
      </c>
      <c r="O988" s="528">
        <f>IF(E988="STL",0,IF($F988&gt;0,$F988*Pricing!$D$17,0))</f>
        <v>0</v>
      </c>
      <c r="P988" s="530" t="str">
        <f t="shared" si="412"/>
        <v/>
      </c>
      <c r="Q988" s="531" t="str">
        <f>IF($A988="","",$G988/VLOOKUP($I988,Ref!$B$23:$D$29,2,0))</f>
        <v/>
      </c>
      <c r="R988" s="530" t="str">
        <f t="shared" si="413"/>
        <v/>
      </c>
      <c r="S988" s="532" t="str">
        <f t="shared" si="407"/>
        <v/>
      </c>
      <c r="T988" s="531" t="str">
        <f t="shared" si="414"/>
        <v/>
      </c>
      <c r="U988" s="533">
        <f t="shared" si="415"/>
        <v>0</v>
      </c>
      <c r="V988" s="531" t="str">
        <f t="shared" si="416"/>
        <v/>
      </c>
      <c r="W988" s="531" t="str">
        <f t="shared" si="417"/>
        <v/>
      </c>
      <c r="X988" s="534" t="str">
        <f t="shared" si="418"/>
        <v/>
      </c>
      <c r="Y988" s="535" t="str">
        <f>IF($A988="","",IF($I988="weekly",$A988+7,EDATE($A988,VLOOKUP($I988,Ref!$B$24:$C$29,2,0))))</f>
        <v/>
      </c>
      <c r="Z988" s="536" t="str">
        <f t="shared" si="419"/>
        <v/>
      </c>
      <c r="AA988" s="531">
        <f t="shared" si="420"/>
        <v>0</v>
      </c>
      <c r="AB988" s="535" t="str">
        <f t="shared" si="408"/>
        <v/>
      </c>
      <c r="AC988" s="537" t="str">
        <f t="shared" si="409"/>
        <v/>
      </c>
      <c r="AD988" s="538" t="str">
        <f t="shared" ca="1" si="410"/>
        <v/>
      </c>
      <c r="AE988" s="537">
        <f t="shared" ca="1" si="411"/>
        <v>0</v>
      </c>
      <c r="AF988" s="539" t="str">
        <f t="shared" ca="1" si="421"/>
        <v/>
      </c>
      <c r="AG988" s="531" t="str">
        <f t="shared" ca="1" si="422"/>
        <v/>
      </c>
      <c r="AH988" s="531" t="str">
        <f t="shared" ca="1" si="423"/>
        <v/>
      </c>
      <c r="AI988" s="531" t="str">
        <f t="shared" ca="1" si="424"/>
        <v/>
      </c>
      <c r="AJ988" s="531" t="str">
        <f t="shared" si="425"/>
        <v/>
      </c>
      <c r="AK988" s="540">
        <f>SUMIFS('Live Collections'!$S:$S,'Live Collections'!$D:$D,Disbursements!B988,'Live Collections'!$G:$G,Disbursements!C988)</f>
        <v>0</v>
      </c>
      <c r="AL988" s="540">
        <f>SUMIFS('Live Collections'!$T:$T,'Live Collections'!$D:$D,Disbursements!B988,'Live Collections'!$G:$G,Disbursements!C988)</f>
        <v>0</v>
      </c>
      <c r="AM988" s="541">
        <f t="shared" si="426"/>
        <v>0</v>
      </c>
      <c r="AN988" s="542" t="str">
        <f t="shared" si="427"/>
        <v/>
      </c>
      <c r="AO988" s="542" t="str">
        <f t="shared" si="428"/>
        <v/>
      </c>
      <c r="AP988" s="543" t="str">
        <f t="shared" si="429"/>
        <v/>
      </c>
      <c r="AQ988" s="544" t="str">
        <f t="shared" si="430"/>
        <v/>
      </c>
      <c r="AR988" s="545">
        <f t="shared" si="431"/>
        <v>0</v>
      </c>
      <c r="AS988" s="545">
        <f>IFERROR(CEILING($AR988*VLOOKUP($I988,Ref!$B$23:$E$29,4,0),1),0)</f>
        <v>0</v>
      </c>
      <c r="AT988" s="545" t="str">
        <f>IF(A988="","",IF(AP988&lt;=1,"Cleared",IF(AS988=0,"Clean",VLOOKUP($AS988,Ref!$G$23:$H$28,2))))</f>
        <v/>
      </c>
      <c r="AU988" s="546" t="str">
        <f t="shared" si="432"/>
        <v/>
      </c>
    </row>
    <row r="989" spans="1:47" ht="14.25" hidden="1" customHeight="1" x14ac:dyDescent="0.15">
      <c r="A989" s="523"/>
      <c r="B989" s="523"/>
      <c r="C989" s="523"/>
      <c r="D989" s="523"/>
      <c r="E989" s="579"/>
      <c r="F989" s="580"/>
      <c r="G989" s="524"/>
      <c r="H989" s="555"/>
      <c r="I989" s="560"/>
      <c r="J989" s="523"/>
      <c r="K989" s="528" t="str">
        <f>IFERROR(VLOOKUP($B989,'Clients-Live'!$A:$C,3,0),"")</f>
        <v/>
      </c>
      <c r="L989" s="528">
        <f>IF(E989="STL",Pricing!$D$38,IF(A989="",0,IF(A989&lt;Pricing!$C$25,Pricing!$D$25,VLOOKUP(Disbursements!$F989,Pricing!$B$29:$D$32,3))))</f>
        <v>0</v>
      </c>
      <c r="M989" s="528">
        <f>IF(E989="STL",0,IF(F989&gt;0,Pricing!$D$21,0))</f>
        <v>0</v>
      </c>
      <c r="N989" s="529">
        <f>IF(E989="STL",F989*Pricing!$D$40,IF(A989&lt;=Pricing!$C$4,0,IF(AND(A989&gt;Pricing!$C$4,Disbursements!A989&lt;=Pricing!$C$5),F989*Pricing!$E$5,IF(AND(A989&gt;Pricing!$C$5,Disbursements!A989&lt;=Pricing!$C$7),VLOOKUP(F989,Pricing!$D$7:$E$8,2)*Disbursements!F989,F989*Pricing!$E$9))))</f>
        <v>0</v>
      </c>
      <c r="O989" s="528">
        <f>IF(E989="STL",0,IF($F989&gt;0,$F989*Pricing!$D$17,0))</f>
        <v>0</v>
      </c>
      <c r="P989" s="530" t="str">
        <f t="shared" si="412"/>
        <v/>
      </c>
      <c r="Q989" s="531" t="str">
        <f>IF($A989="","",$G989/VLOOKUP($I989,Ref!$B$23:$D$29,2,0))</f>
        <v/>
      </c>
      <c r="R989" s="530" t="str">
        <f t="shared" si="413"/>
        <v/>
      </c>
      <c r="S989" s="532" t="str">
        <f t="shared" si="407"/>
        <v/>
      </c>
      <c r="T989" s="531" t="str">
        <f t="shared" si="414"/>
        <v/>
      </c>
      <c r="U989" s="533">
        <f t="shared" si="415"/>
        <v>0</v>
      </c>
      <c r="V989" s="531" t="str">
        <f t="shared" si="416"/>
        <v/>
      </c>
      <c r="W989" s="531" t="str">
        <f t="shared" si="417"/>
        <v/>
      </c>
      <c r="X989" s="534" t="str">
        <f t="shared" si="418"/>
        <v/>
      </c>
      <c r="Y989" s="535" t="str">
        <f>IF($A989="","",IF($I989="weekly",$A989+7,EDATE($A989,VLOOKUP($I989,Ref!$B$24:$C$29,2,0))))</f>
        <v/>
      </c>
      <c r="Z989" s="536" t="str">
        <f t="shared" si="419"/>
        <v/>
      </c>
      <c r="AA989" s="531">
        <f t="shared" si="420"/>
        <v>0</v>
      </c>
      <c r="AB989" s="535" t="str">
        <f t="shared" si="408"/>
        <v/>
      </c>
      <c r="AC989" s="537" t="str">
        <f t="shared" si="409"/>
        <v/>
      </c>
      <c r="AD989" s="538" t="str">
        <f t="shared" ca="1" si="410"/>
        <v/>
      </c>
      <c r="AE989" s="537">
        <f t="shared" ca="1" si="411"/>
        <v>0</v>
      </c>
      <c r="AF989" s="539" t="str">
        <f t="shared" ca="1" si="421"/>
        <v/>
      </c>
      <c r="AG989" s="531" t="str">
        <f t="shared" ca="1" si="422"/>
        <v/>
      </c>
      <c r="AH989" s="531" t="str">
        <f t="shared" ca="1" si="423"/>
        <v/>
      </c>
      <c r="AI989" s="531" t="str">
        <f t="shared" ca="1" si="424"/>
        <v/>
      </c>
      <c r="AJ989" s="531" t="str">
        <f t="shared" si="425"/>
        <v/>
      </c>
      <c r="AK989" s="540">
        <f>SUMIFS('Live Collections'!$S:$S,'Live Collections'!$D:$D,Disbursements!B989,'Live Collections'!$G:$G,Disbursements!C989)</f>
        <v>0</v>
      </c>
      <c r="AL989" s="540">
        <f>SUMIFS('Live Collections'!$T:$T,'Live Collections'!$D:$D,Disbursements!B989,'Live Collections'!$G:$G,Disbursements!C989)</f>
        <v>0</v>
      </c>
      <c r="AM989" s="541">
        <f t="shared" si="426"/>
        <v>0</v>
      </c>
      <c r="AN989" s="542" t="str">
        <f t="shared" si="427"/>
        <v/>
      </c>
      <c r="AO989" s="542" t="str">
        <f t="shared" si="428"/>
        <v/>
      </c>
      <c r="AP989" s="543" t="str">
        <f t="shared" si="429"/>
        <v/>
      </c>
      <c r="AQ989" s="544" t="str">
        <f t="shared" si="430"/>
        <v/>
      </c>
      <c r="AR989" s="545">
        <f t="shared" si="431"/>
        <v>0</v>
      </c>
      <c r="AS989" s="545">
        <f>IFERROR(CEILING($AR989*VLOOKUP($I989,Ref!$B$23:$E$29,4,0),1),0)</f>
        <v>0</v>
      </c>
      <c r="AT989" s="545" t="str">
        <f>IF(A989="","",IF(AP989&lt;=1,"Cleared",IF(AS989=0,"Clean",VLOOKUP($AS989,Ref!$G$23:$H$28,2))))</f>
        <v/>
      </c>
      <c r="AU989" s="546" t="str">
        <f t="shared" si="432"/>
        <v/>
      </c>
    </row>
    <row r="990" spans="1:47" ht="14.25" hidden="1" customHeight="1" x14ac:dyDescent="0.15">
      <c r="A990" s="523"/>
      <c r="B990" s="523"/>
      <c r="C990" s="523"/>
      <c r="D990" s="523"/>
      <c r="E990" s="579"/>
      <c r="F990" s="580"/>
      <c r="G990" s="524"/>
      <c r="H990" s="555"/>
      <c r="I990" s="560"/>
      <c r="J990" s="523"/>
      <c r="K990" s="528" t="str">
        <f>IFERROR(VLOOKUP($B990,'Clients-Live'!$A:$C,3,0),"")</f>
        <v/>
      </c>
      <c r="L990" s="528">
        <f>IF(E990="STL",Pricing!$D$38,IF(A990="",0,IF(A990&lt;Pricing!$C$25,Pricing!$D$25,VLOOKUP(Disbursements!$F990,Pricing!$B$29:$D$32,3))))</f>
        <v>0</v>
      </c>
      <c r="M990" s="528">
        <f>IF(E990="STL",0,IF(F990&gt;0,Pricing!$D$21,0))</f>
        <v>0</v>
      </c>
      <c r="N990" s="529">
        <f>IF(E990="STL",F990*Pricing!$D$40,IF(A990&lt;=Pricing!$C$4,0,IF(AND(A990&gt;Pricing!$C$4,Disbursements!A990&lt;=Pricing!$C$5),F990*Pricing!$E$5,IF(AND(A990&gt;Pricing!$C$5,Disbursements!A990&lt;=Pricing!$C$7),VLOOKUP(F990,Pricing!$D$7:$E$8,2)*Disbursements!F990,F990*Pricing!$E$9))))</f>
        <v>0</v>
      </c>
      <c r="O990" s="528">
        <f>IF(E990="STL",0,IF($F990&gt;0,$F990*Pricing!$D$17,0))</f>
        <v>0</v>
      </c>
      <c r="P990" s="530" t="str">
        <f t="shared" si="412"/>
        <v/>
      </c>
      <c r="Q990" s="531" t="str">
        <f>IF($A990="","",$G990/VLOOKUP($I990,Ref!$B$23:$D$29,2,0))</f>
        <v/>
      </c>
      <c r="R990" s="530" t="str">
        <f t="shared" si="413"/>
        <v/>
      </c>
      <c r="S990" s="532" t="str">
        <f t="shared" si="407"/>
        <v/>
      </c>
      <c r="T990" s="531" t="str">
        <f t="shared" si="414"/>
        <v/>
      </c>
      <c r="U990" s="533">
        <f t="shared" si="415"/>
        <v>0</v>
      </c>
      <c r="V990" s="531" t="str">
        <f t="shared" si="416"/>
        <v/>
      </c>
      <c r="W990" s="531" t="str">
        <f t="shared" si="417"/>
        <v/>
      </c>
      <c r="X990" s="534" t="str">
        <f t="shared" si="418"/>
        <v/>
      </c>
      <c r="Y990" s="535" t="str">
        <f>IF($A990="","",IF($I990="weekly",$A990+7,EDATE($A990,VLOOKUP($I990,Ref!$B$24:$C$29,2,0))))</f>
        <v/>
      </c>
      <c r="Z990" s="536" t="str">
        <f t="shared" si="419"/>
        <v/>
      </c>
      <c r="AA990" s="531">
        <f t="shared" si="420"/>
        <v>0</v>
      </c>
      <c r="AB990" s="535" t="str">
        <f t="shared" si="408"/>
        <v/>
      </c>
      <c r="AC990" s="537" t="str">
        <f t="shared" si="409"/>
        <v/>
      </c>
      <c r="AD990" s="538" t="str">
        <f t="shared" ca="1" si="410"/>
        <v/>
      </c>
      <c r="AE990" s="537">
        <f t="shared" ca="1" si="411"/>
        <v>0</v>
      </c>
      <c r="AF990" s="539" t="str">
        <f t="shared" ca="1" si="421"/>
        <v/>
      </c>
      <c r="AG990" s="531" t="str">
        <f t="shared" ca="1" si="422"/>
        <v/>
      </c>
      <c r="AH990" s="531" t="str">
        <f t="shared" ca="1" si="423"/>
        <v/>
      </c>
      <c r="AI990" s="531" t="str">
        <f t="shared" ca="1" si="424"/>
        <v/>
      </c>
      <c r="AJ990" s="531" t="str">
        <f t="shared" si="425"/>
        <v/>
      </c>
      <c r="AK990" s="540">
        <f>SUMIFS('Live Collections'!$S:$S,'Live Collections'!$D:$D,Disbursements!B990,'Live Collections'!$G:$G,Disbursements!C990)</f>
        <v>0</v>
      </c>
      <c r="AL990" s="540">
        <f>SUMIFS('Live Collections'!$T:$T,'Live Collections'!$D:$D,Disbursements!B990,'Live Collections'!$G:$G,Disbursements!C990)</f>
        <v>0</v>
      </c>
      <c r="AM990" s="541">
        <f t="shared" si="426"/>
        <v>0</v>
      </c>
      <c r="AN990" s="542" t="str">
        <f t="shared" si="427"/>
        <v/>
      </c>
      <c r="AO990" s="542" t="str">
        <f t="shared" si="428"/>
        <v/>
      </c>
      <c r="AP990" s="543" t="str">
        <f t="shared" si="429"/>
        <v/>
      </c>
      <c r="AQ990" s="544" t="str">
        <f t="shared" si="430"/>
        <v/>
      </c>
      <c r="AR990" s="545">
        <f t="shared" si="431"/>
        <v>0</v>
      </c>
      <c r="AS990" s="545">
        <f>IFERROR(CEILING($AR990*VLOOKUP($I990,Ref!$B$23:$E$29,4,0),1),0)</f>
        <v>0</v>
      </c>
      <c r="AT990" s="545" t="str">
        <f>IF(A990="","",IF(AP990&lt;=1,"Cleared",IF(AS990=0,"Clean",VLOOKUP($AS990,Ref!$G$23:$H$28,2))))</f>
        <v/>
      </c>
      <c r="AU990" s="546" t="str">
        <f t="shared" si="432"/>
        <v/>
      </c>
    </row>
    <row r="991" spans="1:47" ht="14.25" hidden="1" customHeight="1" x14ac:dyDescent="0.15">
      <c r="A991" s="523"/>
      <c r="B991" s="523"/>
      <c r="C991" s="523"/>
      <c r="D991" s="523"/>
      <c r="E991" s="579"/>
      <c r="F991" s="580"/>
      <c r="G991" s="524"/>
      <c r="H991" s="555"/>
      <c r="I991" s="560"/>
      <c r="J991" s="523"/>
      <c r="K991" s="528" t="str">
        <f>IFERROR(VLOOKUP($B991,'Clients-Live'!$A:$C,3,0),"")</f>
        <v/>
      </c>
      <c r="L991" s="528">
        <f>IF(E991="STL",Pricing!$D$38,IF(A991="",0,IF(A991&lt;Pricing!$C$25,Pricing!$D$25,VLOOKUP(Disbursements!$F991,Pricing!$B$29:$D$32,3))))</f>
        <v>0</v>
      </c>
      <c r="M991" s="528">
        <f>IF(E991="STL",0,IF(F991&gt;0,Pricing!$D$21,0))</f>
        <v>0</v>
      </c>
      <c r="N991" s="529">
        <f>IF(E991="STL",F991*Pricing!$D$40,IF(A991&lt;=Pricing!$C$4,0,IF(AND(A991&gt;Pricing!$C$4,Disbursements!A991&lt;=Pricing!$C$5),F991*Pricing!$E$5,IF(AND(A991&gt;Pricing!$C$5,Disbursements!A991&lt;=Pricing!$C$7),VLOOKUP(F991,Pricing!$D$7:$E$8,2)*Disbursements!F991,F991*Pricing!$E$9))))</f>
        <v>0</v>
      </c>
      <c r="O991" s="528">
        <f>IF(E991="STL",0,IF($F991&gt;0,$F991*Pricing!$D$17,0))</f>
        <v>0</v>
      </c>
      <c r="P991" s="530" t="str">
        <f t="shared" si="412"/>
        <v/>
      </c>
      <c r="Q991" s="531" t="str">
        <f>IF($A991="","",$G991/VLOOKUP($I991,Ref!$B$23:$D$29,2,0))</f>
        <v/>
      </c>
      <c r="R991" s="530" t="str">
        <f t="shared" si="413"/>
        <v/>
      </c>
      <c r="S991" s="532" t="str">
        <f t="shared" si="407"/>
        <v/>
      </c>
      <c r="T991" s="531" t="str">
        <f t="shared" si="414"/>
        <v/>
      </c>
      <c r="U991" s="533">
        <f t="shared" si="415"/>
        <v>0</v>
      </c>
      <c r="V991" s="531" t="str">
        <f t="shared" si="416"/>
        <v/>
      </c>
      <c r="W991" s="531" t="str">
        <f t="shared" si="417"/>
        <v/>
      </c>
      <c r="X991" s="534" t="str">
        <f t="shared" si="418"/>
        <v/>
      </c>
      <c r="Y991" s="535" t="str">
        <f>IF($A991="","",IF($I991="weekly",$A991+7,EDATE($A991,VLOOKUP($I991,Ref!$B$24:$C$29,2,0))))</f>
        <v/>
      </c>
      <c r="Z991" s="536" t="str">
        <f t="shared" si="419"/>
        <v/>
      </c>
      <c r="AA991" s="531">
        <f t="shared" si="420"/>
        <v>0</v>
      </c>
      <c r="AB991" s="535" t="str">
        <f t="shared" si="408"/>
        <v/>
      </c>
      <c r="AC991" s="537" t="str">
        <f t="shared" si="409"/>
        <v/>
      </c>
      <c r="AD991" s="538" t="str">
        <f t="shared" ca="1" si="410"/>
        <v/>
      </c>
      <c r="AE991" s="537">
        <f t="shared" ca="1" si="411"/>
        <v>0</v>
      </c>
      <c r="AF991" s="539" t="str">
        <f t="shared" ca="1" si="421"/>
        <v/>
      </c>
      <c r="AG991" s="531" t="str">
        <f t="shared" ca="1" si="422"/>
        <v/>
      </c>
      <c r="AH991" s="531" t="str">
        <f t="shared" ca="1" si="423"/>
        <v/>
      </c>
      <c r="AI991" s="531" t="str">
        <f t="shared" ca="1" si="424"/>
        <v/>
      </c>
      <c r="AJ991" s="531" t="str">
        <f t="shared" si="425"/>
        <v/>
      </c>
      <c r="AK991" s="540">
        <f>SUMIFS('Live Collections'!$S:$S,'Live Collections'!$D:$D,Disbursements!B991,'Live Collections'!$G:$G,Disbursements!C991)</f>
        <v>0</v>
      </c>
      <c r="AL991" s="540">
        <f>SUMIFS('Live Collections'!$T:$T,'Live Collections'!$D:$D,Disbursements!B991,'Live Collections'!$G:$G,Disbursements!C991)</f>
        <v>0</v>
      </c>
      <c r="AM991" s="541">
        <f t="shared" si="426"/>
        <v>0</v>
      </c>
      <c r="AN991" s="542" t="str">
        <f t="shared" si="427"/>
        <v/>
      </c>
      <c r="AO991" s="542" t="str">
        <f t="shared" si="428"/>
        <v/>
      </c>
      <c r="AP991" s="543" t="str">
        <f t="shared" si="429"/>
        <v/>
      </c>
      <c r="AQ991" s="544" t="str">
        <f t="shared" si="430"/>
        <v/>
      </c>
      <c r="AR991" s="545">
        <f t="shared" si="431"/>
        <v>0</v>
      </c>
      <c r="AS991" s="545">
        <f>IFERROR(CEILING($AR991*VLOOKUP($I991,Ref!$B$23:$E$29,4,0),1),0)</f>
        <v>0</v>
      </c>
      <c r="AT991" s="545" t="str">
        <f>IF(A991="","",IF(AP991&lt;=1,"Cleared",IF(AS991=0,"Clean",VLOOKUP($AS991,Ref!$G$23:$H$28,2))))</f>
        <v/>
      </c>
      <c r="AU991" s="546" t="str">
        <f t="shared" si="432"/>
        <v/>
      </c>
    </row>
    <row r="992" spans="1:47" ht="14.25" hidden="1" customHeight="1" x14ac:dyDescent="0.15">
      <c r="A992" s="523"/>
      <c r="B992" s="523"/>
      <c r="C992" s="523"/>
      <c r="D992" s="523"/>
      <c r="E992" s="579"/>
      <c r="F992" s="580"/>
      <c r="G992" s="524"/>
      <c r="H992" s="555"/>
      <c r="I992" s="560"/>
      <c r="J992" s="523"/>
      <c r="K992" s="528" t="str">
        <f>IFERROR(VLOOKUP($B992,'Clients-Live'!$A:$C,3,0),"")</f>
        <v/>
      </c>
      <c r="L992" s="528">
        <f>IF(E992="STL",Pricing!$D$38,IF(A992="",0,IF(A992&lt;Pricing!$C$25,Pricing!$D$25,VLOOKUP(Disbursements!$F992,Pricing!$B$29:$D$32,3))))</f>
        <v>0</v>
      </c>
      <c r="M992" s="528">
        <f>IF(E992="STL",0,IF(F992&gt;0,Pricing!$D$21,0))</f>
        <v>0</v>
      </c>
      <c r="N992" s="529">
        <f>IF(E992="STL",F992*Pricing!$D$40,IF(A992&lt;=Pricing!$C$4,0,IF(AND(A992&gt;Pricing!$C$4,Disbursements!A992&lt;=Pricing!$C$5),F992*Pricing!$E$5,IF(AND(A992&gt;Pricing!$C$5,Disbursements!A992&lt;=Pricing!$C$7),VLOOKUP(F992,Pricing!$D$7:$E$8,2)*Disbursements!F992,F992*Pricing!$E$9))))</f>
        <v>0</v>
      </c>
      <c r="O992" s="528">
        <f>IF(E992="STL",0,IF($F992&gt;0,$F992*Pricing!$D$17,0))</f>
        <v>0</v>
      </c>
      <c r="P992" s="530" t="str">
        <f t="shared" si="412"/>
        <v/>
      </c>
      <c r="Q992" s="531" t="str">
        <f>IF($A992="","",$G992/VLOOKUP($I992,Ref!$B$23:$D$29,2,0))</f>
        <v/>
      </c>
      <c r="R992" s="530" t="str">
        <f t="shared" si="413"/>
        <v/>
      </c>
      <c r="S992" s="532" t="str">
        <f t="shared" si="407"/>
        <v/>
      </c>
      <c r="T992" s="531" t="str">
        <f t="shared" si="414"/>
        <v/>
      </c>
      <c r="U992" s="533">
        <f t="shared" si="415"/>
        <v>0</v>
      </c>
      <c r="V992" s="531" t="str">
        <f t="shared" si="416"/>
        <v/>
      </c>
      <c r="W992" s="531" t="str">
        <f t="shared" si="417"/>
        <v/>
      </c>
      <c r="X992" s="534" t="str">
        <f t="shared" si="418"/>
        <v/>
      </c>
      <c r="Y992" s="535" t="str">
        <f>IF($A992="","",IF($I992="weekly",$A992+7,EDATE($A992,VLOOKUP($I992,Ref!$B$24:$C$29,2,0))))</f>
        <v/>
      </c>
      <c r="Z992" s="536" t="str">
        <f t="shared" si="419"/>
        <v/>
      </c>
      <c r="AA992" s="531">
        <f t="shared" si="420"/>
        <v>0</v>
      </c>
      <c r="AB992" s="535" t="str">
        <f t="shared" si="408"/>
        <v/>
      </c>
      <c r="AC992" s="537" t="str">
        <f t="shared" si="409"/>
        <v/>
      </c>
      <c r="AD992" s="538" t="str">
        <f t="shared" ca="1" si="410"/>
        <v/>
      </c>
      <c r="AE992" s="537">
        <f t="shared" ca="1" si="411"/>
        <v>0</v>
      </c>
      <c r="AF992" s="539" t="str">
        <f t="shared" ca="1" si="421"/>
        <v/>
      </c>
      <c r="AG992" s="531" t="str">
        <f t="shared" ca="1" si="422"/>
        <v/>
      </c>
      <c r="AH992" s="531" t="str">
        <f t="shared" ca="1" si="423"/>
        <v/>
      </c>
      <c r="AI992" s="531" t="str">
        <f t="shared" ca="1" si="424"/>
        <v/>
      </c>
      <c r="AJ992" s="531" t="str">
        <f t="shared" si="425"/>
        <v/>
      </c>
      <c r="AK992" s="540">
        <f>SUMIFS('Live Collections'!$S:$S,'Live Collections'!$D:$D,Disbursements!B992,'Live Collections'!$G:$G,Disbursements!C992)</f>
        <v>0</v>
      </c>
      <c r="AL992" s="540">
        <f>SUMIFS('Live Collections'!$T:$T,'Live Collections'!$D:$D,Disbursements!B992,'Live Collections'!$G:$G,Disbursements!C992)</f>
        <v>0</v>
      </c>
      <c r="AM992" s="541">
        <f t="shared" si="426"/>
        <v>0</v>
      </c>
      <c r="AN992" s="542" t="str">
        <f t="shared" si="427"/>
        <v/>
      </c>
      <c r="AO992" s="542" t="str">
        <f t="shared" si="428"/>
        <v/>
      </c>
      <c r="AP992" s="543" t="str">
        <f t="shared" si="429"/>
        <v/>
      </c>
      <c r="AQ992" s="544" t="str">
        <f t="shared" si="430"/>
        <v/>
      </c>
      <c r="AR992" s="545">
        <f t="shared" si="431"/>
        <v>0</v>
      </c>
      <c r="AS992" s="545">
        <f>IFERROR(CEILING($AR992*VLOOKUP($I992,Ref!$B$23:$E$29,4,0),1),0)</f>
        <v>0</v>
      </c>
      <c r="AT992" s="545" t="str">
        <f>IF(A992="","",IF(AP992&lt;=1,"Cleared",IF(AS992=0,"Clean",VLOOKUP($AS992,Ref!$G$23:$H$28,2))))</f>
        <v/>
      </c>
      <c r="AU992" s="546" t="str">
        <f t="shared" si="432"/>
        <v/>
      </c>
    </row>
    <row r="993" spans="1:47" ht="14.25" hidden="1" customHeight="1" x14ac:dyDescent="0.15">
      <c r="A993" s="523"/>
      <c r="B993" s="523"/>
      <c r="C993" s="523"/>
      <c r="D993" s="523"/>
      <c r="E993" s="579"/>
      <c r="F993" s="580"/>
      <c r="G993" s="524"/>
      <c r="H993" s="555"/>
      <c r="I993" s="560"/>
      <c r="J993" s="523"/>
      <c r="K993" s="528" t="str">
        <f>IFERROR(VLOOKUP($B993,'Clients-Live'!$A:$C,3,0),"")</f>
        <v/>
      </c>
      <c r="L993" s="528">
        <f>IF(E993="STL",Pricing!$D$38,IF(A993="",0,IF(A993&lt;Pricing!$C$25,Pricing!$D$25,VLOOKUP(Disbursements!$F993,Pricing!$B$29:$D$32,3))))</f>
        <v>0</v>
      </c>
      <c r="M993" s="528">
        <f>IF(E993="STL",0,IF(F993&gt;0,Pricing!$D$21,0))</f>
        <v>0</v>
      </c>
      <c r="N993" s="529">
        <f>IF(E993="STL",F993*Pricing!$D$40,IF(A993&lt;=Pricing!$C$4,0,IF(AND(A993&gt;Pricing!$C$4,Disbursements!A993&lt;=Pricing!$C$5),F993*Pricing!$E$5,IF(AND(A993&gt;Pricing!$C$5,Disbursements!A993&lt;=Pricing!$C$7),VLOOKUP(F993,Pricing!$D$7:$E$8,2)*Disbursements!F993,F993*Pricing!$E$9))))</f>
        <v>0</v>
      </c>
      <c r="O993" s="528">
        <f>IF(E993="STL",0,IF($F993&gt;0,$F993*Pricing!$D$17,0))</f>
        <v>0</v>
      </c>
      <c r="P993" s="530" t="str">
        <f t="shared" si="412"/>
        <v/>
      </c>
      <c r="Q993" s="531" t="str">
        <f>IF($A993="","",$G993/VLOOKUP($I993,Ref!$B$23:$D$29,2,0))</f>
        <v/>
      </c>
      <c r="R993" s="530" t="str">
        <f t="shared" si="413"/>
        <v/>
      </c>
      <c r="S993" s="532" t="str">
        <f t="shared" si="407"/>
        <v/>
      </c>
      <c r="T993" s="531" t="str">
        <f t="shared" si="414"/>
        <v/>
      </c>
      <c r="U993" s="533">
        <f t="shared" si="415"/>
        <v>0</v>
      </c>
      <c r="V993" s="531" t="str">
        <f t="shared" si="416"/>
        <v/>
      </c>
      <c r="W993" s="531" t="str">
        <f t="shared" si="417"/>
        <v/>
      </c>
      <c r="X993" s="534" t="str">
        <f t="shared" si="418"/>
        <v/>
      </c>
      <c r="Y993" s="535" t="str">
        <f>IF($A993="","",IF($I993="weekly",$A993+7,EDATE($A993,VLOOKUP($I993,Ref!$B$24:$C$29,2,0))))</f>
        <v/>
      </c>
      <c r="Z993" s="536" t="str">
        <f t="shared" si="419"/>
        <v/>
      </c>
      <c r="AA993" s="531">
        <f t="shared" si="420"/>
        <v>0</v>
      </c>
      <c r="AB993" s="535" t="str">
        <f t="shared" si="408"/>
        <v/>
      </c>
      <c r="AC993" s="537" t="str">
        <f t="shared" si="409"/>
        <v/>
      </c>
      <c r="AD993" s="538" t="str">
        <f t="shared" ca="1" si="410"/>
        <v/>
      </c>
      <c r="AE993" s="537">
        <f t="shared" ca="1" si="411"/>
        <v>0</v>
      </c>
      <c r="AF993" s="539" t="str">
        <f t="shared" ca="1" si="421"/>
        <v/>
      </c>
      <c r="AG993" s="531" t="str">
        <f t="shared" ca="1" si="422"/>
        <v/>
      </c>
      <c r="AH993" s="531" t="str">
        <f t="shared" ca="1" si="423"/>
        <v/>
      </c>
      <c r="AI993" s="531" t="str">
        <f t="shared" ca="1" si="424"/>
        <v/>
      </c>
      <c r="AJ993" s="531" t="str">
        <f t="shared" si="425"/>
        <v/>
      </c>
      <c r="AK993" s="540">
        <f>SUMIFS('Live Collections'!$S:$S,'Live Collections'!$D:$D,Disbursements!B993,'Live Collections'!$G:$G,Disbursements!C993)</f>
        <v>0</v>
      </c>
      <c r="AL993" s="540">
        <f>SUMIFS('Live Collections'!$T:$T,'Live Collections'!$D:$D,Disbursements!B993,'Live Collections'!$G:$G,Disbursements!C993)</f>
        <v>0</v>
      </c>
      <c r="AM993" s="541">
        <f t="shared" si="426"/>
        <v>0</v>
      </c>
      <c r="AN993" s="542" t="str">
        <f t="shared" si="427"/>
        <v/>
      </c>
      <c r="AO993" s="542" t="str">
        <f t="shared" si="428"/>
        <v/>
      </c>
      <c r="AP993" s="543" t="str">
        <f t="shared" si="429"/>
        <v/>
      </c>
      <c r="AQ993" s="544" t="str">
        <f t="shared" si="430"/>
        <v/>
      </c>
      <c r="AR993" s="545">
        <f t="shared" si="431"/>
        <v>0</v>
      </c>
      <c r="AS993" s="545">
        <f>IFERROR(CEILING($AR993*VLOOKUP($I993,Ref!$B$23:$E$29,4,0),1),0)</f>
        <v>0</v>
      </c>
      <c r="AT993" s="545" t="str">
        <f>IF(A993="","",IF(AP993&lt;=1,"Cleared",IF(AS993=0,"Clean",VLOOKUP($AS993,Ref!$G$23:$H$28,2))))</f>
        <v/>
      </c>
      <c r="AU993" s="546" t="str">
        <f t="shared" si="432"/>
        <v/>
      </c>
    </row>
    <row r="994" spans="1:47" ht="14.25" hidden="1" customHeight="1" x14ac:dyDescent="0.15">
      <c r="A994" s="523"/>
      <c r="B994" s="523"/>
      <c r="C994" s="523"/>
      <c r="D994" s="523"/>
      <c r="E994" s="579"/>
      <c r="F994" s="580"/>
      <c r="G994" s="524"/>
      <c r="H994" s="555"/>
      <c r="I994" s="560"/>
      <c r="J994" s="523"/>
      <c r="K994" s="528" t="str">
        <f>IFERROR(VLOOKUP($B994,'Clients-Live'!$A:$C,3,0),"")</f>
        <v/>
      </c>
      <c r="L994" s="528">
        <f>IF(E994="STL",Pricing!$D$38,IF(A994="",0,IF(A994&lt;Pricing!$C$25,Pricing!$D$25,VLOOKUP(Disbursements!$F994,Pricing!$B$29:$D$32,3))))</f>
        <v>0</v>
      </c>
      <c r="M994" s="528">
        <f>IF(E994="STL",0,IF(F994&gt;0,Pricing!$D$21,0))</f>
        <v>0</v>
      </c>
      <c r="N994" s="529">
        <f>IF(E994="STL",F994*Pricing!$D$40,IF(A994&lt;=Pricing!$C$4,0,IF(AND(A994&gt;Pricing!$C$4,Disbursements!A994&lt;=Pricing!$C$5),F994*Pricing!$E$5,IF(AND(A994&gt;Pricing!$C$5,Disbursements!A994&lt;=Pricing!$C$7),VLOOKUP(F994,Pricing!$D$7:$E$8,2)*Disbursements!F994,F994*Pricing!$E$9))))</f>
        <v>0</v>
      </c>
      <c r="O994" s="528">
        <f>IF(E994="STL",0,IF($F994&gt;0,$F994*Pricing!$D$17,0))</f>
        <v>0</v>
      </c>
      <c r="P994" s="530" t="str">
        <f t="shared" si="412"/>
        <v/>
      </c>
      <c r="Q994" s="531" t="str">
        <f>IF($A994="","",$G994/VLOOKUP($I994,Ref!$B$23:$D$29,2,0))</f>
        <v/>
      </c>
      <c r="R994" s="530" t="str">
        <f t="shared" si="413"/>
        <v/>
      </c>
      <c r="S994" s="532" t="str">
        <f t="shared" si="407"/>
        <v/>
      </c>
      <c r="T994" s="531" t="str">
        <f t="shared" si="414"/>
        <v/>
      </c>
      <c r="U994" s="533">
        <f t="shared" si="415"/>
        <v>0</v>
      </c>
      <c r="V994" s="531" t="str">
        <f t="shared" si="416"/>
        <v/>
      </c>
      <c r="W994" s="531" t="str">
        <f t="shared" si="417"/>
        <v/>
      </c>
      <c r="X994" s="534" t="str">
        <f t="shared" si="418"/>
        <v/>
      </c>
      <c r="Y994" s="535" t="str">
        <f>IF($A994="","",IF($I994="weekly",$A994+7,EDATE($A994,VLOOKUP($I994,Ref!$B$24:$C$29,2,0))))</f>
        <v/>
      </c>
      <c r="Z994" s="536" t="str">
        <f t="shared" si="419"/>
        <v/>
      </c>
      <c r="AA994" s="531">
        <f t="shared" si="420"/>
        <v>0</v>
      </c>
      <c r="AB994" s="535" t="str">
        <f t="shared" si="408"/>
        <v/>
      </c>
      <c r="AC994" s="537" t="str">
        <f t="shared" si="409"/>
        <v/>
      </c>
      <c r="AD994" s="538" t="str">
        <f t="shared" ca="1" si="410"/>
        <v/>
      </c>
      <c r="AE994" s="537">
        <f t="shared" ca="1" si="411"/>
        <v>0</v>
      </c>
      <c r="AF994" s="539" t="str">
        <f t="shared" ca="1" si="421"/>
        <v/>
      </c>
      <c r="AG994" s="531" t="str">
        <f t="shared" ca="1" si="422"/>
        <v/>
      </c>
      <c r="AH994" s="531" t="str">
        <f t="shared" ca="1" si="423"/>
        <v/>
      </c>
      <c r="AI994" s="531" t="str">
        <f t="shared" ca="1" si="424"/>
        <v/>
      </c>
      <c r="AJ994" s="531" t="str">
        <f t="shared" si="425"/>
        <v/>
      </c>
      <c r="AK994" s="540">
        <f>SUMIFS('Live Collections'!$S:$S,'Live Collections'!$D:$D,Disbursements!B994,'Live Collections'!$G:$G,Disbursements!C994)</f>
        <v>0</v>
      </c>
      <c r="AL994" s="540">
        <f>SUMIFS('Live Collections'!$T:$T,'Live Collections'!$D:$D,Disbursements!B994,'Live Collections'!$G:$G,Disbursements!C994)</f>
        <v>0</v>
      </c>
      <c r="AM994" s="541">
        <f t="shared" si="426"/>
        <v>0</v>
      </c>
      <c r="AN994" s="542" t="str">
        <f t="shared" si="427"/>
        <v/>
      </c>
      <c r="AO994" s="542" t="str">
        <f t="shared" si="428"/>
        <v/>
      </c>
      <c r="AP994" s="543" t="str">
        <f t="shared" si="429"/>
        <v/>
      </c>
      <c r="AQ994" s="544" t="str">
        <f t="shared" si="430"/>
        <v/>
      </c>
      <c r="AR994" s="545">
        <f t="shared" si="431"/>
        <v>0</v>
      </c>
      <c r="AS994" s="545">
        <f>IFERROR(CEILING($AR994*VLOOKUP($I994,Ref!$B$23:$E$29,4,0),1),0)</f>
        <v>0</v>
      </c>
      <c r="AT994" s="545" t="str">
        <f>IF(A994="","",IF(AP994&lt;=1,"Cleared",IF(AS994=0,"Clean",VLOOKUP($AS994,Ref!$G$23:$H$28,2))))</f>
        <v/>
      </c>
      <c r="AU994" s="546" t="str">
        <f t="shared" si="432"/>
        <v/>
      </c>
    </row>
    <row r="995" spans="1:47" ht="14.25" hidden="1" customHeight="1" x14ac:dyDescent="0.15">
      <c r="A995" s="523"/>
      <c r="B995" s="523"/>
      <c r="C995" s="523"/>
      <c r="D995" s="523"/>
      <c r="E995" s="579"/>
      <c r="F995" s="580"/>
      <c r="G995" s="524"/>
      <c r="H995" s="555"/>
      <c r="I995" s="560"/>
      <c r="J995" s="523"/>
      <c r="K995" s="528" t="str">
        <f>IFERROR(VLOOKUP($B995,'Clients-Live'!$A:$C,3,0),"")</f>
        <v/>
      </c>
      <c r="L995" s="528">
        <f>IF(E995="STL",Pricing!$D$38,IF(A995="",0,IF(A995&lt;Pricing!$C$25,Pricing!$D$25,VLOOKUP(Disbursements!$F995,Pricing!$B$29:$D$32,3))))</f>
        <v>0</v>
      </c>
      <c r="M995" s="528">
        <f>IF(E995="STL",0,IF(F995&gt;0,Pricing!$D$21,0))</f>
        <v>0</v>
      </c>
      <c r="N995" s="529">
        <f>IF(E995="STL",F995*Pricing!$D$40,IF(A995&lt;=Pricing!$C$4,0,IF(AND(A995&gt;Pricing!$C$4,Disbursements!A995&lt;=Pricing!$C$5),F995*Pricing!$E$5,IF(AND(A995&gt;Pricing!$C$5,Disbursements!A995&lt;=Pricing!$C$7),VLOOKUP(F995,Pricing!$D$7:$E$8,2)*Disbursements!F995,F995*Pricing!$E$9))))</f>
        <v>0</v>
      </c>
      <c r="O995" s="528">
        <f>IF(E995="STL",0,IF($F995&gt;0,$F995*Pricing!$D$17,0))</f>
        <v>0</v>
      </c>
      <c r="P995" s="530" t="str">
        <f t="shared" si="412"/>
        <v/>
      </c>
      <c r="Q995" s="531" t="str">
        <f>IF($A995="","",$G995/VLOOKUP($I995,Ref!$B$23:$D$29,2,0))</f>
        <v/>
      </c>
      <c r="R995" s="530" t="str">
        <f t="shared" si="413"/>
        <v/>
      </c>
      <c r="S995" s="532" t="str">
        <f t="shared" si="407"/>
        <v/>
      </c>
      <c r="T995" s="531" t="str">
        <f t="shared" si="414"/>
        <v/>
      </c>
      <c r="U995" s="533">
        <f t="shared" si="415"/>
        <v>0</v>
      </c>
      <c r="V995" s="531" t="str">
        <f t="shared" si="416"/>
        <v/>
      </c>
      <c r="W995" s="531" t="str">
        <f t="shared" si="417"/>
        <v/>
      </c>
      <c r="X995" s="534" t="str">
        <f t="shared" si="418"/>
        <v/>
      </c>
      <c r="Y995" s="535" t="str">
        <f>IF($A995="","",IF($I995="weekly",$A995+7,EDATE($A995,VLOOKUP($I995,Ref!$B$24:$C$29,2,0))))</f>
        <v/>
      </c>
      <c r="Z995" s="536" t="str">
        <f t="shared" si="419"/>
        <v/>
      </c>
      <c r="AA995" s="531">
        <f t="shared" si="420"/>
        <v>0</v>
      </c>
      <c r="AB995" s="535" t="str">
        <f t="shared" si="408"/>
        <v/>
      </c>
      <c r="AC995" s="537" t="str">
        <f t="shared" si="409"/>
        <v/>
      </c>
      <c r="AD995" s="538" t="str">
        <f t="shared" ca="1" si="410"/>
        <v/>
      </c>
      <c r="AE995" s="537">
        <f t="shared" ca="1" si="411"/>
        <v>0</v>
      </c>
      <c r="AF995" s="539" t="str">
        <f t="shared" ca="1" si="421"/>
        <v/>
      </c>
      <c r="AG995" s="531" t="str">
        <f t="shared" ca="1" si="422"/>
        <v/>
      </c>
      <c r="AH995" s="531" t="str">
        <f t="shared" ca="1" si="423"/>
        <v/>
      </c>
      <c r="AI995" s="531" t="str">
        <f t="shared" ca="1" si="424"/>
        <v/>
      </c>
      <c r="AJ995" s="531" t="str">
        <f t="shared" si="425"/>
        <v/>
      </c>
      <c r="AK995" s="540">
        <f>SUMIFS('Live Collections'!$S:$S,'Live Collections'!$D:$D,Disbursements!B995,'Live Collections'!$G:$G,Disbursements!C995)</f>
        <v>0</v>
      </c>
      <c r="AL995" s="540">
        <f>SUMIFS('Live Collections'!$T:$T,'Live Collections'!$D:$D,Disbursements!B995,'Live Collections'!$G:$G,Disbursements!C995)</f>
        <v>0</v>
      </c>
      <c r="AM995" s="541">
        <f t="shared" si="426"/>
        <v>0</v>
      </c>
      <c r="AN995" s="542" t="str">
        <f t="shared" si="427"/>
        <v/>
      </c>
      <c r="AO995" s="542" t="str">
        <f t="shared" si="428"/>
        <v/>
      </c>
      <c r="AP995" s="543" t="str">
        <f t="shared" si="429"/>
        <v/>
      </c>
      <c r="AQ995" s="544" t="str">
        <f t="shared" si="430"/>
        <v/>
      </c>
      <c r="AR995" s="545">
        <f t="shared" si="431"/>
        <v>0</v>
      </c>
      <c r="AS995" s="545">
        <f>IFERROR(CEILING($AR995*VLOOKUP($I995,Ref!$B$23:$E$29,4,0),1),0)</f>
        <v>0</v>
      </c>
      <c r="AT995" s="545" t="str">
        <f>IF(A995="","",IF(AP995&lt;=1,"Cleared",IF(AS995=0,"Clean",VLOOKUP($AS995,Ref!$G$23:$H$28,2))))</f>
        <v/>
      </c>
      <c r="AU995" s="546" t="str">
        <f t="shared" si="432"/>
        <v/>
      </c>
    </row>
    <row r="996" spans="1:47" ht="14.25" hidden="1" customHeight="1" x14ac:dyDescent="0.15">
      <c r="A996" s="523"/>
      <c r="B996" s="523"/>
      <c r="C996" s="523"/>
      <c r="D996" s="523"/>
      <c r="E996" s="579"/>
      <c r="F996" s="580"/>
      <c r="G996" s="524"/>
      <c r="H996" s="555"/>
      <c r="I996" s="560"/>
      <c r="J996" s="523"/>
      <c r="K996" s="528" t="str">
        <f>IFERROR(VLOOKUP($B996,'Clients-Live'!$A:$C,3,0),"")</f>
        <v/>
      </c>
      <c r="L996" s="528">
        <f>IF(E996="STL",Pricing!$D$38,IF(A996="",0,IF(A996&lt;Pricing!$C$25,Pricing!$D$25,VLOOKUP(Disbursements!$F996,Pricing!$B$29:$D$32,3))))</f>
        <v>0</v>
      </c>
      <c r="M996" s="528">
        <f>IF(E996="STL",0,IF(F996&gt;0,Pricing!$D$21,0))</f>
        <v>0</v>
      </c>
      <c r="N996" s="529">
        <f>IF(E996="STL",F996*Pricing!$D$40,IF(A996&lt;=Pricing!$C$4,0,IF(AND(A996&gt;Pricing!$C$4,Disbursements!A996&lt;=Pricing!$C$5),F996*Pricing!$E$5,IF(AND(A996&gt;Pricing!$C$5,Disbursements!A996&lt;=Pricing!$C$7),VLOOKUP(F996,Pricing!$D$7:$E$8,2)*Disbursements!F996,F996*Pricing!$E$9))))</f>
        <v>0</v>
      </c>
      <c r="O996" s="528">
        <f>IF(E996="STL",0,IF($F996&gt;0,$F996*Pricing!$D$17,0))</f>
        <v>0</v>
      </c>
      <c r="P996" s="530" t="str">
        <f t="shared" si="412"/>
        <v/>
      </c>
      <c r="Q996" s="531" t="str">
        <f>IF($A996="","",$G996/VLOOKUP($I996,Ref!$B$23:$D$29,2,0))</f>
        <v/>
      </c>
      <c r="R996" s="530" t="str">
        <f t="shared" si="413"/>
        <v/>
      </c>
      <c r="S996" s="532" t="str">
        <f t="shared" si="407"/>
        <v/>
      </c>
      <c r="T996" s="531" t="str">
        <f t="shared" si="414"/>
        <v/>
      </c>
      <c r="U996" s="533">
        <f t="shared" si="415"/>
        <v>0</v>
      </c>
      <c r="V996" s="531" t="str">
        <f t="shared" si="416"/>
        <v/>
      </c>
      <c r="W996" s="531" t="str">
        <f t="shared" si="417"/>
        <v/>
      </c>
      <c r="X996" s="534" t="str">
        <f t="shared" si="418"/>
        <v/>
      </c>
      <c r="Y996" s="535" t="str">
        <f>IF($A996="","",IF($I996="weekly",$A996+7,EDATE($A996,VLOOKUP($I996,Ref!$B$24:$C$29,2,0))))</f>
        <v/>
      </c>
      <c r="Z996" s="536" t="str">
        <f t="shared" si="419"/>
        <v/>
      </c>
      <c r="AA996" s="531">
        <f t="shared" si="420"/>
        <v>0</v>
      </c>
      <c r="AB996" s="535" t="str">
        <f t="shared" si="408"/>
        <v/>
      </c>
      <c r="AC996" s="537" t="str">
        <f t="shared" si="409"/>
        <v/>
      </c>
      <c r="AD996" s="538" t="str">
        <f t="shared" ca="1" si="410"/>
        <v/>
      </c>
      <c r="AE996" s="537">
        <f t="shared" ca="1" si="411"/>
        <v>0</v>
      </c>
      <c r="AF996" s="539" t="str">
        <f t="shared" ca="1" si="421"/>
        <v/>
      </c>
      <c r="AG996" s="531" t="str">
        <f t="shared" ca="1" si="422"/>
        <v/>
      </c>
      <c r="AH996" s="531" t="str">
        <f t="shared" ca="1" si="423"/>
        <v/>
      </c>
      <c r="AI996" s="531" t="str">
        <f t="shared" ca="1" si="424"/>
        <v/>
      </c>
      <c r="AJ996" s="531" t="str">
        <f t="shared" si="425"/>
        <v/>
      </c>
      <c r="AK996" s="540">
        <f>SUMIFS('Live Collections'!$S:$S,'Live Collections'!$D:$D,Disbursements!B996,'Live Collections'!$G:$G,Disbursements!C996)</f>
        <v>0</v>
      </c>
      <c r="AL996" s="540">
        <f>SUMIFS('Live Collections'!$T:$T,'Live Collections'!$D:$D,Disbursements!B996,'Live Collections'!$G:$G,Disbursements!C996)</f>
        <v>0</v>
      </c>
      <c r="AM996" s="541">
        <f t="shared" si="426"/>
        <v>0</v>
      </c>
      <c r="AN996" s="542" t="str">
        <f t="shared" si="427"/>
        <v/>
      </c>
      <c r="AO996" s="542" t="str">
        <f t="shared" si="428"/>
        <v/>
      </c>
      <c r="AP996" s="543" t="str">
        <f t="shared" si="429"/>
        <v/>
      </c>
      <c r="AQ996" s="544" t="str">
        <f t="shared" si="430"/>
        <v/>
      </c>
      <c r="AR996" s="545">
        <f t="shared" si="431"/>
        <v>0</v>
      </c>
      <c r="AS996" s="545">
        <f>IFERROR(CEILING($AR996*VLOOKUP($I996,Ref!$B$23:$E$29,4,0),1),0)</f>
        <v>0</v>
      </c>
      <c r="AT996" s="545" t="str">
        <f>IF(A996="","",IF(AP996&lt;=1,"Cleared",IF(AS996=0,"Clean",VLOOKUP($AS996,Ref!$G$23:$H$28,2))))</f>
        <v/>
      </c>
      <c r="AU996" s="546" t="str">
        <f t="shared" si="432"/>
        <v/>
      </c>
    </row>
    <row r="997" spans="1:47" ht="14.25" hidden="1" customHeight="1" x14ac:dyDescent="0.15">
      <c r="A997" s="523"/>
      <c r="B997" s="523"/>
      <c r="C997" s="523"/>
      <c r="D997" s="523"/>
      <c r="E997" s="579"/>
      <c r="F997" s="580"/>
      <c r="G997" s="524"/>
      <c r="H997" s="555"/>
      <c r="I997" s="560"/>
      <c r="J997" s="523"/>
      <c r="K997" s="528" t="str">
        <f>IFERROR(VLOOKUP($B997,'Clients-Live'!$A:$C,3,0),"")</f>
        <v/>
      </c>
      <c r="L997" s="528">
        <f>IF(E997="STL",Pricing!$D$38,IF(A997="",0,IF(A997&lt;Pricing!$C$25,Pricing!$D$25,VLOOKUP(Disbursements!$F997,Pricing!$B$29:$D$32,3))))</f>
        <v>0</v>
      </c>
      <c r="M997" s="528">
        <f>IF(E997="STL",0,IF(F997&gt;0,Pricing!$D$21,0))</f>
        <v>0</v>
      </c>
      <c r="N997" s="529">
        <f>IF(E997="STL",F997*Pricing!$D$40,IF(A997&lt;=Pricing!$C$4,0,IF(AND(A997&gt;Pricing!$C$4,Disbursements!A997&lt;=Pricing!$C$5),F997*Pricing!$E$5,IF(AND(A997&gt;Pricing!$C$5,Disbursements!A997&lt;=Pricing!$C$7),VLOOKUP(F997,Pricing!$D$7:$E$8,2)*Disbursements!F997,F997*Pricing!$E$9))))</f>
        <v>0</v>
      </c>
      <c r="O997" s="528">
        <f>IF(E997="STL",0,IF($F997&gt;0,$F997*Pricing!$D$17,0))</f>
        <v>0</v>
      </c>
      <c r="P997" s="530" t="str">
        <f t="shared" si="412"/>
        <v/>
      </c>
      <c r="Q997" s="531" t="str">
        <f>IF($A997="","",$G997/VLOOKUP($I997,Ref!$B$23:$D$29,2,0))</f>
        <v/>
      </c>
      <c r="R997" s="530" t="str">
        <f t="shared" si="413"/>
        <v/>
      </c>
      <c r="S997" s="532" t="str">
        <f t="shared" si="407"/>
        <v/>
      </c>
      <c r="T997" s="531" t="str">
        <f t="shared" si="414"/>
        <v/>
      </c>
      <c r="U997" s="533">
        <f t="shared" si="415"/>
        <v>0</v>
      </c>
      <c r="V997" s="531" t="str">
        <f t="shared" si="416"/>
        <v/>
      </c>
      <c r="W997" s="531" t="str">
        <f t="shared" si="417"/>
        <v/>
      </c>
      <c r="X997" s="534" t="str">
        <f t="shared" si="418"/>
        <v/>
      </c>
      <c r="Y997" s="535" t="str">
        <f>IF($A997="","",IF($I997="weekly",$A997+7,EDATE($A997,VLOOKUP($I997,Ref!$B$24:$C$29,2,0))))</f>
        <v/>
      </c>
      <c r="Z997" s="536" t="str">
        <f t="shared" si="419"/>
        <v/>
      </c>
      <c r="AA997" s="531">
        <f t="shared" si="420"/>
        <v>0</v>
      </c>
      <c r="AB997" s="535" t="str">
        <f t="shared" si="408"/>
        <v/>
      </c>
      <c r="AC997" s="537" t="str">
        <f t="shared" si="409"/>
        <v/>
      </c>
      <c r="AD997" s="538" t="str">
        <f t="shared" ca="1" si="410"/>
        <v/>
      </c>
      <c r="AE997" s="537">
        <f t="shared" ca="1" si="411"/>
        <v>0</v>
      </c>
      <c r="AF997" s="539" t="str">
        <f t="shared" ca="1" si="421"/>
        <v/>
      </c>
      <c r="AG997" s="531" t="str">
        <f t="shared" ca="1" si="422"/>
        <v/>
      </c>
      <c r="AH997" s="531" t="str">
        <f t="shared" ca="1" si="423"/>
        <v/>
      </c>
      <c r="AI997" s="531" t="str">
        <f t="shared" ca="1" si="424"/>
        <v/>
      </c>
      <c r="AJ997" s="531" t="str">
        <f t="shared" si="425"/>
        <v/>
      </c>
      <c r="AK997" s="540">
        <f>SUMIFS('Live Collections'!$S:$S,'Live Collections'!$D:$D,Disbursements!B997,'Live Collections'!$G:$G,Disbursements!C997)</f>
        <v>0</v>
      </c>
      <c r="AL997" s="540">
        <f>SUMIFS('Live Collections'!$T:$T,'Live Collections'!$D:$D,Disbursements!B997,'Live Collections'!$G:$G,Disbursements!C997)</f>
        <v>0</v>
      </c>
      <c r="AM997" s="541">
        <f t="shared" si="426"/>
        <v>0</v>
      </c>
      <c r="AN997" s="542" t="str">
        <f t="shared" si="427"/>
        <v/>
      </c>
      <c r="AO997" s="542" t="str">
        <f t="shared" si="428"/>
        <v/>
      </c>
      <c r="AP997" s="543" t="str">
        <f t="shared" si="429"/>
        <v/>
      </c>
      <c r="AQ997" s="544" t="str">
        <f t="shared" si="430"/>
        <v/>
      </c>
      <c r="AR997" s="545">
        <f t="shared" si="431"/>
        <v>0</v>
      </c>
      <c r="AS997" s="545">
        <f>IFERROR(CEILING($AR997*VLOOKUP($I997,Ref!$B$23:$E$29,4,0),1),0)</f>
        <v>0</v>
      </c>
      <c r="AT997" s="545" t="str">
        <f>IF(A997="","",IF(AP997&lt;=1,"Cleared",IF(AS997=0,"Clean",VLOOKUP($AS997,Ref!$G$23:$H$28,2))))</f>
        <v/>
      </c>
      <c r="AU997" s="546" t="str">
        <f t="shared" si="432"/>
        <v/>
      </c>
    </row>
    <row r="998" spans="1:47" ht="14.25" hidden="1" customHeight="1" x14ac:dyDescent="0.15">
      <c r="A998" s="523"/>
      <c r="B998" s="523"/>
      <c r="C998" s="523"/>
      <c r="D998" s="523"/>
      <c r="E998" s="579"/>
      <c r="F998" s="580"/>
      <c r="G998" s="524"/>
      <c r="H998" s="555"/>
      <c r="I998" s="560"/>
      <c r="J998" s="523"/>
      <c r="K998" s="528" t="str">
        <f>IFERROR(VLOOKUP($B998,'Clients-Live'!$A:$C,3,0),"")</f>
        <v/>
      </c>
      <c r="L998" s="528">
        <f>IF(E998="STL",Pricing!$D$38,IF(A998="",0,IF(A998&lt;Pricing!$C$25,Pricing!$D$25,VLOOKUP(Disbursements!$F998,Pricing!$B$29:$D$32,3))))</f>
        <v>0</v>
      </c>
      <c r="M998" s="528">
        <f>IF(E998="STL",0,IF(F998&gt;0,Pricing!$D$21,0))</f>
        <v>0</v>
      </c>
      <c r="N998" s="529">
        <f>IF(E998="STL",F998*Pricing!$D$40,IF(A998&lt;=Pricing!$C$4,0,IF(AND(A998&gt;Pricing!$C$4,Disbursements!A998&lt;=Pricing!$C$5),F998*Pricing!$E$5,IF(AND(A998&gt;Pricing!$C$5,Disbursements!A998&lt;=Pricing!$C$7),VLOOKUP(F998,Pricing!$D$7:$E$8,2)*Disbursements!F998,F998*Pricing!$E$9))))</f>
        <v>0</v>
      </c>
      <c r="O998" s="528">
        <f>IF(E998="STL",0,IF($F998&gt;0,$F998*Pricing!$D$17,0))</f>
        <v>0</v>
      </c>
      <c r="P998" s="530" t="str">
        <f t="shared" si="412"/>
        <v/>
      </c>
      <c r="Q998" s="531" t="str">
        <f>IF($A998="","",$G998/VLOOKUP($I998,Ref!$B$23:$D$29,2,0))</f>
        <v/>
      </c>
      <c r="R998" s="530" t="str">
        <f t="shared" si="413"/>
        <v/>
      </c>
      <c r="S998" s="532" t="str">
        <f t="shared" si="407"/>
        <v/>
      </c>
      <c r="T998" s="531" t="str">
        <f t="shared" si="414"/>
        <v/>
      </c>
      <c r="U998" s="533">
        <f t="shared" si="415"/>
        <v>0</v>
      </c>
      <c r="V998" s="531" t="str">
        <f t="shared" si="416"/>
        <v/>
      </c>
      <c r="W998" s="531" t="str">
        <f t="shared" si="417"/>
        <v/>
      </c>
      <c r="X998" s="534" t="str">
        <f t="shared" si="418"/>
        <v/>
      </c>
      <c r="Y998" s="535" t="str">
        <f>IF($A998="","",IF($I998="weekly",$A998+7,EDATE($A998,VLOOKUP($I998,Ref!$B$24:$C$29,2,0))))</f>
        <v/>
      </c>
      <c r="Z998" s="536" t="str">
        <f t="shared" si="419"/>
        <v/>
      </c>
      <c r="AA998" s="531">
        <f t="shared" si="420"/>
        <v>0</v>
      </c>
      <c r="AB998" s="535" t="str">
        <f t="shared" si="408"/>
        <v/>
      </c>
      <c r="AC998" s="537" t="str">
        <f t="shared" si="409"/>
        <v/>
      </c>
      <c r="AD998" s="538" t="str">
        <f t="shared" ca="1" si="410"/>
        <v/>
      </c>
      <c r="AE998" s="537">
        <f t="shared" ca="1" si="411"/>
        <v>0</v>
      </c>
      <c r="AF998" s="539" t="str">
        <f t="shared" ca="1" si="421"/>
        <v/>
      </c>
      <c r="AG998" s="531" t="str">
        <f t="shared" ca="1" si="422"/>
        <v/>
      </c>
      <c r="AH998" s="531" t="str">
        <f t="shared" ca="1" si="423"/>
        <v/>
      </c>
      <c r="AI998" s="531" t="str">
        <f t="shared" ca="1" si="424"/>
        <v/>
      </c>
      <c r="AJ998" s="531" t="str">
        <f t="shared" si="425"/>
        <v/>
      </c>
      <c r="AK998" s="540">
        <f>SUMIFS('Live Collections'!$S:$S,'Live Collections'!$D:$D,Disbursements!B998,'Live Collections'!$G:$G,Disbursements!C998)</f>
        <v>0</v>
      </c>
      <c r="AL998" s="540">
        <f>SUMIFS('Live Collections'!$T:$T,'Live Collections'!$D:$D,Disbursements!B998,'Live Collections'!$G:$G,Disbursements!C998)</f>
        <v>0</v>
      </c>
      <c r="AM998" s="541">
        <f t="shared" si="426"/>
        <v>0</v>
      </c>
      <c r="AN998" s="542" t="str">
        <f t="shared" si="427"/>
        <v/>
      </c>
      <c r="AO998" s="542" t="str">
        <f t="shared" si="428"/>
        <v/>
      </c>
      <c r="AP998" s="543" t="str">
        <f t="shared" si="429"/>
        <v/>
      </c>
      <c r="AQ998" s="544" t="str">
        <f t="shared" si="430"/>
        <v/>
      </c>
      <c r="AR998" s="545">
        <f t="shared" si="431"/>
        <v>0</v>
      </c>
      <c r="AS998" s="545">
        <f>IFERROR(CEILING($AR998*VLOOKUP($I998,Ref!$B$23:$E$29,4,0),1),0)</f>
        <v>0</v>
      </c>
      <c r="AT998" s="545" t="str">
        <f>IF(A998="","",IF(AP998&lt;=1,"Cleared",IF(AS998=0,"Clean",VLOOKUP($AS998,Ref!$G$23:$H$28,2))))</f>
        <v/>
      </c>
      <c r="AU998" s="546" t="str">
        <f t="shared" si="432"/>
        <v/>
      </c>
    </row>
    <row r="999" spans="1:47" ht="14.25" hidden="1" customHeight="1" x14ac:dyDescent="0.15">
      <c r="A999" s="523"/>
      <c r="B999" s="523"/>
      <c r="C999" s="523"/>
      <c r="D999" s="523"/>
      <c r="E999" s="579"/>
      <c r="F999" s="580"/>
      <c r="G999" s="524"/>
      <c r="H999" s="555"/>
      <c r="I999" s="560"/>
      <c r="J999" s="523"/>
      <c r="K999" s="528" t="str">
        <f>IFERROR(VLOOKUP($B999,'Clients-Live'!$A:$C,3,0),"")</f>
        <v/>
      </c>
      <c r="L999" s="528">
        <f>IF(E999="STL",Pricing!$D$38,IF(A999="",0,IF(A999&lt;Pricing!$C$25,Pricing!$D$25,VLOOKUP(Disbursements!$F999,Pricing!$B$29:$D$32,3))))</f>
        <v>0</v>
      </c>
      <c r="M999" s="528">
        <f>IF(E999="STL",0,IF(F999&gt;0,Pricing!$D$21,0))</f>
        <v>0</v>
      </c>
      <c r="N999" s="529">
        <f>IF(E999="STL",F999*Pricing!$D$40,IF(A999&lt;=Pricing!$C$4,0,IF(AND(A999&gt;Pricing!$C$4,Disbursements!A999&lt;=Pricing!$C$5),F999*Pricing!$E$5,IF(AND(A999&gt;Pricing!$C$5,Disbursements!A999&lt;=Pricing!$C$7),VLOOKUP(F999,Pricing!$D$7:$E$8,2)*Disbursements!F999,F999*Pricing!$E$9))))</f>
        <v>0</v>
      </c>
      <c r="O999" s="528">
        <f>IF(E999="STL",0,IF($F999&gt;0,$F999*Pricing!$D$17,0))</f>
        <v>0</v>
      </c>
      <c r="P999" s="530" t="str">
        <f t="shared" si="412"/>
        <v/>
      </c>
      <c r="Q999" s="531" t="str">
        <f>IF($A999="","",$G999/VLOOKUP($I999,Ref!$B$23:$D$29,2,0))</f>
        <v/>
      </c>
      <c r="R999" s="530" t="str">
        <f t="shared" si="413"/>
        <v/>
      </c>
      <c r="S999" s="532" t="str">
        <f t="shared" si="407"/>
        <v/>
      </c>
      <c r="T999" s="531" t="str">
        <f t="shared" si="414"/>
        <v/>
      </c>
      <c r="U999" s="533">
        <f t="shared" si="415"/>
        <v>0</v>
      </c>
      <c r="V999" s="531" t="str">
        <f t="shared" si="416"/>
        <v/>
      </c>
      <c r="W999" s="531" t="str">
        <f t="shared" si="417"/>
        <v/>
      </c>
      <c r="X999" s="534" t="str">
        <f t="shared" si="418"/>
        <v/>
      </c>
      <c r="Y999" s="535" t="str">
        <f>IF($A999="","",IF($I999="weekly",$A999+7,EDATE($A999,VLOOKUP($I999,Ref!$B$24:$C$29,2,0))))</f>
        <v/>
      </c>
      <c r="Z999" s="536" t="str">
        <f t="shared" si="419"/>
        <v/>
      </c>
      <c r="AA999" s="531">
        <f t="shared" si="420"/>
        <v>0</v>
      </c>
      <c r="AB999" s="535" t="str">
        <f t="shared" si="408"/>
        <v/>
      </c>
      <c r="AC999" s="537" t="str">
        <f t="shared" si="409"/>
        <v/>
      </c>
      <c r="AD999" s="538" t="str">
        <f t="shared" ca="1" si="410"/>
        <v/>
      </c>
      <c r="AE999" s="537">
        <f t="shared" ca="1" si="411"/>
        <v>0</v>
      </c>
      <c r="AF999" s="539" t="str">
        <f t="shared" ca="1" si="421"/>
        <v/>
      </c>
      <c r="AG999" s="531" t="str">
        <f t="shared" ca="1" si="422"/>
        <v/>
      </c>
      <c r="AH999" s="531" t="str">
        <f t="shared" ca="1" si="423"/>
        <v/>
      </c>
      <c r="AI999" s="531" t="str">
        <f t="shared" ca="1" si="424"/>
        <v/>
      </c>
      <c r="AJ999" s="531" t="str">
        <f t="shared" si="425"/>
        <v/>
      </c>
      <c r="AK999" s="540">
        <f>SUMIFS('Live Collections'!$S:$S,'Live Collections'!$D:$D,Disbursements!B999,'Live Collections'!$G:$G,Disbursements!C999)</f>
        <v>0</v>
      </c>
      <c r="AL999" s="540">
        <f>SUMIFS('Live Collections'!$T:$T,'Live Collections'!$D:$D,Disbursements!B999,'Live Collections'!$G:$G,Disbursements!C999)</f>
        <v>0</v>
      </c>
      <c r="AM999" s="541">
        <f t="shared" si="426"/>
        <v>0</v>
      </c>
      <c r="AN999" s="542" t="str">
        <f t="shared" si="427"/>
        <v/>
      </c>
      <c r="AO999" s="542" t="str">
        <f t="shared" si="428"/>
        <v/>
      </c>
      <c r="AP999" s="543" t="str">
        <f t="shared" si="429"/>
        <v/>
      </c>
      <c r="AQ999" s="544" t="str">
        <f t="shared" si="430"/>
        <v/>
      </c>
      <c r="AR999" s="545">
        <f t="shared" si="431"/>
        <v>0</v>
      </c>
      <c r="AS999" s="545">
        <f>IFERROR(CEILING($AR999*VLOOKUP($I999,Ref!$B$23:$E$29,4,0),1),0)</f>
        <v>0</v>
      </c>
      <c r="AT999" s="545" t="str">
        <f>IF(A999="","",IF(AP999&lt;=1,"Cleared",IF(AS999=0,"Clean",VLOOKUP($AS999,Ref!$G$23:$H$28,2))))</f>
        <v/>
      </c>
      <c r="AU999" s="546" t="str">
        <f t="shared" si="432"/>
        <v/>
      </c>
    </row>
    <row r="1000" spans="1:47" ht="14.25" hidden="1" customHeight="1" x14ac:dyDescent="0.15">
      <c r="A1000" s="523"/>
      <c r="B1000" s="523"/>
      <c r="C1000" s="523"/>
      <c r="D1000" s="523"/>
      <c r="E1000" s="579"/>
      <c r="F1000" s="580"/>
      <c r="G1000" s="524"/>
      <c r="H1000" s="555"/>
      <c r="I1000" s="560"/>
      <c r="J1000" s="523"/>
      <c r="K1000" s="528" t="str">
        <f>IFERROR(VLOOKUP($B1000,'Clients-Live'!$A:$C,3,0),"")</f>
        <v/>
      </c>
      <c r="L1000" s="528">
        <f>IF(E1000="STL",Pricing!$D$38,IF(A1000="",0,IF(A1000&lt;Pricing!$C$25,Pricing!$D$25,VLOOKUP(Disbursements!$F1000,Pricing!$B$29:$D$32,3))))</f>
        <v>0</v>
      </c>
      <c r="M1000" s="528">
        <f>IF(E1000="STL",0,IF(F1000&gt;0,Pricing!$D$21,0))</f>
        <v>0</v>
      </c>
      <c r="N1000" s="529">
        <f>IF(E1000="STL",F1000*Pricing!$D$40,IF(A1000&lt;=Pricing!$C$4,0,IF(AND(A1000&gt;Pricing!$C$4,Disbursements!A1000&lt;=Pricing!$C$5),F1000*Pricing!$E$5,IF(AND(A1000&gt;Pricing!$C$5,Disbursements!A1000&lt;=Pricing!$C$7),VLOOKUP(F1000,Pricing!$D$7:$E$8,2)*Disbursements!F1000,F1000*Pricing!$E$9))))</f>
        <v>0</v>
      </c>
      <c r="O1000" s="528">
        <f>IF(E1000="STL",0,IF($F1000&gt;0,$F1000*Pricing!$D$17,0))</f>
        <v>0</v>
      </c>
      <c r="P1000" s="530" t="str">
        <f t="shared" si="412"/>
        <v/>
      </c>
      <c r="Q1000" s="531" t="str">
        <f>IF($A1000="","",$G1000/VLOOKUP($I1000,Ref!$B$23:$D$29,2,0))</f>
        <v/>
      </c>
      <c r="R1000" s="530" t="str">
        <f t="shared" si="413"/>
        <v/>
      </c>
      <c r="S1000" s="532" t="str">
        <f t="shared" si="407"/>
        <v/>
      </c>
      <c r="T1000" s="531" t="str">
        <f t="shared" si="414"/>
        <v/>
      </c>
      <c r="U1000" s="533">
        <f t="shared" si="415"/>
        <v>0</v>
      </c>
      <c r="V1000" s="531" t="str">
        <f t="shared" si="416"/>
        <v/>
      </c>
      <c r="W1000" s="531" t="str">
        <f t="shared" si="417"/>
        <v/>
      </c>
      <c r="X1000" s="534" t="str">
        <f t="shared" si="418"/>
        <v/>
      </c>
      <c r="Y1000" s="535" t="str">
        <f>IF($A1000="","",IF($I1000="weekly",$A1000+7,EDATE($A1000,VLOOKUP($I1000,Ref!$B$24:$C$29,2,0))))</f>
        <v/>
      </c>
      <c r="Z1000" s="536" t="str">
        <f t="shared" si="419"/>
        <v/>
      </c>
      <c r="AA1000" s="531">
        <f t="shared" si="420"/>
        <v>0</v>
      </c>
      <c r="AB1000" s="535" t="str">
        <f t="shared" si="408"/>
        <v/>
      </c>
      <c r="AC1000" s="537" t="str">
        <f t="shared" si="409"/>
        <v/>
      </c>
      <c r="AD1000" s="538" t="str">
        <f t="shared" ca="1" si="410"/>
        <v/>
      </c>
      <c r="AE1000" s="537">
        <f t="shared" ca="1" si="411"/>
        <v>0</v>
      </c>
      <c r="AF1000" s="539" t="str">
        <f t="shared" ca="1" si="421"/>
        <v/>
      </c>
      <c r="AG1000" s="531" t="str">
        <f t="shared" ca="1" si="422"/>
        <v/>
      </c>
      <c r="AH1000" s="531" t="str">
        <f t="shared" ca="1" si="423"/>
        <v/>
      </c>
      <c r="AI1000" s="531" t="str">
        <f t="shared" ca="1" si="424"/>
        <v/>
      </c>
      <c r="AJ1000" s="531" t="str">
        <f t="shared" si="425"/>
        <v/>
      </c>
      <c r="AK1000" s="540">
        <f>SUMIFS('Live Collections'!$S:$S,'Live Collections'!$D:$D,Disbursements!B1000,'Live Collections'!$G:$G,Disbursements!C1000)</f>
        <v>0</v>
      </c>
      <c r="AL1000" s="540">
        <f>SUMIFS('Live Collections'!$T:$T,'Live Collections'!$D:$D,Disbursements!B1000,'Live Collections'!$G:$G,Disbursements!C1000)</f>
        <v>0</v>
      </c>
      <c r="AM1000" s="541">
        <f t="shared" si="426"/>
        <v>0</v>
      </c>
      <c r="AN1000" s="542" t="str">
        <f t="shared" si="427"/>
        <v/>
      </c>
      <c r="AO1000" s="542" t="str">
        <f t="shared" si="428"/>
        <v/>
      </c>
      <c r="AP1000" s="543" t="str">
        <f t="shared" si="429"/>
        <v/>
      </c>
      <c r="AQ1000" s="544" t="str">
        <f t="shared" si="430"/>
        <v/>
      </c>
      <c r="AR1000" s="545">
        <f t="shared" si="431"/>
        <v>0</v>
      </c>
      <c r="AS1000" s="545">
        <f>IFERROR(CEILING($AR1000*VLOOKUP($I1000,Ref!$B$23:$E$29,4,0),1),0)</f>
        <v>0</v>
      </c>
      <c r="AT1000" s="545" t="str">
        <f>IF(A1000="","",IF(AP1000&lt;=1,"Cleared",IF(AS1000=0,"Clean",VLOOKUP($AS1000,Ref!$G$23:$H$28,2))))</f>
        <v/>
      </c>
      <c r="AU1000" s="546" t="str">
        <f t="shared" si="432"/>
        <v/>
      </c>
    </row>
    <row r="1001" spans="1:47" ht="14.25" hidden="1" customHeight="1" x14ac:dyDescent="0.15">
      <c r="A1001" s="523"/>
      <c r="B1001" s="523"/>
      <c r="C1001" s="523"/>
      <c r="D1001" s="523"/>
      <c r="E1001" s="579"/>
      <c r="F1001" s="580"/>
      <c r="G1001" s="524"/>
      <c r="H1001" s="555"/>
      <c r="I1001" s="560"/>
      <c r="J1001" s="523"/>
      <c r="K1001" s="528" t="str">
        <f>IFERROR(VLOOKUP($B1001,'Clients-Live'!$A:$C,3,0),"")</f>
        <v/>
      </c>
      <c r="L1001" s="528">
        <f>IF(E1001="STL",Pricing!$D$38,IF(A1001="",0,IF(A1001&lt;Pricing!$C$25,Pricing!$D$25,VLOOKUP(Disbursements!$F1001,Pricing!$B$29:$D$32,3))))</f>
        <v>0</v>
      </c>
      <c r="M1001" s="528">
        <f>IF(E1001="STL",0,IF(F1001&gt;0,Pricing!$D$21,0))</f>
        <v>0</v>
      </c>
      <c r="N1001" s="529">
        <f>IF(E1001="STL",F1001*Pricing!$D$40,IF(A1001&lt;=Pricing!$C$4,0,IF(AND(A1001&gt;Pricing!$C$4,Disbursements!A1001&lt;=Pricing!$C$5),F1001*Pricing!$E$5,IF(AND(A1001&gt;Pricing!$C$5,Disbursements!A1001&lt;=Pricing!$C$7),VLOOKUP(F1001,Pricing!$D$7:$E$8,2)*Disbursements!F1001,F1001*Pricing!$E$9))))</f>
        <v>0</v>
      </c>
      <c r="O1001" s="528">
        <f>IF(E1001="STL",0,IF($F1001&gt;0,$F1001*Pricing!$D$17,0))</f>
        <v>0</v>
      </c>
      <c r="P1001" s="530" t="str">
        <f t="shared" si="412"/>
        <v/>
      </c>
      <c r="Q1001" s="531" t="str">
        <f>IF($A1001="","",$G1001/VLOOKUP($I1001,Ref!$B$23:$D$29,2,0))</f>
        <v/>
      </c>
      <c r="R1001" s="530" t="str">
        <f t="shared" si="413"/>
        <v/>
      </c>
      <c r="S1001" s="532" t="str">
        <f t="shared" si="407"/>
        <v/>
      </c>
      <c r="T1001" s="531" t="str">
        <f t="shared" si="414"/>
        <v/>
      </c>
      <c r="U1001" s="533">
        <f t="shared" si="415"/>
        <v>0</v>
      </c>
      <c r="V1001" s="531" t="str">
        <f t="shared" si="416"/>
        <v/>
      </c>
      <c r="W1001" s="531" t="str">
        <f t="shared" si="417"/>
        <v/>
      </c>
      <c r="X1001" s="534" t="str">
        <f t="shared" si="418"/>
        <v/>
      </c>
      <c r="Y1001" s="535" t="str">
        <f>IF($A1001="","",IF($I1001="weekly",$A1001+7,EDATE($A1001,VLOOKUP($I1001,Ref!$B$24:$C$29,2,0))))</f>
        <v/>
      </c>
      <c r="Z1001" s="536" t="str">
        <f t="shared" si="419"/>
        <v/>
      </c>
      <c r="AA1001" s="531">
        <f t="shared" si="420"/>
        <v>0</v>
      </c>
      <c r="AB1001" s="535" t="str">
        <f t="shared" si="408"/>
        <v/>
      </c>
      <c r="AC1001" s="537" t="str">
        <f t="shared" si="409"/>
        <v/>
      </c>
      <c r="AD1001" s="538" t="str">
        <f t="shared" ca="1" si="410"/>
        <v/>
      </c>
      <c r="AE1001" s="537">
        <f t="shared" ca="1" si="411"/>
        <v>0</v>
      </c>
      <c r="AF1001" s="539" t="str">
        <f t="shared" ca="1" si="421"/>
        <v/>
      </c>
      <c r="AG1001" s="531" t="str">
        <f t="shared" ca="1" si="422"/>
        <v/>
      </c>
      <c r="AH1001" s="531" t="str">
        <f t="shared" ca="1" si="423"/>
        <v/>
      </c>
      <c r="AI1001" s="531" t="str">
        <f t="shared" ca="1" si="424"/>
        <v/>
      </c>
      <c r="AJ1001" s="531" t="str">
        <f t="shared" si="425"/>
        <v/>
      </c>
      <c r="AK1001" s="540">
        <f>SUMIFS('Live Collections'!$S:$S,'Live Collections'!$D:$D,Disbursements!B1001,'Live Collections'!$G:$G,Disbursements!C1001)</f>
        <v>0</v>
      </c>
      <c r="AL1001" s="540">
        <f>SUMIFS('Live Collections'!$T:$T,'Live Collections'!$D:$D,Disbursements!B1001,'Live Collections'!$G:$G,Disbursements!C1001)</f>
        <v>0</v>
      </c>
      <c r="AM1001" s="541">
        <f t="shared" si="426"/>
        <v>0</v>
      </c>
      <c r="AN1001" s="542" t="str">
        <f t="shared" si="427"/>
        <v/>
      </c>
      <c r="AO1001" s="542" t="str">
        <f t="shared" si="428"/>
        <v/>
      </c>
      <c r="AP1001" s="543" t="str">
        <f t="shared" si="429"/>
        <v/>
      </c>
      <c r="AQ1001" s="544" t="str">
        <f t="shared" si="430"/>
        <v/>
      </c>
      <c r="AR1001" s="545">
        <f t="shared" si="431"/>
        <v>0</v>
      </c>
      <c r="AS1001" s="545">
        <f>IFERROR(CEILING($AR1001*VLOOKUP($I1001,Ref!$B$23:$E$29,4,0),1),0)</f>
        <v>0</v>
      </c>
      <c r="AT1001" s="545" t="str">
        <f>IF(A1001="","",IF(AP1001&lt;=1,"Cleared",IF(AS1001=0,"Clean",VLOOKUP($AS1001,Ref!$G$23:$H$28,2))))</f>
        <v/>
      </c>
      <c r="AU1001" s="546" t="str">
        <f t="shared" si="432"/>
        <v/>
      </c>
    </row>
    <row r="1002" spans="1:47" ht="14.25" hidden="1" customHeight="1" x14ac:dyDescent="0.15">
      <c r="A1002" s="523"/>
      <c r="B1002" s="523"/>
      <c r="C1002" s="523"/>
      <c r="D1002" s="523"/>
      <c r="E1002" s="579"/>
      <c r="F1002" s="580"/>
      <c r="G1002" s="524"/>
      <c r="H1002" s="555"/>
      <c r="I1002" s="560"/>
      <c r="J1002" s="523"/>
      <c r="K1002" s="528" t="str">
        <f>IFERROR(VLOOKUP($B1002,'Clients-Live'!$A:$C,3,0),"")</f>
        <v/>
      </c>
      <c r="L1002" s="528">
        <f>IF(E1002="STL",Pricing!$D$38,IF(A1002="",0,IF(A1002&lt;Pricing!$C$25,Pricing!$D$25,VLOOKUP(Disbursements!$F1002,Pricing!$B$29:$D$32,3))))</f>
        <v>0</v>
      </c>
      <c r="M1002" s="528">
        <f>IF(E1002="STL",0,IF(F1002&gt;0,Pricing!$D$21,0))</f>
        <v>0</v>
      </c>
      <c r="N1002" s="529">
        <f>IF(E1002="STL",F1002*Pricing!$D$40,IF(A1002&lt;=Pricing!$C$4,0,IF(AND(A1002&gt;Pricing!$C$4,Disbursements!A1002&lt;=Pricing!$C$5),F1002*Pricing!$E$5,IF(AND(A1002&gt;Pricing!$C$5,Disbursements!A1002&lt;=Pricing!$C$7),VLOOKUP(F1002,Pricing!$D$7:$E$8,2)*Disbursements!F1002,F1002*Pricing!$E$9))))</f>
        <v>0</v>
      </c>
      <c r="O1002" s="528">
        <f>IF(E1002="STL",0,IF($F1002&gt;0,$F1002*Pricing!$D$17,0))</f>
        <v>0</v>
      </c>
      <c r="P1002" s="530" t="str">
        <f t="shared" si="412"/>
        <v/>
      </c>
      <c r="Q1002" s="531" t="str">
        <f>IF($A1002="","",$G1002/VLOOKUP($I1002,Ref!$B$23:$D$29,2,0))</f>
        <v/>
      </c>
      <c r="R1002" s="530" t="str">
        <f t="shared" si="413"/>
        <v/>
      </c>
      <c r="S1002" s="532" t="str">
        <f t="shared" si="407"/>
        <v/>
      </c>
      <c r="T1002" s="531" t="str">
        <f t="shared" si="414"/>
        <v/>
      </c>
      <c r="U1002" s="533">
        <f t="shared" si="415"/>
        <v>0</v>
      </c>
      <c r="V1002" s="531" t="str">
        <f t="shared" si="416"/>
        <v/>
      </c>
      <c r="W1002" s="531" t="str">
        <f t="shared" si="417"/>
        <v/>
      </c>
      <c r="X1002" s="534" t="str">
        <f t="shared" si="418"/>
        <v/>
      </c>
      <c r="Y1002" s="535" t="str">
        <f>IF($A1002="","",IF($I1002="weekly",$A1002+7,EDATE($A1002,VLOOKUP($I1002,Ref!$B$24:$C$29,2,0))))</f>
        <v/>
      </c>
      <c r="Z1002" s="536" t="str">
        <f t="shared" si="419"/>
        <v/>
      </c>
      <c r="AA1002" s="531">
        <f t="shared" si="420"/>
        <v>0</v>
      </c>
      <c r="AB1002" s="535" t="str">
        <f t="shared" si="408"/>
        <v/>
      </c>
      <c r="AC1002" s="537" t="str">
        <f t="shared" si="409"/>
        <v/>
      </c>
      <c r="AD1002" s="538" t="str">
        <f t="shared" ca="1" si="410"/>
        <v/>
      </c>
      <c r="AE1002" s="537">
        <f t="shared" ca="1" si="411"/>
        <v>0</v>
      </c>
      <c r="AF1002" s="539" t="str">
        <f t="shared" ca="1" si="421"/>
        <v/>
      </c>
      <c r="AG1002" s="531" t="str">
        <f t="shared" ca="1" si="422"/>
        <v/>
      </c>
      <c r="AH1002" s="531" t="str">
        <f t="shared" ca="1" si="423"/>
        <v/>
      </c>
      <c r="AI1002" s="531" t="str">
        <f t="shared" ca="1" si="424"/>
        <v/>
      </c>
      <c r="AJ1002" s="531" t="str">
        <f t="shared" si="425"/>
        <v/>
      </c>
      <c r="AK1002" s="540">
        <f>SUMIFS('Live Collections'!$S:$S,'Live Collections'!$D:$D,Disbursements!B1002,'Live Collections'!$G:$G,Disbursements!C1002)</f>
        <v>0</v>
      </c>
      <c r="AL1002" s="540">
        <f>SUMIFS('Live Collections'!$T:$T,'Live Collections'!$D:$D,Disbursements!B1002,'Live Collections'!$G:$G,Disbursements!C1002)</f>
        <v>0</v>
      </c>
      <c r="AM1002" s="541">
        <f t="shared" si="426"/>
        <v>0</v>
      </c>
      <c r="AN1002" s="542" t="str">
        <f t="shared" si="427"/>
        <v/>
      </c>
      <c r="AO1002" s="542" t="str">
        <f t="shared" si="428"/>
        <v/>
      </c>
      <c r="AP1002" s="543" t="str">
        <f t="shared" si="429"/>
        <v/>
      </c>
      <c r="AQ1002" s="544" t="str">
        <f t="shared" si="430"/>
        <v/>
      </c>
      <c r="AR1002" s="545">
        <f t="shared" si="431"/>
        <v>0</v>
      </c>
      <c r="AS1002" s="545">
        <f>IFERROR(CEILING($AR1002*VLOOKUP($I1002,Ref!$B$23:$E$29,4,0),1),0)</f>
        <v>0</v>
      </c>
      <c r="AT1002" s="545" t="str">
        <f>IF(A1002="","",IF(AP1002&lt;=1,"Cleared",IF(AS1002=0,"Clean",VLOOKUP($AS1002,Ref!$G$23:$H$28,2))))</f>
        <v/>
      </c>
      <c r="AU1002" s="546" t="str">
        <f t="shared" si="432"/>
        <v/>
      </c>
    </row>
    <row r="1003" spans="1:47" ht="14.25" hidden="1" customHeight="1" x14ac:dyDescent="0.15">
      <c r="A1003" s="523"/>
      <c r="B1003" s="523"/>
      <c r="C1003" s="523"/>
      <c r="D1003" s="523"/>
      <c r="E1003" s="579"/>
      <c r="F1003" s="580"/>
      <c r="G1003" s="524"/>
      <c r="H1003" s="555"/>
      <c r="I1003" s="560"/>
      <c r="J1003" s="523"/>
      <c r="K1003" s="528" t="str">
        <f>IFERROR(VLOOKUP($B1003,'Clients-Live'!$A:$C,3,0),"")</f>
        <v/>
      </c>
      <c r="L1003" s="528">
        <f>IF(E1003="STL",Pricing!$D$38,IF(A1003="",0,IF(A1003&lt;Pricing!$C$25,Pricing!$D$25,VLOOKUP(Disbursements!$F1003,Pricing!$B$29:$D$32,3))))</f>
        <v>0</v>
      </c>
      <c r="M1003" s="528">
        <f>IF(E1003="STL",0,IF(F1003&gt;0,Pricing!$D$21,0))</f>
        <v>0</v>
      </c>
      <c r="N1003" s="529">
        <f>IF(E1003="STL",F1003*Pricing!$D$40,IF(A1003&lt;=Pricing!$C$4,0,IF(AND(A1003&gt;Pricing!$C$4,Disbursements!A1003&lt;=Pricing!$C$5),F1003*Pricing!$E$5,IF(AND(A1003&gt;Pricing!$C$5,Disbursements!A1003&lt;=Pricing!$C$7),VLOOKUP(F1003,Pricing!$D$7:$E$8,2)*Disbursements!F1003,F1003*Pricing!$E$9))))</f>
        <v>0</v>
      </c>
      <c r="O1003" s="528">
        <f>IF(E1003="STL",0,IF($F1003&gt;0,$F1003*Pricing!$D$17,0))</f>
        <v>0</v>
      </c>
      <c r="P1003" s="530" t="str">
        <f t="shared" si="412"/>
        <v/>
      </c>
      <c r="Q1003" s="531" t="str">
        <f>IF($A1003="","",$G1003/VLOOKUP($I1003,Ref!$B$23:$D$29,2,0))</f>
        <v/>
      </c>
      <c r="R1003" s="530" t="str">
        <f t="shared" si="413"/>
        <v/>
      </c>
      <c r="S1003" s="532" t="str">
        <f t="shared" si="407"/>
        <v/>
      </c>
      <c r="T1003" s="531" t="str">
        <f t="shared" si="414"/>
        <v/>
      </c>
      <c r="U1003" s="533">
        <f t="shared" si="415"/>
        <v>0</v>
      </c>
      <c r="V1003" s="531" t="str">
        <f t="shared" si="416"/>
        <v/>
      </c>
      <c r="W1003" s="531" t="str">
        <f t="shared" si="417"/>
        <v/>
      </c>
      <c r="X1003" s="534" t="str">
        <f t="shared" si="418"/>
        <v/>
      </c>
      <c r="Y1003" s="535" t="str">
        <f>IF($A1003="","",IF($I1003="weekly",$A1003+7,EDATE($A1003,VLOOKUP($I1003,Ref!$B$24:$C$29,2,0))))</f>
        <v/>
      </c>
      <c r="Z1003" s="536" t="str">
        <f t="shared" si="419"/>
        <v/>
      </c>
      <c r="AA1003" s="531">
        <f t="shared" si="420"/>
        <v>0</v>
      </c>
      <c r="AB1003" s="535" t="str">
        <f t="shared" si="408"/>
        <v/>
      </c>
      <c r="AC1003" s="537" t="str">
        <f t="shared" si="409"/>
        <v/>
      </c>
      <c r="AD1003" s="538" t="str">
        <f t="shared" ca="1" si="410"/>
        <v/>
      </c>
      <c r="AE1003" s="537">
        <f t="shared" ca="1" si="411"/>
        <v>0</v>
      </c>
      <c r="AF1003" s="539" t="str">
        <f t="shared" ca="1" si="421"/>
        <v/>
      </c>
      <c r="AG1003" s="531" t="str">
        <f t="shared" ca="1" si="422"/>
        <v/>
      </c>
      <c r="AH1003" s="531" t="str">
        <f t="shared" ca="1" si="423"/>
        <v/>
      </c>
      <c r="AI1003" s="531" t="str">
        <f t="shared" ca="1" si="424"/>
        <v/>
      </c>
      <c r="AJ1003" s="531" t="str">
        <f t="shared" si="425"/>
        <v/>
      </c>
      <c r="AK1003" s="540">
        <f>SUMIFS('Live Collections'!$S:$S,'Live Collections'!$D:$D,Disbursements!B1003,'Live Collections'!$G:$G,Disbursements!C1003)</f>
        <v>0</v>
      </c>
      <c r="AL1003" s="540">
        <f>SUMIFS('Live Collections'!$T:$T,'Live Collections'!$D:$D,Disbursements!B1003,'Live Collections'!$G:$G,Disbursements!C1003)</f>
        <v>0</v>
      </c>
      <c r="AM1003" s="541">
        <f t="shared" si="426"/>
        <v>0</v>
      </c>
      <c r="AN1003" s="542" t="str">
        <f t="shared" si="427"/>
        <v/>
      </c>
      <c r="AO1003" s="542" t="str">
        <f t="shared" si="428"/>
        <v/>
      </c>
      <c r="AP1003" s="543" t="str">
        <f t="shared" si="429"/>
        <v/>
      </c>
      <c r="AQ1003" s="544" t="str">
        <f t="shared" si="430"/>
        <v/>
      </c>
      <c r="AR1003" s="545">
        <f t="shared" si="431"/>
        <v>0</v>
      </c>
      <c r="AS1003" s="545">
        <f>IFERROR(CEILING($AR1003*VLOOKUP($I1003,Ref!$B$23:$E$29,4,0),1),0)</f>
        <v>0</v>
      </c>
      <c r="AT1003" s="545" t="str">
        <f>IF(A1003="","",IF(AP1003&lt;=1,"Cleared",IF(AS1003=0,"Clean",VLOOKUP($AS1003,Ref!$G$23:$H$28,2))))</f>
        <v/>
      </c>
      <c r="AU1003" s="546" t="str">
        <f t="shared" si="432"/>
        <v/>
      </c>
    </row>
    <row r="1004" spans="1:47" ht="14.25" hidden="1" customHeight="1" x14ac:dyDescent="0.15">
      <c r="A1004" s="523"/>
      <c r="B1004" s="523"/>
      <c r="C1004" s="523"/>
      <c r="D1004" s="523"/>
      <c r="E1004" s="579"/>
      <c r="F1004" s="580"/>
      <c r="G1004" s="524"/>
      <c r="H1004" s="555"/>
      <c r="I1004" s="560"/>
      <c r="J1004" s="523"/>
      <c r="K1004" s="528" t="str">
        <f>IFERROR(VLOOKUP($B1004,'Clients-Live'!$A:$C,3,0),"")</f>
        <v/>
      </c>
      <c r="L1004" s="528">
        <f>IF(E1004="STL",Pricing!$D$38,IF(A1004="",0,IF(A1004&lt;Pricing!$C$25,Pricing!$D$25,VLOOKUP(Disbursements!$F1004,Pricing!$B$29:$D$32,3))))</f>
        <v>0</v>
      </c>
      <c r="M1004" s="528">
        <f>IF(E1004="STL",0,IF(F1004&gt;0,Pricing!$D$21,0))</f>
        <v>0</v>
      </c>
      <c r="N1004" s="529">
        <f>IF(E1004="STL",F1004*Pricing!$D$40,IF(A1004&lt;=Pricing!$C$4,0,IF(AND(A1004&gt;Pricing!$C$4,Disbursements!A1004&lt;=Pricing!$C$5),F1004*Pricing!$E$5,IF(AND(A1004&gt;Pricing!$C$5,Disbursements!A1004&lt;=Pricing!$C$7),VLOOKUP(F1004,Pricing!$D$7:$E$8,2)*Disbursements!F1004,F1004*Pricing!$E$9))))</f>
        <v>0</v>
      </c>
      <c r="O1004" s="528">
        <f>IF(E1004="STL",0,IF($F1004&gt;0,$F1004*Pricing!$D$17,0))</f>
        <v>0</v>
      </c>
      <c r="P1004" s="530" t="str">
        <f t="shared" si="412"/>
        <v/>
      </c>
      <c r="Q1004" s="531" t="str">
        <f>IF($A1004="","",$G1004/VLOOKUP($I1004,Ref!$B$23:$D$29,2,0))</f>
        <v/>
      </c>
      <c r="R1004" s="530" t="str">
        <f t="shared" si="413"/>
        <v/>
      </c>
      <c r="S1004" s="532" t="str">
        <f t="shared" si="407"/>
        <v/>
      </c>
      <c r="T1004" s="531" t="str">
        <f t="shared" si="414"/>
        <v/>
      </c>
      <c r="U1004" s="533">
        <f t="shared" si="415"/>
        <v>0</v>
      </c>
      <c r="V1004" s="531" t="str">
        <f t="shared" si="416"/>
        <v/>
      </c>
      <c r="W1004" s="531" t="str">
        <f t="shared" si="417"/>
        <v/>
      </c>
      <c r="X1004" s="534" t="str">
        <f t="shared" si="418"/>
        <v/>
      </c>
      <c r="Y1004" s="535" t="str">
        <f>IF($A1004="","",IF($I1004="weekly",$A1004+7,EDATE($A1004,VLOOKUP($I1004,Ref!$B$24:$C$29,2,0))))</f>
        <v/>
      </c>
      <c r="Z1004" s="536" t="str">
        <f t="shared" si="419"/>
        <v/>
      </c>
      <c r="AA1004" s="531">
        <f t="shared" si="420"/>
        <v>0</v>
      </c>
      <c r="AB1004" s="535" t="str">
        <f t="shared" si="408"/>
        <v/>
      </c>
      <c r="AC1004" s="537" t="str">
        <f t="shared" si="409"/>
        <v/>
      </c>
      <c r="AD1004" s="538" t="str">
        <f t="shared" ca="1" si="410"/>
        <v/>
      </c>
      <c r="AE1004" s="537">
        <f t="shared" ca="1" si="411"/>
        <v>0</v>
      </c>
      <c r="AF1004" s="539" t="str">
        <f t="shared" ca="1" si="421"/>
        <v/>
      </c>
      <c r="AG1004" s="531" t="str">
        <f t="shared" ca="1" si="422"/>
        <v/>
      </c>
      <c r="AH1004" s="531" t="str">
        <f t="shared" ca="1" si="423"/>
        <v/>
      </c>
      <c r="AI1004" s="531" t="str">
        <f t="shared" ca="1" si="424"/>
        <v/>
      </c>
      <c r="AJ1004" s="531" t="str">
        <f t="shared" si="425"/>
        <v/>
      </c>
      <c r="AK1004" s="540">
        <f>SUMIFS('Live Collections'!$S:$S,'Live Collections'!$D:$D,Disbursements!B1004,'Live Collections'!$G:$G,Disbursements!C1004)</f>
        <v>0</v>
      </c>
      <c r="AL1004" s="540">
        <f>SUMIFS('Live Collections'!$T:$T,'Live Collections'!$D:$D,Disbursements!B1004,'Live Collections'!$G:$G,Disbursements!C1004)</f>
        <v>0</v>
      </c>
      <c r="AM1004" s="541">
        <f t="shared" si="426"/>
        <v>0</v>
      </c>
      <c r="AN1004" s="542" t="str">
        <f t="shared" si="427"/>
        <v/>
      </c>
      <c r="AO1004" s="542" t="str">
        <f t="shared" si="428"/>
        <v/>
      </c>
      <c r="AP1004" s="543" t="str">
        <f t="shared" si="429"/>
        <v/>
      </c>
      <c r="AQ1004" s="544" t="str">
        <f t="shared" si="430"/>
        <v/>
      </c>
      <c r="AR1004" s="545">
        <f t="shared" si="431"/>
        <v>0</v>
      </c>
      <c r="AS1004" s="545">
        <f>IFERROR(CEILING($AR1004*VLOOKUP($I1004,Ref!$B$23:$E$29,4,0),1),0)</f>
        <v>0</v>
      </c>
      <c r="AT1004" s="545" t="str">
        <f>IF(A1004="","",IF(AP1004&lt;=1,"Cleared",IF(AS1004=0,"Clean",VLOOKUP($AS1004,Ref!$G$23:$H$28,2))))</f>
        <v/>
      </c>
      <c r="AU1004" s="546" t="str">
        <f t="shared" si="432"/>
        <v/>
      </c>
    </row>
    <row r="1005" spans="1:47" ht="14.25" hidden="1" customHeight="1" x14ac:dyDescent="0.15">
      <c r="A1005" s="523"/>
      <c r="B1005" s="523"/>
      <c r="C1005" s="523"/>
      <c r="D1005" s="523"/>
      <c r="E1005" s="579"/>
      <c r="F1005" s="580"/>
      <c r="G1005" s="524"/>
      <c r="H1005" s="555"/>
      <c r="I1005" s="560"/>
      <c r="J1005" s="523"/>
      <c r="K1005" s="528" t="str">
        <f>IFERROR(VLOOKUP($B1005,'Clients-Live'!$A:$C,3,0),"")</f>
        <v/>
      </c>
      <c r="L1005" s="528">
        <f>IF(E1005="STL",Pricing!$D$38,IF(A1005="",0,IF(A1005&lt;Pricing!$C$25,Pricing!$D$25,VLOOKUP(Disbursements!$F1005,Pricing!$B$29:$D$32,3))))</f>
        <v>0</v>
      </c>
      <c r="M1005" s="528">
        <f>IF(E1005="STL",0,IF(F1005&gt;0,Pricing!$D$21,0))</f>
        <v>0</v>
      </c>
      <c r="N1005" s="529">
        <f>IF(E1005="STL",F1005*Pricing!$D$40,IF(A1005&lt;=Pricing!$C$4,0,IF(AND(A1005&gt;Pricing!$C$4,Disbursements!A1005&lt;=Pricing!$C$5),F1005*Pricing!$E$5,IF(AND(A1005&gt;Pricing!$C$5,Disbursements!A1005&lt;=Pricing!$C$7),VLOOKUP(F1005,Pricing!$D$7:$E$8,2)*Disbursements!F1005,F1005*Pricing!$E$9))))</f>
        <v>0</v>
      </c>
      <c r="O1005" s="528">
        <f>IF(E1005="STL",0,IF($F1005&gt;0,$F1005*Pricing!$D$17,0))</f>
        <v>0</v>
      </c>
      <c r="P1005" s="530" t="str">
        <f t="shared" si="412"/>
        <v/>
      </c>
      <c r="Q1005" s="531" t="str">
        <f>IF($A1005="","",$G1005/VLOOKUP($I1005,Ref!$B$23:$D$29,2,0))</f>
        <v/>
      </c>
      <c r="R1005" s="530" t="str">
        <f t="shared" si="413"/>
        <v/>
      </c>
      <c r="S1005" s="532" t="str">
        <f t="shared" si="407"/>
        <v/>
      </c>
      <c r="T1005" s="531" t="str">
        <f t="shared" si="414"/>
        <v/>
      </c>
      <c r="U1005" s="533">
        <f t="shared" si="415"/>
        <v>0</v>
      </c>
      <c r="V1005" s="531" t="str">
        <f t="shared" si="416"/>
        <v/>
      </c>
      <c r="W1005" s="531" t="str">
        <f t="shared" si="417"/>
        <v/>
      </c>
      <c r="X1005" s="534" t="str">
        <f t="shared" si="418"/>
        <v/>
      </c>
      <c r="Y1005" s="535" t="str">
        <f>IF($A1005="","",IF($I1005="weekly",$A1005+7,EDATE($A1005,VLOOKUP($I1005,Ref!$B$24:$C$29,2,0))))</f>
        <v/>
      </c>
      <c r="Z1005" s="536" t="str">
        <f t="shared" si="419"/>
        <v/>
      </c>
      <c r="AA1005" s="531">
        <f t="shared" si="420"/>
        <v>0</v>
      </c>
      <c r="AB1005" s="535" t="str">
        <f t="shared" si="408"/>
        <v/>
      </c>
      <c r="AC1005" s="537" t="str">
        <f t="shared" si="409"/>
        <v/>
      </c>
      <c r="AD1005" s="538" t="str">
        <f t="shared" ca="1" si="410"/>
        <v/>
      </c>
      <c r="AE1005" s="537">
        <f t="shared" ca="1" si="411"/>
        <v>0</v>
      </c>
      <c r="AF1005" s="539" t="str">
        <f t="shared" ca="1" si="421"/>
        <v/>
      </c>
      <c r="AG1005" s="531" t="str">
        <f t="shared" ca="1" si="422"/>
        <v/>
      </c>
      <c r="AH1005" s="531" t="str">
        <f t="shared" ca="1" si="423"/>
        <v/>
      </c>
      <c r="AI1005" s="531" t="str">
        <f t="shared" ca="1" si="424"/>
        <v/>
      </c>
      <c r="AJ1005" s="531" t="str">
        <f t="shared" si="425"/>
        <v/>
      </c>
      <c r="AK1005" s="540">
        <f>SUMIFS('Live Collections'!$S:$S,'Live Collections'!$D:$D,Disbursements!B1005,'Live Collections'!$G:$G,Disbursements!C1005)</f>
        <v>0</v>
      </c>
      <c r="AL1005" s="540">
        <f>SUMIFS('Live Collections'!$T:$T,'Live Collections'!$D:$D,Disbursements!B1005,'Live Collections'!$G:$G,Disbursements!C1005)</f>
        <v>0</v>
      </c>
      <c r="AM1005" s="541">
        <f t="shared" si="426"/>
        <v>0</v>
      </c>
      <c r="AN1005" s="542" t="str">
        <f t="shared" si="427"/>
        <v/>
      </c>
      <c r="AO1005" s="542" t="str">
        <f t="shared" si="428"/>
        <v/>
      </c>
      <c r="AP1005" s="543" t="str">
        <f t="shared" si="429"/>
        <v/>
      </c>
      <c r="AQ1005" s="544" t="str">
        <f t="shared" si="430"/>
        <v/>
      </c>
      <c r="AR1005" s="545">
        <f t="shared" si="431"/>
        <v>0</v>
      </c>
      <c r="AS1005" s="545">
        <f>IFERROR(CEILING($AR1005*VLOOKUP($I1005,Ref!$B$23:$E$29,4,0),1),0)</f>
        <v>0</v>
      </c>
      <c r="AT1005" s="545" t="str">
        <f>IF(A1005="","",IF(AP1005&lt;=1,"Cleared",IF(AS1005=0,"Clean",VLOOKUP($AS1005,Ref!$G$23:$H$28,2))))</f>
        <v/>
      </c>
      <c r="AU1005" s="546" t="str">
        <f t="shared" si="432"/>
        <v/>
      </c>
    </row>
    <row r="1006" spans="1:47" ht="14.25" hidden="1" customHeight="1" x14ac:dyDescent="0.15">
      <c r="A1006" s="523"/>
      <c r="B1006" s="523"/>
      <c r="C1006" s="523"/>
      <c r="D1006" s="523"/>
      <c r="E1006" s="579"/>
      <c r="F1006" s="580"/>
      <c r="G1006" s="524"/>
      <c r="H1006" s="555"/>
      <c r="I1006" s="560"/>
      <c r="J1006" s="523"/>
      <c r="K1006" s="528" t="str">
        <f>IFERROR(VLOOKUP($B1006,'Clients-Live'!$A:$C,3,0),"")</f>
        <v/>
      </c>
      <c r="L1006" s="528">
        <f>IF(E1006="STL",Pricing!$D$38,IF(A1006="",0,IF(A1006&lt;Pricing!$C$25,Pricing!$D$25,VLOOKUP(Disbursements!$F1006,Pricing!$B$29:$D$32,3))))</f>
        <v>0</v>
      </c>
      <c r="M1006" s="528">
        <f>IF(E1006="STL",0,IF(F1006&gt;0,Pricing!$D$21,0))</f>
        <v>0</v>
      </c>
      <c r="N1006" s="529">
        <f>IF(E1006="STL",F1006*Pricing!$D$40,IF(A1006&lt;=Pricing!$C$4,0,IF(AND(A1006&gt;Pricing!$C$4,Disbursements!A1006&lt;=Pricing!$C$5),F1006*Pricing!$E$5,IF(AND(A1006&gt;Pricing!$C$5,Disbursements!A1006&lt;=Pricing!$C$7),VLOOKUP(F1006,Pricing!$D$7:$E$8,2)*Disbursements!F1006,F1006*Pricing!$E$9))))</f>
        <v>0</v>
      </c>
      <c r="O1006" s="528">
        <f>IF(E1006="STL",0,IF($F1006&gt;0,$F1006*Pricing!$D$17,0))</f>
        <v>0</v>
      </c>
      <c r="P1006" s="530" t="str">
        <f t="shared" si="412"/>
        <v/>
      </c>
      <c r="Q1006" s="531" t="str">
        <f>IF($A1006="","",$G1006/VLOOKUP($I1006,Ref!$B$23:$D$29,2,0))</f>
        <v/>
      </c>
      <c r="R1006" s="530" t="str">
        <f t="shared" si="413"/>
        <v/>
      </c>
      <c r="S1006" s="532" t="str">
        <f t="shared" si="407"/>
        <v/>
      </c>
      <c r="T1006" s="531" t="str">
        <f t="shared" si="414"/>
        <v/>
      </c>
      <c r="U1006" s="533">
        <f t="shared" si="415"/>
        <v>0</v>
      </c>
      <c r="V1006" s="531" t="str">
        <f t="shared" si="416"/>
        <v/>
      </c>
      <c r="W1006" s="531" t="str">
        <f t="shared" si="417"/>
        <v/>
      </c>
      <c r="X1006" s="534" t="str">
        <f t="shared" si="418"/>
        <v/>
      </c>
      <c r="Y1006" s="535" t="str">
        <f>IF($A1006="","",IF($I1006="weekly",$A1006+7,EDATE($A1006,VLOOKUP($I1006,Ref!$B$24:$C$29,2,0))))</f>
        <v/>
      </c>
      <c r="Z1006" s="536" t="str">
        <f t="shared" si="419"/>
        <v/>
      </c>
      <c r="AA1006" s="531">
        <f t="shared" si="420"/>
        <v>0</v>
      </c>
      <c r="AB1006" s="535" t="str">
        <f t="shared" si="408"/>
        <v/>
      </c>
      <c r="AC1006" s="537" t="str">
        <f t="shared" si="409"/>
        <v/>
      </c>
      <c r="AD1006" s="538" t="str">
        <f t="shared" ca="1" si="410"/>
        <v/>
      </c>
      <c r="AE1006" s="537">
        <f t="shared" ca="1" si="411"/>
        <v>0</v>
      </c>
      <c r="AF1006" s="539" t="str">
        <f t="shared" ca="1" si="421"/>
        <v/>
      </c>
      <c r="AG1006" s="531" t="str">
        <f t="shared" ca="1" si="422"/>
        <v/>
      </c>
      <c r="AH1006" s="531" t="str">
        <f t="shared" ca="1" si="423"/>
        <v/>
      </c>
      <c r="AI1006" s="531" t="str">
        <f t="shared" ca="1" si="424"/>
        <v/>
      </c>
      <c r="AJ1006" s="531" t="str">
        <f t="shared" si="425"/>
        <v/>
      </c>
      <c r="AK1006" s="540">
        <f>SUMIFS('Live Collections'!$S:$S,'Live Collections'!$D:$D,Disbursements!B1006,'Live Collections'!$G:$G,Disbursements!C1006)</f>
        <v>0</v>
      </c>
      <c r="AL1006" s="540">
        <f>SUMIFS('Live Collections'!$T:$T,'Live Collections'!$D:$D,Disbursements!B1006,'Live Collections'!$G:$G,Disbursements!C1006)</f>
        <v>0</v>
      </c>
      <c r="AM1006" s="541">
        <f t="shared" si="426"/>
        <v>0</v>
      </c>
      <c r="AN1006" s="542" t="str">
        <f t="shared" si="427"/>
        <v/>
      </c>
      <c r="AO1006" s="542" t="str">
        <f t="shared" si="428"/>
        <v/>
      </c>
      <c r="AP1006" s="543" t="str">
        <f t="shared" si="429"/>
        <v/>
      </c>
      <c r="AQ1006" s="544" t="str">
        <f t="shared" si="430"/>
        <v/>
      </c>
      <c r="AR1006" s="545">
        <f t="shared" si="431"/>
        <v>0</v>
      </c>
      <c r="AS1006" s="545">
        <f>IFERROR(CEILING($AR1006*VLOOKUP($I1006,Ref!$B$23:$E$29,4,0),1),0)</f>
        <v>0</v>
      </c>
      <c r="AT1006" s="545" t="str">
        <f>IF(A1006="","",IF(AP1006&lt;=1,"Cleared",IF(AS1006=0,"Clean",VLOOKUP($AS1006,Ref!$G$23:$H$28,2))))</f>
        <v/>
      </c>
      <c r="AU1006" s="546" t="str">
        <f t="shared" si="432"/>
        <v/>
      </c>
    </row>
    <row r="1007" spans="1:47" ht="14.25" hidden="1" customHeight="1" x14ac:dyDescent="0.15">
      <c r="A1007" s="523"/>
      <c r="B1007" s="523"/>
      <c r="C1007" s="523"/>
      <c r="D1007" s="523"/>
      <c r="E1007" s="579"/>
      <c r="F1007" s="580"/>
      <c r="G1007" s="524"/>
      <c r="H1007" s="555"/>
      <c r="I1007" s="560"/>
      <c r="J1007" s="523"/>
      <c r="K1007" s="528" t="str">
        <f>IFERROR(VLOOKUP($B1007,'Clients-Live'!$A:$C,3,0),"")</f>
        <v/>
      </c>
      <c r="L1007" s="528">
        <f>IF(E1007="STL",Pricing!$D$38,IF(A1007="",0,IF(A1007&lt;Pricing!$C$25,Pricing!$D$25,VLOOKUP(Disbursements!$F1007,Pricing!$B$29:$D$32,3))))</f>
        <v>0</v>
      </c>
      <c r="M1007" s="528">
        <f>IF(E1007="STL",0,IF(F1007&gt;0,Pricing!$D$21,0))</f>
        <v>0</v>
      </c>
      <c r="N1007" s="529">
        <f>IF(E1007="STL",F1007*Pricing!$D$40,IF(A1007&lt;=Pricing!$C$4,0,IF(AND(A1007&gt;Pricing!$C$4,Disbursements!A1007&lt;=Pricing!$C$5),F1007*Pricing!$E$5,IF(AND(A1007&gt;Pricing!$C$5,Disbursements!A1007&lt;=Pricing!$C$7),VLOOKUP(F1007,Pricing!$D$7:$E$8,2)*Disbursements!F1007,F1007*Pricing!$E$9))))</f>
        <v>0</v>
      </c>
      <c r="O1007" s="528">
        <f>IF(E1007="STL",0,IF($F1007&gt;0,$F1007*Pricing!$D$17,0))</f>
        <v>0</v>
      </c>
      <c r="P1007" s="530" t="str">
        <f t="shared" si="412"/>
        <v/>
      </c>
      <c r="Q1007" s="531" t="str">
        <f>IF($A1007="","",$G1007/VLOOKUP($I1007,Ref!$B$23:$D$29,2,0))</f>
        <v/>
      </c>
      <c r="R1007" s="530" t="str">
        <f t="shared" si="413"/>
        <v/>
      </c>
      <c r="S1007" s="532" t="str">
        <f t="shared" si="407"/>
        <v/>
      </c>
      <c r="T1007" s="531" t="str">
        <f t="shared" si="414"/>
        <v/>
      </c>
      <c r="U1007" s="533">
        <f t="shared" si="415"/>
        <v>0</v>
      </c>
      <c r="V1007" s="531" t="str">
        <f t="shared" si="416"/>
        <v/>
      </c>
      <c r="W1007" s="531" t="str">
        <f t="shared" si="417"/>
        <v/>
      </c>
      <c r="X1007" s="534" t="str">
        <f t="shared" si="418"/>
        <v/>
      </c>
      <c r="Y1007" s="535" t="str">
        <f>IF($A1007="","",IF($I1007="weekly",$A1007+7,EDATE($A1007,VLOOKUP($I1007,Ref!$B$24:$C$29,2,0))))</f>
        <v/>
      </c>
      <c r="Z1007" s="536" t="str">
        <f t="shared" si="419"/>
        <v/>
      </c>
      <c r="AA1007" s="531">
        <f t="shared" si="420"/>
        <v>0</v>
      </c>
      <c r="AB1007" s="535" t="str">
        <f t="shared" si="408"/>
        <v/>
      </c>
      <c r="AC1007" s="537" t="str">
        <f t="shared" si="409"/>
        <v/>
      </c>
      <c r="AD1007" s="538" t="str">
        <f t="shared" ca="1" si="410"/>
        <v/>
      </c>
      <c r="AE1007" s="537">
        <f t="shared" ca="1" si="411"/>
        <v>0</v>
      </c>
      <c r="AF1007" s="539" t="str">
        <f t="shared" ca="1" si="421"/>
        <v/>
      </c>
      <c r="AG1007" s="531" t="str">
        <f t="shared" ca="1" si="422"/>
        <v/>
      </c>
      <c r="AH1007" s="531" t="str">
        <f t="shared" ca="1" si="423"/>
        <v/>
      </c>
      <c r="AI1007" s="531" t="str">
        <f t="shared" ca="1" si="424"/>
        <v/>
      </c>
      <c r="AJ1007" s="531" t="str">
        <f t="shared" si="425"/>
        <v/>
      </c>
      <c r="AK1007" s="540">
        <f>SUMIFS('Live Collections'!$S:$S,'Live Collections'!$D:$D,Disbursements!B1007,'Live Collections'!$G:$G,Disbursements!C1007)</f>
        <v>0</v>
      </c>
      <c r="AL1007" s="540">
        <f>SUMIFS('Live Collections'!$T:$T,'Live Collections'!$D:$D,Disbursements!B1007,'Live Collections'!$G:$G,Disbursements!C1007)</f>
        <v>0</v>
      </c>
      <c r="AM1007" s="541">
        <f t="shared" si="426"/>
        <v>0</v>
      </c>
      <c r="AN1007" s="542" t="str">
        <f t="shared" si="427"/>
        <v/>
      </c>
      <c r="AO1007" s="542" t="str">
        <f t="shared" si="428"/>
        <v/>
      </c>
      <c r="AP1007" s="543" t="str">
        <f t="shared" si="429"/>
        <v/>
      </c>
      <c r="AQ1007" s="544" t="str">
        <f t="shared" si="430"/>
        <v/>
      </c>
      <c r="AR1007" s="545">
        <f t="shared" si="431"/>
        <v>0</v>
      </c>
      <c r="AS1007" s="545">
        <f>IFERROR(CEILING($AR1007*VLOOKUP($I1007,Ref!$B$23:$E$29,4,0),1),0)</f>
        <v>0</v>
      </c>
      <c r="AT1007" s="545" t="str">
        <f>IF(A1007="","",IF(AP1007&lt;=1,"Cleared",IF(AS1007=0,"Clean",VLOOKUP($AS1007,Ref!$G$23:$H$28,2))))</f>
        <v/>
      </c>
      <c r="AU1007" s="546" t="str">
        <f t="shared" si="432"/>
        <v/>
      </c>
    </row>
    <row r="1008" spans="1:47" ht="14.25" hidden="1" customHeight="1" x14ac:dyDescent="0.15">
      <c r="A1008" s="523"/>
      <c r="B1008" s="523"/>
      <c r="C1008" s="523"/>
      <c r="D1008" s="523"/>
      <c r="E1008" s="579"/>
      <c r="F1008" s="580"/>
      <c r="G1008" s="524"/>
      <c r="H1008" s="555"/>
      <c r="I1008" s="560"/>
      <c r="J1008" s="523"/>
      <c r="K1008" s="528" t="str">
        <f>IFERROR(VLOOKUP($B1008,'Clients-Live'!$A:$C,3,0),"")</f>
        <v/>
      </c>
      <c r="L1008" s="528">
        <f>IF(E1008="STL",Pricing!$D$38,IF(A1008="",0,IF(A1008&lt;Pricing!$C$25,Pricing!$D$25,VLOOKUP(Disbursements!$F1008,Pricing!$B$29:$D$32,3))))</f>
        <v>0</v>
      </c>
      <c r="M1008" s="528">
        <f>IF(E1008="STL",0,IF(F1008&gt;0,Pricing!$D$21,0))</f>
        <v>0</v>
      </c>
      <c r="N1008" s="529">
        <f>IF(E1008="STL",F1008*Pricing!$D$40,IF(A1008&lt;=Pricing!$C$4,0,IF(AND(A1008&gt;Pricing!$C$4,Disbursements!A1008&lt;=Pricing!$C$5),F1008*Pricing!$E$5,IF(AND(A1008&gt;Pricing!$C$5,Disbursements!A1008&lt;=Pricing!$C$7),VLOOKUP(F1008,Pricing!$D$7:$E$8,2)*Disbursements!F1008,F1008*Pricing!$E$9))))</f>
        <v>0</v>
      </c>
      <c r="O1008" s="528">
        <f>IF(E1008="STL",0,IF($F1008&gt;0,$F1008*Pricing!$D$17,0))</f>
        <v>0</v>
      </c>
      <c r="P1008" s="530" t="str">
        <f t="shared" si="412"/>
        <v/>
      </c>
      <c r="Q1008" s="531" t="str">
        <f>IF($A1008="","",$G1008/VLOOKUP($I1008,Ref!$B$23:$D$29,2,0))</f>
        <v/>
      </c>
      <c r="R1008" s="530" t="str">
        <f t="shared" si="413"/>
        <v/>
      </c>
      <c r="S1008" s="532" t="str">
        <f t="shared" si="407"/>
        <v/>
      </c>
      <c r="T1008" s="531" t="str">
        <f t="shared" si="414"/>
        <v/>
      </c>
      <c r="U1008" s="533">
        <f t="shared" si="415"/>
        <v>0</v>
      </c>
      <c r="V1008" s="531" t="str">
        <f t="shared" si="416"/>
        <v/>
      </c>
      <c r="W1008" s="531" t="str">
        <f t="shared" si="417"/>
        <v/>
      </c>
      <c r="X1008" s="534" t="str">
        <f t="shared" si="418"/>
        <v/>
      </c>
      <c r="Y1008" s="535" t="str">
        <f>IF($A1008="","",IF($I1008="weekly",$A1008+7,EDATE($A1008,VLOOKUP($I1008,Ref!$B$24:$C$29,2,0))))</f>
        <v/>
      </c>
      <c r="Z1008" s="536" t="str">
        <f t="shared" si="419"/>
        <v/>
      </c>
      <c r="AA1008" s="531">
        <f t="shared" si="420"/>
        <v>0</v>
      </c>
      <c r="AB1008" s="535" t="str">
        <f t="shared" si="408"/>
        <v/>
      </c>
      <c r="AC1008" s="537" t="str">
        <f t="shared" si="409"/>
        <v/>
      </c>
      <c r="AD1008" s="538" t="str">
        <f t="shared" ca="1" si="410"/>
        <v/>
      </c>
      <c r="AE1008" s="537">
        <f t="shared" ca="1" si="411"/>
        <v>0</v>
      </c>
      <c r="AF1008" s="539" t="str">
        <f t="shared" ca="1" si="421"/>
        <v/>
      </c>
      <c r="AG1008" s="531" t="str">
        <f t="shared" ca="1" si="422"/>
        <v/>
      </c>
      <c r="AH1008" s="531" t="str">
        <f t="shared" ca="1" si="423"/>
        <v/>
      </c>
      <c r="AI1008" s="531" t="str">
        <f t="shared" ca="1" si="424"/>
        <v/>
      </c>
      <c r="AJ1008" s="531" t="str">
        <f t="shared" si="425"/>
        <v/>
      </c>
      <c r="AK1008" s="540">
        <f>SUMIFS('Live Collections'!$S:$S,'Live Collections'!$D:$D,Disbursements!B1008,'Live Collections'!$G:$G,Disbursements!C1008)</f>
        <v>0</v>
      </c>
      <c r="AL1008" s="540">
        <f>SUMIFS('Live Collections'!$T:$T,'Live Collections'!$D:$D,Disbursements!B1008,'Live Collections'!$G:$G,Disbursements!C1008)</f>
        <v>0</v>
      </c>
      <c r="AM1008" s="541">
        <f t="shared" si="426"/>
        <v>0</v>
      </c>
      <c r="AN1008" s="542" t="str">
        <f t="shared" si="427"/>
        <v/>
      </c>
      <c r="AO1008" s="542" t="str">
        <f t="shared" si="428"/>
        <v/>
      </c>
      <c r="AP1008" s="543" t="str">
        <f t="shared" si="429"/>
        <v/>
      </c>
      <c r="AQ1008" s="544" t="str">
        <f t="shared" si="430"/>
        <v/>
      </c>
      <c r="AR1008" s="545">
        <f t="shared" si="431"/>
        <v>0</v>
      </c>
      <c r="AS1008" s="545">
        <f>IFERROR(CEILING($AR1008*VLOOKUP($I1008,Ref!$B$23:$E$29,4,0),1),0)</f>
        <v>0</v>
      </c>
      <c r="AT1008" s="545" t="str">
        <f>IF(A1008="","",IF(AP1008&lt;=1,"Cleared",IF(AS1008=0,"Clean",VLOOKUP($AS1008,Ref!$G$23:$H$28,2))))</f>
        <v/>
      </c>
      <c r="AU1008" s="546" t="str">
        <f t="shared" si="432"/>
        <v/>
      </c>
    </row>
    <row r="1009" spans="1:47" ht="14.25" hidden="1" customHeight="1" x14ac:dyDescent="0.15">
      <c r="A1009" s="523"/>
      <c r="B1009" s="523"/>
      <c r="C1009" s="523"/>
      <c r="D1009" s="523"/>
      <c r="E1009" s="579"/>
      <c r="F1009" s="580"/>
      <c r="G1009" s="524"/>
      <c r="H1009" s="555"/>
      <c r="I1009" s="560"/>
      <c r="J1009" s="523"/>
      <c r="K1009" s="528" t="str">
        <f>IFERROR(VLOOKUP($B1009,'Clients-Live'!$A:$C,3,0),"")</f>
        <v/>
      </c>
      <c r="L1009" s="528">
        <f>IF(E1009="STL",Pricing!$D$38,IF(A1009="",0,IF(A1009&lt;Pricing!$C$25,Pricing!$D$25,VLOOKUP(Disbursements!$F1009,Pricing!$B$29:$D$32,3))))</f>
        <v>0</v>
      </c>
      <c r="M1009" s="528">
        <f>IF(E1009="STL",0,IF(F1009&gt;0,Pricing!$D$21,0))</f>
        <v>0</v>
      </c>
      <c r="N1009" s="529">
        <f>IF(E1009="STL",F1009*Pricing!$D$40,IF(A1009&lt;=Pricing!$C$4,0,IF(AND(A1009&gt;Pricing!$C$4,Disbursements!A1009&lt;=Pricing!$C$5),F1009*Pricing!$E$5,IF(AND(A1009&gt;Pricing!$C$5,Disbursements!A1009&lt;=Pricing!$C$7),VLOOKUP(F1009,Pricing!$D$7:$E$8,2)*Disbursements!F1009,F1009*Pricing!$E$9))))</f>
        <v>0</v>
      </c>
      <c r="O1009" s="528">
        <f>IF(E1009="STL",0,IF($F1009&gt;0,$F1009*Pricing!$D$17,0))</f>
        <v>0</v>
      </c>
      <c r="P1009" s="530" t="str">
        <f t="shared" si="412"/>
        <v/>
      </c>
      <c r="Q1009" s="531" t="str">
        <f>IF($A1009="","",$G1009/VLOOKUP($I1009,Ref!$B$23:$D$29,2,0))</f>
        <v/>
      </c>
      <c r="R1009" s="530" t="str">
        <f t="shared" si="413"/>
        <v/>
      </c>
      <c r="S1009" s="532" t="str">
        <f t="shared" si="407"/>
        <v/>
      </c>
      <c r="T1009" s="531" t="str">
        <f t="shared" si="414"/>
        <v/>
      </c>
      <c r="U1009" s="533">
        <f t="shared" si="415"/>
        <v>0</v>
      </c>
      <c r="V1009" s="531" t="str">
        <f t="shared" si="416"/>
        <v/>
      </c>
      <c r="W1009" s="531" t="str">
        <f t="shared" si="417"/>
        <v/>
      </c>
      <c r="X1009" s="534" t="str">
        <f t="shared" si="418"/>
        <v/>
      </c>
      <c r="Y1009" s="535" t="str">
        <f>IF($A1009="","",IF($I1009="weekly",$A1009+7,EDATE($A1009,VLOOKUP($I1009,Ref!$B$24:$C$29,2,0))))</f>
        <v/>
      </c>
      <c r="Z1009" s="536" t="str">
        <f t="shared" si="419"/>
        <v/>
      </c>
      <c r="AA1009" s="531">
        <f t="shared" si="420"/>
        <v>0</v>
      </c>
      <c r="AB1009" s="535" t="str">
        <f t="shared" si="408"/>
        <v/>
      </c>
      <c r="AC1009" s="537" t="str">
        <f t="shared" si="409"/>
        <v/>
      </c>
      <c r="AD1009" s="538" t="str">
        <f t="shared" ca="1" si="410"/>
        <v/>
      </c>
      <c r="AE1009" s="537">
        <f t="shared" ca="1" si="411"/>
        <v>0</v>
      </c>
      <c r="AF1009" s="539" t="str">
        <f t="shared" ca="1" si="421"/>
        <v/>
      </c>
      <c r="AG1009" s="531" t="str">
        <f t="shared" ca="1" si="422"/>
        <v/>
      </c>
      <c r="AH1009" s="531" t="str">
        <f t="shared" ca="1" si="423"/>
        <v/>
      </c>
      <c r="AI1009" s="531" t="str">
        <f t="shared" ca="1" si="424"/>
        <v/>
      </c>
      <c r="AJ1009" s="531" t="str">
        <f t="shared" si="425"/>
        <v/>
      </c>
      <c r="AK1009" s="540">
        <f>SUMIFS('Live Collections'!$S:$S,'Live Collections'!$D:$D,Disbursements!B1009,'Live Collections'!$G:$G,Disbursements!C1009)</f>
        <v>0</v>
      </c>
      <c r="AL1009" s="540">
        <f>SUMIFS('Live Collections'!$T:$T,'Live Collections'!$D:$D,Disbursements!B1009,'Live Collections'!$G:$G,Disbursements!C1009)</f>
        <v>0</v>
      </c>
      <c r="AM1009" s="541">
        <f t="shared" si="426"/>
        <v>0</v>
      </c>
      <c r="AN1009" s="542" t="str">
        <f t="shared" si="427"/>
        <v/>
      </c>
      <c r="AO1009" s="542" t="str">
        <f t="shared" si="428"/>
        <v/>
      </c>
      <c r="AP1009" s="543" t="str">
        <f t="shared" si="429"/>
        <v/>
      </c>
      <c r="AQ1009" s="544" t="str">
        <f t="shared" si="430"/>
        <v/>
      </c>
      <c r="AR1009" s="545">
        <f t="shared" si="431"/>
        <v>0</v>
      </c>
      <c r="AS1009" s="545">
        <f>IFERROR(CEILING($AR1009*VLOOKUP($I1009,Ref!$B$23:$E$29,4,0),1),0)</f>
        <v>0</v>
      </c>
      <c r="AT1009" s="545" t="str">
        <f>IF(A1009="","",IF(AP1009&lt;=1,"Cleared",IF(AS1009=0,"Clean",VLOOKUP($AS1009,Ref!$G$23:$H$28,2))))</f>
        <v/>
      </c>
      <c r="AU1009" s="546" t="str">
        <f t="shared" si="432"/>
        <v/>
      </c>
    </row>
    <row r="1010" spans="1:47" ht="14.25" hidden="1" customHeight="1" x14ac:dyDescent="0.15">
      <c r="A1010" s="523"/>
      <c r="B1010" s="523"/>
      <c r="C1010" s="523"/>
      <c r="D1010" s="523"/>
      <c r="E1010" s="579"/>
      <c r="F1010" s="580"/>
      <c r="G1010" s="524"/>
      <c r="H1010" s="555"/>
      <c r="I1010" s="560"/>
      <c r="J1010" s="523"/>
      <c r="K1010" s="528" t="str">
        <f>IFERROR(VLOOKUP($B1010,'Clients-Live'!$A:$C,3,0),"")</f>
        <v/>
      </c>
      <c r="L1010" s="528">
        <f>IF(E1010="STL",Pricing!$D$38,IF(A1010="",0,IF(A1010&lt;Pricing!$C$25,Pricing!$D$25,VLOOKUP(Disbursements!$F1010,Pricing!$B$29:$D$32,3))))</f>
        <v>0</v>
      </c>
      <c r="M1010" s="528">
        <f>IF(E1010="STL",0,IF(F1010&gt;0,Pricing!$D$21,0))</f>
        <v>0</v>
      </c>
      <c r="N1010" s="529">
        <f>IF(E1010="STL",F1010*Pricing!$D$40,IF(A1010&lt;=Pricing!$C$4,0,IF(AND(A1010&gt;Pricing!$C$4,Disbursements!A1010&lt;=Pricing!$C$5),F1010*Pricing!$E$5,IF(AND(A1010&gt;Pricing!$C$5,Disbursements!A1010&lt;=Pricing!$C$7),VLOOKUP(F1010,Pricing!$D$7:$E$8,2)*Disbursements!F1010,F1010*Pricing!$E$9))))</f>
        <v>0</v>
      </c>
      <c r="O1010" s="528">
        <f>IF(E1010="STL",0,IF($F1010&gt;0,$F1010*Pricing!$D$17,0))</f>
        <v>0</v>
      </c>
      <c r="P1010" s="530" t="str">
        <f t="shared" si="412"/>
        <v/>
      </c>
      <c r="Q1010" s="531" t="str">
        <f>IF($A1010="","",$G1010/VLOOKUP($I1010,Ref!$B$23:$D$29,2,0))</f>
        <v/>
      </c>
      <c r="R1010" s="530" t="str">
        <f t="shared" si="413"/>
        <v/>
      </c>
      <c r="S1010" s="532" t="str">
        <f t="shared" si="407"/>
        <v/>
      </c>
      <c r="T1010" s="531" t="str">
        <f t="shared" si="414"/>
        <v/>
      </c>
      <c r="U1010" s="533">
        <f t="shared" si="415"/>
        <v>0</v>
      </c>
      <c r="V1010" s="531" t="str">
        <f t="shared" si="416"/>
        <v/>
      </c>
      <c r="W1010" s="531" t="str">
        <f t="shared" si="417"/>
        <v/>
      </c>
      <c r="X1010" s="534" t="str">
        <f t="shared" si="418"/>
        <v/>
      </c>
      <c r="Y1010" s="535" t="str">
        <f>IF($A1010="","",IF($I1010="weekly",$A1010+7,EDATE($A1010,VLOOKUP($I1010,Ref!$B$24:$C$29,2,0))))</f>
        <v/>
      </c>
      <c r="Z1010" s="536" t="str">
        <f t="shared" si="419"/>
        <v/>
      </c>
      <c r="AA1010" s="531">
        <f t="shared" si="420"/>
        <v>0</v>
      </c>
      <c r="AB1010" s="535" t="str">
        <f t="shared" si="408"/>
        <v/>
      </c>
      <c r="AC1010" s="537" t="str">
        <f t="shared" si="409"/>
        <v/>
      </c>
      <c r="AD1010" s="538" t="str">
        <f t="shared" ca="1" si="410"/>
        <v/>
      </c>
      <c r="AE1010" s="537">
        <f t="shared" ca="1" si="411"/>
        <v>0</v>
      </c>
      <c r="AF1010" s="539" t="str">
        <f t="shared" ca="1" si="421"/>
        <v/>
      </c>
      <c r="AG1010" s="531" t="str">
        <f t="shared" ca="1" si="422"/>
        <v/>
      </c>
      <c r="AH1010" s="531" t="str">
        <f t="shared" ca="1" si="423"/>
        <v/>
      </c>
      <c r="AI1010" s="531" t="str">
        <f t="shared" ca="1" si="424"/>
        <v/>
      </c>
      <c r="AJ1010" s="531" t="str">
        <f t="shared" si="425"/>
        <v/>
      </c>
      <c r="AK1010" s="540">
        <f>SUMIFS('Live Collections'!$S:$S,'Live Collections'!$D:$D,Disbursements!B1010,'Live Collections'!$G:$G,Disbursements!C1010)</f>
        <v>0</v>
      </c>
      <c r="AL1010" s="540">
        <f>SUMIFS('Live Collections'!$T:$T,'Live Collections'!$D:$D,Disbursements!B1010,'Live Collections'!$G:$G,Disbursements!C1010)</f>
        <v>0</v>
      </c>
      <c r="AM1010" s="541">
        <f t="shared" si="426"/>
        <v>0</v>
      </c>
      <c r="AN1010" s="542" t="str">
        <f t="shared" si="427"/>
        <v/>
      </c>
      <c r="AO1010" s="542" t="str">
        <f t="shared" si="428"/>
        <v/>
      </c>
      <c r="AP1010" s="543" t="str">
        <f t="shared" si="429"/>
        <v/>
      </c>
      <c r="AQ1010" s="544" t="str">
        <f t="shared" si="430"/>
        <v/>
      </c>
      <c r="AR1010" s="545">
        <f t="shared" si="431"/>
        <v>0</v>
      </c>
      <c r="AS1010" s="545">
        <f>IFERROR(CEILING($AR1010*VLOOKUP($I1010,Ref!$B$23:$E$29,4,0),1),0)</f>
        <v>0</v>
      </c>
      <c r="AT1010" s="545" t="str">
        <f>IF(A1010="","",IF(AP1010&lt;=1,"Cleared",IF(AS1010=0,"Clean",VLOOKUP($AS1010,Ref!$G$23:$H$28,2))))</f>
        <v/>
      </c>
      <c r="AU1010" s="546" t="str">
        <f t="shared" si="432"/>
        <v/>
      </c>
    </row>
    <row r="1011" spans="1:47" ht="14.25" hidden="1" customHeight="1" x14ac:dyDescent="0.15">
      <c r="A1011" s="523"/>
      <c r="B1011" s="523"/>
      <c r="C1011" s="523"/>
      <c r="D1011" s="523"/>
      <c r="E1011" s="579"/>
      <c r="F1011" s="580"/>
      <c r="G1011" s="524"/>
      <c r="H1011" s="555"/>
      <c r="I1011" s="560"/>
      <c r="J1011" s="523"/>
      <c r="K1011" s="528" t="str">
        <f>IFERROR(VLOOKUP($B1011,'Clients-Live'!$A:$C,3,0),"")</f>
        <v/>
      </c>
      <c r="L1011" s="528">
        <f>IF(E1011="STL",Pricing!$D$38,IF(A1011="",0,IF(A1011&lt;Pricing!$C$25,Pricing!$D$25,VLOOKUP(Disbursements!$F1011,Pricing!$B$29:$D$32,3))))</f>
        <v>0</v>
      </c>
      <c r="M1011" s="528">
        <f>IF(E1011="STL",0,IF(F1011&gt;0,Pricing!$D$21,0))</f>
        <v>0</v>
      </c>
      <c r="N1011" s="529">
        <f>IF(E1011="STL",F1011*Pricing!$D$40,IF(A1011&lt;=Pricing!$C$4,0,IF(AND(A1011&gt;Pricing!$C$4,Disbursements!A1011&lt;=Pricing!$C$5),F1011*Pricing!$E$5,IF(AND(A1011&gt;Pricing!$C$5,Disbursements!A1011&lt;=Pricing!$C$7),VLOOKUP(F1011,Pricing!$D$7:$E$8,2)*Disbursements!F1011,F1011*Pricing!$E$9))))</f>
        <v>0</v>
      </c>
      <c r="O1011" s="528">
        <f>IF(E1011="STL",0,IF($F1011&gt;0,$F1011*Pricing!$D$17,0))</f>
        <v>0</v>
      </c>
      <c r="P1011" s="530" t="str">
        <f t="shared" si="412"/>
        <v/>
      </c>
      <c r="Q1011" s="531" t="str">
        <f>IF($A1011="","",$G1011/VLOOKUP($I1011,Ref!$B$23:$D$29,2,0))</f>
        <v/>
      </c>
      <c r="R1011" s="530" t="str">
        <f t="shared" si="413"/>
        <v/>
      </c>
      <c r="S1011" s="532" t="str">
        <f t="shared" si="407"/>
        <v/>
      </c>
      <c r="T1011" s="531" t="str">
        <f t="shared" si="414"/>
        <v/>
      </c>
      <c r="U1011" s="533">
        <f t="shared" si="415"/>
        <v>0</v>
      </c>
      <c r="V1011" s="531" t="str">
        <f t="shared" si="416"/>
        <v/>
      </c>
      <c r="W1011" s="531" t="str">
        <f t="shared" si="417"/>
        <v/>
      </c>
      <c r="X1011" s="534" t="str">
        <f t="shared" si="418"/>
        <v/>
      </c>
      <c r="Y1011" s="535" t="str">
        <f>IF($A1011="","",IF($I1011="weekly",$A1011+7,EDATE($A1011,VLOOKUP($I1011,Ref!$B$24:$C$29,2,0))))</f>
        <v/>
      </c>
      <c r="Z1011" s="536" t="str">
        <f t="shared" si="419"/>
        <v/>
      </c>
      <c r="AA1011" s="531">
        <f t="shared" si="420"/>
        <v>0</v>
      </c>
      <c r="AB1011" s="535" t="str">
        <f t="shared" si="408"/>
        <v/>
      </c>
      <c r="AC1011" s="537" t="str">
        <f t="shared" si="409"/>
        <v/>
      </c>
      <c r="AD1011" s="538" t="str">
        <f t="shared" ca="1" si="410"/>
        <v/>
      </c>
      <c r="AE1011" s="537">
        <f t="shared" ca="1" si="411"/>
        <v>0</v>
      </c>
      <c r="AF1011" s="539" t="str">
        <f t="shared" ca="1" si="421"/>
        <v/>
      </c>
      <c r="AG1011" s="531" t="str">
        <f t="shared" ca="1" si="422"/>
        <v/>
      </c>
      <c r="AH1011" s="531" t="str">
        <f t="shared" ca="1" si="423"/>
        <v/>
      </c>
      <c r="AI1011" s="531" t="str">
        <f t="shared" ca="1" si="424"/>
        <v/>
      </c>
      <c r="AJ1011" s="531" t="str">
        <f t="shared" si="425"/>
        <v/>
      </c>
      <c r="AK1011" s="540">
        <f>SUMIFS('Live Collections'!$S:$S,'Live Collections'!$D:$D,Disbursements!B1011,'Live Collections'!$G:$G,Disbursements!C1011)</f>
        <v>0</v>
      </c>
      <c r="AL1011" s="540">
        <f>SUMIFS('Live Collections'!$T:$T,'Live Collections'!$D:$D,Disbursements!B1011,'Live Collections'!$G:$G,Disbursements!C1011)</f>
        <v>0</v>
      </c>
      <c r="AM1011" s="541">
        <f t="shared" si="426"/>
        <v>0</v>
      </c>
      <c r="AN1011" s="542" t="str">
        <f t="shared" si="427"/>
        <v/>
      </c>
      <c r="AO1011" s="542" t="str">
        <f t="shared" si="428"/>
        <v/>
      </c>
      <c r="AP1011" s="543" t="str">
        <f t="shared" si="429"/>
        <v/>
      </c>
      <c r="AQ1011" s="544" t="str">
        <f t="shared" si="430"/>
        <v/>
      </c>
      <c r="AR1011" s="545">
        <f t="shared" si="431"/>
        <v>0</v>
      </c>
      <c r="AS1011" s="545">
        <f>IFERROR(CEILING($AR1011*VLOOKUP($I1011,Ref!$B$23:$E$29,4,0),1),0)</f>
        <v>0</v>
      </c>
      <c r="AT1011" s="545" t="str">
        <f>IF(A1011="","",IF(AP1011&lt;=1,"Cleared",IF(AS1011=0,"Clean",VLOOKUP($AS1011,Ref!$G$23:$H$28,2))))</f>
        <v/>
      </c>
      <c r="AU1011" s="546" t="str">
        <f t="shared" si="432"/>
        <v/>
      </c>
    </row>
    <row r="1012" spans="1:47" ht="14.25" hidden="1" customHeight="1" x14ac:dyDescent="0.15">
      <c r="A1012" s="523"/>
      <c r="B1012" s="523"/>
      <c r="C1012" s="523"/>
      <c r="D1012" s="523"/>
      <c r="E1012" s="579"/>
      <c r="F1012" s="580"/>
      <c r="G1012" s="524"/>
      <c r="H1012" s="555"/>
      <c r="I1012" s="560"/>
      <c r="J1012" s="523"/>
      <c r="K1012" s="528" t="str">
        <f>IFERROR(VLOOKUP($B1012,'Clients-Live'!$A:$C,3,0),"")</f>
        <v/>
      </c>
      <c r="L1012" s="528">
        <f>IF(E1012="STL",Pricing!$D$38,IF(A1012="",0,IF(A1012&lt;Pricing!$C$25,Pricing!$D$25,VLOOKUP(Disbursements!$F1012,Pricing!$B$29:$D$32,3))))</f>
        <v>0</v>
      </c>
      <c r="M1012" s="528">
        <f>IF(E1012="STL",0,IF(F1012&gt;0,Pricing!$D$21,0))</f>
        <v>0</v>
      </c>
      <c r="N1012" s="529">
        <f>IF(E1012="STL",F1012*Pricing!$D$40,IF(A1012&lt;=Pricing!$C$4,0,IF(AND(A1012&gt;Pricing!$C$4,Disbursements!A1012&lt;=Pricing!$C$5),F1012*Pricing!$E$5,IF(AND(A1012&gt;Pricing!$C$5,Disbursements!A1012&lt;=Pricing!$C$7),VLOOKUP(F1012,Pricing!$D$7:$E$8,2)*Disbursements!F1012,F1012*Pricing!$E$9))))</f>
        <v>0</v>
      </c>
      <c r="O1012" s="528">
        <f>IF(E1012="STL",0,IF($F1012&gt;0,$F1012*Pricing!$D$17,0))</f>
        <v>0</v>
      </c>
      <c r="P1012" s="530" t="str">
        <f t="shared" si="412"/>
        <v/>
      </c>
      <c r="Q1012" s="531" t="str">
        <f>IF($A1012="","",$G1012/VLOOKUP($I1012,Ref!$B$23:$D$29,2,0))</f>
        <v/>
      </c>
      <c r="R1012" s="530" t="str">
        <f t="shared" si="413"/>
        <v/>
      </c>
      <c r="S1012" s="532" t="str">
        <f t="shared" si="407"/>
        <v/>
      </c>
      <c r="T1012" s="531" t="str">
        <f t="shared" si="414"/>
        <v/>
      </c>
      <c r="U1012" s="533">
        <f t="shared" si="415"/>
        <v>0</v>
      </c>
      <c r="V1012" s="531" t="str">
        <f t="shared" si="416"/>
        <v/>
      </c>
      <c r="W1012" s="531" t="str">
        <f t="shared" si="417"/>
        <v/>
      </c>
      <c r="X1012" s="534" t="str">
        <f t="shared" si="418"/>
        <v/>
      </c>
      <c r="Y1012" s="535" t="str">
        <f>IF($A1012="","",IF($I1012="weekly",$A1012+7,EDATE($A1012,VLOOKUP($I1012,Ref!$B$24:$C$29,2,0))))</f>
        <v/>
      </c>
      <c r="Z1012" s="536" t="str">
        <f t="shared" si="419"/>
        <v/>
      </c>
      <c r="AA1012" s="531">
        <f t="shared" si="420"/>
        <v>0</v>
      </c>
      <c r="AB1012" s="535" t="str">
        <f t="shared" si="408"/>
        <v/>
      </c>
      <c r="AC1012" s="537" t="str">
        <f t="shared" si="409"/>
        <v/>
      </c>
      <c r="AD1012" s="538" t="str">
        <f t="shared" ca="1" si="410"/>
        <v/>
      </c>
      <c r="AE1012" s="537">
        <f t="shared" ca="1" si="411"/>
        <v>0</v>
      </c>
      <c r="AF1012" s="539" t="str">
        <f t="shared" ca="1" si="421"/>
        <v/>
      </c>
      <c r="AG1012" s="531" t="str">
        <f t="shared" ca="1" si="422"/>
        <v/>
      </c>
      <c r="AH1012" s="531" t="str">
        <f t="shared" ca="1" si="423"/>
        <v/>
      </c>
      <c r="AI1012" s="531" t="str">
        <f t="shared" ca="1" si="424"/>
        <v/>
      </c>
      <c r="AJ1012" s="531" t="str">
        <f t="shared" si="425"/>
        <v/>
      </c>
      <c r="AK1012" s="540">
        <f>SUMIFS('Live Collections'!$S:$S,'Live Collections'!$D:$D,Disbursements!B1012,'Live Collections'!$G:$G,Disbursements!C1012)</f>
        <v>0</v>
      </c>
      <c r="AL1012" s="540">
        <f>SUMIFS('Live Collections'!$T:$T,'Live Collections'!$D:$D,Disbursements!B1012,'Live Collections'!$G:$G,Disbursements!C1012)</f>
        <v>0</v>
      </c>
      <c r="AM1012" s="541">
        <f t="shared" si="426"/>
        <v>0</v>
      </c>
      <c r="AN1012" s="542" t="str">
        <f t="shared" si="427"/>
        <v/>
      </c>
      <c r="AO1012" s="542" t="str">
        <f t="shared" si="428"/>
        <v/>
      </c>
      <c r="AP1012" s="543" t="str">
        <f t="shared" si="429"/>
        <v/>
      </c>
      <c r="AQ1012" s="544" t="str">
        <f t="shared" si="430"/>
        <v/>
      </c>
      <c r="AR1012" s="545">
        <f t="shared" si="431"/>
        <v>0</v>
      </c>
      <c r="AS1012" s="545">
        <f>IFERROR(CEILING($AR1012*VLOOKUP($I1012,Ref!$B$23:$E$29,4,0),1),0)</f>
        <v>0</v>
      </c>
      <c r="AT1012" s="545" t="str">
        <f>IF(A1012="","",IF(AP1012&lt;=1,"Cleared",IF(AS1012=0,"Clean",VLOOKUP($AS1012,Ref!$G$23:$H$28,2))))</f>
        <v/>
      </c>
      <c r="AU1012" s="546" t="str">
        <f t="shared" si="432"/>
        <v/>
      </c>
    </row>
    <row r="1013" spans="1:47" ht="14.25" hidden="1" customHeight="1" x14ac:dyDescent="0.15">
      <c r="A1013" s="523"/>
      <c r="B1013" s="523"/>
      <c r="C1013" s="523"/>
      <c r="D1013" s="523"/>
      <c r="E1013" s="579"/>
      <c r="F1013" s="580"/>
      <c r="G1013" s="524"/>
      <c r="H1013" s="555"/>
      <c r="I1013" s="560"/>
      <c r="J1013" s="523"/>
      <c r="K1013" s="528" t="str">
        <f>IFERROR(VLOOKUP($B1013,'Clients-Live'!$A:$C,3,0),"")</f>
        <v/>
      </c>
      <c r="L1013" s="528">
        <f>IF(E1013="STL",Pricing!$D$38,IF(A1013="",0,IF(A1013&lt;Pricing!$C$25,Pricing!$D$25,VLOOKUP(Disbursements!$F1013,Pricing!$B$29:$D$32,3))))</f>
        <v>0</v>
      </c>
      <c r="M1013" s="528">
        <f>IF(E1013="STL",0,IF(F1013&gt;0,Pricing!$D$21,0))</f>
        <v>0</v>
      </c>
      <c r="N1013" s="529">
        <f>IF(E1013="STL",F1013*Pricing!$D$40,IF(A1013&lt;=Pricing!$C$4,0,IF(AND(A1013&gt;Pricing!$C$4,Disbursements!A1013&lt;=Pricing!$C$5),F1013*Pricing!$E$5,IF(AND(A1013&gt;Pricing!$C$5,Disbursements!A1013&lt;=Pricing!$C$7),VLOOKUP(F1013,Pricing!$D$7:$E$8,2)*Disbursements!F1013,F1013*Pricing!$E$9))))</f>
        <v>0</v>
      </c>
      <c r="O1013" s="528">
        <f>IF(E1013="STL",0,IF($F1013&gt;0,$F1013*Pricing!$D$17,0))</f>
        <v>0</v>
      </c>
      <c r="P1013" s="530" t="str">
        <f t="shared" si="412"/>
        <v/>
      </c>
      <c r="Q1013" s="531" t="str">
        <f>IF($A1013="","",$G1013/VLOOKUP($I1013,Ref!$B$23:$D$29,2,0))</f>
        <v/>
      </c>
      <c r="R1013" s="530" t="str">
        <f t="shared" si="413"/>
        <v/>
      </c>
      <c r="S1013" s="532" t="str">
        <f t="shared" si="407"/>
        <v/>
      </c>
      <c r="T1013" s="531" t="str">
        <f t="shared" si="414"/>
        <v/>
      </c>
      <c r="U1013" s="533">
        <f t="shared" si="415"/>
        <v>0</v>
      </c>
      <c r="V1013" s="531" t="str">
        <f t="shared" si="416"/>
        <v/>
      </c>
      <c r="W1013" s="531" t="str">
        <f t="shared" si="417"/>
        <v/>
      </c>
      <c r="X1013" s="534" t="str">
        <f t="shared" si="418"/>
        <v/>
      </c>
      <c r="Y1013" s="535" t="str">
        <f>IF($A1013="","",IF($I1013="weekly",$A1013+7,EDATE($A1013,VLOOKUP($I1013,Ref!$B$24:$C$29,2,0))))</f>
        <v/>
      </c>
      <c r="Z1013" s="536" t="str">
        <f t="shared" si="419"/>
        <v/>
      </c>
      <c r="AA1013" s="531">
        <f t="shared" si="420"/>
        <v>0</v>
      </c>
      <c r="AB1013" s="535" t="str">
        <f t="shared" si="408"/>
        <v/>
      </c>
      <c r="AC1013" s="537" t="str">
        <f t="shared" si="409"/>
        <v/>
      </c>
      <c r="AD1013" s="538" t="str">
        <f t="shared" ca="1" si="410"/>
        <v/>
      </c>
      <c r="AE1013" s="537">
        <f t="shared" ca="1" si="411"/>
        <v>0</v>
      </c>
      <c r="AF1013" s="539" t="str">
        <f t="shared" ca="1" si="421"/>
        <v/>
      </c>
      <c r="AG1013" s="531" t="str">
        <f t="shared" ca="1" si="422"/>
        <v/>
      </c>
      <c r="AH1013" s="531" t="str">
        <f t="shared" ca="1" si="423"/>
        <v/>
      </c>
      <c r="AI1013" s="531" t="str">
        <f t="shared" ca="1" si="424"/>
        <v/>
      </c>
      <c r="AJ1013" s="531" t="str">
        <f t="shared" si="425"/>
        <v/>
      </c>
      <c r="AK1013" s="540">
        <f>SUMIFS('Live Collections'!$S:$S,'Live Collections'!$D:$D,Disbursements!B1013,'Live Collections'!$G:$G,Disbursements!C1013)</f>
        <v>0</v>
      </c>
      <c r="AL1013" s="540">
        <f>SUMIFS('Live Collections'!$T:$T,'Live Collections'!$D:$D,Disbursements!B1013,'Live Collections'!$G:$G,Disbursements!C1013)</f>
        <v>0</v>
      </c>
      <c r="AM1013" s="541">
        <f t="shared" si="426"/>
        <v>0</v>
      </c>
      <c r="AN1013" s="542" t="str">
        <f t="shared" si="427"/>
        <v/>
      </c>
      <c r="AO1013" s="542" t="str">
        <f t="shared" si="428"/>
        <v/>
      </c>
      <c r="AP1013" s="543" t="str">
        <f t="shared" si="429"/>
        <v/>
      </c>
      <c r="AQ1013" s="544" t="str">
        <f t="shared" si="430"/>
        <v/>
      </c>
      <c r="AR1013" s="545">
        <f t="shared" si="431"/>
        <v>0</v>
      </c>
      <c r="AS1013" s="545">
        <f>IFERROR(CEILING($AR1013*VLOOKUP($I1013,Ref!$B$23:$E$29,4,0),1),0)</f>
        <v>0</v>
      </c>
      <c r="AT1013" s="545" t="str">
        <f>IF(A1013="","",IF(AP1013&lt;=1,"Cleared",IF(AS1013=0,"Clean",VLOOKUP($AS1013,Ref!$G$23:$H$28,2))))</f>
        <v/>
      </c>
      <c r="AU1013" s="546" t="str">
        <f t="shared" si="432"/>
        <v/>
      </c>
    </row>
    <row r="1014" spans="1:47" ht="14.25" hidden="1" customHeight="1" x14ac:dyDescent="0.15">
      <c r="A1014" s="523"/>
      <c r="B1014" s="523"/>
      <c r="C1014" s="523"/>
      <c r="D1014" s="523"/>
      <c r="E1014" s="579"/>
      <c r="F1014" s="580"/>
      <c r="G1014" s="524"/>
      <c r="H1014" s="555"/>
      <c r="I1014" s="560"/>
      <c r="J1014" s="523"/>
      <c r="K1014" s="528" t="str">
        <f>IFERROR(VLOOKUP($B1014,'Clients-Live'!$A:$C,3,0),"")</f>
        <v/>
      </c>
      <c r="L1014" s="528">
        <f>IF(E1014="STL",Pricing!$D$38,IF(A1014="",0,IF(A1014&lt;Pricing!$C$25,Pricing!$D$25,VLOOKUP(Disbursements!$F1014,Pricing!$B$29:$D$32,3))))</f>
        <v>0</v>
      </c>
      <c r="M1014" s="528">
        <f>IF(E1014="STL",0,IF(F1014&gt;0,Pricing!$D$21,0))</f>
        <v>0</v>
      </c>
      <c r="N1014" s="529">
        <f>IF(E1014="STL",F1014*Pricing!$D$40,IF(A1014&lt;=Pricing!$C$4,0,IF(AND(A1014&gt;Pricing!$C$4,Disbursements!A1014&lt;=Pricing!$C$5),F1014*Pricing!$E$5,IF(AND(A1014&gt;Pricing!$C$5,Disbursements!A1014&lt;=Pricing!$C$7),VLOOKUP(F1014,Pricing!$D$7:$E$8,2)*Disbursements!F1014,F1014*Pricing!$E$9))))</f>
        <v>0</v>
      </c>
      <c r="O1014" s="528">
        <f>IF(E1014="STL",0,IF($F1014&gt;0,$F1014*Pricing!$D$17,0))</f>
        <v>0</v>
      </c>
      <c r="P1014" s="530" t="str">
        <f t="shared" si="412"/>
        <v/>
      </c>
      <c r="Q1014" s="531" t="str">
        <f>IF($A1014="","",$G1014/VLOOKUP($I1014,Ref!$B$23:$D$29,2,0))</f>
        <v/>
      </c>
      <c r="R1014" s="530" t="str">
        <f t="shared" si="413"/>
        <v/>
      </c>
      <c r="S1014" s="532" t="str">
        <f t="shared" si="407"/>
        <v/>
      </c>
      <c r="T1014" s="531" t="str">
        <f t="shared" si="414"/>
        <v/>
      </c>
      <c r="U1014" s="533">
        <f t="shared" si="415"/>
        <v>0</v>
      </c>
      <c r="V1014" s="531" t="str">
        <f t="shared" si="416"/>
        <v/>
      </c>
      <c r="W1014" s="531" t="str">
        <f t="shared" si="417"/>
        <v/>
      </c>
      <c r="X1014" s="534" t="str">
        <f t="shared" si="418"/>
        <v/>
      </c>
      <c r="Y1014" s="535" t="str">
        <f>IF($A1014="","",IF($I1014="weekly",$A1014+7,EDATE($A1014,VLOOKUP($I1014,Ref!$B$24:$C$29,2,0))))</f>
        <v/>
      </c>
      <c r="Z1014" s="536" t="str">
        <f t="shared" si="419"/>
        <v/>
      </c>
      <c r="AA1014" s="531">
        <f t="shared" si="420"/>
        <v>0</v>
      </c>
      <c r="AB1014" s="535" t="str">
        <f t="shared" si="408"/>
        <v/>
      </c>
      <c r="AC1014" s="537" t="str">
        <f t="shared" si="409"/>
        <v/>
      </c>
      <c r="AD1014" s="538" t="str">
        <f t="shared" ca="1" si="410"/>
        <v/>
      </c>
      <c r="AE1014" s="537">
        <f t="shared" ca="1" si="411"/>
        <v>0</v>
      </c>
      <c r="AF1014" s="539" t="str">
        <f t="shared" ca="1" si="421"/>
        <v/>
      </c>
      <c r="AG1014" s="531" t="str">
        <f t="shared" ca="1" si="422"/>
        <v/>
      </c>
      <c r="AH1014" s="531" t="str">
        <f t="shared" ca="1" si="423"/>
        <v/>
      </c>
      <c r="AI1014" s="531" t="str">
        <f t="shared" ca="1" si="424"/>
        <v/>
      </c>
      <c r="AJ1014" s="531" t="str">
        <f t="shared" si="425"/>
        <v/>
      </c>
      <c r="AK1014" s="540">
        <f>SUMIFS('Live Collections'!$S:$S,'Live Collections'!$D:$D,Disbursements!B1014,'Live Collections'!$G:$G,Disbursements!C1014)</f>
        <v>0</v>
      </c>
      <c r="AL1014" s="540">
        <f>SUMIFS('Live Collections'!$T:$T,'Live Collections'!$D:$D,Disbursements!B1014,'Live Collections'!$G:$G,Disbursements!C1014)</f>
        <v>0</v>
      </c>
      <c r="AM1014" s="541">
        <f t="shared" si="426"/>
        <v>0</v>
      </c>
      <c r="AN1014" s="542" t="str">
        <f t="shared" si="427"/>
        <v/>
      </c>
      <c r="AO1014" s="542" t="str">
        <f t="shared" si="428"/>
        <v/>
      </c>
      <c r="AP1014" s="543" t="str">
        <f t="shared" si="429"/>
        <v/>
      </c>
      <c r="AQ1014" s="544" t="str">
        <f t="shared" si="430"/>
        <v/>
      </c>
      <c r="AR1014" s="545">
        <f t="shared" si="431"/>
        <v>0</v>
      </c>
      <c r="AS1014" s="545">
        <f>IFERROR(CEILING($AR1014*VLOOKUP($I1014,Ref!$B$23:$E$29,4,0),1),0)</f>
        <v>0</v>
      </c>
      <c r="AT1014" s="545" t="str">
        <f>IF(A1014="","",IF(AP1014&lt;=1,"Cleared",IF(AS1014=0,"Clean",VLOOKUP($AS1014,Ref!$G$23:$H$28,2))))</f>
        <v/>
      </c>
      <c r="AU1014" s="546" t="str">
        <f t="shared" si="432"/>
        <v/>
      </c>
    </row>
    <row r="1015" spans="1:47" ht="14.25" hidden="1" customHeight="1" x14ac:dyDescent="0.15">
      <c r="A1015" s="523"/>
      <c r="B1015" s="523"/>
      <c r="C1015" s="523"/>
      <c r="D1015" s="523"/>
      <c r="E1015" s="579"/>
      <c r="F1015" s="580"/>
      <c r="G1015" s="524"/>
      <c r="H1015" s="555"/>
      <c r="I1015" s="560"/>
      <c r="J1015" s="523"/>
      <c r="K1015" s="528" t="str">
        <f>IFERROR(VLOOKUP($B1015,'Clients-Live'!$A:$C,3,0),"")</f>
        <v/>
      </c>
      <c r="L1015" s="528">
        <f>IF(E1015="STL",Pricing!$D$38,IF(A1015="",0,IF(A1015&lt;Pricing!$C$25,Pricing!$D$25,VLOOKUP(Disbursements!$F1015,Pricing!$B$29:$D$32,3))))</f>
        <v>0</v>
      </c>
      <c r="M1015" s="528">
        <f>IF(E1015="STL",0,IF(F1015&gt;0,Pricing!$D$21,0))</f>
        <v>0</v>
      </c>
      <c r="N1015" s="529">
        <f>IF(E1015="STL",F1015*Pricing!$D$40,IF(A1015&lt;=Pricing!$C$4,0,IF(AND(A1015&gt;Pricing!$C$4,Disbursements!A1015&lt;=Pricing!$C$5),F1015*Pricing!$E$5,IF(AND(A1015&gt;Pricing!$C$5,Disbursements!A1015&lt;=Pricing!$C$7),VLOOKUP(F1015,Pricing!$D$7:$E$8,2)*Disbursements!F1015,F1015*Pricing!$E$9))))</f>
        <v>0</v>
      </c>
      <c r="O1015" s="528">
        <f>IF(E1015="STL",0,IF($F1015&gt;0,$F1015*Pricing!$D$17,0))</f>
        <v>0</v>
      </c>
      <c r="P1015" s="530" t="str">
        <f t="shared" si="412"/>
        <v/>
      </c>
      <c r="Q1015" s="531" t="str">
        <f>IF($A1015="","",$G1015/VLOOKUP($I1015,Ref!$B$23:$D$29,2,0))</f>
        <v/>
      </c>
      <c r="R1015" s="530" t="str">
        <f t="shared" si="413"/>
        <v/>
      </c>
      <c r="S1015" s="532" t="str">
        <f t="shared" si="407"/>
        <v/>
      </c>
      <c r="T1015" s="531" t="str">
        <f t="shared" si="414"/>
        <v/>
      </c>
      <c r="U1015" s="533">
        <f t="shared" si="415"/>
        <v>0</v>
      </c>
      <c r="V1015" s="531" t="str">
        <f t="shared" si="416"/>
        <v/>
      </c>
      <c r="W1015" s="531" t="str">
        <f t="shared" si="417"/>
        <v/>
      </c>
      <c r="X1015" s="534" t="str">
        <f t="shared" si="418"/>
        <v/>
      </c>
      <c r="Y1015" s="535" t="str">
        <f>IF($A1015="","",IF($I1015="weekly",$A1015+7,EDATE($A1015,VLOOKUP($I1015,Ref!$B$24:$C$29,2,0))))</f>
        <v/>
      </c>
      <c r="Z1015" s="536" t="str">
        <f t="shared" si="419"/>
        <v/>
      </c>
      <c r="AA1015" s="531">
        <f t="shared" si="420"/>
        <v>0</v>
      </c>
      <c r="AB1015" s="535" t="str">
        <f t="shared" si="408"/>
        <v/>
      </c>
      <c r="AC1015" s="537" t="str">
        <f t="shared" si="409"/>
        <v/>
      </c>
      <c r="AD1015" s="538" t="str">
        <f t="shared" ca="1" si="410"/>
        <v/>
      </c>
      <c r="AE1015" s="537">
        <f t="shared" ca="1" si="411"/>
        <v>0</v>
      </c>
      <c r="AF1015" s="539" t="str">
        <f t="shared" ca="1" si="421"/>
        <v/>
      </c>
      <c r="AG1015" s="531" t="str">
        <f t="shared" ca="1" si="422"/>
        <v/>
      </c>
      <c r="AH1015" s="531" t="str">
        <f t="shared" ca="1" si="423"/>
        <v/>
      </c>
      <c r="AI1015" s="531" t="str">
        <f t="shared" ca="1" si="424"/>
        <v/>
      </c>
      <c r="AJ1015" s="531" t="str">
        <f t="shared" si="425"/>
        <v/>
      </c>
      <c r="AK1015" s="540">
        <f>SUMIFS('Live Collections'!$S:$S,'Live Collections'!$D:$D,Disbursements!B1015,'Live Collections'!$G:$G,Disbursements!C1015)</f>
        <v>0</v>
      </c>
      <c r="AL1015" s="540">
        <f>SUMIFS('Live Collections'!$T:$T,'Live Collections'!$D:$D,Disbursements!B1015,'Live Collections'!$G:$G,Disbursements!C1015)</f>
        <v>0</v>
      </c>
      <c r="AM1015" s="541">
        <f t="shared" si="426"/>
        <v>0</v>
      </c>
      <c r="AN1015" s="542" t="str">
        <f t="shared" si="427"/>
        <v/>
      </c>
      <c r="AO1015" s="542" t="str">
        <f t="shared" si="428"/>
        <v/>
      </c>
      <c r="AP1015" s="543" t="str">
        <f t="shared" si="429"/>
        <v/>
      </c>
      <c r="AQ1015" s="544" t="str">
        <f t="shared" si="430"/>
        <v/>
      </c>
      <c r="AR1015" s="545">
        <f t="shared" si="431"/>
        <v>0</v>
      </c>
      <c r="AS1015" s="545">
        <f>IFERROR(CEILING($AR1015*VLOOKUP($I1015,Ref!$B$23:$E$29,4,0),1),0)</f>
        <v>0</v>
      </c>
      <c r="AT1015" s="545" t="str">
        <f>IF(A1015="","",IF(AP1015&lt;=1,"Cleared",IF(AS1015=0,"Clean",VLOOKUP($AS1015,Ref!$G$23:$H$28,2))))</f>
        <v/>
      </c>
      <c r="AU1015" s="546" t="str">
        <f t="shared" si="432"/>
        <v/>
      </c>
    </row>
    <row r="1016" spans="1:47" ht="14.25" hidden="1" customHeight="1" x14ac:dyDescent="0.15">
      <c r="A1016" s="523"/>
      <c r="B1016" s="523"/>
      <c r="C1016" s="523"/>
      <c r="D1016" s="523"/>
      <c r="E1016" s="579"/>
      <c r="F1016" s="580"/>
      <c r="G1016" s="524"/>
      <c r="H1016" s="555"/>
      <c r="I1016" s="560"/>
      <c r="J1016" s="523"/>
      <c r="K1016" s="528" t="str">
        <f>IFERROR(VLOOKUP($B1016,'Clients-Live'!$A:$C,3,0),"")</f>
        <v/>
      </c>
      <c r="L1016" s="528">
        <f>IF(E1016="STL",Pricing!$D$38,IF(A1016="",0,IF(A1016&lt;Pricing!$C$25,Pricing!$D$25,VLOOKUP(Disbursements!$F1016,Pricing!$B$29:$D$32,3))))</f>
        <v>0</v>
      </c>
      <c r="M1016" s="528">
        <f>IF(E1016="STL",0,IF(F1016&gt;0,Pricing!$D$21,0))</f>
        <v>0</v>
      </c>
      <c r="N1016" s="529">
        <f>IF(E1016="STL",F1016*Pricing!$D$40,IF(A1016&lt;=Pricing!$C$4,0,IF(AND(A1016&gt;Pricing!$C$4,Disbursements!A1016&lt;=Pricing!$C$5),F1016*Pricing!$E$5,IF(AND(A1016&gt;Pricing!$C$5,Disbursements!A1016&lt;=Pricing!$C$7),VLOOKUP(F1016,Pricing!$D$7:$E$8,2)*Disbursements!F1016,F1016*Pricing!$E$9))))</f>
        <v>0</v>
      </c>
      <c r="O1016" s="528">
        <f>IF(E1016="STL",0,IF($F1016&gt;0,$F1016*Pricing!$D$17,0))</f>
        <v>0</v>
      </c>
      <c r="P1016" s="530" t="str">
        <f t="shared" si="412"/>
        <v/>
      </c>
      <c r="Q1016" s="531" t="str">
        <f>IF($A1016="","",$G1016/VLOOKUP($I1016,Ref!$B$23:$D$29,2,0))</f>
        <v/>
      </c>
      <c r="R1016" s="530" t="str">
        <f t="shared" si="413"/>
        <v/>
      </c>
      <c r="S1016" s="532" t="str">
        <f t="shared" si="407"/>
        <v/>
      </c>
      <c r="T1016" s="531" t="str">
        <f t="shared" si="414"/>
        <v/>
      </c>
      <c r="U1016" s="533">
        <f t="shared" si="415"/>
        <v>0</v>
      </c>
      <c r="V1016" s="531" t="str">
        <f t="shared" si="416"/>
        <v/>
      </c>
      <c r="W1016" s="531" t="str">
        <f t="shared" si="417"/>
        <v/>
      </c>
      <c r="X1016" s="534" t="str">
        <f t="shared" si="418"/>
        <v/>
      </c>
      <c r="Y1016" s="535" t="str">
        <f>IF($A1016="","",IF($I1016="weekly",$A1016+7,EDATE($A1016,VLOOKUP($I1016,Ref!$B$24:$C$29,2,0))))</f>
        <v/>
      </c>
      <c r="Z1016" s="536" t="str">
        <f t="shared" si="419"/>
        <v/>
      </c>
      <c r="AA1016" s="531">
        <f t="shared" si="420"/>
        <v>0</v>
      </c>
      <c r="AB1016" s="535" t="str">
        <f t="shared" si="408"/>
        <v/>
      </c>
      <c r="AC1016" s="537" t="str">
        <f t="shared" si="409"/>
        <v/>
      </c>
      <c r="AD1016" s="538" t="str">
        <f t="shared" ca="1" si="410"/>
        <v/>
      </c>
      <c r="AE1016" s="537">
        <f t="shared" ca="1" si="411"/>
        <v>0</v>
      </c>
      <c r="AF1016" s="539" t="str">
        <f t="shared" ca="1" si="421"/>
        <v/>
      </c>
      <c r="AG1016" s="531" t="str">
        <f t="shared" ca="1" si="422"/>
        <v/>
      </c>
      <c r="AH1016" s="531" t="str">
        <f t="shared" ca="1" si="423"/>
        <v/>
      </c>
      <c r="AI1016" s="531" t="str">
        <f t="shared" ca="1" si="424"/>
        <v/>
      </c>
      <c r="AJ1016" s="531" t="str">
        <f t="shared" si="425"/>
        <v/>
      </c>
      <c r="AK1016" s="540">
        <f>SUMIFS('Live Collections'!$S:$S,'Live Collections'!$D:$D,Disbursements!B1016,'Live Collections'!$G:$G,Disbursements!C1016)</f>
        <v>0</v>
      </c>
      <c r="AL1016" s="540">
        <f>SUMIFS('Live Collections'!$T:$T,'Live Collections'!$D:$D,Disbursements!B1016,'Live Collections'!$G:$G,Disbursements!C1016)</f>
        <v>0</v>
      </c>
      <c r="AM1016" s="541">
        <f t="shared" si="426"/>
        <v>0</v>
      </c>
      <c r="AN1016" s="542" t="str">
        <f t="shared" si="427"/>
        <v/>
      </c>
      <c r="AO1016" s="542" t="str">
        <f t="shared" si="428"/>
        <v/>
      </c>
      <c r="AP1016" s="543" t="str">
        <f t="shared" si="429"/>
        <v/>
      </c>
      <c r="AQ1016" s="544" t="str">
        <f t="shared" si="430"/>
        <v/>
      </c>
      <c r="AR1016" s="545">
        <f t="shared" si="431"/>
        <v>0</v>
      </c>
      <c r="AS1016" s="545">
        <f>IFERROR(CEILING($AR1016*VLOOKUP($I1016,Ref!$B$23:$E$29,4,0),1),0)</f>
        <v>0</v>
      </c>
      <c r="AT1016" s="545" t="str">
        <f>IF(A1016="","",IF(AP1016&lt;=1,"Cleared",IF(AS1016=0,"Clean",VLOOKUP($AS1016,Ref!$G$23:$H$28,2))))</f>
        <v/>
      </c>
      <c r="AU1016" s="546" t="str">
        <f t="shared" si="432"/>
        <v/>
      </c>
    </row>
    <row r="1017" spans="1:47" ht="14.25" hidden="1" customHeight="1" x14ac:dyDescent="0.15">
      <c r="A1017" s="523"/>
      <c r="B1017" s="523"/>
      <c r="C1017" s="523"/>
      <c r="D1017" s="523"/>
      <c r="E1017" s="579"/>
      <c r="F1017" s="580"/>
      <c r="G1017" s="524"/>
      <c r="H1017" s="555"/>
      <c r="I1017" s="560"/>
      <c r="J1017" s="523"/>
      <c r="K1017" s="528" t="str">
        <f>IFERROR(VLOOKUP($B1017,'Clients-Live'!$A:$C,3,0),"")</f>
        <v/>
      </c>
      <c r="L1017" s="528">
        <f>IF(E1017="STL",Pricing!$D$38,IF(A1017="",0,IF(A1017&lt;Pricing!$C$25,Pricing!$D$25,VLOOKUP(Disbursements!$F1017,Pricing!$B$29:$D$32,3))))</f>
        <v>0</v>
      </c>
      <c r="M1017" s="528">
        <f>IF(E1017="STL",0,IF(F1017&gt;0,Pricing!$D$21,0))</f>
        <v>0</v>
      </c>
      <c r="N1017" s="529">
        <f>IF(E1017="STL",F1017*Pricing!$D$40,IF(A1017&lt;=Pricing!$C$4,0,IF(AND(A1017&gt;Pricing!$C$4,Disbursements!A1017&lt;=Pricing!$C$5),F1017*Pricing!$E$5,IF(AND(A1017&gt;Pricing!$C$5,Disbursements!A1017&lt;=Pricing!$C$7),VLOOKUP(F1017,Pricing!$D$7:$E$8,2)*Disbursements!F1017,F1017*Pricing!$E$9))))</f>
        <v>0</v>
      </c>
      <c r="O1017" s="528">
        <f>IF(E1017="STL",0,IF($F1017&gt;0,$F1017*Pricing!$D$17,0))</f>
        <v>0</v>
      </c>
      <c r="P1017" s="530" t="str">
        <f t="shared" si="412"/>
        <v/>
      </c>
      <c r="Q1017" s="531" t="str">
        <f>IF($A1017="","",$G1017/VLOOKUP($I1017,Ref!$B$23:$D$29,2,0))</f>
        <v/>
      </c>
      <c r="R1017" s="530" t="str">
        <f t="shared" si="413"/>
        <v/>
      </c>
      <c r="S1017" s="532" t="str">
        <f t="shared" si="407"/>
        <v/>
      </c>
      <c r="T1017" s="531" t="str">
        <f t="shared" si="414"/>
        <v/>
      </c>
      <c r="U1017" s="533">
        <f t="shared" si="415"/>
        <v>0</v>
      </c>
      <c r="V1017" s="531" t="str">
        <f t="shared" si="416"/>
        <v/>
      </c>
      <c r="W1017" s="531" t="str">
        <f t="shared" si="417"/>
        <v/>
      </c>
      <c r="X1017" s="534" t="str">
        <f t="shared" si="418"/>
        <v/>
      </c>
      <c r="Y1017" s="535" t="str">
        <f>IF($A1017="","",IF($I1017="weekly",$A1017+7,EDATE($A1017,VLOOKUP($I1017,Ref!$B$24:$C$29,2,0))))</f>
        <v/>
      </c>
      <c r="Z1017" s="536" t="str">
        <f t="shared" si="419"/>
        <v/>
      </c>
      <c r="AA1017" s="531">
        <f t="shared" si="420"/>
        <v>0</v>
      </c>
      <c r="AB1017" s="535" t="str">
        <f t="shared" si="408"/>
        <v/>
      </c>
      <c r="AC1017" s="537" t="str">
        <f t="shared" si="409"/>
        <v/>
      </c>
      <c r="AD1017" s="538" t="str">
        <f t="shared" ca="1" si="410"/>
        <v/>
      </c>
      <c r="AE1017" s="537">
        <f t="shared" ca="1" si="411"/>
        <v>0</v>
      </c>
      <c r="AF1017" s="539" t="str">
        <f t="shared" ca="1" si="421"/>
        <v/>
      </c>
      <c r="AG1017" s="531" t="str">
        <f t="shared" ca="1" si="422"/>
        <v/>
      </c>
      <c r="AH1017" s="531" t="str">
        <f t="shared" ca="1" si="423"/>
        <v/>
      </c>
      <c r="AI1017" s="531" t="str">
        <f t="shared" ca="1" si="424"/>
        <v/>
      </c>
      <c r="AJ1017" s="531" t="str">
        <f t="shared" si="425"/>
        <v/>
      </c>
      <c r="AK1017" s="540">
        <f>SUMIFS('Live Collections'!$S:$S,'Live Collections'!$D:$D,Disbursements!B1017,'Live Collections'!$G:$G,Disbursements!C1017)</f>
        <v>0</v>
      </c>
      <c r="AL1017" s="540">
        <f>SUMIFS('Live Collections'!$T:$T,'Live Collections'!$D:$D,Disbursements!B1017,'Live Collections'!$G:$G,Disbursements!C1017)</f>
        <v>0</v>
      </c>
      <c r="AM1017" s="541">
        <f t="shared" si="426"/>
        <v>0</v>
      </c>
      <c r="AN1017" s="542" t="str">
        <f t="shared" si="427"/>
        <v/>
      </c>
      <c r="AO1017" s="542" t="str">
        <f t="shared" si="428"/>
        <v/>
      </c>
      <c r="AP1017" s="543" t="str">
        <f t="shared" si="429"/>
        <v/>
      </c>
      <c r="AQ1017" s="544" t="str">
        <f t="shared" si="430"/>
        <v/>
      </c>
      <c r="AR1017" s="545">
        <f t="shared" si="431"/>
        <v>0</v>
      </c>
      <c r="AS1017" s="545">
        <f>IFERROR(CEILING($AR1017*VLOOKUP($I1017,Ref!$B$23:$E$29,4,0),1),0)</f>
        <v>0</v>
      </c>
      <c r="AT1017" s="545" t="str">
        <f>IF(A1017="","",IF(AP1017&lt;=1,"Cleared",IF(AS1017=0,"Clean",VLOOKUP($AS1017,Ref!$G$23:$H$28,2))))</f>
        <v/>
      </c>
      <c r="AU1017" s="546" t="str">
        <f t="shared" si="432"/>
        <v/>
      </c>
    </row>
    <row r="1018" spans="1:47" ht="14.25" hidden="1" customHeight="1" x14ac:dyDescent="0.15">
      <c r="A1018" s="523"/>
      <c r="B1018" s="523"/>
      <c r="C1018" s="523"/>
      <c r="D1018" s="523"/>
      <c r="E1018" s="579"/>
      <c r="F1018" s="580"/>
      <c r="G1018" s="524"/>
      <c r="H1018" s="555"/>
      <c r="I1018" s="560"/>
      <c r="J1018" s="523"/>
      <c r="K1018" s="528" t="str">
        <f>IFERROR(VLOOKUP($B1018,'Clients-Live'!$A:$C,3,0),"")</f>
        <v/>
      </c>
      <c r="L1018" s="528">
        <f>IF(E1018="STL",Pricing!$D$38,IF(A1018="",0,IF(A1018&lt;Pricing!$C$25,Pricing!$D$25,VLOOKUP(Disbursements!$F1018,Pricing!$B$29:$D$32,3))))</f>
        <v>0</v>
      </c>
      <c r="M1018" s="528">
        <f>IF(E1018="STL",0,IF(F1018&gt;0,Pricing!$D$21,0))</f>
        <v>0</v>
      </c>
      <c r="N1018" s="529">
        <f>IF(E1018="STL",F1018*Pricing!$D$40,IF(A1018&lt;=Pricing!$C$4,0,IF(AND(A1018&gt;Pricing!$C$4,Disbursements!A1018&lt;=Pricing!$C$5),F1018*Pricing!$E$5,IF(AND(A1018&gt;Pricing!$C$5,Disbursements!A1018&lt;=Pricing!$C$7),VLOOKUP(F1018,Pricing!$D$7:$E$8,2)*Disbursements!F1018,F1018*Pricing!$E$9))))</f>
        <v>0</v>
      </c>
      <c r="O1018" s="528">
        <f>IF(E1018="STL",0,IF($F1018&gt;0,$F1018*Pricing!$D$17,0))</f>
        <v>0</v>
      </c>
      <c r="P1018" s="530" t="str">
        <f t="shared" si="412"/>
        <v/>
      </c>
      <c r="Q1018" s="531" t="str">
        <f>IF($A1018="","",$G1018/VLOOKUP($I1018,Ref!$B$23:$D$29,2,0))</f>
        <v/>
      </c>
      <c r="R1018" s="530" t="str">
        <f t="shared" si="413"/>
        <v/>
      </c>
      <c r="S1018" s="532" t="str">
        <f t="shared" si="407"/>
        <v/>
      </c>
      <c r="T1018" s="531" t="str">
        <f t="shared" si="414"/>
        <v/>
      </c>
      <c r="U1018" s="533">
        <f t="shared" si="415"/>
        <v>0</v>
      </c>
      <c r="V1018" s="531" t="str">
        <f t="shared" si="416"/>
        <v/>
      </c>
      <c r="W1018" s="531" t="str">
        <f t="shared" si="417"/>
        <v/>
      </c>
      <c r="X1018" s="534" t="str">
        <f t="shared" si="418"/>
        <v/>
      </c>
      <c r="Y1018" s="535" t="str">
        <f>IF($A1018="","",IF($I1018="weekly",$A1018+7,EDATE($A1018,VLOOKUP($I1018,Ref!$B$24:$C$29,2,0))))</f>
        <v/>
      </c>
      <c r="Z1018" s="536" t="str">
        <f t="shared" si="419"/>
        <v/>
      </c>
      <c r="AA1018" s="531">
        <f t="shared" si="420"/>
        <v>0</v>
      </c>
      <c r="AB1018" s="535" t="str">
        <f t="shared" si="408"/>
        <v/>
      </c>
      <c r="AC1018" s="537" t="str">
        <f t="shared" si="409"/>
        <v/>
      </c>
      <c r="AD1018" s="538" t="str">
        <f t="shared" ca="1" si="410"/>
        <v/>
      </c>
      <c r="AE1018" s="537">
        <f t="shared" ca="1" si="411"/>
        <v>0</v>
      </c>
      <c r="AF1018" s="539" t="str">
        <f t="shared" ca="1" si="421"/>
        <v/>
      </c>
      <c r="AG1018" s="531" t="str">
        <f t="shared" ca="1" si="422"/>
        <v/>
      </c>
      <c r="AH1018" s="531" t="str">
        <f t="shared" ca="1" si="423"/>
        <v/>
      </c>
      <c r="AI1018" s="531" t="str">
        <f t="shared" ca="1" si="424"/>
        <v/>
      </c>
      <c r="AJ1018" s="531" t="str">
        <f t="shared" si="425"/>
        <v/>
      </c>
      <c r="AK1018" s="540">
        <f>SUMIFS('Live Collections'!$S:$S,'Live Collections'!$D:$D,Disbursements!B1018,'Live Collections'!$G:$G,Disbursements!C1018)</f>
        <v>0</v>
      </c>
      <c r="AL1018" s="540">
        <f>SUMIFS('Live Collections'!$T:$T,'Live Collections'!$D:$D,Disbursements!B1018,'Live Collections'!$G:$G,Disbursements!C1018)</f>
        <v>0</v>
      </c>
      <c r="AM1018" s="541">
        <f t="shared" si="426"/>
        <v>0</v>
      </c>
      <c r="AN1018" s="542" t="str">
        <f t="shared" si="427"/>
        <v/>
      </c>
      <c r="AO1018" s="542" t="str">
        <f t="shared" si="428"/>
        <v/>
      </c>
      <c r="AP1018" s="543" t="str">
        <f t="shared" si="429"/>
        <v/>
      </c>
      <c r="AQ1018" s="544" t="str">
        <f t="shared" si="430"/>
        <v/>
      </c>
      <c r="AR1018" s="545">
        <f t="shared" si="431"/>
        <v>0</v>
      </c>
      <c r="AS1018" s="545">
        <f>IFERROR(CEILING($AR1018*VLOOKUP($I1018,Ref!$B$23:$E$29,4,0),1),0)</f>
        <v>0</v>
      </c>
      <c r="AT1018" s="545" t="str">
        <f>IF(A1018="","",IF(AP1018&lt;=1,"Cleared",IF(AS1018=0,"Clean",VLOOKUP($AS1018,Ref!$G$23:$H$28,2))))</f>
        <v/>
      </c>
      <c r="AU1018" s="546" t="str">
        <f t="shared" si="432"/>
        <v/>
      </c>
    </row>
    <row r="1019" spans="1:47" ht="14.25" hidden="1" customHeight="1" x14ac:dyDescent="0.15">
      <c r="A1019" s="523"/>
      <c r="B1019" s="523"/>
      <c r="C1019" s="523"/>
      <c r="D1019" s="523"/>
      <c r="E1019" s="579"/>
      <c r="F1019" s="580"/>
      <c r="G1019" s="524"/>
      <c r="H1019" s="555"/>
      <c r="I1019" s="560"/>
      <c r="J1019" s="523"/>
      <c r="K1019" s="528" t="str">
        <f>IFERROR(VLOOKUP($B1019,'Clients-Live'!$A:$C,3,0),"")</f>
        <v/>
      </c>
      <c r="L1019" s="528">
        <f>IF(E1019="STL",Pricing!$D$38,IF(A1019="",0,IF(A1019&lt;Pricing!$C$25,Pricing!$D$25,VLOOKUP(Disbursements!$F1019,Pricing!$B$29:$D$32,3))))</f>
        <v>0</v>
      </c>
      <c r="M1019" s="528">
        <f>IF(E1019="STL",0,IF(F1019&gt;0,Pricing!$D$21,0))</f>
        <v>0</v>
      </c>
      <c r="N1019" s="529">
        <f>IF(E1019="STL",F1019*Pricing!$D$40,IF(A1019&lt;=Pricing!$C$4,0,IF(AND(A1019&gt;Pricing!$C$4,Disbursements!A1019&lt;=Pricing!$C$5),F1019*Pricing!$E$5,IF(AND(A1019&gt;Pricing!$C$5,Disbursements!A1019&lt;=Pricing!$C$7),VLOOKUP(F1019,Pricing!$D$7:$E$8,2)*Disbursements!F1019,F1019*Pricing!$E$9))))</f>
        <v>0</v>
      </c>
      <c r="O1019" s="528">
        <f>IF(E1019="STL",0,IF($F1019&gt;0,$F1019*Pricing!$D$17,0))</f>
        <v>0</v>
      </c>
      <c r="P1019" s="530" t="str">
        <f t="shared" si="412"/>
        <v/>
      </c>
      <c r="Q1019" s="531" t="str">
        <f>IF($A1019="","",$G1019/VLOOKUP($I1019,Ref!$B$23:$D$29,2,0))</f>
        <v/>
      </c>
      <c r="R1019" s="530" t="str">
        <f t="shared" si="413"/>
        <v/>
      </c>
      <c r="S1019" s="532" t="str">
        <f t="shared" si="407"/>
        <v/>
      </c>
      <c r="T1019" s="531" t="str">
        <f t="shared" si="414"/>
        <v/>
      </c>
      <c r="U1019" s="533">
        <f t="shared" si="415"/>
        <v>0</v>
      </c>
      <c r="V1019" s="531" t="str">
        <f t="shared" si="416"/>
        <v/>
      </c>
      <c r="W1019" s="531" t="str">
        <f t="shared" si="417"/>
        <v/>
      </c>
      <c r="X1019" s="534" t="str">
        <f t="shared" si="418"/>
        <v/>
      </c>
      <c r="Y1019" s="535" t="str">
        <f>IF($A1019="","",IF($I1019="weekly",$A1019+7,EDATE($A1019,VLOOKUP($I1019,Ref!$B$24:$C$29,2,0))))</f>
        <v/>
      </c>
      <c r="Z1019" s="536" t="str">
        <f t="shared" si="419"/>
        <v/>
      </c>
      <c r="AA1019" s="531">
        <f t="shared" si="420"/>
        <v>0</v>
      </c>
      <c r="AB1019" s="535" t="str">
        <f t="shared" si="408"/>
        <v/>
      </c>
      <c r="AC1019" s="537" t="str">
        <f t="shared" si="409"/>
        <v/>
      </c>
      <c r="AD1019" s="538" t="str">
        <f t="shared" ca="1" si="410"/>
        <v/>
      </c>
      <c r="AE1019" s="537">
        <f t="shared" ca="1" si="411"/>
        <v>0</v>
      </c>
      <c r="AF1019" s="539" t="str">
        <f t="shared" ca="1" si="421"/>
        <v/>
      </c>
      <c r="AG1019" s="531" t="str">
        <f t="shared" ca="1" si="422"/>
        <v/>
      </c>
      <c r="AH1019" s="531" t="str">
        <f t="shared" ca="1" si="423"/>
        <v/>
      </c>
      <c r="AI1019" s="531" t="str">
        <f t="shared" ca="1" si="424"/>
        <v/>
      </c>
      <c r="AJ1019" s="531" t="str">
        <f t="shared" si="425"/>
        <v/>
      </c>
      <c r="AK1019" s="540">
        <f>SUMIFS('Live Collections'!$S:$S,'Live Collections'!$D:$D,Disbursements!B1019,'Live Collections'!$G:$G,Disbursements!C1019)</f>
        <v>0</v>
      </c>
      <c r="AL1019" s="540">
        <f>SUMIFS('Live Collections'!$T:$T,'Live Collections'!$D:$D,Disbursements!B1019,'Live Collections'!$G:$G,Disbursements!C1019)</f>
        <v>0</v>
      </c>
      <c r="AM1019" s="541">
        <f t="shared" si="426"/>
        <v>0</v>
      </c>
      <c r="AN1019" s="542" t="str">
        <f t="shared" si="427"/>
        <v/>
      </c>
      <c r="AO1019" s="542" t="str">
        <f t="shared" si="428"/>
        <v/>
      </c>
      <c r="AP1019" s="543" t="str">
        <f t="shared" si="429"/>
        <v/>
      </c>
      <c r="AQ1019" s="544" t="str">
        <f t="shared" si="430"/>
        <v/>
      </c>
      <c r="AR1019" s="545">
        <f t="shared" si="431"/>
        <v>0</v>
      </c>
      <c r="AS1019" s="545">
        <f>IFERROR(CEILING($AR1019*VLOOKUP($I1019,Ref!$B$23:$E$29,4,0),1),0)</f>
        <v>0</v>
      </c>
      <c r="AT1019" s="545" t="str">
        <f>IF(A1019="","",IF(AP1019&lt;=1,"Cleared",IF(AS1019=0,"Clean",VLOOKUP($AS1019,Ref!$G$23:$H$28,2))))</f>
        <v/>
      </c>
      <c r="AU1019" s="546" t="str">
        <f t="shared" si="432"/>
        <v/>
      </c>
    </row>
    <row r="1020" spans="1:47" ht="14.25" hidden="1" customHeight="1" x14ac:dyDescent="0.15">
      <c r="A1020" s="523"/>
      <c r="B1020" s="523"/>
      <c r="C1020" s="523"/>
      <c r="D1020" s="523"/>
      <c r="E1020" s="579"/>
      <c r="F1020" s="580"/>
      <c r="G1020" s="524"/>
      <c r="H1020" s="555"/>
      <c r="I1020" s="560"/>
      <c r="J1020" s="523"/>
      <c r="K1020" s="528" t="str">
        <f>IFERROR(VLOOKUP($B1020,'Clients-Live'!$A:$C,3,0),"")</f>
        <v/>
      </c>
      <c r="L1020" s="528">
        <f>IF(E1020="STL",Pricing!$D$38,IF(A1020="",0,IF(A1020&lt;Pricing!$C$25,Pricing!$D$25,VLOOKUP(Disbursements!$F1020,Pricing!$B$29:$D$32,3))))</f>
        <v>0</v>
      </c>
      <c r="M1020" s="528">
        <f>IF(E1020="STL",0,IF(F1020&gt;0,Pricing!$D$21,0))</f>
        <v>0</v>
      </c>
      <c r="N1020" s="529">
        <f>IF(E1020="STL",F1020*Pricing!$D$40,IF(A1020&lt;=Pricing!$C$4,0,IF(AND(A1020&gt;Pricing!$C$4,Disbursements!A1020&lt;=Pricing!$C$5),F1020*Pricing!$E$5,IF(AND(A1020&gt;Pricing!$C$5,Disbursements!A1020&lt;=Pricing!$C$7),VLOOKUP(F1020,Pricing!$D$7:$E$8,2)*Disbursements!F1020,F1020*Pricing!$E$9))))</f>
        <v>0</v>
      </c>
      <c r="O1020" s="528">
        <f>IF(E1020="STL",0,IF($F1020&gt;0,$F1020*Pricing!$D$17,0))</f>
        <v>0</v>
      </c>
      <c r="P1020" s="530" t="str">
        <f t="shared" si="412"/>
        <v/>
      </c>
      <c r="Q1020" s="531" t="str">
        <f>IF($A1020="","",$G1020/VLOOKUP($I1020,Ref!$B$23:$D$29,2,0))</f>
        <v/>
      </c>
      <c r="R1020" s="530" t="str">
        <f t="shared" si="413"/>
        <v/>
      </c>
      <c r="S1020" s="532" t="str">
        <f t="shared" si="407"/>
        <v/>
      </c>
      <c r="T1020" s="531" t="str">
        <f t="shared" si="414"/>
        <v/>
      </c>
      <c r="U1020" s="533">
        <f t="shared" si="415"/>
        <v>0</v>
      </c>
      <c r="V1020" s="531" t="str">
        <f t="shared" si="416"/>
        <v/>
      </c>
      <c r="W1020" s="531" t="str">
        <f t="shared" si="417"/>
        <v/>
      </c>
      <c r="X1020" s="534" t="str">
        <f t="shared" si="418"/>
        <v/>
      </c>
      <c r="Y1020" s="535" t="str">
        <f>IF($A1020="","",IF($I1020="weekly",$A1020+7,EDATE($A1020,VLOOKUP($I1020,Ref!$B$24:$C$29,2,0))))</f>
        <v/>
      </c>
      <c r="Z1020" s="536" t="str">
        <f t="shared" si="419"/>
        <v/>
      </c>
      <c r="AA1020" s="531">
        <f t="shared" si="420"/>
        <v>0</v>
      </c>
      <c r="AB1020" s="535" t="str">
        <f t="shared" si="408"/>
        <v/>
      </c>
      <c r="AC1020" s="537" t="str">
        <f t="shared" si="409"/>
        <v/>
      </c>
      <c r="AD1020" s="538" t="str">
        <f t="shared" ca="1" si="410"/>
        <v/>
      </c>
      <c r="AE1020" s="537">
        <f t="shared" ca="1" si="411"/>
        <v>0</v>
      </c>
      <c r="AF1020" s="539" t="str">
        <f t="shared" ca="1" si="421"/>
        <v/>
      </c>
      <c r="AG1020" s="531" t="str">
        <f t="shared" ca="1" si="422"/>
        <v/>
      </c>
      <c r="AH1020" s="531" t="str">
        <f t="shared" ca="1" si="423"/>
        <v/>
      </c>
      <c r="AI1020" s="531" t="str">
        <f t="shared" ca="1" si="424"/>
        <v/>
      </c>
      <c r="AJ1020" s="531" t="str">
        <f t="shared" si="425"/>
        <v/>
      </c>
      <c r="AK1020" s="540">
        <f>SUMIFS('Live Collections'!$S:$S,'Live Collections'!$D:$D,Disbursements!B1020,'Live Collections'!$G:$G,Disbursements!C1020)</f>
        <v>0</v>
      </c>
      <c r="AL1020" s="540">
        <f>SUMIFS('Live Collections'!$T:$T,'Live Collections'!$D:$D,Disbursements!B1020,'Live Collections'!$G:$G,Disbursements!C1020)</f>
        <v>0</v>
      </c>
      <c r="AM1020" s="541">
        <f t="shared" si="426"/>
        <v>0</v>
      </c>
      <c r="AN1020" s="542" t="str">
        <f t="shared" si="427"/>
        <v/>
      </c>
      <c r="AO1020" s="542" t="str">
        <f t="shared" si="428"/>
        <v/>
      </c>
      <c r="AP1020" s="543" t="str">
        <f t="shared" si="429"/>
        <v/>
      </c>
      <c r="AQ1020" s="544" t="str">
        <f t="shared" si="430"/>
        <v/>
      </c>
      <c r="AR1020" s="545">
        <f t="shared" si="431"/>
        <v>0</v>
      </c>
      <c r="AS1020" s="545">
        <f>IFERROR(CEILING($AR1020*VLOOKUP($I1020,Ref!$B$23:$E$29,4,0),1),0)</f>
        <v>0</v>
      </c>
      <c r="AT1020" s="545" t="str">
        <f>IF(A1020="","",IF(AP1020&lt;=1,"Cleared",IF(AS1020=0,"Clean",VLOOKUP($AS1020,Ref!$G$23:$H$28,2))))</f>
        <v/>
      </c>
      <c r="AU1020" s="546" t="str">
        <f t="shared" si="432"/>
        <v/>
      </c>
    </row>
    <row r="1021" spans="1:47" ht="14.25" hidden="1" customHeight="1" x14ac:dyDescent="0.15">
      <c r="A1021" s="523"/>
      <c r="B1021" s="523"/>
      <c r="C1021" s="523"/>
      <c r="D1021" s="523"/>
      <c r="E1021" s="579"/>
      <c r="F1021" s="580"/>
      <c r="G1021" s="524"/>
      <c r="H1021" s="555"/>
      <c r="I1021" s="560"/>
      <c r="J1021" s="523"/>
      <c r="K1021" s="528" t="str">
        <f>IFERROR(VLOOKUP($B1021,'Clients-Live'!$A:$C,3,0),"")</f>
        <v/>
      </c>
      <c r="L1021" s="528">
        <f>IF(E1021="STL",Pricing!$D$38,IF(A1021="",0,IF(A1021&lt;Pricing!$C$25,Pricing!$D$25,VLOOKUP(Disbursements!$F1021,Pricing!$B$29:$D$32,3))))</f>
        <v>0</v>
      </c>
      <c r="M1021" s="528">
        <f>IF(E1021="STL",0,IF(F1021&gt;0,Pricing!$D$21,0))</f>
        <v>0</v>
      </c>
      <c r="N1021" s="529">
        <f>IF(E1021="STL",F1021*Pricing!$D$40,IF(A1021&lt;=Pricing!$C$4,0,IF(AND(A1021&gt;Pricing!$C$4,Disbursements!A1021&lt;=Pricing!$C$5),F1021*Pricing!$E$5,IF(AND(A1021&gt;Pricing!$C$5,Disbursements!A1021&lt;=Pricing!$C$7),VLOOKUP(F1021,Pricing!$D$7:$E$8,2)*Disbursements!F1021,F1021*Pricing!$E$9))))</f>
        <v>0</v>
      </c>
      <c r="O1021" s="528">
        <f>IF(E1021="STL",0,IF($F1021&gt;0,$F1021*Pricing!$D$17,0))</f>
        <v>0</v>
      </c>
      <c r="P1021" s="530" t="str">
        <f t="shared" si="412"/>
        <v/>
      </c>
      <c r="Q1021" s="531" t="str">
        <f>IF($A1021="","",$G1021/VLOOKUP($I1021,Ref!$B$23:$D$29,2,0))</f>
        <v/>
      </c>
      <c r="R1021" s="530" t="str">
        <f t="shared" si="413"/>
        <v/>
      </c>
      <c r="S1021" s="532" t="str">
        <f t="shared" si="407"/>
        <v/>
      </c>
      <c r="T1021" s="531" t="str">
        <f t="shared" si="414"/>
        <v/>
      </c>
      <c r="U1021" s="533">
        <f t="shared" si="415"/>
        <v>0</v>
      </c>
      <c r="V1021" s="531" t="str">
        <f t="shared" si="416"/>
        <v/>
      </c>
      <c r="W1021" s="531" t="str">
        <f t="shared" si="417"/>
        <v/>
      </c>
      <c r="X1021" s="534" t="str">
        <f t="shared" si="418"/>
        <v/>
      </c>
      <c r="Y1021" s="535" t="str">
        <f>IF($A1021="","",IF($I1021="weekly",$A1021+7,EDATE($A1021,VLOOKUP($I1021,Ref!$B$24:$C$29,2,0))))</f>
        <v/>
      </c>
      <c r="Z1021" s="536" t="str">
        <f t="shared" si="419"/>
        <v/>
      </c>
      <c r="AA1021" s="531">
        <f t="shared" si="420"/>
        <v>0</v>
      </c>
      <c r="AB1021" s="535" t="str">
        <f t="shared" si="408"/>
        <v/>
      </c>
      <c r="AC1021" s="537" t="str">
        <f t="shared" si="409"/>
        <v/>
      </c>
      <c r="AD1021" s="538" t="str">
        <f t="shared" ca="1" si="410"/>
        <v/>
      </c>
      <c r="AE1021" s="537">
        <f t="shared" ca="1" si="411"/>
        <v>0</v>
      </c>
      <c r="AF1021" s="539" t="str">
        <f t="shared" ca="1" si="421"/>
        <v/>
      </c>
      <c r="AG1021" s="531" t="str">
        <f t="shared" ca="1" si="422"/>
        <v/>
      </c>
      <c r="AH1021" s="531" t="str">
        <f t="shared" ca="1" si="423"/>
        <v/>
      </c>
      <c r="AI1021" s="531" t="str">
        <f t="shared" ca="1" si="424"/>
        <v/>
      </c>
      <c r="AJ1021" s="531" t="str">
        <f t="shared" si="425"/>
        <v/>
      </c>
      <c r="AK1021" s="540">
        <f>SUMIFS('Live Collections'!$S:$S,'Live Collections'!$D:$D,Disbursements!B1021,'Live Collections'!$G:$G,Disbursements!C1021)</f>
        <v>0</v>
      </c>
      <c r="AL1021" s="540">
        <f>SUMIFS('Live Collections'!$T:$T,'Live Collections'!$D:$D,Disbursements!B1021,'Live Collections'!$G:$G,Disbursements!C1021)</f>
        <v>0</v>
      </c>
      <c r="AM1021" s="541">
        <f t="shared" si="426"/>
        <v>0</v>
      </c>
      <c r="AN1021" s="542" t="str">
        <f t="shared" si="427"/>
        <v/>
      </c>
      <c r="AO1021" s="542" t="str">
        <f t="shared" si="428"/>
        <v/>
      </c>
      <c r="AP1021" s="543" t="str">
        <f t="shared" si="429"/>
        <v/>
      </c>
      <c r="AQ1021" s="544" t="str">
        <f t="shared" si="430"/>
        <v/>
      </c>
      <c r="AR1021" s="545">
        <f t="shared" si="431"/>
        <v>0</v>
      </c>
      <c r="AS1021" s="545">
        <f>IFERROR(CEILING($AR1021*VLOOKUP($I1021,Ref!$B$23:$E$29,4,0),1),0)</f>
        <v>0</v>
      </c>
      <c r="AT1021" s="545" t="str">
        <f>IF(A1021="","",IF(AP1021&lt;=1,"Cleared",IF(AS1021=0,"Clean",VLOOKUP($AS1021,Ref!$G$23:$H$28,2))))</f>
        <v/>
      </c>
      <c r="AU1021" s="546" t="str">
        <f t="shared" si="432"/>
        <v/>
      </c>
    </row>
    <row r="1022" spans="1:47" ht="14.25" hidden="1" customHeight="1" x14ac:dyDescent="0.15">
      <c r="A1022" s="523"/>
      <c r="B1022" s="523"/>
      <c r="C1022" s="523"/>
      <c r="D1022" s="523"/>
      <c r="E1022" s="579"/>
      <c r="F1022" s="580"/>
      <c r="G1022" s="524"/>
      <c r="H1022" s="555"/>
      <c r="I1022" s="560"/>
      <c r="J1022" s="523"/>
      <c r="K1022" s="528" t="str">
        <f>IFERROR(VLOOKUP($B1022,'Clients-Live'!$A:$C,3,0),"")</f>
        <v/>
      </c>
      <c r="L1022" s="528">
        <f>IF(E1022="STL",Pricing!$D$38,IF(A1022="",0,IF(A1022&lt;Pricing!$C$25,Pricing!$D$25,VLOOKUP(Disbursements!$F1022,Pricing!$B$29:$D$32,3))))</f>
        <v>0</v>
      </c>
      <c r="M1022" s="528">
        <f>IF(E1022="STL",0,IF(F1022&gt;0,Pricing!$D$21,0))</f>
        <v>0</v>
      </c>
      <c r="N1022" s="529">
        <f>IF(E1022="STL",F1022*Pricing!$D$40,IF(A1022&lt;=Pricing!$C$4,0,IF(AND(A1022&gt;Pricing!$C$4,Disbursements!A1022&lt;=Pricing!$C$5),F1022*Pricing!$E$5,IF(AND(A1022&gt;Pricing!$C$5,Disbursements!A1022&lt;=Pricing!$C$7),VLOOKUP(F1022,Pricing!$D$7:$E$8,2)*Disbursements!F1022,F1022*Pricing!$E$9))))</f>
        <v>0</v>
      </c>
      <c r="O1022" s="528">
        <f>IF(E1022="STL",0,IF($F1022&gt;0,$F1022*Pricing!$D$17,0))</f>
        <v>0</v>
      </c>
      <c r="P1022" s="530" t="str">
        <f t="shared" si="412"/>
        <v/>
      </c>
      <c r="Q1022" s="531" t="str">
        <f>IF($A1022="","",$G1022/VLOOKUP($I1022,Ref!$B$23:$D$29,2,0))</f>
        <v/>
      </c>
      <c r="R1022" s="530" t="str">
        <f t="shared" si="413"/>
        <v/>
      </c>
      <c r="S1022" s="532" t="str">
        <f t="shared" si="407"/>
        <v/>
      </c>
      <c r="T1022" s="531" t="str">
        <f t="shared" si="414"/>
        <v/>
      </c>
      <c r="U1022" s="533">
        <f t="shared" si="415"/>
        <v>0</v>
      </c>
      <c r="V1022" s="531" t="str">
        <f t="shared" si="416"/>
        <v/>
      </c>
      <c r="W1022" s="531" t="str">
        <f t="shared" si="417"/>
        <v/>
      </c>
      <c r="X1022" s="534" t="str">
        <f t="shared" si="418"/>
        <v/>
      </c>
      <c r="Y1022" s="535" t="str">
        <f>IF($A1022="","",IF($I1022="weekly",$A1022+7,EDATE($A1022,VLOOKUP($I1022,Ref!$B$24:$C$29,2,0))))</f>
        <v/>
      </c>
      <c r="Z1022" s="536" t="str">
        <f t="shared" si="419"/>
        <v/>
      </c>
      <c r="AA1022" s="531">
        <f t="shared" si="420"/>
        <v>0</v>
      </c>
      <c r="AB1022" s="535" t="str">
        <f t="shared" si="408"/>
        <v/>
      </c>
      <c r="AC1022" s="537" t="str">
        <f t="shared" si="409"/>
        <v/>
      </c>
      <c r="AD1022" s="538" t="str">
        <f t="shared" ca="1" si="410"/>
        <v/>
      </c>
      <c r="AE1022" s="537">
        <f t="shared" ca="1" si="411"/>
        <v>0</v>
      </c>
      <c r="AF1022" s="539" t="str">
        <f t="shared" ca="1" si="421"/>
        <v/>
      </c>
      <c r="AG1022" s="531" t="str">
        <f t="shared" ca="1" si="422"/>
        <v/>
      </c>
      <c r="AH1022" s="531" t="str">
        <f t="shared" ca="1" si="423"/>
        <v/>
      </c>
      <c r="AI1022" s="531" t="str">
        <f t="shared" ca="1" si="424"/>
        <v/>
      </c>
      <c r="AJ1022" s="531" t="str">
        <f t="shared" si="425"/>
        <v/>
      </c>
      <c r="AK1022" s="540">
        <f>SUMIFS('Live Collections'!$S:$S,'Live Collections'!$D:$D,Disbursements!B1022,'Live Collections'!$G:$G,Disbursements!C1022)</f>
        <v>0</v>
      </c>
      <c r="AL1022" s="540">
        <f>SUMIFS('Live Collections'!$T:$T,'Live Collections'!$D:$D,Disbursements!B1022,'Live Collections'!$G:$G,Disbursements!C1022)</f>
        <v>0</v>
      </c>
      <c r="AM1022" s="541">
        <f t="shared" si="426"/>
        <v>0</v>
      </c>
      <c r="AN1022" s="542" t="str">
        <f t="shared" si="427"/>
        <v/>
      </c>
      <c r="AO1022" s="542" t="str">
        <f t="shared" si="428"/>
        <v/>
      </c>
      <c r="AP1022" s="543" t="str">
        <f t="shared" si="429"/>
        <v/>
      </c>
      <c r="AQ1022" s="544" t="str">
        <f t="shared" si="430"/>
        <v/>
      </c>
      <c r="AR1022" s="545">
        <f t="shared" si="431"/>
        <v>0</v>
      </c>
      <c r="AS1022" s="545">
        <f>IFERROR(CEILING($AR1022*VLOOKUP($I1022,Ref!$B$23:$E$29,4,0),1),0)</f>
        <v>0</v>
      </c>
      <c r="AT1022" s="545" t="str">
        <f>IF(A1022="","",IF(AP1022&lt;=1,"Cleared",IF(AS1022=0,"Clean",VLOOKUP($AS1022,Ref!$G$23:$H$28,2))))</f>
        <v/>
      </c>
      <c r="AU1022" s="546" t="str">
        <f t="shared" si="432"/>
        <v/>
      </c>
    </row>
    <row r="1023" spans="1:47" ht="14.25" hidden="1" customHeight="1" x14ac:dyDescent="0.15">
      <c r="A1023" s="523"/>
      <c r="B1023" s="523"/>
      <c r="C1023" s="523"/>
      <c r="D1023" s="523"/>
      <c r="E1023" s="579"/>
      <c r="F1023" s="580"/>
      <c r="G1023" s="524"/>
      <c r="H1023" s="555"/>
      <c r="I1023" s="560"/>
      <c r="J1023" s="523"/>
      <c r="K1023" s="528" t="str">
        <f>IFERROR(VLOOKUP($B1023,'Clients-Live'!$A:$C,3,0),"")</f>
        <v/>
      </c>
      <c r="L1023" s="528">
        <f>IF(E1023="STL",Pricing!$D$38,IF(A1023="",0,IF(A1023&lt;Pricing!$C$25,Pricing!$D$25,VLOOKUP(Disbursements!$F1023,Pricing!$B$29:$D$32,3))))</f>
        <v>0</v>
      </c>
      <c r="M1023" s="528">
        <f>IF(E1023="STL",0,IF(F1023&gt;0,Pricing!$D$21,0))</f>
        <v>0</v>
      </c>
      <c r="N1023" s="529">
        <f>IF(E1023="STL",F1023*Pricing!$D$40,IF(A1023&lt;=Pricing!$C$4,0,IF(AND(A1023&gt;Pricing!$C$4,Disbursements!A1023&lt;=Pricing!$C$5),F1023*Pricing!$E$5,IF(AND(A1023&gt;Pricing!$C$5,Disbursements!A1023&lt;=Pricing!$C$7),VLOOKUP(F1023,Pricing!$D$7:$E$8,2)*Disbursements!F1023,F1023*Pricing!$E$9))))</f>
        <v>0</v>
      </c>
      <c r="O1023" s="528">
        <f>IF(E1023="STL",0,IF($F1023&gt;0,$F1023*Pricing!$D$17,0))</f>
        <v>0</v>
      </c>
      <c r="P1023" s="530" t="str">
        <f t="shared" si="412"/>
        <v/>
      </c>
      <c r="Q1023" s="531" t="str">
        <f>IF($A1023="","",$G1023/VLOOKUP($I1023,Ref!$B$23:$D$29,2,0))</f>
        <v/>
      </c>
      <c r="R1023" s="530" t="str">
        <f t="shared" si="413"/>
        <v/>
      </c>
      <c r="S1023" s="532" t="str">
        <f t="shared" si="407"/>
        <v/>
      </c>
      <c r="T1023" s="531" t="str">
        <f t="shared" si="414"/>
        <v/>
      </c>
      <c r="U1023" s="533">
        <f t="shared" si="415"/>
        <v>0</v>
      </c>
      <c r="V1023" s="531" t="str">
        <f t="shared" si="416"/>
        <v/>
      </c>
      <c r="W1023" s="531" t="str">
        <f t="shared" si="417"/>
        <v/>
      </c>
      <c r="X1023" s="534" t="str">
        <f t="shared" si="418"/>
        <v/>
      </c>
      <c r="Y1023" s="535" t="str">
        <f>IF($A1023="","",IF($I1023="weekly",$A1023+7,EDATE($A1023,VLOOKUP($I1023,Ref!$B$24:$C$29,2,0))))</f>
        <v/>
      </c>
      <c r="Z1023" s="536" t="str">
        <f t="shared" si="419"/>
        <v/>
      </c>
      <c r="AA1023" s="531">
        <f t="shared" si="420"/>
        <v>0</v>
      </c>
      <c r="AB1023" s="535" t="str">
        <f t="shared" si="408"/>
        <v/>
      </c>
      <c r="AC1023" s="537" t="str">
        <f t="shared" si="409"/>
        <v/>
      </c>
      <c r="AD1023" s="538" t="str">
        <f t="shared" ca="1" si="410"/>
        <v/>
      </c>
      <c r="AE1023" s="537">
        <f t="shared" ca="1" si="411"/>
        <v>0</v>
      </c>
      <c r="AF1023" s="539" t="str">
        <f t="shared" ca="1" si="421"/>
        <v/>
      </c>
      <c r="AG1023" s="531" t="str">
        <f t="shared" ca="1" si="422"/>
        <v/>
      </c>
      <c r="AH1023" s="531" t="str">
        <f t="shared" ca="1" si="423"/>
        <v/>
      </c>
      <c r="AI1023" s="531" t="str">
        <f t="shared" ca="1" si="424"/>
        <v/>
      </c>
      <c r="AJ1023" s="531" t="str">
        <f t="shared" si="425"/>
        <v/>
      </c>
      <c r="AK1023" s="540">
        <f>SUMIFS('Live Collections'!$S:$S,'Live Collections'!$D:$D,Disbursements!B1023,'Live Collections'!$G:$G,Disbursements!C1023)</f>
        <v>0</v>
      </c>
      <c r="AL1023" s="540">
        <f>SUMIFS('Live Collections'!$T:$T,'Live Collections'!$D:$D,Disbursements!B1023,'Live Collections'!$G:$G,Disbursements!C1023)</f>
        <v>0</v>
      </c>
      <c r="AM1023" s="541">
        <f t="shared" si="426"/>
        <v>0</v>
      </c>
      <c r="AN1023" s="542" t="str">
        <f t="shared" si="427"/>
        <v/>
      </c>
      <c r="AO1023" s="542" t="str">
        <f t="shared" si="428"/>
        <v/>
      </c>
      <c r="AP1023" s="543" t="str">
        <f t="shared" si="429"/>
        <v/>
      </c>
      <c r="AQ1023" s="544" t="str">
        <f t="shared" si="430"/>
        <v/>
      </c>
      <c r="AR1023" s="545">
        <f t="shared" si="431"/>
        <v>0</v>
      </c>
      <c r="AS1023" s="545">
        <f>IFERROR(CEILING($AR1023*VLOOKUP($I1023,Ref!$B$23:$E$29,4,0),1),0)</f>
        <v>0</v>
      </c>
      <c r="AT1023" s="545" t="str">
        <f>IF(A1023="","",IF(AP1023&lt;=1,"Cleared",IF(AS1023=0,"Clean",VLOOKUP($AS1023,Ref!$G$23:$H$28,2))))</f>
        <v/>
      </c>
      <c r="AU1023" s="546" t="str">
        <f t="shared" si="432"/>
        <v/>
      </c>
    </row>
    <row r="1024" spans="1:47" ht="14.25" hidden="1" customHeight="1" x14ac:dyDescent="0.15">
      <c r="A1024" s="523"/>
      <c r="B1024" s="523"/>
      <c r="C1024" s="523"/>
      <c r="D1024" s="523"/>
      <c r="E1024" s="579"/>
      <c r="F1024" s="580"/>
      <c r="G1024" s="524"/>
      <c r="H1024" s="555"/>
      <c r="I1024" s="560"/>
      <c r="J1024" s="523"/>
      <c r="K1024" s="528" t="str">
        <f>IFERROR(VLOOKUP($B1024,'Clients-Live'!$A:$C,3,0),"")</f>
        <v/>
      </c>
      <c r="L1024" s="528">
        <f>IF(E1024="STL",Pricing!$D$38,IF(A1024="",0,IF(A1024&lt;Pricing!$C$25,Pricing!$D$25,VLOOKUP(Disbursements!$F1024,Pricing!$B$29:$D$32,3))))</f>
        <v>0</v>
      </c>
      <c r="M1024" s="528">
        <f>IF(E1024="STL",0,IF(F1024&gt;0,Pricing!$D$21,0))</f>
        <v>0</v>
      </c>
      <c r="N1024" s="529">
        <f>IF(E1024="STL",F1024*Pricing!$D$40,IF(A1024&lt;=Pricing!$C$4,0,IF(AND(A1024&gt;Pricing!$C$4,Disbursements!A1024&lt;=Pricing!$C$5),F1024*Pricing!$E$5,IF(AND(A1024&gt;Pricing!$C$5,Disbursements!A1024&lt;=Pricing!$C$7),VLOOKUP(F1024,Pricing!$D$7:$E$8,2)*Disbursements!F1024,F1024*Pricing!$E$9))))</f>
        <v>0</v>
      </c>
      <c r="O1024" s="528">
        <f>IF(E1024="STL",0,IF($F1024&gt;0,$F1024*Pricing!$D$17,0))</f>
        <v>0</v>
      </c>
      <c r="P1024" s="530" t="str">
        <f t="shared" si="412"/>
        <v/>
      </c>
      <c r="Q1024" s="531" t="str">
        <f>IF($A1024="","",$G1024/VLOOKUP($I1024,Ref!$B$23:$D$29,2,0))</f>
        <v/>
      </c>
      <c r="R1024" s="530" t="str">
        <f t="shared" si="413"/>
        <v/>
      </c>
      <c r="S1024" s="532" t="str">
        <f t="shared" si="407"/>
        <v/>
      </c>
      <c r="T1024" s="531" t="str">
        <f t="shared" si="414"/>
        <v/>
      </c>
      <c r="U1024" s="533">
        <f t="shared" si="415"/>
        <v>0</v>
      </c>
      <c r="V1024" s="531" t="str">
        <f t="shared" si="416"/>
        <v/>
      </c>
      <c r="W1024" s="531" t="str">
        <f t="shared" si="417"/>
        <v/>
      </c>
      <c r="X1024" s="534" t="str">
        <f t="shared" si="418"/>
        <v/>
      </c>
      <c r="Y1024" s="535" t="str">
        <f>IF($A1024="","",IF($I1024="weekly",$A1024+7,EDATE($A1024,VLOOKUP($I1024,Ref!$B$24:$C$29,2,0))))</f>
        <v/>
      </c>
      <c r="Z1024" s="536" t="str">
        <f t="shared" si="419"/>
        <v/>
      </c>
      <c r="AA1024" s="531">
        <f t="shared" si="420"/>
        <v>0</v>
      </c>
      <c r="AB1024" s="535" t="str">
        <f t="shared" si="408"/>
        <v/>
      </c>
      <c r="AC1024" s="537" t="str">
        <f t="shared" si="409"/>
        <v/>
      </c>
      <c r="AD1024" s="538" t="str">
        <f t="shared" ca="1" si="410"/>
        <v/>
      </c>
      <c r="AE1024" s="537">
        <f t="shared" ca="1" si="411"/>
        <v>0</v>
      </c>
      <c r="AF1024" s="539" t="str">
        <f t="shared" ca="1" si="421"/>
        <v/>
      </c>
      <c r="AG1024" s="531" t="str">
        <f t="shared" ca="1" si="422"/>
        <v/>
      </c>
      <c r="AH1024" s="531" t="str">
        <f t="shared" ca="1" si="423"/>
        <v/>
      </c>
      <c r="AI1024" s="531" t="str">
        <f t="shared" ca="1" si="424"/>
        <v/>
      </c>
      <c r="AJ1024" s="531" t="str">
        <f t="shared" si="425"/>
        <v/>
      </c>
      <c r="AK1024" s="540">
        <f>SUMIFS('Live Collections'!$S:$S,'Live Collections'!$D:$D,Disbursements!B1024,'Live Collections'!$G:$G,Disbursements!C1024)</f>
        <v>0</v>
      </c>
      <c r="AL1024" s="540">
        <f>SUMIFS('Live Collections'!$T:$T,'Live Collections'!$D:$D,Disbursements!B1024,'Live Collections'!$G:$G,Disbursements!C1024)</f>
        <v>0</v>
      </c>
      <c r="AM1024" s="541">
        <f t="shared" si="426"/>
        <v>0</v>
      </c>
      <c r="AN1024" s="542" t="str">
        <f t="shared" si="427"/>
        <v/>
      </c>
      <c r="AO1024" s="542" t="str">
        <f t="shared" si="428"/>
        <v/>
      </c>
      <c r="AP1024" s="543" t="str">
        <f t="shared" si="429"/>
        <v/>
      </c>
      <c r="AQ1024" s="544" t="str">
        <f t="shared" si="430"/>
        <v/>
      </c>
      <c r="AR1024" s="545">
        <f t="shared" si="431"/>
        <v>0</v>
      </c>
      <c r="AS1024" s="545">
        <f>IFERROR(CEILING($AR1024*VLOOKUP($I1024,Ref!$B$23:$E$29,4,0),1),0)</f>
        <v>0</v>
      </c>
      <c r="AT1024" s="545" t="str">
        <f>IF(A1024="","",IF(AP1024&lt;=1,"Cleared",IF(AS1024=0,"Clean",VLOOKUP($AS1024,Ref!$G$23:$H$28,2))))</f>
        <v/>
      </c>
      <c r="AU1024" s="546" t="str">
        <f t="shared" si="432"/>
        <v/>
      </c>
    </row>
    <row r="1025" spans="1:47" ht="14.25" hidden="1" customHeight="1" x14ac:dyDescent="0.15">
      <c r="A1025" s="523"/>
      <c r="B1025" s="523"/>
      <c r="C1025" s="523"/>
      <c r="D1025" s="523"/>
      <c r="E1025" s="579"/>
      <c r="F1025" s="580"/>
      <c r="G1025" s="524"/>
      <c r="H1025" s="555"/>
      <c r="I1025" s="560"/>
      <c r="J1025" s="523"/>
      <c r="K1025" s="528" t="str">
        <f>IFERROR(VLOOKUP($B1025,'Clients-Live'!$A:$C,3,0),"")</f>
        <v/>
      </c>
      <c r="L1025" s="528">
        <f>IF(E1025="STL",Pricing!$D$38,IF(A1025="",0,IF(A1025&lt;Pricing!$C$25,Pricing!$D$25,VLOOKUP(Disbursements!$F1025,Pricing!$B$29:$D$32,3))))</f>
        <v>0</v>
      </c>
      <c r="M1025" s="528">
        <f>IF(E1025="STL",0,IF(F1025&gt;0,Pricing!$D$21,0))</f>
        <v>0</v>
      </c>
      <c r="N1025" s="529">
        <f>IF(E1025="STL",F1025*Pricing!$D$40,IF(A1025&lt;=Pricing!$C$4,0,IF(AND(A1025&gt;Pricing!$C$4,Disbursements!A1025&lt;=Pricing!$C$5),F1025*Pricing!$E$5,IF(AND(A1025&gt;Pricing!$C$5,Disbursements!A1025&lt;=Pricing!$C$7),VLOOKUP(F1025,Pricing!$D$7:$E$8,2)*Disbursements!F1025,F1025*Pricing!$E$9))))</f>
        <v>0</v>
      </c>
      <c r="O1025" s="528">
        <f>IF(E1025="STL",0,IF($F1025&gt;0,$F1025*Pricing!$D$17,0))</f>
        <v>0</v>
      </c>
      <c r="P1025" s="530" t="str">
        <f t="shared" si="412"/>
        <v/>
      </c>
      <c r="Q1025" s="531" t="str">
        <f>IF($A1025="","",$G1025/VLOOKUP($I1025,Ref!$B$23:$D$29,2,0))</f>
        <v/>
      </c>
      <c r="R1025" s="530" t="str">
        <f t="shared" si="413"/>
        <v/>
      </c>
      <c r="S1025" s="532" t="str">
        <f t="shared" si="407"/>
        <v/>
      </c>
      <c r="T1025" s="531" t="str">
        <f t="shared" si="414"/>
        <v/>
      </c>
      <c r="U1025" s="533">
        <f t="shared" si="415"/>
        <v>0</v>
      </c>
      <c r="V1025" s="531" t="str">
        <f t="shared" si="416"/>
        <v/>
      </c>
      <c r="W1025" s="531" t="str">
        <f t="shared" si="417"/>
        <v/>
      </c>
      <c r="X1025" s="534" t="str">
        <f t="shared" si="418"/>
        <v/>
      </c>
      <c r="Y1025" s="535" t="str">
        <f>IF($A1025="","",IF($I1025="weekly",$A1025+7,EDATE($A1025,VLOOKUP($I1025,Ref!$B$24:$C$29,2,0))))</f>
        <v/>
      </c>
      <c r="Z1025" s="536" t="str">
        <f t="shared" si="419"/>
        <v/>
      </c>
      <c r="AA1025" s="531">
        <f t="shared" si="420"/>
        <v>0</v>
      </c>
      <c r="AB1025" s="535" t="str">
        <f t="shared" si="408"/>
        <v/>
      </c>
      <c r="AC1025" s="537" t="str">
        <f t="shared" si="409"/>
        <v/>
      </c>
      <c r="AD1025" s="538" t="str">
        <f t="shared" ca="1" si="410"/>
        <v/>
      </c>
      <c r="AE1025" s="537">
        <f t="shared" ca="1" si="411"/>
        <v>0</v>
      </c>
      <c r="AF1025" s="539" t="str">
        <f t="shared" ca="1" si="421"/>
        <v/>
      </c>
      <c r="AG1025" s="531" t="str">
        <f t="shared" ca="1" si="422"/>
        <v/>
      </c>
      <c r="AH1025" s="531" t="str">
        <f t="shared" ca="1" si="423"/>
        <v/>
      </c>
      <c r="AI1025" s="531" t="str">
        <f t="shared" ca="1" si="424"/>
        <v/>
      </c>
      <c r="AJ1025" s="531" t="str">
        <f t="shared" si="425"/>
        <v/>
      </c>
      <c r="AK1025" s="540">
        <f>SUMIFS('Live Collections'!$S:$S,'Live Collections'!$D:$D,Disbursements!B1025,'Live Collections'!$G:$G,Disbursements!C1025)</f>
        <v>0</v>
      </c>
      <c r="AL1025" s="540">
        <f>SUMIFS('Live Collections'!$T:$T,'Live Collections'!$D:$D,Disbursements!B1025,'Live Collections'!$G:$G,Disbursements!C1025)</f>
        <v>0</v>
      </c>
      <c r="AM1025" s="541">
        <f t="shared" si="426"/>
        <v>0</v>
      </c>
      <c r="AN1025" s="542" t="str">
        <f t="shared" si="427"/>
        <v/>
      </c>
      <c r="AO1025" s="542" t="str">
        <f t="shared" si="428"/>
        <v/>
      </c>
      <c r="AP1025" s="543" t="str">
        <f t="shared" si="429"/>
        <v/>
      </c>
      <c r="AQ1025" s="544" t="str">
        <f t="shared" si="430"/>
        <v/>
      </c>
      <c r="AR1025" s="545">
        <f t="shared" si="431"/>
        <v>0</v>
      </c>
      <c r="AS1025" s="545">
        <f>IFERROR(CEILING($AR1025*VLOOKUP($I1025,Ref!$B$23:$E$29,4,0),1),0)</f>
        <v>0</v>
      </c>
      <c r="AT1025" s="545" t="str">
        <f>IF(A1025="","",IF(AP1025&lt;=1,"Cleared",IF(AS1025=0,"Clean",VLOOKUP($AS1025,Ref!$G$23:$H$28,2))))</f>
        <v/>
      </c>
      <c r="AU1025" s="546" t="str">
        <f t="shared" si="432"/>
        <v/>
      </c>
    </row>
    <row r="1026" spans="1:47" ht="14.25" hidden="1" customHeight="1" x14ac:dyDescent="0.15">
      <c r="A1026" s="523"/>
      <c r="B1026" s="523"/>
      <c r="C1026" s="523"/>
      <c r="D1026" s="523"/>
      <c r="E1026" s="579"/>
      <c r="F1026" s="580"/>
      <c r="G1026" s="524"/>
      <c r="H1026" s="555"/>
      <c r="I1026" s="560"/>
      <c r="J1026" s="523"/>
      <c r="K1026" s="528" t="str">
        <f>IFERROR(VLOOKUP($B1026,'Clients-Live'!$A:$C,3,0),"")</f>
        <v/>
      </c>
      <c r="L1026" s="528">
        <f>IF(E1026="STL",Pricing!$D$38,IF(A1026="",0,IF(A1026&lt;Pricing!$C$25,Pricing!$D$25,VLOOKUP(Disbursements!$F1026,Pricing!$B$29:$D$32,3))))</f>
        <v>0</v>
      </c>
      <c r="M1026" s="528">
        <f>IF(E1026="STL",0,IF(F1026&gt;0,Pricing!$D$21,0))</f>
        <v>0</v>
      </c>
      <c r="N1026" s="529">
        <f>IF(E1026="STL",F1026*Pricing!$D$40,IF(A1026&lt;=Pricing!$C$4,0,IF(AND(A1026&gt;Pricing!$C$4,Disbursements!A1026&lt;=Pricing!$C$5),F1026*Pricing!$E$5,IF(AND(A1026&gt;Pricing!$C$5,Disbursements!A1026&lt;=Pricing!$C$7),VLOOKUP(F1026,Pricing!$D$7:$E$8,2)*Disbursements!F1026,F1026*Pricing!$E$9))))</f>
        <v>0</v>
      </c>
      <c r="O1026" s="528">
        <f>IF(E1026="STL",0,IF($F1026&gt;0,$F1026*Pricing!$D$17,0))</f>
        <v>0</v>
      </c>
      <c r="P1026" s="530" t="str">
        <f t="shared" si="412"/>
        <v/>
      </c>
      <c r="Q1026" s="531" t="str">
        <f>IF($A1026="","",$G1026/VLOOKUP($I1026,Ref!$B$23:$D$29,2,0))</f>
        <v/>
      </c>
      <c r="R1026" s="530" t="str">
        <f t="shared" si="413"/>
        <v/>
      </c>
      <c r="S1026" s="532" t="str">
        <f t="shared" si="407"/>
        <v/>
      </c>
      <c r="T1026" s="531" t="str">
        <f t="shared" si="414"/>
        <v/>
      </c>
      <c r="U1026" s="533">
        <f t="shared" si="415"/>
        <v>0</v>
      </c>
      <c r="V1026" s="531" t="str">
        <f t="shared" si="416"/>
        <v/>
      </c>
      <c r="W1026" s="531" t="str">
        <f t="shared" si="417"/>
        <v/>
      </c>
      <c r="X1026" s="534" t="str">
        <f t="shared" si="418"/>
        <v/>
      </c>
      <c r="Y1026" s="535" t="str">
        <f>IF($A1026="","",IF($I1026="weekly",$A1026+7,EDATE($A1026,VLOOKUP($I1026,Ref!$B$24:$C$29,2,0))))</f>
        <v/>
      </c>
      <c r="Z1026" s="536" t="str">
        <f t="shared" si="419"/>
        <v/>
      </c>
      <c r="AA1026" s="531">
        <f t="shared" si="420"/>
        <v>0</v>
      </c>
      <c r="AB1026" s="535" t="str">
        <f t="shared" si="408"/>
        <v/>
      </c>
      <c r="AC1026" s="537" t="str">
        <f t="shared" si="409"/>
        <v/>
      </c>
      <c r="AD1026" s="538" t="str">
        <f t="shared" ca="1" si="410"/>
        <v/>
      </c>
      <c r="AE1026" s="537">
        <f t="shared" ca="1" si="411"/>
        <v>0</v>
      </c>
      <c r="AF1026" s="539" t="str">
        <f t="shared" ca="1" si="421"/>
        <v/>
      </c>
      <c r="AG1026" s="531" t="str">
        <f t="shared" ca="1" si="422"/>
        <v/>
      </c>
      <c r="AH1026" s="531" t="str">
        <f t="shared" ca="1" si="423"/>
        <v/>
      </c>
      <c r="AI1026" s="531" t="str">
        <f t="shared" ca="1" si="424"/>
        <v/>
      </c>
      <c r="AJ1026" s="531" t="str">
        <f t="shared" si="425"/>
        <v/>
      </c>
      <c r="AK1026" s="540">
        <f>SUMIFS('Live Collections'!$S:$S,'Live Collections'!$D:$D,Disbursements!B1026,'Live Collections'!$G:$G,Disbursements!C1026)</f>
        <v>0</v>
      </c>
      <c r="AL1026" s="540">
        <f>SUMIFS('Live Collections'!$T:$T,'Live Collections'!$D:$D,Disbursements!B1026,'Live Collections'!$G:$G,Disbursements!C1026)</f>
        <v>0</v>
      </c>
      <c r="AM1026" s="541">
        <f t="shared" si="426"/>
        <v>0</v>
      </c>
      <c r="AN1026" s="542" t="str">
        <f t="shared" si="427"/>
        <v/>
      </c>
      <c r="AO1026" s="542" t="str">
        <f t="shared" si="428"/>
        <v/>
      </c>
      <c r="AP1026" s="543" t="str">
        <f t="shared" si="429"/>
        <v/>
      </c>
      <c r="AQ1026" s="544" t="str">
        <f t="shared" si="430"/>
        <v/>
      </c>
      <c r="AR1026" s="545">
        <f t="shared" si="431"/>
        <v>0</v>
      </c>
      <c r="AS1026" s="545">
        <f>IFERROR(CEILING($AR1026*VLOOKUP($I1026,Ref!$B$23:$E$29,4,0),1),0)</f>
        <v>0</v>
      </c>
      <c r="AT1026" s="545" t="str">
        <f>IF(A1026="","",IF(AP1026&lt;=1,"Cleared",IF(AS1026=0,"Clean",VLOOKUP($AS1026,Ref!$G$23:$H$28,2))))</f>
        <v/>
      </c>
      <c r="AU1026" s="546" t="str">
        <f t="shared" si="432"/>
        <v/>
      </c>
    </row>
    <row r="1027" spans="1:47" ht="14.25" hidden="1" customHeight="1" x14ac:dyDescent="0.15">
      <c r="A1027" s="523"/>
      <c r="B1027" s="523"/>
      <c r="C1027" s="523"/>
      <c r="D1027" s="523"/>
      <c r="E1027" s="579"/>
      <c r="F1027" s="580"/>
      <c r="G1027" s="524"/>
      <c r="H1027" s="555"/>
      <c r="I1027" s="560"/>
      <c r="J1027" s="523"/>
      <c r="K1027" s="528" t="str">
        <f>IFERROR(VLOOKUP($B1027,'Clients-Live'!$A:$C,3,0),"")</f>
        <v/>
      </c>
      <c r="L1027" s="528">
        <f>IF(E1027="STL",Pricing!$D$38,IF(A1027="",0,IF(A1027&lt;Pricing!$C$25,Pricing!$D$25,VLOOKUP(Disbursements!$F1027,Pricing!$B$29:$D$32,3))))</f>
        <v>0</v>
      </c>
      <c r="M1027" s="528">
        <f>IF(E1027="STL",0,IF(F1027&gt;0,Pricing!$D$21,0))</f>
        <v>0</v>
      </c>
      <c r="N1027" s="529">
        <f>IF(E1027="STL",F1027*Pricing!$D$40,IF(A1027&lt;=Pricing!$C$4,0,IF(AND(A1027&gt;Pricing!$C$4,Disbursements!A1027&lt;=Pricing!$C$5),F1027*Pricing!$E$5,IF(AND(A1027&gt;Pricing!$C$5,Disbursements!A1027&lt;=Pricing!$C$7),VLOOKUP(F1027,Pricing!$D$7:$E$8,2)*Disbursements!F1027,F1027*Pricing!$E$9))))</f>
        <v>0</v>
      </c>
      <c r="O1027" s="528">
        <f>IF(E1027="STL",0,IF($F1027&gt;0,$F1027*Pricing!$D$17,0))</f>
        <v>0</v>
      </c>
      <c r="P1027" s="530" t="str">
        <f t="shared" si="412"/>
        <v/>
      </c>
      <c r="Q1027" s="531" t="str">
        <f>IF($A1027="","",$G1027/VLOOKUP($I1027,Ref!$B$23:$D$29,2,0))</f>
        <v/>
      </c>
      <c r="R1027" s="530" t="str">
        <f t="shared" si="413"/>
        <v/>
      </c>
      <c r="S1027" s="532" t="str">
        <f t="shared" si="407"/>
        <v/>
      </c>
      <c r="T1027" s="531" t="str">
        <f t="shared" si="414"/>
        <v/>
      </c>
      <c r="U1027" s="533">
        <f t="shared" si="415"/>
        <v>0</v>
      </c>
      <c r="V1027" s="531" t="str">
        <f t="shared" si="416"/>
        <v/>
      </c>
      <c r="W1027" s="531" t="str">
        <f t="shared" si="417"/>
        <v/>
      </c>
      <c r="X1027" s="534" t="str">
        <f t="shared" si="418"/>
        <v/>
      </c>
      <c r="Y1027" s="535" t="str">
        <f>IF($A1027="","",IF($I1027="weekly",$A1027+7,EDATE($A1027,VLOOKUP($I1027,Ref!$B$24:$C$29,2,0))))</f>
        <v/>
      </c>
      <c r="Z1027" s="536" t="str">
        <f t="shared" si="419"/>
        <v/>
      </c>
      <c r="AA1027" s="531">
        <f t="shared" si="420"/>
        <v>0</v>
      </c>
      <c r="AB1027" s="535" t="str">
        <f t="shared" si="408"/>
        <v/>
      </c>
      <c r="AC1027" s="537" t="str">
        <f t="shared" si="409"/>
        <v/>
      </c>
      <c r="AD1027" s="538" t="str">
        <f t="shared" ca="1" si="410"/>
        <v/>
      </c>
      <c r="AE1027" s="537">
        <f t="shared" ca="1" si="411"/>
        <v>0</v>
      </c>
      <c r="AF1027" s="539" t="str">
        <f t="shared" ca="1" si="421"/>
        <v/>
      </c>
      <c r="AG1027" s="531" t="str">
        <f t="shared" ca="1" si="422"/>
        <v/>
      </c>
      <c r="AH1027" s="531" t="str">
        <f t="shared" ca="1" si="423"/>
        <v/>
      </c>
      <c r="AI1027" s="531" t="str">
        <f t="shared" ca="1" si="424"/>
        <v/>
      </c>
      <c r="AJ1027" s="531" t="str">
        <f t="shared" si="425"/>
        <v/>
      </c>
      <c r="AK1027" s="540">
        <f>SUMIFS('Live Collections'!$S:$S,'Live Collections'!$D:$D,Disbursements!B1027,'Live Collections'!$G:$G,Disbursements!C1027)</f>
        <v>0</v>
      </c>
      <c r="AL1027" s="540">
        <f>SUMIFS('Live Collections'!$T:$T,'Live Collections'!$D:$D,Disbursements!B1027,'Live Collections'!$G:$G,Disbursements!C1027)</f>
        <v>0</v>
      </c>
      <c r="AM1027" s="541">
        <f t="shared" si="426"/>
        <v>0</v>
      </c>
      <c r="AN1027" s="542" t="str">
        <f t="shared" si="427"/>
        <v/>
      </c>
      <c r="AO1027" s="542" t="str">
        <f t="shared" si="428"/>
        <v/>
      </c>
      <c r="AP1027" s="543" t="str">
        <f t="shared" si="429"/>
        <v/>
      </c>
      <c r="AQ1027" s="544" t="str">
        <f t="shared" si="430"/>
        <v/>
      </c>
      <c r="AR1027" s="545">
        <f t="shared" si="431"/>
        <v>0</v>
      </c>
      <c r="AS1027" s="545">
        <f>IFERROR(CEILING($AR1027*VLOOKUP($I1027,Ref!$B$23:$E$29,4,0),1),0)</f>
        <v>0</v>
      </c>
      <c r="AT1027" s="545" t="str">
        <f>IF(A1027="","",IF(AP1027&lt;=1,"Cleared",IF(AS1027=0,"Clean",VLOOKUP($AS1027,Ref!$G$23:$H$28,2))))</f>
        <v/>
      </c>
      <c r="AU1027" s="546" t="str">
        <f t="shared" si="432"/>
        <v/>
      </c>
    </row>
    <row r="1028" spans="1:47" ht="14.25" hidden="1" customHeight="1" x14ac:dyDescent="0.15">
      <c r="A1028" s="523"/>
      <c r="B1028" s="523"/>
      <c r="C1028" s="523"/>
      <c r="D1028" s="523"/>
      <c r="E1028" s="579"/>
      <c r="F1028" s="580"/>
      <c r="G1028" s="524"/>
      <c r="H1028" s="555"/>
      <c r="I1028" s="560"/>
      <c r="J1028" s="523"/>
      <c r="K1028" s="528" t="str">
        <f>IFERROR(VLOOKUP($B1028,'Clients-Live'!$A:$C,3,0),"")</f>
        <v/>
      </c>
      <c r="L1028" s="528">
        <f>IF(E1028="STL",Pricing!$D$38,IF(A1028="",0,IF(A1028&lt;Pricing!$C$25,Pricing!$D$25,VLOOKUP(Disbursements!$F1028,Pricing!$B$29:$D$32,3))))</f>
        <v>0</v>
      </c>
      <c r="M1028" s="528">
        <f>IF(E1028="STL",0,IF(F1028&gt;0,Pricing!$D$21,0))</f>
        <v>0</v>
      </c>
      <c r="N1028" s="529">
        <f>IF(E1028="STL",F1028*Pricing!$D$40,IF(A1028&lt;=Pricing!$C$4,0,IF(AND(A1028&gt;Pricing!$C$4,Disbursements!A1028&lt;=Pricing!$C$5),F1028*Pricing!$E$5,IF(AND(A1028&gt;Pricing!$C$5,Disbursements!A1028&lt;=Pricing!$C$7),VLOOKUP(F1028,Pricing!$D$7:$E$8,2)*Disbursements!F1028,F1028*Pricing!$E$9))))</f>
        <v>0</v>
      </c>
      <c r="O1028" s="528">
        <f>IF(E1028="STL",0,IF($F1028&gt;0,$F1028*Pricing!$D$17,0))</f>
        <v>0</v>
      </c>
      <c r="P1028" s="530" t="str">
        <f t="shared" si="412"/>
        <v/>
      </c>
      <c r="Q1028" s="531" t="str">
        <f>IF($A1028="","",$G1028/VLOOKUP($I1028,Ref!$B$23:$D$29,2,0))</f>
        <v/>
      </c>
      <c r="R1028" s="530" t="str">
        <f t="shared" si="413"/>
        <v/>
      </c>
      <c r="S1028" s="532" t="str">
        <f t="shared" ref="S1028:S1091" si="433">IF($A1028="","",$R1028/$Q1028)</f>
        <v/>
      </c>
      <c r="T1028" s="531" t="str">
        <f t="shared" si="414"/>
        <v/>
      </c>
      <c r="U1028" s="533">
        <f t="shared" si="415"/>
        <v>0</v>
      </c>
      <c r="V1028" s="531" t="str">
        <f t="shared" si="416"/>
        <v/>
      </c>
      <c r="W1028" s="531" t="str">
        <f t="shared" si="417"/>
        <v/>
      </c>
      <c r="X1028" s="534" t="str">
        <f t="shared" si="418"/>
        <v/>
      </c>
      <c r="Y1028" s="535" t="str">
        <f>IF($A1028="","",IF($I1028="weekly",$A1028+7,EDATE($A1028,VLOOKUP($I1028,Ref!$B$24:$C$29,2,0))))</f>
        <v/>
      </c>
      <c r="Z1028" s="536" t="str">
        <f t="shared" si="419"/>
        <v/>
      </c>
      <c r="AA1028" s="531">
        <f t="shared" si="420"/>
        <v>0</v>
      </c>
      <c r="AB1028" s="535" t="str">
        <f t="shared" ref="AB1028:AB1091" si="434">IF($A1028="","",EDATE($A1028,$G1028))</f>
        <v/>
      </c>
      <c r="AC1028" s="537" t="str">
        <f t="shared" ref="AC1028:AC1091" si="435">IFERROR($AB1028-$A1028,"")</f>
        <v/>
      </c>
      <c r="AD1028" s="538" t="str">
        <f t="shared" ref="AD1028:AD1091" ca="1" si="436">IFERROR(IF(TODAY()-$A1028&lt;$AB1028-$A1028,TODAY()-$A1028,"Expired"),"")</f>
        <v/>
      </c>
      <c r="AE1028" s="537">
        <f t="shared" ref="AE1028:AE1091" ca="1" si="437">IFERROR($AC1028-$AD1028,0)</f>
        <v>0</v>
      </c>
      <c r="AF1028" s="539" t="str">
        <f t="shared" ca="1" si="421"/>
        <v/>
      </c>
      <c r="AG1028" s="531" t="str">
        <f t="shared" ca="1" si="422"/>
        <v/>
      </c>
      <c r="AH1028" s="531" t="str">
        <f t="shared" ca="1" si="423"/>
        <v/>
      </c>
      <c r="AI1028" s="531" t="str">
        <f t="shared" ca="1" si="424"/>
        <v/>
      </c>
      <c r="AJ1028" s="531" t="str">
        <f t="shared" si="425"/>
        <v/>
      </c>
      <c r="AK1028" s="540">
        <f>SUMIFS('Live Collections'!$S:$S,'Live Collections'!$D:$D,Disbursements!B1028,'Live Collections'!$G:$G,Disbursements!C1028)</f>
        <v>0</v>
      </c>
      <c r="AL1028" s="540">
        <f>SUMIFS('Live Collections'!$T:$T,'Live Collections'!$D:$D,Disbursements!B1028,'Live Collections'!$G:$G,Disbursements!C1028)</f>
        <v>0</v>
      </c>
      <c r="AM1028" s="541">
        <f t="shared" si="426"/>
        <v>0</v>
      </c>
      <c r="AN1028" s="542" t="str">
        <f t="shared" si="427"/>
        <v/>
      </c>
      <c r="AO1028" s="542" t="str">
        <f t="shared" si="428"/>
        <v/>
      </c>
      <c r="AP1028" s="543" t="str">
        <f t="shared" si="429"/>
        <v/>
      </c>
      <c r="AQ1028" s="544" t="str">
        <f t="shared" si="430"/>
        <v/>
      </c>
      <c r="AR1028" s="545">
        <f t="shared" si="431"/>
        <v>0</v>
      </c>
      <c r="AS1028" s="545">
        <f>IFERROR(CEILING($AR1028*VLOOKUP($I1028,Ref!$B$23:$E$29,4,0),1),0)</f>
        <v>0</v>
      </c>
      <c r="AT1028" s="545" t="str">
        <f>IF(A1028="","",IF(AP1028&lt;=1,"Cleared",IF(AS1028=0,"Clean",VLOOKUP($AS1028,Ref!$G$23:$H$28,2))))</f>
        <v/>
      </c>
      <c r="AU1028" s="546" t="str">
        <f t="shared" si="432"/>
        <v/>
      </c>
    </row>
    <row r="1029" spans="1:47" ht="14.25" hidden="1" customHeight="1" x14ac:dyDescent="0.15">
      <c r="A1029" s="523"/>
      <c r="B1029" s="523"/>
      <c r="C1029" s="523"/>
      <c r="D1029" s="523"/>
      <c r="E1029" s="579"/>
      <c r="F1029" s="580"/>
      <c r="G1029" s="524"/>
      <c r="H1029" s="555"/>
      <c r="I1029" s="560"/>
      <c r="J1029" s="523"/>
      <c r="K1029" s="528" t="str">
        <f>IFERROR(VLOOKUP($B1029,'Clients-Live'!$A:$C,3,0),"")</f>
        <v/>
      </c>
      <c r="L1029" s="528">
        <f>IF(E1029="STL",Pricing!$D$38,IF(A1029="",0,IF(A1029&lt;Pricing!$C$25,Pricing!$D$25,VLOOKUP(Disbursements!$F1029,Pricing!$B$29:$D$32,3))))</f>
        <v>0</v>
      </c>
      <c r="M1029" s="528">
        <f>IF(E1029="STL",0,IF(F1029&gt;0,Pricing!$D$21,0))</f>
        <v>0</v>
      </c>
      <c r="N1029" s="529">
        <f>IF(E1029="STL",F1029*Pricing!$D$40,IF(A1029&lt;=Pricing!$C$4,0,IF(AND(A1029&gt;Pricing!$C$4,Disbursements!A1029&lt;=Pricing!$C$5),F1029*Pricing!$E$5,IF(AND(A1029&gt;Pricing!$C$5,Disbursements!A1029&lt;=Pricing!$C$7),VLOOKUP(F1029,Pricing!$D$7:$E$8,2)*Disbursements!F1029,F1029*Pricing!$E$9))))</f>
        <v>0</v>
      </c>
      <c r="O1029" s="528">
        <f>IF(E1029="STL",0,IF($F1029&gt;0,$F1029*Pricing!$D$17,0))</f>
        <v>0</v>
      </c>
      <c r="P1029" s="530" t="str">
        <f t="shared" ref="P1029:P1092" si="438">IF($A1029="","",$H1029*$F1029*$G1029)</f>
        <v/>
      </c>
      <c r="Q1029" s="531" t="str">
        <f>IF($A1029="","",$G1029/VLOOKUP($I1029,Ref!$B$23:$D$29,2,0))</f>
        <v/>
      </c>
      <c r="R1029" s="530" t="str">
        <f t="shared" ref="R1029:R1092" si="439">IF($A1029="","",$F1029+$P1029)</f>
        <v/>
      </c>
      <c r="S1029" s="532" t="str">
        <f t="shared" si="433"/>
        <v/>
      </c>
      <c r="T1029" s="531" t="str">
        <f t="shared" ref="T1029:T1092" si="440">IF(R1029="","",CEILING(S1029,1000))</f>
        <v/>
      </c>
      <c r="U1029" s="533">
        <f t="shared" ref="U1029:U1092" si="441">IFERROR(T1029*Q1029,0)</f>
        <v>0</v>
      </c>
      <c r="V1029" s="531" t="str">
        <f t="shared" ref="V1029:V1092" si="442">IF(T1029="","",F1029/Q1029)</f>
        <v/>
      </c>
      <c r="W1029" s="531" t="str">
        <f t="shared" ref="W1029:W1092" si="443">IF(T1029="","",T1029-V1029)</f>
        <v/>
      </c>
      <c r="X1029" s="534" t="str">
        <f t="shared" ref="X1029:X1092" si="444">IF(A1029="","",W1029*Q1029)</f>
        <v/>
      </c>
      <c r="Y1029" s="535" t="str">
        <f>IF($A1029="","",IF($I1029="weekly",$A1029+7,EDATE($A1029,VLOOKUP($I1029,Ref!$B$24:$C$29,2,0))))</f>
        <v/>
      </c>
      <c r="Z1029" s="536" t="str">
        <f t="shared" ref="Z1029:Z1092" si="445">IFERROR(CHOOSE(WEEKDAY(Y1029),"Sun","Mon","Tue","Wed","Thu","Frid","Sat"),"")</f>
        <v/>
      </c>
      <c r="AA1029" s="531">
        <f t="shared" ref="AA1029:AA1092" si="446">IFERROR(Y1029-A1029,0)</f>
        <v>0</v>
      </c>
      <c r="AB1029" s="535" t="str">
        <f t="shared" si="434"/>
        <v/>
      </c>
      <c r="AC1029" s="537" t="str">
        <f t="shared" si="435"/>
        <v/>
      </c>
      <c r="AD1029" s="538" t="str">
        <f t="shared" ca="1" si="436"/>
        <v/>
      </c>
      <c r="AE1029" s="537">
        <f t="shared" ca="1" si="437"/>
        <v>0</v>
      </c>
      <c r="AF1029" s="539" t="str">
        <f t="shared" ref="AF1029:AF1092" ca="1" si="447">IFERROR(IF(AD1029="Expired",Q1029,IF(AD1029&gt;AA1029,AD1029/AA1029,0)),"")</f>
        <v/>
      </c>
      <c r="AG1029" s="531" t="str">
        <f t="shared" ref="AG1029:AG1092" ca="1" si="448">IFERROR(AF1029*T1029,"")</f>
        <v/>
      </c>
      <c r="AH1029" s="531" t="str">
        <f t="shared" ref="AH1029:AH1092" ca="1" si="449">IFERROR(AF1029*W1029,"")</f>
        <v/>
      </c>
      <c r="AI1029" s="531" t="str">
        <f t="shared" ref="AI1029:AI1092" ca="1" si="450">IFERROR(AF1029*V1029,"")</f>
        <v/>
      </c>
      <c r="AJ1029" s="531" t="str">
        <f t="shared" ref="AJ1029:AJ1092" si="451">IF(F1029=0,"",U1029-AG1029)</f>
        <v/>
      </c>
      <c r="AK1029" s="540">
        <f>SUMIFS('Live Collections'!$S:$S,'Live Collections'!$D:$D,Disbursements!B1029,'Live Collections'!$G:$G,Disbursements!C1029)</f>
        <v>0</v>
      </c>
      <c r="AL1029" s="540">
        <f>SUMIFS('Live Collections'!$T:$T,'Live Collections'!$D:$D,Disbursements!B1029,'Live Collections'!$G:$G,Disbursements!C1029)</f>
        <v>0</v>
      </c>
      <c r="AM1029" s="541">
        <f t="shared" ref="AM1029:AM1092" si="452">SUM(AK1029:AL1029)</f>
        <v>0</v>
      </c>
      <c r="AN1029" s="542" t="str">
        <f t="shared" ref="AN1029:AN1092" si="453">IFERROR(W1029*Q1029-AK1029,"")</f>
        <v/>
      </c>
      <c r="AO1029" s="542" t="str">
        <f t="shared" ref="AO1029:AO1092" si="454">IF(F1029="","",(F1029-AL1029))</f>
        <v/>
      </c>
      <c r="AP1029" s="543" t="str">
        <f t="shared" ref="AP1029:AP1092" si="455">IF(F1029="","",SUM(AN1029:AO1029))</f>
        <v/>
      </c>
      <c r="AQ1029" s="544" t="str">
        <f t="shared" ref="AQ1029:AQ1092" si="456">IF(AP1029&gt;AJ1029,AP1029-AJ1029,"")</f>
        <v/>
      </c>
      <c r="AR1029" s="545">
        <f t="shared" ref="AR1029:AR1092" si="457">IFERROR(AQ1029/T1029,0)</f>
        <v>0</v>
      </c>
      <c r="AS1029" s="545">
        <f>IFERROR(CEILING($AR1029*VLOOKUP($I1029,Ref!$B$23:$E$29,4,0),1),0)</f>
        <v>0</v>
      </c>
      <c r="AT1029" s="545" t="str">
        <f>IF(A1029="","",IF(AP1029&lt;=1,"Cleared",IF(AS1029=0,"Clean",VLOOKUP($AS1029,Ref!$G$23:$H$28,2))))</f>
        <v/>
      </c>
      <c r="AU1029" s="546" t="str">
        <f t="shared" ref="AU1029:AU1092" si="458">IF(F1029="","",IF(OR(AN1029&lt;0,AO1029&lt;0,AP1029&lt;0),"Error on Entry","Ok"))</f>
        <v/>
      </c>
    </row>
    <row r="1030" spans="1:47" ht="14.25" hidden="1" customHeight="1" x14ac:dyDescent="0.15">
      <c r="A1030" s="523"/>
      <c r="B1030" s="523"/>
      <c r="C1030" s="523"/>
      <c r="D1030" s="523"/>
      <c r="E1030" s="579"/>
      <c r="F1030" s="580"/>
      <c r="G1030" s="524"/>
      <c r="H1030" s="555"/>
      <c r="I1030" s="560"/>
      <c r="J1030" s="523"/>
      <c r="K1030" s="528" t="str">
        <f>IFERROR(VLOOKUP($B1030,'Clients-Live'!$A:$C,3,0),"")</f>
        <v/>
      </c>
      <c r="L1030" s="528">
        <f>IF(E1030="STL",Pricing!$D$38,IF(A1030="",0,IF(A1030&lt;Pricing!$C$25,Pricing!$D$25,VLOOKUP(Disbursements!$F1030,Pricing!$B$29:$D$32,3))))</f>
        <v>0</v>
      </c>
      <c r="M1030" s="528">
        <f>IF(E1030="STL",0,IF(F1030&gt;0,Pricing!$D$21,0))</f>
        <v>0</v>
      </c>
      <c r="N1030" s="529">
        <f>IF(E1030="STL",F1030*Pricing!$D$40,IF(A1030&lt;=Pricing!$C$4,0,IF(AND(A1030&gt;Pricing!$C$4,Disbursements!A1030&lt;=Pricing!$C$5),F1030*Pricing!$E$5,IF(AND(A1030&gt;Pricing!$C$5,Disbursements!A1030&lt;=Pricing!$C$7),VLOOKUP(F1030,Pricing!$D$7:$E$8,2)*Disbursements!F1030,F1030*Pricing!$E$9))))</f>
        <v>0</v>
      </c>
      <c r="O1030" s="528">
        <f>IF(E1030="STL",0,IF($F1030&gt;0,$F1030*Pricing!$D$17,0))</f>
        <v>0</v>
      </c>
      <c r="P1030" s="530" t="str">
        <f t="shared" si="438"/>
        <v/>
      </c>
      <c r="Q1030" s="531" t="str">
        <f>IF($A1030="","",$G1030/VLOOKUP($I1030,Ref!$B$23:$D$29,2,0))</f>
        <v/>
      </c>
      <c r="R1030" s="530" t="str">
        <f t="shared" si="439"/>
        <v/>
      </c>
      <c r="S1030" s="532" t="str">
        <f t="shared" si="433"/>
        <v/>
      </c>
      <c r="T1030" s="531" t="str">
        <f t="shared" si="440"/>
        <v/>
      </c>
      <c r="U1030" s="533">
        <f t="shared" si="441"/>
        <v>0</v>
      </c>
      <c r="V1030" s="531" t="str">
        <f t="shared" si="442"/>
        <v/>
      </c>
      <c r="W1030" s="531" t="str">
        <f t="shared" si="443"/>
        <v/>
      </c>
      <c r="X1030" s="534" t="str">
        <f t="shared" si="444"/>
        <v/>
      </c>
      <c r="Y1030" s="535" t="str">
        <f>IF($A1030="","",IF($I1030="weekly",$A1030+7,EDATE($A1030,VLOOKUP($I1030,Ref!$B$24:$C$29,2,0))))</f>
        <v/>
      </c>
      <c r="Z1030" s="536" t="str">
        <f t="shared" si="445"/>
        <v/>
      </c>
      <c r="AA1030" s="531">
        <f t="shared" si="446"/>
        <v>0</v>
      </c>
      <c r="AB1030" s="535" t="str">
        <f t="shared" si="434"/>
        <v/>
      </c>
      <c r="AC1030" s="537" t="str">
        <f t="shared" si="435"/>
        <v/>
      </c>
      <c r="AD1030" s="538" t="str">
        <f t="shared" ca="1" si="436"/>
        <v/>
      </c>
      <c r="AE1030" s="537">
        <f t="shared" ca="1" si="437"/>
        <v>0</v>
      </c>
      <c r="AF1030" s="539" t="str">
        <f t="shared" ca="1" si="447"/>
        <v/>
      </c>
      <c r="AG1030" s="531" t="str">
        <f t="shared" ca="1" si="448"/>
        <v/>
      </c>
      <c r="AH1030" s="531" t="str">
        <f t="shared" ca="1" si="449"/>
        <v/>
      </c>
      <c r="AI1030" s="531" t="str">
        <f t="shared" ca="1" si="450"/>
        <v/>
      </c>
      <c r="AJ1030" s="531" t="str">
        <f t="shared" si="451"/>
        <v/>
      </c>
      <c r="AK1030" s="540">
        <f>SUMIFS('Live Collections'!$S:$S,'Live Collections'!$D:$D,Disbursements!B1030,'Live Collections'!$G:$G,Disbursements!C1030)</f>
        <v>0</v>
      </c>
      <c r="AL1030" s="540">
        <f>SUMIFS('Live Collections'!$T:$T,'Live Collections'!$D:$D,Disbursements!B1030,'Live Collections'!$G:$G,Disbursements!C1030)</f>
        <v>0</v>
      </c>
      <c r="AM1030" s="541">
        <f t="shared" si="452"/>
        <v>0</v>
      </c>
      <c r="AN1030" s="542" t="str">
        <f t="shared" si="453"/>
        <v/>
      </c>
      <c r="AO1030" s="542" t="str">
        <f t="shared" si="454"/>
        <v/>
      </c>
      <c r="AP1030" s="543" t="str">
        <f t="shared" si="455"/>
        <v/>
      </c>
      <c r="AQ1030" s="544" t="str">
        <f t="shared" si="456"/>
        <v/>
      </c>
      <c r="AR1030" s="545">
        <f t="shared" si="457"/>
        <v>0</v>
      </c>
      <c r="AS1030" s="545">
        <f>IFERROR(CEILING($AR1030*VLOOKUP($I1030,Ref!$B$23:$E$29,4,0),1),0)</f>
        <v>0</v>
      </c>
      <c r="AT1030" s="545" t="str">
        <f>IF(A1030="","",IF(AP1030&lt;=1,"Cleared",IF(AS1030=0,"Clean",VLOOKUP($AS1030,Ref!$G$23:$H$28,2))))</f>
        <v/>
      </c>
      <c r="AU1030" s="546" t="str">
        <f t="shared" si="458"/>
        <v/>
      </c>
    </row>
    <row r="1031" spans="1:47" ht="14.25" hidden="1" customHeight="1" x14ac:dyDescent="0.15">
      <c r="A1031" s="523"/>
      <c r="B1031" s="523"/>
      <c r="C1031" s="523"/>
      <c r="D1031" s="523"/>
      <c r="E1031" s="579"/>
      <c r="F1031" s="580"/>
      <c r="G1031" s="524"/>
      <c r="H1031" s="555"/>
      <c r="I1031" s="560"/>
      <c r="J1031" s="523"/>
      <c r="K1031" s="528" t="str">
        <f>IFERROR(VLOOKUP($B1031,'Clients-Live'!$A:$C,3,0),"")</f>
        <v/>
      </c>
      <c r="L1031" s="528">
        <f>IF(E1031="STL",Pricing!$D$38,IF(A1031="",0,IF(A1031&lt;Pricing!$C$25,Pricing!$D$25,VLOOKUP(Disbursements!$F1031,Pricing!$B$29:$D$32,3))))</f>
        <v>0</v>
      </c>
      <c r="M1031" s="528">
        <f>IF(E1031="STL",0,IF(F1031&gt;0,Pricing!$D$21,0))</f>
        <v>0</v>
      </c>
      <c r="N1031" s="529">
        <f>IF(E1031="STL",F1031*Pricing!$D$40,IF(A1031&lt;=Pricing!$C$4,0,IF(AND(A1031&gt;Pricing!$C$4,Disbursements!A1031&lt;=Pricing!$C$5),F1031*Pricing!$E$5,IF(AND(A1031&gt;Pricing!$C$5,Disbursements!A1031&lt;=Pricing!$C$7),VLOOKUP(F1031,Pricing!$D$7:$E$8,2)*Disbursements!F1031,F1031*Pricing!$E$9))))</f>
        <v>0</v>
      </c>
      <c r="O1031" s="528">
        <f>IF(E1031="STL",0,IF($F1031&gt;0,$F1031*Pricing!$D$17,0))</f>
        <v>0</v>
      </c>
      <c r="P1031" s="530" t="str">
        <f t="shared" si="438"/>
        <v/>
      </c>
      <c r="Q1031" s="531" t="str">
        <f>IF($A1031="","",$G1031/VLOOKUP($I1031,Ref!$B$23:$D$29,2,0))</f>
        <v/>
      </c>
      <c r="R1031" s="530" t="str">
        <f t="shared" si="439"/>
        <v/>
      </c>
      <c r="S1031" s="532" t="str">
        <f t="shared" si="433"/>
        <v/>
      </c>
      <c r="T1031" s="531" t="str">
        <f t="shared" si="440"/>
        <v/>
      </c>
      <c r="U1031" s="533">
        <f t="shared" si="441"/>
        <v>0</v>
      </c>
      <c r="V1031" s="531" t="str">
        <f t="shared" si="442"/>
        <v/>
      </c>
      <c r="W1031" s="531" t="str">
        <f t="shared" si="443"/>
        <v/>
      </c>
      <c r="X1031" s="534" t="str">
        <f t="shared" si="444"/>
        <v/>
      </c>
      <c r="Y1031" s="535" t="str">
        <f>IF($A1031="","",IF($I1031="weekly",$A1031+7,EDATE($A1031,VLOOKUP($I1031,Ref!$B$24:$C$29,2,0))))</f>
        <v/>
      </c>
      <c r="Z1031" s="536" t="str">
        <f t="shared" si="445"/>
        <v/>
      </c>
      <c r="AA1031" s="531">
        <f t="shared" si="446"/>
        <v>0</v>
      </c>
      <c r="AB1031" s="535" t="str">
        <f t="shared" si="434"/>
        <v/>
      </c>
      <c r="AC1031" s="537" t="str">
        <f t="shared" si="435"/>
        <v/>
      </c>
      <c r="AD1031" s="538" t="str">
        <f t="shared" ca="1" si="436"/>
        <v/>
      </c>
      <c r="AE1031" s="537">
        <f t="shared" ca="1" si="437"/>
        <v>0</v>
      </c>
      <c r="AF1031" s="539" t="str">
        <f t="shared" ca="1" si="447"/>
        <v/>
      </c>
      <c r="AG1031" s="531" t="str">
        <f t="shared" ca="1" si="448"/>
        <v/>
      </c>
      <c r="AH1031" s="531" t="str">
        <f t="shared" ca="1" si="449"/>
        <v/>
      </c>
      <c r="AI1031" s="531" t="str">
        <f t="shared" ca="1" si="450"/>
        <v/>
      </c>
      <c r="AJ1031" s="531" t="str">
        <f t="shared" si="451"/>
        <v/>
      </c>
      <c r="AK1031" s="540">
        <f>SUMIFS('Live Collections'!$S:$S,'Live Collections'!$D:$D,Disbursements!B1031,'Live Collections'!$G:$G,Disbursements!C1031)</f>
        <v>0</v>
      </c>
      <c r="AL1031" s="540">
        <f>SUMIFS('Live Collections'!$T:$T,'Live Collections'!$D:$D,Disbursements!B1031,'Live Collections'!$G:$G,Disbursements!C1031)</f>
        <v>0</v>
      </c>
      <c r="AM1031" s="541">
        <f t="shared" si="452"/>
        <v>0</v>
      </c>
      <c r="AN1031" s="542" t="str">
        <f t="shared" si="453"/>
        <v/>
      </c>
      <c r="AO1031" s="542" t="str">
        <f t="shared" si="454"/>
        <v/>
      </c>
      <c r="AP1031" s="543" t="str">
        <f t="shared" si="455"/>
        <v/>
      </c>
      <c r="AQ1031" s="544" t="str">
        <f t="shared" si="456"/>
        <v/>
      </c>
      <c r="AR1031" s="545">
        <f t="shared" si="457"/>
        <v>0</v>
      </c>
      <c r="AS1031" s="545">
        <f>IFERROR(CEILING($AR1031*VLOOKUP($I1031,Ref!$B$23:$E$29,4,0),1),0)</f>
        <v>0</v>
      </c>
      <c r="AT1031" s="545" t="str">
        <f>IF(A1031="","",IF(AP1031&lt;=1,"Cleared",IF(AS1031=0,"Clean",VLOOKUP($AS1031,Ref!$G$23:$H$28,2))))</f>
        <v/>
      </c>
      <c r="AU1031" s="546" t="str">
        <f t="shared" si="458"/>
        <v/>
      </c>
    </row>
    <row r="1032" spans="1:47" ht="14.25" hidden="1" customHeight="1" x14ac:dyDescent="0.15">
      <c r="A1032" s="523"/>
      <c r="B1032" s="523"/>
      <c r="C1032" s="523"/>
      <c r="D1032" s="523"/>
      <c r="E1032" s="579"/>
      <c r="F1032" s="580"/>
      <c r="G1032" s="524"/>
      <c r="H1032" s="555"/>
      <c r="I1032" s="560"/>
      <c r="J1032" s="523"/>
      <c r="K1032" s="528" t="str">
        <f>IFERROR(VLOOKUP($B1032,'Clients-Live'!$A:$C,3,0),"")</f>
        <v/>
      </c>
      <c r="L1032" s="528">
        <f>IF(E1032="STL",Pricing!$D$38,IF(A1032="",0,IF(A1032&lt;Pricing!$C$25,Pricing!$D$25,VLOOKUP(Disbursements!$F1032,Pricing!$B$29:$D$32,3))))</f>
        <v>0</v>
      </c>
      <c r="M1032" s="528">
        <f>IF(E1032="STL",0,IF(F1032&gt;0,Pricing!$D$21,0))</f>
        <v>0</v>
      </c>
      <c r="N1032" s="529">
        <f>IF(E1032="STL",F1032*Pricing!$D$40,IF(A1032&lt;=Pricing!$C$4,0,IF(AND(A1032&gt;Pricing!$C$4,Disbursements!A1032&lt;=Pricing!$C$5),F1032*Pricing!$E$5,IF(AND(A1032&gt;Pricing!$C$5,Disbursements!A1032&lt;=Pricing!$C$7),VLOOKUP(F1032,Pricing!$D$7:$E$8,2)*Disbursements!F1032,F1032*Pricing!$E$9))))</f>
        <v>0</v>
      </c>
      <c r="O1032" s="528">
        <f>IF(E1032="STL",0,IF($F1032&gt;0,$F1032*Pricing!$D$17,0))</f>
        <v>0</v>
      </c>
      <c r="P1032" s="530" t="str">
        <f t="shared" si="438"/>
        <v/>
      </c>
      <c r="Q1032" s="531" t="str">
        <f>IF($A1032="","",$G1032/VLOOKUP($I1032,Ref!$B$23:$D$29,2,0))</f>
        <v/>
      </c>
      <c r="R1032" s="530" t="str">
        <f t="shared" si="439"/>
        <v/>
      </c>
      <c r="S1032" s="532" t="str">
        <f t="shared" si="433"/>
        <v/>
      </c>
      <c r="T1032" s="531" t="str">
        <f t="shared" si="440"/>
        <v/>
      </c>
      <c r="U1032" s="533">
        <f t="shared" si="441"/>
        <v>0</v>
      </c>
      <c r="V1032" s="531" t="str">
        <f t="shared" si="442"/>
        <v/>
      </c>
      <c r="W1032" s="531" t="str">
        <f t="shared" si="443"/>
        <v/>
      </c>
      <c r="X1032" s="534" t="str">
        <f t="shared" si="444"/>
        <v/>
      </c>
      <c r="Y1032" s="535" t="str">
        <f>IF($A1032="","",IF($I1032="weekly",$A1032+7,EDATE($A1032,VLOOKUP($I1032,Ref!$B$24:$C$29,2,0))))</f>
        <v/>
      </c>
      <c r="Z1032" s="536" t="str">
        <f t="shared" si="445"/>
        <v/>
      </c>
      <c r="AA1032" s="531">
        <f t="shared" si="446"/>
        <v>0</v>
      </c>
      <c r="AB1032" s="535" t="str">
        <f t="shared" si="434"/>
        <v/>
      </c>
      <c r="AC1032" s="537" t="str">
        <f t="shared" si="435"/>
        <v/>
      </c>
      <c r="AD1032" s="538" t="str">
        <f t="shared" ca="1" si="436"/>
        <v/>
      </c>
      <c r="AE1032" s="537">
        <f t="shared" ca="1" si="437"/>
        <v>0</v>
      </c>
      <c r="AF1032" s="539" t="str">
        <f t="shared" ca="1" si="447"/>
        <v/>
      </c>
      <c r="AG1032" s="531" t="str">
        <f t="shared" ca="1" si="448"/>
        <v/>
      </c>
      <c r="AH1032" s="531" t="str">
        <f t="shared" ca="1" si="449"/>
        <v/>
      </c>
      <c r="AI1032" s="531" t="str">
        <f t="shared" ca="1" si="450"/>
        <v/>
      </c>
      <c r="AJ1032" s="531" t="str">
        <f t="shared" si="451"/>
        <v/>
      </c>
      <c r="AK1032" s="540">
        <f>SUMIFS('Live Collections'!$S:$S,'Live Collections'!$D:$D,Disbursements!B1032,'Live Collections'!$G:$G,Disbursements!C1032)</f>
        <v>0</v>
      </c>
      <c r="AL1032" s="540">
        <f>SUMIFS('Live Collections'!$T:$T,'Live Collections'!$D:$D,Disbursements!B1032,'Live Collections'!$G:$G,Disbursements!C1032)</f>
        <v>0</v>
      </c>
      <c r="AM1032" s="541">
        <f t="shared" si="452"/>
        <v>0</v>
      </c>
      <c r="AN1032" s="542" t="str">
        <f t="shared" si="453"/>
        <v/>
      </c>
      <c r="AO1032" s="542" t="str">
        <f t="shared" si="454"/>
        <v/>
      </c>
      <c r="AP1032" s="543" t="str">
        <f t="shared" si="455"/>
        <v/>
      </c>
      <c r="AQ1032" s="544" t="str">
        <f t="shared" si="456"/>
        <v/>
      </c>
      <c r="AR1032" s="545">
        <f t="shared" si="457"/>
        <v>0</v>
      </c>
      <c r="AS1032" s="545">
        <f>IFERROR(CEILING($AR1032*VLOOKUP($I1032,Ref!$B$23:$E$29,4,0),1),0)</f>
        <v>0</v>
      </c>
      <c r="AT1032" s="545" t="str">
        <f>IF(A1032="","",IF(AP1032&lt;=1,"Cleared",IF(AS1032=0,"Clean",VLOOKUP($AS1032,Ref!$G$23:$H$28,2))))</f>
        <v/>
      </c>
      <c r="AU1032" s="546" t="str">
        <f t="shared" si="458"/>
        <v/>
      </c>
    </row>
    <row r="1033" spans="1:47" ht="14.25" hidden="1" customHeight="1" x14ac:dyDescent="0.15">
      <c r="A1033" s="523"/>
      <c r="B1033" s="523"/>
      <c r="C1033" s="523"/>
      <c r="D1033" s="523"/>
      <c r="E1033" s="579"/>
      <c r="F1033" s="580"/>
      <c r="G1033" s="524"/>
      <c r="H1033" s="555"/>
      <c r="I1033" s="560"/>
      <c r="J1033" s="523"/>
      <c r="K1033" s="528" t="str">
        <f>IFERROR(VLOOKUP($B1033,'Clients-Live'!$A:$C,3,0),"")</f>
        <v/>
      </c>
      <c r="L1033" s="528">
        <f>IF(E1033="STL",Pricing!$D$38,IF(A1033="",0,IF(A1033&lt;Pricing!$C$25,Pricing!$D$25,VLOOKUP(Disbursements!$F1033,Pricing!$B$29:$D$32,3))))</f>
        <v>0</v>
      </c>
      <c r="M1033" s="528">
        <f>IF(E1033="STL",0,IF(F1033&gt;0,Pricing!$D$21,0))</f>
        <v>0</v>
      </c>
      <c r="N1033" s="529">
        <f>IF(E1033="STL",F1033*Pricing!$D$40,IF(A1033&lt;=Pricing!$C$4,0,IF(AND(A1033&gt;Pricing!$C$4,Disbursements!A1033&lt;=Pricing!$C$5),F1033*Pricing!$E$5,IF(AND(A1033&gt;Pricing!$C$5,Disbursements!A1033&lt;=Pricing!$C$7),VLOOKUP(F1033,Pricing!$D$7:$E$8,2)*Disbursements!F1033,F1033*Pricing!$E$9))))</f>
        <v>0</v>
      </c>
      <c r="O1033" s="528">
        <f>IF(E1033="STL",0,IF($F1033&gt;0,$F1033*Pricing!$D$17,0))</f>
        <v>0</v>
      </c>
      <c r="P1033" s="530" t="str">
        <f t="shared" si="438"/>
        <v/>
      </c>
      <c r="Q1033" s="531" t="str">
        <f>IF($A1033="","",$G1033/VLOOKUP($I1033,Ref!$B$23:$D$29,2,0))</f>
        <v/>
      </c>
      <c r="R1033" s="530" t="str">
        <f t="shared" si="439"/>
        <v/>
      </c>
      <c r="S1033" s="532" t="str">
        <f t="shared" si="433"/>
        <v/>
      </c>
      <c r="T1033" s="531" t="str">
        <f t="shared" si="440"/>
        <v/>
      </c>
      <c r="U1033" s="533">
        <f t="shared" si="441"/>
        <v>0</v>
      </c>
      <c r="V1033" s="531" t="str">
        <f t="shared" si="442"/>
        <v/>
      </c>
      <c r="W1033" s="531" t="str">
        <f t="shared" si="443"/>
        <v/>
      </c>
      <c r="X1033" s="534" t="str">
        <f t="shared" si="444"/>
        <v/>
      </c>
      <c r="Y1033" s="535" t="str">
        <f>IF($A1033="","",IF($I1033="weekly",$A1033+7,EDATE($A1033,VLOOKUP($I1033,Ref!$B$24:$C$29,2,0))))</f>
        <v/>
      </c>
      <c r="Z1033" s="536" t="str">
        <f t="shared" si="445"/>
        <v/>
      </c>
      <c r="AA1033" s="531">
        <f t="shared" si="446"/>
        <v>0</v>
      </c>
      <c r="AB1033" s="535" t="str">
        <f t="shared" si="434"/>
        <v/>
      </c>
      <c r="AC1033" s="537" t="str">
        <f t="shared" si="435"/>
        <v/>
      </c>
      <c r="AD1033" s="538" t="str">
        <f t="shared" ca="1" si="436"/>
        <v/>
      </c>
      <c r="AE1033" s="537">
        <f t="shared" ca="1" si="437"/>
        <v>0</v>
      </c>
      <c r="AF1033" s="539" t="str">
        <f t="shared" ca="1" si="447"/>
        <v/>
      </c>
      <c r="AG1033" s="531" t="str">
        <f t="shared" ca="1" si="448"/>
        <v/>
      </c>
      <c r="AH1033" s="531" t="str">
        <f t="shared" ca="1" si="449"/>
        <v/>
      </c>
      <c r="AI1033" s="531" t="str">
        <f t="shared" ca="1" si="450"/>
        <v/>
      </c>
      <c r="AJ1033" s="531" t="str">
        <f t="shared" si="451"/>
        <v/>
      </c>
      <c r="AK1033" s="540">
        <f>SUMIFS('Live Collections'!$S:$S,'Live Collections'!$D:$D,Disbursements!B1033,'Live Collections'!$G:$G,Disbursements!C1033)</f>
        <v>0</v>
      </c>
      <c r="AL1033" s="540">
        <f>SUMIFS('Live Collections'!$T:$T,'Live Collections'!$D:$D,Disbursements!B1033,'Live Collections'!$G:$G,Disbursements!C1033)</f>
        <v>0</v>
      </c>
      <c r="AM1033" s="541">
        <f t="shared" si="452"/>
        <v>0</v>
      </c>
      <c r="AN1033" s="542" t="str">
        <f t="shared" si="453"/>
        <v/>
      </c>
      <c r="AO1033" s="542" t="str">
        <f t="shared" si="454"/>
        <v/>
      </c>
      <c r="AP1033" s="543" t="str">
        <f t="shared" si="455"/>
        <v/>
      </c>
      <c r="AQ1033" s="544" t="str">
        <f t="shared" si="456"/>
        <v/>
      </c>
      <c r="AR1033" s="545">
        <f t="shared" si="457"/>
        <v>0</v>
      </c>
      <c r="AS1033" s="545">
        <f>IFERROR(CEILING($AR1033*VLOOKUP($I1033,Ref!$B$23:$E$29,4,0),1),0)</f>
        <v>0</v>
      </c>
      <c r="AT1033" s="545" t="str">
        <f>IF(A1033="","",IF(AP1033&lt;=1,"Cleared",IF(AS1033=0,"Clean",VLOOKUP($AS1033,Ref!$G$23:$H$28,2))))</f>
        <v/>
      </c>
      <c r="AU1033" s="546" t="str">
        <f t="shared" si="458"/>
        <v/>
      </c>
    </row>
    <row r="1034" spans="1:47" ht="14.25" hidden="1" customHeight="1" x14ac:dyDescent="0.15">
      <c r="A1034" s="523"/>
      <c r="B1034" s="523"/>
      <c r="C1034" s="523"/>
      <c r="D1034" s="523"/>
      <c r="E1034" s="579"/>
      <c r="F1034" s="580"/>
      <c r="G1034" s="524"/>
      <c r="H1034" s="555"/>
      <c r="I1034" s="560"/>
      <c r="J1034" s="523"/>
      <c r="K1034" s="528" t="str">
        <f>IFERROR(VLOOKUP($B1034,'Clients-Live'!$A:$C,3,0),"")</f>
        <v/>
      </c>
      <c r="L1034" s="528">
        <f>IF(E1034="STL",Pricing!$D$38,IF(A1034="",0,IF(A1034&lt;Pricing!$C$25,Pricing!$D$25,VLOOKUP(Disbursements!$F1034,Pricing!$B$29:$D$32,3))))</f>
        <v>0</v>
      </c>
      <c r="M1034" s="528">
        <f>IF(E1034="STL",0,IF(F1034&gt;0,Pricing!$D$21,0))</f>
        <v>0</v>
      </c>
      <c r="N1034" s="529">
        <f>IF(E1034="STL",F1034*Pricing!$D$40,IF(A1034&lt;=Pricing!$C$4,0,IF(AND(A1034&gt;Pricing!$C$4,Disbursements!A1034&lt;=Pricing!$C$5),F1034*Pricing!$E$5,IF(AND(A1034&gt;Pricing!$C$5,Disbursements!A1034&lt;=Pricing!$C$7),VLOOKUP(F1034,Pricing!$D$7:$E$8,2)*Disbursements!F1034,F1034*Pricing!$E$9))))</f>
        <v>0</v>
      </c>
      <c r="O1034" s="528">
        <f>IF(E1034="STL",0,IF($F1034&gt;0,$F1034*Pricing!$D$17,0))</f>
        <v>0</v>
      </c>
      <c r="P1034" s="530" t="str">
        <f t="shared" si="438"/>
        <v/>
      </c>
      <c r="Q1034" s="531" t="str">
        <f>IF($A1034="","",$G1034/VLOOKUP($I1034,Ref!$B$23:$D$29,2,0))</f>
        <v/>
      </c>
      <c r="R1034" s="530" t="str">
        <f t="shared" si="439"/>
        <v/>
      </c>
      <c r="S1034" s="532" t="str">
        <f t="shared" si="433"/>
        <v/>
      </c>
      <c r="T1034" s="531" t="str">
        <f t="shared" si="440"/>
        <v/>
      </c>
      <c r="U1034" s="533">
        <f t="shared" si="441"/>
        <v>0</v>
      </c>
      <c r="V1034" s="531" t="str">
        <f t="shared" si="442"/>
        <v/>
      </c>
      <c r="W1034" s="531" t="str">
        <f t="shared" si="443"/>
        <v/>
      </c>
      <c r="X1034" s="534" t="str">
        <f t="shared" si="444"/>
        <v/>
      </c>
      <c r="Y1034" s="535" t="str">
        <f>IF($A1034="","",IF($I1034="weekly",$A1034+7,EDATE($A1034,VLOOKUP($I1034,Ref!$B$24:$C$29,2,0))))</f>
        <v/>
      </c>
      <c r="Z1034" s="536" t="str">
        <f t="shared" si="445"/>
        <v/>
      </c>
      <c r="AA1034" s="531">
        <f t="shared" si="446"/>
        <v>0</v>
      </c>
      <c r="AB1034" s="535" t="str">
        <f t="shared" si="434"/>
        <v/>
      </c>
      <c r="AC1034" s="537" t="str">
        <f t="shared" si="435"/>
        <v/>
      </c>
      <c r="AD1034" s="538" t="str">
        <f t="shared" ca="1" si="436"/>
        <v/>
      </c>
      <c r="AE1034" s="537">
        <f t="shared" ca="1" si="437"/>
        <v>0</v>
      </c>
      <c r="AF1034" s="539" t="str">
        <f t="shared" ca="1" si="447"/>
        <v/>
      </c>
      <c r="AG1034" s="531" t="str">
        <f t="shared" ca="1" si="448"/>
        <v/>
      </c>
      <c r="AH1034" s="531" t="str">
        <f t="shared" ca="1" si="449"/>
        <v/>
      </c>
      <c r="AI1034" s="531" t="str">
        <f t="shared" ca="1" si="450"/>
        <v/>
      </c>
      <c r="AJ1034" s="531" t="str">
        <f t="shared" si="451"/>
        <v/>
      </c>
      <c r="AK1034" s="540">
        <f>SUMIFS('Live Collections'!$S:$S,'Live Collections'!$D:$D,Disbursements!B1034,'Live Collections'!$G:$G,Disbursements!C1034)</f>
        <v>0</v>
      </c>
      <c r="AL1034" s="540">
        <f>SUMIFS('Live Collections'!$T:$T,'Live Collections'!$D:$D,Disbursements!B1034,'Live Collections'!$G:$G,Disbursements!C1034)</f>
        <v>0</v>
      </c>
      <c r="AM1034" s="541">
        <f t="shared" si="452"/>
        <v>0</v>
      </c>
      <c r="AN1034" s="542" t="str">
        <f t="shared" si="453"/>
        <v/>
      </c>
      <c r="AO1034" s="542" t="str">
        <f t="shared" si="454"/>
        <v/>
      </c>
      <c r="AP1034" s="543" t="str">
        <f t="shared" si="455"/>
        <v/>
      </c>
      <c r="AQ1034" s="544" t="str">
        <f t="shared" si="456"/>
        <v/>
      </c>
      <c r="AR1034" s="545">
        <f t="shared" si="457"/>
        <v>0</v>
      </c>
      <c r="AS1034" s="545">
        <f>IFERROR(CEILING($AR1034*VLOOKUP($I1034,Ref!$B$23:$E$29,4,0),1),0)</f>
        <v>0</v>
      </c>
      <c r="AT1034" s="545" t="str">
        <f>IF(A1034="","",IF(AP1034&lt;=1,"Cleared",IF(AS1034=0,"Clean",VLOOKUP($AS1034,Ref!$G$23:$H$28,2))))</f>
        <v/>
      </c>
      <c r="AU1034" s="546" t="str">
        <f t="shared" si="458"/>
        <v/>
      </c>
    </row>
    <row r="1035" spans="1:47" ht="14.25" hidden="1" customHeight="1" x14ac:dyDescent="0.15">
      <c r="A1035" s="523"/>
      <c r="B1035" s="523"/>
      <c r="C1035" s="523"/>
      <c r="D1035" s="523"/>
      <c r="E1035" s="579"/>
      <c r="F1035" s="580"/>
      <c r="G1035" s="524"/>
      <c r="H1035" s="555"/>
      <c r="I1035" s="560"/>
      <c r="J1035" s="523"/>
      <c r="K1035" s="528" t="str">
        <f>IFERROR(VLOOKUP($B1035,'Clients-Live'!$A:$C,3,0),"")</f>
        <v/>
      </c>
      <c r="L1035" s="528">
        <f>IF(E1035="STL",Pricing!$D$38,IF(A1035="",0,IF(A1035&lt;Pricing!$C$25,Pricing!$D$25,VLOOKUP(Disbursements!$F1035,Pricing!$B$29:$D$32,3))))</f>
        <v>0</v>
      </c>
      <c r="M1035" s="528">
        <f>IF(E1035="STL",0,IF(F1035&gt;0,Pricing!$D$21,0))</f>
        <v>0</v>
      </c>
      <c r="N1035" s="529">
        <f>IF(E1035="STL",F1035*Pricing!$D$40,IF(A1035&lt;=Pricing!$C$4,0,IF(AND(A1035&gt;Pricing!$C$4,Disbursements!A1035&lt;=Pricing!$C$5),F1035*Pricing!$E$5,IF(AND(A1035&gt;Pricing!$C$5,Disbursements!A1035&lt;=Pricing!$C$7),VLOOKUP(F1035,Pricing!$D$7:$E$8,2)*Disbursements!F1035,F1035*Pricing!$E$9))))</f>
        <v>0</v>
      </c>
      <c r="O1035" s="528">
        <f>IF(E1035="STL",0,IF($F1035&gt;0,$F1035*Pricing!$D$17,0))</f>
        <v>0</v>
      </c>
      <c r="P1035" s="530" t="str">
        <f t="shared" si="438"/>
        <v/>
      </c>
      <c r="Q1035" s="531" t="str">
        <f>IF($A1035="","",$G1035/VLOOKUP($I1035,Ref!$B$23:$D$29,2,0))</f>
        <v/>
      </c>
      <c r="R1035" s="530" t="str">
        <f t="shared" si="439"/>
        <v/>
      </c>
      <c r="S1035" s="532" t="str">
        <f t="shared" si="433"/>
        <v/>
      </c>
      <c r="T1035" s="531" t="str">
        <f t="shared" si="440"/>
        <v/>
      </c>
      <c r="U1035" s="533">
        <f t="shared" si="441"/>
        <v>0</v>
      </c>
      <c r="V1035" s="531" t="str">
        <f t="shared" si="442"/>
        <v/>
      </c>
      <c r="W1035" s="531" t="str">
        <f t="shared" si="443"/>
        <v/>
      </c>
      <c r="X1035" s="534" t="str">
        <f t="shared" si="444"/>
        <v/>
      </c>
      <c r="Y1035" s="535" t="str">
        <f>IF($A1035="","",IF($I1035="weekly",$A1035+7,EDATE($A1035,VLOOKUP($I1035,Ref!$B$24:$C$29,2,0))))</f>
        <v/>
      </c>
      <c r="Z1035" s="536" t="str">
        <f t="shared" si="445"/>
        <v/>
      </c>
      <c r="AA1035" s="531">
        <f t="shared" si="446"/>
        <v>0</v>
      </c>
      <c r="AB1035" s="535" t="str">
        <f t="shared" si="434"/>
        <v/>
      </c>
      <c r="AC1035" s="537" t="str">
        <f t="shared" si="435"/>
        <v/>
      </c>
      <c r="AD1035" s="538" t="str">
        <f t="shared" ca="1" si="436"/>
        <v/>
      </c>
      <c r="AE1035" s="537">
        <f t="shared" ca="1" si="437"/>
        <v>0</v>
      </c>
      <c r="AF1035" s="539" t="str">
        <f t="shared" ca="1" si="447"/>
        <v/>
      </c>
      <c r="AG1035" s="531" t="str">
        <f t="shared" ca="1" si="448"/>
        <v/>
      </c>
      <c r="AH1035" s="531" t="str">
        <f t="shared" ca="1" si="449"/>
        <v/>
      </c>
      <c r="AI1035" s="531" t="str">
        <f t="shared" ca="1" si="450"/>
        <v/>
      </c>
      <c r="AJ1035" s="531" t="str">
        <f t="shared" si="451"/>
        <v/>
      </c>
      <c r="AK1035" s="540">
        <f>SUMIFS('Live Collections'!$S:$S,'Live Collections'!$D:$D,Disbursements!B1035,'Live Collections'!$G:$G,Disbursements!C1035)</f>
        <v>0</v>
      </c>
      <c r="AL1035" s="540">
        <f>SUMIFS('Live Collections'!$T:$T,'Live Collections'!$D:$D,Disbursements!B1035,'Live Collections'!$G:$G,Disbursements!C1035)</f>
        <v>0</v>
      </c>
      <c r="AM1035" s="541">
        <f t="shared" si="452"/>
        <v>0</v>
      </c>
      <c r="AN1035" s="542" t="str">
        <f t="shared" si="453"/>
        <v/>
      </c>
      <c r="AO1035" s="542" t="str">
        <f t="shared" si="454"/>
        <v/>
      </c>
      <c r="AP1035" s="543" t="str">
        <f t="shared" si="455"/>
        <v/>
      </c>
      <c r="AQ1035" s="544" t="str">
        <f t="shared" si="456"/>
        <v/>
      </c>
      <c r="AR1035" s="545">
        <f t="shared" si="457"/>
        <v>0</v>
      </c>
      <c r="AS1035" s="545">
        <f>IFERROR(CEILING($AR1035*VLOOKUP($I1035,Ref!$B$23:$E$29,4,0),1),0)</f>
        <v>0</v>
      </c>
      <c r="AT1035" s="545" t="str">
        <f>IF(A1035="","",IF(AP1035&lt;=1,"Cleared",IF(AS1035=0,"Clean",VLOOKUP($AS1035,Ref!$G$23:$H$28,2))))</f>
        <v/>
      </c>
      <c r="AU1035" s="546" t="str">
        <f t="shared" si="458"/>
        <v/>
      </c>
    </row>
    <row r="1036" spans="1:47" ht="14.25" hidden="1" customHeight="1" x14ac:dyDescent="0.15">
      <c r="A1036" s="523"/>
      <c r="B1036" s="523"/>
      <c r="C1036" s="523"/>
      <c r="D1036" s="523"/>
      <c r="E1036" s="579"/>
      <c r="F1036" s="580"/>
      <c r="G1036" s="524"/>
      <c r="H1036" s="555"/>
      <c r="I1036" s="560"/>
      <c r="J1036" s="523"/>
      <c r="K1036" s="528" t="str">
        <f>IFERROR(VLOOKUP($B1036,'Clients-Live'!$A:$C,3,0),"")</f>
        <v/>
      </c>
      <c r="L1036" s="528">
        <f>IF(E1036="STL",Pricing!$D$38,IF(A1036="",0,IF(A1036&lt;Pricing!$C$25,Pricing!$D$25,VLOOKUP(Disbursements!$F1036,Pricing!$B$29:$D$32,3))))</f>
        <v>0</v>
      </c>
      <c r="M1036" s="528">
        <f>IF(E1036="STL",0,IF(F1036&gt;0,Pricing!$D$21,0))</f>
        <v>0</v>
      </c>
      <c r="N1036" s="529">
        <f>IF(E1036="STL",F1036*Pricing!$D$40,IF(A1036&lt;=Pricing!$C$4,0,IF(AND(A1036&gt;Pricing!$C$4,Disbursements!A1036&lt;=Pricing!$C$5),F1036*Pricing!$E$5,IF(AND(A1036&gt;Pricing!$C$5,Disbursements!A1036&lt;=Pricing!$C$7),VLOOKUP(F1036,Pricing!$D$7:$E$8,2)*Disbursements!F1036,F1036*Pricing!$E$9))))</f>
        <v>0</v>
      </c>
      <c r="O1036" s="528">
        <f>IF(E1036="STL",0,IF($F1036&gt;0,$F1036*Pricing!$D$17,0))</f>
        <v>0</v>
      </c>
      <c r="P1036" s="530" t="str">
        <f t="shared" si="438"/>
        <v/>
      </c>
      <c r="Q1036" s="531" t="str">
        <f>IF($A1036="","",$G1036/VLOOKUP($I1036,Ref!$B$23:$D$29,2,0))</f>
        <v/>
      </c>
      <c r="R1036" s="530" t="str">
        <f t="shared" si="439"/>
        <v/>
      </c>
      <c r="S1036" s="532" t="str">
        <f t="shared" si="433"/>
        <v/>
      </c>
      <c r="T1036" s="531" t="str">
        <f t="shared" si="440"/>
        <v/>
      </c>
      <c r="U1036" s="533">
        <f t="shared" si="441"/>
        <v>0</v>
      </c>
      <c r="V1036" s="531" t="str">
        <f t="shared" si="442"/>
        <v/>
      </c>
      <c r="W1036" s="531" t="str">
        <f t="shared" si="443"/>
        <v/>
      </c>
      <c r="X1036" s="534" t="str">
        <f t="shared" si="444"/>
        <v/>
      </c>
      <c r="Y1036" s="535" t="str">
        <f>IF($A1036="","",IF($I1036="weekly",$A1036+7,EDATE($A1036,VLOOKUP($I1036,Ref!$B$24:$C$29,2,0))))</f>
        <v/>
      </c>
      <c r="Z1036" s="536" t="str">
        <f t="shared" si="445"/>
        <v/>
      </c>
      <c r="AA1036" s="531">
        <f t="shared" si="446"/>
        <v>0</v>
      </c>
      <c r="AB1036" s="535" t="str">
        <f t="shared" si="434"/>
        <v/>
      </c>
      <c r="AC1036" s="537" t="str">
        <f t="shared" si="435"/>
        <v/>
      </c>
      <c r="AD1036" s="538" t="str">
        <f t="shared" ca="1" si="436"/>
        <v/>
      </c>
      <c r="AE1036" s="537">
        <f t="shared" ca="1" si="437"/>
        <v>0</v>
      </c>
      <c r="AF1036" s="539" t="str">
        <f t="shared" ca="1" si="447"/>
        <v/>
      </c>
      <c r="AG1036" s="531" t="str">
        <f t="shared" ca="1" si="448"/>
        <v/>
      </c>
      <c r="AH1036" s="531" t="str">
        <f t="shared" ca="1" si="449"/>
        <v/>
      </c>
      <c r="AI1036" s="531" t="str">
        <f t="shared" ca="1" si="450"/>
        <v/>
      </c>
      <c r="AJ1036" s="531" t="str">
        <f t="shared" si="451"/>
        <v/>
      </c>
      <c r="AK1036" s="540">
        <f>SUMIFS('Live Collections'!$S:$S,'Live Collections'!$D:$D,Disbursements!B1036,'Live Collections'!$G:$G,Disbursements!C1036)</f>
        <v>0</v>
      </c>
      <c r="AL1036" s="540">
        <f>SUMIFS('Live Collections'!$T:$T,'Live Collections'!$D:$D,Disbursements!B1036,'Live Collections'!$G:$G,Disbursements!C1036)</f>
        <v>0</v>
      </c>
      <c r="AM1036" s="541">
        <f t="shared" si="452"/>
        <v>0</v>
      </c>
      <c r="AN1036" s="542" t="str">
        <f t="shared" si="453"/>
        <v/>
      </c>
      <c r="AO1036" s="542" t="str">
        <f t="shared" si="454"/>
        <v/>
      </c>
      <c r="AP1036" s="543" t="str">
        <f t="shared" si="455"/>
        <v/>
      </c>
      <c r="AQ1036" s="544" t="str">
        <f t="shared" si="456"/>
        <v/>
      </c>
      <c r="AR1036" s="545">
        <f t="shared" si="457"/>
        <v>0</v>
      </c>
      <c r="AS1036" s="545">
        <f>IFERROR(CEILING($AR1036*VLOOKUP($I1036,Ref!$B$23:$E$29,4,0),1),0)</f>
        <v>0</v>
      </c>
      <c r="AT1036" s="545" t="str">
        <f>IF(A1036="","",IF(AP1036&lt;=1,"Cleared",IF(AS1036=0,"Clean",VLOOKUP($AS1036,Ref!$G$23:$H$28,2))))</f>
        <v/>
      </c>
      <c r="AU1036" s="546" t="str">
        <f t="shared" si="458"/>
        <v/>
      </c>
    </row>
    <row r="1037" spans="1:47" ht="14.25" hidden="1" customHeight="1" x14ac:dyDescent="0.15">
      <c r="A1037" s="523"/>
      <c r="B1037" s="523"/>
      <c r="C1037" s="523"/>
      <c r="D1037" s="523"/>
      <c r="E1037" s="579"/>
      <c r="F1037" s="580"/>
      <c r="G1037" s="524"/>
      <c r="H1037" s="555"/>
      <c r="I1037" s="560"/>
      <c r="J1037" s="523"/>
      <c r="K1037" s="528" t="str">
        <f>IFERROR(VLOOKUP($B1037,'Clients-Live'!$A:$C,3,0),"")</f>
        <v/>
      </c>
      <c r="L1037" s="528">
        <f>IF(E1037="STL",Pricing!$D$38,IF(A1037="",0,IF(A1037&lt;Pricing!$C$25,Pricing!$D$25,VLOOKUP(Disbursements!$F1037,Pricing!$B$29:$D$32,3))))</f>
        <v>0</v>
      </c>
      <c r="M1037" s="528">
        <f>IF(E1037="STL",0,IF(F1037&gt;0,Pricing!$D$21,0))</f>
        <v>0</v>
      </c>
      <c r="N1037" s="529">
        <f>IF(E1037="STL",F1037*Pricing!$D$40,IF(A1037&lt;=Pricing!$C$4,0,IF(AND(A1037&gt;Pricing!$C$4,Disbursements!A1037&lt;=Pricing!$C$5),F1037*Pricing!$E$5,IF(AND(A1037&gt;Pricing!$C$5,Disbursements!A1037&lt;=Pricing!$C$7),VLOOKUP(F1037,Pricing!$D$7:$E$8,2)*Disbursements!F1037,F1037*Pricing!$E$9))))</f>
        <v>0</v>
      </c>
      <c r="O1037" s="528">
        <f>IF(E1037="STL",0,IF($F1037&gt;0,$F1037*Pricing!$D$17,0))</f>
        <v>0</v>
      </c>
      <c r="P1037" s="530" t="str">
        <f t="shared" si="438"/>
        <v/>
      </c>
      <c r="Q1037" s="531" t="str">
        <f>IF($A1037="","",$G1037/VLOOKUP($I1037,Ref!$B$23:$D$29,2,0))</f>
        <v/>
      </c>
      <c r="R1037" s="530" t="str">
        <f t="shared" si="439"/>
        <v/>
      </c>
      <c r="S1037" s="532" t="str">
        <f t="shared" si="433"/>
        <v/>
      </c>
      <c r="T1037" s="531" t="str">
        <f t="shared" si="440"/>
        <v/>
      </c>
      <c r="U1037" s="533">
        <f t="shared" si="441"/>
        <v>0</v>
      </c>
      <c r="V1037" s="531" t="str">
        <f t="shared" si="442"/>
        <v/>
      </c>
      <c r="W1037" s="531" t="str">
        <f t="shared" si="443"/>
        <v/>
      </c>
      <c r="X1037" s="534" t="str">
        <f t="shared" si="444"/>
        <v/>
      </c>
      <c r="Y1037" s="535" t="str">
        <f>IF($A1037="","",IF($I1037="weekly",$A1037+7,EDATE($A1037,VLOOKUP($I1037,Ref!$B$24:$C$29,2,0))))</f>
        <v/>
      </c>
      <c r="Z1037" s="536" t="str">
        <f t="shared" si="445"/>
        <v/>
      </c>
      <c r="AA1037" s="531">
        <f t="shared" si="446"/>
        <v>0</v>
      </c>
      <c r="AB1037" s="535" t="str">
        <f t="shared" si="434"/>
        <v/>
      </c>
      <c r="AC1037" s="537" t="str">
        <f t="shared" si="435"/>
        <v/>
      </c>
      <c r="AD1037" s="538" t="str">
        <f t="shared" ca="1" si="436"/>
        <v/>
      </c>
      <c r="AE1037" s="537">
        <f t="shared" ca="1" si="437"/>
        <v>0</v>
      </c>
      <c r="AF1037" s="539" t="str">
        <f t="shared" ca="1" si="447"/>
        <v/>
      </c>
      <c r="AG1037" s="531" t="str">
        <f t="shared" ca="1" si="448"/>
        <v/>
      </c>
      <c r="AH1037" s="531" t="str">
        <f t="shared" ca="1" si="449"/>
        <v/>
      </c>
      <c r="AI1037" s="531" t="str">
        <f t="shared" ca="1" si="450"/>
        <v/>
      </c>
      <c r="AJ1037" s="531" t="str">
        <f t="shared" si="451"/>
        <v/>
      </c>
      <c r="AK1037" s="540">
        <f>SUMIFS('Live Collections'!$S:$S,'Live Collections'!$D:$D,Disbursements!B1037,'Live Collections'!$G:$G,Disbursements!C1037)</f>
        <v>0</v>
      </c>
      <c r="AL1037" s="540">
        <f>SUMIFS('Live Collections'!$T:$T,'Live Collections'!$D:$D,Disbursements!B1037,'Live Collections'!$G:$G,Disbursements!C1037)</f>
        <v>0</v>
      </c>
      <c r="AM1037" s="541">
        <f t="shared" si="452"/>
        <v>0</v>
      </c>
      <c r="AN1037" s="542" t="str">
        <f t="shared" si="453"/>
        <v/>
      </c>
      <c r="AO1037" s="542" t="str">
        <f t="shared" si="454"/>
        <v/>
      </c>
      <c r="AP1037" s="543" t="str">
        <f t="shared" si="455"/>
        <v/>
      </c>
      <c r="AQ1037" s="544" t="str">
        <f t="shared" si="456"/>
        <v/>
      </c>
      <c r="AR1037" s="545">
        <f t="shared" si="457"/>
        <v>0</v>
      </c>
      <c r="AS1037" s="545">
        <f>IFERROR(CEILING($AR1037*VLOOKUP($I1037,Ref!$B$23:$E$29,4,0),1),0)</f>
        <v>0</v>
      </c>
      <c r="AT1037" s="545" t="str">
        <f>IF(A1037="","",IF(AP1037&lt;=1,"Cleared",IF(AS1037=0,"Clean",VLOOKUP($AS1037,Ref!$G$23:$H$28,2))))</f>
        <v/>
      </c>
      <c r="AU1037" s="546" t="str">
        <f t="shared" si="458"/>
        <v/>
      </c>
    </row>
    <row r="1038" spans="1:47" ht="14.25" hidden="1" customHeight="1" x14ac:dyDescent="0.15">
      <c r="A1038" s="523"/>
      <c r="B1038" s="523"/>
      <c r="C1038" s="523"/>
      <c r="D1038" s="523"/>
      <c r="E1038" s="579"/>
      <c r="F1038" s="580"/>
      <c r="G1038" s="524"/>
      <c r="H1038" s="555"/>
      <c r="I1038" s="560"/>
      <c r="J1038" s="523"/>
      <c r="K1038" s="528" t="str">
        <f>IFERROR(VLOOKUP($B1038,'Clients-Live'!$A:$C,3,0),"")</f>
        <v/>
      </c>
      <c r="L1038" s="528">
        <f>IF(E1038="STL",Pricing!$D$38,IF(A1038="",0,IF(A1038&lt;Pricing!$C$25,Pricing!$D$25,VLOOKUP(Disbursements!$F1038,Pricing!$B$29:$D$32,3))))</f>
        <v>0</v>
      </c>
      <c r="M1038" s="528">
        <f>IF(E1038="STL",0,IF(F1038&gt;0,Pricing!$D$21,0))</f>
        <v>0</v>
      </c>
      <c r="N1038" s="529">
        <f>IF(E1038="STL",F1038*Pricing!$D$40,IF(A1038&lt;=Pricing!$C$4,0,IF(AND(A1038&gt;Pricing!$C$4,Disbursements!A1038&lt;=Pricing!$C$5),F1038*Pricing!$E$5,IF(AND(A1038&gt;Pricing!$C$5,Disbursements!A1038&lt;=Pricing!$C$7),VLOOKUP(F1038,Pricing!$D$7:$E$8,2)*Disbursements!F1038,F1038*Pricing!$E$9))))</f>
        <v>0</v>
      </c>
      <c r="O1038" s="528">
        <f>IF(E1038="STL",0,IF($F1038&gt;0,$F1038*Pricing!$D$17,0))</f>
        <v>0</v>
      </c>
      <c r="P1038" s="530" t="str">
        <f t="shared" si="438"/>
        <v/>
      </c>
      <c r="Q1038" s="531" t="str">
        <f>IF($A1038="","",$G1038/VLOOKUP($I1038,Ref!$B$23:$D$29,2,0))</f>
        <v/>
      </c>
      <c r="R1038" s="530" t="str">
        <f t="shared" si="439"/>
        <v/>
      </c>
      <c r="S1038" s="532" t="str">
        <f t="shared" si="433"/>
        <v/>
      </c>
      <c r="T1038" s="531" t="str">
        <f t="shared" si="440"/>
        <v/>
      </c>
      <c r="U1038" s="533">
        <f t="shared" si="441"/>
        <v>0</v>
      </c>
      <c r="V1038" s="531" t="str">
        <f t="shared" si="442"/>
        <v/>
      </c>
      <c r="W1038" s="531" t="str">
        <f t="shared" si="443"/>
        <v/>
      </c>
      <c r="X1038" s="534" t="str">
        <f t="shared" si="444"/>
        <v/>
      </c>
      <c r="Y1038" s="535" t="str">
        <f>IF($A1038="","",IF($I1038="weekly",$A1038+7,EDATE($A1038,VLOOKUP($I1038,Ref!$B$24:$C$29,2,0))))</f>
        <v/>
      </c>
      <c r="Z1038" s="536" t="str">
        <f t="shared" si="445"/>
        <v/>
      </c>
      <c r="AA1038" s="531">
        <f t="shared" si="446"/>
        <v>0</v>
      </c>
      <c r="AB1038" s="535" t="str">
        <f t="shared" si="434"/>
        <v/>
      </c>
      <c r="AC1038" s="537" t="str">
        <f t="shared" si="435"/>
        <v/>
      </c>
      <c r="AD1038" s="538" t="str">
        <f t="shared" ca="1" si="436"/>
        <v/>
      </c>
      <c r="AE1038" s="537">
        <f t="shared" ca="1" si="437"/>
        <v>0</v>
      </c>
      <c r="AF1038" s="539" t="str">
        <f t="shared" ca="1" si="447"/>
        <v/>
      </c>
      <c r="AG1038" s="531" t="str">
        <f t="shared" ca="1" si="448"/>
        <v/>
      </c>
      <c r="AH1038" s="531" t="str">
        <f t="shared" ca="1" si="449"/>
        <v/>
      </c>
      <c r="AI1038" s="531" t="str">
        <f t="shared" ca="1" si="450"/>
        <v/>
      </c>
      <c r="AJ1038" s="531" t="str">
        <f t="shared" si="451"/>
        <v/>
      </c>
      <c r="AK1038" s="540">
        <f>SUMIFS('Live Collections'!$S:$S,'Live Collections'!$D:$D,Disbursements!B1038,'Live Collections'!$G:$G,Disbursements!C1038)</f>
        <v>0</v>
      </c>
      <c r="AL1038" s="540">
        <f>SUMIFS('Live Collections'!$T:$T,'Live Collections'!$D:$D,Disbursements!B1038,'Live Collections'!$G:$G,Disbursements!C1038)</f>
        <v>0</v>
      </c>
      <c r="AM1038" s="541">
        <f t="shared" si="452"/>
        <v>0</v>
      </c>
      <c r="AN1038" s="542" t="str">
        <f t="shared" si="453"/>
        <v/>
      </c>
      <c r="AO1038" s="542" t="str">
        <f t="shared" si="454"/>
        <v/>
      </c>
      <c r="AP1038" s="543" t="str">
        <f t="shared" si="455"/>
        <v/>
      </c>
      <c r="AQ1038" s="544" t="str">
        <f t="shared" si="456"/>
        <v/>
      </c>
      <c r="AR1038" s="545">
        <f t="shared" si="457"/>
        <v>0</v>
      </c>
      <c r="AS1038" s="545">
        <f>IFERROR(CEILING($AR1038*VLOOKUP($I1038,Ref!$B$23:$E$29,4,0),1),0)</f>
        <v>0</v>
      </c>
      <c r="AT1038" s="545" t="str">
        <f>IF(A1038="","",IF(AP1038&lt;=1,"Cleared",IF(AS1038=0,"Clean",VLOOKUP($AS1038,Ref!$G$23:$H$28,2))))</f>
        <v/>
      </c>
      <c r="AU1038" s="546" t="str">
        <f t="shared" si="458"/>
        <v/>
      </c>
    </row>
    <row r="1039" spans="1:47" ht="14.25" hidden="1" customHeight="1" x14ac:dyDescent="0.15">
      <c r="A1039" s="523"/>
      <c r="B1039" s="523"/>
      <c r="C1039" s="523"/>
      <c r="D1039" s="523"/>
      <c r="E1039" s="579"/>
      <c r="F1039" s="580"/>
      <c r="G1039" s="524"/>
      <c r="H1039" s="555"/>
      <c r="I1039" s="560"/>
      <c r="J1039" s="523"/>
      <c r="K1039" s="528" t="str">
        <f>IFERROR(VLOOKUP($B1039,'Clients-Live'!$A:$C,3,0),"")</f>
        <v/>
      </c>
      <c r="L1039" s="528">
        <f>IF(E1039="STL",Pricing!$D$38,IF(A1039="",0,IF(A1039&lt;Pricing!$C$25,Pricing!$D$25,VLOOKUP(Disbursements!$F1039,Pricing!$B$29:$D$32,3))))</f>
        <v>0</v>
      </c>
      <c r="M1039" s="528">
        <f>IF(E1039="STL",0,IF(F1039&gt;0,Pricing!$D$21,0))</f>
        <v>0</v>
      </c>
      <c r="N1039" s="529">
        <f>IF(E1039="STL",F1039*Pricing!$D$40,IF(A1039&lt;=Pricing!$C$4,0,IF(AND(A1039&gt;Pricing!$C$4,Disbursements!A1039&lt;=Pricing!$C$5),F1039*Pricing!$E$5,IF(AND(A1039&gt;Pricing!$C$5,Disbursements!A1039&lt;=Pricing!$C$7),VLOOKUP(F1039,Pricing!$D$7:$E$8,2)*Disbursements!F1039,F1039*Pricing!$E$9))))</f>
        <v>0</v>
      </c>
      <c r="O1039" s="528">
        <f>IF(E1039="STL",0,IF($F1039&gt;0,$F1039*Pricing!$D$17,0))</f>
        <v>0</v>
      </c>
      <c r="P1039" s="530" t="str">
        <f t="shared" si="438"/>
        <v/>
      </c>
      <c r="Q1039" s="531" t="str">
        <f>IF($A1039="","",$G1039/VLOOKUP($I1039,Ref!$B$23:$D$29,2,0))</f>
        <v/>
      </c>
      <c r="R1039" s="530" t="str">
        <f t="shared" si="439"/>
        <v/>
      </c>
      <c r="S1039" s="532" t="str">
        <f t="shared" si="433"/>
        <v/>
      </c>
      <c r="T1039" s="531" t="str">
        <f t="shared" si="440"/>
        <v/>
      </c>
      <c r="U1039" s="533">
        <f t="shared" si="441"/>
        <v>0</v>
      </c>
      <c r="V1039" s="531" t="str">
        <f t="shared" si="442"/>
        <v/>
      </c>
      <c r="W1039" s="531" t="str">
        <f t="shared" si="443"/>
        <v/>
      </c>
      <c r="X1039" s="534" t="str">
        <f t="shared" si="444"/>
        <v/>
      </c>
      <c r="Y1039" s="535" t="str">
        <f>IF($A1039="","",IF($I1039="weekly",$A1039+7,EDATE($A1039,VLOOKUP($I1039,Ref!$B$24:$C$29,2,0))))</f>
        <v/>
      </c>
      <c r="Z1039" s="536" t="str">
        <f t="shared" si="445"/>
        <v/>
      </c>
      <c r="AA1039" s="531">
        <f t="shared" si="446"/>
        <v>0</v>
      </c>
      <c r="AB1039" s="535" t="str">
        <f t="shared" si="434"/>
        <v/>
      </c>
      <c r="AC1039" s="537" t="str">
        <f t="shared" si="435"/>
        <v/>
      </c>
      <c r="AD1039" s="538" t="str">
        <f t="shared" ca="1" si="436"/>
        <v/>
      </c>
      <c r="AE1039" s="537">
        <f t="shared" ca="1" si="437"/>
        <v>0</v>
      </c>
      <c r="AF1039" s="539" t="str">
        <f t="shared" ca="1" si="447"/>
        <v/>
      </c>
      <c r="AG1039" s="531" t="str">
        <f t="shared" ca="1" si="448"/>
        <v/>
      </c>
      <c r="AH1039" s="531" t="str">
        <f t="shared" ca="1" si="449"/>
        <v/>
      </c>
      <c r="AI1039" s="531" t="str">
        <f t="shared" ca="1" si="450"/>
        <v/>
      </c>
      <c r="AJ1039" s="531" t="str">
        <f t="shared" si="451"/>
        <v/>
      </c>
      <c r="AK1039" s="540">
        <f>SUMIFS('Live Collections'!$S:$S,'Live Collections'!$D:$D,Disbursements!B1039,'Live Collections'!$G:$G,Disbursements!C1039)</f>
        <v>0</v>
      </c>
      <c r="AL1039" s="540">
        <f>SUMIFS('Live Collections'!$T:$T,'Live Collections'!$D:$D,Disbursements!B1039,'Live Collections'!$G:$G,Disbursements!C1039)</f>
        <v>0</v>
      </c>
      <c r="AM1039" s="541">
        <f t="shared" si="452"/>
        <v>0</v>
      </c>
      <c r="AN1039" s="542" t="str">
        <f t="shared" si="453"/>
        <v/>
      </c>
      <c r="AO1039" s="542" t="str">
        <f t="shared" si="454"/>
        <v/>
      </c>
      <c r="AP1039" s="543" t="str">
        <f t="shared" si="455"/>
        <v/>
      </c>
      <c r="AQ1039" s="544" t="str">
        <f t="shared" si="456"/>
        <v/>
      </c>
      <c r="AR1039" s="545">
        <f t="shared" si="457"/>
        <v>0</v>
      </c>
      <c r="AS1039" s="545">
        <f>IFERROR(CEILING($AR1039*VLOOKUP($I1039,Ref!$B$23:$E$29,4,0),1),0)</f>
        <v>0</v>
      </c>
      <c r="AT1039" s="545" t="str">
        <f>IF(A1039="","",IF(AP1039&lt;=1,"Cleared",IF(AS1039=0,"Clean",VLOOKUP($AS1039,Ref!$G$23:$H$28,2))))</f>
        <v/>
      </c>
      <c r="AU1039" s="546" t="str">
        <f t="shared" si="458"/>
        <v/>
      </c>
    </row>
    <row r="1040" spans="1:47" ht="14.25" hidden="1" customHeight="1" x14ac:dyDescent="0.15">
      <c r="A1040" s="523"/>
      <c r="B1040" s="523"/>
      <c r="C1040" s="523"/>
      <c r="D1040" s="523"/>
      <c r="E1040" s="579"/>
      <c r="F1040" s="580"/>
      <c r="G1040" s="524"/>
      <c r="H1040" s="555"/>
      <c r="I1040" s="560"/>
      <c r="J1040" s="523"/>
      <c r="K1040" s="528" t="str">
        <f>IFERROR(VLOOKUP($B1040,'Clients-Live'!$A:$C,3,0),"")</f>
        <v/>
      </c>
      <c r="L1040" s="528">
        <f>IF(E1040="STL",Pricing!$D$38,IF(A1040="",0,IF(A1040&lt;Pricing!$C$25,Pricing!$D$25,VLOOKUP(Disbursements!$F1040,Pricing!$B$29:$D$32,3))))</f>
        <v>0</v>
      </c>
      <c r="M1040" s="528">
        <f>IF(E1040="STL",0,IF(F1040&gt;0,Pricing!$D$21,0))</f>
        <v>0</v>
      </c>
      <c r="N1040" s="529">
        <f>IF(E1040="STL",F1040*Pricing!$D$40,IF(A1040&lt;=Pricing!$C$4,0,IF(AND(A1040&gt;Pricing!$C$4,Disbursements!A1040&lt;=Pricing!$C$5),F1040*Pricing!$E$5,IF(AND(A1040&gt;Pricing!$C$5,Disbursements!A1040&lt;=Pricing!$C$7),VLOOKUP(F1040,Pricing!$D$7:$E$8,2)*Disbursements!F1040,F1040*Pricing!$E$9))))</f>
        <v>0</v>
      </c>
      <c r="O1040" s="528">
        <f>IF(E1040="STL",0,IF($F1040&gt;0,$F1040*Pricing!$D$17,0))</f>
        <v>0</v>
      </c>
      <c r="P1040" s="530" t="str">
        <f t="shared" si="438"/>
        <v/>
      </c>
      <c r="Q1040" s="531" t="str">
        <f>IF($A1040="","",$G1040/VLOOKUP($I1040,Ref!$B$23:$D$29,2,0))</f>
        <v/>
      </c>
      <c r="R1040" s="530" t="str">
        <f t="shared" si="439"/>
        <v/>
      </c>
      <c r="S1040" s="532" t="str">
        <f t="shared" si="433"/>
        <v/>
      </c>
      <c r="T1040" s="531" t="str">
        <f t="shared" si="440"/>
        <v/>
      </c>
      <c r="U1040" s="533">
        <f t="shared" si="441"/>
        <v>0</v>
      </c>
      <c r="V1040" s="531" t="str">
        <f t="shared" si="442"/>
        <v/>
      </c>
      <c r="W1040" s="531" t="str">
        <f t="shared" si="443"/>
        <v/>
      </c>
      <c r="X1040" s="534" t="str">
        <f t="shared" si="444"/>
        <v/>
      </c>
      <c r="Y1040" s="535" t="str">
        <f>IF($A1040="","",IF($I1040="weekly",$A1040+7,EDATE($A1040,VLOOKUP($I1040,Ref!$B$24:$C$29,2,0))))</f>
        <v/>
      </c>
      <c r="Z1040" s="536" t="str">
        <f t="shared" si="445"/>
        <v/>
      </c>
      <c r="AA1040" s="531">
        <f t="shared" si="446"/>
        <v>0</v>
      </c>
      <c r="AB1040" s="535" t="str">
        <f t="shared" si="434"/>
        <v/>
      </c>
      <c r="AC1040" s="537" t="str">
        <f t="shared" si="435"/>
        <v/>
      </c>
      <c r="AD1040" s="538" t="str">
        <f t="shared" ca="1" si="436"/>
        <v/>
      </c>
      <c r="AE1040" s="537">
        <f t="shared" ca="1" si="437"/>
        <v>0</v>
      </c>
      <c r="AF1040" s="539" t="str">
        <f t="shared" ca="1" si="447"/>
        <v/>
      </c>
      <c r="AG1040" s="531" t="str">
        <f t="shared" ca="1" si="448"/>
        <v/>
      </c>
      <c r="AH1040" s="531" t="str">
        <f t="shared" ca="1" si="449"/>
        <v/>
      </c>
      <c r="AI1040" s="531" t="str">
        <f t="shared" ca="1" si="450"/>
        <v/>
      </c>
      <c r="AJ1040" s="531" t="str">
        <f t="shared" si="451"/>
        <v/>
      </c>
      <c r="AK1040" s="540">
        <f>SUMIFS('Live Collections'!$S:$S,'Live Collections'!$D:$D,Disbursements!B1040,'Live Collections'!$G:$G,Disbursements!C1040)</f>
        <v>0</v>
      </c>
      <c r="AL1040" s="540">
        <f>SUMIFS('Live Collections'!$T:$T,'Live Collections'!$D:$D,Disbursements!B1040,'Live Collections'!$G:$G,Disbursements!C1040)</f>
        <v>0</v>
      </c>
      <c r="AM1040" s="541">
        <f t="shared" si="452"/>
        <v>0</v>
      </c>
      <c r="AN1040" s="542" t="str">
        <f t="shared" si="453"/>
        <v/>
      </c>
      <c r="AO1040" s="542" t="str">
        <f t="shared" si="454"/>
        <v/>
      </c>
      <c r="AP1040" s="543" t="str">
        <f t="shared" si="455"/>
        <v/>
      </c>
      <c r="AQ1040" s="544" t="str">
        <f t="shared" si="456"/>
        <v/>
      </c>
      <c r="AR1040" s="545">
        <f t="shared" si="457"/>
        <v>0</v>
      </c>
      <c r="AS1040" s="545">
        <f>IFERROR(CEILING($AR1040*VLOOKUP($I1040,Ref!$B$23:$E$29,4,0),1),0)</f>
        <v>0</v>
      </c>
      <c r="AT1040" s="545" t="str">
        <f>IF(A1040="","",IF(AP1040&lt;=1,"Cleared",IF(AS1040=0,"Clean",VLOOKUP($AS1040,Ref!$G$23:$H$28,2))))</f>
        <v/>
      </c>
      <c r="AU1040" s="546" t="str">
        <f t="shared" si="458"/>
        <v/>
      </c>
    </row>
    <row r="1041" spans="1:47" ht="14.25" hidden="1" customHeight="1" x14ac:dyDescent="0.15">
      <c r="A1041" s="523"/>
      <c r="B1041" s="523"/>
      <c r="C1041" s="523"/>
      <c r="D1041" s="523"/>
      <c r="E1041" s="579"/>
      <c r="F1041" s="580"/>
      <c r="G1041" s="524"/>
      <c r="H1041" s="555"/>
      <c r="I1041" s="560"/>
      <c r="J1041" s="523"/>
      <c r="K1041" s="528" t="str">
        <f>IFERROR(VLOOKUP($B1041,'Clients-Live'!$A:$C,3,0),"")</f>
        <v/>
      </c>
      <c r="L1041" s="528">
        <f>IF(E1041="STL",Pricing!$D$38,IF(A1041="",0,IF(A1041&lt;Pricing!$C$25,Pricing!$D$25,VLOOKUP(Disbursements!$F1041,Pricing!$B$29:$D$32,3))))</f>
        <v>0</v>
      </c>
      <c r="M1041" s="528">
        <f>IF(E1041="STL",0,IF(F1041&gt;0,Pricing!$D$21,0))</f>
        <v>0</v>
      </c>
      <c r="N1041" s="529">
        <f>IF(E1041="STL",F1041*Pricing!$D$40,IF(A1041&lt;=Pricing!$C$4,0,IF(AND(A1041&gt;Pricing!$C$4,Disbursements!A1041&lt;=Pricing!$C$5),F1041*Pricing!$E$5,IF(AND(A1041&gt;Pricing!$C$5,Disbursements!A1041&lt;=Pricing!$C$7),VLOOKUP(F1041,Pricing!$D$7:$E$8,2)*Disbursements!F1041,F1041*Pricing!$E$9))))</f>
        <v>0</v>
      </c>
      <c r="O1041" s="528">
        <f>IF(E1041="STL",0,IF($F1041&gt;0,$F1041*Pricing!$D$17,0))</f>
        <v>0</v>
      </c>
      <c r="P1041" s="530" t="str">
        <f t="shared" si="438"/>
        <v/>
      </c>
      <c r="Q1041" s="531" t="str">
        <f>IF($A1041="","",$G1041/VLOOKUP($I1041,Ref!$B$23:$D$29,2,0))</f>
        <v/>
      </c>
      <c r="R1041" s="530" t="str">
        <f t="shared" si="439"/>
        <v/>
      </c>
      <c r="S1041" s="532" t="str">
        <f t="shared" si="433"/>
        <v/>
      </c>
      <c r="T1041" s="531" t="str">
        <f t="shared" si="440"/>
        <v/>
      </c>
      <c r="U1041" s="533">
        <f t="shared" si="441"/>
        <v>0</v>
      </c>
      <c r="V1041" s="531" t="str">
        <f t="shared" si="442"/>
        <v/>
      </c>
      <c r="W1041" s="531" t="str">
        <f t="shared" si="443"/>
        <v/>
      </c>
      <c r="X1041" s="534" t="str">
        <f t="shared" si="444"/>
        <v/>
      </c>
      <c r="Y1041" s="535" t="str">
        <f>IF($A1041="","",IF($I1041="weekly",$A1041+7,EDATE($A1041,VLOOKUP($I1041,Ref!$B$24:$C$29,2,0))))</f>
        <v/>
      </c>
      <c r="Z1041" s="536" t="str">
        <f t="shared" si="445"/>
        <v/>
      </c>
      <c r="AA1041" s="531">
        <f t="shared" si="446"/>
        <v>0</v>
      </c>
      <c r="AB1041" s="535" t="str">
        <f t="shared" si="434"/>
        <v/>
      </c>
      <c r="AC1041" s="537" t="str">
        <f t="shared" si="435"/>
        <v/>
      </c>
      <c r="AD1041" s="538" t="str">
        <f t="shared" ca="1" si="436"/>
        <v/>
      </c>
      <c r="AE1041" s="537">
        <f t="shared" ca="1" si="437"/>
        <v>0</v>
      </c>
      <c r="AF1041" s="539" t="str">
        <f t="shared" ca="1" si="447"/>
        <v/>
      </c>
      <c r="AG1041" s="531" t="str">
        <f t="shared" ca="1" si="448"/>
        <v/>
      </c>
      <c r="AH1041" s="531" t="str">
        <f t="shared" ca="1" si="449"/>
        <v/>
      </c>
      <c r="AI1041" s="531" t="str">
        <f t="shared" ca="1" si="450"/>
        <v/>
      </c>
      <c r="AJ1041" s="531" t="str">
        <f t="shared" si="451"/>
        <v/>
      </c>
      <c r="AK1041" s="540">
        <f>SUMIFS('Live Collections'!$S:$S,'Live Collections'!$D:$D,Disbursements!B1041,'Live Collections'!$G:$G,Disbursements!C1041)</f>
        <v>0</v>
      </c>
      <c r="AL1041" s="540">
        <f>SUMIFS('Live Collections'!$T:$T,'Live Collections'!$D:$D,Disbursements!B1041,'Live Collections'!$G:$G,Disbursements!C1041)</f>
        <v>0</v>
      </c>
      <c r="AM1041" s="541">
        <f t="shared" si="452"/>
        <v>0</v>
      </c>
      <c r="AN1041" s="542" t="str">
        <f t="shared" si="453"/>
        <v/>
      </c>
      <c r="AO1041" s="542" t="str">
        <f t="shared" si="454"/>
        <v/>
      </c>
      <c r="AP1041" s="543" t="str">
        <f t="shared" si="455"/>
        <v/>
      </c>
      <c r="AQ1041" s="544" t="str">
        <f t="shared" si="456"/>
        <v/>
      </c>
      <c r="AR1041" s="545">
        <f t="shared" si="457"/>
        <v>0</v>
      </c>
      <c r="AS1041" s="545">
        <f>IFERROR(CEILING($AR1041*VLOOKUP($I1041,Ref!$B$23:$E$29,4,0),1),0)</f>
        <v>0</v>
      </c>
      <c r="AT1041" s="545" t="str">
        <f>IF(A1041="","",IF(AP1041&lt;=1,"Cleared",IF(AS1041=0,"Clean",VLOOKUP($AS1041,Ref!$G$23:$H$28,2))))</f>
        <v/>
      </c>
      <c r="AU1041" s="546" t="str">
        <f t="shared" si="458"/>
        <v/>
      </c>
    </row>
    <row r="1042" spans="1:47" ht="14.25" hidden="1" customHeight="1" x14ac:dyDescent="0.15">
      <c r="A1042" s="523"/>
      <c r="B1042" s="523"/>
      <c r="C1042" s="523"/>
      <c r="D1042" s="523"/>
      <c r="E1042" s="579"/>
      <c r="F1042" s="580"/>
      <c r="G1042" s="524"/>
      <c r="H1042" s="555"/>
      <c r="I1042" s="560"/>
      <c r="J1042" s="523"/>
      <c r="K1042" s="528" t="str">
        <f>IFERROR(VLOOKUP($B1042,'Clients-Live'!$A:$C,3,0),"")</f>
        <v/>
      </c>
      <c r="L1042" s="528">
        <f>IF(E1042="STL",Pricing!$D$38,IF(A1042="",0,IF(A1042&lt;Pricing!$C$25,Pricing!$D$25,VLOOKUP(Disbursements!$F1042,Pricing!$B$29:$D$32,3))))</f>
        <v>0</v>
      </c>
      <c r="M1042" s="528">
        <f>IF(E1042="STL",0,IF(F1042&gt;0,Pricing!$D$21,0))</f>
        <v>0</v>
      </c>
      <c r="N1042" s="529">
        <f>IF(E1042="STL",F1042*Pricing!$D$40,IF(A1042&lt;=Pricing!$C$4,0,IF(AND(A1042&gt;Pricing!$C$4,Disbursements!A1042&lt;=Pricing!$C$5),F1042*Pricing!$E$5,IF(AND(A1042&gt;Pricing!$C$5,Disbursements!A1042&lt;=Pricing!$C$7),VLOOKUP(F1042,Pricing!$D$7:$E$8,2)*Disbursements!F1042,F1042*Pricing!$E$9))))</f>
        <v>0</v>
      </c>
      <c r="O1042" s="528">
        <f>IF(E1042="STL",0,IF($F1042&gt;0,$F1042*Pricing!$D$17,0))</f>
        <v>0</v>
      </c>
      <c r="P1042" s="530" t="str">
        <f t="shared" si="438"/>
        <v/>
      </c>
      <c r="Q1042" s="531" t="str">
        <f>IF($A1042="","",$G1042/VLOOKUP($I1042,Ref!$B$23:$D$29,2,0))</f>
        <v/>
      </c>
      <c r="R1042" s="530" t="str">
        <f t="shared" si="439"/>
        <v/>
      </c>
      <c r="S1042" s="532" t="str">
        <f t="shared" si="433"/>
        <v/>
      </c>
      <c r="T1042" s="531" t="str">
        <f t="shared" si="440"/>
        <v/>
      </c>
      <c r="U1042" s="533">
        <f t="shared" si="441"/>
        <v>0</v>
      </c>
      <c r="V1042" s="531" t="str">
        <f t="shared" si="442"/>
        <v/>
      </c>
      <c r="W1042" s="531" t="str">
        <f t="shared" si="443"/>
        <v/>
      </c>
      <c r="X1042" s="534" t="str">
        <f t="shared" si="444"/>
        <v/>
      </c>
      <c r="Y1042" s="535" t="str">
        <f>IF($A1042="","",IF($I1042="weekly",$A1042+7,EDATE($A1042,VLOOKUP($I1042,Ref!$B$24:$C$29,2,0))))</f>
        <v/>
      </c>
      <c r="Z1042" s="536" t="str">
        <f t="shared" si="445"/>
        <v/>
      </c>
      <c r="AA1042" s="531">
        <f t="shared" si="446"/>
        <v>0</v>
      </c>
      <c r="AB1042" s="535" t="str">
        <f t="shared" si="434"/>
        <v/>
      </c>
      <c r="AC1042" s="537" t="str">
        <f t="shared" si="435"/>
        <v/>
      </c>
      <c r="AD1042" s="538" t="str">
        <f t="shared" ca="1" si="436"/>
        <v/>
      </c>
      <c r="AE1042" s="537">
        <f t="shared" ca="1" si="437"/>
        <v>0</v>
      </c>
      <c r="AF1042" s="539" t="str">
        <f t="shared" ca="1" si="447"/>
        <v/>
      </c>
      <c r="AG1042" s="531" t="str">
        <f t="shared" ca="1" si="448"/>
        <v/>
      </c>
      <c r="AH1042" s="531" t="str">
        <f t="shared" ca="1" si="449"/>
        <v/>
      </c>
      <c r="AI1042" s="531" t="str">
        <f t="shared" ca="1" si="450"/>
        <v/>
      </c>
      <c r="AJ1042" s="531" t="str">
        <f t="shared" si="451"/>
        <v/>
      </c>
      <c r="AK1042" s="540">
        <f>SUMIFS('Live Collections'!$S:$S,'Live Collections'!$D:$D,Disbursements!B1042,'Live Collections'!$G:$G,Disbursements!C1042)</f>
        <v>0</v>
      </c>
      <c r="AL1042" s="540">
        <f>SUMIFS('Live Collections'!$T:$T,'Live Collections'!$D:$D,Disbursements!B1042,'Live Collections'!$G:$G,Disbursements!C1042)</f>
        <v>0</v>
      </c>
      <c r="AM1042" s="541">
        <f t="shared" si="452"/>
        <v>0</v>
      </c>
      <c r="AN1042" s="542" t="str">
        <f t="shared" si="453"/>
        <v/>
      </c>
      <c r="AO1042" s="542" t="str">
        <f t="shared" si="454"/>
        <v/>
      </c>
      <c r="AP1042" s="543" t="str">
        <f t="shared" si="455"/>
        <v/>
      </c>
      <c r="AQ1042" s="544" t="str">
        <f t="shared" si="456"/>
        <v/>
      </c>
      <c r="AR1042" s="545">
        <f t="shared" si="457"/>
        <v>0</v>
      </c>
      <c r="AS1042" s="545">
        <f>IFERROR(CEILING($AR1042*VLOOKUP($I1042,Ref!$B$23:$E$29,4,0),1),0)</f>
        <v>0</v>
      </c>
      <c r="AT1042" s="545" t="str">
        <f>IF(A1042="","",IF(AP1042&lt;=1,"Cleared",IF(AS1042=0,"Clean",VLOOKUP($AS1042,Ref!$G$23:$H$28,2))))</f>
        <v/>
      </c>
      <c r="AU1042" s="546" t="str">
        <f t="shared" si="458"/>
        <v/>
      </c>
    </row>
    <row r="1043" spans="1:47" ht="14.25" hidden="1" customHeight="1" x14ac:dyDescent="0.15">
      <c r="A1043" s="523"/>
      <c r="B1043" s="523"/>
      <c r="C1043" s="523"/>
      <c r="D1043" s="523"/>
      <c r="E1043" s="579"/>
      <c r="F1043" s="580"/>
      <c r="G1043" s="524"/>
      <c r="H1043" s="555"/>
      <c r="I1043" s="560"/>
      <c r="J1043" s="523"/>
      <c r="K1043" s="528" t="str">
        <f>IFERROR(VLOOKUP($B1043,'Clients-Live'!$A:$C,3,0),"")</f>
        <v/>
      </c>
      <c r="L1043" s="528">
        <f>IF(E1043="STL",Pricing!$D$38,IF(A1043="",0,IF(A1043&lt;Pricing!$C$25,Pricing!$D$25,VLOOKUP(Disbursements!$F1043,Pricing!$B$29:$D$32,3))))</f>
        <v>0</v>
      </c>
      <c r="M1043" s="528">
        <f>IF(E1043="STL",0,IF(F1043&gt;0,Pricing!$D$21,0))</f>
        <v>0</v>
      </c>
      <c r="N1043" s="529">
        <f>IF(E1043="STL",F1043*Pricing!$D$40,IF(A1043&lt;=Pricing!$C$4,0,IF(AND(A1043&gt;Pricing!$C$4,Disbursements!A1043&lt;=Pricing!$C$5),F1043*Pricing!$E$5,IF(AND(A1043&gt;Pricing!$C$5,Disbursements!A1043&lt;=Pricing!$C$7),VLOOKUP(F1043,Pricing!$D$7:$E$8,2)*Disbursements!F1043,F1043*Pricing!$E$9))))</f>
        <v>0</v>
      </c>
      <c r="O1043" s="528">
        <f>IF(E1043="STL",0,IF($F1043&gt;0,$F1043*Pricing!$D$17,0))</f>
        <v>0</v>
      </c>
      <c r="P1043" s="530" t="str">
        <f t="shared" si="438"/>
        <v/>
      </c>
      <c r="Q1043" s="531" t="str">
        <f>IF($A1043="","",$G1043/VLOOKUP($I1043,Ref!$B$23:$D$29,2,0))</f>
        <v/>
      </c>
      <c r="R1043" s="530" t="str">
        <f t="shared" si="439"/>
        <v/>
      </c>
      <c r="S1043" s="532" t="str">
        <f t="shared" si="433"/>
        <v/>
      </c>
      <c r="T1043" s="531" t="str">
        <f t="shared" si="440"/>
        <v/>
      </c>
      <c r="U1043" s="533">
        <f t="shared" si="441"/>
        <v>0</v>
      </c>
      <c r="V1043" s="531" t="str">
        <f t="shared" si="442"/>
        <v/>
      </c>
      <c r="W1043" s="531" t="str">
        <f t="shared" si="443"/>
        <v/>
      </c>
      <c r="X1043" s="534" t="str">
        <f t="shared" si="444"/>
        <v/>
      </c>
      <c r="Y1043" s="535" t="str">
        <f>IF($A1043="","",IF($I1043="weekly",$A1043+7,EDATE($A1043,VLOOKUP($I1043,Ref!$B$24:$C$29,2,0))))</f>
        <v/>
      </c>
      <c r="Z1043" s="536" t="str">
        <f t="shared" si="445"/>
        <v/>
      </c>
      <c r="AA1043" s="531">
        <f t="shared" si="446"/>
        <v>0</v>
      </c>
      <c r="AB1043" s="535" t="str">
        <f t="shared" si="434"/>
        <v/>
      </c>
      <c r="AC1043" s="537" t="str">
        <f t="shared" si="435"/>
        <v/>
      </c>
      <c r="AD1043" s="538" t="str">
        <f t="shared" ca="1" si="436"/>
        <v/>
      </c>
      <c r="AE1043" s="537">
        <f t="shared" ca="1" si="437"/>
        <v>0</v>
      </c>
      <c r="AF1043" s="539" t="str">
        <f t="shared" ca="1" si="447"/>
        <v/>
      </c>
      <c r="AG1043" s="531" t="str">
        <f t="shared" ca="1" si="448"/>
        <v/>
      </c>
      <c r="AH1043" s="531" t="str">
        <f t="shared" ca="1" si="449"/>
        <v/>
      </c>
      <c r="AI1043" s="531" t="str">
        <f t="shared" ca="1" si="450"/>
        <v/>
      </c>
      <c r="AJ1043" s="531" t="str">
        <f t="shared" si="451"/>
        <v/>
      </c>
      <c r="AK1043" s="540">
        <f>SUMIFS('Live Collections'!$S:$S,'Live Collections'!$D:$D,Disbursements!B1043,'Live Collections'!$G:$G,Disbursements!C1043)</f>
        <v>0</v>
      </c>
      <c r="AL1043" s="540">
        <f>SUMIFS('Live Collections'!$T:$T,'Live Collections'!$D:$D,Disbursements!B1043,'Live Collections'!$G:$G,Disbursements!C1043)</f>
        <v>0</v>
      </c>
      <c r="AM1043" s="541">
        <f t="shared" si="452"/>
        <v>0</v>
      </c>
      <c r="AN1043" s="542" t="str">
        <f t="shared" si="453"/>
        <v/>
      </c>
      <c r="AO1043" s="542" t="str">
        <f t="shared" si="454"/>
        <v/>
      </c>
      <c r="AP1043" s="543" t="str">
        <f t="shared" si="455"/>
        <v/>
      </c>
      <c r="AQ1043" s="544" t="str">
        <f t="shared" si="456"/>
        <v/>
      </c>
      <c r="AR1043" s="545">
        <f t="shared" si="457"/>
        <v>0</v>
      </c>
      <c r="AS1043" s="545">
        <f>IFERROR(CEILING($AR1043*VLOOKUP($I1043,Ref!$B$23:$E$29,4,0),1),0)</f>
        <v>0</v>
      </c>
      <c r="AT1043" s="545" t="str">
        <f>IF(A1043="","",IF(AP1043&lt;=1,"Cleared",IF(AS1043=0,"Clean",VLOOKUP($AS1043,Ref!$G$23:$H$28,2))))</f>
        <v/>
      </c>
      <c r="AU1043" s="546" t="str">
        <f t="shared" si="458"/>
        <v/>
      </c>
    </row>
    <row r="1044" spans="1:47" ht="14.25" hidden="1" customHeight="1" x14ac:dyDescent="0.15">
      <c r="A1044" s="523"/>
      <c r="B1044" s="523"/>
      <c r="C1044" s="523"/>
      <c r="D1044" s="523"/>
      <c r="E1044" s="579"/>
      <c r="F1044" s="580"/>
      <c r="G1044" s="524"/>
      <c r="H1044" s="555"/>
      <c r="I1044" s="560"/>
      <c r="J1044" s="523"/>
      <c r="K1044" s="528" t="str">
        <f>IFERROR(VLOOKUP($B1044,'Clients-Live'!$A:$C,3,0),"")</f>
        <v/>
      </c>
      <c r="L1044" s="528">
        <f>IF(E1044="STL",Pricing!$D$38,IF(A1044="",0,IF(A1044&lt;Pricing!$C$25,Pricing!$D$25,VLOOKUP(Disbursements!$F1044,Pricing!$B$29:$D$32,3))))</f>
        <v>0</v>
      </c>
      <c r="M1044" s="528">
        <f>IF(E1044="STL",0,IF(F1044&gt;0,Pricing!$D$21,0))</f>
        <v>0</v>
      </c>
      <c r="N1044" s="529">
        <f>IF(E1044="STL",F1044*Pricing!$D$40,IF(A1044&lt;=Pricing!$C$4,0,IF(AND(A1044&gt;Pricing!$C$4,Disbursements!A1044&lt;=Pricing!$C$5),F1044*Pricing!$E$5,IF(AND(A1044&gt;Pricing!$C$5,Disbursements!A1044&lt;=Pricing!$C$7),VLOOKUP(F1044,Pricing!$D$7:$E$8,2)*Disbursements!F1044,F1044*Pricing!$E$9))))</f>
        <v>0</v>
      </c>
      <c r="O1044" s="528">
        <f>IF(E1044="STL",0,IF($F1044&gt;0,$F1044*Pricing!$D$17,0))</f>
        <v>0</v>
      </c>
      <c r="P1044" s="530" t="str">
        <f t="shared" si="438"/>
        <v/>
      </c>
      <c r="Q1044" s="531" t="str">
        <f>IF($A1044="","",$G1044/VLOOKUP($I1044,Ref!$B$23:$D$29,2,0))</f>
        <v/>
      </c>
      <c r="R1044" s="530" t="str">
        <f t="shared" si="439"/>
        <v/>
      </c>
      <c r="S1044" s="532" t="str">
        <f t="shared" si="433"/>
        <v/>
      </c>
      <c r="T1044" s="531" t="str">
        <f t="shared" si="440"/>
        <v/>
      </c>
      <c r="U1044" s="533">
        <f t="shared" si="441"/>
        <v>0</v>
      </c>
      <c r="V1044" s="531" t="str">
        <f t="shared" si="442"/>
        <v/>
      </c>
      <c r="W1044" s="531" t="str">
        <f t="shared" si="443"/>
        <v/>
      </c>
      <c r="X1044" s="534" t="str">
        <f t="shared" si="444"/>
        <v/>
      </c>
      <c r="Y1044" s="535" t="str">
        <f>IF($A1044="","",IF($I1044="weekly",$A1044+7,EDATE($A1044,VLOOKUP($I1044,Ref!$B$24:$C$29,2,0))))</f>
        <v/>
      </c>
      <c r="Z1044" s="536" t="str">
        <f t="shared" si="445"/>
        <v/>
      </c>
      <c r="AA1044" s="531">
        <f t="shared" si="446"/>
        <v>0</v>
      </c>
      <c r="AB1044" s="535" t="str">
        <f t="shared" si="434"/>
        <v/>
      </c>
      <c r="AC1044" s="537" t="str">
        <f t="shared" si="435"/>
        <v/>
      </c>
      <c r="AD1044" s="538" t="str">
        <f t="shared" ca="1" si="436"/>
        <v/>
      </c>
      <c r="AE1044" s="537">
        <f t="shared" ca="1" si="437"/>
        <v>0</v>
      </c>
      <c r="AF1044" s="539" t="str">
        <f t="shared" ca="1" si="447"/>
        <v/>
      </c>
      <c r="AG1044" s="531" t="str">
        <f t="shared" ca="1" si="448"/>
        <v/>
      </c>
      <c r="AH1044" s="531" t="str">
        <f t="shared" ca="1" si="449"/>
        <v/>
      </c>
      <c r="AI1044" s="531" t="str">
        <f t="shared" ca="1" si="450"/>
        <v/>
      </c>
      <c r="AJ1044" s="531" t="str">
        <f t="shared" si="451"/>
        <v/>
      </c>
      <c r="AK1044" s="540">
        <f>SUMIFS('Live Collections'!$S:$S,'Live Collections'!$D:$D,Disbursements!B1044,'Live Collections'!$G:$G,Disbursements!C1044)</f>
        <v>0</v>
      </c>
      <c r="AL1044" s="540">
        <f>SUMIFS('Live Collections'!$T:$T,'Live Collections'!$D:$D,Disbursements!B1044,'Live Collections'!$G:$G,Disbursements!C1044)</f>
        <v>0</v>
      </c>
      <c r="AM1044" s="541">
        <f t="shared" si="452"/>
        <v>0</v>
      </c>
      <c r="AN1044" s="542" t="str">
        <f t="shared" si="453"/>
        <v/>
      </c>
      <c r="AO1044" s="542" t="str">
        <f t="shared" si="454"/>
        <v/>
      </c>
      <c r="AP1044" s="543" t="str">
        <f t="shared" si="455"/>
        <v/>
      </c>
      <c r="AQ1044" s="544" t="str">
        <f t="shared" si="456"/>
        <v/>
      </c>
      <c r="AR1044" s="545">
        <f t="shared" si="457"/>
        <v>0</v>
      </c>
      <c r="AS1044" s="545">
        <f>IFERROR(CEILING($AR1044*VLOOKUP($I1044,Ref!$B$23:$E$29,4,0),1),0)</f>
        <v>0</v>
      </c>
      <c r="AT1044" s="545" t="str">
        <f>IF(A1044="","",IF(AP1044&lt;=1,"Cleared",IF(AS1044=0,"Clean",VLOOKUP($AS1044,Ref!$G$23:$H$28,2))))</f>
        <v/>
      </c>
      <c r="AU1044" s="546" t="str">
        <f t="shared" si="458"/>
        <v/>
      </c>
    </row>
    <row r="1045" spans="1:47" ht="14.25" hidden="1" customHeight="1" x14ac:dyDescent="0.15">
      <c r="A1045" s="523"/>
      <c r="B1045" s="523"/>
      <c r="C1045" s="523"/>
      <c r="D1045" s="523"/>
      <c r="E1045" s="579"/>
      <c r="F1045" s="580"/>
      <c r="G1045" s="524"/>
      <c r="H1045" s="555"/>
      <c r="I1045" s="560"/>
      <c r="J1045" s="523"/>
      <c r="K1045" s="528" t="str">
        <f>IFERROR(VLOOKUP($B1045,'Clients-Live'!$A:$C,3,0),"")</f>
        <v/>
      </c>
      <c r="L1045" s="528">
        <f>IF(E1045="STL",Pricing!$D$38,IF(A1045="",0,IF(A1045&lt;Pricing!$C$25,Pricing!$D$25,VLOOKUP(Disbursements!$F1045,Pricing!$B$29:$D$32,3))))</f>
        <v>0</v>
      </c>
      <c r="M1045" s="528">
        <f>IF(E1045="STL",0,IF(F1045&gt;0,Pricing!$D$21,0))</f>
        <v>0</v>
      </c>
      <c r="N1045" s="529">
        <f>IF(E1045="STL",F1045*Pricing!$D$40,IF(A1045&lt;=Pricing!$C$4,0,IF(AND(A1045&gt;Pricing!$C$4,Disbursements!A1045&lt;=Pricing!$C$5),F1045*Pricing!$E$5,IF(AND(A1045&gt;Pricing!$C$5,Disbursements!A1045&lt;=Pricing!$C$7),VLOOKUP(F1045,Pricing!$D$7:$E$8,2)*Disbursements!F1045,F1045*Pricing!$E$9))))</f>
        <v>0</v>
      </c>
      <c r="O1045" s="528">
        <f>IF(E1045="STL",0,IF($F1045&gt;0,$F1045*Pricing!$D$17,0))</f>
        <v>0</v>
      </c>
      <c r="P1045" s="530" t="str">
        <f t="shared" si="438"/>
        <v/>
      </c>
      <c r="Q1045" s="531" t="str">
        <f>IF($A1045="","",$G1045/VLOOKUP($I1045,Ref!$B$23:$D$29,2,0))</f>
        <v/>
      </c>
      <c r="R1045" s="530" t="str">
        <f t="shared" si="439"/>
        <v/>
      </c>
      <c r="S1045" s="532" t="str">
        <f t="shared" si="433"/>
        <v/>
      </c>
      <c r="T1045" s="531" t="str">
        <f t="shared" si="440"/>
        <v/>
      </c>
      <c r="U1045" s="533">
        <f t="shared" si="441"/>
        <v>0</v>
      </c>
      <c r="V1045" s="531" t="str">
        <f t="shared" si="442"/>
        <v/>
      </c>
      <c r="W1045" s="531" t="str">
        <f t="shared" si="443"/>
        <v/>
      </c>
      <c r="X1045" s="534" t="str">
        <f t="shared" si="444"/>
        <v/>
      </c>
      <c r="Y1045" s="535" t="str">
        <f>IF($A1045="","",IF($I1045="weekly",$A1045+7,EDATE($A1045,VLOOKUP($I1045,Ref!$B$24:$C$29,2,0))))</f>
        <v/>
      </c>
      <c r="Z1045" s="536" t="str">
        <f t="shared" si="445"/>
        <v/>
      </c>
      <c r="AA1045" s="531">
        <f t="shared" si="446"/>
        <v>0</v>
      </c>
      <c r="AB1045" s="535" t="str">
        <f t="shared" si="434"/>
        <v/>
      </c>
      <c r="AC1045" s="537" t="str">
        <f t="shared" si="435"/>
        <v/>
      </c>
      <c r="AD1045" s="538" t="str">
        <f t="shared" ca="1" si="436"/>
        <v/>
      </c>
      <c r="AE1045" s="537">
        <f t="shared" ca="1" si="437"/>
        <v>0</v>
      </c>
      <c r="AF1045" s="539" t="str">
        <f t="shared" ca="1" si="447"/>
        <v/>
      </c>
      <c r="AG1045" s="531" t="str">
        <f t="shared" ca="1" si="448"/>
        <v/>
      </c>
      <c r="AH1045" s="531" t="str">
        <f t="shared" ca="1" si="449"/>
        <v/>
      </c>
      <c r="AI1045" s="531" t="str">
        <f t="shared" ca="1" si="450"/>
        <v/>
      </c>
      <c r="AJ1045" s="531" t="str">
        <f t="shared" si="451"/>
        <v/>
      </c>
      <c r="AK1045" s="540">
        <f>SUMIFS('Live Collections'!$S:$S,'Live Collections'!$D:$D,Disbursements!B1045,'Live Collections'!$G:$G,Disbursements!C1045)</f>
        <v>0</v>
      </c>
      <c r="AL1045" s="540">
        <f>SUMIFS('Live Collections'!$T:$T,'Live Collections'!$D:$D,Disbursements!B1045,'Live Collections'!$G:$G,Disbursements!C1045)</f>
        <v>0</v>
      </c>
      <c r="AM1045" s="541">
        <f t="shared" si="452"/>
        <v>0</v>
      </c>
      <c r="AN1045" s="542" t="str">
        <f t="shared" si="453"/>
        <v/>
      </c>
      <c r="AO1045" s="542" t="str">
        <f t="shared" si="454"/>
        <v/>
      </c>
      <c r="AP1045" s="543" t="str">
        <f t="shared" si="455"/>
        <v/>
      </c>
      <c r="AQ1045" s="544" t="str">
        <f t="shared" si="456"/>
        <v/>
      </c>
      <c r="AR1045" s="545">
        <f t="shared" si="457"/>
        <v>0</v>
      </c>
      <c r="AS1045" s="545">
        <f>IFERROR(CEILING($AR1045*VLOOKUP($I1045,Ref!$B$23:$E$29,4,0),1),0)</f>
        <v>0</v>
      </c>
      <c r="AT1045" s="545" t="str">
        <f>IF(A1045="","",IF(AP1045&lt;=1,"Cleared",IF(AS1045=0,"Clean",VLOOKUP($AS1045,Ref!$G$23:$H$28,2))))</f>
        <v/>
      </c>
      <c r="AU1045" s="546" t="str">
        <f t="shared" si="458"/>
        <v/>
      </c>
    </row>
    <row r="1046" spans="1:47" ht="14.25" hidden="1" customHeight="1" x14ac:dyDescent="0.15">
      <c r="A1046" s="523"/>
      <c r="B1046" s="523"/>
      <c r="C1046" s="523"/>
      <c r="D1046" s="523"/>
      <c r="E1046" s="579"/>
      <c r="F1046" s="580"/>
      <c r="G1046" s="524"/>
      <c r="H1046" s="555"/>
      <c r="I1046" s="560"/>
      <c r="J1046" s="523"/>
      <c r="K1046" s="528" t="str">
        <f>IFERROR(VLOOKUP($B1046,'Clients-Live'!$A:$C,3,0),"")</f>
        <v/>
      </c>
      <c r="L1046" s="528">
        <f>IF(E1046="STL",Pricing!$D$38,IF(A1046="",0,IF(A1046&lt;Pricing!$C$25,Pricing!$D$25,VLOOKUP(Disbursements!$F1046,Pricing!$B$29:$D$32,3))))</f>
        <v>0</v>
      </c>
      <c r="M1046" s="528">
        <f>IF(E1046="STL",0,IF(F1046&gt;0,Pricing!$D$21,0))</f>
        <v>0</v>
      </c>
      <c r="N1046" s="529">
        <f>IF(E1046="STL",F1046*Pricing!$D$40,IF(A1046&lt;=Pricing!$C$4,0,IF(AND(A1046&gt;Pricing!$C$4,Disbursements!A1046&lt;=Pricing!$C$5),F1046*Pricing!$E$5,IF(AND(A1046&gt;Pricing!$C$5,Disbursements!A1046&lt;=Pricing!$C$7),VLOOKUP(F1046,Pricing!$D$7:$E$8,2)*Disbursements!F1046,F1046*Pricing!$E$9))))</f>
        <v>0</v>
      </c>
      <c r="O1046" s="528">
        <f>IF(E1046="STL",0,IF($F1046&gt;0,$F1046*Pricing!$D$17,0))</f>
        <v>0</v>
      </c>
      <c r="P1046" s="530" t="str">
        <f t="shared" si="438"/>
        <v/>
      </c>
      <c r="Q1046" s="531" t="str">
        <f>IF($A1046="","",$G1046/VLOOKUP($I1046,Ref!$B$23:$D$29,2,0))</f>
        <v/>
      </c>
      <c r="R1046" s="530" t="str">
        <f t="shared" si="439"/>
        <v/>
      </c>
      <c r="S1046" s="532" t="str">
        <f t="shared" si="433"/>
        <v/>
      </c>
      <c r="T1046" s="531" t="str">
        <f t="shared" si="440"/>
        <v/>
      </c>
      <c r="U1046" s="533">
        <f t="shared" si="441"/>
        <v>0</v>
      </c>
      <c r="V1046" s="531" t="str">
        <f t="shared" si="442"/>
        <v/>
      </c>
      <c r="W1046" s="531" t="str">
        <f t="shared" si="443"/>
        <v/>
      </c>
      <c r="X1046" s="534" t="str">
        <f t="shared" si="444"/>
        <v/>
      </c>
      <c r="Y1046" s="535" t="str">
        <f>IF($A1046="","",IF($I1046="weekly",$A1046+7,EDATE($A1046,VLOOKUP($I1046,Ref!$B$24:$C$29,2,0))))</f>
        <v/>
      </c>
      <c r="Z1046" s="536" t="str">
        <f t="shared" si="445"/>
        <v/>
      </c>
      <c r="AA1046" s="531">
        <f t="shared" si="446"/>
        <v>0</v>
      </c>
      <c r="AB1046" s="535" t="str">
        <f t="shared" si="434"/>
        <v/>
      </c>
      <c r="AC1046" s="537" t="str">
        <f t="shared" si="435"/>
        <v/>
      </c>
      <c r="AD1046" s="538" t="str">
        <f t="shared" ca="1" si="436"/>
        <v/>
      </c>
      <c r="AE1046" s="537">
        <f t="shared" ca="1" si="437"/>
        <v>0</v>
      </c>
      <c r="AF1046" s="539" t="str">
        <f t="shared" ca="1" si="447"/>
        <v/>
      </c>
      <c r="AG1046" s="531" t="str">
        <f t="shared" ca="1" si="448"/>
        <v/>
      </c>
      <c r="AH1046" s="531" t="str">
        <f t="shared" ca="1" si="449"/>
        <v/>
      </c>
      <c r="AI1046" s="531" t="str">
        <f t="shared" ca="1" si="450"/>
        <v/>
      </c>
      <c r="AJ1046" s="531" t="str">
        <f t="shared" si="451"/>
        <v/>
      </c>
      <c r="AK1046" s="540">
        <f>SUMIFS('Live Collections'!$S:$S,'Live Collections'!$D:$D,Disbursements!B1046,'Live Collections'!$G:$G,Disbursements!C1046)</f>
        <v>0</v>
      </c>
      <c r="AL1046" s="540">
        <f>SUMIFS('Live Collections'!$T:$T,'Live Collections'!$D:$D,Disbursements!B1046,'Live Collections'!$G:$G,Disbursements!C1046)</f>
        <v>0</v>
      </c>
      <c r="AM1046" s="541">
        <f t="shared" si="452"/>
        <v>0</v>
      </c>
      <c r="AN1046" s="542" t="str">
        <f t="shared" si="453"/>
        <v/>
      </c>
      <c r="AO1046" s="542" t="str">
        <f t="shared" si="454"/>
        <v/>
      </c>
      <c r="AP1046" s="543" t="str">
        <f t="shared" si="455"/>
        <v/>
      </c>
      <c r="AQ1046" s="544" t="str">
        <f t="shared" si="456"/>
        <v/>
      </c>
      <c r="AR1046" s="545">
        <f t="shared" si="457"/>
        <v>0</v>
      </c>
      <c r="AS1046" s="545">
        <f>IFERROR(CEILING($AR1046*VLOOKUP($I1046,Ref!$B$23:$E$29,4,0),1),0)</f>
        <v>0</v>
      </c>
      <c r="AT1046" s="545" t="str">
        <f>IF(A1046="","",IF(AP1046&lt;=1,"Cleared",IF(AS1046=0,"Clean",VLOOKUP($AS1046,Ref!$G$23:$H$28,2))))</f>
        <v/>
      </c>
      <c r="AU1046" s="546" t="str">
        <f t="shared" si="458"/>
        <v/>
      </c>
    </row>
    <row r="1047" spans="1:47" ht="14.25" hidden="1" customHeight="1" x14ac:dyDescent="0.15">
      <c r="A1047" s="523"/>
      <c r="B1047" s="523"/>
      <c r="C1047" s="523"/>
      <c r="D1047" s="523"/>
      <c r="E1047" s="579"/>
      <c r="F1047" s="580"/>
      <c r="G1047" s="524"/>
      <c r="H1047" s="555"/>
      <c r="I1047" s="560"/>
      <c r="J1047" s="523"/>
      <c r="K1047" s="528" t="str">
        <f>IFERROR(VLOOKUP($B1047,'Clients-Live'!$A:$C,3,0),"")</f>
        <v/>
      </c>
      <c r="L1047" s="528">
        <f>IF(E1047="STL",Pricing!$D$38,IF(A1047="",0,IF(A1047&lt;Pricing!$C$25,Pricing!$D$25,VLOOKUP(Disbursements!$F1047,Pricing!$B$29:$D$32,3))))</f>
        <v>0</v>
      </c>
      <c r="M1047" s="528">
        <f>IF(E1047="STL",0,IF(F1047&gt;0,Pricing!$D$21,0))</f>
        <v>0</v>
      </c>
      <c r="N1047" s="529">
        <f>IF(E1047="STL",F1047*Pricing!$D$40,IF(A1047&lt;=Pricing!$C$4,0,IF(AND(A1047&gt;Pricing!$C$4,Disbursements!A1047&lt;=Pricing!$C$5),F1047*Pricing!$E$5,IF(AND(A1047&gt;Pricing!$C$5,Disbursements!A1047&lt;=Pricing!$C$7),VLOOKUP(F1047,Pricing!$D$7:$E$8,2)*Disbursements!F1047,F1047*Pricing!$E$9))))</f>
        <v>0</v>
      </c>
      <c r="O1047" s="528">
        <f>IF(E1047="STL",0,IF($F1047&gt;0,$F1047*Pricing!$D$17,0))</f>
        <v>0</v>
      </c>
      <c r="P1047" s="530" t="str">
        <f t="shared" si="438"/>
        <v/>
      </c>
      <c r="Q1047" s="531" t="str">
        <f>IF($A1047="","",$G1047/VLOOKUP($I1047,Ref!$B$23:$D$29,2,0))</f>
        <v/>
      </c>
      <c r="R1047" s="530" t="str">
        <f t="shared" si="439"/>
        <v/>
      </c>
      <c r="S1047" s="532" t="str">
        <f t="shared" si="433"/>
        <v/>
      </c>
      <c r="T1047" s="531" t="str">
        <f t="shared" si="440"/>
        <v/>
      </c>
      <c r="U1047" s="533">
        <f t="shared" si="441"/>
        <v>0</v>
      </c>
      <c r="V1047" s="531" t="str">
        <f t="shared" si="442"/>
        <v/>
      </c>
      <c r="W1047" s="531" t="str">
        <f t="shared" si="443"/>
        <v/>
      </c>
      <c r="X1047" s="534" t="str">
        <f t="shared" si="444"/>
        <v/>
      </c>
      <c r="Y1047" s="535" t="str">
        <f>IF($A1047="","",IF($I1047="weekly",$A1047+7,EDATE($A1047,VLOOKUP($I1047,Ref!$B$24:$C$29,2,0))))</f>
        <v/>
      </c>
      <c r="Z1047" s="536" t="str">
        <f t="shared" si="445"/>
        <v/>
      </c>
      <c r="AA1047" s="531">
        <f t="shared" si="446"/>
        <v>0</v>
      </c>
      <c r="AB1047" s="535" t="str">
        <f t="shared" si="434"/>
        <v/>
      </c>
      <c r="AC1047" s="537" t="str">
        <f t="shared" si="435"/>
        <v/>
      </c>
      <c r="AD1047" s="538" t="str">
        <f t="shared" ca="1" si="436"/>
        <v/>
      </c>
      <c r="AE1047" s="537">
        <f t="shared" ca="1" si="437"/>
        <v>0</v>
      </c>
      <c r="AF1047" s="539" t="str">
        <f t="shared" ca="1" si="447"/>
        <v/>
      </c>
      <c r="AG1047" s="531" t="str">
        <f t="shared" ca="1" si="448"/>
        <v/>
      </c>
      <c r="AH1047" s="531" t="str">
        <f t="shared" ca="1" si="449"/>
        <v/>
      </c>
      <c r="AI1047" s="531" t="str">
        <f t="shared" ca="1" si="450"/>
        <v/>
      </c>
      <c r="AJ1047" s="531" t="str">
        <f t="shared" si="451"/>
        <v/>
      </c>
      <c r="AK1047" s="540">
        <f>SUMIFS('Live Collections'!$S:$S,'Live Collections'!$D:$D,Disbursements!B1047,'Live Collections'!$G:$G,Disbursements!C1047)</f>
        <v>0</v>
      </c>
      <c r="AL1047" s="540">
        <f>SUMIFS('Live Collections'!$T:$T,'Live Collections'!$D:$D,Disbursements!B1047,'Live Collections'!$G:$G,Disbursements!C1047)</f>
        <v>0</v>
      </c>
      <c r="AM1047" s="541">
        <f t="shared" si="452"/>
        <v>0</v>
      </c>
      <c r="AN1047" s="542" t="str">
        <f t="shared" si="453"/>
        <v/>
      </c>
      <c r="AO1047" s="542" t="str">
        <f t="shared" si="454"/>
        <v/>
      </c>
      <c r="AP1047" s="543" t="str">
        <f t="shared" si="455"/>
        <v/>
      </c>
      <c r="AQ1047" s="544" t="str">
        <f t="shared" si="456"/>
        <v/>
      </c>
      <c r="AR1047" s="545">
        <f t="shared" si="457"/>
        <v>0</v>
      </c>
      <c r="AS1047" s="545">
        <f>IFERROR(CEILING($AR1047*VLOOKUP($I1047,Ref!$B$23:$E$29,4,0),1),0)</f>
        <v>0</v>
      </c>
      <c r="AT1047" s="545" t="str">
        <f>IF(A1047="","",IF(AP1047&lt;=1,"Cleared",IF(AS1047=0,"Clean",VLOOKUP($AS1047,Ref!$G$23:$H$28,2))))</f>
        <v/>
      </c>
      <c r="AU1047" s="546" t="str">
        <f t="shared" si="458"/>
        <v/>
      </c>
    </row>
    <row r="1048" spans="1:47" ht="14.25" hidden="1" customHeight="1" x14ac:dyDescent="0.15">
      <c r="A1048" s="523"/>
      <c r="B1048" s="523"/>
      <c r="C1048" s="523"/>
      <c r="D1048" s="523"/>
      <c r="E1048" s="579"/>
      <c r="F1048" s="580"/>
      <c r="G1048" s="524"/>
      <c r="H1048" s="555"/>
      <c r="I1048" s="560"/>
      <c r="J1048" s="523"/>
      <c r="K1048" s="528" t="str">
        <f>IFERROR(VLOOKUP($B1048,'Clients-Live'!$A:$C,3,0),"")</f>
        <v/>
      </c>
      <c r="L1048" s="528">
        <f>IF(E1048="STL",Pricing!$D$38,IF(A1048="",0,IF(A1048&lt;Pricing!$C$25,Pricing!$D$25,VLOOKUP(Disbursements!$F1048,Pricing!$B$29:$D$32,3))))</f>
        <v>0</v>
      </c>
      <c r="M1048" s="528">
        <f>IF(E1048="STL",0,IF(F1048&gt;0,Pricing!$D$21,0))</f>
        <v>0</v>
      </c>
      <c r="N1048" s="529">
        <f>IF(E1048="STL",F1048*Pricing!$D$40,IF(A1048&lt;=Pricing!$C$4,0,IF(AND(A1048&gt;Pricing!$C$4,Disbursements!A1048&lt;=Pricing!$C$5),F1048*Pricing!$E$5,IF(AND(A1048&gt;Pricing!$C$5,Disbursements!A1048&lt;=Pricing!$C$7),VLOOKUP(F1048,Pricing!$D$7:$E$8,2)*Disbursements!F1048,F1048*Pricing!$E$9))))</f>
        <v>0</v>
      </c>
      <c r="O1048" s="528">
        <f>IF(E1048="STL",0,IF($F1048&gt;0,$F1048*Pricing!$D$17,0))</f>
        <v>0</v>
      </c>
      <c r="P1048" s="530" t="str">
        <f t="shared" si="438"/>
        <v/>
      </c>
      <c r="Q1048" s="531" t="str">
        <f>IF($A1048="","",$G1048/VLOOKUP($I1048,Ref!$B$23:$D$29,2,0))</f>
        <v/>
      </c>
      <c r="R1048" s="530" t="str">
        <f t="shared" si="439"/>
        <v/>
      </c>
      <c r="S1048" s="532" t="str">
        <f t="shared" si="433"/>
        <v/>
      </c>
      <c r="T1048" s="531" t="str">
        <f t="shared" si="440"/>
        <v/>
      </c>
      <c r="U1048" s="533">
        <f t="shared" si="441"/>
        <v>0</v>
      </c>
      <c r="V1048" s="531" t="str">
        <f t="shared" si="442"/>
        <v/>
      </c>
      <c r="W1048" s="531" t="str">
        <f t="shared" si="443"/>
        <v/>
      </c>
      <c r="X1048" s="534" t="str">
        <f t="shared" si="444"/>
        <v/>
      </c>
      <c r="Y1048" s="535" t="str">
        <f>IF($A1048="","",IF($I1048="weekly",$A1048+7,EDATE($A1048,VLOOKUP($I1048,Ref!$B$24:$C$29,2,0))))</f>
        <v/>
      </c>
      <c r="Z1048" s="536" t="str">
        <f t="shared" si="445"/>
        <v/>
      </c>
      <c r="AA1048" s="531">
        <f t="shared" si="446"/>
        <v>0</v>
      </c>
      <c r="AB1048" s="535" t="str">
        <f t="shared" si="434"/>
        <v/>
      </c>
      <c r="AC1048" s="537" t="str">
        <f t="shared" si="435"/>
        <v/>
      </c>
      <c r="AD1048" s="538" t="str">
        <f t="shared" ca="1" si="436"/>
        <v/>
      </c>
      <c r="AE1048" s="537">
        <f t="shared" ca="1" si="437"/>
        <v>0</v>
      </c>
      <c r="AF1048" s="539" t="str">
        <f t="shared" ca="1" si="447"/>
        <v/>
      </c>
      <c r="AG1048" s="531" t="str">
        <f t="shared" ca="1" si="448"/>
        <v/>
      </c>
      <c r="AH1048" s="531" t="str">
        <f t="shared" ca="1" si="449"/>
        <v/>
      </c>
      <c r="AI1048" s="531" t="str">
        <f t="shared" ca="1" si="450"/>
        <v/>
      </c>
      <c r="AJ1048" s="531" t="str">
        <f t="shared" si="451"/>
        <v/>
      </c>
      <c r="AK1048" s="540">
        <f>SUMIFS('Live Collections'!$S:$S,'Live Collections'!$D:$D,Disbursements!B1048,'Live Collections'!$G:$G,Disbursements!C1048)</f>
        <v>0</v>
      </c>
      <c r="AL1048" s="540">
        <f>SUMIFS('Live Collections'!$T:$T,'Live Collections'!$D:$D,Disbursements!B1048,'Live Collections'!$G:$G,Disbursements!C1048)</f>
        <v>0</v>
      </c>
      <c r="AM1048" s="541">
        <f t="shared" si="452"/>
        <v>0</v>
      </c>
      <c r="AN1048" s="542" t="str">
        <f t="shared" si="453"/>
        <v/>
      </c>
      <c r="AO1048" s="542" t="str">
        <f t="shared" si="454"/>
        <v/>
      </c>
      <c r="AP1048" s="543" t="str">
        <f t="shared" si="455"/>
        <v/>
      </c>
      <c r="AQ1048" s="544" t="str">
        <f t="shared" si="456"/>
        <v/>
      </c>
      <c r="AR1048" s="545">
        <f t="shared" si="457"/>
        <v>0</v>
      </c>
      <c r="AS1048" s="545">
        <f>IFERROR(CEILING($AR1048*VLOOKUP($I1048,Ref!$B$23:$E$29,4,0),1),0)</f>
        <v>0</v>
      </c>
      <c r="AT1048" s="545" t="str">
        <f>IF(A1048="","",IF(AP1048&lt;=1,"Cleared",IF(AS1048=0,"Clean",VLOOKUP($AS1048,Ref!$G$23:$H$28,2))))</f>
        <v/>
      </c>
      <c r="AU1048" s="546" t="str">
        <f t="shared" si="458"/>
        <v/>
      </c>
    </row>
    <row r="1049" spans="1:47" ht="14.25" hidden="1" customHeight="1" x14ac:dyDescent="0.15">
      <c r="A1049" s="523"/>
      <c r="B1049" s="523"/>
      <c r="C1049" s="523"/>
      <c r="D1049" s="523"/>
      <c r="E1049" s="579"/>
      <c r="F1049" s="580"/>
      <c r="G1049" s="524"/>
      <c r="H1049" s="555"/>
      <c r="I1049" s="560"/>
      <c r="J1049" s="523"/>
      <c r="K1049" s="528" t="str">
        <f>IFERROR(VLOOKUP($B1049,'Clients-Live'!$A:$C,3,0),"")</f>
        <v/>
      </c>
      <c r="L1049" s="528">
        <f>IF(E1049="STL",Pricing!$D$38,IF(A1049="",0,IF(A1049&lt;Pricing!$C$25,Pricing!$D$25,VLOOKUP(Disbursements!$F1049,Pricing!$B$29:$D$32,3))))</f>
        <v>0</v>
      </c>
      <c r="M1049" s="528">
        <f>IF(E1049="STL",0,IF(F1049&gt;0,Pricing!$D$21,0))</f>
        <v>0</v>
      </c>
      <c r="N1049" s="529">
        <f>IF(E1049="STL",F1049*Pricing!$D$40,IF(A1049&lt;=Pricing!$C$4,0,IF(AND(A1049&gt;Pricing!$C$4,Disbursements!A1049&lt;=Pricing!$C$5),F1049*Pricing!$E$5,IF(AND(A1049&gt;Pricing!$C$5,Disbursements!A1049&lt;=Pricing!$C$7),VLOOKUP(F1049,Pricing!$D$7:$E$8,2)*Disbursements!F1049,F1049*Pricing!$E$9))))</f>
        <v>0</v>
      </c>
      <c r="O1049" s="528">
        <f>IF(E1049="STL",0,IF($F1049&gt;0,$F1049*Pricing!$D$17,0))</f>
        <v>0</v>
      </c>
      <c r="P1049" s="530" t="str">
        <f t="shared" si="438"/>
        <v/>
      </c>
      <c r="Q1049" s="531" t="str">
        <f>IF($A1049="","",$G1049/VLOOKUP($I1049,Ref!$B$23:$D$29,2,0))</f>
        <v/>
      </c>
      <c r="R1049" s="530" t="str">
        <f t="shared" si="439"/>
        <v/>
      </c>
      <c r="S1049" s="532" t="str">
        <f t="shared" si="433"/>
        <v/>
      </c>
      <c r="T1049" s="531" t="str">
        <f t="shared" si="440"/>
        <v/>
      </c>
      <c r="U1049" s="533">
        <f t="shared" si="441"/>
        <v>0</v>
      </c>
      <c r="V1049" s="531" t="str">
        <f t="shared" si="442"/>
        <v/>
      </c>
      <c r="W1049" s="531" t="str">
        <f t="shared" si="443"/>
        <v/>
      </c>
      <c r="X1049" s="534" t="str">
        <f t="shared" si="444"/>
        <v/>
      </c>
      <c r="Y1049" s="535" t="str">
        <f>IF($A1049="","",IF($I1049="weekly",$A1049+7,EDATE($A1049,VLOOKUP($I1049,Ref!$B$24:$C$29,2,0))))</f>
        <v/>
      </c>
      <c r="Z1049" s="536" t="str">
        <f t="shared" si="445"/>
        <v/>
      </c>
      <c r="AA1049" s="531">
        <f t="shared" si="446"/>
        <v>0</v>
      </c>
      <c r="AB1049" s="535" t="str">
        <f t="shared" si="434"/>
        <v/>
      </c>
      <c r="AC1049" s="537" t="str">
        <f t="shared" si="435"/>
        <v/>
      </c>
      <c r="AD1049" s="538" t="str">
        <f t="shared" ca="1" si="436"/>
        <v/>
      </c>
      <c r="AE1049" s="537">
        <f t="shared" ca="1" si="437"/>
        <v>0</v>
      </c>
      <c r="AF1049" s="539" t="str">
        <f t="shared" ca="1" si="447"/>
        <v/>
      </c>
      <c r="AG1049" s="531" t="str">
        <f t="shared" ca="1" si="448"/>
        <v/>
      </c>
      <c r="AH1049" s="531" t="str">
        <f t="shared" ca="1" si="449"/>
        <v/>
      </c>
      <c r="AI1049" s="531" t="str">
        <f t="shared" ca="1" si="450"/>
        <v/>
      </c>
      <c r="AJ1049" s="531" t="str">
        <f t="shared" si="451"/>
        <v/>
      </c>
      <c r="AK1049" s="540">
        <f>SUMIFS('Live Collections'!$S:$S,'Live Collections'!$D:$D,Disbursements!B1049,'Live Collections'!$G:$G,Disbursements!C1049)</f>
        <v>0</v>
      </c>
      <c r="AL1049" s="540">
        <f>SUMIFS('Live Collections'!$T:$T,'Live Collections'!$D:$D,Disbursements!B1049,'Live Collections'!$G:$G,Disbursements!C1049)</f>
        <v>0</v>
      </c>
      <c r="AM1049" s="541">
        <f t="shared" si="452"/>
        <v>0</v>
      </c>
      <c r="AN1049" s="542" t="str">
        <f t="shared" si="453"/>
        <v/>
      </c>
      <c r="AO1049" s="542" t="str">
        <f t="shared" si="454"/>
        <v/>
      </c>
      <c r="AP1049" s="543" t="str">
        <f t="shared" si="455"/>
        <v/>
      </c>
      <c r="AQ1049" s="544" t="str">
        <f t="shared" si="456"/>
        <v/>
      </c>
      <c r="AR1049" s="545">
        <f t="shared" si="457"/>
        <v>0</v>
      </c>
      <c r="AS1049" s="545">
        <f>IFERROR(CEILING($AR1049*VLOOKUP($I1049,Ref!$B$23:$E$29,4,0),1),0)</f>
        <v>0</v>
      </c>
      <c r="AT1049" s="545" t="str">
        <f>IF(A1049="","",IF(AP1049&lt;=1,"Cleared",IF(AS1049=0,"Clean",VLOOKUP($AS1049,Ref!$G$23:$H$28,2))))</f>
        <v/>
      </c>
      <c r="AU1049" s="546" t="str">
        <f t="shared" si="458"/>
        <v/>
      </c>
    </row>
    <row r="1050" spans="1:47" ht="14.25" hidden="1" customHeight="1" x14ac:dyDescent="0.15">
      <c r="A1050" s="523"/>
      <c r="B1050" s="523"/>
      <c r="C1050" s="523"/>
      <c r="D1050" s="523"/>
      <c r="E1050" s="579"/>
      <c r="F1050" s="580"/>
      <c r="G1050" s="524"/>
      <c r="H1050" s="555"/>
      <c r="I1050" s="560"/>
      <c r="J1050" s="523"/>
      <c r="K1050" s="528" t="str">
        <f>IFERROR(VLOOKUP($B1050,'Clients-Live'!$A:$C,3,0),"")</f>
        <v/>
      </c>
      <c r="L1050" s="528">
        <f>IF(E1050="STL",Pricing!$D$38,IF(A1050="",0,IF(A1050&lt;Pricing!$C$25,Pricing!$D$25,VLOOKUP(Disbursements!$F1050,Pricing!$B$29:$D$32,3))))</f>
        <v>0</v>
      </c>
      <c r="M1050" s="528">
        <f>IF(E1050="STL",0,IF(F1050&gt;0,Pricing!$D$21,0))</f>
        <v>0</v>
      </c>
      <c r="N1050" s="529">
        <f>IF(E1050="STL",F1050*Pricing!$D$40,IF(A1050&lt;=Pricing!$C$4,0,IF(AND(A1050&gt;Pricing!$C$4,Disbursements!A1050&lt;=Pricing!$C$5),F1050*Pricing!$E$5,IF(AND(A1050&gt;Pricing!$C$5,Disbursements!A1050&lt;=Pricing!$C$7),VLOOKUP(F1050,Pricing!$D$7:$E$8,2)*Disbursements!F1050,F1050*Pricing!$E$9))))</f>
        <v>0</v>
      </c>
      <c r="O1050" s="528">
        <f>IF(E1050="STL",0,IF($F1050&gt;0,$F1050*Pricing!$D$17,0))</f>
        <v>0</v>
      </c>
      <c r="P1050" s="530" t="str">
        <f t="shared" si="438"/>
        <v/>
      </c>
      <c r="Q1050" s="531" t="str">
        <f>IF($A1050="","",$G1050/VLOOKUP($I1050,Ref!$B$23:$D$29,2,0))</f>
        <v/>
      </c>
      <c r="R1050" s="530" t="str">
        <f t="shared" si="439"/>
        <v/>
      </c>
      <c r="S1050" s="532" t="str">
        <f t="shared" si="433"/>
        <v/>
      </c>
      <c r="T1050" s="531" t="str">
        <f t="shared" si="440"/>
        <v/>
      </c>
      <c r="U1050" s="533">
        <f t="shared" si="441"/>
        <v>0</v>
      </c>
      <c r="V1050" s="531" t="str">
        <f t="shared" si="442"/>
        <v/>
      </c>
      <c r="W1050" s="531" t="str">
        <f t="shared" si="443"/>
        <v/>
      </c>
      <c r="X1050" s="534" t="str">
        <f t="shared" si="444"/>
        <v/>
      </c>
      <c r="Y1050" s="535" t="str">
        <f>IF($A1050="","",IF($I1050="weekly",$A1050+7,EDATE($A1050,VLOOKUP($I1050,Ref!$B$24:$C$29,2,0))))</f>
        <v/>
      </c>
      <c r="Z1050" s="536" t="str">
        <f t="shared" si="445"/>
        <v/>
      </c>
      <c r="AA1050" s="531">
        <f t="shared" si="446"/>
        <v>0</v>
      </c>
      <c r="AB1050" s="535" t="str">
        <f t="shared" si="434"/>
        <v/>
      </c>
      <c r="AC1050" s="537" t="str">
        <f t="shared" si="435"/>
        <v/>
      </c>
      <c r="AD1050" s="538" t="str">
        <f t="shared" ca="1" si="436"/>
        <v/>
      </c>
      <c r="AE1050" s="537">
        <f t="shared" ca="1" si="437"/>
        <v>0</v>
      </c>
      <c r="AF1050" s="539" t="str">
        <f t="shared" ca="1" si="447"/>
        <v/>
      </c>
      <c r="AG1050" s="531" t="str">
        <f t="shared" ca="1" si="448"/>
        <v/>
      </c>
      <c r="AH1050" s="531" t="str">
        <f t="shared" ca="1" si="449"/>
        <v/>
      </c>
      <c r="AI1050" s="531" t="str">
        <f t="shared" ca="1" si="450"/>
        <v/>
      </c>
      <c r="AJ1050" s="531" t="str">
        <f t="shared" si="451"/>
        <v/>
      </c>
      <c r="AK1050" s="540">
        <f>SUMIFS('Live Collections'!$S:$S,'Live Collections'!$D:$D,Disbursements!B1050,'Live Collections'!$G:$G,Disbursements!C1050)</f>
        <v>0</v>
      </c>
      <c r="AL1050" s="540">
        <f>SUMIFS('Live Collections'!$T:$T,'Live Collections'!$D:$D,Disbursements!B1050,'Live Collections'!$G:$G,Disbursements!C1050)</f>
        <v>0</v>
      </c>
      <c r="AM1050" s="541">
        <f t="shared" si="452"/>
        <v>0</v>
      </c>
      <c r="AN1050" s="542" t="str">
        <f t="shared" si="453"/>
        <v/>
      </c>
      <c r="AO1050" s="542" t="str">
        <f t="shared" si="454"/>
        <v/>
      </c>
      <c r="AP1050" s="543" t="str">
        <f t="shared" si="455"/>
        <v/>
      </c>
      <c r="AQ1050" s="544" t="str">
        <f t="shared" si="456"/>
        <v/>
      </c>
      <c r="AR1050" s="545">
        <f t="shared" si="457"/>
        <v>0</v>
      </c>
      <c r="AS1050" s="545">
        <f>IFERROR(CEILING($AR1050*VLOOKUP($I1050,Ref!$B$23:$E$29,4,0),1),0)</f>
        <v>0</v>
      </c>
      <c r="AT1050" s="545" t="str">
        <f>IF(A1050="","",IF(AP1050&lt;=1,"Cleared",IF(AS1050=0,"Clean",VLOOKUP($AS1050,Ref!$G$23:$H$28,2))))</f>
        <v/>
      </c>
      <c r="AU1050" s="546" t="str">
        <f t="shared" si="458"/>
        <v/>
      </c>
    </row>
    <row r="1051" spans="1:47" ht="14.25" hidden="1" customHeight="1" x14ac:dyDescent="0.15">
      <c r="A1051" s="523"/>
      <c r="B1051" s="523"/>
      <c r="C1051" s="523"/>
      <c r="D1051" s="523"/>
      <c r="E1051" s="579"/>
      <c r="F1051" s="580"/>
      <c r="G1051" s="524"/>
      <c r="H1051" s="555"/>
      <c r="I1051" s="560"/>
      <c r="J1051" s="523"/>
      <c r="K1051" s="528" t="str">
        <f>IFERROR(VLOOKUP($B1051,'Clients-Live'!$A:$C,3,0),"")</f>
        <v/>
      </c>
      <c r="L1051" s="528">
        <f>IF(E1051="STL",Pricing!$D$38,IF(A1051="",0,IF(A1051&lt;Pricing!$C$25,Pricing!$D$25,VLOOKUP(Disbursements!$F1051,Pricing!$B$29:$D$32,3))))</f>
        <v>0</v>
      </c>
      <c r="M1051" s="528">
        <f>IF(E1051="STL",0,IF(F1051&gt;0,Pricing!$D$21,0))</f>
        <v>0</v>
      </c>
      <c r="N1051" s="529">
        <f>IF(E1051="STL",F1051*Pricing!$D$40,IF(A1051&lt;=Pricing!$C$4,0,IF(AND(A1051&gt;Pricing!$C$4,Disbursements!A1051&lt;=Pricing!$C$5),F1051*Pricing!$E$5,IF(AND(A1051&gt;Pricing!$C$5,Disbursements!A1051&lt;=Pricing!$C$7),VLOOKUP(F1051,Pricing!$D$7:$E$8,2)*Disbursements!F1051,F1051*Pricing!$E$9))))</f>
        <v>0</v>
      </c>
      <c r="O1051" s="528">
        <f>IF(E1051="STL",0,IF($F1051&gt;0,$F1051*Pricing!$D$17,0))</f>
        <v>0</v>
      </c>
      <c r="P1051" s="530" t="str">
        <f t="shared" si="438"/>
        <v/>
      </c>
      <c r="Q1051" s="531" t="str">
        <f>IF($A1051="","",$G1051/VLOOKUP($I1051,Ref!$B$23:$D$29,2,0))</f>
        <v/>
      </c>
      <c r="R1051" s="530" t="str">
        <f t="shared" si="439"/>
        <v/>
      </c>
      <c r="S1051" s="532" t="str">
        <f t="shared" si="433"/>
        <v/>
      </c>
      <c r="T1051" s="531" t="str">
        <f t="shared" si="440"/>
        <v/>
      </c>
      <c r="U1051" s="533">
        <f t="shared" si="441"/>
        <v>0</v>
      </c>
      <c r="V1051" s="531" t="str">
        <f t="shared" si="442"/>
        <v/>
      </c>
      <c r="W1051" s="531" t="str">
        <f t="shared" si="443"/>
        <v/>
      </c>
      <c r="X1051" s="534" t="str">
        <f t="shared" si="444"/>
        <v/>
      </c>
      <c r="Y1051" s="535" t="str">
        <f>IF($A1051="","",IF($I1051="weekly",$A1051+7,EDATE($A1051,VLOOKUP($I1051,Ref!$B$24:$C$29,2,0))))</f>
        <v/>
      </c>
      <c r="Z1051" s="536" t="str">
        <f t="shared" si="445"/>
        <v/>
      </c>
      <c r="AA1051" s="531">
        <f t="shared" si="446"/>
        <v>0</v>
      </c>
      <c r="AB1051" s="535" t="str">
        <f t="shared" si="434"/>
        <v/>
      </c>
      <c r="AC1051" s="537" t="str">
        <f t="shared" si="435"/>
        <v/>
      </c>
      <c r="AD1051" s="538" t="str">
        <f t="shared" ca="1" si="436"/>
        <v/>
      </c>
      <c r="AE1051" s="537">
        <f t="shared" ca="1" si="437"/>
        <v>0</v>
      </c>
      <c r="AF1051" s="539" t="str">
        <f t="shared" ca="1" si="447"/>
        <v/>
      </c>
      <c r="AG1051" s="531" t="str">
        <f t="shared" ca="1" si="448"/>
        <v/>
      </c>
      <c r="AH1051" s="531" t="str">
        <f t="shared" ca="1" si="449"/>
        <v/>
      </c>
      <c r="AI1051" s="531" t="str">
        <f t="shared" ca="1" si="450"/>
        <v/>
      </c>
      <c r="AJ1051" s="531" t="str">
        <f t="shared" si="451"/>
        <v/>
      </c>
      <c r="AK1051" s="540">
        <f>SUMIFS('Live Collections'!$S:$S,'Live Collections'!$D:$D,Disbursements!B1051,'Live Collections'!$G:$G,Disbursements!C1051)</f>
        <v>0</v>
      </c>
      <c r="AL1051" s="540">
        <f>SUMIFS('Live Collections'!$T:$T,'Live Collections'!$D:$D,Disbursements!B1051,'Live Collections'!$G:$G,Disbursements!C1051)</f>
        <v>0</v>
      </c>
      <c r="AM1051" s="541">
        <f t="shared" si="452"/>
        <v>0</v>
      </c>
      <c r="AN1051" s="542" t="str">
        <f t="shared" si="453"/>
        <v/>
      </c>
      <c r="AO1051" s="542" t="str">
        <f t="shared" si="454"/>
        <v/>
      </c>
      <c r="AP1051" s="543" t="str">
        <f t="shared" si="455"/>
        <v/>
      </c>
      <c r="AQ1051" s="544" t="str">
        <f t="shared" si="456"/>
        <v/>
      </c>
      <c r="AR1051" s="545">
        <f t="shared" si="457"/>
        <v>0</v>
      </c>
      <c r="AS1051" s="545">
        <f>IFERROR(CEILING($AR1051*VLOOKUP($I1051,Ref!$B$23:$E$29,4,0),1),0)</f>
        <v>0</v>
      </c>
      <c r="AT1051" s="545" t="str">
        <f>IF(A1051="","",IF(AP1051&lt;=1,"Cleared",IF(AS1051=0,"Clean",VLOOKUP($AS1051,Ref!$G$23:$H$28,2))))</f>
        <v/>
      </c>
      <c r="AU1051" s="546" t="str">
        <f t="shared" si="458"/>
        <v/>
      </c>
    </row>
    <row r="1052" spans="1:47" ht="14.25" hidden="1" customHeight="1" x14ac:dyDescent="0.15">
      <c r="A1052" s="523"/>
      <c r="B1052" s="523"/>
      <c r="C1052" s="523"/>
      <c r="D1052" s="523"/>
      <c r="E1052" s="579"/>
      <c r="F1052" s="580"/>
      <c r="G1052" s="524"/>
      <c r="H1052" s="555"/>
      <c r="I1052" s="560"/>
      <c r="J1052" s="523"/>
      <c r="K1052" s="528" t="str">
        <f>IFERROR(VLOOKUP($B1052,'Clients-Live'!$A:$C,3,0),"")</f>
        <v/>
      </c>
      <c r="L1052" s="528">
        <f>IF(E1052="STL",Pricing!$D$38,IF(A1052="",0,IF(A1052&lt;Pricing!$C$25,Pricing!$D$25,VLOOKUP(Disbursements!$F1052,Pricing!$B$29:$D$32,3))))</f>
        <v>0</v>
      </c>
      <c r="M1052" s="528">
        <f>IF(E1052="STL",0,IF(F1052&gt;0,Pricing!$D$21,0))</f>
        <v>0</v>
      </c>
      <c r="N1052" s="529">
        <f>IF(E1052="STL",F1052*Pricing!$D$40,IF(A1052&lt;=Pricing!$C$4,0,IF(AND(A1052&gt;Pricing!$C$4,Disbursements!A1052&lt;=Pricing!$C$5),F1052*Pricing!$E$5,IF(AND(A1052&gt;Pricing!$C$5,Disbursements!A1052&lt;=Pricing!$C$7),VLOOKUP(F1052,Pricing!$D$7:$E$8,2)*Disbursements!F1052,F1052*Pricing!$E$9))))</f>
        <v>0</v>
      </c>
      <c r="O1052" s="528">
        <f>IF(E1052="STL",0,IF($F1052&gt;0,$F1052*Pricing!$D$17,0))</f>
        <v>0</v>
      </c>
      <c r="P1052" s="530" t="str">
        <f t="shared" si="438"/>
        <v/>
      </c>
      <c r="Q1052" s="531" t="str">
        <f>IF($A1052="","",$G1052/VLOOKUP($I1052,Ref!$B$23:$D$29,2,0))</f>
        <v/>
      </c>
      <c r="R1052" s="530" t="str">
        <f t="shared" si="439"/>
        <v/>
      </c>
      <c r="S1052" s="532" t="str">
        <f t="shared" si="433"/>
        <v/>
      </c>
      <c r="T1052" s="531" t="str">
        <f t="shared" si="440"/>
        <v/>
      </c>
      <c r="U1052" s="533">
        <f t="shared" si="441"/>
        <v>0</v>
      </c>
      <c r="V1052" s="531" t="str">
        <f t="shared" si="442"/>
        <v/>
      </c>
      <c r="W1052" s="531" t="str">
        <f t="shared" si="443"/>
        <v/>
      </c>
      <c r="X1052" s="534" t="str">
        <f t="shared" si="444"/>
        <v/>
      </c>
      <c r="Y1052" s="535" t="str">
        <f>IF($A1052="","",IF($I1052="weekly",$A1052+7,EDATE($A1052,VLOOKUP($I1052,Ref!$B$24:$C$29,2,0))))</f>
        <v/>
      </c>
      <c r="Z1052" s="536" t="str">
        <f t="shared" si="445"/>
        <v/>
      </c>
      <c r="AA1052" s="531">
        <f t="shared" si="446"/>
        <v>0</v>
      </c>
      <c r="AB1052" s="535" t="str">
        <f t="shared" si="434"/>
        <v/>
      </c>
      <c r="AC1052" s="537" t="str">
        <f t="shared" si="435"/>
        <v/>
      </c>
      <c r="AD1052" s="538" t="str">
        <f t="shared" ca="1" si="436"/>
        <v/>
      </c>
      <c r="AE1052" s="537">
        <f t="shared" ca="1" si="437"/>
        <v>0</v>
      </c>
      <c r="AF1052" s="539" t="str">
        <f t="shared" ca="1" si="447"/>
        <v/>
      </c>
      <c r="AG1052" s="531" t="str">
        <f t="shared" ca="1" si="448"/>
        <v/>
      </c>
      <c r="AH1052" s="531" t="str">
        <f t="shared" ca="1" si="449"/>
        <v/>
      </c>
      <c r="AI1052" s="531" t="str">
        <f t="shared" ca="1" si="450"/>
        <v/>
      </c>
      <c r="AJ1052" s="531" t="str">
        <f t="shared" si="451"/>
        <v/>
      </c>
      <c r="AK1052" s="540">
        <f>SUMIFS('Live Collections'!$S:$S,'Live Collections'!$D:$D,Disbursements!B1052,'Live Collections'!$G:$G,Disbursements!C1052)</f>
        <v>0</v>
      </c>
      <c r="AL1052" s="540">
        <f>SUMIFS('Live Collections'!$T:$T,'Live Collections'!$D:$D,Disbursements!B1052,'Live Collections'!$G:$G,Disbursements!C1052)</f>
        <v>0</v>
      </c>
      <c r="AM1052" s="541">
        <f t="shared" si="452"/>
        <v>0</v>
      </c>
      <c r="AN1052" s="542" t="str">
        <f t="shared" si="453"/>
        <v/>
      </c>
      <c r="AO1052" s="542" t="str">
        <f t="shared" si="454"/>
        <v/>
      </c>
      <c r="AP1052" s="543" t="str">
        <f t="shared" si="455"/>
        <v/>
      </c>
      <c r="AQ1052" s="544" t="str">
        <f t="shared" si="456"/>
        <v/>
      </c>
      <c r="AR1052" s="545">
        <f t="shared" si="457"/>
        <v>0</v>
      </c>
      <c r="AS1052" s="545">
        <f>IFERROR(CEILING($AR1052*VLOOKUP($I1052,Ref!$B$23:$E$29,4,0),1),0)</f>
        <v>0</v>
      </c>
      <c r="AT1052" s="545" t="str">
        <f>IF(A1052="","",IF(AP1052&lt;=1,"Cleared",IF(AS1052=0,"Clean",VLOOKUP($AS1052,Ref!$G$23:$H$28,2))))</f>
        <v/>
      </c>
      <c r="AU1052" s="546" t="str">
        <f t="shared" si="458"/>
        <v/>
      </c>
    </row>
    <row r="1053" spans="1:47" ht="14.25" hidden="1" customHeight="1" x14ac:dyDescent="0.15">
      <c r="A1053" s="523"/>
      <c r="B1053" s="523"/>
      <c r="C1053" s="523"/>
      <c r="D1053" s="523"/>
      <c r="E1053" s="579"/>
      <c r="F1053" s="580"/>
      <c r="G1053" s="524"/>
      <c r="H1053" s="555"/>
      <c r="I1053" s="560"/>
      <c r="J1053" s="523"/>
      <c r="K1053" s="528" t="str">
        <f>IFERROR(VLOOKUP($B1053,'Clients-Live'!$A:$C,3,0),"")</f>
        <v/>
      </c>
      <c r="L1053" s="528">
        <f>IF(E1053="STL",Pricing!$D$38,IF(A1053="",0,IF(A1053&lt;Pricing!$C$25,Pricing!$D$25,VLOOKUP(Disbursements!$F1053,Pricing!$B$29:$D$32,3))))</f>
        <v>0</v>
      </c>
      <c r="M1053" s="528">
        <f>IF(E1053="STL",0,IF(F1053&gt;0,Pricing!$D$21,0))</f>
        <v>0</v>
      </c>
      <c r="N1053" s="529">
        <f>IF(E1053="STL",F1053*Pricing!$D$40,IF(A1053&lt;=Pricing!$C$4,0,IF(AND(A1053&gt;Pricing!$C$4,Disbursements!A1053&lt;=Pricing!$C$5),F1053*Pricing!$E$5,IF(AND(A1053&gt;Pricing!$C$5,Disbursements!A1053&lt;=Pricing!$C$7),VLOOKUP(F1053,Pricing!$D$7:$E$8,2)*Disbursements!F1053,F1053*Pricing!$E$9))))</f>
        <v>0</v>
      </c>
      <c r="O1053" s="528">
        <f>IF(E1053="STL",0,IF($F1053&gt;0,$F1053*Pricing!$D$17,0))</f>
        <v>0</v>
      </c>
      <c r="P1053" s="530" t="str">
        <f t="shared" si="438"/>
        <v/>
      </c>
      <c r="Q1053" s="531" t="str">
        <f>IF($A1053="","",$G1053/VLOOKUP($I1053,Ref!$B$23:$D$29,2,0))</f>
        <v/>
      </c>
      <c r="R1053" s="530" t="str">
        <f t="shared" si="439"/>
        <v/>
      </c>
      <c r="S1053" s="532" t="str">
        <f t="shared" si="433"/>
        <v/>
      </c>
      <c r="T1053" s="531" t="str">
        <f t="shared" si="440"/>
        <v/>
      </c>
      <c r="U1053" s="533">
        <f t="shared" si="441"/>
        <v>0</v>
      </c>
      <c r="V1053" s="531" t="str">
        <f t="shared" si="442"/>
        <v/>
      </c>
      <c r="W1053" s="531" t="str">
        <f t="shared" si="443"/>
        <v/>
      </c>
      <c r="X1053" s="534" t="str">
        <f t="shared" si="444"/>
        <v/>
      </c>
      <c r="Y1053" s="535" t="str">
        <f>IF($A1053="","",IF($I1053="weekly",$A1053+7,EDATE($A1053,VLOOKUP($I1053,Ref!$B$24:$C$29,2,0))))</f>
        <v/>
      </c>
      <c r="Z1053" s="536" t="str">
        <f t="shared" si="445"/>
        <v/>
      </c>
      <c r="AA1053" s="531">
        <f t="shared" si="446"/>
        <v>0</v>
      </c>
      <c r="AB1053" s="535" t="str">
        <f t="shared" si="434"/>
        <v/>
      </c>
      <c r="AC1053" s="537" t="str">
        <f t="shared" si="435"/>
        <v/>
      </c>
      <c r="AD1053" s="538" t="str">
        <f t="shared" ca="1" si="436"/>
        <v/>
      </c>
      <c r="AE1053" s="537">
        <f t="shared" ca="1" si="437"/>
        <v>0</v>
      </c>
      <c r="AF1053" s="539" t="str">
        <f t="shared" ca="1" si="447"/>
        <v/>
      </c>
      <c r="AG1053" s="531" t="str">
        <f t="shared" ca="1" si="448"/>
        <v/>
      </c>
      <c r="AH1053" s="531" t="str">
        <f t="shared" ca="1" si="449"/>
        <v/>
      </c>
      <c r="AI1053" s="531" t="str">
        <f t="shared" ca="1" si="450"/>
        <v/>
      </c>
      <c r="AJ1053" s="531" t="str">
        <f t="shared" si="451"/>
        <v/>
      </c>
      <c r="AK1053" s="540">
        <f>SUMIFS('Live Collections'!$S:$S,'Live Collections'!$D:$D,Disbursements!B1053,'Live Collections'!$G:$G,Disbursements!C1053)</f>
        <v>0</v>
      </c>
      <c r="AL1053" s="540">
        <f>SUMIFS('Live Collections'!$T:$T,'Live Collections'!$D:$D,Disbursements!B1053,'Live Collections'!$G:$G,Disbursements!C1053)</f>
        <v>0</v>
      </c>
      <c r="AM1053" s="541">
        <f t="shared" si="452"/>
        <v>0</v>
      </c>
      <c r="AN1053" s="542" t="str">
        <f t="shared" si="453"/>
        <v/>
      </c>
      <c r="AO1053" s="542" t="str">
        <f t="shared" si="454"/>
        <v/>
      </c>
      <c r="AP1053" s="543" t="str">
        <f t="shared" si="455"/>
        <v/>
      </c>
      <c r="AQ1053" s="544" t="str">
        <f t="shared" si="456"/>
        <v/>
      </c>
      <c r="AR1053" s="545">
        <f t="shared" si="457"/>
        <v>0</v>
      </c>
      <c r="AS1053" s="545">
        <f>IFERROR(CEILING($AR1053*VLOOKUP($I1053,Ref!$B$23:$E$29,4,0),1),0)</f>
        <v>0</v>
      </c>
      <c r="AT1053" s="545" t="str">
        <f>IF(A1053="","",IF(AP1053&lt;=1,"Cleared",IF(AS1053=0,"Clean",VLOOKUP($AS1053,Ref!$G$23:$H$28,2))))</f>
        <v/>
      </c>
      <c r="AU1053" s="546" t="str">
        <f t="shared" si="458"/>
        <v/>
      </c>
    </row>
    <row r="1054" spans="1:47" ht="14.25" hidden="1" customHeight="1" x14ac:dyDescent="0.15">
      <c r="A1054" s="523"/>
      <c r="B1054" s="523"/>
      <c r="C1054" s="523"/>
      <c r="D1054" s="523"/>
      <c r="E1054" s="579"/>
      <c r="F1054" s="580"/>
      <c r="G1054" s="524"/>
      <c r="H1054" s="555"/>
      <c r="I1054" s="560"/>
      <c r="J1054" s="523"/>
      <c r="K1054" s="528" t="str">
        <f>IFERROR(VLOOKUP($B1054,'Clients-Live'!$A:$C,3,0),"")</f>
        <v/>
      </c>
      <c r="L1054" s="528">
        <f>IF(E1054="STL",Pricing!$D$38,IF(A1054="",0,IF(A1054&lt;Pricing!$C$25,Pricing!$D$25,VLOOKUP(Disbursements!$F1054,Pricing!$B$29:$D$32,3))))</f>
        <v>0</v>
      </c>
      <c r="M1054" s="528">
        <f>IF(E1054="STL",0,IF(F1054&gt;0,Pricing!$D$21,0))</f>
        <v>0</v>
      </c>
      <c r="N1054" s="529">
        <f>IF(E1054="STL",F1054*Pricing!$D$40,IF(A1054&lt;=Pricing!$C$4,0,IF(AND(A1054&gt;Pricing!$C$4,Disbursements!A1054&lt;=Pricing!$C$5),F1054*Pricing!$E$5,IF(AND(A1054&gt;Pricing!$C$5,Disbursements!A1054&lt;=Pricing!$C$7),VLOOKUP(F1054,Pricing!$D$7:$E$8,2)*Disbursements!F1054,F1054*Pricing!$E$9))))</f>
        <v>0</v>
      </c>
      <c r="O1054" s="528">
        <f>IF(E1054="STL",0,IF($F1054&gt;0,$F1054*Pricing!$D$17,0))</f>
        <v>0</v>
      </c>
      <c r="P1054" s="530" t="str">
        <f t="shared" si="438"/>
        <v/>
      </c>
      <c r="Q1054" s="531" t="str">
        <f>IF($A1054="","",$G1054/VLOOKUP($I1054,Ref!$B$23:$D$29,2,0))</f>
        <v/>
      </c>
      <c r="R1054" s="530" t="str">
        <f t="shared" si="439"/>
        <v/>
      </c>
      <c r="S1054" s="532" t="str">
        <f t="shared" si="433"/>
        <v/>
      </c>
      <c r="T1054" s="531" t="str">
        <f t="shared" si="440"/>
        <v/>
      </c>
      <c r="U1054" s="533">
        <f t="shared" si="441"/>
        <v>0</v>
      </c>
      <c r="V1054" s="531" t="str">
        <f t="shared" si="442"/>
        <v/>
      </c>
      <c r="W1054" s="531" t="str">
        <f t="shared" si="443"/>
        <v/>
      </c>
      <c r="X1054" s="534" t="str">
        <f t="shared" si="444"/>
        <v/>
      </c>
      <c r="Y1054" s="535" t="str">
        <f>IF($A1054="","",IF($I1054="weekly",$A1054+7,EDATE($A1054,VLOOKUP($I1054,Ref!$B$24:$C$29,2,0))))</f>
        <v/>
      </c>
      <c r="Z1054" s="536" t="str">
        <f t="shared" si="445"/>
        <v/>
      </c>
      <c r="AA1054" s="531">
        <f t="shared" si="446"/>
        <v>0</v>
      </c>
      <c r="AB1054" s="535" t="str">
        <f t="shared" si="434"/>
        <v/>
      </c>
      <c r="AC1054" s="537" t="str">
        <f t="shared" si="435"/>
        <v/>
      </c>
      <c r="AD1054" s="538" t="str">
        <f t="shared" ca="1" si="436"/>
        <v/>
      </c>
      <c r="AE1054" s="537">
        <f t="shared" ca="1" si="437"/>
        <v>0</v>
      </c>
      <c r="AF1054" s="539" t="str">
        <f t="shared" ca="1" si="447"/>
        <v/>
      </c>
      <c r="AG1054" s="531" t="str">
        <f t="shared" ca="1" si="448"/>
        <v/>
      </c>
      <c r="AH1054" s="531" t="str">
        <f t="shared" ca="1" si="449"/>
        <v/>
      </c>
      <c r="AI1054" s="531" t="str">
        <f t="shared" ca="1" si="450"/>
        <v/>
      </c>
      <c r="AJ1054" s="531" t="str">
        <f t="shared" si="451"/>
        <v/>
      </c>
      <c r="AK1054" s="540">
        <f>SUMIFS('Live Collections'!$S:$S,'Live Collections'!$D:$D,Disbursements!B1054,'Live Collections'!$G:$G,Disbursements!C1054)</f>
        <v>0</v>
      </c>
      <c r="AL1054" s="540">
        <f>SUMIFS('Live Collections'!$T:$T,'Live Collections'!$D:$D,Disbursements!B1054,'Live Collections'!$G:$G,Disbursements!C1054)</f>
        <v>0</v>
      </c>
      <c r="AM1054" s="541">
        <f t="shared" si="452"/>
        <v>0</v>
      </c>
      <c r="AN1054" s="542" t="str">
        <f t="shared" si="453"/>
        <v/>
      </c>
      <c r="AO1054" s="542" t="str">
        <f t="shared" si="454"/>
        <v/>
      </c>
      <c r="AP1054" s="543" t="str">
        <f t="shared" si="455"/>
        <v/>
      </c>
      <c r="AQ1054" s="544" t="str">
        <f t="shared" si="456"/>
        <v/>
      </c>
      <c r="AR1054" s="545">
        <f t="shared" si="457"/>
        <v>0</v>
      </c>
      <c r="AS1054" s="545">
        <f>IFERROR(CEILING($AR1054*VLOOKUP($I1054,Ref!$B$23:$E$29,4,0),1),0)</f>
        <v>0</v>
      </c>
      <c r="AT1054" s="545" t="str">
        <f>IF(A1054="","",IF(AP1054&lt;=1,"Cleared",IF(AS1054=0,"Clean",VLOOKUP($AS1054,Ref!$G$23:$H$28,2))))</f>
        <v/>
      </c>
      <c r="AU1054" s="546" t="str">
        <f t="shared" si="458"/>
        <v/>
      </c>
    </row>
    <row r="1055" spans="1:47" ht="14.25" hidden="1" customHeight="1" x14ac:dyDescent="0.15">
      <c r="A1055" s="523"/>
      <c r="B1055" s="523"/>
      <c r="C1055" s="523"/>
      <c r="D1055" s="523"/>
      <c r="E1055" s="579"/>
      <c r="F1055" s="580"/>
      <c r="G1055" s="524"/>
      <c r="H1055" s="555"/>
      <c r="I1055" s="560"/>
      <c r="J1055" s="523"/>
      <c r="K1055" s="528" t="str">
        <f>IFERROR(VLOOKUP($B1055,'Clients-Live'!$A:$C,3,0),"")</f>
        <v/>
      </c>
      <c r="L1055" s="528">
        <f>IF(E1055="STL",Pricing!$D$38,IF(A1055="",0,IF(A1055&lt;Pricing!$C$25,Pricing!$D$25,VLOOKUP(Disbursements!$F1055,Pricing!$B$29:$D$32,3))))</f>
        <v>0</v>
      </c>
      <c r="M1055" s="528">
        <f>IF(E1055="STL",0,IF(F1055&gt;0,Pricing!$D$21,0))</f>
        <v>0</v>
      </c>
      <c r="N1055" s="529">
        <f>IF(E1055="STL",F1055*Pricing!$D$40,IF(A1055&lt;=Pricing!$C$4,0,IF(AND(A1055&gt;Pricing!$C$4,Disbursements!A1055&lt;=Pricing!$C$5),F1055*Pricing!$E$5,IF(AND(A1055&gt;Pricing!$C$5,Disbursements!A1055&lt;=Pricing!$C$7),VLOOKUP(F1055,Pricing!$D$7:$E$8,2)*Disbursements!F1055,F1055*Pricing!$E$9))))</f>
        <v>0</v>
      </c>
      <c r="O1055" s="528">
        <f>IF(E1055="STL",0,IF($F1055&gt;0,$F1055*Pricing!$D$17,0))</f>
        <v>0</v>
      </c>
      <c r="P1055" s="530" t="str">
        <f t="shared" si="438"/>
        <v/>
      </c>
      <c r="Q1055" s="531" t="str">
        <f>IF($A1055="","",$G1055/VLOOKUP($I1055,Ref!$B$23:$D$29,2,0))</f>
        <v/>
      </c>
      <c r="R1055" s="530" t="str">
        <f t="shared" si="439"/>
        <v/>
      </c>
      <c r="S1055" s="532" t="str">
        <f t="shared" si="433"/>
        <v/>
      </c>
      <c r="T1055" s="531" t="str">
        <f t="shared" si="440"/>
        <v/>
      </c>
      <c r="U1055" s="533">
        <f t="shared" si="441"/>
        <v>0</v>
      </c>
      <c r="V1055" s="531" t="str">
        <f t="shared" si="442"/>
        <v/>
      </c>
      <c r="W1055" s="531" t="str">
        <f t="shared" si="443"/>
        <v/>
      </c>
      <c r="X1055" s="534" t="str">
        <f t="shared" si="444"/>
        <v/>
      </c>
      <c r="Y1055" s="535" t="str">
        <f>IF($A1055="","",IF($I1055="weekly",$A1055+7,EDATE($A1055,VLOOKUP($I1055,Ref!$B$24:$C$29,2,0))))</f>
        <v/>
      </c>
      <c r="Z1055" s="536" t="str">
        <f t="shared" si="445"/>
        <v/>
      </c>
      <c r="AA1055" s="531">
        <f t="shared" si="446"/>
        <v>0</v>
      </c>
      <c r="AB1055" s="535" t="str">
        <f t="shared" si="434"/>
        <v/>
      </c>
      <c r="AC1055" s="537" t="str">
        <f t="shared" si="435"/>
        <v/>
      </c>
      <c r="AD1055" s="538" t="str">
        <f t="shared" ca="1" si="436"/>
        <v/>
      </c>
      <c r="AE1055" s="537">
        <f t="shared" ca="1" si="437"/>
        <v>0</v>
      </c>
      <c r="AF1055" s="539" t="str">
        <f t="shared" ca="1" si="447"/>
        <v/>
      </c>
      <c r="AG1055" s="531" t="str">
        <f t="shared" ca="1" si="448"/>
        <v/>
      </c>
      <c r="AH1055" s="531" t="str">
        <f t="shared" ca="1" si="449"/>
        <v/>
      </c>
      <c r="AI1055" s="531" t="str">
        <f t="shared" ca="1" si="450"/>
        <v/>
      </c>
      <c r="AJ1055" s="531" t="str">
        <f t="shared" si="451"/>
        <v/>
      </c>
      <c r="AK1055" s="540">
        <f>SUMIFS('Live Collections'!$S:$S,'Live Collections'!$D:$D,Disbursements!B1055,'Live Collections'!$G:$G,Disbursements!C1055)</f>
        <v>0</v>
      </c>
      <c r="AL1055" s="540">
        <f>SUMIFS('Live Collections'!$T:$T,'Live Collections'!$D:$D,Disbursements!B1055,'Live Collections'!$G:$G,Disbursements!C1055)</f>
        <v>0</v>
      </c>
      <c r="AM1055" s="541">
        <f t="shared" si="452"/>
        <v>0</v>
      </c>
      <c r="AN1055" s="542" t="str">
        <f t="shared" si="453"/>
        <v/>
      </c>
      <c r="AO1055" s="542" t="str">
        <f t="shared" si="454"/>
        <v/>
      </c>
      <c r="AP1055" s="543" t="str">
        <f t="shared" si="455"/>
        <v/>
      </c>
      <c r="AQ1055" s="544" t="str">
        <f t="shared" si="456"/>
        <v/>
      </c>
      <c r="AR1055" s="545">
        <f t="shared" si="457"/>
        <v>0</v>
      </c>
      <c r="AS1055" s="545">
        <f>IFERROR(CEILING($AR1055*VLOOKUP($I1055,Ref!$B$23:$E$29,4,0),1),0)</f>
        <v>0</v>
      </c>
      <c r="AT1055" s="545" t="str">
        <f>IF(A1055="","",IF(AP1055&lt;=1,"Cleared",IF(AS1055=0,"Clean",VLOOKUP($AS1055,Ref!$G$23:$H$28,2))))</f>
        <v/>
      </c>
      <c r="AU1055" s="546" t="str">
        <f t="shared" si="458"/>
        <v/>
      </c>
    </row>
    <row r="1056" spans="1:47" ht="14.25" hidden="1" customHeight="1" x14ac:dyDescent="0.15">
      <c r="A1056" s="523"/>
      <c r="B1056" s="523"/>
      <c r="C1056" s="523"/>
      <c r="D1056" s="523"/>
      <c r="E1056" s="579"/>
      <c r="F1056" s="580"/>
      <c r="G1056" s="524"/>
      <c r="H1056" s="555"/>
      <c r="I1056" s="560"/>
      <c r="J1056" s="523"/>
      <c r="K1056" s="528" t="str">
        <f>IFERROR(VLOOKUP($B1056,'Clients-Live'!$A:$C,3,0),"")</f>
        <v/>
      </c>
      <c r="L1056" s="528">
        <f>IF(E1056="STL",Pricing!$D$38,IF(A1056="",0,IF(A1056&lt;Pricing!$C$25,Pricing!$D$25,VLOOKUP(Disbursements!$F1056,Pricing!$B$29:$D$32,3))))</f>
        <v>0</v>
      </c>
      <c r="M1056" s="528">
        <f>IF(E1056="STL",0,IF(F1056&gt;0,Pricing!$D$21,0))</f>
        <v>0</v>
      </c>
      <c r="N1056" s="529">
        <f>IF(E1056="STL",F1056*Pricing!$D$40,IF(A1056&lt;=Pricing!$C$4,0,IF(AND(A1056&gt;Pricing!$C$4,Disbursements!A1056&lt;=Pricing!$C$5),F1056*Pricing!$E$5,IF(AND(A1056&gt;Pricing!$C$5,Disbursements!A1056&lt;=Pricing!$C$7),VLOOKUP(F1056,Pricing!$D$7:$E$8,2)*Disbursements!F1056,F1056*Pricing!$E$9))))</f>
        <v>0</v>
      </c>
      <c r="O1056" s="528">
        <f>IF(E1056="STL",0,IF($F1056&gt;0,$F1056*Pricing!$D$17,0))</f>
        <v>0</v>
      </c>
      <c r="P1056" s="530" t="str">
        <f t="shared" si="438"/>
        <v/>
      </c>
      <c r="Q1056" s="531" t="str">
        <f>IF($A1056="","",$G1056/VLOOKUP($I1056,Ref!$B$23:$D$29,2,0))</f>
        <v/>
      </c>
      <c r="R1056" s="530" t="str">
        <f t="shared" si="439"/>
        <v/>
      </c>
      <c r="S1056" s="532" t="str">
        <f t="shared" si="433"/>
        <v/>
      </c>
      <c r="T1056" s="531" t="str">
        <f t="shared" si="440"/>
        <v/>
      </c>
      <c r="U1056" s="533">
        <f t="shared" si="441"/>
        <v>0</v>
      </c>
      <c r="V1056" s="531" t="str">
        <f t="shared" si="442"/>
        <v/>
      </c>
      <c r="W1056" s="531" t="str">
        <f t="shared" si="443"/>
        <v/>
      </c>
      <c r="X1056" s="534" t="str">
        <f t="shared" si="444"/>
        <v/>
      </c>
      <c r="Y1056" s="535" t="str">
        <f>IF($A1056="","",IF($I1056="weekly",$A1056+7,EDATE($A1056,VLOOKUP($I1056,Ref!$B$24:$C$29,2,0))))</f>
        <v/>
      </c>
      <c r="Z1056" s="536" t="str">
        <f t="shared" si="445"/>
        <v/>
      </c>
      <c r="AA1056" s="531">
        <f t="shared" si="446"/>
        <v>0</v>
      </c>
      <c r="AB1056" s="535" t="str">
        <f t="shared" si="434"/>
        <v/>
      </c>
      <c r="AC1056" s="537" t="str">
        <f t="shared" si="435"/>
        <v/>
      </c>
      <c r="AD1056" s="538" t="str">
        <f t="shared" ca="1" si="436"/>
        <v/>
      </c>
      <c r="AE1056" s="537">
        <f t="shared" ca="1" si="437"/>
        <v>0</v>
      </c>
      <c r="AF1056" s="539" t="str">
        <f t="shared" ca="1" si="447"/>
        <v/>
      </c>
      <c r="AG1056" s="531" t="str">
        <f t="shared" ca="1" si="448"/>
        <v/>
      </c>
      <c r="AH1056" s="531" t="str">
        <f t="shared" ca="1" si="449"/>
        <v/>
      </c>
      <c r="AI1056" s="531" t="str">
        <f t="shared" ca="1" si="450"/>
        <v/>
      </c>
      <c r="AJ1056" s="531" t="str">
        <f t="shared" si="451"/>
        <v/>
      </c>
      <c r="AK1056" s="540">
        <f>SUMIFS('Live Collections'!$S:$S,'Live Collections'!$D:$D,Disbursements!B1056,'Live Collections'!$G:$G,Disbursements!C1056)</f>
        <v>0</v>
      </c>
      <c r="AL1056" s="540">
        <f>SUMIFS('Live Collections'!$T:$T,'Live Collections'!$D:$D,Disbursements!B1056,'Live Collections'!$G:$G,Disbursements!C1056)</f>
        <v>0</v>
      </c>
      <c r="AM1056" s="541">
        <f t="shared" si="452"/>
        <v>0</v>
      </c>
      <c r="AN1056" s="542" t="str">
        <f t="shared" si="453"/>
        <v/>
      </c>
      <c r="AO1056" s="542" t="str">
        <f t="shared" si="454"/>
        <v/>
      </c>
      <c r="AP1056" s="543" t="str">
        <f t="shared" si="455"/>
        <v/>
      </c>
      <c r="AQ1056" s="544" t="str">
        <f t="shared" si="456"/>
        <v/>
      </c>
      <c r="AR1056" s="545">
        <f t="shared" si="457"/>
        <v>0</v>
      </c>
      <c r="AS1056" s="545">
        <f>IFERROR(CEILING($AR1056*VLOOKUP($I1056,Ref!$B$23:$E$29,4,0),1),0)</f>
        <v>0</v>
      </c>
      <c r="AT1056" s="545" t="str">
        <f>IF(A1056="","",IF(AP1056&lt;=1,"Cleared",IF(AS1056=0,"Clean",VLOOKUP($AS1056,Ref!$G$23:$H$28,2))))</f>
        <v/>
      </c>
      <c r="AU1056" s="546" t="str">
        <f t="shared" si="458"/>
        <v/>
      </c>
    </row>
    <row r="1057" spans="1:47" ht="14.25" hidden="1" customHeight="1" x14ac:dyDescent="0.15">
      <c r="A1057" s="523"/>
      <c r="B1057" s="523"/>
      <c r="C1057" s="523"/>
      <c r="D1057" s="523"/>
      <c r="E1057" s="579"/>
      <c r="F1057" s="580"/>
      <c r="G1057" s="524"/>
      <c r="H1057" s="555"/>
      <c r="I1057" s="560"/>
      <c r="J1057" s="523"/>
      <c r="K1057" s="528" t="str">
        <f>IFERROR(VLOOKUP($B1057,'Clients-Live'!$A:$C,3,0),"")</f>
        <v/>
      </c>
      <c r="L1057" s="528">
        <f>IF(E1057="STL",Pricing!$D$38,IF(A1057="",0,IF(A1057&lt;Pricing!$C$25,Pricing!$D$25,VLOOKUP(Disbursements!$F1057,Pricing!$B$29:$D$32,3))))</f>
        <v>0</v>
      </c>
      <c r="M1057" s="528">
        <f>IF(E1057="STL",0,IF(F1057&gt;0,Pricing!$D$21,0))</f>
        <v>0</v>
      </c>
      <c r="N1057" s="529">
        <f>IF(E1057="STL",F1057*Pricing!$D$40,IF(A1057&lt;=Pricing!$C$4,0,IF(AND(A1057&gt;Pricing!$C$4,Disbursements!A1057&lt;=Pricing!$C$5),F1057*Pricing!$E$5,IF(AND(A1057&gt;Pricing!$C$5,Disbursements!A1057&lt;=Pricing!$C$7),VLOOKUP(F1057,Pricing!$D$7:$E$8,2)*Disbursements!F1057,F1057*Pricing!$E$9))))</f>
        <v>0</v>
      </c>
      <c r="O1057" s="528">
        <f>IF(E1057="STL",0,IF($F1057&gt;0,$F1057*Pricing!$D$17,0))</f>
        <v>0</v>
      </c>
      <c r="P1057" s="530" t="str">
        <f t="shared" si="438"/>
        <v/>
      </c>
      <c r="Q1057" s="531" t="str">
        <f>IF($A1057="","",$G1057/VLOOKUP($I1057,Ref!$B$23:$D$29,2,0))</f>
        <v/>
      </c>
      <c r="R1057" s="530" t="str">
        <f t="shared" si="439"/>
        <v/>
      </c>
      <c r="S1057" s="532" t="str">
        <f t="shared" si="433"/>
        <v/>
      </c>
      <c r="T1057" s="531" t="str">
        <f t="shared" si="440"/>
        <v/>
      </c>
      <c r="U1057" s="533">
        <f t="shared" si="441"/>
        <v>0</v>
      </c>
      <c r="V1057" s="531" t="str">
        <f t="shared" si="442"/>
        <v/>
      </c>
      <c r="W1057" s="531" t="str">
        <f t="shared" si="443"/>
        <v/>
      </c>
      <c r="X1057" s="534" t="str">
        <f t="shared" si="444"/>
        <v/>
      </c>
      <c r="Y1057" s="535" t="str">
        <f>IF($A1057="","",IF($I1057="weekly",$A1057+7,EDATE($A1057,VLOOKUP($I1057,Ref!$B$24:$C$29,2,0))))</f>
        <v/>
      </c>
      <c r="Z1057" s="536" t="str">
        <f t="shared" si="445"/>
        <v/>
      </c>
      <c r="AA1057" s="531">
        <f t="shared" si="446"/>
        <v>0</v>
      </c>
      <c r="AB1057" s="535" t="str">
        <f t="shared" si="434"/>
        <v/>
      </c>
      <c r="AC1057" s="537" t="str">
        <f t="shared" si="435"/>
        <v/>
      </c>
      <c r="AD1057" s="538" t="str">
        <f t="shared" ca="1" si="436"/>
        <v/>
      </c>
      <c r="AE1057" s="537">
        <f t="shared" ca="1" si="437"/>
        <v>0</v>
      </c>
      <c r="AF1057" s="539" t="str">
        <f t="shared" ca="1" si="447"/>
        <v/>
      </c>
      <c r="AG1057" s="531" t="str">
        <f t="shared" ca="1" si="448"/>
        <v/>
      </c>
      <c r="AH1057" s="531" t="str">
        <f t="shared" ca="1" si="449"/>
        <v/>
      </c>
      <c r="AI1057" s="531" t="str">
        <f t="shared" ca="1" si="450"/>
        <v/>
      </c>
      <c r="AJ1057" s="531" t="str">
        <f t="shared" si="451"/>
        <v/>
      </c>
      <c r="AK1057" s="540">
        <f>SUMIFS('Live Collections'!$S:$S,'Live Collections'!$D:$D,Disbursements!B1057,'Live Collections'!$G:$G,Disbursements!C1057)</f>
        <v>0</v>
      </c>
      <c r="AL1057" s="540">
        <f>SUMIFS('Live Collections'!$T:$T,'Live Collections'!$D:$D,Disbursements!B1057,'Live Collections'!$G:$G,Disbursements!C1057)</f>
        <v>0</v>
      </c>
      <c r="AM1057" s="541">
        <f t="shared" si="452"/>
        <v>0</v>
      </c>
      <c r="AN1057" s="542" t="str">
        <f t="shared" si="453"/>
        <v/>
      </c>
      <c r="AO1057" s="542" t="str">
        <f t="shared" si="454"/>
        <v/>
      </c>
      <c r="AP1057" s="543" t="str">
        <f t="shared" si="455"/>
        <v/>
      </c>
      <c r="AQ1057" s="544" t="str">
        <f t="shared" si="456"/>
        <v/>
      </c>
      <c r="AR1057" s="545">
        <f t="shared" si="457"/>
        <v>0</v>
      </c>
      <c r="AS1057" s="545">
        <f>IFERROR(CEILING($AR1057*VLOOKUP($I1057,Ref!$B$23:$E$29,4,0),1),0)</f>
        <v>0</v>
      </c>
      <c r="AT1057" s="545" t="str">
        <f>IF(A1057="","",IF(AP1057&lt;=1,"Cleared",IF(AS1057=0,"Clean",VLOOKUP($AS1057,Ref!$G$23:$H$28,2))))</f>
        <v/>
      </c>
      <c r="AU1057" s="546" t="str">
        <f t="shared" si="458"/>
        <v/>
      </c>
    </row>
    <row r="1058" spans="1:47" ht="14.25" hidden="1" customHeight="1" x14ac:dyDescent="0.15">
      <c r="A1058" s="523"/>
      <c r="B1058" s="523"/>
      <c r="C1058" s="523"/>
      <c r="D1058" s="523"/>
      <c r="E1058" s="579"/>
      <c r="F1058" s="580"/>
      <c r="G1058" s="524"/>
      <c r="H1058" s="555"/>
      <c r="I1058" s="560"/>
      <c r="J1058" s="523"/>
      <c r="K1058" s="528" t="str">
        <f>IFERROR(VLOOKUP($B1058,'Clients-Live'!$A:$C,3,0),"")</f>
        <v/>
      </c>
      <c r="L1058" s="528">
        <f>IF(E1058="STL",Pricing!$D$38,IF(A1058="",0,IF(A1058&lt;Pricing!$C$25,Pricing!$D$25,VLOOKUP(Disbursements!$F1058,Pricing!$B$29:$D$32,3))))</f>
        <v>0</v>
      </c>
      <c r="M1058" s="528">
        <f>IF(E1058="STL",0,IF(F1058&gt;0,Pricing!$D$21,0))</f>
        <v>0</v>
      </c>
      <c r="N1058" s="529">
        <f>IF(E1058="STL",F1058*Pricing!$D$40,IF(A1058&lt;=Pricing!$C$4,0,IF(AND(A1058&gt;Pricing!$C$4,Disbursements!A1058&lt;=Pricing!$C$5),F1058*Pricing!$E$5,IF(AND(A1058&gt;Pricing!$C$5,Disbursements!A1058&lt;=Pricing!$C$7),VLOOKUP(F1058,Pricing!$D$7:$E$8,2)*Disbursements!F1058,F1058*Pricing!$E$9))))</f>
        <v>0</v>
      </c>
      <c r="O1058" s="528">
        <f>IF(E1058="STL",0,IF($F1058&gt;0,$F1058*Pricing!$D$17,0))</f>
        <v>0</v>
      </c>
      <c r="P1058" s="530" t="str">
        <f t="shared" si="438"/>
        <v/>
      </c>
      <c r="Q1058" s="531" t="str">
        <f>IF($A1058="","",$G1058/VLOOKUP($I1058,Ref!$B$23:$D$29,2,0))</f>
        <v/>
      </c>
      <c r="R1058" s="530" t="str">
        <f t="shared" si="439"/>
        <v/>
      </c>
      <c r="S1058" s="532" t="str">
        <f t="shared" si="433"/>
        <v/>
      </c>
      <c r="T1058" s="531" t="str">
        <f t="shared" si="440"/>
        <v/>
      </c>
      <c r="U1058" s="533">
        <f t="shared" si="441"/>
        <v>0</v>
      </c>
      <c r="V1058" s="531" t="str">
        <f t="shared" si="442"/>
        <v/>
      </c>
      <c r="W1058" s="531" t="str">
        <f t="shared" si="443"/>
        <v/>
      </c>
      <c r="X1058" s="534" t="str">
        <f t="shared" si="444"/>
        <v/>
      </c>
      <c r="Y1058" s="535" t="str">
        <f>IF($A1058="","",IF($I1058="weekly",$A1058+7,EDATE($A1058,VLOOKUP($I1058,Ref!$B$24:$C$29,2,0))))</f>
        <v/>
      </c>
      <c r="Z1058" s="536" t="str">
        <f t="shared" si="445"/>
        <v/>
      </c>
      <c r="AA1058" s="531">
        <f t="shared" si="446"/>
        <v>0</v>
      </c>
      <c r="AB1058" s="535" t="str">
        <f t="shared" si="434"/>
        <v/>
      </c>
      <c r="AC1058" s="537" t="str">
        <f t="shared" si="435"/>
        <v/>
      </c>
      <c r="AD1058" s="538" t="str">
        <f t="shared" ca="1" si="436"/>
        <v/>
      </c>
      <c r="AE1058" s="537">
        <f t="shared" ca="1" si="437"/>
        <v>0</v>
      </c>
      <c r="AF1058" s="539" t="str">
        <f t="shared" ca="1" si="447"/>
        <v/>
      </c>
      <c r="AG1058" s="531" t="str">
        <f t="shared" ca="1" si="448"/>
        <v/>
      </c>
      <c r="AH1058" s="531" t="str">
        <f t="shared" ca="1" si="449"/>
        <v/>
      </c>
      <c r="AI1058" s="531" t="str">
        <f t="shared" ca="1" si="450"/>
        <v/>
      </c>
      <c r="AJ1058" s="531" t="str">
        <f t="shared" si="451"/>
        <v/>
      </c>
      <c r="AK1058" s="540">
        <f>SUMIFS('Live Collections'!$S:$S,'Live Collections'!$D:$D,Disbursements!B1058,'Live Collections'!$G:$G,Disbursements!C1058)</f>
        <v>0</v>
      </c>
      <c r="AL1058" s="540">
        <f>SUMIFS('Live Collections'!$T:$T,'Live Collections'!$D:$D,Disbursements!B1058,'Live Collections'!$G:$G,Disbursements!C1058)</f>
        <v>0</v>
      </c>
      <c r="AM1058" s="541">
        <f t="shared" si="452"/>
        <v>0</v>
      </c>
      <c r="AN1058" s="542" t="str">
        <f t="shared" si="453"/>
        <v/>
      </c>
      <c r="AO1058" s="542" t="str">
        <f t="shared" si="454"/>
        <v/>
      </c>
      <c r="AP1058" s="543" t="str">
        <f t="shared" si="455"/>
        <v/>
      </c>
      <c r="AQ1058" s="544" t="str">
        <f t="shared" si="456"/>
        <v/>
      </c>
      <c r="AR1058" s="545">
        <f t="shared" si="457"/>
        <v>0</v>
      </c>
      <c r="AS1058" s="545">
        <f>IFERROR(CEILING($AR1058*VLOOKUP($I1058,Ref!$B$23:$E$29,4,0),1),0)</f>
        <v>0</v>
      </c>
      <c r="AT1058" s="545" t="str">
        <f>IF(A1058="","",IF(AP1058&lt;=1,"Cleared",IF(AS1058=0,"Clean",VLOOKUP($AS1058,Ref!$G$23:$H$28,2))))</f>
        <v/>
      </c>
      <c r="AU1058" s="546" t="str">
        <f t="shared" si="458"/>
        <v/>
      </c>
    </row>
    <row r="1059" spans="1:47" ht="14.25" hidden="1" customHeight="1" x14ac:dyDescent="0.15">
      <c r="A1059" s="523"/>
      <c r="B1059" s="523"/>
      <c r="C1059" s="523"/>
      <c r="D1059" s="523"/>
      <c r="E1059" s="579"/>
      <c r="F1059" s="580"/>
      <c r="G1059" s="524"/>
      <c r="H1059" s="555"/>
      <c r="I1059" s="560"/>
      <c r="J1059" s="523"/>
      <c r="K1059" s="528" t="str">
        <f>IFERROR(VLOOKUP($B1059,'Clients-Live'!$A:$C,3,0),"")</f>
        <v/>
      </c>
      <c r="L1059" s="528">
        <f>IF(E1059="STL",Pricing!$D$38,IF(A1059="",0,IF(A1059&lt;Pricing!$C$25,Pricing!$D$25,VLOOKUP(Disbursements!$F1059,Pricing!$B$29:$D$32,3))))</f>
        <v>0</v>
      </c>
      <c r="M1059" s="528">
        <f>IF(E1059="STL",0,IF(F1059&gt;0,Pricing!$D$21,0))</f>
        <v>0</v>
      </c>
      <c r="N1059" s="529">
        <f>IF(E1059="STL",F1059*Pricing!$D$40,IF(A1059&lt;=Pricing!$C$4,0,IF(AND(A1059&gt;Pricing!$C$4,Disbursements!A1059&lt;=Pricing!$C$5),F1059*Pricing!$E$5,IF(AND(A1059&gt;Pricing!$C$5,Disbursements!A1059&lt;=Pricing!$C$7),VLOOKUP(F1059,Pricing!$D$7:$E$8,2)*Disbursements!F1059,F1059*Pricing!$E$9))))</f>
        <v>0</v>
      </c>
      <c r="O1059" s="528">
        <f>IF(E1059="STL",0,IF($F1059&gt;0,$F1059*Pricing!$D$17,0))</f>
        <v>0</v>
      </c>
      <c r="P1059" s="530" t="str">
        <f t="shared" si="438"/>
        <v/>
      </c>
      <c r="Q1059" s="531" t="str">
        <f>IF($A1059="","",$G1059/VLOOKUP($I1059,Ref!$B$23:$D$29,2,0))</f>
        <v/>
      </c>
      <c r="R1059" s="530" t="str">
        <f t="shared" si="439"/>
        <v/>
      </c>
      <c r="S1059" s="532" t="str">
        <f t="shared" si="433"/>
        <v/>
      </c>
      <c r="T1059" s="531" t="str">
        <f t="shared" si="440"/>
        <v/>
      </c>
      <c r="U1059" s="533">
        <f t="shared" si="441"/>
        <v>0</v>
      </c>
      <c r="V1059" s="531" t="str">
        <f t="shared" si="442"/>
        <v/>
      </c>
      <c r="W1059" s="531" t="str">
        <f t="shared" si="443"/>
        <v/>
      </c>
      <c r="X1059" s="534" t="str">
        <f t="shared" si="444"/>
        <v/>
      </c>
      <c r="Y1059" s="535" t="str">
        <f>IF($A1059="","",IF($I1059="weekly",$A1059+7,EDATE($A1059,VLOOKUP($I1059,Ref!$B$24:$C$29,2,0))))</f>
        <v/>
      </c>
      <c r="Z1059" s="536" t="str">
        <f t="shared" si="445"/>
        <v/>
      </c>
      <c r="AA1059" s="531">
        <f t="shared" si="446"/>
        <v>0</v>
      </c>
      <c r="AB1059" s="535" t="str">
        <f t="shared" si="434"/>
        <v/>
      </c>
      <c r="AC1059" s="537" t="str">
        <f t="shared" si="435"/>
        <v/>
      </c>
      <c r="AD1059" s="538" t="str">
        <f t="shared" ca="1" si="436"/>
        <v/>
      </c>
      <c r="AE1059" s="537">
        <f t="shared" ca="1" si="437"/>
        <v>0</v>
      </c>
      <c r="AF1059" s="539" t="str">
        <f t="shared" ca="1" si="447"/>
        <v/>
      </c>
      <c r="AG1059" s="531" t="str">
        <f t="shared" ca="1" si="448"/>
        <v/>
      </c>
      <c r="AH1059" s="531" t="str">
        <f t="shared" ca="1" si="449"/>
        <v/>
      </c>
      <c r="AI1059" s="531" t="str">
        <f t="shared" ca="1" si="450"/>
        <v/>
      </c>
      <c r="AJ1059" s="531" t="str">
        <f t="shared" si="451"/>
        <v/>
      </c>
      <c r="AK1059" s="540">
        <f>SUMIFS('Live Collections'!$S:$S,'Live Collections'!$D:$D,Disbursements!B1059,'Live Collections'!$G:$G,Disbursements!C1059)</f>
        <v>0</v>
      </c>
      <c r="AL1059" s="540">
        <f>SUMIFS('Live Collections'!$T:$T,'Live Collections'!$D:$D,Disbursements!B1059,'Live Collections'!$G:$G,Disbursements!C1059)</f>
        <v>0</v>
      </c>
      <c r="AM1059" s="541">
        <f t="shared" si="452"/>
        <v>0</v>
      </c>
      <c r="AN1059" s="542" t="str">
        <f t="shared" si="453"/>
        <v/>
      </c>
      <c r="AO1059" s="542" t="str">
        <f t="shared" si="454"/>
        <v/>
      </c>
      <c r="AP1059" s="543" t="str">
        <f t="shared" si="455"/>
        <v/>
      </c>
      <c r="AQ1059" s="544" t="str">
        <f t="shared" si="456"/>
        <v/>
      </c>
      <c r="AR1059" s="545">
        <f t="shared" si="457"/>
        <v>0</v>
      </c>
      <c r="AS1059" s="545">
        <f>IFERROR(CEILING($AR1059*VLOOKUP($I1059,Ref!$B$23:$E$29,4,0),1),0)</f>
        <v>0</v>
      </c>
      <c r="AT1059" s="545" t="str">
        <f>IF(A1059="","",IF(AP1059&lt;=1,"Cleared",IF(AS1059=0,"Clean",VLOOKUP($AS1059,Ref!$G$23:$H$28,2))))</f>
        <v/>
      </c>
      <c r="AU1059" s="546" t="str">
        <f t="shared" si="458"/>
        <v/>
      </c>
    </row>
    <row r="1060" spans="1:47" ht="14.25" hidden="1" customHeight="1" x14ac:dyDescent="0.15">
      <c r="A1060" s="523"/>
      <c r="B1060" s="523"/>
      <c r="C1060" s="523"/>
      <c r="D1060" s="523"/>
      <c r="E1060" s="579"/>
      <c r="F1060" s="580"/>
      <c r="G1060" s="524"/>
      <c r="H1060" s="555"/>
      <c r="I1060" s="560"/>
      <c r="J1060" s="523"/>
      <c r="K1060" s="528" t="str">
        <f>IFERROR(VLOOKUP($B1060,'Clients-Live'!$A:$C,3,0),"")</f>
        <v/>
      </c>
      <c r="L1060" s="528">
        <f>IF(E1060="STL",Pricing!$D$38,IF(A1060="",0,IF(A1060&lt;Pricing!$C$25,Pricing!$D$25,VLOOKUP(Disbursements!$F1060,Pricing!$B$29:$D$32,3))))</f>
        <v>0</v>
      </c>
      <c r="M1060" s="528">
        <f>IF(E1060="STL",0,IF(F1060&gt;0,Pricing!$D$21,0))</f>
        <v>0</v>
      </c>
      <c r="N1060" s="529">
        <f>IF(E1060="STL",F1060*Pricing!$D$40,IF(A1060&lt;=Pricing!$C$4,0,IF(AND(A1060&gt;Pricing!$C$4,Disbursements!A1060&lt;=Pricing!$C$5),F1060*Pricing!$E$5,IF(AND(A1060&gt;Pricing!$C$5,Disbursements!A1060&lt;=Pricing!$C$7),VLOOKUP(F1060,Pricing!$D$7:$E$8,2)*Disbursements!F1060,F1060*Pricing!$E$9))))</f>
        <v>0</v>
      </c>
      <c r="O1060" s="528">
        <f>IF(E1060="STL",0,IF($F1060&gt;0,$F1060*Pricing!$D$17,0))</f>
        <v>0</v>
      </c>
      <c r="P1060" s="530" t="str">
        <f t="shared" si="438"/>
        <v/>
      </c>
      <c r="Q1060" s="531" t="str">
        <f>IF($A1060="","",$G1060/VLOOKUP($I1060,Ref!$B$23:$D$29,2,0))</f>
        <v/>
      </c>
      <c r="R1060" s="530" t="str">
        <f t="shared" si="439"/>
        <v/>
      </c>
      <c r="S1060" s="532" t="str">
        <f t="shared" si="433"/>
        <v/>
      </c>
      <c r="T1060" s="531" t="str">
        <f t="shared" si="440"/>
        <v/>
      </c>
      <c r="U1060" s="533">
        <f t="shared" si="441"/>
        <v>0</v>
      </c>
      <c r="V1060" s="531" t="str">
        <f t="shared" si="442"/>
        <v/>
      </c>
      <c r="W1060" s="531" t="str">
        <f t="shared" si="443"/>
        <v/>
      </c>
      <c r="X1060" s="534" t="str">
        <f t="shared" si="444"/>
        <v/>
      </c>
      <c r="Y1060" s="535" t="str">
        <f>IF($A1060="","",IF($I1060="weekly",$A1060+7,EDATE($A1060,VLOOKUP($I1060,Ref!$B$24:$C$29,2,0))))</f>
        <v/>
      </c>
      <c r="Z1060" s="536" t="str">
        <f t="shared" si="445"/>
        <v/>
      </c>
      <c r="AA1060" s="531">
        <f t="shared" si="446"/>
        <v>0</v>
      </c>
      <c r="AB1060" s="535" t="str">
        <f t="shared" si="434"/>
        <v/>
      </c>
      <c r="AC1060" s="537" t="str">
        <f t="shared" si="435"/>
        <v/>
      </c>
      <c r="AD1060" s="538" t="str">
        <f t="shared" ca="1" si="436"/>
        <v/>
      </c>
      <c r="AE1060" s="537">
        <f t="shared" ca="1" si="437"/>
        <v>0</v>
      </c>
      <c r="AF1060" s="539" t="str">
        <f t="shared" ca="1" si="447"/>
        <v/>
      </c>
      <c r="AG1060" s="531" t="str">
        <f t="shared" ca="1" si="448"/>
        <v/>
      </c>
      <c r="AH1060" s="531" t="str">
        <f t="shared" ca="1" si="449"/>
        <v/>
      </c>
      <c r="AI1060" s="531" t="str">
        <f t="shared" ca="1" si="450"/>
        <v/>
      </c>
      <c r="AJ1060" s="531" t="str">
        <f t="shared" si="451"/>
        <v/>
      </c>
      <c r="AK1060" s="540">
        <f>SUMIFS('Live Collections'!$S:$S,'Live Collections'!$D:$D,Disbursements!B1060,'Live Collections'!$G:$G,Disbursements!C1060)</f>
        <v>0</v>
      </c>
      <c r="AL1060" s="540">
        <f>SUMIFS('Live Collections'!$T:$T,'Live Collections'!$D:$D,Disbursements!B1060,'Live Collections'!$G:$G,Disbursements!C1060)</f>
        <v>0</v>
      </c>
      <c r="AM1060" s="541">
        <f t="shared" si="452"/>
        <v>0</v>
      </c>
      <c r="AN1060" s="542" t="str">
        <f t="shared" si="453"/>
        <v/>
      </c>
      <c r="AO1060" s="542" t="str">
        <f t="shared" si="454"/>
        <v/>
      </c>
      <c r="AP1060" s="543" t="str">
        <f t="shared" si="455"/>
        <v/>
      </c>
      <c r="AQ1060" s="544" t="str">
        <f t="shared" si="456"/>
        <v/>
      </c>
      <c r="AR1060" s="545">
        <f t="shared" si="457"/>
        <v>0</v>
      </c>
      <c r="AS1060" s="545">
        <f>IFERROR(CEILING($AR1060*VLOOKUP($I1060,Ref!$B$23:$E$29,4,0),1),0)</f>
        <v>0</v>
      </c>
      <c r="AT1060" s="545" t="str">
        <f>IF(A1060="","",IF(AP1060&lt;=1,"Cleared",IF(AS1060=0,"Clean",VLOOKUP($AS1060,Ref!$G$23:$H$28,2))))</f>
        <v/>
      </c>
      <c r="AU1060" s="546" t="str">
        <f t="shared" si="458"/>
        <v/>
      </c>
    </row>
    <row r="1061" spans="1:47" ht="14.25" hidden="1" customHeight="1" x14ac:dyDescent="0.15">
      <c r="A1061" s="523"/>
      <c r="B1061" s="523"/>
      <c r="C1061" s="523"/>
      <c r="D1061" s="523"/>
      <c r="E1061" s="579"/>
      <c r="F1061" s="580"/>
      <c r="G1061" s="524"/>
      <c r="H1061" s="555"/>
      <c r="I1061" s="560"/>
      <c r="J1061" s="523"/>
      <c r="K1061" s="528" t="str">
        <f>IFERROR(VLOOKUP($B1061,'Clients-Live'!$A:$C,3,0),"")</f>
        <v/>
      </c>
      <c r="L1061" s="528">
        <f>IF(E1061="STL",Pricing!$D$38,IF(A1061="",0,IF(A1061&lt;Pricing!$C$25,Pricing!$D$25,VLOOKUP(Disbursements!$F1061,Pricing!$B$29:$D$32,3))))</f>
        <v>0</v>
      </c>
      <c r="M1061" s="528">
        <f>IF(E1061="STL",0,IF(F1061&gt;0,Pricing!$D$21,0))</f>
        <v>0</v>
      </c>
      <c r="N1061" s="529">
        <f>IF(E1061="STL",F1061*Pricing!$D$40,IF(A1061&lt;=Pricing!$C$4,0,IF(AND(A1061&gt;Pricing!$C$4,Disbursements!A1061&lt;=Pricing!$C$5),F1061*Pricing!$E$5,IF(AND(A1061&gt;Pricing!$C$5,Disbursements!A1061&lt;=Pricing!$C$7),VLOOKUP(F1061,Pricing!$D$7:$E$8,2)*Disbursements!F1061,F1061*Pricing!$E$9))))</f>
        <v>0</v>
      </c>
      <c r="O1061" s="528">
        <f>IF(E1061="STL",0,IF($F1061&gt;0,$F1061*Pricing!$D$17,0))</f>
        <v>0</v>
      </c>
      <c r="P1061" s="530" t="str">
        <f t="shared" si="438"/>
        <v/>
      </c>
      <c r="Q1061" s="531" t="str">
        <f>IF($A1061="","",$G1061/VLOOKUP($I1061,Ref!$B$23:$D$29,2,0))</f>
        <v/>
      </c>
      <c r="R1061" s="530" t="str">
        <f t="shared" si="439"/>
        <v/>
      </c>
      <c r="S1061" s="532" t="str">
        <f t="shared" si="433"/>
        <v/>
      </c>
      <c r="T1061" s="531" t="str">
        <f t="shared" si="440"/>
        <v/>
      </c>
      <c r="U1061" s="533">
        <f t="shared" si="441"/>
        <v>0</v>
      </c>
      <c r="V1061" s="531" t="str">
        <f t="shared" si="442"/>
        <v/>
      </c>
      <c r="W1061" s="531" t="str">
        <f t="shared" si="443"/>
        <v/>
      </c>
      <c r="X1061" s="534" t="str">
        <f t="shared" si="444"/>
        <v/>
      </c>
      <c r="Y1061" s="535" t="str">
        <f>IF($A1061="","",IF($I1061="weekly",$A1061+7,EDATE($A1061,VLOOKUP($I1061,Ref!$B$24:$C$29,2,0))))</f>
        <v/>
      </c>
      <c r="Z1061" s="536" t="str">
        <f t="shared" si="445"/>
        <v/>
      </c>
      <c r="AA1061" s="531">
        <f t="shared" si="446"/>
        <v>0</v>
      </c>
      <c r="AB1061" s="535" t="str">
        <f t="shared" si="434"/>
        <v/>
      </c>
      <c r="AC1061" s="537" t="str">
        <f t="shared" si="435"/>
        <v/>
      </c>
      <c r="AD1061" s="538" t="str">
        <f t="shared" ca="1" si="436"/>
        <v/>
      </c>
      <c r="AE1061" s="537">
        <f t="shared" ca="1" si="437"/>
        <v>0</v>
      </c>
      <c r="AF1061" s="539" t="str">
        <f t="shared" ca="1" si="447"/>
        <v/>
      </c>
      <c r="AG1061" s="531" t="str">
        <f t="shared" ca="1" si="448"/>
        <v/>
      </c>
      <c r="AH1061" s="531" t="str">
        <f t="shared" ca="1" si="449"/>
        <v/>
      </c>
      <c r="AI1061" s="531" t="str">
        <f t="shared" ca="1" si="450"/>
        <v/>
      </c>
      <c r="AJ1061" s="531" t="str">
        <f t="shared" si="451"/>
        <v/>
      </c>
      <c r="AK1061" s="540">
        <f>SUMIFS('Live Collections'!$S:$S,'Live Collections'!$D:$D,Disbursements!B1061,'Live Collections'!$G:$G,Disbursements!C1061)</f>
        <v>0</v>
      </c>
      <c r="AL1061" s="540">
        <f>SUMIFS('Live Collections'!$T:$T,'Live Collections'!$D:$D,Disbursements!B1061,'Live Collections'!$G:$G,Disbursements!C1061)</f>
        <v>0</v>
      </c>
      <c r="AM1061" s="541">
        <f t="shared" si="452"/>
        <v>0</v>
      </c>
      <c r="AN1061" s="542" t="str">
        <f t="shared" si="453"/>
        <v/>
      </c>
      <c r="AO1061" s="542" t="str">
        <f t="shared" si="454"/>
        <v/>
      </c>
      <c r="AP1061" s="543" t="str">
        <f t="shared" si="455"/>
        <v/>
      </c>
      <c r="AQ1061" s="544" t="str">
        <f t="shared" si="456"/>
        <v/>
      </c>
      <c r="AR1061" s="545">
        <f t="shared" si="457"/>
        <v>0</v>
      </c>
      <c r="AS1061" s="545">
        <f>IFERROR(CEILING($AR1061*VLOOKUP($I1061,Ref!$B$23:$E$29,4,0),1),0)</f>
        <v>0</v>
      </c>
      <c r="AT1061" s="545" t="str">
        <f>IF(A1061="","",IF(AP1061&lt;=1,"Cleared",IF(AS1061=0,"Clean",VLOOKUP($AS1061,Ref!$G$23:$H$28,2))))</f>
        <v/>
      </c>
      <c r="AU1061" s="546" t="str">
        <f t="shared" si="458"/>
        <v/>
      </c>
    </row>
    <row r="1062" spans="1:47" ht="14.25" hidden="1" customHeight="1" x14ac:dyDescent="0.15">
      <c r="A1062" s="523"/>
      <c r="B1062" s="523"/>
      <c r="C1062" s="523"/>
      <c r="D1062" s="523"/>
      <c r="E1062" s="579"/>
      <c r="F1062" s="580"/>
      <c r="G1062" s="524"/>
      <c r="H1062" s="555"/>
      <c r="I1062" s="560"/>
      <c r="J1062" s="523"/>
      <c r="K1062" s="528" t="str">
        <f>IFERROR(VLOOKUP($B1062,'Clients-Live'!$A:$C,3,0),"")</f>
        <v/>
      </c>
      <c r="L1062" s="528">
        <f>IF(E1062="STL",Pricing!$D$38,IF(A1062="",0,IF(A1062&lt;Pricing!$C$25,Pricing!$D$25,VLOOKUP(Disbursements!$F1062,Pricing!$B$29:$D$32,3))))</f>
        <v>0</v>
      </c>
      <c r="M1062" s="528">
        <f>IF(E1062="STL",0,IF(F1062&gt;0,Pricing!$D$21,0))</f>
        <v>0</v>
      </c>
      <c r="N1062" s="529">
        <f>IF(E1062="STL",F1062*Pricing!$D$40,IF(A1062&lt;=Pricing!$C$4,0,IF(AND(A1062&gt;Pricing!$C$4,Disbursements!A1062&lt;=Pricing!$C$5),F1062*Pricing!$E$5,IF(AND(A1062&gt;Pricing!$C$5,Disbursements!A1062&lt;=Pricing!$C$7),VLOOKUP(F1062,Pricing!$D$7:$E$8,2)*Disbursements!F1062,F1062*Pricing!$E$9))))</f>
        <v>0</v>
      </c>
      <c r="O1062" s="528">
        <f>IF(E1062="STL",0,IF($F1062&gt;0,$F1062*Pricing!$D$17,0))</f>
        <v>0</v>
      </c>
      <c r="P1062" s="530" t="str">
        <f t="shared" si="438"/>
        <v/>
      </c>
      <c r="Q1062" s="531" t="str">
        <f>IF($A1062="","",$G1062/VLOOKUP($I1062,Ref!$B$23:$D$29,2,0))</f>
        <v/>
      </c>
      <c r="R1062" s="530" t="str">
        <f t="shared" si="439"/>
        <v/>
      </c>
      <c r="S1062" s="532" t="str">
        <f t="shared" si="433"/>
        <v/>
      </c>
      <c r="T1062" s="531" t="str">
        <f t="shared" si="440"/>
        <v/>
      </c>
      <c r="U1062" s="533">
        <f t="shared" si="441"/>
        <v>0</v>
      </c>
      <c r="V1062" s="531" t="str">
        <f t="shared" si="442"/>
        <v/>
      </c>
      <c r="W1062" s="531" t="str">
        <f t="shared" si="443"/>
        <v/>
      </c>
      <c r="X1062" s="534" t="str">
        <f t="shared" si="444"/>
        <v/>
      </c>
      <c r="Y1062" s="535" t="str">
        <f>IF($A1062="","",IF($I1062="weekly",$A1062+7,EDATE($A1062,VLOOKUP($I1062,Ref!$B$24:$C$29,2,0))))</f>
        <v/>
      </c>
      <c r="Z1062" s="536" t="str">
        <f t="shared" si="445"/>
        <v/>
      </c>
      <c r="AA1062" s="531">
        <f t="shared" si="446"/>
        <v>0</v>
      </c>
      <c r="AB1062" s="535" t="str">
        <f t="shared" si="434"/>
        <v/>
      </c>
      <c r="AC1062" s="537" t="str">
        <f t="shared" si="435"/>
        <v/>
      </c>
      <c r="AD1062" s="538" t="str">
        <f t="shared" ca="1" si="436"/>
        <v/>
      </c>
      <c r="AE1062" s="537">
        <f t="shared" ca="1" si="437"/>
        <v>0</v>
      </c>
      <c r="AF1062" s="539" t="str">
        <f t="shared" ca="1" si="447"/>
        <v/>
      </c>
      <c r="AG1062" s="531" t="str">
        <f t="shared" ca="1" si="448"/>
        <v/>
      </c>
      <c r="AH1062" s="531" t="str">
        <f t="shared" ca="1" si="449"/>
        <v/>
      </c>
      <c r="AI1062" s="531" t="str">
        <f t="shared" ca="1" si="450"/>
        <v/>
      </c>
      <c r="AJ1062" s="531" t="str">
        <f t="shared" si="451"/>
        <v/>
      </c>
      <c r="AK1062" s="540">
        <f>SUMIFS('Live Collections'!$S:$S,'Live Collections'!$D:$D,Disbursements!B1062,'Live Collections'!$G:$G,Disbursements!C1062)</f>
        <v>0</v>
      </c>
      <c r="AL1062" s="540">
        <f>SUMIFS('Live Collections'!$T:$T,'Live Collections'!$D:$D,Disbursements!B1062,'Live Collections'!$G:$G,Disbursements!C1062)</f>
        <v>0</v>
      </c>
      <c r="AM1062" s="541">
        <f t="shared" si="452"/>
        <v>0</v>
      </c>
      <c r="AN1062" s="542" t="str">
        <f t="shared" si="453"/>
        <v/>
      </c>
      <c r="AO1062" s="542" t="str">
        <f t="shared" si="454"/>
        <v/>
      </c>
      <c r="AP1062" s="543" t="str">
        <f t="shared" si="455"/>
        <v/>
      </c>
      <c r="AQ1062" s="544" t="str">
        <f t="shared" si="456"/>
        <v/>
      </c>
      <c r="AR1062" s="545">
        <f t="shared" si="457"/>
        <v>0</v>
      </c>
      <c r="AS1062" s="545">
        <f>IFERROR(CEILING($AR1062*VLOOKUP($I1062,Ref!$B$23:$E$29,4,0),1),0)</f>
        <v>0</v>
      </c>
      <c r="AT1062" s="545" t="str">
        <f>IF(A1062="","",IF(AP1062&lt;=1,"Cleared",IF(AS1062=0,"Clean",VLOOKUP($AS1062,Ref!$G$23:$H$28,2))))</f>
        <v/>
      </c>
      <c r="AU1062" s="546" t="str">
        <f t="shared" si="458"/>
        <v/>
      </c>
    </row>
    <row r="1063" spans="1:47" ht="14.25" hidden="1" customHeight="1" x14ac:dyDescent="0.15">
      <c r="A1063" s="523"/>
      <c r="B1063" s="523"/>
      <c r="C1063" s="523"/>
      <c r="D1063" s="523"/>
      <c r="E1063" s="579"/>
      <c r="F1063" s="580"/>
      <c r="G1063" s="524"/>
      <c r="H1063" s="555"/>
      <c r="I1063" s="560"/>
      <c r="J1063" s="523"/>
      <c r="K1063" s="528" t="str">
        <f>IFERROR(VLOOKUP($B1063,'Clients-Live'!$A:$C,3,0),"")</f>
        <v/>
      </c>
      <c r="L1063" s="528">
        <f>IF(E1063="STL",Pricing!$D$38,IF(A1063="",0,IF(A1063&lt;Pricing!$C$25,Pricing!$D$25,VLOOKUP(Disbursements!$F1063,Pricing!$B$29:$D$32,3))))</f>
        <v>0</v>
      </c>
      <c r="M1063" s="528">
        <f>IF(E1063="STL",0,IF(F1063&gt;0,Pricing!$D$21,0))</f>
        <v>0</v>
      </c>
      <c r="N1063" s="529">
        <f>IF(E1063="STL",F1063*Pricing!$D$40,IF(A1063&lt;=Pricing!$C$4,0,IF(AND(A1063&gt;Pricing!$C$4,Disbursements!A1063&lt;=Pricing!$C$5),F1063*Pricing!$E$5,IF(AND(A1063&gt;Pricing!$C$5,Disbursements!A1063&lt;=Pricing!$C$7),VLOOKUP(F1063,Pricing!$D$7:$E$8,2)*Disbursements!F1063,F1063*Pricing!$E$9))))</f>
        <v>0</v>
      </c>
      <c r="O1063" s="528">
        <f>IF(E1063="STL",0,IF($F1063&gt;0,$F1063*Pricing!$D$17,0))</f>
        <v>0</v>
      </c>
      <c r="P1063" s="530" t="str">
        <f t="shared" si="438"/>
        <v/>
      </c>
      <c r="Q1063" s="531" t="str">
        <f>IF($A1063="","",$G1063/VLOOKUP($I1063,Ref!$B$23:$D$29,2,0))</f>
        <v/>
      </c>
      <c r="R1063" s="530" t="str">
        <f t="shared" si="439"/>
        <v/>
      </c>
      <c r="S1063" s="532" t="str">
        <f t="shared" si="433"/>
        <v/>
      </c>
      <c r="T1063" s="531" t="str">
        <f t="shared" si="440"/>
        <v/>
      </c>
      <c r="U1063" s="533">
        <f t="shared" si="441"/>
        <v>0</v>
      </c>
      <c r="V1063" s="531" t="str">
        <f t="shared" si="442"/>
        <v/>
      </c>
      <c r="W1063" s="531" t="str">
        <f t="shared" si="443"/>
        <v/>
      </c>
      <c r="X1063" s="534" t="str">
        <f t="shared" si="444"/>
        <v/>
      </c>
      <c r="Y1063" s="535" t="str">
        <f>IF($A1063="","",IF($I1063="weekly",$A1063+7,EDATE($A1063,VLOOKUP($I1063,Ref!$B$24:$C$29,2,0))))</f>
        <v/>
      </c>
      <c r="Z1063" s="536" t="str">
        <f t="shared" si="445"/>
        <v/>
      </c>
      <c r="AA1063" s="531">
        <f t="shared" si="446"/>
        <v>0</v>
      </c>
      <c r="AB1063" s="535" t="str">
        <f t="shared" si="434"/>
        <v/>
      </c>
      <c r="AC1063" s="537" t="str">
        <f t="shared" si="435"/>
        <v/>
      </c>
      <c r="AD1063" s="538" t="str">
        <f t="shared" ca="1" si="436"/>
        <v/>
      </c>
      <c r="AE1063" s="537">
        <f t="shared" ca="1" si="437"/>
        <v>0</v>
      </c>
      <c r="AF1063" s="539" t="str">
        <f t="shared" ca="1" si="447"/>
        <v/>
      </c>
      <c r="AG1063" s="531" t="str">
        <f t="shared" ca="1" si="448"/>
        <v/>
      </c>
      <c r="AH1063" s="531" t="str">
        <f t="shared" ca="1" si="449"/>
        <v/>
      </c>
      <c r="AI1063" s="531" t="str">
        <f t="shared" ca="1" si="450"/>
        <v/>
      </c>
      <c r="AJ1063" s="531" t="str">
        <f t="shared" si="451"/>
        <v/>
      </c>
      <c r="AK1063" s="540">
        <f>SUMIFS('Live Collections'!$S:$S,'Live Collections'!$D:$D,Disbursements!B1063,'Live Collections'!$G:$G,Disbursements!C1063)</f>
        <v>0</v>
      </c>
      <c r="AL1063" s="540">
        <f>SUMIFS('Live Collections'!$T:$T,'Live Collections'!$D:$D,Disbursements!B1063,'Live Collections'!$G:$G,Disbursements!C1063)</f>
        <v>0</v>
      </c>
      <c r="AM1063" s="541">
        <f t="shared" si="452"/>
        <v>0</v>
      </c>
      <c r="AN1063" s="542" t="str">
        <f t="shared" si="453"/>
        <v/>
      </c>
      <c r="AO1063" s="542" t="str">
        <f t="shared" si="454"/>
        <v/>
      </c>
      <c r="AP1063" s="543" t="str">
        <f t="shared" si="455"/>
        <v/>
      </c>
      <c r="AQ1063" s="544" t="str">
        <f t="shared" si="456"/>
        <v/>
      </c>
      <c r="AR1063" s="545">
        <f t="shared" si="457"/>
        <v>0</v>
      </c>
      <c r="AS1063" s="545">
        <f>IFERROR(CEILING($AR1063*VLOOKUP($I1063,Ref!$B$23:$E$29,4,0),1),0)</f>
        <v>0</v>
      </c>
      <c r="AT1063" s="545" t="str">
        <f>IF(A1063="","",IF(AP1063&lt;=1,"Cleared",IF(AS1063=0,"Clean",VLOOKUP($AS1063,Ref!$G$23:$H$28,2))))</f>
        <v/>
      </c>
      <c r="AU1063" s="546" t="str">
        <f t="shared" si="458"/>
        <v/>
      </c>
    </row>
    <row r="1064" spans="1:47" ht="14.25" hidden="1" customHeight="1" x14ac:dyDescent="0.15">
      <c r="A1064" s="523"/>
      <c r="B1064" s="523"/>
      <c r="C1064" s="523"/>
      <c r="D1064" s="523"/>
      <c r="E1064" s="579"/>
      <c r="F1064" s="580"/>
      <c r="G1064" s="524"/>
      <c r="H1064" s="555"/>
      <c r="I1064" s="560"/>
      <c r="J1064" s="523"/>
      <c r="K1064" s="528" t="str">
        <f>IFERROR(VLOOKUP($B1064,'Clients-Live'!$A:$C,3,0),"")</f>
        <v/>
      </c>
      <c r="L1064" s="528">
        <f>IF(E1064="STL",Pricing!$D$38,IF(A1064="",0,IF(A1064&lt;Pricing!$C$25,Pricing!$D$25,VLOOKUP(Disbursements!$F1064,Pricing!$B$29:$D$32,3))))</f>
        <v>0</v>
      </c>
      <c r="M1064" s="528">
        <f>IF(E1064="STL",0,IF(F1064&gt;0,Pricing!$D$21,0))</f>
        <v>0</v>
      </c>
      <c r="N1064" s="529">
        <f>IF(E1064="STL",F1064*Pricing!$D$40,IF(A1064&lt;=Pricing!$C$4,0,IF(AND(A1064&gt;Pricing!$C$4,Disbursements!A1064&lt;=Pricing!$C$5),F1064*Pricing!$E$5,IF(AND(A1064&gt;Pricing!$C$5,Disbursements!A1064&lt;=Pricing!$C$7),VLOOKUP(F1064,Pricing!$D$7:$E$8,2)*Disbursements!F1064,F1064*Pricing!$E$9))))</f>
        <v>0</v>
      </c>
      <c r="O1064" s="528">
        <f>IF(E1064="STL",0,IF($F1064&gt;0,$F1064*Pricing!$D$17,0))</f>
        <v>0</v>
      </c>
      <c r="P1064" s="530" t="str">
        <f t="shared" si="438"/>
        <v/>
      </c>
      <c r="Q1064" s="531" t="str">
        <f>IF($A1064="","",$G1064/VLOOKUP($I1064,Ref!$B$23:$D$29,2,0))</f>
        <v/>
      </c>
      <c r="R1064" s="530" t="str">
        <f t="shared" si="439"/>
        <v/>
      </c>
      <c r="S1064" s="532" t="str">
        <f t="shared" si="433"/>
        <v/>
      </c>
      <c r="T1064" s="531" t="str">
        <f t="shared" si="440"/>
        <v/>
      </c>
      <c r="U1064" s="533">
        <f t="shared" si="441"/>
        <v>0</v>
      </c>
      <c r="V1064" s="531" t="str">
        <f t="shared" si="442"/>
        <v/>
      </c>
      <c r="W1064" s="531" t="str">
        <f t="shared" si="443"/>
        <v/>
      </c>
      <c r="X1064" s="534" t="str">
        <f t="shared" si="444"/>
        <v/>
      </c>
      <c r="Y1064" s="535" t="str">
        <f>IF($A1064="","",IF($I1064="weekly",$A1064+7,EDATE($A1064,VLOOKUP($I1064,Ref!$B$24:$C$29,2,0))))</f>
        <v/>
      </c>
      <c r="Z1064" s="536" t="str">
        <f t="shared" si="445"/>
        <v/>
      </c>
      <c r="AA1064" s="531">
        <f t="shared" si="446"/>
        <v>0</v>
      </c>
      <c r="AB1064" s="535" t="str">
        <f t="shared" si="434"/>
        <v/>
      </c>
      <c r="AC1064" s="537" t="str">
        <f t="shared" si="435"/>
        <v/>
      </c>
      <c r="AD1064" s="538" t="str">
        <f t="shared" ca="1" si="436"/>
        <v/>
      </c>
      <c r="AE1064" s="537">
        <f t="shared" ca="1" si="437"/>
        <v>0</v>
      </c>
      <c r="AF1064" s="539" t="str">
        <f t="shared" ca="1" si="447"/>
        <v/>
      </c>
      <c r="AG1064" s="531" t="str">
        <f t="shared" ca="1" si="448"/>
        <v/>
      </c>
      <c r="AH1064" s="531" t="str">
        <f t="shared" ca="1" si="449"/>
        <v/>
      </c>
      <c r="AI1064" s="531" t="str">
        <f t="shared" ca="1" si="450"/>
        <v/>
      </c>
      <c r="AJ1064" s="531" t="str">
        <f t="shared" si="451"/>
        <v/>
      </c>
      <c r="AK1064" s="540">
        <f>SUMIFS('Live Collections'!$S:$S,'Live Collections'!$D:$D,Disbursements!B1064,'Live Collections'!$G:$G,Disbursements!C1064)</f>
        <v>0</v>
      </c>
      <c r="AL1064" s="540">
        <f>SUMIFS('Live Collections'!$T:$T,'Live Collections'!$D:$D,Disbursements!B1064,'Live Collections'!$G:$G,Disbursements!C1064)</f>
        <v>0</v>
      </c>
      <c r="AM1064" s="541">
        <f t="shared" si="452"/>
        <v>0</v>
      </c>
      <c r="AN1064" s="542" t="str">
        <f t="shared" si="453"/>
        <v/>
      </c>
      <c r="AO1064" s="542" t="str">
        <f t="shared" si="454"/>
        <v/>
      </c>
      <c r="AP1064" s="543" t="str">
        <f t="shared" si="455"/>
        <v/>
      </c>
      <c r="AQ1064" s="544" t="str">
        <f t="shared" si="456"/>
        <v/>
      </c>
      <c r="AR1064" s="545">
        <f t="shared" si="457"/>
        <v>0</v>
      </c>
      <c r="AS1064" s="545">
        <f>IFERROR(CEILING($AR1064*VLOOKUP($I1064,Ref!$B$23:$E$29,4,0),1),0)</f>
        <v>0</v>
      </c>
      <c r="AT1064" s="545" t="str">
        <f>IF(A1064="","",IF(AP1064&lt;=1,"Cleared",IF(AS1064=0,"Clean",VLOOKUP($AS1064,Ref!$G$23:$H$28,2))))</f>
        <v/>
      </c>
      <c r="AU1064" s="546" t="str">
        <f t="shared" si="458"/>
        <v/>
      </c>
    </row>
    <row r="1065" spans="1:47" ht="14.25" hidden="1" customHeight="1" x14ac:dyDescent="0.15">
      <c r="A1065" s="523"/>
      <c r="B1065" s="523"/>
      <c r="C1065" s="523"/>
      <c r="D1065" s="523"/>
      <c r="E1065" s="579"/>
      <c r="F1065" s="580"/>
      <c r="G1065" s="524"/>
      <c r="H1065" s="555"/>
      <c r="I1065" s="560"/>
      <c r="J1065" s="523"/>
      <c r="K1065" s="528" t="str">
        <f>IFERROR(VLOOKUP($B1065,'Clients-Live'!$A:$C,3,0),"")</f>
        <v/>
      </c>
      <c r="L1065" s="528">
        <f>IF(E1065="STL",Pricing!$D$38,IF(A1065="",0,IF(A1065&lt;Pricing!$C$25,Pricing!$D$25,VLOOKUP(Disbursements!$F1065,Pricing!$B$29:$D$32,3))))</f>
        <v>0</v>
      </c>
      <c r="M1065" s="528">
        <f>IF(E1065="STL",0,IF(F1065&gt;0,Pricing!$D$21,0))</f>
        <v>0</v>
      </c>
      <c r="N1065" s="529">
        <f>IF(E1065="STL",F1065*Pricing!$D$40,IF(A1065&lt;=Pricing!$C$4,0,IF(AND(A1065&gt;Pricing!$C$4,Disbursements!A1065&lt;=Pricing!$C$5),F1065*Pricing!$E$5,IF(AND(A1065&gt;Pricing!$C$5,Disbursements!A1065&lt;=Pricing!$C$7),VLOOKUP(F1065,Pricing!$D$7:$E$8,2)*Disbursements!F1065,F1065*Pricing!$E$9))))</f>
        <v>0</v>
      </c>
      <c r="O1065" s="528">
        <f>IF(E1065="STL",0,IF($F1065&gt;0,$F1065*Pricing!$D$17,0))</f>
        <v>0</v>
      </c>
      <c r="P1065" s="530" t="str">
        <f t="shared" si="438"/>
        <v/>
      </c>
      <c r="Q1065" s="531" t="str">
        <f>IF($A1065="","",$G1065/VLOOKUP($I1065,Ref!$B$23:$D$29,2,0))</f>
        <v/>
      </c>
      <c r="R1065" s="530" t="str">
        <f t="shared" si="439"/>
        <v/>
      </c>
      <c r="S1065" s="532" t="str">
        <f t="shared" si="433"/>
        <v/>
      </c>
      <c r="T1065" s="531" t="str">
        <f t="shared" si="440"/>
        <v/>
      </c>
      <c r="U1065" s="533">
        <f t="shared" si="441"/>
        <v>0</v>
      </c>
      <c r="V1065" s="531" t="str">
        <f t="shared" si="442"/>
        <v/>
      </c>
      <c r="W1065" s="531" t="str">
        <f t="shared" si="443"/>
        <v/>
      </c>
      <c r="X1065" s="534" t="str">
        <f t="shared" si="444"/>
        <v/>
      </c>
      <c r="Y1065" s="535" t="str">
        <f>IF($A1065="","",IF($I1065="weekly",$A1065+7,EDATE($A1065,VLOOKUP($I1065,Ref!$B$24:$C$29,2,0))))</f>
        <v/>
      </c>
      <c r="Z1065" s="536" t="str">
        <f t="shared" si="445"/>
        <v/>
      </c>
      <c r="AA1065" s="531">
        <f t="shared" si="446"/>
        <v>0</v>
      </c>
      <c r="AB1065" s="535" t="str">
        <f t="shared" si="434"/>
        <v/>
      </c>
      <c r="AC1065" s="537" t="str">
        <f t="shared" si="435"/>
        <v/>
      </c>
      <c r="AD1065" s="538" t="str">
        <f t="shared" ca="1" si="436"/>
        <v/>
      </c>
      <c r="AE1065" s="537">
        <f t="shared" ca="1" si="437"/>
        <v>0</v>
      </c>
      <c r="AF1065" s="539" t="str">
        <f t="shared" ca="1" si="447"/>
        <v/>
      </c>
      <c r="AG1065" s="531" t="str">
        <f t="shared" ca="1" si="448"/>
        <v/>
      </c>
      <c r="AH1065" s="531" t="str">
        <f t="shared" ca="1" si="449"/>
        <v/>
      </c>
      <c r="AI1065" s="531" t="str">
        <f t="shared" ca="1" si="450"/>
        <v/>
      </c>
      <c r="AJ1065" s="531" t="str">
        <f t="shared" si="451"/>
        <v/>
      </c>
      <c r="AK1065" s="540">
        <f>SUMIFS('Live Collections'!$S:$S,'Live Collections'!$D:$D,Disbursements!B1065,'Live Collections'!$G:$G,Disbursements!C1065)</f>
        <v>0</v>
      </c>
      <c r="AL1065" s="540">
        <f>SUMIFS('Live Collections'!$T:$T,'Live Collections'!$D:$D,Disbursements!B1065,'Live Collections'!$G:$G,Disbursements!C1065)</f>
        <v>0</v>
      </c>
      <c r="AM1065" s="541">
        <f t="shared" si="452"/>
        <v>0</v>
      </c>
      <c r="AN1065" s="542" t="str">
        <f t="shared" si="453"/>
        <v/>
      </c>
      <c r="AO1065" s="542" t="str">
        <f t="shared" si="454"/>
        <v/>
      </c>
      <c r="AP1065" s="543" t="str">
        <f t="shared" si="455"/>
        <v/>
      </c>
      <c r="AQ1065" s="544" t="str">
        <f t="shared" si="456"/>
        <v/>
      </c>
      <c r="AR1065" s="545">
        <f t="shared" si="457"/>
        <v>0</v>
      </c>
      <c r="AS1065" s="545">
        <f>IFERROR(CEILING($AR1065*VLOOKUP($I1065,Ref!$B$23:$E$29,4,0),1),0)</f>
        <v>0</v>
      </c>
      <c r="AT1065" s="545" t="str">
        <f>IF(A1065="","",IF(AP1065&lt;=1,"Cleared",IF(AS1065=0,"Clean",VLOOKUP($AS1065,Ref!$G$23:$H$28,2))))</f>
        <v/>
      </c>
      <c r="AU1065" s="546" t="str">
        <f t="shared" si="458"/>
        <v/>
      </c>
    </row>
    <row r="1066" spans="1:47" ht="14.25" hidden="1" customHeight="1" x14ac:dyDescent="0.15">
      <c r="A1066" s="523"/>
      <c r="B1066" s="523"/>
      <c r="C1066" s="523"/>
      <c r="D1066" s="523"/>
      <c r="E1066" s="579"/>
      <c r="F1066" s="580"/>
      <c r="G1066" s="524"/>
      <c r="H1066" s="555"/>
      <c r="I1066" s="560"/>
      <c r="J1066" s="523"/>
      <c r="K1066" s="528" t="str">
        <f>IFERROR(VLOOKUP($B1066,'Clients-Live'!$A:$C,3,0),"")</f>
        <v/>
      </c>
      <c r="L1066" s="528">
        <f>IF(E1066="STL",Pricing!$D$38,IF(A1066="",0,IF(A1066&lt;Pricing!$C$25,Pricing!$D$25,VLOOKUP(Disbursements!$F1066,Pricing!$B$29:$D$32,3))))</f>
        <v>0</v>
      </c>
      <c r="M1066" s="528">
        <f>IF(E1066="STL",0,IF(F1066&gt;0,Pricing!$D$21,0))</f>
        <v>0</v>
      </c>
      <c r="N1066" s="529">
        <f>IF(E1066="STL",F1066*Pricing!$D$40,IF(A1066&lt;=Pricing!$C$4,0,IF(AND(A1066&gt;Pricing!$C$4,Disbursements!A1066&lt;=Pricing!$C$5),F1066*Pricing!$E$5,IF(AND(A1066&gt;Pricing!$C$5,Disbursements!A1066&lt;=Pricing!$C$7),VLOOKUP(F1066,Pricing!$D$7:$E$8,2)*Disbursements!F1066,F1066*Pricing!$E$9))))</f>
        <v>0</v>
      </c>
      <c r="O1066" s="528">
        <f>IF(E1066="STL",0,IF($F1066&gt;0,$F1066*Pricing!$D$17,0))</f>
        <v>0</v>
      </c>
      <c r="P1066" s="530" t="str">
        <f t="shared" si="438"/>
        <v/>
      </c>
      <c r="Q1066" s="531" t="str">
        <f>IF($A1066="","",$G1066/VLOOKUP($I1066,Ref!$B$23:$D$29,2,0))</f>
        <v/>
      </c>
      <c r="R1066" s="530" t="str">
        <f t="shared" si="439"/>
        <v/>
      </c>
      <c r="S1066" s="532" t="str">
        <f t="shared" si="433"/>
        <v/>
      </c>
      <c r="T1066" s="531" t="str">
        <f t="shared" si="440"/>
        <v/>
      </c>
      <c r="U1066" s="533">
        <f t="shared" si="441"/>
        <v>0</v>
      </c>
      <c r="V1066" s="531" t="str">
        <f t="shared" si="442"/>
        <v/>
      </c>
      <c r="W1066" s="531" t="str">
        <f t="shared" si="443"/>
        <v/>
      </c>
      <c r="X1066" s="534" t="str">
        <f t="shared" si="444"/>
        <v/>
      </c>
      <c r="Y1066" s="535" t="str">
        <f>IF($A1066="","",IF($I1066="weekly",$A1066+7,EDATE($A1066,VLOOKUP($I1066,Ref!$B$24:$C$29,2,0))))</f>
        <v/>
      </c>
      <c r="Z1066" s="536" t="str">
        <f t="shared" si="445"/>
        <v/>
      </c>
      <c r="AA1066" s="531">
        <f t="shared" si="446"/>
        <v>0</v>
      </c>
      <c r="AB1066" s="535" t="str">
        <f t="shared" si="434"/>
        <v/>
      </c>
      <c r="AC1066" s="537" t="str">
        <f t="shared" si="435"/>
        <v/>
      </c>
      <c r="AD1066" s="538" t="str">
        <f t="shared" ca="1" si="436"/>
        <v/>
      </c>
      <c r="AE1066" s="537">
        <f t="shared" ca="1" si="437"/>
        <v>0</v>
      </c>
      <c r="AF1066" s="539" t="str">
        <f t="shared" ca="1" si="447"/>
        <v/>
      </c>
      <c r="AG1066" s="531" t="str">
        <f t="shared" ca="1" si="448"/>
        <v/>
      </c>
      <c r="AH1066" s="531" t="str">
        <f t="shared" ca="1" si="449"/>
        <v/>
      </c>
      <c r="AI1066" s="531" t="str">
        <f t="shared" ca="1" si="450"/>
        <v/>
      </c>
      <c r="AJ1066" s="531" t="str">
        <f t="shared" si="451"/>
        <v/>
      </c>
      <c r="AK1066" s="540">
        <f>SUMIFS('Live Collections'!$S:$S,'Live Collections'!$D:$D,Disbursements!B1066,'Live Collections'!$G:$G,Disbursements!C1066)</f>
        <v>0</v>
      </c>
      <c r="AL1066" s="540">
        <f>SUMIFS('Live Collections'!$T:$T,'Live Collections'!$D:$D,Disbursements!B1066,'Live Collections'!$G:$G,Disbursements!C1066)</f>
        <v>0</v>
      </c>
      <c r="AM1066" s="541">
        <f t="shared" si="452"/>
        <v>0</v>
      </c>
      <c r="AN1066" s="542" t="str">
        <f t="shared" si="453"/>
        <v/>
      </c>
      <c r="AO1066" s="542" t="str">
        <f t="shared" si="454"/>
        <v/>
      </c>
      <c r="AP1066" s="543" t="str">
        <f t="shared" si="455"/>
        <v/>
      </c>
      <c r="AQ1066" s="544" t="str">
        <f t="shared" si="456"/>
        <v/>
      </c>
      <c r="AR1066" s="545">
        <f t="shared" si="457"/>
        <v>0</v>
      </c>
      <c r="AS1066" s="545">
        <f>IFERROR(CEILING($AR1066*VLOOKUP($I1066,Ref!$B$23:$E$29,4,0),1),0)</f>
        <v>0</v>
      </c>
      <c r="AT1066" s="545" t="str">
        <f>IF(A1066="","",IF(AP1066&lt;=1,"Cleared",IF(AS1066=0,"Clean",VLOOKUP($AS1066,Ref!$G$23:$H$28,2))))</f>
        <v/>
      </c>
      <c r="AU1066" s="546" t="str">
        <f t="shared" si="458"/>
        <v/>
      </c>
    </row>
    <row r="1067" spans="1:47" ht="14.25" hidden="1" customHeight="1" x14ac:dyDescent="0.15">
      <c r="A1067" s="523"/>
      <c r="B1067" s="523"/>
      <c r="C1067" s="523"/>
      <c r="D1067" s="523"/>
      <c r="E1067" s="579"/>
      <c r="F1067" s="580"/>
      <c r="G1067" s="524"/>
      <c r="H1067" s="555"/>
      <c r="I1067" s="560"/>
      <c r="J1067" s="523"/>
      <c r="K1067" s="528" t="str">
        <f>IFERROR(VLOOKUP($B1067,'Clients-Live'!$A:$C,3,0),"")</f>
        <v/>
      </c>
      <c r="L1067" s="528">
        <f>IF(E1067="STL",Pricing!$D$38,IF(A1067="",0,IF(A1067&lt;Pricing!$C$25,Pricing!$D$25,VLOOKUP(Disbursements!$F1067,Pricing!$B$29:$D$32,3))))</f>
        <v>0</v>
      </c>
      <c r="M1067" s="528">
        <f>IF(E1067="STL",0,IF(F1067&gt;0,Pricing!$D$21,0))</f>
        <v>0</v>
      </c>
      <c r="N1067" s="529">
        <f>IF(E1067="STL",F1067*Pricing!$D$40,IF(A1067&lt;=Pricing!$C$4,0,IF(AND(A1067&gt;Pricing!$C$4,Disbursements!A1067&lt;=Pricing!$C$5),F1067*Pricing!$E$5,IF(AND(A1067&gt;Pricing!$C$5,Disbursements!A1067&lt;=Pricing!$C$7),VLOOKUP(F1067,Pricing!$D$7:$E$8,2)*Disbursements!F1067,F1067*Pricing!$E$9))))</f>
        <v>0</v>
      </c>
      <c r="O1067" s="528">
        <f>IF(E1067="STL",0,IF($F1067&gt;0,$F1067*Pricing!$D$17,0))</f>
        <v>0</v>
      </c>
      <c r="P1067" s="530" t="str">
        <f t="shared" si="438"/>
        <v/>
      </c>
      <c r="Q1067" s="531" t="str">
        <f>IF($A1067="","",$G1067/VLOOKUP($I1067,Ref!$B$23:$D$29,2,0))</f>
        <v/>
      </c>
      <c r="R1067" s="530" t="str">
        <f t="shared" si="439"/>
        <v/>
      </c>
      <c r="S1067" s="532" t="str">
        <f t="shared" si="433"/>
        <v/>
      </c>
      <c r="T1067" s="531" t="str">
        <f t="shared" si="440"/>
        <v/>
      </c>
      <c r="U1067" s="533">
        <f t="shared" si="441"/>
        <v>0</v>
      </c>
      <c r="V1067" s="531" t="str">
        <f t="shared" si="442"/>
        <v/>
      </c>
      <c r="W1067" s="531" t="str">
        <f t="shared" si="443"/>
        <v/>
      </c>
      <c r="X1067" s="534" t="str">
        <f t="shared" si="444"/>
        <v/>
      </c>
      <c r="Y1067" s="535" t="str">
        <f>IF($A1067="","",IF($I1067="weekly",$A1067+7,EDATE($A1067,VLOOKUP($I1067,Ref!$B$24:$C$29,2,0))))</f>
        <v/>
      </c>
      <c r="Z1067" s="536" t="str">
        <f t="shared" si="445"/>
        <v/>
      </c>
      <c r="AA1067" s="531">
        <f t="shared" si="446"/>
        <v>0</v>
      </c>
      <c r="AB1067" s="535" t="str">
        <f t="shared" si="434"/>
        <v/>
      </c>
      <c r="AC1067" s="537" t="str">
        <f t="shared" si="435"/>
        <v/>
      </c>
      <c r="AD1067" s="538" t="str">
        <f t="shared" ca="1" si="436"/>
        <v/>
      </c>
      <c r="AE1067" s="537">
        <f t="shared" ca="1" si="437"/>
        <v>0</v>
      </c>
      <c r="AF1067" s="539" t="str">
        <f t="shared" ca="1" si="447"/>
        <v/>
      </c>
      <c r="AG1067" s="531" t="str">
        <f t="shared" ca="1" si="448"/>
        <v/>
      </c>
      <c r="AH1067" s="531" t="str">
        <f t="shared" ca="1" si="449"/>
        <v/>
      </c>
      <c r="AI1067" s="531" t="str">
        <f t="shared" ca="1" si="450"/>
        <v/>
      </c>
      <c r="AJ1067" s="531" t="str">
        <f t="shared" si="451"/>
        <v/>
      </c>
      <c r="AK1067" s="540">
        <f>SUMIFS('Live Collections'!$S:$S,'Live Collections'!$D:$D,Disbursements!B1067,'Live Collections'!$G:$G,Disbursements!C1067)</f>
        <v>0</v>
      </c>
      <c r="AL1067" s="540">
        <f>SUMIFS('Live Collections'!$T:$T,'Live Collections'!$D:$D,Disbursements!B1067,'Live Collections'!$G:$G,Disbursements!C1067)</f>
        <v>0</v>
      </c>
      <c r="AM1067" s="541">
        <f t="shared" si="452"/>
        <v>0</v>
      </c>
      <c r="AN1067" s="542" t="str">
        <f t="shared" si="453"/>
        <v/>
      </c>
      <c r="AO1067" s="542" t="str">
        <f t="shared" si="454"/>
        <v/>
      </c>
      <c r="AP1067" s="543" t="str">
        <f t="shared" si="455"/>
        <v/>
      </c>
      <c r="AQ1067" s="544" t="str">
        <f t="shared" si="456"/>
        <v/>
      </c>
      <c r="AR1067" s="545">
        <f t="shared" si="457"/>
        <v>0</v>
      </c>
      <c r="AS1067" s="545">
        <f>IFERROR(CEILING($AR1067*VLOOKUP($I1067,Ref!$B$23:$E$29,4,0),1),0)</f>
        <v>0</v>
      </c>
      <c r="AT1067" s="545" t="str">
        <f>IF(A1067="","",IF(AP1067&lt;=1,"Cleared",IF(AS1067=0,"Clean",VLOOKUP($AS1067,Ref!$G$23:$H$28,2))))</f>
        <v/>
      </c>
      <c r="AU1067" s="546" t="str">
        <f t="shared" si="458"/>
        <v/>
      </c>
    </row>
    <row r="1068" spans="1:47" ht="14.25" hidden="1" customHeight="1" x14ac:dyDescent="0.15">
      <c r="A1068" s="523"/>
      <c r="B1068" s="523"/>
      <c r="C1068" s="523"/>
      <c r="D1068" s="523"/>
      <c r="E1068" s="579"/>
      <c r="F1068" s="580"/>
      <c r="G1068" s="524"/>
      <c r="H1068" s="555"/>
      <c r="I1068" s="560"/>
      <c r="J1068" s="523"/>
      <c r="K1068" s="528" t="str">
        <f>IFERROR(VLOOKUP($B1068,'Clients-Live'!$A:$C,3,0),"")</f>
        <v/>
      </c>
      <c r="L1068" s="528">
        <f>IF(E1068="STL",Pricing!$D$38,IF(A1068="",0,IF(A1068&lt;Pricing!$C$25,Pricing!$D$25,VLOOKUP(Disbursements!$F1068,Pricing!$B$29:$D$32,3))))</f>
        <v>0</v>
      </c>
      <c r="M1068" s="528">
        <f>IF(E1068="STL",0,IF(F1068&gt;0,Pricing!$D$21,0))</f>
        <v>0</v>
      </c>
      <c r="N1068" s="529">
        <f>IF(E1068="STL",F1068*Pricing!$D$40,IF(A1068&lt;=Pricing!$C$4,0,IF(AND(A1068&gt;Pricing!$C$4,Disbursements!A1068&lt;=Pricing!$C$5),F1068*Pricing!$E$5,IF(AND(A1068&gt;Pricing!$C$5,Disbursements!A1068&lt;=Pricing!$C$7),VLOOKUP(F1068,Pricing!$D$7:$E$8,2)*Disbursements!F1068,F1068*Pricing!$E$9))))</f>
        <v>0</v>
      </c>
      <c r="O1068" s="528">
        <f>IF(E1068="STL",0,IF($F1068&gt;0,$F1068*Pricing!$D$17,0))</f>
        <v>0</v>
      </c>
      <c r="P1068" s="530" t="str">
        <f t="shared" si="438"/>
        <v/>
      </c>
      <c r="Q1068" s="531" t="str">
        <f>IF($A1068="","",$G1068/VLOOKUP($I1068,Ref!$B$23:$D$29,2,0))</f>
        <v/>
      </c>
      <c r="R1068" s="530" t="str">
        <f t="shared" si="439"/>
        <v/>
      </c>
      <c r="S1068" s="532" t="str">
        <f t="shared" si="433"/>
        <v/>
      </c>
      <c r="T1068" s="531" t="str">
        <f t="shared" si="440"/>
        <v/>
      </c>
      <c r="U1068" s="533">
        <f t="shared" si="441"/>
        <v>0</v>
      </c>
      <c r="V1068" s="531" t="str">
        <f t="shared" si="442"/>
        <v/>
      </c>
      <c r="W1068" s="531" t="str">
        <f t="shared" si="443"/>
        <v/>
      </c>
      <c r="X1068" s="534" t="str">
        <f t="shared" si="444"/>
        <v/>
      </c>
      <c r="Y1068" s="535" t="str">
        <f>IF($A1068="","",IF($I1068="weekly",$A1068+7,EDATE($A1068,VLOOKUP($I1068,Ref!$B$24:$C$29,2,0))))</f>
        <v/>
      </c>
      <c r="Z1068" s="536" t="str">
        <f t="shared" si="445"/>
        <v/>
      </c>
      <c r="AA1068" s="531">
        <f t="shared" si="446"/>
        <v>0</v>
      </c>
      <c r="AB1068" s="535" t="str">
        <f t="shared" si="434"/>
        <v/>
      </c>
      <c r="AC1068" s="537" t="str">
        <f t="shared" si="435"/>
        <v/>
      </c>
      <c r="AD1068" s="538" t="str">
        <f t="shared" ca="1" si="436"/>
        <v/>
      </c>
      <c r="AE1068" s="537">
        <f t="shared" ca="1" si="437"/>
        <v>0</v>
      </c>
      <c r="AF1068" s="539" t="str">
        <f t="shared" ca="1" si="447"/>
        <v/>
      </c>
      <c r="AG1068" s="531" t="str">
        <f t="shared" ca="1" si="448"/>
        <v/>
      </c>
      <c r="AH1068" s="531" t="str">
        <f t="shared" ca="1" si="449"/>
        <v/>
      </c>
      <c r="AI1068" s="531" t="str">
        <f t="shared" ca="1" si="450"/>
        <v/>
      </c>
      <c r="AJ1068" s="531" t="str">
        <f t="shared" si="451"/>
        <v/>
      </c>
      <c r="AK1068" s="540">
        <f>SUMIFS('Live Collections'!$S:$S,'Live Collections'!$D:$D,Disbursements!B1068,'Live Collections'!$G:$G,Disbursements!C1068)</f>
        <v>0</v>
      </c>
      <c r="AL1068" s="540">
        <f>SUMIFS('Live Collections'!$T:$T,'Live Collections'!$D:$D,Disbursements!B1068,'Live Collections'!$G:$G,Disbursements!C1068)</f>
        <v>0</v>
      </c>
      <c r="AM1068" s="541">
        <f t="shared" si="452"/>
        <v>0</v>
      </c>
      <c r="AN1068" s="542" t="str">
        <f t="shared" si="453"/>
        <v/>
      </c>
      <c r="AO1068" s="542" t="str">
        <f t="shared" si="454"/>
        <v/>
      </c>
      <c r="AP1068" s="543" t="str">
        <f t="shared" si="455"/>
        <v/>
      </c>
      <c r="AQ1068" s="544" t="str">
        <f t="shared" si="456"/>
        <v/>
      </c>
      <c r="AR1068" s="545">
        <f t="shared" si="457"/>
        <v>0</v>
      </c>
      <c r="AS1068" s="545">
        <f>IFERROR(CEILING($AR1068*VLOOKUP($I1068,Ref!$B$23:$E$29,4,0),1),0)</f>
        <v>0</v>
      </c>
      <c r="AT1068" s="545" t="str">
        <f>IF(A1068="","",IF(AP1068&lt;=1,"Cleared",IF(AS1068=0,"Clean",VLOOKUP($AS1068,Ref!$G$23:$H$28,2))))</f>
        <v/>
      </c>
      <c r="AU1068" s="546" t="str">
        <f t="shared" si="458"/>
        <v/>
      </c>
    </row>
    <row r="1069" spans="1:47" ht="14.25" hidden="1" customHeight="1" x14ac:dyDescent="0.15">
      <c r="A1069" s="523"/>
      <c r="B1069" s="523"/>
      <c r="C1069" s="523"/>
      <c r="D1069" s="523"/>
      <c r="E1069" s="579"/>
      <c r="F1069" s="580"/>
      <c r="G1069" s="524"/>
      <c r="H1069" s="555"/>
      <c r="I1069" s="560"/>
      <c r="J1069" s="523"/>
      <c r="K1069" s="528" t="str">
        <f>IFERROR(VLOOKUP($B1069,'Clients-Live'!$A:$C,3,0),"")</f>
        <v/>
      </c>
      <c r="L1069" s="528">
        <f>IF(E1069="STL",Pricing!$D$38,IF(A1069="",0,IF(A1069&lt;Pricing!$C$25,Pricing!$D$25,VLOOKUP(Disbursements!$F1069,Pricing!$B$29:$D$32,3))))</f>
        <v>0</v>
      </c>
      <c r="M1069" s="528">
        <f>IF(E1069="STL",0,IF(F1069&gt;0,Pricing!$D$21,0))</f>
        <v>0</v>
      </c>
      <c r="N1069" s="529">
        <f>IF(E1069="STL",F1069*Pricing!$D$40,IF(A1069&lt;=Pricing!$C$4,0,IF(AND(A1069&gt;Pricing!$C$4,Disbursements!A1069&lt;=Pricing!$C$5),F1069*Pricing!$E$5,IF(AND(A1069&gt;Pricing!$C$5,Disbursements!A1069&lt;=Pricing!$C$7),VLOOKUP(F1069,Pricing!$D$7:$E$8,2)*Disbursements!F1069,F1069*Pricing!$E$9))))</f>
        <v>0</v>
      </c>
      <c r="O1069" s="528">
        <f>IF(E1069="STL",0,IF($F1069&gt;0,$F1069*Pricing!$D$17,0))</f>
        <v>0</v>
      </c>
      <c r="P1069" s="530" t="str">
        <f t="shared" si="438"/>
        <v/>
      </c>
      <c r="Q1069" s="531" t="str">
        <f>IF($A1069="","",$G1069/VLOOKUP($I1069,Ref!$B$23:$D$29,2,0))</f>
        <v/>
      </c>
      <c r="R1069" s="530" t="str">
        <f t="shared" si="439"/>
        <v/>
      </c>
      <c r="S1069" s="532" t="str">
        <f t="shared" si="433"/>
        <v/>
      </c>
      <c r="T1069" s="531" t="str">
        <f t="shared" si="440"/>
        <v/>
      </c>
      <c r="U1069" s="533">
        <f t="shared" si="441"/>
        <v>0</v>
      </c>
      <c r="V1069" s="531" t="str">
        <f t="shared" si="442"/>
        <v/>
      </c>
      <c r="W1069" s="531" t="str">
        <f t="shared" si="443"/>
        <v/>
      </c>
      <c r="X1069" s="534" t="str">
        <f t="shared" si="444"/>
        <v/>
      </c>
      <c r="Y1069" s="535" t="str">
        <f>IF($A1069="","",IF($I1069="weekly",$A1069+7,EDATE($A1069,VLOOKUP($I1069,Ref!$B$24:$C$29,2,0))))</f>
        <v/>
      </c>
      <c r="Z1069" s="536" t="str">
        <f t="shared" si="445"/>
        <v/>
      </c>
      <c r="AA1069" s="531">
        <f t="shared" si="446"/>
        <v>0</v>
      </c>
      <c r="AB1069" s="535" t="str">
        <f t="shared" si="434"/>
        <v/>
      </c>
      <c r="AC1069" s="537" t="str">
        <f t="shared" si="435"/>
        <v/>
      </c>
      <c r="AD1069" s="538" t="str">
        <f t="shared" ca="1" si="436"/>
        <v/>
      </c>
      <c r="AE1069" s="537">
        <f t="shared" ca="1" si="437"/>
        <v>0</v>
      </c>
      <c r="AF1069" s="539" t="str">
        <f t="shared" ca="1" si="447"/>
        <v/>
      </c>
      <c r="AG1069" s="531" t="str">
        <f t="shared" ca="1" si="448"/>
        <v/>
      </c>
      <c r="AH1069" s="531" t="str">
        <f t="shared" ca="1" si="449"/>
        <v/>
      </c>
      <c r="AI1069" s="531" t="str">
        <f t="shared" ca="1" si="450"/>
        <v/>
      </c>
      <c r="AJ1069" s="531" t="str">
        <f t="shared" si="451"/>
        <v/>
      </c>
      <c r="AK1069" s="540">
        <f>SUMIFS('Live Collections'!$S:$S,'Live Collections'!$D:$D,Disbursements!B1069,'Live Collections'!$G:$G,Disbursements!C1069)</f>
        <v>0</v>
      </c>
      <c r="AL1069" s="540">
        <f>SUMIFS('Live Collections'!$T:$T,'Live Collections'!$D:$D,Disbursements!B1069,'Live Collections'!$G:$G,Disbursements!C1069)</f>
        <v>0</v>
      </c>
      <c r="AM1069" s="541">
        <f t="shared" si="452"/>
        <v>0</v>
      </c>
      <c r="AN1069" s="542" t="str">
        <f t="shared" si="453"/>
        <v/>
      </c>
      <c r="AO1069" s="542" t="str">
        <f t="shared" si="454"/>
        <v/>
      </c>
      <c r="AP1069" s="543" t="str">
        <f t="shared" si="455"/>
        <v/>
      </c>
      <c r="AQ1069" s="544" t="str">
        <f t="shared" si="456"/>
        <v/>
      </c>
      <c r="AR1069" s="545">
        <f t="shared" si="457"/>
        <v>0</v>
      </c>
      <c r="AS1069" s="545">
        <f>IFERROR(CEILING($AR1069*VLOOKUP($I1069,Ref!$B$23:$E$29,4,0),1),0)</f>
        <v>0</v>
      </c>
      <c r="AT1069" s="545" t="str">
        <f>IF(A1069="","",IF(AP1069&lt;=1,"Cleared",IF(AS1069=0,"Clean",VLOOKUP($AS1069,Ref!$G$23:$H$28,2))))</f>
        <v/>
      </c>
      <c r="AU1069" s="546" t="str">
        <f t="shared" si="458"/>
        <v/>
      </c>
    </row>
    <row r="1070" spans="1:47" ht="14.25" hidden="1" customHeight="1" x14ac:dyDescent="0.15">
      <c r="A1070" s="523"/>
      <c r="B1070" s="523"/>
      <c r="C1070" s="523"/>
      <c r="D1070" s="523"/>
      <c r="E1070" s="579"/>
      <c r="F1070" s="580"/>
      <c r="G1070" s="524"/>
      <c r="H1070" s="555"/>
      <c r="I1070" s="560"/>
      <c r="J1070" s="523"/>
      <c r="K1070" s="528" t="str">
        <f>IFERROR(VLOOKUP($B1070,'Clients-Live'!$A:$C,3,0),"")</f>
        <v/>
      </c>
      <c r="L1070" s="528">
        <f>IF(E1070="STL",Pricing!$D$38,IF(A1070="",0,IF(A1070&lt;Pricing!$C$25,Pricing!$D$25,VLOOKUP(Disbursements!$F1070,Pricing!$B$29:$D$32,3))))</f>
        <v>0</v>
      </c>
      <c r="M1070" s="528">
        <f>IF(E1070="STL",0,IF(F1070&gt;0,Pricing!$D$21,0))</f>
        <v>0</v>
      </c>
      <c r="N1070" s="529">
        <f>IF(E1070="STL",F1070*Pricing!$D$40,IF(A1070&lt;=Pricing!$C$4,0,IF(AND(A1070&gt;Pricing!$C$4,Disbursements!A1070&lt;=Pricing!$C$5),F1070*Pricing!$E$5,IF(AND(A1070&gt;Pricing!$C$5,Disbursements!A1070&lt;=Pricing!$C$7),VLOOKUP(F1070,Pricing!$D$7:$E$8,2)*Disbursements!F1070,F1070*Pricing!$E$9))))</f>
        <v>0</v>
      </c>
      <c r="O1070" s="528">
        <f>IF(E1070="STL",0,IF($F1070&gt;0,$F1070*Pricing!$D$17,0))</f>
        <v>0</v>
      </c>
      <c r="P1070" s="530" t="str">
        <f t="shared" si="438"/>
        <v/>
      </c>
      <c r="Q1070" s="531" t="str">
        <f>IF($A1070="","",$G1070/VLOOKUP($I1070,Ref!$B$23:$D$29,2,0))</f>
        <v/>
      </c>
      <c r="R1070" s="530" t="str">
        <f t="shared" si="439"/>
        <v/>
      </c>
      <c r="S1070" s="532" t="str">
        <f t="shared" si="433"/>
        <v/>
      </c>
      <c r="T1070" s="531" t="str">
        <f t="shared" si="440"/>
        <v/>
      </c>
      <c r="U1070" s="533">
        <f t="shared" si="441"/>
        <v>0</v>
      </c>
      <c r="V1070" s="531" t="str">
        <f t="shared" si="442"/>
        <v/>
      </c>
      <c r="W1070" s="531" t="str">
        <f t="shared" si="443"/>
        <v/>
      </c>
      <c r="X1070" s="534" t="str">
        <f t="shared" si="444"/>
        <v/>
      </c>
      <c r="Y1070" s="535" t="str">
        <f>IF($A1070="","",IF($I1070="weekly",$A1070+7,EDATE($A1070,VLOOKUP($I1070,Ref!$B$24:$C$29,2,0))))</f>
        <v/>
      </c>
      <c r="Z1070" s="536" t="str">
        <f t="shared" si="445"/>
        <v/>
      </c>
      <c r="AA1070" s="531">
        <f t="shared" si="446"/>
        <v>0</v>
      </c>
      <c r="AB1070" s="535" t="str">
        <f t="shared" si="434"/>
        <v/>
      </c>
      <c r="AC1070" s="537" t="str">
        <f t="shared" si="435"/>
        <v/>
      </c>
      <c r="AD1070" s="538" t="str">
        <f t="shared" ca="1" si="436"/>
        <v/>
      </c>
      <c r="AE1070" s="537">
        <f t="shared" ca="1" si="437"/>
        <v>0</v>
      </c>
      <c r="AF1070" s="539" t="str">
        <f t="shared" ca="1" si="447"/>
        <v/>
      </c>
      <c r="AG1070" s="531" t="str">
        <f t="shared" ca="1" si="448"/>
        <v/>
      </c>
      <c r="AH1070" s="531" t="str">
        <f t="shared" ca="1" si="449"/>
        <v/>
      </c>
      <c r="AI1070" s="531" t="str">
        <f t="shared" ca="1" si="450"/>
        <v/>
      </c>
      <c r="AJ1070" s="531" t="str">
        <f t="shared" si="451"/>
        <v/>
      </c>
      <c r="AK1070" s="540">
        <f>SUMIFS('Live Collections'!$S:$S,'Live Collections'!$D:$D,Disbursements!B1070,'Live Collections'!$G:$G,Disbursements!C1070)</f>
        <v>0</v>
      </c>
      <c r="AL1070" s="540">
        <f>SUMIFS('Live Collections'!$T:$T,'Live Collections'!$D:$D,Disbursements!B1070,'Live Collections'!$G:$G,Disbursements!C1070)</f>
        <v>0</v>
      </c>
      <c r="AM1070" s="541">
        <f t="shared" si="452"/>
        <v>0</v>
      </c>
      <c r="AN1070" s="542" t="str">
        <f t="shared" si="453"/>
        <v/>
      </c>
      <c r="AO1070" s="542" t="str">
        <f t="shared" si="454"/>
        <v/>
      </c>
      <c r="AP1070" s="543" t="str">
        <f t="shared" si="455"/>
        <v/>
      </c>
      <c r="AQ1070" s="544" t="str">
        <f t="shared" si="456"/>
        <v/>
      </c>
      <c r="AR1070" s="545">
        <f t="shared" si="457"/>
        <v>0</v>
      </c>
      <c r="AS1070" s="545">
        <f>IFERROR(CEILING($AR1070*VLOOKUP($I1070,Ref!$B$23:$E$29,4,0),1),0)</f>
        <v>0</v>
      </c>
      <c r="AT1070" s="545" t="str">
        <f>IF(A1070="","",IF(AP1070&lt;=1,"Cleared",IF(AS1070=0,"Clean",VLOOKUP($AS1070,Ref!$G$23:$H$28,2))))</f>
        <v/>
      </c>
      <c r="AU1070" s="546" t="str">
        <f t="shared" si="458"/>
        <v/>
      </c>
    </row>
    <row r="1071" spans="1:47" ht="14.25" hidden="1" customHeight="1" x14ac:dyDescent="0.15">
      <c r="A1071" s="523"/>
      <c r="B1071" s="523"/>
      <c r="C1071" s="523"/>
      <c r="D1071" s="523"/>
      <c r="E1071" s="579"/>
      <c r="F1071" s="580"/>
      <c r="G1071" s="524"/>
      <c r="H1071" s="555"/>
      <c r="I1071" s="560"/>
      <c r="J1071" s="523"/>
      <c r="K1071" s="528" t="str">
        <f>IFERROR(VLOOKUP($B1071,'Clients-Live'!$A:$C,3,0),"")</f>
        <v/>
      </c>
      <c r="L1071" s="528">
        <f>IF(E1071="STL",Pricing!$D$38,IF(A1071="",0,IF(A1071&lt;Pricing!$C$25,Pricing!$D$25,VLOOKUP(Disbursements!$F1071,Pricing!$B$29:$D$32,3))))</f>
        <v>0</v>
      </c>
      <c r="M1071" s="528">
        <f>IF(E1071="STL",0,IF(F1071&gt;0,Pricing!$D$21,0))</f>
        <v>0</v>
      </c>
      <c r="N1071" s="529">
        <f>IF(E1071="STL",F1071*Pricing!$D$40,IF(A1071&lt;=Pricing!$C$4,0,IF(AND(A1071&gt;Pricing!$C$4,Disbursements!A1071&lt;=Pricing!$C$5),F1071*Pricing!$E$5,IF(AND(A1071&gt;Pricing!$C$5,Disbursements!A1071&lt;=Pricing!$C$7),VLOOKUP(F1071,Pricing!$D$7:$E$8,2)*Disbursements!F1071,F1071*Pricing!$E$9))))</f>
        <v>0</v>
      </c>
      <c r="O1071" s="528">
        <f>IF(E1071="STL",0,IF($F1071&gt;0,$F1071*Pricing!$D$17,0))</f>
        <v>0</v>
      </c>
      <c r="P1071" s="530" t="str">
        <f t="shared" si="438"/>
        <v/>
      </c>
      <c r="Q1071" s="531" t="str">
        <f>IF($A1071="","",$G1071/VLOOKUP($I1071,Ref!$B$23:$D$29,2,0))</f>
        <v/>
      </c>
      <c r="R1071" s="530" t="str">
        <f t="shared" si="439"/>
        <v/>
      </c>
      <c r="S1071" s="532" t="str">
        <f t="shared" si="433"/>
        <v/>
      </c>
      <c r="T1071" s="531" t="str">
        <f t="shared" si="440"/>
        <v/>
      </c>
      <c r="U1071" s="533">
        <f t="shared" si="441"/>
        <v>0</v>
      </c>
      <c r="V1071" s="531" t="str">
        <f t="shared" si="442"/>
        <v/>
      </c>
      <c r="W1071" s="531" t="str">
        <f t="shared" si="443"/>
        <v/>
      </c>
      <c r="X1071" s="534" t="str">
        <f t="shared" si="444"/>
        <v/>
      </c>
      <c r="Y1071" s="535" t="str">
        <f>IF($A1071="","",IF($I1071="weekly",$A1071+7,EDATE($A1071,VLOOKUP($I1071,Ref!$B$24:$C$29,2,0))))</f>
        <v/>
      </c>
      <c r="Z1071" s="536" t="str">
        <f t="shared" si="445"/>
        <v/>
      </c>
      <c r="AA1071" s="531">
        <f t="shared" si="446"/>
        <v>0</v>
      </c>
      <c r="AB1071" s="535" t="str">
        <f t="shared" si="434"/>
        <v/>
      </c>
      <c r="AC1071" s="537" t="str">
        <f t="shared" si="435"/>
        <v/>
      </c>
      <c r="AD1071" s="538" t="str">
        <f t="shared" ca="1" si="436"/>
        <v/>
      </c>
      <c r="AE1071" s="537">
        <f t="shared" ca="1" si="437"/>
        <v>0</v>
      </c>
      <c r="AF1071" s="539" t="str">
        <f t="shared" ca="1" si="447"/>
        <v/>
      </c>
      <c r="AG1071" s="531" t="str">
        <f t="shared" ca="1" si="448"/>
        <v/>
      </c>
      <c r="AH1071" s="531" t="str">
        <f t="shared" ca="1" si="449"/>
        <v/>
      </c>
      <c r="AI1071" s="531" t="str">
        <f t="shared" ca="1" si="450"/>
        <v/>
      </c>
      <c r="AJ1071" s="531" t="str">
        <f t="shared" si="451"/>
        <v/>
      </c>
      <c r="AK1071" s="540">
        <f>SUMIFS('Live Collections'!$S:$S,'Live Collections'!$D:$D,Disbursements!B1071,'Live Collections'!$G:$G,Disbursements!C1071)</f>
        <v>0</v>
      </c>
      <c r="AL1071" s="540">
        <f>SUMIFS('Live Collections'!$T:$T,'Live Collections'!$D:$D,Disbursements!B1071,'Live Collections'!$G:$G,Disbursements!C1071)</f>
        <v>0</v>
      </c>
      <c r="AM1071" s="541">
        <f t="shared" si="452"/>
        <v>0</v>
      </c>
      <c r="AN1071" s="542" t="str">
        <f t="shared" si="453"/>
        <v/>
      </c>
      <c r="AO1071" s="542" t="str">
        <f t="shared" si="454"/>
        <v/>
      </c>
      <c r="AP1071" s="543" t="str">
        <f t="shared" si="455"/>
        <v/>
      </c>
      <c r="AQ1071" s="544" t="str">
        <f t="shared" si="456"/>
        <v/>
      </c>
      <c r="AR1071" s="545">
        <f t="shared" si="457"/>
        <v>0</v>
      </c>
      <c r="AS1071" s="545">
        <f>IFERROR(CEILING($AR1071*VLOOKUP($I1071,Ref!$B$23:$E$29,4,0),1),0)</f>
        <v>0</v>
      </c>
      <c r="AT1071" s="545" t="str">
        <f>IF(A1071="","",IF(AP1071&lt;=1,"Cleared",IF(AS1071=0,"Clean",VLOOKUP($AS1071,Ref!$G$23:$H$28,2))))</f>
        <v/>
      </c>
      <c r="AU1071" s="546" t="str">
        <f t="shared" si="458"/>
        <v/>
      </c>
    </row>
    <row r="1072" spans="1:47" ht="14.25" hidden="1" customHeight="1" x14ac:dyDescent="0.15">
      <c r="A1072" s="523"/>
      <c r="B1072" s="523"/>
      <c r="C1072" s="523"/>
      <c r="D1072" s="523"/>
      <c r="E1072" s="579"/>
      <c r="F1072" s="580"/>
      <c r="G1072" s="524"/>
      <c r="H1072" s="555"/>
      <c r="I1072" s="560"/>
      <c r="J1072" s="523"/>
      <c r="K1072" s="528" t="str">
        <f>IFERROR(VLOOKUP($B1072,'Clients-Live'!$A:$C,3,0),"")</f>
        <v/>
      </c>
      <c r="L1072" s="528">
        <f>IF(E1072="STL",Pricing!$D$38,IF(A1072="",0,IF(A1072&lt;Pricing!$C$25,Pricing!$D$25,VLOOKUP(Disbursements!$F1072,Pricing!$B$29:$D$32,3))))</f>
        <v>0</v>
      </c>
      <c r="M1072" s="528">
        <f>IF(E1072="STL",0,IF(F1072&gt;0,Pricing!$D$21,0))</f>
        <v>0</v>
      </c>
      <c r="N1072" s="529">
        <f>IF(E1072="STL",F1072*Pricing!$D$40,IF(A1072&lt;=Pricing!$C$4,0,IF(AND(A1072&gt;Pricing!$C$4,Disbursements!A1072&lt;=Pricing!$C$5),F1072*Pricing!$E$5,IF(AND(A1072&gt;Pricing!$C$5,Disbursements!A1072&lt;=Pricing!$C$7),VLOOKUP(F1072,Pricing!$D$7:$E$8,2)*Disbursements!F1072,F1072*Pricing!$E$9))))</f>
        <v>0</v>
      </c>
      <c r="O1072" s="528">
        <f>IF(E1072="STL",0,IF($F1072&gt;0,$F1072*Pricing!$D$17,0))</f>
        <v>0</v>
      </c>
      <c r="P1072" s="530" t="str">
        <f t="shared" si="438"/>
        <v/>
      </c>
      <c r="Q1072" s="531" t="str">
        <f>IF($A1072="","",$G1072/VLOOKUP($I1072,Ref!$B$23:$D$29,2,0))</f>
        <v/>
      </c>
      <c r="R1072" s="530" t="str">
        <f t="shared" si="439"/>
        <v/>
      </c>
      <c r="S1072" s="532" t="str">
        <f t="shared" si="433"/>
        <v/>
      </c>
      <c r="T1072" s="531" t="str">
        <f t="shared" si="440"/>
        <v/>
      </c>
      <c r="U1072" s="533">
        <f t="shared" si="441"/>
        <v>0</v>
      </c>
      <c r="V1072" s="531" t="str">
        <f t="shared" si="442"/>
        <v/>
      </c>
      <c r="W1072" s="531" t="str">
        <f t="shared" si="443"/>
        <v/>
      </c>
      <c r="X1072" s="534" t="str">
        <f t="shared" si="444"/>
        <v/>
      </c>
      <c r="Y1072" s="535" t="str">
        <f>IF($A1072="","",IF($I1072="weekly",$A1072+7,EDATE($A1072,VLOOKUP($I1072,Ref!$B$24:$C$29,2,0))))</f>
        <v/>
      </c>
      <c r="Z1072" s="536" t="str">
        <f t="shared" si="445"/>
        <v/>
      </c>
      <c r="AA1072" s="531">
        <f t="shared" si="446"/>
        <v>0</v>
      </c>
      <c r="AB1072" s="535" t="str">
        <f t="shared" si="434"/>
        <v/>
      </c>
      <c r="AC1072" s="537" t="str">
        <f t="shared" si="435"/>
        <v/>
      </c>
      <c r="AD1072" s="538" t="str">
        <f t="shared" ca="1" si="436"/>
        <v/>
      </c>
      <c r="AE1072" s="537">
        <f t="shared" ca="1" si="437"/>
        <v>0</v>
      </c>
      <c r="AF1072" s="539" t="str">
        <f t="shared" ca="1" si="447"/>
        <v/>
      </c>
      <c r="AG1072" s="531" t="str">
        <f t="shared" ca="1" si="448"/>
        <v/>
      </c>
      <c r="AH1072" s="531" t="str">
        <f t="shared" ca="1" si="449"/>
        <v/>
      </c>
      <c r="AI1072" s="531" t="str">
        <f t="shared" ca="1" si="450"/>
        <v/>
      </c>
      <c r="AJ1072" s="531" t="str">
        <f t="shared" si="451"/>
        <v/>
      </c>
      <c r="AK1072" s="540">
        <f>SUMIFS('Live Collections'!$S:$S,'Live Collections'!$D:$D,Disbursements!B1072,'Live Collections'!$G:$G,Disbursements!C1072)</f>
        <v>0</v>
      </c>
      <c r="AL1072" s="540">
        <f>SUMIFS('Live Collections'!$T:$T,'Live Collections'!$D:$D,Disbursements!B1072,'Live Collections'!$G:$G,Disbursements!C1072)</f>
        <v>0</v>
      </c>
      <c r="AM1072" s="541">
        <f t="shared" si="452"/>
        <v>0</v>
      </c>
      <c r="AN1072" s="542" t="str">
        <f t="shared" si="453"/>
        <v/>
      </c>
      <c r="AO1072" s="542" t="str">
        <f t="shared" si="454"/>
        <v/>
      </c>
      <c r="AP1072" s="543" t="str">
        <f t="shared" si="455"/>
        <v/>
      </c>
      <c r="AQ1072" s="544" t="str">
        <f t="shared" si="456"/>
        <v/>
      </c>
      <c r="AR1072" s="545">
        <f t="shared" si="457"/>
        <v>0</v>
      </c>
      <c r="AS1072" s="545">
        <f>IFERROR(CEILING($AR1072*VLOOKUP($I1072,Ref!$B$23:$E$29,4,0),1),0)</f>
        <v>0</v>
      </c>
      <c r="AT1072" s="545" t="str">
        <f>IF(A1072="","",IF(AP1072&lt;=1,"Cleared",IF(AS1072=0,"Clean",VLOOKUP($AS1072,Ref!$G$23:$H$28,2))))</f>
        <v/>
      </c>
      <c r="AU1072" s="546" t="str">
        <f t="shared" si="458"/>
        <v/>
      </c>
    </row>
    <row r="1073" spans="1:47" ht="14.25" hidden="1" customHeight="1" x14ac:dyDescent="0.15">
      <c r="A1073" s="523"/>
      <c r="B1073" s="523"/>
      <c r="C1073" s="523"/>
      <c r="D1073" s="523"/>
      <c r="E1073" s="579"/>
      <c r="F1073" s="580"/>
      <c r="G1073" s="524"/>
      <c r="H1073" s="555"/>
      <c r="I1073" s="560"/>
      <c r="J1073" s="523"/>
      <c r="K1073" s="528" t="str">
        <f>IFERROR(VLOOKUP($B1073,'Clients-Live'!$A:$C,3,0),"")</f>
        <v/>
      </c>
      <c r="L1073" s="528">
        <f>IF(E1073="STL",Pricing!$D$38,IF(A1073="",0,IF(A1073&lt;Pricing!$C$25,Pricing!$D$25,VLOOKUP(Disbursements!$F1073,Pricing!$B$29:$D$32,3))))</f>
        <v>0</v>
      </c>
      <c r="M1073" s="528">
        <f>IF(E1073="STL",0,IF(F1073&gt;0,Pricing!$D$21,0))</f>
        <v>0</v>
      </c>
      <c r="N1073" s="529">
        <f>IF(E1073="STL",F1073*Pricing!$D$40,IF(A1073&lt;=Pricing!$C$4,0,IF(AND(A1073&gt;Pricing!$C$4,Disbursements!A1073&lt;=Pricing!$C$5),F1073*Pricing!$E$5,IF(AND(A1073&gt;Pricing!$C$5,Disbursements!A1073&lt;=Pricing!$C$7),VLOOKUP(F1073,Pricing!$D$7:$E$8,2)*Disbursements!F1073,F1073*Pricing!$E$9))))</f>
        <v>0</v>
      </c>
      <c r="O1073" s="528">
        <f>IF(E1073="STL",0,IF($F1073&gt;0,$F1073*Pricing!$D$17,0))</f>
        <v>0</v>
      </c>
      <c r="P1073" s="530" t="str">
        <f t="shared" si="438"/>
        <v/>
      </c>
      <c r="Q1073" s="531" t="str">
        <f>IF($A1073="","",$G1073/VLOOKUP($I1073,Ref!$B$23:$D$29,2,0))</f>
        <v/>
      </c>
      <c r="R1073" s="530" t="str">
        <f t="shared" si="439"/>
        <v/>
      </c>
      <c r="S1073" s="532" t="str">
        <f t="shared" si="433"/>
        <v/>
      </c>
      <c r="T1073" s="531" t="str">
        <f t="shared" si="440"/>
        <v/>
      </c>
      <c r="U1073" s="533">
        <f t="shared" si="441"/>
        <v>0</v>
      </c>
      <c r="V1073" s="531" t="str">
        <f t="shared" si="442"/>
        <v/>
      </c>
      <c r="W1073" s="531" t="str">
        <f t="shared" si="443"/>
        <v/>
      </c>
      <c r="X1073" s="534" t="str">
        <f t="shared" si="444"/>
        <v/>
      </c>
      <c r="Y1073" s="535" t="str">
        <f>IF($A1073="","",IF($I1073="weekly",$A1073+7,EDATE($A1073,VLOOKUP($I1073,Ref!$B$24:$C$29,2,0))))</f>
        <v/>
      </c>
      <c r="Z1073" s="536" t="str">
        <f t="shared" si="445"/>
        <v/>
      </c>
      <c r="AA1073" s="531">
        <f t="shared" si="446"/>
        <v>0</v>
      </c>
      <c r="AB1073" s="535" t="str">
        <f t="shared" si="434"/>
        <v/>
      </c>
      <c r="AC1073" s="537" t="str">
        <f t="shared" si="435"/>
        <v/>
      </c>
      <c r="AD1073" s="538" t="str">
        <f t="shared" ca="1" si="436"/>
        <v/>
      </c>
      <c r="AE1073" s="537">
        <f t="shared" ca="1" si="437"/>
        <v>0</v>
      </c>
      <c r="AF1073" s="539" t="str">
        <f t="shared" ca="1" si="447"/>
        <v/>
      </c>
      <c r="AG1073" s="531" t="str">
        <f t="shared" ca="1" si="448"/>
        <v/>
      </c>
      <c r="AH1073" s="531" t="str">
        <f t="shared" ca="1" si="449"/>
        <v/>
      </c>
      <c r="AI1073" s="531" t="str">
        <f t="shared" ca="1" si="450"/>
        <v/>
      </c>
      <c r="AJ1073" s="531" t="str">
        <f t="shared" si="451"/>
        <v/>
      </c>
      <c r="AK1073" s="540">
        <f>SUMIFS('Live Collections'!$S:$S,'Live Collections'!$D:$D,Disbursements!B1073,'Live Collections'!$G:$G,Disbursements!C1073)</f>
        <v>0</v>
      </c>
      <c r="AL1073" s="540">
        <f>SUMIFS('Live Collections'!$T:$T,'Live Collections'!$D:$D,Disbursements!B1073,'Live Collections'!$G:$G,Disbursements!C1073)</f>
        <v>0</v>
      </c>
      <c r="AM1073" s="541">
        <f t="shared" si="452"/>
        <v>0</v>
      </c>
      <c r="AN1073" s="542" t="str">
        <f t="shared" si="453"/>
        <v/>
      </c>
      <c r="AO1073" s="542" t="str">
        <f t="shared" si="454"/>
        <v/>
      </c>
      <c r="AP1073" s="543" t="str">
        <f t="shared" si="455"/>
        <v/>
      </c>
      <c r="AQ1073" s="544" t="str">
        <f t="shared" si="456"/>
        <v/>
      </c>
      <c r="AR1073" s="545">
        <f t="shared" si="457"/>
        <v>0</v>
      </c>
      <c r="AS1073" s="545">
        <f>IFERROR(CEILING($AR1073*VLOOKUP($I1073,Ref!$B$23:$E$29,4,0),1),0)</f>
        <v>0</v>
      </c>
      <c r="AT1073" s="545" t="str">
        <f>IF(A1073="","",IF(AP1073&lt;=1,"Cleared",IF(AS1073=0,"Clean",VLOOKUP($AS1073,Ref!$G$23:$H$28,2))))</f>
        <v/>
      </c>
      <c r="AU1073" s="546" t="str">
        <f t="shared" si="458"/>
        <v/>
      </c>
    </row>
    <row r="1074" spans="1:47" ht="14.25" hidden="1" customHeight="1" x14ac:dyDescent="0.15">
      <c r="A1074" s="523"/>
      <c r="B1074" s="523"/>
      <c r="C1074" s="523"/>
      <c r="D1074" s="523"/>
      <c r="E1074" s="579"/>
      <c r="F1074" s="580"/>
      <c r="G1074" s="524"/>
      <c r="H1074" s="555"/>
      <c r="I1074" s="560"/>
      <c r="J1074" s="523"/>
      <c r="K1074" s="528" t="str">
        <f>IFERROR(VLOOKUP($B1074,'Clients-Live'!$A:$C,3,0),"")</f>
        <v/>
      </c>
      <c r="L1074" s="528">
        <f>IF(E1074="STL",Pricing!$D$38,IF(A1074="",0,IF(A1074&lt;Pricing!$C$25,Pricing!$D$25,VLOOKUP(Disbursements!$F1074,Pricing!$B$29:$D$32,3))))</f>
        <v>0</v>
      </c>
      <c r="M1074" s="528">
        <f>IF(E1074="STL",0,IF(F1074&gt;0,Pricing!$D$21,0))</f>
        <v>0</v>
      </c>
      <c r="N1074" s="529">
        <f>IF(E1074="STL",F1074*Pricing!$D$40,IF(A1074&lt;=Pricing!$C$4,0,IF(AND(A1074&gt;Pricing!$C$4,Disbursements!A1074&lt;=Pricing!$C$5),F1074*Pricing!$E$5,IF(AND(A1074&gt;Pricing!$C$5,Disbursements!A1074&lt;=Pricing!$C$7),VLOOKUP(F1074,Pricing!$D$7:$E$8,2)*Disbursements!F1074,F1074*Pricing!$E$9))))</f>
        <v>0</v>
      </c>
      <c r="O1074" s="528">
        <f>IF(E1074="STL",0,IF($F1074&gt;0,$F1074*Pricing!$D$17,0))</f>
        <v>0</v>
      </c>
      <c r="P1074" s="530" t="str">
        <f t="shared" si="438"/>
        <v/>
      </c>
      <c r="Q1074" s="531" t="str">
        <f>IF($A1074="","",$G1074/VLOOKUP($I1074,Ref!$B$23:$D$29,2,0))</f>
        <v/>
      </c>
      <c r="R1074" s="530" t="str">
        <f t="shared" si="439"/>
        <v/>
      </c>
      <c r="S1074" s="532" t="str">
        <f t="shared" si="433"/>
        <v/>
      </c>
      <c r="T1074" s="531" t="str">
        <f t="shared" si="440"/>
        <v/>
      </c>
      <c r="U1074" s="533">
        <f t="shared" si="441"/>
        <v>0</v>
      </c>
      <c r="V1074" s="531" t="str">
        <f t="shared" si="442"/>
        <v/>
      </c>
      <c r="W1074" s="531" t="str">
        <f t="shared" si="443"/>
        <v/>
      </c>
      <c r="X1074" s="534" t="str">
        <f t="shared" si="444"/>
        <v/>
      </c>
      <c r="Y1074" s="535" t="str">
        <f>IF($A1074="","",IF($I1074="weekly",$A1074+7,EDATE($A1074,VLOOKUP($I1074,Ref!$B$24:$C$29,2,0))))</f>
        <v/>
      </c>
      <c r="Z1074" s="536" t="str">
        <f t="shared" si="445"/>
        <v/>
      </c>
      <c r="AA1074" s="531">
        <f t="shared" si="446"/>
        <v>0</v>
      </c>
      <c r="AB1074" s="535" t="str">
        <f t="shared" si="434"/>
        <v/>
      </c>
      <c r="AC1074" s="537" t="str">
        <f t="shared" si="435"/>
        <v/>
      </c>
      <c r="AD1074" s="538" t="str">
        <f t="shared" ca="1" si="436"/>
        <v/>
      </c>
      <c r="AE1074" s="537">
        <f t="shared" ca="1" si="437"/>
        <v>0</v>
      </c>
      <c r="AF1074" s="539" t="str">
        <f t="shared" ca="1" si="447"/>
        <v/>
      </c>
      <c r="AG1074" s="531" t="str">
        <f t="shared" ca="1" si="448"/>
        <v/>
      </c>
      <c r="AH1074" s="531" t="str">
        <f t="shared" ca="1" si="449"/>
        <v/>
      </c>
      <c r="AI1074" s="531" t="str">
        <f t="shared" ca="1" si="450"/>
        <v/>
      </c>
      <c r="AJ1074" s="531" t="str">
        <f t="shared" si="451"/>
        <v/>
      </c>
      <c r="AK1074" s="540">
        <f>SUMIFS('Live Collections'!$S:$S,'Live Collections'!$D:$D,Disbursements!B1074,'Live Collections'!$G:$G,Disbursements!C1074)</f>
        <v>0</v>
      </c>
      <c r="AL1074" s="540">
        <f>SUMIFS('Live Collections'!$T:$T,'Live Collections'!$D:$D,Disbursements!B1074,'Live Collections'!$G:$G,Disbursements!C1074)</f>
        <v>0</v>
      </c>
      <c r="AM1074" s="541">
        <f t="shared" si="452"/>
        <v>0</v>
      </c>
      <c r="AN1074" s="542" t="str">
        <f t="shared" si="453"/>
        <v/>
      </c>
      <c r="AO1074" s="542" t="str">
        <f t="shared" si="454"/>
        <v/>
      </c>
      <c r="AP1074" s="543" t="str">
        <f t="shared" si="455"/>
        <v/>
      </c>
      <c r="AQ1074" s="544" t="str">
        <f t="shared" si="456"/>
        <v/>
      </c>
      <c r="AR1074" s="545">
        <f t="shared" si="457"/>
        <v>0</v>
      </c>
      <c r="AS1074" s="545">
        <f>IFERROR(CEILING($AR1074*VLOOKUP($I1074,Ref!$B$23:$E$29,4,0),1),0)</f>
        <v>0</v>
      </c>
      <c r="AT1074" s="545" t="str">
        <f>IF(A1074="","",IF(AP1074&lt;=1,"Cleared",IF(AS1074=0,"Clean",VLOOKUP($AS1074,Ref!$G$23:$H$28,2))))</f>
        <v/>
      </c>
      <c r="AU1074" s="546" t="str">
        <f t="shared" si="458"/>
        <v/>
      </c>
    </row>
    <row r="1075" spans="1:47" ht="14.25" hidden="1" customHeight="1" x14ac:dyDescent="0.15">
      <c r="A1075" s="523"/>
      <c r="B1075" s="523"/>
      <c r="C1075" s="523"/>
      <c r="D1075" s="523"/>
      <c r="E1075" s="579"/>
      <c r="F1075" s="580"/>
      <c r="G1075" s="524"/>
      <c r="H1075" s="555"/>
      <c r="I1075" s="560"/>
      <c r="J1075" s="523"/>
      <c r="K1075" s="528" t="str">
        <f>IFERROR(VLOOKUP($B1075,'Clients-Live'!$A:$C,3,0),"")</f>
        <v/>
      </c>
      <c r="L1075" s="528">
        <f>IF(E1075="STL",Pricing!$D$38,IF(A1075="",0,IF(A1075&lt;Pricing!$C$25,Pricing!$D$25,VLOOKUP(Disbursements!$F1075,Pricing!$B$29:$D$32,3))))</f>
        <v>0</v>
      </c>
      <c r="M1075" s="528">
        <f>IF(E1075="STL",0,IF(F1075&gt;0,Pricing!$D$21,0))</f>
        <v>0</v>
      </c>
      <c r="N1075" s="529">
        <f>IF(E1075="STL",F1075*Pricing!$D$40,IF(A1075&lt;=Pricing!$C$4,0,IF(AND(A1075&gt;Pricing!$C$4,Disbursements!A1075&lt;=Pricing!$C$5),F1075*Pricing!$E$5,IF(AND(A1075&gt;Pricing!$C$5,Disbursements!A1075&lt;=Pricing!$C$7),VLOOKUP(F1075,Pricing!$D$7:$E$8,2)*Disbursements!F1075,F1075*Pricing!$E$9))))</f>
        <v>0</v>
      </c>
      <c r="O1075" s="528">
        <f>IF(E1075="STL",0,IF($F1075&gt;0,$F1075*Pricing!$D$17,0))</f>
        <v>0</v>
      </c>
      <c r="P1075" s="530" t="str">
        <f t="shared" si="438"/>
        <v/>
      </c>
      <c r="Q1075" s="531" t="str">
        <f>IF($A1075="","",$G1075/VLOOKUP($I1075,Ref!$B$23:$D$29,2,0))</f>
        <v/>
      </c>
      <c r="R1075" s="530" t="str">
        <f t="shared" si="439"/>
        <v/>
      </c>
      <c r="S1075" s="532" t="str">
        <f t="shared" si="433"/>
        <v/>
      </c>
      <c r="T1075" s="531" t="str">
        <f t="shared" si="440"/>
        <v/>
      </c>
      <c r="U1075" s="533">
        <f t="shared" si="441"/>
        <v>0</v>
      </c>
      <c r="V1075" s="531" t="str">
        <f t="shared" si="442"/>
        <v/>
      </c>
      <c r="W1075" s="531" t="str">
        <f t="shared" si="443"/>
        <v/>
      </c>
      <c r="X1075" s="534" t="str">
        <f t="shared" si="444"/>
        <v/>
      </c>
      <c r="Y1075" s="535" t="str">
        <f>IF($A1075="","",IF($I1075="weekly",$A1075+7,EDATE($A1075,VLOOKUP($I1075,Ref!$B$24:$C$29,2,0))))</f>
        <v/>
      </c>
      <c r="Z1075" s="536" t="str">
        <f t="shared" si="445"/>
        <v/>
      </c>
      <c r="AA1075" s="531">
        <f t="shared" si="446"/>
        <v>0</v>
      </c>
      <c r="AB1075" s="535" t="str">
        <f t="shared" si="434"/>
        <v/>
      </c>
      <c r="AC1075" s="537" t="str">
        <f t="shared" si="435"/>
        <v/>
      </c>
      <c r="AD1075" s="538" t="str">
        <f t="shared" ca="1" si="436"/>
        <v/>
      </c>
      <c r="AE1075" s="537">
        <f t="shared" ca="1" si="437"/>
        <v>0</v>
      </c>
      <c r="AF1075" s="539" t="str">
        <f t="shared" ca="1" si="447"/>
        <v/>
      </c>
      <c r="AG1075" s="531" t="str">
        <f t="shared" ca="1" si="448"/>
        <v/>
      </c>
      <c r="AH1075" s="531" t="str">
        <f t="shared" ca="1" si="449"/>
        <v/>
      </c>
      <c r="AI1075" s="531" t="str">
        <f t="shared" ca="1" si="450"/>
        <v/>
      </c>
      <c r="AJ1075" s="531" t="str">
        <f t="shared" si="451"/>
        <v/>
      </c>
      <c r="AK1075" s="540">
        <f>SUMIFS('Live Collections'!$S:$S,'Live Collections'!$D:$D,Disbursements!B1075,'Live Collections'!$G:$G,Disbursements!C1075)</f>
        <v>0</v>
      </c>
      <c r="AL1075" s="540">
        <f>SUMIFS('Live Collections'!$T:$T,'Live Collections'!$D:$D,Disbursements!B1075,'Live Collections'!$G:$G,Disbursements!C1075)</f>
        <v>0</v>
      </c>
      <c r="AM1075" s="541">
        <f t="shared" si="452"/>
        <v>0</v>
      </c>
      <c r="AN1075" s="542" t="str">
        <f t="shared" si="453"/>
        <v/>
      </c>
      <c r="AO1075" s="542" t="str">
        <f t="shared" si="454"/>
        <v/>
      </c>
      <c r="AP1075" s="543" t="str">
        <f t="shared" si="455"/>
        <v/>
      </c>
      <c r="AQ1075" s="544" t="str">
        <f t="shared" si="456"/>
        <v/>
      </c>
      <c r="AR1075" s="545">
        <f t="shared" si="457"/>
        <v>0</v>
      </c>
      <c r="AS1075" s="545">
        <f>IFERROR(CEILING($AR1075*VLOOKUP($I1075,Ref!$B$23:$E$29,4,0),1),0)</f>
        <v>0</v>
      </c>
      <c r="AT1075" s="545" t="str">
        <f>IF(A1075="","",IF(AP1075&lt;=1,"Cleared",IF(AS1075=0,"Clean",VLOOKUP($AS1075,Ref!$G$23:$H$28,2))))</f>
        <v/>
      </c>
      <c r="AU1075" s="546" t="str">
        <f t="shared" si="458"/>
        <v/>
      </c>
    </row>
    <row r="1076" spans="1:47" ht="14.25" hidden="1" customHeight="1" x14ac:dyDescent="0.15">
      <c r="A1076" s="523"/>
      <c r="B1076" s="523"/>
      <c r="C1076" s="523"/>
      <c r="D1076" s="523"/>
      <c r="E1076" s="579"/>
      <c r="F1076" s="580"/>
      <c r="G1076" s="524"/>
      <c r="H1076" s="555"/>
      <c r="I1076" s="560"/>
      <c r="J1076" s="523"/>
      <c r="K1076" s="528" t="str">
        <f>IFERROR(VLOOKUP($B1076,'Clients-Live'!$A:$C,3,0),"")</f>
        <v/>
      </c>
      <c r="L1076" s="528">
        <f>IF(E1076="STL",Pricing!$D$38,IF(A1076="",0,IF(A1076&lt;Pricing!$C$25,Pricing!$D$25,VLOOKUP(Disbursements!$F1076,Pricing!$B$29:$D$32,3))))</f>
        <v>0</v>
      </c>
      <c r="M1076" s="528">
        <f>IF(E1076="STL",0,IF(F1076&gt;0,Pricing!$D$21,0))</f>
        <v>0</v>
      </c>
      <c r="N1076" s="529">
        <f>IF(E1076="STL",F1076*Pricing!$D$40,IF(A1076&lt;=Pricing!$C$4,0,IF(AND(A1076&gt;Pricing!$C$4,Disbursements!A1076&lt;=Pricing!$C$5),F1076*Pricing!$E$5,IF(AND(A1076&gt;Pricing!$C$5,Disbursements!A1076&lt;=Pricing!$C$7),VLOOKUP(F1076,Pricing!$D$7:$E$8,2)*Disbursements!F1076,F1076*Pricing!$E$9))))</f>
        <v>0</v>
      </c>
      <c r="O1076" s="528">
        <f>IF(E1076="STL",0,IF($F1076&gt;0,$F1076*Pricing!$D$17,0))</f>
        <v>0</v>
      </c>
      <c r="P1076" s="530" t="str">
        <f t="shared" si="438"/>
        <v/>
      </c>
      <c r="Q1076" s="531" t="str">
        <f>IF($A1076="","",$G1076/VLOOKUP($I1076,Ref!$B$23:$D$29,2,0))</f>
        <v/>
      </c>
      <c r="R1076" s="530" t="str">
        <f t="shared" si="439"/>
        <v/>
      </c>
      <c r="S1076" s="532" t="str">
        <f t="shared" si="433"/>
        <v/>
      </c>
      <c r="T1076" s="531" t="str">
        <f t="shared" si="440"/>
        <v/>
      </c>
      <c r="U1076" s="533">
        <f t="shared" si="441"/>
        <v>0</v>
      </c>
      <c r="V1076" s="531" t="str">
        <f t="shared" si="442"/>
        <v/>
      </c>
      <c r="W1076" s="531" t="str">
        <f t="shared" si="443"/>
        <v/>
      </c>
      <c r="X1076" s="534" t="str">
        <f t="shared" si="444"/>
        <v/>
      </c>
      <c r="Y1076" s="535" t="str">
        <f>IF($A1076="","",IF($I1076="weekly",$A1076+7,EDATE($A1076,VLOOKUP($I1076,Ref!$B$24:$C$29,2,0))))</f>
        <v/>
      </c>
      <c r="Z1076" s="536" t="str">
        <f t="shared" si="445"/>
        <v/>
      </c>
      <c r="AA1076" s="531">
        <f t="shared" si="446"/>
        <v>0</v>
      </c>
      <c r="AB1076" s="535" t="str">
        <f t="shared" si="434"/>
        <v/>
      </c>
      <c r="AC1076" s="537" t="str">
        <f t="shared" si="435"/>
        <v/>
      </c>
      <c r="AD1076" s="538" t="str">
        <f t="shared" ca="1" si="436"/>
        <v/>
      </c>
      <c r="AE1076" s="537">
        <f t="shared" ca="1" si="437"/>
        <v>0</v>
      </c>
      <c r="AF1076" s="539" t="str">
        <f t="shared" ca="1" si="447"/>
        <v/>
      </c>
      <c r="AG1076" s="531" t="str">
        <f t="shared" ca="1" si="448"/>
        <v/>
      </c>
      <c r="AH1076" s="531" t="str">
        <f t="shared" ca="1" si="449"/>
        <v/>
      </c>
      <c r="AI1076" s="531" t="str">
        <f t="shared" ca="1" si="450"/>
        <v/>
      </c>
      <c r="AJ1076" s="531" t="str">
        <f t="shared" si="451"/>
        <v/>
      </c>
      <c r="AK1076" s="540">
        <f>SUMIFS('Live Collections'!$S:$S,'Live Collections'!$D:$D,Disbursements!B1076,'Live Collections'!$G:$G,Disbursements!C1076)</f>
        <v>0</v>
      </c>
      <c r="AL1076" s="540">
        <f>SUMIFS('Live Collections'!$T:$T,'Live Collections'!$D:$D,Disbursements!B1076,'Live Collections'!$G:$G,Disbursements!C1076)</f>
        <v>0</v>
      </c>
      <c r="AM1076" s="541">
        <f t="shared" si="452"/>
        <v>0</v>
      </c>
      <c r="AN1076" s="542" t="str">
        <f t="shared" si="453"/>
        <v/>
      </c>
      <c r="AO1076" s="542" t="str">
        <f t="shared" si="454"/>
        <v/>
      </c>
      <c r="AP1076" s="543" t="str">
        <f t="shared" si="455"/>
        <v/>
      </c>
      <c r="AQ1076" s="544" t="str">
        <f t="shared" si="456"/>
        <v/>
      </c>
      <c r="AR1076" s="545">
        <f t="shared" si="457"/>
        <v>0</v>
      </c>
      <c r="AS1076" s="545">
        <f>IFERROR(CEILING($AR1076*VLOOKUP($I1076,Ref!$B$23:$E$29,4,0),1),0)</f>
        <v>0</v>
      </c>
      <c r="AT1076" s="545" t="str">
        <f>IF(A1076="","",IF(AP1076&lt;=1,"Cleared",IF(AS1076=0,"Clean",VLOOKUP($AS1076,Ref!$G$23:$H$28,2))))</f>
        <v/>
      </c>
      <c r="AU1076" s="546" t="str">
        <f t="shared" si="458"/>
        <v/>
      </c>
    </row>
    <row r="1077" spans="1:47" ht="14.25" hidden="1" customHeight="1" x14ac:dyDescent="0.15">
      <c r="A1077" s="523"/>
      <c r="B1077" s="523"/>
      <c r="C1077" s="523"/>
      <c r="D1077" s="523"/>
      <c r="E1077" s="579"/>
      <c r="F1077" s="580"/>
      <c r="G1077" s="524"/>
      <c r="H1077" s="555"/>
      <c r="I1077" s="560"/>
      <c r="J1077" s="523"/>
      <c r="K1077" s="528" t="str">
        <f>IFERROR(VLOOKUP($B1077,'Clients-Live'!$A:$C,3,0),"")</f>
        <v/>
      </c>
      <c r="L1077" s="528">
        <f>IF(E1077="STL",Pricing!$D$38,IF(A1077="",0,IF(A1077&lt;Pricing!$C$25,Pricing!$D$25,VLOOKUP(Disbursements!$F1077,Pricing!$B$29:$D$32,3))))</f>
        <v>0</v>
      </c>
      <c r="M1077" s="528">
        <f>IF(E1077="STL",0,IF(F1077&gt;0,Pricing!$D$21,0))</f>
        <v>0</v>
      </c>
      <c r="N1077" s="529">
        <f>IF(E1077="STL",F1077*Pricing!$D$40,IF(A1077&lt;=Pricing!$C$4,0,IF(AND(A1077&gt;Pricing!$C$4,Disbursements!A1077&lt;=Pricing!$C$5),F1077*Pricing!$E$5,IF(AND(A1077&gt;Pricing!$C$5,Disbursements!A1077&lt;=Pricing!$C$7),VLOOKUP(F1077,Pricing!$D$7:$E$8,2)*Disbursements!F1077,F1077*Pricing!$E$9))))</f>
        <v>0</v>
      </c>
      <c r="O1077" s="528">
        <f>IF(E1077="STL",0,IF($F1077&gt;0,$F1077*Pricing!$D$17,0))</f>
        <v>0</v>
      </c>
      <c r="P1077" s="530" t="str">
        <f t="shared" si="438"/>
        <v/>
      </c>
      <c r="Q1077" s="531" t="str">
        <f>IF($A1077="","",$G1077/VLOOKUP($I1077,Ref!$B$23:$D$29,2,0))</f>
        <v/>
      </c>
      <c r="R1077" s="530" t="str">
        <f t="shared" si="439"/>
        <v/>
      </c>
      <c r="S1077" s="532" t="str">
        <f t="shared" si="433"/>
        <v/>
      </c>
      <c r="T1077" s="531" t="str">
        <f t="shared" si="440"/>
        <v/>
      </c>
      <c r="U1077" s="533">
        <f t="shared" si="441"/>
        <v>0</v>
      </c>
      <c r="V1077" s="531" t="str">
        <f t="shared" si="442"/>
        <v/>
      </c>
      <c r="W1077" s="531" t="str">
        <f t="shared" si="443"/>
        <v/>
      </c>
      <c r="X1077" s="534" t="str">
        <f t="shared" si="444"/>
        <v/>
      </c>
      <c r="Y1077" s="535" t="str">
        <f>IF($A1077="","",IF($I1077="weekly",$A1077+7,EDATE($A1077,VLOOKUP($I1077,Ref!$B$24:$C$29,2,0))))</f>
        <v/>
      </c>
      <c r="Z1077" s="536" t="str">
        <f t="shared" si="445"/>
        <v/>
      </c>
      <c r="AA1077" s="531">
        <f t="shared" si="446"/>
        <v>0</v>
      </c>
      <c r="AB1077" s="535" t="str">
        <f t="shared" si="434"/>
        <v/>
      </c>
      <c r="AC1077" s="537" t="str">
        <f t="shared" si="435"/>
        <v/>
      </c>
      <c r="AD1077" s="538" t="str">
        <f t="shared" ca="1" si="436"/>
        <v/>
      </c>
      <c r="AE1077" s="537">
        <f t="shared" ca="1" si="437"/>
        <v>0</v>
      </c>
      <c r="AF1077" s="539" t="str">
        <f t="shared" ca="1" si="447"/>
        <v/>
      </c>
      <c r="AG1077" s="531" t="str">
        <f t="shared" ca="1" si="448"/>
        <v/>
      </c>
      <c r="AH1077" s="531" t="str">
        <f t="shared" ca="1" si="449"/>
        <v/>
      </c>
      <c r="AI1077" s="531" t="str">
        <f t="shared" ca="1" si="450"/>
        <v/>
      </c>
      <c r="AJ1077" s="531" t="str">
        <f t="shared" si="451"/>
        <v/>
      </c>
      <c r="AK1077" s="540">
        <f>SUMIFS('Live Collections'!$S:$S,'Live Collections'!$D:$D,Disbursements!B1077,'Live Collections'!$G:$G,Disbursements!C1077)</f>
        <v>0</v>
      </c>
      <c r="AL1077" s="540">
        <f>SUMIFS('Live Collections'!$T:$T,'Live Collections'!$D:$D,Disbursements!B1077,'Live Collections'!$G:$G,Disbursements!C1077)</f>
        <v>0</v>
      </c>
      <c r="AM1077" s="541">
        <f t="shared" si="452"/>
        <v>0</v>
      </c>
      <c r="AN1077" s="542" t="str">
        <f t="shared" si="453"/>
        <v/>
      </c>
      <c r="AO1077" s="542" t="str">
        <f t="shared" si="454"/>
        <v/>
      </c>
      <c r="AP1077" s="543" t="str">
        <f t="shared" si="455"/>
        <v/>
      </c>
      <c r="AQ1077" s="544" t="str">
        <f t="shared" si="456"/>
        <v/>
      </c>
      <c r="AR1077" s="545">
        <f t="shared" si="457"/>
        <v>0</v>
      </c>
      <c r="AS1077" s="545">
        <f>IFERROR(CEILING($AR1077*VLOOKUP($I1077,Ref!$B$23:$E$29,4,0),1),0)</f>
        <v>0</v>
      </c>
      <c r="AT1077" s="545" t="str">
        <f>IF(A1077="","",IF(AP1077&lt;=1,"Cleared",IF(AS1077=0,"Clean",VLOOKUP($AS1077,Ref!$G$23:$H$28,2))))</f>
        <v/>
      </c>
      <c r="AU1077" s="546" t="str">
        <f t="shared" si="458"/>
        <v/>
      </c>
    </row>
    <row r="1078" spans="1:47" ht="14.25" hidden="1" customHeight="1" x14ac:dyDescent="0.15">
      <c r="A1078" s="523"/>
      <c r="B1078" s="523"/>
      <c r="C1078" s="523"/>
      <c r="D1078" s="523"/>
      <c r="E1078" s="579"/>
      <c r="F1078" s="580"/>
      <c r="G1078" s="524"/>
      <c r="H1078" s="555"/>
      <c r="I1078" s="560"/>
      <c r="J1078" s="523"/>
      <c r="K1078" s="528" t="str">
        <f>IFERROR(VLOOKUP($B1078,'Clients-Live'!$A:$C,3,0),"")</f>
        <v/>
      </c>
      <c r="L1078" s="528">
        <f>IF(E1078="STL",Pricing!$D$38,IF(A1078="",0,IF(A1078&lt;Pricing!$C$25,Pricing!$D$25,VLOOKUP(Disbursements!$F1078,Pricing!$B$29:$D$32,3))))</f>
        <v>0</v>
      </c>
      <c r="M1078" s="528">
        <f>IF(E1078="STL",0,IF(F1078&gt;0,Pricing!$D$21,0))</f>
        <v>0</v>
      </c>
      <c r="N1078" s="529">
        <f>IF(E1078="STL",F1078*Pricing!$D$40,IF(A1078&lt;=Pricing!$C$4,0,IF(AND(A1078&gt;Pricing!$C$4,Disbursements!A1078&lt;=Pricing!$C$5),F1078*Pricing!$E$5,IF(AND(A1078&gt;Pricing!$C$5,Disbursements!A1078&lt;=Pricing!$C$7),VLOOKUP(F1078,Pricing!$D$7:$E$8,2)*Disbursements!F1078,F1078*Pricing!$E$9))))</f>
        <v>0</v>
      </c>
      <c r="O1078" s="528">
        <f>IF(E1078="STL",0,IF($F1078&gt;0,$F1078*Pricing!$D$17,0))</f>
        <v>0</v>
      </c>
      <c r="P1078" s="530" t="str">
        <f t="shared" si="438"/>
        <v/>
      </c>
      <c r="Q1078" s="531" t="str">
        <f>IF($A1078="","",$G1078/VLOOKUP($I1078,Ref!$B$23:$D$29,2,0))</f>
        <v/>
      </c>
      <c r="R1078" s="530" t="str">
        <f t="shared" si="439"/>
        <v/>
      </c>
      <c r="S1078" s="532" t="str">
        <f t="shared" si="433"/>
        <v/>
      </c>
      <c r="T1078" s="531" t="str">
        <f t="shared" si="440"/>
        <v/>
      </c>
      <c r="U1078" s="533">
        <f t="shared" si="441"/>
        <v>0</v>
      </c>
      <c r="V1078" s="531" t="str">
        <f t="shared" si="442"/>
        <v/>
      </c>
      <c r="W1078" s="531" t="str">
        <f t="shared" si="443"/>
        <v/>
      </c>
      <c r="X1078" s="534" t="str">
        <f t="shared" si="444"/>
        <v/>
      </c>
      <c r="Y1078" s="535" t="str">
        <f>IF($A1078="","",IF($I1078="weekly",$A1078+7,EDATE($A1078,VLOOKUP($I1078,Ref!$B$24:$C$29,2,0))))</f>
        <v/>
      </c>
      <c r="Z1078" s="536" t="str">
        <f t="shared" si="445"/>
        <v/>
      </c>
      <c r="AA1078" s="531">
        <f t="shared" si="446"/>
        <v>0</v>
      </c>
      <c r="AB1078" s="535" t="str">
        <f t="shared" si="434"/>
        <v/>
      </c>
      <c r="AC1078" s="537" t="str">
        <f t="shared" si="435"/>
        <v/>
      </c>
      <c r="AD1078" s="538" t="str">
        <f t="shared" ca="1" si="436"/>
        <v/>
      </c>
      <c r="AE1078" s="537">
        <f t="shared" ca="1" si="437"/>
        <v>0</v>
      </c>
      <c r="AF1078" s="539" t="str">
        <f t="shared" ca="1" si="447"/>
        <v/>
      </c>
      <c r="AG1078" s="531" t="str">
        <f t="shared" ca="1" si="448"/>
        <v/>
      </c>
      <c r="AH1078" s="531" t="str">
        <f t="shared" ca="1" si="449"/>
        <v/>
      </c>
      <c r="AI1078" s="531" t="str">
        <f t="shared" ca="1" si="450"/>
        <v/>
      </c>
      <c r="AJ1078" s="531" t="str">
        <f t="shared" si="451"/>
        <v/>
      </c>
      <c r="AK1078" s="540">
        <f>SUMIFS('Live Collections'!$S:$S,'Live Collections'!$D:$D,Disbursements!B1078,'Live Collections'!$G:$G,Disbursements!C1078)</f>
        <v>0</v>
      </c>
      <c r="AL1078" s="540">
        <f>SUMIFS('Live Collections'!$T:$T,'Live Collections'!$D:$D,Disbursements!B1078,'Live Collections'!$G:$G,Disbursements!C1078)</f>
        <v>0</v>
      </c>
      <c r="AM1078" s="541">
        <f t="shared" si="452"/>
        <v>0</v>
      </c>
      <c r="AN1078" s="542" t="str">
        <f t="shared" si="453"/>
        <v/>
      </c>
      <c r="AO1078" s="542" t="str">
        <f t="shared" si="454"/>
        <v/>
      </c>
      <c r="AP1078" s="543" t="str">
        <f t="shared" si="455"/>
        <v/>
      </c>
      <c r="AQ1078" s="544" t="str">
        <f t="shared" si="456"/>
        <v/>
      </c>
      <c r="AR1078" s="545">
        <f t="shared" si="457"/>
        <v>0</v>
      </c>
      <c r="AS1078" s="545">
        <f>IFERROR(CEILING($AR1078*VLOOKUP($I1078,Ref!$B$23:$E$29,4,0),1),0)</f>
        <v>0</v>
      </c>
      <c r="AT1078" s="545" t="str">
        <f>IF(A1078="","",IF(AP1078&lt;=1,"Cleared",IF(AS1078=0,"Clean",VLOOKUP($AS1078,Ref!$G$23:$H$28,2))))</f>
        <v/>
      </c>
      <c r="AU1078" s="546" t="str">
        <f t="shared" si="458"/>
        <v/>
      </c>
    </row>
    <row r="1079" spans="1:47" ht="14.25" hidden="1" customHeight="1" x14ac:dyDescent="0.15">
      <c r="A1079" s="523"/>
      <c r="B1079" s="523"/>
      <c r="C1079" s="523"/>
      <c r="D1079" s="523"/>
      <c r="E1079" s="579"/>
      <c r="F1079" s="580"/>
      <c r="G1079" s="524"/>
      <c r="H1079" s="555"/>
      <c r="I1079" s="560"/>
      <c r="J1079" s="523"/>
      <c r="K1079" s="528" t="str">
        <f>IFERROR(VLOOKUP($B1079,'Clients-Live'!$A:$C,3,0),"")</f>
        <v/>
      </c>
      <c r="L1079" s="528">
        <f>IF(E1079="STL",Pricing!$D$38,IF(A1079="",0,IF(A1079&lt;Pricing!$C$25,Pricing!$D$25,VLOOKUP(Disbursements!$F1079,Pricing!$B$29:$D$32,3))))</f>
        <v>0</v>
      </c>
      <c r="M1079" s="528">
        <f>IF(E1079="STL",0,IF(F1079&gt;0,Pricing!$D$21,0))</f>
        <v>0</v>
      </c>
      <c r="N1079" s="529">
        <f>IF(E1079="STL",F1079*Pricing!$D$40,IF(A1079&lt;=Pricing!$C$4,0,IF(AND(A1079&gt;Pricing!$C$4,Disbursements!A1079&lt;=Pricing!$C$5),F1079*Pricing!$E$5,IF(AND(A1079&gt;Pricing!$C$5,Disbursements!A1079&lt;=Pricing!$C$7),VLOOKUP(F1079,Pricing!$D$7:$E$8,2)*Disbursements!F1079,F1079*Pricing!$E$9))))</f>
        <v>0</v>
      </c>
      <c r="O1079" s="528">
        <f>IF(E1079="STL",0,IF($F1079&gt;0,$F1079*Pricing!$D$17,0))</f>
        <v>0</v>
      </c>
      <c r="P1079" s="530" t="str">
        <f t="shared" si="438"/>
        <v/>
      </c>
      <c r="Q1079" s="531" t="str">
        <f>IF($A1079="","",$G1079/VLOOKUP($I1079,Ref!$B$23:$D$29,2,0))</f>
        <v/>
      </c>
      <c r="R1079" s="530" t="str">
        <f t="shared" si="439"/>
        <v/>
      </c>
      <c r="S1079" s="532" t="str">
        <f t="shared" si="433"/>
        <v/>
      </c>
      <c r="T1079" s="531" t="str">
        <f t="shared" si="440"/>
        <v/>
      </c>
      <c r="U1079" s="533">
        <f t="shared" si="441"/>
        <v>0</v>
      </c>
      <c r="V1079" s="531" t="str">
        <f t="shared" si="442"/>
        <v/>
      </c>
      <c r="W1079" s="531" t="str">
        <f t="shared" si="443"/>
        <v/>
      </c>
      <c r="X1079" s="534" t="str">
        <f t="shared" si="444"/>
        <v/>
      </c>
      <c r="Y1079" s="535" t="str">
        <f>IF($A1079="","",IF($I1079="weekly",$A1079+7,EDATE($A1079,VLOOKUP($I1079,Ref!$B$24:$C$29,2,0))))</f>
        <v/>
      </c>
      <c r="Z1079" s="536" t="str">
        <f t="shared" si="445"/>
        <v/>
      </c>
      <c r="AA1079" s="531">
        <f t="shared" si="446"/>
        <v>0</v>
      </c>
      <c r="AB1079" s="535" t="str">
        <f t="shared" si="434"/>
        <v/>
      </c>
      <c r="AC1079" s="537" t="str">
        <f t="shared" si="435"/>
        <v/>
      </c>
      <c r="AD1079" s="538" t="str">
        <f t="shared" ca="1" si="436"/>
        <v/>
      </c>
      <c r="AE1079" s="537">
        <f t="shared" ca="1" si="437"/>
        <v>0</v>
      </c>
      <c r="AF1079" s="539" t="str">
        <f t="shared" ca="1" si="447"/>
        <v/>
      </c>
      <c r="AG1079" s="531" t="str">
        <f t="shared" ca="1" si="448"/>
        <v/>
      </c>
      <c r="AH1079" s="531" t="str">
        <f t="shared" ca="1" si="449"/>
        <v/>
      </c>
      <c r="AI1079" s="531" t="str">
        <f t="shared" ca="1" si="450"/>
        <v/>
      </c>
      <c r="AJ1079" s="531" t="str">
        <f t="shared" si="451"/>
        <v/>
      </c>
      <c r="AK1079" s="540">
        <f>SUMIFS('Live Collections'!$S:$S,'Live Collections'!$D:$D,Disbursements!B1079,'Live Collections'!$G:$G,Disbursements!C1079)</f>
        <v>0</v>
      </c>
      <c r="AL1079" s="540">
        <f>SUMIFS('Live Collections'!$T:$T,'Live Collections'!$D:$D,Disbursements!B1079,'Live Collections'!$G:$G,Disbursements!C1079)</f>
        <v>0</v>
      </c>
      <c r="AM1079" s="541">
        <f t="shared" si="452"/>
        <v>0</v>
      </c>
      <c r="AN1079" s="542" t="str">
        <f t="shared" si="453"/>
        <v/>
      </c>
      <c r="AO1079" s="542" t="str">
        <f t="shared" si="454"/>
        <v/>
      </c>
      <c r="AP1079" s="543" t="str">
        <f t="shared" si="455"/>
        <v/>
      </c>
      <c r="AQ1079" s="544" t="str">
        <f t="shared" si="456"/>
        <v/>
      </c>
      <c r="AR1079" s="545">
        <f t="shared" si="457"/>
        <v>0</v>
      </c>
      <c r="AS1079" s="545">
        <f>IFERROR(CEILING($AR1079*VLOOKUP($I1079,Ref!$B$23:$E$29,4,0),1),0)</f>
        <v>0</v>
      </c>
      <c r="AT1079" s="545" t="str">
        <f>IF(A1079="","",IF(AP1079&lt;=1,"Cleared",IF(AS1079=0,"Clean",VLOOKUP($AS1079,Ref!$G$23:$H$28,2))))</f>
        <v/>
      </c>
      <c r="AU1079" s="546" t="str">
        <f t="shared" si="458"/>
        <v/>
      </c>
    </row>
    <row r="1080" spans="1:47" ht="14.25" hidden="1" customHeight="1" x14ac:dyDescent="0.15">
      <c r="A1080" s="523"/>
      <c r="B1080" s="523"/>
      <c r="C1080" s="523"/>
      <c r="D1080" s="523"/>
      <c r="E1080" s="579"/>
      <c r="F1080" s="580"/>
      <c r="G1080" s="524"/>
      <c r="H1080" s="555"/>
      <c r="I1080" s="560"/>
      <c r="J1080" s="523"/>
      <c r="K1080" s="528" t="str">
        <f>IFERROR(VLOOKUP($B1080,'Clients-Live'!$A:$C,3,0),"")</f>
        <v/>
      </c>
      <c r="L1080" s="528">
        <f>IF(E1080="STL",Pricing!$D$38,IF(A1080="",0,IF(A1080&lt;Pricing!$C$25,Pricing!$D$25,VLOOKUP(Disbursements!$F1080,Pricing!$B$29:$D$32,3))))</f>
        <v>0</v>
      </c>
      <c r="M1080" s="528">
        <f>IF(E1080="STL",0,IF(F1080&gt;0,Pricing!$D$21,0))</f>
        <v>0</v>
      </c>
      <c r="N1080" s="529">
        <f>IF(E1080="STL",F1080*Pricing!$D$40,IF(A1080&lt;=Pricing!$C$4,0,IF(AND(A1080&gt;Pricing!$C$4,Disbursements!A1080&lt;=Pricing!$C$5),F1080*Pricing!$E$5,IF(AND(A1080&gt;Pricing!$C$5,Disbursements!A1080&lt;=Pricing!$C$7),VLOOKUP(F1080,Pricing!$D$7:$E$8,2)*Disbursements!F1080,F1080*Pricing!$E$9))))</f>
        <v>0</v>
      </c>
      <c r="O1080" s="528">
        <f>IF(E1080="STL",0,IF($F1080&gt;0,$F1080*Pricing!$D$17,0))</f>
        <v>0</v>
      </c>
      <c r="P1080" s="530" t="str">
        <f t="shared" si="438"/>
        <v/>
      </c>
      <c r="Q1080" s="531" t="str">
        <f>IF($A1080="","",$G1080/VLOOKUP($I1080,Ref!$B$23:$D$29,2,0))</f>
        <v/>
      </c>
      <c r="R1080" s="530" t="str">
        <f t="shared" si="439"/>
        <v/>
      </c>
      <c r="S1080" s="532" t="str">
        <f t="shared" si="433"/>
        <v/>
      </c>
      <c r="T1080" s="531" t="str">
        <f t="shared" si="440"/>
        <v/>
      </c>
      <c r="U1080" s="533">
        <f t="shared" si="441"/>
        <v>0</v>
      </c>
      <c r="V1080" s="531" t="str">
        <f t="shared" si="442"/>
        <v/>
      </c>
      <c r="W1080" s="531" t="str">
        <f t="shared" si="443"/>
        <v/>
      </c>
      <c r="X1080" s="534" t="str">
        <f t="shared" si="444"/>
        <v/>
      </c>
      <c r="Y1080" s="535" t="str">
        <f>IF($A1080="","",IF($I1080="weekly",$A1080+7,EDATE($A1080,VLOOKUP($I1080,Ref!$B$24:$C$29,2,0))))</f>
        <v/>
      </c>
      <c r="Z1080" s="536" t="str">
        <f t="shared" si="445"/>
        <v/>
      </c>
      <c r="AA1080" s="531">
        <f t="shared" si="446"/>
        <v>0</v>
      </c>
      <c r="AB1080" s="535" t="str">
        <f t="shared" si="434"/>
        <v/>
      </c>
      <c r="AC1080" s="537" t="str">
        <f t="shared" si="435"/>
        <v/>
      </c>
      <c r="AD1080" s="538" t="str">
        <f t="shared" ca="1" si="436"/>
        <v/>
      </c>
      <c r="AE1080" s="537">
        <f t="shared" ca="1" si="437"/>
        <v>0</v>
      </c>
      <c r="AF1080" s="539" t="str">
        <f t="shared" ca="1" si="447"/>
        <v/>
      </c>
      <c r="AG1080" s="531" t="str">
        <f t="shared" ca="1" si="448"/>
        <v/>
      </c>
      <c r="AH1080" s="531" t="str">
        <f t="shared" ca="1" si="449"/>
        <v/>
      </c>
      <c r="AI1080" s="531" t="str">
        <f t="shared" ca="1" si="450"/>
        <v/>
      </c>
      <c r="AJ1080" s="531" t="str">
        <f t="shared" si="451"/>
        <v/>
      </c>
      <c r="AK1080" s="540">
        <f>SUMIFS('Live Collections'!$S:$S,'Live Collections'!$D:$D,Disbursements!B1080,'Live Collections'!$G:$G,Disbursements!C1080)</f>
        <v>0</v>
      </c>
      <c r="AL1080" s="540">
        <f>SUMIFS('Live Collections'!$T:$T,'Live Collections'!$D:$D,Disbursements!B1080,'Live Collections'!$G:$G,Disbursements!C1080)</f>
        <v>0</v>
      </c>
      <c r="AM1080" s="541">
        <f t="shared" si="452"/>
        <v>0</v>
      </c>
      <c r="AN1080" s="542" t="str">
        <f t="shared" si="453"/>
        <v/>
      </c>
      <c r="AO1080" s="542" t="str">
        <f t="shared" si="454"/>
        <v/>
      </c>
      <c r="AP1080" s="543" t="str">
        <f t="shared" si="455"/>
        <v/>
      </c>
      <c r="AQ1080" s="544" t="str">
        <f t="shared" si="456"/>
        <v/>
      </c>
      <c r="AR1080" s="545">
        <f t="shared" si="457"/>
        <v>0</v>
      </c>
      <c r="AS1080" s="545">
        <f>IFERROR(CEILING($AR1080*VLOOKUP($I1080,Ref!$B$23:$E$29,4,0),1),0)</f>
        <v>0</v>
      </c>
      <c r="AT1080" s="545" t="str">
        <f>IF(A1080="","",IF(AP1080&lt;=1,"Cleared",IF(AS1080=0,"Clean",VLOOKUP($AS1080,Ref!$G$23:$H$28,2))))</f>
        <v/>
      </c>
      <c r="AU1080" s="546" t="str">
        <f t="shared" si="458"/>
        <v/>
      </c>
    </row>
    <row r="1081" spans="1:47" ht="14.25" hidden="1" customHeight="1" x14ac:dyDescent="0.15">
      <c r="A1081" s="523"/>
      <c r="B1081" s="523"/>
      <c r="C1081" s="523"/>
      <c r="D1081" s="523"/>
      <c r="E1081" s="579"/>
      <c r="F1081" s="580"/>
      <c r="G1081" s="524"/>
      <c r="H1081" s="555"/>
      <c r="I1081" s="560"/>
      <c r="J1081" s="523"/>
      <c r="K1081" s="528" t="str">
        <f>IFERROR(VLOOKUP($B1081,'Clients-Live'!$A:$C,3,0),"")</f>
        <v/>
      </c>
      <c r="L1081" s="528">
        <f>IF(E1081="STL",Pricing!$D$38,IF(A1081="",0,IF(A1081&lt;Pricing!$C$25,Pricing!$D$25,VLOOKUP(Disbursements!$F1081,Pricing!$B$29:$D$32,3))))</f>
        <v>0</v>
      </c>
      <c r="M1081" s="528">
        <f>IF(E1081="STL",0,IF(F1081&gt;0,Pricing!$D$21,0))</f>
        <v>0</v>
      </c>
      <c r="N1081" s="529">
        <f>IF(E1081="STL",F1081*Pricing!$D$40,IF(A1081&lt;=Pricing!$C$4,0,IF(AND(A1081&gt;Pricing!$C$4,Disbursements!A1081&lt;=Pricing!$C$5),F1081*Pricing!$E$5,IF(AND(A1081&gt;Pricing!$C$5,Disbursements!A1081&lt;=Pricing!$C$7),VLOOKUP(F1081,Pricing!$D$7:$E$8,2)*Disbursements!F1081,F1081*Pricing!$E$9))))</f>
        <v>0</v>
      </c>
      <c r="O1081" s="528">
        <f>IF(E1081="STL",0,IF($F1081&gt;0,$F1081*Pricing!$D$17,0))</f>
        <v>0</v>
      </c>
      <c r="P1081" s="530" t="str">
        <f t="shared" si="438"/>
        <v/>
      </c>
      <c r="Q1081" s="531" t="str">
        <f>IF($A1081="","",$G1081/VLOOKUP($I1081,Ref!$B$23:$D$29,2,0))</f>
        <v/>
      </c>
      <c r="R1081" s="530" t="str">
        <f t="shared" si="439"/>
        <v/>
      </c>
      <c r="S1081" s="532" t="str">
        <f t="shared" si="433"/>
        <v/>
      </c>
      <c r="T1081" s="531" t="str">
        <f t="shared" si="440"/>
        <v/>
      </c>
      <c r="U1081" s="533">
        <f t="shared" si="441"/>
        <v>0</v>
      </c>
      <c r="V1081" s="531" t="str">
        <f t="shared" si="442"/>
        <v/>
      </c>
      <c r="W1081" s="531" t="str">
        <f t="shared" si="443"/>
        <v/>
      </c>
      <c r="X1081" s="534" t="str">
        <f t="shared" si="444"/>
        <v/>
      </c>
      <c r="Y1081" s="535" t="str">
        <f>IF($A1081="","",IF($I1081="weekly",$A1081+7,EDATE($A1081,VLOOKUP($I1081,Ref!$B$24:$C$29,2,0))))</f>
        <v/>
      </c>
      <c r="Z1081" s="536" t="str">
        <f t="shared" si="445"/>
        <v/>
      </c>
      <c r="AA1081" s="531">
        <f t="shared" si="446"/>
        <v>0</v>
      </c>
      <c r="AB1081" s="535" t="str">
        <f t="shared" si="434"/>
        <v/>
      </c>
      <c r="AC1081" s="537" t="str">
        <f t="shared" si="435"/>
        <v/>
      </c>
      <c r="AD1081" s="538" t="str">
        <f t="shared" ca="1" si="436"/>
        <v/>
      </c>
      <c r="AE1081" s="537">
        <f t="shared" ca="1" si="437"/>
        <v>0</v>
      </c>
      <c r="AF1081" s="539" t="str">
        <f t="shared" ca="1" si="447"/>
        <v/>
      </c>
      <c r="AG1081" s="531" t="str">
        <f t="shared" ca="1" si="448"/>
        <v/>
      </c>
      <c r="AH1081" s="531" t="str">
        <f t="shared" ca="1" si="449"/>
        <v/>
      </c>
      <c r="AI1081" s="531" t="str">
        <f t="shared" ca="1" si="450"/>
        <v/>
      </c>
      <c r="AJ1081" s="531" t="str">
        <f t="shared" si="451"/>
        <v/>
      </c>
      <c r="AK1081" s="540">
        <f>SUMIFS('Live Collections'!$S:$S,'Live Collections'!$D:$D,Disbursements!B1081,'Live Collections'!$G:$G,Disbursements!C1081)</f>
        <v>0</v>
      </c>
      <c r="AL1081" s="540">
        <f>SUMIFS('Live Collections'!$T:$T,'Live Collections'!$D:$D,Disbursements!B1081,'Live Collections'!$G:$G,Disbursements!C1081)</f>
        <v>0</v>
      </c>
      <c r="AM1081" s="541">
        <f t="shared" si="452"/>
        <v>0</v>
      </c>
      <c r="AN1081" s="542" t="str">
        <f t="shared" si="453"/>
        <v/>
      </c>
      <c r="AO1081" s="542" t="str">
        <f t="shared" si="454"/>
        <v/>
      </c>
      <c r="AP1081" s="543" t="str">
        <f t="shared" si="455"/>
        <v/>
      </c>
      <c r="AQ1081" s="544" t="str">
        <f t="shared" si="456"/>
        <v/>
      </c>
      <c r="AR1081" s="545">
        <f t="shared" si="457"/>
        <v>0</v>
      </c>
      <c r="AS1081" s="545">
        <f>IFERROR(CEILING($AR1081*VLOOKUP($I1081,Ref!$B$23:$E$29,4,0),1),0)</f>
        <v>0</v>
      </c>
      <c r="AT1081" s="545" t="str">
        <f>IF(A1081="","",IF(AP1081&lt;=1,"Cleared",IF(AS1081=0,"Clean",VLOOKUP($AS1081,Ref!$G$23:$H$28,2))))</f>
        <v/>
      </c>
      <c r="AU1081" s="546" t="str">
        <f t="shared" si="458"/>
        <v/>
      </c>
    </row>
    <row r="1082" spans="1:47" ht="14.25" hidden="1" customHeight="1" x14ac:dyDescent="0.15">
      <c r="A1082" s="523"/>
      <c r="B1082" s="523"/>
      <c r="C1082" s="523"/>
      <c r="D1082" s="523"/>
      <c r="E1082" s="579"/>
      <c r="F1082" s="580"/>
      <c r="G1082" s="524"/>
      <c r="H1082" s="555"/>
      <c r="I1082" s="560"/>
      <c r="J1082" s="523"/>
      <c r="K1082" s="528" t="str">
        <f>IFERROR(VLOOKUP($B1082,'Clients-Live'!$A:$C,3,0),"")</f>
        <v/>
      </c>
      <c r="L1082" s="528">
        <f>IF(E1082="STL",Pricing!$D$38,IF(A1082="",0,IF(A1082&lt;Pricing!$C$25,Pricing!$D$25,VLOOKUP(Disbursements!$F1082,Pricing!$B$29:$D$32,3))))</f>
        <v>0</v>
      </c>
      <c r="M1082" s="528">
        <f>IF(E1082="STL",0,IF(F1082&gt;0,Pricing!$D$21,0))</f>
        <v>0</v>
      </c>
      <c r="N1082" s="529">
        <f>IF(E1082="STL",F1082*Pricing!$D$40,IF(A1082&lt;=Pricing!$C$4,0,IF(AND(A1082&gt;Pricing!$C$4,Disbursements!A1082&lt;=Pricing!$C$5),F1082*Pricing!$E$5,IF(AND(A1082&gt;Pricing!$C$5,Disbursements!A1082&lt;=Pricing!$C$7),VLOOKUP(F1082,Pricing!$D$7:$E$8,2)*Disbursements!F1082,F1082*Pricing!$E$9))))</f>
        <v>0</v>
      </c>
      <c r="O1082" s="528">
        <f>IF(E1082="STL",0,IF($F1082&gt;0,$F1082*Pricing!$D$17,0))</f>
        <v>0</v>
      </c>
      <c r="P1082" s="530" t="str">
        <f t="shared" si="438"/>
        <v/>
      </c>
      <c r="Q1082" s="531" t="str">
        <f>IF($A1082="","",$G1082/VLOOKUP($I1082,Ref!$B$23:$D$29,2,0))</f>
        <v/>
      </c>
      <c r="R1082" s="530" t="str">
        <f t="shared" si="439"/>
        <v/>
      </c>
      <c r="S1082" s="532" t="str">
        <f t="shared" si="433"/>
        <v/>
      </c>
      <c r="T1082" s="531" t="str">
        <f t="shared" si="440"/>
        <v/>
      </c>
      <c r="U1082" s="533">
        <f t="shared" si="441"/>
        <v>0</v>
      </c>
      <c r="V1082" s="531" t="str">
        <f t="shared" si="442"/>
        <v/>
      </c>
      <c r="W1082" s="531" t="str">
        <f t="shared" si="443"/>
        <v/>
      </c>
      <c r="X1082" s="534" t="str">
        <f t="shared" si="444"/>
        <v/>
      </c>
      <c r="Y1082" s="535" t="str">
        <f>IF($A1082="","",IF($I1082="weekly",$A1082+7,EDATE($A1082,VLOOKUP($I1082,Ref!$B$24:$C$29,2,0))))</f>
        <v/>
      </c>
      <c r="Z1082" s="536" t="str">
        <f t="shared" si="445"/>
        <v/>
      </c>
      <c r="AA1082" s="531">
        <f t="shared" si="446"/>
        <v>0</v>
      </c>
      <c r="AB1082" s="535" t="str">
        <f t="shared" si="434"/>
        <v/>
      </c>
      <c r="AC1082" s="537" t="str">
        <f t="shared" si="435"/>
        <v/>
      </c>
      <c r="AD1082" s="538" t="str">
        <f t="shared" ca="1" si="436"/>
        <v/>
      </c>
      <c r="AE1082" s="537">
        <f t="shared" ca="1" si="437"/>
        <v>0</v>
      </c>
      <c r="AF1082" s="539" t="str">
        <f t="shared" ca="1" si="447"/>
        <v/>
      </c>
      <c r="AG1082" s="531" t="str">
        <f t="shared" ca="1" si="448"/>
        <v/>
      </c>
      <c r="AH1082" s="531" t="str">
        <f t="shared" ca="1" si="449"/>
        <v/>
      </c>
      <c r="AI1082" s="531" t="str">
        <f t="shared" ca="1" si="450"/>
        <v/>
      </c>
      <c r="AJ1082" s="531" t="str">
        <f t="shared" si="451"/>
        <v/>
      </c>
      <c r="AK1082" s="540">
        <f>SUMIFS('Live Collections'!$S:$S,'Live Collections'!$D:$D,Disbursements!B1082,'Live Collections'!$G:$G,Disbursements!C1082)</f>
        <v>0</v>
      </c>
      <c r="AL1082" s="540">
        <f>SUMIFS('Live Collections'!$T:$T,'Live Collections'!$D:$D,Disbursements!B1082,'Live Collections'!$G:$G,Disbursements!C1082)</f>
        <v>0</v>
      </c>
      <c r="AM1082" s="541">
        <f t="shared" si="452"/>
        <v>0</v>
      </c>
      <c r="AN1082" s="542" t="str">
        <f t="shared" si="453"/>
        <v/>
      </c>
      <c r="AO1082" s="542" t="str">
        <f t="shared" si="454"/>
        <v/>
      </c>
      <c r="AP1082" s="543" t="str">
        <f t="shared" si="455"/>
        <v/>
      </c>
      <c r="AQ1082" s="544" t="str">
        <f t="shared" si="456"/>
        <v/>
      </c>
      <c r="AR1082" s="545">
        <f t="shared" si="457"/>
        <v>0</v>
      </c>
      <c r="AS1082" s="545">
        <f>IFERROR(CEILING($AR1082*VLOOKUP($I1082,Ref!$B$23:$E$29,4,0),1),0)</f>
        <v>0</v>
      </c>
      <c r="AT1082" s="545" t="str">
        <f>IF(A1082="","",IF(AP1082&lt;=1,"Cleared",IF(AS1082=0,"Clean",VLOOKUP($AS1082,Ref!$G$23:$H$28,2))))</f>
        <v/>
      </c>
      <c r="AU1082" s="546" t="str">
        <f t="shared" si="458"/>
        <v/>
      </c>
    </row>
    <row r="1083" spans="1:47" ht="14.25" hidden="1" customHeight="1" x14ac:dyDescent="0.15">
      <c r="A1083" s="523"/>
      <c r="B1083" s="523"/>
      <c r="C1083" s="523"/>
      <c r="D1083" s="523"/>
      <c r="E1083" s="579"/>
      <c r="F1083" s="580"/>
      <c r="G1083" s="524"/>
      <c r="H1083" s="555"/>
      <c r="I1083" s="560"/>
      <c r="J1083" s="523"/>
      <c r="K1083" s="528" t="str">
        <f>IFERROR(VLOOKUP($B1083,'Clients-Live'!$A:$C,3,0),"")</f>
        <v/>
      </c>
      <c r="L1083" s="528">
        <f>IF(E1083="STL",Pricing!$D$38,IF(A1083="",0,IF(A1083&lt;Pricing!$C$25,Pricing!$D$25,VLOOKUP(Disbursements!$F1083,Pricing!$B$29:$D$32,3))))</f>
        <v>0</v>
      </c>
      <c r="M1083" s="528">
        <f>IF(E1083="STL",0,IF(F1083&gt;0,Pricing!$D$21,0))</f>
        <v>0</v>
      </c>
      <c r="N1083" s="529">
        <f>IF(E1083="STL",F1083*Pricing!$D$40,IF(A1083&lt;=Pricing!$C$4,0,IF(AND(A1083&gt;Pricing!$C$4,Disbursements!A1083&lt;=Pricing!$C$5),F1083*Pricing!$E$5,IF(AND(A1083&gt;Pricing!$C$5,Disbursements!A1083&lt;=Pricing!$C$7),VLOOKUP(F1083,Pricing!$D$7:$E$8,2)*Disbursements!F1083,F1083*Pricing!$E$9))))</f>
        <v>0</v>
      </c>
      <c r="O1083" s="528">
        <f>IF(E1083="STL",0,IF($F1083&gt;0,$F1083*Pricing!$D$17,0))</f>
        <v>0</v>
      </c>
      <c r="P1083" s="530" t="str">
        <f t="shared" si="438"/>
        <v/>
      </c>
      <c r="Q1083" s="531" t="str">
        <f>IF($A1083="","",$G1083/VLOOKUP($I1083,Ref!$B$23:$D$29,2,0))</f>
        <v/>
      </c>
      <c r="R1083" s="530" t="str">
        <f t="shared" si="439"/>
        <v/>
      </c>
      <c r="S1083" s="532" t="str">
        <f t="shared" si="433"/>
        <v/>
      </c>
      <c r="T1083" s="531" t="str">
        <f t="shared" si="440"/>
        <v/>
      </c>
      <c r="U1083" s="533">
        <f t="shared" si="441"/>
        <v>0</v>
      </c>
      <c r="V1083" s="531" t="str">
        <f t="shared" si="442"/>
        <v/>
      </c>
      <c r="W1083" s="531" t="str">
        <f t="shared" si="443"/>
        <v/>
      </c>
      <c r="X1083" s="534" t="str">
        <f t="shared" si="444"/>
        <v/>
      </c>
      <c r="Y1083" s="535" t="str">
        <f>IF($A1083="","",IF($I1083="weekly",$A1083+7,EDATE($A1083,VLOOKUP($I1083,Ref!$B$24:$C$29,2,0))))</f>
        <v/>
      </c>
      <c r="Z1083" s="536" t="str">
        <f t="shared" si="445"/>
        <v/>
      </c>
      <c r="AA1083" s="531">
        <f t="shared" si="446"/>
        <v>0</v>
      </c>
      <c r="AB1083" s="535" t="str">
        <f t="shared" si="434"/>
        <v/>
      </c>
      <c r="AC1083" s="537" t="str">
        <f t="shared" si="435"/>
        <v/>
      </c>
      <c r="AD1083" s="538" t="str">
        <f t="shared" ca="1" si="436"/>
        <v/>
      </c>
      <c r="AE1083" s="537">
        <f t="shared" ca="1" si="437"/>
        <v>0</v>
      </c>
      <c r="AF1083" s="539" t="str">
        <f t="shared" ca="1" si="447"/>
        <v/>
      </c>
      <c r="AG1083" s="531" t="str">
        <f t="shared" ca="1" si="448"/>
        <v/>
      </c>
      <c r="AH1083" s="531" t="str">
        <f t="shared" ca="1" si="449"/>
        <v/>
      </c>
      <c r="AI1083" s="531" t="str">
        <f t="shared" ca="1" si="450"/>
        <v/>
      </c>
      <c r="AJ1083" s="531" t="str">
        <f t="shared" si="451"/>
        <v/>
      </c>
      <c r="AK1083" s="540">
        <f>SUMIFS('Live Collections'!$S:$S,'Live Collections'!$D:$D,Disbursements!B1083,'Live Collections'!$G:$G,Disbursements!C1083)</f>
        <v>0</v>
      </c>
      <c r="AL1083" s="540">
        <f>SUMIFS('Live Collections'!$T:$T,'Live Collections'!$D:$D,Disbursements!B1083,'Live Collections'!$G:$G,Disbursements!C1083)</f>
        <v>0</v>
      </c>
      <c r="AM1083" s="541">
        <f t="shared" si="452"/>
        <v>0</v>
      </c>
      <c r="AN1083" s="542" t="str">
        <f t="shared" si="453"/>
        <v/>
      </c>
      <c r="AO1083" s="542" t="str">
        <f t="shared" si="454"/>
        <v/>
      </c>
      <c r="AP1083" s="543" t="str">
        <f t="shared" si="455"/>
        <v/>
      </c>
      <c r="AQ1083" s="544" t="str">
        <f t="shared" si="456"/>
        <v/>
      </c>
      <c r="AR1083" s="545">
        <f t="shared" si="457"/>
        <v>0</v>
      </c>
      <c r="AS1083" s="545">
        <f>IFERROR(CEILING($AR1083*VLOOKUP($I1083,Ref!$B$23:$E$29,4,0),1),0)</f>
        <v>0</v>
      </c>
      <c r="AT1083" s="545" t="str">
        <f>IF(A1083="","",IF(AP1083&lt;=1,"Cleared",IF(AS1083=0,"Clean",VLOOKUP($AS1083,Ref!$G$23:$H$28,2))))</f>
        <v/>
      </c>
      <c r="AU1083" s="546" t="str">
        <f t="shared" si="458"/>
        <v/>
      </c>
    </row>
    <row r="1084" spans="1:47" ht="14.25" hidden="1" customHeight="1" x14ac:dyDescent="0.15">
      <c r="A1084" s="523"/>
      <c r="B1084" s="523"/>
      <c r="C1084" s="523"/>
      <c r="D1084" s="523"/>
      <c r="E1084" s="579"/>
      <c r="F1084" s="580"/>
      <c r="G1084" s="524"/>
      <c r="H1084" s="555"/>
      <c r="I1084" s="560"/>
      <c r="J1084" s="523"/>
      <c r="K1084" s="528" t="str">
        <f>IFERROR(VLOOKUP($B1084,'Clients-Live'!$A:$C,3,0),"")</f>
        <v/>
      </c>
      <c r="L1084" s="528">
        <f>IF(E1084="STL",Pricing!$D$38,IF(A1084="",0,IF(A1084&lt;Pricing!$C$25,Pricing!$D$25,VLOOKUP(Disbursements!$F1084,Pricing!$B$29:$D$32,3))))</f>
        <v>0</v>
      </c>
      <c r="M1084" s="528">
        <f>IF(E1084="STL",0,IF(F1084&gt;0,Pricing!$D$21,0))</f>
        <v>0</v>
      </c>
      <c r="N1084" s="529">
        <f>IF(E1084="STL",F1084*Pricing!$D$40,IF(A1084&lt;=Pricing!$C$4,0,IF(AND(A1084&gt;Pricing!$C$4,Disbursements!A1084&lt;=Pricing!$C$5),F1084*Pricing!$E$5,IF(AND(A1084&gt;Pricing!$C$5,Disbursements!A1084&lt;=Pricing!$C$7),VLOOKUP(F1084,Pricing!$D$7:$E$8,2)*Disbursements!F1084,F1084*Pricing!$E$9))))</f>
        <v>0</v>
      </c>
      <c r="O1084" s="528">
        <f>IF(E1084="STL",0,IF($F1084&gt;0,$F1084*Pricing!$D$17,0))</f>
        <v>0</v>
      </c>
      <c r="P1084" s="530" t="str">
        <f t="shared" si="438"/>
        <v/>
      </c>
      <c r="Q1084" s="531" t="str">
        <f>IF($A1084="","",$G1084/VLOOKUP($I1084,Ref!$B$23:$D$29,2,0))</f>
        <v/>
      </c>
      <c r="R1084" s="530" t="str">
        <f t="shared" si="439"/>
        <v/>
      </c>
      <c r="S1084" s="532" t="str">
        <f t="shared" si="433"/>
        <v/>
      </c>
      <c r="T1084" s="531" t="str">
        <f t="shared" si="440"/>
        <v/>
      </c>
      <c r="U1084" s="533">
        <f t="shared" si="441"/>
        <v>0</v>
      </c>
      <c r="V1084" s="531" t="str">
        <f t="shared" si="442"/>
        <v/>
      </c>
      <c r="W1084" s="531" t="str">
        <f t="shared" si="443"/>
        <v/>
      </c>
      <c r="X1084" s="534" t="str">
        <f t="shared" si="444"/>
        <v/>
      </c>
      <c r="Y1084" s="535" t="str">
        <f>IF($A1084="","",IF($I1084="weekly",$A1084+7,EDATE($A1084,VLOOKUP($I1084,Ref!$B$24:$C$29,2,0))))</f>
        <v/>
      </c>
      <c r="Z1084" s="536" t="str">
        <f t="shared" si="445"/>
        <v/>
      </c>
      <c r="AA1084" s="531">
        <f t="shared" si="446"/>
        <v>0</v>
      </c>
      <c r="AB1084" s="535" t="str">
        <f t="shared" si="434"/>
        <v/>
      </c>
      <c r="AC1084" s="537" t="str">
        <f t="shared" si="435"/>
        <v/>
      </c>
      <c r="AD1084" s="538" t="str">
        <f t="shared" ca="1" si="436"/>
        <v/>
      </c>
      <c r="AE1084" s="537">
        <f t="shared" ca="1" si="437"/>
        <v>0</v>
      </c>
      <c r="AF1084" s="539" t="str">
        <f t="shared" ca="1" si="447"/>
        <v/>
      </c>
      <c r="AG1084" s="531" t="str">
        <f t="shared" ca="1" si="448"/>
        <v/>
      </c>
      <c r="AH1084" s="531" t="str">
        <f t="shared" ca="1" si="449"/>
        <v/>
      </c>
      <c r="AI1084" s="531" t="str">
        <f t="shared" ca="1" si="450"/>
        <v/>
      </c>
      <c r="AJ1084" s="531" t="str">
        <f t="shared" si="451"/>
        <v/>
      </c>
      <c r="AK1084" s="540">
        <f>SUMIFS('Live Collections'!$S:$S,'Live Collections'!$D:$D,Disbursements!B1084,'Live Collections'!$G:$G,Disbursements!C1084)</f>
        <v>0</v>
      </c>
      <c r="AL1084" s="540">
        <f>SUMIFS('Live Collections'!$T:$T,'Live Collections'!$D:$D,Disbursements!B1084,'Live Collections'!$G:$G,Disbursements!C1084)</f>
        <v>0</v>
      </c>
      <c r="AM1084" s="541">
        <f t="shared" si="452"/>
        <v>0</v>
      </c>
      <c r="AN1084" s="542" t="str">
        <f t="shared" si="453"/>
        <v/>
      </c>
      <c r="AO1084" s="542" t="str">
        <f t="shared" si="454"/>
        <v/>
      </c>
      <c r="AP1084" s="543" t="str">
        <f t="shared" si="455"/>
        <v/>
      </c>
      <c r="AQ1084" s="544" t="str">
        <f t="shared" si="456"/>
        <v/>
      </c>
      <c r="AR1084" s="545">
        <f t="shared" si="457"/>
        <v>0</v>
      </c>
      <c r="AS1084" s="545">
        <f>IFERROR(CEILING($AR1084*VLOOKUP($I1084,Ref!$B$23:$E$29,4,0),1),0)</f>
        <v>0</v>
      </c>
      <c r="AT1084" s="545" t="str">
        <f>IF(A1084="","",IF(AP1084&lt;=1,"Cleared",IF(AS1084=0,"Clean",VLOOKUP($AS1084,Ref!$G$23:$H$28,2))))</f>
        <v/>
      </c>
      <c r="AU1084" s="546" t="str">
        <f t="shared" si="458"/>
        <v/>
      </c>
    </row>
    <row r="1085" spans="1:47" ht="14.25" hidden="1" customHeight="1" x14ac:dyDescent="0.15">
      <c r="A1085" s="523"/>
      <c r="B1085" s="523"/>
      <c r="C1085" s="523"/>
      <c r="D1085" s="523"/>
      <c r="E1085" s="579"/>
      <c r="F1085" s="580"/>
      <c r="G1085" s="524"/>
      <c r="H1085" s="555"/>
      <c r="I1085" s="560"/>
      <c r="J1085" s="523"/>
      <c r="K1085" s="528" t="str">
        <f>IFERROR(VLOOKUP($B1085,'Clients-Live'!$A:$C,3,0),"")</f>
        <v/>
      </c>
      <c r="L1085" s="528">
        <f>IF(E1085="STL",Pricing!$D$38,IF(A1085="",0,IF(A1085&lt;Pricing!$C$25,Pricing!$D$25,VLOOKUP(Disbursements!$F1085,Pricing!$B$29:$D$32,3))))</f>
        <v>0</v>
      </c>
      <c r="M1085" s="528">
        <f>IF(E1085="STL",0,IF(F1085&gt;0,Pricing!$D$21,0))</f>
        <v>0</v>
      </c>
      <c r="N1085" s="529">
        <f>IF(E1085="STL",F1085*Pricing!$D$40,IF(A1085&lt;=Pricing!$C$4,0,IF(AND(A1085&gt;Pricing!$C$4,Disbursements!A1085&lt;=Pricing!$C$5),F1085*Pricing!$E$5,IF(AND(A1085&gt;Pricing!$C$5,Disbursements!A1085&lt;=Pricing!$C$7),VLOOKUP(F1085,Pricing!$D$7:$E$8,2)*Disbursements!F1085,F1085*Pricing!$E$9))))</f>
        <v>0</v>
      </c>
      <c r="O1085" s="528">
        <f>IF(E1085="STL",0,IF($F1085&gt;0,$F1085*Pricing!$D$17,0))</f>
        <v>0</v>
      </c>
      <c r="P1085" s="530" t="str">
        <f t="shared" si="438"/>
        <v/>
      </c>
      <c r="Q1085" s="531" t="str">
        <f>IF($A1085="","",$G1085/VLOOKUP($I1085,Ref!$B$23:$D$29,2,0))</f>
        <v/>
      </c>
      <c r="R1085" s="530" t="str">
        <f t="shared" si="439"/>
        <v/>
      </c>
      <c r="S1085" s="532" t="str">
        <f t="shared" si="433"/>
        <v/>
      </c>
      <c r="T1085" s="531" t="str">
        <f t="shared" si="440"/>
        <v/>
      </c>
      <c r="U1085" s="533">
        <f t="shared" si="441"/>
        <v>0</v>
      </c>
      <c r="V1085" s="531" t="str">
        <f t="shared" si="442"/>
        <v/>
      </c>
      <c r="W1085" s="531" t="str">
        <f t="shared" si="443"/>
        <v/>
      </c>
      <c r="X1085" s="534" t="str">
        <f t="shared" si="444"/>
        <v/>
      </c>
      <c r="Y1085" s="535" t="str">
        <f>IF($A1085="","",IF($I1085="weekly",$A1085+7,EDATE($A1085,VLOOKUP($I1085,Ref!$B$24:$C$29,2,0))))</f>
        <v/>
      </c>
      <c r="Z1085" s="536" t="str">
        <f t="shared" si="445"/>
        <v/>
      </c>
      <c r="AA1085" s="531">
        <f t="shared" si="446"/>
        <v>0</v>
      </c>
      <c r="AB1085" s="535" t="str">
        <f t="shared" si="434"/>
        <v/>
      </c>
      <c r="AC1085" s="537" t="str">
        <f t="shared" si="435"/>
        <v/>
      </c>
      <c r="AD1085" s="538" t="str">
        <f t="shared" ca="1" si="436"/>
        <v/>
      </c>
      <c r="AE1085" s="537">
        <f t="shared" ca="1" si="437"/>
        <v>0</v>
      </c>
      <c r="AF1085" s="539" t="str">
        <f t="shared" ca="1" si="447"/>
        <v/>
      </c>
      <c r="AG1085" s="531" t="str">
        <f t="shared" ca="1" si="448"/>
        <v/>
      </c>
      <c r="AH1085" s="531" t="str">
        <f t="shared" ca="1" si="449"/>
        <v/>
      </c>
      <c r="AI1085" s="531" t="str">
        <f t="shared" ca="1" si="450"/>
        <v/>
      </c>
      <c r="AJ1085" s="531" t="str">
        <f t="shared" si="451"/>
        <v/>
      </c>
      <c r="AK1085" s="540">
        <f>SUMIFS('Live Collections'!$S:$S,'Live Collections'!$D:$D,Disbursements!B1085,'Live Collections'!$G:$G,Disbursements!C1085)</f>
        <v>0</v>
      </c>
      <c r="AL1085" s="540">
        <f>SUMIFS('Live Collections'!$T:$T,'Live Collections'!$D:$D,Disbursements!B1085,'Live Collections'!$G:$G,Disbursements!C1085)</f>
        <v>0</v>
      </c>
      <c r="AM1085" s="541">
        <f t="shared" si="452"/>
        <v>0</v>
      </c>
      <c r="AN1085" s="542" t="str">
        <f t="shared" si="453"/>
        <v/>
      </c>
      <c r="AO1085" s="542" t="str">
        <f t="shared" si="454"/>
        <v/>
      </c>
      <c r="AP1085" s="543" t="str">
        <f t="shared" si="455"/>
        <v/>
      </c>
      <c r="AQ1085" s="544" t="str">
        <f t="shared" si="456"/>
        <v/>
      </c>
      <c r="AR1085" s="545">
        <f t="shared" si="457"/>
        <v>0</v>
      </c>
      <c r="AS1085" s="545">
        <f>IFERROR(CEILING($AR1085*VLOOKUP($I1085,Ref!$B$23:$E$29,4,0),1),0)</f>
        <v>0</v>
      </c>
      <c r="AT1085" s="545" t="str">
        <f>IF(A1085="","",IF(AP1085&lt;=1,"Cleared",IF(AS1085=0,"Clean",VLOOKUP($AS1085,Ref!$G$23:$H$28,2))))</f>
        <v/>
      </c>
      <c r="AU1085" s="546" t="str">
        <f t="shared" si="458"/>
        <v/>
      </c>
    </row>
    <row r="1086" spans="1:47" ht="14.25" hidden="1" customHeight="1" x14ac:dyDescent="0.15">
      <c r="A1086" s="523"/>
      <c r="B1086" s="523"/>
      <c r="C1086" s="523"/>
      <c r="D1086" s="523"/>
      <c r="E1086" s="579"/>
      <c r="F1086" s="580"/>
      <c r="G1086" s="524"/>
      <c r="H1086" s="555"/>
      <c r="I1086" s="560"/>
      <c r="J1086" s="523"/>
      <c r="K1086" s="528" t="str">
        <f>IFERROR(VLOOKUP($B1086,'Clients-Live'!$A:$C,3,0),"")</f>
        <v/>
      </c>
      <c r="L1086" s="528">
        <f>IF(E1086="STL",Pricing!$D$38,IF(A1086="",0,IF(A1086&lt;Pricing!$C$25,Pricing!$D$25,VLOOKUP(Disbursements!$F1086,Pricing!$B$29:$D$32,3))))</f>
        <v>0</v>
      </c>
      <c r="M1086" s="528">
        <f>IF(E1086="STL",0,IF(F1086&gt;0,Pricing!$D$21,0))</f>
        <v>0</v>
      </c>
      <c r="N1086" s="529">
        <f>IF(E1086="STL",F1086*Pricing!$D$40,IF(A1086&lt;=Pricing!$C$4,0,IF(AND(A1086&gt;Pricing!$C$4,Disbursements!A1086&lt;=Pricing!$C$5),F1086*Pricing!$E$5,IF(AND(A1086&gt;Pricing!$C$5,Disbursements!A1086&lt;=Pricing!$C$7),VLOOKUP(F1086,Pricing!$D$7:$E$8,2)*Disbursements!F1086,F1086*Pricing!$E$9))))</f>
        <v>0</v>
      </c>
      <c r="O1086" s="528">
        <f>IF(E1086="STL",0,IF($F1086&gt;0,$F1086*Pricing!$D$17,0))</f>
        <v>0</v>
      </c>
      <c r="P1086" s="530" t="str">
        <f t="shared" si="438"/>
        <v/>
      </c>
      <c r="Q1086" s="531" t="str">
        <f>IF($A1086="","",$G1086/VLOOKUP($I1086,Ref!$B$23:$D$29,2,0))</f>
        <v/>
      </c>
      <c r="R1086" s="530" t="str">
        <f t="shared" si="439"/>
        <v/>
      </c>
      <c r="S1086" s="532" t="str">
        <f t="shared" si="433"/>
        <v/>
      </c>
      <c r="T1086" s="531" t="str">
        <f t="shared" si="440"/>
        <v/>
      </c>
      <c r="U1086" s="533">
        <f t="shared" si="441"/>
        <v>0</v>
      </c>
      <c r="V1086" s="531" t="str">
        <f t="shared" si="442"/>
        <v/>
      </c>
      <c r="W1086" s="531" t="str">
        <f t="shared" si="443"/>
        <v/>
      </c>
      <c r="X1086" s="534" t="str">
        <f t="shared" si="444"/>
        <v/>
      </c>
      <c r="Y1086" s="535" t="str">
        <f>IF($A1086="","",IF($I1086="weekly",$A1086+7,EDATE($A1086,VLOOKUP($I1086,Ref!$B$24:$C$29,2,0))))</f>
        <v/>
      </c>
      <c r="Z1086" s="536" t="str">
        <f t="shared" si="445"/>
        <v/>
      </c>
      <c r="AA1086" s="531">
        <f t="shared" si="446"/>
        <v>0</v>
      </c>
      <c r="AB1086" s="535" t="str">
        <f t="shared" si="434"/>
        <v/>
      </c>
      <c r="AC1086" s="537" t="str">
        <f t="shared" si="435"/>
        <v/>
      </c>
      <c r="AD1086" s="538" t="str">
        <f t="shared" ca="1" si="436"/>
        <v/>
      </c>
      <c r="AE1086" s="537">
        <f t="shared" ca="1" si="437"/>
        <v>0</v>
      </c>
      <c r="AF1086" s="539" t="str">
        <f t="shared" ca="1" si="447"/>
        <v/>
      </c>
      <c r="AG1086" s="531" t="str">
        <f t="shared" ca="1" si="448"/>
        <v/>
      </c>
      <c r="AH1086" s="531" t="str">
        <f t="shared" ca="1" si="449"/>
        <v/>
      </c>
      <c r="AI1086" s="531" t="str">
        <f t="shared" ca="1" si="450"/>
        <v/>
      </c>
      <c r="AJ1086" s="531" t="str">
        <f t="shared" si="451"/>
        <v/>
      </c>
      <c r="AK1086" s="540">
        <f>SUMIFS('Live Collections'!$S:$S,'Live Collections'!$D:$D,Disbursements!B1086,'Live Collections'!$G:$G,Disbursements!C1086)</f>
        <v>0</v>
      </c>
      <c r="AL1086" s="540">
        <f>SUMIFS('Live Collections'!$T:$T,'Live Collections'!$D:$D,Disbursements!B1086,'Live Collections'!$G:$G,Disbursements!C1086)</f>
        <v>0</v>
      </c>
      <c r="AM1086" s="541">
        <f t="shared" si="452"/>
        <v>0</v>
      </c>
      <c r="AN1086" s="542" t="str">
        <f t="shared" si="453"/>
        <v/>
      </c>
      <c r="AO1086" s="542" t="str">
        <f t="shared" si="454"/>
        <v/>
      </c>
      <c r="AP1086" s="543" t="str">
        <f t="shared" si="455"/>
        <v/>
      </c>
      <c r="AQ1086" s="544" t="str">
        <f t="shared" si="456"/>
        <v/>
      </c>
      <c r="AR1086" s="545">
        <f t="shared" si="457"/>
        <v>0</v>
      </c>
      <c r="AS1086" s="545">
        <f>IFERROR(CEILING($AR1086*VLOOKUP($I1086,Ref!$B$23:$E$29,4,0),1),0)</f>
        <v>0</v>
      </c>
      <c r="AT1086" s="545" t="str">
        <f>IF(A1086="","",IF(AP1086&lt;=1,"Cleared",IF(AS1086=0,"Clean",VLOOKUP($AS1086,Ref!$G$23:$H$28,2))))</f>
        <v/>
      </c>
      <c r="AU1086" s="546" t="str">
        <f t="shared" si="458"/>
        <v/>
      </c>
    </row>
    <row r="1087" spans="1:47" ht="14.25" hidden="1" customHeight="1" x14ac:dyDescent="0.15">
      <c r="A1087" s="523"/>
      <c r="B1087" s="523"/>
      <c r="C1087" s="523"/>
      <c r="D1087" s="523"/>
      <c r="E1087" s="579"/>
      <c r="F1087" s="580"/>
      <c r="G1087" s="524"/>
      <c r="H1087" s="555"/>
      <c r="I1087" s="560"/>
      <c r="J1087" s="523"/>
      <c r="K1087" s="528" t="str">
        <f>IFERROR(VLOOKUP($B1087,'Clients-Live'!$A:$C,3,0),"")</f>
        <v/>
      </c>
      <c r="L1087" s="528">
        <f>IF(E1087="STL",Pricing!$D$38,IF(A1087="",0,IF(A1087&lt;Pricing!$C$25,Pricing!$D$25,VLOOKUP(Disbursements!$F1087,Pricing!$B$29:$D$32,3))))</f>
        <v>0</v>
      </c>
      <c r="M1087" s="528">
        <f>IF(E1087="STL",0,IF(F1087&gt;0,Pricing!$D$21,0))</f>
        <v>0</v>
      </c>
      <c r="N1087" s="529">
        <f>IF(E1087="STL",F1087*Pricing!$D$40,IF(A1087&lt;=Pricing!$C$4,0,IF(AND(A1087&gt;Pricing!$C$4,Disbursements!A1087&lt;=Pricing!$C$5),F1087*Pricing!$E$5,IF(AND(A1087&gt;Pricing!$C$5,Disbursements!A1087&lt;=Pricing!$C$7),VLOOKUP(F1087,Pricing!$D$7:$E$8,2)*Disbursements!F1087,F1087*Pricing!$E$9))))</f>
        <v>0</v>
      </c>
      <c r="O1087" s="528">
        <f>IF(E1087="STL",0,IF($F1087&gt;0,$F1087*Pricing!$D$17,0))</f>
        <v>0</v>
      </c>
      <c r="P1087" s="530" t="str">
        <f t="shared" si="438"/>
        <v/>
      </c>
      <c r="Q1087" s="531" t="str">
        <f>IF($A1087="","",$G1087/VLOOKUP($I1087,Ref!$B$23:$D$29,2,0))</f>
        <v/>
      </c>
      <c r="R1087" s="530" t="str">
        <f t="shared" si="439"/>
        <v/>
      </c>
      <c r="S1087" s="532" t="str">
        <f t="shared" si="433"/>
        <v/>
      </c>
      <c r="T1087" s="531" t="str">
        <f t="shared" si="440"/>
        <v/>
      </c>
      <c r="U1087" s="533">
        <f t="shared" si="441"/>
        <v>0</v>
      </c>
      <c r="V1087" s="531" t="str">
        <f t="shared" si="442"/>
        <v/>
      </c>
      <c r="W1087" s="531" t="str">
        <f t="shared" si="443"/>
        <v/>
      </c>
      <c r="X1087" s="534" t="str">
        <f t="shared" si="444"/>
        <v/>
      </c>
      <c r="Y1087" s="535" t="str">
        <f>IF($A1087="","",IF($I1087="weekly",$A1087+7,EDATE($A1087,VLOOKUP($I1087,Ref!$B$24:$C$29,2,0))))</f>
        <v/>
      </c>
      <c r="Z1087" s="536" t="str">
        <f t="shared" si="445"/>
        <v/>
      </c>
      <c r="AA1087" s="531">
        <f t="shared" si="446"/>
        <v>0</v>
      </c>
      <c r="AB1087" s="535" t="str">
        <f t="shared" si="434"/>
        <v/>
      </c>
      <c r="AC1087" s="537" t="str">
        <f t="shared" si="435"/>
        <v/>
      </c>
      <c r="AD1087" s="538" t="str">
        <f t="shared" ca="1" si="436"/>
        <v/>
      </c>
      <c r="AE1087" s="537">
        <f t="shared" ca="1" si="437"/>
        <v>0</v>
      </c>
      <c r="AF1087" s="539" t="str">
        <f t="shared" ca="1" si="447"/>
        <v/>
      </c>
      <c r="AG1087" s="531" t="str">
        <f t="shared" ca="1" si="448"/>
        <v/>
      </c>
      <c r="AH1087" s="531" t="str">
        <f t="shared" ca="1" si="449"/>
        <v/>
      </c>
      <c r="AI1087" s="531" t="str">
        <f t="shared" ca="1" si="450"/>
        <v/>
      </c>
      <c r="AJ1087" s="531" t="str">
        <f t="shared" si="451"/>
        <v/>
      </c>
      <c r="AK1087" s="540">
        <f>SUMIFS('Live Collections'!$S:$S,'Live Collections'!$D:$D,Disbursements!B1087,'Live Collections'!$G:$G,Disbursements!C1087)</f>
        <v>0</v>
      </c>
      <c r="AL1087" s="540">
        <f>SUMIFS('Live Collections'!$T:$T,'Live Collections'!$D:$D,Disbursements!B1087,'Live Collections'!$G:$G,Disbursements!C1087)</f>
        <v>0</v>
      </c>
      <c r="AM1087" s="541">
        <f t="shared" si="452"/>
        <v>0</v>
      </c>
      <c r="AN1087" s="542" t="str">
        <f t="shared" si="453"/>
        <v/>
      </c>
      <c r="AO1087" s="542" t="str">
        <f t="shared" si="454"/>
        <v/>
      </c>
      <c r="AP1087" s="543" t="str">
        <f t="shared" si="455"/>
        <v/>
      </c>
      <c r="AQ1087" s="544" t="str">
        <f t="shared" si="456"/>
        <v/>
      </c>
      <c r="AR1087" s="545">
        <f t="shared" si="457"/>
        <v>0</v>
      </c>
      <c r="AS1087" s="545">
        <f>IFERROR(CEILING($AR1087*VLOOKUP($I1087,Ref!$B$23:$E$29,4,0),1),0)</f>
        <v>0</v>
      </c>
      <c r="AT1087" s="545" t="str">
        <f>IF(A1087="","",IF(AP1087&lt;=1,"Cleared",IF(AS1087=0,"Clean",VLOOKUP($AS1087,Ref!$G$23:$H$28,2))))</f>
        <v/>
      </c>
      <c r="AU1087" s="546" t="str">
        <f t="shared" si="458"/>
        <v/>
      </c>
    </row>
    <row r="1088" spans="1:47" ht="14.25" hidden="1" customHeight="1" x14ac:dyDescent="0.15">
      <c r="A1088" s="523"/>
      <c r="B1088" s="523"/>
      <c r="C1088" s="523"/>
      <c r="D1088" s="523"/>
      <c r="E1088" s="579"/>
      <c r="F1088" s="580"/>
      <c r="G1088" s="524"/>
      <c r="H1088" s="555"/>
      <c r="I1088" s="560"/>
      <c r="J1088" s="523"/>
      <c r="K1088" s="528" t="str">
        <f>IFERROR(VLOOKUP($B1088,'Clients-Live'!$A:$C,3,0),"")</f>
        <v/>
      </c>
      <c r="L1088" s="528">
        <f>IF(E1088="STL",Pricing!$D$38,IF(A1088="",0,IF(A1088&lt;Pricing!$C$25,Pricing!$D$25,VLOOKUP(Disbursements!$F1088,Pricing!$B$29:$D$32,3))))</f>
        <v>0</v>
      </c>
      <c r="M1088" s="528">
        <f>IF(E1088="STL",0,IF(F1088&gt;0,Pricing!$D$21,0))</f>
        <v>0</v>
      </c>
      <c r="N1088" s="529">
        <f>IF(E1088="STL",F1088*Pricing!$D$40,IF(A1088&lt;=Pricing!$C$4,0,IF(AND(A1088&gt;Pricing!$C$4,Disbursements!A1088&lt;=Pricing!$C$5),F1088*Pricing!$E$5,IF(AND(A1088&gt;Pricing!$C$5,Disbursements!A1088&lt;=Pricing!$C$7),VLOOKUP(F1088,Pricing!$D$7:$E$8,2)*Disbursements!F1088,F1088*Pricing!$E$9))))</f>
        <v>0</v>
      </c>
      <c r="O1088" s="528">
        <f>IF(E1088="STL",0,IF($F1088&gt;0,$F1088*Pricing!$D$17,0))</f>
        <v>0</v>
      </c>
      <c r="P1088" s="530" t="str">
        <f t="shared" si="438"/>
        <v/>
      </c>
      <c r="Q1088" s="531" t="str">
        <f>IF($A1088="","",$G1088/VLOOKUP($I1088,Ref!$B$23:$D$29,2,0))</f>
        <v/>
      </c>
      <c r="R1088" s="530" t="str">
        <f t="shared" si="439"/>
        <v/>
      </c>
      <c r="S1088" s="532" t="str">
        <f t="shared" si="433"/>
        <v/>
      </c>
      <c r="T1088" s="531" t="str">
        <f t="shared" si="440"/>
        <v/>
      </c>
      <c r="U1088" s="533">
        <f t="shared" si="441"/>
        <v>0</v>
      </c>
      <c r="V1088" s="531" t="str">
        <f t="shared" si="442"/>
        <v/>
      </c>
      <c r="W1088" s="531" t="str">
        <f t="shared" si="443"/>
        <v/>
      </c>
      <c r="X1088" s="534" t="str">
        <f t="shared" si="444"/>
        <v/>
      </c>
      <c r="Y1088" s="535" t="str">
        <f>IF($A1088="","",IF($I1088="weekly",$A1088+7,EDATE($A1088,VLOOKUP($I1088,Ref!$B$24:$C$29,2,0))))</f>
        <v/>
      </c>
      <c r="Z1088" s="536" t="str">
        <f t="shared" si="445"/>
        <v/>
      </c>
      <c r="AA1088" s="531">
        <f t="shared" si="446"/>
        <v>0</v>
      </c>
      <c r="AB1088" s="535" t="str">
        <f t="shared" si="434"/>
        <v/>
      </c>
      <c r="AC1088" s="537" t="str">
        <f t="shared" si="435"/>
        <v/>
      </c>
      <c r="AD1088" s="538" t="str">
        <f t="shared" ca="1" si="436"/>
        <v/>
      </c>
      <c r="AE1088" s="537">
        <f t="shared" ca="1" si="437"/>
        <v>0</v>
      </c>
      <c r="AF1088" s="539" t="str">
        <f t="shared" ca="1" si="447"/>
        <v/>
      </c>
      <c r="AG1088" s="531" t="str">
        <f t="shared" ca="1" si="448"/>
        <v/>
      </c>
      <c r="AH1088" s="531" t="str">
        <f t="shared" ca="1" si="449"/>
        <v/>
      </c>
      <c r="AI1088" s="531" t="str">
        <f t="shared" ca="1" si="450"/>
        <v/>
      </c>
      <c r="AJ1088" s="531" t="str">
        <f t="shared" si="451"/>
        <v/>
      </c>
      <c r="AK1088" s="540">
        <f>SUMIFS('Live Collections'!$S:$S,'Live Collections'!$D:$D,Disbursements!B1088,'Live Collections'!$G:$G,Disbursements!C1088)</f>
        <v>0</v>
      </c>
      <c r="AL1088" s="540">
        <f>SUMIFS('Live Collections'!$T:$T,'Live Collections'!$D:$D,Disbursements!B1088,'Live Collections'!$G:$G,Disbursements!C1088)</f>
        <v>0</v>
      </c>
      <c r="AM1088" s="541">
        <f t="shared" si="452"/>
        <v>0</v>
      </c>
      <c r="AN1088" s="542" t="str">
        <f t="shared" si="453"/>
        <v/>
      </c>
      <c r="AO1088" s="542" t="str">
        <f t="shared" si="454"/>
        <v/>
      </c>
      <c r="AP1088" s="543" t="str">
        <f t="shared" si="455"/>
        <v/>
      </c>
      <c r="AQ1088" s="544" t="str">
        <f t="shared" si="456"/>
        <v/>
      </c>
      <c r="AR1088" s="545">
        <f t="shared" si="457"/>
        <v>0</v>
      </c>
      <c r="AS1088" s="545">
        <f>IFERROR(CEILING($AR1088*VLOOKUP($I1088,Ref!$B$23:$E$29,4,0),1),0)</f>
        <v>0</v>
      </c>
      <c r="AT1088" s="545" t="str">
        <f>IF(A1088="","",IF(AP1088&lt;=1,"Cleared",IF(AS1088=0,"Clean",VLOOKUP($AS1088,Ref!$G$23:$H$28,2))))</f>
        <v/>
      </c>
      <c r="AU1088" s="546" t="str">
        <f t="shared" si="458"/>
        <v/>
      </c>
    </row>
    <row r="1089" spans="1:47" ht="14.25" hidden="1" customHeight="1" x14ac:dyDescent="0.15">
      <c r="A1089" s="523"/>
      <c r="B1089" s="523"/>
      <c r="C1089" s="523"/>
      <c r="D1089" s="523"/>
      <c r="E1089" s="579"/>
      <c r="F1089" s="580"/>
      <c r="G1089" s="524"/>
      <c r="H1089" s="555"/>
      <c r="I1089" s="560"/>
      <c r="J1089" s="523"/>
      <c r="K1089" s="528" t="str">
        <f>IFERROR(VLOOKUP($B1089,'Clients-Live'!$A:$C,3,0),"")</f>
        <v/>
      </c>
      <c r="L1089" s="528">
        <f>IF(E1089="STL",Pricing!$D$38,IF(A1089="",0,IF(A1089&lt;Pricing!$C$25,Pricing!$D$25,VLOOKUP(Disbursements!$F1089,Pricing!$B$29:$D$32,3))))</f>
        <v>0</v>
      </c>
      <c r="M1089" s="528">
        <f>IF(E1089="STL",0,IF(F1089&gt;0,Pricing!$D$21,0))</f>
        <v>0</v>
      </c>
      <c r="N1089" s="529">
        <f>IF(E1089="STL",F1089*Pricing!$D$40,IF(A1089&lt;=Pricing!$C$4,0,IF(AND(A1089&gt;Pricing!$C$4,Disbursements!A1089&lt;=Pricing!$C$5),F1089*Pricing!$E$5,IF(AND(A1089&gt;Pricing!$C$5,Disbursements!A1089&lt;=Pricing!$C$7),VLOOKUP(F1089,Pricing!$D$7:$E$8,2)*Disbursements!F1089,F1089*Pricing!$E$9))))</f>
        <v>0</v>
      </c>
      <c r="O1089" s="528">
        <f>IF(E1089="STL",0,IF($F1089&gt;0,$F1089*Pricing!$D$17,0))</f>
        <v>0</v>
      </c>
      <c r="P1089" s="530" t="str">
        <f t="shared" si="438"/>
        <v/>
      </c>
      <c r="Q1089" s="531" t="str">
        <f>IF($A1089="","",$G1089/VLOOKUP($I1089,Ref!$B$23:$D$29,2,0))</f>
        <v/>
      </c>
      <c r="R1089" s="530" t="str">
        <f t="shared" si="439"/>
        <v/>
      </c>
      <c r="S1089" s="532" t="str">
        <f t="shared" si="433"/>
        <v/>
      </c>
      <c r="T1089" s="531" t="str">
        <f t="shared" si="440"/>
        <v/>
      </c>
      <c r="U1089" s="533">
        <f t="shared" si="441"/>
        <v>0</v>
      </c>
      <c r="V1089" s="531" t="str">
        <f t="shared" si="442"/>
        <v/>
      </c>
      <c r="W1089" s="531" t="str">
        <f t="shared" si="443"/>
        <v/>
      </c>
      <c r="X1089" s="534" t="str">
        <f t="shared" si="444"/>
        <v/>
      </c>
      <c r="Y1089" s="535" t="str">
        <f>IF($A1089="","",IF($I1089="weekly",$A1089+7,EDATE($A1089,VLOOKUP($I1089,Ref!$B$24:$C$29,2,0))))</f>
        <v/>
      </c>
      <c r="Z1089" s="536" t="str">
        <f t="shared" si="445"/>
        <v/>
      </c>
      <c r="AA1089" s="531">
        <f t="shared" si="446"/>
        <v>0</v>
      </c>
      <c r="AB1089" s="535" t="str">
        <f t="shared" si="434"/>
        <v/>
      </c>
      <c r="AC1089" s="537" t="str">
        <f t="shared" si="435"/>
        <v/>
      </c>
      <c r="AD1089" s="538" t="str">
        <f t="shared" ca="1" si="436"/>
        <v/>
      </c>
      <c r="AE1089" s="537">
        <f t="shared" ca="1" si="437"/>
        <v>0</v>
      </c>
      <c r="AF1089" s="539" t="str">
        <f t="shared" ca="1" si="447"/>
        <v/>
      </c>
      <c r="AG1089" s="531" t="str">
        <f t="shared" ca="1" si="448"/>
        <v/>
      </c>
      <c r="AH1089" s="531" t="str">
        <f t="shared" ca="1" si="449"/>
        <v/>
      </c>
      <c r="AI1089" s="531" t="str">
        <f t="shared" ca="1" si="450"/>
        <v/>
      </c>
      <c r="AJ1089" s="531" t="str">
        <f t="shared" si="451"/>
        <v/>
      </c>
      <c r="AK1089" s="540">
        <f>SUMIFS('Live Collections'!$S:$S,'Live Collections'!$D:$D,Disbursements!B1089,'Live Collections'!$G:$G,Disbursements!C1089)</f>
        <v>0</v>
      </c>
      <c r="AL1089" s="540">
        <f>SUMIFS('Live Collections'!$T:$T,'Live Collections'!$D:$D,Disbursements!B1089,'Live Collections'!$G:$G,Disbursements!C1089)</f>
        <v>0</v>
      </c>
      <c r="AM1089" s="541">
        <f t="shared" si="452"/>
        <v>0</v>
      </c>
      <c r="AN1089" s="542" t="str">
        <f t="shared" si="453"/>
        <v/>
      </c>
      <c r="AO1089" s="542" t="str">
        <f t="shared" si="454"/>
        <v/>
      </c>
      <c r="AP1089" s="543" t="str">
        <f t="shared" si="455"/>
        <v/>
      </c>
      <c r="AQ1089" s="544" t="str">
        <f t="shared" si="456"/>
        <v/>
      </c>
      <c r="AR1089" s="545">
        <f t="shared" si="457"/>
        <v>0</v>
      </c>
      <c r="AS1089" s="545">
        <f>IFERROR(CEILING($AR1089*VLOOKUP($I1089,Ref!$B$23:$E$29,4,0),1),0)</f>
        <v>0</v>
      </c>
      <c r="AT1089" s="545" t="str">
        <f>IF(A1089="","",IF(AP1089&lt;=1,"Cleared",IF(AS1089=0,"Clean",VLOOKUP($AS1089,Ref!$G$23:$H$28,2))))</f>
        <v/>
      </c>
      <c r="AU1089" s="546" t="str">
        <f t="shared" si="458"/>
        <v/>
      </c>
    </row>
    <row r="1090" spans="1:47" ht="14.25" hidden="1" customHeight="1" x14ac:dyDescent="0.15">
      <c r="A1090" s="523"/>
      <c r="B1090" s="523"/>
      <c r="C1090" s="523"/>
      <c r="D1090" s="523"/>
      <c r="E1090" s="579"/>
      <c r="F1090" s="580"/>
      <c r="G1090" s="524"/>
      <c r="H1090" s="555"/>
      <c r="I1090" s="560"/>
      <c r="J1090" s="523"/>
      <c r="K1090" s="528" t="str">
        <f>IFERROR(VLOOKUP($B1090,'Clients-Live'!$A:$C,3,0),"")</f>
        <v/>
      </c>
      <c r="L1090" s="528">
        <f>IF(E1090="STL",Pricing!$D$38,IF(A1090="",0,IF(A1090&lt;Pricing!$C$25,Pricing!$D$25,VLOOKUP(Disbursements!$F1090,Pricing!$B$29:$D$32,3))))</f>
        <v>0</v>
      </c>
      <c r="M1090" s="528">
        <f>IF(E1090="STL",0,IF(F1090&gt;0,Pricing!$D$21,0))</f>
        <v>0</v>
      </c>
      <c r="N1090" s="529">
        <f>IF(E1090="STL",F1090*Pricing!$D$40,IF(A1090&lt;=Pricing!$C$4,0,IF(AND(A1090&gt;Pricing!$C$4,Disbursements!A1090&lt;=Pricing!$C$5),F1090*Pricing!$E$5,IF(AND(A1090&gt;Pricing!$C$5,Disbursements!A1090&lt;=Pricing!$C$7),VLOOKUP(F1090,Pricing!$D$7:$E$8,2)*Disbursements!F1090,F1090*Pricing!$E$9))))</f>
        <v>0</v>
      </c>
      <c r="O1090" s="528">
        <f>IF(E1090="STL",0,IF($F1090&gt;0,$F1090*Pricing!$D$17,0))</f>
        <v>0</v>
      </c>
      <c r="P1090" s="530" t="str">
        <f t="shared" si="438"/>
        <v/>
      </c>
      <c r="Q1090" s="531" t="str">
        <f>IF($A1090="","",$G1090/VLOOKUP($I1090,Ref!$B$23:$D$29,2,0))</f>
        <v/>
      </c>
      <c r="R1090" s="530" t="str">
        <f t="shared" si="439"/>
        <v/>
      </c>
      <c r="S1090" s="532" t="str">
        <f t="shared" si="433"/>
        <v/>
      </c>
      <c r="T1090" s="531" t="str">
        <f t="shared" si="440"/>
        <v/>
      </c>
      <c r="U1090" s="533">
        <f t="shared" si="441"/>
        <v>0</v>
      </c>
      <c r="V1090" s="531" t="str">
        <f t="shared" si="442"/>
        <v/>
      </c>
      <c r="W1090" s="531" t="str">
        <f t="shared" si="443"/>
        <v/>
      </c>
      <c r="X1090" s="534" t="str">
        <f t="shared" si="444"/>
        <v/>
      </c>
      <c r="Y1090" s="535" t="str">
        <f>IF($A1090="","",IF($I1090="weekly",$A1090+7,EDATE($A1090,VLOOKUP($I1090,Ref!$B$24:$C$29,2,0))))</f>
        <v/>
      </c>
      <c r="Z1090" s="536" t="str">
        <f t="shared" si="445"/>
        <v/>
      </c>
      <c r="AA1090" s="531">
        <f t="shared" si="446"/>
        <v>0</v>
      </c>
      <c r="AB1090" s="535" t="str">
        <f t="shared" si="434"/>
        <v/>
      </c>
      <c r="AC1090" s="537" t="str">
        <f t="shared" si="435"/>
        <v/>
      </c>
      <c r="AD1090" s="538" t="str">
        <f t="shared" ca="1" si="436"/>
        <v/>
      </c>
      <c r="AE1090" s="537">
        <f t="shared" ca="1" si="437"/>
        <v>0</v>
      </c>
      <c r="AF1090" s="539" t="str">
        <f t="shared" ca="1" si="447"/>
        <v/>
      </c>
      <c r="AG1090" s="531" t="str">
        <f t="shared" ca="1" si="448"/>
        <v/>
      </c>
      <c r="AH1090" s="531" t="str">
        <f t="shared" ca="1" si="449"/>
        <v/>
      </c>
      <c r="AI1090" s="531" t="str">
        <f t="shared" ca="1" si="450"/>
        <v/>
      </c>
      <c r="AJ1090" s="531" t="str">
        <f t="shared" si="451"/>
        <v/>
      </c>
      <c r="AK1090" s="540">
        <f>SUMIFS('Live Collections'!$S:$S,'Live Collections'!$D:$D,Disbursements!B1090,'Live Collections'!$G:$G,Disbursements!C1090)</f>
        <v>0</v>
      </c>
      <c r="AL1090" s="540">
        <f>SUMIFS('Live Collections'!$T:$T,'Live Collections'!$D:$D,Disbursements!B1090,'Live Collections'!$G:$G,Disbursements!C1090)</f>
        <v>0</v>
      </c>
      <c r="AM1090" s="541">
        <f t="shared" si="452"/>
        <v>0</v>
      </c>
      <c r="AN1090" s="542" t="str">
        <f t="shared" si="453"/>
        <v/>
      </c>
      <c r="AO1090" s="542" t="str">
        <f t="shared" si="454"/>
        <v/>
      </c>
      <c r="AP1090" s="543" t="str">
        <f t="shared" si="455"/>
        <v/>
      </c>
      <c r="AQ1090" s="544" t="str">
        <f t="shared" si="456"/>
        <v/>
      </c>
      <c r="AR1090" s="545">
        <f t="shared" si="457"/>
        <v>0</v>
      </c>
      <c r="AS1090" s="545">
        <f>IFERROR(CEILING($AR1090*VLOOKUP($I1090,Ref!$B$23:$E$29,4,0),1),0)</f>
        <v>0</v>
      </c>
      <c r="AT1090" s="545" t="str">
        <f>IF(A1090="","",IF(AP1090&lt;=1,"Cleared",IF(AS1090=0,"Clean",VLOOKUP($AS1090,Ref!$G$23:$H$28,2))))</f>
        <v/>
      </c>
      <c r="AU1090" s="546" t="str">
        <f t="shared" si="458"/>
        <v/>
      </c>
    </row>
    <row r="1091" spans="1:47" ht="14.25" hidden="1" customHeight="1" x14ac:dyDescent="0.15">
      <c r="A1091" s="523"/>
      <c r="B1091" s="523"/>
      <c r="C1091" s="523"/>
      <c r="D1091" s="523"/>
      <c r="E1091" s="579"/>
      <c r="F1091" s="580"/>
      <c r="G1091" s="524"/>
      <c r="H1091" s="555"/>
      <c r="I1091" s="560"/>
      <c r="J1091" s="523"/>
      <c r="K1091" s="528" t="str">
        <f>IFERROR(VLOOKUP($B1091,'Clients-Live'!$A:$C,3,0),"")</f>
        <v/>
      </c>
      <c r="L1091" s="528">
        <f>IF(E1091="STL",Pricing!$D$38,IF(A1091="",0,IF(A1091&lt;Pricing!$C$25,Pricing!$D$25,VLOOKUP(Disbursements!$F1091,Pricing!$B$29:$D$32,3))))</f>
        <v>0</v>
      </c>
      <c r="M1091" s="528">
        <f>IF(E1091="STL",0,IF(F1091&gt;0,Pricing!$D$21,0))</f>
        <v>0</v>
      </c>
      <c r="N1091" s="529">
        <f>IF(E1091="STL",F1091*Pricing!$D$40,IF(A1091&lt;=Pricing!$C$4,0,IF(AND(A1091&gt;Pricing!$C$4,Disbursements!A1091&lt;=Pricing!$C$5),F1091*Pricing!$E$5,IF(AND(A1091&gt;Pricing!$C$5,Disbursements!A1091&lt;=Pricing!$C$7),VLOOKUP(F1091,Pricing!$D$7:$E$8,2)*Disbursements!F1091,F1091*Pricing!$E$9))))</f>
        <v>0</v>
      </c>
      <c r="O1091" s="528">
        <f>IF(E1091="STL",0,IF($F1091&gt;0,$F1091*Pricing!$D$17,0))</f>
        <v>0</v>
      </c>
      <c r="P1091" s="530" t="str">
        <f t="shared" si="438"/>
        <v/>
      </c>
      <c r="Q1091" s="531" t="str">
        <f>IF($A1091="","",$G1091/VLOOKUP($I1091,Ref!$B$23:$D$29,2,0))</f>
        <v/>
      </c>
      <c r="R1091" s="530" t="str">
        <f t="shared" si="439"/>
        <v/>
      </c>
      <c r="S1091" s="532" t="str">
        <f t="shared" si="433"/>
        <v/>
      </c>
      <c r="T1091" s="531" t="str">
        <f t="shared" si="440"/>
        <v/>
      </c>
      <c r="U1091" s="533">
        <f t="shared" si="441"/>
        <v>0</v>
      </c>
      <c r="V1091" s="531" t="str">
        <f t="shared" si="442"/>
        <v/>
      </c>
      <c r="W1091" s="531" t="str">
        <f t="shared" si="443"/>
        <v/>
      </c>
      <c r="X1091" s="534" t="str">
        <f t="shared" si="444"/>
        <v/>
      </c>
      <c r="Y1091" s="535" t="str">
        <f>IF($A1091="","",IF($I1091="weekly",$A1091+7,EDATE($A1091,VLOOKUP($I1091,Ref!$B$24:$C$29,2,0))))</f>
        <v/>
      </c>
      <c r="Z1091" s="536" t="str">
        <f t="shared" si="445"/>
        <v/>
      </c>
      <c r="AA1091" s="531">
        <f t="shared" si="446"/>
        <v>0</v>
      </c>
      <c r="AB1091" s="535" t="str">
        <f t="shared" si="434"/>
        <v/>
      </c>
      <c r="AC1091" s="537" t="str">
        <f t="shared" si="435"/>
        <v/>
      </c>
      <c r="AD1091" s="538" t="str">
        <f t="shared" ca="1" si="436"/>
        <v/>
      </c>
      <c r="AE1091" s="537">
        <f t="shared" ca="1" si="437"/>
        <v>0</v>
      </c>
      <c r="AF1091" s="539" t="str">
        <f t="shared" ca="1" si="447"/>
        <v/>
      </c>
      <c r="AG1091" s="531" t="str">
        <f t="shared" ca="1" si="448"/>
        <v/>
      </c>
      <c r="AH1091" s="531" t="str">
        <f t="shared" ca="1" si="449"/>
        <v/>
      </c>
      <c r="AI1091" s="531" t="str">
        <f t="shared" ca="1" si="450"/>
        <v/>
      </c>
      <c r="AJ1091" s="531" t="str">
        <f t="shared" si="451"/>
        <v/>
      </c>
      <c r="AK1091" s="540">
        <f>SUMIFS('Live Collections'!$S:$S,'Live Collections'!$D:$D,Disbursements!B1091,'Live Collections'!$G:$G,Disbursements!C1091)</f>
        <v>0</v>
      </c>
      <c r="AL1091" s="540">
        <f>SUMIFS('Live Collections'!$T:$T,'Live Collections'!$D:$D,Disbursements!B1091,'Live Collections'!$G:$G,Disbursements!C1091)</f>
        <v>0</v>
      </c>
      <c r="AM1091" s="541">
        <f t="shared" si="452"/>
        <v>0</v>
      </c>
      <c r="AN1091" s="542" t="str">
        <f t="shared" si="453"/>
        <v/>
      </c>
      <c r="AO1091" s="542" t="str">
        <f t="shared" si="454"/>
        <v/>
      </c>
      <c r="AP1091" s="543" t="str">
        <f t="shared" si="455"/>
        <v/>
      </c>
      <c r="AQ1091" s="544" t="str">
        <f t="shared" si="456"/>
        <v/>
      </c>
      <c r="AR1091" s="545">
        <f t="shared" si="457"/>
        <v>0</v>
      </c>
      <c r="AS1091" s="545">
        <f>IFERROR(CEILING($AR1091*VLOOKUP($I1091,Ref!$B$23:$E$29,4,0),1),0)</f>
        <v>0</v>
      </c>
      <c r="AT1091" s="545" t="str">
        <f>IF(A1091="","",IF(AP1091&lt;=1,"Cleared",IF(AS1091=0,"Clean",VLOOKUP($AS1091,Ref!$G$23:$H$28,2))))</f>
        <v/>
      </c>
      <c r="AU1091" s="546" t="str">
        <f t="shared" si="458"/>
        <v/>
      </c>
    </row>
    <row r="1092" spans="1:47" ht="14.25" hidden="1" customHeight="1" x14ac:dyDescent="0.15">
      <c r="A1092" s="523"/>
      <c r="B1092" s="523"/>
      <c r="C1092" s="523"/>
      <c r="D1092" s="523"/>
      <c r="E1092" s="579"/>
      <c r="F1092" s="580"/>
      <c r="G1092" s="524"/>
      <c r="H1092" s="555"/>
      <c r="I1092" s="560"/>
      <c r="J1092" s="523"/>
      <c r="K1092" s="528" t="str">
        <f>IFERROR(VLOOKUP($B1092,'Clients-Live'!$A:$C,3,0),"")</f>
        <v/>
      </c>
      <c r="L1092" s="528">
        <f>IF(E1092="STL",Pricing!$D$38,IF(A1092="",0,IF(A1092&lt;Pricing!$C$25,Pricing!$D$25,VLOOKUP(Disbursements!$F1092,Pricing!$B$29:$D$32,3))))</f>
        <v>0</v>
      </c>
      <c r="M1092" s="528">
        <f>IF(E1092="STL",0,IF(F1092&gt;0,Pricing!$D$21,0))</f>
        <v>0</v>
      </c>
      <c r="N1092" s="529">
        <f>IF(E1092="STL",F1092*Pricing!$D$40,IF(A1092&lt;=Pricing!$C$4,0,IF(AND(A1092&gt;Pricing!$C$4,Disbursements!A1092&lt;=Pricing!$C$5),F1092*Pricing!$E$5,IF(AND(A1092&gt;Pricing!$C$5,Disbursements!A1092&lt;=Pricing!$C$7),VLOOKUP(F1092,Pricing!$D$7:$E$8,2)*Disbursements!F1092,F1092*Pricing!$E$9))))</f>
        <v>0</v>
      </c>
      <c r="O1092" s="528">
        <f>IF(E1092="STL",0,IF($F1092&gt;0,$F1092*Pricing!$D$17,0))</f>
        <v>0</v>
      </c>
      <c r="P1092" s="530" t="str">
        <f t="shared" si="438"/>
        <v/>
      </c>
      <c r="Q1092" s="531" t="str">
        <f>IF($A1092="","",$G1092/VLOOKUP($I1092,Ref!$B$23:$D$29,2,0))</f>
        <v/>
      </c>
      <c r="R1092" s="530" t="str">
        <f t="shared" si="439"/>
        <v/>
      </c>
      <c r="S1092" s="532" t="str">
        <f t="shared" ref="S1092:S1155" si="459">IF($A1092="","",$R1092/$Q1092)</f>
        <v/>
      </c>
      <c r="T1092" s="531" t="str">
        <f t="shared" si="440"/>
        <v/>
      </c>
      <c r="U1092" s="533">
        <f t="shared" si="441"/>
        <v>0</v>
      </c>
      <c r="V1092" s="531" t="str">
        <f t="shared" si="442"/>
        <v/>
      </c>
      <c r="W1092" s="531" t="str">
        <f t="shared" si="443"/>
        <v/>
      </c>
      <c r="X1092" s="534" t="str">
        <f t="shared" si="444"/>
        <v/>
      </c>
      <c r="Y1092" s="535" t="str">
        <f>IF($A1092="","",IF($I1092="weekly",$A1092+7,EDATE($A1092,VLOOKUP($I1092,Ref!$B$24:$C$29,2,0))))</f>
        <v/>
      </c>
      <c r="Z1092" s="536" t="str">
        <f t="shared" si="445"/>
        <v/>
      </c>
      <c r="AA1092" s="531">
        <f t="shared" si="446"/>
        <v>0</v>
      </c>
      <c r="AB1092" s="535" t="str">
        <f t="shared" ref="AB1092:AB1155" si="460">IF($A1092="","",EDATE($A1092,$G1092))</f>
        <v/>
      </c>
      <c r="AC1092" s="537" t="str">
        <f t="shared" ref="AC1092:AC1155" si="461">IFERROR($AB1092-$A1092,"")</f>
        <v/>
      </c>
      <c r="AD1092" s="538" t="str">
        <f t="shared" ref="AD1092:AD1155" ca="1" si="462">IFERROR(IF(TODAY()-$A1092&lt;$AB1092-$A1092,TODAY()-$A1092,"Expired"),"")</f>
        <v/>
      </c>
      <c r="AE1092" s="537">
        <f t="shared" ref="AE1092:AE1155" ca="1" si="463">IFERROR($AC1092-$AD1092,0)</f>
        <v>0</v>
      </c>
      <c r="AF1092" s="539" t="str">
        <f t="shared" ca="1" si="447"/>
        <v/>
      </c>
      <c r="AG1092" s="531" t="str">
        <f t="shared" ca="1" si="448"/>
        <v/>
      </c>
      <c r="AH1092" s="531" t="str">
        <f t="shared" ca="1" si="449"/>
        <v/>
      </c>
      <c r="AI1092" s="531" t="str">
        <f t="shared" ca="1" si="450"/>
        <v/>
      </c>
      <c r="AJ1092" s="531" t="str">
        <f t="shared" si="451"/>
        <v/>
      </c>
      <c r="AK1092" s="540">
        <f>SUMIFS('Live Collections'!$S:$S,'Live Collections'!$D:$D,Disbursements!B1092,'Live Collections'!$G:$G,Disbursements!C1092)</f>
        <v>0</v>
      </c>
      <c r="AL1092" s="540">
        <f>SUMIFS('Live Collections'!$T:$T,'Live Collections'!$D:$D,Disbursements!B1092,'Live Collections'!$G:$G,Disbursements!C1092)</f>
        <v>0</v>
      </c>
      <c r="AM1092" s="541">
        <f t="shared" si="452"/>
        <v>0</v>
      </c>
      <c r="AN1092" s="542" t="str">
        <f t="shared" si="453"/>
        <v/>
      </c>
      <c r="AO1092" s="542" t="str">
        <f t="shared" si="454"/>
        <v/>
      </c>
      <c r="AP1092" s="543" t="str">
        <f t="shared" si="455"/>
        <v/>
      </c>
      <c r="AQ1092" s="544" t="str">
        <f t="shared" si="456"/>
        <v/>
      </c>
      <c r="AR1092" s="545">
        <f t="shared" si="457"/>
        <v>0</v>
      </c>
      <c r="AS1092" s="545">
        <f>IFERROR(CEILING($AR1092*VLOOKUP($I1092,Ref!$B$23:$E$29,4,0),1),0)</f>
        <v>0</v>
      </c>
      <c r="AT1092" s="545" t="str">
        <f>IF(A1092="","",IF(AP1092&lt;=1,"Cleared",IF(AS1092=0,"Clean",VLOOKUP($AS1092,Ref!$G$23:$H$28,2))))</f>
        <v/>
      </c>
      <c r="AU1092" s="546" t="str">
        <f t="shared" si="458"/>
        <v/>
      </c>
    </row>
    <row r="1093" spans="1:47" ht="14.25" hidden="1" customHeight="1" x14ac:dyDescent="0.15">
      <c r="A1093" s="523"/>
      <c r="B1093" s="523"/>
      <c r="C1093" s="523"/>
      <c r="D1093" s="523"/>
      <c r="E1093" s="579"/>
      <c r="F1093" s="580"/>
      <c r="G1093" s="524"/>
      <c r="H1093" s="555"/>
      <c r="I1093" s="560"/>
      <c r="J1093" s="523"/>
      <c r="K1093" s="528" t="str">
        <f>IFERROR(VLOOKUP($B1093,'Clients-Live'!$A:$C,3,0),"")</f>
        <v/>
      </c>
      <c r="L1093" s="528">
        <f>IF(E1093="STL",Pricing!$D$38,IF(A1093="",0,IF(A1093&lt;Pricing!$C$25,Pricing!$D$25,VLOOKUP(Disbursements!$F1093,Pricing!$B$29:$D$32,3))))</f>
        <v>0</v>
      </c>
      <c r="M1093" s="528">
        <f>IF(E1093="STL",0,IF(F1093&gt;0,Pricing!$D$21,0))</f>
        <v>0</v>
      </c>
      <c r="N1093" s="529">
        <f>IF(E1093="STL",F1093*Pricing!$D$40,IF(A1093&lt;=Pricing!$C$4,0,IF(AND(A1093&gt;Pricing!$C$4,Disbursements!A1093&lt;=Pricing!$C$5),F1093*Pricing!$E$5,IF(AND(A1093&gt;Pricing!$C$5,Disbursements!A1093&lt;=Pricing!$C$7),VLOOKUP(F1093,Pricing!$D$7:$E$8,2)*Disbursements!F1093,F1093*Pricing!$E$9))))</f>
        <v>0</v>
      </c>
      <c r="O1093" s="528">
        <f>IF(E1093="STL",0,IF($F1093&gt;0,$F1093*Pricing!$D$17,0))</f>
        <v>0</v>
      </c>
      <c r="P1093" s="530" t="str">
        <f t="shared" ref="P1093:P1156" si="464">IF($A1093="","",$H1093*$F1093*$G1093)</f>
        <v/>
      </c>
      <c r="Q1093" s="531" t="str">
        <f>IF($A1093="","",$G1093/VLOOKUP($I1093,Ref!$B$23:$D$29,2,0))</f>
        <v/>
      </c>
      <c r="R1093" s="530" t="str">
        <f t="shared" ref="R1093:R1156" si="465">IF($A1093="","",$F1093+$P1093)</f>
        <v/>
      </c>
      <c r="S1093" s="532" t="str">
        <f t="shared" si="459"/>
        <v/>
      </c>
      <c r="T1093" s="531" t="str">
        <f t="shared" ref="T1093:T1156" si="466">IF(R1093="","",CEILING(S1093,1000))</f>
        <v/>
      </c>
      <c r="U1093" s="533">
        <f t="shared" ref="U1093:U1156" si="467">IFERROR(T1093*Q1093,0)</f>
        <v>0</v>
      </c>
      <c r="V1093" s="531" t="str">
        <f t="shared" ref="V1093:V1156" si="468">IF(T1093="","",F1093/Q1093)</f>
        <v/>
      </c>
      <c r="W1093" s="531" t="str">
        <f t="shared" ref="W1093:W1156" si="469">IF(T1093="","",T1093-V1093)</f>
        <v/>
      </c>
      <c r="X1093" s="534" t="str">
        <f t="shared" ref="X1093:X1156" si="470">IF(A1093="","",W1093*Q1093)</f>
        <v/>
      </c>
      <c r="Y1093" s="535" t="str">
        <f>IF($A1093="","",IF($I1093="weekly",$A1093+7,EDATE($A1093,VLOOKUP($I1093,Ref!$B$24:$C$29,2,0))))</f>
        <v/>
      </c>
      <c r="Z1093" s="536" t="str">
        <f t="shared" ref="Z1093:Z1156" si="471">IFERROR(CHOOSE(WEEKDAY(Y1093),"Sun","Mon","Tue","Wed","Thu","Frid","Sat"),"")</f>
        <v/>
      </c>
      <c r="AA1093" s="531">
        <f t="shared" ref="AA1093:AA1156" si="472">IFERROR(Y1093-A1093,0)</f>
        <v>0</v>
      </c>
      <c r="AB1093" s="535" t="str">
        <f t="shared" si="460"/>
        <v/>
      </c>
      <c r="AC1093" s="537" t="str">
        <f t="shared" si="461"/>
        <v/>
      </c>
      <c r="AD1093" s="538" t="str">
        <f t="shared" ca="1" si="462"/>
        <v/>
      </c>
      <c r="AE1093" s="537">
        <f t="shared" ca="1" si="463"/>
        <v>0</v>
      </c>
      <c r="AF1093" s="539" t="str">
        <f t="shared" ref="AF1093:AF1156" ca="1" si="473">IFERROR(IF(AD1093="Expired",Q1093,IF(AD1093&gt;AA1093,AD1093/AA1093,0)),"")</f>
        <v/>
      </c>
      <c r="AG1093" s="531" t="str">
        <f t="shared" ref="AG1093:AG1156" ca="1" si="474">IFERROR(AF1093*T1093,"")</f>
        <v/>
      </c>
      <c r="AH1093" s="531" t="str">
        <f t="shared" ref="AH1093:AH1156" ca="1" si="475">IFERROR(AF1093*W1093,"")</f>
        <v/>
      </c>
      <c r="AI1093" s="531" t="str">
        <f t="shared" ref="AI1093:AI1156" ca="1" si="476">IFERROR(AF1093*V1093,"")</f>
        <v/>
      </c>
      <c r="AJ1093" s="531" t="str">
        <f t="shared" ref="AJ1093:AJ1156" si="477">IF(F1093=0,"",U1093-AG1093)</f>
        <v/>
      </c>
      <c r="AK1093" s="540">
        <f>SUMIFS('Live Collections'!$S:$S,'Live Collections'!$D:$D,Disbursements!B1093,'Live Collections'!$G:$G,Disbursements!C1093)</f>
        <v>0</v>
      </c>
      <c r="AL1093" s="540">
        <f>SUMIFS('Live Collections'!$T:$T,'Live Collections'!$D:$D,Disbursements!B1093,'Live Collections'!$G:$G,Disbursements!C1093)</f>
        <v>0</v>
      </c>
      <c r="AM1093" s="541">
        <f t="shared" ref="AM1093:AM1156" si="478">SUM(AK1093:AL1093)</f>
        <v>0</v>
      </c>
      <c r="AN1093" s="542" t="str">
        <f t="shared" ref="AN1093:AN1156" si="479">IFERROR(W1093*Q1093-AK1093,"")</f>
        <v/>
      </c>
      <c r="AO1093" s="542" t="str">
        <f t="shared" ref="AO1093:AO1156" si="480">IF(F1093="","",(F1093-AL1093))</f>
        <v/>
      </c>
      <c r="AP1093" s="543" t="str">
        <f t="shared" ref="AP1093:AP1156" si="481">IF(F1093="","",SUM(AN1093:AO1093))</f>
        <v/>
      </c>
      <c r="AQ1093" s="544" t="str">
        <f t="shared" ref="AQ1093:AQ1156" si="482">IF(AP1093&gt;AJ1093,AP1093-AJ1093,"")</f>
        <v/>
      </c>
      <c r="AR1093" s="545">
        <f t="shared" ref="AR1093:AR1156" si="483">IFERROR(AQ1093/T1093,0)</f>
        <v>0</v>
      </c>
      <c r="AS1093" s="545">
        <f>IFERROR(CEILING($AR1093*VLOOKUP($I1093,Ref!$B$23:$E$29,4,0),1),0)</f>
        <v>0</v>
      </c>
      <c r="AT1093" s="545" t="str">
        <f>IF(A1093="","",IF(AP1093&lt;=1,"Cleared",IF(AS1093=0,"Clean",VLOOKUP($AS1093,Ref!$G$23:$H$28,2))))</f>
        <v/>
      </c>
      <c r="AU1093" s="546" t="str">
        <f t="shared" ref="AU1093:AU1156" si="484">IF(F1093="","",IF(OR(AN1093&lt;0,AO1093&lt;0,AP1093&lt;0),"Error on Entry","Ok"))</f>
        <v/>
      </c>
    </row>
    <row r="1094" spans="1:47" ht="14.25" hidden="1" customHeight="1" x14ac:dyDescent="0.15">
      <c r="A1094" s="523"/>
      <c r="B1094" s="523"/>
      <c r="C1094" s="523"/>
      <c r="D1094" s="523"/>
      <c r="E1094" s="579"/>
      <c r="F1094" s="580"/>
      <c r="G1094" s="524"/>
      <c r="H1094" s="555"/>
      <c r="I1094" s="560"/>
      <c r="J1094" s="523"/>
      <c r="K1094" s="528" t="str">
        <f>IFERROR(VLOOKUP($B1094,'Clients-Live'!$A:$C,3,0),"")</f>
        <v/>
      </c>
      <c r="L1094" s="528">
        <f>IF(E1094="STL",Pricing!$D$38,IF(A1094="",0,IF(A1094&lt;Pricing!$C$25,Pricing!$D$25,VLOOKUP(Disbursements!$F1094,Pricing!$B$29:$D$32,3))))</f>
        <v>0</v>
      </c>
      <c r="M1094" s="528">
        <f>IF(E1094="STL",0,IF(F1094&gt;0,Pricing!$D$21,0))</f>
        <v>0</v>
      </c>
      <c r="N1094" s="529">
        <f>IF(E1094="STL",F1094*Pricing!$D$40,IF(A1094&lt;=Pricing!$C$4,0,IF(AND(A1094&gt;Pricing!$C$4,Disbursements!A1094&lt;=Pricing!$C$5),F1094*Pricing!$E$5,IF(AND(A1094&gt;Pricing!$C$5,Disbursements!A1094&lt;=Pricing!$C$7),VLOOKUP(F1094,Pricing!$D$7:$E$8,2)*Disbursements!F1094,F1094*Pricing!$E$9))))</f>
        <v>0</v>
      </c>
      <c r="O1094" s="528">
        <f>IF(E1094="STL",0,IF($F1094&gt;0,$F1094*Pricing!$D$17,0))</f>
        <v>0</v>
      </c>
      <c r="P1094" s="530" t="str">
        <f t="shared" si="464"/>
        <v/>
      </c>
      <c r="Q1094" s="531" t="str">
        <f>IF($A1094="","",$G1094/VLOOKUP($I1094,Ref!$B$23:$D$29,2,0))</f>
        <v/>
      </c>
      <c r="R1094" s="530" t="str">
        <f t="shared" si="465"/>
        <v/>
      </c>
      <c r="S1094" s="532" t="str">
        <f t="shared" si="459"/>
        <v/>
      </c>
      <c r="T1094" s="531" t="str">
        <f t="shared" si="466"/>
        <v/>
      </c>
      <c r="U1094" s="533">
        <f t="shared" si="467"/>
        <v>0</v>
      </c>
      <c r="V1094" s="531" t="str">
        <f t="shared" si="468"/>
        <v/>
      </c>
      <c r="W1094" s="531" t="str">
        <f t="shared" si="469"/>
        <v/>
      </c>
      <c r="X1094" s="534" t="str">
        <f t="shared" si="470"/>
        <v/>
      </c>
      <c r="Y1094" s="535" t="str">
        <f>IF($A1094="","",IF($I1094="weekly",$A1094+7,EDATE($A1094,VLOOKUP($I1094,Ref!$B$24:$C$29,2,0))))</f>
        <v/>
      </c>
      <c r="Z1094" s="536" t="str">
        <f t="shared" si="471"/>
        <v/>
      </c>
      <c r="AA1094" s="531">
        <f t="shared" si="472"/>
        <v>0</v>
      </c>
      <c r="AB1094" s="535" t="str">
        <f t="shared" si="460"/>
        <v/>
      </c>
      <c r="AC1094" s="537" t="str">
        <f t="shared" si="461"/>
        <v/>
      </c>
      <c r="AD1094" s="538" t="str">
        <f t="shared" ca="1" si="462"/>
        <v/>
      </c>
      <c r="AE1094" s="537">
        <f t="shared" ca="1" si="463"/>
        <v>0</v>
      </c>
      <c r="AF1094" s="539" t="str">
        <f t="shared" ca="1" si="473"/>
        <v/>
      </c>
      <c r="AG1094" s="531" t="str">
        <f t="shared" ca="1" si="474"/>
        <v/>
      </c>
      <c r="AH1094" s="531" t="str">
        <f t="shared" ca="1" si="475"/>
        <v/>
      </c>
      <c r="AI1094" s="531" t="str">
        <f t="shared" ca="1" si="476"/>
        <v/>
      </c>
      <c r="AJ1094" s="531" t="str">
        <f t="shared" si="477"/>
        <v/>
      </c>
      <c r="AK1094" s="540">
        <f>SUMIFS('Live Collections'!$S:$S,'Live Collections'!$D:$D,Disbursements!B1094,'Live Collections'!$G:$G,Disbursements!C1094)</f>
        <v>0</v>
      </c>
      <c r="AL1094" s="540">
        <f>SUMIFS('Live Collections'!$T:$T,'Live Collections'!$D:$D,Disbursements!B1094,'Live Collections'!$G:$G,Disbursements!C1094)</f>
        <v>0</v>
      </c>
      <c r="AM1094" s="541">
        <f t="shared" si="478"/>
        <v>0</v>
      </c>
      <c r="AN1094" s="542" t="str">
        <f t="shared" si="479"/>
        <v/>
      </c>
      <c r="AO1094" s="542" t="str">
        <f t="shared" si="480"/>
        <v/>
      </c>
      <c r="AP1094" s="543" t="str">
        <f t="shared" si="481"/>
        <v/>
      </c>
      <c r="AQ1094" s="544" t="str">
        <f t="shared" si="482"/>
        <v/>
      </c>
      <c r="AR1094" s="545">
        <f t="shared" si="483"/>
        <v>0</v>
      </c>
      <c r="AS1094" s="545">
        <f>IFERROR(CEILING($AR1094*VLOOKUP($I1094,Ref!$B$23:$E$29,4,0),1),0)</f>
        <v>0</v>
      </c>
      <c r="AT1094" s="545" t="str">
        <f>IF(A1094="","",IF(AP1094&lt;=1,"Cleared",IF(AS1094=0,"Clean",VLOOKUP($AS1094,Ref!$G$23:$H$28,2))))</f>
        <v/>
      </c>
      <c r="AU1094" s="546" t="str">
        <f t="shared" si="484"/>
        <v/>
      </c>
    </row>
    <row r="1095" spans="1:47" ht="14.25" hidden="1" customHeight="1" x14ac:dyDescent="0.15">
      <c r="A1095" s="523"/>
      <c r="B1095" s="523"/>
      <c r="C1095" s="523"/>
      <c r="D1095" s="523"/>
      <c r="E1095" s="579"/>
      <c r="F1095" s="580"/>
      <c r="G1095" s="524"/>
      <c r="H1095" s="555"/>
      <c r="I1095" s="560"/>
      <c r="J1095" s="523"/>
      <c r="K1095" s="528" t="str">
        <f>IFERROR(VLOOKUP($B1095,'Clients-Live'!$A:$C,3,0),"")</f>
        <v/>
      </c>
      <c r="L1095" s="528">
        <f>IF(E1095="STL",Pricing!$D$38,IF(A1095="",0,IF(A1095&lt;Pricing!$C$25,Pricing!$D$25,VLOOKUP(Disbursements!$F1095,Pricing!$B$29:$D$32,3))))</f>
        <v>0</v>
      </c>
      <c r="M1095" s="528">
        <f>IF(E1095="STL",0,IF(F1095&gt;0,Pricing!$D$21,0))</f>
        <v>0</v>
      </c>
      <c r="N1095" s="529">
        <f>IF(E1095="STL",F1095*Pricing!$D$40,IF(A1095&lt;=Pricing!$C$4,0,IF(AND(A1095&gt;Pricing!$C$4,Disbursements!A1095&lt;=Pricing!$C$5),F1095*Pricing!$E$5,IF(AND(A1095&gt;Pricing!$C$5,Disbursements!A1095&lt;=Pricing!$C$7),VLOOKUP(F1095,Pricing!$D$7:$E$8,2)*Disbursements!F1095,F1095*Pricing!$E$9))))</f>
        <v>0</v>
      </c>
      <c r="O1095" s="528">
        <f>IF(E1095="STL",0,IF($F1095&gt;0,$F1095*Pricing!$D$17,0))</f>
        <v>0</v>
      </c>
      <c r="P1095" s="530" t="str">
        <f t="shared" si="464"/>
        <v/>
      </c>
      <c r="Q1095" s="531" t="str">
        <f>IF($A1095="","",$G1095/VLOOKUP($I1095,Ref!$B$23:$D$29,2,0))</f>
        <v/>
      </c>
      <c r="R1095" s="530" t="str">
        <f t="shared" si="465"/>
        <v/>
      </c>
      <c r="S1095" s="532" t="str">
        <f t="shared" si="459"/>
        <v/>
      </c>
      <c r="T1095" s="531" t="str">
        <f t="shared" si="466"/>
        <v/>
      </c>
      <c r="U1095" s="533">
        <f t="shared" si="467"/>
        <v>0</v>
      </c>
      <c r="V1095" s="531" t="str">
        <f t="shared" si="468"/>
        <v/>
      </c>
      <c r="W1095" s="531" t="str">
        <f t="shared" si="469"/>
        <v/>
      </c>
      <c r="X1095" s="534" t="str">
        <f t="shared" si="470"/>
        <v/>
      </c>
      <c r="Y1095" s="535" t="str">
        <f>IF($A1095="","",IF($I1095="weekly",$A1095+7,EDATE($A1095,VLOOKUP($I1095,Ref!$B$24:$C$29,2,0))))</f>
        <v/>
      </c>
      <c r="Z1095" s="536" t="str">
        <f t="shared" si="471"/>
        <v/>
      </c>
      <c r="AA1095" s="531">
        <f t="shared" si="472"/>
        <v>0</v>
      </c>
      <c r="AB1095" s="535" t="str">
        <f t="shared" si="460"/>
        <v/>
      </c>
      <c r="AC1095" s="537" t="str">
        <f t="shared" si="461"/>
        <v/>
      </c>
      <c r="AD1095" s="538" t="str">
        <f t="shared" ca="1" si="462"/>
        <v/>
      </c>
      <c r="AE1095" s="537">
        <f t="shared" ca="1" si="463"/>
        <v>0</v>
      </c>
      <c r="AF1095" s="539" t="str">
        <f t="shared" ca="1" si="473"/>
        <v/>
      </c>
      <c r="AG1095" s="531" t="str">
        <f t="shared" ca="1" si="474"/>
        <v/>
      </c>
      <c r="AH1095" s="531" t="str">
        <f t="shared" ca="1" si="475"/>
        <v/>
      </c>
      <c r="AI1095" s="531" t="str">
        <f t="shared" ca="1" si="476"/>
        <v/>
      </c>
      <c r="AJ1095" s="531" t="str">
        <f t="shared" si="477"/>
        <v/>
      </c>
      <c r="AK1095" s="540">
        <f>SUMIFS('Live Collections'!$S:$S,'Live Collections'!$D:$D,Disbursements!B1095,'Live Collections'!$G:$G,Disbursements!C1095)</f>
        <v>0</v>
      </c>
      <c r="AL1095" s="540">
        <f>SUMIFS('Live Collections'!$T:$T,'Live Collections'!$D:$D,Disbursements!B1095,'Live Collections'!$G:$G,Disbursements!C1095)</f>
        <v>0</v>
      </c>
      <c r="AM1095" s="541">
        <f t="shared" si="478"/>
        <v>0</v>
      </c>
      <c r="AN1095" s="542" t="str">
        <f t="shared" si="479"/>
        <v/>
      </c>
      <c r="AO1095" s="542" t="str">
        <f t="shared" si="480"/>
        <v/>
      </c>
      <c r="AP1095" s="543" t="str">
        <f t="shared" si="481"/>
        <v/>
      </c>
      <c r="AQ1095" s="544" t="str">
        <f t="shared" si="482"/>
        <v/>
      </c>
      <c r="AR1095" s="545">
        <f t="shared" si="483"/>
        <v>0</v>
      </c>
      <c r="AS1095" s="545">
        <f>IFERROR(CEILING($AR1095*VLOOKUP($I1095,Ref!$B$23:$E$29,4,0),1),0)</f>
        <v>0</v>
      </c>
      <c r="AT1095" s="545" t="str">
        <f>IF(A1095="","",IF(AP1095&lt;=1,"Cleared",IF(AS1095=0,"Clean",VLOOKUP($AS1095,Ref!$G$23:$H$28,2))))</f>
        <v/>
      </c>
      <c r="AU1095" s="546" t="str">
        <f t="shared" si="484"/>
        <v/>
      </c>
    </row>
    <row r="1096" spans="1:47" ht="14.25" hidden="1" customHeight="1" x14ac:dyDescent="0.15">
      <c r="A1096" s="523"/>
      <c r="B1096" s="523"/>
      <c r="C1096" s="523"/>
      <c r="D1096" s="523"/>
      <c r="E1096" s="579"/>
      <c r="F1096" s="580"/>
      <c r="G1096" s="524"/>
      <c r="H1096" s="555"/>
      <c r="I1096" s="560"/>
      <c r="J1096" s="523"/>
      <c r="K1096" s="528" t="str">
        <f>IFERROR(VLOOKUP($B1096,'Clients-Live'!$A:$C,3,0),"")</f>
        <v/>
      </c>
      <c r="L1096" s="528">
        <f>IF(E1096="STL",Pricing!$D$38,IF(A1096="",0,IF(A1096&lt;Pricing!$C$25,Pricing!$D$25,VLOOKUP(Disbursements!$F1096,Pricing!$B$29:$D$32,3))))</f>
        <v>0</v>
      </c>
      <c r="M1096" s="528">
        <f>IF(E1096="STL",0,IF(F1096&gt;0,Pricing!$D$21,0))</f>
        <v>0</v>
      </c>
      <c r="N1096" s="529">
        <f>IF(E1096="STL",F1096*Pricing!$D$40,IF(A1096&lt;=Pricing!$C$4,0,IF(AND(A1096&gt;Pricing!$C$4,Disbursements!A1096&lt;=Pricing!$C$5),F1096*Pricing!$E$5,IF(AND(A1096&gt;Pricing!$C$5,Disbursements!A1096&lt;=Pricing!$C$7),VLOOKUP(F1096,Pricing!$D$7:$E$8,2)*Disbursements!F1096,F1096*Pricing!$E$9))))</f>
        <v>0</v>
      </c>
      <c r="O1096" s="528">
        <f>IF(E1096="STL",0,IF($F1096&gt;0,$F1096*Pricing!$D$17,0))</f>
        <v>0</v>
      </c>
      <c r="P1096" s="530" t="str">
        <f t="shared" si="464"/>
        <v/>
      </c>
      <c r="Q1096" s="531" t="str">
        <f>IF($A1096="","",$G1096/VLOOKUP($I1096,Ref!$B$23:$D$29,2,0))</f>
        <v/>
      </c>
      <c r="R1096" s="530" t="str">
        <f t="shared" si="465"/>
        <v/>
      </c>
      <c r="S1096" s="532" t="str">
        <f t="shared" si="459"/>
        <v/>
      </c>
      <c r="T1096" s="531" t="str">
        <f t="shared" si="466"/>
        <v/>
      </c>
      <c r="U1096" s="533">
        <f t="shared" si="467"/>
        <v>0</v>
      </c>
      <c r="V1096" s="531" t="str">
        <f t="shared" si="468"/>
        <v/>
      </c>
      <c r="W1096" s="531" t="str">
        <f t="shared" si="469"/>
        <v/>
      </c>
      <c r="X1096" s="534" t="str">
        <f t="shared" si="470"/>
        <v/>
      </c>
      <c r="Y1096" s="535" t="str">
        <f>IF($A1096="","",IF($I1096="weekly",$A1096+7,EDATE($A1096,VLOOKUP($I1096,Ref!$B$24:$C$29,2,0))))</f>
        <v/>
      </c>
      <c r="Z1096" s="536" t="str">
        <f t="shared" si="471"/>
        <v/>
      </c>
      <c r="AA1096" s="531">
        <f t="shared" si="472"/>
        <v>0</v>
      </c>
      <c r="AB1096" s="535" t="str">
        <f t="shared" si="460"/>
        <v/>
      </c>
      <c r="AC1096" s="537" t="str">
        <f t="shared" si="461"/>
        <v/>
      </c>
      <c r="AD1096" s="538" t="str">
        <f t="shared" ca="1" si="462"/>
        <v/>
      </c>
      <c r="AE1096" s="537">
        <f t="shared" ca="1" si="463"/>
        <v>0</v>
      </c>
      <c r="AF1096" s="539" t="str">
        <f t="shared" ca="1" si="473"/>
        <v/>
      </c>
      <c r="AG1096" s="531" t="str">
        <f t="shared" ca="1" si="474"/>
        <v/>
      </c>
      <c r="AH1096" s="531" t="str">
        <f t="shared" ca="1" si="475"/>
        <v/>
      </c>
      <c r="AI1096" s="531" t="str">
        <f t="shared" ca="1" si="476"/>
        <v/>
      </c>
      <c r="AJ1096" s="531" t="str">
        <f t="shared" si="477"/>
        <v/>
      </c>
      <c r="AK1096" s="540">
        <f>SUMIFS('Live Collections'!$S:$S,'Live Collections'!$D:$D,Disbursements!B1096,'Live Collections'!$G:$G,Disbursements!C1096)</f>
        <v>0</v>
      </c>
      <c r="AL1096" s="540">
        <f>SUMIFS('Live Collections'!$T:$T,'Live Collections'!$D:$D,Disbursements!B1096,'Live Collections'!$G:$G,Disbursements!C1096)</f>
        <v>0</v>
      </c>
      <c r="AM1096" s="541">
        <f t="shared" si="478"/>
        <v>0</v>
      </c>
      <c r="AN1096" s="542" t="str">
        <f t="shared" si="479"/>
        <v/>
      </c>
      <c r="AO1096" s="542" t="str">
        <f t="shared" si="480"/>
        <v/>
      </c>
      <c r="AP1096" s="543" t="str">
        <f t="shared" si="481"/>
        <v/>
      </c>
      <c r="AQ1096" s="544" t="str">
        <f t="shared" si="482"/>
        <v/>
      </c>
      <c r="AR1096" s="545">
        <f t="shared" si="483"/>
        <v>0</v>
      </c>
      <c r="AS1096" s="545">
        <f>IFERROR(CEILING($AR1096*VLOOKUP($I1096,Ref!$B$23:$E$29,4,0),1),0)</f>
        <v>0</v>
      </c>
      <c r="AT1096" s="545" t="str">
        <f>IF(A1096="","",IF(AP1096&lt;=1,"Cleared",IF(AS1096=0,"Clean",VLOOKUP($AS1096,Ref!$G$23:$H$28,2))))</f>
        <v/>
      </c>
      <c r="AU1096" s="546" t="str">
        <f t="shared" si="484"/>
        <v/>
      </c>
    </row>
    <row r="1097" spans="1:47" ht="14.25" hidden="1" customHeight="1" x14ac:dyDescent="0.15">
      <c r="A1097" s="523"/>
      <c r="B1097" s="523"/>
      <c r="C1097" s="523"/>
      <c r="D1097" s="523"/>
      <c r="E1097" s="579"/>
      <c r="F1097" s="580"/>
      <c r="G1097" s="524"/>
      <c r="H1097" s="555"/>
      <c r="I1097" s="560"/>
      <c r="J1097" s="523"/>
      <c r="K1097" s="528" t="str">
        <f>IFERROR(VLOOKUP($B1097,'Clients-Live'!$A:$C,3,0),"")</f>
        <v/>
      </c>
      <c r="L1097" s="528">
        <f>IF(E1097="STL",Pricing!$D$38,IF(A1097="",0,IF(A1097&lt;Pricing!$C$25,Pricing!$D$25,VLOOKUP(Disbursements!$F1097,Pricing!$B$29:$D$32,3))))</f>
        <v>0</v>
      </c>
      <c r="M1097" s="528">
        <f>IF(E1097="STL",0,IF(F1097&gt;0,Pricing!$D$21,0))</f>
        <v>0</v>
      </c>
      <c r="N1097" s="529">
        <f>IF(E1097="STL",F1097*Pricing!$D$40,IF(A1097&lt;=Pricing!$C$4,0,IF(AND(A1097&gt;Pricing!$C$4,Disbursements!A1097&lt;=Pricing!$C$5),F1097*Pricing!$E$5,IF(AND(A1097&gt;Pricing!$C$5,Disbursements!A1097&lt;=Pricing!$C$7),VLOOKUP(F1097,Pricing!$D$7:$E$8,2)*Disbursements!F1097,F1097*Pricing!$E$9))))</f>
        <v>0</v>
      </c>
      <c r="O1097" s="528">
        <f>IF(E1097="STL",0,IF($F1097&gt;0,$F1097*Pricing!$D$17,0))</f>
        <v>0</v>
      </c>
      <c r="P1097" s="530" t="str">
        <f t="shared" si="464"/>
        <v/>
      </c>
      <c r="Q1097" s="531" t="str">
        <f>IF($A1097="","",$G1097/VLOOKUP($I1097,Ref!$B$23:$D$29,2,0))</f>
        <v/>
      </c>
      <c r="R1097" s="530" t="str">
        <f t="shared" si="465"/>
        <v/>
      </c>
      <c r="S1097" s="532" t="str">
        <f t="shared" si="459"/>
        <v/>
      </c>
      <c r="T1097" s="531" t="str">
        <f t="shared" si="466"/>
        <v/>
      </c>
      <c r="U1097" s="533">
        <f t="shared" si="467"/>
        <v>0</v>
      </c>
      <c r="V1097" s="531" t="str">
        <f t="shared" si="468"/>
        <v/>
      </c>
      <c r="W1097" s="531" t="str">
        <f t="shared" si="469"/>
        <v/>
      </c>
      <c r="X1097" s="534" t="str">
        <f t="shared" si="470"/>
        <v/>
      </c>
      <c r="Y1097" s="535" t="str">
        <f>IF($A1097="","",IF($I1097="weekly",$A1097+7,EDATE($A1097,VLOOKUP($I1097,Ref!$B$24:$C$29,2,0))))</f>
        <v/>
      </c>
      <c r="Z1097" s="536" t="str">
        <f t="shared" si="471"/>
        <v/>
      </c>
      <c r="AA1097" s="531">
        <f t="shared" si="472"/>
        <v>0</v>
      </c>
      <c r="AB1097" s="535" t="str">
        <f t="shared" si="460"/>
        <v/>
      </c>
      <c r="AC1097" s="537" t="str">
        <f t="shared" si="461"/>
        <v/>
      </c>
      <c r="AD1097" s="538" t="str">
        <f t="shared" ca="1" si="462"/>
        <v/>
      </c>
      <c r="AE1097" s="537">
        <f t="shared" ca="1" si="463"/>
        <v>0</v>
      </c>
      <c r="AF1097" s="539" t="str">
        <f t="shared" ca="1" si="473"/>
        <v/>
      </c>
      <c r="AG1097" s="531" t="str">
        <f t="shared" ca="1" si="474"/>
        <v/>
      </c>
      <c r="AH1097" s="531" t="str">
        <f t="shared" ca="1" si="475"/>
        <v/>
      </c>
      <c r="AI1097" s="531" t="str">
        <f t="shared" ca="1" si="476"/>
        <v/>
      </c>
      <c r="AJ1097" s="531" t="str">
        <f t="shared" si="477"/>
        <v/>
      </c>
      <c r="AK1097" s="540">
        <f>SUMIFS('Live Collections'!$S:$S,'Live Collections'!$D:$D,Disbursements!B1097,'Live Collections'!$G:$G,Disbursements!C1097)</f>
        <v>0</v>
      </c>
      <c r="AL1097" s="540">
        <f>SUMIFS('Live Collections'!$T:$T,'Live Collections'!$D:$D,Disbursements!B1097,'Live Collections'!$G:$G,Disbursements!C1097)</f>
        <v>0</v>
      </c>
      <c r="AM1097" s="541">
        <f t="shared" si="478"/>
        <v>0</v>
      </c>
      <c r="AN1097" s="542" t="str">
        <f t="shared" si="479"/>
        <v/>
      </c>
      <c r="AO1097" s="542" t="str">
        <f t="shared" si="480"/>
        <v/>
      </c>
      <c r="AP1097" s="543" t="str">
        <f t="shared" si="481"/>
        <v/>
      </c>
      <c r="AQ1097" s="544" t="str">
        <f t="shared" si="482"/>
        <v/>
      </c>
      <c r="AR1097" s="545">
        <f t="shared" si="483"/>
        <v>0</v>
      </c>
      <c r="AS1097" s="545">
        <f>IFERROR(CEILING($AR1097*VLOOKUP($I1097,Ref!$B$23:$E$29,4,0),1),0)</f>
        <v>0</v>
      </c>
      <c r="AT1097" s="545" t="str">
        <f>IF(A1097="","",IF(AP1097&lt;=1,"Cleared",IF(AS1097=0,"Clean",VLOOKUP($AS1097,Ref!$G$23:$H$28,2))))</f>
        <v/>
      </c>
      <c r="AU1097" s="546" t="str">
        <f t="shared" si="484"/>
        <v/>
      </c>
    </row>
    <row r="1098" spans="1:47" ht="14.25" hidden="1" customHeight="1" x14ac:dyDescent="0.15">
      <c r="A1098" s="523"/>
      <c r="B1098" s="523"/>
      <c r="C1098" s="523"/>
      <c r="D1098" s="523"/>
      <c r="E1098" s="579"/>
      <c r="F1098" s="580"/>
      <c r="G1098" s="524"/>
      <c r="H1098" s="555"/>
      <c r="I1098" s="560"/>
      <c r="J1098" s="523"/>
      <c r="K1098" s="528" t="str">
        <f>IFERROR(VLOOKUP($B1098,'Clients-Live'!$A:$C,3,0),"")</f>
        <v/>
      </c>
      <c r="L1098" s="528">
        <f>IF(E1098="STL",Pricing!$D$38,IF(A1098="",0,IF(A1098&lt;Pricing!$C$25,Pricing!$D$25,VLOOKUP(Disbursements!$F1098,Pricing!$B$29:$D$32,3))))</f>
        <v>0</v>
      </c>
      <c r="M1098" s="528">
        <f>IF(E1098="STL",0,IF(F1098&gt;0,Pricing!$D$21,0))</f>
        <v>0</v>
      </c>
      <c r="N1098" s="529">
        <f>IF(E1098="STL",F1098*Pricing!$D$40,IF(A1098&lt;=Pricing!$C$4,0,IF(AND(A1098&gt;Pricing!$C$4,Disbursements!A1098&lt;=Pricing!$C$5),F1098*Pricing!$E$5,IF(AND(A1098&gt;Pricing!$C$5,Disbursements!A1098&lt;=Pricing!$C$7),VLOOKUP(F1098,Pricing!$D$7:$E$8,2)*Disbursements!F1098,F1098*Pricing!$E$9))))</f>
        <v>0</v>
      </c>
      <c r="O1098" s="528">
        <f>IF(E1098="STL",0,IF($F1098&gt;0,$F1098*Pricing!$D$17,0))</f>
        <v>0</v>
      </c>
      <c r="P1098" s="530" t="str">
        <f t="shared" si="464"/>
        <v/>
      </c>
      <c r="Q1098" s="531" t="str">
        <f>IF($A1098="","",$G1098/VLOOKUP($I1098,Ref!$B$23:$D$29,2,0))</f>
        <v/>
      </c>
      <c r="R1098" s="530" t="str">
        <f t="shared" si="465"/>
        <v/>
      </c>
      <c r="S1098" s="532" t="str">
        <f t="shared" si="459"/>
        <v/>
      </c>
      <c r="T1098" s="531" t="str">
        <f t="shared" si="466"/>
        <v/>
      </c>
      <c r="U1098" s="533">
        <f t="shared" si="467"/>
        <v>0</v>
      </c>
      <c r="V1098" s="531" t="str">
        <f t="shared" si="468"/>
        <v/>
      </c>
      <c r="W1098" s="531" t="str">
        <f t="shared" si="469"/>
        <v/>
      </c>
      <c r="X1098" s="534" t="str">
        <f t="shared" si="470"/>
        <v/>
      </c>
      <c r="Y1098" s="535" t="str">
        <f>IF($A1098="","",IF($I1098="weekly",$A1098+7,EDATE($A1098,VLOOKUP($I1098,Ref!$B$24:$C$29,2,0))))</f>
        <v/>
      </c>
      <c r="Z1098" s="536" t="str">
        <f t="shared" si="471"/>
        <v/>
      </c>
      <c r="AA1098" s="531">
        <f t="shared" si="472"/>
        <v>0</v>
      </c>
      <c r="AB1098" s="535" t="str">
        <f t="shared" si="460"/>
        <v/>
      </c>
      <c r="AC1098" s="537" t="str">
        <f t="shared" si="461"/>
        <v/>
      </c>
      <c r="AD1098" s="538" t="str">
        <f t="shared" ca="1" si="462"/>
        <v/>
      </c>
      <c r="AE1098" s="537">
        <f t="shared" ca="1" si="463"/>
        <v>0</v>
      </c>
      <c r="AF1098" s="539" t="str">
        <f t="shared" ca="1" si="473"/>
        <v/>
      </c>
      <c r="AG1098" s="531" t="str">
        <f t="shared" ca="1" si="474"/>
        <v/>
      </c>
      <c r="AH1098" s="531" t="str">
        <f t="shared" ca="1" si="475"/>
        <v/>
      </c>
      <c r="AI1098" s="531" t="str">
        <f t="shared" ca="1" si="476"/>
        <v/>
      </c>
      <c r="AJ1098" s="531" t="str">
        <f t="shared" si="477"/>
        <v/>
      </c>
      <c r="AK1098" s="540">
        <f>SUMIFS('Live Collections'!$S:$S,'Live Collections'!$D:$D,Disbursements!B1098,'Live Collections'!$G:$G,Disbursements!C1098)</f>
        <v>0</v>
      </c>
      <c r="AL1098" s="540">
        <f>SUMIFS('Live Collections'!$T:$T,'Live Collections'!$D:$D,Disbursements!B1098,'Live Collections'!$G:$G,Disbursements!C1098)</f>
        <v>0</v>
      </c>
      <c r="AM1098" s="541">
        <f t="shared" si="478"/>
        <v>0</v>
      </c>
      <c r="AN1098" s="542" t="str">
        <f t="shared" si="479"/>
        <v/>
      </c>
      <c r="AO1098" s="542" t="str">
        <f t="shared" si="480"/>
        <v/>
      </c>
      <c r="AP1098" s="543" t="str">
        <f t="shared" si="481"/>
        <v/>
      </c>
      <c r="AQ1098" s="544" t="str">
        <f t="shared" si="482"/>
        <v/>
      </c>
      <c r="AR1098" s="545">
        <f t="shared" si="483"/>
        <v>0</v>
      </c>
      <c r="AS1098" s="545">
        <f>IFERROR(CEILING($AR1098*VLOOKUP($I1098,Ref!$B$23:$E$29,4,0),1),0)</f>
        <v>0</v>
      </c>
      <c r="AT1098" s="545" t="str">
        <f>IF(A1098="","",IF(AP1098&lt;=1,"Cleared",IF(AS1098=0,"Clean",VLOOKUP($AS1098,Ref!$G$23:$H$28,2))))</f>
        <v/>
      </c>
      <c r="AU1098" s="546" t="str">
        <f t="shared" si="484"/>
        <v/>
      </c>
    </row>
    <row r="1099" spans="1:47" ht="14.25" hidden="1" customHeight="1" x14ac:dyDescent="0.15">
      <c r="A1099" s="523"/>
      <c r="B1099" s="523"/>
      <c r="C1099" s="523"/>
      <c r="D1099" s="523"/>
      <c r="E1099" s="579"/>
      <c r="F1099" s="580"/>
      <c r="G1099" s="524"/>
      <c r="H1099" s="555"/>
      <c r="I1099" s="560"/>
      <c r="J1099" s="523"/>
      <c r="K1099" s="528" t="str">
        <f>IFERROR(VLOOKUP($B1099,'Clients-Live'!$A:$C,3,0),"")</f>
        <v/>
      </c>
      <c r="L1099" s="528">
        <f>IF(E1099="STL",Pricing!$D$38,IF(A1099="",0,IF(A1099&lt;Pricing!$C$25,Pricing!$D$25,VLOOKUP(Disbursements!$F1099,Pricing!$B$29:$D$32,3))))</f>
        <v>0</v>
      </c>
      <c r="M1099" s="528">
        <f>IF(E1099="STL",0,IF(F1099&gt;0,Pricing!$D$21,0))</f>
        <v>0</v>
      </c>
      <c r="N1099" s="529">
        <f>IF(E1099="STL",F1099*Pricing!$D$40,IF(A1099&lt;=Pricing!$C$4,0,IF(AND(A1099&gt;Pricing!$C$4,Disbursements!A1099&lt;=Pricing!$C$5),F1099*Pricing!$E$5,IF(AND(A1099&gt;Pricing!$C$5,Disbursements!A1099&lt;=Pricing!$C$7),VLOOKUP(F1099,Pricing!$D$7:$E$8,2)*Disbursements!F1099,F1099*Pricing!$E$9))))</f>
        <v>0</v>
      </c>
      <c r="O1099" s="528">
        <f>IF(E1099="STL",0,IF($F1099&gt;0,$F1099*Pricing!$D$17,0))</f>
        <v>0</v>
      </c>
      <c r="P1099" s="530" t="str">
        <f t="shared" si="464"/>
        <v/>
      </c>
      <c r="Q1099" s="531" t="str">
        <f>IF($A1099="","",$G1099/VLOOKUP($I1099,Ref!$B$23:$D$29,2,0))</f>
        <v/>
      </c>
      <c r="R1099" s="530" t="str">
        <f t="shared" si="465"/>
        <v/>
      </c>
      <c r="S1099" s="532" t="str">
        <f t="shared" si="459"/>
        <v/>
      </c>
      <c r="T1099" s="531" t="str">
        <f t="shared" si="466"/>
        <v/>
      </c>
      <c r="U1099" s="533">
        <f t="shared" si="467"/>
        <v>0</v>
      </c>
      <c r="V1099" s="531" t="str">
        <f t="shared" si="468"/>
        <v/>
      </c>
      <c r="W1099" s="531" t="str">
        <f t="shared" si="469"/>
        <v/>
      </c>
      <c r="X1099" s="534" t="str">
        <f t="shared" si="470"/>
        <v/>
      </c>
      <c r="Y1099" s="535" t="str">
        <f>IF($A1099="","",IF($I1099="weekly",$A1099+7,EDATE($A1099,VLOOKUP($I1099,Ref!$B$24:$C$29,2,0))))</f>
        <v/>
      </c>
      <c r="Z1099" s="536" t="str">
        <f t="shared" si="471"/>
        <v/>
      </c>
      <c r="AA1099" s="531">
        <f t="shared" si="472"/>
        <v>0</v>
      </c>
      <c r="AB1099" s="535" t="str">
        <f t="shared" si="460"/>
        <v/>
      </c>
      <c r="AC1099" s="537" t="str">
        <f t="shared" si="461"/>
        <v/>
      </c>
      <c r="AD1099" s="538" t="str">
        <f t="shared" ca="1" si="462"/>
        <v/>
      </c>
      <c r="AE1099" s="537">
        <f t="shared" ca="1" si="463"/>
        <v>0</v>
      </c>
      <c r="AF1099" s="539" t="str">
        <f t="shared" ca="1" si="473"/>
        <v/>
      </c>
      <c r="AG1099" s="531" t="str">
        <f t="shared" ca="1" si="474"/>
        <v/>
      </c>
      <c r="AH1099" s="531" t="str">
        <f t="shared" ca="1" si="475"/>
        <v/>
      </c>
      <c r="AI1099" s="531" t="str">
        <f t="shared" ca="1" si="476"/>
        <v/>
      </c>
      <c r="AJ1099" s="531" t="str">
        <f t="shared" si="477"/>
        <v/>
      </c>
      <c r="AK1099" s="540">
        <f>SUMIFS('Live Collections'!$S:$S,'Live Collections'!$D:$D,Disbursements!B1099,'Live Collections'!$G:$G,Disbursements!C1099)</f>
        <v>0</v>
      </c>
      <c r="AL1099" s="540">
        <f>SUMIFS('Live Collections'!$T:$T,'Live Collections'!$D:$D,Disbursements!B1099,'Live Collections'!$G:$G,Disbursements!C1099)</f>
        <v>0</v>
      </c>
      <c r="AM1099" s="541">
        <f t="shared" si="478"/>
        <v>0</v>
      </c>
      <c r="AN1099" s="542" t="str">
        <f t="shared" si="479"/>
        <v/>
      </c>
      <c r="AO1099" s="542" t="str">
        <f t="shared" si="480"/>
        <v/>
      </c>
      <c r="AP1099" s="543" t="str">
        <f t="shared" si="481"/>
        <v/>
      </c>
      <c r="AQ1099" s="544" t="str">
        <f t="shared" si="482"/>
        <v/>
      </c>
      <c r="AR1099" s="545">
        <f t="shared" si="483"/>
        <v>0</v>
      </c>
      <c r="AS1099" s="545">
        <f>IFERROR(CEILING($AR1099*VLOOKUP($I1099,Ref!$B$23:$E$29,4,0),1),0)</f>
        <v>0</v>
      </c>
      <c r="AT1099" s="545" t="str">
        <f>IF(A1099="","",IF(AP1099&lt;=1,"Cleared",IF(AS1099=0,"Clean",VLOOKUP($AS1099,Ref!$G$23:$H$28,2))))</f>
        <v/>
      </c>
      <c r="AU1099" s="546" t="str">
        <f t="shared" si="484"/>
        <v/>
      </c>
    </row>
    <row r="1100" spans="1:47" ht="14.25" hidden="1" customHeight="1" x14ac:dyDescent="0.15">
      <c r="A1100" s="523"/>
      <c r="B1100" s="523"/>
      <c r="C1100" s="523"/>
      <c r="D1100" s="523"/>
      <c r="E1100" s="579"/>
      <c r="F1100" s="580"/>
      <c r="G1100" s="524"/>
      <c r="H1100" s="555"/>
      <c r="I1100" s="560"/>
      <c r="J1100" s="523"/>
      <c r="K1100" s="528" t="str">
        <f>IFERROR(VLOOKUP($B1100,'Clients-Live'!$A:$C,3,0),"")</f>
        <v/>
      </c>
      <c r="L1100" s="528">
        <f>IF(E1100="STL",Pricing!$D$38,IF(A1100="",0,IF(A1100&lt;Pricing!$C$25,Pricing!$D$25,VLOOKUP(Disbursements!$F1100,Pricing!$B$29:$D$32,3))))</f>
        <v>0</v>
      </c>
      <c r="M1100" s="528">
        <f>IF(E1100="STL",0,IF(F1100&gt;0,Pricing!$D$21,0))</f>
        <v>0</v>
      </c>
      <c r="N1100" s="529">
        <f>IF(E1100="STL",F1100*Pricing!$D$40,IF(A1100&lt;=Pricing!$C$4,0,IF(AND(A1100&gt;Pricing!$C$4,Disbursements!A1100&lt;=Pricing!$C$5),F1100*Pricing!$E$5,IF(AND(A1100&gt;Pricing!$C$5,Disbursements!A1100&lt;=Pricing!$C$7),VLOOKUP(F1100,Pricing!$D$7:$E$8,2)*Disbursements!F1100,F1100*Pricing!$E$9))))</f>
        <v>0</v>
      </c>
      <c r="O1100" s="528">
        <f>IF(E1100="STL",0,IF($F1100&gt;0,$F1100*Pricing!$D$17,0))</f>
        <v>0</v>
      </c>
      <c r="P1100" s="530" t="str">
        <f t="shared" si="464"/>
        <v/>
      </c>
      <c r="Q1100" s="531" t="str">
        <f>IF($A1100="","",$G1100/VLOOKUP($I1100,Ref!$B$23:$D$29,2,0))</f>
        <v/>
      </c>
      <c r="R1100" s="530" t="str">
        <f t="shared" si="465"/>
        <v/>
      </c>
      <c r="S1100" s="532" t="str">
        <f t="shared" si="459"/>
        <v/>
      </c>
      <c r="T1100" s="531" t="str">
        <f t="shared" si="466"/>
        <v/>
      </c>
      <c r="U1100" s="533">
        <f t="shared" si="467"/>
        <v>0</v>
      </c>
      <c r="V1100" s="531" t="str">
        <f t="shared" si="468"/>
        <v/>
      </c>
      <c r="W1100" s="531" t="str">
        <f t="shared" si="469"/>
        <v/>
      </c>
      <c r="X1100" s="534" t="str">
        <f t="shared" si="470"/>
        <v/>
      </c>
      <c r="Y1100" s="535" t="str">
        <f>IF($A1100="","",IF($I1100="weekly",$A1100+7,EDATE($A1100,VLOOKUP($I1100,Ref!$B$24:$C$29,2,0))))</f>
        <v/>
      </c>
      <c r="Z1100" s="536" t="str">
        <f t="shared" si="471"/>
        <v/>
      </c>
      <c r="AA1100" s="531">
        <f t="shared" si="472"/>
        <v>0</v>
      </c>
      <c r="AB1100" s="535" t="str">
        <f t="shared" si="460"/>
        <v/>
      </c>
      <c r="AC1100" s="537" t="str">
        <f t="shared" si="461"/>
        <v/>
      </c>
      <c r="AD1100" s="538" t="str">
        <f t="shared" ca="1" si="462"/>
        <v/>
      </c>
      <c r="AE1100" s="537">
        <f t="shared" ca="1" si="463"/>
        <v>0</v>
      </c>
      <c r="AF1100" s="539" t="str">
        <f t="shared" ca="1" si="473"/>
        <v/>
      </c>
      <c r="AG1100" s="531" t="str">
        <f t="shared" ca="1" si="474"/>
        <v/>
      </c>
      <c r="AH1100" s="531" t="str">
        <f t="shared" ca="1" si="475"/>
        <v/>
      </c>
      <c r="AI1100" s="531" t="str">
        <f t="shared" ca="1" si="476"/>
        <v/>
      </c>
      <c r="AJ1100" s="531" t="str">
        <f t="shared" si="477"/>
        <v/>
      </c>
      <c r="AK1100" s="540">
        <f>SUMIFS('Live Collections'!$S:$S,'Live Collections'!$D:$D,Disbursements!B1100,'Live Collections'!$G:$G,Disbursements!C1100)</f>
        <v>0</v>
      </c>
      <c r="AL1100" s="540">
        <f>SUMIFS('Live Collections'!$T:$T,'Live Collections'!$D:$D,Disbursements!B1100,'Live Collections'!$G:$G,Disbursements!C1100)</f>
        <v>0</v>
      </c>
      <c r="AM1100" s="541">
        <f t="shared" si="478"/>
        <v>0</v>
      </c>
      <c r="AN1100" s="542" t="str">
        <f t="shared" si="479"/>
        <v/>
      </c>
      <c r="AO1100" s="542" t="str">
        <f t="shared" si="480"/>
        <v/>
      </c>
      <c r="AP1100" s="543" t="str">
        <f t="shared" si="481"/>
        <v/>
      </c>
      <c r="AQ1100" s="544" t="str">
        <f t="shared" si="482"/>
        <v/>
      </c>
      <c r="AR1100" s="545">
        <f t="shared" si="483"/>
        <v>0</v>
      </c>
      <c r="AS1100" s="545">
        <f>IFERROR(CEILING($AR1100*VLOOKUP($I1100,Ref!$B$23:$E$29,4,0),1),0)</f>
        <v>0</v>
      </c>
      <c r="AT1100" s="545" t="str">
        <f>IF(A1100="","",IF(AP1100&lt;=1,"Cleared",IF(AS1100=0,"Clean",VLOOKUP($AS1100,Ref!$G$23:$H$28,2))))</f>
        <v/>
      </c>
      <c r="AU1100" s="546" t="str">
        <f t="shared" si="484"/>
        <v/>
      </c>
    </row>
    <row r="1101" spans="1:47" ht="14.25" hidden="1" customHeight="1" x14ac:dyDescent="0.15">
      <c r="A1101" s="523"/>
      <c r="B1101" s="523"/>
      <c r="C1101" s="523"/>
      <c r="D1101" s="523"/>
      <c r="E1101" s="579"/>
      <c r="F1101" s="580"/>
      <c r="G1101" s="524"/>
      <c r="H1101" s="555"/>
      <c r="I1101" s="560"/>
      <c r="J1101" s="523"/>
      <c r="K1101" s="528" t="str">
        <f>IFERROR(VLOOKUP($B1101,'Clients-Live'!$A:$C,3,0),"")</f>
        <v/>
      </c>
      <c r="L1101" s="528">
        <f>IF(E1101="STL",Pricing!$D$38,IF(A1101="",0,IF(A1101&lt;Pricing!$C$25,Pricing!$D$25,VLOOKUP(Disbursements!$F1101,Pricing!$B$29:$D$32,3))))</f>
        <v>0</v>
      </c>
      <c r="M1101" s="528">
        <f>IF(E1101="STL",0,IF(F1101&gt;0,Pricing!$D$21,0))</f>
        <v>0</v>
      </c>
      <c r="N1101" s="529">
        <f>IF(E1101="STL",F1101*Pricing!$D$40,IF(A1101&lt;=Pricing!$C$4,0,IF(AND(A1101&gt;Pricing!$C$4,Disbursements!A1101&lt;=Pricing!$C$5),F1101*Pricing!$E$5,IF(AND(A1101&gt;Pricing!$C$5,Disbursements!A1101&lt;=Pricing!$C$7),VLOOKUP(F1101,Pricing!$D$7:$E$8,2)*Disbursements!F1101,F1101*Pricing!$E$9))))</f>
        <v>0</v>
      </c>
      <c r="O1101" s="528">
        <f>IF(E1101="STL",0,IF($F1101&gt;0,$F1101*Pricing!$D$17,0))</f>
        <v>0</v>
      </c>
      <c r="P1101" s="530" t="str">
        <f t="shared" si="464"/>
        <v/>
      </c>
      <c r="Q1101" s="531" t="str">
        <f>IF($A1101="","",$G1101/VLOOKUP($I1101,Ref!$B$23:$D$29,2,0))</f>
        <v/>
      </c>
      <c r="R1101" s="530" t="str">
        <f t="shared" si="465"/>
        <v/>
      </c>
      <c r="S1101" s="532" t="str">
        <f t="shared" si="459"/>
        <v/>
      </c>
      <c r="T1101" s="531" t="str">
        <f t="shared" si="466"/>
        <v/>
      </c>
      <c r="U1101" s="533">
        <f t="shared" si="467"/>
        <v>0</v>
      </c>
      <c r="V1101" s="531" t="str">
        <f t="shared" si="468"/>
        <v/>
      </c>
      <c r="W1101" s="531" t="str">
        <f t="shared" si="469"/>
        <v/>
      </c>
      <c r="X1101" s="534" t="str">
        <f t="shared" si="470"/>
        <v/>
      </c>
      <c r="Y1101" s="535" t="str">
        <f>IF($A1101="","",IF($I1101="weekly",$A1101+7,EDATE($A1101,VLOOKUP($I1101,Ref!$B$24:$C$29,2,0))))</f>
        <v/>
      </c>
      <c r="Z1101" s="536" t="str">
        <f t="shared" si="471"/>
        <v/>
      </c>
      <c r="AA1101" s="531">
        <f t="shared" si="472"/>
        <v>0</v>
      </c>
      <c r="AB1101" s="535" t="str">
        <f t="shared" si="460"/>
        <v/>
      </c>
      <c r="AC1101" s="537" t="str">
        <f t="shared" si="461"/>
        <v/>
      </c>
      <c r="AD1101" s="538" t="str">
        <f t="shared" ca="1" si="462"/>
        <v/>
      </c>
      <c r="AE1101" s="537">
        <f t="shared" ca="1" si="463"/>
        <v>0</v>
      </c>
      <c r="AF1101" s="539" t="str">
        <f t="shared" ca="1" si="473"/>
        <v/>
      </c>
      <c r="AG1101" s="531" t="str">
        <f t="shared" ca="1" si="474"/>
        <v/>
      </c>
      <c r="AH1101" s="531" t="str">
        <f t="shared" ca="1" si="475"/>
        <v/>
      </c>
      <c r="AI1101" s="531" t="str">
        <f t="shared" ca="1" si="476"/>
        <v/>
      </c>
      <c r="AJ1101" s="531" t="str">
        <f t="shared" si="477"/>
        <v/>
      </c>
      <c r="AK1101" s="540">
        <f>SUMIFS('Live Collections'!$S:$S,'Live Collections'!$D:$D,Disbursements!B1101,'Live Collections'!$G:$G,Disbursements!C1101)</f>
        <v>0</v>
      </c>
      <c r="AL1101" s="540">
        <f>SUMIFS('Live Collections'!$T:$T,'Live Collections'!$D:$D,Disbursements!B1101,'Live Collections'!$G:$G,Disbursements!C1101)</f>
        <v>0</v>
      </c>
      <c r="AM1101" s="541">
        <f t="shared" si="478"/>
        <v>0</v>
      </c>
      <c r="AN1101" s="542" t="str">
        <f t="shared" si="479"/>
        <v/>
      </c>
      <c r="AO1101" s="542" t="str">
        <f t="shared" si="480"/>
        <v/>
      </c>
      <c r="AP1101" s="543" t="str">
        <f t="shared" si="481"/>
        <v/>
      </c>
      <c r="AQ1101" s="544" t="str">
        <f t="shared" si="482"/>
        <v/>
      </c>
      <c r="AR1101" s="545">
        <f t="shared" si="483"/>
        <v>0</v>
      </c>
      <c r="AS1101" s="545">
        <f>IFERROR(CEILING($AR1101*VLOOKUP($I1101,Ref!$B$23:$E$29,4,0),1),0)</f>
        <v>0</v>
      </c>
      <c r="AT1101" s="545" t="str">
        <f>IF(A1101="","",IF(AP1101&lt;=1,"Cleared",IF(AS1101=0,"Clean",VLOOKUP($AS1101,Ref!$G$23:$H$28,2))))</f>
        <v/>
      </c>
      <c r="AU1101" s="546" t="str">
        <f t="shared" si="484"/>
        <v/>
      </c>
    </row>
    <row r="1102" spans="1:47" ht="14.25" hidden="1" customHeight="1" x14ac:dyDescent="0.15">
      <c r="A1102" s="523"/>
      <c r="B1102" s="523"/>
      <c r="C1102" s="523"/>
      <c r="D1102" s="523"/>
      <c r="E1102" s="579"/>
      <c r="F1102" s="580"/>
      <c r="G1102" s="524"/>
      <c r="H1102" s="555"/>
      <c r="I1102" s="560"/>
      <c r="J1102" s="523"/>
      <c r="K1102" s="528" t="str">
        <f>IFERROR(VLOOKUP($B1102,'Clients-Live'!$A:$C,3,0),"")</f>
        <v/>
      </c>
      <c r="L1102" s="528">
        <f>IF(E1102="STL",Pricing!$D$38,IF(A1102="",0,IF(A1102&lt;Pricing!$C$25,Pricing!$D$25,VLOOKUP(Disbursements!$F1102,Pricing!$B$29:$D$32,3))))</f>
        <v>0</v>
      </c>
      <c r="M1102" s="528">
        <f>IF(E1102="STL",0,IF(F1102&gt;0,Pricing!$D$21,0))</f>
        <v>0</v>
      </c>
      <c r="N1102" s="529">
        <f>IF(E1102="STL",F1102*Pricing!$D$40,IF(A1102&lt;=Pricing!$C$4,0,IF(AND(A1102&gt;Pricing!$C$4,Disbursements!A1102&lt;=Pricing!$C$5),F1102*Pricing!$E$5,IF(AND(A1102&gt;Pricing!$C$5,Disbursements!A1102&lt;=Pricing!$C$7),VLOOKUP(F1102,Pricing!$D$7:$E$8,2)*Disbursements!F1102,F1102*Pricing!$E$9))))</f>
        <v>0</v>
      </c>
      <c r="O1102" s="528">
        <f>IF(E1102="STL",0,IF($F1102&gt;0,$F1102*Pricing!$D$17,0))</f>
        <v>0</v>
      </c>
      <c r="P1102" s="530" t="str">
        <f t="shared" si="464"/>
        <v/>
      </c>
      <c r="Q1102" s="531" t="str">
        <f>IF($A1102="","",$G1102/VLOOKUP($I1102,Ref!$B$23:$D$29,2,0))</f>
        <v/>
      </c>
      <c r="R1102" s="530" t="str">
        <f t="shared" si="465"/>
        <v/>
      </c>
      <c r="S1102" s="532" t="str">
        <f t="shared" si="459"/>
        <v/>
      </c>
      <c r="T1102" s="531" t="str">
        <f t="shared" si="466"/>
        <v/>
      </c>
      <c r="U1102" s="533">
        <f t="shared" si="467"/>
        <v>0</v>
      </c>
      <c r="V1102" s="531" t="str">
        <f t="shared" si="468"/>
        <v/>
      </c>
      <c r="W1102" s="531" t="str">
        <f t="shared" si="469"/>
        <v/>
      </c>
      <c r="X1102" s="534" t="str">
        <f t="shared" si="470"/>
        <v/>
      </c>
      <c r="Y1102" s="535" t="str">
        <f>IF($A1102="","",IF($I1102="weekly",$A1102+7,EDATE($A1102,VLOOKUP($I1102,Ref!$B$24:$C$29,2,0))))</f>
        <v/>
      </c>
      <c r="Z1102" s="536" t="str">
        <f t="shared" si="471"/>
        <v/>
      </c>
      <c r="AA1102" s="531">
        <f t="shared" si="472"/>
        <v>0</v>
      </c>
      <c r="AB1102" s="535" t="str">
        <f t="shared" si="460"/>
        <v/>
      </c>
      <c r="AC1102" s="537" t="str">
        <f t="shared" si="461"/>
        <v/>
      </c>
      <c r="AD1102" s="538" t="str">
        <f t="shared" ca="1" si="462"/>
        <v/>
      </c>
      <c r="AE1102" s="537">
        <f t="shared" ca="1" si="463"/>
        <v>0</v>
      </c>
      <c r="AF1102" s="539" t="str">
        <f t="shared" ca="1" si="473"/>
        <v/>
      </c>
      <c r="AG1102" s="531" t="str">
        <f t="shared" ca="1" si="474"/>
        <v/>
      </c>
      <c r="AH1102" s="531" t="str">
        <f t="shared" ca="1" si="475"/>
        <v/>
      </c>
      <c r="AI1102" s="531" t="str">
        <f t="shared" ca="1" si="476"/>
        <v/>
      </c>
      <c r="AJ1102" s="531" t="str">
        <f t="shared" si="477"/>
        <v/>
      </c>
      <c r="AK1102" s="540">
        <f>SUMIFS('Live Collections'!$S:$S,'Live Collections'!$D:$D,Disbursements!B1102,'Live Collections'!$G:$G,Disbursements!C1102)</f>
        <v>0</v>
      </c>
      <c r="AL1102" s="540">
        <f>SUMIFS('Live Collections'!$T:$T,'Live Collections'!$D:$D,Disbursements!B1102,'Live Collections'!$G:$G,Disbursements!C1102)</f>
        <v>0</v>
      </c>
      <c r="AM1102" s="541">
        <f t="shared" si="478"/>
        <v>0</v>
      </c>
      <c r="AN1102" s="542" t="str">
        <f t="shared" si="479"/>
        <v/>
      </c>
      <c r="AO1102" s="542" t="str">
        <f t="shared" si="480"/>
        <v/>
      </c>
      <c r="AP1102" s="543" t="str">
        <f t="shared" si="481"/>
        <v/>
      </c>
      <c r="AQ1102" s="544" t="str">
        <f t="shared" si="482"/>
        <v/>
      </c>
      <c r="AR1102" s="545">
        <f t="shared" si="483"/>
        <v>0</v>
      </c>
      <c r="AS1102" s="545">
        <f>IFERROR(CEILING($AR1102*VLOOKUP($I1102,Ref!$B$23:$E$29,4,0),1),0)</f>
        <v>0</v>
      </c>
      <c r="AT1102" s="545" t="str">
        <f>IF(A1102="","",IF(AP1102&lt;=1,"Cleared",IF(AS1102=0,"Clean",VLOOKUP($AS1102,Ref!$G$23:$H$28,2))))</f>
        <v/>
      </c>
      <c r="AU1102" s="546" t="str">
        <f t="shared" si="484"/>
        <v/>
      </c>
    </row>
    <row r="1103" spans="1:47" ht="14.25" hidden="1" customHeight="1" x14ac:dyDescent="0.15">
      <c r="A1103" s="523"/>
      <c r="B1103" s="523"/>
      <c r="C1103" s="523"/>
      <c r="D1103" s="523"/>
      <c r="E1103" s="579"/>
      <c r="F1103" s="580"/>
      <c r="G1103" s="524"/>
      <c r="H1103" s="555"/>
      <c r="I1103" s="560"/>
      <c r="J1103" s="523"/>
      <c r="K1103" s="528" t="str">
        <f>IFERROR(VLOOKUP($B1103,'Clients-Live'!$A:$C,3,0),"")</f>
        <v/>
      </c>
      <c r="L1103" s="528">
        <f>IF(E1103="STL",Pricing!$D$38,IF(A1103="",0,IF(A1103&lt;Pricing!$C$25,Pricing!$D$25,VLOOKUP(Disbursements!$F1103,Pricing!$B$29:$D$32,3))))</f>
        <v>0</v>
      </c>
      <c r="M1103" s="528">
        <f>IF(E1103="STL",0,IF(F1103&gt;0,Pricing!$D$21,0))</f>
        <v>0</v>
      </c>
      <c r="N1103" s="529">
        <f>IF(E1103="STL",F1103*Pricing!$D$40,IF(A1103&lt;=Pricing!$C$4,0,IF(AND(A1103&gt;Pricing!$C$4,Disbursements!A1103&lt;=Pricing!$C$5),F1103*Pricing!$E$5,IF(AND(A1103&gt;Pricing!$C$5,Disbursements!A1103&lt;=Pricing!$C$7),VLOOKUP(F1103,Pricing!$D$7:$E$8,2)*Disbursements!F1103,F1103*Pricing!$E$9))))</f>
        <v>0</v>
      </c>
      <c r="O1103" s="528">
        <f>IF(E1103="STL",0,IF($F1103&gt;0,$F1103*Pricing!$D$17,0))</f>
        <v>0</v>
      </c>
      <c r="P1103" s="530" t="str">
        <f t="shared" si="464"/>
        <v/>
      </c>
      <c r="Q1103" s="531" t="str">
        <f>IF($A1103="","",$G1103/VLOOKUP($I1103,Ref!$B$23:$D$29,2,0))</f>
        <v/>
      </c>
      <c r="R1103" s="530" t="str">
        <f t="shared" si="465"/>
        <v/>
      </c>
      <c r="S1103" s="532" t="str">
        <f t="shared" si="459"/>
        <v/>
      </c>
      <c r="T1103" s="531" t="str">
        <f t="shared" si="466"/>
        <v/>
      </c>
      <c r="U1103" s="533">
        <f t="shared" si="467"/>
        <v>0</v>
      </c>
      <c r="V1103" s="531" t="str">
        <f t="shared" si="468"/>
        <v/>
      </c>
      <c r="W1103" s="531" t="str">
        <f t="shared" si="469"/>
        <v/>
      </c>
      <c r="X1103" s="534" t="str">
        <f t="shared" si="470"/>
        <v/>
      </c>
      <c r="Y1103" s="535" t="str">
        <f>IF($A1103="","",IF($I1103="weekly",$A1103+7,EDATE($A1103,VLOOKUP($I1103,Ref!$B$24:$C$29,2,0))))</f>
        <v/>
      </c>
      <c r="Z1103" s="536" t="str">
        <f t="shared" si="471"/>
        <v/>
      </c>
      <c r="AA1103" s="531">
        <f t="shared" si="472"/>
        <v>0</v>
      </c>
      <c r="AB1103" s="535" t="str">
        <f t="shared" si="460"/>
        <v/>
      </c>
      <c r="AC1103" s="537" t="str">
        <f t="shared" si="461"/>
        <v/>
      </c>
      <c r="AD1103" s="538" t="str">
        <f t="shared" ca="1" si="462"/>
        <v/>
      </c>
      <c r="AE1103" s="537">
        <f t="shared" ca="1" si="463"/>
        <v>0</v>
      </c>
      <c r="AF1103" s="539" t="str">
        <f t="shared" ca="1" si="473"/>
        <v/>
      </c>
      <c r="AG1103" s="531" t="str">
        <f t="shared" ca="1" si="474"/>
        <v/>
      </c>
      <c r="AH1103" s="531" t="str">
        <f t="shared" ca="1" si="475"/>
        <v/>
      </c>
      <c r="AI1103" s="531" t="str">
        <f t="shared" ca="1" si="476"/>
        <v/>
      </c>
      <c r="AJ1103" s="531" t="str">
        <f t="shared" si="477"/>
        <v/>
      </c>
      <c r="AK1103" s="540">
        <f>SUMIFS('Live Collections'!$S:$S,'Live Collections'!$D:$D,Disbursements!B1103,'Live Collections'!$G:$G,Disbursements!C1103)</f>
        <v>0</v>
      </c>
      <c r="AL1103" s="540">
        <f>SUMIFS('Live Collections'!$T:$T,'Live Collections'!$D:$D,Disbursements!B1103,'Live Collections'!$G:$G,Disbursements!C1103)</f>
        <v>0</v>
      </c>
      <c r="AM1103" s="541">
        <f t="shared" si="478"/>
        <v>0</v>
      </c>
      <c r="AN1103" s="542" t="str">
        <f t="shared" si="479"/>
        <v/>
      </c>
      <c r="AO1103" s="542" t="str">
        <f t="shared" si="480"/>
        <v/>
      </c>
      <c r="AP1103" s="543" t="str">
        <f t="shared" si="481"/>
        <v/>
      </c>
      <c r="AQ1103" s="544" t="str">
        <f t="shared" si="482"/>
        <v/>
      </c>
      <c r="AR1103" s="545">
        <f t="shared" si="483"/>
        <v>0</v>
      </c>
      <c r="AS1103" s="545">
        <f>IFERROR(CEILING($AR1103*VLOOKUP($I1103,Ref!$B$23:$E$29,4,0),1),0)</f>
        <v>0</v>
      </c>
      <c r="AT1103" s="545" t="str">
        <f>IF(A1103="","",IF(AP1103&lt;=1,"Cleared",IF(AS1103=0,"Clean",VLOOKUP($AS1103,Ref!$G$23:$H$28,2))))</f>
        <v/>
      </c>
      <c r="AU1103" s="546" t="str">
        <f t="shared" si="484"/>
        <v/>
      </c>
    </row>
    <row r="1104" spans="1:47" ht="14.25" hidden="1" customHeight="1" x14ac:dyDescent="0.15">
      <c r="A1104" s="523"/>
      <c r="B1104" s="523"/>
      <c r="C1104" s="523"/>
      <c r="D1104" s="523"/>
      <c r="E1104" s="579"/>
      <c r="F1104" s="580"/>
      <c r="G1104" s="524"/>
      <c r="H1104" s="555"/>
      <c r="I1104" s="560"/>
      <c r="J1104" s="523"/>
      <c r="K1104" s="528" t="str">
        <f>IFERROR(VLOOKUP($B1104,'Clients-Live'!$A:$C,3,0),"")</f>
        <v/>
      </c>
      <c r="L1104" s="528">
        <f>IF(E1104="STL",Pricing!$D$38,IF(A1104="",0,IF(A1104&lt;Pricing!$C$25,Pricing!$D$25,VLOOKUP(Disbursements!$F1104,Pricing!$B$29:$D$32,3))))</f>
        <v>0</v>
      </c>
      <c r="M1104" s="528">
        <f>IF(E1104="STL",0,IF(F1104&gt;0,Pricing!$D$21,0))</f>
        <v>0</v>
      </c>
      <c r="N1104" s="529">
        <f>IF(E1104="STL",F1104*Pricing!$D$40,IF(A1104&lt;=Pricing!$C$4,0,IF(AND(A1104&gt;Pricing!$C$4,Disbursements!A1104&lt;=Pricing!$C$5),F1104*Pricing!$E$5,IF(AND(A1104&gt;Pricing!$C$5,Disbursements!A1104&lt;=Pricing!$C$7),VLOOKUP(F1104,Pricing!$D$7:$E$8,2)*Disbursements!F1104,F1104*Pricing!$E$9))))</f>
        <v>0</v>
      </c>
      <c r="O1104" s="528">
        <f>IF(E1104="STL",0,IF($F1104&gt;0,$F1104*Pricing!$D$17,0))</f>
        <v>0</v>
      </c>
      <c r="P1104" s="530" t="str">
        <f t="shared" si="464"/>
        <v/>
      </c>
      <c r="Q1104" s="531" t="str">
        <f>IF($A1104="","",$G1104/VLOOKUP($I1104,Ref!$B$23:$D$29,2,0))</f>
        <v/>
      </c>
      <c r="R1104" s="530" t="str">
        <f t="shared" si="465"/>
        <v/>
      </c>
      <c r="S1104" s="532" t="str">
        <f t="shared" si="459"/>
        <v/>
      </c>
      <c r="T1104" s="531" t="str">
        <f t="shared" si="466"/>
        <v/>
      </c>
      <c r="U1104" s="533">
        <f t="shared" si="467"/>
        <v>0</v>
      </c>
      <c r="V1104" s="531" t="str">
        <f t="shared" si="468"/>
        <v/>
      </c>
      <c r="W1104" s="531" t="str">
        <f t="shared" si="469"/>
        <v/>
      </c>
      <c r="X1104" s="534" t="str">
        <f t="shared" si="470"/>
        <v/>
      </c>
      <c r="Y1104" s="535" t="str">
        <f>IF($A1104="","",IF($I1104="weekly",$A1104+7,EDATE($A1104,VLOOKUP($I1104,Ref!$B$24:$C$29,2,0))))</f>
        <v/>
      </c>
      <c r="Z1104" s="536" t="str">
        <f t="shared" si="471"/>
        <v/>
      </c>
      <c r="AA1104" s="531">
        <f t="shared" si="472"/>
        <v>0</v>
      </c>
      <c r="AB1104" s="535" t="str">
        <f t="shared" si="460"/>
        <v/>
      </c>
      <c r="AC1104" s="537" t="str">
        <f t="shared" si="461"/>
        <v/>
      </c>
      <c r="AD1104" s="538" t="str">
        <f t="shared" ca="1" si="462"/>
        <v/>
      </c>
      <c r="AE1104" s="537">
        <f t="shared" ca="1" si="463"/>
        <v>0</v>
      </c>
      <c r="AF1104" s="539" t="str">
        <f t="shared" ca="1" si="473"/>
        <v/>
      </c>
      <c r="AG1104" s="531" t="str">
        <f t="shared" ca="1" si="474"/>
        <v/>
      </c>
      <c r="AH1104" s="531" t="str">
        <f t="shared" ca="1" si="475"/>
        <v/>
      </c>
      <c r="AI1104" s="531" t="str">
        <f t="shared" ca="1" si="476"/>
        <v/>
      </c>
      <c r="AJ1104" s="531" t="str">
        <f t="shared" si="477"/>
        <v/>
      </c>
      <c r="AK1104" s="540">
        <f>SUMIFS('Live Collections'!$S:$S,'Live Collections'!$D:$D,Disbursements!B1104,'Live Collections'!$G:$G,Disbursements!C1104)</f>
        <v>0</v>
      </c>
      <c r="AL1104" s="540">
        <f>SUMIFS('Live Collections'!$T:$T,'Live Collections'!$D:$D,Disbursements!B1104,'Live Collections'!$G:$G,Disbursements!C1104)</f>
        <v>0</v>
      </c>
      <c r="AM1104" s="541">
        <f t="shared" si="478"/>
        <v>0</v>
      </c>
      <c r="AN1104" s="542" t="str">
        <f t="shared" si="479"/>
        <v/>
      </c>
      <c r="AO1104" s="542" t="str">
        <f t="shared" si="480"/>
        <v/>
      </c>
      <c r="AP1104" s="543" t="str">
        <f t="shared" si="481"/>
        <v/>
      </c>
      <c r="AQ1104" s="544" t="str">
        <f t="shared" si="482"/>
        <v/>
      </c>
      <c r="AR1104" s="545">
        <f t="shared" si="483"/>
        <v>0</v>
      </c>
      <c r="AS1104" s="545">
        <f>IFERROR(CEILING($AR1104*VLOOKUP($I1104,Ref!$B$23:$E$29,4,0),1),0)</f>
        <v>0</v>
      </c>
      <c r="AT1104" s="545" t="str">
        <f>IF(A1104="","",IF(AP1104&lt;=1,"Cleared",IF(AS1104=0,"Clean",VLOOKUP($AS1104,Ref!$G$23:$H$28,2))))</f>
        <v/>
      </c>
      <c r="AU1104" s="546" t="str">
        <f t="shared" si="484"/>
        <v/>
      </c>
    </row>
    <row r="1105" spans="1:47" ht="14.25" hidden="1" customHeight="1" x14ac:dyDescent="0.15">
      <c r="A1105" s="523"/>
      <c r="B1105" s="523"/>
      <c r="C1105" s="523"/>
      <c r="D1105" s="523"/>
      <c r="E1105" s="579"/>
      <c r="F1105" s="580"/>
      <c r="G1105" s="524"/>
      <c r="H1105" s="555"/>
      <c r="I1105" s="560"/>
      <c r="J1105" s="523"/>
      <c r="K1105" s="528" t="str">
        <f>IFERROR(VLOOKUP($B1105,'Clients-Live'!$A:$C,3,0),"")</f>
        <v/>
      </c>
      <c r="L1105" s="528">
        <f>IF(E1105="STL",Pricing!$D$38,IF(A1105="",0,IF(A1105&lt;Pricing!$C$25,Pricing!$D$25,VLOOKUP(Disbursements!$F1105,Pricing!$B$29:$D$32,3))))</f>
        <v>0</v>
      </c>
      <c r="M1105" s="528">
        <f>IF(E1105="STL",0,IF(F1105&gt;0,Pricing!$D$21,0))</f>
        <v>0</v>
      </c>
      <c r="N1105" s="529">
        <f>IF(E1105="STL",F1105*Pricing!$D$40,IF(A1105&lt;=Pricing!$C$4,0,IF(AND(A1105&gt;Pricing!$C$4,Disbursements!A1105&lt;=Pricing!$C$5),F1105*Pricing!$E$5,IF(AND(A1105&gt;Pricing!$C$5,Disbursements!A1105&lt;=Pricing!$C$7),VLOOKUP(F1105,Pricing!$D$7:$E$8,2)*Disbursements!F1105,F1105*Pricing!$E$9))))</f>
        <v>0</v>
      </c>
      <c r="O1105" s="528">
        <f>IF(E1105="STL",0,IF($F1105&gt;0,$F1105*Pricing!$D$17,0))</f>
        <v>0</v>
      </c>
      <c r="P1105" s="530" t="str">
        <f t="shared" si="464"/>
        <v/>
      </c>
      <c r="Q1105" s="531" t="str">
        <f>IF($A1105="","",$G1105/VLOOKUP($I1105,Ref!$B$23:$D$29,2,0))</f>
        <v/>
      </c>
      <c r="R1105" s="530" t="str">
        <f t="shared" si="465"/>
        <v/>
      </c>
      <c r="S1105" s="532" t="str">
        <f t="shared" si="459"/>
        <v/>
      </c>
      <c r="T1105" s="531" t="str">
        <f t="shared" si="466"/>
        <v/>
      </c>
      <c r="U1105" s="533">
        <f t="shared" si="467"/>
        <v>0</v>
      </c>
      <c r="V1105" s="531" t="str">
        <f t="shared" si="468"/>
        <v/>
      </c>
      <c r="W1105" s="531" t="str">
        <f t="shared" si="469"/>
        <v/>
      </c>
      <c r="X1105" s="534" t="str">
        <f t="shared" si="470"/>
        <v/>
      </c>
      <c r="Y1105" s="535" t="str">
        <f>IF($A1105="","",IF($I1105="weekly",$A1105+7,EDATE($A1105,VLOOKUP($I1105,Ref!$B$24:$C$29,2,0))))</f>
        <v/>
      </c>
      <c r="Z1105" s="536" t="str">
        <f t="shared" si="471"/>
        <v/>
      </c>
      <c r="AA1105" s="531">
        <f t="shared" si="472"/>
        <v>0</v>
      </c>
      <c r="AB1105" s="535" t="str">
        <f t="shared" si="460"/>
        <v/>
      </c>
      <c r="AC1105" s="537" t="str">
        <f t="shared" si="461"/>
        <v/>
      </c>
      <c r="AD1105" s="538" t="str">
        <f t="shared" ca="1" si="462"/>
        <v/>
      </c>
      <c r="AE1105" s="537">
        <f t="shared" ca="1" si="463"/>
        <v>0</v>
      </c>
      <c r="AF1105" s="539" t="str">
        <f t="shared" ca="1" si="473"/>
        <v/>
      </c>
      <c r="AG1105" s="531" t="str">
        <f t="shared" ca="1" si="474"/>
        <v/>
      </c>
      <c r="AH1105" s="531" t="str">
        <f t="shared" ca="1" si="475"/>
        <v/>
      </c>
      <c r="AI1105" s="531" t="str">
        <f t="shared" ca="1" si="476"/>
        <v/>
      </c>
      <c r="AJ1105" s="531" t="str">
        <f t="shared" si="477"/>
        <v/>
      </c>
      <c r="AK1105" s="540">
        <f>SUMIFS('Live Collections'!$S:$S,'Live Collections'!$D:$D,Disbursements!B1105,'Live Collections'!$G:$G,Disbursements!C1105)</f>
        <v>0</v>
      </c>
      <c r="AL1105" s="540">
        <f>SUMIFS('Live Collections'!$T:$T,'Live Collections'!$D:$D,Disbursements!B1105,'Live Collections'!$G:$G,Disbursements!C1105)</f>
        <v>0</v>
      </c>
      <c r="AM1105" s="541">
        <f t="shared" si="478"/>
        <v>0</v>
      </c>
      <c r="AN1105" s="542" t="str">
        <f t="shared" si="479"/>
        <v/>
      </c>
      <c r="AO1105" s="542" t="str">
        <f t="shared" si="480"/>
        <v/>
      </c>
      <c r="AP1105" s="543" t="str">
        <f t="shared" si="481"/>
        <v/>
      </c>
      <c r="AQ1105" s="544" t="str">
        <f t="shared" si="482"/>
        <v/>
      </c>
      <c r="AR1105" s="545">
        <f t="shared" si="483"/>
        <v>0</v>
      </c>
      <c r="AS1105" s="545">
        <f>IFERROR(CEILING($AR1105*VLOOKUP($I1105,Ref!$B$23:$E$29,4,0),1),0)</f>
        <v>0</v>
      </c>
      <c r="AT1105" s="545" t="str">
        <f>IF(A1105="","",IF(AP1105&lt;=1,"Cleared",IF(AS1105=0,"Clean",VLOOKUP($AS1105,Ref!$G$23:$H$28,2))))</f>
        <v/>
      </c>
      <c r="AU1105" s="546" t="str">
        <f t="shared" si="484"/>
        <v/>
      </c>
    </row>
    <row r="1106" spans="1:47" ht="14.25" hidden="1" customHeight="1" x14ac:dyDescent="0.15">
      <c r="A1106" s="523"/>
      <c r="B1106" s="523"/>
      <c r="C1106" s="523"/>
      <c r="D1106" s="523"/>
      <c r="E1106" s="579"/>
      <c r="F1106" s="580"/>
      <c r="G1106" s="524"/>
      <c r="H1106" s="555"/>
      <c r="I1106" s="560"/>
      <c r="J1106" s="523"/>
      <c r="K1106" s="528" t="str">
        <f>IFERROR(VLOOKUP($B1106,'Clients-Live'!$A:$C,3,0),"")</f>
        <v/>
      </c>
      <c r="L1106" s="528">
        <f>IF(E1106="STL",Pricing!$D$38,IF(A1106="",0,IF(A1106&lt;Pricing!$C$25,Pricing!$D$25,VLOOKUP(Disbursements!$F1106,Pricing!$B$29:$D$32,3))))</f>
        <v>0</v>
      </c>
      <c r="M1106" s="528">
        <f>IF(E1106="STL",0,IF(F1106&gt;0,Pricing!$D$21,0))</f>
        <v>0</v>
      </c>
      <c r="N1106" s="529">
        <f>IF(E1106="STL",F1106*Pricing!$D$40,IF(A1106&lt;=Pricing!$C$4,0,IF(AND(A1106&gt;Pricing!$C$4,Disbursements!A1106&lt;=Pricing!$C$5),F1106*Pricing!$E$5,IF(AND(A1106&gt;Pricing!$C$5,Disbursements!A1106&lt;=Pricing!$C$7),VLOOKUP(F1106,Pricing!$D$7:$E$8,2)*Disbursements!F1106,F1106*Pricing!$E$9))))</f>
        <v>0</v>
      </c>
      <c r="O1106" s="528">
        <f>IF(E1106="STL",0,IF($F1106&gt;0,$F1106*Pricing!$D$17,0))</f>
        <v>0</v>
      </c>
      <c r="P1106" s="530" t="str">
        <f t="shared" si="464"/>
        <v/>
      </c>
      <c r="Q1106" s="531" t="str">
        <f>IF($A1106="","",$G1106/VLOOKUP($I1106,Ref!$B$23:$D$29,2,0))</f>
        <v/>
      </c>
      <c r="R1106" s="530" t="str">
        <f t="shared" si="465"/>
        <v/>
      </c>
      <c r="S1106" s="532" t="str">
        <f t="shared" si="459"/>
        <v/>
      </c>
      <c r="T1106" s="531" t="str">
        <f t="shared" si="466"/>
        <v/>
      </c>
      <c r="U1106" s="533">
        <f t="shared" si="467"/>
        <v>0</v>
      </c>
      <c r="V1106" s="531" t="str">
        <f t="shared" si="468"/>
        <v/>
      </c>
      <c r="W1106" s="531" t="str">
        <f t="shared" si="469"/>
        <v/>
      </c>
      <c r="X1106" s="534" t="str">
        <f t="shared" si="470"/>
        <v/>
      </c>
      <c r="Y1106" s="535" t="str">
        <f>IF($A1106="","",IF($I1106="weekly",$A1106+7,EDATE($A1106,VLOOKUP($I1106,Ref!$B$24:$C$29,2,0))))</f>
        <v/>
      </c>
      <c r="Z1106" s="536" t="str">
        <f t="shared" si="471"/>
        <v/>
      </c>
      <c r="AA1106" s="531">
        <f t="shared" si="472"/>
        <v>0</v>
      </c>
      <c r="AB1106" s="535" t="str">
        <f t="shared" si="460"/>
        <v/>
      </c>
      <c r="AC1106" s="537" t="str">
        <f t="shared" si="461"/>
        <v/>
      </c>
      <c r="AD1106" s="538" t="str">
        <f t="shared" ca="1" si="462"/>
        <v/>
      </c>
      <c r="AE1106" s="537">
        <f t="shared" ca="1" si="463"/>
        <v>0</v>
      </c>
      <c r="AF1106" s="539" t="str">
        <f t="shared" ca="1" si="473"/>
        <v/>
      </c>
      <c r="AG1106" s="531" t="str">
        <f t="shared" ca="1" si="474"/>
        <v/>
      </c>
      <c r="AH1106" s="531" t="str">
        <f t="shared" ca="1" si="475"/>
        <v/>
      </c>
      <c r="AI1106" s="531" t="str">
        <f t="shared" ca="1" si="476"/>
        <v/>
      </c>
      <c r="AJ1106" s="531" t="str">
        <f t="shared" si="477"/>
        <v/>
      </c>
      <c r="AK1106" s="540">
        <f>SUMIFS('Live Collections'!$S:$S,'Live Collections'!$D:$D,Disbursements!B1106,'Live Collections'!$G:$G,Disbursements!C1106)</f>
        <v>0</v>
      </c>
      <c r="AL1106" s="540">
        <f>SUMIFS('Live Collections'!$T:$T,'Live Collections'!$D:$D,Disbursements!B1106,'Live Collections'!$G:$G,Disbursements!C1106)</f>
        <v>0</v>
      </c>
      <c r="AM1106" s="541">
        <f t="shared" si="478"/>
        <v>0</v>
      </c>
      <c r="AN1106" s="542" t="str">
        <f t="shared" si="479"/>
        <v/>
      </c>
      <c r="AO1106" s="542" t="str">
        <f t="shared" si="480"/>
        <v/>
      </c>
      <c r="AP1106" s="543" t="str">
        <f t="shared" si="481"/>
        <v/>
      </c>
      <c r="AQ1106" s="544" t="str">
        <f t="shared" si="482"/>
        <v/>
      </c>
      <c r="AR1106" s="545">
        <f t="shared" si="483"/>
        <v>0</v>
      </c>
      <c r="AS1106" s="545">
        <f>IFERROR(CEILING($AR1106*VLOOKUP($I1106,Ref!$B$23:$E$29,4,0),1),0)</f>
        <v>0</v>
      </c>
      <c r="AT1106" s="545" t="str">
        <f>IF(A1106="","",IF(AP1106&lt;=1,"Cleared",IF(AS1106=0,"Clean",VLOOKUP($AS1106,Ref!$G$23:$H$28,2))))</f>
        <v/>
      </c>
      <c r="AU1106" s="546" t="str">
        <f t="shared" si="484"/>
        <v/>
      </c>
    </row>
    <row r="1107" spans="1:47" ht="14.25" hidden="1" customHeight="1" x14ac:dyDescent="0.15">
      <c r="A1107" s="523"/>
      <c r="B1107" s="523"/>
      <c r="C1107" s="523"/>
      <c r="D1107" s="523"/>
      <c r="E1107" s="579"/>
      <c r="F1107" s="580"/>
      <c r="G1107" s="524"/>
      <c r="H1107" s="555"/>
      <c r="I1107" s="560"/>
      <c r="J1107" s="523"/>
      <c r="K1107" s="528" t="str">
        <f>IFERROR(VLOOKUP($B1107,'Clients-Live'!$A:$C,3,0),"")</f>
        <v/>
      </c>
      <c r="L1107" s="528">
        <f>IF(E1107="STL",Pricing!$D$38,IF(A1107="",0,IF(A1107&lt;Pricing!$C$25,Pricing!$D$25,VLOOKUP(Disbursements!$F1107,Pricing!$B$29:$D$32,3))))</f>
        <v>0</v>
      </c>
      <c r="M1107" s="528">
        <f>IF(E1107="STL",0,IF(F1107&gt;0,Pricing!$D$21,0))</f>
        <v>0</v>
      </c>
      <c r="N1107" s="529">
        <f>IF(E1107="STL",F1107*Pricing!$D$40,IF(A1107&lt;=Pricing!$C$4,0,IF(AND(A1107&gt;Pricing!$C$4,Disbursements!A1107&lt;=Pricing!$C$5),F1107*Pricing!$E$5,IF(AND(A1107&gt;Pricing!$C$5,Disbursements!A1107&lt;=Pricing!$C$7),VLOOKUP(F1107,Pricing!$D$7:$E$8,2)*Disbursements!F1107,F1107*Pricing!$E$9))))</f>
        <v>0</v>
      </c>
      <c r="O1107" s="528">
        <f>IF(E1107="STL",0,IF($F1107&gt;0,$F1107*Pricing!$D$17,0))</f>
        <v>0</v>
      </c>
      <c r="P1107" s="530" t="str">
        <f t="shared" si="464"/>
        <v/>
      </c>
      <c r="Q1107" s="531" t="str">
        <f>IF($A1107="","",$G1107/VLOOKUP($I1107,Ref!$B$23:$D$29,2,0))</f>
        <v/>
      </c>
      <c r="R1107" s="530" t="str">
        <f t="shared" si="465"/>
        <v/>
      </c>
      <c r="S1107" s="532" t="str">
        <f t="shared" si="459"/>
        <v/>
      </c>
      <c r="T1107" s="531" t="str">
        <f t="shared" si="466"/>
        <v/>
      </c>
      <c r="U1107" s="533">
        <f t="shared" si="467"/>
        <v>0</v>
      </c>
      <c r="V1107" s="531" t="str">
        <f t="shared" si="468"/>
        <v/>
      </c>
      <c r="W1107" s="531" t="str">
        <f t="shared" si="469"/>
        <v/>
      </c>
      <c r="X1107" s="534" t="str">
        <f t="shared" si="470"/>
        <v/>
      </c>
      <c r="Y1107" s="535" t="str">
        <f>IF($A1107="","",IF($I1107="weekly",$A1107+7,EDATE($A1107,VLOOKUP($I1107,Ref!$B$24:$C$29,2,0))))</f>
        <v/>
      </c>
      <c r="Z1107" s="536" t="str">
        <f t="shared" si="471"/>
        <v/>
      </c>
      <c r="AA1107" s="531">
        <f t="shared" si="472"/>
        <v>0</v>
      </c>
      <c r="AB1107" s="535" t="str">
        <f t="shared" si="460"/>
        <v/>
      </c>
      <c r="AC1107" s="537" t="str">
        <f t="shared" si="461"/>
        <v/>
      </c>
      <c r="AD1107" s="538" t="str">
        <f t="shared" ca="1" si="462"/>
        <v/>
      </c>
      <c r="AE1107" s="537">
        <f t="shared" ca="1" si="463"/>
        <v>0</v>
      </c>
      <c r="AF1107" s="539" t="str">
        <f t="shared" ca="1" si="473"/>
        <v/>
      </c>
      <c r="AG1107" s="531" t="str">
        <f t="shared" ca="1" si="474"/>
        <v/>
      </c>
      <c r="AH1107" s="531" t="str">
        <f t="shared" ca="1" si="475"/>
        <v/>
      </c>
      <c r="AI1107" s="531" t="str">
        <f t="shared" ca="1" si="476"/>
        <v/>
      </c>
      <c r="AJ1107" s="531" t="str">
        <f t="shared" si="477"/>
        <v/>
      </c>
      <c r="AK1107" s="540">
        <f>SUMIFS('Live Collections'!$S:$S,'Live Collections'!$D:$D,Disbursements!B1107,'Live Collections'!$G:$G,Disbursements!C1107)</f>
        <v>0</v>
      </c>
      <c r="AL1107" s="540">
        <f>SUMIFS('Live Collections'!$T:$T,'Live Collections'!$D:$D,Disbursements!B1107,'Live Collections'!$G:$G,Disbursements!C1107)</f>
        <v>0</v>
      </c>
      <c r="AM1107" s="541">
        <f t="shared" si="478"/>
        <v>0</v>
      </c>
      <c r="AN1107" s="542" t="str">
        <f t="shared" si="479"/>
        <v/>
      </c>
      <c r="AO1107" s="542" t="str">
        <f t="shared" si="480"/>
        <v/>
      </c>
      <c r="AP1107" s="543" t="str">
        <f t="shared" si="481"/>
        <v/>
      </c>
      <c r="AQ1107" s="544" t="str">
        <f t="shared" si="482"/>
        <v/>
      </c>
      <c r="AR1107" s="545">
        <f t="shared" si="483"/>
        <v>0</v>
      </c>
      <c r="AS1107" s="545">
        <f>IFERROR(CEILING($AR1107*VLOOKUP($I1107,Ref!$B$23:$E$29,4,0),1),0)</f>
        <v>0</v>
      </c>
      <c r="AT1107" s="545" t="str">
        <f>IF(A1107="","",IF(AP1107&lt;=1,"Cleared",IF(AS1107=0,"Clean",VLOOKUP($AS1107,Ref!$G$23:$H$28,2))))</f>
        <v/>
      </c>
      <c r="AU1107" s="546" t="str">
        <f t="shared" si="484"/>
        <v/>
      </c>
    </row>
    <row r="1108" spans="1:47" ht="14.25" hidden="1" customHeight="1" x14ac:dyDescent="0.15">
      <c r="A1108" s="523"/>
      <c r="B1108" s="523"/>
      <c r="C1108" s="523"/>
      <c r="D1108" s="523"/>
      <c r="E1108" s="579"/>
      <c r="F1108" s="580"/>
      <c r="G1108" s="524"/>
      <c r="H1108" s="555"/>
      <c r="I1108" s="560"/>
      <c r="J1108" s="523"/>
      <c r="K1108" s="528" t="str">
        <f>IFERROR(VLOOKUP($B1108,'Clients-Live'!$A:$C,3,0),"")</f>
        <v/>
      </c>
      <c r="L1108" s="528">
        <f>IF(E1108="STL",Pricing!$D$38,IF(A1108="",0,IF(A1108&lt;Pricing!$C$25,Pricing!$D$25,VLOOKUP(Disbursements!$F1108,Pricing!$B$29:$D$32,3))))</f>
        <v>0</v>
      </c>
      <c r="M1108" s="528">
        <f>IF(E1108="STL",0,IF(F1108&gt;0,Pricing!$D$21,0))</f>
        <v>0</v>
      </c>
      <c r="N1108" s="529">
        <f>IF(E1108="STL",F1108*Pricing!$D$40,IF(A1108&lt;=Pricing!$C$4,0,IF(AND(A1108&gt;Pricing!$C$4,Disbursements!A1108&lt;=Pricing!$C$5),F1108*Pricing!$E$5,IF(AND(A1108&gt;Pricing!$C$5,Disbursements!A1108&lt;=Pricing!$C$7),VLOOKUP(F1108,Pricing!$D$7:$E$8,2)*Disbursements!F1108,F1108*Pricing!$E$9))))</f>
        <v>0</v>
      </c>
      <c r="O1108" s="528">
        <f>IF(E1108="STL",0,IF($F1108&gt;0,$F1108*Pricing!$D$17,0))</f>
        <v>0</v>
      </c>
      <c r="P1108" s="530" t="str">
        <f t="shared" si="464"/>
        <v/>
      </c>
      <c r="Q1108" s="531" t="str">
        <f>IF($A1108="","",$G1108/VLOOKUP($I1108,Ref!$B$23:$D$29,2,0))</f>
        <v/>
      </c>
      <c r="R1108" s="530" t="str">
        <f t="shared" si="465"/>
        <v/>
      </c>
      <c r="S1108" s="532" t="str">
        <f t="shared" si="459"/>
        <v/>
      </c>
      <c r="T1108" s="531" t="str">
        <f t="shared" si="466"/>
        <v/>
      </c>
      <c r="U1108" s="533">
        <f t="shared" si="467"/>
        <v>0</v>
      </c>
      <c r="V1108" s="531" t="str">
        <f t="shared" si="468"/>
        <v/>
      </c>
      <c r="W1108" s="531" t="str">
        <f t="shared" si="469"/>
        <v/>
      </c>
      <c r="X1108" s="534" t="str">
        <f t="shared" si="470"/>
        <v/>
      </c>
      <c r="Y1108" s="535" t="str">
        <f>IF($A1108="","",IF($I1108="weekly",$A1108+7,EDATE($A1108,VLOOKUP($I1108,Ref!$B$24:$C$29,2,0))))</f>
        <v/>
      </c>
      <c r="Z1108" s="536" t="str">
        <f t="shared" si="471"/>
        <v/>
      </c>
      <c r="AA1108" s="531">
        <f t="shared" si="472"/>
        <v>0</v>
      </c>
      <c r="AB1108" s="535" t="str">
        <f t="shared" si="460"/>
        <v/>
      </c>
      <c r="AC1108" s="537" t="str">
        <f t="shared" si="461"/>
        <v/>
      </c>
      <c r="AD1108" s="538" t="str">
        <f t="shared" ca="1" si="462"/>
        <v/>
      </c>
      <c r="AE1108" s="537">
        <f t="shared" ca="1" si="463"/>
        <v>0</v>
      </c>
      <c r="AF1108" s="539" t="str">
        <f t="shared" ca="1" si="473"/>
        <v/>
      </c>
      <c r="AG1108" s="531" t="str">
        <f t="shared" ca="1" si="474"/>
        <v/>
      </c>
      <c r="AH1108" s="531" t="str">
        <f t="shared" ca="1" si="475"/>
        <v/>
      </c>
      <c r="AI1108" s="531" t="str">
        <f t="shared" ca="1" si="476"/>
        <v/>
      </c>
      <c r="AJ1108" s="531" t="str">
        <f t="shared" si="477"/>
        <v/>
      </c>
      <c r="AK1108" s="540">
        <f>SUMIFS('Live Collections'!$S:$S,'Live Collections'!$D:$D,Disbursements!B1108,'Live Collections'!$G:$G,Disbursements!C1108)</f>
        <v>0</v>
      </c>
      <c r="AL1108" s="540">
        <f>SUMIFS('Live Collections'!$T:$T,'Live Collections'!$D:$D,Disbursements!B1108,'Live Collections'!$G:$G,Disbursements!C1108)</f>
        <v>0</v>
      </c>
      <c r="AM1108" s="541">
        <f t="shared" si="478"/>
        <v>0</v>
      </c>
      <c r="AN1108" s="542" t="str">
        <f t="shared" si="479"/>
        <v/>
      </c>
      <c r="AO1108" s="542" t="str">
        <f t="shared" si="480"/>
        <v/>
      </c>
      <c r="AP1108" s="543" t="str">
        <f t="shared" si="481"/>
        <v/>
      </c>
      <c r="AQ1108" s="544" t="str">
        <f t="shared" si="482"/>
        <v/>
      </c>
      <c r="AR1108" s="545">
        <f t="shared" si="483"/>
        <v>0</v>
      </c>
      <c r="AS1108" s="545">
        <f>IFERROR(CEILING($AR1108*VLOOKUP($I1108,Ref!$B$23:$E$29,4,0),1),0)</f>
        <v>0</v>
      </c>
      <c r="AT1108" s="545" t="str">
        <f>IF(A1108="","",IF(AP1108&lt;=1,"Cleared",IF(AS1108=0,"Clean",VLOOKUP($AS1108,Ref!$G$23:$H$28,2))))</f>
        <v/>
      </c>
      <c r="AU1108" s="546" t="str">
        <f t="shared" si="484"/>
        <v/>
      </c>
    </row>
    <row r="1109" spans="1:47" ht="14.25" hidden="1" customHeight="1" x14ac:dyDescent="0.15">
      <c r="A1109" s="523"/>
      <c r="B1109" s="523"/>
      <c r="C1109" s="523"/>
      <c r="D1109" s="523"/>
      <c r="E1109" s="579"/>
      <c r="F1109" s="580"/>
      <c r="G1109" s="524"/>
      <c r="H1109" s="555"/>
      <c r="I1109" s="560"/>
      <c r="J1109" s="523"/>
      <c r="K1109" s="528" t="str">
        <f>IFERROR(VLOOKUP($B1109,'Clients-Live'!$A:$C,3,0),"")</f>
        <v/>
      </c>
      <c r="L1109" s="528">
        <f>IF(E1109="STL",Pricing!$D$38,IF(A1109="",0,IF(A1109&lt;Pricing!$C$25,Pricing!$D$25,VLOOKUP(Disbursements!$F1109,Pricing!$B$29:$D$32,3))))</f>
        <v>0</v>
      </c>
      <c r="M1109" s="528">
        <f>IF(E1109="STL",0,IF(F1109&gt;0,Pricing!$D$21,0))</f>
        <v>0</v>
      </c>
      <c r="N1109" s="529">
        <f>IF(E1109="STL",F1109*Pricing!$D$40,IF(A1109&lt;=Pricing!$C$4,0,IF(AND(A1109&gt;Pricing!$C$4,Disbursements!A1109&lt;=Pricing!$C$5),F1109*Pricing!$E$5,IF(AND(A1109&gt;Pricing!$C$5,Disbursements!A1109&lt;=Pricing!$C$7),VLOOKUP(F1109,Pricing!$D$7:$E$8,2)*Disbursements!F1109,F1109*Pricing!$E$9))))</f>
        <v>0</v>
      </c>
      <c r="O1109" s="528">
        <f>IF(E1109="STL",0,IF($F1109&gt;0,$F1109*Pricing!$D$17,0))</f>
        <v>0</v>
      </c>
      <c r="P1109" s="530" t="str">
        <f t="shared" si="464"/>
        <v/>
      </c>
      <c r="Q1109" s="531" t="str">
        <f>IF($A1109="","",$G1109/VLOOKUP($I1109,Ref!$B$23:$D$29,2,0))</f>
        <v/>
      </c>
      <c r="R1109" s="530" t="str">
        <f t="shared" si="465"/>
        <v/>
      </c>
      <c r="S1109" s="532" t="str">
        <f t="shared" si="459"/>
        <v/>
      </c>
      <c r="T1109" s="531" t="str">
        <f t="shared" si="466"/>
        <v/>
      </c>
      <c r="U1109" s="533">
        <f t="shared" si="467"/>
        <v>0</v>
      </c>
      <c r="V1109" s="531" t="str">
        <f t="shared" si="468"/>
        <v/>
      </c>
      <c r="W1109" s="531" t="str">
        <f t="shared" si="469"/>
        <v/>
      </c>
      <c r="X1109" s="534" t="str">
        <f t="shared" si="470"/>
        <v/>
      </c>
      <c r="Y1109" s="535" t="str">
        <f>IF($A1109="","",IF($I1109="weekly",$A1109+7,EDATE($A1109,VLOOKUP($I1109,Ref!$B$24:$C$29,2,0))))</f>
        <v/>
      </c>
      <c r="Z1109" s="536" t="str">
        <f t="shared" si="471"/>
        <v/>
      </c>
      <c r="AA1109" s="531">
        <f t="shared" si="472"/>
        <v>0</v>
      </c>
      <c r="AB1109" s="535" t="str">
        <f t="shared" si="460"/>
        <v/>
      </c>
      <c r="AC1109" s="537" t="str">
        <f t="shared" si="461"/>
        <v/>
      </c>
      <c r="AD1109" s="538" t="str">
        <f t="shared" ca="1" si="462"/>
        <v/>
      </c>
      <c r="AE1109" s="537">
        <f t="shared" ca="1" si="463"/>
        <v>0</v>
      </c>
      <c r="AF1109" s="539" t="str">
        <f t="shared" ca="1" si="473"/>
        <v/>
      </c>
      <c r="AG1109" s="531" t="str">
        <f t="shared" ca="1" si="474"/>
        <v/>
      </c>
      <c r="AH1109" s="531" t="str">
        <f t="shared" ca="1" si="475"/>
        <v/>
      </c>
      <c r="AI1109" s="531" t="str">
        <f t="shared" ca="1" si="476"/>
        <v/>
      </c>
      <c r="AJ1109" s="531" t="str">
        <f t="shared" si="477"/>
        <v/>
      </c>
      <c r="AK1109" s="540">
        <f>SUMIFS('Live Collections'!$S:$S,'Live Collections'!$D:$D,Disbursements!B1109,'Live Collections'!$G:$G,Disbursements!C1109)</f>
        <v>0</v>
      </c>
      <c r="AL1109" s="540">
        <f>SUMIFS('Live Collections'!$T:$T,'Live Collections'!$D:$D,Disbursements!B1109,'Live Collections'!$G:$G,Disbursements!C1109)</f>
        <v>0</v>
      </c>
      <c r="AM1109" s="541">
        <f t="shared" si="478"/>
        <v>0</v>
      </c>
      <c r="AN1109" s="542" t="str">
        <f t="shared" si="479"/>
        <v/>
      </c>
      <c r="AO1109" s="542" t="str">
        <f t="shared" si="480"/>
        <v/>
      </c>
      <c r="AP1109" s="543" t="str">
        <f t="shared" si="481"/>
        <v/>
      </c>
      <c r="AQ1109" s="544" t="str">
        <f t="shared" si="482"/>
        <v/>
      </c>
      <c r="AR1109" s="545">
        <f t="shared" si="483"/>
        <v>0</v>
      </c>
      <c r="AS1109" s="545">
        <f>IFERROR(CEILING($AR1109*VLOOKUP($I1109,Ref!$B$23:$E$29,4,0),1),0)</f>
        <v>0</v>
      </c>
      <c r="AT1109" s="545" t="str">
        <f>IF(A1109="","",IF(AP1109&lt;=1,"Cleared",IF(AS1109=0,"Clean",VLOOKUP($AS1109,Ref!$G$23:$H$28,2))))</f>
        <v/>
      </c>
      <c r="AU1109" s="546" t="str">
        <f t="shared" si="484"/>
        <v/>
      </c>
    </row>
    <row r="1110" spans="1:47" ht="14.25" hidden="1" customHeight="1" x14ac:dyDescent="0.15">
      <c r="A1110" s="523"/>
      <c r="B1110" s="523"/>
      <c r="C1110" s="523"/>
      <c r="D1110" s="523"/>
      <c r="E1110" s="579"/>
      <c r="F1110" s="580"/>
      <c r="G1110" s="524"/>
      <c r="H1110" s="555"/>
      <c r="I1110" s="560"/>
      <c r="J1110" s="523"/>
      <c r="K1110" s="528" t="str">
        <f>IFERROR(VLOOKUP($B1110,'Clients-Live'!$A:$C,3,0),"")</f>
        <v/>
      </c>
      <c r="L1110" s="528">
        <f>IF(E1110="STL",Pricing!$D$38,IF(A1110="",0,IF(A1110&lt;Pricing!$C$25,Pricing!$D$25,VLOOKUP(Disbursements!$F1110,Pricing!$B$29:$D$32,3))))</f>
        <v>0</v>
      </c>
      <c r="M1110" s="528">
        <f>IF(E1110="STL",0,IF(F1110&gt;0,Pricing!$D$21,0))</f>
        <v>0</v>
      </c>
      <c r="N1110" s="529">
        <f>IF(E1110="STL",F1110*Pricing!$D$40,IF(A1110&lt;=Pricing!$C$4,0,IF(AND(A1110&gt;Pricing!$C$4,Disbursements!A1110&lt;=Pricing!$C$5),F1110*Pricing!$E$5,IF(AND(A1110&gt;Pricing!$C$5,Disbursements!A1110&lt;=Pricing!$C$7),VLOOKUP(F1110,Pricing!$D$7:$E$8,2)*Disbursements!F1110,F1110*Pricing!$E$9))))</f>
        <v>0</v>
      </c>
      <c r="O1110" s="528">
        <f>IF(E1110="STL",0,IF($F1110&gt;0,$F1110*Pricing!$D$17,0))</f>
        <v>0</v>
      </c>
      <c r="P1110" s="530" t="str">
        <f t="shared" si="464"/>
        <v/>
      </c>
      <c r="Q1110" s="531" t="str">
        <f>IF($A1110="","",$G1110/VLOOKUP($I1110,Ref!$B$23:$D$29,2,0))</f>
        <v/>
      </c>
      <c r="R1110" s="530" t="str">
        <f t="shared" si="465"/>
        <v/>
      </c>
      <c r="S1110" s="532" t="str">
        <f t="shared" si="459"/>
        <v/>
      </c>
      <c r="T1110" s="531" t="str">
        <f t="shared" si="466"/>
        <v/>
      </c>
      <c r="U1110" s="533">
        <f t="shared" si="467"/>
        <v>0</v>
      </c>
      <c r="V1110" s="531" t="str">
        <f t="shared" si="468"/>
        <v/>
      </c>
      <c r="W1110" s="531" t="str">
        <f t="shared" si="469"/>
        <v/>
      </c>
      <c r="X1110" s="534" t="str">
        <f t="shared" si="470"/>
        <v/>
      </c>
      <c r="Y1110" s="535" t="str">
        <f>IF($A1110="","",IF($I1110="weekly",$A1110+7,EDATE($A1110,VLOOKUP($I1110,Ref!$B$24:$C$29,2,0))))</f>
        <v/>
      </c>
      <c r="Z1110" s="536" t="str">
        <f t="shared" si="471"/>
        <v/>
      </c>
      <c r="AA1110" s="531">
        <f t="shared" si="472"/>
        <v>0</v>
      </c>
      <c r="AB1110" s="535" t="str">
        <f t="shared" si="460"/>
        <v/>
      </c>
      <c r="AC1110" s="537" t="str">
        <f t="shared" si="461"/>
        <v/>
      </c>
      <c r="AD1110" s="538" t="str">
        <f t="shared" ca="1" si="462"/>
        <v/>
      </c>
      <c r="AE1110" s="537">
        <f t="shared" ca="1" si="463"/>
        <v>0</v>
      </c>
      <c r="AF1110" s="539" t="str">
        <f t="shared" ca="1" si="473"/>
        <v/>
      </c>
      <c r="AG1110" s="531" t="str">
        <f t="shared" ca="1" si="474"/>
        <v/>
      </c>
      <c r="AH1110" s="531" t="str">
        <f t="shared" ca="1" si="475"/>
        <v/>
      </c>
      <c r="AI1110" s="531" t="str">
        <f t="shared" ca="1" si="476"/>
        <v/>
      </c>
      <c r="AJ1110" s="531" t="str">
        <f t="shared" si="477"/>
        <v/>
      </c>
      <c r="AK1110" s="540">
        <f>SUMIFS('Live Collections'!$S:$S,'Live Collections'!$D:$D,Disbursements!B1110,'Live Collections'!$G:$G,Disbursements!C1110)</f>
        <v>0</v>
      </c>
      <c r="AL1110" s="540">
        <f>SUMIFS('Live Collections'!$T:$T,'Live Collections'!$D:$D,Disbursements!B1110,'Live Collections'!$G:$G,Disbursements!C1110)</f>
        <v>0</v>
      </c>
      <c r="AM1110" s="541">
        <f t="shared" si="478"/>
        <v>0</v>
      </c>
      <c r="AN1110" s="542" t="str">
        <f t="shared" si="479"/>
        <v/>
      </c>
      <c r="AO1110" s="542" t="str">
        <f t="shared" si="480"/>
        <v/>
      </c>
      <c r="AP1110" s="543" t="str">
        <f t="shared" si="481"/>
        <v/>
      </c>
      <c r="AQ1110" s="544" t="str">
        <f t="shared" si="482"/>
        <v/>
      </c>
      <c r="AR1110" s="545">
        <f t="shared" si="483"/>
        <v>0</v>
      </c>
      <c r="AS1110" s="545">
        <f>IFERROR(CEILING($AR1110*VLOOKUP($I1110,Ref!$B$23:$E$29,4,0),1),0)</f>
        <v>0</v>
      </c>
      <c r="AT1110" s="545" t="str">
        <f>IF(A1110="","",IF(AP1110&lt;=1,"Cleared",IF(AS1110=0,"Clean",VLOOKUP($AS1110,Ref!$G$23:$H$28,2))))</f>
        <v/>
      </c>
      <c r="AU1110" s="546" t="str">
        <f t="shared" si="484"/>
        <v/>
      </c>
    </row>
    <row r="1111" spans="1:47" ht="14.25" hidden="1" customHeight="1" x14ac:dyDescent="0.15">
      <c r="A1111" s="523"/>
      <c r="B1111" s="523"/>
      <c r="C1111" s="523"/>
      <c r="D1111" s="523"/>
      <c r="E1111" s="579"/>
      <c r="F1111" s="580"/>
      <c r="G1111" s="524"/>
      <c r="H1111" s="555"/>
      <c r="I1111" s="560"/>
      <c r="J1111" s="523"/>
      <c r="K1111" s="528" t="str">
        <f>IFERROR(VLOOKUP($B1111,'Clients-Live'!$A:$C,3,0),"")</f>
        <v/>
      </c>
      <c r="L1111" s="528">
        <f>IF(E1111="STL",Pricing!$D$38,IF(A1111="",0,IF(A1111&lt;Pricing!$C$25,Pricing!$D$25,VLOOKUP(Disbursements!$F1111,Pricing!$B$29:$D$32,3))))</f>
        <v>0</v>
      </c>
      <c r="M1111" s="528">
        <f>IF(E1111="STL",0,IF(F1111&gt;0,Pricing!$D$21,0))</f>
        <v>0</v>
      </c>
      <c r="N1111" s="529">
        <f>IF(E1111="STL",F1111*Pricing!$D$40,IF(A1111&lt;=Pricing!$C$4,0,IF(AND(A1111&gt;Pricing!$C$4,Disbursements!A1111&lt;=Pricing!$C$5),F1111*Pricing!$E$5,IF(AND(A1111&gt;Pricing!$C$5,Disbursements!A1111&lt;=Pricing!$C$7),VLOOKUP(F1111,Pricing!$D$7:$E$8,2)*Disbursements!F1111,F1111*Pricing!$E$9))))</f>
        <v>0</v>
      </c>
      <c r="O1111" s="528">
        <f>IF(E1111="STL",0,IF($F1111&gt;0,$F1111*Pricing!$D$17,0))</f>
        <v>0</v>
      </c>
      <c r="P1111" s="530" t="str">
        <f t="shared" si="464"/>
        <v/>
      </c>
      <c r="Q1111" s="531" t="str">
        <f>IF($A1111="","",$G1111/VLOOKUP($I1111,Ref!$B$23:$D$29,2,0))</f>
        <v/>
      </c>
      <c r="R1111" s="530" t="str">
        <f t="shared" si="465"/>
        <v/>
      </c>
      <c r="S1111" s="532" t="str">
        <f t="shared" si="459"/>
        <v/>
      </c>
      <c r="T1111" s="531" t="str">
        <f t="shared" si="466"/>
        <v/>
      </c>
      <c r="U1111" s="533">
        <f t="shared" si="467"/>
        <v>0</v>
      </c>
      <c r="V1111" s="531" t="str">
        <f t="shared" si="468"/>
        <v/>
      </c>
      <c r="W1111" s="531" t="str">
        <f t="shared" si="469"/>
        <v/>
      </c>
      <c r="X1111" s="534" t="str">
        <f t="shared" si="470"/>
        <v/>
      </c>
      <c r="Y1111" s="535" t="str">
        <f>IF($A1111="","",IF($I1111="weekly",$A1111+7,EDATE($A1111,VLOOKUP($I1111,Ref!$B$24:$C$29,2,0))))</f>
        <v/>
      </c>
      <c r="Z1111" s="536" t="str">
        <f t="shared" si="471"/>
        <v/>
      </c>
      <c r="AA1111" s="531">
        <f t="shared" si="472"/>
        <v>0</v>
      </c>
      <c r="AB1111" s="535" t="str">
        <f t="shared" si="460"/>
        <v/>
      </c>
      <c r="AC1111" s="537" t="str">
        <f t="shared" si="461"/>
        <v/>
      </c>
      <c r="AD1111" s="538" t="str">
        <f t="shared" ca="1" si="462"/>
        <v/>
      </c>
      <c r="AE1111" s="537">
        <f t="shared" ca="1" si="463"/>
        <v>0</v>
      </c>
      <c r="AF1111" s="539" t="str">
        <f t="shared" ca="1" si="473"/>
        <v/>
      </c>
      <c r="AG1111" s="531" t="str">
        <f t="shared" ca="1" si="474"/>
        <v/>
      </c>
      <c r="AH1111" s="531" t="str">
        <f t="shared" ca="1" si="475"/>
        <v/>
      </c>
      <c r="AI1111" s="531" t="str">
        <f t="shared" ca="1" si="476"/>
        <v/>
      </c>
      <c r="AJ1111" s="531" t="str">
        <f t="shared" si="477"/>
        <v/>
      </c>
      <c r="AK1111" s="540">
        <f>SUMIFS('Live Collections'!$S:$S,'Live Collections'!$D:$D,Disbursements!B1111,'Live Collections'!$G:$G,Disbursements!C1111)</f>
        <v>0</v>
      </c>
      <c r="AL1111" s="540">
        <f>SUMIFS('Live Collections'!$T:$T,'Live Collections'!$D:$D,Disbursements!B1111,'Live Collections'!$G:$G,Disbursements!C1111)</f>
        <v>0</v>
      </c>
      <c r="AM1111" s="541">
        <f t="shared" si="478"/>
        <v>0</v>
      </c>
      <c r="AN1111" s="542" t="str">
        <f t="shared" si="479"/>
        <v/>
      </c>
      <c r="AO1111" s="542" t="str">
        <f t="shared" si="480"/>
        <v/>
      </c>
      <c r="AP1111" s="543" t="str">
        <f t="shared" si="481"/>
        <v/>
      </c>
      <c r="AQ1111" s="544" t="str">
        <f t="shared" si="482"/>
        <v/>
      </c>
      <c r="AR1111" s="545">
        <f t="shared" si="483"/>
        <v>0</v>
      </c>
      <c r="AS1111" s="545">
        <f>IFERROR(CEILING($AR1111*VLOOKUP($I1111,Ref!$B$23:$E$29,4,0),1),0)</f>
        <v>0</v>
      </c>
      <c r="AT1111" s="545" t="str">
        <f>IF(A1111="","",IF(AP1111&lt;=1,"Cleared",IF(AS1111=0,"Clean",VLOOKUP($AS1111,Ref!$G$23:$H$28,2))))</f>
        <v/>
      </c>
      <c r="AU1111" s="546" t="str">
        <f t="shared" si="484"/>
        <v/>
      </c>
    </row>
    <row r="1112" spans="1:47" ht="14.25" hidden="1" customHeight="1" x14ac:dyDescent="0.15">
      <c r="A1112" s="523"/>
      <c r="B1112" s="523"/>
      <c r="C1112" s="523"/>
      <c r="D1112" s="523"/>
      <c r="E1112" s="579"/>
      <c r="F1112" s="580"/>
      <c r="G1112" s="524"/>
      <c r="H1112" s="555"/>
      <c r="I1112" s="560"/>
      <c r="J1112" s="523"/>
      <c r="K1112" s="528" t="str">
        <f>IFERROR(VLOOKUP($B1112,'Clients-Live'!$A:$C,3,0),"")</f>
        <v/>
      </c>
      <c r="L1112" s="528">
        <f>IF(E1112="STL",Pricing!$D$38,IF(A1112="",0,IF(A1112&lt;Pricing!$C$25,Pricing!$D$25,VLOOKUP(Disbursements!$F1112,Pricing!$B$29:$D$32,3))))</f>
        <v>0</v>
      </c>
      <c r="M1112" s="528">
        <f>IF(E1112="STL",0,IF(F1112&gt;0,Pricing!$D$21,0))</f>
        <v>0</v>
      </c>
      <c r="N1112" s="529">
        <f>IF(E1112="STL",F1112*Pricing!$D$40,IF(A1112&lt;=Pricing!$C$4,0,IF(AND(A1112&gt;Pricing!$C$4,Disbursements!A1112&lt;=Pricing!$C$5),F1112*Pricing!$E$5,IF(AND(A1112&gt;Pricing!$C$5,Disbursements!A1112&lt;=Pricing!$C$7),VLOOKUP(F1112,Pricing!$D$7:$E$8,2)*Disbursements!F1112,F1112*Pricing!$E$9))))</f>
        <v>0</v>
      </c>
      <c r="O1112" s="528">
        <f>IF(E1112="STL",0,IF($F1112&gt;0,$F1112*Pricing!$D$17,0))</f>
        <v>0</v>
      </c>
      <c r="P1112" s="530" t="str">
        <f t="shared" si="464"/>
        <v/>
      </c>
      <c r="Q1112" s="531" t="str">
        <f>IF($A1112="","",$G1112/VLOOKUP($I1112,Ref!$B$23:$D$29,2,0))</f>
        <v/>
      </c>
      <c r="R1112" s="530" t="str">
        <f t="shared" si="465"/>
        <v/>
      </c>
      <c r="S1112" s="532" t="str">
        <f t="shared" si="459"/>
        <v/>
      </c>
      <c r="T1112" s="531" t="str">
        <f t="shared" si="466"/>
        <v/>
      </c>
      <c r="U1112" s="533">
        <f t="shared" si="467"/>
        <v>0</v>
      </c>
      <c r="V1112" s="531" t="str">
        <f t="shared" si="468"/>
        <v/>
      </c>
      <c r="W1112" s="531" t="str">
        <f t="shared" si="469"/>
        <v/>
      </c>
      <c r="X1112" s="534" t="str">
        <f t="shared" si="470"/>
        <v/>
      </c>
      <c r="Y1112" s="535" t="str">
        <f>IF($A1112="","",IF($I1112="weekly",$A1112+7,EDATE($A1112,VLOOKUP($I1112,Ref!$B$24:$C$29,2,0))))</f>
        <v/>
      </c>
      <c r="Z1112" s="536" t="str">
        <f t="shared" si="471"/>
        <v/>
      </c>
      <c r="AA1112" s="531">
        <f t="shared" si="472"/>
        <v>0</v>
      </c>
      <c r="AB1112" s="535" t="str">
        <f t="shared" si="460"/>
        <v/>
      </c>
      <c r="AC1112" s="537" t="str">
        <f t="shared" si="461"/>
        <v/>
      </c>
      <c r="AD1112" s="538" t="str">
        <f t="shared" ca="1" si="462"/>
        <v/>
      </c>
      <c r="AE1112" s="537">
        <f t="shared" ca="1" si="463"/>
        <v>0</v>
      </c>
      <c r="AF1112" s="539" t="str">
        <f t="shared" ca="1" si="473"/>
        <v/>
      </c>
      <c r="AG1112" s="531" t="str">
        <f t="shared" ca="1" si="474"/>
        <v/>
      </c>
      <c r="AH1112" s="531" t="str">
        <f t="shared" ca="1" si="475"/>
        <v/>
      </c>
      <c r="AI1112" s="531" t="str">
        <f t="shared" ca="1" si="476"/>
        <v/>
      </c>
      <c r="AJ1112" s="531" t="str">
        <f t="shared" si="477"/>
        <v/>
      </c>
      <c r="AK1112" s="540">
        <f>SUMIFS('Live Collections'!$S:$S,'Live Collections'!$D:$D,Disbursements!B1112,'Live Collections'!$G:$G,Disbursements!C1112)</f>
        <v>0</v>
      </c>
      <c r="AL1112" s="540">
        <f>SUMIFS('Live Collections'!$T:$T,'Live Collections'!$D:$D,Disbursements!B1112,'Live Collections'!$G:$G,Disbursements!C1112)</f>
        <v>0</v>
      </c>
      <c r="AM1112" s="541">
        <f t="shared" si="478"/>
        <v>0</v>
      </c>
      <c r="AN1112" s="542" t="str">
        <f t="shared" si="479"/>
        <v/>
      </c>
      <c r="AO1112" s="542" t="str">
        <f t="shared" si="480"/>
        <v/>
      </c>
      <c r="AP1112" s="543" t="str">
        <f t="shared" si="481"/>
        <v/>
      </c>
      <c r="AQ1112" s="544" t="str">
        <f t="shared" si="482"/>
        <v/>
      </c>
      <c r="AR1112" s="545">
        <f t="shared" si="483"/>
        <v>0</v>
      </c>
      <c r="AS1112" s="545">
        <f>IFERROR(CEILING($AR1112*VLOOKUP($I1112,Ref!$B$23:$E$29,4,0),1),0)</f>
        <v>0</v>
      </c>
      <c r="AT1112" s="545" t="str">
        <f>IF(A1112="","",IF(AP1112&lt;=1,"Cleared",IF(AS1112=0,"Clean",VLOOKUP($AS1112,Ref!$G$23:$H$28,2))))</f>
        <v/>
      </c>
      <c r="AU1112" s="546" t="str">
        <f t="shared" si="484"/>
        <v/>
      </c>
    </row>
    <row r="1113" spans="1:47" ht="14.25" hidden="1" customHeight="1" x14ac:dyDescent="0.15">
      <c r="A1113" s="523"/>
      <c r="B1113" s="523"/>
      <c r="C1113" s="523"/>
      <c r="D1113" s="523"/>
      <c r="E1113" s="579"/>
      <c r="F1113" s="580"/>
      <c r="G1113" s="524"/>
      <c r="H1113" s="555"/>
      <c r="I1113" s="560"/>
      <c r="J1113" s="523"/>
      <c r="K1113" s="528" t="str">
        <f>IFERROR(VLOOKUP($B1113,'Clients-Live'!$A:$C,3,0),"")</f>
        <v/>
      </c>
      <c r="L1113" s="528">
        <f>IF(E1113="STL",Pricing!$D$38,IF(A1113="",0,IF(A1113&lt;Pricing!$C$25,Pricing!$D$25,VLOOKUP(Disbursements!$F1113,Pricing!$B$29:$D$32,3))))</f>
        <v>0</v>
      </c>
      <c r="M1113" s="528">
        <f>IF(E1113="STL",0,IF(F1113&gt;0,Pricing!$D$21,0))</f>
        <v>0</v>
      </c>
      <c r="N1113" s="529">
        <f>IF(E1113="STL",F1113*Pricing!$D$40,IF(A1113&lt;=Pricing!$C$4,0,IF(AND(A1113&gt;Pricing!$C$4,Disbursements!A1113&lt;=Pricing!$C$5),F1113*Pricing!$E$5,IF(AND(A1113&gt;Pricing!$C$5,Disbursements!A1113&lt;=Pricing!$C$7),VLOOKUP(F1113,Pricing!$D$7:$E$8,2)*Disbursements!F1113,F1113*Pricing!$E$9))))</f>
        <v>0</v>
      </c>
      <c r="O1113" s="528">
        <f>IF(E1113="STL",0,IF($F1113&gt;0,$F1113*Pricing!$D$17,0))</f>
        <v>0</v>
      </c>
      <c r="P1113" s="530" t="str">
        <f t="shared" si="464"/>
        <v/>
      </c>
      <c r="Q1113" s="531" t="str">
        <f>IF($A1113="","",$G1113/VLOOKUP($I1113,Ref!$B$23:$D$29,2,0))</f>
        <v/>
      </c>
      <c r="R1113" s="530" t="str">
        <f t="shared" si="465"/>
        <v/>
      </c>
      <c r="S1113" s="532" t="str">
        <f t="shared" si="459"/>
        <v/>
      </c>
      <c r="T1113" s="531" t="str">
        <f t="shared" si="466"/>
        <v/>
      </c>
      <c r="U1113" s="533">
        <f t="shared" si="467"/>
        <v>0</v>
      </c>
      <c r="V1113" s="531" t="str">
        <f t="shared" si="468"/>
        <v/>
      </c>
      <c r="W1113" s="531" t="str">
        <f t="shared" si="469"/>
        <v/>
      </c>
      <c r="X1113" s="534" t="str">
        <f t="shared" si="470"/>
        <v/>
      </c>
      <c r="Y1113" s="535" t="str">
        <f>IF($A1113="","",IF($I1113="weekly",$A1113+7,EDATE($A1113,VLOOKUP($I1113,Ref!$B$24:$C$29,2,0))))</f>
        <v/>
      </c>
      <c r="Z1113" s="536" t="str">
        <f t="shared" si="471"/>
        <v/>
      </c>
      <c r="AA1113" s="531">
        <f t="shared" si="472"/>
        <v>0</v>
      </c>
      <c r="AB1113" s="535" t="str">
        <f t="shared" si="460"/>
        <v/>
      </c>
      <c r="AC1113" s="537" t="str">
        <f t="shared" si="461"/>
        <v/>
      </c>
      <c r="AD1113" s="538" t="str">
        <f t="shared" ca="1" si="462"/>
        <v/>
      </c>
      <c r="AE1113" s="537">
        <f t="shared" ca="1" si="463"/>
        <v>0</v>
      </c>
      <c r="AF1113" s="539" t="str">
        <f t="shared" ca="1" si="473"/>
        <v/>
      </c>
      <c r="AG1113" s="531" t="str">
        <f t="shared" ca="1" si="474"/>
        <v/>
      </c>
      <c r="AH1113" s="531" t="str">
        <f t="shared" ca="1" si="475"/>
        <v/>
      </c>
      <c r="AI1113" s="531" t="str">
        <f t="shared" ca="1" si="476"/>
        <v/>
      </c>
      <c r="AJ1113" s="531" t="str">
        <f t="shared" si="477"/>
        <v/>
      </c>
      <c r="AK1113" s="540">
        <f>SUMIFS('Live Collections'!$S:$S,'Live Collections'!$D:$D,Disbursements!B1113,'Live Collections'!$G:$G,Disbursements!C1113)</f>
        <v>0</v>
      </c>
      <c r="AL1113" s="540">
        <f>SUMIFS('Live Collections'!$T:$T,'Live Collections'!$D:$D,Disbursements!B1113,'Live Collections'!$G:$G,Disbursements!C1113)</f>
        <v>0</v>
      </c>
      <c r="AM1113" s="541">
        <f t="shared" si="478"/>
        <v>0</v>
      </c>
      <c r="AN1113" s="542" t="str">
        <f t="shared" si="479"/>
        <v/>
      </c>
      <c r="AO1113" s="542" t="str">
        <f t="shared" si="480"/>
        <v/>
      </c>
      <c r="AP1113" s="543" t="str">
        <f t="shared" si="481"/>
        <v/>
      </c>
      <c r="AQ1113" s="544" t="str">
        <f t="shared" si="482"/>
        <v/>
      </c>
      <c r="AR1113" s="545">
        <f t="shared" si="483"/>
        <v>0</v>
      </c>
      <c r="AS1113" s="545">
        <f>IFERROR(CEILING($AR1113*VLOOKUP($I1113,Ref!$B$23:$E$29,4,0),1),0)</f>
        <v>0</v>
      </c>
      <c r="AT1113" s="545" t="str">
        <f>IF(A1113="","",IF(AP1113&lt;=1,"Cleared",IF(AS1113=0,"Clean",VLOOKUP($AS1113,Ref!$G$23:$H$28,2))))</f>
        <v/>
      </c>
      <c r="AU1113" s="546" t="str">
        <f t="shared" si="484"/>
        <v/>
      </c>
    </row>
    <row r="1114" spans="1:47" ht="14.25" hidden="1" customHeight="1" x14ac:dyDescent="0.15">
      <c r="A1114" s="523"/>
      <c r="B1114" s="523"/>
      <c r="C1114" s="523"/>
      <c r="D1114" s="523"/>
      <c r="E1114" s="579"/>
      <c r="F1114" s="580"/>
      <c r="G1114" s="524"/>
      <c r="H1114" s="555"/>
      <c r="I1114" s="560"/>
      <c r="J1114" s="523"/>
      <c r="K1114" s="528" t="str">
        <f>IFERROR(VLOOKUP($B1114,'Clients-Live'!$A:$C,3,0),"")</f>
        <v/>
      </c>
      <c r="L1114" s="528">
        <f>IF(E1114="STL",Pricing!$D$38,IF(A1114="",0,IF(A1114&lt;Pricing!$C$25,Pricing!$D$25,VLOOKUP(Disbursements!$F1114,Pricing!$B$29:$D$32,3))))</f>
        <v>0</v>
      </c>
      <c r="M1114" s="528">
        <f>IF(E1114="STL",0,IF(F1114&gt;0,Pricing!$D$21,0))</f>
        <v>0</v>
      </c>
      <c r="N1114" s="529">
        <f>IF(E1114="STL",F1114*Pricing!$D$40,IF(A1114&lt;=Pricing!$C$4,0,IF(AND(A1114&gt;Pricing!$C$4,Disbursements!A1114&lt;=Pricing!$C$5),F1114*Pricing!$E$5,IF(AND(A1114&gt;Pricing!$C$5,Disbursements!A1114&lt;=Pricing!$C$7),VLOOKUP(F1114,Pricing!$D$7:$E$8,2)*Disbursements!F1114,F1114*Pricing!$E$9))))</f>
        <v>0</v>
      </c>
      <c r="O1114" s="528">
        <f>IF(E1114="STL",0,IF($F1114&gt;0,$F1114*Pricing!$D$17,0))</f>
        <v>0</v>
      </c>
      <c r="P1114" s="530" t="str">
        <f t="shared" si="464"/>
        <v/>
      </c>
      <c r="Q1114" s="531" t="str">
        <f>IF($A1114="","",$G1114/VLOOKUP($I1114,Ref!$B$23:$D$29,2,0))</f>
        <v/>
      </c>
      <c r="R1114" s="530" t="str">
        <f t="shared" si="465"/>
        <v/>
      </c>
      <c r="S1114" s="532" t="str">
        <f t="shared" si="459"/>
        <v/>
      </c>
      <c r="T1114" s="531" t="str">
        <f t="shared" si="466"/>
        <v/>
      </c>
      <c r="U1114" s="533">
        <f t="shared" si="467"/>
        <v>0</v>
      </c>
      <c r="V1114" s="531" t="str">
        <f t="shared" si="468"/>
        <v/>
      </c>
      <c r="W1114" s="531" t="str">
        <f t="shared" si="469"/>
        <v/>
      </c>
      <c r="X1114" s="534" t="str">
        <f t="shared" si="470"/>
        <v/>
      </c>
      <c r="Y1114" s="535" t="str">
        <f>IF($A1114="","",IF($I1114="weekly",$A1114+7,EDATE($A1114,VLOOKUP($I1114,Ref!$B$24:$C$29,2,0))))</f>
        <v/>
      </c>
      <c r="Z1114" s="536" t="str">
        <f t="shared" si="471"/>
        <v/>
      </c>
      <c r="AA1114" s="531">
        <f t="shared" si="472"/>
        <v>0</v>
      </c>
      <c r="AB1114" s="535" t="str">
        <f t="shared" si="460"/>
        <v/>
      </c>
      <c r="AC1114" s="537" t="str">
        <f t="shared" si="461"/>
        <v/>
      </c>
      <c r="AD1114" s="538" t="str">
        <f t="shared" ca="1" si="462"/>
        <v/>
      </c>
      <c r="AE1114" s="537">
        <f t="shared" ca="1" si="463"/>
        <v>0</v>
      </c>
      <c r="AF1114" s="539" t="str">
        <f t="shared" ca="1" si="473"/>
        <v/>
      </c>
      <c r="AG1114" s="531" t="str">
        <f t="shared" ca="1" si="474"/>
        <v/>
      </c>
      <c r="AH1114" s="531" t="str">
        <f t="shared" ca="1" si="475"/>
        <v/>
      </c>
      <c r="AI1114" s="531" t="str">
        <f t="shared" ca="1" si="476"/>
        <v/>
      </c>
      <c r="AJ1114" s="531" t="str">
        <f t="shared" si="477"/>
        <v/>
      </c>
      <c r="AK1114" s="540">
        <f>SUMIFS('Live Collections'!$S:$S,'Live Collections'!$D:$D,Disbursements!B1114,'Live Collections'!$G:$G,Disbursements!C1114)</f>
        <v>0</v>
      </c>
      <c r="AL1114" s="540">
        <f>SUMIFS('Live Collections'!$T:$T,'Live Collections'!$D:$D,Disbursements!B1114,'Live Collections'!$G:$G,Disbursements!C1114)</f>
        <v>0</v>
      </c>
      <c r="AM1114" s="541">
        <f t="shared" si="478"/>
        <v>0</v>
      </c>
      <c r="AN1114" s="542" t="str">
        <f t="shared" si="479"/>
        <v/>
      </c>
      <c r="AO1114" s="542" t="str">
        <f t="shared" si="480"/>
        <v/>
      </c>
      <c r="AP1114" s="543" t="str">
        <f t="shared" si="481"/>
        <v/>
      </c>
      <c r="AQ1114" s="544" t="str">
        <f t="shared" si="482"/>
        <v/>
      </c>
      <c r="AR1114" s="545">
        <f t="shared" si="483"/>
        <v>0</v>
      </c>
      <c r="AS1114" s="545">
        <f>IFERROR(CEILING($AR1114*VLOOKUP($I1114,Ref!$B$23:$E$29,4,0),1),0)</f>
        <v>0</v>
      </c>
      <c r="AT1114" s="545" t="str">
        <f>IF(A1114="","",IF(AP1114&lt;=1,"Cleared",IF(AS1114=0,"Clean",VLOOKUP($AS1114,Ref!$G$23:$H$28,2))))</f>
        <v/>
      </c>
      <c r="AU1114" s="546" t="str">
        <f t="shared" si="484"/>
        <v/>
      </c>
    </row>
    <row r="1115" spans="1:47" ht="14.25" hidden="1" customHeight="1" x14ac:dyDescent="0.15">
      <c r="A1115" s="523"/>
      <c r="B1115" s="523"/>
      <c r="C1115" s="523"/>
      <c r="D1115" s="523"/>
      <c r="E1115" s="579"/>
      <c r="F1115" s="580"/>
      <c r="G1115" s="524"/>
      <c r="H1115" s="555"/>
      <c r="I1115" s="560"/>
      <c r="J1115" s="523"/>
      <c r="K1115" s="528" t="str">
        <f>IFERROR(VLOOKUP($B1115,'Clients-Live'!$A:$C,3,0),"")</f>
        <v/>
      </c>
      <c r="L1115" s="528">
        <f>IF(E1115="STL",Pricing!$D$38,IF(A1115="",0,IF(A1115&lt;Pricing!$C$25,Pricing!$D$25,VLOOKUP(Disbursements!$F1115,Pricing!$B$29:$D$32,3))))</f>
        <v>0</v>
      </c>
      <c r="M1115" s="528">
        <f>IF(E1115="STL",0,IF(F1115&gt;0,Pricing!$D$21,0))</f>
        <v>0</v>
      </c>
      <c r="N1115" s="529">
        <f>IF(E1115="STL",F1115*Pricing!$D$40,IF(A1115&lt;=Pricing!$C$4,0,IF(AND(A1115&gt;Pricing!$C$4,Disbursements!A1115&lt;=Pricing!$C$5),F1115*Pricing!$E$5,IF(AND(A1115&gt;Pricing!$C$5,Disbursements!A1115&lt;=Pricing!$C$7),VLOOKUP(F1115,Pricing!$D$7:$E$8,2)*Disbursements!F1115,F1115*Pricing!$E$9))))</f>
        <v>0</v>
      </c>
      <c r="O1115" s="528">
        <f>IF(E1115="STL",0,IF($F1115&gt;0,$F1115*Pricing!$D$17,0))</f>
        <v>0</v>
      </c>
      <c r="P1115" s="530" t="str">
        <f t="shared" si="464"/>
        <v/>
      </c>
      <c r="Q1115" s="531" t="str">
        <f>IF($A1115="","",$G1115/VLOOKUP($I1115,Ref!$B$23:$D$29,2,0))</f>
        <v/>
      </c>
      <c r="R1115" s="530" t="str">
        <f t="shared" si="465"/>
        <v/>
      </c>
      <c r="S1115" s="532" t="str">
        <f t="shared" si="459"/>
        <v/>
      </c>
      <c r="T1115" s="531" t="str">
        <f t="shared" si="466"/>
        <v/>
      </c>
      <c r="U1115" s="533">
        <f t="shared" si="467"/>
        <v>0</v>
      </c>
      <c r="V1115" s="531" t="str">
        <f t="shared" si="468"/>
        <v/>
      </c>
      <c r="W1115" s="531" t="str">
        <f t="shared" si="469"/>
        <v/>
      </c>
      <c r="X1115" s="534" t="str">
        <f t="shared" si="470"/>
        <v/>
      </c>
      <c r="Y1115" s="535" t="str">
        <f>IF($A1115="","",IF($I1115="weekly",$A1115+7,EDATE($A1115,VLOOKUP($I1115,Ref!$B$24:$C$29,2,0))))</f>
        <v/>
      </c>
      <c r="Z1115" s="536" t="str">
        <f t="shared" si="471"/>
        <v/>
      </c>
      <c r="AA1115" s="531">
        <f t="shared" si="472"/>
        <v>0</v>
      </c>
      <c r="AB1115" s="535" t="str">
        <f t="shared" si="460"/>
        <v/>
      </c>
      <c r="AC1115" s="537" t="str">
        <f t="shared" si="461"/>
        <v/>
      </c>
      <c r="AD1115" s="538" t="str">
        <f t="shared" ca="1" si="462"/>
        <v/>
      </c>
      <c r="AE1115" s="537">
        <f t="shared" ca="1" si="463"/>
        <v>0</v>
      </c>
      <c r="AF1115" s="539" t="str">
        <f t="shared" ca="1" si="473"/>
        <v/>
      </c>
      <c r="AG1115" s="531" t="str">
        <f t="shared" ca="1" si="474"/>
        <v/>
      </c>
      <c r="AH1115" s="531" t="str">
        <f t="shared" ca="1" si="475"/>
        <v/>
      </c>
      <c r="AI1115" s="531" t="str">
        <f t="shared" ca="1" si="476"/>
        <v/>
      </c>
      <c r="AJ1115" s="531" t="str">
        <f t="shared" si="477"/>
        <v/>
      </c>
      <c r="AK1115" s="540">
        <f>SUMIFS('Live Collections'!$S:$S,'Live Collections'!$D:$D,Disbursements!B1115,'Live Collections'!$G:$G,Disbursements!C1115)</f>
        <v>0</v>
      </c>
      <c r="AL1115" s="540">
        <f>SUMIFS('Live Collections'!$T:$T,'Live Collections'!$D:$D,Disbursements!B1115,'Live Collections'!$G:$G,Disbursements!C1115)</f>
        <v>0</v>
      </c>
      <c r="AM1115" s="541">
        <f t="shared" si="478"/>
        <v>0</v>
      </c>
      <c r="AN1115" s="542" t="str">
        <f t="shared" si="479"/>
        <v/>
      </c>
      <c r="AO1115" s="542" t="str">
        <f t="shared" si="480"/>
        <v/>
      </c>
      <c r="AP1115" s="543" t="str">
        <f t="shared" si="481"/>
        <v/>
      </c>
      <c r="AQ1115" s="544" t="str">
        <f t="shared" si="482"/>
        <v/>
      </c>
      <c r="AR1115" s="545">
        <f t="shared" si="483"/>
        <v>0</v>
      </c>
      <c r="AS1115" s="545">
        <f>IFERROR(CEILING($AR1115*VLOOKUP($I1115,Ref!$B$23:$E$29,4,0),1),0)</f>
        <v>0</v>
      </c>
      <c r="AT1115" s="545" t="str">
        <f>IF(A1115="","",IF(AP1115&lt;=1,"Cleared",IF(AS1115=0,"Clean",VLOOKUP($AS1115,Ref!$G$23:$H$28,2))))</f>
        <v/>
      </c>
      <c r="AU1115" s="546" t="str">
        <f t="shared" si="484"/>
        <v/>
      </c>
    </row>
    <row r="1116" spans="1:47" ht="14.25" hidden="1" customHeight="1" x14ac:dyDescent="0.15">
      <c r="A1116" s="523"/>
      <c r="B1116" s="523"/>
      <c r="C1116" s="523"/>
      <c r="D1116" s="523"/>
      <c r="E1116" s="579"/>
      <c r="F1116" s="580"/>
      <c r="G1116" s="524"/>
      <c r="H1116" s="555"/>
      <c r="I1116" s="560"/>
      <c r="J1116" s="523"/>
      <c r="K1116" s="528" t="str">
        <f>IFERROR(VLOOKUP($B1116,'Clients-Live'!$A:$C,3,0),"")</f>
        <v/>
      </c>
      <c r="L1116" s="528">
        <f>IF(E1116="STL",Pricing!$D$38,IF(A1116="",0,IF(A1116&lt;Pricing!$C$25,Pricing!$D$25,VLOOKUP(Disbursements!$F1116,Pricing!$B$29:$D$32,3))))</f>
        <v>0</v>
      </c>
      <c r="M1116" s="528">
        <f>IF(E1116="STL",0,IF(F1116&gt;0,Pricing!$D$21,0))</f>
        <v>0</v>
      </c>
      <c r="N1116" s="529">
        <f>IF(E1116="STL",F1116*Pricing!$D$40,IF(A1116&lt;=Pricing!$C$4,0,IF(AND(A1116&gt;Pricing!$C$4,Disbursements!A1116&lt;=Pricing!$C$5),F1116*Pricing!$E$5,IF(AND(A1116&gt;Pricing!$C$5,Disbursements!A1116&lt;=Pricing!$C$7),VLOOKUP(F1116,Pricing!$D$7:$E$8,2)*Disbursements!F1116,F1116*Pricing!$E$9))))</f>
        <v>0</v>
      </c>
      <c r="O1116" s="528">
        <f>IF(E1116="STL",0,IF($F1116&gt;0,$F1116*Pricing!$D$17,0))</f>
        <v>0</v>
      </c>
      <c r="P1116" s="530" t="str">
        <f t="shared" si="464"/>
        <v/>
      </c>
      <c r="Q1116" s="531" t="str">
        <f>IF($A1116="","",$G1116/VLOOKUP($I1116,Ref!$B$23:$D$29,2,0))</f>
        <v/>
      </c>
      <c r="R1116" s="530" t="str">
        <f t="shared" si="465"/>
        <v/>
      </c>
      <c r="S1116" s="532" t="str">
        <f t="shared" si="459"/>
        <v/>
      </c>
      <c r="T1116" s="531" t="str">
        <f t="shared" si="466"/>
        <v/>
      </c>
      <c r="U1116" s="533">
        <f t="shared" si="467"/>
        <v>0</v>
      </c>
      <c r="V1116" s="531" t="str">
        <f t="shared" si="468"/>
        <v/>
      </c>
      <c r="W1116" s="531" t="str">
        <f t="shared" si="469"/>
        <v/>
      </c>
      <c r="X1116" s="534" t="str">
        <f t="shared" si="470"/>
        <v/>
      </c>
      <c r="Y1116" s="535" t="str">
        <f>IF($A1116="","",IF($I1116="weekly",$A1116+7,EDATE($A1116,VLOOKUP($I1116,Ref!$B$24:$C$29,2,0))))</f>
        <v/>
      </c>
      <c r="Z1116" s="536" t="str">
        <f t="shared" si="471"/>
        <v/>
      </c>
      <c r="AA1116" s="531">
        <f t="shared" si="472"/>
        <v>0</v>
      </c>
      <c r="AB1116" s="535" t="str">
        <f t="shared" si="460"/>
        <v/>
      </c>
      <c r="AC1116" s="537" t="str">
        <f t="shared" si="461"/>
        <v/>
      </c>
      <c r="AD1116" s="538" t="str">
        <f t="shared" ca="1" si="462"/>
        <v/>
      </c>
      <c r="AE1116" s="537">
        <f t="shared" ca="1" si="463"/>
        <v>0</v>
      </c>
      <c r="AF1116" s="539" t="str">
        <f t="shared" ca="1" si="473"/>
        <v/>
      </c>
      <c r="AG1116" s="531" t="str">
        <f t="shared" ca="1" si="474"/>
        <v/>
      </c>
      <c r="AH1116" s="531" t="str">
        <f t="shared" ca="1" si="475"/>
        <v/>
      </c>
      <c r="AI1116" s="531" t="str">
        <f t="shared" ca="1" si="476"/>
        <v/>
      </c>
      <c r="AJ1116" s="531" t="str">
        <f t="shared" si="477"/>
        <v/>
      </c>
      <c r="AK1116" s="540">
        <f>SUMIFS('Live Collections'!$S:$S,'Live Collections'!$D:$D,Disbursements!B1116,'Live Collections'!$G:$G,Disbursements!C1116)</f>
        <v>0</v>
      </c>
      <c r="AL1116" s="540">
        <f>SUMIFS('Live Collections'!$T:$T,'Live Collections'!$D:$D,Disbursements!B1116,'Live Collections'!$G:$G,Disbursements!C1116)</f>
        <v>0</v>
      </c>
      <c r="AM1116" s="541">
        <f t="shared" si="478"/>
        <v>0</v>
      </c>
      <c r="AN1116" s="542" t="str">
        <f t="shared" si="479"/>
        <v/>
      </c>
      <c r="AO1116" s="542" t="str">
        <f t="shared" si="480"/>
        <v/>
      </c>
      <c r="AP1116" s="543" t="str">
        <f t="shared" si="481"/>
        <v/>
      </c>
      <c r="AQ1116" s="544" t="str">
        <f t="shared" si="482"/>
        <v/>
      </c>
      <c r="AR1116" s="545">
        <f t="shared" si="483"/>
        <v>0</v>
      </c>
      <c r="AS1116" s="545">
        <f>IFERROR(CEILING($AR1116*VLOOKUP($I1116,Ref!$B$23:$E$29,4,0),1),0)</f>
        <v>0</v>
      </c>
      <c r="AT1116" s="545" t="str">
        <f>IF(A1116="","",IF(AP1116&lt;=1,"Cleared",IF(AS1116=0,"Clean",VLOOKUP($AS1116,Ref!$G$23:$H$28,2))))</f>
        <v/>
      </c>
      <c r="AU1116" s="546" t="str">
        <f t="shared" si="484"/>
        <v/>
      </c>
    </row>
    <row r="1117" spans="1:47" ht="14.25" hidden="1" customHeight="1" x14ac:dyDescent="0.15">
      <c r="A1117" s="523"/>
      <c r="B1117" s="523"/>
      <c r="C1117" s="523"/>
      <c r="D1117" s="523"/>
      <c r="E1117" s="579"/>
      <c r="F1117" s="580"/>
      <c r="G1117" s="524"/>
      <c r="H1117" s="555"/>
      <c r="I1117" s="560"/>
      <c r="J1117" s="523"/>
      <c r="K1117" s="528" t="str">
        <f>IFERROR(VLOOKUP($B1117,'Clients-Live'!$A:$C,3,0),"")</f>
        <v/>
      </c>
      <c r="L1117" s="528">
        <f>IF(E1117="STL",Pricing!$D$38,IF(A1117="",0,IF(A1117&lt;Pricing!$C$25,Pricing!$D$25,VLOOKUP(Disbursements!$F1117,Pricing!$B$29:$D$32,3))))</f>
        <v>0</v>
      </c>
      <c r="M1117" s="528">
        <f>IF(E1117="STL",0,IF(F1117&gt;0,Pricing!$D$21,0))</f>
        <v>0</v>
      </c>
      <c r="N1117" s="529">
        <f>IF(E1117="STL",F1117*Pricing!$D$40,IF(A1117&lt;=Pricing!$C$4,0,IF(AND(A1117&gt;Pricing!$C$4,Disbursements!A1117&lt;=Pricing!$C$5),F1117*Pricing!$E$5,IF(AND(A1117&gt;Pricing!$C$5,Disbursements!A1117&lt;=Pricing!$C$7),VLOOKUP(F1117,Pricing!$D$7:$E$8,2)*Disbursements!F1117,F1117*Pricing!$E$9))))</f>
        <v>0</v>
      </c>
      <c r="O1117" s="528">
        <f>IF(E1117="STL",0,IF($F1117&gt;0,$F1117*Pricing!$D$17,0))</f>
        <v>0</v>
      </c>
      <c r="P1117" s="530" t="str">
        <f t="shared" si="464"/>
        <v/>
      </c>
      <c r="Q1117" s="531" t="str">
        <f>IF($A1117="","",$G1117/VLOOKUP($I1117,Ref!$B$23:$D$29,2,0))</f>
        <v/>
      </c>
      <c r="R1117" s="530" t="str">
        <f t="shared" si="465"/>
        <v/>
      </c>
      <c r="S1117" s="532" t="str">
        <f t="shared" si="459"/>
        <v/>
      </c>
      <c r="T1117" s="531" t="str">
        <f t="shared" si="466"/>
        <v/>
      </c>
      <c r="U1117" s="533">
        <f t="shared" si="467"/>
        <v>0</v>
      </c>
      <c r="V1117" s="531" t="str">
        <f t="shared" si="468"/>
        <v/>
      </c>
      <c r="W1117" s="531" t="str">
        <f t="shared" si="469"/>
        <v/>
      </c>
      <c r="X1117" s="534" t="str">
        <f t="shared" si="470"/>
        <v/>
      </c>
      <c r="Y1117" s="535" t="str">
        <f>IF($A1117="","",IF($I1117="weekly",$A1117+7,EDATE($A1117,VLOOKUP($I1117,Ref!$B$24:$C$29,2,0))))</f>
        <v/>
      </c>
      <c r="Z1117" s="536" t="str">
        <f t="shared" si="471"/>
        <v/>
      </c>
      <c r="AA1117" s="531">
        <f t="shared" si="472"/>
        <v>0</v>
      </c>
      <c r="AB1117" s="535" t="str">
        <f t="shared" si="460"/>
        <v/>
      </c>
      <c r="AC1117" s="537" t="str">
        <f t="shared" si="461"/>
        <v/>
      </c>
      <c r="AD1117" s="538" t="str">
        <f t="shared" ca="1" si="462"/>
        <v/>
      </c>
      <c r="AE1117" s="537">
        <f t="shared" ca="1" si="463"/>
        <v>0</v>
      </c>
      <c r="AF1117" s="539" t="str">
        <f t="shared" ca="1" si="473"/>
        <v/>
      </c>
      <c r="AG1117" s="531" t="str">
        <f t="shared" ca="1" si="474"/>
        <v/>
      </c>
      <c r="AH1117" s="531" t="str">
        <f t="shared" ca="1" si="475"/>
        <v/>
      </c>
      <c r="AI1117" s="531" t="str">
        <f t="shared" ca="1" si="476"/>
        <v/>
      </c>
      <c r="AJ1117" s="531" t="str">
        <f t="shared" si="477"/>
        <v/>
      </c>
      <c r="AK1117" s="540">
        <f>SUMIFS('Live Collections'!$S:$S,'Live Collections'!$D:$D,Disbursements!B1117,'Live Collections'!$G:$G,Disbursements!C1117)</f>
        <v>0</v>
      </c>
      <c r="AL1117" s="540">
        <f>SUMIFS('Live Collections'!$T:$T,'Live Collections'!$D:$D,Disbursements!B1117,'Live Collections'!$G:$G,Disbursements!C1117)</f>
        <v>0</v>
      </c>
      <c r="AM1117" s="541">
        <f t="shared" si="478"/>
        <v>0</v>
      </c>
      <c r="AN1117" s="542" t="str">
        <f t="shared" si="479"/>
        <v/>
      </c>
      <c r="AO1117" s="542" t="str">
        <f t="shared" si="480"/>
        <v/>
      </c>
      <c r="AP1117" s="543" t="str">
        <f t="shared" si="481"/>
        <v/>
      </c>
      <c r="AQ1117" s="544" t="str">
        <f t="shared" si="482"/>
        <v/>
      </c>
      <c r="AR1117" s="545">
        <f t="shared" si="483"/>
        <v>0</v>
      </c>
      <c r="AS1117" s="545">
        <f>IFERROR(CEILING($AR1117*VLOOKUP($I1117,Ref!$B$23:$E$29,4,0),1),0)</f>
        <v>0</v>
      </c>
      <c r="AT1117" s="545" t="str">
        <f>IF(A1117="","",IF(AP1117&lt;=1,"Cleared",IF(AS1117=0,"Clean",VLOOKUP($AS1117,Ref!$G$23:$H$28,2))))</f>
        <v/>
      </c>
      <c r="AU1117" s="546" t="str">
        <f t="shared" si="484"/>
        <v/>
      </c>
    </row>
    <row r="1118" spans="1:47" ht="14.25" hidden="1" customHeight="1" x14ac:dyDescent="0.15">
      <c r="A1118" s="523"/>
      <c r="B1118" s="523"/>
      <c r="C1118" s="523"/>
      <c r="D1118" s="523"/>
      <c r="E1118" s="579"/>
      <c r="F1118" s="580"/>
      <c r="G1118" s="524"/>
      <c r="H1118" s="555"/>
      <c r="I1118" s="560"/>
      <c r="J1118" s="523"/>
      <c r="K1118" s="528" t="str">
        <f>IFERROR(VLOOKUP($B1118,'Clients-Live'!$A:$C,3,0),"")</f>
        <v/>
      </c>
      <c r="L1118" s="528">
        <f>IF(E1118="STL",Pricing!$D$38,IF(A1118="",0,IF(A1118&lt;Pricing!$C$25,Pricing!$D$25,VLOOKUP(Disbursements!$F1118,Pricing!$B$29:$D$32,3))))</f>
        <v>0</v>
      </c>
      <c r="M1118" s="528">
        <f>IF(E1118="STL",0,IF(F1118&gt;0,Pricing!$D$21,0))</f>
        <v>0</v>
      </c>
      <c r="N1118" s="529">
        <f>IF(E1118="STL",F1118*Pricing!$D$40,IF(A1118&lt;=Pricing!$C$4,0,IF(AND(A1118&gt;Pricing!$C$4,Disbursements!A1118&lt;=Pricing!$C$5),F1118*Pricing!$E$5,IF(AND(A1118&gt;Pricing!$C$5,Disbursements!A1118&lt;=Pricing!$C$7),VLOOKUP(F1118,Pricing!$D$7:$E$8,2)*Disbursements!F1118,F1118*Pricing!$E$9))))</f>
        <v>0</v>
      </c>
      <c r="O1118" s="528">
        <f>IF(E1118="STL",0,IF($F1118&gt;0,$F1118*Pricing!$D$17,0))</f>
        <v>0</v>
      </c>
      <c r="P1118" s="530" t="str">
        <f t="shared" si="464"/>
        <v/>
      </c>
      <c r="Q1118" s="531" t="str">
        <f>IF($A1118="","",$G1118/VLOOKUP($I1118,Ref!$B$23:$D$29,2,0))</f>
        <v/>
      </c>
      <c r="R1118" s="530" t="str">
        <f t="shared" si="465"/>
        <v/>
      </c>
      <c r="S1118" s="532" t="str">
        <f t="shared" si="459"/>
        <v/>
      </c>
      <c r="T1118" s="531" t="str">
        <f t="shared" si="466"/>
        <v/>
      </c>
      <c r="U1118" s="533">
        <f t="shared" si="467"/>
        <v>0</v>
      </c>
      <c r="V1118" s="531" t="str">
        <f t="shared" si="468"/>
        <v/>
      </c>
      <c r="W1118" s="531" t="str">
        <f t="shared" si="469"/>
        <v/>
      </c>
      <c r="X1118" s="534" t="str">
        <f t="shared" si="470"/>
        <v/>
      </c>
      <c r="Y1118" s="535" t="str">
        <f>IF($A1118="","",IF($I1118="weekly",$A1118+7,EDATE($A1118,VLOOKUP($I1118,Ref!$B$24:$C$29,2,0))))</f>
        <v/>
      </c>
      <c r="Z1118" s="536" t="str">
        <f t="shared" si="471"/>
        <v/>
      </c>
      <c r="AA1118" s="531">
        <f t="shared" si="472"/>
        <v>0</v>
      </c>
      <c r="AB1118" s="535" t="str">
        <f t="shared" si="460"/>
        <v/>
      </c>
      <c r="AC1118" s="537" t="str">
        <f t="shared" si="461"/>
        <v/>
      </c>
      <c r="AD1118" s="538" t="str">
        <f t="shared" ca="1" si="462"/>
        <v/>
      </c>
      <c r="AE1118" s="537">
        <f t="shared" ca="1" si="463"/>
        <v>0</v>
      </c>
      <c r="AF1118" s="539" t="str">
        <f t="shared" ca="1" si="473"/>
        <v/>
      </c>
      <c r="AG1118" s="531" t="str">
        <f t="shared" ca="1" si="474"/>
        <v/>
      </c>
      <c r="AH1118" s="531" t="str">
        <f t="shared" ca="1" si="475"/>
        <v/>
      </c>
      <c r="AI1118" s="531" t="str">
        <f t="shared" ca="1" si="476"/>
        <v/>
      </c>
      <c r="AJ1118" s="531" t="str">
        <f t="shared" si="477"/>
        <v/>
      </c>
      <c r="AK1118" s="540">
        <f>SUMIFS('Live Collections'!$S:$S,'Live Collections'!$D:$D,Disbursements!B1118,'Live Collections'!$G:$G,Disbursements!C1118)</f>
        <v>0</v>
      </c>
      <c r="AL1118" s="540">
        <f>SUMIFS('Live Collections'!$T:$T,'Live Collections'!$D:$D,Disbursements!B1118,'Live Collections'!$G:$G,Disbursements!C1118)</f>
        <v>0</v>
      </c>
      <c r="AM1118" s="541">
        <f t="shared" si="478"/>
        <v>0</v>
      </c>
      <c r="AN1118" s="542" t="str">
        <f t="shared" si="479"/>
        <v/>
      </c>
      <c r="AO1118" s="542" t="str">
        <f t="shared" si="480"/>
        <v/>
      </c>
      <c r="AP1118" s="543" t="str">
        <f t="shared" si="481"/>
        <v/>
      </c>
      <c r="AQ1118" s="544" t="str">
        <f t="shared" si="482"/>
        <v/>
      </c>
      <c r="AR1118" s="545">
        <f t="shared" si="483"/>
        <v>0</v>
      </c>
      <c r="AS1118" s="545">
        <f>IFERROR(CEILING($AR1118*VLOOKUP($I1118,Ref!$B$23:$E$29,4,0),1),0)</f>
        <v>0</v>
      </c>
      <c r="AT1118" s="545" t="str">
        <f>IF(A1118="","",IF(AP1118&lt;=1,"Cleared",IF(AS1118=0,"Clean",VLOOKUP($AS1118,Ref!$G$23:$H$28,2))))</f>
        <v/>
      </c>
      <c r="AU1118" s="546" t="str">
        <f t="shared" si="484"/>
        <v/>
      </c>
    </row>
    <row r="1119" spans="1:47" ht="14.25" hidden="1" customHeight="1" x14ac:dyDescent="0.15">
      <c r="A1119" s="523"/>
      <c r="B1119" s="523"/>
      <c r="C1119" s="523"/>
      <c r="D1119" s="523"/>
      <c r="E1119" s="579"/>
      <c r="F1119" s="580"/>
      <c r="G1119" s="524"/>
      <c r="H1119" s="555"/>
      <c r="I1119" s="560"/>
      <c r="J1119" s="523"/>
      <c r="K1119" s="528" t="str">
        <f>IFERROR(VLOOKUP($B1119,'Clients-Live'!$A:$C,3,0),"")</f>
        <v/>
      </c>
      <c r="L1119" s="528">
        <f>IF(E1119="STL",Pricing!$D$38,IF(A1119="",0,IF(A1119&lt;Pricing!$C$25,Pricing!$D$25,VLOOKUP(Disbursements!$F1119,Pricing!$B$29:$D$32,3))))</f>
        <v>0</v>
      </c>
      <c r="M1119" s="528">
        <f>IF(E1119="STL",0,IF(F1119&gt;0,Pricing!$D$21,0))</f>
        <v>0</v>
      </c>
      <c r="N1119" s="529">
        <f>IF(E1119="STL",F1119*Pricing!$D$40,IF(A1119&lt;=Pricing!$C$4,0,IF(AND(A1119&gt;Pricing!$C$4,Disbursements!A1119&lt;=Pricing!$C$5),F1119*Pricing!$E$5,IF(AND(A1119&gt;Pricing!$C$5,Disbursements!A1119&lt;=Pricing!$C$7),VLOOKUP(F1119,Pricing!$D$7:$E$8,2)*Disbursements!F1119,F1119*Pricing!$E$9))))</f>
        <v>0</v>
      </c>
      <c r="O1119" s="528">
        <f>IF(E1119="STL",0,IF($F1119&gt;0,$F1119*Pricing!$D$17,0))</f>
        <v>0</v>
      </c>
      <c r="P1119" s="530" t="str">
        <f t="shared" si="464"/>
        <v/>
      </c>
      <c r="Q1119" s="531" t="str">
        <f>IF($A1119="","",$G1119/VLOOKUP($I1119,Ref!$B$23:$D$29,2,0))</f>
        <v/>
      </c>
      <c r="R1119" s="530" t="str">
        <f t="shared" si="465"/>
        <v/>
      </c>
      <c r="S1119" s="532" t="str">
        <f t="shared" si="459"/>
        <v/>
      </c>
      <c r="T1119" s="531" t="str">
        <f t="shared" si="466"/>
        <v/>
      </c>
      <c r="U1119" s="533">
        <f t="shared" si="467"/>
        <v>0</v>
      </c>
      <c r="V1119" s="531" t="str">
        <f t="shared" si="468"/>
        <v/>
      </c>
      <c r="W1119" s="531" t="str">
        <f t="shared" si="469"/>
        <v/>
      </c>
      <c r="X1119" s="534" t="str">
        <f t="shared" si="470"/>
        <v/>
      </c>
      <c r="Y1119" s="535" t="str">
        <f>IF($A1119="","",IF($I1119="weekly",$A1119+7,EDATE($A1119,VLOOKUP($I1119,Ref!$B$24:$C$29,2,0))))</f>
        <v/>
      </c>
      <c r="Z1119" s="536" t="str">
        <f t="shared" si="471"/>
        <v/>
      </c>
      <c r="AA1119" s="531">
        <f t="shared" si="472"/>
        <v>0</v>
      </c>
      <c r="AB1119" s="535" t="str">
        <f t="shared" si="460"/>
        <v/>
      </c>
      <c r="AC1119" s="537" t="str">
        <f t="shared" si="461"/>
        <v/>
      </c>
      <c r="AD1119" s="538" t="str">
        <f t="shared" ca="1" si="462"/>
        <v/>
      </c>
      <c r="AE1119" s="537">
        <f t="shared" ca="1" si="463"/>
        <v>0</v>
      </c>
      <c r="AF1119" s="539" t="str">
        <f t="shared" ca="1" si="473"/>
        <v/>
      </c>
      <c r="AG1119" s="531" t="str">
        <f t="shared" ca="1" si="474"/>
        <v/>
      </c>
      <c r="AH1119" s="531" t="str">
        <f t="shared" ca="1" si="475"/>
        <v/>
      </c>
      <c r="AI1119" s="531" t="str">
        <f t="shared" ca="1" si="476"/>
        <v/>
      </c>
      <c r="AJ1119" s="531" t="str">
        <f t="shared" si="477"/>
        <v/>
      </c>
      <c r="AK1119" s="540">
        <f>SUMIFS('Live Collections'!$S:$S,'Live Collections'!$D:$D,Disbursements!B1119,'Live Collections'!$G:$G,Disbursements!C1119)</f>
        <v>0</v>
      </c>
      <c r="AL1119" s="540">
        <f>SUMIFS('Live Collections'!$T:$T,'Live Collections'!$D:$D,Disbursements!B1119,'Live Collections'!$G:$G,Disbursements!C1119)</f>
        <v>0</v>
      </c>
      <c r="AM1119" s="541">
        <f t="shared" si="478"/>
        <v>0</v>
      </c>
      <c r="AN1119" s="542" t="str">
        <f t="shared" si="479"/>
        <v/>
      </c>
      <c r="AO1119" s="542" t="str">
        <f t="shared" si="480"/>
        <v/>
      </c>
      <c r="AP1119" s="543" t="str">
        <f t="shared" si="481"/>
        <v/>
      </c>
      <c r="AQ1119" s="544" t="str">
        <f t="shared" si="482"/>
        <v/>
      </c>
      <c r="AR1119" s="545">
        <f t="shared" si="483"/>
        <v>0</v>
      </c>
      <c r="AS1119" s="545">
        <f>IFERROR(CEILING($AR1119*VLOOKUP($I1119,Ref!$B$23:$E$29,4,0),1),0)</f>
        <v>0</v>
      </c>
      <c r="AT1119" s="545" t="str">
        <f>IF(A1119="","",IF(AP1119&lt;=1,"Cleared",IF(AS1119=0,"Clean",VLOOKUP($AS1119,Ref!$G$23:$H$28,2))))</f>
        <v/>
      </c>
      <c r="AU1119" s="546" t="str">
        <f t="shared" si="484"/>
        <v/>
      </c>
    </row>
    <row r="1120" spans="1:47" ht="14.25" hidden="1" customHeight="1" x14ac:dyDescent="0.15">
      <c r="A1120" s="523"/>
      <c r="B1120" s="523"/>
      <c r="C1120" s="523"/>
      <c r="D1120" s="523"/>
      <c r="E1120" s="579"/>
      <c r="F1120" s="580"/>
      <c r="G1120" s="524"/>
      <c r="H1120" s="555"/>
      <c r="I1120" s="560"/>
      <c r="J1120" s="523"/>
      <c r="K1120" s="528" t="str">
        <f>IFERROR(VLOOKUP($B1120,'Clients-Live'!$A:$C,3,0),"")</f>
        <v/>
      </c>
      <c r="L1120" s="528">
        <f>IF(E1120="STL",Pricing!$D$38,IF(A1120="",0,IF(A1120&lt;Pricing!$C$25,Pricing!$D$25,VLOOKUP(Disbursements!$F1120,Pricing!$B$29:$D$32,3))))</f>
        <v>0</v>
      </c>
      <c r="M1120" s="528">
        <f>IF(E1120="STL",0,IF(F1120&gt;0,Pricing!$D$21,0))</f>
        <v>0</v>
      </c>
      <c r="N1120" s="529">
        <f>IF(E1120="STL",F1120*Pricing!$D$40,IF(A1120&lt;=Pricing!$C$4,0,IF(AND(A1120&gt;Pricing!$C$4,Disbursements!A1120&lt;=Pricing!$C$5),F1120*Pricing!$E$5,IF(AND(A1120&gt;Pricing!$C$5,Disbursements!A1120&lt;=Pricing!$C$7),VLOOKUP(F1120,Pricing!$D$7:$E$8,2)*Disbursements!F1120,F1120*Pricing!$E$9))))</f>
        <v>0</v>
      </c>
      <c r="O1120" s="528">
        <f>IF(E1120="STL",0,IF($F1120&gt;0,$F1120*Pricing!$D$17,0))</f>
        <v>0</v>
      </c>
      <c r="P1120" s="530" t="str">
        <f t="shared" si="464"/>
        <v/>
      </c>
      <c r="Q1120" s="531" t="str">
        <f>IF($A1120="","",$G1120/VLOOKUP($I1120,Ref!$B$23:$D$29,2,0))</f>
        <v/>
      </c>
      <c r="R1120" s="530" t="str">
        <f t="shared" si="465"/>
        <v/>
      </c>
      <c r="S1120" s="532" t="str">
        <f t="shared" si="459"/>
        <v/>
      </c>
      <c r="T1120" s="531" t="str">
        <f t="shared" si="466"/>
        <v/>
      </c>
      <c r="U1120" s="533">
        <f t="shared" si="467"/>
        <v>0</v>
      </c>
      <c r="V1120" s="531" t="str">
        <f t="shared" si="468"/>
        <v/>
      </c>
      <c r="W1120" s="531" t="str">
        <f t="shared" si="469"/>
        <v/>
      </c>
      <c r="X1120" s="534" t="str">
        <f t="shared" si="470"/>
        <v/>
      </c>
      <c r="Y1120" s="535" t="str">
        <f>IF($A1120="","",IF($I1120="weekly",$A1120+7,EDATE($A1120,VLOOKUP($I1120,Ref!$B$24:$C$29,2,0))))</f>
        <v/>
      </c>
      <c r="Z1120" s="536" t="str">
        <f t="shared" si="471"/>
        <v/>
      </c>
      <c r="AA1120" s="531">
        <f t="shared" si="472"/>
        <v>0</v>
      </c>
      <c r="AB1120" s="535" t="str">
        <f t="shared" si="460"/>
        <v/>
      </c>
      <c r="AC1120" s="537" t="str">
        <f t="shared" si="461"/>
        <v/>
      </c>
      <c r="AD1120" s="538" t="str">
        <f t="shared" ca="1" si="462"/>
        <v/>
      </c>
      <c r="AE1120" s="537">
        <f t="shared" ca="1" si="463"/>
        <v>0</v>
      </c>
      <c r="AF1120" s="539" t="str">
        <f t="shared" ca="1" si="473"/>
        <v/>
      </c>
      <c r="AG1120" s="531" t="str">
        <f t="shared" ca="1" si="474"/>
        <v/>
      </c>
      <c r="AH1120" s="531" t="str">
        <f t="shared" ca="1" si="475"/>
        <v/>
      </c>
      <c r="AI1120" s="531" t="str">
        <f t="shared" ca="1" si="476"/>
        <v/>
      </c>
      <c r="AJ1120" s="531" t="str">
        <f t="shared" si="477"/>
        <v/>
      </c>
      <c r="AK1120" s="540">
        <f>SUMIFS('Live Collections'!$S:$S,'Live Collections'!$D:$D,Disbursements!B1120,'Live Collections'!$G:$G,Disbursements!C1120)</f>
        <v>0</v>
      </c>
      <c r="AL1120" s="540">
        <f>SUMIFS('Live Collections'!$T:$T,'Live Collections'!$D:$D,Disbursements!B1120,'Live Collections'!$G:$G,Disbursements!C1120)</f>
        <v>0</v>
      </c>
      <c r="AM1120" s="541">
        <f t="shared" si="478"/>
        <v>0</v>
      </c>
      <c r="AN1120" s="542" t="str">
        <f t="shared" si="479"/>
        <v/>
      </c>
      <c r="AO1120" s="542" t="str">
        <f t="shared" si="480"/>
        <v/>
      </c>
      <c r="AP1120" s="543" t="str">
        <f t="shared" si="481"/>
        <v/>
      </c>
      <c r="AQ1120" s="544" t="str">
        <f t="shared" si="482"/>
        <v/>
      </c>
      <c r="AR1120" s="545">
        <f t="shared" si="483"/>
        <v>0</v>
      </c>
      <c r="AS1120" s="545">
        <f>IFERROR(CEILING($AR1120*VLOOKUP($I1120,Ref!$B$23:$E$29,4,0),1),0)</f>
        <v>0</v>
      </c>
      <c r="AT1120" s="545" t="str">
        <f>IF(A1120="","",IF(AP1120&lt;=1,"Cleared",IF(AS1120=0,"Clean",VLOOKUP($AS1120,Ref!$G$23:$H$28,2))))</f>
        <v/>
      </c>
      <c r="AU1120" s="546" t="str">
        <f t="shared" si="484"/>
        <v/>
      </c>
    </row>
    <row r="1121" spans="1:47" ht="14.25" hidden="1" customHeight="1" x14ac:dyDescent="0.15">
      <c r="A1121" s="523"/>
      <c r="B1121" s="523"/>
      <c r="C1121" s="523"/>
      <c r="D1121" s="523"/>
      <c r="E1121" s="579"/>
      <c r="F1121" s="580"/>
      <c r="G1121" s="524"/>
      <c r="H1121" s="555"/>
      <c r="I1121" s="560"/>
      <c r="J1121" s="523"/>
      <c r="K1121" s="528" t="str">
        <f>IFERROR(VLOOKUP($B1121,'Clients-Live'!$A:$C,3,0),"")</f>
        <v/>
      </c>
      <c r="L1121" s="528">
        <f>IF(E1121="STL",Pricing!$D$38,IF(A1121="",0,IF(A1121&lt;Pricing!$C$25,Pricing!$D$25,VLOOKUP(Disbursements!$F1121,Pricing!$B$29:$D$32,3))))</f>
        <v>0</v>
      </c>
      <c r="M1121" s="528">
        <f>IF(E1121="STL",0,IF(F1121&gt;0,Pricing!$D$21,0))</f>
        <v>0</v>
      </c>
      <c r="N1121" s="529">
        <f>IF(E1121="STL",F1121*Pricing!$D$40,IF(A1121&lt;=Pricing!$C$4,0,IF(AND(A1121&gt;Pricing!$C$4,Disbursements!A1121&lt;=Pricing!$C$5),F1121*Pricing!$E$5,IF(AND(A1121&gt;Pricing!$C$5,Disbursements!A1121&lt;=Pricing!$C$7),VLOOKUP(F1121,Pricing!$D$7:$E$8,2)*Disbursements!F1121,F1121*Pricing!$E$9))))</f>
        <v>0</v>
      </c>
      <c r="O1121" s="528">
        <f>IF(E1121="STL",0,IF($F1121&gt;0,$F1121*Pricing!$D$17,0))</f>
        <v>0</v>
      </c>
      <c r="P1121" s="530" t="str">
        <f t="shared" si="464"/>
        <v/>
      </c>
      <c r="Q1121" s="531" t="str">
        <f>IF($A1121="","",$G1121/VLOOKUP($I1121,Ref!$B$23:$D$29,2,0))</f>
        <v/>
      </c>
      <c r="R1121" s="530" t="str">
        <f t="shared" si="465"/>
        <v/>
      </c>
      <c r="S1121" s="532" t="str">
        <f t="shared" si="459"/>
        <v/>
      </c>
      <c r="T1121" s="531" t="str">
        <f t="shared" si="466"/>
        <v/>
      </c>
      <c r="U1121" s="533">
        <f t="shared" si="467"/>
        <v>0</v>
      </c>
      <c r="V1121" s="531" t="str">
        <f t="shared" si="468"/>
        <v/>
      </c>
      <c r="W1121" s="531" t="str">
        <f t="shared" si="469"/>
        <v/>
      </c>
      <c r="X1121" s="534" t="str">
        <f t="shared" si="470"/>
        <v/>
      </c>
      <c r="Y1121" s="535" t="str">
        <f>IF($A1121="","",IF($I1121="weekly",$A1121+7,EDATE($A1121,VLOOKUP($I1121,Ref!$B$24:$C$29,2,0))))</f>
        <v/>
      </c>
      <c r="Z1121" s="536" t="str">
        <f t="shared" si="471"/>
        <v/>
      </c>
      <c r="AA1121" s="531">
        <f t="shared" si="472"/>
        <v>0</v>
      </c>
      <c r="AB1121" s="535" t="str">
        <f t="shared" si="460"/>
        <v/>
      </c>
      <c r="AC1121" s="537" t="str">
        <f t="shared" si="461"/>
        <v/>
      </c>
      <c r="AD1121" s="538" t="str">
        <f t="shared" ca="1" si="462"/>
        <v/>
      </c>
      <c r="AE1121" s="537">
        <f t="shared" ca="1" si="463"/>
        <v>0</v>
      </c>
      <c r="AF1121" s="539" t="str">
        <f t="shared" ca="1" si="473"/>
        <v/>
      </c>
      <c r="AG1121" s="531" t="str">
        <f t="shared" ca="1" si="474"/>
        <v/>
      </c>
      <c r="AH1121" s="531" t="str">
        <f t="shared" ca="1" si="475"/>
        <v/>
      </c>
      <c r="AI1121" s="531" t="str">
        <f t="shared" ca="1" si="476"/>
        <v/>
      </c>
      <c r="AJ1121" s="531" t="str">
        <f t="shared" si="477"/>
        <v/>
      </c>
      <c r="AK1121" s="540">
        <f>SUMIFS('Live Collections'!$S:$S,'Live Collections'!$D:$D,Disbursements!B1121,'Live Collections'!$G:$G,Disbursements!C1121)</f>
        <v>0</v>
      </c>
      <c r="AL1121" s="540">
        <f>SUMIFS('Live Collections'!$T:$T,'Live Collections'!$D:$D,Disbursements!B1121,'Live Collections'!$G:$G,Disbursements!C1121)</f>
        <v>0</v>
      </c>
      <c r="AM1121" s="541">
        <f t="shared" si="478"/>
        <v>0</v>
      </c>
      <c r="AN1121" s="542" t="str">
        <f t="shared" si="479"/>
        <v/>
      </c>
      <c r="AO1121" s="542" t="str">
        <f t="shared" si="480"/>
        <v/>
      </c>
      <c r="AP1121" s="543" t="str">
        <f t="shared" si="481"/>
        <v/>
      </c>
      <c r="AQ1121" s="544" t="str">
        <f t="shared" si="482"/>
        <v/>
      </c>
      <c r="AR1121" s="545">
        <f t="shared" si="483"/>
        <v>0</v>
      </c>
      <c r="AS1121" s="545">
        <f>IFERROR(CEILING($AR1121*VLOOKUP($I1121,Ref!$B$23:$E$29,4,0),1),0)</f>
        <v>0</v>
      </c>
      <c r="AT1121" s="545" t="str">
        <f>IF(A1121="","",IF(AP1121&lt;=1,"Cleared",IF(AS1121=0,"Clean",VLOOKUP($AS1121,Ref!$G$23:$H$28,2))))</f>
        <v/>
      </c>
      <c r="AU1121" s="546" t="str">
        <f t="shared" si="484"/>
        <v/>
      </c>
    </row>
    <row r="1122" spans="1:47" ht="14.25" hidden="1" customHeight="1" x14ac:dyDescent="0.15">
      <c r="A1122" s="523"/>
      <c r="B1122" s="523"/>
      <c r="C1122" s="523"/>
      <c r="D1122" s="523"/>
      <c r="E1122" s="579"/>
      <c r="F1122" s="580"/>
      <c r="G1122" s="524"/>
      <c r="H1122" s="555"/>
      <c r="I1122" s="560"/>
      <c r="J1122" s="523"/>
      <c r="K1122" s="528" t="str">
        <f>IFERROR(VLOOKUP($B1122,'Clients-Live'!$A:$C,3,0),"")</f>
        <v/>
      </c>
      <c r="L1122" s="528">
        <f>IF(E1122="STL",Pricing!$D$38,IF(A1122="",0,IF(A1122&lt;Pricing!$C$25,Pricing!$D$25,VLOOKUP(Disbursements!$F1122,Pricing!$B$29:$D$32,3))))</f>
        <v>0</v>
      </c>
      <c r="M1122" s="528">
        <f>IF(E1122="STL",0,IF(F1122&gt;0,Pricing!$D$21,0))</f>
        <v>0</v>
      </c>
      <c r="N1122" s="529">
        <f>IF(E1122="STL",F1122*Pricing!$D$40,IF(A1122&lt;=Pricing!$C$4,0,IF(AND(A1122&gt;Pricing!$C$4,Disbursements!A1122&lt;=Pricing!$C$5),F1122*Pricing!$E$5,IF(AND(A1122&gt;Pricing!$C$5,Disbursements!A1122&lt;=Pricing!$C$7),VLOOKUP(F1122,Pricing!$D$7:$E$8,2)*Disbursements!F1122,F1122*Pricing!$E$9))))</f>
        <v>0</v>
      </c>
      <c r="O1122" s="528">
        <f>IF(E1122="STL",0,IF($F1122&gt;0,$F1122*Pricing!$D$17,0))</f>
        <v>0</v>
      </c>
      <c r="P1122" s="530" t="str">
        <f t="shared" si="464"/>
        <v/>
      </c>
      <c r="Q1122" s="531" t="str">
        <f>IF($A1122="","",$G1122/VLOOKUP($I1122,Ref!$B$23:$D$29,2,0))</f>
        <v/>
      </c>
      <c r="R1122" s="530" t="str">
        <f t="shared" si="465"/>
        <v/>
      </c>
      <c r="S1122" s="532" t="str">
        <f t="shared" si="459"/>
        <v/>
      </c>
      <c r="T1122" s="531" t="str">
        <f t="shared" si="466"/>
        <v/>
      </c>
      <c r="U1122" s="533">
        <f t="shared" si="467"/>
        <v>0</v>
      </c>
      <c r="V1122" s="531" t="str">
        <f t="shared" si="468"/>
        <v/>
      </c>
      <c r="W1122" s="531" t="str">
        <f t="shared" si="469"/>
        <v/>
      </c>
      <c r="X1122" s="534" t="str">
        <f t="shared" si="470"/>
        <v/>
      </c>
      <c r="Y1122" s="535" t="str">
        <f>IF($A1122="","",IF($I1122="weekly",$A1122+7,EDATE($A1122,VLOOKUP($I1122,Ref!$B$24:$C$29,2,0))))</f>
        <v/>
      </c>
      <c r="Z1122" s="536" t="str">
        <f t="shared" si="471"/>
        <v/>
      </c>
      <c r="AA1122" s="531">
        <f t="shared" si="472"/>
        <v>0</v>
      </c>
      <c r="AB1122" s="535" t="str">
        <f t="shared" si="460"/>
        <v/>
      </c>
      <c r="AC1122" s="537" t="str">
        <f t="shared" si="461"/>
        <v/>
      </c>
      <c r="AD1122" s="538" t="str">
        <f t="shared" ca="1" si="462"/>
        <v/>
      </c>
      <c r="AE1122" s="537">
        <f t="shared" ca="1" si="463"/>
        <v>0</v>
      </c>
      <c r="AF1122" s="539" t="str">
        <f t="shared" ca="1" si="473"/>
        <v/>
      </c>
      <c r="AG1122" s="531" t="str">
        <f t="shared" ca="1" si="474"/>
        <v/>
      </c>
      <c r="AH1122" s="531" t="str">
        <f t="shared" ca="1" si="475"/>
        <v/>
      </c>
      <c r="AI1122" s="531" t="str">
        <f t="shared" ca="1" si="476"/>
        <v/>
      </c>
      <c r="AJ1122" s="531" t="str">
        <f t="shared" si="477"/>
        <v/>
      </c>
      <c r="AK1122" s="540">
        <f>SUMIFS('Live Collections'!$S:$S,'Live Collections'!$D:$D,Disbursements!B1122,'Live Collections'!$G:$G,Disbursements!C1122)</f>
        <v>0</v>
      </c>
      <c r="AL1122" s="540">
        <f>SUMIFS('Live Collections'!$T:$T,'Live Collections'!$D:$D,Disbursements!B1122,'Live Collections'!$G:$G,Disbursements!C1122)</f>
        <v>0</v>
      </c>
      <c r="AM1122" s="541">
        <f t="shared" si="478"/>
        <v>0</v>
      </c>
      <c r="AN1122" s="542" t="str">
        <f t="shared" si="479"/>
        <v/>
      </c>
      <c r="AO1122" s="542" t="str">
        <f t="shared" si="480"/>
        <v/>
      </c>
      <c r="AP1122" s="543" t="str">
        <f t="shared" si="481"/>
        <v/>
      </c>
      <c r="AQ1122" s="544" t="str">
        <f t="shared" si="482"/>
        <v/>
      </c>
      <c r="AR1122" s="545">
        <f t="shared" si="483"/>
        <v>0</v>
      </c>
      <c r="AS1122" s="545">
        <f>IFERROR(CEILING($AR1122*VLOOKUP($I1122,Ref!$B$23:$E$29,4,0),1),0)</f>
        <v>0</v>
      </c>
      <c r="AT1122" s="545" t="str">
        <f>IF(A1122="","",IF(AP1122&lt;=1,"Cleared",IF(AS1122=0,"Clean",VLOOKUP($AS1122,Ref!$G$23:$H$28,2))))</f>
        <v/>
      </c>
      <c r="AU1122" s="546" t="str">
        <f t="shared" si="484"/>
        <v/>
      </c>
    </row>
    <row r="1123" spans="1:47" ht="14.25" hidden="1" customHeight="1" x14ac:dyDescent="0.15">
      <c r="A1123" s="523"/>
      <c r="B1123" s="523"/>
      <c r="C1123" s="523"/>
      <c r="D1123" s="523"/>
      <c r="E1123" s="579"/>
      <c r="F1123" s="580"/>
      <c r="G1123" s="524"/>
      <c r="H1123" s="555"/>
      <c r="I1123" s="560"/>
      <c r="J1123" s="523"/>
      <c r="K1123" s="528" t="str">
        <f>IFERROR(VLOOKUP($B1123,'Clients-Live'!$A:$C,3,0),"")</f>
        <v/>
      </c>
      <c r="L1123" s="528">
        <f>IF(E1123="STL",Pricing!$D$38,IF(A1123="",0,IF(A1123&lt;Pricing!$C$25,Pricing!$D$25,VLOOKUP(Disbursements!$F1123,Pricing!$B$29:$D$32,3))))</f>
        <v>0</v>
      </c>
      <c r="M1123" s="528">
        <f>IF(E1123="STL",0,IF(F1123&gt;0,Pricing!$D$21,0))</f>
        <v>0</v>
      </c>
      <c r="N1123" s="529">
        <f>IF(E1123="STL",F1123*Pricing!$D$40,IF(A1123&lt;=Pricing!$C$4,0,IF(AND(A1123&gt;Pricing!$C$4,Disbursements!A1123&lt;=Pricing!$C$5),F1123*Pricing!$E$5,IF(AND(A1123&gt;Pricing!$C$5,Disbursements!A1123&lt;=Pricing!$C$7),VLOOKUP(F1123,Pricing!$D$7:$E$8,2)*Disbursements!F1123,F1123*Pricing!$E$9))))</f>
        <v>0</v>
      </c>
      <c r="O1123" s="528">
        <f>IF(E1123="STL",0,IF($F1123&gt;0,$F1123*Pricing!$D$17,0))</f>
        <v>0</v>
      </c>
      <c r="P1123" s="530" t="str">
        <f t="shared" si="464"/>
        <v/>
      </c>
      <c r="Q1123" s="531" t="str">
        <f>IF($A1123="","",$G1123/VLOOKUP($I1123,Ref!$B$23:$D$29,2,0))</f>
        <v/>
      </c>
      <c r="R1123" s="530" t="str">
        <f t="shared" si="465"/>
        <v/>
      </c>
      <c r="S1123" s="532" t="str">
        <f t="shared" si="459"/>
        <v/>
      </c>
      <c r="T1123" s="531" t="str">
        <f t="shared" si="466"/>
        <v/>
      </c>
      <c r="U1123" s="533">
        <f t="shared" si="467"/>
        <v>0</v>
      </c>
      <c r="V1123" s="531" t="str">
        <f t="shared" si="468"/>
        <v/>
      </c>
      <c r="W1123" s="531" t="str">
        <f t="shared" si="469"/>
        <v/>
      </c>
      <c r="X1123" s="534" t="str">
        <f t="shared" si="470"/>
        <v/>
      </c>
      <c r="Y1123" s="535" t="str">
        <f>IF($A1123="","",IF($I1123="weekly",$A1123+7,EDATE($A1123,VLOOKUP($I1123,Ref!$B$24:$C$29,2,0))))</f>
        <v/>
      </c>
      <c r="Z1123" s="536" t="str">
        <f t="shared" si="471"/>
        <v/>
      </c>
      <c r="AA1123" s="531">
        <f t="shared" si="472"/>
        <v>0</v>
      </c>
      <c r="AB1123" s="535" t="str">
        <f t="shared" si="460"/>
        <v/>
      </c>
      <c r="AC1123" s="537" t="str">
        <f t="shared" si="461"/>
        <v/>
      </c>
      <c r="AD1123" s="538" t="str">
        <f t="shared" ca="1" si="462"/>
        <v/>
      </c>
      <c r="AE1123" s="537">
        <f t="shared" ca="1" si="463"/>
        <v>0</v>
      </c>
      <c r="AF1123" s="539" t="str">
        <f t="shared" ca="1" si="473"/>
        <v/>
      </c>
      <c r="AG1123" s="531" t="str">
        <f t="shared" ca="1" si="474"/>
        <v/>
      </c>
      <c r="AH1123" s="531" t="str">
        <f t="shared" ca="1" si="475"/>
        <v/>
      </c>
      <c r="AI1123" s="531" t="str">
        <f t="shared" ca="1" si="476"/>
        <v/>
      </c>
      <c r="AJ1123" s="531" t="str">
        <f t="shared" si="477"/>
        <v/>
      </c>
      <c r="AK1123" s="540">
        <f>SUMIFS('Live Collections'!$S:$S,'Live Collections'!$D:$D,Disbursements!B1123,'Live Collections'!$G:$G,Disbursements!C1123)</f>
        <v>0</v>
      </c>
      <c r="AL1123" s="540">
        <f>SUMIFS('Live Collections'!$T:$T,'Live Collections'!$D:$D,Disbursements!B1123,'Live Collections'!$G:$G,Disbursements!C1123)</f>
        <v>0</v>
      </c>
      <c r="AM1123" s="541">
        <f t="shared" si="478"/>
        <v>0</v>
      </c>
      <c r="AN1123" s="542" t="str">
        <f t="shared" si="479"/>
        <v/>
      </c>
      <c r="AO1123" s="542" t="str">
        <f t="shared" si="480"/>
        <v/>
      </c>
      <c r="AP1123" s="543" t="str">
        <f t="shared" si="481"/>
        <v/>
      </c>
      <c r="AQ1123" s="544" t="str">
        <f t="shared" si="482"/>
        <v/>
      </c>
      <c r="AR1123" s="545">
        <f t="shared" si="483"/>
        <v>0</v>
      </c>
      <c r="AS1123" s="545">
        <f>IFERROR(CEILING($AR1123*VLOOKUP($I1123,Ref!$B$23:$E$29,4,0),1),0)</f>
        <v>0</v>
      </c>
      <c r="AT1123" s="545" t="str">
        <f>IF(A1123="","",IF(AP1123&lt;=1,"Cleared",IF(AS1123=0,"Clean",VLOOKUP($AS1123,Ref!$G$23:$H$28,2))))</f>
        <v/>
      </c>
      <c r="AU1123" s="546" t="str">
        <f t="shared" si="484"/>
        <v/>
      </c>
    </row>
    <row r="1124" spans="1:47" ht="14.25" hidden="1" customHeight="1" x14ac:dyDescent="0.15">
      <c r="A1124" s="523"/>
      <c r="B1124" s="523"/>
      <c r="C1124" s="523"/>
      <c r="D1124" s="523"/>
      <c r="E1124" s="579"/>
      <c r="F1124" s="580"/>
      <c r="G1124" s="524"/>
      <c r="H1124" s="555"/>
      <c r="I1124" s="560"/>
      <c r="J1124" s="523"/>
      <c r="K1124" s="528" t="str">
        <f>IFERROR(VLOOKUP($B1124,'Clients-Live'!$A:$C,3,0),"")</f>
        <v/>
      </c>
      <c r="L1124" s="528">
        <f>IF(E1124="STL",Pricing!$D$38,IF(A1124="",0,IF(A1124&lt;Pricing!$C$25,Pricing!$D$25,VLOOKUP(Disbursements!$F1124,Pricing!$B$29:$D$32,3))))</f>
        <v>0</v>
      </c>
      <c r="M1124" s="528">
        <f>IF(E1124="STL",0,IF(F1124&gt;0,Pricing!$D$21,0))</f>
        <v>0</v>
      </c>
      <c r="N1124" s="529">
        <f>IF(E1124="STL",F1124*Pricing!$D$40,IF(A1124&lt;=Pricing!$C$4,0,IF(AND(A1124&gt;Pricing!$C$4,Disbursements!A1124&lt;=Pricing!$C$5),F1124*Pricing!$E$5,IF(AND(A1124&gt;Pricing!$C$5,Disbursements!A1124&lt;=Pricing!$C$7),VLOOKUP(F1124,Pricing!$D$7:$E$8,2)*Disbursements!F1124,F1124*Pricing!$E$9))))</f>
        <v>0</v>
      </c>
      <c r="O1124" s="528">
        <f>IF(E1124="STL",0,IF($F1124&gt;0,$F1124*Pricing!$D$17,0))</f>
        <v>0</v>
      </c>
      <c r="P1124" s="530" t="str">
        <f t="shared" si="464"/>
        <v/>
      </c>
      <c r="Q1124" s="531" t="str">
        <f>IF($A1124="","",$G1124/VLOOKUP($I1124,Ref!$B$23:$D$29,2,0))</f>
        <v/>
      </c>
      <c r="R1124" s="530" t="str">
        <f t="shared" si="465"/>
        <v/>
      </c>
      <c r="S1124" s="532" t="str">
        <f t="shared" si="459"/>
        <v/>
      </c>
      <c r="T1124" s="531" t="str">
        <f t="shared" si="466"/>
        <v/>
      </c>
      <c r="U1124" s="533">
        <f t="shared" si="467"/>
        <v>0</v>
      </c>
      <c r="V1124" s="531" t="str">
        <f t="shared" si="468"/>
        <v/>
      </c>
      <c r="W1124" s="531" t="str">
        <f t="shared" si="469"/>
        <v/>
      </c>
      <c r="X1124" s="534" t="str">
        <f t="shared" si="470"/>
        <v/>
      </c>
      <c r="Y1124" s="535" t="str">
        <f>IF($A1124="","",IF($I1124="weekly",$A1124+7,EDATE($A1124,VLOOKUP($I1124,Ref!$B$24:$C$29,2,0))))</f>
        <v/>
      </c>
      <c r="Z1124" s="536" t="str">
        <f t="shared" si="471"/>
        <v/>
      </c>
      <c r="AA1124" s="531">
        <f t="shared" si="472"/>
        <v>0</v>
      </c>
      <c r="AB1124" s="535" t="str">
        <f t="shared" si="460"/>
        <v/>
      </c>
      <c r="AC1124" s="537" t="str">
        <f t="shared" si="461"/>
        <v/>
      </c>
      <c r="AD1124" s="538" t="str">
        <f t="shared" ca="1" si="462"/>
        <v/>
      </c>
      <c r="AE1124" s="537">
        <f t="shared" ca="1" si="463"/>
        <v>0</v>
      </c>
      <c r="AF1124" s="539" t="str">
        <f t="shared" ca="1" si="473"/>
        <v/>
      </c>
      <c r="AG1124" s="531" t="str">
        <f t="shared" ca="1" si="474"/>
        <v/>
      </c>
      <c r="AH1124" s="531" t="str">
        <f t="shared" ca="1" si="475"/>
        <v/>
      </c>
      <c r="AI1124" s="531" t="str">
        <f t="shared" ca="1" si="476"/>
        <v/>
      </c>
      <c r="AJ1124" s="531" t="str">
        <f t="shared" si="477"/>
        <v/>
      </c>
      <c r="AK1124" s="540">
        <f>SUMIFS('Live Collections'!$S:$S,'Live Collections'!$D:$D,Disbursements!B1124,'Live Collections'!$G:$G,Disbursements!C1124)</f>
        <v>0</v>
      </c>
      <c r="AL1124" s="540">
        <f>SUMIFS('Live Collections'!$T:$T,'Live Collections'!$D:$D,Disbursements!B1124,'Live Collections'!$G:$G,Disbursements!C1124)</f>
        <v>0</v>
      </c>
      <c r="AM1124" s="541">
        <f t="shared" si="478"/>
        <v>0</v>
      </c>
      <c r="AN1124" s="542" t="str">
        <f t="shared" si="479"/>
        <v/>
      </c>
      <c r="AO1124" s="542" t="str">
        <f t="shared" si="480"/>
        <v/>
      </c>
      <c r="AP1124" s="543" t="str">
        <f t="shared" si="481"/>
        <v/>
      </c>
      <c r="AQ1124" s="544" t="str">
        <f t="shared" si="482"/>
        <v/>
      </c>
      <c r="AR1124" s="545">
        <f t="shared" si="483"/>
        <v>0</v>
      </c>
      <c r="AS1124" s="545">
        <f>IFERROR(CEILING($AR1124*VLOOKUP($I1124,Ref!$B$23:$E$29,4,0),1),0)</f>
        <v>0</v>
      </c>
      <c r="AT1124" s="545" t="str">
        <f>IF(A1124="","",IF(AP1124&lt;=1,"Cleared",IF(AS1124=0,"Clean",VLOOKUP($AS1124,Ref!$G$23:$H$28,2))))</f>
        <v/>
      </c>
      <c r="AU1124" s="546" t="str">
        <f t="shared" si="484"/>
        <v/>
      </c>
    </row>
    <row r="1125" spans="1:47" ht="14.25" hidden="1" customHeight="1" x14ac:dyDescent="0.15">
      <c r="A1125" s="523"/>
      <c r="B1125" s="523"/>
      <c r="C1125" s="523"/>
      <c r="D1125" s="523"/>
      <c r="E1125" s="579"/>
      <c r="F1125" s="580"/>
      <c r="G1125" s="524"/>
      <c r="H1125" s="555"/>
      <c r="I1125" s="560"/>
      <c r="J1125" s="523"/>
      <c r="K1125" s="528" t="str">
        <f>IFERROR(VLOOKUP($B1125,'Clients-Live'!$A:$C,3,0),"")</f>
        <v/>
      </c>
      <c r="L1125" s="528">
        <f>IF(E1125="STL",Pricing!$D$38,IF(A1125="",0,IF(A1125&lt;Pricing!$C$25,Pricing!$D$25,VLOOKUP(Disbursements!$F1125,Pricing!$B$29:$D$32,3))))</f>
        <v>0</v>
      </c>
      <c r="M1125" s="528">
        <f>IF(E1125="STL",0,IF(F1125&gt;0,Pricing!$D$21,0))</f>
        <v>0</v>
      </c>
      <c r="N1125" s="529">
        <f>IF(E1125="STL",F1125*Pricing!$D$40,IF(A1125&lt;=Pricing!$C$4,0,IF(AND(A1125&gt;Pricing!$C$4,Disbursements!A1125&lt;=Pricing!$C$5),F1125*Pricing!$E$5,IF(AND(A1125&gt;Pricing!$C$5,Disbursements!A1125&lt;=Pricing!$C$7),VLOOKUP(F1125,Pricing!$D$7:$E$8,2)*Disbursements!F1125,F1125*Pricing!$E$9))))</f>
        <v>0</v>
      </c>
      <c r="O1125" s="528">
        <f>IF(E1125="STL",0,IF($F1125&gt;0,$F1125*Pricing!$D$17,0))</f>
        <v>0</v>
      </c>
      <c r="P1125" s="530" t="str">
        <f t="shared" si="464"/>
        <v/>
      </c>
      <c r="Q1125" s="531" t="str">
        <f>IF($A1125="","",$G1125/VLOOKUP($I1125,Ref!$B$23:$D$29,2,0))</f>
        <v/>
      </c>
      <c r="R1125" s="530" t="str">
        <f t="shared" si="465"/>
        <v/>
      </c>
      <c r="S1125" s="532" t="str">
        <f t="shared" si="459"/>
        <v/>
      </c>
      <c r="T1125" s="531" t="str">
        <f t="shared" si="466"/>
        <v/>
      </c>
      <c r="U1125" s="533">
        <f t="shared" si="467"/>
        <v>0</v>
      </c>
      <c r="V1125" s="531" t="str">
        <f t="shared" si="468"/>
        <v/>
      </c>
      <c r="W1125" s="531" t="str">
        <f t="shared" si="469"/>
        <v/>
      </c>
      <c r="X1125" s="534" t="str">
        <f t="shared" si="470"/>
        <v/>
      </c>
      <c r="Y1125" s="535" t="str">
        <f>IF($A1125="","",IF($I1125="weekly",$A1125+7,EDATE($A1125,VLOOKUP($I1125,Ref!$B$24:$C$29,2,0))))</f>
        <v/>
      </c>
      <c r="Z1125" s="536" t="str">
        <f t="shared" si="471"/>
        <v/>
      </c>
      <c r="AA1125" s="531">
        <f t="shared" si="472"/>
        <v>0</v>
      </c>
      <c r="AB1125" s="535" t="str">
        <f t="shared" si="460"/>
        <v/>
      </c>
      <c r="AC1125" s="537" t="str">
        <f t="shared" si="461"/>
        <v/>
      </c>
      <c r="AD1125" s="538" t="str">
        <f t="shared" ca="1" si="462"/>
        <v/>
      </c>
      <c r="AE1125" s="537">
        <f t="shared" ca="1" si="463"/>
        <v>0</v>
      </c>
      <c r="AF1125" s="539" t="str">
        <f t="shared" ca="1" si="473"/>
        <v/>
      </c>
      <c r="AG1125" s="531" t="str">
        <f t="shared" ca="1" si="474"/>
        <v/>
      </c>
      <c r="AH1125" s="531" t="str">
        <f t="shared" ca="1" si="475"/>
        <v/>
      </c>
      <c r="AI1125" s="531" t="str">
        <f t="shared" ca="1" si="476"/>
        <v/>
      </c>
      <c r="AJ1125" s="531" t="str">
        <f t="shared" si="477"/>
        <v/>
      </c>
      <c r="AK1125" s="540">
        <f>SUMIFS('Live Collections'!$S:$S,'Live Collections'!$D:$D,Disbursements!B1125,'Live Collections'!$G:$G,Disbursements!C1125)</f>
        <v>0</v>
      </c>
      <c r="AL1125" s="540">
        <f>SUMIFS('Live Collections'!$T:$T,'Live Collections'!$D:$D,Disbursements!B1125,'Live Collections'!$G:$G,Disbursements!C1125)</f>
        <v>0</v>
      </c>
      <c r="AM1125" s="541">
        <f t="shared" si="478"/>
        <v>0</v>
      </c>
      <c r="AN1125" s="542" t="str">
        <f t="shared" si="479"/>
        <v/>
      </c>
      <c r="AO1125" s="542" t="str">
        <f t="shared" si="480"/>
        <v/>
      </c>
      <c r="AP1125" s="543" t="str">
        <f t="shared" si="481"/>
        <v/>
      </c>
      <c r="AQ1125" s="544" t="str">
        <f t="shared" si="482"/>
        <v/>
      </c>
      <c r="AR1125" s="545">
        <f t="shared" si="483"/>
        <v>0</v>
      </c>
      <c r="AS1125" s="545">
        <f>IFERROR(CEILING($AR1125*VLOOKUP($I1125,Ref!$B$23:$E$29,4,0),1),0)</f>
        <v>0</v>
      </c>
      <c r="AT1125" s="545" t="str">
        <f>IF(A1125="","",IF(AP1125&lt;=1,"Cleared",IF(AS1125=0,"Clean",VLOOKUP($AS1125,Ref!$G$23:$H$28,2))))</f>
        <v/>
      </c>
      <c r="AU1125" s="546" t="str">
        <f t="shared" si="484"/>
        <v/>
      </c>
    </row>
    <row r="1126" spans="1:47" ht="14.25" hidden="1" customHeight="1" x14ac:dyDescent="0.15">
      <c r="A1126" s="523"/>
      <c r="B1126" s="523"/>
      <c r="C1126" s="523"/>
      <c r="D1126" s="523"/>
      <c r="E1126" s="579"/>
      <c r="F1126" s="580"/>
      <c r="G1126" s="524"/>
      <c r="H1126" s="555"/>
      <c r="I1126" s="560"/>
      <c r="J1126" s="523"/>
      <c r="K1126" s="528" t="str">
        <f>IFERROR(VLOOKUP($B1126,'Clients-Live'!$A:$C,3,0),"")</f>
        <v/>
      </c>
      <c r="L1126" s="528">
        <f>IF(E1126="STL",Pricing!$D$38,IF(A1126="",0,IF(A1126&lt;Pricing!$C$25,Pricing!$D$25,VLOOKUP(Disbursements!$F1126,Pricing!$B$29:$D$32,3))))</f>
        <v>0</v>
      </c>
      <c r="M1126" s="528">
        <f>IF(E1126="STL",0,IF(F1126&gt;0,Pricing!$D$21,0))</f>
        <v>0</v>
      </c>
      <c r="N1126" s="529">
        <f>IF(E1126="STL",F1126*Pricing!$D$40,IF(A1126&lt;=Pricing!$C$4,0,IF(AND(A1126&gt;Pricing!$C$4,Disbursements!A1126&lt;=Pricing!$C$5),F1126*Pricing!$E$5,IF(AND(A1126&gt;Pricing!$C$5,Disbursements!A1126&lt;=Pricing!$C$7),VLOOKUP(F1126,Pricing!$D$7:$E$8,2)*Disbursements!F1126,F1126*Pricing!$E$9))))</f>
        <v>0</v>
      </c>
      <c r="O1126" s="528">
        <f>IF(E1126="STL",0,IF($F1126&gt;0,$F1126*Pricing!$D$17,0))</f>
        <v>0</v>
      </c>
      <c r="P1126" s="530" t="str">
        <f t="shared" si="464"/>
        <v/>
      </c>
      <c r="Q1126" s="531" t="str">
        <f>IF($A1126="","",$G1126/VLOOKUP($I1126,Ref!$B$23:$D$29,2,0))</f>
        <v/>
      </c>
      <c r="R1126" s="530" t="str">
        <f t="shared" si="465"/>
        <v/>
      </c>
      <c r="S1126" s="532" t="str">
        <f t="shared" si="459"/>
        <v/>
      </c>
      <c r="T1126" s="531" t="str">
        <f t="shared" si="466"/>
        <v/>
      </c>
      <c r="U1126" s="533">
        <f t="shared" si="467"/>
        <v>0</v>
      </c>
      <c r="V1126" s="531" t="str">
        <f t="shared" si="468"/>
        <v/>
      </c>
      <c r="W1126" s="531" t="str">
        <f t="shared" si="469"/>
        <v/>
      </c>
      <c r="X1126" s="534" t="str">
        <f t="shared" si="470"/>
        <v/>
      </c>
      <c r="Y1126" s="535" t="str">
        <f>IF($A1126="","",IF($I1126="weekly",$A1126+7,EDATE($A1126,VLOOKUP($I1126,Ref!$B$24:$C$29,2,0))))</f>
        <v/>
      </c>
      <c r="Z1126" s="536" t="str">
        <f t="shared" si="471"/>
        <v/>
      </c>
      <c r="AA1126" s="531">
        <f t="shared" si="472"/>
        <v>0</v>
      </c>
      <c r="AB1126" s="535" t="str">
        <f t="shared" si="460"/>
        <v/>
      </c>
      <c r="AC1126" s="537" t="str">
        <f t="shared" si="461"/>
        <v/>
      </c>
      <c r="AD1126" s="538" t="str">
        <f t="shared" ca="1" si="462"/>
        <v/>
      </c>
      <c r="AE1126" s="537">
        <f t="shared" ca="1" si="463"/>
        <v>0</v>
      </c>
      <c r="AF1126" s="539" t="str">
        <f t="shared" ca="1" si="473"/>
        <v/>
      </c>
      <c r="AG1126" s="531" t="str">
        <f t="shared" ca="1" si="474"/>
        <v/>
      </c>
      <c r="AH1126" s="531" t="str">
        <f t="shared" ca="1" si="475"/>
        <v/>
      </c>
      <c r="AI1126" s="531" t="str">
        <f t="shared" ca="1" si="476"/>
        <v/>
      </c>
      <c r="AJ1126" s="531" t="str">
        <f t="shared" si="477"/>
        <v/>
      </c>
      <c r="AK1126" s="540">
        <f>SUMIFS('Live Collections'!$S:$S,'Live Collections'!$D:$D,Disbursements!B1126,'Live Collections'!$G:$G,Disbursements!C1126)</f>
        <v>0</v>
      </c>
      <c r="AL1126" s="540">
        <f>SUMIFS('Live Collections'!$T:$T,'Live Collections'!$D:$D,Disbursements!B1126,'Live Collections'!$G:$G,Disbursements!C1126)</f>
        <v>0</v>
      </c>
      <c r="AM1126" s="541">
        <f t="shared" si="478"/>
        <v>0</v>
      </c>
      <c r="AN1126" s="542" t="str">
        <f t="shared" si="479"/>
        <v/>
      </c>
      <c r="AO1126" s="542" t="str">
        <f t="shared" si="480"/>
        <v/>
      </c>
      <c r="AP1126" s="543" t="str">
        <f t="shared" si="481"/>
        <v/>
      </c>
      <c r="AQ1126" s="544" t="str">
        <f t="shared" si="482"/>
        <v/>
      </c>
      <c r="AR1126" s="545">
        <f t="shared" si="483"/>
        <v>0</v>
      </c>
      <c r="AS1126" s="545">
        <f>IFERROR(CEILING($AR1126*VLOOKUP($I1126,Ref!$B$23:$E$29,4,0),1),0)</f>
        <v>0</v>
      </c>
      <c r="AT1126" s="545" t="str">
        <f>IF(A1126="","",IF(AP1126&lt;=1,"Cleared",IF(AS1126=0,"Clean",VLOOKUP($AS1126,Ref!$G$23:$H$28,2))))</f>
        <v/>
      </c>
      <c r="AU1126" s="546" t="str">
        <f t="shared" si="484"/>
        <v/>
      </c>
    </row>
    <row r="1127" spans="1:47" ht="14.25" hidden="1" customHeight="1" x14ac:dyDescent="0.15">
      <c r="A1127" s="523"/>
      <c r="B1127" s="523"/>
      <c r="C1127" s="523"/>
      <c r="D1127" s="523"/>
      <c r="E1127" s="579"/>
      <c r="F1127" s="580"/>
      <c r="G1127" s="524"/>
      <c r="H1127" s="555"/>
      <c r="I1127" s="560"/>
      <c r="J1127" s="523"/>
      <c r="K1127" s="528" t="str">
        <f>IFERROR(VLOOKUP($B1127,'Clients-Live'!$A:$C,3,0),"")</f>
        <v/>
      </c>
      <c r="L1127" s="528">
        <f>IF(E1127="STL",Pricing!$D$38,IF(A1127="",0,IF(A1127&lt;Pricing!$C$25,Pricing!$D$25,VLOOKUP(Disbursements!$F1127,Pricing!$B$29:$D$32,3))))</f>
        <v>0</v>
      </c>
      <c r="M1127" s="528">
        <f>IF(E1127="STL",0,IF(F1127&gt;0,Pricing!$D$21,0))</f>
        <v>0</v>
      </c>
      <c r="N1127" s="529">
        <f>IF(E1127="STL",F1127*Pricing!$D$40,IF(A1127&lt;=Pricing!$C$4,0,IF(AND(A1127&gt;Pricing!$C$4,Disbursements!A1127&lt;=Pricing!$C$5),F1127*Pricing!$E$5,IF(AND(A1127&gt;Pricing!$C$5,Disbursements!A1127&lt;=Pricing!$C$7),VLOOKUP(F1127,Pricing!$D$7:$E$8,2)*Disbursements!F1127,F1127*Pricing!$E$9))))</f>
        <v>0</v>
      </c>
      <c r="O1127" s="528">
        <f>IF(E1127="STL",0,IF($F1127&gt;0,$F1127*Pricing!$D$17,0))</f>
        <v>0</v>
      </c>
      <c r="P1127" s="530" t="str">
        <f t="shared" si="464"/>
        <v/>
      </c>
      <c r="Q1127" s="531" t="str">
        <f>IF($A1127="","",$G1127/VLOOKUP($I1127,Ref!$B$23:$D$29,2,0))</f>
        <v/>
      </c>
      <c r="R1127" s="530" t="str">
        <f t="shared" si="465"/>
        <v/>
      </c>
      <c r="S1127" s="532" t="str">
        <f t="shared" si="459"/>
        <v/>
      </c>
      <c r="T1127" s="531" t="str">
        <f t="shared" si="466"/>
        <v/>
      </c>
      <c r="U1127" s="533">
        <f t="shared" si="467"/>
        <v>0</v>
      </c>
      <c r="V1127" s="531" t="str">
        <f t="shared" si="468"/>
        <v/>
      </c>
      <c r="W1127" s="531" t="str">
        <f t="shared" si="469"/>
        <v/>
      </c>
      <c r="X1127" s="534" t="str">
        <f t="shared" si="470"/>
        <v/>
      </c>
      <c r="Y1127" s="535" t="str">
        <f>IF($A1127="","",IF($I1127="weekly",$A1127+7,EDATE($A1127,VLOOKUP($I1127,Ref!$B$24:$C$29,2,0))))</f>
        <v/>
      </c>
      <c r="Z1127" s="536" t="str">
        <f t="shared" si="471"/>
        <v/>
      </c>
      <c r="AA1127" s="531">
        <f t="shared" si="472"/>
        <v>0</v>
      </c>
      <c r="AB1127" s="535" t="str">
        <f t="shared" si="460"/>
        <v/>
      </c>
      <c r="AC1127" s="537" t="str">
        <f t="shared" si="461"/>
        <v/>
      </c>
      <c r="AD1127" s="538" t="str">
        <f t="shared" ca="1" si="462"/>
        <v/>
      </c>
      <c r="AE1127" s="537">
        <f t="shared" ca="1" si="463"/>
        <v>0</v>
      </c>
      <c r="AF1127" s="539" t="str">
        <f t="shared" ca="1" si="473"/>
        <v/>
      </c>
      <c r="AG1127" s="531" t="str">
        <f t="shared" ca="1" si="474"/>
        <v/>
      </c>
      <c r="AH1127" s="531" t="str">
        <f t="shared" ca="1" si="475"/>
        <v/>
      </c>
      <c r="AI1127" s="531" t="str">
        <f t="shared" ca="1" si="476"/>
        <v/>
      </c>
      <c r="AJ1127" s="531" t="str">
        <f t="shared" si="477"/>
        <v/>
      </c>
      <c r="AK1127" s="540">
        <f>SUMIFS('Live Collections'!$S:$S,'Live Collections'!$D:$D,Disbursements!B1127,'Live Collections'!$G:$G,Disbursements!C1127)</f>
        <v>0</v>
      </c>
      <c r="AL1127" s="540">
        <f>SUMIFS('Live Collections'!$T:$T,'Live Collections'!$D:$D,Disbursements!B1127,'Live Collections'!$G:$G,Disbursements!C1127)</f>
        <v>0</v>
      </c>
      <c r="AM1127" s="541">
        <f t="shared" si="478"/>
        <v>0</v>
      </c>
      <c r="AN1127" s="542" t="str">
        <f t="shared" si="479"/>
        <v/>
      </c>
      <c r="AO1127" s="542" t="str">
        <f t="shared" si="480"/>
        <v/>
      </c>
      <c r="AP1127" s="543" t="str">
        <f t="shared" si="481"/>
        <v/>
      </c>
      <c r="AQ1127" s="544" t="str">
        <f t="shared" si="482"/>
        <v/>
      </c>
      <c r="AR1127" s="545">
        <f t="shared" si="483"/>
        <v>0</v>
      </c>
      <c r="AS1127" s="545">
        <f>IFERROR(CEILING($AR1127*VLOOKUP($I1127,Ref!$B$23:$E$29,4,0),1),0)</f>
        <v>0</v>
      </c>
      <c r="AT1127" s="545" t="str">
        <f>IF(A1127="","",IF(AP1127&lt;=1,"Cleared",IF(AS1127=0,"Clean",VLOOKUP($AS1127,Ref!$G$23:$H$28,2))))</f>
        <v/>
      </c>
      <c r="AU1127" s="546" t="str">
        <f t="shared" si="484"/>
        <v/>
      </c>
    </row>
    <row r="1128" spans="1:47" ht="14.25" hidden="1" customHeight="1" x14ac:dyDescent="0.15">
      <c r="A1128" s="523"/>
      <c r="B1128" s="523"/>
      <c r="C1128" s="523"/>
      <c r="D1128" s="523"/>
      <c r="E1128" s="579"/>
      <c r="F1128" s="580"/>
      <c r="G1128" s="524"/>
      <c r="H1128" s="555"/>
      <c r="I1128" s="560"/>
      <c r="J1128" s="523"/>
      <c r="K1128" s="528" t="str">
        <f>IFERROR(VLOOKUP($B1128,'Clients-Live'!$A:$C,3,0),"")</f>
        <v/>
      </c>
      <c r="L1128" s="528">
        <f>IF(E1128="STL",Pricing!$D$38,IF(A1128="",0,IF(A1128&lt;Pricing!$C$25,Pricing!$D$25,VLOOKUP(Disbursements!$F1128,Pricing!$B$29:$D$32,3))))</f>
        <v>0</v>
      </c>
      <c r="M1128" s="528">
        <f>IF(E1128="STL",0,IF(F1128&gt;0,Pricing!$D$21,0))</f>
        <v>0</v>
      </c>
      <c r="N1128" s="529">
        <f>IF(E1128="STL",F1128*Pricing!$D$40,IF(A1128&lt;=Pricing!$C$4,0,IF(AND(A1128&gt;Pricing!$C$4,Disbursements!A1128&lt;=Pricing!$C$5),F1128*Pricing!$E$5,IF(AND(A1128&gt;Pricing!$C$5,Disbursements!A1128&lt;=Pricing!$C$7),VLOOKUP(F1128,Pricing!$D$7:$E$8,2)*Disbursements!F1128,F1128*Pricing!$E$9))))</f>
        <v>0</v>
      </c>
      <c r="O1128" s="528">
        <f>IF(E1128="STL",0,IF($F1128&gt;0,$F1128*Pricing!$D$17,0))</f>
        <v>0</v>
      </c>
      <c r="P1128" s="530" t="str">
        <f t="shared" si="464"/>
        <v/>
      </c>
      <c r="Q1128" s="531" t="str">
        <f>IF($A1128="","",$G1128/VLOOKUP($I1128,Ref!$B$23:$D$29,2,0))</f>
        <v/>
      </c>
      <c r="R1128" s="530" t="str">
        <f t="shared" si="465"/>
        <v/>
      </c>
      <c r="S1128" s="532" t="str">
        <f t="shared" si="459"/>
        <v/>
      </c>
      <c r="T1128" s="531" t="str">
        <f t="shared" si="466"/>
        <v/>
      </c>
      <c r="U1128" s="533">
        <f t="shared" si="467"/>
        <v>0</v>
      </c>
      <c r="V1128" s="531" t="str">
        <f t="shared" si="468"/>
        <v/>
      </c>
      <c r="W1128" s="531" t="str">
        <f t="shared" si="469"/>
        <v/>
      </c>
      <c r="X1128" s="534" t="str">
        <f t="shared" si="470"/>
        <v/>
      </c>
      <c r="Y1128" s="535" t="str">
        <f>IF($A1128="","",IF($I1128="weekly",$A1128+7,EDATE($A1128,VLOOKUP($I1128,Ref!$B$24:$C$29,2,0))))</f>
        <v/>
      </c>
      <c r="Z1128" s="536" t="str">
        <f t="shared" si="471"/>
        <v/>
      </c>
      <c r="AA1128" s="531">
        <f t="shared" si="472"/>
        <v>0</v>
      </c>
      <c r="AB1128" s="535" t="str">
        <f t="shared" si="460"/>
        <v/>
      </c>
      <c r="AC1128" s="537" t="str">
        <f t="shared" si="461"/>
        <v/>
      </c>
      <c r="AD1128" s="538" t="str">
        <f t="shared" ca="1" si="462"/>
        <v/>
      </c>
      <c r="AE1128" s="537">
        <f t="shared" ca="1" si="463"/>
        <v>0</v>
      </c>
      <c r="AF1128" s="539" t="str">
        <f t="shared" ca="1" si="473"/>
        <v/>
      </c>
      <c r="AG1128" s="531" t="str">
        <f t="shared" ca="1" si="474"/>
        <v/>
      </c>
      <c r="AH1128" s="531" t="str">
        <f t="shared" ca="1" si="475"/>
        <v/>
      </c>
      <c r="AI1128" s="531" t="str">
        <f t="shared" ca="1" si="476"/>
        <v/>
      </c>
      <c r="AJ1128" s="531" t="str">
        <f t="shared" si="477"/>
        <v/>
      </c>
      <c r="AK1128" s="540">
        <f>SUMIFS('Live Collections'!$S:$S,'Live Collections'!$D:$D,Disbursements!B1128,'Live Collections'!$G:$G,Disbursements!C1128)</f>
        <v>0</v>
      </c>
      <c r="AL1128" s="540">
        <f>SUMIFS('Live Collections'!$T:$T,'Live Collections'!$D:$D,Disbursements!B1128,'Live Collections'!$G:$G,Disbursements!C1128)</f>
        <v>0</v>
      </c>
      <c r="AM1128" s="541">
        <f t="shared" si="478"/>
        <v>0</v>
      </c>
      <c r="AN1128" s="542" t="str">
        <f t="shared" si="479"/>
        <v/>
      </c>
      <c r="AO1128" s="542" t="str">
        <f t="shared" si="480"/>
        <v/>
      </c>
      <c r="AP1128" s="543" t="str">
        <f t="shared" si="481"/>
        <v/>
      </c>
      <c r="AQ1128" s="544" t="str">
        <f t="shared" si="482"/>
        <v/>
      </c>
      <c r="AR1128" s="545">
        <f t="shared" si="483"/>
        <v>0</v>
      </c>
      <c r="AS1128" s="545">
        <f>IFERROR(CEILING($AR1128*VLOOKUP($I1128,Ref!$B$23:$E$29,4,0),1),0)</f>
        <v>0</v>
      </c>
      <c r="AT1128" s="545" t="str">
        <f>IF(A1128="","",IF(AP1128&lt;=1,"Cleared",IF(AS1128=0,"Clean",VLOOKUP($AS1128,Ref!$G$23:$H$28,2))))</f>
        <v/>
      </c>
      <c r="AU1128" s="546" t="str">
        <f t="shared" si="484"/>
        <v/>
      </c>
    </row>
    <row r="1129" spans="1:47" ht="14.25" hidden="1" customHeight="1" x14ac:dyDescent="0.15">
      <c r="A1129" s="523"/>
      <c r="B1129" s="523"/>
      <c r="C1129" s="523"/>
      <c r="D1129" s="523"/>
      <c r="E1129" s="579"/>
      <c r="F1129" s="580"/>
      <c r="G1129" s="524"/>
      <c r="H1129" s="555"/>
      <c r="I1129" s="560"/>
      <c r="J1129" s="523"/>
      <c r="K1129" s="528" t="str">
        <f>IFERROR(VLOOKUP($B1129,'Clients-Live'!$A:$C,3,0),"")</f>
        <v/>
      </c>
      <c r="L1129" s="528">
        <f>IF(E1129="STL",Pricing!$D$38,IF(A1129="",0,IF(A1129&lt;Pricing!$C$25,Pricing!$D$25,VLOOKUP(Disbursements!$F1129,Pricing!$B$29:$D$32,3))))</f>
        <v>0</v>
      </c>
      <c r="M1129" s="528">
        <f>IF(E1129="STL",0,IF(F1129&gt;0,Pricing!$D$21,0))</f>
        <v>0</v>
      </c>
      <c r="N1129" s="529">
        <f>IF(E1129="STL",F1129*Pricing!$D$40,IF(A1129&lt;=Pricing!$C$4,0,IF(AND(A1129&gt;Pricing!$C$4,Disbursements!A1129&lt;=Pricing!$C$5),F1129*Pricing!$E$5,IF(AND(A1129&gt;Pricing!$C$5,Disbursements!A1129&lt;=Pricing!$C$7),VLOOKUP(F1129,Pricing!$D$7:$E$8,2)*Disbursements!F1129,F1129*Pricing!$E$9))))</f>
        <v>0</v>
      </c>
      <c r="O1129" s="528">
        <f>IF(E1129="STL",0,IF($F1129&gt;0,$F1129*Pricing!$D$17,0))</f>
        <v>0</v>
      </c>
      <c r="P1129" s="530" t="str">
        <f t="shared" si="464"/>
        <v/>
      </c>
      <c r="Q1129" s="531" t="str">
        <f>IF($A1129="","",$G1129/VLOOKUP($I1129,Ref!$B$23:$D$29,2,0))</f>
        <v/>
      </c>
      <c r="R1129" s="530" t="str">
        <f t="shared" si="465"/>
        <v/>
      </c>
      <c r="S1129" s="532" t="str">
        <f t="shared" si="459"/>
        <v/>
      </c>
      <c r="T1129" s="531" t="str">
        <f t="shared" si="466"/>
        <v/>
      </c>
      <c r="U1129" s="533">
        <f t="shared" si="467"/>
        <v>0</v>
      </c>
      <c r="V1129" s="531" t="str">
        <f t="shared" si="468"/>
        <v/>
      </c>
      <c r="W1129" s="531" t="str">
        <f t="shared" si="469"/>
        <v/>
      </c>
      <c r="X1129" s="534" t="str">
        <f t="shared" si="470"/>
        <v/>
      </c>
      <c r="Y1129" s="535" t="str">
        <f>IF($A1129="","",IF($I1129="weekly",$A1129+7,EDATE($A1129,VLOOKUP($I1129,Ref!$B$24:$C$29,2,0))))</f>
        <v/>
      </c>
      <c r="Z1129" s="536" t="str">
        <f t="shared" si="471"/>
        <v/>
      </c>
      <c r="AA1129" s="531">
        <f t="shared" si="472"/>
        <v>0</v>
      </c>
      <c r="AB1129" s="535" t="str">
        <f t="shared" si="460"/>
        <v/>
      </c>
      <c r="AC1129" s="537" t="str">
        <f t="shared" si="461"/>
        <v/>
      </c>
      <c r="AD1129" s="538" t="str">
        <f t="shared" ca="1" si="462"/>
        <v/>
      </c>
      <c r="AE1129" s="537">
        <f t="shared" ca="1" si="463"/>
        <v>0</v>
      </c>
      <c r="AF1129" s="539" t="str">
        <f t="shared" ca="1" si="473"/>
        <v/>
      </c>
      <c r="AG1129" s="531" t="str">
        <f t="shared" ca="1" si="474"/>
        <v/>
      </c>
      <c r="AH1129" s="531" t="str">
        <f t="shared" ca="1" si="475"/>
        <v/>
      </c>
      <c r="AI1129" s="531" t="str">
        <f t="shared" ca="1" si="476"/>
        <v/>
      </c>
      <c r="AJ1129" s="531" t="str">
        <f t="shared" si="477"/>
        <v/>
      </c>
      <c r="AK1129" s="540">
        <f>SUMIFS('Live Collections'!$S:$S,'Live Collections'!$D:$D,Disbursements!B1129,'Live Collections'!$G:$G,Disbursements!C1129)</f>
        <v>0</v>
      </c>
      <c r="AL1129" s="540">
        <f>SUMIFS('Live Collections'!$T:$T,'Live Collections'!$D:$D,Disbursements!B1129,'Live Collections'!$G:$G,Disbursements!C1129)</f>
        <v>0</v>
      </c>
      <c r="AM1129" s="541">
        <f t="shared" si="478"/>
        <v>0</v>
      </c>
      <c r="AN1129" s="542" t="str">
        <f t="shared" si="479"/>
        <v/>
      </c>
      <c r="AO1129" s="542" t="str">
        <f t="shared" si="480"/>
        <v/>
      </c>
      <c r="AP1129" s="543" t="str">
        <f t="shared" si="481"/>
        <v/>
      </c>
      <c r="AQ1129" s="544" t="str">
        <f t="shared" si="482"/>
        <v/>
      </c>
      <c r="AR1129" s="545">
        <f t="shared" si="483"/>
        <v>0</v>
      </c>
      <c r="AS1129" s="545">
        <f>IFERROR(CEILING($AR1129*VLOOKUP($I1129,Ref!$B$23:$E$29,4,0),1),0)</f>
        <v>0</v>
      </c>
      <c r="AT1129" s="545" t="str">
        <f>IF(A1129="","",IF(AP1129&lt;=1,"Cleared",IF(AS1129=0,"Clean",VLOOKUP($AS1129,Ref!$G$23:$H$28,2))))</f>
        <v/>
      </c>
      <c r="AU1129" s="546" t="str">
        <f t="shared" si="484"/>
        <v/>
      </c>
    </row>
    <row r="1130" spans="1:47" ht="14.25" hidden="1" customHeight="1" x14ac:dyDescent="0.15">
      <c r="A1130" s="523"/>
      <c r="B1130" s="523"/>
      <c r="C1130" s="523"/>
      <c r="D1130" s="523"/>
      <c r="E1130" s="579"/>
      <c r="F1130" s="580"/>
      <c r="G1130" s="524"/>
      <c r="H1130" s="555"/>
      <c r="I1130" s="560"/>
      <c r="J1130" s="523"/>
      <c r="K1130" s="528" t="str">
        <f>IFERROR(VLOOKUP($B1130,'Clients-Live'!$A:$C,3,0),"")</f>
        <v/>
      </c>
      <c r="L1130" s="528">
        <f>IF(E1130="STL",Pricing!$D$38,IF(A1130="",0,IF(A1130&lt;Pricing!$C$25,Pricing!$D$25,VLOOKUP(Disbursements!$F1130,Pricing!$B$29:$D$32,3))))</f>
        <v>0</v>
      </c>
      <c r="M1130" s="528">
        <f>IF(E1130="STL",0,IF(F1130&gt;0,Pricing!$D$21,0))</f>
        <v>0</v>
      </c>
      <c r="N1130" s="529">
        <f>IF(E1130="STL",F1130*Pricing!$D$40,IF(A1130&lt;=Pricing!$C$4,0,IF(AND(A1130&gt;Pricing!$C$4,Disbursements!A1130&lt;=Pricing!$C$5),F1130*Pricing!$E$5,IF(AND(A1130&gt;Pricing!$C$5,Disbursements!A1130&lt;=Pricing!$C$7),VLOOKUP(F1130,Pricing!$D$7:$E$8,2)*Disbursements!F1130,F1130*Pricing!$E$9))))</f>
        <v>0</v>
      </c>
      <c r="O1130" s="528">
        <f>IF(E1130="STL",0,IF($F1130&gt;0,$F1130*Pricing!$D$17,0))</f>
        <v>0</v>
      </c>
      <c r="P1130" s="530" t="str">
        <f t="shared" si="464"/>
        <v/>
      </c>
      <c r="Q1130" s="531" t="str">
        <f>IF($A1130="","",$G1130/VLOOKUP($I1130,Ref!$B$23:$D$29,2,0))</f>
        <v/>
      </c>
      <c r="R1130" s="530" t="str">
        <f t="shared" si="465"/>
        <v/>
      </c>
      <c r="S1130" s="532" t="str">
        <f t="shared" si="459"/>
        <v/>
      </c>
      <c r="T1130" s="531" t="str">
        <f t="shared" si="466"/>
        <v/>
      </c>
      <c r="U1130" s="533">
        <f t="shared" si="467"/>
        <v>0</v>
      </c>
      <c r="V1130" s="531" t="str">
        <f t="shared" si="468"/>
        <v/>
      </c>
      <c r="W1130" s="531" t="str">
        <f t="shared" si="469"/>
        <v/>
      </c>
      <c r="X1130" s="534" t="str">
        <f t="shared" si="470"/>
        <v/>
      </c>
      <c r="Y1130" s="535" t="str">
        <f>IF($A1130="","",IF($I1130="weekly",$A1130+7,EDATE($A1130,VLOOKUP($I1130,Ref!$B$24:$C$29,2,0))))</f>
        <v/>
      </c>
      <c r="Z1130" s="536" t="str">
        <f t="shared" si="471"/>
        <v/>
      </c>
      <c r="AA1130" s="531">
        <f t="shared" si="472"/>
        <v>0</v>
      </c>
      <c r="AB1130" s="535" t="str">
        <f t="shared" si="460"/>
        <v/>
      </c>
      <c r="AC1130" s="537" t="str">
        <f t="shared" si="461"/>
        <v/>
      </c>
      <c r="AD1130" s="538" t="str">
        <f t="shared" ca="1" si="462"/>
        <v/>
      </c>
      <c r="AE1130" s="537">
        <f t="shared" ca="1" si="463"/>
        <v>0</v>
      </c>
      <c r="AF1130" s="539" t="str">
        <f t="shared" ca="1" si="473"/>
        <v/>
      </c>
      <c r="AG1130" s="531" t="str">
        <f t="shared" ca="1" si="474"/>
        <v/>
      </c>
      <c r="AH1130" s="531" t="str">
        <f t="shared" ca="1" si="475"/>
        <v/>
      </c>
      <c r="AI1130" s="531" t="str">
        <f t="shared" ca="1" si="476"/>
        <v/>
      </c>
      <c r="AJ1130" s="531" t="str">
        <f t="shared" si="477"/>
        <v/>
      </c>
      <c r="AK1130" s="540">
        <f>SUMIFS('Live Collections'!$S:$S,'Live Collections'!$D:$D,Disbursements!B1130,'Live Collections'!$G:$G,Disbursements!C1130)</f>
        <v>0</v>
      </c>
      <c r="AL1130" s="540">
        <f>SUMIFS('Live Collections'!$T:$T,'Live Collections'!$D:$D,Disbursements!B1130,'Live Collections'!$G:$G,Disbursements!C1130)</f>
        <v>0</v>
      </c>
      <c r="AM1130" s="541">
        <f t="shared" si="478"/>
        <v>0</v>
      </c>
      <c r="AN1130" s="542" t="str">
        <f t="shared" si="479"/>
        <v/>
      </c>
      <c r="AO1130" s="542" t="str">
        <f t="shared" si="480"/>
        <v/>
      </c>
      <c r="AP1130" s="543" t="str">
        <f t="shared" si="481"/>
        <v/>
      </c>
      <c r="AQ1130" s="544" t="str">
        <f t="shared" si="482"/>
        <v/>
      </c>
      <c r="AR1130" s="545">
        <f t="shared" si="483"/>
        <v>0</v>
      </c>
      <c r="AS1130" s="545">
        <f>IFERROR(CEILING($AR1130*VLOOKUP($I1130,Ref!$B$23:$E$29,4,0),1),0)</f>
        <v>0</v>
      </c>
      <c r="AT1130" s="545" t="str">
        <f>IF(A1130="","",IF(AP1130&lt;=1,"Cleared",IF(AS1130=0,"Clean",VLOOKUP($AS1130,Ref!$G$23:$H$28,2))))</f>
        <v/>
      </c>
      <c r="AU1130" s="546" t="str">
        <f t="shared" si="484"/>
        <v/>
      </c>
    </row>
    <row r="1131" spans="1:47" ht="14.25" hidden="1" customHeight="1" x14ac:dyDescent="0.15">
      <c r="A1131" s="523"/>
      <c r="B1131" s="523"/>
      <c r="C1131" s="523"/>
      <c r="D1131" s="523"/>
      <c r="E1131" s="579"/>
      <c r="F1131" s="580"/>
      <c r="G1131" s="524"/>
      <c r="H1131" s="555"/>
      <c r="I1131" s="560"/>
      <c r="J1131" s="523"/>
      <c r="K1131" s="528" t="str">
        <f>IFERROR(VLOOKUP($B1131,'Clients-Live'!$A:$C,3,0),"")</f>
        <v/>
      </c>
      <c r="L1131" s="528">
        <f>IF(E1131="STL",Pricing!$D$38,IF(A1131="",0,IF(A1131&lt;Pricing!$C$25,Pricing!$D$25,VLOOKUP(Disbursements!$F1131,Pricing!$B$29:$D$32,3))))</f>
        <v>0</v>
      </c>
      <c r="M1131" s="528">
        <f>IF(E1131="STL",0,IF(F1131&gt;0,Pricing!$D$21,0))</f>
        <v>0</v>
      </c>
      <c r="N1131" s="529">
        <f>IF(E1131="STL",F1131*Pricing!$D$40,IF(A1131&lt;=Pricing!$C$4,0,IF(AND(A1131&gt;Pricing!$C$4,Disbursements!A1131&lt;=Pricing!$C$5),F1131*Pricing!$E$5,IF(AND(A1131&gt;Pricing!$C$5,Disbursements!A1131&lt;=Pricing!$C$7),VLOOKUP(F1131,Pricing!$D$7:$E$8,2)*Disbursements!F1131,F1131*Pricing!$E$9))))</f>
        <v>0</v>
      </c>
      <c r="O1131" s="528">
        <f>IF(E1131="STL",0,IF($F1131&gt;0,$F1131*Pricing!$D$17,0))</f>
        <v>0</v>
      </c>
      <c r="P1131" s="530" t="str">
        <f t="shared" si="464"/>
        <v/>
      </c>
      <c r="Q1131" s="531" t="str">
        <f>IF($A1131="","",$G1131/VLOOKUP($I1131,Ref!$B$23:$D$29,2,0))</f>
        <v/>
      </c>
      <c r="R1131" s="530" t="str">
        <f t="shared" si="465"/>
        <v/>
      </c>
      <c r="S1131" s="532" t="str">
        <f t="shared" si="459"/>
        <v/>
      </c>
      <c r="T1131" s="531" t="str">
        <f t="shared" si="466"/>
        <v/>
      </c>
      <c r="U1131" s="533">
        <f t="shared" si="467"/>
        <v>0</v>
      </c>
      <c r="V1131" s="531" t="str">
        <f t="shared" si="468"/>
        <v/>
      </c>
      <c r="W1131" s="531" t="str">
        <f t="shared" si="469"/>
        <v/>
      </c>
      <c r="X1131" s="534" t="str">
        <f t="shared" si="470"/>
        <v/>
      </c>
      <c r="Y1131" s="535" t="str">
        <f>IF($A1131="","",IF($I1131="weekly",$A1131+7,EDATE($A1131,VLOOKUP($I1131,Ref!$B$24:$C$29,2,0))))</f>
        <v/>
      </c>
      <c r="Z1131" s="536" t="str">
        <f t="shared" si="471"/>
        <v/>
      </c>
      <c r="AA1131" s="531">
        <f t="shared" si="472"/>
        <v>0</v>
      </c>
      <c r="AB1131" s="535" t="str">
        <f t="shared" si="460"/>
        <v/>
      </c>
      <c r="AC1131" s="537" t="str">
        <f t="shared" si="461"/>
        <v/>
      </c>
      <c r="AD1131" s="538" t="str">
        <f t="shared" ca="1" si="462"/>
        <v/>
      </c>
      <c r="AE1131" s="537">
        <f t="shared" ca="1" si="463"/>
        <v>0</v>
      </c>
      <c r="AF1131" s="539" t="str">
        <f t="shared" ca="1" si="473"/>
        <v/>
      </c>
      <c r="AG1131" s="531" t="str">
        <f t="shared" ca="1" si="474"/>
        <v/>
      </c>
      <c r="AH1131" s="531" t="str">
        <f t="shared" ca="1" si="475"/>
        <v/>
      </c>
      <c r="AI1131" s="531" t="str">
        <f t="shared" ca="1" si="476"/>
        <v/>
      </c>
      <c r="AJ1131" s="531" t="str">
        <f t="shared" si="477"/>
        <v/>
      </c>
      <c r="AK1131" s="540">
        <f>SUMIFS('Live Collections'!$S:$S,'Live Collections'!$D:$D,Disbursements!B1131,'Live Collections'!$G:$G,Disbursements!C1131)</f>
        <v>0</v>
      </c>
      <c r="AL1131" s="540">
        <f>SUMIFS('Live Collections'!$T:$T,'Live Collections'!$D:$D,Disbursements!B1131,'Live Collections'!$G:$G,Disbursements!C1131)</f>
        <v>0</v>
      </c>
      <c r="AM1131" s="541">
        <f t="shared" si="478"/>
        <v>0</v>
      </c>
      <c r="AN1131" s="542" t="str">
        <f t="shared" si="479"/>
        <v/>
      </c>
      <c r="AO1131" s="542" t="str">
        <f t="shared" si="480"/>
        <v/>
      </c>
      <c r="AP1131" s="543" t="str">
        <f t="shared" si="481"/>
        <v/>
      </c>
      <c r="AQ1131" s="544" t="str">
        <f t="shared" si="482"/>
        <v/>
      </c>
      <c r="AR1131" s="545">
        <f t="shared" si="483"/>
        <v>0</v>
      </c>
      <c r="AS1131" s="545">
        <f>IFERROR(CEILING($AR1131*VLOOKUP($I1131,Ref!$B$23:$E$29,4,0),1),0)</f>
        <v>0</v>
      </c>
      <c r="AT1131" s="545" t="str">
        <f>IF(A1131="","",IF(AP1131&lt;=1,"Cleared",IF(AS1131=0,"Clean",VLOOKUP($AS1131,Ref!$G$23:$H$28,2))))</f>
        <v/>
      </c>
      <c r="AU1131" s="546" t="str">
        <f t="shared" si="484"/>
        <v/>
      </c>
    </row>
    <row r="1132" spans="1:47" ht="14.25" hidden="1" customHeight="1" x14ac:dyDescent="0.15">
      <c r="A1132" s="523"/>
      <c r="B1132" s="523"/>
      <c r="C1132" s="523"/>
      <c r="D1132" s="523"/>
      <c r="E1132" s="579"/>
      <c r="F1132" s="580"/>
      <c r="G1132" s="524"/>
      <c r="H1132" s="555"/>
      <c r="I1132" s="560"/>
      <c r="J1132" s="523"/>
      <c r="K1132" s="528" t="str">
        <f>IFERROR(VLOOKUP($B1132,'Clients-Live'!$A:$C,3,0),"")</f>
        <v/>
      </c>
      <c r="L1132" s="528">
        <f>IF(E1132="STL",Pricing!$D$38,IF(A1132="",0,IF(A1132&lt;Pricing!$C$25,Pricing!$D$25,VLOOKUP(Disbursements!$F1132,Pricing!$B$29:$D$32,3))))</f>
        <v>0</v>
      </c>
      <c r="M1132" s="528">
        <f>IF(E1132="STL",0,IF(F1132&gt;0,Pricing!$D$21,0))</f>
        <v>0</v>
      </c>
      <c r="N1132" s="529">
        <f>IF(E1132="STL",F1132*Pricing!$D$40,IF(A1132&lt;=Pricing!$C$4,0,IF(AND(A1132&gt;Pricing!$C$4,Disbursements!A1132&lt;=Pricing!$C$5),F1132*Pricing!$E$5,IF(AND(A1132&gt;Pricing!$C$5,Disbursements!A1132&lt;=Pricing!$C$7),VLOOKUP(F1132,Pricing!$D$7:$E$8,2)*Disbursements!F1132,F1132*Pricing!$E$9))))</f>
        <v>0</v>
      </c>
      <c r="O1132" s="528">
        <f>IF(E1132="STL",0,IF($F1132&gt;0,$F1132*Pricing!$D$17,0))</f>
        <v>0</v>
      </c>
      <c r="P1132" s="530" t="str">
        <f t="shared" si="464"/>
        <v/>
      </c>
      <c r="Q1132" s="531" t="str">
        <f>IF($A1132="","",$G1132/VLOOKUP($I1132,Ref!$B$23:$D$29,2,0))</f>
        <v/>
      </c>
      <c r="R1132" s="530" t="str">
        <f t="shared" si="465"/>
        <v/>
      </c>
      <c r="S1132" s="532" t="str">
        <f t="shared" si="459"/>
        <v/>
      </c>
      <c r="T1132" s="531" t="str">
        <f t="shared" si="466"/>
        <v/>
      </c>
      <c r="U1132" s="533">
        <f t="shared" si="467"/>
        <v>0</v>
      </c>
      <c r="V1132" s="531" t="str">
        <f t="shared" si="468"/>
        <v/>
      </c>
      <c r="W1132" s="531" t="str">
        <f t="shared" si="469"/>
        <v/>
      </c>
      <c r="X1132" s="534" t="str">
        <f t="shared" si="470"/>
        <v/>
      </c>
      <c r="Y1132" s="535" t="str">
        <f>IF($A1132="","",IF($I1132="weekly",$A1132+7,EDATE($A1132,VLOOKUP($I1132,Ref!$B$24:$C$29,2,0))))</f>
        <v/>
      </c>
      <c r="Z1132" s="536" t="str">
        <f t="shared" si="471"/>
        <v/>
      </c>
      <c r="AA1132" s="531">
        <f t="shared" si="472"/>
        <v>0</v>
      </c>
      <c r="AB1132" s="535" t="str">
        <f t="shared" si="460"/>
        <v/>
      </c>
      <c r="AC1132" s="537" t="str">
        <f t="shared" si="461"/>
        <v/>
      </c>
      <c r="AD1132" s="538" t="str">
        <f t="shared" ca="1" si="462"/>
        <v/>
      </c>
      <c r="AE1132" s="537">
        <f t="shared" ca="1" si="463"/>
        <v>0</v>
      </c>
      <c r="AF1132" s="539" t="str">
        <f t="shared" ca="1" si="473"/>
        <v/>
      </c>
      <c r="AG1132" s="531" t="str">
        <f t="shared" ca="1" si="474"/>
        <v/>
      </c>
      <c r="AH1132" s="531" t="str">
        <f t="shared" ca="1" si="475"/>
        <v/>
      </c>
      <c r="AI1132" s="531" t="str">
        <f t="shared" ca="1" si="476"/>
        <v/>
      </c>
      <c r="AJ1132" s="531" t="str">
        <f t="shared" si="477"/>
        <v/>
      </c>
      <c r="AK1132" s="540">
        <f>SUMIFS('Live Collections'!$S:$S,'Live Collections'!$D:$D,Disbursements!B1132,'Live Collections'!$G:$G,Disbursements!C1132)</f>
        <v>0</v>
      </c>
      <c r="AL1132" s="540">
        <f>SUMIFS('Live Collections'!$T:$T,'Live Collections'!$D:$D,Disbursements!B1132,'Live Collections'!$G:$G,Disbursements!C1132)</f>
        <v>0</v>
      </c>
      <c r="AM1132" s="541">
        <f t="shared" si="478"/>
        <v>0</v>
      </c>
      <c r="AN1132" s="542" t="str">
        <f t="shared" si="479"/>
        <v/>
      </c>
      <c r="AO1132" s="542" t="str">
        <f t="shared" si="480"/>
        <v/>
      </c>
      <c r="AP1132" s="543" t="str">
        <f t="shared" si="481"/>
        <v/>
      </c>
      <c r="AQ1132" s="544" t="str">
        <f t="shared" si="482"/>
        <v/>
      </c>
      <c r="AR1132" s="545">
        <f t="shared" si="483"/>
        <v>0</v>
      </c>
      <c r="AS1132" s="545">
        <f>IFERROR(CEILING($AR1132*VLOOKUP($I1132,Ref!$B$23:$E$29,4,0),1),0)</f>
        <v>0</v>
      </c>
      <c r="AT1132" s="545" t="str">
        <f>IF(A1132="","",IF(AP1132&lt;=1,"Cleared",IF(AS1132=0,"Clean",VLOOKUP($AS1132,Ref!$G$23:$H$28,2))))</f>
        <v/>
      </c>
      <c r="AU1132" s="546" t="str">
        <f t="shared" si="484"/>
        <v/>
      </c>
    </row>
    <row r="1133" spans="1:47" ht="14.25" hidden="1" customHeight="1" x14ac:dyDescent="0.15">
      <c r="A1133" s="523"/>
      <c r="B1133" s="523"/>
      <c r="C1133" s="523"/>
      <c r="D1133" s="523"/>
      <c r="E1133" s="579"/>
      <c r="F1133" s="580"/>
      <c r="G1133" s="524"/>
      <c r="H1133" s="555"/>
      <c r="I1133" s="560"/>
      <c r="J1133" s="523"/>
      <c r="K1133" s="528" t="str">
        <f>IFERROR(VLOOKUP($B1133,'Clients-Live'!$A:$C,3,0),"")</f>
        <v/>
      </c>
      <c r="L1133" s="528">
        <f>IF(E1133="STL",Pricing!$D$38,IF(A1133="",0,IF(A1133&lt;Pricing!$C$25,Pricing!$D$25,VLOOKUP(Disbursements!$F1133,Pricing!$B$29:$D$32,3))))</f>
        <v>0</v>
      </c>
      <c r="M1133" s="528">
        <f>IF(E1133="STL",0,IF(F1133&gt;0,Pricing!$D$21,0))</f>
        <v>0</v>
      </c>
      <c r="N1133" s="529">
        <f>IF(E1133="STL",F1133*Pricing!$D$40,IF(A1133&lt;=Pricing!$C$4,0,IF(AND(A1133&gt;Pricing!$C$4,Disbursements!A1133&lt;=Pricing!$C$5),F1133*Pricing!$E$5,IF(AND(A1133&gt;Pricing!$C$5,Disbursements!A1133&lt;=Pricing!$C$7),VLOOKUP(F1133,Pricing!$D$7:$E$8,2)*Disbursements!F1133,F1133*Pricing!$E$9))))</f>
        <v>0</v>
      </c>
      <c r="O1133" s="528">
        <f>IF(E1133="STL",0,IF($F1133&gt;0,$F1133*Pricing!$D$17,0))</f>
        <v>0</v>
      </c>
      <c r="P1133" s="530" t="str">
        <f t="shared" si="464"/>
        <v/>
      </c>
      <c r="Q1133" s="531" t="str">
        <f>IF($A1133="","",$G1133/VLOOKUP($I1133,Ref!$B$23:$D$29,2,0))</f>
        <v/>
      </c>
      <c r="R1133" s="530" t="str">
        <f t="shared" si="465"/>
        <v/>
      </c>
      <c r="S1133" s="532" t="str">
        <f t="shared" si="459"/>
        <v/>
      </c>
      <c r="T1133" s="531" t="str">
        <f t="shared" si="466"/>
        <v/>
      </c>
      <c r="U1133" s="533">
        <f t="shared" si="467"/>
        <v>0</v>
      </c>
      <c r="V1133" s="531" t="str">
        <f t="shared" si="468"/>
        <v/>
      </c>
      <c r="W1133" s="531" t="str">
        <f t="shared" si="469"/>
        <v/>
      </c>
      <c r="X1133" s="534" t="str">
        <f t="shared" si="470"/>
        <v/>
      </c>
      <c r="Y1133" s="535" t="str">
        <f>IF($A1133="","",IF($I1133="weekly",$A1133+7,EDATE($A1133,VLOOKUP($I1133,Ref!$B$24:$C$29,2,0))))</f>
        <v/>
      </c>
      <c r="Z1133" s="536" t="str">
        <f t="shared" si="471"/>
        <v/>
      </c>
      <c r="AA1133" s="531">
        <f t="shared" si="472"/>
        <v>0</v>
      </c>
      <c r="AB1133" s="535" t="str">
        <f t="shared" si="460"/>
        <v/>
      </c>
      <c r="AC1133" s="537" t="str">
        <f t="shared" si="461"/>
        <v/>
      </c>
      <c r="AD1133" s="538" t="str">
        <f t="shared" ca="1" si="462"/>
        <v/>
      </c>
      <c r="AE1133" s="537">
        <f t="shared" ca="1" si="463"/>
        <v>0</v>
      </c>
      <c r="AF1133" s="539" t="str">
        <f t="shared" ca="1" si="473"/>
        <v/>
      </c>
      <c r="AG1133" s="531" t="str">
        <f t="shared" ca="1" si="474"/>
        <v/>
      </c>
      <c r="AH1133" s="531" t="str">
        <f t="shared" ca="1" si="475"/>
        <v/>
      </c>
      <c r="AI1133" s="531" t="str">
        <f t="shared" ca="1" si="476"/>
        <v/>
      </c>
      <c r="AJ1133" s="531" t="str">
        <f t="shared" si="477"/>
        <v/>
      </c>
      <c r="AK1133" s="540">
        <f>SUMIFS('Live Collections'!$S:$S,'Live Collections'!$D:$D,Disbursements!B1133,'Live Collections'!$G:$G,Disbursements!C1133)</f>
        <v>0</v>
      </c>
      <c r="AL1133" s="540">
        <f>SUMIFS('Live Collections'!$T:$T,'Live Collections'!$D:$D,Disbursements!B1133,'Live Collections'!$G:$G,Disbursements!C1133)</f>
        <v>0</v>
      </c>
      <c r="AM1133" s="541">
        <f t="shared" si="478"/>
        <v>0</v>
      </c>
      <c r="AN1133" s="542" t="str">
        <f t="shared" si="479"/>
        <v/>
      </c>
      <c r="AO1133" s="542" t="str">
        <f t="shared" si="480"/>
        <v/>
      </c>
      <c r="AP1133" s="543" t="str">
        <f t="shared" si="481"/>
        <v/>
      </c>
      <c r="AQ1133" s="544" t="str">
        <f t="shared" si="482"/>
        <v/>
      </c>
      <c r="AR1133" s="545">
        <f t="shared" si="483"/>
        <v>0</v>
      </c>
      <c r="AS1133" s="545">
        <f>IFERROR(CEILING($AR1133*VLOOKUP($I1133,Ref!$B$23:$E$29,4,0),1),0)</f>
        <v>0</v>
      </c>
      <c r="AT1133" s="545" t="str">
        <f>IF(A1133="","",IF(AP1133&lt;=1,"Cleared",IF(AS1133=0,"Clean",VLOOKUP($AS1133,Ref!$G$23:$H$28,2))))</f>
        <v/>
      </c>
      <c r="AU1133" s="546" t="str">
        <f t="shared" si="484"/>
        <v/>
      </c>
    </row>
    <row r="1134" spans="1:47" ht="14.25" hidden="1" customHeight="1" x14ac:dyDescent="0.15">
      <c r="A1134" s="523"/>
      <c r="B1134" s="523"/>
      <c r="C1134" s="523"/>
      <c r="D1134" s="523"/>
      <c r="E1134" s="579"/>
      <c r="F1134" s="580"/>
      <c r="G1134" s="524"/>
      <c r="H1134" s="555"/>
      <c r="I1134" s="560"/>
      <c r="J1134" s="523"/>
      <c r="K1134" s="528" t="str">
        <f>IFERROR(VLOOKUP($B1134,'Clients-Live'!$A:$C,3,0),"")</f>
        <v/>
      </c>
      <c r="L1134" s="528">
        <f>IF(E1134="STL",Pricing!$D$38,IF(A1134="",0,IF(A1134&lt;Pricing!$C$25,Pricing!$D$25,VLOOKUP(Disbursements!$F1134,Pricing!$B$29:$D$32,3))))</f>
        <v>0</v>
      </c>
      <c r="M1134" s="528">
        <f>IF(E1134="STL",0,IF(F1134&gt;0,Pricing!$D$21,0))</f>
        <v>0</v>
      </c>
      <c r="N1134" s="529">
        <f>IF(E1134="STL",F1134*Pricing!$D$40,IF(A1134&lt;=Pricing!$C$4,0,IF(AND(A1134&gt;Pricing!$C$4,Disbursements!A1134&lt;=Pricing!$C$5),F1134*Pricing!$E$5,IF(AND(A1134&gt;Pricing!$C$5,Disbursements!A1134&lt;=Pricing!$C$7),VLOOKUP(F1134,Pricing!$D$7:$E$8,2)*Disbursements!F1134,F1134*Pricing!$E$9))))</f>
        <v>0</v>
      </c>
      <c r="O1134" s="528">
        <f>IF(E1134="STL",0,IF($F1134&gt;0,$F1134*Pricing!$D$17,0))</f>
        <v>0</v>
      </c>
      <c r="P1134" s="530" t="str">
        <f t="shared" si="464"/>
        <v/>
      </c>
      <c r="Q1134" s="531" t="str">
        <f>IF($A1134="","",$G1134/VLOOKUP($I1134,Ref!$B$23:$D$29,2,0))</f>
        <v/>
      </c>
      <c r="R1134" s="530" t="str">
        <f t="shared" si="465"/>
        <v/>
      </c>
      <c r="S1134" s="532" t="str">
        <f t="shared" si="459"/>
        <v/>
      </c>
      <c r="T1134" s="531" t="str">
        <f t="shared" si="466"/>
        <v/>
      </c>
      <c r="U1134" s="533">
        <f t="shared" si="467"/>
        <v>0</v>
      </c>
      <c r="V1134" s="531" t="str">
        <f t="shared" si="468"/>
        <v/>
      </c>
      <c r="W1134" s="531" t="str">
        <f t="shared" si="469"/>
        <v/>
      </c>
      <c r="X1134" s="534" t="str">
        <f t="shared" si="470"/>
        <v/>
      </c>
      <c r="Y1134" s="535" t="str">
        <f>IF($A1134="","",IF($I1134="weekly",$A1134+7,EDATE($A1134,VLOOKUP($I1134,Ref!$B$24:$C$29,2,0))))</f>
        <v/>
      </c>
      <c r="Z1134" s="536" t="str">
        <f t="shared" si="471"/>
        <v/>
      </c>
      <c r="AA1134" s="531">
        <f t="shared" si="472"/>
        <v>0</v>
      </c>
      <c r="AB1134" s="535" t="str">
        <f t="shared" si="460"/>
        <v/>
      </c>
      <c r="AC1134" s="537" t="str">
        <f t="shared" si="461"/>
        <v/>
      </c>
      <c r="AD1134" s="538" t="str">
        <f t="shared" ca="1" si="462"/>
        <v/>
      </c>
      <c r="AE1134" s="537">
        <f t="shared" ca="1" si="463"/>
        <v>0</v>
      </c>
      <c r="AF1134" s="539" t="str">
        <f t="shared" ca="1" si="473"/>
        <v/>
      </c>
      <c r="AG1134" s="531" t="str">
        <f t="shared" ca="1" si="474"/>
        <v/>
      </c>
      <c r="AH1134" s="531" t="str">
        <f t="shared" ca="1" si="475"/>
        <v/>
      </c>
      <c r="AI1134" s="531" t="str">
        <f t="shared" ca="1" si="476"/>
        <v/>
      </c>
      <c r="AJ1134" s="531" t="str">
        <f t="shared" si="477"/>
        <v/>
      </c>
      <c r="AK1134" s="540">
        <f>SUMIFS('Live Collections'!$S:$S,'Live Collections'!$D:$D,Disbursements!B1134,'Live Collections'!$G:$G,Disbursements!C1134)</f>
        <v>0</v>
      </c>
      <c r="AL1134" s="540">
        <f>SUMIFS('Live Collections'!$T:$T,'Live Collections'!$D:$D,Disbursements!B1134,'Live Collections'!$G:$G,Disbursements!C1134)</f>
        <v>0</v>
      </c>
      <c r="AM1134" s="541">
        <f t="shared" si="478"/>
        <v>0</v>
      </c>
      <c r="AN1134" s="542" t="str">
        <f t="shared" si="479"/>
        <v/>
      </c>
      <c r="AO1134" s="542" t="str">
        <f t="shared" si="480"/>
        <v/>
      </c>
      <c r="AP1134" s="543" t="str">
        <f t="shared" si="481"/>
        <v/>
      </c>
      <c r="AQ1134" s="544" t="str">
        <f t="shared" si="482"/>
        <v/>
      </c>
      <c r="AR1134" s="545">
        <f t="shared" si="483"/>
        <v>0</v>
      </c>
      <c r="AS1134" s="545">
        <f>IFERROR(CEILING($AR1134*VLOOKUP($I1134,Ref!$B$23:$E$29,4,0),1),0)</f>
        <v>0</v>
      </c>
      <c r="AT1134" s="545" t="str">
        <f>IF(A1134="","",IF(AP1134&lt;=1,"Cleared",IF(AS1134=0,"Clean",VLOOKUP($AS1134,Ref!$G$23:$H$28,2))))</f>
        <v/>
      </c>
      <c r="AU1134" s="546" t="str">
        <f t="shared" si="484"/>
        <v/>
      </c>
    </row>
    <row r="1135" spans="1:47" ht="14.25" hidden="1" customHeight="1" x14ac:dyDescent="0.15">
      <c r="A1135" s="523"/>
      <c r="B1135" s="523"/>
      <c r="C1135" s="523"/>
      <c r="D1135" s="523"/>
      <c r="E1135" s="579"/>
      <c r="F1135" s="580"/>
      <c r="G1135" s="524"/>
      <c r="H1135" s="555"/>
      <c r="I1135" s="560"/>
      <c r="J1135" s="523"/>
      <c r="K1135" s="528" t="str">
        <f>IFERROR(VLOOKUP($B1135,'Clients-Live'!$A:$C,3,0),"")</f>
        <v/>
      </c>
      <c r="L1135" s="528">
        <f>IF(E1135="STL",Pricing!$D$38,IF(A1135="",0,IF(A1135&lt;Pricing!$C$25,Pricing!$D$25,VLOOKUP(Disbursements!$F1135,Pricing!$B$29:$D$32,3))))</f>
        <v>0</v>
      </c>
      <c r="M1135" s="528">
        <f>IF(E1135="STL",0,IF(F1135&gt;0,Pricing!$D$21,0))</f>
        <v>0</v>
      </c>
      <c r="N1135" s="529">
        <f>IF(E1135="STL",F1135*Pricing!$D$40,IF(A1135&lt;=Pricing!$C$4,0,IF(AND(A1135&gt;Pricing!$C$4,Disbursements!A1135&lt;=Pricing!$C$5),F1135*Pricing!$E$5,IF(AND(A1135&gt;Pricing!$C$5,Disbursements!A1135&lt;=Pricing!$C$7),VLOOKUP(F1135,Pricing!$D$7:$E$8,2)*Disbursements!F1135,F1135*Pricing!$E$9))))</f>
        <v>0</v>
      </c>
      <c r="O1135" s="528">
        <f>IF(E1135="STL",0,IF($F1135&gt;0,$F1135*Pricing!$D$17,0))</f>
        <v>0</v>
      </c>
      <c r="P1135" s="530" t="str">
        <f t="shared" si="464"/>
        <v/>
      </c>
      <c r="Q1135" s="531" t="str">
        <f>IF($A1135="","",$G1135/VLOOKUP($I1135,Ref!$B$23:$D$29,2,0))</f>
        <v/>
      </c>
      <c r="R1135" s="530" t="str">
        <f t="shared" si="465"/>
        <v/>
      </c>
      <c r="S1135" s="532" t="str">
        <f t="shared" si="459"/>
        <v/>
      </c>
      <c r="T1135" s="531" t="str">
        <f t="shared" si="466"/>
        <v/>
      </c>
      <c r="U1135" s="533">
        <f t="shared" si="467"/>
        <v>0</v>
      </c>
      <c r="V1135" s="531" t="str">
        <f t="shared" si="468"/>
        <v/>
      </c>
      <c r="W1135" s="531" t="str">
        <f t="shared" si="469"/>
        <v/>
      </c>
      <c r="X1135" s="534" t="str">
        <f t="shared" si="470"/>
        <v/>
      </c>
      <c r="Y1135" s="535" t="str">
        <f>IF($A1135="","",IF($I1135="weekly",$A1135+7,EDATE($A1135,VLOOKUP($I1135,Ref!$B$24:$C$29,2,0))))</f>
        <v/>
      </c>
      <c r="Z1135" s="536" t="str">
        <f t="shared" si="471"/>
        <v/>
      </c>
      <c r="AA1135" s="531">
        <f t="shared" si="472"/>
        <v>0</v>
      </c>
      <c r="AB1135" s="535" t="str">
        <f t="shared" si="460"/>
        <v/>
      </c>
      <c r="AC1135" s="537" t="str">
        <f t="shared" si="461"/>
        <v/>
      </c>
      <c r="AD1135" s="538" t="str">
        <f t="shared" ca="1" si="462"/>
        <v/>
      </c>
      <c r="AE1135" s="537">
        <f t="shared" ca="1" si="463"/>
        <v>0</v>
      </c>
      <c r="AF1135" s="539" t="str">
        <f t="shared" ca="1" si="473"/>
        <v/>
      </c>
      <c r="AG1135" s="531" t="str">
        <f t="shared" ca="1" si="474"/>
        <v/>
      </c>
      <c r="AH1135" s="531" t="str">
        <f t="shared" ca="1" si="475"/>
        <v/>
      </c>
      <c r="AI1135" s="531" t="str">
        <f t="shared" ca="1" si="476"/>
        <v/>
      </c>
      <c r="AJ1135" s="531" t="str">
        <f t="shared" si="477"/>
        <v/>
      </c>
      <c r="AK1135" s="540">
        <f>SUMIFS('Live Collections'!$S:$S,'Live Collections'!$D:$D,Disbursements!B1135,'Live Collections'!$G:$G,Disbursements!C1135)</f>
        <v>0</v>
      </c>
      <c r="AL1135" s="540">
        <f>SUMIFS('Live Collections'!$T:$T,'Live Collections'!$D:$D,Disbursements!B1135,'Live Collections'!$G:$G,Disbursements!C1135)</f>
        <v>0</v>
      </c>
      <c r="AM1135" s="541">
        <f t="shared" si="478"/>
        <v>0</v>
      </c>
      <c r="AN1135" s="542" t="str">
        <f t="shared" si="479"/>
        <v/>
      </c>
      <c r="AO1135" s="542" t="str">
        <f t="shared" si="480"/>
        <v/>
      </c>
      <c r="AP1135" s="543" t="str">
        <f t="shared" si="481"/>
        <v/>
      </c>
      <c r="AQ1135" s="544" t="str">
        <f t="shared" si="482"/>
        <v/>
      </c>
      <c r="AR1135" s="545">
        <f t="shared" si="483"/>
        <v>0</v>
      </c>
      <c r="AS1135" s="545">
        <f>IFERROR(CEILING($AR1135*VLOOKUP($I1135,Ref!$B$23:$E$29,4,0),1),0)</f>
        <v>0</v>
      </c>
      <c r="AT1135" s="545" t="str">
        <f>IF(A1135="","",IF(AP1135&lt;=1,"Cleared",IF(AS1135=0,"Clean",VLOOKUP($AS1135,Ref!$G$23:$H$28,2))))</f>
        <v/>
      </c>
      <c r="AU1135" s="546" t="str">
        <f t="shared" si="484"/>
        <v/>
      </c>
    </row>
    <row r="1136" spans="1:47" ht="14.25" hidden="1" customHeight="1" x14ac:dyDescent="0.15">
      <c r="A1136" s="523"/>
      <c r="B1136" s="523"/>
      <c r="C1136" s="523"/>
      <c r="D1136" s="523"/>
      <c r="E1136" s="579"/>
      <c r="F1136" s="580"/>
      <c r="G1136" s="524"/>
      <c r="H1136" s="555"/>
      <c r="I1136" s="560"/>
      <c r="J1136" s="523"/>
      <c r="K1136" s="528" t="str">
        <f>IFERROR(VLOOKUP($B1136,'Clients-Live'!$A:$C,3,0),"")</f>
        <v/>
      </c>
      <c r="L1136" s="528">
        <f>IF(E1136="STL",Pricing!$D$38,IF(A1136="",0,IF(A1136&lt;Pricing!$C$25,Pricing!$D$25,VLOOKUP(Disbursements!$F1136,Pricing!$B$29:$D$32,3))))</f>
        <v>0</v>
      </c>
      <c r="M1136" s="528">
        <f>IF(E1136="STL",0,IF(F1136&gt;0,Pricing!$D$21,0))</f>
        <v>0</v>
      </c>
      <c r="N1136" s="529">
        <f>IF(E1136="STL",F1136*Pricing!$D$40,IF(A1136&lt;=Pricing!$C$4,0,IF(AND(A1136&gt;Pricing!$C$4,Disbursements!A1136&lt;=Pricing!$C$5),F1136*Pricing!$E$5,IF(AND(A1136&gt;Pricing!$C$5,Disbursements!A1136&lt;=Pricing!$C$7),VLOOKUP(F1136,Pricing!$D$7:$E$8,2)*Disbursements!F1136,F1136*Pricing!$E$9))))</f>
        <v>0</v>
      </c>
      <c r="O1136" s="528">
        <f>IF(E1136="STL",0,IF($F1136&gt;0,$F1136*Pricing!$D$17,0))</f>
        <v>0</v>
      </c>
      <c r="P1136" s="530" t="str">
        <f t="shared" si="464"/>
        <v/>
      </c>
      <c r="Q1136" s="531" t="str">
        <f>IF($A1136="","",$G1136/VLOOKUP($I1136,Ref!$B$23:$D$29,2,0))</f>
        <v/>
      </c>
      <c r="R1136" s="530" t="str">
        <f t="shared" si="465"/>
        <v/>
      </c>
      <c r="S1136" s="532" t="str">
        <f t="shared" si="459"/>
        <v/>
      </c>
      <c r="T1136" s="531" t="str">
        <f t="shared" si="466"/>
        <v/>
      </c>
      <c r="U1136" s="533">
        <f t="shared" si="467"/>
        <v>0</v>
      </c>
      <c r="V1136" s="531" t="str">
        <f t="shared" si="468"/>
        <v/>
      </c>
      <c r="W1136" s="531" t="str">
        <f t="shared" si="469"/>
        <v/>
      </c>
      <c r="X1136" s="534" t="str">
        <f t="shared" si="470"/>
        <v/>
      </c>
      <c r="Y1136" s="535" t="str">
        <f>IF($A1136="","",IF($I1136="weekly",$A1136+7,EDATE($A1136,VLOOKUP($I1136,Ref!$B$24:$C$29,2,0))))</f>
        <v/>
      </c>
      <c r="Z1136" s="536" t="str">
        <f t="shared" si="471"/>
        <v/>
      </c>
      <c r="AA1136" s="531">
        <f t="shared" si="472"/>
        <v>0</v>
      </c>
      <c r="AB1136" s="535" t="str">
        <f t="shared" si="460"/>
        <v/>
      </c>
      <c r="AC1136" s="537" t="str">
        <f t="shared" si="461"/>
        <v/>
      </c>
      <c r="AD1136" s="538" t="str">
        <f t="shared" ca="1" si="462"/>
        <v/>
      </c>
      <c r="AE1136" s="537">
        <f t="shared" ca="1" si="463"/>
        <v>0</v>
      </c>
      <c r="AF1136" s="539" t="str">
        <f t="shared" ca="1" si="473"/>
        <v/>
      </c>
      <c r="AG1136" s="531" t="str">
        <f t="shared" ca="1" si="474"/>
        <v/>
      </c>
      <c r="AH1136" s="531" t="str">
        <f t="shared" ca="1" si="475"/>
        <v/>
      </c>
      <c r="AI1136" s="531" t="str">
        <f t="shared" ca="1" si="476"/>
        <v/>
      </c>
      <c r="AJ1136" s="531" t="str">
        <f t="shared" si="477"/>
        <v/>
      </c>
      <c r="AK1136" s="540">
        <f>SUMIFS('Live Collections'!$S:$S,'Live Collections'!$D:$D,Disbursements!B1136,'Live Collections'!$G:$G,Disbursements!C1136)</f>
        <v>0</v>
      </c>
      <c r="AL1136" s="540">
        <f>SUMIFS('Live Collections'!$T:$T,'Live Collections'!$D:$D,Disbursements!B1136,'Live Collections'!$G:$G,Disbursements!C1136)</f>
        <v>0</v>
      </c>
      <c r="AM1136" s="541">
        <f t="shared" si="478"/>
        <v>0</v>
      </c>
      <c r="AN1136" s="542" t="str">
        <f t="shared" si="479"/>
        <v/>
      </c>
      <c r="AO1136" s="542" t="str">
        <f t="shared" si="480"/>
        <v/>
      </c>
      <c r="AP1136" s="543" t="str">
        <f t="shared" si="481"/>
        <v/>
      </c>
      <c r="AQ1136" s="544" t="str">
        <f t="shared" si="482"/>
        <v/>
      </c>
      <c r="AR1136" s="545">
        <f t="shared" si="483"/>
        <v>0</v>
      </c>
      <c r="AS1136" s="545">
        <f>IFERROR(CEILING($AR1136*VLOOKUP($I1136,Ref!$B$23:$E$29,4,0),1),0)</f>
        <v>0</v>
      </c>
      <c r="AT1136" s="545" t="str">
        <f>IF(A1136="","",IF(AP1136&lt;=1,"Cleared",IF(AS1136=0,"Clean",VLOOKUP($AS1136,Ref!$G$23:$H$28,2))))</f>
        <v/>
      </c>
      <c r="AU1136" s="546" t="str">
        <f t="shared" si="484"/>
        <v/>
      </c>
    </row>
    <row r="1137" spans="1:47" ht="14.25" hidden="1" customHeight="1" x14ac:dyDescent="0.15">
      <c r="A1137" s="523"/>
      <c r="B1137" s="523"/>
      <c r="C1137" s="523"/>
      <c r="D1137" s="523"/>
      <c r="E1137" s="579"/>
      <c r="F1137" s="580"/>
      <c r="G1137" s="524"/>
      <c r="H1137" s="555"/>
      <c r="I1137" s="560"/>
      <c r="J1137" s="523"/>
      <c r="K1137" s="528" t="str">
        <f>IFERROR(VLOOKUP($B1137,'Clients-Live'!$A:$C,3,0),"")</f>
        <v/>
      </c>
      <c r="L1137" s="528">
        <f>IF(E1137="STL",Pricing!$D$38,IF(A1137="",0,IF(A1137&lt;Pricing!$C$25,Pricing!$D$25,VLOOKUP(Disbursements!$F1137,Pricing!$B$29:$D$32,3))))</f>
        <v>0</v>
      </c>
      <c r="M1137" s="528">
        <f>IF(E1137="STL",0,IF(F1137&gt;0,Pricing!$D$21,0))</f>
        <v>0</v>
      </c>
      <c r="N1137" s="529">
        <f>IF(E1137="STL",F1137*Pricing!$D$40,IF(A1137&lt;=Pricing!$C$4,0,IF(AND(A1137&gt;Pricing!$C$4,Disbursements!A1137&lt;=Pricing!$C$5),F1137*Pricing!$E$5,IF(AND(A1137&gt;Pricing!$C$5,Disbursements!A1137&lt;=Pricing!$C$7),VLOOKUP(F1137,Pricing!$D$7:$E$8,2)*Disbursements!F1137,F1137*Pricing!$E$9))))</f>
        <v>0</v>
      </c>
      <c r="O1137" s="528">
        <f>IF(E1137="STL",0,IF($F1137&gt;0,$F1137*Pricing!$D$17,0))</f>
        <v>0</v>
      </c>
      <c r="P1137" s="530" t="str">
        <f t="shared" si="464"/>
        <v/>
      </c>
      <c r="Q1137" s="531" t="str">
        <f>IF($A1137="","",$G1137/VLOOKUP($I1137,Ref!$B$23:$D$29,2,0))</f>
        <v/>
      </c>
      <c r="R1137" s="530" t="str">
        <f t="shared" si="465"/>
        <v/>
      </c>
      <c r="S1137" s="532" t="str">
        <f t="shared" si="459"/>
        <v/>
      </c>
      <c r="T1137" s="531" t="str">
        <f t="shared" si="466"/>
        <v/>
      </c>
      <c r="U1137" s="533">
        <f t="shared" si="467"/>
        <v>0</v>
      </c>
      <c r="V1137" s="531" t="str">
        <f t="shared" si="468"/>
        <v/>
      </c>
      <c r="W1137" s="531" t="str">
        <f t="shared" si="469"/>
        <v/>
      </c>
      <c r="X1137" s="534" t="str">
        <f t="shared" si="470"/>
        <v/>
      </c>
      <c r="Y1137" s="535" t="str">
        <f>IF($A1137="","",IF($I1137="weekly",$A1137+7,EDATE($A1137,VLOOKUP($I1137,Ref!$B$24:$C$29,2,0))))</f>
        <v/>
      </c>
      <c r="Z1137" s="536" t="str">
        <f t="shared" si="471"/>
        <v/>
      </c>
      <c r="AA1137" s="531">
        <f t="shared" si="472"/>
        <v>0</v>
      </c>
      <c r="AB1137" s="535" t="str">
        <f t="shared" si="460"/>
        <v/>
      </c>
      <c r="AC1137" s="537" t="str">
        <f t="shared" si="461"/>
        <v/>
      </c>
      <c r="AD1137" s="538" t="str">
        <f t="shared" ca="1" si="462"/>
        <v/>
      </c>
      <c r="AE1137" s="537">
        <f t="shared" ca="1" si="463"/>
        <v>0</v>
      </c>
      <c r="AF1137" s="539" t="str">
        <f t="shared" ca="1" si="473"/>
        <v/>
      </c>
      <c r="AG1137" s="531" t="str">
        <f t="shared" ca="1" si="474"/>
        <v/>
      </c>
      <c r="AH1137" s="531" t="str">
        <f t="shared" ca="1" si="475"/>
        <v/>
      </c>
      <c r="AI1137" s="531" t="str">
        <f t="shared" ca="1" si="476"/>
        <v/>
      </c>
      <c r="AJ1137" s="531" t="str">
        <f t="shared" si="477"/>
        <v/>
      </c>
      <c r="AK1137" s="540">
        <f>SUMIFS('Live Collections'!$S:$S,'Live Collections'!$D:$D,Disbursements!B1137,'Live Collections'!$G:$G,Disbursements!C1137)</f>
        <v>0</v>
      </c>
      <c r="AL1137" s="540">
        <f>SUMIFS('Live Collections'!$T:$T,'Live Collections'!$D:$D,Disbursements!B1137,'Live Collections'!$G:$G,Disbursements!C1137)</f>
        <v>0</v>
      </c>
      <c r="AM1137" s="541">
        <f t="shared" si="478"/>
        <v>0</v>
      </c>
      <c r="AN1137" s="542" t="str">
        <f t="shared" si="479"/>
        <v/>
      </c>
      <c r="AO1137" s="542" t="str">
        <f t="shared" si="480"/>
        <v/>
      </c>
      <c r="AP1137" s="543" t="str">
        <f t="shared" si="481"/>
        <v/>
      </c>
      <c r="AQ1137" s="544" t="str">
        <f t="shared" si="482"/>
        <v/>
      </c>
      <c r="AR1137" s="545">
        <f t="shared" si="483"/>
        <v>0</v>
      </c>
      <c r="AS1137" s="545">
        <f>IFERROR(CEILING($AR1137*VLOOKUP($I1137,Ref!$B$23:$E$29,4,0),1),0)</f>
        <v>0</v>
      </c>
      <c r="AT1137" s="545" t="str">
        <f>IF(A1137="","",IF(AP1137&lt;=1,"Cleared",IF(AS1137=0,"Clean",VLOOKUP($AS1137,Ref!$G$23:$H$28,2))))</f>
        <v/>
      </c>
      <c r="AU1137" s="546" t="str">
        <f t="shared" si="484"/>
        <v/>
      </c>
    </row>
    <row r="1138" spans="1:47" ht="14.25" hidden="1" customHeight="1" x14ac:dyDescent="0.15">
      <c r="A1138" s="523"/>
      <c r="B1138" s="523"/>
      <c r="C1138" s="523"/>
      <c r="D1138" s="523"/>
      <c r="E1138" s="579"/>
      <c r="F1138" s="580"/>
      <c r="G1138" s="524"/>
      <c r="H1138" s="555"/>
      <c r="I1138" s="560"/>
      <c r="J1138" s="523"/>
      <c r="K1138" s="528" t="str">
        <f>IFERROR(VLOOKUP($B1138,'Clients-Live'!$A:$C,3,0),"")</f>
        <v/>
      </c>
      <c r="L1138" s="528">
        <f>IF(E1138="STL",Pricing!$D$38,IF(A1138="",0,IF(A1138&lt;Pricing!$C$25,Pricing!$D$25,VLOOKUP(Disbursements!$F1138,Pricing!$B$29:$D$32,3))))</f>
        <v>0</v>
      </c>
      <c r="M1138" s="528">
        <f>IF(E1138="STL",0,IF(F1138&gt;0,Pricing!$D$21,0))</f>
        <v>0</v>
      </c>
      <c r="N1138" s="529">
        <f>IF(E1138="STL",F1138*Pricing!$D$40,IF(A1138&lt;=Pricing!$C$4,0,IF(AND(A1138&gt;Pricing!$C$4,Disbursements!A1138&lt;=Pricing!$C$5),F1138*Pricing!$E$5,IF(AND(A1138&gt;Pricing!$C$5,Disbursements!A1138&lt;=Pricing!$C$7),VLOOKUP(F1138,Pricing!$D$7:$E$8,2)*Disbursements!F1138,F1138*Pricing!$E$9))))</f>
        <v>0</v>
      </c>
      <c r="O1138" s="528">
        <f>IF(E1138="STL",0,IF($F1138&gt;0,$F1138*Pricing!$D$17,0))</f>
        <v>0</v>
      </c>
      <c r="P1138" s="530" t="str">
        <f t="shared" si="464"/>
        <v/>
      </c>
      <c r="Q1138" s="531" t="str">
        <f>IF($A1138="","",$G1138/VLOOKUP($I1138,Ref!$B$23:$D$29,2,0))</f>
        <v/>
      </c>
      <c r="R1138" s="530" t="str">
        <f t="shared" si="465"/>
        <v/>
      </c>
      <c r="S1138" s="532" t="str">
        <f t="shared" si="459"/>
        <v/>
      </c>
      <c r="T1138" s="531" t="str">
        <f t="shared" si="466"/>
        <v/>
      </c>
      <c r="U1138" s="533">
        <f t="shared" si="467"/>
        <v>0</v>
      </c>
      <c r="V1138" s="531" t="str">
        <f t="shared" si="468"/>
        <v/>
      </c>
      <c r="W1138" s="531" t="str">
        <f t="shared" si="469"/>
        <v/>
      </c>
      <c r="X1138" s="534" t="str">
        <f t="shared" si="470"/>
        <v/>
      </c>
      <c r="Y1138" s="535" t="str">
        <f>IF($A1138="","",IF($I1138="weekly",$A1138+7,EDATE($A1138,VLOOKUP($I1138,Ref!$B$24:$C$29,2,0))))</f>
        <v/>
      </c>
      <c r="Z1138" s="536" t="str">
        <f t="shared" si="471"/>
        <v/>
      </c>
      <c r="AA1138" s="531">
        <f t="shared" si="472"/>
        <v>0</v>
      </c>
      <c r="AB1138" s="535" t="str">
        <f t="shared" si="460"/>
        <v/>
      </c>
      <c r="AC1138" s="537" t="str">
        <f t="shared" si="461"/>
        <v/>
      </c>
      <c r="AD1138" s="538" t="str">
        <f t="shared" ca="1" si="462"/>
        <v/>
      </c>
      <c r="AE1138" s="537">
        <f t="shared" ca="1" si="463"/>
        <v>0</v>
      </c>
      <c r="AF1138" s="539" t="str">
        <f t="shared" ca="1" si="473"/>
        <v/>
      </c>
      <c r="AG1138" s="531" t="str">
        <f t="shared" ca="1" si="474"/>
        <v/>
      </c>
      <c r="AH1138" s="531" t="str">
        <f t="shared" ca="1" si="475"/>
        <v/>
      </c>
      <c r="AI1138" s="531" t="str">
        <f t="shared" ca="1" si="476"/>
        <v/>
      </c>
      <c r="AJ1138" s="531" t="str">
        <f t="shared" si="477"/>
        <v/>
      </c>
      <c r="AK1138" s="540">
        <f>SUMIFS('Live Collections'!$S:$S,'Live Collections'!$D:$D,Disbursements!B1138,'Live Collections'!$G:$G,Disbursements!C1138)</f>
        <v>0</v>
      </c>
      <c r="AL1138" s="540">
        <f>SUMIFS('Live Collections'!$T:$T,'Live Collections'!$D:$D,Disbursements!B1138,'Live Collections'!$G:$G,Disbursements!C1138)</f>
        <v>0</v>
      </c>
      <c r="AM1138" s="541">
        <f t="shared" si="478"/>
        <v>0</v>
      </c>
      <c r="AN1138" s="542" t="str">
        <f t="shared" si="479"/>
        <v/>
      </c>
      <c r="AO1138" s="542" t="str">
        <f t="shared" si="480"/>
        <v/>
      </c>
      <c r="AP1138" s="543" t="str">
        <f t="shared" si="481"/>
        <v/>
      </c>
      <c r="AQ1138" s="544" t="str">
        <f t="shared" si="482"/>
        <v/>
      </c>
      <c r="AR1138" s="545">
        <f t="shared" si="483"/>
        <v>0</v>
      </c>
      <c r="AS1138" s="545">
        <f>IFERROR(CEILING($AR1138*VLOOKUP($I1138,Ref!$B$23:$E$29,4,0),1),0)</f>
        <v>0</v>
      </c>
      <c r="AT1138" s="545" t="str">
        <f>IF(A1138="","",IF(AP1138&lt;=1,"Cleared",IF(AS1138=0,"Clean",VLOOKUP($AS1138,Ref!$G$23:$H$28,2))))</f>
        <v/>
      </c>
      <c r="AU1138" s="546" t="str">
        <f t="shared" si="484"/>
        <v/>
      </c>
    </row>
    <row r="1139" spans="1:47" ht="14.25" hidden="1" customHeight="1" x14ac:dyDescent="0.15">
      <c r="A1139" s="523"/>
      <c r="B1139" s="523"/>
      <c r="C1139" s="523"/>
      <c r="D1139" s="523"/>
      <c r="E1139" s="579"/>
      <c r="F1139" s="580"/>
      <c r="G1139" s="524"/>
      <c r="H1139" s="555"/>
      <c r="I1139" s="560"/>
      <c r="J1139" s="523"/>
      <c r="K1139" s="528" t="str">
        <f>IFERROR(VLOOKUP($B1139,'Clients-Live'!$A:$C,3,0),"")</f>
        <v/>
      </c>
      <c r="L1139" s="528">
        <f>IF(E1139="STL",Pricing!$D$38,IF(A1139="",0,IF(A1139&lt;Pricing!$C$25,Pricing!$D$25,VLOOKUP(Disbursements!$F1139,Pricing!$B$29:$D$32,3))))</f>
        <v>0</v>
      </c>
      <c r="M1139" s="528">
        <f>IF(E1139="STL",0,IF(F1139&gt;0,Pricing!$D$21,0))</f>
        <v>0</v>
      </c>
      <c r="N1139" s="529">
        <f>IF(E1139="STL",F1139*Pricing!$D$40,IF(A1139&lt;=Pricing!$C$4,0,IF(AND(A1139&gt;Pricing!$C$4,Disbursements!A1139&lt;=Pricing!$C$5),F1139*Pricing!$E$5,IF(AND(A1139&gt;Pricing!$C$5,Disbursements!A1139&lt;=Pricing!$C$7),VLOOKUP(F1139,Pricing!$D$7:$E$8,2)*Disbursements!F1139,F1139*Pricing!$E$9))))</f>
        <v>0</v>
      </c>
      <c r="O1139" s="528">
        <f>IF(E1139="STL",0,IF($F1139&gt;0,$F1139*Pricing!$D$17,0))</f>
        <v>0</v>
      </c>
      <c r="P1139" s="530" t="str">
        <f t="shared" si="464"/>
        <v/>
      </c>
      <c r="Q1139" s="531" t="str">
        <f>IF($A1139="","",$G1139/VLOOKUP($I1139,Ref!$B$23:$D$29,2,0))</f>
        <v/>
      </c>
      <c r="R1139" s="530" t="str">
        <f t="shared" si="465"/>
        <v/>
      </c>
      <c r="S1139" s="532" t="str">
        <f t="shared" si="459"/>
        <v/>
      </c>
      <c r="T1139" s="531" t="str">
        <f t="shared" si="466"/>
        <v/>
      </c>
      <c r="U1139" s="533">
        <f t="shared" si="467"/>
        <v>0</v>
      </c>
      <c r="V1139" s="531" t="str">
        <f t="shared" si="468"/>
        <v/>
      </c>
      <c r="W1139" s="531" t="str">
        <f t="shared" si="469"/>
        <v/>
      </c>
      <c r="X1139" s="534" t="str">
        <f t="shared" si="470"/>
        <v/>
      </c>
      <c r="Y1139" s="535" t="str">
        <f>IF($A1139="","",IF($I1139="weekly",$A1139+7,EDATE($A1139,VLOOKUP($I1139,Ref!$B$24:$C$29,2,0))))</f>
        <v/>
      </c>
      <c r="Z1139" s="536" t="str">
        <f t="shared" si="471"/>
        <v/>
      </c>
      <c r="AA1139" s="531">
        <f t="shared" si="472"/>
        <v>0</v>
      </c>
      <c r="AB1139" s="535" t="str">
        <f t="shared" si="460"/>
        <v/>
      </c>
      <c r="AC1139" s="537" t="str">
        <f t="shared" si="461"/>
        <v/>
      </c>
      <c r="AD1139" s="538" t="str">
        <f t="shared" ca="1" si="462"/>
        <v/>
      </c>
      <c r="AE1139" s="537">
        <f t="shared" ca="1" si="463"/>
        <v>0</v>
      </c>
      <c r="AF1139" s="539" t="str">
        <f t="shared" ca="1" si="473"/>
        <v/>
      </c>
      <c r="AG1139" s="531" t="str">
        <f t="shared" ca="1" si="474"/>
        <v/>
      </c>
      <c r="AH1139" s="531" t="str">
        <f t="shared" ca="1" si="475"/>
        <v/>
      </c>
      <c r="AI1139" s="531" t="str">
        <f t="shared" ca="1" si="476"/>
        <v/>
      </c>
      <c r="AJ1139" s="531" t="str">
        <f t="shared" si="477"/>
        <v/>
      </c>
      <c r="AK1139" s="540">
        <f>SUMIFS('Live Collections'!$S:$S,'Live Collections'!$D:$D,Disbursements!B1139,'Live Collections'!$G:$G,Disbursements!C1139)</f>
        <v>0</v>
      </c>
      <c r="AL1139" s="540">
        <f>SUMIFS('Live Collections'!$T:$T,'Live Collections'!$D:$D,Disbursements!B1139,'Live Collections'!$G:$G,Disbursements!C1139)</f>
        <v>0</v>
      </c>
      <c r="AM1139" s="541">
        <f t="shared" si="478"/>
        <v>0</v>
      </c>
      <c r="AN1139" s="542" t="str">
        <f t="shared" si="479"/>
        <v/>
      </c>
      <c r="AO1139" s="542" t="str">
        <f t="shared" si="480"/>
        <v/>
      </c>
      <c r="AP1139" s="543" t="str">
        <f t="shared" si="481"/>
        <v/>
      </c>
      <c r="AQ1139" s="544" t="str">
        <f t="shared" si="482"/>
        <v/>
      </c>
      <c r="AR1139" s="545">
        <f t="shared" si="483"/>
        <v>0</v>
      </c>
      <c r="AS1139" s="545">
        <f>IFERROR(CEILING($AR1139*VLOOKUP($I1139,Ref!$B$23:$E$29,4,0),1),0)</f>
        <v>0</v>
      </c>
      <c r="AT1139" s="545" t="str">
        <f>IF(A1139="","",IF(AP1139&lt;=1,"Cleared",IF(AS1139=0,"Clean",VLOOKUP($AS1139,Ref!$G$23:$H$28,2))))</f>
        <v/>
      </c>
      <c r="AU1139" s="546" t="str">
        <f t="shared" si="484"/>
        <v/>
      </c>
    </row>
    <row r="1140" spans="1:47" ht="14.25" hidden="1" customHeight="1" x14ac:dyDescent="0.15">
      <c r="A1140" s="523"/>
      <c r="B1140" s="523"/>
      <c r="C1140" s="523"/>
      <c r="D1140" s="523"/>
      <c r="E1140" s="579"/>
      <c r="F1140" s="580"/>
      <c r="G1140" s="524"/>
      <c r="H1140" s="555"/>
      <c r="I1140" s="560"/>
      <c r="J1140" s="523"/>
      <c r="K1140" s="528" t="str">
        <f>IFERROR(VLOOKUP($B1140,'Clients-Live'!$A:$C,3,0),"")</f>
        <v/>
      </c>
      <c r="L1140" s="528">
        <f>IF(E1140="STL",Pricing!$D$38,IF(A1140="",0,IF(A1140&lt;Pricing!$C$25,Pricing!$D$25,VLOOKUP(Disbursements!$F1140,Pricing!$B$29:$D$32,3))))</f>
        <v>0</v>
      </c>
      <c r="M1140" s="528">
        <f>IF(E1140="STL",0,IF(F1140&gt;0,Pricing!$D$21,0))</f>
        <v>0</v>
      </c>
      <c r="N1140" s="529">
        <f>IF(E1140="STL",F1140*Pricing!$D$40,IF(A1140&lt;=Pricing!$C$4,0,IF(AND(A1140&gt;Pricing!$C$4,Disbursements!A1140&lt;=Pricing!$C$5),F1140*Pricing!$E$5,IF(AND(A1140&gt;Pricing!$C$5,Disbursements!A1140&lt;=Pricing!$C$7),VLOOKUP(F1140,Pricing!$D$7:$E$8,2)*Disbursements!F1140,F1140*Pricing!$E$9))))</f>
        <v>0</v>
      </c>
      <c r="O1140" s="528">
        <f>IF(E1140="STL",0,IF($F1140&gt;0,$F1140*Pricing!$D$17,0))</f>
        <v>0</v>
      </c>
      <c r="P1140" s="530" t="str">
        <f t="shared" si="464"/>
        <v/>
      </c>
      <c r="Q1140" s="531" t="str">
        <f>IF($A1140="","",$G1140/VLOOKUP($I1140,Ref!$B$23:$D$29,2,0))</f>
        <v/>
      </c>
      <c r="R1140" s="530" t="str">
        <f t="shared" si="465"/>
        <v/>
      </c>
      <c r="S1140" s="532" t="str">
        <f t="shared" si="459"/>
        <v/>
      </c>
      <c r="T1140" s="531" t="str">
        <f t="shared" si="466"/>
        <v/>
      </c>
      <c r="U1140" s="533">
        <f t="shared" si="467"/>
        <v>0</v>
      </c>
      <c r="V1140" s="531" t="str">
        <f t="shared" si="468"/>
        <v/>
      </c>
      <c r="W1140" s="531" t="str">
        <f t="shared" si="469"/>
        <v/>
      </c>
      <c r="X1140" s="534" t="str">
        <f t="shared" si="470"/>
        <v/>
      </c>
      <c r="Y1140" s="535" t="str">
        <f>IF($A1140="","",IF($I1140="weekly",$A1140+7,EDATE($A1140,VLOOKUP($I1140,Ref!$B$24:$C$29,2,0))))</f>
        <v/>
      </c>
      <c r="Z1140" s="536" t="str">
        <f t="shared" si="471"/>
        <v/>
      </c>
      <c r="AA1140" s="531">
        <f t="shared" si="472"/>
        <v>0</v>
      </c>
      <c r="AB1140" s="535" t="str">
        <f t="shared" si="460"/>
        <v/>
      </c>
      <c r="AC1140" s="537" t="str">
        <f t="shared" si="461"/>
        <v/>
      </c>
      <c r="AD1140" s="538" t="str">
        <f t="shared" ca="1" si="462"/>
        <v/>
      </c>
      <c r="AE1140" s="537">
        <f t="shared" ca="1" si="463"/>
        <v>0</v>
      </c>
      <c r="AF1140" s="539" t="str">
        <f t="shared" ca="1" si="473"/>
        <v/>
      </c>
      <c r="AG1140" s="531" t="str">
        <f t="shared" ca="1" si="474"/>
        <v/>
      </c>
      <c r="AH1140" s="531" t="str">
        <f t="shared" ca="1" si="475"/>
        <v/>
      </c>
      <c r="AI1140" s="531" t="str">
        <f t="shared" ca="1" si="476"/>
        <v/>
      </c>
      <c r="AJ1140" s="531" t="str">
        <f t="shared" si="477"/>
        <v/>
      </c>
      <c r="AK1140" s="540">
        <f>SUMIFS('Live Collections'!$S:$S,'Live Collections'!$D:$D,Disbursements!B1140,'Live Collections'!$G:$G,Disbursements!C1140)</f>
        <v>0</v>
      </c>
      <c r="AL1140" s="540">
        <f>SUMIFS('Live Collections'!$T:$T,'Live Collections'!$D:$D,Disbursements!B1140,'Live Collections'!$G:$G,Disbursements!C1140)</f>
        <v>0</v>
      </c>
      <c r="AM1140" s="541">
        <f t="shared" si="478"/>
        <v>0</v>
      </c>
      <c r="AN1140" s="542" t="str">
        <f t="shared" si="479"/>
        <v/>
      </c>
      <c r="AO1140" s="542" t="str">
        <f t="shared" si="480"/>
        <v/>
      </c>
      <c r="AP1140" s="543" t="str">
        <f t="shared" si="481"/>
        <v/>
      </c>
      <c r="AQ1140" s="544" t="str">
        <f t="shared" si="482"/>
        <v/>
      </c>
      <c r="AR1140" s="545">
        <f t="shared" si="483"/>
        <v>0</v>
      </c>
      <c r="AS1140" s="545">
        <f>IFERROR(CEILING($AR1140*VLOOKUP($I1140,Ref!$B$23:$E$29,4,0),1),0)</f>
        <v>0</v>
      </c>
      <c r="AT1140" s="545" t="str">
        <f>IF(A1140="","",IF(AP1140&lt;=1,"Cleared",IF(AS1140=0,"Clean",VLOOKUP($AS1140,Ref!$G$23:$H$28,2))))</f>
        <v/>
      </c>
      <c r="AU1140" s="546" t="str">
        <f t="shared" si="484"/>
        <v/>
      </c>
    </row>
    <row r="1141" spans="1:47" ht="14.25" hidden="1" customHeight="1" x14ac:dyDescent="0.15">
      <c r="A1141" s="523"/>
      <c r="B1141" s="523"/>
      <c r="C1141" s="523"/>
      <c r="D1141" s="523"/>
      <c r="E1141" s="579"/>
      <c r="F1141" s="580"/>
      <c r="G1141" s="524"/>
      <c r="H1141" s="555"/>
      <c r="I1141" s="560"/>
      <c r="J1141" s="523"/>
      <c r="K1141" s="528" t="str">
        <f>IFERROR(VLOOKUP($B1141,'Clients-Live'!$A:$C,3,0),"")</f>
        <v/>
      </c>
      <c r="L1141" s="528">
        <f>IF(E1141="STL",Pricing!$D$38,IF(A1141="",0,IF(A1141&lt;Pricing!$C$25,Pricing!$D$25,VLOOKUP(Disbursements!$F1141,Pricing!$B$29:$D$32,3))))</f>
        <v>0</v>
      </c>
      <c r="M1141" s="528">
        <f>IF(E1141="STL",0,IF(F1141&gt;0,Pricing!$D$21,0))</f>
        <v>0</v>
      </c>
      <c r="N1141" s="529">
        <f>IF(E1141="STL",F1141*Pricing!$D$40,IF(A1141&lt;=Pricing!$C$4,0,IF(AND(A1141&gt;Pricing!$C$4,Disbursements!A1141&lt;=Pricing!$C$5),F1141*Pricing!$E$5,IF(AND(A1141&gt;Pricing!$C$5,Disbursements!A1141&lt;=Pricing!$C$7),VLOOKUP(F1141,Pricing!$D$7:$E$8,2)*Disbursements!F1141,F1141*Pricing!$E$9))))</f>
        <v>0</v>
      </c>
      <c r="O1141" s="528">
        <f>IF(E1141="STL",0,IF($F1141&gt;0,$F1141*Pricing!$D$17,0))</f>
        <v>0</v>
      </c>
      <c r="P1141" s="530" t="str">
        <f t="shared" si="464"/>
        <v/>
      </c>
      <c r="Q1141" s="531" t="str">
        <f>IF($A1141="","",$G1141/VLOOKUP($I1141,Ref!$B$23:$D$29,2,0))</f>
        <v/>
      </c>
      <c r="R1141" s="530" t="str">
        <f t="shared" si="465"/>
        <v/>
      </c>
      <c r="S1141" s="532" t="str">
        <f t="shared" si="459"/>
        <v/>
      </c>
      <c r="T1141" s="531" t="str">
        <f t="shared" si="466"/>
        <v/>
      </c>
      <c r="U1141" s="533">
        <f t="shared" si="467"/>
        <v>0</v>
      </c>
      <c r="V1141" s="531" t="str">
        <f t="shared" si="468"/>
        <v/>
      </c>
      <c r="W1141" s="531" t="str">
        <f t="shared" si="469"/>
        <v/>
      </c>
      <c r="X1141" s="534" t="str">
        <f t="shared" si="470"/>
        <v/>
      </c>
      <c r="Y1141" s="535" t="str">
        <f>IF($A1141="","",IF($I1141="weekly",$A1141+7,EDATE($A1141,VLOOKUP($I1141,Ref!$B$24:$C$29,2,0))))</f>
        <v/>
      </c>
      <c r="Z1141" s="536" t="str">
        <f t="shared" si="471"/>
        <v/>
      </c>
      <c r="AA1141" s="531">
        <f t="shared" si="472"/>
        <v>0</v>
      </c>
      <c r="AB1141" s="535" t="str">
        <f t="shared" si="460"/>
        <v/>
      </c>
      <c r="AC1141" s="537" t="str">
        <f t="shared" si="461"/>
        <v/>
      </c>
      <c r="AD1141" s="538" t="str">
        <f t="shared" ca="1" si="462"/>
        <v/>
      </c>
      <c r="AE1141" s="537">
        <f t="shared" ca="1" si="463"/>
        <v>0</v>
      </c>
      <c r="AF1141" s="539" t="str">
        <f t="shared" ca="1" si="473"/>
        <v/>
      </c>
      <c r="AG1141" s="531" t="str">
        <f t="shared" ca="1" si="474"/>
        <v/>
      </c>
      <c r="AH1141" s="531" t="str">
        <f t="shared" ca="1" si="475"/>
        <v/>
      </c>
      <c r="AI1141" s="531" t="str">
        <f t="shared" ca="1" si="476"/>
        <v/>
      </c>
      <c r="AJ1141" s="531" t="str">
        <f t="shared" si="477"/>
        <v/>
      </c>
      <c r="AK1141" s="540">
        <f>SUMIFS('Live Collections'!$S:$S,'Live Collections'!$D:$D,Disbursements!B1141,'Live Collections'!$G:$G,Disbursements!C1141)</f>
        <v>0</v>
      </c>
      <c r="AL1141" s="540">
        <f>SUMIFS('Live Collections'!$T:$T,'Live Collections'!$D:$D,Disbursements!B1141,'Live Collections'!$G:$G,Disbursements!C1141)</f>
        <v>0</v>
      </c>
      <c r="AM1141" s="541">
        <f t="shared" si="478"/>
        <v>0</v>
      </c>
      <c r="AN1141" s="542" t="str">
        <f t="shared" si="479"/>
        <v/>
      </c>
      <c r="AO1141" s="542" t="str">
        <f t="shared" si="480"/>
        <v/>
      </c>
      <c r="AP1141" s="543" t="str">
        <f t="shared" si="481"/>
        <v/>
      </c>
      <c r="AQ1141" s="544" t="str">
        <f t="shared" si="482"/>
        <v/>
      </c>
      <c r="AR1141" s="545">
        <f t="shared" si="483"/>
        <v>0</v>
      </c>
      <c r="AS1141" s="545">
        <f>IFERROR(CEILING($AR1141*VLOOKUP($I1141,Ref!$B$23:$E$29,4,0),1),0)</f>
        <v>0</v>
      </c>
      <c r="AT1141" s="545" t="str">
        <f>IF(A1141="","",IF(AP1141&lt;=1,"Cleared",IF(AS1141=0,"Clean",VLOOKUP($AS1141,Ref!$G$23:$H$28,2))))</f>
        <v/>
      </c>
      <c r="AU1141" s="546" t="str">
        <f t="shared" si="484"/>
        <v/>
      </c>
    </row>
    <row r="1142" spans="1:47" ht="14.25" hidden="1" customHeight="1" x14ac:dyDescent="0.15">
      <c r="A1142" s="523"/>
      <c r="B1142" s="523"/>
      <c r="C1142" s="523"/>
      <c r="D1142" s="523"/>
      <c r="E1142" s="579"/>
      <c r="F1142" s="580"/>
      <c r="G1142" s="524"/>
      <c r="H1142" s="555"/>
      <c r="I1142" s="560"/>
      <c r="J1142" s="523"/>
      <c r="K1142" s="528" t="str">
        <f>IFERROR(VLOOKUP($B1142,'Clients-Live'!$A:$C,3,0),"")</f>
        <v/>
      </c>
      <c r="L1142" s="528">
        <f>IF(E1142="STL",Pricing!$D$38,IF(A1142="",0,IF(A1142&lt;Pricing!$C$25,Pricing!$D$25,VLOOKUP(Disbursements!$F1142,Pricing!$B$29:$D$32,3))))</f>
        <v>0</v>
      </c>
      <c r="M1142" s="528">
        <f>IF(E1142="STL",0,IF(F1142&gt;0,Pricing!$D$21,0))</f>
        <v>0</v>
      </c>
      <c r="N1142" s="529">
        <f>IF(E1142="STL",F1142*Pricing!$D$40,IF(A1142&lt;=Pricing!$C$4,0,IF(AND(A1142&gt;Pricing!$C$4,Disbursements!A1142&lt;=Pricing!$C$5),F1142*Pricing!$E$5,IF(AND(A1142&gt;Pricing!$C$5,Disbursements!A1142&lt;=Pricing!$C$7),VLOOKUP(F1142,Pricing!$D$7:$E$8,2)*Disbursements!F1142,F1142*Pricing!$E$9))))</f>
        <v>0</v>
      </c>
      <c r="O1142" s="528">
        <f>IF(E1142="STL",0,IF($F1142&gt;0,$F1142*Pricing!$D$17,0))</f>
        <v>0</v>
      </c>
      <c r="P1142" s="530" t="str">
        <f t="shared" si="464"/>
        <v/>
      </c>
      <c r="Q1142" s="531" t="str">
        <f>IF($A1142="","",$G1142/VLOOKUP($I1142,Ref!$B$23:$D$29,2,0))</f>
        <v/>
      </c>
      <c r="R1142" s="530" t="str">
        <f t="shared" si="465"/>
        <v/>
      </c>
      <c r="S1142" s="532" t="str">
        <f t="shared" si="459"/>
        <v/>
      </c>
      <c r="T1142" s="531" t="str">
        <f t="shared" si="466"/>
        <v/>
      </c>
      <c r="U1142" s="533">
        <f t="shared" si="467"/>
        <v>0</v>
      </c>
      <c r="V1142" s="531" t="str">
        <f t="shared" si="468"/>
        <v/>
      </c>
      <c r="W1142" s="531" t="str">
        <f t="shared" si="469"/>
        <v/>
      </c>
      <c r="X1142" s="534" t="str">
        <f t="shared" si="470"/>
        <v/>
      </c>
      <c r="Y1142" s="535" t="str">
        <f>IF($A1142="","",IF($I1142="weekly",$A1142+7,EDATE($A1142,VLOOKUP($I1142,Ref!$B$24:$C$29,2,0))))</f>
        <v/>
      </c>
      <c r="Z1142" s="536" t="str">
        <f t="shared" si="471"/>
        <v/>
      </c>
      <c r="AA1142" s="531">
        <f t="shared" si="472"/>
        <v>0</v>
      </c>
      <c r="AB1142" s="535" t="str">
        <f t="shared" si="460"/>
        <v/>
      </c>
      <c r="AC1142" s="537" t="str">
        <f t="shared" si="461"/>
        <v/>
      </c>
      <c r="AD1142" s="538" t="str">
        <f t="shared" ca="1" si="462"/>
        <v/>
      </c>
      <c r="AE1142" s="537">
        <f t="shared" ca="1" si="463"/>
        <v>0</v>
      </c>
      <c r="AF1142" s="539" t="str">
        <f t="shared" ca="1" si="473"/>
        <v/>
      </c>
      <c r="AG1142" s="531" t="str">
        <f t="shared" ca="1" si="474"/>
        <v/>
      </c>
      <c r="AH1142" s="531" t="str">
        <f t="shared" ca="1" si="475"/>
        <v/>
      </c>
      <c r="AI1142" s="531" t="str">
        <f t="shared" ca="1" si="476"/>
        <v/>
      </c>
      <c r="AJ1142" s="531" t="str">
        <f t="shared" si="477"/>
        <v/>
      </c>
      <c r="AK1142" s="540">
        <f>SUMIFS('Live Collections'!$S:$S,'Live Collections'!$D:$D,Disbursements!B1142,'Live Collections'!$G:$G,Disbursements!C1142)</f>
        <v>0</v>
      </c>
      <c r="AL1142" s="540">
        <f>SUMIFS('Live Collections'!$T:$T,'Live Collections'!$D:$D,Disbursements!B1142,'Live Collections'!$G:$G,Disbursements!C1142)</f>
        <v>0</v>
      </c>
      <c r="AM1142" s="541">
        <f t="shared" si="478"/>
        <v>0</v>
      </c>
      <c r="AN1142" s="542" t="str">
        <f t="shared" si="479"/>
        <v/>
      </c>
      <c r="AO1142" s="542" t="str">
        <f t="shared" si="480"/>
        <v/>
      </c>
      <c r="AP1142" s="543" t="str">
        <f t="shared" si="481"/>
        <v/>
      </c>
      <c r="AQ1142" s="544" t="str">
        <f t="shared" si="482"/>
        <v/>
      </c>
      <c r="AR1142" s="545">
        <f t="shared" si="483"/>
        <v>0</v>
      </c>
      <c r="AS1142" s="545">
        <f>IFERROR(CEILING($AR1142*VLOOKUP($I1142,Ref!$B$23:$E$29,4,0),1),0)</f>
        <v>0</v>
      </c>
      <c r="AT1142" s="545" t="str">
        <f>IF(A1142="","",IF(AP1142&lt;=1,"Cleared",IF(AS1142=0,"Clean",VLOOKUP($AS1142,Ref!$G$23:$H$28,2))))</f>
        <v/>
      </c>
      <c r="AU1142" s="546" t="str">
        <f t="shared" si="484"/>
        <v/>
      </c>
    </row>
    <row r="1143" spans="1:47" ht="14.25" hidden="1" customHeight="1" x14ac:dyDescent="0.15">
      <c r="A1143" s="523"/>
      <c r="B1143" s="523"/>
      <c r="C1143" s="523"/>
      <c r="D1143" s="523"/>
      <c r="E1143" s="579"/>
      <c r="F1143" s="580"/>
      <c r="G1143" s="524"/>
      <c r="H1143" s="555"/>
      <c r="I1143" s="560"/>
      <c r="J1143" s="523"/>
      <c r="K1143" s="528" t="str">
        <f>IFERROR(VLOOKUP($B1143,'Clients-Live'!$A:$C,3,0),"")</f>
        <v/>
      </c>
      <c r="L1143" s="528">
        <f>IF(E1143="STL",Pricing!$D$38,IF(A1143="",0,IF(A1143&lt;Pricing!$C$25,Pricing!$D$25,VLOOKUP(Disbursements!$F1143,Pricing!$B$29:$D$32,3))))</f>
        <v>0</v>
      </c>
      <c r="M1143" s="528">
        <f>IF(E1143="STL",0,IF(F1143&gt;0,Pricing!$D$21,0))</f>
        <v>0</v>
      </c>
      <c r="N1143" s="529">
        <f>IF(E1143="STL",F1143*Pricing!$D$40,IF(A1143&lt;=Pricing!$C$4,0,IF(AND(A1143&gt;Pricing!$C$4,Disbursements!A1143&lt;=Pricing!$C$5),F1143*Pricing!$E$5,IF(AND(A1143&gt;Pricing!$C$5,Disbursements!A1143&lt;=Pricing!$C$7),VLOOKUP(F1143,Pricing!$D$7:$E$8,2)*Disbursements!F1143,F1143*Pricing!$E$9))))</f>
        <v>0</v>
      </c>
      <c r="O1143" s="528">
        <f>IF(E1143="STL",0,IF($F1143&gt;0,$F1143*Pricing!$D$17,0))</f>
        <v>0</v>
      </c>
      <c r="P1143" s="530" t="str">
        <f t="shared" si="464"/>
        <v/>
      </c>
      <c r="Q1143" s="531" t="str">
        <f>IF($A1143="","",$G1143/VLOOKUP($I1143,Ref!$B$23:$D$29,2,0))</f>
        <v/>
      </c>
      <c r="R1143" s="530" t="str">
        <f t="shared" si="465"/>
        <v/>
      </c>
      <c r="S1143" s="532" t="str">
        <f t="shared" si="459"/>
        <v/>
      </c>
      <c r="T1143" s="531" t="str">
        <f t="shared" si="466"/>
        <v/>
      </c>
      <c r="U1143" s="533">
        <f t="shared" si="467"/>
        <v>0</v>
      </c>
      <c r="V1143" s="531" t="str">
        <f t="shared" si="468"/>
        <v/>
      </c>
      <c r="W1143" s="531" t="str">
        <f t="shared" si="469"/>
        <v/>
      </c>
      <c r="X1143" s="534" t="str">
        <f t="shared" si="470"/>
        <v/>
      </c>
      <c r="Y1143" s="535" t="str">
        <f>IF($A1143="","",IF($I1143="weekly",$A1143+7,EDATE($A1143,VLOOKUP($I1143,Ref!$B$24:$C$29,2,0))))</f>
        <v/>
      </c>
      <c r="Z1143" s="536" t="str">
        <f t="shared" si="471"/>
        <v/>
      </c>
      <c r="AA1143" s="531">
        <f t="shared" si="472"/>
        <v>0</v>
      </c>
      <c r="AB1143" s="535" t="str">
        <f t="shared" si="460"/>
        <v/>
      </c>
      <c r="AC1143" s="537" t="str">
        <f t="shared" si="461"/>
        <v/>
      </c>
      <c r="AD1143" s="538" t="str">
        <f t="shared" ca="1" si="462"/>
        <v/>
      </c>
      <c r="AE1143" s="537">
        <f t="shared" ca="1" si="463"/>
        <v>0</v>
      </c>
      <c r="AF1143" s="539" t="str">
        <f t="shared" ca="1" si="473"/>
        <v/>
      </c>
      <c r="AG1143" s="531" t="str">
        <f t="shared" ca="1" si="474"/>
        <v/>
      </c>
      <c r="AH1143" s="531" t="str">
        <f t="shared" ca="1" si="475"/>
        <v/>
      </c>
      <c r="AI1143" s="531" t="str">
        <f t="shared" ca="1" si="476"/>
        <v/>
      </c>
      <c r="AJ1143" s="531" t="str">
        <f t="shared" si="477"/>
        <v/>
      </c>
      <c r="AK1143" s="540">
        <f>SUMIFS('Live Collections'!$S:$S,'Live Collections'!$D:$D,Disbursements!B1143,'Live Collections'!$G:$G,Disbursements!C1143)</f>
        <v>0</v>
      </c>
      <c r="AL1143" s="540">
        <f>SUMIFS('Live Collections'!$T:$T,'Live Collections'!$D:$D,Disbursements!B1143,'Live Collections'!$G:$G,Disbursements!C1143)</f>
        <v>0</v>
      </c>
      <c r="AM1143" s="541">
        <f t="shared" si="478"/>
        <v>0</v>
      </c>
      <c r="AN1143" s="542" t="str">
        <f t="shared" si="479"/>
        <v/>
      </c>
      <c r="AO1143" s="542" t="str">
        <f t="shared" si="480"/>
        <v/>
      </c>
      <c r="AP1143" s="543" t="str">
        <f t="shared" si="481"/>
        <v/>
      </c>
      <c r="AQ1143" s="544" t="str">
        <f t="shared" si="482"/>
        <v/>
      </c>
      <c r="AR1143" s="545">
        <f t="shared" si="483"/>
        <v>0</v>
      </c>
      <c r="AS1143" s="545">
        <f>IFERROR(CEILING($AR1143*VLOOKUP($I1143,Ref!$B$23:$E$29,4,0),1),0)</f>
        <v>0</v>
      </c>
      <c r="AT1143" s="545" t="str">
        <f>IF(A1143="","",IF(AP1143&lt;=1,"Cleared",IF(AS1143=0,"Clean",VLOOKUP($AS1143,Ref!$G$23:$H$28,2))))</f>
        <v/>
      </c>
      <c r="AU1143" s="546" t="str">
        <f t="shared" si="484"/>
        <v/>
      </c>
    </row>
    <row r="1144" spans="1:47" ht="14.25" hidden="1" customHeight="1" x14ac:dyDescent="0.15">
      <c r="A1144" s="523"/>
      <c r="B1144" s="523"/>
      <c r="C1144" s="523"/>
      <c r="D1144" s="523"/>
      <c r="E1144" s="579"/>
      <c r="F1144" s="580"/>
      <c r="G1144" s="524"/>
      <c r="H1144" s="555"/>
      <c r="I1144" s="560"/>
      <c r="J1144" s="523"/>
      <c r="K1144" s="528" t="str">
        <f>IFERROR(VLOOKUP($B1144,'Clients-Live'!$A:$C,3,0),"")</f>
        <v/>
      </c>
      <c r="L1144" s="528">
        <f>IF(E1144="STL",Pricing!$D$38,IF(A1144="",0,IF(A1144&lt;Pricing!$C$25,Pricing!$D$25,VLOOKUP(Disbursements!$F1144,Pricing!$B$29:$D$32,3))))</f>
        <v>0</v>
      </c>
      <c r="M1144" s="528">
        <f>IF(E1144="STL",0,IF(F1144&gt;0,Pricing!$D$21,0))</f>
        <v>0</v>
      </c>
      <c r="N1144" s="529">
        <f>IF(E1144="STL",F1144*Pricing!$D$40,IF(A1144&lt;=Pricing!$C$4,0,IF(AND(A1144&gt;Pricing!$C$4,Disbursements!A1144&lt;=Pricing!$C$5),F1144*Pricing!$E$5,IF(AND(A1144&gt;Pricing!$C$5,Disbursements!A1144&lt;=Pricing!$C$7),VLOOKUP(F1144,Pricing!$D$7:$E$8,2)*Disbursements!F1144,F1144*Pricing!$E$9))))</f>
        <v>0</v>
      </c>
      <c r="O1144" s="528">
        <f>IF(E1144="STL",0,IF($F1144&gt;0,$F1144*Pricing!$D$17,0))</f>
        <v>0</v>
      </c>
      <c r="P1144" s="530" t="str">
        <f t="shared" si="464"/>
        <v/>
      </c>
      <c r="Q1144" s="531" t="str">
        <f>IF($A1144="","",$G1144/VLOOKUP($I1144,Ref!$B$23:$D$29,2,0))</f>
        <v/>
      </c>
      <c r="R1144" s="530" t="str">
        <f t="shared" si="465"/>
        <v/>
      </c>
      <c r="S1144" s="532" t="str">
        <f t="shared" si="459"/>
        <v/>
      </c>
      <c r="T1144" s="531" t="str">
        <f t="shared" si="466"/>
        <v/>
      </c>
      <c r="U1144" s="533">
        <f t="shared" si="467"/>
        <v>0</v>
      </c>
      <c r="V1144" s="531" t="str">
        <f t="shared" si="468"/>
        <v/>
      </c>
      <c r="W1144" s="531" t="str">
        <f t="shared" si="469"/>
        <v/>
      </c>
      <c r="X1144" s="534" t="str">
        <f t="shared" si="470"/>
        <v/>
      </c>
      <c r="Y1144" s="535" t="str">
        <f>IF($A1144="","",IF($I1144="weekly",$A1144+7,EDATE($A1144,VLOOKUP($I1144,Ref!$B$24:$C$29,2,0))))</f>
        <v/>
      </c>
      <c r="Z1144" s="536" t="str">
        <f t="shared" si="471"/>
        <v/>
      </c>
      <c r="AA1144" s="531">
        <f t="shared" si="472"/>
        <v>0</v>
      </c>
      <c r="AB1144" s="535" t="str">
        <f t="shared" si="460"/>
        <v/>
      </c>
      <c r="AC1144" s="537" t="str">
        <f t="shared" si="461"/>
        <v/>
      </c>
      <c r="AD1144" s="538" t="str">
        <f t="shared" ca="1" si="462"/>
        <v/>
      </c>
      <c r="AE1144" s="537">
        <f t="shared" ca="1" si="463"/>
        <v>0</v>
      </c>
      <c r="AF1144" s="539" t="str">
        <f t="shared" ca="1" si="473"/>
        <v/>
      </c>
      <c r="AG1144" s="531" t="str">
        <f t="shared" ca="1" si="474"/>
        <v/>
      </c>
      <c r="AH1144" s="531" t="str">
        <f t="shared" ca="1" si="475"/>
        <v/>
      </c>
      <c r="AI1144" s="531" t="str">
        <f t="shared" ca="1" si="476"/>
        <v/>
      </c>
      <c r="AJ1144" s="531" t="str">
        <f t="shared" si="477"/>
        <v/>
      </c>
      <c r="AK1144" s="540">
        <f>SUMIFS('Live Collections'!$S:$S,'Live Collections'!$D:$D,Disbursements!B1144,'Live Collections'!$G:$G,Disbursements!C1144)</f>
        <v>0</v>
      </c>
      <c r="AL1144" s="540">
        <f>SUMIFS('Live Collections'!$T:$T,'Live Collections'!$D:$D,Disbursements!B1144,'Live Collections'!$G:$G,Disbursements!C1144)</f>
        <v>0</v>
      </c>
      <c r="AM1144" s="541">
        <f t="shared" si="478"/>
        <v>0</v>
      </c>
      <c r="AN1144" s="542" t="str">
        <f t="shared" si="479"/>
        <v/>
      </c>
      <c r="AO1144" s="542" t="str">
        <f t="shared" si="480"/>
        <v/>
      </c>
      <c r="AP1144" s="543" t="str">
        <f t="shared" si="481"/>
        <v/>
      </c>
      <c r="AQ1144" s="544" t="str">
        <f t="shared" si="482"/>
        <v/>
      </c>
      <c r="AR1144" s="545">
        <f t="shared" si="483"/>
        <v>0</v>
      </c>
      <c r="AS1144" s="545">
        <f>IFERROR(CEILING($AR1144*VLOOKUP($I1144,Ref!$B$23:$E$29,4,0),1),0)</f>
        <v>0</v>
      </c>
      <c r="AT1144" s="545" t="str">
        <f>IF(A1144="","",IF(AP1144&lt;=1,"Cleared",IF(AS1144=0,"Clean",VLOOKUP($AS1144,Ref!$G$23:$H$28,2))))</f>
        <v/>
      </c>
      <c r="AU1144" s="546" t="str">
        <f t="shared" si="484"/>
        <v/>
      </c>
    </row>
    <row r="1145" spans="1:47" ht="14.25" hidden="1" customHeight="1" x14ac:dyDescent="0.15">
      <c r="A1145" s="523"/>
      <c r="B1145" s="523"/>
      <c r="C1145" s="523"/>
      <c r="D1145" s="523"/>
      <c r="E1145" s="579"/>
      <c r="F1145" s="580"/>
      <c r="G1145" s="524"/>
      <c r="H1145" s="555"/>
      <c r="I1145" s="560"/>
      <c r="J1145" s="523"/>
      <c r="K1145" s="528" t="str">
        <f>IFERROR(VLOOKUP($B1145,'Clients-Live'!$A:$C,3,0),"")</f>
        <v/>
      </c>
      <c r="L1145" s="528">
        <f>IF(E1145="STL",Pricing!$D$38,IF(A1145="",0,IF(A1145&lt;Pricing!$C$25,Pricing!$D$25,VLOOKUP(Disbursements!$F1145,Pricing!$B$29:$D$32,3))))</f>
        <v>0</v>
      </c>
      <c r="M1145" s="528">
        <f>IF(E1145="STL",0,IF(F1145&gt;0,Pricing!$D$21,0))</f>
        <v>0</v>
      </c>
      <c r="N1145" s="529">
        <f>IF(E1145="STL",F1145*Pricing!$D$40,IF(A1145&lt;=Pricing!$C$4,0,IF(AND(A1145&gt;Pricing!$C$4,Disbursements!A1145&lt;=Pricing!$C$5),F1145*Pricing!$E$5,IF(AND(A1145&gt;Pricing!$C$5,Disbursements!A1145&lt;=Pricing!$C$7),VLOOKUP(F1145,Pricing!$D$7:$E$8,2)*Disbursements!F1145,F1145*Pricing!$E$9))))</f>
        <v>0</v>
      </c>
      <c r="O1145" s="528">
        <f>IF(E1145="STL",0,IF($F1145&gt;0,$F1145*Pricing!$D$17,0))</f>
        <v>0</v>
      </c>
      <c r="P1145" s="530" t="str">
        <f t="shared" si="464"/>
        <v/>
      </c>
      <c r="Q1145" s="531" t="str">
        <f>IF($A1145="","",$G1145/VLOOKUP($I1145,Ref!$B$23:$D$29,2,0))</f>
        <v/>
      </c>
      <c r="R1145" s="530" t="str">
        <f t="shared" si="465"/>
        <v/>
      </c>
      <c r="S1145" s="532" t="str">
        <f t="shared" si="459"/>
        <v/>
      </c>
      <c r="T1145" s="531" t="str">
        <f t="shared" si="466"/>
        <v/>
      </c>
      <c r="U1145" s="533">
        <f t="shared" si="467"/>
        <v>0</v>
      </c>
      <c r="V1145" s="531" t="str">
        <f t="shared" si="468"/>
        <v/>
      </c>
      <c r="W1145" s="531" t="str">
        <f t="shared" si="469"/>
        <v/>
      </c>
      <c r="X1145" s="534" t="str">
        <f t="shared" si="470"/>
        <v/>
      </c>
      <c r="Y1145" s="535" t="str">
        <f>IF($A1145="","",IF($I1145="weekly",$A1145+7,EDATE($A1145,VLOOKUP($I1145,Ref!$B$24:$C$29,2,0))))</f>
        <v/>
      </c>
      <c r="Z1145" s="536" t="str">
        <f t="shared" si="471"/>
        <v/>
      </c>
      <c r="AA1145" s="531">
        <f t="shared" si="472"/>
        <v>0</v>
      </c>
      <c r="AB1145" s="535" t="str">
        <f t="shared" si="460"/>
        <v/>
      </c>
      <c r="AC1145" s="537" t="str">
        <f t="shared" si="461"/>
        <v/>
      </c>
      <c r="AD1145" s="538" t="str">
        <f t="shared" ca="1" si="462"/>
        <v/>
      </c>
      <c r="AE1145" s="537">
        <f t="shared" ca="1" si="463"/>
        <v>0</v>
      </c>
      <c r="AF1145" s="539" t="str">
        <f t="shared" ca="1" si="473"/>
        <v/>
      </c>
      <c r="AG1145" s="531" t="str">
        <f t="shared" ca="1" si="474"/>
        <v/>
      </c>
      <c r="AH1145" s="531" t="str">
        <f t="shared" ca="1" si="475"/>
        <v/>
      </c>
      <c r="AI1145" s="531" t="str">
        <f t="shared" ca="1" si="476"/>
        <v/>
      </c>
      <c r="AJ1145" s="531" t="str">
        <f t="shared" si="477"/>
        <v/>
      </c>
      <c r="AK1145" s="540">
        <f>SUMIFS('Live Collections'!$S:$S,'Live Collections'!$D:$D,Disbursements!B1145,'Live Collections'!$G:$G,Disbursements!C1145)</f>
        <v>0</v>
      </c>
      <c r="AL1145" s="540">
        <f>SUMIFS('Live Collections'!$T:$T,'Live Collections'!$D:$D,Disbursements!B1145,'Live Collections'!$G:$G,Disbursements!C1145)</f>
        <v>0</v>
      </c>
      <c r="AM1145" s="541">
        <f t="shared" si="478"/>
        <v>0</v>
      </c>
      <c r="AN1145" s="542" t="str">
        <f t="shared" si="479"/>
        <v/>
      </c>
      <c r="AO1145" s="542" t="str">
        <f t="shared" si="480"/>
        <v/>
      </c>
      <c r="AP1145" s="543" t="str">
        <f t="shared" si="481"/>
        <v/>
      </c>
      <c r="AQ1145" s="544" t="str">
        <f t="shared" si="482"/>
        <v/>
      </c>
      <c r="AR1145" s="545">
        <f t="shared" si="483"/>
        <v>0</v>
      </c>
      <c r="AS1145" s="545">
        <f>IFERROR(CEILING($AR1145*VLOOKUP($I1145,Ref!$B$23:$E$29,4,0),1),0)</f>
        <v>0</v>
      </c>
      <c r="AT1145" s="545" t="str">
        <f>IF(A1145="","",IF(AP1145&lt;=1,"Cleared",IF(AS1145=0,"Clean",VLOOKUP($AS1145,Ref!$G$23:$H$28,2))))</f>
        <v/>
      </c>
      <c r="AU1145" s="546" t="str">
        <f t="shared" si="484"/>
        <v/>
      </c>
    </row>
    <row r="1146" spans="1:47" ht="14.25" hidden="1" customHeight="1" x14ac:dyDescent="0.15">
      <c r="A1146" s="523"/>
      <c r="B1146" s="523"/>
      <c r="C1146" s="523"/>
      <c r="D1146" s="523"/>
      <c r="E1146" s="579"/>
      <c r="F1146" s="580"/>
      <c r="G1146" s="524"/>
      <c r="H1146" s="555"/>
      <c r="I1146" s="560"/>
      <c r="J1146" s="523"/>
      <c r="K1146" s="528" t="str">
        <f>IFERROR(VLOOKUP($B1146,'Clients-Live'!$A:$C,3,0),"")</f>
        <v/>
      </c>
      <c r="L1146" s="528">
        <f>IF(E1146="STL",Pricing!$D$38,IF(A1146="",0,IF(A1146&lt;Pricing!$C$25,Pricing!$D$25,VLOOKUP(Disbursements!$F1146,Pricing!$B$29:$D$32,3))))</f>
        <v>0</v>
      </c>
      <c r="M1146" s="528">
        <f>IF(E1146="STL",0,IF(F1146&gt;0,Pricing!$D$21,0))</f>
        <v>0</v>
      </c>
      <c r="N1146" s="529">
        <f>IF(E1146="STL",F1146*Pricing!$D$40,IF(A1146&lt;=Pricing!$C$4,0,IF(AND(A1146&gt;Pricing!$C$4,Disbursements!A1146&lt;=Pricing!$C$5),F1146*Pricing!$E$5,IF(AND(A1146&gt;Pricing!$C$5,Disbursements!A1146&lt;=Pricing!$C$7),VLOOKUP(F1146,Pricing!$D$7:$E$8,2)*Disbursements!F1146,F1146*Pricing!$E$9))))</f>
        <v>0</v>
      </c>
      <c r="O1146" s="528">
        <f>IF(E1146="STL",0,IF($F1146&gt;0,$F1146*Pricing!$D$17,0))</f>
        <v>0</v>
      </c>
      <c r="P1146" s="530" t="str">
        <f t="shared" si="464"/>
        <v/>
      </c>
      <c r="Q1146" s="531" t="str">
        <f>IF($A1146="","",$G1146/VLOOKUP($I1146,Ref!$B$23:$D$29,2,0))</f>
        <v/>
      </c>
      <c r="R1146" s="530" t="str">
        <f t="shared" si="465"/>
        <v/>
      </c>
      <c r="S1146" s="532" t="str">
        <f t="shared" si="459"/>
        <v/>
      </c>
      <c r="T1146" s="531" t="str">
        <f t="shared" si="466"/>
        <v/>
      </c>
      <c r="U1146" s="533">
        <f t="shared" si="467"/>
        <v>0</v>
      </c>
      <c r="V1146" s="531" t="str">
        <f t="shared" si="468"/>
        <v/>
      </c>
      <c r="W1146" s="531" t="str">
        <f t="shared" si="469"/>
        <v/>
      </c>
      <c r="X1146" s="534" t="str">
        <f t="shared" si="470"/>
        <v/>
      </c>
      <c r="Y1146" s="535" t="str">
        <f>IF($A1146="","",IF($I1146="weekly",$A1146+7,EDATE($A1146,VLOOKUP($I1146,Ref!$B$24:$C$29,2,0))))</f>
        <v/>
      </c>
      <c r="Z1146" s="536" t="str">
        <f t="shared" si="471"/>
        <v/>
      </c>
      <c r="AA1146" s="531">
        <f t="shared" si="472"/>
        <v>0</v>
      </c>
      <c r="AB1146" s="535" t="str">
        <f t="shared" si="460"/>
        <v/>
      </c>
      <c r="AC1146" s="537" t="str">
        <f t="shared" si="461"/>
        <v/>
      </c>
      <c r="AD1146" s="538" t="str">
        <f t="shared" ca="1" si="462"/>
        <v/>
      </c>
      <c r="AE1146" s="537">
        <f t="shared" ca="1" si="463"/>
        <v>0</v>
      </c>
      <c r="AF1146" s="539" t="str">
        <f t="shared" ca="1" si="473"/>
        <v/>
      </c>
      <c r="AG1146" s="531" t="str">
        <f t="shared" ca="1" si="474"/>
        <v/>
      </c>
      <c r="AH1146" s="531" t="str">
        <f t="shared" ca="1" si="475"/>
        <v/>
      </c>
      <c r="AI1146" s="531" t="str">
        <f t="shared" ca="1" si="476"/>
        <v/>
      </c>
      <c r="AJ1146" s="531" t="str">
        <f t="shared" si="477"/>
        <v/>
      </c>
      <c r="AK1146" s="540">
        <f>SUMIFS('Live Collections'!$S:$S,'Live Collections'!$D:$D,Disbursements!B1146,'Live Collections'!$G:$G,Disbursements!C1146)</f>
        <v>0</v>
      </c>
      <c r="AL1146" s="540">
        <f>SUMIFS('Live Collections'!$T:$T,'Live Collections'!$D:$D,Disbursements!B1146,'Live Collections'!$G:$G,Disbursements!C1146)</f>
        <v>0</v>
      </c>
      <c r="AM1146" s="541">
        <f t="shared" si="478"/>
        <v>0</v>
      </c>
      <c r="AN1146" s="542" t="str">
        <f t="shared" si="479"/>
        <v/>
      </c>
      <c r="AO1146" s="542" t="str">
        <f t="shared" si="480"/>
        <v/>
      </c>
      <c r="AP1146" s="543" t="str">
        <f t="shared" si="481"/>
        <v/>
      </c>
      <c r="AQ1146" s="544" t="str">
        <f t="shared" si="482"/>
        <v/>
      </c>
      <c r="AR1146" s="545">
        <f t="shared" si="483"/>
        <v>0</v>
      </c>
      <c r="AS1146" s="545">
        <f>IFERROR(CEILING($AR1146*VLOOKUP($I1146,Ref!$B$23:$E$29,4,0),1),0)</f>
        <v>0</v>
      </c>
      <c r="AT1146" s="545" t="str">
        <f>IF(A1146="","",IF(AP1146&lt;=1,"Cleared",IF(AS1146=0,"Clean",VLOOKUP($AS1146,Ref!$G$23:$H$28,2))))</f>
        <v/>
      </c>
      <c r="AU1146" s="546" t="str">
        <f t="shared" si="484"/>
        <v/>
      </c>
    </row>
    <row r="1147" spans="1:47" ht="14.25" hidden="1" customHeight="1" x14ac:dyDescent="0.15">
      <c r="A1147" s="523"/>
      <c r="B1147" s="523"/>
      <c r="C1147" s="523"/>
      <c r="D1147" s="523"/>
      <c r="E1147" s="579"/>
      <c r="F1147" s="580"/>
      <c r="G1147" s="524"/>
      <c r="H1147" s="555"/>
      <c r="I1147" s="560"/>
      <c r="J1147" s="523"/>
      <c r="K1147" s="528" t="str">
        <f>IFERROR(VLOOKUP($B1147,'Clients-Live'!$A:$C,3,0),"")</f>
        <v/>
      </c>
      <c r="L1147" s="528">
        <f>IF(E1147="STL",Pricing!$D$38,IF(A1147="",0,IF(A1147&lt;Pricing!$C$25,Pricing!$D$25,VLOOKUP(Disbursements!$F1147,Pricing!$B$29:$D$32,3))))</f>
        <v>0</v>
      </c>
      <c r="M1147" s="528">
        <f>IF(E1147="STL",0,IF(F1147&gt;0,Pricing!$D$21,0))</f>
        <v>0</v>
      </c>
      <c r="N1147" s="529">
        <f>IF(E1147="STL",F1147*Pricing!$D$40,IF(A1147&lt;=Pricing!$C$4,0,IF(AND(A1147&gt;Pricing!$C$4,Disbursements!A1147&lt;=Pricing!$C$5),F1147*Pricing!$E$5,IF(AND(A1147&gt;Pricing!$C$5,Disbursements!A1147&lt;=Pricing!$C$7),VLOOKUP(F1147,Pricing!$D$7:$E$8,2)*Disbursements!F1147,F1147*Pricing!$E$9))))</f>
        <v>0</v>
      </c>
      <c r="O1147" s="528">
        <f>IF(E1147="STL",0,IF($F1147&gt;0,$F1147*Pricing!$D$17,0))</f>
        <v>0</v>
      </c>
      <c r="P1147" s="530" t="str">
        <f t="shared" si="464"/>
        <v/>
      </c>
      <c r="Q1147" s="531" t="str">
        <f>IF($A1147="","",$G1147/VLOOKUP($I1147,Ref!$B$23:$D$29,2,0))</f>
        <v/>
      </c>
      <c r="R1147" s="530" t="str">
        <f t="shared" si="465"/>
        <v/>
      </c>
      <c r="S1147" s="532" t="str">
        <f t="shared" si="459"/>
        <v/>
      </c>
      <c r="T1147" s="531" t="str">
        <f t="shared" si="466"/>
        <v/>
      </c>
      <c r="U1147" s="533">
        <f t="shared" si="467"/>
        <v>0</v>
      </c>
      <c r="V1147" s="531" t="str">
        <f t="shared" si="468"/>
        <v/>
      </c>
      <c r="W1147" s="531" t="str">
        <f t="shared" si="469"/>
        <v/>
      </c>
      <c r="X1147" s="534" t="str">
        <f t="shared" si="470"/>
        <v/>
      </c>
      <c r="Y1147" s="535" t="str">
        <f>IF($A1147="","",IF($I1147="weekly",$A1147+7,EDATE($A1147,VLOOKUP($I1147,Ref!$B$24:$C$29,2,0))))</f>
        <v/>
      </c>
      <c r="Z1147" s="536" t="str">
        <f t="shared" si="471"/>
        <v/>
      </c>
      <c r="AA1147" s="531">
        <f t="shared" si="472"/>
        <v>0</v>
      </c>
      <c r="AB1147" s="535" t="str">
        <f t="shared" si="460"/>
        <v/>
      </c>
      <c r="AC1147" s="537" t="str">
        <f t="shared" si="461"/>
        <v/>
      </c>
      <c r="AD1147" s="538" t="str">
        <f t="shared" ca="1" si="462"/>
        <v/>
      </c>
      <c r="AE1147" s="537">
        <f t="shared" ca="1" si="463"/>
        <v>0</v>
      </c>
      <c r="AF1147" s="539" t="str">
        <f t="shared" ca="1" si="473"/>
        <v/>
      </c>
      <c r="AG1147" s="531" t="str">
        <f t="shared" ca="1" si="474"/>
        <v/>
      </c>
      <c r="AH1147" s="531" t="str">
        <f t="shared" ca="1" si="475"/>
        <v/>
      </c>
      <c r="AI1147" s="531" t="str">
        <f t="shared" ca="1" si="476"/>
        <v/>
      </c>
      <c r="AJ1147" s="531" t="str">
        <f t="shared" si="477"/>
        <v/>
      </c>
      <c r="AK1147" s="540">
        <f>SUMIFS('Live Collections'!$S:$S,'Live Collections'!$D:$D,Disbursements!B1147,'Live Collections'!$G:$G,Disbursements!C1147)</f>
        <v>0</v>
      </c>
      <c r="AL1147" s="540">
        <f>SUMIFS('Live Collections'!$T:$T,'Live Collections'!$D:$D,Disbursements!B1147,'Live Collections'!$G:$G,Disbursements!C1147)</f>
        <v>0</v>
      </c>
      <c r="AM1147" s="541">
        <f t="shared" si="478"/>
        <v>0</v>
      </c>
      <c r="AN1147" s="542" t="str">
        <f t="shared" si="479"/>
        <v/>
      </c>
      <c r="AO1147" s="542" t="str">
        <f t="shared" si="480"/>
        <v/>
      </c>
      <c r="AP1147" s="543" t="str">
        <f t="shared" si="481"/>
        <v/>
      </c>
      <c r="AQ1147" s="544" t="str">
        <f t="shared" si="482"/>
        <v/>
      </c>
      <c r="AR1147" s="545">
        <f t="shared" si="483"/>
        <v>0</v>
      </c>
      <c r="AS1147" s="545">
        <f>IFERROR(CEILING($AR1147*VLOOKUP($I1147,Ref!$B$23:$E$29,4,0),1),0)</f>
        <v>0</v>
      </c>
      <c r="AT1147" s="545" t="str">
        <f>IF(A1147="","",IF(AP1147&lt;=1,"Cleared",IF(AS1147=0,"Clean",VLOOKUP($AS1147,Ref!$G$23:$H$28,2))))</f>
        <v/>
      </c>
      <c r="AU1147" s="546" t="str">
        <f t="shared" si="484"/>
        <v/>
      </c>
    </row>
    <row r="1148" spans="1:47" ht="14.25" hidden="1" customHeight="1" x14ac:dyDescent="0.15">
      <c r="A1148" s="523"/>
      <c r="B1148" s="523"/>
      <c r="C1148" s="523"/>
      <c r="D1148" s="523"/>
      <c r="E1148" s="579"/>
      <c r="F1148" s="580"/>
      <c r="G1148" s="524"/>
      <c r="H1148" s="555"/>
      <c r="I1148" s="560"/>
      <c r="J1148" s="523"/>
      <c r="K1148" s="528" t="str">
        <f>IFERROR(VLOOKUP($B1148,'Clients-Live'!$A:$C,3,0),"")</f>
        <v/>
      </c>
      <c r="L1148" s="528">
        <f>IF(E1148="STL",Pricing!$D$38,IF(A1148="",0,IF(A1148&lt;Pricing!$C$25,Pricing!$D$25,VLOOKUP(Disbursements!$F1148,Pricing!$B$29:$D$32,3))))</f>
        <v>0</v>
      </c>
      <c r="M1148" s="528">
        <f>IF(E1148="STL",0,IF(F1148&gt;0,Pricing!$D$21,0))</f>
        <v>0</v>
      </c>
      <c r="N1148" s="529">
        <f>IF(E1148="STL",F1148*Pricing!$D$40,IF(A1148&lt;=Pricing!$C$4,0,IF(AND(A1148&gt;Pricing!$C$4,Disbursements!A1148&lt;=Pricing!$C$5),F1148*Pricing!$E$5,IF(AND(A1148&gt;Pricing!$C$5,Disbursements!A1148&lt;=Pricing!$C$7),VLOOKUP(F1148,Pricing!$D$7:$E$8,2)*Disbursements!F1148,F1148*Pricing!$E$9))))</f>
        <v>0</v>
      </c>
      <c r="O1148" s="528">
        <f>IF(E1148="STL",0,IF($F1148&gt;0,$F1148*Pricing!$D$17,0))</f>
        <v>0</v>
      </c>
      <c r="P1148" s="530" t="str">
        <f t="shared" si="464"/>
        <v/>
      </c>
      <c r="Q1148" s="531" t="str">
        <f>IF($A1148="","",$G1148/VLOOKUP($I1148,Ref!$B$23:$D$29,2,0))</f>
        <v/>
      </c>
      <c r="R1148" s="530" t="str">
        <f t="shared" si="465"/>
        <v/>
      </c>
      <c r="S1148" s="532" t="str">
        <f t="shared" si="459"/>
        <v/>
      </c>
      <c r="T1148" s="531" t="str">
        <f t="shared" si="466"/>
        <v/>
      </c>
      <c r="U1148" s="533">
        <f t="shared" si="467"/>
        <v>0</v>
      </c>
      <c r="V1148" s="531" t="str">
        <f t="shared" si="468"/>
        <v/>
      </c>
      <c r="W1148" s="531" t="str">
        <f t="shared" si="469"/>
        <v/>
      </c>
      <c r="X1148" s="534" t="str">
        <f t="shared" si="470"/>
        <v/>
      </c>
      <c r="Y1148" s="535" t="str">
        <f>IF($A1148="","",IF($I1148="weekly",$A1148+7,EDATE($A1148,VLOOKUP($I1148,Ref!$B$24:$C$29,2,0))))</f>
        <v/>
      </c>
      <c r="Z1148" s="536" t="str">
        <f t="shared" si="471"/>
        <v/>
      </c>
      <c r="AA1148" s="531">
        <f t="shared" si="472"/>
        <v>0</v>
      </c>
      <c r="AB1148" s="535" t="str">
        <f t="shared" si="460"/>
        <v/>
      </c>
      <c r="AC1148" s="537" t="str">
        <f t="shared" si="461"/>
        <v/>
      </c>
      <c r="AD1148" s="538" t="str">
        <f t="shared" ca="1" si="462"/>
        <v/>
      </c>
      <c r="AE1148" s="537">
        <f t="shared" ca="1" si="463"/>
        <v>0</v>
      </c>
      <c r="AF1148" s="539" t="str">
        <f t="shared" ca="1" si="473"/>
        <v/>
      </c>
      <c r="AG1148" s="531" t="str">
        <f t="shared" ca="1" si="474"/>
        <v/>
      </c>
      <c r="AH1148" s="531" t="str">
        <f t="shared" ca="1" si="475"/>
        <v/>
      </c>
      <c r="AI1148" s="531" t="str">
        <f t="shared" ca="1" si="476"/>
        <v/>
      </c>
      <c r="AJ1148" s="531" t="str">
        <f t="shared" si="477"/>
        <v/>
      </c>
      <c r="AK1148" s="540">
        <f>SUMIFS('Live Collections'!$S:$S,'Live Collections'!$D:$D,Disbursements!B1148,'Live Collections'!$G:$G,Disbursements!C1148)</f>
        <v>0</v>
      </c>
      <c r="AL1148" s="540">
        <f>SUMIFS('Live Collections'!$T:$T,'Live Collections'!$D:$D,Disbursements!B1148,'Live Collections'!$G:$G,Disbursements!C1148)</f>
        <v>0</v>
      </c>
      <c r="AM1148" s="541">
        <f t="shared" si="478"/>
        <v>0</v>
      </c>
      <c r="AN1148" s="542" t="str">
        <f t="shared" si="479"/>
        <v/>
      </c>
      <c r="AO1148" s="542" t="str">
        <f t="shared" si="480"/>
        <v/>
      </c>
      <c r="AP1148" s="543" t="str">
        <f t="shared" si="481"/>
        <v/>
      </c>
      <c r="AQ1148" s="544" t="str">
        <f t="shared" si="482"/>
        <v/>
      </c>
      <c r="AR1148" s="545">
        <f t="shared" si="483"/>
        <v>0</v>
      </c>
      <c r="AS1148" s="545">
        <f>IFERROR(CEILING($AR1148*VLOOKUP($I1148,Ref!$B$23:$E$29,4,0),1),0)</f>
        <v>0</v>
      </c>
      <c r="AT1148" s="545" t="str">
        <f>IF(A1148="","",IF(AP1148&lt;=1,"Cleared",IF(AS1148=0,"Clean",VLOOKUP($AS1148,Ref!$G$23:$H$28,2))))</f>
        <v/>
      </c>
      <c r="AU1148" s="546" t="str">
        <f t="shared" si="484"/>
        <v/>
      </c>
    </row>
    <row r="1149" spans="1:47" ht="14.25" hidden="1" customHeight="1" x14ac:dyDescent="0.15">
      <c r="A1149" s="523"/>
      <c r="B1149" s="523"/>
      <c r="C1149" s="523"/>
      <c r="D1149" s="523"/>
      <c r="E1149" s="579"/>
      <c r="F1149" s="580"/>
      <c r="G1149" s="524"/>
      <c r="H1149" s="555"/>
      <c r="I1149" s="560"/>
      <c r="J1149" s="523"/>
      <c r="K1149" s="528" t="str">
        <f>IFERROR(VLOOKUP($B1149,'Clients-Live'!$A:$C,3,0),"")</f>
        <v/>
      </c>
      <c r="L1149" s="528">
        <f>IF(E1149="STL",Pricing!$D$38,IF(A1149="",0,IF(A1149&lt;Pricing!$C$25,Pricing!$D$25,VLOOKUP(Disbursements!$F1149,Pricing!$B$29:$D$32,3))))</f>
        <v>0</v>
      </c>
      <c r="M1149" s="528">
        <f>IF(E1149="STL",0,IF(F1149&gt;0,Pricing!$D$21,0))</f>
        <v>0</v>
      </c>
      <c r="N1149" s="529">
        <f>IF(E1149="STL",F1149*Pricing!$D$40,IF(A1149&lt;=Pricing!$C$4,0,IF(AND(A1149&gt;Pricing!$C$4,Disbursements!A1149&lt;=Pricing!$C$5),F1149*Pricing!$E$5,IF(AND(A1149&gt;Pricing!$C$5,Disbursements!A1149&lt;=Pricing!$C$7),VLOOKUP(F1149,Pricing!$D$7:$E$8,2)*Disbursements!F1149,F1149*Pricing!$E$9))))</f>
        <v>0</v>
      </c>
      <c r="O1149" s="528">
        <f>IF(E1149="STL",0,IF($F1149&gt;0,$F1149*Pricing!$D$17,0))</f>
        <v>0</v>
      </c>
      <c r="P1149" s="530" t="str">
        <f t="shared" si="464"/>
        <v/>
      </c>
      <c r="Q1149" s="531" t="str">
        <f>IF($A1149="","",$G1149/VLOOKUP($I1149,Ref!$B$23:$D$29,2,0))</f>
        <v/>
      </c>
      <c r="R1149" s="530" t="str">
        <f t="shared" si="465"/>
        <v/>
      </c>
      <c r="S1149" s="532" t="str">
        <f t="shared" si="459"/>
        <v/>
      </c>
      <c r="T1149" s="531" t="str">
        <f t="shared" si="466"/>
        <v/>
      </c>
      <c r="U1149" s="533">
        <f t="shared" si="467"/>
        <v>0</v>
      </c>
      <c r="V1149" s="531" t="str">
        <f t="shared" si="468"/>
        <v/>
      </c>
      <c r="W1149" s="531" t="str">
        <f t="shared" si="469"/>
        <v/>
      </c>
      <c r="X1149" s="534" t="str">
        <f t="shared" si="470"/>
        <v/>
      </c>
      <c r="Y1149" s="535" t="str">
        <f>IF($A1149="","",IF($I1149="weekly",$A1149+7,EDATE($A1149,VLOOKUP($I1149,Ref!$B$24:$C$29,2,0))))</f>
        <v/>
      </c>
      <c r="Z1149" s="536" t="str">
        <f t="shared" si="471"/>
        <v/>
      </c>
      <c r="AA1149" s="531">
        <f t="shared" si="472"/>
        <v>0</v>
      </c>
      <c r="AB1149" s="535" t="str">
        <f t="shared" si="460"/>
        <v/>
      </c>
      <c r="AC1149" s="537" t="str">
        <f t="shared" si="461"/>
        <v/>
      </c>
      <c r="AD1149" s="538" t="str">
        <f t="shared" ca="1" si="462"/>
        <v/>
      </c>
      <c r="AE1149" s="537">
        <f t="shared" ca="1" si="463"/>
        <v>0</v>
      </c>
      <c r="AF1149" s="539" t="str">
        <f t="shared" ca="1" si="473"/>
        <v/>
      </c>
      <c r="AG1149" s="531" t="str">
        <f t="shared" ca="1" si="474"/>
        <v/>
      </c>
      <c r="AH1149" s="531" t="str">
        <f t="shared" ca="1" si="475"/>
        <v/>
      </c>
      <c r="AI1149" s="531" t="str">
        <f t="shared" ca="1" si="476"/>
        <v/>
      </c>
      <c r="AJ1149" s="531" t="str">
        <f t="shared" si="477"/>
        <v/>
      </c>
      <c r="AK1149" s="540">
        <f>SUMIFS('Live Collections'!$S:$S,'Live Collections'!$D:$D,Disbursements!B1149,'Live Collections'!$G:$G,Disbursements!C1149)</f>
        <v>0</v>
      </c>
      <c r="AL1149" s="540">
        <f>SUMIFS('Live Collections'!$T:$T,'Live Collections'!$D:$D,Disbursements!B1149,'Live Collections'!$G:$G,Disbursements!C1149)</f>
        <v>0</v>
      </c>
      <c r="AM1149" s="541">
        <f t="shared" si="478"/>
        <v>0</v>
      </c>
      <c r="AN1149" s="542" t="str">
        <f t="shared" si="479"/>
        <v/>
      </c>
      <c r="AO1149" s="542" t="str">
        <f t="shared" si="480"/>
        <v/>
      </c>
      <c r="AP1149" s="543" t="str">
        <f t="shared" si="481"/>
        <v/>
      </c>
      <c r="AQ1149" s="544" t="str">
        <f t="shared" si="482"/>
        <v/>
      </c>
      <c r="AR1149" s="545">
        <f t="shared" si="483"/>
        <v>0</v>
      </c>
      <c r="AS1149" s="545">
        <f>IFERROR(CEILING($AR1149*VLOOKUP($I1149,Ref!$B$23:$E$29,4,0),1),0)</f>
        <v>0</v>
      </c>
      <c r="AT1149" s="545" t="str">
        <f>IF(A1149="","",IF(AP1149&lt;=1,"Cleared",IF(AS1149=0,"Clean",VLOOKUP($AS1149,Ref!$G$23:$H$28,2))))</f>
        <v/>
      </c>
      <c r="AU1149" s="546" t="str">
        <f t="shared" si="484"/>
        <v/>
      </c>
    </row>
    <row r="1150" spans="1:47" ht="14.25" hidden="1" customHeight="1" x14ac:dyDescent="0.15">
      <c r="A1150" s="523"/>
      <c r="B1150" s="523"/>
      <c r="C1150" s="523"/>
      <c r="D1150" s="523"/>
      <c r="E1150" s="579"/>
      <c r="F1150" s="580"/>
      <c r="G1150" s="524"/>
      <c r="H1150" s="555"/>
      <c r="I1150" s="560"/>
      <c r="J1150" s="523"/>
      <c r="K1150" s="528" t="str">
        <f>IFERROR(VLOOKUP($B1150,'Clients-Live'!$A:$C,3,0),"")</f>
        <v/>
      </c>
      <c r="L1150" s="528">
        <f>IF(E1150="STL",Pricing!$D$38,IF(A1150="",0,IF(A1150&lt;Pricing!$C$25,Pricing!$D$25,VLOOKUP(Disbursements!$F1150,Pricing!$B$29:$D$32,3))))</f>
        <v>0</v>
      </c>
      <c r="M1150" s="528">
        <f>IF(E1150="STL",0,IF(F1150&gt;0,Pricing!$D$21,0))</f>
        <v>0</v>
      </c>
      <c r="N1150" s="529">
        <f>IF(E1150="STL",F1150*Pricing!$D$40,IF(A1150&lt;=Pricing!$C$4,0,IF(AND(A1150&gt;Pricing!$C$4,Disbursements!A1150&lt;=Pricing!$C$5),F1150*Pricing!$E$5,IF(AND(A1150&gt;Pricing!$C$5,Disbursements!A1150&lt;=Pricing!$C$7),VLOOKUP(F1150,Pricing!$D$7:$E$8,2)*Disbursements!F1150,F1150*Pricing!$E$9))))</f>
        <v>0</v>
      </c>
      <c r="O1150" s="528">
        <f>IF(E1150="STL",0,IF($F1150&gt;0,$F1150*Pricing!$D$17,0))</f>
        <v>0</v>
      </c>
      <c r="P1150" s="530" t="str">
        <f t="shared" si="464"/>
        <v/>
      </c>
      <c r="Q1150" s="531" t="str">
        <f>IF($A1150="","",$G1150/VLOOKUP($I1150,Ref!$B$23:$D$29,2,0))</f>
        <v/>
      </c>
      <c r="R1150" s="530" t="str">
        <f t="shared" si="465"/>
        <v/>
      </c>
      <c r="S1150" s="532" t="str">
        <f t="shared" si="459"/>
        <v/>
      </c>
      <c r="T1150" s="531" t="str">
        <f t="shared" si="466"/>
        <v/>
      </c>
      <c r="U1150" s="533">
        <f t="shared" si="467"/>
        <v>0</v>
      </c>
      <c r="V1150" s="531" t="str">
        <f t="shared" si="468"/>
        <v/>
      </c>
      <c r="W1150" s="531" t="str">
        <f t="shared" si="469"/>
        <v/>
      </c>
      <c r="X1150" s="534" t="str">
        <f t="shared" si="470"/>
        <v/>
      </c>
      <c r="Y1150" s="535" t="str">
        <f>IF($A1150="","",IF($I1150="weekly",$A1150+7,EDATE($A1150,VLOOKUP($I1150,Ref!$B$24:$C$29,2,0))))</f>
        <v/>
      </c>
      <c r="Z1150" s="536" t="str">
        <f t="shared" si="471"/>
        <v/>
      </c>
      <c r="AA1150" s="531">
        <f t="shared" si="472"/>
        <v>0</v>
      </c>
      <c r="AB1150" s="535" t="str">
        <f t="shared" si="460"/>
        <v/>
      </c>
      <c r="AC1150" s="537" t="str">
        <f t="shared" si="461"/>
        <v/>
      </c>
      <c r="AD1150" s="538" t="str">
        <f t="shared" ca="1" si="462"/>
        <v/>
      </c>
      <c r="AE1150" s="537">
        <f t="shared" ca="1" si="463"/>
        <v>0</v>
      </c>
      <c r="AF1150" s="539" t="str">
        <f t="shared" ca="1" si="473"/>
        <v/>
      </c>
      <c r="AG1150" s="531" t="str">
        <f t="shared" ca="1" si="474"/>
        <v/>
      </c>
      <c r="AH1150" s="531" t="str">
        <f t="shared" ca="1" si="475"/>
        <v/>
      </c>
      <c r="AI1150" s="531" t="str">
        <f t="shared" ca="1" si="476"/>
        <v/>
      </c>
      <c r="AJ1150" s="531" t="str">
        <f t="shared" si="477"/>
        <v/>
      </c>
      <c r="AK1150" s="540">
        <f>SUMIFS('Live Collections'!$S:$S,'Live Collections'!$D:$D,Disbursements!B1150,'Live Collections'!$G:$G,Disbursements!C1150)</f>
        <v>0</v>
      </c>
      <c r="AL1150" s="540">
        <f>SUMIFS('Live Collections'!$T:$T,'Live Collections'!$D:$D,Disbursements!B1150,'Live Collections'!$G:$G,Disbursements!C1150)</f>
        <v>0</v>
      </c>
      <c r="AM1150" s="541">
        <f t="shared" si="478"/>
        <v>0</v>
      </c>
      <c r="AN1150" s="542" t="str">
        <f t="shared" si="479"/>
        <v/>
      </c>
      <c r="AO1150" s="542" t="str">
        <f t="shared" si="480"/>
        <v/>
      </c>
      <c r="AP1150" s="543" t="str">
        <f t="shared" si="481"/>
        <v/>
      </c>
      <c r="AQ1150" s="544" t="str">
        <f t="shared" si="482"/>
        <v/>
      </c>
      <c r="AR1150" s="545">
        <f t="shared" si="483"/>
        <v>0</v>
      </c>
      <c r="AS1150" s="545">
        <f>IFERROR(CEILING($AR1150*VLOOKUP($I1150,Ref!$B$23:$E$29,4,0),1),0)</f>
        <v>0</v>
      </c>
      <c r="AT1150" s="545" t="str">
        <f>IF(A1150="","",IF(AP1150&lt;=1,"Cleared",IF(AS1150=0,"Clean",VLOOKUP($AS1150,Ref!$G$23:$H$28,2))))</f>
        <v/>
      </c>
      <c r="AU1150" s="546" t="str">
        <f t="shared" si="484"/>
        <v/>
      </c>
    </row>
    <row r="1151" spans="1:47" ht="14.25" hidden="1" customHeight="1" x14ac:dyDescent="0.15">
      <c r="A1151" s="523"/>
      <c r="B1151" s="523"/>
      <c r="C1151" s="523"/>
      <c r="D1151" s="523"/>
      <c r="E1151" s="579"/>
      <c r="F1151" s="580"/>
      <c r="G1151" s="524"/>
      <c r="H1151" s="555"/>
      <c r="I1151" s="560"/>
      <c r="J1151" s="523"/>
      <c r="K1151" s="528" t="str">
        <f>IFERROR(VLOOKUP($B1151,'Clients-Live'!$A:$C,3,0),"")</f>
        <v/>
      </c>
      <c r="L1151" s="528">
        <f>IF(E1151="STL",Pricing!$D$38,IF(A1151="",0,IF(A1151&lt;Pricing!$C$25,Pricing!$D$25,VLOOKUP(Disbursements!$F1151,Pricing!$B$29:$D$32,3))))</f>
        <v>0</v>
      </c>
      <c r="M1151" s="528">
        <f>IF(E1151="STL",0,IF(F1151&gt;0,Pricing!$D$21,0))</f>
        <v>0</v>
      </c>
      <c r="N1151" s="529">
        <f>IF(E1151="STL",F1151*Pricing!$D$40,IF(A1151&lt;=Pricing!$C$4,0,IF(AND(A1151&gt;Pricing!$C$4,Disbursements!A1151&lt;=Pricing!$C$5),F1151*Pricing!$E$5,IF(AND(A1151&gt;Pricing!$C$5,Disbursements!A1151&lt;=Pricing!$C$7),VLOOKUP(F1151,Pricing!$D$7:$E$8,2)*Disbursements!F1151,F1151*Pricing!$E$9))))</f>
        <v>0</v>
      </c>
      <c r="O1151" s="528">
        <f>IF(E1151="STL",0,IF($F1151&gt;0,$F1151*Pricing!$D$17,0))</f>
        <v>0</v>
      </c>
      <c r="P1151" s="530" t="str">
        <f t="shared" si="464"/>
        <v/>
      </c>
      <c r="Q1151" s="531" t="str">
        <f>IF($A1151="","",$G1151/VLOOKUP($I1151,Ref!$B$23:$D$29,2,0))</f>
        <v/>
      </c>
      <c r="R1151" s="530" t="str">
        <f t="shared" si="465"/>
        <v/>
      </c>
      <c r="S1151" s="532" t="str">
        <f t="shared" si="459"/>
        <v/>
      </c>
      <c r="T1151" s="531" t="str">
        <f t="shared" si="466"/>
        <v/>
      </c>
      <c r="U1151" s="533">
        <f t="shared" si="467"/>
        <v>0</v>
      </c>
      <c r="V1151" s="531" t="str">
        <f t="shared" si="468"/>
        <v/>
      </c>
      <c r="W1151" s="531" t="str">
        <f t="shared" si="469"/>
        <v/>
      </c>
      <c r="X1151" s="534" t="str">
        <f t="shared" si="470"/>
        <v/>
      </c>
      <c r="Y1151" s="535" t="str">
        <f>IF($A1151="","",IF($I1151="weekly",$A1151+7,EDATE($A1151,VLOOKUP($I1151,Ref!$B$24:$C$29,2,0))))</f>
        <v/>
      </c>
      <c r="Z1151" s="536" t="str">
        <f t="shared" si="471"/>
        <v/>
      </c>
      <c r="AA1151" s="531">
        <f t="shared" si="472"/>
        <v>0</v>
      </c>
      <c r="AB1151" s="535" t="str">
        <f t="shared" si="460"/>
        <v/>
      </c>
      <c r="AC1151" s="537" t="str">
        <f t="shared" si="461"/>
        <v/>
      </c>
      <c r="AD1151" s="538" t="str">
        <f t="shared" ca="1" si="462"/>
        <v/>
      </c>
      <c r="AE1151" s="537">
        <f t="shared" ca="1" si="463"/>
        <v>0</v>
      </c>
      <c r="AF1151" s="539" t="str">
        <f t="shared" ca="1" si="473"/>
        <v/>
      </c>
      <c r="AG1151" s="531" t="str">
        <f t="shared" ca="1" si="474"/>
        <v/>
      </c>
      <c r="AH1151" s="531" t="str">
        <f t="shared" ca="1" si="475"/>
        <v/>
      </c>
      <c r="AI1151" s="531" t="str">
        <f t="shared" ca="1" si="476"/>
        <v/>
      </c>
      <c r="AJ1151" s="531" t="str">
        <f t="shared" si="477"/>
        <v/>
      </c>
      <c r="AK1151" s="540">
        <f>SUMIFS('Live Collections'!$S:$S,'Live Collections'!$D:$D,Disbursements!B1151,'Live Collections'!$G:$G,Disbursements!C1151)</f>
        <v>0</v>
      </c>
      <c r="AL1151" s="540">
        <f>SUMIFS('Live Collections'!$T:$T,'Live Collections'!$D:$D,Disbursements!B1151,'Live Collections'!$G:$G,Disbursements!C1151)</f>
        <v>0</v>
      </c>
      <c r="AM1151" s="541">
        <f t="shared" si="478"/>
        <v>0</v>
      </c>
      <c r="AN1151" s="542" t="str">
        <f t="shared" si="479"/>
        <v/>
      </c>
      <c r="AO1151" s="542" t="str">
        <f t="shared" si="480"/>
        <v/>
      </c>
      <c r="AP1151" s="543" t="str">
        <f t="shared" si="481"/>
        <v/>
      </c>
      <c r="AQ1151" s="544" t="str">
        <f t="shared" si="482"/>
        <v/>
      </c>
      <c r="AR1151" s="545">
        <f t="shared" si="483"/>
        <v>0</v>
      </c>
      <c r="AS1151" s="545">
        <f>IFERROR(CEILING($AR1151*VLOOKUP($I1151,Ref!$B$23:$E$29,4,0),1),0)</f>
        <v>0</v>
      </c>
      <c r="AT1151" s="545" t="str">
        <f>IF(A1151="","",IF(AP1151&lt;=1,"Cleared",IF(AS1151=0,"Clean",VLOOKUP($AS1151,Ref!$G$23:$H$28,2))))</f>
        <v/>
      </c>
      <c r="AU1151" s="546" t="str">
        <f t="shared" si="484"/>
        <v/>
      </c>
    </row>
    <row r="1152" spans="1:47" ht="14.25" hidden="1" customHeight="1" x14ac:dyDescent="0.15">
      <c r="A1152" s="523"/>
      <c r="B1152" s="523"/>
      <c r="C1152" s="523"/>
      <c r="D1152" s="523"/>
      <c r="E1152" s="579"/>
      <c r="F1152" s="580"/>
      <c r="G1152" s="524"/>
      <c r="H1152" s="555"/>
      <c r="I1152" s="560"/>
      <c r="J1152" s="523"/>
      <c r="K1152" s="528" t="str">
        <f>IFERROR(VLOOKUP($B1152,'Clients-Live'!$A:$C,3,0),"")</f>
        <v/>
      </c>
      <c r="L1152" s="528">
        <f>IF(E1152="STL",Pricing!$D$38,IF(A1152="",0,IF(A1152&lt;Pricing!$C$25,Pricing!$D$25,VLOOKUP(Disbursements!$F1152,Pricing!$B$29:$D$32,3))))</f>
        <v>0</v>
      </c>
      <c r="M1152" s="528">
        <f>IF(E1152="STL",0,IF(F1152&gt;0,Pricing!$D$21,0))</f>
        <v>0</v>
      </c>
      <c r="N1152" s="529">
        <f>IF(E1152="STL",F1152*Pricing!$D$40,IF(A1152&lt;=Pricing!$C$4,0,IF(AND(A1152&gt;Pricing!$C$4,Disbursements!A1152&lt;=Pricing!$C$5),F1152*Pricing!$E$5,IF(AND(A1152&gt;Pricing!$C$5,Disbursements!A1152&lt;=Pricing!$C$7),VLOOKUP(F1152,Pricing!$D$7:$E$8,2)*Disbursements!F1152,F1152*Pricing!$E$9))))</f>
        <v>0</v>
      </c>
      <c r="O1152" s="528">
        <f>IF(E1152="STL",0,IF($F1152&gt;0,$F1152*Pricing!$D$17,0))</f>
        <v>0</v>
      </c>
      <c r="P1152" s="530" t="str">
        <f t="shared" si="464"/>
        <v/>
      </c>
      <c r="Q1152" s="531" t="str">
        <f>IF($A1152="","",$G1152/VLOOKUP($I1152,Ref!$B$23:$D$29,2,0))</f>
        <v/>
      </c>
      <c r="R1152" s="530" t="str">
        <f t="shared" si="465"/>
        <v/>
      </c>
      <c r="S1152" s="532" t="str">
        <f t="shared" si="459"/>
        <v/>
      </c>
      <c r="T1152" s="531" t="str">
        <f t="shared" si="466"/>
        <v/>
      </c>
      <c r="U1152" s="533">
        <f t="shared" si="467"/>
        <v>0</v>
      </c>
      <c r="V1152" s="531" t="str">
        <f t="shared" si="468"/>
        <v/>
      </c>
      <c r="W1152" s="531" t="str">
        <f t="shared" si="469"/>
        <v/>
      </c>
      <c r="X1152" s="534" t="str">
        <f t="shared" si="470"/>
        <v/>
      </c>
      <c r="Y1152" s="535" t="str">
        <f>IF($A1152="","",IF($I1152="weekly",$A1152+7,EDATE($A1152,VLOOKUP($I1152,Ref!$B$24:$C$29,2,0))))</f>
        <v/>
      </c>
      <c r="Z1152" s="536" t="str">
        <f t="shared" si="471"/>
        <v/>
      </c>
      <c r="AA1152" s="531">
        <f t="shared" si="472"/>
        <v>0</v>
      </c>
      <c r="AB1152" s="535" t="str">
        <f t="shared" si="460"/>
        <v/>
      </c>
      <c r="AC1152" s="537" t="str">
        <f t="shared" si="461"/>
        <v/>
      </c>
      <c r="AD1152" s="538" t="str">
        <f t="shared" ca="1" si="462"/>
        <v/>
      </c>
      <c r="AE1152" s="537">
        <f t="shared" ca="1" si="463"/>
        <v>0</v>
      </c>
      <c r="AF1152" s="539" t="str">
        <f t="shared" ca="1" si="473"/>
        <v/>
      </c>
      <c r="AG1152" s="531" t="str">
        <f t="shared" ca="1" si="474"/>
        <v/>
      </c>
      <c r="AH1152" s="531" t="str">
        <f t="shared" ca="1" si="475"/>
        <v/>
      </c>
      <c r="AI1152" s="531" t="str">
        <f t="shared" ca="1" si="476"/>
        <v/>
      </c>
      <c r="AJ1152" s="531" t="str">
        <f t="shared" si="477"/>
        <v/>
      </c>
      <c r="AK1152" s="540">
        <f>SUMIFS('Live Collections'!$S:$S,'Live Collections'!$D:$D,Disbursements!B1152,'Live Collections'!$G:$G,Disbursements!C1152)</f>
        <v>0</v>
      </c>
      <c r="AL1152" s="540">
        <f>SUMIFS('Live Collections'!$T:$T,'Live Collections'!$D:$D,Disbursements!B1152,'Live Collections'!$G:$G,Disbursements!C1152)</f>
        <v>0</v>
      </c>
      <c r="AM1152" s="541">
        <f t="shared" si="478"/>
        <v>0</v>
      </c>
      <c r="AN1152" s="542" t="str">
        <f t="shared" si="479"/>
        <v/>
      </c>
      <c r="AO1152" s="542" t="str">
        <f t="shared" si="480"/>
        <v/>
      </c>
      <c r="AP1152" s="543" t="str">
        <f t="shared" si="481"/>
        <v/>
      </c>
      <c r="AQ1152" s="544" t="str">
        <f t="shared" si="482"/>
        <v/>
      </c>
      <c r="AR1152" s="545">
        <f t="shared" si="483"/>
        <v>0</v>
      </c>
      <c r="AS1152" s="545">
        <f>IFERROR(CEILING($AR1152*VLOOKUP($I1152,Ref!$B$23:$E$29,4,0),1),0)</f>
        <v>0</v>
      </c>
      <c r="AT1152" s="545" t="str">
        <f>IF(A1152="","",IF(AP1152&lt;=1,"Cleared",IF(AS1152=0,"Clean",VLOOKUP($AS1152,Ref!$G$23:$H$28,2))))</f>
        <v/>
      </c>
      <c r="AU1152" s="546" t="str">
        <f t="shared" si="484"/>
        <v/>
      </c>
    </row>
    <row r="1153" spans="1:47" ht="14.25" hidden="1" customHeight="1" x14ac:dyDescent="0.15">
      <c r="A1153" s="523"/>
      <c r="B1153" s="523"/>
      <c r="C1153" s="523"/>
      <c r="D1153" s="523"/>
      <c r="E1153" s="579"/>
      <c r="F1153" s="580"/>
      <c r="G1153" s="524"/>
      <c r="H1153" s="555"/>
      <c r="I1153" s="560"/>
      <c r="J1153" s="523"/>
      <c r="K1153" s="528" t="str">
        <f>IFERROR(VLOOKUP($B1153,'Clients-Live'!$A:$C,3,0),"")</f>
        <v/>
      </c>
      <c r="L1153" s="528">
        <f>IF(E1153="STL",Pricing!$D$38,IF(A1153="",0,IF(A1153&lt;Pricing!$C$25,Pricing!$D$25,VLOOKUP(Disbursements!$F1153,Pricing!$B$29:$D$32,3))))</f>
        <v>0</v>
      </c>
      <c r="M1153" s="528">
        <f>IF(E1153="STL",0,IF(F1153&gt;0,Pricing!$D$21,0))</f>
        <v>0</v>
      </c>
      <c r="N1153" s="529">
        <f>IF(E1153="STL",F1153*Pricing!$D$40,IF(A1153&lt;=Pricing!$C$4,0,IF(AND(A1153&gt;Pricing!$C$4,Disbursements!A1153&lt;=Pricing!$C$5),F1153*Pricing!$E$5,IF(AND(A1153&gt;Pricing!$C$5,Disbursements!A1153&lt;=Pricing!$C$7),VLOOKUP(F1153,Pricing!$D$7:$E$8,2)*Disbursements!F1153,F1153*Pricing!$E$9))))</f>
        <v>0</v>
      </c>
      <c r="O1153" s="528">
        <f>IF(E1153="STL",0,IF($F1153&gt;0,$F1153*Pricing!$D$17,0))</f>
        <v>0</v>
      </c>
      <c r="P1153" s="530" t="str">
        <f t="shared" si="464"/>
        <v/>
      </c>
      <c r="Q1153" s="531" t="str">
        <f>IF($A1153="","",$G1153/VLOOKUP($I1153,Ref!$B$23:$D$29,2,0))</f>
        <v/>
      </c>
      <c r="R1153" s="530" t="str">
        <f t="shared" si="465"/>
        <v/>
      </c>
      <c r="S1153" s="532" t="str">
        <f t="shared" si="459"/>
        <v/>
      </c>
      <c r="T1153" s="531" t="str">
        <f t="shared" si="466"/>
        <v/>
      </c>
      <c r="U1153" s="533">
        <f t="shared" si="467"/>
        <v>0</v>
      </c>
      <c r="V1153" s="531" t="str">
        <f t="shared" si="468"/>
        <v/>
      </c>
      <c r="W1153" s="531" t="str">
        <f t="shared" si="469"/>
        <v/>
      </c>
      <c r="X1153" s="534" t="str">
        <f t="shared" si="470"/>
        <v/>
      </c>
      <c r="Y1153" s="535" t="str">
        <f>IF($A1153="","",IF($I1153="weekly",$A1153+7,EDATE($A1153,VLOOKUP($I1153,Ref!$B$24:$C$29,2,0))))</f>
        <v/>
      </c>
      <c r="Z1153" s="536" t="str">
        <f t="shared" si="471"/>
        <v/>
      </c>
      <c r="AA1153" s="531">
        <f t="shared" si="472"/>
        <v>0</v>
      </c>
      <c r="AB1153" s="535" t="str">
        <f t="shared" si="460"/>
        <v/>
      </c>
      <c r="AC1153" s="537" t="str">
        <f t="shared" si="461"/>
        <v/>
      </c>
      <c r="AD1153" s="538" t="str">
        <f t="shared" ca="1" si="462"/>
        <v/>
      </c>
      <c r="AE1153" s="537">
        <f t="shared" ca="1" si="463"/>
        <v>0</v>
      </c>
      <c r="AF1153" s="539" t="str">
        <f t="shared" ca="1" si="473"/>
        <v/>
      </c>
      <c r="AG1153" s="531" t="str">
        <f t="shared" ca="1" si="474"/>
        <v/>
      </c>
      <c r="AH1153" s="531" t="str">
        <f t="shared" ca="1" si="475"/>
        <v/>
      </c>
      <c r="AI1153" s="531" t="str">
        <f t="shared" ca="1" si="476"/>
        <v/>
      </c>
      <c r="AJ1153" s="531" t="str">
        <f t="shared" si="477"/>
        <v/>
      </c>
      <c r="AK1153" s="540">
        <f>SUMIFS('Live Collections'!$S:$S,'Live Collections'!$D:$D,Disbursements!B1153,'Live Collections'!$G:$G,Disbursements!C1153)</f>
        <v>0</v>
      </c>
      <c r="AL1153" s="540">
        <f>SUMIFS('Live Collections'!$T:$T,'Live Collections'!$D:$D,Disbursements!B1153,'Live Collections'!$G:$G,Disbursements!C1153)</f>
        <v>0</v>
      </c>
      <c r="AM1153" s="541">
        <f t="shared" si="478"/>
        <v>0</v>
      </c>
      <c r="AN1153" s="542" t="str">
        <f t="shared" si="479"/>
        <v/>
      </c>
      <c r="AO1153" s="542" t="str">
        <f t="shared" si="480"/>
        <v/>
      </c>
      <c r="AP1153" s="543" t="str">
        <f t="shared" si="481"/>
        <v/>
      </c>
      <c r="AQ1153" s="544" t="str">
        <f t="shared" si="482"/>
        <v/>
      </c>
      <c r="AR1153" s="545">
        <f t="shared" si="483"/>
        <v>0</v>
      </c>
      <c r="AS1153" s="545">
        <f>IFERROR(CEILING($AR1153*VLOOKUP($I1153,Ref!$B$23:$E$29,4,0),1),0)</f>
        <v>0</v>
      </c>
      <c r="AT1153" s="545" t="str">
        <f>IF(A1153="","",IF(AP1153&lt;=1,"Cleared",IF(AS1153=0,"Clean",VLOOKUP($AS1153,Ref!$G$23:$H$28,2))))</f>
        <v/>
      </c>
      <c r="AU1153" s="546" t="str">
        <f t="shared" si="484"/>
        <v/>
      </c>
    </row>
    <row r="1154" spans="1:47" ht="14.25" hidden="1" customHeight="1" x14ac:dyDescent="0.15">
      <c r="A1154" s="523"/>
      <c r="B1154" s="523"/>
      <c r="C1154" s="523"/>
      <c r="D1154" s="523"/>
      <c r="E1154" s="579"/>
      <c r="F1154" s="580"/>
      <c r="G1154" s="524"/>
      <c r="H1154" s="555"/>
      <c r="I1154" s="560"/>
      <c r="J1154" s="523"/>
      <c r="K1154" s="528" t="str">
        <f>IFERROR(VLOOKUP($B1154,'Clients-Live'!$A:$C,3,0),"")</f>
        <v/>
      </c>
      <c r="L1154" s="528">
        <f>IF(E1154="STL",Pricing!$D$38,IF(A1154="",0,IF(A1154&lt;Pricing!$C$25,Pricing!$D$25,VLOOKUP(Disbursements!$F1154,Pricing!$B$29:$D$32,3))))</f>
        <v>0</v>
      </c>
      <c r="M1154" s="528">
        <f>IF(E1154="STL",0,IF(F1154&gt;0,Pricing!$D$21,0))</f>
        <v>0</v>
      </c>
      <c r="N1154" s="529">
        <f>IF(E1154="STL",F1154*Pricing!$D$40,IF(A1154&lt;=Pricing!$C$4,0,IF(AND(A1154&gt;Pricing!$C$4,Disbursements!A1154&lt;=Pricing!$C$5),F1154*Pricing!$E$5,IF(AND(A1154&gt;Pricing!$C$5,Disbursements!A1154&lt;=Pricing!$C$7),VLOOKUP(F1154,Pricing!$D$7:$E$8,2)*Disbursements!F1154,F1154*Pricing!$E$9))))</f>
        <v>0</v>
      </c>
      <c r="O1154" s="528">
        <f>IF(E1154="STL",0,IF($F1154&gt;0,$F1154*Pricing!$D$17,0))</f>
        <v>0</v>
      </c>
      <c r="P1154" s="530" t="str">
        <f t="shared" si="464"/>
        <v/>
      </c>
      <c r="Q1154" s="531" t="str">
        <f>IF($A1154="","",$G1154/VLOOKUP($I1154,Ref!$B$23:$D$29,2,0))</f>
        <v/>
      </c>
      <c r="R1154" s="530" t="str">
        <f t="shared" si="465"/>
        <v/>
      </c>
      <c r="S1154" s="532" t="str">
        <f t="shared" si="459"/>
        <v/>
      </c>
      <c r="T1154" s="531" t="str">
        <f t="shared" si="466"/>
        <v/>
      </c>
      <c r="U1154" s="533">
        <f t="shared" si="467"/>
        <v>0</v>
      </c>
      <c r="V1154" s="531" t="str">
        <f t="shared" si="468"/>
        <v/>
      </c>
      <c r="W1154" s="531" t="str">
        <f t="shared" si="469"/>
        <v/>
      </c>
      <c r="X1154" s="534" t="str">
        <f t="shared" si="470"/>
        <v/>
      </c>
      <c r="Y1154" s="535" t="str">
        <f>IF($A1154="","",IF($I1154="weekly",$A1154+7,EDATE($A1154,VLOOKUP($I1154,Ref!$B$24:$C$29,2,0))))</f>
        <v/>
      </c>
      <c r="Z1154" s="536" t="str">
        <f t="shared" si="471"/>
        <v/>
      </c>
      <c r="AA1154" s="531">
        <f t="shared" si="472"/>
        <v>0</v>
      </c>
      <c r="AB1154" s="535" t="str">
        <f t="shared" si="460"/>
        <v/>
      </c>
      <c r="AC1154" s="537" t="str">
        <f t="shared" si="461"/>
        <v/>
      </c>
      <c r="AD1154" s="538" t="str">
        <f t="shared" ca="1" si="462"/>
        <v/>
      </c>
      <c r="AE1154" s="537">
        <f t="shared" ca="1" si="463"/>
        <v>0</v>
      </c>
      <c r="AF1154" s="539" t="str">
        <f t="shared" ca="1" si="473"/>
        <v/>
      </c>
      <c r="AG1154" s="531" t="str">
        <f t="shared" ca="1" si="474"/>
        <v/>
      </c>
      <c r="AH1154" s="531" t="str">
        <f t="shared" ca="1" si="475"/>
        <v/>
      </c>
      <c r="AI1154" s="531" t="str">
        <f t="shared" ca="1" si="476"/>
        <v/>
      </c>
      <c r="AJ1154" s="531" t="str">
        <f t="shared" si="477"/>
        <v/>
      </c>
      <c r="AK1154" s="540">
        <f>SUMIFS('Live Collections'!$S:$S,'Live Collections'!$D:$D,Disbursements!B1154,'Live Collections'!$G:$G,Disbursements!C1154)</f>
        <v>0</v>
      </c>
      <c r="AL1154" s="540">
        <f>SUMIFS('Live Collections'!$T:$T,'Live Collections'!$D:$D,Disbursements!B1154,'Live Collections'!$G:$G,Disbursements!C1154)</f>
        <v>0</v>
      </c>
      <c r="AM1154" s="541">
        <f t="shared" si="478"/>
        <v>0</v>
      </c>
      <c r="AN1154" s="542" t="str">
        <f t="shared" si="479"/>
        <v/>
      </c>
      <c r="AO1154" s="542" t="str">
        <f t="shared" si="480"/>
        <v/>
      </c>
      <c r="AP1154" s="543" t="str">
        <f t="shared" si="481"/>
        <v/>
      </c>
      <c r="AQ1154" s="544" t="str">
        <f t="shared" si="482"/>
        <v/>
      </c>
      <c r="AR1154" s="545">
        <f t="shared" si="483"/>
        <v>0</v>
      </c>
      <c r="AS1154" s="545">
        <f>IFERROR(CEILING($AR1154*VLOOKUP($I1154,Ref!$B$23:$E$29,4,0),1),0)</f>
        <v>0</v>
      </c>
      <c r="AT1154" s="545" t="str">
        <f>IF(A1154="","",IF(AP1154&lt;=1,"Cleared",IF(AS1154=0,"Clean",VLOOKUP($AS1154,Ref!$G$23:$H$28,2))))</f>
        <v/>
      </c>
      <c r="AU1154" s="546" t="str">
        <f t="shared" si="484"/>
        <v/>
      </c>
    </row>
    <row r="1155" spans="1:47" ht="14.25" hidden="1" customHeight="1" x14ac:dyDescent="0.15">
      <c r="A1155" s="523"/>
      <c r="B1155" s="523"/>
      <c r="C1155" s="523"/>
      <c r="D1155" s="523"/>
      <c r="E1155" s="579"/>
      <c r="F1155" s="580"/>
      <c r="G1155" s="524"/>
      <c r="H1155" s="555"/>
      <c r="I1155" s="560"/>
      <c r="J1155" s="523"/>
      <c r="K1155" s="528" t="str">
        <f>IFERROR(VLOOKUP($B1155,'Clients-Live'!$A:$C,3,0),"")</f>
        <v/>
      </c>
      <c r="L1155" s="528">
        <f>IF(E1155="STL",Pricing!$D$38,IF(A1155="",0,IF(A1155&lt;Pricing!$C$25,Pricing!$D$25,VLOOKUP(Disbursements!$F1155,Pricing!$B$29:$D$32,3))))</f>
        <v>0</v>
      </c>
      <c r="M1155" s="528">
        <f>IF(E1155="STL",0,IF(F1155&gt;0,Pricing!$D$21,0))</f>
        <v>0</v>
      </c>
      <c r="N1155" s="529">
        <f>IF(E1155="STL",F1155*Pricing!$D$40,IF(A1155&lt;=Pricing!$C$4,0,IF(AND(A1155&gt;Pricing!$C$4,Disbursements!A1155&lt;=Pricing!$C$5),F1155*Pricing!$E$5,IF(AND(A1155&gt;Pricing!$C$5,Disbursements!A1155&lt;=Pricing!$C$7),VLOOKUP(F1155,Pricing!$D$7:$E$8,2)*Disbursements!F1155,F1155*Pricing!$E$9))))</f>
        <v>0</v>
      </c>
      <c r="O1155" s="528">
        <f>IF(E1155="STL",0,IF($F1155&gt;0,$F1155*Pricing!$D$17,0))</f>
        <v>0</v>
      </c>
      <c r="P1155" s="530" t="str">
        <f t="shared" si="464"/>
        <v/>
      </c>
      <c r="Q1155" s="531" t="str">
        <f>IF($A1155="","",$G1155/VLOOKUP($I1155,Ref!$B$23:$D$29,2,0))</f>
        <v/>
      </c>
      <c r="R1155" s="530" t="str">
        <f t="shared" si="465"/>
        <v/>
      </c>
      <c r="S1155" s="532" t="str">
        <f t="shared" si="459"/>
        <v/>
      </c>
      <c r="T1155" s="531" t="str">
        <f t="shared" si="466"/>
        <v/>
      </c>
      <c r="U1155" s="533">
        <f t="shared" si="467"/>
        <v>0</v>
      </c>
      <c r="V1155" s="531" t="str">
        <f t="shared" si="468"/>
        <v/>
      </c>
      <c r="W1155" s="531" t="str">
        <f t="shared" si="469"/>
        <v/>
      </c>
      <c r="X1155" s="534" t="str">
        <f t="shared" si="470"/>
        <v/>
      </c>
      <c r="Y1155" s="535" t="str">
        <f>IF($A1155="","",IF($I1155="weekly",$A1155+7,EDATE($A1155,VLOOKUP($I1155,Ref!$B$24:$C$29,2,0))))</f>
        <v/>
      </c>
      <c r="Z1155" s="536" t="str">
        <f t="shared" si="471"/>
        <v/>
      </c>
      <c r="AA1155" s="531">
        <f t="shared" si="472"/>
        <v>0</v>
      </c>
      <c r="AB1155" s="535" t="str">
        <f t="shared" si="460"/>
        <v/>
      </c>
      <c r="AC1155" s="537" t="str">
        <f t="shared" si="461"/>
        <v/>
      </c>
      <c r="AD1155" s="538" t="str">
        <f t="shared" ca="1" si="462"/>
        <v/>
      </c>
      <c r="AE1155" s="537">
        <f t="shared" ca="1" si="463"/>
        <v>0</v>
      </c>
      <c r="AF1155" s="539" t="str">
        <f t="shared" ca="1" si="473"/>
        <v/>
      </c>
      <c r="AG1155" s="531" t="str">
        <f t="shared" ca="1" si="474"/>
        <v/>
      </c>
      <c r="AH1155" s="531" t="str">
        <f t="shared" ca="1" si="475"/>
        <v/>
      </c>
      <c r="AI1155" s="531" t="str">
        <f t="shared" ca="1" si="476"/>
        <v/>
      </c>
      <c r="AJ1155" s="531" t="str">
        <f t="shared" si="477"/>
        <v/>
      </c>
      <c r="AK1155" s="540">
        <f>SUMIFS('Live Collections'!$S:$S,'Live Collections'!$D:$D,Disbursements!B1155,'Live Collections'!$G:$G,Disbursements!C1155)</f>
        <v>0</v>
      </c>
      <c r="AL1155" s="540">
        <f>SUMIFS('Live Collections'!$T:$T,'Live Collections'!$D:$D,Disbursements!B1155,'Live Collections'!$G:$G,Disbursements!C1155)</f>
        <v>0</v>
      </c>
      <c r="AM1155" s="541">
        <f t="shared" si="478"/>
        <v>0</v>
      </c>
      <c r="AN1155" s="542" t="str">
        <f t="shared" si="479"/>
        <v/>
      </c>
      <c r="AO1155" s="542" t="str">
        <f t="shared" si="480"/>
        <v/>
      </c>
      <c r="AP1155" s="543" t="str">
        <f t="shared" si="481"/>
        <v/>
      </c>
      <c r="AQ1155" s="544" t="str">
        <f t="shared" si="482"/>
        <v/>
      </c>
      <c r="AR1155" s="545">
        <f t="shared" si="483"/>
        <v>0</v>
      </c>
      <c r="AS1155" s="545">
        <f>IFERROR(CEILING($AR1155*VLOOKUP($I1155,Ref!$B$23:$E$29,4,0),1),0)</f>
        <v>0</v>
      </c>
      <c r="AT1155" s="545" t="str">
        <f>IF(A1155="","",IF(AP1155&lt;=1,"Cleared",IF(AS1155=0,"Clean",VLOOKUP($AS1155,Ref!$G$23:$H$28,2))))</f>
        <v/>
      </c>
      <c r="AU1155" s="546" t="str">
        <f t="shared" si="484"/>
        <v/>
      </c>
    </row>
    <row r="1156" spans="1:47" ht="14.25" hidden="1" customHeight="1" x14ac:dyDescent="0.15">
      <c r="A1156" s="523"/>
      <c r="B1156" s="523"/>
      <c r="C1156" s="523"/>
      <c r="D1156" s="523"/>
      <c r="E1156" s="579"/>
      <c r="F1156" s="580"/>
      <c r="G1156" s="524"/>
      <c r="H1156" s="555"/>
      <c r="I1156" s="560"/>
      <c r="J1156" s="523"/>
      <c r="K1156" s="528" t="str">
        <f>IFERROR(VLOOKUP($B1156,'Clients-Live'!$A:$C,3,0),"")</f>
        <v/>
      </c>
      <c r="L1156" s="528">
        <f>IF(E1156="STL",Pricing!$D$38,IF(A1156="",0,IF(A1156&lt;Pricing!$C$25,Pricing!$D$25,VLOOKUP(Disbursements!$F1156,Pricing!$B$29:$D$32,3))))</f>
        <v>0</v>
      </c>
      <c r="M1156" s="528">
        <f>IF(E1156="STL",0,IF(F1156&gt;0,Pricing!$D$21,0))</f>
        <v>0</v>
      </c>
      <c r="N1156" s="529">
        <f>IF(E1156="STL",F1156*Pricing!$D$40,IF(A1156&lt;=Pricing!$C$4,0,IF(AND(A1156&gt;Pricing!$C$4,Disbursements!A1156&lt;=Pricing!$C$5),F1156*Pricing!$E$5,IF(AND(A1156&gt;Pricing!$C$5,Disbursements!A1156&lt;=Pricing!$C$7),VLOOKUP(F1156,Pricing!$D$7:$E$8,2)*Disbursements!F1156,F1156*Pricing!$E$9))))</f>
        <v>0</v>
      </c>
      <c r="O1156" s="528">
        <f>IF(E1156="STL",0,IF($F1156&gt;0,$F1156*Pricing!$D$17,0))</f>
        <v>0</v>
      </c>
      <c r="P1156" s="530" t="str">
        <f t="shared" si="464"/>
        <v/>
      </c>
      <c r="Q1156" s="531" t="str">
        <f>IF($A1156="","",$G1156/VLOOKUP($I1156,Ref!$B$23:$D$29,2,0))</f>
        <v/>
      </c>
      <c r="R1156" s="530" t="str">
        <f t="shared" si="465"/>
        <v/>
      </c>
      <c r="S1156" s="532" t="str">
        <f t="shared" ref="S1156:S1219" si="485">IF($A1156="","",$R1156/$Q1156)</f>
        <v/>
      </c>
      <c r="T1156" s="531" t="str">
        <f t="shared" si="466"/>
        <v/>
      </c>
      <c r="U1156" s="533">
        <f t="shared" si="467"/>
        <v>0</v>
      </c>
      <c r="V1156" s="531" t="str">
        <f t="shared" si="468"/>
        <v/>
      </c>
      <c r="W1156" s="531" t="str">
        <f t="shared" si="469"/>
        <v/>
      </c>
      <c r="X1156" s="534" t="str">
        <f t="shared" si="470"/>
        <v/>
      </c>
      <c r="Y1156" s="535" t="str">
        <f>IF($A1156="","",IF($I1156="weekly",$A1156+7,EDATE($A1156,VLOOKUP($I1156,Ref!$B$24:$C$29,2,0))))</f>
        <v/>
      </c>
      <c r="Z1156" s="536" t="str">
        <f t="shared" si="471"/>
        <v/>
      </c>
      <c r="AA1156" s="531">
        <f t="shared" si="472"/>
        <v>0</v>
      </c>
      <c r="AB1156" s="535" t="str">
        <f t="shared" ref="AB1156:AB1219" si="486">IF($A1156="","",EDATE($A1156,$G1156))</f>
        <v/>
      </c>
      <c r="AC1156" s="537" t="str">
        <f t="shared" ref="AC1156:AC1219" si="487">IFERROR($AB1156-$A1156,"")</f>
        <v/>
      </c>
      <c r="AD1156" s="538" t="str">
        <f t="shared" ref="AD1156:AD1219" ca="1" si="488">IFERROR(IF(TODAY()-$A1156&lt;$AB1156-$A1156,TODAY()-$A1156,"Expired"),"")</f>
        <v/>
      </c>
      <c r="AE1156" s="537">
        <f t="shared" ref="AE1156:AE1219" ca="1" si="489">IFERROR($AC1156-$AD1156,0)</f>
        <v>0</v>
      </c>
      <c r="AF1156" s="539" t="str">
        <f t="shared" ca="1" si="473"/>
        <v/>
      </c>
      <c r="AG1156" s="531" t="str">
        <f t="shared" ca="1" si="474"/>
        <v/>
      </c>
      <c r="AH1156" s="531" t="str">
        <f t="shared" ca="1" si="475"/>
        <v/>
      </c>
      <c r="AI1156" s="531" t="str">
        <f t="shared" ca="1" si="476"/>
        <v/>
      </c>
      <c r="AJ1156" s="531" t="str">
        <f t="shared" si="477"/>
        <v/>
      </c>
      <c r="AK1156" s="540">
        <f>SUMIFS('Live Collections'!$S:$S,'Live Collections'!$D:$D,Disbursements!B1156,'Live Collections'!$G:$G,Disbursements!C1156)</f>
        <v>0</v>
      </c>
      <c r="AL1156" s="540">
        <f>SUMIFS('Live Collections'!$T:$T,'Live Collections'!$D:$D,Disbursements!B1156,'Live Collections'!$G:$G,Disbursements!C1156)</f>
        <v>0</v>
      </c>
      <c r="AM1156" s="541">
        <f t="shared" si="478"/>
        <v>0</v>
      </c>
      <c r="AN1156" s="542" t="str">
        <f t="shared" si="479"/>
        <v/>
      </c>
      <c r="AO1156" s="542" t="str">
        <f t="shared" si="480"/>
        <v/>
      </c>
      <c r="AP1156" s="543" t="str">
        <f t="shared" si="481"/>
        <v/>
      </c>
      <c r="AQ1156" s="544" t="str">
        <f t="shared" si="482"/>
        <v/>
      </c>
      <c r="AR1156" s="545">
        <f t="shared" si="483"/>
        <v>0</v>
      </c>
      <c r="AS1156" s="545">
        <f>IFERROR(CEILING($AR1156*VLOOKUP($I1156,Ref!$B$23:$E$29,4,0),1),0)</f>
        <v>0</v>
      </c>
      <c r="AT1156" s="545" t="str">
        <f>IF(A1156="","",IF(AP1156&lt;=1,"Cleared",IF(AS1156=0,"Clean",VLOOKUP($AS1156,Ref!$G$23:$H$28,2))))</f>
        <v/>
      </c>
      <c r="AU1156" s="546" t="str">
        <f t="shared" si="484"/>
        <v/>
      </c>
    </row>
    <row r="1157" spans="1:47" ht="14.25" hidden="1" customHeight="1" x14ac:dyDescent="0.15">
      <c r="A1157" s="523"/>
      <c r="B1157" s="523"/>
      <c r="C1157" s="523"/>
      <c r="D1157" s="523"/>
      <c r="E1157" s="579"/>
      <c r="F1157" s="580"/>
      <c r="G1157" s="524"/>
      <c r="H1157" s="555"/>
      <c r="I1157" s="560"/>
      <c r="J1157" s="523"/>
      <c r="K1157" s="528" t="str">
        <f>IFERROR(VLOOKUP($B1157,'Clients-Live'!$A:$C,3,0),"")</f>
        <v/>
      </c>
      <c r="L1157" s="528">
        <f>IF(E1157="STL",Pricing!$D$38,IF(A1157="",0,IF(A1157&lt;Pricing!$C$25,Pricing!$D$25,VLOOKUP(Disbursements!$F1157,Pricing!$B$29:$D$32,3))))</f>
        <v>0</v>
      </c>
      <c r="M1157" s="528">
        <f>IF(E1157="STL",0,IF(F1157&gt;0,Pricing!$D$21,0))</f>
        <v>0</v>
      </c>
      <c r="N1157" s="529">
        <f>IF(E1157="STL",F1157*Pricing!$D$40,IF(A1157&lt;=Pricing!$C$4,0,IF(AND(A1157&gt;Pricing!$C$4,Disbursements!A1157&lt;=Pricing!$C$5),F1157*Pricing!$E$5,IF(AND(A1157&gt;Pricing!$C$5,Disbursements!A1157&lt;=Pricing!$C$7),VLOOKUP(F1157,Pricing!$D$7:$E$8,2)*Disbursements!F1157,F1157*Pricing!$E$9))))</f>
        <v>0</v>
      </c>
      <c r="O1157" s="528">
        <f>IF(E1157="STL",0,IF($F1157&gt;0,$F1157*Pricing!$D$17,0))</f>
        <v>0</v>
      </c>
      <c r="P1157" s="530" t="str">
        <f t="shared" ref="P1157:P1220" si="490">IF($A1157="","",$H1157*$F1157*$G1157)</f>
        <v/>
      </c>
      <c r="Q1157" s="531" t="str">
        <f>IF($A1157="","",$G1157/VLOOKUP($I1157,Ref!$B$23:$D$29,2,0))</f>
        <v/>
      </c>
      <c r="R1157" s="530" t="str">
        <f t="shared" ref="R1157:R1220" si="491">IF($A1157="","",$F1157+$P1157)</f>
        <v/>
      </c>
      <c r="S1157" s="532" t="str">
        <f t="shared" si="485"/>
        <v/>
      </c>
      <c r="T1157" s="531" t="str">
        <f t="shared" ref="T1157:T1220" si="492">IF(R1157="","",CEILING(S1157,1000))</f>
        <v/>
      </c>
      <c r="U1157" s="533">
        <f t="shared" ref="U1157:U1220" si="493">IFERROR(T1157*Q1157,0)</f>
        <v>0</v>
      </c>
      <c r="V1157" s="531" t="str">
        <f t="shared" ref="V1157:V1220" si="494">IF(T1157="","",F1157/Q1157)</f>
        <v/>
      </c>
      <c r="W1157" s="531" t="str">
        <f t="shared" ref="W1157:W1220" si="495">IF(T1157="","",T1157-V1157)</f>
        <v/>
      </c>
      <c r="X1157" s="534" t="str">
        <f t="shared" ref="X1157:X1220" si="496">IF(A1157="","",W1157*Q1157)</f>
        <v/>
      </c>
      <c r="Y1157" s="535" t="str">
        <f>IF($A1157="","",IF($I1157="weekly",$A1157+7,EDATE($A1157,VLOOKUP($I1157,Ref!$B$24:$C$29,2,0))))</f>
        <v/>
      </c>
      <c r="Z1157" s="536" t="str">
        <f t="shared" ref="Z1157:Z1220" si="497">IFERROR(CHOOSE(WEEKDAY(Y1157),"Sun","Mon","Tue","Wed","Thu","Frid","Sat"),"")</f>
        <v/>
      </c>
      <c r="AA1157" s="531">
        <f t="shared" ref="AA1157:AA1220" si="498">IFERROR(Y1157-A1157,0)</f>
        <v>0</v>
      </c>
      <c r="AB1157" s="535" t="str">
        <f t="shared" si="486"/>
        <v/>
      </c>
      <c r="AC1157" s="537" t="str">
        <f t="shared" si="487"/>
        <v/>
      </c>
      <c r="AD1157" s="538" t="str">
        <f t="shared" ca="1" si="488"/>
        <v/>
      </c>
      <c r="AE1157" s="537">
        <f t="shared" ca="1" si="489"/>
        <v>0</v>
      </c>
      <c r="AF1157" s="539" t="str">
        <f t="shared" ref="AF1157:AF1220" ca="1" si="499">IFERROR(IF(AD1157="Expired",Q1157,IF(AD1157&gt;AA1157,AD1157/AA1157,0)),"")</f>
        <v/>
      </c>
      <c r="AG1157" s="531" t="str">
        <f t="shared" ref="AG1157:AG1220" ca="1" si="500">IFERROR(AF1157*T1157,"")</f>
        <v/>
      </c>
      <c r="AH1157" s="531" t="str">
        <f t="shared" ref="AH1157:AH1220" ca="1" si="501">IFERROR(AF1157*W1157,"")</f>
        <v/>
      </c>
      <c r="AI1157" s="531" t="str">
        <f t="shared" ref="AI1157:AI1220" ca="1" si="502">IFERROR(AF1157*V1157,"")</f>
        <v/>
      </c>
      <c r="AJ1157" s="531" t="str">
        <f t="shared" ref="AJ1157:AJ1220" si="503">IF(F1157=0,"",U1157-AG1157)</f>
        <v/>
      </c>
      <c r="AK1157" s="540">
        <f>SUMIFS('Live Collections'!$S:$S,'Live Collections'!$D:$D,Disbursements!B1157,'Live Collections'!$G:$G,Disbursements!C1157)</f>
        <v>0</v>
      </c>
      <c r="AL1157" s="540">
        <f>SUMIFS('Live Collections'!$T:$T,'Live Collections'!$D:$D,Disbursements!B1157,'Live Collections'!$G:$G,Disbursements!C1157)</f>
        <v>0</v>
      </c>
      <c r="AM1157" s="541">
        <f t="shared" ref="AM1157:AM1220" si="504">SUM(AK1157:AL1157)</f>
        <v>0</v>
      </c>
      <c r="AN1157" s="542" t="str">
        <f t="shared" ref="AN1157:AN1220" si="505">IFERROR(W1157*Q1157-AK1157,"")</f>
        <v/>
      </c>
      <c r="AO1157" s="542" t="str">
        <f t="shared" ref="AO1157:AO1220" si="506">IF(F1157="","",(F1157-AL1157))</f>
        <v/>
      </c>
      <c r="AP1157" s="543" t="str">
        <f t="shared" ref="AP1157:AP1220" si="507">IF(F1157="","",SUM(AN1157:AO1157))</f>
        <v/>
      </c>
      <c r="AQ1157" s="544" t="str">
        <f t="shared" ref="AQ1157:AQ1220" si="508">IF(AP1157&gt;AJ1157,AP1157-AJ1157,"")</f>
        <v/>
      </c>
      <c r="AR1157" s="545">
        <f t="shared" ref="AR1157:AR1220" si="509">IFERROR(AQ1157/T1157,0)</f>
        <v>0</v>
      </c>
      <c r="AS1157" s="545">
        <f>IFERROR(CEILING($AR1157*VLOOKUP($I1157,Ref!$B$23:$E$29,4,0),1),0)</f>
        <v>0</v>
      </c>
      <c r="AT1157" s="545" t="str">
        <f>IF(A1157="","",IF(AP1157&lt;=1,"Cleared",IF(AS1157=0,"Clean",VLOOKUP($AS1157,Ref!$G$23:$H$28,2))))</f>
        <v/>
      </c>
      <c r="AU1157" s="546" t="str">
        <f t="shared" ref="AU1157:AU1220" si="510">IF(F1157="","",IF(OR(AN1157&lt;0,AO1157&lt;0,AP1157&lt;0),"Error on Entry","Ok"))</f>
        <v/>
      </c>
    </row>
    <row r="1158" spans="1:47" ht="14.25" hidden="1" customHeight="1" x14ac:dyDescent="0.15">
      <c r="A1158" s="523"/>
      <c r="B1158" s="523"/>
      <c r="C1158" s="523"/>
      <c r="D1158" s="523"/>
      <c r="E1158" s="579"/>
      <c r="F1158" s="580"/>
      <c r="G1158" s="524"/>
      <c r="H1158" s="555"/>
      <c r="I1158" s="560"/>
      <c r="J1158" s="523"/>
      <c r="K1158" s="528" t="str">
        <f>IFERROR(VLOOKUP($B1158,'Clients-Live'!$A:$C,3,0),"")</f>
        <v/>
      </c>
      <c r="L1158" s="528">
        <f>IF(E1158="STL",Pricing!$D$38,IF(A1158="",0,IF(A1158&lt;Pricing!$C$25,Pricing!$D$25,VLOOKUP(Disbursements!$F1158,Pricing!$B$29:$D$32,3))))</f>
        <v>0</v>
      </c>
      <c r="M1158" s="528">
        <f>IF(E1158="STL",0,IF(F1158&gt;0,Pricing!$D$21,0))</f>
        <v>0</v>
      </c>
      <c r="N1158" s="529">
        <f>IF(E1158="STL",F1158*Pricing!$D$40,IF(A1158&lt;=Pricing!$C$4,0,IF(AND(A1158&gt;Pricing!$C$4,Disbursements!A1158&lt;=Pricing!$C$5),F1158*Pricing!$E$5,IF(AND(A1158&gt;Pricing!$C$5,Disbursements!A1158&lt;=Pricing!$C$7),VLOOKUP(F1158,Pricing!$D$7:$E$8,2)*Disbursements!F1158,F1158*Pricing!$E$9))))</f>
        <v>0</v>
      </c>
      <c r="O1158" s="528">
        <f>IF(E1158="STL",0,IF($F1158&gt;0,$F1158*Pricing!$D$17,0))</f>
        <v>0</v>
      </c>
      <c r="P1158" s="530" t="str">
        <f t="shared" si="490"/>
        <v/>
      </c>
      <c r="Q1158" s="531" t="str">
        <f>IF($A1158="","",$G1158/VLOOKUP($I1158,Ref!$B$23:$D$29,2,0))</f>
        <v/>
      </c>
      <c r="R1158" s="530" t="str">
        <f t="shared" si="491"/>
        <v/>
      </c>
      <c r="S1158" s="532" t="str">
        <f t="shared" si="485"/>
        <v/>
      </c>
      <c r="T1158" s="531" t="str">
        <f t="shared" si="492"/>
        <v/>
      </c>
      <c r="U1158" s="533">
        <f t="shared" si="493"/>
        <v>0</v>
      </c>
      <c r="V1158" s="531" t="str">
        <f t="shared" si="494"/>
        <v/>
      </c>
      <c r="W1158" s="531" t="str">
        <f t="shared" si="495"/>
        <v/>
      </c>
      <c r="X1158" s="534" t="str">
        <f t="shared" si="496"/>
        <v/>
      </c>
      <c r="Y1158" s="535" t="str">
        <f>IF($A1158="","",IF($I1158="weekly",$A1158+7,EDATE($A1158,VLOOKUP($I1158,Ref!$B$24:$C$29,2,0))))</f>
        <v/>
      </c>
      <c r="Z1158" s="536" t="str">
        <f t="shared" si="497"/>
        <v/>
      </c>
      <c r="AA1158" s="531">
        <f t="shared" si="498"/>
        <v>0</v>
      </c>
      <c r="AB1158" s="535" t="str">
        <f t="shared" si="486"/>
        <v/>
      </c>
      <c r="AC1158" s="537" t="str">
        <f t="shared" si="487"/>
        <v/>
      </c>
      <c r="AD1158" s="538" t="str">
        <f t="shared" ca="1" si="488"/>
        <v/>
      </c>
      <c r="AE1158" s="537">
        <f t="shared" ca="1" si="489"/>
        <v>0</v>
      </c>
      <c r="AF1158" s="539" t="str">
        <f t="shared" ca="1" si="499"/>
        <v/>
      </c>
      <c r="AG1158" s="531" t="str">
        <f t="shared" ca="1" si="500"/>
        <v/>
      </c>
      <c r="AH1158" s="531" t="str">
        <f t="shared" ca="1" si="501"/>
        <v/>
      </c>
      <c r="AI1158" s="531" t="str">
        <f t="shared" ca="1" si="502"/>
        <v/>
      </c>
      <c r="AJ1158" s="531" t="str">
        <f t="shared" si="503"/>
        <v/>
      </c>
      <c r="AK1158" s="540">
        <f>SUMIFS('Live Collections'!$S:$S,'Live Collections'!$D:$D,Disbursements!B1158,'Live Collections'!$G:$G,Disbursements!C1158)</f>
        <v>0</v>
      </c>
      <c r="AL1158" s="540">
        <f>SUMIFS('Live Collections'!$T:$T,'Live Collections'!$D:$D,Disbursements!B1158,'Live Collections'!$G:$G,Disbursements!C1158)</f>
        <v>0</v>
      </c>
      <c r="AM1158" s="541">
        <f t="shared" si="504"/>
        <v>0</v>
      </c>
      <c r="AN1158" s="542" t="str">
        <f t="shared" si="505"/>
        <v/>
      </c>
      <c r="AO1158" s="542" t="str">
        <f t="shared" si="506"/>
        <v/>
      </c>
      <c r="AP1158" s="543" t="str">
        <f t="shared" si="507"/>
        <v/>
      </c>
      <c r="AQ1158" s="544" t="str">
        <f t="shared" si="508"/>
        <v/>
      </c>
      <c r="AR1158" s="545">
        <f t="shared" si="509"/>
        <v>0</v>
      </c>
      <c r="AS1158" s="545">
        <f>IFERROR(CEILING($AR1158*VLOOKUP($I1158,Ref!$B$23:$E$29,4,0),1),0)</f>
        <v>0</v>
      </c>
      <c r="AT1158" s="545" t="str">
        <f>IF(A1158="","",IF(AP1158&lt;=1,"Cleared",IF(AS1158=0,"Clean",VLOOKUP($AS1158,Ref!$G$23:$H$28,2))))</f>
        <v/>
      </c>
      <c r="AU1158" s="546" t="str">
        <f t="shared" si="510"/>
        <v/>
      </c>
    </row>
    <row r="1159" spans="1:47" ht="14.25" hidden="1" customHeight="1" x14ac:dyDescent="0.15">
      <c r="A1159" s="523"/>
      <c r="B1159" s="523"/>
      <c r="C1159" s="523"/>
      <c r="D1159" s="523"/>
      <c r="E1159" s="579"/>
      <c r="F1159" s="580"/>
      <c r="G1159" s="524"/>
      <c r="H1159" s="555"/>
      <c r="I1159" s="560"/>
      <c r="J1159" s="523"/>
      <c r="K1159" s="528" t="str">
        <f>IFERROR(VLOOKUP($B1159,'Clients-Live'!$A:$C,3,0),"")</f>
        <v/>
      </c>
      <c r="L1159" s="528">
        <f>IF(E1159="STL",Pricing!$D$38,IF(A1159="",0,IF(A1159&lt;Pricing!$C$25,Pricing!$D$25,VLOOKUP(Disbursements!$F1159,Pricing!$B$29:$D$32,3))))</f>
        <v>0</v>
      </c>
      <c r="M1159" s="528">
        <f>IF(E1159="STL",0,IF(F1159&gt;0,Pricing!$D$21,0))</f>
        <v>0</v>
      </c>
      <c r="N1159" s="529">
        <f>IF(E1159="STL",F1159*Pricing!$D$40,IF(A1159&lt;=Pricing!$C$4,0,IF(AND(A1159&gt;Pricing!$C$4,Disbursements!A1159&lt;=Pricing!$C$5),F1159*Pricing!$E$5,IF(AND(A1159&gt;Pricing!$C$5,Disbursements!A1159&lt;=Pricing!$C$7),VLOOKUP(F1159,Pricing!$D$7:$E$8,2)*Disbursements!F1159,F1159*Pricing!$E$9))))</f>
        <v>0</v>
      </c>
      <c r="O1159" s="528">
        <f>IF(E1159="STL",0,IF($F1159&gt;0,$F1159*Pricing!$D$17,0))</f>
        <v>0</v>
      </c>
      <c r="P1159" s="530" t="str">
        <f t="shared" si="490"/>
        <v/>
      </c>
      <c r="Q1159" s="531" t="str">
        <f>IF($A1159="","",$G1159/VLOOKUP($I1159,Ref!$B$23:$D$29,2,0))</f>
        <v/>
      </c>
      <c r="R1159" s="530" t="str">
        <f t="shared" si="491"/>
        <v/>
      </c>
      <c r="S1159" s="532" t="str">
        <f t="shared" si="485"/>
        <v/>
      </c>
      <c r="T1159" s="531" t="str">
        <f t="shared" si="492"/>
        <v/>
      </c>
      <c r="U1159" s="533">
        <f t="shared" si="493"/>
        <v>0</v>
      </c>
      <c r="V1159" s="531" t="str">
        <f t="shared" si="494"/>
        <v/>
      </c>
      <c r="W1159" s="531" t="str">
        <f t="shared" si="495"/>
        <v/>
      </c>
      <c r="X1159" s="534" t="str">
        <f t="shared" si="496"/>
        <v/>
      </c>
      <c r="Y1159" s="535" t="str">
        <f>IF($A1159="","",IF($I1159="weekly",$A1159+7,EDATE($A1159,VLOOKUP($I1159,Ref!$B$24:$C$29,2,0))))</f>
        <v/>
      </c>
      <c r="Z1159" s="536" t="str">
        <f t="shared" si="497"/>
        <v/>
      </c>
      <c r="AA1159" s="531">
        <f t="shared" si="498"/>
        <v>0</v>
      </c>
      <c r="AB1159" s="535" t="str">
        <f t="shared" si="486"/>
        <v/>
      </c>
      <c r="AC1159" s="537" t="str">
        <f t="shared" si="487"/>
        <v/>
      </c>
      <c r="AD1159" s="538" t="str">
        <f t="shared" ca="1" si="488"/>
        <v/>
      </c>
      <c r="AE1159" s="537">
        <f t="shared" ca="1" si="489"/>
        <v>0</v>
      </c>
      <c r="AF1159" s="539" t="str">
        <f t="shared" ca="1" si="499"/>
        <v/>
      </c>
      <c r="AG1159" s="531" t="str">
        <f t="shared" ca="1" si="500"/>
        <v/>
      </c>
      <c r="AH1159" s="531" t="str">
        <f t="shared" ca="1" si="501"/>
        <v/>
      </c>
      <c r="AI1159" s="531" t="str">
        <f t="shared" ca="1" si="502"/>
        <v/>
      </c>
      <c r="AJ1159" s="531" t="str">
        <f t="shared" si="503"/>
        <v/>
      </c>
      <c r="AK1159" s="540">
        <f>SUMIFS('Live Collections'!$S:$S,'Live Collections'!$D:$D,Disbursements!B1159,'Live Collections'!$G:$G,Disbursements!C1159)</f>
        <v>0</v>
      </c>
      <c r="AL1159" s="540">
        <f>SUMIFS('Live Collections'!$T:$T,'Live Collections'!$D:$D,Disbursements!B1159,'Live Collections'!$G:$G,Disbursements!C1159)</f>
        <v>0</v>
      </c>
      <c r="AM1159" s="541">
        <f t="shared" si="504"/>
        <v>0</v>
      </c>
      <c r="AN1159" s="542" t="str">
        <f t="shared" si="505"/>
        <v/>
      </c>
      <c r="AO1159" s="542" t="str">
        <f t="shared" si="506"/>
        <v/>
      </c>
      <c r="AP1159" s="543" t="str">
        <f t="shared" si="507"/>
        <v/>
      </c>
      <c r="AQ1159" s="544" t="str">
        <f t="shared" si="508"/>
        <v/>
      </c>
      <c r="AR1159" s="545">
        <f t="shared" si="509"/>
        <v>0</v>
      </c>
      <c r="AS1159" s="545">
        <f>IFERROR(CEILING($AR1159*VLOOKUP($I1159,Ref!$B$23:$E$29,4,0),1),0)</f>
        <v>0</v>
      </c>
      <c r="AT1159" s="545" t="str">
        <f>IF(A1159="","",IF(AP1159&lt;=1,"Cleared",IF(AS1159=0,"Clean",VLOOKUP($AS1159,Ref!$G$23:$H$28,2))))</f>
        <v/>
      </c>
      <c r="AU1159" s="546" t="str">
        <f t="shared" si="510"/>
        <v/>
      </c>
    </row>
    <row r="1160" spans="1:47" ht="14.25" hidden="1" customHeight="1" x14ac:dyDescent="0.15">
      <c r="A1160" s="523"/>
      <c r="B1160" s="523"/>
      <c r="C1160" s="523"/>
      <c r="D1160" s="523"/>
      <c r="E1160" s="579"/>
      <c r="F1160" s="580"/>
      <c r="G1160" s="524"/>
      <c r="H1160" s="555"/>
      <c r="I1160" s="560"/>
      <c r="J1160" s="523"/>
      <c r="K1160" s="528" t="str">
        <f>IFERROR(VLOOKUP($B1160,'Clients-Live'!$A:$C,3,0),"")</f>
        <v/>
      </c>
      <c r="L1160" s="528">
        <f>IF(E1160="STL",Pricing!$D$38,IF(A1160="",0,IF(A1160&lt;Pricing!$C$25,Pricing!$D$25,VLOOKUP(Disbursements!$F1160,Pricing!$B$29:$D$32,3))))</f>
        <v>0</v>
      </c>
      <c r="M1160" s="528">
        <f>IF(E1160="STL",0,IF(F1160&gt;0,Pricing!$D$21,0))</f>
        <v>0</v>
      </c>
      <c r="N1160" s="529">
        <f>IF(E1160="STL",F1160*Pricing!$D$40,IF(A1160&lt;=Pricing!$C$4,0,IF(AND(A1160&gt;Pricing!$C$4,Disbursements!A1160&lt;=Pricing!$C$5),F1160*Pricing!$E$5,IF(AND(A1160&gt;Pricing!$C$5,Disbursements!A1160&lt;=Pricing!$C$7),VLOOKUP(F1160,Pricing!$D$7:$E$8,2)*Disbursements!F1160,F1160*Pricing!$E$9))))</f>
        <v>0</v>
      </c>
      <c r="O1160" s="528">
        <f>IF(E1160="STL",0,IF($F1160&gt;0,$F1160*Pricing!$D$17,0))</f>
        <v>0</v>
      </c>
      <c r="P1160" s="530" t="str">
        <f t="shared" si="490"/>
        <v/>
      </c>
      <c r="Q1160" s="531" t="str">
        <f>IF($A1160="","",$G1160/VLOOKUP($I1160,Ref!$B$23:$D$29,2,0))</f>
        <v/>
      </c>
      <c r="R1160" s="530" t="str">
        <f t="shared" si="491"/>
        <v/>
      </c>
      <c r="S1160" s="532" t="str">
        <f t="shared" si="485"/>
        <v/>
      </c>
      <c r="T1160" s="531" t="str">
        <f t="shared" si="492"/>
        <v/>
      </c>
      <c r="U1160" s="533">
        <f t="shared" si="493"/>
        <v>0</v>
      </c>
      <c r="V1160" s="531" t="str">
        <f t="shared" si="494"/>
        <v/>
      </c>
      <c r="W1160" s="531" t="str">
        <f t="shared" si="495"/>
        <v/>
      </c>
      <c r="X1160" s="534" t="str">
        <f t="shared" si="496"/>
        <v/>
      </c>
      <c r="Y1160" s="535" t="str">
        <f>IF($A1160="","",IF($I1160="weekly",$A1160+7,EDATE($A1160,VLOOKUP($I1160,Ref!$B$24:$C$29,2,0))))</f>
        <v/>
      </c>
      <c r="Z1160" s="536" t="str">
        <f t="shared" si="497"/>
        <v/>
      </c>
      <c r="AA1160" s="531">
        <f t="shared" si="498"/>
        <v>0</v>
      </c>
      <c r="AB1160" s="535" t="str">
        <f t="shared" si="486"/>
        <v/>
      </c>
      <c r="AC1160" s="537" t="str">
        <f t="shared" si="487"/>
        <v/>
      </c>
      <c r="AD1160" s="538" t="str">
        <f t="shared" ca="1" si="488"/>
        <v/>
      </c>
      <c r="AE1160" s="537">
        <f t="shared" ca="1" si="489"/>
        <v>0</v>
      </c>
      <c r="AF1160" s="539" t="str">
        <f t="shared" ca="1" si="499"/>
        <v/>
      </c>
      <c r="AG1160" s="531" t="str">
        <f t="shared" ca="1" si="500"/>
        <v/>
      </c>
      <c r="AH1160" s="531" t="str">
        <f t="shared" ca="1" si="501"/>
        <v/>
      </c>
      <c r="AI1160" s="531" t="str">
        <f t="shared" ca="1" si="502"/>
        <v/>
      </c>
      <c r="AJ1160" s="531" t="str">
        <f t="shared" si="503"/>
        <v/>
      </c>
      <c r="AK1160" s="540">
        <f>SUMIFS('Live Collections'!$S:$S,'Live Collections'!$D:$D,Disbursements!B1160,'Live Collections'!$G:$G,Disbursements!C1160)</f>
        <v>0</v>
      </c>
      <c r="AL1160" s="540">
        <f>SUMIFS('Live Collections'!$T:$T,'Live Collections'!$D:$D,Disbursements!B1160,'Live Collections'!$G:$G,Disbursements!C1160)</f>
        <v>0</v>
      </c>
      <c r="AM1160" s="541">
        <f t="shared" si="504"/>
        <v>0</v>
      </c>
      <c r="AN1160" s="542" t="str">
        <f t="shared" si="505"/>
        <v/>
      </c>
      <c r="AO1160" s="542" t="str">
        <f t="shared" si="506"/>
        <v/>
      </c>
      <c r="AP1160" s="543" t="str">
        <f t="shared" si="507"/>
        <v/>
      </c>
      <c r="AQ1160" s="544" t="str">
        <f t="shared" si="508"/>
        <v/>
      </c>
      <c r="AR1160" s="545">
        <f t="shared" si="509"/>
        <v>0</v>
      </c>
      <c r="AS1160" s="545">
        <f>IFERROR(CEILING($AR1160*VLOOKUP($I1160,Ref!$B$23:$E$29,4,0),1),0)</f>
        <v>0</v>
      </c>
      <c r="AT1160" s="545" t="str">
        <f>IF(A1160="","",IF(AP1160&lt;=1,"Cleared",IF(AS1160=0,"Clean",VLOOKUP($AS1160,Ref!$G$23:$H$28,2))))</f>
        <v/>
      </c>
      <c r="AU1160" s="546" t="str">
        <f t="shared" si="510"/>
        <v/>
      </c>
    </row>
    <row r="1161" spans="1:47" ht="14.25" hidden="1" customHeight="1" x14ac:dyDescent="0.15">
      <c r="A1161" s="523"/>
      <c r="B1161" s="523"/>
      <c r="C1161" s="523"/>
      <c r="D1161" s="523"/>
      <c r="E1161" s="579"/>
      <c r="F1161" s="580"/>
      <c r="G1161" s="524"/>
      <c r="H1161" s="555"/>
      <c r="I1161" s="560"/>
      <c r="J1161" s="523"/>
      <c r="K1161" s="528" t="str">
        <f>IFERROR(VLOOKUP($B1161,'Clients-Live'!$A:$C,3,0),"")</f>
        <v/>
      </c>
      <c r="L1161" s="528">
        <f>IF(E1161="STL",Pricing!$D$38,IF(A1161="",0,IF(A1161&lt;Pricing!$C$25,Pricing!$D$25,VLOOKUP(Disbursements!$F1161,Pricing!$B$29:$D$32,3))))</f>
        <v>0</v>
      </c>
      <c r="M1161" s="528">
        <f>IF(E1161="STL",0,IF(F1161&gt;0,Pricing!$D$21,0))</f>
        <v>0</v>
      </c>
      <c r="N1161" s="529">
        <f>IF(E1161="STL",F1161*Pricing!$D$40,IF(A1161&lt;=Pricing!$C$4,0,IF(AND(A1161&gt;Pricing!$C$4,Disbursements!A1161&lt;=Pricing!$C$5),F1161*Pricing!$E$5,IF(AND(A1161&gt;Pricing!$C$5,Disbursements!A1161&lt;=Pricing!$C$7),VLOOKUP(F1161,Pricing!$D$7:$E$8,2)*Disbursements!F1161,F1161*Pricing!$E$9))))</f>
        <v>0</v>
      </c>
      <c r="O1161" s="528">
        <f>IF(E1161="STL",0,IF($F1161&gt;0,$F1161*Pricing!$D$17,0))</f>
        <v>0</v>
      </c>
      <c r="P1161" s="530" t="str">
        <f t="shared" si="490"/>
        <v/>
      </c>
      <c r="Q1161" s="531" t="str">
        <f>IF($A1161="","",$G1161/VLOOKUP($I1161,Ref!$B$23:$D$29,2,0))</f>
        <v/>
      </c>
      <c r="R1161" s="530" t="str">
        <f t="shared" si="491"/>
        <v/>
      </c>
      <c r="S1161" s="532" t="str">
        <f t="shared" si="485"/>
        <v/>
      </c>
      <c r="T1161" s="531" t="str">
        <f t="shared" si="492"/>
        <v/>
      </c>
      <c r="U1161" s="533">
        <f t="shared" si="493"/>
        <v>0</v>
      </c>
      <c r="V1161" s="531" t="str">
        <f t="shared" si="494"/>
        <v/>
      </c>
      <c r="W1161" s="531" t="str">
        <f t="shared" si="495"/>
        <v/>
      </c>
      <c r="X1161" s="534" t="str">
        <f t="shared" si="496"/>
        <v/>
      </c>
      <c r="Y1161" s="535" t="str">
        <f>IF($A1161="","",IF($I1161="weekly",$A1161+7,EDATE($A1161,VLOOKUP($I1161,Ref!$B$24:$C$29,2,0))))</f>
        <v/>
      </c>
      <c r="Z1161" s="536" t="str">
        <f t="shared" si="497"/>
        <v/>
      </c>
      <c r="AA1161" s="531">
        <f t="shared" si="498"/>
        <v>0</v>
      </c>
      <c r="AB1161" s="535" t="str">
        <f t="shared" si="486"/>
        <v/>
      </c>
      <c r="AC1161" s="537" t="str">
        <f t="shared" si="487"/>
        <v/>
      </c>
      <c r="AD1161" s="538" t="str">
        <f t="shared" ca="1" si="488"/>
        <v/>
      </c>
      <c r="AE1161" s="537">
        <f t="shared" ca="1" si="489"/>
        <v>0</v>
      </c>
      <c r="AF1161" s="539" t="str">
        <f t="shared" ca="1" si="499"/>
        <v/>
      </c>
      <c r="AG1161" s="531" t="str">
        <f t="shared" ca="1" si="500"/>
        <v/>
      </c>
      <c r="AH1161" s="531" t="str">
        <f t="shared" ca="1" si="501"/>
        <v/>
      </c>
      <c r="AI1161" s="531" t="str">
        <f t="shared" ca="1" si="502"/>
        <v/>
      </c>
      <c r="AJ1161" s="531" t="str">
        <f t="shared" si="503"/>
        <v/>
      </c>
      <c r="AK1161" s="540">
        <f>SUMIFS('Live Collections'!$S:$S,'Live Collections'!$D:$D,Disbursements!B1161,'Live Collections'!$G:$G,Disbursements!C1161)</f>
        <v>0</v>
      </c>
      <c r="AL1161" s="540">
        <f>SUMIFS('Live Collections'!$T:$T,'Live Collections'!$D:$D,Disbursements!B1161,'Live Collections'!$G:$G,Disbursements!C1161)</f>
        <v>0</v>
      </c>
      <c r="AM1161" s="541">
        <f t="shared" si="504"/>
        <v>0</v>
      </c>
      <c r="AN1161" s="542" t="str">
        <f t="shared" si="505"/>
        <v/>
      </c>
      <c r="AO1161" s="542" t="str">
        <f t="shared" si="506"/>
        <v/>
      </c>
      <c r="AP1161" s="543" t="str">
        <f t="shared" si="507"/>
        <v/>
      </c>
      <c r="AQ1161" s="544" t="str">
        <f t="shared" si="508"/>
        <v/>
      </c>
      <c r="AR1161" s="545">
        <f t="shared" si="509"/>
        <v>0</v>
      </c>
      <c r="AS1161" s="545">
        <f>IFERROR(CEILING($AR1161*VLOOKUP($I1161,Ref!$B$23:$E$29,4,0),1),0)</f>
        <v>0</v>
      </c>
      <c r="AT1161" s="545" t="str">
        <f>IF(A1161="","",IF(AP1161&lt;=1,"Cleared",IF(AS1161=0,"Clean",VLOOKUP($AS1161,Ref!$G$23:$H$28,2))))</f>
        <v/>
      </c>
      <c r="AU1161" s="546" t="str">
        <f t="shared" si="510"/>
        <v/>
      </c>
    </row>
    <row r="1162" spans="1:47" ht="14.25" hidden="1" customHeight="1" x14ac:dyDescent="0.15">
      <c r="A1162" s="523"/>
      <c r="B1162" s="523"/>
      <c r="C1162" s="523"/>
      <c r="D1162" s="523"/>
      <c r="E1162" s="579"/>
      <c r="F1162" s="580"/>
      <c r="G1162" s="524"/>
      <c r="H1162" s="555"/>
      <c r="I1162" s="560"/>
      <c r="J1162" s="523"/>
      <c r="K1162" s="528" t="str">
        <f>IFERROR(VLOOKUP($B1162,'Clients-Live'!$A:$C,3,0),"")</f>
        <v/>
      </c>
      <c r="L1162" s="528">
        <f>IF(E1162="STL",Pricing!$D$38,IF(A1162="",0,IF(A1162&lt;Pricing!$C$25,Pricing!$D$25,VLOOKUP(Disbursements!$F1162,Pricing!$B$29:$D$32,3))))</f>
        <v>0</v>
      </c>
      <c r="M1162" s="528">
        <f>IF(E1162="STL",0,IF(F1162&gt;0,Pricing!$D$21,0))</f>
        <v>0</v>
      </c>
      <c r="N1162" s="529">
        <f>IF(E1162="STL",F1162*Pricing!$D$40,IF(A1162&lt;=Pricing!$C$4,0,IF(AND(A1162&gt;Pricing!$C$4,Disbursements!A1162&lt;=Pricing!$C$5),F1162*Pricing!$E$5,IF(AND(A1162&gt;Pricing!$C$5,Disbursements!A1162&lt;=Pricing!$C$7),VLOOKUP(F1162,Pricing!$D$7:$E$8,2)*Disbursements!F1162,F1162*Pricing!$E$9))))</f>
        <v>0</v>
      </c>
      <c r="O1162" s="528">
        <f>IF(E1162="STL",0,IF($F1162&gt;0,$F1162*Pricing!$D$17,0))</f>
        <v>0</v>
      </c>
      <c r="P1162" s="530" t="str">
        <f t="shared" si="490"/>
        <v/>
      </c>
      <c r="Q1162" s="531" t="str">
        <f>IF($A1162="","",$G1162/VLOOKUP($I1162,Ref!$B$23:$D$29,2,0))</f>
        <v/>
      </c>
      <c r="R1162" s="530" t="str">
        <f t="shared" si="491"/>
        <v/>
      </c>
      <c r="S1162" s="532" t="str">
        <f t="shared" si="485"/>
        <v/>
      </c>
      <c r="T1162" s="531" t="str">
        <f t="shared" si="492"/>
        <v/>
      </c>
      <c r="U1162" s="533">
        <f t="shared" si="493"/>
        <v>0</v>
      </c>
      <c r="V1162" s="531" t="str">
        <f t="shared" si="494"/>
        <v/>
      </c>
      <c r="W1162" s="531" t="str">
        <f t="shared" si="495"/>
        <v/>
      </c>
      <c r="X1162" s="534" t="str">
        <f t="shared" si="496"/>
        <v/>
      </c>
      <c r="Y1162" s="535" t="str">
        <f>IF($A1162="","",IF($I1162="weekly",$A1162+7,EDATE($A1162,VLOOKUP($I1162,Ref!$B$24:$C$29,2,0))))</f>
        <v/>
      </c>
      <c r="Z1162" s="536" t="str">
        <f t="shared" si="497"/>
        <v/>
      </c>
      <c r="AA1162" s="531">
        <f t="shared" si="498"/>
        <v>0</v>
      </c>
      <c r="AB1162" s="535" t="str">
        <f t="shared" si="486"/>
        <v/>
      </c>
      <c r="AC1162" s="537" t="str">
        <f t="shared" si="487"/>
        <v/>
      </c>
      <c r="AD1162" s="538" t="str">
        <f t="shared" ca="1" si="488"/>
        <v/>
      </c>
      <c r="AE1162" s="537">
        <f t="shared" ca="1" si="489"/>
        <v>0</v>
      </c>
      <c r="AF1162" s="539" t="str">
        <f t="shared" ca="1" si="499"/>
        <v/>
      </c>
      <c r="AG1162" s="531" t="str">
        <f t="shared" ca="1" si="500"/>
        <v/>
      </c>
      <c r="AH1162" s="531" t="str">
        <f t="shared" ca="1" si="501"/>
        <v/>
      </c>
      <c r="AI1162" s="531" t="str">
        <f t="shared" ca="1" si="502"/>
        <v/>
      </c>
      <c r="AJ1162" s="531" t="str">
        <f t="shared" si="503"/>
        <v/>
      </c>
      <c r="AK1162" s="540">
        <f>SUMIFS('Live Collections'!$S:$S,'Live Collections'!$D:$D,Disbursements!B1162,'Live Collections'!$G:$G,Disbursements!C1162)</f>
        <v>0</v>
      </c>
      <c r="AL1162" s="540">
        <f>SUMIFS('Live Collections'!$T:$T,'Live Collections'!$D:$D,Disbursements!B1162,'Live Collections'!$G:$G,Disbursements!C1162)</f>
        <v>0</v>
      </c>
      <c r="AM1162" s="541">
        <f t="shared" si="504"/>
        <v>0</v>
      </c>
      <c r="AN1162" s="542" t="str">
        <f t="shared" si="505"/>
        <v/>
      </c>
      <c r="AO1162" s="542" t="str">
        <f t="shared" si="506"/>
        <v/>
      </c>
      <c r="AP1162" s="543" t="str">
        <f t="shared" si="507"/>
        <v/>
      </c>
      <c r="AQ1162" s="544" t="str">
        <f t="shared" si="508"/>
        <v/>
      </c>
      <c r="AR1162" s="545">
        <f t="shared" si="509"/>
        <v>0</v>
      </c>
      <c r="AS1162" s="545">
        <f>IFERROR(CEILING($AR1162*VLOOKUP($I1162,Ref!$B$23:$E$29,4,0),1),0)</f>
        <v>0</v>
      </c>
      <c r="AT1162" s="545" t="str">
        <f>IF(A1162="","",IF(AP1162&lt;=1,"Cleared",IF(AS1162=0,"Clean",VLOOKUP($AS1162,Ref!$G$23:$H$28,2))))</f>
        <v/>
      </c>
      <c r="AU1162" s="546" t="str">
        <f t="shared" si="510"/>
        <v/>
      </c>
    </row>
    <row r="1163" spans="1:47" ht="14.25" hidden="1" customHeight="1" x14ac:dyDescent="0.15">
      <c r="A1163" s="523"/>
      <c r="B1163" s="523"/>
      <c r="C1163" s="523"/>
      <c r="D1163" s="523"/>
      <c r="E1163" s="579"/>
      <c r="F1163" s="580"/>
      <c r="G1163" s="524"/>
      <c r="H1163" s="555"/>
      <c r="I1163" s="560"/>
      <c r="J1163" s="523"/>
      <c r="K1163" s="528" t="str">
        <f>IFERROR(VLOOKUP($B1163,'Clients-Live'!$A:$C,3,0),"")</f>
        <v/>
      </c>
      <c r="L1163" s="528">
        <f>IF(E1163="STL",Pricing!$D$38,IF(A1163="",0,IF(A1163&lt;Pricing!$C$25,Pricing!$D$25,VLOOKUP(Disbursements!$F1163,Pricing!$B$29:$D$32,3))))</f>
        <v>0</v>
      </c>
      <c r="M1163" s="528">
        <f>IF(E1163="STL",0,IF(F1163&gt;0,Pricing!$D$21,0))</f>
        <v>0</v>
      </c>
      <c r="N1163" s="529">
        <f>IF(E1163="STL",F1163*Pricing!$D$40,IF(A1163&lt;=Pricing!$C$4,0,IF(AND(A1163&gt;Pricing!$C$4,Disbursements!A1163&lt;=Pricing!$C$5),F1163*Pricing!$E$5,IF(AND(A1163&gt;Pricing!$C$5,Disbursements!A1163&lt;=Pricing!$C$7),VLOOKUP(F1163,Pricing!$D$7:$E$8,2)*Disbursements!F1163,F1163*Pricing!$E$9))))</f>
        <v>0</v>
      </c>
      <c r="O1163" s="528">
        <f>IF(E1163="STL",0,IF($F1163&gt;0,$F1163*Pricing!$D$17,0))</f>
        <v>0</v>
      </c>
      <c r="P1163" s="530" t="str">
        <f t="shared" si="490"/>
        <v/>
      </c>
      <c r="Q1163" s="531" t="str">
        <f>IF($A1163="","",$G1163/VLOOKUP($I1163,Ref!$B$23:$D$29,2,0))</f>
        <v/>
      </c>
      <c r="R1163" s="530" t="str">
        <f t="shared" si="491"/>
        <v/>
      </c>
      <c r="S1163" s="532" t="str">
        <f t="shared" si="485"/>
        <v/>
      </c>
      <c r="T1163" s="531" t="str">
        <f t="shared" si="492"/>
        <v/>
      </c>
      <c r="U1163" s="533">
        <f t="shared" si="493"/>
        <v>0</v>
      </c>
      <c r="V1163" s="531" t="str">
        <f t="shared" si="494"/>
        <v/>
      </c>
      <c r="W1163" s="531" t="str">
        <f t="shared" si="495"/>
        <v/>
      </c>
      <c r="X1163" s="534" t="str">
        <f t="shared" si="496"/>
        <v/>
      </c>
      <c r="Y1163" s="535" t="str">
        <f>IF($A1163="","",IF($I1163="weekly",$A1163+7,EDATE($A1163,VLOOKUP($I1163,Ref!$B$24:$C$29,2,0))))</f>
        <v/>
      </c>
      <c r="Z1163" s="536" t="str">
        <f t="shared" si="497"/>
        <v/>
      </c>
      <c r="AA1163" s="531">
        <f t="shared" si="498"/>
        <v>0</v>
      </c>
      <c r="AB1163" s="535" t="str">
        <f t="shared" si="486"/>
        <v/>
      </c>
      <c r="AC1163" s="537" t="str">
        <f t="shared" si="487"/>
        <v/>
      </c>
      <c r="AD1163" s="538" t="str">
        <f t="shared" ca="1" si="488"/>
        <v/>
      </c>
      <c r="AE1163" s="537">
        <f t="shared" ca="1" si="489"/>
        <v>0</v>
      </c>
      <c r="AF1163" s="539" t="str">
        <f t="shared" ca="1" si="499"/>
        <v/>
      </c>
      <c r="AG1163" s="531" t="str">
        <f t="shared" ca="1" si="500"/>
        <v/>
      </c>
      <c r="AH1163" s="531" t="str">
        <f t="shared" ca="1" si="501"/>
        <v/>
      </c>
      <c r="AI1163" s="531" t="str">
        <f t="shared" ca="1" si="502"/>
        <v/>
      </c>
      <c r="AJ1163" s="531" t="str">
        <f t="shared" si="503"/>
        <v/>
      </c>
      <c r="AK1163" s="540">
        <f>SUMIFS('Live Collections'!$S:$S,'Live Collections'!$D:$D,Disbursements!B1163,'Live Collections'!$G:$G,Disbursements!C1163)</f>
        <v>0</v>
      </c>
      <c r="AL1163" s="540">
        <f>SUMIFS('Live Collections'!$T:$T,'Live Collections'!$D:$D,Disbursements!B1163,'Live Collections'!$G:$G,Disbursements!C1163)</f>
        <v>0</v>
      </c>
      <c r="AM1163" s="541">
        <f t="shared" si="504"/>
        <v>0</v>
      </c>
      <c r="AN1163" s="542" t="str">
        <f t="shared" si="505"/>
        <v/>
      </c>
      <c r="AO1163" s="542" t="str">
        <f t="shared" si="506"/>
        <v/>
      </c>
      <c r="AP1163" s="543" t="str">
        <f t="shared" si="507"/>
        <v/>
      </c>
      <c r="AQ1163" s="544" t="str">
        <f t="shared" si="508"/>
        <v/>
      </c>
      <c r="AR1163" s="545">
        <f t="shared" si="509"/>
        <v>0</v>
      </c>
      <c r="AS1163" s="545">
        <f>IFERROR(CEILING($AR1163*VLOOKUP($I1163,Ref!$B$23:$E$29,4,0),1),0)</f>
        <v>0</v>
      </c>
      <c r="AT1163" s="545" t="str">
        <f>IF(A1163="","",IF(AP1163&lt;=1,"Cleared",IF(AS1163=0,"Clean",VLOOKUP($AS1163,Ref!$G$23:$H$28,2))))</f>
        <v/>
      </c>
      <c r="AU1163" s="546" t="str">
        <f t="shared" si="510"/>
        <v/>
      </c>
    </row>
    <row r="1164" spans="1:47" ht="14.25" hidden="1" customHeight="1" x14ac:dyDescent="0.15">
      <c r="A1164" s="523"/>
      <c r="B1164" s="523"/>
      <c r="C1164" s="523"/>
      <c r="D1164" s="523"/>
      <c r="E1164" s="579"/>
      <c r="F1164" s="580"/>
      <c r="G1164" s="524"/>
      <c r="H1164" s="555"/>
      <c r="I1164" s="560"/>
      <c r="J1164" s="523"/>
      <c r="K1164" s="528" t="str">
        <f>IFERROR(VLOOKUP($B1164,'Clients-Live'!$A:$C,3,0),"")</f>
        <v/>
      </c>
      <c r="L1164" s="528">
        <f>IF(E1164="STL",Pricing!$D$38,IF(A1164="",0,IF(A1164&lt;Pricing!$C$25,Pricing!$D$25,VLOOKUP(Disbursements!$F1164,Pricing!$B$29:$D$32,3))))</f>
        <v>0</v>
      </c>
      <c r="M1164" s="528">
        <f>IF(E1164="STL",0,IF(F1164&gt;0,Pricing!$D$21,0))</f>
        <v>0</v>
      </c>
      <c r="N1164" s="529">
        <f>IF(E1164="STL",F1164*Pricing!$D$40,IF(A1164&lt;=Pricing!$C$4,0,IF(AND(A1164&gt;Pricing!$C$4,Disbursements!A1164&lt;=Pricing!$C$5),F1164*Pricing!$E$5,IF(AND(A1164&gt;Pricing!$C$5,Disbursements!A1164&lt;=Pricing!$C$7),VLOOKUP(F1164,Pricing!$D$7:$E$8,2)*Disbursements!F1164,F1164*Pricing!$E$9))))</f>
        <v>0</v>
      </c>
      <c r="O1164" s="528">
        <f>IF(E1164="STL",0,IF($F1164&gt;0,$F1164*Pricing!$D$17,0))</f>
        <v>0</v>
      </c>
      <c r="P1164" s="530" t="str">
        <f t="shared" si="490"/>
        <v/>
      </c>
      <c r="Q1164" s="531" t="str">
        <f>IF($A1164="","",$G1164/VLOOKUP($I1164,Ref!$B$23:$D$29,2,0))</f>
        <v/>
      </c>
      <c r="R1164" s="530" t="str">
        <f t="shared" si="491"/>
        <v/>
      </c>
      <c r="S1164" s="532" t="str">
        <f t="shared" si="485"/>
        <v/>
      </c>
      <c r="T1164" s="531" t="str">
        <f t="shared" si="492"/>
        <v/>
      </c>
      <c r="U1164" s="533">
        <f t="shared" si="493"/>
        <v>0</v>
      </c>
      <c r="V1164" s="531" t="str">
        <f t="shared" si="494"/>
        <v/>
      </c>
      <c r="W1164" s="531" t="str">
        <f t="shared" si="495"/>
        <v/>
      </c>
      <c r="X1164" s="534" t="str">
        <f t="shared" si="496"/>
        <v/>
      </c>
      <c r="Y1164" s="535" t="str">
        <f>IF($A1164="","",IF($I1164="weekly",$A1164+7,EDATE($A1164,VLOOKUP($I1164,Ref!$B$24:$C$29,2,0))))</f>
        <v/>
      </c>
      <c r="Z1164" s="536" t="str">
        <f t="shared" si="497"/>
        <v/>
      </c>
      <c r="AA1164" s="531">
        <f t="shared" si="498"/>
        <v>0</v>
      </c>
      <c r="AB1164" s="535" t="str">
        <f t="shared" si="486"/>
        <v/>
      </c>
      <c r="AC1164" s="537" t="str">
        <f t="shared" si="487"/>
        <v/>
      </c>
      <c r="AD1164" s="538" t="str">
        <f t="shared" ca="1" si="488"/>
        <v/>
      </c>
      <c r="AE1164" s="537">
        <f t="shared" ca="1" si="489"/>
        <v>0</v>
      </c>
      <c r="AF1164" s="539" t="str">
        <f t="shared" ca="1" si="499"/>
        <v/>
      </c>
      <c r="AG1164" s="531" t="str">
        <f t="shared" ca="1" si="500"/>
        <v/>
      </c>
      <c r="AH1164" s="531" t="str">
        <f t="shared" ca="1" si="501"/>
        <v/>
      </c>
      <c r="AI1164" s="531" t="str">
        <f t="shared" ca="1" si="502"/>
        <v/>
      </c>
      <c r="AJ1164" s="531" t="str">
        <f t="shared" si="503"/>
        <v/>
      </c>
      <c r="AK1164" s="540">
        <f>SUMIFS('Live Collections'!$S:$S,'Live Collections'!$D:$D,Disbursements!B1164,'Live Collections'!$G:$G,Disbursements!C1164)</f>
        <v>0</v>
      </c>
      <c r="AL1164" s="540">
        <f>SUMIFS('Live Collections'!$T:$T,'Live Collections'!$D:$D,Disbursements!B1164,'Live Collections'!$G:$G,Disbursements!C1164)</f>
        <v>0</v>
      </c>
      <c r="AM1164" s="541">
        <f t="shared" si="504"/>
        <v>0</v>
      </c>
      <c r="AN1164" s="542" t="str">
        <f t="shared" si="505"/>
        <v/>
      </c>
      <c r="AO1164" s="542" t="str">
        <f t="shared" si="506"/>
        <v/>
      </c>
      <c r="AP1164" s="543" t="str">
        <f t="shared" si="507"/>
        <v/>
      </c>
      <c r="AQ1164" s="544" t="str">
        <f t="shared" si="508"/>
        <v/>
      </c>
      <c r="AR1164" s="545">
        <f t="shared" si="509"/>
        <v>0</v>
      </c>
      <c r="AS1164" s="545">
        <f>IFERROR(CEILING($AR1164*VLOOKUP($I1164,Ref!$B$23:$E$29,4,0),1),0)</f>
        <v>0</v>
      </c>
      <c r="AT1164" s="545" t="str">
        <f>IF(A1164="","",IF(AP1164&lt;=1,"Cleared",IF(AS1164=0,"Clean",VLOOKUP($AS1164,Ref!$G$23:$H$28,2))))</f>
        <v/>
      </c>
      <c r="AU1164" s="546" t="str">
        <f t="shared" si="510"/>
        <v/>
      </c>
    </row>
    <row r="1165" spans="1:47" ht="14.25" hidden="1" customHeight="1" x14ac:dyDescent="0.15">
      <c r="A1165" s="523"/>
      <c r="B1165" s="523"/>
      <c r="C1165" s="523"/>
      <c r="D1165" s="523"/>
      <c r="E1165" s="579"/>
      <c r="F1165" s="580"/>
      <c r="G1165" s="524"/>
      <c r="H1165" s="555"/>
      <c r="I1165" s="560"/>
      <c r="J1165" s="523"/>
      <c r="K1165" s="528" t="str">
        <f>IFERROR(VLOOKUP($B1165,'Clients-Live'!$A:$C,3,0),"")</f>
        <v/>
      </c>
      <c r="L1165" s="528">
        <f>IF(E1165="STL",Pricing!$D$38,IF(A1165="",0,IF(A1165&lt;Pricing!$C$25,Pricing!$D$25,VLOOKUP(Disbursements!$F1165,Pricing!$B$29:$D$32,3))))</f>
        <v>0</v>
      </c>
      <c r="M1165" s="528">
        <f>IF(E1165="STL",0,IF(F1165&gt;0,Pricing!$D$21,0))</f>
        <v>0</v>
      </c>
      <c r="N1165" s="529">
        <f>IF(E1165="STL",F1165*Pricing!$D$40,IF(A1165&lt;=Pricing!$C$4,0,IF(AND(A1165&gt;Pricing!$C$4,Disbursements!A1165&lt;=Pricing!$C$5),F1165*Pricing!$E$5,IF(AND(A1165&gt;Pricing!$C$5,Disbursements!A1165&lt;=Pricing!$C$7),VLOOKUP(F1165,Pricing!$D$7:$E$8,2)*Disbursements!F1165,F1165*Pricing!$E$9))))</f>
        <v>0</v>
      </c>
      <c r="O1165" s="528">
        <f>IF(E1165="STL",0,IF($F1165&gt;0,$F1165*Pricing!$D$17,0))</f>
        <v>0</v>
      </c>
      <c r="P1165" s="530" t="str">
        <f t="shared" si="490"/>
        <v/>
      </c>
      <c r="Q1165" s="531" t="str">
        <f>IF($A1165="","",$G1165/VLOOKUP($I1165,Ref!$B$23:$D$29,2,0))</f>
        <v/>
      </c>
      <c r="R1165" s="530" t="str">
        <f t="shared" si="491"/>
        <v/>
      </c>
      <c r="S1165" s="532" t="str">
        <f t="shared" si="485"/>
        <v/>
      </c>
      <c r="T1165" s="531" t="str">
        <f t="shared" si="492"/>
        <v/>
      </c>
      <c r="U1165" s="533">
        <f t="shared" si="493"/>
        <v>0</v>
      </c>
      <c r="V1165" s="531" t="str">
        <f t="shared" si="494"/>
        <v/>
      </c>
      <c r="W1165" s="531" t="str">
        <f t="shared" si="495"/>
        <v/>
      </c>
      <c r="X1165" s="534" t="str">
        <f t="shared" si="496"/>
        <v/>
      </c>
      <c r="Y1165" s="535" t="str">
        <f>IF($A1165="","",IF($I1165="weekly",$A1165+7,EDATE($A1165,VLOOKUP($I1165,Ref!$B$24:$C$29,2,0))))</f>
        <v/>
      </c>
      <c r="Z1165" s="536" t="str">
        <f t="shared" si="497"/>
        <v/>
      </c>
      <c r="AA1165" s="531">
        <f t="shared" si="498"/>
        <v>0</v>
      </c>
      <c r="AB1165" s="535" t="str">
        <f t="shared" si="486"/>
        <v/>
      </c>
      <c r="AC1165" s="537" t="str">
        <f t="shared" si="487"/>
        <v/>
      </c>
      <c r="AD1165" s="538" t="str">
        <f t="shared" ca="1" si="488"/>
        <v/>
      </c>
      <c r="AE1165" s="537">
        <f t="shared" ca="1" si="489"/>
        <v>0</v>
      </c>
      <c r="AF1165" s="539" t="str">
        <f t="shared" ca="1" si="499"/>
        <v/>
      </c>
      <c r="AG1165" s="531" t="str">
        <f t="shared" ca="1" si="500"/>
        <v/>
      </c>
      <c r="AH1165" s="531" t="str">
        <f t="shared" ca="1" si="501"/>
        <v/>
      </c>
      <c r="AI1165" s="531" t="str">
        <f t="shared" ca="1" si="502"/>
        <v/>
      </c>
      <c r="AJ1165" s="531" t="str">
        <f t="shared" si="503"/>
        <v/>
      </c>
      <c r="AK1165" s="540">
        <f>SUMIFS('Live Collections'!$S:$S,'Live Collections'!$D:$D,Disbursements!B1165,'Live Collections'!$G:$G,Disbursements!C1165)</f>
        <v>0</v>
      </c>
      <c r="AL1165" s="540">
        <f>SUMIFS('Live Collections'!$T:$T,'Live Collections'!$D:$D,Disbursements!B1165,'Live Collections'!$G:$G,Disbursements!C1165)</f>
        <v>0</v>
      </c>
      <c r="AM1165" s="541">
        <f t="shared" si="504"/>
        <v>0</v>
      </c>
      <c r="AN1165" s="542" t="str">
        <f t="shared" si="505"/>
        <v/>
      </c>
      <c r="AO1165" s="542" t="str">
        <f t="shared" si="506"/>
        <v/>
      </c>
      <c r="AP1165" s="543" t="str">
        <f t="shared" si="507"/>
        <v/>
      </c>
      <c r="AQ1165" s="544" t="str">
        <f t="shared" si="508"/>
        <v/>
      </c>
      <c r="AR1165" s="545">
        <f t="shared" si="509"/>
        <v>0</v>
      </c>
      <c r="AS1165" s="545">
        <f>IFERROR(CEILING($AR1165*VLOOKUP($I1165,Ref!$B$23:$E$29,4,0),1),0)</f>
        <v>0</v>
      </c>
      <c r="AT1165" s="545" t="str">
        <f>IF(A1165="","",IF(AP1165&lt;=1,"Cleared",IF(AS1165=0,"Clean",VLOOKUP($AS1165,Ref!$G$23:$H$28,2))))</f>
        <v/>
      </c>
      <c r="AU1165" s="546" t="str">
        <f t="shared" si="510"/>
        <v/>
      </c>
    </row>
    <row r="1166" spans="1:47" ht="14.25" hidden="1" customHeight="1" x14ac:dyDescent="0.15">
      <c r="A1166" s="523"/>
      <c r="B1166" s="523"/>
      <c r="C1166" s="523"/>
      <c r="D1166" s="523"/>
      <c r="E1166" s="579"/>
      <c r="F1166" s="580"/>
      <c r="G1166" s="524"/>
      <c r="H1166" s="555"/>
      <c r="I1166" s="560"/>
      <c r="J1166" s="523"/>
      <c r="K1166" s="528" t="str">
        <f>IFERROR(VLOOKUP($B1166,'Clients-Live'!$A:$C,3,0),"")</f>
        <v/>
      </c>
      <c r="L1166" s="528">
        <f>IF(E1166="STL",Pricing!$D$38,IF(A1166="",0,IF(A1166&lt;Pricing!$C$25,Pricing!$D$25,VLOOKUP(Disbursements!$F1166,Pricing!$B$29:$D$32,3))))</f>
        <v>0</v>
      </c>
      <c r="M1166" s="528">
        <f>IF(E1166="STL",0,IF(F1166&gt;0,Pricing!$D$21,0))</f>
        <v>0</v>
      </c>
      <c r="N1166" s="529">
        <f>IF(E1166="STL",F1166*Pricing!$D$40,IF(A1166&lt;=Pricing!$C$4,0,IF(AND(A1166&gt;Pricing!$C$4,Disbursements!A1166&lt;=Pricing!$C$5),F1166*Pricing!$E$5,IF(AND(A1166&gt;Pricing!$C$5,Disbursements!A1166&lt;=Pricing!$C$7),VLOOKUP(F1166,Pricing!$D$7:$E$8,2)*Disbursements!F1166,F1166*Pricing!$E$9))))</f>
        <v>0</v>
      </c>
      <c r="O1166" s="528">
        <f>IF(E1166="STL",0,IF($F1166&gt;0,$F1166*Pricing!$D$17,0))</f>
        <v>0</v>
      </c>
      <c r="P1166" s="530" t="str">
        <f t="shared" si="490"/>
        <v/>
      </c>
      <c r="Q1166" s="531" t="str">
        <f>IF($A1166="","",$G1166/VLOOKUP($I1166,Ref!$B$23:$D$29,2,0))</f>
        <v/>
      </c>
      <c r="R1166" s="530" t="str">
        <f t="shared" si="491"/>
        <v/>
      </c>
      <c r="S1166" s="532" t="str">
        <f t="shared" si="485"/>
        <v/>
      </c>
      <c r="T1166" s="531" t="str">
        <f t="shared" si="492"/>
        <v/>
      </c>
      <c r="U1166" s="533">
        <f t="shared" si="493"/>
        <v>0</v>
      </c>
      <c r="V1166" s="531" t="str">
        <f t="shared" si="494"/>
        <v/>
      </c>
      <c r="W1166" s="531" t="str">
        <f t="shared" si="495"/>
        <v/>
      </c>
      <c r="X1166" s="534" t="str">
        <f t="shared" si="496"/>
        <v/>
      </c>
      <c r="Y1166" s="535" t="str">
        <f>IF($A1166="","",IF($I1166="weekly",$A1166+7,EDATE($A1166,VLOOKUP($I1166,Ref!$B$24:$C$29,2,0))))</f>
        <v/>
      </c>
      <c r="Z1166" s="536" t="str">
        <f t="shared" si="497"/>
        <v/>
      </c>
      <c r="AA1166" s="531">
        <f t="shared" si="498"/>
        <v>0</v>
      </c>
      <c r="AB1166" s="535" t="str">
        <f t="shared" si="486"/>
        <v/>
      </c>
      <c r="AC1166" s="537" t="str">
        <f t="shared" si="487"/>
        <v/>
      </c>
      <c r="AD1166" s="538" t="str">
        <f t="shared" ca="1" si="488"/>
        <v/>
      </c>
      <c r="AE1166" s="537">
        <f t="shared" ca="1" si="489"/>
        <v>0</v>
      </c>
      <c r="AF1166" s="539" t="str">
        <f t="shared" ca="1" si="499"/>
        <v/>
      </c>
      <c r="AG1166" s="531" t="str">
        <f t="shared" ca="1" si="500"/>
        <v/>
      </c>
      <c r="AH1166" s="531" t="str">
        <f t="shared" ca="1" si="501"/>
        <v/>
      </c>
      <c r="AI1166" s="531" t="str">
        <f t="shared" ca="1" si="502"/>
        <v/>
      </c>
      <c r="AJ1166" s="531" t="str">
        <f t="shared" si="503"/>
        <v/>
      </c>
      <c r="AK1166" s="540">
        <f>SUMIFS('Live Collections'!$S:$S,'Live Collections'!$D:$D,Disbursements!B1166,'Live Collections'!$G:$G,Disbursements!C1166)</f>
        <v>0</v>
      </c>
      <c r="AL1166" s="540">
        <f>SUMIFS('Live Collections'!$T:$T,'Live Collections'!$D:$D,Disbursements!B1166,'Live Collections'!$G:$G,Disbursements!C1166)</f>
        <v>0</v>
      </c>
      <c r="AM1166" s="541">
        <f t="shared" si="504"/>
        <v>0</v>
      </c>
      <c r="AN1166" s="542" t="str">
        <f t="shared" si="505"/>
        <v/>
      </c>
      <c r="AO1166" s="542" t="str">
        <f t="shared" si="506"/>
        <v/>
      </c>
      <c r="AP1166" s="543" t="str">
        <f t="shared" si="507"/>
        <v/>
      </c>
      <c r="AQ1166" s="544" t="str">
        <f t="shared" si="508"/>
        <v/>
      </c>
      <c r="AR1166" s="545">
        <f t="shared" si="509"/>
        <v>0</v>
      </c>
      <c r="AS1166" s="545">
        <f>IFERROR(CEILING($AR1166*VLOOKUP($I1166,Ref!$B$23:$E$29,4,0),1),0)</f>
        <v>0</v>
      </c>
      <c r="AT1166" s="545" t="str">
        <f>IF(A1166="","",IF(AP1166&lt;=1,"Cleared",IF(AS1166=0,"Clean",VLOOKUP($AS1166,Ref!$G$23:$H$28,2))))</f>
        <v/>
      </c>
      <c r="AU1166" s="546" t="str">
        <f t="shared" si="510"/>
        <v/>
      </c>
    </row>
    <row r="1167" spans="1:47" ht="14.25" hidden="1" customHeight="1" x14ac:dyDescent="0.15">
      <c r="A1167" s="523"/>
      <c r="B1167" s="523"/>
      <c r="C1167" s="523"/>
      <c r="D1167" s="523"/>
      <c r="E1167" s="579"/>
      <c r="F1167" s="580"/>
      <c r="G1167" s="524"/>
      <c r="H1167" s="555"/>
      <c r="I1167" s="560"/>
      <c r="J1167" s="523"/>
      <c r="K1167" s="528" t="str">
        <f>IFERROR(VLOOKUP($B1167,'Clients-Live'!$A:$C,3,0),"")</f>
        <v/>
      </c>
      <c r="L1167" s="528">
        <f>IF(E1167="STL",Pricing!$D$38,IF(A1167="",0,IF(A1167&lt;Pricing!$C$25,Pricing!$D$25,VLOOKUP(Disbursements!$F1167,Pricing!$B$29:$D$32,3))))</f>
        <v>0</v>
      </c>
      <c r="M1167" s="528">
        <f>IF(E1167="STL",0,IF(F1167&gt;0,Pricing!$D$21,0))</f>
        <v>0</v>
      </c>
      <c r="N1167" s="529">
        <f>IF(E1167="STL",F1167*Pricing!$D$40,IF(A1167&lt;=Pricing!$C$4,0,IF(AND(A1167&gt;Pricing!$C$4,Disbursements!A1167&lt;=Pricing!$C$5),F1167*Pricing!$E$5,IF(AND(A1167&gt;Pricing!$C$5,Disbursements!A1167&lt;=Pricing!$C$7),VLOOKUP(F1167,Pricing!$D$7:$E$8,2)*Disbursements!F1167,F1167*Pricing!$E$9))))</f>
        <v>0</v>
      </c>
      <c r="O1167" s="528">
        <f>IF(E1167="STL",0,IF($F1167&gt;0,$F1167*Pricing!$D$17,0))</f>
        <v>0</v>
      </c>
      <c r="P1167" s="530" t="str">
        <f t="shared" si="490"/>
        <v/>
      </c>
      <c r="Q1167" s="531" t="str">
        <f>IF($A1167="","",$G1167/VLOOKUP($I1167,Ref!$B$23:$D$29,2,0))</f>
        <v/>
      </c>
      <c r="R1167" s="530" t="str">
        <f t="shared" si="491"/>
        <v/>
      </c>
      <c r="S1167" s="532" t="str">
        <f t="shared" si="485"/>
        <v/>
      </c>
      <c r="T1167" s="531" t="str">
        <f t="shared" si="492"/>
        <v/>
      </c>
      <c r="U1167" s="533">
        <f t="shared" si="493"/>
        <v>0</v>
      </c>
      <c r="V1167" s="531" t="str">
        <f t="shared" si="494"/>
        <v/>
      </c>
      <c r="W1167" s="531" t="str">
        <f t="shared" si="495"/>
        <v/>
      </c>
      <c r="X1167" s="534" t="str">
        <f t="shared" si="496"/>
        <v/>
      </c>
      <c r="Y1167" s="535" t="str">
        <f>IF($A1167="","",IF($I1167="weekly",$A1167+7,EDATE($A1167,VLOOKUP($I1167,Ref!$B$24:$C$29,2,0))))</f>
        <v/>
      </c>
      <c r="Z1167" s="536" t="str">
        <f t="shared" si="497"/>
        <v/>
      </c>
      <c r="AA1167" s="531">
        <f t="shared" si="498"/>
        <v>0</v>
      </c>
      <c r="AB1167" s="535" t="str">
        <f t="shared" si="486"/>
        <v/>
      </c>
      <c r="AC1167" s="537" t="str">
        <f t="shared" si="487"/>
        <v/>
      </c>
      <c r="AD1167" s="538" t="str">
        <f t="shared" ca="1" si="488"/>
        <v/>
      </c>
      <c r="AE1167" s="537">
        <f t="shared" ca="1" si="489"/>
        <v>0</v>
      </c>
      <c r="AF1167" s="539" t="str">
        <f t="shared" ca="1" si="499"/>
        <v/>
      </c>
      <c r="AG1167" s="531" t="str">
        <f t="shared" ca="1" si="500"/>
        <v/>
      </c>
      <c r="AH1167" s="531" t="str">
        <f t="shared" ca="1" si="501"/>
        <v/>
      </c>
      <c r="AI1167" s="531" t="str">
        <f t="shared" ca="1" si="502"/>
        <v/>
      </c>
      <c r="AJ1167" s="531" t="str">
        <f t="shared" si="503"/>
        <v/>
      </c>
      <c r="AK1167" s="540">
        <f>SUMIFS('Live Collections'!$S:$S,'Live Collections'!$D:$D,Disbursements!B1167,'Live Collections'!$G:$G,Disbursements!C1167)</f>
        <v>0</v>
      </c>
      <c r="AL1167" s="540">
        <f>SUMIFS('Live Collections'!$T:$T,'Live Collections'!$D:$D,Disbursements!B1167,'Live Collections'!$G:$G,Disbursements!C1167)</f>
        <v>0</v>
      </c>
      <c r="AM1167" s="541">
        <f t="shared" si="504"/>
        <v>0</v>
      </c>
      <c r="AN1167" s="542" t="str">
        <f t="shared" si="505"/>
        <v/>
      </c>
      <c r="AO1167" s="542" t="str">
        <f t="shared" si="506"/>
        <v/>
      </c>
      <c r="AP1167" s="543" t="str">
        <f t="shared" si="507"/>
        <v/>
      </c>
      <c r="AQ1167" s="544" t="str">
        <f t="shared" si="508"/>
        <v/>
      </c>
      <c r="AR1167" s="545">
        <f t="shared" si="509"/>
        <v>0</v>
      </c>
      <c r="AS1167" s="545">
        <f>IFERROR(CEILING($AR1167*VLOOKUP($I1167,Ref!$B$23:$E$29,4,0),1),0)</f>
        <v>0</v>
      </c>
      <c r="AT1167" s="545" t="str">
        <f>IF(A1167="","",IF(AP1167&lt;=1,"Cleared",IF(AS1167=0,"Clean",VLOOKUP($AS1167,Ref!$G$23:$H$28,2))))</f>
        <v/>
      </c>
      <c r="AU1167" s="546" t="str">
        <f t="shared" si="510"/>
        <v/>
      </c>
    </row>
    <row r="1168" spans="1:47" ht="14.25" hidden="1" customHeight="1" x14ac:dyDescent="0.15">
      <c r="A1168" s="523"/>
      <c r="B1168" s="523"/>
      <c r="C1168" s="523"/>
      <c r="D1168" s="523"/>
      <c r="E1168" s="579"/>
      <c r="F1168" s="580"/>
      <c r="G1168" s="524"/>
      <c r="H1168" s="555"/>
      <c r="I1168" s="560"/>
      <c r="J1168" s="523"/>
      <c r="K1168" s="528" t="str">
        <f>IFERROR(VLOOKUP($B1168,'Clients-Live'!$A:$C,3,0),"")</f>
        <v/>
      </c>
      <c r="L1168" s="528">
        <f>IF(E1168="STL",Pricing!$D$38,IF(A1168="",0,IF(A1168&lt;Pricing!$C$25,Pricing!$D$25,VLOOKUP(Disbursements!$F1168,Pricing!$B$29:$D$32,3))))</f>
        <v>0</v>
      </c>
      <c r="M1168" s="528">
        <f>IF(E1168="STL",0,IF(F1168&gt;0,Pricing!$D$21,0))</f>
        <v>0</v>
      </c>
      <c r="N1168" s="529">
        <f>IF(E1168="STL",F1168*Pricing!$D$40,IF(A1168&lt;=Pricing!$C$4,0,IF(AND(A1168&gt;Pricing!$C$4,Disbursements!A1168&lt;=Pricing!$C$5),F1168*Pricing!$E$5,IF(AND(A1168&gt;Pricing!$C$5,Disbursements!A1168&lt;=Pricing!$C$7),VLOOKUP(F1168,Pricing!$D$7:$E$8,2)*Disbursements!F1168,F1168*Pricing!$E$9))))</f>
        <v>0</v>
      </c>
      <c r="O1168" s="528">
        <f>IF(E1168="STL",0,IF($F1168&gt;0,$F1168*Pricing!$D$17,0))</f>
        <v>0</v>
      </c>
      <c r="P1168" s="530" t="str">
        <f t="shared" si="490"/>
        <v/>
      </c>
      <c r="Q1168" s="531" t="str">
        <f>IF($A1168="","",$G1168/VLOOKUP($I1168,Ref!$B$23:$D$29,2,0))</f>
        <v/>
      </c>
      <c r="R1168" s="530" t="str">
        <f t="shared" si="491"/>
        <v/>
      </c>
      <c r="S1168" s="532" t="str">
        <f t="shared" si="485"/>
        <v/>
      </c>
      <c r="T1168" s="531" t="str">
        <f t="shared" si="492"/>
        <v/>
      </c>
      <c r="U1168" s="533">
        <f t="shared" si="493"/>
        <v>0</v>
      </c>
      <c r="V1168" s="531" t="str">
        <f t="shared" si="494"/>
        <v/>
      </c>
      <c r="W1168" s="531" t="str">
        <f t="shared" si="495"/>
        <v/>
      </c>
      <c r="X1168" s="534" t="str">
        <f t="shared" si="496"/>
        <v/>
      </c>
      <c r="Y1168" s="535" t="str">
        <f>IF($A1168="","",IF($I1168="weekly",$A1168+7,EDATE($A1168,VLOOKUP($I1168,Ref!$B$24:$C$29,2,0))))</f>
        <v/>
      </c>
      <c r="Z1168" s="536" t="str">
        <f t="shared" si="497"/>
        <v/>
      </c>
      <c r="AA1168" s="531">
        <f t="shared" si="498"/>
        <v>0</v>
      </c>
      <c r="AB1168" s="535" t="str">
        <f t="shared" si="486"/>
        <v/>
      </c>
      <c r="AC1168" s="537" t="str">
        <f t="shared" si="487"/>
        <v/>
      </c>
      <c r="AD1168" s="538" t="str">
        <f t="shared" ca="1" si="488"/>
        <v/>
      </c>
      <c r="AE1168" s="537">
        <f t="shared" ca="1" si="489"/>
        <v>0</v>
      </c>
      <c r="AF1168" s="539" t="str">
        <f t="shared" ca="1" si="499"/>
        <v/>
      </c>
      <c r="AG1168" s="531" t="str">
        <f t="shared" ca="1" si="500"/>
        <v/>
      </c>
      <c r="AH1168" s="531" t="str">
        <f t="shared" ca="1" si="501"/>
        <v/>
      </c>
      <c r="AI1168" s="531" t="str">
        <f t="shared" ca="1" si="502"/>
        <v/>
      </c>
      <c r="AJ1168" s="531" t="str">
        <f t="shared" si="503"/>
        <v/>
      </c>
      <c r="AK1168" s="540">
        <f>SUMIFS('Live Collections'!$S:$S,'Live Collections'!$D:$D,Disbursements!B1168,'Live Collections'!$G:$G,Disbursements!C1168)</f>
        <v>0</v>
      </c>
      <c r="AL1168" s="540">
        <f>SUMIFS('Live Collections'!$T:$T,'Live Collections'!$D:$D,Disbursements!B1168,'Live Collections'!$G:$G,Disbursements!C1168)</f>
        <v>0</v>
      </c>
      <c r="AM1168" s="541">
        <f t="shared" si="504"/>
        <v>0</v>
      </c>
      <c r="AN1168" s="542" t="str">
        <f t="shared" si="505"/>
        <v/>
      </c>
      <c r="AO1168" s="542" t="str">
        <f t="shared" si="506"/>
        <v/>
      </c>
      <c r="AP1168" s="543" t="str">
        <f t="shared" si="507"/>
        <v/>
      </c>
      <c r="AQ1168" s="544" t="str">
        <f t="shared" si="508"/>
        <v/>
      </c>
      <c r="AR1168" s="545">
        <f t="shared" si="509"/>
        <v>0</v>
      </c>
      <c r="AS1168" s="545">
        <f>IFERROR(CEILING($AR1168*VLOOKUP($I1168,Ref!$B$23:$E$29,4,0),1),0)</f>
        <v>0</v>
      </c>
      <c r="AT1168" s="545" t="str">
        <f>IF(A1168="","",IF(AP1168&lt;=1,"Cleared",IF(AS1168=0,"Clean",VLOOKUP($AS1168,Ref!$G$23:$H$28,2))))</f>
        <v/>
      </c>
      <c r="AU1168" s="546" t="str">
        <f t="shared" si="510"/>
        <v/>
      </c>
    </row>
    <row r="1169" spans="1:47" ht="14.25" hidden="1" customHeight="1" x14ac:dyDescent="0.15">
      <c r="A1169" s="523"/>
      <c r="B1169" s="523"/>
      <c r="C1169" s="523"/>
      <c r="D1169" s="523"/>
      <c r="E1169" s="579"/>
      <c r="F1169" s="580"/>
      <c r="G1169" s="524"/>
      <c r="H1169" s="555"/>
      <c r="I1169" s="560"/>
      <c r="J1169" s="523"/>
      <c r="K1169" s="528" t="str">
        <f>IFERROR(VLOOKUP($B1169,'Clients-Live'!$A:$C,3,0),"")</f>
        <v/>
      </c>
      <c r="L1169" s="528">
        <f>IF(E1169="STL",Pricing!$D$38,IF(A1169="",0,IF(A1169&lt;Pricing!$C$25,Pricing!$D$25,VLOOKUP(Disbursements!$F1169,Pricing!$B$29:$D$32,3))))</f>
        <v>0</v>
      </c>
      <c r="M1169" s="528">
        <f>IF(E1169="STL",0,IF(F1169&gt;0,Pricing!$D$21,0))</f>
        <v>0</v>
      </c>
      <c r="N1169" s="529">
        <f>IF(E1169="STL",F1169*Pricing!$D$40,IF(A1169&lt;=Pricing!$C$4,0,IF(AND(A1169&gt;Pricing!$C$4,Disbursements!A1169&lt;=Pricing!$C$5),F1169*Pricing!$E$5,IF(AND(A1169&gt;Pricing!$C$5,Disbursements!A1169&lt;=Pricing!$C$7),VLOOKUP(F1169,Pricing!$D$7:$E$8,2)*Disbursements!F1169,F1169*Pricing!$E$9))))</f>
        <v>0</v>
      </c>
      <c r="O1169" s="528">
        <f>IF(E1169="STL",0,IF($F1169&gt;0,$F1169*Pricing!$D$17,0))</f>
        <v>0</v>
      </c>
      <c r="P1169" s="530" t="str">
        <f t="shared" si="490"/>
        <v/>
      </c>
      <c r="Q1169" s="531" t="str">
        <f>IF($A1169="","",$G1169/VLOOKUP($I1169,Ref!$B$23:$D$29,2,0))</f>
        <v/>
      </c>
      <c r="R1169" s="530" t="str">
        <f t="shared" si="491"/>
        <v/>
      </c>
      <c r="S1169" s="532" t="str">
        <f t="shared" si="485"/>
        <v/>
      </c>
      <c r="T1169" s="531" t="str">
        <f t="shared" si="492"/>
        <v/>
      </c>
      <c r="U1169" s="533">
        <f t="shared" si="493"/>
        <v>0</v>
      </c>
      <c r="V1169" s="531" t="str">
        <f t="shared" si="494"/>
        <v/>
      </c>
      <c r="W1169" s="531" t="str">
        <f t="shared" si="495"/>
        <v/>
      </c>
      <c r="X1169" s="534" t="str">
        <f t="shared" si="496"/>
        <v/>
      </c>
      <c r="Y1169" s="535" t="str">
        <f>IF($A1169="","",IF($I1169="weekly",$A1169+7,EDATE($A1169,VLOOKUP($I1169,Ref!$B$24:$C$29,2,0))))</f>
        <v/>
      </c>
      <c r="Z1169" s="536" t="str">
        <f t="shared" si="497"/>
        <v/>
      </c>
      <c r="AA1169" s="531">
        <f t="shared" si="498"/>
        <v>0</v>
      </c>
      <c r="AB1169" s="535" t="str">
        <f t="shared" si="486"/>
        <v/>
      </c>
      <c r="AC1169" s="537" t="str">
        <f t="shared" si="487"/>
        <v/>
      </c>
      <c r="AD1169" s="538" t="str">
        <f t="shared" ca="1" si="488"/>
        <v/>
      </c>
      <c r="AE1169" s="537">
        <f t="shared" ca="1" si="489"/>
        <v>0</v>
      </c>
      <c r="AF1169" s="539" t="str">
        <f t="shared" ca="1" si="499"/>
        <v/>
      </c>
      <c r="AG1169" s="531" t="str">
        <f t="shared" ca="1" si="500"/>
        <v/>
      </c>
      <c r="AH1169" s="531" t="str">
        <f t="shared" ca="1" si="501"/>
        <v/>
      </c>
      <c r="AI1169" s="531" t="str">
        <f t="shared" ca="1" si="502"/>
        <v/>
      </c>
      <c r="AJ1169" s="531" t="str">
        <f t="shared" si="503"/>
        <v/>
      </c>
      <c r="AK1169" s="540">
        <f>SUMIFS('Live Collections'!$S:$S,'Live Collections'!$D:$D,Disbursements!B1169,'Live Collections'!$G:$G,Disbursements!C1169)</f>
        <v>0</v>
      </c>
      <c r="AL1169" s="540">
        <f>SUMIFS('Live Collections'!$T:$T,'Live Collections'!$D:$D,Disbursements!B1169,'Live Collections'!$G:$G,Disbursements!C1169)</f>
        <v>0</v>
      </c>
      <c r="AM1169" s="541">
        <f t="shared" si="504"/>
        <v>0</v>
      </c>
      <c r="AN1169" s="542" t="str">
        <f t="shared" si="505"/>
        <v/>
      </c>
      <c r="AO1169" s="542" t="str">
        <f t="shared" si="506"/>
        <v/>
      </c>
      <c r="AP1169" s="543" t="str">
        <f t="shared" si="507"/>
        <v/>
      </c>
      <c r="AQ1169" s="544" t="str">
        <f t="shared" si="508"/>
        <v/>
      </c>
      <c r="AR1169" s="545">
        <f t="shared" si="509"/>
        <v>0</v>
      </c>
      <c r="AS1169" s="545">
        <f>IFERROR(CEILING($AR1169*VLOOKUP($I1169,Ref!$B$23:$E$29,4,0),1),0)</f>
        <v>0</v>
      </c>
      <c r="AT1169" s="545" t="str">
        <f>IF(A1169="","",IF(AP1169&lt;=1,"Cleared",IF(AS1169=0,"Clean",VLOOKUP($AS1169,Ref!$G$23:$H$28,2))))</f>
        <v/>
      </c>
      <c r="AU1169" s="546" t="str">
        <f t="shared" si="510"/>
        <v/>
      </c>
    </row>
    <row r="1170" spans="1:47" ht="14.25" hidden="1" customHeight="1" x14ac:dyDescent="0.15">
      <c r="A1170" s="523"/>
      <c r="B1170" s="523"/>
      <c r="C1170" s="523"/>
      <c r="D1170" s="523"/>
      <c r="E1170" s="579"/>
      <c r="F1170" s="580"/>
      <c r="G1170" s="524"/>
      <c r="H1170" s="555"/>
      <c r="I1170" s="560"/>
      <c r="J1170" s="523"/>
      <c r="K1170" s="528" t="str">
        <f>IFERROR(VLOOKUP($B1170,'Clients-Live'!$A:$C,3,0),"")</f>
        <v/>
      </c>
      <c r="L1170" s="528">
        <f>IF(E1170="STL",Pricing!$D$38,IF(A1170="",0,IF(A1170&lt;Pricing!$C$25,Pricing!$D$25,VLOOKUP(Disbursements!$F1170,Pricing!$B$29:$D$32,3))))</f>
        <v>0</v>
      </c>
      <c r="M1170" s="528">
        <f>IF(E1170="STL",0,IF(F1170&gt;0,Pricing!$D$21,0))</f>
        <v>0</v>
      </c>
      <c r="N1170" s="529">
        <f>IF(E1170="STL",F1170*Pricing!$D$40,IF(A1170&lt;=Pricing!$C$4,0,IF(AND(A1170&gt;Pricing!$C$4,Disbursements!A1170&lt;=Pricing!$C$5),F1170*Pricing!$E$5,IF(AND(A1170&gt;Pricing!$C$5,Disbursements!A1170&lt;=Pricing!$C$7),VLOOKUP(F1170,Pricing!$D$7:$E$8,2)*Disbursements!F1170,F1170*Pricing!$E$9))))</f>
        <v>0</v>
      </c>
      <c r="O1170" s="528">
        <f>IF(E1170="STL",0,IF($F1170&gt;0,$F1170*Pricing!$D$17,0))</f>
        <v>0</v>
      </c>
      <c r="P1170" s="530" t="str">
        <f t="shared" si="490"/>
        <v/>
      </c>
      <c r="Q1170" s="531" t="str">
        <f>IF($A1170="","",$G1170/VLOOKUP($I1170,Ref!$B$23:$D$29,2,0))</f>
        <v/>
      </c>
      <c r="R1170" s="530" t="str">
        <f t="shared" si="491"/>
        <v/>
      </c>
      <c r="S1170" s="532" t="str">
        <f t="shared" si="485"/>
        <v/>
      </c>
      <c r="T1170" s="531" t="str">
        <f t="shared" si="492"/>
        <v/>
      </c>
      <c r="U1170" s="533">
        <f t="shared" si="493"/>
        <v>0</v>
      </c>
      <c r="V1170" s="531" t="str">
        <f t="shared" si="494"/>
        <v/>
      </c>
      <c r="W1170" s="531" t="str">
        <f t="shared" si="495"/>
        <v/>
      </c>
      <c r="X1170" s="534" t="str">
        <f t="shared" si="496"/>
        <v/>
      </c>
      <c r="Y1170" s="535" t="str">
        <f>IF($A1170="","",IF($I1170="weekly",$A1170+7,EDATE($A1170,VLOOKUP($I1170,Ref!$B$24:$C$29,2,0))))</f>
        <v/>
      </c>
      <c r="Z1170" s="536" t="str">
        <f t="shared" si="497"/>
        <v/>
      </c>
      <c r="AA1170" s="531">
        <f t="shared" si="498"/>
        <v>0</v>
      </c>
      <c r="AB1170" s="535" t="str">
        <f t="shared" si="486"/>
        <v/>
      </c>
      <c r="AC1170" s="537" t="str">
        <f t="shared" si="487"/>
        <v/>
      </c>
      <c r="AD1170" s="538" t="str">
        <f t="shared" ca="1" si="488"/>
        <v/>
      </c>
      <c r="AE1170" s="537">
        <f t="shared" ca="1" si="489"/>
        <v>0</v>
      </c>
      <c r="AF1170" s="539" t="str">
        <f t="shared" ca="1" si="499"/>
        <v/>
      </c>
      <c r="AG1170" s="531" t="str">
        <f t="shared" ca="1" si="500"/>
        <v/>
      </c>
      <c r="AH1170" s="531" t="str">
        <f t="shared" ca="1" si="501"/>
        <v/>
      </c>
      <c r="AI1170" s="531" t="str">
        <f t="shared" ca="1" si="502"/>
        <v/>
      </c>
      <c r="AJ1170" s="531" t="str">
        <f t="shared" si="503"/>
        <v/>
      </c>
      <c r="AK1170" s="540">
        <f>SUMIFS('Live Collections'!$S:$S,'Live Collections'!$D:$D,Disbursements!B1170,'Live Collections'!$G:$G,Disbursements!C1170)</f>
        <v>0</v>
      </c>
      <c r="AL1170" s="540">
        <f>SUMIFS('Live Collections'!$T:$T,'Live Collections'!$D:$D,Disbursements!B1170,'Live Collections'!$G:$G,Disbursements!C1170)</f>
        <v>0</v>
      </c>
      <c r="AM1170" s="541">
        <f t="shared" si="504"/>
        <v>0</v>
      </c>
      <c r="AN1170" s="542" t="str">
        <f t="shared" si="505"/>
        <v/>
      </c>
      <c r="AO1170" s="542" t="str">
        <f t="shared" si="506"/>
        <v/>
      </c>
      <c r="AP1170" s="543" t="str">
        <f t="shared" si="507"/>
        <v/>
      </c>
      <c r="AQ1170" s="544" t="str">
        <f t="shared" si="508"/>
        <v/>
      </c>
      <c r="AR1170" s="545">
        <f t="shared" si="509"/>
        <v>0</v>
      </c>
      <c r="AS1170" s="545">
        <f>IFERROR(CEILING($AR1170*VLOOKUP($I1170,Ref!$B$23:$E$29,4,0),1),0)</f>
        <v>0</v>
      </c>
      <c r="AT1170" s="545" t="str">
        <f>IF(A1170="","",IF(AP1170&lt;=1,"Cleared",IF(AS1170=0,"Clean",VLOOKUP($AS1170,Ref!$G$23:$H$28,2))))</f>
        <v/>
      </c>
      <c r="AU1170" s="546" t="str">
        <f t="shared" si="510"/>
        <v/>
      </c>
    </row>
    <row r="1171" spans="1:47" ht="14.25" hidden="1" customHeight="1" x14ac:dyDescent="0.15">
      <c r="A1171" s="523"/>
      <c r="B1171" s="523"/>
      <c r="C1171" s="523"/>
      <c r="D1171" s="523"/>
      <c r="E1171" s="579"/>
      <c r="F1171" s="580"/>
      <c r="G1171" s="524"/>
      <c r="H1171" s="555"/>
      <c r="I1171" s="560"/>
      <c r="J1171" s="523"/>
      <c r="K1171" s="528" t="str">
        <f>IFERROR(VLOOKUP($B1171,'Clients-Live'!$A:$C,3,0),"")</f>
        <v/>
      </c>
      <c r="L1171" s="528">
        <f>IF(E1171="STL",Pricing!$D$38,IF(A1171="",0,IF(A1171&lt;Pricing!$C$25,Pricing!$D$25,VLOOKUP(Disbursements!$F1171,Pricing!$B$29:$D$32,3))))</f>
        <v>0</v>
      </c>
      <c r="M1171" s="528">
        <f>IF(E1171="STL",0,IF(F1171&gt;0,Pricing!$D$21,0))</f>
        <v>0</v>
      </c>
      <c r="N1171" s="529">
        <f>IF(E1171="STL",F1171*Pricing!$D$40,IF(A1171&lt;=Pricing!$C$4,0,IF(AND(A1171&gt;Pricing!$C$4,Disbursements!A1171&lt;=Pricing!$C$5),F1171*Pricing!$E$5,IF(AND(A1171&gt;Pricing!$C$5,Disbursements!A1171&lt;=Pricing!$C$7),VLOOKUP(F1171,Pricing!$D$7:$E$8,2)*Disbursements!F1171,F1171*Pricing!$E$9))))</f>
        <v>0</v>
      </c>
      <c r="O1171" s="528">
        <f>IF(E1171="STL",0,IF($F1171&gt;0,$F1171*Pricing!$D$17,0))</f>
        <v>0</v>
      </c>
      <c r="P1171" s="530" t="str">
        <f t="shared" si="490"/>
        <v/>
      </c>
      <c r="Q1171" s="531" t="str">
        <f>IF($A1171="","",$G1171/VLOOKUP($I1171,Ref!$B$23:$D$29,2,0))</f>
        <v/>
      </c>
      <c r="R1171" s="530" t="str">
        <f t="shared" si="491"/>
        <v/>
      </c>
      <c r="S1171" s="532" t="str">
        <f t="shared" si="485"/>
        <v/>
      </c>
      <c r="T1171" s="531" t="str">
        <f t="shared" si="492"/>
        <v/>
      </c>
      <c r="U1171" s="533">
        <f t="shared" si="493"/>
        <v>0</v>
      </c>
      <c r="V1171" s="531" t="str">
        <f t="shared" si="494"/>
        <v/>
      </c>
      <c r="W1171" s="531" t="str">
        <f t="shared" si="495"/>
        <v/>
      </c>
      <c r="X1171" s="534" t="str">
        <f t="shared" si="496"/>
        <v/>
      </c>
      <c r="Y1171" s="535" t="str">
        <f>IF($A1171="","",IF($I1171="weekly",$A1171+7,EDATE($A1171,VLOOKUP($I1171,Ref!$B$24:$C$29,2,0))))</f>
        <v/>
      </c>
      <c r="Z1171" s="536" t="str">
        <f t="shared" si="497"/>
        <v/>
      </c>
      <c r="AA1171" s="531">
        <f t="shared" si="498"/>
        <v>0</v>
      </c>
      <c r="AB1171" s="535" t="str">
        <f t="shared" si="486"/>
        <v/>
      </c>
      <c r="AC1171" s="537" t="str">
        <f t="shared" si="487"/>
        <v/>
      </c>
      <c r="AD1171" s="538" t="str">
        <f t="shared" ca="1" si="488"/>
        <v/>
      </c>
      <c r="AE1171" s="537">
        <f t="shared" ca="1" si="489"/>
        <v>0</v>
      </c>
      <c r="AF1171" s="539" t="str">
        <f t="shared" ca="1" si="499"/>
        <v/>
      </c>
      <c r="AG1171" s="531" t="str">
        <f t="shared" ca="1" si="500"/>
        <v/>
      </c>
      <c r="AH1171" s="531" t="str">
        <f t="shared" ca="1" si="501"/>
        <v/>
      </c>
      <c r="AI1171" s="531" t="str">
        <f t="shared" ca="1" si="502"/>
        <v/>
      </c>
      <c r="AJ1171" s="531" t="str">
        <f t="shared" si="503"/>
        <v/>
      </c>
      <c r="AK1171" s="540">
        <f>SUMIFS('Live Collections'!$S:$S,'Live Collections'!$D:$D,Disbursements!B1171,'Live Collections'!$G:$G,Disbursements!C1171)</f>
        <v>0</v>
      </c>
      <c r="AL1171" s="540">
        <f>SUMIFS('Live Collections'!$T:$T,'Live Collections'!$D:$D,Disbursements!B1171,'Live Collections'!$G:$G,Disbursements!C1171)</f>
        <v>0</v>
      </c>
      <c r="AM1171" s="541">
        <f t="shared" si="504"/>
        <v>0</v>
      </c>
      <c r="AN1171" s="542" t="str">
        <f t="shared" si="505"/>
        <v/>
      </c>
      <c r="AO1171" s="542" t="str">
        <f t="shared" si="506"/>
        <v/>
      </c>
      <c r="AP1171" s="543" t="str">
        <f t="shared" si="507"/>
        <v/>
      </c>
      <c r="AQ1171" s="544" t="str">
        <f t="shared" si="508"/>
        <v/>
      </c>
      <c r="AR1171" s="545">
        <f t="shared" si="509"/>
        <v>0</v>
      </c>
      <c r="AS1171" s="545">
        <f>IFERROR(CEILING($AR1171*VLOOKUP($I1171,Ref!$B$23:$E$29,4,0),1),0)</f>
        <v>0</v>
      </c>
      <c r="AT1171" s="545" t="str">
        <f>IF(A1171="","",IF(AP1171&lt;=1,"Cleared",IF(AS1171=0,"Clean",VLOOKUP($AS1171,Ref!$G$23:$H$28,2))))</f>
        <v/>
      </c>
      <c r="AU1171" s="546" t="str">
        <f t="shared" si="510"/>
        <v/>
      </c>
    </row>
    <row r="1172" spans="1:47" ht="14.25" hidden="1" customHeight="1" x14ac:dyDescent="0.15">
      <c r="A1172" s="523"/>
      <c r="B1172" s="523"/>
      <c r="C1172" s="523"/>
      <c r="D1172" s="523"/>
      <c r="E1172" s="579"/>
      <c r="F1172" s="580"/>
      <c r="G1172" s="524"/>
      <c r="H1172" s="555"/>
      <c r="I1172" s="560"/>
      <c r="J1172" s="523"/>
      <c r="K1172" s="528" t="str">
        <f>IFERROR(VLOOKUP($B1172,'Clients-Live'!$A:$C,3,0),"")</f>
        <v/>
      </c>
      <c r="L1172" s="528">
        <f>IF(E1172="STL",Pricing!$D$38,IF(A1172="",0,IF(A1172&lt;Pricing!$C$25,Pricing!$D$25,VLOOKUP(Disbursements!$F1172,Pricing!$B$29:$D$32,3))))</f>
        <v>0</v>
      </c>
      <c r="M1172" s="528">
        <f>IF(E1172="STL",0,IF(F1172&gt;0,Pricing!$D$21,0))</f>
        <v>0</v>
      </c>
      <c r="N1172" s="529">
        <f>IF(E1172="STL",F1172*Pricing!$D$40,IF(A1172&lt;=Pricing!$C$4,0,IF(AND(A1172&gt;Pricing!$C$4,Disbursements!A1172&lt;=Pricing!$C$5),F1172*Pricing!$E$5,IF(AND(A1172&gt;Pricing!$C$5,Disbursements!A1172&lt;=Pricing!$C$7),VLOOKUP(F1172,Pricing!$D$7:$E$8,2)*Disbursements!F1172,F1172*Pricing!$E$9))))</f>
        <v>0</v>
      </c>
      <c r="O1172" s="528">
        <f>IF(E1172="STL",0,IF($F1172&gt;0,$F1172*Pricing!$D$17,0))</f>
        <v>0</v>
      </c>
      <c r="P1172" s="530" t="str">
        <f t="shared" si="490"/>
        <v/>
      </c>
      <c r="Q1172" s="531" t="str">
        <f>IF($A1172="","",$G1172/VLOOKUP($I1172,Ref!$B$23:$D$29,2,0))</f>
        <v/>
      </c>
      <c r="R1172" s="530" t="str">
        <f t="shared" si="491"/>
        <v/>
      </c>
      <c r="S1172" s="532" t="str">
        <f t="shared" si="485"/>
        <v/>
      </c>
      <c r="T1172" s="531" t="str">
        <f t="shared" si="492"/>
        <v/>
      </c>
      <c r="U1172" s="533">
        <f t="shared" si="493"/>
        <v>0</v>
      </c>
      <c r="V1172" s="531" t="str">
        <f t="shared" si="494"/>
        <v/>
      </c>
      <c r="W1172" s="531" t="str">
        <f t="shared" si="495"/>
        <v/>
      </c>
      <c r="X1172" s="534" t="str">
        <f t="shared" si="496"/>
        <v/>
      </c>
      <c r="Y1172" s="535" t="str">
        <f>IF($A1172="","",IF($I1172="weekly",$A1172+7,EDATE($A1172,VLOOKUP($I1172,Ref!$B$24:$C$29,2,0))))</f>
        <v/>
      </c>
      <c r="Z1172" s="536" t="str">
        <f t="shared" si="497"/>
        <v/>
      </c>
      <c r="AA1172" s="531">
        <f t="shared" si="498"/>
        <v>0</v>
      </c>
      <c r="AB1172" s="535" t="str">
        <f t="shared" si="486"/>
        <v/>
      </c>
      <c r="AC1172" s="537" t="str">
        <f t="shared" si="487"/>
        <v/>
      </c>
      <c r="AD1172" s="538" t="str">
        <f t="shared" ca="1" si="488"/>
        <v/>
      </c>
      <c r="AE1172" s="537">
        <f t="shared" ca="1" si="489"/>
        <v>0</v>
      </c>
      <c r="AF1172" s="539" t="str">
        <f t="shared" ca="1" si="499"/>
        <v/>
      </c>
      <c r="AG1172" s="531" t="str">
        <f t="shared" ca="1" si="500"/>
        <v/>
      </c>
      <c r="AH1172" s="531" t="str">
        <f t="shared" ca="1" si="501"/>
        <v/>
      </c>
      <c r="AI1172" s="531" t="str">
        <f t="shared" ca="1" si="502"/>
        <v/>
      </c>
      <c r="AJ1172" s="531" t="str">
        <f t="shared" si="503"/>
        <v/>
      </c>
      <c r="AK1172" s="540">
        <f>SUMIFS('Live Collections'!$S:$S,'Live Collections'!$D:$D,Disbursements!B1172,'Live Collections'!$G:$G,Disbursements!C1172)</f>
        <v>0</v>
      </c>
      <c r="AL1172" s="540">
        <f>SUMIFS('Live Collections'!$T:$T,'Live Collections'!$D:$D,Disbursements!B1172,'Live Collections'!$G:$G,Disbursements!C1172)</f>
        <v>0</v>
      </c>
      <c r="AM1172" s="541">
        <f t="shared" si="504"/>
        <v>0</v>
      </c>
      <c r="AN1172" s="542" t="str">
        <f t="shared" si="505"/>
        <v/>
      </c>
      <c r="AO1172" s="542" t="str">
        <f t="shared" si="506"/>
        <v/>
      </c>
      <c r="AP1172" s="543" t="str">
        <f t="shared" si="507"/>
        <v/>
      </c>
      <c r="AQ1172" s="544" t="str">
        <f t="shared" si="508"/>
        <v/>
      </c>
      <c r="AR1172" s="545">
        <f t="shared" si="509"/>
        <v>0</v>
      </c>
      <c r="AS1172" s="545">
        <f>IFERROR(CEILING($AR1172*VLOOKUP($I1172,Ref!$B$23:$E$29,4,0),1),0)</f>
        <v>0</v>
      </c>
      <c r="AT1172" s="545" t="str">
        <f>IF(A1172="","",IF(AP1172&lt;=1,"Cleared",IF(AS1172=0,"Clean",VLOOKUP($AS1172,Ref!$G$23:$H$28,2))))</f>
        <v/>
      </c>
      <c r="AU1172" s="546" t="str">
        <f t="shared" si="510"/>
        <v/>
      </c>
    </row>
    <row r="1173" spans="1:47" ht="14.25" hidden="1" customHeight="1" x14ac:dyDescent="0.15">
      <c r="A1173" s="523"/>
      <c r="B1173" s="523"/>
      <c r="C1173" s="523"/>
      <c r="D1173" s="523"/>
      <c r="E1173" s="579"/>
      <c r="F1173" s="580"/>
      <c r="G1173" s="524"/>
      <c r="H1173" s="555"/>
      <c r="I1173" s="560"/>
      <c r="J1173" s="523"/>
      <c r="K1173" s="528" t="str">
        <f>IFERROR(VLOOKUP($B1173,'Clients-Live'!$A:$C,3,0),"")</f>
        <v/>
      </c>
      <c r="L1173" s="528">
        <f>IF(E1173="STL",Pricing!$D$38,IF(A1173="",0,IF(A1173&lt;Pricing!$C$25,Pricing!$D$25,VLOOKUP(Disbursements!$F1173,Pricing!$B$29:$D$32,3))))</f>
        <v>0</v>
      </c>
      <c r="M1173" s="528">
        <f>IF(E1173="STL",0,IF(F1173&gt;0,Pricing!$D$21,0))</f>
        <v>0</v>
      </c>
      <c r="N1173" s="529">
        <f>IF(E1173="STL",F1173*Pricing!$D$40,IF(A1173&lt;=Pricing!$C$4,0,IF(AND(A1173&gt;Pricing!$C$4,Disbursements!A1173&lt;=Pricing!$C$5),F1173*Pricing!$E$5,IF(AND(A1173&gt;Pricing!$C$5,Disbursements!A1173&lt;=Pricing!$C$7),VLOOKUP(F1173,Pricing!$D$7:$E$8,2)*Disbursements!F1173,F1173*Pricing!$E$9))))</f>
        <v>0</v>
      </c>
      <c r="O1173" s="528">
        <f>IF(E1173="STL",0,IF($F1173&gt;0,$F1173*Pricing!$D$17,0))</f>
        <v>0</v>
      </c>
      <c r="P1173" s="530" t="str">
        <f t="shared" si="490"/>
        <v/>
      </c>
      <c r="Q1173" s="531" t="str">
        <f>IF($A1173="","",$G1173/VLOOKUP($I1173,Ref!$B$23:$D$29,2,0))</f>
        <v/>
      </c>
      <c r="R1173" s="530" t="str">
        <f t="shared" si="491"/>
        <v/>
      </c>
      <c r="S1173" s="532" t="str">
        <f t="shared" si="485"/>
        <v/>
      </c>
      <c r="T1173" s="531" t="str">
        <f t="shared" si="492"/>
        <v/>
      </c>
      <c r="U1173" s="533">
        <f t="shared" si="493"/>
        <v>0</v>
      </c>
      <c r="V1173" s="531" t="str">
        <f t="shared" si="494"/>
        <v/>
      </c>
      <c r="W1173" s="531" t="str">
        <f t="shared" si="495"/>
        <v/>
      </c>
      <c r="X1173" s="534" t="str">
        <f t="shared" si="496"/>
        <v/>
      </c>
      <c r="Y1173" s="535" t="str">
        <f>IF($A1173="","",IF($I1173="weekly",$A1173+7,EDATE($A1173,VLOOKUP($I1173,Ref!$B$24:$C$29,2,0))))</f>
        <v/>
      </c>
      <c r="Z1173" s="536" t="str">
        <f t="shared" si="497"/>
        <v/>
      </c>
      <c r="AA1173" s="531">
        <f t="shared" si="498"/>
        <v>0</v>
      </c>
      <c r="AB1173" s="535" t="str">
        <f t="shared" si="486"/>
        <v/>
      </c>
      <c r="AC1173" s="537" t="str">
        <f t="shared" si="487"/>
        <v/>
      </c>
      <c r="AD1173" s="538" t="str">
        <f t="shared" ca="1" si="488"/>
        <v/>
      </c>
      <c r="AE1173" s="537">
        <f t="shared" ca="1" si="489"/>
        <v>0</v>
      </c>
      <c r="AF1173" s="539" t="str">
        <f t="shared" ca="1" si="499"/>
        <v/>
      </c>
      <c r="AG1173" s="531" t="str">
        <f t="shared" ca="1" si="500"/>
        <v/>
      </c>
      <c r="AH1173" s="531" t="str">
        <f t="shared" ca="1" si="501"/>
        <v/>
      </c>
      <c r="AI1173" s="531" t="str">
        <f t="shared" ca="1" si="502"/>
        <v/>
      </c>
      <c r="AJ1173" s="531" t="str">
        <f t="shared" si="503"/>
        <v/>
      </c>
      <c r="AK1173" s="540">
        <f>SUMIFS('Live Collections'!$S:$S,'Live Collections'!$D:$D,Disbursements!B1173,'Live Collections'!$G:$G,Disbursements!C1173)</f>
        <v>0</v>
      </c>
      <c r="AL1173" s="540">
        <f>SUMIFS('Live Collections'!$T:$T,'Live Collections'!$D:$D,Disbursements!B1173,'Live Collections'!$G:$G,Disbursements!C1173)</f>
        <v>0</v>
      </c>
      <c r="AM1173" s="541">
        <f t="shared" si="504"/>
        <v>0</v>
      </c>
      <c r="AN1173" s="542" t="str">
        <f t="shared" si="505"/>
        <v/>
      </c>
      <c r="AO1173" s="542" t="str">
        <f t="shared" si="506"/>
        <v/>
      </c>
      <c r="AP1173" s="543" t="str">
        <f t="shared" si="507"/>
        <v/>
      </c>
      <c r="AQ1173" s="544" t="str">
        <f t="shared" si="508"/>
        <v/>
      </c>
      <c r="AR1173" s="545">
        <f t="shared" si="509"/>
        <v>0</v>
      </c>
      <c r="AS1173" s="545">
        <f>IFERROR(CEILING($AR1173*VLOOKUP($I1173,Ref!$B$23:$E$29,4,0),1),0)</f>
        <v>0</v>
      </c>
      <c r="AT1173" s="545" t="str">
        <f>IF(A1173="","",IF(AP1173&lt;=1,"Cleared",IF(AS1173=0,"Clean",VLOOKUP($AS1173,Ref!$G$23:$H$28,2))))</f>
        <v/>
      </c>
      <c r="AU1173" s="546" t="str">
        <f t="shared" si="510"/>
        <v/>
      </c>
    </row>
    <row r="1174" spans="1:47" ht="14.25" hidden="1" customHeight="1" x14ac:dyDescent="0.15">
      <c r="A1174" s="523"/>
      <c r="B1174" s="523"/>
      <c r="C1174" s="523"/>
      <c r="D1174" s="523"/>
      <c r="E1174" s="579"/>
      <c r="F1174" s="580"/>
      <c r="G1174" s="524"/>
      <c r="H1174" s="555"/>
      <c r="I1174" s="560"/>
      <c r="J1174" s="523"/>
      <c r="K1174" s="528" t="str">
        <f>IFERROR(VLOOKUP($B1174,'Clients-Live'!$A:$C,3,0),"")</f>
        <v/>
      </c>
      <c r="L1174" s="528">
        <f>IF(E1174="STL",Pricing!$D$38,IF(A1174="",0,IF(A1174&lt;Pricing!$C$25,Pricing!$D$25,VLOOKUP(Disbursements!$F1174,Pricing!$B$29:$D$32,3))))</f>
        <v>0</v>
      </c>
      <c r="M1174" s="528">
        <f>IF(E1174="STL",0,IF(F1174&gt;0,Pricing!$D$21,0))</f>
        <v>0</v>
      </c>
      <c r="N1174" s="529">
        <f>IF(E1174="STL",F1174*Pricing!$D$40,IF(A1174&lt;=Pricing!$C$4,0,IF(AND(A1174&gt;Pricing!$C$4,Disbursements!A1174&lt;=Pricing!$C$5),F1174*Pricing!$E$5,IF(AND(A1174&gt;Pricing!$C$5,Disbursements!A1174&lt;=Pricing!$C$7),VLOOKUP(F1174,Pricing!$D$7:$E$8,2)*Disbursements!F1174,F1174*Pricing!$E$9))))</f>
        <v>0</v>
      </c>
      <c r="O1174" s="528">
        <f>IF(E1174="STL",0,IF($F1174&gt;0,$F1174*Pricing!$D$17,0))</f>
        <v>0</v>
      </c>
      <c r="P1174" s="530" t="str">
        <f t="shared" si="490"/>
        <v/>
      </c>
      <c r="Q1174" s="531" t="str">
        <f>IF($A1174="","",$G1174/VLOOKUP($I1174,Ref!$B$23:$D$29,2,0))</f>
        <v/>
      </c>
      <c r="R1174" s="530" t="str">
        <f t="shared" si="491"/>
        <v/>
      </c>
      <c r="S1174" s="532" t="str">
        <f t="shared" si="485"/>
        <v/>
      </c>
      <c r="T1174" s="531" t="str">
        <f t="shared" si="492"/>
        <v/>
      </c>
      <c r="U1174" s="533">
        <f t="shared" si="493"/>
        <v>0</v>
      </c>
      <c r="V1174" s="531" t="str">
        <f t="shared" si="494"/>
        <v/>
      </c>
      <c r="W1174" s="531" t="str">
        <f t="shared" si="495"/>
        <v/>
      </c>
      <c r="X1174" s="534" t="str">
        <f t="shared" si="496"/>
        <v/>
      </c>
      <c r="Y1174" s="535" t="str">
        <f>IF($A1174="","",IF($I1174="weekly",$A1174+7,EDATE($A1174,VLOOKUP($I1174,Ref!$B$24:$C$29,2,0))))</f>
        <v/>
      </c>
      <c r="Z1174" s="536" t="str">
        <f t="shared" si="497"/>
        <v/>
      </c>
      <c r="AA1174" s="531">
        <f t="shared" si="498"/>
        <v>0</v>
      </c>
      <c r="AB1174" s="535" t="str">
        <f t="shared" si="486"/>
        <v/>
      </c>
      <c r="AC1174" s="537" t="str">
        <f t="shared" si="487"/>
        <v/>
      </c>
      <c r="AD1174" s="538" t="str">
        <f t="shared" ca="1" si="488"/>
        <v/>
      </c>
      <c r="AE1174" s="537">
        <f t="shared" ca="1" si="489"/>
        <v>0</v>
      </c>
      <c r="AF1174" s="539" t="str">
        <f t="shared" ca="1" si="499"/>
        <v/>
      </c>
      <c r="AG1174" s="531" t="str">
        <f t="shared" ca="1" si="500"/>
        <v/>
      </c>
      <c r="AH1174" s="531" t="str">
        <f t="shared" ca="1" si="501"/>
        <v/>
      </c>
      <c r="AI1174" s="531" t="str">
        <f t="shared" ca="1" si="502"/>
        <v/>
      </c>
      <c r="AJ1174" s="531" t="str">
        <f t="shared" si="503"/>
        <v/>
      </c>
      <c r="AK1174" s="540">
        <f>SUMIFS('Live Collections'!$S:$S,'Live Collections'!$D:$D,Disbursements!B1174,'Live Collections'!$G:$G,Disbursements!C1174)</f>
        <v>0</v>
      </c>
      <c r="AL1174" s="540">
        <f>SUMIFS('Live Collections'!$T:$T,'Live Collections'!$D:$D,Disbursements!B1174,'Live Collections'!$G:$G,Disbursements!C1174)</f>
        <v>0</v>
      </c>
      <c r="AM1174" s="541">
        <f t="shared" si="504"/>
        <v>0</v>
      </c>
      <c r="AN1174" s="542" t="str">
        <f t="shared" si="505"/>
        <v/>
      </c>
      <c r="AO1174" s="542" t="str">
        <f t="shared" si="506"/>
        <v/>
      </c>
      <c r="AP1174" s="543" t="str">
        <f t="shared" si="507"/>
        <v/>
      </c>
      <c r="AQ1174" s="544" t="str">
        <f t="shared" si="508"/>
        <v/>
      </c>
      <c r="AR1174" s="545">
        <f t="shared" si="509"/>
        <v>0</v>
      </c>
      <c r="AS1174" s="545">
        <f>IFERROR(CEILING($AR1174*VLOOKUP($I1174,Ref!$B$23:$E$29,4,0),1),0)</f>
        <v>0</v>
      </c>
      <c r="AT1174" s="545" t="str">
        <f>IF(A1174="","",IF(AP1174&lt;=1,"Cleared",IF(AS1174=0,"Clean",VLOOKUP($AS1174,Ref!$G$23:$H$28,2))))</f>
        <v/>
      </c>
      <c r="AU1174" s="546" t="str">
        <f t="shared" si="510"/>
        <v/>
      </c>
    </row>
    <row r="1175" spans="1:47" ht="14.25" hidden="1" customHeight="1" x14ac:dyDescent="0.15">
      <c r="A1175" s="523"/>
      <c r="B1175" s="523"/>
      <c r="C1175" s="523"/>
      <c r="D1175" s="523"/>
      <c r="E1175" s="579"/>
      <c r="F1175" s="580"/>
      <c r="G1175" s="524"/>
      <c r="H1175" s="555"/>
      <c r="I1175" s="560"/>
      <c r="J1175" s="523"/>
      <c r="K1175" s="528" t="str">
        <f>IFERROR(VLOOKUP($B1175,'Clients-Live'!$A:$C,3,0),"")</f>
        <v/>
      </c>
      <c r="L1175" s="528">
        <f>IF(E1175="STL",Pricing!$D$38,IF(A1175="",0,IF(A1175&lt;Pricing!$C$25,Pricing!$D$25,VLOOKUP(Disbursements!$F1175,Pricing!$B$29:$D$32,3))))</f>
        <v>0</v>
      </c>
      <c r="M1175" s="528">
        <f>IF(E1175="STL",0,IF(F1175&gt;0,Pricing!$D$21,0))</f>
        <v>0</v>
      </c>
      <c r="N1175" s="529">
        <f>IF(E1175="STL",F1175*Pricing!$D$40,IF(A1175&lt;=Pricing!$C$4,0,IF(AND(A1175&gt;Pricing!$C$4,Disbursements!A1175&lt;=Pricing!$C$5),F1175*Pricing!$E$5,IF(AND(A1175&gt;Pricing!$C$5,Disbursements!A1175&lt;=Pricing!$C$7),VLOOKUP(F1175,Pricing!$D$7:$E$8,2)*Disbursements!F1175,F1175*Pricing!$E$9))))</f>
        <v>0</v>
      </c>
      <c r="O1175" s="528">
        <f>IF(E1175="STL",0,IF($F1175&gt;0,$F1175*Pricing!$D$17,0))</f>
        <v>0</v>
      </c>
      <c r="P1175" s="530" t="str">
        <f t="shared" si="490"/>
        <v/>
      </c>
      <c r="Q1175" s="531" t="str">
        <f>IF($A1175="","",$G1175/VLOOKUP($I1175,Ref!$B$23:$D$29,2,0))</f>
        <v/>
      </c>
      <c r="R1175" s="530" t="str">
        <f t="shared" si="491"/>
        <v/>
      </c>
      <c r="S1175" s="532" t="str">
        <f t="shared" si="485"/>
        <v/>
      </c>
      <c r="T1175" s="531" t="str">
        <f t="shared" si="492"/>
        <v/>
      </c>
      <c r="U1175" s="533">
        <f t="shared" si="493"/>
        <v>0</v>
      </c>
      <c r="V1175" s="531" t="str">
        <f t="shared" si="494"/>
        <v/>
      </c>
      <c r="W1175" s="531" t="str">
        <f t="shared" si="495"/>
        <v/>
      </c>
      <c r="X1175" s="534" t="str">
        <f t="shared" si="496"/>
        <v/>
      </c>
      <c r="Y1175" s="535" t="str">
        <f>IF($A1175="","",IF($I1175="weekly",$A1175+7,EDATE($A1175,VLOOKUP($I1175,Ref!$B$24:$C$29,2,0))))</f>
        <v/>
      </c>
      <c r="Z1175" s="536" t="str">
        <f t="shared" si="497"/>
        <v/>
      </c>
      <c r="AA1175" s="531">
        <f t="shared" si="498"/>
        <v>0</v>
      </c>
      <c r="AB1175" s="535" t="str">
        <f t="shared" si="486"/>
        <v/>
      </c>
      <c r="AC1175" s="537" t="str">
        <f t="shared" si="487"/>
        <v/>
      </c>
      <c r="AD1175" s="538" t="str">
        <f t="shared" ca="1" si="488"/>
        <v/>
      </c>
      <c r="AE1175" s="537">
        <f t="shared" ca="1" si="489"/>
        <v>0</v>
      </c>
      <c r="AF1175" s="539" t="str">
        <f t="shared" ca="1" si="499"/>
        <v/>
      </c>
      <c r="AG1175" s="531" t="str">
        <f t="shared" ca="1" si="500"/>
        <v/>
      </c>
      <c r="AH1175" s="531" t="str">
        <f t="shared" ca="1" si="501"/>
        <v/>
      </c>
      <c r="AI1175" s="531" t="str">
        <f t="shared" ca="1" si="502"/>
        <v/>
      </c>
      <c r="AJ1175" s="531" t="str">
        <f t="shared" si="503"/>
        <v/>
      </c>
      <c r="AK1175" s="540">
        <f>SUMIFS('Live Collections'!$S:$S,'Live Collections'!$D:$D,Disbursements!B1175,'Live Collections'!$G:$G,Disbursements!C1175)</f>
        <v>0</v>
      </c>
      <c r="AL1175" s="540">
        <f>SUMIFS('Live Collections'!$T:$T,'Live Collections'!$D:$D,Disbursements!B1175,'Live Collections'!$G:$G,Disbursements!C1175)</f>
        <v>0</v>
      </c>
      <c r="AM1175" s="541">
        <f t="shared" si="504"/>
        <v>0</v>
      </c>
      <c r="AN1175" s="542" t="str">
        <f t="shared" si="505"/>
        <v/>
      </c>
      <c r="AO1175" s="542" t="str">
        <f t="shared" si="506"/>
        <v/>
      </c>
      <c r="AP1175" s="543" t="str">
        <f t="shared" si="507"/>
        <v/>
      </c>
      <c r="AQ1175" s="544" t="str">
        <f t="shared" si="508"/>
        <v/>
      </c>
      <c r="AR1175" s="545">
        <f t="shared" si="509"/>
        <v>0</v>
      </c>
      <c r="AS1175" s="545">
        <f>IFERROR(CEILING($AR1175*VLOOKUP($I1175,Ref!$B$23:$E$29,4,0),1),0)</f>
        <v>0</v>
      </c>
      <c r="AT1175" s="545" t="str">
        <f>IF(A1175="","",IF(AP1175&lt;=1,"Cleared",IF(AS1175=0,"Clean",VLOOKUP($AS1175,Ref!$G$23:$H$28,2))))</f>
        <v/>
      </c>
      <c r="AU1175" s="546" t="str">
        <f t="shared" si="510"/>
        <v/>
      </c>
    </row>
    <row r="1176" spans="1:47" ht="14.25" hidden="1" customHeight="1" x14ac:dyDescent="0.15">
      <c r="A1176" s="523"/>
      <c r="B1176" s="523"/>
      <c r="C1176" s="523"/>
      <c r="D1176" s="523"/>
      <c r="E1176" s="579"/>
      <c r="F1176" s="580"/>
      <c r="G1176" s="524"/>
      <c r="H1176" s="555"/>
      <c r="I1176" s="560"/>
      <c r="J1176" s="523"/>
      <c r="K1176" s="528" t="str">
        <f>IFERROR(VLOOKUP($B1176,'Clients-Live'!$A:$C,3,0),"")</f>
        <v/>
      </c>
      <c r="L1176" s="528">
        <f>IF(E1176="STL",Pricing!$D$38,IF(A1176="",0,IF(A1176&lt;Pricing!$C$25,Pricing!$D$25,VLOOKUP(Disbursements!$F1176,Pricing!$B$29:$D$32,3))))</f>
        <v>0</v>
      </c>
      <c r="M1176" s="528">
        <f>IF(E1176="STL",0,IF(F1176&gt;0,Pricing!$D$21,0))</f>
        <v>0</v>
      </c>
      <c r="N1176" s="529">
        <f>IF(E1176="STL",F1176*Pricing!$D$40,IF(A1176&lt;=Pricing!$C$4,0,IF(AND(A1176&gt;Pricing!$C$4,Disbursements!A1176&lt;=Pricing!$C$5),F1176*Pricing!$E$5,IF(AND(A1176&gt;Pricing!$C$5,Disbursements!A1176&lt;=Pricing!$C$7),VLOOKUP(F1176,Pricing!$D$7:$E$8,2)*Disbursements!F1176,F1176*Pricing!$E$9))))</f>
        <v>0</v>
      </c>
      <c r="O1176" s="528">
        <f>IF(E1176="STL",0,IF($F1176&gt;0,$F1176*Pricing!$D$17,0))</f>
        <v>0</v>
      </c>
      <c r="P1176" s="530" t="str">
        <f t="shared" si="490"/>
        <v/>
      </c>
      <c r="Q1176" s="531" t="str">
        <f>IF($A1176="","",$G1176/VLOOKUP($I1176,Ref!$B$23:$D$29,2,0))</f>
        <v/>
      </c>
      <c r="R1176" s="530" t="str">
        <f t="shared" si="491"/>
        <v/>
      </c>
      <c r="S1176" s="532" t="str">
        <f t="shared" si="485"/>
        <v/>
      </c>
      <c r="T1176" s="531" t="str">
        <f t="shared" si="492"/>
        <v/>
      </c>
      <c r="U1176" s="533">
        <f t="shared" si="493"/>
        <v>0</v>
      </c>
      <c r="V1176" s="531" t="str">
        <f t="shared" si="494"/>
        <v/>
      </c>
      <c r="W1176" s="531" t="str">
        <f t="shared" si="495"/>
        <v/>
      </c>
      <c r="X1176" s="534" t="str">
        <f t="shared" si="496"/>
        <v/>
      </c>
      <c r="Y1176" s="535" t="str">
        <f>IF($A1176="","",IF($I1176="weekly",$A1176+7,EDATE($A1176,VLOOKUP($I1176,Ref!$B$24:$C$29,2,0))))</f>
        <v/>
      </c>
      <c r="Z1176" s="536" t="str">
        <f t="shared" si="497"/>
        <v/>
      </c>
      <c r="AA1176" s="531">
        <f t="shared" si="498"/>
        <v>0</v>
      </c>
      <c r="AB1176" s="535" t="str">
        <f t="shared" si="486"/>
        <v/>
      </c>
      <c r="AC1176" s="537" t="str">
        <f t="shared" si="487"/>
        <v/>
      </c>
      <c r="AD1176" s="538" t="str">
        <f t="shared" ca="1" si="488"/>
        <v/>
      </c>
      <c r="AE1176" s="537">
        <f t="shared" ca="1" si="489"/>
        <v>0</v>
      </c>
      <c r="AF1176" s="539" t="str">
        <f t="shared" ca="1" si="499"/>
        <v/>
      </c>
      <c r="AG1176" s="531" t="str">
        <f t="shared" ca="1" si="500"/>
        <v/>
      </c>
      <c r="AH1176" s="531" t="str">
        <f t="shared" ca="1" si="501"/>
        <v/>
      </c>
      <c r="AI1176" s="531" t="str">
        <f t="shared" ca="1" si="502"/>
        <v/>
      </c>
      <c r="AJ1176" s="531" t="str">
        <f t="shared" si="503"/>
        <v/>
      </c>
      <c r="AK1176" s="540">
        <f>SUMIFS('Live Collections'!$S:$S,'Live Collections'!$D:$D,Disbursements!B1176,'Live Collections'!$G:$G,Disbursements!C1176)</f>
        <v>0</v>
      </c>
      <c r="AL1176" s="540">
        <f>SUMIFS('Live Collections'!$T:$T,'Live Collections'!$D:$D,Disbursements!B1176,'Live Collections'!$G:$G,Disbursements!C1176)</f>
        <v>0</v>
      </c>
      <c r="AM1176" s="541">
        <f t="shared" si="504"/>
        <v>0</v>
      </c>
      <c r="AN1176" s="542" t="str">
        <f t="shared" si="505"/>
        <v/>
      </c>
      <c r="AO1176" s="542" t="str">
        <f t="shared" si="506"/>
        <v/>
      </c>
      <c r="AP1176" s="543" t="str">
        <f t="shared" si="507"/>
        <v/>
      </c>
      <c r="AQ1176" s="544" t="str">
        <f t="shared" si="508"/>
        <v/>
      </c>
      <c r="AR1176" s="545">
        <f t="shared" si="509"/>
        <v>0</v>
      </c>
      <c r="AS1176" s="545">
        <f>IFERROR(CEILING($AR1176*VLOOKUP($I1176,Ref!$B$23:$E$29,4,0),1),0)</f>
        <v>0</v>
      </c>
      <c r="AT1176" s="545" t="str">
        <f>IF(A1176="","",IF(AP1176&lt;=1,"Cleared",IF(AS1176=0,"Clean",VLOOKUP($AS1176,Ref!$G$23:$H$28,2))))</f>
        <v/>
      </c>
      <c r="AU1176" s="546" t="str">
        <f t="shared" si="510"/>
        <v/>
      </c>
    </row>
    <row r="1177" spans="1:47" ht="14.25" hidden="1" customHeight="1" x14ac:dyDescent="0.15">
      <c r="A1177" s="523"/>
      <c r="B1177" s="523"/>
      <c r="C1177" s="523"/>
      <c r="D1177" s="523"/>
      <c r="E1177" s="579"/>
      <c r="F1177" s="580"/>
      <c r="G1177" s="524"/>
      <c r="H1177" s="555"/>
      <c r="I1177" s="560"/>
      <c r="J1177" s="523"/>
      <c r="K1177" s="528" t="str">
        <f>IFERROR(VLOOKUP($B1177,'Clients-Live'!$A:$C,3,0),"")</f>
        <v/>
      </c>
      <c r="L1177" s="528">
        <f>IF(E1177="STL",Pricing!$D$38,IF(A1177="",0,IF(A1177&lt;Pricing!$C$25,Pricing!$D$25,VLOOKUP(Disbursements!$F1177,Pricing!$B$29:$D$32,3))))</f>
        <v>0</v>
      </c>
      <c r="M1177" s="528">
        <f>IF(E1177="STL",0,IF(F1177&gt;0,Pricing!$D$21,0))</f>
        <v>0</v>
      </c>
      <c r="N1177" s="529">
        <f>IF(E1177="STL",F1177*Pricing!$D$40,IF(A1177&lt;=Pricing!$C$4,0,IF(AND(A1177&gt;Pricing!$C$4,Disbursements!A1177&lt;=Pricing!$C$5),F1177*Pricing!$E$5,IF(AND(A1177&gt;Pricing!$C$5,Disbursements!A1177&lt;=Pricing!$C$7),VLOOKUP(F1177,Pricing!$D$7:$E$8,2)*Disbursements!F1177,F1177*Pricing!$E$9))))</f>
        <v>0</v>
      </c>
      <c r="O1177" s="528">
        <f>IF(E1177="STL",0,IF($F1177&gt;0,$F1177*Pricing!$D$17,0))</f>
        <v>0</v>
      </c>
      <c r="P1177" s="530" t="str">
        <f t="shared" si="490"/>
        <v/>
      </c>
      <c r="Q1177" s="531" t="str">
        <f>IF($A1177="","",$G1177/VLOOKUP($I1177,Ref!$B$23:$D$29,2,0))</f>
        <v/>
      </c>
      <c r="R1177" s="530" t="str">
        <f t="shared" si="491"/>
        <v/>
      </c>
      <c r="S1177" s="532" t="str">
        <f t="shared" si="485"/>
        <v/>
      </c>
      <c r="T1177" s="531" t="str">
        <f t="shared" si="492"/>
        <v/>
      </c>
      <c r="U1177" s="533">
        <f t="shared" si="493"/>
        <v>0</v>
      </c>
      <c r="V1177" s="531" t="str">
        <f t="shared" si="494"/>
        <v/>
      </c>
      <c r="W1177" s="531" t="str">
        <f t="shared" si="495"/>
        <v/>
      </c>
      <c r="X1177" s="534" t="str">
        <f t="shared" si="496"/>
        <v/>
      </c>
      <c r="Y1177" s="535" t="str">
        <f>IF($A1177="","",IF($I1177="weekly",$A1177+7,EDATE($A1177,VLOOKUP($I1177,Ref!$B$24:$C$29,2,0))))</f>
        <v/>
      </c>
      <c r="Z1177" s="536" t="str">
        <f t="shared" si="497"/>
        <v/>
      </c>
      <c r="AA1177" s="531">
        <f t="shared" si="498"/>
        <v>0</v>
      </c>
      <c r="AB1177" s="535" t="str">
        <f t="shared" si="486"/>
        <v/>
      </c>
      <c r="AC1177" s="537" t="str">
        <f t="shared" si="487"/>
        <v/>
      </c>
      <c r="AD1177" s="538" t="str">
        <f t="shared" ca="1" si="488"/>
        <v/>
      </c>
      <c r="AE1177" s="537">
        <f t="shared" ca="1" si="489"/>
        <v>0</v>
      </c>
      <c r="AF1177" s="539" t="str">
        <f t="shared" ca="1" si="499"/>
        <v/>
      </c>
      <c r="AG1177" s="531" t="str">
        <f t="shared" ca="1" si="500"/>
        <v/>
      </c>
      <c r="AH1177" s="531" t="str">
        <f t="shared" ca="1" si="501"/>
        <v/>
      </c>
      <c r="AI1177" s="531" t="str">
        <f t="shared" ca="1" si="502"/>
        <v/>
      </c>
      <c r="AJ1177" s="531" t="str">
        <f t="shared" si="503"/>
        <v/>
      </c>
      <c r="AK1177" s="540">
        <f>SUMIFS('Live Collections'!$S:$S,'Live Collections'!$D:$D,Disbursements!B1177,'Live Collections'!$G:$G,Disbursements!C1177)</f>
        <v>0</v>
      </c>
      <c r="AL1177" s="540">
        <f>SUMIFS('Live Collections'!$T:$T,'Live Collections'!$D:$D,Disbursements!B1177,'Live Collections'!$G:$G,Disbursements!C1177)</f>
        <v>0</v>
      </c>
      <c r="AM1177" s="541">
        <f t="shared" si="504"/>
        <v>0</v>
      </c>
      <c r="AN1177" s="542" t="str">
        <f t="shared" si="505"/>
        <v/>
      </c>
      <c r="AO1177" s="542" t="str">
        <f t="shared" si="506"/>
        <v/>
      </c>
      <c r="AP1177" s="543" t="str">
        <f t="shared" si="507"/>
        <v/>
      </c>
      <c r="AQ1177" s="544" t="str">
        <f t="shared" si="508"/>
        <v/>
      </c>
      <c r="AR1177" s="545">
        <f t="shared" si="509"/>
        <v>0</v>
      </c>
      <c r="AS1177" s="545">
        <f>IFERROR(CEILING($AR1177*VLOOKUP($I1177,Ref!$B$23:$E$29,4,0),1),0)</f>
        <v>0</v>
      </c>
      <c r="AT1177" s="545" t="str">
        <f>IF(A1177="","",IF(AP1177&lt;=1,"Cleared",IF(AS1177=0,"Clean",VLOOKUP($AS1177,Ref!$G$23:$H$28,2))))</f>
        <v/>
      </c>
      <c r="AU1177" s="546" t="str">
        <f t="shared" si="510"/>
        <v/>
      </c>
    </row>
    <row r="1178" spans="1:47" ht="14.25" hidden="1" customHeight="1" x14ac:dyDescent="0.15">
      <c r="A1178" s="523"/>
      <c r="B1178" s="523"/>
      <c r="C1178" s="523"/>
      <c r="D1178" s="523"/>
      <c r="E1178" s="579"/>
      <c r="F1178" s="580"/>
      <c r="G1178" s="524"/>
      <c r="H1178" s="555"/>
      <c r="I1178" s="560"/>
      <c r="J1178" s="523"/>
      <c r="K1178" s="528" t="str">
        <f>IFERROR(VLOOKUP($B1178,'Clients-Live'!$A:$C,3,0),"")</f>
        <v/>
      </c>
      <c r="L1178" s="528">
        <f>IF(E1178="STL",Pricing!$D$38,IF(A1178="",0,IF(A1178&lt;Pricing!$C$25,Pricing!$D$25,VLOOKUP(Disbursements!$F1178,Pricing!$B$29:$D$32,3))))</f>
        <v>0</v>
      </c>
      <c r="M1178" s="528">
        <f>IF(E1178="STL",0,IF(F1178&gt;0,Pricing!$D$21,0))</f>
        <v>0</v>
      </c>
      <c r="N1178" s="529">
        <f>IF(E1178="STL",F1178*Pricing!$D$40,IF(A1178&lt;=Pricing!$C$4,0,IF(AND(A1178&gt;Pricing!$C$4,Disbursements!A1178&lt;=Pricing!$C$5),F1178*Pricing!$E$5,IF(AND(A1178&gt;Pricing!$C$5,Disbursements!A1178&lt;=Pricing!$C$7),VLOOKUP(F1178,Pricing!$D$7:$E$8,2)*Disbursements!F1178,F1178*Pricing!$E$9))))</f>
        <v>0</v>
      </c>
      <c r="O1178" s="528">
        <f>IF(E1178="STL",0,IF($F1178&gt;0,$F1178*Pricing!$D$17,0))</f>
        <v>0</v>
      </c>
      <c r="P1178" s="530" t="str">
        <f t="shared" si="490"/>
        <v/>
      </c>
      <c r="Q1178" s="531" t="str">
        <f>IF($A1178="","",$G1178/VLOOKUP($I1178,Ref!$B$23:$D$29,2,0))</f>
        <v/>
      </c>
      <c r="R1178" s="530" t="str">
        <f t="shared" si="491"/>
        <v/>
      </c>
      <c r="S1178" s="532" t="str">
        <f t="shared" si="485"/>
        <v/>
      </c>
      <c r="T1178" s="531" t="str">
        <f t="shared" si="492"/>
        <v/>
      </c>
      <c r="U1178" s="533">
        <f t="shared" si="493"/>
        <v>0</v>
      </c>
      <c r="V1178" s="531" t="str">
        <f t="shared" si="494"/>
        <v/>
      </c>
      <c r="W1178" s="531" t="str">
        <f t="shared" si="495"/>
        <v/>
      </c>
      <c r="X1178" s="534" t="str">
        <f t="shared" si="496"/>
        <v/>
      </c>
      <c r="Y1178" s="535" t="str">
        <f>IF($A1178="","",IF($I1178="weekly",$A1178+7,EDATE($A1178,VLOOKUP($I1178,Ref!$B$24:$C$29,2,0))))</f>
        <v/>
      </c>
      <c r="Z1178" s="536" t="str">
        <f t="shared" si="497"/>
        <v/>
      </c>
      <c r="AA1178" s="531">
        <f t="shared" si="498"/>
        <v>0</v>
      </c>
      <c r="AB1178" s="535" t="str">
        <f t="shared" si="486"/>
        <v/>
      </c>
      <c r="AC1178" s="537" t="str">
        <f t="shared" si="487"/>
        <v/>
      </c>
      <c r="AD1178" s="538" t="str">
        <f t="shared" ca="1" si="488"/>
        <v/>
      </c>
      <c r="AE1178" s="537">
        <f t="shared" ca="1" si="489"/>
        <v>0</v>
      </c>
      <c r="AF1178" s="539" t="str">
        <f t="shared" ca="1" si="499"/>
        <v/>
      </c>
      <c r="AG1178" s="531" t="str">
        <f t="shared" ca="1" si="500"/>
        <v/>
      </c>
      <c r="AH1178" s="531" t="str">
        <f t="shared" ca="1" si="501"/>
        <v/>
      </c>
      <c r="AI1178" s="531" t="str">
        <f t="shared" ca="1" si="502"/>
        <v/>
      </c>
      <c r="AJ1178" s="531" t="str">
        <f t="shared" si="503"/>
        <v/>
      </c>
      <c r="AK1178" s="540">
        <f>SUMIFS('Live Collections'!$S:$S,'Live Collections'!$D:$D,Disbursements!B1178,'Live Collections'!$G:$G,Disbursements!C1178)</f>
        <v>0</v>
      </c>
      <c r="AL1178" s="540">
        <f>SUMIFS('Live Collections'!$T:$T,'Live Collections'!$D:$D,Disbursements!B1178,'Live Collections'!$G:$G,Disbursements!C1178)</f>
        <v>0</v>
      </c>
      <c r="AM1178" s="541">
        <f t="shared" si="504"/>
        <v>0</v>
      </c>
      <c r="AN1178" s="542" t="str">
        <f t="shared" si="505"/>
        <v/>
      </c>
      <c r="AO1178" s="542" t="str">
        <f t="shared" si="506"/>
        <v/>
      </c>
      <c r="AP1178" s="543" t="str">
        <f t="shared" si="507"/>
        <v/>
      </c>
      <c r="AQ1178" s="544" t="str">
        <f t="shared" si="508"/>
        <v/>
      </c>
      <c r="AR1178" s="545">
        <f t="shared" si="509"/>
        <v>0</v>
      </c>
      <c r="AS1178" s="545">
        <f>IFERROR(CEILING($AR1178*VLOOKUP($I1178,Ref!$B$23:$E$29,4,0),1),0)</f>
        <v>0</v>
      </c>
      <c r="AT1178" s="545" t="str">
        <f>IF(A1178="","",IF(AP1178&lt;=1,"Cleared",IF(AS1178=0,"Clean",VLOOKUP($AS1178,Ref!$G$23:$H$28,2))))</f>
        <v/>
      </c>
      <c r="AU1178" s="546" t="str">
        <f t="shared" si="510"/>
        <v/>
      </c>
    </row>
    <row r="1179" spans="1:47" ht="14.25" hidden="1" customHeight="1" x14ac:dyDescent="0.15">
      <c r="A1179" s="523"/>
      <c r="B1179" s="523"/>
      <c r="C1179" s="523"/>
      <c r="D1179" s="523"/>
      <c r="E1179" s="579"/>
      <c r="F1179" s="580"/>
      <c r="G1179" s="524"/>
      <c r="H1179" s="555"/>
      <c r="I1179" s="560"/>
      <c r="J1179" s="523"/>
      <c r="K1179" s="528" t="str">
        <f>IFERROR(VLOOKUP($B1179,'Clients-Live'!$A:$C,3,0),"")</f>
        <v/>
      </c>
      <c r="L1179" s="528">
        <f>IF(E1179="STL",Pricing!$D$38,IF(A1179="",0,IF(A1179&lt;Pricing!$C$25,Pricing!$D$25,VLOOKUP(Disbursements!$F1179,Pricing!$B$29:$D$32,3))))</f>
        <v>0</v>
      </c>
      <c r="M1179" s="528">
        <f>IF(E1179="STL",0,IF(F1179&gt;0,Pricing!$D$21,0))</f>
        <v>0</v>
      </c>
      <c r="N1179" s="529">
        <f>IF(E1179="STL",F1179*Pricing!$D$40,IF(A1179&lt;=Pricing!$C$4,0,IF(AND(A1179&gt;Pricing!$C$4,Disbursements!A1179&lt;=Pricing!$C$5),F1179*Pricing!$E$5,IF(AND(A1179&gt;Pricing!$C$5,Disbursements!A1179&lt;=Pricing!$C$7),VLOOKUP(F1179,Pricing!$D$7:$E$8,2)*Disbursements!F1179,F1179*Pricing!$E$9))))</f>
        <v>0</v>
      </c>
      <c r="O1179" s="528">
        <f>IF(E1179="STL",0,IF($F1179&gt;0,$F1179*Pricing!$D$17,0))</f>
        <v>0</v>
      </c>
      <c r="P1179" s="530" t="str">
        <f t="shared" si="490"/>
        <v/>
      </c>
      <c r="Q1179" s="531" t="str">
        <f>IF($A1179="","",$G1179/VLOOKUP($I1179,Ref!$B$23:$D$29,2,0))</f>
        <v/>
      </c>
      <c r="R1179" s="530" t="str">
        <f t="shared" si="491"/>
        <v/>
      </c>
      <c r="S1179" s="532" t="str">
        <f t="shared" si="485"/>
        <v/>
      </c>
      <c r="T1179" s="531" t="str">
        <f t="shared" si="492"/>
        <v/>
      </c>
      <c r="U1179" s="533">
        <f t="shared" si="493"/>
        <v>0</v>
      </c>
      <c r="V1179" s="531" t="str">
        <f t="shared" si="494"/>
        <v/>
      </c>
      <c r="W1179" s="531" t="str">
        <f t="shared" si="495"/>
        <v/>
      </c>
      <c r="X1179" s="534" t="str">
        <f t="shared" si="496"/>
        <v/>
      </c>
      <c r="Y1179" s="535" t="str">
        <f>IF($A1179="","",IF($I1179="weekly",$A1179+7,EDATE($A1179,VLOOKUP($I1179,Ref!$B$24:$C$29,2,0))))</f>
        <v/>
      </c>
      <c r="Z1179" s="536" t="str">
        <f t="shared" si="497"/>
        <v/>
      </c>
      <c r="AA1179" s="531">
        <f t="shared" si="498"/>
        <v>0</v>
      </c>
      <c r="AB1179" s="535" t="str">
        <f t="shared" si="486"/>
        <v/>
      </c>
      <c r="AC1179" s="537" t="str">
        <f t="shared" si="487"/>
        <v/>
      </c>
      <c r="AD1179" s="538" t="str">
        <f t="shared" ca="1" si="488"/>
        <v/>
      </c>
      <c r="AE1179" s="537">
        <f t="shared" ca="1" si="489"/>
        <v>0</v>
      </c>
      <c r="AF1179" s="539" t="str">
        <f t="shared" ca="1" si="499"/>
        <v/>
      </c>
      <c r="AG1179" s="531" t="str">
        <f t="shared" ca="1" si="500"/>
        <v/>
      </c>
      <c r="AH1179" s="531" t="str">
        <f t="shared" ca="1" si="501"/>
        <v/>
      </c>
      <c r="AI1179" s="531" t="str">
        <f t="shared" ca="1" si="502"/>
        <v/>
      </c>
      <c r="AJ1179" s="531" t="str">
        <f t="shared" si="503"/>
        <v/>
      </c>
      <c r="AK1179" s="540">
        <f>SUMIFS('Live Collections'!$S:$S,'Live Collections'!$D:$D,Disbursements!B1179,'Live Collections'!$G:$G,Disbursements!C1179)</f>
        <v>0</v>
      </c>
      <c r="AL1179" s="540">
        <f>SUMIFS('Live Collections'!$T:$T,'Live Collections'!$D:$D,Disbursements!B1179,'Live Collections'!$G:$G,Disbursements!C1179)</f>
        <v>0</v>
      </c>
      <c r="AM1179" s="541">
        <f t="shared" si="504"/>
        <v>0</v>
      </c>
      <c r="AN1179" s="542" t="str">
        <f t="shared" si="505"/>
        <v/>
      </c>
      <c r="AO1179" s="542" t="str">
        <f t="shared" si="506"/>
        <v/>
      </c>
      <c r="AP1179" s="543" t="str">
        <f t="shared" si="507"/>
        <v/>
      </c>
      <c r="AQ1179" s="544" t="str">
        <f t="shared" si="508"/>
        <v/>
      </c>
      <c r="AR1179" s="545">
        <f t="shared" si="509"/>
        <v>0</v>
      </c>
      <c r="AS1179" s="545">
        <f>IFERROR(CEILING($AR1179*VLOOKUP($I1179,Ref!$B$23:$E$29,4,0),1),0)</f>
        <v>0</v>
      </c>
      <c r="AT1179" s="545" t="str">
        <f>IF(A1179="","",IF(AP1179&lt;=1,"Cleared",IF(AS1179=0,"Clean",VLOOKUP($AS1179,Ref!$G$23:$H$28,2))))</f>
        <v/>
      </c>
      <c r="AU1179" s="546" t="str">
        <f t="shared" si="510"/>
        <v/>
      </c>
    </row>
    <row r="1180" spans="1:47" ht="14.25" hidden="1" customHeight="1" x14ac:dyDescent="0.15">
      <c r="A1180" s="523"/>
      <c r="B1180" s="523"/>
      <c r="C1180" s="523"/>
      <c r="D1180" s="523"/>
      <c r="E1180" s="579"/>
      <c r="F1180" s="580"/>
      <c r="G1180" s="524"/>
      <c r="H1180" s="555"/>
      <c r="I1180" s="560"/>
      <c r="J1180" s="523"/>
      <c r="K1180" s="528" t="str">
        <f>IFERROR(VLOOKUP($B1180,'Clients-Live'!$A:$C,3,0),"")</f>
        <v/>
      </c>
      <c r="L1180" s="528">
        <f>IF(E1180="STL",Pricing!$D$38,IF(A1180="",0,IF(A1180&lt;Pricing!$C$25,Pricing!$D$25,VLOOKUP(Disbursements!$F1180,Pricing!$B$29:$D$32,3))))</f>
        <v>0</v>
      </c>
      <c r="M1180" s="528">
        <f>IF(E1180="STL",0,IF(F1180&gt;0,Pricing!$D$21,0))</f>
        <v>0</v>
      </c>
      <c r="N1180" s="529">
        <f>IF(E1180="STL",F1180*Pricing!$D$40,IF(A1180&lt;=Pricing!$C$4,0,IF(AND(A1180&gt;Pricing!$C$4,Disbursements!A1180&lt;=Pricing!$C$5),F1180*Pricing!$E$5,IF(AND(A1180&gt;Pricing!$C$5,Disbursements!A1180&lt;=Pricing!$C$7),VLOOKUP(F1180,Pricing!$D$7:$E$8,2)*Disbursements!F1180,F1180*Pricing!$E$9))))</f>
        <v>0</v>
      </c>
      <c r="O1180" s="528">
        <f>IF(E1180="STL",0,IF($F1180&gt;0,$F1180*Pricing!$D$17,0))</f>
        <v>0</v>
      </c>
      <c r="P1180" s="530" t="str">
        <f t="shared" si="490"/>
        <v/>
      </c>
      <c r="Q1180" s="531" t="str">
        <f>IF($A1180="","",$G1180/VLOOKUP($I1180,Ref!$B$23:$D$29,2,0))</f>
        <v/>
      </c>
      <c r="R1180" s="530" t="str">
        <f t="shared" si="491"/>
        <v/>
      </c>
      <c r="S1180" s="532" t="str">
        <f t="shared" si="485"/>
        <v/>
      </c>
      <c r="T1180" s="531" t="str">
        <f t="shared" si="492"/>
        <v/>
      </c>
      <c r="U1180" s="533">
        <f t="shared" si="493"/>
        <v>0</v>
      </c>
      <c r="V1180" s="531" t="str">
        <f t="shared" si="494"/>
        <v/>
      </c>
      <c r="W1180" s="531" t="str">
        <f t="shared" si="495"/>
        <v/>
      </c>
      <c r="X1180" s="534" t="str">
        <f t="shared" si="496"/>
        <v/>
      </c>
      <c r="Y1180" s="535" t="str">
        <f>IF($A1180="","",IF($I1180="weekly",$A1180+7,EDATE($A1180,VLOOKUP($I1180,Ref!$B$24:$C$29,2,0))))</f>
        <v/>
      </c>
      <c r="Z1180" s="536" t="str">
        <f t="shared" si="497"/>
        <v/>
      </c>
      <c r="AA1180" s="531">
        <f t="shared" si="498"/>
        <v>0</v>
      </c>
      <c r="AB1180" s="535" t="str">
        <f t="shared" si="486"/>
        <v/>
      </c>
      <c r="AC1180" s="537" t="str">
        <f t="shared" si="487"/>
        <v/>
      </c>
      <c r="AD1180" s="538" t="str">
        <f t="shared" ca="1" si="488"/>
        <v/>
      </c>
      <c r="AE1180" s="537">
        <f t="shared" ca="1" si="489"/>
        <v>0</v>
      </c>
      <c r="AF1180" s="539" t="str">
        <f t="shared" ca="1" si="499"/>
        <v/>
      </c>
      <c r="AG1180" s="531" t="str">
        <f t="shared" ca="1" si="500"/>
        <v/>
      </c>
      <c r="AH1180" s="531" t="str">
        <f t="shared" ca="1" si="501"/>
        <v/>
      </c>
      <c r="AI1180" s="531" t="str">
        <f t="shared" ca="1" si="502"/>
        <v/>
      </c>
      <c r="AJ1180" s="531" t="str">
        <f t="shared" si="503"/>
        <v/>
      </c>
      <c r="AK1180" s="540">
        <f>SUMIFS('Live Collections'!$S:$S,'Live Collections'!$D:$D,Disbursements!B1180,'Live Collections'!$G:$G,Disbursements!C1180)</f>
        <v>0</v>
      </c>
      <c r="AL1180" s="540">
        <f>SUMIFS('Live Collections'!$T:$T,'Live Collections'!$D:$D,Disbursements!B1180,'Live Collections'!$G:$G,Disbursements!C1180)</f>
        <v>0</v>
      </c>
      <c r="AM1180" s="541">
        <f t="shared" si="504"/>
        <v>0</v>
      </c>
      <c r="AN1180" s="542" t="str">
        <f t="shared" si="505"/>
        <v/>
      </c>
      <c r="AO1180" s="542" t="str">
        <f t="shared" si="506"/>
        <v/>
      </c>
      <c r="AP1180" s="543" t="str">
        <f t="shared" si="507"/>
        <v/>
      </c>
      <c r="AQ1180" s="544" t="str">
        <f t="shared" si="508"/>
        <v/>
      </c>
      <c r="AR1180" s="545">
        <f t="shared" si="509"/>
        <v>0</v>
      </c>
      <c r="AS1180" s="545">
        <f>IFERROR(CEILING($AR1180*VLOOKUP($I1180,Ref!$B$23:$E$29,4,0),1),0)</f>
        <v>0</v>
      </c>
      <c r="AT1180" s="545" t="str">
        <f>IF(A1180="","",IF(AP1180&lt;=1,"Cleared",IF(AS1180=0,"Clean",VLOOKUP($AS1180,Ref!$G$23:$H$28,2))))</f>
        <v/>
      </c>
      <c r="AU1180" s="546" t="str">
        <f t="shared" si="510"/>
        <v/>
      </c>
    </row>
    <row r="1181" spans="1:47" ht="14.25" hidden="1" customHeight="1" x14ac:dyDescent="0.15">
      <c r="A1181" s="523"/>
      <c r="B1181" s="523"/>
      <c r="C1181" s="523"/>
      <c r="D1181" s="523"/>
      <c r="E1181" s="579"/>
      <c r="F1181" s="580"/>
      <c r="G1181" s="524"/>
      <c r="H1181" s="555"/>
      <c r="I1181" s="560"/>
      <c r="J1181" s="523"/>
      <c r="K1181" s="528" t="str">
        <f>IFERROR(VLOOKUP($B1181,'Clients-Live'!$A:$C,3,0),"")</f>
        <v/>
      </c>
      <c r="L1181" s="528">
        <f>IF(E1181="STL",Pricing!$D$38,IF(A1181="",0,IF(A1181&lt;Pricing!$C$25,Pricing!$D$25,VLOOKUP(Disbursements!$F1181,Pricing!$B$29:$D$32,3))))</f>
        <v>0</v>
      </c>
      <c r="M1181" s="528">
        <f>IF(E1181="STL",0,IF(F1181&gt;0,Pricing!$D$21,0))</f>
        <v>0</v>
      </c>
      <c r="N1181" s="529">
        <f>IF(E1181="STL",F1181*Pricing!$D$40,IF(A1181&lt;=Pricing!$C$4,0,IF(AND(A1181&gt;Pricing!$C$4,Disbursements!A1181&lt;=Pricing!$C$5),F1181*Pricing!$E$5,IF(AND(A1181&gt;Pricing!$C$5,Disbursements!A1181&lt;=Pricing!$C$7),VLOOKUP(F1181,Pricing!$D$7:$E$8,2)*Disbursements!F1181,F1181*Pricing!$E$9))))</f>
        <v>0</v>
      </c>
      <c r="O1181" s="528">
        <f>IF(E1181="STL",0,IF($F1181&gt;0,$F1181*Pricing!$D$17,0))</f>
        <v>0</v>
      </c>
      <c r="P1181" s="530" t="str">
        <f t="shared" si="490"/>
        <v/>
      </c>
      <c r="Q1181" s="531" t="str">
        <f>IF($A1181="","",$G1181/VLOOKUP($I1181,Ref!$B$23:$D$29,2,0))</f>
        <v/>
      </c>
      <c r="R1181" s="530" t="str">
        <f t="shared" si="491"/>
        <v/>
      </c>
      <c r="S1181" s="532" t="str">
        <f t="shared" si="485"/>
        <v/>
      </c>
      <c r="T1181" s="531" t="str">
        <f t="shared" si="492"/>
        <v/>
      </c>
      <c r="U1181" s="533">
        <f t="shared" si="493"/>
        <v>0</v>
      </c>
      <c r="V1181" s="531" t="str">
        <f t="shared" si="494"/>
        <v/>
      </c>
      <c r="W1181" s="531" t="str">
        <f t="shared" si="495"/>
        <v/>
      </c>
      <c r="X1181" s="534" t="str">
        <f t="shared" si="496"/>
        <v/>
      </c>
      <c r="Y1181" s="535" t="str">
        <f>IF($A1181="","",IF($I1181="weekly",$A1181+7,EDATE($A1181,VLOOKUP($I1181,Ref!$B$24:$C$29,2,0))))</f>
        <v/>
      </c>
      <c r="Z1181" s="536" t="str">
        <f t="shared" si="497"/>
        <v/>
      </c>
      <c r="AA1181" s="531">
        <f t="shared" si="498"/>
        <v>0</v>
      </c>
      <c r="AB1181" s="535" t="str">
        <f t="shared" si="486"/>
        <v/>
      </c>
      <c r="AC1181" s="537" t="str">
        <f t="shared" si="487"/>
        <v/>
      </c>
      <c r="AD1181" s="538" t="str">
        <f t="shared" ca="1" si="488"/>
        <v/>
      </c>
      <c r="AE1181" s="537">
        <f t="shared" ca="1" si="489"/>
        <v>0</v>
      </c>
      <c r="AF1181" s="539" t="str">
        <f t="shared" ca="1" si="499"/>
        <v/>
      </c>
      <c r="AG1181" s="531" t="str">
        <f t="shared" ca="1" si="500"/>
        <v/>
      </c>
      <c r="AH1181" s="531" t="str">
        <f t="shared" ca="1" si="501"/>
        <v/>
      </c>
      <c r="AI1181" s="531" t="str">
        <f t="shared" ca="1" si="502"/>
        <v/>
      </c>
      <c r="AJ1181" s="531" t="str">
        <f t="shared" si="503"/>
        <v/>
      </c>
      <c r="AK1181" s="540">
        <f>SUMIFS('Live Collections'!$S:$S,'Live Collections'!$D:$D,Disbursements!B1181,'Live Collections'!$G:$G,Disbursements!C1181)</f>
        <v>0</v>
      </c>
      <c r="AL1181" s="540">
        <f>SUMIFS('Live Collections'!$T:$T,'Live Collections'!$D:$D,Disbursements!B1181,'Live Collections'!$G:$G,Disbursements!C1181)</f>
        <v>0</v>
      </c>
      <c r="AM1181" s="541">
        <f t="shared" si="504"/>
        <v>0</v>
      </c>
      <c r="AN1181" s="542" t="str">
        <f t="shared" si="505"/>
        <v/>
      </c>
      <c r="AO1181" s="542" t="str">
        <f t="shared" si="506"/>
        <v/>
      </c>
      <c r="AP1181" s="543" t="str">
        <f t="shared" si="507"/>
        <v/>
      </c>
      <c r="AQ1181" s="544" t="str">
        <f t="shared" si="508"/>
        <v/>
      </c>
      <c r="AR1181" s="545">
        <f t="shared" si="509"/>
        <v>0</v>
      </c>
      <c r="AS1181" s="545">
        <f>IFERROR(CEILING($AR1181*VLOOKUP($I1181,Ref!$B$23:$E$29,4,0),1),0)</f>
        <v>0</v>
      </c>
      <c r="AT1181" s="545" t="str">
        <f>IF(A1181="","",IF(AP1181&lt;=1,"Cleared",IF(AS1181=0,"Clean",VLOOKUP($AS1181,Ref!$G$23:$H$28,2))))</f>
        <v/>
      </c>
      <c r="AU1181" s="546" t="str">
        <f t="shared" si="510"/>
        <v/>
      </c>
    </row>
    <row r="1182" spans="1:47" ht="14.25" hidden="1" customHeight="1" x14ac:dyDescent="0.15">
      <c r="A1182" s="523"/>
      <c r="B1182" s="523"/>
      <c r="C1182" s="523"/>
      <c r="D1182" s="523"/>
      <c r="E1182" s="579"/>
      <c r="F1182" s="580"/>
      <c r="G1182" s="524"/>
      <c r="H1182" s="555"/>
      <c r="I1182" s="560"/>
      <c r="J1182" s="523"/>
      <c r="K1182" s="528" t="str">
        <f>IFERROR(VLOOKUP($B1182,'Clients-Live'!$A:$C,3,0),"")</f>
        <v/>
      </c>
      <c r="L1182" s="528">
        <f>IF(E1182="STL",Pricing!$D$38,IF(A1182="",0,IF(A1182&lt;Pricing!$C$25,Pricing!$D$25,VLOOKUP(Disbursements!$F1182,Pricing!$B$29:$D$32,3))))</f>
        <v>0</v>
      </c>
      <c r="M1182" s="528">
        <f>IF(E1182="STL",0,IF(F1182&gt;0,Pricing!$D$21,0))</f>
        <v>0</v>
      </c>
      <c r="N1182" s="529">
        <f>IF(E1182="STL",F1182*Pricing!$D$40,IF(A1182&lt;=Pricing!$C$4,0,IF(AND(A1182&gt;Pricing!$C$4,Disbursements!A1182&lt;=Pricing!$C$5),F1182*Pricing!$E$5,IF(AND(A1182&gt;Pricing!$C$5,Disbursements!A1182&lt;=Pricing!$C$7),VLOOKUP(F1182,Pricing!$D$7:$E$8,2)*Disbursements!F1182,F1182*Pricing!$E$9))))</f>
        <v>0</v>
      </c>
      <c r="O1182" s="528">
        <f>IF(E1182="STL",0,IF($F1182&gt;0,$F1182*Pricing!$D$17,0))</f>
        <v>0</v>
      </c>
      <c r="P1182" s="530" t="str">
        <f t="shared" si="490"/>
        <v/>
      </c>
      <c r="Q1182" s="531" t="str">
        <f>IF($A1182="","",$G1182/VLOOKUP($I1182,Ref!$B$23:$D$29,2,0))</f>
        <v/>
      </c>
      <c r="R1182" s="530" t="str">
        <f t="shared" si="491"/>
        <v/>
      </c>
      <c r="S1182" s="532" t="str">
        <f t="shared" si="485"/>
        <v/>
      </c>
      <c r="T1182" s="531" t="str">
        <f t="shared" si="492"/>
        <v/>
      </c>
      <c r="U1182" s="533">
        <f t="shared" si="493"/>
        <v>0</v>
      </c>
      <c r="V1182" s="531" t="str">
        <f t="shared" si="494"/>
        <v/>
      </c>
      <c r="W1182" s="531" t="str">
        <f t="shared" si="495"/>
        <v/>
      </c>
      <c r="X1182" s="534" t="str">
        <f t="shared" si="496"/>
        <v/>
      </c>
      <c r="Y1182" s="535" t="str">
        <f>IF($A1182="","",IF($I1182="weekly",$A1182+7,EDATE($A1182,VLOOKUP($I1182,Ref!$B$24:$C$29,2,0))))</f>
        <v/>
      </c>
      <c r="Z1182" s="536" t="str">
        <f t="shared" si="497"/>
        <v/>
      </c>
      <c r="AA1182" s="531">
        <f t="shared" si="498"/>
        <v>0</v>
      </c>
      <c r="AB1182" s="535" t="str">
        <f t="shared" si="486"/>
        <v/>
      </c>
      <c r="AC1182" s="537" t="str">
        <f t="shared" si="487"/>
        <v/>
      </c>
      <c r="AD1182" s="538" t="str">
        <f t="shared" ca="1" si="488"/>
        <v/>
      </c>
      <c r="AE1182" s="537">
        <f t="shared" ca="1" si="489"/>
        <v>0</v>
      </c>
      <c r="AF1182" s="539" t="str">
        <f t="shared" ca="1" si="499"/>
        <v/>
      </c>
      <c r="AG1182" s="531" t="str">
        <f t="shared" ca="1" si="500"/>
        <v/>
      </c>
      <c r="AH1182" s="531" t="str">
        <f t="shared" ca="1" si="501"/>
        <v/>
      </c>
      <c r="AI1182" s="531" t="str">
        <f t="shared" ca="1" si="502"/>
        <v/>
      </c>
      <c r="AJ1182" s="531" t="str">
        <f t="shared" si="503"/>
        <v/>
      </c>
      <c r="AK1182" s="540">
        <f>SUMIFS('Live Collections'!$S:$S,'Live Collections'!$D:$D,Disbursements!B1182,'Live Collections'!$G:$G,Disbursements!C1182)</f>
        <v>0</v>
      </c>
      <c r="AL1182" s="540">
        <f>SUMIFS('Live Collections'!$T:$T,'Live Collections'!$D:$D,Disbursements!B1182,'Live Collections'!$G:$G,Disbursements!C1182)</f>
        <v>0</v>
      </c>
      <c r="AM1182" s="541">
        <f t="shared" si="504"/>
        <v>0</v>
      </c>
      <c r="AN1182" s="542" t="str">
        <f t="shared" si="505"/>
        <v/>
      </c>
      <c r="AO1182" s="542" t="str">
        <f t="shared" si="506"/>
        <v/>
      </c>
      <c r="AP1182" s="543" t="str">
        <f t="shared" si="507"/>
        <v/>
      </c>
      <c r="AQ1182" s="544" t="str">
        <f t="shared" si="508"/>
        <v/>
      </c>
      <c r="AR1182" s="545">
        <f t="shared" si="509"/>
        <v>0</v>
      </c>
      <c r="AS1182" s="545">
        <f>IFERROR(CEILING($AR1182*VLOOKUP($I1182,Ref!$B$23:$E$29,4,0),1),0)</f>
        <v>0</v>
      </c>
      <c r="AT1182" s="545" t="str">
        <f>IF(A1182="","",IF(AP1182&lt;=1,"Cleared",IF(AS1182=0,"Clean",VLOOKUP($AS1182,Ref!$G$23:$H$28,2))))</f>
        <v/>
      </c>
      <c r="AU1182" s="546" t="str">
        <f t="shared" si="510"/>
        <v/>
      </c>
    </row>
    <row r="1183" spans="1:47" ht="14.25" hidden="1" customHeight="1" x14ac:dyDescent="0.15">
      <c r="A1183" s="523"/>
      <c r="B1183" s="523"/>
      <c r="C1183" s="523"/>
      <c r="D1183" s="523"/>
      <c r="E1183" s="579"/>
      <c r="F1183" s="580"/>
      <c r="G1183" s="524"/>
      <c r="H1183" s="555"/>
      <c r="I1183" s="560"/>
      <c r="J1183" s="523"/>
      <c r="K1183" s="528" t="str">
        <f>IFERROR(VLOOKUP($B1183,'Clients-Live'!$A:$C,3,0),"")</f>
        <v/>
      </c>
      <c r="L1183" s="528">
        <f>IF(E1183="STL",Pricing!$D$38,IF(A1183="",0,IF(A1183&lt;Pricing!$C$25,Pricing!$D$25,VLOOKUP(Disbursements!$F1183,Pricing!$B$29:$D$32,3))))</f>
        <v>0</v>
      </c>
      <c r="M1183" s="528">
        <f>IF(E1183="STL",0,IF(F1183&gt;0,Pricing!$D$21,0))</f>
        <v>0</v>
      </c>
      <c r="N1183" s="529">
        <f>IF(E1183="STL",F1183*Pricing!$D$40,IF(A1183&lt;=Pricing!$C$4,0,IF(AND(A1183&gt;Pricing!$C$4,Disbursements!A1183&lt;=Pricing!$C$5),F1183*Pricing!$E$5,IF(AND(A1183&gt;Pricing!$C$5,Disbursements!A1183&lt;=Pricing!$C$7),VLOOKUP(F1183,Pricing!$D$7:$E$8,2)*Disbursements!F1183,F1183*Pricing!$E$9))))</f>
        <v>0</v>
      </c>
      <c r="O1183" s="528">
        <f>IF(E1183="STL",0,IF($F1183&gt;0,$F1183*Pricing!$D$17,0))</f>
        <v>0</v>
      </c>
      <c r="P1183" s="530" t="str">
        <f t="shared" si="490"/>
        <v/>
      </c>
      <c r="Q1183" s="531" t="str">
        <f>IF($A1183="","",$G1183/VLOOKUP($I1183,Ref!$B$23:$D$29,2,0))</f>
        <v/>
      </c>
      <c r="R1183" s="530" t="str">
        <f t="shared" si="491"/>
        <v/>
      </c>
      <c r="S1183" s="532" t="str">
        <f t="shared" si="485"/>
        <v/>
      </c>
      <c r="T1183" s="531" t="str">
        <f t="shared" si="492"/>
        <v/>
      </c>
      <c r="U1183" s="533">
        <f t="shared" si="493"/>
        <v>0</v>
      </c>
      <c r="V1183" s="531" t="str">
        <f t="shared" si="494"/>
        <v/>
      </c>
      <c r="W1183" s="531" t="str">
        <f t="shared" si="495"/>
        <v/>
      </c>
      <c r="X1183" s="534" t="str">
        <f t="shared" si="496"/>
        <v/>
      </c>
      <c r="Y1183" s="535" t="str">
        <f>IF($A1183="","",IF($I1183="weekly",$A1183+7,EDATE($A1183,VLOOKUP($I1183,Ref!$B$24:$C$29,2,0))))</f>
        <v/>
      </c>
      <c r="Z1183" s="536" t="str">
        <f t="shared" si="497"/>
        <v/>
      </c>
      <c r="AA1183" s="531">
        <f t="shared" si="498"/>
        <v>0</v>
      </c>
      <c r="AB1183" s="535" t="str">
        <f t="shared" si="486"/>
        <v/>
      </c>
      <c r="AC1183" s="537" t="str">
        <f t="shared" si="487"/>
        <v/>
      </c>
      <c r="AD1183" s="538" t="str">
        <f t="shared" ca="1" si="488"/>
        <v/>
      </c>
      <c r="AE1183" s="537">
        <f t="shared" ca="1" si="489"/>
        <v>0</v>
      </c>
      <c r="AF1183" s="539" t="str">
        <f t="shared" ca="1" si="499"/>
        <v/>
      </c>
      <c r="AG1183" s="531" t="str">
        <f t="shared" ca="1" si="500"/>
        <v/>
      </c>
      <c r="AH1183" s="531" t="str">
        <f t="shared" ca="1" si="501"/>
        <v/>
      </c>
      <c r="AI1183" s="531" t="str">
        <f t="shared" ca="1" si="502"/>
        <v/>
      </c>
      <c r="AJ1183" s="531" t="str">
        <f t="shared" si="503"/>
        <v/>
      </c>
      <c r="AK1183" s="540">
        <f>SUMIFS('Live Collections'!$S:$S,'Live Collections'!$D:$D,Disbursements!B1183,'Live Collections'!$G:$G,Disbursements!C1183)</f>
        <v>0</v>
      </c>
      <c r="AL1183" s="540">
        <f>SUMIFS('Live Collections'!$T:$T,'Live Collections'!$D:$D,Disbursements!B1183,'Live Collections'!$G:$G,Disbursements!C1183)</f>
        <v>0</v>
      </c>
      <c r="AM1183" s="541">
        <f t="shared" si="504"/>
        <v>0</v>
      </c>
      <c r="AN1183" s="542" t="str">
        <f t="shared" si="505"/>
        <v/>
      </c>
      <c r="AO1183" s="542" t="str">
        <f t="shared" si="506"/>
        <v/>
      </c>
      <c r="AP1183" s="543" t="str">
        <f t="shared" si="507"/>
        <v/>
      </c>
      <c r="AQ1183" s="544" t="str">
        <f t="shared" si="508"/>
        <v/>
      </c>
      <c r="AR1183" s="545">
        <f t="shared" si="509"/>
        <v>0</v>
      </c>
      <c r="AS1183" s="545">
        <f>IFERROR(CEILING($AR1183*VLOOKUP($I1183,Ref!$B$23:$E$29,4,0),1),0)</f>
        <v>0</v>
      </c>
      <c r="AT1183" s="545" t="str">
        <f>IF(A1183="","",IF(AP1183&lt;=1,"Cleared",IF(AS1183=0,"Clean",VLOOKUP($AS1183,Ref!$G$23:$H$28,2))))</f>
        <v/>
      </c>
      <c r="AU1183" s="546" t="str">
        <f t="shared" si="510"/>
        <v/>
      </c>
    </row>
    <row r="1184" spans="1:47" ht="14.25" hidden="1" customHeight="1" x14ac:dyDescent="0.15">
      <c r="A1184" s="523"/>
      <c r="B1184" s="523"/>
      <c r="C1184" s="523"/>
      <c r="D1184" s="523"/>
      <c r="E1184" s="579"/>
      <c r="F1184" s="580"/>
      <c r="G1184" s="524"/>
      <c r="H1184" s="555"/>
      <c r="I1184" s="560"/>
      <c r="J1184" s="523"/>
      <c r="K1184" s="528" t="str">
        <f>IFERROR(VLOOKUP($B1184,'Clients-Live'!$A:$C,3,0),"")</f>
        <v/>
      </c>
      <c r="L1184" s="528">
        <f>IF(E1184="STL",Pricing!$D$38,IF(A1184="",0,IF(A1184&lt;Pricing!$C$25,Pricing!$D$25,VLOOKUP(Disbursements!$F1184,Pricing!$B$29:$D$32,3))))</f>
        <v>0</v>
      </c>
      <c r="M1184" s="528">
        <f>IF(E1184="STL",0,IF(F1184&gt;0,Pricing!$D$21,0))</f>
        <v>0</v>
      </c>
      <c r="N1184" s="529">
        <f>IF(E1184="STL",F1184*Pricing!$D$40,IF(A1184&lt;=Pricing!$C$4,0,IF(AND(A1184&gt;Pricing!$C$4,Disbursements!A1184&lt;=Pricing!$C$5),F1184*Pricing!$E$5,IF(AND(A1184&gt;Pricing!$C$5,Disbursements!A1184&lt;=Pricing!$C$7),VLOOKUP(F1184,Pricing!$D$7:$E$8,2)*Disbursements!F1184,F1184*Pricing!$E$9))))</f>
        <v>0</v>
      </c>
      <c r="O1184" s="528">
        <f>IF(E1184="STL",0,IF($F1184&gt;0,$F1184*Pricing!$D$17,0))</f>
        <v>0</v>
      </c>
      <c r="P1184" s="530" t="str">
        <f t="shared" si="490"/>
        <v/>
      </c>
      <c r="Q1184" s="531" t="str">
        <f>IF($A1184="","",$G1184/VLOOKUP($I1184,Ref!$B$23:$D$29,2,0))</f>
        <v/>
      </c>
      <c r="R1184" s="530" t="str">
        <f t="shared" si="491"/>
        <v/>
      </c>
      <c r="S1184" s="532" t="str">
        <f t="shared" si="485"/>
        <v/>
      </c>
      <c r="T1184" s="531" t="str">
        <f t="shared" si="492"/>
        <v/>
      </c>
      <c r="U1184" s="533">
        <f t="shared" si="493"/>
        <v>0</v>
      </c>
      <c r="V1184" s="531" t="str">
        <f t="shared" si="494"/>
        <v/>
      </c>
      <c r="W1184" s="531" t="str">
        <f t="shared" si="495"/>
        <v/>
      </c>
      <c r="X1184" s="534" t="str">
        <f t="shared" si="496"/>
        <v/>
      </c>
      <c r="Y1184" s="535" t="str">
        <f>IF($A1184="","",IF($I1184="weekly",$A1184+7,EDATE($A1184,VLOOKUP($I1184,Ref!$B$24:$C$29,2,0))))</f>
        <v/>
      </c>
      <c r="Z1184" s="536" t="str">
        <f t="shared" si="497"/>
        <v/>
      </c>
      <c r="AA1184" s="531">
        <f t="shared" si="498"/>
        <v>0</v>
      </c>
      <c r="AB1184" s="535" t="str">
        <f t="shared" si="486"/>
        <v/>
      </c>
      <c r="AC1184" s="537" t="str">
        <f t="shared" si="487"/>
        <v/>
      </c>
      <c r="AD1184" s="538" t="str">
        <f t="shared" ca="1" si="488"/>
        <v/>
      </c>
      <c r="AE1184" s="537">
        <f t="shared" ca="1" si="489"/>
        <v>0</v>
      </c>
      <c r="AF1184" s="539" t="str">
        <f t="shared" ca="1" si="499"/>
        <v/>
      </c>
      <c r="AG1184" s="531" t="str">
        <f t="shared" ca="1" si="500"/>
        <v/>
      </c>
      <c r="AH1184" s="531" t="str">
        <f t="shared" ca="1" si="501"/>
        <v/>
      </c>
      <c r="AI1184" s="531" t="str">
        <f t="shared" ca="1" si="502"/>
        <v/>
      </c>
      <c r="AJ1184" s="531" t="str">
        <f t="shared" si="503"/>
        <v/>
      </c>
      <c r="AK1184" s="540">
        <f>SUMIFS('Live Collections'!$S:$S,'Live Collections'!$D:$D,Disbursements!B1184,'Live Collections'!$G:$G,Disbursements!C1184)</f>
        <v>0</v>
      </c>
      <c r="AL1184" s="540">
        <f>SUMIFS('Live Collections'!$T:$T,'Live Collections'!$D:$D,Disbursements!B1184,'Live Collections'!$G:$G,Disbursements!C1184)</f>
        <v>0</v>
      </c>
      <c r="AM1184" s="541">
        <f t="shared" si="504"/>
        <v>0</v>
      </c>
      <c r="AN1184" s="542" t="str">
        <f t="shared" si="505"/>
        <v/>
      </c>
      <c r="AO1184" s="542" t="str">
        <f t="shared" si="506"/>
        <v/>
      </c>
      <c r="AP1184" s="543" t="str">
        <f t="shared" si="507"/>
        <v/>
      </c>
      <c r="AQ1184" s="544" t="str">
        <f t="shared" si="508"/>
        <v/>
      </c>
      <c r="AR1184" s="545">
        <f t="shared" si="509"/>
        <v>0</v>
      </c>
      <c r="AS1184" s="545">
        <f>IFERROR(CEILING($AR1184*VLOOKUP($I1184,Ref!$B$23:$E$29,4,0),1),0)</f>
        <v>0</v>
      </c>
      <c r="AT1184" s="545" t="str">
        <f>IF(A1184="","",IF(AP1184&lt;=1,"Cleared",IF(AS1184=0,"Clean",VLOOKUP($AS1184,Ref!$G$23:$H$28,2))))</f>
        <v/>
      </c>
      <c r="AU1184" s="546" t="str">
        <f t="shared" si="510"/>
        <v/>
      </c>
    </row>
    <row r="1185" spans="1:47" ht="14.25" hidden="1" customHeight="1" x14ac:dyDescent="0.15">
      <c r="A1185" s="523"/>
      <c r="B1185" s="523"/>
      <c r="C1185" s="523"/>
      <c r="D1185" s="523"/>
      <c r="E1185" s="579"/>
      <c r="F1185" s="580"/>
      <c r="G1185" s="524"/>
      <c r="H1185" s="555"/>
      <c r="I1185" s="560"/>
      <c r="J1185" s="523"/>
      <c r="K1185" s="528" t="str">
        <f>IFERROR(VLOOKUP($B1185,'Clients-Live'!$A:$C,3,0),"")</f>
        <v/>
      </c>
      <c r="L1185" s="528">
        <f>IF(E1185="STL",Pricing!$D$38,IF(A1185="",0,IF(A1185&lt;Pricing!$C$25,Pricing!$D$25,VLOOKUP(Disbursements!$F1185,Pricing!$B$29:$D$32,3))))</f>
        <v>0</v>
      </c>
      <c r="M1185" s="528">
        <f>IF(E1185="STL",0,IF(F1185&gt;0,Pricing!$D$21,0))</f>
        <v>0</v>
      </c>
      <c r="N1185" s="529">
        <f>IF(E1185="STL",F1185*Pricing!$D$40,IF(A1185&lt;=Pricing!$C$4,0,IF(AND(A1185&gt;Pricing!$C$4,Disbursements!A1185&lt;=Pricing!$C$5),F1185*Pricing!$E$5,IF(AND(A1185&gt;Pricing!$C$5,Disbursements!A1185&lt;=Pricing!$C$7),VLOOKUP(F1185,Pricing!$D$7:$E$8,2)*Disbursements!F1185,F1185*Pricing!$E$9))))</f>
        <v>0</v>
      </c>
      <c r="O1185" s="528">
        <f>IF(E1185="STL",0,IF($F1185&gt;0,$F1185*Pricing!$D$17,0))</f>
        <v>0</v>
      </c>
      <c r="P1185" s="530" t="str">
        <f t="shared" si="490"/>
        <v/>
      </c>
      <c r="Q1185" s="531" t="str">
        <f>IF($A1185="","",$G1185/VLOOKUP($I1185,Ref!$B$23:$D$29,2,0))</f>
        <v/>
      </c>
      <c r="R1185" s="530" t="str">
        <f t="shared" si="491"/>
        <v/>
      </c>
      <c r="S1185" s="532" t="str">
        <f t="shared" si="485"/>
        <v/>
      </c>
      <c r="T1185" s="531" t="str">
        <f t="shared" si="492"/>
        <v/>
      </c>
      <c r="U1185" s="533">
        <f t="shared" si="493"/>
        <v>0</v>
      </c>
      <c r="V1185" s="531" t="str">
        <f t="shared" si="494"/>
        <v/>
      </c>
      <c r="W1185" s="531" t="str">
        <f t="shared" si="495"/>
        <v/>
      </c>
      <c r="X1185" s="534" t="str">
        <f t="shared" si="496"/>
        <v/>
      </c>
      <c r="Y1185" s="535" t="str">
        <f>IF($A1185="","",IF($I1185="weekly",$A1185+7,EDATE($A1185,VLOOKUP($I1185,Ref!$B$24:$C$29,2,0))))</f>
        <v/>
      </c>
      <c r="Z1185" s="536" t="str">
        <f t="shared" si="497"/>
        <v/>
      </c>
      <c r="AA1185" s="531">
        <f t="shared" si="498"/>
        <v>0</v>
      </c>
      <c r="AB1185" s="535" t="str">
        <f t="shared" si="486"/>
        <v/>
      </c>
      <c r="AC1185" s="537" t="str">
        <f t="shared" si="487"/>
        <v/>
      </c>
      <c r="AD1185" s="538" t="str">
        <f t="shared" ca="1" si="488"/>
        <v/>
      </c>
      <c r="AE1185" s="537">
        <f t="shared" ca="1" si="489"/>
        <v>0</v>
      </c>
      <c r="AF1185" s="539" t="str">
        <f t="shared" ca="1" si="499"/>
        <v/>
      </c>
      <c r="AG1185" s="531" t="str">
        <f t="shared" ca="1" si="500"/>
        <v/>
      </c>
      <c r="AH1185" s="531" t="str">
        <f t="shared" ca="1" si="501"/>
        <v/>
      </c>
      <c r="AI1185" s="531" t="str">
        <f t="shared" ca="1" si="502"/>
        <v/>
      </c>
      <c r="AJ1185" s="531" t="str">
        <f t="shared" si="503"/>
        <v/>
      </c>
      <c r="AK1185" s="540">
        <f>SUMIFS('Live Collections'!$S:$S,'Live Collections'!$D:$D,Disbursements!B1185,'Live Collections'!$G:$G,Disbursements!C1185)</f>
        <v>0</v>
      </c>
      <c r="AL1185" s="540">
        <f>SUMIFS('Live Collections'!$T:$T,'Live Collections'!$D:$D,Disbursements!B1185,'Live Collections'!$G:$G,Disbursements!C1185)</f>
        <v>0</v>
      </c>
      <c r="AM1185" s="541">
        <f t="shared" si="504"/>
        <v>0</v>
      </c>
      <c r="AN1185" s="542" t="str">
        <f t="shared" si="505"/>
        <v/>
      </c>
      <c r="AO1185" s="542" t="str">
        <f t="shared" si="506"/>
        <v/>
      </c>
      <c r="AP1185" s="543" t="str">
        <f t="shared" si="507"/>
        <v/>
      </c>
      <c r="AQ1185" s="544" t="str">
        <f t="shared" si="508"/>
        <v/>
      </c>
      <c r="AR1185" s="545">
        <f t="shared" si="509"/>
        <v>0</v>
      </c>
      <c r="AS1185" s="545">
        <f>IFERROR(CEILING($AR1185*VLOOKUP($I1185,Ref!$B$23:$E$29,4,0),1),0)</f>
        <v>0</v>
      </c>
      <c r="AT1185" s="545" t="str">
        <f>IF(A1185="","",IF(AP1185&lt;=1,"Cleared",IF(AS1185=0,"Clean",VLOOKUP($AS1185,Ref!$G$23:$H$28,2))))</f>
        <v/>
      </c>
      <c r="AU1185" s="546" t="str">
        <f t="shared" si="510"/>
        <v/>
      </c>
    </row>
    <row r="1186" spans="1:47" ht="14.25" hidden="1" customHeight="1" x14ac:dyDescent="0.15">
      <c r="A1186" s="523"/>
      <c r="B1186" s="523"/>
      <c r="C1186" s="523"/>
      <c r="D1186" s="523"/>
      <c r="E1186" s="579"/>
      <c r="F1186" s="580"/>
      <c r="G1186" s="524"/>
      <c r="H1186" s="555"/>
      <c r="I1186" s="560"/>
      <c r="J1186" s="523"/>
      <c r="K1186" s="528" t="str">
        <f>IFERROR(VLOOKUP($B1186,'Clients-Live'!$A:$C,3,0),"")</f>
        <v/>
      </c>
      <c r="L1186" s="528">
        <f>IF(E1186="STL",Pricing!$D$38,IF(A1186="",0,IF(A1186&lt;Pricing!$C$25,Pricing!$D$25,VLOOKUP(Disbursements!$F1186,Pricing!$B$29:$D$32,3))))</f>
        <v>0</v>
      </c>
      <c r="M1186" s="528">
        <f>IF(E1186="STL",0,IF(F1186&gt;0,Pricing!$D$21,0))</f>
        <v>0</v>
      </c>
      <c r="N1186" s="529">
        <f>IF(E1186="STL",F1186*Pricing!$D$40,IF(A1186&lt;=Pricing!$C$4,0,IF(AND(A1186&gt;Pricing!$C$4,Disbursements!A1186&lt;=Pricing!$C$5),F1186*Pricing!$E$5,IF(AND(A1186&gt;Pricing!$C$5,Disbursements!A1186&lt;=Pricing!$C$7),VLOOKUP(F1186,Pricing!$D$7:$E$8,2)*Disbursements!F1186,F1186*Pricing!$E$9))))</f>
        <v>0</v>
      </c>
      <c r="O1186" s="528">
        <f>IF(E1186="STL",0,IF($F1186&gt;0,$F1186*Pricing!$D$17,0))</f>
        <v>0</v>
      </c>
      <c r="P1186" s="530" t="str">
        <f t="shared" si="490"/>
        <v/>
      </c>
      <c r="Q1186" s="531" t="str">
        <f>IF($A1186="","",$G1186/VLOOKUP($I1186,Ref!$B$23:$D$29,2,0))</f>
        <v/>
      </c>
      <c r="R1186" s="530" t="str">
        <f t="shared" si="491"/>
        <v/>
      </c>
      <c r="S1186" s="532" t="str">
        <f t="shared" si="485"/>
        <v/>
      </c>
      <c r="T1186" s="531" t="str">
        <f t="shared" si="492"/>
        <v/>
      </c>
      <c r="U1186" s="533">
        <f t="shared" si="493"/>
        <v>0</v>
      </c>
      <c r="V1186" s="531" t="str">
        <f t="shared" si="494"/>
        <v/>
      </c>
      <c r="W1186" s="531" t="str">
        <f t="shared" si="495"/>
        <v/>
      </c>
      <c r="X1186" s="534" t="str">
        <f t="shared" si="496"/>
        <v/>
      </c>
      <c r="Y1186" s="535" t="str">
        <f>IF($A1186="","",IF($I1186="weekly",$A1186+7,EDATE($A1186,VLOOKUP($I1186,Ref!$B$24:$C$29,2,0))))</f>
        <v/>
      </c>
      <c r="Z1186" s="536" t="str">
        <f t="shared" si="497"/>
        <v/>
      </c>
      <c r="AA1186" s="531">
        <f t="shared" si="498"/>
        <v>0</v>
      </c>
      <c r="AB1186" s="535" t="str">
        <f t="shared" si="486"/>
        <v/>
      </c>
      <c r="AC1186" s="537" t="str">
        <f t="shared" si="487"/>
        <v/>
      </c>
      <c r="AD1186" s="538" t="str">
        <f t="shared" ca="1" si="488"/>
        <v/>
      </c>
      <c r="AE1186" s="537">
        <f t="shared" ca="1" si="489"/>
        <v>0</v>
      </c>
      <c r="AF1186" s="539" t="str">
        <f t="shared" ca="1" si="499"/>
        <v/>
      </c>
      <c r="AG1186" s="531" t="str">
        <f t="shared" ca="1" si="500"/>
        <v/>
      </c>
      <c r="AH1186" s="531" t="str">
        <f t="shared" ca="1" si="501"/>
        <v/>
      </c>
      <c r="AI1186" s="531" t="str">
        <f t="shared" ca="1" si="502"/>
        <v/>
      </c>
      <c r="AJ1186" s="531" t="str">
        <f t="shared" si="503"/>
        <v/>
      </c>
      <c r="AK1186" s="540">
        <f>SUMIFS('Live Collections'!$S:$S,'Live Collections'!$D:$D,Disbursements!B1186,'Live Collections'!$G:$G,Disbursements!C1186)</f>
        <v>0</v>
      </c>
      <c r="AL1186" s="540">
        <f>SUMIFS('Live Collections'!$T:$T,'Live Collections'!$D:$D,Disbursements!B1186,'Live Collections'!$G:$G,Disbursements!C1186)</f>
        <v>0</v>
      </c>
      <c r="AM1186" s="541">
        <f t="shared" si="504"/>
        <v>0</v>
      </c>
      <c r="AN1186" s="542" t="str">
        <f t="shared" si="505"/>
        <v/>
      </c>
      <c r="AO1186" s="542" t="str">
        <f t="shared" si="506"/>
        <v/>
      </c>
      <c r="AP1186" s="543" t="str">
        <f t="shared" si="507"/>
        <v/>
      </c>
      <c r="AQ1186" s="544" t="str">
        <f t="shared" si="508"/>
        <v/>
      </c>
      <c r="AR1186" s="545">
        <f t="shared" si="509"/>
        <v>0</v>
      </c>
      <c r="AS1186" s="545">
        <f>IFERROR(CEILING($AR1186*VLOOKUP($I1186,Ref!$B$23:$E$29,4,0),1),0)</f>
        <v>0</v>
      </c>
      <c r="AT1186" s="545" t="str">
        <f>IF(A1186="","",IF(AP1186&lt;=1,"Cleared",IF(AS1186=0,"Clean",VLOOKUP($AS1186,Ref!$G$23:$H$28,2))))</f>
        <v/>
      </c>
      <c r="AU1186" s="546" t="str">
        <f t="shared" si="510"/>
        <v/>
      </c>
    </row>
    <row r="1187" spans="1:47" ht="14.25" hidden="1" customHeight="1" x14ac:dyDescent="0.15">
      <c r="A1187" s="523"/>
      <c r="B1187" s="523"/>
      <c r="C1187" s="523"/>
      <c r="D1187" s="523"/>
      <c r="E1187" s="579"/>
      <c r="F1187" s="580"/>
      <c r="G1187" s="524"/>
      <c r="H1187" s="555"/>
      <c r="I1187" s="560"/>
      <c r="J1187" s="523"/>
      <c r="K1187" s="528" t="str">
        <f>IFERROR(VLOOKUP($B1187,'Clients-Live'!$A:$C,3,0),"")</f>
        <v/>
      </c>
      <c r="L1187" s="528">
        <f>IF(E1187="STL",Pricing!$D$38,IF(A1187="",0,IF(A1187&lt;Pricing!$C$25,Pricing!$D$25,VLOOKUP(Disbursements!$F1187,Pricing!$B$29:$D$32,3))))</f>
        <v>0</v>
      </c>
      <c r="M1187" s="528">
        <f>IF(E1187="STL",0,IF(F1187&gt;0,Pricing!$D$21,0))</f>
        <v>0</v>
      </c>
      <c r="N1187" s="529">
        <f>IF(E1187="STL",F1187*Pricing!$D$40,IF(A1187&lt;=Pricing!$C$4,0,IF(AND(A1187&gt;Pricing!$C$4,Disbursements!A1187&lt;=Pricing!$C$5),F1187*Pricing!$E$5,IF(AND(A1187&gt;Pricing!$C$5,Disbursements!A1187&lt;=Pricing!$C$7),VLOOKUP(F1187,Pricing!$D$7:$E$8,2)*Disbursements!F1187,F1187*Pricing!$E$9))))</f>
        <v>0</v>
      </c>
      <c r="O1187" s="528">
        <f>IF(E1187="STL",0,IF($F1187&gt;0,$F1187*Pricing!$D$17,0))</f>
        <v>0</v>
      </c>
      <c r="P1187" s="530" t="str">
        <f t="shared" si="490"/>
        <v/>
      </c>
      <c r="Q1187" s="531" t="str">
        <f>IF($A1187="","",$G1187/VLOOKUP($I1187,Ref!$B$23:$D$29,2,0))</f>
        <v/>
      </c>
      <c r="R1187" s="530" t="str">
        <f t="shared" si="491"/>
        <v/>
      </c>
      <c r="S1187" s="532" t="str">
        <f t="shared" si="485"/>
        <v/>
      </c>
      <c r="T1187" s="531" t="str">
        <f t="shared" si="492"/>
        <v/>
      </c>
      <c r="U1187" s="533">
        <f t="shared" si="493"/>
        <v>0</v>
      </c>
      <c r="V1187" s="531" t="str">
        <f t="shared" si="494"/>
        <v/>
      </c>
      <c r="W1187" s="531" t="str">
        <f t="shared" si="495"/>
        <v/>
      </c>
      <c r="X1187" s="534" t="str">
        <f t="shared" si="496"/>
        <v/>
      </c>
      <c r="Y1187" s="535" t="str">
        <f>IF($A1187="","",IF($I1187="weekly",$A1187+7,EDATE($A1187,VLOOKUP($I1187,Ref!$B$24:$C$29,2,0))))</f>
        <v/>
      </c>
      <c r="Z1187" s="536" t="str">
        <f t="shared" si="497"/>
        <v/>
      </c>
      <c r="AA1187" s="531">
        <f t="shared" si="498"/>
        <v>0</v>
      </c>
      <c r="AB1187" s="535" t="str">
        <f t="shared" si="486"/>
        <v/>
      </c>
      <c r="AC1187" s="537" t="str">
        <f t="shared" si="487"/>
        <v/>
      </c>
      <c r="AD1187" s="538" t="str">
        <f t="shared" ca="1" si="488"/>
        <v/>
      </c>
      <c r="AE1187" s="537">
        <f t="shared" ca="1" si="489"/>
        <v>0</v>
      </c>
      <c r="AF1187" s="539" t="str">
        <f t="shared" ca="1" si="499"/>
        <v/>
      </c>
      <c r="AG1187" s="531" t="str">
        <f t="shared" ca="1" si="500"/>
        <v/>
      </c>
      <c r="AH1187" s="531" t="str">
        <f t="shared" ca="1" si="501"/>
        <v/>
      </c>
      <c r="AI1187" s="531" t="str">
        <f t="shared" ca="1" si="502"/>
        <v/>
      </c>
      <c r="AJ1187" s="531" t="str">
        <f t="shared" si="503"/>
        <v/>
      </c>
      <c r="AK1187" s="540">
        <f>SUMIFS('Live Collections'!$S:$S,'Live Collections'!$D:$D,Disbursements!B1187,'Live Collections'!$G:$G,Disbursements!C1187)</f>
        <v>0</v>
      </c>
      <c r="AL1187" s="540">
        <f>SUMIFS('Live Collections'!$T:$T,'Live Collections'!$D:$D,Disbursements!B1187,'Live Collections'!$G:$G,Disbursements!C1187)</f>
        <v>0</v>
      </c>
      <c r="AM1187" s="541">
        <f t="shared" si="504"/>
        <v>0</v>
      </c>
      <c r="AN1187" s="542" t="str">
        <f t="shared" si="505"/>
        <v/>
      </c>
      <c r="AO1187" s="542" t="str">
        <f t="shared" si="506"/>
        <v/>
      </c>
      <c r="AP1187" s="543" t="str">
        <f t="shared" si="507"/>
        <v/>
      </c>
      <c r="AQ1187" s="544" t="str">
        <f t="shared" si="508"/>
        <v/>
      </c>
      <c r="AR1187" s="545">
        <f t="shared" si="509"/>
        <v>0</v>
      </c>
      <c r="AS1187" s="545">
        <f>IFERROR(CEILING($AR1187*VLOOKUP($I1187,Ref!$B$23:$E$29,4,0),1),0)</f>
        <v>0</v>
      </c>
      <c r="AT1187" s="545" t="str">
        <f>IF(A1187="","",IF(AP1187&lt;=1,"Cleared",IF(AS1187=0,"Clean",VLOOKUP($AS1187,Ref!$G$23:$H$28,2))))</f>
        <v/>
      </c>
      <c r="AU1187" s="546" t="str">
        <f t="shared" si="510"/>
        <v/>
      </c>
    </row>
    <row r="1188" spans="1:47" ht="14.25" hidden="1" customHeight="1" x14ac:dyDescent="0.15">
      <c r="A1188" s="523"/>
      <c r="B1188" s="523"/>
      <c r="C1188" s="523"/>
      <c r="D1188" s="523"/>
      <c r="E1188" s="579"/>
      <c r="F1188" s="580"/>
      <c r="G1188" s="524"/>
      <c r="H1188" s="555"/>
      <c r="I1188" s="560"/>
      <c r="J1188" s="523"/>
      <c r="K1188" s="528" t="str">
        <f>IFERROR(VLOOKUP($B1188,'Clients-Live'!$A:$C,3,0),"")</f>
        <v/>
      </c>
      <c r="L1188" s="528">
        <f>IF(E1188="STL",Pricing!$D$38,IF(A1188="",0,IF(A1188&lt;Pricing!$C$25,Pricing!$D$25,VLOOKUP(Disbursements!$F1188,Pricing!$B$29:$D$32,3))))</f>
        <v>0</v>
      </c>
      <c r="M1188" s="528">
        <f>IF(E1188="STL",0,IF(F1188&gt;0,Pricing!$D$21,0))</f>
        <v>0</v>
      </c>
      <c r="N1188" s="529">
        <f>IF(E1188="STL",F1188*Pricing!$D$40,IF(A1188&lt;=Pricing!$C$4,0,IF(AND(A1188&gt;Pricing!$C$4,Disbursements!A1188&lt;=Pricing!$C$5),F1188*Pricing!$E$5,IF(AND(A1188&gt;Pricing!$C$5,Disbursements!A1188&lt;=Pricing!$C$7),VLOOKUP(F1188,Pricing!$D$7:$E$8,2)*Disbursements!F1188,F1188*Pricing!$E$9))))</f>
        <v>0</v>
      </c>
      <c r="O1188" s="528">
        <f>IF(E1188="STL",0,IF($F1188&gt;0,$F1188*Pricing!$D$17,0))</f>
        <v>0</v>
      </c>
      <c r="P1188" s="530" t="str">
        <f t="shared" si="490"/>
        <v/>
      </c>
      <c r="Q1188" s="531" t="str">
        <f>IF($A1188="","",$G1188/VLOOKUP($I1188,Ref!$B$23:$D$29,2,0))</f>
        <v/>
      </c>
      <c r="R1188" s="530" t="str">
        <f t="shared" si="491"/>
        <v/>
      </c>
      <c r="S1188" s="532" t="str">
        <f t="shared" si="485"/>
        <v/>
      </c>
      <c r="T1188" s="531" t="str">
        <f t="shared" si="492"/>
        <v/>
      </c>
      <c r="U1188" s="533">
        <f t="shared" si="493"/>
        <v>0</v>
      </c>
      <c r="V1188" s="531" t="str">
        <f t="shared" si="494"/>
        <v/>
      </c>
      <c r="W1188" s="531" t="str">
        <f t="shared" si="495"/>
        <v/>
      </c>
      <c r="X1188" s="534" t="str">
        <f t="shared" si="496"/>
        <v/>
      </c>
      <c r="Y1188" s="535" t="str">
        <f>IF($A1188="","",IF($I1188="weekly",$A1188+7,EDATE($A1188,VLOOKUP($I1188,Ref!$B$24:$C$29,2,0))))</f>
        <v/>
      </c>
      <c r="Z1188" s="536" t="str">
        <f t="shared" si="497"/>
        <v/>
      </c>
      <c r="AA1188" s="531">
        <f t="shared" si="498"/>
        <v>0</v>
      </c>
      <c r="AB1188" s="535" t="str">
        <f t="shared" si="486"/>
        <v/>
      </c>
      <c r="AC1188" s="537" t="str">
        <f t="shared" si="487"/>
        <v/>
      </c>
      <c r="AD1188" s="538" t="str">
        <f t="shared" ca="1" si="488"/>
        <v/>
      </c>
      <c r="AE1188" s="537">
        <f t="shared" ca="1" si="489"/>
        <v>0</v>
      </c>
      <c r="AF1188" s="539" t="str">
        <f t="shared" ca="1" si="499"/>
        <v/>
      </c>
      <c r="AG1188" s="531" t="str">
        <f t="shared" ca="1" si="500"/>
        <v/>
      </c>
      <c r="AH1188" s="531" t="str">
        <f t="shared" ca="1" si="501"/>
        <v/>
      </c>
      <c r="AI1188" s="531" t="str">
        <f t="shared" ca="1" si="502"/>
        <v/>
      </c>
      <c r="AJ1188" s="531" t="str">
        <f t="shared" si="503"/>
        <v/>
      </c>
      <c r="AK1188" s="540">
        <f>SUMIFS('Live Collections'!$S:$S,'Live Collections'!$D:$D,Disbursements!B1188,'Live Collections'!$G:$G,Disbursements!C1188)</f>
        <v>0</v>
      </c>
      <c r="AL1188" s="540">
        <f>SUMIFS('Live Collections'!$T:$T,'Live Collections'!$D:$D,Disbursements!B1188,'Live Collections'!$G:$G,Disbursements!C1188)</f>
        <v>0</v>
      </c>
      <c r="AM1188" s="541">
        <f t="shared" si="504"/>
        <v>0</v>
      </c>
      <c r="AN1188" s="542" t="str">
        <f t="shared" si="505"/>
        <v/>
      </c>
      <c r="AO1188" s="542" t="str">
        <f t="shared" si="506"/>
        <v/>
      </c>
      <c r="AP1188" s="543" t="str">
        <f t="shared" si="507"/>
        <v/>
      </c>
      <c r="AQ1188" s="544" t="str">
        <f t="shared" si="508"/>
        <v/>
      </c>
      <c r="AR1188" s="545">
        <f t="shared" si="509"/>
        <v>0</v>
      </c>
      <c r="AS1188" s="545">
        <f>IFERROR(CEILING($AR1188*VLOOKUP($I1188,Ref!$B$23:$E$29,4,0),1),0)</f>
        <v>0</v>
      </c>
      <c r="AT1188" s="545" t="str">
        <f>IF(A1188="","",IF(AP1188&lt;=1,"Cleared",IF(AS1188=0,"Clean",VLOOKUP($AS1188,Ref!$G$23:$H$28,2))))</f>
        <v/>
      </c>
      <c r="AU1188" s="546" t="str">
        <f t="shared" si="510"/>
        <v/>
      </c>
    </row>
    <row r="1189" spans="1:47" ht="14.25" hidden="1" customHeight="1" x14ac:dyDescent="0.15">
      <c r="A1189" s="523"/>
      <c r="B1189" s="523"/>
      <c r="C1189" s="523"/>
      <c r="D1189" s="523"/>
      <c r="E1189" s="579"/>
      <c r="F1189" s="580"/>
      <c r="G1189" s="524"/>
      <c r="H1189" s="555"/>
      <c r="I1189" s="560"/>
      <c r="J1189" s="523"/>
      <c r="K1189" s="528" t="str">
        <f>IFERROR(VLOOKUP($B1189,'Clients-Live'!$A:$C,3,0),"")</f>
        <v/>
      </c>
      <c r="L1189" s="528">
        <f>IF(E1189="STL",Pricing!$D$38,IF(A1189="",0,IF(A1189&lt;Pricing!$C$25,Pricing!$D$25,VLOOKUP(Disbursements!$F1189,Pricing!$B$29:$D$32,3))))</f>
        <v>0</v>
      </c>
      <c r="M1189" s="528">
        <f>IF(E1189="STL",0,IF(F1189&gt;0,Pricing!$D$21,0))</f>
        <v>0</v>
      </c>
      <c r="N1189" s="529">
        <f>IF(E1189="STL",F1189*Pricing!$D$40,IF(A1189&lt;=Pricing!$C$4,0,IF(AND(A1189&gt;Pricing!$C$4,Disbursements!A1189&lt;=Pricing!$C$5),F1189*Pricing!$E$5,IF(AND(A1189&gt;Pricing!$C$5,Disbursements!A1189&lt;=Pricing!$C$7),VLOOKUP(F1189,Pricing!$D$7:$E$8,2)*Disbursements!F1189,F1189*Pricing!$E$9))))</f>
        <v>0</v>
      </c>
      <c r="O1189" s="528">
        <f>IF(E1189="STL",0,IF($F1189&gt;0,$F1189*Pricing!$D$17,0))</f>
        <v>0</v>
      </c>
      <c r="P1189" s="530" t="str">
        <f t="shared" si="490"/>
        <v/>
      </c>
      <c r="Q1189" s="531" t="str">
        <f>IF($A1189="","",$G1189/VLOOKUP($I1189,Ref!$B$23:$D$29,2,0))</f>
        <v/>
      </c>
      <c r="R1189" s="530" t="str">
        <f t="shared" si="491"/>
        <v/>
      </c>
      <c r="S1189" s="532" t="str">
        <f t="shared" si="485"/>
        <v/>
      </c>
      <c r="T1189" s="531" t="str">
        <f t="shared" si="492"/>
        <v/>
      </c>
      <c r="U1189" s="533">
        <f t="shared" si="493"/>
        <v>0</v>
      </c>
      <c r="V1189" s="531" t="str">
        <f t="shared" si="494"/>
        <v/>
      </c>
      <c r="W1189" s="531" t="str">
        <f t="shared" si="495"/>
        <v/>
      </c>
      <c r="X1189" s="534" t="str">
        <f t="shared" si="496"/>
        <v/>
      </c>
      <c r="Y1189" s="535" t="str">
        <f>IF($A1189="","",IF($I1189="weekly",$A1189+7,EDATE($A1189,VLOOKUP($I1189,Ref!$B$24:$C$29,2,0))))</f>
        <v/>
      </c>
      <c r="Z1189" s="536" t="str">
        <f t="shared" si="497"/>
        <v/>
      </c>
      <c r="AA1189" s="531">
        <f t="shared" si="498"/>
        <v>0</v>
      </c>
      <c r="AB1189" s="535" t="str">
        <f t="shared" si="486"/>
        <v/>
      </c>
      <c r="AC1189" s="537" t="str">
        <f t="shared" si="487"/>
        <v/>
      </c>
      <c r="AD1189" s="538" t="str">
        <f t="shared" ca="1" si="488"/>
        <v/>
      </c>
      <c r="AE1189" s="537">
        <f t="shared" ca="1" si="489"/>
        <v>0</v>
      </c>
      <c r="AF1189" s="539" t="str">
        <f t="shared" ca="1" si="499"/>
        <v/>
      </c>
      <c r="AG1189" s="531" t="str">
        <f t="shared" ca="1" si="500"/>
        <v/>
      </c>
      <c r="AH1189" s="531" t="str">
        <f t="shared" ca="1" si="501"/>
        <v/>
      </c>
      <c r="AI1189" s="531" t="str">
        <f t="shared" ca="1" si="502"/>
        <v/>
      </c>
      <c r="AJ1189" s="531" t="str">
        <f t="shared" si="503"/>
        <v/>
      </c>
      <c r="AK1189" s="540">
        <f>SUMIFS('Live Collections'!$S:$S,'Live Collections'!$D:$D,Disbursements!B1189,'Live Collections'!$G:$G,Disbursements!C1189)</f>
        <v>0</v>
      </c>
      <c r="AL1189" s="540">
        <f>SUMIFS('Live Collections'!$T:$T,'Live Collections'!$D:$D,Disbursements!B1189,'Live Collections'!$G:$G,Disbursements!C1189)</f>
        <v>0</v>
      </c>
      <c r="AM1189" s="541">
        <f t="shared" si="504"/>
        <v>0</v>
      </c>
      <c r="AN1189" s="542" t="str">
        <f t="shared" si="505"/>
        <v/>
      </c>
      <c r="AO1189" s="542" t="str">
        <f t="shared" si="506"/>
        <v/>
      </c>
      <c r="AP1189" s="543" t="str">
        <f t="shared" si="507"/>
        <v/>
      </c>
      <c r="AQ1189" s="544" t="str">
        <f t="shared" si="508"/>
        <v/>
      </c>
      <c r="AR1189" s="545">
        <f t="shared" si="509"/>
        <v>0</v>
      </c>
      <c r="AS1189" s="545">
        <f>IFERROR(CEILING($AR1189*VLOOKUP($I1189,Ref!$B$23:$E$29,4,0),1),0)</f>
        <v>0</v>
      </c>
      <c r="AT1189" s="545" t="str">
        <f>IF(A1189="","",IF(AP1189&lt;=1,"Cleared",IF(AS1189=0,"Clean",VLOOKUP($AS1189,Ref!$G$23:$H$28,2))))</f>
        <v/>
      </c>
      <c r="AU1189" s="546" t="str">
        <f t="shared" si="510"/>
        <v/>
      </c>
    </row>
    <row r="1190" spans="1:47" ht="14.25" hidden="1" customHeight="1" x14ac:dyDescent="0.15">
      <c r="A1190" s="523"/>
      <c r="B1190" s="523"/>
      <c r="C1190" s="523"/>
      <c r="D1190" s="523"/>
      <c r="E1190" s="579"/>
      <c r="F1190" s="580"/>
      <c r="G1190" s="524"/>
      <c r="H1190" s="555"/>
      <c r="I1190" s="560"/>
      <c r="J1190" s="523"/>
      <c r="K1190" s="528" t="str">
        <f>IFERROR(VLOOKUP($B1190,'Clients-Live'!$A:$C,3,0),"")</f>
        <v/>
      </c>
      <c r="L1190" s="528">
        <f>IF(E1190="STL",Pricing!$D$38,IF(A1190="",0,IF(A1190&lt;Pricing!$C$25,Pricing!$D$25,VLOOKUP(Disbursements!$F1190,Pricing!$B$29:$D$32,3))))</f>
        <v>0</v>
      </c>
      <c r="M1190" s="528">
        <f>IF(E1190="STL",0,IF(F1190&gt;0,Pricing!$D$21,0))</f>
        <v>0</v>
      </c>
      <c r="N1190" s="529">
        <f>IF(E1190="STL",F1190*Pricing!$D$40,IF(A1190&lt;=Pricing!$C$4,0,IF(AND(A1190&gt;Pricing!$C$4,Disbursements!A1190&lt;=Pricing!$C$5),F1190*Pricing!$E$5,IF(AND(A1190&gt;Pricing!$C$5,Disbursements!A1190&lt;=Pricing!$C$7),VLOOKUP(F1190,Pricing!$D$7:$E$8,2)*Disbursements!F1190,F1190*Pricing!$E$9))))</f>
        <v>0</v>
      </c>
      <c r="O1190" s="528">
        <f>IF(E1190="STL",0,IF($F1190&gt;0,$F1190*Pricing!$D$17,0))</f>
        <v>0</v>
      </c>
      <c r="P1190" s="530" t="str">
        <f t="shared" si="490"/>
        <v/>
      </c>
      <c r="Q1190" s="531" t="str">
        <f>IF($A1190="","",$G1190/VLOOKUP($I1190,Ref!$B$23:$D$29,2,0))</f>
        <v/>
      </c>
      <c r="R1190" s="530" t="str">
        <f t="shared" si="491"/>
        <v/>
      </c>
      <c r="S1190" s="532" t="str">
        <f t="shared" si="485"/>
        <v/>
      </c>
      <c r="T1190" s="531" t="str">
        <f t="shared" si="492"/>
        <v/>
      </c>
      <c r="U1190" s="533">
        <f t="shared" si="493"/>
        <v>0</v>
      </c>
      <c r="V1190" s="531" t="str">
        <f t="shared" si="494"/>
        <v/>
      </c>
      <c r="W1190" s="531" t="str">
        <f t="shared" si="495"/>
        <v/>
      </c>
      <c r="X1190" s="534" t="str">
        <f t="shared" si="496"/>
        <v/>
      </c>
      <c r="Y1190" s="535" t="str">
        <f>IF($A1190="","",IF($I1190="weekly",$A1190+7,EDATE($A1190,VLOOKUP($I1190,Ref!$B$24:$C$29,2,0))))</f>
        <v/>
      </c>
      <c r="Z1190" s="536" t="str">
        <f t="shared" si="497"/>
        <v/>
      </c>
      <c r="AA1190" s="531">
        <f t="shared" si="498"/>
        <v>0</v>
      </c>
      <c r="AB1190" s="535" t="str">
        <f t="shared" si="486"/>
        <v/>
      </c>
      <c r="AC1190" s="537" t="str">
        <f t="shared" si="487"/>
        <v/>
      </c>
      <c r="AD1190" s="538" t="str">
        <f t="shared" ca="1" si="488"/>
        <v/>
      </c>
      <c r="AE1190" s="537">
        <f t="shared" ca="1" si="489"/>
        <v>0</v>
      </c>
      <c r="AF1190" s="539" t="str">
        <f t="shared" ca="1" si="499"/>
        <v/>
      </c>
      <c r="AG1190" s="531" t="str">
        <f t="shared" ca="1" si="500"/>
        <v/>
      </c>
      <c r="AH1190" s="531" t="str">
        <f t="shared" ca="1" si="501"/>
        <v/>
      </c>
      <c r="AI1190" s="531" t="str">
        <f t="shared" ca="1" si="502"/>
        <v/>
      </c>
      <c r="AJ1190" s="531" t="str">
        <f t="shared" si="503"/>
        <v/>
      </c>
      <c r="AK1190" s="540">
        <f>SUMIFS('Live Collections'!$S:$S,'Live Collections'!$D:$D,Disbursements!B1190,'Live Collections'!$G:$G,Disbursements!C1190)</f>
        <v>0</v>
      </c>
      <c r="AL1190" s="540">
        <f>SUMIFS('Live Collections'!$T:$T,'Live Collections'!$D:$D,Disbursements!B1190,'Live Collections'!$G:$G,Disbursements!C1190)</f>
        <v>0</v>
      </c>
      <c r="AM1190" s="541">
        <f t="shared" si="504"/>
        <v>0</v>
      </c>
      <c r="AN1190" s="542" t="str">
        <f t="shared" si="505"/>
        <v/>
      </c>
      <c r="AO1190" s="542" t="str">
        <f t="shared" si="506"/>
        <v/>
      </c>
      <c r="AP1190" s="543" t="str">
        <f t="shared" si="507"/>
        <v/>
      </c>
      <c r="AQ1190" s="544" t="str">
        <f t="shared" si="508"/>
        <v/>
      </c>
      <c r="AR1190" s="545">
        <f t="shared" si="509"/>
        <v>0</v>
      </c>
      <c r="AS1190" s="545">
        <f>IFERROR(CEILING($AR1190*VLOOKUP($I1190,Ref!$B$23:$E$29,4,0),1),0)</f>
        <v>0</v>
      </c>
      <c r="AT1190" s="545" t="str">
        <f>IF(A1190="","",IF(AP1190&lt;=1,"Cleared",IF(AS1190=0,"Clean",VLOOKUP($AS1190,Ref!$G$23:$H$28,2))))</f>
        <v/>
      </c>
      <c r="AU1190" s="546" t="str">
        <f t="shared" si="510"/>
        <v/>
      </c>
    </row>
    <row r="1191" spans="1:47" ht="14.25" hidden="1" customHeight="1" x14ac:dyDescent="0.15">
      <c r="A1191" s="523"/>
      <c r="B1191" s="523"/>
      <c r="C1191" s="523"/>
      <c r="D1191" s="523"/>
      <c r="E1191" s="579"/>
      <c r="F1191" s="580"/>
      <c r="G1191" s="524"/>
      <c r="H1191" s="555"/>
      <c r="I1191" s="560"/>
      <c r="J1191" s="523"/>
      <c r="K1191" s="528" t="str">
        <f>IFERROR(VLOOKUP($B1191,'Clients-Live'!$A:$C,3,0),"")</f>
        <v/>
      </c>
      <c r="L1191" s="528">
        <f>IF(E1191="STL",Pricing!$D$38,IF(A1191="",0,IF(A1191&lt;Pricing!$C$25,Pricing!$D$25,VLOOKUP(Disbursements!$F1191,Pricing!$B$29:$D$32,3))))</f>
        <v>0</v>
      </c>
      <c r="M1191" s="528">
        <f>IF(E1191="STL",0,IF(F1191&gt;0,Pricing!$D$21,0))</f>
        <v>0</v>
      </c>
      <c r="N1191" s="529">
        <f>IF(E1191="STL",F1191*Pricing!$D$40,IF(A1191&lt;=Pricing!$C$4,0,IF(AND(A1191&gt;Pricing!$C$4,Disbursements!A1191&lt;=Pricing!$C$5),F1191*Pricing!$E$5,IF(AND(A1191&gt;Pricing!$C$5,Disbursements!A1191&lt;=Pricing!$C$7),VLOOKUP(F1191,Pricing!$D$7:$E$8,2)*Disbursements!F1191,F1191*Pricing!$E$9))))</f>
        <v>0</v>
      </c>
      <c r="O1191" s="528">
        <f>IF(E1191="STL",0,IF($F1191&gt;0,$F1191*Pricing!$D$17,0))</f>
        <v>0</v>
      </c>
      <c r="P1191" s="530" t="str">
        <f t="shared" si="490"/>
        <v/>
      </c>
      <c r="Q1191" s="531" t="str">
        <f>IF($A1191="","",$G1191/VLOOKUP($I1191,Ref!$B$23:$D$29,2,0))</f>
        <v/>
      </c>
      <c r="R1191" s="530" t="str">
        <f t="shared" si="491"/>
        <v/>
      </c>
      <c r="S1191" s="532" t="str">
        <f t="shared" si="485"/>
        <v/>
      </c>
      <c r="T1191" s="531" t="str">
        <f t="shared" si="492"/>
        <v/>
      </c>
      <c r="U1191" s="533">
        <f t="shared" si="493"/>
        <v>0</v>
      </c>
      <c r="V1191" s="531" t="str">
        <f t="shared" si="494"/>
        <v/>
      </c>
      <c r="W1191" s="531" t="str">
        <f t="shared" si="495"/>
        <v/>
      </c>
      <c r="X1191" s="534" t="str">
        <f t="shared" si="496"/>
        <v/>
      </c>
      <c r="Y1191" s="535" t="str">
        <f>IF($A1191="","",IF($I1191="weekly",$A1191+7,EDATE($A1191,VLOOKUP($I1191,Ref!$B$24:$C$29,2,0))))</f>
        <v/>
      </c>
      <c r="Z1191" s="536" t="str">
        <f t="shared" si="497"/>
        <v/>
      </c>
      <c r="AA1191" s="531">
        <f t="shared" si="498"/>
        <v>0</v>
      </c>
      <c r="AB1191" s="535" t="str">
        <f t="shared" si="486"/>
        <v/>
      </c>
      <c r="AC1191" s="537" t="str">
        <f t="shared" si="487"/>
        <v/>
      </c>
      <c r="AD1191" s="538" t="str">
        <f t="shared" ca="1" si="488"/>
        <v/>
      </c>
      <c r="AE1191" s="537">
        <f t="shared" ca="1" si="489"/>
        <v>0</v>
      </c>
      <c r="AF1191" s="539" t="str">
        <f t="shared" ca="1" si="499"/>
        <v/>
      </c>
      <c r="AG1191" s="531" t="str">
        <f t="shared" ca="1" si="500"/>
        <v/>
      </c>
      <c r="AH1191" s="531" t="str">
        <f t="shared" ca="1" si="501"/>
        <v/>
      </c>
      <c r="AI1191" s="531" t="str">
        <f t="shared" ca="1" si="502"/>
        <v/>
      </c>
      <c r="AJ1191" s="531" t="str">
        <f t="shared" si="503"/>
        <v/>
      </c>
      <c r="AK1191" s="540">
        <f>SUMIFS('Live Collections'!$S:$S,'Live Collections'!$D:$D,Disbursements!B1191,'Live Collections'!$G:$G,Disbursements!C1191)</f>
        <v>0</v>
      </c>
      <c r="AL1191" s="540">
        <f>SUMIFS('Live Collections'!$T:$T,'Live Collections'!$D:$D,Disbursements!B1191,'Live Collections'!$G:$G,Disbursements!C1191)</f>
        <v>0</v>
      </c>
      <c r="AM1191" s="541">
        <f t="shared" si="504"/>
        <v>0</v>
      </c>
      <c r="AN1191" s="542" t="str">
        <f t="shared" si="505"/>
        <v/>
      </c>
      <c r="AO1191" s="542" t="str">
        <f t="shared" si="506"/>
        <v/>
      </c>
      <c r="AP1191" s="543" t="str">
        <f t="shared" si="507"/>
        <v/>
      </c>
      <c r="AQ1191" s="544" t="str">
        <f t="shared" si="508"/>
        <v/>
      </c>
      <c r="AR1191" s="545">
        <f t="shared" si="509"/>
        <v>0</v>
      </c>
      <c r="AS1191" s="545">
        <f>IFERROR(CEILING($AR1191*VLOOKUP($I1191,Ref!$B$23:$E$29,4,0),1),0)</f>
        <v>0</v>
      </c>
      <c r="AT1191" s="545" t="str">
        <f>IF(A1191="","",IF(AP1191&lt;=1,"Cleared",IF(AS1191=0,"Clean",VLOOKUP($AS1191,Ref!$G$23:$H$28,2))))</f>
        <v/>
      </c>
      <c r="AU1191" s="546" t="str">
        <f t="shared" si="510"/>
        <v/>
      </c>
    </row>
    <row r="1192" spans="1:47" ht="14.25" hidden="1" customHeight="1" x14ac:dyDescent="0.15">
      <c r="A1192" s="523"/>
      <c r="B1192" s="523"/>
      <c r="C1192" s="523"/>
      <c r="D1192" s="523"/>
      <c r="E1192" s="579"/>
      <c r="F1192" s="580"/>
      <c r="G1192" s="524"/>
      <c r="H1192" s="555"/>
      <c r="I1192" s="560"/>
      <c r="J1192" s="523"/>
      <c r="K1192" s="528" t="str">
        <f>IFERROR(VLOOKUP($B1192,'Clients-Live'!$A:$C,3,0),"")</f>
        <v/>
      </c>
      <c r="L1192" s="528">
        <f>IF(E1192="STL",Pricing!$D$38,IF(A1192="",0,IF(A1192&lt;Pricing!$C$25,Pricing!$D$25,VLOOKUP(Disbursements!$F1192,Pricing!$B$29:$D$32,3))))</f>
        <v>0</v>
      </c>
      <c r="M1192" s="528">
        <f>IF(E1192="STL",0,IF(F1192&gt;0,Pricing!$D$21,0))</f>
        <v>0</v>
      </c>
      <c r="N1192" s="529">
        <f>IF(E1192="STL",F1192*Pricing!$D$40,IF(A1192&lt;=Pricing!$C$4,0,IF(AND(A1192&gt;Pricing!$C$4,Disbursements!A1192&lt;=Pricing!$C$5),F1192*Pricing!$E$5,IF(AND(A1192&gt;Pricing!$C$5,Disbursements!A1192&lt;=Pricing!$C$7),VLOOKUP(F1192,Pricing!$D$7:$E$8,2)*Disbursements!F1192,F1192*Pricing!$E$9))))</f>
        <v>0</v>
      </c>
      <c r="O1192" s="528">
        <f>IF(E1192="STL",0,IF($F1192&gt;0,$F1192*Pricing!$D$17,0))</f>
        <v>0</v>
      </c>
      <c r="P1192" s="530" t="str">
        <f t="shared" si="490"/>
        <v/>
      </c>
      <c r="Q1192" s="531" t="str">
        <f>IF($A1192="","",$G1192/VLOOKUP($I1192,Ref!$B$23:$D$29,2,0))</f>
        <v/>
      </c>
      <c r="R1192" s="530" t="str">
        <f t="shared" si="491"/>
        <v/>
      </c>
      <c r="S1192" s="532" t="str">
        <f t="shared" si="485"/>
        <v/>
      </c>
      <c r="T1192" s="531" t="str">
        <f t="shared" si="492"/>
        <v/>
      </c>
      <c r="U1192" s="533">
        <f t="shared" si="493"/>
        <v>0</v>
      </c>
      <c r="V1192" s="531" t="str">
        <f t="shared" si="494"/>
        <v/>
      </c>
      <c r="W1192" s="531" t="str">
        <f t="shared" si="495"/>
        <v/>
      </c>
      <c r="X1192" s="534" t="str">
        <f t="shared" si="496"/>
        <v/>
      </c>
      <c r="Y1192" s="535" t="str">
        <f>IF($A1192="","",IF($I1192="weekly",$A1192+7,EDATE($A1192,VLOOKUP($I1192,Ref!$B$24:$C$29,2,0))))</f>
        <v/>
      </c>
      <c r="Z1192" s="536" t="str">
        <f t="shared" si="497"/>
        <v/>
      </c>
      <c r="AA1192" s="531">
        <f t="shared" si="498"/>
        <v>0</v>
      </c>
      <c r="AB1192" s="535" t="str">
        <f t="shared" si="486"/>
        <v/>
      </c>
      <c r="AC1192" s="537" t="str">
        <f t="shared" si="487"/>
        <v/>
      </c>
      <c r="AD1192" s="538" t="str">
        <f t="shared" ca="1" si="488"/>
        <v/>
      </c>
      <c r="AE1192" s="537">
        <f t="shared" ca="1" si="489"/>
        <v>0</v>
      </c>
      <c r="AF1192" s="539" t="str">
        <f t="shared" ca="1" si="499"/>
        <v/>
      </c>
      <c r="AG1192" s="531" t="str">
        <f t="shared" ca="1" si="500"/>
        <v/>
      </c>
      <c r="AH1192" s="531" t="str">
        <f t="shared" ca="1" si="501"/>
        <v/>
      </c>
      <c r="AI1192" s="531" t="str">
        <f t="shared" ca="1" si="502"/>
        <v/>
      </c>
      <c r="AJ1192" s="531" t="str">
        <f t="shared" si="503"/>
        <v/>
      </c>
      <c r="AK1192" s="540">
        <f>SUMIFS('Live Collections'!$S:$S,'Live Collections'!$D:$D,Disbursements!B1192,'Live Collections'!$G:$G,Disbursements!C1192)</f>
        <v>0</v>
      </c>
      <c r="AL1192" s="540">
        <f>SUMIFS('Live Collections'!$T:$T,'Live Collections'!$D:$D,Disbursements!B1192,'Live Collections'!$G:$G,Disbursements!C1192)</f>
        <v>0</v>
      </c>
      <c r="AM1192" s="541">
        <f t="shared" si="504"/>
        <v>0</v>
      </c>
      <c r="AN1192" s="542" t="str">
        <f t="shared" si="505"/>
        <v/>
      </c>
      <c r="AO1192" s="542" t="str">
        <f t="shared" si="506"/>
        <v/>
      </c>
      <c r="AP1192" s="543" t="str">
        <f t="shared" si="507"/>
        <v/>
      </c>
      <c r="AQ1192" s="544" t="str">
        <f t="shared" si="508"/>
        <v/>
      </c>
      <c r="AR1192" s="545">
        <f t="shared" si="509"/>
        <v>0</v>
      </c>
      <c r="AS1192" s="545">
        <f>IFERROR(CEILING($AR1192*VLOOKUP($I1192,Ref!$B$23:$E$29,4,0),1),0)</f>
        <v>0</v>
      </c>
      <c r="AT1192" s="545" t="str">
        <f>IF(A1192="","",IF(AP1192&lt;=1,"Cleared",IF(AS1192=0,"Clean",VLOOKUP($AS1192,Ref!$G$23:$H$28,2))))</f>
        <v/>
      </c>
      <c r="AU1192" s="546" t="str">
        <f t="shared" si="510"/>
        <v/>
      </c>
    </row>
    <row r="1193" spans="1:47" ht="14.25" hidden="1" customHeight="1" x14ac:dyDescent="0.15">
      <c r="A1193" s="523"/>
      <c r="B1193" s="523"/>
      <c r="C1193" s="523"/>
      <c r="D1193" s="523"/>
      <c r="E1193" s="579"/>
      <c r="F1193" s="580"/>
      <c r="G1193" s="524"/>
      <c r="H1193" s="555"/>
      <c r="I1193" s="560"/>
      <c r="J1193" s="523"/>
      <c r="K1193" s="528" t="str">
        <f>IFERROR(VLOOKUP($B1193,'Clients-Live'!$A:$C,3,0),"")</f>
        <v/>
      </c>
      <c r="L1193" s="528">
        <f>IF(E1193="STL",Pricing!$D$38,IF(A1193="",0,IF(A1193&lt;Pricing!$C$25,Pricing!$D$25,VLOOKUP(Disbursements!$F1193,Pricing!$B$29:$D$32,3))))</f>
        <v>0</v>
      </c>
      <c r="M1193" s="528">
        <f>IF(E1193="STL",0,IF(F1193&gt;0,Pricing!$D$21,0))</f>
        <v>0</v>
      </c>
      <c r="N1193" s="529">
        <f>IF(E1193="STL",F1193*Pricing!$D$40,IF(A1193&lt;=Pricing!$C$4,0,IF(AND(A1193&gt;Pricing!$C$4,Disbursements!A1193&lt;=Pricing!$C$5),F1193*Pricing!$E$5,IF(AND(A1193&gt;Pricing!$C$5,Disbursements!A1193&lt;=Pricing!$C$7),VLOOKUP(F1193,Pricing!$D$7:$E$8,2)*Disbursements!F1193,F1193*Pricing!$E$9))))</f>
        <v>0</v>
      </c>
      <c r="O1193" s="528">
        <f>IF(E1193="STL",0,IF($F1193&gt;0,$F1193*Pricing!$D$17,0))</f>
        <v>0</v>
      </c>
      <c r="P1193" s="530" t="str">
        <f t="shared" si="490"/>
        <v/>
      </c>
      <c r="Q1193" s="531" t="str">
        <f>IF($A1193="","",$G1193/VLOOKUP($I1193,Ref!$B$23:$D$29,2,0))</f>
        <v/>
      </c>
      <c r="R1193" s="530" t="str">
        <f t="shared" si="491"/>
        <v/>
      </c>
      <c r="S1193" s="532" t="str">
        <f t="shared" si="485"/>
        <v/>
      </c>
      <c r="T1193" s="531" t="str">
        <f t="shared" si="492"/>
        <v/>
      </c>
      <c r="U1193" s="533">
        <f t="shared" si="493"/>
        <v>0</v>
      </c>
      <c r="V1193" s="531" t="str">
        <f t="shared" si="494"/>
        <v/>
      </c>
      <c r="W1193" s="531" t="str">
        <f t="shared" si="495"/>
        <v/>
      </c>
      <c r="X1193" s="534" t="str">
        <f t="shared" si="496"/>
        <v/>
      </c>
      <c r="Y1193" s="535" t="str">
        <f>IF($A1193="","",IF($I1193="weekly",$A1193+7,EDATE($A1193,VLOOKUP($I1193,Ref!$B$24:$C$29,2,0))))</f>
        <v/>
      </c>
      <c r="Z1193" s="536" t="str">
        <f t="shared" si="497"/>
        <v/>
      </c>
      <c r="AA1193" s="531">
        <f t="shared" si="498"/>
        <v>0</v>
      </c>
      <c r="AB1193" s="535" t="str">
        <f t="shared" si="486"/>
        <v/>
      </c>
      <c r="AC1193" s="537" t="str">
        <f t="shared" si="487"/>
        <v/>
      </c>
      <c r="AD1193" s="538" t="str">
        <f t="shared" ca="1" si="488"/>
        <v/>
      </c>
      <c r="AE1193" s="537">
        <f t="shared" ca="1" si="489"/>
        <v>0</v>
      </c>
      <c r="AF1193" s="539" t="str">
        <f t="shared" ca="1" si="499"/>
        <v/>
      </c>
      <c r="AG1193" s="531" t="str">
        <f t="shared" ca="1" si="500"/>
        <v/>
      </c>
      <c r="AH1193" s="531" t="str">
        <f t="shared" ca="1" si="501"/>
        <v/>
      </c>
      <c r="AI1193" s="531" t="str">
        <f t="shared" ca="1" si="502"/>
        <v/>
      </c>
      <c r="AJ1193" s="531" t="str">
        <f t="shared" si="503"/>
        <v/>
      </c>
      <c r="AK1193" s="540">
        <f>SUMIFS('Live Collections'!$S:$S,'Live Collections'!$D:$D,Disbursements!B1193,'Live Collections'!$G:$G,Disbursements!C1193)</f>
        <v>0</v>
      </c>
      <c r="AL1193" s="540">
        <f>SUMIFS('Live Collections'!$T:$T,'Live Collections'!$D:$D,Disbursements!B1193,'Live Collections'!$G:$G,Disbursements!C1193)</f>
        <v>0</v>
      </c>
      <c r="AM1193" s="541">
        <f t="shared" si="504"/>
        <v>0</v>
      </c>
      <c r="AN1193" s="542" t="str">
        <f t="shared" si="505"/>
        <v/>
      </c>
      <c r="AO1193" s="542" t="str">
        <f t="shared" si="506"/>
        <v/>
      </c>
      <c r="AP1193" s="543" t="str">
        <f t="shared" si="507"/>
        <v/>
      </c>
      <c r="AQ1193" s="544" t="str">
        <f t="shared" si="508"/>
        <v/>
      </c>
      <c r="AR1193" s="545">
        <f t="shared" si="509"/>
        <v>0</v>
      </c>
      <c r="AS1193" s="545">
        <f>IFERROR(CEILING($AR1193*VLOOKUP($I1193,Ref!$B$23:$E$29,4,0),1),0)</f>
        <v>0</v>
      </c>
      <c r="AT1193" s="545" t="str">
        <f>IF(A1193="","",IF(AP1193&lt;=1,"Cleared",IF(AS1193=0,"Clean",VLOOKUP($AS1193,Ref!$G$23:$H$28,2))))</f>
        <v/>
      </c>
      <c r="AU1193" s="546" t="str">
        <f t="shared" si="510"/>
        <v/>
      </c>
    </row>
    <row r="1194" spans="1:47" ht="14.25" hidden="1" customHeight="1" x14ac:dyDescent="0.15">
      <c r="A1194" s="523"/>
      <c r="B1194" s="523"/>
      <c r="C1194" s="523"/>
      <c r="D1194" s="523"/>
      <c r="E1194" s="579"/>
      <c r="F1194" s="580"/>
      <c r="G1194" s="524"/>
      <c r="H1194" s="555"/>
      <c r="I1194" s="560"/>
      <c r="J1194" s="523"/>
      <c r="K1194" s="528" t="str">
        <f>IFERROR(VLOOKUP($B1194,'Clients-Live'!$A:$C,3,0),"")</f>
        <v/>
      </c>
      <c r="L1194" s="528">
        <f>IF(E1194="STL",Pricing!$D$38,IF(A1194="",0,IF(A1194&lt;Pricing!$C$25,Pricing!$D$25,VLOOKUP(Disbursements!$F1194,Pricing!$B$29:$D$32,3))))</f>
        <v>0</v>
      </c>
      <c r="M1194" s="528">
        <f>IF(E1194="STL",0,IF(F1194&gt;0,Pricing!$D$21,0))</f>
        <v>0</v>
      </c>
      <c r="N1194" s="529">
        <f>IF(E1194="STL",F1194*Pricing!$D$40,IF(A1194&lt;=Pricing!$C$4,0,IF(AND(A1194&gt;Pricing!$C$4,Disbursements!A1194&lt;=Pricing!$C$5),F1194*Pricing!$E$5,IF(AND(A1194&gt;Pricing!$C$5,Disbursements!A1194&lt;=Pricing!$C$7),VLOOKUP(F1194,Pricing!$D$7:$E$8,2)*Disbursements!F1194,F1194*Pricing!$E$9))))</f>
        <v>0</v>
      </c>
      <c r="O1194" s="528">
        <f>IF(E1194="STL",0,IF($F1194&gt;0,$F1194*Pricing!$D$17,0))</f>
        <v>0</v>
      </c>
      <c r="P1194" s="530" t="str">
        <f t="shared" si="490"/>
        <v/>
      </c>
      <c r="Q1194" s="531" t="str">
        <f>IF($A1194="","",$G1194/VLOOKUP($I1194,Ref!$B$23:$D$29,2,0))</f>
        <v/>
      </c>
      <c r="R1194" s="530" t="str">
        <f t="shared" si="491"/>
        <v/>
      </c>
      <c r="S1194" s="532" t="str">
        <f t="shared" si="485"/>
        <v/>
      </c>
      <c r="T1194" s="531" t="str">
        <f t="shared" si="492"/>
        <v/>
      </c>
      <c r="U1194" s="533">
        <f t="shared" si="493"/>
        <v>0</v>
      </c>
      <c r="V1194" s="531" t="str">
        <f t="shared" si="494"/>
        <v/>
      </c>
      <c r="W1194" s="531" t="str">
        <f t="shared" si="495"/>
        <v/>
      </c>
      <c r="X1194" s="534" t="str">
        <f t="shared" si="496"/>
        <v/>
      </c>
      <c r="Y1194" s="535" t="str">
        <f>IF($A1194="","",IF($I1194="weekly",$A1194+7,EDATE($A1194,VLOOKUP($I1194,Ref!$B$24:$C$29,2,0))))</f>
        <v/>
      </c>
      <c r="Z1194" s="536" t="str">
        <f t="shared" si="497"/>
        <v/>
      </c>
      <c r="AA1194" s="531">
        <f t="shared" si="498"/>
        <v>0</v>
      </c>
      <c r="AB1194" s="535" t="str">
        <f t="shared" si="486"/>
        <v/>
      </c>
      <c r="AC1194" s="537" t="str">
        <f t="shared" si="487"/>
        <v/>
      </c>
      <c r="AD1194" s="538" t="str">
        <f t="shared" ca="1" si="488"/>
        <v/>
      </c>
      <c r="AE1194" s="537">
        <f t="shared" ca="1" si="489"/>
        <v>0</v>
      </c>
      <c r="AF1194" s="539" t="str">
        <f t="shared" ca="1" si="499"/>
        <v/>
      </c>
      <c r="AG1194" s="531" t="str">
        <f t="shared" ca="1" si="500"/>
        <v/>
      </c>
      <c r="AH1194" s="531" t="str">
        <f t="shared" ca="1" si="501"/>
        <v/>
      </c>
      <c r="AI1194" s="531" t="str">
        <f t="shared" ca="1" si="502"/>
        <v/>
      </c>
      <c r="AJ1194" s="531" t="str">
        <f t="shared" si="503"/>
        <v/>
      </c>
      <c r="AK1194" s="540">
        <f>SUMIFS('Live Collections'!$S:$S,'Live Collections'!$D:$D,Disbursements!B1194,'Live Collections'!$G:$G,Disbursements!C1194)</f>
        <v>0</v>
      </c>
      <c r="AL1194" s="540">
        <f>SUMIFS('Live Collections'!$T:$T,'Live Collections'!$D:$D,Disbursements!B1194,'Live Collections'!$G:$G,Disbursements!C1194)</f>
        <v>0</v>
      </c>
      <c r="AM1194" s="541">
        <f t="shared" si="504"/>
        <v>0</v>
      </c>
      <c r="AN1194" s="542" t="str">
        <f t="shared" si="505"/>
        <v/>
      </c>
      <c r="AO1194" s="542" t="str">
        <f t="shared" si="506"/>
        <v/>
      </c>
      <c r="AP1194" s="543" t="str">
        <f t="shared" si="507"/>
        <v/>
      </c>
      <c r="AQ1194" s="544" t="str">
        <f t="shared" si="508"/>
        <v/>
      </c>
      <c r="AR1194" s="545">
        <f t="shared" si="509"/>
        <v>0</v>
      </c>
      <c r="AS1194" s="545">
        <f>IFERROR(CEILING($AR1194*VLOOKUP($I1194,Ref!$B$23:$E$29,4,0),1),0)</f>
        <v>0</v>
      </c>
      <c r="AT1194" s="545" t="str">
        <f>IF(A1194="","",IF(AP1194&lt;=1,"Cleared",IF(AS1194=0,"Clean",VLOOKUP($AS1194,Ref!$G$23:$H$28,2))))</f>
        <v/>
      </c>
      <c r="AU1194" s="546" t="str">
        <f t="shared" si="510"/>
        <v/>
      </c>
    </row>
    <row r="1195" spans="1:47" ht="14.25" hidden="1" customHeight="1" x14ac:dyDescent="0.15">
      <c r="A1195" s="523"/>
      <c r="B1195" s="523"/>
      <c r="C1195" s="523"/>
      <c r="D1195" s="523"/>
      <c r="E1195" s="579"/>
      <c r="F1195" s="580"/>
      <c r="G1195" s="524"/>
      <c r="H1195" s="555"/>
      <c r="I1195" s="560"/>
      <c r="J1195" s="523"/>
      <c r="K1195" s="528" t="str">
        <f>IFERROR(VLOOKUP($B1195,'Clients-Live'!$A:$C,3,0),"")</f>
        <v/>
      </c>
      <c r="L1195" s="528">
        <f>IF(E1195="STL",Pricing!$D$38,IF(A1195="",0,IF(A1195&lt;Pricing!$C$25,Pricing!$D$25,VLOOKUP(Disbursements!$F1195,Pricing!$B$29:$D$32,3))))</f>
        <v>0</v>
      </c>
      <c r="M1195" s="528">
        <f>IF(E1195="STL",0,IF(F1195&gt;0,Pricing!$D$21,0))</f>
        <v>0</v>
      </c>
      <c r="N1195" s="529">
        <f>IF(E1195="STL",F1195*Pricing!$D$40,IF(A1195&lt;=Pricing!$C$4,0,IF(AND(A1195&gt;Pricing!$C$4,Disbursements!A1195&lt;=Pricing!$C$5),F1195*Pricing!$E$5,IF(AND(A1195&gt;Pricing!$C$5,Disbursements!A1195&lt;=Pricing!$C$7),VLOOKUP(F1195,Pricing!$D$7:$E$8,2)*Disbursements!F1195,F1195*Pricing!$E$9))))</f>
        <v>0</v>
      </c>
      <c r="O1195" s="528">
        <f>IF(E1195="STL",0,IF($F1195&gt;0,$F1195*Pricing!$D$17,0))</f>
        <v>0</v>
      </c>
      <c r="P1195" s="530" t="str">
        <f t="shared" si="490"/>
        <v/>
      </c>
      <c r="Q1195" s="531" t="str">
        <f>IF($A1195="","",$G1195/VLOOKUP($I1195,Ref!$B$23:$D$29,2,0))</f>
        <v/>
      </c>
      <c r="R1195" s="530" t="str">
        <f t="shared" si="491"/>
        <v/>
      </c>
      <c r="S1195" s="532" t="str">
        <f t="shared" si="485"/>
        <v/>
      </c>
      <c r="T1195" s="531" t="str">
        <f t="shared" si="492"/>
        <v/>
      </c>
      <c r="U1195" s="533">
        <f t="shared" si="493"/>
        <v>0</v>
      </c>
      <c r="V1195" s="531" t="str">
        <f t="shared" si="494"/>
        <v/>
      </c>
      <c r="W1195" s="531" t="str">
        <f t="shared" si="495"/>
        <v/>
      </c>
      <c r="X1195" s="534" t="str">
        <f t="shared" si="496"/>
        <v/>
      </c>
      <c r="Y1195" s="535" t="str">
        <f>IF($A1195="","",IF($I1195="weekly",$A1195+7,EDATE($A1195,VLOOKUP($I1195,Ref!$B$24:$C$29,2,0))))</f>
        <v/>
      </c>
      <c r="Z1195" s="536" t="str">
        <f t="shared" si="497"/>
        <v/>
      </c>
      <c r="AA1195" s="531">
        <f t="shared" si="498"/>
        <v>0</v>
      </c>
      <c r="AB1195" s="535" t="str">
        <f t="shared" si="486"/>
        <v/>
      </c>
      <c r="AC1195" s="537" t="str">
        <f t="shared" si="487"/>
        <v/>
      </c>
      <c r="AD1195" s="538" t="str">
        <f t="shared" ca="1" si="488"/>
        <v/>
      </c>
      <c r="AE1195" s="537">
        <f t="shared" ca="1" si="489"/>
        <v>0</v>
      </c>
      <c r="AF1195" s="539" t="str">
        <f t="shared" ca="1" si="499"/>
        <v/>
      </c>
      <c r="AG1195" s="531" t="str">
        <f t="shared" ca="1" si="500"/>
        <v/>
      </c>
      <c r="AH1195" s="531" t="str">
        <f t="shared" ca="1" si="501"/>
        <v/>
      </c>
      <c r="AI1195" s="531" t="str">
        <f t="shared" ca="1" si="502"/>
        <v/>
      </c>
      <c r="AJ1195" s="531" t="str">
        <f t="shared" si="503"/>
        <v/>
      </c>
      <c r="AK1195" s="540">
        <f>SUMIFS('Live Collections'!$S:$S,'Live Collections'!$D:$D,Disbursements!B1195,'Live Collections'!$G:$G,Disbursements!C1195)</f>
        <v>0</v>
      </c>
      <c r="AL1195" s="540">
        <f>SUMIFS('Live Collections'!$T:$T,'Live Collections'!$D:$D,Disbursements!B1195,'Live Collections'!$G:$G,Disbursements!C1195)</f>
        <v>0</v>
      </c>
      <c r="AM1195" s="541">
        <f t="shared" si="504"/>
        <v>0</v>
      </c>
      <c r="AN1195" s="542" t="str">
        <f t="shared" si="505"/>
        <v/>
      </c>
      <c r="AO1195" s="542" t="str">
        <f t="shared" si="506"/>
        <v/>
      </c>
      <c r="AP1195" s="543" t="str">
        <f t="shared" si="507"/>
        <v/>
      </c>
      <c r="AQ1195" s="544" t="str">
        <f t="shared" si="508"/>
        <v/>
      </c>
      <c r="AR1195" s="545">
        <f t="shared" si="509"/>
        <v>0</v>
      </c>
      <c r="AS1195" s="545">
        <f>IFERROR(CEILING($AR1195*VLOOKUP($I1195,Ref!$B$23:$E$29,4,0),1),0)</f>
        <v>0</v>
      </c>
      <c r="AT1195" s="545" t="str">
        <f>IF(A1195="","",IF(AP1195&lt;=1,"Cleared",IF(AS1195=0,"Clean",VLOOKUP($AS1195,Ref!$G$23:$H$28,2))))</f>
        <v/>
      </c>
      <c r="AU1195" s="546" t="str">
        <f t="shared" si="510"/>
        <v/>
      </c>
    </row>
    <row r="1196" spans="1:47" ht="14.25" hidden="1" customHeight="1" x14ac:dyDescent="0.15">
      <c r="A1196" s="523"/>
      <c r="B1196" s="523"/>
      <c r="C1196" s="523"/>
      <c r="D1196" s="523"/>
      <c r="E1196" s="579"/>
      <c r="F1196" s="580"/>
      <c r="G1196" s="524"/>
      <c r="H1196" s="555"/>
      <c r="I1196" s="560"/>
      <c r="J1196" s="523"/>
      <c r="K1196" s="528" t="str">
        <f>IFERROR(VLOOKUP($B1196,'Clients-Live'!$A:$C,3,0),"")</f>
        <v/>
      </c>
      <c r="L1196" s="528">
        <f>IF(E1196="STL",Pricing!$D$38,IF(A1196="",0,IF(A1196&lt;Pricing!$C$25,Pricing!$D$25,VLOOKUP(Disbursements!$F1196,Pricing!$B$29:$D$32,3))))</f>
        <v>0</v>
      </c>
      <c r="M1196" s="528">
        <f>IF(E1196="STL",0,IF(F1196&gt;0,Pricing!$D$21,0))</f>
        <v>0</v>
      </c>
      <c r="N1196" s="529">
        <f>IF(E1196="STL",F1196*Pricing!$D$40,IF(A1196&lt;=Pricing!$C$4,0,IF(AND(A1196&gt;Pricing!$C$4,Disbursements!A1196&lt;=Pricing!$C$5),F1196*Pricing!$E$5,IF(AND(A1196&gt;Pricing!$C$5,Disbursements!A1196&lt;=Pricing!$C$7),VLOOKUP(F1196,Pricing!$D$7:$E$8,2)*Disbursements!F1196,F1196*Pricing!$E$9))))</f>
        <v>0</v>
      </c>
      <c r="O1196" s="528">
        <f>IF(E1196="STL",0,IF($F1196&gt;0,$F1196*Pricing!$D$17,0))</f>
        <v>0</v>
      </c>
      <c r="P1196" s="530" t="str">
        <f t="shared" si="490"/>
        <v/>
      </c>
      <c r="Q1196" s="531" t="str">
        <f>IF($A1196="","",$G1196/VLOOKUP($I1196,Ref!$B$23:$D$29,2,0))</f>
        <v/>
      </c>
      <c r="R1196" s="530" t="str">
        <f t="shared" si="491"/>
        <v/>
      </c>
      <c r="S1196" s="532" t="str">
        <f t="shared" si="485"/>
        <v/>
      </c>
      <c r="T1196" s="531" t="str">
        <f t="shared" si="492"/>
        <v/>
      </c>
      <c r="U1196" s="533">
        <f t="shared" si="493"/>
        <v>0</v>
      </c>
      <c r="V1196" s="531" t="str">
        <f t="shared" si="494"/>
        <v/>
      </c>
      <c r="W1196" s="531" t="str">
        <f t="shared" si="495"/>
        <v/>
      </c>
      <c r="X1196" s="534" t="str">
        <f t="shared" si="496"/>
        <v/>
      </c>
      <c r="Y1196" s="535" t="str">
        <f>IF($A1196="","",IF($I1196="weekly",$A1196+7,EDATE($A1196,VLOOKUP($I1196,Ref!$B$24:$C$29,2,0))))</f>
        <v/>
      </c>
      <c r="Z1196" s="536" t="str">
        <f t="shared" si="497"/>
        <v/>
      </c>
      <c r="AA1196" s="531">
        <f t="shared" si="498"/>
        <v>0</v>
      </c>
      <c r="AB1196" s="535" t="str">
        <f t="shared" si="486"/>
        <v/>
      </c>
      <c r="AC1196" s="537" t="str">
        <f t="shared" si="487"/>
        <v/>
      </c>
      <c r="AD1196" s="538" t="str">
        <f t="shared" ca="1" si="488"/>
        <v/>
      </c>
      <c r="AE1196" s="537">
        <f t="shared" ca="1" si="489"/>
        <v>0</v>
      </c>
      <c r="AF1196" s="539" t="str">
        <f t="shared" ca="1" si="499"/>
        <v/>
      </c>
      <c r="AG1196" s="531" t="str">
        <f t="shared" ca="1" si="500"/>
        <v/>
      </c>
      <c r="AH1196" s="531" t="str">
        <f t="shared" ca="1" si="501"/>
        <v/>
      </c>
      <c r="AI1196" s="531" t="str">
        <f t="shared" ca="1" si="502"/>
        <v/>
      </c>
      <c r="AJ1196" s="531" t="str">
        <f t="shared" si="503"/>
        <v/>
      </c>
      <c r="AK1196" s="540">
        <f>SUMIFS('Live Collections'!$S:$S,'Live Collections'!$D:$D,Disbursements!B1196,'Live Collections'!$G:$G,Disbursements!C1196)</f>
        <v>0</v>
      </c>
      <c r="AL1196" s="540">
        <f>SUMIFS('Live Collections'!$T:$T,'Live Collections'!$D:$D,Disbursements!B1196,'Live Collections'!$G:$G,Disbursements!C1196)</f>
        <v>0</v>
      </c>
      <c r="AM1196" s="541">
        <f t="shared" si="504"/>
        <v>0</v>
      </c>
      <c r="AN1196" s="542" t="str">
        <f t="shared" si="505"/>
        <v/>
      </c>
      <c r="AO1196" s="542" t="str">
        <f t="shared" si="506"/>
        <v/>
      </c>
      <c r="AP1196" s="543" t="str">
        <f t="shared" si="507"/>
        <v/>
      </c>
      <c r="AQ1196" s="544" t="str">
        <f t="shared" si="508"/>
        <v/>
      </c>
      <c r="AR1196" s="545">
        <f t="shared" si="509"/>
        <v>0</v>
      </c>
      <c r="AS1196" s="545">
        <f>IFERROR(CEILING($AR1196*VLOOKUP($I1196,Ref!$B$23:$E$29,4,0),1),0)</f>
        <v>0</v>
      </c>
      <c r="AT1196" s="545" t="str">
        <f>IF(A1196="","",IF(AP1196&lt;=1,"Cleared",IF(AS1196=0,"Clean",VLOOKUP($AS1196,Ref!$G$23:$H$28,2))))</f>
        <v/>
      </c>
      <c r="AU1196" s="546" t="str">
        <f t="shared" si="510"/>
        <v/>
      </c>
    </row>
    <row r="1197" spans="1:47" ht="14.25" hidden="1" customHeight="1" x14ac:dyDescent="0.15">
      <c r="A1197" s="523"/>
      <c r="B1197" s="523"/>
      <c r="C1197" s="523"/>
      <c r="D1197" s="523"/>
      <c r="E1197" s="579"/>
      <c r="F1197" s="580"/>
      <c r="G1197" s="524"/>
      <c r="H1197" s="555"/>
      <c r="I1197" s="560"/>
      <c r="J1197" s="523"/>
      <c r="K1197" s="528" t="str">
        <f>IFERROR(VLOOKUP($B1197,'Clients-Live'!$A:$C,3,0),"")</f>
        <v/>
      </c>
      <c r="L1197" s="528">
        <f>IF(E1197="STL",Pricing!$D$38,IF(A1197="",0,IF(A1197&lt;Pricing!$C$25,Pricing!$D$25,VLOOKUP(Disbursements!$F1197,Pricing!$B$29:$D$32,3))))</f>
        <v>0</v>
      </c>
      <c r="M1197" s="528">
        <f>IF(E1197="STL",0,IF(F1197&gt;0,Pricing!$D$21,0))</f>
        <v>0</v>
      </c>
      <c r="N1197" s="529">
        <f>IF(E1197="STL",F1197*Pricing!$D$40,IF(A1197&lt;=Pricing!$C$4,0,IF(AND(A1197&gt;Pricing!$C$4,Disbursements!A1197&lt;=Pricing!$C$5),F1197*Pricing!$E$5,IF(AND(A1197&gt;Pricing!$C$5,Disbursements!A1197&lt;=Pricing!$C$7),VLOOKUP(F1197,Pricing!$D$7:$E$8,2)*Disbursements!F1197,F1197*Pricing!$E$9))))</f>
        <v>0</v>
      </c>
      <c r="O1197" s="528">
        <f>IF(E1197="STL",0,IF($F1197&gt;0,$F1197*Pricing!$D$17,0))</f>
        <v>0</v>
      </c>
      <c r="P1197" s="530" t="str">
        <f t="shared" si="490"/>
        <v/>
      </c>
      <c r="Q1197" s="531" t="str">
        <f>IF($A1197="","",$G1197/VLOOKUP($I1197,Ref!$B$23:$D$29,2,0))</f>
        <v/>
      </c>
      <c r="R1197" s="530" t="str">
        <f t="shared" si="491"/>
        <v/>
      </c>
      <c r="S1197" s="532" t="str">
        <f t="shared" si="485"/>
        <v/>
      </c>
      <c r="T1197" s="531" t="str">
        <f t="shared" si="492"/>
        <v/>
      </c>
      <c r="U1197" s="533">
        <f t="shared" si="493"/>
        <v>0</v>
      </c>
      <c r="V1197" s="531" t="str">
        <f t="shared" si="494"/>
        <v/>
      </c>
      <c r="W1197" s="531" t="str">
        <f t="shared" si="495"/>
        <v/>
      </c>
      <c r="X1197" s="534" t="str">
        <f t="shared" si="496"/>
        <v/>
      </c>
      <c r="Y1197" s="535" t="str">
        <f>IF($A1197="","",IF($I1197="weekly",$A1197+7,EDATE($A1197,VLOOKUP($I1197,Ref!$B$24:$C$29,2,0))))</f>
        <v/>
      </c>
      <c r="Z1197" s="536" t="str">
        <f t="shared" si="497"/>
        <v/>
      </c>
      <c r="AA1197" s="531">
        <f t="shared" si="498"/>
        <v>0</v>
      </c>
      <c r="AB1197" s="535" t="str">
        <f t="shared" si="486"/>
        <v/>
      </c>
      <c r="AC1197" s="537" t="str">
        <f t="shared" si="487"/>
        <v/>
      </c>
      <c r="AD1197" s="538" t="str">
        <f t="shared" ca="1" si="488"/>
        <v/>
      </c>
      <c r="AE1197" s="537">
        <f t="shared" ca="1" si="489"/>
        <v>0</v>
      </c>
      <c r="AF1197" s="539" t="str">
        <f t="shared" ca="1" si="499"/>
        <v/>
      </c>
      <c r="AG1197" s="531" t="str">
        <f t="shared" ca="1" si="500"/>
        <v/>
      </c>
      <c r="AH1197" s="531" t="str">
        <f t="shared" ca="1" si="501"/>
        <v/>
      </c>
      <c r="AI1197" s="531" t="str">
        <f t="shared" ca="1" si="502"/>
        <v/>
      </c>
      <c r="AJ1197" s="531" t="str">
        <f t="shared" si="503"/>
        <v/>
      </c>
      <c r="AK1197" s="540">
        <f>SUMIFS('Live Collections'!$S:$S,'Live Collections'!$D:$D,Disbursements!B1197,'Live Collections'!$G:$G,Disbursements!C1197)</f>
        <v>0</v>
      </c>
      <c r="AL1197" s="540">
        <f>SUMIFS('Live Collections'!$T:$T,'Live Collections'!$D:$D,Disbursements!B1197,'Live Collections'!$G:$G,Disbursements!C1197)</f>
        <v>0</v>
      </c>
      <c r="AM1197" s="541">
        <f t="shared" si="504"/>
        <v>0</v>
      </c>
      <c r="AN1197" s="542" t="str">
        <f t="shared" si="505"/>
        <v/>
      </c>
      <c r="AO1197" s="542" t="str">
        <f t="shared" si="506"/>
        <v/>
      </c>
      <c r="AP1197" s="543" t="str">
        <f t="shared" si="507"/>
        <v/>
      </c>
      <c r="AQ1197" s="544" t="str">
        <f t="shared" si="508"/>
        <v/>
      </c>
      <c r="AR1197" s="545">
        <f t="shared" si="509"/>
        <v>0</v>
      </c>
      <c r="AS1197" s="545">
        <f>IFERROR(CEILING($AR1197*VLOOKUP($I1197,Ref!$B$23:$E$29,4,0),1),0)</f>
        <v>0</v>
      </c>
      <c r="AT1197" s="545" t="str">
        <f>IF(A1197="","",IF(AP1197&lt;=1,"Cleared",IF(AS1197=0,"Clean",VLOOKUP($AS1197,Ref!$G$23:$H$28,2))))</f>
        <v/>
      </c>
      <c r="AU1197" s="546" t="str">
        <f t="shared" si="510"/>
        <v/>
      </c>
    </row>
    <row r="1198" spans="1:47" ht="14.25" hidden="1" customHeight="1" x14ac:dyDescent="0.15">
      <c r="A1198" s="523"/>
      <c r="B1198" s="523"/>
      <c r="C1198" s="523"/>
      <c r="D1198" s="523"/>
      <c r="E1198" s="579"/>
      <c r="F1198" s="580"/>
      <c r="G1198" s="524"/>
      <c r="H1198" s="555"/>
      <c r="I1198" s="560"/>
      <c r="J1198" s="523"/>
      <c r="K1198" s="528" t="str">
        <f>IFERROR(VLOOKUP($B1198,'Clients-Live'!$A:$C,3,0),"")</f>
        <v/>
      </c>
      <c r="L1198" s="528">
        <f>IF(E1198="STL",Pricing!$D$38,IF(A1198="",0,IF(A1198&lt;Pricing!$C$25,Pricing!$D$25,VLOOKUP(Disbursements!$F1198,Pricing!$B$29:$D$32,3))))</f>
        <v>0</v>
      </c>
      <c r="M1198" s="528">
        <f>IF(E1198="STL",0,IF(F1198&gt;0,Pricing!$D$21,0))</f>
        <v>0</v>
      </c>
      <c r="N1198" s="529">
        <f>IF(E1198="STL",F1198*Pricing!$D$40,IF(A1198&lt;=Pricing!$C$4,0,IF(AND(A1198&gt;Pricing!$C$4,Disbursements!A1198&lt;=Pricing!$C$5),F1198*Pricing!$E$5,IF(AND(A1198&gt;Pricing!$C$5,Disbursements!A1198&lt;=Pricing!$C$7),VLOOKUP(F1198,Pricing!$D$7:$E$8,2)*Disbursements!F1198,F1198*Pricing!$E$9))))</f>
        <v>0</v>
      </c>
      <c r="O1198" s="528">
        <f>IF(E1198="STL",0,IF($F1198&gt;0,$F1198*Pricing!$D$17,0))</f>
        <v>0</v>
      </c>
      <c r="P1198" s="530" t="str">
        <f t="shared" si="490"/>
        <v/>
      </c>
      <c r="Q1198" s="531" t="str">
        <f>IF($A1198="","",$G1198/VLOOKUP($I1198,Ref!$B$23:$D$29,2,0))</f>
        <v/>
      </c>
      <c r="R1198" s="530" t="str">
        <f t="shared" si="491"/>
        <v/>
      </c>
      <c r="S1198" s="532" t="str">
        <f t="shared" si="485"/>
        <v/>
      </c>
      <c r="T1198" s="531" t="str">
        <f t="shared" si="492"/>
        <v/>
      </c>
      <c r="U1198" s="533">
        <f t="shared" si="493"/>
        <v>0</v>
      </c>
      <c r="V1198" s="531" t="str">
        <f t="shared" si="494"/>
        <v/>
      </c>
      <c r="W1198" s="531" t="str">
        <f t="shared" si="495"/>
        <v/>
      </c>
      <c r="X1198" s="534" t="str">
        <f t="shared" si="496"/>
        <v/>
      </c>
      <c r="Y1198" s="535" t="str">
        <f>IF($A1198="","",IF($I1198="weekly",$A1198+7,EDATE($A1198,VLOOKUP($I1198,Ref!$B$24:$C$29,2,0))))</f>
        <v/>
      </c>
      <c r="Z1198" s="536" t="str">
        <f t="shared" si="497"/>
        <v/>
      </c>
      <c r="AA1198" s="531">
        <f t="shared" si="498"/>
        <v>0</v>
      </c>
      <c r="AB1198" s="535" t="str">
        <f t="shared" si="486"/>
        <v/>
      </c>
      <c r="AC1198" s="537" t="str">
        <f t="shared" si="487"/>
        <v/>
      </c>
      <c r="AD1198" s="538" t="str">
        <f t="shared" ca="1" si="488"/>
        <v/>
      </c>
      <c r="AE1198" s="537">
        <f t="shared" ca="1" si="489"/>
        <v>0</v>
      </c>
      <c r="AF1198" s="539" t="str">
        <f t="shared" ca="1" si="499"/>
        <v/>
      </c>
      <c r="AG1198" s="531" t="str">
        <f t="shared" ca="1" si="500"/>
        <v/>
      </c>
      <c r="AH1198" s="531" t="str">
        <f t="shared" ca="1" si="501"/>
        <v/>
      </c>
      <c r="AI1198" s="531" t="str">
        <f t="shared" ca="1" si="502"/>
        <v/>
      </c>
      <c r="AJ1198" s="531" t="str">
        <f t="shared" si="503"/>
        <v/>
      </c>
      <c r="AK1198" s="540">
        <f>SUMIFS('Live Collections'!$S:$S,'Live Collections'!$D:$D,Disbursements!B1198,'Live Collections'!$G:$G,Disbursements!C1198)</f>
        <v>0</v>
      </c>
      <c r="AL1198" s="540">
        <f>SUMIFS('Live Collections'!$T:$T,'Live Collections'!$D:$D,Disbursements!B1198,'Live Collections'!$G:$G,Disbursements!C1198)</f>
        <v>0</v>
      </c>
      <c r="AM1198" s="541">
        <f t="shared" si="504"/>
        <v>0</v>
      </c>
      <c r="AN1198" s="542" t="str">
        <f t="shared" si="505"/>
        <v/>
      </c>
      <c r="AO1198" s="542" t="str">
        <f t="shared" si="506"/>
        <v/>
      </c>
      <c r="AP1198" s="543" t="str">
        <f t="shared" si="507"/>
        <v/>
      </c>
      <c r="AQ1198" s="544" t="str">
        <f t="shared" si="508"/>
        <v/>
      </c>
      <c r="AR1198" s="545">
        <f t="shared" si="509"/>
        <v>0</v>
      </c>
      <c r="AS1198" s="545">
        <f>IFERROR(CEILING($AR1198*VLOOKUP($I1198,Ref!$B$23:$E$29,4,0),1),0)</f>
        <v>0</v>
      </c>
      <c r="AT1198" s="545" t="str">
        <f>IF(A1198="","",IF(AP1198&lt;=1,"Cleared",IF(AS1198=0,"Clean",VLOOKUP($AS1198,Ref!$G$23:$H$28,2))))</f>
        <v/>
      </c>
      <c r="AU1198" s="546" t="str">
        <f t="shared" si="510"/>
        <v/>
      </c>
    </row>
    <row r="1199" spans="1:47" ht="14.25" hidden="1" customHeight="1" x14ac:dyDescent="0.15">
      <c r="A1199" s="523"/>
      <c r="B1199" s="523"/>
      <c r="C1199" s="523"/>
      <c r="D1199" s="523"/>
      <c r="E1199" s="579"/>
      <c r="F1199" s="580"/>
      <c r="G1199" s="524"/>
      <c r="H1199" s="555"/>
      <c r="I1199" s="560"/>
      <c r="J1199" s="523"/>
      <c r="K1199" s="528" t="str">
        <f>IFERROR(VLOOKUP($B1199,'Clients-Live'!$A:$C,3,0),"")</f>
        <v/>
      </c>
      <c r="L1199" s="528">
        <f>IF(E1199="STL",Pricing!$D$38,IF(A1199="",0,IF(A1199&lt;Pricing!$C$25,Pricing!$D$25,VLOOKUP(Disbursements!$F1199,Pricing!$B$29:$D$32,3))))</f>
        <v>0</v>
      </c>
      <c r="M1199" s="528">
        <f>IF(E1199="STL",0,IF(F1199&gt;0,Pricing!$D$21,0))</f>
        <v>0</v>
      </c>
      <c r="N1199" s="529">
        <f>IF(E1199="STL",F1199*Pricing!$D$40,IF(A1199&lt;=Pricing!$C$4,0,IF(AND(A1199&gt;Pricing!$C$4,Disbursements!A1199&lt;=Pricing!$C$5),F1199*Pricing!$E$5,IF(AND(A1199&gt;Pricing!$C$5,Disbursements!A1199&lt;=Pricing!$C$7),VLOOKUP(F1199,Pricing!$D$7:$E$8,2)*Disbursements!F1199,F1199*Pricing!$E$9))))</f>
        <v>0</v>
      </c>
      <c r="O1199" s="528">
        <f>IF(E1199="STL",0,IF($F1199&gt;0,$F1199*Pricing!$D$17,0))</f>
        <v>0</v>
      </c>
      <c r="P1199" s="530" t="str">
        <f t="shared" si="490"/>
        <v/>
      </c>
      <c r="Q1199" s="531" t="str">
        <f>IF($A1199="","",$G1199/VLOOKUP($I1199,Ref!$B$23:$D$29,2,0))</f>
        <v/>
      </c>
      <c r="R1199" s="530" t="str">
        <f t="shared" si="491"/>
        <v/>
      </c>
      <c r="S1199" s="532" t="str">
        <f t="shared" si="485"/>
        <v/>
      </c>
      <c r="T1199" s="531" t="str">
        <f t="shared" si="492"/>
        <v/>
      </c>
      <c r="U1199" s="533">
        <f t="shared" si="493"/>
        <v>0</v>
      </c>
      <c r="V1199" s="531" t="str">
        <f t="shared" si="494"/>
        <v/>
      </c>
      <c r="W1199" s="531" t="str">
        <f t="shared" si="495"/>
        <v/>
      </c>
      <c r="X1199" s="534" t="str">
        <f t="shared" si="496"/>
        <v/>
      </c>
      <c r="Y1199" s="535" t="str">
        <f>IF($A1199="","",IF($I1199="weekly",$A1199+7,EDATE($A1199,VLOOKUP($I1199,Ref!$B$24:$C$29,2,0))))</f>
        <v/>
      </c>
      <c r="Z1199" s="536" t="str">
        <f t="shared" si="497"/>
        <v/>
      </c>
      <c r="AA1199" s="531">
        <f t="shared" si="498"/>
        <v>0</v>
      </c>
      <c r="AB1199" s="535" t="str">
        <f t="shared" si="486"/>
        <v/>
      </c>
      <c r="AC1199" s="537" t="str">
        <f t="shared" si="487"/>
        <v/>
      </c>
      <c r="AD1199" s="538" t="str">
        <f t="shared" ca="1" si="488"/>
        <v/>
      </c>
      <c r="AE1199" s="537">
        <f t="shared" ca="1" si="489"/>
        <v>0</v>
      </c>
      <c r="AF1199" s="539" t="str">
        <f t="shared" ca="1" si="499"/>
        <v/>
      </c>
      <c r="AG1199" s="531" t="str">
        <f t="shared" ca="1" si="500"/>
        <v/>
      </c>
      <c r="AH1199" s="531" t="str">
        <f t="shared" ca="1" si="501"/>
        <v/>
      </c>
      <c r="AI1199" s="531" t="str">
        <f t="shared" ca="1" si="502"/>
        <v/>
      </c>
      <c r="AJ1199" s="531" t="str">
        <f t="shared" si="503"/>
        <v/>
      </c>
      <c r="AK1199" s="540">
        <f>SUMIFS('Live Collections'!$S:$S,'Live Collections'!$D:$D,Disbursements!B1199,'Live Collections'!$G:$G,Disbursements!C1199)</f>
        <v>0</v>
      </c>
      <c r="AL1199" s="540">
        <f>SUMIFS('Live Collections'!$T:$T,'Live Collections'!$D:$D,Disbursements!B1199,'Live Collections'!$G:$G,Disbursements!C1199)</f>
        <v>0</v>
      </c>
      <c r="AM1199" s="541">
        <f t="shared" si="504"/>
        <v>0</v>
      </c>
      <c r="AN1199" s="542" t="str">
        <f t="shared" si="505"/>
        <v/>
      </c>
      <c r="AO1199" s="542" t="str">
        <f t="shared" si="506"/>
        <v/>
      </c>
      <c r="AP1199" s="543" t="str">
        <f t="shared" si="507"/>
        <v/>
      </c>
      <c r="AQ1199" s="544" t="str">
        <f t="shared" si="508"/>
        <v/>
      </c>
      <c r="AR1199" s="545">
        <f t="shared" si="509"/>
        <v>0</v>
      </c>
      <c r="AS1199" s="545">
        <f>IFERROR(CEILING($AR1199*VLOOKUP($I1199,Ref!$B$23:$E$29,4,0),1),0)</f>
        <v>0</v>
      </c>
      <c r="AT1199" s="545" t="str">
        <f>IF(A1199="","",IF(AP1199&lt;=1,"Cleared",IF(AS1199=0,"Clean",VLOOKUP($AS1199,Ref!$G$23:$H$28,2))))</f>
        <v/>
      </c>
      <c r="AU1199" s="546" t="str">
        <f t="shared" si="510"/>
        <v/>
      </c>
    </row>
    <row r="1200" spans="1:47" ht="14.25" hidden="1" customHeight="1" x14ac:dyDescent="0.15">
      <c r="A1200" s="523"/>
      <c r="B1200" s="523"/>
      <c r="C1200" s="523"/>
      <c r="D1200" s="523"/>
      <c r="E1200" s="579"/>
      <c r="F1200" s="580"/>
      <c r="G1200" s="524"/>
      <c r="H1200" s="555"/>
      <c r="I1200" s="560"/>
      <c r="J1200" s="523"/>
      <c r="K1200" s="528" t="str">
        <f>IFERROR(VLOOKUP($B1200,'Clients-Live'!$A:$C,3,0),"")</f>
        <v/>
      </c>
      <c r="L1200" s="528">
        <f>IF(E1200="STL",Pricing!$D$38,IF(A1200="",0,IF(A1200&lt;Pricing!$C$25,Pricing!$D$25,VLOOKUP(Disbursements!$F1200,Pricing!$B$29:$D$32,3))))</f>
        <v>0</v>
      </c>
      <c r="M1200" s="528">
        <f>IF(E1200="STL",0,IF(F1200&gt;0,Pricing!$D$21,0))</f>
        <v>0</v>
      </c>
      <c r="N1200" s="529">
        <f>IF(E1200="STL",F1200*Pricing!$D$40,IF(A1200&lt;=Pricing!$C$4,0,IF(AND(A1200&gt;Pricing!$C$4,Disbursements!A1200&lt;=Pricing!$C$5),F1200*Pricing!$E$5,IF(AND(A1200&gt;Pricing!$C$5,Disbursements!A1200&lt;=Pricing!$C$7),VLOOKUP(F1200,Pricing!$D$7:$E$8,2)*Disbursements!F1200,F1200*Pricing!$E$9))))</f>
        <v>0</v>
      </c>
      <c r="O1200" s="528">
        <f>IF(E1200="STL",0,IF($F1200&gt;0,$F1200*Pricing!$D$17,0))</f>
        <v>0</v>
      </c>
      <c r="P1200" s="530" t="str">
        <f t="shared" si="490"/>
        <v/>
      </c>
      <c r="Q1200" s="531" t="str">
        <f>IF($A1200="","",$G1200/VLOOKUP($I1200,Ref!$B$23:$D$29,2,0))</f>
        <v/>
      </c>
      <c r="R1200" s="530" t="str">
        <f t="shared" si="491"/>
        <v/>
      </c>
      <c r="S1200" s="532" t="str">
        <f t="shared" si="485"/>
        <v/>
      </c>
      <c r="T1200" s="531" t="str">
        <f t="shared" si="492"/>
        <v/>
      </c>
      <c r="U1200" s="533">
        <f t="shared" si="493"/>
        <v>0</v>
      </c>
      <c r="V1200" s="531" t="str">
        <f t="shared" si="494"/>
        <v/>
      </c>
      <c r="W1200" s="531" t="str">
        <f t="shared" si="495"/>
        <v/>
      </c>
      <c r="X1200" s="534" t="str">
        <f t="shared" si="496"/>
        <v/>
      </c>
      <c r="Y1200" s="535" t="str">
        <f>IF($A1200="","",IF($I1200="weekly",$A1200+7,EDATE($A1200,VLOOKUP($I1200,Ref!$B$24:$C$29,2,0))))</f>
        <v/>
      </c>
      <c r="Z1200" s="536" t="str">
        <f t="shared" si="497"/>
        <v/>
      </c>
      <c r="AA1200" s="531">
        <f t="shared" si="498"/>
        <v>0</v>
      </c>
      <c r="AB1200" s="535" t="str">
        <f t="shared" si="486"/>
        <v/>
      </c>
      <c r="AC1200" s="537" t="str">
        <f t="shared" si="487"/>
        <v/>
      </c>
      <c r="AD1200" s="538" t="str">
        <f t="shared" ca="1" si="488"/>
        <v/>
      </c>
      <c r="AE1200" s="537">
        <f t="shared" ca="1" si="489"/>
        <v>0</v>
      </c>
      <c r="AF1200" s="539" t="str">
        <f t="shared" ca="1" si="499"/>
        <v/>
      </c>
      <c r="AG1200" s="531" t="str">
        <f t="shared" ca="1" si="500"/>
        <v/>
      </c>
      <c r="AH1200" s="531" t="str">
        <f t="shared" ca="1" si="501"/>
        <v/>
      </c>
      <c r="AI1200" s="531" t="str">
        <f t="shared" ca="1" si="502"/>
        <v/>
      </c>
      <c r="AJ1200" s="531" t="str">
        <f t="shared" si="503"/>
        <v/>
      </c>
      <c r="AK1200" s="540">
        <f>SUMIFS('Live Collections'!$S:$S,'Live Collections'!$D:$D,Disbursements!B1200,'Live Collections'!$G:$G,Disbursements!C1200)</f>
        <v>0</v>
      </c>
      <c r="AL1200" s="540">
        <f>SUMIFS('Live Collections'!$T:$T,'Live Collections'!$D:$D,Disbursements!B1200,'Live Collections'!$G:$G,Disbursements!C1200)</f>
        <v>0</v>
      </c>
      <c r="AM1200" s="541">
        <f t="shared" si="504"/>
        <v>0</v>
      </c>
      <c r="AN1200" s="542" t="str">
        <f t="shared" si="505"/>
        <v/>
      </c>
      <c r="AO1200" s="542" t="str">
        <f t="shared" si="506"/>
        <v/>
      </c>
      <c r="AP1200" s="543" t="str">
        <f t="shared" si="507"/>
        <v/>
      </c>
      <c r="AQ1200" s="544" t="str">
        <f t="shared" si="508"/>
        <v/>
      </c>
      <c r="AR1200" s="545">
        <f t="shared" si="509"/>
        <v>0</v>
      </c>
      <c r="AS1200" s="545">
        <f>IFERROR(CEILING($AR1200*VLOOKUP($I1200,Ref!$B$23:$E$29,4,0),1),0)</f>
        <v>0</v>
      </c>
      <c r="AT1200" s="545" t="str">
        <f>IF(A1200="","",IF(AP1200&lt;=1,"Cleared",IF(AS1200=0,"Clean",VLOOKUP($AS1200,Ref!$G$23:$H$28,2))))</f>
        <v/>
      </c>
      <c r="AU1200" s="546" t="str">
        <f t="shared" si="510"/>
        <v/>
      </c>
    </row>
    <row r="1201" spans="1:47" ht="14.25" hidden="1" customHeight="1" x14ac:dyDescent="0.15">
      <c r="A1201" s="523"/>
      <c r="B1201" s="523"/>
      <c r="C1201" s="523"/>
      <c r="D1201" s="523"/>
      <c r="E1201" s="579"/>
      <c r="F1201" s="580"/>
      <c r="G1201" s="524"/>
      <c r="H1201" s="555"/>
      <c r="I1201" s="560"/>
      <c r="J1201" s="523"/>
      <c r="K1201" s="528" t="str">
        <f>IFERROR(VLOOKUP($B1201,'Clients-Live'!$A:$C,3,0),"")</f>
        <v/>
      </c>
      <c r="L1201" s="528">
        <f>IF(E1201="STL",Pricing!$D$38,IF(A1201="",0,IF(A1201&lt;Pricing!$C$25,Pricing!$D$25,VLOOKUP(Disbursements!$F1201,Pricing!$B$29:$D$32,3))))</f>
        <v>0</v>
      </c>
      <c r="M1201" s="528">
        <f>IF(E1201="STL",0,IF(F1201&gt;0,Pricing!$D$21,0))</f>
        <v>0</v>
      </c>
      <c r="N1201" s="529">
        <f>IF(E1201="STL",F1201*Pricing!$D$40,IF(A1201&lt;=Pricing!$C$4,0,IF(AND(A1201&gt;Pricing!$C$4,Disbursements!A1201&lt;=Pricing!$C$5),F1201*Pricing!$E$5,IF(AND(A1201&gt;Pricing!$C$5,Disbursements!A1201&lt;=Pricing!$C$7),VLOOKUP(F1201,Pricing!$D$7:$E$8,2)*Disbursements!F1201,F1201*Pricing!$E$9))))</f>
        <v>0</v>
      </c>
      <c r="O1201" s="528">
        <f>IF(E1201="STL",0,IF($F1201&gt;0,$F1201*Pricing!$D$17,0))</f>
        <v>0</v>
      </c>
      <c r="P1201" s="530" t="str">
        <f t="shared" si="490"/>
        <v/>
      </c>
      <c r="Q1201" s="531" t="str">
        <f>IF($A1201="","",$G1201/VLOOKUP($I1201,Ref!$B$23:$D$29,2,0))</f>
        <v/>
      </c>
      <c r="R1201" s="530" t="str">
        <f t="shared" si="491"/>
        <v/>
      </c>
      <c r="S1201" s="532" t="str">
        <f t="shared" si="485"/>
        <v/>
      </c>
      <c r="T1201" s="531" t="str">
        <f t="shared" si="492"/>
        <v/>
      </c>
      <c r="U1201" s="533">
        <f t="shared" si="493"/>
        <v>0</v>
      </c>
      <c r="V1201" s="531" t="str">
        <f t="shared" si="494"/>
        <v/>
      </c>
      <c r="W1201" s="531" t="str">
        <f t="shared" si="495"/>
        <v/>
      </c>
      <c r="X1201" s="534" t="str">
        <f t="shared" si="496"/>
        <v/>
      </c>
      <c r="Y1201" s="535" t="str">
        <f>IF($A1201="","",IF($I1201="weekly",$A1201+7,EDATE($A1201,VLOOKUP($I1201,Ref!$B$24:$C$29,2,0))))</f>
        <v/>
      </c>
      <c r="Z1201" s="536" t="str">
        <f t="shared" si="497"/>
        <v/>
      </c>
      <c r="AA1201" s="531">
        <f t="shared" si="498"/>
        <v>0</v>
      </c>
      <c r="AB1201" s="535" t="str">
        <f t="shared" si="486"/>
        <v/>
      </c>
      <c r="AC1201" s="537" t="str">
        <f t="shared" si="487"/>
        <v/>
      </c>
      <c r="AD1201" s="538" t="str">
        <f t="shared" ca="1" si="488"/>
        <v/>
      </c>
      <c r="AE1201" s="537">
        <f t="shared" ca="1" si="489"/>
        <v>0</v>
      </c>
      <c r="AF1201" s="539" t="str">
        <f t="shared" ca="1" si="499"/>
        <v/>
      </c>
      <c r="AG1201" s="531" t="str">
        <f t="shared" ca="1" si="500"/>
        <v/>
      </c>
      <c r="AH1201" s="531" t="str">
        <f t="shared" ca="1" si="501"/>
        <v/>
      </c>
      <c r="AI1201" s="531" t="str">
        <f t="shared" ca="1" si="502"/>
        <v/>
      </c>
      <c r="AJ1201" s="531" t="str">
        <f t="shared" si="503"/>
        <v/>
      </c>
      <c r="AK1201" s="540">
        <f>SUMIFS('Live Collections'!$S:$S,'Live Collections'!$D:$D,Disbursements!B1201,'Live Collections'!$G:$G,Disbursements!C1201)</f>
        <v>0</v>
      </c>
      <c r="AL1201" s="540">
        <f>SUMIFS('Live Collections'!$T:$T,'Live Collections'!$D:$D,Disbursements!B1201,'Live Collections'!$G:$G,Disbursements!C1201)</f>
        <v>0</v>
      </c>
      <c r="AM1201" s="541">
        <f t="shared" si="504"/>
        <v>0</v>
      </c>
      <c r="AN1201" s="542" t="str">
        <f t="shared" si="505"/>
        <v/>
      </c>
      <c r="AO1201" s="542" t="str">
        <f t="shared" si="506"/>
        <v/>
      </c>
      <c r="AP1201" s="543" t="str">
        <f t="shared" si="507"/>
        <v/>
      </c>
      <c r="AQ1201" s="544" t="str">
        <f t="shared" si="508"/>
        <v/>
      </c>
      <c r="AR1201" s="545">
        <f t="shared" si="509"/>
        <v>0</v>
      </c>
      <c r="AS1201" s="545">
        <f>IFERROR(CEILING($AR1201*VLOOKUP($I1201,Ref!$B$23:$E$29,4,0),1),0)</f>
        <v>0</v>
      </c>
      <c r="AT1201" s="545" t="str">
        <f>IF(A1201="","",IF(AP1201&lt;=1,"Cleared",IF(AS1201=0,"Clean",VLOOKUP($AS1201,Ref!$G$23:$H$28,2))))</f>
        <v/>
      </c>
      <c r="AU1201" s="546" t="str">
        <f t="shared" si="510"/>
        <v/>
      </c>
    </row>
    <row r="1202" spans="1:47" ht="14.25" hidden="1" customHeight="1" x14ac:dyDescent="0.15">
      <c r="A1202" s="523"/>
      <c r="B1202" s="523"/>
      <c r="C1202" s="523"/>
      <c r="D1202" s="523"/>
      <c r="E1202" s="579"/>
      <c r="F1202" s="580"/>
      <c r="G1202" s="524"/>
      <c r="H1202" s="555"/>
      <c r="I1202" s="560"/>
      <c r="J1202" s="523"/>
      <c r="K1202" s="528" t="str">
        <f>IFERROR(VLOOKUP($B1202,'Clients-Live'!$A:$C,3,0),"")</f>
        <v/>
      </c>
      <c r="L1202" s="528">
        <f>IF(E1202="STL",Pricing!$D$38,IF(A1202="",0,IF(A1202&lt;Pricing!$C$25,Pricing!$D$25,VLOOKUP(Disbursements!$F1202,Pricing!$B$29:$D$32,3))))</f>
        <v>0</v>
      </c>
      <c r="M1202" s="528">
        <f>IF(E1202="STL",0,IF(F1202&gt;0,Pricing!$D$21,0))</f>
        <v>0</v>
      </c>
      <c r="N1202" s="529">
        <f>IF(E1202="STL",F1202*Pricing!$D$40,IF(A1202&lt;=Pricing!$C$4,0,IF(AND(A1202&gt;Pricing!$C$4,Disbursements!A1202&lt;=Pricing!$C$5),F1202*Pricing!$E$5,IF(AND(A1202&gt;Pricing!$C$5,Disbursements!A1202&lt;=Pricing!$C$7),VLOOKUP(F1202,Pricing!$D$7:$E$8,2)*Disbursements!F1202,F1202*Pricing!$E$9))))</f>
        <v>0</v>
      </c>
      <c r="O1202" s="528">
        <f>IF(E1202="STL",0,IF($F1202&gt;0,$F1202*Pricing!$D$17,0))</f>
        <v>0</v>
      </c>
      <c r="P1202" s="530" t="str">
        <f t="shared" si="490"/>
        <v/>
      </c>
      <c r="Q1202" s="531" t="str">
        <f>IF($A1202="","",$G1202/VLOOKUP($I1202,Ref!$B$23:$D$29,2,0))</f>
        <v/>
      </c>
      <c r="R1202" s="530" t="str">
        <f t="shared" si="491"/>
        <v/>
      </c>
      <c r="S1202" s="532" t="str">
        <f t="shared" si="485"/>
        <v/>
      </c>
      <c r="T1202" s="531" t="str">
        <f t="shared" si="492"/>
        <v/>
      </c>
      <c r="U1202" s="533">
        <f t="shared" si="493"/>
        <v>0</v>
      </c>
      <c r="V1202" s="531" t="str">
        <f t="shared" si="494"/>
        <v/>
      </c>
      <c r="W1202" s="531" t="str">
        <f t="shared" si="495"/>
        <v/>
      </c>
      <c r="X1202" s="534" t="str">
        <f t="shared" si="496"/>
        <v/>
      </c>
      <c r="Y1202" s="535" t="str">
        <f>IF($A1202="","",IF($I1202="weekly",$A1202+7,EDATE($A1202,VLOOKUP($I1202,Ref!$B$24:$C$29,2,0))))</f>
        <v/>
      </c>
      <c r="Z1202" s="536" t="str">
        <f t="shared" si="497"/>
        <v/>
      </c>
      <c r="AA1202" s="531">
        <f t="shared" si="498"/>
        <v>0</v>
      </c>
      <c r="AB1202" s="535" t="str">
        <f t="shared" si="486"/>
        <v/>
      </c>
      <c r="AC1202" s="537" t="str">
        <f t="shared" si="487"/>
        <v/>
      </c>
      <c r="AD1202" s="538" t="str">
        <f t="shared" ca="1" si="488"/>
        <v/>
      </c>
      <c r="AE1202" s="537">
        <f t="shared" ca="1" si="489"/>
        <v>0</v>
      </c>
      <c r="AF1202" s="539" t="str">
        <f t="shared" ca="1" si="499"/>
        <v/>
      </c>
      <c r="AG1202" s="531" t="str">
        <f t="shared" ca="1" si="500"/>
        <v/>
      </c>
      <c r="AH1202" s="531" t="str">
        <f t="shared" ca="1" si="501"/>
        <v/>
      </c>
      <c r="AI1202" s="531" t="str">
        <f t="shared" ca="1" si="502"/>
        <v/>
      </c>
      <c r="AJ1202" s="531" t="str">
        <f t="shared" si="503"/>
        <v/>
      </c>
      <c r="AK1202" s="540">
        <f>SUMIFS('Live Collections'!$S:$S,'Live Collections'!$D:$D,Disbursements!B1202,'Live Collections'!$G:$G,Disbursements!C1202)</f>
        <v>0</v>
      </c>
      <c r="AL1202" s="540">
        <f>SUMIFS('Live Collections'!$T:$T,'Live Collections'!$D:$D,Disbursements!B1202,'Live Collections'!$G:$G,Disbursements!C1202)</f>
        <v>0</v>
      </c>
      <c r="AM1202" s="541">
        <f t="shared" si="504"/>
        <v>0</v>
      </c>
      <c r="AN1202" s="542" t="str">
        <f t="shared" si="505"/>
        <v/>
      </c>
      <c r="AO1202" s="542" t="str">
        <f t="shared" si="506"/>
        <v/>
      </c>
      <c r="AP1202" s="543" t="str">
        <f t="shared" si="507"/>
        <v/>
      </c>
      <c r="AQ1202" s="544" t="str">
        <f t="shared" si="508"/>
        <v/>
      </c>
      <c r="AR1202" s="545">
        <f t="shared" si="509"/>
        <v>0</v>
      </c>
      <c r="AS1202" s="545">
        <f>IFERROR(CEILING($AR1202*VLOOKUP($I1202,Ref!$B$23:$E$29,4,0),1),0)</f>
        <v>0</v>
      </c>
      <c r="AT1202" s="545" t="str">
        <f>IF(A1202="","",IF(AP1202&lt;=1,"Cleared",IF(AS1202=0,"Clean",VLOOKUP($AS1202,Ref!$G$23:$H$28,2))))</f>
        <v/>
      </c>
      <c r="AU1202" s="546" t="str">
        <f t="shared" si="510"/>
        <v/>
      </c>
    </row>
    <row r="1203" spans="1:47" ht="14.25" hidden="1" customHeight="1" x14ac:dyDescent="0.15">
      <c r="A1203" s="523"/>
      <c r="B1203" s="523"/>
      <c r="C1203" s="523"/>
      <c r="D1203" s="523"/>
      <c r="E1203" s="579"/>
      <c r="F1203" s="580"/>
      <c r="G1203" s="524"/>
      <c r="H1203" s="555"/>
      <c r="I1203" s="560"/>
      <c r="J1203" s="523"/>
      <c r="K1203" s="528" t="str">
        <f>IFERROR(VLOOKUP($B1203,'Clients-Live'!$A:$C,3,0),"")</f>
        <v/>
      </c>
      <c r="L1203" s="528">
        <f>IF(E1203="STL",Pricing!$D$38,IF(A1203="",0,IF(A1203&lt;Pricing!$C$25,Pricing!$D$25,VLOOKUP(Disbursements!$F1203,Pricing!$B$29:$D$32,3))))</f>
        <v>0</v>
      </c>
      <c r="M1203" s="528">
        <f>IF(E1203="STL",0,IF(F1203&gt;0,Pricing!$D$21,0))</f>
        <v>0</v>
      </c>
      <c r="N1203" s="529">
        <f>IF(E1203="STL",F1203*Pricing!$D$40,IF(A1203&lt;=Pricing!$C$4,0,IF(AND(A1203&gt;Pricing!$C$4,Disbursements!A1203&lt;=Pricing!$C$5),F1203*Pricing!$E$5,IF(AND(A1203&gt;Pricing!$C$5,Disbursements!A1203&lt;=Pricing!$C$7),VLOOKUP(F1203,Pricing!$D$7:$E$8,2)*Disbursements!F1203,F1203*Pricing!$E$9))))</f>
        <v>0</v>
      </c>
      <c r="O1203" s="528">
        <f>IF(E1203="STL",0,IF($F1203&gt;0,$F1203*Pricing!$D$17,0))</f>
        <v>0</v>
      </c>
      <c r="P1203" s="530" t="str">
        <f t="shared" si="490"/>
        <v/>
      </c>
      <c r="Q1203" s="531" t="str">
        <f>IF($A1203="","",$G1203/VLOOKUP($I1203,Ref!$B$23:$D$29,2,0))</f>
        <v/>
      </c>
      <c r="R1203" s="530" t="str">
        <f t="shared" si="491"/>
        <v/>
      </c>
      <c r="S1203" s="532" t="str">
        <f t="shared" si="485"/>
        <v/>
      </c>
      <c r="T1203" s="531" t="str">
        <f t="shared" si="492"/>
        <v/>
      </c>
      <c r="U1203" s="533">
        <f t="shared" si="493"/>
        <v>0</v>
      </c>
      <c r="V1203" s="531" t="str">
        <f t="shared" si="494"/>
        <v/>
      </c>
      <c r="W1203" s="531" t="str">
        <f t="shared" si="495"/>
        <v/>
      </c>
      <c r="X1203" s="534" t="str">
        <f t="shared" si="496"/>
        <v/>
      </c>
      <c r="Y1203" s="535" t="str">
        <f>IF($A1203="","",IF($I1203="weekly",$A1203+7,EDATE($A1203,VLOOKUP($I1203,Ref!$B$24:$C$29,2,0))))</f>
        <v/>
      </c>
      <c r="Z1203" s="536" t="str">
        <f t="shared" si="497"/>
        <v/>
      </c>
      <c r="AA1203" s="531">
        <f t="shared" si="498"/>
        <v>0</v>
      </c>
      <c r="AB1203" s="535" t="str">
        <f t="shared" si="486"/>
        <v/>
      </c>
      <c r="AC1203" s="537" t="str">
        <f t="shared" si="487"/>
        <v/>
      </c>
      <c r="AD1203" s="538" t="str">
        <f t="shared" ca="1" si="488"/>
        <v/>
      </c>
      <c r="AE1203" s="537">
        <f t="shared" ca="1" si="489"/>
        <v>0</v>
      </c>
      <c r="AF1203" s="539" t="str">
        <f t="shared" ca="1" si="499"/>
        <v/>
      </c>
      <c r="AG1203" s="531" t="str">
        <f t="shared" ca="1" si="500"/>
        <v/>
      </c>
      <c r="AH1203" s="531" t="str">
        <f t="shared" ca="1" si="501"/>
        <v/>
      </c>
      <c r="AI1203" s="531" t="str">
        <f t="shared" ca="1" si="502"/>
        <v/>
      </c>
      <c r="AJ1203" s="531" t="str">
        <f t="shared" si="503"/>
        <v/>
      </c>
      <c r="AK1203" s="540">
        <f>SUMIFS('Live Collections'!$S:$S,'Live Collections'!$D:$D,Disbursements!B1203,'Live Collections'!$G:$G,Disbursements!C1203)</f>
        <v>0</v>
      </c>
      <c r="AL1203" s="540">
        <f>SUMIFS('Live Collections'!$T:$T,'Live Collections'!$D:$D,Disbursements!B1203,'Live Collections'!$G:$G,Disbursements!C1203)</f>
        <v>0</v>
      </c>
      <c r="AM1203" s="541">
        <f t="shared" si="504"/>
        <v>0</v>
      </c>
      <c r="AN1203" s="542" t="str">
        <f t="shared" si="505"/>
        <v/>
      </c>
      <c r="AO1203" s="542" t="str">
        <f t="shared" si="506"/>
        <v/>
      </c>
      <c r="AP1203" s="543" t="str">
        <f t="shared" si="507"/>
        <v/>
      </c>
      <c r="AQ1203" s="544" t="str">
        <f t="shared" si="508"/>
        <v/>
      </c>
      <c r="AR1203" s="545">
        <f t="shared" si="509"/>
        <v>0</v>
      </c>
      <c r="AS1203" s="545">
        <f>IFERROR(CEILING($AR1203*VLOOKUP($I1203,Ref!$B$23:$E$29,4,0),1),0)</f>
        <v>0</v>
      </c>
      <c r="AT1203" s="545" t="str">
        <f>IF(A1203="","",IF(AP1203&lt;=1,"Cleared",IF(AS1203=0,"Clean",VLOOKUP($AS1203,Ref!$G$23:$H$28,2))))</f>
        <v/>
      </c>
      <c r="AU1203" s="546" t="str">
        <f t="shared" si="510"/>
        <v/>
      </c>
    </row>
    <row r="1204" spans="1:47" ht="14.25" hidden="1" customHeight="1" x14ac:dyDescent="0.15">
      <c r="A1204" s="523"/>
      <c r="B1204" s="523"/>
      <c r="C1204" s="523"/>
      <c r="D1204" s="523"/>
      <c r="E1204" s="579"/>
      <c r="F1204" s="580"/>
      <c r="G1204" s="524"/>
      <c r="H1204" s="555"/>
      <c r="I1204" s="560"/>
      <c r="J1204" s="523"/>
      <c r="K1204" s="528" t="str">
        <f>IFERROR(VLOOKUP($B1204,'Clients-Live'!$A:$C,3,0),"")</f>
        <v/>
      </c>
      <c r="L1204" s="528">
        <f>IF(E1204="STL",Pricing!$D$38,IF(A1204="",0,IF(A1204&lt;Pricing!$C$25,Pricing!$D$25,VLOOKUP(Disbursements!$F1204,Pricing!$B$29:$D$32,3))))</f>
        <v>0</v>
      </c>
      <c r="M1204" s="528">
        <f>IF(E1204="STL",0,IF(F1204&gt;0,Pricing!$D$21,0))</f>
        <v>0</v>
      </c>
      <c r="N1204" s="529">
        <f>IF(E1204="STL",F1204*Pricing!$D$40,IF(A1204&lt;=Pricing!$C$4,0,IF(AND(A1204&gt;Pricing!$C$4,Disbursements!A1204&lt;=Pricing!$C$5),F1204*Pricing!$E$5,IF(AND(A1204&gt;Pricing!$C$5,Disbursements!A1204&lt;=Pricing!$C$7),VLOOKUP(F1204,Pricing!$D$7:$E$8,2)*Disbursements!F1204,F1204*Pricing!$E$9))))</f>
        <v>0</v>
      </c>
      <c r="O1204" s="528">
        <f>IF(E1204="STL",0,IF($F1204&gt;0,$F1204*Pricing!$D$17,0))</f>
        <v>0</v>
      </c>
      <c r="P1204" s="530" t="str">
        <f t="shared" si="490"/>
        <v/>
      </c>
      <c r="Q1204" s="531" t="str">
        <f>IF($A1204="","",$G1204/VLOOKUP($I1204,Ref!$B$23:$D$29,2,0))</f>
        <v/>
      </c>
      <c r="R1204" s="530" t="str">
        <f t="shared" si="491"/>
        <v/>
      </c>
      <c r="S1204" s="532" t="str">
        <f t="shared" si="485"/>
        <v/>
      </c>
      <c r="T1204" s="531" t="str">
        <f t="shared" si="492"/>
        <v/>
      </c>
      <c r="U1204" s="533">
        <f t="shared" si="493"/>
        <v>0</v>
      </c>
      <c r="V1204" s="531" t="str">
        <f t="shared" si="494"/>
        <v/>
      </c>
      <c r="W1204" s="531" t="str">
        <f t="shared" si="495"/>
        <v/>
      </c>
      <c r="X1204" s="534" t="str">
        <f t="shared" si="496"/>
        <v/>
      </c>
      <c r="Y1204" s="535" t="str">
        <f>IF($A1204="","",IF($I1204="weekly",$A1204+7,EDATE($A1204,VLOOKUP($I1204,Ref!$B$24:$C$29,2,0))))</f>
        <v/>
      </c>
      <c r="Z1204" s="536" t="str">
        <f t="shared" si="497"/>
        <v/>
      </c>
      <c r="AA1204" s="531">
        <f t="shared" si="498"/>
        <v>0</v>
      </c>
      <c r="AB1204" s="535" t="str">
        <f t="shared" si="486"/>
        <v/>
      </c>
      <c r="AC1204" s="537" t="str">
        <f t="shared" si="487"/>
        <v/>
      </c>
      <c r="AD1204" s="538" t="str">
        <f t="shared" ca="1" si="488"/>
        <v/>
      </c>
      <c r="AE1204" s="537">
        <f t="shared" ca="1" si="489"/>
        <v>0</v>
      </c>
      <c r="AF1204" s="539" t="str">
        <f t="shared" ca="1" si="499"/>
        <v/>
      </c>
      <c r="AG1204" s="531" t="str">
        <f t="shared" ca="1" si="500"/>
        <v/>
      </c>
      <c r="AH1204" s="531" t="str">
        <f t="shared" ca="1" si="501"/>
        <v/>
      </c>
      <c r="AI1204" s="531" t="str">
        <f t="shared" ca="1" si="502"/>
        <v/>
      </c>
      <c r="AJ1204" s="531" t="str">
        <f t="shared" si="503"/>
        <v/>
      </c>
      <c r="AK1204" s="540">
        <f>SUMIFS('Live Collections'!$S:$S,'Live Collections'!$D:$D,Disbursements!B1204,'Live Collections'!$G:$G,Disbursements!C1204)</f>
        <v>0</v>
      </c>
      <c r="AL1204" s="540">
        <f>SUMIFS('Live Collections'!$T:$T,'Live Collections'!$D:$D,Disbursements!B1204,'Live Collections'!$G:$G,Disbursements!C1204)</f>
        <v>0</v>
      </c>
      <c r="AM1204" s="541">
        <f t="shared" si="504"/>
        <v>0</v>
      </c>
      <c r="AN1204" s="542" t="str">
        <f t="shared" si="505"/>
        <v/>
      </c>
      <c r="AO1204" s="542" t="str">
        <f t="shared" si="506"/>
        <v/>
      </c>
      <c r="AP1204" s="543" t="str">
        <f t="shared" si="507"/>
        <v/>
      </c>
      <c r="AQ1204" s="544" t="str">
        <f t="shared" si="508"/>
        <v/>
      </c>
      <c r="AR1204" s="545">
        <f t="shared" si="509"/>
        <v>0</v>
      </c>
      <c r="AS1204" s="545">
        <f>IFERROR(CEILING($AR1204*VLOOKUP($I1204,Ref!$B$23:$E$29,4,0),1),0)</f>
        <v>0</v>
      </c>
      <c r="AT1204" s="545" t="str">
        <f>IF(A1204="","",IF(AP1204&lt;=1,"Cleared",IF(AS1204=0,"Clean",VLOOKUP($AS1204,Ref!$G$23:$H$28,2))))</f>
        <v/>
      </c>
      <c r="AU1204" s="546" t="str">
        <f t="shared" si="510"/>
        <v/>
      </c>
    </row>
    <row r="1205" spans="1:47" ht="14.25" hidden="1" customHeight="1" x14ac:dyDescent="0.15">
      <c r="A1205" s="523"/>
      <c r="B1205" s="523"/>
      <c r="C1205" s="523"/>
      <c r="D1205" s="523"/>
      <c r="E1205" s="579"/>
      <c r="F1205" s="580"/>
      <c r="G1205" s="524"/>
      <c r="H1205" s="555"/>
      <c r="I1205" s="560"/>
      <c r="J1205" s="523"/>
      <c r="K1205" s="528" t="str">
        <f>IFERROR(VLOOKUP($B1205,'Clients-Live'!$A:$C,3,0),"")</f>
        <v/>
      </c>
      <c r="L1205" s="528">
        <f>IF(E1205="STL",Pricing!$D$38,IF(A1205="",0,IF(A1205&lt;Pricing!$C$25,Pricing!$D$25,VLOOKUP(Disbursements!$F1205,Pricing!$B$29:$D$32,3))))</f>
        <v>0</v>
      </c>
      <c r="M1205" s="528">
        <f>IF(E1205="STL",0,IF(F1205&gt;0,Pricing!$D$21,0))</f>
        <v>0</v>
      </c>
      <c r="N1205" s="529">
        <f>IF(E1205="STL",F1205*Pricing!$D$40,IF(A1205&lt;=Pricing!$C$4,0,IF(AND(A1205&gt;Pricing!$C$4,Disbursements!A1205&lt;=Pricing!$C$5),F1205*Pricing!$E$5,IF(AND(A1205&gt;Pricing!$C$5,Disbursements!A1205&lt;=Pricing!$C$7),VLOOKUP(F1205,Pricing!$D$7:$E$8,2)*Disbursements!F1205,F1205*Pricing!$E$9))))</f>
        <v>0</v>
      </c>
      <c r="O1205" s="528">
        <f>IF(E1205="STL",0,IF($F1205&gt;0,$F1205*Pricing!$D$17,0))</f>
        <v>0</v>
      </c>
      <c r="P1205" s="530" t="str">
        <f t="shared" si="490"/>
        <v/>
      </c>
      <c r="Q1205" s="531" t="str">
        <f>IF($A1205="","",$G1205/VLOOKUP($I1205,Ref!$B$23:$D$29,2,0))</f>
        <v/>
      </c>
      <c r="R1205" s="530" t="str">
        <f t="shared" si="491"/>
        <v/>
      </c>
      <c r="S1205" s="532" t="str">
        <f t="shared" si="485"/>
        <v/>
      </c>
      <c r="T1205" s="531" t="str">
        <f t="shared" si="492"/>
        <v/>
      </c>
      <c r="U1205" s="533">
        <f t="shared" si="493"/>
        <v>0</v>
      </c>
      <c r="V1205" s="531" t="str">
        <f t="shared" si="494"/>
        <v/>
      </c>
      <c r="W1205" s="531" t="str">
        <f t="shared" si="495"/>
        <v/>
      </c>
      <c r="X1205" s="534" t="str">
        <f t="shared" si="496"/>
        <v/>
      </c>
      <c r="Y1205" s="535" t="str">
        <f>IF($A1205="","",IF($I1205="weekly",$A1205+7,EDATE($A1205,VLOOKUP($I1205,Ref!$B$24:$C$29,2,0))))</f>
        <v/>
      </c>
      <c r="Z1205" s="536" t="str">
        <f t="shared" si="497"/>
        <v/>
      </c>
      <c r="AA1205" s="531">
        <f t="shared" si="498"/>
        <v>0</v>
      </c>
      <c r="AB1205" s="535" t="str">
        <f t="shared" si="486"/>
        <v/>
      </c>
      <c r="AC1205" s="537" t="str">
        <f t="shared" si="487"/>
        <v/>
      </c>
      <c r="AD1205" s="538" t="str">
        <f t="shared" ca="1" si="488"/>
        <v/>
      </c>
      <c r="AE1205" s="537">
        <f t="shared" ca="1" si="489"/>
        <v>0</v>
      </c>
      <c r="AF1205" s="539" t="str">
        <f t="shared" ca="1" si="499"/>
        <v/>
      </c>
      <c r="AG1205" s="531" t="str">
        <f t="shared" ca="1" si="500"/>
        <v/>
      </c>
      <c r="AH1205" s="531" t="str">
        <f t="shared" ca="1" si="501"/>
        <v/>
      </c>
      <c r="AI1205" s="531" t="str">
        <f t="shared" ca="1" si="502"/>
        <v/>
      </c>
      <c r="AJ1205" s="531" t="str">
        <f t="shared" si="503"/>
        <v/>
      </c>
      <c r="AK1205" s="540">
        <f>SUMIFS('Live Collections'!$S:$S,'Live Collections'!$D:$D,Disbursements!B1205,'Live Collections'!$G:$G,Disbursements!C1205)</f>
        <v>0</v>
      </c>
      <c r="AL1205" s="540">
        <f>SUMIFS('Live Collections'!$T:$T,'Live Collections'!$D:$D,Disbursements!B1205,'Live Collections'!$G:$G,Disbursements!C1205)</f>
        <v>0</v>
      </c>
      <c r="AM1205" s="541">
        <f t="shared" si="504"/>
        <v>0</v>
      </c>
      <c r="AN1205" s="542" t="str">
        <f t="shared" si="505"/>
        <v/>
      </c>
      <c r="AO1205" s="542" t="str">
        <f t="shared" si="506"/>
        <v/>
      </c>
      <c r="AP1205" s="543" t="str">
        <f t="shared" si="507"/>
        <v/>
      </c>
      <c r="AQ1205" s="544" t="str">
        <f t="shared" si="508"/>
        <v/>
      </c>
      <c r="AR1205" s="545">
        <f t="shared" si="509"/>
        <v>0</v>
      </c>
      <c r="AS1205" s="545">
        <f>IFERROR(CEILING($AR1205*VLOOKUP($I1205,Ref!$B$23:$E$29,4,0),1),0)</f>
        <v>0</v>
      </c>
      <c r="AT1205" s="545" t="str">
        <f>IF(A1205="","",IF(AP1205&lt;=1,"Cleared",IF(AS1205=0,"Clean",VLOOKUP($AS1205,Ref!$G$23:$H$28,2))))</f>
        <v/>
      </c>
      <c r="AU1205" s="546" t="str">
        <f t="shared" si="510"/>
        <v/>
      </c>
    </row>
    <row r="1206" spans="1:47" ht="14.25" hidden="1" customHeight="1" x14ac:dyDescent="0.15">
      <c r="A1206" s="523"/>
      <c r="B1206" s="523"/>
      <c r="C1206" s="523"/>
      <c r="D1206" s="523"/>
      <c r="E1206" s="579"/>
      <c r="F1206" s="580"/>
      <c r="G1206" s="524"/>
      <c r="H1206" s="555"/>
      <c r="I1206" s="560"/>
      <c r="J1206" s="523"/>
      <c r="K1206" s="528" t="str">
        <f>IFERROR(VLOOKUP($B1206,'Clients-Live'!$A:$C,3,0),"")</f>
        <v/>
      </c>
      <c r="L1206" s="528">
        <f>IF(E1206="STL",Pricing!$D$38,IF(A1206="",0,IF(A1206&lt;Pricing!$C$25,Pricing!$D$25,VLOOKUP(Disbursements!$F1206,Pricing!$B$29:$D$32,3))))</f>
        <v>0</v>
      </c>
      <c r="M1206" s="528">
        <f>IF(E1206="STL",0,IF(F1206&gt;0,Pricing!$D$21,0))</f>
        <v>0</v>
      </c>
      <c r="N1206" s="529">
        <f>IF(E1206="STL",F1206*Pricing!$D$40,IF(A1206&lt;=Pricing!$C$4,0,IF(AND(A1206&gt;Pricing!$C$4,Disbursements!A1206&lt;=Pricing!$C$5),F1206*Pricing!$E$5,IF(AND(A1206&gt;Pricing!$C$5,Disbursements!A1206&lt;=Pricing!$C$7),VLOOKUP(F1206,Pricing!$D$7:$E$8,2)*Disbursements!F1206,F1206*Pricing!$E$9))))</f>
        <v>0</v>
      </c>
      <c r="O1206" s="528">
        <f>IF(E1206="STL",0,IF($F1206&gt;0,$F1206*Pricing!$D$17,0))</f>
        <v>0</v>
      </c>
      <c r="P1206" s="530" t="str">
        <f t="shared" si="490"/>
        <v/>
      </c>
      <c r="Q1206" s="531" t="str">
        <f>IF($A1206="","",$G1206/VLOOKUP($I1206,Ref!$B$23:$D$29,2,0))</f>
        <v/>
      </c>
      <c r="R1206" s="530" t="str">
        <f t="shared" si="491"/>
        <v/>
      </c>
      <c r="S1206" s="532" t="str">
        <f t="shared" si="485"/>
        <v/>
      </c>
      <c r="T1206" s="531" t="str">
        <f t="shared" si="492"/>
        <v/>
      </c>
      <c r="U1206" s="533">
        <f t="shared" si="493"/>
        <v>0</v>
      </c>
      <c r="V1206" s="531" t="str">
        <f t="shared" si="494"/>
        <v/>
      </c>
      <c r="W1206" s="531" t="str">
        <f t="shared" si="495"/>
        <v/>
      </c>
      <c r="X1206" s="534" t="str">
        <f t="shared" si="496"/>
        <v/>
      </c>
      <c r="Y1206" s="535" t="str">
        <f>IF($A1206="","",IF($I1206="weekly",$A1206+7,EDATE($A1206,VLOOKUP($I1206,Ref!$B$24:$C$29,2,0))))</f>
        <v/>
      </c>
      <c r="Z1206" s="536" t="str">
        <f t="shared" si="497"/>
        <v/>
      </c>
      <c r="AA1206" s="531">
        <f t="shared" si="498"/>
        <v>0</v>
      </c>
      <c r="AB1206" s="535" t="str">
        <f t="shared" si="486"/>
        <v/>
      </c>
      <c r="AC1206" s="537" t="str">
        <f t="shared" si="487"/>
        <v/>
      </c>
      <c r="AD1206" s="538" t="str">
        <f t="shared" ca="1" si="488"/>
        <v/>
      </c>
      <c r="AE1206" s="537">
        <f t="shared" ca="1" si="489"/>
        <v>0</v>
      </c>
      <c r="AF1206" s="539" t="str">
        <f t="shared" ca="1" si="499"/>
        <v/>
      </c>
      <c r="AG1206" s="531" t="str">
        <f t="shared" ca="1" si="500"/>
        <v/>
      </c>
      <c r="AH1206" s="531" t="str">
        <f t="shared" ca="1" si="501"/>
        <v/>
      </c>
      <c r="AI1206" s="531" t="str">
        <f t="shared" ca="1" si="502"/>
        <v/>
      </c>
      <c r="AJ1206" s="531" t="str">
        <f t="shared" si="503"/>
        <v/>
      </c>
      <c r="AK1206" s="540">
        <f>SUMIFS('Live Collections'!$S:$S,'Live Collections'!$D:$D,Disbursements!B1206,'Live Collections'!$G:$G,Disbursements!C1206)</f>
        <v>0</v>
      </c>
      <c r="AL1206" s="540">
        <f>SUMIFS('Live Collections'!$T:$T,'Live Collections'!$D:$D,Disbursements!B1206,'Live Collections'!$G:$G,Disbursements!C1206)</f>
        <v>0</v>
      </c>
      <c r="AM1206" s="541">
        <f t="shared" si="504"/>
        <v>0</v>
      </c>
      <c r="AN1206" s="542" t="str">
        <f t="shared" si="505"/>
        <v/>
      </c>
      <c r="AO1206" s="542" t="str">
        <f t="shared" si="506"/>
        <v/>
      </c>
      <c r="AP1206" s="543" t="str">
        <f t="shared" si="507"/>
        <v/>
      </c>
      <c r="AQ1206" s="544" t="str">
        <f t="shared" si="508"/>
        <v/>
      </c>
      <c r="AR1206" s="545">
        <f t="shared" si="509"/>
        <v>0</v>
      </c>
      <c r="AS1206" s="545">
        <f>IFERROR(CEILING($AR1206*VLOOKUP($I1206,Ref!$B$23:$E$29,4,0),1),0)</f>
        <v>0</v>
      </c>
      <c r="AT1206" s="545" t="str">
        <f>IF(A1206="","",IF(AP1206&lt;=1,"Cleared",IF(AS1206=0,"Clean",VLOOKUP($AS1206,Ref!$G$23:$H$28,2))))</f>
        <v/>
      </c>
      <c r="AU1206" s="546" t="str">
        <f t="shared" si="510"/>
        <v/>
      </c>
    </row>
    <row r="1207" spans="1:47" ht="14.25" hidden="1" customHeight="1" x14ac:dyDescent="0.15">
      <c r="A1207" s="523"/>
      <c r="B1207" s="523"/>
      <c r="C1207" s="523"/>
      <c r="D1207" s="523"/>
      <c r="E1207" s="579"/>
      <c r="F1207" s="580"/>
      <c r="G1207" s="524"/>
      <c r="H1207" s="555"/>
      <c r="I1207" s="560"/>
      <c r="J1207" s="523"/>
      <c r="K1207" s="528" t="str">
        <f>IFERROR(VLOOKUP($B1207,'Clients-Live'!$A:$C,3,0),"")</f>
        <v/>
      </c>
      <c r="L1207" s="528">
        <f>IF(E1207="STL",Pricing!$D$38,IF(A1207="",0,IF(A1207&lt;Pricing!$C$25,Pricing!$D$25,VLOOKUP(Disbursements!$F1207,Pricing!$B$29:$D$32,3))))</f>
        <v>0</v>
      </c>
      <c r="M1207" s="528">
        <f>IF(E1207="STL",0,IF(F1207&gt;0,Pricing!$D$21,0))</f>
        <v>0</v>
      </c>
      <c r="N1207" s="529">
        <f>IF(E1207="STL",F1207*Pricing!$D$40,IF(A1207&lt;=Pricing!$C$4,0,IF(AND(A1207&gt;Pricing!$C$4,Disbursements!A1207&lt;=Pricing!$C$5),F1207*Pricing!$E$5,IF(AND(A1207&gt;Pricing!$C$5,Disbursements!A1207&lt;=Pricing!$C$7),VLOOKUP(F1207,Pricing!$D$7:$E$8,2)*Disbursements!F1207,F1207*Pricing!$E$9))))</f>
        <v>0</v>
      </c>
      <c r="O1207" s="528">
        <f>IF(E1207="STL",0,IF($F1207&gt;0,$F1207*Pricing!$D$17,0))</f>
        <v>0</v>
      </c>
      <c r="P1207" s="530" t="str">
        <f t="shared" si="490"/>
        <v/>
      </c>
      <c r="Q1207" s="531" t="str">
        <f>IF($A1207="","",$G1207/VLOOKUP($I1207,Ref!$B$23:$D$29,2,0))</f>
        <v/>
      </c>
      <c r="R1207" s="530" t="str">
        <f t="shared" si="491"/>
        <v/>
      </c>
      <c r="S1207" s="532" t="str">
        <f t="shared" si="485"/>
        <v/>
      </c>
      <c r="T1207" s="531" t="str">
        <f t="shared" si="492"/>
        <v/>
      </c>
      <c r="U1207" s="533">
        <f t="shared" si="493"/>
        <v>0</v>
      </c>
      <c r="V1207" s="531" t="str">
        <f t="shared" si="494"/>
        <v/>
      </c>
      <c r="W1207" s="531" t="str">
        <f t="shared" si="495"/>
        <v/>
      </c>
      <c r="X1207" s="534" t="str">
        <f t="shared" si="496"/>
        <v/>
      </c>
      <c r="Y1207" s="535" t="str">
        <f>IF($A1207="","",IF($I1207="weekly",$A1207+7,EDATE($A1207,VLOOKUP($I1207,Ref!$B$24:$C$29,2,0))))</f>
        <v/>
      </c>
      <c r="Z1207" s="536" t="str">
        <f t="shared" si="497"/>
        <v/>
      </c>
      <c r="AA1207" s="531">
        <f t="shared" si="498"/>
        <v>0</v>
      </c>
      <c r="AB1207" s="535" t="str">
        <f t="shared" si="486"/>
        <v/>
      </c>
      <c r="AC1207" s="537" t="str">
        <f t="shared" si="487"/>
        <v/>
      </c>
      <c r="AD1207" s="538" t="str">
        <f t="shared" ca="1" si="488"/>
        <v/>
      </c>
      <c r="AE1207" s="537">
        <f t="shared" ca="1" si="489"/>
        <v>0</v>
      </c>
      <c r="AF1207" s="539" t="str">
        <f t="shared" ca="1" si="499"/>
        <v/>
      </c>
      <c r="AG1207" s="531" t="str">
        <f t="shared" ca="1" si="500"/>
        <v/>
      </c>
      <c r="AH1207" s="531" t="str">
        <f t="shared" ca="1" si="501"/>
        <v/>
      </c>
      <c r="AI1207" s="531" t="str">
        <f t="shared" ca="1" si="502"/>
        <v/>
      </c>
      <c r="AJ1207" s="531" t="str">
        <f t="shared" si="503"/>
        <v/>
      </c>
      <c r="AK1207" s="540">
        <f>SUMIFS('Live Collections'!$S:$S,'Live Collections'!$D:$D,Disbursements!B1207,'Live Collections'!$G:$G,Disbursements!C1207)</f>
        <v>0</v>
      </c>
      <c r="AL1207" s="540">
        <f>SUMIFS('Live Collections'!$T:$T,'Live Collections'!$D:$D,Disbursements!B1207,'Live Collections'!$G:$G,Disbursements!C1207)</f>
        <v>0</v>
      </c>
      <c r="AM1207" s="541">
        <f t="shared" si="504"/>
        <v>0</v>
      </c>
      <c r="AN1207" s="542" t="str">
        <f t="shared" si="505"/>
        <v/>
      </c>
      <c r="AO1207" s="542" t="str">
        <f t="shared" si="506"/>
        <v/>
      </c>
      <c r="AP1207" s="543" t="str">
        <f t="shared" si="507"/>
        <v/>
      </c>
      <c r="AQ1207" s="544" t="str">
        <f t="shared" si="508"/>
        <v/>
      </c>
      <c r="AR1207" s="545">
        <f t="shared" si="509"/>
        <v>0</v>
      </c>
      <c r="AS1207" s="545">
        <f>IFERROR(CEILING($AR1207*VLOOKUP($I1207,Ref!$B$23:$E$29,4,0),1),0)</f>
        <v>0</v>
      </c>
      <c r="AT1207" s="545" t="str">
        <f>IF(A1207="","",IF(AP1207&lt;=1,"Cleared",IF(AS1207=0,"Clean",VLOOKUP($AS1207,Ref!$G$23:$H$28,2))))</f>
        <v/>
      </c>
      <c r="AU1207" s="546" t="str">
        <f t="shared" si="510"/>
        <v/>
      </c>
    </row>
    <row r="1208" spans="1:47" ht="14.25" hidden="1" customHeight="1" x14ac:dyDescent="0.15">
      <c r="A1208" s="523"/>
      <c r="B1208" s="523"/>
      <c r="C1208" s="523"/>
      <c r="D1208" s="523"/>
      <c r="E1208" s="579"/>
      <c r="F1208" s="580"/>
      <c r="G1208" s="524"/>
      <c r="H1208" s="555"/>
      <c r="I1208" s="560"/>
      <c r="J1208" s="523"/>
      <c r="K1208" s="528" t="str">
        <f>IFERROR(VLOOKUP($B1208,'Clients-Live'!$A:$C,3,0),"")</f>
        <v/>
      </c>
      <c r="L1208" s="528">
        <f>IF(E1208="STL",Pricing!$D$38,IF(A1208="",0,IF(A1208&lt;Pricing!$C$25,Pricing!$D$25,VLOOKUP(Disbursements!$F1208,Pricing!$B$29:$D$32,3))))</f>
        <v>0</v>
      </c>
      <c r="M1208" s="528">
        <f>IF(E1208="STL",0,IF(F1208&gt;0,Pricing!$D$21,0))</f>
        <v>0</v>
      </c>
      <c r="N1208" s="529">
        <f>IF(E1208="STL",F1208*Pricing!$D$40,IF(A1208&lt;=Pricing!$C$4,0,IF(AND(A1208&gt;Pricing!$C$4,Disbursements!A1208&lt;=Pricing!$C$5),F1208*Pricing!$E$5,IF(AND(A1208&gt;Pricing!$C$5,Disbursements!A1208&lt;=Pricing!$C$7),VLOOKUP(F1208,Pricing!$D$7:$E$8,2)*Disbursements!F1208,F1208*Pricing!$E$9))))</f>
        <v>0</v>
      </c>
      <c r="O1208" s="528">
        <f>IF(E1208="STL",0,IF($F1208&gt;0,$F1208*Pricing!$D$17,0))</f>
        <v>0</v>
      </c>
      <c r="P1208" s="530" t="str">
        <f t="shared" si="490"/>
        <v/>
      </c>
      <c r="Q1208" s="531" t="str">
        <f>IF($A1208="","",$G1208/VLOOKUP($I1208,Ref!$B$23:$D$29,2,0))</f>
        <v/>
      </c>
      <c r="R1208" s="530" t="str">
        <f t="shared" si="491"/>
        <v/>
      </c>
      <c r="S1208" s="532" t="str">
        <f t="shared" si="485"/>
        <v/>
      </c>
      <c r="T1208" s="531" t="str">
        <f t="shared" si="492"/>
        <v/>
      </c>
      <c r="U1208" s="533">
        <f t="shared" si="493"/>
        <v>0</v>
      </c>
      <c r="V1208" s="531" t="str">
        <f t="shared" si="494"/>
        <v/>
      </c>
      <c r="W1208" s="531" t="str">
        <f t="shared" si="495"/>
        <v/>
      </c>
      <c r="X1208" s="534" t="str">
        <f t="shared" si="496"/>
        <v/>
      </c>
      <c r="Y1208" s="535" t="str">
        <f>IF($A1208="","",IF($I1208="weekly",$A1208+7,EDATE($A1208,VLOOKUP($I1208,Ref!$B$24:$C$29,2,0))))</f>
        <v/>
      </c>
      <c r="Z1208" s="536" t="str">
        <f t="shared" si="497"/>
        <v/>
      </c>
      <c r="AA1208" s="531">
        <f t="shared" si="498"/>
        <v>0</v>
      </c>
      <c r="AB1208" s="535" t="str">
        <f t="shared" si="486"/>
        <v/>
      </c>
      <c r="AC1208" s="537" t="str">
        <f t="shared" si="487"/>
        <v/>
      </c>
      <c r="AD1208" s="538" t="str">
        <f t="shared" ca="1" si="488"/>
        <v/>
      </c>
      <c r="AE1208" s="537">
        <f t="shared" ca="1" si="489"/>
        <v>0</v>
      </c>
      <c r="AF1208" s="539" t="str">
        <f t="shared" ca="1" si="499"/>
        <v/>
      </c>
      <c r="AG1208" s="531" t="str">
        <f t="shared" ca="1" si="500"/>
        <v/>
      </c>
      <c r="AH1208" s="531" t="str">
        <f t="shared" ca="1" si="501"/>
        <v/>
      </c>
      <c r="AI1208" s="531" t="str">
        <f t="shared" ca="1" si="502"/>
        <v/>
      </c>
      <c r="AJ1208" s="531" t="str">
        <f t="shared" si="503"/>
        <v/>
      </c>
      <c r="AK1208" s="540">
        <f>SUMIFS('Live Collections'!$S:$S,'Live Collections'!$D:$D,Disbursements!B1208,'Live Collections'!$G:$G,Disbursements!C1208)</f>
        <v>0</v>
      </c>
      <c r="AL1208" s="540">
        <f>SUMIFS('Live Collections'!$T:$T,'Live Collections'!$D:$D,Disbursements!B1208,'Live Collections'!$G:$G,Disbursements!C1208)</f>
        <v>0</v>
      </c>
      <c r="AM1208" s="541">
        <f t="shared" si="504"/>
        <v>0</v>
      </c>
      <c r="AN1208" s="542" t="str">
        <f t="shared" si="505"/>
        <v/>
      </c>
      <c r="AO1208" s="542" t="str">
        <f t="shared" si="506"/>
        <v/>
      </c>
      <c r="AP1208" s="543" t="str">
        <f t="shared" si="507"/>
        <v/>
      </c>
      <c r="AQ1208" s="544" t="str">
        <f t="shared" si="508"/>
        <v/>
      </c>
      <c r="AR1208" s="545">
        <f t="shared" si="509"/>
        <v>0</v>
      </c>
      <c r="AS1208" s="545">
        <f>IFERROR(CEILING($AR1208*VLOOKUP($I1208,Ref!$B$23:$E$29,4,0),1),0)</f>
        <v>0</v>
      </c>
      <c r="AT1208" s="545" t="str">
        <f>IF(A1208="","",IF(AP1208&lt;=1,"Cleared",IF(AS1208=0,"Clean",VLOOKUP($AS1208,Ref!$G$23:$H$28,2))))</f>
        <v/>
      </c>
      <c r="AU1208" s="546" t="str">
        <f t="shared" si="510"/>
        <v/>
      </c>
    </row>
    <row r="1209" spans="1:47" ht="14.25" hidden="1" customHeight="1" x14ac:dyDescent="0.15">
      <c r="A1209" s="523"/>
      <c r="B1209" s="523"/>
      <c r="C1209" s="523"/>
      <c r="D1209" s="523"/>
      <c r="E1209" s="579"/>
      <c r="F1209" s="580"/>
      <c r="G1209" s="524"/>
      <c r="H1209" s="555"/>
      <c r="I1209" s="560"/>
      <c r="J1209" s="523"/>
      <c r="K1209" s="528" t="str">
        <f>IFERROR(VLOOKUP($B1209,'Clients-Live'!$A:$C,3,0),"")</f>
        <v/>
      </c>
      <c r="L1209" s="528">
        <f>IF(E1209="STL",Pricing!$D$38,IF(A1209="",0,IF(A1209&lt;Pricing!$C$25,Pricing!$D$25,VLOOKUP(Disbursements!$F1209,Pricing!$B$29:$D$32,3))))</f>
        <v>0</v>
      </c>
      <c r="M1209" s="528">
        <f>IF(E1209="STL",0,IF(F1209&gt;0,Pricing!$D$21,0))</f>
        <v>0</v>
      </c>
      <c r="N1209" s="529">
        <f>IF(E1209="STL",F1209*Pricing!$D$40,IF(A1209&lt;=Pricing!$C$4,0,IF(AND(A1209&gt;Pricing!$C$4,Disbursements!A1209&lt;=Pricing!$C$5),F1209*Pricing!$E$5,IF(AND(A1209&gt;Pricing!$C$5,Disbursements!A1209&lt;=Pricing!$C$7),VLOOKUP(F1209,Pricing!$D$7:$E$8,2)*Disbursements!F1209,F1209*Pricing!$E$9))))</f>
        <v>0</v>
      </c>
      <c r="O1209" s="528">
        <f>IF(E1209="STL",0,IF($F1209&gt;0,$F1209*Pricing!$D$17,0))</f>
        <v>0</v>
      </c>
      <c r="P1209" s="530" t="str">
        <f t="shared" si="490"/>
        <v/>
      </c>
      <c r="Q1209" s="531" t="str">
        <f>IF($A1209="","",$G1209/VLOOKUP($I1209,Ref!$B$23:$D$29,2,0))</f>
        <v/>
      </c>
      <c r="R1209" s="530" t="str">
        <f t="shared" si="491"/>
        <v/>
      </c>
      <c r="S1209" s="532" t="str">
        <f t="shared" si="485"/>
        <v/>
      </c>
      <c r="T1209" s="531" t="str">
        <f t="shared" si="492"/>
        <v/>
      </c>
      <c r="U1209" s="533">
        <f t="shared" si="493"/>
        <v>0</v>
      </c>
      <c r="V1209" s="531" t="str">
        <f t="shared" si="494"/>
        <v/>
      </c>
      <c r="W1209" s="531" t="str">
        <f t="shared" si="495"/>
        <v/>
      </c>
      <c r="X1209" s="534" t="str">
        <f t="shared" si="496"/>
        <v/>
      </c>
      <c r="Y1209" s="535" t="str">
        <f>IF($A1209="","",IF($I1209="weekly",$A1209+7,EDATE($A1209,VLOOKUP($I1209,Ref!$B$24:$C$29,2,0))))</f>
        <v/>
      </c>
      <c r="Z1209" s="536" t="str">
        <f t="shared" si="497"/>
        <v/>
      </c>
      <c r="AA1209" s="531">
        <f t="shared" si="498"/>
        <v>0</v>
      </c>
      <c r="AB1209" s="535" t="str">
        <f t="shared" si="486"/>
        <v/>
      </c>
      <c r="AC1209" s="537" t="str">
        <f t="shared" si="487"/>
        <v/>
      </c>
      <c r="AD1209" s="538" t="str">
        <f t="shared" ca="1" si="488"/>
        <v/>
      </c>
      <c r="AE1209" s="537">
        <f t="shared" ca="1" si="489"/>
        <v>0</v>
      </c>
      <c r="AF1209" s="539" t="str">
        <f t="shared" ca="1" si="499"/>
        <v/>
      </c>
      <c r="AG1209" s="531" t="str">
        <f t="shared" ca="1" si="500"/>
        <v/>
      </c>
      <c r="AH1209" s="531" t="str">
        <f t="shared" ca="1" si="501"/>
        <v/>
      </c>
      <c r="AI1209" s="531" t="str">
        <f t="shared" ca="1" si="502"/>
        <v/>
      </c>
      <c r="AJ1209" s="531" t="str">
        <f t="shared" si="503"/>
        <v/>
      </c>
      <c r="AK1209" s="540">
        <f>SUMIFS('Live Collections'!$S:$S,'Live Collections'!$D:$D,Disbursements!B1209,'Live Collections'!$G:$G,Disbursements!C1209)</f>
        <v>0</v>
      </c>
      <c r="AL1209" s="540">
        <f>SUMIFS('Live Collections'!$T:$T,'Live Collections'!$D:$D,Disbursements!B1209,'Live Collections'!$G:$G,Disbursements!C1209)</f>
        <v>0</v>
      </c>
      <c r="AM1209" s="541">
        <f t="shared" si="504"/>
        <v>0</v>
      </c>
      <c r="AN1209" s="542" t="str">
        <f t="shared" si="505"/>
        <v/>
      </c>
      <c r="AO1209" s="542" t="str">
        <f t="shared" si="506"/>
        <v/>
      </c>
      <c r="AP1209" s="543" t="str">
        <f t="shared" si="507"/>
        <v/>
      </c>
      <c r="AQ1209" s="544" t="str">
        <f t="shared" si="508"/>
        <v/>
      </c>
      <c r="AR1209" s="545">
        <f t="shared" si="509"/>
        <v>0</v>
      </c>
      <c r="AS1209" s="545">
        <f>IFERROR(CEILING($AR1209*VLOOKUP($I1209,Ref!$B$23:$E$29,4,0),1),0)</f>
        <v>0</v>
      </c>
      <c r="AT1209" s="545" t="str">
        <f>IF(A1209="","",IF(AP1209&lt;=1,"Cleared",IF(AS1209=0,"Clean",VLOOKUP($AS1209,Ref!$G$23:$H$28,2))))</f>
        <v/>
      </c>
      <c r="AU1209" s="546" t="str">
        <f t="shared" si="510"/>
        <v/>
      </c>
    </row>
    <row r="1210" spans="1:47" ht="14.25" hidden="1" customHeight="1" x14ac:dyDescent="0.15">
      <c r="A1210" s="523"/>
      <c r="B1210" s="523"/>
      <c r="C1210" s="523"/>
      <c r="D1210" s="523"/>
      <c r="E1210" s="579"/>
      <c r="F1210" s="580"/>
      <c r="G1210" s="524"/>
      <c r="H1210" s="555"/>
      <c r="I1210" s="560"/>
      <c r="J1210" s="523"/>
      <c r="K1210" s="528" t="str">
        <f>IFERROR(VLOOKUP($B1210,'Clients-Live'!$A:$C,3,0),"")</f>
        <v/>
      </c>
      <c r="L1210" s="528">
        <f>IF(E1210="STL",Pricing!$D$38,IF(A1210="",0,IF(A1210&lt;Pricing!$C$25,Pricing!$D$25,VLOOKUP(Disbursements!$F1210,Pricing!$B$29:$D$32,3))))</f>
        <v>0</v>
      </c>
      <c r="M1210" s="528">
        <f>IF(E1210="STL",0,IF(F1210&gt;0,Pricing!$D$21,0))</f>
        <v>0</v>
      </c>
      <c r="N1210" s="529">
        <f>IF(E1210="STL",F1210*Pricing!$D$40,IF(A1210&lt;=Pricing!$C$4,0,IF(AND(A1210&gt;Pricing!$C$4,Disbursements!A1210&lt;=Pricing!$C$5),F1210*Pricing!$E$5,IF(AND(A1210&gt;Pricing!$C$5,Disbursements!A1210&lt;=Pricing!$C$7),VLOOKUP(F1210,Pricing!$D$7:$E$8,2)*Disbursements!F1210,F1210*Pricing!$E$9))))</f>
        <v>0</v>
      </c>
      <c r="O1210" s="528">
        <f>IF(E1210="STL",0,IF($F1210&gt;0,$F1210*Pricing!$D$17,0))</f>
        <v>0</v>
      </c>
      <c r="P1210" s="530" t="str">
        <f t="shared" si="490"/>
        <v/>
      </c>
      <c r="Q1210" s="531" t="str">
        <f>IF($A1210="","",$G1210/VLOOKUP($I1210,Ref!$B$23:$D$29,2,0))</f>
        <v/>
      </c>
      <c r="R1210" s="530" t="str">
        <f t="shared" si="491"/>
        <v/>
      </c>
      <c r="S1210" s="532" t="str">
        <f t="shared" si="485"/>
        <v/>
      </c>
      <c r="T1210" s="531" t="str">
        <f t="shared" si="492"/>
        <v/>
      </c>
      <c r="U1210" s="533">
        <f t="shared" si="493"/>
        <v>0</v>
      </c>
      <c r="V1210" s="531" t="str">
        <f t="shared" si="494"/>
        <v/>
      </c>
      <c r="W1210" s="531" t="str">
        <f t="shared" si="495"/>
        <v/>
      </c>
      <c r="X1210" s="534" t="str">
        <f t="shared" si="496"/>
        <v/>
      </c>
      <c r="Y1210" s="535" t="str">
        <f>IF($A1210="","",IF($I1210="weekly",$A1210+7,EDATE($A1210,VLOOKUP($I1210,Ref!$B$24:$C$29,2,0))))</f>
        <v/>
      </c>
      <c r="Z1210" s="536" t="str">
        <f t="shared" si="497"/>
        <v/>
      </c>
      <c r="AA1210" s="531">
        <f t="shared" si="498"/>
        <v>0</v>
      </c>
      <c r="AB1210" s="535" t="str">
        <f t="shared" si="486"/>
        <v/>
      </c>
      <c r="AC1210" s="537" t="str">
        <f t="shared" si="487"/>
        <v/>
      </c>
      <c r="AD1210" s="538" t="str">
        <f t="shared" ca="1" si="488"/>
        <v/>
      </c>
      <c r="AE1210" s="537">
        <f t="shared" ca="1" si="489"/>
        <v>0</v>
      </c>
      <c r="AF1210" s="539" t="str">
        <f t="shared" ca="1" si="499"/>
        <v/>
      </c>
      <c r="AG1210" s="531" t="str">
        <f t="shared" ca="1" si="500"/>
        <v/>
      </c>
      <c r="AH1210" s="531" t="str">
        <f t="shared" ca="1" si="501"/>
        <v/>
      </c>
      <c r="AI1210" s="531" t="str">
        <f t="shared" ca="1" si="502"/>
        <v/>
      </c>
      <c r="AJ1210" s="531" t="str">
        <f t="shared" si="503"/>
        <v/>
      </c>
      <c r="AK1210" s="540">
        <f>SUMIFS('Live Collections'!$S:$S,'Live Collections'!$D:$D,Disbursements!B1210,'Live Collections'!$G:$G,Disbursements!C1210)</f>
        <v>0</v>
      </c>
      <c r="AL1210" s="540">
        <f>SUMIFS('Live Collections'!$T:$T,'Live Collections'!$D:$D,Disbursements!B1210,'Live Collections'!$G:$G,Disbursements!C1210)</f>
        <v>0</v>
      </c>
      <c r="AM1210" s="541">
        <f t="shared" si="504"/>
        <v>0</v>
      </c>
      <c r="AN1210" s="542" t="str">
        <f t="shared" si="505"/>
        <v/>
      </c>
      <c r="AO1210" s="542" t="str">
        <f t="shared" si="506"/>
        <v/>
      </c>
      <c r="AP1210" s="543" t="str">
        <f t="shared" si="507"/>
        <v/>
      </c>
      <c r="AQ1210" s="544" t="str">
        <f t="shared" si="508"/>
        <v/>
      </c>
      <c r="AR1210" s="545">
        <f t="shared" si="509"/>
        <v>0</v>
      </c>
      <c r="AS1210" s="545">
        <f>IFERROR(CEILING($AR1210*VLOOKUP($I1210,Ref!$B$23:$E$29,4,0),1),0)</f>
        <v>0</v>
      </c>
      <c r="AT1210" s="545" t="str">
        <f>IF(A1210="","",IF(AP1210&lt;=1,"Cleared",IF(AS1210=0,"Clean",VLOOKUP($AS1210,Ref!$G$23:$H$28,2))))</f>
        <v/>
      </c>
      <c r="AU1210" s="546" t="str">
        <f t="shared" si="510"/>
        <v/>
      </c>
    </row>
    <row r="1211" spans="1:47" ht="14.25" hidden="1" customHeight="1" x14ac:dyDescent="0.15">
      <c r="A1211" s="523"/>
      <c r="B1211" s="523"/>
      <c r="C1211" s="523"/>
      <c r="D1211" s="523"/>
      <c r="E1211" s="579"/>
      <c r="F1211" s="580"/>
      <c r="G1211" s="524"/>
      <c r="H1211" s="555"/>
      <c r="I1211" s="560"/>
      <c r="J1211" s="523"/>
      <c r="K1211" s="528" t="str">
        <f>IFERROR(VLOOKUP($B1211,'Clients-Live'!$A:$C,3,0),"")</f>
        <v/>
      </c>
      <c r="L1211" s="528">
        <f>IF(E1211="STL",Pricing!$D$38,IF(A1211="",0,IF(A1211&lt;Pricing!$C$25,Pricing!$D$25,VLOOKUP(Disbursements!$F1211,Pricing!$B$29:$D$32,3))))</f>
        <v>0</v>
      </c>
      <c r="M1211" s="528">
        <f>IF(E1211="STL",0,IF(F1211&gt;0,Pricing!$D$21,0))</f>
        <v>0</v>
      </c>
      <c r="N1211" s="529">
        <f>IF(E1211="STL",F1211*Pricing!$D$40,IF(A1211&lt;=Pricing!$C$4,0,IF(AND(A1211&gt;Pricing!$C$4,Disbursements!A1211&lt;=Pricing!$C$5),F1211*Pricing!$E$5,IF(AND(A1211&gt;Pricing!$C$5,Disbursements!A1211&lt;=Pricing!$C$7),VLOOKUP(F1211,Pricing!$D$7:$E$8,2)*Disbursements!F1211,F1211*Pricing!$E$9))))</f>
        <v>0</v>
      </c>
      <c r="O1211" s="528">
        <f>IF(E1211="STL",0,IF($F1211&gt;0,$F1211*Pricing!$D$17,0))</f>
        <v>0</v>
      </c>
      <c r="P1211" s="530" t="str">
        <f t="shared" si="490"/>
        <v/>
      </c>
      <c r="Q1211" s="531" t="str">
        <f>IF($A1211="","",$G1211/VLOOKUP($I1211,Ref!$B$23:$D$29,2,0))</f>
        <v/>
      </c>
      <c r="R1211" s="530" t="str">
        <f t="shared" si="491"/>
        <v/>
      </c>
      <c r="S1211" s="532" t="str">
        <f t="shared" si="485"/>
        <v/>
      </c>
      <c r="T1211" s="531" t="str">
        <f t="shared" si="492"/>
        <v/>
      </c>
      <c r="U1211" s="533">
        <f t="shared" si="493"/>
        <v>0</v>
      </c>
      <c r="V1211" s="531" t="str">
        <f t="shared" si="494"/>
        <v/>
      </c>
      <c r="W1211" s="531" t="str">
        <f t="shared" si="495"/>
        <v/>
      </c>
      <c r="X1211" s="534" t="str">
        <f t="shared" si="496"/>
        <v/>
      </c>
      <c r="Y1211" s="535" t="str">
        <f>IF($A1211="","",IF($I1211="weekly",$A1211+7,EDATE($A1211,VLOOKUP($I1211,Ref!$B$24:$C$29,2,0))))</f>
        <v/>
      </c>
      <c r="Z1211" s="536" t="str">
        <f t="shared" si="497"/>
        <v/>
      </c>
      <c r="AA1211" s="531">
        <f t="shared" si="498"/>
        <v>0</v>
      </c>
      <c r="AB1211" s="535" t="str">
        <f t="shared" si="486"/>
        <v/>
      </c>
      <c r="AC1211" s="537" t="str">
        <f t="shared" si="487"/>
        <v/>
      </c>
      <c r="AD1211" s="538" t="str">
        <f t="shared" ca="1" si="488"/>
        <v/>
      </c>
      <c r="AE1211" s="537">
        <f t="shared" ca="1" si="489"/>
        <v>0</v>
      </c>
      <c r="AF1211" s="539" t="str">
        <f t="shared" ca="1" si="499"/>
        <v/>
      </c>
      <c r="AG1211" s="531" t="str">
        <f t="shared" ca="1" si="500"/>
        <v/>
      </c>
      <c r="AH1211" s="531" t="str">
        <f t="shared" ca="1" si="501"/>
        <v/>
      </c>
      <c r="AI1211" s="531" t="str">
        <f t="shared" ca="1" si="502"/>
        <v/>
      </c>
      <c r="AJ1211" s="531" t="str">
        <f t="shared" si="503"/>
        <v/>
      </c>
      <c r="AK1211" s="540">
        <f>SUMIFS('Live Collections'!$S:$S,'Live Collections'!$D:$D,Disbursements!B1211,'Live Collections'!$G:$G,Disbursements!C1211)</f>
        <v>0</v>
      </c>
      <c r="AL1211" s="540">
        <f>SUMIFS('Live Collections'!$T:$T,'Live Collections'!$D:$D,Disbursements!B1211,'Live Collections'!$G:$G,Disbursements!C1211)</f>
        <v>0</v>
      </c>
      <c r="AM1211" s="541">
        <f t="shared" si="504"/>
        <v>0</v>
      </c>
      <c r="AN1211" s="542" t="str">
        <f t="shared" si="505"/>
        <v/>
      </c>
      <c r="AO1211" s="542" t="str">
        <f t="shared" si="506"/>
        <v/>
      </c>
      <c r="AP1211" s="543" t="str">
        <f t="shared" si="507"/>
        <v/>
      </c>
      <c r="AQ1211" s="544" t="str">
        <f t="shared" si="508"/>
        <v/>
      </c>
      <c r="AR1211" s="545">
        <f t="shared" si="509"/>
        <v>0</v>
      </c>
      <c r="AS1211" s="545">
        <f>IFERROR(CEILING($AR1211*VLOOKUP($I1211,Ref!$B$23:$E$29,4,0),1),0)</f>
        <v>0</v>
      </c>
      <c r="AT1211" s="545" t="str">
        <f>IF(A1211="","",IF(AP1211&lt;=1,"Cleared",IF(AS1211=0,"Clean",VLOOKUP($AS1211,Ref!$G$23:$H$28,2))))</f>
        <v/>
      </c>
      <c r="AU1211" s="546" t="str">
        <f t="shared" si="510"/>
        <v/>
      </c>
    </row>
    <row r="1212" spans="1:47" ht="14.25" hidden="1" customHeight="1" x14ac:dyDescent="0.15">
      <c r="A1212" s="523"/>
      <c r="B1212" s="523"/>
      <c r="C1212" s="523"/>
      <c r="D1212" s="523"/>
      <c r="E1212" s="579"/>
      <c r="F1212" s="580"/>
      <c r="G1212" s="524"/>
      <c r="H1212" s="555"/>
      <c r="I1212" s="560"/>
      <c r="J1212" s="523"/>
      <c r="K1212" s="528" t="str">
        <f>IFERROR(VLOOKUP($B1212,'Clients-Live'!$A:$C,3,0),"")</f>
        <v/>
      </c>
      <c r="L1212" s="528">
        <f>IF(E1212="STL",Pricing!$D$38,IF(A1212="",0,IF(A1212&lt;Pricing!$C$25,Pricing!$D$25,VLOOKUP(Disbursements!$F1212,Pricing!$B$29:$D$32,3))))</f>
        <v>0</v>
      </c>
      <c r="M1212" s="528">
        <f>IF(E1212="STL",0,IF(F1212&gt;0,Pricing!$D$21,0))</f>
        <v>0</v>
      </c>
      <c r="N1212" s="529">
        <f>IF(E1212="STL",F1212*Pricing!$D$40,IF(A1212&lt;=Pricing!$C$4,0,IF(AND(A1212&gt;Pricing!$C$4,Disbursements!A1212&lt;=Pricing!$C$5),F1212*Pricing!$E$5,IF(AND(A1212&gt;Pricing!$C$5,Disbursements!A1212&lt;=Pricing!$C$7),VLOOKUP(F1212,Pricing!$D$7:$E$8,2)*Disbursements!F1212,F1212*Pricing!$E$9))))</f>
        <v>0</v>
      </c>
      <c r="O1212" s="528">
        <f>IF(E1212="STL",0,IF($F1212&gt;0,$F1212*Pricing!$D$17,0))</f>
        <v>0</v>
      </c>
      <c r="P1212" s="530" t="str">
        <f t="shared" si="490"/>
        <v/>
      </c>
      <c r="Q1212" s="531" t="str">
        <f>IF($A1212="","",$G1212/VLOOKUP($I1212,Ref!$B$23:$D$29,2,0))</f>
        <v/>
      </c>
      <c r="R1212" s="530" t="str">
        <f t="shared" si="491"/>
        <v/>
      </c>
      <c r="S1212" s="532" t="str">
        <f t="shared" si="485"/>
        <v/>
      </c>
      <c r="T1212" s="531" t="str">
        <f t="shared" si="492"/>
        <v/>
      </c>
      <c r="U1212" s="533">
        <f t="shared" si="493"/>
        <v>0</v>
      </c>
      <c r="V1212" s="531" t="str">
        <f t="shared" si="494"/>
        <v/>
      </c>
      <c r="W1212" s="531" t="str">
        <f t="shared" si="495"/>
        <v/>
      </c>
      <c r="X1212" s="534" t="str">
        <f t="shared" si="496"/>
        <v/>
      </c>
      <c r="Y1212" s="535" t="str">
        <f>IF($A1212="","",IF($I1212="weekly",$A1212+7,EDATE($A1212,VLOOKUP($I1212,Ref!$B$24:$C$29,2,0))))</f>
        <v/>
      </c>
      <c r="Z1212" s="536" t="str">
        <f t="shared" si="497"/>
        <v/>
      </c>
      <c r="AA1212" s="531">
        <f t="shared" si="498"/>
        <v>0</v>
      </c>
      <c r="AB1212" s="535" t="str">
        <f t="shared" si="486"/>
        <v/>
      </c>
      <c r="AC1212" s="537" t="str">
        <f t="shared" si="487"/>
        <v/>
      </c>
      <c r="AD1212" s="538" t="str">
        <f t="shared" ca="1" si="488"/>
        <v/>
      </c>
      <c r="AE1212" s="537">
        <f t="shared" ca="1" si="489"/>
        <v>0</v>
      </c>
      <c r="AF1212" s="539" t="str">
        <f t="shared" ca="1" si="499"/>
        <v/>
      </c>
      <c r="AG1212" s="531" t="str">
        <f t="shared" ca="1" si="500"/>
        <v/>
      </c>
      <c r="AH1212" s="531" t="str">
        <f t="shared" ca="1" si="501"/>
        <v/>
      </c>
      <c r="AI1212" s="531" t="str">
        <f t="shared" ca="1" si="502"/>
        <v/>
      </c>
      <c r="AJ1212" s="531" t="str">
        <f t="shared" si="503"/>
        <v/>
      </c>
      <c r="AK1212" s="540">
        <f>SUMIFS('Live Collections'!$S:$S,'Live Collections'!$D:$D,Disbursements!B1212,'Live Collections'!$G:$G,Disbursements!C1212)</f>
        <v>0</v>
      </c>
      <c r="AL1212" s="540">
        <f>SUMIFS('Live Collections'!$T:$T,'Live Collections'!$D:$D,Disbursements!B1212,'Live Collections'!$G:$G,Disbursements!C1212)</f>
        <v>0</v>
      </c>
      <c r="AM1212" s="541">
        <f t="shared" si="504"/>
        <v>0</v>
      </c>
      <c r="AN1212" s="542" t="str">
        <f t="shared" si="505"/>
        <v/>
      </c>
      <c r="AO1212" s="542" t="str">
        <f t="shared" si="506"/>
        <v/>
      </c>
      <c r="AP1212" s="543" t="str">
        <f t="shared" si="507"/>
        <v/>
      </c>
      <c r="AQ1212" s="544" t="str">
        <f t="shared" si="508"/>
        <v/>
      </c>
      <c r="AR1212" s="545">
        <f t="shared" si="509"/>
        <v>0</v>
      </c>
      <c r="AS1212" s="545">
        <f>IFERROR(CEILING($AR1212*VLOOKUP($I1212,Ref!$B$23:$E$29,4,0),1),0)</f>
        <v>0</v>
      </c>
      <c r="AT1212" s="545" t="str">
        <f>IF(A1212="","",IF(AP1212&lt;=1,"Cleared",IF(AS1212=0,"Clean",VLOOKUP($AS1212,Ref!$G$23:$H$28,2))))</f>
        <v/>
      </c>
      <c r="AU1212" s="546" t="str">
        <f t="shared" si="510"/>
        <v/>
      </c>
    </row>
    <row r="1213" spans="1:47" ht="14.25" hidden="1" customHeight="1" x14ac:dyDescent="0.15">
      <c r="A1213" s="523"/>
      <c r="B1213" s="523"/>
      <c r="C1213" s="523"/>
      <c r="D1213" s="523"/>
      <c r="E1213" s="579"/>
      <c r="F1213" s="580"/>
      <c r="G1213" s="524"/>
      <c r="H1213" s="555"/>
      <c r="I1213" s="560"/>
      <c r="J1213" s="523"/>
      <c r="K1213" s="528" t="str">
        <f>IFERROR(VLOOKUP($B1213,'Clients-Live'!$A:$C,3,0),"")</f>
        <v/>
      </c>
      <c r="L1213" s="528">
        <f>IF(E1213="STL",Pricing!$D$38,IF(A1213="",0,IF(A1213&lt;Pricing!$C$25,Pricing!$D$25,VLOOKUP(Disbursements!$F1213,Pricing!$B$29:$D$32,3))))</f>
        <v>0</v>
      </c>
      <c r="M1213" s="528">
        <f>IF(E1213="STL",0,IF(F1213&gt;0,Pricing!$D$21,0))</f>
        <v>0</v>
      </c>
      <c r="N1213" s="529">
        <f>IF(E1213="STL",F1213*Pricing!$D$40,IF(A1213&lt;=Pricing!$C$4,0,IF(AND(A1213&gt;Pricing!$C$4,Disbursements!A1213&lt;=Pricing!$C$5),F1213*Pricing!$E$5,IF(AND(A1213&gt;Pricing!$C$5,Disbursements!A1213&lt;=Pricing!$C$7),VLOOKUP(F1213,Pricing!$D$7:$E$8,2)*Disbursements!F1213,F1213*Pricing!$E$9))))</f>
        <v>0</v>
      </c>
      <c r="O1213" s="528">
        <f>IF(E1213="STL",0,IF($F1213&gt;0,$F1213*Pricing!$D$17,0))</f>
        <v>0</v>
      </c>
      <c r="P1213" s="530" t="str">
        <f t="shared" si="490"/>
        <v/>
      </c>
      <c r="Q1213" s="531" t="str">
        <f>IF($A1213="","",$G1213/VLOOKUP($I1213,Ref!$B$23:$D$29,2,0))</f>
        <v/>
      </c>
      <c r="R1213" s="530" t="str">
        <f t="shared" si="491"/>
        <v/>
      </c>
      <c r="S1213" s="532" t="str">
        <f t="shared" si="485"/>
        <v/>
      </c>
      <c r="T1213" s="531" t="str">
        <f t="shared" si="492"/>
        <v/>
      </c>
      <c r="U1213" s="533">
        <f t="shared" si="493"/>
        <v>0</v>
      </c>
      <c r="V1213" s="531" t="str">
        <f t="shared" si="494"/>
        <v/>
      </c>
      <c r="W1213" s="531" t="str">
        <f t="shared" si="495"/>
        <v/>
      </c>
      <c r="X1213" s="534" t="str">
        <f t="shared" si="496"/>
        <v/>
      </c>
      <c r="Y1213" s="535" t="str">
        <f>IF($A1213="","",IF($I1213="weekly",$A1213+7,EDATE($A1213,VLOOKUP($I1213,Ref!$B$24:$C$29,2,0))))</f>
        <v/>
      </c>
      <c r="Z1213" s="536" t="str">
        <f t="shared" si="497"/>
        <v/>
      </c>
      <c r="AA1213" s="531">
        <f t="shared" si="498"/>
        <v>0</v>
      </c>
      <c r="AB1213" s="535" t="str">
        <f t="shared" si="486"/>
        <v/>
      </c>
      <c r="AC1213" s="537" t="str">
        <f t="shared" si="487"/>
        <v/>
      </c>
      <c r="AD1213" s="538" t="str">
        <f t="shared" ca="1" si="488"/>
        <v/>
      </c>
      <c r="AE1213" s="537">
        <f t="shared" ca="1" si="489"/>
        <v>0</v>
      </c>
      <c r="AF1213" s="539" t="str">
        <f t="shared" ca="1" si="499"/>
        <v/>
      </c>
      <c r="AG1213" s="531" t="str">
        <f t="shared" ca="1" si="500"/>
        <v/>
      </c>
      <c r="AH1213" s="531" t="str">
        <f t="shared" ca="1" si="501"/>
        <v/>
      </c>
      <c r="AI1213" s="531" t="str">
        <f t="shared" ca="1" si="502"/>
        <v/>
      </c>
      <c r="AJ1213" s="531" t="str">
        <f t="shared" si="503"/>
        <v/>
      </c>
      <c r="AK1213" s="540">
        <f>SUMIFS('Live Collections'!$S:$S,'Live Collections'!$D:$D,Disbursements!B1213,'Live Collections'!$G:$G,Disbursements!C1213)</f>
        <v>0</v>
      </c>
      <c r="AL1213" s="540">
        <f>SUMIFS('Live Collections'!$T:$T,'Live Collections'!$D:$D,Disbursements!B1213,'Live Collections'!$G:$G,Disbursements!C1213)</f>
        <v>0</v>
      </c>
      <c r="AM1213" s="541">
        <f t="shared" si="504"/>
        <v>0</v>
      </c>
      <c r="AN1213" s="542" t="str">
        <f t="shared" si="505"/>
        <v/>
      </c>
      <c r="AO1213" s="542" t="str">
        <f t="shared" si="506"/>
        <v/>
      </c>
      <c r="AP1213" s="543" t="str">
        <f t="shared" si="507"/>
        <v/>
      </c>
      <c r="AQ1213" s="544" t="str">
        <f t="shared" si="508"/>
        <v/>
      </c>
      <c r="AR1213" s="545">
        <f t="shared" si="509"/>
        <v>0</v>
      </c>
      <c r="AS1213" s="545">
        <f>IFERROR(CEILING($AR1213*VLOOKUP($I1213,Ref!$B$23:$E$29,4,0),1),0)</f>
        <v>0</v>
      </c>
      <c r="AT1213" s="545" t="str">
        <f>IF(A1213="","",IF(AP1213&lt;=1,"Cleared",IF(AS1213=0,"Clean",VLOOKUP($AS1213,Ref!$G$23:$H$28,2))))</f>
        <v/>
      </c>
      <c r="AU1213" s="546" t="str">
        <f t="shared" si="510"/>
        <v/>
      </c>
    </row>
    <row r="1214" spans="1:47" ht="14.25" hidden="1" customHeight="1" x14ac:dyDescent="0.15">
      <c r="A1214" s="523"/>
      <c r="B1214" s="523"/>
      <c r="C1214" s="523"/>
      <c r="D1214" s="523"/>
      <c r="E1214" s="579"/>
      <c r="F1214" s="580"/>
      <c r="G1214" s="524"/>
      <c r="H1214" s="555"/>
      <c r="I1214" s="560"/>
      <c r="J1214" s="523"/>
      <c r="K1214" s="528" t="str">
        <f>IFERROR(VLOOKUP($B1214,'Clients-Live'!$A:$C,3,0),"")</f>
        <v/>
      </c>
      <c r="L1214" s="528">
        <f>IF(E1214="STL",Pricing!$D$38,IF(A1214="",0,IF(A1214&lt;Pricing!$C$25,Pricing!$D$25,VLOOKUP(Disbursements!$F1214,Pricing!$B$29:$D$32,3))))</f>
        <v>0</v>
      </c>
      <c r="M1214" s="528">
        <f>IF(E1214="STL",0,IF(F1214&gt;0,Pricing!$D$21,0))</f>
        <v>0</v>
      </c>
      <c r="N1214" s="529">
        <f>IF(E1214="STL",F1214*Pricing!$D$40,IF(A1214&lt;=Pricing!$C$4,0,IF(AND(A1214&gt;Pricing!$C$4,Disbursements!A1214&lt;=Pricing!$C$5),F1214*Pricing!$E$5,IF(AND(A1214&gt;Pricing!$C$5,Disbursements!A1214&lt;=Pricing!$C$7),VLOOKUP(F1214,Pricing!$D$7:$E$8,2)*Disbursements!F1214,F1214*Pricing!$E$9))))</f>
        <v>0</v>
      </c>
      <c r="O1214" s="528">
        <f>IF(E1214="STL",0,IF($F1214&gt;0,$F1214*Pricing!$D$17,0))</f>
        <v>0</v>
      </c>
      <c r="P1214" s="530" t="str">
        <f t="shared" si="490"/>
        <v/>
      </c>
      <c r="Q1214" s="531" t="str">
        <f>IF($A1214="","",$G1214/VLOOKUP($I1214,Ref!$B$23:$D$29,2,0))</f>
        <v/>
      </c>
      <c r="R1214" s="530" t="str">
        <f t="shared" si="491"/>
        <v/>
      </c>
      <c r="S1214" s="532" t="str">
        <f t="shared" si="485"/>
        <v/>
      </c>
      <c r="T1214" s="531" t="str">
        <f t="shared" si="492"/>
        <v/>
      </c>
      <c r="U1214" s="533">
        <f t="shared" si="493"/>
        <v>0</v>
      </c>
      <c r="V1214" s="531" t="str">
        <f t="shared" si="494"/>
        <v/>
      </c>
      <c r="W1214" s="531" t="str">
        <f t="shared" si="495"/>
        <v/>
      </c>
      <c r="X1214" s="534" t="str">
        <f t="shared" si="496"/>
        <v/>
      </c>
      <c r="Y1214" s="535" t="str">
        <f>IF($A1214="","",IF($I1214="weekly",$A1214+7,EDATE($A1214,VLOOKUP($I1214,Ref!$B$24:$C$29,2,0))))</f>
        <v/>
      </c>
      <c r="Z1214" s="536" t="str">
        <f t="shared" si="497"/>
        <v/>
      </c>
      <c r="AA1214" s="531">
        <f t="shared" si="498"/>
        <v>0</v>
      </c>
      <c r="AB1214" s="535" t="str">
        <f t="shared" si="486"/>
        <v/>
      </c>
      <c r="AC1214" s="537" t="str">
        <f t="shared" si="487"/>
        <v/>
      </c>
      <c r="AD1214" s="538" t="str">
        <f t="shared" ca="1" si="488"/>
        <v/>
      </c>
      <c r="AE1214" s="537">
        <f t="shared" ca="1" si="489"/>
        <v>0</v>
      </c>
      <c r="AF1214" s="539" t="str">
        <f t="shared" ca="1" si="499"/>
        <v/>
      </c>
      <c r="AG1214" s="531" t="str">
        <f t="shared" ca="1" si="500"/>
        <v/>
      </c>
      <c r="AH1214" s="531" t="str">
        <f t="shared" ca="1" si="501"/>
        <v/>
      </c>
      <c r="AI1214" s="531" t="str">
        <f t="shared" ca="1" si="502"/>
        <v/>
      </c>
      <c r="AJ1214" s="531" t="str">
        <f t="shared" si="503"/>
        <v/>
      </c>
      <c r="AK1214" s="540">
        <f>SUMIFS('Live Collections'!$S:$S,'Live Collections'!$D:$D,Disbursements!B1214,'Live Collections'!$G:$G,Disbursements!C1214)</f>
        <v>0</v>
      </c>
      <c r="AL1214" s="540">
        <f>SUMIFS('Live Collections'!$T:$T,'Live Collections'!$D:$D,Disbursements!B1214,'Live Collections'!$G:$G,Disbursements!C1214)</f>
        <v>0</v>
      </c>
      <c r="AM1214" s="541">
        <f t="shared" si="504"/>
        <v>0</v>
      </c>
      <c r="AN1214" s="542" t="str">
        <f t="shared" si="505"/>
        <v/>
      </c>
      <c r="AO1214" s="542" t="str">
        <f t="shared" si="506"/>
        <v/>
      </c>
      <c r="AP1214" s="543" t="str">
        <f t="shared" si="507"/>
        <v/>
      </c>
      <c r="AQ1214" s="544" t="str">
        <f t="shared" si="508"/>
        <v/>
      </c>
      <c r="AR1214" s="545">
        <f t="shared" si="509"/>
        <v>0</v>
      </c>
      <c r="AS1214" s="545">
        <f>IFERROR(CEILING($AR1214*VLOOKUP($I1214,Ref!$B$23:$E$29,4,0),1),0)</f>
        <v>0</v>
      </c>
      <c r="AT1214" s="545" t="str">
        <f>IF(A1214="","",IF(AP1214&lt;=1,"Cleared",IF(AS1214=0,"Clean",VLOOKUP($AS1214,Ref!$G$23:$H$28,2))))</f>
        <v/>
      </c>
      <c r="AU1214" s="546" t="str">
        <f t="shared" si="510"/>
        <v/>
      </c>
    </row>
    <row r="1215" spans="1:47" ht="14.25" hidden="1" customHeight="1" x14ac:dyDescent="0.15">
      <c r="A1215" s="523"/>
      <c r="B1215" s="523"/>
      <c r="C1215" s="523"/>
      <c r="D1215" s="523"/>
      <c r="E1215" s="579"/>
      <c r="F1215" s="580"/>
      <c r="G1215" s="524"/>
      <c r="H1215" s="555"/>
      <c r="I1215" s="560"/>
      <c r="J1215" s="523"/>
      <c r="K1215" s="528" t="str">
        <f>IFERROR(VLOOKUP($B1215,'Clients-Live'!$A:$C,3,0),"")</f>
        <v/>
      </c>
      <c r="L1215" s="528">
        <f>IF(E1215="STL",Pricing!$D$38,IF(A1215="",0,IF(A1215&lt;Pricing!$C$25,Pricing!$D$25,VLOOKUP(Disbursements!$F1215,Pricing!$B$29:$D$32,3))))</f>
        <v>0</v>
      </c>
      <c r="M1215" s="528">
        <f>IF(E1215="STL",0,IF(F1215&gt;0,Pricing!$D$21,0))</f>
        <v>0</v>
      </c>
      <c r="N1215" s="529">
        <f>IF(E1215="STL",F1215*Pricing!$D$40,IF(A1215&lt;=Pricing!$C$4,0,IF(AND(A1215&gt;Pricing!$C$4,Disbursements!A1215&lt;=Pricing!$C$5),F1215*Pricing!$E$5,IF(AND(A1215&gt;Pricing!$C$5,Disbursements!A1215&lt;=Pricing!$C$7),VLOOKUP(F1215,Pricing!$D$7:$E$8,2)*Disbursements!F1215,F1215*Pricing!$E$9))))</f>
        <v>0</v>
      </c>
      <c r="O1215" s="528">
        <f>IF(E1215="STL",0,IF($F1215&gt;0,$F1215*Pricing!$D$17,0))</f>
        <v>0</v>
      </c>
      <c r="P1215" s="530" t="str">
        <f t="shared" si="490"/>
        <v/>
      </c>
      <c r="Q1215" s="531" t="str">
        <f>IF($A1215="","",$G1215/VLOOKUP($I1215,Ref!$B$23:$D$29,2,0))</f>
        <v/>
      </c>
      <c r="R1215" s="530" t="str">
        <f t="shared" si="491"/>
        <v/>
      </c>
      <c r="S1215" s="532" t="str">
        <f t="shared" si="485"/>
        <v/>
      </c>
      <c r="T1215" s="531" t="str">
        <f t="shared" si="492"/>
        <v/>
      </c>
      <c r="U1215" s="533">
        <f t="shared" si="493"/>
        <v>0</v>
      </c>
      <c r="V1215" s="531" t="str">
        <f t="shared" si="494"/>
        <v/>
      </c>
      <c r="W1215" s="531" t="str">
        <f t="shared" si="495"/>
        <v/>
      </c>
      <c r="X1215" s="534" t="str">
        <f t="shared" si="496"/>
        <v/>
      </c>
      <c r="Y1215" s="535" t="str">
        <f>IF($A1215="","",IF($I1215="weekly",$A1215+7,EDATE($A1215,VLOOKUP($I1215,Ref!$B$24:$C$29,2,0))))</f>
        <v/>
      </c>
      <c r="Z1215" s="536" t="str">
        <f t="shared" si="497"/>
        <v/>
      </c>
      <c r="AA1215" s="531">
        <f t="shared" si="498"/>
        <v>0</v>
      </c>
      <c r="AB1215" s="535" t="str">
        <f t="shared" si="486"/>
        <v/>
      </c>
      <c r="AC1215" s="537" t="str">
        <f t="shared" si="487"/>
        <v/>
      </c>
      <c r="AD1215" s="538" t="str">
        <f t="shared" ca="1" si="488"/>
        <v/>
      </c>
      <c r="AE1215" s="537">
        <f t="shared" ca="1" si="489"/>
        <v>0</v>
      </c>
      <c r="AF1215" s="539" t="str">
        <f t="shared" ca="1" si="499"/>
        <v/>
      </c>
      <c r="AG1215" s="531" t="str">
        <f t="shared" ca="1" si="500"/>
        <v/>
      </c>
      <c r="AH1215" s="531" t="str">
        <f t="shared" ca="1" si="501"/>
        <v/>
      </c>
      <c r="AI1215" s="531" t="str">
        <f t="shared" ca="1" si="502"/>
        <v/>
      </c>
      <c r="AJ1215" s="531" t="str">
        <f t="shared" si="503"/>
        <v/>
      </c>
      <c r="AK1215" s="540">
        <f>SUMIFS('Live Collections'!$S:$S,'Live Collections'!$D:$D,Disbursements!B1215,'Live Collections'!$G:$G,Disbursements!C1215)</f>
        <v>0</v>
      </c>
      <c r="AL1215" s="540">
        <f>SUMIFS('Live Collections'!$T:$T,'Live Collections'!$D:$D,Disbursements!B1215,'Live Collections'!$G:$G,Disbursements!C1215)</f>
        <v>0</v>
      </c>
      <c r="AM1215" s="541">
        <f t="shared" si="504"/>
        <v>0</v>
      </c>
      <c r="AN1215" s="542" t="str">
        <f t="shared" si="505"/>
        <v/>
      </c>
      <c r="AO1215" s="542" t="str">
        <f t="shared" si="506"/>
        <v/>
      </c>
      <c r="AP1215" s="543" t="str">
        <f t="shared" si="507"/>
        <v/>
      </c>
      <c r="AQ1215" s="544" t="str">
        <f t="shared" si="508"/>
        <v/>
      </c>
      <c r="AR1215" s="545">
        <f t="shared" si="509"/>
        <v>0</v>
      </c>
      <c r="AS1215" s="545">
        <f>IFERROR(CEILING($AR1215*VLOOKUP($I1215,Ref!$B$23:$E$29,4,0),1),0)</f>
        <v>0</v>
      </c>
      <c r="AT1215" s="545" t="str">
        <f>IF(A1215="","",IF(AP1215&lt;=1,"Cleared",IF(AS1215=0,"Clean",VLOOKUP($AS1215,Ref!$G$23:$H$28,2))))</f>
        <v/>
      </c>
      <c r="AU1215" s="546" t="str">
        <f t="shared" si="510"/>
        <v/>
      </c>
    </row>
    <row r="1216" spans="1:47" ht="14.25" hidden="1" customHeight="1" x14ac:dyDescent="0.15">
      <c r="A1216" s="523"/>
      <c r="B1216" s="523"/>
      <c r="C1216" s="523"/>
      <c r="D1216" s="523"/>
      <c r="E1216" s="579"/>
      <c r="F1216" s="580"/>
      <c r="G1216" s="524"/>
      <c r="H1216" s="555"/>
      <c r="I1216" s="560"/>
      <c r="J1216" s="523"/>
      <c r="K1216" s="528" t="str">
        <f>IFERROR(VLOOKUP($B1216,'Clients-Live'!$A:$C,3,0),"")</f>
        <v/>
      </c>
      <c r="L1216" s="528">
        <f>IF(E1216="STL",Pricing!$D$38,IF(A1216="",0,IF(A1216&lt;Pricing!$C$25,Pricing!$D$25,VLOOKUP(Disbursements!$F1216,Pricing!$B$29:$D$32,3))))</f>
        <v>0</v>
      </c>
      <c r="M1216" s="528">
        <f>IF(E1216="STL",0,IF(F1216&gt;0,Pricing!$D$21,0))</f>
        <v>0</v>
      </c>
      <c r="N1216" s="529">
        <f>IF(E1216="STL",F1216*Pricing!$D$40,IF(A1216&lt;=Pricing!$C$4,0,IF(AND(A1216&gt;Pricing!$C$4,Disbursements!A1216&lt;=Pricing!$C$5),F1216*Pricing!$E$5,IF(AND(A1216&gt;Pricing!$C$5,Disbursements!A1216&lt;=Pricing!$C$7),VLOOKUP(F1216,Pricing!$D$7:$E$8,2)*Disbursements!F1216,F1216*Pricing!$E$9))))</f>
        <v>0</v>
      </c>
      <c r="O1216" s="528">
        <f>IF(E1216="STL",0,IF($F1216&gt;0,$F1216*Pricing!$D$17,0))</f>
        <v>0</v>
      </c>
      <c r="P1216" s="530" t="str">
        <f t="shared" si="490"/>
        <v/>
      </c>
      <c r="Q1216" s="531" t="str">
        <f>IF($A1216="","",$G1216/VLOOKUP($I1216,Ref!$B$23:$D$29,2,0))</f>
        <v/>
      </c>
      <c r="R1216" s="530" t="str">
        <f t="shared" si="491"/>
        <v/>
      </c>
      <c r="S1216" s="532" t="str">
        <f t="shared" si="485"/>
        <v/>
      </c>
      <c r="T1216" s="531" t="str">
        <f t="shared" si="492"/>
        <v/>
      </c>
      <c r="U1216" s="533">
        <f t="shared" si="493"/>
        <v>0</v>
      </c>
      <c r="V1216" s="531" t="str">
        <f t="shared" si="494"/>
        <v/>
      </c>
      <c r="W1216" s="531" t="str">
        <f t="shared" si="495"/>
        <v/>
      </c>
      <c r="X1216" s="534" t="str">
        <f t="shared" si="496"/>
        <v/>
      </c>
      <c r="Y1216" s="535" t="str">
        <f>IF($A1216="","",IF($I1216="weekly",$A1216+7,EDATE($A1216,VLOOKUP($I1216,Ref!$B$24:$C$29,2,0))))</f>
        <v/>
      </c>
      <c r="Z1216" s="536" t="str">
        <f t="shared" si="497"/>
        <v/>
      </c>
      <c r="AA1216" s="531">
        <f t="shared" si="498"/>
        <v>0</v>
      </c>
      <c r="AB1216" s="535" t="str">
        <f t="shared" si="486"/>
        <v/>
      </c>
      <c r="AC1216" s="537" t="str">
        <f t="shared" si="487"/>
        <v/>
      </c>
      <c r="AD1216" s="538" t="str">
        <f t="shared" ca="1" si="488"/>
        <v/>
      </c>
      <c r="AE1216" s="537">
        <f t="shared" ca="1" si="489"/>
        <v>0</v>
      </c>
      <c r="AF1216" s="539" t="str">
        <f t="shared" ca="1" si="499"/>
        <v/>
      </c>
      <c r="AG1216" s="531" t="str">
        <f t="shared" ca="1" si="500"/>
        <v/>
      </c>
      <c r="AH1216" s="531" t="str">
        <f t="shared" ca="1" si="501"/>
        <v/>
      </c>
      <c r="AI1216" s="531" t="str">
        <f t="shared" ca="1" si="502"/>
        <v/>
      </c>
      <c r="AJ1216" s="531" t="str">
        <f t="shared" si="503"/>
        <v/>
      </c>
      <c r="AK1216" s="540">
        <f>SUMIFS('Live Collections'!$S:$S,'Live Collections'!$D:$D,Disbursements!B1216,'Live Collections'!$G:$G,Disbursements!C1216)</f>
        <v>0</v>
      </c>
      <c r="AL1216" s="540">
        <f>SUMIFS('Live Collections'!$T:$T,'Live Collections'!$D:$D,Disbursements!B1216,'Live Collections'!$G:$G,Disbursements!C1216)</f>
        <v>0</v>
      </c>
      <c r="AM1216" s="541">
        <f t="shared" si="504"/>
        <v>0</v>
      </c>
      <c r="AN1216" s="542" t="str">
        <f t="shared" si="505"/>
        <v/>
      </c>
      <c r="AO1216" s="542" t="str">
        <f t="shared" si="506"/>
        <v/>
      </c>
      <c r="AP1216" s="543" t="str">
        <f t="shared" si="507"/>
        <v/>
      </c>
      <c r="AQ1216" s="544" t="str">
        <f t="shared" si="508"/>
        <v/>
      </c>
      <c r="AR1216" s="545">
        <f t="shared" si="509"/>
        <v>0</v>
      </c>
      <c r="AS1216" s="545">
        <f>IFERROR(CEILING($AR1216*VLOOKUP($I1216,Ref!$B$23:$E$29,4,0),1),0)</f>
        <v>0</v>
      </c>
      <c r="AT1216" s="545" t="str">
        <f>IF(A1216="","",IF(AP1216&lt;=1,"Cleared",IF(AS1216=0,"Clean",VLOOKUP($AS1216,Ref!$G$23:$H$28,2))))</f>
        <v/>
      </c>
      <c r="AU1216" s="546" t="str">
        <f t="shared" si="510"/>
        <v/>
      </c>
    </row>
    <row r="1217" spans="1:47" ht="14.25" hidden="1" customHeight="1" x14ac:dyDescent="0.15">
      <c r="A1217" s="523"/>
      <c r="B1217" s="523"/>
      <c r="C1217" s="523"/>
      <c r="D1217" s="523"/>
      <c r="E1217" s="579"/>
      <c r="F1217" s="580"/>
      <c r="G1217" s="524"/>
      <c r="H1217" s="555"/>
      <c r="I1217" s="560"/>
      <c r="J1217" s="523"/>
      <c r="K1217" s="528" t="str">
        <f>IFERROR(VLOOKUP($B1217,'Clients-Live'!$A:$C,3,0),"")</f>
        <v/>
      </c>
      <c r="L1217" s="528">
        <f>IF(E1217="STL",Pricing!$D$38,IF(A1217="",0,IF(A1217&lt;Pricing!$C$25,Pricing!$D$25,VLOOKUP(Disbursements!$F1217,Pricing!$B$29:$D$32,3))))</f>
        <v>0</v>
      </c>
      <c r="M1217" s="528">
        <f>IF(E1217="STL",0,IF(F1217&gt;0,Pricing!$D$21,0))</f>
        <v>0</v>
      </c>
      <c r="N1217" s="529">
        <f>IF(E1217="STL",F1217*Pricing!$D$40,IF(A1217&lt;=Pricing!$C$4,0,IF(AND(A1217&gt;Pricing!$C$4,Disbursements!A1217&lt;=Pricing!$C$5),F1217*Pricing!$E$5,IF(AND(A1217&gt;Pricing!$C$5,Disbursements!A1217&lt;=Pricing!$C$7),VLOOKUP(F1217,Pricing!$D$7:$E$8,2)*Disbursements!F1217,F1217*Pricing!$E$9))))</f>
        <v>0</v>
      </c>
      <c r="O1217" s="528">
        <f>IF(E1217="STL",0,IF($F1217&gt;0,$F1217*Pricing!$D$17,0))</f>
        <v>0</v>
      </c>
      <c r="P1217" s="530" t="str">
        <f t="shared" si="490"/>
        <v/>
      </c>
      <c r="Q1217" s="531" t="str">
        <f>IF($A1217="","",$G1217/VLOOKUP($I1217,Ref!$B$23:$D$29,2,0))</f>
        <v/>
      </c>
      <c r="R1217" s="530" t="str">
        <f t="shared" si="491"/>
        <v/>
      </c>
      <c r="S1217" s="532" t="str">
        <f t="shared" si="485"/>
        <v/>
      </c>
      <c r="T1217" s="531" t="str">
        <f t="shared" si="492"/>
        <v/>
      </c>
      <c r="U1217" s="533">
        <f t="shared" si="493"/>
        <v>0</v>
      </c>
      <c r="V1217" s="531" t="str">
        <f t="shared" si="494"/>
        <v/>
      </c>
      <c r="W1217" s="531" t="str">
        <f t="shared" si="495"/>
        <v/>
      </c>
      <c r="X1217" s="534" t="str">
        <f t="shared" si="496"/>
        <v/>
      </c>
      <c r="Y1217" s="535" t="str">
        <f>IF($A1217="","",IF($I1217="weekly",$A1217+7,EDATE($A1217,VLOOKUP($I1217,Ref!$B$24:$C$29,2,0))))</f>
        <v/>
      </c>
      <c r="Z1217" s="536" t="str">
        <f t="shared" si="497"/>
        <v/>
      </c>
      <c r="AA1217" s="531">
        <f t="shared" si="498"/>
        <v>0</v>
      </c>
      <c r="AB1217" s="535" t="str">
        <f t="shared" si="486"/>
        <v/>
      </c>
      <c r="AC1217" s="537" t="str">
        <f t="shared" si="487"/>
        <v/>
      </c>
      <c r="AD1217" s="538" t="str">
        <f t="shared" ca="1" si="488"/>
        <v/>
      </c>
      <c r="AE1217" s="537">
        <f t="shared" ca="1" si="489"/>
        <v>0</v>
      </c>
      <c r="AF1217" s="539" t="str">
        <f t="shared" ca="1" si="499"/>
        <v/>
      </c>
      <c r="AG1217" s="531" t="str">
        <f t="shared" ca="1" si="500"/>
        <v/>
      </c>
      <c r="AH1217" s="531" t="str">
        <f t="shared" ca="1" si="501"/>
        <v/>
      </c>
      <c r="AI1217" s="531" t="str">
        <f t="shared" ca="1" si="502"/>
        <v/>
      </c>
      <c r="AJ1217" s="531" t="str">
        <f t="shared" si="503"/>
        <v/>
      </c>
      <c r="AK1217" s="540">
        <f>SUMIFS('Live Collections'!$S:$S,'Live Collections'!$D:$D,Disbursements!B1217,'Live Collections'!$G:$G,Disbursements!C1217)</f>
        <v>0</v>
      </c>
      <c r="AL1217" s="540">
        <f>SUMIFS('Live Collections'!$T:$T,'Live Collections'!$D:$D,Disbursements!B1217,'Live Collections'!$G:$G,Disbursements!C1217)</f>
        <v>0</v>
      </c>
      <c r="AM1217" s="541">
        <f t="shared" si="504"/>
        <v>0</v>
      </c>
      <c r="AN1217" s="542" t="str">
        <f t="shared" si="505"/>
        <v/>
      </c>
      <c r="AO1217" s="542" t="str">
        <f t="shared" si="506"/>
        <v/>
      </c>
      <c r="AP1217" s="543" t="str">
        <f t="shared" si="507"/>
        <v/>
      </c>
      <c r="AQ1217" s="544" t="str">
        <f t="shared" si="508"/>
        <v/>
      </c>
      <c r="AR1217" s="545">
        <f t="shared" si="509"/>
        <v>0</v>
      </c>
      <c r="AS1217" s="545">
        <f>IFERROR(CEILING($AR1217*VLOOKUP($I1217,Ref!$B$23:$E$29,4,0),1),0)</f>
        <v>0</v>
      </c>
      <c r="AT1217" s="545" t="str">
        <f>IF(A1217="","",IF(AP1217&lt;=1,"Cleared",IF(AS1217=0,"Clean",VLOOKUP($AS1217,Ref!$G$23:$H$28,2))))</f>
        <v/>
      </c>
      <c r="AU1217" s="546" t="str">
        <f t="shared" si="510"/>
        <v/>
      </c>
    </row>
    <row r="1218" spans="1:47" ht="14.25" hidden="1" customHeight="1" x14ac:dyDescent="0.15">
      <c r="A1218" s="523"/>
      <c r="B1218" s="523"/>
      <c r="C1218" s="523"/>
      <c r="D1218" s="523"/>
      <c r="E1218" s="579"/>
      <c r="F1218" s="580"/>
      <c r="G1218" s="524"/>
      <c r="H1218" s="555"/>
      <c r="I1218" s="560"/>
      <c r="J1218" s="523"/>
      <c r="K1218" s="528" t="str">
        <f>IFERROR(VLOOKUP($B1218,'Clients-Live'!$A:$C,3,0),"")</f>
        <v/>
      </c>
      <c r="L1218" s="528">
        <f>IF(E1218="STL",Pricing!$D$38,IF(A1218="",0,IF(A1218&lt;Pricing!$C$25,Pricing!$D$25,VLOOKUP(Disbursements!$F1218,Pricing!$B$29:$D$32,3))))</f>
        <v>0</v>
      </c>
      <c r="M1218" s="528">
        <f>IF(E1218="STL",0,IF(F1218&gt;0,Pricing!$D$21,0))</f>
        <v>0</v>
      </c>
      <c r="N1218" s="529">
        <f>IF(E1218="STL",F1218*Pricing!$D$40,IF(A1218&lt;=Pricing!$C$4,0,IF(AND(A1218&gt;Pricing!$C$4,Disbursements!A1218&lt;=Pricing!$C$5),F1218*Pricing!$E$5,IF(AND(A1218&gt;Pricing!$C$5,Disbursements!A1218&lt;=Pricing!$C$7),VLOOKUP(F1218,Pricing!$D$7:$E$8,2)*Disbursements!F1218,F1218*Pricing!$E$9))))</f>
        <v>0</v>
      </c>
      <c r="O1218" s="528">
        <f>IF(E1218="STL",0,IF($F1218&gt;0,$F1218*Pricing!$D$17,0))</f>
        <v>0</v>
      </c>
      <c r="P1218" s="530" t="str">
        <f t="shared" si="490"/>
        <v/>
      </c>
      <c r="Q1218" s="531" t="str">
        <f>IF($A1218="","",$G1218/VLOOKUP($I1218,Ref!$B$23:$D$29,2,0))</f>
        <v/>
      </c>
      <c r="R1218" s="530" t="str">
        <f t="shared" si="491"/>
        <v/>
      </c>
      <c r="S1218" s="532" t="str">
        <f t="shared" si="485"/>
        <v/>
      </c>
      <c r="T1218" s="531" t="str">
        <f t="shared" si="492"/>
        <v/>
      </c>
      <c r="U1218" s="533">
        <f t="shared" si="493"/>
        <v>0</v>
      </c>
      <c r="V1218" s="531" t="str">
        <f t="shared" si="494"/>
        <v/>
      </c>
      <c r="W1218" s="531" t="str">
        <f t="shared" si="495"/>
        <v/>
      </c>
      <c r="X1218" s="534" t="str">
        <f t="shared" si="496"/>
        <v/>
      </c>
      <c r="Y1218" s="535" t="str">
        <f>IF($A1218="","",IF($I1218="weekly",$A1218+7,EDATE($A1218,VLOOKUP($I1218,Ref!$B$24:$C$29,2,0))))</f>
        <v/>
      </c>
      <c r="Z1218" s="536" t="str">
        <f t="shared" si="497"/>
        <v/>
      </c>
      <c r="AA1218" s="531">
        <f t="shared" si="498"/>
        <v>0</v>
      </c>
      <c r="AB1218" s="535" t="str">
        <f t="shared" si="486"/>
        <v/>
      </c>
      <c r="AC1218" s="537" t="str">
        <f t="shared" si="487"/>
        <v/>
      </c>
      <c r="AD1218" s="538" t="str">
        <f t="shared" ca="1" si="488"/>
        <v/>
      </c>
      <c r="AE1218" s="537">
        <f t="shared" ca="1" si="489"/>
        <v>0</v>
      </c>
      <c r="AF1218" s="539" t="str">
        <f t="shared" ca="1" si="499"/>
        <v/>
      </c>
      <c r="AG1218" s="531" t="str">
        <f t="shared" ca="1" si="500"/>
        <v/>
      </c>
      <c r="AH1218" s="531" t="str">
        <f t="shared" ca="1" si="501"/>
        <v/>
      </c>
      <c r="AI1218" s="531" t="str">
        <f t="shared" ca="1" si="502"/>
        <v/>
      </c>
      <c r="AJ1218" s="531" t="str">
        <f t="shared" si="503"/>
        <v/>
      </c>
      <c r="AK1218" s="540">
        <f>SUMIFS('Live Collections'!$S:$S,'Live Collections'!$D:$D,Disbursements!B1218,'Live Collections'!$G:$G,Disbursements!C1218)</f>
        <v>0</v>
      </c>
      <c r="AL1218" s="540">
        <f>SUMIFS('Live Collections'!$T:$T,'Live Collections'!$D:$D,Disbursements!B1218,'Live Collections'!$G:$G,Disbursements!C1218)</f>
        <v>0</v>
      </c>
      <c r="AM1218" s="541">
        <f t="shared" si="504"/>
        <v>0</v>
      </c>
      <c r="AN1218" s="542" t="str">
        <f t="shared" si="505"/>
        <v/>
      </c>
      <c r="AO1218" s="542" t="str">
        <f t="shared" si="506"/>
        <v/>
      </c>
      <c r="AP1218" s="543" t="str">
        <f t="shared" si="507"/>
        <v/>
      </c>
      <c r="AQ1218" s="544" t="str">
        <f t="shared" si="508"/>
        <v/>
      </c>
      <c r="AR1218" s="545">
        <f t="shared" si="509"/>
        <v>0</v>
      </c>
      <c r="AS1218" s="545">
        <f>IFERROR(CEILING($AR1218*VLOOKUP($I1218,Ref!$B$23:$E$29,4,0),1),0)</f>
        <v>0</v>
      </c>
      <c r="AT1218" s="545" t="str">
        <f>IF(A1218="","",IF(AP1218&lt;=1,"Cleared",IF(AS1218=0,"Clean",VLOOKUP($AS1218,Ref!$G$23:$H$28,2))))</f>
        <v/>
      </c>
      <c r="AU1218" s="546" t="str">
        <f t="shared" si="510"/>
        <v/>
      </c>
    </row>
    <row r="1219" spans="1:47" ht="14.25" hidden="1" customHeight="1" x14ac:dyDescent="0.15">
      <c r="A1219" s="523"/>
      <c r="B1219" s="523"/>
      <c r="C1219" s="523"/>
      <c r="D1219" s="523"/>
      <c r="E1219" s="579"/>
      <c r="F1219" s="580"/>
      <c r="G1219" s="524"/>
      <c r="H1219" s="555"/>
      <c r="I1219" s="560"/>
      <c r="J1219" s="523"/>
      <c r="K1219" s="528" t="str">
        <f>IFERROR(VLOOKUP($B1219,'Clients-Live'!$A:$C,3,0),"")</f>
        <v/>
      </c>
      <c r="L1219" s="528">
        <f>IF(E1219="STL",Pricing!$D$38,IF(A1219="",0,IF(A1219&lt;Pricing!$C$25,Pricing!$D$25,VLOOKUP(Disbursements!$F1219,Pricing!$B$29:$D$32,3))))</f>
        <v>0</v>
      </c>
      <c r="M1219" s="528">
        <f>IF(E1219="STL",0,IF(F1219&gt;0,Pricing!$D$21,0))</f>
        <v>0</v>
      </c>
      <c r="N1219" s="529">
        <f>IF(E1219="STL",F1219*Pricing!$D$40,IF(A1219&lt;=Pricing!$C$4,0,IF(AND(A1219&gt;Pricing!$C$4,Disbursements!A1219&lt;=Pricing!$C$5),F1219*Pricing!$E$5,IF(AND(A1219&gt;Pricing!$C$5,Disbursements!A1219&lt;=Pricing!$C$7),VLOOKUP(F1219,Pricing!$D$7:$E$8,2)*Disbursements!F1219,F1219*Pricing!$E$9))))</f>
        <v>0</v>
      </c>
      <c r="O1219" s="528">
        <f>IF(E1219="STL",0,IF($F1219&gt;0,$F1219*Pricing!$D$17,0))</f>
        <v>0</v>
      </c>
      <c r="P1219" s="530" t="str">
        <f t="shared" si="490"/>
        <v/>
      </c>
      <c r="Q1219" s="531" t="str">
        <f>IF($A1219="","",$G1219/VLOOKUP($I1219,Ref!$B$23:$D$29,2,0))</f>
        <v/>
      </c>
      <c r="R1219" s="530" t="str">
        <f t="shared" si="491"/>
        <v/>
      </c>
      <c r="S1219" s="532" t="str">
        <f t="shared" si="485"/>
        <v/>
      </c>
      <c r="T1219" s="531" t="str">
        <f t="shared" si="492"/>
        <v/>
      </c>
      <c r="U1219" s="533">
        <f t="shared" si="493"/>
        <v>0</v>
      </c>
      <c r="V1219" s="531" t="str">
        <f t="shared" si="494"/>
        <v/>
      </c>
      <c r="W1219" s="531" t="str">
        <f t="shared" si="495"/>
        <v/>
      </c>
      <c r="X1219" s="534" t="str">
        <f t="shared" si="496"/>
        <v/>
      </c>
      <c r="Y1219" s="535" t="str">
        <f>IF($A1219="","",IF($I1219="weekly",$A1219+7,EDATE($A1219,VLOOKUP($I1219,Ref!$B$24:$C$29,2,0))))</f>
        <v/>
      </c>
      <c r="Z1219" s="536" t="str">
        <f t="shared" si="497"/>
        <v/>
      </c>
      <c r="AA1219" s="531">
        <f t="shared" si="498"/>
        <v>0</v>
      </c>
      <c r="AB1219" s="535" t="str">
        <f t="shared" si="486"/>
        <v/>
      </c>
      <c r="AC1219" s="537" t="str">
        <f t="shared" si="487"/>
        <v/>
      </c>
      <c r="AD1219" s="538" t="str">
        <f t="shared" ca="1" si="488"/>
        <v/>
      </c>
      <c r="AE1219" s="537">
        <f t="shared" ca="1" si="489"/>
        <v>0</v>
      </c>
      <c r="AF1219" s="539" t="str">
        <f t="shared" ca="1" si="499"/>
        <v/>
      </c>
      <c r="AG1219" s="531" t="str">
        <f t="shared" ca="1" si="500"/>
        <v/>
      </c>
      <c r="AH1219" s="531" t="str">
        <f t="shared" ca="1" si="501"/>
        <v/>
      </c>
      <c r="AI1219" s="531" t="str">
        <f t="shared" ca="1" si="502"/>
        <v/>
      </c>
      <c r="AJ1219" s="531" t="str">
        <f t="shared" si="503"/>
        <v/>
      </c>
      <c r="AK1219" s="540">
        <f>SUMIFS('Live Collections'!$S:$S,'Live Collections'!$D:$D,Disbursements!B1219,'Live Collections'!$G:$G,Disbursements!C1219)</f>
        <v>0</v>
      </c>
      <c r="AL1219" s="540">
        <f>SUMIFS('Live Collections'!$T:$T,'Live Collections'!$D:$D,Disbursements!B1219,'Live Collections'!$G:$G,Disbursements!C1219)</f>
        <v>0</v>
      </c>
      <c r="AM1219" s="541">
        <f t="shared" si="504"/>
        <v>0</v>
      </c>
      <c r="AN1219" s="542" t="str">
        <f t="shared" si="505"/>
        <v/>
      </c>
      <c r="AO1219" s="542" t="str">
        <f t="shared" si="506"/>
        <v/>
      </c>
      <c r="AP1219" s="543" t="str">
        <f t="shared" si="507"/>
        <v/>
      </c>
      <c r="AQ1219" s="544" t="str">
        <f t="shared" si="508"/>
        <v/>
      </c>
      <c r="AR1219" s="545">
        <f t="shared" si="509"/>
        <v>0</v>
      </c>
      <c r="AS1219" s="545">
        <f>IFERROR(CEILING($AR1219*VLOOKUP($I1219,Ref!$B$23:$E$29,4,0),1),0)</f>
        <v>0</v>
      </c>
      <c r="AT1219" s="545" t="str">
        <f>IF(A1219="","",IF(AP1219&lt;=1,"Cleared",IF(AS1219=0,"Clean",VLOOKUP($AS1219,Ref!$G$23:$H$28,2))))</f>
        <v/>
      </c>
      <c r="AU1219" s="546" t="str">
        <f t="shared" si="510"/>
        <v/>
      </c>
    </row>
    <row r="1220" spans="1:47" ht="14.25" hidden="1" customHeight="1" x14ac:dyDescent="0.15">
      <c r="A1220" s="523"/>
      <c r="B1220" s="523"/>
      <c r="C1220" s="523"/>
      <c r="D1220" s="523"/>
      <c r="E1220" s="579"/>
      <c r="F1220" s="580"/>
      <c r="G1220" s="524"/>
      <c r="H1220" s="555"/>
      <c r="I1220" s="560"/>
      <c r="J1220" s="523"/>
      <c r="K1220" s="528" t="str">
        <f>IFERROR(VLOOKUP($B1220,'Clients-Live'!$A:$C,3,0),"")</f>
        <v/>
      </c>
      <c r="L1220" s="528">
        <f>IF(E1220="STL",Pricing!$D$38,IF(A1220="",0,IF(A1220&lt;Pricing!$C$25,Pricing!$D$25,VLOOKUP(Disbursements!$F1220,Pricing!$B$29:$D$32,3))))</f>
        <v>0</v>
      </c>
      <c r="M1220" s="528">
        <f>IF(E1220="STL",0,IF(F1220&gt;0,Pricing!$D$21,0))</f>
        <v>0</v>
      </c>
      <c r="N1220" s="529">
        <f>IF(E1220="STL",F1220*Pricing!$D$40,IF(A1220&lt;=Pricing!$C$4,0,IF(AND(A1220&gt;Pricing!$C$4,Disbursements!A1220&lt;=Pricing!$C$5),F1220*Pricing!$E$5,IF(AND(A1220&gt;Pricing!$C$5,Disbursements!A1220&lt;=Pricing!$C$7),VLOOKUP(F1220,Pricing!$D$7:$E$8,2)*Disbursements!F1220,F1220*Pricing!$E$9))))</f>
        <v>0</v>
      </c>
      <c r="O1220" s="528">
        <f>IF(E1220="STL",0,IF($F1220&gt;0,$F1220*Pricing!$D$17,0))</f>
        <v>0</v>
      </c>
      <c r="P1220" s="530" t="str">
        <f t="shared" si="490"/>
        <v/>
      </c>
      <c r="Q1220" s="531" t="str">
        <f>IF($A1220="","",$G1220/VLOOKUP($I1220,Ref!$B$23:$D$29,2,0))</f>
        <v/>
      </c>
      <c r="R1220" s="530" t="str">
        <f t="shared" si="491"/>
        <v/>
      </c>
      <c r="S1220" s="532" t="str">
        <f t="shared" ref="S1220:S1283" si="511">IF($A1220="","",$R1220/$Q1220)</f>
        <v/>
      </c>
      <c r="T1220" s="531" t="str">
        <f t="shared" si="492"/>
        <v/>
      </c>
      <c r="U1220" s="533">
        <f t="shared" si="493"/>
        <v>0</v>
      </c>
      <c r="V1220" s="531" t="str">
        <f t="shared" si="494"/>
        <v/>
      </c>
      <c r="W1220" s="531" t="str">
        <f t="shared" si="495"/>
        <v/>
      </c>
      <c r="X1220" s="534" t="str">
        <f t="shared" si="496"/>
        <v/>
      </c>
      <c r="Y1220" s="535" t="str">
        <f>IF($A1220="","",IF($I1220="weekly",$A1220+7,EDATE($A1220,VLOOKUP($I1220,Ref!$B$24:$C$29,2,0))))</f>
        <v/>
      </c>
      <c r="Z1220" s="536" t="str">
        <f t="shared" si="497"/>
        <v/>
      </c>
      <c r="AA1220" s="531">
        <f t="shared" si="498"/>
        <v>0</v>
      </c>
      <c r="AB1220" s="535" t="str">
        <f t="shared" ref="AB1220:AB1283" si="512">IF($A1220="","",EDATE($A1220,$G1220))</f>
        <v/>
      </c>
      <c r="AC1220" s="537" t="str">
        <f t="shared" ref="AC1220:AC1283" si="513">IFERROR($AB1220-$A1220,"")</f>
        <v/>
      </c>
      <c r="AD1220" s="538" t="str">
        <f t="shared" ref="AD1220:AD1283" ca="1" si="514">IFERROR(IF(TODAY()-$A1220&lt;$AB1220-$A1220,TODAY()-$A1220,"Expired"),"")</f>
        <v/>
      </c>
      <c r="AE1220" s="537">
        <f t="shared" ref="AE1220:AE1283" ca="1" si="515">IFERROR($AC1220-$AD1220,0)</f>
        <v>0</v>
      </c>
      <c r="AF1220" s="539" t="str">
        <f t="shared" ca="1" si="499"/>
        <v/>
      </c>
      <c r="AG1220" s="531" t="str">
        <f t="shared" ca="1" si="500"/>
        <v/>
      </c>
      <c r="AH1220" s="531" t="str">
        <f t="shared" ca="1" si="501"/>
        <v/>
      </c>
      <c r="AI1220" s="531" t="str">
        <f t="shared" ca="1" si="502"/>
        <v/>
      </c>
      <c r="AJ1220" s="531" t="str">
        <f t="shared" si="503"/>
        <v/>
      </c>
      <c r="AK1220" s="540">
        <f>SUMIFS('Live Collections'!$S:$S,'Live Collections'!$D:$D,Disbursements!B1220,'Live Collections'!$G:$G,Disbursements!C1220)</f>
        <v>0</v>
      </c>
      <c r="AL1220" s="540">
        <f>SUMIFS('Live Collections'!$T:$T,'Live Collections'!$D:$D,Disbursements!B1220,'Live Collections'!$G:$G,Disbursements!C1220)</f>
        <v>0</v>
      </c>
      <c r="AM1220" s="541">
        <f t="shared" si="504"/>
        <v>0</v>
      </c>
      <c r="AN1220" s="542" t="str">
        <f t="shared" si="505"/>
        <v/>
      </c>
      <c r="AO1220" s="542" t="str">
        <f t="shared" si="506"/>
        <v/>
      </c>
      <c r="AP1220" s="543" t="str">
        <f t="shared" si="507"/>
        <v/>
      </c>
      <c r="AQ1220" s="544" t="str">
        <f t="shared" si="508"/>
        <v/>
      </c>
      <c r="AR1220" s="545">
        <f t="shared" si="509"/>
        <v>0</v>
      </c>
      <c r="AS1220" s="545">
        <f>IFERROR(CEILING($AR1220*VLOOKUP($I1220,Ref!$B$23:$E$29,4,0),1),0)</f>
        <v>0</v>
      </c>
      <c r="AT1220" s="545" t="str">
        <f>IF(A1220="","",IF(AP1220&lt;=1,"Cleared",IF(AS1220=0,"Clean",VLOOKUP($AS1220,Ref!$G$23:$H$28,2))))</f>
        <v/>
      </c>
      <c r="AU1220" s="546" t="str">
        <f t="shared" si="510"/>
        <v/>
      </c>
    </row>
    <row r="1221" spans="1:47" ht="14.25" hidden="1" customHeight="1" x14ac:dyDescent="0.15">
      <c r="A1221" s="523"/>
      <c r="B1221" s="523"/>
      <c r="C1221" s="523"/>
      <c r="D1221" s="523"/>
      <c r="E1221" s="579"/>
      <c r="F1221" s="580"/>
      <c r="G1221" s="524"/>
      <c r="H1221" s="555"/>
      <c r="I1221" s="560"/>
      <c r="J1221" s="523"/>
      <c r="K1221" s="528" t="str">
        <f>IFERROR(VLOOKUP($B1221,'Clients-Live'!$A:$C,3,0),"")</f>
        <v/>
      </c>
      <c r="L1221" s="528">
        <f>IF(E1221="STL",Pricing!$D$38,IF(A1221="",0,IF(A1221&lt;Pricing!$C$25,Pricing!$D$25,VLOOKUP(Disbursements!$F1221,Pricing!$B$29:$D$32,3))))</f>
        <v>0</v>
      </c>
      <c r="M1221" s="528">
        <f>IF(E1221="STL",0,IF(F1221&gt;0,Pricing!$D$21,0))</f>
        <v>0</v>
      </c>
      <c r="N1221" s="529">
        <f>IF(E1221="STL",F1221*Pricing!$D$40,IF(A1221&lt;=Pricing!$C$4,0,IF(AND(A1221&gt;Pricing!$C$4,Disbursements!A1221&lt;=Pricing!$C$5),F1221*Pricing!$E$5,IF(AND(A1221&gt;Pricing!$C$5,Disbursements!A1221&lt;=Pricing!$C$7),VLOOKUP(F1221,Pricing!$D$7:$E$8,2)*Disbursements!F1221,F1221*Pricing!$E$9))))</f>
        <v>0</v>
      </c>
      <c r="O1221" s="528">
        <f>IF(E1221="STL",0,IF($F1221&gt;0,$F1221*Pricing!$D$17,0))</f>
        <v>0</v>
      </c>
      <c r="P1221" s="530" t="str">
        <f t="shared" ref="P1221:P1284" si="516">IF($A1221="","",$H1221*$F1221*$G1221)</f>
        <v/>
      </c>
      <c r="Q1221" s="531" t="str">
        <f>IF($A1221="","",$G1221/VLOOKUP($I1221,Ref!$B$23:$D$29,2,0))</f>
        <v/>
      </c>
      <c r="R1221" s="530" t="str">
        <f t="shared" ref="R1221:R1284" si="517">IF($A1221="","",$F1221+$P1221)</f>
        <v/>
      </c>
      <c r="S1221" s="532" t="str">
        <f t="shared" si="511"/>
        <v/>
      </c>
      <c r="T1221" s="531" t="str">
        <f t="shared" ref="T1221:T1284" si="518">IF(R1221="","",CEILING(S1221,1000))</f>
        <v/>
      </c>
      <c r="U1221" s="533">
        <f t="shared" ref="U1221:U1284" si="519">IFERROR(T1221*Q1221,0)</f>
        <v>0</v>
      </c>
      <c r="V1221" s="531" t="str">
        <f t="shared" ref="V1221:V1284" si="520">IF(T1221="","",F1221/Q1221)</f>
        <v/>
      </c>
      <c r="W1221" s="531" t="str">
        <f t="shared" ref="W1221:W1284" si="521">IF(T1221="","",T1221-V1221)</f>
        <v/>
      </c>
      <c r="X1221" s="534" t="str">
        <f t="shared" ref="X1221:X1284" si="522">IF(A1221="","",W1221*Q1221)</f>
        <v/>
      </c>
      <c r="Y1221" s="535" t="str">
        <f>IF($A1221="","",IF($I1221="weekly",$A1221+7,EDATE($A1221,VLOOKUP($I1221,Ref!$B$24:$C$29,2,0))))</f>
        <v/>
      </c>
      <c r="Z1221" s="536" t="str">
        <f t="shared" ref="Z1221:Z1284" si="523">IFERROR(CHOOSE(WEEKDAY(Y1221),"Sun","Mon","Tue","Wed","Thu","Frid","Sat"),"")</f>
        <v/>
      </c>
      <c r="AA1221" s="531">
        <f t="shared" ref="AA1221:AA1284" si="524">IFERROR(Y1221-A1221,0)</f>
        <v>0</v>
      </c>
      <c r="AB1221" s="535" t="str">
        <f t="shared" si="512"/>
        <v/>
      </c>
      <c r="AC1221" s="537" t="str">
        <f t="shared" si="513"/>
        <v/>
      </c>
      <c r="AD1221" s="538" t="str">
        <f t="shared" ca="1" si="514"/>
        <v/>
      </c>
      <c r="AE1221" s="537">
        <f t="shared" ca="1" si="515"/>
        <v>0</v>
      </c>
      <c r="AF1221" s="539" t="str">
        <f t="shared" ref="AF1221:AF1284" ca="1" si="525">IFERROR(IF(AD1221="Expired",Q1221,IF(AD1221&gt;AA1221,AD1221/AA1221,0)),"")</f>
        <v/>
      </c>
      <c r="AG1221" s="531" t="str">
        <f t="shared" ref="AG1221:AG1284" ca="1" si="526">IFERROR(AF1221*T1221,"")</f>
        <v/>
      </c>
      <c r="AH1221" s="531" t="str">
        <f t="shared" ref="AH1221:AH1284" ca="1" si="527">IFERROR(AF1221*W1221,"")</f>
        <v/>
      </c>
      <c r="AI1221" s="531" t="str">
        <f t="shared" ref="AI1221:AI1284" ca="1" si="528">IFERROR(AF1221*V1221,"")</f>
        <v/>
      </c>
      <c r="AJ1221" s="531" t="str">
        <f t="shared" ref="AJ1221:AJ1284" si="529">IF(F1221=0,"",U1221-AG1221)</f>
        <v/>
      </c>
      <c r="AK1221" s="540">
        <f>SUMIFS('Live Collections'!$S:$S,'Live Collections'!$D:$D,Disbursements!B1221,'Live Collections'!$G:$G,Disbursements!C1221)</f>
        <v>0</v>
      </c>
      <c r="AL1221" s="540">
        <f>SUMIFS('Live Collections'!$T:$T,'Live Collections'!$D:$D,Disbursements!B1221,'Live Collections'!$G:$G,Disbursements!C1221)</f>
        <v>0</v>
      </c>
      <c r="AM1221" s="541">
        <f t="shared" ref="AM1221:AM1284" si="530">SUM(AK1221:AL1221)</f>
        <v>0</v>
      </c>
      <c r="AN1221" s="542" t="str">
        <f t="shared" ref="AN1221:AN1284" si="531">IFERROR(W1221*Q1221-AK1221,"")</f>
        <v/>
      </c>
      <c r="AO1221" s="542" t="str">
        <f t="shared" ref="AO1221:AO1284" si="532">IF(F1221="","",(F1221-AL1221))</f>
        <v/>
      </c>
      <c r="AP1221" s="543" t="str">
        <f t="shared" ref="AP1221:AP1284" si="533">IF(F1221="","",SUM(AN1221:AO1221))</f>
        <v/>
      </c>
      <c r="AQ1221" s="544" t="str">
        <f t="shared" ref="AQ1221:AQ1284" si="534">IF(AP1221&gt;AJ1221,AP1221-AJ1221,"")</f>
        <v/>
      </c>
      <c r="AR1221" s="545">
        <f t="shared" ref="AR1221:AR1284" si="535">IFERROR(AQ1221/T1221,0)</f>
        <v>0</v>
      </c>
      <c r="AS1221" s="545">
        <f>IFERROR(CEILING($AR1221*VLOOKUP($I1221,Ref!$B$23:$E$29,4,0),1),0)</f>
        <v>0</v>
      </c>
      <c r="AT1221" s="545" t="str">
        <f>IF(A1221="","",IF(AP1221&lt;=1,"Cleared",IF(AS1221=0,"Clean",VLOOKUP($AS1221,Ref!$G$23:$H$28,2))))</f>
        <v/>
      </c>
      <c r="AU1221" s="546" t="str">
        <f t="shared" ref="AU1221:AU1284" si="536">IF(F1221="","",IF(OR(AN1221&lt;0,AO1221&lt;0,AP1221&lt;0),"Error on Entry","Ok"))</f>
        <v/>
      </c>
    </row>
    <row r="1222" spans="1:47" ht="14.25" hidden="1" customHeight="1" x14ac:dyDescent="0.15">
      <c r="A1222" s="523"/>
      <c r="B1222" s="523"/>
      <c r="C1222" s="523"/>
      <c r="D1222" s="523"/>
      <c r="E1222" s="579"/>
      <c r="F1222" s="580"/>
      <c r="G1222" s="524"/>
      <c r="H1222" s="555"/>
      <c r="I1222" s="560"/>
      <c r="J1222" s="523"/>
      <c r="K1222" s="528" t="str">
        <f>IFERROR(VLOOKUP($B1222,'Clients-Live'!$A:$C,3,0),"")</f>
        <v/>
      </c>
      <c r="L1222" s="528">
        <f>IF(E1222="STL",Pricing!$D$38,IF(A1222="",0,IF(A1222&lt;Pricing!$C$25,Pricing!$D$25,VLOOKUP(Disbursements!$F1222,Pricing!$B$29:$D$32,3))))</f>
        <v>0</v>
      </c>
      <c r="M1222" s="528">
        <f>IF(E1222="STL",0,IF(F1222&gt;0,Pricing!$D$21,0))</f>
        <v>0</v>
      </c>
      <c r="N1222" s="529">
        <f>IF(E1222="STL",F1222*Pricing!$D$40,IF(A1222&lt;=Pricing!$C$4,0,IF(AND(A1222&gt;Pricing!$C$4,Disbursements!A1222&lt;=Pricing!$C$5),F1222*Pricing!$E$5,IF(AND(A1222&gt;Pricing!$C$5,Disbursements!A1222&lt;=Pricing!$C$7),VLOOKUP(F1222,Pricing!$D$7:$E$8,2)*Disbursements!F1222,F1222*Pricing!$E$9))))</f>
        <v>0</v>
      </c>
      <c r="O1222" s="528">
        <f>IF(E1222="STL",0,IF($F1222&gt;0,$F1222*Pricing!$D$17,0))</f>
        <v>0</v>
      </c>
      <c r="P1222" s="530" t="str">
        <f t="shared" si="516"/>
        <v/>
      </c>
      <c r="Q1222" s="531" t="str">
        <f>IF($A1222="","",$G1222/VLOOKUP($I1222,Ref!$B$23:$D$29,2,0))</f>
        <v/>
      </c>
      <c r="R1222" s="530" t="str">
        <f t="shared" si="517"/>
        <v/>
      </c>
      <c r="S1222" s="532" t="str">
        <f t="shared" si="511"/>
        <v/>
      </c>
      <c r="T1222" s="531" t="str">
        <f t="shared" si="518"/>
        <v/>
      </c>
      <c r="U1222" s="533">
        <f t="shared" si="519"/>
        <v>0</v>
      </c>
      <c r="V1222" s="531" t="str">
        <f t="shared" si="520"/>
        <v/>
      </c>
      <c r="W1222" s="531" t="str">
        <f t="shared" si="521"/>
        <v/>
      </c>
      <c r="X1222" s="534" t="str">
        <f t="shared" si="522"/>
        <v/>
      </c>
      <c r="Y1222" s="535" t="str">
        <f>IF($A1222="","",IF($I1222="weekly",$A1222+7,EDATE($A1222,VLOOKUP($I1222,Ref!$B$24:$C$29,2,0))))</f>
        <v/>
      </c>
      <c r="Z1222" s="536" t="str">
        <f t="shared" si="523"/>
        <v/>
      </c>
      <c r="AA1222" s="531">
        <f t="shared" si="524"/>
        <v>0</v>
      </c>
      <c r="AB1222" s="535" t="str">
        <f t="shared" si="512"/>
        <v/>
      </c>
      <c r="AC1222" s="537" t="str">
        <f t="shared" si="513"/>
        <v/>
      </c>
      <c r="AD1222" s="538" t="str">
        <f t="shared" ca="1" si="514"/>
        <v/>
      </c>
      <c r="AE1222" s="537">
        <f t="shared" ca="1" si="515"/>
        <v>0</v>
      </c>
      <c r="AF1222" s="539" t="str">
        <f t="shared" ca="1" si="525"/>
        <v/>
      </c>
      <c r="AG1222" s="531" t="str">
        <f t="shared" ca="1" si="526"/>
        <v/>
      </c>
      <c r="AH1222" s="531" t="str">
        <f t="shared" ca="1" si="527"/>
        <v/>
      </c>
      <c r="AI1222" s="531" t="str">
        <f t="shared" ca="1" si="528"/>
        <v/>
      </c>
      <c r="AJ1222" s="531" t="str">
        <f t="shared" si="529"/>
        <v/>
      </c>
      <c r="AK1222" s="540">
        <f>SUMIFS('Live Collections'!$S:$S,'Live Collections'!$D:$D,Disbursements!B1222,'Live Collections'!$G:$G,Disbursements!C1222)</f>
        <v>0</v>
      </c>
      <c r="AL1222" s="540">
        <f>SUMIFS('Live Collections'!$T:$T,'Live Collections'!$D:$D,Disbursements!B1222,'Live Collections'!$G:$G,Disbursements!C1222)</f>
        <v>0</v>
      </c>
      <c r="AM1222" s="541">
        <f t="shared" si="530"/>
        <v>0</v>
      </c>
      <c r="AN1222" s="542" t="str">
        <f t="shared" si="531"/>
        <v/>
      </c>
      <c r="AO1222" s="542" t="str">
        <f t="shared" si="532"/>
        <v/>
      </c>
      <c r="AP1222" s="543" t="str">
        <f t="shared" si="533"/>
        <v/>
      </c>
      <c r="AQ1222" s="544" t="str">
        <f t="shared" si="534"/>
        <v/>
      </c>
      <c r="AR1222" s="545">
        <f t="shared" si="535"/>
        <v>0</v>
      </c>
      <c r="AS1222" s="545">
        <f>IFERROR(CEILING($AR1222*VLOOKUP($I1222,Ref!$B$23:$E$29,4,0),1),0)</f>
        <v>0</v>
      </c>
      <c r="AT1222" s="545" t="str">
        <f>IF(A1222="","",IF(AP1222&lt;=1,"Cleared",IF(AS1222=0,"Clean",VLOOKUP($AS1222,Ref!$G$23:$H$28,2))))</f>
        <v/>
      </c>
      <c r="AU1222" s="546" t="str">
        <f t="shared" si="536"/>
        <v/>
      </c>
    </row>
    <row r="1223" spans="1:47" ht="14.25" hidden="1" customHeight="1" x14ac:dyDescent="0.15">
      <c r="A1223" s="523"/>
      <c r="B1223" s="523"/>
      <c r="C1223" s="523"/>
      <c r="D1223" s="523"/>
      <c r="E1223" s="579"/>
      <c r="F1223" s="580"/>
      <c r="G1223" s="524"/>
      <c r="H1223" s="555"/>
      <c r="I1223" s="560"/>
      <c r="J1223" s="523"/>
      <c r="K1223" s="528" t="str">
        <f>IFERROR(VLOOKUP($B1223,'Clients-Live'!$A:$C,3,0),"")</f>
        <v/>
      </c>
      <c r="L1223" s="528">
        <f>IF(E1223="STL",Pricing!$D$38,IF(A1223="",0,IF(A1223&lt;Pricing!$C$25,Pricing!$D$25,VLOOKUP(Disbursements!$F1223,Pricing!$B$29:$D$32,3))))</f>
        <v>0</v>
      </c>
      <c r="M1223" s="528">
        <f>IF(E1223="STL",0,IF(F1223&gt;0,Pricing!$D$21,0))</f>
        <v>0</v>
      </c>
      <c r="N1223" s="529">
        <f>IF(E1223="STL",F1223*Pricing!$D$40,IF(A1223&lt;=Pricing!$C$4,0,IF(AND(A1223&gt;Pricing!$C$4,Disbursements!A1223&lt;=Pricing!$C$5),F1223*Pricing!$E$5,IF(AND(A1223&gt;Pricing!$C$5,Disbursements!A1223&lt;=Pricing!$C$7),VLOOKUP(F1223,Pricing!$D$7:$E$8,2)*Disbursements!F1223,F1223*Pricing!$E$9))))</f>
        <v>0</v>
      </c>
      <c r="O1223" s="528">
        <f>IF(E1223="STL",0,IF($F1223&gt;0,$F1223*Pricing!$D$17,0))</f>
        <v>0</v>
      </c>
      <c r="P1223" s="530" t="str">
        <f t="shared" si="516"/>
        <v/>
      </c>
      <c r="Q1223" s="531" t="str">
        <f>IF($A1223="","",$G1223/VLOOKUP($I1223,Ref!$B$23:$D$29,2,0))</f>
        <v/>
      </c>
      <c r="R1223" s="530" t="str">
        <f t="shared" si="517"/>
        <v/>
      </c>
      <c r="S1223" s="532" t="str">
        <f t="shared" si="511"/>
        <v/>
      </c>
      <c r="T1223" s="531" t="str">
        <f t="shared" si="518"/>
        <v/>
      </c>
      <c r="U1223" s="533">
        <f t="shared" si="519"/>
        <v>0</v>
      </c>
      <c r="V1223" s="531" t="str">
        <f t="shared" si="520"/>
        <v/>
      </c>
      <c r="W1223" s="531" t="str">
        <f t="shared" si="521"/>
        <v/>
      </c>
      <c r="X1223" s="534" t="str">
        <f t="shared" si="522"/>
        <v/>
      </c>
      <c r="Y1223" s="535" t="str">
        <f>IF($A1223="","",IF($I1223="weekly",$A1223+7,EDATE($A1223,VLOOKUP($I1223,Ref!$B$24:$C$29,2,0))))</f>
        <v/>
      </c>
      <c r="Z1223" s="536" t="str">
        <f t="shared" si="523"/>
        <v/>
      </c>
      <c r="AA1223" s="531">
        <f t="shared" si="524"/>
        <v>0</v>
      </c>
      <c r="AB1223" s="535" t="str">
        <f t="shared" si="512"/>
        <v/>
      </c>
      <c r="AC1223" s="537" t="str">
        <f t="shared" si="513"/>
        <v/>
      </c>
      <c r="AD1223" s="538" t="str">
        <f t="shared" ca="1" si="514"/>
        <v/>
      </c>
      <c r="AE1223" s="537">
        <f t="shared" ca="1" si="515"/>
        <v>0</v>
      </c>
      <c r="AF1223" s="539" t="str">
        <f t="shared" ca="1" si="525"/>
        <v/>
      </c>
      <c r="AG1223" s="531" t="str">
        <f t="shared" ca="1" si="526"/>
        <v/>
      </c>
      <c r="AH1223" s="531" t="str">
        <f t="shared" ca="1" si="527"/>
        <v/>
      </c>
      <c r="AI1223" s="531" t="str">
        <f t="shared" ca="1" si="528"/>
        <v/>
      </c>
      <c r="AJ1223" s="531" t="str">
        <f t="shared" si="529"/>
        <v/>
      </c>
      <c r="AK1223" s="540">
        <f>SUMIFS('Live Collections'!$S:$S,'Live Collections'!$D:$D,Disbursements!B1223,'Live Collections'!$G:$G,Disbursements!C1223)</f>
        <v>0</v>
      </c>
      <c r="AL1223" s="540">
        <f>SUMIFS('Live Collections'!$T:$T,'Live Collections'!$D:$D,Disbursements!B1223,'Live Collections'!$G:$G,Disbursements!C1223)</f>
        <v>0</v>
      </c>
      <c r="AM1223" s="541">
        <f t="shared" si="530"/>
        <v>0</v>
      </c>
      <c r="AN1223" s="542" t="str">
        <f t="shared" si="531"/>
        <v/>
      </c>
      <c r="AO1223" s="542" t="str">
        <f t="shared" si="532"/>
        <v/>
      </c>
      <c r="AP1223" s="543" t="str">
        <f t="shared" si="533"/>
        <v/>
      </c>
      <c r="AQ1223" s="544" t="str">
        <f t="shared" si="534"/>
        <v/>
      </c>
      <c r="AR1223" s="545">
        <f t="shared" si="535"/>
        <v>0</v>
      </c>
      <c r="AS1223" s="545">
        <f>IFERROR(CEILING($AR1223*VLOOKUP($I1223,Ref!$B$23:$E$29,4,0),1),0)</f>
        <v>0</v>
      </c>
      <c r="AT1223" s="545" t="str">
        <f>IF(A1223="","",IF(AP1223&lt;=1,"Cleared",IF(AS1223=0,"Clean",VLOOKUP($AS1223,Ref!$G$23:$H$28,2))))</f>
        <v/>
      </c>
      <c r="AU1223" s="546" t="str">
        <f t="shared" si="536"/>
        <v/>
      </c>
    </row>
    <row r="1224" spans="1:47" ht="14.25" hidden="1" customHeight="1" x14ac:dyDescent="0.15">
      <c r="A1224" s="523"/>
      <c r="B1224" s="523"/>
      <c r="C1224" s="523"/>
      <c r="D1224" s="523"/>
      <c r="E1224" s="579"/>
      <c r="F1224" s="580"/>
      <c r="G1224" s="524"/>
      <c r="H1224" s="555"/>
      <c r="I1224" s="560"/>
      <c r="J1224" s="523"/>
      <c r="K1224" s="528" t="str">
        <f>IFERROR(VLOOKUP($B1224,'Clients-Live'!$A:$C,3,0),"")</f>
        <v/>
      </c>
      <c r="L1224" s="528">
        <f>IF(E1224="STL",Pricing!$D$38,IF(A1224="",0,IF(A1224&lt;Pricing!$C$25,Pricing!$D$25,VLOOKUP(Disbursements!$F1224,Pricing!$B$29:$D$32,3))))</f>
        <v>0</v>
      </c>
      <c r="M1224" s="528">
        <f>IF(E1224="STL",0,IF(F1224&gt;0,Pricing!$D$21,0))</f>
        <v>0</v>
      </c>
      <c r="N1224" s="529">
        <f>IF(E1224="STL",F1224*Pricing!$D$40,IF(A1224&lt;=Pricing!$C$4,0,IF(AND(A1224&gt;Pricing!$C$4,Disbursements!A1224&lt;=Pricing!$C$5),F1224*Pricing!$E$5,IF(AND(A1224&gt;Pricing!$C$5,Disbursements!A1224&lt;=Pricing!$C$7),VLOOKUP(F1224,Pricing!$D$7:$E$8,2)*Disbursements!F1224,F1224*Pricing!$E$9))))</f>
        <v>0</v>
      </c>
      <c r="O1224" s="528">
        <f>IF(E1224="STL",0,IF($F1224&gt;0,$F1224*Pricing!$D$17,0))</f>
        <v>0</v>
      </c>
      <c r="P1224" s="530" t="str">
        <f t="shared" si="516"/>
        <v/>
      </c>
      <c r="Q1224" s="531" t="str">
        <f>IF($A1224="","",$G1224/VLOOKUP($I1224,Ref!$B$23:$D$29,2,0))</f>
        <v/>
      </c>
      <c r="R1224" s="530" t="str">
        <f t="shared" si="517"/>
        <v/>
      </c>
      <c r="S1224" s="532" t="str">
        <f t="shared" si="511"/>
        <v/>
      </c>
      <c r="T1224" s="531" t="str">
        <f t="shared" si="518"/>
        <v/>
      </c>
      <c r="U1224" s="533">
        <f t="shared" si="519"/>
        <v>0</v>
      </c>
      <c r="V1224" s="531" t="str">
        <f t="shared" si="520"/>
        <v/>
      </c>
      <c r="W1224" s="531" t="str">
        <f t="shared" si="521"/>
        <v/>
      </c>
      <c r="X1224" s="534" t="str">
        <f t="shared" si="522"/>
        <v/>
      </c>
      <c r="Y1224" s="535" t="str">
        <f>IF($A1224="","",IF($I1224="weekly",$A1224+7,EDATE($A1224,VLOOKUP($I1224,Ref!$B$24:$C$29,2,0))))</f>
        <v/>
      </c>
      <c r="Z1224" s="536" t="str">
        <f t="shared" si="523"/>
        <v/>
      </c>
      <c r="AA1224" s="531">
        <f t="shared" si="524"/>
        <v>0</v>
      </c>
      <c r="AB1224" s="535" t="str">
        <f t="shared" si="512"/>
        <v/>
      </c>
      <c r="AC1224" s="537" t="str">
        <f t="shared" si="513"/>
        <v/>
      </c>
      <c r="AD1224" s="538" t="str">
        <f t="shared" ca="1" si="514"/>
        <v/>
      </c>
      <c r="AE1224" s="537">
        <f t="shared" ca="1" si="515"/>
        <v>0</v>
      </c>
      <c r="AF1224" s="539" t="str">
        <f t="shared" ca="1" si="525"/>
        <v/>
      </c>
      <c r="AG1224" s="531" t="str">
        <f t="shared" ca="1" si="526"/>
        <v/>
      </c>
      <c r="AH1224" s="531" t="str">
        <f t="shared" ca="1" si="527"/>
        <v/>
      </c>
      <c r="AI1224" s="531" t="str">
        <f t="shared" ca="1" si="528"/>
        <v/>
      </c>
      <c r="AJ1224" s="531" t="str">
        <f t="shared" si="529"/>
        <v/>
      </c>
      <c r="AK1224" s="540">
        <f>SUMIFS('Live Collections'!$S:$S,'Live Collections'!$D:$D,Disbursements!B1224,'Live Collections'!$G:$G,Disbursements!C1224)</f>
        <v>0</v>
      </c>
      <c r="AL1224" s="540">
        <f>SUMIFS('Live Collections'!$T:$T,'Live Collections'!$D:$D,Disbursements!B1224,'Live Collections'!$G:$G,Disbursements!C1224)</f>
        <v>0</v>
      </c>
      <c r="AM1224" s="541">
        <f t="shared" si="530"/>
        <v>0</v>
      </c>
      <c r="AN1224" s="542" t="str">
        <f t="shared" si="531"/>
        <v/>
      </c>
      <c r="AO1224" s="542" t="str">
        <f t="shared" si="532"/>
        <v/>
      </c>
      <c r="AP1224" s="543" t="str">
        <f t="shared" si="533"/>
        <v/>
      </c>
      <c r="AQ1224" s="544" t="str">
        <f t="shared" si="534"/>
        <v/>
      </c>
      <c r="AR1224" s="545">
        <f t="shared" si="535"/>
        <v>0</v>
      </c>
      <c r="AS1224" s="545">
        <f>IFERROR(CEILING($AR1224*VLOOKUP($I1224,Ref!$B$23:$E$29,4,0),1),0)</f>
        <v>0</v>
      </c>
      <c r="AT1224" s="545" t="str">
        <f>IF(A1224="","",IF(AP1224&lt;=1,"Cleared",IF(AS1224=0,"Clean",VLOOKUP($AS1224,Ref!$G$23:$H$28,2))))</f>
        <v/>
      </c>
      <c r="AU1224" s="546" t="str">
        <f t="shared" si="536"/>
        <v/>
      </c>
    </row>
    <row r="1225" spans="1:47" ht="14.25" hidden="1" customHeight="1" x14ac:dyDescent="0.15">
      <c r="A1225" s="523"/>
      <c r="B1225" s="523"/>
      <c r="C1225" s="523"/>
      <c r="D1225" s="523"/>
      <c r="E1225" s="579"/>
      <c r="F1225" s="580"/>
      <c r="G1225" s="524"/>
      <c r="H1225" s="555"/>
      <c r="I1225" s="560"/>
      <c r="J1225" s="523"/>
      <c r="K1225" s="528" t="str">
        <f>IFERROR(VLOOKUP($B1225,'Clients-Live'!$A:$C,3,0),"")</f>
        <v/>
      </c>
      <c r="L1225" s="528">
        <f>IF(E1225="STL",Pricing!$D$38,IF(A1225="",0,IF(A1225&lt;Pricing!$C$25,Pricing!$D$25,VLOOKUP(Disbursements!$F1225,Pricing!$B$29:$D$32,3))))</f>
        <v>0</v>
      </c>
      <c r="M1225" s="528">
        <f>IF(E1225="STL",0,IF(F1225&gt;0,Pricing!$D$21,0))</f>
        <v>0</v>
      </c>
      <c r="N1225" s="529">
        <f>IF(E1225="STL",F1225*Pricing!$D$40,IF(A1225&lt;=Pricing!$C$4,0,IF(AND(A1225&gt;Pricing!$C$4,Disbursements!A1225&lt;=Pricing!$C$5),F1225*Pricing!$E$5,IF(AND(A1225&gt;Pricing!$C$5,Disbursements!A1225&lt;=Pricing!$C$7),VLOOKUP(F1225,Pricing!$D$7:$E$8,2)*Disbursements!F1225,F1225*Pricing!$E$9))))</f>
        <v>0</v>
      </c>
      <c r="O1225" s="528">
        <f>IF(E1225="STL",0,IF($F1225&gt;0,$F1225*Pricing!$D$17,0))</f>
        <v>0</v>
      </c>
      <c r="P1225" s="530" t="str">
        <f t="shared" si="516"/>
        <v/>
      </c>
      <c r="Q1225" s="531" t="str">
        <f>IF($A1225="","",$G1225/VLOOKUP($I1225,Ref!$B$23:$D$29,2,0))</f>
        <v/>
      </c>
      <c r="R1225" s="530" t="str">
        <f t="shared" si="517"/>
        <v/>
      </c>
      <c r="S1225" s="532" t="str">
        <f t="shared" si="511"/>
        <v/>
      </c>
      <c r="T1225" s="531" t="str">
        <f t="shared" si="518"/>
        <v/>
      </c>
      <c r="U1225" s="533">
        <f t="shared" si="519"/>
        <v>0</v>
      </c>
      <c r="V1225" s="531" t="str">
        <f t="shared" si="520"/>
        <v/>
      </c>
      <c r="W1225" s="531" t="str">
        <f t="shared" si="521"/>
        <v/>
      </c>
      <c r="X1225" s="534" t="str">
        <f t="shared" si="522"/>
        <v/>
      </c>
      <c r="Y1225" s="535" t="str">
        <f>IF($A1225="","",IF($I1225="weekly",$A1225+7,EDATE($A1225,VLOOKUP($I1225,Ref!$B$24:$C$29,2,0))))</f>
        <v/>
      </c>
      <c r="Z1225" s="536" t="str">
        <f t="shared" si="523"/>
        <v/>
      </c>
      <c r="AA1225" s="531">
        <f t="shared" si="524"/>
        <v>0</v>
      </c>
      <c r="AB1225" s="535" t="str">
        <f t="shared" si="512"/>
        <v/>
      </c>
      <c r="AC1225" s="537" t="str">
        <f t="shared" si="513"/>
        <v/>
      </c>
      <c r="AD1225" s="538" t="str">
        <f t="shared" ca="1" si="514"/>
        <v/>
      </c>
      <c r="AE1225" s="537">
        <f t="shared" ca="1" si="515"/>
        <v>0</v>
      </c>
      <c r="AF1225" s="539" t="str">
        <f t="shared" ca="1" si="525"/>
        <v/>
      </c>
      <c r="AG1225" s="531" t="str">
        <f t="shared" ca="1" si="526"/>
        <v/>
      </c>
      <c r="AH1225" s="531" t="str">
        <f t="shared" ca="1" si="527"/>
        <v/>
      </c>
      <c r="AI1225" s="531" t="str">
        <f t="shared" ca="1" si="528"/>
        <v/>
      </c>
      <c r="AJ1225" s="531" t="str">
        <f t="shared" si="529"/>
        <v/>
      </c>
      <c r="AK1225" s="540">
        <f>SUMIFS('Live Collections'!$S:$S,'Live Collections'!$D:$D,Disbursements!B1225,'Live Collections'!$G:$G,Disbursements!C1225)</f>
        <v>0</v>
      </c>
      <c r="AL1225" s="540">
        <f>SUMIFS('Live Collections'!$T:$T,'Live Collections'!$D:$D,Disbursements!B1225,'Live Collections'!$G:$G,Disbursements!C1225)</f>
        <v>0</v>
      </c>
      <c r="AM1225" s="541">
        <f t="shared" si="530"/>
        <v>0</v>
      </c>
      <c r="AN1225" s="542" t="str">
        <f t="shared" si="531"/>
        <v/>
      </c>
      <c r="AO1225" s="542" t="str">
        <f t="shared" si="532"/>
        <v/>
      </c>
      <c r="AP1225" s="543" t="str">
        <f t="shared" si="533"/>
        <v/>
      </c>
      <c r="AQ1225" s="544" t="str">
        <f t="shared" si="534"/>
        <v/>
      </c>
      <c r="AR1225" s="545">
        <f t="shared" si="535"/>
        <v>0</v>
      </c>
      <c r="AS1225" s="545">
        <f>IFERROR(CEILING($AR1225*VLOOKUP($I1225,Ref!$B$23:$E$29,4,0),1),0)</f>
        <v>0</v>
      </c>
      <c r="AT1225" s="545" t="str">
        <f>IF(A1225="","",IF(AP1225&lt;=1,"Cleared",IF(AS1225=0,"Clean",VLOOKUP($AS1225,Ref!$G$23:$H$28,2))))</f>
        <v/>
      </c>
      <c r="AU1225" s="546" t="str">
        <f t="shared" si="536"/>
        <v/>
      </c>
    </row>
    <row r="1226" spans="1:47" ht="14.25" hidden="1" customHeight="1" x14ac:dyDescent="0.15">
      <c r="A1226" s="523"/>
      <c r="B1226" s="523"/>
      <c r="C1226" s="523"/>
      <c r="D1226" s="523"/>
      <c r="E1226" s="579"/>
      <c r="F1226" s="580"/>
      <c r="G1226" s="524"/>
      <c r="H1226" s="555"/>
      <c r="I1226" s="560"/>
      <c r="J1226" s="523"/>
      <c r="K1226" s="528" t="str">
        <f>IFERROR(VLOOKUP($B1226,'Clients-Live'!$A:$C,3,0),"")</f>
        <v/>
      </c>
      <c r="L1226" s="528">
        <f>IF(E1226="STL",Pricing!$D$38,IF(A1226="",0,IF(A1226&lt;Pricing!$C$25,Pricing!$D$25,VLOOKUP(Disbursements!$F1226,Pricing!$B$29:$D$32,3))))</f>
        <v>0</v>
      </c>
      <c r="M1226" s="528">
        <f>IF(E1226="STL",0,IF(F1226&gt;0,Pricing!$D$21,0))</f>
        <v>0</v>
      </c>
      <c r="N1226" s="529">
        <f>IF(E1226="STL",F1226*Pricing!$D$40,IF(A1226&lt;=Pricing!$C$4,0,IF(AND(A1226&gt;Pricing!$C$4,Disbursements!A1226&lt;=Pricing!$C$5),F1226*Pricing!$E$5,IF(AND(A1226&gt;Pricing!$C$5,Disbursements!A1226&lt;=Pricing!$C$7),VLOOKUP(F1226,Pricing!$D$7:$E$8,2)*Disbursements!F1226,F1226*Pricing!$E$9))))</f>
        <v>0</v>
      </c>
      <c r="O1226" s="528">
        <f>IF(E1226="STL",0,IF($F1226&gt;0,$F1226*Pricing!$D$17,0))</f>
        <v>0</v>
      </c>
      <c r="P1226" s="530" t="str">
        <f t="shared" si="516"/>
        <v/>
      </c>
      <c r="Q1226" s="531" t="str">
        <f>IF($A1226="","",$G1226/VLOOKUP($I1226,Ref!$B$23:$D$29,2,0))</f>
        <v/>
      </c>
      <c r="R1226" s="530" t="str">
        <f t="shared" si="517"/>
        <v/>
      </c>
      <c r="S1226" s="532" t="str">
        <f t="shared" si="511"/>
        <v/>
      </c>
      <c r="T1226" s="531" t="str">
        <f t="shared" si="518"/>
        <v/>
      </c>
      <c r="U1226" s="533">
        <f t="shared" si="519"/>
        <v>0</v>
      </c>
      <c r="V1226" s="531" t="str">
        <f t="shared" si="520"/>
        <v/>
      </c>
      <c r="W1226" s="531" t="str">
        <f t="shared" si="521"/>
        <v/>
      </c>
      <c r="X1226" s="534" t="str">
        <f t="shared" si="522"/>
        <v/>
      </c>
      <c r="Y1226" s="535" t="str">
        <f>IF($A1226="","",IF($I1226="weekly",$A1226+7,EDATE($A1226,VLOOKUP($I1226,Ref!$B$24:$C$29,2,0))))</f>
        <v/>
      </c>
      <c r="Z1226" s="536" t="str">
        <f t="shared" si="523"/>
        <v/>
      </c>
      <c r="AA1226" s="531">
        <f t="shared" si="524"/>
        <v>0</v>
      </c>
      <c r="AB1226" s="535" t="str">
        <f t="shared" si="512"/>
        <v/>
      </c>
      <c r="AC1226" s="537" t="str">
        <f t="shared" si="513"/>
        <v/>
      </c>
      <c r="AD1226" s="538" t="str">
        <f t="shared" ca="1" si="514"/>
        <v/>
      </c>
      <c r="AE1226" s="537">
        <f t="shared" ca="1" si="515"/>
        <v>0</v>
      </c>
      <c r="AF1226" s="539" t="str">
        <f t="shared" ca="1" si="525"/>
        <v/>
      </c>
      <c r="AG1226" s="531" t="str">
        <f t="shared" ca="1" si="526"/>
        <v/>
      </c>
      <c r="AH1226" s="531" t="str">
        <f t="shared" ca="1" si="527"/>
        <v/>
      </c>
      <c r="AI1226" s="531" t="str">
        <f t="shared" ca="1" si="528"/>
        <v/>
      </c>
      <c r="AJ1226" s="531" t="str">
        <f t="shared" si="529"/>
        <v/>
      </c>
      <c r="AK1226" s="540">
        <f>SUMIFS('Live Collections'!$S:$S,'Live Collections'!$D:$D,Disbursements!B1226,'Live Collections'!$G:$G,Disbursements!C1226)</f>
        <v>0</v>
      </c>
      <c r="AL1226" s="540">
        <f>SUMIFS('Live Collections'!$T:$T,'Live Collections'!$D:$D,Disbursements!B1226,'Live Collections'!$G:$G,Disbursements!C1226)</f>
        <v>0</v>
      </c>
      <c r="AM1226" s="541">
        <f t="shared" si="530"/>
        <v>0</v>
      </c>
      <c r="AN1226" s="542" t="str">
        <f t="shared" si="531"/>
        <v/>
      </c>
      <c r="AO1226" s="542" t="str">
        <f t="shared" si="532"/>
        <v/>
      </c>
      <c r="AP1226" s="543" t="str">
        <f t="shared" si="533"/>
        <v/>
      </c>
      <c r="AQ1226" s="544" t="str">
        <f t="shared" si="534"/>
        <v/>
      </c>
      <c r="AR1226" s="545">
        <f t="shared" si="535"/>
        <v>0</v>
      </c>
      <c r="AS1226" s="545">
        <f>IFERROR(CEILING($AR1226*VLOOKUP($I1226,Ref!$B$23:$E$29,4,0),1),0)</f>
        <v>0</v>
      </c>
      <c r="AT1226" s="545" t="str">
        <f>IF(A1226="","",IF(AP1226&lt;=1,"Cleared",IF(AS1226=0,"Clean",VLOOKUP($AS1226,Ref!$G$23:$H$28,2))))</f>
        <v/>
      </c>
      <c r="AU1226" s="546" t="str">
        <f t="shared" si="536"/>
        <v/>
      </c>
    </row>
    <row r="1227" spans="1:47" ht="14.25" hidden="1" customHeight="1" x14ac:dyDescent="0.15">
      <c r="A1227" s="523"/>
      <c r="B1227" s="523"/>
      <c r="C1227" s="523"/>
      <c r="D1227" s="523"/>
      <c r="E1227" s="579"/>
      <c r="F1227" s="580"/>
      <c r="G1227" s="524"/>
      <c r="H1227" s="555"/>
      <c r="I1227" s="560"/>
      <c r="J1227" s="523"/>
      <c r="K1227" s="528" t="str">
        <f>IFERROR(VLOOKUP($B1227,'Clients-Live'!$A:$C,3,0),"")</f>
        <v/>
      </c>
      <c r="L1227" s="528">
        <f>IF(E1227="STL",Pricing!$D$38,IF(A1227="",0,IF(A1227&lt;Pricing!$C$25,Pricing!$D$25,VLOOKUP(Disbursements!$F1227,Pricing!$B$29:$D$32,3))))</f>
        <v>0</v>
      </c>
      <c r="M1227" s="528">
        <f>IF(E1227="STL",0,IF(F1227&gt;0,Pricing!$D$21,0))</f>
        <v>0</v>
      </c>
      <c r="N1227" s="529">
        <f>IF(E1227="STL",F1227*Pricing!$D$40,IF(A1227&lt;=Pricing!$C$4,0,IF(AND(A1227&gt;Pricing!$C$4,Disbursements!A1227&lt;=Pricing!$C$5),F1227*Pricing!$E$5,IF(AND(A1227&gt;Pricing!$C$5,Disbursements!A1227&lt;=Pricing!$C$7),VLOOKUP(F1227,Pricing!$D$7:$E$8,2)*Disbursements!F1227,F1227*Pricing!$E$9))))</f>
        <v>0</v>
      </c>
      <c r="O1227" s="528">
        <f>IF(E1227="STL",0,IF($F1227&gt;0,$F1227*Pricing!$D$17,0))</f>
        <v>0</v>
      </c>
      <c r="P1227" s="530" t="str">
        <f t="shared" si="516"/>
        <v/>
      </c>
      <c r="Q1227" s="531" t="str">
        <f>IF($A1227="","",$G1227/VLOOKUP($I1227,Ref!$B$23:$D$29,2,0))</f>
        <v/>
      </c>
      <c r="R1227" s="530" t="str">
        <f t="shared" si="517"/>
        <v/>
      </c>
      <c r="S1227" s="532" t="str">
        <f t="shared" si="511"/>
        <v/>
      </c>
      <c r="T1227" s="531" t="str">
        <f t="shared" si="518"/>
        <v/>
      </c>
      <c r="U1227" s="533">
        <f t="shared" si="519"/>
        <v>0</v>
      </c>
      <c r="V1227" s="531" t="str">
        <f t="shared" si="520"/>
        <v/>
      </c>
      <c r="W1227" s="531" t="str">
        <f t="shared" si="521"/>
        <v/>
      </c>
      <c r="X1227" s="534" t="str">
        <f t="shared" si="522"/>
        <v/>
      </c>
      <c r="Y1227" s="535" t="str">
        <f>IF($A1227="","",IF($I1227="weekly",$A1227+7,EDATE($A1227,VLOOKUP($I1227,Ref!$B$24:$C$29,2,0))))</f>
        <v/>
      </c>
      <c r="Z1227" s="536" t="str">
        <f t="shared" si="523"/>
        <v/>
      </c>
      <c r="AA1227" s="531">
        <f t="shared" si="524"/>
        <v>0</v>
      </c>
      <c r="AB1227" s="535" t="str">
        <f t="shared" si="512"/>
        <v/>
      </c>
      <c r="AC1227" s="537" t="str">
        <f t="shared" si="513"/>
        <v/>
      </c>
      <c r="AD1227" s="538" t="str">
        <f t="shared" ca="1" si="514"/>
        <v/>
      </c>
      <c r="AE1227" s="537">
        <f t="shared" ca="1" si="515"/>
        <v>0</v>
      </c>
      <c r="AF1227" s="539" t="str">
        <f t="shared" ca="1" si="525"/>
        <v/>
      </c>
      <c r="AG1227" s="531" t="str">
        <f t="shared" ca="1" si="526"/>
        <v/>
      </c>
      <c r="AH1227" s="531" t="str">
        <f t="shared" ca="1" si="527"/>
        <v/>
      </c>
      <c r="AI1227" s="531" t="str">
        <f t="shared" ca="1" si="528"/>
        <v/>
      </c>
      <c r="AJ1227" s="531" t="str">
        <f t="shared" si="529"/>
        <v/>
      </c>
      <c r="AK1227" s="540">
        <f>SUMIFS('Live Collections'!$S:$S,'Live Collections'!$D:$D,Disbursements!B1227,'Live Collections'!$G:$G,Disbursements!C1227)</f>
        <v>0</v>
      </c>
      <c r="AL1227" s="540">
        <f>SUMIFS('Live Collections'!$T:$T,'Live Collections'!$D:$D,Disbursements!B1227,'Live Collections'!$G:$G,Disbursements!C1227)</f>
        <v>0</v>
      </c>
      <c r="AM1227" s="541">
        <f t="shared" si="530"/>
        <v>0</v>
      </c>
      <c r="AN1227" s="542" t="str">
        <f t="shared" si="531"/>
        <v/>
      </c>
      <c r="AO1227" s="542" t="str">
        <f t="shared" si="532"/>
        <v/>
      </c>
      <c r="AP1227" s="543" t="str">
        <f t="shared" si="533"/>
        <v/>
      </c>
      <c r="AQ1227" s="544" t="str">
        <f t="shared" si="534"/>
        <v/>
      </c>
      <c r="AR1227" s="545">
        <f t="shared" si="535"/>
        <v>0</v>
      </c>
      <c r="AS1227" s="545">
        <f>IFERROR(CEILING($AR1227*VLOOKUP($I1227,Ref!$B$23:$E$29,4,0),1),0)</f>
        <v>0</v>
      </c>
      <c r="AT1227" s="545" t="str">
        <f>IF(A1227="","",IF(AP1227&lt;=1,"Cleared",IF(AS1227=0,"Clean",VLOOKUP($AS1227,Ref!$G$23:$H$28,2))))</f>
        <v/>
      </c>
      <c r="AU1227" s="546" t="str">
        <f t="shared" si="536"/>
        <v/>
      </c>
    </row>
    <row r="1228" spans="1:47" ht="14.25" hidden="1" customHeight="1" x14ac:dyDescent="0.15">
      <c r="A1228" s="523"/>
      <c r="B1228" s="523"/>
      <c r="C1228" s="523"/>
      <c r="D1228" s="523"/>
      <c r="E1228" s="579"/>
      <c r="F1228" s="580"/>
      <c r="G1228" s="524"/>
      <c r="H1228" s="555"/>
      <c r="I1228" s="560"/>
      <c r="J1228" s="523"/>
      <c r="K1228" s="528" t="str">
        <f>IFERROR(VLOOKUP($B1228,'Clients-Live'!$A:$C,3,0),"")</f>
        <v/>
      </c>
      <c r="L1228" s="528">
        <f>IF(E1228="STL",Pricing!$D$38,IF(A1228="",0,IF(A1228&lt;Pricing!$C$25,Pricing!$D$25,VLOOKUP(Disbursements!$F1228,Pricing!$B$29:$D$32,3))))</f>
        <v>0</v>
      </c>
      <c r="M1228" s="528">
        <f>IF(E1228="STL",0,IF(F1228&gt;0,Pricing!$D$21,0))</f>
        <v>0</v>
      </c>
      <c r="N1228" s="529">
        <f>IF(E1228="STL",F1228*Pricing!$D$40,IF(A1228&lt;=Pricing!$C$4,0,IF(AND(A1228&gt;Pricing!$C$4,Disbursements!A1228&lt;=Pricing!$C$5),F1228*Pricing!$E$5,IF(AND(A1228&gt;Pricing!$C$5,Disbursements!A1228&lt;=Pricing!$C$7),VLOOKUP(F1228,Pricing!$D$7:$E$8,2)*Disbursements!F1228,F1228*Pricing!$E$9))))</f>
        <v>0</v>
      </c>
      <c r="O1228" s="528">
        <f>IF(E1228="STL",0,IF($F1228&gt;0,$F1228*Pricing!$D$17,0))</f>
        <v>0</v>
      </c>
      <c r="P1228" s="530" t="str">
        <f t="shared" si="516"/>
        <v/>
      </c>
      <c r="Q1228" s="531" t="str">
        <f>IF($A1228="","",$G1228/VLOOKUP($I1228,Ref!$B$23:$D$29,2,0))</f>
        <v/>
      </c>
      <c r="R1228" s="530" t="str">
        <f t="shared" si="517"/>
        <v/>
      </c>
      <c r="S1228" s="532" t="str">
        <f t="shared" si="511"/>
        <v/>
      </c>
      <c r="T1228" s="531" t="str">
        <f t="shared" si="518"/>
        <v/>
      </c>
      <c r="U1228" s="533">
        <f t="shared" si="519"/>
        <v>0</v>
      </c>
      <c r="V1228" s="531" t="str">
        <f t="shared" si="520"/>
        <v/>
      </c>
      <c r="W1228" s="531" t="str">
        <f t="shared" si="521"/>
        <v/>
      </c>
      <c r="X1228" s="534" t="str">
        <f t="shared" si="522"/>
        <v/>
      </c>
      <c r="Y1228" s="535" t="str">
        <f>IF($A1228="","",IF($I1228="weekly",$A1228+7,EDATE($A1228,VLOOKUP($I1228,Ref!$B$24:$C$29,2,0))))</f>
        <v/>
      </c>
      <c r="Z1228" s="536" t="str">
        <f t="shared" si="523"/>
        <v/>
      </c>
      <c r="AA1228" s="531">
        <f t="shared" si="524"/>
        <v>0</v>
      </c>
      <c r="AB1228" s="535" t="str">
        <f t="shared" si="512"/>
        <v/>
      </c>
      <c r="AC1228" s="537" t="str">
        <f t="shared" si="513"/>
        <v/>
      </c>
      <c r="AD1228" s="538" t="str">
        <f t="shared" ca="1" si="514"/>
        <v/>
      </c>
      <c r="AE1228" s="537">
        <f t="shared" ca="1" si="515"/>
        <v>0</v>
      </c>
      <c r="AF1228" s="539" t="str">
        <f t="shared" ca="1" si="525"/>
        <v/>
      </c>
      <c r="AG1228" s="531" t="str">
        <f t="shared" ca="1" si="526"/>
        <v/>
      </c>
      <c r="AH1228" s="531" t="str">
        <f t="shared" ca="1" si="527"/>
        <v/>
      </c>
      <c r="AI1228" s="531" t="str">
        <f t="shared" ca="1" si="528"/>
        <v/>
      </c>
      <c r="AJ1228" s="531" t="str">
        <f t="shared" si="529"/>
        <v/>
      </c>
      <c r="AK1228" s="540">
        <f>SUMIFS('Live Collections'!$S:$S,'Live Collections'!$D:$D,Disbursements!B1228,'Live Collections'!$G:$G,Disbursements!C1228)</f>
        <v>0</v>
      </c>
      <c r="AL1228" s="540">
        <f>SUMIFS('Live Collections'!$T:$T,'Live Collections'!$D:$D,Disbursements!B1228,'Live Collections'!$G:$G,Disbursements!C1228)</f>
        <v>0</v>
      </c>
      <c r="AM1228" s="541">
        <f t="shared" si="530"/>
        <v>0</v>
      </c>
      <c r="AN1228" s="542" t="str">
        <f t="shared" si="531"/>
        <v/>
      </c>
      <c r="AO1228" s="542" t="str">
        <f t="shared" si="532"/>
        <v/>
      </c>
      <c r="AP1228" s="543" t="str">
        <f t="shared" si="533"/>
        <v/>
      </c>
      <c r="AQ1228" s="544" t="str">
        <f t="shared" si="534"/>
        <v/>
      </c>
      <c r="AR1228" s="545">
        <f t="shared" si="535"/>
        <v>0</v>
      </c>
      <c r="AS1228" s="545">
        <f>IFERROR(CEILING($AR1228*VLOOKUP($I1228,Ref!$B$23:$E$29,4,0),1),0)</f>
        <v>0</v>
      </c>
      <c r="AT1228" s="545" t="str">
        <f>IF(A1228="","",IF(AP1228&lt;=1,"Cleared",IF(AS1228=0,"Clean",VLOOKUP($AS1228,Ref!$G$23:$H$28,2))))</f>
        <v/>
      </c>
      <c r="AU1228" s="546" t="str">
        <f t="shared" si="536"/>
        <v/>
      </c>
    </row>
    <row r="1229" spans="1:47" ht="14.25" hidden="1" customHeight="1" x14ac:dyDescent="0.15">
      <c r="A1229" s="523"/>
      <c r="B1229" s="523"/>
      <c r="C1229" s="523"/>
      <c r="D1229" s="523"/>
      <c r="E1229" s="579"/>
      <c r="F1229" s="580"/>
      <c r="G1229" s="524"/>
      <c r="H1229" s="555"/>
      <c r="I1229" s="560"/>
      <c r="J1229" s="523"/>
      <c r="K1229" s="528" t="str">
        <f>IFERROR(VLOOKUP($B1229,'Clients-Live'!$A:$C,3,0),"")</f>
        <v/>
      </c>
      <c r="L1229" s="528">
        <f>IF(E1229="STL",Pricing!$D$38,IF(A1229="",0,IF(A1229&lt;Pricing!$C$25,Pricing!$D$25,VLOOKUP(Disbursements!$F1229,Pricing!$B$29:$D$32,3))))</f>
        <v>0</v>
      </c>
      <c r="M1229" s="528">
        <f>IF(E1229="STL",0,IF(F1229&gt;0,Pricing!$D$21,0))</f>
        <v>0</v>
      </c>
      <c r="N1229" s="529">
        <f>IF(E1229="STL",F1229*Pricing!$D$40,IF(A1229&lt;=Pricing!$C$4,0,IF(AND(A1229&gt;Pricing!$C$4,Disbursements!A1229&lt;=Pricing!$C$5),F1229*Pricing!$E$5,IF(AND(A1229&gt;Pricing!$C$5,Disbursements!A1229&lt;=Pricing!$C$7),VLOOKUP(F1229,Pricing!$D$7:$E$8,2)*Disbursements!F1229,F1229*Pricing!$E$9))))</f>
        <v>0</v>
      </c>
      <c r="O1229" s="528">
        <f>IF(E1229="STL",0,IF($F1229&gt;0,$F1229*Pricing!$D$17,0))</f>
        <v>0</v>
      </c>
      <c r="P1229" s="530" t="str">
        <f t="shared" si="516"/>
        <v/>
      </c>
      <c r="Q1229" s="531" t="str">
        <f>IF($A1229="","",$G1229/VLOOKUP($I1229,Ref!$B$23:$D$29,2,0))</f>
        <v/>
      </c>
      <c r="R1229" s="530" t="str">
        <f t="shared" si="517"/>
        <v/>
      </c>
      <c r="S1229" s="532" t="str">
        <f t="shared" si="511"/>
        <v/>
      </c>
      <c r="T1229" s="531" t="str">
        <f t="shared" si="518"/>
        <v/>
      </c>
      <c r="U1229" s="533">
        <f t="shared" si="519"/>
        <v>0</v>
      </c>
      <c r="V1229" s="531" t="str">
        <f t="shared" si="520"/>
        <v/>
      </c>
      <c r="W1229" s="531" t="str">
        <f t="shared" si="521"/>
        <v/>
      </c>
      <c r="X1229" s="534" t="str">
        <f t="shared" si="522"/>
        <v/>
      </c>
      <c r="Y1229" s="535" t="str">
        <f>IF($A1229="","",IF($I1229="weekly",$A1229+7,EDATE($A1229,VLOOKUP($I1229,Ref!$B$24:$C$29,2,0))))</f>
        <v/>
      </c>
      <c r="Z1229" s="536" t="str">
        <f t="shared" si="523"/>
        <v/>
      </c>
      <c r="AA1229" s="531">
        <f t="shared" si="524"/>
        <v>0</v>
      </c>
      <c r="AB1229" s="535" t="str">
        <f t="shared" si="512"/>
        <v/>
      </c>
      <c r="AC1229" s="537" t="str">
        <f t="shared" si="513"/>
        <v/>
      </c>
      <c r="AD1229" s="538" t="str">
        <f t="shared" ca="1" si="514"/>
        <v/>
      </c>
      <c r="AE1229" s="537">
        <f t="shared" ca="1" si="515"/>
        <v>0</v>
      </c>
      <c r="AF1229" s="539" t="str">
        <f t="shared" ca="1" si="525"/>
        <v/>
      </c>
      <c r="AG1229" s="531" t="str">
        <f t="shared" ca="1" si="526"/>
        <v/>
      </c>
      <c r="AH1229" s="531" t="str">
        <f t="shared" ca="1" si="527"/>
        <v/>
      </c>
      <c r="AI1229" s="531" t="str">
        <f t="shared" ca="1" si="528"/>
        <v/>
      </c>
      <c r="AJ1229" s="531" t="str">
        <f t="shared" si="529"/>
        <v/>
      </c>
      <c r="AK1229" s="540">
        <f>SUMIFS('Live Collections'!$S:$S,'Live Collections'!$D:$D,Disbursements!B1229,'Live Collections'!$G:$G,Disbursements!C1229)</f>
        <v>0</v>
      </c>
      <c r="AL1229" s="540">
        <f>SUMIFS('Live Collections'!$T:$T,'Live Collections'!$D:$D,Disbursements!B1229,'Live Collections'!$G:$G,Disbursements!C1229)</f>
        <v>0</v>
      </c>
      <c r="AM1229" s="541">
        <f t="shared" si="530"/>
        <v>0</v>
      </c>
      <c r="AN1229" s="542" t="str">
        <f t="shared" si="531"/>
        <v/>
      </c>
      <c r="AO1229" s="542" t="str">
        <f t="shared" si="532"/>
        <v/>
      </c>
      <c r="AP1229" s="543" t="str">
        <f t="shared" si="533"/>
        <v/>
      </c>
      <c r="AQ1229" s="544" t="str">
        <f t="shared" si="534"/>
        <v/>
      </c>
      <c r="AR1229" s="545">
        <f t="shared" si="535"/>
        <v>0</v>
      </c>
      <c r="AS1229" s="545">
        <f>IFERROR(CEILING($AR1229*VLOOKUP($I1229,Ref!$B$23:$E$29,4,0),1),0)</f>
        <v>0</v>
      </c>
      <c r="AT1229" s="545" t="str">
        <f>IF(A1229="","",IF(AP1229&lt;=1,"Cleared",IF(AS1229=0,"Clean",VLOOKUP($AS1229,Ref!$G$23:$H$28,2))))</f>
        <v/>
      </c>
      <c r="AU1229" s="546" t="str">
        <f t="shared" si="536"/>
        <v/>
      </c>
    </row>
    <row r="1230" spans="1:47" ht="14.25" hidden="1" customHeight="1" x14ac:dyDescent="0.15">
      <c r="A1230" s="523"/>
      <c r="B1230" s="523"/>
      <c r="C1230" s="523"/>
      <c r="D1230" s="523"/>
      <c r="E1230" s="579"/>
      <c r="F1230" s="580"/>
      <c r="G1230" s="524"/>
      <c r="H1230" s="555"/>
      <c r="I1230" s="560"/>
      <c r="J1230" s="523"/>
      <c r="K1230" s="528" t="str">
        <f>IFERROR(VLOOKUP($B1230,'Clients-Live'!$A:$C,3,0),"")</f>
        <v/>
      </c>
      <c r="L1230" s="528">
        <f>IF(E1230="STL",Pricing!$D$38,IF(A1230="",0,IF(A1230&lt;Pricing!$C$25,Pricing!$D$25,VLOOKUP(Disbursements!$F1230,Pricing!$B$29:$D$32,3))))</f>
        <v>0</v>
      </c>
      <c r="M1230" s="528">
        <f>IF(E1230="STL",0,IF(F1230&gt;0,Pricing!$D$21,0))</f>
        <v>0</v>
      </c>
      <c r="N1230" s="529">
        <f>IF(E1230="STL",F1230*Pricing!$D$40,IF(A1230&lt;=Pricing!$C$4,0,IF(AND(A1230&gt;Pricing!$C$4,Disbursements!A1230&lt;=Pricing!$C$5),F1230*Pricing!$E$5,IF(AND(A1230&gt;Pricing!$C$5,Disbursements!A1230&lt;=Pricing!$C$7),VLOOKUP(F1230,Pricing!$D$7:$E$8,2)*Disbursements!F1230,F1230*Pricing!$E$9))))</f>
        <v>0</v>
      </c>
      <c r="O1230" s="528">
        <f>IF(E1230="STL",0,IF($F1230&gt;0,$F1230*Pricing!$D$17,0))</f>
        <v>0</v>
      </c>
      <c r="P1230" s="530" t="str">
        <f t="shared" si="516"/>
        <v/>
      </c>
      <c r="Q1230" s="531" t="str">
        <f>IF($A1230="","",$G1230/VLOOKUP($I1230,Ref!$B$23:$D$29,2,0))</f>
        <v/>
      </c>
      <c r="R1230" s="530" t="str">
        <f t="shared" si="517"/>
        <v/>
      </c>
      <c r="S1230" s="532" t="str">
        <f t="shared" si="511"/>
        <v/>
      </c>
      <c r="T1230" s="531" t="str">
        <f t="shared" si="518"/>
        <v/>
      </c>
      <c r="U1230" s="533">
        <f t="shared" si="519"/>
        <v>0</v>
      </c>
      <c r="V1230" s="531" t="str">
        <f t="shared" si="520"/>
        <v/>
      </c>
      <c r="W1230" s="531" t="str">
        <f t="shared" si="521"/>
        <v/>
      </c>
      <c r="X1230" s="534" t="str">
        <f t="shared" si="522"/>
        <v/>
      </c>
      <c r="Y1230" s="535" t="str">
        <f>IF($A1230="","",IF($I1230="weekly",$A1230+7,EDATE($A1230,VLOOKUP($I1230,Ref!$B$24:$C$29,2,0))))</f>
        <v/>
      </c>
      <c r="Z1230" s="536" t="str">
        <f t="shared" si="523"/>
        <v/>
      </c>
      <c r="AA1230" s="531">
        <f t="shared" si="524"/>
        <v>0</v>
      </c>
      <c r="AB1230" s="535" t="str">
        <f t="shared" si="512"/>
        <v/>
      </c>
      <c r="AC1230" s="537" t="str">
        <f t="shared" si="513"/>
        <v/>
      </c>
      <c r="AD1230" s="538" t="str">
        <f t="shared" ca="1" si="514"/>
        <v/>
      </c>
      <c r="AE1230" s="537">
        <f t="shared" ca="1" si="515"/>
        <v>0</v>
      </c>
      <c r="AF1230" s="539" t="str">
        <f t="shared" ca="1" si="525"/>
        <v/>
      </c>
      <c r="AG1230" s="531" t="str">
        <f t="shared" ca="1" si="526"/>
        <v/>
      </c>
      <c r="AH1230" s="531" t="str">
        <f t="shared" ca="1" si="527"/>
        <v/>
      </c>
      <c r="AI1230" s="531" t="str">
        <f t="shared" ca="1" si="528"/>
        <v/>
      </c>
      <c r="AJ1230" s="531" t="str">
        <f t="shared" si="529"/>
        <v/>
      </c>
      <c r="AK1230" s="540">
        <f>SUMIFS('Live Collections'!$S:$S,'Live Collections'!$D:$D,Disbursements!B1230,'Live Collections'!$G:$G,Disbursements!C1230)</f>
        <v>0</v>
      </c>
      <c r="AL1230" s="540">
        <f>SUMIFS('Live Collections'!$T:$T,'Live Collections'!$D:$D,Disbursements!B1230,'Live Collections'!$G:$G,Disbursements!C1230)</f>
        <v>0</v>
      </c>
      <c r="AM1230" s="541">
        <f t="shared" si="530"/>
        <v>0</v>
      </c>
      <c r="AN1230" s="542" t="str">
        <f t="shared" si="531"/>
        <v/>
      </c>
      <c r="AO1230" s="542" t="str">
        <f t="shared" si="532"/>
        <v/>
      </c>
      <c r="AP1230" s="543" t="str">
        <f t="shared" si="533"/>
        <v/>
      </c>
      <c r="AQ1230" s="544" t="str">
        <f t="shared" si="534"/>
        <v/>
      </c>
      <c r="AR1230" s="545">
        <f t="shared" si="535"/>
        <v>0</v>
      </c>
      <c r="AS1230" s="545">
        <f>IFERROR(CEILING($AR1230*VLOOKUP($I1230,Ref!$B$23:$E$29,4,0),1),0)</f>
        <v>0</v>
      </c>
      <c r="AT1230" s="545" t="str">
        <f>IF(A1230="","",IF(AP1230&lt;=1,"Cleared",IF(AS1230=0,"Clean",VLOOKUP($AS1230,Ref!$G$23:$H$28,2))))</f>
        <v/>
      </c>
      <c r="AU1230" s="546" t="str">
        <f t="shared" si="536"/>
        <v/>
      </c>
    </row>
    <row r="1231" spans="1:47" ht="14.25" hidden="1" customHeight="1" x14ac:dyDescent="0.15">
      <c r="A1231" s="523"/>
      <c r="B1231" s="523"/>
      <c r="C1231" s="523"/>
      <c r="D1231" s="523"/>
      <c r="E1231" s="579"/>
      <c r="F1231" s="580"/>
      <c r="G1231" s="524"/>
      <c r="H1231" s="555"/>
      <c r="I1231" s="560"/>
      <c r="J1231" s="523"/>
      <c r="K1231" s="528" t="str">
        <f>IFERROR(VLOOKUP($B1231,'Clients-Live'!$A:$C,3,0),"")</f>
        <v/>
      </c>
      <c r="L1231" s="528">
        <f>IF(E1231="STL",Pricing!$D$38,IF(A1231="",0,IF(A1231&lt;Pricing!$C$25,Pricing!$D$25,VLOOKUP(Disbursements!$F1231,Pricing!$B$29:$D$32,3))))</f>
        <v>0</v>
      </c>
      <c r="M1231" s="528">
        <f>IF(E1231="STL",0,IF(F1231&gt;0,Pricing!$D$21,0))</f>
        <v>0</v>
      </c>
      <c r="N1231" s="529">
        <f>IF(E1231="STL",F1231*Pricing!$D$40,IF(A1231&lt;=Pricing!$C$4,0,IF(AND(A1231&gt;Pricing!$C$4,Disbursements!A1231&lt;=Pricing!$C$5),F1231*Pricing!$E$5,IF(AND(A1231&gt;Pricing!$C$5,Disbursements!A1231&lt;=Pricing!$C$7),VLOOKUP(F1231,Pricing!$D$7:$E$8,2)*Disbursements!F1231,F1231*Pricing!$E$9))))</f>
        <v>0</v>
      </c>
      <c r="O1231" s="528">
        <f>IF(E1231="STL",0,IF($F1231&gt;0,$F1231*Pricing!$D$17,0))</f>
        <v>0</v>
      </c>
      <c r="P1231" s="530" t="str">
        <f t="shared" si="516"/>
        <v/>
      </c>
      <c r="Q1231" s="531" t="str">
        <f>IF($A1231="","",$G1231/VLOOKUP($I1231,Ref!$B$23:$D$29,2,0))</f>
        <v/>
      </c>
      <c r="R1231" s="530" t="str">
        <f t="shared" si="517"/>
        <v/>
      </c>
      <c r="S1231" s="532" t="str">
        <f t="shared" si="511"/>
        <v/>
      </c>
      <c r="T1231" s="531" t="str">
        <f t="shared" si="518"/>
        <v/>
      </c>
      <c r="U1231" s="533">
        <f t="shared" si="519"/>
        <v>0</v>
      </c>
      <c r="V1231" s="531" t="str">
        <f t="shared" si="520"/>
        <v/>
      </c>
      <c r="W1231" s="531" t="str">
        <f t="shared" si="521"/>
        <v/>
      </c>
      <c r="X1231" s="534" t="str">
        <f t="shared" si="522"/>
        <v/>
      </c>
      <c r="Y1231" s="535" t="str">
        <f>IF($A1231="","",IF($I1231="weekly",$A1231+7,EDATE($A1231,VLOOKUP($I1231,Ref!$B$24:$C$29,2,0))))</f>
        <v/>
      </c>
      <c r="Z1231" s="536" t="str">
        <f t="shared" si="523"/>
        <v/>
      </c>
      <c r="AA1231" s="531">
        <f t="shared" si="524"/>
        <v>0</v>
      </c>
      <c r="AB1231" s="535" t="str">
        <f t="shared" si="512"/>
        <v/>
      </c>
      <c r="AC1231" s="537" t="str">
        <f t="shared" si="513"/>
        <v/>
      </c>
      <c r="AD1231" s="538" t="str">
        <f t="shared" ca="1" si="514"/>
        <v/>
      </c>
      <c r="AE1231" s="537">
        <f t="shared" ca="1" si="515"/>
        <v>0</v>
      </c>
      <c r="AF1231" s="539" t="str">
        <f t="shared" ca="1" si="525"/>
        <v/>
      </c>
      <c r="AG1231" s="531" t="str">
        <f t="shared" ca="1" si="526"/>
        <v/>
      </c>
      <c r="AH1231" s="531" t="str">
        <f t="shared" ca="1" si="527"/>
        <v/>
      </c>
      <c r="AI1231" s="531" t="str">
        <f t="shared" ca="1" si="528"/>
        <v/>
      </c>
      <c r="AJ1231" s="531" t="str">
        <f t="shared" si="529"/>
        <v/>
      </c>
      <c r="AK1231" s="540">
        <f>SUMIFS('Live Collections'!$S:$S,'Live Collections'!$D:$D,Disbursements!B1231,'Live Collections'!$G:$G,Disbursements!C1231)</f>
        <v>0</v>
      </c>
      <c r="AL1231" s="540">
        <f>SUMIFS('Live Collections'!$T:$T,'Live Collections'!$D:$D,Disbursements!B1231,'Live Collections'!$G:$G,Disbursements!C1231)</f>
        <v>0</v>
      </c>
      <c r="AM1231" s="541">
        <f t="shared" si="530"/>
        <v>0</v>
      </c>
      <c r="AN1231" s="542" t="str">
        <f t="shared" si="531"/>
        <v/>
      </c>
      <c r="AO1231" s="542" t="str">
        <f t="shared" si="532"/>
        <v/>
      </c>
      <c r="AP1231" s="543" t="str">
        <f t="shared" si="533"/>
        <v/>
      </c>
      <c r="AQ1231" s="544" t="str">
        <f t="shared" si="534"/>
        <v/>
      </c>
      <c r="AR1231" s="545">
        <f t="shared" si="535"/>
        <v>0</v>
      </c>
      <c r="AS1231" s="545">
        <f>IFERROR(CEILING($AR1231*VLOOKUP($I1231,Ref!$B$23:$E$29,4,0),1),0)</f>
        <v>0</v>
      </c>
      <c r="AT1231" s="545" t="str">
        <f>IF(A1231="","",IF(AP1231&lt;=1,"Cleared",IF(AS1231=0,"Clean",VLOOKUP($AS1231,Ref!$G$23:$H$28,2))))</f>
        <v/>
      </c>
      <c r="AU1231" s="546" t="str">
        <f t="shared" si="536"/>
        <v/>
      </c>
    </row>
    <row r="1232" spans="1:47" ht="14.25" hidden="1" customHeight="1" x14ac:dyDescent="0.15">
      <c r="A1232" s="523"/>
      <c r="B1232" s="523"/>
      <c r="C1232" s="523"/>
      <c r="D1232" s="523"/>
      <c r="E1232" s="579"/>
      <c r="F1232" s="580"/>
      <c r="G1232" s="524"/>
      <c r="H1232" s="555"/>
      <c r="I1232" s="560"/>
      <c r="J1232" s="523"/>
      <c r="K1232" s="528" t="str">
        <f>IFERROR(VLOOKUP($B1232,'Clients-Live'!$A:$C,3,0),"")</f>
        <v/>
      </c>
      <c r="L1232" s="528">
        <f>IF(E1232="STL",Pricing!$D$38,IF(A1232="",0,IF(A1232&lt;Pricing!$C$25,Pricing!$D$25,VLOOKUP(Disbursements!$F1232,Pricing!$B$29:$D$32,3))))</f>
        <v>0</v>
      </c>
      <c r="M1232" s="528">
        <f>IF(E1232="STL",0,IF(F1232&gt;0,Pricing!$D$21,0))</f>
        <v>0</v>
      </c>
      <c r="N1232" s="529">
        <f>IF(E1232="STL",F1232*Pricing!$D$40,IF(A1232&lt;=Pricing!$C$4,0,IF(AND(A1232&gt;Pricing!$C$4,Disbursements!A1232&lt;=Pricing!$C$5),F1232*Pricing!$E$5,IF(AND(A1232&gt;Pricing!$C$5,Disbursements!A1232&lt;=Pricing!$C$7),VLOOKUP(F1232,Pricing!$D$7:$E$8,2)*Disbursements!F1232,F1232*Pricing!$E$9))))</f>
        <v>0</v>
      </c>
      <c r="O1232" s="528">
        <f>IF(E1232="STL",0,IF($F1232&gt;0,$F1232*Pricing!$D$17,0))</f>
        <v>0</v>
      </c>
      <c r="P1232" s="530" t="str">
        <f t="shared" si="516"/>
        <v/>
      </c>
      <c r="Q1232" s="531" t="str">
        <f>IF($A1232="","",$G1232/VLOOKUP($I1232,Ref!$B$23:$D$29,2,0))</f>
        <v/>
      </c>
      <c r="R1232" s="530" t="str">
        <f t="shared" si="517"/>
        <v/>
      </c>
      <c r="S1232" s="532" t="str">
        <f t="shared" si="511"/>
        <v/>
      </c>
      <c r="T1232" s="531" t="str">
        <f t="shared" si="518"/>
        <v/>
      </c>
      <c r="U1232" s="533">
        <f t="shared" si="519"/>
        <v>0</v>
      </c>
      <c r="V1232" s="531" t="str">
        <f t="shared" si="520"/>
        <v/>
      </c>
      <c r="W1232" s="531" t="str">
        <f t="shared" si="521"/>
        <v/>
      </c>
      <c r="X1232" s="534" t="str">
        <f t="shared" si="522"/>
        <v/>
      </c>
      <c r="Y1232" s="535" t="str">
        <f>IF($A1232="","",IF($I1232="weekly",$A1232+7,EDATE($A1232,VLOOKUP($I1232,Ref!$B$24:$C$29,2,0))))</f>
        <v/>
      </c>
      <c r="Z1232" s="536" t="str">
        <f t="shared" si="523"/>
        <v/>
      </c>
      <c r="AA1232" s="531">
        <f t="shared" si="524"/>
        <v>0</v>
      </c>
      <c r="AB1232" s="535" t="str">
        <f t="shared" si="512"/>
        <v/>
      </c>
      <c r="AC1232" s="537" t="str">
        <f t="shared" si="513"/>
        <v/>
      </c>
      <c r="AD1232" s="538" t="str">
        <f t="shared" ca="1" si="514"/>
        <v/>
      </c>
      <c r="AE1232" s="537">
        <f t="shared" ca="1" si="515"/>
        <v>0</v>
      </c>
      <c r="AF1232" s="539" t="str">
        <f t="shared" ca="1" si="525"/>
        <v/>
      </c>
      <c r="AG1232" s="531" t="str">
        <f t="shared" ca="1" si="526"/>
        <v/>
      </c>
      <c r="AH1232" s="531" t="str">
        <f t="shared" ca="1" si="527"/>
        <v/>
      </c>
      <c r="AI1232" s="531" t="str">
        <f t="shared" ca="1" si="528"/>
        <v/>
      </c>
      <c r="AJ1232" s="531" t="str">
        <f t="shared" si="529"/>
        <v/>
      </c>
      <c r="AK1232" s="540">
        <f>SUMIFS('Live Collections'!$S:$S,'Live Collections'!$D:$D,Disbursements!B1232,'Live Collections'!$G:$G,Disbursements!C1232)</f>
        <v>0</v>
      </c>
      <c r="AL1232" s="540">
        <f>SUMIFS('Live Collections'!$T:$T,'Live Collections'!$D:$D,Disbursements!B1232,'Live Collections'!$G:$G,Disbursements!C1232)</f>
        <v>0</v>
      </c>
      <c r="AM1232" s="541">
        <f t="shared" si="530"/>
        <v>0</v>
      </c>
      <c r="AN1232" s="542" t="str">
        <f t="shared" si="531"/>
        <v/>
      </c>
      <c r="AO1232" s="542" t="str">
        <f t="shared" si="532"/>
        <v/>
      </c>
      <c r="AP1232" s="543" t="str">
        <f t="shared" si="533"/>
        <v/>
      </c>
      <c r="AQ1232" s="544" t="str">
        <f t="shared" si="534"/>
        <v/>
      </c>
      <c r="AR1232" s="545">
        <f t="shared" si="535"/>
        <v>0</v>
      </c>
      <c r="AS1232" s="545">
        <f>IFERROR(CEILING($AR1232*VLOOKUP($I1232,Ref!$B$23:$E$29,4,0),1),0)</f>
        <v>0</v>
      </c>
      <c r="AT1232" s="545" t="str">
        <f>IF(A1232="","",IF(AP1232&lt;=1,"Cleared",IF(AS1232=0,"Clean",VLOOKUP($AS1232,Ref!$G$23:$H$28,2))))</f>
        <v/>
      </c>
      <c r="AU1232" s="546" t="str">
        <f t="shared" si="536"/>
        <v/>
      </c>
    </row>
    <row r="1233" spans="1:47" ht="14.25" hidden="1" customHeight="1" x14ac:dyDescent="0.15">
      <c r="A1233" s="523"/>
      <c r="B1233" s="523"/>
      <c r="C1233" s="523"/>
      <c r="D1233" s="523"/>
      <c r="E1233" s="579"/>
      <c r="F1233" s="580"/>
      <c r="G1233" s="524"/>
      <c r="H1233" s="555"/>
      <c r="I1233" s="560"/>
      <c r="J1233" s="523"/>
      <c r="K1233" s="528" t="str">
        <f>IFERROR(VLOOKUP($B1233,'Clients-Live'!$A:$C,3,0),"")</f>
        <v/>
      </c>
      <c r="L1233" s="528">
        <f>IF(E1233="STL",Pricing!$D$38,IF(A1233="",0,IF(A1233&lt;Pricing!$C$25,Pricing!$D$25,VLOOKUP(Disbursements!$F1233,Pricing!$B$29:$D$32,3))))</f>
        <v>0</v>
      </c>
      <c r="M1233" s="528">
        <f>IF(E1233="STL",0,IF(F1233&gt;0,Pricing!$D$21,0))</f>
        <v>0</v>
      </c>
      <c r="N1233" s="529">
        <f>IF(E1233="STL",F1233*Pricing!$D$40,IF(A1233&lt;=Pricing!$C$4,0,IF(AND(A1233&gt;Pricing!$C$4,Disbursements!A1233&lt;=Pricing!$C$5),F1233*Pricing!$E$5,IF(AND(A1233&gt;Pricing!$C$5,Disbursements!A1233&lt;=Pricing!$C$7),VLOOKUP(F1233,Pricing!$D$7:$E$8,2)*Disbursements!F1233,F1233*Pricing!$E$9))))</f>
        <v>0</v>
      </c>
      <c r="O1233" s="528">
        <f>IF(E1233="STL",0,IF($F1233&gt;0,$F1233*Pricing!$D$17,0))</f>
        <v>0</v>
      </c>
      <c r="P1233" s="530" t="str">
        <f t="shared" si="516"/>
        <v/>
      </c>
      <c r="Q1233" s="531" t="str">
        <f>IF($A1233="","",$G1233/VLOOKUP($I1233,Ref!$B$23:$D$29,2,0))</f>
        <v/>
      </c>
      <c r="R1233" s="530" t="str">
        <f t="shared" si="517"/>
        <v/>
      </c>
      <c r="S1233" s="532" t="str">
        <f t="shared" si="511"/>
        <v/>
      </c>
      <c r="T1233" s="531" t="str">
        <f t="shared" si="518"/>
        <v/>
      </c>
      <c r="U1233" s="533">
        <f t="shared" si="519"/>
        <v>0</v>
      </c>
      <c r="V1233" s="531" t="str">
        <f t="shared" si="520"/>
        <v/>
      </c>
      <c r="W1233" s="531" t="str">
        <f t="shared" si="521"/>
        <v/>
      </c>
      <c r="X1233" s="534" t="str">
        <f t="shared" si="522"/>
        <v/>
      </c>
      <c r="Y1233" s="535" t="str">
        <f>IF($A1233="","",IF($I1233="weekly",$A1233+7,EDATE($A1233,VLOOKUP($I1233,Ref!$B$24:$C$29,2,0))))</f>
        <v/>
      </c>
      <c r="Z1233" s="536" t="str">
        <f t="shared" si="523"/>
        <v/>
      </c>
      <c r="AA1233" s="531">
        <f t="shared" si="524"/>
        <v>0</v>
      </c>
      <c r="AB1233" s="535" t="str">
        <f t="shared" si="512"/>
        <v/>
      </c>
      <c r="AC1233" s="537" t="str">
        <f t="shared" si="513"/>
        <v/>
      </c>
      <c r="AD1233" s="538" t="str">
        <f t="shared" ca="1" si="514"/>
        <v/>
      </c>
      <c r="AE1233" s="537">
        <f t="shared" ca="1" si="515"/>
        <v>0</v>
      </c>
      <c r="AF1233" s="539" t="str">
        <f t="shared" ca="1" si="525"/>
        <v/>
      </c>
      <c r="AG1233" s="531" t="str">
        <f t="shared" ca="1" si="526"/>
        <v/>
      </c>
      <c r="AH1233" s="531" t="str">
        <f t="shared" ca="1" si="527"/>
        <v/>
      </c>
      <c r="AI1233" s="531" t="str">
        <f t="shared" ca="1" si="528"/>
        <v/>
      </c>
      <c r="AJ1233" s="531" t="str">
        <f t="shared" si="529"/>
        <v/>
      </c>
      <c r="AK1233" s="540">
        <f>SUMIFS('Live Collections'!$S:$S,'Live Collections'!$D:$D,Disbursements!B1233,'Live Collections'!$G:$G,Disbursements!C1233)</f>
        <v>0</v>
      </c>
      <c r="AL1233" s="540">
        <f>SUMIFS('Live Collections'!$T:$T,'Live Collections'!$D:$D,Disbursements!B1233,'Live Collections'!$G:$G,Disbursements!C1233)</f>
        <v>0</v>
      </c>
      <c r="AM1233" s="541">
        <f t="shared" si="530"/>
        <v>0</v>
      </c>
      <c r="AN1233" s="542" t="str">
        <f t="shared" si="531"/>
        <v/>
      </c>
      <c r="AO1233" s="542" t="str">
        <f t="shared" si="532"/>
        <v/>
      </c>
      <c r="AP1233" s="543" t="str">
        <f t="shared" si="533"/>
        <v/>
      </c>
      <c r="AQ1233" s="544" t="str">
        <f t="shared" si="534"/>
        <v/>
      </c>
      <c r="AR1233" s="545">
        <f t="shared" si="535"/>
        <v>0</v>
      </c>
      <c r="AS1233" s="545">
        <f>IFERROR(CEILING($AR1233*VLOOKUP($I1233,Ref!$B$23:$E$29,4,0),1),0)</f>
        <v>0</v>
      </c>
      <c r="AT1233" s="545" t="str">
        <f>IF(A1233="","",IF(AP1233&lt;=1,"Cleared",IF(AS1233=0,"Clean",VLOOKUP($AS1233,Ref!$G$23:$H$28,2))))</f>
        <v/>
      </c>
      <c r="AU1233" s="546" t="str">
        <f t="shared" si="536"/>
        <v/>
      </c>
    </row>
    <row r="1234" spans="1:47" ht="14.25" hidden="1" customHeight="1" x14ac:dyDescent="0.15">
      <c r="A1234" s="523"/>
      <c r="B1234" s="523"/>
      <c r="C1234" s="523"/>
      <c r="D1234" s="523"/>
      <c r="E1234" s="579"/>
      <c r="F1234" s="580"/>
      <c r="G1234" s="524"/>
      <c r="H1234" s="555"/>
      <c r="I1234" s="560"/>
      <c r="J1234" s="523"/>
      <c r="K1234" s="528" t="str">
        <f>IFERROR(VLOOKUP($B1234,'Clients-Live'!$A:$C,3,0),"")</f>
        <v/>
      </c>
      <c r="L1234" s="528">
        <f>IF(E1234="STL",Pricing!$D$38,IF(A1234="",0,IF(A1234&lt;Pricing!$C$25,Pricing!$D$25,VLOOKUP(Disbursements!$F1234,Pricing!$B$29:$D$32,3))))</f>
        <v>0</v>
      </c>
      <c r="M1234" s="528">
        <f>IF(E1234="STL",0,IF(F1234&gt;0,Pricing!$D$21,0))</f>
        <v>0</v>
      </c>
      <c r="N1234" s="529">
        <f>IF(E1234="STL",F1234*Pricing!$D$40,IF(A1234&lt;=Pricing!$C$4,0,IF(AND(A1234&gt;Pricing!$C$4,Disbursements!A1234&lt;=Pricing!$C$5),F1234*Pricing!$E$5,IF(AND(A1234&gt;Pricing!$C$5,Disbursements!A1234&lt;=Pricing!$C$7),VLOOKUP(F1234,Pricing!$D$7:$E$8,2)*Disbursements!F1234,F1234*Pricing!$E$9))))</f>
        <v>0</v>
      </c>
      <c r="O1234" s="528">
        <f>IF(E1234="STL",0,IF($F1234&gt;0,$F1234*Pricing!$D$17,0))</f>
        <v>0</v>
      </c>
      <c r="P1234" s="530" t="str">
        <f t="shared" si="516"/>
        <v/>
      </c>
      <c r="Q1234" s="531" t="str">
        <f>IF($A1234="","",$G1234/VLOOKUP($I1234,Ref!$B$23:$D$29,2,0))</f>
        <v/>
      </c>
      <c r="R1234" s="530" t="str">
        <f t="shared" si="517"/>
        <v/>
      </c>
      <c r="S1234" s="532" t="str">
        <f t="shared" si="511"/>
        <v/>
      </c>
      <c r="T1234" s="531" t="str">
        <f t="shared" si="518"/>
        <v/>
      </c>
      <c r="U1234" s="533">
        <f t="shared" si="519"/>
        <v>0</v>
      </c>
      <c r="V1234" s="531" t="str">
        <f t="shared" si="520"/>
        <v/>
      </c>
      <c r="W1234" s="531" t="str">
        <f t="shared" si="521"/>
        <v/>
      </c>
      <c r="X1234" s="534" t="str">
        <f t="shared" si="522"/>
        <v/>
      </c>
      <c r="Y1234" s="535" t="str">
        <f>IF($A1234="","",IF($I1234="weekly",$A1234+7,EDATE($A1234,VLOOKUP($I1234,Ref!$B$24:$C$29,2,0))))</f>
        <v/>
      </c>
      <c r="Z1234" s="536" t="str">
        <f t="shared" si="523"/>
        <v/>
      </c>
      <c r="AA1234" s="531">
        <f t="shared" si="524"/>
        <v>0</v>
      </c>
      <c r="AB1234" s="535" t="str">
        <f t="shared" si="512"/>
        <v/>
      </c>
      <c r="AC1234" s="537" t="str">
        <f t="shared" si="513"/>
        <v/>
      </c>
      <c r="AD1234" s="538" t="str">
        <f t="shared" ca="1" si="514"/>
        <v/>
      </c>
      <c r="AE1234" s="537">
        <f t="shared" ca="1" si="515"/>
        <v>0</v>
      </c>
      <c r="AF1234" s="539" t="str">
        <f t="shared" ca="1" si="525"/>
        <v/>
      </c>
      <c r="AG1234" s="531" t="str">
        <f t="shared" ca="1" si="526"/>
        <v/>
      </c>
      <c r="AH1234" s="531" t="str">
        <f t="shared" ca="1" si="527"/>
        <v/>
      </c>
      <c r="AI1234" s="531" t="str">
        <f t="shared" ca="1" si="528"/>
        <v/>
      </c>
      <c r="AJ1234" s="531" t="str">
        <f t="shared" si="529"/>
        <v/>
      </c>
      <c r="AK1234" s="540">
        <f>SUMIFS('Live Collections'!$S:$S,'Live Collections'!$D:$D,Disbursements!B1234,'Live Collections'!$G:$G,Disbursements!C1234)</f>
        <v>0</v>
      </c>
      <c r="AL1234" s="540">
        <f>SUMIFS('Live Collections'!$T:$T,'Live Collections'!$D:$D,Disbursements!B1234,'Live Collections'!$G:$G,Disbursements!C1234)</f>
        <v>0</v>
      </c>
      <c r="AM1234" s="541">
        <f t="shared" si="530"/>
        <v>0</v>
      </c>
      <c r="AN1234" s="542" t="str">
        <f t="shared" si="531"/>
        <v/>
      </c>
      <c r="AO1234" s="542" t="str">
        <f t="shared" si="532"/>
        <v/>
      </c>
      <c r="AP1234" s="543" t="str">
        <f t="shared" si="533"/>
        <v/>
      </c>
      <c r="AQ1234" s="544" t="str">
        <f t="shared" si="534"/>
        <v/>
      </c>
      <c r="AR1234" s="545">
        <f t="shared" si="535"/>
        <v>0</v>
      </c>
      <c r="AS1234" s="545">
        <f>IFERROR(CEILING($AR1234*VLOOKUP($I1234,Ref!$B$23:$E$29,4,0),1),0)</f>
        <v>0</v>
      </c>
      <c r="AT1234" s="545" t="str">
        <f>IF(A1234="","",IF(AP1234&lt;=1,"Cleared",IF(AS1234=0,"Clean",VLOOKUP($AS1234,Ref!$G$23:$H$28,2))))</f>
        <v/>
      </c>
      <c r="AU1234" s="546" t="str">
        <f t="shared" si="536"/>
        <v/>
      </c>
    </row>
    <row r="1235" spans="1:47" ht="14.25" hidden="1" customHeight="1" x14ac:dyDescent="0.15">
      <c r="A1235" s="523"/>
      <c r="B1235" s="523"/>
      <c r="C1235" s="523"/>
      <c r="D1235" s="523"/>
      <c r="E1235" s="579"/>
      <c r="F1235" s="580"/>
      <c r="G1235" s="524"/>
      <c r="H1235" s="555"/>
      <c r="I1235" s="560"/>
      <c r="J1235" s="523"/>
      <c r="K1235" s="528" t="str">
        <f>IFERROR(VLOOKUP($B1235,'Clients-Live'!$A:$C,3,0),"")</f>
        <v/>
      </c>
      <c r="L1235" s="528">
        <f>IF(E1235="STL",Pricing!$D$38,IF(A1235="",0,IF(A1235&lt;Pricing!$C$25,Pricing!$D$25,VLOOKUP(Disbursements!$F1235,Pricing!$B$29:$D$32,3))))</f>
        <v>0</v>
      </c>
      <c r="M1235" s="528">
        <f>IF(E1235="STL",0,IF(F1235&gt;0,Pricing!$D$21,0))</f>
        <v>0</v>
      </c>
      <c r="N1235" s="529">
        <f>IF(E1235="STL",F1235*Pricing!$D$40,IF(A1235&lt;=Pricing!$C$4,0,IF(AND(A1235&gt;Pricing!$C$4,Disbursements!A1235&lt;=Pricing!$C$5),F1235*Pricing!$E$5,IF(AND(A1235&gt;Pricing!$C$5,Disbursements!A1235&lt;=Pricing!$C$7),VLOOKUP(F1235,Pricing!$D$7:$E$8,2)*Disbursements!F1235,F1235*Pricing!$E$9))))</f>
        <v>0</v>
      </c>
      <c r="O1235" s="528">
        <f>IF(E1235="STL",0,IF($F1235&gt;0,$F1235*Pricing!$D$17,0))</f>
        <v>0</v>
      </c>
      <c r="P1235" s="530" t="str">
        <f t="shared" si="516"/>
        <v/>
      </c>
      <c r="Q1235" s="531" t="str">
        <f>IF($A1235="","",$G1235/VLOOKUP($I1235,Ref!$B$23:$D$29,2,0))</f>
        <v/>
      </c>
      <c r="R1235" s="530" t="str">
        <f t="shared" si="517"/>
        <v/>
      </c>
      <c r="S1235" s="532" t="str">
        <f t="shared" si="511"/>
        <v/>
      </c>
      <c r="T1235" s="531" t="str">
        <f t="shared" si="518"/>
        <v/>
      </c>
      <c r="U1235" s="533">
        <f t="shared" si="519"/>
        <v>0</v>
      </c>
      <c r="V1235" s="531" t="str">
        <f t="shared" si="520"/>
        <v/>
      </c>
      <c r="W1235" s="531" t="str">
        <f t="shared" si="521"/>
        <v/>
      </c>
      <c r="X1235" s="534" t="str">
        <f t="shared" si="522"/>
        <v/>
      </c>
      <c r="Y1235" s="535" t="str">
        <f>IF($A1235="","",IF($I1235="weekly",$A1235+7,EDATE($A1235,VLOOKUP($I1235,Ref!$B$24:$C$29,2,0))))</f>
        <v/>
      </c>
      <c r="Z1235" s="536" t="str">
        <f t="shared" si="523"/>
        <v/>
      </c>
      <c r="AA1235" s="531">
        <f t="shared" si="524"/>
        <v>0</v>
      </c>
      <c r="AB1235" s="535" t="str">
        <f t="shared" si="512"/>
        <v/>
      </c>
      <c r="AC1235" s="537" t="str">
        <f t="shared" si="513"/>
        <v/>
      </c>
      <c r="AD1235" s="538" t="str">
        <f t="shared" ca="1" si="514"/>
        <v/>
      </c>
      <c r="AE1235" s="537">
        <f t="shared" ca="1" si="515"/>
        <v>0</v>
      </c>
      <c r="AF1235" s="539" t="str">
        <f t="shared" ca="1" si="525"/>
        <v/>
      </c>
      <c r="AG1235" s="531" t="str">
        <f t="shared" ca="1" si="526"/>
        <v/>
      </c>
      <c r="AH1235" s="531" t="str">
        <f t="shared" ca="1" si="527"/>
        <v/>
      </c>
      <c r="AI1235" s="531" t="str">
        <f t="shared" ca="1" si="528"/>
        <v/>
      </c>
      <c r="AJ1235" s="531" t="str">
        <f t="shared" si="529"/>
        <v/>
      </c>
      <c r="AK1235" s="540">
        <f>SUMIFS('Live Collections'!$S:$S,'Live Collections'!$D:$D,Disbursements!B1235,'Live Collections'!$G:$G,Disbursements!C1235)</f>
        <v>0</v>
      </c>
      <c r="AL1235" s="540">
        <f>SUMIFS('Live Collections'!$T:$T,'Live Collections'!$D:$D,Disbursements!B1235,'Live Collections'!$G:$G,Disbursements!C1235)</f>
        <v>0</v>
      </c>
      <c r="AM1235" s="541">
        <f t="shared" si="530"/>
        <v>0</v>
      </c>
      <c r="AN1235" s="542" t="str">
        <f t="shared" si="531"/>
        <v/>
      </c>
      <c r="AO1235" s="542" t="str">
        <f t="shared" si="532"/>
        <v/>
      </c>
      <c r="AP1235" s="543" t="str">
        <f t="shared" si="533"/>
        <v/>
      </c>
      <c r="AQ1235" s="544" t="str">
        <f t="shared" si="534"/>
        <v/>
      </c>
      <c r="AR1235" s="545">
        <f t="shared" si="535"/>
        <v>0</v>
      </c>
      <c r="AS1235" s="545">
        <f>IFERROR(CEILING($AR1235*VLOOKUP($I1235,Ref!$B$23:$E$29,4,0),1),0)</f>
        <v>0</v>
      </c>
      <c r="AT1235" s="545" t="str">
        <f>IF(A1235="","",IF(AP1235&lt;=1,"Cleared",IF(AS1235=0,"Clean",VLOOKUP($AS1235,Ref!$G$23:$H$28,2))))</f>
        <v/>
      </c>
      <c r="AU1235" s="546" t="str">
        <f t="shared" si="536"/>
        <v/>
      </c>
    </row>
    <row r="1236" spans="1:47" ht="14.25" hidden="1" customHeight="1" x14ac:dyDescent="0.15">
      <c r="A1236" s="523"/>
      <c r="B1236" s="523"/>
      <c r="C1236" s="523"/>
      <c r="D1236" s="523"/>
      <c r="E1236" s="579"/>
      <c r="F1236" s="580"/>
      <c r="G1236" s="524"/>
      <c r="H1236" s="555"/>
      <c r="I1236" s="560"/>
      <c r="J1236" s="523"/>
      <c r="K1236" s="528" t="str">
        <f>IFERROR(VLOOKUP($B1236,'Clients-Live'!$A:$C,3,0),"")</f>
        <v/>
      </c>
      <c r="L1236" s="528">
        <f>IF(E1236="STL",Pricing!$D$38,IF(A1236="",0,IF(A1236&lt;Pricing!$C$25,Pricing!$D$25,VLOOKUP(Disbursements!$F1236,Pricing!$B$29:$D$32,3))))</f>
        <v>0</v>
      </c>
      <c r="M1236" s="528">
        <f>IF(E1236="STL",0,IF(F1236&gt;0,Pricing!$D$21,0))</f>
        <v>0</v>
      </c>
      <c r="N1236" s="529">
        <f>IF(E1236="STL",F1236*Pricing!$D$40,IF(A1236&lt;=Pricing!$C$4,0,IF(AND(A1236&gt;Pricing!$C$4,Disbursements!A1236&lt;=Pricing!$C$5),F1236*Pricing!$E$5,IF(AND(A1236&gt;Pricing!$C$5,Disbursements!A1236&lt;=Pricing!$C$7),VLOOKUP(F1236,Pricing!$D$7:$E$8,2)*Disbursements!F1236,F1236*Pricing!$E$9))))</f>
        <v>0</v>
      </c>
      <c r="O1236" s="528">
        <f>IF(E1236="STL",0,IF($F1236&gt;0,$F1236*Pricing!$D$17,0))</f>
        <v>0</v>
      </c>
      <c r="P1236" s="530" t="str">
        <f t="shared" si="516"/>
        <v/>
      </c>
      <c r="Q1236" s="531" t="str">
        <f>IF($A1236="","",$G1236/VLOOKUP($I1236,Ref!$B$23:$D$29,2,0))</f>
        <v/>
      </c>
      <c r="R1236" s="530" t="str">
        <f t="shared" si="517"/>
        <v/>
      </c>
      <c r="S1236" s="532" t="str">
        <f t="shared" si="511"/>
        <v/>
      </c>
      <c r="T1236" s="531" t="str">
        <f t="shared" si="518"/>
        <v/>
      </c>
      <c r="U1236" s="533">
        <f t="shared" si="519"/>
        <v>0</v>
      </c>
      <c r="V1236" s="531" t="str">
        <f t="shared" si="520"/>
        <v/>
      </c>
      <c r="W1236" s="531" t="str">
        <f t="shared" si="521"/>
        <v/>
      </c>
      <c r="X1236" s="534" t="str">
        <f t="shared" si="522"/>
        <v/>
      </c>
      <c r="Y1236" s="535" t="str">
        <f>IF($A1236="","",IF($I1236="weekly",$A1236+7,EDATE($A1236,VLOOKUP($I1236,Ref!$B$24:$C$29,2,0))))</f>
        <v/>
      </c>
      <c r="Z1236" s="536" t="str">
        <f t="shared" si="523"/>
        <v/>
      </c>
      <c r="AA1236" s="531">
        <f t="shared" si="524"/>
        <v>0</v>
      </c>
      <c r="AB1236" s="535" t="str">
        <f t="shared" si="512"/>
        <v/>
      </c>
      <c r="AC1236" s="537" t="str">
        <f t="shared" si="513"/>
        <v/>
      </c>
      <c r="AD1236" s="538" t="str">
        <f t="shared" ca="1" si="514"/>
        <v/>
      </c>
      <c r="AE1236" s="537">
        <f t="shared" ca="1" si="515"/>
        <v>0</v>
      </c>
      <c r="AF1236" s="539" t="str">
        <f t="shared" ca="1" si="525"/>
        <v/>
      </c>
      <c r="AG1236" s="531" t="str">
        <f t="shared" ca="1" si="526"/>
        <v/>
      </c>
      <c r="AH1236" s="531" t="str">
        <f t="shared" ca="1" si="527"/>
        <v/>
      </c>
      <c r="AI1236" s="531" t="str">
        <f t="shared" ca="1" si="528"/>
        <v/>
      </c>
      <c r="AJ1236" s="531" t="str">
        <f t="shared" si="529"/>
        <v/>
      </c>
      <c r="AK1236" s="540">
        <f>SUMIFS('Live Collections'!$S:$S,'Live Collections'!$D:$D,Disbursements!B1236,'Live Collections'!$G:$G,Disbursements!C1236)</f>
        <v>0</v>
      </c>
      <c r="AL1236" s="540">
        <f>SUMIFS('Live Collections'!$T:$T,'Live Collections'!$D:$D,Disbursements!B1236,'Live Collections'!$G:$G,Disbursements!C1236)</f>
        <v>0</v>
      </c>
      <c r="AM1236" s="541">
        <f t="shared" si="530"/>
        <v>0</v>
      </c>
      <c r="AN1236" s="542" t="str">
        <f t="shared" si="531"/>
        <v/>
      </c>
      <c r="AO1236" s="542" t="str">
        <f t="shared" si="532"/>
        <v/>
      </c>
      <c r="AP1236" s="543" t="str">
        <f t="shared" si="533"/>
        <v/>
      </c>
      <c r="AQ1236" s="544" t="str">
        <f t="shared" si="534"/>
        <v/>
      </c>
      <c r="AR1236" s="545">
        <f t="shared" si="535"/>
        <v>0</v>
      </c>
      <c r="AS1236" s="545">
        <f>IFERROR(CEILING($AR1236*VLOOKUP($I1236,Ref!$B$23:$E$29,4,0),1),0)</f>
        <v>0</v>
      </c>
      <c r="AT1236" s="545" t="str">
        <f>IF(A1236="","",IF(AP1236&lt;=1,"Cleared",IF(AS1236=0,"Clean",VLOOKUP($AS1236,Ref!$G$23:$H$28,2))))</f>
        <v/>
      </c>
      <c r="AU1236" s="546" t="str">
        <f t="shared" si="536"/>
        <v/>
      </c>
    </row>
    <row r="1237" spans="1:47" ht="14.25" hidden="1" customHeight="1" x14ac:dyDescent="0.15">
      <c r="A1237" s="523"/>
      <c r="B1237" s="523"/>
      <c r="C1237" s="523"/>
      <c r="D1237" s="523"/>
      <c r="E1237" s="579"/>
      <c r="F1237" s="580"/>
      <c r="G1237" s="524"/>
      <c r="H1237" s="555"/>
      <c r="I1237" s="560"/>
      <c r="J1237" s="523"/>
      <c r="K1237" s="528" t="str">
        <f>IFERROR(VLOOKUP($B1237,'Clients-Live'!$A:$C,3,0),"")</f>
        <v/>
      </c>
      <c r="L1237" s="528">
        <f>IF(E1237="STL",Pricing!$D$38,IF(A1237="",0,IF(A1237&lt;Pricing!$C$25,Pricing!$D$25,VLOOKUP(Disbursements!$F1237,Pricing!$B$29:$D$32,3))))</f>
        <v>0</v>
      </c>
      <c r="M1237" s="528">
        <f>IF(E1237="STL",0,IF(F1237&gt;0,Pricing!$D$21,0))</f>
        <v>0</v>
      </c>
      <c r="N1237" s="529">
        <f>IF(E1237="STL",F1237*Pricing!$D$40,IF(A1237&lt;=Pricing!$C$4,0,IF(AND(A1237&gt;Pricing!$C$4,Disbursements!A1237&lt;=Pricing!$C$5),F1237*Pricing!$E$5,IF(AND(A1237&gt;Pricing!$C$5,Disbursements!A1237&lt;=Pricing!$C$7),VLOOKUP(F1237,Pricing!$D$7:$E$8,2)*Disbursements!F1237,F1237*Pricing!$E$9))))</f>
        <v>0</v>
      </c>
      <c r="O1237" s="528">
        <f>IF(E1237="STL",0,IF($F1237&gt;0,$F1237*Pricing!$D$17,0))</f>
        <v>0</v>
      </c>
      <c r="P1237" s="530" t="str">
        <f t="shared" si="516"/>
        <v/>
      </c>
      <c r="Q1237" s="531" t="str">
        <f>IF($A1237="","",$G1237/VLOOKUP($I1237,Ref!$B$23:$D$29,2,0))</f>
        <v/>
      </c>
      <c r="R1237" s="530" t="str">
        <f t="shared" si="517"/>
        <v/>
      </c>
      <c r="S1237" s="532" t="str">
        <f t="shared" si="511"/>
        <v/>
      </c>
      <c r="T1237" s="531" t="str">
        <f t="shared" si="518"/>
        <v/>
      </c>
      <c r="U1237" s="533">
        <f t="shared" si="519"/>
        <v>0</v>
      </c>
      <c r="V1237" s="531" t="str">
        <f t="shared" si="520"/>
        <v/>
      </c>
      <c r="W1237" s="531" t="str">
        <f t="shared" si="521"/>
        <v/>
      </c>
      <c r="X1237" s="534" t="str">
        <f t="shared" si="522"/>
        <v/>
      </c>
      <c r="Y1237" s="535" t="str">
        <f>IF($A1237="","",IF($I1237="weekly",$A1237+7,EDATE($A1237,VLOOKUP($I1237,Ref!$B$24:$C$29,2,0))))</f>
        <v/>
      </c>
      <c r="Z1237" s="536" t="str">
        <f t="shared" si="523"/>
        <v/>
      </c>
      <c r="AA1237" s="531">
        <f t="shared" si="524"/>
        <v>0</v>
      </c>
      <c r="AB1237" s="535" t="str">
        <f t="shared" si="512"/>
        <v/>
      </c>
      <c r="AC1237" s="537" t="str">
        <f t="shared" si="513"/>
        <v/>
      </c>
      <c r="AD1237" s="538" t="str">
        <f t="shared" ca="1" si="514"/>
        <v/>
      </c>
      <c r="AE1237" s="537">
        <f t="shared" ca="1" si="515"/>
        <v>0</v>
      </c>
      <c r="AF1237" s="539" t="str">
        <f t="shared" ca="1" si="525"/>
        <v/>
      </c>
      <c r="AG1237" s="531" t="str">
        <f t="shared" ca="1" si="526"/>
        <v/>
      </c>
      <c r="AH1237" s="531" t="str">
        <f t="shared" ca="1" si="527"/>
        <v/>
      </c>
      <c r="AI1237" s="531" t="str">
        <f t="shared" ca="1" si="528"/>
        <v/>
      </c>
      <c r="AJ1237" s="531" t="str">
        <f t="shared" si="529"/>
        <v/>
      </c>
      <c r="AK1237" s="540">
        <f>SUMIFS('Live Collections'!$S:$S,'Live Collections'!$D:$D,Disbursements!B1237,'Live Collections'!$G:$G,Disbursements!C1237)</f>
        <v>0</v>
      </c>
      <c r="AL1237" s="540">
        <f>SUMIFS('Live Collections'!$T:$T,'Live Collections'!$D:$D,Disbursements!B1237,'Live Collections'!$G:$G,Disbursements!C1237)</f>
        <v>0</v>
      </c>
      <c r="AM1237" s="541">
        <f t="shared" si="530"/>
        <v>0</v>
      </c>
      <c r="AN1237" s="542" t="str">
        <f t="shared" si="531"/>
        <v/>
      </c>
      <c r="AO1237" s="542" t="str">
        <f t="shared" si="532"/>
        <v/>
      </c>
      <c r="AP1237" s="543" t="str">
        <f t="shared" si="533"/>
        <v/>
      </c>
      <c r="AQ1237" s="544" t="str">
        <f t="shared" si="534"/>
        <v/>
      </c>
      <c r="AR1237" s="545">
        <f t="shared" si="535"/>
        <v>0</v>
      </c>
      <c r="AS1237" s="545">
        <f>IFERROR(CEILING($AR1237*VLOOKUP($I1237,Ref!$B$23:$E$29,4,0),1),0)</f>
        <v>0</v>
      </c>
      <c r="AT1237" s="545" t="str">
        <f>IF(A1237="","",IF(AP1237&lt;=1,"Cleared",IF(AS1237=0,"Clean",VLOOKUP($AS1237,Ref!$G$23:$H$28,2))))</f>
        <v/>
      </c>
      <c r="AU1237" s="546" t="str">
        <f t="shared" si="536"/>
        <v/>
      </c>
    </row>
    <row r="1238" spans="1:47" ht="14.25" hidden="1" customHeight="1" x14ac:dyDescent="0.15">
      <c r="A1238" s="523"/>
      <c r="B1238" s="523"/>
      <c r="C1238" s="523"/>
      <c r="D1238" s="523"/>
      <c r="E1238" s="579"/>
      <c r="F1238" s="580"/>
      <c r="G1238" s="524"/>
      <c r="H1238" s="555"/>
      <c r="I1238" s="560"/>
      <c r="J1238" s="523"/>
      <c r="K1238" s="528" t="str">
        <f>IFERROR(VLOOKUP($B1238,'Clients-Live'!$A:$C,3,0),"")</f>
        <v/>
      </c>
      <c r="L1238" s="528">
        <f>IF(E1238="STL",Pricing!$D$38,IF(A1238="",0,IF(A1238&lt;Pricing!$C$25,Pricing!$D$25,VLOOKUP(Disbursements!$F1238,Pricing!$B$29:$D$32,3))))</f>
        <v>0</v>
      </c>
      <c r="M1238" s="528">
        <f>IF(E1238="STL",0,IF(F1238&gt;0,Pricing!$D$21,0))</f>
        <v>0</v>
      </c>
      <c r="N1238" s="529">
        <f>IF(E1238="STL",F1238*Pricing!$D$40,IF(A1238&lt;=Pricing!$C$4,0,IF(AND(A1238&gt;Pricing!$C$4,Disbursements!A1238&lt;=Pricing!$C$5),F1238*Pricing!$E$5,IF(AND(A1238&gt;Pricing!$C$5,Disbursements!A1238&lt;=Pricing!$C$7),VLOOKUP(F1238,Pricing!$D$7:$E$8,2)*Disbursements!F1238,F1238*Pricing!$E$9))))</f>
        <v>0</v>
      </c>
      <c r="O1238" s="528">
        <f>IF(E1238="STL",0,IF($F1238&gt;0,$F1238*Pricing!$D$17,0))</f>
        <v>0</v>
      </c>
      <c r="P1238" s="530" t="str">
        <f t="shared" si="516"/>
        <v/>
      </c>
      <c r="Q1238" s="531" t="str">
        <f>IF($A1238="","",$G1238/VLOOKUP($I1238,Ref!$B$23:$D$29,2,0))</f>
        <v/>
      </c>
      <c r="R1238" s="530" t="str">
        <f t="shared" si="517"/>
        <v/>
      </c>
      <c r="S1238" s="532" t="str">
        <f t="shared" si="511"/>
        <v/>
      </c>
      <c r="T1238" s="531" t="str">
        <f t="shared" si="518"/>
        <v/>
      </c>
      <c r="U1238" s="533">
        <f t="shared" si="519"/>
        <v>0</v>
      </c>
      <c r="V1238" s="531" t="str">
        <f t="shared" si="520"/>
        <v/>
      </c>
      <c r="W1238" s="531" t="str">
        <f t="shared" si="521"/>
        <v/>
      </c>
      <c r="X1238" s="534" t="str">
        <f t="shared" si="522"/>
        <v/>
      </c>
      <c r="Y1238" s="535" t="str">
        <f>IF($A1238="","",IF($I1238="weekly",$A1238+7,EDATE($A1238,VLOOKUP($I1238,Ref!$B$24:$C$29,2,0))))</f>
        <v/>
      </c>
      <c r="Z1238" s="536" t="str">
        <f t="shared" si="523"/>
        <v/>
      </c>
      <c r="AA1238" s="531">
        <f t="shared" si="524"/>
        <v>0</v>
      </c>
      <c r="AB1238" s="535" t="str">
        <f t="shared" si="512"/>
        <v/>
      </c>
      <c r="AC1238" s="537" t="str">
        <f t="shared" si="513"/>
        <v/>
      </c>
      <c r="AD1238" s="538" t="str">
        <f t="shared" ca="1" si="514"/>
        <v/>
      </c>
      <c r="AE1238" s="537">
        <f t="shared" ca="1" si="515"/>
        <v>0</v>
      </c>
      <c r="AF1238" s="539" t="str">
        <f t="shared" ca="1" si="525"/>
        <v/>
      </c>
      <c r="AG1238" s="531" t="str">
        <f t="shared" ca="1" si="526"/>
        <v/>
      </c>
      <c r="AH1238" s="531" t="str">
        <f t="shared" ca="1" si="527"/>
        <v/>
      </c>
      <c r="AI1238" s="531" t="str">
        <f t="shared" ca="1" si="528"/>
        <v/>
      </c>
      <c r="AJ1238" s="531" t="str">
        <f t="shared" si="529"/>
        <v/>
      </c>
      <c r="AK1238" s="540">
        <f>SUMIFS('Live Collections'!$S:$S,'Live Collections'!$D:$D,Disbursements!B1238,'Live Collections'!$G:$G,Disbursements!C1238)</f>
        <v>0</v>
      </c>
      <c r="AL1238" s="540">
        <f>SUMIFS('Live Collections'!$T:$T,'Live Collections'!$D:$D,Disbursements!B1238,'Live Collections'!$G:$G,Disbursements!C1238)</f>
        <v>0</v>
      </c>
      <c r="AM1238" s="541">
        <f t="shared" si="530"/>
        <v>0</v>
      </c>
      <c r="AN1238" s="542" t="str">
        <f t="shared" si="531"/>
        <v/>
      </c>
      <c r="AO1238" s="542" t="str">
        <f t="shared" si="532"/>
        <v/>
      </c>
      <c r="AP1238" s="543" t="str">
        <f t="shared" si="533"/>
        <v/>
      </c>
      <c r="AQ1238" s="544" t="str">
        <f t="shared" si="534"/>
        <v/>
      </c>
      <c r="AR1238" s="545">
        <f t="shared" si="535"/>
        <v>0</v>
      </c>
      <c r="AS1238" s="545">
        <f>IFERROR(CEILING($AR1238*VLOOKUP($I1238,Ref!$B$23:$E$29,4,0),1),0)</f>
        <v>0</v>
      </c>
      <c r="AT1238" s="545" t="str">
        <f>IF(A1238="","",IF(AP1238&lt;=1,"Cleared",IF(AS1238=0,"Clean",VLOOKUP($AS1238,Ref!$G$23:$H$28,2))))</f>
        <v/>
      </c>
      <c r="AU1238" s="546" t="str">
        <f t="shared" si="536"/>
        <v/>
      </c>
    </row>
    <row r="1239" spans="1:47" ht="14.25" hidden="1" customHeight="1" x14ac:dyDescent="0.15">
      <c r="A1239" s="523"/>
      <c r="B1239" s="523"/>
      <c r="C1239" s="523"/>
      <c r="D1239" s="523"/>
      <c r="E1239" s="579"/>
      <c r="F1239" s="580"/>
      <c r="G1239" s="524"/>
      <c r="H1239" s="555"/>
      <c r="I1239" s="560"/>
      <c r="J1239" s="523"/>
      <c r="K1239" s="528" t="str">
        <f>IFERROR(VLOOKUP($B1239,'Clients-Live'!$A:$C,3,0),"")</f>
        <v/>
      </c>
      <c r="L1239" s="528">
        <f>IF(E1239="STL",Pricing!$D$38,IF(A1239="",0,IF(A1239&lt;Pricing!$C$25,Pricing!$D$25,VLOOKUP(Disbursements!$F1239,Pricing!$B$29:$D$32,3))))</f>
        <v>0</v>
      </c>
      <c r="M1239" s="528">
        <f>IF(E1239="STL",0,IF(F1239&gt;0,Pricing!$D$21,0))</f>
        <v>0</v>
      </c>
      <c r="N1239" s="529">
        <f>IF(E1239="STL",F1239*Pricing!$D$40,IF(A1239&lt;=Pricing!$C$4,0,IF(AND(A1239&gt;Pricing!$C$4,Disbursements!A1239&lt;=Pricing!$C$5),F1239*Pricing!$E$5,IF(AND(A1239&gt;Pricing!$C$5,Disbursements!A1239&lt;=Pricing!$C$7),VLOOKUP(F1239,Pricing!$D$7:$E$8,2)*Disbursements!F1239,F1239*Pricing!$E$9))))</f>
        <v>0</v>
      </c>
      <c r="O1239" s="528">
        <f>IF(E1239="STL",0,IF($F1239&gt;0,$F1239*Pricing!$D$17,0))</f>
        <v>0</v>
      </c>
      <c r="P1239" s="530" t="str">
        <f t="shared" si="516"/>
        <v/>
      </c>
      <c r="Q1239" s="531" t="str">
        <f>IF($A1239="","",$G1239/VLOOKUP($I1239,Ref!$B$23:$D$29,2,0))</f>
        <v/>
      </c>
      <c r="R1239" s="530" t="str">
        <f t="shared" si="517"/>
        <v/>
      </c>
      <c r="S1239" s="532" t="str">
        <f t="shared" si="511"/>
        <v/>
      </c>
      <c r="T1239" s="531" t="str">
        <f t="shared" si="518"/>
        <v/>
      </c>
      <c r="U1239" s="533">
        <f t="shared" si="519"/>
        <v>0</v>
      </c>
      <c r="V1239" s="531" t="str">
        <f t="shared" si="520"/>
        <v/>
      </c>
      <c r="W1239" s="531" t="str">
        <f t="shared" si="521"/>
        <v/>
      </c>
      <c r="X1239" s="534" t="str">
        <f t="shared" si="522"/>
        <v/>
      </c>
      <c r="Y1239" s="535" t="str">
        <f>IF($A1239="","",IF($I1239="weekly",$A1239+7,EDATE($A1239,VLOOKUP($I1239,Ref!$B$24:$C$29,2,0))))</f>
        <v/>
      </c>
      <c r="Z1239" s="536" t="str">
        <f t="shared" si="523"/>
        <v/>
      </c>
      <c r="AA1239" s="531">
        <f t="shared" si="524"/>
        <v>0</v>
      </c>
      <c r="AB1239" s="535" t="str">
        <f t="shared" si="512"/>
        <v/>
      </c>
      <c r="AC1239" s="537" t="str">
        <f t="shared" si="513"/>
        <v/>
      </c>
      <c r="AD1239" s="538" t="str">
        <f t="shared" ca="1" si="514"/>
        <v/>
      </c>
      <c r="AE1239" s="537">
        <f t="shared" ca="1" si="515"/>
        <v>0</v>
      </c>
      <c r="AF1239" s="539" t="str">
        <f t="shared" ca="1" si="525"/>
        <v/>
      </c>
      <c r="AG1239" s="531" t="str">
        <f t="shared" ca="1" si="526"/>
        <v/>
      </c>
      <c r="AH1239" s="531" t="str">
        <f t="shared" ca="1" si="527"/>
        <v/>
      </c>
      <c r="AI1239" s="531" t="str">
        <f t="shared" ca="1" si="528"/>
        <v/>
      </c>
      <c r="AJ1239" s="531" t="str">
        <f t="shared" si="529"/>
        <v/>
      </c>
      <c r="AK1239" s="540">
        <f>SUMIFS('Live Collections'!$S:$S,'Live Collections'!$D:$D,Disbursements!B1239,'Live Collections'!$G:$G,Disbursements!C1239)</f>
        <v>0</v>
      </c>
      <c r="AL1239" s="540">
        <f>SUMIFS('Live Collections'!$T:$T,'Live Collections'!$D:$D,Disbursements!B1239,'Live Collections'!$G:$G,Disbursements!C1239)</f>
        <v>0</v>
      </c>
      <c r="AM1239" s="541">
        <f t="shared" si="530"/>
        <v>0</v>
      </c>
      <c r="AN1239" s="542" t="str">
        <f t="shared" si="531"/>
        <v/>
      </c>
      <c r="AO1239" s="542" t="str">
        <f t="shared" si="532"/>
        <v/>
      </c>
      <c r="AP1239" s="543" t="str">
        <f t="shared" si="533"/>
        <v/>
      </c>
      <c r="AQ1239" s="544" t="str">
        <f t="shared" si="534"/>
        <v/>
      </c>
      <c r="AR1239" s="545">
        <f t="shared" si="535"/>
        <v>0</v>
      </c>
      <c r="AS1239" s="545">
        <f>IFERROR(CEILING($AR1239*VLOOKUP($I1239,Ref!$B$23:$E$29,4,0),1),0)</f>
        <v>0</v>
      </c>
      <c r="AT1239" s="545" t="str">
        <f>IF(A1239="","",IF(AP1239&lt;=1,"Cleared",IF(AS1239=0,"Clean",VLOOKUP($AS1239,Ref!$G$23:$H$28,2))))</f>
        <v/>
      </c>
      <c r="AU1239" s="546" t="str">
        <f t="shared" si="536"/>
        <v/>
      </c>
    </row>
    <row r="1240" spans="1:47" ht="14.25" hidden="1" customHeight="1" x14ac:dyDescent="0.15">
      <c r="A1240" s="523"/>
      <c r="B1240" s="523"/>
      <c r="C1240" s="523"/>
      <c r="D1240" s="523"/>
      <c r="E1240" s="579"/>
      <c r="F1240" s="580"/>
      <c r="G1240" s="524"/>
      <c r="H1240" s="555"/>
      <c r="I1240" s="560"/>
      <c r="J1240" s="523"/>
      <c r="K1240" s="528" t="str">
        <f>IFERROR(VLOOKUP($B1240,'Clients-Live'!$A:$C,3,0),"")</f>
        <v/>
      </c>
      <c r="L1240" s="528">
        <f>IF(E1240="STL",Pricing!$D$38,IF(A1240="",0,IF(A1240&lt;Pricing!$C$25,Pricing!$D$25,VLOOKUP(Disbursements!$F1240,Pricing!$B$29:$D$32,3))))</f>
        <v>0</v>
      </c>
      <c r="M1240" s="528">
        <f>IF(E1240="STL",0,IF(F1240&gt;0,Pricing!$D$21,0))</f>
        <v>0</v>
      </c>
      <c r="N1240" s="529">
        <f>IF(E1240="STL",F1240*Pricing!$D$40,IF(A1240&lt;=Pricing!$C$4,0,IF(AND(A1240&gt;Pricing!$C$4,Disbursements!A1240&lt;=Pricing!$C$5),F1240*Pricing!$E$5,IF(AND(A1240&gt;Pricing!$C$5,Disbursements!A1240&lt;=Pricing!$C$7),VLOOKUP(F1240,Pricing!$D$7:$E$8,2)*Disbursements!F1240,F1240*Pricing!$E$9))))</f>
        <v>0</v>
      </c>
      <c r="O1240" s="528">
        <f>IF(E1240="STL",0,IF($F1240&gt;0,$F1240*Pricing!$D$17,0))</f>
        <v>0</v>
      </c>
      <c r="P1240" s="530" t="str">
        <f t="shared" si="516"/>
        <v/>
      </c>
      <c r="Q1240" s="531" t="str">
        <f>IF($A1240="","",$G1240/VLOOKUP($I1240,Ref!$B$23:$D$29,2,0))</f>
        <v/>
      </c>
      <c r="R1240" s="530" t="str">
        <f t="shared" si="517"/>
        <v/>
      </c>
      <c r="S1240" s="532" t="str">
        <f t="shared" si="511"/>
        <v/>
      </c>
      <c r="T1240" s="531" t="str">
        <f t="shared" si="518"/>
        <v/>
      </c>
      <c r="U1240" s="533">
        <f t="shared" si="519"/>
        <v>0</v>
      </c>
      <c r="V1240" s="531" t="str">
        <f t="shared" si="520"/>
        <v/>
      </c>
      <c r="W1240" s="531" t="str">
        <f t="shared" si="521"/>
        <v/>
      </c>
      <c r="X1240" s="534" t="str">
        <f t="shared" si="522"/>
        <v/>
      </c>
      <c r="Y1240" s="535" t="str">
        <f>IF($A1240="","",IF($I1240="weekly",$A1240+7,EDATE($A1240,VLOOKUP($I1240,Ref!$B$24:$C$29,2,0))))</f>
        <v/>
      </c>
      <c r="Z1240" s="536" t="str">
        <f t="shared" si="523"/>
        <v/>
      </c>
      <c r="AA1240" s="531">
        <f t="shared" si="524"/>
        <v>0</v>
      </c>
      <c r="AB1240" s="535" t="str">
        <f t="shared" si="512"/>
        <v/>
      </c>
      <c r="AC1240" s="537" t="str">
        <f t="shared" si="513"/>
        <v/>
      </c>
      <c r="AD1240" s="538" t="str">
        <f t="shared" ca="1" si="514"/>
        <v/>
      </c>
      <c r="AE1240" s="537">
        <f t="shared" ca="1" si="515"/>
        <v>0</v>
      </c>
      <c r="AF1240" s="539" t="str">
        <f t="shared" ca="1" si="525"/>
        <v/>
      </c>
      <c r="AG1240" s="531" t="str">
        <f t="shared" ca="1" si="526"/>
        <v/>
      </c>
      <c r="AH1240" s="531" t="str">
        <f t="shared" ca="1" si="527"/>
        <v/>
      </c>
      <c r="AI1240" s="531" t="str">
        <f t="shared" ca="1" si="528"/>
        <v/>
      </c>
      <c r="AJ1240" s="531" t="str">
        <f t="shared" si="529"/>
        <v/>
      </c>
      <c r="AK1240" s="540">
        <f>SUMIFS('Live Collections'!$S:$S,'Live Collections'!$D:$D,Disbursements!B1240,'Live Collections'!$G:$G,Disbursements!C1240)</f>
        <v>0</v>
      </c>
      <c r="AL1240" s="540">
        <f>SUMIFS('Live Collections'!$T:$T,'Live Collections'!$D:$D,Disbursements!B1240,'Live Collections'!$G:$G,Disbursements!C1240)</f>
        <v>0</v>
      </c>
      <c r="AM1240" s="541">
        <f t="shared" si="530"/>
        <v>0</v>
      </c>
      <c r="AN1240" s="542" t="str">
        <f t="shared" si="531"/>
        <v/>
      </c>
      <c r="AO1240" s="542" t="str">
        <f t="shared" si="532"/>
        <v/>
      </c>
      <c r="AP1240" s="543" t="str">
        <f t="shared" si="533"/>
        <v/>
      </c>
      <c r="AQ1240" s="544" t="str">
        <f t="shared" si="534"/>
        <v/>
      </c>
      <c r="AR1240" s="545">
        <f t="shared" si="535"/>
        <v>0</v>
      </c>
      <c r="AS1240" s="545">
        <f>IFERROR(CEILING($AR1240*VLOOKUP($I1240,Ref!$B$23:$E$29,4,0),1),0)</f>
        <v>0</v>
      </c>
      <c r="AT1240" s="545" t="str">
        <f>IF(A1240="","",IF(AP1240&lt;=1,"Cleared",IF(AS1240=0,"Clean",VLOOKUP($AS1240,Ref!$G$23:$H$28,2))))</f>
        <v/>
      </c>
      <c r="AU1240" s="546" t="str">
        <f t="shared" si="536"/>
        <v/>
      </c>
    </row>
    <row r="1241" spans="1:47" ht="14.25" hidden="1" customHeight="1" x14ac:dyDescent="0.15">
      <c r="A1241" s="523"/>
      <c r="B1241" s="523"/>
      <c r="C1241" s="523"/>
      <c r="D1241" s="523"/>
      <c r="E1241" s="579"/>
      <c r="F1241" s="580"/>
      <c r="G1241" s="524"/>
      <c r="H1241" s="555"/>
      <c r="I1241" s="560"/>
      <c r="J1241" s="523"/>
      <c r="K1241" s="528" t="str">
        <f>IFERROR(VLOOKUP($B1241,'Clients-Live'!$A:$C,3,0),"")</f>
        <v/>
      </c>
      <c r="L1241" s="528">
        <f>IF(E1241="STL",Pricing!$D$38,IF(A1241="",0,IF(A1241&lt;Pricing!$C$25,Pricing!$D$25,VLOOKUP(Disbursements!$F1241,Pricing!$B$29:$D$32,3))))</f>
        <v>0</v>
      </c>
      <c r="M1241" s="528">
        <f>IF(E1241="STL",0,IF(F1241&gt;0,Pricing!$D$21,0))</f>
        <v>0</v>
      </c>
      <c r="N1241" s="529">
        <f>IF(E1241="STL",F1241*Pricing!$D$40,IF(A1241&lt;=Pricing!$C$4,0,IF(AND(A1241&gt;Pricing!$C$4,Disbursements!A1241&lt;=Pricing!$C$5),F1241*Pricing!$E$5,IF(AND(A1241&gt;Pricing!$C$5,Disbursements!A1241&lt;=Pricing!$C$7),VLOOKUP(F1241,Pricing!$D$7:$E$8,2)*Disbursements!F1241,F1241*Pricing!$E$9))))</f>
        <v>0</v>
      </c>
      <c r="O1241" s="528">
        <f>IF(E1241="STL",0,IF($F1241&gt;0,$F1241*Pricing!$D$17,0))</f>
        <v>0</v>
      </c>
      <c r="P1241" s="530" t="str">
        <f t="shared" si="516"/>
        <v/>
      </c>
      <c r="Q1241" s="531" t="str">
        <f>IF($A1241="","",$G1241/VLOOKUP($I1241,Ref!$B$23:$D$29,2,0))</f>
        <v/>
      </c>
      <c r="R1241" s="530" t="str">
        <f t="shared" si="517"/>
        <v/>
      </c>
      <c r="S1241" s="532" t="str">
        <f t="shared" si="511"/>
        <v/>
      </c>
      <c r="T1241" s="531" t="str">
        <f t="shared" si="518"/>
        <v/>
      </c>
      <c r="U1241" s="533">
        <f t="shared" si="519"/>
        <v>0</v>
      </c>
      <c r="V1241" s="531" t="str">
        <f t="shared" si="520"/>
        <v/>
      </c>
      <c r="W1241" s="531" t="str">
        <f t="shared" si="521"/>
        <v/>
      </c>
      <c r="X1241" s="534" t="str">
        <f t="shared" si="522"/>
        <v/>
      </c>
      <c r="Y1241" s="535" t="str">
        <f>IF($A1241="","",IF($I1241="weekly",$A1241+7,EDATE($A1241,VLOOKUP($I1241,Ref!$B$24:$C$29,2,0))))</f>
        <v/>
      </c>
      <c r="Z1241" s="536" t="str">
        <f t="shared" si="523"/>
        <v/>
      </c>
      <c r="AA1241" s="531">
        <f t="shared" si="524"/>
        <v>0</v>
      </c>
      <c r="AB1241" s="535" t="str">
        <f t="shared" si="512"/>
        <v/>
      </c>
      <c r="AC1241" s="537" t="str">
        <f t="shared" si="513"/>
        <v/>
      </c>
      <c r="AD1241" s="538" t="str">
        <f t="shared" ca="1" si="514"/>
        <v/>
      </c>
      <c r="AE1241" s="537">
        <f t="shared" ca="1" si="515"/>
        <v>0</v>
      </c>
      <c r="AF1241" s="539" t="str">
        <f t="shared" ca="1" si="525"/>
        <v/>
      </c>
      <c r="AG1241" s="531" t="str">
        <f t="shared" ca="1" si="526"/>
        <v/>
      </c>
      <c r="AH1241" s="531" t="str">
        <f t="shared" ca="1" si="527"/>
        <v/>
      </c>
      <c r="AI1241" s="531" t="str">
        <f t="shared" ca="1" si="528"/>
        <v/>
      </c>
      <c r="AJ1241" s="531" t="str">
        <f t="shared" si="529"/>
        <v/>
      </c>
      <c r="AK1241" s="540">
        <f>SUMIFS('Live Collections'!$S:$S,'Live Collections'!$D:$D,Disbursements!B1241,'Live Collections'!$G:$G,Disbursements!C1241)</f>
        <v>0</v>
      </c>
      <c r="AL1241" s="540">
        <f>SUMIFS('Live Collections'!$T:$T,'Live Collections'!$D:$D,Disbursements!B1241,'Live Collections'!$G:$G,Disbursements!C1241)</f>
        <v>0</v>
      </c>
      <c r="AM1241" s="541">
        <f t="shared" si="530"/>
        <v>0</v>
      </c>
      <c r="AN1241" s="542" t="str">
        <f t="shared" si="531"/>
        <v/>
      </c>
      <c r="AO1241" s="542" t="str">
        <f t="shared" si="532"/>
        <v/>
      </c>
      <c r="AP1241" s="543" t="str">
        <f t="shared" si="533"/>
        <v/>
      </c>
      <c r="AQ1241" s="544" t="str">
        <f t="shared" si="534"/>
        <v/>
      </c>
      <c r="AR1241" s="545">
        <f t="shared" si="535"/>
        <v>0</v>
      </c>
      <c r="AS1241" s="545">
        <f>IFERROR(CEILING($AR1241*VLOOKUP($I1241,Ref!$B$23:$E$29,4,0),1),0)</f>
        <v>0</v>
      </c>
      <c r="AT1241" s="545" t="str">
        <f>IF(A1241="","",IF(AP1241&lt;=1,"Cleared",IF(AS1241=0,"Clean",VLOOKUP($AS1241,Ref!$G$23:$H$28,2))))</f>
        <v/>
      </c>
      <c r="AU1241" s="546" t="str">
        <f t="shared" si="536"/>
        <v/>
      </c>
    </row>
    <row r="1242" spans="1:47" ht="14.25" hidden="1" customHeight="1" x14ac:dyDescent="0.15">
      <c r="A1242" s="523"/>
      <c r="B1242" s="523"/>
      <c r="C1242" s="523"/>
      <c r="D1242" s="523"/>
      <c r="E1242" s="579"/>
      <c r="F1242" s="580"/>
      <c r="G1242" s="524"/>
      <c r="H1242" s="555"/>
      <c r="I1242" s="560"/>
      <c r="J1242" s="523"/>
      <c r="K1242" s="528" t="str">
        <f>IFERROR(VLOOKUP($B1242,'Clients-Live'!$A:$C,3,0),"")</f>
        <v/>
      </c>
      <c r="L1242" s="528">
        <f>IF(E1242="STL",Pricing!$D$38,IF(A1242="",0,IF(A1242&lt;Pricing!$C$25,Pricing!$D$25,VLOOKUP(Disbursements!$F1242,Pricing!$B$29:$D$32,3))))</f>
        <v>0</v>
      </c>
      <c r="M1242" s="528">
        <f>IF(E1242="STL",0,IF(F1242&gt;0,Pricing!$D$21,0))</f>
        <v>0</v>
      </c>
      <c r="N1242" s="529">
        <f>IF(E1242="STL",F1242*Pricing!$D$40,IF(A1242&lt;=Pricing!$C$4,0,IF(AND(A1242&gt;Pricing!$C$4,Disbursements!A1242&lt;=Pricing!$C$5),F1242*Pricing!$E$5,IF(AND(A1242&gt;Pricing!$C$5,Disbursements!A1242&lt;=Pricing!$C$7),VLOOKUP(F1242,Pricing!$D$7:$E$8,2)*Disbursements!F1242,F1242*Pricing!$E$9))))</f>
        <v>0</v>
      </c>
      <c r="O1242" s="528">
        <f>IF(E1242="STL",0,IF($F1242&gt;0,$F1242*Pricing!$D$17,0))</f>
        <v>0</v>
      </c>
      <c r="P1242" s="530" t="str">
        <f t="shared" si="516"/>
        <v/>
      </c>
      <c r="Q1242" s="531" t="str">
        <f>IF($A1242="","",$G1242/VLOOKUP($I1242,Ref!$B$23:$D$29,2,0))</f>
        <v/>
      </c>
      <c r="R1242" s="530" t="str">
        <f t="shared" si="517"/>
        <v/>
      </c>
      <c r="S1242" s="532" t="str">
        <f t="shared" si="511"/>
        <v/>
      </c>
      <c r="T1242" s="531" t="str">
        <f t="shared" si="518"/>
        <v/>
      </c>
      <c r="U1242" s="533">
        <f t="shared" si="519"/>
        <v>0</v>
      </c>
      <c r="V1242" s="531" t="str">
        <f t="shared" si="520"/>
        <v/>
      </c>
      <c r="W1242" s="531" t="str">
        <f t="shared" si="521"/>
        <v/>
      </c>
      <c r="X1242" s="534" t="str">
        <f t="shared" si="522"/>
        <v/>
      </c>
      <c r="Y1242" s="535" t="str">
        <f>IF($A1242="","",IF($I1242="weekly",$A1242+7,EDATE($A1242,VLOOKUP($I1242,Ref!$B$24:$C$29,2,0))))</f>
        <v/>
      </c>
      <c r="Z1242" s="536" t="str">
        <f t="shared" si="523"/>
        <v/>
      </c>
      <c r="AA1242" s="531">
        <f t="shared" si="524"/>
        <v>0</v>
      </c>
      <c r="AB1242" s="535" t="str">
        <f t="shared" si="512"/>
        <v/>
      </c>
      <c r="AC1242" s="537" t="str">
        <f t="shared" si="513"/>
        <v/>
      </c>
      <c r="AD1242" s="538" t="str">
        <f t="shared" ca="1" si="514"/>
        <v/>
      </c>
      <c r="AE1242" s="537">
        <f t="shared" ca="1" si="515"/>
        <v>0</v>
      </c>
      <c r="AF1242" s="539" t="str">
        <f t="shared" ca="1" si="525"/>
        <v/>
      </c>
      <c r="AG1242" s="531" t="str">
        <f t="shared" ca="1" si="526"/>
        <v/>
      </c>
      <c r="AH1242" s="531" t="str">
        <f t="shared" ca="1" si="527"/>
        <v/>
      </c>
      <c r="AI1242" s="531" t="str">
        <f t="shared" ca="1" si="528"/>
        <v/>
      </c>
      <c r="AJ1242" s="531" t="str">
        <f t="shared" si="529"/>
        <v/>
      </c>
      <c r="AK1242" s="540">
        <f>SUMIFS('Live Collections'!$S:$S,'Live Collections'!$D:$D,Disbursements!B1242,'Live Collections'!$G:$G,Disbursements!C1242)</f>
        <v>0</v>
      </c>
      <c r="AL1242" s="540">
        <f>SUMIFS('Live Collections'!$T:$T,'Live Collections'!$D:$D,Disbursements!B1242,'Live Collections'!$G:$G,Disbursements!C1242)</f>
        <v>0</v>
      </c>
      <c r="AM1242" s="541">
        <f t="shared" si="530"/>
        <v>0</v>
      </c>
      <c r="AN1242" s="542" t="str">
        <f t="shared" si="531"/>
        <v/>
      </c>
      <c r="AO1242" s="542" t="str">
        <f t="shared" si="532"/>
        <v/>
      </c>
      <c r="AP1242" s="543" t="str">
        <f t="shared" si="533"/>
        <v/>
      </c>
      <c r="AQ1242" s="544" t="str">
        <f t="shared" si="534"/>
        <v/>
      </c>
      <c r="AR1242" s="545">
        <f t="shared" si="535"/>
        <v>0</v>
      </c>
      <c r="AS1242" s="545">
        <f>IFERROR(CEILING($AR1242*VLOOKUP($I1242,Ref!$B$23:$E$29,4,0),1),0)</f>
        <v>0</v>
      </c>
      <c r="AT1242" s="545" t="str">
        <f>IF(A1242="","",IF(AP1242&lt;=1,"Cleared",IF(AS1242=0,"Clean",VLOOKUP($AS1242,Ref!$G$23:$H$28,2))))</f>
        <v/>
      </c>
      <c r="AU1242" s="546" t="str">
        <f t="shared" si="536"/>
        <v/>
      </c>
    </row>
    <row r="1243" spans="1:47" ht="14.25" hidden="1" customHeight="1" x14ac:dyDescent="0.15">
      <c r="A1243" s="523"/>
      <c r="B1243" s="523"/>
      <c r="C1243" s="523"/>
      <c r="D1243" s="523"/>
      <c r="E1243" s="579"/>
      <c r="F1243" s="580"/>
      <c r="G1243" s="524"/>
      <c r="H1243" s="555"/>
      <c r="I1243" s="560"/>
      <c r="J1243" s="523"/>
      <c r="K1243" s="528" t="str">
        <f>IFERROR(VLOOKUP($B1243,'Clients-Live'!$A:$C,3,0),"")</f>
        <v/>
      </c>
      <c r="L1243" s="528">
        <f>IF(E1243="STL",Pricing!$D$38,IF(A1243="",0,IF(A1243&lt;Pricing!$C$25,Pricing!$D$25,VLOOKUP(Disbursements!$F1243,Pricing!$B$29:$D$32,3))))</f>
        <v>0</v>
      </c>
      <c r="M1243" s="528">
        <f>IF(E1243="STL",0,IF(F1243&gt;0,Pricing!$D$21,0))</f>
        <v>0</v>
      </c>
      <c r="N1243" s="529">
        <f>IF(E1243="STL",F1243*Pricing!$D$40,IF(A1243&lt;=Pricing!$C$4,0,IF(AND(A1243&gt;Pricing!$C$4,Disbursements!A1243&lt;=Pricing!$C$5),F1243*Pricing!$E$5,IF(AND(A1243&gt;Pricing!$C$5,Disbursements!A1243&lt;=Pricing!$C$7),VLOOKUP(F1243,Pricing!$D$7:$E$8,2)*Disbursements!F1243,F1243*Pricing!$E$9))))</f>
        <v>0</v>
      </c>
      <c r="O1243" s="528">
        <f>IF(E1243="STL",0,IF($F1243&gt;0,$F1243*Pricing!$D$17,0))</f>
        <v>0</v>
      </c>
      <c r="P1243" s="530" t="str">
        <f t="shared" si="516"/>
        <v/>
      </c>
      <c r="Q1243" s="531" t="str">
        <f>IF($A1243="","",$G1243/VLOOKUP($I1243,Ref!$B$23:$D$29,2,0))</f>
        <v/>
      </c>
      <c r="R1243" s="530" t="str">
        <f t="shared" si="517"/>
        <v/>
      </c>
      <c r="S1243" s="532" t="str">
        <f t="shared" si="511"/>
        <v/>
      </c>
      <c r="T1243" s="531" t="str">
        <f t="shared" si="518"/>
        <v/>
      </c>
      <c r="U1243" s="533">
        <f t="shared" si="519"/>
        <v>0</v>
      </c>
      <c r="V1243" s="531" t="str">
        <f t="shared" si="520"/>
        <v/>
      </c>
      <c r="W1243" s="531" t="str">
        <f t="shared" si="521"/>
        <v/>
      </c>
      <c r="X1243" s="534" t="str">
        <f t="shared" si="522"/>
        <v/>
      </c>
      <c r="Y1243" s="535" t="str">
        <f>IF($A1243="","",IF($I1243="weekly",$A1243+7,EDATE($A1243,VLOOKUP($I1243,Ref!$B$24:$C$29,2,0))))</f>
        <v/>
      </c>
      <c r="Z1243" s="536" t="str">
        <f t="shared" si="523"/>
        <v/>
      </c>
      <c r="AA1243" s="531">
        <f t="shared" si="524"/>
        <v>0</v>
      </c>
      <c r="AB1243" s="535" t="str">
        <f t="shared" si="512"/>
        <v/>
      </c>
      <c r="AC1243" s="537" t="str">
        <f t="shared" si="513"/>
        <v/>
      </c>
      <c r="AD1243" s="538" t="str">
        <f t="shared" ca="1" si="514"/>
        <v/>
      </c>
      <c r="AE1243" s="537">
        <f t="shared" ca="1" si="515"/>
        <v>0</v>
      </c>
      <c r="AF1243" s="539" t="str">
        <f t="shared" ca="1" si="525"/>
        <v/>
      </c>
      <c r="AG1243" s="531" t="str">
        <f t="shared" ca="1" si="526"/>
        <v/>
      </c>
      <c r="AH1243" s="531" t="str">
        <f t="shared" ca="1" si="527"/>
        <v/>
      </c>
      <c r="AI1243" s="531" t="str">
        <f t="shared" ca="1" si="528"/>
        <v/>
      </c>
      <c r="AJ1243" s="531" t="str">
        <f t="shared" si="529"/>
        <v/>
      </c>
      <c r="AK1243" s="540">
        <f>SUMIFS('Live Collections'!$S:$S,'Live Collections'!$D:$D,Disbursements!B1243,'Live Collections'!$G:$G,Disbursements!C1243)</f>
        <v>0</v>
      </c>
      <c r="AL1243" s="540">
        <f>SUMIFS('Live Collections'!$T:$T,'Live Collections'!$D:$D,Disbursements!B1243,'Live Collections'!$G:$G,Disbursements!C1243)</f>
        <v>0</v>
      </c>
      <c r="AM1243" s="541">
        <f t="shared" si="530"/>
        <v>0</v>
      </c>
      <c r="AN1243" s="542" t="str">
        <f t="shared" si="531"/>
        <v/>
      </c>
      <c r="AO1243" s="542" t="str">
        <f t="shared" si="532"/>
        <v/>
      </c>
      <c r="AP1243" s="543" t="str">
        <f t="shared" si="533"/>
        <v/>
      </c>
      <c r="AQ1243" s="544" t="str">
        <f t="shared" si="534"/>
        <v/>
      </c>
      <c r="AR1243" s="545">
        <f t="shared" si="535"/>
        <v>0</v>
      </c>
      <c r="AS1243" s="545">
        <f>IFERROR(CEILING($AR1243*VLOOKUP($I1243,Ref!$B$23:$E$29,4,0),1),0)</f>
        <v>0</v>
      </c>
      <c r="AT1243" s="545" t="str">
        <f>IF(A1243="","",IF(AP1243&lt;=1,"Cleared",IF(AS1243=0,"Clean",VLOOKUP($AS1243,Ref!$G$23:$H$28,2))))</f>
        <v/>
      </c>
      <c r="AU1243" s="546" t="str">
        <f t="shared" si="536"/>
        <v/>
      </c>
    </row>
    <row r="1244" spans="1:47" ht="14.25" hidden="1" customHeight="1" x14ac:dyDescent="0.15">
      <c r="A1244" s="523"/>
      <c r="B1244" s="523"/>
      <c r="C1244" s="523"/>
      <c r="D1244" s="523"/>
      <c r="E1244" s="579"/>
      <c r="F1244" s="580"/>
      <c r="G1244" s="524"/>
      <c r="H1244" s="555"/>
      <c r="I1244" s="560"/>
      <c r="J1244" s="523"/>
      <c r="K1244" s="528" t="str">
        <f>IFERROR(VLOOKUP($B1244,'Clients-Live'!$A:$C,3,0),"")</f>
        <v/>
      </c>
      <c r="L1244" s="528">
        <f>IF(E1244="STL",Pricing!$D$38,IF(A1244="",0,IF(A1244&lt;Pricing!$C$25,Pricing!$D$25,VLOOKUP(Disbursements!$F1244,Pricing!$B$29:$D$32,3))))</f>
        <v>0</v>
      </c>
      <c r="M1244" s="528">
        <f>IF(E1244="STL",0,IF(F1244&gt;0,Pricing!$D$21,0))</f>
        <v>0</v>
      </c>
      <c r="N1244" s="529">
        <f>IF(E1244="STL",F1244*Pricing!$D$40,IF(A1244&lt;=Pricing!$C$4,0,IF(AND(A1244&gt;Pricing!$C$4,Disbursements!A1244&lt;=Pricing!$C$5),F1244*Pricing!$E$5,IF(AND(A1244&gt;Pricing!$C$5,Disbursements!A1244&lt;=Pricing!$C$7),VLOOKUP(F1244,Pricing!$D$7:$E$8,2)*Disbursements!F1244,F1244*Pricing!$E$9))))</f>
        <v>0</v>
      </c>
      <c r="O1244" s="528">
        <f>IF(E1244="STL",0,IF($F1244&gt;0,$F1244*Pricing!$D$17,0))</f>
        <v>0</v>
      </c>
      <c r="P1244" s="530" t="str">
        <f t="shared" si="516"/>
        <v/>
      </c>
      <c r="Q1244" s="531" t="str">
        <f>IF($A1244="","",$G1244/VLOOKUP($I1244,Ref!$B$23:$D$29,2,0))</f>
        <v/>
      </c>
      <c r="R1244" s="530" t="str">
        <f t="shared" si="517"/>
        <v/>
      </c>
      <c r="S1244" s="532" t="str">
        <f t="shared" si="511"/>
        <v/>
      </c>
      <c r="T1244" s="531" t="str">
        <f t="shared" si="518"/>
        <v/>
      </c>
      <c r="U1244" s="533">
        <f t="shared" si="519"/>
        <v>0</v>
      </c>
      <c r="V1244" s="531" t="str">
        <f t="shared" si="520"/>
        <v/>
      </c>
      <c r="W1244" s="531" t="str">
        <f t="shared" si="521"/>
        <v/>
      </c>
      <c r="X1244" s="534" t="str">
        <f t="shared" si="522"/>
        <v/>
      </c>
      <c r="Y1244" s="535" t="str">
        <f>IF($A1244="","",IF($I1244="weekly",$A1244+7,EDATE($A1244,VLOOKUP($I1244,Ref!$B$24:$C$29,2,0))))</f>
        <v/>
      </c>
      <c r="Z1244" s="536" t="str">
        <f t="shared" si="523"/>
        <v/>
      </c>
      <c r="AA1244" s="531">
        <f t="shared" si="524"/>
        <v>0</v>
      </c>
      <c r="AB1244" s="535" t="str">
        <f t="shared" si="512"/>
        <v/>
      </c>
      <c r="AC1244" s="537" t="str">
        <f t="shared" si="513"/>
        <v/>
      </c>
      <c r="AD1244" s="538" t="str">
        <f t="shared" ca="1" si="514"/>
        <v/>
      </c>
      <c r="AE1244" s="537">
        <f t="shared" ca="1" si="515"/>
        <v>0</v>
      </c>
      <c r="AF1244" s="539" t="str">
        <f t="shared" ca="1" si="525"/>
        <v/>
      </c>
      <c r="AG1244" s="531" t="str">
        <f t="shared" ca="1" si="526"/>
        <v/>
      </c>
      <c r="AH1244" s="531" t="str">
        <f t="shared" ca="1" si="527"/>
        <v/>
      </c>
      <c r="AI1244" s="531" t="str">
        <f t="shared" ca="1" si="528"/>
        <v/>
      </c>
      <c r="AJ1244" s="531" t="str">
        <f t="shared" si="529"/>
        <v/>
      </c>
      <c r="AK1244" s="540">
        <f>SUMIFS('Live Collections'!$S:$S,'Live Collections'!$D:$D,Disbursements!B1244,'Live Collections'!$G:$G,Disbursements!C1244)</f>
        <v>0</v>
      </c>
      <c r="AL1244" s="540">
        <f>SUMIFS('Live Collections'!$T:$T,'Live Collections'!$D:$D,Disbursements!B1244,'Live Collections'!$G:$G,Disbursements!C1244)</f>
        <v>0</v>
      </c>
      <c r="AM1244" s="541">
        <f t="shared" si="530"/>
        <v>0</v>
      </c>
      <c r="AN1244" s="542" t="str">
        <f t="shared" si="531"/>
        <v/>
      </c>
      <c r="AO1244" s="542" t="str">
        <f t="shared" si="532"/>
        <v/>
      </c>
      <c r="AP1244" s="543" t="str">
        <f t="shared" si="533"/>
        <v/>
      </c>
      <c r="AQ1244" s="544" t="str">
        <f t="shared" si="534"/>
        <v/>
      </c>
      <c r="AR1244" s="545">
        <f t="shared" si="535"/>
        <v>0</v>
      </c>
      <c r="AS1244" s="545">
        <f>IFERROR(CEILING($AR1244*VLOOKUP($I1244,Ref!$B$23:$E$29,4,0),1),0)</f>
        <v>0</v>
      </c>
      <c r="AT1244" s="545" t="str">
        <f>IF(A1244="","",IF(AP1244&lt;=1,"Cleared",IF(AS1244=0,"Clean",VLOOKUP($AS1244,Ref!$G$23:$H$28,2))))</f>
        <v/>
      </c>
      <c r="AU1244" s="546" t="str">
        <f t="shared" si="536"/>
        <v/>
      </c>
    </row>
    <row r="1245" spans="1:47" ht="14.25" hidden="1" customHeight="1" x14ac:dyDescent="0.15">
      <c r="A1245" s="523"/>
      <c r="B1245" s="523"/>
      <c r="C1245" s="523"/>
      <c r="D1245" s="523"/>
      <c r="E1245" s="579"/>
      <c r="F1245" s="580"/>
      <c r="G1245" s="524"/>
      <c r="H1245" s="555"/>
      <c r="I1245" s="560"/>
      <c r="J1245" s="523"/>
      <c r="K1245" s="528" t="str">
        <f>IFERROR(VLOOKUP($B1245,'Clients-Live'!$A:$C,3,0),"")</f>
        <v/>
      </c>
      <c r="L1245" s="528">
        <f>IF(E1245="STL",Pricing!$D$38,IF(A1245="",0,IF(A1245&lt;Pricing!$C$25,Pricing!$D$25,VLOOKUP(Disbursements!$F1245,Pricing!$B$29:$D$32,3))))</f>
        <v>0</v>
      </c>
      <c r="M1245" s="528">
        <f>IF(E1245="STL",0,IF(F1245&gt;0,Pricing!$D$21,0))</f>
        <v>0</v>
      </c>
      <c r="N1245" s="529">
        <f>IF(E1245="STL",F1245*Pricing!$D$40,IF(A1245&lt;=Pricing!$C$4,0,IF(AND(A1245&gt;Pricing!$C$4,Disbursements!A1245&lt;=Pricing!$C$5),F1245*Pricing!$E$5,IF(AND(A1245&gt;Pricing!$C$5,Disbursements!A1245&lt;=Pricing!$C$7),VLOOKUP(F1245,Pricing!$D$7:$E$8,2)*Disbursements!F1245,F1245*Pricing!$E$9))))</f>
        <v>0</v>
      </c>
      <c r="O1245" s="528">
        <f>IF(E1245="STL",0,IF($F1245&gt;0,$F1245*Pricing!$D$17,0))</f>
        <v>0</v>
      </c>
      <c r="P1245" s="530" t="str">
        <f t="shared" si="516"/>
        <v/>
      </c>
      <c r="Q1245" s="531" t="str">
        <f>IF($A1245="","",$G1245/VLOOKUP($I1245,Ref!$B$23:$D$29,2,0))</f>
        <v/>
      </c>
      <c r="R1245" s="530" t="str">
        <f t="shared" si="517"/>
        <v/>
      </c>
      <c r="S1245" s="532" t="str">
        <f t="shared" si="511"/>
        <v/>
      </c>
      <c r="T1245" s="531" t="str">
        <f t="shared" si="518"/>
        <v/>
      </c>
      <c r="U1245" s="533">
        <f t="shared" si="519"/>
        <v>0</v>
      </c>
      <c r="V1245" s="531" t="str">
        <f t="shared" si="520"/>
        <v/>
      </c>
      <c r="W1245" s="531" t="str">
        <f t="shared" si="521"/>
        <v/>
      </c>
      <c r="X1245" s="534" t="str">
        <f t="shared" si="522"/>
        <v/>
      </c>
      <c r="Y1245" s="535" t="str">
        <f>IF($A1245="","",IF($I1245="weekly",$A1245+7,EDATE($A1245,VLOOKUP($I1245,Ref!$B$24:$C$29,2,0))))</f>
        <v/>
      </c>
      <c r="Z1245" s="536" t="str">
        <f t="shared" si="523"/>
        <v/>
      </c>
      <c r="AA1245" s="531">
        <f t="shared" si="524"/>
        <v>0</v>
      </c>
      <c r="AB1245" s="535" t="str">
        <f t="shared" si="512"/>
        <v/>
      </c>
      <c r="AC1245" s="537" t="str">
        <f t="shared" si="513"/>
        <v/>
      </c>
      <c r="AD1245" s="538" t="str">
        <f t="shared" ca="1" si="514"/>
        <v/>
      </c>
      <c r="AE1245" s="537">
        <f t="shared" ca="1" si="515"/>
        <v>0</v>
      </c>
      <c r="AF1245" s="539" t="str">
        <f t="shared" ca="1" si="525"/>
        <v/>
      </c>
      <c r="AG1245" s="531" t="str">
        <f t="shared" ca="1" si="526"/>
        <v/>
      </c>
      <c r="AH1245" s="531" t="str">
        <f t="shared" ca="1" si="527"/>
        <v/>
      </c>
      <c r="AI1245" s="531" t="str">
        <f t="shared" ca="1" si="528"/>
        <v/>
      </c>
      <c r="AJ1245" s="531" t="str">
        <f t="shared" si="529"/>
        <v/>
      </c>
      <c r="AK1245" s="540">
        <f>SUMIFS('Live Collections'!$S:$S,'Live Collections'!$D:$D,Disbursements!B1245,'Live Collections'!$G:$G,Disbursements!C1245)</f>
        <v>0</v>
      </c>
      <c r="AL1245" s="540">
        <f>SUMIFS('Live Collections'!$T:$T,'Live Collections'!$D:$D,Disbursements!B1245,'Live Collections'!$G:$G,Disbursements!C1245)</f>
        <v>0</v>
      </c>
      <c r="AM1245" s="541">
        <f t="shared" si="530"/>
        <v>0</v>
      </c>
      <c r="AN1245" s="542" t="str">
        <f t="shared" si="531"/>
        <v/>
      </c>
      <c r="AO1245" s="542" t="str">
        <f t="shared" si="532"/>
        <v/>
      </c>
      <c r="AP1245" s="543" t="str">
        <f t="shared" si="533"/>
        <v/>
      </c>
      <c r="AQ1245" s="544" t="str">
        <f t="shared" si="534"/>
        <v/>
      </c>
      <c r="AR1245" s="545">
        <f t="shared" si="535"/>
        <v>0</v>
      </c>
      <c r="AS1245" s="545">
        <f>IFERROR(CEILING($AR1245*VLOOKUP($I1245,Ref!$B$23:$E$29,4,0),1),0)</f>
        <v>0</v>
      </c>
      <c r="AT1245" s="545" t="str">
        <f>IF(A1245="","",IF(AP1245&lt;=1,"Cleared",IF(AS1245=0,"Clean",VLOOKUP($AS1245,Ref!$G$23:$H$28,2))))</f>
        <v/>
      </c>
      <c r="AU1245" s="546" t="str">
        <f t="shared" si="536"/>
        <v/>
      </c>
    </row>
    <row r="1246" spans="1:47" ht="14.25" hidden="1" customHeight="1" x14ac:dyDescent="0.15">
      <c r="A1246" s="523"/>
      <c r="B1246" s="523"/>
      <c r="C1246" s="523"/>
      <c r="D1246" s="523"/>
      <c r="E1246" s="579"/>
      <c r="F1246" s="580"/>
      <c r="G1246" s="524"/>
      <c r="H1246" s="555"/>
      <c r="I1246" s="560"/>
      <c r="J1246" s="523"/>
      <c r="K1246" s="528" t="str">
        <f>IFERROR(VLOOKUP($B1246,'Clients-Live'!$A:$C,3,0),"")</f>
        <v/>
      </c>
      <c r="L1246" s="528">
        <f>IF(E1246="STL",Pricing!$D$38,IF(A1246="",0,IF(A1246&lt;Pricing!$C$25,Pricing!$D$25,VLOOKUP(Disbursements!$F1246,Pricing!$B$29:$D$32,3))))</f>
        <v>0</v>
      </c>
      <c r="M1246" s="528">
        <f>IF(E1246="STL",0,IF(F1246&gt;0,Pricing!$D$21,0))</f>
        <v>0</v>
      </c>
      <c r="N1246" s="529">
        <f>IF(E1246="STL",F1246*Pricing!$D$40,IF(A1246&lt;=Pricing!$C$4,0,IF(AND(A1246&gt;Pricing!$C$4,Disbursements!A1246&lt;=Pricing!$C$5),F1246*Pricing!$E$5,IF(AND(A1246&gt;Pricing!$C$5,Disbursements!A1246&lt;=Pricing!$C$7),VLOOKUP(F1246,Pricing!$D$7:$E$8,2)*Disbursements!F1246,F1246*Pricing!$E$9))))</f>
        <v>0</v>
      </c>
      <c r="O1246" s="528">
        <f>IF(E1246="STL",0,IF($F1246&gt;0,$F1246*Pricing!$D$17,0))</f>
        <v>0</v>
      </c>
      <c r="P1246" s="530" t="str">
        <f t="shared" si="516"/>
        <v/>
      </c>
      <c r="Q1246" s="531" t="str">
        <f>IF($A1246="","",$G1246/VLOOKUP($I1246,Ref!$B$23:$D$29,2,0))</f>
        <v/>
      </c>
      <c r="R1246" s="530" t="str">
        <f t="shared" si="517"/>
        <v/>
      </c>
      <c r="S1246" s="532" t="str">
        <f t="shared" si="511"/>
        <v/>
      </c>
      <c r="T1246" s="531" t="str">
        <f t="shared" si="518"/>
        <v/>
      </c>
      <c r="U1246" s="533">
        <f t="shared" si="519"/>
        <v>0</v>
      </c>
      <c r="V1246" s="531" t="str">
        <f t="shared" si="520"/>
        <v/>
      </c>
      <c r="W1246" s="531" t="str">
        <f t="shared" si="521"/>
        <v/>
      </c>
      <c r="X1246" s="534" t="str">
        <f t="shared" si="522"/>
        <v/>
      </c>
      <c r="Y1246" s="535" t="str">
        <f>IF($A1246="","",IF($I1246="weekly",$A1246+7,EDATE($A1246,VLOOKUP($I1246,Ref!$B$24:$C$29,2,0))))</f>
        <v/>
      </c>
      <c r="Z1246" s="536" t="str">
        <f t="shared" si="523"/>
        <v/>
      </c>
      <c r="AA1246" s="531">
        <f t="shared" si="524"/>
        <v>0</v>
      </c>
      <c r="AB1246" s="535" t="str">
        <f t="shared" si="512"/>
        <v/>
      </c>
      <c r="AC1246" s="537" t="str">
        <f t="shared" si="513"/>
        <v/>
      </c>
      <c r="AD1246" s="538" t="str">
        <f t="shared" ca="1" si="514"/>
        <v/>
      </c>
      <c r="AE1246" s="537">
        <f t="shared" ca="1" si="515"/>
        <v>0</v>
      </c>
      <c r="AF1246" s="539" t="str">
        <f t="shared" ca="1" si="525"/>
        <v/>
      </c>
      <c r="AG1246" s="531" t="str">
        <f t="shared" ca="1" si="526"/>
        <v/>
      </c>
      <c r="AH1246" s="531" t="str">
        <f t="shared" ca="1" si="527"/>
        <v/>
      </c>
      <c r="AI1246" s="531" t="str">
        <f t="shared" ca="1" si="528"/>
        <v/>
      </c>
      <c r="AJ1246" s="531" t="str">
        <f t="shared" si="529"/>
        <v/>
      </c>
      <c r="AK1246" s="540">
        <f>SUMIFS('Live Collections'!$S:$S,'Live Collections'!$D:$D,Disbursements!B1246,'Live Collections'!$G:$G,Disbursements!C1246)</f>
        <v>0</v>
      </c>
      <c r="AL1246" s="540">
        <f>SUMIFS('Live Collections'!$T:$T,'Live Collections'!$D:$D,Disbursements!B1246,'Live Collections'!$G:$G,Disbursements!C1246)</f>
        <v>0</v>
      </c>
      <c r="AM1246" s="541">
        <f t="shared" si="530"/>
        <v>0</v>
      </c>
      <c r="AN1246" s="542" t="str">
        <f t="shared" si="531"/>
        <v/>
      </c>
      <c r="AO1246" s="542" t="str">
        <f t="shared" si="532"/>
        <v/>
      </c>
      <c r="AP1246" s="543" t="str">
        <f t="shared" si="533"/>
        <v/>
      </c>
      <c r="AQ1246" s="544" t="str">
        <f t="shared" si="534"/>
        <v/>
      </c>
      <c r="AR1246" s="545">
        <f t="shared" si="535"/>
        <v>0</v>
      </c>
      <c r="AS1246" s="545">
        <f>IFERROR(CEILING($AR1246*VLOOKUP($I1246,Ref!$B$23:$E$29,4,0),1),0)</f>
        <v>0</v>
      </c>
      <c r="AT1246" s="545" t="str">
        <f>IF(A1246="","",IF(AP1246&lt;=1,"Cleared",IF(AS1246=0,"Clean",VLOOKUP($AS1246,Ref!$G$23:$H$28,2))))</f>
        <v/>
      </c>
      <c r="AU1246" s="546" t="str">
        <f t="shared" si="536"/>
        <v/>
      </c>
    </row>
    <row r="1247" spans="1:47" ht="14.25" hidden="1" customHeight="1" x14ac:dyDescent="0.15">
      <c r="A1247" s="523"/>
      <c r="B1247" s="523"/>
      <c r="C1247" s="523"/>
      <c r="D1247" s="523"/>
      <c r="E1247" s="579"/>
      <c r="F1247" s="580"/>
      <c r="G1247" s="524"/>
      <c r="H1247" s="555"/>
      <c r="I1247" s="560"/>
      <c r="J1247" s="523"/>
      <c r="K1247" s="528" t="str">
        <f>IFERROR(VLOOKUP($B1247,'Clients-Live'!$A:$C,3,0),"")</f>
        <v/>
      </c>
      <c r="L1247" s="528">
        <f>IF(E1247="STL",Pricing!$D$38,IF(A1247="",0,IF(A1247&lt;Pricing!$C$25,Pricing!$D$25,VLOOKUP(Disbursements!$F1247,Pricing!$B$29:$D$32,3))))</f>
        <v>0</v>
      </c>
      <c r="M1247" s="528">
        <f>IF(E1247="STL",0,IF(F1247&gt;0,Pricing!$D$21,0))</f>
        <v>0</v>
      </c>
      <c r="N1247" s="529">
        <f>IF(E1247="STL",F1247*Pricing!$D$40,IF(A1247&lt;=Pricing!$C$4,0,IF(AND(A1247&gt;Pricing!$C$4,Disbursements!A1247&lt;=Pricing!$C$5),F1247*Pricing!$E$5,IF(AND(A1247&gt;Pricing!$C$5,Disbursements!A1247&lt;=Pricing!$C$7),VLOOKUP(F1247,Pricing!$D$7:$E$8,2)*Disbursements!F1247,F1247*Pricing!$E$9))))</f>
        <v>0</v>
      </c>
      <c r="O1247" s="528">
        <f>IF(E1247="STL",0,IF($F1247&gt;0,$F1247*Pricing!$D$17,0))</f>
        <v>0</v>
      </c>
      <c r="P1247" s="530" t="str">
        <f t="shared" si="516"/>
        <v/>
      </c>
      <c r="Q1247" s="531" t="str">
        <f>IF($A1247="","",$G1247/VLOOKUP($I1247,Ref!$B$23:$D$29,2,0))</f>
        <v/>
      </c>
      <c r="R1247" s="530" t="str">
        <f t="shared" si="517"/>
        <v/>
      </c>
      <c r="S1247" s="532" t="str">
        <f t="shared" si="511"/>
        <v/>
      </c>
      <c r="T1247" s="531" t="str">
        <f t="shared" si="518"/>
        <v/>
      </c>
      <c r="U1247" s="533">
        <f t="shared" si="519"/>
        <v>0</v>
      </c>
      <c r="V1247" s="531" t="str">
        <f t="shared" si="520"/>
        <v/>
      </c>
      <c r="W1247" s="531" t="str">
        <f t="shared" si="521"/>
        <v/>
      </c>
      <c r="X1247" s="534" t="str">
        <f t="shared" si="522"/>
        <v/>
      </c>
      <c r="Y1247" s="535" t="str">
        <f>IF($A1247="","",IF($I1247="weekly",$A1247+7,EDATE($A1247,VLOOKUP($I1247,Ref!$B$24:$C$29,2,0))))</f>
        <v/>
      </c>
      <c r="Z1247" s="536" t="str">
        <f t="shared" si="523"/>
        <v/>
      </c>
      <c r="AA1247" s="531">
        <f t="shared" si="524"/>
        <v>0</v>
      </c>
      <c r="AB1247" s="535" t="str">
        <f t="shared" si="512"/>
        <v/>
      </c>
      <c r="AC1247" s="537" t="str">
        <f t="shared" si="513"/>
        <v/>
      </c>
      <c r="AD1247" s="538" t="str">
        <f t="shared" ca="1" si="514"/>
        <v/>
      </c>
      <c r="AE1247" s="537">
        <f t="shared" ca="1" si="515"/>
        <v>0</v>
      </c>
      <c r="AF1247" s="539" t="str">
        <f t="shared" ca="1" si="525"/>
        <v/>
      </c>
      <c r="AG1247" s="531" t="str">
        <f t="shared" ca="1" si="526"/>
        <v/>
      </c>
      <c r="AH1247" s="531" t="str">
        <f t="shared" ca="1" si="527"/>
        <v/>
      </c>
      <c r="AI1247" s="531" t="str">
        <f t="shared" ca="1" si="528"/>
        <v/>
      </c>
      <c r="AJ1247" s="531" t="str">
        <f t="shared" si="529"/>
        <v/>
      </c>
      <c r="AK1247" s="540">
        <f>SUMIFS('Live Collections'!$S:$S,'Live Collections'!$D:$D,Disbursements!B1247,'Live Collections'!$G:$G,Disbursements!C1247)</f>
        <v>0</v>
      </c>
      <c r="AL1247" s="540">
        <f>SUMIFS('Live Collections'!$T:$T,'Live Collections'!$D:$D,Disbursements!B1247,'Live Collections'!$G:$G,Disbursements!C1247)</f>
        <v>0</v>
      </c>
      <c r="AM1247" s="541">
        <f t="shared" si="530"/>
        <v>0</v>
      </c>
      <c r="AN1247" s="542" t="str">
        <f t="shared" si="531"/>
        <v/>
      </c>
      <c r="AO1247" s="542" t="str">
        <f t="shared" si="532"/>
        <v/>
      </c>
      <c r="AP1247" s="543" t="str">
        <f t="shared" si="533"/>
        <v/>
      </c>
      <c r="AQ1247" s="544" t="str">
        <f t="shared" si="534"/>
        <v/>
      </c>
      <c r="AR1247" s="545">
        <f t="shared" si="535"/>
        <v>0</v>
      </c>
      <c r="AS1247" s="545">
        <f>IFERROR(CEILING($AR1247*VLOOKUP($I1247,Ref!$B$23:$E$29,4,0),1),0)</f>
        <v>0</v>
      </c>
      <c r="AT1247" s="545" t="str">
        <f>IF(A1247="","",IF(AP1247&lt;=1,"Cleared",IF(AS1247=0,"Clean",VLOOKUP($AS1247,Ref!$G$23:$H$28,2))))</f>
        <v/>
      </c>
      <c r="AU1247" s="546" t="str">
        <f t="shared" si="536"/>
        <v/>
      </c>
    </row>
    <row r="1248" spans="1:47" ht="14.25" hidden="1" customHeight="1" x14ac:dyDescent="0.15">
      <c r="A1248" s="523"/>
      <c r="B1248" s="523"/>
      <c r="C1248" s="523"/>
      <c r="D1248" s="523"/>
      <c r="E1248" s="579"/>
      <c r="F1248" s="580"/>
      <c r="G1248" s="524"/>
      <c r="H1248" s="555"/>
      <c r="I1248" s="560"/>
      <c r="J1248" s="523"/>
      <c r="K1248" s="528" t="str">
        <f>IFERROR(VLOOKUP($B1248,'Clients-Live'!$A:$C,3,0),"")</f>
        <v/>
      </c>
      <c r="L1248" s="528">
        <f>IF(E1248="STL",Pricing!$D$38,IF(A1248="",0,IF(A1248&lt;Pricing!$C$25,Pricing!$D$25,VLOOKUP(Disbursements!$F1248,Pricing!$B$29:$D$32,3))))</f>
        <v>0</v>
      </c>
      <c r="M1248" s="528">
        <f>IF(E1248="STL",0,IF(F1248&gt;0,Pricing!$D$21,0))</f>
        <v>0</v>
      </c>
      <c r="N1248" s="529">
        <f>IF(E1248="STL",F1248*Pricing!$D$40,IF(A1248&lt;=Pricing!$C$4,0,IF(AND(A1248&gt;Pricing!$C$4,Disbursements!A1248&lt;=Pricing!$C$5),F1248*Pricing!$E$5,IF(AND(A1248&gt;Pricing!$C$5,Disbursements!A1248&lt;=Pricing!$C$7),VLOOKUP(F1248,Pricing!$D$7:$E$8,2)*Disbursements!F1248,F1248*Pricing!$E$9))))</f>
        <v>0</v>
      </c>
      <c r="O1248" s="528">
        <f>IF(E1248="STL",0,IF($F1248&gt;0,$F1248*Pricing!$D$17,0))</f>
        <v>0</v>
      </c>
      <c r="P1248" s="530" t="str">
        <f t="shared" si="516"/>
        <v/>
      </c>
      <c r="Q1248" s="531" t="str">
        <f>IF($A1248="","",$G1248/VLOOKUP($I1248,Ref!$B$23:$D$29,2,0))</f>
        <v/>
      </c>
      <c r="R1248" s="530" t="str">
        <f t="shared" si="517"/>
        <v/>
      </c>
      <c r="S1248" s="532" t="str">
        <f t="shared" si="511"/>
        <v/>
      </c>
      <c r="T1248" s="531" t="str">
        <f t="shared" si="518"/>
        <v/>
      </c>
      <c r="U1248" s="533">
        <f t="shared" si="519"/>
        <v>0</v>
      </c>
      <c r="V1248" s="531" t="str">
        <f t="shared" si="520"/>
        <v/>
      </c>
      <c r="W1248" s="531" t="str">
        <f t="shared" si="521"/>
        <v/>
      </c>
      <c r="X1248" s="534" t="str">
        <f t="shared" si="522"/>
        <v/>
      </c>
      <c r="Y1248" s="535" t="str">
        <f>IF($A1248="","",IF($I1248="weekly",$A1248+7,EDATE($A1248,VLOOKUP($I1248,Ref!$B$24:$C$29,2,0))))</f>
        <v/>
      </c>
      <c r="Z1248" s="536" t="str">
        <f t="shared" si="523"/>
        <v/>
      </c>
      <c r="AA1248" s="531">
        <f t="shared" si="524"/>
        <v>0</v>
      </c>
      <c r="AB1248" s="535" t="str">
        <f t="shared" si="512"/>
        <v/>
      </c>
      <c r="AC1248" s="537" t="str">
        <f t="shared" si="513"/>
        <v/>
      </c>
      <c r="AD1248" s="538" t="str">
        <f t="shared" ca="1" si="514"/>
        <v/>
      </c>
      <c r="AE1248" s="537">
        <f t="shared" ca="1" si="515"/>
        <v>0</v>
      </c>
      <c r="AF1248" s="539" t="str">
        <f t="shared" ca="1" si="525"/>
        <v/>
      </c>
      <c r="AG1248" s="531" t="str">
        <f t="shared" ca="1" si="526"/>
        <v/>
      </c>
      <c r="AH1248" s="531" t="str">
        <f t="shared" ca="1" si="527"/>
        <v/>
      </c>
      <c r="AI1248" s="531" t="str">
        <f t="shared" ca="1" si="528"/>
        <v/>
      </c>
      <c r="AJ1248" s="531" t="str">
        <f t="shared" si="529"/>
        <v/>
      </c>
      <c r="AK1248" s="540">
        <f>SUMIFS('Live Collections'!$S:$S,'Live Collections'!$D:$D,Disbursements!B1248,'Live Collections'!$G:$G,Disbursements!C1248)</f>
        <v>0</v>
      </c>
      <c r="AL1248" s="540">
        <f>SUMIFS('Live Collections'!$T:$T,'Live Collections'!$D:$D,Disbursements!B1248,'Live Collections'!$G:$G,Disbursements!C1248)</f>
        <v>0</v>
      </c>
      <c r="AM1248" s="541">
        <f t="shared" si="530"/>
        <v>0</v>
      </c>
      <c r="AN1248" s="542" t="str">
        <f t="shared" si="531"/>
        <v/>
      </c>
      <c r="AO1248" s="542" t="str">
        <f t="shared" si="532"/>
        <v/>
      </c>
      <c r="AP1248" s="543" t="str">
        <f t="shared" si="533"/>
        <v/>
      </c>
      <c r="AQ1248" s="544" t="str">
        <f t="shared" si="534"/>
        <v/>
      </c>
      <c r="AR1248" s="545">
        <f t="shared" si="535"/>
        <v>0</v>
      </c>
      <c r="AS1248" s="545">
        <f>IFERROR(CEILING($AR1248*VLOOKUP($I1248,Ref!$B$23:$E$29,4,0),1),0)</f>
        <v>0</v>
      </c>
      <c r="AT1248" s="545" t="str">
        <f>IF(A1248="","",IF(AP1248&lt;=1,"Cleared",IF(AS1248=0,"Clean",VLOOKUP($AS1248,Ref!$G$23:$H$28,2))))</f>
        <v/>
      </c>
      <c r="AU1248" s="546" t="str">
        <f t="shared" si="536"/>
        <v/>
      </c>
    </row>
    <row r="1249" spans="1:47" ht="14.25" hidden="1" customHeight="1" x14ac:dyDescent="0.15">
      <c r="A1249" s="523"/>
      <c r="B1249" s="523"/>
      <c r="C1249" s="523"/>
      <c r="D1249" s="523"/>
      <c r="E1249" s="579"/>
      <c r="F1249" s="580"/>
      <c r="G1249" s="524"/>
      <c r="H1249" s="555"/>
      <c r="I1249" s="560"/>
      <c r="J1249" s="523"/>
      <c r="K1249" s="528" t="str">
        <f>IFERROR(VLOOKUP($B1249,'Clients-Live'!$A:$C,3,0),"")</f>
        <v/>
      </c>
      <c r="L1249" s="528">
        <f>IF(E1249="STL",Pricing!$D$38,IF(A1249="",0,IF(A1249&lt;Pricing!$C$25,Pricing!$D$25,VLOOKUP(Disbursements!$F1249,Pricing!$B$29:$D$32,3))))</f>
        <v>0</v>
      </c>
      <c r="M1249" s="528">
        <f>IF(E1249="STL",0,IF(F1249&gt;0,Pricing!$D$21,0))</f>
        <v>0</v>
      </c>
      <c r="N1249" s="529">
        <f>IF(E1249="STL",F1249*Pricing!$D$40,IF(A1249&lt;=Pricing!$C$4,0,IF(AND(A1249&gt;Pricing!$C$4,Disbursements!A1249&lt;=Pricing!$C$5),F1249*Pricing!$E$5,IF(AND(A1249&gt;Pricing!$C$5,Disbursements!A1249&lt;=Pricing!$C$7),VLOOKUP(F1249,Pricing!$D$7:$E$8,2)*Disbursements!F1249,F1249*Pricing!$E$9))))</f>
        <v>0</v>
      </c>
      <c r="O1249" s="528">
        <f>IF(E1249="STL",0,IF($F1249&gt;0,$F1249*Pricing!$D$17,0))</f>
        <v>0</v>
      </c>
      <c r="P1249" s="530" t="str">
        <f t="shared" si="516"/>
        <v/>
      </c>
      <c r="Q1249" s="531" t="str">
        <f>IF($A1249="","",$G1249/VLOOKUP($I1249,Ref!$B$23:$D$29,2,0))</f>
        <v/>
      </c>
      <c r="R1249" s="530" t="str">
        <f t="shared" si="517"/>
        <v/>
      </c>
      <c r="S1249" s="532" t="str">
        <f t="shared" si="511"/>
        <v/>
      </c>
      <c r="T1249" s="531" t="str">
        <f t="shared" si="518"/>
        <v/>
      </c>
      <c r="U1249" s="533">
        <f t="shared" si="519"/>
        <v>0</v>
      </c>
      <c r="V1249" s="531" t="str">
        <f t="shared" si="520"/>
        <v/>
      </c>
      <c r="W1249" s="531" t="str">
        <f t="shared" si="521"/>
        <v/>
      </c>
      <c r="X1249" s="534" t="str">
        <f t="shared" si="522"/>
        <v/>
      </c>
      <c r="Y1249" s="535" t="str">
        <f>IF($A1249="","",IF($I1249="weekly",$A1249+7,EDATE($A1249,VLOOKUP($I1249,Ref!$B$24:$C$29,2,0))))</f>
        <v/>
      </c>
      <c r="Z1249" s="536" t="str">
        <f t="shared" si="523"/>
        <v/>
      </c>
      <c r="AA1249" s="531">
        <f t="shared" si="524"/>
        <v>0</v>
      </c>
      <c r="AB1249" s="535" t="str">
        <f t="shared" si="512"/>
        <v/>
      </c>
      <c r="AC1249" s="537" t="str">
        <f t="shared" si="513"/>
        <v/>
      </c>
      <c r="AD1249" s="538" t="str">
        <f t="shared" ca="1" si="514"/>
        <v/>
      </c>
      <c r="AE1249" s="537">
        <f t="shared" ca="1" si="515"/>
        <v>0</v>
      </c>
      <c r="AF1249" s="539" t="str">
        <f t="shared" ca="1" si="525"/>
        <v/>
      </c>
      <c r="AG1249" s="531" t="str">
        <f t="shared" ca="1" si="526"/>
        <v/>
      </c>
      <c r="AH1249" s="531" t="str">
        <f t="shared" ca="1" si="527"/>
        <v/>
      </c>
      <c r="AI1249" s="531" t="str">
        <f t="shared" ca="1" si="528"/>
        <v/>
      </c>
      <c r="AJ1249" s="531" t="str">
        <f t="shared" si="529"/>
        <v/>
      </c>
      <c r="AK1249" s="540">
        <f>SUMIFS('Live Collections'!$S:$S,'Live Collections'!$D:$D,Disbursements!B1249,'Live Collections'!$G:$G,Disbursements!C1249)</f>
        <v>0</v>
      </c>
      <c r="AL1249" s="540">
        <f>SUMIFS('Live Collections'!$T:$T,'Live Collections'!$D:$D,Disbursements!B1249,'Live Collections'!$G:$G,Disbursements!C1249)</f>
        <v>0</v>
      </c>
      <c r="AM1249" s="541">
        <f t="shared" si="530"/>
        <v>0</v>
      </c>
      <c r="AN1249" s="542" t="str">
        <f t="shared" si="531"/>
        <v/>
      </c>
      <c r="AO1249" s="542" t="str">
        <f t="shared" si="532"/>
        <v/>
      </c>
      <c r="AP1249" s="543" t="str">
        <f t="shared" si="533"/>
        <v/>
      </c>
      <c r="AQ1249" s="544" t="str">
        <f t="shared" si="534"/>
        <v/>
      </c>
      <c r="AR1249" s="545">
        <f t="shared" si="535"/>
        <v>0</v>
      </c>
      <c r="AS1249" s="545">
        <f>IFERROR(CEILING($AR1249*VLOOKUP($I1249,Ref!$B$23:$E$29,4,0),1),0)</f>
        <v>0</v>
      </c>
      <c r="AT1249" s="545" t="str">
        <f>IF(A1249="","",IF(AP1249&lt;=1,"Cleared",IF(AS1249=0,"Clean",VLOOKUP($AS1249,Ref!$G$23:$H$28,2))))</f>
        <v/>
      </c>
      <c r="AU1249" s="546" t="str">
        <f t="shared" si="536"/>
        <v/>
      </c>
    </row>
    <row r="1250" spans="1:47" ht="14.25" hidden="1" customHeight="1" x14ac:dyDescent="0.15">
      <c r="A1250" s="523"/>
      <c r="B1250" s="523"/>
      <c r="C1250" s="523"/>
      <c r="D1250" s="523"/>
      <c r="E1250" s="579"/>
      <c r="F1250" s="580"/>
      <c r="G1250" s="524"/>
      <c r="H1250" s="555"/>
      <c r="I1250" s="560"/>
      <c r="J1250" s="523"/>
      <c r="K1250" s="528" t="str">
        <f>IFERROR(VLOOKUP($B1250,'Clients-Live'!$A:$C,3,0),"")</f>
        <v/>
      </c>
      <c r="L1250" s="528">
        <f>IF(E1250="STL",Pricing!$D$38,IF(A1250="",0,IF(A1250&lt;Pricing!$C$25,Pricing!$D$25,VLOOKUP(Disbursements!$F1250,Pricing!$B$29:$D$32,3))))</f>
        <v>0</v>
      </c>
      <c r="M1250" s="528">
        <f>IF(E1250="STL",0,IF(F1250&gt;0,Pricing!$D$21,0))</f>
        <v>0</v>
      </c>
      <c r="N1250" s="529">
        <f>IF(E1250="STL",F1250*Pricing!$D$40,IF(A1250&lt;=Pricing!$C$4,0,IF(AND(A1250&gt;Pricing!$C$4,Disbursements!A1250&lt;=Pricing!$C$5),F1250*Pricing!$E$5,IF(AND(A1250&gt;Pricing!$C$5,Disbursements!A1250&lt;=Pricing!$C$7),VLOOKUP(F1250,Pricing!$D$7:$E$8,2)*Disbursements!F1250,F1250*Pricing!$E$9))))</f>
        <v>0</v>
      </c>
      <c r="O1250" s="528">
        <f>IF(E1250="STL",0,IF($F1250&gt;0,$F1250*Pricing!$D$17,0))</f>
        <v>0</v>
      </c>
      <c r="P1250" s="530" t="str">
        <f t="shared" si="516"/>
        <v/>
      </c>
      <c r="Q1250" s="531" t="str">
        <f>IF($A1250="","",$G1250/VLOOKUP($I1250,Ref!$B$23:$D$29,2,0))</f>
        <v/>
      </c>
      <c r="R1250" s="530" t="str">
        <f t="shared" si="517"/>
        <v/>
      </c>
      <c r="S1250" s="532" t="str">
        <f t="shared" si="511"/>
        <v/>
      </c>
      <c r="T1250" s="531" t="str">
        <f t="shared" si="518"/>
        <v/>
      </c>
      <c r="U1250" s="533">
        <f t="shared" si="519"/>
        <v>0</v>
      </c>
      <c r="V1250" s="531" t="str">
        <f t="shared" si="520"/>
        <v/>
      </c>
      <c r="W1250" s="531" t="str">
        <f t="shared" si="521"/>
        <v/>
      </c>
      <c r="X1250" s="534" t="str">
        <f t="shared" si="522"/>
        <v/>
      </c>
      <c r="Y1250" s="535" t="str">
        <f>IF($A1250="","",IF($I1250="weekly",$A1250+7,EDATE($A1250,VLOOKUP($I1250,Ref!$B$24:$C$29,2,0))))</f>
        <v/>
      </c>
      <c r="Z1250" s="536" t="str">
        <f t="shared" si="523"/>
        <v/>
      </c>
      <c r="AA1250" s="531">
        <f t="shared" si="524"/>
        <v>0</v>
      </c>
      <c r="AB1250" s="535" t="str">
        <f t="shared" si="512"/>
        <v/>
      </c>
      <c r="AC1250" s="537" t="str">
        <f t="shared" si="513"/>
        <v/>
      </c>
      <c r="AD1250" s="538" t="str">
        <f t="shared" ca="1" si="514"/>
        <v/>
      </c>
      <c r="AE1250" s="537">
        <f t="shared" ca="1" si="515"/>
        <v>0</v>
      </c>
      <c r="AF1250" s="539" t="str">
        <f t="shared" ca="1" si="525"/>
        <v/>
      </c>
      <c r="AG1250" s="531" t="str">
        <f t="shared" ca="1" si="526"/>
        <v/>
      </c>
      <c r="AH1250" s="531" t="str">
        <f t="shared" ca="1" si="527"/>
        <v/>
      </c>
      <c r="AI1250" s="531" t="str">
        <f t="shared" ca="1" si="528"/>
        <v/>
      </c>
      <c r="AJ1250" s="531" t="str">
        <f t="shared" si="529"/>
        <v/>
      </c>
      <c r="AK1250" s="540">
        <f>SUMIFS('Live Collections'!$S:$S,'Live Collections'!$D:$D,Disbursements!B1250,'Live Collections'!$G:$G,Disbursements!C1250)</f>
        <v>0</v>
      </c>
      <c r="AL1250" s="540">
        <f>SUMIFS('Live Collections'!$T:$T,'Live Collections'!$D:$D,Disbursements!B1250,'Live Collections'!$G:$G,Disbursements!C1250)</f>
        <v>0</v>
      </c>
      <c r="AM1250" s="541">
        <f t="shared" si="530"/>
        <v>0</v>
      </c>
      <c r="AN1250" s="542" t="str">
        <f t="shared" si="531"/>
        <v/>
      </c>
      <c r="AO1250" s="542" t="str">
        <f t="shared" si="532"/>
        <v/>
      </c>
      <c r="AP1250" s="543" t="str">
        <f t="shared" si="533"/>
        <v/>
      </c>
      <c r="AQ1250" s="544" t="str">
        <f t="shared" si="534"/>
        <v/>
      </c>
      <c r="AR1250" s="545">
        <f t="shared" si="535"/>
        <v>0</v>
      </c>
      <c r="AS1250" s="545">
        <f>IFERROR(CEILING($AR1250*VLOOKUP($I1250,Ref!$B$23:$E$29,4,0),1),0)</f>
        <v>0</v>
      </c>
      <c r="AT1250" s="545" t="str">
        <f>IF(A1250="","",IF(AP1250&lt;=1,"Cleared",IF(AS1250=0,"Clean",VLOOKUP($AS1250,Ref!$G$23:$H$28,2))))</f>
        <v/>
      </c>
      <c r="AU1250" s="546" t="str">
        <f t="shared" si="536"/>
        <v/>
      </c>
    </row>
    <row r="1251" spans="1:47" ht="14.25" hidden="1" customHeight="1" x14ac:dyDescent="0.15">
      <c r="A1251" s="523"/>
      <c r="B1251" s="523"/>
      <c r="C1251" s="523"/>
      <c r="D1251" s="523"/>
      <c r="E1251" s="579"/>
      <c r="F1251" s="580"/>
      <c r="G1251" s="524"/>
      <c r="H1251" s="555"/>
      <c r="I1251" s="560"/>
      <c r="J1251" s="523"/>
      <c r="K1251" s="528" t="str">
        <f>IFERROR(VLOOKUP($B1251,'Clients-Live'!$A:$C,3,0),"")</f>
        <v/>
      </c>
      <c r="L1251" s="528">
        <f>IF(E1251="STL",Pricing!$D$38,IF(A1251="",0,IF(A1251&lt;Pricing!$C$25,Pricing!$D$25,VLOOKUP(Disbursements!$F1251,Pricing!$B$29:$D$32,3))))</f>
        <v>0</v>
      </c>
      <c r="M1251" s="528">
        <f>IF(E1251="STL",0,IF(F1251&gt;0,Pricing!$D$21,0))</f>
        <v>0</v>
      </c>
      <c r="N1251" s="529">
        <f>IF(E1251="STL",F1251*Pricing!$D$40,IF(A1251&lt;=Pricing!$C$4,0,IF(AND(A1251&gt;Pricing!$C$4,Disbursements!A1251&lt;=Pricing!$C$5),F1251*Pricing!$E$5,IF(AND(A1251&gt;Pricing!$C$5,Disbursements!A1251&lt;=Pricing!$C$7),VLOOKUP(F1251,Pricing!$D$7:$E$8,2)*Disbursements!F1251,F1251*Pricing!$E$9))))</f>
        <v>0</v>
      </c>
      <c r="O1251" s="528">
        <f>IF(E1251="STL",0,IF($F1251&gt;0,$F1251*Pricing!$D$17,0))</f>
        <v>0</v>
      </c>
      <c r="P1251" s="530" t="str">
        <f t="shared" si="516"/>
        <v/>
      </c>
      <c r="Q1251" s="531" t="str">
        <f>IF($A1251="","",$G1251/VLOOKUP($I1251,Ref!$B$23:$D$29,2,0))</f>
        <v/>
      </c>
      <c r="R1251" s="530" t="str">
        <f t="shared" si="517"/>
        <v/>
      </c>
      <c r="S1251" s="532" t="str">
        <f t="shared" si="511"/>
        <v/>
      </c>
      <c r="T1251" s="531" t="str">
        <f t="shared" si="518"/>
        <v/>
      </c>
      <c r="U1251" s="533">
        <f t="shared" si="519"/>
        <v>0</v>
      </c>
      <c r="V1251" s="531" t="str">
        <f t="shared" si="520"/>
        <v/>
      </c>
      <c r="W1251" s="531" t="str">
        <f t="shared" si="521"/>
        <v/>
      </c>
      <c r="X1251" s="534" t="str">
        <f t="shared" si="522"/>
        <v/>
      </c>
      <c r="Y1251" s="535" t="str">
        <f>IF($A1251="","",IF($I1251="weekly",$A1251+7,EDATE($A1251,VLOOKUP($I1251,Ref!$B$24:$C$29,2,0))))</f>
        <v/>
      </c>
      <c r="Z1251" s="536" t="str">
        <f t="shared" si="523"/>
        <v/>
      </c>
      <c r="AA1251" s="531">
        <f t="shared" si="524"/>
        <v>0</v>
      </c>
      <c r="AB1251" s="535" t="str">
        <f t="shared" si="512"/>
        <v/>
      </c>
      <c r="AC1251" s="537" t="str">
        <f t="shared" si="513"/>
        <v/>
      </c>
      <c r="AD1251" s="538" t="str">
        <f t="shared" ca="1" si="514"/>
        <v/>
      </c>
      <c r="AE1251" s="537">
        <f t="shared" ca="1" si="515"/>
        <v>0</v>
      </c>
      <c r="AF1251" s="539" t="str">
        <f t="shared" ca="1" si="525"/>
        <v/>
      </c>
      <c r="AG1251" s="531" t="str">
        <f t="shared" ca="1" si="526"/>
        <v/>
      </c>
      <c r="AH1251" s="531" t="str">
        <f t="shared" ca="1" si="527"/>
        <v/>
      </c>
      <c r="AI1251" s="531" t="str">
        <f t="shared" ca="1" si="528"/>
        <v/>
      </c>
      <c r="AJ1251" s="531" t="str">
        <f t="shared" si="529"/>
        <v/>
      </c>
      <c r="AK1251" s="540">
        <f>SUMIFS('Live Collections'!$S:$S,'Live Collections'!$D:$D,Disbursements!B1251,'Live Collections'!$G:$G,Disbursements!C1251)</f>
        <v>0</v>
      </c>
      <c r="AL1251" s="540">
        <f>SUMIFS('Live Collections'!$T:$T,'Live Collections'!$D:$D,Disbursements!B1251,'Live Collections'!$G:$G,Disbursements!C1251)</f>
        <v>0</v>
      </c>
      <c r="AM1251" s="541">
        <f t="shared" si="530"/>
        <v>0</v>
      </c>
      <c r="AN1251" s="542" t="str">
        <f t="shared" si="531"/>
        <v/>
      </c>
      <c r="AO1251" s="542" t="str">
        <f t="shared" si="532"/>
        <v/>
      </c>
      <c r="AP1251" s="543" t="str">
        <f t="shared" si="533"/>
        <v/>
      </c>
      <c r="AQ1251" s="544" t="str">
        <f t="shared" si="534"/>
        <v/>
      </c>
      <c r="AR1251" s="545">
        <f t="shared" si="535"/>
        <v>0</v>
      </c>
      <c r="AS1251" s="545">
        <f>IFERROR(CEILING($AR1251*VLOOKUP($I1251,Ref!$B$23:$E$29,4,0),1),0)</f>
        <v>0</v>
      </c>
      <c r="AT1251" s="545" t="str">
        <f>IF(A1251="","",IF(AP1251&lt;=1,"Cleared",IF(AS1251=0,"Clean",VLOOKUP($AS1251,Ref!$G$23:$H$28,2))))</f>
        <v/>
      </c>
      <c r="AU1251" s="546" t="str">
        <f t="shared" si="536"/>
        <v/>
      </c>
    </row>
    <row r="1252" spans="1:47" ht="14.25" hidden="1" customHeight="1" x14ac:dyDescent="0.15">
      <c r="A1252" s="523"/>
      <c r="B1252" s="523"/>
      <c r="C1252" s="523"/>
      <c r="D1252" s="523"/>
      <c r="E1252" s="579"/>
      <c r="F1252" s="580"/>
      <c r="G1252" s="524"/>
      <c r="H1252" s="555"/>
      <c r="I1252" s="560"/>
      <c r="J1252" s="523"/>
      <c r="K1252" s="528" t="str">
        <f>IFERROR(VLOOKUP($B1252,'Clients-Live'!$A:$C,3,0),"")</f>
        <v/>
      </c>
      <c r="L1252" s="528">
        <f>IF(E1252="STL",Pricing!$D$38,IF(A1252="",0,IF(A1252&lt;Pricing!$C$25,Pricing!$D$25,VLOOKUP(Disbursements!$F1252,Pricing!$B$29:$D$32,3))))</f>
        <v>0</v>
      </c>
      <c r="M1252" s="528">
        <f>IF(E1252="STL",0,IF(F1252&gt;0,Pricing!$D$21,0))</f>
        <v>0</v>
      </c>
      <c r="N1252" s="529">
        <f>IF(E1252="STL",F1252*Pricing!$D$40,IF(A1252&lt;=Pricing!$C$4,0,IF(AND(A1252&gt;Pricing!$C$4,Disbursements!A1252&lt;=Pricing!$C$5),F1252*Pricing!$E$5,IF(AND(A1252&gt;Pricing!$C$5,Disbursements!A1252&lt;=Pricing!$C$7),VLOOKUP(F1252,Pricing!$D$7:$E$8,2)*Disbursements!F1252,F1252*Pricing!$E$9))))</f>
        <v>0</v>
      </c>
      <c r="O1252" s="528">
        <f>IF(E1252="STL",0,IF($F1252&gt;0,$F1252*Pricing!$D$17,0))</f>
        <v>0</v>
      </c>
      <c r="P1252" s="530" t="str">
        <f t="shared" si="516"/>
        <v/>
      </c>
      <c r="Q1252" s="531" t="str">
        <f>IF($A1252="","",$G1252/VLOOKUP($I1252,Ref!$B$23:$D$29,2,0))</f>
        <v/>
      </c>
      <c r="R1252" s="530" t="str">
        <f t="shared" si="517"/>
        <v/>
      </c>
      <c r="S1252" s="532" t="str">
        <f t="shared" si="511"/>
        <v/>
      </c>
      <c r="T1252" s="531" t="str">
        <f t="shared" si="518"/>
        <v/>
      </c>
      <c r="U1252" s="533">
        <f t="shared" si="519"/>
        <v>0</v>
      </c>
      <c r="V1252" s="531" t="str">
        <f t="shared" si="520"/>
        <v/>
      </c>
      <c r="W1252" s="531" t="str">
        <f t="shared" si="521"/>
        <v/>
      </c>
      <c r="X1252" s="534" t="str">
        <f t="shared" si="522"/>
        <v/>
      </c>
      <c r="Y1252" s="535" t="str">
        <f>IF($A1252="","",IF($I1252="weekly",$A1252+7,EDATE($A1252,VLOOKUP($I1252,Ref!$B$24:$C$29,2,0))))</f>
        <v/>
      </c>
      <c r="Z1252" s="536" t="str">
        <f t="shared" si="523"/>
        <v/>
      </c>
      <c r="AA1252" s="531">
        <f t="shared" si="524"/>
        <v>0</v>
      </c>
      <c r="AB1252" s="535" t="str">
        <f t="shared" si="512"/>
        <v/>
      </c>
      <c r="AC1252" s="537" t="str">
        <f t="shared" si="513"/>
        <v/>
      </c>
      <c r="AD1252" s="538" t="str">
        <f t="shared" ca="1" si="514"/>
        <v/>
      </c>
      <c r="AE1252" s="537">
        <f t="shared" ca="1" si="515"/>
        <v>0</v>
      </c>
      <c r="AF1252" s="539" t="str">
        <f t="shared" ca="1" si="525"/>
        <v/>
      </c>
      <c r="AG1252" s="531" t="str">
        <f t="shared" ca="1" si="526"/>
        <v/>
      </c>
      <c r="AH1252" s="531" t="str">
        <f t="shared" ca="1" si="527"/>
        <v/>
      </c>
      <c r="AI1252" s="531" t="str">
        <f t="shared" ca="1" si="528"/>
        <v/>
      </c>
      <c r="AJ1252" s="531" t="str">
        <f t="shared" si="529"/>
        <v/>
      </c>
      <c r="AK1252" s="540">
        <f>SUMIFS('Live Collections'!$S:$S,'Live Collections'!$D:$D,Disbursements!B1252,'Live Collections'!$G:$G,Disbursements!C1252)</f>
        <v>0</v>
      </c>
      <c r="AL1252" s="540">
        <f>SUMIFS('Live Collections'!$T:$T,'Live Collections'!$D:$D,Disbursements!B1252,'Live Collections'!$G:$G,Disbursements!C1252)</f>
        <v>0</v>
      </c>
      <c r="AM1252" s="541">
        <f t="shared" si="530"/>
        <v>0</v>
      </c>
      <c r="AN1252" s="542" t="str">
        <f t="shared" si="531"/>
        <v/>
      </c>
      <c r="AO1252" s="542" t="str">
        <f t="shared" si="532"/>
        <v/>
      </c>
      <c r="AP1252" s="543" t="str">
        <f t="shared" si="533"/>
        <v/>
      </c>
      <c r="AQ1252" s="544" t="str">
        <f t="shared" si="534"/>
        <v/>
      </c>
      <c r="AR1252" s="545">
        <f t="shared" si="535"/>
        <v>0</v>
      </c>
      <c r="AS1252" s="545">
        <f>IFERROR(CEILING($AR1252*VLOOKUP($I1252,Ref!$B$23:$E$29,4,0),1),0)</f>
        <v>0</v>
      </c>
      <c r="AT1252" s="545" t="str">
        <f>IF(A1252="","",IF(AP1252&lt;=1,"Cleared",IF(AS1252=0,"Clean",VLOOKUP($AS1252,Ref!$G$23:$H$28,2))))</f>
        <v/>
      </c>
      <c r="AU1252" s="546" t="str">
        <f t="shared" si="536"/>
        <v/>
      </c>
    </row>
    <row r="1253" spans="1:47" ht="14.25" hidden="1" customHeight="1" x14ac:dyDescent="0.15">
      <c r="A1253" s="523"/>
      <c r="B1253" s="523"/>
      <c r="C1253" s="523"/>
      <c r="D1253" s="523"/>
      <c r="E1253" s="579"/>
      <c r="F1253" s="580"/>
      <c r="G1253" s="524"/>
      <c r="H1253" s="555"/>
      <c r="I1253" s="560"/>
      <c r="J1253" s="523"/>
      <c r="K1253" s="528" t="str">
        <f>IFERROR(VLOOKUP($B1253,'Clients-Live'!$A:$C,3,0),"")</f>
        <v/>
      </c>
      <c r="L1253" s="528">
        <f>IF(E1253="STL",Pricing!$D$38,IF(A1253="",0,IF(A1253&lt;Pricing!$C$25,Pricing!$D$25,VLOOKUP(Disbursements!$F1253,Pricing!$B$29:$D$32,3))))</f>
        <v>0</v>
      </c>
      <c r="M1253" s="528">
        <f>IF(E1253="STL",0,IF(F1253&gt;0,Pricing!$D$21,0))</f>
        <v>0</v>
      </c>
      <c r="N1253" s="529">
        <f>IF(E1253="STL",F1253*Pricing!$D$40,IF(A1253&lt;=Pricing!$C$4,0,IF(AND(A1253&gt;Pricing!$C$4,Disbursements!A1253&lt;=Pricing!$C$5),F1253*Pricing!$E$5,IF(AND(A1253&gt;Pricing!$C$5,Disbursements!A1253&lt;=Pricing!$C$7),VLOOKUP(F1253,Pricing!$D$7:$E$8,2)*Disbursements!F1253,F1253*Pricing!$E$9))))</f>
        <v>0</v>
      </c>
      <c r="O1253" s="528">
        <f>IF(E1253="STL",0,IF($F1253&gt;0,$F1253*Pricing!$D$17,0))</f>
        <v>0</v>
      </c>
      <c r="P1253" s="530" t="str">
        <f t="shared" si="516"/>
        <v/>
      </c>
      <c r="Q1253" s="531" t="str">
        <f>IF($A1253="","",$G1253/VLOOKUP($I1253,Ref!$B$23:$D$29,2,0))</f>
        <v/>
      </c>
      <c r="R1253" s="530" t="str">
        <f t="shared" si="517"/>
        <v/>
      </c>
      <c r="S1253" s="532" t="str">
        <f t="shared" si="511"/>
        <v/>
      </c>
      <c r="T1253" s="531" t="str">
        <f t="shared" si="518"/>
        <v/>
      </c>
      <c r="U1253" s="533">
        <f t="shared" si="519"/>
        <v>0</v>
      </c>
      <c r="V1253" s="531" t="str">
        <f t="shared" si="520"/>
        <v/>
      </c>
      <c r="W1253" s="531" t="str">
        <f t="shared" si="521"/>
        <v/>
      </c>
      <c r="X1253" s="534" t="str">
        <f t="shared" si="522"/>
        <v/>
      </c>
      <c r="Y1253" s="535" t="str">
        <f>IF($A1253="","",IF($I1253="weekly",$A1253+7,EDATE($A1253,VLOOKUP($I1253,Ref!$B$24:$C$29,2,0))))</f>
        <v/>
      </c>
      <c r="Z1253" s="536" t="str">
        <f t="shared" si="523"/>
        <v/>
      </c>
      <c r="AA1253" s="531">
        <f t="shared" si="524"/>
        <v>0</v>
      </c>
      <c r="AB1253" s="535" t="str">
        <f t="shared" si="512"/>
        <v/>
      </c>
      <c r="AC1253" s="537" t="str">
        <f t="shared" si="513"/>
        <v/>
      </c>
      <c r="AD1253" s="538" t="str">
        <f t="shared" ca="1" si="514"/>
        <v/>
      </c>
      <c r="AE1253" s="537">
        <f t="shared" ca="1" si="515"/>
        <v>0</v>
      </c>
      <c r="AF1253" s="539" t="str">
        <f t="shared" ca="1" si="525"/>
        <v/>
      </c>
      <c r="AG1253" s="531" t="str">
        <f t="shared" ca="1" si="526"/>
        <v/>
      </c>
      <c r="AH1253" s="531" t="str">
        <f t="shared" ca="1" si="527"/>
        <v/>
      </c>
      <c r="AI1253" s="531" t="str">
        <f t="shared" ca="1" si="528"/>
        <v/>
      </c>
      <c r="AJ1253" s="531" t="str">
        <f t="shared" si="529"/>
        <v/>
      </c>
      <c r="AK1253" s="540">
        <f>SUMIFS('Live Collections'!$S:$S,'Live Collections'!$D:$D,Disbursements!B1253,'Live Collections'!$G:$G,Disbursements!C1253)</f>
        <v>0</v>
      </c>
      <c r="AL1253" s="540">
        <f>SUMIFS('Live Collections'!$T:$T,'Live Collections'!$D:$D,Disbursements!B1253,'Live Collections'!$G:$G,Disbursements!C1253)</f>
        <v>0</v>
      </c>
      <c r="AM1253" s="541">
        <f t="shared" si="530"/>
        <v>0</v>
      </c>
      <c r="AN1253" s="542" t="str">
        <f t="shared" si="531"/>
        <v/>
      </c>
      <c r="AO1253" s="542" t="str">
        <f t="shared" si="532"/>
        <v/>
      </c>
      <c r="AP1253" s="543" t="str">
        <f t="shared" si="533"/>
        <v/>
      </c>
      <c r="AQ1253" s="544" t="str">
        <f t="shared" si="534"/>
        <v/>
      </c>
      <c r="AR1253" s="545">
        <f t="shared" si="535"/>
        <v>0</v>
      </c>
      <c r="AS1253" s="545">
        <f>IFERROR(CEILING($AR1253*VLOOKUP($I1253,Ref!$B$23:$E$29,4,0),1),0)</f>
        <v>0</v>
      </c>
      <c r="AT1253" s="545" t="str">
        <f>IF(A1253="","",IF(AP1253&lt;=1,"Cleared",IF(AS1253=0,"Clean",VLOOKUP($AS1253,Ref!$G$23:$H$28,2))))</f>
        <v/>
      </c>
      <c r="AU1253" s="546" t="str">
        <f t="shared" si="536"/>
        <v/>
      </c>
    </row>
    <row r="1254" spans="1:47" ht="14.25" hidden="1" customHeight="1" x14ac:dyDescent="0.15">
      <c r="A1254" s="523"/>
      <c r="B1254" s="523"/>
      <c r="C1254" s="523"/>
      <c r="D1254" s="523"/>
      <c r="E1254" s="579"/>
      <c r="F1254" s="580"/>
      <c r="G1254" s="524"/>
      <c r="H1254" s="555"/>
      <c r="I1254" s="560"/>
      <c r="J1254" s="523"/>
      <c r="K1254" s="528" t="str">
        <f>IFERROR(VLOOKUP($B1254,'Clients-Live'!$A:$C,3,0),"")</f>
        <v/>
      </c>
      <c r="L1254" s="528">
        <f>IF(E1254="STL",Pricing!$D$38,IF(A1254="",0,IF(A1254&lt;Pricing!$C$25,Pricing!$D$25,VLOOKUP(Disbursements!$F1254,Pricing!$B$29:$D$32,3))))</f>
        <v>0</v>
      </c>
      <c r="M1254" s="528">
        <f>IF(E1254="STL",0,IF(F1254&gt;0,Pricing!$D$21,0))</f>
        <v>0</v>
      </c>
      <c r="N1254" s="529">
        <f>IF(E1254="STL",F1254*Pricing!$D$40,IF(A1254&lt;=Pricing!$C$4,0,IF(AND(A1254&gt;Pricing!$C$4,Disbursements!A1254&lt;=Pricing!$C$5),F1254*Pricing!$E$5,IF(AND(A1254&gt;Pricing!$C$5,Disbursements!A1254&lt;=Pricing!$C$7),VLOOKUP(F1254,Pricing!$D$7:$E$8,2)*Disbursements!F1254,F1254*Pricing!$E$9))))</f>
        <v>0</v>
      </c>
      <c r="O1254" s="528">
        <f>IF(E1254="STL",0,IF($F1254&gt;0,$F1254*Pricing!$D$17,0))</f>
        <v>0</v>
      </c>
      <c r="P1254" s="530" t="str">
        <f t="shared" si="516"/>
        <v/>
      </c>
      <c r="Q1254" s="531" t="str">
        <f>IF($A1254="","",$G1254/VLOOKUP($I1254,Ref!$B$23:$D$29,2,0))</f>
        <v/>
      </c>
      <c r="R1254" s="530" t="str">
        <f t="shared" si="517"/>
        <v/>
      </c>
      <c r="S1254" s="532" t="str">
        <f t="shared" si="511"/>
        <v/>
      </c>
      <c r="T1254" s="531" t="str">
        <f t="shared" si="518"/>
        <v/>
      </c>
      <c r="U1254" s="533">
        <f t="shared" si="519"/>
        <v>0</v>
      </c>
      <c r="V1254" s="531" t="str">
        <f t="shared" si="520"/>
        <v/>
      </c>
      <c r="W1254" s="531" t="str">
        <f t="shared" si="521"/>
        <v/>
      </c>
      <c r="X1254" s="534" t="str">
        <f t="shared" si="522"/>
        <v/>
      </c>
      <c r="Y1254" s="535" t="str">
        <f>IF($A1254="","",IF($I1254="weekly",$A1254+7,EDATE($A1254,VLOOKUP($I1254,Ref!$B$24:$C$29,2,0))))</f>
        <v/>
      </c>
      <c r="Z1254" s="536" t="str">
        <f t="shared" si="523"/>
        <v/>
      </c>
      <c r="AA1254" s="531">
        <f t="shared" si="524"/>
        <v>0</v>
      </c>
      <c r="AB1254" s="535" t="str">
        <f t="shared" si="512"/>
        <v/>
      </c>
      <c r="AC1254" s="537" t="str">
        <f t="shared" si="513"/>
        <v/>
      </c>
      <c r="AD1254" s="538" t="str">
        <f t="shared" ca="1" si="514"/>
        <v/>
      </c>
      <c r="AE1254" s="537">
        <f t="shared" ca="1" si="515"/>
        <v>0</v>
      </c>
      <c r="AF1254" s="539" t="str">
        <f t="shared" ca="1" si="525"/>
        <v/>
      </c>
      <c r="AG1254" s="531" t="str">
        <f t="shared" ca="1" si="526"/>
        <v/>
      </c>
      <c r="AH1254" s="531" t="str">
        <f t="shared" ca="1" si="527"/>
        <v/>
      </c>
      <c r="AI1254" s="531" t="str">
        <f t="shared" ca="1" si="528"/>
        <v/>
      </c>
      <c r="AJ1254" s="531" t="str">
        <f t="shared" si="529"/>
        <v/>
      </c>
      <c r="AK1254" s="540">
        <f>SUMIFS('Live Collections'!$S:$S,'Live Collections'!$D:$D,Disbursements!B1254,'Live Collections'!$G:$G,Disbursements!C1254)</f>
        <v>0</v>
      </c>
      <c r="AL1254" s="540">
        <f>SUMIFS('Live Collections'!$T:$T,'Live Collections'!$D:$D,Disbursements!B1254,'Live Collections'!$G:$G,Disbursements!C1254)</f>
        <v>0</v>
      </c>
      <c r="AM1254" s="541">
        <f t="shared" si="530"/>
        <v>0</v>
      </c>
      <c r="AN1254" s="542" t="str">
        <f t="shared" si="531"/>
        <v/>
      </c>
      <c r="AO1254" s="542" t="str">
        <f t="shared" si="532"/>
        <v/>
      </c>
      <c r="AP1254" s="543" t="str">
        <f t="shared" si="533"/>
        <v/>
      </c>
      <c r="AQ1254" s="544" t="str">
        <f t="shared" si="534"/>
        <v/>
      </c>
      <c r="AR1254" s="545">
        <f t="shared" si="535"/>
        <v>0</v>
      </c>
      <c r="AS1254" s="545">
        <f>IFERROR(CEILING($AR1254*VLOOKUP($I1254,Ref!$B$23:$E$29,4,0),1),0)</f>
        <v>0</v>
      </c>
      <c r="AT1254" s="545" t="str">
        <f>IF(A1254="","",IF(AP1254&lt;=1,"Cleared",IF(AS1254=0,"Clean",VLOOKUP($AS1254,Ref!$G$23:$H$28,2))))</f>
        <v/>
      </c>
      <c r="AU1254" s="546" t="str">
        <f t="shared" si="536"/>
        <v/>
      </c>
    </row>
    <row r="1255" spans="1:47" ht="14.25" hidden="1" customHeight="1" x14ac:dyDescent="0.15">
      <c r="A1255" s="523"/>
      <c r="B1255" s="523"/>
      <c r="C1255" s="523"/>
      <c r="D1255" s="523"/>
      <c r="E1255" s="579"/>
      <c r="F1255" s="580"/>
      <c r="G1255" s="524"/>
      <c r="H1255" s="555"/>
      <c r="I1255" s="560"/>
      <c r="J1255" s="523"/>
      <c r="K1255" s="528" t="str">
        <f>IFERROR(VLOOKUP($B1255,'Clients-Live'!$A:$C,3,0),"")</f>
        <v/>
      </c>
      <c r="L1255" s="528">
        <f>IF(E1255="STL",Pricing!$D$38,IF(A1255="",0,IF(A1255&lt;Pricing!$C$25,Pricing!$D$25,VLOOKUP(Disbursements!$F1255,Pricing!$B$29:$D$32,3))))</f>
        <v>0</v>
      </c>
      <c r="M1255" s="528">
        <f>IF(E1255="STL",0,IF(F1255&gt;0,Pricing!$D$21,0))</f>
        <v>0</v>
      </c>
      <c r="N1255" s="529">
        <f>IF(E1255="STL",F1255*Pricing!$D$40,IF(A1255&lt;=Pricing!$C$4,0,IF(AND(A1255&gt;Pricing!$C$4,Disbursements!A1255&lt;=Pricing!$C$5),F1255*Pricing!$E$5,IF(AND(A1255&gt;Pricing!$C$5,Disbursements!A1255&lt;=Pricing!$C$7),VLOOKUP(F1255,Pricing!$D$7:$E$8,2)*Disbursements!F1255,F1255*Pricing!$E$9))))</f>
        <v>0</v>
      </c>
      <c r="O1255" s="528">
        <f>IF(E1255="STL",0,IF($F1255&gt;0,$F1255*Pricing!$D$17,0))</f>
        <v>0</v>
      </c>
      <c r="P1255" s="530" t="str">
        <f t="shared" si="516"/>
        <v/>
      </c>
      <c r="Q1255" s="531" t="str">
        <f>IF($A1255="","",$G1255/VLOOKUP($I1255,Ref!$B$23:$D$29,2,0))</f>
        <v/>
      </c>
      <c r="R1255" s="530" t="str">
        <f t="shared" si="517"/>
        <v/>
      </c>
      <c r="S1255" s="532" t="str">
        <f t="shared" si="511"/>
        <v/>
      </c>
      <c r="T1255" s="531" t="str">
        <f t="shared" si="518"/>
        <v/>
      </c>
      <c r="U1255" s="533">
        <f t="shared" si="519"/>
        <v>0</v>
      </c>
      <c r="V1255" s="531" t="str">
        <f t="shared" si="520"/>
        <v/>
      </c>
      <c r="W1255" s="531" t="str">
        <f t="shared" si="521"/>
        <v/>
      </c>
      <c r="X1255" s="534" t="str">
        <f t="shared" si="522"/>
        <v/>
      </c>
      <c r="Y1255" s="535" t="str">
        <f>IF($A1255="","",IF($I1255="weekly",$A1255+7,EDATE($A1255,VLOOKUP($I1255,Ref!$B$24:$C$29,2,0))))</f>
        <v/>
      </c>
      <c r="Z1255" s="536" t="str">
        <f t="shared" si="523"/>
        <v/>
      </c>
      <c r="AA1255" s="531">
        <f t="shared" si="524"/>
        <v>0</v>
      </c>
      <c r="AB1255" s="535" t="str">
        <f t="shared" si="512"/>
        <v/>
      </c>
      <c r="AC1255" s="537" t="str">
        <f t="shared" si="513"/>
        <v/>
      </c>
      <c r="AD1255" s="538" t="str">
        <f t="shared" ca="1" si="514"/>
        <v/>
      </c>
      <c r="AE1255" s="537">
        <f t="shared" ca="1" si="515"/>
        <v>0</v>
      </c>
      <c r="AF1255" s="539" t="str">
        <f t="shared" ca="1" si="525"/>
        <v/>
      </c>
      <c r="AG1255" s="531" t="str">
        <f t="shared" ca="1" si="526"/>
        <v/>
      </c>
      <c r="AH1255" s="531" t="str">
        <f t="shared" ca="1" si="527"/>
        <v/>
      </c>
      <c r="AI1255" s="531" t="str">
        <f t="shared" ca="1" si="528"/>
        <v/>
      </c>
      <c r="AJ1255" s="531" t="str">
        <f t="shared" si="529"/>
        <v/>
      </c>
      <c r="AK1255" s="540">
        <f>SUMIFS('Live Collections'!$S:$S,'Live Collections'!$D:$D,Disbursements!B1255,'Live Collections'!$G:$G,Disbursements!C1255)</f>
        <v>0</v>
      </c>
      <c r="AL1255" s="540">
        <f>SUMIFS('Live Collections'!$T:$T,'Live Collections'!$D:$D,Disbursements!B1255,'Live Collections'!$G:$G,Disbursements!C1255)</f>
        <v>0</v>
      </c>
      <c r="AM1255" s="541">
        <f t="shared" si="530"/>
        <v>0</v>
      </c>
      <c r="AN1255" s="542" t="str">
        <f t="shared" si="531"/>
        <v/>
      </c>
      <c r="AO1255" s="542" t="str">
        <f t="shared" si="532"/>
        <v/>
      </c>
      <c r="AP1255" s="543" t="str">
        <f t="shared" si="533"/>
        <v/>
      </c>
      <c r="AQ1255" s="544" t="str">
        <f t="shared" si="534"/>
        <v/>
      </c>
      <c r="AR1255" s="545">
        <f t="shared" si="535"/>
        <v>0</v>
      </c>
      <c r="AS1255" s="545">
        <f>IFERROR(CEILING($AR1255*VLOOKUP($I1255,Ref!$B$23:$E$29,4,0),1),0)</f>
        <v>0</v>
      </c>
      <c r="AT1255" s="545" t="str">
        <f>IF(A1255="","",IF(AP1255&lt;=1,"Cleared",IF(AS1255=0,"Clean",VLOOKUP($AS1255,Ref!$G$23:$H$28,2))))</f>
        <v/>
      </c>
      <c r="AU1255" s="546" t="str">
        <f t="shared" si="536"/>
        <v/>
      </c>
    </row>
    <row r="1256" spans="1:47" ht="14.25" hidden="1" customHeight="1" x14ac:dyDescent="0.15">
      <c r="A1256" s="523"/>
      <c r="B1256" s="523"/>
      <c r="C1256" s="523"/>
      <c r="D1256" s="523"/>
      <c r="E1256" s="579"/>
      <c r="F1256" s="580"/>
      <c r="G1256" s="524"/>
      <c r="H1256" s="555"/>
      <c r="I1256" s="560"/>
      <c r="J1256" s="523"/>
      <c r="K1256" s="528" t="str">
        <f>IFERROR(VLOOKUP($B1256,'Clients-Live'!$A:$C,3,0),"")</f>
        <v/>
      </c>
      <c r="L1256" s="528">
        <f>IF(E1256="STL",Pricing!$D$38,IF(A1256="",0,IF(A1256&lt;Pricing!$C$25,Pricing!$D$25,VLOOKUP(Disbursements!$F1256,Pricing!$B$29:$D$32,3))))</f>
        <v>0</v>
      </c>
      <c r="M1256" s="528">
        <f>IF(E1256="STL",0,IF(F1256&gt;0,Pricing!$D$21,0))</f>
        <v>0</v>
      </c>
      <c r="N1256" s="529">
        <f>IF(E1256="STL",F1256*Pricing!$D$40,IF(A1256&lt;=Pricing!$C$4,0,IF(AND(A1256&gt;Pricing!$C$4,Disbursements!A1256&lt;=Pricing!$C$5),F1256*Pricing!$E$5,IF(AND(A1256&gt;Pricing!$C$5,Disbursements!A1256&lt;=Pricing!$C$7),VLOOKUP(F1256,Pricing!$D$7:$E$8,2)*Disbursements!F1256,F1256*Pricing!$E$9))))</f>
        <v>0</v>
      </c>
      <c r="O1256" s="528">
        <f>IF(E1256="STL",0,IF($F1256&gt;0,$F1256*Pricing!$D$17,0))</f>
        <v>0</v>
      </c>
      <c r="P1256" s="530" t="str">
        <f t="shared" si="516"/>
        <v/>
      </c>
      <c r="Q1256" s="531" t="str">
        <f>IF($A1256="","",$G1256/VLOOKUP($I1256,Ref!$B$23:$D$29,2,0))</f>
        <v/>
      </c>
      <c r="R1256" s="530" t="str">
        <f t="shared" si="517"/>
        <v/>
      </c>
      <c r="S1256" s="532" t="str">
        <f t="shared" si="511"/>
        <v/>
      </c>
      <c r="T1256" s="531" t="str">
        <f t="shared" si="518"/>
        <v/>
      </c>
      <c r="U1256" s="533">
        <f t="shared" si="519"/>
        <v>0</v>
      </c>
      <c r="V1256" s="531" t="str">
        <f t="shared" si="520"/>
        <v/>
      </c>
      <c r="W1256" s="531" t="str">
        <f t="shared" si="521"/>
        <v/>
      </c>
      <c r="X1256" s="534" t="str">
        <f t="shared" si="522"/>
        <v/>
      </c>
      <c r="Y1256" s="535" t="str">
        <f>IF($A1256="","",IF($I1256="weekly",$A1256+7,EDATE($A1256,VLOOKUP($I1256,Ref!$B$24:$C$29,2,0))))</f>
        <v/>
      </c>
      <c r="Z1256" s="536" t="str">
        <f t="shared" si="523"/>
        <v/>
      </c>
      <c r="AA1256" s="531">
        <f t="shared" si="524"/>
        <v>0</v>
      </c>
      <c r="AB1256" s="535" t="str">
        <f t="shared" si="512"/>
        <v/>
      </c>
      <c r="AC1256" s="537" t="str">
        <f t="shared" si="513"/>
        <v/>
      </c>
      <c r="AD1256" s="538" t="str">
        <f t="shared" ca="1" si="514"/>
        <v/>
      </c>
      <c r="AE1256" s="537">
        <f t="shared" ca="1" si="515"/>
        <v>0</v>
      </c>
      <c r="AF1256" s="539" t="str">
        <f t="shared" ca="1" si="525"/>
        <v/>
      </c>
      <c r="AG1256" s="531" t="str">
        <f t="shared" ca="1" si="526"/>
        <v/>
      </c>
      <c r="AH1256" s="531" t="str">
        <f t="shared" ca="1" si="527"/>
        <v/>
      </c>
      <c r="AI1256" s="531" t="str">
        <f t="shared" ca="1" si="528"/>
        <v/>
      </c>
      <c r="AJ1256" s="531" t="str">
        <f t="shared" si="529"/>
        <v/>
      </c>
      <c r="AK1256" s="540">
        <f>SUMIFS('Live Collections'!$S:$S,'Live Collections'!$D:$D,Disbursements!B1256,'Live Collections'!$G:$G,Disbursements!C1256)</f>
        <v>0</v>
      </c>
      <c r="AL1256" s="540">
        <f>SUMIFS('Live Collections'!$T:$T,'Live Collections'!$D:$D,Disbursements!B1256,'Live Collections'!$G:$G,Disbursements!C1256)</f>
        <v>0</v>
      </c>
      <c r="AM1256" s="541">
        <f t="shared" si="530"/>
        <v>0</v>
      </c>
      <c r="AN1256" s="542" t="str">
        <f t="shared" si="531"/>
        <v/>
      </c>
      <c r="AO1256" s="542" t="str">
        <f t="shared" si="532"/>
        <v/>
      </c>
      <c r="AP1256" s="543" t="str">
        <f t="shared" si="533"/>
        <v/>
      </c>
      <c r="AQ1256" s="544" t="str">
        <f t="shared" si="534"/>
        <v/>
      </c>
      <c r="AR1256" s="545">
        <f t="shared" si="535"/>
        <v>0</v>
      </c>
      <c r="AS1256" s="545">
        <f>IFERROR(CEILING($AR1256*VLOOKUP($I1256,Ref!$B$23:$E$29,4,0),1),0)</f>
        <v>0</v>
      </c>
      <c r="AT1256" s="545" t="str">
        <f>IF(A1256="","",IF(AP1256&lt;=1,"Cleared",IF(AS1256=0,"Clean",VLOOKUP($AS1256,Ref!$G$23:$H$28,2))))</f>
        <v/>
      </c>
      <c r="AU1256" s="546" t="str">
        <f t="shared" si="536"/>
        <v/>
      </c>
    </row>
    <row r="1257" spans="1:47" ht="14.25" hidden="1" customHeight="1" x14ac:dyDescent="0.15">
      <c r="A1257" s="523"/>
      <c r="B1257" s="523"/>
      <c r="C1257" s="523"/>
      <c r="D1257" s="523"/>
      <c r="E1257" s="579"/>
      <c r="F1257" s="580"/>
      <c r="G1257" s="524"/>
      <c r="H1257" s="555"/>
      <c r="I1257" s="560"/>
      <c r="J1257" s="523"/>
      <c r="K1257" s="528" t="str">
        <f>IFERROR(VLOOKUP($B1257,'Clients-Live'!$A:$C,3,0),"")</f>
        <v/>
      </c>
      <c r="L1257" s="528">
        <f>IF(E1257="STL",Pricing!$D$38,IF(A1257="",0,IF(A1257&lt;Pricing!$C$25,Pricing!$D$25,VLOOKUP(Disbursements!$F1257,Pricing!$B$29:$D$32,3))))</f>
        <v>0</v>
      </c>
      <c r="M1257" s="528">
        <f>IF(E1257="STL",0,IF(F1257&gt;0,Pricing!$D$21,0))</f>
        <v>0</v>
      </c>
      <c r="N1257" s="529">
        <f>IF(E1257="STL",F1257*Pricing!$D$40,IF(A1257&lt;=Pricing!$C$4,0,IF(AND(A1257&gt;Pricing!$C$4,Disbursements!A1257&lt;=Pricing!$C$5),F1257*Pricing!$E$5,IF(AND(A1257&gt;Pricing!$C$5,Disbursements!A1257&lt;=Pricing!$C$7),VLOOKUP(F1257,Pricing!$D$7:$E$8,2)*Disbursements!F1257,F1257*Pricing!$E$9))))</f>
        <v>0</v>
      </c>
      <c r="O1257" s="528">
        <f>IF(E1257="STL",0,IF($F1257&gt;0,$F1257*Pricing!$D$17,0))</f>
        <v>0</v>
      </c>
      <c r="P1257" s="530" t="str">
        <f t="shared" si="516"/>
        <v/>
      </c>
      <c r="Q1257" s="531" t="str">
        <f>IF($A1257="","",$G1257/VLOOKUP($I1257,Ref!$B$23:$D$29,2,0))</f>
        <v/>
      </c>
      <c r="R1257" s="530" t="str">
        <f t="shared" si="517"/>
        <v/>
      </c>
      <c r="S1257" s="532" t="str">
        <f t="shared" si="511"/>
        <v/>
      </c>
      <c r="T1257" s="531" t="str">
        <f t="shared" si="518"/>
        <v/>
      </c>
      <c r="U1257" s="533">
        <f t="shared" si="519"/>
        <v>0</v>
      </c>
      <c r="V1257" s="531" t="str">
        <f t="shared" si="520"/>
        <v/>
      </c>
      <c r="W1257" s="531" t="str">
        <f t="shared" si="521"/>
        <v/>
      </c>
      <c r="X1257" s="534" t="str">
        <f t="shared" si="522"/>
        <v/>
      </c>
      <c r="Y1257" s="535" t="str">
        <f>IF($A1257="","",IF($I1257="weekly",$A1257+7,EDATE($A1257,VLOOKUP($I1257,Ref!$B$24:$C$29,2,0))))</f>
        <v/>
      </c>
      <c r="Z1257" s="536" t="str">
        <f t="shared" si="523"/>
        <v/>
      </c>
      <c r="AA1257" s="531">
        <f t="shared" si="524"/>
        <v>0</v>
      </c>
      <c r="AB1257" s="535" t="str">
        <f t="shared" si="512"/>
        <v/>
      </c>
      <c r="AC1257" s="537" t="str">
        <f t="shared" si="513"/>
        <v/>
      </c>
      <c r="AD1257" s="538" t="str">
        <f t="shared" ca="1" si="514"/>
        <v/>
      </c>
      <c r="AE1257" s="537">
        <f t="shared" ca="1" si="515"/>
        <v>0</v>
      </c>
      <c r="AF1257" s="539" t="str">
        <f t="shared" ca="1" si="525"/>
        <v/>
      </c>
      <c r="AG1257" s="531" t="str">
        <f t="shared" ca="1" si="526"/>
        <v/>
      </c>
      <c r="AH1257" s="531" t="str">
        <f t="shared" ca="1" si="527"/>
        <v/>
      </c>
      <c r="AI1257" s="531" t="str">
        <f t="shared" ca="1" si="528"/>
        <v/>
      </c>
      <c r="AJ1257" s="531" t="str">
        <f t="shared" si="529"/>
        <v/>
      </c>
      <c r="AK1257" s="540">
        <f>SUMIFS('Live Collections'!$S:$S,'Live Collections'!$D:$D,Disbursements!B1257,'Live Collections'!$G:$G,Disbursements!C1257)</f>
        <v>0</v>
      </c>
      <c r="AL1257" s="540">
        <f>SUMIFS('Live Collections'!$T:$T,'Live Collections'!$D:$D,Disbursements!B1257,'Live Collections'!$G:$G,Disbursements!C1257)</f>
        <v>0</v>
      </c>
      <c r="AM1257" s="541">
        <f t="shared" si="530"/>
        <v>0</v>
      </c>
      <c r="AN1257" s="542" t="str">
        <f t="shared" si="531"/>
        <v/>
      </c>
      <c r="AO1257" s="542" t="str">
        <f t="shared" si="532"/>
        <v/>
      </c>
      <c r="AP1257" s="543" t="str">
        <f t="shared" si="533"/>
        <v/>
      </c>
      <c r="AQ1257" s="544" t="str">
        <f t="shared" si="534"/>
        <v/>
      </c>
      <c r="AR1257" s="545">
        <f t="shared" si="535"/>
        <v>0</v>
      </c>
      <c r="AS1257" s="545">
        <f>IFERROR(CEILING($AR1257*VLOOKUP($I1257,Ref!$B$23:$E$29,4,0),1),0)</f>
        <v>0</v>
      </c>
      <c r="AT1257" s="545" t="str">
        <f>IF(A1257="","",IF(AP1257&lt;=1,"Cleared",IF(AS1257=0,"Clean",VLOOKUP($AS1257,Ref!$G$23:$H$28,2))))</f>
        <v/>
      </c>
      <c r="AU1257" s="546" t="str">
        <f t="shared" si="536"/>
        <v/>
      </c>
    </row>
    <row r="1258" spans="1:47" ht="14.25" hidden="1" customHeight="1" x14ac:dyDescent="0.15">
      <c r="A1258" s="523"/>
      <c r="B1258" s="523"/>
      <c r="C1258" s="523"/>
      <c r="D1258" s="523"/>
      <c r="E1258" s="579"/>
      <c r="F1258" s="580"/>
      <c r="G1258" s="524"/>
      <c r="H1258" s="555"/>
      <c r="I1258" s="560"/>
      <c r="J1258" s="523"/>
      <c r="K1258" s="528" t="str">
        <f>IFERROR(VLOOKUP($B1258,'Clients-Live'!$A:$C,3,0),"")</f>
        <v/>
      </c>
      <c r="L1258" s="528">
        <f>IF(E1258="STL",Pricing!$D$38,IF(A1258="",0,IF(A1258&lt;Pricing!$C$25,Pricing!$D$25,VLOOKUP(Disbursements!$F1258,Pricing!$B$29:$D$32,3))))</f>
        <v>0</v>
      </c>
      <c r="M1258" s="528">
        <f>IF(E1258="STL",0,IF(F1258&gt;0,Pricing!$D$21,0))</f>
        <v>0</v>
      </c>
      <c r="N1258" s="529">
        <f>IF(E1258="STL",F1258*Pricing!$D$40,IF(A1258&lt;=Pricing!$C$4,0,IF(AND(A1258&gt;Pricing!$C$4,Disbursements!A1258&lt;=Pricing!$C$5),F1258*Pricing!$E$5,IF(AND(A1258&gt;Pricing!$C$5,Disbursements!A1258&lt;=Pricing!$C$7),VLOOKUP(F1258,Pricing!$D$7:$E$8,2)*Disbursements!F1258,F1258*Pricing!$E$9))))</f>
        <v>0</v>
      </c>
      <c r="O1258" s="528">
        <f>IF(E1258="STL",0,IF($F1258&gt;0,$F1258*Pricing!$D$17,0))</f>
        <v>0</v>
      </c>
      <c r="P1258" s="530" t="str">
        <f t="shared" si="516"/>
        <v/>
      </c>
      <c r="Q1258" s="531" t="str">
        <f>IF($A1258="","",$G1258/VLOOKUP($I1258,Ref!$B$23:$D$29,2,0))</f>
        <v/>
      </c>
      <c r="R1258" s="530" t="str">
        <f t="shared" si="517"/>
        <v/>
      </c>
      <c r="S1258" s="532" t="str">
        <f t="shared" si="511"/>
        <v/>
      </c>
      <c r="T1258" s="531" t="str">
        <f t="shared" si="518"/>
        <v/>
      </c>
      <c r="U1258" s="533">
        <f t="shared" si="519"/>
        <v>0</v>
      </c>
      <c r="V1258" s="531" t="str">
        <f t="shared" si="520"/>
        <v/>
      </c>
      <c r="W1258" s="531" t="str">
        <f t="shared" si="521"/>
        <v/>
      </c>
      <c r="X1258" s="534" t="str">
        <f t="shared" si="522"/>
        <v/>
      </c>
      <c r="Y1258" s="535" t="str">
        <f>IF($A1258="","",IF($I1258="weekly",$A1258+7,EDATE($A1258,VLOOKUP($I1258,Ref!$B$24:$C$29,2,0))))</f>
        <v/>
      </c>
      <c r="Z1258" s="536" t="str">
        <f t="shared" si="523"/>
        <v/>
      </c>
      <c r="AA1258" s="531">
        <f t="shared" si="524"/>
        <v>0</v>
      </c>
      <c r="AB1258" s="535" t="str">
        <f t="shared" si="512"/>
        <v/>
      </c>
      <c r="AC1258" s="537" t="str">
        <f t="shared" si="513"/>
        <v/>
      </c>
      <c r="AD1258" s="538" t="str">
        <f t="shared" ca="1" si="514"/>
        <v/>
      </c>
      <c r="AE1258" s="537">
        <f t="shared" ca="1" si="515"/>
        <v>0</v>
      </c>
      <c r="AF1258" s="539" t="str">
        <f t="shared" ca="1" si="525"/>
        <v/>
      </c>
      <c r="AG1258" s="531" t="str">
        <f t="shared" ca="1" si="526"/>
        <v/>
      </c>
      <c r="AH1258" s="531" t="str">
        <f t="shared" ca="1" si="527"/>
        <v/>
      </c>
      <c r="AI1258" s="531" t="str">
        <f t="shared" ca="1" si="528"/>
        <v/>
      </c>
      <c r="AJ1258" s="531" t="str">
        <f t="shared" si="529"/>
        <v/>
      </c>
      <c r="AK1258" s="540">
        <f>SUMIFS('Live Collections'!$S:$S,'Live Collections'!$D:$D,Disbursements!B1258,'Live Collections'!$G:$G,Disbursements!C1258)</f>
        <v>0</v>
      </c>
      <c r="AL1258" s="540">
        <f>SUMIFS('Live Collections'!$T:$T,'Live Collections'!$D:$D,Disbursements!B1258,'Live Collections'!$G:$G,Disbursements!C1258)</f>
        <v>0</v>
      </c>
      <c r="AM1258" s="541">
        <f t="shared" si="530"/>
        <v>0</v>
      </c>
      <c r="AN1258" s="542" t="str">
        <f t="shared" si="531"/>
        <v/>
      </c>
      <c r="AO1258" s="542" t="str">
        <f t="shared" si="532"/>
        <v/>
      </c>
      <c r="AP1258" s="543" t="str">
        <f t="shared" si="533"/>
        <v/>
      </c>
      <c r="AQ1258" s="544" t="str">
        <f t="shared" si="534"/>
        <v/>
      </c>
      <c r="AR1258" s="545">
        <f t="shared" si="535"/>
        <v>0</v>
      </c>
      <c r="AS1258" s="545">
        <f>IFERROR(CEILING($AR1258*VLOOKUP($I1258,Ref!$B$23:$E$29,4,0),1),0)</f>
        <v>0</v>
      </c>
      <c r="AT1258" s="545" t="str">
        <f>IF(A1258="","",IF(AP1258&lt;=1,"Cleared",IF(AS1258=0,"Clean",VLOOKUP($AS1258,Ref!$G$23:$H$28,2))))</f>
        <v/>
      </c>
      <c r="AU1258" s="546" t="str">
        <f t="shared" si="536"/>
        <v/>
      </c>
    </row>
    <row r="1259" spans="1:47" ht="14.25" hidden="1" customHeight="1" x14ac:dyDescent="0.15">
      <c r="A1259" s="523"/>
      <c r="B1259" s="523"/>
      <c r="C1259" s="523"/>
      <c r="D1259" s="523"/>
      <c r="E1259" s="579"/>
      <c r="F1259" s="580"/>
      <c r="G1259" s="524"/>
      <c r="H1259" s="555"/>
      <c r="I1259" s="560"/>
      <c r="J1259" s="523"/>
      <c r="K1259" s="528" t="str">
        <f>IFERROR(VLOOKUP($B1259,'Clients-Live'!$A:$C,3,0),"")</f>
        <v/>
      </c>
      <c r="L1259" s="528">
        <f>IF(E1259="STL",Pricing!$D$38,IF(A1259="",0,IF(A1259&lt;Pricing!$C$25,Pricing!$D$25,VLOOKUP(Disbursements!$F1259,Pricing!$B$29:$D$32,3))))</f>
        <v>0</v>
      </c>
      <c r="M1259" s="528">
        <f>IF(E1259="STL",0,IF(F1259&gt;0,Pricing!$D$21,0))</f>
        <v>0</v>
      </c>
      <c r="N1259" s="529">
        <f>IF(E1259="STL",F1259*Pricing!$D$40,IF(A1259&lt;=Pricing!$C$4,0,IF(AND(A1259&gt;Pricing!$C$4,Disbursements!A1259&lt;=Pricing!$C$5),F1259*Pricing!$E$5,IF(AND(A1259&gt;Pricing!$C$5,Disbursements!A1259&lt;=Pricing!$C$7),VLOOKUP(F1259,Pricing!$D$7:$E$8,2)*Disbursements!F1259,F1259*Pricing!$E$9))))</f>
        <v>0</v>
      </c>
      <c r="O1259" s="528">
        <f>IF(E1259="STL",0,IF($F1259&gt;0,$F1259*Pricing!$D$17,0))</f>
        <v>0</v>
      </c>
      <c r="P1259" s="530" t="str">
        <f t="shared" si="516"/>
        <v/>
      </c>
      <c r="Q1259" s="531" t="str">
        <f>IF($A1259="","",$G1259/VLOOKUP($I1259,Ref!$B$23:$D$29,2,0))</f>
        <v/>
      </c>
      <c r="R1259" s="530" t="str">
        <f t="shared" si="517"/>
        <v/>
      </c>
      <c r="S1259" s="532" t="str">
        <f t="shared" si="511"/>
        <v/>
      </c>
      <c r="T1259" s="531" t="str">
        <f t="shared" si="518"/>
        <v/>
      </c>
      <c r="U1259" s="533">
        <f t="shared" si="519"/>
        <v>0</v>
      </c>
      <c r="V1259" s="531" t="str">
        <f t="shared" si="520"/>
        <v/>
      </c>
      <c r="W1259" s="531" t="str">
        <f t="shared" si="521"/>
        <v/>
      </c>
      <c r="X1259" s="534" t="str">
        <f t="shared" si="522"/>
        <v/>
      </c>
      <c r="Y1259" s="535" t="str">
        <f>IF($A1259="","",IF($I1259="weekly",$A1259+7,EDATE($A1259,VLOOKUP($I1259,Ref!$B$24:$C$29,2,0))))</f>
        <v/>
      </c>
      <c r="Z1259" s="536" t="str">
        <f t="shared" si="523"/>
        <v/>
      </c>
      <c r="AA1259" s="531">
        <f t="shared" si="524"/>
        <v>0</v>
      </c>
      <c r="AB1259" s="535" t="str">
        <f t="shared" si="512"/>
        <v/>
      </c>
      <c r="AC1259" s="537" t="str">
        <f t="shared" si="513"/>
        <v/>
      </c>
      <c r="AD1259" s="538" t="str">
        <f t="shared" ca="1" si="514"/>
        <v/>
      </c>
      <c r="AE1259" s="537">
        <f t="shared" ca="1" si="515"/>
        <v>0</v>
      </c>
      <c r="AF1259" s="539" t="str">
        <f t="shared" ca="1" si="525"/>
        <v/>
      </c>
      <c r="AG1259" s="531" t="str">
        <f t="shared" ca="1" si="526"/>
        <v/>
      </c>
      <c r="AH1259" s="531" t="str">
        <f t="shared" ca="1" si="527"/>
        <v/>
      </c>
      <c r="AI1259" s="531" t="str">
        <f t="shared" ca="1" si="528"/>
        <v/>
      </c>
      <c r="AJ1259" s="531" t="str">
        <f t="shared" si="529"/>
        <v/>
      </c>
      <c r="AK1259" s="540">
        <f>SUMIFS('Live Collections'!$S:$S,'Live Collections'!$D:$D,Disbursements!B1259,'Live Collections'!$G:$G,Disbursements!C1259)</f>
        <v>0</v>
      </c>
      <c r="AL1259" s="540">
        <f>SUMIFS('Live Collections'!$T:$T,'Live Collections'!$D:$D,Disbursements!B1259,'Live Collections'!$G:$G,Disbursements!C1259)</f>
        <v>0</v>
      </c>
      <c r="AM1259" s="541">
        <f t="shared" si="530"/>
        <v>0</v>
      </c>
      <c r="AN1259" s="542" t="str">
        <f t="shared" si="531"/>
        <v/>
      </c>
      <c r="AO1259" s="542" t="str">
        <f t="shared" si="532"/>
        <v/>
      </c>
      <c r="AP1259" s="543" t="str">
        <f t="shared" si="533"/>
        <v/>
      </c>
      <c r="AQ1259" s="544" t="str">
        <f t="shared" si="534"/>
        <v/>
      </c>
      <c r="AR1259" s="545">
        <f t="shared" si="535"/>
        <v>0</v>
      </c>
      <c r="AS1259" s="545">
        <f>IFERROR(CEILING($AR1259*VLOOKUP($I1259,Ref!$B$23:$E$29,4,0),1),0)</f>
        <v>0</v>
      </c>
      <c r="AT1259" s="545" t="str">
        <f>IF(A1259="","",IF(AP1259&lt;=1,"Cleared",IF(AS1259=0,"Clean",VLOOKUP($AS1259,Ref!$G$23:$H$28,2))))</f>
        <v/>
      </c>
      <c r="AU1259" s="546" t="str">
        <f t="shared" si="536"/>
        <v/>
      </c>
    </row>
    <row r="1260" spans="1:47" ht="14.25" hidden="1" customHeight="1" x14ac:dyDescent="0.15">
      <c r="A1260" s="523"/>
      <c r="B1260" s="523"/>
      <c r="C1260" s="523"/>
      <c r="D1260" s="523"/>
      <c r="E1260" s="579"/>
      <c r="F1260" s="580"/>
      <c r="G1260" s="524"/>
      <c r="H1260" s="555"/>
      <c r="I1260" s="560"/>
      <c r="J1260" s="523"/>
      <c r="K1260" s="528" t="str">
        <f>IFERROR(VLOOKUP($B1260,'Clients-Live'!$A:$C,3,0),"")</f>
        <v/>
      </c>
      <c r="L1260" s="528">
        <f>IF(E1260="STL",Pricing!$D$38,IF(A1260="",0,IF(A1260&lt;Pricing!$C$25,Pricing!$D$25,VLOOKUP(Disbursements!$F1260,Pricing!$B$29:$D$32,3))))</f>
        <v>0</v>
      </c>
      <c r="M1260" s="528">
        <f>IF(E1260="STL",0,IF(F1260&gt;0,Pricing!$D$21,0))</f>
        <v>0</v>
      </c>
      <c r="N1260" s="529">
        <f>IF(E1260="STL",F1260*Pricing!$D$40,IF(A1260&lt;=Pricing!$C$4,0,IF(AND(A1260&gt;Pricing!$C$4,Disbursements!A1260&lt;=Pricing!$C$5),F1260*Pricing!$E$5,IF(AND(A1260&gt;Pricing!$C$5,Disbursements!A1260&lt;=Pricing!$C$7),VLOOKUP(F1260,Pricing!$D$7:$E$8,2)*Disbursements!F1260,F1260*Pricing!$E$9))))</f>
        <v>0</v>
      </c>
      <c r="O1260" s="528">
        <f>IF(E1260="STL",0,IF($F1260&gt;0,$F1260*Pricing!$D$17,0))</f>
        <v>0</v>
      </c>
      <c r="P1260" s="530" t="str">
        <f t="shared" si="516"/>
        <v/>
      </c>
      <c r="Q1260" s="531" t="str">
        <f>IF($A1260="","",$G1260/VLOOKUP($I1260,Ref!$B$23:$D$29,2,0))</f>
        <v/>
      </c>
      <c r="R1260" s="530" t="str">
        <f t="shared" si="517"/>
        <v/>
      </c>
      <c r="S1260" s="532" t="str">
        <f t="shared" si="511"/>
        <v/>
      </c>
      <c r="T1260" s="531" t="str">
        <f t="shared" si="518"/>
        <v/>
      </c>
      <c r="U1260" s="533">
        <f t="shared" si="519"/>
        <v>0</v>
      </c>
      <c r="V1260" s="531" t="str">
        <f t="shared" si="520"/>
        <v/>
      </c>
      <c r="W1260" s="531" t="str">
        <f t="shared" si="521"/>
        <v/>
      </c>
      <c r="X1260" s="534" t="str">
        <f t="shared" si="522"/>
        <v/>
      </c>
      <c r="Y1260" s="535" t="str">
        <f>IF($A1260="","",IF($I1260="weekly",$A1260+7,EDATE($A1260,VLOOKUP($I1260,Ref!$B$24:$C$29,2,0))))</f>
        <v/>
      </c>
      <c r="Z1260" s="536" t="str">
        <f t="shared" si="523"/>
        <v/>
      </c>
      <c r="AA1260" s="531">
        <f t="shared" si="524"/>
        <v>0</v>
      </c>
      <c r="AB1260" s="535" t="str">
        <f t="shared" si="512"/>
        <v/>
      </c>
      <c r="AC1260" s="537" t="str">
        <f t="shared" si="513"/>
        <v/>
      </c>
      <c r="AD1260" s="538" t="str">
        <f t="shared" ca="1" si="514"/>
        <v/>
      </c>
      <c r="AE1260" s="537">
        <f t="shared" ca="1" si="515"/>
        <v>0</v>
      </c>
      <c r="AF1260" s="539" t="str">
        <f t="shared" ca="1" si="525"/>
        <v/>
      </c>
      <c r="AG1260" s="531" t="str">
        <f t="shared" ca="1" si="526"/>
        <v/>
      </c>
      <c r="AH1260" s="531" t="str">
        <f t="shared" ca="1" si="527"/>
        <v/>
      </c>
      <c r="AI1260" s="531" t="str">
        <f t="shared" ca="1" si="528"/>
        <v/>
      </c>
      <c r="AJ1260" s="531" t="str">
        <f t="shared" si="529"/>
        <v/>
      </c>
      <c r="AK1260" s="540">
        <f>SUMIFS('Live Collections'!$S:$S,'Live Collections'!$D:$D,Disbursements!B1260,'Live Collections'!$G:$G,Disbursements!C1260)</f>
        <v>0</v>
      </c>
      <c r="AL1260" s="540">
        <f>SUMIFS('Live Collections'!$T:$T,'Live Collections'!$D:$D,Disbursements!B1260,'Live Collections'!$G:$G,Disbursements!C1260)</f>
        <v>0</v>
      </c>
      <c r="AM1260" s="541">
        <f t="shared" si="530"/>
        <v>0</v>
      </c>
      <c r="AN1260" s="542" t="str">
        <f t="shared" si="531"/>
        <v/>
      </c>
      <c r="AO1260" s="542" t="str">
        <f t="shared" si="532"/>
        <v/>
      </c>
      <c r="AP1260" s="543" t="str">
        <f t="shared" si="533"/>
        <v/>
      </c>
      <c r="AQ1260" s="544" t="str">
        <f t="shared" si="534"/>
        <v/>
      </c>
      <c r="AR1260" s="545">
        <f t="shared" si="535"/>
        <v>0</v>
      </c>
      <c r="AS1260" s="545">
        <f>IFERROR(CEILING($AR1260*VLOOKUP($I1260,Ref!$B$23:$E$29,4,0),1),0)</f>
        <v>0</v>
      </c>
      <c r="AT1260" s="545" t="str">
        <f>IF(A1260="","",IF(AP1260&lt;=1,"Cleared",IF(AS1260=0,"Clean",VLOOKUP($AS1260,Ref!$G$23:$H$28,2))))</f>
        <v/>
      </c>
      <c r="AU1260" s="546" t="str">
        <f t="shared" si="536"/>
        <v/>
      </c>
    </row>
    <row r="1261" spans="1:47" ht="14.25" hidden="1" customHeight="1" x14ac:dyDescent="0.15">
      <c r="A1261" s="523"/>
      <c r="B1261" s="523"/>
      <c r="C1261" s="523"/>
      <c r="D1261" s="523"/>
      <c r="E1261" s="579"/>
      <c r="F1261" s="580"/>
      <c r="G1261" s="524"/>
      <c r="H1261" s="555"/>
      <c r="I1261" s="560"/>
      <c r="J1261" s="523"/>
      <c r="K1261" s="528" t="str">
        <f>IFERROR(VLOOKUP($B1261,'Clients-Live'!$A:$C,3,0),"")</f>
        <v/>
      </c>
      <c r="L1261" s="528">
        <f>IF(E1261="STL",Pricing!$D$38,IF(A1261="",0,IF(A1261&lt;Pricing!$C$25,Pricing!$D$25,VLOOKUP(Disbursements!$F1261,Pricing!$B$29:$D$32,3))))</f>
        <v>0</v>
      </c>
      <c r="M1261" s="528">
        <f>IF(E1261="STL",0,IF(F1261&gt;0,Pricing!$D$21,0))</f>
        <v>0</v>
      </c>
      <c r="N1261" s="529">
        <f>IF(E1261="STL",F1261*Pricing!$D$40,IF(A1261&lt;=Pricing!$C$4,0,IF(AND(A1261&gt;Pricing!$C$4,Disbursements!A1261&lt;=Pricing!$C$5),F1261*Pricing!$E$5,IF(AND(A1261&gt;Pricing!$C$5,Disbursements!A1261&lt;=Pricing!$C$7),VLOOKUP(F1261,Pricing!$D$7:$E$8,2)*Disbursements!F1261,F1261*Pricing!$E$9))))</f>
        <v>0</v>
      </c>
      <c r="O1261" s="528">
        <f>IF(E1261="STL",0,IF($F1261&gt;0,$F1261*Pricing!$D$17,0))</f>
        <v>0</v>
      </c>
      <c r="P1261" s="530" t="str">
        <f t="shared" si="516"/>
        <v/>
      </c>
      <c r="Q1261" s="531" t="str">
        <f>IF($A1261="","",$G1261/VLOOKUP($I1261,Ref!$B$23:$D$29,2,0))</f>
        <v/>
      </c>
      <c r="R1261" s="530" t="str">
        <f t="shared" si="517"/>
        <v/>
      </c>
      <c r="S1261" s="532" t="str">
        <f t="shared" si="511"/>
        <v/>
      </c>
      <c r="T1261" s="531" t="str">
        <f t="shared" si="518"/>
        <v/>
      </c>
      <c r="U1261" s="533">
        <f t="shared" si="519"/>
        <v>0</v>
      </c>
      <c r="V1261" s="531" t="str">
        <f t="shared" si="520"/>
        <v/>
      </c>
      <c r="W1261" s="531" t="str">
        <f t="shared" si="521"/>
        <v/>
      </c>
      <c r="X1261" s="534" t="str">
        <f t="shared" si="522"/>
        <v/>
      </c>
      <c r="Y1261" s="535" t="str">
        <f>IF($A1261="","",IF($I1261="weekly",$A1261+7,EDATE($A1261,VLOOKUP($I1261,Ref!$B$24:$C$29,2,0))))</f>
        <v/>
      </c>
      <c r="Z1261" s="536" t="str">
        <f t="shared" si="523"/>
        <v/>
      </c>
      <c r="AA1261" s="531">
        <f t="shared" si="524"/>
        <v>0</v>
      </c>
      <c r="AB1261" s="535" t="str">
        <f t="shared" si="512"/>
        <v/>
      </c>
      <c r="AC1261" s="537" t="str">
        <f t="shared" si="513"/>
        <v/>
      </c>
      <c r="AD1261" s="538" t="str">
        <f t="shared" ca="1" si="514"/>
        <v/>
      </c>
      <c r="AE1261" s="537">
        <f t="shared" ca="1" si="515"/>
        <v>0</v>
      </c>
      <c r="AF1261" s="539" t="str">
        <f t="shared" ca="1" si="525"/>
        <v/>
      </c>
      <c r="AG1261" s="531" t="str">
        <f t="shared" ca="1" si="526"/>
        <v/>
      </c>
      <c r="AH1261" s="531" t="str">
        <f t="shared" ca="1" si="527"/>
        <v/>
      </c>
      <c r="AI1261" s="531" t="str">
        <f t="shared" ca="1" si="528"/>
        <v/>
      </c>
      <c r="AJ1261" s="531" t="str">
        <f t="shared" si="529"/>
        <v/>
      </c>
      <c r="AK1261" s="540">
        <f>SUMIFS('Live Collections'!$S:$S,'Live Collections'!$D:$D,Disbursements!B1261,'Live Collections'!$G:$G,Disbursements!C1261)</f>
        <v>0</v>
      </c>
      <c r="AL1261" s="540">
        <f>SUMIFS('Live Collections'!$T:$T,'Live Collections'!$D:$D,Disbursements!B1261,'Live Collections'!$G:$G,Disbursements!C1261)</f>
        <v>0</v>
      </c>
      <c r="AM1261" s="541">
        <f t="shared" si="530"/>
        <v>0</v>
      </c>
      <c r="AN1261" s="542" t="str">
        <f t="shared" si="531"/>
        <v/>
      </c>
      <c r="AO1261" s="542" t="str">
        <f t="shared" si="532"/>
        <v/>
      </c>
      <c r="AP1261" s="543" t="str">
        <f t="shared" si="533"/>
        <v/>
      </c>
      <c r="AQ1261" s="544" t="str">
        <f t="shared" si="534"/>
        <v/>
      </c>
      <c r="AR1261" s="545">
        <f t="shared" si="535"/>
        <v>0</v>
      </c>
      <c r="AS1261" s="545">
        <f>IFERROR(CEILING($AR1261*VLOOKUP($I1261,Ref!$B$23:$E$29,4,0),1),0)</f>
        <v>0</v>
      </c>
      <c r="AT1261" s="545" t="str">
        <f>IF(A1261="","",IF(AP1261&lt;=1,"Cleared",IF(AS1261=0,"Clean",VLOOKUP($AS1261,Ref!$G$23:$H$28,2))))</f>
        <v/>
      </c>
      <c r="AU1261" s="546" t="str">
        <f t="shared" si="536"/>
        <v/>
      </c>
    </row>
    <row r="1262" spans="1:47" ht="14.25" hidden="1" customHeight="1" x14ac:dyDescent="0.15">
      <c r="A1262" s="523"/>
      <c r="B1262" s="523"/>
      <c r="C1262" s="523"/>
      <c r="D1262" s="523"/>
      <c r="E1262" s="579"/>
      <c r="F1262" s="580"/>
      <c r="G1262" s="524"/>
      <c r="H1262" s="555"/>
      <c r="I1262" s="560"/>
      <c r="J1262" s="523"/>
      <c r="K1262" s="528" t="str">
        <f>IFERROR(VLOOKUP($B1262,'Clients-Live'!$A:$C,3,0),"")</f>
        <v/>
      </c>
      <c r="L1262" s="528">
        <f>IF(E1262="STL",Pricing!$D$38,IF(A1262="",0,IF(A1262&lt;Pricing!$C$25,Pricing!$D$25,VLOOKUP(Disbursements!$F1262,Pricing!$B$29:$D$32,3))))</f>
        <v>0</v>
      </c>
      <c r="M1262" s="528">
        <f>IF(E1262="STL",0,IF(F1262&gt;0,Pricing!$D$21,0))</f>
        <v>0</v>
      </c>
      <c r="N1262" s="529">
        <f>IF(E1262="STL",F1262*Pricing!$D$40,IF(A1262&lt;=Pricing!$C$4,0,IF(AND(A1262&gt;Pricing!$C$4,Disbursements!A1262&lt;=Pricing!$C$5),F1262*Pricing!$E$5,IF(AND(A1262&gt;Pricing!$C$5,Disbursements!A1262&lt;=Pricing!$C$7),VLOOKUP(F1262,Pricing!$D$7:$E$8,2)*Disbursements!F1262,F1262*Pricing!$E$9))))</f>
        <v>0</v>
      </c>
      <c r="O1262" s="528">
        <f>IF(E1262="STL",0,IF($F1262&gt;0,$F1262*Pricing!$D$17,0))</f>
        <v>0</v>
      </c>
      <c r="P1262" s="530" t="str">
        <f t="shared" si="516"/>
        <v/>
      </c>
      <c r="Q1262" s="531" t="str">
        <f>IF($A1262="","",$G1262/VLOOKUP($I1262,Ref!$B$23:$D$29,2,0))</f>
        <v/>
      </c>
      <c r="R1262" s="530" t="str">
        <f t="shared" si="517"/>
        <v/>
      </c>
      <c r="S1262" s="532" t="str">
        <f t="shared" si="511"/>
        <v/>
      </c>
      <c r="T1262" s="531" t="str">
        <f t="shared" si="518"/>
        <v/>
      </c>
      <c r="U1262" s="533">
        <f t="shared" si="519"/>
        <v>0</v>
      </c>
      <c r="V1262" s="531" t="str">
        <f t="shared" si="520"/>
        <v/>
      </c>
      <c r="W1262" s="531" t="str">
        <f t="shared" si="521"/>
        <v/>
      </c>
      <c r="X1262" s="534" t="str">
        <f t="shared" si="522"/>
        <v/>
      </c>
      <c r="Y1262" s="535" t="str">
        <f>IF($A1262="","",IF($I1262="weekly",$A1262+7,EDATE($A1262,VLOOKUP($I1262,Ref!$B$24:$C$29,2,0))))</f>
        <v/>
      </c>
      <c r="Z1262" s="536" t="str">
        <f t="shared" si="523"/>
        <v/>
      </c>
      <c r="AA1262" s="531">
        <f t="shared" si="524"/>
        <v>0</v>
      </c>
      <c r="AB1262" s="535" t="str">
        <f t="shared" si="512"/>
        <v/>
      </c>
      <c r="AC1262" s="537" t="str">
        <f t="shared" si="513"/>
        <v/>
      </c>
      <c r="AD1262" s="538" t="str">
        <f t="shared" ca="1" si="514"/>
        <v/>
      </c>
      <c r="AE1262" s="537">
        <f t="shared" ca="1" si="515"/>
        <v>0</v>
      </c>
      <c r="AF1262" s="539" t="str">
        <f t="shared" ca="1" si="525"/>
        <v/>
      </c>
      <c r="AG1262" s="531" t="str">
        <f t="shared" ca="1" si="526"/>
        <v/>
      </c>
      <c r="AH1262" s="531" t="str">
        <f t="shared" ca="1" si="527"/>
        <v/>
      </c>
      <c r="AI1262" s="531" t="str">
        <f t="shared" ca="1" si="528"/>
        <v/>
      </c>
      <c r="AJ1262" s="531" t="str">
        <f t="shared" si="529"/>
        <v/>
      </c>
      <c r="AK1262" s="540">
        <f>SUMIFS('Live Collections'!$S:$S,'Live Collections'!$D:$D,Disbursements!B1262,'Live Collections'!$G:$G,Disbursements!C1262)</f>
        <v>0</v>
      </c>
      <c r="AL1262" s="540">
        <f>SUMIFS('Live Collections'!$T:$T,'Live Collections'!$D:$D,Disbursements!B1262,'Live Collections'!$G:$G,Disbursements!C1262)</f>
        <v>0</v>
      </c>
      <c r="AM1262" s="541">
        <f t="shared" si="530"/>
        <v>0</v>
      </c>
      <c r="AN1262" s="542" t="str">
        <f t="shared" si="531"/>
        <v/>
      </c>
      <c r="AO1262" s="542" t="str">
        <f t="shared" si="532"/>
        <v/>
      </c>
      <c r="AP1262" s="543" t="str">
        <f t="shared" si="533"/>
        <v/>
      </c>
      <c r="AQ1262" s="544" t="str">
        <f t="shared" si="534"/>
        <v/>
      </c>
      <c r="AR1262" s="545">
        <f t="shared" si="535"/>
        <v>0</v>
      </c>
      <c r="AS1262" s="545">
        <f>IFERROR(CEILING($AR1262*VLOOKUP($I1262,Ref!$B$23:$E$29,4,0),1),0)</f>
        <v>0</v>
      </c>
      <c r="AT1262" s="545" t="str">
        <f>IF(A1262="","",IF(AP1262&lt;=1,"Cleared",IF(AS1262=0,"Clean",VLOOKUP($AS1262,Ref!$G$23:$H$28,2))))</f>
        <v/>
      </c>
      <c r="AU1262" s="546" t="str">
        <f t="shared" si="536"/>
        <v/>
      </c>
    </row>
    <row r="1263" spans="1:47" ht="14.25" hidden="1" customHeight="1" x14ac:dyDescent="0.15">
      <c r="A1263" s="523"/>
      <c r="B1263" s="523"/>
      <c r="C1263" s="523"/>
      <c r="D1263" s="523"/>
      <c r="E1263" s="579"/>
      <c r="F1263" s="580"/>
      <c r="G1263" s="524"/>
      <c r="H1263" s="555"/>
      <c r="I1263" s="560"/>
      <c r="J1263" s="523"/>
      <c r="K1263" s="528" t="str">
        <f>IFERROR(VLOOKUP($B1263,'Clients-Live'!$A:$C,3,0),"")</f>
        <v/>
      </c>
      <c r="L1263" s="528">
        <f>IF(E1263="STL",Pricing!$D$38,IF(A1263="",0,IF(A1263&lt;Pricing!$C$25,Pricing!$D$25,VLOOKUP(Disbursements!$F1263,Pricing!$B$29:$D$32,3))))</f>
        <v>0</v>
      </c>
      <c r="M1263" s="528">
        <f>IF(E1263="STL",0,IF(F1263&gt;0,Pricing!$D$21,0))</f>
        <v>0</v>
      </c>
      <c r="N1263" s="529">
        <f>IF(E1263="STL",F1263*Pricing!$D$40,IF(A1263&lt;=Pricing!$C$4,0,IF(AND(A1263&gt;Pricing!$C$4,Disbursements!A1263&lt;=Pricing!$C$5),F1263*Pricing!$E$5,IF(AND(A1263&gt;Pricing!$C$5,Disbursements!A1263&lt;=Pricing!$C$7),VLOOKUP(F1263,Pricing!$D$7:$E$8,2)*Disbursements!F1263,F1263*Pricing!$E$9))))</f>
        <v>0</v>
      </c>
      <c r="O1263" s="528">
        <f>IF(E1263="STL",0,IF($F1263&gt;0,$F1263*Pricing!$D$17,0))</f>
        <v>0</v>
      </c>
      <c r="P1263" s="530" t="str">
        <f t="shared" si="516"/>
        <v/>
      </c>
      <c r="Q1263" s="531" t="str">
        <f>IF($A1263="","",$G1263/VLOOKUP($I1263,Ref!$B$23:$D$29,2,0))</f>
        <v/>
      </c>
      <c r="R1263" s="530" t="str">
        <f t="shared" si="517"/>
        <v/>
      </c>
      <c r="S1263" s="532" t="str">
        <f t="shared" si="511"/>
        <v/>
      </c>
      <c r="T1263" s="531" t="str">
        <f t="shared" si="518"/>
        <v/>
      </c>
      <c r="U1263" s="533">
        <f t="shared" si="519"/>
        <v>0</v>
      </c>
      <c r="V1263" s="531" t="str">
        <f t="shared" si="520"/>
        <v/>
      </c>
      <c r="W1263" s="531" t="str">
        <f t="shared" si="521"/>
        <v/>
      </c>
      <c r="X1263" s="534" t="str">
        <f t="shared" si="522"/>
        <v/>
      </c>
      <c r="Y1263" s="535" t="str">
        <f>IF($A1263="","",IF($I1263="weekly",$A1263+7,EDATE($A1263,VLOOKUP($I1263,Ref!$B$24:$C$29,2,0))))</f>
        <v/>
      </c>
      <c r="Z1263" s="536" t="str">
        <f t="shared" si="523"/>
        <v/>
      </c>
      <c r="AA1263" s="531">
        <f t="shared" si="524"/>
        <v>0</v>
      </c>
      <c r="AB1263" s="535" t="str">
        <f t="shared" si="512"/>
        <v/>
      </c>
      <c r="AC1263" s="537" t="str">
        <f t="shared" si="513"/>
        <v/>
      </c>
      <c r="AD1263" s="538" t="str">
        <f t="shared" ca="1" si="514"/>
        <v/>
      </c>
      <c r="AE1263" s="537">
        <f t="shared" ca="1" si="515"/>
        <v>0</v>
      </c>
      <c r="AF1263" s="539" t="str">
        <f t="shared" ca="1" si="525"/>
        <v/>
      </c>
      <c r="AG1263" s="531" t="str">
        <f t="shared" ca="1" si="526"/>
        <v/>
      </c>
      <c r="AH1263" s="531" t="str">
        <f t="shared" ca="1" si="527"/>
        <v/>
      </c>
      <c r="AI1263" s="531" t="str">
        <f t="shared" ca="1" si="528"/>
        <v/>
      </c>
      <c r="AJ1263" s="531" t="str">
        <f t="shared" si="529"/>
        <v/>
      </c>
      <c r="AK1263" s="540">
        <f>SUMIFS('Live Collections'!$S:$S,'Live Collections'!$D:$D,Disbursements!B1263,'Live Collections'!$G:$G,Disbursements!C1263)</f>
        <v>0</v>
      </c>
      <c r="AL1263" s="540">
        <f>SUMIFS('Live Collections'!$T:$T,'Live Collections'!$D:$D,Disbursements!B1263,'Live Collections'!$G:$G,Disbursements!C1263)</f>
        <v>0</v>
      </c>
      <c r="AM1263" s="541">
        <f t="shared" si="530"/>
        <v>0</v>
      </c>
      <c r="AN1263" s="542" t="str">
        <f t="shared" si="531"/>
        <v/>
      </c>
      <c r="AO1263" s="542" t="str">
        <f t="shared" si="532"/>
        <v/>
      </c>
      <c r="AP1263" s="543" t="str">
        <f t="shared" si="533"/>
        <v/>
      </c>
      <c r="AQ1263" s="544" t="str">
        <f t="shared" si="534"/>
        <v/>
      </c>
      <c r="AR1263" s="545">
        <f t="shared" si="535"/>
        <v>0</v>
      </c>
      <c r="AS1263" s="545">
        <f>IFERROR(CEILING($AR1263*VLOOKUP($I1263,Ref!$B$23:$E$29,4,0),1),0)</f>
        <v>0</v>
      </c>
      <c r="AT1263" s="545" t="str">
        <f>IF(A1263="","",IF(AP1263&lt;=1,"Cleared",IF(AS1263=0,"Clean",VLOOKUP($AS1263,Ref!$G$23:$H$28,2))))</f>
        <v/>
      </c>
      <c r="AU1263" s="546" t="str">
        <f t="shared" si="536"/>
        <v/>
      </c>
    </row>
    <row r="1264" spans="1:47" ht="14.25" hidden="1" customHeight="1" x14ac:dyDescent="0.15">
      <c r="A1264" s="523"/>
      <c r="B1264" s="523"/>
      <c r="C1264" s="523"/>
      <c r="D1264" s="523"/>
      <c r="E1264" s="579"/>
      <c r="F1264" s="580"/>
      <c r="G1264" s="524"/>
      <c r="H1264" s="555"/>
      <c r="I1264" s="560"/>
      <c r="J1264" s="523"/>
      <c r="K1264" s="528" t="str">
        <f>IFERROR(VLOOKUP($B1264,'Clients-Live'!$A:$C,3,0),"")</f>
        <v/>
      </c>
      <c r="L1264" s="528">
        <f>IF(E1264="STL",Pricing!$D$38,IF(A1264="",0,IF(A1264&lt;Pricing!$C$25,Pricing!$D$25,VLOOKUP(Disbursements!$F1264,Pricing!$B$29:$D$32,3))))</f>
        <v>0</v>
      </c>
      <c r="M1264" s="528">
        <f>IF(E1264="STL",0,IF(F1264&gt;0,Pricing!$D$21,0))</f>
        <v>0</v>
      </c>
      <c r="N1264" s="529">
        <f>IF(E1264="STL",F1264*Pricing!$D$40,IF(A1264&lt;=Pricing!$C$4,0,IF(AND(A1264&gt;Pricing!$C$4,Disbursements!A1264&lt;=Pricing!$C$5),F1264*Pricing!$E$5,IF(AND(A1264&gt;Pricing!$C$5,Disbursements!A1264&lt;=Pricing!$C$7),VLOOKUP(F1264,Pricing!$D$7:$E$8,2)*Disbursements!F1264,F1264*Pricing!$E$9))))</f>
        <v>0</v>
      </c>
      <c r="O1264" s="528">
        <f>IF(E1264="STL",0,IF($F1264&gt;0,$F1264*Pricing!$D$17,0))</f>
        <v>0</v>
      </c>
      <c r="P1264" s="530" t="str">
        <f t="shared" si="516"/>
        <v/>
      </c>
      <c r="Q1264" s="531" t="str">
        <f>IF($A1264="","",$G1264/VLOOKUP($I1264,Ref!$B$23:$D$29,2,0))</f>
        <v/>
      </c>
      <c r="R1264" s="530" t="str">
        <f t="shared" si="517"/>
        <v/>
      </c>
      <c r="S1264" s="532" t="str">
        <f t="shared" si="511"/>
        <v/>
      </c>
      <c r="T1264" s="531" t="str">
        <f t="shared" si="518"/>
        <v/>
      </c>
      <c r="U1264" s="533">
        <f t="shared" si="519"/>
        <v>0</v>
      </c>
      <c r="V1264" s="531" t="str">
        <f t="shared" si="520"/>
        <v/>
      </c>
      <c r="W1264" s="531" t="str">
        <f t="shared" si="521"/>
        <v/>
      </c>
      <c r="X1264" s="534" t="str">
        <f t="shared" si="522"/>
        <v/>
      </c>
      <c r="Y1264" s="535" t="str">
        <f>IF($A1264="","",IF($I1264="weekly",$A1264+7,EDATE($A1264,VLOOKUP($I1264,Ref!$B$24:$C$29,2,0))))</f>
        <v/>
      </c>
      <c r="Z1264" s="536" t="str">
        <f t="shared" si="523"/>
        <v/>
      </c>
      <c r="AA1264" s="531">
        <f t="shared" si="524"/>
        <v>0</v>
      </c>
      <c r="AB1264" s="535" t="str">
        <f t="shared" si="512"/>
        <v/>
      </c>
      <c r="AC1264" s="537" t="str">
        <f t="shared" si="513"/>
        <v/>
      </c>
      <c r="AD1264" s="538" t="str">
        <f t="shared" ca="1" si="514"/>
        <v/>
      </c>
      <c r="AE1264" s="537">
        <f t="shared" ca="1" si="515"/>
        <v>0</v>
      </c>
      <c r="AF1264" s="539" t="str">
        <f t="shared" ca="1" si="525"/>
        <v/>
      </c>
      <c r="AG1264" s="531" t="str">
        <f t="shared" ca="1" si="526"/>
        <v/>
      </c>
      <c r="AH1264" s="531" t="str">
        <f t="shared" ca="1" si="527"/>
        <v/>
      </c>
      <c r="AI1264" s="531" t="str">
        <f t="shared" ca="1" si="528"/>
        <v/>
      </c>
      <c r="AJ1264" s="531" t="str">
        <f t="shared" si="529"/>
        <v/>
      </c>
      <c r="AK1264" s="540">
        <f>SUMIFS('Live Collections'!$S:$S,'Live Collections'!$D:$D,Disbursements!B1264,'Live Collections'!$G:$G,Disbursements!C1264)</f>
        <v>0</v>
      </c>
      <c r="AL1264" s="540">
        <f>SUMIFS('Live Collections'!$T:$T,'Live Collections'!$D:$D,Disbursements!B1264,'Live Collections'!$G:$G,Disbursements!C1264)</f>
        <v>0</v>
      </c>
      <c r="AM1264" s="541">
        <f t="shared" si="530"/>
        <v>0</v>
      </c>
      <c r="AN1264" s="542" t="str">
        <f t="shared" si="531"/>
        <v/>
      </c>
      <c r="AO1264" s="542" t="str">
        <f t="shared" si="532"/>
        <v/>
      </c>
      <c r="AP1264" s="543" t="str">
        <f t="shared" si="533"/>
        <v/>
      </c>
      <c r="AQ1264" s="544" t="str">
        <f t="shared" si="534"/>
        <v/>
      </c>
      <c r="AR1264" s="545">
        <f t="shared" si="535"/>
        <v>0</v>
      </c>
      <c r="AS1264" s="545">
        <f>IFERROR(CEILING($AR1264*VLOOKUP($I1264,Ref!$B$23:$E$29,4,0),1),0)</f>
        <v>0</v>
      </c>
      <c r="AT1264" s="545" t="str">
        <f>IF(A1264="","",IF(AP1264&lt;=1,"Cleared",IF(AS1264=0,"Clean",VLOOKUP($AS1264,Ref!$G$23:$H$28,2))))</f>
        <v/>
      </c>
      <c r="AU1264" s="546" t="str">
        <f t="shared" si="536"/>
        <v/>
      </c>
    </row>
    <row r="1265" spans="1:47" ht="14.25" hidden="1" customHeight="1" x14ac:dyDescent="0.15">
      <c r="A1265" s="523"/>
      <c r="B1265" s="523"/>
      <c r="C1265" s="523"/>
      <c r="D1265" s="523"/>
      <c r="E1265" s="579"/>
      <c r="F1265" s="580"/>
      <c r="G1265" s="524"/>
      <c r="H1265" s="555"/>
      <c r="I1265" s="560"/>
      <c r="J1265" s="523"/>
      <c r="K1265" s="528" t="str">
        <f>IFERROR(VLOOKUP($B1265,'Clients-Live'!$A:$C,3,0),"")</f>
        <v/>
      </c>
      <c r="L1265" s="528">
        <f>IF(E1265="STL",Pricing!$D$38,IF(A1265="",0,IF(A1265&lt;Pricing!$C$25,Pricing!$D$25,VLOOKUP(Disbursements!$F1265,Pricing!$B$29:$D$32,3))))</f>
        <v>0</v>
      </c>
      <c r="M1265" s="528">
        <f>IF(E1265="STL",0,IF(F1265&gt;0,Pricing!$D$21,0))</f>
        <v>0</v>
      </c>
      <c r="N1265" s="529">
        <f>IF(E1265="STL",F1265*Pricing!$D$40,IF(A1265&lt;=Pricing!$C$4,0,IF(AND(A1265&gt;Pricing!$C$4,Disbursements!A1265&lt;=Pricing!$C$5),F1265*Pricing!$E$5,IF(AND(A1265&gt;Pricing!$C$5,Disbursements!A1265&lt;=Pricing!$C$7),VLOOKUP(F1265,Pricing!$D$7:$E$8,2)*Disbursements!F1265,F1265*Pricing!$E$9))))</f>
        <v>0</v>
      </c>
      <c r="O1265" s="528">
        <f>IF(E1265="STL",0,IF($F1265&gt;0,$F1265*Pricing!$D$17,0))</f>
        <v>0</v>
      </c>
      <c r="P1265" s="530" t="str">
        <f t="shared" si="516"/>
        <v/>
      </c>
      <c r="Q1265" s="531" t="str">
        <f>IF($A1265="","",$G1265/VLOOKUP($I1265,Ref!$B$23:$D$29,2,0))</f>
        <v/>
      </c>
      <c r="R1265" s="530" t="str">
        <f t="shared" si="517"/>
        <v/>
      </c>
      <c r="S1265" s="532" t="str">
        <f t="shared" si="511"/>
        <v/>
      </c>
      <c r="T1265" s="531" t="str">
        <f t="shared" si="518"/>
        <v/>
      </c>
      <c r="U1265" s="533">
        <f t="shared" si="519"/>
        <v>0</v>
      </c>
      <c r="V1265" s="531" t="str">
        <f t="shared" si="520"/>
        <v/>
      </c>
      <c r="W1265" s="531" t="str">
        <f t="shared" si="521"/>
        <v/>
      </c>
      <c r="X1265" s="534" t="str">
        <f t="shared" si="522"/>
        <v/>
      </c>
      <c r="Y1265" s="535" t="str">
        <f>IF($A1265="","",IF($I1265="weekly",$A1265+7,EDATE($A1265,VLOOKUP($I1265,Ref!$B$24:$C$29,2,0))))</f>
        <v/>
      </c>
      <c r="Z1265" s="536" t="str">
        <f t="shared" si="523"/>
        <v/>
      </c>
      <c r="AA1265" s="531">
        <f t="shared" si="524"/>
        <v>0</v>
      </c>
      <c r="AB1265" s="535" t="str">
        <f t="shared" si="512"/>
        <v/>
      </c>
      <c r="AC1265" s="537" t="str">
        <f t="shared" si="513"/>
        <v/>
      </c>
      <c r="AD1265" s="538" t="str">
        <f t="shared" ca="1" si="514"/>
        <v/>
      </c>
      <c r="AE1265" s="537">
        <f t="shared" ca="1" si="515"/>
        <v>0</v>
      </c>
      <c r="AF1265" s="539" t="str">
        <f t="shared" ca="1" si="525"/>
        <v/>
      </c>
      <c r="AG1265" s="531" t="str">
        <f t="shared" ca="1" si="526"/>
        <v/>
      </c>
      <c r="AH1265" s="531" t="str">
        <f t="shared" ca="1" si="527"/>
        <v/>
      </c>
      <c r="AI1265" s="531" t="str">
        <f t="shared" ca="1" si="528"/>
        <v/>
      </c>
      <c r="AJ1265" s="531" t="str">
        <f t="shared" si="529"/>
        <v/>
      </c>
      <c r="AK1265" s="540">
        <f>SUMIFS('Live Collections'!$S:$S,'Live Collections'!$D:$D,Disbursements!B1265,'Live Collections'!$G:$G,Disbursements!C1265)</f>
        <v>0</v>
      </c>
      <c r="AL1265" s="540">
        <f>SUMIFS('Live Collections'!$T:$T,'Live Collections'!$D:$D,Disbursements!B1265,'Live Collections'!$G:$G,Disbursements!C1265)</f>
        <v>0</v>
      </c>
      <c r="AM1265" s="541">
        <f t="shared" si="530"/>
        <v>0</v>
      </c>
      <c r="AN1265" s="542" t="str">
        <f t="shared" si="531"/>
        <v/>
      </c>
      <c r="AO1265" s="542" t="str">
        <f t="shared" si="532"/>
        <v/>
      </c>
      <c r="AP1265" s="543" t="str">
        <f t="shared" si="533"/>
        <v/>
      </c>
      <c r="AQ1265" s="544" t="str">
        <f t="shared" si="534"/>
        <v/>
      </c>
      <c r="AR1265" s="545">
        <f t="shared" si="535"/>
        <v>0</v>
      </c>
      <c r="AS1265" s="545">
        <f>IFERROR(CEILING($AR1265*VLOOKUP($I1265,Ref!$B$23:$E$29,4,0),1),0)</f>
        <v>0</v>
      </c>
      <c r="AT1265" s="545" t="str">
        <f>IF(A1265="","",IF(AP1265&lt;=1,"Cleared",IF(AS1265=0,"Clean",VLOOKUP($AS1265,Ref!$G$23:$H$28,2))))</f>
        <v/>
      </c>
      <c r="AU1265" s="546" t="str">
        <f t="shared" si="536"/>
        <v/>
      </c>
    </row>
    <row r="1266" spans="1:47" ht="14.25" hidden="1" customHeight="1" x14ac:dyDescent="0.15">
      <c r="A1266" s="523"/>
      <c r="B1266" s="523"/>
      <c r="C1266" s="523"/>
      <c r="D1266" s="523"/>
      <c r="E1266" s="579"/>
      <c r="F1266" s="580"/>
      <c r="G1266" s="524"/>
      <c r="H1266" s="555"/>
      <c r="I1266" s="560"/>
      <c r="J1266" s="523"/>
      <c r="K1266" s="528" t="str">
        <f>IFERROR(VLOOKUP($B1266,'Clients-Live'!$A:$C,3,0),"")</f>
        <v/>
      </c>
      <c r="L1266" s="528">
        <f>IF(E1266="STL",Pricing!$D$38,IF(A1266="",0,IF(A1266&lt;Pricing!$C$25,Pricing!$D$25,VLOOKUP(Disbursements!$F1266,Pricing!$B$29:$D$32,3))))</f>
        <v>0</v>
      </c>
      <c r="M1266" s="528">
        <f>IF(E1266="STL",0,IF(F1266&gt;0,Pricing!$D$21,0))</f>
        <v>0</v>
      </c>
      <c r="N1266" s="529">
        <f>IF(E1266="STL",F1266*Pricing!$D$40,IF(A1266&lt;=Pricing!$C$4,0,IF(AND(A1266&gt;Pricing!$C$4,Disbursements!A1266&lt;=Pricing!$C$5),F1266*Pricing!$E$5,IF(AND(A1266&gt;Pricing!$C$5,Disbursements!A1266&lt;=Pricing!$C$7),VLOOKUP(F1266,Pricing!$D$7:$E$8,2)*Disbursements!F1266,F1266*Pricing!$E$9))))</f>
        <v>0</v>
      </c>
      <c r="O1266" s="528">
        <f>IF(E1266="STL",0,IF($F1266&gt;0,$F1266*Pricing!$D$17,0))</f>
        <v>0</v>
      </c>
      <c r="P1266" s="530" t="str">
        <f t="shared" si="516"/>
        <v/>
      </c>
      <c r="Q1266" s="531" t="str">
        <f>IF($A1266="","",$G1266/VLOOKUP($I1266,Ref!$B$23:$D$29,2,0))</f>
        <v/>
      </c>
      <c r="R1266" s="530" t="str">
        <f t="shared" si="517"/>
        <v/>
      </c>
      <c r="S1266" s="532" t="str">
        <f t="shared" si="511"/>
        <v/>
      </c>
      <c r="T1266" s="531" t="str">
        <f t="shared" si="518"/>
        <v/>
      </c>
      <c r="U1266" s="533">
        <f t="shared" si="519"/>
        <v>0</v>
      </c>
      <c r="V1266" s="531" t="str">
        <f t="shared" si="520"/>
        <v/>
      </c>
      <c r="W1266" s="531" t="str">
        <f t="shared" si="521"/>
        <v/>
      </c>
      <c r="X1266" s="534" t="str">
        <f t="shared" si="522"/>
        <v/>
      </c>
      <c r="Y1266" s="535" t="str">
        <f>IF($A1266="","",IF($I1266="weekly",$A1266+7,EDATE($A1266,VLOOKUP($I1266,Ref!$B$24:$C$29,2,0))))</f>
        <v/>
      </c>
      <c r="Z1266" s="536" t="str">
        <f t="shared" si="523"/>
        <v/>
      </c>
      <c r="AA1266" s="531">
        <f t="shared" si="524"/>
        <v>0</v>
      </c>
      <c r="AB1266" s="535" t="str">
        <f t="shared" si="512"/>
        <v/>
      </c>
      <c r="AC1266" s="537" t="str">
        <f t="shared" si="513"/>
        <v/>
      </c>
      <c r="AD1266" s="538" t="str">
        <f t="shared" ca="1" si="514"/>
        <v/>
      </c>
      <c r="AE1266" s="537">
        <f t="shared" ca="1" si="515"/>
        <v>0</v>
      </c>
      <c r="AF1266" s="539" t="str">
        <f t="shared" ca="1" si="525"/>
        <v/>
      </c>
      <c r="AG1266" s="531" t="str">
        <f t="shared" ca="1" si="526"/>
        <v/>
      </c>
      <c r="AH1266" s="531" t="str">
        <f t="shared" ca="1" si="527"/>
        <v/>
      </c>
      <c r="AI1266" s="531" t="str">
        <f t="shared" ca="1" si="528"/>
        <v/>
      </c>
      <c r="AJ1266" s="531" t="str">
        <f t="shared" si="529"/>
        <v/>
      </c>
      <c r="AK1266" s="540">
        <f>SUMIFS('Live Collections'!$S:$S,'Live Collections'!$D:$D,Disbursements!B1266,'Live Collections'!$G:$G,Disbursements!C1266)</f>
        <v>0</v>
      </c>
      <c r="AL1266" s="540">
        <f>SUMIFS('Live Collections'!$T:$T,'Live Collections'!$D:$D,Disbursements!B1266,'Live Collections'!$G:$G,Disbursements!C1266)</f>
        <v>0</v>
      </c>
      <c r="AM1266" s="541">
        <f t="shared" si="530"/>
        <v>0</v>
      </c>
      <c r="AN1266" s="542" t="str">
        <f t="shared" si="531"/>
        <v/>
      </c>
      <c r="AO1266" s="542" t="str">
        <f t="shared" si="532"/>
        <v/>
      </c>
      <c r="AP1266" s="543" t="str">
        <f t="shared" si="533"/>
        <v/>
      </c>
      <c r="AQ1266" s="544" t="str">
        <f t="shared" si="534"/>
        <v/>
      </c>
      <c r="AR1266" s="545">
        <f t="shared" si="535"/>
        <v>0</v>
      </c>
      <c r="AS1266" s="545">
        <f>IFERROR(CEILING($AR1266*VLOOKUP($I1266,Ref!$B$23:$E$29,4,0),1),0)</f>
        <v>0</v>
      </c>
      <c r="AT1266" s="545" t="str">
        <f>IF(A1266="","",IF(AP1266&lt;=1,"Cleared",IF(AS1266=0,"Clean",VLOOKUP($AS1266,Ref!$G$23:$H$28,2))))</f>
        <v/>
      </c>
      <c r="AU1266" s="546" t="str">
        <f t="shared" si="536"/>
        <v/>
      </c>
    </row>
    <row r="1267" spans="1:47" ht="14.25" hidden="1" customHeight="1" x14ac:dyDescent="0.15">
      <c r="A1267" s="523"/>
      <c r="B1267" s="523"/>
      <c r="C1267" s="523"/>
      <c r="D1267" s="523"/>
      <c r="E1267" s="579"/>
      <c r="F1267" s="580"/>
      <c r="G1267" s="524"/>
      <c r="H1267" s="555"/>
      <c r="I1267" s="560"/>
      <c r="J1267" s="523"/>
      <c r="K1267" s="528" t="str">
        <f>IFERROR(VLOOKUP($B1267,'Clients-Live'!$A:$C,3,0),"")</f>
        <v/>
      </c>
      <c r="L1267" s="528">
        <f>IF(E1267="STL",Pricing!$D$38,IF(A1267="",0,IF(A1267&lt;Pricing!$C$25,Pricing!$D$25,VLOOKUP(Disbursements!$F1267,Pricing!$B$29:$D$32,3))))</f>
        <v>0</v>
      </c>
      <c r="M1267" s="528">
        <f>IF(E1267="STL",0,IF(F1267&gt;0,Pricing!$D$21,0))</f>
        <v>0</v>
      </c>
      <c r="N1267" s="529">
        <f>IF(E1267="STL",F1267*Pricing!$D$40,IF(A1267&lt;=Pricing!$C$4,0,IF(AND(A1267&gt;Pricing!$C$4,Disbursements!A1267&lt;=Pricing!$C$5),F1267*Pricing!$E$5,IF(AND(A1267&gt;Pricing!$C$5,Disbursements!A1267&lt;=Pricing!$C$7),VLOOKUP(F1267,Pricing!$D$7:$E$8,2)*Disbursements!F1267,F1267*Pricing!$E$9))))</f>
        <v>0</v>
      </c>
      <c r="O1267" s="528">
        <f>IF(E1267="STL",0,IF($F1267&gt;0,$F1267*Pricing!$D$17,0))</f>
        <v>0</v>
      </c>
      <c r="P1267" s="530" t="str">
        <f t="shared" si="516"/>
        <v/>
      </c>
      <c r="Q1267" s="531" t="str">
        <f>IF($A1267="","",$G1267/VLOOKUP($I1267,Ref!$B$23:$D$29,2,0))</f>
        <v/>
      </c>
      <c r="R1267" s="530" t="str">
        <f t="shared" si="517"/>
        <v/>
      </c>
      <c r="S1267" s="532" t="str">
        <f t="shared" si="511"/>
        <v/>
      </c>
      <c r="T1267" s="531" t="str">
        <f t="shared" si="518"/>
        <v/>
      </c>
      <c r="U1267" s="533">
        <f t="shared" si="519"/>
        <v>0</v>
      </c>
      <c r="V1267" s="531" t="str">
        <f t="shared" si="520"/>
        <v/>
      </c>
      <c r="W1267" s="531" t="str">
        <f t="shared" si="521"/>
        <v/>
      </c>
      <c r="X1267" s="534" t="str">
        <f t="shared" si="522"/>
        <v/>
      </c>
      <c r="Y1267" s="535" t="str">
        <f>IF($A1267="","",IF($I1267="weekly",$A1267+7,EDATE($A1267,VLOOKUP($I1267,Ref!$B$24:$C$29,2,0))))</f>
        <v/>
      </c>
      <c r="Z1267" s="536" t="str">
        <f t="shared" si="523"/>
        <v/>
      </c>
      <c r="AA1267" s="531">
        <f t="shared" si="524"/>
        <v>0</v>
      </c>
      <c r="AB1267" s="535" t="str">
        <f t="shared" si="512"/>
        <v/>
      </c>
      <c r="AC1267" s="537" t="str">
        <f t="shared" si="513"/>
        <v/>
      </c>
      <c r="AD1267" s="538" t="str">
        <f t="shared" ca="1" si="514"/>
        <v/>
      </c>
      <c r="AE1267" s="537">
        <f t="shared" ca="1" si="515"/>
        <v>0</v>
      </c>
      <c r="AF1267" s="539" t="str">
        <f t="shared" ca="1" si="525"/>
        <v/>
      </c>
      <c r="AG1267" s="531" t="str">
        <f t="shared" ca="1" si="526"/>
        <v/>
      </c>
      <c r="AH1267" s="531" t="str">
        <f t="shared" ca="1" si="527"/>
        <v/>
      </c>
      <c r="AI1267" s="531" t="str">
        <f t="shared" ca="1" si="528"/>
        <v/>
      </c>
      <c r="AJ1267" s="531" t="str">
        <f t="shared" si="529"/>
        <v/>
      </c>
      <c r="AK1267" s="540">
        <f>SUMIFS('Live Collections'!$S:$S,'Live Collections'!$D:$D,Disbursements!B1267,'Live Collections'!$G:$G,Disbursements!C1267)</f>
        <v>0</v>
      </c>
      <c r="AL1267" s="540">
        <f>SUMIFS('Live Collections'!$T:$T,'Live Collections'!$D:$D,Disbursements!B1267,'Live Collections'!$G:$G,Disbursements!C1267)</f>
        <v>0</v>
      </c>
      <c r="AM1267" s="541">
        <f t="shared" si="530"/>
        <v>0</v>
      </c>
      <c r="AN1267" s="542" t="str">
        <f t="shared" si="531"/>
        <v/>
      </c>
      <c r="AO1267" s="542" t="str">
        <f t="shared" si="532"/>
        <v/>
      </c>
      <c r="AP1267" s="543" t="str">
        <f t="shared" si="533"/>
        <v/>
      </c>
      <c r="AQ1267" s="544" t="str">
        <f t="shared" si="534"/>
        <v/>
      </c>
      <c r="AR1267" s="545">
        <f t="shared" si="535"/>
        <v>0</v>
      </c>
      <c r="AS1267" s="545">
        <f>IFERROR(CEILING($AR1267*VLOOKUP($I1267,Ref!$B$23:$E$29,4,0),1),0)</f>
        <v>0</v>
      </c>
      <c r="AT1267" s="545" t="str">
        <f>IF(A1267="","",IF(AP1267&lt;=1,"Cleared",IF(AS1267=0,"Clean",VLOOKUP($AS1267,Ref!$G$23:$H$28,2))))</f>
        <v/>
      </c>
      <c r="AU1267" s="546" t="str">
        <f t="shared" si="536"/>
        <v/>
      </c>
    </row>
    <row r="1268" spans="1:47" ht="14.25" hidden="1" customHeight="1" x14ac:dyDescent="0.15">
      <c r="A1268" s="523"/>
      <c r="B1268" s="523"/>
      <c r="C1268" s="523"/>
      <c r="D1268" s="523"/>
      <c r="E1268" s="579"/>
      <c r="F1268" s="580"/>
      <c r="G1268" s="524"/>
      <c r="H1268" s="555"/>
      <c r="I1268" s="560"/>
      <c r="J1268" s="523"/>
      <c r="K1268" s="528" t="str">
        <f>IFERROR(VLOOKUP($B1268,'Clients-Live'!$A:$C,3,0),"")</f>
        <v/>
      </c>
      <c r="L1268" s="528">
        <f>IF(E1268="STL",Pricing!$D$38,IF(A1268="",0,IF(A1268&lt;Pricing!$C$25,Pricing!$D$25,VLOOKUP(Disbursements!$F1268,Pricing!$B$29:$D$32,3))))</f>
        <v>0</v>
      </c>
      <c r="M1268" s="528">
        <f>IF(E1268="STL",0,IF(F1268&gt;0,Pricing!$D$21,0))</f>
        <v>0</v>
      </c>
      <c r="N1268" s="529">
        <f>IF(E1268="STL",F1268*Pricing!$D$40,IF(A1268&lt;=Pricing!$C$4,0,IF(AND(A1268&gt;Pricing!$C$4,Disbursements!A1268&lt;=Pricing!$C$5),F1268*Pricing!$E$5,IF(AND(A1268&gt;Pricing!$C$5,Disbursements!A1268&lt;=Pricing!$C$7),VLOOKUP(F1268,Pricing!$D$7:$E$8,2)*Disbursements!F1268,F1268*Pricing!$E$9))))</f>
        <v>0</v>
      </c>
      <c r="O1268" s="528">
        <f>IF(E1268="STL",0,IF($F1268&gt;0,$F1268*Pricing!$D$17,0))</f>
        <v>0</v>
      </c>
      <c r="P1268" s="530" t="str">
        <f t="shared" si="516"/>
        <v/>
      </c>
      <c r="Q1268" s="531" t="str">
        <f>IF($A1268="","",$G1268/VLOOKUP($I1268,Ref!$B$23:$D$29,2,0))</f>
        <v/>
      </c>
      <c r="R1268" s="530" t="str">
        <f t="shared" si="517"/>
        <v/>
      </c>
      <c r="S1268" s="532" t="str">
        <f t="shared" si="511"/>
        <v/>
      </c>
      <c r="T1268" s="531" t="str">
        <f t="shared" si="518"/>
        <v/>
      </c>
      <c r="U1268" s="533">
        <f t="shared" si="519"/>
        <v>0</v>
      </c>
      <c r="V1268" s="531" t="str">
        <f t="shared" si="520"/>
        <v/>
      </c>
      <c r="W1268" s="531" t="str">
        <f t="shared" si="521"/>
        <v/>
      </c>
      <c r="X1268" s="534" t="str">
        <f t="shared" si="522"/>
        <v/>
      </c>
      <c r="Y1268" s="535" t="str">
        <f>IF($A1268="","",IF($I1268="weekly",$A1268+7,EDATE($A1268,VLOOKUP($I1268,Ref!$B$24:$C$29,2,0))))</f>
        <v/>
      </c>
      <c r="Z1268" s="536" t="str">
        <f t="shared" si="523"/>
        <v/>
      </c>
      <c r="AA1268" s="531">
        <f t="shared" si="524"/>
        <v>0</v>
      </c>
      <c r="AB1268" s="535" t="str">
        <f t="shared" si="512"/>
        <v/>
      </c>
      <c r="AC1268" s="537" t="str">
        <f t="shared" si="513"/>
        <v/>
      </c>
      <c r="AD1268" s="538" t="str">
        <f t="shared" ca="1" si="514"/>
        <v/>
      </c>
      <c r="AE1268" s="537">
        <f t="shared" ca="1" si="515"/>
        <v>0</v>
      </c>
      <c r="AF1268" s="539" t="str">
        <f t="shared" ca="1" si="525"/>
        <v/>
      </c>
      <c r="AG1268" s="531" t="str">
        <f t="shared" ca="1" si="526"/>
        <v/>
      </c>
      <c r="AH1268" s="531" t="str">
        <f t="shared" ca="1" si="527"/>
        <v/>
      </c>
      <c r="AI1268" s="531" t="str">
        <f t="shared" ca="1" si="528"/>
        <v/>
      </c>
      <c r="AJ1268" s="531" t="str">
        <f t="shared" si="529"/>
        <v/>
      </c>
      <c r="AK1268" s="540">
        <f>SUMIFS('Live Collections'!$S:$S,'Live Collections'!$D:$D,Disbursements!B1268,'Live Collections'!$G:$G,Disbursements!C1268)</f>
        <v>0</v>
      </c>
      <c r="AL1268" s="540">
        <f>SUMIFS('Live Collections'!$T:$T,'Live Collections'!$D:$D,Disbursements!B1268,'Live Collections'!$G:$G,Disbursements!C1268)</f>
        <v>0</v>
      </c>
      <c r="AM1268" s="541">
        <f t="shared" si="530"/>
        <v>0</v>
      </c>
      <c r="AN1268" s="542" t="str">
        <f t="shared" si="531"/>
        <v/>
      </c>
      <c r="AO1268" s="542" t="str">
        <f t="shared" si="532"/>
        <v/>
      </c>
      <c r="AP1268" s="543" t="str">
        <f t="shared" si="533"/>
        <v/>
      </c>
      <c r="AQ1268" s="544" t="str">
        <f t="shared" si="534"/>
        <v/>
      </c>
      <c r="AR1268" s="545">
        <f t="shared" si="535"/>
        <v>0</v>
      </c>
      <c r="AS1268" s="545">
        <f>IFERROR(CEILING($AR1268*VLOOKUP($I1268,Ref!$B$23:$E$29,4,0),1),0)</f>
        <v>0</v>
      </c>
      <c r="AT1268" s="545" t="str">
        <f>IF(A1268="","",IF(AP1268&lt;=1,"Cleared",IF(AS1268=0,"Clean",VLOOKUP($AS1268,Ref!$G$23:$H$28,2))))</f>
        <v/>
      </c>
      <c r="AU1268" s="546" t="str">
        <f t="shared" si="536"/>
        <v/>
      </c>
    </row>
    <row r="1269" spans="1:47" ht="14.25" hidden="1" customHeight="1" x14ac:dyDescent="0.15">
      <c r="A1269" s="523"/>
      <c r="B1269" s="523"/>
      <c r="C1269" s="523"/>
      <c r="D1269" s="523"/>
      <c r="E1269" s="579"/>
      <c r="F1269" s="580"/>
      <c r="G1269" s="524"/>
      <c r="H1269" s="555"/>
      <c r="I1269" s="560"/>
      <c r="J1269" s="523"/>
      <c r="K1269" s="528" t="str">
        <f>IFERROR(VLOOKUP($B1269,'Clients-Live'!$A:$C,3,0),"")</f>
        <v/>
      </c>
      <c r="L1269" s="528">
        <f>IF(E1269="STL",Pricing!$D$38,IF(A1269="",0,IF(A1269&lt;Pricing!$C$25,Pricing!$D$25,VLOOKUP(Disbursements!$F1269,Pricing!$B$29:$D$32,3))))</f>
        <v>0</v>
      </c>
      <c r="M1269" s="528">
        <f>IF(E1269="STL",0,IF(F1269&gt;0,Pricing!$D$21,0))</f>
        <v>0</v>
      </c>
      <c r="N1269" s="529">
        <f>IF(E1269="STL",F1269*Pricing!$D$40,IF(A1269&lt;=Pricing!$C$4,0,IF(AND(A1269&gt;Pricing!$C$4,Disbursements!A1269&lt;=Pricing!$C$5),F1269*Pricing!$E$5,IF(AND(A1269&gt;Pricing!$C$5,Disbursements!A1269&lt;=Pricing!$C$7),VLOOKUP(F1269,Pricing!$D$7:$E$8,2)*Disbursements!F1269,F1269*Pricing!$E$9))))</f>
        <v>0</v>
      </c>
      <c r="O1269" s="528">
        <f>IF(E1269="STL",0,IF($F1269&gt;0,$F1269*Pricing!$D$17,0))</f>
        <v>0</v>
      </c>
      <c r="P1269" s="530" t="str">
        <f t="shared" si="516"/>
        <v/>
      </c>
      <c r="Q1269" s="531" t="str">
        <f>IF($A1269="","",$G1269/VLOOKUP($I1269,Ref!$B$23:$D$29,2,0))</f>
        <v/>
      </c>
      <c r="R1269" s="530" t="str">
        <f t="shared" si="517"/>
        <v/>
      </c>
      <c r="S1269" s="532" t="str">
        <f t="shared" si="511"/>
        <v/>
      </c>
      <c r="T1269" s="531" t="str">
        <f t="shared" si="518"/>
        <v/>
      </c>
      <c r="U1269" s="533">
        <f t="shared" si="519"/>
        <v>0</v>
      </c>
      <c r="V1269" s="531" t="str">
        <f t="shared" si="520"/>
        <v/>
      </c>
      <c r="W1269" s="531" t="str">
        <f t="shared" si="521"/>
        <v/>
      </c>
      <c r="X1269" s="534" t="str">
        <f t="shared" si="522"/>
        <v/>
      </c>
      <c r="Y1269" s="535" t="str">
        <f>IF($A1269="","",IF($I1269="weekly",$A1269+7,EDATE($A1269,VLOOKUP($I1269,Ref!$B$24:$C$29,2,0))))</f>
        <v/>
      </c>
      <c r="Z1269" s="536" t="str">
        <f t="shared" si="523"/>
        <v/>
      </c>
      <c r="AA1269" s="531">
        <f t="shared" si="524"/>
        <v>0</v>
      </c>
      <c r="AB1269" s="535" t="str">
        <f t="shared" si="512"/>
        <v/>
      </c>
      <c r="AC1269" s="537" t="str">
        <f t="shared" si="513"/>
        <v/>
      </c>
      <c r="AD1269" s="538" t="str">
        <f t="shared" ca="1" si="514"/>
        <v/>
      </c>
      <c r="AE1269" s="537">
        <f t="shared" ca="1" si="515"/>
        <v>0</v>
      </c>
      <c r="AF1269" s="539" t="str">
        <f t="shared" ca="1" si="525"/>
        <v/>
      </c>
      <c r="AG1269" s="531" t="str">
        <f t="shared" ca="1" si="526"/>
        <v/>
      </c>
      <c r="AH1269" s="531" t="str">
        <f t="shared" ca="1" si="527"/>
        <v/>
      </c>
      <c r="AI1269" s="531" t="str">
        <f t="shared" ca="1" si="528"/>
        <v/>
      </c>
      <c r="AJ1269" s="531" t="str">
        <f t="shared" si="529"/>
        <v/>
      </c>
      <c r="AK1269" s="540">
        <f>SUMIFS('Live Collections'!$S:$S,'Live Collections'!$D:$D,Disbursements!B1269,'Live Collections'!$G:$G,Disbursements!C1269)</f>
        <v>0</v>
      </c>
      <c r="AL1269" s="540">
        <f>SUMIFS('Live Collections'!$T:$T,'Live Collections'!$D:$D,Disbursements!B1269,'Live Collections'!$G:$G,Disbursements!C1269)</f>
        <v>0</v>
      </c>
      <c r="AM1269" s="541">
        <f t="shared" si="530"/>
        <v>0</v>
      </c>
      <c r="AN1269" s="542" t="str">
        <f t="shared" si="531"/>
        <v/>
      </c>
      <c r="AO1269" s="542" t="str">
        <f t="shared" si="532"/>
        <v/>
      </c>
      <c r="AP1269" s="543" t="str">
        <f t="shared" si="533"/>
        <v/>
      </c>
      <c r="AQ1269" s="544" t="str">
        <f t="shared" si="534"/>
        <v/>
      </c>
      <c r="AR1269" s="545">
        <f t="shared" si="535"/>
        <v>0</v>
      </c>
      <c r="AS1269" s="545">
        <f>IFERROR(CEILING($AR1269*VLOOKUP($I1269,Ref!$B$23:$E$29,4,0),1),0)</f>
        <v>0</v>
      </c>
      <c r="AT1269" s="545" t="str">
        <f>IF(A1269="","",IF(AP1269&lt;=1,"Cleared",IF(AS1269=0,"Clean",VLOOKUP($AS1269,Ref!$G$23:$H$28,2))))</f>
        <v/>
      </c>
      <c r="AU1269" s="546" t="str">
        <f t="shared" si="536"/>
        <v/>
      </c>
    </row>
    <row r="1270" spans="1:47" ht="14.25" hidden="1" customHeight="1" x14ac:dyDescent="0.15">
      <c r="A1270" s="523"/>
      <c r="B1270" s="523"/>
      <c r="C1270" s="523"/>
      <c r="D1270" s="523"/>
      <c r="E1270" s="579"/>
      <c r="F1270" s="580"/>
      <c r="G1270" s="524"/>
      <c r="H1270" s="555"/>
      <c r="I1270" s="560"/>
      <c r="J1270" s="523"/>
      <c r="K1270" s="528" t="str">
        <f>IFERROR(VLOOKUP($B1270,'Clients-Live'!$A:$C,3,0),"")</f>
        <v/>
      </c>
      <c r="L1270" s="528">
        <f>IF(E1270="STL",Pricing!$D$38,IF(A1270="",0,IF(A1270&lt;Pricing!$C$25,Pricing!$D$25,VLOOKUP(Disbursements!$F1270,Pricing!$B$29:$D$32,3))))</f>
        <v>0</v>
      </c>
      <c r="M1270" s="528">
        <f>IF(E1270="STL",0,IF(F1270&gt;0,Pricing!$D$21,0))</f>
        <v>0</v>
      </c>
      <c r="N1270" s="529">
        <f>IF(E1270="STL",F1270*Pricing!$D$40,IF(A1270&lt;=Pricing!$C$4,0,IF(AND(A1270&gt;Pricing!$C$4,Disbursements!A1270&lt;=Pricing!$C$5),F1270*Pricing!$E$5,IF(AND(A1270&gt;Pricing!$C$5,Disbursements!A1270&lt;=Pricing!$C$7),VLOOKUP(F1270,Pricing!$D$7:$E$8,2)*Disbursements!F1270,F1270*Pricing!$E$9))))</f>
        <v>0</v>
      </c>
      <c r="O1270" s="528">
        <f>IF(E1270="STL",0,IF($F1270&gt;0,$F1270*Pricing!$D$17,0))</f>
        <v>0</v>
      </c>
      <c r="P1270" s="530" t="str">
        <f t="shared" si="516"/>
        <v/>
      </c>
      <c r="Q1270" s="531" t="str">
        <f>IF($A1270="","",$G1270/VLOOKUP($I1270,Ref!$B$23:$D$29,2,0))</f>
        <v/>
      </c>
      <c r="R1270" s="530" t="str">
        <f t="shared" si="517"/>
        <v/>
      </c>
      <c r="S1270" s="532" t="str">
        <f t="shared" si="511"/>
        <v/>
      </c>
      <c r="T1270" s="531" t="str">
        <f t="shared" si="518"/>
        <v/>
      </c>
      <c r="U1270" s="533">
        <f t="shared" si="519"/>
        <v>0</v>
      </c>
      <c r="V1270" s="531" t="str">
        <f t="shared" si="520"/>
        <v/>
      </c>
      <c r="W1270" s="531" t="str">
        <f t="shared" si="521"/>
        <v/>
      </c>
      <c r="X1270" s="534" t="str">
        <f t="shared" si="522"/>
        <v/>
      </c>
      <c r="Y1270" s="535" t="str">
        <f>IF($A1270="","",IF($I1270="weekly",$A1270+7,EDATE($A1270,VLOOKUP($I1270,Ref!$B$24:$C$29,2,0))))</f>
        <v/>
      </c>
      <c r="Z1270" s="536" t="str">
        <f t="shared" si="523"/>
        <v/>
      </c>
      <c r="AA1270" s="531">
        <f t="shared" si="524"/>
        <v>0</v>
      </c>
      <c r="AB1270" s="535" t="str">
        <f t="shared" si="512"/>
        <v/>
      </c>
      <c r="AC1270" s="537" t="str">
        <f t="shared" si="513"/>
        <v/>
      </c>
      <c r="AD1270" s="538" t="str">
        <f t="shared" ca="1" si="514"/>
        <v/>
      </c>
      <c r="AE1270" s="537">
        <f t="shared" ca="1" si="515"/>
        <v>0</v>
      </c>
      <c r="AF1270" s="539" t="str">
        <f t="shared" ca="1" si="525"/>
        <v/>
      </c>
      <c r="AG1270" s="531" t="str">
        <f t="shared" ca="1" si="526"/>
        <v/>
      </c>
      <c r="AH1270" s="531" t="str">
        <f t="shared" ca="1" si="527"/>
        <v/>
      </c>
      <c r="AI1270" s="531" t="str">
        <f t="shared" ca="1" si="528"/>
        <v/>
      </c>
      <c r="AJ1270" s="531" t="str">
        <f t="shared" si="529"/>
        <v/>
      </c>
      <c r="AK1270" s="540">
        <f>SUMIFS('Live Collections'!$S:$S,'Live Collections'!$D:$D,Disbursements!B1270,'Live Collections'!$G:$G,Disbursements!C1270)</f>
        <v>0</v>
      </c>
      <c r="AL1270" s="540">
        <f>SUMIFS('Live Collections'!$T:$T,'Live Collections'!$D:$D,Disbursements!B1270,'Live Collections'!$G:$G,Disbursements!C1270)</f>
        <v>0</v>
      </c>
      <c r="AM1270" s="541">
        <f t="shared" si="530"/>
        <v>0</v>
      </c>
      <c r="AN1270" s="542" t="str">
        <f t="shared" si="531"/>
        <v/>
      </c>
      <c r="AO1270" s="542" t="str">
        <f t="shared" si="532"/>
        <v/>
      </c>
      <c r="AP1270" s="543" t="str">
        <f t="shared" si="533"/>
        <v/>
      </c>
      <c r="AQ1270" s="544" t="str">
        <f t="shared" si="534"/>
        <v/>
      </c>
      <c r="AR1270" s="545">
        <f t="shared" si="535"/>
        <v>0</v>
      </c>
      <c r="AS1270" s="545">
        <f>IFERROR(CEILING($AR1270*VLOOKUP($I1270,Ref!$B$23:$E$29,4,0),1),0)</f>
        <v>0</v>
      </c>
      <c r="AT1270" s="545" t="str">
        <f>IF(A1270="","",IF(AP1270&lt;=1,"Cleared",IF(AS1270=0,"Clean",VLOOKUP($AS1270,Ref!$G$23:$H$28,2))))</f>
        <v/>
      </c>
      <c r="AU1270" s="546" t="str">
        <f t="shared" si="536"/>
        <v/>
      </c>
    </row>
    <row r="1271" spans="1:47" ht="14.25" hidden="1" customHeight="1" x14ac:dyDescent="0.15">
      <c r="A1271" s="523"/>
      <c r="B1271" s="523"/>
      <c r="C1271" s="523"/>
      <c r="D1271" s="523"/>
      <c r="E1271" s="579"/>
      <c r="F1271" s="580"/>
      <c r="G1271" s="524"/>
      <c r="H1271" s="555"/>
      <c r="I1271" s="560"/>
      <c r="J1271" s="523"/>
      <c r="K1271" s="528" t="str">
        <f>IFERROR(VLOOKUP($B1271,'Clients-Live'!$A:$C,3,0),"")</f>
        <v/>
      </c>
      <c r="L1271" s="528">
        <f>IF(E1271="STL",Pricing!$D$38,IF(A1271="",0,IF(A1271&lt;Pricing!$C$25,Pricing!$D$25,VLOOKUP(Disbursements!$F1271,Pricing!$B$29:$D$32,3))))</f>
        <v>0</v>
      </c>
      <c r="M1271" s="528">
        <f>IF(E1271="STL",0,IF(F1271&gt;0,Pricing!$D$21,0))</f>
        <v>0</v>
      </c>
      <c r="N1271" s="529">
        <f>IF(E1271="STL",F1271*Pricing!$D$40,IF(A1271&lt;=Pricing!$C$4,0,IF(AND(A1271&gt;Pricing!$C$4,Disbursements!A1271&lt;=Pricing!$C$5),F1271*Pricing!$E$5,IF(AND(A1271&gt;Pricing!$C$5,Disbursements!A1271&lt;=Pricing!$C$7),VLOOKUP(F1271,Pricing!$D$7:$E$8,2)*Disbursements!F1271,F1271*Pricing!$E$9))))</f>
        <v>0</v>
      </c>
      <c r="O1271" s="528">
        <f>IF(E1271="STL",0,IF($F1271&gt;0,$F1271*Pricing!$D$17,0))</f>
        <v>0</v>
      </c>
      <c r="P1271" s="530" t="str">
        <f t="shared" si="516"/>
        <v/>
      </c>
      <c r="Q1271" s="531" t="str">
        <f>IF($A1271="","",$G1271/VLOOKUP($I1271,Ref!$B$23:$D$29,2,0))</f>
        <v/>
      </c>
      <c r="R1271" s="530" t="str">
        <f t="shared" si="517"/>
        <v/>
      </c>
      <c r="S1271" s="532" t="str">
        <f t="shared" si="511"/>
        <v/>
      </c>
      <c r="T1271" s="531" t="str">
        <f t="shared" si="518"/>
        <v/>
      </c>
      <c r="U1271" s="533">
        <f t="shared" si="519"/>
        <v>0</v>
      </c>
      <c r="V1271" s="531" t="str">
        <f t="shared" si="520"/>
        <v/>
      </c>
      <c r="W1271" s="531" t="str">
        <f t="shared" si="521"/>
        <v/>
      </c>
      <c r="X1271" s="534" t="str">
        <f t="shared" si="522"/>
        <v/>
      </c>
      <c r="Y1271" s="535" t="str">
        <f>IF($A1271="","",IF($I1271="weekly",$A1271+7,EDATE($A1271,VLOOKUP($I1271,Ref!$B$24:$C$29,2,0))))</f>
        <v/>
      </c>
      <c r="Z1271" s="536" t="str">
        <f t="shared" si="523"/>
        <v/>
      </c>
      <c r="AA1271" s="531">
        <f t="shared" si="524"/>
        <v>0</v>
      </c>
      <c r="AB1271" s="535" t="str">
        <f t="shared" si="512"/>
        <v/>
      </c>
      <c r="AC1271" s="537" t="str">
        <f t="shared" si="513"/>
        <v/>
      </c>
      <c r="AD1271" s="538" t="str">
        <f t="shared" ca="1" si="514"/>
        <v/>
      </c>
      <c r="AE1271" s="537">
        <f t="shared" ca="1" si="515"/>
        <v>0</v>
      </c>
      <c r="AF1271" s="539" t="str">
        <f t="shared" ca="1" si="525"/>
        <v/>
      </c>
      <c r="AG1271" s="531" t="str">
        <f t="shared" ca="1" si="526"/>
        <v/>
      </c>
      <c r="AH1271" s="531" t="str">
        <f t="shared" ca="1" si="527"/>
        <v/>
      </c>
      <c r="AI1271" s="531" t="str">
        <f t="shared" ca="1" si="528"/>
        <v/>
      </c>
      <c r="AJ1271" s="531" t="str">
        <f t="shared" si="529"/>
        <v/>
      </c>
      <c r="AK1271" s="540">
        <f>SUMIFS('Live Collections'!$S:$S,'Live Collections'!$D:$D,Disbursements!B1271,'Live Collections'!$G:$G,Disbursements!C1271)</f>
        <v>0</v>
      </c>
      <c r="AL1271" s="540">
        <f>SUMIFS('Live Collections'!$T:$T,'Live Collections'!$D:$D,Disbursements!B1271,'Live Collections'!$G:$G,Disbursements!C1271)</f>
        <v>0</v>
      </c>
      <c r="AM1271" s="541">
        <f t="shared" si="530"/>
        <v>0</v>
      </c>
      <c r="AN1271" s="542" t="str">
        <f t="shared" si="531"/>
        <v/>
      </c>
      <c r="AO1271" s="542" t="str">
        <f t="shared" si="532"/>
        <v/>
      </c>
      <c r="AP1271" s="543" t="str">
        <f t="shared" si="533"/>
        <v/>
      </c>
      <c r="AQ1271" s="544" t="str">
        <f t="shared" si="534"/>
        <v/>
      </c>
      <c r="AR1271" s="545">
        <f t="shared" si="535"/>
        <v>0</v>
      </c>
      <c r="AS1271" s="545">
        <f>IFERROR(CEILING($AR1271*VLOOKUP($I1271,Ref!$B$23:$E$29,4,0),1),0)</f>
        <v>0</v>
      </c>
      <c r="AT1271" s="545" t="str">
        <f>IF(A1271="","",IF(AP1271&lt;=1,"Cleared",IF(AS1271=0,"Clean",VLOOKUP($AS1271,Ref!$G$23:$H$28,2))))</f>
        <v/>
      </c>
      <c r="AU1271" s="546" t="str">
        <f t="shared" si="536"/>
        <v/>
      </c>
    </row>
    <row r="1272" spans="1:47" ht="14.25" hidden="1" customHeight="1" x14ac:dyDescent="0.15">
      <c r="A1272" s="523"/>
      <c r="B1272" s="523"/>
      <c r="C1272" s="523"/>
      <c r="D1272" s="523"/>
      <c r="E1272" s="579"/>
      <c r="F1272" s="580"/>
      <c r="G1272" s="524"/>
      <c r="H1272" s="555"/>
      <c r="I1272" s="560"/>
      <c r="J1272" s="523"/>
      <c r="K1272" s="528" t="str">
        <f>IFERROR(VLOOKUP($B1272,'Clients-Live'!$A:$C,3,0),"")</f>
        <v/>
      </c>
      <c r="L1272" s="528">
        <f>IF(E1272="STL",Pricing!$D$38,IF(A1272="",0,IF(A1272&lt;Pricing!$C$25,Pricing!$D$25,VLOOKUP(Disbursements!$F1272,Pricing!$B$29:$D$32,3))))</f>
        <v>0</v>
      </c>
      <c r="M1272" s="528">
        <f>IF(E1272="STL",0,IF(F1272&gt;0,Pricing!$D$21,0))</f>
        <v>0</v>
      </c>
      <c r="N1272" s="529">
        <f>IF(E1272="STL",F1272*Pricing!$D$40,IF(A1272&lt;=Pricing!$C$4,0,IF(AND(A1272&gt;Pricing!$C$4,Disbursements!A1272&lt;=Pricing!$C$5),F1272*Pricing!$E$5,IF(AND(A1272&gt;Pricing!$C$5,Disbursements!A1272&lt;=Pricing!$C$7),VLOOKUP(F1272,Pricing!$D$7:$E$8,2)*Disbursements!F1272,F1272*Pricing!$E$9))))</f>
        <v>0</v>
      </c>
      <c r="O1272" s="528">
        <f>IF(E1272="STL",0,IF($F1272&gt;0,$F1272*Pricing!$D$17,0))</f>
        <v>0</v>
      </c>
      <c r="P1272" s="530" t="str">
        <f t="shared" si="516"/>
        <v/>
      </c>
      <c r="Q1272" s="531" t="str">
        <f>IF($A1272="","",$G1272/VLOOKUP($I1272,Ref!$B$23:$D$29,2,0))</f>
        <v/>
      </c>
      <c r="R1272" s="530" t="str">
        <f t="shared" si="517"/>
        <v/>
      </c>
      <c r="S1272" s="532" t="str">
        <f t="shared" si="511"/>
        <v/>
      </c>
      <c r="T1272" s="531" t="str">
        <f t="shared" si="518"/>
        <v/>
      </c>
      <c r="U1272" s="533">
        <f t="shared" si="519"/>
        <v>0</v>
      </c>
      <c r="V1272" s="531" t="str">
        <f t="shared" si="520"/>
        <v/>
      </c>
      <c r="W1272" s="531" t="str">
        <f t="shared" si="521"/>
        <v/>
      </c>
      <c r="X1272" s="534" t="str">
        <f t="shared" si="522"/>
        <v/>
      </c>
      <c r="Y1272" s="535" t="str">
        <f>IF($A1272="","",IF($I1272="weekly",$A1272+7,EDATE($A1272,VLOOKUP($I1272,Ref!$B$24:$C$29,2,0))))</f>
        <v/>
      </c>
      <c r="Z1272" s="536" t="str">
        <f t="shared" si="523"/>
        <v/>
      </c>
      <c r="AA1272" s="531">
        <f t="shared" si="524"/>
        <v>0</v>
      </c>
      <c r="AB1272" s="535" t="str">
        <f t="shared" si="512"/>
        <v/>
      </c>
      <c r="AC1272" s="537" t="str">
        <f t="shared" si="513"/>
        <v/>
      </c>
      <c r="AD1272" s="538" t="str">
        <f t="shared" ca="1" si="514"/>
        <v/>
      </c>
      <c r="AE1272" s="537">
        <f t="shared" ca="1" si="515"/>
        <v>0</v>
      </c>
      <c r="AF1272" s="539" t="str">
        <f t="shared" ca="1" si="525"/>
        <v/>
      </c>
      <c r="AG1272" s="531" t="str">
        <f t="shared" ca="1" si="526"/>
        <v/>
      </c>
      <c r="AH1272" s="531" t="str">
        <f t="shared" ca="1" si="527"/>
        <v/>
      </c>
      <c r="AI1272" s="531" t="str">
        <f t="shared" ca="1" si="528"/>
        <v/>
      </c>
      <c r="AJ1272" s="531" t="str">
        <f t="shared" si="529"/>
        <v/>
      </c>
      <c r="AK1272" s="540">
        <f>SUMIFS('Live Collections'!$S:$S,'Live Collections'!$D:$D,Disbursements!B1272,'Live Collections'!$G:$G,Disbursements!C1272)</f>
        <v>0</v>
      </c>
      <c r="AL1272" s="540">
        <f>SUMIFS('Live Collections'!$T:$T,'Live Collections'!$D:$D,Disbursements!B1272,'Live Collections'!$G:$G,Disbursements!C1272)</f>
        <v>0</v>
      </c>
      <c r="AM1272" s="541">
        <f t="shared" si="530"/>
        <v>0</v>
      </c>
      <c r="AN1272" s="542" t="str">
        <f t="shared" si="531"/>
        <v/>
      </c>
      <c r="AO1272" s="542" t="str">
        <f t="shared" si="532"/>
        <v/>
      </c>
      <c r="AP1272" s="543" t="str">
        <f t="shared" si="533"/>
        <v/>
      </c>
      <c r="AQ1272" s="544" t="str">
        <f t="shared" si="534"/>
        <v/>
      </c>
      <c r="AR1272" s="545">
        <f t="shared" si="535"/>
        <v>0</v>
      </c>
      <c r="AS1272" s="545">
        <f>IFERROR(CEILING($AR1272*VLOOKUP($I1272,Ref!$B$23:$E$29,4,0),1),0)</f>
        <v>0</v>
      </c>
      <c r="AT1272" s="545" t="str">
        <f>IF(A1272="","",IF(AP1272&lt;=1,"Cleared",IF(AS1272=0,"Clean",VLOOKUP($AS1272,Ref!$G$23:$H$28,2))))</f>
        <v/>
      </c>
      <c r="AU1272" s="546" t="str">
        <f t="shared" si="536"/>
        <v/>
      </c>
    </row>
    <row r="1273" spans="1:47" ht="14.25" hidden="1" customHeight="1" x14ac:dyDescent="0.15">
      <c r="A1273" s="523"/>
      <c r="B1273" s="523"/>
      <c r="C1273" s="523"/>
      <c r="D1273" s="523"/>
      <c r="E1273" s="579"/>
      <c r="F1273" s="580"/>
      <c r="G1273" s="524"/>
      <c r="H1273" s="555"/>
      <c r="I1273" s="560"/>
      <c r="J1273" s="523"/>
      <c r="K1273" s="528" t="str">
        <f>IFERROR(VLOOKUP($B1273,'Clients-Live'!$A:$C,3,0),"")</f>
        <v/>
      </c>
      <c r="L1273" s="528">
        <f>IF(E1273="STL",Pricing!$D$38,IF(A1273="",0,IF(A1273&lt;Pricing!$C$25,Pricing!$D$25,VLOOKUP(Disbursements!$F1273,Pricing!$B$29:$D$32,3))))</f>
        <v>0</v>
      </c>
      <c r="M1273" s="528">
        <f>IF(E1273="STL",0,IF(F1273&gt;0,Pricing!$D$21,0))</f>
        <v>0</v>
      </c>
      <c r="N1273" s="529">
        <f>IF(E1273="STL",F1273*Pricing!$D$40,IF(A1273&lt;=Pricing!$C$4,0,IF(AND(A1273&gt;Pricing!$C$4,Disbursements!A1273&lt;=Pricing!$C$5),F1273*Pricing!$E$5,IF(AND(A1273&gt;Pricing!$C$5,Disbursements!A1273&lt;=Pricing!$C$7),VLOOKUP(F1273,Pricing!$D$7:$E$8,2)*Disbursements!F1273,F1273*Pricing!$E$9))))</f>
        <v>0</v>
      </c>
      <c r="O1273" s="528">
        <f>IF(E1273="STL",0,IF($F1273&gt;0,$F1273*Pricing!$D$17,0))</f>
        <v>0</v>
      </c>
      <c r="P1273" s="530" t="str">
        <f t="shared" si="516"/>
        <v/>
      </c>
      <c r="Q1273" s="531" t="str">
        <f>IF($A1273="","",$G1273/VLOOKUP($I1273,Ref!$B$23:$D$29,2,0))</f>
        <v/>
      </c>
      <c r="R1273" s="530" t="str">
        <f t="shared" si="517"/>
        <v/>
      </c>
      <c r="S1273" s="532" t="str">
        <f t="shared" si="511"/>
        <v/>
      </c>
      <c r="T1273" s="531" t="str">
        <f t="shared" si="518"/>
        <v/>
      </c>
      <c r="U1273" s="533">
        <f t="shared" si="519"/>
        <v>0</v>
      </c>
      <c r="V1273" s="531" t="str">
        <f t="shared" si="520"/>
        <v/>
      </c>
      <c r="W1273" s="531" t="str">
        <f t="shared" si="521"/>
        <v/>
      </c>
      <c r="X1273" s="534" t="str">
        <f t="shared" si="522"/>
        <v/>
      </c>
      <c r="Y1273" s="535" t="str">
        <f>IF($A1273="","",IF($I1273="weekly",$A1273+7,EDATE($A1273,VLOOKUP($I1273,Ref!$B$24:$C$29,2,0))))</f>
        <v/>
      </c>
      <c r="Z1273" s="536" t="str">
        <f t="shared" si="523"/>
        <v/>
      </c>
      <c r="AA1273" s="531">
        <f t="shared" si="524"/>
        <v>0</v>
      </c>
      <c r="AB1273" s="535" t="str">
        <f t="shared" si="512"/>
        <v/>
      </c>
      <c r="AC1273" s="537" t="str">
        <f t="shared" si="513"/>
        <v/>
      </c>
      <c r="AD1273" s="538" t="str">
        <f t="shared" ca="1" si="514"/>
        <v/>
      </c>
      <c r="AE1273" s="537">
        <f t="shared" ca="1" si="515"/>
        <v>0</v>
      </c>
      <c r="AF1273" s="539" t="str">
        <f t="shared" ca="1" si="525"/>
        <v/>
      </c>
      <c r="AG1273" s="531" t="str">
        <f t="shared" ca="1" si="526"/>
        <v/>
      </c>
      <c r="AH1273" s="531" t="str">
        <f t="shared" ca="1" si="527"/>
        <v/>
      </c>
      <c r="AI1273" s="531" t="str">
        <f t="shared" ca="1" si="528"/>
        <v/>
      </c>
      <c r="AJ1273" s="531" t="str">
        <f t="shared" si="529"/>
        <v/>
      </c>
      <c r="AK1273" s="540">
        <f>SUMIFS('Live Collections'!$S:$S,'Live Collections'!$D:$D,Disbursements!B1273,'Live Collections'!$G:$G,Disbursements!C1273)</f>
        <v>0</v>
      </c>
      <c r="AL1273" s="540">
        <f>SUMIFS('Live Collections'!$T:$T,'Live Collections'!$D:$D,Disbursements!B1273,'Live Collections'!$G:$G,Disbursements!C1273)</f>
        <v>0</v>
      </c>
      <c r="AM1273" s="541">
        <f t="shared" si="530"/>
        <v>0</v>
      </c>
      <c r="AN1273" s="542" t="str">
        <f t="shared" si="531"/>
        <v/>
      </c>
      <c r="AO1273" s="542" t="str">
        <f t="shared" si="532"/>
        <v/>
      </c>
      <c r="AP1273" s="543" t="str">
        <f t="shared" si="533"/>
        <v/>
      </c>
      <c r="AQ1273" s="544" t="str">
        <f t="shared" si="534"/>
        <v/>
      </c>
      <c r="AR1273" s="545">
        <f t="shared" si="535"/>
        <v>0</v>
      </c>
      <c r="AS1273" s="545">
        <f>IFERROR(CEILING($AR1273*VLOOKUP($I1273,Ref!$B$23:$E$29,4,0),1),0)</f>
        <v>0</v>
      </c>
      <c r="AT1273" s="545" t="str">
        <f>IF(A1273="","",IF(AP1273&lt;=1,"Cleared",IF(AS1273=0,"Clean",VLOOKUP($AS1273,Ref!$G$23:$H$28,2))))</f>
        <v/>
      </c>
      <c r="AU1273" s="546" t="str">
        <f t="shared" si="536"/>
        <v/>
      </c>
    </row>
    <row r="1274" spans="1:47" ht="14.25" hidden="1" customHeight="1" x14ac:dyDescent="0.15">
      <c r="A1274" s="523"/>
      <c r="B1274" s="523"/>
      <c r="C1274" s="523"/>
      <c r="D1274" s="523"/>
      <c r="E1274" s="579"/>
      <c r="F1274" s="580"/>
      <c r="G1274" s="524"/>
      <c r="H1274" s="555"/>
      <c r="I1274" s="560"/>
      <c r="J1274" s="523"/>
      <c r="K1274" s="528" t="str">
        <f>IFERROR(VLOOKUP($B1274,'Clients-Live'!$A:$C,3,0),"")</f>
        <v/>
      </c>
      <c r="L1274" s="528">
        <f>IF(E1274="STL",Pricing!$D$38,IF(A1274="",0,IF(A1274&lt;Pricing!$C$25,Pricing!$D$25,VLOOKUP(Disbursements!$F1274,Pricing!$B$29:$D$32,3))))</f>
        <v>0</v>
      </c>
      <c r="M1274" s="528">
        <f>IF(E1274="STL",0,IF(F1274&gt;0,Pricing!$D$21,0))</f>
        <v>0</v>
      </c>
      <c r="N1274" s="529">
        <f>IF(E1274="STL",F1274*Pricing!$D$40,IF(A1274&lt;=Pricing!$C$4,0,IF(AND(A1274&gt;Pricing!$C$4,Disbursements!A1274&lt;=Pricing!$C$5),F1274*Pricing!$E$5,IF(AND(A1274&gt;Pricing!$C$5,Disbursements!A1274&lt;=Pricing!$C$7),VLOOKUP(F1274,Pricing!$D$7:$E$8,2)*Disbursements!F1274,F1274*Pricing!$E$9))))</f>
        <v>0</v>
      </c>
      <c r="O1274" s="528">
        <f>IF(E1274="STL",0,IF($F1274&gt;0,$F1274*Pricing!$D$17,0))</f>
        <v>0</v>
      </c>
      <c r="P1274" s="530" t="str">
        <f t="shared" si="516"/>
        <v/>
      </c>
      <c r="Q1274" s="531" t="str">
        <f>IF($A1274="","",$G1274/VLOOKUP($I1274,Ref!$B$23:$D$29,2,0))</f>
        <v/>
      </c>
      <c r="R1274" s="530" t="str">
        <f t="shared" si="517"/>
        <v/>
      </c>
      <c r="S1274" s="532" t="str">
        <f t="shared" si="511"/>
        <v/>
      </c>
      <c r="T1274" s="531" t="str">
        <f t="shared" si="518"/>
        <v/>
      </c>
      <c r="U1274" s="533">
        <f t="shared" si="519"/>
        <v>0</v>
      </c>
      <c r="V1274" s="531" t="str">
        <f t="shared" si="520"/>
        <v/>
      </c>
      <c r="W1274" s="531" t="str">
        <f t="shared" si="521"/>
        <v/>
      </c>
      <c r="X1274" s="534" t="str">
        <f t="shared" si="522"/>
        <v/>
      </c>
      <c r="Y1274" s="535" t="str">
        <f>IF($A1274="","",IF($I1274="weekly",$A1274+7,EDATE($A1274,VLOOKUP($I1274,Ref!$B$24:$C$29,2,0))))</f>
        <v/>
      </c>
      <c r="Z1274" s="536" t="str">
        <f t="shared" si="523"/>
        <v/>
      </c>
      <c r="AA1274" s="531">
        <f t="shared" si="524"/>
        <v>0</v>
      </c>
      <c r="AB1274" s="535" t="str">
        <f t="shared" si="512"/>
        <v/>
      </c>
      <c r="AC1274" s="537" t="str">
        <f t="shared" si="513"/>
        <v/>
      </c>
      <c r="AD1274" s="538" t="str">
        <f t="shared" ca="1" si="514"/>
        <v/>
      </c>
      <c r="AE1274" s="537">
        <f t="shared" ca="1" si="515"/>
        <v>0</v>
      </c>
      <c r="AF1274" s="539" t="str">
        <f t="shared" ca="1" si="525"/>
        <v/>
      </c>
      <c r="AG1274" s="531" t="str">
        <f t="shared" ca="1" si="526"/>
        <v/>
      </c>
      <c r="AH1274" s="531" t="str">
        <f t="shared" ca="1" si="527"/>
        <v/>
      </c>
      <c r="AI1274" s="531" t="str">
        <f t="shared" ca="1" si="528"/>
        <v/>
      </c>
      <c r="AJ1274" s="531" t="str">
        <f t="shared" si="529"/>
        <v/>
      </c>
      <c r="AK1274" s="540">
        <f>SUMIFS('Live Collections'!$S:$S,'Live Collections'!$D:$D,Disbursements!B1274,'Live Collections'!$G:$G,Disbursements!C1274)</f>
        <v>0</v>
      </c>
      <c r="AL1274" s="540">
        <f>SUMIFS('Live Collections'!$T:$T,'Live Collections'!$D:$D,Disbursements!B1274,'Live Collections'!$G:$G,Disbursements!C1274)</f>
        <v>0</v>
      </c>
      <c r="AM1274" s="541">
        <f t="shared" si="530"/>
        <v>0</v>
      </c>
      <c r="AN1274" s="542" t="str">
        <f t="shared" si="531"/>
        <v/>
      </c>
      <c r="AO1274" s="542" t="str">
        <f t="shared" si="532"/>
        <v/>
      </c>
      <c r="AP1274" s="543" t="str">
        <f t="shared" si="533"/>
        <v/>
      </c>
      <c r="AQ1274" s="544" t="str">
        <f t="shared" si="534"/>
        <v/>
      </c>
      <c r="AR1274" s="545">
        <f t="shared" si="535"/>
        <v>0</v>
      </c>
      <c r="AS1274" s="545">
        <f>IFERROR(CEILING($AR1274*VLOOKUP($I1274,Ref!$B$23:$E$29,4,0),1),0)</f>
        <v>0</v>
      </c>
      <c r="AT1274" s="545" t="str">
        <f>IF(A1274="","",IF(AP1274&lt;=1,"Cleared",IF(AS1274=0,"Clean",VLOOKUP($AS1274,Ref!$G$23:$H$28,2))))</f>
        <v/>
      </c>
      <c r="AU1274" s="546" t="str">
        <f t="shared" si="536"/>
        <v/>
      </c>
    </row>
    <row r="1275" spans="1:47" ht="14.25" hidden="1" customHeight="1" x14ac:dyDescent="0.15">
      <c r="A1275" s="523"/>
      <c r="B1275" s="523"/>
      <c r="C1275" s="523"/>
      <c r="D1275" s="523"/>
      <c r="E1275" s="579"/>
      <c r="F1275" s="580"/>
      <c r="G1275" s="524"/>
      <c r="H1275" s="555"/>
      <c r="I1275" s="560"/>
      <c r="J1275" s="523"/>
      <c r="K1275" s="528" t="str">
        <f>IFERROR(VLOOKUP($B1275,'Clients-Live'!$A:$C,3,0),"")</f>
        <v/>
      </c>
      <c r="L1275" s="528">
        <f>IF(E1275="STL",Pricing!$D$38,IF(A1275="",0,IF(A1275&lt;Pricing!$C$25,Pricing!$D$25,VLOOKUP(Disbursements!$F1275,Pricing!$B$29:$D$32,3))))</f>
        <v>0</v>
      </c>
      <c r="M1275" s="528">
        <f>IF(E1275="STL",0,IF(F1275&gt;0,Pricing!$D$21,0))</f>
        <v>0</v>
      </c>
      <c r="N1275" s="529">
        <f>IF(E1275="STL",F1275*Pricing!$D$40,IF(A1275&lt;=Pricing!$C$4,0,IF(AND(A1275&gt;Pricing!$C$4,Disbursements!A1275&lt;=Pricing!$C$5),F1275*Pricing!$E$5,IF(AND(A1275&gt;Pricing!$C$5,Disbursements!A1275&lt;=Pricing!$C$7),VLOOKUP(F1275,Pricing!$D$7:$E$8,2)*Disbursements!F1275,F1275*Pricing!$E$9))))</f>
        <v>0</v>
      </c>
      <c r="O1275" s="528">
        <f>IF(E1275="STL",0,IF($F1275&gt;0,$F1275*Pricing!$D$17,0))</f>
        <v>0</v>
      </c>
      <c r="P1275" s="530" t="str">
        <f t="shared" si="516"/>
        <v/>
      </c>
      <c r="Q1275" s="531" t="str">
        <f>IF($A1275="","",$G1275/VLOOKUP($I1275,Ref!$B$23:$D$29,2,0))</f>
        <v/>
      </c>
      <c r="R1275" s="530" t="str">
        <f t="shared" si="517"/>
        <v/>
      </c>
      <c r="S1275" s="532" t="str">
        <f t="shared" si="511"/>
        <v/>
      </c>
      <c r="T1275" s="531" t="str">
        <f t="shared" si="518"/>
        <v/>
      </c>
      <c r="U1275" s="533">
        <f t="shared" si="519"/>
        <v>0</v>
      </c>
      <c r="V1275" s="531" t="str">
        <f t="shared" si="520"/>
        <v/>
      </c>
      <c r="W1275" s="531" t="str">
        <f t="shared" si="521"/>
        <v/>
      </c>
      <c r="X1275" s="534" t="str">
        <f t="shared" si="522"/>
        <v/>
      </c>
      <c r="Y1275" s="535" t="str">
        <f>IF($A1275="","",IF($I1275="weekly",$A1275+7,EDATE($A1275,VLOOKUP($I1275,Ref!$B$24:$C$29,2,0))))</f>
        <v/>
      </c>
      <c r="Z1275" s="536" t="str">
        <f t="shared" si="523"/>
        <v/>
      </c>
      <c r="AA1275" s="531">
        <f t="shared" si="524"/>
        <v>0</v>
      </c>
      <c r="AB1275" s="535" t="str">
        <f t="shared" si="512"/>
        <v/>
      </c>
      <c r="AC1275" s="537" t="str">
        <f t="shared" si="513"/>
        <v/>
      </c>
      <c r="AD1275" s="538" t="str">
        <f t="shared" ca="1" si="514"/>
        <v/>
      </c>
      <c r="AE1275" s="537">
        <f t="shared" ca="1" si="515"/>
        <v>0</v>
      </c>
      <c r="AF1275" s="539" t="str">
        <f t="shared" ca="1" si="525"/>
        <v/>
      </c>
      <c r="AG1275" s="531" t="str">
        <f t="shared" ca="1" si="526"/>
        <v/>
      </c>
      <c r="AH1275" s="531" t="str">
        <f t="shared" ca="1" si="527"/>
        <v/>
      </c>
      <c r="AI1275" s="531" t="str">
        <f t="shared" ca="1" si="528"/>
        <v/>
      </c>
      <c r="AJ1275" s="531" t="str">
        <f t="shared" si="529"/>
        <v/>
      </c>
      <c r="AK1275" s="540">
        <f>SUMIFS('Live Collections'!$S:$S,'Live Collections'!$D:$D,Disbursements!B1275,'Live Collections'!$G:$G,Disbursements!C1275)</f>
        <v>0</v>
      </c>
      <c r="AL1275" s="540">
        <f>SUMIFS('Live Collections'!$T:$T,'Live Collections'!$D:$D,Disbursements!B1275,'Live Collections'!$G:$G,Disbursements!C1275)</f>
        <v>0</v>
      </c>
      <c r="AM1275" s="541">
        <f t="shared" si="530"/>
        <v>0</v>
      </c>
      <c r="AN1275" s="542" t="str">
        <f t="shared" si="531"/>
        <v/>
      </c>
      <c r="AO1275" s="542" t="str">
        <f t="shared" si="532"/>
        <v/>
      </c>
      <c r="AP1275" s="543" t="str">
        <f t="shared" si="533"/>
        <v/>
      </c>
      <c r="AQ1275" s="544" t="str">
        <f t="shared" si="534"/>
        <v/>
      </c>
      <c r="AR1275" s="545">
        <f t="shared" si="535"/>
        <v>0</v>
      </c>
      <c r="AS1275" s="545">
        <f>IFERROR(CEILING($AR1275*VLOOKUP($I1275,Ref!$B$23:$E$29,4,0),1),0)</f>
        <v>0</v>
      </c>
      <c r="AT1275" s="545" t="str">
        <f>IF(A1275="","",IF(AP1275&lt;=1,"Cleared",IF(AS1275=0,"Clean",VLOOKUP($AS1275,Ref!$G$23:$H$28,2))))</f>
        <v/>
      </c>
      <c r="AU1275" s="546" t="str">
        <f t="shared" si="536"/>
        <v/>
      </c>
    </row>
    <row r="1276" spans="1:47" ht="14.25" hidden="1" customHeight="1" x14ac:dyDescent="0.15">
      <c r="A1276" s="523"/>
      <c r="B1276" s="523"/>
      <c r="C1276" s="523"/>
      <c r="D1276" s="523"/>
      <c r="E1276" s="579"/>
      <c r="F1276" s="580"/>
      <c r="G1276" s="524"/>
      <c r="H1276" s="555"/>
      <c r="I1276" s="560"/>
      <c r="J1276" s="523"/>
      <c r="K1276" s="528" t="str">
        <f>IFERROR(VLOOKUP($B1276,'Clients-Live'!$A:$C,3,0),"")</f>
        <v/>
      </c>
      <c r="L1276" s="528">
        <f>IF(E1276="STL",Pricing!$D$38,IF(A1276="",0,IF(A1276&lt;Pricing!$C$25,Pricing!$D$25,VLOOKUP(Disbursements!$F1276,Pricing!$B$29:$D$32,3))))</f>
        <v>0</v>
      </c>
      <c r="M1276" s="528">
        <f>IF(E1276="STL",0,IF(F1276&gt;0,Pricing!$D$21,0))</f>
        <v>0</v>
      </c>
      <c r="N1276" s="529">
        <f>IF(E1276="STL",F1276*Pricing!$D$40,IF(A1276&lt;=Pricing!$C$4,0,IF(AND(A1276&gt;Pricing!$C$4,Disbursements!A1276&lt;=Pricing!$C$5),F1276*Pricing!$E$5,IF(AND(A1276&gt;Pricing!$C$5,Disbursements!A1276&lt;=Pricing!$C$7),VLOOKUP(F1276,Pricing!$D$7:$E$8,2)*Disbursements!F1276,F1276*Pricing!$E$9))))</f>
        <v>0</v>
      </c>
      <c r="O1276" s="528">
        <f>IF(E1276="STL",0,IF($F1276&gt;0,$F1276*Pricing!$D$17,0))</f>
        <v>0</v>
      </c>
      <c r="P1276" s="530" t="str">
        <f t="shared" si="516"/>
        <v/>
      </c>
      <c r="Q1276" s="531" t="str">
        <f>IF($A1276="","",$G1276/VLOOKUP($I1276,Ref!$B$23:$D$29,2,0))</f>
        <v/>
      </c>
      <c r="R1276" s="530" t="str">
        <f t="shared" si="517"/>
        <v/>
      </c>
      <c r="S1276" s="532" t="str">
        <f t="shared" si="511"/>
        <v/>
      </c>
      <c r="T1276" s="531" t="str">
        <f t="shared" si="518"/>
        <v/>
      </c>
      <c r="U1276" s="533">
        <f t="shared" si="519"/>
        <v>0</v>
      </c>
      <c r="V1276" s="531" t="str">
        <f t="shared" si="520"/>
        <v/>
      </c>
      <c r="W1276" s="531" t="str">
        <f t="shared" si="521"/>
        <v/>
      </c>
      <c r="X1276" s="534" t="str">
        <f t="shared" si="522"/>
        <v/>
      </c>
      <c r="Y1276" s="535" t="str">
        <f>IF($A1276="","",IF($I1276="weekly",$A1276+7,EDATE($A1276,VLOOKUP($I1276,Ref!$B$24:$C$29,2,0))))</f>
        <v/>
      </c>
      <c r="Z1276" s="536" t="str">
        <f t="shared" si="523"/>
        <v/>
      </c>
      <c r="AA1276" s="531">
        <f t="shared" si="524"/>
        <v>0</v>
      </c>
      <c r="AB1276" s="535" t="str">
        <f t="shared" si="512"/>
        <v/>
      </c>
      <c r="AC1276" s="537" t="str">
        <f t="shared" si="513"/>
        <v/>
      </c>
      <c r="AD1276" s="538" t="str">
        <f t="shared" ca="1" si="514"/>
        <v/>
      </c>
      <c r="AE1276" s="537">
        <f t="shared" ca="1" si="515"/>
        <v>0</v>
      </c>
      <c r="AF1276" s="539" t="str">
        <f t="shared" ca="1" si="525"/>
        <v/>
      </c>
      <c r="AG1276" s="531" t="str">
        <f t="shared" ca="1" si="526"/>
        <v/>
      </c>
      <c r="AH1276" s="531" t="str">
        <f t="shared" ca="1" si="527"/>
        <v/>
      </c>
      <c r="AI1276" s="531" t="str">
        <f t="shared" ca="1" si="528"/>
        <v/>
      </c>
      <c r="AJ1276" s="531" t="str">
        <f t="shared" si="529"/>
        <v/>
      </c>
      <c r="AK1276" s="540">
        <f>SUMIFS('Live Collections'!$S:$S,'Live Collections'!$D:$D,Disbursements!B1276,'Live Collections'!$G:$G,Disbursements!C1276)</f>
        <v>0</v>
      </c>
      <c r="AL1276" s="540">
        <f>SUMIFS('Live Collections'!$T:$T,'Live Collections'!$D:$D,Disbursements!B1276,'Live Collections'!$G:$G,Disbursements!C1276)</f>
        <v>0</v>
      </c>
      <c r="AM1276" s="541">
        <f t="shared" si="530"/>
        <v>0</v>
      </c>
      <c r="AN1276" s="542" t="str">
        <f t="shared" si="531"/>
        <v/>
      </c>
      <c r="AO1276" s="542" t="str">
        <f t="shared" si="532"/>
        <v/>
      </c>
      <c r="AP1276" s="543" t="str">
        <f t="shared" si="533"/>
        <v/>
      </c>
      <c r="AQ1276" s="544" t="str">
        <f t="shared" si="534"/>
        <v/>
      </c>
      <c r="AR1276" s="545">
        <f t="shared" si="535"/>
        <v>0</v>
      </c>
      <c r="AS1276" s="545">
        <f>IFERROR(CEILING($AR1276*VLOOKUP($I1276,Ref!$B$23:$E$29,4,0),1),0)</f>
        <v>0</v>
      </c>
      <c r="AT1276" s="545" t="str">
        <f>IF(A1276="","",IF(AP1276&lt;=1,"Cleared",IF(AS1276=0,"Clean",VLOOKUP($AS1276,Ref!$G$23:$H$28,2))))</f>
        <v/>
      </c>
      <c r="AU1276" s="546" t="str">
        <f t="shared" si="536"/>
        <v/>
      </c>
    </row>
    <row r="1277" spans="1:47" ht="14.25" hidden="1" customHeight="1" x14ac:dyDescent="0.15">
      <c r="A1277" s="523"/>
      <c r="B1277" s="523"/>
      <c r="C1277" s="523"/>
      <c r="D1277" s="523"/>
      <c r="E1277" s="579"/>
      <c r="F1277" s="580"/>
      <c r="G1277" s="524"/>
      <c r="H1277" s="555"/>
      <c r="I1277" s="560"/>
      <c r="J1277" s="523"/>
      <c r="K1277" s="528" t="str">
        <f>IFERROR(VLOOKUP($B1277,'Clients-Live'!$A:$C,3,0),"")</f>
        <v/>
      </c>
      <c r="L1277" s="528">
        <f>IF(E1277="STL",Pricing!$D$38,IF(A1277="",0,IF(A1277&lt;Pricing!$C$25,Pricing!$D$25,VLOOKUP(Disbursements!$F1277,Pricing!$B$29:$D$32,3))))</f>
        <v>0</v>
      </c>
      <c r="M1277" s="528">
        <f>IF(E1277="STL",0,IF(F1277&gt;0,Pricing!$D$21,0))</f>
        <v>0</v>
      </c>
      <c r="N1277" s="529">
        <f>IF(E1277="STL",F1277*Pricing!$D$40,IF(A1277&lt;=Pricing!$C$4,0,IF(AND(A1277&gt;Pricing!$C$4,Disbursements!A1277&lt;=Pricing!$C$5),F1277*Pricing!$E$5,IF(AND(A1277&gt;Pricing!$C$5,Disbursements!A1277&lt;=Pricing!$C$7),VLOOKUP(F1277,Pricing!$D$7:$E$8,2)*Disbursements!F1277,F1277*Pricing!$E$9))))</f>
        <v>0</v>
      </c>
      <c r="O1277" s="528">
        <f>IF(E1277="STL",0,IF($F1277&gt;0,$F1277*Pricing!$D$17,0))</f>
        <v>0</v>
      </c>
      <c r="P1277" s="530" t="str">
        <f t="shared" si="516"/>
        <v/>
      </c>
      <c r="Q1277" s="531" t="str">
        <f>IF($A1277="","",$G1277/VLOOKUP($I1277,Ref!$B$23:$D$29,2,0))</f>
        <v/>
      </c>
      <c r="R1277" s="530" t="str">
        <f t="shared" si="517"/>
        <v/>
      </c>
      <c r="S1277" s="532" t="str">
        <f t="shared" si="511"/>
        <v/>
      </c>
      <c r="T1277" s="531" t="str">
        <f t="shared" si="518"/>
        <v/>
      </c>
      <c r="U1277" s="533">
        <f t="shared" si="519"/>
        <v>0</v>
      </c>
      <c r="V1277" s="531" t="str">
        <f t="shared" si="520"/>
        <v/>
      </c>
      <c r="W1277" s="531" t="str">
        <f t="shared" si="521"/>
        <v/>
      </c>
      <c r="X1277" s="534" t="str">
        <f t="shared" si="522"/>
        <v/>
      </c>
      <c r="Y1277" s="535" t="str">
        <f>IF($A1277="","",IF($I1277="weekly",$A1277+7,EDATE($A1277,VLOOKUP($I1277,Ref!$B$24:$C$29,2,0))))</f>
        <v/>
      </c>
      <c r="Z1277" s="536" t="str">
        <f t="shared" si="523"/>
        <v/>
      </c>
      <c r="AA1277" s="531">
        <f t="shared" si="524"/>
        <v>0</v>
      </c>
      <c r="AB1277" s="535" t="str">
        <f t="shared" si="512"/>
        <v/>
      </c>
      <c r="AC1277" s="537" t="str">
        <f t="shared" si="513"/>
        <v/>
      </c>
      <c r="AD1277" s="538" t="str">
        <f t="shared" ca="1" si="514"/>
        <v/>
      </c>
      <c r="AE1277" s="537">
        <f t="shared" ca="1" si="515"/>
        <v>0</v>
      </c>
      <c r="AF1277" s="539" t="str">
        <f t="shared" ca="1" si="525"/>
        <v/>
      </c>
      <c r="AG1277" s="531" t="str">
        <f t="shared" ca="1" si="526"/>
        <v/>
      </c>
      <c r="AH1277" s="531" t="str">
        <f t="shared" ca="1" si="527"/>
        <v/>
      </c>
      <c r="AI1277" s="531" t="str">
        <f t="shared" ca="1" si="528"/>
        <v/>
      </c>
      <c r="AJ1277" s="531" t="str">
        <f t="shared" si="529"/>
        <v/>
      </c>
      <c r="AK1277" s="540">
        <f>SUMIFS('Live Collections'!$S:$S,'Live Collections'!$D:$D,Disbursements!B1277,'Live Collections'!$G:$G,Disbursements!C1277)</f>
        <v>0</v>
      </c>
      <c r="AL1277" s="540">
        <f>SUMIFS('Live Collections'!$T:$T,'Live Collections'!$D:$D,Disbursements!B1277,'Live Collections'!$G:$G,Disbursements!C1277)</f>
        <v>0</v>
      </c>
      <c r="AM1277" s="541">
        <f t="shared" si="530"/>
        <v>0</v>
      </c>
      <c r="AN1277" s="542" t="str">
        <f t="shared" si="531"/>
        <v/>
      </c>
      <c r="AO1277" s="542" t="str">
        <f t="shared" si="532"/>
        <v/>
      </c>
      <c r="AP1277" s="543" t="str">
        <f t="shared" si="533"/>
        <v/>
      </c>
      <c r="AQ1277" s="544" t="str">
        <f t="shared" si="534"/>
        <v/>
      </c>
      <c r="AR1277" s="545">
        <f t="shared" si="535"/>
        <v>0</v>
      </c>
      <c r="AS1277" s="545">
        <f>IFERROR(CEILING($AR1277*VLOOKUP($I1277,Ref!$B$23:$E$29,4,0),1),0)</f>
        <v>0</v>
      </c>
      <c r="AT1277" s="545" t="str">
        <f>IF(A1277="","",IF(AP1277&lt;=1,"Cleared",IF(AS1277=0,"Clean",VLOOKUP($AS1277,Ref!$G$23:$H$28,2))))</f>
        <v/>
      </c>
      <c r="AU1277" s="546" t="str">
        <f t="shared" si="536"/>
        <v/>
      </c>
    </row>
    <row r="1278" spans="1:47" ht="14.25" hidden="1" customHeight="1" x14ac:dyDescent="0.15">
      <c r="A1278" s="523"/>
      <c r="B1278" s="523"/>
      <c r="C1278" s="523"/>
      <c r="D1278" s="523"/>
      <c r="E1278" s="579"/>
      <c r="F1278" s="580"/>
      <c r="G1278" s="524"/>
      <c r="H1278" s="555"/>
      <c r="I1278" s="560"/>
      <c r="J1278" s="523"/>
      <c r="K1278" s="528" t="str">
        <f>IFERROR(VLOOKUP($B1278,'Clients-Live'!$A:$C,3,0),"")</f>
        <v/>
      </c>
      <c r="L1278" s="528">
        <f>IF(E1278="STL",Pricing!$D$38,IF(A1278="",0,IF(A1278&lt;Pricing!$C$25,Pricing!$D$25,VLOOKUP(Disbursements!$F1278,Pricing!$B$29:$D$32,3))))</f>
        <v>0</v>
      </c>
      <c r="M1278" s="528">
        <f>IF(E1278="STL",0,IF(F1278&gt;0,Pricing!$D$21,0))</f>
        <v>0</v>
      </c>
      <c r="N1278" s="529">
        <f>IF(E1278="STL",F1278*Pricing!$D$40,IF(A1278&lt;=Pricing!$C$4,0,IF(AND(A1278&gt;Pricing!$C$4,Disbursements!A1278&lt;=Pricing!$C$5),F1278*Pricing!$E$5,IF(AND(A1278&gt;Pricing!$C$5,Disbursements!A1278&lt;=Pricing!$C$7),VLOOKUP(F1278,Pricing!$D$7:$E$8,2)*Disbursements!F1278,F1278*Pricing!$E$9))))</f>
        <v>0</v>
      </c>
      <c r="O1278" s="528">
        <f>IF(E1278="STL",0,IF($F1278&gt;0,$F1278*Pricing!$D$17,0))</f>
        <v>0</v>
      </c>
      <c r="P1278" s="530" t="str">
        <f t="shared" si="516"/>
        <v/>
      </c>
      <c r="Q1278" s="531" t="str">
        <f>IF($A1278="","",$G1278/VLOOKUP($I1278,Ref!$B$23:$D$29,2,0))</f>
        <v/>
      </c>
      <c r="R1278" s="530" t="str">
        <f t="shared" si="517"/>
        <v/>
      </c>
      <c r="S1278" s="532" t="str">
        <f t="shared" si="511"/>
        <v/>
      </c>
      <c r="T1278" s="531" t="str">
        <f t="shared" si="518"/>
        <v/>
      </c>
      <c r="U1278" s="533">
        <f t="shared" si="519"/>
        <v>0</v>
      </c>
      <c r="V1278" s="531" t="str">
        <f t="shared" si="520"/>
        <v/>
      </c>
      <c r="W1278" s="531" t="str">
        <f t="shared" si="521"/>
        <v/>
      </c>
      <c r="X1278" s="534" t="str">
        <f t="shared" si="522"/>
        <v/>
      </c>
      <c r="Y1278" s="535" t="str">
        <f>IF($A1278="","",IF($I1278="weekly",$A1278+7,EDATE($A1278,VLOOKUP($I1278,Ref!$B$24:$C$29,2,0))))</f>
        <v/>
      </c>
      <c r="Z1278" s="536" t="str">
        <f t="shared" si="523"/>
        <v/>
      </c>
      <c r="AA1278" s="531">
        <f t="shared" si="524"/>
        <v>0</v>
      </c>
      <c r="AB1278" s="535" t="str">
        <f t="shared" si="512"/>
        <v/>
      </c>
      <c r="AC1278" s="537" t="str">
        <f t="shared" si="513"/>
        <v/>
      </c>
      <c r="AD1278" s="538" t="str">
        <f t="shared" ca="1" si="514"/>
        <v/>
      </c>
      <c r="AE1278" s="537">
        <f t="shared" ca="1" si="515"/>
        <v>0</v>
      </c>
      <c r="AF1278" s="539" t="str">
        <f t="shared" ca="1" si="525"/>
        <v/>
      </c>
      <c r="AG1278" s="531" t="str">
        <f t="shared" ca="1" si="526"/>
        <v/>
      </c>
      <c r="AH1278" s="531" t="str">
        <f t="shared" ca="1" si="527"/>
        <v/>
      </c>
      <c r="AI1278" s="531" t="str">
        <f t="shared" ca="1" si="528"/>
        <v/>
      </c>
      <c r="AJ1278" s="531" t="str">
        <f t="shared" si="529"/>
        <v/>
      </c>
      <c r="AK1278" s="540">
        <f>SUMIFS('Live Collections'!$S:$S,'Live Collections'!$D:$D,Disbursements!B1278,'Live Collections'!$G:$G,Disbursements!C1278)</f>
        <v>0</v>
      </c>
      <c r="AL1278" s="540">
        <f>SUMIFS('Live Collections'!$T:$T,'Live Collections'!$D:$D,Disbursements!B1278,'Live Collections'!$G:$G,Disbursements!C1278)</f>
        <v>0</v>
      </c>
      <c r="AM1278" s="541">
        <f t="shared" si="530"/>
        <v>0</v>
      </c>
      <c r="AN1278" s="542" t="str">
        <f t="shared" si="531"/>
        <v/>
      </c>
      <c r="AO1278" s="542" t="str">
        <f t="shared" si="532"/>
        <v/>
      </c>
      <c r="AP1278" s="543" t="str">
        <f t="shared" si="533"/>
        <v/>
      </c>
      <c r="AQ1278" s="544" t="str">
        <f t="shared" si="534"/>
        <v/>
      </c>
      <c r="AR1278" s="545">
        <f t="shared" si="535"/>
        <v>0</v>
      </c>
      <c r="AS1278" s="545">
        <f>IFERROR(CEILING($AR1278*VLOOKUP($I1278,Ref!$B$23:$E$29,4,0),1),0)</f>
        <v>0</v>
      </c>
      <c r="AT1278" s="545" t="str">
        <f>IF(A1278="","",IF(AP1278&lt;=1,"Cleared",IF(AS1278=0,"Clean",VLOOKUP($AS1278,Ref!$G$23:$H$28,2))))</f>
        <v/>
      </c>
      <c r="AU1278" s="546" t="str">
        <f t="shared" si="536"/>
        <v/>
      </c>
    </row>
    <row r="1279" spans="1:47" ht="14.25" hidden="1" customHeight="1" x14ac:dyDescent="0.15">
      <c r="A1279" s="523"/>
      <c r="B1279" s="523"/>
      <c r="C1279" s="523"/>
      <c r="D1279" s="523"/>
      <c r="E1279" s="579"/>
      <c r="F1279" s="580"/>
      <c r="G1279" s="524"/>
      <c r="H1279" s="555"/>
      <c r="I1279" s="560"/>
      <c r="J1279" s="523"/>
      <c r="K1279" s="528" t="str">
        <f>IFERROR(VLOOKUP($B1279,'Clients-Live'!$A:$C,3,0),"")</f>
        <v/>
      </c>
      <c r="L1279" s="528">
        <f>IF(E1279="STL",Pricing!$D$38,IF(A1279="",0,IF(A1279&lt;Pricing!$C$25,Pricing!$D$25,VLOOKUP(Disbursements!$F1279,Pricing!$B$29:$D$32,3))))</f>
        <v>0</v>
      </c>
      <c r="M1279" s="528">
        <f>IF(E1279="STL",0,IF(F1279&gt;0,Pricing!$D$21,0))</f>
        <v>0</v>
      </c>
      <c r="N1279" s="529">
        <f>IF(E1279="STL",F1279*Pricing!$D$40,IF(A1279&lt;=Pricing!$C$4,0,IF(AND(A1279&gt;Pricing!$C$4,Disbursements!A1279&lt;=Pricing!$C$5),F1279*Pricing!$E$5,IF(AND(A1279&gt;Pricing!$C$5,Disbursements!A1279&lt;=Pricing!$C$7),VLOOKUP(F1279,Pricing!$D$7:$E$8,2)*Disbursements!F1279,F1279*Pricing!$E$9))))</f>
        <v>0</v>
      </c>
      <c r="O1279" s="528">
        <f>IF(E1279="STL",0,IF($F1279&gt;0,$F1279*Pricing!$D$17,0))</f>
        <v>0</v>
      </c>
      <c r="P1279" s="530" t="str">
        <f t="shared" si="516"/>
        <v/>
      </c>
      <c r="Q1279" s="531" t="str">
        <f>IF($A1279="","",$G1279/VLOOKUP($I1279,Ref!$B$23:$D$29,2,0))</f>
        <v/>
      </c>
      <c r="R1279" s="530" t="str">
        <f t="shared" si="517"/>
        <v/>
      </c>
      <c r="S1279" s="532" t="str">
        <f t="shared" si="511"/>
        <v/>
      </c>
      <c r="T1279" s="531" t="str">
        <f t="shared" si="518"/>
        <v/>
      </c>
      <c r="U1279" s="533">
        <f t="shared" si="519"/>
        <v>0</v>
      </c>
      <c r="V1279" s="531" t="str">
        <f t="shared" si="520"/>
        <v/>
      </c>
      <c r="W1279" s="531" t="str">
        <f t="shared" si="521"/>
        <v/>
      </c>
      <c r="X1279" s="534" t="str">
        <f t="shared" si="522"/>
        <v/>
      </c>
      <c r="Y1279" s="535" t="str">
        <f>IF($A1279="","",IF($I1279="weekly",$A1279+7,EDATE($A1279,VLOOKUP($I1279,Ref!$B$24:$C$29,2,0))))</f>
        <v/>
      </c>
      <c r="Z1279" s="536" t="str">
        <f t="shared" si="523"/>
        <v/>
      </c>
      <c r="AA1279" s="531">
        <f t="shared" si="524"/>
        <v>0</v>
      </c>
      <c r="AB1279" s="535" t="str">
        <f t="shared" si="512"/>
        <v/>
      </c>
      <c r="AC1279" s="537" t="str">
        <f t="shared" si="513"/>
        <v/>
      </c>
      <c r="AD1279" s="538" t="str">
        <f t="shared" ca="1" si="514"/>
        <v/>
      </c>
      <c r="AE1279" s="537">
        <f t="shared" ca="1" si="515"/>
        <v>0</v>
      </c>
      <c r="AF1279" s="539" t="str">
        <f t="shared" ca="1" si="525"/>
        <v/>
      </c>
      <c r="AG1279" s="531" t="str">
        <f t="shared" ca="1" si="526"/>
        <v/>
      </c>
      <c r="AH1279" s="531" t="str">
        <f t="shared" ca="1" si="527"/>
        <v/>
      </c>
      <c r="AI1279" s="531" t="str">
        <f t="shared" ca="1" si="528"/>
        <v/>
      </c>
      <c r="AJ1279" s="531" t="str">
        <f t="shared" si="529"/>
        <v/>
      </c>
      <c r="AK1279" s="540">
        <f>SUMIFS('Live Collections'!$S:$S,'Live Collections'!$D:$D,Disbursements!B1279,'Live Collections'!$G:$G,Disbursements!C1279)</f>
        <v>0</v>
      </c>
      <c r="AL1279" s="540">
        <f>SUMIFS('Live Collections'!$T:$T,'Live Collections'!$D:$D,Disbursements!B1279,'Live Collections'!$G:$G,Disbursements!C1279)</f>
        <v>0</v>
      </c>
      <c r="AM1279" s="541">
        <f t="shared" si="530"/>
        <v>0</v>
      </c>
      <c r="AN1279" s="542" t="str">
        <f t="shared" si="531"/>
        <v/>
      </c>
      <c r="AO1279" s="542" t="str">
        <f t="shared" si="532"/>
        <v/>
      </c>
      <c r="AP1279" s="543" t="str">
        <f t="shared" si="533"/>
        <v/>
      </c>
      <c r="AQ1279" s="544" t="str">
        <f t="shared" si="534"/>
        <v/>
      </c>
      <c r="AR1279" s="545">
        <f t="shared" si="535"/>
        <v>0</v>
      </c>
      <c r="AS1279" s="545">
        <f>IFERROR(CEILING($AR1279*VLOOKUP($I1279,Ref!$B$23:$E$29,4,0),1),0)</f>
        <v>0</v>
      </c>
      <c r="AT1279" s="545" t="str">
        <f>IF(A1279="","",IF(AP1279&lt;=1,"Cleared",IF(AS1279=0,"Clean",VLOOKUP($AS1279,Ref!$G$23:$H$28,2))))</f>
        <v/>
      </c>
      <c r="AU1279" s="546" t="str">
        <f t="shared" si="536"/>
        <v/>
      </c>
    </row>
    <row r="1280" spans="1:47" ht="14.25" hidden="1" customHeight="1" x14ac:dyDescent="0.15">
      <c r="A1280" s="523"/>
      <c r="B1280" s="523"/>
      <c r="C1280" s="523"/>
      <c r="D1280" s="523"/>
      <c r="E1280" s="579"/>
      <c r="F1280" s="580"/>
      <c r="G1280" s="524"/>
      <c r="H1280" s="555"/>
      <c r="I1280" s="560"/>
      <c r="J1280" s="523"/>
      <c r="K1280" s="528" t="str">
        <f>IFERROR(VLOOKUP($B1280,'Clients-Live'!$A:$C,3,0),"")</f>
        <v/>
      </c>
      <c r="L1280" s="528">
        <f>IF(E1280="STL",Pricing!$D$38,IF(A1280="",0,IF(A1280&lt;Pricing!$C$25,Pricing!$D$25,VLOOKUP(Disbursements!$F1280,Pricing!$B$29:$D$32,3))))</f>
        <v>0</v>
      </c>
      <c r="M1280" s="528">
        <f>IF(E1280="STL",0,IF(F1280&gt;0,Pricing!$D$21,0))</f>
        <v>0</v>
      </c>
      <c r="N1280" s="529">
        <f>IF(E1280="STL",F1280*Pricing!$D$40,IF(A1280&lt;=Pricing!$C$4,0,IF(AND(A1280&gt;Pricing!$C$4,Disbursements!A1280&lt;=Pricing!$C$5),F1280*Pricing!$E$5,IF(AND(A1280&gt;Pricing!$C$5,Disbursements!A1280&lt;=Pricing!$C$7),VLOOKUP(F1280,Pricing!$D$7:$E$8,2)*Disbursements!F1280,F1280*Pricing!$E$9))))</f>
        <v>0</v>
      </c>
      <c r="O1280" s="528">
        <f>IF(E1280="STL",0,IF($F1280&gt;0,$F1280*Pricing!$D$17,0))</f>
        <v>0</v>
      </c>
      <c r="P1280" s="530" t="str">
        <f t="shared" si="516"/>
        <v/>
      </c>
      <c r="Q1280" s="531" t="str">
        <f>IF($A1280="","",$G1280/VLOOKUP($I1280,Ref!$B$23:$D$29,2,0))</f>
        <v/>
      </c>
      <c r="R1280" s="530" t="str">
        <f t="shared" si="517"/>
        <v/>
      </c>
      <c r="S1280" s="532" t="str">
        <f t="shared" si="511"/>
        <v/>
      </c>
      <c r="T1280" s="531" t="str">
        <f t="shared" si="518"/>
        <v/>
      </c>
      <c r="U1280" s="533">
        <f t="shared" si="519"/>
        <v>0</v>
      </c>
      <c r="V1280" s="531" t="str">
        <f t="shared" si="520"/>
        <v/>
      </c>
      <c r="W1280" s="531" t="str">
        <f t="shared" si="521"/>
        <v/>
      </c>
      <c r="X1280" s="534" t="str">
        <f t="shared" si="522"/>
        <v/>
      </c>
      <c r="Y1280" s="535" t="str">
        <f>IF($A1280="","",IF($I1280="weekly",$A1280+7,EDATE($A1280,VLOOKUP($I1280,Ref!$B$24:$C$29,2,0))))</f>
        <v/>
      </c>
      <c r="Z1280" s="536" t="str">
        <f t="shared" si="523"/>
        <v/>
      </c>
      <c r="AA1280" s="531">
        <f t="shared" si="524"/>
        <v>0</v>
      </c>
      <c r="AB1280" s="535" t="str">
        <f t="shared" si="512"/>
        <v/>
      </c>
      <c r="AC1280" s="537" t="str">
        <f t="shared" si="513"/>
        <v/>
      </c>
      <c r="AD1280" s="538" t="str">
        <f t="shared" ca="1" si="514"/>
        <v/>
      </c>
      <c r="AE1280" s="537">
        <f t="shared" ca="1" si="515"/>
        <v>0</v>
      </c>
      <c r="AF1280" s="539" t="str">
        <f t="shared" ca="1" si="525"/>
        <v/>
      </c>
      <c r="AG1280" s="531" t="str">
        <f t="shared" ca="1" si="526"/>
        <v/>
      </c>
      <c r="AH1280" s="531" t="str">
        <f t="shared" ca="1" si="527"/>
        <v/>
      </c>
      <c r="AI1280" s="531" t="str">
        <f t="shared" ca="1" si="528"/>
        <v/>
      </c>
      <c r="AJ1280" s="531" t="str">
        <f t="shared" si="529"/>
        <v/>
      </c>
      <c r="AK1280" s="540">
        <f>SUMIFS('Live Collections'!$S:$S,'Live Collections'!$D:$D,Disbursements!B1280,'Live Collections'!$G:$G,Disbursements!C1280)</f>
        <v>0</v>
      </c>
      <c r="AL1280" s="540">
        <f>SUMIFS('Live Collections'!$T:$T,'Live Collections'!$D:$D,Disbursements!B1280,'Live Collections'!$G:$G,Disbursements!C1280)</f>
        <v>0</v>
      </c>
      <c r="AM1280" s="541">
        <f t="shared" si="530"/>
        <v>0</v>
      </c>
      <c r="AN1280" s="542" t="str">
        <f t="shared" si="531"/>
        <v/>
      </c>
      <c r="AO1280" s="542" t="str">
        <f t="shared" si="532"/>
        <v/>
      </c>
      <c r="AP1280" s="543" t="str">
        <f t="shared" si="533"/>
        <v/>
      </c>
      <c r="AQ1280" s="544" t="str">
        <f t="shared" si="534"/>
        <v/>
      </c>
      <c r="AR1280" s="545">
        <f t="shared" si="535"/>
        <v>0</v>
      </c>
      <c r="AS1280" s="545">
        <f>IFERROR(CEILING($AR1280*VLOOKUP($I1280,Ref!$B$23:$E$29,4,0),1),0)</f>
        <v>0</v>
      </c>
      <c r="AT1280" s="545" t="str">
        <f>IF(A1280="","",IF(AP1280&lt;=1,"Cleared",IF(AS1280=0,"Clean",VLOOKUP($AS1280,Ref!$G$23:$H$28,2))))</f>
        <v/>
      </c>
      <c r="AU1280" s="546" t="str">
        <f t="shared" si="536"/>
        <v/>
      </c>
    </row>
    <row r="1281" spans="1:47" ht="14.25" hidden="1" customHeight="1" x14ac:dyDescent="0.15">
      <c r="A1281" s="523"/>
      <c r="B1281" s="523"/>
      <c r="C1281" s="523"/>
      <c r="D1281" s="523"/>
      <c r="E1281" s="579"/>
      <c r="F1281" s="580"/>
      <c r="G1281" s="524"/>
      <c r="H1281" s="555"/>
      <c r="I1281" s="560"/>
      <c r="J1281" s="523"/>
      <c r="K1281" s="528" t="str">
        <f>IFERROR(VLOOKUP($B1281,'Clients-Live'!$A:$C,3,0),"")</f>
        <v/>
      </c>
      <c r="L1281" s="528">
        <f>IF(E1281="STL",Pricing!$D$38,IF(A1281="",0,IF(A1281&lt;Pricing!$C$25,Pricing!$D$25,VLOOKUP(Disbursements!$F1281,Pricing!$B$29:$D$32,3))))</f>
        <v>0</v>
      </c>
      <c r="M1281" s="528">
        <f>IF(E1281="STL",0,IF(F1281&gt;0,Pricing!$D$21,0))</f>
        <v>0</v>
      </c>
      <c r="N1281" s="529">
        <f>IF(E1281="STL",F1281*Pricing!$D$40,IF(A1281&lt;=Pricing!$C$4,0,IF(AND(A1281&gt;Pricing!$C$4,Disbursements!A1281&lt;=Pricing!$C$5),F1281*Pricing!$E$5,IF(AND(A1281&gt;Pricing!$C$5,Disbursements!A1281&lt;=Pricing!$C$7),VLOOKUP(F1281,Pricing!$D$7:$E$8,2)*Disbursements!F1281,F1281*Pricing!$E$9))))</f>
        <v>0</v>
      </c>
      <c r="O1281" s="528">
        <f>IF(E1281="STL",0,IF($F1281&gt;0,$F1281*Pricing!$D$17,0))</f>
        <v>0</v>
      </c>
      <c r="P1281" s="530" t="str">
        <f t="shared" si="516"/>
        <v/>
      </c>
      <c r="Q1281" s="531" t="str">
        <f>IF($A1281="","",$G1281/VLOOKUP($I1281,Ref!$B$23:$D$29,2,0))</f>
        <v/>
      </c>
      <c r="R1281" s="530" t="str">
        <f t="shared" si="517"/>
        <v/>
      </c>
      <c r="S1281" s="532" t="str">
        <f t="shared" si="511"/>
        <v/>
      </c>
      <c r="T1281" s="531" t="str">
        <f t="shared" si="518"/>
        <v/>
      </c>
      <c r="U1281" s="533">
        <f t="shared" si="519"/>
        <v>0</v>
      </c>
      <c r="V1281" s="531" t="str">
        <f t="shared" si="520"/>
        <v/>
      </c>
      <c r="W1281" s="531" t="str">
        <f t="shared" si="521"/>
        <v/>
      </c>
      <c r="X1281" s="534" t="str">
        <f t="shared" si="522"/>
        <v/>
      </c>
      <c r="Y1281" s="535" t="str">
        <f>IF($A1281="","",IF($I1281="weekly",$A1281+7,EDATE($A1281,VLOOKUP($I1281,Ref!$B$24:$C$29,2,0))))</f>
        <v/>
      </c>
      <c r="Z1281" s="536" t="str">
        <f t="shared" si="523"/>
        <v/>
      </c>
      <c r="AA1281" s="531">
        <f t="shared" si="524"/>
        <v>0</v>
      </c>
      <c r="AB1281" s="535" t="str">
        <f t="shared" si="512"/>
        <v/>
      </c>
      <c r="AC1281" s="537" t="str">
        <f t="shared" si="513"/>
        <v/>
      </c>
      <c r="AD1281" s="538" t="str">
        <f t="shared" ca="1" si="514"/>
        <v/>
      </c>
      <c r="AE1281" s="537">
        <f t="shared" ca="1" si="515"/>
        <v>0</v>
      </c>
      <c r="AF1281" s="539" t="str">
        <f t="shared" ca="1" si="525"/>
        <v/>
      </c>
      <c r="AG1281" s="531" t="str">
        <f t="shared" ca="1" si="526"/>
        <v/>
      </c>
      <c r="AH1281" s="531" t="str">
        <f t="shared" ca="1" si="527"/>
        <v/>
      </c>
      <c r="AI1281" s="531" t="str">
        <f t="shared" ca="1" si="528"/>
        <v/>
      </c>
      <c r="AJ1281" s="531" t="str">
        <f t="shared" si="529"/>
        <v/>
      </c>
      <c r="AK1281" s="540">
        <f>SUMIFS('Live Collections'!$S:$S,'Live Collections'!$D:$D,Disbursements!B1281,'Live Collections'!$G:$G,Disbursements!C1281)</f>
        <v>0</v>
      </c>
      <c r="AL1281" s="540">
        <f>SUMIFS('Live Collections'!$T:$T,'Live Collections'!$D:$D,Disbursements!B1281,'Live Collections'!$G:$G,Disbursements!C1281)</f>
        <v>0</v>
      </c>
      <c r="AM1281" s="541">
        <f t="shared" si="530"/>
        <v>0</v>
      </c>
      <c r="AN1281" s="542" t="str">
        <f t="shared" si="531"/>
        <v/>
      </c>
      <c r="AO1281" s="542" t="str">
        <f t="shared" si="532"/>
        <v/>
      </c>
      <c r="AP1281" s="543" t="str">
        <f t="shared" si="533"/>
        <v/>
      </c>
      <c r="AQ1281" s="544" t="str">
        <f t="shared" si="534"/>
        <v/>
      </c>
      <c r="AR1281" s="545">
        <f t="shared" si="535"/>
        <v>0</v>
      </c>
      <c r="AS1281" s="545">
        <f>IFERROR(CEILING($AR1281*VLOOKUP($I1281,Ref!$B$23:$E$29,4,0),1),0)</f>
        <v>0</v>
      </c>
      <c r="AT1281" s="545" t="str">
        <f>IF(A1281="","",IF(AP1281&lt;=1,"Cleared",IF(AS1281=0,"Clean",VLOOKUP($AS1281,Ref!$G$23:$H$28,2))))</f>
        <v/>
      </c>
      <c r="AU1281" s="546" t="str">
        <f t="shared" si="536"/>
        <v/>
      </c>
    </row>
    <row r="1282" spans="1:47" ht="14.25" hidden="1" customHeight="1" x14ac:dyDescent="0.15">
      <c r="A1282" s="523"/>
      <c r="B1282" s="523"/>
      <c r="C1282" s="523"/>
      <c r="D1282" s="523"/>
      <c r="E1282" s="579"/>
      <c r="F1282" s="580"/>
      <c r="G1282" s="524"/>
      <c r="H1282" s="555"/>
      <c r="I1282" s="560"/>
      <c r="J1282" s="523"/>
      <c r="K1282" s="528" t="str">
        <f>IFERROR(VLOOKUP($B1282,'Clients-Live'!$A:$C,3,0),"")</f>
        <v/>
      </c>
      <c r="L1282" s="528">
        <f>IF(E1282="STL",Pricing!$D$38,IF(A1282="",0,IF(A1282&lt;Pricing!$C$25,Pricing!$D$25,VLOOKUP(Disbursements!$F1282,Pricing!$B$29:$D$32,3))))</f>
        <v>0</v>
      </c>
      <c r="M1282" s="528">
        <f>IF(E1282="STL",0,IF(F1282&gt;0,Pricing!$D$21,0))</f>
        <v>0</v>
      </c>
      <c r="N1282" s="529">
        <f>IF(E1282="STL",F1282*Pricing!$D$40,IF(A1282&lt;=Pricing!$C$4,0,IF(AND(A1282&gt;Pricing!$C$4,Disbursements!A1282&lt;=Pricing!$C$5),F1282*Pricing!$E$5,IF(AND(A1282&gt;Pricing!$C$5,Disbursements!A1282&lt;=Pricing!$C$7),VLOOKUP(F1282,Pricing!$D$7:$E$8,2)*Disbursements!F1282,F1282*Pricing!$E$9))))</f>
        <v>0</v>
      </c>
      <c r="O1282" s="528">
        <f>IF(E1282="STL",0,IF($F1282&gt;0,$F1282*Pricing!$D$17,0))</f>
        <v>0</v>
      </c>
      <c r="P1282" s="530" t="str">
        <f t="shared" si="516"/>
        <v/>
      </c>
      <c r="Q1282" s="531" t="str">
        <f>IF($A1282="","",$G1282/VLOOKUP($I1282,Ref!$B$23:$D$29,2,0))</f>
        <v/>
      </c>
      <c r="R1282" s="530" t="str">
        <f t="shared" si="517"/>
        <v/>
      </c>
      <c r="S1282" s="532" t="str">
        <f t="shared" si="511"/>
        <v/>
      </c>
      <c r="T1282" s="531" t="str">
        <f t="shared" si="518"/>
        <v/>
      </c>
      <c r="U1282" s="533">
        <f t="shared" si="519"/>
        <v>0</v>
      </c>
      <c r="V1282" s="531" t="str">
        <f t="shared" si="520"/>
        <v/>
      </c>
      <c r="W1282" s="531" t="str">
        <f t="shared" si="521"/>
        <v/>
      </c>
      <c r="X1282" s="534" t="str">
        <f t="shared" si="522"/>
        <v/>
      </c>
      <c r="Y1282" s="535" t="str">
        <f>IF($A1282="","",IF($I1282="weekly",$A1282+7,EDATE($A1282,VLOOKUP($I1282,Ref!$B$24:$C$29,2,0))))</f>
        <v/>
      </c>
      <c r="Z1282" s="536" t="str">
        <f t="shared" si="523"/>
        <v/>
      </c>
      <c r="AA1282" s="531">
        <f t="shared" si="524"/>
        <v>0</v>
      </c>
      <c r="AB1282" s="535" t="str">
        <f t="shared" si="512"/>
        <v/>
      </c>
      <c r="AC1282" s="537" t="str">
        <f t="shared" si="513"/>
        <v/>
      </c>
      <c r="AD1282" s="538" t="str">
        <f t="shared" ca="1" si="514"/>
        <v/>
      </c>
      <c r="AE1282" s="537">
        <f t="shared" ca="1" si="515"/>
        <v>0</v>
      </c>
      <c r="AF1282" s="539" t="str">
        <f t="shared" ca="1" si="525"/>
        <v/>
      </c>
      <c r="AG1282" s="531" t="str">
        <f t="shared" ca="1" si="526"/>
        <v/>
      </c>
      <c r="AH1282" s="531" t="str">
        <f t="shared" ca="1" si="527"/>
        <v/>
      </c>
      <c r="AI1282" s="531" t="str">
        <f t="shared" ca="1" si="528"/>
        <v/>
      </c>
      <c r="AJ1282" s="531" t="str">
        <f t="shared" si="529"/>
        <v/>
      </c>
      <c r="AK1282" s="540">
        <f>SUMIFS('Live Collections'!$S:$S,'Live Collections'!$D:$D,Disbursements!B1282,'Live Collections'!$G:$G,Disbursements!C1282)</f>
        <v>0</v>
      </c>
      <c r="AL1282" s="540">
        <f>SUMIFS('Live Collections'!$T:$T,'Live Collections'!$D:$D,Disbursements!B1282,'Live Collections'!$G:$G,Disbursements!C1282)</f>
        <v>0</v>
      </c>
      <c r="AM1282" s="541">
        <f t="shared" si="530"/>
        <v>0</v>
      </c>
      <c r="AN1282" s="542" t="str">
        <f t="shared" si="531"/>
        <v/>
      </c>
      <c r="AO1282" s="542" t="str">
        <f t="shared" si="532"/>
        <v/>
      </c>
      <c r="AP1282" s="543" t="str">
        <f t="shared" si="533"/>
        <v/>
      </c>
      <c r="AQ1282" s="544" t="str">
        <f t="shared" si="534"/>
        <v/>
      </c>
      <c r="AR1282" s="545">
        <f t="shared" si="535"/>
        <v>0</v>
      </c>
      <c r="AS1282" s="545">
        <f>IFERROR(CEILING($AR1282*VLOOKUP($I1282,Ref!$B$23:$E$29,4,0),1),0)</f>
        <v>0</v>
      </c>
      <c r="AT1282" s="545" t="str">
        <f>IF(A1282="","",IF(AP1282&lt;=1,"Cleared",IF(AS1282=0,"Clean",VLOOKUP($AS1282,Ref!$G$23:$H$28,2))))</f>
        <v/>
      </c>
      <c r="AU1282" s="546" t="str">
        <f t="shared" si="536"/>
        <v/>
      </c>
    </row>
    <row r="1283" spans="1:47" ht="14.25" hidden="1" customHeight="1" x14ac:dyDescent="0.15">
      <c r="A1283" s="523"/>
      <c r="B1283" s="523"/>
      <c r="C1283" s="523"/>
      <c r="D1283" s="523"/>
      <c r="E1283" s="579"/>
      <c r="F1283" s="580"/>
      <c r="G1283" s="524"/>
      <c r="H1283" s="555"/>
      <c r="I1283" s="560"/>
      <c r="J1283" s="523"/>
      <c r="K1283" s="528" t="str">
        <f>IFERROR(VLOOKUP($B1283,'Clients-Live'!$A:$C,3,0),"")</f>
        <v/>
      </c>
      <c r="L1283" s="528">
        <f>IF(E1283="STL",Pricing!$D$38,IF(A1283="",0,IF(A1283&lt;Pricing!$C$25,Pricing!$D$25,VLOOKUP(Disbursements!$F1283,Pricing!$B$29:$D$32,3))))</f>
        <v>0</v>
      </c>
      <c r="M1283" s="528">
        <f>IF(E1283="STL",0,IF(F1283&gt;0,Pricing!$D$21,0))</f>
        <v>0</v>
      </c>
      <c r="N1283" s="529">
        <f>IF(E1283="STL",F1283*Pricing!$D$40,IF(A1283&lt;=Pricing!$C$4,0,IF(AND(A1283&gt;Pricing!$C$4,Disbursements!A1283&lt;=Pricing!$C$5),F1283*Pricing!$E$5,IF(AND(A1283&gt;Pricing!$C$5,Disbursements!A1283&lt;=Pricing!$C$7),VLOOKUP(F1283,Pricing!$D$7:$E$8,2)*Disbursements!F1283,F1283*Pricing!$E$9))))</f>
        <v>0</v>
      </c>
      <c r="O1283" s="528">
        <f>IF(E1283="STL",0,IF($F1283&gt;0,$F1283*Pricing!$D$17,0))</f>
        <v>0</v>
      </c>
      <c r="P1283" s="530" t="str">
        <f t="shared" si="516"/>
        <v/>
      </c>
      <c r="Q1283" s="531" t="str">
        <f>IF($A1283="","",$G1283/VLOOKUP($I1283,Ref!$B$23:$D$29,2,0))</f>
        <v/>
      </c>
      <c r="R1283" s="530" t="str">
        <f t="shared" si="517"/>
        <v/>
      </c>
      <c r="S1283" s="532" t="str">
        <f t="shared" si="511"/>
        <v/>
      </c>
      <c r="T1283" s="531" t="str">
        <f t="shared" si="518"/>
        <v/>
      </c>
      <c r="U1283" s="533">
        <f t="shared" si="519"/>
        <v>0</v>
      </c>
      <c r="V1283" s="531" t="str">
        <f t="shared" si="520"/>
        <v/>
      </c>
      <c r="W1283" s="531" t="str">
        <f t="shared" si="521"/>
        <v/>
      </c>
      <c r="X1283" s="534" t="str">
        <f t="shared" si="522"/>
        <v/>
      </c>
      <c r="Y1283" s="535" t="str">
        <f>IF($A1283="","",IF($I1283="weekly",$A1283+7,EDATE($A1283,VLOOKUP($I1283,Ref!$B$24:$C$29,2,0))))</f>
        <v/>
      </c>
      <c r="Z1283" s="536" t="str">
        <f t="shared" si="523"/>
        <v/>
      </c>
      <c r="AA1283" s="531">
        <f t="shared" si="524"/>
        <v>0</v>
      </c>
      <c r="AB1283" s="535" t="str">
        <f t="shared" si="512"/>
        <v/>
      </c>
      <c r="AC1283" s="537" t="str">
        <f t="shared" si="513"/>
        <v/>
      </c>
      <c r="AD1283" s="538" t="str">
        <f t="shared" ca="1" si="514"/>
        <v/>
      </c>
      <c r="AE1283" s="537">
        <f t="shared" ca="1" si="515"/>
        <v>0</v>
      </c>
      <c r="AF1283" s="539" t="str">
        <f t="shared" ca="1" si="525"/>
        <v/>
      </c>
      <c r="AG1283" s="531" t="str">
        <f t="shared" ca="1" si="526"/>
        <v/>
      </c>
      <c r="AH1283" s="531" t="str">
        <f t="shared" ca="1" si="527"/>
        <v/>
      </c>
      <c r="AI1283" s="531" t="str">
        <f t="shared" ca="1" si="528"/>
        <v/>
      </c>
      <c r="AJ1283" s="531" t="str">
        <f t="shared" si="529"/>
        <v/>
      </c>
      <c r="AK1283" s="540">
        <f>SUMIFS('Live Collections'!$S:$S,'Live Collections'!$D:$D,Disbursements!B1283,'Live Collections'!$G:$G,Disbursements!C1283)</f>
        <v>0</v>
      </c>
      <c r="AL1283" s="540">
        <f>SUMIFS('Live Collections'!$T:$T,'Live Collections'!$D:$D,Disbursements!B1283,'Live Collections'!$G:$G,Disbursements!C1283)</f>
        <v>0</v>
      </c>
      <c r="AM1283" s="541">
        <f t="shared" si="530"/>
        <v>0</v>
      </c>
      <c r="AN1283" s="542" t="str">
        <f t="shared" si="531"/>
        <v/>
      </c>
      <c r="AO1283" s="542" t="str">
        <f t="shared" si="532"/>
        <v/>
      </c>
      <c r="AP1283" s="543" t="str">
        <f t="shared" si="533"/>
        <v/>
      </c>
      <c r="AQ1283" s="544" t="str">
        <f t="shared" si="534"/>
        <v/>
      </c>
      <c r="AR1283" s="545">
        <f t="shared" si="535"/>
        <v>0</v>
      </c>
      <c r="AS1283" s="545">
        <f>IFERROR(CEILING($AR1283*VLOOKUP($I1283,Ref!$B$23:$E$29,4,0),1),0)</f>
        <v>0</v>
      </c>
      <c r="AT1283" s="545" t="str">
        <f>IF(A1283="","",IF(AP1283&lt;=1,"Cleared",IF(AS1283=0,"Clean",VLOOKUP($AS1283,Ref!$G$23:$H$28,2))))</f>
        <v/>
      </c>
      <c r="AU1283" s="546" t="str">
        <f t="shared" si="536"/>
        <v/>
      </c>
    </row>
    <row r="1284" spans="1:47" ht="14.25" hidden="1" customHeight="1" x14ac:dyDescent="0.15">
      <c r="A1284" s="523"/>
      <c r="B1284" s="523"/>
      <c r="C1284" s="523"/>
      <c r="D1284" s="523"/>
      <c r="E1284" s="579"/>
      <c r="F1284" s="580"/>
      <c r="G1284" s="524"/>
      <c r="H1284" s="555"/>
      <c r="I1284" s="560"/>
      <c r="J1284" s="523"/>
      <c r="K1284" s="528" t="str">
        <f>IFERROR(VLOOKUP($B1284,'Clients-Live'!$A:$C,3,0),"")</f>
        <v/>
      </c>
      <c r="L1284" s="528">
        <f>IF(E1284="STL",Pricing!$D$38,IF(A1284="",0,IF(A1284&lt;Pricing!$C$25,Pricing!$D$25,VLOOKUP(Disbursements!$F1284,Pricing!$B$29:$D$32,3))))</f>
        <v>0</v>
      </c>
      <c r="M1284" s="528">
        <f>IF(E1284="STL",0,IF(F1284&gt;0,Pricing!$D$21,0))</f>
        <v>0</v>
      </c>
      <c r="N1284" s="529">
        <f>IF(E1284="STL",F1284*Pricing!$D$40,IF(A1284&lt;=Pricing!$C$4,0,IF(AND(A1284&gt;Pricing!$C$4,Disbursements!A1284&lt;=Pricing!$C$5),F1284*Pricing!$E$5,IF(AND(A1284&gt;Pricing!$C$5,Disbursements!A1284&lt;=Pricing!$C$7),VLOOKUP(F1284,Pricing!$D$7:$E$8,2)*Disbursements!F1284,F1284*Pricing!$E$9))))</f>
        <v>0</v>
      </c>
      <c r="O1284" s="528">
        <f>IF(E1284="STL",0,IF($F1284&gt;0,$F1284*Pricing!$D$17,0))</f>
        <v>0</v>
      </c>
      <c r="P1284" s="530" t="str">
        <f t="shared" si="516"/>
        <v/>
      </c>
      <c r="Q1284" s="531" t="str">
        <f>IF($A1284="","",$G1284/VLOOKUP($I1284,Ref!$B$23:$D$29,2,0))</f>
        <v/>
      </c>
      <c r="R1284" s="530" t="str">
        <f t="shared" si="517"/>
        <v/>
      </c>
      <c r="S1284" s="532" t="str">
        <f t="shared" ref="S1284:S1347" si="537">IF($A1284="","",$R1284/$Q1284)</f>
        <v/>
      </c>
      <c r="T1284" s="531" t="str">
        <f t="shared" si="518"/>
        <v/>
      </c>
      <c r="U1284" s="533">
        <f t="shared" si="519"/>
        <v>0</v>
      </c>
      <c r="V1284" s="531" t="str">
        <f t="shared" si="520"/>
        <v/>
      </c>
      <c r="W1284" s="531" t="str">
        <f t="shared" si="521"/>
        <v/>
      </c>
      <c r="X1284" s="534" t="str">
        <f t="shared" si="522"/>
        <v/>
      </c>
      <c r="Y1284" s="535" t="str">
        <f>IF($A1284="","",IF($I1284="weekly",$A1284+7,EDATE($A1284,VLOOKUP($I1284,Ref!$B$24:$C$29,2,0))))</f>
        <v/>
      </c>
      <c r="Z1284" s="536" t="str">
        <f t="shared" si="523"/>
        <v/>
      </c>
      <c r="AA1284" s="531">
        <f t="shared" si="524"/>
        <v>0</v>
      </c>
      <c r="AB1284" s="535" t="str">
        <f t="shared" ref="AB1284:AB1347" si="538">IF($A1284="","",EDATE($A1284,$G1284))</f>
        <v/>
      </c>
      <c r="AC1284" s="537" t="str">
        <f t="shared" ref="AC1284:AC1347" si="539">IFERROR($AB1284-$A1284,"")</f>
        <v/>
      </c>
      <c r="AD1284" s="538" t="str">
        <f t="shared" ref="AD1284:AD1347" ca="1" si="540">IFERROR(IF(TODAY()-$A1284&lt;$AB1284-$A1284,TODAY()-$A1284,"Expired"),"")</f>
        <v/>
      </c>
      <c r="AE1284" s="537">
        <f t="shared" ref="AE1284:AE1347" ca="1" si="541">IFERROR($AC1284-$AD1284,0)</f>
        <v>0</v>
      </c>
      <c r="AF1284" s="539" t="str">
        <f t="shared" ca="1" si="525"/>
        <v/>
      </c>
      <c r="AG1284" s="531" t="str">
        <f t="shared" ca="1" si="526"/>
        <v/>
      </c>
      <c r="AH1284" s="531" t="str">
        <f t="shared" ca="1" si="527"/>
        <v/>
      </c>
      <c r="AI1284" s="531" t="str">
        <f t="shared" ca="1" si="528"/>
        <v/>
      </c>
      <c r="AJ1284" s="531" t="str">
        <f t="shared" si="529"/>
        <v/>
      </c>
      <c r="AK1284" s="540">
        <f>SUMIFS('Live Collections'!$S:$S,'Live Collections'!$D:$D,Disbursements!B1284,'Live Collections'!$G:$G,Disbursements!C1284)</f>
        <v>0</v>
      </c>
      <c r="AL1284" s="540">
        <f>SUMIFS('Live Collections'!$T:$T,'Live Collections'!$D:$D,Disbursements!B1284,'Live Collections'!$G:$G,Disbursements!C1284)</f>
        <v>0</v>
      </c>
      <c r="AM1284" s="541">
        <f t="shared" si="530"/>
        <v>0</v>
      </c>
      <c r="AN1284" s="542" t="str">
        <f t="shared" si="531"/>
        <v/>
      </c>
      <c r="AO1284" s="542" t="str">
        <f t="shared" si="532"/>
        <v/>
      </c>
      <c r="AP1284" s="543" t="str">
        <f t="shared" si="533"/>
        <v/>
      </c>
      <c r="AQ1284" s="544" t="str">
        <f t="shared" si="534"/>
        <v/>
      </c>
      <c r="AR1284" s="545">
        <f t="shared" si="535"/>
        <v>0</v>
      </c>
      <c r="AS1284" s="545">
        <f>IFERROR(CEILING($AR1284*VLOOKUP($I1284,Ref!$B$23:$E$29,4,0),1),0)</f>
        <v>0</v>
      </c>
      <c r="AT1284" s="545" t="str">
        <f>IF(A1284="","",IF(AP1284&lt;=1,"Cleared",IF(AS1284=0,"Clean",VLOOKUP($AS1284,Ref!$G$23:$H$28,2))))</f>
        <v/>
      </c>
      <c r="AU1284" s="546" t="str">
        <f t="shared" si="536"/>
        <v/>
      </c>
    </row>
    <row r="1285" spans="1:47" ht="14.25" hidden="1" customHeight="1" x14ac:dyDescent="0.15">
      <c r="A1285" s="523"/>
      <c r="B1285" s="523"/>
      <c r="C1285" s="523"/>
      <c r="D1285" s="523"/>
      <c r="E1285" s="579"/>
      <c r="F1285" s="580"/>
      <c r="G1285" s="524"/>
      <c r="H1285" s="555"/>
      <c r="I1285" s="560"/>
      <c r="J1285" s="523"/>
      <c r="K1285" s="528" t="str">
        <f>IFERROR(VLOOKUP($B1285,'Clients-Live'!$A:$C,3,0),"")</f>
        <v/>
      </c>
      <c r="L1285" s="528">
        <f>IF(E1285="STL",Pricing!$D$38,IF(A1285="",0,IF(A1285&lt;Pricing!$C$25,Pricing!$D$25,VLOOKUP(Disbursements!$F1285,Pricing!$B$29:$D$32,3))))</f>
        <v>0</v>
      </c>
      <c r="M1285" s="528">
        <f>IF(E1285="STL",0,IF(F1285&gt;0,Pricing!$D$21,0))</f>
        <v>0</v>
      </c>
      <c r="N1285" s="529">
        <f>IF(E1285="STL",F1285*Pricing!$D$40,IF(A1285&lt;=Pricing!$C$4,0,IF(AND(A1285&gt;Pricing!$C$4,Disbursements!A1285&lt;=Pricing!$C$5),F1285*Pricing!$E$5,IF(AND(A1285&gt;Pricing!$C$5,Disbursements!A1285&lt;=Pricing!$C$7),VLOOKUP(F1285,Pricing!$D$7:$E$8,2)*Disbursements!F1285,F1285*Pricing!$E$9))))</f>
        <v>0</v>
      </c>
      <c r="O1285" s="528">
        <f>IF(E1285="STL",0,IF($F1285&gt;0,$F1285*Pricing!$D$17,0))</f>
        <v>0</v>
      </c>
      <c r="P1285" s="530" t="str">
        <f t="shared" ref="P1285:P1348" si="542">IF($A1285="","",$H1285*$F1285*$G1285)</f>
        <v/>
      </c>
      <c r="Q1285" s="531" t="str">
        <f>IF($A1285="","",$G1285/VLOOKUP($I1285,Ref!$B$23:$D$29,2,0))</f>
        <v/>
      </c>
      <c r="R1285" s="530" t="str">
        <f t="shared" ref="R1285:R1348" si="543">IF($A1285="","",$F1285+$P1285)</f>
        <v/>
      </c>
      <c r="S1285" s="532" t="str">
        <f t="shared" si="537"/>
        <v/>
      </c>
      <c r="T1285" s="531" t="str">
        <f t="shared" ref="T1285:T1348" si="544">IF(R1285="","",CEILING(S1285,1000))</f>
        <v/>
      </c>
      <c r="U1285" s="533">
        <f t="shared" ref="U1285:U1348" si="545">IFERROR(T1285*Q1285,0)</f>
        <v>0</v>
      </c>
      <c r="V1285" s="531" t="str">
        <f t="shared" ref="V1285:V1348" si="546">IF(T1285="","",F1285/Q1285)</f>
        <v/>
      </c>
      <c r="W1285" s="531" t="str">
        <f t="shared" ref="W1285:W1348" si="547">IF(T1285="","",T1285-V1285)</f>
        <v/>
      </c>
      <c r="X1285" s="534" t="str">
        <f t="shared" ref="X1285:X1348" si="548">IF(A1285="","",W1285*Q1285)</f>
        <v/>
      </c>
      <c r="Y1285" s="535" t="str">
        <f>IF($A1285="","",IF($I1285="weekly",$A1285+7,EDATE($A1285,VLOOKUP($I1285,Ref!$B$24:$C$29,2,0))))</f>
        <v/>
      </c>
      <c r="Z1285" s="536" t="str">
        <f t="shared" ref="Z1285:Z1348" si="549">IFERROR(CHOOSE(WEEKDAY(Y1285),"Sun","Mon","Tue","Wed","Thu","Frid","Sat"),"")</f>
        <v/>
      </c>
      <c r="AA1285" s="531">
        <f t="shared" ref="AA1285:AA1348" si="550">IFERROR(Y1285-A1285,0)</f>
        <v>0</v>
      </c>
      <c r="AB1285" s="535" t="str">
        <f t="shared" si="538"/>
        <v/>
      </c>
      <c r="AC1285" s="537" t="str">
        <f t="shared" si="539"/>
        <v/>
      </c>
      <c r="AD1285" s="538" t="str">
        <f t="shared" ca="1" si="540"/>
        <v/>
      </c>
      <c r="AE1285" s="537">
        <f t="shared" ca="1" si="541"/>
        <v>0</v>
      </c>
      <c r="AF1285" s="539" t="str">
        <f t="shared" ref="AF1285:AF1348" ca="1" si="551">IFERROR(IF(AD1285="Expired",Q1285,IF(AD1285&gt;AA1285,AD1285/AA1285,0)),"")</f>
        <v/>
      </c>
      <c r="AG1285" s="531" t="str">
        <f t="shared" ref="AG1285:AG1348" ca="1" si="552">IFERROR(AF1285*T1285,"")</f>
        <v/>
      </c>
      <c r="AH1285" s="531" t="str">
        <f t="shared" ref="AH1285:AH1348" ca="1" si="553">IFERROR(AF1285*W1285,"")</f>
        <v/>
      </c>
      <c r="AI1285" s="531" t="str">
        <f t="shared" ref="AI1285:AI1348" ca="1" si="554">IFERROR(AF1285*V1285,"")</f>
        <v/>
      </c>
      <c r="AJ1285" s="531" t="str">
        <f t="shared" ref="AJ1285:AJ1348" si="555">IF(F1285=0,"",U1285-AG1285)</f>
        <v/>
      </c>
      <c r="AK1285" s="540">
        <f>SUMIFS('Live Collections'!$S:$S,'Live Collections'!$D:$D,Disbursements!B1285,'Live Collections'!$G:$G,Disbursements!C1285)</f>
        <v>0</v>
      </c>
      <c r="AL1285" s="540">
        <f>SUMIFS('Live Collections'!$T:$T,'Live Collections'!$D:$D,Disbursements!B1285,'Live Collections'!$G:$G,Disbursements!C1285)</f>
        <v>0</v>
      </c>
      <c r="AM1285" s="541">
        <f t="shared" ref="AM1285:AM1348" si="556">SUM(AK1285:AL1285)</f>
        <v>0</v>
      </c>
      <c r="AN1285" s="542" t="str">
        <f t="shared" ref="AN1285:AN1348" si="557">IFERROR(W1285*Q1285-AK1285,"")</f>
        <v/>
      </c>
      <c r="AO1285" s="542" t="str">
        <f t="shared" ref="AO1285:AO1348" si="558">IF(F1285="","",(F1285-AL1285))</f>
        <v/>
      </c>
      <c r="AP1285" s="543" t="str">
        <f t="shared" ref="AP1285:AP1348" si="559">IF(F1285="","",SUM(AN1285:AO1285))</f>
        <v/>
      </c>
      <c r="AQ1285" s="544" t="str">
        <f t="shared" ref="AQ1285:AQ1348" si="560">IF(AP1285&gt;AJ1285,AP1285-AJ1285,"")</f>
        <v/>
      </c>
      <c r="AR1285" s="545">
        <f t="shared" ref="AR1285:AR1348" si="561">IFERROR(AQ1285/T1285,0)</f>
        <v>0</v>
      </c>
      <c r="AS1285" s="545">
        <f>IFERROR(CEILING($AR1285*VLOOKUP($I1285,Ref!$B$23:$E$29,4,0),1),0)</f>
        <v>0</v>
      </c>
      <c r="AT1285" s="545" t="str">
        <f>IF(A1285="","",IF(AP1285&lt;=1,"Cleared",IF(AS1285=0,"Clean",VLOOKUP($AS1285,Ref!$G$23:$H$28,2))))</f>
        <v/>
      </c>
      <c r="AU1285" s="546" t="str">
        <f t="shared" ref="AU1285:AU1348" si="562">IF(F1285="","",IF(OR(AN1285&lt;0,AO1285&lt;0,AP1285&lt;0),"Error on Entry","Ok"))</f>
        <v/>
      </c>
    </row>
    <row r="1286" spans="1:47" ht="14.25" hidden="1" customHeight="1" x14ac:dyDescent="0.15">
      <c r="A1286" s="523"/>
      <c r="B1286" s="523"/>
      <c r="C1286" s="523"/>
      <c r="D1286" s="523"/>
      <c r="E1286" s="579"/>
      <c r="F1286" s="580"/>
      <c r="G1286" s="524"/>
      <c r="H1286" s="555"/>
      <c r="I1286" s="560"/>
      <c r="J1286" s="523"/>
      <c r="K1286" s="528" t="str">
        <f>IFERROR(VLOOKUP($B1286,'Clients-Live'!$A:$C,3,0),"")</f>
        <v/>
      </c>
      <c r="L1286" s="528">
        <f>IF(E1286="STL",Pricing!$D$38,IF(A1286="",0,IF(A1286&lt;Pricing!$C$25,Pricing!$D$25,VLOOKUP(Disbursements!$F1286,Pricing!$B$29:$D$32,3))))</f>
        <v>0</v>
      </c>
      <c r="M1286" s="528">
        <f>IF(E1286="STL",0,IF(F1286&gt;0,Pricing!$D$21,0))</f>
        <v>0</v>
      </c>
      <c r="N1286" s="529">
        <f>IF(E1286="STL",F1286*Pricing!$D$40,IF(A1286&lt;=Pricing!$C$4,0,IF(AND(A1286&gt;Pricing!$C$4,Disbursements!A1286&lt;=Pricing!$C$5),F1286*Pricing!$E$5,IF(AND(A1286&gt;Pricing!$C$5,Disbursements!A1286&lt;=Pricing!$C$7),VLOOKUP(F1286,Pricing!$D$7:$E$8,2)*Disbursements!F1286,F1286*Pricing!$E$9))))</f>
        <v>0</v>
      </c>
      <c r="O1286" s="528">
        <f>IF(E1286="STL",0,IF($F1286&gt;0,$F1286*Pricing!$D$17,0))</f>
        <v>0</v>
      </c>
      <c r="P1286" s="530" t="str">
        <f t="shared" si="542"/>
        <v/>
      </c>
      <c r="Q1286" s="531" t="str">
        <f>IF($A1286="","",$G1286/VLOOKUP($I1286,Ref!$B$23:$D$29,2,0))</f>
        <v/>
      </c>
      <c r="R1286" s="530" t="str">
        <f t="shared" si="543"/>
        <v/>
      </c>
      <c r="S1286" s="532" t="str">
        <f t="shared" si="537"/>
        <v/>
      </c>
      <c r="T1286" s="531" t="str">
        <f t="shared" si="544"/>
        <v/>
      </c>
      <c r="U1286" s="533">
        <f t="shared" si="545"/>
        <v>0</v>
      </c>
      <c r="V1286" s="531" t="str">
        <f t="shared" si="546"/>
        <v/>
      </c>
      <c r="W1286" s="531" t="str">
        <f t="shared" si="547"/>
        <v/>
      </c>
      <c r="X1286" s="534" t="str">
        <f t="shared" si="548"/>
        <v/>
      </c>
      <c r="Y1286" s="535" t="str">
        <f>IF($A1286="","",IF($I1286="weekly",$A1286+7,EDATE($A1286,VLOOKUP($I1286,Ref!$B$24:$C$29,2,0))))</f>
        <v/>
      </c>
      <c r="Z1286" s="536" t="str">
        <f t="shared" si="549"/>
        <v/>
      </c>
      <c r="AA1286" s="531">
        <f t="shared" si="550"/>
        <v>0</v>
      </c>
      <c r="AB1286" s="535" t="str">
        <f t="shared" si="538"/>
        <v/>
      </c>
      <c r="AC1286" s="537" t="str">
        <f t="shared" si="539"/>
        <v/>
      </c>
      <c r="AD1286" s="538" t="str">
        <f t="shared" ca="1" si="540"/>
        <v/>
      </c>
      <c r="AE1286" s="537">
        <f t="shared" ca="1" si="541"/>
        <v>0</v>
      </c>
      <c r="AF1286" s="539" t="str">
        <f t="shared" ca="1" si="551"/>
        <v/>
      </c>
      <c r="AG1286" s="531" t="str">
        <f t="shared" ca="1" si="552"/>
        <v/>
      </c>
      <c r="AH1286" s="531" t="str">
        <f t="shared" ca="1" si="553"/>
        <v/>
      </c>
      <c r="AI1286" s="531" t="str">
        <f t="shared" ca="1" si="554"/>
        <v/>
      </c>
      <c r="AJ1286" s="531" t="str">
        <f t="shared" si="555"/>
        <v/>
      </c>
      <c r="AK1286" s="540">
        <f>SUMIFS('Live Collections'!$S:$S,'Live Collections'!$D:$D,Disbursements!B1286,'Live Collections'!$G:$G,Disbursements!C1286)</f>
        <v>0</v>
      </c>
      <c r="AL1286" s="540">
        <f>SUMIFS('Live Collections'!$T:$T,'Live Collections'!$D:$D,Disbursements!B1286,'Live Collections'!$G:$G,Disbursements!C1286)</f>
        <v>0</v>
      </c>
      <c r="AM1286" s="541">
        <f t="shared" si="556"/>
        <v>0</v>
      </c>
      <c r="AN1286" s="542" t="str">
        <f t="shared" si="557"/>
        <v/>
      </c>
      <c r="AO1286" s="542" t="str">
        <f t="shared" si="558"/>
        <v/>
      </c>
      <c r="AP1286" s="543" t="str">
        <f t="shared" si="559"/>
        <v/>
      </c>
      <c r="AQ1286" s="544" t="str">
        <f t="shared" si="560"/>
        <v/>
      </c>
      <c r="AR1286" s="545">
        <f t="shared" si="561"/>
        <v>0</v>
      </c>
      <c r="AS1286" s="545">
        <f>IFERROR(CEILING($AR1286*VLOOKUP($I1286,Ref!$B$23:$E$29,4,0),1),0)</f>
        <v>0</v>
      </c>
      <c r="AT1286" s="545" t="str">
        <f>IF(A1286="","",IF(AP1286&lt;=1,"Cleared",IF(AS1286=0,"Clean",VLOOKUP($AS1286,Ref!$G$23:$H$28,2))))</f>
        <v/>
      </c>
      <c r="AU1286" s="546" t="str">
        <f t="shared" si="562"/>
        <v/>
      </c>
    </row>
    <row r="1287" spans="1:47" ht="14.25" hidden="1" customHeight="1" x14ac:dyDescent="0.15">
      <c r="A1287" s="523"/>
      <c r="B1287" s="523"/>
      <c r="C1287" s="523"/>
      <c r="D1287" s="523"/>
      <c r="E1287" s="579"/>
      <c r="F1287" s="580"/>
      <c r="G1287" s="524"/>
      <c r="H1287" s="555"/>
      <c r="I1287" s="560"/>
      <c r="J1287" s="523"/>
      <c r="K1287" s="528" t="str">
        <f>IFERROR(VLOOKUP($B1287,'Clients-Live'!$A:$C,3,0),"")</f>
        <v/>
      </c>
      <c r="L1287" s="528">
        <f>IF(E1287="STL",Pricing!$D$38,IF(A1287="",0,IF(A1287&lt;Pricing!$C$25,Pricing!$D$25,VLOOKUP(Disbursements!$F1287,Pricing!$B$29:$D$32,3))))</f>
        <v>0</v>
      </c>
      <c r="M1287" s="528">
        <f>IF(E1287="STL",0,IF(F1287&gt;0,Pricing!$D$21,0))</f>
        <v>0</v>
      </c>
      <c r="N1287" s="529">
        <f>IF(E1287="STL",F1287*Pricing!$D$40,IF(A1287&lt;=Pricing!$C$4,0,IF(AND(A1287&gt;Pricing!$C$4,Disbursements!A1287&lt;=Pricing!$C$5),F1287*Pricing!$E$5,IF(AND(A1287&gt;Pricing!$C$5,Disbursements!A1287&lt;=Pricing!$C$7),VLOOKUP(F1287,Pricing!$D$7:$E$8,2)*Disbursements!F1287,F1287*Pricing!$E$9))))</f>
        <v>0</v>
      </c>
      <c r="O1287" s="528">
        <f>IF(E1287="STL",0,IF($F1287&gt;0,$F1287*Pricing!$D$17,0))</f>
        <v>0</v>
      </c>
      <c r="P1287" s="530" t="str">
        <f t="shared" si="542"/>
        <v/>
      </c>
      <c r="Q1287" s="531" t="str">
        <f>IF($A1287="","",$G1287/VLOOKUP($I1287,Ref!$B$23:$D$29,2,0))</f>
        <v/>
      </c>
      <c r="R1287" s="530" t="str">
        <f t="shared" si="543"/>
        <v/>
      </c>
      <c r="S1287" s="532" t="str">
        <f t="shared" si="537"/>
        <v/>
      </c>
      <c r="T1287" s="531" t="str">
        <f t="shared" si="544"/>
        <v/>
      </c>
      <c r="U1287" s="533">
        <f t="shared" si="545"/>
        <v>0</v>
      </c>
      <c r="V1287" s="531" t="str">
        <f t="shared" si="546"/>
        <v/>
      </c>
      <c r="W1287" s="531" t="str">
        <f t="shared" si="547"/>
        <v/>
      </c>
      <c r="X1287" s="534" t="str">
        <f t="shared" si="548"/>
        <v/>
      </c>
      <c r="Y1287" s="535" t="str">
        <f>IF($A1287="","",IF($I1287="weekly",$A1287+7,EDATE($A1287,VLOOKUP($I1287,Ref!$B$24:$C$29,2,0))))</f>
        <v/>
      </c>
      <c r="Z1287" s="536" t="str">
        <f t="shared" si="549"/>
        <v/>
      </c>
      <c r="AA1287" s="531">
        <f t="shared" si="550"/>
        <v>0</v>
      </c>
      <c r="AB1287" s="535" t="str">
        <f t="shared" si="538"/>
        <v/>
      </c>
      <c r="AC1287" s="537" t="str">
        <f t="shared" si="539"/>
        <v/>
      </c>
      <c r="AD1287" s="538" t="str">
        <f t="shared" ca="1" si="540"/>
        <v/>
      </c>
      <c r="AE1287" s="537">
        <f t="shared" ca="1" si="541"/>
        <v>0</v>
      </c>
      <c r="AF1287" s="539" t="str">
        <f t="shared" ca="1" si="551"/>
        <v/>
      </c>
      <c r="AG1287" s="531" t="str">
        <f t="shared" ca="1" si="552"/>
        <v/>
      </c>
      <c r="AH1287" s="531" t="str">
        <f t="shared" ca="1" si="553"/>
        <v/>
      </c>
      <c r="AI1287" s="531" t="str">
        <f t="shared" ca="1" si="554"/>
        <v/>
      </c>
      <c r="AJ1287" s="531" t="str">
        <f t="shared" si="555"/>
        <v/>
      </c>
      <c r="AK1287" s="540">
        <f>SUMIFS('Live Collections'!$S:$S,'Live Collections'!$D:$D,Disbursements!B1287,'Live Collections'!$G:$G,Disbursements!C1287)</f>
        <v>0</v>
      </c>
      <c r="AL1287" s="540">
        <f>SUMIFS('Live Collections'!$T:$T,'Live Collections'!$D:$D,Disbursements!B1287,'Live Collections'!$G:$G,Disbursements!C1287)</f>
        <v>0</v>
      </c>
      <c r="AM1287" s="541">
        <f t="shared" si="556"/>
        <v>0</v>
      </c>
      <c r="AN1287" s="542" t="str">
        <f t="shared" si="557"/>
        <v/>
      </c>
      <c r="AO1287" s="542" t="str">
        <f t="shared" si="558"/>
        <v/>
      </c>
      <c r="AP1287" s="543" t="str">
        <f t="shared" si="559"/>
        <v/>
      </c>
      <c r="AQ1287" s="544" t="str">
        <f t="shared" si="560"/>
        <v/>
      </c>
      <c r="AR1287" s="545">
        <f t="shared" si="561"/>
        <v>0</v>
      </c>
      <c r="AS1287" s="545">
        <f>IFERROR(CEILING($AR1287*VLOOKUP($I1287,Ref!$B$23:$E$29,4,0),1),0)</f>
        <v>0</v>
      </c>
      <c r="AT1287" s="545" t="str">
        <f>IF(A1287="","",IF(AP1287&lt;=1,"Cleared",IF(AS1287=0,"Clean",VLOOKUP($AS1287,Ref!$G$23:$H$28,2))))</f>
        <v/>
      </c>
      <c r="AU1287" s="546" t="str">
        <f t="shared" si="562"/>
        <v/>
      </c>
    </row>
    <row r="1288" spans="1:47" ht="14.25" hidden="1" customHeight="1" x14ac:dyDescent="0.15">
      <c r="A1288" s="523"/>
      <c r="B1288" s="523"/>
      <c r="C1288" s="523"/>
      <c r="D1288" s="523"/>
      <c r="E1288" s="579"/>
      <c r="F1288" s="580"/>
      <c r="G1288" s="524"/>
      <c r="H1288" s="555"/>
      <c r="I1288" s="560"/>
      <c r="J1288" s="523"/>
      <c r="K1288" s="528" t="str">
        <f>IFERROR(VLOOKUP($B1288,'Clients-Live'!$A:$C,3,0),"")</f>
        <v/>
      </c>
      <c r="L1288" s="528">
        <f>IF(E1288="STL",Pricing!$D$38,IF(A1288="",0,IF(A1288&lt;Pricing!$C$25,Pricing!$D$25,VLOOKUP(Disbursements!$F1288,Pricing!$B$29:$D$32,3))))</f>
        <v>0</v>
      </c>
      <c r="M1288" s="528">
        <f>IF(E1288="STL",0,IF(F1288&gt;0,Pricing!$D$21,0))</f>
        <v>0</v>
      </c>
      <c r="N1288" s="529">
        <f>IF(E1288="STL",F1288*Pricing!$D$40,IF(A1288&lt;=Pricing!$C$4,0,IF(AND(A1288&gt;Pricing!$C$4,Disbursements!A1288&lt;=Pricing!$C$5),F1288*Pricing!$E$5,IF(AND(A1288&gt;Pricing!$C$5,Disbursements!A1288&lt;=Pricing!$C$7),VLOOKUP(F1288,Pricing!$D$7:$E$8,2)*Disbursements!F1288,F1288*Pricing!$E$9))))</f>
        <v>0</v>
      </c>
      <c r="O1288" s="528">
        <f>IF(E1288="STL",0,IF($F1288&gt;0,$F1288*Pricing!$D$17,0))</f>
        <v>0</v>
      </c>
      <c r="P1288" s="530" t="str">
        <f t="shared" si="542"/>
        <v/>
      </c>
      <c r="Q1288" s="531" t="str">
        <f>IF($A1288="","",$G1288/VLOOKUP($I1288,Ref!$B$23:$D$29,2,0))</f>
        <v/>
      </c>
      <c r="R1288" s="530" t="str">
        <f t="shared" si="543"/>
        <v/>
      </c>
      <c r="S1288" s="532" t="str">
        <f t="shared" si="537"/>
        <v/>
      </c>
      <c r="T1288" s="531" t="str">
        <f t="shared" si="544"/>
        <v/>
      </c>
      <c r="U1288" s="533">
        <f t="shared" si="545"/>
        <v>0</v>
      </c>
      <c r="V1288" s="531" t="str">
        <f t="shared" si="546"/>
        <v/>
      </c>
      <c r="W1288" s="531" t="str">
        <f t="shared" si="547"/>
        <v/>
      </c>
      <c r="X1288" s="534" t="str">
        <f t="shared" si="548"/>
        <v/>
      </c>
      <c r="Y1288" s="535" t="str">
        <f>IF($A1288="","",IF($I1288="weekly",$A1288+7,EDATE($A1288,VLOOKUP($I1288,Ref!$B$24:$C$29,2,0))))</f>
        <v/>
      </c>
      <c r="Z1288" s="536" t="str">
        <f t="shared" si="549"/>
        <v/>
      </c>
      <c r="AA1288" s="531">
        <f t="shared" si="550"/>
        <v>0</v>
      </c>
      <c r="AB1288" s="535" t="str">
        <f t="shared" si="538"/>
        <v/>
      </c>
      <c r="AC1288" s="537" t="str">
        <f t="shared" si="539"/>
        <v/>
      </c>
      <c r="AD1288" s="538" t="str">
        <f t="shared" ca="1" si="540"/>
        <v/>
      </c>
      <c r="AE1288" s="537">
        <f t="shared" ca="1" si="541"/>
        <v>0</v>
      </c>
      <c r="AF1288" s="539" t="str">
        <f t="shared" ca="1" si="551"/>
        <v/>
      </c>
      <c r="AG1288" s="531" t="str">
        <f t="shared" ca="1" si="552"/>
        <v/>
      </c>
      <c r="AH1288" s="531" t="str">
        <f t="shared" ca="1" si="553"/>
        <v/>
      </c>
      <c r="AI1288" s="531" t="str">
        <f t="shared" ca="1" si="554"/>
        <v/>
      </c>
      <c r="AJ1288" s="531" t="str">
        <f t="shared" si="555"/>
        <v/>
      </c>
      <c r="AK1288" s="540">
        <f>SUMIFS('Live Collections'!$S:$S,'Live Collections'!$D:$D,Disbursements!B1288,'Live Collections'!$G:$G,Disbursements!C1288)</f>
        <v>0</v>
      </c>
      <c r="AL1288" s="540">
        <f>SUMIFS('Live Collections'!$T:$T,'Live Collections'!$D:$D,Disbursements!B1288,'Live Collections'!$G:$G,Disbursements!C1288)</f>
        <v>0</v>
      </c>
      <c r="AM1288" s="541">
        <f t="shared" si="556"/>
        <v>0</v>
      </c>
      <c r="AN1288" s="542" t="str">
        <f t="shared" si="557"/>
        <v/>
      </c>
      <c r="AO1288" s="542" t="str">
        <f t="shared" si="558"/>
        <v/>
      </c>
      <c r="AP1288" s="543" t="str">
        <f t="shared" si="559"/>
        <v/>
      </c>
      <c r="AQ1288" s="544" t="str">
        <f t="shared" si="560"/>
        <v/>
      </c>
      <c r="AR1288" s="545">
        <f t="shared" si="561"/>
        <v>0</v>
      </c>
      <c r="AS1288" s="545">
        <f>IFERROR(CEILING($AR1288*VLOOKUP($I1288,Ref!$B$23:$E$29,4,0),1),0)</f>
        <v>0</v>
      </c>
      <c r="AT1288" s="545" t="str">
        <f>IF(A1288="","",IF(AP1288&lt;=1,"Cleared",IF(AS1288=0,"Clean",VLOOKUP($AS1288,Ref!$G$23:$H$28,2))))</f>
        <v/>
      </c>
      <c r="AU1288" s="546" t="str">
        <f t="shared" si="562"/>
        <v/>
      </c>
    </row>
    <row r="1289" spans="1:47" ht="14.25" hidden="1" customHeight="1" x14ac:dyDescent="0.15">
      <c r="A1289" s="523"/>
      <c r="B1289" s="523"/>
      <c r="C1289" s="523"/>
      <c r="D1289" s="523"/>
      <c r="E1289" s="579"/>
      <c r="F1289" s="580"/>
      <c r="G1289" s="524"/>
      <c r="H1289" s="555"/>
      <c r="I1289" s="560"/>
      <c r="J1289" s="523"/>
      <c r="K1289" s="528" t="str">
        <f>IFERROR(VLOOKUP($B1289,'Clients-Live'!$A:$C,3,0),"")</f>
        <v/>
      </c>
      <c r="L1289" s="528">
        <f>IF(E1289="STL",Pricing!$D$38,IF(A1289="",0,IF(A1289&lt;Pricing!$C$25,Pricing!$D$25,VLOOKUP(Disbursements!$F1289,Pricing!$B$29:$D$32,3))))</f>
        <v>0</v>
      </c>
      <c r="M1289" s="528">
        <f>IF(E1289="STL",0,IF(F1289&gt;0,Pricing!$D$21,0))</f>
        <v>0</v>
      </c>
      <c r="N1289" s="529">
        <f>IF(E1289="STL",F1289*Pricing!$D$40,IF(A1289&lt;=Pricing!$C$4,0,IF(AND(A1289&gt;Pricing!$C$4,Disbursements!A1289&lt;=Pricing!$C$5),F1289*Pricing!$E$5,IF(AND(A1289&gt;Pricing!$C$5,Disbursements!A1289&lt;=Pricing!$C$7),VLOOKUP(F1289,Pricing!$D$7:$E$8,2)*Disbursements!F1289,F1289*Pricing!$E$9))))</f>
        <v>0</v>
      </c>
      <c r="O1289" s="528">
        <f>IF(E1289="STL",0,IF($F1289&gt;0,$F1289*Pricing!$D$17,0))</f>
        <v>0</v>
      </c>
      <c r="P1289" s="530" t="str">
        <f t="shared" si="542"/>
        <v/>
      </c>
      <c r="Q1289" s="531" t="str">
        <f>IF($A1289="","",$G1289/VLOOKUP($I1289,Ref!$B$23:$D$29,2,0))</f>
        <v/>
      </c>
      <c r="R1289" s="530" t="str">
        <f t="shared" si="543"/>
        <v/>
      </c>
      <c r="S1289" s="532" t="str">
        <f t="shared" si="537"/>
        <v/>
      </c>
      <c r="T1289" s="531" t="str">
        <f t="shared" si="544"/>
        <v/>
      </c>
      <c r="U1289" s="533">
        <f t="shared" si="545"/>
        <v>0</v>
      </c>
      <c r="V1289" s="531" t="str">
        <f t="shared" si="546"/>
        <v/>
      </c>
      <c r="W1289" s="531" t="str">
        <f t="shared" si="547"/>
        <v/>
      </c>
      <c r="X1289" s="534" t="str">
        <f t="shared" si="548"/>
        <v/>
      </c>
      <c r="Y1289" s="535" t="str">
        <f>IF($A1289="","",IF($I1289="weekly",$A1289+7,EDATE($A1289,VLOOKUP($I1289,Ref!$B$24:$C$29,2,0))))</f>
        <v/>
      </c>
      <c r="Z1289" s="536" t="str">
        <f t="shared" si="549"/>
        <v/>
      </c>
      <c r="AA1289" s="531">
        <f t="shared" si="550"/>
        <v>0</v>
      </c>
      <c r="AB1289" s="535" t="str">
        <f t="shared" si="538"/>
        <v/>
      </c>
      <c r="AC1289" s="537" t="str">
        <f t="shared" si="539"/>
        <v/>
      </c>
      <c r="AD1289" s="538" t="str">
        <f t="shared" ca="1" si="540"/>
        <v/>
      </c>
      <c r="AE1289" s="537">
        <f t="shared" ca="1" si="541"/>
        <v>0</v>
      </c>
      <c r="AF1289" s="539" t="str">
        <f t="shared" ca="1" si="551"/>
        <v/>
      </c>
      <c r="AG1289" s="531" t="str">
        <f t="shared" ca="1" si="552"/>
        <v/>
      </c>
      <c r="AH1289" s="531" t="str">
        <f t="shared" ca="1" si="553"/>
        <v/>
      </c>
      <c r="AI1289" s="531" t="str">
        <f t="shared" ca="1" si="554"/>
        <v/>
      </c>
      <c r="AJ1289" s="531" t="str">
        <f t="shared" si="555"/>
        <v/>
      </c>
      <c r="AK1289" s="540">
        <f>SUMIFS('Live Collections'!$S:$S,'Live Collections'!$D:$D,Disbursements!B1289,'Live Collections'!$G:$G,Disbursements!C1289)</f>
        <v>0</v>
      </c>
      <c r="AL1289" s="540">
        <f>SUMIFS('Live Collections'!$T:$T,'Live Collections'!$D:$D,Disbursements!B1289,'Live Collections'!$G:$G,Disbursements!C1289)</f>
        <v>0</v>
      </c>
      <c r="AM1289" s="541">
        <f t="shared" si="556"/>
        <v>0</v>
      </c>
      <c r="AN1289" s="542" t="str">
        <f t="shared" si="557"/>
        <v/>
      </c>
      <c r="AO1289" s="542" t="str">
        <f t="shared" si="558"/>
        <v/>
      </c>
      <c r="AP1289" s="543" t="str">
        <f t="shared" si="559"/>
        <v/>
      </c>
      <c r="AQ1289" s="544" t="str">
        <f t="shared" si="560"/>
        <v/>
      </c>
      <c r="AR1289" s="545">
        <f t="shared" si="561"/>
        <v>0</v>
      </c>
      <c r="AS1289" s="545">
        <f>IFERROR(CEILING($AR1289*VLOOKUP($I1289,Ref!$B$23:$E$29,4,0),1),0)</f>
        <v>0</v>
      </c>
      <c r="AT1289" s="545" t="str">
        <f>IF(A1289="","",IF(AP1289&lt;=1,"Cleared",IF(AS1289=0,"Clean",VLOOKUP($AS1289,Ref!$G$23:$H$28,2))))</f>
        <v/>
      </c>
      <c r="AU1289" s="546" t="str">
        <f t="shared" si="562"/>
        <v/>
      </c>
    </row>
    <row r="1290" spans="1:47" ht="14.25" hidden="1" customHeight="1" x14ac:dyDescent="0.15">
      <c r="A1290" s="523"/>
      <c r="B1290" s="523"/>
      <c r="C1290" s="523"/>
      <c r="D1290" s="523"/>
      <c r="E1290" s="579"/>
      <c r="F1290" s="580"/>
      <c r="G1290" s="524"/>
      <c r="H1290" s="555"/>
      <c r="I1290" s="560"/>
      <c r="J1290" s="523"/>
      <c r="K1290" s="528" t="str">
        <f>IFERROR(VLOOKUP($B1290,'Clients-Live'!$A:$C,3,0),"")</f>
        <v/>
      </c>
      <c r="L1290" s="528">
        <f>IF(E1290="STL",Pricing!$D$38,IF(A1290="",0,IF(A1290&lt;Pricing!$C$25,Pricing!$D$25,VLOOKUP(Disbursements!$F1290,Pricing!$B$29:$D$32,3))))</f>
        <v>0</v>
      </c>
      <c r="M1290" s="528">
        <f>IF(E1290="STL",0,IF(F1290&gt;0,Pricing!$D$21,0))</f>
        <v>0</v>
      </c>
      <c r="N1290" s="529">
        <f>IF(E1290="STL",F1290*Pricing!$D$40,IF(A1290&lt;=Pricing!$C$4,0,IF(AND(A1290&gt;Pricing!$C$4,Disbursements!A1290&lt;=Pricing!$C$5),F1290*Pricing!$E$5,IF(AND(A1290&gt;Pricing!$C$5,Disbursements!A1290&lt;=Pricing!$C$7),VLOOKUP(F1290,Pricing!$D$7:$E$8,2)*Disbursements!F1290,F1290*Pricing!$E$9))))</f>
        <v>0</v>
      </c>
      <c r="O1290" s="528">
        <f>IF(E1290="STL",0,IF($F1290&gt;0,$F1290*Pricing!$D$17,0))</f>
        <v>0</v>
      </c>
      <c r="P1290" s="530" t="str">
        <f t="shared" si="542"/>
        <v/>
      </c>
      <c r="Q1290" s="531" t="str">
        <f>IF($A1290="","",$G1290/VLOOKUP($I1290,Ref!$B$23:$D$29,2,0))</f>
        <v/>
      </c>
      <c r="R1290" s="530" t="str">
        <f t="shared" si="543"/>
        <v/>
      </c>
      <c r="S1290" s="532" t="str">
        <f t="shared" si="537"/>
        <v/>
      </c>
      <c r="T1290" s="531" t="str">
        <f t="shared" si="544"/>
        <v/>
      </c>
      <c r="U1290" s="533">
        <f t="shared" si="545"/>
        <v>0</v>
      </c>
      <c r="V1290" s="531" t="str">
        <f t="shared" si="546"/>
        <v/>
      </c>
      <c r="W1290" s="531" t="str">
        <f t="shared" si="547"/>
        <v/>
      </c>
      <c r="X1290" s="534" t="str">
        <f t="shared" si="548"/>
        <v/>
      </c>
      <c r="Y1290" s="535" t="str">
        <f>IF($A1290="","",IF($I1290="weekly",$A1290+7,EDATE($A1290,VLOOKUP($I1290,Ref!$B$24:$C$29,2,0))))</f>
        <v/>
      </c>
      <c r="Z1290" s="536" t="str">
        <f t="shared" si="549"/>
        <v/>
      </c>
      <c r="AA1290" s="531">
        <f t="shared" si="550"/>
        <v>0</v>
      </c>
      <c r="AB1290" s="535" t="str">
        <f t="shared" si="538"/>
        <v/>
      </c>
      <c r="AC1290" s="537" t="str">
        <f t="shared" si="539"/>
        <v/>
      </c>
      <c r="AD1290" s="538" t="str">
        <f t="shared" ca="1" si="540"/>
        <v/>
      </c>
      <c r="AE1290" s="537">
        <f t="shared" ca="1" si="541"/>
        <v>0</v>
      </c>
      <c r="AF1290" s="539" t="str">
        <f t="shared" ca="1" si="551"/>
        <v/>
      </c>
      <c r="AG1290" s="531" t="str">
        <f t="shared" ca="1" si="552"/>
        <v/>
      </c>
      <c r="AH1290" s="531" t="str">
        <f t="shared" ca="1" si="553"/>
        <v/>
      </c>
      <c r="AI1290" s="531" t="str">
        <f t="shared" ca="1" si="554"/>
        <v/>
      </c>
      <c r="AJ1290" s="531" t="str">
        <f t="shared" si="555"/>
        <v/>
      </c>
      <c r="AK1290" s="540">
        <f>SUMIFS('Live Collections'!$S:$S,'Live Collections'!$D:$D,Disbursements!B1290,'Live Collections'!$G:$G,Disbursements!C1290)</f>
        <v>0</v>
      </c>
      <c r="AL1290" s="540">
        <f>SUMIFS('Live Collections'!$T:$T,'Live Collections'!$D:$D,Disbursements!B1290,'Live Collections'!$G:$G,Disbursements!C1290)</f>
        <v>0</v>
      </c>
      <c r="AM1290" s="541">
        <f t="shared" si="556"/>
        <v>0</v>
      </c>
      <c r="AN1290" s="542" t="str">
        <f t="shared" si="557"/>
        <v/>
      </c>
      <c r="AO1290" s="542" t="str">
        <f t="shared" si="558"/>
        <v/>
      </c>
      <c r="AP1290" s="543" t="str">
        <f t="shared" si="559"/>
        <v/>
      </c>
      <c r="AQ1290" s="544" t="str">
        <f t="shared" si="560"/>
        <v/>
      </c>
      <c r="AR1290" s="545">
        <f t="shared" si="561"/>
        <v>0</v>
      </c>
      <c r="AS1290" s="545">
        <f>IFERROR(CEILING($AR1290*VLOOKUP($I1290,Ref!$B$23:$E$29,4,0),1),0)</f>
        <v>0</v>
      </c>
      <c r="AT1290" s="545" t="str">
        <f>IF(A1290="","",IF(AP1290&lt;=1,"Cleared",IF(AS1290=0,"Clean",VLOOKUP($AS1290,Ref!$G$23:$H$28,2))))</f>
        <v/>
      </c>
      <c r="AU1290" s="546" t="str">
        <f t="shared" si="562"/>
        <v/>
      </c>
    </row>
    <row r="1291" spans="1:47" ht="14.25" hidden="1" customHeight="1" x14ac:dyDescent="0.15">
      <c r="A1291" s="523"/>
      <c r="B1291" s="523"/>
      <c r="C1291" s="523"/>
      <c r="D1291" s="523"/>
      <c r="E1291" s="579"/>
      <c r="F1291" s="580"/>
      <c r="G1291" s="524"/>
      <c r="H1291" s="555"/>
      <c r="I1291" s="560"/>
      <c r="J1291" s="523"/>
      <c r="K1291" s="528" t="str">
        <f>IFERROR(VLOOKUP($B1291,'Clients-Live'!$A:$C,3,0),"")</f>
        <v/>
      </c>
      <c r="L1291" s="528">
        <f>IF(E1291="STL",Pricing!$D$38,IF(A1291="",0,IF(A1291&lt;Pricing!$C$25,Pricing!$D$25,VLOOKUP(Disbursements!$F1291,Pricing!$B$29:$D$32,3))))</f>
        <v>0</v>
      </c>
      <c r="M1291" s="528">
        <f>IF(E1291="STL",0,IF(F1291&gt;0,Pricing!$D$21,0))</f>
        <v>0</v>
      </c>
      <c r="N1291" s="529">
        <f>IF(E1291="STL",F1291*Pricing!$D$40,IF(A1291&lt;=Pricing!$C$4,0,IF(AND(A1291&gt;Pricing!$C$4,Disbursements!A1291&lt;=Pricing!$C$5),F1291*Pricing!$E$5,IF(AND(A1291&gt;Pricing!$C$5,Disbursements!A1291&lt;=Pricing!$C$7),VLOOKUP(F1291,Pricing!$D$7:$E$8,2)*Disbursements!F1291,F1291*Pricing!$E$9))))</f>
        <v>0</v>
      </c>
      <c r="O1291" s="528">
        <f>IF(E1291="STL",0,IF($F1291&gt;0,$F1291*Pricing!$D$17,0))</f>
        <v>0</v>
      </c>
      <c r="P1291" s="530" t="str">
        <f t="shared" si="542"/>
        <v/>
      </c>
      <c r="Q1291" s="531" t="str">
        <f>IF($A1291="","",$G1291/VLOOKUP($I1291,Ref!$B$23:$D$29,2,0))</f>
        <v/>
      </c>
      <c r="R1291" s="530" t="str">
        <f t="shared" si="543"/>
        <v/>
      </c>
      <c r="S1291" s="532" t="str">
        <f t="shared" si="537"/>
        <v/>
      </c>
      <c r="T1291" s="531" t="str">
        <f t="shared" si="544"/>
        <v/>
      </c>
      <c r="U1291" s="533">
        <f t="shared" si="545"/>
        <v>0</v>
      </c>
      <c r="V1291" s="531" t="str">
        <f t="shared" si="546"/>
        <v/>
      </c>
      <c r="W1291" s="531" t="str">
        <f t="shared" si="547"/>
        <v/>
      </c>
      <c r="X1291" s="534" t="str">
        <f t="shared" si="548"/>
        <v/>
      </c>
      <c r="Y1291" s="535" t="str">
        <f>IF($A1291="","",IF($I1291="weekly",$A1291+7,EDATE($A1291,VLOOKUP($I1291,Ref!$B$24:$C$29,2,0))))</f>
        <v/>
      </c>
      <c r="Z1291" s="536" t="str">
        <f t="shared" si="549"/>
        <v/>
      </c>
      <c r="AA1291" s="531">
        <f t="shared" si="550"/>
        <v>0</v>
      </c>
      <c r="AB1291" s="535" t="str">
        <f t="shared" si="538"/>
        <v/>
      </c>
      <c r="AC1291" s="537" t="str">
        <f t="shared" si="539"/>
        <v/>
      </c>
      <c r="AD1291" s="538" t="str">
        <f t="shared" ca="1" si="540"/>
        <v/>
      </c>
      <c r="AE1291" s="537">
        <f t="shared" ca="1" si="541"/>
        <v>0</v>
      </c>
      <c r="AF1291" s="539" t="str">
        <f t="shared" ca="1" si="551"/>
        <v/>
      </c>
      <c r="AG1291" s="531" t="str">
        <f t="shared" ca="1" si="552"/>
        <v/>
      </c>
      <c r="AH1291" s="531" t="str">
        <f t="shared" ca="1" si="553"/>
        <v/>
      </c>
      <c r="AI1291" s="531" t="str">
        <f t="shared" ca="1" si="554"/>
        <v/>
      </c>
      <c r="AJ1291" s="531" t="str">
        <f t="shared" si="555"/>
        <v/>
      </c>
      <c r="AK1291" s="540">
        <f>SUMIFS('Live Collections'!$S:$S,'Live Collections'!$D:$D,Disbursements!B1291,'Live Collections'!$G:$G,Disbursements!C1291)</f>
        <v>0</v>
      </c>
      <c r="AL1291" s="540">
        <f>SUMIFS('Live Collections'!$T:$T,'Live Collections'!$D:$D,Disbursements!B1291,'Live Collections'!$G:$G,Disbursements!C1291)</f>
        <v>0</v>
      </c>
      <c r="AM1291" s="541">
        <f t="shared" si="556"/>
        <v>0</v>
      </c>
      <c r="AN1291" s="542" t="str">
        <f t="shared" si="557"/>
        <v/>
      </c>
      <c r="AO1291" s="542" t="str">
        <f t="shared" si="558"/>
        <v/>
      </c>
      <c r="AP1291" s="543" t="str">
        <f t="shared" si="559"/>
        <v/>
      </c>
      <c r="AQ1291" s="544" t="str">
        <f t="shared" si="560"/>
        <v/>
      </c>
      <c r="AR1291" s="545">
        <f t="shared" si="561"/>
        <v>0</v>
      </c>
      <c r="AS1291" s="545">
        <f>IFERROR(CEILING($AR1291*VLOOKUP($I1291,Ref!$B$23:$E$29,4,0),1),0)</f>
        <v>0</v>
      </c>
      <c r="AT1291" s="545" t="str">
        <f>IF(A1291="","",IF(AP1291&lt;=1,"Cleared",IF(AS1291=0,"Clean",VLOOKUP($AS1291,Ref!$G$23:$H$28,2))))</f>
        <v/>
      </c>
      <c r="AU1291" s="546" t="str">
        <f t="shared" si="562"/>
        <v/>
      </c>
    </row>
    <row r="1292" spans="1:47" ht="14.25" hidden="1" customHeight="1" x14ac:dyDescent="0.15">
      <c r="A1292" s="523"/>
      <c r="B1292" s="523"/>
      <c r="C1292" s="523"/>
      <c r="D1292" s="523"/>
      <c r="E1292" s="579"/>
      <c r="F1292" s="580"/>
      <c r="G1292" s="524"/>
      <c r="H1292" s="555"/>
      <c r="I1292" s="560"/>
      <c r="J1292" s="523"/>
      <c r="K1292" s="528" t="str">
        <f>IFERROR(VLOOKUP($B1292,'Clients-Live'!$A:$C,3,0),"")</f>
        <v/>
      </c>
      <c r="L1292" s="528">
        <f>IF(E1292="STL",Pricing!$D$38,IF(A1292="",0,IF(A1292&lt;Pricing!$C$25,Pricing!$D$25,VLOOKUP(Disbursements!$F1292,Pricing!$B$29:$D$32,3))))</f>
        <v>0</v>
      </c>
      <c r="M1292" s="528">
        <f>IF(E1292="STL",0,IF(F1292&gt;0,Pricing!$D$21,0))</f>
        <v>0</v>
      </c>
      <c r="N1292" s="529">
        <f>IF(E1292="STL",F1292*Pricing!$D$40,IF(A1292&lt;=Pricing!$C$4,0,IF(AND(A1292&gt;Pricing!$C$4,Disbursements!A1292&lt;=Pricing!$C$5),F1292*Pricing!$E$5,IF(AND(A1292&gt;Pricing!$C$5,Disbursements!A1292&lt;=Pricing!$C$7),VLOOKUP(F1292,Pricing!$D$7:$E$8,2)*Disbursements!F1292,F1292*Pricing!$E$9))))</f>
        <v>0</v>
      </c>
      <c r="O1292" s="528">
        <f>IF(E1292="STL",0,IF($F1292&gt;0,$F1292*Pricing!$D$17,0))</f>
        <v>0</v>
      </c>
      <c r="P1292" s="530" t="str">
        <f t="shared" si="542"/>
        <v/>
      </c>
      <c r="Q1292" s="531" t="str">
        <f>IF($A1292="","",$G1292/VLOOKUP($I1292,Ref!$B$23:$D$29,2,0))</f>
        <v/>
      </c>
      <c r="R1292" s="530" t="str">
        <f t="shared" si="543"/>
        <v/>
      </c>
      <c r="S1292" s="532" t="str">
        <f t="shared" si="537"/>
        <v/>
      </c>
      <c r="T1292" s="531" t="str">
        <f t="shared" si="544"/>
        <v/>
      </c>
      <c r="U1292" s="533">
        <f t="shared" si="545"/>
        <v>0</v>
      </c>
      <c r="V1292" s="531" t="str">
        <f t="shared" si="546"/>
        <v/>
      </c>
      <c r="W1292" s="531" t="str">
        <f t="shared" si="547"/>
        <v/>
      </c>
      <c r="X1292" s="534" t="str">
        <f t="shared" si="548"/>
        <v/>
      </c>
      <c r="Y1292" s="535" t="str">
        <f>IF($A1292="","",IF($I1292="weekly",$A1292+7,EDATE($A1292,VLOOKUP($I1292,Ref!$B$24:$C$29,2,0))))</f>
        <v/>
      </c>
      <c r="Z1292" s="536" t="str">
        <f t="shared" si="549"/>
        <v/>
      </c>
      <c r="AA1292" s="531">
        <f t="shared" si="550"/>
        <v>0</v>
      </c>
      <c r="AB1292" s="535" t="str">
        <f t="shared" si="538"/>
        <v/>
      </c>
      <c r="AC1292" s="537" t="str">
        <f t="shared" si="539"/>
        <v/>
      </c>
      <c r="AD1292" s="538" t="str">
        <f t="shared" ca="1" si="540"/>
        <v/>
      </c>
      <c r="AE1292" s="537">
        <f t="shared" ca="1" si="541"/>
        <v>0</v>
      </c>
      <c r="AF1292" s="539" t="str">
        <f t="shared" ca="1" si="551"/>
        <v/>
      </c>
      <c r="AG1292" s="531" t="str">
        <f t="shared" ca="1" si="552"/>
        <v/>
      </c>
      <c r="AH1292" s="531" t="str">
        <f t="shared" ca="1" si="553"/>
        <v/>
      </c>
      <c r="AI1292" s="531" t="str">
        <f t="shared" ca="1" si="554"/>
        <v/>
      </c>
      <c r="AJ1292" s="531" t="str">
        <f t="shared" si="555"/>
        <v/>
      </c>
      <c r="AK1292" s="540">
        <f>SUMIFS('Live Collections'!$S:$S,'Live Collections'!$D:$D,Disbursements!B1292,'Live Collections'!$G:$G,Disbursements!C1292)</f>
        <v>0</v>
      </c>
      <c r="AL1292" s="540">
        <f>SUMIFS('Live Collections'!$T:$T,'Live Collections'!$D:$D,Disbursements!B1292,'Live Collections'!$G:$G,Disbursements!C1292)</f>
        <v>0</v>
      </c>
      <c r="AM1292" s="541">
        <f t="shared" si="556"/>
        <v>0</v>
      </c>
      <c r="AN1292" s="542" t="str">
        <f t="shared" si="557"/>
        <v/>
      </c>
      <c r="AO1292" s="542" t="str">
        <f t="shared" si="558"/>
        <v/>
      </c>
      <c r="AP1292" s="543" t="str">
        <f t="shared" si="559"/>
        <v/>
      </c>
      <c r="AQ1292" s="544" t="str">
        <f t="shared" si="560"/>
        <v/>
      </c>
      <c r="AR1292" s="545">
        <f t="shared" si="561"/>
        <v>0</v>
      </c>
      <c r="AS1292" s="545">
        <f>IFERROR(CEILING($AR1292*VLOOKUP($I1292,Ref!$B$23:$E$29,4,0),1),0)</f>
        <v>0</v>
      </c>
      <c r="AT1292" s="545" t="str">
        <f>IF(A1292="","",IF(AP1292&lt;=1,"Cleared",IF(AS1292=0,"Clean",VLOOKUP($AS1292,Ref!$G$23:$H$28,2))))</f>
        <v/>
      </c>
      <c r="AU1292" s="546" t="str">
        <f t="shared" si="562"/>
        <v/>
      </c>
    </row>
    <row r="1293" spans="1:47" ht="14.25" hidden="1" customHeight="1" x14ac:dyDescent="0.15">
      <c r="A1293" s="523"/>
      <c r="B1293" s="523"/>
      <c r="C1293" s="523"/>
      <c r="D1293" s="523"/>
      <c r="E1293" s="579"/>
      <c r="F1293" s="580"/>
      <c r="G1293" s="524"/>
      <c r="H1293" s="555"/>
      <c r="I1293" s="560"/>
      <c r="J1293" s="523"/>
      <c r="K1293" s="528" t="str">
        <f>IFERROR(VLOOKUP($B1293,'Clients-Live'!$A:$C,3,0),"")</f>
        <v/>
      </c>
      <c r="L1293" s="528">
        <f>IF(E1293="STL",Pricing!$D$38,IF(A1293="",0,IF(A1293&lt;Pricing!$C$25,Pricing!$D$25,VLOOKUP(Disbursements!$F1293,Pricing!$B$29:$D$32,3))))</f>
        <v>0</v>
      </c>
      <c r="M1293" s="528">
        <f>IF(E1293="STL",0,IF(F1293&gt;0,Pricing!$D$21,0))</f>
        <v>0</v>
      </c>
      <c r="N1293" s="529">
        <f>IF(E1293="STL",F1293*Pricing!$D$40,IF(A1293&lt;=Pricing!$C$4,0,IF(AND(A1293&gt;Pricing!$C$4,Disbursements!A1293&lt;=Pricing!$C$5),F1293*Pricing!$E$5,IF(AND(A1293&gt;Pricing!$C$5,Disbursements!A1293&lt;=Pricing!$C$7),VLOOKUP(F1293,Pricing!$D$7:$E$8,2)*Disbursements!F1293,F1293*Pricing!$E$9))))</f>
        <v>0</v>
      </c>
      <c r="O1293" s="528">
        <f>IF(E1293="STL",0,IF($F1293&gt;0,$F1293*Pricing!$D$17,0))</f>
        <v>0</v>
      </c>
      <c r="P1293" s="530" t="str">
        <f t="shared" si="542"/>
        <v/>
      </c>
      <c r="Q1293" s="531" t="str">
        <f>IF($A1293="","",$G1293/VLOOKUP($I1293,Ref!$B$23:$D$29,2,0))</f>
        <v/>
      </c>
      <c r="R1293" s="530" t="str">
        <f t="shared" si="543"/>
        <v/>
      </c>
      <c r="S1293" s="532" t="str">
        <f t="shared" si="537"/>
        <v/>
      </c>
      <c r="T1293" s="531" t="str">
        <f t="shared" si="544"/>
        <v/>
      </c>
      <c r="U1293" s="533">
        <f t="shared" si="545"/>
        <v>0</v>
      </c>
      <c r="V1293" s="531" t="str">
        <f t="shared" si="546"/>
        <v/>
      </c>
      <c r="W1293" s="531" t="str">
        <f t="shared" si="547"/>
        <v/>
      </c>
      <c r="X1293" s="534" t="str">
        <f t="shared" si="548"/>
        <v/>
      </c>
      <c r="Y1293" s="535" t="str">
        <f>IF($A1293="","",IF($I1293="weekly",$A1293+7,EDATE($A1293,VLOOKUP($I1293,Ref!$B$24:$C$29,2,0))))</f>
        <v/>
      </c>
      <c r="Z1293" s="536" t="str">
        <f t="shared" si="549"/>
        <v/>
      </c>
      <c r="AA1293" s="531">
        <f t="shared" si="550"/>
        <v>0</v>
      </c>
      <c r="AB1293" s="535" t="str">
        <f t="shared" si="538"/>
        <v/>
      </c>
      <c r="AC1293" s="537" t="str">
        <f t="shared" si="539"/>
        <v/>
      </c>
      <c r="AD1293" s="538" t="str">
        <f t="shared" ca="1" si="540"/>
        <v/>
      </c>
      <c r="AE1293" s="537">
        <f t="shared" ca="1" si="541"/>
        <v>0</v>
      </c>
      <c r="AF1293" s="539" t="str">
        <f t="shared" ca="1" si="551"/>
        <v/>
      </c>
      <c r="AG1293" s="531" t="str">
        <f t="shared" ca="1" si="552"/>
        <v/>
      </c>
      <c r="AH1293" s="531" t="str">
        <f t="shared" ca="1" si="553"/>
        <v/>
      </c>
      <c r="AI1293" s="531" t="str">
        <f t="shared" ca="1" si="554"/>
        <v/>
      </c>
      <c r="AJ1293" s="531" t="str">
        <f t="shared" si="555"/>
        <v/>
      </c>
      <c r="AK1293" s="540">
        <f>SUMIFS('Live Collections'!$S:$S,'Live Collections'!$D:$D,Disbursements!B1293,'Live Collections'!$G:$G,Disbursements!C1293)</f>
        <v>0</v>
      </c>
      <c r="AL1293" s="540">
        <f>SUMIFS('Live Collections'!$T:$T,'Live Collections'!$D:$D,Disbursements!B1293,'Live Collections'!$G:$G,Disbursements!C1293)</f>
        <v>0</v>
      </c>
      <c r="AM1293" s="541">
        <f t="shared" si="556"/>
        <v>0</v>
      </c>
      <c r="AN1293" s="542" t="str">
        <f t="shared" si="557"/>
        <v/>
      </c>
      <c r="AO1293" s="542" t="str">
        <f t="shared" si="558"/>
        <v/>
      </c>
      <c r="AP1293" s="543" t="str">
        <f t="shared" si="559"/>
        <v/>
      </c>
      <c r="AQ1293" s="544" t="str">
        <f t="shared" si="560"/>
        <v/>
      </c>
      <c r="AR1293" s="545">
        <f t="shared" si="561"/>
        <v>0</v>
      </c>
      <c r="AS1293" s="545">
        <f>IFERROR(CEILING($AR1293*VLOOKUP($I1293,Ref!$B$23:$E$29,4,0),1),0)</f>
        <v>0</v>
      </c>
      <c r="AT1293" s="545" t="str">
        <f>IF(A1293="","",IF(AP1293&lt;=1,"Cleared",IF(AS1293=0,"Clean",VLOOKUP($AS1293,Ref!$G$23:$H$28,2))))</f>
        <v/>
      </c>
      <c r="AU1293" s="546" t="str">
        <f t="shared" si="562"/>
        <v/>
      </c>
    </row>
    <row r="1294" spans="1:47" ht="14.25" hidden="1" customHeight="1" x14ac:dyDescent="0.15">
      <c r="A1294" s="523"/>
      <c r="B1294" s="523"/>
      <c r="C1294" s="523"/>
      <c r="D1294" s="523"/>
      <c r="E1294" s="579"/>
      <c r="F1294" s="580"/>
      <c r="G1294" s="524"/>
      <c r="H1294" s="555"/>
      <c r="I1294" s="560"/>
      <c r="J1294" s="523"/>
      <c r="K1294" s="528" t="str">
        <f>IFERROR(VLOOKUP($B1294,'Clients-Live'!$A:$C,3,0),"")</f>
        <v/>
      </c>
      <c r="L1294" s="528">
        <f>IF(E1294="STL",Pricing!$D$38,IF(A1294="",0,IF(A1294&lt;Pricing!$C$25,Pricing!$D$25,VLOOKUP(Disbursements!$F1294,Pricing!$B$29:$D$32,3))))</f>
        <v>0</v>
      </c>
      <c r="M1294" s="528">
        <f>IF(E1294="STL",0,IF(F1294&gt;0,Pricing!$D$21,0))</f>
        <v>0</v>
      </c>
      <c r="N1294" s="529">
        <f>IF(E1294="STL",F1294*Pricing!$D$40,IF(A1294&lt;=Pricing!$C$4,0,IF(AND(A1294&gt;Pricing!$C$4,Disbursements!A1294&lt;=Pricing!$C$5),F1294*Pricing!$E$5,IF(AND(A1294&gt;Pricing!$C$5,Disbursements!A1294&lt;=Pricing!$C$7),VLOOKUP(F1294,Pricing!$D$7:$E$8,2)*Disbursements!F1294,F1294*Pricing!$E$9))))</f>
        <v>0</v>
      </c>
      <c r="O1294" s="528">
        <f>IF(E1294="STL",0,IF($F1294&gt;0,$F1294*Pricing!$D$17,0))</f>
        <v>0</v>
      </c>
      <c r="P1294" s="530" t="str">
        <f t="shared" si="542"/>
        <v/>
      </c>
      <c r="Q1294" s="531" t="str">
        <f>IF($A1294="","",$G1294/VLOOKUP($I1294,Ref!$B$23:$D$29,2,0))</f>
        <v/>
      </c>
      <c r="R1294" s="530" t="str">
        <f t="shared" si="543"/>
        <v/>
      </c>
      <c r="S1294" s="532" t="str">
        <f t="shared" si="537"/>
        <v/>
      </c>
      <c r="T1294" s="531" t="str">
        <f t="shared" si="544"/>
        <v/>
      </c>
      <c r="U1294" s="533">
        <f t="shared" si="545"/>
        <v>0</v>
      </c>
      <c r="V1294" s="531" t="str">
        <f t="shared" si="546"/>
        <v/>
      </c>
      <c r="W1294" s="531" t="str">
        <f t="shared" si="547"/>
        <v/>
      </c>
      <c r="X1294" s="534" t="str">
        <f t="shared" si="548"/>
        <v/>
      </c>
      <c r="Y1294" s="535" t="str">
        <f>IF($A1294="","",IF($I1294="weekly",$A1294+7,EDATE($A1294,VLOOKUP($I1294,Ref!$B$24:$C$29,2,0))))</f>
        <v/>
      </c>
      <c r="Z1294" s="536" t="str">
        <f t="shared" si="549"/>
        <v/>
      </c>
      <c r="AA1294" s="531">
        <f t="shared" si="550"/>
        <v>0</v>
      </c>
      <c r="AB1294" s="535" t="str">
        <f t="shared" si="538"/>
        <v/>
      </c>
      <c r="AC1294" s="537" t="str">
        <f t="shared" si="539"/>
        <v/>
      </c>
      <c r="AD1294" s="538" t="str">
        <f t="shared" ca="1" si="540"/>
        <v/>
      </c>
      <c r="AE1294" s="537">
        <f t="shared" ca="1" si="541"/>
        <v>0</v>
      </c>
      <c r="AF1294" s="539" t="str">
        <f t="shared" ca="1" si="551"/>
        <v/>
      </c>
      <c r="AG1294" s="531" t="str">
        <f t="shared" ca="1" si="552"/>
        <v/>
      </c>
      <c r="AH1294" s="531" t="str">
        <f t="shared" ca="1" si="553"/>
        <v/>
      </c>
      <c r="AI1294" s="531" t="str">
        <f t="shared" ca="1" si="554"/>
        <v/>
      </c>
      <c r="AJ1294" s="531" t="str">
        <f t="shared" si="555"/>
        <v/>
      </c>
      <c r="AK1294" s="540">
        <f>SUMIFS('Live Collections'!$S:$S,'Live Collections'!$D:$D,Disbursements!B1294,'Live Collections'!$G:$G,Disbursements!C1294)</f>
        <v>0</v>
      </c>
      <c r="AL1294" s="540">
        <f>SUMIFS('Live Collections'!$T:$T,'Live Collections'!$D:$D,Disbursements!B1294,'Live Collections'!$G:$G,Disbursements!C1294)</f>
        <v>0</v>
      </c>
      <c r="AM1294" s="541">
        <f t="shared" si="556"/>
        <v>0</v>
      </c>
      <c r="AN1294" s="542" t="str">
        <f t="shared" si="557"/>
        <v/>
      </c>
      <c r="AO1294" s="542" t="str">
        <f t="shared" si="558"/>
        <v/>
      </c>
      <c r="AP1294" s="543" t="str">
        <f t="shared" si="559"/>
        <v/>
      </c>
      <c r="AQ1294" s="544" t="str">
        <f t="shared" si="560"/>
        <v/>
      </c>
      <c r="AR1294" s="545">
        <f t="shared" si="561"/>
        <v>0</v>
      </c>
      <c r="AS1294" s="545">
        <f>IFERROR(CEILING($AR1294*VLOOKUP($I1294,Ref!$B$23:$E$29,4,0),1),0)</f>
        <v>0</v>
      </c>
      <c r="AT1294" s="545" t="str">
        <f>IF(A1294="","",IF(AP1294&lt;=1,"Cleared",IF(AS1294=0,"Clean",VLOOKUP($AS1294,Ref!$G$23:$H$28,2))))</f>
        <v/>
      </c>
      <c r="AU1294" s="546" t="str">
        <f t="shared" si="562"/>
        <v/>
      </c>
    </row>
    <row r="1295" spans="1:47" ht="14.25" hidden="1" customHeight="1" x14ac:dyDescent="0.15">
      <c r="A1295" s="523"/>
      <c r="B1295" s="523"/>
      <c r="C1295" s="523"/>
      <c r="D1295" s="523"/>
      <c r="E1295" s="579"/>
      <c r="F1295" s="580"/>
      <c r="G1295" s="524"/>
      <c r="H1295" s="555"/>
      <c r="I1295" s="560"/>
      <c r="J1295" s="523"/>
      <c r="K1295" s="528" t="str">
        <f>IFERROR(VLOOKUP($B1295,'Clients-Live'!$A:$C,3,0),"")</f>
        <v/>
      </c>
      <c r="L1295" s="528">
        <f>IF(E1295="STL",Pricing!$D$38,IF(A1295="",0,IF(A1295&lt;Pricing!$C$25,Pricing!$D$25,VLOOKUP(Disbursements!$F1295,Pricing!$B$29:$D$32,3))))</f>
        <v>0</v>
      </c>
      <c r="M1295" s="528">
        <f>IF(E1295="STL",0,IF(F1295&gt;0,Pricing!$D$21,0))</f>
        <v>0</v>
      </c>
      <c r="N1295" s="529">
        <f>IF(E1295="STL",F1295*Pricing!$D$40,IF(A1295&lt;=Pricing!$C$4,0,IF(AND(A1295&gt;Pricing!$C$4,Disbursements!A1295&lt;=Pricing!$C$5),F1295*Pricing!$E$5,IF(AND(A1295&gt;Pricing!$C$5,Disbursements!A1295&lt;=Pricing!$C$7),VLOOKUP(F1295,Pricing!$D$7:$E$8,2)*Disbursements!F1295,F1295*Pricing!$E$9))))</f>
        <v>0</v>
      </c>
      <c r="O1295" s="528">
        <f>IF(E1295="STL",0,IF($F1295&gt;0,$F1295*Pricing!$D$17,0))</f>
        <v>0</v>
      </c>
      <c r="P1295" s="530" t="str">
        <f t="shared" si="542"/>
        <v/>
      </c>
      <c r="Q1295" s="531" t="str">
        <f>IF($A1295="","",$G1295/VLOOKUP($I1295,Ref!$B$23:$D$29,2,0))</f>
        <v/>
      </c>
      <c r="R1295" s="530" t="str">
        <f t="shared" si="543"/>
        <v/>
      </c>
      <c r="S1295" s="532" t="str">
        <f t="shared" si="537"/>
        <v/>
      </c>
      <c r="T1295" s="531" t="str">
        <f t="shared" si="544"/>
        <v/>
      </c>
      <c r="U1295" s="533">
        <f t="shared" si="545"/>
        <v>0</v>
      </c>
      <c r="V1295" s="531" t="str">
        <f t="shared" si="546"/>
        <v/>
      </c>
      <c r="W1295" s="531" t="str">
        <f t="shared" si="547"/>
        <v/>
      </c>
      <c r="X1295" s="534" t="str">
        <f t="shared" si="548"/>
        <v/>
      </c>
      <c r="Y1295" s="535" t="str">
        <f>IF($A1295="","",IF($I1295="weekly",$A1295+7,EDATE($A1295,VLOOKUP($I1295,Ref!$B$24:$C$29,2,0))))</f>
        <v/>
      </c>
      <c r="Z1295" s="536" t="str">
        <f t="shared" si="549"/>
        <v/>
      </c>
      <c r="AA1295" s="531">
        <f t="shared" si="550"/>
        <v>0</v>
      </c>
      <c r="AB1295" s="535" t="str">
        <f t="shared" si="538"/>
        <v/>
      </c>
      <c r="AC1295" s="537" t="str">
        <f t="shared" si="539"/>
        <v/>
      </c>
      <c r="AD1295" s="538" t="str">
        <f t="shared" ca="1" si="540"/>
        <v/>
      </c>
      <c r="AE1295" s="537">
        <f t="shared" ca="1" si="541"/>
        <v>0</v>
      </c>
      <c r="AF1295" s="539" t="str">
        <f t="shared" ca="1" si="551"/>
        <v/>
      </c>
      <c r="AG1295" s="531" t="str">
        <f t="shared" ca="1" si="552"/>
        <v/>
      </c>
      <c r="AH1295" s="531" t="str">
        <f t="shared" ca="1" si="553"/>
        <v/>
      </c>
      <c r="AI1295" s="531" t="str">
        <f t="shared" ca="1" si="554"/>
        <v/>
      </c>
      <c r="AJ1295" s="531" t="str">
        <f t="shared" si="555"/>
        <v/>
      </c>
      <c r="AK1295" s="540">
        <f>SUMIFS('Live Collections'!$S:$S,'Live Collections'!$D:$D,Disbursements!B1295,'Live Collections'!$G:$G,Disbursements!C1295)</f>
        <v>0</v>
      </c>
      <c r="AL1295" s="540">
        <f>SUMIFS('Live Collections'!$T:$T,'Live Collections'!$D:$D,Disbursements!B1295,'Live Collections'!$G:$G,Disbursements!C1295)</f>
        <v>0</v>
      </c>
      <c r="AM1295" s="541">
        <f t="shared" si="556"/>
        <v>0</v>
      </c>
      <c r="AN1295" s="542" t="str">
        <f t="shared" si="557"/>
        <v/>
      </c>
      <c r="AO1295" s="542" t="str">
        <f t="shared" si="558"/>
        <v/>
      </c>
      <c r="AP1295" s="543" t="str">
        <f t="shared" si="559"/>
        <v/>
      </c>
      <c r="AQ1295" s="544" t="str">
        <f t="shared" si="560"/>
        <v/>
      </c>
      <c r="AR1295" s="545">
        <f t="shared" si="561"/>
        <v>0</v>
      </c>
      <c r="AS1295" s="545">
        <f>IFERROR(CEILING($AR1295*VLOOKUP($I1295,Ref!$B$23:$E$29,4,0),1),0)</f>
        <v>0</v>
      </c>
      <c r="AT1295" s="545" t="str">
        <f>IF(A1295="","",IF(AP1295&lt;=1,"Cleared",IF(AS1295=0,"Clean",VLOOKUP($AS1295,Ref!$G$23:$H$28,2))))</f>
        <v/>
      </c>
      <c r="AU1295" s="546" t="str">
        <f t="shared" si="562"/>
        <v/>
      </c>
    </row>
    <row r="1296" spans="1:47" ht="14.25" hidden="1" customHeight="1" x14ac:dyDescent="0.15">
      <c r="A1296" s="523"/>
      <c r="B1296" s="523"/>
      <c r="C1296" s="523"/>
      <c r="D1296" s="523"/>
      <c r="E1296" s="579"/>
      <c r="F1296" s="580"/>
      <c r="G1296" s="524"/>
      <c r="H1296" s="555"/>
      <c r="I1296" s="560"/>
      <c r="J1296" s="523"/>
      <c r="K1296" s="528" t="str">
        <f>IFERROR(VLOOKUP($B1296,'Clients-Live'!$A:$C,3,0),"")</f>
        <v/>
      </c>
      <c r="L1296" s="528">
        <f>IF(E1296="STL",Pricing!$D$38,IF(A1296="",0,IF(A1296&lt;Pricing!$C$25,Pricing!$D$25,VLOOKUP(Disbursements!$F1296,Pricing!$B$29:$D$32,3))))</f>
        <v>0</v>
      </c>
      <c r="M1296" s="528">
        <f>IF(E1296="STL",0,IF(F1296&gt;0,Pricing!$D$21,0))</f>
        <v>0</v>
      </c>
      <c r="N1296" s="529">
        <f>IF(E1296="STL",F1296*Pricing!$D$40,IF(A1296&lt;=Pricing!$C$4,0,IF(AND(A1296&gt;Pricing!$C$4,Disbursements!A1296&lt;=Pricing!$C$5),F1296*Pricing!$E$5,IF(AND(A1296&gt;Pricing!$C$5,Disbursements!A1296&lt;=Pricing!$C$7),VLOOKUP(F1296,Pricing!$D$7:$E$8,2)*Disbursements!F1296,F1296*Pricing!$E$9))))</f>
        <v>0</v>
      </c>
      <c r="O1296" s="528">
        <f>IF(E1296="STL",0,IF($F1296&gt;0,$F1296*Pricing!$D$17,0))</f>
        <v>0</v>
      </c>
      <c r="P1296" s="530" t="str">
        <f t="shared" si="542"/>
        <v/>
      </c>
      <c r="Q1296" s="531" t="str">
        <f>IF($A1296="","",$G1296/VLOOKUP($I1296,Ref!$B$23:$D$29,2,0))</f>
        <v/>
      </c>
      <c r="R1296" s="530" t="str">
        <f t="shared" si="543"/>
        <v/>
      </c>
      <c r="S1296" s="532" t="str">
        <f t="shared" si="537"/>
        <v/>
      </c>
      <c r="T1296" s="531" t="str">
        <f t="shared" si="544"/>
        <v/>
      </c>
      <c r="U1296" s="533">
        <f t="shared" si="545"/>
        <v>0</v>
      </c>
      <c r="V1296" s="531" t="str">
        <f t="shared" si="546"/>
        <v/>
      </c>
      <c r="W1296" s="531" t="str">
        <f t="shared" si="547"/>
        <v/>
      </c>
      <c r="X1296" s="534" t="str">
        <f t="shared" si="548"/>
        <v/>
      </c>
      <c r="Y1296" s="535" t="str">
        <f>IF($A1296="","",IF($I1296="weekly",$A1296+7,EDATE($A1296,VLOOKUP($I1296,Ref!$B$24:$C$29,2,0))))</f>
        <v/>
      </c>
      <c r="Z1296" s="536" t="str">
        <f t="shared" si="549"/>
        <v/>
      </c>
      <c r="AA1296" s="531">
        <f t="shared" si="550"/>
        <v>0</v>
      </c>
      <c r="AB1296" s="535" t="str">
        <f t="shared" si="538"/>
        <v/>
      </c>
      <c r="AC1296" s="537" t="str">
        <f t="shared" si="539"/>
        <v/>
      </c>
      <c r="AD1296" s="538" t="str">
        <f t="shared" ca="1" si="540"/>
        <v/>
      </c>
      <c r="AE1296" s="537">
        <f t="shared" ca="1" si="541"/>
        <v>0</v>
      </c>
      <c r="AF1296" s="539" t="str">
        <f t="shared" ca="1" si="551"/>
        <v/>
      </c>
      <c r="AG1296" s="531" t="str">
        <f t="shared" ca="1" si="552"/>
        <v/>
      </c>
      <c r="AH1296" s="531" t="str">
        <f t="shared" ca="1" si="553"/>
        <v/>
      </c>
      <c r="AI1296" s="531" t="str">
        <f t="shared" ca="1" si="554"/>
        <v/>
      </c>
      <c r="AJ1296" s="531" t="str">
        <f t="shared" si="555"/>
        <v/>
      </c>
      <c r="AK1296" s="540">
        <f>SUMIFS('Live Collections'!$S:$S,'Live Collections'!$D:$D,Disbursements!B1296,'Live Collections'!$G:$G,Disbursements!C1296)</f>
        <v>0</v>
      </c>
      <c r="AL1296" s="540">
        <f>SUMIFS('Live Collections'!$T:$T,'Live Collections'!$D:$D,Disbursements!B1296,'Live Collections'!$G:$G,Disbursements!C1296)</f>
        <v>0</v>
      </c>
      <c r="AM1296" s="541">
        <f t="shared" si="556"/>
        <v>0</v>
      </c>
      <c r="AN1296" s="542" t="str">
        <f t="shared" si="557"/>
        <v/>
      </c>
      <c r="AO1296" s="542" t="str">
        <f t="shared" si="558"/>
        <v/>
      </c>
      <c r="AP1296" s="543" t="str">
        <f t="shared" si="559"/>
        <v/>
      </c>
      <c r="AQ1296" s="544" t="str">
        <f t="shared" si="560"/>
        <v/>
      </c>
      <c r="AR1296" s="545">
        <f t="shared" si="561"/>
        <v>0</v>
      </c>
      <c r="AS1296" s="545">
        <f>IFERROR(CEILING($AR1296*VLOOKUP($I1296,Ref!$B$23:$E$29,4,0),1),0)</f>
        <v>0</v>
      </c>
      <c r="AT1296" s="545" t="str">
        <f>IF(A1296="","",IF(AP1296&lt;=1,"Cleared",IF(AS1296=0,"Clean",VLOOKUP($AS1296,Ref!$G$23:$H$28,2))))</f>
        <v/>
      </c>
      <c r="AU1296" s="546" t="str">
        <f t="shared" si="562"/>
        <v/>
      </c>
    </row>
    <row r="1297" spans="1:47" ht="14.25" hidden="1" customHeight="1" x14ac:dyDescent="0.15">
      <c r="A1297" s="523"/>
      <c r="B1297" s="523"/>
      <c r="C1297" s="523"/>
      <c r="D1297" s="523"/>
      <c r="E1297" s="579"/>
      <c r="F1297" s="580"/>
      <c r="G1297" s="524"/>
      <c r="H1297" s="555"/>
      <c r="I1297" s="560"/>
      <c r="J1297" s="523"/>
      <c r="K1297" s="528" t="str">
        <f>IFERROR(VLOOKUP($B1297,'Clients-Live'!$A:$C,3,0),"")</f>
        <v/>
      </c>
      <c r="L1297" s="528">
        <f>IF(E1297="STL",Pricing!$D$38,IF(A1297="",0,IF(A1297&lt;Pricing!$C$25,Pricing!$D$25,VLOOKUP(Disbursements!$F1297,Pricing!$B$29:$D$32,3))))</f>
        <v>0</v>
      </c>
      <c r="M1297" s="528">
        <f>IF(E1297="STL",0,IF(F1297&gt;0,Pricing!$D$21,0))</f>
        <v>0</v>
      </c>
      <c r="N1297" s="529">
        <f>IF(E1297="STL",F1297*Pricing!$D$40,IF(A1297&lt;=Pricing!$C$4,0,IF(AND(A1297&gt;Pricing!$C$4,Disbursements!A1297&lt;=Pricing!$C$5),F1297*Pricing!$E$5,IF(AND(A1297&gt;Pricing!$C$5,Disbursements!A1297&lt;=Pricing!$C$7),VLOOKUP(F1297,Pricing!$D$7:$E$8,2)*Disbursements!F1297,F1297*Pricing!$E$9))))</f>
        <v>0</v>
      </c>
      <c r="O1297" s="528">
        <f>IF(E1297="STL",0,IF($F1297&gt;0,$F1297*Pricing!$D$17,0))</f>
        <v>0</v>
      </c>
      <c r="P1297" s="530" t="str">
        <f t="shared" si="542"/>
        <v/>
      </c>
      <c r="Q1297" s="531" t="str">
        <f>IF($A1297="","",$G1297/VLOOKUP($I1297,Ref!$B$23:$D$29,2,0))</f>
        <v/>
      </c>
      <c r="R1297" s="530" t="str">
        <f t="shared" si="543"/>
        <v/>
      </c>
      <c r="S1297" s="532" t="str">
        <f t="shared" si="537"/>
        <v/>
      </c>
      <c r="T1297" s="531" t="str">
        <f t="shared" si="544"/>
        <v/>
      </c>
      <c r="U1297" s="533">
        <f t="shared" si="545"/>
        <v>0</v>
      </c>
      <c r="V1297" s="531" t="str">
        <f t="shared" si="546"/>
        <v/>
      </c>
      <c r="W1297" s="531" t="str">
        <f t="shared" si="547"/>
        <v/>
      </c>
      <c r="X1297" s="534" t="str">
        <f t="shared" si="548"/>
        <v/>
      </c>
      <c r="Y1297" s="535" t="str">
        <f>IF($A1297="","",IF($I1297="weekly",$A1297+7,EDATE($A1297,VLOOKUP($I1297,Ref!$B$24:$C$29,2,0))))</f>
        <v/>
      </c>
      <c r="Z1297" s="536" t="str">
        <f t="shared" si="549"/>
        <v/>
      </c>
      <c r="AA1297" s="531">
        <f t="shared" si="550"/>
        <v>0</v>
      </c>
      <c r="AB1297" s="535" t="str">
        <f t="shared" si="538"/>
        <v/>
      </c>
      <c r="AC1297" s="537" t="str">
        <f t="shared" si="539"/>
        <v/>
      </c>
      <c r="AD1297" s="538" t="str">
        <f t="shared" ca="1" si="540"/>
        <v/>
      </c>
      <c r="AE1297" s="537">
        <f t="shared" ca="1" si="541"/>
        <v>0</v>
      </c>
      <c r="AF1297" s="539" t="str">
        <f t="shared" ca="1" si="551"/>
        <v/>
      </c>
      <c r="AG1297" s="531" t="str">
        <f t="shared" ca="1" si="552"/>
        <v/>
      </c>
      <c r="AH1297" s="531" t="str">
        <f t="shared" ca="1" si="553"/>
        <v/>
      </c>
      <c r="AI1297" s="531" t="str">
        <f t="shared" ca="1" si="554"/>
        <v/>
      </c>
      <c r="AJ1297" s="531" t="str">
        <f t="shared" si="555"/>
        <v/>
      </c>
      <c r="AK1297" s="540">
        <f>SUMIFS('Live Collections'!$S:$S,'Live Collections'!$D:$D,Disbursements!B1297,'Live Collections'!$G:$G,Disbursements!C1297)</f>
        <v>0</v>
      </c>
      <c r="AL1297" s="540">
        <f>SUMIFS('Live Collections'!$T:$T,'Live Collections'!$D:$D,Disbursements!B1297,'Live Collections'!$G:$G,Disbursements!C1297)</f>
        <v>0</v>
      </c>
      <c r="AM1297" s="541">
        <f t="shared" si="556"/>
        <v>0</v>
      </c>
      <c r="AN1297" s="542" t="str">
        <f t="shared" si="557"/>
        <v/>
      </c>
      <c r="AO1297" s="542" t="str">
        <f t="shared" si="558"/>
        <v/>
      </c>
      <c r="AP1297" s="543" t="str">
        <f t="shared" si="559"/>
        <v/>
      </c>
      <c r="AQ1297" s="544" t="str">
        <f t="shared" si="560"/>
        <v/>
      </c>
      <c r="AR1297" s="545">
        <f t="shared" si="561"/>
        <v>0</v>
      </c>
      <c r="AS1297" s="545">
        <f>IFERROR(CEILING($AR1297*VLOOKUP($I1297,Ref!$B$23:$E$29,4,0),1),0)</f>
        <v>0</v>
      </c>
      <c r="AT1297" s="545" t="str">
        <f>IF(A1297="","",IF(AP1297&lt;=1,"Cleared",IF(AS1297=0,"Clean",VLOOKUP($AS1297,Ref!$G$23:$H$28,2))))</f>
        <v/>
      </c>
      <c r="AU1297" s="546" t="str">
        <f t="shared" si="562"/>
        <v/>
      </c>
    </row>
    <row r="1298" spans="1:47" ht="14.25" hidden="1" customHeight="1" x14ac:dyDescent="0.15">
      <c r="A1298" s="523"/>
      <c r="B1298" s="523"/>
      <c r="C1298" s="523"/>
      <c r="D1298" s="523"/>
      <c r="E1298" s="579"/>
      <c r="F1298" s="580"/>
      <c r="G1298" s="524"/>
      <c r="H1298" s="555"/>
      <c r="I1298" s="560"/>
      <c r="J1298" s="523"/>
      <c r="K1298" s="528" t="str">
        <f>IFERROR(VLOOKUP($B1298,'Clients-Live'!$A:$C,3,0),"")</f>
        <v/>
      </c>
      <c r="L1298" s="528">
        <f>IF(E1298="STL",Pricing!$D$38,IF(A1298="",0,IF(A1298&lt;Pricing!$C$25,Pricing!$D$25,VLOOKUP(Disbursements!$F1298,Pricing!$B$29:$D$32,3))))</f>
        <v>0</v>
      </c>
      <c r="M1298" s="528">
        <f>IF(E1298="STL",0,IF(F1298&gt;0,Pricing!$D$21,0))</f>
        <v>0</v>
      </c>
      <c r="N1298" s="529">
        <f>IF(E1298="STL",F1298*Pricing!$D$40,IF(A1298&lt;=Pricing!$C$4,0,IF(AND(A1298&gt;Pricing!$C$4,Disbursements!A1298&lt;=Pricing!$C$5),F1298*Pricing!$E$5,IF(AND(A1298&gt;Pricing!$C$5,Disbursements!A1298&lt;=Pricing!$C$7),VLOOKUP(F1298,Pricing!$D$7:$E$8,2)*Disbursements!F1298,F1298*Pricing!$E$9))))</f>
        <v>0</v>
      </c>
      <c r="O1298" s="528">
        <f>IF(E1298="STL",0,IF($F1298&gt;0,$F1298*Pricing!$D$17,0))</f>
        <v>0</v>
      </c>
      <c r="P1298" s="530" t="str">
        <f t="shared" si="542"/>
        <v/>
      </c>
      <c r="Q1298" s="531" t="str">
        <f>IF($A1298="","",$G1298/VLOOKUP($I1298,Ref!$B$23:$D$29,2,0))</f>
        <v/>
      </c>
      <c r="R1298" s="530" t="str">
        <f t="shared" si="543"/>
        <v/>
      </c>
      <c r="S1298" s="532" t="str">
        <f t="shared" si="537"/>
        <v/>
      </c>
      <c r="T1298" s="531" t="str">
        <f t="shared" si="544"/>
        <v/>
      </c>
      <c r="U1298" s="533">
        <f t="shared" si="545"/>
        <v>0</v>
      </c>
      <c r="V1298" s="531" t="str">
        <f t="shared" si="546"/>
        <v/>
      </c>
      <c r="W1298" s="531" t="str">
        <f t="shared" si="547"/>
        <v/>
      </c>
      <c r="X1298" s="534" t="str">
        <f t="shared" si="548"/>
        <v/>
      </c>
      <c r="Y1298" s="535" t="str">
        <f>IF($A1298="","",IF($I1298="weekly",$A1298+7,EDATE($A1298,VLOOKUP($I1298,Ref!$B$24:$C$29,2,0))))</f>
        <v/>
      </c>
      <c r="Z1298" s="536" t="str">
        <f t="shared" si="549"/>
        <v/>
      </c>
      <c r="AA1298" s="531">
        <f t="shared" si="550"/>
        <v>0</v>
      </c>
      <c r="AB1298" s="535" t="str">
        <f t="shared" si="538"/>
        <v/>
      </c>
      <c r="AC1298" s="537" t="str">
        <f t="shared" si="539"/>
        <v/>
      </c>
      <c r="AD1298" s="538" t="str">
        <f t="shared" ca="1" si="540"/>
        <v/>
      </c>
      <c r="AE1298" s="537">
        <f t="shared" ca="1" si="541"/>
        <v>0</v>
      </c>
      <c r="AF1298" s="539" t="str">
        <f t="shared" ca="1" si="551"/>
        <v/>
      </c>
      <c r="AG1298" s="531" t="str">
        <f t="shared" ca="1" si="552"/>
        <v/>
      </c>
      <c r="AH1298" s="531" t="str">
        <f t="shared" ca="1" si="553"/>
        <v/>
      </c>
      <c r="AI1298" s="531" t="str">
        <f t="shared" ca="1" si="554"/>
        <v/>
      </c>
      <c r="AJ1298" s="531" t="str">
        <f t="shared" si="555"/>
        <v/>
      </c>
      <c r="AK1298" s="540">
        <f>SUMIFS('Live Collections'!$S:$S,'Live Collections'!$D:$D,Disbursements!B1298,'Live Collections'!$G:$G,Disbursements!C1298)</f>
        <v>0</v>
      </c>
      <c r="AL1298" s="540">
        <f>SUMIFS('Live Collections'!$T:$T,'Live Collections'!$D:$D,Disbursements!B1298,'Live Collections'!$G:$G,Disbursements!C1298)</f>
        <v>0</v>
      </c>
      <c r="AM1298" s="541">
        <f t="shared" si="556"/>
        <v>0</v>
      </c>
      <c r="AN1298" s="542" t="str">
        <f t="shared" si="557"/>
        <v/>
      </c>
      <c r="AO1298" s="542" t="str">
        <f t="shared" si="558"/>
        <v/>
      </c>
      <c r="AP1298" s="543" t="str">
        <f t="shared" si="559"/>
        <v/>
      </c>
      <c r="AQ1298" s="544" t="str">
        <f t="shared" si="560"/>
        <v/>
      </c>
      <c r="AR1298" s="545">
        <f t="shared" si="561"/>
        <v>0</v>
      </c>
      <c r="AS1298" s="545">
        <f>IFERROR(CEILING($AR1298*VLOOKUP($I1298,Ref!$B$23:$E$29,4,0),1),0)</f>
        <v>0</v>
      </c>
      <c r="AT1298" s="545" t="str">
        <f>IF(A1298="","",IF(AP1298&lt;=1,"Cleared",IF(AS1298=0,"Clean",VLOOKUP($AS1298,Ref!$G$23:$H$28,2))))</f>
        <v/>
      </c>
      <c r="AU1298" s="546" t="str">
        <f t="shared" si="562"/>
        <v/>
      </c>
    </row>
    <row r="1299" spans="1:47" ht="14.25" hidden="1" customHeight="1" x14ac:dyDescent="0.15">
      <c r="A1299" s="523"/>
      <c r="B1299" s="523"/>
      <c r="C1299" s="523"/>
      <c r="D1299" s="523"/>
      <c r="E1299" s="579"/>
      <c r="F1299" s="580"/>
      <c r="G1299" s="524"/>
      <c r="H1299" s="555"/>
      <c r="I1299" s="560"/>
      <c r="J1299" s="523"/>
      <c r="K1299" s="528" t="str">
        <f>IFERROR(VLOOKUP($B1299,'Clients-Live'!$A:$C,3,0),"")</f>
        <v/>
      </c>
      <c r="L1299" s="528">
        <f>IF(E1299="STL",Pricing!$D$38,IF(A1299="",0,IF(A1299&lt;Pricing!$C$25,Pricing!$D$25,VLOOKUP(Disbursements!$F1299,Pricing!$B$29:$D$32,3))))</f>
        <v>0</v>
      </c>
      <c r="M1299" s="528">
        <f>IF(E1299="STL",0,IF(F1299&gt;0,Pricing!$D$21,0))</f>
        <v>0</v>
      </c>
      <c r="N1299" s="529">
        <f>IF(E1299="STL",F1299*Pricing!$D$40,IF(A1299&lt;=Pricing!$C$4,0,IF(AND(A1299&gt;Pricing!$C$4,Disbursements!A1299&lt;=Pricing!$C$5),F1299*Pricing!$E$5,IF(AND(A1299&gt;Pricing!$C$5,Disbursements!A1299&lt;=Pricing!$C$7),VLOOKUP(F1299,Pricing!$D$7:$E$8,2)*Disbursements!F1299,F1299*Pricing!$E$9))))</f>
        <v>0</v>
      </c>
      <c r="O1299" s="528">
        <f>IF(E1299="STL",0,IF($F1299&gt;0,$F1299*Pricing!$D$17,0))</f>
        <v>0</v>
      </c>
      <c r="P1299" s="530" t="str">
        <f t="shared" si="542"/>
        <v/>
      </c>
      <c r="Q1299" s="531" t="str">
        <f>IF($A1299="","",$G1299/VLOOKUP($I1299,Ref!$B$23:$D$29,2,0))</f>
        <v/>
      </c>
      <c r="R1299" s="530" t="str">
        <f t="shared" si="543"/>
        <v/>
      </c>
      <c r="S1299" s="532" t="str">
        <f t="shared" si="537"/>
        <v/>
      </c>
      <c r="T1299" s="531" t="str">
        <f t="shared" si="544"/>
        <v/>
      </c>
      <c r="U1299" s="533">
        <f t="shared" si="545"/>
        <v>0</v>
      </c>
      <c r="V1299" s="531" t="str">
        <f t="shared" si="546"/>
        <v/>
      </c>
      <c r="W1299" s="531" t="str">
        <f t="shared" si="547"/>
        <v/>
      </c>
      <c r="X1299" s="534" t="str">
        <f t="shared" si="548"/>
        <v/>
      </c>
      <c r="Y1299" s="535" t="str">
        <f>IF($A1299="","",IF($I1299="weekly",$A1299+7,EDATE($A1299,VLOOKUP($I1299,Ref!$B$24:$C$29,2,0))))</f>
        <v/>
      </c>
      <c r="Z1299" s="536" t="str">
        <f t="shared" si="549"/>
        <v/>
      </c>
      <c r="AA1299" s="531">
        <f t="shared" si="550"/>
        <v>0</v>
      </c>
      <c r="AB1299" s="535" t="str">
        <f t="shared" si="538"/>
        <v/>
      </c>
      <c r="AC1299" s="537" t="str">
        <f t="shared" si="539"/>
        <v/>
      </c>
      <c r="AD1299" s="538" t="str">
        <f t="shared" ca="1" si="540"/>
        <v/>
      </c>
      <c r="AE1299" s="537">
        <f t="shared" ca="1" si="541"/>
        <v>0</v>
      </c>
      <c r="AF1299" s="539" t="str">
        <f t="shared" ca="1" si="551"/>
        <v/>
      </c>
      <c r="AG1299" s="531" t="str">
        <f t="shared" ca="1" si="552"/>
        <v/>
      </c>
      <c r="AH1299" s="531" t="str">
        <f t="shared" ca="1" si="553"/>
        <v/>
      </c>
      <c r="AI1299" s="531" t="str">
        <f t="shared" ca="1" si="554"/>
        <v/>
      </c>
      <c r="AJ1299" s="531" t="str">
        <f t="shared" si="555"/>
        <v/>
      </c>
      <c r="AK1299" s="540">
        <f>SUMIFS('Live Collections'!$S:$S,'Live Collections'!$D:$D,Disbursements!B1299,'Live Collections'!$G:$G,Disbursements!C1299)</f>
        <v>0</v>
      </c>
      <c r="AL1299" s="540">
        <f>SUMIFS('Live Collections'!$T:$T,'Live Collections'!$D:$D,Disbursements!B1299,'Live Collections'!$G:$G,Disbursements!C1299)</f>
        <v>0</v>
      </c>
      <c r="AM1299" s="541">
        <f t="shared" si="556"/>
        <v>0</v>
      </c>
      <c r="AN1299" s="542" t="str">
        <f t="shared" si="557"/>
        <v/>
      </c>
      <c r="AO1299" s="542" t="str">
        <f t="shared" si="558"/>
        <v/>
      </c>
      <c r="AP1299" s="543" t="str">
        <f t="shared" si="559"/>
        <v/>
      </c>
      <c r="AQ1299" s="544" t="str">
        <f t="shared" si="560"/>
        <v/>
      </c>
      <c r="AR1299" s="545">
        <f t="shared" si="561"/>
        <v>0</v>
      </c>
      <c r="AS1299" s="545">
        <f>IFERROR(CEILING($AR1299*VLOOKUP($I1299,Ref!$B$23:$E$29,4,0),1),0)</f>
        <v>0</v>
      </c>
      <c r="AT1299" s="545" t="str">
        <f>IF(A1299="","",IF(AP1299&lt;=1,"Cleared",IF(AS1299=0,"Clean",VLOOKUP($AS1299,Ref!$G$23:$H$28,2))))</f>
        <v/>
      </c>
      <c r="AU1299" s="546" t="str">
        <f t="shared" si="562"/>
        <v/>
      </c>
    </row>
    <row r="1300" spans="1:47" ht="14.25" hidden="1" customHeight="1" x14ac:dyDescent="0.15">
      <c r="A1300" s="523"/>
      <c r="B1300" s="523"/>
      <c r="C1300" s="523"/>
      <c r="D1300" s="523"/>
      <c r="E1300" s="579"/>
      <c r="F1300" s="580"/>
      <c r="G1300" s="524"/>
      <c r="H1300" s="555"/>
      <c r="I1300" s="560"/>
      <c r="J1300" s="523"/>
      <c r="K1300" s="528" t="str">
        <f>IFERROR(VLOOKUP($B1300,'Clients-Live'!$A:$C,3,0),"")</f>
        <v/>
      </c>
      <c r="L1300" s="528">
        <f>IF(E1300="STL",Pricing!$D$38,IF(A1300="",0,IF(A1300&lt;Pricing!$C$25,Pricing!$D$25,VLOOKUP(Disbursements!$F1300,Pricing!$B$29:$D$32,3))))</f>
        <v>0</v>
      </c>
      <c r="M1300" s="528">
        <f>IF(E1300="STL",0,IF(F1300&gt;0,Pricing!$D$21,0))</f>
        <v>0</v>
      </c>
      <c r="N1300" s="529">
        <f>IF(E1300="STL",F1300*Pricing!$D$40,IF(A1300&lt;=Pricing!$C$4,0,IF(AND(A1300&gt;Pricing!$C$4,Disbursements!A1300&lt;=Pricing!$C$5),F1300*Pricing!$E$5,IF(AND(A1300&gt;Pricing!$C$5,Disbursements!A1300&lt;=Pricing!$C$7),VLOOKUP(F1300,Pricing!$D$7:$E$8,2)*Disbursements!F1300,F1300*Pricing!$E$9))))</f>
        <v>0</v>
      </c>
      <c r="O1300" s="528">
        <f>IF(E1300="STL",0,IF($F1300&gt;0,$F1300*Pricing!$D$17,0))</f>
        <v>0</v>
      </c>
      <c r="P1300" s="530" t="str">
        <f t="shared" si="542"/>
        <v/>
      </c>
      <c r="Q1300" s="531" t="str">
        <f>IF($A1300="","",$G1300/VLOOKUP($I1300,Ref!$B$23:$D$29,2,0))</f>
        <v/>
      </c>
      <c r="R1300" s="530" t="str">
        <f t="shared" si="543"/>
        <v/>
      </c>
      <c r="S1300" s="532" t="str">
        <f t="shared" si="537"/>
        <v/>
      </c>
      <c r="T1300" s="531" t="str">
        <f t="shared" si="544"/>
        <v/>
      </c>
      <c r="U1300" s="533">
        <f t="shared" si="545"/>
        <v>0</v>
      </c>
      <c r="V1300" s="531" t="str">
        <f t="shared" si="546"/>
        <v/>
      </c>
      <c r="W1300" s="531" t="str">
        <f t="shared" si="547"/>
        <v/>
      </c>
      <c r="X1300" s="534" t="str">
        <f t="shared" si="548"/>
        <v/>
      </c>
      <c r="Y1300" s="535" t="str">
        <f>IF($A1300="","",IF($I1300="weekly",$A1300+7,EDATE($A1300,VLOOKUP($I1300,Ref!$B$24:$C$29,2,0))))</f>
        <v/>
      </c>
      <c r="Z1300" s="536" t="str">
        <f t="shared" si="549"/>
        <v/>
      </c>
      <c r="AA1300" s="531">
        <f t="shared" si="550"/>
        <v>0</v>
      </c>
      <c r="AB1300" s="535" t="str">
        <f t="shared" si="538"/>
        <v/>
      </c>
      <c r="AC1300" s="537" t="str">
        <f t="shared" si="539"/>
        <v/>
      </c>
      <c r="AD1300" s="538" t="str">
        <f t="shared" ca="1" si="540"/>
        <v/>
      </c>
      <c r="AE1300" s="537">
        <f t="shared" ca="1" si="541"/>
        <v>0</v>
      </c>
      <c r="AF1300" s="539" t="str">
        <f t="shared" ca="1" si="551"/>
        <v/>
      </c>
      <c r="AG1300" s="531" t="str">
        <f t="shared" ca="1" si="552"/>
        <v/>
      </c>
      <c r="AH1300" s="531" t="str">
        <f t="shared" ca="1" si="553"/>
        <v/>
      </c>
      <c r="AI1300" s="531" t="str">
        <f t="shared" ca="1" si="554"/>
        <v/>
      </c>
      <c r="AJ1300" s="531" t="str">
        <f t="shared" si="555"/>
        <v/>
      </c>
      <c r="AK1300" s="540">
        <f>SUMIFS('Live Collections'!$S:$S,'Live Collections'!$D:$D,Disbursements!B1300,'Live Collections'!$G:$G,Disbursements!C1300)</f>
        <v>0</v>
      </c>
      <c r="AL1300" s="540">
        <f>SUMIFS('Live Collections'!$T:$T,'Live Collections'!$D:$D,Disbursements!B1300,'Live Collections'!$G:$G,Disbursements!C1300)</f>
        <v>0</v>
      </c>
      <c r="AM1300" s="541">
        <f t="shared" si="556"/>
        <v>0</v>
      </c>
      <c r="AN1300" s="542" t="str">
        <f t="shared" si="557"/>
        <v/>
      </c>
      <c r="AO1300" s="542" t="str">
        <f t="shared" si="558"/>
        <v/>
      </c>
      <c r="AP1300" s="543" t="str">
        <f t="shared" si="559"/>
        <v/>
      </c>
      <c r="AQ1300" s="544" t="str">
        <f t="shared" si="560"/>
        <v/>
      </c>
      <c r="AR1300" s="545">
        <f t="shared" si="561"/>
        <v>0</v>
      </c>
      <c r="AS1300" s="545">
        <f>IFERROR(CEILING($AR1300*VLOOKUP($I1300,Ref!$B$23:$E$29,4,0),1),0)</f>
        <v>0</v>
      </c>
      <c r="AT1300" s="545" t="str">
        <f>IF(A1300="","",IF(AP1300&lt;=1,"Cleared",IF(AS1300=0,"Clean",VLOOKUP($AS1300,Ref!$G$23:$H$28,2))))</f>
        <v/>
      </c>
      <c r="AU1300" s="546" t="str">
        <f t="shared" si="562"/>
        <v/>
      </c>
    </row>
    <row r="1301" spans="1:47" ht="14.25" hidden="1" customHeight="1" x14ac:dyDescent="0.15">
      <c r="A1301" s="523"/>
      <c r="B1301" s="523"/>
      <c r="C1301" s="523"/>
      <c r="D1301" s="523"/>
      <c r="E1301" s="579"/>
      <c r="F1301" s="580"/>
      <c r="G1301" s="524"/>
      <c r="H1301" s="555"/>
      <c r="I1301" s="560"/>
      <c r="J1301" s="523"/>
      <c r="K1301" s="528" t="str">
        <f>IFERROR(VLOOKUP($B1301,'Clients-Live'!$A:$C,3,0),"")</f>
        <v/>
      </c>
      <c r="L1301" s="528">
        <f>IF(E1301="STL",Pricing!$D$38,IF(A1301="",0,IF(A1301&lt;Pricing!$C$25,Pricing!$D$25,VLOOKUP(Disbursements!$F1301,Pricing!$B$29:$D$32,3))))</f>
        <v>0</v>
      </c>
      <c r="M1301" s="528">
        <f>IF(E1301="STL",0,IF(F1301&gt;0,Pricing!$D$21,0))</f>
        <v>0</v>
      </c>
      <c r="N1301" s="529">
        <f>IF(E1301="STL",F1301*Pricing!$D$40,IF(A1301&lt;=Pricing!$C$4,0,IF(AND(A1301&gt;Pricing!$C$4,Disbursements!A1301&lt;=Pricing!$C$5),F1301*Pricing!$E$5,IF(AND(A1301&gt;Pricing!$C$5,Disbursements!A1301&lt;=Pricing!$C$7),VLOOKUP(F1301,Pricing!$D$7:$E$8,2)*Disbursements!F1301,F1301*Pricing!$E$9))))</f>
        <v>0</v>
      </c>
      <c r="O1301" s="528">
        <f>IF(E1301="STL",0,IF($F1301&gt;0,$F1301*Pricing!$D$17,0))</f>
        <v>0</v>
      </c>
      <c r="P1301" s="530" t="str">
        <f t="shared" si="542"/>
        <v/>
      </c>
      <c r="Q1301" s="531" t="str">
        <f>IF($A1301="","",$G1301/VLOOKUP($I1301,Ref!$B$23:$D$29,2,0))</f>
        <v/>
      </c>
      <c r="R1301" s="530" t="str">
        <f t="shared" si="543"/>
        <v/>
      </c>
      <c r="S1301" s="532" t="str">
        <f t="shared" si="537"/>
        <v/>
      </c>
      <c r="T1301" s="531" t="str">
        <f t="shared" si="544"/>
        <v/>
      </c>
      <c r="U1301" s="533">
        <f t="shared" si="545"/>
        <v>0</v>
      </c>
      <c r="V1301" s="531" t="str">
        <f t="shared" si="546"/>
        <v/>
      </c>
      <c r="W1301" s="531" t="str">
        <f t="shared" si="547"/>
        <v/>
      </c>
      <c r="X1301" s="534" t="str">
        <f t="shared" si="548"/>
        <v/>
      </c>
      <c r="Y1301" s="535" t="str">
        <f>IF($A1301="","",IF($I1301="weekly",$A1301+7,EDATE($A1301,VLOOKUP($I1301,Ref!$B$24:$C$29,2,0))))</f>
        <v/>
      </c>
      <c r="Z1301" s="536" t="str">
        <f t="shared" si="549"/>
        <v/>
      </c>
      <c r="AA1301" s="531">
        <f t="shared" si="550"/>
        <v>0</v>
      </c>
      <c r="AB1301" s="535" t="str">
        <f t="shared" si="538"/>
        <v/>
      </c>
      <c r="AC1301" s="537" t="str">
        <f t="shared" si="539"/>
        <v/>
      </c>
      <c r="AD1301" s="538" t="str">
        <f t="shared" ca="1" si="540"/>
        <v/>
      </c>
      <c r="AE1301" s="537">
        <f t="shared" ca="1" si="541"/>
        <v>0</v>
      </c>
      <c r="AF1301" s="539" t="str">
        <f t="shared" ca="1" si="551"/>
        <v/>
      </c>
      <c r="AG1301" s="531" t="str">
        <f t="shared" ca="1" si="552"/>
        <v/>
      </c>
      <c r="AH1301" s="531" t="str">
        <f t="shared" ca="1" si="553"/>
        <v/>
      </c>
      <c r="AI1301" s="531" t="str">
        <f t="shared" ca="1" si="554"/>
        <v/>
      </c>
      <c r="AJ1301" s="531" t="str">
        <f t="shared" si="555"/>
        <v/>
      </c>
      <c r="AK1301" s="540">
        <f>SUMIFS('Live Collections'!$S:$S,'Live Collections'!$D:$D,Disbursements!B1301,'Live Collections'!$G:$G,Disbursements!C1301)</f>
        <v>0</v>
      </c>
      <c r="AL1301" s="540">
        <f>SUMIFS('Live Collections'!$T:$T,'Live Collections'!$D:$D,Disbursements!B1301,'Live Collections'!$G:$G,Disbursements!C1301)</f>
        <v>0</v>
      </c>
      <c r="AM1301" s="541">
        <f t="shared" si="556"/>
        <v>0</v>
      </c>
      <c r="AN1301" s="542" t="str">
        <f t="shared" si="557"/>
        <v/>
      </c>
      <c r="AO1301" s="542" t="str">
        <f t="shared" si="558"/>
        <v/>
      </c>
      <c r="AP1301" s="543" t="str">
        <f t="shared" si="559"/>
        <v/>
      </c>
      <c r="AQ1301" s="544" t="str">
        <f t="shared" si="560"/>
        <v/>
      </c>
      <c r="AR1301" s="545">
        <f t="shared" si="561"/>
        <v>0</v>
      </c>
      <c r="AS1301" s="545">
        <f>IFERROR(CEILING($AR1301*VLOOKUP($I1301,Ref!$B$23:$E$29,4,0),1),0)</f>
        <v>0</v>
      </c>
      <c r="AT1301" s="545" t="str">
        <f>IF(A1301="","",IF(AP1301&lt;=1,"Cleared",IF(AS1301=0,"Clean",VLOOKUP($AS1301,Ref!$G$23:$H$28,2))))</f>
        <v/>
      </c>
      <c r="AU1301" s="546" t="str">
        <f t="shared" si="562"/>
        <v/>
      </c>
    </row>
    <row r="1302" spans="1:47" ht="14.25" hidden="1" customHeight="1" x14ac:dyDescent="0.15">
      <c r="A1302" s="523"/>
      <c r="B1302" s="523"/>
      <c r="C1302" s="523"/>
      <c r="D1302" s="523"/>
      <c r="E1302" s="579"/>
      <c r="F1302" s="580"/>
      <c r="G1302" s="524"/>
      <c r="H1302" s="555"/>
      <c r="I1302" s="560"/>
      <c r="J1302" s="523"/>
      <c r="K1302" s="528" t="str">
        <f>IFERROR(VLOOKUP($B1302,'Clients-Live'!$A:$C,3,0),"")</f>
        <v/>
      </c>
      <c r="L1302" s="528">
        <f>IF(E1302="STL",Pricing!$D$38,IF(A1302="",0,IF(A1302&lt;Pricing!$C$25,Pricing!$D$25,VLOOKUP(Disbursements!$F1302,Pricing!$B$29:$D$32,3))))</f>
        <v>0</v>
      </c>
      <c r="M1302" s="528">
        <f>IF(E1302="STL",0,IF(F1302&gt;0,Pricing!$D$21,0))</f>
        <v>0</v>
      </c>
      <c r="N1302" s="529">
        <f>IF(E1302="STL",F1302*Pricing!$D$40,IF(A1302&lt;=Pricing!$C$4,0,IF(AND(A1302&gt;Pricing!$C$4,Disbursements!A1302&lt;=Pricing!$C$5),F1302*Pricing!$E$5,IF(AND(A1302&gt;Pricing!$C$5,Disbursements!A1302&lt;=Pricing!$C$7),VLOOKUP(F1302,Pricing!$D$7:$E$8,2)*Disbursements!F1302,F1302*Pricing!$E$9))))</f>
        <v>0</v>
      </c>
      <c r="O1302" s="528">
        <f>IF(E1302="STL",0,IF($F1302&gt;0,$F1302*Pricing!$D$17,0))</f>
        <v>0</v>
      </c>
      <c r="P1302" s="530" t="str">
        <f t="shared" si="542"/>
        <v/>
      </c>
      <c r="Q1302" s="531" t="str">
        <f>IF($A1302="","",$G1302/VLOOKUP($I1302,Ref!$B$23:$D$29,2,0))</f>
        <v/>
      </c>
      <c r="R1302" s="530" t="str">
        <f t="shared" si="543"/>
        <v/>
      </c>
      <c r="S1302" s="532" t="str">
        <f t="shared" si="537"/>
        <v/>
      </c>
      <c r="T1302" s="531" t="str">
        <f t="shared" si="544"/>
        <v/>
      </c>
      <c r="U1302" s="533">
        <f t="shared" si="545"/>
        <v>0</v>
      </c>
      <c r="V1302" s="531" t="str">
        <f t="shared" si="546"/>
        <v/>
      </c>
      <c r="W1302" s="531" t="str">
        <f t="shared" si="547"/>
        <v/>
      </c>
      <c r="X1302" s="534" t="str">
        <f t="shared" si="548"/>
        <v/>
      </c>
      <c r="Y1302" s="535" t="str">
        <f>IF($A1302="","",IF($I1302="weekly",$A1302+7,EDATE($A1302,VLOOKUP($I1302,Ref!$B$24:$C$29,2,0))))</f>
        <v/>
      </c>
      <c r="Z1302" s="536" t="str">
        <f t="shared" si="549"/>
        <v/>
      </c>
      <c r="AA1302" s="531">
        <f t="shared" si="550"/>
        <v>0</v>
      </c>
      <c r="AB1302" s="535" t="str">
        <f t="shared" si="538"/>
        <v/>
      </c>
      <c r="AC1302" s="537" t="str">
        <f t="shared" si="539"/>
        <v/>
      </c>
      <c r="AD1302" s="538" t="str">
        <f t="shared" ca="1" si="540"/>
        <v/>
      </c>
      <c r="AE1302" s="537">
        <f t="shared" ca="1" si="541"/>
        <v>0</v>
      </c>
      <c r="AF1302" s="539" t="str">
        <f t="shared" ca="1" si="551"/>
        <v/>
      </c>
      <c r="AG1302" s="531" t="str">
        <f t="shared" ca="1" si="552"/>
        <v/>
      </c>
      <c r="AH1302" s="531" t="str">
        <f t="shared" ca="1" si="553"/>
        <v/>
      </c>
      <c r="AI1302" s="531" t="str">
        <f t="shared" ca="1" si="554"/>
        <v/>
      </c>
      <c r="AJ1302" s="531" t="str">
        <f t="shared" si="555"/>
        <v/>
      </c>
      <c r="AK1302" s="540">
        <f>SUMIFS('Live Collections'!$S:$S,'Live Collections'!$D:$D,Disbursements!B1302,'Live Collections'!$G:$G,Disbursements!C1302)</f>
        <v>0</v>
      </c>
      <c r="AL1302" s="540">
        <f>SUMIFS('Live Collections'!$T:$T,'Live Collections'!$D:$D,Disbursements!B1302,'Live Collections'!$G:$G,Disbursements!C1302)</f>
        <v>0</v>
      </c>
      <c r="AM1302" s="541">
        <f t="shared" si="556"/>
        <v>0</v>
      </c>
      <c r="AN1302" s="542" t="str">
        <f t="shared" si="557"/>
        <v/>
      </c>
      <c r="AO1302" s="542" t="str">
        <f t="shared" si="558"/>
        <v/>
      </c>
      <c r="AP1302" s="543" t="str">
        <f t="shared" si="559"/>
        <v/>
      </c>
      <c r="AQ1302" s="544" t="str">
        <f t="shared" si="560"/>
        <v/>
      </c>
      <c r="AR1302" s="545">
        <f t="shared" si="561"/>
        <v>0</v>
      </c>
      <c r="AS1302" s="545">
        <f>IFERROR(CEILING($AR1302*VLOOKUP($I1302,Ref!$B$23:$E$29,4,0),1),0)</f>
        <v>0</v>
      </c>
      <c r="AT1302" s="545" t="str">
        <f>IF(A1302="","",IF(AP1302&lt;=1,"Cleared",IF(AS1302=0,"Clean",VLOOKUP($AS1302,Ref!$G$23:$H$28,2))))</f>
        <v/>
      </c>
      <c r="AU1302" s="546" t="str">
        <f t="shared" si="562"/>
        <v/>
      </c>
    </row>
    <row r="1303" spans="1:47" ht="14.25" hidden="1" customHeight="1" x14ac:dyDescent="0.15">
      <c r="A1303" s="523"/>
      <c r="B1303" s="523"/>
      <c r="C1303" s="523"/>
      <c r="D1303" s="523"/>
      <c r="E1303" s="579"/>
      <c r="F1303" s="580"/>
      <c r="G1303" s="524"/>
      <c r="H1303" s="555"/>
      <c r="I1303" s="560"/>
      <c r="J1303" s="523"/>
      <c r="K1303" s="528" t="str">
        <f>IFERROR(VLOOKUP($B1303,'Clients-Live'!$A:$C,3,0),"")</f>
        <v/>
      </c>
      <c r="L1303" s="528">
        <f>IF(E1303="STL",Pricing!$D$38,IF(A1303="",0,IF(A1303&lt;Pricing!$C$25,Pricing!$D$25,VLOOKUP(Disbursements!$F1303,Pricing!$B$29:$D$32,3))))</f>
        <v>0</v>
      </c>
      <c r="M1303" s="528">
        <f>IF(E1303="STL",0,IF(F1303&gt;0,Pricing!$D$21,0))</f>
        <v>0</v>
      </c>
      <c r="N1303" s="529">
        <f>IF(E1303="STL",F1303*Pricing!$D$40,IF(A1303&lt;=Pricing!$C$4,0,IF(AND(A1303&gt;Pricing!$C$4,Disbursements!A1303&lt;=Pricing!$C$5),F1303*Pricing!$E$5,IF(AND(A1303&gt;Pricing!$C$5,Disbursements!A1303&lt;=Pricing!$C$7),VLOOKUP(F1303,Pricing!$D$7:$E$8,2)*Disbursements!F1303,F1303*Pricing!$E$9))))</f>
        <v>0</v>
      </c>
      <c r="O1303" s="528">
        <f>IF(E1303="STL",0,IF($F1303&gt;0,$F1303*Pricing!$D$17,0))</f>
        <v>0</v>
      </c>
      <c r="P1303" s="530" t="str">
        <f t="shared" si="542"/>
        <v/>
      </c>
      <c r="Q1303" s="531" t="str">
        <f>IF($A1303="","",$G1303/VLOOKUP($I1303,Ref!$B$23:$D$29,2,0))</f>
        <v/>
      </c>
      <c r="R1303" s="530" t="str">
        <f t="shared" si="543"/>
        <v/>
      </c>
      <c r="S1303" s="532" t="str">
        <f t="shared" si="537"/>
        <v/>
      </c>
      <c r="T1303" s="531" t="str">
        <f t="shared" si="544"/>
        <v/>
      </c>
      <c r="U1303" s="533">
        <f t="shared" si="545"/>
        <v>0</v>
      </c>
      <c r="V1303" s="531" t="str">
        <f t="shared" si="546"/>
        <v/>
      </c>
      <c r="W1303" s="531" t="str">
        <f t="shared" si="547"/>
        <v/>
      </c>
      <c r="X1303" s="534" t="str">
        <f t="shared" si="548"/>
        <v/>
      </c>
      <c r="Y1303" s="535" t="str">
        <f>IF($A1303="","",IF($I1303="weekly",$A1303+7,EDATE($A1303,VLOOKUP($I1303,Ref!$B$24:$C$29,2,0))))</f>
        <v/>
      </c>
      <c r="Z1303" s="536" t="str">
        <f t="shared" si="549"/>
        <v/>
      </c>
      <c r="AA1303" s="531">
        <f t="shared" si="550"/>
        <v>0</v>
      </c>
      <c r="AB1303" s="535" t="str">
        <f t="shared" si="538"/>
        <v/>
      </c>
      <c r="AC1303" s="537" t="str">
        <f t="shared" si="539"/>
        <v/>
      </c>
      <c r="AD1303" s="538" t="str">
        <f t="shared" ca="1" si="540"/>
        <v/>
      </c>
      <c r="AE1303" s="537">
        <f t="shared" ca="1" si="541"/>
        <v>0</v>
      </c>
      <c r="AF1303" s="539" t="str">
        <f t="shared" ca="1" si="551"/>
        <v/>
      </c>
      <c r="AG1303" s="531" t="str">
        <f t="shared" ca="1" si="552"/>
        <v/>
      </c>
      <c r="AH1303" s="531" t="str">
        <f t="shared" ca="1" si="553"/>
        <v/>
      </c>
      <c r="AI1303" s="531" t="str">
        <f t="shared" ca="1" si="554"/>
        <v/>
      </c>
      <c r="AJ1303" s="531" t="str">
        <f t="shared" si="555"/>
        <v/>
      </c>
      <c r="AK1303" s="540">
        <f>SUMIFS('Live Collections'!$S:$S,'Live Collections'!$D:$D,Disbursements!B1303,'Live Collections'!$G:$G,Disbursements!C1303)</f>
        <v>0</v>
      </c>
      <c r="AL1303" s="540">
        <f>SUMIFS('Live Collections'!$T:$T,'Live Collections'!$D:$D,Disbursements!B1303,'Live Collections'!$G:$G,Disbursements!C1303)</f>
        <v>0</v>
      </c>
      <c r="AM1303" s="541">
        <f t="shared" si="556"/>
        <v>0</v>
      </c>
      <c r="AN1303" s="542" t="str">
        <f t="shared" si="557"/>
        <v/>
      </c>
      <c r="AO1303" s="542" t="str">
        <f t="shared" si="558"/>
        <v/>
      </c>
      <c r="AP1303" s="543" t="str">
        <f t="shared" si="559"/>
        <v/>
      </c>
      <c r="AQ1303" s="544" t="str">
        <f t="shared" si="560"/>
        <v/>
      </c>
      <c r="AR1303" s="545">
        <f t="shared" si="561"/>
        <v>0</v>
      </c>
      <c r="AS1303" s="545">
        <f>IFERROR(CEILING($AR1303*VLOOKUP($I1303,Ref!$B$23:$E$29,4,0),1),0)</f>
        <v>0</v>
      </c>
      <c r="AT1303" s="545" t="str">
        <f>IF(A1303="","",IF(AP1303&lt;=1,"Cleared",IF(AS1303=0,"Clean",VLOOKUP($AS1303,Ref!$G$23:$H$28,2))))</f>
        <v/>
      </c>
      <c r="AU1303" s="546" t="str">
        <f t="shared" si="562"/>
        <v/>
      </c>
    </row>
    <row r="1304" spans="1:47" ht="14.25" hidden="1" customHeight="1" x14ac:dyDescent="0.15">
      <c r="A1304" s="523"/>
      <c r="B1304" s="523"/>
      <c r="C1304" s="523"/>
      <c r="D1304" s="523"/>
      <c r="E1304" s="579"/>
      <c r="F1304" s="580"/>
      <c r="G1304" s="524"/>
      <c r="H1304" s="555"/>
      <c r="I1304" s="560"/>
      <c r="J1304" s="523"/>
      <c r="K1304" s="528" t="str">
        <f>IFERROR(VLOOKUP($B1304,'Clients-Live'!$A:$C,3,0),"")</f>
        <v/>
      </c>
      <c r="L1304" s="528">
        <f>IF(E1304="STL",Pricing!$D$38,IF(A1304="",0,IF(A1304&lt;Pricing!$C$25,Pricing!$D$25,VLOOKUP(Disbursements!$F1304,Pricing!$B$29:$D$32,3))))</f>
        <v>0</v>
      </c>
      <c r="M1304" s="528">
        <f>IF(E1304="STL",0,IF(F1304&gt;0,Pricing!$D$21,0))</f>
        <v>0</v>
      </c>
      <c r="N1304" s="529">
        <f>IF(E1304="STL",F1304*Pricing!$D$40,IF(A1304&lt;=Pricing!$C$4,0,IF(AND(A1304&gt;Pricing!$C$4,Disbursements!A1304&lt;=Pricing!$C$5),F1304*Pricing!$E$5,IF(AND(A1304&gt;Pricing!$C$5,Disbursements!A1304&lt;=Pricing!$C$7),VLOOKUP(F1304,Pricing!$D$7:$E$8,2)*Disbursements!F1304,F1304*Pricing!$E$9))))</f>
        <v>0</v>
      </c>
      <c r="O1304" s="528">
        <f>IF(E1304="STL",0,IF($F1304&gt;0,$F1304*Pricing!$D$17,0))</f>
        <v>0</v>
      </c>
      <c r="P1304" s="530" t="str">
        <f t="shared" si="542"/>
        <v/>
      </c>
      <c r="Q1304" s="531" t="str">
        <f>IF($A1304="","",$G1304/VLOOKUP($I1304,Ref!$B$23:$D$29,2,0))</f>
        <v/>
      </c>
      <c r="R1304" s="530" t="str">
        <f t="shared" si="543"/>
        <v/>
      </c>
      <c r="S1304" s="532" t="str">
        <f t="shared" si="537"/>
        <v/>
      </c>
      <c r="T1304" s="531" t="str">
        <f t="shared" si="544"/>
        <v/>
      </c>
      <c r="U1304" s="533">
        <f t="shared" si="545"/>
        <v>0</v>
      </c>
      <c r="V1304" s="531" t="str">
        <f t="shared" si="546"/>
        <v/>
      </c>
      <c r="W1304" s="531" t="str">
        <f t="shared" si="547"/>
        <v/>
      </c>
      <c r="X1304" s="534" t="str">
        <f t="shared" si="548"/>
        <v/>
      </c>
      <c r="Y1304" s="535" t="str">
        <f>IF($A1304="","",IF($I1304="weekly",$A1304+7,EDATE($A1304,VLOOKUP($I1304,Ref!$B$24:$C$29,2,0))))</f>
        <v/>
      </c>
      <c r="Z1304" s="536" t="str">
        <f t="shared" si="549"/>
        <v/>
      </c>
      <c r="AA1304" s="531">
        <f t="shared" si="550"/>
        <v>0</v>
      </c>
      <c r="AB1304" s="535" t="str">
        <f t="shared" si="538"/>
        <v/>
      </c>
      <c r="AC1304" s="537" t="str">
        <f t="shared" si="539"/>
        <v/>
      </c>
      <c r="AD1304" s="538" t="str">
        <f t="shared" ca="1" si="540"/>
        <v/>
      </c>
      <c r="AE1304" s="537">
        <f t="shared" ca="1" si="541"/>
        <v>0</v>
      </c>
      <c r="AF1304" s="539" t="str">
        <f t="shared" ca="1" si="551"/>
        <v/>
      </c>
      <c r="AG1304" s="531" t="str">
        <f t="shared" ca="1" si="552"/>
        <v/>
      </c>
      <c r="AH1304" s="531" t="str">
        <f t="shared" ca="1" si="553"/>
        <v/>
      </c>
      <c r="AI1304" s="531" t="str">
        <f t="shared" ca="1" si="554"/>
        <v/>
      </c>
      <c r="AJ1304" s="531" t="str">
        <f t="shared" si="555"/>
        <v/>
      </c>
      <c r="AK1304" s="540">
        <f>SUMIFS('Live Collections'!$S:$S,'Live Collections'!$D:$D,Disbursements!B1304,'Live Collections'!$G:$G,Disbursements!C1304)</f>
        <v>0</v>
      </c>
      <c r="AL1304" s="540">
        <f>SUMIFS('Live Collections'!$T:$T,'Live Collections'!$D:$D,Disbursements!B1304,'Live Collections'!$G:$G,Disbursements!C1304)</f>
        <v>0</v>
      </c>
      <c r="AM1304" s="541">
        <f t="shared" si="556"/>
        <v>0</v>
      </c>
      <c r="AN1304" s="542" t="str">
        <f t="shared" si="557"/>
        <v/>
      </c>
      <c r="AO1304" s="542" t="str">
        <f t="shared" si="558"/>
        <v/>
      </c>
      <c r="AP1304" s="543" t="str">
        <f t="shared" si="559"/>
        <v/>
      </c>
      <c r="AQ1304" s="544" t="str">
        <f t="shared" si="560"/>
        <v/>
      </c>
      <c r="AR1304" s="545">
        <f t="shared" si="561"/>
        <v>0</v>
      </c>
      <c r="AS1304" s="545">
        <f>IFERROR(CEILING($AR1304*VLOOKUP($I1304,Ref!$B$23:$E$29,4,0),1),0)</f>
        <v>0</v>
      </c>
      <c r="AT1304" s="545" t="str">
        <f>IF(A1304="","",IF(AP1304&lt;=1,"Cleared",IF(AS1304=0,"Clean",VLOOKUP($AS1304,Ref!$G$23:$H$28,2))))</f>
        <v/>
      </c>
      <c r="AU1304" s="546" t="str">
        <f t="shared" si="562"/>
        <v/>
      </c>
    </row>
    <row r="1305" spans="1:47" ht="14.25" hidden="1" customHeight="1" x14ac:dyDescent="0.15">
      <c r="A1305" s="523"/>
      <c r="B1305" s="523"/>
      <c r="C1305" s="523"/>
      <c r="D1305" s="523"/>
      <c r="E1305" s="579"/>
      <c r="F1305" s="580"/>
      <c r="G1305" s="524"/>
      <c r="H1305" s="555"/>
      <c r="I1305" s="560"/>
      <c r="J1305" s="523"/>
      <c r="K1305" s="528" t="str">
        <f>IFERROR(VLOOKUP($B1305,'Clients-Live'!$A:$C,3,0),"")</f>
        <v/>
      </c>
      <c r="L1305" s="528">
        <f>IF(E1305="STL",Pricing!$D$38,IF(A1305="",0,IF(A1305&lt;Pricing!$C$25,Pricing!$D$25,VLOOKUP(Disbursements!$F1305,Pricing!$B$29:$D$32,3))))</f>
        <v>0</v>
      </c>
      <c r="M1305" s="528">
        <f>IF(E1305="STL",0,IF(F1305&gt;0,Pricing!$D$21,0))</f>
        <v>0</v>
      </c>
      <c r="N1305" s="529">
        <f>IF(E1305="STL",F1305*Pricing!$D$40,IF(A1305&lt;=Pricing!$C$4,0,IF(AND(A1305&gt;Pricing!$C$4,Disbursements!A1305&lt;=Pricing!$C$5),F1305*Pricing!$E$5,IF(AND(A1305&gt;Pricing!$C$5,Disbursements!A1305&lt;=Pricing!$C$7),VLOOKUP(F1305,Pricing!$D$7:$E$8,2)*Disbursements!F1305,F1305*Pricing!$E$9))))</f>
        <v>0</v>
      </c>
      <c r="O1305" s="528">
        <f>IF(E1305="STL",0,IF($F1305&gt;0,$F1305*Pricing!$D$17,0))</f>
        <v>0</v>
      </c>
      <c r="P1305" s="530" t="str">
        <f t="shared" si="542"/>
        <v/>
      </c>
      <c r="Q1305" s="531" t="str">
        <f>IF($A1305="","",$G1305/VLOOKUP($I1305,Ref!$B$23:$D$29,2,0))</f>
        <v/>
      </c>
      <c r="R1305" s="530" t="str">
        <f t="shared" si="543"/>
        <v/>
      </c>
      <c r="S1305" s="532" t="str">
        <f t="shared" si="537"/>
        <v/>
      </c>
      <c r="T1305" s="531" t="str">
        <f t="shared" si="544"/>
        <v/>
      </c>
      <c r="U1305" s="533">
        <f t="shared" si="545"/>
        <v>0</v>
      </c>
      <c r="V1305" s="531" t="str">
        <f t="shared" si="546"/>
        <v/>
      </c>
      <c r="W1305" s="531" t="str">
        <f t="shared" si="547"/>
        <v/>
      </c>
      <c r="X1305" s="534" t="str">
        <f t="shared" si="548"/>
        <v/>
      </c>
      <c r="Y1305" s="535" t="str">
        <f>IF($A1305="","",IF($I1305="weekly",$A1305+7,EDATE($A1305,VLOOKUP($I1305,Ref!$B$24:$C$29,2,0))))</f>
        <v/>
      </c>
      <c r="Z1305" s="536" t="str">
        <f t="shared" si="549"/>
        <v/>
      </c>
      <c r="AA1305" s="531">
        <f t="shared" si="550"/>
        <v>0</v>
      </c>
      <c r="AB1305" s="535" t="str">
        <f t="shared" si="538"/>
        <v/>
      </c>
      <c r="AC1305" s="537" t="str">
        <f t="shared" si="539"/>
        <v/>
      </c>
      <c r="AD1305" s="538" t="str">
        <f t="shared" ca="1" si="540"/>
        <v/>
      </c>
      <c r="AE1305" s="537">
        <f t="shared" ca="1" si="541"/>
        <v>0</v>
      </c>
      <c r="AF1305" s="539" t="str">
        <f t="shared" ca="1" si="551"/>
        <v/>
      </c>
      <c r="AG1305" s="531" t="str">
        <f t="shared" ca="1" si="552"/>
        <v/>
      </c>
      <c r="AH1305" s="531" t="str">
        <f t="shared" ca="1" si="553"/>
        <v/>
      </c>
      <c r="AI1305" s="531" t="str">
        <f t="shared" ca="1" si="554"/>
        <v/>
      </c>
      <c r="AJ1305" s="531" t="str">
        <f t="shared" si="555"/>
        <v/>
      </c>
      <c r="AK1305" s="540">
        <f>SUMIFS('Live Collections'!$S:$S,'Live Collections'!$D:$D,Disbursements!B1305,'Live Collections'!$G:$G,Disbursements!C1305)</f>
        <v>0</v>
      </c>
      <c r="AL1305" s="540">
        <f>SUMIFS('Live Collections'!$T:$T,'Live Collections'!$D:$D,Disbursements!B1305,'Live Collections'!$G:$G,Disbursements!C1305)</f>
        <v>0</v>
      </c>
      <c r="AM1305" s="541">
        <f t="shared" si="556"/>
        <v>0</v>
      </c>
      <c r="AN1305" s="542" t="str">
        <f t="shared" si="557"/>
        <v/>
      </c>
      <c r="AO1305" s="542" t="str">
        <f t="shared" si="558"/>
        <v/>
      </c>
      <c r="AP1305" s="543" t="str">
        <f t="shared" si="559"/>
        <v/>
      </c>
      <c r="AQ1305" s="544" t="str">
        <f t="shared" si="560"/>
        <v/>
      </c>
      <c r="AR1305" s="545">
        <f t="shared" si="561"/>
        <v>0</v>
      </c>
      <c r="AS1305" s="545">
        <f>IFERROR(CEILING($AR1305*VLOOKUP($I1305,Ref!$B$23:$E$29,4,0),1),0)</f>
        <v>0</v>
      </c>
      <c r="AT1305" s="545" t="str">
        <f>IF(A1305="","",IF(AP1305&lt;=1,"Cleared",IF(AS1305=0,"Clean",VLOOKUP($AS1305,Ref!$G$23:$H$28,2))))</f>
        <v/>
      </c>
      <c r="AU1305" s="546" t="str">
        <f t="shared" si="562"/>
        <v/>
      </c>
    </row>
    <row r="1306" spans="1:47" ht="14.25" hidden="1" customHeight="1" x14ac:dyDescent="0.15">
      <c r="A1306" s="523"/>
      <c r="B1306" s="523"/>
      <c r="C1306" s="523"/>
      <c r="D1306" s="523"/>
      <c r="E1306" s="579"/>
      <c r="F1306" s="580"/>
      <c r="G1306" s="524"/>
      <c r="H1306" s="555"/>
      <c r="I1306" s="560"/>
      <c r="J1306" s="523"/>
      <c r="K1306" s="528" t="str">
        <f>IFERROR(VLOOKUP($B1306,'Clients-Live'!$A:$C,3,0),"")</f>
        <v/>
      </c>
      <c r="L1306" s="528">
        <f>IF(E1306="STL",Pricing!$D$38,IF(A1306="",0,IF(A1306&lt;Pricing!$C$25,Pricing!$D$25,VLOOKUP(Disbursements!$F1306,Pricing!$B$29:$D$32,3))))</f>
        <v>0</v>
      </c>
      <c r="M1306" s="528">
        <f>IF(E1306="STL",0,IF(F1306&gt;0,Pricing!$D$21,0))</f>
        <v>0</v>
      </c>
      <c r="N1306" s="529">
        <f>IF(E1306="STL",F1306*Pricing!$D$40,IF(A1306&lt;=Pricing!$C$4,0,IF(AND(A1306&gt;Pricing!$C$4,Disbursements!A1306&lt;=Pricing!$C$5),F1306*Pricing!$E$5,IF(AND(A1306&gt;Pricing!$C$5,Disbursements!A1306&lt;=Pricing!$C$7),VLOOKUP(F1306,Pricing!$D$7:$E$8,2)*Disbursements!F1306,F1306*Pricing!$E$9))))</f>
        <v>0</v>
      </c>
      <c r="O1306" s="528">
        <f>IF(E1306="STL",0,IF($F1306&gt;0,$F1306*Pricing!$D$17,0))</f>
        <v>0</v>
      </c>
      <c r="P1306" s="530" t="str">
        <f t="shared" si="542"/>
        <v/>
      </c>
      <c r="Q1306" s="531" t="str">
        <f>IF($A1306="","",$G1306/VLOOKUP($I1306,Ref!$B$23:$D$29,2,0))</f>
        <v/>
      </c>
      <c r="R1306" s="530" t="str">
        <f t="shared" si="543"/>
        <v/>
      </c>
      <c r="S1306" s="532" t="str">
        <f t="shared" si="537"/>
        <v/>
      </c>
      <c r="T1306" s="531" t="str">
        <f t="shared" si="544"/>
        <v/>
      </c>
      <c r="U1306" s="533">
        <f t="shared" si="545"/>
        <v>0</v>
      </c>
      <c r="V1306" s="531" t="str">
        <f t="shared" si="546"/>
        <v/>
      </c>
      <c r="W1306" s="531" t="str">
        <f t="shared" si="547"/>
        <v/>
      </c>
      <c r="X1306" s="534" t="str">
        <f t="shared" si="548"/>
        <v/>
      </c>
      <c r="Y1306" s="535" t="str">
        <f>IF($A1306="","",IF($I1306="weekly",$A1306+7,EDATE($A1306,VLOOKUP($I1306,Ref!$B$24:$C$29,2,0))))</f>
        <v/>
      </c>
      <c r="Z1306" s="536" t="str">
        <f t="shared" si="549"/>
        <v/>
      </c>
      <c r="AA1306" s="531">
        <f t="shared" si="550"/>
        <v>0</v>
      </c>
      <c r="AB1306" s="535" t="str">
        <f t="shared" si="538"/>
        <v/>
      </c>
      <c r="AC1306" s="537" t="str">
        <f t="shared" si="539"/>
        <v/>
      </c>
      <c r="AD1306" s="538" t="str">
        <f t="shared" ca="1" si="540"/>
        <v/>
      </c>
      <c r="AE1306" s="537">
        <f t="shared" ca="1" si="541"/>
        <v>0</v>
      </c>
      <c r="AF1306" s="539" t="str">
        <f t="shared" ca="1" si="551"/>
        <v/>
      </c>
      <c r="AG1306" s="531" t="str">
        <f t="shared" ca="1" si="552"/>
        <v/>
      </c>
      <c r="AH1306" s="531" t="str">
        <f t="shared" ca="1" si="553"/>
        <v/>
      </c>
      <c r="AI1306" s="531" t="str">
        <f t="shared" ca="1" si="554"/>
        <v/>
      </c>
      <c r="AJ1306" s="531" t="str">
        <f t="shared" si="555"/>
        <v/>
      </c>
      <c r="AK1306" s="540">
        <f>SUMIFS('Live Collections'!$S:$S,'Live Collections'!$D:$D,Disbursements!B1306,'Live Collections'!$G:$G,Disbursements!C1306)</f>
        <v>0</v>
      </c>
      <c r="AL1306" s="540">
        <f>SUMIFS('Live Collections'!$T:$T,'Live Collections'!$D:$D,Disbursements!B1306,'Live Collections'!$G:$G,Disbursements!C1306)</f>
        <v>0</v>
      </c>
      <c r="AM1306" s="541">
        <f t="shared" si="556"/>
        <v>0</v>
      </c>
      <c r="AN1306" s="542" t="str">
        <f t="shared" si="557"/>
        <v/>
      </c>
      <c r="AO1306" s="542" t="str">
        <f t="shared" si="558"/>
        <v/>
      </c>
      <c r="AP1306" s="543" t="str">
        <f t="shared" si="559"/>
        <v/>
      </c>
      <c r="AQ1306" s="544" t="str">
        <f t="shared" si="560"/>
        <v/>
      </c>
      <c r="AR1306" s="545">
        <f t="shared" si="561"/>
        <v>0</v>
      </c>
      <c r="AS1306" s="545">
        <f>IFERROR(CEILING($AR1306*VLOOKUP($I1306,Ref!$B$23:$E$29,4,0),1),0)</f>
        <v>0</v>
      </c>
      <c r="AT1306" s="545" t="str">
        <f>IF(A1306="","",IF(AP1306&lt;=1,"Cleared",IF(AS1306=0,"Clean",VLOOKUP($AS1306,Ref!$G$23:$H$28,2))))</f>
        <v/>
      </c>
      <c r="AU1306" s="546" t="str">
        <f t="shared" si="562"/>
        <v/>
      </c>
    </row>
    <row r="1307" spans="1:47" ht="14.25" hidden="1" customHeight="1" x14ac:dyDescent="0.15">
      <c r="A1307" s="523"/>
      <c r="B1307" s="523"/>
      <c r="C1307" s="523"/>
      <c r="D1307" s="523"/>
      <c r="E1307" s="579"/>
      <c r="F1307" s="580"/>
      <c r="G1307" s="524"/>
      <c r="H1307" s="555"/>
      <c r="I1307" s="560"/>
      <c r="J1307" s="523"/>
      <c r="K1307" s="528" t="str">
        <f>IFERROR(VLOOKUP($B1307,'Clients-Live'!$A:$C,3,0),"")</f>
        <v/>
      </c>
      <c r="L1307" s="528">
        <f>IF(E1307="STL",Pricing!$D$38,IF(A1307="",0,IF(A1307&lt;Pricing!$C$25,Pricing!$D$25,VLOOKUP(Disbursements!$F1307,Pricing!$B$29:$D$32,3))))</f>
        <v>0</v>
      </c>
      <c r="M1307" s="528">
        <f>IF(E1307="STL",0,IF(F1307&gt;0,Pricing!$D$21,0))</f>
        <v>0</v>
      </c>
      <c r="N1307" s="529">
        <f>IF(E1307="STL",F1307*Pricing!$D$40,IF(A1307&lt;=Pricing!$C$4,0,IF(AND(A1307&gt;Pricing!$C$4,Disbursements!A1307&lt;=Pricing!$C$5),F1307*Pricing!$E$5,IF(AND(A1307&gt;Pricing!$C$5,Disbursements!A1307&lt;=Pricing!$C$7),VLOOKUP(F1307,Pricing!$D$7:$E$8,2)*Disbursements!F1307,F1307*Pricing!$E$9))))</f>
        <v>0</v>
      </c>
      <c r="O1307" s="528">
        <f>IF(E1307="STL",0,IF($F1307&gt;0,$F1307*Pricing!$D$17,0))</f>
        <v>0</v>
      </c>
      <c r="P1307" s="530" t="str">
        <f t="shared" si="542"/>
        <v/>
      </c>
      <c r="Q1307" s="531" t="str">
        <f>IF($A1307="","",$G1307/VLOOKUP($I1307,Ref!$B$23:$D$29,2,0))</f>
        <v/>
      </c>
      <c r="R1307" s="530" t="str">
        <f t="shared" si="543"/>
        <v/>
      </c>
      <c r="S1307" s="532" t="str">
        <f t="shared" si="537"/>
        <v/>
      </c>
      <c r="T1307" s="531" t="str">
        <f t="shared" si="544"/>
        <v/>
      </c>
      <c r="U1307" s="533">
        <f t="shared" si="545"/>
        <v>0</v>
      </c>
      <c r="V1307" s="531" t="str">
        <f t="shared" si="546"/>
        <v/>
      </c>
      <c r="W1307" s="531" t="str">
        <f t="shared" si="547"/>
        <v/>
      </c>
      <c r="X1307" s="534" t="str">
        <f t="shared" si="548"/>
        <v/>
      </c>
      <c r="Y1307" s="535" t="str">
        <f>IF($A1307="","",IF($I1307="weekly",$A1307+7,EDATE($A1307,VLOOKUP($I1307,Ref!$B$24:$C$29,2,0))))</f>
        <v/>
      </c>
      <c r="Z1307" s="536" t="str">
        <f t="shared" si="549"/>
        <v/>
      </c>
      <c r="AA1307" s="531">
        <f t="shared" si="550"/>
        <v>0</v>
      </c>
      <c r="AB1307" s="535" t="str">
        <f t="shared" si="538"/>
        <v/>
      </c>
      <c r="AC1307" s="537" t="str">
        <f t="shared" si="539"/>
        <v/>
      </c>
      <c r="AD1307" s="538" t="str">
        <f t="shared" ca="1" si="540"/>
        <v/>
      </c>
      <c r="AE1307" s="537">
        <f t="shared" ca="1" si="541"/>
        <v>0</v>
      </c>
      <c r="AF1307" s="539" t="str">
        <f t="shared" ca="1" si="551"/>
        <v/>
      </c>
      <c r="AG1307" s="531" t="str">
        <f t="shared" ca="1" si="552"/>
        <v/>
      </c>
      <c r="AH1307" s="531" t="str">
        <f t="shared" ca="1" si="553"/>
        <v/>
      </c>
      <c r="AI1307" s="531" t="str">
        <f t="shared" ca="1" si="554"/>
        <v/>
      </c>
      <c r="AJ1307" s="531" t="str">
        <f t="shared" si="555"/>
        <v/>
      </c>
      <c r="AK1307" s="540">
        <f>SUMIFS('Live Collections'!$S:$S,'Live Collections'!$D:$D,Disbursements!B1307,'Live Collections'!$G:$G,Disbursements!C1307)</f>
        <v>0</v>
      </c>
      <c r="AL1307" s="540">
        <f>SUMIFS('Live Collections'!$T:$T,'Live Collections'!$D:$D,Disbursements!B1307,'Live Collections'!$G:$G,Disbursements!C1307)</f>
        <v>0</v>
      </c>
      <c r="AM1307" s="541">
        <f t="shared" si="556"/>
        <v>0</v>
      </c>
      <c r="AN1307" s="542" t="str">
        <f t="shared" si="557"/>
        <v/>
      </c>
      <c r="AO1307" s="542" t="str">
        <f t="shared" si="558"/>
        <v/>
      </c>
      <c r="AP1307" s="543" t="str">
        <f t="shared" si="559"/>
        <v/>
      </c>
      <c r="AQ1307" s="544" t="str">
        <f t="shared" si="560"/>
        <v/>
      </c>
      <c r="AR1307" s="545">
        <f t="shared" si="561"/>
        <v>0</v>
      </c>
      <c r="AS1307" s="545">
        <f>IFERROR(CEILING($AR1307*VLOOKUP($I1307,Ref!$B$23:$E$29,4,0),1),0)</f>
        <v>0</v>
      </c>
      <c r="AT1307" s="545" t="str">
        <f>IF(A1307="","",IF(AP1307&lt;=1,"Cleared",IF(AS1307=0,"Clean",VLOOKUP($AS1307,Ref!$G$23:$H$28,2))))</f>
        <v/>
      </c>
      <c r="AU1307" s="546" t="str">
        <f t="shared" si="562"/>
        <v/>
      </c>
    </row>
    <row r="1308" spans="1:47" ht="14.25" hidden="1" customHeight="1" x14ac:dyDescent="0.15">
      <c r="A1308" s="523"/>
      <c r="B1308" s="523"/>
      <c r="C1308" s="523"/>
      <c r="D1308" s="523"/>
      <c r="E1308" s="579"/>
      <c r="F1308" s="580"/>
      <c r="G1308" s="524"/>
      <c r="H1308" s="555"/>
      <c r="I1308" s="560"/>
      <c r="J1308" s="523"/>
      <c r="K1308" s="528" t="str">
        <f>IFERROR(VLOOKUP($B1308,'Clients-Live'!$A:$C,3,0),"")</f>
        <v/>
      </c>
      <c r="L1308" s="528">
        <f>IF(E1308="STL",Pricing!$D$38,IF(A1308="",0,IF(A1308&lt;Pricing!$C$25,Pricing!$D$25,VLOOKUP(Disbursements!$F1308,Pricing!$B$29:$D$32,3))))</f>
        <v>0</v>
      </c>
      <c r="M1308" s="528">
        <f>IF(E1308="STL",0,IF(F1308&gt;0,Pricing!$D$21,0))</f>
        <v>0</v>
      </c>
      <c r="N1308" s="529">
        <f>IF(E1308="STL",F1308*Pricing!$D$40,IF(A1308&lt;=Pricing!$C$4,0,IF(AND(A1308&gt;Pricing!$C$4,Disbursements!A1308&lt;=Pricing!$C$5),F1308*Pricing!$E$5,IF(AND(A1308&gt;Pricing!$C$5,Disbursements!A1308&lt;=Pricing!$C$7),VLOOKUP(F1308,Pricing!$D$7:$E$8,2)*Disbursements!F1308,F1308*Pricing!$E$9))))</f>
        <v>0</v>
      </c>
      <c r="O1308" s="528">
        <f>IF(E1308="STL",0,IF($F1308&gt;0,$F1308*Pricing!$D$17,0))</f>
        <v>0</v>
      </c>
      <c r="P1308" s="530" t="str">
        <f t="shared" si="542"/>
        <v/>
      </c>
      <c r="Q1308" s="531" t="str">
        <f>IF($A1308="","",$G1308/VLOOKUP($I1308,Ref!$B$23:$D$29,2,0))</f>
        <v/>
      </c>
      <c r="R1308" s="530" t="str">
        <f t="shared" si="543"/>
        <v/>
      </c>
      <c r="S1308" s="532" t="str">
        <f t="shared" si="537"/>
        <v/>
      </c>
      <c r="T1308" s="531" t="str">
        <f t="shared" si="544"/>
        <v/>
      </c>
      <c r="U1308" s="533">
        <f t="shared" si="545"/>
        <v>0</v>
      </c>
      <c r="V1308" s="531" t="str">
        <f t="shared" si="546"/>
        <v/>
      </c>
      <c r="W1308" s="531" t="str">
        <f t="shared" si="547"/>
        <v/>
      </c>
      <c r="X1308" s="534" t="str">
        <f t="shared" si="548"/>
        <v/>
      </c>
      <c r="Y1308" s="535" t="str">
        <f>IF($A1308="","",IF($I1308="weekly",$A1308+7,EDATE($A1308,VLOOKUP($I1308,Ref!$B$24:$C$29,2,0))))</f>
        <v/>
      </c>
      <c r="Z1308" s="536" t="str">
        <f t="shared" si="549"/>
        <v/>
      </c>
      <c r="AA1308" s="531">
        <f t="shared" si="550"/>
        <v>0</v>
      </c>
      <c r="AB1308" s="535" t="str">
        <f t="shared" si="538"/>
        <v/>
      </c>
      <c r="AC1308" s="537" t="str">
        <f t="shared" si="539"/>
        <v/>
      </c>
      <c r="AD1308" s="538" t="str">
        <f t="shared" ca="1" si="540"/>
        <v/>
      </c>
      <c r="AE1308" s="537">
        <f t="shared" ca="1" si="541"/>
        <v>0</v>
      </c>
      <c r="AF1308" s="539" t="str">
        <f t="shared" ca="1" si="551"/>
        <v/>
      </c>
      <c r="AG1308" s="531" t="str">
        <f t="shared" ca="1" si="552"/>
        <v/>
      </c>
      <c r="AH1308" s="531" t="str">
        <f t="shared" ca="1" si="553"/>
        <v/>
      </c>
      <c r="AI1308" s="531" t="str">
        <f t="shared" ca="1" si="554"/>
        <v/>
      </c>
      <c r="AJ1308" s="531" t="str">
        <f t="shared" si="555"/>
        <v/>
      </c>
      <c r="AK1308" s="540">
        <f>SUMIFS('Live Collections'!$S:$S,'Live Collections'!$D:$D,Disbursements!B1308,'Live Collections'!$G:$G,Disbursements!C1308)</f>
        <v>0</v>
      </c>
      <c r="AL1308" s="540">
        <f>SUMIFS('Live Collections'!$T:$T,'Live Collections'!$D:$D,Disbursements!B1308,'Live Collections'!$G:$G,Disbursements!C1308)</f>
        <v>0</v>
      </c>
      <c r="AM1308" s="541">
        <f t="shared" si="556"/>
        <v>0</v>
      </c>
      <c r="AN1308" s="542" t="str">
        <f t="shared" si="557"/>
        <v/>
      </c>
      <c r="AO1308" s="542" t="str">
        <f t="shared" si="558"/>
        <v/>
      </c>
      <c r="AP1308" s="543" t="str">
        <f t="shared" si="559"/>
        <v/>
      </c>
      <c r="AQ1308" s="544" t="str">
        <f t="shared" si="560"/>
        <v/>
      </c>
      <c r="AR1308" s="545">
        <f t="shared" si="561"/>
        <v>0</v>
      </c>
      <c r="AS1308" s="545">
        <f>IFERROR(CEILING($AR1308*VLOOKUP($I1308,Ref!$B$23:$E$29,4,0),1),0)</f>
        <v>0</v>
      </c>
      <c r="AT1308" s="545" t="str">
        <f>IF(A1308="","",IF(AP1308&lt;=1,"Cleared",IF(AS1308=0,"Clean",VLOOKUP($AS1308,Ref!$G$23:$H$28,2))))</f>
        <v/>
      </c>
      <c r="AU1308" s="546" t="str">
        <f t="shared" si="562"/>
        <v/>
      </c>
    </row>
    <row r="1309" spans="1:47" ht="14.25" hidden="1" customHeight="1" x14ac:dyDescent="0.15">
      <c r="A1309" s="523"/>
      <c r="B1309" s="523"/>
      <c r="C1309" s="523"/>
      <c r="D1309" s="523"/>
      <c r="E1309" s="579"/>
      <c r="F1309" s="580"/>
      <c r="G1309" s="524"/>
      <c r="H1309" s="555"/>
      <c r="I1309" s="560"/>
      <c r="J1309" s="523"/>
      <c r="K1309" s="528" t="str">
        <f>IFERROR(VLOOKUP($B1309,'Clients-Live'!$A:$C,3,0),"")</f>
        <v/>
      </c>
      <c r="L1309" s="528">
        <f>IF(E1309="STL",Pricing!$D$38,IF(A1309="",0,IF(A1309&lt;Pricing!$C$25,Pricing!$D$25,VLOOKUP(Disbursements!$F1309,Pricing!$B$29:$D$32,3))))</f>
        <v>0</v>
      </c>
      <c r="M1309" s="528">
        <f>IF(E1309="STL",0,IF(F1309&gt;0,Pricing!$D$21,0))</f>
        <v>0</v>
      </c>
      <c r="N1309" s="529">
        <f>IF(E1309="STL",F1309*Pricing!$D$40,IF(A1309&lt;=Pricing!$C$4,0,IF(AND(A1309&gt;Pricing!$C$4,Disbursements!A1309&lt;=Pricing!$C$5),F1309*Pricing!$E$5,IF(AND(A1309&gt;Pricing!$C$5,Disbursements!A1309&lt;=Pricing!$C$7),VLOOKUP(F1309,Pricing!$D$7:$E$8,2)*Disbursements!F1309,F1309*Pricing!$E$9))))</f>
        <v>0</v>
      </c>
      <c r="O1309" s="528">
        <f>IF(E1309="STL",0,IF($F1309&gt;0,$F1309*Pricing!$D$17,0))</f>
        <v>0</v>
      </c>
      <c r="P1309" s="530" t="str">
        <f t="shared" si="542"/>
        <v/>
      </c>
      <c r="Q1309" s="531" t="str">
        <f>IF($A1309="","",$G1309/VLOOKUP($I1309,Ref!$B$23:$D$29,2,0))</f>
        <v/>
      </c>
      <c r="R1309" s="530" t="str">
        <f t="shared" si="543"/>
        <v/>
      </c>
      <c r="S1309" s="532" t="str">
        <f t="shared" si="537"/>
        <v/>
      </c>
      <c r="T1309" s="531" t="str">
        <f t="shared" si="544"/>
        <v/>
      </c>
      <c r="U1309" s="533">
        <f t="shared" si="545"/>
        <v>0</v>
      </c>
      <c r="V1309" s="531" t="str">
        <f t="shared" si="546"/>
        <v/>
      </c>
      <c r="W1309" s="531" t="str">
        <f t="shared" si="547"/>
        <v/>
      </c>
      <c r="X1309" s="534" t="str">
        <f t="shared" si="548"/>
        <v/>
      </c>
      <c r="Y1309" s="535" t="str">
        <f>IF($A1309="","",IF($I1309="weekly",$A1309+7,EDATE($A1309,VLOOKUP($I1309,Ref!$B$24:$C$29,2,0))))</f>
        <v/>
      </c>
      <c r="Z1309" s="536" t="str">
        <f t="shared" si="549"/>
        <v/>
      </c>
      <c r="AA1309" s="531">
        <f t="shared" si="550"/>
        <v>0</v>
      </c>
      <c r="AB1309" s="535" t="str">
        <f t="shared" si="538"/>
        <v/>
      </c>
      <c r="AC1309" s="537" t="str">
        <f t="shared" si="539"/>
        <v/>
      </c>
      <c r="AD1309" s="538" t="str">
        <f t="shared" ca="1" si="540"/>
        <v/>
      </c>
      <c r="AE1309" s="537">
        <f t="shared" ca="1" si="541"/>
        <v>0</v>
      </c>
      <c r="AF1309" s="539" t="str">
        <f t="shared" ca="1" si="551"/>
        <v/>
      </c>
      <c r="AG1309" s="531" t="str">
        <f t="shared" ca="1" si="552"/>
        <v/>
      </c>
      <c r="AH1309" s="531" t="str">
        <f t="shared" ca="1" si="553"/>
        <v/>
      </c>
      <c r="AI1309" s="531" t="str">
        <f t="shared" ca="1" si="554"/>
        <v/>
      </c>
      <c r="AJ1309" s="531" t="str">
        <f t="shared" si="555"/>
        <v/>
      </c>
      <c r="AK1309" s="540">
        <f>SUMIFS('Live Collections'!$S:$S,'Live Collections'!$D:$D,Disbursements!B1309,'Live Collections'!$G:$G,Disbursements!C1309)</f>
        <v>0</v>
      </c>
      <c r="AL1309" s="540">
        <f>SUMIFS('Live Collections'!$T:$T,'Live Collections'!$D:$D,Disbursements!B1309,'Live Collections'!$G:$G,Disbursements!C1309)</f>
        <v>0</v>
      </c>
      <c r="AM1309" s="541">
        <f t="shared" si="556"/>
        <v>0</v>
      </c>
      <c r="AN1309" s="542" t="str">
        <f t="shared" si="557"/>
        <v/>
      </c>
      <c r="AO1309" s="542" t="str">
        <f t="shared" si="558"/>
        <v/>
      </c>
      <c r="AP1309" s="543" t="str">
        <f t="shared" si="559"/>
        <v/>
      </c>
      <c r="AQ1309" s="544" t="str">
        <f t="shared" si="560"/>
        <v/>
      </c>
      <c r="AR1309" s="545">
        <f t="shared" si="561"/>
        <v>0</v>
      </c>
      <c r="AS1309" s="545">
        <f>IFERROR(CEILING($AR1309*VLOOKUP($I1309,Ref!$B$23:$E$29,4,0),1),0)</f>
        <v>0</v>
      </c>
      <c r="AT1309" s="545" t="str">
        <f>IF(A1309="","",IF(AP1309&lt;=1,"Cleared",IF(AS1309=0,"Clean",VLOOKUP($AS1309,Ref!$G$23:$H$28,2))))</f>
        <v/>
      </c>
      <c r="AU1309" s="546" t="str">
        <f t="shared" si="562"/>
        <v/>
      </c>
    </row>
    <row r="1310" spans="1:47" ht="14.25" hidden="1" customHeight="1" x14ac:dyDescent="0.15">
      <c r="A1310" s="523"/>
      <c r="B1310" s="523"/>
      <c r="C1310" s="523"/>
      <c r="D1310" s="523"/>
      <c r="E1310" s="579"/>
      <c r="F1310" s="580"/>
      <c r="G1310" s="524"/>
      <c r="H1310" s="555"/>
      <c r="I1310" s="560"/>
      <c r="J1310" s="523"/>
      <c r="K1310" s="528" t="str">
        <f>IFERROR(VLOOKUP($B1310,'Clients-Live'!$A:$C,3,0),"")</f>
        <v/>
      </c>
      <c r="L1310" s="528">
        <f>IF(E1310="STL",Pricing!$D$38,IF(A1310="",0,IF(A1310&lt;Pricing!$C$25,Pricing!$D$25,VLOOKUP(Disbursements!$F1310,Pricing!$B$29:$D$32,3))))</f>
        <v>0</v>
      </c>
      <c r="M1310" s="528">
        <f>IF(E1310="STL",0,IF(F1310&gt;0,Pricing!$D$21,0))</f>
        <v>0</v>
      </c>
      <c r="N1310" s="529">
        <f>IF(E1310="STL",F1310*Pricing!$D$40,IF(A1310&lt;=Pricing!$C$4,0,IF(AND(A1310&gt;Pricing!$C$4,Disbursements!A1310&lt;=Pricing!$C$5),F1310*Pricing!$E$5,IF(AND(A1310&gt;Pricing!$C$5,Disbursements!A1310&lt;=Pricing!$C$7),VLOOKUP(F1310,Pricing!$D$7:$E$8,2)*Disbursements!F1310,F1310*Pricing!$E$9))))</f>
        <v>0</v>
      </c>
      <c r="O1310" s="528">
        <f>IF(E1310="STL",0,IF($F1310&gt;0,$F1310*Pricing!$D$17,0))</f>
        <v>0</v>
      </c>
      <c r="P1310" s="530" t="str">
        <f t="shared" si="542"/>
        <v/>
      </c>
      <c r="Q1310" s="531" t="str">
        <f>IF($A1310="","",$G1310/VLOOKUP($I1310,Ref!$B$23:$D$29,2,0))</f>
        <v/>
      </c>
      <c r="R1310" s="530" t="str">
        <f t="shared" si="543"/>
        <v/>
      </c>
      <c r="S1310" s="532" t="str">
        <f t="shared" si="537"/>
        <v/>
      </c>
      <c r="T1310" s="531" t="str">
        <f t="shared" si="544"/>
        <v/>
      </c>
      <c r="U1310" s="533">
        <f t="shared" si="545"/>
        <v>0</v>
      </c>
      <c r="V1310" s="531" t="str">
        <f t="shared" si="546"/>
        <v/>
      </c>
      <c r="W1310" s="531" t="str">
        <f t="shared" si="547"/>
        <v/>
      </c>
      <c r="X1310" s="534" t="str">
        <f t="shared" si="548"/>
        <v/>
      </c>
      <c r="Y1310" s="535" t="str">
        <f>IF($A1310="","",IF($I1310="weekly",$A1310+7,EDATE($A1310,VLOOKUP($I1310,Ref!$B$24:$C$29,2,0))))</f>
        <v/>
      </c>
      <c r="Z1310" s="536" t="str">
        <f t="shared" si="549"/>
        <v/>
      </c>
      <c r="AA1310" s="531">
        <f t="shared" si="550"/>
        <v>0</v>
      </c>
      <c r="AB1310" s="535" t="str">
        <f t="shared" si="538"/>
        <v/>
      </c>
      <c r="AC1310" s="537" t="str">
        <f t="shared" si="539"/>
        <v/>
      </c>
      <c r="AD1310" s="538" t="str">
        <f t="shared" ca="1" si="540"/>
        <v/>
      </c>
      <c r="AE1310" s="537">
        <f t="shared" ca="1" si="541"/>
        <v>0</v>
      </c>
      <c r="AF1310" s="539" t="str">
        <f t="shared" ca="1" si="551"/>
        <v/>
      </c>
      <c r="AG1310" s="531" t="str">
        <f t="shared" ca="1" si="552"/>
        <v/>
      </c>
      <c r="AH1310" s="531" t="str">
        <f t="shared" ca="1" si="553"/>
        <v/>
      </c>
      <c r="AI1310" s="531" t="str">
        <f t="shared" ca="1" si="554"/>
        <v/>
      </c>
      <c r="AJ1310" s="531" t="str">
        <f t="shared" si="555"/>
        <v/>
      </c>
      <c r="AK1310" s="540">
        <f>SUMIFS('Live Collections'!$S:$S,'Live Collections'!$D:$D,Disbursements!B1310,'Live Collections'!$G:$G,Disbursements!C1310)</f>
        <v>0</v>
      </c>
      <c r="AL1310" s="540">
        <f>SUMIFS('Live Collections'!$T:$T,'Live Collections'!$D:$D,Disbursements!B1310,'Live Collections'!$G:$G,Disbursements!C1310)</f>
        <v>0</v>
      </c>
      <c r="AM1310" s="541">
        <f t="shared" si="556"/>
        <v>0</v>
      </c>
      <c r="AN1310" s="542" t="str">
        <f t="shared" si="557"/>
        <v/>
      </c>
      <c r="AO1310" s="542" t="str">
        <f t="shared" si="558"/>
        <v/>
      </c>
      <c r="AP1310" s="543" t="str">
        <f t="shared" si="559"/>
        <v/>
      </c>
      <c r="AQ1310" s="544" t="str">
        <f t="shared" si="560"/>
        <v/>
      </c>
      <c r="AR1310" s="545">
        <f t="shared" si="561"/>
        <v>0</v>
      </c>
      <c r="AS1310" s="545">
        <f>IFERROR(CEILING($AR1310*VLOOKUP($I1310,Ref!$B$23:$E$29,4,0),1),0)</f>
        <v>0</v>
      </c>
      <c r="AT1310" s="545" t="str">
        <f>IF(A1310="","",IF(AP1310&lt;=1,"Cleared",IF(AS1310=0,"Clean",VLOOKUP($AS1310,Ref!$G$23:$H$28,2))))</f>
        <v/>
      </c>
      <c r="AU1310" s="546" t="str">
        <f t="shared" si="562"/>
        <v/>
      </c>
    </row>
    <row r="1311" spans="1:47" ht="14.25" hidden="1" customHeight="1" x14ac:dyDescent="0.15">
      <c r="A1311" s="523"/>
      <c r="B1311" s="523"/>
      <c r="C1311" s="523"/>
      <c r="D1311" s="523"/>
      <c r="E1311" s="579"/>
      <c r="F1311" s="580"/>
      <c r="G1311" s="524"/>
      <c r="H1311" s="555"/>
      <c r="I1311" s="560"/>
      <c r="J1311" s="523"/>
      <c r="K1311" s="528" t="str">
        <f>IFERROR(VLOOKUP($B1311,'Clients-Live'!$A:$C,3,0),"")</f>
        <v/>
      </c>
      <c r="L1311" s="528">
        <f>IF(E1311="STL",Pricing!$D$38,IF(A1311="",0,IF(A1311&lt;Pricing!$C$25,Pricing!$D$25,VLOOKUP(Disbursements!$F1311,Pricing!$B$29:$D$32,3))))</f>
        <v>0</v>
      </c>
      <c r="M1311" s="528">
        <f>IF(E1311="STL",0,IF(F1311&gt;0,Pricing!$D$21,0))</f>
        <v>0</v>
      </c>
      <c r="N1311" s="529">
        <f>IF(E1311="STL",F1311*Pricing!$D$40,IF(A1311&lt;=Pricing!$C$4,0,IF(AND(A1311&gt;Pricing!$C$4,Disbursements!A1311&lt;=Pricing!$C$5),F1311*Pricing!$E$5,IF(AND(A1311&gt;Pricing!$C$5,Disbursements!A1311&lt;=Pricing!$C$7),VLOOKUP(F1311,Pricing!$D$7:$E$8,2)*Disbursements!F1311,F1311*Pricing!$E$9))))</f>
        <v>0</v>
      </c>
      <c r="O1311" s="528">
        <f>IF(E1311="STL",0,IF($F1311&gt;0,$F1311*Pricing!$D$17,0))</f>
        <v>0</v>
      </c>
      <c r="P1311" s="530" t="str">
        <f t="shared" si="542"/>
        <v/>
      </c>
      <c r="Q1311" s="531" t="str">
        <f>IF($A1311="","",$G1311/VLOOKUP($I1311,Ref!$B$23:$D$29,2,0))</f>
        <v/>
      </c>
      <c r="R1311" s="530" t="str">
        <f t="shared" si="543"/>
        <v/>
      </c>
      <c r="S1311" s="532" t="str">
        <f t="shared" si="537"/>
        <v/>
      </c>
      <c r="T1311" s="531" t="str">
        <f t="shared" si="544"/>
        <v/>
      </c>
      <c r="U1311" s="533">
        <f t="shared" si="545"/>
        <v>0</v>
      </c>
      <c r="V1311" s="531" t="str">
        <f t="shared" si="546"/>
        <v/>
      </c>
      <c r="W1311" s="531" t="str">
        <f t="shared" si="547"/>
        <v/>
      </c>
      <c r="X1311" s="534" t="str">
        <f t="shared" si="548"/>
        <v/>
      </c>
      <c r="Y1311" s="535" t="str">
        <f>IF($A1311="","",IF($I1311="weekly",$A1311+7,EDATE($A1311,VLOOKUP($I1311,Ref!$B$24:$C$29,2,0))))</f>
        <v/>
      </c>
      <c r="Z1311" s="536" t="str">
        <f t="shared" si="549"/>
        <v/>
      </c>
      <c r="AA1311" s="531">
        <f t="shared" si="550"/>
        <v>0</v>
      </c>
      <c r="AB1311" s="535" t="str">
        <f t="shared" si="538"/>
        <v/>
      </c>
      <c r="AC1311" s="537" t="str">
        <f t="shared" si="539"/>
        <v/>
      </c>
      <c r="AD1311" s="538" t="str">
        <f t="shared" ca="1" si="540"/>
        <v/>
      </c>
      <c r="AE1311" s="537">
        <f t="shared" ca="1" si="541"/>
        <v>0</v>
      </c>
      <c r="AF1311" s="539" t="str">
        <f t="shared" ca="1" si="551"/>
        <v/>
      </c>
      <c r="AG1311" s="531" t="str">
        <f t="shared" ca="1" si="552"/>
        <v/>
      </c>
      <c r="AH1311" s="531" t="str">
        <f t="shared" ca="1" si="553"/>
        <v/>
      </c>
      <c r="AI1311" s="531" t="str">
        <f t="shared" ca="1" si="554"/>
        <v/>
      </c>
      <c r="AJ1311" s="531" t="str">
        <f t="shared" si="555"/>
        <v/>
      </c>
      <c r="AK1311" s="540">
        <f>SUMIFS('Live Collections'!$S:$S,'Live Collections'!$D:$D,Disbursements!B1311,'Live Collections'!$G:$G,Disbursements!C1311)</f>
        <v>0</v>
      </c>
      <c r="AL1311" s="540">
        <f>SUMIFS('Live Collections'!$T:$T,'Live Collections'!$D:$D,Disbursements!B1311,'Live Collections'!$G:$G,Disbursements!C1311)</f>
        <v>0</v>
      </c>
      <c r="AM1311" s="541">
        <f t="shared" si="556"/>
        <v>0</v>
      </c>
      <c r="AN1311" s="542" t="str">
        <f t="shared" si="557"/>
        <v/>
      </c>
      <c r="AO1311" s="542" t="str">
        <f t="shared" si="558"/>
        <v/>
      </c>
      <c r="AP1311" s="543" t="str">
        <f t="shared" si="559"/>
        <v/>
      </c>
      <c r="AQ1311" s="544" t="str">
        <f t="shared" si="560"/>
        <v/>
      </c>
      <c r="AR1311" s="545">
        <f t="shared" si="561"/>
        <v>0</v>
      </c>
      <c r="AS1311" s="545">
        <f>IFERROR(CEILING($AR1311*VLOOKUP($I1311,Ref!$B$23:$E$29,4,0),1),0)</f>
        <v>0</v>
      </c>
      <c r="AT1311" s="545" t="str">
        <f>IF(A1311="","",IF(AP1311&lt;=1,"Cleared",IF(AS1311=0,"Clean",VLOOKUP($AS1311,Ref!$G$23:$H$28,2))))</f>
        <v/>
      </c>
      <c r="AU1311" s="546" t="str">
        <f t="shared" si="562"/>
        <v/>
      </c>
    </row>
    <row r="1312" spans="1:47" ht="14.25" hidden="1" customHeight="1" x14ac:dyDescent="0.15">
      <c r="A1312" s="523"/>
      <c r="B1312" s="523"/>
      <c r="C1312" s="523"/>
      <c r="D1312" s="523"/>
      <c r="E1312" s="579"/>
      <c r="F1312" s="580"/>
      <c r="G1312" s="524"/>
      <c r="H1312" s="555"/>
      <c r="I1312" s="560"/>
      <c r="J1312" s="523"/>
      <c r="K1312" s="528" t="str">
        <f>IFERROR(VLOOKUP($B1312,'Clients-Live'!$A:$C,3,0),"")</f>
        <v/>
      </c>
      <c r="L1312" s="528">
        <f>IF(E1312="STL",Pricing!$D$38,IF(A1312="",0,IF(A1312&lt;Pricing!$C$25,Pricing!$D$25,VLOOKUP(Disbursements!$F1312,Pricing!$B$29:$D$32,3))))</f>
        <v>0</v>
      </c>
      <c r="M1312" s="528">
        <f>IF(E1312="STL",0,IF(F1312&gt;0,Pricing!$D$21,0))</f>
        <v>0</v>
      </c>
      <c r="N1312" s="529">
        <f>IF(E1312="STL",F1312*Pricing!$D$40,IF(A1312&lt;=Pricing!$C$4,0,IF(AND(A1312&gt;Pricing!$C$4,Disbursements!A1312&lt;=Pricing!$C$5),F1312*Pricing!$E$5,IF(AND(A1312&gt;Pricing!$C$5,Disbursements!A1312&lt;=Pricing!$C$7),VLOOKUP(F1312,Pricing!$D$7:$E$8,2)*Disbursements!F1312,F1312*Pricing!$E$9))))</f>
        <v>0</v>
      </c>
      <c r="O1312" s="528">
        <f>IF(E1312="STL",0,IF($F1312&gt;0,$F1312*Pricing!$D$17,0))</f>
        <v>0</v>
      </c>
      <c r="P1312" s="530" t="str">
        <f t="shared" si="542"/>
        <v/>
      </c>
      <c r="Q1312" s="531" t="str">
        <f>IF($A1312="","",$G1312/VLOOKUP($I1312,Ref!$B$23:$D$29,2,0))</f>
        <v/>
      </c>
      <c r="R1312" s="530" t="str">
        <f t="shared" si="543"/>
        <v/>
      </c>
      <c r="S1312" s="532" t="str">
        <f t="shared" si="537"/>
        <v/>
      </c>
      <c r="T1312" s="531" t="str">
        <f t="shared" si="544"/>
        <v/>
      </c>
      <c r="U1312" s="533">
        <f t="shared" si="545"/>
        <v>0</v>
      </c>
      <c r="V1312" s="531" t="str">
        <f t="shared" si="546"/>
        <v/>
      </c>
      <c r="W1312" s="531" t="str">
        <f t="shared" si="547"/>
        <v/>
      </c>
      <c r="X1312" s="534" t="str">
        <f t="shared" si="548"/>
        <v/>
      </c>
      <c r="Y1312" s="535" t="str">
        <f>IF($A1312="","",IF($I1312="weekly",$A1312+7,EDATE($A1312,VLOOKUP($I1312,Ref!$B$24:$C$29,2,0))))</f>
        <v/>
      </c>
      <c r="Z1312" s="536" t="str">
        <f t="shared" si="549"/>
        <v/>
      </c>
      <c r="AA1312" s="531">
        <f t="shared" si="550"/>
        <v>0</v>
      </c>
      <c r="AB1312" s="535" t="str">
        <f t="shared" si="538"/>
        <v/>
      </c>
      <c r="AC1312" s="537" t="str">
        <f t="shared" si="539"/>
        <v/>
      </c>
      <c r="AD1312" s="538" t="str">
        <f t="shared" ca="1" si="540"/>
        <v/>
      </c>
      <c r="AE1312" s="537">
        <f t="shared" ca="1" si="541"/>
        <v>0</v>
      </c>
      <c r="AF1312" s="539" t="str">
        <f t="shared" ca="1" si="551"/>
        <v/>
      </c>
      <c r="AG1312" s="531" t="str">
        <f t="shared" ca="1" si="552"/>
        <v/>
      </c>
      <c r="AH1312" s="531" t="str">
        <f t="shared" ca="1" si="553"/>
        <v/>
      </c>
      <c r="AI1312" s="531" t="str">
        <f t="shared" ca="1" si="554"/>
        <v/>
      </c>
      <c r="AJ1312" s="531" t="str">
        <f t="shared" si="555"/>
        <v/>
      </c>
      <c r="AK1312" s="540">
        <f>SUMIFS('Live Collections'!$S:$S,'Live Collections'!$D:$D,Disbursements!B1312,'Live Collections'!$G:$G,Disbursements!C1312)</f>
        <v>0</v>
      </c>
      <c r="AL1312" s="540">
        <f>SUMIFS('Live Collections'!$T:$T,'Live Collections'!$D:$D,Disbursements!B1312,'Live Collections'!$G:$G,Disbursements!C1312)</f>
        <v>0</v>
      </c>
      <c r="AM1312" s="541">
        <f t="shared" si="556"/>
        <v>0</v>
      </c>
      <c r="AN1312" s="542" t="str">
        <f t="shared" si="557"/>
        <v/>
      </c>
      <c r="AO1312" s="542" t="str">
        <f t="shared" si="558"/>
        <v/>
      </c>
      <c r="AP1312" s="543" t="str">
        <f t="shared" si="559"/>
        <v/>
      </c>
      <c r="AQ1312" s="544" t="str">
        <f t="shared" si="560"/>
        <v/>
      </c>
      <c r="AR1312" s="545">
        <f t="shared" si="561"/>
        <v>0</v>
      </c>
      <c r="AS1312" s="545">
        <f>IFERROR(CEILING($AR1312*VLOOKUP($I1312,Ref!$B$23:$E$29,4,0),1),0)</f>
        <v>0</v>
      </c>
      <c r="AT1312" s="545" t="str">
        <f>IF(A1312="","",IF(AP1312&lt;=1,"Cleared",IF(AS1312=0,"Clean",VLOOKUP($AS1312,Ref!$G$23:$H$28,2))))</f>
        <v/>
      </c>
      <c r="AU1312" s="546" t="str">
        <f t="shared" si="562"/>
        <v/>
      </c>
    </row>
    <row r="1313" spans="1:47" ht="14.25" hidden="1" customHeight="1" x14ac:dyDescent="0.15">
      <c r="A1313" s="523"/>
      <c r="B1313" s="523"/>
      <c r="C1313" s="523"/>
      <c r="D1313" s="523"/>
      <c r="E1313" s="579"/>
      <c r="F1313" s="580"/>
      <c r="G1313" s="524"/>
      <c r="H1313" s="555"/>
      <c r="I1313" s="560"/>
      <c r="J1313" s="523"/>
      <c r="K1313" s="528" t="str">
        <f>IFERROR(VLOOKUP($B1313,'Clients-Live'!$A:$C,3,0),"")</f>
        <v/>
      </c>
      <c r="L1313" s="528">
        <f>IF(E1313="STL",Pricing!$D$38,IF(A1313="",0,IF(A1313&lt;Pricing!$C$25,Pricing!$D$25,VLOOKUP(Disbursements!$F1313,Pricing!$B$29:$D$32,3))))</f>
        <v>0</v>
      </c>
      <c r="M1313" s="528">
        <f>IF(E1313="STL",0,IF(F1313&gt;0,Pricing!$D$21,0))</f>
        <v>0</v>
      </c>
      <c r="N1313" s="529">
        <f>IF(E1313="STL",F1313*Pricing!$D$40,IF(A1313&lt;=Pricing!$C$4,0,IF(AND(A1313&gt;Pricing!$C$4,Disbursements!A1313&lt;=Pricing!$C$5),F1313*Pricing!$E$5,IF(AND(A1313&gt;Pricing!$C$5,Disbursements!A1313&lt;=Pricing!$C$7),VLOOKUP(F1313,Pricing!$D$7:$E$8,2)*Disbursements!F1313,F1313*Pricing!$E$9))))</f>
        <v>0</v>
      </c>
      <c r="O1313" s="528">
        <f>IF(E1313="STL",0,IF($F1313&gt;0,$F1313*Pricing!$D$17,0))</f>
        <v>0</v>
      </c>
      <c r="P1313" s="530" t="str">
        <f t="shared" si="542"/>
        <v/>
      </c>
      <c r="Q1313" s="531" t="str">
        <f>IF($A1313="","",$G1313/VLOOKUP($I1313,Ref!$B$23:$D$29,2,0))</f>
        <v/>
      </c>
      <c r="R1313" s="530" t="str">
        <f t="shared" si="543"/>
        <v/>
      </c>
      <c r="S1313" s="532" t="str">
        <f t="shared" si="537"/>
        <v/>
      </c>
      <c r="T1313" s="531" t="str">
        <f t="shared" si="544"/>
        <v/>
      </c>
      <c r="U1313" s="533">
        <f t="shared" si="545"/>
        <v>0</v>
      </c>
      <c r="V1313" s="531" t="str">
        <f t="shared" si="546"/>
        <v/>
      </c>
      <c r="W1313" s="531" t="str">
        <f t="shared" si="547"/>
        <v/>
      </c>
      <c r="X1313" s="534" t="str">
        <f t="shared" si="548"/>
        <v/>
      </c>
      <c r="Y1313" s="535" t="str">
        <f>IF($A1313="","",IF($I1313="weekly",$A1313+7,EDATE($A1313,VLOOKUP($I1313,Ref!$B$24:$C$29,2,0))))</f>
        <v/>
      </c>
      <c r="Z1313" s="536" t="str">
        <f t="shared" si="549"/>
        <v/>
      </c>
      <c r="AA1313" s="531">
        <f t="shared" si="550"/>
        <v>0</v>
      </c>
      <c r="AB1313" s="535" t="str">
        <f t="shared" si="538"/>
        <v/>
      </c>
      <c r="AC1313" s="537" t="str">
        <f t="shared" si="539"/>
        <v/>
      </c>
      <c r="AD1313" s="538" t="str">
        <f t="shared" ca="1" si="540"/>
        <v/>
      </c>
      <c r="AE1313" s="537">
        <f t="shared" ca="1" si="541"/>
        <v>0</v>
      </c>
      <c r="AF1313" s="539" t="str">
        <f t="shared" ca="1" si="551"/>
        <v/>
      </c>
      <c r="AG1313" s="531" t="str">
        <f t="shared" ca="1" si="552"/>
        <v/>
      </c>
      <c r="AH1313" s="531" t="str">
        <f t="shared" ca="1" si="553"/>
        <v/>
      </c>
      <c r="AI1313" s="531" t="str">
        <f t="shared" ca="1" si="554"/>
        <v/>
      </c>
      <c r="AJ1313" s="531" t="str">
        <f t="shared" si="555"/>
        <v/>
      </c>
      <c r="AK1313" s="540">
        <f>SUMIFS('Live Collections'!$S:$S,'Live Collections'!$D:$D,Disbursements!B1313,'Live Collections'!$G:$G,Disbursements!C1313)</f>
        <v>0</v>
      </c>
      <c r="AL1313" s="540">
        <f>SUMIFS('Live Collections'!$T:$T,'Live Collections'!$D:$D,Disbursements!B1313,'Live Collections'!$G:$G,Disbursements!C1313)</f>
        <v>0</v>
      </c>
      <c r="AM1313" s="541">
        <f t="shared" si="556"/>
        <v>0</v>
      </c>
      <c r="AN1313" s="542" t="str">
        <f t="shared" si="557"/>
        <v/>
      </c>
      <c r="AO1313" s="542" t="str">
        <f t="shared" si="558"/>
        <v/>
      </c>
      <c r="AP1313" s="543" t="str">
        <f t="shared" si="559"/>
        <v/>
      </c>
      <c r="AQ1313" s="544" t="str">
        <f t="shared" si="560"/>
        <v/>
      </c>
      <c r="AR1313" s="545">
        <f t="shared" si="561"/>
        <v>0</v>
      </c>
      <c r="AS1313" s="545">
        <f>IFERROR(CEILING($AR1313*VLOOKUP($I1313,Ref!$B$23:$E$29,4,0),1),0)</f>
        <v>0</v>
      </c>
      <c r="AT1313" s="545" t="str">
        <f>IF(A1313="","",IF(AP1313&lt;=1,"Cleared",IF(AS1313=0,"Clean",VLOOKUP($AS1313,Ref!$G$23:$H$28,2))))</f>
        <v/>
      </c>
      <c r="AU1313" s="546" t="str">
        <f t="shared" si="562"/>
        <v/>
      </c>
    </row>
    <row r="1314" spans="1:47" ht="14.25" hidden="1" customHeight="1" x14ac:dyDescent="0.15">
      <c r="A1314" s="523"/>
      <c r="B1314" s="523"/>
      <c r="C1314" s="523"/>
      <c r="D1314" s="523"/>
      <c r="E1314" s="579"/>
      <c r="F1314" s="580"/>
      <c r="G1314" s="524"/>
      <c r="H1314" s="555"/>
      <c r="I1314" s="560"/>
      <c r="J1314" s="523"/>
      <c r="K1314" s="528" t="str">
        <f>IFERROR(VLOOKUP($B1314,'Clients-Live'!$A:$C,3,0),"")</f>
        <v/>
      </c>
      <c r="L1314" s="528">
        <f>IF(E1314="STL",Pricing!$D$38,IF(A1314="",0,IF(A1314&lt;Pricing!$C$25,Pricing!$D$25,VLOOKUP(Disbursements!$F1314,Pricing!$B$29:$D$32,3))))</f>
        <v>0</v>
      </c>
      <c r="M1314" s="528">
        <f>IF(E1314="STL",0,IF(F1314&gt;0,Pricing!$D$21,0))</f>
        <v>0</v>
      </c>
      <c r="N1314" s="529">
        <f>IF(E1314="STL",F1314*Pricing!$D$40,IF(A1314&lt;=Pricing!$C$4,0,IF(AND(A1314&gt;Pricing!$C$4,Disbursements!A1314&lt;=Pricing!$C$5),F1314*Pricing!$E$5,IF(AND(A1314&gt;Pricing!$C$5,Disbursements!A1314&lt;=Pricing!$C$7),VLOOKUP(F1314,Pricing!$D$7:$E$8,2)*Disbursements!F1314,F1314*Pricing!$E$9))))</f>
        <v>0</v>
      </c>
      <c r="O1314" s="528">
        <f>IF(E1314="STL",0,IF($F1314&gt;0,$F1314*Pricing!$D$17,0))</f>
        <v>0</v>
      </c>
      <c r="P1314" s="530" t="str">
        <f t="shared" si="542"/>
        <v/>
      </c>
      <c r="Q1314" s="531" t="str">
        <f>IF($A1314="","",$G1314/VLOOKUP($I1314,Ref!$B$23:$D$29,2,0))</f>
        <v/>
      </c>
      <c r="R1314" s="530" t="str">
        <f t="shared" si="543"/>
        <v/>
      </c>
      <c r="S1314" s="532" t="str">
        <f t="shared" si="537"/>
        <v/>
      </c>
      <c r="T1314" s="531" t="str">
        <f t="shared" si="544"/>
        <v/>
      </c>
      <c r="U1314" s="533">
        <f t="shared" si="545"/>
        <v>0</v>
      </c>
      <c r="V1314" s="531" t="str">
        <f t="shared" si="546"/>
        <v/>
      </c>
      <c r="W1314" s="531" t="str">
        <f t="shared" si="547"/>
        <v/>
      </c>
      <c r="X1314" s="534" t="str">
        <f t="shared" si="548"/>
        <v/>
      </c>
      <c r="Y1314" s="535" t="str">
        <f>IF($A1314="","",IF($I1314="weekly",$A1314+7,EDATE($A1314,VLOOKUP($I1314,Ref!$B$24:$C$29,2,0))))</f>
        <v/>
      </c>
      <c r="Z1314" s="536" t="str">
        <f t="shared" si="549"/>
        <v/>
      </c>
      <c r="AA1314" s="531">
        <f t="shared" si="550"/>
        <v>0</v>
      </c>
      <c r="AB1314" s="535" t="str">
        <f t="shared" si="538"/>
        <v/>
      </c>
      <c r="AC1314" s="537" t="str">
        <f t="shared" si="539"/>
        <v/>
      </c>
      <c r="AD1314" s="538" t="str">
        <f t="shared" ca="1" si="540"/>
        <v/>
      </c>
      <c r="AE1314" s="537">
        <f t="shared" ca="1" si="541"/>
        <v>0</v>
      </c>
      <c r="AF1314" s="539" t="str">
        <f t="shared" ca="1" si="551"/>
        <v/>
      </c>
      <c r="AG1314" s="531" t="str">
        <f t="shared" ca="1" si="552"/>
        <v/>
      </c>
      <c r="AH1314" s="531" t="str">
        <f t="shared" ca="1" si="553"/>
        <v/>
      </c>
      <c r="AI1314" s="531" t="str">
        <f t="shared" ca="1" si="554"/>
        <v/>
      </c>
      <c r="AJ1314" s="531" t="str">
        <f t="shared" si="555"/>
        <v/>
      </c>
      <c r="AK1314" s="540">
        <f>SUMIFS('Live Collections'!$S:$S,'Live Collections'!$D:$D,Disbursements!B1314,'Live Collections'!$G:$G,Disbursements!C1314)</f>
        <v>0</v>
      </c>
      <c r="AL1314" s="540">
        <f>SUMIFS('Live Collections'!$T:$T,'Live Collections'!$D:$D,Disbursements!B1314,'Live Collections'!$G:$G,Disbursements!C1314)</f>
        <v>0</v>
      </c>
      <c r="AM1314" s="541">
        <f t="shared" si="556"/>
        <v>0</v>
      </c>
      <c r="AN1314" s="542" t="str">
        <f t="shared" si="557"/>
        <v/>
      </c>
      <c r="AO1314" s="542" t="str">
        <f t="shared" si="558"/>
        <v/>
      </c>
      <c r="AP1314" s="543" t="str">
        <f t="shared" si="559"/>
        <v/>
      </c>
      <c r="AQ1314" s="544" t="str">
        <f t="shared" si="560"/>
        <v/>
      </c>
      <c r="AR1314" s="545">
        <f t="shared" si="561"/>
        <v>0</v>
      </c>
      <c r="AS1314" s="545">
        <f>IFERROR(CEILING($AR1314*VLOOKUP($I1314,Ref!$B$23:$E$29,4,0),1),0)</f>
        <v>0</v>
      </c>
      <c r="AT1314" s="545" t="str">
        <f>IF(A1314="","",IF(AP1314&lt;=1,"Cleared",IF(AS1314=0,"Clean",VLOOKUP($AS1314,Ref!$G$23:$H$28,2))))</f>
        <v/>
      </c>
      <c r="AU1314" s="546" t="str">
        <f t="shared" si="562"/>
        <v/>
      </c>
    </row>
    <row r="1315" spans="1:47" ht="14.25" hidden="1" customHeight="1" x14ac:dyDescent="0.15">
      <c r="A1315" s="523"/>
      <c r="B1315" s="523"/>
      <c r="C1315" s="523"/>
      <c r="D1315" s="523"/>
      <c r="E1315" s="579"/>
      <c r="F1315" s="580"/>
      <c r="G1315" s="524"/>
      <c r="H1315" s="555"/>
      <c r="I1315" s="560"/>
      <c r="J1315" s="523"/>
      <c r="K1315" s="528" t="str">
        <f>IFERROR(VLOOKUP($B1315,'Clients-Live'!$A:$C,3,0),"")</f>
        <v/>
      </c>
      <c r="L1315" s="528">
        <f>IF(E1315="STL",Pricing!$D$38,IF(A1315="",0,IF(A1315&lt;Pricing!$C$25,Pricing!$D$25,VLOOKUP(Disbursements!$F1315,Pricing!$B$29:$D$32,3))))</f>
        <v>0</v>
      </c>
      <c r="M1315" s="528">
        <f>IF(E1315="STL",0,IF(F1315&gt;0,Pricing!$D$21,0))</f>
        <v>0</v>
      </c>
      <c r="N1315" s="529">
        <f>IF(E1315="STL",F1315*Pricing!$D$40,IF(A1315&lt;=Pricing!$C$4,0,IF(AND(A1315&gt;Pricing!$C$4,Disbursements!A1315&lt;=Pricing!$C$5),F1315*Pricing!$E$5,IF(AND(A1315&gt;Pricing!$C$5,Disbursements!A1315&lt;=Pricing!$C$7),VLOOKUP(F1315,Pricing!$D$7:$E$8,2)*Disbursements!F1315,F1315*Pricing!$E$9))))</f>
        <v>0</v>
      </c>
      <c r="O1315" s="528">
        <f>IF(E1315="STL",0,IF($F1315&gt;0,$F1315*Pricing!$D$17,0))</f>
        <v>0</v>
      </c>
      <c r="P1315" s="530" t="str">
        <f t="shared" si="542"/>
        <v/>
      </c>
      <c r="Q1315" s="531" t="str">
        <f>IF($A1315="","",$G1315/VLOOKUP($I1315,Ref!$B$23:$D$29,2,0))</f>
        <v/>
      </c>
      <c r="R1315" s="530" t="str">
        <f t="shared" si="543"/>
        <v/>
      </c>
      <c r="S1315" s="532" t="str">
        <f t="shared" si="537"/>
        <v/>
      </c>
      <c r="T1315" s="531" t="str">
        <f t="shared" si="544"/>
        <v/>
      </c>
      <c r="U1315" s="533">
        <f t="shared" si="545"/>
        <v>0</v>
      </c>
      <c r="V1315" s="531" t="str">
        <f t="shared" si="546"/>
        <v/>
      </c>
      <c r="W1315" s="531" t="str">
        <f t="shared" si="547"/>
        <v/>
      </c>
      <c r="X1315" s="534" t="str">
        <f t="shared" si="548"/>
        <v/>
      </c>
      <c r="Y1315" s="535" t="str">
        <f>IF($A1315="","",IF($I1315="weekly",$A1315+7,EDATE($A1315,VLOOKUP($I1315,Ref!$B$24:$C$29,2,0))))</f>
        <v/>
      </c>
      <c r="Z1315" s="536" t="str">
        <f t="shared" si="549"/>
        <v/>
      </c>
      <c r="AA1315" s="531">
        <f t="shared" si="550"/>
        <v>0</v>
      </c>
      <c r="AB1315" s="535" t="str">
        <f t="shared" si="538"/>
        <v/>
      </c>
      <c r="AC1315" s="537" t="str">
        <f t="shared" si="539"/>
        <v/>
      </c>
      <c r="AD1315" s="538" t="str">
        <f t="shared" ca="1" si="540"/>
        <v/>
      </c>
      <c r="AE1315" s="537">
        <f t="shared" ca="1" si="541"/>
        <v>0</v>
      </c>
      <c r="AF1315" s="539" t="str">
        <f t="shared" ca="1" si="551"/>
        <v/>
      </c>
      <c r="AG1315" s="531" t="str">
        <f t="shared" ca="1" si="552"/>
        <v/>
      </c>
      <c r="AH1315" s="531" t="str">
        <f t="shared" ca="1" si="553"/>
        <v/>
      </c>
      <c r="AI1315" s="531" t="str">
        <f t="shared" ca="1" si="554"/>
        <v/>
      </c>
      <c r="AJ1315" s="531" t="str">
        <f t="shared" si="555"/>
        <v/>
      </c>
      <c r="AK1315" s="540">
        <f>SUMIFS('Live Collections'!$S:$S,'Live Collections'!$D:$D,Disbursements!B1315,'Live Collections'!$G:$G,Disbursements!C1315)</f>
        <v>0</v>
      </c>
      <c r="AL1315" s="540">
        <f>SUMIFS('Live Collections'!$T:$T,'Live Collections'!$D:$D,Disbursements!B1315,'Live Collections'!$G:$G,Disbursements!C1315)</f>
        <v>0</v>
      </c>
      <c r="AM1315" s="541">
        <f t="shared" si="556"/>
        <v>0</v>
      </c>
      <c r="AN1315" s="542" t="str">
        <f t="shared" si="557"/>
        <v/>
      </c>
      <c r="AO1315" s="542" t="str">
        <f t="shared" si="558"/>
        <v/>
      </c>
      <c r="AP1315" s="543" t="str">
        <f t="shared" si="559"/>
        <v/>
      </c>
      <c r="AQ1315" s="544" t="str">
        <f t="shared" si="560"/>
        <v/>
      </c>
      <c r="AR1315" s="545">
        <f t="shared" si="561"/>
        <v>0</v>
      </c>
      <c r="AS1315" s="545">
        <f>IFERROR(CEILING($AR1315*VLOOKUP($I1315,Ref!$B$23:$E$29,4,0),1),0)</f>
        <v>0</v>
      </c>
      <c r="AT1315" s="545" t="str">
        <f>IF(A1315="","",IF(AP1315&lt;=1,"Cleared",IF(AS1315=0,"Clean",VLOOKUP($AS1315,Ref!$G$23:$H$28,2))))</f>
        <v/>
      </c>
      <c r="AU1315" s="546" t="str">
        <f t="shared" si="562"/>
        <v/>
      </c>
    </row>
    <row r="1316" spans="1:47" ht="14.25" hidden="1" customHeight="1" x14ac:dyDescent="0.15">
      <c r="A1316" s="523"/>
      <c r="B1316" s="523"/>
      <c r="C1316" s="523"/>
      <c r="D1316" s="523"/>
      <c r="E1316" s="579"/>
      <c r="F1316" s="580"/>
      <c r="G1316" s="524"/>
      <c r="H1316" s="555"/>
      <c r="I1316" s="560"/>
      <c r="J1316" s="523"/>
      <c r="K1316" s="528" t="str">
        <f>IFERROR(VLOOKUP($B1316,'Clients-Live'!$A:$C,3,0),"")</f>
        <v/>
      </c>
      <c r="L1316" s="528">
        <f>IF(E1316="STL",Pricing!$D$38,IF(A1316="",0,IF(A1316&lt;Pricing!$C$25,Pricing!$D$25,VLOOKUP(Disbursements!$F1316,Pricing!$B$29:$D$32,3))))</f>
        <v>0</v>
      </c>
      <c r="M1316" s="528">
        <f>IF(E1316="STL",0,IF(F1316&gt;0,Pricing!$D$21,0))</f>
        <v>0</v>
      </c>
      <c r="N1316" s="529">
        <f>IF(E1316="STL",F1316*Pricing!$D$40,IF(A1316&lt;=Pricing!$C$4,0,IF(AND(A1316&gt;Pricing!$C$4,Disbursements!A1316&lt;=Pricing!$C$5),F1316*Pricing!$E$5,IF(AND(A1316&gt;Pricing!$C$5,Disbursements!A1316&lt;=Pricing!$C$7),VLOOKUP(F1316,Pricing!$D$7:$E$8,2)*Disbursements!F1316,F1316*Pricing!$E$9))))</f>
        <v>0</v>
      </c>
      <c r="O1316" s="528">
        <f>IF(E1316="STL",0,IF($F1316&gt;0,$F1316*Pricing!$D$17,0))</f>
        <v>0</v>
      </c>
      <c r="P1316" s="530" t="str">
        <f t="shared" si="542"/>
        <v/>
      </c>
      <c r="Q1316" s="531" t="str">
        <f>IF($A1316="","",$G1316/VLOOKUP($I1316,Ref!$B$23:$D$29,2,0))</f>
        <v/>
      </c>
      <c r="R1316" s="530" t="str">
        <f t="shared" si="543"/>
        <v/>
      </c>
      <c r="S1316" s="532" t="str">
        <f t="shared" si="537"/>
        <v/>
      </c>
      <c r="T1316" s="531" t="str">
        <f t="shared" si="544"/>
        <v/>
      </c>
      <c r="U1316" s="533">
        <f t="shared" si="545"/>
        <v>0</v>
      </c>
      <c r="V1316" s="531" t="str">
        <f t="shared" si="546"/>
        <v/>
      </c>
      <c r="W1316" s="531" t="str">
        <f t="shared" si="547"/>
        <v/>
      </c>
      <c r="X1316" s="534" t="str">
        <f t="shared" si="548"/>
        <v/>
      </c>
      <c r="Y1316" s="535" t="str">
        <f>IF($A1316="","",IF($I1316="weekly",$A1316+7,EDATE($A1316,VLOOKUP($I1316,Ref!$B$24:$C$29,2,0))))</f>
        <v/>
      </c>
      <c r="Z1316" s="536" t="str">
        <f t="shared" si="549"/>
        <v/>
      </c>
      <c r="AA1316" s="531">
        <f t="shared" si="550"/>
        <v>0</v>
      </c>
      <c r="AB1316" s="535" t="str">
        <f t="shared" si="538"/>
        <v/>
      </c>
      <c r="AC1316" s="537" t="str">
        <f t="shared" si="539"/>
        <v/>
      </c>
      <c r="AD1316" s="538" t="str">
        <f t="shared" ca="1" si="540"/>
        <v/>
      </c>
      <c r="AE1316" s="537">
        <f t="shared" ca="1" si="541"/>
        <v>0</v>
      </c>
      <c r="AF1316" s="539" t="str">
        <f t="shared" ca="1" si="551"/>
        <v/>
      </c>
      <c r="AG1316" s="531" t="str">
        <f t="shared" ca="1" si="552"/>
        <v/>
      </c>
      <c r="AH1316" s="531" t="str">
        <f t="shared" ca="1" si="553"/>
        <v/>
      </c>
      <c r="AI1316" s="531" t="str">
        <f t="shared" ca="1" si="554"/>
        <v/>
      </c>
      <c r="AJ1316" s="531" t="str">
        <f t="shared" si="555"/>
        <v/>
      </c>
      <c r="AK1316" s="540">
        <f>SUMIFS('Live Collections'!$S:$S,'Live Collections'!$D:$D,Disbursements!B1316,'Live Collections'!$G:$G,Disbursements!C1316)</f>
        <v>0</v>
      </c>
      <c r="AL1316" s="540">
        <f>SUMIFS('Live Collections'!$T:$T,'Live Collections'!$D:$D,Disbursements!B1316,'Live Collections'!$G:$G,Disbursements!C1316)</f>
        <v>0</v>
      </c>
      <c r="AM1316" s="541">
        <f t="shared" si="556"/>
        <v>0</v>
      </c>
      <c r="AN1316" s="542" t="str">
        <f t="shared" si="557"/>
        <v/>
      </c>
      <c r="AO1316" s="542" t="str">
        <f t="shared" si="558"/>
        <v/>
      </c>
      <c r="AP1316" s="543" t="str">
        <f t="shared" si="559"/>
        <v/>
      </c>
      <c r="AQ1316" s="544" t="str">
        <f t="shared" si="560"/>
        <v/>
      </c>
      <c r="AR1316" s="545">
        <f t="shared" si="561"/>
        <v>0</v>
      </c>
      <c r="AS1316" s="545">
        <f>IFERROR(CEILING($AR1316*VLOOKUP($I1316,Ref!$B$23:$E$29,4,0),1),0)</f>
        <v>0</v>
      </c>
      <c r="AT1316" s="545" t="str">
        <f>IF(A1316="","",IF(AP1316&lt;=1,"Cleared",IF(AS1316=0,"Clean",VLOOKUP($AS1316,Ref!$G$23:$H$28,2))))</f>
        <v/>
      </c>
      <c r="AU1316" s="546" t="str">
        <f t="shared" si="562"/>
        <v/>
      </c>
    </row>
    <row r="1317" spans="1:47" ht="14.25" hidden="1" customHeight="1" x14ac:dyDescent="0.15">
      <c r="A1317" s="523"/>
      <c r="B1317" s="523"/>
      <c r="C1317" s="523"/>
      <c r="D1317" s="523"/>
      <c r="E1317" s="579"/>
      <c r="F1317" s="580"/>
      <c r="G1317" s="524"/>
      <c r="H1317" s="555"/>
      <c r="I1317" s="560"/>
      <c r="J1317" s="523"/>
      <c r="K1317" s="528" t="str">
        <f>IFERROR(VLOOKUP($B1317,'Clients-Live'!$A:$C,3,0),"")</f>
        <v/>
      </c>
      <c r="L1317" s="528">
        <f>IF(E1317="STL",Pricing!$D$38,IF(A1317="",0,IF(A1317&lt;Pricing!$C$25,Pricing!$D$25,VLOOKUP(Disbursements!$F1317,Pricing!$B$29:$D$32,3))))</f>
        <v>0</v>
      </c>
      <c r="M1317" s="528">
        <f>IF(E1317="STL",0,IF(F1317&gt;0,Pricing!$D$21,0))</f>
        <v>0</v>
      </c>
      <c r="N1317" s="529">
        <f>IF(E1317="STL",F1317*Pricing!$D$40,IF(A1317&lt;=Pricing!$C$4,0,IF(AND(A1317&gt;Pricing!$C$4,Disbursements!A1317&lt;=Pricing!$C$5),F1317*Pricing!$E$5,IF(AND(A1317&gt;Pricing!$C$5,Disbursements!A1317&lt;=Pricing!$C$7),VLOOKUP(F1317,Pricing!$D$7:$E$8,2)*Disbursements!F1317,F1317*Pricing!$E$9))))</f>
        <v>0</v>
      </c>
      <c r="O1317" s="528">
        <f>IF(E1317="STL",0,IF($F1317&gt;0,$F1317*Pricing!$D$17,0))</f>
        <v>0</v>
      </c>
      <c r="P1317" s="530" t="str">
        <f t="shared" si="542"/>
        <v/>
      </c>
      <c r="Q1317" s="531" t="str">
        <f>IF($A1317="","",$G1317/VLOOKUP($I1317,Ref!$B$23:$D$29,2,0))</f>
        <v/>
      </c>
      <c r="R1317" s="530" t="str">
        <f t="shared" si="543"/>
        <v/>
      </c>
      <c r="S1317" s="532" t="str">
        <f t="shared" si="537"/>
        <v/>
      </c>
      <c r="T1317" s="531" t="str">
        <f t="shared" si="544"/>
        <v/>
      </c>
      <c r="U1317" s="533">
        <f t="shared" si="545"/>
        <v>0</v>
      </c>
      <c r="V1317" s="531" t="str">
        <f t="shared" si="546"/>
        <v/>
      </c>
      <c r="W1317" s="531" t="str">
        <f t="shared" si="547"/>
        <v/>
      </c>
      <c r="X1317" s="534" t="str">
        <f t="shared" si="548"/>
        <v/>
      </c>
      <c r="Y1317" s="535" t="str">
        <f>IF($A1317="","",IF($I1317="weekly",$A1317+7,EDATE($A1317,VLOOKUP($I1317,Ref!$B$24:$C$29,2,0))))</f>
        <v/>
      </c>
      <c r="Z1317" s="536" t="str">
        <f t="shared" si="549"/>
        <v/>
      </c>
      <c r="AA1317" s="531">
        <f t="shared" si="550"/>
        <v>0</v>
      </c>
      <c r="AB1317" s="535" t="str">
        <f t="shared" si="538"/>
        <v/>
      </c>
      <c r="AC1317" s="537" t="str">
        <f t="shared" si="539"/>
        <v/>
      </c>
      <c r="AD1317" s="538" t="str">
        <f t="shared" ca="1" si="540"/>
        <v/>
      </c>
      <c r="AE1317" s="537">
        <f t="shared" ca="1" si="541"/>
        <v>0</v>
      </c>
      <c r="AF1317" s="539" t="str">
        <f t="shared" ca="1" si="551"/>
        <v/>
      </c>
      <c r="AG1317" s="531" t="str">
        <f t="shared" ca="1" si="552"/>
        <v/>
      </c>
      <c r="AH1317" s="531" t="str">
        <f t="shared" ca="1" si="553"/>
        <v/>
      </c>
      <c r="AI1317" s="531" t="str">
        <f t="shared" ca="1" si="554"/>
        <v/>
      </c>
      <c r="AJ1317" s="531" t="str">
        <f t="shared" si="555"/>
        <v/>
      </c>
      <c r="AK1317" s="540">
        <f>SUMIFS('Live Collections'!$S:$S,'Live Collections'!$D:$D,Disbursements!B1317,'Live Collections'!$G:$G,Disbursements!C1317)</f>
        <v>0</v>
      </c>
      <c r="AL1317" s="540">
        <f>SUMIFS('Live Collections'!$T:$T,'Live Collections'!$D:$D,Disbursements!B1317,'Live Collections'!$G:$G,Disbursements!C1317)</f>
        <v>0</v>
      </c>
      <c r="AM1317" s="541">
        <f t="shared" si="556"/>
        <v>0</v>
      </c>
      <c r="AN1317" s="542" t="str">
        <f t="shared" si="557"/>
        <v/>
      </c>
      <c r="AO1317" s="542" t="str">
        <f t="shared" si="558"/>
        <v/>
      </c>
      <c r="AP1317" s="543" t="str">
        <f t="shared" si="559"/>
        <v/>
      </c>
      <c r="AQ1317" s="544" t="str">
        <f t="shared" si="560"/>
        <v/>
      </c>
      <c r="AR1317" s="545">
        <f t="shared" si="561"/>
        <v>0</v>
      </c>
      <c r="AS1317" s="545">
        <f>IFERROR(CEILING($AR1317*VLOOKUP($I1317,Ref!$B$23:$E$29,4,0),1),0)</f>
        <v>0</v>
      </c>
      <c r="AT1317" s="545" t="str">
        <f>IF(A1317="","",IF(AP1317&lt;=1,"Cleared",IF(AS1317=0,"Clean",VLOOKUP($AS1317,Ref!$G$23:$H$28,2))))</f>
        <v/>
      </c>
      <c r="AU1317" s="546" t="str">
        <f t="shared" si="562"/>
        <v/>
      </c>
    </row>
    <row r="1318" spans="1:47" ht="14.25" hidden="1" customHeight="1" x14ac:dyDescent="0.15">
      <c r="A1318" s="523"/>
      <c r="B1318" s="523"/>
      <c r="C1318" s="523"/>
      <c r="D1318" s="523"/>
      <c r="E1318" s="579"/>
      <c r="F1318" s="580"/>
      <c r="G1318" s="524"/>
      <c r="H1318" s="555"/>
      <c r="I1318" s="560"/>
      <c r="J1318" s="523"/>
      <c r="K1318" s="528" t="str">
        <f>IFERROR(VLOOKUP($B1318,'Clients-Live'!$A:$C,3,0),"")</f>
        <v/>
      </c>
      <c r="L1318" s="528">
        <f>IF(E1318="STL",Pricing!$D$38,IF(A1318="",0,IF(A1318&lt;Pricing!$C$25,Pricing!$D$25,VLOOKUP(Disbursements!$F1318,Pricing!$B$29:$D$32,3))))</f>
        <v>0</v>
      </c>
      <c r="M1318" s="528">
        <f>IF(E1318="STL",0,IF(F1318&gt;0,Pricing!$D$21,0))</f>
        <v>0</v>
      </c>
      <c r="N1318" s="529">
        <f>IF(E1318="STL",F1318*Pricing!$D$40,IF(A1318&lt;=Pricing!$C$4,0,IF(AND(A1318&gt;Pricing!$C$4,Disbursements!A1318&lt;=Pricing!$C$5),F1318*Pricing!$E$5,IF(AND(A1318&gt;Pricing!$C$5,Disbursements!A1318&lt;=Pricing!$C$7),VLOOKUP(F1318,Pricing!$D$7:$E$8,2)*Disbursements!F1318,F1318*Pricing!$E$9))))</f>
        <v>0</v>
      </c>
      <c r="O1318" s="528">
        <f>IF(E1318="STL",0,IF($F1318&gt;0,$F1318*Pricing!$D$17,0))</f>
        <v>0</v>
      </c>
      <c r="P1318" s="530" t="str">
        <f t="shared" si="542"/>
        <v/>
      </c>
      <c r="Q1318" s="531" t="str">
        <f>IF($A1318="","",$G1318/VLOOKUP($I1318,Ref!$B$23:$D$29,2,0))</f>
        <v/>
      </c>
      <c r="R1318" s="530" t="str">
        <f t="shared" si="543"/>
        <v/>
      </c>
      <c r="S1318" s="532" t="str">
        <f t="shared" si="537"/>
        <v/>
      </c>
      <c r="T1318" s="531" t="str">
        <f t="shared" si="544"/>
        <v/>
      </c>
      <c r="U1318" s="533">
        <f t="shared" si="545"/>
        <v>0</v>
      </c>
      <c r="V1318" s="531" t="str">
        <f t="shared" si="546"/>
        <v/>
      </c>
      <c r="W1318" s="531" t="str">
        <f t="shared" si="547"/>
        <v/>
      </c>
      <c r="X1318" s="534" t="str">
        <f t="shared" si="548"/>
        <v/>
      </c>
      <c r="Y1318" s="535" t="str">
        <f>IF($A1318="","",IF($I1318="weekly",$A1318+7,EDATE($A1318,VLOOKUP($I1318,Ref!$B$24:$C$29,2,0))))</f>
        <v/>
      </c>
      <c r="Z1318" s="536" t="str">
        <f t="shared" si="549"/>
        <v/>
      </c>
      <c r="AA1318" s="531">
        <f t="shared" si="550"/>
        <v>0</v>
      </c>
      <c r="AB1318" s="535" t="str">
        <f t="shared" si="538"/>
        <v/>
      </c>
      <c r="AC1318" s="537" t="str">
        <f t="shared" si="539"/>
        <v/>
      </c>
      <c r="AD1318" s="538" t="str">
        <f t="shared" ca="1" si="540"/>
        <v/>
      </c>
      <c r="AE1318" s="537">
        <f t="shared" ca="1" si="541"/>
        <v>0</v>
      </c>
      <c r="AF1318" s="539" t="str">
        <f t="shared" ca="1" si="551"/>
        <v/>
      </c>
      <c r="AG1318" s="531" t="str">
        <f t="shared" ca="1" si="552"/>
        <v/>
      </c>
      <c r="AH1318" s="531" t="str">
        <f t="shared" ca="1" si="553"/>
        <v/>
      </c>
      <c r="AI1318" s="531" t="str">
        <f t="shared" ca="1" si="554"/>
        <v/>
      </c>
      <c r="AJ1318" s="531" t="str">
        <f t="shared" si="555"/>
        <v/>
      </c>
      <c r="AK1318" s="540">
        <f>SUMIFS('Live Collections'!$S:$S,'Live Collections'!$D:$D,Disbursements!B1318,'Live Collections'!$G:$G,Disbursements!C1318)</f>
        <v>0</v>
      </c>
      <c r="AL1318" s="540">
        <f>SUMIFS('Live Collections'!$T:$T,'Live Collections'!$D:$D,Disbursements!B1318,'Live Collections'!$G:$G,Disbursements!C1318)</f>
        <v>0</v>
      </c>
      <c r="AM1318" s="541">
        <f t="shared" si="556"/>
        <v>0</v>
      </c>
      <c r="AN1318" s="542" t="str">
        <f t="shared" si="557"/>
        <v/>
      </c>
      <c r="AO1318" s="542" t="str">
        <f t="shared" si="558"/>
        <v/>
      </c>
      <c r="AP1318" s="543" t="str">
        <f t="shared" si="559"/>
        <v/>
      </c>
      <c r="AQ1318" s="544" t="str">
        <f t="shared" si="560"/>
        <v/>
      </c>
      <c r="AR1318" s="545">
        <f t="shared" si="561"/>
        <v>0</v>
      </c>
      <c r="AS1318" s="545">
        <f>IFERROR(CEILING($AR1318*VLOOKUP($I1318,Ref!$B$23:$E$29,4,0),1),0)</f>
        <v>0</v>
      </c>
      <c r="AT1318" s="545" t="str">
        <f>IF(A1318="","",IF(AP1318&lt;=1,"Cleared",IF(AS1318=0,"Clean",VLOOKUP($AS1318,Ref!$G$23:$H$28,2))))</f>
        <v/>
      </c>
      <c r="AU1318" s="546" t="str">
        <f t="shared" si="562"/>
        <v/>
      </c>
    </row>
    <row r="1319" spans="1:47" ht="14.25" hidden="1" customHeight="1" x14ac:dyDescent="0.15">
      <c r="A1319" s="523"/>
      <c r="B1319" s="523"/>
      <c r="C1319" s="523"/>
      <c r="D1319" s="523"/>
      <c r="E1319" s="579"/>
      <c r="F1319" s="580"/>
      <c r="G1319" s="524"/>
      <c r="H1319" s="555"/>
      <c r="I1319" s="560"/>
      <c r="J1319" s="523"/>
      <c r="K1319" s="528" t="str">
        <f>IFERROR(VLOOKUP($B1319,'Clients-Live'!$A:$C,3,0),"")</f>
        <v/>
      </c>
      <c r="L1319" s="528">
        <f>IF(E1319="STL",Pricing!$D$38,IF(A1319="",0,IF(A1319&lt;Pricing!$C$25,Pricing!$D$25,VLOOKUP(Disbursements!$F1319,Pricing!$B$29:$D$32,3))))</f>
        <v>0</v>
      </c>
      <c r="M1319" s="528">
        <f>IF(E1319="STL",0,IF(F1319&gt;0,Pricing!$D$21,0))</f>
        <v>0</v>
      </c>
      <c r="N1319" s="529">
        <f>IF(E1319="STL",F1319*Pricing!$D$40,IF(A1319&lt;=Pricing!$C$4,0,IF(AND(A1319&gt;Pricing!$C$4,Disbursements!A1319&lt;=Pricing!$C$5),F1319*Pricing!$E$5,IF(AND(A1319&gt;Pricing!$C$5,Disbursements!A1319&lt;=Pricing!$C$7),VLOOKUP(F1319,Pricing!$D$7:$E$8,2)*Disbursements!F1319,F1319*Pricing!$E$9))))</f>
        <v>0</v>
      </c>
      <c r="O1319" s="528">
        <f>IF(E1319="STL",0,IF($F1319&gt;0,$F1319*Pricing!$D$17,0))</f>
        <v>0</v>
      </c>
      <c r="P1319" s="530" t="str">
        <f t="shared" si="542"/>
        <v/>
      </c>
      <c r="Q1319" s="531" t="str">
        <f>IF($A1319="","",$G1319/VLOOKUP($I1319,Ref!$B$23:$D$29,2,0))</f>
        <v/>
      </c>
      <c r="R1319" s="530" t="str">
        <f t="shared" si="543"/>
        <v/>
      </c>
      <c r="S1319" s="532" t="str">
        <f t="shared" si="537"/>
        <v/>
      </c>
      <c r="T1319" s="531" t="str">
        <f t="shared" si="544"/>
        <v/>
      </c>
      <c r="U1319" s="533">
        <f t="shared" si="545"/>
        <v>0</v>
      </c>
      <c r="V1319" s="531" t="str">
        <f t="shared" si="546"/>
        <v/>
      </c>
      <c r="W1319" s="531" t="str">
        <f t="shared" si="547"/>
        <v/>
      </c>
      <c r="X1319" s="534" t="str">
        <f t="shared" si="548"/>
        <v/>
      </c>
      <c r="Y1319" s="535" t="str">
        <f>IF($A1319="","",IF($I1319="weekly",$A1319+7,EDATE($A1319,VLOOKUP($I1319,Ref!$B$24:$C$29,2,0))))</f>
        <v/>
      </c>
      <c r="Z1319" s="536" t="str">
        <f t="shared" si="549"/>
        <v/>
      </c>
      <c r="AA1319" s="531">
        <f t="shared" si="550"/>
        <v>0</v>
      </c>
      <c r="AB1319" s="535" t="str">
        <f t="shared" si="538"/>
        <v/>
      </c>
      <c r="AC1319" s="537" t="str">
        <f t="shared" si="539"/>
        <v/>
      </c>
      <c r="AD1319" s="538" t="str">
        <f t="shared" ca="1" si="540"/>
        <v/>
      </c>
      <c r="AE1319" s="537">
        <f t="shared" ca="1" si="541"/>
        <v>0</v>
      </c>
      <c r="AF1319" s="539" t="str">
        <f t="shared" ca="1" si="551"/>
        <v/>
      </c>
      <c r="AG1319" s="531" t="str">
        <f t="shared" ca="1" si="552"/>
        <v/>
      </c>
      <c r="AH1319" s="531" t="str">
        <f t="shared" ca="1" si="553"/>
        <v/>
      </c>
      <c r="AI1319" s="531" t="str">
        <f t="shared" ca="1" si="554"/>
        <v/>
      </c>
      <c r="AJ1319" s="531" t="str">
        <f t="shared" si="555"/>
        <v/>
      </c>
      <c r="AK1319" s="540">
        <f>SUMIFS('Live Collections'!$S:$S,'Live Collections'!$D:$D,Disbursements!B1319,'Live Collections'!$G:$G,Disbursements!C1319)</f>
        <v>0</v>
      </c>
      <c r="AL1319" s="540">
        <f>SUMIFS('Live Collections'!$T:$T,'Live Collections'!$D:$D,Disbursements!B1319,'Live Collections'!$G:$G,Disbursements!C1319)</f>
        <v>0</v>
      </c>
      <c r="AM1319" s="541">
        <f t="shared" si="556"/>
        <v>0</v>
      </c>
      <c r="AN1319" s="542" t="str">
        <f t="shared" si="557"/>
        <v/>
      </c>
      <c r="AO1319" s="542" t="str">
        <f t="shared" si="558"/>
        <v/>
      </c>
      <c r="AP1319" s="543" t="str">
        <f t="shared" si="559"/>
        <v/>
      </c>
      <c r="AQ1319" s="544" t="str">
        <f t="shared" si="560"/>
        <v/>
      </c>
      <c r="AR1319" s="545">
        <f t="shared" si="561"/>
        <v>0</v>
      </c>
      <c r="AS1319" s="545">
        <f>IFERROR(CEILING($AR1319*VLOOKUP($I1319,Ref!$B$23:$E$29,4,0),1),0)</f>
        <v>0</v>
      </c>
      <c r="AT1319" s="545" t="str">
        <f>IF(A1319="","",IF(AP1319&lt;=1,"Cleared",IF(AS1319=0,"Clean",VLOOKUP($AS1319,Ref!$G$23:$H$28,2))))</f>
        <v/>
      </c>
      <c r="AU1319" s="546" t="str">
        <f t="shared" si="562"/>
        <v/>
      </c>
    </row>
    <row r="1320" spans="1:47" ht="14.25" hidden="1" customHeight="1" x14ac:dyDescent="0.15">
      <c r="A1320" s="523"/>
      <c r="B1320" s="523"/>
      <c r="C1320" s="523"/>
      <c r="D1320" s="523"/>
      <c r="E1320" s="579"/>
      <c r="F1320" s="580"/>
      <c r="G1320" s="524"/>
      <c r="H1320" s="555"/>
      <c r="I1320" s="560"/>
      <c r="J1320" s="523"/>
      <c r="K1320" s="528" t="str">
        <f>IFERROR(VLOOKUP($B1320,'Clients-Live'!$A:$C,3,0),"")</f>
        <v/>
      </c>
      <c r="L1320" s="528">
        <f>IF(E1320="STL",Pricing!$D$38,IF(A1320="",0,IF(A1320&lt;Pricing!$C$25,Pricing!$D$25,VLOOKUP(Disbursements!$F1320,Pricing!$B$29:$D$32,3))))</f>
        <v>0</v>
      </c>
      <c r="M1320" s="528">
        <f>IF(E1320="STL",0,IF(F1320&gt;0,Pricing!$D$21,0))</f>
        <v>0</v>
      </c>
      <c r="N1320" s="529">
        <f>IF(E1320="STL",F1320*Pricing!$D$40,IF(A1320&lt;=Pricing!$C$4,0,IF(AND(A1320&gt;Pricing!$C$4,Disbursements!A1320&lt;=Pricing!$C$5),F1320*Pricing!$E$5,IF(AND(A1320&gt;Pricing!$C$5,Disbursements!A1320&lt;=Pricing!$C$7),VLOOKUP(F1320,Pricing!$D$7:$E$8,2)*Disbursements!F1320,F1320*Pricing!$E$9))))</f>
        <v>0</v>
      </c>
      <c r="O1320" s="528">
        <f>IF(E1320="STL",0,IF($F1320&gt;0,$F1320*Pricing!$D$17,0))</f>
        <v>0</v>
      </c>
      <c r="P1320" s="530" t="str">
        <f t="shared" si="542"/>
        <v/>
      </c>
      <c r="Q1320" s="531" t="str">
        <f>IF($A1320="","",$G1320/VLOOKUP($I1320,Ref!$B$23:$D$29,2,0))</f>
        <v/>
      </c>
      <c r="R1320" s="530" t="str">
        <f t="shared" si="543"/>
        <v/>
      </c>
      <c r="S1320" s="532" t="str">
        <f t="shared" si="537"/>
        <v/>
      </c>
      <c r="T1320" s="531" t="str">
        <f t="shared" si="544"/>
        <v/>
      </c>
      <c r="U1320" s="533">
        <f t="shared" si="545"/>
        <v>0</v>
      </c>
      <c r="V1320" s="531" t="str">
        <f t="shared" si="546"/>
        <v/>
      </c>
      <c r="W1320" s="531" t="str">
        <f t="shared" si="547"/>
        <v/>
      </c>
      <c r="X1320" s="534" t="str">
        <f t="shared" si="548"/>
        <v/>
      </c>
      <c r="Y1320" s="535" t="str">
        <f>IF($A1320="","",IF($I1320="weekly",$A1320+7,EDATE($A1320,VLOOKUP($I1320,Ref!$B$24:$C$29,2,0))))</f>
        <v/>
      </c>
      <c r="Z1320" s="536" t="str">
        <f t="shared" si="549"/>
        <v/>
      </c>
      <c r="AA1320" s="531">
        <f t="shared" si="550"/>
        <v>0</v>
      </c>
      <c r="AB1320" s="535" t="str">
        <f t="shared" si="538"/>
        <v/>
      </c>
      <c r="AC1320" s="537" t="str">
        <f t="shared" si="539"/>
        <v/>
      </c>
      <c r="AD1320" s="538" t="str">
        <f t="shared" ca="1" si="540"/>
        <v/>
      </c>
      <c r="AE1320" s="537">
        <f t="shared" ca="1" si="541"/>
        <v>0</v>
      </c>
      <c r="AF1320" s="539" t="str">
        <f t="shared" ca="1" si="551"/>
        <v/>
      </c>
      <c r="AG1320" s="531" t="str">
        <f t="shared" ca="1" si="552"/>
        <v/>
      </c>
      <c r="AH1320" s="531" t="str">
        <f t="shared" ca="1" si="553"/>
        <v/>
      </c>
      <c r="AI1320" s="531" t="str">
        <f t="shared" ca="1" si="554"/>
        <v/>
      </c>
      <c r="AJ1320" s="531" t="str">
        <f t="shared" si="555"/>
        <v/>
      </c>
      <c r="AK1320" s="540">
        <f>SUMIFS('Live Collections'!$S:$S,'Live Collections'!$D:$D,Disbursements!B1320,'Live Collections'!$G:$G,Disbursements!C1320)</f>
        <v>0</v>
      </c>
      <c r="AL1320" s="540">
        <f>SUMIFS('Live Collections'!$T:$T,'Live Collections'!$D:$D,Disbursements!B1320,'Live Collections'!$G:$G,Disbursements!C1320)</f>
        <v>0</v>
      </c>
      <c r="AM1320" s="541">
        <f t="shared" si="556"/>
        <v>0</v>
      </c>
      <c r="AN1320" s="542" t="str">
        <f t="shared" si="557"/>
        <v/>
      </c>
      <c r="AO1320" s="542" t="str">
        <f t="shared" si="558"/>
        <v/>
      </c>
      <c r="AP1320" s="543" t="str">
        <f t="shared" si="559"/>
        <v/>
      </c>
      <c r="AQ1320" s="544" t="str">
        <f t="shared" si="560"/>
        <v/>
      </c>
      <c r="AR1320" s="545">
        <f t="shared" si="561"/>
        <v>0</v>
      </c>
      <c r="AS1320" s="545">
        <f>IFERROR(CEILING($AR1320*VLOOKUP($I1320,Ref!$B$23:$E$29,4,0),1),0)</f>
        <v>0</v>
      </c>
      <c r="AT1320" s="545" t="str">
        <f>IF(A1320="","",IF(AP1320&lt;=1,"Cleared",IF(AS1320=0,"Clean",VLOOKUP($AS1320,Ref!$G$23:$H$28,2))))</f>
        <v/>
      </c>
      <c r="AU1320" s="546" t="str">
        <f t="shared" si="562"/>
        <v/>
      </c>
    </row>
    <row r="1321" spans="1:47" ht="14.25" hidden="1" customHeight="1" x14ac:dyDescent="0.15">
      <c r="A1321" s="523"/>
      <c r="B1321" s="523"/>
      <c r="C1321" s="523"/>
      <c r="D1321" s="523"/>
      <c r="E1321" s="579"/>
      <c r="F1321" s="580"/>
      <c r="G1321" s="524"/>
      <c r="H1321" s="555"/>
      <c r="I1321" s="560"/>
      <c r="J1321" s="523"/>
      <c r="K1321" s="528" t="str">
        <f>IFERROR(VLOOKUP($B1321,'Clients-Live'!$A:$C,3,0),"")</f>
        <v/>
      </c>
      <c r="L1321" s="528">
        <f>IF(E1321="STL",Pricing!$D$38,IF(A1321="",0,IF(A1321&lt;Pricing!$C$25,Pricing!$D$25,VLOOKUP(Disbursements!$F1321,Pricing!$B$29:$D$32,3))))</f>
        <v>0</v>
      </c>
      <c r="M1321" s="528">
        <f>IF(E1321="STL",0,IF(F1321&gt;0,Pricing!$D$21,0))</f>
        <v>0</v>
      </c>
      <c r="N1321" s="529">
        <f>IF(E1321="STL",F1321*Pricing!$D$40,IF(A1321&lt;=Pricing!$C$4,0,IF(AND(A1321&gt;Pricing!$C$4,Disbursements!A1321&lt;=Pricing!$C$5),F1321*Pricing!$E$5,IF(AND(A1321&gt;Pricing!$C$5,Disbursements!A1321&lt;=Pricing!$C$7),VLOOKUP(F1321,Pricing!$D$7:$E$8,2)*Disbursements!F1321,F1321*Pricing!$E$9))))</f>
        <v>0</v>
      </c>
      <c r="O1321" s="528">
        <f>IF(E1321="STL",0,IF($F1321&gt;0,$F1321*Pricing!$D$17,0))</f>
        <v>0</v>
      </c>
      <c r="P1321" s="530" t="str">
        <f t="shared" si="542"/>
        <v/>
      </c>
      <c r="Q1321" s="531" t="str">
        <f>IF($A1321="","",$G1321/VLOOKUP($I1321,Ref!$B$23:$D$29,2,0))</f>
        <v/>
      </c>
      <c r="R1321" s="530" t="str">
        <f t="shared" si="543"/>
        <v/>
      </c>
      <c r="S1321" s="532" t="str">
        <f t="shared" si="537"/>
        <v/>
      </c>
      <c r="T1321" s="531" t="str">
        <f t="shared" si="544"/>
        <v/>
      </c>
      <c r="U1321" s="533">
        <f t="shared" si="545"/>
        <v>0</v>
      </c>
      <c r="V1321" s="531" t="str">
        <f t="shared" si="546"/>
        <v/>
      </c>
      <c r="W1321" s="531" t="str">
        <f t="shared" si="547"/>
        <v/>
      </c>
      <c r="X1321" s="534" t="str">
        <f t="shared" si="548"/>
        <v/>
      </c>
      <c r="Y1321" s="535" t="str">
        <f>IF($A1321="","",IF($I1321="weekly",$A1321+7,EDATE($A1321,VLOOKUP($I1321,Ref!$B$24:$C$29,2,0))))</f>
        <v/>
      </c>
      <c r="Z1321" s="536" t="str">
        <f t="shared" si="549"/>
        <v/>
      </c>
      <c r="AA1321" s="531">
        <f t="shared" si="550"/>
        <v>0</v>
      </c>
      <c r="AB1321" s="535" t="str">
        <f t="shared" si="538"/>
        <v/>
      </c>
      <c r="AC1321" s="537" t="str">
        <f t="shared" si="539"/>
        <v/>
      </c>
      <c r="AD1321" s="538" t="str">
        <f t="shared" ca="1" si="540"/>
        <v/>
      </c>
      <c r="AE1321" s="537">
        <f t="shared" ca="1" si="541"/>
        <v>0</v>
      </c>
      <c r="AF1321" s="539" t="str">
        <f t="shared" ca="1" si="551"/>
        <v/>
      </c>
      <c r="AG1321" s="531" t="str">
        <f t="shared" ca="1" si="552"/>
        <v/>
      </c>
      <c r="AH1321" s="531" t="str">
        <f t="shared" ca="1" si="553"/>
        <v/>
      </c>
      <c r="AI1321" s="531" t="str">
        <f t="shared" ca="1" si="554"/>
        <v/>
      </c>
      <c r="AJ1321" s="531" t="str">
        <f t="shared" si="555"/>
        <v/>
      </c>
      <c r="AK1321" s="540">
        <f>SUMIFS('Live Collections'!$S:$S,'Live Collections'!$D:$D,Disbursements!B1321,'Live Collections'!$G:$G,Disbursements!C1321)</f>
        <v>0</v>
      </c>
      <c r="AL1321" s="540">
        <f>SUMIFS('Live Collections'!$T:$T,'Live Collections'!$D:$D,Disbursements!B1321,'Live Collections'!$G:$G,Disbursements!C1321)</f>
        <v>0</v>
      </c>
      <c r="AM1321" s="541">
        <f t="shared" si="556"/>
        <v>0</v>
      </c>
      <c r="AN1321" s="542" t="str">
        <f t="shared" si="557"/>
        <v/>
      </c>
      <c r="AO1321" s="542" t="str">
        <f t="shared" si="558"/>
        <v/>
      </c>
      <c r="AP1321" s="543" t="str">
        <f t="shared" si="559"/>
        <v/>
      </c>
      <c r="AQ1321" s="544" t="str">
        <f t="shared" si="560"/>
        <v/>
      </c>
      <c r="AR1321" s="545">
        <f t="shared" si="561"/>
        <v>0</v>
      </c>
      <c r="AS1321" s="545">
        <f>IFERROR(CEILING($AR1321*VLOOKUP($I1321,Ref!$B$23:$E$29,4,0),1),0)</f>
        <v>0</v>
      </c>
      <c r="AT1321" s="545" t="str">
        <f>IF(A1321="","",IF(AP1321&lt;=1,"Cleared",IF(AS1321=0,"Clean",VLOOKUP($AS1321,Ref!$G$23:$H$28,2))))</f>
        <v/>
      </c>
      <c r="AU1321" s="546" t="str">
        <f t="shared" si="562"/>
        <v/>
      </c>
    </row>
    <row r="1322" spans="1:47" ht="14.25" hidden="1" customHeight="1" x14ac:dyDescent="0.15">
      <c r="A1322" s="523"/>
      <c r="B1322" s="523"/>
      <c r="C1322" s="523"/>
      <c r="D1322" s="523"/>
      <c r="E1322" s="579"/>
      <c r="F1322" s="580"/>
      <c r="G1322" s="524"/>
      <c r="H1322" s="555"/>
      <c r="I1322" s="560"/>
      <c r="J1322" s="523"/>
      <c r="K1322" s="528" t="str">
        <f>IFERROR(VLOOKUP($B1322,'Clients-Live'!$A:$C,3,0),"")</f>
        <v/>
      </c>
      <c r="L1322" s="528">
        <f>IF(E1322="STL",Pricing!$D$38,IF(A1322="",0,IF(A1322&lt;Pricing!$C$25,Pricing!$D$25,VLOOKUP(Disbursements!$F1322,Pricing!$B$29:$D$32,3))))</f>
        <v>0</v>
      </c>
      <c r="M1322" s="528">
        <f>IF(E1322="STL",0,IF(F1322&gt;0,Pricing!$D$21,0))</f>
        <v>0</v>
      </c>
      <c r="N1322" s="529">
        <f>IF(E1322="STL",F1322*Pricing!$D$40,IF(A1322&lt;=Pricing!$C$4,0,IF(AND(A1322&gt;Pricing!$C$4,Disbursements!A1322&lt;=Pricing!$C$5),F1322*Pricing!$E$5,IF(AND(A1322&gt;Pricing!$C$5,Disbursements!A1322&lt;=Pricing!$C$7),VLOOKUP(F1322,Pricing!$D$7:$E$8,2)*Disbursements!F1322,F1322*Pricing!$E$9))))</f>
        <v>0</v>
      </c>
      <c r="O1322" s="528">
        <f>IF(E1322="STL",0,IF($F1322&gt;0,$F1322*Pricing!$D$17,0))</f>
        <v>0</v>
      </c>
      <c r="P1322" s="530" t="str">
        <f t="shared" si="542"/>
        <v/>
      </c>
      <c r="Q1322" s="531" t="str">
        <f>IF($A1322="","",$G1322/VLOOKUP($I1322,Ref!$B$23:$D$29,2,0))</f>
        <v/>
      </c>
      <c r="R1322" s="530" t="str">
        <f t="shared" si="543"/>
        <v/>
      </c>
      <c r="S1322" s="532" t="str">
        <f t="shared" si="537"/>
        <v/>
      </c>
      <c r="T1322" s="531" t="str">
        <f t="shared" si="544"/>
        <v/>
      </c>
      <c r="U1322" s="533">
        <f t="shared" si="545"/>
        <v>0</v>
      </c>
      <c r="V1322" s="531" t="str">
        <f t="shared" si="546"/>
        <v/>
      </c>
      <c r="W1322" s="531" t="str">
        <f t="shared" si="547"/>
        <v/>
      </c>
      <c r="X1322" s="534" t="str">
        <f t="shared" si="548"/>
        <v/>
      </c>
      <c r="Y1322" s="535" t="str">
        <f>IF($A1322="","",IF($I1322="weekly",$A1322+7,EDATE($A1322,VLOOKUP($I1322,Ref!$B$24:$C$29,2,0))))</f>
        <v/>
      </c>
      <c r="Z1322" s="536" t="str">
        <f t="shared" si="549"/>
        <v/>
      </c>
      <c r="AA1322" s="531">
        <f t="shared" si="550"/>
        <v>0</v>
      </c>
      <c r="AB1322" s="535" t="str">
        <f t="shared" si="538"/>
        <v/>
      </c>
      <c r="AC1322" s="537" t="str">
        <f t="shared" si="539"/>
        <v/>
      </c>
      <c r="AD1322" s="538" t="str">
        <f t="shared" ca="1" si="540"/>
        <v/>
      </c>
      <c r="AE1322" s="537">
        <f t="shared" ca="1" si="541"/>
        <v>0</v>
      </c>
      <c r="AF1322" s="539" t="str">
        <f t="shared" ca="1" si="551"/>
        <v/>
      </c>
      <c r="AG1322" s="531" t="str">
        <f t="shared" ca="1" si="552"/>
        <v/>
      </c>
      <c r="AH1322" s="531" t="str">
        <f t="shared" ca="1" si="553"/>
        <v/>
      </c>
      <c r="AI1322" s="531" t="str">
        <f t="shared" ca="1" si="554"/>
        <v/>
      </c>
      <c r="AJ1322" s="531" t="str">
        <f t="shared" si="555"/>
        <v/>
      </c>
      <c r="AK1322" s="540">
        <f>SUMIFS('Live Collections'!$S:$S,'Live Collections'!$D:$D,Disbursements!B1322,'Live Collections'!$G:$G,Disbursements!C1322)</f>
        <v>0</v>
      </c>
      <c r="AL1322" s="540">
        <f>SUMIFS('Live Collections'!$T:$T,'Live Collections'!$D:$D,Disbursements!B1322,'Live Collections'!$G:$G,Disbursements!C1322)</f>
        <v>0</v>
      </c>
      <c r="AM1322" s="541">
        <f t="shared" si="556"/>
        <v>0</v>
      </c>
      <c r="AN1322" s="542" t="str">
        <f t="shared" si="557"/>
        <v/>
      </c>
      <c r="AO1322" s="542" t="str">
        <f t="shared" si="558"/>
        <v/>
      </c>
      <c r="AP1322" s="543" t="str">
        <f t="shared" si="559"/>
        <v/>
      </c>
      <c r="AQ1322" s="544" t="str">
        <f t="shared" si="560"/>
        <v/>
      </c>
      <c r="AR1322" s="545">
        <f t="shared" si="561"/>
        <v>0</v>
      </c>
      <c r="AS1322" s="545">
        <f>IFERROR(CEILING($AR1322*VLOOKUP($I1322,Ref!$B$23:$E$29,4,0),1),0)</f>
        <v>0</v>
      </c>
      <c r="AT1322" s="545" t="str">
        <f>IF(A1322="","",IF(AP1322&lt;=1,"Cleared",IF(AS1322=0,"Clean",VLOOKUP($AS1322,Ref!$G$23:$H$28,2))))</f>
        <v/>
      </c>
      <c r="AU1322" s="546" t="str">
        <f t="shared" si="562"/>
        <v/>
      </c>
    </row>
    <row r="1323" spans="1:47" ht="14.25" hidden="1" customHeight="1" x14ac:dyDescent="0.15">
      <c r="A1323" s="523"/>
      <c r="B1323" s="523"/>
      <c r="C1323" s="523"/>
      <c r="D1323" s="523"/>
      <c r="E1323" s="579"/>
      <c r="F1323" s="580"/>
      <c r="G1323" s="524"/>
      <c r="H1323" s="555"/>
      <c r="I1323" s="560"/>
      <c r="J1323" s="523"/>
      <c r="K1323" s="528" t="str">
        <f>IFERROR(VLOOKUP($B1323,'Clients-Live'!$A:$C,3,0),"")</f>
        <v/>
      </c>
      <c r="L1323" s="528">
        <f>IF(E1323="STL",Pricing!$D$38,IF(A1323="",0,IF(A1323&lt;Pricing!$C$25,Pricing!$D$25,VLOOKUP(Disbursements!$F1323,Pricing!$B$29:$D$32,3))))</f>
        <v>0</v>
      </c>
      <c r="M1323" s="528">
        <f>IF(E1323="STL",0,IF(F1323&gt;0,Pricing!$D$21,0))</f>
        <v>0</v>
      </c>
      <c r="N1323" s="529">
        <f>IF(E1323="STL",F1323*Pricing!$D$40,IF(A1323&lt;=Pricing!$C$4,0,IF(AND(A1323&gt;Pricing!$C$4,Disbursements!A1323&lt;=Pricing!$C$5),F1323*Pricing!$E$5,IF(AND(A1323&gt;Pricing!$C$5,Disbursements!A1323&lt;=Pricing!$C$7),VLOOKUP(F1323,Pricing!$D$7:$E$8,2)*Disbursements!F1323,F1323*Pricing!$E$9))))</f>
        <v>0</v>
      </c>
      <c r="O1323" s="528">
        <f>IF(E1323="STL",0,IF($F1323&gt;0,$F1323*Pricing!$D$17,0))</f>
        <v>0</v>
      </c>
      <c r="P1323" s="530" t="str">
        <f t="shared" si="542"/>
        <v/>
      </c>
      <c r="Q1323" s="531" t="str">
        <f>IF($A1323="","",$G1323/VLOOKUP($I1323,Ref!$B$23:$D$29,2,0))</f>
        <v/>
      </c>
      <c r="R1323" s="530" t="str">
        <f t="shared" si="543"/>
        <v/>
      </c>
      <c r="S1323" s="532" t="str">
        <f t="shared" si="537"/>
        <v/>
      </c>
      <c r="T1323" s="531" t="str">
        <f t="shared" si="544"/>
        <v/>
      </c>
      <c r="U1323" s="533">
        <f t="shared" si="545"/>
        <v>0</v>
      </c>
      <c r="V1323" s="531" t="str">
        <f t="shared" si="546"/>
        <v/>
      </c>
      <c r="W1323" s="531" t="str">
        <f t="shared" si="547"/>
        <v/>
      </c>
      <c r="X1323" s="534" t="str">
        <f t="shared" si="548"/>
        <v/>
      </c>
      <c r="Y1323" s="535" t="str">
        <f>IF($A1323="","",IF($I1323="weekly",$A1323+7,EDATE($A1323,VLOOKUP($I1323,Ref!$B$24:$C$29,2,0))))</f>
        <v/>
      </c>
      <c r="Z1323" s="536" t="str">
        <f t="shared" si="549"/>
        <v/>
      </c>
      <c r="AA1323" s="531">
        <f t="shared" si="550"/>
        <v>0</v>
      </c>
      <c r="AB1323" s="535" t="str">
        <f t="shared" si="538"/>
        <v/>
      </c>
      <c r="AC1323" s="537" t="str">
        <f t="shared" si="539"/>
        <v/>
      </c>
      <c r="AD1323" s="538" t="str">
        <f t="shared" ca="1" si="540"/>
        <v/>
      </c>
      <c r="AE1323" s="537">
        <f t="shared" ca="1" si="541"/>
        <v>0</v>
      </c>
      <c r="AF1323" s="539" t="str">
        <f t="shared" ca="1" si="551"/>
        <v/>
      </c>
      <c r="AG1323" s="531" t="str">
        <f t="shared" ca="1" si="552"/>
        <v/>
      </c>
      <c r="AH1323" s="531" t="str">
        <f t="shared" ca="1" si="553"/>
        <v/>
      </c>
      <c r="AI1323" s="531" t="str">
        <f t="shared" ca="1" si="554"/>
        <v/>
      </c>
      <c r="AJ1323" s="531" t="str">
        <f t="shared" si="555"/>
        <v/>
      </c>
      <c r="AK1323" s="540">
        <f>SUMIFS('Live Collections'!$S:$S,'Live Collections'!$D:$D,Disbursements!B1323,'Live Collections'!$G:$G,Disbursements!C1323)</f>
        <v>0</v>
      </c>
      <c r="AL1323" s="540">
        <f>SUMIFS('Live Collections'!$T:$T,'Live Collections'!$D:$D,Disbursements!B1323,'Live Collections'!$G:$G,Disbursements!C1323)</f>
        <v>0</v>
      </c>
      <c r="AM1323" s="541">
        <f t="shared" si="556"/>
        <v>0</v>
      </c>
      <c r="AN1323" s="542" t="str">
        <f t="shared" si="557"/>
        <v/>
      </c>
      <c r="AO1323" s="542" t="str">
        <f t="shared" si="558"/>
        <v/>
      </c>
      <c r="AP1323" s="543" t="str">
        <f t="shared" si="559"/>
        <v/>
      </c>
      <c r="AQ1323" s="544" t="str">
        <f t="shared" si="560"/>
        <v/>
      </c>
      <c r="AR1323" s="545">
        <f t="shared" si="561"/>
        <v>0</v>
      </c>
      <c r="AS1323" s="545">
        <f>IFERROR(CEILING($AR1323*VLOOKUP($I1323,Ref!$B$23:$E$29,4,0),1),0)</f>
        <v>0</v>
      </c>
      <c r="AT1323" s="545" t="str">
        <f>IF(A1323="","",IF(AP1323&lt;=1,"Cleared",IF(AS1323=0,"Clean",VLOOKUP($AS1323,Ref!$G$23:$H$28,2))))</f>
        <v/>
      </c>
      <c r="AU1323" s="546" t="str">
        <f t="shared" si="562"/>
        <v/>
      </c>
    </row>
    <row r="1324" spans="1:47" ht="14.25" hidden="1" customHeight="1" x14ac:dyDescent="0.15">
      <c r="A1324" s="523"/>
      <c r="B1324" s="523"/>
      <c r="C1324" s="523"/>
      <c r="D1324" s="523"/>
      <c r="E1324" s="579"/>
      <c r="F1324" s="580"/>
      <c r="G1324" s="524"/>
      <c r="H1324" s="555"/>
      <c r="I1324" s="560"/>
      <c r="J1324" s="523"/>
      <c r="K1324" s="528" t="str">
        <f>IFERROR(VLOOKUP($B1324,'Clients-Live'!$A:$C,3,0),"")</f>
        <v/>
      </c>
      <c r="L1324" s="528">
        <f>IF(E1324="STL",Pricing!$D$38,IF(A1324="",0,IF(A1324&lt;Pricing!$C$25,Pricing!$D$25,VLOOKUP(Disbursements!$F1324,Pricing!$B$29:$D$32,3))))</f>
        <v>0</v>
      </c>
      <c r="M1324" s="528">
        <f>IF(E1324="STL",0,IF(F1324&gt;0,Pricing!$D$21,0))</f>
        <v>0</v>
      </c>
      <c r="N1324" s="529">
        <f>IF(E1324="STL",F1324*Pricing!$D$40,IF(A1324&lt;=Pricing!$C$4,0,IF(AND(A1324&gt;Pricing!$C$4,Disbursements!A1324&lt;=Pricing!$C$5),F1324*Pricing!$E$5,IF(AND(A1324&gt;Pricing!$C$5,Disbursements!A1324&lt;=Pricing!$C$7),VLOOKUP(F1324,Pricing!$D$7:$E$8,2)*Disbursements!F1324,F1324*Pricing!$E$9))))</f>
        <v>0</v>
      </c>
      <c r="O1324" s="528">
        <f>IF(E1324="STL",0,IF($F1324&gt;0,$F1324*Pricing!$D$17,0))</f>
        <v>0</v>
      </c>
      <c r="P1324" s="530" t="str">
        <f t="shared" si="542"/>
        <v/>
      </c>
      <c r="Q1324" s="531" t="str">
        <f>IF($A1324="","",$G1324/VLOOKUP($I1324,Ref!$B$23:$D$29,2,0))</f>
        <v/>
      </c>
      <c r="R1324" s="530" t="str">
        <f t="shared" si="543"/>
        <v/>
      </c>
      <c r="S1324" s="532" t="str">
        <f t="shared" si="537"/>
        <v/>
      </c>
      <c r="T1324" s="531" t="str">
        <f t="shared" si="544"/>
        <v/>
      </c>
      <c r="U1324" s="533">
        <f t="shared" si="545"/>
        <v>0</v>
      </c>
      <c r="V1324" s="531" t="str">
        <f t="shared" si="546"/>
        <v/>
      </c>
      <c r="W1324" s="531" t="str">
        <f t="shared" si="547"/>
        <v/>
      </c>
      <c r="X1324" s="534" t="str">
        <f t="shared" si="548"/>
        <v/>
      </c>
      <c r="Y1324" s="535" t="str">
        <f>IF($A1324="","",IF($I1324="weekly",$A1324+7,EDATE($A1324,VLOOKUP($I1324,Ref!$B$24:$C$29,2,0))))</f>
        <v/>
      </c>
      <c r="Z1324" s="536" t="str">
        <f t="shared" si="549"/>
        <v/>
      </c>
      <c r="AA1324" s="531">
        <f t="shared" si="550"/>
        <v>0</v>
      </c>
      <c r="AB1324" s="535" t="str">
        <f t="shared" si="538"/>
        <v/>
      </c>
      <c r="AC1324" s="537" t="str">
        <f t="shared" si="539"/>
        <v/>
      </c>
      <c r="AD1324" s="538" t="str">
        <f t="shared" ca="1" si="540"/>
        <v/>
      </c>
      <c r="AE1324" s="537">
        <f t="shared" ca="1" si="541"/>
        <v>0</v>
      </c>
      <c r="AF1324" s="539" t="str">
        <f t="shared" ca="1" si="551"/>
        <v/>
      </c>
      <c r="AG1324" s="531" t="str">
        <f t="shared" ca="1" si="552"/>
        <v/>
      </c>
      <c r="AH1324" s="531" t="str">
        <f t="shared" ca="1" si="553"/>
        <v/>
      </c>
      <c r="AI1324" s="531" t="str">
        <f t="shared" ca="1" si="554"/>
        <v/>
      </c>
      <c r="AJ1324" s="531" t="str">
        <f t="shared" si="555"/>
        <v/>
      </c>
      <c r="AK1324" s="540">
        <f>SUMIFS('Live Collections'!$S:$S,'Live Collections'!$D:$D,Disbursements!B1324,'Live Collections'!$G:$G,Disbursements!C1324)</f>
        <v>0</v>
      </c>
      <c r="AL1324" s="540">
        <f>SUMIFS('Live Collections'!$T:$T,'Live Collections'!$D:$D,Disbursements!B1324,'Live Collections'!$G:$G,Disbursements!C1324)</f>
        <v>0</v>
      </c>
      <c r="AM1324" s="541">
        <f t="shared" si="556"/>
        <v>0</v>
      </c>
      <c r="AN1324" s="542" t="str">
        <f t="shared" si="557"/>
        <v/>
      </c>
      <c r="AO1324" s="542" t="str">
        <f t="shared" si="558"/>
        <v/>
      </c>
      <c r="AP1324" s="543" t="str">
        <f t="shared" si="559"/>
        <v/>
      </c>
      <c r="AQ1324" s="544" t="str">
        <f t="shared" si="560"/>
        <v/>
      </c>
      <c r="AR1324" s="545">
        <f t="shared" si="561"/>
        <v>0</v>
      </c>
      <c r="AS1324" s="545">
        <f>IFERROR(CEILING($AR1324*VLOOKUP($I1324,Ref!$B$23:$E$29,4,0),1),0)</f>
        <v>0</v>
      </c>
      <c r="AT1324" s="545" t="str">
        <f>IF(A1324="","",IF(AP1324&lt;=1,"Cleared",IF(AS1324=0,"Clean",VLOOKUP($AS1324,Ref!$G$23:$H$28,2))))</f>
        <v/>
      </c>
      <c r="AU1324" s="546" t="str">
        <f t="shared" si="562"/>
        <v/>
      </c>
    </row>
    <row r="1325" spans="1:47" ht="14.25" hidden="1" customHeight="1" x14ac:dyDescent="0.15">
      <c r="A1325" s="523"/>
      <c r="B1325" s="523"/>
      <c r="C1325" s="523"/>
      <c r="D1325" s="523"/>
      <c r="E1325" s="579"/>
      <c r="F1325" s="580"/>
      <c r="G1325" s="524"/>
      <c r="H1325" s="555"/>
      <c r="I1325" s="560"/>
      <c r="J1325" s="523"/>
      <c r="K1325" s="528" t="str">
        <f>IFERROR(VLOOKUP($B1325,'Clients-Live'!$A:$C,3,0),"")</f>
        <v/>
      </c>
      <c r="L1325" s="528">
        <f>IF(E1325="STL",Pricing!$D$38,IF(A1325="",0,IF(A1325&lt;Pricing!$C$25,Pricing!$D$25,VLOOKUP(Disbursements!$F1325,Pricing!$B$29:$D$32,3))))</f>
        <v>0</v>
      </c>
      <c r="M1325" s="528">
        <f>IF(E1325="STL",0,IF(F1325&gt;0,Pricing!$D$21,0))</f>
        <v>0</v>
      </c>
      <c r="N1325" s="529">
        <f>IF(E1325="STL",F1325*Pricing!$D$40,IF(A1325&lt;=Pricing!$C$4,0,IF(AND(A1325&gt;Pricing!$C$4,Disbursements!A1325&lt;=Pricing!$C$5),F1325*Pricing!$E$5,IF(AND(A1325&gt;Pricing!$C$5,Disbursements!A1325&lt;=Pricing!$C$7),VLOOKUP(F1325,Pricing!$D$7:$E$8,2)*Disbursements!F1325,F1325*Pricing!$E$9))))</f>
        <v>0</v>
      </c>
      <c r="O1325" s="528">
        <f>IF(E1325="STL",0,IF($F1325&gt;0,$F1325*Pricing!$D$17,0))</f>
        <v>0</v>
      </c>
      <c r="P1325" s="530" t="str">
        <f t="shared" si="542"/>
        <v/>
      </c>
      <c r="Q1325" s="531" t="str">
        <f>IF($A1325="","",$G1325/VLOOKUP($I1325,Ref!$B$23:$D$29,2,0))</f>
        <v/>
      </c>
      <c r="R1325" s="530" t="str">
        <f t="shared" si="543"/>
        <v/>
      </c>
      <c r="S1325" s="532" t="str">
        <f t="shared" si="537"/>
        <v/>
      </c>
      <c r="T1325" s="531" t="str">
        <f t="shared" si="544"/>
        <v/>
      </c>
      <c r="U1325" s="533">
        <f t="shared" si="545"/>
        <v>0</v>
      </c>
      <c r="V1325" s="531" t="str">
        <f t="shared" si="546"/>
        <v/>
      </c>
      <c r="W1325" s="531" t="str">
        <f t="shared" si="547"/>
        <v/>
      </c>
      <c r="X1325" s="534" t="str">
        <f t="shared" si="548"/>
        <v/>
      </c>
      <c r="Y1325" s="535" t="str">
        <f>IF($A1325="","",IF($I1325="weekly",$A1325+7,EDATE($A1325,VLOOKUP($I1325,Ref!$B$24:$C$29,2,0))))</f>
        <v/>
      </c>
      <c r="Z1325" s="536" t="str">
        <f t="shared" si="549"/>
        <v/>
      </c>
      <c r="AA1325" s="531">
        <f t="shared" si="550"/>
        <v>0</v>
      </c>
      <c r="AB1325" s="535" t="str">
        <f t="shared" si="538"/>
        <v/>
      </c>
      <c r="AC1325" s="537" t="str">
        <f t="shared" si="539"/>
        <v/>
      </c>
      <c r="AD1325" s="538" t="str">
        <f t="shared" ca="1" si="540"/>
        <v/>
      </c>
      <c r="AE1325" s="537">
        <f t="shared" ca="1" si="541"/>
        <v>0</v>
      </c>
      <c r="AF1325" s="539" t="str">
        <f t="shared" ca="1" si="551"/>
        <v/>
      </c>
      <c r="AG1325" s="531" t="str">
        <f t="shared" ca="1" si="552"/>
        <v/>
      </c>
      <c r="AH1325" s="531" t="str">
        <f t="shared" ca="1" si="553"/>
        <v/>
      </c>
      <c r="AI1325" s="531" t="str">
        <f t="shared" ca="1" si="554"/>
        <v/>
      </c>
      <c r="AJ1325" s="531" t="str">
        <f t="shared" si="555"/>
        <v/>
      </c>
      <c r="AK1325" s="540">
        <f>SUMIFS('Live Collections'!$S:$S,'Live Collections'!$D:$D,Disbursements!B1325,'Live Collections'!$G:$G,Disbursements!C1325)</f>
        <v>0</v>
      </c>
      <c r="AL1325" s="540">
        <f>SUMIFS('Live Collections'!$T:$T,'Live Collections'!$D:$D,Disbursements!B1325,'Live Collections'!$G:$G,Disbursements!C1325)</f>
        <v>0</v>
      </c>
      <c r="AM1325" s="541">
        <f t="shared" si="556"/>
        <v>0</v>
      </c>
      <c r="AN1325" s="542" t="str">
        <f t="shared" si="557"/>
        <v/>
      </c>
      <c r="AO1325" s="542" t="str">
        <f t="shared" si="558"/>
        <v/>
      </c>
      <c r="AP1325" s="543" t="str">
        <f t="shared" si="559"/>
        <v/>
      </c>
      <c r="AQ1325" s="544" t="str">
        <f t="shared" si="560"/>
        <v/>
      </c>
      <c r="AR1325" s="545">
        <f t="shared" si="561"/>
        <v>0</v>
      </c>
      <c r="AS1325" s="545">
        <f>IFERROR(CEILING($AR1325*VLOOKUP($I1325,Ref!$B$23:$E$29,4,0),1),0)</f>
        <v>0</v>
      </c>
      <c r="AT1325" s="545" t="str">
        <f>IF(A1325="","",IF(AP1325&lt;=1,"Cleared",IF(AS1325=0,"Clean",VLOOKUP($AS1325,Ref!$G$23:$H$28,2))))</f>
        <v/>
      </c>
      <c r="AU1325" s="546" t="str">
        <f t="shared" si="562"/>
        <v/>
      </c>
    </row>
    <row r="1326" spans="1:47" ht="14.25" hidden="1" customHeight="1" x14ac:dyDescent="0.15">
      <c r="A1326" s="523"/>
      <c r="B1326" s="523"/>
      <c r="C1326" s="523"/>
      <c r="D1326" s="523"/>
      <c r="E1326" s="579"/>
      <c r="F1326" s="580"/>
      <c r="G1326" s="524"/>
      <c r="H1326" s="555"/>
      <c r="I1326" s="560"/>
      <c r="J1326" s="523"/>
      <c r="K1326" s="528" t="str">
        <f>IFERROR(VLOOKUP($B1326,'Clients-Live'!$A:$C,3,0),"")</f>
        <v/>
      </c>
      <c r="L1326" s="528">
        <f>IF(E1326="STL",Pricing!$D$38,IF(A1326="",0,IF(A1326&lt;Pricing!$C$25,Pricing!$D$25,VLOOKUP(Disbursements!$F1326,Pricing!$B$29:$D$32,3))))</f>
        <v>0</v>
      </c>
      <c r="M1326" s="528">
        <f>IF(E1326="STL",0,IF(F1326&gt;0,Pricing!$D$21,0))</f>
        <v>0</v>
      </c>
      <c r="N1326" s="529">
        <f>IF(E1326="STL",F1326*Pricing!$D$40,IF(A1326&lt;=Pricing!$C$4,0,IF(AND(A1326&gt;Pricing!$C$4,Disbursements!A1326&lt;=Pricing!$C$5),F1326*Pricing!$E$5,IF(AND(A1326&gt;Pricing!$C$5,Disbursements!A1326&lt;=Pricing!$C$7),VLOOKUP(F1326,Pricing!$D$7:$E$8,2)*Disbursements!F1326,F1326*Pricing!$E$9))))</f>
        <v>0</v>
      </c>
      <c r="O1326" s="528">
        <f>IF(E1326="STL",0,IF($F1326&gt;0,$F1326*Pricing!$D$17,0))</f>
        <v>0</v>
      </c>
      <c r="P1326" s="530" t="str">
        <f t="shared" si="542"/>
        <v/>
      </c>
      <c r="Q1326" s="531" t="str">
        <f>IF($A1326="","",$G1326/VLOOKUP($I1326,Ref!$B$23:$D$29,2,0))</f>
        <v/>
      </c>
      <c r="R1326" s="530" t="str">
        <f t="shared" si="543"/>
        <v/>
      </c>
      <c r="S1326" s="532" t="str">
        <f t="shared" si="537"/>
        <v/>
      </c>
      <c r="T1326" s="531" t="str">
        <f t="shared" si="544"/>
        <v/>
      </c>
      <c r="U1326" s="533">
        <f t="shared" si="545"/>
        <v>0</v>
      </c>
      <c r="V1326" s="531" t="str">
        <f t="shared" si="546"/>
        <v/>
      </c>
      <c r="W1326" s="531" t="str">
        <f t="shared" si="547"/>
        <v/>
      </c>
      <c r="X1326" s="534" t="str">
        <f t="shared" si="548"/>
        <v/>
      </c>
      <c r="Y1326" s="535" t="str">
        <f>IF($A1326="","",IF($I1326="weekly",$A1326+7,EDATE($A1326,VLOOKUP($I1326,Ref!$B$24:$C$29,2,0))))</f>
        <v/>
      </c>
      <c r="Z1326" s="536" t="str">
        <f t="shared" si="549"/>
        <v/>
      </c>
      <c r="AA1326" s="531">
        <f t="shared" si="550"/>
        <v>0</v>
      </c>
      <c r="AB1326" s="535" t="str">
        <f t="shared" si="538"/>
        <v/>
      </c>
      <c r="AC1326" s="537" t="str">
        <f t="shared" si="539"/>
        <v/>
      </c>
      <c r="AD1326" s="538" t="str">
        <f t="shared" ca="1" si="540"/>
        <v/>
      </c>
      <c r="AE1326" s="537">
        <f t="shared" ca="1" si="541"/>
        <v>0</v>
      </c>
      <c r="AF1326" s="539" t="str">
        <f t="shared" ca="1" si="551"/>
        <v/>
      </c>
      <c r="AG1326" s="531" t="str">
        <f t="shared" ca="1" si="552"/>
        <v/>
      </c>
      <c r="AH1326" s="531" t="str">
        <f t="shared" ca="1" si="553"/>
        <v/>
      </c>
      <c r="AI1326" s="531" t="str">
        <f t="shared" ca="1" si="554"/>
        <v/>
      </c>
      <c r="AJ1326" s="531" t="str">
        <f t="shared" si="555"/>
        <v/>
      </c>
      <c r="AK1326" s="540">
        <f>SUMIFS('Live Collections'!$S:$S,'Live Collections'!$D:$D,Disbursements!B1326,'Live Collections'!$G:$G,Disbursements!C1326)</f>
        <v>0</v>
      </c>
      <c r="AL1326" s="540">
        <f>SUMIFS('Live Collections'!$T:$T,'Live Collections'!$D:$D,Disbursements!B1326,'Live Collections'!$G:$G,Disbursements!C1326)</f>
        <v>0</v>
      </c>
      <c r="AM1326" s="541">
        <f t="shared" si="556"/>
        <v>0</v>
      </c>
      <c r="AN1326" s="542" t="str">
        <f t="shared" si="557"/>
        <v/>
      </c>
      <c r="AO1326" s="542" t="str">
        <f t="shared" si="558"/>
        <v/>
      </c>
      <c r="AP1326" s="543" t="str">
        <f t="shared" si="559"/>
        <v/>
      </c>
      <c r="AQ1326" s="544" t="str">
        <f t="shared" si="560"/>
        <v/>
      </c>
      <c r="AR1326" s="545">
        <f t="shared" si="561"/>
        <v>0</v>
      </c>
      <c r="AS1326" s="545">
        <f>IFERROR(CEILING($AR1326*VLOOKUP($I1326,Ref!$B$23:$E$29,4,0),1),0)</f>
        <v>0</v>
      </c>
      <c r="AT1326" s="545" t="str">
        <f>IF(A1326="","",IF(AP1326&lt;=1,"Cleared",IF(AS1326=0,"Clean",VLOOKUP($AS1326,Ref!$G$23:$H$28,2))))</f>
        <v/>
      </c>
      <c r="AU1326" s="546" t="str">
        <f t="shared" si="562"/>
        <v/>
      </c>
    </row>
    <row r="1327" spans="1:47" ht="14.25" hidden="1" customHeight="1" x14ac:dyDescent="0.15">
      <c r="A1327" s="523"/>
      <c r="B1327" s="523"/>
      <c r="C1327" s="523"/>
      <c r="D1327" s="523"/>
      <c r="E1327" s="579"/>
      <c r="F1327" s="580"/>
      <c r="G1327" s="524"/>
      <c r="H1327" s="555"/>
      <c r="I1327" s="560"/>
      <c r="J1327" s="523"/>
      <c r="K1327" s="528" t="str">
        <f>IFERROR(VLOOKUP($B1327,'Clients-Live'!$A:$C,3,0),"")</f>
        <v/>
      </c>
      <c r="L1327" s="528">
        <f>IF(E1327="STL",Pricing!$D$38,IF(A1327="",0,IF(A1327&lt;Pricing!$C$25,Pricing!$D$25,VLOOKUP(Disbursements!$F1327,Pricing!$B$29:$D$32,3))))</f>
        <v>0</v>
      </c>
      <c r="M1327" s="528">
        <f>IF(E1327="STL",0,IF(F1327&gt;0,Pricing!$D$21,0))</f>
        <v>0</v>
      </c>
      <c r="N1327" s="529">
        <f>IF(E1327="STL",F1327*Pricing!$D$40,IF(A1327&lt;=Pricing!$C$4,0,IF(AND(A1327&gt;Pricing!$C$4,Disbursements!A1327&lt;=Pricing!$C$5),F1327*Pricing!$E$5,IF(AND(A1327&gt;Pricing!$C$5,Disbursements!A1327&lt;=Pricing!$C$7),VLOOKUP(F1327,Pricing!$D$7:$E$8,2)*Disbursements!F1327,F1327*Pricing!$E$9))))</f>
        <v>0</v>
      </c>
      <c r="O1327" s="528">
        <f>IF(E1327="STL",0,IF($F1327&gt;0,$F1327*Pricing!$D$17,0))</f>
        <v>0</v>
      </c>
      <c r="P1327" s="530" t="str">
        <f t="shared" si="542"/>
        <v/>
      </c>
      <c r="Q1327" s="531" t="str">
        <f>IF($A1327="","",$G1327/VLOOKUP($I1327,Ref!$B$23:$D$29,2,0))</f>
        <v/>
      </c>
      <c r="R1327" s="530" t="str">
        <f t="shared" si="543"/>
        <v/>
      </c>
      <c r="S1327" s="532" t="str">
        <f t="shared" si="537"/>
        <v/>
      </c>
      <c r="T1327" s="531" t="str">
        <f t="shared" si="544"/>
        <v/>
      </c>
      <c r="U1327" s="533">
        <f t="shared" si="545"/>
        <v>0</v>
      </c>
      <c r="V1327" s="531" t="str">
        <f t="shared" si="546"/>
        <v/>
      </c>
      <c r="W1327" s="531" t="str">
        <f t="shared" si="547"/>
        <v/>
      </c>
      <c r="X1327" s="534" t="str">
        <f t="shared" si="548"/>
        <v/>
      </c>
      <c r="Y1327" s="535" t="str">
        <f>IF($A1327="","",IF($I1327="weekly",$A1327+7,EDATE($A1327,VLOOKUP($I1327,Ref!$B$24:$C$29,2,0))))</f>
        <v/>
      </c>
      <c r="Z1327" s="536" t="str">
        <f t="shared" si="549"/>
        <v/>
      </c>
      <c r="AA1327" s="531">
        <f t="shared" si="550"/>
        <v>0</v>
      </c>
      <c r="AB1327" s="535" t="str">
        <f t="shared" si="538"/>
        <v/>
      </c>
      <c r="AC1327" s="537" t="str">
        <f t="shared" si="539"/>
        <v/>
      </c>
      <c r="AD1327" s="538" t="str">
        <f t="shared" ca="1" si="540"/>
        <v/>
      </c>
      <c r="AE1327" s="537">
        <f t="shared" ca="1" si="541"/>
        <v>0</v>
      </c>
      <c r="AF1327" s="539" t="str">
        <f t="shared" ca="1" si="551"/>
        <v/>
      </c>
      <c r="AG1327" s="531" t="str">
        <f t="shared" ca="1" si="552"/>
        <v/>
      </c>
      <c r="AH1327" s="531" t="str">
        <f t="shared" ca="1" si="553"/>
        <v/>
      </c>
      <c r="AI1327" s="531" t="str">
        <f t="shared" ca="1" si="554"/>
        <v/>
      </c>
      <c r="AJ1327" s="531" t="str">
        <f t="shared" si="555"/>
        <v/>
      </c>
      <c r="AK1327" s="540">
        <f>SUMIFS('Live Collections'!$S:$S,'Live Collections'!$D:$D,Disbursements!B1327,'Live Collections'!$G:$G,Disbursements!C1327)</f>
        <v>0</v>
      </c>
      <c r="AL1327" s="540">
        <f>SUMIFS('Live Collections'!$T:$T,'Live Collections'!$D:$D,Disbursements!B1327,'Live Collections'!$G:$G,Disbursements!C1327)</f>
        <v>0</v>
      </c>
      <c r="AM1327" s="541">
        <f t="shared" si="556"/>
        <v>0</v>
      </c>
      <c r="AN1327" s="542" t="str">
        <f t="shared" si="557"/>
        <v/>
      </c>
      <c r="AO1327" s="542" t="str">
        <f t="shared" si="558"/>
        <v/>
      </c>
      <c r="AP1327" s="543" t="str">
        <f t="shared" si="559"/>
        <v/>
      </c>
      <c r="AQ1327" s="544" t="str">
        <f t="shared" si="560"/>
        <v/>
      </c>
      <c r="AR1327" s="545">
        <f t="shared" si="561"/>
        <v>0</v>
      </c>
      <c r="AS1327" s="545">
        <f>IFERROR(CEILING($AR1327*VLOOKUP($I1327,Ref!$B$23:$E$29,4,0),1),0)</f>
        <v>0</v>
      </c>
      <c r="AT1327" s="545" t="str">
        <f>IF(A1327="","",IF(AP1327&lt;=1,"Cleared",IF(AS1327=0,"Clean",VLOOKUP($AS1327,Ref!$G$23:$H$28,2))))</f>
        <v/>
      </c>
      <c r="AU1327" s="546" t="str">
        <f t="shared" si="562"/>
        <v/>
      </c>
    </row>
    <row r="1328" spans="1:47" ht="14.25" hidden="1" customHeight="1" x14ac:dyDescent="0.15">
      <c r="A1328" s="523"/>
      <c r="B1328" s="523"/>
      <c r="C1328" s="523"/>
      <c r="D1328" s="523"/>
      <c r="E1328" s="579"/>
      <c r="F1328" s="580"/>
      <c r="G1328" s="524"/>
      <c r="H1328" s="555"/>
      <c r="I1328" s="560"/>
      <c r="J1328" s="523"/>
      <c r="K1328" s="528" t="str">
        <f>IFERROR(VLOOKUP($B1328,'Clients-Live'!$A:$C,3,0),"")</f>
        <v/>
      </c>
      <c r="L1328" s="528">
        <f>IF(E1328="STL",Pricing!$D$38,IF(A1328="",0,IF(A1328&lt;Pricing!$C$25,Pricing!$D$25,VLOOKUP(Disbursements!$F1328,Pricing!$B$29:$D$32,3))))</f>
        <v>0</v>
      </c>
      <c r="M1328" s="528">
        <f>IF(E1328="STL",0,IF(F1328&gt;0,Pricing!$D$21,0))</f>
        <v>0</v>
      </c>
      <c r="N1328" s="529">
        <f>IF(E1328="STL",F1328*Pricing!$D$40,IF(A1328&lt;=Pricing!$C$4,0,IF(AND(A1328&gt;Pricing!$C$4,Disbursements!A1328&lt;=Pricing!$C$5),F1328*Pricing!$E$5,IF(AND(A1328&gt;Pricing!$C$5,Disbursements!A1328&lt;=Pricing!$C$7),VLOOKUP(F1328,Pricing!$D$7:$E$8,2)*Disbursements!F1328,F1328*Pricing!$E$9))))</f>
        <v>0</v>
      </c>
      <c r="O1328" s="528">
        <f>IF(E1328="STL",0,IF($F1328&gt;0,$F1328*Pricing!$D$17,0))</f>
        <v>0</v>
      </c>
      <c r="P1328" s="530" t="str">
        <f t="shared" si="542"/>
        <v/>
      </c>
      <c r="Q1328" s="531" t="str">
        <f>IF($A1328="","",$G1328/VLOOKUP($I1328,Ref!$B$23:$D$29,2,0))</f>
        <v/>
      </c>
      <c r="R1328" s="530" t="str">
        <f t="shared" si="543"/>
        <v/>
      </c>
      <c r="S1328" s="532" t="str">
        <f t="shared" si="537"/>
        <v/>
      </c>
      <c r="T1328" s="531" t="str">
        <f t="shared" si="544"/>
        <v/>
      </c>
      <c r="U1328" s="533">
        <f t="shared" si="545"/>
        <v>0</v>
      </c>
      <c r="V1328" s="531" t="str">
        <f t="shared" si="546"/>
        <v/>
      </c>
      <c r="W1328" s="531" t="str">
        <f t="shared" si="547"/>
        <v/>
      </c>
      <c r="X1328" s="534" t="str">
        <f t="shared" si="548"/>
        <v/>
      </c>
      <c r="Y1328" s="535" t="str">
        <f>IF($A1328="","",IF($I1328="weekly",$A1328+7,EDATE($A1328,VLOOKUP($I1328,Ref!$B$24:$C$29,2,0))))</f>
        <v/>
      </c>
      <c r="Z1328" s="536" t="str">
        <f t="shared" si="549"/>
        <v/>
      </c>
      <c r="AA1328" s="531">
        <f t="shared" si="550"/>
        <v>0</v>
      </c>
      <c r="AB1328" s="535" t="str">
        <f t="shared" si="538"/>
        <v/>
      </c>
      <c r="AC1328" s="537" t="str">
        <f t="shared" si="539"/>
        <v/>
      </c>
      <c r="AD1328" s="538" t="str">
        <f t="shared" ca="1" si="540"/>
        <v/>
      </c>
      <c r="AE1328" s="537">
        <f t="shared" ca="1" si="541"/>
        <v>0</v>
      </c>
      <c r="AF1328" s="539" t="str">
        <f t="shared" ca="1" si="551"/>
        <v/>
      </c>
      <c r="AG1328" s="531" t="str">
        <f t="shared" ca="1" si="552"/>
        <v/>
      </c>
      <c r="AH1328" s="531" t="str">
        <f t="shared" ca="1" si="553"/>
        <v/>
      </c>
      <c r="AI1328" s="531" t="str">
        <f t="shared" ca="1" si="554"/>
        <v/>
      </c>
      <c r="AJ1328" s="531" t="str">
        <f t="shared" si="555"/>
        <v/>
      </c>
      <c r="AK1328" s="540">
        <f>SUMIFS('Live Collections'!$S:$S,'Live Collections'!$D:$D,Disbursements!B1328,'Live Collections'!$G:$G,Disbursements!C1328)</f>
        <v>0</v>
      </c>
      <c r="AL1328" s="540">
        <f>SUMIFS('Live Collections'!$T:$T,'Live Collections'!$D:$D,Disbursements!B1328,'Live Collections'!$G:$G,Disbursements!C1328)</f>
        <v>0</v>
      </c>
      <c r="AM1328" s="541">
        <f t="shared" si="556"/>
        <v>0</v>
      </c>
      <c r="AN1328" s="542" t="str">
        <f t="shared" si="557"/>
        <v/>
      </c>
      <c r="AO1328" s="542" t="str">
        <f t="shared" si="558"/>
        <v/>
      </c>
      <c r="AP1328" s="543" t="str">
        <f t="shared" si="559"/>
        <v/>
      </c>
      <c r="AQ1328" s="544" t="str">
        <f t="shared" si="560"/>
        <v/>
      </c>
      <c r="AR1328" s="545">
        <f t="shared" si="561"/>
        <v>0</v>
      </c>
      <c r="AS1328" s="545">
        <f>IFERROR(CEILING($AR1328*VLOOKUP($I1328,Ref!$B$23:$E$29,4,0),1),0)</f>
        <v>0</v>
      </c>
      <c r="AT1328" s="545" t="str">
        <f>IF(A1328="","",IF(AP1328&lt;=1,"Cleared",IF(AS1328=0,"Clean",VLOOKUP($AS1328,Ref!$G$23:$H$28,2))))</f>
        <v/>
      </c>
      <c r="AU1328" s="546" t="str">
        <f t="shared" si="562"/>
        <v/>
      </c>
    </row>
    <row r="1329" spans="1:47" ht="14.25" hidden="1" customHeight="1" x14ac:dyDescent="0.15">
      <c r="A1329" s="523"/>
      <c r="B1329" s="523"/>
      <c r="C1329" s="523"/>
      <c r="D1329" s="523"/>
      <c r="E1329" s="579"/>
      <c r="F1329" s="580"/>
      <c r="G1329" s="524"/>
      <c r="H1329" s="555"/>
      <c r="I1329" s="560"/>
      <c r="J1329" s="523"/>
      <c r="K1329" s="528" t="str">
        <f>IFERROR(VLOOKUP($B1329,'Clients-Live'!$A:$C,3,0),"")</f>
        <v/>
      </c>
      <c r="L1329" s="528">
        <f>IF(E1329="STL",Pricing!$D$38,IF(A1329="",0,IF(A1329&lt;Pricing!$C$25,Pricing!$D$25,VLOOKUP(Disbursements!$F1329,Pricing!$B$29:$D$32,3))))</f>
        <v>0</v>
      </c>
      <c r="M1329" s="528">
        <f>IF(E1329="STL",0,IF(F1329&gt;0,Pricing!$D$21,0))</f>
        <v>0</v>
      </c>
      <c r="N1329" s="529">
        <f>IF(E1329="STL",F1329*Pricing!$D$40,IF(A1329&lt;=Pricing!$C$4,0,IF(AND(A1329&gt;Pricing!$C$4,Disbursements!A1329&lt;=Pricing!$C$5),F1329*Pricing!$E$5,IF(AND(A1329&gt;Pricing!$C$5,Disbursements!A1329&lt;=Pricing!$C$7),VLOOKUP(F1329,Pricing!$D$7:$E$8,2)*Disbursements!F1329,F1329*Pricing!$E$9))))</f>
        <v>0</v>
      </c>
      <c r="O1329" s="528">
        <f>IF(E1329="STL",0,IF($F1329&gt;0,$F1329*Pricing!$D$17,0))</f>
        <v>0</v>
      </c>
      <c r="P1329" s="530" t="str">
        <f t="shared" si="542"/>
        <v/>
      </c>
      <c r="Q1329" s="531" t="str">
        <f>IF($A1329="","",$G1329/VLOOKUP($I1329,Ref!$B$23:$D$29,2,0))</f>
        <v/>
      </c>
      <c r="R1329" s="530" t="str">
        <f t="shared" si="543"/>
        <v/>
      </c>
      <c r="S1329" s="532" t="str">
        <f t="shared" si="537"/>
        <v/>
      </c>
      <c r="T1329" s="531" t="str">
        <f t="shared" si="544"/>
        <v/>
      </c>
      <c r="U1329" s="533">
        <f t="shared" si="545"/>
        <v>0</v>
      </c>
      <c r="V1329" s="531" t="str">
        <f t="shared" si="546"/>
        <v/>
      </c>
      <c r="W1329" s="531" t="str">
        <f t="shared" si="547"/>
        <v/>
      </c>
      <c r="X1329" s="534" t="str">
        <f t="shared" si="548"/>
        <v/>
      </c>
      <c r="Y1329" s="535" t="str">
        <f>IF($A1329="","",IF($I1329="weekly",$A1329+7,EDATE($A1329,VLOOKUP($I1329,Ref!$B$24:$C$29,2,0))))</f>
        <v/>
      </c>
      <c r="Z1329" s="536" t="str">
        <f t="shared" si="549"/>
        <v/>
      </c>
      <c r="AA1329" s="531">
        <f t="shared" si="550"/>
        <v>0</v>
      </c>
      <c r="AB1329" s="535" t="str">
        <f t="shared" si="538"/>
        <v/>
      </c>
      <c r="AC1329" s="537" t="str">
        <f t="shared" si="539"/>
        <v/>
      </c>
      <c r="AD1329" s="538" t="str">
        <f t="shared" ca="1" si="540"/>
        <v/>
      </c>
      <c r="AE1329" s="537">
        <f t="shared" ca="1" si="541"/>
        <v>0</v>
      </c>
      <c r="AF1329" s="539" t="str">
        <f t="shared" ca="1" si="551"/>
        <v/>
      </c>
      <c r="AG1329" s="531" t="str">
        <f t="shared" ca="1" si="552"/>
        <v/>
      </c>
      <c r="AH1329" s="531" t="str">
        <f t="shared" ca="1" si="553"/>
        <v/>
      </c>
      <c r="AI1329" s="531" t="str">
        <f t="shared" ca="1" si="554"/>
        <v/>
      </c>
      <c r="AJ1329" s="531" t="str">
        <f t="shared" si="555"/>
        <v/>
      </c>
      <c r="AK1329" s="540">
        <f>SUMIFS('Live Collections'!$S:$S,'Live Collections'!$D:$D,Disbursements!B1329,'Live Collections'!$G:$G,Disbursements!C1329)</f>
        <v>0</v>
      </c>
      <c r="AL1329" s="540">
        <f>SUMIFS('Live Collections'!$T:$T,'Live Collections'!$D:$D,Disbursements!B1329,'Live Collections'!$G:$G,Disbursements!C1329)</f>
        <v>0</v>
      </c>
      <c r="AM1329" s="541">
        <f t="shared" si="556"/>
        <v>0</v>
      </c>
      <c r="AN1329" s="542" t="str">
        <f t="shared" si="557"/>
        <v/>
      </c>
      <c r="AO1329" s="542" t="str">
        <f t="shared" si="558"/>
        <v/>
      </c>
      <c r="AP1329" s="543" t="str">
        <f t="shared" si="559"/>
        <v/>
      </c>
      <c r="AQ1329" s="544" t="str">
        <f t="shared" si="560"/>
        <v/>
      </c>
      <c r="AR1329" s="545">
        <f t="shared" si="561"/>
        <v>0</v>
      </c>
      <c r="AS1329" s="545">
        <f>IFERROR(CEILING($AR1329*VLOOKUP($I1329,Ref!$B$23:$E$29,4,0),1),0)</f>
        <v>0</v>
      </c>
      <c r="AT1329" s="545" t="str">
        <f>IF(A1329="","",IF(AP1329&lt;=1,"Cleared",IF(AS1329=0,"Clean",VLOOKUP($AS1329,Ref!$G$23:$H$28,2))))</f>
        <v/>
      </c>
      <c r="AU1329" s="546" t="str">
        <f t="shared" si="562"/>
        <v/>
      </c>
    </row>
    <row r="1330" spans="1:47" ht="14.25" hidden="1" customHeight="1" x14ac:dyDescent="0.15">
      <c r="A1330" s="523"/>
      <c r="B1330" s="523"/>
      <c r="C1330" s="523"/>
      <c r="D1330" s="523"/>
      <c r="E1330" s="579"/>
      <c r="F1330" s="580"/>
      <c r="G1330" s="524"/>
      <c r="H1330" s="555"/>
      <c r="I1330" s="560"/>
      <c r="J1330" s="523"/>
      <c r="K1330" s="528" t="str">
        <f>IFERROR(VLOOKUP($B1330,'Clients-Live'!$A:$C,3,0),"")</f>
        <v/>
      </c>
      <c r="L1330" s="528">
        <f>IF(E1330="STL",Pricing!$D$38,IF(A1330="",0,IF(A1330&lt;Pricing!$C$25,Pricing!$D$25,VLOOKUP(Disbursements!$F1330,Pricing!$B$29:$D$32,3))))</f>
        <v>0</v>
      </c>
      <c r="M1330" s="528">
        <f>IF(E1330="STL",0,IF(F1330&gt;0,Pricing!$D$21,0))</f>
        <v>0</v>
      </c>
      <c r="N1330" s="529">
        <f>IF(E1330="STL",F1330*Pricing!$D$40,IF(A1330&lt;=Pricing!$C$4,0,IF(AND(A1330&gt;Pricing!$C$4,Disbursements!A1330&lt;=Pricing!$C$5),F1330*Pricing!$E$5,IF(AND(A1330&gt;Pricing!$C$5,Disbursements!A1330&lt;=Pricing!$C$7),VLOOKUP(F1330,Pricing!$D$7:$E$8,2)*Disbursements!F1330,F1330*Pricing!$E$9))))</f>
        <v>0</v>
      </c>
      <c r="O1330" s="528">
        <f>IF(E1330="STL",0,IF($F1330&gt;0,$F1330*Pricing!$D$17,0))</f>
        <v>0</v>
      </c>
      <c r="P1330" s="530" t="str">
        <f t="shared" si="542"/>
        <v/>
      </c>
      <c r="Q1330" s="531" t="str">
        <f>IF($A1330="","",$G1330/VLOOKUP($I1330,Ref!$B$23:$D$29,2,0))</f>
        <v/>
      </c>
      <c r="R1330" s="530" t="str">
        <f t="shared" si="543"/>
        <v/>
      </c>
      <c r="S1330" s="532" t="str">
        <f t="shared" si="537"/>
        <v/>
      </c>
      <c r="T1330" s="531" t="str">
        <f t="shared" si="544"/>
        <v/>
      </c>
      <c r="U1330" s="533">
        <f t="shared" si="545"/>
        <v>0</v>
      </c>
      <c r="V1330" s="531" t="str">
        <f t="shared" si="546"/>
        <v/>
      </c>
      <c r="W1330" s="531" t="str">
        <f t="shared" si="547"/>
        <v/>
      </c>
      <c r="X1330" s="534" t="str">
        <f t="shared" si="548"/>
        <v/>
      </c>
      <c r="Y1330" s="535" t="str">
        <f>IF($A1330="","",IF($I1330="weekly",$A1330+7,EDATE($A1330,VLOOKUP($I1330,Ref!$B$24:$C$29,2,0))))</f>
        <v/>
      </c>
      <c r="Z1330" s="536" t="str">
        <f t="shared" si="549"/>
        <v/>
      </c>
      <c r="AA1330" s="531">
        <f t="shared" si="550"/>
        <v>0</v>
      </c>
      <c r="AB1330" s="535" t="str">
        <f t="shared" si="538"/>
        <v/>
      </c>
      <c r="AC1330" s="537" t="str">
        <f t="shared" si="539"/>
        <v/>
      </c>
      <c r="AD1330" s="538" t="str">
        <f t="shared" ca="1" si="540"/>
        <v/>
      </c>
      <c r="AE1330" s="537">
        <f t="shared" ca="1" si="541"/>
        <v>0</v>
      </c>
      <c r="AF1330" s="539" t="str">
        <f t="shared" ca="1" si="551"/>
        <v/>
      </c>
      <c r="AG1330" s="531" t="str">
        <f t="shared" ca="1" si="552"/>
        <v/>
      </c>
      <c r="AH1330" s="531" t="str">
        <f t="shared" ca="1" si="553"/>
        <v/>
      </c>
      <c r="AI1330" s="531" t="str">
        <f t="shared" ca="1" si="554"/>
        <v/>
      </c>
      <c r="AJ1330" s="531" t="str">
        <f t="shared" si="555"/>
        <v/>
      </c>
      <c r="AK1330" s="540">
        <f>SUMIFS('Live Collections'!$S:$S,'Live Collections'!$D:$D,Disbursements!B1330,'Live Collections'!$G:$G,Disbursements!C1330)</f>
        <v>0</v>
      </c>
      <c r="AL1330" s="540">
        <f>SUMIFS('Live Collections'!$T:$T,'Live Collections'!$D:$D,Disbursements!B1330,'Live Collections'!$G:$G,Disbursements!C1330)</f>
        <v>0</v>
      </c>
      <c r="AM1330" s="541">
        <f t="shared" si="556"/>
        <v>0</v>
      </c>
      <c r="AN1330" s="542" t="str">
        <f t="shared" si="557"/>
        <v/>
      </c>
      <c r="AO1330" s="542" t="str">
        <f t="shared" si="558"/>
        <v/>
      </c>
      <c r="AP1330" s="543" t="str">
        <f t="shared" si="559"/>
        <v/>
      </c>
      <c r="AQ1330" s="544" t="str">
        <f t="shared" si="560"/>
        <v/>
      </c>
      <c r="AR1330" s="545">
        <f t="shared" si="561"/>
        <v>0</v>
      </c>
      <c r="AS1330" s="545">
        <f>IFERROR(CEILING($AR1330*VLOOKUP($I1330,Ref!$B$23:$E$29,4,0),1),0)</f>
        <v>0</v>
      </c>
      <c r="AT1330" s="545" t="str">
        <f>IF(A1330="","",IF(AP1330&lt;=1,"Cleared",IF(AS1330=0,"Clean",VLOOKUP($AS1330,Ref!$G$23:$H$28,2))))</f>
        <v/>
      </c>
      <c r="AU1330" s="546" t="str">
        <f t="shared" si="562"/>
        <v/>
      </c>
    </row>
    <row r="1331" spans="1:47" ht="14.25" hidden="1" customHeight="1" x14ac:dyDescent="0.15">
      <c r="A1331" s="523"/>
      <c r="B1331" s="523"/>
      <c r="C1331" s="523"/>
      <c r="D1331" s="523"/>
      <c r="E1331" s="579"/>
      <c r="F1331" s="580"/>
      <c r="G1331" s="524"/>
      <c r="H1331" s="555"/>
      <c r="I1331" s="560"/>
      <c r="J1331" s="523"/>
      <c r="K1331" s="528" t="str">
        <f>IFERROR(VLOOKUP($B1331,'Clients-Live'!$A:$C,3,0),"")</f>
        <v/>
      </c>
      <c r="L1331" s="528">
        <f>IF(E1331="STL",Pricing!$D$38,IF(A1331="",0,IF(A1331&lt;Pricing!$C$25,Pricing!$D$25,VLOOKUP(Disbursements!$F1331,Pricing!$B$29:$D$32,3))))</f>
        <v>0</v>
      </c>
      <c r="M1331" s="528">
        <f>IF(E1331="STL",0,IF(F1331&gt;0,Pricing!$D$21,0))</f>
        <v>0</v>
      </c>
      <c r="N1331" s="529">
        <f>IF(E1331="STL",F1331*Pricing!$D$40,IF(A1331&lt;=Pricing!$C$4,0,IF(AND(A1331&gt;Pricing!$C$4,Disbursements!A1331&lt;=Pricing!$C$5),F1331*Pricing!$E$5,IF(AND(A1331&gt;Pricing!$C$5,Disbursements!A1331&lt;=Pricing!$C$7),VLOOKUP(F1331,Pricing!$D$7:$E$8,2)*Disbursements!F1331,F1331*Pricing!$E$9))))</f>
        <v>0</v>
      </c>
      <c r="O1331" s="528">
        <f>IF(E1331="STL",0,IF($F1331&gt;0,$F1331*Pricing!$D$17,0))</f>
        <v>0</v>
      </c>
      <c r="P1331" s="530" t="str">
        <f t="shared" si="542"/>
        <v/>
      </c>
      <c r="Q1331" s="531" t="str">
        <f>IF($A1331="","",$G1331/VLOOKUP($I1331,Ref!$B$23:$D$29,2,0))</f>
        <v/>
      </c>
      <c r="R1331" s="530" t="str">
        <f t="shared" si="543"/>
        <v/>
      </c>
      <c r="S1331" s="532" t="str">
        <f t="shared" si="537"/>
        <v/>
      </c>
      <c r="T1331" s="531" t="str">
        <f t="shared" si="544"/>
        <v/>
      </c>
      <c r="U1331" s="533">
        <f t="shared" si="545"/>
        <v>0</v>
      </c>
      <c r="V1331" s="531" t="str">
        <f t="shared" si="546"/>
        <v/>
      </c>
      <c r="W1331" s="531" t="str">
        <f t="shared" si="547"/>
        <v/>
      </c>
      <c r="X1331" s="534" t="str">
        <f t="shared" si="548"/>
        <v/>
      </c>
      <c r="Y1331" s="535" t="str">
        <f>IF($A1331="","",IF($I1331="weekly",$A1331+7,EDATE($A1331,VLOOKUP($I1331,Ref!$B$24:$C$29,2,0))))</f>
        <v/>
      </c>
      <c r="Z1331" s="536" t="str">
        <f t="shared" si="549"/>
        <v/>
      </c>
      <c r="AA1331" s="531">
        <f t="shared" si="550"/>
        <v>0</v>
      </c>
      <c r="AB1331" s="535" t="str">
        <f t="shared" si="538"/>
        <v/>
      </c>
      <c r="AC1331" s="537" t="str">
        <f t="shared" si="539"/>
        <v/>
      </c>
      <c r="AD1331" s="538" t="str">
        <f t="shared" ca="1" si="540"/>
        <v/>
      </c>
      <c r="AE1331" s="537">
        <f t="shared" ca="1" si="541"/>
        <v>0</v>
      </c>
      <c r="AF1331" s="539" t="str">
        <f t="shared" ca="1" si="551"/>
        <v/>
      </c>
      <c r="AG1331" s="531" t="str">
        <f t="shared" ca="1" si="552"/>
        <v/>
      </c>
      <c r="AH1331" s="531" t="str">
        <f t="shared" ca="1" si="553"/>
        <v/>
      </c>
      <c r="AI1331" s="531" t="str">
        <f t="shared" ca="1" si="554"/>
        <v/>
      </c>
      <c r="AJ1331" s="531" t="str">
        <f t="shared" si="555"/>
        <v/>
      </c>
      <c r="AK1331" s="540">
        <f>SUMIFS('Live Collections'!$S:$S,'Live Collections'!$D:$D,Disbursements!B1331,'Live Collections'!$G:$G,Disbursements!C1331)</f>
        <v>0</v>
      </c>
      <c r="AL1331" s="540">
        <f>SUMIFS('Live Collections'!$T:$T,'Live Collections'!$D:$D,Disbursements!B1331,'Live Collections'!$G:$G,Disbursements!C1331)</f>
        <v>0</v>
      </c>
      <c r="AM1331" s="541">
        <f t="shared" si="556"/>
        <v>0</v>
      </c>
      <c r="AN1331" s="542" t="str">
        <f t="shared" si="557"/>
        <v/>
      </c>
      <c r="AO1331" s="542" t="str">
        <f t="shared" si="558"/>
        <v/>
      </c>
      <c r="AP1331" s="543" t="str">
        <f t="shared" si="559"/>
        <v/>
      </c>
      <c r="AQ1331" s="544" t="str">
        <f t="shared" si="560"/>
        <v/>
      </c>
      <c r="AR1331" s="545">
        <f t="shared" si="561"/>
        <v>0</v>
      </c>
      <c r="AS1331" s="545">
        <f>IFERROR(CEILING($AR1331*VLOOKUP($I1331,Ref!$B$23:$E$29,4,0),1),0)</f>
        <v>0</v>
      </c>
      <c r="AT1331" s="545" t="str">
        <f>IF(A1331="","",IF(AP1331&lt;=1,"Cleared",IF(AS1331=0,"Clean",VLOOKUP($AS1331,Ref!$G$23:$H$28,2))))</f>
        <v/>
      </c>
      <c r="AU1331" s="546" t="str">
        <f t="shared" si="562"/>
        <v/>
      </c>
    </row>
    <row r="1332" spans="1:47" ht="14.25" hidden="1" customHeight="1" x14ac:dyDescent="0.15">
      <c r="A1332" s="523"/>
      <c r="B1332" s="523"/>
      <c r="C1332" s="523"/>
      <c r="D1332" s="523"/>
      <c r="E1332" s="579"/>
      <c r="F1332" s="580"/>
      <c r="G1332" s="524"/>
      <c r="H1332" s="555"/>
      <c r="I1332" s="560"/>
      <c r="J1332" s="523"/>
      <c r="K1332" s="528" t="str">
        <f>IFERROR(VLOOKUP($B1332,'Clients-Live'!$A:$C,3,0),"")</f>
        <v/>
      </c>
      <c r="L1332" s="528">
        <f>IF(E1332="STL",Pricing!$D$38,IF(A1332="",0,IF(A1332&lt;Pricing!$C$25,Pricing!$D$25,VLOOKUP(Disbursements!$F1332,Pricing!$B$29:$D$32,3))))</f>
        <v>0</v>
      </c>
      <c r="M1332" s="528">
        <f>IF(E1332="STL",0,IF(F1332&gt;0,Pricing!$D$21,0))</f>
        <v>0</v>
      </c>
      <c r="N1332" s="529">
        <f>IF(E1332="STL",F1332*Pricing!$D$40,IF(A1332&lt;=Pricing!$C$4,0,IF(AND(A1332&gt;Pricing!$C$4,Disbursements!A1332&lt;=Pricing!$C$5),F1332*Pricing!$E$5,IF(AND(A1332&gt;Pricing!$C$5,Disbursements!A1332&lt;=Pricing!$C$7),VLOOKUP(F1332,Pricing!$D$7:$E$8,2)*Disbursements!F1332,F1332*Pricing!$E$9))))</f>
        <v>0</v>
      </c>
      <c r="O1332" s="528">
        <f>IF(E1332="STL",0,IF($F1332&gt;0,$F1332*Pricing!$D$17,0))</f>
        <v>0</v>
      </c>
      <c r="P1332" s="530" t="str">
        <f t="shared" si="542"/>
        <v/>
      </c>
      <c r="Q1332" s="531" t="str">
        <f>IF($A1332="","",$G1332/VLOOKUP($I1332,Ref!$B$23:$D$29,2,0))</f>
        <v/>
      </c>
      <c r="R1332" s="530" t="str">
        <f t="shared" si="543"/>
        <v/>
      </c>
      <c r="S1332" s="532" t="str">
        <f t="shared" si="537"/>
        <v/>
      </c>
      <c r="T1332" s="531" t="str">
        <f t="shared" si="544"/>
        <v/>
      </c>
      <c r="U1332" s="533">
        <f t="shared" si="545"/>
        <v>0</v>
      </c>
      <c r="V1332" s="531" t="str">
        <f t="shared" si="546"/>
        <v/>
      </c>
      <c r="W1332" s="531" t="str">
        <f t="shared" si="547"/>
        <v/>
      </c>
      <c r="X1332" s="534" t="str">
        <f t="shared" si="548"/>
        <v/>
      </c>
      <c r="Y1332" s="535" t="str">
        <f>IF($A1332="","",IF($I1332="weekly",$A1332+7,EDATE($A1332,VLOOKUP($I1332,Ref!$B$24:$C$29,2,0))))</f>
        <v/>
      </c>
      <c r="Z1332" s="536" t="str">
        <f t="shared" si="549"/>
        <v/>
      </c>
      <c r="AA1332" s="531">
        <f t="shared" si="550"/>
        <v>0</v>
      </c>
      <c r="AB1332" s="535" t="str">
        <f t="shared" si="538"/>
        <v/>
      </c>
      <c r="AC1332" s="537" t="str">
        <f t="shared" si="539"/>
        <v/>
      </c>
      <c r="AD1332" s="538" t="str">
        <f t="shared" ca="1" si="540"/>
        <v/>
      </c>
      <c r="AE1332" s="537">
        <f t="shared" ca="1" si="541"/>
        <v>0</v>
      </c>
      <c r="AF1332" s="539" t="str">
        <f t="shared" ca="1" si="551"/>
        <v/>
      </c>
      <c r="AG1332" s="531" t="str">
        <f t="shared" ca="1" si="552"/>
        <v/>
      </c>
      <c r="AH1332" s="531" t="str">
        <f t="shared" ca="1" si="553"/>
        <v/>
      </c>
      <c r="AI1332" s="531" t="str">
        <f t="shared" ca="1" si="554"/>
        <v/>
      </c>
      <c r="AJ1332" s="531" t="str">
        <f t="shared" si="555"/>
        <v/>
      </c>
      <c r="AK1332" s="540">
        <f>SUMIFS('Live Collections'!$S:$S,'Live Collections'!$D:$D,Disbursements!B1332,'Live Collections'!$G:$G,Disbursements!C1332)</f>
        <v>0</v>
      </c>
      <c r="AL1332" s="540">
        <f>SUMIFS('Live Collections'!$T:$T,'Live Collections'!$D:$D,Disbursements!B1332,'Live Collections'!$G:$G,Disbursements!C1332)</f>
        <v>0</v>
      </c>
      <c r="AM1332" s="541">
        <f t="shared" si="556"/>
        <v>0</v>
      </c>
      <c r="AN1332" s="542" t="str">
        <f t="shared" si="557"/>
        <v/>
      </c>
      <c r="AO1332" s="542" t="str">
        <f t="shared" si="558"/>
        <v/>
      </c>
      <c r="AP1332" s="543" t="str">
        <f t="shared" si="559"/>
        <v/>
      </c>
      <c r="AQ1332" s="544" t="str">
        <f t="shared" si="560"/>
        <v/>
      </c>
      <c r="AR1332" s="545">
        <f t="shared" si="561"/>
        <v>0</v>
      </c>
      <c r="AS1332" s="545">
        <f>IFERROR(CEILING($AR1332*VLOOKUP($I1332,Ref!$B$23:$E$29,4,0),1),0)</f>
        <v>0</v>
      </c>
      <c r="AT1332" s="545" t="str">
        <f>IF(A1332="","",IF(AP1332&lt;=1,"Cleared",IF(AS1332=0,"Clean",VLOOKUP($AS1332,Ref!$G$23:$H$28,2))))</f>
        <v/>
      </c>
      <c r="AU1332" s="546" t="str">
        <f t="shared" si="562"/>
        <v/>
      </c>
    </row>
    <row r="1333" spans="1:47" ht="14.25" hidden="1" customHeight="1" x14ac:dyDescent="0.15">
      <c r="A1333" s="523"/>
      <c r="B1333" s="523"/>
      <c r="C1333" s="523"/>
      <c r="D1333" s="523"/>
      <c r="E1333" s="579"/>
      <c r="F1333" s="580"/>
      <c r="G1333" s="524"/>
      <c r="H1333" s="555"/>
      <c r="I1333" s="560"/>
      <c r="J1333" s="523"/>
      <c r="K1333" s="528" t="str">
        <f>IFERROR(VLOOKUP($B1333,'Clients-Live'!$A:$C,3,0),"")</f>
        <v/>
      </c>
      <c r="L1333" s="528">
        <f>IF(E1333="STL",Pricing!$D$38,IF(A1333="",0,IF(A1333&lt;Pricing!$C$25,Pricing!$D$25,VLOOKUP(Disbursements!$F1333,Pricing!$B$29:$D$32,3))))</f>
        <v>0</v>
      </c>
      <c r="M1333" s="528">
        <f>IF(E1333="STL",0,IF(F1333&gt;0,Pricing!$D$21,0))</f>
        <v>0</v>
      </c>
      <c r="N1333" s="529">
        <f>IF(E1333="STL",F1333*Pricing!$D$40,IF(A1333&lt;=Pricing!$C$4,0,IF(AND(A1333&gt;Pricing!$C$4,Disbursements!A1333&lt;=Pricing!$C$5),F1333*Pricing!$E$5,IF(AND(A1333&gt;Pricing!$C$5,Disbursements!A1333&lt;=Pricing!$C$7),VLOOKUP(F1333,Pricing!$D$7:$E$8,2)*Disbursements!F1333,F1333*Pricing!$E$9))))</f>
        <v>0</v>
      </c>
      <c r="O1333" s="528">
        <f>IF(E1333="STL",0,IF($F1333&gt;0,$F1333*Pricing!$D$17,0))</f>
        <v>0</v>
      </c>
      <c r="P1333" s="530" t="str">
        <f t="shared" si="542"/>
        <v/>
      </c>
      <c r="Q1333" s="531" t="str">
        <f>IF($A1333="","",$G1333/VLOOKUP($I1333,Ref!$B$23:$D$29,2,0))</f>
        <v/>
      </c>
      <c r="R1333" s="530" t="str">
        <f t="shared" si="543"/>
        <v/>
      </c>
      <c r="S1333" s="532" t="str">
        <f t="shared" si="537"/>
        <v/>
      </c>
      <c r="T1333" s="531" t="str">
        <f t="shared" si="544"/>
        <v/>
      </c>
      <c r="U1333" s="533">
        <f t="shared" si="545"/>
        <v>0</v>
      </c>
      <c r="V1333" s="531" t="str">
        <f t="shared" si="546"/>
        <v/>
      </c>
      <c r="W1333" s="531" t="str">
        <f t="shared" si="547"/>
        <v/>
      </c>
      <c r="X1333" s="534" t="str">
        <f t="shared" si="548"/>
        <v/>
      </c>
      <c r="Y1333" s="535" t="str">
        <f>IF($A1333="","",IF($I1333="weekly",$A1333+7,EDATE($A1333,VLOOKUP($I1333,Ref!$B$24:$C$29,2,0))))</f>
        <v/>
      </c>
      <c r="Z1333" s="536" t="str">
        <f t="shared" si="549"/>
        <v/>
      </c>
      <c r="AA1333" s="531">
        <f t="shared" si="550"/>
        <v>0</v>
      </c>
      <c r="AB1333" s="535" t="str">
        <f t="shared" si="538"/>
        <v/>
      </c>
      <c r="AC1333" s="537" t="str">
        <f t="shared" si="539"/>
        <v/>
      </c>
      <c r="AD1333" s="538" t="str">
        <f t="shared" ca="1" si="540"/>
        <v/>
      </c>
      <c r="AE1333" s="537">
        <f t="shared" ca="1" si="541"/>
        <v>0</v>
      </c>
      <c r="AF1333" s="539" t="str">
        <f t="shared" ca="1" si="551"/>
        <v/>
      </c>
      <c r="AG1333" s="531" t="str">
        <f t="shared" ca="1" si="552"/>
        <v/>
      </c>
      <c r="AH1333" s="531" t="str">
        <f t="shared" ca="1" si="553"/>
        <v/>
      </c>
      <c r="AI1333" s="531" t="str">
        <f t="shared" ca="1" si="554"/>
        <v/>
      </c>
      <c r="AJ1333" s="531" t="str">
        <f t="shared" si="555"/>
        <v/>
      </c>
      <c r="AK1333" s="540">
        <f>SUMIFS('Live Collections'!$S:$S,'Live Collections'!$D:$D,Disbursements!B1333,'Live Collections'!$G:$G,Disbursements!C1333)</f>
        <v>0</v>
      </c>
      <c r="AL1333" s="540">
        <f>SUMIFS('Live Collections'!$T:$T,'Live Collections'!$D:$D,Disbursements!B1333,'Live Collections'!$G:$G,Disbursements!C1333)</f>
        <v>0</v>
      </c>
      <c r="AM1333" s="541">
        <f t="shared" si="556"/>
        <v>0</v>
      </c>
      <c r="AN1333" s="542" t="str">
        <f t="shared" si="557"/>
        <v/>
      </c>
      <c r="AO1333" s="542" t="str">
        <f t="shared" si="558"/>
        <v/>
      </c>
      <c r="AP1333" s="543" t="str">
        <f t="shared" si="559"/>
        <v/>
      </c>
      <c r="AQ1333" s="544" t="str">
        <f t="shared" si="560"/>
        <v/>
      </c>
      <c r="AR1333" s="545">
        <f t="shared" si="561"/>
        <v>0</v>
      </c>
      <c r="AS1333" s="545">
        <f>IFERROR(CEILING($AR1333*VLOOKUP($I1333,Ref!$B$23:$E$29,4,0),1),0)</f>
        <v>0</v>
      </c>
      <c r="AT1333" s="545" t="str">
        <f>IF(A1333="","",IF(AP1333&lt;=1,"Cleared",IF(AS1333=0,"Clean",VLOOKUP($AS1333,Ref!$G$23:$H$28,2))))</f>
        <v/>
      </c>
      <c r="AU1333" s="546" t="str">
        <f t="shared" si="562"/>
        <v/>
      </c>
    </row>
    <row r="1334" spans="1:47" ht="14.25" hidden="1" customHeight="1" x14ac:dyDescent="0.15">
      <c r="A1334" s="523"/>
      <c r="B1334" s="523"/>
      <c r="C1334" s="523"/>
      <c r="D1334" s="523"/>
      <c r="E1334" s="579"/>
      <c r="F1334" s="580"/>
      <c r="G1334" s="524"/>
      <c r="H1334" s="555"/>
      <c r="I1334" s="560"/>
      <c r="J1334" s="523"/>
      <c r="K1334" s="528" t="str">
        <f>IFERROR(VLOOKUP($B1334,'Clients-Live'!$A:$C,3,0),"")</f>
        <v/>
      </c>
      <c r="L1334" s="528">
        <f>IF(E1334="STL",Pricing!$D$38,IF(A1334="",0,IF(A1334&lt;Pricing!$C$25,Pricing!$D$25,VLOOKUP(Disbursements!$F1334,Pricing!$B$29:$D$32,3))))</f>
        <v>0</v>
      </c>
      <c r="M1334" s="528">
        <f>IF(E1334="STL",0,IF(F1334&gt;0,Pricing!$D$21,0))</f>
        <v>0</v>
      </c>
      <c r="N1334" s="529">
        <f>IF(E1334="STL",F1334*Pricing!$D$40,IF(A1334&lt;=Pricing!$C$4,0,IF(AND(A1334&gt;Pricing!$C$4,Disbursements!A1334&lt;=Pricing!$C$5),F1334*Pricing!$E$5,IF(AND(A1334&gt;Pricing!$C$5,Disbursements!A1334&lt;=Pricing!$C$7),VLOOKUP(F1334,Pricing!$D$7:$E$8,2)*Disbursements!F1334,F1334*Pricing!$E$9))))</f>
        <v>0</v>
      </c>
      <c r="O1334" s="528">
        <f>IF(E1334="STL",0,IF($F1334&gt;0,$F1334*Pricing!$D$17,0))</f>
        <v>0</v>
      </c>
      <c r="P1334" s="530" t="str">
        <f t="shared" si="542"/>
        <v/>
      </c>
      <c r="Q1334" s="531" t="str">
        <f>IF($A1334="","",$G1334/VLOOKUP($I1334,Ref!$B$23:$D$29,2,0))</f>
        <v/>
      </c>
      <c r="R1334" s="530" t="str">
        <f t="shared" si="543"/>
        <v/>
      </c>
      <c r="S1334" s="532" t="str">
        <f t="shared" si="537"/>
        <v/>
      </c>
      <c r="T1334" s="531" t="str">
        <f t="shared" si="544"/>
        <v/>
      </c>
      <c r="U1334" s="533">
        <f t="shared" si="545"/>
        <v>0</v>
      </c>
      <c r="V1334" s="531" t="str">
        <f t="shared" si="546"/>
        <v/>
      </c>
      <c r="W1334" s="531" t="str">
        <f t="shared" si="547"/>
        <v/>
      </c>
      <c r="X1334" s="534" t="str">
        <f t="shared" si="548"/>
        <v/>
      </c>
      <c r="Y1334" s="535" t="str">
        <f>IF($A1334="","",IF($I1334="weekly",$A1334+7,EDATE($A1334,VLOOKUP($I1334,Ref!$B$24:$C$29,2,0))))</f>
        <v/>
      </c>
      <c r="Z1334" s="536" t="str">
        <f t="shared" si="549"/>
        <v/>
      </c>
      <c r="AA1334" s="531">
        <f t="shared" si="550"/>
        <v>0</v>
      </c>
      <c r="AB1334" s="535" t="str">
        <f t="shared" si="538"/>
        <v/>
      </c>
      <c r="AC1334" s="537" t="str">
        <f t="shared" si="539"/>
        <v/>
      </c>
      <c r="AD1334" s="538" t="str">
        <f t="shared" ca="1" si="540"/>
        <v/>
      </c>
      <c r="AE1334" s="537">
        <f t="shared" ca="1" si="541"/>
        <v>0</v>
      </c>
      <c r="AF1334" s="539" t="str">
        <f t="shared" ca="1" si="551"/>
        <v/>
      </c>
      <c r="AG1334" s="531" t="str">
        <f t="shared" ca="1" si="552"/>
        <v/>
      </c>
      <c r="AH1334" s="531" t="str">
        <f t="shared" ca="1" si="553"/>
        <v/>
      </c>
      <c r="AI1334" s="531" t="str">
        <f t="shared" ca="1" si="554"/>
        <v/>
      </c>
      <c r="AJ1334" s="531" t="str">
        <f t="shared" si="555"/>
        <v/>
      </c>
      <c r="AK1334" s="540">
        <f>SUMIFS('Live Collections'!$S:$S,'Live Collections'!$D:$D,Disbursements!B1334,'Live Collections'!$G:$G,Disbursements!C1334)</f>
        <v>0</v>
      </c>
      <c r="AL1334" s="540">
        <f>SUMIFS('Live Collections'!$T:$T,'Live Collections'!$D:$D,Disbursements!B1334,'Live Collections'!$G:$G,Disbursements!C1334)</f>
        <v>0</v>
      </c>
      <c r="AM1334" s="541">
        <f t="shared" si="556"/>
        <v>0</v>
      </c>
      <c r="AN1334" s="542" t="str">
        <f t="shared" si="557"/>
        <v/>
      </c>
      <c r="AO1334" s="542" t="str">
        <f t="shared" si="558"/>
        <v/>
      </c>
      <c r="AP1334" s="543" t="str">
        <f t="shared" si="559"/>
        <v/>
      </c>
      <c r="AQ1334" s="544" t="str">
        <f t="shared" si="560"/>
        <v/>
      </c>
      <c r="AR1334" s="545">
        <f t="shared" si="561"/>
        <v>0</v>
      </c>
      <c r="AS1334" s="545">
        <f>IFERROR(CEILING($AR1334*VLOOKUP($I1334,Ref!$B$23:$E$29,4,0),1),0)</f>
        <v>0</v>
      </c>
      <c r="AT1334" s="545" t="str">
        <f>IF(A1334="","",IF(AP1334&lt;=1,"Cleared",IF(AS1334=0,"Clean",VLOOKUP($AS1334,Ref!$G$23:$H$28,2))))</f>
        <v/>
      </c>
      <c r="AU1334" s="546" t="str">
        <f t="shared" si="562"/>
        <v/>
      </c>
    </row>
    <row r="1335" spans="1:47" ht="14.25" hidden="1" customHeight="1" x14ac:dyDescent="0.15">
      <c r="A1335" s="523"/>
      <c r="B1335" s="523"/>
      <c r="C1335" s="523"/>
      <c r="D1335" s="523"/>
      <c r="E1335" s="579"/>
      <c r="F1335" s="580"/>
      <c r="G1335" s="524"/>
      <c r="H1335" s="555"/>
      <c r="I1335" s="560"/>
      <c r="J1335" s="523"/>
      <c r="K1335" s="528" t="str">
        <f>IFERROR(VLOOKUP($B1335,'Clients-Live'!$A:$C,3,0),"")</f>
        <v/>
      </c>
      <c r="L1335" s="528">
        <f>IF(E1335="STL",Pricing!$D$38,IF(A1335="",0,IF(A1335&lt;Pricing!$C$25,Pricing!$D$25,VLOOKUP(Disbursements!$F1335,Pricing!$B$29:$D$32,3))))</f>
        <v>0</v>
      </c>
      <c r="M1335" s="528">
        <f>IF(E1335="STL",0,IF(F1335&gt;0,Pricing!$D$21,0))</f>
        <v>0</v>
      </c>
      <c r="N1335" s="529">
        <f>IF(E1335="STL",F1335*Pricing!$D$40,IF(A1335&lt;=Pricing!$C$4,0,IF(AND(A1335&gt;Pricing!$C$4,Disbursements!A1335&lt;=Pricing!$C$5),F1335*Pricing!$E$5,IF(AND(A1335&gt;Pricing!$C$5,Disbursements!A1335&lt;=Pricing!$C$7),VLOOKUP(F1335,Pricing!$D$7:$E$8,2)*Disbursements!F1335,F1335*Pricing!$E$9))))</f>
        <v>0</v>
      </c>
      <c r="O1335" s="528">
        <f>IF(E1335="STL",0,IF($F1335&gt;0,$F1335*Pricing!$D$17,0))</f>
        <v>0</v>
      </c>
      <c r="P1335" s="530" t="str">
        <f t="shared" si="542"/>
        <v/>
      </c>
      <c r="Q1335" s="531" t="str">
        <f>IF($A1335="","",$G1335/VLOOKUP($I1335,Ref!$B$23:$D$29,2,0))</f>
        <v/>
      </c>
      <c r="R1335" s="530" t="str">
        <f t="shared" si="543"/>
        <v/>
      </c>
      <c r="S1335" s="532" t="str">
        <f t="shared" si="537"/>
        <v/>
      </c>
      <c r="T1335" s="531" t="str">
        <f t="shared" si="544"/>
        <v/>
      </c>
      <c r="U1335" s="533">
        <f t="shared" si="545"/>
        <v>0</v>
      </c>
      <c r="V1335" s="531" t="str">
        <f t="shared" si="546"/>
        <v/>
      </c>
      <c r="W1335" s="531" t="str">
        <f t="shared" si="547"/>
        <v/>
      </c>
      <c r="X1335" s="534" t="str">
        <f t="shared" si="548"/>
        <v/>
      </c>
      <c r="Y1335" s="535" t="str">
        <f>IF($A1335="","",IF($I1335="weekly",$A1335+7,EDATE($A1335,VLOOKUP($I1335,Ref!$B$24:$C$29,2,0))))</f>
        <v/>
      </c>
      <c r="Z1335" s="536" t="str">
        <f t="shared" si="549"/>
        <v/>
      </c>
      <c r="AA1335" s="531">
        <f t="shared" si="550"/>
        <v>0</v>
      </c>
      <c r="AB1335" s="535" t="str">
        <f t="shared" si="538"/>
        <v/>
      </c>
      <c r="AC1335" s="537" t="str">
        <f t="shared" si="539"/>
        <v/>
      </c>
      <c r="AD1335" s="538" t="str">
        <f t="shared" ca="1" si="540"/>
        <v/>
      </c>
      <c r="AE1335" s="537">
        <f t="shared" ca="1" si="541"/>
        <v>0</v>
      </c>
      <c r="AF1335" s="539" t="str">
        <f t="shared" ca="1" si="551"/>
        <v/>
      </c>
      <c r="AG1335" s="531" t="str">
        <f t="shared" ca="1" si="552"/>
        <v/>
      </c>
      <c r="AH1335" s="531" t="str">
        <f t="shared" ca="1" si="553"/>
        <v/>
      </c>
      <c r="AI1335" s="531" t="str">
        <f t="shared" ca="1" si="554"/>
        <v/>
      </c>
      <c r="AJ1335" s="531" t="str">
        <f t="shared" si="555"/>
        <v/>
      </c>
      <c r="AK1335" s="540">
        <f>SUMIFS('Live Collections'!$S:$S,'Live Collections'!$D:$D,Disbursements!B1335,'Live Collections'!$G:$G,Disbursements!C1335)</f>
        <v>0</v>
      </c>
      <c r="AL1335" s="540">
        <f>SUMIFS('Live Collections'!$T:$T,'Live Collections'!$D:$D,Disbursements!B1335,'Live Collections'!$G:$G,Disbursements!C1335)</f>
        <v>0</v>
      </c>
      <c r="AM1335" s="541">
        <f t="shared" si="556"/>
        <v>0</v>
      </c>
      <c r="AN1335" s="542" t="str">
        <f t="shared" si="557"/>
        <v/>
      </c>
      <c r="AO1335" s="542" t="str">
        <f t="shared" si="558"/>
        <v/>
      </c>
      <c r="AP1335" s="543" t="str">
        <f t="shared" si="559"/>
        <v/>
      </c>
      <c r="AQ1335" s="544" t="str">
        <f t="shared" si="560"/>
        <v/>
      </c>
      <c r="AR1335" s="545">
        <f t="shared" si="561"/>
        <v>0</v>
      </c>
      <c r="AS1335" s="545">
        <f>IFERROR(CEILING($AR1335*VLOOKUP($I1335,Ref!$B$23:$E$29,4,0),1),0)</f>
        <v>0</v>
      </c>
      <c r="AT1335" s="545" t="str">
        <f>IF(A1335="","",IF(AP1335&lt;=1,"Cleared",IF(AS1335=0,"Clean",VLOOKUP($AS1335,Ref!$G$23:$H$28,2))))</f>
        <v/>
      </c>
      <c r="AU1335" s="546" t="str">
        <f t="shared" si="562"/>
        <v/>
      </c>
    </row>
    <row r="1336" spans="1:47" ht="14.25" hidden="1" customHeight="1" x14ac:dyDescent="0.15">
      <c r="A1336" s="523"/>
      <c r="B1336" s="523"/>
      <c r="C1336" s="523"/>
      <c r="D1336" s="523"/>
      <c r="E1336" s="579"/>
      <c r="F1336" s="580"/>
      <c r="G1336" s="524"/>
      <c r="H1336" s="555"/>
      <c r="I1336" s="560"/>
      <c r="J1336" s="523"/>
      <c r="K1336" s="528" t="str">
        <f>IFERROR(VLOOKUP($B1336,'Clients-Live'!$A:$C,3,0),"")</f>
        <v/>
      </c>
      <c r="L1336" s="528">
        <f>IF(E1336="STL",Pricing!$D$38,IF(A1336="",0,IF(A1336&lt;Pricing!$C$25,Pricing!$D$25,VLOOKUP(Disbursements!$F1336,Pricing!$B$29:$D$32,3))))</f>
        <v>0</v>
      </c>
      <c r="M1336" s="528">
        <f>IF(E1336="STL",0,IF(F1336&gt;0,Pricing!$D$21,0))</f>
        <v>0</v>
      </c>
      <c r="N1336" s="529">
        <f>IF(E1336="STL",F1336*Pricing!$D$40,IF(A1336&lt;=Pricing!$C$4,0,IF(AND(A1336&gt;Pricing!$C$4,Disbursements!A1336&lt;=Pricing!$C$5),F1336*Pricing!$E$5,IF(AND(A1336&gt;Pricing!$C$5,Disbursements!A1336&lt;=Pricing!$C$7),VLOOKUP(F1336,Pricing!$D$7:$E$8,2)*Disbursements!F1336,F1336*Pricing!$E$9))))</f>
        <v>0</v>
      </c>
      <c r="O1336" s="528">
        <f>IF(E1336="STL",0,IF($F1336&gt;0,$F1336*Pricing!$D$17,0))</f>
        <v>0</v>
      </c>
      <c r="P1336" s="530" t="str">
        <f t="shared" si="542"/>
        <v/>
      </c>
      <c r="Q1336" s="531" t="str">
        <f>IF($A1336="","",$G1336/VLOOKUP($I1336,Ref!$B$23:$D$29,2,0))</f>
        <v/>
      </c>
      <c r="R1336" s="530" t="str">
        <f t="shared" si="543"/>
        <v/>
      </c>
      <c r="S1336" s="532" t="str">
        <f t="shared" si="537"/>
        <v/>
      </c>
      <c r="T1336" s="531" t="str">
        <f t="shared" si="544"/>
        <v/>
      </c>
      <c r="U1336" s="533">
        <f t="shared" si="545"/>
        <v>0</v>
      </c>
      <c r="V1336" s="531" t="str">
        <f t="shared" si="546"/>
        <v/>
      </c>
      <c r="W1336" s="531" t="str">
        <f t="shared" si="547"/>
        <v/>
      </c>
      <c r="X1336" s="534" t="str">
        <f t="shared" si="548"/>
        <v/>
      </c>
      <c r="Y1336" s="535" t="str">
        <f>IF($A1336="","",IF($I1336="weekly",$A1336+7,EDATE($A1336,VLOOKUP($I1336,Ref!$B$24:$C$29,2,0))))</f>
        <v/>
      </c>
      <c r="Z1336" s="536" t="str">
        <f t="shared" si="549"/>
        <v/>
      </c>
      <c r="AA1336" s="531">
        <f t="shared" si="550"/>
        <v>0</v>
      </c>
      <c r="AB1336" s="535" t="str">
        <f t="shared" si="538"/>
        <v/>
      </c>
      <c r="AC1336" s="537" t="str">
        <f t="shared" si="539"/>
        <v/>
      </c>
      <c r="AD1336" s="538" t="str">
        <f t="shared" ca="1" si="540"/>
        <v/>
      </c>
      <c r="AE1336" s="537">
        <f t="shared" ca="1" si="541"/>
        <v>0</v>
      </c>
      <c r="AF1336" s="539" t="str">
        <f t="shared" ca="1" si="551"/>
        <v/>
      </c>
      <c r="AG1336" s="531" t="str">
        <f t="shared" ca="1" si="552"/>
        <v/>
      </c>
      <c r="AH1336" s="531" t="str">
        <f t="shared" ca="1" si="553"/>
        <v/>
      </c>
      <c r="AI1336" s="531" t="str">
        <f t="shared" ca="1" si="554"/>
        <v/>
      </c>
      <c r="AJ1336" s="531" t="str">
        <f t="shared" si="555"/>
        <v/>
      </c>
      <c r="AK1336" s="540">
        <f>SUMIFS('Live Collections'!$S:$S,'Live Collections'!$D:$D,Disbursements!B1336,'Live Collections'!$G:$G,Disbursements!C1336)</f>
        <v>0</v>
      </c>
      <c r="AL1336" s="540">
        <f>SUMIFS('Live Collections'!$T:$T,'Live Collections'!$D:$D,Disbursements!B1336,'Live Collections'!$G:$G,Disbursements!C1336)</f>
        <v>0</v>
      </c>
      <c r="AM1336" s="541">
        <f t="shared" si="556"/>
        <v>0</v>
      </c>
      <c r="AN1336" s="542" t="str">
        <f t="shared" si="557"/>
        <v/>
      </c>
      <c r="AO1336" s="542" t="str">
        <f t="shared" si="558"/>
        <v/>
      </c>
      <c r="AP1336" s="543" t="str">
        <f t="shared" si="559"/>
        <v/>
      </c>
      <c r="AQ1336" s="544" t="str">
        <f t="shared" si="560"/>
        <v/>
      </c>
      <c r="AR1336" s="545">
        <f t="shared" si="561"/>
        <v>0</v>
      </c>
      <c r="AS1336" s="545">
        <f>IFERROR(CEILING($AR1336*VLOOKUP($I1336,Ref!$B$23:$E$29,4,0),1),0)</f>
        <v>0</v>
      </c>
      <c r="AT1336" s="545" t="str">
        <f>IF(A1336="","",IF(AP1336&lt;=1,"Cleared",IF(AS1336=0,"Clean",VLOOKUP($AS1336,Ref!$G$23:$H$28,2))))</f>
        <v/>
      </c>
      <c r="AU1336" s="546" t="str">
        <f t="shared" si="562"/>
        <v/>
      </c>
    </row>
    <row r="1337" spans="1:47" ht="14.25" hidden="1" customHeight="1" x14ac:dyDescent="0.15">
      <c r="A1337" s="523"/>
      <c r="B1337" s="523"/>
      <c r="C1337" s="523"/>
      <c r="D1337" s="523"/>
      <c r="E1337" s="579"/>
      <c r="F1337" s="580"/>
      <c r="G1337" s="524"/>
      <c r="H1337" s="555"/>
      <c r="I1337" s="560"/>
      <c r="J1337" s="523"/>
      <c r="K1337" s="528" t="str">
        <f>IFERROR(VLOOKUP($B1337,'Clients-Live'!$A:$C,3,0),"")</f>
        <v/>
      </c>
      <c r="L1337" s="528">
        <f>IF(E1337="STL",Pricing!$D$38,IF(A1337="",0,IF(A1337&lt;Pricing!$C$25,Pricing!$D$25,VLOOKUP(Disbursements!$F1337,Pricing!$B$29:$D$32,3))))</f>
        <v>0</v>
      </c>
      <c r="M1337" s="528">
        <f>IF(E1337="STL",0,IF(F1337&gt;0,Pricing!$D$21,0))</f>
        <v>0</v>
      </c>
      <c r="N1337" s="529">
        <f>IF(E1337="STL",F1337*Pricing!$D$40,IF(A1337&lt;=Pricing!$C$4,0,IF(AND(A1337&gt;Pricing!$C$4,Disbursements!A1337&lt;=Pricing!$C$5),F1337*Pricing!$E$5,IF(AND(A1337&gt;Pricing!$C$5,Disbursements!A1337&lt;=Pricing!$C$7),VLOOKUP(F1337,Pricing!$D$7:$E$8,2)*Disbursements!F1337,F1337*Pricing!$E$9))))</f>
        <v>0</v>
      </c>
      <c r="O1337" s="528">
        <f>IF(E1337="STL",0,IF($F1337&gt;0,$F1337*Pricing!$D$17,0))</f>
        <v>0</v>
      </c>
      <c r="P1337" s="530" t="str">
        <f t="shared" si="542"/>
        <v/>
      </c>
      <c r="Q1337" s="531" t="str">
        <f>IF($A1337="","",$G1337/VLOOKUP($I1337,Ref!$B$23:$D$29,2,0))</f>
        <v/>
      </c>
      <c r="R1337" s="530" t="str">
        <f t="shared" si="543"/>
        <v/>
      </c>
      <c r="S1337" s="532" t="str">
        <f t="shared" si="537"/>
        <v/>
      </c>
      <c r="T1337" s="531" t="str">
        <f t="shared" si="544"/>
        <v/>
      </c>
      <c r="U1337" s="533">
        <f t="shared" si="545"/>
        <v>0</v>
      </c>
      <c r="V1337" s="531" t="str">
        <f t="shared" si="546"/>
        <v/>
      </c>
      <c r="W1337" s="531" t="str">
        <f t="shared" si="547"/>
        <v/>
      </c>
      <c r="X1337" s="534" t="str">
        <f t="shared" si="548"/>
        <v/>
      </c>
      <c r="Y1337" s="535" t="str">
        <f>IF($A1337="","",IF($I1337="weekly",$A1337+7,EDATE($A1337,VLOOKUP($I1337,Ref!$B$24:$C$29,2,0))))</f>
        <v/>
      </c>
      <c r="Z1337" s="536" t="str">
        <f t="shared" si="549"/>
        <v/>
      </c>
      <c r="AA1337" s="531">
        <f t="shared" si="550"/>
        <v>0</v>
      </c>
      <c r="AB1337" s="535" t="str">
        <f t="shared" si="538"/>
        <v/>
      </c>
      <c r="AC1337" s="537" t="str">
        <f t="shared" si="539"/>
        <v/>
      </c>
      <c r="AD1337" s="538" t="str">
        <f t="shared" ca="1" si="540"/>
        <v/>
      </c>
      <c r="AE1337" s="537">
        <f t="shared" ca="1" si="541"/>
        <v>0</v>
      </c>
      <c r="AF1337" s="539" t="str">
        <f t="shared" ca="1" si="551"/>
        <v/>
      </c>
      <c r="AG1337" s="531" t="str">
        <f t="shared" ca="1" si="552"/>
        <v/>
      </c>
      <c r="AH1337" s="531" t="str">
        <f t="shared" ca="1" si="553"/>
        <v/>
      </c>
      <c r="AI1337" s="531" t="str">
        <f t="shared" ca="1" si="554"/>
        <v/>
      </c>
      <c r="AJ1337" s="531" t="str">
        <f t="shared" si="555"/>
        <v/>
      </c>
      <c r="AK1337" s="540">
        <f>SUMIFS('Live Collections'!$S:$S,'Live Collections'!$D:$D,Disbursements!B1337,'Live Collections'!$G:$G,Disbursements!C1337)</f>
        <v>0</v>
      </c>
      <c r="AL1337" s="540">
        <f>SUMIFS('Live Collections'!$T:$T,'Live Collections'!$D:$D,Disbursements!B1337,'Live Collections'!$G:$G,Disbursements!C1337)</f>
        <v>0</v>
      </c>
      <c r="AM1337" s="541">
        <f t="shared" si="556"/>
        <v>0</v>
      </c>
      <c r="AN1337" s="542" t="str">
        <f t="shared" si="557"/>
        <v/>
      </c>
      <c r="AO1337" s="542" t="str">
        <f t="shared" si="558"/>
        <v/>
      </c>
      <c r="AP1337" s="543" t="str">
        <f t="shared" si="559"/>
        <v/>
      </c>
      <c r="AQ1337" s="544" t="str">
        <f t="shared" si="560"/>
        <v/>
      </c>
      <c r="AR1337" s="545">
        <f t="shared" si="561"/>
        <v>0</v>
      </c>
      <c r="AS1337" s="545">
        <f>IFERROR(CEILING($AR1337*VLOOKUP($I1337,Ref!$B$23:$E$29,4,0),1),0)</f>
        <v>0</v>
      </c>
      <c r="AT1337" s="545" t="str">
        <f>IF(A1337="","",IF(AP1337&lt;=1,"Cleared",IF(AS1337=0,"Clean",VLOOKUP($AS1337,Ref!$G$23:$H$28,2))))</f>
        <v/>
      </c>
      <c r="AU1337" s="546" t="str">
        <f t="shared" si="562"/>
        <v/>
      </c>
    </row>
    <row r="1338" spans="1:47" ht="14.25" hidden="1" customHeight="1" x14ac:dyDescent="0.15">
      <c r="A1338" s="523"/>
      <c r="B1338" s="523"/>
      <c r="C1338" s="523"/>
      <c r="D1338" s="523"/>
      <c r="E1338" s="579"/>
      <c r="F1338" s="580"/>
      <c r="G1338" s="524"/>
      <c r="H1338" s="555"/>
      <c r="I1338" s="560"/>
      <c r="J1338" s="523"/>
      <c r="K1338" s="528" t="str">
        <f>IFERROR(VLOOKUP($B1338,'Clients-Live'!$A:$C,3,0),"")</f>
        <v/>
      </c>
      <c r="L1338" s="528">
        <f>IF(E1338="STL",Pricing!$D$38,IF(A1338="",0,IF(A1338&lt;Pricing!$C$25,Pricing!$D$25,VLOOKUP(Disbursements!$F1338,Pricing!$B$29:$D$32,3))))</f>
        <v>0</v>
      </c>
      <c r="M1338" s="528">
        <f>IF(E1338="STL",0,IF(F1338&gt;0,Pricing!$D$21,0))</f>
        <v>0</v>
      </c>
      <c r="N1338" s="529">
        <f>IF(E1338="STL",F1338*Pricing!$D$40,IF(A1338&lt;=Pricing!$C$4,0,IF(AND(A1338&gt;Pricing!$C$4,Disbursements!A1338&lt;=Pricing!$C$5),F1338*Pricing!$E$5,IF(AND(A1338&gt;Pricing!$C$5,Disbursements!A1338&lt;=Pricing!$C$7),VLOOKUP(F1338,Pricing!$D$7:$E$8,2)*Disbursements!F1338,F1338*Pricing!$E$9))))</f>
        <v>0</v>
      </c>
      <c r="O1338" s="528">
        <f>IF(E1338="STL",0,IF($F1338&gt;0,$F1338*Pricing!$D$17,0))</f>
        <v>0</v>
      </c>
      <c r="P1338" s="530" t="str">
        <f t="shared" si="542"/>
        <v/>
      </c>
      <c r="Q1338" s="531" t="str">
        <f>IF($A1338="","",$G1338/VLOOKUP($I1338,Ref!$B$23:$D$29,2,0))</f>
        <v/>
      </c>
      <c r="R1338" s="530" t="str">
        <f t="shared" si="543"/>
        <v/>
      </c>
      <c r="S1338" s="532" t="str">
        <f t="shared" si="537"/>
        <v/>
      </c>
      <c r="T1338" s="531" t="str">
        <f t="shared" si="544"/>
        <v/>
      </c>
      <c r="U1338" s="533">
        <f t="shared" si="545"/>
        <v>0</v>
      </c>
      <c r="V1338" s="531" t="str">
        <f t="shared" si="546"/>
        <v/>
      </c>
      <c r="W1338" s="531" t="str">
        <f t="shared" si="547"/>
        <v/>
      </c>
      <c r="X1338" s="534" t="str">
        <f t="shared" si="548"/>
        <v/>
      </c>
      <c r="Y1338" s="535" t="str">
        <f>IF($A1338="","",IF($I1338="weekly",$A1338+7,EDATE($A1338,VLOOKUP($I1338,Ref!$B$24:$C$29,2,0))))</f>
        <v/>
      </c>
      <c r="Z1338" s="536" t="str">
        <f t="shared" si="549"/>
        <v/>
      </c>
      <c r="AA1338" s="531">
        <f t="shared" si="550"/>
        <v>0</v>
      </c>
      <c r="AB1338" s="535" t="str">
        <f t="shared" si="538"/>
        <v/>
      </c>
      <c r="AC1338" s="537" t="str">
        <f t="shared" si="539"/>
        <v/>
      </c>
      <c r="AD1338" s="538" t="str">
        <f t="shared" ca="1" si="540"/>
        <v/>
      </c>
      <c r="AE1338" s="537">
        <f t="shared" ca="1" si="541"/>
        <v>0</v>
      </c>
      <c r="AF1338" s="539" t="str">
        <f t="shared" ca="1" si="551"/>
        <v/>
      </c>
      <c r="AG1338" s="531" t="str">
        <f t="shared" ca="1" si="552"/>
        <v/>
      </c>
      <c r="AH1338" s="531" t="str">
        <f t="shared" ca="1" si="553"/>
        <v/>
      </c>
      <c r="AI1338" s="531" t="str">
        <f t="shared" ca="1" si="554"/>
        <v/>
      </c>
      <c r="AJ1338" s="531" t="str">
        <f t="shared" si="555"/>
        <v/>
      </c>
      <c r="AK1338" s="540">
        <f>SUMIFS('Live Collections'!$S:$S,'Live Collections'!$D:$D,Disbursements!B1338,'Live Collections'!$G:$G,Disbursements!C1338)</f>
        <v>0</v>
      </c>
      <c r="AL1338" s="540">
        <f>SUMIFS('Live Collections'!$T:$T,'Live Collections'!$D:$D,Disbursements!B1338,'Live Collections'!$G:$G,Disbursements!C1338)</f>
        <v>0</v>
      </c>
      <c r="AM1338" s="541">
        <f t="shared" si="556"/>
        <v>0</v>
      </c>
      <c r="AN1338" s="542" t="str">
        <f t="shared" si="557"/>
        <v/>
      </c>
      <c r="AO1338" s="542" t="str">
        <f t="shared" si="558"/>
        <v/>
      </c>
      <c r="AP1338" s="543" t="str">
        <f t="shared" si="559"/>
        <v/>
      </c>
      <c r="AQ1338" s="544" t="str">
        <f t="shared" si="560"/>
        <v/>
      </c>
      <c r="AR1338" s="545">
        <f t="shared" si="561"/>
        <v>0</v>
      </c>
      <c r="AS1338" s="545">
        <f>IFERROR(CEILING($AR1338*VLOOKUP($I1338,Ref!$B$23:$E$29,4,0),1),0)</f>
        <v>0</v>
      </c>
      <c r="AT1338" s="545" t="str">
        <f>IF(A1338="","",IF(AP1338&lt;=1,"Cleared",IF(AS1338=0,"Clean",VLOOKUP($AS1338,Ref!$G$23:$H$28,2))))</f>
        <v/>
      </c>
      <c r="AU1338" s="546" t="str">
        <f t="shared" si="562"/>
        <v/>
      </c>
    </row>
    <row r="1339" spans="1:47" ht="14.25" hidden="1" customHeight="1" x14ac:dyDescent="0.15">
      <c r="A1339" s="523"/>
      <c r="B1339" s="523"/>
      <c r="C1339" s="523"/>
      <c r="D1339" s="523"/>
      <c r="E1339" s="579"/>
      <c r="F1339" s="580"/>
      <c r="G1339" s="524"/>
      <c r="H1339" s="555"/>
      <c r="I1339" s="560"/>
      <c r="J1339" s="523"/>
      <c r="K1339" s="528" t="str">
        <f>IFERROR(VLOOKUP($B1339,'Clients-Live'!$A:$C,3,0),"")</f>
        <v/>
      </c>
      <c r="L1339" s="528">
        <f>IF(E1339="STL",Pricing!$D$38,IF(A1339="",0,IF(A1339&lt;Pricing!$C$25,Pricing!$D$25,VLOOKUP(Disbursements!$F1339,Pricing!$B$29:$D$32,3))))</f>
        <v>0</v>
      </c>
      <c r="M1339" s="528">
        <f>IF(E1339="STL",0,IF(F1339&gt;0,Pricing!$D$21,0))</f>
        <v>0</v>
      </c>
      <c r="N1339" s="529">
        <f>IF(E1339="STL",F1339*Pricing!$D$40,IF(A1339&lt;=Pricing!$C$4,0,IF(AND(A1339&gt;Pricing!$C$4,Disbursements!A1339&lt;=Pricing!$C$5),F1339*Pricing!$E$5,IF(AND(A1339&gt;Pricing!$C$5,Disbursements!A1339&lt;=Pricing!$C$7),VLOOKUP(F1339,Pricing!$D$7:$E$8,2)*Disbursements!F1339,F1339*Pricing!$E$9))))</f>
        <v>0</v>
      </c>
      <c r="O1339" s="528">
        <f>IF(E1339="STL",0,IF($F1339&gt;0,$F1339*Pricing!$D$17,0))</f>
        <v>0</v>
      </c>
      <c r="P1339" s="530" t="str">
        <f t="shared" si="542"/>
        <v/>
      </c>
      <c r="Q1339" s="531" t="str">
        <f>IF($A1339="","",$G1339/VLOOKUP($I1339,Ref!$B$23:$D$29,2,0))</f>
        <v/>
      </c>
      <c r="R1339" s="530" t="str">
        <f t="shared" si="543"/>
        <v/>
      </c>
      <c r="S1339" s="532" t="str">
        <f t="shared" si="537"/>
        <v/>
      </c>
      <c r="T1339" s="531" t="str">
        <f t="shared" si="544"/>
        <v/>
      </c>
      <c r="U1339" s="533">
        <f t="shared" si="545"/>
        <v>0</v>
      </c>
      <c r="V1339" s="531" t="str">
        <f t="shared" si="546"/>
        <v/>
      </c>
      <c r="W1339" s="531" t="str">
        <f t="shared" si="547"/>
        <v/>
      </c>
      <c r="X1339" s="534" t="str">
        <f t="shared" si="548"/>
        <v/>
      </c>
      <c r="Y1339" s="535" t="str">
        <f>IF($A1339="","",IF($I1339="weekly",$A1339+7,EDATE($A1339,VLOOKUP($I1339,Ref!$B$24:$C$29,2,0))))</f>
        <v/>
      </c>
      <c r="Z1339" s="536" t="str">
        <f t="shared" si="549"/>
        <v/>
      </c>
      <c r="AA1339" s="531">
        <f t="shared" si="550"/>
        <v>0</v>
      </c>
      <c r="AB1339" s="535" t="str">
        <f t="shared" si="538"/>
        <v/>
      </c>
      <c r="AC1339" s="537" t="str">
        <f t="shared" si="539"/>
        <v/>
      </c>
      <c r="AD1339" s="538" t="str">
        <f t="shared" ca="1" si="540"/>
        <v/>
      </c>
      <c r="AE1339" s="537">
        <f t="shared" ca="1" si="541"/>
        <v>0</v>
      </c>
      <c r="AF1339" s="539" t="str">
        <f t="shared" ca="1" si="551"/>
        <v/>
      </c>
      <c r="AG1339" s="531" t="str">
        <f t="shared" ca="1" si="552"/>
        <v/>
      </c>
      <c r="AH1339" s="531" t="str">
        <f t="shared" ca="1" si="553"/>
        <v/>
      </c>
      <c r="AI1339" s="531" t="str">
        <f t="shared" ca="1" si="554"/>
        <v/>
      </c>
      <c r="AJ1339" s="531" t="str">
        <f t="shared" si="555"/>
        <v/>
      </c>
      <c r="AK1339" s="540">
        <f>SUMIFS('Live Collections'!$S:$S,'Live Collections'!$D:$D,Disbursements!B1339,'Live Collections'!$G:$G,Disbursements!C1339)</f>
        <v>0</v>
      </c>
      <c r="AL1339" s="540">
        <f>SUMIFS('Live Collections'!$T:$T,'Live Collections'!$D:$D,Disbursements!B1339,'Live Collections'!$G:$G,Disbursements!C1339)</f>
        <v>0</v>
      </c>
      <c r="AM1339" s="541">
        <f t="shared" si="556"/>
        <v>0</v>
      </c>
      <c r="AN1339" s="542" t="str">
        <f t="shared" si="557"/>
        <v/>
      </c>
      <c r="AO1339" s="542" t="str">
        <f t="shared" si="558"/>
        <v/>
      </c>
      <c r="AP1339" s="543" t="str">
        <f t="shared" si="559"/>
        <v/>
      </c>
      <c r="AQ1339" s="544" t="str">
        <f t="shared" si="560"/>
        <v/>
      </c>
      <c r="AR1339" s="545">
        <f t="shared" si="561"/>
        <v>0</v>
      </c>
      <c r="AS1339" s="545">
        <f>IFERROR(CEILING($AR1339*VLOOKUP($I1339,Ref!$B$23:$E$29,4,0),1),0)</f>
        <v>0</v>
      </c>
      <c r="AT1339" s="545" t="str">
        <f>IF(A1339="","",IF(AP1339&lt;=1,"Cleared",IF(AS1339=0,"Clean",VLOOKUP($AS1339,Ref!$G$23:$H$28,2))))</f>
        <v/>
      </c>
      <c r="AU1339" s="546" t="str">
        <f t="shared" si="562"/>
        <v/>
      </c>
    </row>
    <row r="1340" spans="1:47" ht="14.25" hidden="1" customHeight="1" x14ac:dyDescent="0.15">
      <c r="A1340" s="523"/>
      <c r="B1340" s="523"/>
      <c r="C1340" s="523"/>
      <c r="D1340" s="523"/>
      <c r="E1340" s="579"/>
      <c r="F1340" s="580"/>
      <c r="G1340" s="524"/>
      <c r="H1340" s="555"/>
      <c r="I1340" s="560"/>
      <c r="J1340" s="523"/>
      <c r="K1340" s="528" t="str">
        <f>IFERROR(VLOOKUP($B1340,'Clients-Live'!$A:$C,3,0),"")</f>
        <v/>
      </c>
      <c r="L1340" s="528">
        <f>IF(E1340="STL",Pricing!$D$38,IF(A1340="",0,IF(A1340&lt;Pricing!$C$25,Pricing!$D$25,VLOOKUP(Disbursements!$F1340,Pricing!$B$29:$D$32,3))))</f>
        <v>0</v>
      </c>
      <c r="M1340" s="528">
        <f>IF(E1340="STL",0,IF(F1340&gt;0,Pricing!$D$21,0))</f>
        <v>0</v>
      </c>
      <c r="N1340" s="529">
        <f>IF(E1340="STL",F1340*Pricing!$D$40,IF(A1340&lt;=Pricing!$C$4,0,IF(AND(A1340&gt;Pricing!$C$4,Disbursements!A1340&lt;=Pricing!$C$5),F1340*Pricing!$E$5,IF(AND(A1340&gt;Pricing!$C$5,Disbursements!A1340&lt;=Pricing!$C$7),VLOOKUP(F1340,Pricing!$D$7:$E$8,2)*Disbursements!F1340,F1340*Pricing!$E$9))))</f>
        <v>0</v>
      </c>
      <c r="O1340" s="528">
        <f>IF(E1340="STL",0,IF($F1340&gt;0,$F1340*Pricing!$D$17,0))</f>
        <v>0</v>
      </c>
      <c r="P1340" s="530" t="str">
        <f t="shared" si="542"/>
        <v/>
      </c>
      <c r="Q1340" s="531" t="str">
        <f>IF($A1340="","",$G1340/VLOOKUP($I1340,Ref!$B$23:$D$29,2,0))</f>
        <v/>
      </c>
      <c r="R1340" s="530" t="str">
        <f t="shared" si="543"/>
        <v/>
      </c>
      <c r="S1340" s="532" t="str">
        <f t="shared" si="537"/>
        <v/>
      </c>
      <c r="T1340" s="531" t="str">
        <f t="shared" si="544"/>
        <v/>
      </c>
      <c r="U1340" s="533">
        <f t="shared" si="545"/>
        <v>0</v>
      </c>
      <c r="V1340" s="531" t="str">
        <f t="shared" si="546"/>
        <v/>
      </c>
      <c r="W1340" s="531" t="str">
        <f t="shared" si="547"/>
        <v/>
      </c>
      <c r="X1340" s="534" t="str">
        <f t="shared" si="548"/>
        <v/>
      </c>
      <c r="Y1340" s="535" t="str">
        <f>IF($A1340="","",IF($I1340="weekly",$A1340+7,EDATE($A1340,VLOOKUP($I1340,Ref!$B$24:$C$29,2,0))))</f>
        <v/>
      </c>
      <c r="Z1340" s="536" t="str">
        <f t="shared" si="549"/>
        <v/>
      </c>
      <c r="AA1340" s="531">
        <f t="shared" si="550"/>
        <v>0</v>
      </c>
      <c r="AB1340" s="535" t="str">
        <f t="shared" si="538"/>
        <v/>
      </c>
      <c r="AC1340" s="537" t="str">
        <f t="shared" si="539"/>
        <v/>
      </c>
      <c r="AD1340" s="538" t="str">
        <f t="shared" ca="1" si="540"/>
        <v/>
      </c>
      <c r="AE1340" s="537">
        <f t="shared" ca="1" si="541"/>
        <v>0</v>
      </c>
      <c r="AF1340" s="539" t="str">
        <f t="shared" ca="1" si="551"/>
        <v/>
      </c>
      <c r="AG1340" s="531" t="str">
        <f t="shared" ca="1" si="552"/>
        <v/>
      </c>
      <c r="AH1340" s="531" t="str">
        <f t="shared" ca="1" si="553"/>
        <v/>
      </c>
      <c r="AI1340" s="531" t="str">
        <f t="shared" ca="1" si="554"/>
        <v/>
      </c>
      <c r="AJ1340" s="531" t="str">
        <f t="shared" si="555"/>
        <v/>
      </c>
      <c r="AK1340" s="540">
        <f>SUMIFS('Live Collections'!$S:$S,'Live Collections'!$D:$D,Disbursements!B1340,'Live Collections'!$G:$G,Disbursements!C1340)</f>
        <v>0</v>
      </c>
      <c r="AL1340" s="540">
        <f>SUMIFS('Live Collections'!$T:$T,'Live Collections'!$D:$D,Disbursements!B1340,'Live Collections'!$G:$G,Disbursements!C1340)</f>
        <v>0</v>
      </c>
      <c r="AM1340" s="541">
        <f t="shared" si="556"/>
        <v>0</v>
      </c>
      <c r="AN1340" s="542" t="str">
        <f t="shared" si="557"/>
        <v/>
      </c>
      <c r="AO1340" s="542" t="str">
        <f t="shared" si="558"/>
        <v/>
      </c>
      <c r="AP1340" s="543" t="str">
        <f t="shared" si="559"/>
        <v/>
      </c>
      <c r="AQ1340" s="544" t="str">
        <f t="shared" si="560"/>
        <v/>
      </c>
      <c r="AR1340" s="545">
        <f t="shared" si="561"/>
        <v>0</v>
      </c>
      <c r="AS1340" s="545">
        <f>IFERROR(CEILING($AR1340*VLOOKUP($I1340,Ref!$B$23:$E$29,4,0),1),0)</f>
        <v>0</v>
      </c>
      <c r="AT1340" s="545" t="str">
        <f>IF(A1340="","",IF(AP1340&lt;=1,"Cleared",IF(AS1340=0,"Clean",VLOOKUP($AS1340,Ref!$G$23:$H$28,2))))</f>
        <v/>
      </c>
      <c r="AU1340" s="546" t="str">
        <f t="shared" si="562"/>
        <v/>
      </c>
    </row>
    <row r="1341" spans="1:47" ht="14.25" hidden="1" customHeight="1" x14ac:dyDescent="0.15">
      <c r="A1341" s="523"/>
      <c r="B1341" s="523"/>
      <c r="C1341" s="523"/>
      <c r="D1341" s="523"/>
      <c r="E1341" s="579"/>
      <c r="F1341" s="580"/>
      <c r="G1341" s="524"/>
      <c r="H1341" s="555"/>
      <c r="I1341" s="560"/>
      <c r="J1341" s="523"/>
      <c r="K1341" s="528" t="str">
        <f>IFERROR(VLOOKUP($B1341,'Clients-Live'!$A:$C,3,0),"")</f>
        <v/>
      </c>
      <c r="L1341" s="528">
        <f>IF(E1341="STL",Pricing!$D$38,IF(A1341="",0,IF(A1341&lt;Pricing!$C$25,Pricing!$D$25,VLOOKUP(Disbursements!$F1341,Pricing!$B$29:$D$32,3))))</f>
        <v>0</v>
      </c>
      <c r="M1341" s="528">
        <f>IF(E1341="STL",0,IF(F1341&gt;0,Pricing!$D$21,0))</f>
        <v>0</v>
      </c>
      <c r="N1341" s="529">
        <f>IF(E1341="STL",F1341*Pricing!$D$40,IF(A1341&lt;=Pricing!$C$4,0,IF(AND(A1341&gt;Pricing!$C$4,Disbursements!A1341&lt;=Pricing!$C$5),F1341*Pricing!$E$5,IF(AND(A1341&gt;Pricing!$C$5,Disbursements!A1341&lt;=Pricing!$C$7),VLOOKUP(F1341,Pricing!$D$7:$E$8,2)*Disbursements!F1341,F1341*Pricing!$E$9))))</f>
        <v>0</v>
      </c>
      <c r="O1341" s="528">
        <f>IF(E1341="STL",0,IF($F1341&gt;0,$F1341*Pricing!$D$17,0))</f>
        <v>0</v>
      </c>
      <c r="P1341" s="530" t="str">
        <f t="shared" si="542"/>
        <v/>
      </c>
      <c r="Q1341" s="531" t="str">
        <f>IF($A1341="","",$G1341/VLOOKUP($I1341,Ref!$B$23:$D$29,2,0))</f>
        <v/>
      </c>
      <c r="R1341" s="530" t="str">
        <f t="shared" si="543"/>
        <v/>
      </c>
      <c r="S1341" s="532" t="str">
        <f t="shared" si="537"/>
        <v/>
      </c>
      <c r="T1341" s="531" t="str">
        <f t="shared" si="544"/>
        <v/>
      </c>
      <c r="U1341" s="533">
        <f t="shared" si="545"/>
        <v>0</v>
      </c>
      <c r="V1341" s="531" t="str">
        <f t="shared" si="546"/>
        <v/>
      </c>
      <c r="W1341" s="531" t="str">
        <f t="shared" si="547"/>
        <v/>
      </c>
      <c r="X1341" s="534" t="str">
        <f t="shared" si="548"/>
        <v/>
      </c>
      <c r="Y1341" s="535" t="str">
        <f>IF($A1341="","",IF($I1341="weekly",$A1341+7,EDATE($A1341,VLOOKUP($I1341,Ref!$B$24:$C$29,2,0))))</f>
        <v/>
      </c>
      <c r="Z1341" s="536" t="str">
        <f t="shared" si="549"/>
        <v/>
      </c>
      <c r="AA1341" s="531">
        <f t="shared" si="550"/>
        <v>0</v>
      </c>
      <c r="AB1341" s="535" t="str">
        <f t="shared" si="538"/>
        <v/>
      </c>
      <c r="AC1341" s="537" t="str">
        <f t="shared" si="539"/>
        <v/>
      </c>
      <c r="AD1341" s="538" t="str">
        <f t="shared" ca="1" si="540"/>
        <v/>
      </c>
      <c r="AE1341" s="537">
        <f t="shared" ca="1" si="541"/>
        <v>0</v>
      </c>
      <c r="AF1341" s="539" t="str">
        <f t="shared" ca="1" si="551"/>
        <v/>
      </c>
      <c r="AG1341" s="531" t="str">
        <f t="shared" ca="1" si="552"/>
        <v/>
      </c>
      <c r="AH1341" s="531" t="str">
        <f t="shared" ca="1" si="553"/>
        <v/>
      </c>
      <c r="AI1341" s="531" t="str">
        <f t="shared" ca="1" si="554"/>
        <v/>
      </c>
      <c r="AJ1341" s="531" t="str">
        <f t="shared" si="555"/>
        <v/>
      </c>
      <c r="AK1341" s="540">
        <f>SUMIFS('Live Collections'!$S:$S,'Live Collections'!$D:$D,Disbursements!B1341,'Live Collections'!$G:$G,Disbursements!C1341)</f>
        <v>0</v>
      </c>
      <c r="AL1341" s="540">
        <f>SUMIFS('Live Collections'!$T:$T,'Live Collections'!$D:$D,Disbursements!B1341,'Live Collections'!$G:$G,Disbursements!C1341)</f>
        <v>0</v>
      </c>
      <c r="AM1341" s="541">
        <f t="shared" si="556"/>
        <v>0</v>
      </c>
      <c r="AN1341" s="542" t="str">
        <f t="shared" si="557"/>
        <v/>
      </c>
      <c r="AO1341" s="542" t="str">
        <f t="shared" si="558"/>
        <v/>
      </c>
      <c r="AP1341" s="543" t="str">
        <f t="shared" si="559"/>
        <v/>
      </c>
      <c r="AQ1341" s="544" t="str">
        <f t="shared" si="560"/>
        <v/>
      </c>
      <c r="AR1341" s="545">
        <f t="shared" si="561"/>
        <v>0</v>
      </c>
      <c r="AS1341" s="545">
        <f>IFERROR(CEILING($AR1341*VLOOKUP($I1341,Ref!$B$23:$E$29,4,0),1),0)</f>
        <v>0</v>
      </c>
      <c r="AT1341" s="545" t="str">
        <f>IF(A1341="","",IF(AP1341&lt;=1,"Cleared",IF(AS1341=0,"Clean",VLOOKUP($AS1341,Ref!$G$23:$H$28,2))))</f>
        <v/>
      </c>
      <c r="AU1341" s="546" t="str">
        <f t="shared" si="562"/>
        <v/>
      </c>
    </row>
    <row r="1342" spans="1:47" ht="14.25" hidden="1" customHeight="1" x14ac:dyDescent="0.15">
      <c r="A1342" s="523"/>
      <c r="B1342" s="523"/>
      <c r="C1342" s="523"/>
      <c r="D1342" s="523"/>
      <c r="E1342" s="579"/>
      <c r="F1342" s="580"/>
      <c r="G1342" s="524"/>
      <c r="H1342" s="555"/>
      <c r="I1342" s="560"/>
      <c r="J1342" s="523"/>
      <c r="K1342" s="528" t="str">
        <f>IFERROR(VLOOKUP($B1342,'Clients-Live'!$A:$C,3,0),"")</f>
        <v/>
      </c>
      <c r="L1342" s="528">
        <f>IF(E1342="STL",Pricing!$D$38,IF(A1342="",0,IF(A1342&lt;Pricing!$C$25,Pricing!$D$25,VLOOKUP(Disbursements!$F1342,Pricing!$B$29:$D$32,3))))</f>
        <v>0</v>
      </c>
      <c r="M1342" s="528">
        <f>IF(E1342="STL",0,IF(F1342&gt;0,Pricing!$D$21,0))</f>
        <v>0</v>
      </c>
      <c r="N1342" s="529">
        <f>IF(E1342="STL",F1342*Pricing!$D$40,IF(A1342&lt;=Pricing!$C$4,0,IF(AND(A1342&gt;Pricing!$C$4,Disbursements!A1342&lt;=Pricing!$C$5),F1342*Pricing!$E$5,IF(AND(A1342&gt;Pricing!$C$5,Disbursements!A1342&lt;=Pricing!$C$7),VLOOKUP(F1342,Pricing!$D$7:$E$8,2)*Disbursements!F1342,F1342*Pricing!$E$9))))</f>
        <v>0</v>
      </c>
      <c r="O1342" s="528">
        <f>IF(E1342="STL",0,IF($F1342&gt;0,$F1342*Pricing!$D$17,0))</f>
        <v>0</v>
      </c>
      <c r="P1342" s="530" t="str">
        <f t="shared" si="542"/>
        <v/>
      </c>
      <c r="Q1342" s="531" t="str">
        <f>IF($A1342="","",$G1342/VLOOKUP($I1342,Ref!$B$23:$D$29,2,0))</f>
        <v/>
      </c>
      <c r="R1342" s="530" t="str">
        <f t="shared" si="543"/>
        <v/>
      </c>
      <c r="S1342" s="532" t="str">
        <f t="shared" si="537"/>
        <v/>
      </c>
      <c r="T1342" s="531" t="str">
        <f t="shared" si="544"/>
        <v/>
      </c>
      <c r="U1342" s="533">
        <f t="shared" si="545"/>
        <v>0</v>
      </c>
      <c r="V1342" s="531" t="str">
        <f t="shared" si="546"/>
        <v/>
      </c>
      <c r="W1342" s="531" t="str">
        <f t="shared" si="547"/>
        <v/>
      </c>
      <c r="X1342" s="534" t="str">
        <f t="shared" si="548"/>
        <v/>
      </c>
      <c r="Y1342" s="535" t="str">
        <f>IF($A1342="","",IF($I1342="weekly",$A1342+7,EDATE($A1342,VLOOKUP($I1342,Ref!$B$24:$C$29,2,0))))</f>
        <v/>
      </c>
      <c r="Z1342" s="536" t="str">
        <f t="shared" si="549"/>
        <v/>
      </c>
      <c r="AA1342" s="531">
        <f t="shared" si="550"/>
        <v>0</v>
      </c>
      <c r="AB1342" s="535" t="str">
        <f t="shared" si="538"/>
        <v/>
      </c>
      <c r="AC1342" s="537" t="str">
        <f t="shared" si="539"/>
        <v/>
      </c>
      <c r="AD1342" s="538" t="str">
        <f t="shared" ca="1" si="540"/>
        <v/>
      </c>
      <c r="AE1342" s="537">
        <f t="shared" ca="1" si="541"/>
        <v>0</v>
      </c>
      <c r="AF1342" s="539" t="str">
        <f t="shared" ca="1" si="551"/>
        <v/>
      </c>
      <c r="AG1342" s="531" t="str">
        <f t="shared" ca="1" si="552"/>
        <v/>
      </c>
      <c r="AH1342" s="531" t="str">
        <f t="shared" ca="1" si="553"/>
        <v/>
      </c>
      <c r="AI1342" s="531" t="str">
        <f t="shared" ca="1" si="554"/>
        <v/>
      </c>
      <c r="AJ1342" s="531" t="str">
        <f t="shared" si="555"/>
        <v/>
      </c>
      <c r="AK1342" s="540">
        <f>SUMIFS('Live Collections'!$S:$S,'Live Collections'!$D:$D,Disbursements!B1342,'Live Collections'!$G:$G,Disbursements!C1342)</f>
        <v>0</v>
      </c>
      <c r="AL1342" s="540">
        <f>SUMIFS('Live Collections'!$T:$T,'Live Collections'!$D:$D,Disbursements!B1342,'Live Collections'!$G:$G,Disbursements!C1342)</f>
        <v>0</v>
      </c>
      <c r="AM1342" s="541">
        <f t="shared" si="556"/>
        <v>0</v>
      </c>
      <c r="AN1342" s="542" t="str">
        <f t="shared" si="557"/>
        <v/>
      </c>
      <c r="AO1342" s="542" t="str">
        <f t="shared" si="558"/>
        <v/>
      </c>
      <c r="AP1342" s="543" t="str">
        <f t="shared" si="559"/>
        <v/>
      </c>
      <c r="AQ1342" s="544" t="str">
        <f t="shared" si="560"/>
        <v/>
      </c>
      <c r="AR1342" s="545">
        <f t="shared" si="561"/>
        <v>0</v>
      </c>
      <c r="AS1342" s="545">
        <f>IFERROR(CEILING($AR1342*VLOOKUP($I1342,Ref!$B$23:$E$29,4,0),1),0)</f>
        <v>0</v>
      </c>
      <c r="AT1342" s="545" t="str">
        <f>IF(A1342="","",IF(AP1342&lt;=1,"Cleared",IF(AS1342=0,"Clean",VLOOKUP($AS1342,Ref!$G$23:$H$28,2))))</f>
        <v/>
      </c>
      <c r="AU1342" s="546" t="str">
        <f t="shared" si="562"/>
        <v/>
      </c>
    </row>
    <row r="1343" spans="1:47" ht="14.25" hidden="1" customHeight="1" x14ac:dyDescent="0.15">
      <c r="A1343" s="523"/>
      <c r="B1343" s="523"/>
      <c r="C1343" s="523"/>
      <c r="D1343" s="523"/>
      <c r="E1343" s="579"/>
      <c r="F1343" s="580"/>
      <c r="G1343" s="524"/>
      <c r="H1343" s="555"/>
      <c r="I1343" s="560"/>
      <c r="J1343" s="523"/>
      <c r="K1343" s="528" t="str">
        <f>IFERROR(VLOOKUP($B1343,'Clients-Live'!$A:$C,3,0),"")</f>
        <v/>
      </c>
      <c r="L1343" s="528">
        <f>IF(E1343="STL",Pricing!$D$38,IF(A1343="",0,IF(A1343&lt;Pricing!$C$25,Pricing!$D$25,VLOOKUP(Disbursements!$F1343,Pricing!$B$29:$D$32,3))))</f>
        <v>0</v>
      </c>
      <c r="M1343" s="528">
        <f>IF(E1343="STL",0,IF(F1343&gt;0,Pricing!$D$21,0))</f>
        <v>0</v>
      </c>
      <c r="N1343" s="529">
        <f>IF(E1343="STL",F1343*Pricing!$D$40,IF(A1343&lt;=Pricing!$C$4,0,IF(AND(A1343&gt;Pricing!$C$4,Disbursements!A1343&lt;=Pricing!$C$5),F1343*Pricing!$E$5,IF(AND(A1343&gt;Pricing!$C$5,Disbursements!A1343&lt;=Pricing!$C$7),VLOOKUP(F1343,Pricing!$D$7:$E$8,2)*Disbursements!F1343,F1343*Pricing!$E$9))))</f>
        <v>0</v>
      </c>
      <c r="O1343" s="528">
        <f>IF(E1343="STL",0,IF($F1343&gt;0,$F1343*Pricing!$D$17,0))</f>
        <v>0</v>
      </c>
      <c r="P1343" s="530" t="str">
        <f t="shared" si="542"/>
        <v/>
      </c>
      <c r="Q1343" s="531" t="str">
        <f>IF($A1343="","",$G1343/VLOOKUP($I1343,Ref!$B$23:$D$29,2,0))</f>
        <v/>
      </c>
      <c r="R1343" s="530" t="str">
        <f t="shared" si="543"/>
        <v/>
      </c>
      <c r="S1343" s="532" t="str">
        <f t="shared" si="537"/>
        <v/>
      </c>
      <c r="T1343" s="531" t="str">
        <f t="shared" si="544"/>
        <v/>
      </c>
      <c r="U1343" s="533">
        <f t="shared" si="545"/>
        <v>0</v>
      </c>
      <c r="V1343" s="531" t="str">
        <f t="shared" si="546"/>
        <v/>
      </c>
      <c r="W1343" s="531" t="str">
        <f t="shared" si="547"/>
        <v/>
      </c>
      <c r="X1343" s="534" t="str">
        <f t="shared" si="548"/>
        <v/>
      </c>
      <c r="Y1343" s="535" t="str">
        <f>IF($A1343="","",IF($I1343="weekly",$A1343+7,EDATE($A1343,VLOOKUP($I1343,Ref!$B$24:$C$29,2,0))))</f>
        <v/>
      </c>
      <c r="Z1343" s="536" t="str">
        <f t="shared" si="549"/>
        <v/>
      </c>
      <c r="AA1343" s="531">
        <f t="shared" si="550"/>
        <v>0</v>
      </c>
      <c r="AB1343" s="535" t="str">
        <f t="shared" si="538"/>
        <v/>
      </c>
      <c r="AC1343" s="537" t="str">
        <f t="shared" si="539"/>
        <v/>
      </c>
      <c r="AD1343" s="538" t="str">
        <f t="shared" ca="1" si="540"/>
        <v/>
      </c>
      <c r="AE1343" s="537">
        <f t="shared" ca="1" si="541"/>
        <v>0</v>
      </c>
      <c r="AF1343" s="539" t="str">
        <f t="shared" ca="1" si="551"/>
        <v/>
      </c>
      <c r="AG1343" s="531" t="str">
        <f t="shared" ca="1" si="552"/>
        <v/>
      </c>
      <c r="AH1343" s="531" t="str">
        <f t="shared" ca="1" si="553"/>
        <v/>
      </c>
      <c r="AI1343" s="531" t="str">
        <f t="shared" ca="1" si="554"/>
        <v/>
      </c>
      <c r="AJ1343" s="531" t="str">
        <f t="shared" si="555"/>
        <v/>
      </c>
      <c r="AK1343" s="540">
        <f>SUMIFS('Live Collections'!$S:$S,'Live Collections'!$D:$D,Disbursements!B1343,'Live Collections'!$G:$G,Disbursements!C1343)</f>
        <v>0</v>
      </c>
      <c r="AL1343" s="540">
        <f>SUMIFS('Live Collections'!$T:$T,'Live Collections'!$D:$D,Disbursements!B1343,'Live Collections'!$G:$G,Disbursements!C1343)</f>
        <v>0</v>
      </c>
      <c r="AM1343" s="541">
        <f t="shared" si="556"/>
        <v>0</v>
      </c>
      <c r="AN1343" s="542" t="str">
        <f t="shared" si="557"/>
        <v/>
      </c>
      <c r="AO1343" s="542" t="str">
        <f t="shared" si="558"/>
        <v/>
      </c>
      <c r="AP1343" s="543" t="str">
        <f t="shared" si="559"/>
        <v/>
      </c>
      <c r="AQ1343" s="544" t="str">
        <f t="shared" si="560"/>
        <v/>
      </c>
      <c r="AR1343" s="545">
        <f t="shared" si="561"/>
        <v>0</v>
      </c>
      <c r="AS1343" s="545">
        <f>IFERROR(CEILING($AR1343*VLOOKUP($I1343,Ref!$B$23:$E$29,4,0),1),0)</f>
        <v>0</v>
      </c>
      <c r="AT1343" s="545" t="str">
        <f>IF(A1343="","",IF(AP1343&lt;=1,"Cleared",IF(AS1343=0,"Clean",VLOOKUP($AS1343,Ref!$G$23:$H$28,2))))</f>
        <v/>
      </c>
      <c r="AU1343" s="546" t="str">
        <f t="shared" si="562"/>
        <v/>
      </c>
    </row>
    <row r="1344" spans="1:47" ht="14.25" hidden="1" customHeight="1" x14ac:dyDescent="0.15">
      <c r="A1344" s="523"/>
      <c r="B1344" s="523"/>
      <c r="C1344" s="523"/>
      <c r="D1344" s="523"/>
      <c r="E1344" s="579"/>
      <c r="F1344" s="580"/>
      <c r="G1344" s="524"/>
      <c r="H1344" s="555"/>
      <c r="I1344" s="560"/>
      <c r="J1344" s="523"/>
      <c r="K1344" s="528" t="str">
        <f>IFERROR(VLOOKUP($B1344,'Clients-Live'!$A:$C,3,0),"")</f>
        <v/>
      </c>
      <c r="L1344" s="528">
        <f>IF(E1344="STL",Pricing!$D$38,IF(A1344="",0,IF(A1344&lt;Pricing!$C$25,Pricing!$D$25,VLOOKUP(Disbursements!$F1344,Pricing!$B$29:$D$32,3))))</f>
        <v>0</v>
      </c>
      <c r="M1344" s="528">
        <f>IF(E1344="STL",0,IF(F1344&gt;0,Pricing!$D$21,0))</f>
        <v>0</v>
      </c>
      <c r="N1344" s="529">
        <f>IF(E1344="STL",F1344*Pricing!$D$40,IF(A1344&lt;=Pricing!$C$4,0,IF(AND(A1344&gt;Pricing!$C$4,Disbursements!A1344&lt;=Pricing!$C$5),F1344*Pricing!$E$5,IF(AND(A1344&gt;Pricing!$C$5,Disbursements!A1344&lt;=Pricing!$C$7),VLOOKUP(F1344,Pricing!$D$7:$E$8,2)*Disbursements!F1344,F1344*Pricing!$E$9))))</f>
        <v>0</v>
      </c>
      <c r="O1344" s="528">
        <f>IF(E1344="STL",0,IF($F1344&gt;0,$F1344*Pricing!$D$17,0))</f>
        <v>0</v>
      </c>
      <c r="P1344" s="530" t="str">
        <f t="shared" si="542"/>
        <v/>
      </c>
      <c r="Q1344" s="531" t="str">
        <f>IF($A1344="","",$G1344/VLOOKUP($I1344,Ref!$B$23:$D$29,2,0))</f>
        <v/>
      </c>
      <c r="R1344" s="530" t="str">
        <f t="shared" si="543"/>
        <v/>
      </c>
      <c r="S1344" s="532" t="str">
        <f t="shared" si="537"/>
        <v/>
      </c>
      <c r="T1344" s="531" t="str">
        <f t="shared" si="544"/>
        <v/>
      </c>
      <c r="U1344" s="533">
        <f t="shared" si="545"/>
        <v>0</v>
      </c>
      <c r="V1344" s="531" t="str">
        <f t="shared" si="546"/>
        <v/>
      </c>
      <c r="W1344" s="531" t="str">
        <f t="shared" si="547"/>
        <v/>
      </c>
      <c r="X1344" s="534" t="str">
        <f t="shared" si="548"/>
        <v/>
      </c>
      <c r="Y1344" s="535" t="str">
        <f>IF($A1344="","",IF($I1344="weekly",$A1344+7,EDATE($A1344,VLOOKUP($I1344,Ref!$B$24:$C$29,2,0))))</f>
        <v/>
      </c>
      <c r="Z1344" s="536" t="str">
        <f t="shared" si="549"/>
        <v/>
      </c>
      <c r="AA1344" s="531">
        <f t="shared" si="550"/>
        <v>0</v>
      </c>
      <c r="AB1344" s="535" t="str">
        <f t="shared" si="538"/>
        <v/>
      </c>
      <c r="AC1344" s="537" t="str">
        <f t="shared" si="539"/>
        <v/>
      </c>
      <c r="AD1344" s="538" t="str">
        <f t="shared" ca="1" si="540"/>
        <v/>
      </c>
      <c r="AE1344" s="537">
        <f t="shared" ca="1" si="541"/>
        <v>0</v>
      </c>
      <c r="AF1344" s="539" t="str">
        <f t="shared" ca="1" si="551"/>
        <v/>
      </c>
      <c r="AG1344" s="531" t="str">
        <f t="shared" ca="1" si="552"/>
        <v/>
      </c>
      <c r="AH1344" s="531" t="str">
        <f t="shared" ca="1" si="553"/>
        <v/>
      </c>
      <c r="AI1344" s="531" t="str">
        <f t="shared" ca="1" si="554"/>
        <v/>
      </c>
      <c r="AJ1344" s="531" t="str">
        <f t="shared" si="555"/>
        <v/>
      </c>
      <c r="AK1344" s="540">
        <f>SUMIFS('Live Collections'!$S:$S,'Live Collections'!$D:$D,Disbursements!B1344,'Live Collections'!$G:$G,Disbursements!C1344)</f>
        <v>0</v>
      </c>
      <c r="AL1344" s="540">
        <f>SUMIFS('Live Collections'!$T:$T,'Live Collections'!$D:$D,Disbursements!B1344,'Live Collections'!$G:$G,Disbursements!C1344)</f>
        <v>0</v>
      </c>
      <c r="AM1344" s="541">
        <f t="shared" si="556"/>
        <v>0</v>
      </c>
      <c r="AN1344" s="542" t="str">
        <f t="shared" si="557"/>
        <v/>
      </c>
      <c r="AO1344" s="542" t="str">
        <f t="shared" si="558"/>
        <v/>
      </c>
      <c r="AP1344" s="543" t="str">
        <f t="shared" si="559"/>
        <v/>
      </c>
      <c r="AQ1344" s="544" t="str">
        <f t="shared" si="560"/>
        <v/>
      </c>
      <c r="AR1344" s="545">
        <f t="shared" si="561"/>
        <v>0</v>
      </c>
      <c r="AS1344" s="545">
        <f>IFERROR(CEILING($AR1344*VLOOKUP($I1344,Ref!$B$23:$E$29,4,0),1),0)</f>
        <v>0</v>
      </c>
      <c r="AT1344" s="545" t="str">
        <f>IF(A1344="","",IF(AP1344&lt;=1,"Cleared",IF(AS1344=0,"Clean",VLOOKUP($AS1344,Ref!$G$23:$H$28,2))))</f>
        <v/>
      </c>
      <c r="AU1344" s="546" t="str">
        <f t="shared" si="562"/>
        <v/>
      </c>
    </row>
    <row r="1345" spans="1:47" ht="14.25" hidden="1" customHeight="1" x14ac:dyDescent="0.15">
      <c r="A1345" s="523"/>
      <c r="B1345" s="523"/>
      <c r="C1345" s="523"/>
      <c r="D1345" s="523"/>
      <c r="E1345" s="579"/>
      <c r="F1345" s="580"/>
      <c r="G1345" s="524"/>
      <c r="H1345" s="555"/>
      <c r="I1345" s="560"/>
      <c r="J1345" s="523"/>
      <c r="K1345" s="528" t="str">
        <f>IFERROR(VLOOKUP($B1345,'Clients-Live'!$A:$C,3,0),"")</f>
        <v/>
      </c>
      <c r="L1345" s="528">
        <f>IF(E1345="STL",Pricing!$D$38,IF(A1345="",0,IF(A1345&lt;Pricing!$C$25,Pricing!$D$25,VLOOKUP(Disbursements!$F1345,Pricing!$B$29:$D$32,3))))</f>
        <v>0</v>
      </c>
      <c r="M1345" s="528">
        <f>IF(E1345="STL",0,IF(F1345&gt;0,Pricing!$D$21,0))</f>
        <v>0</v>
      </c>
      <c r="N1345" s="529">
        <f>IF(E1345="STL",F1345*Pricing!$D$40,IF(A1345&lt;=Pricing!$C$4,0,IF(AND(A1345&gt;Pricing!$C$4,Disbursements!A1345&lt;=Pricing!$C$5),F1345*Pricing!$E$5,IF(AND(A1345&gt;Pricing!$C$5,Disbursements!A1345&lt;=Pricing!$C$7),VLOOKUP(F1345,Pricing!$D$7:$E$8,2)*Disbursements!F1345,F1345*Pricing!$E$9))))</f>
        <v>0</v>
      </c>
      <c r="O1345" s="528">
        <f>IF(E1345="STL",0,IF($F1345&gt;0,$F1345*Pricing!$D$17,0))</f>
        <v>0</v>
      </c>
      <c r="P1345" s="530" t="str">
        <f t="shared" si="542"/>
        <v/>
      </c>
      <c r="Q1345" s="531" t="str">
        <f>IF($A1345="","",$G1345/VLOOKUP($I1345,Ref!$B$23:$D$29,2,0))</f>
        <v/>
      </c>
      <c r="R1345" s="530" t="str">
        <f t="shared" si="543"/>
        <v/>
      </c>
      <c r="S1345" s="532" t="str">
        <f t="shared" si="537"/>
        <v/>
      </c>
      <c r="T1345" s="531" t="str">
        <f t="shared" si="544"/>
        <v/>
      </c>
      <c r="U1345" s="533">
        <f t="shared" si="545"/>
        <v>0</v>
      </c>
      <c r="V1345" s="531" t="str">
        <f t="shared" si="546"/>
        <v/>
      </c>
      <c r="W1345" s="531" t="str">
        <f t="shared" si="547"/>
        <v/>
      </c>
      <c r="X1345" s="534" t="str">
        <f t="shared" si="548"/>
        <v/>
      </c>
      <c r="Y1345" s="535" t="str">
        <f>IF($A1345="","",IF($I1345="weekly",$A1345+7,EDATE($A1345,VLOOKUP($I1345,Ref!$B$24:$C$29,2,0))))</f>
        <v/>
      </c>
      <c r="Z1345" s="536" t="str">
        <f t="shared" si="549"/>
        <v/>
      </c>
      <c r="AA1345" s="531">
        <f t="shared" si="550"/>
        <v>0</v>
      </c>
      <c r="AB1345" s="535" t="str">
        <f t="shared" si="538"/>
        <v/>
      </c>
      <c r="AC1345" s="537" t="str">
        <f t="shared" si="539"/>
        <v/>
      </c>
      <c r="AD1345" s="538" t="str">
        <f t="shared" ca="1" si="540"/>
        <v/>
      </c>
      <c r="AE1345" s="537">
        <f t="shared" ca="1" si="541"/>
        <v>0</v>
      </c>
      <c r="AF1345" s="539" t="str">
        <f t="shared" ca="1" si="551"/>
        <v/>
      </c>
      <c r="AG1345" s="531" t="str">
        <f t="shared" ca="1" si="552"/>
        <v/>
      </c>
      <c r="AH1345" s="531" t="str">
        <f t="shared" ca="1" si="553"/>
        <v/>
      </c>
      <c r="AI1345" s="531" t="str">
        <f t="shared" ca="1" si="554"/>
        <v/>
      </c>
      <c r="AJ1345" s="531" t="str">
        <f t="shared" si="555"/>
        <v/>
      </c>
      <c r="AK1345" s="540">
        <f>SUMIFS('Live Collections'!$S:$S,'Live Collections'!$D:$D,Disbursements!B1345,'Live Collections'!$G:$G,Disbursements!C1345)</f>
        <v>0</v>
      </c>
      <c r="AL1345" s="540">
        <f>SUMIFS('Live Collections'!$T:$T,'Live Collections'!$D:$D,Disbursements!B1345,'Live Collections'!$G:$G,Disbursements!C1345)</f>
        <v>0</v>
      </c>
      <c r="AM1345" s="541">
        <f t="shared" si="556"/>
        <v>0</v>
      </c>
      <c r="AN1345" s="542" t="str">
        <f t="shared" si="557"/>
        <v/>
      </c>
      <c r="AO1345" s="542" t="str">
        <f t="shared" si="558"/>
        <v/>
      </c>
      <c r="AP1345" s="543" t="str">
        <f t="shared" si="559"/>
        <v/>
      </c>
      <c r="AQ1345" s="544" t="str">
        <f t="shared" si="560"/>
        <v/>
      </c>
      <c r="AR1345" s="545">
        <f t="shared" si="561"/>
        <v>0</v>
      </c>
      <c r="AS1345" s="545">
        <f>IFERROR(CEILING($AR1345*VLOOKUP($I1345,Ref!$B$23:$E$29,4,0),1),0)</f>
        <v>0</v>
      </c>
      <c r="AT1345" s="545" t="str">
        <f>IF(A1345="","",IF(AP1345&lt;=1,"Cleared",IF(AS1345=0,"Clean",VLOOKUP($AS1345,Ref!$G$23:$H$28,2))))</f>
        <v/>
      </c>
      <c r="AU1345" s="546" t="str">
        <f t="shared" si="562"/>
        <v/>
      </c>
    </row>
    <row r="1346" spans="1:47" ht="14.25" hidden="1" customHeight="1" x14ac:dyDescent="0.15">
      <c r="A1346" s="523"/>
      <c r="B1346" s="523"/>
      <c r="C1346" s="523"/>
      <c r="D1346" s="523"/>
      <c r="E1346" s="579"/>
      <c r="F1346" s="580"/>
      <c r="G1346" s="524"/>
      <c r="H1346" s="555"/>
      <c r="I1346" s="560"/>
      <c r="J1346" s="523"/>
      <c r="K1346" s="528" t="str">
        <f>IFERROR(VLOOKUP($B1346,'Clients-Live'!$A:$C,3,0),"")</f>
        <v/>
      </c>
      <c r="L1346" s="528">
        <f>IF(E1346="STL",Pricing!$D$38,IF(A1346="",0,IF(A1346&lt;Pricing!$C$25,Pricing!$D$25,VLOOKUP(Disbursements!$F1346,Pricing!$B$29:$D$32,3))))</f>
        <v>0</v>
      </c>
      <c r="M1346" s="528">
        <f>IF(E1346="STL",0,IF(F1346&gt;0,Pricing!$D$21,0))</f>
        <v>0</v>
      </c>
      <c r="N1346" s="529">
        <f>IF(E1346="STL",F1346*Pricing!$D$40,IF(A1346&lt;=Pricing!$C$4,0,IF(AND(A1346&gt;Pricing!$C$4,Disbursements!A1346&lt;=Pricing!$C$5),F1346*Pricing!$E$5,IF(AND(A1346&gt;Pricing!$C$5,Disbursements!A1346&lt;=Pricing!$C$7),VLOOKUP(F1346,Pricing!$D$7:$E$8,2)*Disbursements!F1346,F1346*Pricing!$E$9))))</f>
        <v>0</v>
      </c>
      <c r="O1346" s="528">
        <f>IF(E1346="STL",0,IF($F1346&gt;0,$F1346*Pricing!$D$17,0))</f>
        <v>0</v>
      </c>
      <c r="P1346" s="530" t="str">
        <f t="shared" si="542"/>
        <v/>
      </c>
      <c r="Q1346" s="531" t="str">
        <f>IF($A1346="","",$G1346/VLOOKUP($I1346,Ref!$B$23:$D$29,2,0))</f>
        <v/>
      </c>
      <c r="R1346" s="530" t="str">
        <f t="shared" si="543"/>
        <v/>
      </c>
      <c r="S1346" s="532" t="str">
        <f t="shared" si="537"/>
        <v/>
      </c>
      <c r="T1346" s="531" t="str">
        <f t="shared" si="544"/>
        <v/>
      </c>
      <c r="U1346" s="533">
        <f t="shared" si="545"/>
        <v>0</v>
      </c>
      <c r="V1346" s="531" t="str">
        <f t="shared" si="546"/>
        <v/>
      </c>
      <c r="W1346" s="531" t="str">
        <f t="shared" si="547"/>
        <v/>
      </c>
      <c r="X1346" s="534" t="str">
        <f t="shared" si="548"/>
        <v/>
      </c>
      <c r="Y1346" s="535" t="str">
        <f>IF($A1346="","",IF($I1346="weekly",$A1346+7,EDATE($A1346,VLOOKUP($I1346,Ref!$B$24:$C$29,2,0))))</f>
        <v/>
      </c>
      <c r="Z1346" s="536" t="str">
        <f t="shared" si="549"/>
        <v/>
      </c>
      <c r="AA1346" s="531">
        <f t="shared" si="550"/>
        <v>0</v>
      </c>
      <c r="AB1346" s="535" t="str">
        <f t="shared" si="538"/>
        <v/>
      </c>
      <c r="AC1346" s="537" t="str">
        <f t="shared" si="539"/>
        <v/>
      </c>
      <c r="AD1346" s="538" t="str">
        <f t="shared" ca="1" si="540"/>
        <v/>
      </c>
      <c r="AE1346" s="537">
        <f t="shared" ca="1" si="541"/>
        <v>0</v>
      </c>
      <c r="AF1346" s="539" t="str">
        <f t="shared" ca="1" si="551"/>
        <v/>
      </c>
      <c r="AG1346" s="531" t="str">
        <f t="shared" ca="1" si="552"/>
        <v/>
      </c>
      <c r="AH1346" s="531" t="str">
        <f t="shared" ca="1" si="553"/>
        <v/>
      </c>
      <c r="AI1346" s="531" t="str">
        <f t="shared" ca="1" si="554"/>
        <v/>
      </c>
      <c r="AJ1346" s="531" t="str">
        <f t="shared" si="555"/>
        <v/>
      </c>
      <c r="AK1346" s="540">
        <f>SUMIFS('Live Collections'!$S:$S,'Live Collections'!$D:$D,Disbursements!B1346,'Live Collections'!$G:$G,Disbursements!C1346)</f>
        <v>0</v>
      </c>
      <c r="AL1346" s="540">
        <f>SUMIFS('Live Collections'!$T:$T,'Live Collections'!$D:$D,Disbursements!B1346,'Live Collections'!$G:$G,Disbursements!C1346)</f>
        <v>0</v>
      </c>
      <c r="AM1346" s="541">
        <f t="shared" si="556"/>
        <v>0</v>
      </c>
      <c r="AN1346" s="542" t="str">
        <f t="shared" si="557"/>
        <v/>
      </c>
      <c r="AO1346" s="542" t="str">
        <f t="shared" si="558"/>
        <v/>
      </c>
      <c r="AP1346" s="543" t="str">
        <f t="shared" si="559"/>
        <v/>
      </c>
      <c r="AQ1346" s="544" t="str">
        <f t="shared" si="560"/>
        <v/>
      </c>
      <c r="AR1346" s="545">
        <f t="shared" si="561"/>
        <v>0</v>
      </c>
      <c r="AS1346" s="545">
        <f>IFERROR(CEILING($AR1346*VLOOKUP($I1346,Ref!$B$23:$E$29,4,0),1),0)</f>
        <v>0</v>
      </c>
      <c r="AT1346" s="545" t="str">
        <f>IF(A1346="","",IF(AP1346&lt;=1,"Cleared",IF(AS1346=0,"Clean",VLOOKUP($AS1346,Ref!$G$23:$H$28,2))))</f>
        <v/>
      </c>
      <c r="AU1346" s="546" t="str">
        <f t="shared" si="562"/>
        <v/>
      </c>
    </row>
    <row r="1347" spans="1:47" ht="14.25" hidden="1" customHeight="1" x14ac:dyDescent="0.15">
      <c r="A1347" s="523"/>
      <c r="B1347" s="523"/>
      <c r="C1347" s="523"/>
      <c r="D1347" s="523"/>
      <c r="E1347" s="579"/>
      <c r="F1347" s="580"/>
      <c r="G1347" s="524"/>
      <c r="H1347" s="555"/>
      <c r="I1347" s="560"/>
      <c r="J1347" s="523"/>
      <c r="K1347" s="528" t="str">
        <f>IFERROR(VLOOKUP($B1347,'Clients-Live'!$A:$C,3,0),"")</f>
        <v/>
      </c>
      <c r="L1347" s="528">
        <f>IF(E1347="STL",Pricing!$D$38,IF(A1347="",0,IF(A1347&lt;Pricing!$C$25,Pricing!$D$25,VLOOKUP(Disbursements!$F1347,Pricing!$B$29:$D$32,3))))</f>
        <v>0</v>
      </c>
      <c r="M1347" s="528">
        <f>IF(E1347="STL",0,IF(F1347&gt;0,Pricing!$D$21,0))</f>
        <v>0</v>
      </c>
      <c r="N1347" s="529">
        <f>IF(E1347="STL",F1347*Pricing!$D$40,IF(A1347&lt;=Pricing!$C$4,0,IF(AND(A1347&gt;Pricing!$C$4,Disbursements!A1347&lt;=Pricing!$C$5),F1347*Pricing!$E$5,IF(AND(A1347&gt;Pricing!$C$5,Disbursements!A1347&lt;=Pricing!$C$7),VLOOKUP(F1347,Pricing!$D$7:$E$8,2)*Disbursements!F1347,F1347*Pricing!$E$9))))</f>
        <v>0</v>
      </c>
      <c r="O1347" s="528">
        <f>IF(E1347="STL",0,IF($F1347&gt;0,$F1347*Pricing!$D$17,0))</f>
        <v>0</v>
      </c>
      <c r="P1347" s="530" t="str">
        <f t="shared" si="542"/>
        <v/>
      </c>
      <c r="Q1347" s="531" t="str">
        <f>IF($A1347="","",$G1347/VLOOKUP($I1347,Ref!$B$23:$D$29,2,0))</f>
        <v/>
      </c>
      <c r="R1347" s="530" t="str">
        <f t="shared" si="543"/>
        <v/>
      </c>
      <c r="S1347" s="532" t="str">
        <f t="shared" si="537"/>
        <v/>
      </c>
      <c r="T1347" s="531" t="str">
        <f t="shared" si="544"/>
        <v/>
      </c>
      <c r="U1347" s="533">
        <f t="shared" si="545"/>
        <v>0</v>
      </c>
      <c r="V1347" s="531" t="str">
        <f t="shared" si="546"/>
        <v/>
      </c>
      <c r="W1347" s="531" t="str">
        <f t="shared" si="547"/>
        <v/>
      </c>
      <c r="X1347" s="534" t="str">
        <f t="shared" si="548"/>
        <v/>
      </c>
      <c r="Y1347" s="535" t="str">
        <f>IF($A1347="","",IF($I1347="weekly",$A1347+7,EDATE($A1347,VLOOKUP($I1347,Ref!$B$24:$C$29,2,0))))</f>
        <v/>
      </c>
      <c r="Z1347" s="536" t="str">
        <f t="shared" si="549"/>
        <v/>
      </c>
      <c r="AA1347" s="531">
        <f t="shared" si="550"/>
        <v>0</v>
      </c>
      <c r="AB1347" s="535" t="str">
        <f t="shared" si="538"/>
        <v/>
      </c>
      <c r="AC1347" s="537" t="str">
        <f t="shared" si="539"/>
        <v/>
      </c>
      <c r="AD1347" s="538" t="str">
        <f t="shared" ca="1" si="540"/>
        <v/>
      </c>
      <c r="AE1347" s="537">
        <f t="shared" ca="1" si="541"/>
        <v>0</v>
      </c>
      <c r="AF1347" s="539" t="str">
        <f t="shared" ca="1" si="551"/>
        <v/>
      </c>
      <c r="AG1347" s="531" t="str">
        <f t="shared" ca="1" si="552"/>
        <v/>
      </c>
      <c r="AH1347" s="531" t="str">
        <f t="shared" ca="1" si="553"/>
        <v/>
      </c>
      <c r="AI1347" s="531" t="str">
        <f t="shared" ca="1" si="554"/>
        <v/>
      </c>
      <c r="AJ1347" s="531" t="str">
        <f t="shared" si="555"/>
        <v/>
      </c>
      <c r="AK1347" s="540">
        <f>SUMIFS('Live Collections'!$S:$S,'Live Collections'!$D:$D,Disbursements!B1347,'Live Collections'!$G:$G,Disbursements!C1347)</f>
        <v>0</v>
      </c>
      <c r="AL1347" s="540">
        <f>SUMIFS('Live Collections'!$T:$T,'Live Collections'!$D:$D,Disbursements!B1347,'Live Collections'!$G:$G,Disbursements!C1347)</f>
        <v>0</v>
      </c>
      <c r="AM1347" s="541">
        <f t="shared" si="556"/>
        <v>0</v>
      </c>
      <c r="AN1347" s="542" t="str">
        <f t="shared" si="557"/>
        <v/>
      </c>
      <c r="AO1347" s="542" t="str">
        <f t="shared" si="558"/>
        <v/>
      </c>
      <c r="AP1347" s="543" t="str">
        <f t="shared" si="559"/>
        <v/>
      </c>
      <c r="AQ1347" s="544" t="str">
        <f t="shared" si="560"/>
        <v/>
      </c>
      <c r="AR1347" s="545">
        <f t="shared" si="561"/>
        <v>0</v>
      </c>
      <c r="AS1347" s="545">
        <f>IFERROR(CEILING($AR1347*VLOOKUP($I1347,Ref!$B$23:$E$29,4,0),1),0)</f>
        <v>0</v>
      </c>
      <c r="AT1347" s="545" t="str">
        <f>IF(A1347="","",IF(AP1347&lt;=1,"Cleared",IF(AS1347=0,"Clean",VLOOKUP($AS1347,Ref!$G$23:$H$28,2))))</f>
        <v/>
      </c>
      <c r="AU1347" s="546" t="str">
        <f t="shared" si="562"/>
        <v/>
      </c>
    </row>
    <row r="1348" spans="1:47" ht="14.25" hidden="1" customHeight="1" x14ac:dyDescent="0.15">
      <c r="A1348" s="523"/>
      <c r="B1348" s="523"/>
      <c r="C1348" s="523"/>
      <c r="D1348" s="523"/>
      <c r="E1348" s="579"/>
      <c r="F1348" s="580"/>
      <c r="G1348" s="524"/>
      <c r="H1348" s="555"/>
      <c r="I1348" s="560"/>
      <c r="J1348" s="523"/>
      <c r="K1348" s="528" t="str">
        <f>IFERROR(VLOOKUP($B1348,'Clients-Live'!$A:$C,3,0),"")</f>
        <v/>
      </c>
      <c r="L1348" s="528">
        <f>IF(E1348="STL",Pricing!$D$38,IF(A1348="",0,IF(A1348&lt;Pricing!$C$25,Pricing!$D$25,VLOOKUP(Disbursements!$F1348,Pricing!$B$29:$D$32,3))))</f>
        <v>0</v>
      </c>
      <c r="M1348" s="528">
        <f>IF(E1348="STL",0,IF(F1348&gt;0,Pricing!$D$21,0))</f>
        <v>0</v>
      </c>
      <c r="N1348" s="529">
        <f>IF(E1348="STL",F1348*Pricing!$D$40,IF(A1348&lt;=Pricing!$C$4,0,IF(AND(A1348&gt;Pricing!$C$4,Disbursements!A1348&lt;=Pricing!$C$5),F1348*Pricing!$E$5,IF(AND(A1348&gt;Pricing!$C$5,Disbursements!A1348&lt;=Pricing!$C$7),VLOOKUP(F1348,Pricing!$D$7:$E$8,2)*Disbursements!F1348,F1348*Pricing!$E$9))))</f>
        <v>0</v>
      </c>
      <c r="O1348" s="528">
        <f>IF(E1348="STL",0,IF($F1348&gt;0,$F1348*Pricing!$D$17,0))</f>
        <v>0</v>
      </c>
      <c r="P1348" s="530" t="str">
        <f t="shared" si="542"/>
        <v/>
      </c>
      <c r="Q1348" s="531" t="str">
        <f>IF($A1348="","",$G1348/VLOOKUP($I1348,Ref!$B$23:$D$29,2,0))</f>
        <v/>
      </c>
      <c r="R1348" s="530" t="str">
        <f t="shared" si="543"/>
        <v/>
      </c>
      <c r="S1348" s="532" t="str">
        <f t="shared" ref="S1348:S1411" si="563">IF($A1348="","",$R1348/$Q1348)</f>
        <v/>
      </c>
      <c r="T1348" s="531" t="str">
        <f t="shared" si="544"/>
        <v/>
      </c>
      <c r="U1348" s="533">
        <f t="shared" si="545"/>
        <v>0</v>
      </c>
      <c r="V1348" s="531" t="str">
        <f t="shared" si="546"/>
        <v/>
      </c>
      <c r="W1348" s="531" t="str">
        <f t="shared" si="547"/>
        <v/>
      </c>
      <c r="X1348" s="534" t="str">
        <f t="shared" si="548"/>
        <v/>
      </c>
      <c r="Y1348" s="535" t="str">
        <f>IF($A1348="","",IF($I1348="weekly",$A1348+7,EDATE($A1348,VLOOKUP($I1348,Ref!$B$24:$C$29,2,0))))</f>
        <v/>
      </c>
      <c r="Z1348" s="536" t="str">
        <f t="shared" si="549"/>
        <v/>
      </c>
      <c r="AA1348" s="531">
        <f t="shared" si="550"/>
        <v>0</v>
      </c>
      <c r="AB1348" s="535" t="str">
        <f t="shared" ref="AB1348:AB1411" si="564">IF($A1348="","",EDATE($A1348,$G1348))</f>
        <v/>
      </c>
      <c r="AC1348" s="537" t="str">
        <f t="shared" ref="AC1348:AC1411" si="565">IFERROR($AB1348-$A1348,"")</f>
        <v/>
      </c>
      <c r="AD1348" s="538" t="str">
        <f t="shared" ref="AD1348:AD1411" ca="1" si="566">IFERROR(IF(TODAY()-$A1348&lt;$AB1348-$A1348,TODAY()-$A1348,"Expired"),"")</f>
        <v/>
      </c>
      <c r="AE1348" s="537">
        <f t="shared" ref="AE1348:AE1411" ca="1" si="567">IFERROR($AC1348-$AD1348,0)</f>
        <v>0</v>
      </c>
      <c r="AF1348" s="539" t="str">
        <f t="shared" ca="1" si="551"/>
        <v/>
      </c>
      <c r="AG1348" s="531" t="str">
        <f t="shared" ca="1" si="552"/>
        <v/>
      </c>
      <c r="AH1348" s="531" t="str">
        <f t="shared" ca="1" si="553"/>
        <v/>
      </c>
      <c r="AI1348" s="531" t="str">
        <f t="shared" ca="1" si="554"/>
        <v/>
      </c>
      <c r="AJ1348" s="531" t="str">
        <f t="shared" si="555"/>
        <v/>
      </c>
      <c r="AK1348" s="540">
        <f>SUMIFS('Live Collections'!$S:$S,'Live Collections'!$D:$D,Disbursements!B1348,'Live Collections'!$G:$G,Disbursements!C1348)</f>
        <v>0</v>
      </c>
      <c r="AL1348" s="540">
        <f>SUMIFS('Live Collections'!$T:$T,'Live Collections'!$D:$D,Disbursements!B1348,'Live Collections'!$G:$G,Disbursements!C1348)</f>
        <v>0</v>
      </c>
      <c r="AM1348" s="541">
        <f t="shared" si="556"/>
        <v>0</v>
      </c>
      <c r="AN1348" s="542" t="str">
        <f t="shared" si="557"/>
        <v/>
      </c>
      <c r="AO1348" s="542" t="str">
        <f t="shared" si="558"/>
        <v/>
      </c>
      <c r="AP1348" s="543" t="str">
        <f t="shared" si="559"/>
        <v/>
      </c>
      <c r="AQ1348" s="544" t="str">
        <f t="shared" si="560"/>
        <v/>
      </c>
      <c r="AR1348" s="545">
        <f t="shared" si="561"/>
        <v>0</v>
      </c>
      <c r="AS1348" s="545">
        <f>IFERROR(CEILING($AR1348*VLOOKUP($I1348,Ref!$B$23:$E$29,4,0),1),0)</f>
        <v>0</v>
      </c>
      <c r="AT1348" s="545" t="str">
        <f>IF(A1348="","",IF(AP1348&lt;=1,"Cleared",IF(AS1348=0,"Clean",VLOOKUP($AS1348,Ref!$G$23:$H$28,2))))</f>
        <v/>
      </c>
      <c r="AU1348" s="546" t="str">
        <f t="shared" si="562"/>
        <v/>
      </c>
    </row>
    <row r="1349" spans="1:47" ht="14.25" hidden="1" customHeight="1" x14ac:dyDescent="0.15">
      <c r="A1349" s="523"/>
      <c r="B1349" s="523"/>
      <c r="C1349" s="523"/>
      <c r="D1349" s="523"/>
      <c r="E1349" s="579"/>
      <c r="F1349" s="580"/>
      <c r="G1349" s="524"/>
      <c r="H1349" s="555"/>
      <c r="I1349" s="560"/>
      <c r="J1349" s="523"/>
      <c r="K1349" s="528" t="str">
        <f>IFERROR(VLOOKUP($B1349,'Clients-Live'!$A:$C,3,0),"")</f>
        <v/>
      </c>
      <c r="L1349" s="528">
        <f>IF(E1349="STL",Pricing!$D$38,IF(A1349="",0,IF(A1349&lt;Pricing!$C$25,Pricing!$D$25,VLOOKUP(Disbursements!$F1349,Pricing!$B$29:$D$32,3))))</f>
        <v>0</v>
      </c>
      <c r="M1349" s="528">
        <f>IF(E1349="STL",0,IF(F1349&gt;0,Pricing!$D$21,0))</f>
        <v>0</v>
      </c>
      <c r="N1349" s="529">
        <f>IF(E1349="STL",F1349*Pricing!$D$40,IF(A1349&lt;=Pricing!$C$4,0,IF(AND(A1349&gt;Pricing!$C$4,Disbursements!A1349&lt;=Pricing!$C$5),F1349*Pricing!$E$5,IF(AND(A1349&gt;Pricing!$C$5,Disbursements!A1349&lt;=Pricing!$C$7),VLOOKUP(F1349,Pricing!$D$7:$E$8,2)*Disbursements!F1349,F1349*Pricing!$E$9))))</f>
        <v>0</v>
      </c>
      <c r="O1349" s="528">
        <f>IF(E1349="STL",0,IF($F1349&gt;0,$F1349*Pricing!$D$17,0))</f>
        <v>0</v>
      </c>
      <c r="P1349" s="530" t="str">
        <f t="shared" ref="P1349:P1412" si="568">IF($A1349="","",$H1349*$F1349*$G1349)</f>
        <v/>
      </c>
      <c r="Q1349" s="531" t="str">
        <f>IF($A1349="","",$G1349/VLOOKUP($I1349,Ref!$B$23:$D$29,2,0))</f>
        <v/>
      </c>
      <c r="R1349" s="530" t="str">
        <f t="shared" ref="R1349:R1412" si="569">IF($A1349="","",$F1349+$P1349)</f>
        <v/>
      </c>
      <c r="S1349" s="532" t="str">
        <f t="shared" si="563"/>
        <v/>
      </c>
      <c r="T1349" s="531" t="str">
        <f t="shared" ref="T1349:T1412" si="570">IF(R1349="","",CEILING(S1349,1000))</f>
        <v/>
      </c>
      <c r="U1349" s="533">
        <f t="shared" ref="U1349:U1412" si="571">IFERROR(T1349*Q1349,0)</f>
        <v>0</v>
      </c>
      <c r="V1349" s="531" t="str">
        <f t="shared" ref="V1349:V1412" si="572">IF(T1349="","",F1349/Q1349)</f>
        <v/>
      </c>
      <c r="W1349" s="531" t="str">
        <f t="shared" ref="W1349:W1412" si="573">IF(T1349="","",T1349-V1349)</f>
        <v/>
      </c>
      <c r="X1349" s="534" t="str">
        <f t="shared" ref="X1349:X1412" si="574">IF(A1349="","",W1349*Q1349)</f>
        <v/>
      </c>
      <c r="Y1349" s="535" t="str">
        <f>IF($A1349="","",IF($I1349="weekly",$A1349+7,EDATE($A1349,VLOOKUP($I1349,Ref!$B$24:$C$29,2,0))))</f>
        <v/>
      </c>
      <c r="Z1349" s="536" t="str">
        <f t="shared" ref="Z1349:Z1412" si="575">IFERROR(CHOOSE(WEEKDAY(Y1349),"Sun","Mon","Tue","Wed","Thu","Frid","Sat"),"")</f>
        <v/>
      </c>
      <c r="AA1349" s="531">
        <f t="shared" ref="AA1349:AA1412" si="576">IFERROR(Y1349-A1349,0)</f>
        <v>0</v>
      </c>
      <c r="AB1349" s="535" t="str">
        <f t="shared" si="564"/>
        <v/>
      </c>
      <c r="AC1349" s="537" t="str">
        <f t="shared" si="565"/>
        <v/>
      </c>
      <c r="AD1349" s="538" t="str">
        <f t="shared" ca="1" si="566"/>
        <v/>
      </c>
      <c r="AE1349" s="537">
        <f t="shared" ca="1" si="567"/>
        <v>0</v>
      </c>
      <c r="AF1349" s="539" t="str">
        <f t="shared" ref="AF1349:AF1412" ca="1" si="577">IFERROR(IF(AD1349="Expired",Q1349,IF(AD1349&gt;AA1349,AD1349/AA1349,0)),"")</f>
        <v/>
      </c>
      <c r="AG1349" s="531" t="str">
        <f t="shared" ref="AG1349:AG1412" ca="1" si="578">IFERROR(AF1349*T1349,"")</f>
        <v/>
      </c>
      <c r="AH1349" s="531" t="str">
        <f t="shared" ref="AH1349:AH1412" ca="1" si="579">IFERROR(AF1349*W1349,"")</f>
        <v/>
      </c>
      <c r="AI1349" s="531" t="str">
        <f t="shared" ref="AI1349:AI1412" ca="1" si="580">IFERROR(AF1349*V1349,"")</f>
        <v/>
      </c>
      <c r="AJ1349" s="531" t="str">
        <f t="shared" ref="AJ1349:AJ1412" si="581">IF(F1349=0,"",U1349-AG1349)</f>
        <v/>
      </c>
      <c r="AK1349" s="540">
        <f>SUMIFS('Live Collections'!$S:$S,'Live Collections'!$D:$D,Disbursements!B1349,'Live Collections'!$G:$G,Disbursements!C1349)</f>
        <v>0</v>
      </c>
      <c r="AL1349" s="540">
        <f>SUMIFS('Live Collections'!$T:$T,'Live Collections'!$D:$D,Disbursements!B1349,'Live Collections'!$G:$G,Disbursements!C1349)</f>
        <v>0</v>
      </c>
      <c r="AM1349" s="541">
        <f t="shared" ref="AM1349:AM1412" si="582">SUM(AK1349:AL1349)</f>
        <v>0</v>
      </c>
      <c r="AN1349" s="542" t="str">
        <f t="shared" ref="AN1349:AN1412" si="583">IFERROR(W1349*Q1349-AK1349,"")</f>
        <v/>
      </c>
      <c r="AO1349" s="542" t="str">
        <f t="shared" ref="AO1349:AO1412" si="584">IF(F1349="","",(F1349-AL1349))</f>
        <v/>
      </c>
      <c r="AP1349" s="543" t="str">
        <f t="shared" ref="AP1349:AP1412" si="585">IF(F1349="","",SUM(AN1349:AO1349))</f>
        <v/>
      </c>
      <c r="AQ1349" s="544" t="str">
        <f t="shared" ref="AQ1349:AQ1412" si="586">IF(AP1349&gt;AJ1349,AP1349-AJ1349,"")</f>
        <v/>
      </c>
      <c r="AR1349" s="545">
        <f t="shared" ref="AR1349:AR1412" si="587">IFERROR(AQ1349/T1349,0)</f>
        <v>0</v>
      </c>
      <c r="AS1349" s="545">
        <f>IFERROR(CEILING($AR1349*VLOOKUP($I1349,Ref!$B$23:$E$29,4,0),1),0)</f>
        <v>0</v>
      </c>
      <c r="AT1349" s="545" t="str">
        <f>IF(A1349="","",IF(AP1349&lt;=1,"Cleared",IF(AS1349=0,"Clean",VLOOKUP($AS1349,Ref!$G$23:$H$28,2))))</f>
        <v/>
      </c>
      <c r="AU1349" s="546" t="str">
        <f t="shared" ref="AU1349:AU1412" si="588">IF(F1349="","",IF(OR(AN1349&lt;0,AO1349&lt;0,AP1349&lt;0),"Error on Entry","Ok"))</f>
        <v/>
      </c>
    </row>
    <row r="1350" spans="1:47" ht="14.25" hidden="1" customHeight="1" x14ac:dyDescent="0.15">
      <c r="A1350" s="523"/>
      <c r="B1350" s="523"/>
      <c r="C1350" s="523"/>
      <c r="D1350" s="523"/>
      <c r="E1350" s="579"/>
      <c r="F1350" s="580"/>
      <c r="G1350" s="524"/>
      <c r="H1350" s="555"/>
      <c r="I1350" s="560"/>
      <c r="J1350" s="523"/>
      <c r="K1350" s="528" t="str">
        <f>IFERROR(VLOOKUP($B1350,'Clients-Live'!$A:$C,3,0),"")</f>
        <v/>
      </c>
      <c r="L1350" s="528">
        <f>IF(E1350="STL",Pricing!$D$38,IF(A1350="",0,IF(A1350&lt;Pricing!$C$25,Pricing!$D$25,VLOOKUP(Disbursements!$F1350,Pricing!$B$29:$D$32,3))))</f>
        <v>0</v>
      </c>
      <c r="M1350" s="528">
        <f>IF(E1350="STL",0,IF(F1350&gt;0,Pricing!$D$21,0))</f>
        <v>0</v>
      </c>
      <c r="N1350" s="529">
        <f>IF(E1350="STL",F1350*Pricing!$D$40,IF(A1350&lt;=Pricing!$C$4,0,IF(AND(A1350&gt;Pricing!$C$4,Disbursements!A1350&lt;=Pricing!$C$5),F1350*Pricing!$E$5,IF(AND(A1350&gt;Pricing!$C$5,Disbursements!A1350&lt;=Pricing!$C$7),VLOOKUP(F1350,Pricing!$D$7:$E$8,2)*Disbursements!F1350,F1350*Pricing!$E$9))))</f>
        <v>0</v>
      </c>
      <c r="O1350" s="528">
        <f>IF(E1350="STL",0,IF($F1350&gt;0,$F1350*Pricing!$D$17,0))</f>
        <v>0</v>
      </c>
      <c r="P1350" s="530" t="str">
        <f t="shared" si="568"/>
        <v/>
      </c>
      <c r="Q1350" s="531" t="str">
        <f>IF($A1350="","",$G1350/VLOOKUP($I1350,Ref!$B$23:$D$29,2,0))</f>
        <v/>
      </c>
      <c r="R1350" s="530" t="str">
        <f t="shared" si="569"/>
        <v/>
      </c>
      <c r="S1350" s="532" t="str">
        <f t="shared" si="563"/>
        <v/>
      </c>
      <c r="T1350" s="531" t="str">
        <f t="shared" si="570"/>
        <v/>
      </c>
      <c r="U1350" s="533">
        <f t="shared" si="571"/>
        <v>0</v>
      </c>
      <c r="V1350" s="531" t="str">
        <f t="shared" si="572"/>
        <v/>
      </c>
      <c r="W1350" s="531" t="str">
        <f t="shared" si="573"/>
        <v/>
      </c>
      <c r="X1350" s="534" t="str">
        <f t="shared" si="574"/>
        <v/>
      </c>
      <c r="Y1350" s="535" t="str">
        <f>IF($A1350="","",IF($I1350="weekly",$A1350+7,EDATE($A1350,VLOOKUP($I1350,Ref!$B$24:$C$29,2,0))))</f>
        <v/>
      </c>
      <c r="Z1350" s="536" t="str">
        <f t="shared" si="575"/>
        <v/>
      </c>
      <c r="AA1350" s="531">
        <f t="shared" si="576"/>
        <v>0</v>
      </c>
      <c r="AB1350" s="535" t="str">
        <f t="shared" si="564"/>
        <v/>
      </c>
      <c r="AC1350" s="537" t="str">
        <f t="shared" si="565"/>
        <v/>
      </c>
      <c r="AD1350" s="538" t="str">
        <f t="shared" ca="1" si="566"/>
        <v/>
      </c>
      <c r="AE1350" s="537">
        <f t="shared" ca="1" si="567"/>
        <v>0</v>
      </c>
      <c r="AF1350" s="539" t="str">
        <f t="shared" ca="1" si="577"/>
        <v/>
      </c>
      <c r="AG1350" s="531" t="str">
        <f t="shared" ca="1" si="578"/>
        <v/>
      </c>
      <c r="AH1350" s="531" t="str">
        <f t="shared" ca="1" si="579"/>
        <v/>
      </c>
      <c r="AI1350" s="531" t="str">
        <f t="shared" ca="1" si="580"/>
        <v/>
      </c>
      <c r="AJ1350" s="531" t="str">
        <f t="shared" si="581"/>
        <v/>
      </c>
      <c r="AK1350" s="540">
        <f>SUMIFS('Live Collections'!$S:$S,'Live Collections'!$D:$D,Disbursements!B1350,'Live Collections'!$G:$G,Disbursements!C1350)</f>
        <v>0</v>
      </c>
      <c r="AL1350" s="540">
        <f>SUMIFS('Live Collections'!$T:$T,'Live Collections'!$D:$D,Disbursements!B1350,'Live Collections'!$G:$G,Disbursements!C1350)</f>
        <v>0</v>
      </c>
      <c r="AM1350" s="541">
        <f t="shared" si="582"/>
        <v>0</v>
      </c>
      <c r="AN1350" s="542" t="str">
        <f t="shared" si="583"/>
        <v/>
      </c>
      <c r="AO1350" s="542" t="str">
        <f t="shared" si="584"/>
        <v/>
      </c>
      <c r="AP1350" s="543" t="str">
        <f t="shared" si="585"/>
        <v/>
      </c>
      <c r="AQ1350" s="544" t="str">
        <f t="shared" si="586"/>
        <v/>
      </c>
      <c r="AR1350" s="545">
        <f t="shared" si="587"/>
        <v>0</v>
      </c>
      <c r="AS1350" s="545">
        <f>IFERROR(CEILING($AR1350*VLOOKUP($I1350,Ref!$B$23:$E$29,4,0),1),0)</f>
        <v>0</v>
      </c>
      <c r="AT1350" s="545" t="str">
        <f>IF(A1350="","",IF(AP1350&lt;=1,"Cleared",IF(AS1350=0,"Clean",VLOOKUP($AS1350,Ref!$G$23:$H$28,2))))</f>
        <v/>
      </c>
      <c r="AU1350" s="546" t="str">
        <f t="shared" si="588"/>
        <v/>
      </c>
    </row>
    <row r="1351" spans="1:47" ht="14.25" hidden="1" customHeight="1" x14ac:dyDescent="0.15">
      <c r="A1351" s="523"/>
      <c r="B1351" s="523"/>
      <c r="C1351" s="523"/>
      <c r="D1351" s="523"/>
      <c r="E1351" s="579"/>
      <c r="F1351" s="580"/>
      <c r="G1351" s="524"/>
      <c r="H1351" s="555"/>
      <c r="I1351" s="560"/>
      <c r="J1351" s="523"/>
      <c r="K1351" s="528" t="str">
        <f>IFERROR(VLOOKUP($B1351,'Clients-Live'!$A:$C,3,0),"")</f>
        <v/>
      </c>
      <c r="L1351" s="528">
        <f>IF(E1351="STL",Pricing!$D$38,IF(A1351="",0,IF(A1351&lt;Pricing!$C$25,Pricing!$D$25,VLOOKUP(Disbursements!$F1351,Pricing!$B$29:$D$32,3))))</f>
        <v>0</v>
      </c>
      <c r="M1351" s="528">
        <f>IF(E1351="STL",0,IF(F1351&gt;0,Pricing!$D$21,0))</f>
        <v>0</v>
      </c>
      <c r="N1351" s="529">
        <f>IF(E1351="STL",F1351*Pricing!$D$40,IF(A1351&lt;=Pricing!$C$4,0,IF(AND(A1351&gt;Pricing!$C$4,Disbursements!A1351&lt;=Pricing!$C$5),F1351*Pricing!$E$5,IF(AND(A1351&gt;Pricing!$C$5,Disbursements!A1351&lt;=Pricing!$C$7),VLOOKUP(F1351,Pricing!$D$7:$E$8,2)*Disbursements!F1351,F1351*Pricing!$E$9))))</f>
        <v>0</v>
      </c>
      <c r="O1351" s="528">
        <f>IF(E1351="STL",0,IF($F1351&gt;0,$F1351*Pricing!$D$17,0))</f>
        <v>0</v>
      </c>
      <c r="P1351" s="530" t="str">
        <f t="shared" si="568"/>
        <v/>
      </c>
      <c r="Q1351" s="531" t="str">
        <f>IF($A1351="","",$G1351/VLOOKUP($I1351,Ref!$B$23:$D$29,2,0))</f>
        <v/>
      </c>
      <c r="R1351" s="530" t="str">
        <f t="shared" si="569"/>
        <v/>
      </c>
      <c r="S1351" s="532" t="str">
        <f t="shared" si="563"/>
        <v/>
      </c>
      <c r="T1351" s="531" t="str">
        <f t="shared" si="570"/>
        <v/>
      </c>
      <c r="U1351" s="533">
        <f t="shared" si="571"/>
        <v>0</v>
      </c>
      <c r="V1351" s="531" t="str">
        <f t="shared" si="572"/>
        <v/>
      </c>
      <c r="W1351" s="531" t="str">
        <f t="shared" si="573"/>
        <v/>
      </c>
      <c r="X1351" s="534" t="str">
        <f t="shared" si="574"/>
        <v/>
      </c>
      <c r="Y1351" s="535" t="str">
        <f>IF($A1351="","",IF($I1351="weekly",$A1351+7,EDATE($A1351,VLOOKUP($I1351,Ref!$B$24:$C$29,2,0))))</f>
        <v/>
      </c>
      <c r="Z1351" s="536" t="str">
        <f t="shared" si="575"/>
        <v/>
      </c>
      <c r="AA1351" s="531">
        <f t="shared" si="576"/>
        <v>0</v>
      </c>
      <c r="AB1351" s="535" t="str">
        <f t="shared" si="564"/>
        <v/>
      </c>
      <c r="AC1351" s="537" t="str">
        <f t="shared" si="565"/>
        <v/>
      </c>
      <c r="AD1351" s="538" t="str">
        <f t="shared" ca="1" si="566"/>
        <v/>
      </c>
      <c r="AE1351" s="537">
        <f t="shared" ca="1" si="567"/>
        <v>0</v>
      </c>
      <c r="AF1351" s="539" t="str">
        <f t="shared" ca="1" si="577"/>
        <v/>
      </c>
      <c r="AG1351" s="531" t="str">
        <f t="shared" ca="1" si="578"/>
        <v/>
      </c>
      <c r="AH1351" s="531" t="str">
        <f t="shared" ca="1" si="579"/>
        <v/>
      </c>
      <c r="AI1351" s="531" t="str">
        <f t="shared" ca="1" si="580"/>
        <v/>
      </c>
      <c r="AJ1351" s="531" t="str">
        <f t="shared" si="581"/>
        <v/>
      </c>
      <c r="AK1351" s="540">
        <f>SUMIFS('Live Collections'!$S:$S,'Live Collections'!$D:$D,Disbursements!B1351,'Live Collections'!$G:$G,Disbursements!C1351)</f>
        <v>0</v>
      </c>
      <c r="AL1351" s="540">
        <f>SUMIFS('Live Collections'!$T:$T,'Live Collections'!$D:$D,Disbursements!B1351,'Live Collections'!$G:$G,Disbursements!C1351)</f>
        <v>0</v>
      </c>
      <c r="AM1351" s="541">
        <f t="shared" si="582"/>
        <v>0</v>
      </c>
      <c r="AN1351" s="542" t="str">
        <f t="shared" si="583"/>
        <v/>
      </c>
      <c r="AO1351" s="542" t="str">
        <f t="shared" si="584"/>
        <v/>
      </c>
      <c r="AP1351" s="543" t="str">
        <f t="shared" si="585"/>
        <v/>
      </c>
      <c r="AQ1351" s="544" t="str">
        <f t="shared" si="586"/>
        <v/>
      </c>
      <c r="AR1351" s="545">
        <f t="shared" si="587"/>
        <v>0</v>
      </c>
      <c r="AS1351" s="545">
        <f>IFERROR(CEILING($AR1351*VLOOKUP($I1351,Ref!$B$23:$E$29,4,0),1),0)</f>
        <v>0</v>
      </c>
      <c r="AT1351" s="545" t="str">
        <f>IF(A1351="","",IF(AP1351&lt;=1,"Cleared",IF(AS1351=0,"Clean",VLOOKUP($AS1351,Ref!$G$23:$H$28,2))))</f>
        <v/>
      </c>
      <c r="AU1351" s="546" t="str">
        <f t="shared" si="588"/>
        <v/>
      </c>
    </row>
    <row r="1352" spans="1:47" ht="14.25" hidden="1" customHeight="1" x14ac:dyDescent="0.15">
      <c r="A1352" s="523"/>
      <c r="B1352" s="523"/>
      <c r="C1352" s="523"/>
      <c r="D1352" s="523"/>
      <c r="E1352" s="579"/>
      <c r="F1352" s="580"/>
      <c r="G1352" s="524"/>
      <c r="H1352" s="555"/>
      <c r="I1352" s="560"/>
      <c r="J1352" s="523"/>
      <c r="K1352" s="528" t="str">
        <f>IFERROR(VLOOKUP($B1352,'Clients-Live'!$A:$C,3,0),"")</f>
        <v/>
      </c>
      <c r="L1352" s="528">
        <f>IF(E1352="STL",Pricing!$D$38,IF(A1352="",0,IF(A1352&lt;Pricing!$C$25,Pricing!$D$25,VLOOKUP(Disbursements!$F1352,Pricing!$B$29:$D$32,3))))</f>
        <v>0</v>
      </c>
      <c r="M1352" s="528">
        <f>IF(E1352="STL",0,IF(F1352&gt;0,Pricing!$D$21,0))</f>
        <v>0</v>
      </c>
      <c r="N1352" s="529">
        <f>IF(E1352="STL",F1352*Pricing!$D$40,IF(A1352&lt;=Pricing!$C$4,0,IF(AND(A1352&gt;Pricing!$C$4,Disbursements!A1352&lt;=Pricing!$C$5),F1352*Pricing!$E$5,IF(AND(A1352&gt;Pricing!$C$5,Disbursements!A1352&lt;=Pricing!$C$7),VLOOKUP(F1352,Pricing!$D$7:$E$8,2)*Disbursements!F1352,F1352*Pricing!$E$9))))</f>
        <v>0</v>
      </c>
      <c r="O1352" s="528">
        <f>IF(E1352="STL",0,IF($F1352&gt;0,$F1352*Pricing!$D$17,0))</f>
        <v>0</v>
      </c>
      <c r="P1352" s="530" t="str">
        <f t="shared" si="568"/>
        <v/>
      </c>
      <c r="Q1352" s="531" t="str">
        <f>IF($A1352="","",$G1352/VLOOKUP($I1352,Ref!$B$23:$D$29,2,0))</f>
        <v/>
      </c>
      <c r="R1352" s="530" t="str">
        <f t="shared" si="569"/>
        <v/>
      </c>
      <c r="S1352" s="532" t="str">
        <f t="shared" si="563"/>
        <v/>
      </c>
      <c r="T1352" s="531" t="str">
        <f t="shared" si="570"/>
        <v/>
      </c>
      <c r="U1352" s="533">
        <f t="shared" si="571"/>
        <v>0</v>
      </c>
      <c r="V1352" s="531" t="str">
        <f t="shared" si="572"/>
        <v/>
      </c>
      <c r="W1352" s="531" t="str">
        <f t="shared" si="573"/>
        <v/>
      </c>
      <c r="X1352" s="534" t="str">
        <f t="shared" si="574"/>
        <v/>
      </c>
      <c r="Y1352" s="535" t="str">
        <f>IF($A1352="","",IF($I1352="weekly",$A1352+7,EDATE($A1352,VLOOKUP($I1352,Ref!$B$24:$C$29,2,0))))</f>
        <v/>
      </c>
      <c r="Z1352" s="536" t="str">
        <f t="shared" si="575"/>
        <v/>
      </c>
      <c r="AA1352" s="531">
        <f t="shared" si="576"/>
        <v>0</v>
      </c>
      <c r="AB1352" s="535" t="str">
        <f t="shared" si="564"/>
        <v/>
      </c>
      <c r="AC1352" s="537" t="str">
        <f t="shared" si="565"/>
        <v/>
      </c>
      <c r="AD1352" s="538" t="str">
        <f t="shared" ca="1" si="566"/>
        <v/>
      </c>
      <c r="AE1352" s="537">
        <f t="shared" ca="1" si="567"/>
        <v>0</v>
      </c>
      <c r="AF1352" s="539" t="str">
        <f t="shared" ca="1" si="577"/>
        <v/>
      </c>
      <c r="AG1352" s="531" t="str">
        <f t="shared" ca="1" si="578"/>
        <v/>
      </c>
      <c r="AH1352" s="531" t="str">
        <f t="shared" ca="1" si="579"/>
        <v/>
      </c>
      <c r="AI1352" s="531" t="str">
        <f t="shared" ca="1" si="580"/>
        <v/>
      </c>
      <c r="AJ1352" s="531" t="str">
        <f t="shared" si="581"/>
        <v/>
      </c>
      <c r="AK1352" s="540">
        <f>SUMIFS('Live Collections'!$S:$S,'Live Collections'!$D:$D,Disbursements!B1352,'Live Collections'!$G:$G,Disbursements!C1352)</f>
        <v>0</v>
      </c>
      <c r="AL1352" s="540">
        <f>SUMIFS('Live Collections'!$T:$T,'Live Collections'!$D:$D,Disbursements!B1352,'Live Collections'!$G:$G,Disbursements!C1352)</f>
        <v>0</v>
      </c>
      <c r="AM1352" s="541">
        <f t="shared" si="582"/>
        <v>0</v>
      </c>
      <c r="AN1352" s="542" t="str">
        <f t="shared" si="583"/>
        <v/>
      </c>
      <c r="AO1352" s="542" t="str">
        <f t="shared" si="584"/>
        <v/>
      </c>
      <c r="AP1352" s="543" t="str">
        <f t="shared" si="585"/>
        <v/>
      </c>
      <c r="AQ1352" s="544" t="str">
        <f t="shared" si="586"/>
        <v/>
      </c>
      <c r="AR1352" s="545">
        <f t="shared" si="587"/>
        <v>0</v>
      </c>
      <c r="AS1352" s="545">
        <f>IFERROR(CEILING($AR1352*VLOOKUP($I1352,Ref!$B$23:$E$29,4,0),1),0)</f>
        <v>0</v>
      </c>
      <c r="AT1352" s="545" t="str">
        <f>IF(A1352="","",IF(AP1352&lt;=1,"Cleared",IF(AS1352=0,"Clean",VLOOKUP($AS1352,Ref!$G$23:$H$28,2))))</f>
        <v/>
      </c>
      <c r="AU1352" s="546" t="str">
        <f t="shared" si="588"/>
        <v/>
      </c>
    </row>
    <row r="1353" spans="1:47" ht="14.25" hidden="1" customHeight="1" x14ac:dyDescent="0.15">
      <c r="A1353" s="523"/>
      <c r="B1353" s="523"/>
      <c r="C1353" s="523"/>
      <c r="D1353" s="523"/>
      <c r="E1353" s="579"/>
      <c r="F1353" s="580"/>
      <c r="G1353" s="524"/>
      <c r="H1353" s="555"/>
      <c r="I1353" s="560"/>
      <c r="J1353" s="523"/>
      <c r="K1353" s="528" t="str">
        <f>IFERROR(VLOOKUP($B1353,'Clients-Live'!$A:$C,3,0),"")</f>
        <v/>
      </c>
      <c r="L1353" s="528">
        <f>IF(E1353="STL",Pricing!$D$38,IF(A1353="",0,IF(A1353&lt;Pricing!$C$25,Pricing!$D$25,VLOOKUP(Disbursements!$F1353,Pricing!$B$29:$D$32,3))))</f>
        <v>0</v>
      </c>
      <c r="M1353" s="528">
        <f>IF(E1353="STL",0,IF(F1353&gt;0,Pricing!$D$21,0))</f>
        <v>0</v>
      </c>
      <c r="N1353" s="529">
        <f>IF(E1353="STL",F1353*Pricing!$D$40,IF(A1353&lt;=Pricing!$C$4,0,IF(AND(A1353&gt;Pricing!$C$4,Disbursements!A1353&lt;=Pricing!$C$5),F1353*Pricing!$E$5,IF(AND(A1353&gt;Pricing!$C$5,Disbursements!A1353&lt;=Pricing!$C$7),VLOOKUP(F1353,Pricing!$D$7:$E$8,2)*Disbursements!F1353,F1353*Pricing!$E$9))))</f>
        <v>0</v>
      </c>
      <c r="O1353" s="528">
        <f>IF(E1353="STL",0,IF($F1353&gt;0,$F1353*Pricing!$D$17,0))</f>
        <v>0</v>
      </c>
      <c r="P1353" s="530" t="str">
        <f t="shared" si="568"/>
        <v/>
      </c>
      <c r="Q1353" s="531" t="str">
        <f>IF($A1353="","",$G1353/VLOOKUP($I1353,Ref!$B$23:$D$29,2,0))</f>
        <v/>
      </c>
      <c r="R1353" s="530" t="str">
        <f t="shared" si="569"/>
        <v/>
      </c>
      <c r="S1353" s="532" t="str">
        <f t="shared" si="563"/>
        <v/>
      </c>
      <c r="T1353" s="531" t="str">
        <f t="shared" si="570"/>
        <v/>
      </c>
      <c r="U1353" s="533">
        <f t="shared" si="571"/>
        <v>0</v>
      </c>
      <c r="V1353" s="531" t="str">
        <f t="shared" si="572"/>
        <v/>
      </c>
      <c r="W1353" s="531" t="str">
        <f t="shared" si="573"/>
        <v/>
      </c>
      <c r="X1353" s="534" t="str">
        <f t="shared" si="574"/>
        <v/>
      </c>
      <c r="Y1353" s="535" t="str">
        <f>IF($A1353="","",IF($I1353="weekly",$A1353+7,EDATE($A1353,VLOOKUP($I1353,Ref!$B$24:$C$29,2,0))))</f>
        <v/>
      </c>
      <c r="Z1353" s="536" t="str">
        <f t="shared" si="575"/>
        <v/>
      </c>
      <c r="AA1353" s="531">
        <f t="shared" si="576"/>
        <v>0</v>
      </c>
      <c r="AB1353" s="535" t="str">
        <f t="shared" si="564"/>
        <v/>
      </c>
      <c r="AC1353" s="537" t="str">
        <f t="shared" si="565"/>
        <v/>
      </c>
      <c r="AD1353" s="538" t="str">
        <f t="shared" ca="1" si="566"/>
        <v/>
      </c>
      <c r="AE1353" s="537">
        <f t="shared" ca="1" si="567"/>
        <v>0</v>
      </c>
      <c r="AF1353" s="539" t="str">
        <f t="shared" ca="1" si="577"/>
        <v/>
      </c>
      <c r="AG1353" s="531" t="str">
        <f t="shared" ca="1" si="578"/>
        <v/>
      </c>
      <c r="AH1353" s="531" t="str">
        <f t="shared" ca="1" si="579"/>
        <v/>
      </c>
      <c r="AI1353" s="531" t="str">
        <f t="shared" ca="1" si="580"/>
        <v/>
      </c>
      <c r="AJ1353" s="531" t="str">
        <f t="shared" si="581"/>
        <v/>
      </c>
      <c r="AK1353" s="540">
        <f>SUMIFS('Live Collections'!$S:$S,'Live Collections'!$D:$D,Disbursements!B1353,'Live Collections'!$G:$G,Disbursements!C1353)</f>
        <v>0</v>
      </c>
      <c r="AL1353" s="540">
        <f>SUMIFS('Live Collections'!$T:$T,'Live Collections'!$D:$D,Disbursements!B1353,'Live Collections'!$G:$G,Disbursements!C1353)</f>
        <v>0</v>
      </c>
      <c r="AM1353" s="541">
        <f t="shared" si="582"/>
        <v>0</v>
      </c>
      <c r="AN1353" s="542" t="str">
        <f t="shared" si="583"/>
        <v/>
      </c>
      <c r="AO1353" s="542" t="str">
        <f t="shared" si="584"/>
        <v/>
      </c>
      <c r="AP1353" s="543" t="str">
        <f t="shared" si="585"/>
        <v/>
      </c>
      <c r="AQ1353" s="544" t="str">
        <f t="shared" si="586"/>
        <v/>
      </c>
      <c r="AR1353" s="545">
        <f t="shared" si="587"/>
        <v>0</v>
      </c>
      <c r="AS1353" s="545">
        <f>IFERROR(CEILING($AR1353*VLOOKUP($I1353,Ref!$B$23:$E$29,4,0),1),0)</f>
        <v>0</v>
      </c>
      <c r="AT1353" s="545" t="str">
        <f>IF(A1353="","",IF(AP1353&lt;=1,"Cleared",IF(AS1353=0,"Clean",VLOOKUP($AS1353,Ref!$G$23:$H$28,2))))</f>
        <v/>
      </c>
      <c r="AU1353" s="546" t="str">
        <f t="shared" si="588"/>
        <v/>
      </c>
    </row>
    <row r="1354" spans="1:47" ht="14.25" hidden="1" customHeight="1" x14ac:dyDescent="0.15">
      <c r="A1354" s="523"/>
      <c r="B1354" s="523"/>
      <c r="C1354" s="523"/>
      <c r="D1354" s="523"/>
      <c r="E1354" s="579"/>
      <c r="F1354" s="580"/>
      <c r="G1354" s="524"/>
      <c r="H1354" s="555"/>
      <c r="I1354" s="560"/>
      <c r="J1354" s="523"/>
      <c r="K1354" s="528" t="str">
        <f>IFERROR(VLOOKUP($B1354,'Clients-Live'!$A:$C,3,0),"")</f>
        <v/>
      </c>
      <c r="L1354" s="528">
        <f>IF(E1354="STL",Pricing!$D$38,IF(A1354="",0,IF(A1354&lt;Pricing!$C$25,Pricing!$D$25,VLOOKUP(Disbursements!$F1354,Pricing!$B$29:$D$32,3))))</f>
        <v>0</v>
      </c>
      <c r="M1354" s="528">
        <f>IF(E1354="STL",0,IF(F1354&gt;0,Pricing!$D$21,0))</f>
        <v>0</v>
      </c>
      <c r="N1354" s="529">
        <f>IF(E1354="STL",F1354*Pricing!$D$40,IF(A1354&lt;=Pricing!$C$4,0,IF(AND(A1354&gt;Pricing!$C$4,Disbursements!A1354&lt;=Pricing!$C$5),F1354*Pricing!$E$5,IF(AND(A1354&gt;Pricing!$C$5,Disbursements!A1354&lt;=Pricing!$C$7),VLOOKUP(F1354,Pricing!$D$7:$E$8,2)*Disbursements!F1354,F1354*Pricing!$E$9))))</f>
        <v>0</v>
      </c>
      <c r="O1354" s="528">
        <f>IF(E1354="STL",0,IF($F1354&gt;0,$F1354*Pricing!$D$17,0))</f>
        <v>0</v>
      </c>
      <c r="P1354" s="530" t="str">
        <f t="shared" si="568"/>
        <v/>
      </c>
      <c r="Q1354" s="531" t="str">
        <f>IF($A1354="","",$G1354/VLOOKUP($I1354,Ref!$B$23:$D$29,2,0))</f>
        <v/>
      </c>
      <c r="R1354" s="530" t="str">
        <f t="shared" si="569"/>
        <v/>
      </c>
      <c r="S1354" s="532" t="str">
        <f t="shared" si="563"/>
        <v/>
      </c>
      <c r="T1354" s="531" t="str">
        <f t="shared" si="570"/>
        <v/>
      </c>
      <c r="U1354" s="533">
        <f t="shared" si="571"/>
        <v>0</v>
      </c>
      <c r="V1354" s="531" t="str">
        <f t="shared" si="572"/>
        <v/>
      </c>
      <c r="W1354" s="531" t="str">
        <f t="shared" si="573"/>
        <v/>
      </c>
      <c r="X1354" s="534" t="str">
        <f t="shared" si="574"/>
        <v/>
      </c>
      <c r="Y1354" s="535" t="str">
        <f>IF($A1354="","",IF($I1354="weekly",$A1354+7,EDATE($A1354,VLOOKUP($I1354,Ref!$B$24:$C$29,2,0))))</f>
        <v/>
      </c>
      <c r="Z1354" s="536" t="str">
        <f t="shared" si="575"/>
        <v/>
      </c>
      <c r="AA1354" s="531">
        <f t="shared" si="576"/>
        <v>0</v>
      </c>
      <c r="AB1354" s="535" t="str">
        <f t="shared" si="564"/>
        <v/>
      </c>
      <c r="AC1354" s="537" t="str">
        <f t="shared" si="565"/>
        <v/>
      </c>
      <c r="AD1354" s="538" t="str">
        <f t="shared" ca="1" si="566"/>
        <v/>
      </c>
      <c r="AE1354" s="537">
        <f t="shared" ca="1" si="567"/>
        <v>0</v>
      </c>
      <c r="AF1354" s="539" t="str">
        <f t="shared" ca="1" si="577"/>
        <v/>
      </c>
      <c r="AG1354" s="531" t="str">
        <f t="shared" ca="1" si="578"/>
        <v/>
      </c>
      <c r="AH1354" s="531" t="str">
        <f t="shared" ca="1" si="579"/>
        <v/>
      </c>
      <c r="AI1354" s="531" t="str">
        <f t="shared" ca="1" si="580"/>
        <v/>
      </c>
      <c r="AJ1354" s="531" t="str">
        <f t="shared" si="581"/>
        <v/>
      </c>
      <c r="AK1354" s="540">
        <f>SUMIFS('Live Collections'!$S:$S,'Live Collections'!$D:$D,Disbursements!B1354,'Live Collections'!$G:$G,Disbursements!C1354)</f>
        <v>0</v>
      </c>
      <c r="AL1354" s="540">
        <f>SUMIFS('Live Collections'!$T:$T,'Live Collections'!$D:$D,Disbursements!B1354,'Live Collections'!$G:$G,Disbursements!C1354)</f>
        <v>0</v>
      </c>
      <c r="AM1354" s="541">
        <f t="shared" si="582"/>
        <v>0</v>
      </c>
      <c r="AN1354" s="542" t="str">
        <f t="shared" si="583"/>
        <v/>
      </c>
      <c r="AO1354" s="542" t="str">
        <f t="shared" si="584"/>
        <v/>
      </c>
      <c r="AP1354" s="543" t="str">
        <f t="shared" si="585"/>
        <v/>
      </c>
      <c r="AQ1354" s="544" t="str">
        <f t="shared" si="586"/>
        <v/>
      </c>
      <c r="AR1354" s="545">
        <f t="shared" si="587"/>
        <v>0</v>
      </c>
      <c r="AS1354" s="545">
        <f>IFERROR(CEILING($AR1354*VLOOKUP($I1354,Ref!$B$23:$E$29,4,0),1),0)</f>
        <v>0</v>
      </c>
      <c r="AT1354" s="545" t="str">
        <f>IF(A1354="","",IF(AP1354&lt;=1,"Cleared",IF(AS1354=0,"Clean",VLOOKUP($AS1354,Ref!$G$23:$H$28,2))))</f>
        <v/>
      </c>
      <c r="AU1354" s="546" t="str">
        <f t="shared" si="588"/>
        <v/>
      </c>
    </row>
    <row r="1355" spans="1:47" ht="14.25" hidden="1" customHeight="1" x14ac:dyDescent="0.15">
      <c r="A1355" s="523"/>
      <c r="B1355" s="523"/>
      <c r="C1355" s="523"/>
      <c r="D1355" s="523"/>
      <c r="E1355" s="579"/>
      <c r="F1355" s="580"/>
      <c r="G1355" s="524"/>
      <c r="H1355" s="555"/>
      <c r="I1355" s="560"/>
      <c r="J1355" s="523"/>
      <c r="K1355" s="528" t="str">
        <f>IFERROR(VLOOKUP($B1355,'Clients-Live'!$A:$C,3,0),"")</f>
        <v/>
      </c>
      <c r="L1355" s="528">
        <f>IF(E1355="STL",Pricing!$D$38,IF(A1355="",0,IF(A1355&lt;Pricing!$C$25,Pricing!$D$25,VLOOKUP(Disbursements!$F1355,Pricing!$B$29:$D$32,3))))</f>
        <v>0</v>
      </c>
      <c r="M1355" s="528">
        <f>IF(E1355="STL",0,IF(F1355&gt;0,Pricing!$D$21,0))</f>
        <v>0</v>
      </c>
      <c r="N1355" s="529">
        <f>IF(E1355="STL",F1355*Pricing!$D$40,IF(A1355&lt;=Pricing!$C$4,0,IF(AND(A1355&gt;Pricing!$C$4,Disbursements!A1355&lt;=Pricing!$C$5),F1355*Pricing!$E$5,IF(AND(A1355&gt;Pricing!$C$5,Disbursements!A1355&lt;=Pricing!$C$7),VLOOKUP(F1355,Pricing!$D$7:$E$8,2)*Disbursements!F1355,F1355*Pricing!$E$9))))</f>
        <v>0</v>
      </c>
      <c r="O1355" s="528">
        <f>IF(E1355="STL",0,IF($F1355&gt;0,$F1355*Pricing!$D$17,0))</f>
        <v>0</v>
      </c>
      <c r="P1355" s="530" t="str">
        <f t="shared" si="568"/>
        <v/>
      </c>
      <c r="Q1355" s="531" t="str">
        <f>IF($A1355="","",$G1355/VLOOKUP($I1355,Ref!$B$23:$D$29,2,0))</f>
        <v/>
      </c>
      <c r="R1355" s="530" t="str">
        <f t="shared" si="569"/>
        <v/>
      </c>
      <c r="S1355" s="532" t="str">
        <f t="shared" si="563"/>
        <v/>
      </c>
      <c r="T1355" s="531" t="str">
        <f t="shared" si="570"/>
        <v/>
      </c>
      <c r="U1355" s="533">
        <f t="shared" si="571"/>
        <v>0</v>
      </c>
      <c r="V1355" s="531" t="str">
        <f t="shared" si="572"/>
        <v/>
      </c>
      <c r="W1355" s="531" t="str">
        <f t="shared" si="573"/>
        <v/>
      </c>
      <c r="X1355" s="534" t="str">
        <f t="shared" si="574"/>
        <v/>
      </c>
      <c r="Y1355" s="535" t="str">
        <f>IF($A1355="","",IF($I1355="weekly",$A1355+7,EDATE($A1355,VLOOKUP($I1355,Ref!$B$24:$C$29,2,0))))</f>
        <v/>
      </c>
      <c r="Z1355" s="536" t="str">
        <f t="shared" si="575"/>
        <v/>
      </c>
      <c r="AA1355" s="531">
        <f t="shared" si="576"/>
        <v>0</v>
      </c>
      <c r="AB1355" s="535" t="str">
        <f t="shared" si="564"/>
        <v/>
      </c>
      <c r="AC1355" s="537" t="str">
        <f t="shared" si="565"/>
        <v/>
      </c>
      <c r="AD1355" s="538" t="str">
        <f t="shared" ca="1" si="566"/>
        <v/>
      </c>
      <c r="AE1355" s="537">
        <f t="shared" ca="1" si="567"/>
        <v>0</v>
      </c>
      <c r="AF1355" s="539" t="str">
        <f t="shared" ca="1" si="577"/>
        <v/>
      </c>
      <c r="AG1355" s="531" t="str">
        <f t="shared" ca="1" si="578"/>
        <v/>
      </c>
      <c r="AH1355" s="531" t="str">
        <f t="shared" ca="1" si="579"/>
        <v/>
      </c>
      <c r="AI1355" s="531" t="str">
        <f t="shared" ca="1" si="580"/>
        <v/>
      </c>
      <c r="AJ1355" s="531" t="str">
        <f t="shared" si="581"/>
        <v/>
      </c>
      <c r="AK1355" s="540">
        <f>SUMIFS('Live Collections'!$S:$S,'Live Collections'!$D:$D,Disbursements!B1355,'Live Collections'!$G:$G,Disbursements!C1355)</f>
        <v>0</v>
      </c>
      <c r="AL1355" s="540">
        <f>SUMIFS('Live Collections'!$T:$T,'Live Collections'!$D:$D,Disbursements!B1355,'Live Collections'!$G:$G,Disbursements!C1355)</f>
        <v>0</v>
      </c>
      <c r="AM1355" s="541">
        <f t="shared" si="582"/>
        <v>0</v>
      </c>
      <c r="AN1355" s="542" t="str">
        <f t="shared" si="583"/>
        <v/>
      </c>
      <c r="AO1355" s="542" t="str">
        <f t="shared" si="584"/>
        <v/>
      </c>
      <c r="AP1355" s="543" t="str">
        <f t="shared" si="585"/>
        <v/>
      </c>
      <c r="AQ1355" s="544" t="str">
        <f t="shared" si="586"/>
        <v/>
      </c>
      <c r="AR1355" s="545">
        <f t="shared" si="587"/>
        <v>0</v>
      </c>
      <c r="AS1355" s="545">
        <f>IFERROR(CEILING($AR1355*VLOOKUP($I1355,Ref!$B$23:$E$29,4,0),1),0)</f>
        <v>0</v>
      </c>
      <c r="AT1355" s="545" t="str">
        <f>IF(A1355="","",IF(AP1355&lt;=1,"Cleared",IF(AS1355=0,"Clean",VLOOKUP($AS1355,Ref!$G$23:$H$28,2))))</f>
        <v/>
      </c>
      <c r="AU1355" s="546" t="str">
        <f t="shared" si="588"/>
        <v/>
      </c>
    </row>
    <row r="1356" spans="1:47" ht="14.25" hidden="1" customHeight="1" x14ac:dyDescent="0.15">
      <c r="A1356" s="523"/>
      <c r="B1356" s="523"/>
      <c r="C1356" s="523"/>
      <c r="D1356" s="523"/>
      <c r="E1356" s="579"/>
      <c r="F1356" s="580"/>
      <c r="G1356" s="524"/>
      <c r="H1356" s="555"/>
      <c r="I1356" s="560"/>
      <c r="J1356" s="523"/>
      <c r="K1356" s="528" t="str">
        <f>IFERROR(VLOOKUP($B1356,'Clients-Live'!$A:$C,3,0),"")</f>
        <v/>
      </c>
      <c r="L1356" s="528">
        <f>IF(E1356="STL",Pricing!$D$38,IF(A1356="",0,IF(A1356&lt;Pricing!$C$25,Pricing!$D$25,VLOOKUP(Disbursements!$F1356,Pricing!$B$29:$D$32,3))))</f>
        <v>0</v>
      </c>
      <c r="M1356" s="528">
        <f>IF(E1356="STL",0,IF(F1356&gt;0,Pricing!$D$21,0))</f>
        <v>0</v>
      </c>
      <c r="N1356" s="529">
        <f>IF(E1356="STL",F1356*Pricing!$D$40,IF(A1356&lt;=Pricing!$C$4,0,IF(AND(A1356&gt;Pricing!$C$4,Disbursements!A1356&lt;=Pricing!$C$5),F1356*Pricing!$E$5,IF(AND(A1356&gt;Pricing!$C$5,Disbursements!A1356&lt;=Pricing!$C$7),VLOOKUP(F1356,Pricing!$D$7:$E$8,2)*Disbursements!F1356,F1356*Pricing!$E$9))))</f>
        <v>0</v>
      </c>
      <c r="O1356" s="528">
        <f>IF(E1356="STL",0,IF($F1356&gt;0,$F1356*Pricing!$D$17,0))</f>
        <v>0</v>
      </c>
      <c r="P1356" s="530" t="str">
        <f t="shared" si="568"/>
        <v/>
      </c>
      <c r="Q1356" s="531" t="str">
        <f>IF($A1356="","",$G1356/VLOOKUP($I1356,Ref!$B$23:$D$29,2,0))</f>
        <v/>
      </c>
      <c r="R1356" s="530" t="str">
        <f t="shared" si="569"/>
        <v/>
      </c>
      <c r="S1356" s="532" t="str">
        <f t="shared" si="563"/>
        <v/>
      </c>
      <c r="T1356" s="531" t="str">
        <f t="shared" si="570"/>
        <v/>
      </c>
      <c r="U1356" s="533">
        <f t="shared" si="571"/>
        <v>0</v>
      </c>
      <c r="V1356" s="531" t="str">
        <f t="shared" si="572"/>
        <v/>
      </c>
      <c r="W1356" s="531" t="str">
        <f t="shared" si="573"/>
        <v/>
      </c>
      <c r="X1356" s="534" t="str">
        <f t="shared" si="574"/>
        <v/>
      </c>
      <c r="Y1356" s="535" t="str">
        <f>IF($A1356="","",IF($I1356="weekly",$A1356+7,EDATE($A1356,VLOOKUP($I1356,Ref!$B$24:$C$29,2,0))))</f>
        <v/>
      </c>
      <c r="Z1356" s="536" t="str">
        <f t="shared" si="575"/>
        <v/>
      </c>
      <c r="AA1356" s="531">
        <f t="shared" si="576"/>
        <v>0</v>
      </c>
      <c r="AB1356" s="535" t="str">
        <f t="shared" si="564"/>
        <v/>
      </c>
      <c r="AC1356" s="537" t="str">
        <f t="shared" si="565"/>
        <v/>
      </c>
      <c r="AD1356" s="538" t="str">
        <f t="shared" ca="1" si="566"/>
        <v/>
      </c>
      <c r="AE1356" s="537">
        <f t="shared" ca="1" si="567"/>
        <v>0</v>
      </c>
      <c r="AF1356" s="539" t="str">
        <f t="shared" ca="1" si="577"/>
        <v/>
      </c>
      <c r="AG1356" s="531" t="str">
        <f t="shared" ca="1" si="578"/>
        <v/>
      </c>
      <c r="AH1356" s="531" t="str">
        <f t="shared" ca="1" si="579"/>
        <v/>
      </c>
      <c r="AI1356" s="531" t="str">
        <f t="shared" ca="1" si="580"/>
        <v/>
      </c>
      <c r="AJ1356" s="531" t="str">
        <f t="shared" si="581"/>
        <v/>
      </c>
      <c r="AK1356" s="540">
        <f>SUMIFS('Live Collections'!$S:$S,'Live Collections'!$D:$D,Disbursements!B1356,'Live Collections'!$G:$G,Disbursements!C1356)</f>
        <v>0</v>
      </c>
      <c r="AL1356" s="540">
        <f>SUMIFS('Live Collections'!$T:$T,'Live Collections'!$D:$D,Disbursements!B1356,'Live Collections'!$G:$G,Disbursements!C1356)</f>
        <v>0</v>
      </c>
      <c r="AM1356" s="541">
        <f t="shared" si="582"/>
        <v>0</v>
      </c>
      <c r="AN1356" s="542" t="str">
        <f t="shared" si="583"/>
        <v/>
      </c>
      <c r="AO1356" s="542" t="str">
        <f t="shared" si="584"/>
        <v/>
      </c>
      <c r="AP1356" s="543" t="str">
        <f t="shared" si="585"/>
        <v/>
      </c>
      <c r="AQ1356" s="544" t="str">
        <f t="shared" si="586"/>
        <v/>
      </c>
      <c r="AR1356" s="545">
        <f t="shared" si="587"/>
        <v>0</v>
      </c>
      <c r="AS1356" s="545">
        <f>IFERROR(CEILING($AR1356*VLOOKUP($I1356,Ref!$B$23:$E$29,4,0),1),0)</f>
        <v>0</v>
      </c>
      <c r="AT1356" s="545" t="str">
        <f>IF(A1356="","",IF(AP1356&lt;=1,"Cleared",IF(AS1356=0,"Clean",VLOOKUP($AS1356,Ref!$G$23:$H$28,2))))</f>
        <v/>
      </c>
      <c r="AU1356" s="546" t="str">
        <f t="shared" si="588"/>
        <v/>
      </c>
    </row>
    <row r="1357" spans="1:47" ht="14.25" hidden="1" customHeight="1" x14ac:dyDescent="0.15">
      <c r="A1357" s="523"/>
      <c r="B1357" s="523"/>
      <c r="C1357" s="523"/>
      <c r="D1357" s="523"/>
      <c r="E1357" s="579"/>
      <c r="F1357" s="580"/>
      <c r="G1357" s="524"/>
      <c r="H1357" s="555"/>
      <c r="I1357" s="560"/>
      <c r="J1357" s="523"/>
      <c r="K1357" s="528" t="str">
        <f>IFERROR(VLOOKUP($B1357,'Clients-Live'!$A:$C,3,0),"")</f>
        <v/>
      </c>
      <c r="L1357" s="528">
        <f>IF(E1357="STL",Pricing!$D$38,IF(A1357="",0,IF(A1357&lt;Pricing!$C$25,Pricing!$D$25,VLOOKUP(Disbursements!$F1357,Pricing!$B$29:$D$32,3))))</f>
        <v>0</v>
      </c>
      <c r="M1357" s="528">
        <f>IF(E1357="STL",0,IF(F1357&gt;0,Pricing!$D$21,0))</f>
        <v>0</v>
      </c>
      <c r="N1357" s="529">
        <f>IF(E1357="STL",F1357*Pricing!$D$40,IF(A1357&lt;=Pricing!$C$4,0,IF(AND(A1357&gt;Pricing!$C$4,Disbursements!A1357&lt;=Pricing!$C$5),F1357*Pricing!$E$5,IF(AND(A1357&gt;Pricing!$C$5,Disbursements!A1357&lt;=Pricing!$C$7),VLOOKUP(F1357,Pricing!$D$7:$E$8,2)*Disbursements!F1357,F1357*Pricing!$E$9))))</f>
        <v>0</v>
      </c>
      <c r="O1357" s="528">
        <f>IF(E1357="STL",0,IF($F1357&gt;0,$F1357*Pricing!$D$17,0))</f>
        <v>0</v>
      </c>
      <c r="P1357" s="530" t="str">
        <f t="shared" si="568"/>
        <v/>
      </c>
      <c r="Q1357" s="531" t="str">
        <f>IF($A1357="","",$G1357/VLOOKUP($I1357,Ref!$B$23:$D$29,2,0))</f>
        <v/>
      </c>
      <c r="R1357" s="530" t="str">
        <f t="shared" si="569"/>
        <v/>
      </c>
      <c r="S1357" s="532" t="str">
        <f t="shared" si="563"/>
        <v/>
      </c>
      <c r="T1357" s="531" t="str">
        <f t="shared" si="570"/>
        <v/>
      </c>
      <c r="U1357" s="533">
        <f t="shared" si="571"/>
        <v>0</v>
      </c>
      <c r="V1357" s="531" t="str">
        <f t="shared" si="572"/>
        <v/>
      </c>
      <c r="W1357" s="531" t="str">
        <f t="shared" si="573"/>
        <v/>
      </c>
      <c r="X1357" s="534" t="str">
        <f t="shared" si="574"/>
        <v/>
      </c>
      <c r="Y1357" s="535" t="str">
        <f>IF($A1357="","",IF($I1357="weekly",$A1357+7,EDATE($A1357,VLOOKUP($I1357,Ref!$B$24:$C$29,2,0))))</f>
        <v/>
      </c>
      <c r="Z1357" s="536" t="str">
        <f t="shared" si="575"/>
        <v/>
      </c>
      <c r="AA1357" s="531">
        <f t="shared" si="576"/>
        <v>0</v>
      </c>
      <c r="AB1357" s="535" t="str">
        <f t="shared" si="564"/>
        <v/>
      </c>
      <c r="AC1357" s="537" t="str">
        <f t="shared" si="565"/>
        <v/>
      </c>
      <c r="AD1357" s="538" t="str">
        <f t="shared" ca="1" si="566"/>
        <v/>
      </c>
      <c r="AE1357" s="537">
        <f t="shared" ca="1" si="567"/>
        <v>0</v>
      </c>
      <c r="AF1357" s="539" t="str">
        <f t="shared" ca="1" si="577"/>
        <v/>
      </c>
      <c r="AG1357" s="531" t="str">
        <f t="shared" ca="1" si="578"/>
        <v/>
      </c>
      <c r="AH1357" s="531" t="str">
        <f t="shared" ca="1" si="579"/>
        <v/>
      </c>
      <c r="AI1357" s="531" t="str">
        <f t="shared" ca="1" si="580"/>
        <v/>
      </c>
      <c r="AJ1357" s="531" t="str">
        <f t="shared" si="581"/>
        <v/>
      </c>
      <c r="AK1357" s="540">
        <f>SUMIFS('Live Collections'!$S:$S,'Live Collections'!$D:$D,Disbursements!B1357,'Live Collections'!$G:$G,Disbursements!C1357)</f>
        <v>0</v>
      </c>
      <c r="AL1357" s="540">
        <f>SUMIFS('Live Collections'!$T:$T,'Live Collections'!$D:$D,Disbursements!B1357,'Live Collections'!$G:$G,Disbursements!C1357)</f>
        <v>0</v>
      </c>
      <c r="AM1357" s="541">
        <f t="shared" si="582"/>
        <v>0</v>
      </c>
      <c r="AN1357" s="542" t="str">
        <f t="shared" si="583"/>
        <v/>
      </c>
      <c r="AO1357" s="542" t="str">
        <f t="shared" si="584"/>
        <v/>
      </c>
      <c r="AP1357" s="543" t="str">
        <f t="shared" si="585"/>
        <v/>
      </c>
      <c r="AQ1357" s="544" t="str">
        <f t="shared" si="586"/>
        <v/>
      </c>
      <c r="AR1357" s="545">
        <f t="shared" si="587"/>
        <v>0</v>
      </c>
      <c r="AS1357" s="545">
        <f>IFERROR(CEILING($AR1357*VLOOKUP($I1357,Ref!$B$23:$E$29,4,0),1),0)</f>
        <v>0</v>
      </c>
      <c r="AT1357" s="545" t="str">
        <f>IF(A1357="","",IF(AP1357&lt;=1,"Cleared",IF(AS1357=0,"Clean",VLOOKUP($AS1357,Ref!$G$23:$H$28,2))))</f>
        <v/>
      </c>
      <c r="AU1357" s="546" t="str">
        <f t="shared" si="588"/>
        <v/>
      </c>
    </row>
    <row r="1358" spans="1:47" ht="14.25" hidden="1" customHeight="1" x14ac:dyDescent="0.15">
      <c r="A1358" s="523"/>
      <c r="B1358" s="523"/>
      <c r="C1358" s="523"/>
      <c r="D1358" s="523"/>
      <c r="E1358" s="579"/>
      <c r="F1358" s="580"/>
      <c r="G1358" s="524"/>
      <c r="H1358" s="555"/>
      <c r="I1358" s="560"/>
      <c r="J1358" s="523"/>
      <c r="K1358" s="528" t="str">
        <f>IFERROR(VLOOKUP($B1358,'Clients-Live'!$A:$C,3,0),"")</f>
        <v/>
      </c>
      <c r="L1358" s="528">
        <f>IF(E1358="STL",Pricing!$D$38,IF(A1358="",0,IF(A1358&lt;Pricing!$C$25,Pricing!$D$25,VLOOKUP(Disbursements!$F1358,Pricing!$B$29:$D$32,3))))</f>
        <v>0</v>
      </c>
      <c r="M1358" s="528">
        <f>IF(E1358="STL",0,IF(F1358&gt;0,Pricing!$D$21,0))</f>
        <v>0</v>
      </c>
      <c r="N1358" s="529">
        <f>IF(E1358="STL",F1358*Pricing!$D$40,IF(A1358&lt;=Pricing!$C$4,0,IF(AND(A1358&gt;Pricing!$C$4,Disbursements!A1358&lt;=Pricing!$C$5),F1358*Pricing!$E$5,IF(AND(A1358&gt;Pricing!$C$5,Disbursements!A1358&lt;=Pricing!$C$7),VLOOKUP(F1358,Pricing!$D$7:$E$8,2)*Disbursements!F1358,F1358*Pricing!$E$9))))</f>
        <v>0</v>
      </c>
      <c r="O1358" s="528">
        <f>IF(E1358="STL",0,IF($F1358&gt;0,$F1358*Pricing!$D$17,0))</f>
        <v>0</v>
      </c>
      <c r="P1358" s="530" t="str">
        <f t="shared" si="568"/>
        <v/>
      </c>
      <c r="Q1358" s="531" t="str">
        <f>IF($A1358="","",$G1358/VLOOKUP($I1358,Ref!$B$23:$D$29,2,0))</f>
        <v/>
      </c>
      <c r="R1358" s="530" t="str">
        <f t="shared" si="569"/>
        <v/>
      </c>
      <c r="S1358" s="532" t="str">
        <f t="shared" si="563"/>
        <v/>
      </c>
      <c r="T1358" s="531" t="str">
        <f t="shared" si="570"/>
        <v/>
      </c>
      <c r="U1358" s="533">
        <f t="shared" si="571"/>
        <v>0</v>
      </c>
      <c r="V1358" s="531" t="str">
        <f t="shared" si="572"/>
        <v/>
      </c>
      <c r="W1358" s="531" t="str">
        <f t="shared" si="573"/>
        <v/>
      </c>
      <c r="X1358" s="534" t="str">
        <f t="shared" si="574"/>
        <v/>
      </c>
      <c r="Y1358" s="535" t="str">
        <f>IF($A1358="","",IF($I1358="weekly",$A1358+7,EDATE($A1358,VLOOKUP($I1358,Ref!$B$24:$C$29,2,0))))</f>
        <v/>
      </c>
      <c r="Z1358" s="536" t="str">
        <f t="shared" si="575"/>
        <v/>
      </c>
      <c r="AA1358" s="531">
        <f t="shared" si="576"/>
        <v>0</v>
      </c>
      <c r="AB1358" s="535" t="str">
        <f t="shared" si="564"/>
        <v/>
      </c>
      <c r="AC1358" s="537" t="str">
        <f t="shared" si="565"/>
        <v/>
      </c>
      <c r="AD1358" s="538" t="str">
        <f t="shared" ca="1" si="566"/>
        <v/>
      </c>
      <c r="AE1358" s="537">
        <f t="shared" ca="1" si="567"/>
        <v>0</v>
      </c>
      <c r="AF1358" s="539" t="str">
        <f t="shared" ca="1" si="577"/>
        <v/>
      </c>
      <c r="AG1358" s="531" t="str">
        <f t="shared" ca="1" si="578"/>
        <v/>
      </c>
      <c r="AH1358" s="531" t="str">
        <f t="shared" ca="1" si="579"/>
        <v/>
      </c>
      <c r="AI1358" s="531" t="str">
        <f t="shared" ca="1" si="580"/>
        <v/>
      </c>
      <c r="AJ1358" s="531" t="str">
        <f t="shared" si="581"/>
        <v/>
      </c>
      <c r="AK1358" s="540">
        <f>SUMIFS('Live Collections'!$S:$S,'Live Collections'!$D:$D,Disbursements!B1358,'Live Collections'!$G:$G,Disbursements!C1358)</f>
        <v>0</v>
      </c>
      <c r="AL1358" s="540">
        <f>SUMIFS('Live Collections'!$T:$T,'Live Collections'!$D:$D,Disbursements!B1358,'Live Collections'!$G:$G,Disbursements!C1358)</f>
        <v>0</v>
      </c>
      <c r="AM1358" s="541">
        <f t="shared" si="582"/>
        <v>0</v>
      </c>
      <c r="AN1358" s="542" t="str">
        <f t="shared" si="583"/>
        <v/>
      </c>
      <c r="AO1358" s="542" t="str">
        <f t="shared" si="584"/>
        <v/>
      </c>
      <c r="AP1358" s="543" t="str">
        <f t="shared" si="585"/>
        <v/>
      </c>
      <c r="AQ1358" s="544" t="str">
        <f t="shared" si="586"/>
        <v/>
      </c>
      <c r="AR1358" s="545">
        <f t="shared" si="587"/>
        <v>0</v>
      </c>
      <c r="AS1358" s="545">
        <f>IFERROR(CEILING($AR1358*VLOOKUP($I1358,Ref!$B$23:$E$29,4,0),1),0)</f>
        <v>0</v>
      </c>
      <c r="AT1358" s="545" t="str">
        <f>IF(A1358="","",IF(AP1358&lt;=1,"Cleared",IF(AS1358=0,"Clean",VLOOKUP($AS1358,Ref!$G$23:$H$28,2))))</f>
        <v/>
      </c>
      <c r="AU1358" s="546" t="str">
        <f t="shared" si="588"/>
        <v/>
      </c>
    </row>
    <row r="1359" spans="1:47" ht="14.25" hidden="1" customHeight="1" x14ac:dyDescent="0.15">
      <c r="A1359" s="523"/>
      <c r="B1359" s="523"/>
      <c r="C1359" s="523"/>
      <c r="D1359" s="523"/>
      <c r="E1359" s="579"/>
      <c r="F1359" s="580"/>
      <c r="G1359" s="524"/>
      <c r="H1359" s="555"/>
      <c r="I1359" s="560"/>
      <c r="J1359" s="523"/>
      <c r="K1359" s="528" t="str">
        <f>IFERROR(VLOOKUP($B1359,'Clients-Live'!$A:$C,3,0),"")</f>
        <v/>
      </c>
      <c r="L1359" s="528">
        <f>IF(E1359="STL",Pricing!$D$38,IF(A1359="",0,IF(A1359&lt;Pricing!$C$25,Pricing!$D$25,VLOOKUP(Disbursements!$F1359,Pricing!$B$29:$D$32,3))))</f>
        <v>0</v>
      </c>
      <c r="M1359" s="528">
        <f>IF(E1359="STL",0,IF(F1359&gt;0,Pricing!$D$21,0))</f>
        <v>0</v>
      </c>
      <c r="N1359" s="529">
        <f>IF(E1359="STL",F1359*Pricing!$D$40,IF(A1359&lt;=Pricing!$C$4,0,IF(AND(A1359&gt;Pricing!$C$4,Disbursements!A1359&lt;=Pricing!$C$5),F1359*Pricing!$E$5,IF(AND(A1359&gt;Pricing!$C$5,Disbursements!A1359&lt;=Pricing!$C$7),VLOOKUP(F1359,Pricing!$D$7:$E$8,2)*Disbursements!F1359,F1359*Pricing!$E$9))))</f>
        <v>0</v>
      </c>
      <c r="O1359" s="528">
        <f>IF(E1359="STL",0,IF($F1359&gt;0,$F1359*Pricing!$D$17,0))</f>
        <v>0</v>
      </c>
      <c r="P1359" s="530" t="str">
        <f t="shared" si="568"/>
        <v/>
      </c>
      <c r="Q1359" s="531" t="str">
        <f>IF($A1359="","",$G1359/VLOOKUP($I1359,Ref!$B$23:$D$29,2,0))</f>
        <v/>
      </c>
      <c r="R1359" s="530" t="str">
        <f t="shared" si="569"/>
        <v/>
      </c>
      <c r="S1359" s="532" t="str">
        <f t="shared" si="563"/>
        <v/>
      </c>
      <c r="T1359" s="531" t="str">
        <f t="shared" si="570"/>
        <v/>
      </c>
      <c r="U1359" s="533">
        <f t="shared" si="571"/>
        <v>0</v>
      </c>
      <c r="V1359" s="531" t="str">
        <f t="shared" si="572"/>
        <v/>
      </c>
      <c r="W1359" s="531" t="str">
        <f t="shared" si="573"/>
        <v/>
      </c>
      <c r="X1359" s="534" t="str">
        <f t="shared" si="574"/>
        <v/>
      </c>
      <c r="Y1359" s="535" t="str">
        <f>IF($A1359="","",IF($I1359="weekly",$A1359+7,EDATE($A1359,VLOOKUP($I1359,Ref!$B$24:$C$29,2,0))))</f>
        <v/>
      </c>
      <c r="Z1359" s="536" t="str">
        <f t="shared" si="575"/>
        <v/>
      </c>
      <c r="AA1359" s="531">
        <f t="shared" si="576"/>
        <v>0</v>
      </c>
      <c r="AB1359" s="535" t="str">
        <f t="shared" si="564"/>
        <v/>
      </c>
      <c r="AC1359" s="537" t="str">
        <f t="shared" si="565"/>
        <v/>
      </c>
      <c r="AD1359" s="538" t="str">
        <f t="shared" ca="1" si="566"/>
        <v/>
      </c>
      <c r="AE1359" s="537">
        <f t="shared" ca="1" si="567"/>
        <v>0</v>
      </c>
      <c r="AF1359" s="539" t="str">
        <f t="shared" ca="1" si="577"/>
        <v/>
      </c>
      <c r="AG1359" s="531" t="str">
        <f t="shared" ca="1" si="578"/>
        <v/>
      </c>
      <c r="AH1359" s="531" t="str">
        <f t="shared" ca="1" si="579"/>
        <v/>
      </c>
      <c r="AI1359" s="531" t="str">
        <f t="shared" ca="1" si="580"/>
        <v/>
      </c>
      <c r="AJ1359" s="531" t="str">
        <f t="shared" si="581"/>
        <v/>
      </c>
      <c r="AK1359" s="540">
        <f>SUMIFS('Live Collections'!$S:$S,'Live Collections'!$D:$D,Disbursements!B1359,'Live Collections'!$G:$G,Disbursements!C1359)</f>
        <v>0</v>
      </c>
      <c r="AL1359" s="540">
        <f>SUMIFS('Live Collections'!$T:$T,'Live Collections'!$D:$D,Disbursements!B1359,'Live Collections'!$G:$G,Disbursements!C1359)</f>
        <v>0</v>
      </c>
      <c r="AM1359" s="541">
        <f t="shared" si="582"/>
        <v>0</v>
      </c>
      <c r="AN1359" s="542" t="str">
        <f t="shared" si="583"/>
        <v/>
      </c>
      <c r="AO1359" s="542" t="str">
        <f t="shared" si="584"/>
        <v/>
      </c>
      <c r="AP1359" s="543" t="str">
        <f t="shared" si="585"/>
        <v/>
      </c>
      <c r="AQ1359" s="544" t="str">
        <f t="shared" si="586"/>
        <v/>
      </c>
      <c r="AR1359" s="545">
        <f t="shared" si="587"/>
        <v>0</v>
      </c>
      <c r="AS1359" s="545">
        <f>IFERROR(CEILING($AR1359*VLOOKUP($I1359,Ref!$B$23:$E$29,4,0),1),0)</f>
        <v>0</v>
      </c>
      <c r="AT1359" s="545" t="str">
        <f>IF(A1359="","",IF(AP1359&lt;=1,"Cleared",IF(AS1359=0,"Clean",VLOOKUP($AS1359,Ref!$G$23:$H$28,2))))</f>
        <v/>
      </c>
      <c r="AU1359" s="546" t="str">
        <f t="shared" si="588"/>
        <v/>
      </c>
    </row>
    <row r="1360" spans="1:47" ht="14.25" hidden="1" customHeight="1" x14ac:dyDescent="0.15">
      <c r="A1360" s="523"/>
      <c r="B1360" s="523"/>
      <c r="C1360" s="523"/>
      <c r="D1360" s="523"/>
      <c r="E1360" s="579"/>
      <c r="F1360" s="580"/>
      <c r="G1360" s="524"/>
      <c r="H1360" s="555"/>
      <c r="I1360" s="560"/>
      <c r="J1360" s="523"/>
      <c r="K1360" s="528" t="str">
        <f>IFERROR(VLOOKUP($B1360,'Clients-Live'!$A:$C,3,0),"")</f>
        <v/>
      </c>
      <c r="L1360" s="528">
        <f>IF(E1360="STL",Pricing!$D$38,IF(A1360="",0,IF(A1360&lt;Pricing!$C$25,Pricing!$D$25,VLOOKUP(Disbursements!$F1360,Pricing!$B$29:$D$32,3))))</f>
        <v>0</v>
      </c>
      <c r="M1360" s="528">
        <f>IF(E1360="STL",0,IF(F1360&gt;0,Pricing!$D$21,0))</f>
        <v>0</v>
      </c>
      <c r="N1360" s="529">
        <f>IF(E1360="STL",F1360*Pricing!$D$40,IF(A1360&lt;=Pricing!$C$4,0,IF(AND(A1360&gt;Pricing!$C$4,Disbursements!A1360&lt;=Pricing!$C$5),F1360*Pricing!$E$5,IF(AND(A1360&gt;Pricing!$C$5,Disbursements!A1360&lt;=Pricing!$C$7),VLOOKUP(F1360,Pricing!$D$7:$E$8,2)*Disbursements!F1360,F1360*Pricing!$E$9))))</f>
        <v>0</v>
      </c>
      <c r="O1360" s="528">
        <f>IF(E1360="STL",0,IF($F1360&gt;0,$F1360*Pricing!$D$17,0))</f>
        <v>0</v>
      </c>
      <c r="P1360" s="530" t="str">
        <f t="shared" si="568"/>
        <v/>
      </c>
      <c r="Q1360" s="531" t="str">
        <f>IF($A1360="","",$G1360/VLOOKUP($I1360,Ref!$B$23:$D$29,2,0))</f>
        <v/>
      </c>
      <c r="R1360" s="530" t="str">
        <f t="shared" si="569"/>
        <v/>
      </c>
      <c r="S1360" s="532" t="str">
        <f t="shared" si="563"/>
        <v/>
      </c>
      <c r="T1360" s="531" t="str">
        <f t="shared" si="570"/>
        <v/>
      </c>
      <c r="U1360" s="533">
        <f t="shared" si="571"/>
        <v>0</v>
      </c>
      <c r="V1360" s="531" t="str">
        <f t="shared" si="572"/>
        <v/>
      </c>
      <c r="W1360" s="531" t="str">
        <f t="shared" si="573"/>
        <v/>
      </c>
      <c r="X1360" s="534" t="str">
        <f t="shared" si="574"/>
        <v/>
      </c>
      <c r="Y1360" s="535" t="str">
        <f>IF($A1360="","",IF($I1360="weekly",$A1360+7,EDATE($A1360,VLOOKUP($I1360,Ref!$B$24:$C$29,2,0))))</f>
        <v/>
      </c>
      <c r="Z1360" s="536" t="str">
        <f t="shared" si="575"/>
        <v/>
      </c>
      <c r="AA1360" s="531">
        <f t="shared" si="576"/>
        <v>0</v>
      </c>
      <c r="AB1360" s="535" t="str">
        <f t="shared" si="564"/>
        <v/>
      </c>
      <c r="AC1360" s="537" t="str">
        <f t="shared" si="565"/>
        <v/>
      </c>
      <c r="AD1360" s="538" t="str">
        <f t="shared" ca="1" si="566"/>
        <v/>
      </c>
      <c r="AE1360" s="537">
        <f t="shared" ca="1" si="567"/>
        <v>0</v>
      </c>
      <c r="AF1360" s="539" t="str">
        <f t="shared" ca="1" si="577"/>
        <v/>
      </c>
      <c r="AG1360" s="531" t="str">
        <f t="shared" ca="1" si="578"/>
        <v/>
      </c>
      <c r="AH1360" s="531" t="str">
        <f t="shared" ca="1" si="579"/>
        <v/>
      </c>
      <c r="AI1360" s="531" t="str">
        <f t="shared" ca="1" si="580"/>
        <v/>
      </c>
      <c r="AJ1360" s="531" t="str">
        <f t="shared" si="581"/>
        <v/>
      </c>
      <c r="AK1360" s="540">
        <f>SUMIFS('Live Collections'!$S:$S,'Live Collections'!$D:$D,Disbursements!B1360,'Live Collections'!$G:$G,Disbursements!C1360)</f>
        <v>0</v>
      </c>
      <c r="AL1360" s="540">
        <f>SUMIFS('Live Collections'!$T:$T,'Live Collections'!$D:$D,Disbursements!B1360,'Live Collections'!$G:$G,Disbursements!C1360)</f>
        <v>0</v>
      </c>
      <c r="AM1360" s="541">
        <f t="shared" si="582"/>
        <v>0</v>
      </c>
      <c r="AN1360" s="542" t="str">
        <f t="shared" si="583"/>
        <v/>
      </c>
      <c r="AO1360" s="542" t="str">
        <f t="shared" si="584"/>
        <v/>
      </c>
      <c r="AP1360" s="543" t="str">
        <f t="shared" si="585"/>
        <v/>
      </c>
      <c r="AQ1360" s="544" t="str">
        <f t="shared" si="586"/>
        <v/>
      </c>
      <c r="AR1360" s="545">
        <f t="shared" si="587"/>
        <v>0</v>
      </c>
      <c r="AS1360" s="545">
        <f>IFERROR(CEILING($AR1360*VLOOKUP($I1360,Ref!$B$23:$E$29,4,0),1),0)</f>
        <v>0</v>
      </c>
      <c r="AT1360" s="545" t="str">
        <f>IF(A1360="","",IF(AP1360&lt;=1,"Cleared",IF(AS1360=0,"Clean",VLOOKUP($AS1360,Ref!$G$23:$H$28,2))))</f>
        <v/>
      </c>
      <c r="AU1360" s="546" t="str">
        <f t="shared" si="588"/>
        <v/>
      </c>
    </row>
    <row r="1361" spans="1:47" ht="14.25" hidden="1" customHeight="1" x14ac:dyDescent="0.15">
      <c r="A1361" s="523"/>
      <c r="B1361" s="523"/>
      <c r="C1361" s="523"/>
      <c r="D1361" s="523"/>
      <c r="E1361" s="579"/>
      <c r="F1361" s="580"/>
      <c r="G1361" s="524"/>
      <c r="H1361" s="555"/>
      <c r="I1361" s="560"/>
      <c r="J1361" s="523"/>
      <c r="K1361" s="528" t="str">
        <f>IFERROR(VLOOKUP($B1361,'Clients-Live'!$A:$C,3,0),"")</f>
        <v/>
      </c>
      <c r="L1361" s="528">
        <f>IF(E1361="STL",Pricing!$D$38,IF(A1361="",0,IF(A1361&lt;Pricing!$C$25,Pricing!$D$25,VLOOKUP(Disbursements!$F1361,Pricing!$B$29:$D$32,3))))</f>
        <v>0</v>
      </c>
      <c r="M1361" s="528">
        <f>IF(E1361="STL",0,IF(F1361&gt;0,Pricing!$D$21,0))</f>
        <v>0</v>
      </c>
      <c r="N1361" s="529">
        <f>IF(E1361="STL",F1361*Pricing!$D$40,IF(A1361&lt;=Pricing!$C$4,0,IF(AND(A1361&gt;Pricing!$C$4,Disbursements!A1361&lt;=Pricing!$C$5),F1361*Pricing!$E$5,IF(AND(A1361&gt;Pricing!$C$5,Disbursements!A1361&lt;=Pricing!$C$7),VLOOKUP(F1361,Pricing!$D$7:$E$8,2)*Disbursements!F1361,F1361*Pricing!$E$9))))</f>
        <v>0</v>
      </c>
      <c r="O1361" s="528">
        <f>IF(E1361="STL",0,IF($F1361&gt;0,$F1361*Pricing!$D$17,0))</f>
        <v>0</v>
      </c>
      <c r="P1361" s="530" t="str">
        <f t="shared" si="568"/>
        <v/>
      </c>
      <c r="Q1361" s="531" t="str">
        <f>IF($A1361="","",$G1361/VLOOKUP($I1361,Ref!$B$23:$D$29,2,0))</f>
        <v/>
      </c>
      <c r="R1361" s="530" t="str">
        <f t="shared" si="569"/>
        <v/>
      </c>
      <c r="S1361" s="532" t="str">
        <f t="shared" si="563"/>
        <v/>
      </c>
      <c r="T1361" s="531" t="str">
        <f t="shared" si="570"/>
        <v/>
      </c>
      <c r="U1361" s="533">
        <f t="shared" si="571"/>
        <v>0</v>
      </c>
      <c r="V1361" s="531" t="str">
        <f t="shared" si="572"/>
        <v/>
      </c>
      <c r="W1361" s="531" t="str">
        <f t="shared" si="573"/>
        <v/>
      </c>
      <c r="X1361" s="534" t="str">
        <f t="shared" si="574"/>
        <v/>
      </c>
      <c r="Y1361" s="535" t="str">
        <f>IF($A1361="","",IF($I1361="weekly",$A1361+7,EDATE($A1361,VLOOKUP($I1361,Ref!$B$24:$C$29,2,0))))</f>
        <v/>
      </c>
      <c r="Z1361" s="536" t="str">
        <f t="shared" si="575"/>
        <v/>
      </c>
      <c r="AA1361" s="531">
        <f t="shared" si="576"/>
        <v>0</v>
      </c>
      <c r="AB1361" s="535" t="str">
        <f t="shared" si="564"/>
        <v/>
      </c>
      <c r="AC1361" s="537" t="str">
        <f t="shared" si="565"/>
        <v/>
      </c>
      <c r="AD1361" s="538" t="str">
        <f t="shared" ca="1" si="566"/>
        <v/>
      </c>
      <c r="AE1361" s="537">
        <f t="shared" ca="1" si="567"/>
        <v>0</v>
      </c>
      <c r="AF1361" s="539" t="str">
        <f t="shared" ca="1" si="577"/>
        <v/>
      </c>
      <c r="AG1361" s="531" t="str">
        <f t="shared" ca="1" si="578"/>
        <v/>
      </c>
      <c r="AH1361" s="531" t="str">
        <f t="shared" ca="1" si="579"/>
        <v/>
      </c>
      <c r="AI1361" s="531" t="str">
        <f t="shared" ca="1" si="580"/>
        <v/>
      </c>
      <c r="AJ1361" s="531" t="str">
        <f t="shared" si="581"/>
        <v/>
      </c>
      <c r="AK1361" s="540">
        <f>SUMIFS('Live Collections'!$S:$S,'Live Collections'!$D:$D,Disbursements!B1361,'Live Collections'!$G:$G,Disbursements!C1361)</f>
        <v>0</v>
      </c>
      <c r="AL1361" s="540">
        <f>SUMIFS('Live Collections'!$T:$T,'Live Collections'!$D:$D,Disbursements!B1361,'Live Collections'!$G:$G,Disbursements!C1361)</f>
        <v>0</v>
      </c>
      <c r="AM1361" s="541">
        <f t="shared" si="582"/>
        <v>0</v>
      </c>
      <c r="AN1361" s="542" t="str">
        <f t="shared" si="583"/>
        <v/>
      </c>
      <c r="AO1361" s="542" t="str">
        <f t="shared" si="584"/>
        <v/>
      </c>
      <c r="AP1361" s="543" t="str">
        <f t="shared" si="585"/>
        <v/>
      </c>
      <c r="AQ1361" s="544" t="str">
        <f t="shared" si="586"/>
        <v/>
      </c>
      <c r="AR1361" s="545">
        <f t="shared" si="587"/>
        <v>0</v>
      </c>
      <c r="AS1361" s="545">
        <f>IFERROR(CEILING($AR1361*VLOOKUP($I1361,Ref!$B$23:$E$29,4,0),1),0)</f>
        <v>0</v>
      </c>
      <c r="AT1361" s="545" t="str">
        <f>IF(A1361="","",IF(AP1361&lt;=1,"Cleared",IF(AS1361=0,"Clean",VLOOKUP($AS1361,Ref!$G$23:$H$28,2))))</f>
        <v/>
      </c>
      <c r="AU1361" s="546" t="str">
        <f t="shared" si="588"/>
        <v/>
      </c>
    </row>
    <row r="1362" spans="1:47" ht="14.25" hidden="1" customHeight="1" x14ac:dyDescent="0.15">
      <c r="A1362" s="523"/>
      <c r="B1362" s="523"/>
      <c r="C1362" s="523"/>
      <c r="D1362" s="523"/>
      <c r="E1362" s="579"/>
      <c r="F1362" s="580"/>
      <c r="G1362" s="524"/>
      <c r="H1362" s="555"/>
      <c r="I1362" s="560"/>
      <c r="J1362" s="523"/>
      <c r="K1362" s="528" t="str">
        <f>IFERROR(VLOOKUP($B1362,'Clients-Live'!$A:$C,3,0),"")</f>
        <v/>
      </c>
      <c r="L1362" s="528">
        <f>IF(E1362="STL",Pricing!$D$38,IF(A1362="",0,IF(A1362&lt;Pricing!$C$25,Pricing!$D$25,VLOOKUP(Disbursements!$F1362,Pricing!$B$29:$D$32,3))))</f>
        <v>0</v>
      </c>
      <c r="M1362" s="528">
        <f>IF(E1362="STL",0,IF(F1362&gt;0,Pricing!$D$21,0))</f>
        <v>0</v>
      </c>
      <c r="N1362" s="529">
        <f>IF(E1362="STL",F1362*Pricing!$D$40,IF(A1362&lt;=Pricing!$C$4,0,IF(AND(A1362&gt;Pricing!$C$4,Disbursements!A1362&lt;=Pricing!$C$5),F1362*Pricing!$E$5,IF(AND(A1362&gt;Pricing!$C$5,Disbursements!A1362&lt;=Pricing!$C$7),VLOOKUP(F1362,Pricing!$D$7:$E$8,2)*Disbursements!F1362,F1362*Pricing!$E$9))))</f>
        <v>0</v>
      </c>
      <c r="O1362" s="528">
        <f>IF(E1362="STL",0,IF($F1362&gt;0,$F1362*Pricing!$D$17,0))</f>
        <v>0</v>
      </c>
      <c r="P1362" s="530" t="str">
        <f t="shared" si="568"/>
        <v/>
      </c>
      <c r="Q1362" s="531" t="str">
        <f>IF($A1362="","",$G1362/VLOOKUP($I1362,Ref!$B$23:$D$29,2,0))</f>
        <v/>
      </c>
      <c r="R1362" s="530" t="str">
        <f t="shared" si="569"/>
        <v/>
      </c>
      <c r="S1362" s="532" t="str">
        <f t="shared" si="563"/>
        <v/>
      </c>
      <c r="T1362" s="531" t="str">
        <f t="shared" si="570"/>
        <v/>
      </c>
      <c r="U1362" s="533">
        <f t="shared" si="571"/>
        <v>0</v>
      </c>
      <c r="V1362" s="531" t="str">
        <f t="shared" si="572"/>
        <v/>
      </c>
      <c r="W1362" s="531" t="str">
        <f t="shared" si="573"/>
        <v/>
      </c>
      <c r="X1362" s="534" t="str">
        <f t="shared" si="574"/>
        <v/>
      </c>
      <c r="Y1362" s="535" t="str">
        <f>IF($A1362="","",IF($I1362="weekly",$A1362+7,EDATE($A1362,VLOOKUP($I1362,Ref!$B$24:$C$29,2,0))))</f>
        <v/>
      </c>
      <c r="Z1362" s="536" t="str">
        <f t="shared" si="575"/>
        <v/>
      </c>
      <c r="AA1362" s="531">
        <f t="shared" si="576"/>
        <v>0</v>
      </c>
      <c r="AB1362" s="535" t="str">
        <f t="shared" si="564"/>
        <v/>
      </c>
      <c r="AC1362" s="537" t="str">
        <f t="shared" si="565"/>
        <v/>
      </c>
      <c r="AD1362" s="538" t="str">
        <f t="shared" ca="1" si="566"/>
        <v/>
      </c>
      <c r="AE1362" s="537">
        <f t="shared" ca="1" si="567"/>
        <v>0</v>
      </c>
      <c r="AF1362" s="539" t="str">
        <f t="shared" ca="1" si="577"/>
        <v/>
      </c>
      <c r="AG1362" s="531" t="str">
        <f t="shared" ca="1" si="578"/>
        <v/>
      </c>
      <c r="AH1362" s="531" t="str">
        <f t="shared" ca="1" si="579"/>
        <v/>
      </c>
      <c r="AI1362" s="531" t="str">
        <f t="shared" ca="1" si="580"/>
        <v/>
      </c>
      <c r="AJ1362" s="531" t="str">
        <f t="shared" si="581"/>
        <v/>
      </c>
      <c r="AK1362" s="540">
        <f>SUMIFS('Live Collections'!$S:$S,'Live Collections'!$D:$D,Disbursements!B1362,'Live Collections'!$G:$G,Disbursements!C1362)</f>
        <v>0</v>
      </c>
      <c r="AL1362" s="540">
        <f>SUMIFS('Live Collections'!$T:$T,'Live Collections'!$D:$D,Disbursements!B1362,'Live Collections'!$G:$G,Disbursements!C1362)</f>
        <v>0</v>
      </c>
      <c r="AM1362" s="541">
        <f t="shared" si="582"/>
        <v>0</v>
      </c>
      <c r="AN1362" s="542" t="str">
        <f t="shared" si="583"/>
        <v/>
      </c>
      <c r="AO1362" s="542" t="str">
        <f t="shared" si="584"/>
        <v/>
      </c>
      <c r="AP1362" s="543" t="str">
        <f t="shared" si="585"/>
        <v/>
      </c>
      <c r="AQ1362" s="544" t="str">
        <f t="shared" si="586"/>
        <v/>
      </c>
      <c r="AR1362" s="545">
        <f t="shared" si="587"/>
        <v>0</v>
      </c>
      <c r="AS1362" s="545">
        <f>IFERROR(CEILING($AR1362*VLOOKUP($I1362,Ref!$B$23:$E$29,4,0),1),0)</f>
        <v>0</v>
      </c>
      <c r="AT1362" s="545" t="str">
        <f>IF(A1362="","",IF(AP1362&lt;=1,"Cleared",IF(AS1362=0,"Clean",VLOOKUP($AS1362,Ref!$G$23:$H$28,2))))</f>
        <v/>
      </c>
      <c r="AU1362" s="546" t="str">
        <f t="shared" si="588"/>
        <v/>
      </c>
    </row>
    <row r="1363" spans="1:47" ht="14.25" hidden="1" customHeight="1" x14ac:dyDescent="0.15">
      <c r="A1363" s="523"/>
      <c r="B1363" s="523"/>
      <c r="C1363" s="523"/>
      <c r="D1363" s="523"/>
      <c r="E1363" s="579"/>
      <c r="F1363" s="580"/>
      <c r="G1363" s="524"/>
      <c r="H1363" s="555"/>
      <c r="I1363" s="560"/>
      <c r="J1363" s="523"/>
      <c r="K1363" s="528" t="str">
        <f>IFERROR(VLOOKUP($B1363,'Clients-Live'!$A:$C,3,0),"")</f>
        <v/>
      </c>
      <c r="L1363" s="528">
        <f>IF(E1363="STL",Pricing!$D$38,IF(A1363="",0,IF(A1363&lt;Pricing!$C$25,Pricing!$D$25,VLOOKUP(Disbursements!$F1363,Pricing!$B$29:$D$32,3))))</f>
        <v>0</v>
      </c>
      <c r="M1363" s="528">
        <f>IF(E1363="STL",0,IF(F1363&gt;0,Pricing!$D$21,0))</f>
        <v>0</v>
      </c>
      <c r="N1363" s="529">
        <f>IF(E1363="STL",F1363*Pricing!$D$40,IF(A1363&lt;=Pricing!$C$4,0,IF(AND(A1363&gt;Pricing!$C$4,Disbursements!A1363&lt;=Pricing!$C$5),F1363*Pricing!$E$5,IF(AND(A1363&gt;Pricing!$C$5,Disbursements!A1363&lt;=Pricing!$C$7),VLOOKUP(F1363,Pricing!$D$7:$E$8,2)*Disbursements!F1363,F1363*Pricing!$E$9))))</f>
        <v>0</v>
      </c>
      <c r="O1363" s="528">
        <f>IF(E1363="STL",0,IF($F1363&gt;0,$F1363*Pricing!$D$17,0))</f>
        <v>0</v>
      </c>
      <c r="P1363" s="530" t="str">
        <f t="shared" si="568"/>
        <v/>
      </c>
      <c r="Q1363" s="531" t="str">
        <f>IF($A1363="","",$G1363/VLOOKUP($I1363,Ref!$B$23:$D$29,2,0))</f>
        <v/>
      </c>
      <c r="R1363" s="530" t="str">
        <f t="shared" si="569"/>
        <v/>
      </c>
      <c r="S1363" s="532" t="str">
        <f t="shared" si="563"/>
        <v/>
      </c>
      <c r="T1363" s="531" t="str">
        <f t="shared" si="570"/>
        <v/>
      </c>
      <c r="U1363" s="533">
        <f t="shared" si="571"/>
        <v>0</v>
      </c>
      <c r="V1363" s="531" t="str">
        <f t="shared" si="572"/>
        <v/>
      </c>
      <c r="W1363" s="531" t="str">
        <f t="shared" si="573"/>
        <v/>
      </c>
      <c r="X1363" s="534" t="str">
        <f t="shared" si="574"/>
        <v/>
      </c>
      <c r="Y1363" s="535" t="str">
        <f>IF($A1363="","",IF($I1363="weekly",$A1363+7,EDATE($A1363,VLOOKUP($I1363,Ref!$B$24:$C$29,2,0))))</f>
        <v/>
      </c>
      <c r="Z1363" s="536" t="str">
        <f t="shared" si="575"/>
        <v/>
      </c>
      <c r="AA1363" s="531">
        <f t="shared" si="576"/>
        <v>0</v>
      </c>
      <c r="AB1363" s="535" t="str">
        <f t="shared" si="564"/>
        <v/>
      </c>
      <c r="AC1363" s="537" t="str">
        <f t="shared" si="565"/>
        <v/>
      </c>
      <c r="AD1363" s="538" t="str">
        <f t="shared" ca="1" si="566"/>
        <v/>
      </c>
      <c r="AE1363" s="537">
        <f t="shared" ca="1" si="567"/>
        <v>0</v>
      </c>
      <c r="AF1363" s="539" t="str">
        <f t="shared" ca="1" si="577"/>
        <v/>
      </c>
      <c r="AG1363" s="531" t="str">
        <f t="shared" ca="1" si="578"/>
        <v/>
      </c>
      <c r="AH1363" s="531" t="str">
        <f t="shared" ca="1" si="579"/>
        <v/>
      </c>
      <c r="AI1363" s="531" t="str">
        <f t="shared" ca="1" si="580"/>
        <v/>
      </c>
      <c r="AJ1363" s="531" t="str">
        <f t="shared" si="581"/>
        <v/>
      </c>
      <c r="AK1363" s="540">
        <f>SUMIFS('Live Collections'!$S:$S,'Live Collections'!$D:$D,Disbursements!B1363,'Live Collections'!$G:$G,Disbursements!C1363)</f>
        <v>0</v>
      </c>
      <c r="AL1363" s="540">
        <f>SUMIFS('Live Collections'!$T:$T,'Live Collections'!$D:$D,Disbursements!B1363,'Live Collections'!$G:$G,Disbursements!C1363)</f>
        <v>0</v>
      </c>
      <c r="AM1363" s="541">
        <f t="shared" si="582"/>
        <v>0</v>
      </c>
      <c r="AN1363" s="542" t="str">
        <f t="shared" si="583"/>
        <v/>
      </c>
      <c r="AO1363" s="542" t="str">
        <f t="shared" si="584"/>
        <v/>
      </c>
      <c r="AP1363" s="543" t="str">
        <f t="shared" si="585"/>
        <v/>
      </c>
      <c r="AQ1363" s="544" t="str">
        <f t="shared" si="586"/>
        <v/>
      </c>
      <c r="AR1363" s="545">
        <f t="shared" si="587"/>
        <v>0</v>
      </c>
      <c r="AS1363" s="545">
        <f>IFERROR(CEILING($AR1363*VLOOKUP($I1363,Ref!$B$23:$E$29,4,0),1),0)</f>
        <v>0</v>
      </c>
      <c r="AT1363" s="545" t="str">
        <f>IF(A1363="","",IF(AP1363&lt;=1,"Cleared",IF(AS1363=0,"Clean",VLOOKUP($AS1363,Ref!$G$23:$H$28,2))))</f>
        <v/>
      </c>
      <c r="AU1363" s="546" t="str">
        <f t="shared" si="588"/>
        <v/>
      </c>
    </row>
    <row r="1364" spans="1:47" ht="14.25" hidden="1" customHeight="1" x14ac:dyDescent="0.15">
      <c r="A1364" s="523"/>
      <c r="B1364" s="523"/>
      <c r="C1364" s="523"/>
      <c r="D1364" s="523"/>
      <c r="E1364" s="579"/>
      <c r="F1364" s="580"/>
      <c r="G1364" s="524"/>
      <c r="H1364" s="555"/>
      <c r="I1364" s="560"/>
      <c r="J1364" s="523"/>
      <c r="K1364" s="528" t="str">
        <f>IFERROR(VLOOKUP($B1364,'Clients-Live'!$A:$C,3,0),"")</f>
        <v/>
      </c>
      <c r="L1364" s="528">
        <f>IF(E1364="STL",Pricing!$D$38,IF(A1364="",0,IF(A1364&lt;Pricing!$C$25,Pricing!$D$25,VLOOKUP(Disbursements!$F1364,Pricing!$B$29:$D$32,3))))</f>
        <v>0</v>
      </c>
      <c r="M1364" s="528">
        <f>IF(E1364="STL",0,IF(F1364&gt;0,Pricing!$D$21,0))</f>
        <v>0</v>
      </c>
      <c r="N1364" s="529">
        <f>IF(E1364="STL",F1364*Pricing!$D$40,IF(A1364&lt;=Pricing!$C$4,0,IF(AND(A1364&gt;Pricing!$C$4,Disbursements!A1364&lt;=Pricing!$C$5),F1364*Pricing!$E$5,IF(AND(A1364&gt;Pricing!$C$5,Disbursements!A1364&lt;=Pricing!$C$7),VLOOKUP(F1364,Pricing!$D$7:$E$8,2)*Disbursements!F1364,F1364*Pricing!$E$9))))</f>
        <v>0</v>
      </c>
      <c r="O1364" s="528">
        <f>IF(E1364="STL",0,IF($F1364&gt;0,$F1364*Pricing!$D$17,0))</f>
        <v>0</v>
      </c>
      <c r="P1364" s="530" t="str">
        <f t="shared" si="568"/>
        <v/>
      </c>
      <c r="Q1364" s="531" t="str">
        <f>IF($A1364="","",$G1364/VLOOKUP($I1364,Ref!$B$23:$D$29,2,0))</f>
        <v/>
      </c>
      <c r="R1364" s="530" t="str">
        <f t="shared" si="569"/>
        <v/>
      </c>
      <c r="S1364" s="532" t="str">
        <f t="shared" si="563"/>
        <v/>
      </c>
      <c r="T1364" s="531" t="str">
        <f t="shared" si="570"/>
        <v/>
      </c>
      <c r="U1364" s="533">
        <f t="shared" si="571"/>
        <v>0</v>
      </c>
      <c r="V1364" s="531" t="str">
        <f t="shared" si="572"/>
        <v/>
      </c>
      <c r="W1364" s="531" t="str">
        <f t="shared" si="573"/>
        <v/>
      </c>
      <c r="X1364" s="534" t="str">
        <f t="shared" si="574"/>
        <v/>
      </c>
      <c r="Y1364" s="535" t="str">
        <f>IF($A1364="","",IF($I1364="weekly",$A1364+7,EDATE($A1364,VLOOKUP($I1364,Ref!$B$24:$C$29,2,0))))</f>
        <v/>
      </c>
      <c r="Z1364" s="536" t="str">
        <f t="shared" si="575"/>
        <v/>
      </c>
      <c r="AA1364" s="531">
        <f t="shared" si="576"/>
        <v>0</v>
      </c>
      <c r="AB1364" s="535" t="str">
        <f t="shared" si="564"/>
        <v/>
      </c>
      <c r="AC1364" s="537" t="str">
        <f t="shared" si="565"/>
        <v/>
      </c>
      <c r="AD1364" s="538" t="str">
        <f t="shared" ca="1" si="566"/>
        <v/>
      </c>
      <c r="AE1364" s="537">
        <f t="shared" ca="1" si="567"/>
        <v>0</v>
      </c>
      <c r="AF1364" s="539" t="str">
        <f t="shared" ca="1" si="577"/>
        <v/>
      </c>
      <c r="AG1364" s="531" t="str">
        <f t="shared" ca="1" si="578"/>
        <v/>
      </c>
      <c r="AH1364" s="531" t="str">
        <f t="shared" ca="1" si="579"/>
        <v/>
      </c>
      <c r="AI1364" s="531" t="str">
        <f t="shared" ca="1" si="580"/>
        <v/>
      </c>
      <c r="AJ1364" s="531" t="str">
        <f t="shared" si="581"/>
        <v/>
      </c>
      <c r="AK1364" s="540">
        <f>SUMIFS('Live Collections'!$S:$S,'Live Collections'!$D:$D,Disbursements!B1364,'Live Collections'!$G:$G,Disbursements!C1364)</f>
        <v>0</v>
      </c>
      <c r="AL1364" s="540">
        <f>SUMIFS('Live Collections'!$T:$T,'Live Collections'!$D:$D,Disbursements!B1364,'Live Collections'!$G:$G,Disbursements!C1364)</f>
        <v>0</v>
      </c>
      <c r="AM1364" s="541">
        <f t="shared" si="582"/>
        <v>0</v>
      </c>
      <c r="AN1364" s="542" t="str">
        <f t="shared" si="583"/>
        <v/>
      </c>
      <c r="AO1364" s="542" t="str">
        <f t="shared" si="584"/>
        <v/>
      </c>
      <c r="AP1364" s="543" t="str">
        <f t="shared" si="585"/>
        <v/>
      </c>
      <c r="AQ1364" s="544" t="str">
        <f t="shared" si="586"/>
        <v/>
      </c>
      <c r="AR1364" s="545">
        <f t="shared" si="587"/>
        <v>0</v>
      </c>
      <c r="AS1364" s="545">
        <f>IFERROR(CEILING($AR1364*VLOOKUP($I1364,Ref!$B$23:$E$29,4,0),1),0)</f>
        <v>0</v>
      </c>
      <c r="AT1364" s="545" t="str">
        <f>IF(A1364="","",IF(AP1364&lt;=1,"Cleared",IF(AS1364=0,"Clean",VLOOKUP($AS1364,Ref!$G$23:$H$28,2))))</f>
        <v/>
      </c>
      <c r="AU1364" s="546" t="str">
        <f t="shared" si="588"/>
        <v/>
      </c>
    </row>
    <row r="1365" spans="1:47" ht="14.25" hidden="1" customHeight="1" x14ac:dyDescent="0.15">
      <c r="A1365" s="523"/>
      <c r="B1365" s="523"/>
      <c r="C1365" s="523"/>
      <c r="D1365" s="523"/>
      <c r="E1365" s="579"/>
      <c r="F1365" s="580"/>
      <c r="G1365" s="524"/>
      <c r="H1365" s="555"/>
      <c r="I1365" s="560"/>
      <c r="J1365" s="523"/>
      <c r="K1365" s="528" t="str">
        <f>IFERROR(VLOOKUP($B1365,'Clients-Live'!$A:$C,3,0),"")</f>
        <v/>
      </c>
      <c r="L1365" s="528">
        <f>IF(E1365="STL",Pricing!$D$38,IF(A1365="",0,IF(A1365&lt;Pricing!$C$25,Pricing!$D$25,VLOOKUP(Disbursements!$F1365,Pricing!$B$29:$D$32,3))))</f>
        <v>0</v>
      </c>
      <c r="M1365" s="528">
        <f>IF(E1365="STL",0,IF(F1365&gt;0,Pricing!$D$21,0))</f>
        <v>0</v>
      </c>
      <c r="N1365" s="529">
        <f>IF(E1365="STL",F1365*Pricing!$D$40,IF(A1365&lt;=Pricing!$C$4,0,IF(AND(A1365&gt;Pricing!$C$4,Disbursements!A1365&lt;=Pricing!$C$5),F1365*Pricing!$E$5,IF(AND(A1365&gt;Pricing!$C$5,Disbursements!A1365&lt;=Pricing!$C$7),VLOOKUP(F1365,Pricing!$D$7:$E$8,2)*Disbursements!F1365,F1365*Pricing!$E$9))))</f>
        <v>0</v>
      </c>
      <c r="O1365" s="528">
        <f>IF(E1365="STL",0,IF($F1365&gt;0,$F1365*Pricing!$D$17,0))</f>
        <v>0</v>
      </c>
      <c r="P1365" s="530" t="str">
        <f t="shared" si="568"/>
        <v/>
      </c>
      <c r="Q1365" s="531" t="str">
        <f>IF($A1365="","",$G1365/VLOOKUP($I1365,Ref!$B$23:$D$29,2,0))</f>
        <v/>
      </c>
      <c r="R1365" s="530" t="str">
        <f t="shared" si="569"/>
        <v/>
      </c>
      <c r="S1365" s="532" t="str">
        <f t="shared" si="563"/>
        <v/>
      </c>
      <c r="T1365" s="531" t="str">
        <f t="shared" si="570"/>
        <v/>
      </c>
      <c r="U1365" s="533">
        <f t="shared" si="571"/>
        <v>0</v>
      </c>
      <c r="V1365" s="531" t="str">
        <f t="shared" si="572"/>
        <v/>
      </c>
      <c r="W1365" s="531" t="str">
        <f t="shared" si="573"/>
        <v/>
      </c>
      <c r="X1365" s="534" t="str">
        <f t="shared" si="574"/>
        <v/>
      </c>
      <c r="Y1365" s="535" t="str">
        <f>IF($A1365="","",IF($I1365="weekly",$A1365+7,EDATE($A1365,VLOOKUP($I1365,Ref!$B$24:$C$29,2,0))))</f>
        <v/>
      </c>
      <c r="Z1365" s="536" t="str">
        <f t="shared" si="575"/>
        <v/>
      </c>
      <c r="AA1365" s="531">
        <f t="shared" si="576"/>
        <v>0</v>
      </c>
      <c r="AB1365" s="535" t="str">
        <f t="shared" si="564"/>
        <v/>
      </c>
      <c r="AC1365" s="537" t="str">
        <f t="shared" si="565"/>
        <v/>
      </c>
      <c r="AD1365" s="538" t="str">
        <f t="shared" ca="1" si="566"/>
        <v/>
      </c>
      <c r="AE1365" s="537">
        <f t="shared" ca="1" si="567"/>
        <v>0</v>
      </c>
      <c r="AF1365" s="539" t="str">
        <f t="shared" ca="1" si="577"/>
        <v/>
      </c>
      <c r="AG1365" s="531" t="str">
        <f t="shared" ca="1" si="578"/>
        <v/>
      </c>
      <c r="AH1365" s="531" t="str">
        <f t="shared" ca="1" si="579"/>
        <v/>
      </c>
      <c r="AI1365" s="531" t="str">
        <f t="shared" ca="1" si="580"/>
        <v/>
      </c>
      <c r="AJ1365" s="531" t="str">
        <f t="shared" si="581"/>
        <v/>
      </c>
      <c r="AK1365" s="540">
        <f>SUMIFS('Live Collections'!$S:$S,'Live Collections'!$D:$D,Disbursements!B1365,'Live Collections'!$G:$G,Disbursements!C1365)</f>
        <v>0</v>
      </c>
      <c r="AL1365" s="540">
        <f>SUMIFS('Live Collections'!$T:$T,'Live Collections'!$D:$D,Disbursements!B1365,'Live Collections'!$G:$G,Disbursements!C1365)</f>
        <v>0</v>
      </c>
      <c r="AM1365" s="541">
        <f t="shared" si="582"/>
        <v>0</v>
      </c>
      <c r="AN1365" s="542" t="str">
        <f t="shared" si="583"/>
        <v/>
      </c>
      <c r="AO1365" s="542" t="str">
        <f t="shared" si="584"/>
        <v/>
      </c>
      <c r="AP1365" s="543" t="str">
        <f t="shared" si="585"/>
        <v/>
      </c>
      <c r="AQ1365" s="544" t="str">
        <f t="shared" si="586"/>
        <v/>
      </c>
      <c r="AR1365" s="545">
        <f t="shared" si="587"/>
        <v>0</v>
      </c>
      <c r="AS1365" s="545">
        <f>IFERROR(CEILING($AR1365*VLOOKUP($I1365,Ref!$B$23:$E$29,4,0),1),0)</f>
        <v>0</v>
      </c>
      <c r="AT1365" s="545" t="str">
        <f>IF(A1365="","",IF(AP1365&lt;=1,"Cleared",IF(AS1365=0,"Clean",VLOOKUP($AS1365,Ref!$G$23:$H$28,2))))</f>
        <v/>
      </c>
      <c r="AU1365" s="546" t="str">
        <f t="shared" si="588"/>
        <v/>
      </c>
    </row>
    <row r="1366" spans="1:47" ht="14.25" hidden="1" customHeight="1" x14ac:dyDescent="0.15">
      <c r="A1366" s="523"/>
      <c r="B1366" s="523"/>
      <c r="C1366" s="523"/>
      <c r="D1366" s="523"/>
      <c r="E1366" s="579"/>
      <c r="F1366" s="580"/>
      <c r="G1366" s="524"/>
      <c r="H1366" s="555"/>
      <c r="I1366" s="560"/>
      <c r="J1366" s="523"/>
      <c r="K1366" s="528" t="str">
        <f>IFERROR(VLOOKUP($B1366,'Clients-Live'!$A:$C,3,0),"")</f>
        <v/>
      </c>
      <c r="L1366" s="528">
        <f>IF(E1366="STL",Pricing!$D$38,IF(A1366="",0,IF(A1366&lt;Pricing!$C$25,Pricing!$D$25,VLOOKUP(Disbursements!$F1366,Pricing!$B$29:$D$32,3))))</f>
        <v>0</v>
      </c>
      <c r="M1366" s="528">
        <f>IF(E1366="STL",0,IF(F1366&gt;0,Pricing!$D$21,0))</f>
        <v>0</v>
      </c>
      <c r="N1366" s="529">
        <f>IF(E1366="STL",F1366*Pricing!$D$40,IF(A1366&lt;=Pricing!$C$4,0,IF(AND(A1366&gt;Pricing!$C$4,Disbursements!A1366&lt;=Pricing!$C$5),F1366*Pricing!$E$5,IF(AND(A1366&gt;Pricing!$C$5,Disbursements!A1366&lt;=Pricing!$C$7),VLOOKUP(F1366,Pricing!$D$7:$E$8,2)*Disbursements!F1366,F1366*Pricing!$E$9))))</f>
        <v>0</v>
      </c>
      <c r="O1366" s="528">
        <f>IF(E1366="STL",0,IF($F1366&gt;0,$F1366*Pricing!$D$17,0))</f>
        <v>0</v>
      </c>
      <c r="P1366" s="530" t="str">
        <f t="shared" si="568"/>
        <v/>
      </c>
      <c r="Q1366" s="531" t="str">
        <f>IF($A1366="","",$G1366/VLOOKUP($I1366,Ref!$B$23:$D$29,2,0))</f>
        <v/>
      </c>
      <c r="R1366" s="530" t="str">
        <f t="shared" si="569"/>
        <v/>
      </c>
      <c r="S1366" s="532" t="str">
        <f t="shared" si="563"/>
        <v/>
      </c>
      <c r="T1366" s="531" t="str">
        <f t="shared" si="570"/>
        <v/>
      </c>
      <c r="U1366" s="533">
        <f t="shared" si="571"/>
        <v>0</v>
      </c>
      <c r="V1366" s="531" t="str">
        <f t="shared" si="572"/>
        <v/>
      </c>
      <c r="W1366" s="531" t="str">
        <f t="shared" si="573"/>
        <v/>
      </c>
      <c r="X1366" s="534" t="str">
        <f t="shared" si="574"/>
        <v/>
      </c>
      <c r="Y1366" s="535" t="str">
        <f>IF($A1366="","",IF($I1366="weekly",$A1366+7,EDATE($A1366,VLOOKUP($I1366,Ref!$B$24:$C$29,2,0))))</f>
        <v/>
      </c>
      <c r="Z1366" s="536" t="str">
        <f t="shared" si="575"/>
        <v/>
      </c>
      <c r="AA1366" s="531">
        <f t="shared" si="576"/>
        <v>0</v>
      </c>
      <c r="AB1366" s="535" t="str">
        <f t="shared" si="564"/>
        <v/>
      </c>
      <c r="AC1366" s="537" t="str">
        <f t="shared" si="565"/>
        <v/>
      </c>
      <c r="AD1366" s="538" t="str">
        <f t="shared" ca="1" si="566"/>
        <v/>
      </c>
      <c r="AE1366" s="537">
        <f t="shared" ca="1" si="567"/>
        <v>0</v>
      </c>
      <c r="AF1366" s="539" t="str">
        <f t="shared" ca="1" si="577"/>
        <v/>
      </c>
      <c r="AG1366" s="531" t="str">
        <f t="shared" ca="1" si="578"/>
        <v/>
      </c>
      <c r="AH1366" s="531" t="str">
        <f t="shared" ca="1" si="579"/>
        <v/>
      </c>
      <c r="AI1366" s="531" t="str">
        <f t="shared" ca="1" si="580"/>
        <v/>
      </c>
      <c r="AJ1366" s="531" t="str">
        <f t="shared" si="581"/>
        <v/>
      </c>
      <c r="AK1366" s="540">
        <f>SUMIFS('Live Collections'!$S:$S,'Live Collections'!$D:$D,Disbursements!B1366,'Live Collections'!$G:$G,Disbursements!C1366)</f>
        <v>0</v>
      </c>
      <c r="AL1366" s="540">
        <f>SUMIFS('Live Collections'!$T:$T,'Live Collections'!$D:$D,Disbursements!B1366,'Live Collections'!$G:$G,Disbursements!C1366)</f>
        <v>0</v>
      </c>
      <c r="AM1366" s="541">
        <f t="shared" si="582"/>
        <v>0</v>
      </c>
      <c r="AN1366" s="542" t="str">
        <f t="shared" si="583"/>
        <v/>
      </c>
      <c r="AO1366" s="542" t="str">
        <f t="shared" si="584"/>
        <v/>
      </c>
      <c r="AP1366" s="543" t="str">
        <f t="shared" si="585"/>
        <v/>
      </c>
      <c r="AQ1366" s="544" t="str">
        <f t="shared" si="586"/>
        <v/>
      </c>
      <c r="AR1366" s="545">
        <f t="shared" si="587"/>
        <v>0</v>
      </c>
      <c r="AS1366" s="545">
        <f>IFERROR(CEILING($AR1366*VLOOKUP($I1366,Ref!$B$23:$E$29,4,0),1),0)</f>
        <v>0</v>
      </c>
      <c r="AT1366" s="545" t="str">
        <f>IF(A1366="","",IF(AP1366&lt;=1,"Cleared",IF(AS1366=0,"Clean",VLOOKUP($AS1366,Ref!$G$23:$H$28,2))))</f>
        <v/>
      </c>
      <c r="AU1366" s="546" t="str">
        <f t="shared" si="588"/>
        <v/>
      </c>
    </row>
    <row r="1367" spans="1:47" ht="14.25" hidden="1" customHeight="1" x14ac:dyDescent="0.15">
      <c r="A1367" s="523"/>
      <c r="B1367" s="523"/>
      <c r="C1367" s="523"/>
      <c r="D1367" s="523"/>
      <c r="E1367" s="579"/>
      <c r="F1367" s="580"/>
      <c r="G1367" s="524"/>
      <c r="H1367" s="555"/>
      <c r="I1367" s="560"/>
      <c r="J1367" s="523"/>
      <c r="K1367" s="528" t="str">
        <f>IFERROR(VLOOKUP($B1367,'Clients-Live'!$A:$C,3,0),"")</f>
        <v/>
      </c>
      <c r="L1367" s="528">
        <f>IF(E1367="STL",Pricing!$D$38,IF(A1367="",0,IF(A1367&lt;Pricing!$C$25,Pricing!$D$25,VLOOKUP(Disbursements!$F1367,Pricing!$B$29:$D$32,3))))</f>
        <v>0</v>
      </c>
      <c r="M1367" s="528">
        <f>IF(E1367="STL",0,IF(F1367&gt;0,Pricing!$D$21,0))</f>
        <v>0</v>
      </c>
      <c r="N1367" s="529">
        <f>IF(E1367="STL",F1367*Pricing!$D$40,IF(A1367&lt;=Pricing!$C$4,0,IF(AND(A1367&gt;Pricing!$C$4,Disbursements!A1367&lt;=Pricing!$C$5),F1367*Pricing!$E$5,IF(AND(A1367&gt;Pricing!$C$5,Disbursements!A1367&lt;=Pricing!$C$7),VLOOKUP(F1367,Pricing!$D$7:$E$8,2)*Disbursements!F1367,F1367*Pricing!$E$9))))</f>
        <v>0</v>
      </c>
      <c r="O1367" s="528">
        <f>IF(E1367="STL",0,IF($F1367&gt;0,$F1367*Pricing!$D$17,0))</f>
        <v>0</v>
      </c>
      <c r="P1367" s="530" t="str">
        <f t="shared" si="568"/>
        <v/>
      </c>
      <c r="Q1367" s="531" t="str">
        <f>IF($A1367="","",$G1367/VLOOKUP($I1367,Ref!$B$23:$D$29,2,0))</f>
        <v/>
      </c>
      <c r="R1367" s="530" t="str">
        <f t="shared" si="569"/>
        <v/>
      </c>
      <c r="S1367" s="532" t="str">
        <f t="shared" si="563"/>
        <v/>
      </c>
      <c r="T1367" s="531" t="str">
        <f t="shared" si="570"/>
        <v/>
      </c>
      <c r="U1367" s="533">
        <f t="shared" si="571"/>
        <v>0</v>
      </c>
      <c r="V1367" s="531" t="str">
        <f t="shared" si="572"/>
        <v/>
      </c>
      <c r="W1367" s="531" t="str">
        <f t="shared" si="573"/>
        <v/>
      </c>
      <c r="X1367" s="534" t="str">
        <f t="shared" si="574"/>
        <v/>
      </c>
      <c r="Y1367" s="535" t="str">
        <f>IF($A1367="","",IF($I1367="weekly",$A1367+7,EDATE($A1367,VLOOKUP($I1367,Ref!$B$24:$C$29,2,0))))</f>
        <v/>
      </c>
      <c r="Z1367" s="536" t="str">
        <f t="shared" si="575"/>
        <v/>
      </c>
      <c r="AA1367" s="531">
        <f t="shared" si="576"/>
        <v>0</v>
      </c>
      <c r="AB1367" s="535" t="str">
        <f t="shared" si="564"/>
        <v/>
      </c>
      <c r="AC1367" s="537" t="str">
        <f t="shared" si="565"/>
        <v/>
      </c>
      <c r="AD1367" s="538" t="str">
        <f t="shared" ca="1" si="566"/>
        <v/>
      </c>
      <c r="AE1367" s="537">
        <f t="shared" ca="1" si="567"/>
        <v>0</v>
      </c>
      <c r="AF1367" s="539" t="str">
        <f t="shared" ca="1" si="577"/>
        <v/>
      </c>
      <c r="AG1367" s="531" t="str">
        <f t="shared" ca="1" si="578"/>
        <v/>
      </c>
      <c r="AH1367" s="531" t="str">
        <f t="shared" ca="1" si="579"/>
        <v/>
      </c>
      <c r="AI1367" s="531" t="str">
        <f t="shared" ca="1" si="580"/>
        <v/>
      </c>
      <c r="AJ1367" s="531" t="str">
        <f t="shared" si="581"/>
        <v/>
      </c>
      <c r="AK1367" s="540">
        <f>SUMIFS('Live Collections'!$S:$S,'Live Collections'!$D:$D,Disbursements!B1367,'Live Collections'!$G:$G,Disbursements!C1367)</f>
        <v>0</v>
      </c>
      <c r="AL1367" s="540">
        <f>SUMIFS('Live Collections'!$T:$T,'Live Collections'!$D:$D,Disbursements!B1367,'Live Collections'!$G:$G,Disbursements!C1367)</f>
        <v>0</v>
      </c>
      <c r="AM1367" s="541">
        <f t="shared" si="582"/>
        <v>0</v>
      </c>
      <c r="AN1367" s="542" t="str">
        <f t="shared" si="583"/>
        <v/>
      </c>
      <c r="AO1367" s="542" t="str">
        <f t="shared" si="584"/>
        <v/>
      </c>
      <c r="AP1367" s="543" t="str">
        <f t="shared" si="585"/>
        <v/>
      </c>
      <c r="AQ1367" s="544" t="str">
        <f t="shared" si="586"/>
        <v/>
      </c>
      <c r="AR1367" s="545">
        <f t="shared" si="587"/>
        <v>0</v>
      </c>
      <c r="AS1367" s="545">
        <f>IFERROR(CEILING($AR1367*VLOOKUP($I1367,Ref!$B$23:$E$29,4,0),1),0)</f>
        <v>0</v>
      </c>
      <c r="AT1367" s="545" t="str">
        <f>IF(A1367="","",IF(AP1367&lt;=1,"Cleared",IF(AS1367=0,"Clean",VLOOKUP($AS1367,Ref!$G$23:$H$28,2))))</f>
        <v/>
      </c>
      <c r="AU1367" s="546" t="str">
        <f t="shared" si="588"/>
        <v/>
      </c>
    </row>
    <row r="1368" spans="1:47" ht="14.25" hidden="1" customHeight="1" x14ac:dyDescent="0.15">
      <c r="A1368" s="523"/>
      <c r="B1368" s="523"/>
      <c r="C1368" s="523"/>
      <c r="D1368" s="523"/>
      <c r="E1368" s="579"/>
      <c r="F1368" s="580"/>
      <c r="G1368" s="524"/>
      <c r="H1368" s="555"/>
      <c r="I1368" s="560"/>
      <c r="J1368" s="523"/>
      <c r="K1368" s="528" t="str">
        <f>IFERROR(VLOOKUP($B1368,'Clients-Live'!$A:$C,3,0),"")</f>
        <v/>
      </c>
      <c r="L1368" s="528">
        <f>IF(E1368="STL",Pricing!$D$38,IF(A1368="",0,IF(A1368&lt;Pricing!$C$25,Pricing!$D$25,VLOOKUP(Disbursements!$F1368,Pricing!$B$29:$D$32,3))))</f>
        <v>0</v>
      </c>
      <c r="M1368" s="528">
        <f>IF(E1368="STL",0,IF(F1368&gt;0,Pricing!$D$21,0))</f>
        <v>0</v>
      </c>
      <c r="N1368" s="529">
        <f>IF(E1368="STL",F1368*Pricing!$D$40,IF(A1368&lt;=Pricing!$C$4,0,IF(AND(A1368&gt;Pricing!$C$4,Disbursements!A1368&lt;=Pricing!$C$5),F1368*Pricing!$E$5,IF(AND(A1368&gt;Pricing!$C$5,Disbursements!A1368&lt;=Pricing!$C$7),VLOOKUP(F1368,Pricing!$D$7:$E$8,2)*Disbursements!F1368,F1368*Pricing!$E$9))))</f>
        <v>0</v>
      </c>
      <c r="O1368" s="528">
        <f>IF(E1368="STL",0,IF($F1368&gt;0,$F1368*Pricing!$D$17,0))</f>
        <v>0</v>
      </c>
      <c r="P1368" s="530" t="str">
        <f t="shared" si="568"/>
        <v/>
      </c>
      <c r="Q1368" s="531" t="str">
        <f>IF($A1368="","",$G1368/VLOOKUP($I1368,Ref!$B$23:$D$29,2,0))</f>
        <v/>
      </c>
      <c r="R1368" s="530" t="str">
        <f t="shared" si="569"/>
        <v/>
      </c>
      <c r="S1368" s="532" t="str">
        <f t="shared" si="563"/>
        <v/>
      </c>
      <c r="T1368" s="531" t="str">
        <f t="shared" si="570"/>
        <v/>
      </c>
      <c r="U1368" s="533">
        <f t="shared" si="571"/>
        <v>0</v>
      </c>
      <c r="V1368" s="531" t="str">
        <f t="shared" si="572"/>
        <v/>
      </c>
      <c r="W1368" s="531" t="str">
        <f t="shared" si="573"/>
        <v/>
      </c>
      <c r="X1368" s="534" t="str">
        <f t="shared" si="574"/>
        <v/>
      </c>
      <c r="Y1368" s="535" t="str">
        <f>IF($A1368="","",IF($I1368="weekly",$A1368+7,EDATE($A1368,VLOOKUP($I1368,Ref!$B$24:$C$29,2,0))))</f>
        <v/>
      </c>
      <c r="Z1368" s="536" t="str">
        <f t="shared" si="575"/>
        <v/>
      </c>
      <c r="AA1368" s="531">
        <f t="shared" si="576"/>
        <v>0</v>
      </c>
      <c r="AB1368" s="535" t="str">
        <f t="shared" si="564"/>
        <v/>
      </c>
      <c r="AC1368" s="537" t="str">
        <f t="shared" si="565"/>
        <v/>
      </c>
      <c r="AD1368" s="538" t="str">
        <f t="shared" ca="1" si="566"/>
        <v/>
      </c>
      <c r="AE1368" s="537">
        <f t="shared" ca="1" si="567"/>
        <v>0</v>
      </c>
      <c r="AF1368" s="539" t="str">
        <f t="shared" ca="1" si="577"/>
        <v/>
      </c>
      <c r="AG1368" s="531" t="str">
        <f t="shared" ca="1" si="578"/>
        <v/>
      </c>
      <c r="AH1368" s="531" t="str">
        <f t="shared" ca="1" si="579"/>
        <v/>
      </c>
      <c r="AI1368" s="531" t="str">
        <f t="shared" ca="1" si="580"/>
        <v/>
      </c>
      <c r="AJ1368" s="531" t="str">
        <f t="shared" si="581"/>
        <v/>
      </c>
      <c r="AK1368" s="540">
        <f>SUMIFS('Live Collections'!$S:$S,'Live Collections'!$D:$D,Disbursements!B1368,'Live Collections'!$G:$G,Disbursements!C1368)</f>
        <v>0</v>
      </c>
      <c r="AL1368" s="540">
        <f>SUMIFS('Live Collections'!$T:$T,'Live Collections'!$D:$D,Disbursements!B1368,'Live Collections'!$G:$G,Disbursements!C1368)</f>
        <v>0</v>
      </c>
      <c r="AM1368" s="541">
        <f t="shared" si="582"/>
        <v>0</v>
      </c>
      <c r="AN1368" s="542" t="str">
        <f t="shared" si="583"/>
        <v/>
      </c>
      <c r="AO1368" s="542" t="str">
        <f t="shared" si="584"/>
        <v/>
      </c>
      <c r="AP1368" s="543" t="str">
        <f t="shared" si="585"/>
        <v/>
      </c>
      <c r="AQ1368" s="544" t="str">
        <f t="shared" si="586"/>
        <v/>
      </c>
      <c r="AR1368" s="545">
        <f t="shared" si="587"/>
        <v>0</v>
      </c>
      <c r="AS1368" s="545">
        <f>IFERROR(CEILING($AR1368*VLOOKUP($I1368,Ref!$B$23:$E$29,4,0),1),0)</f>
        <v>0</v>
      </c>
      <c r="AT1368" s="545" t="str">
        <f>IF(A1368="","",IF(AP1368&lt;=1,"Cleared",IF(AS1368=0,"Clean",VLOOKUP($AS1368,Ref!$G$23:$H$28,2))))</f>
        <v/>
      </c>
      <c r="AU1368" s="546" t="str">
        <f t="shared" si="588"/>
        <v/>
      </c>
    </row>
    <row r="1369" spans="1:47" ht="14.25" hidden="1" customHeight="1" x14ac:dyDescent="0.15">
      <c r="A1369" s="523"/>
      <c r="B1369" s="523"/>
      <c r="C1369" s="523"/>
      <c r="D1369" s="523"/>
      <c r="E1369" s="579"/>
      <c r="F1369" s="580"/>
      <c r="G1369" s="524"/>
      <c r="H1369" s="555"/>
      <c r="I1369" s="560"/>
      <c r="J1369" s="523"/>
      <c r="K1369" s="528" t="str">
        <f>IFERROR(VLOOKUP($B1369,'Clients-Live'!$A:$C,3,0),"")</f>
        <v/>
      </c>
      <c r="L1369" s="528">
        <f>IF(E1369="STL",Pricing!$D$38,IF(A1369="",0,IF(A1369&lt;Pricing!$C$25,Pricing!$D$25,VLOOKUP(Disbursements!$F1369,Pricing!$B$29:$D$32,3))))</f>
        <v>0</v>
      </c>
      <c r="M1369" s="528">
        <f>IF(E1369="STL",0,IF(F1369&gt;0,Pricing!$D$21,0))</f>
        <v>0</v>
      </c>
      <c r="N1369" s="529">
        <f>IF(E1369="STL",F1369*Pricing!$D$40,IF(A1369&lt;=Pricing!$C$4,0,IF(AND(A1369&gt;Pricing!$C$4,Disbursements!A1369&lt;=Pricing!$C$5),F1369*Pricing!$E$5,IF(AND(A1369&gt;Pricing!$C$5,Disbursements!A1369&lt;=Pricing!$C$7),VLOOKUP(F1369,Pricing!$D$7:$E$8,2)*Disbursements!F1369,F1369*Pricing!$E$9))))</f>
        <v>0</v>
      </c>
      <c r="O1369" s="528">
        <f>IF(E1369="STL",0,IF($F1369&gt;0,$F1369*Pricing!$D$17,0))</f>
        <v>0</v>
      </c>
      <c r="P1369" s="530" t="str">
        <f t="shared" si="568"/>
        <v/>
      </c>
      <c r="Q1369" s="531" t="str">
        <f>IF($A1369="","",$G1369/VLOOKUP($I1369,Ref!$B$23:$D$29,2,0))</f>
        <v/>
      </c>
      <c r="R1369" s="530" t="str">
        <f t="shared" si="569"/>
        <v/>
      </c>
      <c r="S1369" s="532" t="str">
        <f t="shared" si="563"/>
        <v/>
      </c>
      <c r="T1369" s="531" t="str">
        <f t="shared" si="570"/>
        <v/>
      </c>
      <c r="U1369" s="533">
        <f t="shared" si="571"/>
        <v>0</v>
      </c>
      <c r="V1369" s="531" t="str">
        <f t="shared" si="572"/>
        <v/>
      </c>
      <c r="W1369" s="531" t="str">
        <f t="shared" si="573"/>
        <v/>
      </c>
      <c r="X1369" s="534" t="str">
        <f t="shared" si="574"/>
        <v/>
      </c>
      <c r="Y1369" s="535" t="str">
        <f>IF($A1369="","",IF($I1369="weekly",$A1369+7,EDATE($A1369,VLOOKUP($I1369,Ref!$B$24:$C$29,2,0))))</f>
        <v/>
      </c>
      <c r="Z1369" s="536" t="str">
        <f t="shared" si="575"/>
        <v/>
      </c>
      <c r="AA1369" s="531">
        <f t="shared" si="576"/>
        <v>0</v>
      </c>
      <c r="AB1369" s="535" t="str">
        <f t="shared" si="564"/>
        <v/>
      </c>
      <c r="AC1369" s="537" t="str">
        <f t="shared" si="565"/>
        <v/>
      </c>
      <c r="AD1369" s="538" t="str">
        <f t="shared" ca="1" si="566"/>
        <v/>
      </c>
      <c r="AE1369" s="537">
        <f t="shared" ca="1" si="567"/>
        <v>0</v>
      </c>
      <c r="AF1369" s="539" t="str">
        <f t="shared" ca="1" si="577"/>
        <v/>
      </c>
      <c r="AG1369" s="531" t="str">
        <f t="shared" ca="1" si="578"/>
        <v/>
      </c>
      <c r="AH1369" s="531" t="str">
        <f t="shared" ca="1" si="579"/>
        <v/>
      </c>
      <c r="AI1369" s="531" t="str">
        <f t="shared" ca="1" si="580"/>
        <v/>
      </c>
      <c r="AJ1369" s="531" t="str">
        <f t="shared" si="581"/>
        <v/>
      </c>
      <c r="AK1369" s="540">
        <f>SUMIFS('Live Collections'!$S:$S,'Live Collections'!$D:$D,Disbursements!B1369,'Live Collections'!$G:$G,Disbursements!C1369)</f>
        <v>0</v>
      </c>
      <c r="AL1369" s="540">
        <f>SUMIFS('Live Collections'!$T:$T,'Live Collections'!$D:$D,Disbursements!B1369,'Live Collections'!$G:$G,Disbursements!C1369)</f>
        <v>0</v>
      </c>
      <c r="AM1369" s="541">
        <f t="shared" si="582"/>
        <v>0</v>
      </c>
      <c r="AN1369" s="542" t="str">
        <f t="shared" si="583"/>
        <v/>
      </c>
      <c r="AO1369" s="542" t="str">
        <f t="shared" si="584"/>
        <v/>
      </c>
      <c r="AP1369" s="543" t="str">
        <f t="shared" si="585"/>
        <v/>
      </c>
      <c r="AQ1369" s="544" t="str">
        <f t="shared" si="586"/>
        <v/>
      </c>
      <c r="AR1369" s="545">
        <f t="shared" si="587"/>
        <v>0</v>
      </c>
      <c r="AS1369" s="545">
        <f>IFERROR(CEILING($AR1369*VLOOKUP($I1369,Ref!$B$23:$E$29,4,0),1),0)</f>
        <v>0</v>
      </c>
      <c r="AT1369" s="545" t="str">
        <f>IF(A1369="","",IF(AP1369&lt;=1,"Cleared",IF(AS1369=0,"Clean",VLOOKUP($AS1369,Ref!$G$23:$H$28,2))))</f>
        <v/>
      </c>
      <c r="AU1369" s="546" t="str">
        <f t="shared" si="588"/>
        <v/>
      </c>
    </row>
    <row r="1370" spans="1:47" ht="14.25" hidden="1" customHeight="1" x14ac:dyDescent="0.15">
      <c r="A1370" s="523"/>
      <c r="B1370" s="523"/>
      <c r="C1370" s="523"/>
      <c r="D1370" s="523"/>
      <c r="E1370" s="579"/>
      <c r="F1370" s="580"/>
      <c r="G1370" s="524"/>
      <c r="H1370" s="555"/>
      <c r="I1370" s="560"/>
      <c r="J1370" s="523"/>
      <c r="K1370" s="528" t="str">
        <f>IFERROR(VLOOKUP($B1370,'Clients-Live'!$A:$C,3,0),"")</f>
        <v/>
      </c>
      <c r="L1370" s="528">
        <f>IF(E1370="STL",Pricing!$D$38,IF(A1370="",0,IF(A1370&lt;Pricing!$C$25,Pricing!$D$25,VLOOKUP(Disbursements!$F1370,Pricing!$B$29:$D$32,3))))</f>
        <v>0</v>
      </c>
      <c r="M1370" s="528">
        <f>IF(E1370="STL",0,IF(F1370&gt;0,Pricing!$D$21,0))</f>
        <v>0</v>
      </c>
      <c r="N1370" s="529">
        <f>IF(E1370="STL",F1370*Pricing!$D$40,IF(A1370&lt;=Pricing!$C$4,0,IF(AND(A1370&gt;Pricing!$C$4,Disbursements!A1370&lt;=Pricing!$C$5),F1370*Pricing!$E$5,IF(AND(A1370&gt;Pricing!$C$5,Disbursements!A1370&lt;=Pricing!$C$7),VLOOKUP(F1370,Pricing!$D$7:$E$8,2)*Disbursements!F1370,F1370*Pricing!$E$9))))</f>
        <v>0</v>
      </c>
      <c r="O1370" s="528">
        <f>IF(E1370="STL",0,IF($F1370&gt;0,$F1370*Pricing!$D$17,0))</f>
        <v>0</v>
      </c>
      <c r="P1370" s="530" t="str">
        <f t="shared" si="568"/>
        <v/>
      </c>
      <c r="Q1370" s="531" t="str">
        <f>IF($A1370="","",$G1370/VLOOKUP($I1370,Ref!$B$23:$D$29,2,0))</f>
        <v/>
      </c>
      <c r="R1370" s="530" t="str">
        <f t="shared" si="569"/>
        <v/>
      </c>
      <c r="S1370" s="532" t="str">
        <f t="shared" si="563"/>
        <v/>
      </c>
      <c r="T1370" s="531" t="str">
        <f t="shared" si="570"/>
        <v/>
      </c>
      <c r="U1370" s="533">
        <f t="shared" si="571"/>
        <v>0</v>
      </c>
      <c r="V1370" s="531" t="str">
        <f t="shared" si="572"/>
        <v/>
      </c>
      <c r="W1370" s="531" t="str">
        <f t="shared" si="573"/>
        <v/>
      </c>
      <c r="X1370" s="534" t="str">
        <f t="shared" si="574"/>
        <v/>
      </c>
      <c r="Y1370" s="535" t="str">
        <f>IF($A1370="","",IF($I1370="weekly",$A1370+7,EDATE($A1370,VLOOKUP($I1370,Ref!$B$24:$C$29,2,0))))</f>
        <v/>
      </c>
      <c r="Z1370" s="536" t="str">
        <f t="shared" si="575"/>
        <v/>
      </c>
      <c r="AA1370" s="531">
        <f t="shared" si="576"/>
        <v>0</v>
      </c>
      <c r="AB1370" s="535" t="str">
        <f t="shared" si="564"/>
        <v/>
      </c>
      <c r="AC1370" s="537" t="str">
        <f t="shared" si="565"/>
        <v/>
      </c>
      <c r="AD1370" s="538" t="str">
        <f t="shared" ca="1" si="566"/>
        <v/>
      </c>
      <c r="AE1370" s="537">
        <f t="shared" ca="1" si="567"/>
        <v>0</v>
      </c>
      <c r="AF1370" s="539" t="str">
        <f t="shared" ca="1" si="577"/>
        <v/>
      </c>
      <c r="AG1370" s="531" t="str">
        <f t="shared" ca="1" si="578"/>
        <v/>
      </c>
      <c r="AH1370" s="531" t="str">
        <f t="shared" ca="1" si="579"/>
        <v/>
      </c>
      <c r="AI1370" s="531" t="str">
        <f t="shared" ca="1" si="580"/>
        <v/>
      </c>
      <c r="AJ1370" s="531" t="str">
        <f t="shared" si="581"/>
        <v/>
      </c>
      <c r="AK1370" s="540">
        <f>SUMIFS('Live Collections'!$S:$S,'Live Collections'!$D:$D,Disbursements!B1370,'Live Collections'!$G:$G,Disbursements!C1370)</f>
        <v>0</v>
      </c>
      <c r="AL1370" s="540">
        <f>SUMIFS('Live Collections'!$T:$T,'Live Collections'!$D:$D,Disbursements!B1370,'Live Collections'!$G:$G,Disbursements!C1370)</f>
        <v>0</v>
      </c>
      <c r="AM1370" s="541">
        <f t="shared" si="582"/>
        <v>0</v>
      </c>
      <c r="AN1370" s="542" t="str">
        <f t="shared" si="583"/>
        <v/>
      </c>
      <c r="AO1370" s="542" t="str">
        <f t="shared" si="584"/>
        <v/>
      </c>
      <c r="AP1370" s="543" t="str">
        <f t="shared" si="585"/>
        <v/>
      </c>
      <c r="AQ1370" s="544" t="str">
        <f t="shared" si="586"/>
        <v/>
      </c>
      <c r="AR1370" s="545">
        <f t="shared" si="587"/>
        <v>0</v>
      </c>
      <c r="AS1370" s="545">
        <f>IFERROR(CEILING($AR1370*VLOOKUP($I1370,Ref!$B$23:$E$29,4,0),1),0)</f>
        <v>0</v>
      </c>
      <c r="AT1370" s="545" t="str">
        <f>IF(A1370="","",IF(AP1370&lt;=1,"Cleared",IF(AS1370=0,"Clean",VLOOKUP($AS1370,Ref!$G$23:$H$28,2))))</f>
        <v/>
      </c>
      <c r="AU1370" s="546" t="str">
        <f t="shared" si="588"/>
        <v/>
      </c>
    </row>
    <row r="1371" spans="1:47" ht="14.25" hidden="1" customHeight="1" x14ac:dyDescent="0.15">
      <c r="A1371" s="523"/>
      <c r="B1371" s="523"/>
      <c r="C1371" s="523"/>
      <c r="D1371" s="523"/>
      <c r="E1371" s="579"/>
      <c r="F1371" s="580"/>
      <c r="G1371" s="524"/>
      <c r="H1371" s="555"/>
      <c r="I1371" s="560"/>
      <c r="J1371" s="523"/>
      <c r="K1371" s="528" t="str">
        <f>IFERROR(VLOOKUP($B1371,'Clients-Live'!$A:$C,3,0),"")</f>
        <v/>
      </c>
      <c r="L1371" s="528">
        <f>IF(E1371="STL",Pricing!$D$38,IF(A1371="",0,IF(A1371&lt;Pricing!$C$25,Pricing!$D$25,VLOOKUP(Disbursements!$F1371,Pricing!$B$29:$D$32,3))))</f>
        <v>0</v>
      </c>
      <c r="M1371" s="528">
        <f>IF(E1371="STL",0,IF(F1371&gt;0,Pricing!$D$21,0))</f>
        <v>0</v>
      </c>
      <c r="N1371" s="529">
        <f>IF(E1371="STL",F1371*Pricing!$D$40,IF(A1371&lt;=Pricing!$C$4,0,IF(AND(A1371&gt;Pricing!$C$4,Disbursements!A1371&lt;=Pricing!$C$5),F1371*Pricing!$E$5,IF(AND(A1371&gt;Pricing!$C$5,Disbursements!A1371&lt;=Pricing!$C$7),VLOOKUP(F1371,Pricing!$D$7:$E$8,2)*Disbursements!F1371,F1371*Pricing!$E$9))))</f>
        <v>0</v>
      </c>
      <c r="O1371" s="528">
        <f>IF(E1371="STL",0,IF($F1371&gt;0,$F1371*Pricing!$D$17,0))</f>
        <v>0</v>
      </c>
      <c r="P1371" s="530" t="str">
        <f t="shared" si="568"/>
        <v/>
      </c>
      <c r="Q1371" s="531" t="str">
        <f>IF($A1371="","",$G1371/VLOOKUP($I1371,Ref!$B$23:$D$29,2,0))</f>
        <v/>
      </c>
      <c r="R1371" s="530" t="str">
        <f t="shared" si="569"/>
        <v/>
      </c>
      <c r="S1371" s="532" t="str">
        <f t="shared" si="563"/>
        <v/>
      </c>
      <c r="T1371" s="531" t="str">
        <f t="shared" si="570"/>
        <v/>
      </c>
      <c r="U1371" s="533">
        <f t="shared" si="571"/>
        <v>0</v>
      </c>
      <c r="V1371" s="531" t="str">
        <f t="shared" si="572"/>
        <v/>
      </c>
      <c r="W1371" s="531" t="str">
        <f t="shared" si="573"/>
        <v/>
      </c>
      <c r="X1371" s="534" t="str">
        <f t="shared" si="574"/>
        <v/>
      </c>
      <c r="Y1371" s="535" t="str">
        <f>IF($A1371="","",IF($I1371="weekly",$A1371+7,EDATE($A1371,VLOOKUP($I1371,Ref!$B$24:$C$29,2,0))))</f>
        <v/>
      </c>
      <c r="Z1371" s="536" t="str">
        <f t="shared" si="575"/>
        <v/>
      </c>
      <c r="AA1371" s="531">
        <f t="shared" si="576"/>
        <v>0</v>
      </c>
      <c r="AB1371" s="535" t="str">
        <f t="shared" si="564"/>
        <v/>
      </c>
      <c r="AC1371" s="537" t="str">
        <f t="shared" si="565"/>
        <v/>
      </c>
      <c r="AD1371" s="538" t="str">
        <f t="shared" ca="1" si="566"/>
        <v/>
      </c>
      <c r="AE1371" s="537">
        <f t="shared" ca="1" si="567"/>
        <v>0</v>
      </c>
      <c r="AF1371" s="539" t="str">
        <f t="shared" ca="1" si="577"/>
        <v/>
      </c>
      <c r="AG1371" s="531" t="str">
        <f t="shared" ca="1" si="578"/>
        <v/>
      </c>
      <c r="AH1371" s="531" t="str">
        <f t="shared" ca="1" si="579"/>
        <v/>
      </c>
      <c r="AI1371" s="531" t="str">
        <f t="shared" ca="1" si="580"/>
        <v/>
      </c>
      <c r="AJ1371" s="531" t="str">
        <f t="shared" si="581"/>
        <v/>
      </c>
      <c r="AK1371" s="540">
        <f>SUMIFS('Live Collections'!$S:$S,'Live Collections'!$D:$D,Disbursements!B1371,'Live Collections'!$G:$G,Disbursements!C1371)</f>
        <v>0</v>
      </c>
      <c r="AL1371" s="540">
        <f>SUMIFS('Live Collections'!$T:$T,'Live Collections'!$D:$D,Disbursements!B1371,'Live Collections'!$G:$G,Disbursements!C1371)</f>
        <v>0</v>
      </c>
      <c r="AM1371" s="541">
        <f t="shared" si="582"/>
        <v>0</v>
      </c>
      <c r="AN1371" s="542" t="str">
        <f t="shared" si="583"/>
        <v/>
      </c>
      <c r="AO1371" s="542" t="str">
        <f t="shared" si="584"/>
        <v/>
      </c>
      <c r="AP1371" s="543" t="str">
        <f t="shared" si="585"/>
        <v/>
      </c>
      <c r="AQ1371" s="544" t="str">
        <f t="shared" si="586"/>
        <v/>
      </c>
      <c r="AR1371" s="545">
        <f t="shared" si="587"/>
        <v>0</v>
      </c>
      <c r="AS1371" s="545">
        <f>IFERROR(CEILING($AR1371*VLOOKUP($I1371,Ref!$B$23:$E$29,4,0),1),0)</f>
        <v>0</v>
      </c>
      <c r="AT1371" s="545" t="str">
        <f>IF(A1371="","",IF(AP1371&lt;=1,"Cleared",IF(AS1371=0,"Clean",VLOOKUP($AS1371,Ref!$G$23:$H$28,2))))</f>
        <v/>
      </c>
      <c r="AU1371" s="546" t="str">
        <f t="shared" si="588"/>
        <v/>
      </c>
    </row>
    <row r="1372" spans="1:47" ht="14.25" hidden="1" customHeight="1" x14ac:dyDescent="0.15">
      <c r="A1372" s="523"/>
      <c r="B1372" s="523"/>
      <c r="C1372" s="523"/>
      <c r="D1372" s="523"/>
      <c r="E1372" s="579"/>
      <c r="F1372" s="580"/>
      <c r="G1372" s="524"/>
      <c r="H1372" s="555"/>
      <c r="I1372" s="560"/>
      <c r="J1372" s="523"/>
      <c r="K1372" s="528" t="str">
        <f>IFERROR(VLOOKUP($B1372,'Clients-Live'!$A:$C,3,0),"")</f>
        <v/>
      </c>
      <c r="L1372" s="528">
        <f>IF(E1372="STL",Pricing!$D$38,IF(A1372="",0,IF(A1372&lt;Pricing!$C$25,Pricing!$D$25,VLOOKUP(Disbursements!$F1372,Pricing!$B$29:$D$32,3))))</f>
        <v>0</v>
      </c>
      <c r="M1372" s="528">
        <f>IF(E1372="STL",0,IF(F1372&gt;0,Pricing!$D$21,0))</f>
        <v>0</v>
      </c>
      <c r="N1372" s="529">
        <f>IF(E1372="STL",F1372*Pricing!$D$40,IF(A1372&lt;=Pricing!$C$4,0,IF(AND(A1372&gt;Pricing!$C$4,Disbursements!A1372&lt;=Pricing!$C$5),F1372*Pricing!$E$5,IF(AND(A1372&gt;Pricing!$C$5,Disbursements!A1372&lt;=Pricing!$C$7),VLOOKUP(F1372,Pricing!$D$7:$E$8,2)*Disbursements!F1372,F1372*Pricing!$E$9))))</f>
        <v>0</v>
      </c>
      <c r="O1372" s="528">
        <f>IF(E1372="STL",0,IF($F1372&gt;0,$F1372*Pricing!$D$17,0))</f>
        <v>0</v>
      </c>
      <c r="P1372" s="530" t="str">
        <f t="shared" si="568"/>
        <v/>
      </c>
      <c r="Q1372" s="531" t="str">
        <f>IF($A1372="","",$G1372/VLOOKUP($I1372,Ref!$B$23:$D$29,2,0))</f>
        <v/>
      </c>
      <c r="R1372" s="530" t="str">
        <f t="shared" si="569"/>
        <v/>
      </c>
      <c r="S1372" s="532" t="str">
        <f t="shared" si="563"/>
        <v/>
      </c>
      <c r="T1372" s="531" t="str">
        <f t="shared" si="570"/>
        <v/>
      </c>
      <c r="U1372" s="533">
        <f t="shared" si="571"/>
        <v>0</v>
      </c>
      <c r="V1372" s="531" t="str">
        <f t="shared" si="572"/>
        <v/>
      </c>
      <c r="W1372" s="531" t="str">
        <f t="shared" si="573"/>
        <v/>
      </c>
      <c r="X1372" s="534" t="str">
        <f t="shared" si="574"/>
        <v/>
      </c>
      <c r="Y1372" s="535" t="str">
        <f>IF($A1372="","",IF($I1372="weekly",$A1372+7,EDATE($A1372,VLOOKUP($I1372,Ref!$B$24:$C$29,2,0))))</f>
        <v/>
      </c>
      <c r="Z1372" s="536" t="str">
        <f t="shared" si="575"/>
        <v/>
      </c>
      <c r="AA1372" s="531">
        <f t="shared" si="576"/>
        <v>0</v>
      </c>
      <c r="AB1372" s="535" t="str">
        <f t="shared" si="564"/>
        <v/>
      </c>
      <c r="AC1372" s="537" t="str">
        <f t="shared" si="565"/>
        <v/>
      </c>
      <c r="AD1372" s="538" t="str">
        <f t="shared" ca="1" si="566"/>
        <v/>
      </c>
      <c r="AE1372" s="537">
        <f t="shared" ca="1" si="567"/>
        <v>0</v>
      </c>
      <c r="AF1372" s="539" t="str">
        <f t="shared" ca="1" si="577"/>
        <v/>
      </c>
      <c r="AG1372" s="531" t="str">
        <f t="shared" ca="1" si="578"/>
        <v/>
      </c>
      <c r="AH1372" s="531" t="str">
        <f t="shared" ca="1" si="579"/>
        <v/>
      </c>
      <c r="AI1372" s="531" t="str">
        <f t="shared" ca="1" si="580"/>
        <v/>
      </c>
      <c r="AJ1372" s="531" t="str">
        <f t="shared" si="581"/>
        <v/>
      </c>
      <c r="AK1372" s="540">
        <f>SUMIFS('Live Collections'!$S:$S,'Live Collections'!$D:$D,Disbursements!B1372,'Live Collections'!$G:$G,Disbursements!C1372)</f>
        <v>0</v>
      </c>
      <c r="AL1372" s="540">
        <f>SUMIFS('Live Collections'!$T:$T,'Live Collections'!$D:$D,Disbursements!B1372,'Live Collections'!$G:$G,Disbursements!C1372)</f>
        <v>0</v>
      </c>
      <c r="AM1372" s="541">
        <f t="shared" si="582"/>
        <v>0</v>
      </c>
      <c r="AN1372" s="542" t="str">
        <f t="shared" si="583"/>
        <v/>
      </c>
      <c r="AO1372" s="542" t="str">
        <f t="shared" si="584"/>
        <v/>
      </c>
      <c r="AP1372" s="543" t="str">
        <f t="shared" si="585"/>
        <v/>
      </c>
      <c r="AQ1372" s="544" t="str">
        <f t="shared" si="586"/>
        <v/>
      </c>
      <c r="AR1372" s="545">
        <f t="shared" si="587"/>
        <v>0</v>
      </c>
      <c r="AS1372" s="545">
        <f>IFERROR(CEILING($AR1372*VLOOKUP($I1372,Ref!$B$23:$E$29,4,0),1),0)</f>
        <v>0</v>
      </c>
      <c r="AT1372" s="545" t="str">
        <f>IF(A1372="","",IF(AP1372&lt;=1,"Cleared",IF(AS1372=0,"Clean",VLOOKUP($AS1372,Ref!$G$23:$H$28,2))))</f>
        <v/>
      </c>
      <c r="AU1372" s="546" t="str">
        <f t="shared" si="588"/>
        <v/>
      </c>
    </row>
    <row r="1373" spans="1:47" ht="14.25" hidden="1" customHeight="1" x14ac:dyDescent="0.15">
      <c r="A1373" s="523"/>
      <c r="B1373" s="523"/>
      <c r="C1373" s="523"/>
      <c r="D1373" s="523"/>
      <c r="E1373" s="579"/>
      <c r="F1373" s="580"/>
      <c r="G1373" s="524"/>
      <c r="H1373" s="555"/>
      <c r="I1373" s="560"/>
      <c r="J1373" s="523"/>
      <c r="K1373" s="528" t="str">
        <f>IFERROR(VLOOKUP($B1373,'Clients-Live'!$A:$C,3,0),"")</f>
        <v/>
      </c>
      <c r="L1373" s="528">
        <f>IF(E1373="STL",Pricing!$D$38,IF(A1373="",0,IF(A1373&lt;Pricing!$C$25,Pricing!$D$25,VLOOKUP(Disbursements!$F1373,Pricing!$B$29:$D$32,3))))</f>
        <v>0</v>
      </c>
      <c r="M1373" s="528">
        <f>IF(E1373="STL",0,IF(F1373&gt;0,Pricing!$D$21,0))</f>
        <v>0</v>
      </c>
      <c r="N1373" s="529">
        <f>IF(E1373="STL",F1373*Pricing!$D$40,IF(A1373&lt;=Pricing!$C$4,0,IF(AND(A1373&gt;Pricing!$C$4,Disbursements!A1373&lt;=Pricing!$C$5),F1373*Pricing!$E$5,IF(AND(A1373&gt;Pricing!$C$5,Disbursements!A1373&lt;=Pricing!$C$7),VLOOKUP(F1373,Pricing!$D$7:$E$8,2)*Disbursements!F1373,F1373*Pricing!$E$9))))</f>
        <v>0</v>
      </c>
      <c r="O1373" s="528">
        <f>IF(E1373="STL",0,IF($F1373&gt;0,$F1373*Pricing!$D$17,0))</f>
        <v>0</v>
      </c>
      <c r="P1373" s="530" t="str">
        <f t="shared" si="568"/>
        <v/>
      </c>
      <c r="Q1373" s="531" t="str">
        <f>IF($A1373="","",$G1373/VLOOKUP($I1373,Ref!$B$23:$D$29,2,0))</f>
        <v/>
      </c>
      <c r="R1373" s="530" t="str">
        <f t="shared" si="569"/>
        <v/>
      </c>
      <c r="S1373" s="532" t="str">
        <f t="shared" si="563"/>
        <v/>
      </c>
      <c r="T1373" s="531" t="str">
        <f t="shared" si="570"/>
        <v/>
      </c>
      <c r="U1373" s="533">
        <f t="shared" si="571"/>
        <v>0</v>
      </c>
      <c r="V1373" s="531" t="str">
        <f t="shared" si="572"/>
        <v/>
      </c>
      <c r="W1373" s="531" t="str">
        <f t="shared" si="573"/>
        <v/>
      </c>
      <c r="X1373" s="534" t="str">
        <f t="shared" si="574"/>
        <v/>
      </c>
      <c r="Y1373" s="535" t="str">
        <f>IF($A1373="","",IF($I1373="weekly",$A1373+7,EDATE($A1373,VLOOKUP($I1373,Ref!$B$24:$C$29,2,0))))</f>
        <v/>
      </c>
      <c r="Z1373" s="536" t="str">
        <f t="shared" si="575"/>
        <v/>
      </c>
      <c r="AA1373" s="531">
        <f t="shared" si="576"/>
        <v>0</v>
      </c>
      <c r="AB1373" s="535" t="str">
        <f t="shared" si="564"/>
        <v/>
      </c>
      <c r="AC1373" s="537" t="str">
        <f t="shared" si="565"/>
        <v/>
      </c>
      <c r="AD1373" s="538" t="str">
        <f t="shared" ca="1" si="566"/>
        <v/>
      </c>
      <c r="AE1373" s="537">
        <f t="shared" ca="1" si="567"/>
        <v>0</v>
      </c>
      <c r="AF1373" s="539" t="str">
        <f t="shared" ca="1" si="577"/>
        <v/>
      </c>
      <c r="AG1373" s="531" t="str">
        <f t="shared" ca="1" si="578"/>
        <v/>
      </c>
      <c r="AH1373" s="531" t="str">
        <f t="shared" ca="1" si="579"/>
        <v/>
      </c>
      <c r="AI1373" s="531" t="str">
        <f t="shared" ca="1" si="580"/>
        <v/>
      </c>
      <c r="AJ1373" s="531" t="str">
        <f t="shared" si="581"/>
        <v/>
      </c>
      <c r="AK1373" s="540">
        <f>SUMIFS('Live Collections'!$S:$S,'Live Collections'!$D:$D,Disbursements!B1373,'Live Collections'!$G:$G,Disbursements!C1373)</f>
        <v>0</v>
      </c>
      <c r="AL1373" s="540">
        <f>SUMIFS('Live Collections'!$T:$T,'Live Collections'!$D:$D,Disbursements!B1373,'Live Collections'!$G:$G,Disbursements!C1373)</f>
        <v>0</v>
      </c>
      <c r="AM1373" s="541">
        <f t="shared" si="582"/>
        <v>0</v>
      </c>
      <c r="AN1373" s="542" t="str">
        <f t="shared" si="583"/>
        <v/>
      </c>
      <c r="AO1373" s="542" t="str">
        <f t="shared" si="584"/>
        <v/>
      </c>
      <c r="AP1373" s="543" t="str">
        <f t="shared" si="585"/>
        <v/>
      </c>
      <c r="AQ1373" s="544" t="str">
        <f t="shared" si="586"/>
        <v/>
      </c>
      <c r="AR1373" s="545">
        <f t="shared" si="587"/>
        <v>0</v>
      </c>
      <c r="AS1373" s="545">
        <f>IFERROR(CEILING($AR1373*VLOOKUP($I1373,Ref!$B$23:$E$29,4,0),1),0)</f>
        <v>0</v>
      </c>
      <c r="AT1373" s="545" t="str">
        <f>IF(A1373="","",IF(AP1373&lt;=1,"Cleared",IF(AS1373=0,"Clean",VLOOKUP($AS1373,Ref!$G$23:$H$28,2))))</f>
        <v/>
      </c>
      <c r="AU1373" s="546" t="str">
        <f t="shared" si="588"/>
        <v/>
      </c>
    </row>
    <row r="1374" spans="1:47" ht="14.25" hidden="1" customHeight="1" x14ac:dyDescent="0.15">
      <c r="A1374" s="523"/>
      <c r="B1374" s="523"/>
      <c r="C1374" s="523"/>
      <c r="D1374" s="523"/>
      <c r="E1374" s="579"/>
      <c r="F1374" s="580"/>
      <c r="G1374" s="524"/>
      <c r="H1374" s="555"/>
      <c r="I1374" s="560"/>
      <c r="J1374" s="523"/>
      <c r="K1374" s="528" t="str">
        <f>IFERROR(VLOOKUP($B1374,'Clients-Live'!$A:$C,3,0),"")</f>
        <v/>
      </c>
      <c r="L1374" s="528">
        <f>IF(E1374="STL",Pricing!$D$38,IF(A1374="",0,IF(A1374&lt;Pricing!$C$25,Pricing!$D$25,VLOOKUP(Disbursements!$F1374,Pricing!$B$29:$D$32,3))))</f>
        <v>0</v>
      </c>
      <c r="M1374" s="528">
        <f>IF(E1374="STL",0,IF(F1374&gt;0,Pricing!$D$21,0))</f>
        <v>0</v>
      </c>
      <c r="N1374" s="529">
        <f>IF(E1374="STL",F1374*Pricing!$D$40,IF(A1374&lt;=Pricing!$C$4,0,IF(AND(A1374&gt;Pricing!$C$4,Disbursements!A1374&lt;=Pricing!$C$5),F1374*Pricing!$E$5,IF(AND(A1374&gt;Pricing!$C$5,Disbursements!A1374&lt;=Pricing!$C$7),VLOOKUP(F1374,Pricing!$D$7:$E$8,2)*Disbursements!F1374,F1374*Pricing!$E$9))))</f>
        <v>0</v>
      </c>
      <c r="O1374" s="528">
        <f>IF(E1374="STL",0,IF($F1374&gt;0,$F1374*Pricing!$D$17,0))</f>
        <v>0</v>
      </c>
      <c r="P1374" s="530" t="str">
        <f t="shared" si="568"/>
        <v/>
      </c>
      <c r="Q1374" s="531" t="str">
        <f>IF($A1374="","",$G1374/VLOOKUP($I1374,Ref!$B$23:$D$29,2,0))</f>
        <v/>
      </c>
      <c r="R1374" s="530" t="str">
        <f t="shared" si="569"/>
        <v/>
      </c>
      <c r="S1374" s="532" t="str">
        <f t="shared" si="563"/>
        <v/>
      </c>
      <c r="T1374" s="531" t="str">
        <f t="shared" si="570"/>
        <v/>
      </c>
      <c r="U1374" s="533">
        <f t="shared" si="571"/>
        <v>0</v>
      </c>
      <c r="V1374" s="531" t="str">
        <f t="shared" si="572"/>
        <v/>
      </c>
      <c r="W1374" s="531" t="str">
        <f t="shared" si="573"/>
        <v/>
      </c>
      <c r="X1374" s="534" t="str">
        <f t="shared" si="574"/>
        <v/>
      </c>
      <c r="Y1374" s="535" t="str">
        <f>IF($A1374="","",IF($I1374="weekly",$A1374+7,EDATE($A1374,VLOOKUP($I1374,Ref!$B$24:$C$29,2,0))))</f>
        <v/>
      </c>
      <c r="Z1374" s="536" t="str">
        <f t="shared" si="575"/>
        <v/>
      </c>
      <c r="AA1374" s="531">
        <f t="shared" si="576"/>
        <v>0</v>
      </c>
      <c r="AB1374" s="535" t="str">
        <f t="shared" si="564"/>
        <v/>
      </c>
      <c r="AC1374" s="537" t="str">
        <f t="shared" si="565"/>
        <v/>
      </c>
      <c r="AD1374" s="538" t="str">
        <f t="shared" ca="1" si="566"/>
        <v/>
      </c>
      <c r="AE1374" s="537">
        <f t="shared" ca="1" si="567"/>
        <v>0</v>
      </c>
      <c r="AF1374" s="539" t="str">
        <f t="shared" ca="1" si="577"/>
        <v/>
      </c>
      <c r="AG1374" s="531" t="str">
        <f t="shared" ca="1" si="578"/>
        <v/>
      </c>
      <c r="AH1374" s="531" t="str">
        <f t="shared" ca="1" si="579"/>
        <v/>
      </c>
      <c r="AI1374" s="531" t="str">
        <f t="shared" ca="1" si="580"/>
        <v/>
      </c>
      <c r="AJ1374" s="531" t="str">
        <f t="shared" si="581"/>
        <v/>
      </c>
      <c r="AK1374" s="540">
        <f>SUMIFS('Live Collections'!$S:$S,'Live Collections'!$D:$D,Disbursements!B1374,'Live Collections'!$G:$G,Disbursements!C1374)</f>
        <v>0</v>
      </c>
      <c r="AL1374" s="540">
        <f>SUMIFS('Live Collections'!$T:$T,'Live Collections'!$D:$D,Disbursements!B1374,'Live Collections'!$G:$G,Disbursements!C1374)</f>
        <v>0</v>
      </c>
      <c r="AM1374" s="541">
        <f t="shared" si="582"/>
        <v>0</v>
      </c>
      <c r="AN1374" s="542" t="str">
        <f t="shared" si="583"/>
        <v/>
      </c>
      <c r="AO1374" s="542" t="str">
        <f t="shared" si="584"/>
        <v/>
      </c>
      <c r="AP1374" s="543" t="str">
        <f t="shared" si="585"/>
        <v/>
      </c>
      <c r="AQ1374" s="544" t="str">
        <f t="shared" si="586"/>
        <v/>
      </c>
      <c r="AR1374" s="545">
        <f t="shared" si="587"/>
        <v>0</v>
      </c>
      <c r="AS1374" s="545">
        <f>IFERROR(CEILING($AR1374*VLOOKUP($I1374,Ref!$B$23:$E$29,4,0),1),0)</f>
        <v>0</v>
      </c>
      <c r="AT1374" s="545" t="str">
        <f>IF(A1374="","",IF(AP1374&lt;=1,"Cleared",IF(AS1374=0,"Clean",VLOOKUP($AS1374,Ref!$G$23:$H$28,2))))</f>
        <v/>
      </c>
      <c r="AU1374" s="546" t="str">
        <f t="shared" si="588"/>
        <v/>
      </c>
    </row>
    <row r="1375" spans="1:47" ht="14.25" hidden="1" customHeight="1" x14ac:dyDescent="0.15">
      <c r="A1375" s="523"/>
      <c r="B1375" s="523"/>
      <c r="C1375" s="523"/>
      <c r="D1375" s="523"/>
      <c r="E1375" s="579"/>
      <c r="F1375" s="580"/>
      <c r="G1375" s="524"/>
      <c r="H1375" s="555"/>
      <c r="I1375" s="560"/>
      <c r="J1375" s="523"/>
      <c r="K1375" s="528" t="str">
        <f>IFERROR(VLOOKUP($B1375,'Clients-Live'!$A:$C,3,0),"")</f>
        <v/>
      </c>
      <c r="L1375" s="528">
        <f>IF(E1375="STL",Pricing!$D$38,IF(A1375="",0,IF(A1375&lt;Pricing!$C$25,Pricing!$D$25,VLOOKUP(Disbursements!$F1375,Pricing!$B$29:$D$32,3))))</f>
        <v>0</v>
      </c>
      <c r="M1375" s="528">
        <f>IF(E1375="STL",0,IF(F1375&gt;0,Pricing!$D$21,0))</f>
        <v>0</v>
      </c>
      <c r="N1375" s="529">
        <f>IF(E1375="STL",F1375*Pricing!$D$40,IF(A1375&lt;=Pricing!$C$4,0,IF(AND(A1375&gt;Pricing!$C$4,Disbursements!A1375&lt;=Pricing!$C$5),F1375*Pricing!$E$5,IF(AND(A1375&gt;Pricing!$C$5,Disbursements!A1375&lt;=Pricing!$C$7),VLOOKUP(F1375,Pricing!$D$7:$E$8,2)*Disbursements!F1375,F1375*Pricing!$E$9))))</f>
        <v>0</v>
      </c>
      <c r="O1375" s="528">
        <f>IF(E1375="STL",0,IF($F1375&gt;0,$F1375*Pricing!$D$17,0))</f>
        <v>0</v>
      </c>
      <c r="P1375" s="530" t="str">
        <f t="shared" si="568"/>
        <v/>
      </c>
      <c r="Q1375" s="531" t="str">
        <f>IF($A1375="","",$G1375/VLOOKUP($I1375,Ref!$B$23:$D$29,2,0))</f>
        <v/>
      </c>
      <c r="R1375" s="530" t="str">
        <f t="shared" si="569"/>
        <v/>
      </c>
      <c r="S1375" s="532" t="str">
        <f t="shared" si="563"/>
        <v/>
      </c>
      <c r="T1375" s="531" t="str">
        <f t="shared" si="570"/>
        <v/>
      </c>
      <c r="U1375" s="533">
        <f t="shared" si="571"/>
        <v>0</v>
      </c>
      <c r="V1375" s="531" t="str">
        <f t="shared" si="572"/>
        <v/>
      </c>
      <c r="W1375" s="531" t="str">
        <f t="shared" si="573"/>
        <v/>
      </c>
      <c r="X1375" s="534" t="str">
        <f t="shared" si="574"/>
        <v/>
      </c>
      <c r="Y1375" s="535" t="str">
        <f>IF($A1375="","",IF($I1375="weekly",$A1375+7,EDATE($A1375,VLOOKUP($I1375,Ref!$B$24:$C$29,2,0))))</f>
        <v/>
      </c>
      <c r="Z1375" s="536" t="str">
        <f t="shared" si="575"/>
        <v/>
      </c>
      <c r="AA1375" s="531">
        <f t="shared" si="576"/>
        <v>0</v>
      </c>
      <c r="AB1375" s="535" t="str">
        <f t="shared" si="564"/>
        <v/>
      </c>
      <c r="AC1375" s="537" t="str">
        <f t="shared" si="565"/>
        <v/>
      </c>
      <c r="AD1375" s="538" t="str">
        <f t="shared" ca="1" si="566"/>
        <v/>
      </c>
      <c r="AE1375" s="537">
        <f t="shared" ca="1" si="567"/>
        <v>0</v>
      </c>
      <c r="AF1375" s="539" t="str">
        <f t="shared" ca="1" si="577"/>
        <v/>
      </c>
      <c r="AG1375" s="531" t="str">
        <f t="shared" ca="1" si="578"/>
        <v/>
      </c>
      <c r="AH1375" s="531" t="str">
        <f t="shared" ca="1" si="579"/>
        <v/>
      </c>
      <c r="AI1375" s="531" t="str">
        <f t="shared" ca="1" si="580"/>
        <v/>
      </c>
      <c r="AJ1375" s="531" t="str">
        <f t="shared" si="581"/>
        <v/>
      </c>
      <c r="AK1375" s="540">
        <f>SUMIFS('Live Collections'!$S:$S,'Live Collections'!$D:$D,Disbursements!B1375,'Live Collections'!$G:$G,Disbursements!C1375)</f>
        <v>0</v>
      </c>
      <c r="AL1375" s="540">
        <f>SUMIFS('Live Collections'!$T:$T,'Live Collections'!$D:$D,Disbursements!B1375,'Live Collections'!$G:$G,Disbursements!C1375)</f>
        <v>0</v>
      </c>
      <c r="AM1375" s="541">
        <f t="shared" si="582"/>
        <v>0</v>
      </c>
      <c r="AN1375" s="542" t="str">
        <f t="shared" si="583"/>
        <v/>
      </c>
      <c r="AO1375" s="542" t="str">
        <f t="shared" si="584"/>
        <v/>
      </c>
      <c r="AP1375" s="543" t="str">
        <f t="shared" si="585"/>
        <v/>
      </c>
      <c r="AQ1375" s="544" t="str">
        <f t="shared" si="586"/>
        <v/>
      </c>
      <c r="AR1375" s="545">
        <f t="shared" si="587"/>
        <v>0</v>
      </c>
      <c r="AS1375" s="545">
        <f>IFERROR(CEILING($AR1375*VLOOKUP($I1375,Ref!$B$23:$E$29,4,0),1),0)</f>
        <v>0</v>
      </c>
      <c r="AT1375" s="545" t="str">
        <f>IF(A1375="","",IF(AP1375&lt;=1,"Cleared",IF(AS1375=0,"Clean",VLOOKUP($AS1375,Ref!$G$23:$H$28,2))))</f>
        <v/>
      </c>
      <c r="AU1375" s="546" t="str">
        <f t="shared" si="588"/>
        <v/>
      </c>
    </row>
    <row r="1376" spans="1:47" ht="14.25" hidden="1" customHeight="1" x14ac:dyDescent="0.15">
      <c r="A1376" s="523"/>
      <c r="B1376" s="523"/>
      <c r="C1376" s="523"/>
      <c r="D1376" s="523"/>
      <c r="E1376" s="579"/>
      <c r="F1376" s="580"/>
      <c r="G1376" s="524"/>
      <c r="H1376" s="555"/>
      <c r="I1376" s="560"/>
      <c r="J1376" s="523"/>
      <c r="K1376" s="528" t="str">
        <f>IFERROR(VLOOKUP($B1376,'Clients-Live'!$A:$C,3,0),"")</f>
        <v/>
      </c>
      <c r="L1376" s="528">
        <f>IF(E1376="STL",Pricing!$D$38,IF(A1376="",0,IF(A1376&lt;Pricing!$C$25,Pricing!$D$25,VLOOKUP(Disbursements!$F1376,Pricing!$B$29:$D$32,3))))</f>
        <v>0</v>
      </c>
      <c r="M1376" s="528">
        <f>IF(E1376="STL",0,IF(F1376&gt;0,Pricing!$D$21,0))</f>
        <v>0</v>
      </c>
      <c r="N1376" s="529">
        <f>IF(E1376="STL",F1376*Pricing!$D$40,IF(A1376&lt;=Pricing!$C$4,0,IF(AND(A1376&gt;Pricing!$C$4,Disbursements!A1376&lt;=Pricing!$C$5),F1376*Pricing!$E$5,IF(AND(A1376&gt;Pricing!$C$5,Disbursements!A1376&lt;=Pricing!$C$7),VLOOKUP(F1376,Pricing!$D$7:$E$8,2)*Disbursements!F1376,F1376*Pricing!$E$9))))</f>
        <v>0</v>
      </c>
      <c r="O1376" s="528">
        <f>IF(E1376="STL",0,IF($F1376&gt;0,$F1376*Pricing!$D$17,0))</f>
        <v>0</v>
      </c>
      <c r="P1376" s="530" t="str">
        <f t="shared" si="568"/>
        <v/>
      </c>
      <c r="Q1376" s="531" t="str">
        <f>IF($A1376="","",$G1376/VLOOKUP($I1376,Ref!$B$23:$D$29,2,0))</f>
        <v/>
      </c>
      <c r="R1376" s="530" t="str">
        <f t="shared" si="569"/>
        <v/>
      </c>
      <c r="S1376" s="532" t="str">
        <f t="shared" si="563"/>
        <v/>
      </c>
      <c r="T1376" s="531" t="str">
        <f t="shared" si="570"/>
        <v/>
      </c>
      <c r="U1376" s="533">
        <f t="shared" si="571"/>
        <v>0</v>
      </c>
      <c r="V1376" s="531" t="str">
        <f t="shared" si="572"/>
        <v/>
      </c>
      <c r="W1376" s="531" t="str">
        <f t="shared" si="573"/>
        <v/>
      </c>
      <c r="X1376" s="534" t="str">
        <f t="shared" si="574"/>
        <v/>
      </c>
      <c r="Y1376" s="535" t="str">
        <f>IF($A1376="","",IF($I1376="weekly",$A1376+7,EDATE($A1376,VLOOKUP($I1376,Ref!$B$24:$C$29,2,0))))</f>
        <v/>
      </c>
      <c r="Z1376" s="536" t="str">
        <f t="shared" si="575"/>
        <v/>
      </c>
      <c r="AA1376" s="531">
        <f t="shared" si="576"/>
        <v>0</v>
      </c>
      <c r="AB1376" s="535" t="str">
        <f t="shared" si="564"/>
        <v/>
      </c>
      <c r="AC1376" s="537" t="str">
        <f t="shared" si="565"/>
        <v/>
      </c>
      <c r="AD1376" s="538" t="str">
        <f t="shared" ca="1" si="566"/>
        <v/>
      </c>
      <c r="AE1376" s="537">
        <f t="shared" ca="1" si="567"/>
        <v>0</v>
      </c>
      <c r="AF1376" s="539" t="str">
        <f t="shared" ca="1" si="577"/>
        <v/>
      </c>
      <c r="AG1376" s="531" t="str">
        <f t="shared" ca="1" si="578"/>
        <v/>
      </c>
      <c r="AH1376" s="531" t="str">
        <f t="shared" ca="1" si="579"/>
        <v/>
      </c>
      <c r="AI1376" s="531" t="str">
        <f t="shared" ca="1" si="580"/>
        <v/>
      </c>
      <c r="AJ1376" s="531" t="str">
        <f t="shared" si="581"/>
        <v/>
      </c>
      <c r="AK1376" s="540">
        <f>SUMIFS('Live Collections'!$S:$S,'Live Collections'!$D:$D,Disbursements!B1376,'Live Collections'!$G:$G,Disbursements!C1376)</f>
        <v>0</v>
      </c>
      <c r="AL1376" s="540">
        <f>SUMIFS('Live Collections'!$T:$T,'Live Collections'!$D:$D,Disbursements!B1376,'Live Collections'!$G:$G,Disbursements!C1376)</f>
        <v>0</v>
      </c>
      <c r="AM1376" s="541">
        <f t="shared" si="582"/>
        <v>0</v>
      </c>
      <c r="AN1376" s="542" t="str">
        <f t="shared" si="583"/>
        <v/>
      </c>
      <c r="AO1376" s="542" t="str">
        <f t="shared" si="584"/>
        <v/>
      </c>
      <c r="AP1376" s="543" t="str">
        <f t="shared" si="585"/>
        <v/>
      </c>
      <c r="AQ1376" s="544" t="str">
        <f t="shared" si="586"/>
        <v/>
      </c>
      <c r="AR1376" s="545">
        <f t="shared" si="587"/>
        <v>0</v>
      </c>
      <c r="AS1376" s="545">
        <f>IFERROR(CEILING($AR1376*VLOOKUP($I1376,Ref!$B$23:$E$29,4,0),1),0)</f>
        <v>0</v>
      </c>
      <c r="AT1376" s="545" t="str">
        <f>IF(A1376="","",IF(AP1376&lt;=1,"Cleared",IF(AS1376=0,"Clean",VLOOKUP($AS1376,Ref!$G$23:$H$28,2))))</f>
        <v/>
      </c>
      <c r="AU1376" s="546" t="str">
        <f t="shared" si="588"/>
        <v/>
      </c>
    </row>
    <row r="1377" spans="1:47" ht="14.25" hidden="1" customHeight="1" x14ac:dyDescent="0.15">
      <c r="A1377" s="523"/>
      <c r="B1377" s="523"/>
      <c r="C1377" s="523"/>
      <c r="D1377" s="523"/>
      <c r="E1377" s="579"/>
      <c r="F1377" s="580"/>
      <c r="G1377" s="524"/>
      <c r="H1377" s="555"/>
      <c r="I1377" s="560"/>
      <c r="J1377" s="523"/>
      <c r="K1377" s="528" t="str">
        <f>IFERROR(VLOOKUP($B1377,'Clients-Live'!$A:$C,3,0),"")</f>
        <v/>
      </c>
      <c r="L1377" s="528">
        <f>IF(E1377="STL",Pricing!$D$38,IF(A1377="",0,IF(A1377&lt;Pricing!$C$25,Pricing!$D$25,VLOOKUP(Disbursements!$F1377,Pricing!$B$29:$D$32,3))))</f>
        <v>0</v>
      </c>
      <c r="M1377" s="528">
        <f>IF(E1377="STL",0,IF(F1377&gt;0,Pricing!$D$21,0))</f>
        <v>0</v>
      </c>
      <c r="N1377" s="529">
        <f>IF(E1377="STL",F1377*Pricing!$D$40,IF(A1377&lt;=Pricing!$C$4,0,IF(AND(A1377&gt;Pricing!$C$4,Disbursements!A1377&lt;=Pricing!$C$5),F1377*Pricing!$E$5,IF(AND(A1377&gt;Pricing!$C$5,Disbursements!A1377&lt;=Pricing!$C$7),VLOOKUP(F1377,Pricing!$D$7:$E$8,2)*Disbursements!F1377,F1377*Pricing!$E$9))))</f>
        <v>0</v>
      </c>
      <c r="O1377" s="528">
        <f>IF(E1377="STL",0,IF($F1377&gt;0,$F1377*Pricing!$D$17,0))</f>
        <v>0</v>
      </c>
      <c r="P1377" s="530" t="str">
        <f t="shared" si="568"/>
        <v/>
      </c>
      <c r="Q1377" s="531" t="str">
        <f>IF($A1377="","",$G1377/VLOOKUP($I1377,Ref!$B$23:$D$29,2,0))</f>
        <v/>
      </c>
      <c r="R1377" s="530" t="str">
        <f t="shared" si="569"/>
        <v/>
      </c>
      <c r="S1377" s="532" t="str">
        <f t="shared" si="563"/>
        <v/>
      </c>
      <c r="T1377" s="531" t="str">
        <f t="shared" si="570"/>
        <v/>
      </c>
      <c r="U1377" s="533">
        <f t="shared" si="571"/>
        <v>0</v>
      </c>
      <c r="V1377" s="531" t="str">
        <f t="shared" si="572"/>
        <v/>
      </c>
      <c r="W1377" s="531" t="str">
        <f t="shared" si="573"/>
        <v/>
      </c>
      <c r="X1377" s="534" t="str">
        <f t="shared" si="574"/>
        <v/>
      </c>
      <c r="Y1377" s="535" t="str">
        <f>IF($A1377="","",IF($I1377="weekly",$A1377+7,EDATE($A1377,VLOOKUP($I1377,Ref!$B$24:$C$29,2,0))))</f>
        <v/>
      </c>
      <c r="Z1377" s="536" t="str">
        <f t="shared" si="575"/>
        <v/>
      </c>
      <c r="AA1377" s="531">
        <f t="shared" si="576"/>
        <v>0</v>
      </c>
      <c r="AB1377" s="535" t="str">
        <f t="shared" si="564"/>
        <v/>
      </c>
      <c r="AC1377" s="537" t="str">
        <f t="shared" si="565"/>
        <v/>
      </c>
      <c r="AD1377" s="538" t="str">
        <f t="shared" ca="1" si="566"/>
        <v/>
      </c>
      <c r="AE1377" s="537">
        <f t="shared" ca="1" si="567"/>
        <v>0</v>
      </c>
      <c r="AF1377" s="539" t="str">
        <f t="shared" ca="1" si="577"/>
        <v/>
      </c>
      <c r="AG1377" s="531" t="str">
        <f t="shared" ca="1" si="578"/>
        <v/>
      </c>
      <c r="AH1377" s="531" t="str">
        <f t="shared" ca="1" si="579"/>
        <v/>
      </c>
      <c r="AI1377" s="531" t="str">
        <f t="shared" ca="1" si="580"/>
        <v/>
      </c>
      <c r="AJ1377" s="531" t="str">
        <f t="shared" si="581"/>
        <v/>
      </c>
      <c r="AK1377" s="540">
        <f>SUMIFS('Live Collections'!$S:$S,'Live Collections'!$D:$D,Disbursements!B1377,'Live Collections'!$G:$G,Disbursements!C1377)</f>
        <v>0</v>
      </c>
      <c r="AL1377" s="540">
        <f>SUMIFS('Live Collections'!$T:$T,'Live Collections'!$D:$D,Disbursements!B1377,'Live Collections'!$G:$G,Disbursements!C1377)</f>
        <v>0</v>
      </c>
      <c r="AM1377" s="541">
        <f t="shared" si="582"/>
        <v>0</v>
      </c>
      <c r="AN1377" s="542" t="str">
        <f t="shared" si="583"/>
        <v/>
      </c>
      <c r="AO1377" s="542" t="str">
        <f t="shared" si="584"/>
        <v/>
      </c>
      <c r="AP1377" s="543" t="str">
        <f t="shared" si="585"/>
        <v/>
      </c>
      <c r="AQ1377" s="544" t="str">
        <f t="shared" si="586"/>
        <v/>
      </c>
      <c r="AR1377" s="545">
        <f t="shared" si="587"/>
        <v>0</v>
      </c>
      <c r="AS1377" s="545">
        <f>IFERROR(CEILING($AR1377*VLOOKUP($I1377,Ref!$B$23:$E$29,4,0),1),0)</f>
        <v>0</v>
      </c>
      <c r="AT1377" s="545" t="str">
        <f>IF(A1377="","",IF(AP1377&lt;=1,"Cleared",IF(AS1377=0,"Clean",VLOOKUP($AS1377,Ref!$G$23:$H$28,2))))</f>
        <v/>
      </c>
      <c r="AU1377" s="546" t="str">
        <f t="shared" si="588"/>
        <v/>
      </c>
    </row>
    <row r="1378" spans="1:47" ht="14.25" hidden="1" customHeight="1" x14ac:dyDescent="0.15">
      <c r="A1378" s="523"/>
      <c r="B1378" s="523"/>
      <c r="C1378" s="523"/>
      <c r="D1378" s="523"/>
      <c r="E1378" s="579"/>
      <c r="F1378" s="580"/>
      <c r="G1378" s="524"/>
      <c r="H1378" s="555"/>
      <c r="I1378" s="560"/>
      <c r="J1378" s="523"/>
      <c r="K1378" s="528" t="str">
        <f>IFERROR(VLOOKUP($B1378,'Clients-Live'!$A:$C,3,0),"")</f>
        <v/>
      </c>
      <c r="L1378" s="528">
        <f>IF(E1378="STL",Pricing!$D$38,IF(A1378="",0,IF(A1378&lt;Pricing!$C$25,Pricing!$D$25,VLOOKUP(Disbursements!$F1378,Pricing!$B$29:$D$32,3))))</f>
        <v>0</v>
      </c>
      <c r="M1378" s="528">
        <f>IF(E1378="STL",0,IF(F1378&gt;0,Pricing!$D$21,0))</f>
        <v>0</v>
      </c>
      <c r="N1378" s="529">
        <f>IF(E1378="STL",F1378*Pricing!$D$40,IF(A1378&lt;=Pricing!$C$4,0,IF(AND(A1378&gt;Pricing!$C$4,Disbursements!A1378&lt;=Pricing!$C$5),F1378*Pricing!$E$5,IF(AND(A1378&gt;Pricing!$C$5,Disbursements!A1378&lt;=Pricing!$C$7),VLOOKUP(F1378,Pricing!$D$7:$E$8,2)*Disbursements!F1378,F1378*Pricing!$E$9))))</f>
        <v>0</v>
      </c>
      <c r="O1378" s="528">
        <f>IF(E1378="STL",0,IF($F1378&gt;0,$F1378*Pricing!$D$17,0))</f>
        <v>0</v>
      </c>
      <c r="P1378" s="530" t="str">
        <f t="shared" si="568"/>
        <v/>
      </c>
      <c r="Q1378" s="531" t="str">
        <f>IF($A1378="","",$G1378/VLOOKUP($I1378,Ref!$B$23:$D$29,2,0))</f>
        <v/>
      </c>
      <c r="R1378" s="530" t="str">
        <f t="shared" si="569"/>
        <v/>
      </c>
      <c r="S1378" s="532" t="str">
        <f t="shared" si="563"/>
        <v/>
      </c>
      <c r="T1378" s="531" t="str">
        <f t="shared" si="570"/>
        <v/>
      </c>
      <c r="U1378" s="533">
        <f t="shared" si="571"/>
        <v>0</v>
      </c>
      <c r="V1378" s="531" t="str">
        <f t="shared" si="572"/>
        <v/>
      </c>
      <c r="W1378" s="531" t="str">
        <f t="shared" si="573"/>
        <v/>
      </c>
      <c r="X1378" s="534" t="str">
        <f t="shared" si="574"/>
        <v/>
      </c>
      <c r="Y1378" s="535" t="str">
        <f>IF($A1378="","",IF($I1378="weekly",$A1378+7,EDATE($A1378,VLOOKUP($I1378,Ref!$B$24:$C$29,2,0))))</f>
        <v/>
      </c>
      <c r="Z1378" s="536" t="str">
        <f t="shared" si="575"/>
        <v/>
      </c>
      <c r="AA1378" s="531">
        <f t="shared" si="576"/>
        <v>0</v>
      </c>
      <c r="AB1378" s="535" t="str">
        <f t="shared" si="564"/>
        <v/>
      </c>
      <c r="AC1378" s="537" t="str">
        <f t="shared" si="565"/>
        <v/>
      </c>
      <c r="AD1378" s="538" t="str">
        <f t="shared" ca="1" si="566"/>
        <v/>
      </c>
      <c r="AE1378" s="537">
        <f t="shared" ca="1" si="567"/>
        <v>0</v>
      </c>
      <c r="AF1378" s="539" t="str">
        <f t="shared" ca="1" si="577"/>
        <v/>
      </c>
      <c r="AG1378" s="531" t="str">
        <f t="shared" ca="1" si="578"/>
        <v/>
      </c>
      <c r="AH1378" s="531" t="str">
        <f t="shared" ca="1" si="579"/>
        <v/>
      </c>
      <c r="AI1378" s="531" t="str">
        <f t="shared" ca="1" si="580"/>
        <v/>
      </c>
      <c r="AJ1378" s="531" t="str">
        <f t="shared" si="581"/>
        <v/>
      </c>
      <c r="AK1378" s="540">
        <f>SUMIFS('Live Collections'!$S:$S,'Live Collections'!$D:$D,Disbursements!B1378,'Live Collections'!$G:$G,Disbursements!C1378)</f>
        <v>0</v>
      </c>
      <c r="AL1378" s="540">
        <f>SUMIFS('Live Collections'!$T:$T,'Live Collections'!$D:$D,Disbursements!B1378,'Live Collections'!$G:$G,Disbursements!C1378)</f>
        <v>0</v>
      </c>
      <c r="AM1378" s="541">
        <f t="shared" si="582"/>
        <v>0</v>
      </c>
      <c r="AN1378" s="542" t="str">
        <f t="shared" si="583"/>
        <v/>
      </c>
      <c r="AO1378" s="542" t="str">
        <f t="shared" si="584"/>
        <v/>
      </c>
      <c r="AP1378" s="543" t="str">
        <f t="shared" si="585"/>
        <v/>
      </c>
      <c r="AQ1378" s="544" t="str">
        <f t="shared" si="586"/>
        <v/>
      </c>
      <c r="AR1378" s="545">
        <f t="shared" si="587"/>
        <v>0</v>
      </c>
      <c r="AS1378" s="545">
        <f>IFERROR(CEILING($AR1378*VLOOKUP($I1378,Ref!$B$23:$E$29,4,0),1),0)</f>
        <v>0</v>
      </c>
      <c r="AT1378" s="545" t="str">
        <f>IF(A1378="","",IF(AP1378&lt;=1,"Cleared",IF(AS1378=0,"Clean",VLOOKUP($AS1378,Ref!$G$23:$H$28,2))))</f>
        <v/>
      </c>
      <c r="AU1378" s="546" t="str">
        <f t="shared" si="588"/>
        <v/>
      </c>
    </row>
    <row r="1379" spans="1:47" ht="14.25" hidden="1" customHeight="1" x14ac:dyDescent="0.15">
      <c r="A1379" s="523"/>
      <c r="B1379" s="523"/>
      <c r="C1379" s="523"/>
      <c r="D1379" s="523"/>
      <c r="E1379" s="579"/>
      <c r="F1379" s="580"/>
      <c r="G1379" s="524"/>
      <c r="H1379" s="555"/>
      <c r="I1379" s="560"/>
      <c r="J1379" s="523"/>
      <c r="K1379" s="528" t="str">
        <f>IFERROR(VLOOKUP($B1379,'Clients-Live'!$A:$C,3,0),"")</f>
        <v/>
      </c>
      <c r="L1379" s="528">
        <f>IF(E1379="STL",Pricing!$D$38,IF(A1379="",0,IF(A1379&lt;Pricing!$C$25,Pricing!$D$25,VLOOKUP(Disbursements!$F1379,Pricing!$B$29:$D$32,3))))</f>
        <v>0</v>
      </c>
      <c r="M1379" s="528">
        <f>IF(E1379="STL",0,IF(F1379&gt;0,Pricing!$D$21,0))</f>
        <v>0</v>
      </c>
      <c r="N1379" s="529">
        <f>IF(E1379="STL",F1379*Pricing!$D$40,IF(A1379&lt;=Pricing!$C$4,0,IF(AND(A1379&gt;Pricing!$C$4,Disbursements!A1379&lt;=Pricing!$C$5),F1379*Pricing!$E$5,IF(AND(A1379&gt;Pricing!$C$5,Disbursements!A1379&lt;=Pricing!$C$7),VLOOKUP(F1379,Pricing!$D$7:$E$8,2)*Disbursements!F1379,F1379*Pricing!$E$9))))</f>
        <v>0</v>
      </c>
      <c r="O1379" s="528">
        <f>IF(E1379="STL",0,IF($F1379&gt;0,$F1379*Pricing!$D$17,0))</f>
        <v>0</v>
      </c>
      <c r="P1379" s="530" t="str">
        <f t="shared" si="568"/>
        <v/>
      </c>
      <c r="Q1379" s="531" t="str">
        <f>IF($A1379="","",$G1379/VLOOKUP($I1379,Ref!$B$23:$D$29,2,0))</f>
        <v/>
      </c>
      <c r="R1379" s="530" t="str">
        <f t="shared" si="569"/>
        <v/>
      </c>
      <c r="S1379" s="532" t="str">
        <f t="shared" si="563"/>
        <v/>
      </c>
      <c r="T1379" s="531" t="str">
        <f t="shared" si="570"/>
        <v/>
      </c>
      <c r="U1379" s="533">
        <f t="shared" si="571"/>
        <v>0</v>
      </c>
      <c r="V1379" s="531" t="str">
        <f t="shared" si="572"/>
        <v/>
      </c>
      <c r="W1379" s="531" t="str">
        <f t="shared" si="573"/>
        <v/>
      </c>
      <c r="X1379" s="534" t="str">
        <f t="shared" si="574"/>
        <v/>
      </c>
      <c r="Y1379" s="535" t="str">
        <f>IF($A1379="","",IF($I1379="weekly",$A1379+7,EDATE($A1379,VLOOKUP($I1379,Ref!$B$24:$C$29,2,0))))</f>
        <v/>
      </c>
      <c r="Z1379" s="536" t="str">
        <f t="shared" si="575"/>
        <v/>
      </c>
      <c r="AA1379" s="531">
        <f t="shared" si="576"/>
        <v>0</v>
      </c>
      <c r="AB1379" s="535" t="str">
        <f t="shared" si="564"/>
        <v/>
      </c>
      <c r="AC1379" s="537" t="str">
        <f t="shared" si="565"/>
        <v/>
      </c>
      <c r="AD1379" s="538" t="str">
        <f t="shared" ca="1" si="566"/>
        <v/>
      </c>
      <c r="AE1379" s="537">
        <f t="shared" ca="1" si="567"/>
        <v>0</v>
      </c>
      <c r="AF1379" s="539" t="str">
        <f t="shared" ca="1" si="577"/>
        <v/>
      </c>
      <c r="AG1379" s="531" t="str">
        <f t="shared" ca="1" si="578"/>
        <v/>
      </c>
      <c r="AH1379" s="531" t="str">
        <f t="shared" ca="1" si="579"/>
        <v/>
      </c>
      <c r="AI1379" s="531" t="str">
        <f t="shared" ca="1" si="580"/>
        <v/>
      </c>
      <c r="AJ1379" s="531" t="str">
        <f t="shared" si="581"/>
        <v/>
      </c>
      <c r="AK1379" s="540">
        <f>SUMIFS('Live Collections'!$S:$S,'Live Collections'!$D:$D,Disbursements!B1379,'Live Collections'!$G:$G,Disbursements!C1379)</f>
        <v>0</v>
      </c>
      <c r="AL1379" s="540">
        <f>SUMIFS('Live Collections'!$T:$T,'Live Collections'!$D:$D,Disbursements!B1379,'Live Collections'!$G:$G,Disbursements!C1379)</f>
        <v>0</v>
      </c>
      <c r="AM1379" s="541">
        <f t="shared" si="582"/>
        <v>0</v>
      </c>
      <c r="AN1379" s="542" t="str">
        <f t="shared" si="583"/>
        <v/>
      </c>
      <c r="AO1379" s="542" t="str">
        <f t="shared" si="584"/>
        <v/>
      </c>
      <c r="AP1379" s="543" t="str">
        <f t="shared" si="585"/>
        <v/>
      </c>
      <c r="AQ1379" s="544" t="str">
        <f t="shared" si="586"/>
        <v/>
      </c>
      <c r="AR1379" s="545">
        <f t="shared" si="587"/>
        <v>0</v>
      </c>
      <c r="AS1379" s="545">
        <f>IFERROR(CEILING($AR1379*VLOOKUP($I1379,Ref!$B$23:$E$29,4,0),1),0)</f>
        <v>0</v>
      </c>
      <c r="AT1379" s="545" t="str">
        <f>IF(A1379="","",IF(AP1379&lt;=1,"Cleared",IF(AS1379=0,"Clean",VLOOKUP($AS1379,Ref!$G$23:$H$28,2))))</f>
        <v/>
      </c>
      <c r="AU1379" s="546" t="str">
        <f t="shared" si="588"/>
        <v/>
      </c>
    </row>
    <row r="1380" spans="1:47" ht="14.25" hidden="1" customHeight="1" x14ac:dyDescent="0.15">
      <c r="A1380" s="523"/>
      <c r="B1380" s="523"/>
      <c r="C1380" s="523"/>
      <c r="D1380" s="523"/>
      <c r="E1380" s="579"/>
      <c r="F1380" s="580"/>
      <c r="G1380" s="524"/>
      <c r="H1380" s="555"/>
      <c r="I1380" s="560"/>
      <c r="J1380" s="523"/>
      <c r="K1380" s="528" t="str">
        <f>IFERROR(VLOOKUP($B1380,'Clients-Live'!$A:$C,3,0),"")</f>
        <v/>
      </c>
      <c r="L1380" s="528">
        <f>IF(E1380="STL",Pricing!$D$38,IF(A1380="",0,IF(A1380&lt;Pricing!$C$25,Pricing!$D$25,VLOOKUP(Disbursements!$F1380,Pricing!$B$29:$D$32,3))))</f>
        <v>0</v>
      </c>
      <c r="M1380" s="528">
        <f>IF(E1380="STL",0,IF(F1380&gt;0,Pricing!$D$21,0))</f>
        <v>0</v>
      </c>
      <c r="N1380" s="529">
        <f>IF(E1380="STL",F1380*Pricing!$D$40,IF(A1380&lt;=Pricing!$C$4,0,IF(AND(A1380&gt;Pricing!$C$4,Disbursements!A1380&lt;=Pricing!$C$5),F1380*Pricing!$E$5,IF(AND(A1380&gt;Pricing!$C$5,Disbursements!A1380&lt;=Pricing!$C$7),VLOOKUP(F1380,Pricing!$D$7:$E$8,2)*Disbursements!F1380,F1380*Pricing!$E$9))))</f>
        <v>0</v>
      </c>
      <c r="O1380" s="528">
        <f>IF(E1380="STL",0,IF($F1380&gt;0,$F1380*Pricing!$D$17,0))</f>
        <v>0</v>
      </c>
      <c r="P1380" s="530" t="str">
        <f t="shared" si="568"/>
        <v/>
      </c>
      <c r="Q1380" s="531" t="str">
        <f>IF($A1380="","",$G1380/VLOOKUP($I1380,Ref!$B$23:$D$29,2,0))</f>
        <v/>
      </c>
      <c r="R1380" s="530" t="str">
        <f t="shared" si="569"/>
        <v/>
      </c>
      <c r="S1380" s="532" t="str">
        <f t="shared" si="563"/>
        <v/>
      </c>
      <c r="T1380" s="531" t="str">
        <f t="shared" si="570"/>
        <v/>
      </c>
      <c r="U1380" s="533">
        <f t="shared" si="571"/>
        <v>0</v>
      </c>
      <c r="V1380" s="531" t="str">
        <f t="shared" si="572"/>
        <v/>
      </c>
      <c r="W1380" s="531" t="str">
        <f t="shared" si="573"/>
        <v/>
      </c>
      <c r="X1380" s="534" t="str">
        <f t="shared" si="574"/>
        <v/>
      </c>
      <c r="Y1380" s="535" t="str">
        <f>IF($A1380="","",IF($I1380="weekly",$A1380+7,EDATE($A1380,VLOOKUP($I1380,Ref!$B$24:$C$29,2,0))))</f>
        <v/>
      </c>
      <c r="Z1380" s="536" t="str">
        <f t="shared" si="575"/>
        <v/>
      </c>
      <c r="AA1380" s="531">
        <f t="shared" si="576"/>
        <v>0</v>
      </c>
      <c r="AB1380" s="535" t="str">
        <f t="shared" si="564"/>
        <v/>
      </c>
      <c r="AC1380" s="537" t="str">
        <f t="shared" si="565"/>
        <v/>
      </c>
      <c r="AD1380" s="538" t="str">
        <f t="shared" ca="1" si="566"/>
        <v/>
      </c>
      <c r="AE1380" s="537">
        <f t="shared" ca="1" si="567"/>
        <v>0</v>
      </c>
      <c r="AF1380" s="539" t="str">
        <f t="shared" ca="1" si="577"/>
        <v/>
      </c>
      <c r="AG1380" s="531" t="str">
        <f t="shared" ca="1" si="578"/>
        <v/>
      </c>
      <c r="AH1380" s="531" t="str">
        <f t="shared" ca="1" si="579"/>
        <v/>
      </c>
      <c r="AI1380" s="531" t="str">
        <f t="shared" ca="1" si="580"/>
        <v/>
      </c>
      <c r="AJ1380" s="531" t="str">
        <f t="shared" si="581"/>
        <v/>
      </c>
      <c r="AK1380" s="540">
        <f>SUMIFS('Live Collections'!$S:$S,'Live Collections'!$D:$D,Disbursements!B1380,'Live Collections'!$G:$G,Disbursements!C1380)</f>
        <v>0</v>
      </c>
      <c r="AL1380" s="540">
        <f>SUMIFS('Live Collections'!$T:$T,'Live Collections'!$D:$D,Disbursements!B1380,'Live Collections'!$G:$G,Disbursements!C1380)</f>
        <v>0</v>
      </c>
      <c r="AM1380" s="541">
        <f t="shared" si="582"/>
        <v>0</v>
      </c>
      <c r="AN1380" s="542" t="str">
        <f t="shared" si="583"/>
        <v/>
      </c>
      <c r="AO1380" s="542" t="str">
        <f t="shared" si="584"/>
        <v/>
      </c>
      <c r="AP1380" s="543" t="str">
        <f t="shared" si="585"/>
        <v/>
      </c>
      <c r="AQ1380" s="544" t="str">
        <f t="shared" si="586"/>
        <v/>
      </c>
      <c r="AR1380" s="545">
        <f t="shared" si="587"/>
        <v>0</v>
      </c>
      <c r="AS1380" s="545">
        <f>IFERROR(CEILING($AR1380*VLOOKUP($I1380,Ref!$B$23:$E$29,4,0),1),0)</f>
        <v>0</v>
      </c>
      <c r="AT1380" s="545" t="str">
        <f>IF(A1380="","",IF(AP1380&lt;=1,"Cleared",IF(AS1380=0,"Clean",VLOOKUP($AS1380,Ref!$G$23:$H$28,2))))</f>
        <v/>
      </c>
      <c r="AU1380" s="546" t="str">
        <f t="shared" si="588"/>
        <v/>
      </c>
    </row>
    <row r="1381" spans="1:47" ht="14.25" hidden="1" customHeight="1" x14ac:dyDescent="0.15">
      <c r="A1381" s="523"/>
      <c r="B1381" s="523"/>
      <c r="C1381" s="523"/>
      <c r="D1381" s="523"/>
      <c r="E1381" s="579"/>
      <c r="F1381" s="580"/>
      <c r="G1381" s="524"/>
      <c r="H1381" s="555"/>
      <c r="I1381" s="560"/>
      <c r="J1381" s="523"/>
      <c r="K1381" s="528" t="str">
        <f>IFERROR(VLOOKUP($B1381,'Clients-Live'!$A:$C,3,0),"")</f>
        <v/>
      </c>
      <c r="L1381" s="528">
        <f>IF(E1381="STL",Pricing!$D$38,IF(A1381="",0,IF(A1381&lt;Pricing!$C$25,Pricing!$D$25,VLOOKUP(Disbursements!$F1381,Pricing!$B$29:$D$32,3))))</f>
        <v>0</v>
      </c>
      <c r="M1381" s="528">
        <f>IF(E1381="STL",0,IF(F1381&gt;0,Pricing!$D$21,0))</f>
        <v>0</v>
      </c>
      <c r="N1381" s="529">
        <f>IF(E1381="STL",F1381*Pricing!$D$40,IF(A1381&lt;=Pricing!$C$4,0,IF(AND(A1381&gt;Pricing!$C$4,Disbursements!A1381&lt;=Pricing!$C$5),F1381*Pricing!$E$5,IF(AND(A1381&gt;Pricing!$C$5,Disbursements!A1381&lt;=Pricing!$C$7),VLOOKUP(F1381,Pricing!$D$7:$E$8,2)*Disbursements!F1381,F1381*Pricing!$E$9))))</f>
        <v>0</v>
      </c>
      <c r="O1381" s="528">
        <f>IF(E1381="STL",0,IF($F1381&gt;0,$F1381*Pricing!$D$17,0))</f>
        <v>0</v>
      </c>
      <c r="P1381" s="530" t="str">
        <f t="shared" si="568"/>
        <v/>
      </c>
      <c r="Q1381" s="531" t="str">
        <f>IF($A1381="","",$G1381/VLOOKUP($I1381,Ref!$B$23:$D$29,2,0))</f>
        <v/>
      </c>
      <c r="R1381" s="530" t="str">
        <f t="shared" si="569"/>
        <v/>
      </c>
      <c r="S1381" s="532" t="str">
        <f t="shared" si="563"/>
        <v/>
      </c>
      <c r="T1381" s="531" t="str">
        <f t="shared" si="570"/>
        <v/>
      </c>
      <c r="U1381" s="533">
        <f t="shared" si="571"/>
        <v>0</v>
      </c>
      <c r="V1381" s="531" t="str">
        <f t="shared" si="572"/>
        <v/>
      </c>
      <c r="W1381" s="531" t="str">
        <f t="shared" si="573"/>
        <v/>
      </c>
      <c r="X1381" s="534" t="str">
        <f t="shared" si="574"/>
        <v/>
      </c>
      <c r="Y1381" s="535" t="str">
        <f>IF($A1381="","",IF($I1381="weekly",$A1381+7,EDATE($A1381,VLOOKUP($I1381,Ref!$B$24:$C$29,2,0))))</f>
        <v/>
      </c>
      <c r="Z1381" s="536" t="str">
        <f t="shared" si="575"/>
        <v/>
      </c>
      <c r="AA1381" s="531">
        <f t="shared" si="576"/>
        <v>0</v>
      </c>
      <c r="AB1381" s="535" t="str">
        <f t="shared" si="564"/>
        <v/>
      </c>
      <c r="AC1381" s="537" t="str">
        <f t="shared" si="565"/>
        <v/>
      </c>
      <c r="AD1381" s="538" t="str">
        <f t="shared" ca="1" si="566"/>
        <v/>
      </c>
      <c r="AE1381" s="537">
        <f t="shared" ca="1" si="567"/>
        <v>0</v>
      </c>
      <c r="AF1381" s="539" t="str">
        <f t="shared" ca="1" si="577"/>
        <v/>
      </c>
      <c r="AG1381" s="531" t="str">
        <f t="shared" ca="1" si="578"/>
        <v/>
      </c>
      <c r="AH1381" s="531" t="str">
        <f t="shared" ca="1" si="579"/>
        <v/>
      </c>
      <c r="AI1381" s="531" t="str">
        <f t="shared" ca="1" si="580"/>
        <v/>
      </c>
      <c r="AJ1381" s="531" t="str">
        <f t="shared" si="581"/>
        <v/>
      </c>
      <c r="AK1381" s="540">
        <f>SUMIFS('Live Collections'!$S:$S,'Live Collections'!$D:$D,Disbursements!B1381,'Live Collections'!$G:$G,Disbursements!C1381)</f>
        <v>0</v>
      </c>
      <c r="AL1381" s="540">
        <f>SUMIFS('Live Collections'!$T:$T,'Live Collections'!$D:$D,Disbursements!B1381,'Live Collections'!$G:$G,Disbursements!C1381)</f>
        <v>0</v>
      </c>
      <c r="AM1381" s="541">
        <f t="shared" si="582"/>
        <v>0</v>
      </c>
      <c r="AN1381" s="542" t="str">
        <f t="shared" si="583"/>
        <v/>
      </c>
      <c r="AO1381" s="542" t="str">
        <f t="shared" si="584"/>
        <v/>
      </c>
      <c r="AP1381" s="543" t="str">
        <f t="shared" si="585"/>
        <v/>
      </c>
      <c r="AQ1381" s="544" t="str">
        <f t="shared" si="586"/>
        <v/>
      </c>
      <c r="AR1381" s="545">
        <f t="shared" si="587"/>
        <v>0</v>
      </c>
      <c r="AS1381" s="545">
        <f>IFERROR(CEILING($AR1381*VLOOKUP($I1381,Ref!$B$23:$E$29,4,0),1),0)</f>
        <v>0</v>
      </c>
      <c r="AT1381" s="545" t="str">
        <f>IF(A1381="","",IF(AP1381&lt;=1,"Cleared",IF(AS1381=0,"Clean",VLOOKUP($AS1381,Ref!$G$23:$H$28,2))))</f>
        <v/>
      </c>
      <c r="AU1381" s="546" t="str">
        <f t="shared" si="588"/>
        <v/>
      </c>
    </row>
    <row r="1382" spans="1:47" ht="14.25" hidden="1" customHeight="1" x14ac:dyDescent="0.15">
      <c r="A1382" s="523"/>
      <c r="B1382" s="523"/>
      <c r="C1382" s="523"/>
      <c r="D1382" s="523"/>
      <c r="E1382" s="579"/>
      <c r="F1382" s="580"/>
      <c r="G1382" s="524"/>
      <c r="H1382" s="555"/>
      <c r="I1382" s="560"/>
      <c r="J1382" s="523"/>
      <c r="K1382" s="528" t="str">
        <f>IFERROR(VLOOKUP($B1382,'Clients-Live'!$A:$C,3,0),"")</f>
        <v/>
      </c>
      <c r="L1382" s="528">
        <f>IF(E1382="STL",Pricing!$D$38,IF(A1382="",0,IF(A1382&lt;Pricing!$C$25,Pricing!$D$25,VLOOKUP(Disbursements!$F1382,Pricing!$B$29:$D$32,3))))</f>
        <v>0</v>
      </c>
      <c r="M1382" s="528">
        <f>IF(E1382="STL",0,IF(F1382&gt;0,Pricing!$D$21,0))</f>
        <v>0</v>
      </c>
      <c r="N1382" s="529">
        <f>IF(E1382="STL",F1382*Pricing!$D$40,IF(A1382&lt;=Pricing!$C$4,0,IF(AND(A1382&gt;Pricing!$C$4,Disbursements!A1382&lt;=Pricing!$C$5),F1382*Pricing!$E$5,IF(AND(A1382&gt;Pricing!$C$5,Disbursements!A1382&lt;=Pricing!$C$7),VLOOKUP(F1382,Pricing!$D$7:$E$8,2)*Disbursements!F1382,F1382*Pricing!$E$9))))</f>
        <v>0</v>
      </c>
      <c r="O1382" s="528">
        <f>IF(E1382="STL",0,IF($F1382&gt;0,$F1382*Pricing!$D$17,0))</f>
        <v>0</v>
      </c>
      <c r="P1382" s="530" t="str">
        <f t="shared" si="568"/>
        <v/>
      </c>
      <c r="Q1382" s="531" t="str">
        <f>IF($A1382="","",$G1382/VLOOKUP($I1382,Ref!$B$23:$D$29,2,0))</f>
        <v/>
      </c>
      <c r="R1382" s="530" t="str">
        <f t="shared" si="569"/>
        <v/>
      </c>
      <c r="S1382" s="532" t="str">
        <f t="shared" si="563"/>
        <v/>
      </c>
      <c r="T1382" s="531" t="str">
        <f t="shared" si="570"/>
        <v/>
      </c>
      <c r="U1382" s="533">
        <f t="shared" si="571"/>
        <v>0</v>
      </c>
      <c r="V1382" s="531" t="str">
        <f t="shared" si="572"/>
        <v/>
      </c>
      <c r="W1382" s="531" t="str">
        <f t="shared" si="573"/>
        <v/>
      </c>
      <c r="X1382" s="534" t="str">
        <f t="shared" si="574"/>
        <v/>
      </c>
      <c r="Y1382" s="535" t="str">
        <f>IF($A1382="","",IF($I1382="weekly",$A1382+7,EDATE($A1382,VLOOKUP($I1382,Ref!$B$24:$C$29,2,0))))</f>
        <v/>
      </c>
      <c r="Z1382" s="536" t="str">
        <f t="shared" si="575"/>
        <v/>
      </c>
      <c r="AA1382" s="531">
        <f t="shared" si="576"/>
        <v>0</v>
      </c>
      <c r="AB1382" s="535" t="str">
        <f t="shared" si="564"/>
        <v/>
      </c>
      <c r="AC1382" s="537" t="str">
        <f t="shared" si="565"/>
        <v/>
      </c>
      <c r="AD1382" s="538" t="str">
        <f t="shared" ca="1" si="566"/>
        <v/>
      </c>
      <c r="AE1382" s="537">
        <f t="shared" ca="1" si="567"/>
        <v>0</v>
      </c>
      <c r="AF1382" s="539" t="str">
        <f t="shared" ca="1" si="577"/>
        <v/>
      </c>
      <c r="AG1382" s="531" t="str">
        <f t="shared" ca="1" si="578"/>
        <v/>
      </c>
      <c r="AH1382" s="531" t="str">
        <f t="shared" ca="1" si="579"/>
        <v/>
      </c>
      <c r="AI1382" s="531" t="str">
        <f t="shared" ca="1" si="580"/>
        <v/>
      </c>
      <c r="AJ1382" s="531" t="str">
        <f t="shared" si="581"/>
        <v/>
      </c>
      <c r="AK1382" s="540">
        <f>SUMIFS('Live Collections'!$S:$S,'Live Collections'!$D:$D,Disbursements!B1382,'Live Collections'!$G:$G,Disbursements!C1382)</f>
        <v>0</v>
      </c>
      <c r="AL1382" s="540">
        <f>SUMIFS('Live Collections'!$T:$T,'Live Collections'!$D:$D,Disbursements!B1382,'Live Collections'!$G:$G,Disbursements!C1382)</f>
        <v>0</v>
      </c>
      <c r="AM1382" s="541">
        <f t="shared" si="582"/>
        <v>0</v>
      </c>
      <c r="AN1382" s="542" t="str">
        <f t="shared" si="583"/>
        <v/>
      </c>
      <c r="AO1382" s="542" t="str">
        <f t="shared" si="584"/>
        <v/>
      </c>
      <c r="AP1382" s="543" t="str">
        <f t="shared" si="585"/>
        <v/>
      </c>
      <c r="AQ1382" s="544" t="str">
        <f t="shared" si="586"/>
        <v/>
      </c>
      <c r="AR1382" s="545">
        <f t="shared" si="587"/>
        <v>0</v>
      </c>
      <c r="AS1382" s="545">
        <f>IFERROR(CEILING($AR1382*VLOOKUP($I1382,Ref!$B$23:$E$29,4,0),1),0)</f>
        <v>0</v>
      </c>
      <c r="AT1382" s="545" t="str">
        <f>IF(A1382="","",IF(AP1382&lt;=1,"Cleared",IF(AS1382=0,"Clean",VLOOKUP($AS1382,Ref!$G$23:$H$28,2))))</f>
        <v/>
      </c>
      <c r="AU1382" s="546" t="str">
        <f t="shared" si="588"/>
        <v/>
      </c>
    </row>
    <row r="1383" spans="1:47" ht="14.25" hidden="1" customHeight="1" x14ac:dyDescent="0.15">
      <c r="A1383" s="523"/>
      <c r="B1383" s="523"/>
      <c r="C1383" s="523"/>
      <c r="D1383" s="523"/>
      <c r="E1383" s="579"/>
      <c r="F1383" s="580"/>
      <c r="G1383" s="524"/>
      <c r="H1383" s="555"/>
      <c r="I1383" s="560"/>
      <c r="J1383" s="523"/>
      <c r="K1383" s="528" t="str">
        <f>IFERROR(VLOOKUP($B1383,'Clients-Live'!$A:$C,3,0),"")</f>
        <v/>
      </c>
      <c r="L1383" s="528">
        <f>IF(E1383="STL",Pricing!$D$38,IF(A1383="",0,IF(A1383&lt;Pricing!$C$25,Pricing!$D$25,VLOOKUP(Disbursements!$F1383,Pricing!$B$29:$D$32,3))))</f>
        <v>0</v>
      </c>
      <c r="M1383" s="528">
        <f>IF(E1383="STL",0,IF(F1383&gt;0,Pricing!$D$21,0))</f>
        <v>0</v>
      </c>
      <c r="N1383" s="529">
        <f>IF(E1383="STL",F1383*Pricing!$D$40,IF(A1383&lt;=Pricing!$C$4,0,IF(AND(A1383&gt;Pricing!$C$4,Disbursements!A1383&lt;=Pricing!$C$5),F1383*Pricing!$E$5,IF(AND(A1383&gt;Pricing!$C$5,Disbursements!A1383&lt;=Pricing!$C$7),VLOOKUP(F1383,Pricing!$D$7:$E$8,2)*Disbursements!F1383,F1383*Pricing!$E$9))))</f>
        <v>0</v>
      </c>
      <c r="O1383" s="528">
        <f>IF(E1383="STL",0,IF($F1383&gt;0,$F1383*Pricing!$D$17,0))</f>
        <v>0</v>
      </c>
      <c r="P1383" s="530" t="str">
        <f t="shared" si="568"/>
        <v/>
      </c>
      <c r="Q1383" s="531" t="str">
        <f>IF($A1383="","",$G1383/VLOOKUP($I1383,Ref!$B$23:$D$29,2,0))</f>
        <v/>
      </c>
      <c r="R1383" s="530" t="str">
        <f t="shared" si="569"/>
        <v/>
      </c>
      <c r="S1383" s="532" t="str">
        <f t="shared" si="563"/>
        <v/>
      </c>
      <c r="T1383" s="531" t="str">
        <f t="shared" si="570"/>
        <v/>
      </c>
      <c r="U1383" s="533">
        <f t="shared" si="571"/>
        <v>0</v>
      </c>
      <c r="V1383" s="531" t="str">
        <f t="shared" si="572"/>
        <v/>
      </c>
      <c r="W1383" s="531" t="str">
        <f t="shared" si="573"/>
        <v/>
      </c>
      <c r="X1383" s="534" t="str">
        <f t="shared" si="574"/>
        <v/>
      </c>
      <c r="Y1383" s="535" t="str">
        <f>IF($A1383="","",IF($I1383="weekly",$A1383+7,EDATE($A1383,VLOOKUP($I1383,Ref!$B$24:$C$29,2,0))))</f>
        <v/>
      </c>
      <c r="Z1383" s="536" t="str">
        <f t="shared" si="575"/>
        <v/>
      </c>
      <c r="AA1383" s="531">
        <f t="shared" si="576"/>
        <v>0</v>
      </c>
      <c r="AB1383" s="535" t="str">
        <f t="shared" si="564"/>
        <v/>
      </c>
      <c r="AC1383" s="537" t="str">
        <f t="shared" si="565"/>
        <v/>
      </c>
      <c r="AD1383" s="538" t="str">
        <f t="shared" ca="1" si="566"/>
        <v/>
      </c>
      <c r="AE1383" s="537">
        <f t="shared" ca="1" si="567"/>
        <v>0</v>
      </c>
      <c r="AF1383" s="539" t="str">
        <f t="shared" ca="1" si="577"/>
        <v/>
      </c>
      <c r="AG1383" s="531" t="str">
        <f t="shared" ca="1" si="578"/>
        <v/>
      </c>
      <c r="AH1383" s="531" t="str">
        <f t="shared" ca="1" si="579"/>
        <v/>
      </c>
      <c r="AI1383" s="531" t="str">
        <f t="shared" ca="1" si="580"/>
        <v/>
      </c>
      <c r="AJ1383" s="531" t="str">
        <f t="shared" si="581"/>
        <v/>
      </c>
      <c r="AK1383" s="540">
        <f>SUMIFS('Live Collections'!$S:$S,'Live Collections'!$D:$D,Disbursements!B1383,'Live Collections'!$G:$G,Disbursements!C1383)</f>
        <v>0</v>
      </c>
      <c r="AL1383" s="540">
        <f>SUMIFS('Live Collections'!$T:$T,'Live Collections'!$D:$D,Disbursements!B1383,'Live Collections'!$G:$G,Disbursements!C1383)</f>
        <v>0</v>
      </c>
      <c r="AM1383" s="541">
        <f t="shared" si="582"/>
        <v>0</v>
      </c>
      <c r="AN1383" s="542" t="str">
        <f t="shared" si="583"/>
        <v/>
      </c>
      <c r="AO1383" s="542" t="str">
        <f t="shared" si="584"/>
        <v/>
      </c>
      <c r="AP1383" s="543" t="str">
        <f t="shared" si="585"/>
        <v/>
      </c>
      <c r="AQ1383" s="544" t="str">
        <f t="shared" si="586"/>
        <v/>
      </c>
      <c r="AR1383" s="545">
        <f t="shared" si="587"/>
        <v>0</v>
      </c>
      <c r="AS1383" s="545">
        <f>IFERROR(CEILING($AR1383*VLOOKUP($I1383,Ref!$B$23:$E$29,4,0),1),0)</f>
        <v>0</v>
      </c>
      <c r="AT1383" s="545" t="str">
        <f>IF(A1383="","",IF(AP1383&lt;=1,"Cleared",IF(AS1383=0,"Clean",VLOOKUP($AS1383,Ref!$G$23:$H$28,2))))</f>
        <v/>
      </c>
      <c r="AU1383" s="546" t="str">
        <f t="shared" si="588"/>
        <v/>
      </c>
    </row>
    <row r="1384" spans="1:47" ht="14.25" hidden="1" customHeight="1" x14ac:dyDescent="0.15">
      <c r="A1384" s="523"/>
      <c r="B1384" s="523"/>
      <c r="C1384" s="523"/>
      <c r="D1384" s="523"/>
      <c r="E1384" s="579"/>
      <c r="F1384" s="580"/>
      <c r="G1384" s="524"/>
      <c r="H1384" s="555"/>
      <c r="I1384" s="560"/>
      <c r="J1384" s="523"/>
      <c r="K1384" s="528" t="str">
        <f>IFERROR(VLOOKUP($B1384,'Clients-Live'!$A:$C,3,0),"")</f>
        <v/>
      </c>
      <c r="L1384" s="528">
        <f>IF(E1384="STL",Pricing!$D$38,IF(A1384="",0,IF(A1384&lt;Pricing!$C$25,Pricing!$D$25,VLOOKUP(Disbursements!$F1384,Pricing!$B$29:$D$32,3))))</f>
        <v>0</v>
      </c>
      <c r="M1384" s="528">
        <f>IF(E1384="STL",0,IF(F1384&gt;0,Pricing!$D$21,0))</f>
        <v>0</v>
      </c>
      <c r="N1384" s="529">
        <f>IF(E1384="STL",F1384*Pricing!$D$40,IF(A1384&lt;=Pricing!$C$4,0,IF(AND(A1384&gt;Pricing!$C$4,Disbursements!A1384&lt;=Pricing!$C$5),F1384*Pricing!$E$5,IF(AND(A1384&gt;Pricing!$C$5,Disbursements!A1384&lt;=Pricing!$C$7),VLOOKUP(F1384,Pricing!$D$7:$E$8,2)*Disbursements!F1384,F1384*Pricing!$E$9))))</f>
        <v>0</v>
      </c>
      <c r="O1384" s="528">
        <f>IF(E1384="STL",0,IF($F1384&gt;0,$F1384*Pricing!$D$17,0))</f>
        <v>0</v>
      </c>
      <c r="P1384" s="530" t="str">
        <f t="shared" si="568"/>
        <v/>
      </c>
      <c r="Q1384" s="531" t="str">
        <f>IF($A1384="","",$G1384/VLOOKUP($I1384,Ref!$B$23:$D$29,2,0))</f>
        <v/>
      </c>
      <c r="R1384" s="530" t="str">
        <f t="shared" si="569"/>
        <v/>
      </c>
      <c r="S1384" s="532" t="str">
        <f t="shared" si="563"/>
        <v/>
      </c>
      <c r="T1384" s="531" t="str">
        <f t="shared" si="570"/>
        <v/>
      </c>
      <c r="U1384" s="533">
        <f t="shared" si="571"/>
        <v>0</v>
      </c>
      <c r="V1384" s="531" t="str">
        <f t="shared" si="572"/>
        <v/>
      </c>
      <c r="W1384" s="531" t="str">
        <f t="shared" si="573"/>
        <v/>
      </c>
      <c r="X1384" s="534" t="str">
        <f t="shared" si="574"/>
        <v/>
      </c>
      <c r="Y1384" s="535" t="str">
        <f>IF($A1384="","",IF($I1384="weekly",$A1384+7,EDATE($A1384,VLOOKUP($I1384,Ref!$B$24:$C$29,2,0))))</f>
        <v/>
      </c>
      <c r="Z1384" s="536" t="str">
        <f t="shared" si="575"/>
        <v/>
      </c>
      <c r="AA1384" s="531">
        <f t="shared" si="576"/>
        <v>0</v>
      </c>
      <c r="AB1384" s="535" t="str">
        <f t="shared" si="564"/>
        <v/>
      </c>
      <c r="AC1384" s="537" t="str">
        <f t="shared" si="565"/>
        <v/>
      </c>
      <c r="AD1384" s="538" t="str">
        <f t="shared" ca="1" si="566"/>
        <v/>
      </c>
      <c r="AE1384" s="537">
        <f t="shared" ca="1" si="567"/>
        <v>0</v>
      </c>
      <c r="AF1384" s="539" t="str">
        <f t="shared" ca="1" si="577"/>
        <v/>
      </c>
      <c r="AG1384" s="531" t="str">
        <f t="shared" ca="1" si="578"/>
        <v/>
      </c>
      <c r="AH1384" s="531" t="str">
        <f t="shared" ca="1" si="579"/>
        <v/>
      </c>
      <c r="AI1384" s="531" t="str">
        <f t="shared" ca="1" si="580"/>
        <v/>
      </c>
      <c r="AJ1384" s="531" t="str">
        <f t="shared" si="581"/>
        <v/>
      </c>
      <c r="AK1384" s="540">
        <f>SUMIFS('Live Collections'!$S:$S,'Live Collections'!$D:$D,Disbursements!B1384,'Live Collections'!$G:$G,Disbursements!C1384)</f>
        <v>0</v>
      </c>
      <c r="AL1384" s="540">
        <f>SUMIFS('Live Collections'!$T:$T,'Live Collections'!$D:$D,Disbursements!B1384,'Live Collections'!$G:$G,Disbursements!C1384)</f>
        <v>0</v>
      </c>
      <c r="AM1384" s="541">
        <f t="shared" si="582"/>
        <v>0</v>
      </c>
      <c r="AN1384" s="542" t="str">
        <f t="shared" si="583"/>
        <v/>
      </c>
      <c r="AO1384" s="542" t="str">
        <f t="shared" si="584"/>
        <v/>
      </c>
      <c r="AP1384" s="543" t="str">
        <f t="shared" si="585"/>
        <v/>
      </c>
      <c r="AQ1384" s="544" t="str">
        <f t="shared" si="586"/>
        <v/>
      </c>
      <c r="AR1384" s="545">
        <f t="shared" si="587"/>
        <v>0</v>
      </c>
      <c r="AS1384" s="545">
        <f>IFERROR(CEILING($AR1384*VLOOKUP($I1384,Ref!$B$23:$E$29,4,0),1),0)</f>
        <v>0</v>
      </c>
      <c r="AT1384" s="545" t="str">
        <f>IF(A1384="","",IF(AP1384&lt;=1,"Cleared",IF(AS1384=0,"Clean",VLOOKUP($AS1384,Ref!$G$23:$H$28,2))))</f>
        <v/>
      </c>
      <c r="AU1384" s="546" t="str">
        <f t="shared" si="588"/>
        <v/>
      </c>
    </row>
    <row r="1385" spans="1:47" ht="14.25" hidden="1" customHeight="1" x14ac:dyDescent="0.15">
      <c r="A1385" s="523"/>
      <c r="B1385" s="523"/>
      <c r="C1385" s="523"/>
      <c r="D1385" s="523"/>
      <c r="E1385" s="579"/>
      <c r="F1385" s="580"/>
      <c r="G1385" s="524"/>
      <c r="H1385" s="555"/>
      <c r="I1385" s="560"/>
      <c r="J1385" s="523"/>
      <c r="K1385" s="528" t="str">
        <f>IFERROR(VLOOKUP($B1385,'Clients-Live'!$A:$C,3,0),"")</f>
        <v/>
      </c>
      <c r="L1385" s="528">
        <f>IF(E1385="STL",Pricing!$D$38,IF(A1385="",0,IF(A1385&lt;Pricing!$C$25,Pricing!$D$25,VLOOKUP(Disbursements!$F1385,Pricing!$B$29:$D$32,3))))</f>
        <v>0</v>
      </c>
      <c r="M1385" s="528">
        <f>IF(E1385="STL",0,IF(F1385&gt;0,Pricing!$D$21,0))</f>
        <v>0</v>
      </c>
      <c r="N1385" s="529">
        <f>IF(E1385="STL",F1385*Pricing!$D$40,IF(A1385&lt;=Pricing!$C$4,0,IF(AND(A1385&gt;Pricing!$C$4,Disbursements!A1385&lt;=Pricing!$C$5),F1385*Pricing!$E$5,IF(AND(A1385&gt;Pricing!$C$5,Disbursements!A1385&lt;=Pricing!$C$7),VLOOKUP(F1385,Pricing!$D$7:$E$8,2)*Disbursements!F1385,F1385*Pricing!$E$9))))</f>
        <v>0</v>
      </c>
      <c r="O1385" s="528">
        <f>IF(E1385="STL",0,IF($F1385&gt;0,$F1385*Pricing!$D$17,0))</f>
        <v>0</v>
      </c>
      <c r="P1385" s="530" t="str">
        <f t="shared" si="568"/>
        <v/>
      </c>
      <c r="Q1385" s="531" t="str">
        <f>IF($A1385="","",$G1385/VLOOKUP($I1385,Ref!$B$23:$D$29,2,0))</f>
        <v/>
      </c>
      <c r="R1385" s="530" t="str">
        <f t="shared" si="569"/>
        <v/>
      </c>
      <c r="S1385" s="532" t="str">
        <f t="shared" si="563"/>
        <v/>
      </c>
      <c r="T1385" s="531" t="str">
        <f t="shared" si="570"/>
        <v/>
      </c>
      <c r="U1385" s="533">
        <f t="shared" si="571"/>
        <v>0</v>
      </c>
      <c r="V1385" s="531" t="str">
        <f t="shared" si="572"/>
        <v/>
      </c>
      <c r="W1385" s="531" t="str">
        <f t="shared" si="573"/>
        <v/>
      </c>
      <c r="X1385" s="534" t="str">
        <f t="shared" si="574"/>
        <v/>
      </c>
      <c r="Y1385" s="535" t="str">
        <f>IF($A1385="","",IF($I1385="weekly",$A1385+7,EDATE($A1385,VLOOKUP($I1385,Ref!$B$24:$C$29,2,0))))</f>
        <v/>
      </c>
      <c r="Z1385" s="536" t="str">
        <f t="shared" si="575"/>
        <v/>
      </c>
      <c r="AA1385" s="531">
        <f t="shared" si="576"/>
        <v>0</v>
      </c>
      <c r="AB1385" s="535" t="str">
        <f t="shared" si="564"/>
        <v/>
      </c>
      <c r="AC1385" s="537" t="str">
        <f t="shared" si="565"/>
        <v/>
      </c>
      <c r="AD1385" s="538" t="str">
        <f t="shared" ca="1" si="566"/>
        <v/>
      </c>
      <c r="AE1385" s="537">
        <f t="shared" ca="1" si="567"/>
        <v>0</v>
      </c>
      <c r="AF1385" s="539" t="str">
        <f t="shared" ca="1" si="577"/>
        <v/>
      </c>
      <c r="AG1385" s="531" t="str">
        <f t="shared" ca="1" si="578"/>
        <v/>
      </c>
      <c r="AH1385" s="531" t="str">
        <f t="shared" ca="1" si="579"/>
        <v/>
      </c>
      <c r="AI1385" s="531" t="str">
        <f t="shared" ca="1" si="580"/>
        <v/>
      </c>
      <c r="AJ1385" s="531" t="str">
        <f t="shared" si="581"/>
        <v/>
      </c>
      <c r="AK1385" s="540">
        <f>SUMIFS('Live Collections'!$S:$S,'Live Collections'!$D:$D,Disbursements!B1385,'Live Collections'!$G:$G,Disbursements!C1385)</f>
        <v>0</v>
      </c>
      <c r="AL1385" s="540">
        <f>SUMIFS('Live Collections'!$T:$T,'Live Collections'!$D:$D,Disbursements!B1385,'Live Collections'!$G:$G,Disbursements!C1385)</f>
        <v>0</v>
      </c>
      <c r="AM1385" s="541">
        <f t="shared" si="582"/>
        <v>0</v>
      </c>
      <c r="AN1385" s="542" t="str">
        <f t="shared" si="583"/>
        <v/>
      </c>
      <c r="AO1385" s="542" t="str">
        <f t="shared" si="584"/>
        <v/>
      </c>
      <c r="AP1385" s="543" t="str">
        <f t="shared" si="585"/>
        <v/>
      </c>
      <c r="AQ1385" s="544" t="str">
        <f t="shared" si="586"/>
        <v/>
      </c>
      <c r="AR1385" s="545">
        <f t="shared" si="587"/>
        <v>0</v>
      </c>
      <c r="AS1385" s="545">
        <f>IFERROR(CEILING($AR1385*VLOOKUP($I1385,Ref!$B$23:$E$29,4,0),1),0)</f>
        <v>0</v>
      </c>
      <c r="AT1385" s="545" t="str">
        <f>IF(A1385="","",IF(AP1385&lt;=1,"Cleared",IF(AS1385=0,"Clean",VLOOKUP($AS1385,Ref!$G$23:$H$28,2))))</f>
        <v/>
      </c>
      <c r="AU1385" s="546" t="str">
        <f t="shared" si="588"/>
        <v/>
      </c>
    </row>
    <row r="1386" spans="1:47" ht="14.25" hidden="1" customHeight="1" x14ac:dyDescent="0.15">
      <c r="A1386" s="523"/>
      <c r="B1386" s="523"/>
      <c r="C1386" s="523"/>
      <c r="D1386" s="523"/>
      <c r="E1386" s="579"/>
      <c r="F1386" s="580"/>
      <c r="G1386" s="524"/>
      <c r="H1386" s="555"/>
      <c r="I1386" s="560"/>
      <c r="J1386" s="523"/>
      <c r="K1386" s="528" t="str">
        <f>IFERROR(VLOOKUP($B1386,'Clients-Live'!$A:$C,3,0),"")</f>
        <v/>
      </c>
      <c r="L1386" s="528">
        <f>IF(E1386="STL",Pricing!$D$38,IF(A1386="",0,IF(A1386&lt;Pricing!$C$25,Pricing!$D$25,VLOOKUP(Disbursements!$F1386,Pricing!$B$29:$D$32,3))))</f>
        <v>0</v>
      </c>
      <c r="M1386" s="528">
        <f>IF(E1386="STL",0,IF(F1386&gt;0,Pricing!$D$21,0))</f>
        <v>0</v>
      </c>
      <c r="N1386" s="529">
        <f>IF(E1386="STL",F1386*Pricing!$D$40,IF(A1386&lt;=Pricing!$C$4,0,IF(AND(A1386&gt;Pricing!$C$4,Disbursements!A1386&lt;=Pricing!$C$5),F1386*Pricing!$E$5,IF(AND(A1386&gt;Pricing!$C$5,Disbursements!A1386&lt;=Pricing!$C$7),VLOOKUP(F1386,Pricing!$D$7:$E$8,2)*Disbursements!F1386,F1386*Pricing!$E$9))))</f>
        <v>0</v>
      </c>
      <c r="O1386" s="528">
        <f>IF(E1386="STL",0,IF($F1386&gt;0,$F1386*Pricing!$D$17,0))</f>
        <v>0</v>
      </c>
      <c r="P1386" s="530" t="str">
        <f t="shared" si="568"/>
        <v/>
      </c>
      <c r="Q1386" s="531" t="str">
        <f>IF($A1386="","",$G1386/VLOOKUP($I1386,Ref!$B$23:$D$29,2,0))</f>
        <v/>
      </c>
      <c r="R1386" s="530" t="str">
        <f t="shared" si="569"/>
        <v/>
      </c>
      <c r="S1386" s="532" t="str">
        <f t="shared" si="563"/>
        <v/>
      </c>
      <c r="T1386" s="531" t="str">
        <f t="shared" si="570"/>
        <v/>
      </c>
      <c r="U1386" s="533">
        <f t="shared" si="571"/>
        <v>0</v>
      </c>
      <c r="V1386" s="531" t="str">
        <f t="shared" si="572"/>
        <v/>
      </c>
      <c r="W1386" s="531" t="str">
        <f t="shared" si="573"/>
        <v/>
      </c>
      <c r="X1386" s="534" t="str">
        <f t="shared" si="574"/>
        <v/>
      </c>
      <c r="Y1386" s="535" t="str">
        <f>IF($A1386="","",IF($I1386="weekly",$A1386+7,EDATE($A1386,VLOOKUP($I1386,Ref!$B$24:$C$29,2,0))))</f>
        <v/>
      </c>
      <c r="Z1386" s="536" t="str">
        <f t="shared" si="575"/>
        <v/>
      </c>
      <c r="AA1386" s="531">
        <f t="shared" si="576"/>
        <v>0</v>
      </c>
      <c r="AB1386" s="535" t="str">
        <f t="shared" si="564"/>
        <v/>
      </c>
      <c r="AC1386" s="537" t="str">
        <f t="shared" si="565"/>
        <v/>
      </c>
      <c r="AD1386" s="538" t="str">
        <f t="shared" ca="1" si="566"/>
        <v/>
      </c>
      <c r="AE1386" s="537">
        <f t="shared" ca="1" si="567"/>
        <v>0</v>
      </c>
      <c r="AF1386" s="539" t="str">
        <f t="shared" ca="1" si="577"/>
        <v/>
      </c>
      <c r="AG1386" s="531" t="str">
        <f t="shared" ca="1" si="578"/>
        <v/>
      </c>
      <c r="AH1386" s="531" t="str">
        <f t="shared" ca="1" si="579"/>
        <v/>
      </c>
      <c r="AI1386" s="531" t="str">
        <f t="shared" ca="1" si="580"/>
        <v/>
      </c>
      <c r="AJ1386" s="531" t="str">
        <f t="shared" si="581"/>
        <v/>
      </c>
      <c r="AK1386" s="540">
        <f>SUMIFS('Live Collections'!$S:$S,'Live Collections'!$D:$D,Disbursements!B1386,'Live Collections'!$G:$G,Disbursements!C1386)</f>
        <v>0</v>
      </c>
      <c r="AL1386" s="540">
        <f>SUMIFS('Live Collections'!$T:$T,'Live Collections'!$D:$D,Disbursements!B1386,'Live Collections'!$G:$G,Disbursements!C1386)</f>
        <v>0</v>
      </c>
      <c r="AM1386" s="541">
        <f t="shared" si="582"/>
        <v>0</v>
      </c>
      <c r="AN1386" s="542" t="str">
        <f t="shared" si="583"/>
        <v/>
      </c>
      <c r="AO1386" s="542" t="str">
        <f t="shared" si="584"/>
        <v/>
      </c>
      <c r="AP1386" s="543" t="str">
        <f t="shared" si="585"/>
        <v/>
      </c>
      <c r="AQ1386" s="544" t="str">
        <f t="shared" si="586"/>
        <v/>
      </c>
      <c r="AR1386" s="545">
        <f t="shared" si="587"/>
        <v>0</v>
      </c>
      <c r="AS1386" s="545">
        <f>IFERROR(CEILING($AR1386*VLOOKUP($I1386,Ref!$B$23:$E$29,4,0),1),0)</f>
        <v>0</v>
      </c>
      <c r="AT1386" s="545" t="str">
        <f>IF(A1386="","",IF(AP1386&lt;=1,"Cleared",IF(AS1386=0,"Clean",VLOOKUP($AS1386,Ref!$G$23:$H$28,2))))</f>
        <v/>
      </c>
      <c r="AU1386" s="546" t="str">
        <f t="shared" si="588"/>
        <v/>
      </c>
    </row>
    <row r="1387" spans="1:47" ht="14.25" hidden="1" customHeight="1" x14ac:dyDescent="0.15">
      <c r="A1387" s="523"/>
      <c r="B1387" s="523"/>
      <c r="C1387" s="523"/>
      <c r="D1387" s="523"/>
      <c r="E1387" s="579"/>
      <c r="F1387" s="580"/>
      <c r="G1387" s="524"/>
      <c r="H1387" s="555"/>
      <c r="I1387" s="560"/>
      <c r="J1387" s="523"/>
      <c r="K1387" s="528" t="str">
        <f>IFERROR(VLOOKUP($B1387,'Clients-Live'!$A:$C,3,0),"")</f>
        <v/>
      </c>
      <c r="L1387" s="528">
        <f>IF(E1387="STL",Pricing!$D$38,IF(A1387="",0,IF(A1387&lt;Pricing!$C$25,Pricing!$D$25,VLOOKUP(Disbursements!$F1387,Pricing!$B$29:$D$32,3))))</f>
        <v>0</v>
      </c>
      <c r="M1387" s="528">
        <f>IF(E1387="STL",0,IF(F1387&gt;0,Pricing!$D$21,0))</f>
        <v>0</v>
      </c>
      <c r="N1387" s="529">
        <f>IF(E1387="STL",F1387*Pricing!$D$40,IF(A1387&lt;=Pricing!$C$4,0,IF(AND(A1387&gt;Pricing!$C$4,Disbursements!A1387&lt;=Pricing!$C$5),F1387*Pricing!$E$5,IF(AND(A1387&gt;Pricing!$C$5,Disbursements!A1387&lt;=Pricing!$C$7),VLOOKUP(F1387,Pricing!$D$7:$E$8,2)*Disbursements!F1387,F1387*Pricing!$E$9))))</f>
        <v>0</v>
      </c>
      <c r="O1387" s="528">
        <f>IF(E1387="STL",0,IF($F1387&gt;0,$F1387*Pricing!$D$17,0))</f>
        <v>0</v>
      </c>
      <c r="P1387" s="530" t="str">
        <f t="shared" si="568"/>
        <v/>
      </c>
      <c r="Q1387" s="531" t="str">
        <f>IF($A1387="","",$G1387/VLOOKUP($I1387,Ref!$B$23:$D$29,2,0))</f>
        <v/>
      </c>
      <c r="R1387" s="530" t="str">
        <f t="shared" si="569"/>
        <v/>
      </c>
      <c r="S1387" s="532" t="str">
        <f t="shared" si="563"/>
        <v/>
      </c>
      <c r="T1387" s="531" t="str">
        <f t="shared" si="570"/>
        <v/>
      </c>
      <c r="U1387" s="533">
        <f t="shared" si="571"/>
        <v>0</v>
      </c>
      <c r="V1387" s="531" t="str">
        <f t="shared" si="572"/>
        <v/>
      </c>
      <c r="W1387" s="531" t="str">
        <f t="shared" si="573"/>
        <v/>
      </c>
      <c r="X1387" s="534" t="str">
        <f t="shared" si="574"/>
        <v/>
      </c>
      <c r="Y1387" s="535" t="str">
        <f>IF($A1387="","",IF($I1387="weekly",$A1387+7,EDATE($A1387,VLOOKUP($I1387,Ref!$B$24:$C$29,2,0))))</f>
        <v/>
      </c>
      <c r="Z1387" s="536" t="str">
        <f t="shared" si="575"/>
        <v/>
      </c>
      <c r="AA1387" s="531">
        <f t="shared" si="576"/>
        <v>0</v>
      </c>
      <c r="AB1387" s="535" t="str">
        <f t="shared" si="564"/>
        <v/>
      </c>
      <c r="AC1387" s="537" t="str">
        <f t="shared" si="565"/>
        <v/>
      </c>
      <c r="AD1387" s="538" t="str">
        <f t="shared" ca="1" si="566"/>
        <v/>
      </c>
      <c r="AE1387" s="537">
        <f t="shared" ca="1" si="567"/>
        <v>0</v>
      </c>
      <c r="AF1387" s="539" t="str">
        <f t="shared" ca="1" si="577"/>
        <v/>
      </c>
      <c r="AG1387" s="531" t="str">
        <f t="shared" ca="1" si="578"/>
        <v/>
      </c>
      <c r="AH1387" s="531" t="str">
        <f t="shared" ca="1" si="579"/>
        <v/>
      </c>
      <c r="AI1387" s="531" t="str">
        <f t="shared" ca="1" si="580"/>
        <v/>
      </c>
      <c r="AJ1387" s="531" t="str">
        <f t="shared" si="581"/>
        <v/>
      </c>
      <c r="AK1387" s="540">
        <f>SUMIFS('Live Collections'!$S:$S,'Live Collections'!$D:$D,Disbursements!B1387,'Live Collections'!$G:$G,Disbursements!C1387)</f>
        <v>0</v>
      </c>
      <c r="AL1387" s="540">
        <f>SUMIFS('Live Collections'!$T:$T,'Live Collections'!$D:$D,Disbursements!B1387,'Live Collections'!$G:$G,Disbursements!C1387)</f>
        <v>0</v>
      </c>
      <c r="AM1387" s="541">
        <f t="shared" si="582"/>
        <v>0</v>
      </c>
      <c r="AN1387" s="542" t="str">
        <f t="shared" si="583"/>
        <v/>
      </c>
      <c r="AO1387" s="542" t="str">
        <f t="shared" si="584"/>
        <v/>
      </c>
      <c r="AP1387" s="543" t="str">
        <f t="shared" si="585"/>
        <v/>
      </c>
      <c r="AQ1387" s="544" t="str">
        <f t="shared" si="586"/>
        <v/>
      </c>
      <c r="AR1387" s="545">
        <f t="shared" si="587"/>
        <v>0</v>
      </c>
      <c r="AS1387" s="545">
        <f>IFERROR(CEILING($AR1387*VLOOKUP($I1387,Ref!$B$23:$E$29,4,0),1),0)</f>
        <v>0</v>
      </c>
      <c r="AT1387" s="545" t="str">
        <f>IF(A1387="","",IF(AP1387&lt;=1,"Cleared",IF(AS1387=0,"Clean",VLOOKUP($AS1387,Ref!$G$23:$H$28,2))))</f>
        <v/>
      </c>
      <c r="AU1387" s="546" t="str">
        <f t="shared" si="588"/>
        <v/>
      </c>
    </row>
    <row r="1388" spans="1:47" ht="14.25" hidden="1" customHeight="1" x14ac:dyDescent="0.15">
      <c r="A1388" s="523"/>
      <c r="B1388" s="523"/>
      <c r="C1388" s="523"/>
      <c r="D1388" s="523"/>
      <c r="E1388" s="579"/>
      <c r="F1388" s="580"/>
      <c r="G1388" s="524"/>
      <c r="H1388" s="555"/>
      <c r="I1388" s="560"/>
      <c r="J1388" s="523"/>
      <c r="K1388" s="528" t="str">
        <f>IFERROR(VLOOKUP($B1388,'Clients-Live'!$A:$C,3,0),"")</f>
        <v/>
      </c>
      <c r="L1388" s="528">
        <f>IF(E1388="STL",Pricing!$D$38,IF(A1388="",0,IF(A1388&lt;Pricing!$C$25,Pricing!$D$25,VLOOKUP(Disbursements!$F1388,Pricing!$B$29:$D$32,3))))</f>
        <v>0</v>
      </c>
      <c r="M1388" s="528">
        <f>IF(E1388="STL",0,IF(F1388&gt;0,Pricing!$D$21,0))</f>
        <v>0</v>
      </c>
      <c r="N1388" s="529">
        <f>IF(E1388="STL",F1388*Pricing!$D$40,IF(A1388&lt;=Pricing!$C$4,0,IF(AND(A1388&gt;Pricing!$C$4,Disbursements!A1388&lt;=Pricing!$C$5),F1388*Pricing!$E$5,IF(AND(A1388&gt;Pricing!$C$5,Disbursements!A1388&lt;=Pricing!$C$7),VLOOKUP(F1388,Pricing!$D$7:$E$8,2)*Disbursements!F1388,F1388*Pricing!$E$9))))</f>
        <v>0</v>
      </c>
      <c r="O1388" s="528">
        <f>IF(E1388="STL",0,IF($F1388&gt;0,$F1388*Pricing!$D$17,0))</f>
        <v>0</v>
      </c>
      <c r="P1388" s="530" t="str">
        <f t="shared" si="568"/>
        <v/>
      </c>
      <c r="Q1388" s="531" t="str">
        <f>IF($A1388="","",$G1388/VLOOKUP($I1388,Ref!$B$23:$D$29,2,0))</f>
        <v/>
      </c>
      <c r="R1388" s="530" t="str">
        <f t="shared" si="569"/>
        <v/>
      </c>
      <c r="S1388" s="532" t="str">
        <f t="shared" si="563"/>
        <v/>
      </c>
      <c r="T1388" s="531" t="str">
        <f t="shared" si="570"/>
        <v/>
      </c>
      <c r="U1388" s="533">
        <f t="shared" si="571"/>
        <v>0</v>
      </c>
      <c r="V1388" s="531" t="str">
        <f t="shared" si="572"/>
        <v/>
      </c>
      <c r="W1388" s="531" t="str">
        <f t="shared" si="573"/>
        <v/>
      </c>
      <c r="X1388" s="534" t="str">
        <f t="shared" si="574"/>
        <v/>
      </c>
      <c r="Y1388" s="535" t="str">
        <f>IF($A1388="","",IF($I1388="weekly",$A1388+7,EDATE($A1388,VLOOKUP($I1388,Ref!$B$24:$C$29,2,0))))</f>
        <v/>
      </c>
      <c r="Z1388" s="536" t="str">
        <f t="shared" si="575"/>
        <v/>
      </c>
      <c r="AA1388" s="531">
        <f t="shared" si="576"/>
        <v>0</v>
      </c>
      <c r="AB1388" s="535" t="str">
        <f t="shared" si="564"/>
        <v/>
      </c>
      <c r="AC1388" s="537" t="str">
        <f t="shared" si="565"/>
        <v/>
      </c>
      <c r="AD1388" s="538" t="str">
        <f t="shared" ca="1" si="566"/>
        <v/>
      </c>
      <c r="AE1388" s="537">
        <f t="shared" ca="1" si="567"/>
        <v>0</v>
      </c>
      <c r="AF1388" s="539" t="str">
        <f t="shared" ca="1" si="577"/>
        <v/>
      </c>
      <c r="AG1388" s="531" t="str">
        <f t="shared" ca="1" si="578"/>
        <v/>
      </c>
      <c r="AH1388" s="531" t="str">
        <f t="shared" ca="1" si="579"/>
        <v/>
      </c>
      <c r="AI1388" s="531" t="str">
        <f t="shared" ca="1" si="580"/>
        <v/>
      </c>
      <c r="AJ1388" s="531" t="str">
        <f t="shared" si="581"/>
        <v/>
      </c>
      <c r="AK1388" s="540">
        <f>SUMIFS('Live Collections'!$S:$S,'Live Collections'!$D:$D,Disbursements!B1388,'Live Collections'!$G:$G,Disbursements!C1388)</f>
        <v>0</v>
      </c>
      <c r="AL1388" s="540">
        <f>SUMIFS('Live Collections'!$T:$T,'Live Collections'!$D:$D,Disbursements!B1388,'Live Collections'!$G:$G,Disbursements!C1388)</f>
        <v>0</v>
      </c>
      <c r="AM1388" s="541">
        <f t="shared" si="582"/>
        <v>0</v>
      </c>
      <c r="AN1388" s="542" t="str">
        <f t="shared" si="583"/>
        <v/>
      </c>
      <c r="AO1388" s="542" t="str">
        <f t="shared" si="584"/>
        <v/>
      </c>
      <c r="AP1388" s="543" t="str">
        <f t="shared" si="585"/>
        <v/>
      </c>
      <c r="AQ1388" s="544" t="str">
        <f t="shared" si="586"/>
        <v/>
      </c>
      <c r="AR1388" s="545">
        <f t="shared" si="587"/>
        <v>0</v>
      </c>
      <c r="AS1388" s="545">
        <f>IFERROR(CEILING($AR1388*VLOOKUP($I1388,Ref!$B$23:$E$29,4,0),1),0)</f>
        <v>0</v>
      </c>
      <c r="AT1388" s="545" t="str">
        <f>IF(A1388="","",IF(AP1388&lt;=1,"Cleared",IF(AS1388=0,"Clean",VLOOKUP($AS1388,Ref!$G$23:$H$28,2))))</f>
        <v/>
      </c>
      <c r="AU1388" s="546" t="str">
        <f t="shared" si="588"/>
        <v/>
      </c>
    </row>
    <row r="1389" spans="1:47" ht="14.25" hidden="1" customHeight="1" x14ac:dyDescent="0.15">
      <c r="A1389" s="523"/>
      <c r="B1389" s="523"/>
      <c r="C1389" s="523"/>
      <c r="D1389" s="523"/>
      <c r="E1389" s="579"/>
      <c r="F1389" s="580"/>
      <c r="G1389" s="524"/>
      <c r="H1389" s="555"/>
      <c r="I1389" s="560"/>
      <c r="J1389" s="523"/>
      <c r="K1389" s="528" t="str">
        <f>IFERROR(VLOOKUP($B1389,'Clients-Live'!$A:$C,3,0),"")</f>
        <v/>
      </c>
      <c r="L1389" s="528">
        <f>IF(E1389="STL",Pricing!$D$38,IF(A1389="",0,IF(A1389&lt;Pricing!$C$25,Pricing!$D$25,VLOOKUP(Disbursements!$F1389,Pricing!$B$29:$D$32,3))))</f>
        <v>0</v>
      </c>
      <c r="M1389" s="528">
        <f>IF(E1389="STL",0,IF(F1389&gt;0,Pricing!$D$21,0))</f>
        <v>0</v>
      </c>
      <c r="N1389" s="529">
        <f>IF(E1389="STL",F1389*Pricing!$D$40,IF(A1389&lt;=Pricing!$C$4,0,IF(AND(A1389&gt;Pricing!$C$4,Disbursements!A1389&lt;=Pricing!$C$5),F1389*Pricing!$E$5,IF(AND(A1389&gt;Pricing!$C$5,Disbursements!A1389&lt;=Pricing!$C$7),VLOOKUP(F1389,Pricing!$D$7:$E$8,2)*Disbursements!F1389,F1389*Pricing!$E$9))))</f>
        <v>0</v>
      </c>
      <c r="O1389" s="528">
        <f>IF(E1389="STL",0,IF($F1389&gt;0,$F1389*Pricing!$D$17,0))</f>
        <v>0</v>
      </c>
      <c r="P1389" s="530" t="str">
        <f t="shared" si="568"/>
        <v/>
      </c>
      <c r="Q1389" s="531" t="str">
        <f>IF($A1389="","",$G1389/VLOOKUP($I1389,Ref!$B$23:$D$29,2,0))</f>
        <v/>
      </c>
      <c r="R1389" s="530" t="str">
        <f t="shared" si="569"/>
        <v/>
      </c>
      <c r="S1389" s="532" t="str">
        <f t="shared" si="563"/>
        <v/>
      </c>
      <c r="T1389" s="531" t="str">
        <f t="shared" si="570"/>
        <v/>
      </c>
      <c r="U1389" s="533">
        <f t="shared" si="571"/>
        <v>0</v>
      </c>
      <c r="V1389" s="531" t="str">
        <f t="shared" si="572"/>
        <v/>
      </c>
      <c r="W1389" s="531" t="str">
        <f t="shared" si="573"/>
        <v/>
      </c>
      <c r="X1389" s="534" t="str">
        <f t="shared" si="574"/>
        <v/>
      </c>
      <c r="Y1389" s="535" t="str">
        <f>IF($A1389="","",IF($I1389="weekly",$A1389+7,EDATE($A1389,VLOOKUP($I1389,Ref!$B$24:$C$29,2,0))))</f>
        <v/>
      </c>
      <c r="Z1389" s="536" t="str">
        <f t="shared" si="575"/>
        <v/>
      </c>
      <c r="AA1389" s="531">
        <f t="shared" si="576"/>
        <v>0</v>
      </c>
      <c r="AB1389" s="535" t="str">
        <f t="shared" si="564"/>
        <v/>
      </c>
      <c r="AC1389" s="537" t="str">
        <f t="shared" si="565"/>
        <v/>
      </c>
      <c r="AD1389" s="538" t="str">
        <f t="shared" ca="1" si="566"/>
        <v/>
      </c>
      <c r="AE1389" s="537">
        <f t="shared" ca="1" si="567"/>
        <v>0</v>
      </c>
      <c r="AF1389" s="539" t="str">
        <f t="shared" ca="1" si="577"/>
        <v/>
      </c>
      <c r="AG1389" s="531" t="str">
        <f t="shared" ca="1" si="578"/>
        <v/>
      </c>
      <c r="AH1389" s="531" t="str">
        <f t="shared" ca="1" si="579"/>
        <v/>
      </c>
      <c r="AI1389" s="531" t="str">
        <f t="shared" ca="1" si="580"/>
        <v/>
      </c>
      <c r="AJ1389" s="531" t="str">
        <f t="shared" si="581"/>
        <v/>
      </c>
      <c r="AK1389" s="540">
        <f>SUMIFS('Live Collections'!$S:$S,'Live Collections'!$D:$D,Disbursements!B1389,'Live Collections'!$G:$G,Disbursements!C1389)</f>
        <v>0</v>
      </c>
      <c r="AL1389" s="540">
        <f>SUMIFS('Live Collections'!$T:$T,'Live Collections'!$D:$D,Disbursements!B1389,'Live Collections'!$G:$G,Disbursements!C1389)</f>
        <v>0</v>
      </c>
      <c r="AM1389" s="541">
        <f t="shared" si="582"/>
        <v>0</v>
      </c>
      <c r="AN1389" s="542" t="str">
        <f t="shared" si="583"/>
        <v/>
      </c>
      <c r="AO1389" s="542" t="str">
        <f t="shared" si="584"/>
        <v/>
      </c>
      <c r="AP1389" s="543" t="str">
        <f t="shared" si="585"/>
        <v/>
      </c>
      <c r="AQ1389" s="544" t="str">
        <f t="shared" si="586"/>
        <v/>
      </c>
      <c r="AR1389" s="545">
        <f t="shared" si="587"/>
        <v>0</v>
      </c>
      <c r="AS1389" s="545">
        <f>IFERROR(CEILING($AR1389*VLOOKUP($I1389,Ref!$B$23:$E$29,4,0),1),0)</f>
        <v>0</v>
      </c>
      <c r="AT1389" s="545" t="str">
        <f>IF(A1389="","",IF(AP1389&lt;=1,"Cleared",IF(AS1389=0,"Clean",VLOOKUP($AS1389,Ref!$G$23:$H$28,2))))</f>
        <v/>
      </c>
      <c r="AU1389" s="546" t="str">
        <f t="shared" si="588"/>
        <v/>
      </c>
    </row>
    <row r="1390" spans="1:47" ht="14.25" hidden="1" customHeight="1" x14ac:dyDescent="0.15">
      <c r="A1390" s="523"/>
      <c r="B1390" s="523"/>
      <c r="C1390" s="523"/>
      <c r="D1390" s="523"/>
      <c r="E1390" s="579"/>
      <c r="F1390" s="580"/>
      <c r="G1390" s="524"/>
      <c r="H1390" s="555"/>
      <c r="I1390" s="560"/>
      <c r="J1390" s="523"/>
      <c r="K1390" s="528" t="str">
        <f>IFERROR(VLOOKUP($B1390,'Clients-Live'!$A:$C,3,0),"")</f>
        <v/>
      </c>
      <c r="L1390" s="528">
        <f>IF(E1390="STL",Pricing!$D$38,IF(A1390="",0,IF(A1390&lt;Pricing!$C$25,Pricing!$D$25,VLOOKUP(Disbursements!$F1390,Pricing!$B$29:$D$32,3))))</f>
        <v>0</v>
      </c>
      <c r="M1390" s="528">
        <f>IF(E1390="STL",0,IF(F1390&gt;0,Pricing!$D$21,0))</f>
        <v>0</v>
      </c>
      <c r="N1390" s="529">
        <f>IF(E1390="STL",F1390*Pricing!$D$40,IF(A1390&lt;=Pricing!$C$4,0,IF(AND(A1390&gt;Pricing!$C$4,Disbursements!A1390&lt;=Pricing!$C$5),F1390*Pricing!$E$5,IF(AND(A1390&gt;Pricing!$C$5,Disbursements!A1390&lt;=Pricing!$C$7),VLOOKUP(F1390,Pricing!$D$7:$E$8,2)*Disbursements!F1390,F1390*Pricing!$E$9))))</f>
        <v>0</v>
      </c>
      <c r="O1390" s="528">
        <f>IF(E1390="STL",0,IF($F1390&gt;0,$F1390*Pricing!$D$17,0))</f>
        <v>0</v>
      </c>
      <c r="P1390" s="530" t="str">
        <f t="shared" si="568"/>
        <v/>
      </c>
      <c r="Q1390" s="531" t="str">
        <f>IF($A1390="","",$G1390/VLOOKUP($I1390,Ref!$B$23:$D$29,2,0))</f>
        <v/>
      </c>
      <c r="R1390" s="530" t="str">
        <f t="shared" si="569"/>
        <v/>
      </c>
      <c r="S1390" s="532" t="str">
        <f t="shared" si="563"/>
        <v/>
      </c>
      <c r="T1390" s="531" t="str">
        <f t="shared" si="570"/>
        <v/>
      </c>
      <c r="U1390" s="533">
        <f t="shared" si="571"/>
        <v>0</v>
      </c>
      <c r="V1390" s="531" t="str">
        <f t="shared" si="572"/>
        <v/>
      </c>
      <c r="W1390" s="531" t="str">
        <f t="shared" si="573"/>
        <v/>
      </c>
      <c r="X1390" s="534" t="str">
        <f t="shared" si="574"/>
        <v/>
      </c>
      <c r="Y1390" s="535" t="str">
        <f>IF($A1390="","",IF($I1390="weekly",$A1390+7,EDATE($A1390,VLOOKUP($I1390,Ref!$B$24:$C$29,2,0))))</f>
        <v/>
      </c>
      <c r="Z1390" s="536" t="str">
        <f t="shared" si="575"/>
        <v/>
      </c>
      <c r="AA1390" s="531">
        <f t="shared" si="576"/>
        <v>0</v>
      </c>
      <c r="AB1390" s="535" t="str">
        <f t="shared" si="564"/>
        <v/>
      </c>
      <c r="AC1390" s="537" t="str">
        <f t="shared" si="565"/>
        <v/>
      </c>
      <c r="AD1390" s="538" t="str">
        <f t="shared" ca="1" si="566"/>
        <v/>
      </c>
      <c r="AE1390" s="537">
        <f t="shared" ca="1" si="567"/>
        <v>0</v>
      </c>
      <c r="AF1390" s="539" t="str">
        <f t="shared" ca="1" si="577"/>
        <v/>
      </c>
      <c r="AG1390" s="531" t="str">
        <f t="shared" ca="1" si="578"/>
        <v/>
      </c>
      <c r="AH1390" s="531" t="str">
        <f t="shared" ca="1" si="579"/>
        <v/>
      </c>
      <c r="AI1390" s="531" t="str">
        <f t="shared" ca="1" si="580"/>
        <v/>
      </c>
      <c r="AJ1390" s="531" t="str">
        <f t="shared" si="581"/>
        <v/>
      </c>
      <c r="AK1390" s="540">
        <f>SUMIFS('Live Collections'!$S:$S,'Live Collections'!$D:$D,Disbursements!B1390,'Live Collections'!$G:$G,Disbursements!C1390)</f>
        <v>0</v>
      </c>
      <c r="AL1390" s="540">
        <f>SUMIFS('Live Collections'!$T:$T,'Live Collections'!$D:$D,Disbursements!B1390,'Live Collections'!$G:$G,Disbursements!C1390)</f>
        <v>0</v>
      </c>
      <c r="AM1390" s="541">
        <f t="shared" si="582"/>
        <v>0</v>
      </c>
      <c r="AN1390" s="542" t="str">
        <f t="shared" si="583"/>
        <v/>
      </c>
      <c r="AO1390" s="542" t="str">
        <f t="shared" si="584"/>
        <v/>
      </c>
      <c r="AP1390" s="543" t="str">
        <f t="shared" si="585"/>
        <v/>
      </c>
      <c r="AQ1390" s="544" t="str">
        <f t="shared" si="586"/>
        <v/>
      </c>
      <c r="AR1390" s="545">
        <f t="shared" si="587"/>
        <v>0</v>
      </c>
      <c r="AS1390" s="545">
        <f>IFERROR(CEILING($AR1390*VLOOKUP($I1390,Ref!$B$23:$E$29,4,0),1),0)</f>
        <v>0</v>
      </c>
      <c r="AT1390" s="545" t="str">
        <f>IF(A1390="","",IF(AP1390&lt;=1,"Cleared",IF(AS1390=0,"Clean",VLOOKUP($AS1390,Ref!$G$23:$H$28,2))))</f>
        <v/>
      </c>
      <c r="AU1390" s="546" t="str">
        <f t="shared" si="588"/>
        <v/>
      </c>
    </row>
    <row r="1391" spans="1:47" ht="14.25" hidden="1" customHeight="1" x14ac:dyDescent="0.15">
      <c r="A1391" s="523"/>
      <c r="B1391" s="523"/>
      <c r="C1391" s="523"/>
      <c r="D1391" s="523"/>
      <c r="E1391" s="579"/>
      <c r="F1391" s="580"/>
      <c r="G1391" s="524"/>
      <c r="H1391" s="555"/>
      <c r="I1391" s="560"/>
      <c r="J1391" s="523"/>
      <c r="K1391" s="528" t="str">
        <f>IFERROR(VLOOKUP($B1391,'Clients-Live'!$A:$C,3,0),"")</f>
        <v/>
      </c>
      <c r="L1391" s="528">
        <f>IF(E1391="STL",Pricing!$D$38,IF(A1391="",0,IF(A1391&lt;Pricing!$C$25,Pricing!$D$25,VLOOKUP(Disbursements!$F1391,Pricing!$B$29:$D$32,3))))</f>
        <v>0</v>
      </c>
      <c r="M1391" s="528">
        <f>IF(E1391="STL",0,IF(F1391&gt;0,Pricing!$D$21,0))</f>
        <v>0</v>
      </c>
      <c r="N1391" s="529">
        <f>IF(E1391="STL",F1391*Pricing!$D$40,IF(A1391&lt;=Pricing!$C$4,0,IF(AND(A1391&gt;Pricing!$C$4,Disbursements!A1391&lt;=Pricing!$C$5),F1391*Pricing!$E$5,IF(AND(A1391&gt;Pricing!$C$5,Disbursements!A1391&lt;=Pricing!$C$7),VLOOKUP(F1391,Pricing!$D$7:$E$8,2)*Disbursements!F1391,F1391*Pricing!$E$9))))</f>
        <v>0</v>
      </c>
      <c r="O1391" s="528">
        <f>IF(E1391="STL",0,IF($F1391&gt;0,$F1391*Pricing!$D$17,0))</f>
        <v>0</v>
      </c>
      <c r="P1391" s="530" t="str">
        <f t="shared" si="568"/>
        <v/>
      </c>
      <c r="Q1391" s="531" t="str">
        <f>IF($A1391="","",$G1391/VLOOKUP($I1391,Ref!$B$23:$D$29,2,0))</f>
        <v/>
      </c>
      <c r="R1391" s="530" t="str">
        <f t="shared" si="569"/>
        <v/>
      </c>
      <c r="S1391" s="532" t="str">
        <f t="shared" si="563"/>
        <v/>
      </c>
      <c r="T1391" s="531" t="str">
        <f t="shared" si="570"/>
        <v/>
      </c>
      <c r="U1391" s="533">
        <f t="shared" si="571"/>
        <v>0</v>
      </c>
      <c r="V1391" s="531" t="str">
        <f t="shared" si="572"/>
        <v/>
      </c>
      <c r="W1391" s="531" t="str">
        <f t="shared" si="573"/>
        <v/>
      </c>
      <c r="X1391" s="534" t="str">
        <f t="shared" si="574"/>
        <v/>
      </c>
      <c r="Y1391" s="535" t="str">
        <f>IF($A1391="","",IF($I1391="weekly",$A1391+7,EDATE($A1391,VLOOKUP($I1391,Ref!$B$24:$C$29,2,0))))</f>
        <v/>
      </c>
      <c r="Z1391" s="536" t="str">
        <f t="shared" si="575"/>
        <v/>
      </c>
      <c r="AA1391" s="531">
        <f t="shared" si="576"/>
        <v>0</v>
      </c>
      <c r="AB1391" s="535" t="str">
        <f t="shared" si="564"/>
        <v/>
      </c>
      <c r="AC1391" s="537" t="str">
        <f t="shared" si="565"/>
        <v/>
      </c>
      <c r="AD1391" s="538" t="str">
        <f t="shared" ca="1" si="566"/>
        <v/>
      </c>
      <c r="AE1391" s="537">
        <f t="shared" ca="1" si="567"/>
        <v>0</v>
      </c>
      <c r="AF1391" s="539" t="str">
        <f t="shared" ca="1" si="577"/>
        <v/>
      </c>
      <c r="AG1391" s="531" t="str">
        <f t="shared" ca="1" si="578"/>
        <v/>
      </c>
      <c r="AH1391" s="531" t="str">
        <f t="shared" ca="1" si="579"/>
        <v/>
      </c>
      <c r="AI1391" s="531" t="str">
        <f t="shared" ca="1" si="580"/>
        <v/>
      </c>
      <c r="AJ1391" s="531" t="str">
        <f t="shared" si="581"/>
        <v/>
      </c>
      <c r="AK1391" s="540">
        <f>SUMIFS('Live Collections'!$S:$S,'Live Collections'!$D:$D,Disbursements!B1391,'Live Collections'!$G:$G,Disbursements!C1391)</f>
        <v>0</v>
      </c>
      <c r="AL1391" s="540">
        <f>SUMIFS('Live Collections'!$T:$T,'Live Collections'!$D:$D,Disbursements!B1391,'Live Collections'!$G:$G,Disbursements!C1391)</f>
        <v>0</v>
      </c>
      <c r="AM1391" s="541">
        <f t="shared" si="582"/>
        <v>0</v>
      </c>
      <c r="AN1391" s="542" t="str">
        <f t="shared" si="583"/>
        <v/>
      </c>
      <c r="AO1391" s="542" t="str">
        <f t="shared" si="584"/>
        <v/>
      </c>
      <c r="AP1391" s="543" t="str">
        <f t="shared" si="585"/>
        <v/>
      </c>
      <c r="AQ1391" s="544" t="str">
        <f t="shared" si="586"/>
        <v/>
      </c>
      <c r="AR1391" s="545">
        <f t="shared" si="587"/>
        <v>0</v>
      </c>
      <c r="AS1391" s="545">
        <f>IFERROR(CEILING($AR1391*VLOOKUP($I1391,Ref!$B$23:$E$29,4,0),1),0)</f>
        <v>0</v>
      </c>
      <c r="AT1391" s="545" t="str">
        <f>IF(A1391="","",IF(AP1391&lt;=1,"Cleared",IF(AS1391=0,"Clean",VLOOKUP($AS1391,Ref!$G$23:$H$28,2))))</f>
        <v/>
      </c>
      <c r="AU1391" s="546" t="str">
        <f t="shared" si="588"/>
        <v/>
      </c>
    </row>
    <row r="1392" spans="1:47" ht="14.25" hidden="1" customHeight="1" x14ac:dyDescent="0.15">
      <c r="A1392" s="523"/>
      <c r="B1392" s="523"/>
      <c r="C1392" s="523"/>
      <c r="D1392" s="523"/>
      <c r="E1392" s="579"/>
      <c r="F1392" s="580"/>
      <c r="G1392" s="524"/>
      <c r="H1392" s="555"/>
      <c r="I1392" s="560"/>
      <c r="J1392" s="523"/>
      <c r="K1392" s="528" t="str">
        <f>IFERROR(VLOOKUP($B1392,'Clients-Live'!$A:$C,3,0),"")</f>
        <v/>
      </c>
      <c r="L1392" s="528">
        <f>IF(E1392="STL",Pricing!$D$38,IF(A1392="",0,IF(A1392&lt;Pricing!$C$25,Pricing!$D$25,VLOOKUP(Disbursements!$F1392,Pricing!$B$29:$D$32,3))))</f>
        <v>0</v>
      </c>
      <c r="M1392" s="528">
        <f>IF(E1392="STL",0,IF(F1392&gt;0,Pricing!$D$21,0))</f>
        <v>0</v>
      </c>
      <c r="N1392" s="529">
        <f>IF(E1392="STL",F1392*Pricing!$D$40,IF(A1392&lt;=Pricing!$C$4,0,IF(AND(A1392&gt;Pricing!$C$4,Disbursements!A1392&lt;=Pricing!$C$5),F1392*Pricing!$E$5,IF(AND(A1392&gt;Pricing!$C$5,Disbursements!A1392&lt;=Pricing!$C$7),VLOOKUP(F1392,Pricing!$D$7:$E$8,2)*Disbursements!F1392,F1392*Pricing!$E$9))))</f>
        <v>0</v>
      </c>
      <c r="O1392" s="528">
        <f>IF(E1392="STL",0,IF($F1392&gt;0,$F1392*Pricing!$D$17,0))</f>
        <v>0</v>
      </c>
      <c r="P1392" s="530" t="str">
        <f t="shared" si="568"/>
        <v/>
      </c>
      <c r="Q1392" s="531" t="str">
        <f>IF($A1392="","",$G1392/VLOOKUP($I1392,Ref!$B$23:$D$29,2,0))</f>
        <v/>
      </c>
      <c r="R1392" s="530" t="str">
        <f t="shared" si="569"/>
        <v/>
      </c>
      <c r="S1392" s="532" t="str">
        <f t="shared" si="563"/>
        <v/>
      </c>
      <c r="T1392" s="531" t="str">
        <f t="shared" si="570"/>
        <v/>
      </c>
      <c r="U1392" s="533">
        <f t="shared" si="571"/>
        <v>0</v>
      </c>
      <c r="V1392" s="531" t="str">
        <f t="shared" si="572"/>
        <v/>
      </c>
      <c r="W1392" s="531" t="str">
        <f t="shared" si="573"/>
        <v/>
      </c>
      <c r="X1392" s="534" t="str">
        <f t="shared" si="574"/>
        <v/>
      </c>
      <c r="Y1392" s="535" t="str">
        <f>IF($A1392="","",IF($I1392="weekly",$A1392+7,EDATE($A1392,VLOOKUP($I1392,Ref!$B$24:$C$29,2,0))))</f>
        <v/>
      </c>
      <c r="Z1392" s="536" t="str">
        <f t="shared" si="575"/>
        <v/>
      </c>
      <c r="AA1392" s="531">
        <f t="shared" si="576"/>
        <v>0</v>
      </c>
      <c r="AB1392" s="535" t="str">
        <f t="shared" si="564"/>
        <v/>
      </c>
      <c r="AC1392" s="537" t="str">
        <f t="shared" si="565"/>
        <v/>
      </c>
      <c r="AD1392" s="538" t="str">
        <f t="shared" ca="1" si="566"/>
        <v/>
      </c>
      <c r="AE1392" s="537">
        <f t="shared" ca="1" si="567"/>
        <v>0</v>
      </c>
      <c r="AF1392" s="539" t="str">
        <f t="shared" ca="1" si="577"/>
        <v/>
      </c>
      <c r="AG1392" s="531" t="str">
        <f t="shared" ca="1" si="578"/>
        <v/>
      </c>
      <c r="AH1392" s="531" t="str">
        <f t="shared" ca="1" si="579"/>
        <v/>
      </c>
      <c r="AI1392" s="531" t="str">
        <f t="shared" ca="1" si="580"/>
        <v/>
      </c>
      <c r="AJ1392" s="531" t="str">
        <f t="shared" si="581"/>
        <v/>
      </c>
      <c r="AK1392" s="540">
        <f>SUMIFS('Live Collections'!$S:$S,'Live Collections'!$D:$D,Disbursements!B1392,'Live Collections'!$G:$G,Disbursements!C1392)</f>
        <v>0</v>
      </c>
      <c r="AL1392" s="540">
        <f>SUMIFS('Live Collections'!$T:$T,'Live Collections'!$D:$D,Disbursements!B1392,'Live Collections'!$G:$G,Disbursements!C1392)</f>
        <v>0</v>
      </c>
      <c r="AM1392" s="541">
        <f t="shared" si="582"/>
        <v>0</v>
      </c>
      <c r="AN1392" s="542" t="str">
        <f t="shared" si="583"/>
        <v/>
      </c>
      <c r="AO1392" s="542" t="str">
        <f t="shared" si="584"/>
        <v/>
      </c>
      <c r="AP1392" s="543" t="str">
        <f t="shared" si="585"/>
        <v/>
      </c>
      <c r="AQ1392" s="544" t="str">
        <f t="shared" si="586"/>
        <v/>
      </c>
      <c r="AR1392" s="545">
        <f t="shared" si="587"/>
        <v>0</v>
      </c>
      <c r="AS1392" s="545">
        <f>IFERROR(CEILING($AR1392*VLOOKUP($I1392,Ref!$B$23:$E$29,4,0),1),0)</f>
        <v>0</v>
      </c>
      <c r="AT1392" s="545" t="str">
        <f>IF(A1392="","",IF(AP1392&lt;=1,"Cleared",IF(AS1392=0,"Clean",VLOOKUP($AS1392,Ref!$G$23:$H$28,2))))</f>
        <v/>
      </c>
      <c r="AU1392" s="546" t="str">
        <f t="shared" si="588"/>
        <v/>
      </c>
    </row>
    <row r="1393" spans="1:47" ht="14.25" hidden="1" customHeight="1" x14ac:dyDescent="0.15">
      <c r="A1393" s="523"/>
      <c r="B1393" s="523"/>
      <c r="C1393" s="523"/>
      <c r="D1393" s="523"/>
      <c r="E1393" s="579"/>
      <c r="F1393" s="580"/>
      <c r="G1393" s="524"/>
      <c r="H1393" s="555"/>
      <c r="I1393" s="560"/>
      <c r="J1393" s="523"/>
      <c r="K1393" s="528" t="str">
        <f>IFERROR(VLOOKUP($B1393,'Clients-Live'!$A:$C,3,0),"")</f>
        <v/>
      </c>
      <c r="L1393" s="528">
        <f>IF(E1393="STL",Pricing!$D$38,IF(A1393="",0,IF(A1393&lt;Pricing!$C$25,Pricing!$D$25,VLOOKUP(Disbursements!$F1393,Pricing!$B$29:$D$32,3))))</f>
        <v>0</v>
      </c>
      <c r="M1393" s="528">
        <f>IF(E1393="STL",0,IF(F1393&gt;0,Pricing!$D$21,0))</f>
        <v>0</v>
      </c>
      <c r="N1393" s="529">
        <f>IF(E1393="STL",F1393*Pricing!$D$40,IF(A1393&lt;=Pricing!$C$4,0,IF(AND(A1393&gt;Pricing!$C$4,Disbursements!A1393&lt;=Pricing!$C$5),F1393*Pricing!$E$5,IF(AND(A1393&gt;Pricing!$C$5,Disbursements!A1393&lt;=Pricing!$C$7),VLOOKUP(F1393,Pricing!$D$7:$E$8,2)*Disbursements!F1393,F1393*Pricing!$E$9))))</f>
        <v>0</v>
      </c>
      <c r="O1393" s="528">
        <f>IF(E1393="STL",0,IF($F1393&gt;0,$F1393*Pricing!$D$17,0))</f>
        <v>0</v>
      </c>
      <c r="P1393" s="530" t="str">
        <f t="shared" si="568"/>
        <v/>
      </c>
      <c r="Q1393" s="531" t="str">
        <f>IF($A1393="","",$G1393/VLOOKUP($I1393,Ref!$B$23:$D$29,2,0))</f>
        <v/>
      </c>
      <c r="R1393" s="530" t="str">
        <f t="shared" si="569"/>
        <v/>
      </c>
      <c r="S1393" s="532" t="str">
        <f t="shared" si="563"/>
        <v/>
      </c>
      <c r="T1393" s="531" t="str">
        <f t="shared" si="570"/>
        <v/>
      </c>
      <c r="U1393" s="533">
        <f t="shared" si="571"/>
        <v>0</v>
      </c>
      <c r="V1393" s="531" t="str">
        <f t="shared" si="572"/>
        <v/>
      </c>
      <c r="W1393" s="531" t="str">
        <f t="shared" si="573"/>
        <v/>
      </c>
      <c r="X1393" s="534" t="str">
        <f t="shared" si="574"/>
        <v/>
      </c>
      <c r="Y1393" s="535" t="str">
        <f>IF($A1393="","",IF($I1393="weekly",$A1393+7,EDATE($A1393,VLOOKUP($I1393,Ref!$B$24:$C$29,2,0))))</f>
        <v/>
      </c>
      <c r="Z1393" s="536" t="str">
        <f t="shared" si="575"/>
        <v/>
      </c>
      <c r="AA1393" s="531">
        <f t="shared" si="576"/>
        <v>0</v>
      </c>
      <c r="AB1393" s="535" t="str">
        <f t="shared" si="564"/>
        <v/>
      </c>
      <c r="AC1393" s="537" t="str">
        <f t="shared" si="565"/>
        <v/>
      </c>
      <c r="AD1393" s="538" t="str">
        <f t="shared" ca="1" si="566"/>
        <v/>
      </c>
      <c r="AE1393" s="537">
        <f t="shared" ca="1" si="567"/>
        <v>0</v>
      </c>
      <c r="AF1393" s="539" t="str">
        <f t="shared" ca="1" si="577"/>
        <v/>
      </c>
      <c r="AG1393" s="531" t="str">
        <f t="shared" ca="1" si="578"/>
        <v/>
      </c>
      <c r="AH1393" s="531" t="str">
        <f t="shared" ca="1" si="579"/>
        <v/>
      </c>
      <c r="AI1393" s="531" t="str">
        <f t="shared" ca="1" si="580"/>
        <v/>
      </c>
      <c r="AJ1393" s="531" t="str">
        <f t="shared" si="581"/>
        <v/>
      </c>
      <c r="AK1393" s="540">
        <f>SUMIFS('Live Collections'!$S:$S,'Live Collections'!$D:$D,Disbursements!B1393,'Live Collections'!$G:$G,Disbursements!C1393)</f>
        <v>0</v>
      </c>
      <c r="AL1393" s="540">
        <f>SUMIFS('Live Collections'!$T:$T,'Live Collections'!$D:$D,Disbursements!B1393,'Live Collections'!$G:$G,Disbursements!C1393)</f>
        <v>0</v>
      </c>
      <c r="AM1393" s="541">
        <f t="shared" si="582"/>
        <v>0</v>
      </c>
      <c r="AN1393" s="542" t="str">
        <f t="shared" si="583"/>
        <v/>
      </c>
      <c r="AO1393" s="542" t="str">
        <f t="shared" si="584"/>
        <v/>
      </c>
      <c r="AP1393" s="543" t="str">
        <f t="shared" si="585"/>
        <v/>
      </c>
      <c r="AQ1393" s="544" t="str">
        <f t="shared" si="586"/>
        <v/>
      </c>
      <c r="AR1393" s="545">
        <f t="shared" si="587"/>
        <v>0</v>
      </c>
      <c r="AS1393" s="545">
        <f>IFERROR(CEILING($AR1393*VLOOKUP($I1393,Ref!$B$23:$E$29,4,0),1),0)</f>
        <v>0</v>
      </c>
      <c r="AT1393" s="545" t="str">
        <f>IF(A1393="","",IF(AP1393&lt;=1,"Cleared",IF(AS1393=0,"Clean",VLOOKUP($AS1393,Ref!$G$23:$H$28,2))))</f>
        <v/>
      </c>
      <c r="AU1393" s="546" t="str">
        <f t="shared" si="588"/>
        <v/>
      </c>
    </row>
    <row r="1394" spans="1:47" ht="14.25" hidden="1" customHeight="1" x14ac:dyDescent="0.15">
      <c r="A1394" s="523"/>
      <c r="B1394" s="523"/>
      <c r="C1394" s="523"/>
      <c r="D1394" s="523"/>
      <c r="E1394" s="579"/>
      <c r="F1394" s="580"/>
      <c r="G1394" s="524"/>
      <c r="H1394" s="555"/>
      <c r="I1394" s="560"/>
      <c r="J1394" s="523"/>
      <c r="K1394" s="528" t="str">
        <f>IFERROR(VLOOKUP($B1394,'Clients-Live'!$A:$C,3,0),"")</f>
        <v/>
      </c>
      <c r="L1394" s="528">
        <f>IF(E1394="STL",Pricing!$D$38,IF(A1394="",0,IF(A1394&lt;Pricing!$C$25,Pricing!$D$25,VLOOKUP(Disbursements!$F1394,Pricing!$B$29:$D$32,3))))</f>
        <v>0</v>
      </c>
      <c r="M1394" s="528">
        <f>IF(E1394="STL",0,IF(F1394&gt;0,Pricing!$D$21,0))</f>
        <v>0</v>
      </c>
      <c r="N1394" s="529">
        <f>IF(E1394="STL",F1394*Pricing!$D$40,IF(A1394&lt;=Pricing!$C$4,0,IF(AND(A1394&gt;Pricing!$C$4,Disbursements!A1394&lt;=Pricing!$C$5),F1394*Pricing!$E$5,IF(AND(A1394&gt;Pricing!$C$5,Disbursements!A1394&lt;=Pricing!$C$7),VLOOKUP(F1394,Pricing!$D$7:$E$8,2)*Disbursements!F1394,F1394*Pricing!$E$9))))</f>
        <v>0</v>
      </c>
      <c r="O1394" s="528">
        <f>IF(E1394="STL",0,IF($F1394&gt;0,$F1394*Pricing!$D$17,0))</f>
        <v>0</v>
      </c>
      <c r="P1394" s="530" t="str">
        <f t="shared" si="568"/>
        <v/>
      </c>
      <c r="Q1394" s="531" t="str">
        <f>IF($A1394="","",$G1394/VLOOKUP($I1394,Ref!$B$23:$D$29,2,0))</f>
        <v/>
      </c>
      <c r="R1394" s="530" t="str">
        <f t="shared" si="569"/>
        <v/>
      </c>
      <c r="S1394" s="532" t="str">
        <f t="shared" si="563"/>
        <v/>
      </c>
      <c r="T1394" s="531" t="str">
        <f t="shared" si="570"/>
        <v/>
      </c>
      <c r="U1394" s="533">
        <f t="shared" si="571"/>
        <v>0</v>
      </c>
      <c r="V1394" s="531" t="str">
        <f t="shared" si="572"/>
        <v/>
      </c>
      <c r="W1394" s="531" t="str">
        <f t="shared" si="573"/>
        <v/>
      </c>
      <c r="X1394" s="534" t="str">
        <f t="shared" si="574"/>
        <v/>
      </c>
      <c r="Y1394" s="535" t="str">
        <f>IF($A1394="","",IF($I1394="weekly",$A1394+7,EDATE($A1394,VLOOKUP($I1394,Ref!$B$24:$C$29,2,0))))</f>
        <v/>
      </c>
      <c r="Z1394" s="536" t="str">
        <f t="shared" si="575"/>
        <v/>
      </c>
      <c r="AA1394" s="531">
        <f t="shared" si="576"/>
        <v>0</v>
      </c>
      <c r="AB1394" s="535" t="str">
        <f t="shared" si="564"/>
        <v/>
      </c>
      <c r="AC1394" s="537" t="str">
        <f t="shared" si="565"/>
        <v/>
      </c>
      <c r="AD1394" s="538" t="str">
        <f t="shared" ca="1" si="566"/>
        <v/>
      </c>
      <c r="AE1394" s="537">
        <f t="shared" ca="1" si="567"/>
        <v>0</v>
      </c>
      <c r="AF1394" s="539" t="str">
        <f t="shared" ca="1" si="577"/>
        <v/>
      </c>
      <c r="AG1394" s="531" t="str">
        <f t="shared" ca="1" si="578"/>
        <v/>
      </c>
      <c r="AH1394" s="531" t="str">
        <f t="shared" ca="1" si="579"/>
        <v/>
      </c>
      <c r="AI1394" s="531" t="str">
        <f t="shared" ca="1" si="580"/>
        <v/>
      </c>
      <c r="AJ1394" s="531" t="str">
        <f t="shared" si="581"/>
        <v/>
      </c>
      <c r="AK1394" s="540">
        <f>SUMIFS('Live Collections'!$S:$S,'Live Collections'!$D:$D,Disbursements!B1394,'Live Collections'!$G:$G,Disbursements!C1394)</f>
        <v>0</v>
      </c>
      <c r="AL1394" s="540">
        <f>SUMIFS('Live Collections'!$T:$T,'Live Collections'!$D:$D,Disbursements!B1394,'Live Collections'!$G:$G,Disbursements!C1394)</f>
        <v>0</v>
      </c>
      <c r="AM1394" s="541">
        <f t="shared" si="582"/>
        <v>0</v>
      </c>
      <c r="AN1394" s="542" t="str">
        <f t="shared" si="583"/>
        <v/>
      </c>
      <c r="AO1394" s="542" t="str">
        <f t="shared" si="584"/>
        <v/>
      </c>
      <c r="AP1394" s="543" t="str">
        <f t="shared" si="585"/>
        <v/>
      </c>
      <c r="AQ1394" s="544" t="str">
        <f t="shared" si="586"/>
        <v/>
      </c>
      <c r="AR1394" s="545">
        <f t="shared" si="587"/>
        <v>0</v>
      </c>
      <c r="AS1394" s="545">
        <f>IFERROR(CEILING($AR1394*VLOOKUP($I1394,Ref!$B$23:$E$29,4,0),1),0)</f>
        <v>0</v>
      </c>
      <c r="AT1394" s="545" t="str">
        <f>IF(A1394="","",IF(AP1394&lt;=1,"Cleared",IF(AS1394=0,"Clean",VLOOKUP($AS1394,Ref!$G$23:$H$28,2))))</f>
        <v/>
      </c>
      <c r="AU1394" s="546" t="str">
        <f t="shared" si="588"/>
        <v/>
      </c>
    </row>
    <row r="1395" spans="1:47" ht="14.25" hidden="1" customHeight="1" x14ac:dyDescent="0.15">
      <c r="A1395" s="523"/>
      <c r="B1395" s="523"/>
      <c r="C1395" s="523"/>
      <c r="D1395" s="523"/>
      <c r="E1395" s="579"/>
      <c r="F1395" s="580"/>
      <c r="G1395" s="524"/>
      <c r="H1395" s="555"/>
      <c r="I1395" s="560"/>
      <c r="J1395" s="523"/>
      <c r="K1395" s="528" t="str">
        <f>IFERROR(VLOOKUP($B1395,'Clients-Live'!$A:$C,3,0),"")</f>
        <v/>
      </c>
      <c r="L1395" s="528">
        <f>IF(E1395="STL",Pricing!$D$38,IF(A1395="",0,IF(A1395&lt;Pricing!$C$25,Pricing!$D$25,VLOOKUP(Disbursements!$F1395,Pricing!$B$29:$D$32,3))))</f>
        <v>0</v>
      </c>
      <c r="M1395" s="528">
        <f>IF(E1395="STL",0,IF(F1395&gt;0,Pricing!$D$21,0))</f>
        <v>0</v>
      </c>
      <c r="N1395" s="529">
        <f>IF(E1395="STL",F1395*Pricing!$D$40,IF(A1395&lt;=Pricing!$C$4,0,IF(AND(A1395&gt;Pricing!$C$4,Disbursements!A1395&lt;=Pricing!$C$5),F1395*Pricing!$E$5,IF(AND(A1395&gt;Pricing!$C$5,Disbursements!A1395&lt;=Pricing!$C$7),VLOOKUP(F1395,Pricing!$D$7:$E$8,2)*Disbursements!F1395,F1395*Pricing!$E$9))))</f>
        <v>0</v>
      </c>
      <c r="O1395" s="528">
        <f>IF(E1395="STL",0,IF($F1395&gt;0,$F1395*Pricing!$D$17,0))</f>
        <v>0</v>
      </c>
      <c r="P1395" s="530" t="str">
        <f t="shared" si="568"/>
        <v/>
      </c>
      <c r="Q1395" s="531" t="str">
        <f>IF($A1395="","",$G1395/VLOOKUP($I1395,Ref!$B$23:$D$29,2,0))</f>
        <v/>
      </c>
      <c r="R1395" s="530" t="str">
        <f t="shared" si="569"/>
        <v/>
      </c>
      <c r="S1395" s="532" t="str">
        <f t="shared" si="563"/>
        <v/>
      </c>
      <c r="T1395" s="531" t="str">
        <f t="shared" si="570"/>
        <v/>
      </c>
      <c r="U1395" s="533">
        <f t="shared" si="571"/>
        <v>0</v>
      </c>
      <c r="V1395" s="531" t="str">
        <f t="shared" si="572"/>
        <v/>
      </c>
      <c r="W1395" s="531" t="str">
        <f t="shared" si="573"/>
        <v/>
      </c>
      <c r="X1395" s="534" t="str">
        <f t="shared" si="574"/>
        <v/>
      </c>
      <c r="Y1395" s="535" t="str">
        <f>IF($A1395="","",IF($I1395="weekly",$A1395+7,EDATE($A1395,VLOOKUP($I1395,Ref!$B$24:$C$29,2,0))))</f>
        <v/>
      </c>
      <c r="Z1395" s="536" t="str">
        <f t="shared" si="575"/>
        <v/>
      </c>
      <c r="AA1395" s="531">
        <f t="shared" si="576"/>
        <v>0</v>
      </c>
      <c r="AB1395" s="535" t="str">
        <f t="shared" si="564"/>
        <v/>
      </c>
      <c r="AC1395" s="537" t="str">
        <f t="shared" si="565"/>
        <v/>
      </c>
      <c r="AD1395" s="538" t="str">
        <f t="shared" ca="1" si="566"/>
        <v/>
      </c>
      <c r="AE1395" s="537">
        <f t="shared" ca="1" si="567"/>
        <v>0</v>
      </c>
      <c r="AF1395" s="539" t="str">
        <f t="shared" ca="1" si="577"/>
        <v/>
      </c>
      <c r="AG1395" s="531" t="str">
        <f t="shared" ca="1" si="578"/>
        <v/>
      </c>
      <c r="AH1395" s="531" t="str">
        <f t="shared" ca="1" si="579"/>
        <v/>
      </c>
      <c r="AI1395" s="531" t="str">
        <f t="shared" ca="1" si="580"/>
        <v/>
      </c>
      <c r="AJ1395" s="531" t="str">
        <f t="shared" si="581"/>
        <v/>
      </c>
      <c r="AK1395" s="540">
        <f>SUMIFS('Live Collections'!$S:$S,'Live Collections'!$D:$D,Disbursements!B1395,'Live Collections'!$G:$G,Disbursements!C1395)</f>
        <v>0</v>
      </c>
      <c r="AL1395" s="540">
        <f>SUMIFS('Live Collections'!$T:$T,'Live Collections'!$D:$D,Disbursements!B1395,'Live Collections'!$G:$G,Disbursements!C1395)</f>
        <v>0</v>
      </c>
      <c r="AM1395" s="541">
        <f t="shared" si="582"/>
        <v>0</v>
      </c>
      <c r="AN1395" s="542" t="str">
        <f t="shared" si="583"/>
        <v/>
      </c>
      <c r="AO1395" s="542" t="str">
        <f t="shared" si="584"/>
        <v/>
      </c>
      <c r="AP1395" s="543" t="str">
        <f t="shared" si="585"/>
        <v/>
      </c>
      <c r="AQ1395" s="544" t="str">
        <f t="shared" si="586"/>
        <v/>
      </c>
      <c r="AR1395" s="545">
        <f t="shared" si="587"/>
        <v>0</v>
      </c>
      <c r="AS1395" s="545">
        <f>IFERROR(CEILING($AR1395*VLOOKUP($I1395,Ref!$B$23:$E$29,4,0),1),0)</f>
        <v>0</v>
      </c>
      <c r="AT1395" s="545" t="str">
        <f>IF(A1395="","",IF(AP1395&lt;=1,"Cleared",IF(AS1395=0,"Clean",VLOOKUP($AS1395,Ref!$G$23:$H$28,2))))</f>
        <v/>
      </c>
      <c r="AU1395" s="546" t="str">
        <f t="shared" si="588"/>
        <v/>
      </c>
    </row>
    <row r="1396" spans="1:47" ht="14.25" hidden="1" customHeight="1" x14ac:dyDescent="0.15">
      <c r="A1396" s="523"/>
      <c r="B1396" s="523"/>
      <c r="C1396" s="523"/>
      <c r="D1396" s="523"/>
      <c r="E1396" s="579"/>
      <c r="F1396" s="580"/>
      <c r="G1396" s="524"/>
      <c r="H1396" s="555"/>
      <c r="I1396" s="560"/>
      <c r="J1396" s="523"/>
      <c r="K1396" s="528" t="str">
        <f>IFERROR(VLOOKUP($B1396,'Clients-Live'!$A:$C,3,0),"")</f>
        <v/>
      </c>
      <c r="L1396" s="528">
        <f>IF(E1396="STL",Pricing!$D$38,IF(A1396="",0,IF(A1396&lt;Pricing!$C$25,Pricing!$D$25,VLOOKUP(Disbursements!$F1396,Pricing!$B$29:$D$32,3))))</f>
        <v>0</v>
      </c>
      <c r="M1396" s="528">
        <f>IF(E1396="STL",0,IF(F1396&gt;0,Pricing!$D$21,0))</f>
        <v>0</v>
      </c>
      <c r="N1396" s="529">
        <f>IF(E1396="STL",F1396*Pricing!$D$40,IF(A1396&lt;=Pricing!$C$4,0,IF(AND(A1396&gt;Pricing!$C$4,Disbursements!A1396&lt;=Pricing!$C$5),F1396*Pricing!$E$5,IF(AND(A1396&gt;Pricing!$C$5,Disbursements!A1396&lt;=Pricing!$C$7),VLOOKUP(F1396,Pricing!$D$7:$E$8,2)*Disbursements!F1396,F1396*Pricing!$E$9))))</f>
        <v>0</v>
      </c>
      <c r="O1396" s="528">
        <f>IF(E1396="STL",0,IF($F1396&gt;0,$F1396*Pricing!$D$17,0))</f>
        <v>0</v>
      </c>
      <c r="P1396" s="530" t="str">
        <f t="shared" si="568"/>
        <v/>
      </c>
      <c r="Q1396" s="531" t="str">
        <f>IF($A1396="","",$G1396/VLOOKUP($I1396,Ref!$B$23:$D$29,2,0))</f>
        <v/>
      </c>
      <c r="R1396" s="530" t="str">
        <f t="shared" si="569"/>
        <v/>
      </c>
      <c r="S1396" s="532" t="str">
        <f t="shared" si="563"/>
        <v/>
      </c>
      <c r="T1396" s="531" t="str">
        <f t="shared" si="570"/>
        <v/>
      </c>
      <c r="U1396" s="533">
        <f t="shared" si="571"/>
        <v>0</v>
      </c>
      <c r="V1396" s="531" t="str">
        <f t="shared" si="572"/>
        <v/>
      </c>
      <c r="W1396" s="531" t="str">
        <f t="shared" si="573"/>
        <v/>
      </c>
      <c r="X1396" s="534" t="str">
        <f t="shared" si="574"/>
        <v/>
      </c>
      <c r="Y1396" s="535" t="str">
        <f>IF($A1396="","",IF($I1396="weekly",$A1396+7,EDATE($A1396,VLOOKUP($I1396,Ref!$B$24:$C$29,2,0))))</f>
        <v/>
      </c>
      <c r="Z1396" s="536" t="str">
        <f t="shared" si="575"/>
        <v/>
      </c>
      <c r="AA1396" s="531">
        <f t="shared" si="576"/>
        <v>0</v>
      </c>
      <c r="AB1396" s="535" t="str">
        <f t="shared" si="564"/>
        <v/>
      </c>
      <c r="AC1396" s="537" t="str">
        <f t="shared" si="565"/>
        <v/>
      </c>
      <c r="AD1396" s="538" t="str">
        <f t="shared" ca="1" si="566"/>
        <v/>
      </c>
      <c r="AE1396" s="537">
        <f t="shared" ca="1" si="567"/>
        <v>0</v>
      </c>
      <c r="AF1396" s="539" t="str">
        <f t="shared" ca="1" si="577"/>
        <v/>
      </c>
      <c r="AG1396" s="531" t="str">
        <f t="shared" ca="1" si="578"/>
        <v/>
      </c>
      <c r="AH1396" s="531" t="str">
        <f t="shared" ca="1" si="579"/>
        <v/>
      </c>
      <c r="AI1396" s="531" t="str">
        <f t="shared" ca="1" si="580"/>
        <v/>
      </c>
      <c r="AJ1396" s="531" t="str">
        <f t="shared" si="581"/>
        <v/>
      </c>
      <c r="AK1396" s="540">
        <f>SUMIFS('Live Collections'!$S:$S,'Live Collections'!$D:$D,Disbursements!B1396,'Live Collections'!$G:$G,Disbursements!C1396)</f>
        <v>0</v>
      </c>
      <c r="AL1396" s="540">
        <f>SUMIFS('Live Collections'!$T:$T,'Live Collections'!$D:$D,Disbursements!B1396,'Live Collections'!$G:$G,Disbursements!C1396)</f>
        <v>0</v>
      </c>
      <c r="AM1396" s="541">
        <f t="shared" si="582"/>
        <v>0</v>
      </c>
      <c r="AN1396" s="542" t="str">
        <f t="shared" si="583"/>
        <v/>
      </c>
      <c r="AO1396" s="542" t="str">
        <f t="shared" si="584"/>
        <v/>
      </c>
      <c r="AP1396" s="543" t="str">
        <f t="shared" si="585"/>
        <v/>
      </c>
      <c r="AQ1396" s="544" t="str">
        <f t="shared" si="586"/>
        <v/>
      </c>
      <c r="AR1396" s="545">
        <f t="shared" si="587"/>
        <v>0</v>
      </c>
      <c r="AS1396" s="545">
        <f>IFERROR(CEILING($AR1396*VLOOKUP($I1396,Ref!$B$23:$E$29,4,0),1),0)</f>
        <v>0</v>
      </c>
      <c r="AT1396" s="545" t="str">
        <f>IF(A1396="","",IF(AP1396&lt;=1,"Cleared",IF(AS1396=0,"Clean",VLOOKUP($AS1396,Ref!$G$23:$H$28,2))))</f>
        <v/>
      </c>
      <c r="AU1396" s="546" t="str">
        <f t="shared" si="588"/>
        <v/>
      </c>
    </row>
    <row r="1397" spans="1:47" ht="14.25" hidden="1" customHeight="1" x14ac:dyDescent="0.15">
      <c r="A1397" s="523"/>
      <c r="B1397" s="523"/>
      <c r="C1397" s="523"/>
      <c r="D1397" s="523"/>
      <c r="E1397" s="579"/>
      <c r="F1397" s="580"/>
      <c r="G1397" s="524"/>
      <c r="H1397" s="555"/>
      <c r="I1397" s="560"/>
      <c r="J1397" s="523"/>
      <c r="K1397" s="528" t="str">
        <f>IFERROR(VLOOKUP($B1397,'Clients-Live'!$A:$C,3,0),"")</f>
        <v/>
      </c>
      <c r="L1397" s="528">
        <f>IF(E1397="STL",Pricing!$D$38,IF(A1397="",0,IF(A1397&lt;Pricing!$C$25,Pricing!$D$25,VLOOKUP(Disbursements!$F1397,Pricing!$B$29:$D$32,3))))</f>
        <v>0</v>
      </c>
      <c r="M1397" s="528">
        <f>IF(E1397="STL",0,IF(F1397&gt;0,Pricing!$D$21,0))</f>
        <v>0</v>
      </c>
      <c r="N1397" s="529">
        <f>IF(E1397="STL",F1397*Pricing!$D$40,IF(A1397&lt;=Pricing!$C$4,0,IF(AND(A1397&gt;Pricing!$C$4,Disbursements!A1397&lt;=Pricing!$C$5),F1397*Pricing!$E$5,IF(AND(A1397&gt;Pricing!$C$5,Disbursements!A1397&lt;=Pricing!$C$7),VLOOKUP(F1397,Pricing!$D$7:$E$8,2)*Disbursements!F1397,F1397*Pricing!$E$9))))</f>
        <v>0</v>
      </c>
      <c r="O1397" s="528">
        <f>IF(E1397="STL",0,IF($F1397&gt;0,$F1397*Pricing!$D$17,0))</f>
        <v>0</v>
      </c>
      <c r="P1397" s="530" t="str">
        <f t="shared" si="568"/>
        <v/>
      </c>
      <c r="Q1397" s="531" t="str">
        <f>IF($A1397="","",$G1397/VLOOKUP($I1397,Ref!$B$23:$D$29,2,0))</f>
        <v/>
      </c>
      <c r="R1397" s="530" t="str">
        <f t="shared" si="569"/>
        <v/>
      </c>
      <c r="S1397" s="532" t="str">
        <f t="shared" si="563"/>
        <v/>
      </c>
      <c r="T1397" s="531" t="str">
        <f t="shared" si="570"/>
        <v/>
      </c>
      <c r="U1397" s="533">
        <f t="shared" si="571"/>
        <v>0</v>
      </c>
      <c r="V1397" s="531" t="str">
        <f t="shared" si="572"/>
        <v/>
      </c>
      <c r="W1397" s="531" t="str">
        <f t="shared" si="573"/>
        <v/>
      </c>
      <c r="X1397" s="534" t="str">
        <f t="shared" si="574"/>
        <v/>
      </c>
      <c r="Y1397" s="535" t="str">
        <f>IF($A1397="","",IF($I1397="weekly",$A1397+7,EDATE($A1397,VLOOKUP($I1397,Ref!$B$24:$C$29,2,0))))</f>
        <v/>
      </c>
      <c r="Z1397" s="536" t="str">
        <f t="shared" si="575"/>
        <v/>
      </c>
      <c r="AA1397" s="531">
        <f t="shared" si="576"/>
        <v>0</v>
      </c>
      <c r="AB1397" s="535" t="str">
        <f t="shared" si="564"/>
        <v/>
      </c>
      <c r="AC1397" s="537" t="str">
        <f t="shared" si="565"/>
        <v/>
      </c>
      <c r="AD1397" s="538" t="str">
        <f t="shared" ca="1" si="566"/>
        <v/>
      </c>
      <c r="AE1397" s="537">
        <f t="shared" ca="1" si="567"/>
        <v>0</v>
      </c>
      <c r="AF1397" s="539" t="str">
        <f t="shared" ca="1" si="577"/>
        <v/>
      </c>
      <c r="AG1397" s="531" t="str">
        <f t="shared" ca="1" si="578"/>
        <v/>
      </c>
      <c r="AH1397" s="531" t="str">
        <f t="shared" ca="1" si="579"/>
        <v/>
      </c>
      <c r="AI1397" s="531" t="str">
        <f t="shared" ca="1" si="580"/>
        <v/>
      </c>
      <c r="AJ1397" s="531" t="str">
        <f t="shared" si="581"/>
        <v/>
      </c>
      <c r="AK1397" s="540">
        <f>SUMIFS('Live Collections'!$S:$S,'Live Collections'!$D:$D,Disbursements!B1397,'Live Collections'!$G:$G,Disbursements!C1397)</f>
        <v>0</v>
      </c>
      <c r="AL1397" s="540">
        <f>SUMIFS('Live Collections'!$T:$T,'Live Collections'!$D:$D,Disbursements!B1397,'Live Collections'!$G:$G,Disbursements!C1397)</f>
        <v>0</v>
      </c>
      <c r="AM1397" s="541">
        <f t="shared" si="582"/>
        <v>0</v>
      </c>
      <c r="AN1397" s="542" t="str">
        <f t="shared" si="583"/>
        <v/>
      </c>
      <c r="AO1397" s="542" t="str">
        <f t="shared" si="584"/>
        <v/>
      </c>
      <c r="AP1397" s="543" t="str">
        <f t="shared" si="585"/>
        <v/>
      </c>
      <c r="AQ1397" s="544" t="str">
        <f t="shared" si="586"/>
        <v/>
      </c>
      <c r="AR1397" s="545">
        <f t="shared" si="587"/>
        <v>0</v>
      </c>
      <c r="AS1397" s="545">
        <f>IFERROR(CEILING($AR1397*VLOOKUP($I1397,Ref!$B$23:$E$29,4,0),1),0)</f>
        <v>0</v>
      </c>
      <c r="AT1397" s="545" t="str">
        <f>IF(A1397="","",IF(AP1397&lt;=1,"Cleared",IF(AS1397=0,"Clean",VLOOKUP($AS1397,Ref!$G$23:$H$28,2))))</f>
        <v/>
      </c>
      <c r="AU1397" s="546" t="str">
        <f t="shared" si="588"/>
        <v/>
      </c>
    </row>
    <row r="1398" spans="1:47" ht="14.25" hidden="1" customHeight="1" x14ac:dyDescent="0.15">
      <c r="A1398" s="523"/>
      <c r="B1398" s="523"/>
      <c r="C1398" s="523"/>
      <c r="D1398" s="523"/>
      <c r="E1398" s="579"/>
      <c r="F1398" s="580"/>
      <c r="G1398" s="524"/>
      <c r="H1398" s="555"/>
      <c r="I1398" s="560"/>
      <c r="J1398" s="523"/>
      <c r="K1398" s="528" t="str">
        <f>IFERROR(VLOOKUP($B1398,'Clients-Live'!$A:$C,3,0),"")</f>
        <v/>
      </c>
      <c r="L1398" s="528">
        <f>IF(E1398="STL",Pricing!$D$38,IF(A1398="",0,IF(A1398&lt;Pricing!$C$25,Pricing!$D$25,VLOOKUP(Disbursements!$F1398,Pricing!$B$29:$D$32,3))))</f>
        <v>0</v>
      </c>
      <c r="M1398" s="528">
        <f>IF(E1398="STL",0,IF(F1398&gt;0,Pricing!$D$21,0))</f>
        <v>0</v>
      </c>
      <c r="N1398" s="529">
        <f>IF(E1398="STL",F1398*Pricing!$D$40,IF(A1398&lt;=Pricing!$C$4,0,IF(AND(A1398&gt;Pricing!$C$4,Disbursements!A1398&lt;=Pricing!$C$5),F1398*Pricing!$E$5,IF(AND(A1398&gt;Pricing!$C$5,Disbursements!A1398&lt;=Pricing!$C$7),VLOOKUP(F1398,Pricing!$D$7:$E$8,2)*Disbursements!F1398,F1398*Pricing!$E$9))))</f>
        <v>0</v>
      </c>
      <c r="O1398" s="528">
        <f>IF(E1398="STL",0,IF($F1398&gt;0,$F1398*Pricing!$D$17,0))</f>
        <v>0</v>
      </c>
      <c r="P1398" s="530" t="str">
        <f t="shared" si="568"/>
        <v/>
      </c>
      <c r="Q1398" s="531" t="str">
        <f>IF($A1398="","",$G1398/VLOOKUP($I1398,Ref!$B$23:$D$29,2,0))</f>
        <v/>
      </c>
      <c r="R1398" s="530" t="str">
        <f t="shared" si="569"/>
        <v/>
      </c>
      <c r="S1398" s="532" t="str">
        <f t="shared" si="563"/>
        <v/>
      </c>
      <c r="T1398" s="531" t="str">
        <f t="shared" si="570"/>
        <v/>
      </c>
      <c r="U1398" s="533">
        <f t="shared" si="571"/>
        <v>0</v>
      </c>
      <c r="V1398" s="531" t="str">
        <f t="shared" si="572"/>
        <v/>
      </c>
      <c r="W1398" s="531" t="str">
        <f t="shared" si="573"/>
        <v/>
      </c>
      <c r="X1398" s="534" t="str">
        <f t="shared" si="574"/>
        <v/>
      </c>
      <c r="Y1398" s="535" t="str">
        <f>IF($A1398="","",IF($I1398="weekly",$A1398+7,EDATE($A1398,VLOOKUP($I1398,Ref!$B$24:$C$29,2,0))))</f>
        <v/>
      </c>
      <c r="Z1398" s="536" t="str">
        <f t="shared" si="575"/>
        <v/>
      </c>
      <c r="AA1398" s="531">
        <f t="shared" si="576"/>
        <v>0</v>
      </c>
      <c r="AB1398" s="535" t="str">
        <f t="shared" si="564"/>
        <v/>
      </c>
      <c r="AC1398" s="537" t="str">
        <f t="shared" si="565"/>
        <v/>
      </c>
      <c r="AD1398" s="538" t="str">
        <f t="shared" ca="1" si="566"/>
        <v/>
      </c>
      <c r="AE1398" s="537">
        <f t="shared" ca="1" si="567"/>
        <v>0</v>
      </c>
      <c r="AF1398" s="539" t="str">
        <f t="shared" ca="1" si="577"/>
        <v/>
      </c>
      <c r="AG1398" s="531" t="str">
        <f t="shared" ca="1" si="578"/>
        <v/>
      </c>
      <c r="AH1398" s="531" t="str">
        <f t="shared" ca="1" si="579"/>
        <v/>
      </c>
      <c r="AI1398" s="531" t="str">
        <f t="shared" ca="1" si="580"/>
        <v/>
      </c>
      <c r="AJ1398" s="531" t="str">
        <f t="shared" si="581"/>
        <v/>
      </c>
      <c r="AK1398" s="540">
        <f>SUMIFS('Live Collections'!$S:$S,'Live Collections'!$D:$D,Disbursements!B1398,'Live Collections'!$G:$G,Disbursements!C1398)</f>
        <v>0</v>
      </c>
      <c r="AL1398" s="540">
        <f>SUMIFS('Live Collections'!$T:$T,'Live Collections'!$D:$D,Disbursements!B1398,'Live Collections'!$G:$G,Disbursements!C1398)</f>
        <v>0</v>
      </c>
      <c r="AM1398" s="541">
        <f t="shared" si="582"/>
        <v>0</v>
      </c>
      <c r="AN1398" s="542" t="str">
        <f t="shared" si="583"/>
        <v/>
      </c>
      <c r="AO1398" s="542" t="str">
        <f t="shared" si="584"/>
        <v/>
      </c>
      <c r="AP1398" s="543" t="str">
        <f t="shared" si="585"/>
        <v/>
      </c>
      <c r="AQ1398" s="544" t="str">
        <f t="shared" si="586"/>
        <v/>
      </c>
      <c r="AR1398" s="545">
        <f t="shared" si="587"/>
        <v>0</v>
      </c>
      <c r="AS1398" s="545">
        <f>IFERROR(CEILING($AR1398*VLOOKUP($I1398,Ref!$B$23:$E$29,4,0),1),0)</f>
        <v>0</v>
      </c>
      <c r="AT1398" s="545" t="str">
        <f>IF(A1398="","",IF(AP1398&lt;=1,"Cleared",IF(AS1398=0,"Clean",VLOOKUP($AS1398,Ref!$G$23:$H$28,2))))</f>
        <v/>
      </c>
      <c r="AU1398" s="546" t="str">
        <f t="shared" si="588"/>
        <v/>
      </c>
    </row>
    <row r="1399" spans="1:47" ht="14.25" hidden="1" customHeight="1" x14ac:dyDescent="0.15">
      <c r="A1399" s="523"/>
      <c r="B1399" s="523"/>
      <c r="C1399" s="523"/>
      <c r="D1399" s="523"/>
      <c r="E1399" s="579"/>
      <c r="F1399" s="580"/>
      <c r="G1399" s="524"/>
      <c r="H1399" s="555"/>
      <c r="I1399" s="560"/>
      <c r="J1399" s="523"/>
      <c r="K1399" s="528" t="str">
        <f>IFERROR(VLOOKUP($B1399,'Clients-Live'!$A:$C,3,0),"")</f>
        <v/>
      </c>
      <c r="L1399" s="528">
        <f>IF(E1399="STL",Pricing!$D$38,IF(A1399="",0,IF(A1399&lt;Pricing!$C$25,Pricing!$D$25,VLOOKUP(Disbursements!$F1399,Pricing!$B$29:$D$32,3))))</f>
        <v>0</v>
      </c>
      <c r="M1399" s="528">
        <f>IF(E1399="STL",0,IF(F1399&gt;0,Pricing!$D$21,0))</f>
        <v>0</v>
      </c>
      <c r="N1399" s="529">
        <f>IF(E1399="STL",F1399*Pricing!$D$40,IF(A1399&lt;=Pricing!$C$4,0,IF(AND(A1399&gt;Pricing!$C$4,Disbursements!A1399&lt;=Pricing!$C$5),F1399*Pricing!$E$5,IF(AND(A1399&gt;Pricing!$C$5,Disbursements!A1399&lt;=Pricing!$C$7),VLOOKUP(F1399,Pricing!$D$7:$E$8,2)*Disbursements!F1399,F1399*Pricing!$E$9))))</f>
        <v>0</v>
      </c>
      <c r="O1399" s="528">
        <f>IF(E1399="STL",0,IF($F1399&gt;0,$F1399*Pricing!$D$17,0))</f>
        <v>0</v>
      </c>
      <c r="P1399" s="530" t="str">
        <f t="shared" si="568"/>
        <v/>
      </c>
      <c r="Q1399" s="531" t="str">
        <f>IF($A1399="","",$G1399/VLOOKUP($I1399,Ref!$B$23:$D$29,2,0))</f>
        <v/>
      </c>
      <c r="R1399" s="530" t="str">
        <f t="shared" si="569"/>
        <v/>
      </c>
      <c r="S1399" s="532" t="str">
        <f t="shared" si="563"/>
        <v/>
      </c>
      <c r="T1399" s="531" t="str">
        <f t="shared" si="570"/>
        <v/>
      </c>
      <c r="U1399" s="533">
        <f t="shared" si="571"/>
        <v>0</v>
      </c>
      <c r="V1399" s="531" t="str">
        <f t="shared" si="572"/>
        <v/>
      </c>
      <c r="W1399" s="531" t="str">
        <f t="shared" si="573"/>
        <v/>
      </c>
      <c r="X1399" s="534" t="str">
        <f t="shared" si="574"/>
        <v/>
      </c>
      <c r="Y1399" s="535" t="str">
        <f>IF($A1399="","",IF($I1399="weekly",$A1399+7,EDATE($A1399,VLOOKUP($I1399,Ref!$B$24:$C$29,2,0))))</f>
        <v/>
      </c>
      <c r="Z1399" s="536" t="str">
        <f t="shared" si="575"/>
        <v/>
      </c>
      <c r="AA1399" s="531">
        <f t="shared" si="576"/>
        <v>0</v>
      </c>
      <c r="AB1399" s="535" t="str">
        <f t="shared" si="564"/>
        <v/>
      </c>
      <c r="AC1399" s="537" t="str">
        <f t="shared" si="565"/>
        <v/>
      </c>
      <c r="AD1399" s="538" t="str">
        <f t="shared" ca="1" si="566"/>
        <v/>
      </c>
      <c r="AE1399" s="537">
        <f t="shared" ca="1" si="567"/>
        <v>0</v>
      </c>
      <c r="AF1399" s="539" t="str">
        <f t="shared" ca="1" si="577"/>
        <v/>
      </c>
      <c r="AG1399" s="531" t="str">
        <f t="shared" ca="1" si="578"/>
        <v/>
      </c>
      <c r="AH1399" s="531" t="str">
        <f t="shared" ca="1" si="579"/>
        <v/>
      </c>
      <c r="AI1399" s="531" t="str">
        <f t="shared" ca="1" si="580"/>
        <v/>
      </c>
      <c r="AJ1399" s="531" t="str">
        <f t="shared" si="581"/>
        <v/>
      </c>
      <c r="AK1399" s="540">
        <f>SUMIFS('Live Collections'!$S:$S,'Live Collections'!$D:$D,Disbursements!B1399,'Live Collections'!$G:$G,Disbursements!C1399)</f>
        <v>0</v>
      </c>
      <c r="AL1399" s="540">
        <f>SUMIFS('Live Collections'!$T:$T,'Live Collections'!$D:$D,Disbursements!B1399,'Live Collections'!$G:$G,Disbursements!C1399)</f>
        <v>0</v>
      </c>
      <c r="AM1399" s="541">
        <f t="shared" si="582"/>
        <v>0</v>
      </c>
      <c r="AN1399" s="542" t="str">
        <f t="shared" si="583"/>
        <v/>
      </c>
      <c r="AO1399" s="542" t="str">
        <f t="shared" si="584"/>
        <v/>
      </c>
      <c r="AP1399" s="543" t="str">
        <f t="shared" si="585"/>
        <v/>
      </c>
      <c r="AQ1399" s="544" t="str">
        <f t="shared" si="586"/>
        <v/>
      </c>
      <c r="AR1399" s="545">
        <f t="shared" si="587"/>
        <v>0</v>
      </c>
      <c r="AS1399" s="545">
        <f>IFERROR(CEILING($AR1399*VLOOKUP($I1399,Ref!$B$23:$E$29,4,0),1),0)</f>
        <v>0</v>
      </c>
      <c r="AT1399" s="545" t="str">
        <f>IF(A1399="","",IF(AP1399&lt;=1,"Cleared",IF(AS1399=0,"Clean",VLOOKUP($AS1399,Ref!$G$23:$H$28,2))))</f>
        <v/>
      </c>
      <c r="AU1399" s="546" t="str">
        <f t="shared" si="588"/>
        <v/>
      </c>
    </row>
    <row r="1400" spans="1:47" ht="14.25" hidden="1" customHeight="1" x14ac:dyDescent="0.15">
      <c r="A1400" s="523"/>
      <c r="B1400" s="523"/>
      <c r="C1400" s="523"/>
      <c r="D1400" s="523"/>
      <c r="E1400" s="579"/>
      <c r="F1400" s="580"/>
      <c r="G1400" s="524"/>
      <c r="H1400" s="555"/>
      <c r="I1400" s="560"/>
      <c r="J1400" s="523"/>
      <c r="K1400" s="528" t="str">
        <f>IFERROR(VLOOKUP($B1400,'Clients-Live'!$A:$C,3,0),"")</f>
        <v/>
      </c>
      <c r="L1400" s="528">
        <f>IF(E1400="STL",Pricing!$D$38,IF(A1400="",0,IF(A1400&lt;Pricing!$C$25,Pricing!$D$25,VLOOKUP(Disbursements!$F1400,Pricing!$B$29:$D$32,3))))</f>
        <v>0</v>
      </c>
      <c r="M1400" s="528">
        <f>IF(E1400="STL",0,IF(F1400&gt;0,Pricing!$D$21,0))</f>
        <v>0</v>
      </c>
      <c r="N1400" s="529">
        <f>IF(E1400="STL",F1400*Pricing!$D$40,IF(A1400&lt;=Pricing!$C$4,0,IF(AND(A1400&gt;Pricing!$C$4,Disbursements!A1400&lt;=Pricing!$C$5),F1400*Pricing!$E$5,IF(AND(A1400&gt;Pricing!$C$5,Disbursements!A1400&lt;=Pricing!$C$7),VLOOKUP(F1400,Pricing!$D$7:$E$8,2)*Disbursements!F1400,F1400*Pricing!$E$9))))</f>
        <v>0</v>
      </c>
      <c r="O1400" s="528">
        <f>IF(E1400="STL",0,IF($F1400&gt;0,$F1400*Pricing!$D$17,0))</f>
        <v>0</v>
      </c>
      <c r="P1400" s="530" t="str">
        <f t="shared" si="568"/>
        <v/>
      </c>
      <c r="Q1400" s="531" t="str">
        <f>IF($A1400="","",$G1400/VLOOKUP($I1400,Ref!$B$23:$D$29,2,0))</f>
        <v/>
      </c>
      <c r="R1400" s="530" t="str">
        <f t="shared" si="569"/>
        <v/>
      </c>
      <c r="S1400" s="532" t="str">
        <f t="shared" si="563"/>
        <v/>
      </c>
      <c r="T1400" s="531" t="str">
        <f t="shared" si="570"/>
        <v/>
      </c>
      <c r="U1400" s="533">
        <f t="shared" si="571"/>
        <v>0</v>
      </c>
      <c r="V1400" s="531" t="str">
        <f t="shared" si="572"/>
        <v/>
      </c>
      <c r="W1400" s="531" t="str">
        <f t="shared" si="573"/>
        <v/>
      </c>
      <c r="X1400" s="534" t="str">
        <f t="shared" si="574"/>
        <v/>
      </c>
      <c r="Y1400" s="535" t="str">
        <f>IF($A1400="","",IF($I1400="weekly",$A1400+7,EDATE($A1400,VLOOKUP($I1400,Ref!$B$24:$C$29,2,0))))</f>
        <v/>
      </c>
      <c r="Z1400" s="536" t="str">
        <f t="shared" si="575"/>
        <v/>
      </c>
      <c r="AA1400" s="531">
        <f t="shared" si="576"/>
        <v>0</v>
      </c>
      <c r="AB1400" s="535" t="str">
        <f t="shared" si="564"/>
        <v/>
      </c>
      <c r="AC1400" s="537" t="str">
        <f t="shared" si="565"/>
        <v/>
      </c>
      <c r="AD1400" s="538" t="str">
        <f t="shared" ca="1" si="566"/>
        <v/>
      </c>
      <c r="AE1400" s="537">
        <f t="shared" ca="1" si="567"/>
        <v>0</v>
      </c>
      <c r="AF1400" s="539" t="str">
        <f t="shared" ca="1" si="577"/>
        <v/>
      </c>
      <c r="AG1400" s="531" t="str">
        <f t="shared" ca="1" si="578"/>
        <v/>
      </c>
      <c r="AH1400" s="531" t="str">
        <f t="shared" ca="1" si="579"/>
        <v/>
      </c>
      <c r="AI1400" s="531" t="str">
        <f t="shared" ca="1" si="580"/>
        <v/>
      </c>
      <c r="AJ1400" s="531" t="str">
        <f t="shared" si="581"/>
        <v/>
      </c>
      <c r="AK1400" s="540">
        <f>SUMIFS('Live Collections'!$S:$S,'Live Collections'!$D:$D,Disbursements!B1400,'Live Collections'!$G:$G,Disbursements!C1400)</f>
        <v>0</v>
      </c>
      <c r="AL1400" s="540">
        <f>SUMIFS('Live Collections'!$T:$T,'Live Collections'!$D:$D,Disbursements!B1400,'Live Collections'!$G:$G,Disbursements!C1400)</f>
        <v>0</v>
      </c>
      <c r="AM1400" s="541">
        <f t="shared" si="582"/>
        <v>0</v>
      </c>
      <c r="AN1400" s="542" t="str">
        <f t="shared" si="583"/>
        <v/>
      </c>
      <c r="AO1400" s="542" t="str">
        <f t="shared" si="584"/>
        <v/>
      </c>
      <c r="AP1400" s="543" t="str">
        <f t="shared" si="585"/>
        <v/>
      </c>
      <c r="AQ1400" s="544" t="str">
        <f t="shared" si="586"/>
        <v/>
      </c>
      <c r="AR1400" s="545">
        <f t="shared" si="587"/>
        <v>0</v>
      </c>
      <c r="AS1400" s="545">
        <f>IFERROR(CEILING($AR1400*VLOOKUP($I1400,Ref!$B$23:$E$29,4,0),1),0)</f>
        <v>0</v>
      </c>
      <c r="AT1400" s="545" t="str">
        <f>IF(A1400="","",IF(AP1400&lt;=1,"Cleared",IF(AS1400=0,"Clean",VLOOKUP($AS1400,Ref!$G$23:$H$28,2))))</f>
        <v/>
      </c>
      <c r="AU1400" s="546" t="str">
        <f t="shared" si="588"/>
        <v/>
      </c>
    </row>
    <row r="1401" spans="1:47" ht="14.25" hidden="1" customHeight="1" x14ac:dyDescent="0.15">
      <c r="A1401" s="523"/>
      <c r="B1401" s="523"/>
      <c r="C1401" s="523"/>
      <c r="D1401" s="523"/>
      <c r="E1401" s="579"/>
      <c r="F1401" s="580"/>
      <c r="G1401" s="524"/>
      <c r="H1401" s="555"/>
      <c r="I1401" s="560"/>
      <c r="J1401" s="523"/>
      <c r="K1401" s="528" t="str">
        <f>IFERROR(VLOOKUP($B1401,'Clients-Live'!$A:$C,3,0),"")</f>
        <v/>
      </c>
      <c r="L1401" s="528">
        <f>IF(E1401="STL",Pricing!$D$38,IF(A1401="",0,IF(A1401&lt;Pricing!$C$25,Pricing!$D$25,VLOOKUP(Disbursements!$F1401,Pricing!$B$29:$D$32,3))))</f>
        <v>0</v>
      </c>
      <c r="M1401" s="528">
        <f>IF(E1401="STL",0,IF(F1401&gt;0,Pricing!$D$21,0))</f>
        <v>0</v>
      </c>
      <c r="N1401" s="529">
        <f>IF(E1401="STL",F1401*Pricing!$D$40,IF(A1401&lt;=Pricing!$C$4,0,IF(AND(A1401&gt;Pricing!$C$4,Disbursements!A1401&lt;=Pricing!$C$5),F1401*Pricing!$E$5,IF(AND(A1401&gt;Pricing!$C$5,Disbursements!A1401&lt;=Pricing!$C$7),VLOOKUP(F1401,Pricing!$D$7:$E$8,2)*Disbursements!F1401,F1401*Pricing!$E$9))))</f>
        <v>0</v>
      </c>
      <c r="O1401" s="528">
        <f>IF(E1401="STL",0,IF($F1401&gt;0,$F1401*Pricing!$D$17,0))</f>
        <v>0</v>
      </c>
      <c r="P1401" s="530" t="str">
        <f t="shared" si="568"/>
        <v/>
      </c>
      <c r="Q1401" s="531" t="str">
        <f>IF($A1401="","",$G1401/VLOOKUP($I1401,Ref!$B$23:$D$29,2,0))</f>
        <v/>
      </c>
      <c r="R1401" s="530" t="str">
        <f t="shared" si="569"/>
        <v/>
      </c>
      <c r="S1401" s="532" t="str">
        <f t="shared" si="563"/>
        <v/>
      </c>
      <c r="T1401" s="531" t="str">
        <f t="shared" si="570"/>
        <v/>
      </c>
      <c r="U1401" s="533">
        <f t="shared" si="571"/>
        <v>0</v>
      </c>
      <c r="V1401" s="531" t="str">
        <f t="shared" si="572"/>
        <v/>
      </c>
      <c r="W1401" s="531" t="str">
        <f t="shared" si="573"/>
        <v/>
      </c>
      <c r="X1401" s="534" t="str">
        <f t="shared" si="574"/>
        <v/>
      </c>
      <c r="Y1401" s="535" t="str">
        <f>IF($A1401="","",IF($I1401="weekly",$A1401+7,EDATE($A1401,VLOOKUP($I1401,Ref!$B$24:$C$29,2,0))))</f>
        <v/>
      </c>
      <c r="Z1401" s="536" t="str">
        <f t="shared" si="575"/>
        <v/>
      </c>
      <c r="AA1401" s="531">
        <f t="shared" si="576"/>
        <v>0</v>
      </c>
      <c r="AB1401" s="535" t="str">
        <f t="shared" si="564"/>
        <v/>
      </c>
      <c r="AC1401" s="537" t="str">
        <f t="shared" si="565"/>
        <v/>
      </c>
      <c r="AD1401" s="538" t="str">
        <f t="shared" ca="1" si="566"/>
        <v/>
      </c>
      <c r="AE1401" s="537">
        <f t="shared" ca="1" si="567"/>
        <v>0</v>
      </c>
      <c r="AF1401" s="539" t="str">
        <f t="shared" ca="1" si="577"/>
        <v/>
      </c>
      <c r="AG1401" s="531" t="str">
        <f t="shared" ca="1" si="578"/>
        <v/>
      </c>
      <c r="AH1401" s="531" t="str">
        <f t="shared" ca="1" si="579"/>
        <v/>
      </c>
      <c r="AI1401" s="531" t="str">
        <f t="shared" ca="1" si="580"/>
        <v/>
      </c>
      <c r="AJ1401" s="531" t="str">
        <f t="shared" si="581"/>
        <v/>
      </c>
      <c r="AK1401" s="540">
        <f>SUMIFS('Live Collections'!$S:$S,'Live Collections'!$D:$D,Disbursements!B1401,'Live Collections'!$G:$G,Disbursements!C1401)</f>
        <v>0</v>
      </c>
      <c r="AL1401" s="540">
        <f>SUMIFS('Live Collections'!$T:$T,'Live Collections'!$D:$D,Disbursements!B1401,'Live Collections'!$G:$G,Disbursements!C1401)</f>
        <v>0</v>
      </c>
      <c r="AM1401" s="541">
        <f t="shared" si="582"/>
        <v>0</v>
      </c>
      <c r="AN1401" s="542" t="str">
        <f t="shared" si="583"/>
        <v/>
      </c>
      <c r="AO1401" s="542" t="str">
        <f t="shared" si="584"/>
        <v/>
      </c>
      <c r="AP1401" s="543" t="str">
        <f t="shared" si="585"/>
        <v/>
      </c>
      <c r="AQ1401" s="544" t="str">
        <f t="shared" si="586"/>
        <v/>
      </c>
      <c r="AR1401" s="545">
        <f t="shared" si="587"/>
        <v>0</v>
      </c>
      <c r="AS1401" s="545">
        <f>IFERROR(CEILING($AR1401*VLOOKUP($I1401,Ref!$B$23:$E$29,4,0),1),0)</f>
        <v>0</v>
      </c>
      <c r="AT1401" s="545" t="str">
        <f>IF(A1401="","",IF(AP1401&lt;=1,"Cleared",IF(AS1401=0,"Clean",VLOOKUP($AS1401,Ref!$G$23:$H$28,2))))</f>
        <v/>
      </c>
      <c r="AU1401" s="546" t="str">
        <f t="shared" si="588"/>
        <v/>
      </c>
    </row>
    <row r="1402" spans="1:47" ht="14.25" hidden="1" customHeight="1" x14ac:dyDescent="0.15">
      <c r="A1402" s="523"/>
      <c r="B1402" s="523"/>
      <c r="C1402" s="523"/>
      <c r="D1402" s="523"/>
      <c r="E1402" s="579"/>
      <c r="F1402" s="580"/>
      <c r="G1402" s="524"/>
      <c r="H1402" s="555"/>
      <c r="I1402" s="560"/>
      <c r="J1402" s="523"/>
      <c r="K1402" s="528" t="str">
        <f>IFERROR(VLOOKUP($B1402,'Clients-Live'!$A:$C,3,0),"")</f>
        <v/>
      </c>
      <c r="L1402" s="528">
        <f>IF(E1402="STL",Pricing!$D$38,IF(A1402="",0,IF(A1402&lt;Pricing!$C$25,Pricing!$D$25,VLOOKUP(Disbursements!$F1402,Pricing!$B$29:$D$32,3))))</f>
        <v>0</v>
      </c>
      <c r="M1402" s="528">
        <f>IF(E1402="STL",0,IF(F1402&gt;0,Pricing!$D$21,0))</f>
        <v>0</v>
      </c>
      <c r="N1402" s="529">
        <f>IF(E1402="STL",F1402*Pricing!$D$40,IF(A1402&lt;=Pricing!$C$4,0,IF(AND(A1402&gt;Pricing!$C$4,Disbursements!A1402&lt;=Pricing!$C$5),F1402*Pricing!$E$5,IF(AND(A1402&gt;Pricing!$C$5,Disbursements!A1402&lt;=Pricing!$C$7),VLOOKUP(F1402,Pricing!$D$7:$E$8,2)*Disbursements!F1402,F1402*Pricing!$E$9))))</f>
        <v>0</v>
      </c>
      <c r="O1402" s="528">
        <f>IF(E1402="STL",0,IF($F1402&gt;0,$F1402*Pricing!$D$17,0))</f>
        <v>0</v>
      </c>
      <c r="P1402" s="530" t="str">
        <f t="shared" si="568"/>
        <v/>
      </c>
      <c r="Q1402" s="531" t="str">
        <f>IF($A1402="","",$G1402/VLOOKUP($I1402,Ref!$B$23:$D$29,2,0))</f>
        <v/>
      </c>
      <c r="R1402" s="530" t="str">
        <f t="shared" si="569"/>
        <v/>
      </c>
      <c r="S1402" s="532" t="str">
        <f t="shared" si="563"/>
        <v/>
      </c>
      <c r="T1402" s="531" t="str">
        <f t="shared" si="570"/>
        <v/>
      </c>
      <c r="U1402" s="533">
        <f t="shared" si="571"/>
        <v>0</v>
      </c>
      <c r="V1402" s="531" t="str">
        <f t="shared" si="572"/>
        <v/>
      </c>
      <c r="W1402" s="531" t="str">
        <f t="shared" si="573"/>
        <v/>
      </c>
      <c r="X1402" s="534" t="str">
        <f t="shared" si="574"/>
        <v/>
      </c>
      <c r="Y1402" s="535" t="str">
        <f>IF($A1402="","",IF($I1402="weekly",$A1402+7,EDATE($A1402,VLOOKUP($I1402,Ref!$B$24:$C$29,2,0))))</f>
        <v/>
      </c>
      <c r="Z1402" s="536" t="str">
        <f t="shared" si="575"/>
        <v/>
      </c>
      <c r="AA1402" s="531">
        <f t="shared" si="576"/>
        <v>0</v>
      </c>
      <c r="AB1402" s="535" t="str">
        <f t="shared" si="564"/>
        <v/>
      </c>
      <c r="AC1402" s="537" t="str">
        <f t="shared" si="565"/>
        <v/>
      </c>
      <c r="AD1402" s="538" t="str">
        <f t="shared" ca="1" si="566"/>
        <v/>
      </c>
      <c r="AE1402" s="537">
        <f t="shared" ca="1" si="567"/>
        <v>0</v>
      </c>
      <c r="AF1402" s="539" t="str">
        <f t="shared" ca="1" si="577"/>
        <v/>
      </c>
      <c r="AG1402" s="531" t="str">
        <f t="shared" ca="1" si="578"/>
        <v/>
      </c>
      <c r="AH1402" s="531" t="str">
        <f t="shared" ca="1" si="579"/>
        <v/>
      </c>
      <c r="AI1402" s="531" t="str">
        <f t="shared" ca="1" si="580"/>
        <v/>
      </c>
      <c r="AJ1402" s="531" t="str">
        <f t="shared" si="581"/>
        <v/>
      </c>
      <c r="AK1402" s="540">
        <f>SUMIFS('Live Collections'!$S:$S,'Live Collections'!$D:$D,Disbursements!B1402,'Live Collections'!$G:$G,Disbursements!C1402)</f>
        <v>0</v>
      </c>
      <c r="AL1402" s="540">
        <f>SUMIFS('Live Collections'!$T:$T,'Live Collections'!$D:$D,Disbursements!B1402,'Live Collections'!$G:$G,Disbursements!C1402)</f>
        <v>0</v>
      </c>
      <c r="AM1402" s="541">
        <f t="shared" si="582"/>
        <v>0</v>
      </c>
      <c r="AN1402" s="542" t="str">
        <f t="shared" si="583"/>
        <v/>
      </c>
      <c r="AO1402" s="542" t="str">
        <f t="shared" si="584"/>
        <v/>
      </c>
      <c r="AP1402" s="543" t="str">
        <f t="shared" si="585"/>
        <v/>
      </c>
      <c r="AQ1402" s="544" t="str">
        <f t="shared" si="586"/>
        <v/>
      </c>
      <c r="AR1402" s="545">
        <f t="shared" si="587"/>
        <v>0</v>
      </c>
      <c r="AS1402" s="545">
        <f>IFERROR(CEILING($AR1402*VLOOKUP($I1402,Ref!$B$23:$E$29,4,0),1),0)</f>
        <v>0</v>
      </c>
      <c r="AT1402" s="545" t="str">
        <f>IF(A1402="","",IF(AP1402&lt;=1,"Cleared",IF(AS1402=0,"Clean",VLOOKUP($AS1402,Ref!$G$23:$H$28,2))))</f>
        <v/>
      </c>
      <c r="AU1402" s="546" t="str">
        <f t="shared" si="588"/>
        <v/>
      </c>
    </row>
    <row r="1403" spans="1:47" ht="14.25" hidden="1" customHeight="1" x14ac:dyDescent="0.15">
      <c r="A1403" s="523"/>
      <c r="B1403" s="523"/>
      <c r="C1403" s="523"/>
      <c r="D1403" s="523"/>
      <c r="E1403" s="579"/>
      <c r="F1403" s="580"/>
      <c r="G1403" s="524"/>
      <c r="H1403" s="555"/>
      <c r="I1403" s="560"/>
      <c r="J1403" s="523"/>
      <c r="K1403" s="528" t="str">
        <f>IFERROR(VLOOKUP($B1403,'Clients-Live'!$A:$C,3,0),"")</f>
        <v/>
      </c>
      <c r="L1403" s="528">
        <f>IF(E1403="STL",Pricing!$D$38,IF(A1403="",0,IF(A1403&lt;Pricing!$C$25,Pricing!$D$25,VLOOKUP(Disbursements!$F1403,Pricing!$B$29:$D$32,3))))</f>
        <v>0</v>
      </c>
      <c r="M1403" s="528">
        <f>IF(E1403="STL",0,IF(F1403&gt;0,Pricing!$D$21,0))</f>
        <v>0</v>
      </c>
      <c r="N1403" s="529">
        <f>IF(E1403="STL",F1403*Pricing!$D$40,IF(A1403&lt;=Pricing!$C$4,0,IF(AND(A1403&gt;Pricing!$C$4,Disbursements!A1403&lt;=Pricing!$C$5),F1403*Pricing!$E$5,IF(AND(A1403&gt;Pricing!$C$5,Disbursements!A1403&lt;=Pricing!$C$7),VLOOKUP(F1403,Pricing!$D$7:$E$8,2)*Disbursements!F1403,F1403*Pricing!$E$9))))</f>
        <v>0</v>
      </c>
      <c r="O1403" s="528">
        <f>IF(E1403="STL",0,IF($F1403&gt;0,$F1403*Pricing!$D$17,0))</f>
        <v>0</v>
      </c>
      <c r="P1403" s="530" t="str">
        <f t="shared" si="568"/>
        <v/>
      </c>
      <c r="Q1403" s="531" t="str">
        <f>IF($A1403="","",$G1403/VLOOKUP($I1403,Ref!$B$23:$D$29,2,0))</f>
        <v/>
      </c>
      <c r="R1403" s="530" t="str">
        <f t="shared" si="569"/>
        <v/>
      </c>
      <c r="S1403" s="532" t="str">
        <f t="shared" si="563"/>
        <v/>
      </c>
      <c r="T1403" s="531" t="str">
        <f t="shared" si="570"/>
        <v/>
      </c>
      <c r="U1403" s="533">
        <f t="shared" si="571"/>
        <v>0</v>
      </c>
      <c r="V1403" s="531" t="str">
        <f t="shared" si="572"/>
        <v/>
      </c>
      <c r="W1403" s="531" t="str">
        <f t="shared" si="573"/>
        <v/>
      </c>
      <c r="X1403" s="534" t="str">
        <f t="shared" si="574"/>
        <v/>
      </c>
      <c r="Y1403" s="535" t="str">
        <f>IF($A1403="","",IF($I1403="weekly",$A1403+7,EDATE($A1403,VLOOKUP($I1403,Ref!$B$24:$C$29,2,0))))</f>
        <v/>
      </c>
      <c r="Z1403" s="536" t="str">
        <f t="shared" si="575"/>
        <v/>
      </c>
      <c r="AA1403" s="531">
        <f t="shared" si="576"/>
        <v>0</v>
      </c>
      <c r="AB1403" s="535" t="str">
        <f t="shared" si="564"/>
        <v/>
      </c>
      <c r="AC1403" s="537" t="str">
        <f t="shared" si="565"/>
        <v/>
      </c>
      <c r="AD1403" s="538" t="str">
        <f t="shared" ca="1" si="566"/>
        <v/>
      </c>
      <c r="AE1403" s="537">
        <f t="shared" ca="1" si="567"/>
        <v>0</v>
      </c>
      <c r="AF1403" s="539" t="str">
        <f t="shared" ca="1" si="577"/>
        <v/>
      </c>
      <c r="AG1403" s="531" t="str">
        <f t="shared" ca="1" si="578"/>
        <v/>
      </c>
      <c r="AH1403" s="531" t="str">
        <f t="shared" ca="1" si="579"/>
        <v/>
      </c>
      <c r="AI1403" s="531" t="str">
        <f t="shared" ca="1" si="580"/>
        <v/>
      </c>
      <c r="AJ1403" s="531" t="str">
        <f t="shared" si="581"/>
        <v/>
      </c>
      <c r="AK1403" s="540">
        <f>SUMIFS('Live Collections'!$S:$S,'Live Collections'!$D:$D,Disbursements!B1403,'Live Collections'!$G:$G,Disbursements!C1403)</f>
        <v>0</v>
      </c>
      <c r="AL1403" s="540">
        <f>SUMIFS('Live Collections'!$T:$T,'Live Collections'!$D:$D,Disbursements!B1403,'Live Collections'!$G:$G,Disbursements!C1403)</f>
        <v>0</v>
      </c>
      <c r="AM1403" s="541">
        <f t="shared" si="582"/>
        <v>0</v>
      </c>
      <c r="AN1403" s="542" t="str">
        <f t="shared" si="583"/>
        <v/>
      </c>
      <c r="AO1403" s="542" t="str">
        <f t="shared" si="584"/>
        <v/>
      </c>
      <c r="AP1403" s="543" t="str">
        <f t="shared" si="585"/>
        <v/>
      </c>
      <c r="AQ1403" s="544" t="str">
        <f t="shared" si="586"/>
        <v/>
      </c>
      <c r="AR1403" s="545">
        <f t="shared" si="587"/>
        <v>0</v>
      </c>
      <c r="AS1403" s="545">
        <f>IFERROR(CEILING($AR1403*VLOOKUP($I1403,Ref!$B$23:$E$29,4,0),1),0)</f>
        <v>0</v>
      </c>
      <c r="AT1403" s="545" t="str">
        <f>IF(A1403="","",IF(AP1403&lt;=1,"Cleared",IF(AS1403=0,"Clean",VLOOKUP($AS1403,Ref!$G$23:$H$28,2))))</f>
        <v/>
      </c>
      <c r="AU1403" s="546" t="str">
        <f t="shared" si="588"/>
        <v/>
      </c>
    </row>
    <row r="1404" spans="1:47" ht="14.25" hidden="1" customHeight="1" x14ac:dyDescent="0.15">
      <c r="A1404" s="523"/>
      <c r="B1404" s="523"/>
      <c r="C1404" s="523"/>
      <c r="D1404" s="523"/>
      <c r="E1404" s="579"/>
      <c r="F1404" s="580"/>
      <c r="G1404" s="524"/>
      <c r="H1404" s="555"/>
      <c r="I1404" s="560"/>
      <c r="J1404" s="523"/>
      <c r="K1404" s="528" t="str">
        <f>IFERROR(VLOOKUP($B1404,'Clients-Live'!$A:$C,3,0),"")</f>
        <v/>
      </c>
      <c r="L1404" s="528">
        <f>IF(E1404="STL",Pricing!$D$38,IF(A1404="",0,IF(A1404&lt;Pricing!$C$25,Pricing!$D$25,VLOOKUP(Disbursements!$F1404,Pricing!$B$29:$D$32,3))))</f>
        <v>0</v>
      </c>
      <c r="M1404" s="528">
        <f>IF(E1404="STL",0,IF(F1404&gt;0,Pricing!$D$21,0))</f>
        <v>0</v>
      </c>
      <c r="N1404" s="529">
        <f>IF(E1404="STL",F1404*Pricing!$D$40,IF(A1404&lt;=Pricing!$C$4,0,IF(AND(A1404&gt;Pricing!$C$4,Disbursements!A1404&lt;=Pricing!$C$5),F1404*Pricing!$E$5,IF(AND(A1404&gt;Pricing!$C$5,Disbursements!A1404&lt;=Pricing!$C$7),VLOOKUP(F1404,Pricing!$D$7:$E$8,2)*Disbursements!F1404,F1404*Pricing!$E$9))))</f>
        <v>0</v>
      </c>
      <c r="O1404" s="528">
        <f>IF(E1404="STL",0,IF($F1404&gt;0,$F1404*Pricing!$D$17,0))</f>
        <v>0</v>
      </c>
      <c r="P1404" s="530" t="str">
        <f t="shared" si="568"/>
        <v/>
      </c>
      <c r="Q1404" s="531" t="str">
        <f>IF($A1404="","",$G1404/VLOOKUP($I1404,Ref!$B$23:$D$29,2,0))</f>
        <v/>
      </c>
      <c r="R1404" s="530" t="str">
        <f t="shared" si="569"/>
        <v/>
      </c>
      <c r="S1404" s="532" t="str">
        <f t="shared" si="563"/>
        <v/>
      </c>
      <c r="T1404" s="531" t="str">
        <f t="shared" si="570"/>
        <v/>
      </c>
      <c r="U1404" s="533">
        <f t="shared" si="571"/>
        <v>0</v>
      </c>
      <c r="V1404" s="531" t="str">
        <f t="shared" si="572"/>
        <v/>
      </c>
      <c r="W1404" s="531" t="str">
        <f t="shared" si="573"/>
        <v/>
      </c>
      <c r="X1404" s="534" t="str">
        <f t="shared" si="574"/>
        <v/>
      </c>
      <c r="Y1404" s="535" t="str">
        <f>IF($A1404="","",IF($I1404="weekly",$A1404+7,EDATE($A1404,VLOOKUP($I1404,Ref!$B$24:$C$29,2,0))))</f>
        <v/>
      </c>
      <c r="Z1404" s="536" t="str">
        <f t="shared" si="575"/>
        <v/>
      </c>
      <c r="AA1404" s="531">
        <f t="shared" si="576"/>
        <v>0</v>
      </c>
      <c r="AB1404" s="535" t="str">
        <f t="shared" si="564"/>
        <v/>
      </c>
      <c r="AC1404" s="537" t="str">
        <f t="shared" si="565"/>
        <v/>
      </c>
      <c r="AD1404" s="538" t="str">
        <f t="shared" ca="1" si="566"/>
        <v/>
      </c>
      <c r="AE1404" s="537">
        <f t="shared" ca="1" si="567"/>
        <v>0</v>
      </c>
      <c r="AF1404" s="539" t="str">
        <f t="shared" ca="1" si="577"/>
        <v/>
      </c>
      <c r="AG1404" s="531" t="str">
        <f t="shared" ca="1" si="578"/>
        <v/>
      </c>
      <c r="AH1404" s="531" t="str">
        <f t="shared" ca="1" si="579"/>
        <v/>
      </c>
      <c r="AI1404" s="531" t="str">
        <f t="shared" ca="1" si="580"/>
        <v/>
      </c>
      <c r="AJ1404" s="531" t="str">
        <f t="shared" si="581"/>
        <v/>
      </c>
      <c r="AK1404" s="540">
        <f>SUMIFS('Live Collections'!$S:$S,'Live Collections'!$D:$D,Disbursements!B1404,'Live Collections'!$G:$G,Disbursements!C1404)</f>
        <v>0</v>
      </c>
      <c r="AL1404" s="540">
        <f>SUMIFS('Live Collections'!$T:$T,'Live Collections'!$D:$D,Disbursements!B1404,'Live Collections'!$G:$G,Disbursements!C1404)</f>
        <v>0</v>
      </c>
      <c r="AM1404" s="541">
        <f t="shared" si="582"/>
        <v>0</v>
      </c>
      <c r="AN1404" s="542" t="str">
        <f t="shared" si="583"/>
        <v/>
      </c>
      <c r="AO1404" s="542" t="str">
        <f t="shared" si="584"/>
        <v/>
      </c>
      <c r="AP1404" s="543" t="str">
        <f t="shared" si="585"/>
        <v/>
      </c>
      <c r="AQ1404" s="544" t="str">
        <f t="shared" si="586"/>
        <v/>
      </c>
      <c r="AR1404" s="545">
        <f t="shared" si="587"/>
        <v>0</v>
      </c>
      <c r="AS1404" s="545">
        <f>IFERROR(CEILING($AR1404*VLOOKUP($I1404,Ref!$B$23:$E$29,4,0),1),0)</f>
        <v>0</v>
      </c>
      <c r="AT1404" s="545" t="str">
        <f>IF(A1404="","",IF(AP1404&lt;=1,"Cleared",IF(AS1404=0,"Clean",VLOOKUP($AS1404,Ref!$G$23:$H$28,2))))</f>
        <v/>
      </c>
      <c r="AU1404" s="546" t="str">
        <f t="shared" si="588"/>
        <v/>
      </c>
    </row>
    <row r="1405" spans="1:47" ht="14.25" hidden="1" customHeight="1" x14ac:dyDescent="0.15">
      <c r="A1405" s="523"/>
      <c r="B1405" s="523"/>
      <c r="C1405" s="523"/>
      <c r="D1405" s="523"/>
      <c r="E1405" s="579"/>
      <c r="F1405" s="580"/>
      <c r="G1405" s="524"/>
      <c r="H1405" s="555"/>
      <c r="I1405" s="560"/>
      <c r="J1405" s="523"/>
      <c r="K1405" s="528" t="str">
        <f>IFERROR(VLOOKUP($B1405,'Clients-Live'!$A:$C,3,0),"")</f>
        <v/>
      </c>
      <c r="L1405" s="528">
        <f>IF(E1405="STL",Pricing!$D$38,IF(A1405="",0,IF(A1405&lt;Pricing!$C$25,Pricing!$D$25,VLOOKUP(Disbursements!$F1405,Pricing!$B$29:$D$32,3))))</f>
        <v>0</v>
      </c>
      <c r="M1405" s="528">
        <f>IF(E1405="STL",0,IF(F1405&gt;0,Pricing!$D$21,0))</f>
        <v>0</v>
      </c>
      <c r="N1405" s="529">
        <f>IF(E1405="STL",F1405*Pricing!$D$40,IF(A1405&lt;=Pricing!$C$4,0,IF(AND(A1405&gt;Pricing!$C$4,Disbursements!A1405&lt;=Pricing!$C$5),F1405*Pricing!$E$5,IF(AND(A1405&gt;Pricing!$C$5,Disbursements!A1405&lt;=Pricing!$C$7),VLOOKUP(F1405,Pricing!$D$7:$E$8,2)*Disbursements!F1405,F1405*Pricing!$E$9))))</f>
        <v>0</v>
      </c>
      <c r="O1405" s="528">
        <f>IF(E1405="STL",0,IF($F1405&gt;0,$F1405*Pricing!$D$17,0))</f>
        <v>0</v>
      </c>
      <c r="P1405" s="530" t="str">
        <f t="shared" si="568"/>
        <v/>
      </c>
      <c r="Q1405" s="531" t="str">
        <f>IF($A1405="","",$G1405/VLOOKUP($I1405,Ref!$B$23:$D$29,2,0))</f>
        <v/>
      </c>
      <c r="R1405" s="530" t="str">
        <f t="shared" si="569"/>
        <v/>
      </c>
      <c r="S1405" s="532" t="str">
        <f t="shared" si="563"/>
        <v/>
      </c>
      <c r="T1405" s="531" t="str">
        <f t="shared" si="570"/>
        <v/>
      </c>
      <c r="U1405" s="533">
        <f t="shared" si="571"/>
        <v>0</v>
      </c>
      <c r="V1405" s="531" t="str">
        <f t="shared" si="572"/>
        <v/>
      </c>
      <c r="W1405" s="531" t="str">
        <f t="shared" si="573"/>
        <v/>
      </c>
      <c r="X1405" s="534" t="str">
        <f t="shared" si="574"/>
        <v/>
      </c>
      <c r="Y1405" s="535" t="str">
        <f>IF($A1405="","",IF($I1405="weekly",$A1405+7,EDATE($A1405,VLOOKUP($I1405,Ref!$B$24:$C$29,2,0))))</f>
        <v/>
      </c>
      <c r="Z1405" s="536" t="str">
        <f t="shared" si="575"/>
        <v/>
      </c>
      <c r="AA1405" s="531">
        <f t="shared" si="576"/>
        <v>0</v>
      </c>
      <c r="AB1405" s="535" t="str">
        <f t="shared" si="564"/>
        <v/>
      </c>
      <c r="AC1405" s="537" t="str">
        <f t="shared" si="565"/>
        <v/>
      </c>
      <c r="AD1405" s="538" t="str">
        <f t="shared" ca="1" si="566"/>
        <v/>
      </c>
      <c r="AE1405" s="537">
        <f t="shared" ca="1" si="567"/>
        <v>0</v>
      </c>
      <c r="AF1405" s="539" t="str">
        <f t="shared" ca="1" si="577"/>
        <v/>
      </c>
      <c r="AG1405" s="531" t="str">
        <f t="shared" ca="1" si="578"/>
        <v/>
      </c>
      <c r="AH1405" s="531" t="str">
        <f t="shared" ca="1" si="579"/>
        <v/>
      </c>
      <c r="AI1405" s="531" t="str">
        <f t="shared" ca="1" si="580"/>
        <v/>
      </c>
      <c r="AJ1405" s="531" t="str">
        <f t="shared" si="581"/>
        <v/>
      </c>
      <c r="AK1405" s="540">
        <f>SUMIFS('Live Collections'!$S:$S,'Live Collections'!$D:$D,Disbursements!B1405,'Live Collections'!$G:$G,Disbursements!C1405)</f>
        <v>0</v>
      </c>
      <c r="AL1405" s="540">
        <f>SUMIFS('Live Collections'!$T:$T,'Live Collections'!$D:$D,Disbursements!B1405,'Live Collections'!$G:$G,Disbursements!C1405)</f>
        <v>0</v>
      </c>
      <c r="AM1405" s="541">
        <f t="shared" si="582"/>
        <v>0</v>
      </c>
      <c r="AN1405" s="542" t="str">
        <f t="shared" si="583"/>
        <v/>
      </c>
      <c r="AO1405" s="542" t="str">
        <f t="shared" si="584"/>
        <v/>
      </c>
      <c r="AP1405" s="543" t="str">
        <f t="shared" si="585"/>
        <v/>
      </c>
      <c r="AQ1405" s="544" t="str">
        <f t="shared" si="586"/>
        <v/>
      </c>
      <c r="AR1405" s="545">
        <f t="shared" si="587"/>
        <v>0</v>
      </c>
      <c r="AS1405" s="545">
        <f>IFERROR(CEILING($AR1405*VLOOKUP($I1405,Ref!$B$23:$E$29,4,0),1),0)</f>
        <v>0</v>
      </c>
      <c r="AT1405" s="545" t="str">
        <f>IF(A1405="","",IF(AP1405&lt;=1,"Cleared",IF(AS1405=0,"Clean",VLOOKUP($AS1405,Ref!$G$23:$H$28,2))))</f>
        <v/>
      </c>
      <c r="AU1405" s="546" t="str">
        <f t="shared" si="588"/>
        <v/>
      </c>
    </row>
    <row r="1406" spans="1:47" ht="14.25" hidden="1" customHeight="1" x14ac:dyDescent="0.15">
      <c r="A1406" s="523"/>
      <c r="B1406" s="523"/>
      <c r="C1406" s="523"/>
      <c r="D1406" s="523"/>
      <c r="E1406" s="579"/>
      <c r="F1406" s="580"/>
      <c r="G1406" s="524"/>
      <c r="H1406" s="555"/>
      <c r="I1406" s="560"/>
      <c r="J1406" s="523"/>
      <c r="K1406" s="528" t="str">
        <f>IFERROR(VLOOKUP($B1406,'Clients-Live'!$A:$C,3,0),"")</f>
        <v/>
      </c>
      <c r="L1406" s="528">
        <f>IF(E1406="STL",Pricing!$D$38,IF(A1406="",0,IF(A1406&lt;Pricing!$C$25,Pricing!$D$25,VLOOKUP(Disbursements!$F1406,Pricing!$B$29:$D$32,3))))</f>
        <v>0</v>
      </c>
      <c r="M1406" s="528">
        <f>IF(E1406="STL",0,IF(F1406&gt;0,Pricing!$D$21,0))</f>
        <v>0</v>
      </c>
      <c r="N1406" s="529">
        <f>IF(E1406="STL",F1406*Pricing!$D$40,IF(A1406&lt;=Pricing!$C$4,0,IF(AND(A1406&gt;Pricing!$C$4,Disbursements!A1406&lt;=Pricing!$C$5),F1406*Pricing!$E$5,IF(AND(A1406&gt;Pricing!$C$5,Disbursements!A1406&lt;=Pricing!$C$7),VLOOKUP(F1406,Pricing!$D$7:$E$8,2)*Disbursements!F1406,F1406*Pricing!$E$9))))</f>
        <v>0</v>
      </c>
      <c r="O1406" s="528">
        <f>IF(E1406="STL",0,IF($F1406&gt;0,$F1406*Pricing!$D$17,0))</f>
        <v>0</v>
      </c>
      <c r="P1406" s="530" t="str">
        <f t="shared" si="568"/>
        <v/>
      </c>
      <c r="Q1406" s="531" t="str">
        <f>IF($A1406="","",$G1406/VLOOKUP($I1406,Ref!$B$23:$D$29,2,0))</f>
        <v/>
      </c>
      <c r="R1406" s="530" t="str">
        <f t="shared" si="569"/>
        <v/>
      </c>
      <c r="S1406" s="532" t="str">
        <f t="shared" si="563"/>
        <v/>
      </c>
      <c r="T1406" s="531" t="str">
        <f t="shared" si="570"/>
        <v/>
      </c>
      <c r="U1406" s="533">
        <f t="shared" si="571"/>
        <v>0</v>
      </c>
      <c r="V1406" s="531" t="str">
        <f t="shared" si="572"/>
        <v/>
      </c>
      <c r="W1406" s="531" t="str">
        <f t="shared" si="573"/>
        <v/>
      </c>
      <c r="X1406" s="534" t="str">
        <f t="shared" si="574"/>
        <v/>
      </c>
      <c r="Y1406" s="535" t="str">
        <f>IF($A1406="","",IF($I1406="weekly",$A1406+7,EDATE($A1406,VLOOKUP($I1406,Ref!$B$24:$C$29,2,0))))</f>
        <v/>
      </c>
      <c r="Z1406" s="536" t="str">
        <f t="shared" si="575"/>
        <v/>
      </c>
      <c r="AA1406" s="531">
        <f t="shared" si="576"/>
        <v>0</v>
      </c>
      <c r="AB1406" s="535" t="str">
        <f t="shared" si="564"/>
        <v/>
      </c>
      <c r="AC1406" s="537" t="str">
        <f t="shared" si="565"/>
        <v/>
      </c>
      <c r="AD1406" s="538" t="str">
        <f t="shared" ca="1" si="566"/>
        <v/>
      </c>
      <c r="AE1406" s="537">
        <f t="shared" ca="1" si="567"/>
        <v>0</v>
      </c>
      <c r="AF1406" s="539" t="str">
        <f t="shared" ca="1" si="577"/>
        <v/>
      </c>
      <c r="AG1406" s="531" t="str">
        <f t="shared" ca="1" si="578"/>
        <v/>
      </c>
      <c r="AH1406" s="531" t="str">
        <f t="shared" ca="1" si="579"/>
        <v/>
      </c>
      <c r="AI1406" s="531" t="str">
        <f t="shared" ca="1" si="580"/>
        <v/>
      </c>
      <c r="AJ1406" s="531" t="str">
        <f t="shared" si="581"/>
        <v/>
      </c>
      <c r="AK1406" s="540">
        <f>SUMIFS('Live Collections'!$S:$S,'Live Collections'!$D:$D,Disbursements!B1406,'Live Collections'!$G:$G,Disbursements!C1406)</f>
        <v>0</v>
      </c>
      <c r="AL1406" s="540">
        <f>SUMIFS('Live Collections'!$T:$T,'Live Collections'!$D:$D,Disbursements!B1406,'Live Collections'!$G:$G,Disbursements!C1406)</f>
        <v>0</v>
      </c>
      <c r="AM1406" s="541">
        <f t="shared" si="582"/>
        <v>0</v>
      </c>
      <c r="AN1406" s="542" t="str">
        <f t="shared" si="583"/>
        <v/>
      </c>
      <c r="AO1406" s="542" t="str">
        <f t="shared" si="584"/>
        <v/>
      </c>
      <c r="AP1406" s="543" t="str">
        <f t="shared" si="585"/>
        <v/>
      </c>
      <c r="AQ1406" s="544" t="str">
        <f t="shared" si="586"/>
        <v/>
      </c>
      <c r="AR1406" s="545">
        <f t="shared" si="587"/>
        <v>0</v>
      </c>
      <c r="AS1406" s="545">
        <f>IFERROR(CEILING($AR1406*VLOOKUP($I1406,Ref!$B$23:$E$29,4,0),1),0)</f>
        <v>0</v>
      </c>
      <c r="AT1406" s="545" t="str">
        <f>IF(A1406="","",IF(AP1406&lt;=1,"Cleared",IF(AS1406=0,"Clean",VLOOKUP($AS1406,Ref!$G$23:$H$28,2))))</f>
        <v/>
      </c>
      <c r="AU1406" s="546" t="str">
        <f t="shared" si="588"/>
        <v/>
      </c>
    </row>
    <row r="1407" spans="1:47" ht="14.25" hidden="1" customHeight="1" x14ac:dyDescent="0.15">
      <c r="A1407" s="523"/>
      <c r="B1407" s="523"/>
      <c r="C1407" s="523"/>
      <c r="D1407" s="523"/>
      <c r="E1407" s="579"/>
      <c r="F1407" s="580"/>
      <c r="G1407" s="524"/>
      <c r="H1407" s="555"/>
      <c r="I1407" s="560"/>
      <c r="J1407" s="523"/>
      <c r="K1407" s="528" t="str">
        <f>IFERROR(VLOOKUP($B1407,'Clients-Live'!$A:$C,3,0),"")</f>
        <v/>
      </c>
      <c r="L1407" s="528">
        <f>IF(E1407="STL",Pricing!$D$38,IF(A1407="",0,IF(A1407&lt;Pricing!$C$25,Pricing!$D$25,VLOOKUP(Disbursements!$F1407,Pricing!$B$29:$D$32,3))))</f>
        <v>0</v>
      </c>
      <c r="M1407" s="528">
        <f>IF(E1407="STL",0,IF(F1407&gt;0,Pricing!$D$21,0))</f>
        <v>0</v>
      </c>
      <c r="N1407" s="529">
        <f>IF(E1407="STL",F1407*Pricing!$D$40,IF(A1407&lt;=Pricing!$C$4,0,IF(AND(A1407&gt;Pricing!$C$4,Disbursements!A1407&lt;=Pricing!$C$5),F1407*Pricing!$E$5,IF(AND(A1407&gt;Pricing!$C$5,Disbursements!A1407&lt;=Pricing!$C$7),VLOOKUP(F1407,Pricing!$D$7:$E$8,2)*Disbursements!F1407,F1407*Pricing!$E$9))))</f>
        <v>0</v>
      </c>
      <c r="O1407" s="528">
        <f>IF(E1407="STL",0,IF($F1407&gt;0,$F1407*Pricing!$D$17,0))</f>
        <v>0</v>
      </c>
      <c r="P1407" s="530" t="str">
        <f t="shared" si="568"/>
        <v/>
      </c>
      <c r="Q1407" s="531" t="str">
        <f>IF($A1407="","",$G1407/VLOOKUP($I1407,Ref!$B$23:$D$29,2,0))</f>
        <v/>
      </c>
      <c r="R1407" s="530" t="str">
        <f t="shared" si="569"/>
        <v/>
      </c>
      <c r="S1407" s="532" t="str">
        <f t="shared" si="563"/>
        <v/>
      </c>
      <c r="T1407" s="531" t="str">
        <f t="shared" si="570"/>
        <v/>
      </c>
      <c r="U1407" s="533">
        <f t="shared" si="571"/>
        <v>0</v>
      </c>
      <c r="V1407" s="531" t="str">
        <f t="shared" si="572"/>
        <v/>
      </c>
      <c r="W1407" s="531" t="str">
        <f t="shared" si="573"/>
        <v/>
      </c>
      <c r="X1407" s="534" t="str">
        <f t="shared" si="574"/>
        <v/>
      </c>
      <c r="Y1407" s="535" t="str">
        <f>IF($A1407="","",IF($I1407="weekly",$A1407+7,EDATE($A1407,VLOOKUP($I1407,Ref!$B$24:$C$29,2,0))))</f>
        <v/>
      </c>
      <c r="Z1407" s="536" t="str">
        <f t="shared" si="575"/>
        <v/>
      </c>
      <c r="AA1407" s="531">
        <f t="shared" si="576"/>
        <v>0</v>
      </c>
      <c r="AB1407" s="535" t="str">
        <f t="shared" si="564"/>
        <v/>
      </c>
      <c r="AC1407" s="537" t="str">
        <f t="shared" si="565"/>
        <v/>
      </c>
      <c r="AD1407" s="538" t="str">
        <f t="shared" ca="1" si="566"/>
        <v/>
      </c>
      <c r="AE1407" s="537">
        <f t="shared" ca="1" si="567"/>
        <v>0</v>
      </c>
      <c r="AF1407" s="539" t="str">
        <f t="shared" ca="1" si="577"/>
        <v/>
      </c>
      <c r="AG1407" s="531" t="str">
        <f t="shared" ca="1" si="578"/>
        <v/>
      </c>
      <c r="AH1407" s="531" t="str">
        <f t="shared" ca="1" si="579"/>
        <v/>
      </c>
      <c r="AI1407" s="531" t="str">
        <f t="shared" ca="1" si="580"/>
        <v/>
      </c>
      <c r="AJ1407" s="531" t="str">
        <f t="shared" si="581"/>
        <v/>
      </c>
      <c r="AK1407" s="540">
        <f>SUMIFS('Live Collections'!$S:$S,'Live Collections'!$D:$D,Disbursements!B1407,'Live Collections'!$G:$G,Disbursements!C1407)</f>
        <v>0</v>
      </c>
      <c r="AL1407" s="540">
        <f>SUMIFS('Live Collections'!$T:$T,'Live Collections'!$D:$D,Disbursements!B1407,'Live Collections'!$G:$G,Disbursements!C1407)</f>
        <v>0</v>
      </c>
      <c r="AM1407" s="541">
        <f t="shared" si="582"/>
        <v>0</v>
      </c>
      <c r="AN1407" s="542" t="str">
        <f t="shared" si="583"/>
        <v/>
      </c>
      <c r="AO1407" s="542" t="str">
        <f t="shared" si="584"/>
        <v/>
      </c>
      <c r="AP1407" s="543" t="str">
        <f t="shared" si="585"/>
        <v/>
      </c>
      <c r="AQ1407" s="544" t="str">
        <f t="shared" si="586"/>
        <v/>
      </c>
      <c r="AR1407" s="545">
        <f t="shared" si="587"/>
        <v>0</v>
      </c>
      <c r="AS1407" s="545">
        <f>IFERROR(CEILING($AR1407*VLOOKUP($I1407,Ref!$B$23:$E$29,4,0),1),0)</f>
        <v>0</v>
      </c>
      <c r="AT1407" s="545" t="str">
        <f>IF(A1407="","",IF(AP1407&lt;=1,"Cleared",IF(AS1407=0,"Clean",VLOOKUP($AS1407,Ref!$G$23:$H$28,2))))</f>
        <v/>
      </c>
      <c r="AU1407" s="546" t="str">
        <f t="shared" si="588"/>
        <v/>
      </c>
    </row>
    <row r="1408" spans="1:47" ht="14.25" hidden="1" customHeight="1" x14ac:dyDescent="0.15">
      <c r="A1408" s="523"/>
      <c r="B1408" s="523"/>
      <c r="C1408" s="523"/>
      <c r="D1408" s="523"/>
      <c r="E1408" s="579"/>
      <c r="F1408" s="580"/>
      <c r="G1408" s="524"/>
      <c r="H1408" s="555"/>
      <c r="I1408" s="560"/>
      <c r="J1408" s="523"/>
      <c r="K1408" s="528" t="str">
        <f>IFERROR(VLOOKUP($B1408,'Clients-Live'!$A:$C,3,0),"")</f>
        <v/>
      </c>
      <c r="L1408" s="528">
        <f>IF(E1408="STL",Pricing!$D$38,IF(A1408="",0,IF(A1408&lt;Pricing!$C$25,Pricing!$D$25,VLOOKUP(Disbursements!$F1408,Pricing!$B$29:$D$32,3))))</f>
        <v>0</v>
      </c>
      <c r="M1408" s="528">
        <f>IF(E1408="STL",0,IF(F1408&gt;0,Pricing!$D$21,0))</f>
        <v>0</v>
      </c>
      <c r="N1408" s="529">
        <f>IF(E1408="STL",F1408*Pricing!$D$40,IF(A1408&lt;=Pricing!$C$4,0,IF(AND(A1408&gt;Pricing!$C$4,Disbursements!A1408&lt;=Pricing!$C$5),F1408*Pricing!$E$5,IF(AND(A1408&gt;Pricing!$C$5,Disbursements!A1408&lt;=Pricing!$C$7),VLOOKUP(F1408,Pricing!$D$7:$E$8,2)*Disbursements!F1408,F1408*Pricing!$E$9))))</f>
        <v>0</v>
      </c>
      <c r="O1408" s="528">
        <f>IF(E1408="STL",0,IF($F1408&gt;0,$F1408*Pricing!$D$17,0))</f>
        <v>0</v>
      </c>
      <c r="P1408" s="530" t="str">
        <f t="shared" si="568"/>
        <v/>
      </c>
      <c r="Q1408" s="531" t="str">
        <f>IF($A1408="","",$G1408/VLOOKUP($I1408,Ref!$B$23:$D$29,2,0))</f>
        <v/>
      </c>
      <c r="R1408" s="530" t="str">
        <f t="shared" si="569"/>
        <v/>
      </c>
      <c r="S1408" s="532" t="str">
        <f t="shared" si="563"/>
        <v/>
      </c>
      <c r="T1408" s="531" t="str">
        <f t="shared" si="570"/>
        <v/>
      </c>
      <c r="U1408" s="533">
        <f t="shared" si="571"/>
        <v>0</v>
      </c>
      <c r="V1408" s="531" t="str">
        <f t="shared" si="572"/>
        <v/>
      </c>
      <c r="W1408" s="531" t="str">
        <f t="shared" si="573"/>
        <v/>
      </c>
      <c r="X1408" s="534" t="str">
        <f t="shared" si="574"/>
        <v/>
      </c>
      <c r="Y1408" s="535" t="str">
        <f>IF($A1408="","",IF($I1408="weekly",$A1408+7,EDATE($A1408,VLOOKUP($I1408,Ref!$B$24:$C$29,2,0))))</f>
        <v/>
      </c>
      <c r="Z1408" s="536" t="str">
        <f t="shared" si="575"/>
        <v/>
      </c>
      <c r="AA1408" s="531">
        <f t="shared" si="576"/>
        <v>0</v>
      </c>
      <c r="AB1408" s="535" t="str">
        <f t="shared" si="564"/>
        <v/>
      </c>
      <c r="AC1408" s="537" t="str">
        <f t="shared" si="565"/>
        <v/>
      </c>
      <c r="AD1408" s="538" t="str">
        <f t="shared" ca="1" si="566"/>
        <v/>
      </c>
      <c r="AE1408" s="537">
        <f t="shared" ca="1" si="567"/>
        <v>0</v>
      </c>
      <c r="AF1408" s="539" t="str">
        <f t="shared" ca="1" si="577"/>
        <v/>
      </c>
      <c r="AG1408" s="531" t="str">
        <f t="shared" ca="1" si="578"/>
        <v/>
      </c>
      <c r="AH1408" s="531" t="str">
        <f t="shared" ca="1" si="579"/>
        <v/>
      </c>
      <c r="AI1408" s="531" t="str">
        <f t="shared" ca="1" si="580"/>
        <v/>
      </c>
      <c r="AJ1408" s="531" t="str">
        <f t="shared" si="581"/>
        <v/>
      </c>
      <c r="AK1408" s="540">
        <f>SUMIFS('Live Collections'!$S:$S,'Live Collections'!$D:$D,Disbursements!B1408,'Live Collections'!$G:$G,Disbursements!C1408)</f>
        <v>0</v>
      </c>
      <c r="AL1408" s="540">
        <f>SUMIFS('Live Collections'!$T:$T,'Live Collections'!$D:$D,Disbursements!B1408,'Live Collections'!$G:$G,Disbursements!C1408)</f>
        <v>0</v>
      </c>
      <c r="AM1408" s="541">
        <f t="shared" si="582"/>
        <v>0</v>
      </c>
      <c r="AN1408" s="542" t="str">
        <f t="shared" si="583"/>
        <v/>
      </c>
      <c r="AO1408" s="542" t="str">
        <f t="shared" si="584"/>
        <v/>
      </c>
      <c r="AP1408" s="543" t="str">
        <f t="shared" si="585"/>
        <v/>
      </c>
      <c r="AQ1408" s="544" t="str">
        <f t="shared" si="586"/>
        <v/>
      </c>
      <c r="AR1408" s="545">
        <f t="shared" si="587"/>
        <v>0</v>
      </c>
      <c r="AS1408" s="545">
        <f>IFERROR(CEILING($AR1408*VLOOKUP($I1408,Ref!$B$23:$E$29,4,0),1),0)</f>
        <v>0</v>
      </c>
      <c r="AT1408" s="545" t="str">
        <f>IF(A1408="","",IF(AP1408&lt;=1,"Cleared",IF(AS1408=0,"Clean",VLOOKUP($AS1408,Ref!$G$23:$H$28,2))))</f>
        <v/>
      </c>
      <c r="AU1408" s="546" t="str">
        <f t="shared" si="588"/>
        <v/>
      </c>
    </row>
    <row r="1409" spans="1:47" ht="14.25" hidden="1" customHeight="1" x14ac:dyDescent="0.15">
      <c r="A1409" s="523"/>
      <c r="B1409" s="523"/>
      <c r="C1409" s="523"/>
      <c r="D1409" s="523"/>
      <c r="E1409" s="579"/>
      <c r="F1409" s="580"/>
      <c r="G1409" s="524"/>
      <c r="H1409" s="555"/>
      <c r="I1409" s="560"/>
      <c r="J1409" s="523"/>
      <c r="K1409" s="528" t="str">
        <f>IFERROR(VLOOKUP($B1409,'Clients-Live'!$A:$C,3,0),"")</f>
        <v/>
      </c>
      <c r="L1409" s="528">
        <f>IF(E1409="STL",Pricing!$D$38,IF(A1409="",0,IF(A1409&lt;Pricing!$C$25,Pricing!$D$25,VLOOKUP(Disbursements!$F1409,Pricing!$B$29:$D$32,3))))</f>
        <v>0</v>
      </c>
      <c r="M1409" s="528">
        <f>IF(E1409="STL",0,IF(F1409&gt;0,Pricing!$D$21,0))</f>
        <v>0</v>
      </c>
      <c r="N1409" s="529">
        <f>IF(E1409="STL",F1409*Pricing!$D$40,IF(A1409&lt;=Pricing!$C$4,0,IF(AND(A1409&gt;Pricing!$C$4,Disbursements!A1409&lt;=Pricing!$C$5),F1409*Pricing!$E$5,IF(AND(A1409&gt;Pricing!$C$5,Disbursements!A1409&lt;=Pricing!$C$7),VLOOKUP(F1409,Pricing!$D$7:$E$8,2)*Disbursements!F1409,F1409*Pricing!$E$9))))</f>
        <v>0</v>
      </c>
      <c r="O1409" s="528">
        <f>IF(E1409="STL",0,IF($F1409&gt;0,$F1409*Pricing!$D$17,0))</f>
        <v>0</v>
      </c>
      <c r="P1409" s="530" t="str">
        <f t="shared" si="568"/>
        <v/>
      </c>
      <c r="Q1409" s="531" t="str">
        <f>IF($A1409="","",$G1409/VLOOKUP($I1409,Ref!$B$23:$D$29,2,0))</f>
        <v/>
      </c>
      <c r="R1409" s="530" t="str">
        <f t="shared" si="569"/>
        <v/>
      </c>
      <c r="S1409" s="532" t="str">
        <f t="shared" si="563"/>
        <v/>
      </c>
      <c r="T1409" s="531" t="str">
        <f t="shared" si="570"/>
        <v/>
      </c>
      <c r="U1409" s="533">
        <f t="shared" si="571"/>
        <v>0</v>
      </c>
      <c r="V1409" s="531" t="str">
        <f t="shared" si="572"/>
        <v/>
      </c>
      <c r="W1409" s="531" t="str">
        <f t="shared" si="573"/>
        <v/>
      </c>
      <c r="X1409" s="534" t="str">
        <f t="shared" si="574"/>
        <v/>
      </c>
      <c r="Y1409" s="535" t="str">
        <f>IF($A1409="","",IF($I1409="weekly",$A1409+7,EDATE($A1409,VLOOKUP($I1409,Ref!$B$24:$C$29,2,0))))</f>
        <v/>
      </c>
      <c r="Z1409" s="536" t="str">
        <f t="shared" si="575"/>
        <v/>
      </c>
      <c r="AA1409" s="531">
        <f t="shared" si="576"/>
        <v>0</v>
      </c>
      <c r="AB1409" s="535" t="str">
        <f t="shared" si="564"/>
        <v/>
      </c>
      <c r="AC1409" s="537" t="str">
        <f t="shared" si="565"/>
        <v/>
      </c>
      <c r="AD1409" s="538" t="str">
        <f t="shared" ca="1" si="566"/>
        <v/>
      </c>
      <c r="AE1409" s="537">
        <f t="shared" ca="1" si="567"/>
        <v>0</v>
      </c>
      <c r="AF1409" s="539" t="str">
        <f t="shared" ca="1" si="577"/>
        <v/>
      </c>
      <c r="AG1409" s="531" t="str">
        <f t="shared" ca="1" si="578"/>
        <v/>
      </c>
      <c r="AH1409" s="531" t="str">
        <f t="shared" ca="1" si="579"/>
        <v/>
      </c>
      <c r="AI1409" s="531" t="str">
        <f t="shared" ca="1" si="580"/>
        <v/>
      </c>
      <c r="AJ1409" s="531" t="str">
        <f t="shared" si="581"/>
        <v/>
      </c>
      <c r="AK1409" s="540">
        <f>SUMIFS('Live Collections'!$S:$S,'Live Collections'!$D:$D,Disbursements!B1409,'Live Collections'!$G:$G,Disbursements!C1409)</f>
        <v>0</v>
      </c>
      <c r="AL1409" s="540">
        <f>SUMIFS('Live Collections'!$T:$T,'Live Collections'!$D:$D,Disbursements!B1409,'Live Collections'!$G:$G,Disbursements!C1409)</f>
        <v>0</v>
      </c>
      <c r="AM1409" s="541">
        <f t="shared" si="582"/>
        <v>0</v>
      </c>
      <c r="AN1409" s="542" t="str">
        <f t="shared" si="583"/>
        <v/>
      </c>
      <c r="AO1409" s="542" t="str">
        <f t="shared" si="584"/>
        <v/>
      </c>
      <c r="AP1409" s="543" t="str">
        <f t="shared" si="585"/>
        <v/>
      </c>
      <c r="AQ1409" s="544" t="str">
        <f t="shared" si="586"/>
        <v/>
      </c>
      <c r="AR1409" s="545">
        <f t="shared" si="587"/>
        <v>0</v>
      </c>
      <c r="AS1409" s="545">
        <f>IFERROR(CEILING($AR1409*VLOOKUP($I1409,Ref!$B$23:$E$29,4,0),1),0)</f>
        <v>0</v>
      </c>
      <c r="AT1409" s="545" t="str">
        <f>IF(A1409="","",IF(AP1409&lt;=1,"Cleared",IF(AS1409=0,"Clean",VLOOKUP($AS1409,Ref!$G$23:$H$28,2))))</f>
        <v/>
      </c>
      <c r="AU1409" s="546" t="str">
        <f t="shared" si="588"/>
        <v/>
      </c>
    </row>
    <row r="1410" spans="1:47" ht="14.25" hidden="1" customHeight="1" x14ac:dyDescent="0.15">
      <c r="A1410" s="523"/>
      <c r="B1410" s="523"/>
      <c r="C1410" s="523"/>
      <c r="D1410" s="523"/>
      <c r="E1410" s="579"/>
      <c r="F1410" s="580"/>
      <c r="G1410" s="524"/>
      <c r="H1410" s="555"/>
      <c r="I1410" s="560"/>
      <c r="J1410" s="523"/>
      <c r="K1410" s="528" t="str">
        <f>IFERROR(VLOOKUP($B1410,'Clients-Live'!$A:$C,3,0),"")</f>
        <v/>
      </c>
      <c r="L1410" s="528">
        <f>IF(E1410="STL",Pricing!$D$38,IF(A1410="",0,IF(A1410&lt;Pricing!$C$25,Pricing!$D$25,VLOOKUP(Disbursements!$F1410,Pricing!$B$29:$D$32,3))))</f>
        <v>0</v>
      </c>
      <c r="M1410" s="528">
        <f>IF(E1410="STL",0,IF(F1410&gt;0,Pricing!$D$21,0))</f>
        <v>0</v>
      </c>
      <c r="N1410" s="529">
        <f>IF(E1410="STL",F1410*Pricing!$D$40,IF(A1410&lt;=Pricing!$C$4,0,IF(AND(A1410&gt;Pricing!$C$4,Disbursements!A1410&lt;=Pricing!$C$5),F1410*Pricing!$E$5,IF(AND(A1410&gt;Pricing!$C$5,Disbursements!A1410&lt;=Pricing!$C$7),VLOOKUP(F1410,Pricing!$D$7:$E$8,2)*Disbursements!F1410,F1410*Pricing!$E$9))))</f>
        <v>0</v>
      </c>
      <c r="O1410" s="528">
        <f>IF(E1410="STL",0,IF($F1410&gt;0,$F1410*Pricing!$D$17,0))</f>
        <v>0</v>
      </c>
      <c r="P1410" s="530" t="str">
        <f t="shared" si="568"/>
        <v/>
      </c>
      <c r="Q1410" s="531" t="str">
        <f>IF($A1410="","",$G1410/VLOOKUP($I1410,Ref!$B$23:$D$29,2,0))</f>
        <v/>
      </c>
      <c r="R1410" s="530" t="str">
        <f t="shared" si="569"/>
        <v/>
      </c>
      <c r="S1410" s="532" t="str">
        <f t="shared" si="563"/>
        <v/>
      </c>
      <c r="T1410" s="531" t="str">
        <f t="shared" si="570"/>
        <v/>
      </c>
      <c r="U1410" s="533">
        <f t="shared" si="571"/>
        <v>0</v>
      </c>
      <c r="V1410" s="531" t="str">
        <f t="shared" si="572"/>
        <v/>
      </c>
      <c r="W1410" s="531" t="str">
        <f t="shared" si="573"/>
        <v/>
      </c>
      <c r="X1410" s="534" t="str">
        <f t="shared" si="574"/>
        <v/>
      </c>
      <c r="Y1410" s="535" t="str">
        <f>IF($A1410="","",IF($I1410="weekly",$A1410+7,EDATE($A1410,VLOOKUP($I1410,Ref!$B$24:$C$29,2,0))))</f>
        <v/>
      </c>
      <c r="Z1410" s="536" t="str">
        <f t="shared" si="575"/>
        <v/>
      </c>
      <c r="AA1410" s="531">
        <f t="shared" si="576"/>
        <v>0</v>
      </c>
      <c r="AB1410" s="535" t="str">
        <f t="shared" si="564"/>
        <v/>
      </c>
      <c r="AC1410" s="537" t="str">
        <f t="shared" si="565"/>
        <v/>
      </c>
      <c r="AD1410" s="538" t="str">
        <f t="shared" ca="1" si="566"/>
        <v/>
      </c>
      <c r="AE1410" s="537">
        <f t="shared" ca="1" si="567"/>
        <v>0</v>
      </c>
      <c r="AF1410" s="539" t="str">
        <f t="shared" ca="1" si="577"/>
        <v/>
      </c>
      <c r="AG1410" s="531" t="str">
        <f t="shared" ca="1" si="578"/>
        <v/>
      </c>
      <c r="AH1410" s="531" t="str">
        <f t="shared" ca="1" si="579"/>
        <v/>
      </c>
      <c r="AI1410" s="531" t="str">
        <f t="shared" ca="1" si="580"/>
        <v/>
      </c>
      <c r="AJ1410" s="531" t="str">
        <f t="shared" si="581"/>
        <v/>
      </c>
      <c r="AK1410" s="540">
        <f>SUMIFS('Live Collections'!$S:$S,'Live Collections'!$D:$D,Disbursements!B1410,'Live Collections'!$G:$G,Disbursements!C1410)</f>
        <v>0</v>
      </c>
      <c r="AL1410" s="540">
        <f>SUMIFS('Live Collections'!$T:$T,'Live Collections'!$D:$D,Disbursements!B1410,'Live Collections'!$G:$G,Disbursements!C1410)</f>
        <v>0</v>
      </c>
      <c r="AM1410" s="541">
        <f t="shared" si="582"/>
        <v>0</v>
      </c>
      <c r="AN1410" s="542" t="str">
        <f t="shared" si="583"/>
        <v/>
      </c>
      <c r="AO1410" s="542" t="str">
        <f t="shared" si="584"/>
        <v/>
      </c>
      <c r="AP1410" s="543" t="str">
        <f t="shared" si="585"/>
        <v/>
      </c>
      <c r="AQ1410" s="544" t="str">
        <f t="shared" si="586"/>
        <v/>
      </c>
      <c r="AR1410" s="545">
        <f t="shared" si="587"/>
        <v>0</v>
      </c>
      <c r="AS1410" s="545">
        <f>IFERROR(CEILING($AR1410*VLOOKUP($I1410,Ref!$B$23:$E$29,4,0),1),0)</f>
        <v>0</v>
      </c>
      <c r="AT1410" s="545" t="str">
        <f>IF(A1410="","",IF(AP1410&lt;=1,"Cleared",IF(AS1410=0,"Clean",VLOOKUP($AS1410,Ref!$G$23:$H$28,2))))</f>
        <v/>
      </c>
      <c r="AU1410" s="546" t="str">
        <f t="shared" si="588"/>
        <v/>
      </c>
    </row>
    <row r="1411" spans="1:47" ht="14.25" hidden="1" customHeight="1" x14ac:dyDescent="0.15">
      <c r="A1411" s="523"/>
      <c r="B1411" s="523"/>
      <c r="C1411" s="523"/>
      <c r="D1411" s="523"/>
      <c r="E1411" s="579"/>
      <c r="F1411" s="580"/>
      <c r="G1411" s="524"/>
      <c r="H1411" s="555"/>
      <c r="I1411" s="560"/>
      <c r="J1411" s="523"/>
      <c r="K1411" s="528" t="str">
        <f>IFERROR(VLOOKUP($B1411,'Clients-Live'!$A:$C,3,0),"")</f>
        <v/>
      </c>
      <c r="L1411" s="528">
        <f>IF(E1411="STL",Pricing!$D$38,IF(A1411="",0,IF(A1411&lt;Pricing!$C$25,Pricing!$D$25,VLOOKUP(Disbursements!$F1411,Pricing!$B$29:$D$32,3))))</f>
        <v>0</v>
      </c>
      <c r="M1411" s="528">
        <f>IF(E1411="STL",0,IF(F1411&gt;0,Pricing!$D$21,0))</f>
        <v>0</v>
      </c>
      <c r="N1411" s="529">
        <f>IF(E1411="STL",F1411*Pricing!$D$40,IF(A1411&lt;=Pricing!$C$4,0,IF(AND(A1411&gt;Pricing!$C$4,Disbursements!A1411&lt;=Pricing!$C$5),F1411*Pricing!$E$5,IF(AND(A1411&gt;Pricing!$C$5,Disbursements!A1411&lt;=Pricing!$C$7),VLOOKUP(F1411,Pricing!$D$7:$E$8,2)*Disbursements!F1411,F1411*Pricing!$E$9))))</f>
        <v>0</v>
      </c>
      <c r="O1411" s="528">
        <f>IF(E1411="STL",0,IF($F1411&gt;0,$F1411*Pricing!$D$17,0))</f>
        <v>0</v>
      </c>
      <c r="P1411" s="530" t="str">
        <f t="shared" si="568"/>
        <v/>
      </c>
      <c r="Q1411" s="531" t="str">
        <f>IF($A1411="","",$G1411/VLOOKUP($I1411,Ref!$B$23:$D$29,2,0))</f>
        <v/>
      </c>
      <c r="R1411" s="530" t="str">
        <f t="shared" si="569"/>
        <v/>
      </c>
      <c r="S1411" s="532" t="str">
        <f t="shared" si="563"/>
        <v/>
      </c>
      <c r="T1411" s="531" t="str">
        <f t="shared" si="570"/>
        <v/>
      </c>
      <c r="U1411" s="533">
        <f t="shared" si="571"/>
        <v>0</v>
      </c>
      <c r="V1411" s="531" t="str">
        <f t="shared" si="572"/>
        <v/>
      </c>
      <c r="W1411" s="531" t="str">
        <f t="shared" si="573"/>
        <v/>
      </c>
      <c r="X1411" s="534" t="str">
        <f t="shared" si="574"/>
        <v/>
      </c>
      <c r="Y1411" s="535" t="str">
        <f>IF($A1411="","",IF($I1411="weekly",$A1411+7,EDATE($A1411,VLOOKUP($I1411,Ref!$B$24:$C$29,2,0))))</f>
        <v/>
      </c>
      <c r="Z1411" s="536" t="str">
        <f t="shared" si="575"/>
        <v/>
      </c>
      <c r="AA1411" s="531">
        <f t="shared" si="576"/>
        <v>0</v>
      </c>
      <c r="AB1411" s="535" t="str">
        <f t="shared" si="564"/>
        <v/>
      </c>
      <c r="AC1411" s="537" t="str">
        <f t="shared" si="565"/>
        <v/>
      </c>
      <c r="AD1411" s="538" t="str">
        <f t="shared" ca="1" si="566"/>
        <v/>
      </c>
      <c r="AE1411" s="537">
        <f t="shared" ca="1" si="567"/>
        <v>0</v>
      </c>
      <c r="AF1411" s="539" t="str">
        <f t="shared" ca="1" si="577"/>
        <v/>
      </c>
      <c r="AG1411" s="531" t="str">
        <f t="shared" ca="1" si="578"/>
        <v/>
      </c>
      <c r="AH1411" s="531" t="str">
        <f t="shared" ca="1" si="579"/>
        <v/>
      </c>
      <c r="AI1411" s="531" t="str">
        <f t="shared" ca="1" si="580"/>
        <v/>
      </c>
      <c r="AJ1411" s="531" t="str">
        <f t="shared" si="581"/>
        <v/>
      </c>
      <c r="AK1411" s="540">
        <f>SUMIFS('Live Collections'!$S:$S,'Live Collections'!$D:$D,Disbursements!B1411,'Live Collections'!$G:$G,Disbursements!C1411)</f>
        <v>0</v>
      </c>
      <c r="AL1411" s="540">
        <f>SUMIFS('Live Collections'!$T:$T,'Live Collections'!$D:$D,Disbursements!B1411,'Live Collections'!$G:$G,Disbursements!C1411)</f>
        <v>0</v>
      </c>
      <c r="AM1411" s="541">
        <f t="shared" si="582"/>
        <v>0</v>
      </c>
      <c r="AN1411" s="542" t="str">
        <f t="shared" si="583"/>
        <v/>
      </c>
      <c r="AO1411" s="542" t="str">
        <f t="shared" si="584"/>
        <v/>
      </c>
      <c r="AP1411" s="543" t="str">
        <f t="shared" si="585"/>
        <v/>
      </c>
      <c r="AQ1411" s="544" t="str">
        <f t="shared" si="586"/>
        <v/>
      </c>
      <c r="AR1411" s="545">
        <f t="shared" si="587"/>
        <v>0</v>
      </c>
      <c r="AS1411" s="545">
        <f>IFERROR(CEILING($AR1411*VLOOKUP($I1411,Ref!$B$23:$E$29,4,0),1),0)</f>
        <v>0</v>
      </c>
      <c r="AT1411" s="545" t="str">
        <f>IF(A1411="","",IF(AP1411&lt;=1,"Cleared",IF(AS1411=0,"Clean",VLOOKUP($AS1411,Ref!$G$23:$H$28,2))))</f>
        <v/>
      </c>
      <c r="AU1411" s="546" t="str">
        <f t="shared" si="588"/>
        <v/>
      </c>
    </row>
    <row r="1412" spans="1:47" ht="14.25" hidden="1" customHeight="1" x14ac:dyDescent="0.15">
      <c r="A1412" s="523"/>
      <c r="B1412" s="523"/>
      <c r="C1412" s="523"/>
      <c r="D1412" s="523"/>
      <c r="E1412" s="579"/>
      <c r="F1412" s="580"/>
      <c r="G1412" s="524"/>
      <c r="H1412" s="555"/>
      <c r="I1412" s="560"/>
      <c r="J1412" s="523"/>
      <c r="K1412" s="528" t="str">
        <f>IFERROR(VLOOKUP($B1412,'Clients-Live'!$A:$C,3,0),"")</f>
        <v/>
      </c>
      <c r="L1412" s="528">
        <f>IF(E1412="STL",Pricing!$D$38,IF(A1412="",0,IF(A1412&lt;Pricing!$C$25,Pricing!$D$25,VLOOKUP(Disbursements!$F1412,Pricing!$B$29:$D$32,3))))</f>
        <v>0</v>
      </c>
      <c r="M1412" s="528">
        <f>IF(E1412="STL",0,IF(F1412&gt;0,Pricing!$D$21,0))</f>
        <v>0</v>
      </c>
      <c r="N1412" s="529">
        <f>IF(E1412="STL",F1412*Pricing!$D$40,IF(A1412&lt;=Pricing!$C$4,0,IF(AND(A1412&gt;Pricing!$C$4,Disbursements!A1412&lt;=Pricing!$C$5),F1412*Pricing!$E$5,IF(AND(A1412&gt;Pricing!$C$5,Disbursements!A1412&lt;=Pricing!$C$7),VLOOKUP(F1412,Pricing!$D$7:$E$8,2)*Disbursements!F1412,F1412*Pricing!$E$9))))</f>
        <v>0</v>
      </c>
      <c r="O1412" s="528">
        <f>IF(E1412="STL",0,IF($F1412&gt;0,$F1412*Pricing!$D$17,0))</f>
        <v>0</v>
      </c>
      <c r="P1412" s="530" t="str">
        <f t="shared" si="568"/>
        <v/>
      </c>
      <c r="Q1412" s="531" t="str">
        <f>IF($A1412="","",$G1412/VLOOKUP($I1412,Ref!$B$23:$D$29,2,0))</f>
        <v/>
      </c>
      <c r="R1412" s="530" t="str">
        <f t="shared" si="569"/>
        <v/>
      </c>
      <c r="S1412" s="532" t="str">
        <f t="shared" ref="S1412:S1475" si="589">IF($A1412="","",$R1412/$Q1412)</f>
        <v/>
      </c>
      <c r="T1412" s="531" t="str">
        <f t="shared" si="570"/>
        <v/>
      </c>
      <c r="U1412" s="533">
        <f t="shared" si="571"/>
        <v>0</v>
      </c>
      <c r="V1412" s="531" t="str">
        <f t="shared" si="572"/>
        <v/>
      </c>
      <c r="W1412" s="531" t="str">
        <f t="shared" si="573"/>
        <v/>
      </c>
      <c r="X1412" s="534" t="str">
        <f t="shared" si="574"/>
        <v/>
      </c>
      <c r="Y1412" s="535" t="str">
        <f>IF($A1412="","",IF($I1412="weekly",$A1412+7,EDATE($A1412,VLOOKUP($I1412,Ref!$B$24:$C$29,2,0))))</f>
        <v/>
      </c>
      <c r="Z1412" s="536" t="str">
        <f t="shared" si="575"/>
        <v/>
      </c>
      <c r="AA1412" s="531">
        <f t="shared" si="576"/>
        <v>0</v>
      </c>
      <c r="AB1412" s="535" t="str">
        <f t="shared" ref="AB1412:AB1475" si="590">IF($A1412="","",EDATE($A1412,$G1412))</f>
        <v/>
      </c>
      <c r="AC1412" s="537" t="str">
        <f t="shared" ref="AC1412:AC1475" si="591">IFERROR($AB1412-$A1412,"")</f>
        <v/>
      </c>
      <c r="AD1412" s="538" t="str">
        <f t="shared" ref="AD1412:AD1475" ca="1" si="592">IFERROR(IF(TODAY()-$A1412&lt;$AB1412-$A1412,TODAY()-$A1412,"Expired"),"")</f>
        <v/>
      </c>
      <c r="AE1412" s="537">
        <f t="shared" ref="AE1412:AE1475" ca="1" si="593">IFERROR($AC1412-$AD1412,0)</f>
        <v>0</v>
      </c>
      <c r="AF1412" s="539" t="str">
        <f t="shared" ca="1" si="577"/>
        <v/>
      </c>
      <c r="AG1412" s="531" t="str">
        <f t="shared" ca="1" si="578"/>
        <v/>
      </c>
      <c r="AH1412" s="531" t="str">
        <f t="shared" ca="1" si="579"/>
        <v/>
      </c>
      <c r="AI1412" s="531" t="str">
        <f t="shared" ca="1" si="580"/>
        <v/>
      </c>
      <c r="AJ1412" s="531" t="str">
        <f t="shared" si="581"/>
        <v/>
      </c>
      <c r="AK1412" s="540">
        <f>SUMIFS('Live Collections'!$S:$S,'Live Collections'!$D:$D,Disbursements!B1412,'Live Collections'!$G:$G,Disbursements!C1412)</f>
        <v>0</v>
      </c>
      <c r="AL1412" s="540">
        <f>SUMIFS('Live Collections'!$T:$T,'Live Collections'!$D:$D,Disbursements!B1412,'Live Collections'!$G:$G,Disbursements!C1412)</f>
        <v>0</v>
      </c>
      <c r="AM1412" s="541">
        <f t="shared" si="582"/>
        <v>0</v>
      </c>
      <c r="AN1412" s="542" t="str">
        <f t="shared" si="583"/>
        <v/>
      </c>
      <c r="AO1412" s="542" t="str">
        <f t="shared" si="584"/>
        <v/>
      </c>
      <c r="AP1412" s="543" t="str">
        <f t="shared" si="585"/>
        <v/>
      </c>
      <c r="AQ1412" s="544" t="str">
        <f t="shared" si="586"/>
        <v/>
      </c>
      <c r="AR1412" s="545">
        <f t="shared" si="587"/>
        <v>0</v>
      </c>
      <c r="AS1412" s="545">
        <f>IFERROR(CEILING($AR1412*VLOOKUP($I1412,Ref!$B$23:$E$29,4,0),1),0)</f>
        <v>0</v>
      </c>
      <c r="AT1412" s="545" t="str">
        <f>IF(A1412="","",IF(AP1412&lt;=1,"Cleared",IF(AS1412=0,"Clean",VLOOKUP($AS1412,Ref!$G$23:$H$28,2))))</f>
        <v/>
      </c>
      <c r="AU1412" s="546" t="str">
        <f t="shared" si="588"/>
        <v/>
      </c>
    </row>
    <row r="1413" spans="1:47" ht="14.25" hidden="1" customHeight="1" x14ac:dyDescent="0.15">
      <c r="A1413" s="523"/>
      <c r="B1413" s="523"/>
      <c r="C1413" s="523"/>
      <c r="D1413" s="523"/>
      <c r="E1413" s="579"/>
      <c r="F1413" s="580"/>
      <c r="G1413" s="524"/>
      <c r="H1413" s="555"/>
      <c r="I1413" s="560"/>
      <c r="J1413" s="523"/>
      <c r="K1413" s="528" t="str">
        <f>IFERROR(VLOOKUP($B1413,'Clients-Live'!$A:$C,3,0),"")</f>
        <v/>
      </c>
      <c r="L1413" s="528">
        <f>IF(E1413="STL",Pricing!$D$38,IF(A1413="",0,IF(A1413&lt;Pricing!$C$25,Pricing!$D$25,VLOOKUP(Disbursements!$F1413,Pricing!$B$29:$D$32,3))))</f>
        <v>0</v>
      </c>
      <c r="M1413" s="528">
        <f>IF(E1413="STL",0,IF(F1413&gt;0,Pricing!$D$21,0))</f>
        <v>0</v>
      </c>
      <c r="N1413" s="529">
        <f>IF(E1413="STL",F1413*Pricing!$D$40,IF(A1413&lt;=Pricing!$C$4,0,IF(AND(A1413&gt;Pricing!$C$4,Disbursements!A1413&lt;=Pricing!$C$5),F1413*Pricing!$E$5,IF(AND(A1413&gt;Pricing!$C$5,Disbursements!A1413&lt;=Pricing!$C$7),VLOOKUP(F1413,Pricing!$D$7:$E$8,2)*Disbursements!F1413,F1413*Pricing!$E$9))))</f>
        <v>0</v>
      </c>
      <c r="O1413" s="528">
        <f>IF(E1413="STL",0,IF($F1413&gt;0,$F1413*Pricing!$D$17,0))</f>
        <v>0</v>
      </c>
      <c r="P1413" s="530" t="str">
        <f t="shared" ref="P1413:P1476" si="594">IF($A1413="","",$H1413*$F1413*$G1413)</f>
        <v/>
      </c>
      <c r="Q1413" s="531" t="str">
        <f>IF($A1413="","",$G1413/VLOOKUP($I1413,Ref!$B$23:$D$29,2,0))</f>
        <v/>
      </c>
      <c r="R1413" s="530" t="str">
        <f t="shared" ref="R1413:R1476" si="595">IF($A1413="","",$F1413+$P1413)</f>
        <v/>
      </c>
      <c r="S1413" s="532" t="str">
        <f t="shared" si="589"/>
        <v/>
      </c>
      <c r="T1413" s="531" t="str">
        <f t="shared" ref="T1413:T1476" si="596">IF(R1413="","",CEILING(S1413,1000))</f>
        <v/>
      </c>
      <c r="U1413" s="533">
        <f t="shared" ref="U1413:U1476" si="597">IFERROR(T1413*Q1413,0)</f>
        <v>0</v>
      </c>
      <c r="V1413" s="531" t="str">
        <f t="shared" ref="V1413:V1476" si="598">IF(T1413="","",F1413/Q1413)</f>
        <v/>
      </c>
      <c r="W1413" s="531" t="str">
        <f t="shared" ref="W1413:W1476" si="599">IF(T1413="","",T1413-V1413)</f>
        <v/>
      </c>
      <c r="X1413" s="534" t="str">
        <f t="shared" ref="X1413:X1476" si="600">IF(A1413="","",W1413*Q1413)</f>
        <v/>
      </c>
      <c r="Y1413" s="535" t="str">
        <f>IF($A1413="","",IF($I1413="weekly",$A1413+7,EDATE($A1413,VLOOKUP($I1413,Ref!$B$24:$C$29,2,0))))</f>
        <v/>
      </c>
      <c r="Z1413" s="536" t="str">
        <f t="shared" ref="Z1413:Z1476" si="601">IFERROR(CHOOSE(WEEKDAY(Y1413),"Sun","Mon","Tue","Wed","Thu","Frid","Sat"),"")</f>
        <v/>
      </c>
      <c r="AA1413" s="531">
        <f t="shared" ref="AA1413:AA1476" si="602">IFERROR(Y1413-A1413,0)</f>
        <v>0</v>
      </c>
      <c r="AB1413" s="535" t="str">
        <f t="shared" si="590"/>
        <v/>
      </c>
      <c r="AC1413" s="537" t="str">
        <f t="shared" si="591"/>
        <v/>
      </c>
      <c r="AD1413" s="538" t="str">
        <f t="shared" ca="1" si="592"/>
        <v/>
      </c>
      <c r="AE1413" s="537">
        <f t="shared" ca="1" si="593"/>
        <v>0</v>
      </c>
      <c r="AF1413" s="539" t="str">
        <f t="shared" ref="AF1413:AF1476" ca="1" si="603">IFERROR(IF(AD1413="Expired",Q1413,IF(AD1413&gt;AA1413,AD1413/AA1413,0)),"")</f>
        <v/>
      </c>
      <c r="AG1413" s="531" t="str">
        <f t="shared" ref="AG1413:AG1476" ca="1" si="604">IFERROR(AF1413*T1413,"")</f>
        <v/>
      </c>
      <c r="AH1413" s="531" t="str">
        <f t="shared" ref="AH1413:AH1476" ca="1" si="605">IFERROR(AF1413*W1413,"")</f>
        <v/>
      </c>
      <c r="AI1413" s="531" t="str">
        <f t="shared" ref="AI1413:AI1476" ca="1" si="606">IFERROR(AF1413*V1413,"")</f>
        <v/>
      </c>
      <c r="AJ1413" s="531" t="str">
        <f t="shared" ref="AJ1413:AJ1476" si="607">IF(F1413=0,"",U1413-AG1413)</f>
        <v/>
      </c>
      <c r="AK1413" s="540">
        <f>SUMIFS('Live Collections'!$S:$S,'Live Collections'!$D:$D,Disbursements!B1413,'Live Collections'!$G:$G,Disbursements!C1413)</f>
        <v>0</v>
      </c>
      <c r="AL1413" s="540">
        <f>SUMIFS('Live Collections'!$T:$T,'Live Collections'!$D:$D,Disbursements!B1413,'Live Collections'!$G:$G,Disbursements!C1413)</f>
        <v>0</v>
      </c>
      <c r="AM1413" s="541">
        <f t="shared" ref="AM1413:AM1476" si="608">SUM(AK1413:AL1413)</f>
        <v>0</v>
      </c>
      <c r="AN1413" s="542" t="str">
        <f t="shared" ref="AN1413:AN1476" si="609">IFERROR(W1413*Q1413-AK1413,"")</f>
        <v/>
      </c>
      <c r="AO1413" s="542" t="str">
        <f t="shared" ref="AO1413:AO1476" si="610">IF(F1413="","",(F1413-AL1413))</f>
        <v/>
      </c>
      <c r="AP1413" s="543" t="str">
        <f t="shared" ref="AP1413:AP1476" si="611">IF(F1413="","",SUM(AN1413:AO1413))</f>
        <v/>
      </c>
      <c r="AQ1413" s="544" t="str">
        <f t="shared" ref="AQ1413:AQ1476" si="612">IF(AP1413&gt;AJ1413,AP1413-AJ1413,"")</f>
        <v/>
      </c>
      <c r="AR1413" s="545">
        <f t="shared" ref="AR1413:AR1476" si="613">IFERROR(AQ1413/T1413,0)</f>
        <v>0</v>
      </c>
      <c r="AS1413" s="545">
        <f>IFERROR(CEILING($AR1413*VLOOKUP($I1413,Ref!$B$23:$E$29,4,0),1),0)</f>
        <v>0</v>
      </c>
      <c r="AT1413" s="545" t="str">
        <f>IF(A1413="","",IF(AP1413&lt;=1,"Cleared",IF(AS1413=0,"Clean",VLOOKUP($AS1413,Ref!$G$23:$H$28,2))))</f>
        <v/>
      </c>
      <c r="AU1413" s="546" t="str">
        <f t="shared" ref="AU1413:AU1476" si="614">IF(F1413="","",IF(OR(AN1413&lt;0,AO1413&lt;0,AP1413&lt;0),"Error on Entry","Ok"))</f>
        <v/>
      </c>
    </row>
    <row r="1414" spans="1:47" ht="14.25" hidden="1" customHeight="1" x14ac:dyDescent="0.15">
      <c r="A1414" s="523"/>
      <c r="B1414" s="523"/>
      <c r="C1414" s="523"/>
      <c r="D1414" s="523"/>
      <c r="E1414" s="579"/>
      <c r="F1414" s="580"/>
      <c r="G1414" s="524"/>
      <c r="H1414" s="555"/>
      <c r="I1414" s="560"/>
      <c r="J1414" s="523"/>
      <c r="K1414" s="528" t="str">
        <f>IFERROR(VLOOKUP($B1414,'Clients-Live'!$A:$C,3,0),"")</f>
        <v/>
      </c>
      <c r="L1414" s="528">
        <f>IF(E1414="STL",Pricing!$D$38,IF(A1414="",0,IF(A1414&lt;Pricing!$C$25,Pricing!$D$25,VLOOKUP(Disbursements!$F1414,Pricing!$B$29:$D$32,3))))</f>
        <v>0</v>
      </c>
      <c r="M1414" s="528">
        <f>IF(E1414="STL",0,IF(F1414&gt;0,Pricing!$D$21,0))</f>
        <v>0</v>
      </c>
      <c r="N1414" s="529">
        <f>IF(E1414="STL",F1414*Pricing!$D$40,IF(A1414&lt;=Pricing!$C$4,0,IF(AND(A1414&gt;Pricing!$C$4,Disbursements!A1414&lt;=Pricing!$C$5),F1414*Pricing!$E$5,IF(AND(A1414&gt;Pricing!$C$5,Disbursements!A1414&lt;=Pricing!$C$7),VLOOKUP(F1414,Pricing!$D$7:$E$8,2)*Disbursements!F1414,F1414*Pricing!$E$9))))</f>
        <v>0</v>
      </c>
      <c r="O1414" s="528">
        <f>IF(E1414="STL",0,IF($F1414&gt;0,$F1414*Pricing!$D$17,0))</f>
        <v>0</v>
      </c>
      <c r="P1414" s="530" t="str">
        <f t="shared" si="594"/>
        <v/>
      </c>
      <c r="Q1414" s="531" t="str">
        <f>IF($A1414="","",$G1414/VLOOKUP($I1414,Ref!$B$23:$D$29,2,0))</f>
        <v/>
      </c>
      <c r="R1414" s="530" t="str">
        <f t="shared" si="595"/>
        <v/>
      </c>
      <c r="S1414" s="532" t="str">
        <f t="shared" si="589"/>
        <v/>
      </c>
      <c r="T1414" s="531" t="str">
        <f t="shared" si="596"/>
        <v/>
      </c>
      <c r="U1414" s="533">
        <f t="shared" si="597"/>
        <v>0</v>
      </c>
      <c r="V1414" s="531" t="str">
        <f t="shared" si="598"/>
        <v/>
      </c>
      <c r="W1414" s="531" t="str">
        <f t="shared" si="599"/>
        <v/>
      </c>
      <c r="X1414" s="534" t="str">
        <f t="shared" si="600"/>
        <v/>
      </c>
      <c r="Y1414" s="535" t="str">
        <f>IF($A1414="","",IF($I1414="weekly",$A1414+7,EDATE($A1414,VLOOKUP($I1414,Ref!$B$24:$C$29,2,0))))</f>
        <v/>
      </c>
      <c r="Z1414" s="536" t="str">
        <f t="shared" si="601"/>
        <v/>
      </c>
      <c r="AA1414" s="531">
        <f t="shared" si="602"/>
        <v>0</v>
      </c>
      <c r="AB1414" s="535" t="str">
        <f t="shared" si="590"/>
        <v/>
      </c>
      <c r="AC1414" s="537" t="str">
        <f t="shared" si="591"/>
        <v/>
      </c>
      <c r="AD1414" s="538" t="str">
        <f t="shared" ca="1" si="592"/>
        <v/>
      </c>
      <c r="AE1414" s="537">
        <f t="shared" ca="1" si="593"/>
        <v>0</v>
      </c>
      <c r="AF1414" s="539" t="str">
        <f t="shared" ca="1" si="603"/>
        <v/>
      </c>
      <c r="AG1414" s="531" t="str">
        <f t="shared" ca="1" si="604"/>
        <v/>
      </c>
      <c r="AH1414" s="531" t="str">
        <f t="shared" ca="1" si="605"/>
        <v/>
      </c>
      <c r="AI1414" s="531" t="str">
        <f t="shared" ca="1" si="606"/>
        <v/>
      </c>
      <c r="AJ1414" s="531" t="str">
        <f t="shared" si="607"/>
        <v/>
      </c>
      <c r="AK1414" s="540">
        <f>SUMIFS('Live Collections'!$S:$S,'Live Collections'!$D:$D,Disbursements!B1414,'Live Collections'!$G:$G,Disbursements!C1414)</f>
        <v>0</v>
      </c>
      <c r="AL1414" s="540">
        <f>SUMIFS('Live Collections'!$T:$T,'Live Collections'!$D:$D,Disbursements!B1414,'Live Collections'!$G:$G,Disbursements!C1414)</f>
        <v>0</v>
      </c>
      <c r="AM1414" s="541">
        <f t="shared" si="608"/>
        <v>0</v>
      </c>
      <c r="AN1414" s="542" t="str">
        <f t="shared" si="609"/>
        <v/>
      </c>
      <c r="AO1414" s="542" t="str">
        <f t="shared" si="610"/>
        <v/>
      </c>
      <c r="AP1414" s="543" t="str">
        <f t="shared" si="611"/>
        <v/>
      </c>
      <c r="AQ1414" s="544" t="str">
        <f t="shared" si="612"/>
        <v/>
      </c>
      <c r="AR1414" s="545">
        <f t="shared" si="613"/>
        <v>0</v>
      </c>
      <c r="AS1414" s="545">
        <f>IFERROR(CEILING($AR1414*VLOOKUP($I1414,Ref!$B$23:$E$29,4,0),1),0)</f>
        <v>0</v>
      </c>
      <c r="AT1414" s="545" t="str">
        <f>IF(A1414="","",IF(AP1414&lt;=1,"Cleared",IF(AS1414=0,"Clean",VLOOKUP($AS1414,Ref!$G$23:$H$28,2))))</f>
        <v/>
      </c>
      <c r="AU1414" s="546" t="str">
        <f t="shared" si="614"/>
        <v/>
      </c>
    </row>
    <row r="1415" spans="1:47" ht="14.25" hidden="1" customHeight="1" x14ac:dyDescent="0.15">
      <c r="A1415" s="523"/>
      <c r="B1415" s="523"/>
      <c r="C1415" s="523"/>
      <c r="D1415" s="523"/>
      <c r="E1415" s="579"/>
      <c r="F1415" s="580"/>
      <c r="G1415" s="524"/>
      <c r="H1415" s="555"/>
      <c r="I1415" s="560"/>
      <c r="J1415" s="523"/>
      <c r="K1415" s="528" t="str">
        <f>IFERROR(VLOOKUP($B1415,'Clients-Live'!$A:$C,3,0),"")</f>
        <v/>
      </c>
      <c r="L1415" s="528">
        <f>IF(E1415="STL",Pricing!$D$38,IF(A1415="",0,IF(A1415&lt;Pricing!$C$25,Pricing!$D$25,VLOOKUP(Disbursements!$F1415,Pricing!$B$29:$D$32,3))))</f>
        <v>0</v>
      </c>
      <c r="M1415" s="528">
        <f>IF(E1415="STL",0,IF(F1415&gt;0,Pricing!$D$21,0))</f>
        <v>0</v>
      </c>
      <c r="N1415" s="529">
        <f>IF(E1415="STL",F1415*Pricing!$D$40,IF(A1415&lt;=Pricing!$C$4,0,IF(AND(A1415&gt;Pricing!$C$4,Disbursements!A1415&lt;=Pricing!$C$5),F1415*Pricing!$E$5,IF(AND(A1415&gt;Pricing!$C$5,Disbursements!A1415&lt;=Pricing!$C$7),VLOOKUP(F1415,Pricing!$D$7:$E$8,2)*Disbursements!F1415,F1415*Pricing!$E$9))))</f>
        <v>0</v>
      </c>
      <c r="O1415" s="528">
        <f>IF(E1415="STL",0,IF($F1415&gt;0,$F1415*Pricing!$D$17,0))</f>
        <v>0</v>
      </c>
      <c r="P1415" s="530" t="str">
        <f t="shared" si="594"/>
        <v/>
      </c>
      <c r="Q1415" s="531" t="str">
        <f>IF($A1415="","",$G1415/VLOOKUP($I1415,Ref!$B$23:$D$29,2,0))</f>
        <v/>
      </c>
      <c r="R1415" s="530" t="str">
        <f t="shared" si="595"/>
        <v/>
      </c>
      <c r="S1415" s="532" t="str">
        <f t="shared" si="589"/>
        <v/>
      </c>
      <c r="T1415" s="531" t="str">
        <f t="shared" si="596"/>
        <v/>
      </c>
      <c r="U1415" s="533">
        <f t="shared" si="597"/>
        <v>0</v>
      </c>
      <c r="V1415" s="531" t="str">
        <f t="shared" si="598"/>
        <v/>
      </c>
      <c r="W1415" s="531" t="str">
        <f t="shared" si="599"/>
        <v/>
      </c>
      <c r="X1415" s="534" t="str">
        <f t="shared" si="600"/>
        <v/>
      </c>
      <c r="Y1415" s="535" t="str">
        <f>IF($A1415="","",IF($I1415="weekly",$A1415+7,EDATE($A1415,VLOOKUP($I1415,Ref!$B$24:$C$29,2,0))))</f>
        <v/>
      </c>
      <c r="Z1415" s="536" t="str">
        <f t="shared" si="601"/>
        <v/>
      </c>
      <c r="AA1415" s="531">
        <f t="shared" si="602"/>
        <v>0</v>
      </c>
      <c r="AB1415" s="535" t="str">
        <f t="shared" si="590"/>
        <v/>
      </c>
      <c r="AC1415" s="537" t="str">
        <f t="shared" si="591"/>
        <v/>
      </c>
      <c r="AD1415" s="538" t="str">
        <f t="shared" ca="1" si="592"/>
        <v/>
      </c>
      <c r="AE1415" s="537">
        <f t="shared" ca="1" si="593"/>
        <v>0</v>
      </c>
      <c r="AF1415" s="539" t="str">
        <f t="shared" ca="1" si="603"/>
        <v/>
      </c>
      <c r="AG1415" s="531" t="str">
        <f t="shared" ca="1" si="604"/>
        <v/>
      </c>
      <c r="AH1415" s="531" t="str">
        <f t="shared" ca="1" si="605"/>
        <v/>
      </c>
      <c r="AI1415" s="531" t="str">
        <f t="shared" ca="1" si="606"/>
        <v/>
      </c>
      <c r="AJ1415" s="531" t="str">
        <f t="shared" si="607"/>
        <v/>
      </c>
      <c r="AK1415" s="540">
        <f>SUMIFS('Live Collections'!$S:$S,'Live Collections'!$D:$D,Disbursements!B1415,'Live Collections'!$G:$G,Disbursements!C1415)</f>
        <v>0</v>
      </c>
      <c r="AL1415" s="540">
        <f>SUMIFS('Live Collections'!$T:$T,'Live Collections'!$D:$D,Disbursements!B1415,'Live Collections'!$G:$G,Disbursements!C1415)</f>
        <v>0</v>
      </c>
      <c r="AM1415" s="541">
        <f t="shared" si="608"/>
        <v>0</v>
      </c>
      <c r="AN1415" s="542" t="str">
        <f t="shared" si="609"/>
        <v/>
      </c>
      <c r="AO1415" s="542" t="str">
        <f t="shared" si="610"/>
        <v/>
      </c>
      <c r="AP1415" s="543" t="str">
        <f t="shared" si="611"/>
        <v/>
      </c>
      <c r="AQ1415" s="544" t="str">
        <f t="shared" si="612"/>
        <v/>
      </c>
      <c r="AR1415" s="545">
        <f t="shared" si="613"/>
        <v>0</v>
      </c>
      <c r="AS1415" s="545">
        <f>IFERROR(CEILING($AR1415*VLOOKUP($I1415,Ref!$B$23:$E$29,4,0),1),0)</f>
        <v>0</v>
      </c>
      <c r="AT1415" s="545" t="str">
        <f>IF(A1415="","",IF(AP1415&lt;=1,"Cleared",IF(AS1415=0,"Clean",VLOOKUP($AS1415,Ref!$G$23:$H$28,2))))</f>
        <v/>
      </c>
      <c r="AU1415" s="546" t="str">
        <f t="shared" si="614"/>
        <v/>
      </c>
    </row>
    <row r="1416" spans="1:47" ht="14.25" hidden="1" customHeight="1" x14ac:dyDescent="0.15">
      <c r="A1416" s="523"/>
      <c r="B1416" s="523"/>
      <c r="C1416" s="523"/>
      <c r="D1416" s="523"/>
      <c r="E1416" s="579"/>
      <c r="F1416" s="580"/>
      <c r="G1416" s="524"/>
      <c r="H1416" s="555"/>
      <c r="I1416" s="560"/>
      <c r="J1416" s="523"/>
      <c r="K1416" s="528" t="str">
        <f>IFERROR(VLOOKUP($B1416,'Clients-Live'!$A:$C,3,0),"")</f>
        <v/>
      </c>
      <c r="L1416" s="528">
        <f>IF(E1416="STL",Pricing!$D$38,IF(A1416="",0,IF(A1416&lt;Pricing!$C$25,Pricing!$D$25,VLOOKUP(Disbursements!$F1416,Pricing!$B$29:$D$32,3))))</f>
        <v>0</v>
      </c>
      <c r="M1416" s="528">
        <f>IF(E1416="STL",0,IF(F1416&gt;0,Pricing!$D$21,0))</f>
        <v>0</v>
      </c>
      <c r="N1416" s="529">
        <f>IF(E1416="STL",F1416*Pricing!$D$40,IF(A1416&lt;=Pricing!$C$4,0,IF(AND(A1416&gt;Pricing!$C$4,Disbursements!A1416&lt;=Pricing!$C$5),F1416*Pricing!$E$5,IF(AND(A1416&gt;Pricing!$C$5,Disbursements!A1416&lt;=Pricing!$C$7),VLOOKUP(F1416,Pricing!$D$7:$E$8,2)*Disbursements!F1416,F1416*Pricing!$E$9))))</f>
        <v>0</v>
      </c>
      <c r="O1416" s="528">
        <f>IF(E1416="STL",0,IF($F1416&gt;0,$F1416*Pricing!$D$17,0))</f>
        <v>0</v>
      </c>
      <c r="P1416" s="530" t="str">
        <f t="shared" si="594"/>
        <v/>
      </c>
      <c r="Q1416" s="531" t="str">
        <f>IF($A1416="","",$G1416/VLOOKUP($I1416,Ref!$B$23:$D$29,2,0))</f>
        <v/>
      </c>
      <c r="R1416" s="530" t="str">
        <f t="shared" si="595"/>
        <v/>
      </c>
      <c r="S1416" s="532" t="str">
        <f t="shared" si="589"/>
        <v/>
      </c>
      <c r="T1416" s="531" t="str">
        <f t="shared" si="596"/>
        <v/>
      </c>
      <c r="U1416" s="533">
        <f t="shared" si="597"/>
        <v>0</v>
      </c>
      <c r="V1416" s="531" t="str">
        <f t="shared" si="598"/>
        <v/>
      </c>
      <c r="W1416" s="531" t="str">
        <f t="shared" si="599"/>
        <v/>
      </c>
      <c r="X1416" s="534" t="str">
        <f t="shared" si="600"/>
        <v/>
      </c>
      <c r="Y1416" s="535" t="str">
        <f>IF($A1416="","",IF($I1416="weekly",$A1416+7,EDATE($A1416,VLOOKUP($I1416,Ref!$B$24:$C$29,2,0))))</f>
        <v/>
      </c>
      <c r="Z1416" s="536" t="str">
        <f t="shared" si="601"/>
        <v/>
      </c>
      <c r="AA1416" s="531">
        <f t="shared" si="602"/>
        <v>0</v>
      </c>
      <c r="AB1416" s="535" t="str">
        <f t="shared" si="590"/>
        <v/>
      </c>
      <c r="AC1416" s="537" t="str">
        <f t="shared" si="591"/>
        <v/>
      </c>
      <c r="AD1416" s="538" t="str">
        <f t="shared" ca="1" si="592"/>
        <v/>
      </c>
      <c r="AE1416" s="537">
        <f t="shared" ca="1" si="593"/>
        <v>0</v>
      </c>
      <c r="AF1416" s="539" t="str">
        <f t="shared" ca="1" si="603"/>
        <v/>
      </c>
      <c r="AG1416" s="531" t="str">
        <f t="shared" ca="1" si="604"/>
        <v/>
      </c>
      <c r="AH1416" s="531" t="str">
        <f t="shared" ca="1" si="605"/>
        <v/>
      </c>
      <c r="AI1416" s="531" t="str">
        <f t="shared" ca="1" si="606"/>
        <v/>
      </c>
      <c r="AJ1416" s="531" t="str">
        <f t="shared" si="607"/>
        <v/>
      </c>
      <c r="AK1416" s="540">
        <f>SUMIFS('Live Collections'!$S:$S,'Live Collections'!$D:$D,Disbursements!B1416,'Live Collections'!$G:$G,Disbursements!C1416)</f>
        <v>0</v>
      </c>
      <c r="AL1416" s="540">
        <f>SUMIFS('Live Collections'!$T:$T,'Live Collections'!$D:$D,Disbursements!B1416,'Live Collections'!$G:$G,Disbursements!C1416)</f>
        <v>0</v>
      </c>
      <c r="AM1416" s="541">
        <f t="shared" si="608"/>
        <v>0</v>
      </c>
      <c r="AN1416" s="542" t="str">
        <f t="shared" si="609"/>
        <v/>
      </c>
      <c r="AO1416" s="542" t="str">
        <f t="shared" si="610"/>
        <v/>
      </c>
      <c r="AP1416" s="543" t="str">
        <f t="shared" si="611"/>
        <v/>
      </c>
      <c r="AQ1416" s="544" t="str">
        <f t="shared" si="612"/>
        <v/>
      </c>
      <c r="AR1416" s="545">
        <f t="shared" si="613"/>
        <v>0</v>
      </c>
      <c r="AS1416" s="545">
        <f>IFERROR(CEILING($AR1416*VLOOKUP($I1416,Ref!$B$23:$E$29,4,0),1),0)</f>
        <v>0</v>
      </c>
      <c r="AT1416" s="545" t="str">
        <f>IF(A1416="","",IF(AP1416&lt;=1,"Cleared",IF(AS1416=0,"Clean",VLOOKUP($AS1416,Ref!$G$23:$H$28,2))))</f>
        <v/>
      </c>
      <c r="AU1416" s="546" t="str">
        <f t="shared" si="614"/>
        <v/>
      </c>
    </row>
    <row r="1417" spans="1:47" ht="14.25" hidden="1" customHeight="1" x14ac:dyDescent="0.15">
      <c r="A1417" s="523"/>
      <c r="B1417" s="523"/>
      <c r="C1417" s="523"/>
      <c r="D1417" s="523"/>
      <c r="E1417" s="579"/>
      <c r="F1417" s="580"/>
      <c r="G1417" s="524"/>
      <c r="H1417" s="555"/>
      <c r="I1417" s="560"/>
      <c r="J1417" s="523"/>
      <c r="K1417" s="528" t="str">
        <f>IFERROR(VLOOKUP($B1417,'Clients-Live'!$A:$C,3,0),"")</f>
        <v/>
      </c>
      <c r="L1417" s="528">
        <f>IF(E1417="STL",Pricing!$D$38,IF(A1417="",0,IF(A1417&lt;Pricing!$C$25,Pricing!$D$25,VLOOKUP(Disbursements!$F1417,Pricing!$B$29:$D$32,3))))</f>
        <v>0</v>
      </c>
      <c r="M1417" s="528">
        <f>IF(E1417="STL",0,IF(F1417&gt;0,Pricing!$D$21,0))</f>
        <v>0</v>
      </c>
      <c r="N1417" s="529">
        <f>IF(E1417="STL",F1417*Pricing!$D$40,IF(A1417&lt;=Pricing!$C$4,0,IF(AND(A1417&gt;Pricing!$C$4,Disbursements!A1417&lt;=Pricing!$C$5),F1417*Pricing!$E$5,IF(AND(A1417&gt;Pricing!$C$5,Disbursements!A1417&lt;=Pricing!$C$7),VLOOKUP(F1417,Pricing!$D$7:$E$8,2)*Disbursements!F1417,F1417*Pricing!$E$9))))</f>
        <v>0</v>
      </c>
      <c r="O1417" s="528">
        <f>IF(E1417="STL",0,IF($F1417&gt;0,$F1417*Pricing!$D$17,0))</f>
        <v>0</v>
      </c>
      <c r="P1417" s="530" t="str">
        <f t="shared" si="594"/>
        <v/>
      </c>
      <c r="Q1417" s="531" t="str">
        <f>IF($A1417="","",$G1417/VLOOKUP($I1417,Ref!$B$23:$D$29,2,0))</f>
        <v/>
      </c>
      <c r="R1417" s="530" t="str">
        <f t="shared" si="595"/>
        <v/>
      </c>
      <c r="S1417" s="532" t="str">
        <f t="shared" si="589"/>
        <v/>
      </c>
      <c r="T1417" s="531" t="str">
        <f t="shared" si="596"/>
        <v/>
      </c>
      <c r="U1417" s="533">
        <f t="shared" si="597"/>
        <v>0</v>
      </c>
      <c r="V1417" s="531" t="str">
        <f t="shared" si="598"/>
        <v/>
      </c>
      <c r="W1417" s="531" t="str">
        <f t="shared" si="599"/>
        <v/>
      </c>
      <c r="X1417" s="534" t="str">
        <f t="shared" si="600"/>
        <v/>
      </c>
      <c r="Y1417" s="535" t="str">
        <f>IF($A1417="","",IF($I1417="weekly",$A1417+7,EDATE($A1417,VLOOKUP($I1417,Ref!$B$24:$C$29,2,0))))</f>
        <v/>
      </c>
      <c r="Z1417" s="536" t="str">
        <f t="shared" si="601"/>
        <v/>
      </c>
      <c r="AA1417" s="531">
        <f t="shared" si="602"/>
        <v>0</v>
      </c>
      <c r="AB1417" s="535" t="str">
        <f t="shared" si="590"/>
        <v/>
      </c>
      <c r="AC1417" s="537" t="str">
        <f t="shared" si="591"/>
        <v/>
      </c>
      <c r="AD1417" s="538" t="str">
        <f t="shared" ca="1" si="592"/>
        <v/>
      </c>
      <c r="AE1417" s="537">
        <f t="shared" ca="1" si="593"/>
        <v>0</v>
      </c>
      <c r="AF1417" s="539" t="str">
        <f t="shared" ca="1" si="603"/>
        <v/>
      </c>
      <c r="AG1417" s="531" t="str">
        <f t="shared" ca="1" si="604"/>
        <v/>
      </c>
      <c r="AH1417" s="531" t="str">
        <f t="shared" ca="1" si="605"/>
        <v/>
      </c>
      <c r="AI1417" s="531" t="str">
        <f t="shared" ca="1" si="606"/>
        <v/>
      </c>
      <c r="AJ1417" s="531" t="str">
        <f t="shared" si="607"/>
        <v/>
      </c>
      <c r="AK1417" s="540">
        <f>SUMIFS('Live Collections'!$S:$S,'Live Collections'!$D:$D,Disbursements!B1417,'Live Collections'!$G:$G,Disbursements!C1417)</f>
        <v>0</v>
      </c>
      <c r="AL1417" s="540">
        <f>SUMIFS('Live Collections'!$T:$T,'Live Collections'!$D:$D,Disbursements!B1417,'Live Collections'!$G:$G,Disbursements!C1417)</f>
        <v>0</v>
      </c>
      <c r="AM1417" s="541">
        <f t="shared" si="608"/>
        <v>0</v>
      </c>
      <c r="AN1417" s="542" t="str">
        <f t="shared" si="609"/>
        <v/>
      </c>
      <c r="AO1417" s="542" t="str">
        <f t="shared" si="610"/>
        <v/>
      </c>
      <c r="AP1417" s="543" t="str">
        <f t="shared" si="611"/>
        <v/>
      </c>
      <c r="AQ1417" s="544" t="str">
        <f t="shared" si="612"/>
        <v/>
      </c>
      <c r="AR1417" s="545">
        <f t="shared" si="613"/>
        <v>0</v>
      </c>
      <c r="AS1417" s="545">
        <f>IFERROR(CEILING($AR1417*VLOOKUP($I1417,Ref!$B$23:$E$29,4,0),1),0)</f>
        <v>0</v>
      </c>
      <c r="AT1417" s="545" t="str">
        <f>IF(A1417="","",IF(AP1417&lt;=1,"Cleared",IF(AS1417=0,"Clean",VLOOKUP($AS1417,Ref!$G$23:$H$28,2))))</f>
        <v/>
      </c>
      <c r="AU1417" s="546" t="str">
        <f t="shared" si="614"/>
        <v/>
      </c>
    </row>
    <row r="1418" spans="1:47" ht="14.25" hidden="1" customHeight="1" x14ac:dyDescent="0.15">
      <c r="A1418" s="523"/>
      <c r="B1418" s="523"/>
      <c r="C1418" s="523"/>
      <c r="D1418" s="523"/>
      <c r="E1418" s="579"/>
      <c r="F1418" s="580"/>
      <c r="G1418" s="524"/>
      <c r="H1418" s="555"/>
      <c r="I1418" s="560"/>
      <c r="J1418" s="523"/>
      <c r="K1418" s="528" t="str">
        <f>IFERROR(VLOOKUP($B1418,'Clients-Live'!$A:$C,3,0),"")</f>
        <v/>
      </c>
      <c r="L1418" s="528">
        <f>IF(E1418="STL",Pricing!$D$38,IF(A1418="",0,IF(A1418&lt;Pricing!$C$25,Pricing!$D$25,VLOOKUP(Disbursements!$F1418,Pricing!$B$29:$D$32,3))))</f>
        <v>0</v>
      </c>
      <c r="M1418" s="528">
        <f>IF(E1418="STL",0,IF(F1418&gt;0,Pricing!$D$21,0))</f>
        <v>0</v>
      </c>
      <c r="N1418" s="529">
        <f>IF(E1418="STL",F1418*Pricing!$D$40,IF(A1418&lt;=Pricing!$C$4,0,IF(AND(A1418&gt;Pricing!$C$4,Disbursements!A1418&lt;=Pricing!$C$5),F1418*Pricing!$E$5,IF(AND(A1418&gt;Pricing!$C$5,Disbursements!A1418&lt;=Pricing!$C$7),VLOOKUP(F1418,Pricing!$D$7:$E$8,2)*Disbursements!F1418,F1418*Pricing!$E$9))))</f>
        <v>0</v>
      </c>
      <c r="O1418" s="528">
        <f>IF(E1418="STL",0,IF($F1418&gt;0,$F1418*Pricing!$D$17,0))</f>
        <v>0</v>
      </c>
      <c r="P1418" s="530" t="str">
        <f t="shared" si="594"/>
        <v/>
      </c>
      <c r="Q1418" s="531" t="str">
        <f>IF($A1418="","",$G1418/VLOOKUP($I1418,Ref!$B$23:$D$29,2,0))</f>
        <v/>
      </c>
      <c r="R1418" s="530" t="str">
        <f t="shared" si="595"/>
        <v/>
      </c>
      <c r="S1418" s="532" t="str">
        <f t="shared" si="589"/>
        <v/>
      </c>
      <c r="T1418" s="531" t="str">
        <f t="shared" si="596"/>
        <v/>
      </c>
      <c r="U1418" s="533">
        <f t="shared" si="597"/>
        <v>0</v>
      </c>
      <c r="V1418" s="531" t="str">
        <f t="shared" si="598"/>
        <v/>
      </c>
      <c r="W1418" s="531" t="str">
        <f t="shared" si="599"/>
        <v/>
      </c>
      <c r="X1418" s="534" t="str">
        <f t="shared" si="600"/>
        <v/>
      </c>
      <c r="Y1418" s="535" t="str">
        <f>IF($A1418="","",IF($I1418="weekly",$A1418+7,EDATE($A1418,VLOOKUP($I1418,Ref!$B$24:$C$29,2,0))))</f>
        <v/>
      </c>
      <c r="Z1418" s="536" t="str">
        <f t="shared" si="601"/>
        <v/>
      </c>
      <c r="AA1418" s="531">
        <f t="shared" si="602"/>
        <v>0</v>
      </c>
      <c r="AB1418" s="535" t="str">
        <f t="shared" si="590"/>
        <v/>
      </c>
      <c r="AC1418" s="537" t="str">
        <f t="shared" si="591"/>
        <v/>
      </c>
      <c r="AD1418" s="538" t="str">
        <f t="shared" ca="1" si="592"/>
        <v/>
      </c>
      <c r="AE1418" s="537">
        <f t="shared" ca="1" si="593"/>
        <v>0</v>
      </c>
      <c r="AF1418" s="539" t="str">
        <f t="shared" ca="1" si="603"/>
        <v/>
      </c>
      <c r="AG1418" s="531" t="str">
        <f t="shared" ca="1" si="604"/>
        <v/>
      </c>
      <c r="AH1418" s="531" t="str">
        <f t="shared" ca="1" si="605"/>
        <v/>
      </c>
      <c r="AI1418" s="531" t="str">
        <f t="shared" ca="1" si="606"/>
        <v/>
      </c>
      <c r="AJ1418" s="531" t="str">
        <f t="shared" si="607"/>
        <v/>
      </c>
      <c r="AK1418" s="540">
        <f>SUMIFS('Live Collections'!$S:$S,'Live Collections'!$D:$D,Disbursements!B1418,'Live Collections'!$G:$G,Disbursements!C1418)</f>
        <v>0</v>
      </c>
      <c r="AL1418" s="540">
        <f>SUMIFS('Live Collections'!$T:$T,'Live Collections'!$D:$D,Disbursements!B1418,'Live Collections'!$G:$G,Disbursements!C1418)</f>
        <v>0</v>
      </c>
      <c r="AM1418" s="541">
        <f t="shared" si="608"/>
        <v>0</v>
      </c>
      <c r="AN1418" s="542" t="str">
        <f t="shared" si="609"/>
        <v/>
      </c>
      <c r="AO1418" s="542" t="str">
        <f t="shared" si="610"/>
        <v/>
      </c>
      <c r="AP1418" s="543" t="str">
        <f t="shared" si="611"/>
        <v/>
      </c>
      <c r="AQ1418" s="544" t="str">
        <f t="shared" si="612"/>
        <v/>
      </c>
      <c r="AR1418" s="545">
        <f t="shared" si="613"/>
        <v>0</v>
      </c>
      <c r="AS1418" s="545">
        <f>IFERROR(CEILING($AR1418*VLOOKUP($I1418,Ref!$B$23:$E$29,4,0),1),0)</f>
        <v>0</v>
      </c>
      <c r="AT1418" s="545" t="str">
        <f>IF(A1418="","",IF(AP1418&lt;=1,"Cleared",IF(AS1418=0,"Clean",VLOOKUP($AS1418,Ref!$G$23:$H$28,2))))</f>
        <v/>
      </c>
      <c r="AU1418" s="546" t="str">
        <f t="shared" si="614"/>
        <v/>
      </c>
    </row>
    <row r="1419" spans="1:47" ht="14.25" hidden="1" customHeight="1" x14ac:dyDescent="0.15">
      <c r="A1419" s="523"/>
      <c r="B1419" s="523"/>
      <c r="C1419" s="523"/>
      <c r="D1419" s="523"/>
      <c r="E1419" s="579"/>
      <c r="F1419" s="580"/>
      <c r="G1419" s="524"/>
      <c r="H1419" s="555"/>
      <c r="I1419" s="560"/>
      <c r="J1419" s="523"/>
      <c r="K1419" s="528" t="str">
        <f>IFERROR(VLOOKUP($B1419,'Clients-Live'!$A:$C,3,0),"")</f>
        <v/>
      </c>
      <c r="L1419" s="528">
        <f>IF(E1419="STL",Pricing!$D$38,IF(A1419="",0,IF(A1419&lt;Pricing!$C$25,Pricing!$D$25,VLOOKUP(Disbursements!$F1419,Pricing!$B$29:$D$32,3))))</f>
        <v>0</v>
      </c>
      <c r="M1419" s="528">
        <f>IF(E1419="STL",0,IF(F1419&gt;0,Pricing!$D$21,0))</f>
        <v>0</v>
      </c>
      <c r="N1419" s="529">
        <f>IF(E1419="STL",F1419*Pricing!$D$40,IF(A1419&lt;=Pricing!$C$4,0,IF(AND(A1419&gt;Pricing!$C$4,Disbursements!A1419&lt;=Pricing!$C$5),F1419*Pricing!$E$5,IF(AND(A1419&gt;Pricing!$C$5,Disbursements!A1419&lt;=Pricing!$C$7),VLOOKUP(F1419,Pricing!$D$7:$E$8,2)*Disbursements!F1419,F1419*Pricing!$E$9))))</f>
        <v>0</v>
      </c>
      <c r="O1419" s="528">
        <f>IF(E1419="STL",0,IF($F1419&gt;0,$F1419*Pricing!$D$17,0))</f>
        <v>0</v>
      </c>
      <c r="P1419" s="530" t="str">
        <f t="shared" si="594"/>
        <v/>
      </c>
      <c r="Q1419" s="531" t="str">
        <f>IF($A1419="","",$G1419/VLOOKUP($I1419,Ref!$B$23:$D$29,2,0))</f>
        <v/>
      </c>
      <c r="R1419" s="530" t="str">
        <f t="shared" si="595"/>
        <v/>
      </c>
      <c r="S1419" s="532" t="str">
        <f t="shared" si="589"/>
        <v/>
      </c>
      <c r="T1419" s="531" t="str">
        <f t="shared" si="596"/>
        <v/>
      </c>
      <c r="U1419" s="533">
        <f t="shared" si="597"/>
        <v>0</v>
      </c>
      <c r="V1419" s="531" t="str">
        <f t="shared" si="598"/>
        <v/>
      </c>
      <c r="W1419" s="531" t="str">
        <f t="shared" si="599"/>
        <v/>
      </c>
      <c r="X1419" s="534" t="str">
        <f t="shared" si="600"/>
        <v/>
      </c>
      <c r="Y1419" s="535" t="str">
        <f>IF($A1419="","",IF($I1419="weekly",$A1419+7,EDATE($A1419,VLOOKUP($I1419,Ref!$B$24:$C$29,2,0))))</f>
        <v/>
      </c>
      <c r="Z1419" s="536" t="str">
        <f t="shared" si="601"/>
        <v/>
      </c>
      <c r="AA1419" s="531">
        <f t="shared" si="602"/>
        <v>0</v>
      </c>
      <c r="AB1419" s="535" t="str">
        <f t="shared" si="590"/>
        <v/>
      </c>
      <c r="AC1419" s="537" t="str">
        <f t="shared" si="591"/>
        <v/>
      </c>
      <c r="AD1419" s="538" t="str">
        <f t="shared" ca="1" si="592"/>
        <v/>
      </c>
      <c r="AE1419" s="537">
        <f t="shared" ca="1" si="593"/>
        <v>0</v>
      </c>
      <c r="AF1419" s="539" t="str">
        <f t="shared" ca="1" si="603"/>
        <v/>
      </c>
      <c r="AG1419" s="531" t="str">
        <f t="shared" ca="1" si="604"/>
        <v/>
      </c>
      <c r="AH1419" s="531" t="str">
        <f t="shared" ca="1" si="605"/>
        <v/>
      </c>
      <c r="AI1419" s="531" t="str">
        <f t="shared" ca="1" si="606"/>
        <v/>
      </c>
      <c r="AJ1419" s="531" t="str">
        <f t="shared" si="607"/>
        <v/>
      </c>
      <c r="AK1419" s="540">
        <f>SUMIFS('Live Collections'!$S:$S,'Live Collections'!$D:$D,Disbursements!B1419,'Live Collections'!$G:$G,Disbursements!C1419)</f>
        <v>0</v>
      </c>
      <c r="AL1419" s="540">
        <f>SUMIFS('Live Collections'!$T:$T,'Live Collections'!$D:$D,Disbursements!B1419,'Live Collections'!$G:$G,Disbursements!C1419)</f>
        <v>0</v>
      </c>
      <c r="AM1419" s="541">
        <f t="shared" si="608"/>
        <v>0</v>
      </c>
      <c r="AN1419" s="542" t="str">
        <f t="shared" si="609"/>
        <v/>
      </c>
      <c r="AO1419" s="542" t="str">
        <f t="shared" si="610"/>
        <v/>
      </c>
      <c r="AP1419" s="543" t="str">
        <f t="shared" si="611"/>
        <v/>
      </c>
      <c r="AQ1419" s="544" t="str">
        <f t="shared" si="612"/>
        <v/>
      </c>
      <c r="AR1419" s="545">
        <f t="shared" si="613"/>
        <v>0</v>
      </c>
      <c r="AS1419" s="545">
        <f>IFERROR(CEILING($AR1419*VLOOKUP($I1419,Ref!$B$23:$E$29,4,0),1),0)</f>
        <v>0</v>
      </c>
      <c r="AT1419" s="545" t="str">
        <f>IF(A1419="","",IF(AP1419&lt;=1,"Cleared",IF(AS1419=0,"Clean",VLOOKUP($AS1419,Ref!$G$23:$H$28,2))))</f>
        <v/>
      </c>
      <c r="AU1419" s="546" t="str">
        <f t="shared" si="614"/>
        <v/>
      </c>
    </row>
    <row r="1420" spans="1:47" ht="14.25" hidden="1" customHeight="1" x14ac:dyDescent="0.15">
      <c r="A1420" s="523"/>
      <c r="B1420" s="523"/>
      <c r="C1420" s="523"/>
      <c r="D1420" s="523"/>
      <c r="E1420" s="579"/>
      <c r="F1420" s="580"/>
      <c r="G1420" s="524"/>
      <c r="H1420" s="555"/>
      <c r="I1420" s="560"/>
      <c r="J1420" s="523"/>
      <c r="K1420" s="528" t="str">
        <f>IFERROR(VLOOKUP($B1420,'Clients-Live'!$A:$C,3,0),"")</f>
        <v/>
      </c>
      <c r="L1420" s="528">
        <f>IF(E1420="STL",Pricing!$D$38,IF(A1420="",0,IF(A1420&lt;Pricing!$C$25,Pricing!$D$25,VLOOKUP(Disbursements!$F1420,Pricing!$B$29:$D$32,3))))</f>
        <v>0</v>
      </c>
      <c r="M1420" s="528">
        <f>IF(E1420="STL",0,IF(F1420&gt;0,Pricing!$D$21,0))</f>
        <v>0</v>
      </c>
      <c r="N1420" s="529">
        <f>IF(E1420="STL",F1420*Pricing!$D$40,IF(A1420&lt;=Pricing!$C$4,0,IF(AND(A1420&gt;Pricing!$C$4,Disbursements!A1420&lt;=Pricing!$C$5),F1420*Pricing!$E$5,IF(AND(A1420&gt;Pricing!$C$5,Disbursements!A1420&lt;=Pricing!$C$7),VLOOKUP(F1420,Pricing!$D$7:$E$8,2)*Disbursements!F1420,F1420*Pricing!$E$9))))</f>
        <v>0</v>
      </c>
      <c r="O1420" s="528">
        <f>IF(E1420="STL",0,IF($F1420&gt;0,$F1420*Pricing!$D$17,0))</f>
        <v>0</v>
      </c>
      <c r="P1420" s="530" t="str">
        <f t="shared" si="594"/>
        <v/>
      </c>
      <c r="Q1420" s="531" t="str">
        <f>IF($A1420="","",$G1420/VLOOKUP($I1420,Ref!$B$23:$D$29,2,0))</f>
        <v/>
      </c>
      <c r="R1420" s="530" t="str">
        <f t="shared" si="595"/>
        <v/>
      </c>
      <c r="S1420" s="532" t="str">
        <f t="shared" si="589"/>
        <v/>
      </c>
      <c r="T1420" s="531" t="str">
        <f t="shared" si="596"/>
        <v/>
      </c>
      <c r="U1420" s="533">
        <f t="shared" si="597"/>
        <v>0</v>
      </c>
      <c r="V1420" s="531" t="str">
        <f t="shared" si="598"/>
        <v/>
      </c>
      <c r="W1420" s="531" t="str">
        <f t="shared" si="599"/>
        <v/>
      </c>
      <c r="X1420" s="534" t="str">
        <f t="shared" si="600"/>
        <v/>
      </c>
      <c r="Y1420" s="535" t="str">
        <f>IF($A1420="","",IF($I1420="weekly",$A1420+7,EDATE($A1420,VLOOKUP($I1420,Ref!$B$24:$C$29,2,0))))</f>
        <v/>
      </c>
      <c r="Z1420" s="536" t="str">
        <f t="shared" si="601"/>
        <v/>
      </c>
      <c r="AA1420" s="531">
        <f t="shared" si="602"/>
        <v>0</v>
      </c>
      <c r="AB1420" s="535" t="str">
        <f t="shared" si="590"/>
        <v/>
      </c>
      <c r="AC1420" s="537" t="str">
        <f t="shared" si="591"/>
        <v/>
      </c>
      <c r="AD1420" s="538" t="str">
        <f t="shared" ca="1" si="592"/>
        <v/>
      </c>
      <c r="AE1420" s="537">
        <f t="shared" ca="1" si="593"/>
        <v>0</v>
      </c>
      <c r="AF1420" s="539" t="str">
        <f t="shared" ca="1" si="603"/>
        <v/>
      </c>
      <c r="AG1420" s="531" t="str">
        <f t="shared" ca="1" si="604"/>
        <v/>
      </c>
      <c r="AH1420" s="531" t="str">
        <f t="shared" ca="1" si="605"/>
        <v/>
      </c>
      <c r="AI1420" s="531" t="str">
        <f t="shared" ca="1" si="606"/>
        <v/>
      </c>
      <c r="AJ1420" s="531" t="str">
        <f t="shared" si="607"/>
        <v/>
      </c>
      <c r="AK1420" s="540">
        <f>SUMIFS('Live Collections'!$S:$S,'Live Collections'!$D:$D,Disbursements!B1420,'Live Collections'!$G:$G,Disbursements!C1420)</f>
        <v>0</v>
      </c>
      <c r="AL1420" s="540">
        <f>SUMIFS('Live Collections'!$T:$T,'Live Collections'!$D:$D,Disbursements!B1420,'Live Collections'!$G:$G,Disbursements!C1420)</f>
        <v>0</v>
      </c>
      <c r="AM1420" s="541">
        <f t="shared" si="608"/>
        <v>0</v>
      </c>
      <c r="AN1420" s="542" t="str">
        <f t="shared" si="609"/>
        <v/>
      </c>
      <c r="AO1420" s="542" t="str">
        <f t="shared" si="610"/>
        <v/>
      </c>
      <c r="AP1420" s="543" t="str">
        <f t="shared" si="611"/>
        <v/>
      </c>
      <c r="AQ1420" s="544" t="str">
        <f t="shared" si="612"/>
        <v/>
      </c>
      <c r="AR1420" s="545">
        <f t="shared" si="613"/>
        <v>0</v>
      </c>
      <c r="AS1420" s="545">
        <f>IFERROR(CEILING($AR1420*VLOOKUP($I1420,Ref!$B$23:$E$29,4,0),1),0)</f>
        <v>0</v>
      </c>
      <c r="AT1420" s="545" t="str">
        <f>IF(A1420="","",IF(AP1420&lt;=1,"Cleared",IF(AS1420=0,"Clean",VLOOKUP($AS1420,Ref!$G$23:$H$28,2))))</f>
        <v/>
      </c>
      <c r="AU1420" s="546" t="str">
        <f t="shared" si="614"/>
        <v/>
      </c>
    </row>
    <row r="1421" spans="1:47" ht="14.25" hidden="1" customHeight="1" x14ac:dyDescent="0.15">
      <c r="A1421" s="523"/>
      <c r="B1421" s="523"/>
      <c r="C1421" s="523"/>
      <c r="D1421" s="523"/>
      <c r="E1421" s="579"/>
      <c r="F1421" s="580"/>
      <c r="G1421" s="524"/>
      <c r="H1421" s="555"/>
      <c r="I1421" s="560"/>
      <c r="J1421" s="523"/>
      <c r="K1421" s="528" t="str">
        <f>IFERROR(VLOOKUP($B1421,'Clients-Live'!$A:$C,3,0),"")</f>
        <v/>
      </c>
      <c r="L1421" s="528">
        <f>IF(E1421="STL",Pricing!$D$38,IF(A1421="",0,IF(A1421&lt;Pricing!$C$25,Pricing!$D$25,VLOOKUP(Disbursements!$F1421,Pricing!$B$29:$D$32,3))))</f>
        <v>0</v>
      </c>
      <c r="M1421" s="528">
        <f>IF(E1421="STL",0,IF(F1421&gt;0,Pricing!$D$21,0))</f>
        <v>0</v>
      </c>
      <c r="N1421" s="529">
        <f>IF(E1421="STL",F1421*Pricing!$D$40,IF(A1421&lt;=Pricing!$C$4,0,IF(AND(A1421&gt;Pricing!$C$4,Disbursements!A1421&lt;=Pricing!$C$5),F1421*Pricing!$E$5,IF(AND(A1421&gt;Pricing!$C$5,Disbursements!A1421&lt;=Pricing!$C$7),VLOOKUP(F1421,Pricing!$D$7:$E$8,2)*Disbursements!F1421,F1421*Pricing!$E$9))))</f>
        <v>0</v>
      </c>
      <c r="O1421" s="528">
        <f>IF(E1421="STL",0,IF($F1421&gt;0,$F1421*Pricing!$D$17,0))</f>
        <v>0</v>
      </c>
      <c r="P1421" s="530" t="str">
        <f t="shared" si="594"/>
        <v/>
      </c>
      <c r="Q1421" s="531" t="str">
        <f>IF($A1421="","",$G1421/VLOOKUP($I1421,Ref!$B$23:$D$29,2,0))</f>
        <v/>
      </c>
      <c r="R1421" s="530" t="str">
        <f t="shared" si="595"/>
        <v/>
      </c>
      <c r="S1421" s="532" t="str">
        <f t="shared" si="589"/>
        <v/>
      </c>
      <c r="T1421" s="531" t="str">
        <f t="shared" si="596"/>
        <v/>
      </c>
      <c r="U1421" s="533">
        <f t="shared" si="597"/>
        <v>0</v>
      </c>
      <c r="V1421" s="531" t="str">
        <f t="shared" si="598"/>
        <v/>
      </c>
      <c r="W1421" s="531" t="str">
        <f t="shared" si="599"/>
        <v/>
      </c>
      <c r="X1421" s="534" t="str">
        <f t="shared" si="600"/>
        <v/>
      </c>
      <c r="Y1421" s="535" t="str">
        <f>IF($A1421="","",IF($I1421="weekly",$A1421+7,EDATE($A1421,VLOOKUP($I1421,Ref!$B$24:$C$29,2,0))))</f>
        <v/>
      </c>
      <c r="Z1421" s="536" t="str">
        <f t="shared" si="601"/>
        <v/>
      </c>
      <c r="AA1421" s="531">
        <f t="shared" si="602"/>
        <v>0</v>
      </c>
      <c r="AB1421" s="535" t="str">
        <f t="shared" si="590"/>
        <v/>
      </c>
      <c r="AC1421" s="537" t="str">
        <f t="shared" si="591"/>
        <v/>
      </c>
      <c r="AD1421" s="538" t="str">
        <f t="shared" ca="1" si="592"/>
        <v/>
      </c>
      <c r="AE1421" s="537">
        <f t="shared" ca="1" si="593"/>
        <v>0</v>
      </c>
      <c r="AF1421" s="539" t="str">
        <f t="shared" ca="1" si="603"/>
        <v/>
      </c>
      <c r="AG1421" s="531" t="str">
        <f t="shared" ca="1" si="604"/>
        <v/>
      </c>
      <c r="AH1421" s="531" t="str">
        <f t="shared" ca="1" si="605"/>
        <v/>
      </c>
      <c r="AI1421" s="531" t="str">
        <f t="shared" ca="1" si="606"/>
        <v/>
      </c>
      <c r="AJ1421" s="531" t="str">
        <f t="shared" si="607"/>
        <v/>
      </c>
      <c r="AK1421" s="540">
        <f>SUMIFS('Live Collections'!$S:$S,'Live Collections'!$D:$D,Disbursements!B1421,'Live Collections'!$G:$G,Disbursements!C1421)</f>
        <v>0</v>
      </c>
      <c r="AL1421" s="540">
        <f>SUMIFS('Live Collections'!$T:$T,'Live Collections'!$D:$D,Disbursements!B1421,'Live Collections'!$G:$G,Disbursements!C1421)</f>
        <v>0</v>
      </c>
      <c r="AM1421" s="541">
        <f t="shared" si="608"/>
        <v>0</v>
      </c>
      <c r="AN1421" s="542" t="str">
        <f t="shared" si="609"/>
        <v/>
      </c>
      <c r="AO1421" s="542" t="str">
        <f t="shared" si="610"/>
        <v/>
      </c>
      <c r="AP1421" s="543" t="str">
        <f t="shared" si="611"/>
        <v/>
      </c>
      <c r="AQ1421" s="544" t="str">
        <f t="shared" si="612"/>
        <v/>
      </c>
      <c r="AR1421" s="545">
        <f t="shared" si="613"/>
        <v>0</v>
      </c>
      <c r="AS1421" s="545">
        <f>IFERROR(CEILING($AR1421*VLOOKUP($I1421,Ref!$B$23:$E$29,4,0),1),0)</f>
        <v>0</v>
      </c>
      <c r="AT1421" s="545" t="str">
        <f>IF(A1421="","",IF(AP1421&lt;=1,"Cleared",IF(AS1421=0,"Clean",VLOOKUP($AS1421,Ref!$G$23:$H$28,2))))</f>
        <v/>
      </c>
      <c r="AU1421" s="546" t="str">
        <f t="shared" si="614"/>
        <v/>
      </c>
    </row>
    <row r="1422" spans="1:47" ht="14.25" hidden="1" customHeight="1" x14ac:dyDescent="0.15">
      <c r="A1422" s="523"/>
      <c r="B1422" s="523"/>
      <c r="C1422" s="523"/>
      <c r="D1422" s="523"/>
      <c r="E1422" s="579"/>
      <c r="F1422" s="580"/>
      <c r="G1422" s="524"/>
      <c r="H1422" s="555"/>
      <c r="I1422" s="560"/>
      <c r="J1422" s="523"/>
      <c r="K1422" s="528" t="str">
        <f>IFERROR(VLOOKUP($B1422,'Clients-Live'!$A:$C,3,0),"")</f>
        <v/>
      </c>
      <c r="L1422" s="528">
        <f>IF(E1422="STL",Pricing!$D$38,IF(A1422="",0,IF(A1422&lt;Pricing!$C$25,Pricing!$D$25,VLOOKUP(Disbursements!$F1422,Pricing!$B$29:$D$32,3))))</f>
        <v>0</v>
      </c>
      <c r="M1422" s="528">
        <f>IF(E1422="STL",0,IF(F1422&gt;0,Pricing!$D$21,0))</f>
        <v>0</v>
      </c>
      <c r="N1422" s="529">
        <f>IF(E1422="STL",F1422*Pricing!$D$40,IF(A1422&lt;=Pricing!$C$4,0,IF(AND(A1422&gt;Pricing!$C$4,Disbursements!A1422&lt;=Pricing!$C$5),F1422*Pricing!$E$5,IF(AND(A1422&gt;Pricing!$C$5,Disbursements!A1422&lt;=Pricing!$C$7),VLOOKUP(F1422,Pricing!$D$7:$E$8,2)*Disbursements!F1422,F1422*Pricing!$E$9))))</f>
        <v>0</v>
      </c>
      <c r="O1422" s="528">
        <f>IF(E1422="STL",0,IF($F1422&gt;0,$F1422*Pricing!$D$17,0))</f>
        <v>0</v>
      </c>
      <c r="P1422" s="530" t="str">
        <f t="shared" si="594"/>
        <v/>
      </c>
      <c r="Q1422" s="531" t="str">
        <f>IF($A1422="","",$G1422/VLOOKUP($I1422,Ref!$B$23:$D$29,2,0))</f>
        <v/>
      </c>
      <c r="R1422" s="530" t="str">
        <f t="shared" si="595"/>
        <v/>
      </c>
      <c r="S1422" s="532" t="str">
        <f t="shared" si="589"/>
        <v/>
      </c>
      <c r="T1422" s="531" t="str">
        <f t="shared" si="596"/>
        <v/>
      </c>
      <c r="U1422" s="533">
        <f t="shared" si="597"/>
        <v>0</v>
      </c>
      <c r="V1422" s="531" t="str">
        <f t="shared" si="598"/>
        <v/>
      </c>
      <c r="W1422" s="531" t="str">
        <f t="shared" si="599"/>
        <v/>
      </c>
      <c r="X1422" s="534" t="str">
        <f t="shared" si="600"/>
        <v/>
      </c>
      <c r="Y1422" s="535" t="str">
        <f>IF($A1422="","",IF($I1422="weekly",$A1422+7,EDATE($A1422,VLOOKUP($I1422,Ref!$B$24:$C$29,2,0))))</f>
        <v/>
      </c>
      <c r="Z1422" s="536" t="str">
        <f t="shared" si="601"/>
        <v/>
      </c>
      <c r="AA1422" s="531">
        <f t="shared" si="602"/>
        <v>0</v>
      </c>
      <c r="AB1422" s="535" t="str">
        <f t="shared" si="590"/>
        <v/>
      </c>
      <c r="AC1422" s="537" t="str">
        <f t="shared" si="591"/>
        <v/>
      </c>
      <c r="AD1422" s="538" t="str">
        <f t="shared" ca="1" si="592"/>
        <v/>
      </c>
      <c r="AE1422" s="537">
        <f t="shared" ca="1" si="593"/>
        <v>0</v>
      </c>
      <c r="AF1422" s="539" t="str">
        <f t="shared" ca="1" si="603"/>
        <v/>
      </c>
      <c r="AG1422" s="531" t="str">
        <f t="shared" ca="1" si="604"/>
        <v/>
      </c>
      <c r="AH1422" s="531" t="str">
        <f t="shared" ca="1" si="605"/>
        <v/>
      </c>
      <c r="AI1422" s="531" t="str">
        <f t="shared" ca="1" si="606"/>
        <v/>
      </c>
      <c r="AJ1422" s="531" t="str">
        <f t="shared" si="607"/>
        <v/>
      </c>
      <c r="AK1422" s="540">
        <f>SUMIFS('Live Collections'!$S:$S,'Live Collections'!$D:$D,Disbursements!B1422,'Live Collections'!$G:$G,Disbursements!C1422)</f>
        <v>0</v>
      </c>
      <c r="AL1422" s="540">
        <f>SUMIFS('Live Collections'!$T:$T,'Live Collections'!$D:$D,Disbursements!B1422,'Live Collections'!$G:$G,Disbursements!C1422)</f>
        <v>0</v>
      </c>
      <c r="AM1422" s="541">
        <f t="shared" si="608"/>
        <v>0</v>
      </c>
      <c r="AN1422" s="542" t="str">
        <f t="shared" si="609"/>
        <v/>
      </c>
      <c r="AO1422" s="542" t="str">
        <f t="shared" si="610"/>
        <v/>
      </c>
      <c r="AP1422" s="543" t="str">
        <f t="shared" si="611"/>
        <v/>
      </c>
      <c r="AQ1422" s="544" t="str">
        <f t="shared" si="612"/>
        <v/>
      </c>
      <c r="AR1422" s="545">
        <f t="shared" si="613"/>
        <v>0</v>
      </c>
      <c r="AS1422" s="545">
        <f>IFERROR(CEILING($AR1422*VLOOKUP($I1422,Ref!$B$23:$E$29,4,0),1),0)</f>
        <v>0</v>
      </c>
      <c r="AT1422" s="545" t="str">
        <f>IF(A1422="","",IF(AP1422&lt;=1,"Cleared",IF(AS1422=0,"Clean",VLOOKUP($AS1422,Ref!$G$23:$H$28,2))))</f>
        <v/>
      </c>
      <c r="AU1422" s="546" t="str">
        <f t="shared" si="614"/>
        <v/>
      </c>
    </row>
    <row r="1423" spans="1:47" ht="14.25" hidden="1" customHeight="1" x14ac:dyDescent="0.15">
      <c r="A1423" s="523"/>
      <c r="B1423" s="523"/>
      <c r="C1423" s="523"/>
      <c r="D1423" s="523"/>
      <c r="E1423" s="579"/>
      <c r="F1423" s="580"/>
      <c r="G1423" s="524"/>
      <c r="H1423" s="555"/>
      <c r="I1423" s="560"/>
      <c r="J1423" s="523"/>
      <c r="K1423" s="528" t="str">
        <f>IFERROR(VLOOKUP($B1423,'Clients-Live'!$A:$C,3,0),"")</f>
        <v/>
      </c>
      <c r="L1423" s="528">
        <f>IF(E1423="STL",Pricing!$D$38,IF(A1423="",0,IF(A1423&lt;Pricing!$C$25,Pricing!$D$25,VLOOKUP(Disbursements!$F1423,Pricing!$B$29:$D$32,3))))</f>
        <v>0</v>
      </c>
      <c r="M1423" s="528">
        <f>IF(E1423="STL",0,IF(F1423&gt;0,Pricing!$D$21,0))</f>
        <v>0</v>
      </c>
      <c r="N1423" s="529">
        <f>IF(E1423="STL",F1423*Pricing!$D$40,IF(A1423&lt;=Pricing!$C$4,0,IF(AND(A1423&gt;Pricing!$C$4,Disbursements!A1423&lt;=Pricing!$C$5),F1423*Pricing!$E$5,IF(AND(A1423&gt;Pricing!$C$5,Disbursements!A1423&lt;=Pricing!$C$7),VLOOKUP(F1423,Pricing!$D$7:$E$8,2)*Disbursements!F1423,F1423*Pricing!$E$9))))</f>
        <v>0</v>
      </c>
      <c r="O1423" s="528">
        <f>IF(E1423="STL",0,IF($F1423&gt;0,$F1423*Pricing!$D$17,0))</f>
        <v>0</v>
      </c>
      <c r="P1423" s="530" t="str">
        <f t="shared" si="594"/>
        <v/>
      </c>
      <c r="Q1423" s="531" t="str">
        <f>IF($A1423="","",$G1423/VLOOKUP($I1423,Ref!$B$23:$D$29,2,0))</f>
        <v/>
      </c>
      <c r="R1423" s="530" t="str">
        <f t="shared" si="595"/>
        <v/>
      </c>
      <c r="S1423" s="532" t="str">
        <f t="shared" si="589"/>
        <v/>
      </c>
      <c r="T1423" s="531" t="str">
        <f t="shared" si="596"/>
        <v/>
      </c>
      <c r="U1423" s="533">
        <f t="shared" si="597"/>
        <v>0</v>
      </c>
      <c r="V1423" s="531" t="str">
        <f t="shared" si="598"/>
        <v/>
      </c>
      <c r="W1423" s="531" t="str">
        <f t="shared" si="599"/>
        <v/>
      </c>
      <c r="X1423" s="534" t="str">
        <f t="shared" si="600"/>
        <v/>
      </c>
      <c r="Y1423" s="535" t="str">
        <f>IF($A1423="","",IF($I1423="weekly",$A1423+7,EDATE($A1423,VLOOKUP($I1423,Ref!$B$24:$C$29,2,0))))</f>
        <v/>
      </c>
      <c r="Z1423" s="536" t="str">
        <f t="shared" si="601"/>
        <v/>
      </c>
      <c r="AA1423" s="531">
        <f t="shared" si="602"/>
        <v>0</v>
      </c>
      <c r="AB1423" s="535" t="str">
        <f t="shared" si="590"/>
        <v/>
      </c>
      <c r="AC1423" s="537" t="str">
        <f t="shared" si="591"/>
        <v/>
      </c>
      <c r="AD1423" s="538" t="str">
        <f t="shared" ca="1" si="592"/>
        <v/>
      </c>
      <c r="AE1423" s="537">
        <f t="shared" ca="1" si="593"/>
        <v>0</v>
      </c>
      <c r="AF1423" s="539" t="str">
        <f t="shared" ca="1" si="603"/>
        <v/>
      </c>
      <c r="AG1423" s="531" t="str">
        <f t="shared" ca="1" si="604"/>
        <v/>
      </c>
      <c r="AH1423" s="531" t="str">
        <f t="shared" ca="1" si="605"/>
        <v/>
      </c>
      <c r="AI1423" s="531" t="str">
        <f t="shared" ca="1" si="606"/>
        <v/>
      </c>
      <c r="AJ1423" s="531" t="str">
        <f t="shared" si="607"/>
        <v/>
      </c>
      <c r="AK1423" s="540">
        <f>SUMIFS('Live Collections'!$S:$S,'Live Collections'!$D:$D,Disbursements!B1423,'Live Collections'!$G:$G,Disbursements!C1423)</f>
        <v>0</v>
      </c>
      <c r="AL1423" s="540">
        <f>SUMIFS('Live Collections'!$T:$T,'Live Collections'!$D:$D,Disbursements!B1423,'Live Collections'!$G:$G,Disbursements!C1423)</f>
        <v>0</v>
      </c>
      <c r="AM1423" s="541">
        <f t="shared" si="608"/>
        <v>0</v>
      </c>
      <c r="AN1423" s="542" t="str">
        <f t="shared" si="609"/>
        <v/>
      </c>
      <c r="AO1423" s="542" t="str">
        <f t="shared" si="610"/>
        <v/>
      </c>
      <c r="AP1423" s="543" t="str">
        <f t="shared" si="611"/>
        <v/>
      </c>
      <c r="AQ1423" s="544" t="str">
        <f t="shared" si="612"/>
        <v/>
      </c>
      <c r="AR1423" s="545">
        <f t="shared" si="613"/>
        <v>0</v>
      </c>
      <c r="AS1423" s="545">
        <f>IFERROR(CEILING($AR1423*VLOOKUP($I1423,Ref!$B$23:$E$29,4,0),1),0)</f>
        <v>0</v>
      </c>
      <c r="AT1423" s="545" t="str">
        <f>IF(A1423="","",IF(AP1423&lt;=1,"Cleared",IF(AS1423=0,"Clean",VLOOKUP($AS1423,Ref!$G$23:$H$28,2))))</f>
        <v/>
      </c>
      <c r="AU1423" s="546" t="str">
        <f t="shared" si="614"/>
        <v/>
      </c>
    </row>
    <row r="1424" spans="1:47" ht="14.25" hidden="1" customHeight="1" x14ac:dyDescent="0.15">
      <c r="A1424" s="523"/>
      <c r="B1424" s="523"/>
      <c r="C1424" s="523"/>
      <c r="D1424" s="523"/>
      <c r="E1424" s="579"/>
      <c r="F1424" s="580"/>
      <c r="G1424" s="524"/>
      <c r="H1424" s="555"/>
      <c r="I1424" s="560"/>
      <c r="J1424" s="523"/>
      <c r="K1424" s="528" t="str">
        <f>IFERROR(VLOOKUP($B1424,'Clients-Live'!$A:$C,3,0),"")</f>
        <v/>
      </c>
      <c r="L1424" s="528">
        <f>IF(E1424="STL",Pricing!$D$38,IF(A1424="",0,IF(A1424&lt;Pricing!$C$25,Pricing!$D$25,VLOOKUP(Disbursements!$F1424,Pricing!$B$29:$D$32,3))))</f>
        <v>0</v>
      </c>
      <c r="M1424" s="528">
        <f>IF(E1424="STL",0,IF(F1424&gt;0,Pricing!$D$21,0))</f>
        <v>0</v>
      </c>
      <c r="N1424" s="529">
        <f>IF(E1424="STL",F1424*Pricing!$D$40,IF(A1424&lt;=Pricing!$C$4,0,IF(AND(A1424&gt;Pricing!$C$4,Disbursements!A1424&lt;=Pricing!$C$5),F1424*Pricing!$E$5,IF(AND(A1424&gt;Pricing!$C$5,Disbursements!A1424&lt;=Pricing!$C$7),VLOOKUP(F1424,Pricing!$D$7:$E$8,2)*Disbursements!F1424,F1424*Pricing!$E$9))))</f>
        <v>0</v>
      </c>
      <c r="O1424" s="528">
        <f>IF(E1424="STL",0,IF($F1424&gt;0,$F1424*Pricing!$D$17,0))</f>
        <v>0</v>
      </c>
      <c r="P1424" s="530" t="str">
        <f t="shared" si="594"/>
        <v/>
      </c>
      <c r="Q1424" s="531" t="str">
        <f>IF($A1424="","",$G1424/VLOOKUP($I1424,Ref!$B$23:$D$29,2,0))</f>
        <v/>
      </c>
      <c r="R1424" s="530" t="str">
        <f t="shared" si="595"/>
        <v/>
      </c>
      <c r="S1424" s="532" t="str">
        <f t="shared" si="589"/>
        <v/>
      </c>
      <c r="T1424" s="531" t="str">
        <f t="shared" si="596"/>
        <v/>
      </c>
      <c r="U1424" s="533">
        <f t="shared" si="597"/>
        <v>0</v>
      </c>
      <c r="V1424" s="531" t="str">
        <f t="shared" si="598"/>
        <v/>
      </c>
      <c r="W1424" s="531" t="str">
        <f t="shared" si="599"/>
        <v/>
      </c>
      <c r="X1424" s="534" t="str">
        <f t="shared" si="600"/>
        <v/>
      </c>
      <c r="Y1424" s="535" t="str">
        <f>IF($A1424="","",IF($I1424="weekly",$A1424+7,EDATE($A1424,VLOOKUP($I1424,Ref!$B$24:$C$29,2,0))))</f>
        <v/>
      </c>
      <c r="Z1424" s="536" t="str">
        <f t="shared" si="601"/>
        <v/>
      </c>
      <c r="AA1424" s="531">
        <f t="shared" si="602"/>
        <v>0</v>
      </c>
      <c r="AB1424" s="535" t="str">
        <f t="shared" si="590"/>
        <v/>
      </c>
      <c r="AC1424" s="537" t="str">
        <f t="shared" si="591"/>
        <v/>
      </c>
      <c r="AD1424" s="538" t="str">
        <f t="shared" ca="1" si="592"/>
        <v/>
      </c>
      <c r="AE1424" s="537">
        <f t="shared" ca="1" si="593"/>
        <v>0</v>
      </c>
      <c r="AF1424" s="539" t="str">
        <f t="shared" ca="1" si="603"/>
        <v/>
      </c>
      <c r="AG1424" s="531" t="str">
        <f t="shared" ca="1" si="604"/>
        <v/>
      </c>
      <c r="AH1424" s="531" t="str">
        <f t="shared" ca="1" si="605"/>
        <v/>
      </c>
      <c r="AI1424" s="531" t="str">
        <f t="shared" ca="1" si="606"/>
        <v/>
      </c>
      <c r="AJ1424" s="531" t="str">
        <f t="shared" si="607"/>
        <v/>
      </c>
      <c r="AK1424" s="540">
        <f>SUMIFS('Live Collections'!$S:$S,'Live Collections'!$D:$D,Disbursements!B1424,'Live Collections'!$G:$G,Disbursements!C1424)</f>
        <v>0</v>
      </c>
      <c r="AL1424" s="540">
        <f>SUMIFS('Live Collections'!$T:$T,'Live Collections'!$D:$D,Disbursements!B1424,'Live Collections'!$G:$G,Disbursements!C1424)</f>
        <v>0</v>
      </c>
      <c r="AM1424" s="541">
        <f t="shared" si="608"/>
        <v>0</v>
      </c>
      <c r="AN1424" s="542" t="str">
        <f t="shared" si="609"/>
        <v/>
      </c>
      <c r="AO1424" s="542" t="str">
        <f t="shared" si="610"/>
        <v/>
      </c>
      <c r="AP1424" s="543" t="str">
        <f t="shared" si="611"/>
        <v/>
      </c>
      <c r="AQ1424" s="544" t="str">
        <f t="shared" si="612"/>
        <v/>
      </c>
      <c r="AR1424" s="545">
        <f t="shared" si="613"/>
        <v>0</v>
      </c>
      <c r="AS1424" s="545">
        <f>IFERROR(CEILING($AR1424*VLOOKUP($I1424,Ref!$B$23:$E$29,4,0),1),0)</f>
        <v>0</v>
      </c>
      <c r="AT1424" s="545" t="str">
        <f>IF(A1424="","",IF(AP1424&lt;=1,"Cleared",IF(AS1424=0,"Clean",VLOOKUP($AS1424,Ref!$G$23:$H$28,2))))</f>
        <v/>
      </c>
      <c r="AU1424" s="546" t="str">
        <f t="shared" si="614"/>
        <v/>
      </c>
    </row>
    <row r="1425" spans="1:47" ht="14.25" hidden="1" customHeight="1" x14ac:dyDescent="0.15">
      <c r="A1425" s="523"/>
      <c r="B1425" s="523"/>
      <c r="C1425" s="523"/>
      <c r="D1425" s="523"/>
      <c r="E1425" s="579"/>
      <c r="F1425" s="580"/>
      <c r="G1425" s="524"/>
      <c r="H1425" s="555"/>
      <c r="I1425" s="560"/>
      <c r="J1425" s="523"/>
      <c r="K1425" s="528" t="str">
        <f>IFERROR(VLOOKUP($B1425,'Clients-Live'!$A:$C,3,0),"")</f>
        <v/>
      </c>
      <c r="L1425" s="528">
        <f>IF(E1425="STL",Pricing!$D$38,IF(A1425="",0,IF(A1425&lt;Pricing!$C$25,Pricing!$D$25,VLOOKUP(Disbursements!$F1425,Pricing!$B$29:$D$32,3))))</f>
        <v>0</v>
      </c>
      <c r="M1425" s="528">
        <f>IF(E1425="STL",0,IF(F1425&gt;0,Pricing!$D$21,0))</f>
        <v>0</v>
      </c>
      <c r="N1425" s="529">
        <f>IF(E1425="STL",F1425*Pricing!$D$40,IF(A1425&lt;=Pricing!$C$4,0,IF(AND(A1425&gt;Pricing!$C$4,Disbursements!A1425&lt;=Pricing!$C$5),F1425*Pricing!$E$5,IF(AND(A1425&gt;Pricing!$C$5,Disbursements!A1425&lt;=Pricing!$C$7),VLOOKUP(F1425,Pricing!$D$7:$E$8,2)*Disbursements!F1425,F1425*Pricing!$E$9))))</f>
        <v>0</v>
      </c>
      <c r="O1425" s="528">
        <f>IF(E1425="STL",0,IF($F1425&gt;0,$F1425*Pricing!$D$17,0))</f>
        <v>0</v>
      </c>
      <c r="P1425" s="530" t="str">
        <f t="shared" si="594"/>
        <v/>
      </c>
      <c r="Q1425" s="531" t="str">
        <f>IF($A1425="","",$G1425/VLOOKUP($I1425,Ref!$B$23:$D$29,2,0))</f>
        <v/>
      </c>
      <c r="R1425" s="530" t="str">
        <f t="shared" si="595"/>
        <v/>
      </c>
      <c r="S1425" s="532" t="str">
        <f t="shared" si="589"/>
        <v/>
      </c>
      <c r="T1425" s="531" t="str">
        <f t="shared" si="596"/>
        <v/>
      </c>
      <c r="U1425" s="533">
        <f t="shared" si="597"/>
        <v>0</v>
      </c>
      <c r="V1425" s="531" t="str">
        <f t="shared" si="598"/>
        <v/>
      </c>
      <c r="W1425" s="531" t="str">
        <f t="shared" si="599"/>
        <v/>
      </c>
      <c r="X1425" s="534" t="str">
        <f t="shared" si="600"/>
        <v/>
      </c>
      <c r="Y1425" s="535" t="str">
        <f>IF($A1425="","",IF($I1425="weekly",$A1425+7,EDATE($A1425,VLOOKUP($I1425,Ref!$B$24:$C$29,2,0))))</f>
        <v/>
      </c>
      <c r="Z1425" s="536" t="str">
        <f t="shared" si="601"/>
        <v/>
      </c>
      <c r="AA1425" s="531">
        <f t="shared" si="602"/>
        <v>0</v>
      </c>
      <c r="AB1425" s="535" t="str">
        <f t="shared" si="590"/>
        <v/>
      </c>
      <c r="AC1425" s="537" t="str">
        <f t="shared" si="591"/>
        <v/>
      </c>
      <c r="AD1425" s="538" t="str">
        <f t="shared" ca="1" si="592"/>
        <v/>
      </c>
      <c r="AE1425" s="537">
        <f t="shared" ca="1" si="593"/>
        <v>0</v>
      </c>
      <c r="AF1425" s="539" t="str">
        <f t="shared" ca="1" si="603"/>
        <v/>
      </c>
      <c r="AG1425" s="531" t="str">
        <f t="shared" ca="1" si="604"/>
        <v/>
      </c>
      <c r="AH1425" s="531" t="str">
        <f t="shared" ca="1" si="605"/>
        <v/>
      </c>
      <c r="AI1425" s="531" t="str">
        <f t="shared" ca="1" si="606"/>
        <v/>
      </c>
      <c r="AJ1425" s="531" t="str">
        <f t="shared" si="607"/>
        <v/>
      </c>
      <c r="AK1425" s="540">
        <f>SUMIFS('Live Collections'!$S:$S,'Live Collections'!$D:$D,Disbursements!B1425,'Live Collections'!$G:$G,Disbursements!C1425)</f>
        <v>0</v>
      </c>
      <c r="AL1425" s="540">
        <f>SUMIFS('Live Collections'!$T:$T,'Live Collections'!$D:$D,Disbursements!B1425,'Live Collections'!$G:$G,Disbursements!C1425)</f>
        <v>0</v>
      </c>
      <c r="AM1425" s="541">
        <f t="shared" si="608"/>
        <v>0</v>
      </c>
      <c r="AN1425" s="542" t="str">
        <f t="shared" si="609"/>
        <v/>
      </c>
      <c r="AO1425" s="542" t="str">
        <f t="shared" si="610"/>
        <v/>
      </c>
      <c r="AP1425" s="543" t="str">
        <f t="shared" si="611"/>
        <v/>
      </c>
      <c r="AQ1425" s="544" t="str">
        <f t="shared" si="612"/>
        <v/>
      </c>
      <c r="AR1425" s="545">
        <f t="shared" si="613"/>
        <v>0</v>
      </c>
      <c r="AS1425" s="545">
        <f>IFERROR(CEILING($AR1425*VLOOKUP($I1425,Ref!$B$23:$E$29,4,0),1),0)</f>
        <v>0</v>
      </c>
      <c r="AT1425" s="545" t="str">
        <f>IF(A1425="","",IF(AP1425&lt;=1,"Cleared",IF(AS1425=0,"Clean",VLOOKUP($AS1425,Ref!$G$23:$H$28,2))))</f>
        <v/>
      </c>
      <c r="AU1425" s="546" t="str">
        <f t="shared" si="614"/>
        <v/>
      </c>
    </row>
    <row r="1426" spans="1:47" ht="14.25" hidden="1" customHeight="1" x14ac:dyDescent="0.15">
      <c r="A1426" s="523"/>
      <c r="B1426" s="523"/>
      <c r="C1426" s="523"/>
      <c r="D1426" s="523"/>
      <c r="E1426" s="579"/>
      <c r="F1426" s="580"/>
      <c r="G1426" s="524"/>
      <c r="H1426" s="555"/>
      <c r="I1426" s="560"/>
      <c r="J1426" s="523"/>
      <c r="K1426" s="528" t="str">
        <f>IFERROR(VLOOKUP($B1426,'Clients-Live'!$A:$C,3,0),"")</f>
        <v/>
      </c>
      <c r="L1426" s="528">
        <f>IF(E1426="STL",Pricing!$D$38,IF(A1426="",0,IF(A1426&lt;Pricing!$C$25,Pricing!$D$25,VLOOKUP(Disbursements!$F1426,Pricing!$B$29:$D$32,3))))</f>
        <v>0</v>
      </c>
      <c r="M1426" s="528">
        <f>IF(E1426="STL",0,IF(F1426&gt;0,Pricing!$D$21,0))</f>
        <v>0</v>
      </c>
      <c r="N1426" s="529">
        <f>IF(E1426="STL",F1426*Pricing!$D$40,IF(A1426&lt;=Pricing!$C$4,0,IF(AND(A1426&gt;Pricing!$C$4,Disbursements!A1426&lt;=Pricing!$C$5),F1426*Pricing!$E$5,IF(AND(A1426&gt;Pricing!$C$5,Disbursements!A1426&lt;=Pricing!$C$7),VLOOKUP(F1426,Pricing!$D$7:$E$8,2)*Disbursements!F1426,F1426*Pricing!$E$9))))</f>
        <v>0</v>
      </c>
      <c r="O1426" s="528">
        <f>IF(E1426="STL",0,IF($F1426&gt;0,$F1426*Pricing!$D$17,0))</f>
        <v>0</v>
      </c>
      <c r="P1426" s="530" t="str">
        <f t="shared" si="594"/>
        <v/>
      </c>
      <c r="Q1426" s="531" t="str">
        <f>IF($A1426="","",$G1426/VLOOKUP($I1426,Ref!$B$23:$D$29,2,0))</f>
        <v/>
      </c>
      <c r="R1426" s="530" t="str">
        <f t="shared" si="595"/>
        <v/>
      </c>
      <c r="S1426" s="532" t="str">
        <f t="shared" si="589"/>
        <v/>
      </c>
      <c r="T1426" s="531" t="str">
        <f t="shared" si="596"/>
        <v/>
      </c>
      <c r="U1426" s="533">
        <f t="shared" si="597"/>
        <v>0</v>
      </c>
      <c r="V1426" s="531" t="str">
        <f t="shared" si="598"/>
        <v/>
      </c>
      <c r="W1426" s="531" t="str">
        <f t="shared" si="599"/>
        <v/>
      </c>
      <c r="X1426" s="534" t="str">
        <f t="shared" si="600"/>
        <v/>
      </c>
      <c r="Y1426" s="535" t="str">
        <f>IF($A1426="","",IF($I1426="weekly",$A1426+7,EDATE($A1426,VLOOKUP($I1426,Ref!$B$24:$C$29,2,0))))</f>
        <v/>
      </c>
      <c r="Z1426" s="536" t="str">
        <f t="shared" si="601"/>
        <v/>
      </c>
      <c r="AA1426" s="531">
        <f t="shared" si="602"/>
        <v>0</v>
      </c>
      <c r="AB1426" s="535" t="str">
        <f t="shared" si="590"/>
        <v/>
      </c>
      <c r="AC1426" s="537" t="str">
        <f t="shared" si="591"/>
        <v/>
      </c>
      <c r="AD1426" s="538" t="str">
        <f t="shared" ca="1" si="592"/>
        <v/>
      </c>
      <c r="AE1426" s="537">
        <f t="shared" ca="1" si="593"/>
        <v>0</v>
      </c>
      <c r="AF1426" s="539" t="str">
        <f t="shared" ca="1" si="603"/>
        <v/>
      </c>
      <c r="AG1426" s="531" t="str">
        <f t="shared" ca="1" si="604"/>
        <v/>
      </c>
      <c r="AH1426" s="531" t="str">
        <f t="shared" ca="1" si="605"/>
        <v/>
      </c>
      <c r="AI1426" s="531" t="str">
        <f t="shared" ca="1" si="606"/>
        <v/>
      </c>
      <c r="AJ1426" s="531" t="str">
        <f t="shared" si="607"/>
        <v/>
      </c>
      <c r="AK1426" s="540">
        <f>SUMIFS('Live Collections'!$S:$S,'Live Collections'!$D:$D,Disbursements!B1426,'Live Collections'!$G:$G,Disbursements!C1426)</f>
        <v>0</v>
      </c>
      <c r="AL1426" s="540">
        <f>SUMIFS('Live Collections'!$T:$T,'Live Collections'!$D:$D,Disbursements!B1426,'Live Collections'!$G:$G,Disbursements!C1426)</f>
        <v>0</v>
      </c>
      <c r="AM1426" s="541">
        <f t="shared" si="608"/>
        <v>0</v>
      </c>
      <c r="AN1426" s="542" t="str">
        <f t="shared" si="609"/>
        <v/>
      </c>
      <c r="AO1426" s="542" t="str">
        <f t="shared" si="610"/>
        <v/>
      </c>
      <c r="AP1426" s="543" t="str">
        <f t="shared" si="611"/>
        <v/>
      </c>
      <c r="AQ1426" s="544" t="str">
        <f t="shared" si="612"/>
        <v/>
      </c>
      <c r="AR1426" s="545">
        <f t="shared" si="613"/>
        <v>0</v>
      </c>
      <c r="AS1426" s="545">
        <f>IFERROR(CEILING($AR1426*VLOOKUP($I1426,Ref!$B$23:$E$29,4,0),1),0)</f>
        <v>0</v>
      </c>
      <c r="AT1426" s="545" t="str">
        <f>IF(A1426="","",IF(AP1426&lt;=1,"Cleared",IF(AS1426=0,"Clean",VLOOKUP($AS1426,Ref!$G$23:$H$28,2))))</f>
        <v/>
      </c>
      <c r="AU1426" s="546" t="str">
        <f t="shared" si="614"/>
        <v/>
      </c>
    </row>
    <row r="1427" spans="1:47" ht="14.25" hidden="1" customHeight="1" x14ac:dyDescent="0.15">
      <c r="A1427" s="523"/>
      <c r="B1427" s="523"/>
      <c r="C1427" s="523"/>
      <c r="D1427" s="523"/>
      <c r="E1427" s="579"/>
      <c r="F1427" s="580"/>
      <c r="G1427" s="524"/>
      <c r="H1427" s="555"/>
      <c r="I1427" s="560"/>
      <c r="J1427" s="523"/>
      <c r="K1427" s="528" t="str">
        <f>IFERROR(VLOOKUP($B1427,'Clients-Live'!$A:$C,3,0),"")</f>
        <v/>
      </c>
      <c r="L1427" s="528">
        <f>IF(E1427="STL",Pricing!$D$38,IF(A1427="",0,IF(A1427&lt;Pricing!$C$25,Pricing!$D$25,VLOOKUP(Disbursements!$F1427,Pricing!$B$29:$D$32,3))))</f>
        <v>0</v>
      </c>
      <c r="M1427" s="528">
        <f>IF(E1427="STL",0,IF(F1427&gt;0,Pricing!$D$21,0))</f>
        <v>0</v>
      </c>
      <c r="N1427" s="529">
        <f>IF(E1427="STL",F1427*Pricing!$D$40,IF(A1427&lt;=Pricing!$C$4,0,IF(AND(A1427&gt;Pricing!$C$4,Disbursements!A1427&lt;=Pricing!$C$5),F1427*Pricing!$E$5,IF(AND(A1427&gt;Pricing!$C$5,Disbursements!A1427&lt;=Pricing!$C$7),VLOOKUP(F1427,Pricing!$D$7:$E$8,2)*Disbursements!F1427,F1427*Pricing!$E$9))))</f>
        <v>0</v>
      </c>
      <c r="O1427" s="528">
        <f>IF(E1427="STL",0,IF($F1427&gt;0,$F1427*Pricing!$D$17,0))</f>
        <v>0</v>
      </c>
      <c r="P1427" s="530" t="str">
        <f t="shared" si="594"/>
        <v/>
      </c>
      <c r="Q1427" s="531" t="str">
        <f>IF($A1427="","",$G1427/VLOOKUP($I1427,Ref!$B$23:$D$29,2,0))</f>
        <v/>
      </c>
      <c r="R1427" s="530" t="str">
        <f t="shared" si="595"/>
        <v/>
      </c>
      <c r="S1427" s="532" t="str">
        <f t="shared" si="589"/>
        <v/>
      </c>
      <c r="T1427" s="531" t="str">
        <f t="shared" si="596"/>
        <v/>
      </c>
      <c r="U1427" s="533">
        <f t="shared" si="597"/>
        <v>0</v>
      </c>
      <c r="V1427" s="531" t="str">
        <f t="shared" si="598"/>
        <v/>
      </c>
      <c r="W1427" s="531" t="str">
        <f t="shared" si="599"/>
        <v/>
      </c>
      <c r="X1427" s="534" t="str">
        <f t="shared" si="600"/>
        <v/>
      </c>
      <c r="Y1427" s="535" t="str">
        <f>IF($A1427="","",IF($I1427="weekly",$A1427+7,EDATE($A1427,VLOOKUP($I1427,Ref!$B$24:$C$29,2,0))))</f>
        <v/>
      </c>
      <c r="Z1427" s="536" t="str">
        <f t="shared" si="601"/>
        <v/>
      </c>
      <c r="AA1427" s="531">
        <f t="shared" si="602"/>
        <v>0</v>
      </c>
      <c r="AB1427" s="535" t="str">
        <f t="shared" si="590"/>
        <v/>
      </c>
      <c r="AC1427" s="537" t="str">
        <f t="shared" si="591"/>
        <v/>
      </c>
      <c r="AD1427" s="538" t="str">
        <f t="shared" ca="1" si="592"/>
        <v/>
      </c>
      <c r="AE1427" s="537">
        <f t="shared" ca="1" si="593"/>
        <v>0</v>
      </c>
      <c r="AF1427" s="539" t="str">
        <f t="shared" ca="1" si="603"/>
        <v/>
      </c>
      <c r="AG1427" s="531" t="str">
        <f t="shared" ca="1" si="604"/>
        <v/>
      </c>
      <c r="AH1427" s="531" t="str">
        <f t="shared" ca="1" si="605"/>
        <v/>
      </c>
      <c r="AI1427" s="531" t="str">
        <f t="shared" ca="1" si="606"/>
        <v/>
      </c>
      <c r="AJ1427" s="531" t="str">
        <f t="shared" si="607"/>
        <v/>
      </c>
      <c r="AK1427" s="540">
        <f>SUMIFS('Live Collections'!$S:$S,'Live Collections'!$D:$D,Disbursements!B1427,'Live Collections'!$G:$G,Disbursements!C1427)</f>
        <v>0</v>
      </c>
      <c r="AL1427" s="540">
        <f>SUMIFS('Live Collections'!$T:$T,'Live Collections'!$D:$D,Disbursements!B1427,'Live Collections'!$G:$G,Disbursements!C1427)</f>
        <v>0</v>
      </c>
      <c r="AM1427" s="541">
        <f t="shared" si="608"/>
        <v>0</v>
      </c>
      <c r="AN1427" s="542" t="str">
        <f t="shared" si="609"/>
        <v/>
      </c>
      <c r="AO1427" s="542" t="str">
        <f t="shared" si="610"/>
        <v/>
      </c>
      <c r="AP1427" s="543" t="str">
        <f t="shared" si="611"/>
        <v/>
      </c>
      <c r="AQ1427" s="544" t="str">
        <f t="shared" si="612"/>
        <v/>
      </c>
      <c r="AR1427" s="545">
        <f t="shared" si="613"/>
        <v>0</v>
      </c>
      <c r="AS1427" s="545">
        <f>IFERROR(CEILING($AR1427*VLOOKUP($I1427,Ref!$B$23:$E$29,4,0),1),0)</f>
        <v>0</v>
      </c>
      <c r="AT1427" s="545" t="str">
        <f>IF(A1427="","",IF(AP1427&lt;=1,"Cleared",IF(AS1427=0,"Clean",VLOOKUP($AS1427,Ref!$G$23:$H$28,2))))</f>
        <v/>
      </c>
      <c r="AU1427" s="546" t="str">
        <f t="shared" si="614"/>
        <v/>
      </c>
    </row>
    <row r="1428" spans="1:47" ht="14.25" hidden="1" customHeight="1" x14ac:dyDescent="0.15">
      <c r="A1428" s="523"/>
      <c r="B1428" s="523"/>
      <c r="C1428" s="523"/>
      <c r="D1428" s="523"/>
      <c r="E1428" s="579"/>
      <c r="F1428" s="580"/>
      <c r="G1428" s="524"/>
      <c r="H1428" s="555"/>
      <c r="I1428" s="560"/>
      <c r="J1428" s="523"/>
      <c r="K1428" s="528" t="str">
        <f>IFERROR(VLOOKUP($B1428,'Clients-Live'!$A:$C,3,0),"")</f>
        <v/>
      </c>
      <c r="L1428" s="528">
        <f>IF(E1428="STL",Pricing!$D$38,IF(A1428="",0,IF(A1428&lt;Pricing!$C$25,Pricing!$D$25,VLOOKUP(Disbursements!$F1428,Pricing!$B$29:$D$32,3))))</f>
        <v>0</v>
      </c>
      <c r="M1428" s="528">
        <f>IF(E1428="STL",0,IF(F1428&gt;0,Pricing!$D$21,0))</f>
        <v>0</v>
      </c>
      <c r="N1428" s="529">
        <f>IF(E1428="STL",F1428*Pricing!$D$40,IF(A1428&lt;=Pricing!$C$4,0,IF(AND(A1428&gt;Pricing!$C$4,Disbursements!A1428&lt;=Pricing!$C$5),F1428*Pricing!$E$5,IF(AND(A1428&gt;Pricing!$C$5,Disbursements!A1428&lt;=Pricing!$C$7),VLOOKUP(F1428,Pricing!$D$7:$E$8,2)*Disbursements!F1428,F1428*Pricing!$E$9))))</f>
        <v>0</v>
      </c>
      <c r="O1428" s="528">
        <f>IF(E1428="STL",0,IF($F1428&gt;0,$F1428*Pricing!$D$17,0))</f>
        <v>0</v>
      </c>
      <c r="P1428" s="530" t="str">
        <f t="shared" si="594"/>
        <v/>
      </c>
      <c r="Q1428" s="531" t="str">
        <f>IF($A1428="","",$G1428/VLOOKUP($I1428,Ref!$B$23:$D$29,2,0))</f>
        <v/>
      </c>
      <c r="R1428" s="530" t="str">
        <f t="shared" si="595"/>
        <v/>
      </c>
      <c r="S1428" s="532" t="str">
        <f t="shared" si="589"/>
        <v/>
      </c>
      <c r="T1428" s="531" t="str">
        <f t="shared" si="596"/>
        <v/>
      </c>
      <c r="U1428" s="533">
        <f t="shared" si="597"/>
        <v>0</v>
      </c>
      <c r="V1428" s="531" t="str">
        <f t="shared" si="598"/>
        <v/>
      </c>
      <c r="W1428" s="531" t="str">
        <f t="shared" si="599"/>
        <v/>
      </c>
      <c r="X1428" s="534" t="str">
        <f t="shared" si="600"/>
        <v/>
      </c>
      <c r="Y1428" s="535" t="str">
        <f>IF($A1428="","",IF($I1428="weekly",$A1428+7,EDATE($A1428,VLOOKUP($I1428,Ref!$B$24:$C$29,2,0))))</f>
        <v/>
      </c>
      <c r="Z1428" s="536" t="str">
        <f t="shared" si="601"/>
        <v/>
      </c>
      <c r="AA1428" s="531">
        <f t="shared" si="602"/>
        <v>0</v>
      </c>
      <c r="AB1428" s="535" t="str">
        <f t="shared" si="590"/>
        <v/>
      </c>
      <c r="AC1428" s="537" t="str">
        <f t="shared" si="591"/>
        <v/>
      </c>
      <c r="AD1428" s="538" t="str">
        <f t="shared" ca="1" si="592"/>
        <v/>
      </c>
      <c r="AE1428" s="537">
        <f t="shared" ca="1" si="593"/>
        <v>0</v>
      </c>
      <c r="AF1428" s="539" t="str">
        <f t="shared" ca="1" si="603"/>
        <v/>
      </c>
      <c r="AG1428" s="531" t="str">
        <f t="shared" ca="1" si="604"/>
        <v/>
      </c>
      <c r="AH1428" s="531" t="str">
        <f t="shared" ca="1" si="605"/>
        <v/>
      </c>
      <c r="AI1428" s="531" t="str">
        <f t="shared" ca="1" si="606"/>
        <v/>
      </c>
      <c r="AJ1428" s="531" t="str">
        <f t="shared" si="607"/>
        <v/>
      </c>
      <c r="AK1428" s="540">
        <f>SUMIFS('Live Collections'!$S:$S,'Live Collections'!$D:$D,Disbursements!B1428,'Live Collections'!$G:$G,Disbursements!C1428)</f>
        <v>0</v>
      </c>
      <c r="AL1428" s="540">
        <f>SUMIFS('Live Collections'!$T:$T,'Live Collections'!$D:$D,Disbursements!B1428,'Live Collections'!$G:$G,Disbursements!C1428)</f>
        <v>0</v>
      </c>
      <c r="AM1428" s="541">
        <f t="shared" si="608"/>
        <v>0</v>
      </c>
      <c r="AN1428" s="542" t="str">
        <f t="shared" si="609"/>
        <v/>
      </c>
      <c r="AO1428" s="542" t="str">
        <f t="shared" si="610"/>
        <v/>
      </c>
      <c r="AP1428" s="543" t="str">
        <f t="shared" si="611"/>
        <v/>
      </c>
      <c r="AQ1428" s="544" t="str">
        <f t="shared" si="612"/>
        <v/>
      </c>
      <c r="AR1428" s="545">
        <f t="shared" si="613"/>
        <v>0</v>
      </c>
      <c r="AS1428" s="545">
        <f>IFERROR(CEILING($AR1428*VLOOKUP($I1428,Ref!$B$23:$E$29,4,0),1),0)</f>
        <v>0</v>
      </c>
      <c r="AT1428" s="545" t="str">
        <f>IF(A1428="","",IF(AP1428&lt;=1,"Cleared",IF(AS1428=0,"Clean",VLOOKUP($AS1428,Ref!$G$23:$H$28,2))))</f>
        <v/>
      </c>
      <c r="AU1428" s="546" t="str">
        <f t="shared" si="614"/>
        <v/>
      </c>
    </row>
    <row r="1429" spans="1:47" ht="14.25" hidden="1" customHeight="1" x14ac:dyDescent="0.15">
      <c r="A1429" s="523"/>
      <c r="B1429" s="523"/>
      <c r="C1429" s="523"/>
      <c r="D1429" s="523"/>
      <c r="E1429" s="579"/>
      <c r="F1429" s="580"/>
      <c r="G1429" s="524"/>
      <c r="H1429" s="555"/>
      <c r="I1429" s="560"/>
      <c r="J1429" s="523"/>
      <c r="K1429" s="528" t="str">
        <f>IFERROR(VLOOKUP($B1429,'Clients-Live'!$A:$C,3,0),"")</f>
        <v/>
      </c>
      <c r="L1429" s="528">
        <f>IF(E1429="STL",Pricing!$D$38,IF(A1429="",0,IF(A1429&lt;Pricing!$C$25,Pricing!$D$25,VLOOKUP(Disbursements!$F1429,Pricing!$B$29:$D$32,3))))</f>
        <v>0</v>
      </c>
      <c r="M1429" s="528">
        <f>IF(E1429="STL",0,IF(F1429&gt;0,Pricing!$D$21,0))</f>
        <v>0</v>
      </c>
      <c r="N1429" s="529">
        <f>IF(E1429="STL",F1429*Pricing!$D$40,IF(A1429&lt;=Pricing!$C$4,0,IF(AND(A1429&gt;Pricing!$C$4,Disbursements!A1429&lt;=Pricing!$C$5),F1429*Pricing!$E$5,IF(AND(A1429&gt;Pricing!$C$5,Disbursements!A1429&lt;=Pricing!$C$7),VLOOKUP(F1429,Pricing!$D$7:$E$8,2)*Disbursements!F1429,F1429*Pricing!$E$9))))</f>
        <v>0</v>
      </c>
      <c r="O1429" s="528">
        <f>IF(E1429="STL",0,IF($F1429&gt;0,$F1429*Pricing!$D$17,0))</f>
        <v>0</v>
      </c>
      <c r="P1429" s="530" t="str">
        <f t="shared" si="594"/>
        <v/>
      </c>
      <c r="Q1429" s="531" t="str">
        <f>IF($A1429="","",$G1429/VLOOKUP($I1429,Ref!$B$23:$D$29,2,0))</f>
        <v/>
      </c>
      <c r="R1429" s="530" t="str">
        <f t="shared" si="595"/>
        <v/>
      </c>
      <c r="S1429" s="532" t="str">
        <f t="shared" si="589"/>
        <v/>
      </c>
      <c r="T1429" s="531" t="str">
        <f t="shared" si="596"/>
        <v/>
      </c>
      <c r="U1429" s="533">
        <f t="shared" si="597"/>
        <v>0</v>
      </c>
      <c r="V1429" s="531" t="str">
        <f t="shared" si="598"/>
        <v/>
      </c>
      <c r="W1429" s="531" t="str">
        <f t="shared" si="599"/>
        <v/>
      </c>
      <c r="X1429" s="534" t="str">
        <f t="shared" si="600"/>
        <v/>
      </c>
      <c r="Y1429" s="535" t="str">
        <f>IF($A1429="","",IF($I1429="weekly",$A1429+7,EDATE($A1429,VLOOKUP($I1429,Ref!$B$24:$C$29,2,0))))</f>
        <v/>
      </c>
      <c r="Z1429" s="536" t="str">
        <f t="shared" si="601"/>
        <v/>
      </c>
      <c r="AA1429" s="531">
        <f t="shared" si="602"/>
        <v>0</v>
      </c>
      <c r="AB1429" s="535" t="str">
        <f t="shared" si="590"/>
        <v/>
      </c>
      <c r="AC1429" s="537" t="str">
        <f t="shared" si="591"/>
        <v/>
      </c>
      <c r="AD1429" s="538" t="str">
        <f t="shared" ca="1" si="592"/>
        <v/>
      </c>
      <c r="AE1429" s="537">
        <f t="shared" ca="1" si="593"/>
        <v>0</v>
      </c>
      <c r="AF1429" s="539" t="str">
        <f t="shared" ca="1" si="603"/>
        <v/>
      </c>
      <c r="AG1429" s="531" t="str">
        <f t="shared" ca="1" si="604"/>
        <v/>
      </c>
      <c r="AH1429" s="531" t="str">
        <f t="shared" ca="1" si="605"/>
        <v/>
      </c>
      <c r="AI1429" s="531" t="str">
        <f t="shared" ca="1" si="606"/>
        <v/>
      </c>
      <c r="AJ1429" s="531" t="str">
        <f t="shared" si="607"/>
        <v/>
      </c>
      <c r="AK1429" s="540">
        <f>SUMIFS('Live Collections'!$S:$S,'Live Collections'!$D:$D,Disbursements!B1429,'Live Collections'!$G:$G,Disbursements!C1429)</f>
        <v>0</v>
      </c>
      <c r="AL1429" s="540">
        <f>SUMIFS('Live Collections'!$T:$T,'Live Collections'!$D:$D,Disbursements!B1429,'Live Collections'!$G:$G,Disbursements!C1429)</f>
        <v>0</v>
      </c>
      <c r="AM1429" s="541">
        <f t="shared" si="608"/>
        <v>0</v>
      </c>
      <c r="AN1429" s="542" t="str">
        <f t="shared" si="609"/>
        <v/>
      </c>
      <c r="AO1429" s="542" t="str">
        <f t="shared" si="610"/>
        <v/>
      </c>
      <c r="AP1429" s="543" t="str">
        <f t="shared" si="611"/>
        <v/>
      </c>
      <c r="AQ1429" s="544" t="str">
        <f t="shared" si="612"/>
        <v/>
      </c>
      <c r="AR1429" s="545">
        <f t="shared" si="613"/>
        <v>0</v>
      </c>
      <c r="AS1429" s="545">
        <f>IFERROR(CEILING($AR1429*VLOOKUP($I1429,Ref!$B$23:$E$29,4,0),1),0)</f>
        <v>0</v>
      </c>
      <c r="AT1429" s="545" t="str">
        <f>IF(A1429="","",IF(AP1429&lt;=1,"Cleared",IF(AS1429=0,"Clean",VLOOKUP($AS1429,Ref!$G$23:$H$28,2))))</f>
        <v/>
      </c>
      <c r="AU1429" s="546" t="str">
        <f t="shared" si="614"/>
        <v/>
      </c>
    </row>
    <row r="1430" spans="1:47" ht="14.25" hidden="1" customHeight="1" x14ac:dyDescent="0.15">
      <c r="A1430" s="523"/>
      <c r="B1430" s="523"/>
      <c r="C1430" s="523"/>
      <c r="D1430" s="523"/>
      <c r="E1430" s="579"/>
      <c r="F1430" s="580"/>
      <c r="G1430" s="524"/>
      <c r="H1430" s="555"/>
      <c r="I1430" s="560"/>
      <c r="J1430" s="523"/>
      <c r="K1430" s="528" t="str">
        <f>IFERROR(VLOOKUP($B1430,'Clients-Live'!$A:$C,3,0),"")</f>
        <v/>
      </c>
      <c r="L1430" s="528">
        <f>IF(E1430="STL",Pricing!$D$38,IF(A1430="",0,IF(A1430&lt;Pricing!$C$25,Pricing!$D$25,VLOOKUP(Disbursements!$F1430,Pricing!$B$29:$D$32,3))))</f>
        <v>0</v>
      </c>
      <c r="M1430" s="528">
        <f>IF(E1430="STL",0,IF(F1430&gt;0,Pricing!$D$21,0))</f>
        <v>0</v>
      </c>
      <c r="N1430" s="529">
        <f>IF(E1430="STL",F1430*Pricing!$D$40,IF(A1430&lt;=Pricing!$C$4,0,IF(AND(A1430&gt;Pricing!$C$4,Disbursements!A1430&lt;=Pricing!$C$5),F1430*Pricing!$E$5,IF(AND(A1430&gt;Pricing!$C$5,Disbursements!A1430&lt;=Pricing!$C$7),VLOOKUP(F1430,Pricing!$D$7:$E$8,2)*Disbursements!F1430,F1430*Pricing!$E$9))))</f>
        <v>0</v>
      </c>
      <c r="O1430" s="528">
        <f>IF(E1430="STL",0,IF($F1430&gt;0,$F1430*Pricing!$D$17,0))</f>
        <v>0</v>
      </c>
      <c r="P1430" s="530" t="str">
        <f t="shared" si="594"/>
        <v/>
      </c>
      <c r="Q1430" s="531" t="str">
        <f>IF($A1430="","",$G1430/VLOOKUP($I1430,Ref!$B$23:$D$29,2,0))</f>
        <v/>
      </c>
      <c r="R1430" s="530" t="str">
        <f t="shared" si="595"/>
        <v/>
      </c>
      <c r="S1430" s="532" t="str">
        <f t="shared" si="589"/>
        <v/>
      </c>
      <c r="T1430" s="531" t="str">
        <f t="shared" si="596"/>
        <v/>
      </c>
      <c r="U1430" s="533">
        <f t="shared" si="597"/>
        <v>0</v>
      </c>
      <c r="V1430" s="531" t="str">
        <f t="shared" si="598"/>
        <v/>
      </c>
      <c r="W1430" s="531" t="str">
        <f t="shared" si="599"/>
        <v/>
      </c>
      <c r="X1430" s="534" t="str">
        <f t="shared" si="600"/>
        <v/>
      </c>
      <c r="Y1430" s="535" t="str">
        <f>IF($A1430="","",IF($I1430="weekly",$A1430+7,EDATE($A1430,VLOOKUP($I1430,Ref!$B$24:$C$29,2,0))))</f>
        <v/>
      </c>
      <c r="Z1430" s="536" t="str">
        <f t="shared" si="601"/>
        <v/>
      </c>
      <c r="AA1430" s="531">
        <f t="shared" si="602"/>
        <v>0</v>
      </c>
      <c r="AB1430" s="535" t="str">
        <f t="shared" si="590"/>
        <v/>
      </c>
      <c r="AC1430" s="537" t="str">
        <f t="shared" si="591"/>
        <v/>
      </c>
      <c r="AD1430" s="538" t="str">
        <f t="shared" ca="1" si="592"/>
        <v/>
      </c>
      <c r="AE1430" s="537">
        <f t="shared" ca="1" si="593"/>
        <v>0</v>
      </c>
      <c r="AF1430" s="539" t="str">
        <f t="shared" ca="1" si="603"/>
        <v/>
      </c>
      <c r="AG1430" s="531" t="str">
        <f t="shared" ca="1" si="604"/>
        <v/>
      </c>
      <c r="AH1430" s="531" t="str">
        <f t="shared" ca="1" si="605"/>
        <v/>
      </c>
      <c r="AI1430" s="531" t="str">
        <f t="shared" ca="1" si="606"/>
        <v/>
      </c>
      <c r="AJ1430" s="531" t="str">
        <f t="shared" si="607"/>
        <v/>
      </c>
      <c r="AK1430" s="540">
        <f>SUMIFS('Live Collections'!$S:$S,'Live Collections'!$D:$D,Disbursements!B1430,'Live Collections'!$G:$G,Disbursements!C1430)</f>
        <v>0</v>
      </c>
      <c r="AL1430" s="540">
        <f>SUMIFS('Live Collections'!$T:$T,'Live Collections'!$D:$D,Disbursements!B1430,'Live Collections'!$G:$G,Disbursements!C1430)</f>
        <v>0</v>
      </c>
      <c r="AM1430" s="541">
        <f t="shared" si="608"/>
        <v>0</v>
      </c>
      <c r="AN1430" s="542" t="str">
        <f t="shared" si="609"/>
        <v/>
      </c>
      <c r="AO1430" s="542" t="str">
        <f t="shared" si="610"/>
        <v/>
      </c>
      <c r="AP1430" s="543" t="str">
        <f t="shared" si="611"/>
        <v/>
      </c>
      <c r="AQ1430" s="544" t="str">
        <f t="shared" si="612"/>
        <v/>
      </c>
      <c r="AR1430" s="545">
        <f t="shared" si="613"/>
        <v>0</v>
      </c>
      <c r="AS1430" s="545">
        <f>IFERROR(CEILING($AR1430*VLOOKUP($I1430,Ref!$B$23:$E$29,4,0),1),0)</f>
        <v>0</v>
      </c>
      <c r="AT1430" s="545" t="str">
        <f>IF(A1430="","",IF(AP1430&lt;=1,"Cleared",IF(AS1430=0,"Clean",VLOOKUP($AS1430,Ref!$G$23:$H$28,2))))</f>
        <v/>
      </c>
      <c r="AU1430" s="546" t="str">
        <f t="shared" si="614"/>
        <v/>
      </c>
    </row>
    <row r="1431" spans="1:47" ht="14.25" hidden="1" customHeight="1" x14ac:dyDescent="0.15">
      <c r="A1431" s="523"/>
      <c r="B1431" s="523"/>
      <c r="C1431" s="523"/>
      <c r="D1431" s="523"/>
      <c r="E1431" s="579"/>
      <c r="F1431" s="580"/>
      <c r="G1431" s="524"/>
      <c r="H1431" s="555"/>
      <c r="I1431" s="560"/>
      <c r="J1431" s="523"/>
      <c r="K1431" s="528" t="str">
        <f>IFERROR(VLOOKUP($B1431,'Clients-Live'!$A:$C,3,0),"")</f>
        <v/>
      </c>
      <c r="L1431" s="528">
        <f>IF(E1431="STL",Pricing!$D$38,IF(A1431="",0,IF(A1431&lt;Pricing!$C$25,Pricing!$D$25,VLOOKUP(Disbursements!$F1431,Pricing!$B$29:$D$32,3))))</f>
        <v>0</v>
      </c>
      <c r="M1431" s="528">
        <f>IF(E1431="STL",0,IF(F1431&gt;0,Pricing!$D$21,0))</f>
        <v>0</v>
      </c>
      <c r="N1431" s="529">
        <f>IF(E1431="STL",F1431*Pricing!$D$40,IF(A1431&lt;=Pricing!$C$4,0,IF(AND(A1431&gt;Pricing!$C$4,Disbursements!A1431&lt;=Pricing!$C$5),F1431*Pricing!$E$5,IF(AND(A1431&gt;Pricing!$C$5,Disbursements!A1431&lt;=Pricing!$C$7),VLOOKUP(F1431,Pricing!$D$7:$E$8,2)*Disbursements!F1431,F1431*Pricing!$E$9))))</f>
        <v>0</v>
      </c>
      <c r="O1431" s="528">
        <f>IF(E1431="STL",0,IF($F1431&gt;0,$F1431*Pricing!$D$17,0))</f>
        <v>0</v>
      </c>
      <c r="P1431" s="530" t="str">
        <f t="shared" si="594"/>
        <v/>
      </c>
      <c r="Q1431" s="531" t="str">
        <f>IF($A1431="","",$G1431/VLOOKUP($I1431,Ref!$B$23:$D$29,2,0))</f>
        <v/>
      </c>
      <c r="R1431" s="530" t="str">
        <f t="shared" si="595"/>
        <v/>
      </c>
      <c r="S1431" s="532" t="str">
        <f t="shared" si="589"/>
        <v/>
      </c>
      <c r="T1431" s="531" t="str">
        <f t="shared" si="596"/>
        <v/>
      </c>
      <c r="U1431" s="533">
        <f t="shared" si="597"/>
        <v>0</v>
      </c>
      <c r="V1431" s="531" t="str">
        <f t="shared" si="598"/>
        <v/>
      </c>
      <c r="W1431" s="531" t="str">
        <f t="shared" si="599"/>
        <v/>
      </c>
      <c r="X1431" s="534" t="str">
        <f t="shared" si="600"/>
        <v/>
      </c>
      <c r="Y1431" s="535" t="str">
        <f>IF($A1431="","",IF($I1431="weekly",$A1431+7,EDATE($A1431,VLOOKUP($I1431,Ref!$B$24:$C$29,2,0))))</f>
        <v/>
      </c>
      <c r="Z1431" s="536" t="str">
        <f t="shared" si="601"/>
        <v/>
      </c>
      <c r="AA1431" s="531">
        <f t="shared" si="602"/>
        <v>0</v>
      </c>
      <c r="AB1431" s="535" t="str">
        <f t="shared" si="590"/>
        <v/>
      </c>
      <c r="AC1431" s="537" t="str">
        <f t="shared" si="591"/>
        <v/>
      </c>
      <c r="AD1431" s="538" t="str">
        <f t="shared" ca="1" si="592"/>
        <v/>
      </c>
      <c r="AE1431" s="537">
        <f t="shared" ca="1" si="593"/>
        <v>0</v>
      </c>
      <c r="AF1431" s="539" t="str">
        <f t="shared" ca="1" si="603"/>
        <v/>
      </c>
      <c r="AG1431" s="531" t="str">
        <f t="shared" ca="1" si="604"/>
        <v/>
      </c>
      <c r="AH1431" s="531" t="str">
        <f t="shared" ca="1" si="605"/>
        <v/>
      </c>
      <c r="AI1431" s="531" t="str">
        <f t="shared" ca="1" si="606"/>
        <v/>
      </c>
      <c r="AJ1431" s="531" t="str">
        <f t="shared" si="607"/>
        <v/>
      </c>
      <c r="AK1431" s="540">
        <f>SUMIFS('Live Collections'!$S:$S,'Live Collections'!$D:$D,Disbursements!B1431,'Live Collections'!$G:$G,Disbursements!C1431)</f>
        <v>0</v>
      </c>
      <c r="AL1431" s="540">
        <f>SUMIFS('Live Collections'!$T:$T,'Live Collections'!$D:$D,Disbursements!B1431,'Live Collections'!$G:$G,Disbursements!C1431)</f>
        <v>0</v>
      </c>
      <c r="AM1431" s="541">
        <f t="shared" si="608"/>
        <v>0</v>
      </c>
      <c r="AN1431" s="542" t="str">
        <f t="shared" si="609"/>
        <v/>
      </c>
      <c r="AO1431" s="542" t="str">
        <f t="shared" si="610"/>
        <v/>
      </c>
      <c r="AP1431" s="543" t="str">
        <f t="shared" si="611"/>
        <v/>
      </c>
      <c r="AQ1431" s="544" t="str">
        <f t="shared" si="612"/>
        <v/>
      </c>
      <c r="AR1431" s="545">
        <f t="shared" si="613"/>
        <v>0</v>
      </c>
      <c r="AS1431" s="545">
        <f>IFERROR(CEILING($AR1431*VLOOKUP($I1431,Ref!$B$23:$E$29,4,0),1),0)</f>
        <v>0</v>
      </c>
      <c r="AT1431" s="545" t="str">
        <f>IF(A1431="","",IF(AP1431&lt;=1,"Cleared",IF(AS1431=0,"Clean",VLOOKUP($AS1431,Ref!$G$23:$H$28,2))))</f>
        <v/>
      </c>
      <c r="AU1431" s="546" t="str">
        <f t="shared" si="614"/>
        <v/>
      </c>
    </row>
    <row r="1432" spans="1:47" ht="14.25" hidden="1" customHeight="1" x14ac:dyDescent="0.15">
      <c r="A1432" s="523"/>
      <c r="B1432" s="523"/>
      <c r="C1432" s="523"/>
      <c r="D1432" s="523"/>
      <c r="E1432" s="579"/>
      <c r="F1432" s="580"/>
      <c r="G1432" s="524"/>
      <c r="H1432" s="555"/>
      <c r="I1432" s="560"/>
      <c r="J1432" s="523"/>
      <c r="K1432" s="528" t="str">
        <f>IFERROR(VLOOKUP($B1432,'Clients-Live'!$A:$C,3,0),"")</f>
        <v/>
      </c>
      <c r="L1432" s="528">
        <f>IF(E1432="STL",Pricing!$D$38,IF(A1432="",0,IF(A1432&lt;Pricing!$C$25,Pricing!$D$25,VLOOKUP(Disbursements!$F1432,Pricing!$B$29:$D$32,3))))</f>
        <v>0</v>
      </c>
      <c r="M1432" s="528">
        <f>IF(E1432="STL",0,IF(F1432&gt;0,Pricing!$D$21,0))</f>
        <v>0</v>
      </c>
      <c r="N1432" s="529">
        <f>IF(E1432="STL",F1432*Pricing!$D$40,IF(A1432&lt;=Pricing!$C$4,0,IF(AND(A1432&gt;Pricing!$C$4,Disbursements!A1432&lt;=Pricing!$C$5),F1432*Pricing!$E$5,IF(AND(A1432&gt;Pricing!$C$5,Disbursements!A1432&lt;=Pricing!$C$7),VLOOKUP(F1432,Pricing!$D$7:$E$8,2)*Disbursements!F1432,F1432*Pricing!$E$9))))</f>
        <v>0</v>
      </c>
      <c r="O1432" s="528">
        <f>IF(E1432="STL",0,IF($F1432&gt;0,$F1432*Pricing!$D$17,0))</f>
        <v>0</v>
      </c>
      <c r="P1432" s="530" t="str">
        <f t="shared" si="594"/>
        <v/>
      </c>
      <c r="Q1432" s="531" t="str">
        <f>IF($A1432="","",$G1432/VLOOKUP($I1432,Ref!$B$23:$D$29,2,0))</f>
        <v/>
      </c>
      <c r="R1432" s="530" t="str">
        <f t="shared" si="595"/>
        <v/>
      </c>
      <c r="S1432" s="532" t="str">
        <f t="shared" si="589"/>
        <v/>
      </c>
      <c r="T1432" s="531" t="str">
        <f t="shared" si="596"/>
        <v/>
      </c>
      <c r="U1432" s="533">
        <f t="shared" si="597"/>
        <v>0</v>
      </c>
      <c r="V1432" s="531" t="str">
        <f t="shared" si="598"/>
        <v/>
      </c>
      <c r="W1432" s="531" t="str">
        <f t="shared" si="599"/>
        <v/>
      </c>
      <c r="X1432" s="534" t="str">
        <f t="shared" si="600"/>
        <v/>
      </c>
      <c r="Y1432" s="535" t="str">
        <f>IF($A1432="","",IF($I1432="weekly",$A1432+7,EDATE($A1432,VLOOKUP($I1432,Ref!$B$24:$C$29,2,0))))</f>
        <v/>
      </c>
      <c r="Z1432" s="536" t="str">
        <f t="shared" si="601"/>
        <v/>
      </c>
      <c r="AA1432" s="531">
        <f t="shared" si="602"/>
        <v>0</v>
      </c>
      <c r="AB1432" s="535" t="str">
        <f t="shared" si="590"/>
        <v/>
      </c>
      <c r="AC1432" s="537" t="str">
        <f t="shared" si="591"/>
        <v/>
      </c>
      <c r="AD1432" s="538" t="str">
        <f t="shared" ca="1" si="592"/>
        <v/>
      </c>
      <c r="AE1432" s="537">
        <f t="shared" ca="1" si="593"/>
        <v>0</v>
      </c>
      <c r="AF1432" s="539" t="str">
        <f t="shared" ca="1" si="603"/>
        <v/>
      </c>
      <c r="AG1432" s="531" t="str">
        <f t="shared" ca="1" si="604"/>
        <v/>
      </c>
      <c r="AH1432" s="531" t="str">
        <f t="shared" ca="1" si="605"/>
        <v/>
      </c>
      <c r="AI1432" s="531" t="str">
        <f t="shared" ca="1" si="606"/>
        <v/>
      </c>
      <c r="AJ1432" s="531" t="str">
        <f t="shared" si="607"/>
        <v/>
      </c>
      <c r="AK1432" s="540">
        <f>SUMIFS('Live Collections'!$S:$S,'Live Collections'!$D:$D,Disbursements!B1432,'Live Collections'!$G:$G,Disbursements!C1432)</f>
        <v>0</v>
      </c>
      <c r="AL1432" s="540">
        <f>SUMIFS('Live Collections'!$T:$T,'Live Collections'!$D:$D,Disbursements!B1432,'Live Collections'!$G:$G,Disbursements!C1432)</f>
        <v>0</v>
      </c>
      <c r="AM1432" s="541">
        <f t="shared" si="608"/>
        <v>0</v>
      </c>
      <c r="AN1432" s="542" t="str">
        <f t="shared" si="609"/>
        <v/>
      </c>
      <c r="AO1432" s="542" t="str">
        <f t="shared" si="610"/>
        <v/>
      </c>
      <c r="AP1432" s="543" t="str">
        <f t="shared" si="611"/>
        <v/>
      </c>
      <c r="AQ1432" s="544" t="str">
        <f t="shared" si="612"/>
        <v/>
      </c>
      <c r="AR1432" s="545">
        <f t="shared" si="613"/>
        <v>0</v>
      </c>
      <c r="AS1432" s="545">
        <f>IFERROR(CEILING($AR1432*VLOOKUP($I1432,Ref!$B$23:$E$29,4,0),1),0)</f>
        <v>0</v>
      </c>
      <c r="AT1432" s="545" t="str">
        <f>IF(A1432="","",IF(AP1432&lt;=1,"Cleared",IF(AS1432=0,"Clean",VLOOKUP($AS1432,Ref!$G$23:$H$28,2))))</f>
        <v/>
      </c>
      <c r="AU1432" s="546" t="str">
        <f t="shared" si="614"/>
        <v/>
      </c>
    </row>
    <row r="1433" spans="1:47" ht="14.25" hidden="1" customHeight="1" x14ac:dyDescent="0.15">
      <c r="A1433" s="523"/>
      <c r="B1433" s="523"/>
      <c r="C1433" s="523"/>
      <c r="D1433" s="523"/>
      <c r="E1433" s="579"/>
      <c r="F1433" s="580"/>
      <c r="G1433" s="524"/>
      <c r="H1433" s="555"/>
      <c r="I1433" s="560"/>
      <c r="J1433" s="523"/>
      <c r="K1433" s="528" t="str">
        <f>IFERROR(VLOOKUP($B1433,'Clients-Live'!$A:$C,3,0),"")</f>
        <v/>
      </c>
      <c r="L1433" s="528">
        <f>IF(E1433="STL",Pricing!$D$38,IF(A1433="",0,IF(A1433&lt;Pricing!$C$25,Pricing!$D$25,VLOOKUP(Disbursements!$F1433,Pricing!$B$29:$D$32,3))))</f>
        <v>0</v>
      </c>
      <c r="M1433" s="528">
        <f>IF(E1433="STL",0,IF(F1433&gt;0,Pricing!$D$21,0))</f>
        <v>0</v>
      </c>
      <c r="N1433" s="529">
        <f>IF(E1433="STL",F1433*Pricing!$D$40,IF(A1433&lt;=Pricing!$C$4,0,IF(AND(A1433&gt;Pricing!$C$4,Disbursements!A1433&lt;=Pricing!$C$5),F1433*Pricing!$E$5,IF(AND(A1433&gt;Pricing!$C$5,Disbursements!A1433&lt;=Pricing!$C$7),VLOOKUP(F1433,Pricing!$D$7:$E$8,2)*Disbursements!F1433,F1433*Pricing!$E$9))))</f>
        <v>0</v>
      </c>
      <c r="O1433" s="528">
        <f>IF(E1433="STL",0,IF($F1433&gt;0,$F1433*Pricing!$D$17,0))</f>
        <v>0</v>
      </c>
      <c r="P1433" s="530" t="str">
        <f t="shared" si="594"/>
        <v/>
      </c>
      <c r="Q1433" s="531" t="str">
        <f>IF($A1433="","",$G1433/VLOOKUP($I1433,Ref!$B$23:$D$29,2,0))</f>
        <v/>
      </c>
      <c r="R1433" s="530" t="str">
        <f t="shared" si="595"/>
        <v/>
      </c>
      <c r="S1433" s="532" t="str">
        <f t="shared" si="589"/>
        <v/>
      </c>
      <c r="T1433" s="531" t="str">
        <f t="shared" si="596"/>
        <v/>
      </c>
      <c r="U1433" s="533">
        <f t="shared" si="597"/>
        <v>0</v>
      </c>
      <c r="V1433" s="531" t="str">
        <f t="shared" si="598"/>
        <v/>
      </c>
      <c r="W1433" s="531" t="str">
        <f t="shared" si="599"/>
        <v/>
      </c>
      <c r="X1433" s="534" t="str">
        <f t="shared" si="600"/>
        <v/>
      </c>
      <c r="Y1433" s="535" t="str">
        <f>IF($A1433="","",IF($I1433="weekly",$A1433+7,EDATE($A1433,VLOOKUP($I1433,Ref!$B$24:$C$29,2,0))))</f>
        <v/>
      </c>
      <c r="Z1433" s="536" t="str">
        <f t="shared" si="601"/>
        <v/>
      </c>
      <c r="AA1433" s="531">
        <f t="shared" si="602"/>
        <v>0</v>
      </c>
      <c r="AB1433" s="535" t="str">
        <f t="shared" si="590"/>
        <v/>
      </c>
      <c r="AC1433" s="537" t="str">
        <f t="shared" si="591"/>
        <v/>
      </c>
      <c r="AD1433" s="538" t="str">
        <f t="shared" ca="1" si="592"/>
        <v/>
      </c>
      <c r="AE1433" s="537">
        <f t="shared" ca="1" si="593"/>
        <v>0</v>
      </c>
      <c r="AF1433" s="539" t="str">
        <f t="shared" ca="1" si="603"/>
        <v/>
      </c>
      <c r="AG1433" s="531" t="str">
        <f t="shared" ca="1" si="604"/>
        <v/>
      </c>
      <c r="AH1433" s="531" t="str">
        <f t="shared" ca="1" si="605"/>
        <v/>
      </c>
      <c r="AI1433" s="531" t="str">
        <f t="shared" ca="1" si="606"/>
        <v/>
      </c>
      <c r="AJ1433" s="531" t="str">
        <f t="shared" si="607"/>
        <v/>
      </c>
      <c r="AK1433" s="540">
        <f>SUMIFS('Live Collections'!$S:$S,'Live Collections'!$D:$D,Disbursements!B1433,'Live Collections'!$G:$G,Disbursements!C1433)</f>
        <v>0</v>
      </c>
      <c r="AL1433" s="540">
        <f>SUMIFS('Live Collections'!$T:$T,'Live Collections'!$D:$D,Disbursements!B1433,'Live Collections'!$G:$G,Disbursements!C1433)</f>
        <v>0</v>
      </c>
      <c r="AM1433" s="541">
        <f t="shared" si="608"/>
        <v>0</v>
      </c>
      <c r="AN1433" s="542" t="str">
        <f t="shared" si="609"/>
        <v/>
      </c>
      <c r="AO1433" s="542" t="str">
        <f t="shared" si="610"/>
        <v/>
      </c>
      <c r="AP1433" s="543" t="str">
        <f t="shared" si="611"/>
        <v/>
      </c>
      <c r="AQ1433" s="544" t="str">
        <f t="shared" si="612"/>
        <v/>
      </c>
      <c r="AR1433" s="545">
        <f t="shared" si="613"/>
        <v>0</v>
      </c>
      <c r="AS1433" s="545">
        <f>IFERROR(CEILING($AR1433*VLOOKUP($I1433,Ref!$B$23:$E$29,4,0),1),0)</f>
        <v>0</v>
      </c>
      <c r="AT1433" s="545" t="str">
        <f>IF(A1433="","",IF(AP1433&lt;=1,"Cleared",IF(AS1433=0,"Clean",VLOOKUP($AS1433,Ref!$G$23:$H$28,2))))</f>
        <v/>
      </c>
      <c r="AU1433" s="546" t="str">
        <f t="shared" si="614"/>
        <v/>
      </c>
    </row>
    <row r="1434" spans="1:47" ht="14.25" hidden="1" customHeight="1" x14ac:dyDescent="0.15">
      <c r="A1434" s="523"/>
      <c r="B1434" s="523"/>
      <c r="C1434" s="523"/>
      <c r="D1434" s="523"/>
      <c r="E1434" s="579"/>
      <c r="F1434" s="580"/>
      <c r="G1434" s="524"/>
      <c r="H1434" s="555"/>
      <c r="I1434" s="560"/>
      <c r="J1434" s="523"/>
      <c r="K1434" s="528" t="str">
        <f>IFERROR(VLOOKUP($B1434,'Clients-Live'!$A:$C,3,0),"")</f>
        <v/>
      </c>
      <c r="L1434" s="528">
        <f>IF(E1434="STL",Pricing!$D$38,IF(A1434="",0,IF(A1434&lt;Pricing!$C$25,Pricing!$D$25,VLOOKUP(Disbursements!$F1434,Pricing!$B$29:$D$32,3))))</f>
        <v>0</v>
      </c>
      <c r="M1434" s="528">
        <f>IF(E1434="STL",0,IF(F1434&gt;0,Pricing!$D$21,0))</f>
        <v>0</v>
      </c>
      <c r="N1434" s="529">
        <f>IF(E1434="STL",F1434*Pricing!$D$40,IF(A1434&lt;=Pricing!$C$4,0,IF(AND(A1434&gt;Pricing!$C$4,Disbursements!A1434&lt;=Pricing!$C$5),F1434*Pricing!$E$5,IF(AND(A1434&gt;Pricing!$C$5,Disbursements!A1434&lt;=Pricing!$C$7),VLOOKUP(F1434,Pricing!$D$7:$E$8,2)*Disbursements!F1434,F1434*Pricing!$E$9))))</f>
        <v>0</v>
      </c>
      <c r="O1434" s="528">
        <f>IF(E1434="STL",0,IF($F1434&gt;0,$F1434*Pricing!$D$17,0))</f>
        <v>0</v>
      </c>
      <c r="P1434" s="530" t="str">
        <f t="shared" si="594"/>
        <v/>
      </c>
      <c r="Q1434" s="531" t="str">
        <f>IF($A1434="","",$G1434/VLOOKUP($I1434,Ref!$B$23:$D$29,2,0))</f>
        <v/>
      </c>
      <c r="R1434" s="530" t="str">
        <f t="shared" si="595"/>
        <v/>
      </c>
      <c r="S1434" s="532" t="str">
        <f t="shared" si="589"/>
        <v/>
      </c>
      <c r="T1434" s="531" t="str">
        <f t="shared" si="596"/>
        <v/>
      </c>
      <c r="U1434" s="533">
        <f t="shared" si="597"/>
        <v>0</v>
      </c>
      <c r="V1434" s="531" t="str">
        <f t="shared" si="598"/>
        <v/>
      </c>
      <c r="W1434" s="531" t="str">
        <f t="shared" si="599"/>
        <v/>
      </c>
      <c r="X1434" s="534" t="str">
        <f t="shared" si="600"/>
        <v/>
      </c>
      <c r="Y1434" s="535" t="str">
        <f>IF($A1434="","",IF($I1434="weekly",$A1434+7,EDATE($A1434,VLOOKUP($I1434,Ref!$B$24:$C$29,2,0))))</f>
        <v/>
      </c>
      <c r="Z1434" s="536" t="str">
        <f t="shared" si="601"/>
        <v/>
      </c>
      <c r="AA1434" s="531">
        <f t="shared" si="602"/>
        <v>0</v>
      </c>
      <c r="AB1434" s="535" t="str">
        <f t="shared" si="590"/>
        <v/>
      </c>
      <c r="AC1434" s="537" t="str">
        <f t="shared" si="591"/>
        <v/>
      </c>
      <c r="AD1434" s="538" t="str">
        <f t="shared" ca="1" si="592"/>
        <v/>
      </c>
      <c r="AE1434" s="537">
        <f t="shared" ca="1" si="593"/>
        <v>0</v>
      </c>
      <c r="AF1434" s="539" t="str">
        <f t="shared" ca="1" si="603"/>
        <v/>
      </c>
      <c r="AG1434" s="531" t="str">
        <f t="shared" ca="1" si="604"/>
        <v/>
      </c>
      <c r="AH1434" s="531" t="str">
        <f t="shared" ca="1" si="605"/>
        <v/>
      </c>
      <c r="AI1434" s="531" t="str">
        <f t="shared" ca="1" si="606"/>
        <v/>
      </c>
      <c r="AJ1434" s="531" t="str">
        <f t="shared" si="607"/>
        <v/>
      </c>
      <c r="AK1434" s="540">
        <f>SUMIFS('Live Collections'!$S:$S,'Live Collections'!$D:$D,Disbursements!B1434,'Live Collections'!$G:$G,Disbursements!C1434)</f>
        <v>0</v>
      </c>
      <c r="AL1434" s="540">
        <f>SUMIFS('Live Collections'!$T:$T,'Live Collections'!$D:$D,Disbursements!B1434,'Live Collections'!$G:$G,Disbursements!C1434)</f>
        <v>0</v>
      </c>
      <c r="AM1434" s="541">
        <f t="shared" si="608"/>
        <v>0</v>
      </c>
      <c r="AN1434" s="542" t="str">
        <f t="shared" si="609"/>
        <v/>
      </c>
      <c r="AO1434" s="542" t="str">
        <f t="shared" si="610"/>
        <v/>
      </c>
      <c r="AP1434" s="543" t="str">
        <f t="shared" si="611"/>
        <v/>
      </c>
      <c r="AQ1434" s="544" t="str">
        <f t="shared" si="612"/>
        <v/>
      </c>
      <c r="AR1434" s="545">
        <f t="shared" si="613"/>
        <v>0</v>
      </c>
      <c r="AS1434" s="545">
        <f>IFERROR(CEILING($AR1434*VLOOKUP($I1434,Ref!$B$23:$E$29,4,0),1),0)</f>
        <v>0</v>
      </c>
      <c r="AT1434" s="545" t="str">
        <f>IF(A1434="","",IF(AP1434&lt;=1,"Cleared",IF(AS1434=0,"Clean",VLOOKUP($AS1434,Ref!$G$23:$H$28,2))))</f>
        <v/>
      </c>
      <c r="AU1434" s="546" t="str">
        <f t="shared" si="614"/>
        <v/>
      </c>
    </row>
    <row r="1435" spans="1:47" ht="14.25" hidden="1" customHeight="1" x14ac:dyDescent="0.15">
      <c r="A1435" s="523"/>
      <c r="B1435" s="523"/>
      <c r="C1435" s="523"/>
      <c r="D1435" s="523"/>
      <c r="E1435" s="579"/>
      <c r="F1435" s="580"/>
      <c r="G1435" s="524"/>
      <c r="H1435" s="555"/>
      <c r="I1435" s="560"/>
      <c r="J1435" s="523"/>
      <c r="K1435" s="528" t="str">
        <f>IFERROR(VLOOKUP($B1435,'Clients-Live'!$A:$C,3,0),"")</f>
        <v/>
      </c>
      <c r="L1435" s="528">
        <f>IF(E1435="STL",Pricing!$D$38,IF(A1435="",0,IF(A1435&lt;Pricing!$C$25,Pricing!$D$25,VLOOKUP(Disbursements!$F1435,Pricing!$B$29:$D$32,3))))</f>
        <v>0</v>
      </c>
      <c r="M1435" s="528">
        <f>IF(E1435="STL",0,IF(F1435&gt;0,Pricing!$D$21,0))</f>
        <v>0</v>
      </c>
      <c r="N1435" s="529">
        <f>IF(E1435="STL",F1435*Pricing!$D$40,IF(A1435&lt;=Pricing!$C$4,0,IF(AND(A1435&gt;Pricing!$C$4,Disbursements!A1435&lt;=Pricing!$C$5),F1435*Pricing!$E$5,IF(AND(A1435&gt;Pricing!$C$5,Disbursements!A1435&lt;=Pricing!$C$7),VLOOKUP(F1435,Pricing!$D$7:$E$8,2)*Disbursements!F1435,F1435*Pricing!$E$9))))</f>
        <v>0</v>
      </c>
      <c r="O1435" s="528">
        <f>IF(E1435="STL",0,IF($F1435&gt;0,$F1435*Pricing!$D$17,0))</f>
        <v>0</v>
      </c>
      <c r="P1435" s="530" t="str">
        <f t="shared" si="594"/>
        <v/>
      </c>
      <c r="Q1435" s="531" t="str">
        <f>IF($A1435="","",$G1435/VLOOKUP($I1435,Ref!$B$23:$D$29,2,0))</f>
        <v/>
      </c>
      <c r="R1435" s="530" t="str">
        <f t="shared" si="595"/>
        <v/>
      </c>
      <c r="S1435" s="532" t="str">
        <f t="shared" si="589"/>
        <v/>
      </c>
      <c r="T1435" s="531" t="str">
        <f t="shared" si="596"/>
        <v/>
      </c>
      <c r="U1435" s="533">
        <f t="shared" si="597"/>
        <v>0</v>
      </c>
      <c r="V1435" s="531" t="str">
        <f t="shared" si="598"/>
        <v/>
      </c>
      <c r="W1435" s="531" t="str">
        <f t="shared" si="599"/>
        <v/>
      </c>
      <c r="X1435" s="534" t="str">
        <f t="shared" si="600"/>
        <v/>
      </c>
      <c r="Y1435" s="535" t="str">
        <f>IF($A1435="","",IF($I1435="weekly",$A1435+7,EDATE($A1435,VLOOKUP($I1435,Ref!$B$24:$C$29,2,0))))</f>
        <v/>
      </c>
      <c r="Z1435" s="536" t="str">
        <f t="shared" si="601"/>
        <v/>
      </c>
      <c r="AA1435" s="531">
        <f t="shared" si="602"/>
        <v>0</v>
      </c>
      <c r="AB1435" s="535" t="str">
        <f t="shared" si="590"/>
        <v/>
      </c>
      <c r="AC1435" s="537" t="str">
        <f t="shared" si="591"/>
        <v/>
      </c>
      <c r="AD1435" s="538" t="str">
        <f t="shared" ca="1" si="592"/>
        <v/>
      </c>
      <c r="AE1435" s="537">
        <f t="shared" ca="1" si="593"/>
        <v>0</v>
      </c>
      <c r="AF1435" s="539" t="str">
        <f t="shared" ca="1" si="603"/>
        <v/>
      </c>
      <c r="AG1435" s="531" t="str">
        <f t="shared" ca="1" si="604"/>
        <v/>
      </c>
      <c r="AH1435" s="531" t="str">
        <f t="shared" ca="1" si="605"/>
        <v/>
      </c>
      <c r="AI1435" s="531" t="str">
        <f t="shared" ca="1" si="606"/>
        <v/>
      </c>
      <c r="AJ1435" s="531" t="str">
        <f t="shared" si="607"/>
        <v/>
      </c>
      <c r="AK1435" s="540">
        <f>SUMIFS('Live Collections'!$S:$S,'Live Collections'!$D:$D,Disbursements!B1435,'Live Collections'!$G:$G,Disbursements!C1435)</f>
        <v>0</v>
      </c>
      <c r="AL1435" s="540">
        <f>SUMIFS('Live Collections'!$T:$T,'Live Collections'!$D:$D,Disbursements!B1435,'Live Collections'!$G:$G,Disbursements!C1435)</f>
        <v>0</v>
      </c>
      <c r="AM1435" s="541">
        <f t="shared" si="608"/>
        <v>0</v>
      </c>
      <c r="AN1435" s="542" t="str">
        <f t="shared" si="609"/>
        <v/>
      </c>
      <c r="AO1435" s="542" t="str">
        <f t="shared" si="610"/>
        <v/>
      </c>
      <c r="AP1435" s="543" t="str">
        <f t="shared" si="611"/>
        <v/>
      </c>
      <c r="AQ1435" s="544" t="str">
        <f t="shared" si="612"/>
        <v/>
      </c>
      <c r="AR1435" s="545">
        <f t="shared" si="613"/>
        <v>0</v>
      </c>
      <c r="AS1435" s="545">
        <f>IFERROR(CEILING($AR1435*VLOOKUP($I1435,Ref!$B$23:$E$29,4,0),1),0)</f>
        <v>0</v>
      </c>
      <c r="AT1435" s="545" t="str">
        <f>IF(A1435="","",IF(AP1435&lt;=1,"Cleared",IF(AS1435=0,"Clean",VLOOKUP($AS1435,Ref!$G$23:$H$28,2))))</f>
        <v/>
      </c>
      <c r="AU1435" s="546" t="str">
        <f t="shared" si="614"/>
        <v/>
      </c>
    </row>
    <row r="1436" spans="1:47" ht="14.25" hidden="1" customHeight="1" x14ac:dyDescent="0.15">
      <c r="A1436" s="523"/>
      <c r="B1436" s="523"/>
      <c r="C1436" s="523"/>
      <c r="D1436" s="523"/>
      <c r="E1436" s="579"/>
      <c r="F1436" s="580"/>
      <c r="G1436" s="524"/>
      <c r="H1436" s="555"/>
      <c r="I1436" s="560"/>
      <c r="J1436" s="523"/>
      <c r="K1436" s="528" t="str">
        <f>IFERROR(VLOOKUP($B1436,'Clients-Live'!$A:$C,3,0),"")</f>
        <v/>
      </c>
      <c r="L1436" s="528">
        <f>IF(E1436="STL",Pricing!$D$38,IF(A1436="",0,IF(A1436&lt;Pricing!$C$25,Pricing!$D$25,VLOOKUP(Disbursements!$F1436,Pricing!$B$29:$D$32,3))))</f>
        <v>0</v>
      </c>
      <c r="M1436" s="528">
        <f>IF(E1436="STL",0,IF(F1436&gt;0,Pricing!$D$21,0))</f>
        <v>0</v>
      </c>
      <c r="N1436" s="529">
        <f>IF(E1436="STL",F1436*Pricing!$D$40,IF(A1436&lt;=Pricing!$C$4,0,IF(AND(A1436&gt;Pricing!$C$4,Disbursements!A1436&lt;=Pricing!$C$5),F1436*Pricing!$E$5,IF(AND(A1436&gt;Pricing!$C$5,Disbursements!A1436&lt;=Pricing!$C$7),VLOOKUP(F1436,Pricing!$D$7:$E$8,2)*Disbursements!F1436,F1436*Pricing!$E$9))))</f>
        <v>0</v>
      </c>
      <c r="O1436" s="528">
        <f>IF(E1436="STL",0,IF($F1436&gt;0,$F1436*Pricing!$D$17,0))</f>
        <v>0</v>
      </c>
      <c r="P1436" s="530" t="str">
        <f t="shared" si="594"/>
        <v/>
      </c>
      <c r="Q1436" s="531" t="str">
        <f>IF($A1436="","",$G1436/VLOOKUP($I1436,Ref!$B$23:$D$29,2,0))</f>
        <v/>
      </c>
      <c r="R1436" s="530" t="str">
        <f t="shared" si="595"/>
        <v/>
      </c>
      <c r="S1436" s="532" t="str">
        <f t="shared" si="589"/>
        <v/>
      </c>
      <c r="T1436" s="531" t="str">
        <f t="shared" si="596"/>
        <v/>
      </c>
      <c r="U1436" s="533">
        <f t="shared" si="597"/>
        <v>0</v>
      </c>
      <c r="V1436" s="531" t="str">
        <f t="shared" si="598"/>
        <v/>
      </c>
      <c r="W1436" s="531" t="str">
        <f t="shared" si="599"/>
        <v/>
      </c>
      <c r="X1436" s="534" t="str">
        <f t="shared" si="600"/>
        <v/>
      </c>
      <c r="Y1436" s="535" t="str">
        <f>IF($A1436="","",IF($I1436="weekly",$A1436+7,EDATE($A1436,VLOOKUP($I1436,Ref!$B$24:$C$29,2,0))))</f>
        <v/>
      </c>
      <c r="Z1436" s="536" t="str">
        <f t="shared" si="601"/>
        <v/>
      </c>
      <c r="AA1436" s="531">
        <f t="shared" si="602"/>
        <v>0</v>
      </c>
      <c r="AB1436" s="535" t="str">
        <f t="shared" si="590"/>
        <v/>
      </c>
      <c r="AC1436" s="537" t="str">
        <f t="shared" si="591"/>
        <v/>
      </c>
      <c r="AD1436" s="538" t="str">
        <f t="shared" ca="1" si="592"/>
        <v/>
      </c>
      <c r="AE1436" s="537">
        <f t="shared" ca="1" si="593"/>
        <v>0</v>
      </c>
      <c r="AF1436" s="539" t="str">
        <f t="shared" ca="1" si="603"/>
        <v/>
      </c>
      <c r="AG1436" s="531" t="str">
        <f t="shared" ca="1" si="604"/>
        <v/>
      </c>
      <c r="AH1436" s="531" t="str">
        <f t="shared" ca="1" si="605"/>
        <v/>
      </c>
      <c r="AI1436" s="531" t="str">
        <f t="shared" ca="1" si="606"/>
        <v/>
      </c>
      <c r="AJ1436" s="531" t="str">
        <f t="shared" si="607"/>
        <v/>
      </c>
      <c r="AK1436" s="540">
        <f>SUMIFS('Live Collections'!$S:$S,'Live Collections'!$D:$D,Disbursements!B1436,'Live Collections'!$G:$G,Disbursements!C1436)</f>
        <v>0</v>
      </c>
      <c r="AL1436" s="540">
        <f>SUMIFS('Live Collections'!$T:$T,'Live Collections'!$D:$D,Disbursements!B1436,'Live Collections'!$G:$G,Disbursements!C1436)</f>
        <v>0</v>
      </c>
      <c r="AM1436" s="541">
        <f t="shared" si="608"/>
        <v>0</v>
      </c>
      <c r="AN1436" s="542" t="str">
        <f t="shared" si="609"/>
        <v/>
      </c>
      <c r="AO1436" s="542" t="str">
        <f t="shared" si="610"/>
        <v/>
      </c>
      <c r="AP1436" s="543" t="str">
        <f t="shared" si="611"/>
        <v/>
      </c>
      <c r="AQ1436" s="544" t="str">
        <f t="shared" si="612"/>
        <v/>
      </c>
      <c r="AR1436" s="545">
        <f t="shared" si="613"/>
        <v>0</v>
      </c>
      <c r="AS1436" s="545">
        <f>IFERROR(CEILING($AR1436*VLOOKUP($I1436,Ref!$B$23:$E$29,4,0),1),0)</f>
        <v>0</v>
      </c>
      <c r="AT1436" s="545" t="str">
        <f>IF(A1436="","",IF(AP1436&lt;=1,"Cleared",IF(AS1436=0,"Clean",VLOOKUP($AS1436,Ref!$G$23:$H$28,2))))</f>
        <v/>
      </c>
      <c r="AU1436" s="546" t="str">
        <f t="shared" si="614"/>
        <v/>
      </c>
    </row>
    <row r="1437" spans="1:47" ht="14.25" hidden="1" customHeight="1" x14ac:dyDescent="0.15">
      <c r="A1437" s="523"/>
      <c r="B1437" s="523"/>
      <c r="C1437" s="523"/>
      <c r="D1437" s="523"/>
      <c r="E1437" s="579"/>
      <c r="F1437" s="580"/>
      <c r="G1437" s="524"/>
      <c r="H1437" s="555"/>
      <c r="I1437" s="560"/>
      <c r="J1437" s="523"/>
      <c r="K1437" s="528" t="str">
        <f>IFERROR(VLOOKUP($B1437,'Clients-Live'!$A:$C,3,0),"")</f>
        <v/>
      </c>
      <c r="L1437" s="528">
        <f>IF(E1437="STL",Pricing!$D$38,IF(A1437="",0,IF(A1437&lt;Pricing!$C$25,Pricing!$D$25,VLOOKUP(Disbursements!$F1437,Pricing!$B$29:$D$32,3))))</f>
        <v>0</v>
      </c>
      <c r="M1437" s="528">
        <f>IF(E1437="STL",0,IF(F1437&gt;0,Pricing!$D$21,0))</f>
        <v>0</v>
      </c>
      <c r="N1437" s="529">
        <f>IF(E1437="STL",F1437*Pricing!$D$40,IF(A1437&lt;=Pricing!$C$4,0,IF(AND(A1437&gt;Pricing!$C$4,Disbursements!A1437&lt;=Pricing!$C$5),F1437*Pricing!$E$5,IF(AND(A1437&gt;Pricing!$C$5,Disbursements!A1437&lt;=Pricing!$C$7),VLOOKUP(F1437,Pricing!$D$7:$E$8,2)*Disbursements!F1437,F1437*Pricing!$E$9))))</f>
        <v>0</v>
      </c>
      <c r="O1437" s="528">
        <f>IF(E1437="STL",0,IF($F1437&gt;0,$F1437*Pricing!$D$17,0))</f>
        <v>0</v>
      </c>
      <c r="P1437" s="530" t="str">
        <f t="shared" si="594"/>
        <v/>
      </c>
      <c r="Q1437" s="531" t="str">
        <f>IF($A1437="","",$G1437/VLOOKUP($I1437,Ref!$B$23:$D$29,2,0))</f>
        <v/>
      </c>
      <c r="R1437" s="530" t="str">
        <f t="shared" si="595"/>
        <v/>
      </c>
      <c r="S1437" s="532" t="str">
        <f t="shared" si="589"/>
        <v/>
      </c>
      <c r="T1437" s="531" t="str">
        <f t="shared" si="596"/>
        <v/>
      </c>
      <c r="U1437" s="533">
        <f t="shared" si="597"/>
        <v>0</v>
      </c>
      <c r="V1437" s="531" t="str">
        <f t="shared" si="598"/>
        <v/>
      </c>
      <c r="W1437" s="531" t="str">
        <f t="shared" si="599"/>
        <v/>
      </c>
      <c r="X1437" s="534" t="str">
        <f t="shared" si="600"/>
        <v/>
      </c>
      <c r="Y1437" s="535" t="str">
        <f>IF($A1437="","",IF($I1437="weekly",$A1437+7,EDATE($A1437,VLOOKUP($I1437,Ref!$B$24:$C$29,2,0))))</f>
        <v/>
      </c>
      <c r="Z1437" s="536" t="str">
        <f t="shared" si="601"/>
        <v/>
      </c>
      <c r="AA1437" s="531">
        <f t="shared" si="602"/>
        <v>0</v>
      </c>
      <c r="AB1437" s="535" t="str">
        <f t="shared" si="590"/>
        <v/>
      </c>
      <c r="AC1437" s="537" t="str">
        <f t="shared" si="591"/>
        <v/>
      </c>
      <c r="AD1437" s="538" t="str">
        <f t="shared" ca="1" si="592"/>
        <v/>
      </c>
      <c r="AE1437" s="537">
        <f t="shared" ca="1" si="593"/>
        <v>0</v>
      </c>
      <c r="AF1437" s="539" t="str">
        <f t="shared" ca="1" si="603"/>
        <v/>
      </c>
      <c r="AG1437" s="531" t="str">
        <f t="shared" ca="1" si="604"/>
        <v/>
      </c>
      <c r="AH1437" s="531" t="str">
        <f t="shared" ca="1" si="605"/>
        <v/>
      </c>
      <c r="AI1437" s="531" t="str">
        <f t="shared" ca="1" si="606"/>
        <v/>
      </c>
      <c r="AJ1437" s="531" t="str">
        <f t="shared" si="607"/>
        <v/>
      </c>
      <c r="AK1437" s="540">
        <f>SUMIFS('Live Collections'!$S:$S,'Live Collections'!$D:$D,Disbursements!B1437,'Live Collections'!$G:$G,Disbursements!C1437)</f>
        <v>0</v>
      </c>
      <c r="AL1437" s="540">
        <f>SUMIFS('Live Collections'!$T:$T,'Live Collections'!$D:$D,Disbursements!B1437,'Live Collections'!$G:$G,Disbursements!C1437)</f>
        <v>0</v>
      </c>
      <c r="AM1437" s="541">
        <f t="shared" si="608"/>
        <v>0</v>
      </c>
      <c r="AN1437" s="542" t="str">
        <f t="shared" si="609"/>
        <v/>
      </c>
      <c r="AO1437" s="542" t="str">
        <f t="shared" si="610"/>
        <v/>
      </c>
      <c r="AP1437" s="543" t="str">
        <f t="shared" si="611"/>
        <v/>
      </c>
      <c r="AQ1437" s="544" t="str">
        <f t="shared" si="612"/>
        <v/>
      </c>
      <c r="AR1437" s="545">
        <f t="shared" si="613"/>
        <v>0</v>
      </c>
      <c r="AS1437" s="545">
        <f>IFERROR(CEILING($AR1437*VLOOKUP($I1437,Ref!$B$23:$E$29,4,0),1),0)</f>
        <v>0</v>
      </c>
      <c r="AT1437" s="545" t="str">
        <f>IF(A1437="","",IF(AP1437&lt;=1,"Cleared",IF(AS1437=0,"Clean",VLOOKUP($AS1437,Ref!$G$23:$H$28,2))))</f>
        <v/>
      </c>
      <c r="AU1437" s="546" t="str">
        <f t="shared" si="614"/>
        <v/>
      </c>
    </row>
    <row r="1438" spans="1:47" ht="14.25" hidden="1" customHeight="1" x14ac:dyDescent="0.15">
      <c r="A1438" s="523"/>
      <c r="B1438" s="523"/>
      <c r="C1438" s="523"/>
      <c r="D1438" s="523"/>
      <c r="E1438" s="579"/>
      <c r="F1438" s="580"/>
      <c r="G1438" s="524"/>
      <c r="H1438" s="555"/>
      <c r="I1438" s="560"/>
      <c r="J1438" s="523"/>
      <c r="K1438" s="528" t="str">
        <f>IFERROR(VLOOKUP($B1438,'Clients-Live'!$A:$C,3,0),"")</f>
        <v/>
      </c>
      <c r="L1438" s="528">
        <f>IF(E1438="STL",Pricing!$D$38,IF(A1438="",0,IF(A1438&lt;Pricing!$C$25,Pricing!$D$25,VLOOKUP(Disbursements!$F1438,Pricing!$B$29:$D$32,3))))</f>
        <v>0</v>
      </c>
      <c r="M1438" s="528">
        <f>IF(E1438="STL",0,IF(F1438&gt;0,Pricing!$D$21,0))</f>
        <v>0</v>
      </c>
      <c r="N1438" s="529">
        <f>IF(E1438="STL",F1438*Pricing!$D$40,IF(A1438&lt;=Pricing!$C$4,0,IF(AND(A1438&gt;Pricing!$C$4,Disbursements!A1438&lt;=Pricing!$C$5),F1438*Pricing!$E$5,IF(AND(A1438&gt;Pricing!$C$5,Disbursements!A1438&lt;=Pricing!$C$7),VLOOKUP(F1438,Pricing!$D$7:$E$8,2)*Disbursements!F1438,F1438*Pricing!$E$9))))</f>
        <v>0</v>
      </c>
      <c r="O1438" s="528">
        <f>IF(E1438="STL",0,IF($F1438&gt;0,$F1438*Pricing!$D$17,0))</f>
        <v>0</v>
      </c>
      <c r="P1438" s="530" t="str">
        <f t="shared" si="594"/>
        <v/>
      </c>
      <c r="Q1438" s="531" t="str">
        <f>IF($A1438="","",$G1438/VLOOKUP($I1438,Ref!$B$23:$D$29,2,0))</f>
        <v/>
      </c>
      <c r="R1438" s="530" t="str">
        <f t="shared" si="595"/>
        <v/>
      </c>
      <c r="S1438" s="532" t="str">
        <f t="shared" si="589"/>
        <v/>
      </c>
      <c r="T1438" s="531" t="str">
        <f t="shared" si="596"/>
        <v/>
      </c>
      <c r="U1438" s="533">
        <f t="shared" si="597"/>
        <v>0</v>
      </c>
      <c r="V1438" s="531" t="str">
        <f t="shared" si="598"/>
        <v/>
      </c>
      <c r="W1438" s="531" t="str">
        <f t="shared" si="599"/>
        <v/>
      </c>
      <c r="X1438" s="534" t="str">
        <f t="shared" si="600"/>
        <v/>
      </c>
      <c r="Y1438" s="535" t="str">
        <f>IF($A1438="","",IF($I1438="weekly",$A1438+7,EDATE($A1438,VLOOKUP($I1438,Ref!$B$24:$C$29,2,0))))</f>
        <v/>
      </c>
      <c r="Z1438" s="536" t="str">
        <f t="shared" si="601"/>
        <v/>
      </c>
      <c r="AA1438" s="531">
        <f t="shared" si="602"/>
        <v>0</v>
      </c>
      <c r="AB1438" s="535" t="str">
        <f t="shared" si="590"/>
        <v/>
      </c>
      <c r="AC1438" s="537" t="str">
        <f t="shared" si="591"/>
        <v/>
      </c>
      <c r="AD1438" s="538" t="str">
        <f t="shared" ca="1" si="592"/>
        <v/>
      </c>
      <c r="AE1438" s="537">
        <f t="shared" ca="1" si="593"/>
        <v>0</v>
      </c>
      <c r="AF1438" s="539" t="str">
        <f t="shared" ca="1" si="603"/>
        <v/>
      </c>
      <c r="AG1438" s="531" t="str">
        <f t="shared" ca="1" si="604"/>
        <v/>
      </c>
      <c r="AH1438" s="531" t="str">
        <f t="shared" ca="1" si="605"/>
        <v/>
      </c>
      <c r="AI1438" s="531" t="str">
        <f t="shared" ca="1" si="606"/>
        <v/>
      </c>
      <c r="AJ1438" s="531" t="str">
        <f t="shared" si="607"/>
        <v/>
      </c>
      <c r="AK1438" s="540">
        <f>SUMIFS('Live Collections'!$S:$S,'Live Collections'!$D:$D,Disbursements!B1438,'Live Collections'!$G:$G,Disbursements!C1438)</f>
        <v>0</v>
      </c>
      <c r="AL1438" s="540">
        <f>SUMIFS('Live Collections'!$T:$T,'Live Collections'!$D:$D,Disbursements!B1438,'Live Collections'!$G:$G,Disbursements!C1438)</f>
        <v>0</v>
      </c>
      <c r="AM1438" s="541">
        <f t="shared" si="608"/>
        <v>0</v>
      </c>
      <c r="AN1438" s="542" t="str">
        <f t="shared" si="609"/>
        <v/>
      </c>
      <c r="AO1438" s="542" t="str">
        <f t="shared" si="610"/>
        <v/>
      </c>
      <c r="AP1438" s="543" t="str">
        <f t="shared" si="611"/>
        <v/>
      </c>
      <c r="AQ1438" s="544" t="str">
        <f t="shared" si="612"/>
        <v/>
      </c>
      <c r="AR1438" s="545">
        <f t="shared" si="613"/>
        <v>0</v>
      </c>
      <c r="AS1438" s="545">
        <f>IFERROR(CEILING($AR1438*VLOOKUP($I1438,Ref!$B$23:$E$29,4,0),1),0)</f>
        <v>0</v>
      </c>
      <c r="AT1438" s="545" t="str">
        <f>IF(A1438="","",IF(AP1438&lt;=1,"Cleared",IF(AS1438=0,"Clean",VLOOKUP($AS1438,Ref!$G$23:$H$28,2))))</f>
        <v/>
      </c>
      <c r="AU1438" s="546" t="str">
        <f t="shared" si="614"/>
        <v/>
      </c>
    </row>
    <row r="1439" spans="1:47" ht="14.25" hidden="1" customHeight="1" x14ac:dyDescent="0.15">
      <c r="A1439" s="523"/>
      <c r="B1439" s="523"/>
      <c r="C1439" s="523"/>
      <c r="D1439" s="523"/>
      <c r="E1439" s="579"/>
      <c r="F1439" s="580"/>
      <c r="G1439" s="524"/>
      <c r="H1439" s="555"/>
      <c r="I1439" s="560"/>
      <c r="J1439" s="523"/>
      <c r="K1439" s="528" t="str">
        <f>IFERROR(VLOOKUP($B1439,'Clients-Live'!$A:$C,3,0),"")</f>
        <v/>
      </c>
      <c r="L1439" s="528">
        <f>IF(E1439="STL",Pricing!$D$38,IF(A1439="",0,IF(A1439&lt;Pricing!$C$25,Pricing!$D$25,VLOOKUP(Disbursements!$F1439,Pricing!$B$29:$D$32,3))))</f>
        <v>0</v>
      </c>
      <c r="M1439" s="528">
        <f>IF(E1439="STL",0,IF(F1439&gt;0,Pricing!$D$21,0))</f>
        <v>0</v>
      </c>
      <c r="N1439" s="529">
        <f>IF(E1439="STL",F1439*Pricing!$D$40,IF(A1439&lt;=Pricing!$C$4,0,IF(AND(A1439&gt;Pricing!$C$4,Disbursements!A1439&lt;=Pricing!$C$5),F1439*Pricing!$E$5,IF(AND(A1439&gt;Pricing!$C$5,Disbursements!A1439&lt;=Pricing!$C$7),VLOOKUP(F1439,Pricing!$D$7:$E$8,2)*Disbursements!F1439,F1439*Pricing!$E$9))))</f>
        <v>0</v>
      </c>
      <c r="O1439" s="528">
        <f>IF(E1439="STL",0,IF($F1439&gt;0,$F1439*Pricing!$D$17,0))</f>
        <v>0</v>
      </c>
      <c r="P1439" s="530" t="str">
        <f t="shared" si="594"/>
        <v/>
      </c>
      <c r="Q1439" s="531" t="str">
        <f>IF($A1439="","",$G1439/VLOOKUP($I1439,Ref!$B$23:$D$29,2,0))</f>
        <v/>
      </c>
      <c r="R1439" s="530" t="str">
        <f t="shared" si="595"/>
        <v/>
      </c>
      <c r="S1439" s="532" t="str">
        <f t="shared" si="589"/>
        <v/>
      </c>
      <c r="T1439" s="531" t="str">
        <f t="shared" si="596"/>
        <v/>
      </c>
      <c r="U1439" s="533">
        <f t="shared" si="597"/>
        <v>0</v>
      </c>
      <c r="V1439" s="531" t="str">
        <f t="shared" si="598"/>
        <v/>
      </c>
      <c r="W1439" s="531" t="str">
        <f t="shared" si="599"/>
        <v/>
      </c>
      <c r="X1439" s="534" t="str">
        <f t="shared" si="600"/>
        <v/>
      </c>
      <c r="Y1439" s="535" t="str">
        <f>IF($A1439="","",IF($I1439="weekly",$A1439+7,EDATE($A1439,VLOOKUP($I1439,Ref!$B$24:$C$29,2,0))))</f>
        <v/>
      </c>
      <c r="Z1439" s="536" t="str">
        <f t="shared" si="601"/>
        <v/>
      </c>
      <c r="AA1439" s="531">
        <f t="shared" si="602"/>
        <v>0</v>
      </c>
      <c r="AB1439" s="535" t="str">
        <f t="shared" si="590"/>
        <v/>
      </c>
      <c r="AC1439" s="537" t="str">
        <f t="shared" si="591"/>
        <v/>
      </c>
      <c r="AD1439" s="538" t="str">
        <f t="shared" ca="1" si="592"/>
        <v/>
      </c>
      <c r="AE1439" s="537">
        <f t="shared" ca="1" si="593"/>
        <v>0</v>
      </c>
      <c r="AF1439" s="539" t="str">
        <f t="shared" ca="1" si="603"/>
        <v/>
      </c>
      <c r="AG1439" s="531" t="str">
        <f t="shared" ca="1" si="604"/>
        <v/>
      </c>
      <c r="AH1439" s="531" t="str">
        <f t="shared" ca="1" si="605"/>
        <v/>
      </c>
      <c r="AI1439" s="531" t="str">
        <f t="shared" ca="1" si="606"/>
        <v/>
      </c>
      <c r="AJ1439" s="531" t="str">
        <f t="shared" si="607"/>
        <v/>
      </c>
      <c r="AK1439" s="540">
        <f>SUMIFS('Live Collections'!$S:$S,'Live Collections'!$D:$D,Disbursements!B1439,'Live Collections'!$G:$G,Disbursements!C1439)</f>
        <v>0</v>
      </c>
      <c r="AL1439" s="540">
        <f>SUMIFS('Live Collections'!$T:$T,'Live Collections'!$D:$D,Disbursements!B1439,'Live Collections'!$G:$G,Disbursements!C1439)</f>
        <v>0</v>
      </c>
      <c r="AM1439" s="541">
        <f t="shared" si="608"/>
        <v>0</v>
      </c>
      <c r="AN1439" s="542" t="str">
        <f t="shared" si="609"/>
        <v/>
      </c>
      <c r="AO1439" s="542" t="str">
        <f t="shared" si="610"/>
        <v/>
      </c>
      <c r="AP1439" s="543" t="str">
        <f t="shared" si="611"/>
        <v/>
      </c>
      <c r="AQ1439" s="544" t="str">
        <f t="shared" si="612"/>
        <v/>
      </c>
      <c r="AR1439" s="545">
        <f t="shared" si="613"/>
        <v>0</v>
      </c>
      <c r="AS1439" s="545">
        <f>IFERROR(CEILING($AR1439*VLOOKUP($I1439,Ref!$B$23:$E$29,4,0),1),0)</f>
        <v>0</v>
      </c>
      <c r="AT1439" s="545" t="str">
        <f>IF(A1439="","",IF(AP1439&lt;=1,"Cleared",IF(AS1439=0,"Clean",VLOOKUP($AS1439,Ref!$G$23:$H$28,2))))</f>
        <v/>
      </c>
      <c r="AU1439" s="546" t="str">
        <f t="shared" si="614"/>
        <v/>
      </c>
    </row>
    <row r="1440" spans="1:47" ht="14.25" hidden="1" customHeight="1" x14ac:dyDescent="0.15">
      <c r="A1440" s="523"/>
      <c r="B1440" s="523"/>
      <c r="C1440" s="523"/>
      <c r="D1440" s="523"/>
      <c r="E1440" s="579"/>
      <c r="F1440" s="580"/>
      <c r="G1440" s="524"/>
      <c r="H1440" s="555"/>
      <c r="I1440" s="560"/>
      <c r="J1440" s="523"/>
      <c r="K1440" s="528" t="str">
        <f>IFERROR(VLOOKUP($B1440,'Clients-Live'!$A:$C,3,0),"")</f>
        <v/>
      </c>
      <c r="L1440" s="528">
        <f>IF(E1440="STL",Pricing!$D$38,IF(A1440="",0,IF(A1440&lt;Pricing!$C$25,Pricing!$D$25,VLOOKUP(Disbursements!$F1440,Pricing!$B$29:$D$32,3))))</f>
        <v>0</v>
      </c>
      <c r="M1440" s="528">
        <f>IF(E1440="STL",0,IF(F1440&gt;0,Pricing!$D$21,0))</f>
        <v>0</v>
      </c>
      <c r="N1440" s="529">
        <f>IF(E1440="STL",F1440*Pricing!$D$40,IF(A1440&lt;=Pricing!$C$4,0,IF(AND(A1440&gt;Pricing!$C$4,Disbursements!A1440&lt;=Pricing!$C$5),F1440*Pricing!$E$5,IF(AND(A1440&gt;Pricing!$C$5,Disbursements!A1440&lt;=Pricing!$C$7),VLOOKUP(F1440,Pricing!$D$7:$E$8,2)*Disbursements!F1440,F1440*Pricing!$E$9))))</f>
        <v>0</v>
      </c>
      <c r="O1440" s="528">
        <f>IF(E1440="STL",0,IF($F1440&gt;0,$F1440*Pricing!$D$17,0))</f>
        <v>0</v>
      </c>
      <c r="P1440" s="530" t="str">
        <f t="shared" si="594"/>
        <v/>
      </c>
      <c r="Q1440" s="531" t="str">
        <f>IF($A1440="","",$G1440/VLOOKUP($I1440,Ref!$B$23:$D$29,2,0))</f>
        <v/>
      </c>
      <c r="R1440" s="530" t="str">
        <f t="shared" si="595"/>
        <v/>
      </c>
      <c r="S1440" s="532" t="str">
        <f t="shared" si="589"/>
        <v/>
      </c>
      <c r="T1440" s="531" t="str">
        <f t="shared" si="596"/>
        <v/>
      </c>
      <c r="U1440" s="533">
        <f t="shared" si="597"/>
        <v>0</v>
      </c>
      <c r="V1440" s="531" t="str">
        <f t="shared" si="598"/>
        <v/>
      </c>
      <c r="W1440" s="531" t="str">
        <f t="shared" si="599"/>
        <v/>
      </c>
      <c r="X1440" s="534" t="str">
        <f t="shared" si="600"/>
        <v/>
      </c>
      <c r="Y1440" s="535" t="str">
        <f>IF($A1440="","",IF($I1440="weekly",$A1440+7,EDATE($A1440,VLOOKUP($I1440,Ref!$B$24:$C$29,2,0))))</f>
        <v/>
      </c>
      <c r="Z1440" s="536" t="str">
        <f t="shared" si="601"/>
        <v/>
      </c>
      <c r="AA1440" s="531">
        <f t="shared" si="602"/>
        <v>0</v>
      </c>
      <c r="AB1440" s="535" t="str">
        <f t="shared" si="590"/>
        <v/>
      </c>
      <c r="AC1440" s="537" t="str">
        <f t="shared" si="591"/>
        <v/>
      </c>
      <c r="AD1440" s="538" t="str">
        <f t="shared" ca="1" si="592"/>
        <v/>
      </c>
      <c r="AE1440" s="537">
        <f t="shared" ca="1" si="593"/>
        <v>0</v>
      </c>
      <c r="AF1440" s="539" t="str">
        <f t="shared" ca="1" si="603"/>
        <v/>
      </c>
      <c r="AG1440" s="531" t="str">
        <f t="shared" ca="1" si="604"/>
        <v/>
      </c>
      <c r="AH1440" s="531" t="str">
        <f t="shared" ca="1" si="605"/>
        <v/>
      </c>
      <c r="AI1440" s="531" t="str">
        <f t="shared" ca="1" si="606"/>
        <v/>
      </c>
      <c r="AJ1440" s="531" t="str">
        <f t="shared" si="607"/>
        <v/>
      </c>
      <c r="AK1440" s="540">
        <f>SUMIFS('Live Collections'!$S:$S,'Live Collections'!$D:$D,Disbursements!B1440,'Live Collections'!$G:$G,Disbursements!C1440)</f>
        <v>0</v>
      </c>
      <c r="AL1440" s="540">
        <f>SUMIFS('Live Collections'!$T:$T,'Live Collections'!$D:$D,Disbursements!B1440,'Live Collections'!$G:$G,Disbursements!C1440)</f>
        <v>0</v>
      </c>
      <c r="AM1440" s="541">
        <f t="shared" si="608"/>
        <v>0</v>
      </c>
      <c r="AN1440" s="542" t="str">
        <f t="shared" si="609"/>
        <v/>
      </c>
      <c r="AO1440" s="542" t="str">
        <f t="shared" si="610"/>
        <v/>
      </c>
      <c r="AP1440" s="543" t="str">
        <f t="shared" si="611"/>
        <v/>
      </c>
      <c r="AQ1440" s="544" t="str">
        <f t="shared" si="612"/>
        <v/>
      </c>
      <c r="AR1440" s="545">
        <f t="shared" si="613"/>
        <v>0</v>
      </c>
      <c r="AS1440" s="545">
        <f>IFERROR(CEILING($AR1440*VLOOKUP($I1440,Ref!$B$23:$E$29,4,0),1),0)</f>
        <v>0</v>
      </c>
      <c r="AT1440" s="545" t="str">
        <f>IF(A1440="","",IF(AP1440&lt;=1,"Cleared",IF(AS1440=0,"Clean",VLOOKUP($AS1440,Ref!$G$23:$H$28,2))))</f>
        <v/>
      </c>
      <c r="AU1440" s="546" t="str">
        <f t="shared" si="614"/>
        <v/>
      </c>
    </row>
    <row r="1441" spans="1:47" ht="14.25" hidden="1" customHeight="1" x14ac:dyDescent="0.15">
      <c r="A1441" s="523"/>
      <c r="B1441" s="523"/>
      <c r="C1441" s="523"/>
      <c r="D1441" s="523"/>
      <c r="E1441" s="579"/>
      <c r="F1441" s="580"/>
      <c r="G1441" s="524"/>
      <c r="H1441" s="555"/>
      <c r="I1441" s="560"/>
      <c r="J1441" s="523"/>
      <c r="K1441" s="528" t="str">
        <f>IFERROR(VLOOKUP($B1441,'Clients-Live'!$A:$C,3,0),"")</f>
        <v/>
      </c>
      <c r="L1441" s="528">
        <f>IF(E1441="STL",Pricing!$D$38,IF(A1441="",0,IF(A1441&lt;Pricing!$C$25,Pricing!$D$25,VLOOKUP(Disbursements!$F1441,Pricing!$B$29:$D$32,3))))</f>
        <v>0</v>
      </c>
      <c r="M1441" s="528">
        <f>IF(E1441="STL",0,IF(F1441&gt;0,Pricing!$D$21,0))</f>
        <v>0</v>
      </c>
      <c r="N1441" s="529">
        <f>IF(E1441="STL",F1441*Pricing!$D$40,IF(A1441&lt;=Pricing!$C$4,0,IF(AND(A1441&gt;Pricing!$C$4,Disbursements!A1441&lt;=Pricing!$C$5),F1441*Pricing!$E$5,IF(AND(A1441&gt;Pricing!$C$5,Disbursements!A1441&lt;=Pricing!$C$7),VLOOKUP(F1441,Pricing!$D$7:$E$8,2)*Disbursements!F1441,F1441*Pricing!$E$9))))</f>
        <v>0</v>
      </c>
      <c r="O1441" s="528">
        <f>IF(E1441="STL",0,IF($F1441&gt;0,$F1441*Pricing!$D$17,0))</f>
        <v>0</v>
      </c>
      <c r="P1441" s="530" t="str">
        <f t="shared" si="594"/>
        <v/>
      </c>
      <c r="Q1441" s="531" t="str">
        <f>IF($A1441="","",$G1441/VLOOKUP($I1441,Ref!$B$23:$D$29,2,0))</f>
        <v/>
      </c>
      <c r="R1441" s="530" t="str">
        <f t="shared" si="595"/>
        <v/>
      </c>
      <c r="S1441" s="532" t="str">
        <f t="shared" si="589"/>
        <v/>
      </c>
      <c r="T1441" s="531" t="str">
        <f t="shared" si="596"/>
        <v/>
      </c>
      <c r="U1441" s="533">
        <f t="shared" si="597"/>
        <v>0</v>
      </c>
      <c r="V1441" s="531" t="str">
        <f t="shared" si="598"/>
        <v/>
      </c>
      <c r="W1441" s="531" t="str">
        <f t="shared" si="599"/>
        <v/>
      </c>
      <c r="X1441" s="534" t="str">
        <f t="shared" si="600"/>
        <v/>
      </c>
      <c r="Y1441" s="535" t="str">
        <f>IF($A1441="","",IF($I1441="weekly",$A1441+7,EDATE($A1441,VLOOKUP($I1441,Ref!$B$24:$C$29,2,0))))</f>
        <v/>
      </c>
      <c r="Z1441" s="536" t="str">
        <f t="shared" si="601"/>
        <v/>
      </c>
      <c r="AA1441" s="531">
        <f t="shared" si="602"/>
        <v>0</v>
      </c>
      <c r="AB1441" s="535" t="str">
        <f t="shared" si="590"/>
        <v/>
      </c>
      <c r="AC1441" s="537" t="str">
        <f t="shared" si="591"/>
        <v/>
      </c>
      <c r="AD1441" s="538" t="str">
        <f t="shared" ca="1" si="592"/>
        <v/>
      </c>
      <c r="AE1441" s="537">
        <f t="shared" ca="1" si="593"/>
        <v>0</v>
      </c>
      <c r="AF1441" s="539" t="str">
        <f t="shared" ca="1" si="603"/>
        <v/>
      </c>
      <c r="AG1441" s="531" t="str">
        <f t="shared" ca="1" si="604"/>
        <v/>
      </c>
      <c r="AH1441" s="531" t="str">
        <f t="shared" ca="1" si="605"/>
        <v/>
      </c>
      <c r="AI1441" s="531" t="str">
        <f t="shared" ca="1" si="606"/>
        <v/>
      </c>
      <c r="AJ1441" s="531" t="str">
        <f t="shared" si="607"/>
        <v/>
      </c>
      <c r="AK1441" s="540">
        <f>SUMIFS('Live Collections'!$S:$S,'Live Collections'!$D:$D,Disbursements!B1441,'Live Collections'!$G:$G,Disbursements!C1441)</f>
        <v>0</v>
      </c>
      <c r="AL1441" s="540">
        <f>SUMIFS('Live Collections'!$T:$T,'Live Collections'!$D:$D,Disbursements!B1441,'Live Collections'!$G:$G,Disbursements!C1441)</f>
        <v>0</v>
      </c>
      <c r="AM1441" s="541">
        <f t="shared" si="608"/>
        <v>0</v>
      </c>
      <c r="AN1441" s="542" t="str">
        <f t="shared" si="609"/>
        <v/>
      </c>
      <c r="AO1441" s="542" t="str">
        <f t="shared" si="610"/>
        <v/>
      </c>
      <c r="AP1441" s="543" t="str">
        <f t="shared" si="611"/>
        <v/>
      </c>
      <c r="AQ1441" s="544" t="str">
        <f t="shared" si="612"/>
        <v/>
      </c>
      <c r="AR1441" s="545">
        <f t="shared" si="613"/>
        <v>0</v>
      </c>
      <c r="AS1441" s="545">
        <f>IFERROR(CEILING($AR1441*VLOOKUP($I1441,Ref!$B$23:$E$29,4,0),1),0)</f>
        <v>0</v>
      </c>
      <c r="AT1441" s="545" t="str">
        <f>IF(A1441="","",IF(AP1441&lt;=1,"Cleared",IF(AS1441=0,"Clean",VLOOKUP($AS1441,Ref!$G$23:$H$28,2))))</f>
        <v/>
      </c>
      <c r="AU1441" s="546" t="str">
        <f t="shared" si="614"/>
        <v/>
      </c>
    </row>
    <row r="1442" spans="1:47" ht="14.25" hidden="1" customHeight="1" x14ac:dyDescent="0.15">
      <c r="A1442" s="523"/>
      <c r="B1442" s="523"/>
      <c r="C1442" s="523"/>
      <c r="D1442" s="523"/>
      <c r="E1442" s="579"/>
      <c r="F1442" s="580"/>
      <c r="G1442" s="524"/>
      <c r="H1442" s="555"/>
      <c r="I1442" s="560"/>
      <c r="J1442" s="523"/>
      <c r="K1442" s="528" t="str">
        <f>IFERROR(VLOOKUP($B1442,'Clients-Live'!$A:$C,3,0),"")</f>
        <v/>
      </c>
      <c r="L1442" s="528">
        <f>IF(E1442="STL",Pricing!$D$38,IF(A1442="",0,IF(A1442&lt;Pricing!$C$25,Pricing!$D$25,VLOOKUP(Disbursements!$F1442,Pricing!$B$29:$D$32,3))))</f>
        <v>0</v>
      </c>
      <c r="M1442" s="528">
        <f>IF(E1442="STL",0,IF(F1442&gt;0,Pricing!$D$21,0))</f>
        <v>0</v>
      </c>
      <c r="N1442" s="529">
        <f>IF(E1442="STL",F1442*Pricing!$D$40,IF(A1442&lt;=Pricing!$C$4,0,IF(AND(A1442&gt;Pricing!$C$4,Disbursements!A1442&lt;=Pricing!$C$5),F1442*Pricing!$E$5,IF(AND(A1442&gt;Pricing!$C$5,Disbursements!A1442&lt;=Pricing!$C$7),VLOOKUP(F1442,Pricing!$D$7:$E$8,2)*Disbursements!F1442,F1442*Pricing!$E$9))))</f>
        <v>0</v>
      </c>
      <c r="O1442" s="528">
        <f>IF(E1442="STL",0,IF($F1442&gt;0,$F1442*Pricing!$D$17,0))</f>
        <v>0</v>
      </c>
      <c r="P1442" s="530" t="str">
        <f t="shared" si="594"/>
        <v/>
      </c>
      <c r="Q1442" s="531" t="str">
        <f>IF($A1442="","",$G1442/VLOOKUP($I1442,Ref!$B$23:$D$29,2,0))</f>
        <v/>
      </c>
      <c r="R1442" s="530" t="str">
        <f t="shared" si="595"/>
        <v/>
      </c>
      <c r="S1442" s="532" t="str">
        <f t="shared" si="589"/>
        <v/>
      </c>
      <c r="T1442" s="531" t="str">
        <f t="shared" si="596"/>
        <v/>
      </c>
      <c r="U1442" s="533">
        <f t="shared" si="597"/>
        <v>0</v>
      </c>
      <c r="V1442" s="531" t="str">
        <f t="shared" si="598"/>
        <v/>
      </c>
      <c r="W1442" s="531" t="str">
        <f t="shared" si="599"/>
        <v/>
      </c>
      <c r="X1442" s="534" t="str">
        <f t="shared" si="600"/>
        <v/>
      </c>
      <c r="Y1442" s="535" t="str">
        <f>IF($A1442="","",IF($I1442="weekly",$A1442+7,EDATE($A1442,VLOOKUP($I1442,Ref!$B$24:$C$29,2,0))))</f>
        <v/>
      </c>
      <c r="Z1442" s="536" t="str">
        <f t="shared" si="601"/>
        <v/>
      </c>
      <c r="AA1442" s="531">
        <f t="shared" si="602"/>
        <v>0</v>
      </c>
      <c r="AB1442" s="535" t="str">
        <f t="shared" si="590"/>
        <v/>
      </c>
      <c r="AC1442" s="537" t="str">
        <f t="shared" si="591"/>
        <v/>
      </c>
      <c r="AD1442" s="538" t="str">
        <f t="shared" ca="1" si="592"/>
        <v/>
      </c>
      <c r="AE1442" s="537">
        <f t="shared" ca="1" si="593"/>
        <v>0</v>
      </c>
      <c r="AF1442" s="539" t="str">
        <f t="shared" ca="1" si="603"/>
        <v/>
      </c>
      <c r="AG1442" s="531" t="str">
        <f t="shared" ca="1" si="604"/>
        <v/>
      </c>
      <c r="AH1442" s="531" t="str">
        <f t="shared" ca="1" si="605"/>
        <v/>
      </c>
      <c r="AI1442" s="531" t="str">
        <f t="shared" ca="1" si="606"/>
        <v/>
      </c>
      <c r="AJ1442" s="531" t="str">
        <f t="shared" si="607"/>
        <v/>
      </c>
      <c r="AK1442" s="540">
        <f>SUMIFS('Live Collections'!$S:$S,'Live Collections'!$D:$D,Disbursements!B1442,'Live Collections'!$G:$G,Disbursements!C1442)</f>
        <v>0</v>
      </c>
      <c r="AL1442" s="540">
        <f>SUMIFS('Live Collections'!$T:$T,'Live Collections'!$D:$D,Disbursements!B1442,'Live Collections'!$G:$G,Disbursements!C1442)</f>
        <v>0</v>
      </c>
      <c r="AM1442" s="541">
        <f t="shared" si="608"/>
        <v>0</v>
      </c>
      <c r="AN1442" s="542" t="str">
        <f t="shared" si="609"/>
        <v/>
      </c>
      <c r="AO1442" s="542" t="str">
        <f t="shared" si="610"/>
        <v/>
      </c>
      <c r="AP1442" s="543" t="str">
        <f t="shared" si="611"/>
        <v/>
      </c>
      <c r="AQ1442" s="544" t="str">
        <f t="shared" si="612"/>
        <v/>
      </c>
      <c r="AR1442" s="545">
        <f t="shared" si="613"/>
        <v>0</v>
      </c>
      <c r="AS1442" s="545">
        <f>IFERROR(CEILING($AR1442*VLOOKUP($I1442,Ref!$B$23:$E$29,4,0),1),0)</f>
        <v>0</v>
      </c>
      <c r="AT1442" s="545" t="str">
        <f>IF(A1442="","",IF(AP1442&lt;=1,"Cleared",IF(AS1442=0,"Clean",VLOOKUP($AS1442,Ref!$G$23:$H$28,2))))</f>
        <v/>
      </c>
      <c r="AU1442" s="546" t="str">
        <f t="shared" si="614"/>
        <v/>
      </c>
    </row>
    <row r="1443" spans="1:47" ht="14.25" hidden="1" customHeight="1" x14ac:dyDescent="0.15">
      <c r="A1443" s="523"/>
      <c r="B1443" s="523"/>
      <c r="C1443" s="523"/>
      <c r="D1443" s="523"/>
      <c r="E1443" s="579"/>
      <c r="F1443" s="580"/>
      <c r="G1443" s="524"/>
      <c r="H1443" s="555"/>
      <c r="I1443" s="560"/>
      <c r="J1443" s="523"/>
      <c r="K1443" s="528" t="str">
        <f>IFERROR(VLOOKUP($B1443,'Clients-Live'!$A:$C,3,0),"")</f>
        <v/>
      </c>
      <c r="L1443" s="528">
        <f>IF(E1443="STL",Pricing!$D$38,IF(A1443="",0,IF(A1443&lt;Pricing!$C$25,Pricing!$D$25,VLOOKUP(Disbursements!$F1443,Pricing!$B$29:$D$32,3))))</f>
        <v>0</v>
      </c>
      <c r="M1443" s="528">
        <f>IF(E1443="STL",0,IF(F1443&gt;0,Pricing!$D$21,0))</f>
        <v>0</v>
      </c>
      <c r="N1443" s="529">
        <f>IF(E1443="STL",F1443*Pricing!$D$40,IF(A1443&lt;=Pricing!$C$4,0,IF(AND(A1443&gt;Pricing!$C$4,Disbursements!A1443&lt;=Pricing!$C$5),F1443*Pricing!$E$5,IF(AND(A1443&gt;Pricing!$C$5,Disbursements!A1443&lt;=Pricing!$C$7),VLOOKUP(F1443,Pricing!$D$7:$E$8,2)*Disbursements!F1443,F1443*Pricing!$E$9))))</f>
        <v>0</v>
      </c>
      <c r="O1443" s="528">
        <f>IF(E1443="STL",0,IF($F1443&gt;0,$F1443*Pricing!$D$17,0))</f>
        <v>0</v>
      </c>
      <c r="P1443" s="530" t="str">
        <f t="shared" si="594"/>
        <v/>
      </c>
      <c r="Q1443" s="531" t="str">
        <f>IF($A1443="","",$G1443/VLOOKUP($I1443,Ref!$B$23:$D$29,2,0))</f>
        <v/>
      </c>
      <c r="R1443" s="530" t="str">
        <f t="shared" si="595"/>
        <v/>
      </c>
      <c r="S1443" s="532" t="str">
        <f t="shared" si="589"/>
        <v/>
      </c>
      <c r="T1443" s="531" t="str">
        <f t="shared" si="596"/>
        <v/>
      </c>
      <c r="U1443" s="533">
        <f t="shared" si="597"/>
        <v>0</v>
      </c>
      <c r="V1443" s="531" t="str">
        <f t="shared" si="598"/>
        <v/>
      </c>
      <c r="W1443" s="531" t="str">
        <f t="shared" si="599"/>
        <v/>
      </c>
      <c r="X1443" s="534" t="str">
        <f t="shared" si="600"/>
        <v/>
      </c>
      <c r="Y1443" s="535" t="str">
        <f>IF($A1443="","",IF($I1443="weekly",$A1443+7,EDATE($A1443,VLOOKUP($I1443,Ref!$B$24:$C$29,2,0))))</f>
        <v/>
      </c>
      <c r="Z1443" s="536" t="str">
        <f t="shared" si="601"/>
        <v/>
      </c>
      <c r="AA1443" s="531">
        <f t="shared" si="602"/>
        <v>0</v>
      </c>
      <c r="AB1443" s="535" t="str">
        <f t="shared" si="590"/>
        <v/>
      </c>
      <c r="AC1443" s="537" t="str">
        <f t="shared" si="591"/>
        <v/>
      </c>
      <c r="AD1443" s="538" t="str">
        <f t="shared" ca="1" si="592"/>
        <v/>
      </c>
      <c r="AE1443" s="537">
        <f t="shared" ca="1" si="593"/>
        <v>0</v>
      </c>
      <c r="AF1443" s="539" t="str">
        <f t="shared" ca="1" si="603"/>
        <v/>
      </c>
      <c r="AG1443" s="531" t="str">
        <f t="shared" ca="1" si="604"/>
        <v/>
      </c>
      <c r="AH1443" s="531" t="str">
        <f t="shared" ca="1" si="605"/>
        <v/>
      </c>
      <c r="AI1443" s="531" t="str">
        <f t="shared" ca="1" si="606"/>
        <v/>
      </c>
      <c r="AJ1443" s="531" t="str">
        <f t="shared" si="607"/>
        <v/>
      </c>
      <c r="AK1443" s="540">
        <f>SUMIFS('Live Collections'!$S:$S,'Live Collections'!$D:$D,Disbursements!B1443,'Live Collections'!$G:$G,Disbursements!C1443)</f>
        <v>0</v>
      </c>
      <c r="AL1443" s="540">
        <f>SUMIFS('Live Collections'!$T:$T,'Live Collections'!$D:$D,Disbursements!B1443,'Live Collections'!$G:$G,Disbursements!C1443)</f>
        <v>0</v>
      </c>
      <c r="AM1443" s="541">
        <f t="shared" si="608"/>
        <v>0</v>
      </c>
      <c r="AN1443" s="542" t="str">
        <f t="shared" si="609"/>
        <v/>
      </c>
      <c r="AO1443" s="542" t="str">
        <f t="shared" si="610"/>
        <v/>
      </c>
      <c r="AP1443" s="543" t="str">
        <f t="shared" si="611"/>
        <v/>
      </c>
      <c r="AQ1443" s="544" t="str">
        <f t="shared" si="612"/>
        <v/>
      </c>
      <c r="AR1443" s="545">
        <f t="shared" si="613"/>
        <v>0</v>
      </c>
      <c r="AS1443" s="545">
        <f>IFERROR(CEILING($AR1443*VLOOKUP($I1443,Ref!$B$23:$E$29,4,0),1),0)</f>
        <v>0</v>
      </c>
      <c r="AT1443" s="545" t="str">
        <f>IF(A1443="","",IF(AP1443&lt;=1,"Cleared",IF(AS1443=0,"Clean",VLOOKUP($AS1443,Ref!$G$23:$H$28,2))))</f>
        <v/>
      </c>
      <c r="AU1443" s="546" t="str">
        <f t="shared" si="614"/>
        <v/>
      </c>
    </row>
    <row r="1444" spans="1:47" ht="14.25" hidden="1" customHeight="1" x14ac:dyDescent="0.15">
      <c r="A1444" s="523"/>
      <c r="B1444" s="523"/>
      <c r="C1444" s="523"/>
      <c r="D1444" s="523"/>
      <c r="E1444" s="579"/>
      <c r="F1444" s="580"/>
      <c r="G1444" s="524"/>
      <c r="H1444" s="555"/>
      <c r="I1444" s="560"/>
      <c r="J1444" s="523"/>
      <c r="K1444" s="528" t="str">
        <f>IFERROR(VLOOKUP($B1444,'Clients-Live'!$A:$C,3,0),"")</f>
        <v/>
      </c>
      <c r="L1444" s="528">
        <f>IF(E1444="STL",Pricing!$D$38,IF(A1444="",0,IF(A1444&lt;Pricing!$C$25,Pricing!$D$25,VLOOKUP(Disbursements!$F1444,Pricing!$B$29:$D$32,3))))</f>
        <v>0</v>
      </c>
      <c r="M1444" s="528">
        <f>IF(E1444="STL",0,IF(F1444&gt;0,Pricing!$D$21,0))</f>
        <v>0</v>
      </c>
      <c r="N1444" s="529">
        <f>IF(E1444="STL",F1444*Pricing!$D$40,IF(A1444&lt;=Pricing!$C$4,0,IF(AND(A1444&gt;Pricing!$C$4,Disbursements!A1444&lt;=Pricing!$C$5),F1444*Pricing!$E$5,IF(AND(A1444&gt;Pricing!$C$5,Disbursements!A1444&lt;=Pricing!$C$7),VLOOKUP(F1444,Pricing!$D$7:$E$8,2)*Disbursements!F1444,F1444*Pricing!$E$9))))</f>
        <v>0</v>
      </c>
      <c r="O1444" s="528">
        <f>IF(E1444="STL",0,IF($F1444&gt;0,$F1444*Pricing!$D$17,0))</f>
        <v>0</v>
      </c>
      <c r="P1444" s="530" t="str">
        <f t="shared" si="594"/>
        <v/>
      </c>
      <c r="Q1444" s="531" t="str">
        <f>IF($A1444="","",$G1444/VLOOKUP($I1444,Ref!$B$23:$D$29,2,0))</f>
        <v/>
      </c>
      <c r="R1444" s="530" t="str">
        <f t="shared" si="595"/>
        <v/>
      </c>
      <c r="S1444" s="532" t="str">
        <f t="shared" si="589"/>
        <v/>
      </c>
      <c r="T1444" s="531" t="str">
        <f t="shared" si="596"/>
        <v/>
      </c>
      <c r="U1444" s="533">
        <f t="shared" si="597"/>
        <v>0</v>
      </c>
      <c r="V1444" s="531" t="str">
        <f t="shared" si="598"/>
        <v/>
      </c>
      <c r="W1444" s="531" t="str">
        <f t="shared" si="599"/>
        <v/>
      </c>
      <c r="X1444" s="534" t="str">
        <f t="shared" si="600"/>
        <v/>
      </c>
      <c r="Y1444" s="535" t="str">
        <f>IF($A1444="","",IF($I1444="weekly",$A1444+7,EDATE($A1444,VLOOKUP($I1444,Ref!$B$24:$C$29,2,0))))</f>
        <v/>
      </c>
      <c r="Z1444" s="536" t="str">
        <f t="shared" si="601"/>
        <v/>
      </c>
      <c r="AA1444" s="531">
        <f t="shared" si="602"/>
        <v>0</v>
      </c>
      <c r="AB1444" s="535" t="str">
        <f t="shared" si="590"/>
        <v/>
      </c>
      <c r="AC1444" s="537" t="str">
        <f t="shared" si="591"/>
        <v/>
      </c>
      <c r="AD1444" s="538" t="str">
        <f t="shared" ca="1" si="592"/>
        <v/>
      </c>
      <c r="AE1444" s="537">
        <f t="shared" ca="1" si="593"/>
        <v>0</v>
      </c>
      <c r="AF1444" s="539" t="str">
        <f t="shared" ca="1" si="603"/>
        <v/>
      </c>
      <c r="AG1444" s="531" t="str">
        <f t="shared" ca="1" si="604"/>
        <v/>
      </c>
      <c r="AH1444" s="531" t="str">
        <f t="shared" ca="1" si="605"/>
        <v/>
      </c>
      <c r="AI1444" s="531" t="str">
        <f t="shared" ca="1" si="606"/>
        <v/>
      </c>
      <c r="AJ1444" s="531" t="str">
        <f t="shared" si="607"/>
        <v/>
      </c>
      <c r="AK1444" s="540">
        <f>SUMIFS('Live Collections'!$S:$S,'Live Collections'!$D:$D,Disbursements!B1444,'Live Collections'!$G:$G,Disbursements!C1444)</f>
        <v>0</v>
      </c>
      <c r="AL1444" s="540">
        <f>SUMIFS('Live Collections'!$T:$T,'Live Collections'!$D:$D,Disbursements!B1444,'Live Collections'!$G:$G,Disbursements!C1444)</f>
        <v>0</v>
      </c>
      <c r="AM1444" s="541">
        <f t="shared" si="608"/>
        <v>0</v>
      </c>
      <c r="AN1444" s="542" t="str">
        <f t="shared" si="609"/>
        <v/>
      </c>
      <c r="AO1444" s="542" t="str">
        <f t="shared" si="610"/>
        <v/>
      </c>
      <c r="AP1444" s="543" t="str">
        <f t="shared" si="611"/>
        <v/>
      </c>
      <c r="AQ1444" s="544" t="str">
        <f t="shared" si="612"/>
        <v/>
      </c>
      <c r="AR1444" s="545">
        <f t="shared" si="613"/>
        <v>0</v>
      </c>
      <c r="AS1444" s="545">
        <f>IFERROR(CEILING($AR1444*VLOOKUP($I1444,Ref!$B$23:$E$29,4,0),1),0)</f>
        <v>0</v>
      </c>
      <c r="AT1444" s="545" t="str">
        <f>IF(A1444="","",IF(AP1444&lt;=1,"Cleared",IF(AS1444=0,"Clean",VLOOKUP($AS1444,Ref!$G$23:$H$28,2))))</f>
        <v/>
      </c>
      <c r="AU1444" s="546" t="str">
        <f t="shared" si="614"/>
        <v/>
      </c>
    </row>
    <row r="1445" spans="1:47" ht="14.25" hidden="1" customHeight="1" x14ac:dyDescent="0.15">
      <c r="A1445" s="523"/>
      <c r="B1445" s="523"/>
      <c r="C1445" s="523"/>
      <c r="D1445" s="523"/>
      <c r="E1445" s="579"/>
      <c r="F1445" s="580"/>
      <c r="G1445" s="524"/>
      <c r="H1445" s="555"/>
      <c r="I1445" s="560"/>
      <c r="J1445" s="523"/>
      <c r="K1445" s="528" t="str">
        <f>IFERROR(VLOOKUP($B1445,'Clients-Live'!$A:$C,3,0),"")</f>
        <v/>
      </c>
      <c r="L1445" s="528">
        <f>IF(E1445="STL",Pricing!$D$38,IF(A1445="",0,IF(A1445&lt;Pricing!$C$25,Pricing!$D$25,VLOOKUP(Disbursements!$F1445,Pricing!$B$29:$D$32,3))))</f>
        <v>0</v>
      </c>
      <c r="M1445" s="528">
        <f>IF(E1445="STL",0,IF(F1445&gt;0,Pricing!$D$21,0))</f>
        <v>0</v>
      </c>
      <c r="N1445" s="529">
        <f>IF(E1445="STL",F1445*Pricing!$D$40,IF(A1445&lt;=Pricing!$C$4,0,IF(AND(A1445&gt;Pricing!$C$4,Disbursements!A1445&lt;=Pricing!$C$5),F1445*Pricing!$E$5,IF(AND(A1445&gt;Pricing!$C$5,Disbursements!A1445&lt;=Pricing!$C$7),VLOOKUP(F1445,Pricing!$D$7:$E$8,2)*Disbursements!F1445,F1445*Pricing!$E$9))))</f>
        <v>0</v>
      </c>
      <c r="O1445" s="528">
        <f>IF(E1445="STL",0,IF($F1445&gt;0,$F1445*Pricing!$D$17,0))</f>
        <v>0</v>
      </c>
      <c r="P1445" s="530" t="str">
        <f t="shared" si="594"/>
        <v/>
      </c>
      <c r="Q1445" s="531" t="str">
        <f>IF($A1445="","",$G1445/VLOOKUP($I1445,Ref!$B$23:$D$29,2,0))</f>
        <v/>
      </c>
      <c r="R1445" s="530" t="str">
        <f t="shared" si="595"/>
        <v/>
      </c>
      <c r="S1445" s="532" t="str">
        <f t="shared" si="589"/>
        <v/>
      </c>
      <c r="T1445" s="531" t="str">
        <f t="shared" si="596"/>
        <v/>
      </c>
      <c r="U1445" s="533">
        <f t="shared" si="597"/>
        <v>0</v>
      </c>
      <c r="V1445" s="531" t="str">
        <f t="shared" si="598"/>
        <v/>
      </c>
      <c r="W1445" s="531" t="str">
        <f t="shared" si="599"/>
        <v/>
      </c>
      <c r="X1445" s="534" t="str">
        <f t="shared" si="600"/>
        <v/>
      </c>
      <c r="Y1445" s="535" t="str">
        <f>IF($A1445="","",IF($I1445="weekly",$A1445+7,EDATE($A1445,VLOOKUP($I1445,Ref!$B$24:$C$29,2,0))))</f>
        <v/>
      </c>
      <c r="Z1445" s="536" t="str">
        <f t="shared" si="601"/>
        <v/>
      </c>
      <c r="AA1445" s="531">
        <f t="shared" si="602"/>
        <v>0</v>
      </c>
      <c r="AB1445" s="535" t="str">
        <f t="shared" si="590"/>
        <v/>
      </c>
      <c r="AC1445" s="537" t="str">
        <f t="shared" si="591"/>
        <v/>
      </c>
      <c r="AD1445" s="538" t="str">
        <f t="shared" ca="1" si="592"/>
        <v/>
      </c>
      <c r="AE1445" s="537">
        <f t="shared" ca="1" si="593"/>
        <v>0</v>
      </c>
      <c r="AF1445" s="539" t="str">
        <f t="shared" ca="1" si="603"/>
        <v/>
      </c>
      <c r="AG1445" s="531" t="str">
        <f t="shared" ca="1" si="604"/>
        <v/>
      </c>
      <c r="AH1445" s="531" t="str">
        <f t="shared" ca="1" si="605"/>
        <v/>
      </c>
      <c r="AI1445" s="531" t="str">
        <f t="shared" ca="1" si="606"/>
        <v/>
      </c>
      <c r="AJ1445" s="531" t="str">
        <f t="shared" si="607"/>
        <v/>
      </c>
      <c r="AK1445" s="540">
        <f>SUMIFS('Live Collections'!$S:$S,'Live Collections'!$D:$D,Disbursements!B1445,'Live Collections'!$G:$G,Disbursements!C1445)</f>
        <v>0</v>
      </c>
      <c r="AL1445" s="540">
        <f>SUMIFS('Live Collections'!$T:$T,'Live Collections'!$D:$D,Disbursements!B1445,'Live Collections'!$G:$G,Disbursements!C1445)</f>
        <v>0</v>
      </c>
      <c r="AM1445" s="541">
        <f t="shared" si="608"/>
        <v>0</v>
      </c>
      <c r="AN1445" s="542" t="str">
        <f t="shared" si="609"/>
        <v/>
      </c>
      <c r="AO1445" s="542" t="str">
        <f t="shared" si="610"/>
        <v/>
      </c>
      <c r="AP1445" s="543" t="str">
        <f t="shared" si="611"/>
        <v/>
      </c>
      <c r="AQ1445" s="544" t="str">
        <f t="shared" si="612"/>
        <v/>
      </c>
      <c r="AR1445" s="545">
        <f t="shared" si="613"/>
        <v>0</v>
      </c>
      <c r="AS1445" s="545">
        <f>IFERROR(CEILING($AR1445*VLOOKUP($I1445,Ref!$B$23:$E$29,4,0),1),0)</f>
        <v>0</v>
      </c>
      <c r="AT1445" s="545" t="str">
        <f>IF(A1445="","",IF(AP1445&lt;=1,"Cleared",IF(AS1445=0,"Clean",VLOOKUP($AS1445,Ref!$G$23:$H$28,2))))</f>
        <v/>
      </c>
      <c r="AU1445" s="546" t="str">
        <f t="shared" si="614"/>
        <v/>
      </c>
    </row>
    <row r="1446" spans="1:47" ht="14.25" hidden="1" customHeight="1" x14ac:dyDescent="0.15">
      <c r="A1446" s="523"/>
      <c r="B1446" s="523"/>
      <c r="C1446" s="523"/>
      <c r="D1446" s="523"/>
      <c r="E1446" s="579"/>
      <c r="F1446" s="580"/>
      <c r="G1446" s="524"/>
      <c r="H1446" s="555"/>
      <c r="I1446" s="560"/>
      <c r="J1446" s="523"/>
      <c r="K1446" s="528" t="str">
        <f>IFERROR(VLOOKUP($B1446,'Clients-Live'!$A:$C,3,0),"")</f>
        <v/>
      </c>
      <c r="L1446" s="528">
        <f>IF(E1446="STL",Pricing!$D$38,IF(A1446="",0,IF(A1446&lt;Pricing!$C$25,Pricing!$D$25,VLOOKUP(Disbursements!$F1446,Pricing!$B$29:$D$32,3))))</f>
        <v>0</v>
      </c>
      <c r="M1446" s="528">
        <f>IF(E1446="STL",0,IF(F1446&gt;0,Pricing!$D$21,0))</f>
        <v>0</v>
      </c>
      <c r="N1446" s="529">
        <f>IF(E1446="STL",F1446*Pricing!$D$40,IF(A1446&lt;=Pricing!$C$4,0,IF(AND(A1446&gt;Pricing!$C$4,Disbursements!A1446&lt;=Pricing!$C$5),F1446*Pricing!$E$5,IF(AND(A1446&gt;Pricing!$C$5,Disbursements!A1446&lt;=Pricing!$C$7),VLOOKUP(F1446,Pricing!$D$7:$E$8,2)*Disbursements!F1446,F1446*Pricing!$E$9))))</f>
        <v>0</v>
      </c>
      <c r="O1446" s="528">
        <f>IF(E1446="STL",0,IF($F1446&gt;0,$F1446*Pricing!$D$17,0))</f>
        <v>0</v>
      </c>
      <c r="P1446" s="530" t="str">
        <f t="shared" si="594"/>
        <v/>
      </c>
      <c r="Q1446" s="531" t="str">
        <f>IF($A1446="","",$G1446/VLOOKUP($I1446,Ref!$B$23:$D$29,2,0))</f>
        <v/>
      </c>
      <c r="R1446" s="530" t="str">
        <f t="shared" si="595"/>
        <v/>
      </c>
      <c r="S1446" s="532" t="str">
        <f t="shared" si="589"/>
        <v/>
      </c>
      <c r="T1446" s="531" t="str">
        <f t="shared" si="596"/>
        <v/>
      </c>
      <c r="U1446" s="533">
        <f t="shared" si="597"/>
        <v>0</v>
      </c>
      <c r="V1446" s="531" t="str">
        <f t="shared" si="598"/>
        <v/>
      </c>
      <c r="W1446" s="531" t="str">
        <f t="shared" si="599"/>
        <v/>
      </c>
      <c r="X1446" s="534" t="str">
        <f t="shared" si="600"/>
        <v/>
      </c>
      <c r="Y1446" s="535" t="str">
        <f>IF($A1446="","",IF($I1446="weekly",$A1446+7,EDATE($A1446,VLOOKUP($I1446,Ref!$B$24:$C$29,2,0))))</f>
        <v/>
      </c>
      <c r="Z1446" s="536" t="str">
        <f t="shared" si="601"/>
        <v/>
      </c>
      <c r="AA1446" s="531">
        <f t="shared" si="602"/>
        <v>0</v>
      </c>
      <c r="AB1446" s="535" t="str">
        <f t="shared" si="590"/>
        <v/>
      </c>
      <c r="AC1446" s="537" t="str">
        <f t="shared" si="591"/>
        <v/>
      </c>
      <c r="AD1446" s="538" t="str">
        <f t="shared" ca="1" si="592"/>
        <v/>
      </c>
      <c r="AE1446" s="537">
        <f t="shared" ca="1" si="593"/>
        <v>0</v>
      </c>
      <c r="AF1446" s="539" t="str">
        <f t="shared" ca="1" si="603"/>
        <v/>
      </c>
      <c r="AG1446" s="531" t="str">
        <f t="shared" ca="1" si="604"/>
        <v/>
      </c>
      <c r="AH1446" s="531" t="str">
        <f t="shared" ca="1" si="605"/>
        <v/>
      </c>
      <c r="AI1446" s="531" t="str">
        <f t="shared" ca="1" si="606"/>
        <v/>
      </c>
      <c r="AJ1446" s="531" t="str">
        <f t="shared" si="607"/>
        <v/>
      </c>
      <c r="AK1446" s="540">
        <f>SUMIFS('Live Collections'!$S:$S,'Live Collections'!$D:$D,Disbursements!B1446,'Live Collections'!$G:$G,Disbursements!C1446)</f>
        <v>0</v>
      </c>
      <c r="AL1446" s="540">
        <f>SUMIFS('Live Collections'!$T:$T,'Live Collections'!$D:$D,Disbursements!B1446,'Live Collections'!$G:$G,Disbursements!C1446)</f>
        <v>0</v>
      </c>
      <c r="AM1446" s="541">
        <f t="shared" si="608"/>
        <v>0</v>
      </c>
      <c r="AN1446" s="542" t="str">
        <f t="shared" si="609"/>
        <v/>
      </c>
      <c r="AO1446" s="542" t="str">
        <f t="shared" si="610"/>
        <v/>
      </c>
      <c r="AP1446" s="543" t="str">
        <f t="shared" si="611"/>
        <v/>
      </c>
      <c r="AQ1446" s="544" t="str">
        <f t="shared" si="612"/>
        <v/>
      </c>
      <c r="AR1446" s="545">
        <f t="shared" si="613"/>
        <v>0</v>
      </c>
      <c r="AS1446" s="545">
        <f>IFERROR(CEILING($AR1446*VLOOKUP($I1446,Ref!$B$23:$E$29,4,0),1),0)</f>
        <v>0</v>
      </c>
      <c r="AT1446" s="545" t="str">
        <f>IF(A1446="","",IF(AP1446&lt;=1,"Cleared",IF(AS1446=0,"Clean",VLOOKUP($AS1446,Ref!$G$23:$H$28,2))))</f>
        <v/>
      </c>
      <c r="AU1446" s="546" t="str">
        <f t="shared" si="614"/>
        <v/>
      </c>
    </row>
    <row r="1447" spans="1:47" ht="14.25" hidden="1" customHeight="1" x14ac:dyDescent="0.15">
      <c r="A1447" s="523"/>
      <c r="B1447" s="523"/>
      <c r="C1447" s="523"/>
      <c r="D1447" s="523"/>
      <c r="E1447" s="579"/>
      <c r="F1447" s="580"/>
      <c r="G1447" s="524"/>
      <c r="H1447" s="555"/>
      <c r="I1447" s="560"/>
      <c r="J1447" s="523"/>
      <c r="K1447" s="528" t="str">
        <f>IFERROR(VLOOKUP($B1447,'Clients-Live'!$A:$C,3,0),"")</f>
        <v/>
      </c>
      <c r="L1447" s="528">
        <f>IF(E1447="STL",Pricing!$D$38,IF(A1447="",0,IF(A1447&lt;Pricing!$C$25,Pricing!$D$25,VLOOKUP(Disbursements!$F1447,Pricing!$B$29:$D$32,3))))</f>
        <v>0</v>
      </c>
      <c r="M1447" s="528">
        <f>IF(E1447="STL",0,IF(F1447&gt;0,Pricing!$D$21,0))</f>
        <v>0</v>
      </c>
      <c r="N1447" s="529">
        <f>IF(E1447="STL",F1447*Pricing!$D$40,IF(A1447&lt;=Pricing!$C$4,0,IF(AND(A1447&gt;Pricing!$C$4,Disbursements!A1447&lt;=Pricing!$C$5),F1447*Pricing!$E$5,IF(AND(A1447&gt;Pricing!$C$5,Disbursements!A1447&lt;=Pricing!$C$7),VLOOKUP(F1447,Pricing!$D$7:$E$8,2)*Disbursements!F1447,F1447*Pricing!$E$9))))</f>
        <v>0</v>
      </c>
      <c r="O1447" s="528">
        <f>IF(E1447="STL",0,IF($F1447&gt;0,$F1447*Pricing!$D$17,0))</f>
        <v>0</v>
      </c>
      <c r="P1447" s="530" t="str">
        <f t="shared" si="594"/>
        <v/>
      </c>
      <c r="Q1447" s="531" t="str">
        <f>IF($A1447="","",$G1447/VLOOKUP($I1447,Ref!$B$23:$D$29,2,0))</f>
        <v/>
      </c>
      <c r="R1447" s="530" t="str">
        <f t="shared" si="595"/>
        <v/>
      </c>
      <c r="S1447" s="532" t="str">
        <f t="shared" si="589"/>
        <v/>
      </c>
      <c r="T1447" s="531" t="str">
        <f t="shared" si="596"/>
        <v/>
      </c>
      <c r="U1447" s="533">
        <f t="shared" si="597"/>
        <v>0</v>
      </c>
      <c r="V1447" s="531" t="str">
        <f t="shared" si="598"/>
        <v/>
      </c>
      <c r="W1447" s="531" t="str">
        <f t="shared" si="599"/>
        <v/>
      </c>
      <c r="X1447" s="534" t="str">
        <f t="shared" si="600"/>
        <v/>
      </c>
      <c r="Y1447" s="535" t="str">
        <f>IF($A1447="","",IF($I1447="weekly",$A1447+7,EDATE($A1447,VLOOKUP($I1447,Ref!$B$24:$C$29,2,0))))</f>
        <v/>
      </c>
      <c r="Z1447" s="536" t="str">
        <f t="shared" si="601"/>
        <v/>
      </c>
      <c r="AA1447" s="531">
        <f t="shared" si="602"/>
        <v>0</v>
      </c>
      <c r="AB1447" s="535" t="str">
        <f t="shared" si="590"/>
        <v/>
      </c>
      <c r="AC1447" s="537" t="str">
        <f t="shared" si="591"/>
        <v/>
      </c>
      <c r="AD1447" s="538" t="str">
        <f t="shared" ca="1" si="592"/>
        <v/>
      </c>
      <c r="AE1447" s="537">
        <f t="shared" ca="1" si="593"/>
        <v>0</v>
      </c>
      <c r="AF1447" s="539" t="str">
        <f t="shared" ca="1" si="603"/>
        <v/>
      </c>
      <c r="AG1447" s="531" t="str">
        <f t="shared" ca="1" si="604"/>
        <v/>
      </c>
      <c r="AH1447" s="531" t="str">
        <f t="shared" ca="1" si="605"/>
        <v/>
      </c>
      <c r="AI1447" s="531" t="str">
        <f t="shared" ca="1" si="606"/>
        <v/>
      </c>
      <c r="AJ1447" s="531" t="str">
        <f t="shared" si="607"/>
        <v/>
      </c>
      <c r="AK1447" s="540">
        <f>SUMIFS('Live Collections'!$S:$S,'Live Collections'!$D:$D,Disbursements!B1447,'Live Collections'!$G:$G,Disbursements!C1447)</f>
        <v>0</v>
      </c>
      <c r="AL1447" s="540">
        <f>SUMIFS('Live Collections'!$T:$T,'Live Collections'!$D:$D,Disbursements!B1447,'Live Collections'!$G:$G,Disbursements!C1447)</f>
        <v>0</v>
      </c>
      <c r="AM1447" s="541">
        <f t="shared" si="608"/>
        <v>0</v>
      </c>
      <c r="AN1447" s="542" t="str">
        <f t="shared" si="609"/>
        <v/>
      </c>
      <c r="AO1447" s="542" t="str">
        <f t="shared" si="610"/>
        <v/>
      </c>
      <c r="AP1447" s="543" t="str">
        <f t="shared" si="611"/>
        <v/>
      </c>
      <c r="AQ1447" s="544" t="str">
        <f t="shared" si="612"/>
        <v/>
      </c>
      <c r="AR1447" s="545">
        <f t="shared" si="613"/>
        <v>0</v>
      </c>
      <c r="AS1447" s="545">
        <f>IFERROR(CEILING($AR1447*VLOOKUP($I1447,Ref!$B$23:$E$29,4,0),1),0)</f>
        <v>0</v>
      </c>
      <c r="AT1447" s="545" t="str">
        <f>IF(A1447="","",IF(AP1447&lt;=1,"Cleared",IF(AS1447=0,"Clean",VLOOKUP($AS1447,Ref!$G$23:$H$28,2))))</f>
        <v/>
      </c>
      <c r="AU1447" s="546" t="str">
        <f t="shared" si="614"/>
        <v/>
      </c>
    </row>
    <row r="1448" spans="1:47" ht="14.25" hidden="1" customHeight="1" x14ac:dyDescent="0.15">
      <c r="A1448" s="523"/>
      <c r="B1448" s="523"/>
      <c r="C1448" s="523"/>
      <c r="D1448" s="523"/>
      <c r="E1448" s="579"/>
      <c r="F1448" s="580"/>
      <c r="G1448" s="554"/>
      <c r="H1448" s="555"/>
      <c r="I1448" s="560"/>
      <c r="J1448" s="523"/>
      <c r="K1448" s="528" t="str">
        <f>IFERROR(VLOOKUP($B1448,'Clients-Live'!$A:$C,3,0),"")</f>
        <v/>
      </c>
      <c r="L1448" s="528">
        <f>IF(E1448="STL",Pricing!$D$38,IF(A1448="",0,IF(A1448&lt;Pricing!$C$25,Pricing!$D$25,VLOOKUP(Disbursements!$F1448,Pricing!$B$29:$D$32,3))))</f>
        <v>0</v>
      </c>
      <c r="M1448" s="528">
        <f>IF(E1448="STL",0,IF(F1448&gt;0,Pricing!$D$21,0))</f>
        <v>0</v>
      </c>
      <c r="N1448" s="529">
        <f>IF(E1448="STL",F1448*Pricing!$D$40,IF(A1448&lt;=Pricing!$C$4,0,IF(AND(A1448&gt;Pricing!$C$4,Disbursements!A1448&lt;=Pricing!$C$5),F1448*Pricing!$E$5,IF(AND(A1448&gt;Pricing!$C$5,Disbursements!A1448&lt;=Pricing!$C$7),VLOOKUP(F1448,Pricing!$D$7:$E$8,2)*Disbursements!F1448,F1448*Pricing!$E$9))))</f>
        <v>0</v>
      </c>
      <c r="O1448" s="528">
        <f>IF(E1448="STL",0,IF($F1448&gt;0,$F1448*Pricing!$D$17,0))</f>
        <v>0</v>
      </c>
      <c r="P1448" s="530" t="str">
        <f t="shared" si="594"/>
        <v/>
      </c>
      <c r="Q1448" s="531" t="str">
        <f>IF($A1448="","",$G1448/VLOOKUP($I1448,Ref!$B$23:$D$29,2,0))</f>
        <v/>
      </c>
      <c r="R1448" s="530" t="str">
        <f t="shared" si="595"/>
        <v/>
      </c>
      <c r="S1448" s="532" t="str">
        <f t="shared" si="589"/>
        <v/>
      </c>
      <c r="T1448" s="531" t="str">
        <f t="shared" si="596"/>
        <v/>
      </c>
      <c r="U1448" s="533">
        <f t="shared" si="597"/>
        <v>0</v>
      </c>
      <c r="V1448" s="531" t="str">
        <f t="shared" si="598"/>
        <v/>
      </c>
      <c r="W1448" s="531" t="str">
        <f t="shared" si="599"/>
        <v/>
      </c>
      <c r="X1448" s="534" t="str">
        <f t="shared" si="600"/>
        <v/>
      </c>
      <c r="Y1448" s="535" t="str">
        <f>IF($A1448="","",IF($I1448="weekly",$A1448+7,EDATE($A1448,VLOOKUP($I1448,Ref!$B$24:$C$29,2,0))))</f>
        <v/>
      </c>
      <c r="Z1448" s="536" t="str">
        <f t="shared" si="601"/>
        <v/>
      </c>
      <c r="AA1448" s="531">
        <f t="shared" si="602"/>
        <v>0</v>
      </c>
      <c r="AB1448" s="535" t="str">
        <f t="shared" si="590"/>
        <v/>
      </c>
      <c r="AC1448" s="537" t="str">
        <f t="shared" si="591"/>
        <v/>
      </c>
      <c r="AD1448" s="538" t="str">
        <f t="shared" ca="1" si="592"/>
        <v/>
      </c>
      <c r="AE1448" s="537">
        <f t="shared" ca="1" si="593"/>
        <v>0</v>
      </c>
      <c r="AF1448" s="539" t="str">
        <f t="shared" ca="1" si="603"/>
        <v/>
      </c>
      <c r="AG1448" s="531" t="str">
        <f t="shared" ca="1" si="604"/>
        <v/>
      </c>
      <c r="AH1448" s="531" t="str">
        <f t="shared" ca="1" si="605"/>
        <v/>
      </c>
      <c r="AI1448" s="531" t="str">
        <f t="shared" ca="1" si="606"/>
        <v/>
      </c>
      <c r="AJ1448" s="531" t="str">
        <f t="shared" si="607"/>
        <v/>
      </c>
      <c r="AK1448" s="540">
        <f>SUMIFS('Live Collections'!$S:$S,'Live Collections'!$D:$D,Disbursements!B1448,'Live Collections'!$G:$G,Disbursements!C1448)</f>
        <v>0</v>
      </c>
      <c r="AL1448" s="540">
        <f>SUMIFS('Live Collections'!$T:$T,'Live Collections'!$D:$D,Disbursements!B1448,'Live Collections'!$G:$G,Disbursements!C1448)</f>
        <v>0</v>
      </c>
      <c r="AM1448" s="541">
        <f t="shared" si="608"/>
        <v>0</v>
      </c>
      <c r="AN1448" s="542" t="str">
        <f t="shared" si="609"/>
        <v/>
      </c>
      <c r="AO1448" s="542" t="str">
        <f t="shared" si="610"/>
        <v/>
      </c>
      <c r="AP1448" s="543" t="str">
        <f t="shared" si="611"/>
        <v/>
      </c>
      <c r="AQ1448" s="544" t="str">
        <f t="shared" si="612"/>
        <v/>
      </c>
      <c r="AR1448" s="545">
        <f t="shared" si="613"/>
        <v>0</v>
      </c>
      <c r="AS1448" s="545">
        <f>IFERROR(CEILING($AR1448*VLOOKUP($I1448,Ref!$B$23:$E$29,4,0),1),0)</f>
        <v>0</v>
      </c>
      <c r="AT1448" s="545" t="str">
        <f>IF(A1448="","",IF(AP1448&lt;=1,"Cleared",IF(AS1448=0,"Clean",VLOOKUP($AS1448,Ref!$G$23:$H$28,2))))</f>
        <v/>
      </c>
      <c r="AU1448" s="546" t="str">
        <f t="shared" si="614"/>
        <v/>
      </c>
    </row>
    <row r="1449" spans="1:47" ht="14.25" hidden="1" customHeight="1" x14ac:dyDescent="0.15">
      <c r="A1449" s="523"/>
      <c r="B1449" s="523"/>
      <c r="C1449" s="523"/>
      <c r="D1449" s="523"/>
      <c r="E1449" s="579"/>
      <c r="F1449" s="580"/>
      <c r="G1449" s="554"/>
      <c r="H1449" s="555"/>
      <c r="I1449" s="560"/>
      <c r="J1449" s="523"/>
      <c r="K1449" s="528" t="str">
        <f>IFERROR(VLOOKUP($B1449,'Clients-Live'!$A:$C,3,0),"")</f>
        <v/>
      </c>
      <c r="L1449" s="528">
        <f>IF(E1449="STL",Pricing!$D$38,IF(A1449="",0,IF(A1449&lt;Pricing!$C$25,Pricing!$D$25,VLOOKUP(Disbursements!$F1449,Pricing!$B$29:$D$32,3))))</f>
        <v>0</v>
      </c>
      <c r="M1449" s="528">
        <f>IF(E1449="STL",0,IF(F1449&gt;0,Pricing!$D$21,0))</f>
        <v>0</v>
      </c>
      <c r="N1449" s="529">
        <f>IF(E1449="STL",F1449*Pricing!$D$40,IF(A1449&lt;=Pricing!$C$4,0,IF(AND(A1449&gt;Pricing!$C$4,Disbursements!A1449&lt;=Pricing!$C$5),F1449*Pricing!$E$5,IF(AND(A1449&gt;Pricing!$C$5,Disbursements!A1449&lt;=Pricing!$C$7),VLOOKUP(F1449,Pricing!$D$7:$E$8,2)*Disbursements!F1449,F1449*Pricing!$E$9))))</f>
        <v>0</v>
      </c>
      <c r="O1449" s="528">
        <f>IF(E1449="STL",0,IF($F1449&gt;0,$F1449*Pricing!$D$17,0))</f>
        <v>0</v>
      </c>
      <c r="P1449" s="530" t="str">
        <f t="shared" si="594"/>
        <v/>
      </c>
      <c r="Q1449" s="531" t="str">
        <f>IF($A1449="","",$G1449/VLOOKUP($I1449,Ref!$B$23:$D$29,2,0))</f>
        <v/>
      </c>
      <c r="R1449" s="530" t="str">
        <f t="shared" si="595"/>
        <v/>
      </c>
      <c r="S1449" s="532" t="str">
        <f t="shared" si="589"/>
        <v/>
      </c>
      <c r="T1449" s="531" t="str">
        <f t="shared" si="596"/>
        <v/>
      </c>
      <c r="U1449" s="533">
        <f t="shared" si="597"/>
        <v>0</v>
      </c>
      <c r="V1449" s="531" t="str">
        <f t="shared" si="598"/>
        <v/>
      </c>
      <c r="W1449" s="531" t="str">
        <f t="shared" si="599"/>
        <v/>
      </c>
      <c r="X1449" s="534" t="str">
        <f t="shared" si="600"/>
        <v/>
      </c>
      <c r="Y1449" s="535" t="str">
        <f>IF($A1449="","",IF($I1449="weekly",$A1449+7,EDATE($A1449,VLOOKUP($I1449,Ref!$B$24:$C$29,2,0))))</f>
        <v/>
      </c>
      <c r="Z1449" s="536" t="str">
        <f t="shared" si="601"/>
        <v/>
      </c>
      <c r="AA1449" s="531">
        <f t="shared" si="602"/>
        <v>0</v>
      </c>
      <c r="AB1449" s="535" t="str">
        <f t="shared" si="590"/>
        <v/>
      </c>
      <c r="AC1449" s="537" t="str">
        <f t="shared" si="591"/>
        <v/>
      </c>
      <c r="AD1449" s="538" t="str">
        <f t="shared" ca="1" si="592"/>
        <v/>
      </c>
      <c r="AE1449" s="537">
        <f t="shared" ca="1" si="593"/>
        <v>0</v>
      </c>
      <c r="AF1449" s="539" t="str">
        <f t="shared" ca="1" si="603"/>
        <v/>
      </c>
      <c r="AG1449" s="531" t="str">
        <f t="shared" ca="1" si="604"/>
        <v/>
      </c>
      <c r="AH1449" s="531" t="str">
        <f t="shared" ca="1" si="605"/>
        <v/>
      </c>
      <c r="AI1449" s="531" t="str">
        <f t="shared" ca="1" si="606"/>
        <v/>
      </c>
      <c r="AJ1449" s="531" t="str">
        <f t="shared" si="607"/>
        <v/>
      </c>
      <c r="AK1449" s="540">
        <f>SUMIFS('Live Collections'!$S:$S,'Live Collections'!$D:$D,Disbursements!B1449,'Live Collections'!$G:$G,Disbursements!C1449)</f>
        <v>0</v>
      </c>
      <c r="AL1449" s="540">
        <f>SUMIFS('Live Collections'!$T:$T,'Live Collections'!$D:$D,Disbursements!B1449,'Live Collections'!$G:$G,Disbursements!C1449)</f>
        <v>0</v>
      </c>
      <c r="AM1449" s="541">
        <f t="shared" si="608"/>
        <v>0</v>
      </c>
      <c r="AN1449" s="542" t="str">
        <f t="shared" si="609"/>
        <v/>
      </c>
      <c r="AO1449" s="542" t="str">
        <f t="shared" si="610"/>
        <v/>
      </c>
      <c r="AP1449" s="543" t="str">
        <f t="shared" si="611"/>
        <v/>
      </c>
      <c r="AQ1449" s="544" t="str">
        <f t="shared" si="612"/>
        <v/>
      </c>
      <c r="AR1449" s="545">
        <f t="shared" si="613"/>
        <v>0</v>
      </c>
      <c r="AS1449" s="545">
        <f>IFERROR(CEILING($AR1449*VLOOKUP($I1449,Ref!$B$23:$E$29,4,0),1),0)</f>
        <v>0</v>
      </c>
      <c r="AT1449" s="545" t="str">
        <f>IF(A1449="","",IF(AP1449&lt;=1,"Cleared",IF(AS1449=0,"Clean",VLOOKUP($AS1449,Ref!$G$23:$H$28,2))))</f>
        <v/>
      </c>
      <c r="AU1449" s="546" t="str">
        <f t="shared" si="614"/>
        <v/>
      </c>
    </row>
    <row r="1450" spans="1:47" ht="14.25" hidden="1" customHeight="1" x14ac:dyDescent="0.15">
      <c r="A1450" s="575"/>
      <c r="B1450" s="548"/>
      <c r="C1450" s="548"/>
      <c r="D1450" s="548"/>
      <c r="E1450" s="583"/>
      <c r="F1450" s="584"/>
      <c r="G1450" s="548"/>
      <c r="H1450" s="550"/>
      <c r="I1450" s="560"/>
      <c r="J1450" s="548"/>
      <c r="K1450" s="528" t="str">
        <f>IFERROR(VLOOKUP($B1450,'Clients-Live'!$A:$C,3,0),"")</f>
        <v/>
      </c>
      <c r="L1450" s="528">
        <f>IF(E1450="STL",Pricing!$D$38,IF(A1450="",0,IF(A1450&lt;Pricing!$C$25,Pricing!$D$25,VLOOKUP(Disbursements!$F1450,Pricing!$B$29:$D$32,3))))</f>
        <v>0</v>
      </c>
      <c r="M1450" s="528">
        <f>IF(E1450="STL",0,IF(F1450&gt;0,Pricing!$D$21,0))</f>
        <v>0</v>
      </c>
      <c r="N1450" s="529">
        <f>IF(E1450="STL",F1450*Pricing!$D$40,IF(A1450&lt;=Pricing!$C$4,0,IF(AND(A1450&gt;Pricing!$C$4,Disbursements!A1450&lt;=Pricing!$C$5),F1450*Pricing!$E$5,IF(AND(A1450&gt;Pricing!$C$5,Disbursements!A1450&lt;=Pricing!$C$7),VLOOKUP(F1450,Pricing!$D$7:$E$8,2)*Disbursements!F1450,F1450*Pricing!$E$9))))</f>
        <v>0</v>
      </c>
      <c r="O1450" s="528">
        <f>IF(E1450="STL",0,IF($F1450&gt;0,$F1450*Pricing!$D$17,0))</f>
        <v>0</v>
      </c>
      <c r="P1450" s="530" t="str">
        <f t="shared" si="594"/>
        <v/>
      </c>
      <c r="Q1450" s="531" t="str">
        <f>IF($A1450="","",$G1450/VLOOKUP($I1450,Ref!$B$23:$D$29,2,0))</f>
        <v/>
      </c>
      <c r="R1450" s="530" t="str">
        <f t="shared" si="595"/>
        <v/>
      </c>
      <c r="S1450" s="532" t="str">
        <f t="shared" si="589"/>
        <v/>
      </c>
      <c r="T1450" s="531" t="str">
        <f t="shared" si="596"/>
        <v/>
      </c>
      <c r="U1450" s="533">
        <f t="shared" si="597"/>
        <v>0</v>
      </c>
      <c r="V1450" s="531" t="str">
        <f t="shared" si="598"/>
        <v/>
      </c>
      <c r="W1450" s="531" t="str">
        <f t="shared" si="599"/>
        <v/>
      </c>
      <c r="X1450" s="534" t="str">
        <f t="shared" si="600"/>
        <v/>
      </c>
      <c r="Y1450" s="535" t="str">
        <f>IF($A1450="","",IF($I1450="weekly",$A1450+7,EDATE($A1450,VLOOKUP($I1450,Ref!$B$24:$C$29,2,0))))</f>
        <v/>
      </c>
      <c r="Z1450" s="536" t="str">
        <f t="shared" si="601"/>
        <v/>
      </c>
      <c r="AA1450" s="531">
        <f t="shared" si="602"/>
        <v>0</v>
      </c>
      <c r="AB1450" s="535" t="str">
        <f t="shared" si="590"/>
        <v/>
      </c>
      <c r="AC1450" s="537" t="str">
        <f t="shared" si="591"/>
        <v/>
      </c>
      <c r="AD1450" s="538" t="str">
        <f t="shared" ca="1" si="592"/>
        <v/>
      </c>
      <c r="AE1450" s="537">
        <f t="shared" ca="1" si="593"/>
        <v>0</v>
      </c>
      <c r="AF1450" s="539" t="str">
        <f t="shared" ca="1" si="603"/>
        <v/>
      </c>
      <c r="AG1450" s="531" t="str">
        <f t="shared" ca="1" si="604"/>
        <v/>
      </c>
      <c r="AH1450" s="531" t="str">
        <f t="shared" ca="1" si="605"/>
        <v/>
      </c>
      <c r="AI1450" s="531" t="str">
        <f t="shared" ca="1" si="606"/>
        <v/>
      </c>
      <c r="AJ1450" s="531" t="str">
        <f t="shared" si="607"/>
        <v/>
      </c>
      <c r="AK1450" s="540">
        <f>SUMIFS('Live Collections'!$S:$S,'Live Collections'!$D:$D,Disbursements!B1450,'Live Collections'!$G:$G,Disbursements!C1450)</f>
        <v>0</v>
      </c>
      <c r="AL1450" s="540">
        <f>SUMIFS('Live Collections'!$T:$T,'Live Collections'!$D:$D,Disbursements!B1450,'Live Collections'!$G:$G,Disbursements!C1450)</f>
        <v>0</v>
      </c>
      <c r="AM1450" s="541">
        <f t="shared" si="608"/>
        <v>0</v>
      </c>
      <c r="AN1450" s="542" t="str">
        <f t="shared" si="609"/>
        <v/>
      </c>
      <c r="AO1450" s="542" t="str">
        <f t="shared" si="610"/>
        <v/>
      </c>
      <c r="AP1450" s="543" t="str">
        <f t="shared" si="611"/>
        <v/>
      </c>
      <c r="AQ1450" s="544" t="str">
        <f t="shared" si="612"/>
        <v/>
      </c>
      <c r="AR1450" s="545">
        <f t="shared" si="613"/>
        <v>0</v>
      </c>
      <c r="AS1450" s="545">
        <f>IFERROR(CEILING($AR1450*VLOOKUP($I1450,Ref!$B$23:$E$29,4,0),1),0)</f>
        <v>0</v>
      </c>
      <c r="AT1450" s="545" t="str">
        <f>IF(A1450="","",IF(AP1450&lt;=1,"Cleared",IF(AS1450=0,"Clean",VLOOKUP($AS1450,Ref!$G$23:$H$28,2))))</f>
        <v/>
      </c>
      <c r="AU1450" s="546" t="str">
        <f t="shared" si="614"/>
        <v/>
      </c>
    </row>
    <row r="1451" spans="1:47" ht="14.25" hidden="1" customHeight="1" x14ac:dyDescent="0.15">
      <c r="A1451" s="575"/>
      <c r="B1451" s="548"/>
      <c r="C1451" s="548"/>
      <c r="D1451" s="548"/>
      <c r="E1451" s="583"/>
      <c r="F1451" s="584"/>
      <c r="G1451" s="548"/>
      <c r="H1451" s="550"/>
      <c r="I1451" s="560"/>
      <c r="J1451" s="548"/>
      <c r="K1451" s="528" t="str">
        <f>IFERROR(VLOOKUP($B1451,'Clients-Live'!$A:$C,3,0),"")</f>
        <v/>
      </c>
      <c r="L1451" s="528">
        <f>IF(E1451="STL",Pricing!$D$38,IF(A1451="",0,IF(A1451&lt;Pricing!$C$25,Pricing!$D$25,VLOOKUP(Disbursements!$F1451,Pricing!$B$29:$D$32,3))))</f>
        <v>0</v>
      </c>
      <c r="M1451" s="528">
        <f>IF(E1451="STL",0,IF(F1451&gt;0,Pricing!$D$21,0))</f>
        <v>0</v>
      </c>
      <c r="N1451" s="529">
        <f>IF(E1451="STL",F1451*Pricing!$D$40,IF(A1451&lt;=Pricing!$C$4,0,IF(AND(A1451&gt;Pricing!$C$4,Disbursements!A1451&lt;=Pricing!$C$5),F1451*Pricing!$E$5,IF(AND(A1451&gt;Pricing!$C$5,Disbursements!A1451&lt;=Pricing!$C$7),VLOOKUP(F1451,Pricing!$D$7:$E$8,2)*Disbursements!F1451,F1451*Pricing!$E$9))))</f>
        <v>0</v>
      </c>
      <c r="O1451" s="528">
        <f>IF(E1451="STL",0,IF($F1451&gt;0,$F1451*Pricing!$D$17,0))</f>
        <v>0</v>
      </c>
      <c r="P1451" s="530" t="str">
        <f t="shared" si="594"/>
        <v/>
      </c>
      <c r="Q1451" s="531" t="str">
        <f>IF($A1451="","",$G1451/VLOOKUP($I1451,Ref!$B$23:$D$29,2,0))</f>
        <v/>
      </c>
      <c r="R1451" s="530" t="str">
        <f t="shared" si="595"/>
        <v/>
      </c>
      <c r="S1451" s="532" t="str">
        <f t="shared" si="589"/>
        <v/>
      </c>
      <c r="T1451" s="531" t="str">
        <f t="shared" si="596"/>
        <v/>
      </c>
      <c r="U1451" s="533">
        <f t="shared" si="597"/>
        <v>0</v>
      </c>
      <c r="V1451" s="531" t="str">
        <f t="shared" si="598"/>
        <v/>
      </c>
      <c r="W1451" s="531" t="str">
        <f t="shared" si="599"/>
        <v/>
      </c>
      <c r="X1451" s="534" t="str">
        <f t="shared" si="600"/>
        <v/>
      </c>
      <c r="Y1451" s="535" t="str">
        <f>IF($A1451="","",IF($I1451="weekly",$A1451+7,EDATE($A1451,VLOOKUP($I1451,Ref!$B$24:$C$29,2,0))))</f>
        <v/>
      </c>
      <c r="Z1451" s="536" t="str">
        <f t="shared" si="601"/>
        <v/>
      </c>
      <c r="AA1451" s="531">
        <f t="shared" si="602"/>
        <v>0</v>
      </c>
      <c r="AB1451" s="535" t="str">
        <f t="shared" si="590"/>
        <v/>
      </c>
      <c r="AC1451" s="537" t="str">
        <f t="shared" si="591"/>
        <v/>
      </c>
      <c r="AD1451" s="538" t="str">
        <f t="shared" ca="1" si="592"/>
        <v/>
      </c>
      <c r="AE1451" s="537">
        <f t="shared" ca="1" si="593"/>
        <v>0</v>
      </c>
      <c r="AF1451" s="539" t="str">
        <f t="shared" ca="1" si="603"/>
        <v/>
      </c>
      <c r="AG1451" s="531" t="str">
        <f t="shared" ca="1" si="604"/>
        <v/>
      </c>
      <c r="AH1451" s="531" t="str">
        <f t="shared" ca="1" si="605"/>
        <v/>
      </c>
      <c r="AI1451" s="531" t="str">
        <f t="shared" ca="1" si="606"/>
        <v/>
      </c>
      <c r="AJ1451" s="531" t="str">
        <f t="shared" si="607"/>
        <v/>
      </c>
      <c r="AK1451" s="540">
        <f>SUMIFS('Live Collections'!$S:$S,'Live Collections'!$D:$D,Disbursements!B1451,'Live Collections'!$G:$G,Disbursements!C1451)</f>
        <v>0</v>
      </c>
      <c r="AL1451" s="540">
        <f>SUMIFS('Live Collections'!$T:$T,'Live Collections'!$D:$D,Disbursements!B1451,'Live Collections'!$G:$G,Disbursements!C1451)</f>
        <v>0</v>
      </c>
      <c r="AM1451" s="541">
        <f t="shared" si="608"/>
        <v>0</v>
      </c>
      <c r="AN1451" s="542" t="str">
        <f t="shared" si="609"/>
        <v/>
      </c>
      <c r="AO1451" s="542" t="str">
        <f t="shared" si="610"/>
        <v/>
      </c>
      <c r="AP1451" s="543" t="str">
        <f t="shared" si="611"/>
        <v/>
      </c>
      <c r="AQ1451" s="544" t="str">
        <f t="shared" si="612"/>
        <v/>
      </c>
      <c r="AR1451" s="545">
        <f t="shared" si="613"/>
        <v>0</v>
      </c>
      <c r="AS1451" s="545">
        <f>IFERROR(CEILING($AR1451*VLOOKUP($I1451,Ref!$B$23:$E$29,4,0),1),0)</f>
        <v>0</v>
      </c>
      <c r="AT1451" s="545" t="str">
        <f>IF(A1451="","",IF(AP1451&lt;=1,"Cleared",IF(AS1451=0,"Clean",VLOOKUP($AS1451,Ref!$G$23:$H$28,2))))</f>
        <v/>
      </c>
      <c r="AU1451" s="546" t="str">
        <f t="shared" si="614"/>
        <v/>
      </c>
    </row>
    <row r="1452" spans="1:47" ht="14.25" hidden="1" customHeight="1" x14ac:dyDescent="0.15">
      <c r="A1452" s="575"/>
      <c r="B1452" s="548"/>
      <c r="C1452" s="548"/>
      <c r="D1452" s="548"/>
      <c r="E1452" s="583"/>
      <c r="F1452" s="584"/>
      <c r="G1452" s="548"/>
      <c r="H1452" s="550"/>
      <c r="I1452" s="560"/>
      <c r="J1452" s="548"/>
      <c r="K1452" s="528" t="str">
        <f>IFERROR(VLOOKUP($B1452,'Clients-Live'!$A:$C,3,0),"")</f>
        <v/>
      </c>
      <c r="L1452" s="528">
        <f>IF(E1452="STL",Pricing!$D$38,IF(A1452="",0,IF(A1452&lt;Pricing!$C$25,Pricing!$D$25,VLOOKUP(Disbursements!$F1452,Pricing!$B$29:$D$32,3))))</f>
        <v>0</v>
      </c>
      <c r="M1452" s="528">
        <f>IF(E1452="STL",0,IF(F1452&gt;0,Pricing!$D$21,0))</f>
        <v>0</v>
      </c>
      <c r="N1452" s="529">
        <f>IF(E1452="STL",F1452*Pricing!$D$40,IF(A1452&lt;=Pricing!$C$4,0,IF(AND(A1452&gt;Pricing!$C$4,Disbursements!A1452&lt;=Pricing!$C$5),F1452*Pricing!$E$5,IF(AND(A1452&gt;Pricing!$C$5,Disbursements!A1452&lt;=Pricing!$C$7),VLOOKUP(F1452,Pricing!$D$7:$E$8,2)*Disbursements!F1452,F1452*Pricing!$E$9))))</f>
        <v>0</v>
      </c>
      <c r="O1452" s="528">
        <f>IF(E1452="STL",0,IF($F1452&gt;0,$F1452*Pricing!$D$17,0))</f>
        <v>0</v>
      </c>
      <c r="P1452" s="530" t="str">
        <f t="shared" si="594"/>
        <v/>
      </c>
      <c r="Q1452" s="531" t="str">
        <f>IF($A1452="","",$G1452/VLOOKUP($I1452,Ref!$B$23:$D$29,2,0))</f>
        <v/>
      </c>
      <c r="R1452" s="530" t="str">
        <f t="shared" si="595"/>
        <v/>
      </c>
      <c r="S1452" s="532" t="str">
        <f t="shared" si="589"/>
        <v/>
      </c>
      <c r="T1452" s="531" t="str">
        <f t="shared" si="596"/>
        <v/>
      </c>
      <c r="U1452" s="533">
        <f t="shared" si="597"/>
        <v>0</v>
      </c>
      <c r="V1452" s="531" t="str">
        <f t="shared" si="598"/>
        <v/>
      </c>
      <c r="W1452" s="531" t="str">
        <f t="shared" si="599"/>
        <v/>
      </c>
      <c r="X1452" s="534" t="str">
        <f t="shared" si="600"/>
        <v/>
      </c>
      <c r="Y1452" s="535" t="str">
        <f>IF($A1452="","",IF($I1452="weekly",$A1452+7,EDATE($A1452,VLOOKUP($I1452,Ref!$B$24:$C$29,2,0))))</f>
        <v/>
      </c>
      <c r="Z1452" s="536" t="str">
        <f t="shared" si="601"/>
        <v/>
      </c>
      <c r="AA1452" s="531">
        <f t="shared" si="602"/>
        <v>0</v>
      </c>
      <c r="AB1452" s="535" t="str">
        <f t="shared" si="590"/>
        <v/>
      </c>
      <c r="AC1452" s="537" t="str">
        <f t="shared" si="591"/>
        <v/>
      </c>
      <c r="AD1452" s="538" t="str">
        <f t="shared" ca="1" si="592"/>
        <v/>
      </c>
      <c r="AE1452" s="537">
        <f t="shared" ca="1" si="593"/>
        <v>0</v>
      </c>
      <c r="AF1452" s="539" t="str">
        <f t="shared" ca="1" si="603"/>
        <v/>
      </c>
      <c r="AG1452" s="531" t="str">
        <f t="shared" ca="1" si="604"/>
        <v/>
      </c>
      <c r="AH1452" s="531" t="str">
        <f t="shared" ca="1" si="605"/>
        <v/>
      </c>
      <c r="AI1452" s="531" t="str">
        <f t="shared" ca="1" si="606"/>
        <v/>
      </c>
      <c r="AJ1452" s="531" t="str">
        <f t="shared" si="607"/>
        <v/>
      </c>
      <c r="AK1452" s="540">
        <f>SUMIFS('Live Collections'!$S:$S,'Live Collections'!$D:$D,Disbursements!B1452,'Live Collections'!$G:$G,Disbursements!C1452)</f>
        <v>0</v>
      </c>
      <c r="AL1452" s="540">
        <f>SUMIFS('Live Collections'!$T:$T,'Live Collections'!$D:$D,Disbursements!B1452,'Live Collections'!$G:$G,Disbursements!C1452)</f>
        <v>0</v>
      </c>
      <c r="AM1452" s="541">
        <f t="shared" si="608"/>
        <v>0</v>
      </c>
      <c r="AN1452" s="542" t="str">
        <f t="shared" si="609"/>
        <v/>
      </c>
      <c r="AO1452" s="542" t="str">
        <f t="shared" si="610"/>
        <v/>
      </c>
      <c r="AP1452" s="543" t="str">
        <f t="shared" si="611"/>
        <v/>
      </c>
      <c r="AQ1452" s="544" t="str">
        <f t="shared" si="612"/>
        <v/>
      </c>
      <c r="AR1452" s="545">
        <f t="shared" si="613"/>
        <v>0</v>
      </c>
      <c r="AS1452" s="545">
        <f>IFERROR(CEILING($AR1452*VLOOKUP($I1452,Ref!$B$23:$E$29,4,0),1),0)</f>
        <v>0</v>
      </c>
      <c r="AT1452" s="545" t="str">
        <f>IF(A1452="","",IF(AP1452&lt;=1,"Cleared",IF(AS1452=0,"Clean",VLOOKUP($AS1452,Ref!$G$23:$H$28,2))))</f>
        <v/>
      </c>
      <c r="AU1452" s="546" t="str">
        <f t="shared" si="614"/>
        <v/>
      </c>
    </row>
    <row r="1453" spans="1:47" ht="14.25" hidden="1" customHeight="1" x14ac:dyDescent="0.15">
      <c r="A1453" s="575"/>
      <c r="B1453" s="548"/>
      <c r="C1453" s="548"/>
      <c r="D1453" s="548"/>
      <c r="E1453" s="583"/>
      <c r="F1453" s="584"/>
      <c r="G1453" s="548"/>
      <c r="H1453" s="550"/>
      <c r="I1453" s="560"/>
      <c r="J1453" s="548"/>
      <c r="K1453" s="528" t="str">
        <f>IFERROR(VLOOKUP($B1453,'Clients-Live'!$A:$C,3,0),"")</f>
        <v/>
      </c>
      <c r="L1453" s="528">
        <f>IF(E1453="STL",Pricing!$D$38,IF(A1453="",0,IF(A1453&lt;Pricing!$C$25,Pricing!$D$25,VLOOKUP(Disbursements!$F1453,Pricing!$B$29:$D$32,3))))</f>
        <v>0</v>
      </c>
      <c r="M1453" s="528">
        <f>IF(E1453="STL",0,IF(F1453&gt;0,Pricing!$D$21,0))</f>
        <v>0</v>
      </c>
      <c r="N1453" s="529">
        <f>IF(E1453="STL",F1453*Pricing!$D$40,IF(A1453&lt;=Pricing!$C$4,0,IF(AND(A1453&gt;Pricing!$C$4,Disbursements!A1453&lt;=Pricing!$C$5),F1453*Pricing!$E$5,IF(AND(A1453&gt;Pricing!$C$5,Disbursements!A1453&lt;=Pricing!$C$7),VLOOKUP(F1453,Pricing!$D$7:$E$8,2)*Disbursements!F1453,F1453*Pricing!$E$9))))</f>
        <v>0</v>
      </c>
      <c r="O1453" s="528">
        <f>IF(E1453="STL",0,IF($F1453&gt;0,$F1453*Pricing!$D$17,0))</f>
        <v>0</v>
      </c>
      <c r="P1453" s="530" t="str">
        <f t="shared" si="594"/>
        <v/>
      </c>
      <c r="Q1453" s="531" t="str">
        <f>IF($A1453="","",$G1453/VLOOKUP($I1453,Ref!$B$23:$D$29,2,0))</f>
        <v/>
      </c>
      <c r="R1453" s="530" t="str">
        <f t="shared" si="595"/>
        <v/>
      </c>
      <c r="S1453" s="532" t="str">
        <f t="shared" si="589"/>
        <v/>
      </c>
      <c r="T1453" s="531" t="str">
        <f t="shared" si="596"/>
        <v/>
      </c>
      <c r="U1453" s="533">
        <f t="shared" si="597"/>
        <v>0</v>
      </c>
      <c r="V1453" s="531" t="str">
        <f t="shared" si="598"/>
        <v/>
      </c>
      <c r="W1453" s="531" t="str">
        <f t="shared" si="599"/>
        <v/>
      </c>
      <c r="X1453" s="534" t="str">
        <f t="shared" si="600"/>
        <v/>
      </c>
      <c r="Y1453" s="535" t="str">
        <f>IF($A1453="","",IF($I1453="weekly",$A1453+7,EDATE($A1453,VLOOKUP($I1453,Ref!$B$24:$C$29,2,0))))</f>
        <v/>
      </c>
      <c r="Z1453" s="536" t="str">
        <f t="shared" si="601"/>
        <v/>
      </c>
      <c r="AA1453" s="531">
        <f t="shared" si="602"/>
        <v>0</v>
      </c>
      <c r="AB1453" s="535" t="str">
        <f t="shared" si="590"/>
        <v/>
      </c>
      <c r="AC1453" s="537" t="str">
        <f t="shared" si="591"/>
        <v/>
      </c>
      <c r="AD1453" s="538" t="str">
        <f t="shared" ca="1" si="592"/>
        <v/>
      </c>
      <c r="AE1453" s="537">
        <f t="shared" ca="1" si="593"/>
        <v>0</v>
      </c>
      <c r="AF1453" s="539" t="str">
        <f t="shared" ca="1" si="603"/>
        <v/>
      </c>
      <c r="AG1453" s="531" t="str">
        <f t="shared" ca="1" si="604"/>
        <v/>
      </c>
      <c r="AH1453" s="531" t="str">
        <f t="shared" ca="1" si="605"/>
        <v/>
      </c>
      <c r="AI1453" s="531" t="str">
        <f t="shared" ca="1" si="606"/>
        <v/>
      </c>
      <c r="AJ1453" s="531" t="str">
        <f t="shared" si="607"/>
        <v/>
      </c>
      <c r="AK1453" s="540">
        <f>SUMIFS('Live Collections'!$S:$S,'Live Collections'!$D:$D,Disbursements!B1453,'Live Collections'!$G:$G,Disbursements!C1453)</f>
        <v>0</v>
      </c>
      <c r="AL1453" s="540">
        <f>SUMIFS('Live Collections'!$T:$T,'Live Collections'!$D:$D,Disbursements!B1453,'Live Collections'!$G:$G,Disbursements!C1453)</f>
        <v>0</v>
      </c>
      <c r="AM1453" s="541">
        <f t="shared" si="608"/>
        <v>0</v>
      </c>
      <c r="AN1453" s="542" t="str">
        <f t="shared" si="609"/>
        <v/>
      </c>
      <c r="AO1453" s="542" t="str">
        <f t="shared" si="610"/>
        <v/>
      </c>
      <c r="AP1453" s="543" t="str">
        <f t="shared" si="611"/>
        <v/>
      </c>
      <c r="AQ1453" s="544" t="str">
        <f t="shared" si="612"/>
        <v/>
      </c>
      <c r="AR1453" s="545">
        <f t="shared" si="613"/>
        <v>0</v>
      </c>
      <c r="AS1453" s="545">
        <f>IFERROR(CEILING($AR1453*VLOOKUP($I1453,Ref!$B$23:$E$29,4,0),1),0)</f>
        <v>0</v>
      </c>
      <c r="AT1453" s="545" t="str">
        <f>IF(A1453="","",IF(AP1453&lt;=1,"Cleared",IF(AS1453=0,"Clean",VLOOKUP($AS1453,Ref!$G$23:$H$28,2))))</f>
        <v/>
      </c>
      <c r="AU1453" s="546" t="str">
        <f t="shared" si="614"/>
        <v/>
      </c>
    </row>
    <row r="1454" spans="1:47" ht="14.25" hidden="1" customHeight="1" x14ac:dyDescent="0.15">
      <c r="A1454" s="575"/>
      <c r="B1454" s="548"/>
      <c r="C1454" s="548"/>
      <c r="D1454" s="548"/>
      <c r="E1454" s="583"/>
      <c r="F1454" s="584"/>
      <c r="G1454" s="548"/>
      <c r="H1454" s="550"/>
      <c r="I1454" s="560"/>
      <c r="J1454" s="548"/>
      <c r="K1454" s="528" t="str">
        <f>IFERROR(VLOOKUP($B1454,'Clients-Live'!$A:$C,3,0),"")</f>
        <v/>
      </c>
      <c r="L1454" s="528">
        <f>IF(E1454="STL",Pricing!$D$38,IF(A1454="",0,IF(A1454&lt;Pricing!$C$25,Pricing!$D$25,VLOOKUP(Disbursements!$F1454,Pricing!$B$29:$D$32,3))))</f>
        <v>0</v>
      </c>
      <c r="M1454" s="528">
        <f>IF(E1454="STL",0,IF(F1454&gt;0,Pricing!$D$21,0))</f>
        <v>0</v>
      </c>
      <c r="N1454" s="529">
        <f>IF(E1454="STL",F1454*Pricing!$D$40,IF(A1454&lt;=Pricing!$C$4,0,IF(AND(A1454&gt;Pricing!$C$4,Disbursements!A1454&lt;=Pricing!$C$5),F1454*Pricing!$E$5,IF(AND(A1454&gt;Pricing!$C$5,Disbursements!A1454&lt;=Pricing!$C$7),VLOOKUP(F1454,Pricing!$D$7:$E$8,2)*Disbursements!F1454,F1454*Pricing!$E$9))))</f>
        <v>0</v>
      </c>
      <c r="O1454" s="528">
        <f>IF(E1454="STL",0,IF($F1454&gt;0,$F1454*Pricing!$D$17,0))</f>
        <v>0</v>
      </c>
      <c r="P1454" s="530" t="str">
        <f t="shared" si="594"/>
        <v/>
      </c>
      <c r="Q1454" s="531" t="str">
        <f>IF($A1454="","",$G1454/VLOOKUP($I1454,Ref!$B$23:$D$29,2,0))</f>
        <v/>
      </c>
      <c r="R1454" s="530" t="str">
        <f t="shared" si="595"/>
        <v/>
      </c>
      <c r="S1454" s="532" t="str">
        <f t="shared" si="589"/>
        <v/>
      </c>
      <c r="T1454" s="531" t="str">
        <f t="shared" si="596"/>
        <v/>
      </c>
      <c r="U1454" s="533">
        <f t="shared" si="597"/>
        <v>0</v>
      </c>
      <c r="V1454" s="531" t="str">
        <f t="shared" si="598"/>
        <v/>
      </c>
      <c r="W1454" s="531" t="str">
        <f t="shared" si="599"/>
        <v/>
      </c>
      <c r="X1454" s="534" t="str">
        <f t="shared" si="600"/>
        <v/>
      </c>
      <c r="Y1454" s="535" t="str">
        <f>IF($A1454="","",IF($I1454="weekly",$A1454+7,EDATE($A1454,VLOOKUP($I1454,Ref!$B$24:$C$29,2,0))))</f>
        <v/>
      </c>
      <c r="Z1454" s="536" t="str">
        <f t="shared" si="601"/>
        <v/>
      </c>
      <c r="AA1454" s="531">
        <f t="shared" si="602"/>
        <v>0</v>
      </c>
      <c r="AB1454" s="535" t="str">
        <f t="shared" si="590"/>
        <v/>
      </c>
      <c r="AC1454" s="537" t="str">
        <f t="shared" si="591"/>
        <v/>
      </c>
      <c r="AD1454" s="538" t="str">
        <f t="shared" ca="1" si="592"/>
        <v/>
      </c>
      <c r="AE1454" s="537">
        <f t="shared" ca="1" si="593"/>
        <v>0</v>
      </c>
      <c r="AF1454" s="539" t="str">
        <f t="shared" ca="1" si="603"/>
        <v/>
      </c>
      <c r="AG1454" s="531" t="str">
        <f t="shared" ca="1" si="604"/>
        <v/>
      </c>
      <c r="AH1454" s="531" t="str">
        <f t="shared" ca="1" si="605"/>
        <v/>
      </c>
      <c r="AI1454" s="531" t="str">
        <f t="shared" ca="1" si="606"/>
        <v/>
      </c>
      <c r="AJ1454" s="531" t="str">
        <f t="shared" si="607"/>
        <v/>
      </c>
      <c r="AK1454" s="540">
        <f>SUMIFS('Live Collections'!$S:$S,'Live Collections'!$D:$D,Disbursements!B1454,'Live Collections'!$G:$G,Disbursements!C1454)</f>
        <v>0</v>
      </c>
      <c r="AL1454" s="540">
        <f>SUMIFS('Live Collections'!$T:$T,'Live Collections'!$D:$D,Disbursements!B1454,'Live Collections'!$G:$G,Disbursements!C1454)</f>
        <v>0</v>
      </c>
      <c r="AM1454" s="541">
        <f t="shared" si="608"/>
        <v>0</v>
      </c>
      <c r="AN1454" s="542" t="str">
        <f t="shared" si="609"/>
        <v/>
      </c>
      <c r="AO1454" s="542" t="str">
        <f t="shared" si="610"/>
        <v/>
      </c>
      <c r="AP1454" s="543" t="str">
        <f t="shared" si="611"/>
        <v/>
      </c>
      <c r="AQ1454" s="544" t="str">
        <f t="shared" si="612"/>
        <v/>
      </c>
      <c r="AR1454" s="545">
        <f t="shared" si="613"/>
        <v>0</v>
      </c>
      <c r="AS1454" s="545">
        <f>IFERROR(CEILING($AR1454*VLOOKUP($I1454,Ref!$B$23:$E$29,4,0),1),0)</f>
        <v>0</v>
      </c>
      <c r="AT1454" s="545" t="str">
        <f>IF(A1454="","",IF(AP1454&lt;=1,"Cleared",IF(AS1454=0,"Clean",VLOOKUP($AS1454,Ref!$G$23:$H$28,2))))</f>
        <v/>
      </c>
      <c r="AU1454" s="546" t="str">
        <f t="shared" si="614"/>
        <v/>
      </c>
    </row>
    <row r="1455" spans="1:47" ht="14.25" hidden="1" customHeight="1" x14ac:dyDescent="0.15">
      <c r="A1455" s="575"/>
      <c r="B1455" s="548"/>
      <c r="C1455" s="548"/>
      <c r="D1455" s="548"/>
      <c r="E1455" s="583"/>
      <c r="F1455" s="584"/>
      <c r="G1455" s="548"/>
      <c r="H1455" s="550"/>
      <c r="I1455" s="560"/>
      <c r="J1455" s="548"/>
      <c r="K1455" s="528" t="str">
        <f>IFERROR(VLOOKUP($B1455,'Clients-Live'!$A:$C,3,0),"")</f>
        <v/>
      </c>
      <c r="L1455" s="528">
        <f>IF(E1455="STL",Pricing!$D$38,IF(A1455="",0,IF(A1455&lt;Pricing!$C$25,Pricing!$D$25,VLOOKUP(Disbursements!$F1455,Pricing!$B$29:$D$32,3))))</f>
        <v>0</v>
      </c>
      <c r="M1455" s="528">
        <f>IF(E1455="STL",0,IF(F1455&gt;0,Pricing!$D$21,0))</f>
        <v>0</v>
      </c>
      <c r="N1455" s="529">
        <f>IF(E1455="STL",F1455*Pricing!$D$40,IF(A1455&lt;=Pricing!$C$4,0,IF(AND(A1455&gt;Pricing!$C$4,Disbursements!A1455&lt;=Pricing!$C$5),F1455*Pricing!$E$5,IF(AND(A1455&gt;Pricing!$C$5,Disbursements!A1455&lt;=Pricing!$C$7),VLOOKUP(F1455,Pricing!$D$7:$E$8,2)*Disbursements!F1455,F1455*Pricing!$E$9))))</f>
        <v>0</v>
      </c>
      <c r="O1455" s="528">
        <f>IF(E1455="STL",0,IF($F1455&gt;0,$F1455*Pricing!$D$17,0))</f>
        <v>0</v>
      </c>
      <c r="P1455" s="530" t="str">
        <f t="shared" si="594"/>
        <v/>
      </c>
      <c r="Q1455" s="531" t="str">
        <f>IF($A1455="","",$G1455/VLOOKUP($I1455,Ref!$B$23:$D$29,2,0))</f>
        <v/>
      </c>
      <c r="R1455" s="530" t="str">
        <f t="shared" si="595"/>
        <v/>
      </c>
      <c r="S1455" s="532" t="str">
        <f t="shared" si="589"/>
        <v/>
      </c>
      <c r="T1455" s="531" t="str">
        <f t="shared" si="596"/>
        <v/>
      </c>
      <c r="U1455" s="533">
        <f t="shared" si="597"/>
        <v>0</v>
      </c>
      <c r="V1455" s="531" t="str">
        <f t="shared" si="598"/>
        <v/>
      </c>
      <c r="W1455" s="531" t="str">
        <f t="shared" si="599"/>
        <v/>
      </c>
      <c r="X1455" s="534" t="str">
        <f t="shared" si="600"/>
        <v/>
      </c>
      <c r="Y1455" s="535" t="str">
        <f>IF($A1455="","",IF($I1455="weekly",$A1455+7,EDATE($A1455,VLOOKUP($I1455,Ref!$B$24:$C$29,2,0))))</f>
        <v/>
      </c>
      <c r="Z1455" s="536" t="str">
        <f t="shared" si="601"/>
        <v/>
      </c>
      <c r="AA1455" s="531">
        <f t="shared" si="602"/>
        <v>0</v>
      </c>
      <c r="AB1455" s="535" t="str">
        <f t="shared" si="590"/>
        <v/>
      </c>
      <c r="AC1455" s="537" t="str">
        <f t="shared" si="591"/>
        <v/>
      </c>
      <c r="AD1455" s="538" t="str">
        <f t="shared" ca="1" si="592"/>
        <v/>
      </c>
      <c r="AE1455" s="537">
        <f t="shared" ca="1" si="593"/>
        <v>0</v>
      </c>
      <c r="AF1455" s="539" t="str">
        <f t="shared" ca="1" si="603"/>
        <v/>
      </c>
      <c r="AG1455" s="531" t="str">
        <f t="shared" ca="1" si="604"/>
        <v/>
      </c>
      <c r="AH1455" s="531" t="str">
        <f t="shared" ca="1" si="605"/>
        <v/>
      </c>
      <c r="AI1455" s="531" t="str">
        <f t="shared" ca="1" si="606"/>
        <v/>
      </c>
      <c r="AJ1455" s="531" t="str">
        <f t="shared" si="607"/>
        <v/>
      </c>
      <c r="AK1455" s="540">
        <f>SUMIFS('Live Collections'!$S:$S,'Live Collections'!$D:$D,Disbursements!B1455,'Live Collections'!$G:$G,Disbursements!C1455)</f>
        <v>0</v>
      </c>
      <c r="AL1455" s="540">
        <f>SUMIFS('Live Collections'!$T:$T,'Live Collections'!$D:$D,Disbursements!B1455,'Live Collections'!$G:$G,Disbursements!C1455)</f>
        <v>0</v>
      </c>
      <c r="AM1455" s="541">
        <f t="shared" si="608"/>
        <v>0</v>
      </c>
      <c r="AN1455" s="542" t="str">
        <f t="shared" si="609"/>
        <v/>
      </c>
      <c r="AO1455" s="542" t="str">
        <f t="shared" si="610"/>
        <v/>
      </c>
      <c r="AP1455" s="543" t="str">
        <f t="shared" si="611"/>
        <v/>
      </c>
      <c r="AQ1455" s="544" t="str">
        <f t="shared" si="612"/>
        <v/>
      </c>
      <c r="AR1455" s="545">
        <f t="shared" si="613"/>
        <v>0</v>
      </c>
      <c r="AS1455" s="545">
        <f>IFERROR(CEILING($AR1455*VLOOKUP($I1455,Ref!$B$23:$E$29,4,0),1),0)</f>
        <v>0</v>
      </c>
      <c r="AT1455" s="545" t="str">
        <f>IF(A1455="","",IF(AP1455&lt;=1,"Cleared",IF(AS1455=0,"Clean",VLOOKUP($AS1455,Ref!$G$23:$H$28,2))))</f>
        <v/>
      </c>
      <c r="AU1455" s="546" t="str">
        <f t="shared" si="614"/>
        <v/>
      </c>
    </row>
    <row r="1456" spans="1:47" ht="14.25" hidden="1" customHeight="1" x14ac:dyDescent="0.15">
      <c r="A1456" s="575"/>
      <c r="B1456" s="548"/>
      <c r="C1456" s="548"/>
      <c r="D1456" s="548"/>
      <c r="E1456" s="583"/>
      <c r="F1456" s="584"/>
      <c r="G1456" s="548"/>
      <c r="H1456" s="550"/>
      <c r="I1456" s="560"/>
      <c r="J1456" s="548"/>
      <c r="K1456" s="528" t="str">
        <f>IFERROR(VLOOKUP($B1456,'Clients-Live'!$A:$C,3,0),"")</f>
        <v/>
      </c>
      <c r="L1456" s="528">
        <f>IF(E1456="STL",Pricing!$D$38,IF(A1456="",0,IF(A1456&lt;Pricing!$C$25,Pricing!$D$25,VLOOKUP(Disbursements!$F1456,Pricing!$B$29:$D$32,3))))</f>
        <v>0</v>
      </c>
      <c r="M1456" s="528">
        <f>IF(E1456="STL",0,IF(F1456&gt;0,Pricing!$D$21,0))</f>
        <v>0</v>
      </c>
      <c r="N1456" s="529">
        <f>IF(E1456="STL",F1456*Pricing!$D$40,IF(A1456&lt;=Pricing!$C$4,0,IF(AND(A1456&gt;Pricing!$C$4,Disbursements!A1456&lt;=Pricing!$C$5),F1456*Pricing!$E$5,IF(AND(A1456&gt;Pricing!$C$5,Disbursements!A1456&lt;=Pricing!$C$7),VLOOKUP(F1456,Pricing!$D$7:$E$8,2)*Disbursements!F1456,F1456*Pricing!$E$9))))</f>
        <v>0</v>
      </c>
      <c r="O1456" s="528">
        <f>IF(E1456="STL",0,IF($F1456&gt;0,$F1456*Pricing!$D$17,0))</f>
        <v>0</v>
      </c>
      <c r="P1456" s="530" t="str">
        <f t="shared" si="594"/>
        <v/>
      </c>
      <c r="Q1456" s="531" t="str">
        <f>IF($A1456="","",$G1456/VLOOKUP($I1456,Ref!$B$23:$D$29,2,0))</f>
        <v/>
      </c>
      <c r="R1456" s="530" t="str">
        <f t="shared" si="595"/>
        <v/>
      </c>
      <c r="S1456" s="532" t="str">
        <f t="shared" si="589"/>
        <v/>
      </c>
      <c r="T1456" s="531" t="str">
        <f t="shared" si="596"/>
        <v/>
      </c>
      <c r="U1456" s="533">
        <f t="shared" si="597"/>
        <v>0</v>
      </c>
      <c r="V1456" s="531" t="str">
        <f t="shared" si="598"/>
        <v/>
      </c>
      <c r="W1456" s="531" t="str">
        <f t="shared" si="599"/>
        <v/>
      </c>
      <c r="X1456" s="534" t="str">
        <f t="shared" si="600"/>
        <v/>
      </c>
      <c r="Y1456" s="535" t="str">
        <f>IF($A1456="","",IF($I1456="weekly",$A1456+7,EDATE($A1456,VLOOKUP($I1456,Ref!$B$24:$C$29,2,0))))</f>
        <v/>
      </c>
      <c r="Z1456" s="536" t="str">
        <f t="shared" si="601"/>
        <v/>
      </c>
      <c r="AA1456" s="531">
        <f t="shared" si="602"/>
        <v>0</v>
      </c>
      <c r="AB1456" s="535" t="str">
        <f t="shared" si="590"/>
        <v/>
      </c>
      <c r="AC1456" s="537" t="str">
        <f t="shared" si="591"/>
        <v/>
      </c>
      <c r="AD1456" s="538" t="str">
        <f t="shared" ca="1" si="592"/>
        <v/>
      </c>
      <c r="AE1456" s="537">
        <f t="shared" ca="1" si="593"/>
        <v>0</v>
      </c>
      <c r="AF1456" s="539" t="str">
        <f t="shared" ca="1" si="603"/>
        <v/>
      </c>
      <c r="AG1456" s="531" t="str">
        <f t="shared" ca="1" si="604"/>
        <v/>
      </c>
      <c r="AH1456" s="531" t="str">
        <f t="shared" ca="1" si="605"/>
        <v/>
      </c>
      <c r="AI1456" s="531" t="str">
        <f t="shared" ca="1" si="606"/>
        <v/>
      </c>
      <c r="AJ1456" s="531" t="str">
        <f t="shared" si="607"/>
        <v/>
      </c>
      <c r="AK1456" s="540">
        <f>SUMIFS('Live Collections'!$S:$S,'Live Collections'!$D:$D,Disbursements!B1456,'Live Collections'!$G:$G,Disbursements!C1456)</f>
        <v>0</v>
      </c>
      <c r="AL1456" s="540">
        <f>SUMIFS('Live Collections'!$T:$T,'Live Collections'!$D:$D,Disbursements!B1456,'Live Collections'!$G:$G,Disbursements!C1456)</f>
        <v>0</v>
      </c>
      <c r="AM1456" s="541">
        <f t="shared" si="608"/>
        <v>0</v>
      </c>
      <c r="AN1456" s="542" t="str">
        <f t="shared" si="609"/>
        <v/>
      </c>
      <c r="AO1456" s="542" t="str">
        <f t="shared" si="610"/>
        <v/>
      </c>
      <c r="AP1456" s="543" t="str">
        <f t="shared" si="611"/>
        <v/>
      </c>
      <c r="AQ1456" s="544" t="str">
        <f t="shared" si="612"/>
        <v/>
      </c>
      <c r="AR1456" s="545">
        <f t="shared" si="613"/>
        <v>0</v>
      </c>
      <c r="AS1456" s="545">
        <f>IFERROR(CEILING($AR1456*VLOOKUP($I1456,Ref!$B$23:$E$29,4,0),1),0)</f>
        <v>0</v>
      </c>
      <c r="AT1456" s="545" t="str">
        <f>IF(A1456="","",IF(AP1456&lt;=1,"Cleared",IF(AS1456=0,"Clean",VLOOKUP($AS1456,Ref!$G$23:$H$28,2))))</f>
        <v/>
      </c>
      <c r="AU1456" s="546" t="str">
        <f t="shared" si="614"/>
        <v/>
      </c>
    </row>
    <row r="1457" spans="1:47" ht="14.25" hidden="1" customHeight="1" x14ac:dyDescent="0.15">
      <c r="A1457" s="575"/>
      <c r="B1457" s="548"/>
      <c r="C1457" s="548"/>
      <c r="D1457" s="548"/>
      <c r="E1457" s="583"/>
      <c r="F1457" s="584"/>
      <c r="G1457" s="548"/>
      <c r="H1457" s="550"/>
      <c r="I1457" s="560"/>
      <c r="J1457" s="548"/>
      <c r="K1457" s="528" t="str">
        <f>IFERROR(VLOOKUP($B1457,'Clients-Live'!$A:$C,3,0),"")</f>
        <v/>
      </c>
      <c r="L1457" s="528">
        <f>IF(E1457="STL",Pricing!$D$38,IF(A1457="",0,IF(A1457&lt;Pricing!$C$25,Pricing!$D$25,VLOOKUP(Disbursements!$F1457,Pricing!$B$29:$D$32,3))))</f>
        <v>0</v>
      </c>
      <c r="M1457" s="528">
        <f>IF(E1457="STL",0,IF(F1457&gt;0,Pricing!$D$21,0))</f>
        <v>0</v>
      </c>
      <c r="N1457" s="529">
        <f>IF(E1457="STL",F1457*Pricing!$D$40,IF(A1457&lt;=Pricing!$C$4,0,IF(AND(A1457&gt;Pricing!$C$4,Disbursements!A1457&lt;=Pricing!$C$5),F1457*Pricing!$E$5,IF(AND(A1457&gt;Pricing!$C$5,Disbursements!A1457&lt;=Pricing!$C$7),VLOOKUP(F1457,Pricing!$D$7:$E$8,2)*Disbursements!F1457,F1457*Pricing!$E$9))))</f>
        <v>0</v>
      </c>
      <c r="O1457" s="528">
        <f>IF(E1457="STL",0,IF($F1457&gt;0,$F1457*Pricing!$D$17,0))</f>
        <v>0</v>
      </c>
      <c r="P1457" s="530" t="str">
        <f t="shared" si="594"/>
        <v/>
      </c>
      <c r="Q1457" s="531" t="str">
        <f>IF($A1457="","",$G1457/VLOOKUP($I1457,Ref!$B$23:$D$29,2,0))</f>
        <v/>
      </c>
      <c r="R1457" s="530" t="str">
        <f t="shared" si="595"/>
        <v/>
      </c>
      <c r="S1457" s="532" t="str">
        <f t="shared" si="589"/>
        <v/>
      </c>
      <c r="T1457" s="531" t="str">
        <f t="shared" si="596"/>
        <v/>
      </c>
      <c r="U1457" s="533">
        <f t="shared" si="597"/>
        <v>0</v>
      </c>
      <c r="V1457" s="531" t="str">
        <f t="shared" si="598"/>
        <v/>
      </c>
      <c r="W1457" s="531" t="str">
        <f t="shared" si="599"/>
        <v/>
      </c>
      <c r="X1457" s="534" t="str">
        <f t="shared" si="600"/>
        <v/>
      </c>
      <c r="Y1457" s="535" t="str">
        <f>IF($A1457="","",IF($I1457="weekly",$A1457+7,EDATE($A1457,VLOOKUP($I1457,Ref!$B$24:$C$29,2,0))))</f>
        <v/>
      </c>
      <c r="Z1457" s="536" t="str">
        <f t="shared" si="601"/>
        <v/>
      </c>
      <c r="AA1457" s="531">
        <f t="shared" si="602"/>
        <v>0</v>
      </c>
      <c r="AB1457" s="535" t="str">
        <f t="shared" si="590"/>
        <v/>
      </c>
      <c r="AC1457" s="537" t="str">
        <f t="shared" si="591"/>
        <v/>
      </c>
      <c r="AD1457" s="538" t="str">
        <f t="shared" ca="1" si="592"/>
        <v/>
      </c>
      <c r="AE1457" s="537">
        <f t="shared" ca="1" si="593"/>
        <v>0</v>
      </c>
      <c r="AF1457" s="539" t="str">
        <f t="shared" ca="1" si="603"/>
        <v/>
      </c>
      <c r="AG1457" s="531" t="str">
        <f t="shared" ca="1" si="604"/>
        <v/>
      </c>
      <c r="AH1457" s="531" t="str">
        <f t="shared" ca="1" si="605"/>
        <v/>
      </c>
      <c r="AI1457" s="531" t="str">
        <f t="shared" ca="1" si="606"/>
        <v/>
      </c>
      <c r="AJ1457" s="531" t="str">
        <f t="shared" si="607"/>
        <v/>
      </c>
      <c r="AK1457" s="540">
        <f>SUMIFS('Live Collections'!$S:$S,'Live Collections'!$D:$D,Disbursements!B1457,'Live Collections'!$G:$G,Disbursements!C1457)</f>
        <v>0</v>
      </c>
      <c r="AL1457" s="540">
        <f>SUMIFS('Live Collections'!$T:$T,'Live Collections'!$D:$D,Disbursements!B1457,'Live Collections'!$G:$G,Disbursements!C1457)</f>
        <v>0</v>
      </c>
      <c r="AM1457" s="541">
        <f t="shared" si="608"/>
        <v>0</v>
      </c>
      <c r="AN1457" s="542" t="str">
        <f t="shared" si="609"/>
        <v/>
      </c>
      <c r="AO1457" s="542" t="str">
        <f t="shared" si="610"/>
        <v/>
      </c>
      <c r="AP1457" s="543" t="str">
        <f t="shared" si="611"/>
        <v/>
      </c>
      <c r="AQ1457" s="544" t="str">
        <f t="shared" si="612"/>
        <v/>
      </c>
      <c r="AR1457" s="545">
        <f t="shared" si="613"/>
        <v>0</v>
      </c>
      <c r="AS1457" s="545">
        <f>IFERROR(CEILING($AR1457*VLOOKUP($I1457,Ref!$B$23:$E$29,4,0),1),0)</f>
        <v>0</v>
      </c>
      <c r="AT1457" s="545" t="str">
        <f>IF(A1457="","",IF(AP1457&lt;=1,"Cleared",IF(AS1457=0,"Clean",VLOOKUP($AS1457,Ref!$G$23:$H$28,2))))</f>
        <v/>
      </c>
      <c r="AU1457" s="546" t="str">
        <f t="shared" si="614"/>
        <v/>
      </c>
    </row>
    <row r="1458" spans="1:47" ht="14.25" hidden="1" customHeight="1" x14ac:dyDescent="0.15">
      <c r="A1458" s="575"/>
      <c r="B1458" s="548"/>
      <c r="C1458" s="548"/>
      <c r="D1458" s="548"/>
      <c r="E1458" s="583"/>
      <c r="F1458" s="584"/>
      <c r="G1458" s="548"/>
      <c r="H1458" s="550"/>
      <c r="I1458" s="560"/>
      <c r="J1458" s="548"/>
      <c r="K1458" s="528" t="str">
        <f>IFERROR(VLOOKUP($B1458,'Clients-Live'!$A:$C,3,0),"")</f>
        <v/>
      </c>
      <c r="L1458" s="528">
        <f>IF(E1458="STL",Pricing!$D$38,IF(A1458="",0,IF(A1458&lt;Pricing!$C$25,Pricing!$D$25,VLOOKUP(Disbursements!$F1458,Pricing!$B$29:$D$32,3))))</f>
        <v>0</v>
      </c>
      <c r="M1458" s="528">
        <f>IF(E1458="STL",0,IF(F1458&gt;0,Pricing!$D$21,0))</f>
        <v>0</v>
      </c>
      <c r="N1458" s="529">
        <f>IF(E1458="STL",F1458*Pricing!$D$40,IF(A1458&lt;=Pricing!$C$4,0,IF(AND(A1458&gt;Pricing!$C$4,Disbursements!A1458&lt;=Pricing!$C$5),F1458*Pricing!$E$5,IF(AND(A1458&gt;Pricing!$C$5,Disbursements!A1458&lt;=Pricing!$C$7),VLOOKUP(F1458,Pricing!$D$7:$E$8,2)*Disbursements!F1458,F1458*Pricing!$E$9))))</f>
        <v>0</v>
      </c>
      <c r="O1458" s="528">
        <f>IF(E1458="STL",0,IF($F1458&gt;0,$F1458*Pricing!$D$17,0))</f>
        <v>0</v>
      </c>
      <c r="P1458" s="530" t="str">
        <f t="shared" si="594"/>
        <v/>
      </c>
      <c r="Q1458" s="531" t="str">
        <f>IF($A1458="","",$G1458/VLOOKUP($I1458,Ref!$B$23:$D$29,2,0))</f>
        <v/>
      </c>
      <c r="R1458" s="530" t="str">
        <f t="shared" si="595"/>
        <v/>
      </c>
      <c r="S1458" s="532" t="str">
        <f t="shared" si="589"/>
        <v/>
      </c>
      <c r="T1458" s="531" t="str">
        <f t="shared" si="596"/>
        <v/>
      </c>
      <c r="U1458" s="533">
        <f t="shared" si="597"/>
        <v>0</v>
      </c>
      <c r="V1458" s="531" t="str">
        <f t="shared" si="598"/>
        <v/>
      </c>
      <c r="W1458" s="531" t="str">
        <f t="shared" si="599"/>
        <v/>
      </c>
      <c r="X1458" s="534" t="str">
        <f t="shared" si="600"/>
        <v/>
      </c>
      <c r="Y1458" s="535" t="str">
        <f>IF($A1458="","",IF($I1458="weekly",$A1458+7,EDATE($A1458,VLOOKUP($I1458,Ref!$B$24:$C$29,2,0))))</f>
        <v/>
      </c>
      <c r="Z1458" s="536" t="str">
        <f t="shared" si="601"/>
        <v/>
      </c>
      <c r="AA1458" s="531">
        <f t="shared" si="602"/>
        <v>0</v>
      </c>
      <c r="AB1458" s="535" t="str">
        <f t="shared" si="590"/>
        <v/>
      </c>
      <c r="AC1458" s="537" t="str">
        <f t="shared" si="591"/>
        <v/>
      </c>
      <c r="AD1458" s="538" t="str">
        <f t="shared" ca="1" si="592"/>
        <v/>
      </c>
      <c r="AE1458" s="537">
        <f t="shared" ca="1" si="593"/>
        <v>0</v>
      </c>
      <c r="AF1458" s="539" t="str">
        <f t="shared" ca="1" si="603"/>
        <v/>
      </c>
      <c r="AG1458" s="531" t="str">
        <f t="shared" ca="1" si="604"/>
        <v/>
      </c>
      <c r="AH1458" s="531" t="str">
        <f t="shared" ca="1" si="605"/>
        <v/>
      </c>
      <c r="AI1458" s="531" t="str">
        <f t="shared" ca="1" si="606"/>
        <v/>
      </c>
      <c r="AJ1458" s="531" t="str">
        <f t="shared" si="607"/>
        <v/>
      </c>
      <c r="AK1458" s="540">
        <f>SUMIFS('Live Collections'!$S:$S,'Live Collections'!$D:$D,Disbursements!B1458,'Live Collections'!$G:$G,Disbursements!C1458)</f>
        <v>0</v>
      </c>
      <c r="AL1458" s="540">
        <f>SUMIFS('Live Collections'!$T:$T,'Live Collections'!$D:$D,Disbursements!B1458,'Live Collections'!$G:$G,Disbursements!C1458)</f>
        <v>0</v>
      </c>
      <c r="AM1458" s="541">
        <f t="shared" si="608"/>
        <v>0</v>
      </c>
      <c r="AN1458" s="542" t="str">
        <f t="shared" si="609"/>
        <v/>
      </c>
      <c r="AO1458" s="542" t="str">
        <f t="shared" si="610"/>
        <v/>
      </c>
      <c r="AP1458" s="543" t="str">
        <f t="shared" si="611"/>
        <v/>
      </c>
      <c r="AQ1458" s="544" t="str">
        <f t="shared" si="612"/>
        <v/>
      </c>
      <c r="AR1458" s="545">
        <f t="shared" si="613"/>
        <v>0</v>
      </c>
      <c r="AS1458" s="545">
        <f>IFERROR(CEILING($AR1458*VLOOKUP($I1458,Ref!$B$23:$E$29,4,0),1),0)</f>
        <v>0</v>
      </c>
      <c r="AT1458" s="545" t="str">
        <f>IF(A1458="","",IF(AP1458&lt;=1,"Cleared",IF(AS1458=0,"Clean",VLOOKUP($AS1458,Ref!$G$23:$H$28,2))))</f>
        <v/>
      </c>
      <c r="AU1458" s="546" t="str">
        <f t="shared" si="614"/>
        <v/>
      </c>
    </row>
    <row r="1459" spans="1:47" ht="14.25" hidden="1" customHeight="1" x14ac:dyDescent="0.15">
      <c r="A1459" s="575"/>
      <c r="B1459" s="548"/>
      <c r="C1459" s="548"/>
      <c r="D1459" s="548"/>
      <c r="E1459" s="583"/>
      <c r="F1459" s="584"/>
      <c r="G1459" s="548"/>
      <c r="H1459" s="550"/>
      <c r="I1459" s="560"/>
      <c r="J1459" s="548"/>
      <c r="K1459" s="528" t="str">
        <f>IFERROR(VLOOKUP($B1459,'Clients-Live'!$A:$C,3,0),"")</f>
        <v/>
      </c>
      <c r="L1459" s="528">
        <f>IF(E1459="STL",Pricing!$D$38,IF(A1459="",0,IF(A1459&lt;Pricing!$C$25,Pricing!$D$25,VLOOKUP(Disbursements!$F1459,Pricing!$B$29:$D$32,3))))</f>
        <v>0</v>
      </c>
      <c r="M1459" s="528">
        <f>IF(E1459="STL",0,IF(F1459&gt;0,Pricing!$D$21,0))</f>
        <v>0</v>
      </c>
      <c r="N1459" s="529">
        <f>IF(E1459="STL",F1459*Pricing!$D$40,IF(A1459&lt;=Pricing!$C$4,0,IF(AND(A1459&gt;Pricing!$C$4,Disbursements!A1459&lt;=Pricing!$C$5),F1459*Pricing!$E$5,IF(AND(A1459&gt;Pricing!$C$5,Disbursements!A1459&lt;=Pricing!$C$7),VLOOKUP(F1459,Pricing!$D$7:$E$8,2)*Disbursements!F1459,F1459*Pricing!$E$9))))</f>
        <v>0</v>
      </c>
      <c r="O1459" s="528">
        <f>IF(E1459="STL",0,IF($F1459&gt;0,$F1459*Pricing!$D$17,0))</f>
        <v>0</v>
      </c>
      <c r="P1459" s="530" t="str">
        <f t="shared" si="594"/>
        <v/>
      </c>
      <c r="Q1459" s="531" t="str">
        <f>IF($A1459="","",$G1459/VLOOKUP($I1459,Ref!$B$23:$D$29,2,0))</f>
        <v/>
      </c>
      <c r="R1459" s="530" t="str">
        <f t="shared" si="595"/>
        <v/>
      </c>
      <c r="S1459" s="532" t="str">
        <f t="shared" si="589"/>
        <v/>
      </c>
      <c r="T1459" s="531" t="str">
        <f t="shared" si="596"/>
        <v/>
      </c>
      <c r="U1459" s="533">
        <f t="shared" si="597"/>
        <v>0</v>
      </c>
      <c r="V1459" s="531" t="str">
        <f t="shared" si="598"/>
        <v/>
      </c>
      <c r="W1459" s="531" t="str">
        <f t="shared" si="599"/>
        <v/>
      </c>
      <c r="X1459" s="534" t="str">
        <f t="shared" si="600"/>
        <v/>
      </c>
      <c r="Y1459" s="535" t="str">
        <f>IF($A1459="","",IF($I1459="weekly",$A1459+7,EDATE($A1459,VLOOKUP($I1459,Ref!$B$24:$C$29,2,0))))</f>
        <v/>
      </c>
      <c r="Z1459" s="536" t="str">
        <f t="shared" si="601"/>
        <v/>
      </c>
      <c r="AA1459" s="531">
        <f t="shared" si="602"/>
        <v>0</v>
      </c>
      <c r="AB1459" s="535" t="str">
        <f t="shared" si="590"/>
        <v/>
      </c>
      <c r="AC1459" s="537" t="str">
        <f t="shared" si="591"/>
        <v/>
      </c>
      <c r="AD1459" s="538" t="str">
        <f t="shared" ca="1" si="592"/>
        <v/>
      </c>
      <c r="AE1459" s="537">
        <f t="shared" ca="1" si="593"/>
        <v>0</v>
      </c>
      <c r="AF1459" s="539" t="str">
        <f t="shared" ca="1" si="603"/>
        <v/>
      </c>
      <c r="AG1459" s="531" t="str">
        <f t="shared" ca="1" si="604"/>
        <v/>
      </c>
      <c r="AH1459" s="531" t="str">
        <f t="shared" ca="1" si="605"/>
        <v/>
      </c>
      <c r="AI1459" s="531" t="str">
        <f t="shared" ca="1" si="606"/>
        <v/>
      </c>
      <c r="AJ1459" s="531" t="str">
        <f t="shared" si="607"/>
        <v/>
      </c>
      <c r="AK1459" s="540">
        <f>SUMIFS('Live Collections'!$S:$S,'Live Collections'!$D:$D,Disbursements!B1459,'Live Collections'!$G:$G,Disbursements!C1459)</f>
        <v>0</v>
      </c>
      <c r="AL1459" s="540">
        <f>SUMIFS('Live Collections'!$T:$T,'Live Collections'!$D:$D,Disbursements!B1459,'Live Collections'!$G:$G,Disbursements!C1459)</f>
        <v>0</v>
      </c>
      <c r="AM1459" s="541">
        <f t="shared" si="608"/>
        <v>0</v>
      </c>
      <c r="AN1459" s="542" t="str">
        <f t="shared" si="609"/>
        <v/>
      </c>
      <c r="AO1459" s="542" t="str">
        <f t="shared" si="610"/>
        <v/>
      </c>
      <c r="AP1459" s="543" t="str">
        <f t="shared" si="611"/>
        <v/>
      </c>
      <c r="AQ1459" s="544" t="str">
        <f t="shared" si="612"/>
        <v/>
      </c>
      <c r="AR1459" s="545">
        <f t="shared" si="613"/>
        <v>0</v>
      </c>
      <c r="AS1459" s="545">
        <f>IFERROR(CEILING($AR1459*VLOOKUP($I1459,Ref!$B$23:$E$29,4,0),1),0)</f>
        <v>0</v>
      </c>
      <c r="AT1459" s="545" t="str">
        <f>IF(A1459="","",IF(AP1459&lt;=1,"Cleared",IF(AS1459=0,"Clean",VLOOKUP($AS1459,Ref!$G$23:$H$28,2))))</f>
        <v/>
      </c>
      <c r="AU1459" s="546" t="str">
        <f t="shared" si="614"/>
        <v/>
      </c>
    </row>
    <row r="1460" spans="1:47" ht="14.25" hidden="1" customHeight="1" x14ac:dyDescent="0.15">
      <c r="A1460" s="575"/>
      <c r="B1460" s="548"/>
      <c r="C1460" s="548"/>
      <c r="D1460" s="548"/>
      <c r="E1460" s="583"/>
      <c r="F1460" s="584"/>
      <c r="G1460" s="548"/>
      <c r="H1460" s="550"/>
      <c r="I1460" s="560"/>
      <c r="J1460" s="548"/>
      <c r="K1460" s="528" t="str">
        <f>IFERROR(VLOOKUP($B1460,'Clients-Live'!$A:$C,3,0),"")</f>
        <v/>
      </c>
      <c r="L1460" s="528">
        <f>IF(E1460="STL",Pricing!$D$38,IF(A1460="",0,IF(A1460&lt;Pricing!$C$25,Pricing!$D$25,VLOOKUP(Disbursements!$F1460,Pricing!$B$29:$D$32,3))))</f>
        <v>0</v>
      </c>
      <c r="M1460" s="528">
        <f>IF(E1460="STL",0,IF(F1460&gt;0,Pricing!$D$21,0))</f>
        <v>0</v>
      </c>
      <c r="N1460" s="529">
        <f>IF(E1460="STL",F1460*Pricing!$D$40,IF(A1460&lt;=Pricing!$C$4,0,IF(AND(A1460&gt;Pricing!$C$4,Disbursements!A1460&lt;=Pricing!$C$5),F1460*Pricing!$E$5,IF(AND(A1460&gt;Pricing!$C$5,Disbursements!A1460&lt;=Pricing!$C$7),VLOOKUP(F1460,Pricing!$D$7:$E$8,2)*Disbursements!F1460,F1460*Pricing!$E$9))))</f>
        <v>0</v>
      </c>
      <c r="O1460" s="528">
        <f>IF(E1460="STL",0,IF($F1460&gt;0,$F1460*Pricing!$D$17,0))</f>
        <v>0</v>
      </c>
      <c r="P1460" s="530" t="str">
        <f t="shared" si="594"/>
        <v/>
      </c>
      <c r="Q1460" s="531" t="str">
        <f>IF($A1460="","",$G1460/VLOOKUP($I1460,Ref!$B$23:$D$29,2,0))</f>
        <v/>
      </c>
      <c r="R1460" s="530" t="str">
        <f t="shared" si="595"/>
        <v/>
      </c>
      <c r="S1460" s="532" t="str">
        <f t="shared" si="589"/>
        <v/>
      </c>
      <c r="T1460" s="531" t="str">
        <f t="shared" si="596"/>
        <v/>
      </c>
      <c r="U1460" s="533">
        <f t="shared" si="597"/>
        <v>0</v>
      </c>
      <c r="V1460" s="531" t="str">
        <f t="shared" si="598"/>
        <v/>
      </c>
      <c r="W1460" s="531" t="str">
        <f t="shared" si="599"/>
        <v/>
      </c>
      <c r="X1460" s="534" t="str">
        <f t="shared" si="600"/>
        <v/>
      </c>
      <c r="Y1460" s="535" t="str">
        <f>IF($A1460="","",IF($I1460="weekly",$A1460+7,EDATE($A1460,VLOOKUP($I1460,Ref!$B$24:$C$29,2,0))))</f>
        <v/>
      </c>
      <c r="Z1460" s="536" t="str">
        <f t="shared" si="601"/>
        <v/>
      </c>
      <c r="AA1460" s="531">
        <f t="shared" si="602"/>
        <v>0</v>
      </c>
      <c r="AB1460" s="535" t="str">
        <f t="shared" si="590"/>
        <v/>
      </c>
      <c r="AC1460" s="537" t="str">
        <f t="shared" si="591"/>
        <v/>
      </c>
      <c r="AD1460" s="538" t="str">
        <f t="shared" ca="1" si="592"/>
        <v/>
      </c>
      <c r="AE1460" s="537">
        <f t="shared" ca="1" si="593"/>
        <v>0</v>
      </c>
      <c r="AF1460" s="539" t="str">
        <f t="shared" ca="1" si="603"/>
        <v/>
      </c>
      <c r="AG1460" s="531" t="str">
        <f t="shared" ca="1" si="604"/>
        <v/>
      </c>
      <c r="AH1460" s="531" t="str">
        <f t="shared" ca="1" si="605"/>
        <v/>
      </c>
      <c r="AI1460" s="531" t="str">
        <f t="shared" ca="1" si="606"/>
        <v/>
      </c>
      <c r="AJ1460" s="531" t="str">
        <f t="shared" si="607"/>
        <v/>
      </c>
      <c r="AK1460" s="540">
        <f>SUMIFS('Live Collections'!$S:$S,'Live Collections'!$D:$D,Disbursements!B1460,'Live Collections'!$G:$G,Disbursements!C1460)</f>
        <v>0</v>
      </c>
      <c r="AL1460" s="540">
        <f>SUMIFS('Live Collections'!$T:$T,'Live Collections'!$D:$D,Disbursements!B1460,'Live Collections'!$G:$G,Disbursements!C1460)</f>
        <v>0</v>
      </c>
      <c r="AM1460" s="541">
        <f t="shared" si="608"/>
        <v>0</v>
      </c>
      <c r="AN1460" s="542" t="str">
        <f t="shared" si="609"/>
        <v/>
      </c>
      <c r="AO1460" s="542" t="str">
        <f t="shared" si="610"/>
        <v/>
      </c>
      <c r="AP1460" s="543" t="str">
        <f t="shared" si="611"/>
        <v/>
      </c>
      <c r="AQ1460" s="544" t="str">
        <f t="shared" si="612"/>
        <v/>
      </c>
      <c r="AR1460" s="545">
        <f t="shared" si="613"/>
        <v>0</v>
      </c>
      <c r="AS1460" s="545">
        <f>IFERROR(CEILING($AR1460*VLOOKUP($I1460,Ref!$B$23:$E$29,4,0),1),0)</f>
        <v>0</v>
      </c>
      <c r="AT1460" s="545" t="str">
        <f>IF(A1460="","",IF(AP1460&lt;=1,"Cleared",IF(AS1460=0,"Clean",VLOOKUP($AS1460,Ref!$G$23:$H$28,2))))</f>
        <v/>
      </c>
      <c r="AU1460" s="546" t="str">
        <f t="shared" si="614"/>
        <v/>
      </c>
    </row>
    <row r="1461" spans="1:47" ht="14.25" hidden="1" customHeight="1" x14ac:dyDescent="0.15">
      <c r="A1461" s="575"/>
      <c r="B1461" s="548"/>
      <c r="C1461" s="548"/>
      <c r="D1461" s="548"/>
      <c r="E1461" s="583"/>
      <c r="F1461" s="584"/>
      <c r="G1461" s="548"/>
      <c r="H1461" s="550"/>
      <c r="I1461" s="560"/>
      <c r="J1461" s="548"/>
      <c r="K1461" s="528" t="str">
        <f>IFERROR(VLOOKUP($B1461,'Clients-Live'!$A:$C,3,0),"")</f>
        <v/>
      </c>
      <c r="L1461" s="528">
        <f>IF(E1461="STL",Pricing!$D$38,IF(A1461="",0,IF(A1461&lt;Pricing!$C$25,Pricing!$D$25,VLOOKUP(Disbursements!$F1461,Pricing!$B$29:$D$32,3))))</f>
        <v>0</v>
      </c>
      <c r="M1461" s="528">
        <f>IF(E1461="STL",0,IF(F1461&gt;0,Pricing!$D$21,0))</f>
        <v>0</v>
      </c>
      <c r="N1461" s="529">
        <f>IF(E1461="STL",F1461*Pricing!$D$40,IF(A1461&lt;=Pricing!$C$4,0,IF(AND(A1461&gt;Pricing!$C$4,Disbursements!A1461&lt;=Pricing!$C$5),F1461*Pricing!$E$5,IF(AND(A1461&gt;Pricing!$C$5,Disbursements!A1461&lt;=Pricing!$C$7),VLOOKUP(F1461,Pricing!$D$7:$E$8,2)*Disbursements!F1461,F1461*Pricing!$E$9))))</f>
        <v>0</v>
      </c>
      <c r="O1461" s="528">
        <f>IF(E1461="STL",0,IF($F1461&gt;0,$F1461*Pricing!$D$17,0))</f>
        <v>0</v>
      </c>
      <c r="P1461" s="530" t="str">
        <f t="shared" si="594"/>
        <v/>
      </c>
      <c r="Q1461" s="531" t="str">
        <f>IF($A1461="","",$G1461/VLOOKUP($I1461,Ref!$B$23:$D$29,2,0))</f>
        <v/>
      </c>
      <c r="R1461" s="530" t="str">
        <f t="shared" si="595"/>
        <v/>
      </c>
      <c r="S1461" s="532" t="str">
        <f t="shared" si="589"/>
        <v/>
      </c>
      <c r="T1461" s="531" t="str">
        <f t="shared" si="596"/>
        <v/>
      </c>
      <c r="U1461" s="533">
        <f t="shared" si="597"/>
        <v>0</v>
      </c>
      <c r="V1461" s="531" t="str">
        <f t="shared" si="598"/>
        <v/>
      </c>
      <c r="W1461" s="531" t="str">
        <f t="shared" si="599"/>
        <v/>
      </c>
      <c r="X1461" s="534" t="str">
        <f t="shared" si="600"/>
        <v/>
      </c>
      <c r="Y1461" s="535" t="str">
        <f>IF($A1461="","",IF($I1461="weekly",$A1461+7,EDATE($A1461,VLOOKUP($I1461,Ref!$B$24:$C$29,2,0))))</f>
        <v/>
      </c>
      <c r="Z1461" s="536" t="str">
        <f t="shared" si="601"/>
        <v/>
      </c>
      <c r="AA1461" s="531">
        <f t="shared" si="602"/>
        <v>0</v>
      </c>
      <c r="AB1461" s="535" t="str">
        <f t="shared" si="590"/>
        <v/>
      </c>
      <c r="AC1461" s="537" t="str">
        <f t="shared" si="591"/>
        <v/>
      </c>
      <c r="AD1461" s="538" t="str">
        <f t="shared" ca="1" si="592"/>
        <v/>
      </c>
      <c r="AE1461" s="537">
        <f t="shared" ca="1" si="593"/>
        <v>0</v>
      </c>
      <c r="AF1461" s="539" t="str">
        <f t="shared" ca="1" si="603"/>
        <v/>
      </c>
      <c r="AG1461" s="531" t="str">
        <f t="shared" ca="1" si="604"/>
        <v/>
      </c>
      <c r="AH1461" s="531" t="str">
        <f t="shared" ca="1" si="605"/>
        <v/>
      </c>
      <c r="AI1461" s="531" t="str">
        <f t="shared" ca="1" si="606"/>
        <v/>
      </c>
      <c r="AJ1461" s="531" t="str">
        <f t="shared" si="607"/>
        <v/>
      </c>
      <c r="AK1461" s="540">
        <f>SUMIFS('Live Collections'!$S:$S,'Live Collections'!$D:$D,Disbursements!B1461,'Live Collections'!$G:$G,Disbursements!C1461)</f>
        <v>0</v>
      </c>
      <c r="AL1461" s="540">
        <f>SUMIFS('Live Collections'!$T:$T,'Live Collections'!$D:$D,Disbursements!B1461,'Live Collections'!$G:$G,Disbursements!C1461)</f>
        <v>0</v>
      </c>
      <c r="AM1461" s="541">
        <f t="shared" si="608"/>
        <v>0</v>
      </c>
      <c r="AN1461" s="542" t="str">
        <f t="shared" si="609"/>
        <v/>
      </c>
      <c r="AO1461" s="542" t="str">
        <f t="shared" si="610"/>
        <v/>
      </c>
      <c r="AP1461" s="543" t="str">
        <f t="shared" si="611"/>
        <v/>
      </c>
      <c r="AQ1461" s="544" t="str">
        <f t="shared" si="612"/>
        <v/>
      </c>
      <c r="AR1461" s="545">
        <f t="shared" si="613"/>
        <v>0</v>
      </c>
      <c r="AS1461" s="545">
        <f>IFERROR(CEILING($AR1461*VLOOKUP($I1461,Ref!$B$23:$E$29,4,0),1),0)</f>
        <v>0</v>
      </c>
      <c r="AT1461" s="545" t="str">
        <f>IF(A1461="","",IF(AP1461&lt;=1,"Cleared",IF(AS1461=0,"Clean",VLOOKUP($AS1461,Ref!$G$23:$H$28,2))))</f>
        <v/>
      </c>
      <c r="AU1461" s="546" t="str">
        <f t="shared" si="614"/>
        <v/>
      </c>
    </row>
    <row r="1462" spans="1:47" ht="14.25" hidden="1" customHeight="1" x14ac:dyDescent="0.15">
      <c r="A1462" s="575"/>
      <c r="B1462" s="548"/>
      <c r="C1462" s="548"/>
      <c r="D1462" s="548"/>
      <c r="E1462" s="583"/>
      <c r="F1462" s="584"/>
      <c r="G1462" s="548"/>
      <c r="H1462" s="550"/>
      <c r="I1462" s="560"/>
      <c r="J1462" s="548"/>
      <c r="K1462" s="528" t="str">
        <f>IFERROR(VLOOKUP($B1462,'Clients-Live'!$A:$C,3,0),"")</f>
        <v/>
      </c>
      <c r="L1462" s="528">
        <f>IF(E1462="STL",Pricing!$D$38,IF(A1462="",0,IF(A1462&lt;Pricing!$C$25,Pricing!$D$25,VLOOKUP(Disbursements!$F1462,Pricing!$B$29:$D$32,3))))</f>
        <v>0</v>
      </c>
      <c r="M1462" s="528">
        <f>IF(E1462="STL",0,IF(F1462&gt;0,Pricing!$D$21,0))</f>
        <v>0</v>
      </c>
      <c r="N1462" s="529">
        <f>IF(E1462="STL",F1462*Pricing!$D$40,IF(A1462&lt;=Pricing!$C$4,0,IF(AND(A1462&gt;Pricing!$C$4,Disbursements!A1462&lt;=Pricing!$C$5),F1462*Pricing!$E$5,IF(AND(A1462&gt;Pricing!$C$5,Disbursements!A1462&lt;=Pricing!$C$7),VLOOKUP(F1462,Pricing!$D$7:$E$8,2)*Disbursements!F1462,F1462*Pricing!$E$9))))</f>
        <v>0</v>
      </c>
      <c r="O1462" s="528">
        <f>IF(E1462="STL",0,IF($F1462&gt;0,$F1462*Pricing!$D$17,0))</f>
        <v>0</v>
      </c>
      <c r="P1462" s="530" t="str">
        <f t="shared" si="594"/>
        <v/>
      </c>
      <c r="Q1462" s="531" t="str">
        <f>IF($A1462="","",$G1462/VLOOKUP($I1462,Ref!$B$23:$D$29,2,0))</f>
        <v/>
      </c>
      <c r="R1462" s="530" t="str">
        <f t="shared" si="595"/>
        <v/>
      </c>
      <c r="S1462" s="532" t="str">
        <f t="shared" si="589"/>
        <v/>
      </c>
      <c r="T1462" s="531" t="str">
        <f t="shared" si="596"/>
        <v/>
      </c>
      <c r="U1462" s="533">
        <f t="shared" si="597"/>
        <v>0</v>
      </c>
      <c r="V1462" s="531" t="str">
        <f t="shared" si="598"/>
        <v/>
      </c>
      <c r="W1462" s="531" t="str">
        <f t="shared" si="599"/>
        <v/>
      </c>
      <c r="X1462" s="534" t="str">
        <f t="shared" si="600"/>
        <v/>
      </c>
      <c r="Y1462" s="535" t="str">
        <f>IF($A1462="","",IF($I1462="weekly",$A1462+7,EDATE($A1462,VLOOKUP($I1462,Ref!$B$24:$C$29,2,0))))</f>
        <v/>
      </c>
      <c r="Z1462" s="536" t="str">
        <f t="shared" si="601"/>
        <v/>
      </c>
      <c r="AA1462" s="531">
        <f t="shared" si="602"/>
        <v>0</v>
      </c>
      <c r="AB1462" s="535" t="str">
        <f t="shared" si="590"/>
        <v/>
      </c>
      <c r="AC1462" s="537" t="str">
        <f t="shared" si="591"/>
        <v/>
      </c>
      <c r="AD1462" s="538" t="str">
        <f t="shared" ca="1" si="592"/>
        <v/>
      </c>
      <c r="AE1462" s="537">
        <f t="shared" ca="1" si="593"/>
        <v>0</v>
      </c>
      <c r="AF1462" s="539" t="str">
        <f t="shared" ca="1" si="603"/>
        <v/>
      </c>
      <c r="AG1462" s="531" t="str">
        <f t="shared" ca="1" si="604"/>
        <v/>
      </c>
      <c r="AH1462" s="531" t="str">
        <f t="shared" ca="1" si="605"/>
        <v/>
      </c>
      <c r="AI1462" s="531" t="str">
        <f t="shared" ca="1" si="606"/>
        <v/>
      </c>
      <c r="AJ1462" s="531" t="str">
        <f t="shared" si="607"/>
        <v/>
      </c>
      <c r="AK1462" s="540">
        <f>SUMIFS('Live Collections'!$S:$S,'Live Collections'!$D:$D,Disbursements!B1462,'Live Collections'!$G:$G,Disbursements!C1462)</f>
        <v>0</v>
      </c>
      <c r="AL1462" s="540">
        <f>SUMIFS('Live Collections'!$T:$T,'Live Collections'!$D:$D,Disbursements!B1462,'Live Collections'!$G:$G,Disbursements!C1462)</f>
        <v>0</v>
      </c>
      <c r="AM1462" s="541">
        <f t="shared" si="608"/>
        <v>0</v>
      </c>
      <c r="AN1462" s="542" t="str">
        <f t="shared" si="609"/>
        <v/>
      </c>
      <c r="AO1462" s="542" t="str">
        <f t="shared" si="610"/>
        <v/>
      </c>
      <c r="AP1462" s="543" t="str">
        <f t="shared" si="611"/>
        <v/>
      </c>
      <c r="AQ1462" s="544" t="str">
        <f t="shared" si="612"/>
        <v/>
      </c>
      <c r="AR1462" s="545">
        <f t="shared" si="613"/>
        <v>0</v>
      </c>
      <c r="AS1462" s="545">
        <f>IFERROR(CEILING($AR1462*VLOOKUP($I1462,Ref!$B$23:$E$29,4,0),1),0)</f>
        <v>0</v>
      </c>
      <c r="AT1462" s="545" t="str">
        <f>IF(A1462="","",IF(AP1462&lt;=1,"Cleared",IF(AS1462=0,"Clean",VLOOKUP($AS1462,Ref!$G$23:$H$28,2))))</f>
        <v/>
      </c>
      <c r="AU1462" s="546" t="str">
        <f t="shared" si="614"/>
        <v/>
      </c>
    </row>
    <row r="1463" spans="1:47" ht="14.25" hidden="1" customHeight="1" x14ac:dyDescent="0.15">
      <c r="A1463" s="575"/>
      <c r="B1463" s="548"/>
      <c r="C1463" s="548"/>
      <c r="D1463" s="548"/>
      <c r="E1463" s="583"/>
      <c r="F1463" s="584"/>
      <c r="G1463" s="548"/>
      <c r="H1463" s="550"/>
      <c r="I1463" s="560"/>
      <c r="J1463" s="548"/>
      <c r="K1463" s="528" t="str">
        <f>IFERROR(VLOOKUP($B1463,'Clients-Live'!$A:$C,3,0),"")</f>
        <v/>
      </c>
      <c r="L1463" s="528">
        <f>IF(E1463="STL",Pricing!$D$38,IF(A1463="",0,IF(A1463&lt;Pricing!$C$25,Pricing!$D$25,VLOOKUP(Disbursements!$F1463,Pricing!$B$29:$D$32,3))))</f>
        <v>0</v>
      </c>
      <c r="M1463" s="528">
        <f>IF(E1463="STL",0,IF(F1463&gt;0,Pricing!$D$21,0))</f>
        <v>0</v>
      </c>
      <c r="N1463" s="529">
        <f>IF(E1463="STL",F1463*Pricing!$D$40,IF(A1463&lt;=Pricing!$C$4,0,IF(AND(A1463&gt;Pricing!$C$4,Disbursements!A1463&lt;=Pricing!$C$5),F1463*Pricing!$E$5,IF(AND(A1463&gt;Pricing!$C$5,Disbursements!A1463&lt;=Pricing!$C$7),VLOOKUP(F1463,Pricing!$D$7:$E$8,2)*Disbursements!F1463,F1463*Pricing!$E$9))))</f>
        <v>0</v>
      </c>
      <c r="O1463" s="528">
        <f>IF(E1463="STL",0,IF($F1463&gt;0,$F1463*Pricing!$D$17,0))</f>
        <v>0</v>
      </c>
      <c r="P1463" s="530" t="str">
        <f t="shared" si="594"/>
        <v/>
      </c>
      <c r="Q1463" s="531" t="str">
        <f>IF($A1463="","",$G1463/VLOOKUP($I1463,Ref!$B$23:$D$29,2,0))</f>
        <v/>
      </c>
      <c r="R1463" s="530" t="str">
        <f t="shared" si="595"/>
        <v/>
      </c>
      <c r="S1463" s="532" t="str">
        <f t="shared" si="589"/>
        <v/>
      </c>
      <c r="T1463" s="531" t="str">
        <f t="shared" si="596"/>
        <v/>
      </c>
      <c r="U1463" s="533">
        <f t="shared" si="597"/>
        <v>0</v>
      </c>
      <c r="V1463" s="531" t="str">
        <f t="shared" si="598"/>
        <v/>
      </c>
      <c r="W1463" s="531" t="str">
        <f t="shared" si="599"/>
        <v/>
      </c>
      <c r="X1463" s="534" t="str">
        <f t="shared" si="600"/>
        <v/>
      </c>
      <c r="Y1463" s="535" t="str">
        <f>IF($A1463="","",IF($I1463="weekly",$A1463+7,EDATE($A1463,VLOOKUP($I1463,Ref!$B$24:$C$29,2,0))))</f>
        <v/>
      </c>
      <c r="Z1463" s="536" t="str">
        <f t="shared" si="601"/>
        <v/>
      </c>
      <c r="AA1463" s="531">
        <f t="shared" si="602"/>
        <v>0</v>
      </c>
      <c r="AB1463" s="535" t="str">
        <f t="shared" si="590"/>
        <v/>
      </c>
      <c r="AC1463" s="537" t="str">
        <f t="shared" si="591"/>
        <v/>
      </c>
      <c r="AD1463" s="538" t="str">
        <f t="shared" ca="1" si="592"/>
        <v/>
      </c>
      <c r="AE1463" s="537">
        <f t="shared" ca="1" si="593"/>
        <v>0</v>
      </c>
      <c r="AF1463" s="539" t="str">
        <f t="shared" ca="1" si="603"/>
        <v/>
      </c>
      <c r="AG1463" s="531" t="str">
        <f t="shared" ca="1" si="604"/>
        <v/>
      </c>
      <c r="AH1463" s="531" t="str">
        <f t="shared" ca="1" si="605"/>
        <v/>
      </c>
      <c r="AI1463" s="531" t="str">
        <f t="shared" ca="1" si="606"/>
        <v/>
      </c>
      <c r="AJ1463" s="531" t="str">
        <f t="shared" si="607"/>
        <v/>
      </c>
      <c r="AK1463" s="540">
        <f>SUMIFS('Live Collections'!$S:$S,'Live Collections'!$D:$D,Disbursements!B1463,'Live Collections'!$G:$G,Disbursements!C1463)</f>
        <v>0</v>
      </c>
      <c r="AL1463" s="540">
        <f>SUMIFS('Live Collections'!$T:$T,'Live Collections'!$D:$D,Disbursements!B1463,'Live Collections'!$G:$G,Disbursements!C1463)</f>
        <v>0</v>
      </c>
      <c r="AM1463" s="541">
        <f t="shared" si="608"/>
        <v>0</v>
      </c>
      <c r="AN1463" s="542" t="str">
        <f t="shared" si="609"/>
        <v/>
      </c>
      <c r="AO1463" s="542" t="str">
        <f t="shared" si="610"/>
        <v/>
      </c>
      <c r="AP1463" s="543" t="str">
        <f t="shared" si="611"/>
        <v/>
      </c>
      <c r="AQ1463" s="544" t="str">
        <f t="shared" si="612"/>
        <v/>
      </c>
      <c r="AR1463" s="545">
        <f t="shared" si="613"/>
        <v>0</v>
      </c>
      <c r="AS1463" s="545">
        <f>IFERROR(CEILING($AR1463*VLOOKUP($I1463,Ref!$B$23:$E$29,4,0),1),0)</f>
        <v>0</v>
      </c>
      <c r="AT1463" s="545" t="str">
        <f>IF(A1463="","",IF(AP1463&lt;=1,"Cleared",IF(AS1463=0,"Clean",VLOOKUP($AS1463,Ref!$G$23:$H$28,2))))</f>
        <v/>
      </c>
      <c r="AU1463" s="546" t="str">
        <f t="shared" si="614"/>
        <v/>
      </c>
    </row>
    <row r="1464" spans="1:47" ht="14.25" hidden="1" customHeight="1" x14ac:dyDescent="0.15">
      <c r="A1464" s="575"/>
      <c r="B1464" s="548"/>
      <c r="C1464" s="548"/>
      <c r="D1464" s="548"/>
      <c r="E1464" s="583"/>
      <c r="F1464" s="584"/>
      <c r="G1464" s="548"/>
      <c r="H1464" s="550"/>
      <c r="I1464" s="560"/>
      <c r="J1464" s="548"/>
      <c r="K1464" s="528" t="str">
        <f>IFERROR(VLOOKUP($B1464,'Clients-Live'!$A:$C,3,0),"")</f>
        <v/>
      </c>
      <c r="L1464" s="528">
        <f>IF(E1464="STL",Pricing!$D$38,IF(A1464="",0,IF(A1464&lt;Pricing!$C$25,Pricing!$D$25,VLOOKUP(Disbursements!$F1464,Pricing!$B$29:$D$32,3))))</f>
        <v>0</v>
      </c>
      <c r="M1464" s="528">
        <f>IF(E1464="STL",0,IF(F1464&gt;0,Pricing!$D$21,0))</f>
        <v>0</v>
      </c>
      <c r="N1464" s="529">
        <f>IF(E1464="STL",F1464*Pricing!$D$40,IF(A1464&lt;=Pricing!$C$4,0,IF(AND(A1464&gt;Pricing!$C$4,Disbursements!A1464&lt;=Pricing!$C$5),F1464*Pricing!$E$5,IF(AND(A1464&gt;Pricing!$C$5,Disbursements!A1464&lt;=Pricing!$C$7),VLOOKUP(F1464,Pricing!$D$7:$E$8,2)*Disbursements!F1464,F1464*Pricing!$E$9))))</f>
        <v>0</v>
      </c>
      <c r="O1464" s="528">
        <f>IF(E1464="STL",0,IF($F1464&gt;0,$F1464*Pricing!$D$17,0))</f>
        <v>0</v>
      </c>
      <c r="P1464" s="530" t="str">
        <f t="shared" si="594"/>
        <v/>
      </c>
      <c r="Q1464" s="531" t="str">
        <f>IF($A1464="","",$G1464/VLOOKUP($I1464,Ref!$B$23:$D$29,2,0))</f>
        <v/>
      </c>
      <c r="R1464" s="530" t="str">
        <f t="shared" si="595"/>
        <v/>
      </c>
      <c r="S1464" s="532" t="str">
        <f t="shared" si="589"/>
        <v/>
      </c>
      <c r="T1464" s="531" t="str">
        <f t="shared" si="596"/>
        <v/>
      </c>
      <c r="U1464" s="533">
        <f t="shared" si="597"/>
        <v>0</v>
      </c>
      <c r="V1464" s="531" t="str">
        <f t="shared" si="598"/>
        <v/>
      </c>
      <c r="W1464" s="531" t="str">
        <f t="shared" si="599"/>
        <v/>
      </c>
      <c r="X1464" s="534" t="str">
        <f t="shared" si="600"/>
        <v/>
      </c>
      <c r="Y1464" s="535" t="str">
        <f>IF($A1464="","",IF($I1464="weekly",$A1464+7,EDATE($A1464,VLOOKUP($I1464,Ref!$B$24:$C$29,2,0))))</f>
        <v/>
      </c>
      <c r="Z1464" s="536" t="str">
        <f t="shared" si="601"/>
        <v/>
      </c>
      <c r="AA1464" s="531">
        <f t="shared" si="602"/>
        <v>0</v>
      </c>
      <c r="AB1464" s="535" t="str">
        <f t="shared" si="590"/>
        <v/>
      </c>
      <c r="AC1464" s="537" t="str">
        <f t="shared" si="591"/>
        <v/>
      </c>
      <c r="AD1464" s="538" t="str">
        <f t="shared" ca="1" si="592"/>
        <v/>
      </c>
      <c r="AE1464" s="537">
        <f t="shared" ca="1" si="593"/>
        <v>0</v>
      </c>
      <c r="AF1464" s="539" t="str">
        <f t="shared" ca="1" si="603"/>
        <v/>
      </c>
      <c r="AG1464" s="531" t="str">
        <f t="shared" ca="1" si="604"/>
        <v/>
      </c>
      <c r="AH1464" s="531" t="str">
        <f t="shared" ca="1" si="605"/>
        <v/>
      </c>
      <c r="AI1464" s="531" t="str">
        <f t="shared" ca="1" si="606"/>
        <v/>
      </c>
      <c r="AJ1464" s="531" t="str">
        <f t="shared" si="607"/>
        <v/>
      </c>
      <c r="AK1464" s="540">
        <f>SUMIFS('Live Collections'!$S:$S,'Live Collections'!$D:$D,Disbursements!B1464,'Live Collections'!$G:$G,Disbursements!C1464)</f>
        <v>0</v>
      </c>
      <c r="AL1464" s="540">
        <f>SUMIFS('Live Collections'!$T:$T,'Live Collections'!$D:$D,Disbursements!B1464,'Live Collections'!$G:$G,Disbursements!C1464)</f>
        <v>0</v>
      </c>
      <c r="AM1464" s="541">
        <f t="shared" si="608"/>
        <v>0</v>
      </c>
      <c r="AN1464" s="542" t="str">
        <f t="shared" si="609"/>
        <v/>
      </c>
      <c r="AO1464" s="542" t="str">
        <f t="shared" si="610"/>
        <v/>
      </c>
      <c r="AP1464" s="543" t="str">
        <f t="shared" si="611"/>
        <v/>
      </c>
      <c r="AQ1464" s="544" t="str">
        <f t="shared" si="612"/>
        <v/>
      </c>
      <c r="AR1464" s="545">
        <f t="shared" si="613"/>
        <v>0</v>
      </c>
      <c r="AS1464" s="545">
        <f>IFERROR(CEILING($AR1464*VLOOKUP($I1464,Ref!$B$23:$E$29,4,0),1),0)</f>
        <v>0</v>
      </c>
      <c r="AT1464" s="545" t="str">
        <f>IF(A1464="","",IF(AP1464&lt;=1,"Cleared",IF(AS1464=0,"Clean",VLOOKUP($AS1464,Ref!$G$23:$H$28,2))))</f>
        <v/>
      </c>
      <c r="AU1464" s="546" t="str">
        <f t="shared" si="614"/>
        <v/>
      </c>
    </row>
    <row r="1465" spans="1:47" ht="14.25" hidden="1" customHeight="1" x14ac:dyDescent="0.15">
      <c r="A1465" s="575"/>
      <c r="B1465" s="548"/>
      <c r="C1465" s="548"/>
      <c r="D1465" s="548"/>
      <c r="E1465" s="583"/>
      <c r="F1465" s="584"/>
      <c r="G1465" s="548"/>
      <c r="H1465" s="550"/>
      <c r="I1465" s="560"/>
      <c r="J1465" s="548"/>
      <c r="K1465" s="528" t="str">
        <f>IFERROR(VLOOKUP($B1465,'Clients-Live'!$A:$C,3,0),"")</f>
        <v/>
      </c>
      <c r="L1465" s="528">
        <f>IF(E1465="STL",Pricing!$D$38,IF(A1465="",0,IF(A1465&lt;Pricing!$C$25,Pricing!$D$25,VLOOKUP(Disbursements!$F1465,Pricing!$B$29:$D$32,3))))</f>
        <v>0</v>
      </c>
      <c r="M1465" s="528">
        <f>IF(E1465="STL",0,IF(F1465&gt;0,Pricing!$D$21,0))</f>
        <v>0</v>
      </c>
      <c r="N1465" s="529">
        <f>IF(E1465="STL",F1465*Pricing!$D$40,IF(A1465&lt;=Pricing!$C$4,0,IF(AND(A1465&gt;Pricing!$C$4,Disbursements!A1465&lt;=Pricing!$C$5),F1465*Pricing!$E$5,IF(AND(A1465&gt;Pricing!$C$5,Disbursements!A1465&lt;=Pricing!$C$7),VLOOKUP(F1465,Pricing!$D$7:$E$8,2)*Disbursements!F1465,F1465*Pricing!$E$9))))</f>
        <v>0</v>
      </c>
      <c r="O1465" s="528">
        <f>IF(E1465="STL",0,IF($F1465&gt;0,$F1465*Pricing!$D$17,0))</f>
        <v>0</v>
      </c>
      <c r="P1465" s="530" t="str">
        <f t="shared" si="594"/>
        <v/>
      </c>
      <c r="Q1465" s="531" t="str">
        <f>IF($A1465="","",$G1465/VLOOKUP($I1465,Ref!$B$23:$D$29,2,0))</f>
        <v/>
      </c>
      <c r="R1465" s="530" t="str">
        <f t="shared" si="595"/>
        <v/>
      </c>
      <c r="S1465" s="532" t="str">
        <f t="shared" si="589"/>
        <v/>
      </c>
      <c r="T1465" s="531" t="str">
        <f t="shared" si="596"/>
        <v/>
      </c>
      <c r="U1465" s="533">
        <f t="shared" si="597"/>
        <v>0</v>
      </c>
      <c r="V1465" s="531" t="str">
        <f t="shared" si="598"/>
        <v/>
      </c>
      <c r="W1465" s="531" t="str">
        <f t="shared" si="599"/>
        <v/>
      </c>
      <c r="X1465" s="534" t="str">
        <f t="shared" si="600"/>
        <v/>
      </c>
      <c r="Y1465" s="535" t="str">
        <f>IF($A1465="","",IF($I1465="weekly",$A1465+7,EDATE($A1465,VLOOKUP($I1465,Ref!$B$24:$C$29,2,0))))</f>
        <v/>
      </c>
      <c r="Z1465" s="536" t="str">
        <f t="shared" si="601"/>
        <v/>
      </c>
      <c r="AA1465" s="531">
        <f t="shared" si="602"/>
        <v>0</v>
      </c>
      <c r="AB1465" s="535" t="str">
        <f t="shared" si="590"/>
        <v/>
      </c>
      <c r="AC1465" s="537" t="str">
        <f t="shared" si="591"/>
        <v/>
      </c>
      <c r="AD1465" s="538" t="str">
        <f t="shared" ca="1" si="592"/>
        <v/>
      </c>
      <c r="AE1465" s="537">
        <f t="shared" ca="1" si="593"/>
        <v>0</v>
      </c>
      <c r="AF1465" s="539" t="str">
        <f t="shared" ca="1" si="603"/>
        <v/>
      </c>
      <c r="AG1465" s="531" t="str">
        <f t="shared" ca="1" si="604"/>
        <v/>
      </c>
      <c r="AH1465" s="531" t="str">
        <f t="shared" ca="1" si="605"/>
        <v/>
      </c>
      <c r="AI1465" s="531" t="str">
        <f t="shared" ca="1" si="606"/>
        <v/>
      </c>
      <c r="AJ1465" s="531" t="str">
        <f t="shared" si="607"/>
        <v/>
      </c>
      <c r="AK1465" s="540">
        <f>SUMIFS('Live Collections'!$S:$S,'Live Collections'!$D:$D,Disbursements!B1465,'Live Collections'!$G:$G,Disbursements!C1465)</f>
        <v>0</v>
      </c>
      <c r="AL1465" s="540">
        <f>SUMIFS('Live Collections'!$T:$T,'Live Collections'!$D:$D,Disbursements!B1465,'Live Collections'!$G:$G,Disbursements!C1465)</f>
        <v>0</v>
      </c>
      <c r="AM1465" s="541">
        <f t="shared" si="608"/>
        <v>0</v>
      </c>
      <c r="AN1465" s="542" t="str">
        <f t="shared" si="609"/>
        <v/>
      </c>
      <c r="AO1465" s="542" t="str">
        <f t="shared" si="610"/>
        <v/>
      </c>
      <c r="AP1465" s="543" t="str">
        <f t="shared" si="611"/>
        <v/>
      </c>
      <c r="AQ1465" s="544" t="str">
        <f t="shared" si="612"/>
        <v/>
      </c>
      <c r="AR1465" s="545">
        <f t="shared" si="613"/>
        <v>0</v>
      </c>
      <c r="AS1465" s="545">
        <f>IFERROR(CEILING($AR1465*VLOOKUP($I1465,Ref!$B$23:$E$29,4,0),1),0)</f>
        <v>0</v>
      </c>
      <c r="AT1465" s="545" t="str">
        <f>IF(A1465="","",IF(AP1465&lt;=1,"Cleared",IF(AS1465=0,"Clean",VLOOKUP($AS1465,Ref!$G$23:$H$28,2))))</f>
        <v/>
      </c>
      <c r="AU1465" s="546" t="str">
        <f t="shared" si="614"/>
        <v/>
      </c>
    </row>
    <row r="1466" spans="1:47" ht="14.25" hidden="1" customHeight="1" x14ac:dyDescent="0.15">
      <c r="A1466" s="575"/>
      <c r="B1466" s="548"/>
      <c r="C1466" s="548"/>
      <c r="D1466" s="548"/>
      <c r="E1466" s="583"/>
      <c r="F1466" s="584"/>
      <c r="G1466" s="548"/>
      <c r="H1466" s="550"/>
      <c r="I1466" s="560"/>
      <c r="J1466" s="548"/>
      <c r="K1466" s="528" t="str">
        <f>IFERROR(VLOOKUP($B1466,'Clients-Live'!$A:$C,3,0),"")</f>
        <v/>
      </c>
      <c r="L1466" s="528">
        <f>IF(E1466="STL",Pricing!$D$38,IF(A1466="",0,IF(A1466&lt;Pricing!$C$25,Pricing!$D$25,VLOOKUP(Disbursements!$F1466,Pricing!$B$29:$D$32,3))))</f>
        <v>0</v>
      </c>
      <c r="M1466" s="528">
        <f>IF(E1466="STL",0,IF(F1466&gt;0,Pricing!$D$21,0))</f>
        <v>0</v>
      </c>
      <c r="N1466" s="529">
        <f>IF(E1466="STL",F1466*Pricing!$D$40,IF(A1466&lt;=Pricing!$C$4,0,IF(AND(A1466&gt;Pricing!$C$4,Disbursements!A1466&lt;=Pricing!$C$5),F1466*Pricing!$E$5,IF(AND(A1466&gt;Pricing!$C$5,Disbursements!A1466&lt;=Pricing!$C$7),VLOOKUP(F1466,Pricing!$D$7:$E$8,2)*Disbursements!F1466,F1466*Pricing!$E$9))))</f>
        <v>0</v>
      </c>
      <c r="O1466" s="528">
        <f>IF(E1466="STL",0,IF($F1466&gt;0,$F1466*Pricing!$D$17,0))</f>
        <v>0</v>
      </c>
      <c r="P1466" s="530" t="str">
        <f t="shared" si="594"/>
        <v/>
      </c>
      <c r="Q1466" s="531" t="str">
        <f>IF($A1466="","",$G1466/VLOOKUP($I1466,Ref!$B$23:$D$29,2,0))</f>
        <v/>
      </c>
      <c r="R1466" s="530" t="str">
        <f t="shared" si="595"/>
        <v/>
      </c>
      <c r="S1466" s="532" t="str">
        <f t="shared" si="589"/>
        <v/>
      </c>
      <c r="T1466" s="531" t="str">
        <f t="shared" si="596"/>
        <v/>
      </c>
      <c r="U1466" s="533">
        <f t="shared" si="597"/>
        <v>0</v>
      </c>
      <c r="V1466" s="531" t="str">
        <f t="shared" si="598"/>
        <v/>
      </c>
      <c r="W1466" s="531" t="str">
        <f t="shared" si="599"/>
        <v/>
      </c>
      <c r="X1466" s="534" t="str">
        <f t="shared" si="600"/>
        <v/>
      </c>
      <c r="Y1466" s="535" t="str">
        <f>IF($A1466="","",IF($I1466="weekly",$A1466+7,EDATE($A1466,VLOOKUP($I1466,Ref!$B$24:$C$29,2,0))))</f>
        <v/>
      </c>
      <c r="Z1466" s="536" t="str">
        <f t="shared" si="601"/>
        <v/>
      </c>
      <c r="AA1466" s="531">
        <f t="shared" si="602"/>
        <v>0</v>
      </c>
      <c r="AB1466" s="535" t="str">
        <f t="shared" si="590"/>
        <v/>
      </c>
      <c r="AC1466" s="537" t="str">
        <f t="shared" si="591"/>
        <v/>
      </c>
      <c r="AD1466" s="538" t="str">
        <f t="shared" ca="1" si="592"/>
        <v/>
      </c>
      <c r="AE1466" s="537">
        <f t="shared" ca="1" si="593"/>
        <v>0</v>
      </c>
      <c r="AF1466" s="539" t="str">
        <f t="shared" ca="1" si="603"/>
        <v/>
      </c>
      <c r="AG1466" s="531" t="str">
        <f t="shared" ca="1" si="604"/>
        <v/>
      </c>
      <c r="AH1466" s="531" t="str">
        <f t="shared" ca="1" si="605"/>
        <v/>
      </c>
      <c r="AI1466" s="531" t="str">
        <f t="shared" ca="1" si="606"/>
        <v/>
      </c>
      <c r="AJ1466" s="531" t="str">
        <f t="shared" si="607"/>
        <v/>
      </c>
      <c r="AK1466" s="540">
        <f>SUMIFS('Live Collections'!$S:$S,'Live Collections'!$D:$D,Disbursements!B1466,'Live Collections'!$G:$G,Disbursements!C1466)</f>
        <v>0</v>
      </c>
      <c r="AL1466" s="540">
        <f>SUMIFS('Live Collections'!$T:$T,'Live Collections'!$D:$D,Disbursements!B1466,'Live Collections'!$G:$G,Disbursements!C1466)</f>
        <v>0</v>
      </c>
      <c r="AM1466" s="541">
        <f t="shared" si="608"/>
        <v>0</v>
      </c>
      <c r="AN1466" s="542" t="str">
        <f t="shared" si="609"/>
        <v/>
      </c>
      <c r="AO1466" s="542" t="str">
        <f t="shared" si="610"/>
        <v/>
      </c>
      <c r="AP1466" s="543" t="str">
        <f t="shared" si="611"/>
        <v/>
      </c>
      <c r="AQ1466" s="544" t="str">
        <f t="shared" si="612"/>
        <v/>
      </c>
      <c r="AR1466" s="545">
        <f t="shared" si="613"/>
        <v>0</v>
      </c>
      <c r="AS1466" s="545">
        <f>IFERROR(CEILING($AR1466*VLOOKUP($I1466,Ref!$B$23:$E$29,4,0),1),0)</f>
        <v>0</v>
      </c>
      <c r="AT1466" s="545" t="str">
        <f>IF(A1466="","",IF(AP1466&lt;=1,"Cleared",IF(AS1466=0,"Clean",VLOOKUP($AS1466,Ref!$G$23:$H$28,2))))</f>
        <v/>
      </c>
      <c r="AU1466" s="546" t="str">
        <f t="shared" si="614"/>
        <v/>
      </c>
    </row>
    <row r="1467" spans="1:47" ht="14.25" hidden="1" customHeight="1" x14ac:dyDescent="0.15">
      <c r="A1467" s="575"/>
      <c r="B1467" s="548"/>
      <c r="C1467" s="548"/>
      <c r="D1467" s="548"/>
      <c r="E1467" s="583"/>
      <c r="F1467" s="584"/>
      <c r="G1467" s="548"/>
      <c r="H1467" s="550"/>
      <c r="I1467" s="560"/>
      <c r="J1467" s="548"/>
      <c r="K1467" s="528" t="str">
        <f>IFERROR(VLOOKUP($B1467,'Clients-Live'!$A:$C,3,0),"")</f>
        <v/>
      </c>
      <c r="L1467" s="528">
        <f>IF(E1467="STL",Pricing!$D$38,IF(A1467="",0,IF(A1467&lt;Pricing!$C$25,Pricing!$D$25,VLOOKUP(Disbursements!$F1467,Pricing!$B$29:$D$32,3))))</f>
        <v>0</v>
      </c>
      <c r="M1467" s="528">
        <f>IF(E1467="STL",0,IF(F1467&gt;0,Pricing!$D$21,0))</f>
        <v>0</v>
      </c>
      <c r="N1467" s="529">
        <f>IF(E1467="STL",F1467*Pricing!$D$40,IF(A1467&lt;=Pricing!$C$4,0,IF(AND(A1467&gt;Pricing!$C$4,Disbursements!A1467&lt;=Pricing!$C$5),F1467*Pricing!$E$5,IF(AND(A1467&gt;Pricing!$C$5,Disbursements!A1467&lt;=Pricing!$C$7),VLOOKUP(F1467,Pricing!$D$7:$E$8,2)*Disbursements!F1467,F1467*Pricing!$E$9))))</f>
        <v>0</v>
      </c>
      <c r="O1467" s="528">
        <f>IF(E1467="STL",0,IF($F1467&gt;0,$F1467*Pricing!$D$17,0))</f>
        <v>0</v>
      </c>
      <c r="P1467" s="530" t="str">
        <f t="shared" si="594"/>
        <v/>
      </c>
      <c r="Q1467" s="531" t="str">
        <f>IF($A1467="","",$G1467/VLOOKUP($I1467,Ref!$B$23:$D$29,2,0))</f>
        <v/>
      </c>
      <c r="R1467" s="530" t="str">
        <f t="shared" si="595"/>
        <v/>
      </c>
      <c r="S1467" s="532" t="str">
        <f t="shared" si="589"/>
        <v/>
      </c>
      <c r="T1467" s="531" t="str">
        <f t="shared" si="596"/>
        <v/>
      </c>
      <c r="U1467" s="533">
        <f t="shared" si="597"/>
        <v>0</v>
      </c>
      <c r="V1467" s="531" t="str">
        <f t="shared" si="598"/>
        <v/>
      </c>
      <c r="W1467" s="531" t="str">
        <f t="shared" si="599"/>
        <v/>
      </c>
      <c r="X1467" s="534" t="str">
        <f t="shared" si="600"/>
        <v/>
      </c>
      <c r="Y1467" s="535" t="str">
        <f>IF($A1467="","",IF($I1467="weekly",$A1467+7,EDATE($A1467,VLOOKUP($I1467,Ref!$B$24:$C$29,2,0))))</f>
        <v/>
      </c>
      <c r="Z1467" s="536" t="str">
        <f t="shared" si="601"/>
        <v/>
      </c>
      <c r="AA1467" s="531">
        <f t="shared" si="602"/>
        <v>0</v>
      </c>
      <c r="AB1467" s="535" t="str">
        <f t="shared" si="590"/>
        <v/>
      </c>
      <c r="AC1467" s="537" t="str">
        <f t="shared" si="591"/>
        <v/>
      </c>
      <c r="AD1467" s="538" t="str">
        <f t="shared" ca="1" si="592"/>
        <v/>
      </c>
      <c r="AE1467" s="537">
        <f t="shared" ca="1" si="593"/>
        <v>0</v>
      </c>
      <c r="AF1467" s="539" t="str">
        <f t="shared" ca="1" si="603"/>
        <v/>
      </c>
      <c r="AG1467" s="531" t="str">
        <f t="shared" ca="1" si="604"/>
        <v/>
      </c>
      <c r="AH1467" s="531" t="str">
        <f t="shared" ca="1" si="605"/>
        <v/>
      </c>
      <c r="AI1467" s="531" t="str">
        <f t="shared" ca="1" si="606"/>
        <v/>
      </c>
      <c r="AJ1467" s="531" t="str">
        <f t="shared" si="607"/>
        <v/>
      </c>
      <c r="AK1467" s="540">
        <f>SUMIFS('Live Collections'!$S:$S,'Live Collections'!$D:$D,Disbursements!B1467,'Live Collections'!$G:$G,Disbursements!C1467)</f>
        <v>0</v>
      </c>
      <c r="AL1467" s="540">
        <f>SUMIFS('Live Collections'!$T:$T,'Live Collections'!$D:$D,Disbursements!B1467,'Live Collections'!$G:$G,Disbursements!C1467)</f>
        <v>0</v>
      </c>
      <c r="AM1467" s="541">
        <f t="shared" si="608"/>
        <v>0</v>
      </c>
      <c r="AN1467" s="542" t="str">
        <f t="shared" si="609"/>
        <v/>
      </c>
      <c r="AO1467" s="542" t="str">
        <f t="shared" si="610"/>
        <v/>
      </c>
      <c r="AP1467" s="543" t="str">
        <f t="shared" si="611"/>
        <v/>
      </c>
      <c r="AQ1467" s="544" t="str">
        <f t="shared" si="612"/>
        <v/>
      </c>
      <c r="AR1467" s="545">
        <f t="shared" si="613"/>
        <v>0</v>
      </c>
      <c r="AS1467" s="545">
        <f>IFERROR(CEILING($AR1467*VLOOKUP($I1467,Ref!$B$23:$E$29,4,0),1),0)</f>
        <v>0</v>
      </c>
      <c r="AT1467" s="545" t="str">
        <f>IF(A1467="","",IF(AP1467&lt;=1,"Cleared",IF(AS1467=0,"Clean",VLOOKUP($AS1467,Ref!$G$23:$H$28,2))))</f>
        <v/>
      </c>
      <c r="AU1467" s="546" t="str">
        <f t="shared" si="614"/>
        <v/>
      </c>
    </row>
    <row r="1468" spans="1:47" ht="14.25" hidden="1" customHeight="1" x14ac:dyDescent="0.15">
      <c r="A1468" s="575"/>
      <c r="B1468" s="548"/>
      <c r="C1468" s="548"/>
      <c r="D1468" s="548"/>
      <c r="E1468" s="583"/>
      <c r="F1468" s="584"/>
      <c r="G1468" s="548"/>
      <c r="H1468" s="550"/>
      <c r="I1468" s="560"/>
      <c r="J1468" s="548"/>
      <c r="K1468" s="528" t="str">
        <f>IFERROR(VLOOKUP($B1468,'Clients-Live'!$A:$C,3,0),"")</f>
        <v/>
      </c>
      <c r="L1468" s="528">
        <f>IF(E1468="STL",Pricing!$D$38,IF(A1468="",0,IF(A1468&lt;Pricing!$C$25,Pricing!$D$25,VLOOKUP(Disbursements!$F1468,Pricing!$B$29:$D$32,3))))</f>
        <v>0</v>
      </c>
      <c r="M1468" s="528">
        <f>IF(E1468="STL",0,IF(F1468&gt;0,Pricing!$D$21,0))</f>
        <v>0</v>
      </c>
      <c r="N1468" s="529">
        <f>IF(E1468="STL",F1468*Pricing!$D$40,IF(A1468&lt;=Pricing!$C$4,0,IF(AND(A1468&gt;Pricing!$C$4,Disbursements!A1468&lt;=Pricing!$C$5),F1468*Pricing!$E$5,IF(AND(A1468&gt;Pricing!$C$5,Disbursements!A1468&lt;=Pricing!$C$7),VLOOKUP(F1468,Pricing!$D$7:$E$8,2)*Disbursements!F1468,F1468*Pricing!$E$9))))</f>
        <v>0</v>
      </c>
      <c r="O1468" s="528">
        <f>IF(E1468="STL",0,IF($F1468&gt;0,$F1468*Pricing!$D$17,0))</f>
        <v>0</v>
      </c>
      <c r="P1468" s="530" t="str">
        <f t="shared" si="594"/>
        <v/>
      </c>
      <c r="Q1468" s="531" t="str">
        <f>IF($A1468="","",$G1468/VLOOKUP($I1468,Ref!$B$23:$D$29,2,0))</f>
        <v/>
      </c>
      <c r="R1468" s="530" t="str">
        <f t="shared" si="595"/>
        <v/>
      </c>
      <c r="S1468" s="532" t="str">
        <f t="shared" si="589"/>
        <v/>
      </c>
      <c r="T1468" s="531" t="str">
        <f t="shared" si="596"/>
        <v/>
      </c>
      <c r="U1468" s="533">
        <f t="shared" si="597"/>
        <v>0</v>
      </c>
      <c r="V1468" s="531" t="str">
        <f t="shared" si="598"/>
        <v/>
      </c>
      <c r="W1468" s="531" t="str">
        <f t="shared" si="599"/>
        <v/>
      </c>
      <c r="X1468" s="534" t="str">
        <f t="shared" si="600"/>
        <v/>
      </c>
      <c r="Y1468" s="535" t="str">
        <f>IF($A1468="","",IF($I1468="weekly",$A1468+7,EDATE($A1468,VLOOKUP($I1468,Ref!$B$24:$C$29,2,0))))</f>
        <v/>
      </c>
      <c r="Z1468" s="536" t="str">
        <f t="shared" si="601"/>
        <v/>
      </c>
      <c r="AA1468" s="531">
        <f t="shared" si="602"/>
        <v>0</v>
      </c>
      <c r="AB1468" s="535" t="str">
        <f t="shared" si="590"/>
        <v/>
      </c>
      <c r="AC1468" s="537" t="str">
        <f t="shared" si="591"/>
        <v/>
      </c>
      <c r="AD1468" s="538" t="str">
        <f t="shared" ca="1" si="592"/>
        <v/>
      </c>
      <c r="AE1468" s="537">
        <f t="shared" ca="1" si="593"/>
        <v>0</v>
      </c>
      <c r="AF1468" s="539" t="str">
        <f t="shared" ca="1" si="603"/>
        <v/>
      </c>
      <c r="AG1468" s="531" t="str">
        <f t="shared" ca="1" si="604"/>
        <v/>
      </c>
      <c r="AH1468" s="531" t="str">
        <f t="shared" ca="1" si="605"/>
        <v/>
      </c>
      <c r="AI1468" s="531" t="str">
        <f t="shared" ca="1" si="606"/>
        <v/>
      </c>
      <c r="AJ1468" s="531" t="str">
        <f t="shared" si="607"/>
        <v/>
      </c>
      <c r="AK1468" s="540">
        <f>SUMIFS('Live Collections'!$S:$S,'Live Collections'!$D:$D,Disbursements!B1468,'Live Collections'!$G:$G,Disbursements!C1468)</f>
        <v>0</v>
      </c>
      <c r="AL1468" s="540">
        <f>SUMIFS('Live Collections'!$T:$T,'Live Collections'!$D:$D,Disbursements!B1468,'Live Collections'!$G:$G,Disbursements!C1468)</f>
        <v>0</v>
      </c>
      <c r="AM1468" s="541">
        <f t="shared" si="608"/>
        <v>0</v>
      </c>
      <c r="AN1468" s="542" t="str">
        <f t="shared" si="609"/>
        <v/>
      </c>
      <c r="AO1468" s="542" t="str">
        <f t="shared" si="610"/>
        <v/>
      </c>
      <c r="AP1468" s="543" t="str">
        <f t="shared" si="611"/>
        <v/>
      </c>
      <c r="AQ1468" s="544" t="str">
        <f t="shared" si="612"/>
        <v/>
      </c>
      <c r="AR1468" s="545">
        <f t="shared" si="613"/>
        <v>0</v>
      </c>
      <c r="AS1468" s="545">
        <f>IFERROR(CEILING($AR1468*VLOOKUP($I1468,Ref!$B$23:$E$29,4,0),1),0)</f>
        <v>0</v>
      </c>
      <c r="AT1468" s="545" t="str">
        <f>IF(A1468="","",IF(AP1468&lt;=1,"Cleared",IF(AS1468=0,"Clean",VLOOKUP($AS1468,Ref!$G$23:$H$28,2))))</f>
        <v/>
      </c>
      <c r="AU1468" s="546" t="str">
        <f t="shared" si="614"/>
        <v/>
      </c>
    </row>
    <row r="1469" spans="1:47" ht="14.25" hidden="1" customHeight="1" x14ac:dyDescent="0.15">
      <c r="A1469" s="575"/>
      <c r="B1469" s="548"/>
      <c r="C1469" s="548"/>
      <c r="D1469" s="548"/>
      <c r="E1469" s="583"/>
      <c r="F1469" s="584"/>
      <c r="G1469" s="548"/>
      <c r="H1469" s="550"/>
      <c r="I1469" s="560"/>
      <c r="J1469" s="548"/>
      <c r="K1469" s="528" t="str">
        <f>IFERROR(VLOOKUP($B1469,'Clients-Live'!$A:$C,3,0),"")</f>
        <v/>
      </c>
      <c r="L1469" s="528">
        <f>IF(E1469="STL",Pricing!$D$38,IF(A1469="",0,IF(A1469&lt;Pricing!$C$25,Pricing!$D$25,VLOOKUP(Disbursements!$F1469,Pricing!$B$29:$D$32,3))))</f>
        <v>0</v>
      </c>
      <c r="M1469" s="528">
        <f>IF(E1469="STL",0,IF(F1469&gt;0,Pricing!$D$21,0))</f>
        <v>0</v>
      </c>
      <c r="N1469" s="529">
        <f>IF(E1469="STL",F1469*Pricing!$D$40,IF(A1469&lt;=Pricing!$C$4,0,IF(AND(A1469&gt;Pricing!$C$4,Disbursements!A1469&lt;=Pricing!$C$5),F1469*Pricing!$E$5,IF(AND(A1469&gt;Pricing!$C$5,Disbursements!A1469&lt;=Pricing!$C$7),VLOOKUP(F1469,Pricing!$D$7:$E$8,2)*Disbursements!F1469,F1469*Pricing!$E$9))))</f>
        <v>0</v>
      </c>
      <c r="O1469" s="528">
        <f>IF(E1469="STL",0,IF($F1469&gt;0,$F1469*Pricing!$D$17,0))</f>
        <v>0</v>
      </c>
      <c r="P1469" s="530" t="str">
        <f t="shared" si="594"/>
        <v/>
      </c>
      <c r="Q1469" s="531" t="str">
        <f>IF($A1469="","",$G1469/VLOOKUP($I1469,Ref!$B$23:$D$29,2,0))</f>
        <v/>
      </c>
      <c r="R1469" s="530" t="str">
        <f t="shared" si="595"/>
        <v/>
      </c>
      <c r="S1469" s="532" t="str">
        <f t="shared" si="589"/>
        <v/>
      </c>
      <c r="T1469" s="531" t="str">
        <f t="shared" si="596"/>
        <v/>
      </c>
      <c r="U1469" s="533">
        <f t="shared" si="597"/>
        <v>0</v>
      </c>
      <c r="V1469" s="531" t="str">
        <f t="shared" si="598"/>
        <v/>
      </c>
      <c r="W1469" s="531" t="str">
        <f t="shared" si="599"/>
        <v/>
      </c>
      <c r="X1469" s="534" t="str">
        <f t="shared" si="600"/>
        <v/>
      </c>
      <c r="Y1469" s="535" t="str">
        <f>IF($A1469="","",IF($I1469="weekly",$A1469+7,EDATE($A1469,VLOOKUP($I1469,Ref!$B$24:$C$29,2,0))))</f>
        <v/>
      </c>
      <c r="Z1469" s="536" t="str">
        <f t="shared" si="601"/>
        <v/>
      </c>
      <c r="AA1469" s="531">
        <f t="shared" si="602"/>
        <v>0</v>
      </c>
      <c r="AB1469" s="535" t="str">
        <f t="shared" si="590"/>
        <v/>
      </c>
      <c r="AC1469" s="537" t="str">
        <f t="shared" si="591"/>
        <v/>
      </c>
      <c r="AD1469" s="538" t="str">
        <f t="shared" ca="1" si="592"/>
        <v/>
      </c>
      <c r="AE1469" s="537">
        <f t="shared" ca="1" si="593"/>
        <v>0</v>
      </c>
      <c r="AF1469" s="539" t="str">
        <f t="shared" ca="1" si="603"/>
        <v/>
      </c>
      <c r="AG1469" s="531" t="str">
        <f t="shared" ca="1" si="604"/>
        <v/>
      </c>
      <c r="AH1469" s="531" t="str">
        <f t="shared" ca="1" si="605"/>
        <v/>
      </c>
      <c r="AI1469" s="531" t="str">
        <f t="shared" ca="1" si="606"/>
        <v/>
      </c>
      <c r="AJ1469" s="531" t="str">
        <f t="shared" si="607"/>
        <v/>
      </c>
      <c r="AK1469" s="540">
        <f>SUMIFS('Live Collections'!$S:$S,'Live Collections'!$D:$D,Disbursements!B1469,'Live Collections'!$G:$G,Disbursements!C1469)</f>
        <v>0</v>
      </c>
      <c r="AL1469" s="540">
        <f>SUMIFS('Live Collections'!$T:$T,'Live Collections'!$D:$D,Disbursements!B1469,'Live Collections'!$G:$G,Disbursements!C1469)</f>
        <v>0</v>
      </c>
      <c r="AM1469" s="541">
        <f t="shared" si="608"/>
        <v>0</v>
      </c>
      <c r="AN1469" s="542" t="str">
        <f t="shared" si="609"/>
        <v/>
      </c>
      <c r="AO1469" s="542" t="str">
        <f t="shared" si="610"/>
        <v/>
      </c>
      <c r="AP1469" s="543" t="str">
        <f t="shared" si="611"/>
        <v/>
      </c>
      <c r="AQ1469" s="544" t="str">
        <f t="shared" si="612"/>
        <v/>
      </c>
      <c r="AR1469" s="545">
        <f t="shared" si="613"/>
        <v>0</v>
      </c>
      <c r="AS1469" s="545">
        <f>IFERROR(CEILING($AR1469*VLOOKUP($I1469,Ref!$B$23:$E$29,4,0),1),0)</f>
        <v>0</v>
      </c>
      <c r="AT1469" s="545" t="str">
        <f>IF(A1469="","",IF(AP1469&lt;=1,"Cleared",IF(AS1469=0,"Clean",VLOOKUP($AS1469,Ref!$G$23:$H$28,2))))</f>
        <v/>
      </c>
      <c r="AU1469" s="546" t="str">
        <f t="shared" si="614"/>
        <v/>
      </c>
    </row>
    <row r="1470" spans="1:47" ht="14.25" hidden="1" customHeight="1" x14ac:dyDescent="0.15">
      <c r="A1470" s="575"/>
      <c r="B1470" s="548"/>
      <c r="C1470" s="548"/>
      <c r="D1470" s="548"/>
      <c r="E1470" s="583"/>
      <c r="F1470" s="584"/>
      <c r="G1470" s="548"/>
      <c r="H1470" s="550"/>
      <c r="I1470" s="560"/>
      <c r="J1470" s="548"/>
      <c r="K1470" s="528" t="str">
        <f>IFERROR(VLOOKUP($B1470,'Clients-Live'!$A:$C,3,0),"")</f>
        <v/>
      </c>
      <c r="L1470" s="528">
        <f>IF(E1470="STL",Pricing!$D$38,IF(A1470="",0,IF(A1470&lt;Pricing!$C$25,Pricing!$D$25,VLOOKUP(Disbursements!$F1470,Pricing!$B$29:$D$32,3))))</f>
        <v>0</v>
      </c>
      <c r="M1470" s="528">
        <f>IF(E1470="STL",0,IF(F1470&gt;0,Pricing!$D$21,0))</f>
        <v>0</v>
      </c>
      <c r="N1470" s="529">
        <f>IF(E1470="STL",F1470*Pricing!$D$40,IF(A1470&lt;=Pricing!$C$4,0,IF(AND(A1470&gt;Pricing!$C$4,Disbursements!A1470&lt;=Pricing!$C$5),F1470*Pricing!$E$5,IF(AND(A1470&gt;Pricing!$C$5,Disbursements!A1470&lt;=Pricing!$C$7),VLOOKUP(F1470,Pricing!$D$7:$E$8,2)*Disbursements!F1470,F1470*Pricing!$E$9))))</f>
        <v>0</v>
      </c>
      <c r="O1470" s="528">
        <f>IF(E1470="STL",0,IF($F1470&gt;0,$F1470*Pricing!$D$17,0))</f>
        <v>0</v>
      </c>
      <c r="P1470" s="530" t="str">
        <f t="shared" si="594"/>
        <v/>
      </c>
      <c r="Q1470" s="531" t="str">
        <f>IF($A1470="","",$G1470/VLOOKUP($I1470,Ref!$B$23:$D$29,2,0))</f>
        <v/>
      </c>
      <c r="R1470" s="530" t="str">
        <f t="shared" si="595"/>
        <v/>
      </c>
      <c r="S1470" s="532" t="str">
        <f t="shared" si="589"/>
        <v/>
      </c>
      <c r="T1470" s="531" t="str">
        <f t="shared" si="596"/>
        <v/>
      </c>
      <c r="U1470" s="533">
        <f t="shared" si="597"/>
        <v>0</v>
      </c>
      <c r="V1470" s="531" t="str">
        <f t="shared" si="598"/>
        <v/>
      </c>
      <c r="W1470" s="531" t="str">
        <f t="shared" si="599"/>
        <v/>
      </c>
      <c r="X1470" s="534" t="str">
        <f t="shared" si="600"/>
        <v/>
      </c>
      <c r="Y1470" s="535" t="str">
        <f>IF($A1470="","",IF($I1470="weekly",$A1470+7,EDATE($A1470,VLOOKUP($I1470,Ref!$B$24:$C$29,2,0))))</f>
        <v/>
      </c>
      <c r="Z1470" s="536" t="str">
        <f t="shared" si="601"/>
        <v/>
      </c>
      <c r="AA1470" s="531">
        <f t="shared" si="602"/>
        <v>0</v>
      </c>
      <c r="AB1470" s="535" t="str">
        <f t="shared" si="590"/>
        <v/>
      </c>
      <c r="AC1470" s="537" t="str">
        <f t="shared" si="591"/>
        <v/>
      </c>
      <c r="AD1470" s="538" t="str">
        <f t="shared" ca="1" si="592"/>
        <v/>
      </c>
      <c r="AE1470" s="537">
        <f t="shared" ca="1" si="593"/>
        <v>0</v>
      </c>
      <c r="AF1470" s="539" t="str">
        <f t="shared" ca="1" si="603"/>
        <v/>
      </c>
      <c r="AG1470" s="531" t="str">
        <f t="shared" ca="1" si="604"/>
        <v/>
      </c>
      <c r="AH1470" s="531" t="str">
        <f t="shared" ca="1" si="605"/>
        <v/>
      </c>
      <c r="AI1470" s="531" t="str">
        <f t="shared" ca="1" si="606"/>
        <v/>
      </c>
      <c r="AJ1470" s="531" t="str">
        <f t="shared" si="607"/>
        <v/>
      </c>
      <c r="AK1470" s="540">
        <f>SUMIFS('Live Collections'!$S:$S,'Live Collections'!$D:$D,Disbursements!B1470,'Live Collections'!$G:$G,Disbursements!C1470)</f>
        <v>0</v>
      </c>
      <c r="AL1470" s="540">
        <f>SUMIFS('Live Collections'!$T:$T,'Live Collections'!$D:$D,Disbursements!B1470,'Live Collections'!$G:$G,Disbursements!C1470)</f>
        <v>0</v>
      </c>
      <c r="AM1470" s="541">
        <f t="shared" si="608"/>
        <v>0</v>
      </c>
      <c r="AN1470" s="542" t="str">
        <f t="shared" si="609"/>
        <v/>
      </c>
      <c r="AO1470" s="542" t="str">
        <f t="shared" si="610"/>
        <v/>
      </c>
      <c r="AP1470" s="543" t="str">
        <f t="shared" si="611"/>
        <v/>
      </c>
      <c r="AQ1470" s="544" t="str">
        <f t="shared" si="612"/>
        <v/>
      </c>
      <c r="AR1470" s="545">
        <f t="shared" si="613"/>
        <v>0</v>
      </c>
      <c r="AS1470" s="545">
        <f>IFERROR(CEILING($AR1470*VLOOKUP($I1470,Ref!$B$23:$E$29,4,0),1),0)</f>
        <v>0</v>
      </c>
      <c r="AT1470" s="545" t="str">
        <f>IF(A1470="","",IF(AP1470&lt;=1,"Cleared",IF(AS1470=0,"Clean",VLOOKUP($AS1470,Ref!$G$23:$H$28,2))))</f>
        <v/>
      </c>
      <c r="AU1470" s="546" t="str">
        <f t="shared" si="614"/>
        <v/>
      </c>
    </row>
    <row r="1471" spans="1:47" ht="14.25" hidden="1" customHeight="1" x14ac:dyDescent="0.15">
      <c r="A1471" s="575"/>
      <c r="B1471" s="548"/>
      <c r="C1471" s="548"/>
      <c r="D1471" s="548"/>
      <c r="E1471" s="583"/>
      <c r="F1471" s="584"/>
      <c r="G1471" s="548"/>
      <c r="H1471" s="550"/>
      <c r="I1471" s="560"/>
      <c r="J1471" s="548"/>
      <c r="K1471" s="528" t="str">
        <f>IFERROR(VLOOKUP($B1471,'Clients-Live'!$A:$C,3,0),"")</f>
        <v/>
      </c>
      <c r="L1471" s="528">
        <f>IF(E1471="STL",Pricing!$D$38,IF(A1471="",0,IF(A1471&lt;Pricing!$C$25,Pricing!$D$25,VLOOKUP(Disbursements!$F1471,Pricing!$B$29:$D$32,3))))</f>
        <v>0</v>
      </c>
      <c r="M1471" s="528">
        <f>IF(E1471="STL",0,IF(F1471&gt;0,Pricing!$D$21,0))</f>
        <v>0</v>
      </c>
      <c r="N1471" s="529">
        <f>IF(E1471="STL",F1471*Pricing!$D$40,IF(A1471&lt;=Pricing!$C$4,0,IF(AND(A1471&gt;Pricing!$C$4,Disbursements!A1471&lt;=Pricing!$C$5),F1471*Pricing!$E$5,IF(AND(A1471&gt;Pricing!$C$5,Disbursements!A1471&lt;=Pricing!$C$7),VLOOKUP(F1471,Pricing!$D$7:$E$8,2)*Disbursements!F1471,F1471*Pricing!$E$9))))</f>
        <v>0</v>
      </c>
      <c r="O1471" s="528">
        <f>IF(E1471="STL",0,IF($F1471&gt;0,$F1471*Pricing!$D$17,0))</f>
        <v>0</v>
      </c>
      <c r="P1471" s="530" t="str">
        <f t="shared" si="594"/>
        <v/>
      </c>
      <c r="Q1471" s="531" t="str">
        <f>IF($A1471="","",$G1471/VLOOKUP($I1471,Ref!$B$23:$D$29,2,0))</f>
        <v/>
      </c>
      <c r="R1471" s="530" t="str">
        <f t="shared" si="595"/>
        <v/>
      </c>
      <c r="S1471" s="532" t="str">
        <f t="shared" si="589"/>
        <v/>
      </c>
      <c r="T1471" s="531" t="str">
        <f t="shared" si="596"/>
        <v/>
      </c>
      <c r="U1471" s="533">
        <f t="shared" si="597"/>
        <v>0</v>
      </c>
      <c r="V1471" s="531" t="str">
        <f t="shared" si="598"/>
        <v/>
      </c>
      <c r="W1471" s="531" t="str">
        <f t="shared" si="599"/>
        <v/>
      </c>
      <c r="X1471" s="534" t="str">
        <f t="shared" si="600"/>
        <v/>
      </c>
      <c r="Y1471" s="535" t="str">
        <f>IF($A1471="","",IF($I1471="weekly",$A1471+7,EDATE($A1471,VLOOKUP($I1471,Ref!$B$24:$C$29,2,0))))</f>
        <v/>
      </c>
      <c r="Z1471" s="536" t="str">
        <f t="shared" si="601"/>
        <v/>
      </c>
      <c r="AA1471" s="531">
        <f t="shared" si="602"/>
        <v>0</v>
      </c>
      <c r="AB1471" s="535" t="str">
        <f t="shared" si="590"/>
        <v/>
      </c>
      <c r="AC1471" s="537" t="str">
        <f t="shared" si="591"/>
        <v/>
      </c>
      <c r="AD1471" s="538" t="str">
        <f t="shared" ca="1" si="592"/>
        <v/>
      </c>
      <c r="AE1471" s="537">
        <f t="shared" ca="1" si="593"/>
        <v>0</v>
      </c>
      <c r="AF1471" s="539" t="str">
        <f t="shared" ca="1" si="603"/>
        <v/>
      </c>
      <c r="AG1471" s="531" t="str">
        <f t="shared" ca="1" si="604"/>
        <v/>
      </c>
      <c r="AH1471" s="531" t="str">
        <f t="shared" ca="1" si="605"/>
        <v/>
      </c>
      <c r="AI1471" s="531" t="str">
        <f t="shared" ca="1" si="606"/>
        <v/>
      </c>
      <c r="AJ1471" s="531" t="str">
        <f t="shared" si="607"/>
        <v/>
      </c>
      <c r="AK1471" s="540">
        <f>SUMIFS('Live Collections'!$S:$S,'Live Collections'!$D:$D,Disbursements!B1471,'Live Collections'!$G:$G,Disbursements!C1471)</f>
        <v>0</v>
      </c>
      <c r="AL1471" s="540">
        <f>SUMIFS('Live Collections'!$T:$T,'Live Collections'!$D:$D,Disbursements!B1471,'Live Collections'!$G:$G,Disbursements!C1471)</f>
        <v>0</v>
      </c>
      <c r="AM1471" s="541">
        <f t="shared" si="608"/>
        <v>0</v>
      </c>
      <c r="AN1471" s="542" t="str">
        <f t="shared" si="609"/>
        <v/>
      </c>
      <c r="AO1471" s="542" t="str">
        <f t="shared" si="610"/>
        <v/>
      </c>
      <c r="AP1471" s="543" t="str">
        <f t="shared" si="611"/>
        <v/>
      </c>
      <c r="AQ1471" s="544" t="str">
        <f t="shared" si="612"/>
        <v/>
      </c>
      <c r="AR1471" s="545">
        <f t="shared" si="613"/>
        <v>0</v>
      </c>
      <c r="AS1471" s="545">
        <f>IFERROR(CEILING($AR1471*VLOOKUP($I1471,Ref!$B$23:$E$29,4,0),1),0)</f>
        <v>0</v>
      </c>
      <c r="AT1471" s="545" t="str">
        <f>IF(A1471="","",IF(AP1471&lt;=1,"Cleared",IF(AS1471=0,"Clean",VLOOKUP($AS1471,Ref!$G$23:$H$28,2))))</f>
        <v/>
      </c>
      <c r="AU1471" s="546" t="str">
        <f t="shared" si="614"/>
        <v/>
      </c>
    </row>
    <row r="1472" spans="1:47" ht="14.25" hidden="1" customHeight="1" x14ac:dyDescent="0.15">
      <c r="A1472" s="575"/>
      <c r="B1472" s="548"/>
      <c r="C1472" s="548"/>
      <c r="D1472" s="548"/>
      <c r="E1472" s="583"/>
      <c r="F1472" s="584"/>
      <c r="G1472" s="548"/>
      <c r="H1472" s="550"/>
      <c r="I1472" s="560"/>
      <c r="J1472" s="548"/>
      <c r="K1472" s="528" t="str">
        <f>IFERROR(VLOOKUP($B1472,'Clients-Live'!$A:$C,3,0),"")</f>
        <v/>
      </c>
      <c r="L1472" s="528">
        <f>IF(E1472="STL",Pricing!$D$38,IF(A1472="",0,IF(A1472&lt;Pricing!$C$25,Pricing!$D$25,VLOOKUP(Disbursements!$F1472,Pricing!$B$29:$D$32,3))))</f>
        <v>0</v>
      </c>
      <c r="M1472" s="528">
        <f>IF(E1472="STL",0,IF(F1472&gt;0,Pricing!$D$21,0))</f>
        <v>0</v>
      </c>
      <c r="N1472" s="529">
        <f>IF(E1472="STL",F1472*Pricing!$D$40,IF(A1472&lt;=Pricing!$C$4,0,IF(AND(A1472&gt;Pricing!$C$4,Disbursements!A1472&lt;=Pricing!$C$5),F1472*Pricing!$E$5,IF(AND(A1472&gt;Pricing!$C$5,Disbursements!A1472&lt;=Pricing!$C$7),VLOOKUP(F1472,Pricing!$D$7:$E$8,2)*Disbursements!F1472,F1472*Pricing!$E$9))))</f>
        <v>0</v>
      </c>
      <c r="O1472" s="528">
        <f>IF(E1472="STL",0,IF($F1472&gt;0,$F1472*Pricing!$D$17,0))</f>
        <v>0</v>
      </c>
      <c r="P1472" s="530" t="str">
        <f t="shared" si="594"/>
        <v/>
      </c>
      <c r="Q1472" s="531" t="str">
        <f>IF($A1472="","",$G1472/VLOOKUP($I1472,Ref!$B$23:$D$29,2,0))</f>
        <v/>
      </c>
      <c r="R1472" s="530" t="str">
        <f t="shared" si="595"/>
        <v/>
      </c>
      <c r="S1472" s="532" t="str">
        <f t="shared" si="589"/>
        <v/>
      </c>
      <c r="T1472" s="531" t="str">
        <f t="shared" si="596"/>
        <v/>
      </c>
      <c r="U1472" s="533">
        <f t="shared" si="597"/>
        <v>0</v>
      </c>
      <c r="V1472" s="531" t="str">
        <f t="shared" si="598"/>
        <v/>
      </c>
      <c r="W1472" s="531" t="str">
        <f t="shared" si="599"/>
        <v/>
      </c>
      <c r="X1472" s="534" t="str">
        <f t="shared" si="600"/>
        <v/>
      </c>
      <c r="Y1472" s="535" t="str">
        <f>IF($A1472="","",IF($I1472="weekly",$A1472+7,EDATE($A1472,VLOOKUP($I1472,Ref!$B$24:$C$29,2,0))))</f>
        <v/>
      </c>
      <c r="Z1472" s="536" t="str">
        <f t="shared" si="601"/>
        <v/>
      </c>
      <c r="AA1472" s="531">
        <f t="shared" si="602"/>
        <v>0</v>
      </c>
      <c r="AB1472" s="535" t="str">
        <f t="shared" si="590"/>
        <v/>
      </c>
      <c r="AC1472" s="537" t="str">
        <f t="shared" si="591"/>
        <v/>
      </c>
      <c r="AD1472" s="538" t="str">
        <f t="shared" ca="1" si="592"/>
        <v/>
      </c>
      <c r="AE1472" s="537">
        <f t="shared" ca="1" si="593"/>
        <v>0</v>
      </c>
      <c r="AF1472" s="539" t="str">
        <f t="shared" ca="1" si="603"/>
        <v/>
      </c>
      <c r="AG1472" s="531" t="str">
        <f t="shared" ca="1" si="604"/>
        <v/>
      </c>
      <c r="AH1472" s="531" t="str">
        <f t="shared" ca="1" si="605"/>
        <v/>
      </c>
      <c r="AI1472" s="531" t="str">
        <f t="shared" ca="1" si="606"/>
        <v/>
      </c>
      <c r="AJ1472" s="531" t="str">
        <f t="shared" si="607"/>
        <v/>
      </c>
      <c r="AK1472" s="540">
        <f>SUMIFS('Live Collections'!$S:$S,'Live Collections'!$D:$D,Disbursements!B1472,'Live Collections'!$G:$G,Disbursements!C1472)</f>
        <v>0</v>
      </c>
      <c r="AL1472" s="540">
        <f>SUMIFS('Live Collections'!$T:$T,'Live Collections'!$D:$D,Disbursements!B1472,'Live Collections'!$G:$G,Disbursements!C1472)</f>
        <v>0</v>
      </c>
      <c r="AM1472" s="541">
        <f t="shared" si="608"/>
        <v>0</v>
      </c>
      <c r="AN1472" s="542" t="str">
        <f t="shared" si="609"/>
        <v/>
      </c>
      <c r="AO1472" s="542" t="str">
        <f t="shared" si="610"/>
        <v/>
      </c>
      <c r="AP1472" s="543" t="str">
        <f t="shared" si="611"/>
        <v/>
      </c>
      <c r="AQ1472" s="544" t="str">
        <f t="shared" si="612"/>
        <v/>
      </c>
      <c r="AR1472" s="545">
        <f t="shared" si="613"/>
        <v>0</v>
      </c>
      <c r="AS1472" s="545">
        <f>IFERROR(CEILING($AR1472*VLOOKUP($I1472,Ref!$B$23:$E$29,4,0),1),0)</f>
        <v>0</v>
      </c>
      <c r="AT1472" s="545" t="str">
        <f>IF(A1472="","",IF(AP1472&lt;=1,"Cleared",IF(AS1472=0,"Clean",VLOOKUP($AS1472,Ref!$G$23:$H$28,2))))</f>
        <v/>
      </c>
      <c r="AU1472" s="546" t="str">
        <f t="shared" si="614"/>
        <v/>
      </c>
    </row>
    <row r="1473" spans="1:47" ht="14.25" hidden="1" customHeight="1" x14ac:dyDescent="0.15">
      <c r="A1473" s="575"/>
      <c r="B1473" s="548"/>
      <c r="C1473" s="548"/>
      <c r="D1473" s="548"/>
      <c r="E1473" s="583"/>
      <c r="F1473" s="584"/>
      <c r="G1473" s="548"/>
      <c r="H1473" s="550"/>
      <c r="I1473" s="560"/>
      <c r="J1473" s="548"/>
      <c r="K1473" s="528" t="str">
        <f>IFERROR(VLOOKUP($B1473,'Clients-Live'!$A:$C,3,0),"")</f>
        <v/>
      </c>
      <c r="L1473" s="528">
        <f>IF(E1473="STL",Pricing!$D$38,IF(A1473="",0,IF(A1473&lt;Pricing!$C$25,Pricing!$D$25,VLOOKUP(Disbursements!$F1473,Pricing!$B$29:$D$32,3))))</f>
        <v>0</v>
      </c>
      <c r="M1473" s="528">
        <f>IF(E1473="STL",0,IF(F1473&gt;0,Pricing!$D$21,0))</f>
        <v>0</v>
      </c>
      <c r="N1473" s="529">
        <f>IF(E1473="STL",F1473*Pricing!$D$40,IF(A1473&lt;=Pricing!$C$4,0,IF(AND(A1473&gt;Pricing!$C$4,Disbursements!A1473&lt;=Pricing!$C$5),F1473*Pricing!$E$5,IF(AND(A1473&gt;Pricing!$C$5,Disbursements!A1473&lt;=Pricing!$C$7),VLOOKUP(F1473,Pricing!$D$7:$E$8,2)*Disbursements!F1473,F1473*Pricing!$E$9))))</f>
        <v>0</v>
      </c>
      <c r="O1473" s="528">
        <f>IF(E1473="STL",0,IF($F1473&gt;0,$F1473*Pricing!$D$17,0))</f>
        <v>0</v>
      </c>
      <c r="P1473" s="530" t="str">
        <f t="shared" si="594"/>
        <v/>
      </c>
      <c r="Q1473" s="531" t="str">
        <f>IF($A1473="","",$G1473/VLOOKUP($I1473,Ref!$B$23:$D$29,2,0))</f>
        <v/>
      </c>
      <c r="R1473" s="530" t="str">
        <f t="shared" si="595"/>
        <v/>
      </c>
      <c r="S1473" s="532" t="str">
        <f t="shared" si="589"/>
        <v/>
      </c>
      <c r="T1473" s="531" t="str">
        <f t="shared" si="596"/>
        <v/>
      </c>
      <c r="U1473" s="533">
        <f t="shared" si="597"/>
        <v>0</v>
      </c>
      <c r="V1473" s="531" t="str">
        <f t="shared" si="598"/>
        <v/>
      </c>
      <c r="W1473" s="531" t="str">
        <f t="shared" si="599"/>
        <v/>
      </c>
      <c r="X1473" s="534" t="str">
        <f t="shared" si="600"/>
        <v/>
      </c>
      <c r="Y1473" s="535" t="str">
        <f>IF($A1473="","",IF($I1473="weekly",$A1473+7,EDATE($A1473,VLOOKUP($I1473,Ref!$B$24:$C$29,2,0))))</f>
        <v/>
      </c>
      <c r="Z1473" s="536" t="str">
        <f t="shared" si="601"/>
        <v/>
      </c>
      <c r="AA1473" s="531">
        <f t="shared" si="602"/>
        <v>0</v>
      </c>
      <c r="AB1473" s="535" t="str">
        <f t="shared" si="590"/>
        <v/>
      </c>
      <c r="AC1473" s="537" t="str">
        <f t="shared" si="591"/>
        <v/>
      </c>
      <c r="AD1473" s="538" t="str">
        <f t="shared" ca="1" si="592"/>
        <v/>
      </c>
      <c r="AE1473" s="537">
        <f t="shared" ca="1" si="593"/>
        <v>0</v>
      </c>
      <c r="AF1473" s="539" t="str">
        <f t="shared" ca="1" si="603"/>
        <v/>
      </c>
      <c r="AG1473" s="531" t="str">
        <f t="shared" ca="1" si="604"/>
        <v/>
      </c>
      <c r="AH1473" s="531" t="str">
        <f t="shared" ca="1" si="605"/>
        <v/>
      </c>
      <c r="AI1473" s="531" t="str">
        <f t="shared" ca="1" si="606"/>
        <v/>
      </c>
      <c r="AJ1473" s="531" t="str">
        <f t="shared" si="607"/>
        <v/>
      </c>
      <c r="AK1473" s="540">
        <f>SUMIFS('Live Collections'!$S:$S,'Live Collections'!$D:$D,Disbursements!B1473,'Live Collections'!$G:$G,Disbursements!C1473)</f>
        <v>0</v>
      </c>
      <c r="AL1473" s="540">
        <f>SUMIFS('Live Collections'!$T:$T,'Live Collections'!$D:$D,Disbursements!B1473,'Live Collections'!$G:$G,Disbursements!C1473)</f>
        <v>0</v>
      </c>
      <c r="AM1473" s="541">
        <f t="shared" si="608"/>
        <v>0</v>
      </c>
      <c r="AN1473" s="542" t="str">
        <f t="shared" si="609"/>
        <v/>
      </c>
      <c r="AO1473" s="542" t="str">
        <f t="shared" si="610"/>
        <v/>
      </c>
      <c r="AP1473" s="543" t="str">
        <f t="shared" si="611"/>
        <v/>
      </c>
      <c r="AQ1473" s="544" t="str">
        <f t="shared" si="612"/>
        <v/>
      </c>
      <c r="AR1473" s="545">
        <f t="shared" si="613"/>
        <v>0</v>
      </c>
      <c r="AS1473" s="545">
        <f>IFERROR(CEILING($AR1473*VLOOKUP($I1473,Ref!$B$23:$E$29,4,0),1),0)</f>
        <v>0</v>
      </c>
      <c r="AT1473" s="545" t="str">
        <f>IF(A1473="","",IF(AP1473&lt;=1,"Cleared",IF(AS1473=0,"Clean",VLOOKUP($AS1473,Ref!$G$23:$H$28,2))))</f>
        <v/>
      </c>
      <c r="AU1473" s="546" t="str">
        <f t="shared" si="614"/>
        <v/>
      </c>
    </row>
    <row r="1474" spans="1:47" ht="14.25" hidden="1" customHeight="1" x14ac:dyDescent="0.15">
      <c r="A1474" s="575"/>
      <c r="B1474" s="548"/>
      <c r="C1474" s="548"/>
      <c r="D1474" s="548"/>
      <c r="E1474" s="583"/>
      <c r="F1474" s="584"/>
      <c r="G1474" s="548"/>
      <c r="H1474" s="550"/>
      <c r="I1474" s="560"/>
      <c r="J1474" s="548"/>
      <c r="K1474" s="528" t="str">
        <f>IFERROR(VLOOKUP($B1474,'Clients-Live'!$A:$C,3,0),"")</f>
        <v/>
      </c>
      <c r="L1474" s="528">
        <f>IF(E1474="STL",Pricing!$D$38,IF(A1474="",0,IF(A1474&lt;Pricing!$C$25,Pricing!$D$25,VLOOKUP(Disbursements!$F1474,Pricing!$B$29:$D$32,3))))</f>
        <v>0</v>
      </c>
      <c r="M1474" s="528">
        <f>IF(E1474="STL",0,IF(F1474&gt;0,Pricing!$D$21,0))</f>
        <v>0</v>
      </c>
      <c r="N1474" s="529">
        <f>IF(E1474="STL",F1474*Pricing!$D$40,IF(A1474&lt;=Pricing!$C$4,0,IF(AND(A1474&gt;Pricing!$C$4,Disbursements!A1474&lt;=Pricing!$C$5),F1474*Pricing!$E$5,IF(AND(A1474&gt;Pricing!$C$5,Disbursements!A1474&lt;=Pricing!$C$7),VLOOKUP(F1474,Pricing!$D$7:$E$8,2)*Disbursements!F1474,F1474*Pricing!$E$9))))</f>
        <v>0</v>
      </c>
      <c r="O1474" s="528">
        <f>IF(E1474="STL",0,IF($F1474&gt;0,$F1474*Pricing!$D$17,0))</f>
        <v>0</v>
      </c>
      <c r="P1474" s="530" t="str">
        <f t="shared" si="594"/>
        <v/>
      </c>
      <c r="Q1474" s="531" t="str">
        <f>IF($A1474="","",$G1474/VLOOKUP($I1474,Ref!$B$23:$D$29,2,0))</f>
        <v/>
      </c>
      <c r="R1474" s="530" t="str">
        <f t="shared" si="595"/>
        <v/>
      </c>
      <c r="S1474" s="532" t="str">
        <f t="shared" si="589"/>
        <v/>
      </c>
      <c r="T1474" s="531" t="str">
        <f t="shared" si="596"/>
        <v/>
      </c>
      <c r="U1474" s="533">
        <f t="shared" si="597"/>
        <v>0</v>
      </c>
      <c r="V1474" s="531" t="str">
        <f t="shared" si="598"/>
        <v/>
      </c>
      <c r="W1474" s="531" t="str">
        <f t="shared" si="599"/>
        <v/>
      </c>
      <c r="X1474" s="534" t="str">
        <f t="shared" si="600"/>
        <v/>
      </c>
      <c r="Y1474" s="535" t="str">
        <f>IF($A1474="","",IF($I1474="weekly",$A1474+7,EDATE($A1474,VLOOKUP($I1474,Ref!$B$24:$C$29,2,0))))</f>
        <v/>
      </c>
      <c r="Z1474" s="536" t="str">
        <f t="shared" si="601"/>
        <v/>
      </c>
      <c r="AA1474" s="531">
        <f t="shared" si="602"/>
        <v>0</v>
      </c>
      <c r="AB1474" s="535" t="str">
        <f t="shared" si="590"/>
        <v/>
      </c>
      <c r="AC1474" s="537" t="str">
        <f t="shared" si="591"/>
        <v/>
      </c>
      <c r="AD1474" s="538" t="str">
        <f t="shared" ca="1" si="592"/>
        <v/>
      </c>
      <c r="AE1474" s="537">
        <f t="shared" ca="1" si="593"/>
        <v>0</v>
      </c>
      <c r="AF1474" s="539" t="str">
        <f t="shared" ca="1" si="603"/>
        <v/>
      </c>
      <c r="AG1474" s="531" t="str">
        <f t="shared" ca="1" si="604"/>
        <v/>
      </c>
      <c r="AH1474" s="531" t="str">
        <f t="shared" ca="1" si="605"/>
        <v/>
      </c>
      <c r="AI1474" s="531" t="str">
        <f t="shared" ca="1" si="606"/>
        <v/>
      </c>
      <c r="AJ1474" s="531" t="str">
        <f t="shared" si="607"/>
        <v/>
      </c>
      <c r="AK1474" s="540">
        <f>SUMIFS('Live Collections'!$S:$S,'Live Collections'!$D:$D,Disbursements!B1474,'Live Collections'!$G:$G,Disbursements!C1474)</f>
        <v>0</v>
      </c>
      <c r="AL1474" s="540">
        <f>SUMIFS('Live Collections'!$T:$T,'Live Collections'!$D:$D,Disbursements!B1474,'Live Collections'!$G:$G,Disbursements!C1474)</f>
        <v>0</v>
      </c>
      <c r="AM1474" s="541">
        <f t="shared" si="608"/>
        <v>0</v>
      </c>
      <c r="AN1474" s="542" t="str">
        <f t="shared" si="609"/>
        <v/>
      </c>
      <c r="AO1474" s="542" t="str">
        <f t="shared" si="610"/>
        <v/>
      </c>
      <c r="AP1474" s="543" t="str">
        <f t="shared" si="611"/>
        <v/>
      </c>
      <c r="AQ1474" s="544" t="str">
        <f t="shared" si="612"/>
        <v/>
      </c>
      <c r="AR1474" s="545">
        <f t="shared" si="613"/>
        <v>0</v>
      </c>
      <c r="AS1474" s="545">
        <f>IFERROR(CEILING($AR1474*VLOOKUP($I1474,Ref!$B$23:$E$29,4,0),1),0)</f>
        <v>0</v>
      </c>
      <c r="AT1474" s="545" t="str">
        <f>IF(A1474="","",IF(AP1474&lt;=1,"Cleared",IF(AS1474=0,"Clean",VLOOKUP($AS1474,Ref!$G$23:$H$28,2))))</f>
        <v/>
      </c>
      <c r="AU1474" s="546" t="str">
        <f t="shared" si="614"/>
        <v/>
      </c>
    </row>
    <row r="1475" spans="1:47" ht="14.25" hidden="1" customHeight="1" x14ac:dyDescent="0.15">
      <c r="A1475" s="575"/>
      <c r="B1475" s="548"/>
      <c r="C1475" s="548"/>
      <c r="D1475" s="548"/>
      <c r="E1475" s="583"/>
      <c r="F1475" s="584"/>
      <c r="G1475" s="548"/>
      <c r="H1475" s="550"/>
      <c r="I1475" s="560"/>
      <c r="J1475" s="548"/>
      <c r="K1475" s="528" t="str">
        <f>IFERROR(VLOOKUP($B1475,'Clients-Live'!$A:$C,3,0),"")</f>
        <v/>
      </c>
      <c r="L1475" s="528">
        <f>IF(E1475="STL",Pricing!$D$38,IF(A1475="",0,IF(A1475&lt;Pricing!$C$25,Pricing!$D$25,VLOOKUP(Disbursements!$F1475,Pricing!$B$29:$D$32,3))))</f>
        <v>0</v>
      </c>
      <c r="M1475" s="528">
        <f>IF(E1475="STL",0,IF(F1475&gt;0,Pricing!$D$21,0))</f>
        <v>0</v>
      </c>
      <c r="N1475" s="529">
        <f>IF(E1475="STL",F1475*Pricing!$D$40,IF(A1475&lt;=Pricing!$C$4,0,IF(AND(A1475&gt;Pricing!$C$4,Disbursements!A1475&lt;=Pricing!$C$5),F1475*Pricing!$E$5,IF(AND(A1475&gt;Pricing!$C$5,Disbursements!A1475&lt;=Pricing!$C$7),VLOOKUP(F1475,Pricing!$D$7:$E$8,2)*Disbursements!F1475,F1475*Pricing!$E$9))))</f>
        <v>0</v>
      </c>
      <c r="O1475" s="528">
        <f>IF(E1475="STL",0,IF($F1475&gt;0,$F1475*Pricing!$D$17,0))</f>
        <v>0</v>
      </c>
      <c r="P1475" s="530" t="str">
        <f t="shared" si="594"/>
        <v/>
      </c>
      <c r="Q1475" s="531" t="str">
        <f>IF($A1475="","",$G1475/VLOOKUP($I1475,Ref!$B$23:$D$29,2,0))</f>
        <v/>
      </c>
      <c r="R1475" s="530" t="str">
        <f t="shared" si="595"/>
        <v/>
      </c>
      <c r="S1475" s="532" t="str">
        <f t="shared" si="589"/>
        <v/>
      </c>
      <c r="T1475" s="531" t="str">
        <f t="shared" si="596"/>
        <v/>
      </c>
      <c r="U1475" s="533">
        <f t="shared" si="597"/>
        <v>0</v>
      </c>
      <c r="V1475" s="531" t="str">
        <f t="shared" si="598"/>
        <v/>
      </c>
      <c r="W1475" s="531" t="str">
        <f t="shared" si="599"/>
        <v/>
      </c>
      <c r="X1475" s="534" t="str">
        <f t="shared" si="600"/>
        <v/>
      </c>
      <c r="Y1475" s="535" t="str">
        <f>IF($A1475="","",IF($I1475="weekly",$A1475+7,EDATE($A1475,VLOOKUP($I1475,Ref!$B$24:$C$29,2,0))))</f>
        <v/>
      </c>
      <c r="Z1475" s="536" t="str">
        <f t="shared" si="601"/>
        <v/>
      </c>
      <c r="AA1475" s="531">
        <f t="shared" si="602"/>
        <v>0</v>
      </c>
      <c r="AB1475" s="535" t="str">
        <f t="shared" si="590"/>
        <v/>
      </c>
      <c r="AC1475" s="537" t="str">
        <f t="shared" si="591"/>
        <v/>
      </c>
      <c r="AD1475" s="538" t="str">
        <f t="shared" ca="1" si="592"/>
        <v/>
      </c>
      <c r="AE1475" s="537">
        <f t="shared" ca="1" si="593"/>
        <v>0</v>
      </c>
      <c r="AF1475" s="539" t="str">
        <f t="shared" ca="1" si="603"/>
        <v/>
      </c>
      <c r="AG1475" s="531" t="str">
        <f t="shared" ca="1" si="604"/>
        <v/>
      </c>
      <c r="AH1475" s="531" t="str">
        <f t="shared" ca="1" si="605"/>
        <v/>
      </c>
      <c r="AI1475" s="531" t="str">
        <f t="shared" ca="1" si="606"/>
        <v/>
      </c>
      <c r="AJ1475" s="531" t="str">
        <f t="shared" si="607"/>
        <v/>
      </c>
      <c r="AK1475" s="540">
        <f>SUMIFS('Live Collections'!$S:$S,'Live Collections'!$D:$D,Disbursements!B1475,'Live Collections'!$G:$G,Disbursements!C1475)</f>
        <v>0</v>
      </c>
      <c r="AL1475" s="540">
        <f>SUMIFS('Live Collections'!$T:$T,'Live Collections'!$D:$D,Disbursements!B1475,'Live Collections'!$G:$G,Disbursements!C1475)</f>
        <v>0</v>
      </c>
      <c r="AM1475" s="541">
        <f t="shared" si="608"/>
        <v>0</v>
      </c>
      <c r="AN1475" s="542" t="str">
        <f t="shared" si="609"/>
        <v/>
      </c>
      <c r="AO1475" s="542" t="str">
        <f t="shared" si="610"/>
        <v/>
      </c>
      <c r="AP1475" s="543" t="str">
        <f t="shared" si="611"/>
        <v/>
      </c>
      <c r="AQ1475" s="544" t="str">
        <f t="shared" si="612"/>
        <v/>
      </c>
      <c r="AR1475" s="545">
        <f t="shared" si="613"/>
        <v>0</v>
      </c>
      <c r="AS1475" s="545">
        <f>IFERROR(CEILING($AR1475*VLOOKUP($I1475,Ref!$B$23:$E$29,4,0),1),0)</f>
        <v>0</v>
      </c>
      <c r="AT1475" s="545" t="str">
        <f>IF(A1475="","",IF(AP1475&lt;=1,"Cleared",IF(AS1475=0,"Clean",VLOOKUP($AS1475,Ref!$G$23:$H$28,2))))</f>
        <v/>
      </c>
      <c r="AU1475" s="546" t="str">
        <f t="shared" si="614"/>
        <v/>
      </c>
    </row>
    <row r="1476" spans="1:47" ht="14.25" hidden="1" customHeight="1" x14ac:dyDescent="0.15">
      <c r="A1476" s="575"/>
      <c r="B1476" s="548"/>
      <c r="C1476" s="548"/>
      <c r="D1476" s="548"/>
      <c r="E1476" s="583"/>
      <c r="F1476" s="584"/>
      <c r="G1476" s="548"/>
      <c r="H1476" s="550"/>
      <c r="I1476" s="560"/>
      <c r="J1476" s="548"/>
      <c r="K1476" s="528" t="str">
        <f>IFERROR(VLOOKUP($B1476,'Clients-Live'!$A:$C,3,0),"")</f>
        <v/>
      </c>
      <c r="L1476" s="528">
        <f>IF(E1476="STL",Pricing!$D$38,IF(A1476="",0,IF(A1476&lt;Pricing!$C$25,Pricing!$D$25,VLOOKUP(Disbursements!$F1476,Pricing!$B$29:$D$32,3))))</f>
        <v>0</v>
      </c>
      <c r="M1476" s="528">
        <f>IF(E1476="STL",0,IF(F1476&gt;0,Pricing!$D$21,0))</f>
        <v>0</v>
      </c>
      <c r="N1476" s="529">
        <f>IF(E1476="STL",F1476*Pricing!$D$40,IF(A1476&lt;=Pricing!$C$4,0,IF(AND(A1476&gt;Pricing!$C$4,Disbursements!A1476&lt;=Pricing!$C$5),F1476*Pricing!$E$5,IF(AND(A1476&gt;Pricing!$C$5,Disbursements!A1476&lt;=Pricing!$C$7),VLOOKUP(F1476,Pricing!$D$7:$E$8,2)*Disbursements!F1476,F1476*Pricing!$E$9))))</f>
        <v>0</v>
      </c>
      <c r="O1476" s="528">
        <f>IF(E1476="STL",0,IF($F1476&gt;0,$F1476*Pricing!$D$17,0))</f>
        <v>0</v>
      </c>
      <c r="P1476" s="530" t="str">
        <f t="shared" si="594"/>
        <v/>
      </c>
      <c r="Q1476" s="531" t="str">
        <f>IF($A1476="","",$G1476/VLOOKUP($I1476,Ref!$B$23:$D$29,2,0))</f>
        <v/>
      </c>
      <c r="R1476" s="530" t="str">
        <f t="shared" si="595"/>
        <v/>
      </c>
      <c r="S1476" s="532" t="str">
        <f t="shared" ref="S1476:S1539" si="615">IF($A1476="","",$R1476/$Q1476)</f>
        <v/>
      </c>
      <c r="T1476" s="531" t="str">
        <f t="shared" si="596"/>
        <v/>
      </c>
      <c r="U1476" s="533">
        <f t="shared" si="597"/>
        <v>0</v>
      </c>
      <c r="V1476" s="531" t="str">
        <f t="shared" si="598"/>
        <v/>
      </c>
      <c r="W1476" s="531" t="str">
        <f t="shared" si="599"/>
        <v/>
      </c>
      <c r="X1476" s="534" t="str">
        <f t="shared" si="600"/>
        <v/>
      </c>
      <c r="Y1476" s="535" t="str">
        <f>IF($A1476="","",IF($I1476="weekly",$A1476+7,EDATE($A1476,VLOOKUP($I1476,Ref!$B$24:$C$29,2,0))))</f>
        <v/>
      </c>
      <c r="Z1476" s="536" t="str">
        <f t="shared" si="601"/>
        <v/>
      </c>
      <c r="AA1476" s="531">
        <f t="shared" si="602"/>
        <v>0</v>
      </c>
      <c r="AB1476" s="535" t="str">
        <f t="shared" ref="AB1476:AB1539" si="616">IF($A1476="","",EDATE($A1476,$G1476))</f>
        <v/>
      </c>
      <c r="AC1476" s="537" t="str">
        <f t="shared" ref="AC1476:AC1539" si="617">IFERROR($AB1476-$A1476,"")</f>
        <v/>
      </c>
      <c r="AD1476" s="538" t="str">
        <f t="shared" ref="AD1476:AD1539" ca="1" si="618">IFERROR(IF(TODAY()-$A1476&lt;$AB1476-$A1476,TODAY()-$A1476,"Expired"),"")</f>
        <v/>
      </c>
      <c r="AE1476" s="537">
        <f t="shared" ref="AE1476:AE1539" ca="1" si="619">IFERROR($AC1476-$AD1476,0)</f>
        <v>0</v>
      </c>
      <c r="AF1476" s="539" t="str">
        <f t="shared" ca="1" si="603"/>
        <v/>
      </c>
      <c r="AG1476" s="531" t="str">
        <f t="shared" ca="1" si="604"/>
        <v/>
      </c>
      <c r="AH1476" s="531" t="str">
        <f t="shared" ca="1" si="605"/>
        <v/>
      </c>
      <c r="AI1476" s="531" t="str">
        <f t="shared" ca="1" si="606"/>
        <v/>
      </c>
      <c r="AJ1476" s="531" t="str">
        <f t="shared" si="607"/>
        <v/>
      </c>
      <c r="AK1476" s="540">
        <f>SUMIFS('Live Collections'!$S:$S,'Live Collections'!$D:$D,Disbursements!B1476,'Live Collections'!$G:$G,Disbursements!C1476)</f>
        <v>0</v>
      </c>
      <c r="AL1476" s="540">
        <f>SUMIFS('Live Collections'!$T:$T,'Live Collections'!$D:$D,Disbursements!B1476,'Live Collections'!$G:$G,Disbursements!C1476)</f>
        <v>0</v>
      </c>
      <c r="AM1476" s="541">
        <f t="shared" si="608"/>
        <v>0</v>
      </c>
      <c r="AN1476" s="542" t="str">
        <f t="shared" si="609"/>
        <v/>
      </c>
      <c r="AO1476" s="542" t="str">
        <f t="shared" si="610"/>
        <v/>
      </c>
      <c r="AP1476" s="543" t="str">
        <f t="shared" si="611"/>
        <v/>
      </c>
      <c r="AQ1476" s="544" t="str">
        <f t="shared" si="612"/>
        <v/>
      </c>
      <c r="AR1476" s="545">
        <f t="shared" si="613"/>
        <v>0</v>
      </c>
      <c r="AS1476" s="545">
        <f>IFERROR(CEILING($AR1476*VLOOKUP($I1476,Ref!$B$23:$E$29,4,0),1),0)</f>
        <v>0</v>
      </c>
      <c r="AT1476" s="545" t="str">
        <f>IF(A1476="","",IF(AP1476&lt;=1,"Cleared",IF(AS1476=0,"Clean",VLOOKUP($AS1476,Ref!$G$23:$H$28,2))))</f>
        <v/>
      </c>
      <c r="AU1476" s="546" t="str">
        <f t="shared" si="614"/>
        <v/>
      </c>
    </row>
    <row r="1477" spans="1:47" ht="14.25" hidden="1" customHeight="1" x14ac:dyDescent="0.15">
      <c r="A1477" s="575"/>
      <c r="B1477" s="548"/>
      <c r="C1477" s="548"/>
      <c r="D1477" s="548"/>
      <c r="E1477" s="583"/>
      <c r="F1477" s="584"/>
      <c r="G1477" s="548"/>
      <c r="H1477" s="550"/>
      <c r="I1477" s="560"/>
      <c r="J1477" s="548"/>
      <c r="K1477" s="528" t="str">
        <f>IFERROR(VLOOKUP($B1477,'Clients-Live'!$A:$C,3,0),"")</f>
        <v/>
      </c>
      <c r="L1477" s="528">
        <f>IF(E1477="STL",Pricing!$D$38,IF(A1477="",0,IF(A1477&lt;Pricing!$C$25,Pricing!$D$25,VLOOKUP(Disbursements!$F1477,Pricing!$B$29:$D$32,3))))</f>
        <v>0</v>
      </c>
      <c r="M1477" s="528">
        <f>IF(E1477="STL",0,IF(F1477&gt;0,Pricing!$D$21,0))</f>
        <v>0</v>
      </c>
      <c r="N1477" s="529">
        <f>IF(E1477="STL",F1477*Pricing!$D$40,IF(A1477&lt;=Pricing!$C$4,0,IF(AND(A1477&gt;Pricing!$C$4,Disbursements!A1477&lt;=Pricing!$C$5),F1477*Pricing!$E$5,IF(AND(A1477&gt;Pricing!$C$5,Disbursements!A1477&lt;=Pricing!$C$7),VLOOKUP(F1477,Pricing!$D$7:$E$8,2)*Disbursements!F1477,F1477*Pricing!$E$9))))</f>
        <v>0</v>
      </c>
      <c r="O1477" s="528">
        <f>IF(E1477="STL",0,IF($F1477&gt;0,$F1477*Pricing!$D$17,0))</f>
        <v>0</v>
      </c>
      <c r="P1477" s="530" t="str">
        <f t="shared" ref="P1477:P1540" si="620">IF($A1477="","",$H1477*$F1477*$G1477)</f>
        <v/>
      </c>
      <c r="Q1477" s="531" t="str">
        <f>IF($A1477="","",$G1477/VLOOKUP($I1477,Ref!$B$23:$D$29,2,0))</f>
        <v/>
      </c>
      <c r="R1477" s="530" t="str">
        <f t="shared" ref="R1477:R1540" si="621">IF($A1477="","",$F1477+$P1477)</f>
        <v/>
      </c>
      <c r="S1477" s="532" t="str">
        <f t="shared" si="615"/>
        <v/>
      </c>
      <c r="T1477" s="531" t="str">
        <f t="shared" ref="T1477:T1540" si="622">IF(R1477="","",CEILING(S1477,1000))</f>
        <v/>
      </c>
      <c r="U1477" s="533">
        <f t="shared" ref="U1477:U1540" si="623">IFERROR(T1477*Q1477,0)</f>
        <v>0</v>
      </c>
      <c r="V1477" s="531" t="str">
        <f t="shared" ref="V1477:V1540" si="624">IF(T1477="","",F1477/Q1477)</f>
        <v/>
      </c>
      <c r="W1477" s="531" t="str">
        <f t="shared" ref="W1477:W1540" si="625">IF(T1477="","",T1477-V1477)</f>
        <v/>
      </c>
      <c r="X1477" s="534" t="str">
        <f t="shared" ref="X1477:X1540" si="626">IF(A1477="","",W1477*Q1477)</f>
        <v/>
      </c>
      <c r="Y1477" s="535" t="str">
        <f>IF($A1477="","",IF($I1477="weekly",$A1477+7,EDATE($A1477,VLOOKUP($I1477,Ref!$B$24:$C$29,2,0))))</f>
        <v/>
      </c>
      <c r="Z1477" s="536" t="str">
        <f t="shared" ref="Z1477:Z1540" si="627">IFERROR(CHOOSE(WEEKDAY(Y1477),"Sun","Mon","Tue","Wed","Thu","Frid","Sat"),"")</f>
        <v/>
      </c>
      <c r="AA1477" s="531">
        <f t="shared" ref="AA1477:AA1540" si="628">IFERROR(Y1477-A1477,0)</f>
        <v>0</v>
      </c>
      <c r="AB1477" s="535" t="str">
        <f t="shared" si="616"/>
        <v/>
      </c>
      <c r="AC1477" s="537" t="str">
        <f t="shared" si="617"/>
        <v/>
      </c>
      <c r="AD1477" s="538" t="str">
        <f t="shared" ca="1" si="618"/>
        <v/>
      </c>
      <c r="AE1477" s="537">
        <f t="shared" ca="1" si="619"/>
        <v>0</v>
      </c>
      <c r="AF1477" s="539" t="str">
        <f t="shared" ref="AF1477:AF1540" ca="1" si="629">IFERROR(IF(AD1477="Expired",Q1477,IF(AD1477&gt;AA1477,AD1477/AA1477,0)),"")</f>
        <v/>
      </c>
      <c r="AG1477" s="531" t="str">
        <f t="shared" ref="AG1477:AG1540" ca="1" si="630">IFERROR(AF1477*T1477,"")</f>
        <v/>
      </c>
      <c r="AH1477" s="531" t="str">
        <f t="shared" ref="AH1477:AH1540" ca="1" si="631">IFERROR(AF1477*W1477,"")</f>
        <v/>
      </c>
      <c r="AI1477" s="531" t="str">
        <f t="shared" ref="AI1477:AI1540" ca="1" si="632">IFERROR(AF1477*V1477,"")</f>
        <v/>
      </c>
      <c r="AJ1477" s="531" t="str">
        <f t="shared" ref="AJ1477:AJ1540" si="633">IF(F1477=0,"",U1477-AG1477)</f>
        <v/>
      </c>
      <c r="AK1477" s="540">
        <f>SUMIFS('Live Collections'!$S:$S,'Live Collections'!$D:$D,Disbursements!B1477,'Live Collections'!$G:$G,Disbursements!C1477)</f>
        <v>0</v>
      </c>
      <c r="AL1477" s="540">
        <f>SUMIFS('Live Collections'!$T:$T,'Live Collections'!$D:$D,Disbursements!B1477,'Live Collections'!$G:$G,Disbursements!C1477)</f>
        <v>0</v>
      </c>
      <c r="AM1477" s="541">
        <f t="shared" ref="AM1477:AM1540" si="634">SUM(AK1477:AL1477)</f>
        <v>0</v>
      </c>
      <c r="AN1477" s="542" t="str">
        <f t="shared" ref="AN1477:AN1540" si="635">IFERROR(W1477*Q1477-AK1477,"")</f>
        <v/>
      </c>
      <c r="AO1477" s="542" t="str">
        <f t="shared" ref="AO1477:AO1540" si="636">IF(F1477="","",(F1477-AL1477))</f>
        <v/>
      </c>
      <c r="AP1477" s="543" t="str">
        <f t="shared" ref="AP1477:AP1540" si="637">IF(F1477="","",SUM(AN1477:AO1477))</f>
        <v/>
      </c>
      <c r="AQ1477" s="544" t="str">
        <f t="shared" ref="AQ1477:AQ1540" si="638">IF(AP1477&gt;AJ1477,AP1477-AJ1477,"")</f>
        <v/>
      </c>
      <c r="AR1477" s="545">
        <f t="shared" ref="AR1477:AR1540" si="639">IFERROR(AQ1477/T1477,0)</f>
        <v>0</v>
      </c>
      <c r="AS1477" s="545">
        <f>IFERROR(CEILING($AR1477*VLOOKUP($I1477,Ref!$B$23:$E$29,4,0),1),0)</f>
        <v>0</v>
      </c>
      <c r="AT1477" s="545" t="str">
        <f>IF(A1477="","",IF(AP1477&lt;=1,"Cleared",IF(AS1477=0,"Clean",VLOOKUP($AS1477,Ref!$G$23:$H$28,2))))</f>
        <v/>
      </c>
      <c r="AU1477" s="546" t="str">
        <f t="shared" ref="AU1477:AU1540" si="640">IF(F1477="","",IF(OR(AN1477&lt;0,AO1477&lt;0,AP1477&lt;0),"Error on Entry","Ok"))</f>
        <v/>
      </c>
    </row>
    <row r="1478" spans="1:47" ht="14.25" hidden="1" customHeight="1" x14ac:dyDescent="0.15">
      <c r="A1478" s="575"/>
      <c r="B1478" s="548"/>
      <c r="C1478" s="548"/>
      <c r="D1478" s="548"/>
      <c r="E1478" s="583"/>
      <c r="F1478" s="584"/>
      <c r="G1478" s="548"/>
      <c r="H1478" s="550"/>
      <c r="I1478" s="560"/>
      <c r="J1478" s="548"/>
      <c r="K1478" s="528" t="str">
        <f>IFERROR(VLOOKUP($B1478,'Clients-Live'!$A:$C,3,0),"")</f>
        <v/>
      </c>
      <c r="L1478" s="528">
        <f>IF(E1478="STL",Pricing!$D$38,IF(A1478="",0,IF(A1478&lt;Pricing!$C$25,Pricing!$D$25,VLOOKUP(Disbursements!$F1478,Pricing!$B$29:$D$32,3))))</f>
        <v>0</v>
      </c>
      <c r="M1478" s="528">
        <f>IF(E1478="STL",0,IF(F1478&gt;0,Pricing!$D$21,0))</f>
        <v>0</v>
      </c>
      <c r="N1478" s="529">
        <f>IF(E1478="STL",F1478*Pricing!$D$40,IF(A1478&lt;=Pricing!$C$4,0,IF(AND(A1478&gt;Pricing!$C$4,Disbursements!A1478&lt;=Pricing!$C$5),F1478*Pricing!$E$5,IF(AND(A1478&gt;Pricing!$C$5,Disbursements!A1478&lt;=Pricing!$C$7),VLOOKUP(F1478,Pricing!$D$7:$E$8,2)*Disbursements!F1478,F1478*Pricing!$E$9))))</f>
        <v>0</v>
      </c>
      <c r="O1478" s="528">
        <f>IF(E1478="STL",0,IF($F1478&gt;0,$F1478*Pricing!$D$17,0))</f>
        <v>0</v>
      </c>
      <c r="P1478" s="530" t="str">
        <f t="shared" si="620"/>
        <v/>
      </c>
      <c r="Q1478" s="531" t="str">
        <f>IF($A1478="","",$G1478/VLOOKUP($I1478,Ref!$B$23:$D$29,2,0))</f>
        <v/>
      </c>
      <c r="R1478" s="530" t="str">
        <f t="shared" si="621"/>
        <v/>
      </c>
      <c r="S1478" s="532" t="str">
        <f t="shared" si="615"/>
        <v/>
      </c>
      <c r="T1478" s="531" t="str">
        <f t="shared" si="622"/>
        <v/>
      </c>
      <c r="U1478" s="533">
        <f t="shared" si="623"/>
        <v>0</v>
      </c>
      <c r="V1478" s="531" t="str">
        <f t="shared" si="624"/>
        <v/>
      </c>
      <c r="W1478" s="531" t="str">
        <f t="shared" si="625"/>
        <v/>
      </c>
      <c r="X1478" s="534" t="str">
        <f t="shared" si="626"/>
        <v/>
      </c>
      <c r="Y1478" s="535" t="str">
        <f>IF($A1478="","",IF($I1478="weekly",$A1478+7,EDATE($A1478,VLOOKUP($I1478,Ref!$B$24:$C$29,2,0))))</f>
        <v/>
      </c>
      <c r="Z1478" s="536" t="str">
        <f t="shared" si="627"/>
        <v/>
      </c>
      <c r="AA1478" s="531">
        <f t="shared" si="628"/>
        <v>0</v>
      </c>
      <c r="AB1478" s="535" t="str">
        <f t="shared" si="616"/>
        <v/>
      </c>
      <c r="AC1478" s="537" t="str">
        <f t="shared" si="617"/>
        <v/>
      </c>
      <c r="AD1478" s="538" t="str">
        <f t="shared" ca="1" si="618"/>
        <v/>
      </c>
      <c r="AE1478" s="537">
        <f t="shared" ca="1" si="619"/>
        <v>0</v>
      </c>
      <c r="AF1478" s="539" t="str">
        <f t="shared" ca="1" si="629"/>
        <v/>
      </c>
      <c r="AG1478" s="531" t="str">
        <f t="shared" ca="1" si="630"/>
        <v/>
      </c>
      <c r="AH1478" s="531" t="str">
        <f t="shared" ca="1" si="631"/>
        <v/>
      </c>
      <c r="AI1478" s="531" t="str">
        <f t="shared" ca="1" si="632"/>
        <v/>
      </c>
      <c r="AJ1478" s="531" t="str">
        <f t="shared" si="633"/>
        <v/>
      </c>
      <c r="AK1478" s="540">
        <f>SUMIFS('Live Collections'!$S:$S,'Live Collections'!$D:$D,Disbursements!B1478,'Live Collections'!$G:$G,Disbursements!C1478)</f>
        <v>0</v>
      </c>
      <c r="AL1478" s="540">
        <f>SUMIFS('Live Collections'!$T:$T,'Live Collections'!$D:$D,Disbursements!B1478,'Live Collections'!$G:$G,Disbursements!C1478)</f>
        <v>0</v>
      </c>
      <c r="AM1478" s="541">
        <f t="shared" si="634"/>
        <v>0</v>
      </c>
      <c r="AN1478" s="542" t="str">
        <f t="shared" si="635"/>
        <v/>
      </c>
      <c r="AO1478" s="542" t="str">
        <f t="shared" si="636"/>
        <v/>
      </c>
      <c r="AP1478" s="543" t="str">
        <f t="shared" si="637"/>
        <v/>
      </c>
      <c r="AQ1478" s="544" t="str">
        <f t="shared" si="638"/>
        <v/>
      </c>
      <c r="AR1478" s="545">
        <f t="shared" si="639"/>
        <v>0</v>
      </c>
      <c r="AS1478" s="545">
        <f>IFERROR(CEILING($AR1478*VLOOKUP($I1478,Ref!$B$23:$E$29,4,0),1),0)</f>
        <v>0</v>
      </c>
      <c r="AT1478" s="545" t="str">
        <f>IF(A1478="","",IF(AP1478&lt;=1,"Cleared",IF(AS1478=0,"Clean",VLOOKUP($AS1478,Ref!$G$23:$H$28,2))))</f>
        <v/>
      </c>
      <c r="AU1478" s="546" t="str">
        <f t="shared" si="640"/>
        <v/>
      </c>
    </row>
    <row r="1479" spans="1:47" ht="14.25" hidden="1" customHeight="1" x14ac:dyDescent="0.15">
      <c r="A1479" s="575"/>
      <c r="B1479" s="548"/>
      <c r="C1479" s="548"/>
      <c r="D1479" s="548"/>
      <c r="E1479" s="583"/>
      <c r="F1479" s="584"/>
      <c r="G1479" s="548"/>
      <c r="H1479" s="550"/>
      <c r="I1479" s="560"/>
      <c r="J1479" s="548"/>
      <c r="K1479" s="528" t="str">
        <f>IFERROR(VLOOKUP($B1479,'Clients-Live'!$A:$C,3,0),"")</f>
        <v/>
      </c>
      <c r="L1479" s="528">
        <f>IF(E1479="STL",Pricing!$D$38,IF(A1479="",0,IF(A1479&lt;Pricing!$C$25,Pricing!$D$25,VLOOKUP(Disbursements!$F1479,Pricing!$B$29:$D$32,3))))</f>
        <v>0</v>
      </c>
      <c r="M1479" s="528">
        <f>IF(E1479="STL",0,IF(F1479&gt;0,Pricing!$D$21,0))</f>
        <v>0</v>
      </c>
      <c r="N1479" s="529">
        <f>IF(E1479="STL",F1479*Pricing!$D$40,IF(A1479&lt;=Pricing!$C$4,0,IF(AND(A1479&gt;Pricing!$C$4,Disbursements!A1479&lt;=Pricing!$C$5),F1479*Pricing!$E$5,IF(AND(A1479&gt;Pricing!$C$5,Disbursements!A1479&lt;=Pricing!$C$7),VLOOKUP(F1479,Pricing!$D$7:$E$8,2)*Disbursements!F1479,F1479*Pricing!$E$9))))</f>
        <v>0</v>
      </c>
      <c r="O1479" s="528">
        <f>IF(E1479="STL",0,IF($F1479&gt;0,$F1479*Pricing!$D$17,0))</f>
        <v>0</v>
      </c>
      <c r="P1479" s="530" t="str">
        <f t="shared" si="620"/>
        <v/>
      </c>
      <c r="Q1479" s="531" t="str">
        <f>IF($A1479="","",$G1479/VLOOKUP($I1479,Ref!$B$23:$D$29,2,0))</f>
        <v/>
      </c>
      <c r="R1479" s="530" t="str">
        <f t="shared" si="621"/>
        <v/>
      </c>
      <c r="S1479" s="532" t="str">
        <f t="shared" si="615"/>
        <v/>
      </c>
      <c r="T1479" s="531" t="str">
        <f t="shared" si="622"/>
        <v/>
      </c>
      <c r="U1479" s="533">
        <f t="shared" si="623"/>
        <v>0</v>
      </c>
      <c r="V1479" s="531" t="str">
        <f t="shared" si="624"/>
        <v/>
      </c>
      <c r="W1479" s="531" t="str">
        <f t="shared" si="625"/>
        <v/>
      </c>
      <c r="X1479" s="534" t="str">
        <f t="shared" si="626"/>
        <v/>
      </c>
      <c r="Y1479" s="535" t="str">
        <f>IF($A1479="","",IF($I1479="weekly",$A1479+7,EDATE($A1479,VLOOKUP($I1479,Ref!$B$24:$C$29,2,0))))</f>
        <v/>
      </c>
      <c r="Z1479" s="536" t="str">
        <f t="shared" si="627"/>
        <v/>
      </c>
      <c r="AA1479" s="531">
        <f t="shared" si="628"/>
        <v>0</v>
      </c>
      <c r="AB1479" s="535" t="str">
        <f t="shared" si="616"/>
        <v/>
      </c>
      <c r="AC1479" s="537" t="str">
        <f t="shared" si="617"/>
        <v/>
      </c>
      <c r="AD1479" s="538" t="str">
        <f t="shared" ca="1" si="618"/>
        <v/>
      </c>
      <c r="AE1479" s="537">
        <f t="shared" ca="1" si="619"/>
        <v>0</v>
      </c>
      <c r="AF1479" s="539" t="str">
        <f t="shared" ca="1" si="629"/>
        <v/>
      </c>
      <c r="AG1479" s="531" t="str">
        <f t="shared" ca="1" si="630"/>
        <v/>
      </c>
      <c r="AH1479" s="531" t="str">
        <f t="shared" ca="1" si="631"/>
        <v/>
      </c>
      <c r="AI1479" s="531" t="str">
        <f t="shared" ca="1" si="632"/>
        <v/>
      </c>
      <c r="AJ1479" s="531" t="str">
        <f t="shared" si="633"/>
        <v/>
      </c>
      <c r="AK1479" s="540">
        <f>SUMIFS('Live Collections'!$S:$S,'Live Collections'!$D:$D,Disbursements!B1479,'Live Collections'!$G:$G,Disbursements!C1479)</f>
        <v>0</v>
      </c>
      <c r="AL1479" s="540">
        <f>SUMIFS('Live Collections'!$T:$T,'Live Collections'!$D:$D,Disbursements!B1479,'Live Collections'!$G:$G,Disbursements!C1479)</f>
        <v>0</v>
      </c>
      <c r="AM1479" s="541">
        <f t="shared" si="634"/>
        <v>0</v>
      </c>
      <c r="AN1479" s="542" t="str">
        <f t="shared" si="635"/>
        <v/>
      </c>
      <c r="AO1479" s="542" t="str">
        <f t="shared" si="636"/>
        <v/>
      </c>
      <c r="AP1479" s="543" t="str">
        <f t="shared" si="637"/>
        <v/>
      </c>
      <c r="AQ1479" s="544" t="str">
        <f t="shared" si="638"/>
        <v/>
      </c>
      <c r="AR1479" s="545">
        <f t="shared" si="639"/>
        <v>0</v>
      </c>
      <c r="AS1479" s="545">
        <f>IFERROR(CEILING($AR1479*VLOOKUP($I1479,Ref!$B$23:$E$29,4,0),1),0)</f>
        <v>0</v>
      </c>
      <c r="AT1479" s="545" t="str">
        <f>IF(A1479="","",IF(AP1479&lt;=1,"Cleared",IF(AS1479=0,"Clean",VLOOKUP($AS1479,Ref!$G$23:$H$28,2))))</f>
        <v/>
      </c>
      <c r="AU1479" s="546" t="str">
        <f t="shared" si="640"/>
        <v/>
      </c>
    </row>
    <row r="1480" spans="1:47" ht="14.25" hidden="1" customHeight="1" x14ac:dyDescent="0.15">
      <c r="A1480" s="575"/>
      <c r="B1480" s="548"/>
      <c r="C1480" s="548"/>
      <c r="D1480" s="548"/>
      <c r="E1480" s="583"/>
      <c r="F1480" s="584"/>
      <c r="G1480" s="548"/>
      <c r="H1480" s="550"/>
      <c r="I1480" s="560"/>
      <c r="J1480" s="548"/>
      <c r="K1480" s="528" t="str">
        <f>IFERROR(VLOOKUP($B1480,'Clients-Live'!$A:$C,3,0),"")</f>
        <v/>
      </c>
      <c r="L1480" s="528">
        <f>IF(E1480="STL",Pricing!$D$38,IF(A1480="",0,IF(A1480&lt;Pricing!$C$25,Pricing!$D$25,VLOOKUP(Disbursements!$F1480,Pricing!$B$29:$D$32,3))))</f>
        <v>0</v>
      </c>
      <c r="M1480" s="528">
        <f>IF(E1480="STL",0,IF(F1480&gt;0,Pricing!$D$21,0))</f>
        <v>0</v>
      </c>
      <c r="N1480" s="529">
        <f>IF(E1480="STL",F1480*Pricing!$D$40,IF(A1480&lt;=Pricing!$C$4,0,IF(AND(A1480&gt;Pricing!$C$4,Disbursements!A1480&lt;=Pricing!$C$5),F1480*Pricing!$E$5,IF(AND(A1480&gt;Pricing!$C$5,Disbursements!A1480&lt;=Pricing!$C$7),VLOOKUP(F1480,Pricing!$D$7:$E$8,2)*Disbursements!F1480,F1480*Pricing!$E$9))))</f>
        <v>0</v>
      </c>
      <c r="O1480" s="528">
        <f>IF(E1480="STL",0,IF($F1480&gt;0,$F1480*Pricing!$D$17,0))</f>
        <v>0</v>
      </c>
      <c r="P1480" s="530" t="str">
        <f t="shared" si="620"/>
        <v/>
      </c>
      <c r="Q1480" s="531" t="str">
        <f>IF($A1480="","",$G1480/VLOOKUP($I1480,Ref!$B$23:$D$29,2,0))</f>
        <v/>
      </c>
      <c r="R1480" s="530" t="str">
        <f t="shared" si="621"/>
        <v/>
      </c>
      <c r="S1480" s="532" t="str">
        <f t="shared" si="615"/>
        <v/>
      </c>
      <c r="T1480" s="531" t="str">
        <f t="shared" si="622"/>
        <v/>
      </c>
      <c r="U1480" s="533">
        <f t="shared" si="623"/>
        <v>0</v>
      </c>
      <c r="V1480" s="531" t="str">
        <f t="shared" si="624"/>
        <v/>
      </c>
      <c r="W1480" s="531" t="str">
        <f t="shared" si="625"/>
        <v/>
      </c>
      <c r="X1480" s="534" t="str">
        <f t="shared" si="626"/>
        <v/>
      </c>
      <c r="Y1480" s="535" t="str">
        <f>IF($A1480="","",IF($I1480="weekly",$A1480+7,EDATE($A1480,VLOOKUP($I1480,Ref!$B$24:$C$29,2,0))))</f>
        <v/>
      </c>
      <c r="Z1480" s="536" t="str">
        <f t="shared" si="627"/>
        <v/>
      </c>
      <c r="AA1480" s="531">
        <f t="shared" si="628"/>
        <v>0</v>
      </c>
      <c r="AB1480" s="535" t="str">
        <f t="shared" si="616"/>
        <v/>
      </c>
      <c r="AC1480" s="537" t="str">
        <f t="shared" si="617"/>
        <v/>
      </c>
      <c r="AD1480" s="538" t="str">
        <f t="shared" ca="1" si="618"/>
        <v/>
      </c>
      <c r="AE1480" s="537">
        <f t="shared" ca="1" si="619"/>
        <v>0</v>
      </c>
      <c r="AF1480" s="539" t="str">
        <f t="shared" ca="1" si="629"/>
        <v/>
      </c>
      <c r="AG1480" s="531" t="str">
        <f t="shared" ca="1" si="630"/>
        <v/>
      </c>
      <c r="AH1480" s="531" t="str">
        <f t="shared" ca="1" si="631"/>
        <v/>
      </c>
      <c r="AI1480" s="531" t="str">
        <f t="shared" ca="1" si="632"/>
        <v/>
      </c>
      <c r="AJ1480" s="531" t="str">
        <f t="shared" si="633"/>
        <v/>
      </c>
      <c r="AK1480" s="540">
        <f>SUMIFS('Live Collections'!$S:$S,'Live Collections'!$D:$D,Disbursements!B1480,'Live Collections'!$G:$G,Disbursements!C1480)</f>
        <v>0</v>
      </c>
      <c r="AL1480" s="540">
        <f>SUMIFS('Live Collections'!$T:$T,'Live Collections'!$D:$D,Disbursements!B1480,'Live Collections'!$G:$G,Disbursements!C1480)</f>
        <v>0</v>
      </c>
      <c r="AM1480" s="541">
        <f t="shared" si="634"/>
        <v>0</v>
      </c>
      <c r="AN1480" s="542" t="str">
        <f t="shared" si="635"/>
        <v/>
      </c>
      <c r="AO1480" s="542" t="str">
        <f t="shared" si="636"/>
        <v/>
      </c>
      <c r="AP1480" s="543" t="str">
        <f t="shared" si="637"/>
        <v/>
      </c>
      <c r="AQ1480" s="544" t="str">
        <f t="shared" si="638"/>
        <v/>
      </c>
      <c r="AR1480" s="545">
        <f t="shared" si="639"/>
        <v>0</v>
      </c>
      <c r="AS1480" s="545">
        <f>IFERROR(CEILING($AR1480*VLOOKUP($I1480,Ref!$B$23:$E$29,4,0),1),0)</f>
        <v>0</v>
      </c>
      <c r="AT1480" s="545" t="str">
        <f>IF(A1480="","",IF(AP1480&lt;=1,"Cleared",IF(AS1480=0,"Clean",VLOOKUP($AS1480,Ref!$G$23:$H$28,2))))</f>
        <v/>
      </c>
      <c r="AU1480" s="546" t="str">
        <f t="shared" si="640"/>
        <v/>
      </c>
    </row>
    <row r="1481" spans="1:47" ht="14.25" hidden="1" customHeight="1" x14ac:dyDescent="0.15">
      <c r="A1481" s="575"/>
      <c r="B1481" s="548"/>
      <c r="C1481" s="548"/>
      <c r="D1481" s="548"/>
      <c r="E1481" s="583"/>
      <c r="F1481" s="584"/>
      <c r="G1481" s="548"/>
      <c r="H1481" s="550"/>
      <c r="I1481" s="560"/>
      <c r="J1481" s="548"/>
      <c r="K1481" s="528" t="str">
        <f>IFERROR(VLOOKUP($B1481,'Clients-Live'!$A:$C,3,0),"")</f>
        <v/>
      </c>
      <c r="L1481" s="528">
        <f>IF(E1481="STL",Pricing!$D$38,IF(A1481="",0,IF(A1481&lt;Pricing!$C$25,Pricing!$D$25,VLOOKUP(Disbursements!$F1481,Pricing!$B$29:$D$32,3))))</f>
        <v>0</v>
      </c>
      <c r="M1481" s="528">
        <f>IF(E1481="STL",0,IF(F1481&gt;0,Pricing!$D$21,0))</f>
        <v>0</v>
      </c>
      <c r="N1481" s="529">
        <f>IF(E1481="STL",F1481*Pricing!$D$40,IF(A1481&lt;=Pricing!$C$4,0,IF(AND(A1481&gt;Pricing!$C$4,Disbursements!A1481&lt;=Pricing!$C$5),F1481*Pricing!$E$5,IF(AND(A1481&gt;Pricing!$C$5,Disbursements!A1481&lt;=Pricing!$C$7),VLOOKUP(F1481,Pricing!$D$7:$E$8,2)*Disbursements!F1481,F1481*Pricing!$E$9))))</f>
        <v>0</v>
      </c>
      <c r="O1481" s="528">
        <f>IF(E1481="STL",0,IF($F1481&gt;0,$F1481*Pricing!$D$17,0))</f>
        <v>0</v>
      </c>
      <c r="P1481" s="530" t="str">
        <f t="shared" si="620"/>
        <v/>
      </c>
      <c r="Q1481" s="531" t="str">
        <f>IF($A1481="","",$G1481/VLOOKUP($I1481,Ref!$B$23:$D$29,2,0))</f>
        <v/>
      </c>
      <c r="R1481" s="530" t="str">
        <f t="shared" si="621"/>
        <v/>
      </c>
      <c r="S1481" s="532" t="str">
        <f t="shared" si="615"/>
        <v/>
      </c>
      <c r="T1481" s="531" t="str">
        <f t="shared" si="622"/>
        <v/>
      </c>
      <c r="U1481" s="533">
        <f t="shared" si="623"/>
        <v>0</v>
      </c>
      <c r="V1481" s="531" t="str">
        <f t="shared" si="624"/>
        <v/>
      </c>
      <c r="W1481" s="531" t="str">
        <f t="shared" si="625"/>
        <v/>
      </c>
      <c r="X1481" s="534" t="str">
        <f t="shared" si="626"/>
        <v/>
      </c>
      <c r="Y1481" s="535" t="str">
        <f>IF($A1481="","",IF($I1481="weekly",$A1481+7,EDATE($A1481,VLOOKUP($I1481,Ref!$B$24:$C$29,2,0))))</f>
        <v/>
      </c>
      <c r="Z1481" s="536" t="str">
        <f t="shared" si="627"/>
        <v/>
      </c>
      <c r="AA1481" s="531">
        <f t="shared" si="628"/>
        <v>0</v>
      </c>
      <c r="AB1481" s="535" t="str">
        <f t="shared" si="616"/>
        <v/>
      </c>
      <c r="AC1481" s="537" t="str">
        <f t="shared" si="617"/>
        <v/>
      </c>
      <c r="AD1481" s="538" t="str">
        <f t="shared" ca="1" si="618"/>
        <v/>
      </c>
      <c r="AE1481" s="537">
        <f t="shared" ca="1" si="619"/>
        <v>0</v>
      </c>
      <c r="AF1481" s="539" t="str">
        <f t="shared" ca="1" si="629"/>
        <v/>
      </c>
      <c r="AG1481" s="531" t="str">
        <f t="shared" ca="1" si="630"/>
        <v/>
      </c>
      <c r="AH1481" s="531" t="str">
        <f t="shared" ca="1" si="631"/>
        <v/>
      </c>
      <c r="AI1481" s="531" t="str">
        <f t="shared" ca="1" si="632"/>
        <v/>
      </c>
      <c r="AJ1481" s="531" t="str">
        <f t="shared" si="633"/>
        <v/>
      </c>
      <c r="AK1481" s="540">
        <f>SUMIFS('Live Collections'!$S:$S,'Live Collections'!$D:$D,Disbursements!B1481,'Live Collections'!$G:$G,Disbursements!C1481)</f>
        <v>0</v>
      </c>
      <c r="AL1481" s="540">
        <f>SUMIFS('Live Collections'!$T:$T,'Live Collections'!$D:$D,Disbursements!B1481,'Live Collections'!$G:$G,Disbursements!C1481)</f>
        <v>0</v>
      </c>
      <c r="AM1481" s="541">
        <f t="shared" si="634"/>
        <v>0</v>
      </c>
      <c r="AN1481" s="542" t="str">
        <f t="shared" si="635"/>
        <v/>
      </c>
      <c r="AO1481" s="542" t="str">
        <f t="shared" si="636"/>
        <v/>
      </c>
      <c r="AP1481" s="543" t="str">
        <f t="shared" si="637"/>
        <v/>
      </c>
      <c r="AQ1481" s="544" t="str">
        <f t="shared" si="638"/>
        <v/>
      </c>
      <c r="AR1481" s="545">
        <f t="shared" si="639"/>
        <v>0</v>
      </c>
      <c r="AS1481" s="545">
        <f>IFERROR(CEILING($AR1481*VLOOKUP($I1481,Ref!$B$23:$E$29,4,0),1),0)</f>
        <v>0</v>
      </c>
      <c r="AT1481" s="545" t="str">
        <f>IF(A1481="","",IF(AP1481&lt;=1,"Cleared",IF(AS1481=0,"Clean",VLOOKUP($AS1481,Ref!$G$23:$H$28,2))))</f>
        <v/>
      </c>
      <c r="AU1481" s="546" t="str">
        <f t="shared" si="640"/>
        <v/>
      </c>
    </row>
    <row r="1482" spans="1:47" ht="14.25" hidden="1" customHeight="1" x14ac:dyDescent="0.15">
      <c r="A1482" s="575"/>
      <c r="B1482" s="548"/>
      <c r="C1482" s="548"/>
      <c r="D1482" s="548"/>
      <c r="E1482" s="583"/>
      <c r="F1482" s="584"/>
      <c r="G1482" s="548"/>
      <c r="H1482" s="550"/>
      <c r="I1482" s="560"/>
      <c r="J1482" s="548"/>
      <c r="K1482" s="528" t="str">
        <f>IFERROR(VLOOKUP($B1482,'Clients-Live'!$A:$C,3,0),"")</f>
        <v/>
      </c>
      <c r="L1482" s="528">
        <f>IF(E1482="STL",Pricing!$D$38,IF(A1482="",0,IF(A1482&lt;Pricing!$C$25,Pricing!$D$25,VLOOKUP(Disbursements!$F1482,Pricing!$B$29:$D$32,3))))</f>
        <v>0</v>
      </c>
      <c r="M1482" s="528">
        <f>IF(E1482="STL",0,IF(F1482&gt;0,Pricing!$D$21,0))</f>
        <v>0</v>
      </c>
      <c r="N1482" s="529">
        <f>IF(E1482="STL",F1482*Pricing!$D$40,IF(A1482&lt;=Pricing!$C$4,0,IF(AND(A1482&gt;Pricing!$C$4,Disbursements!A1482&lt;=Pricing!$C$5),F1482*Pricing!$E$5,IF(AND(A1482&gt;Pricing!$C$5,Disbursements!A1482&lt;=Pricing!$C$7),VLOOKUP(F1482,Pricing!$D$7:$E$8,2)*Disbursements!F1482,F1482*Pricing!$E$9))))</f>
        <v>0</v>
      </c>
      <c r="O1482" s="528">
        <f>IF(E1482="STL",0,IF($F1482&gt;0,$F1482*Pricing!$D$17,0))</f>
        <v>0</v>
      </c>
      <c r="P1482" s="530" t="str">
        <f t="shared" si="620"/>
        <v/>
      </c>
      <c r="Q1482" s="531" t="str">
        <f>IF($A1482="","",$G1482/VLOOKUP($I1482,Ref!$B$23:$D$29,2,0))</f>
        <v/>
      </c>
      <c r="R1482" s="530" t="str">
        <f t="shared" si="621"/>
        <v/>
      </c>
      <c r="S1482" s="532" t="str">
        <f t="shared" si="615"/>
        <v/>
      </c>
      <c r="T1482" s="531" t="str">
        <f t="shared" si="622"/>
        <v/>
      </c>
      <c r="U1482" s="533">
        <f t="shared" si="623"/>
        <v>0</v>
      </c>
      <c r="V1482" s="531" t="str">
        <f t="shared" si="624"/>
        <v/>
      </c>
      <c r="W1482" s="531" t="str">
        <f t="shared" si="625"/>
        <v/>
      </c>
      <c r="X1482" s="534" t="str">
        <f t="shared" si="626"/>
        <v/>
      </c>
      <c r="Y1482" s="535" t="str">
        <f>IF($A1482="","",IF($I1482="weekly",$A1482+7,EDATE($A1482,VLOOKUP($I1482,Ref!$B$24:$C$29,2,0))))</f>
        <v/>
      </c>
      <c r="Z1482" s="536" t="str">
        <f t="shared" si="627"/>
        <v/>
      </c>
      <c r="AA1482" s="531">
        <f t="shared" si="628"/>
        <v>0</v>
      </c>
      <c r="AB1482" s="535" t="str">
        <f t="shared" si="616"/>
        <v/>
      </c>
      <c r="AC1482" s="537" t="str">
        <f t="shared" si="617"/>
        <v/>
      </c>
      <c r="AD1482" s="538" t="str">
        <f t="shared" ca="1" si="618"/>
        <v/>
      </c>
      <c r="AE1482" s="537">
        <f t="shared" ca="1" si="619"/>
        <v>0</v>
      </c>
      <c r="AF1482" s="539" t="str">
        <f t="shared" ca="1" si="629"/>
        <v/>
      </c>
      <c r="AG1482" s="531" t="str">
        <f t="shared" ca="1" si="630"/>
        <v/>
      </c>
      <c r="AH1482" s="531" t="str">
        <f t="shared" ca="1" si="631"/>
        <v/>
      </c>
      <c r="AI1482" s="531" t="str">
        <f t="shared" ca="1" si="632"/>
        <v/>
      </c>
      <c r="AJ1482" s="531" t="str">
        <f t="shared" si="633"/>
        <v/>
      </c>
      <c r="AK1482" s="540">
        <f>SUMIFS('Live Collections'!$S:$S,'Live Collections'!$D:$D,Disbursements!B1482,'Live Collections'!$G:$G,Disbursements!C1482)</f>
        <v>0</v>
      </c>
      <c r="AL1482" s="540">
        <f>SUMIFS('Live Collections'!$T:$T,'Live Collections'!$D:$D,Disbursements!B1482,'Live Collections'!$G:$G,Disbursements!C1482)</f>
        <v>0</v>
      </c>
      <c r="AM1482" s="541">
        <f t="shared" si="634"/>
        <v>0</v>
      </c>
      <c r="AN1482" s="542" t="str">
        <f t="shared" si="635"/>
        <v/>
      </c>
      <c r="AO1482" s="542" t="str">
        <f t="shared" si="636"/>
        <v/>
      </c>
      <c r="AP1482" s="543" t="str">
        <f t="shared" si="637"/>
        <v/>
      </c>
      <c r="AQ1482" s="544" t="str">
        <f t="shared" si="638"/>
        <v/>
      </c>
      <c r="AR1482" s="545">
        <f t="shared" si="639"/>
        <v>0</v>
      </c>
      <c r="AS1482" s="545">
        <f>IFERROR(CEILING($AR1482*VLOOKUP($I1482,Ref!$B$23:$E$29,4,0),1),0)</f>
        <v>0</v>
      </c>
      <c r="AT1482" s="545" t="str">
        <f>IF(A1482="","",IF(AP1482&lt;=1,"Cleared",IF(AS1482=0,"Clean",VLOOKUP($AS1482,Ref!$G$23:$H$28,2))))</f>
        <v/>
      </c>
      <c r="AU1482" s="546" t="str">
        <f t="shared" si="640"/>
        <v/>
      </c>
    </row>
    <row r="1483" spans="1:47" ht="14.25" hidden="1" customHeight="1" x14ac:dyDescent="0.15">
      <c r="A1483" s="575"/>
      <c r="B1483" s="548"/>
      <c r="C1483" s="548"/>
      <c r="D1483" s="548"/>
      <c r="E1483" s="583"/>
      <c r="F1483" s="584"/>
      <c r="G1483" s="548"/>
      <c r="H1483" s="550"/>
      <c r="I1483" s="560"/>
      <c r="J1483" s="548"/>
      <c r="K1483" s="528" t="str">
        <f>IFERROR(VLOOKUP($B1483,'Clients-Live'!$A:$C,3,0),"")</f>
        <v/>
      </c>
      <c r="L1483" s="528">
        <f>IF(E1483="STL",Pricing!$D$38,IF(A1483="",0,IF(A1483&lt;Pricing!$C$25,Pricing!$D$25,VLOOKUP(Disbursements!$F1483,Pricing!$B$29:$D$32,3))))</f>
        <v>0</v>
      </c>
      <c r="M1483" s="528">
        <f>IF(E1483="STL",0,IF(F1483&gt;0,Pricing!$D$21,0))</f>
        <v>0</v>
      </c>
      <c r="N1483" s="529">
        <f>IF(E1483="STL",F1483*Pricing!$D$40,IF(A1483&lt;=Pricing!$C$4,0,IF(AND(A1483&gt;Pricing!$C$4,Disbursements!A1483&lt;=Pricing!$C$5),F1483*Pricing!$E$5,IF(AND(A1483&gt;Pricing!$C$5,Disbursements!A1483&lt;=Pricing!$C$7),VLOOKUP(F1483,Pricing!$D$7:$E$8,2)*Disbursements!F1483,F1483*Pricing!$E$9))))</f>
        <v>0</v>
      </c>
      <c r="O1483" s="528">
        <f>IF(E1483="STL",0,IF($F1483&gt;0,$F1483*Pricing!$D$17,0))</f>
        <v>0</v>
      </c>
      <c r="P1483" s="530" t="str">
        <f t="shared" si="620"/>
        <v/>
      </c>
      <c r="Q1483" s="531" t="str">
        <f>IF($A1483="","",$G1483/VLOOKUP($I1483,Ref!$B$23:$D$29,2,0))</f>
        <v/>
      </c>
      <c r="R1483" s="530" t="str">
        <f t="shared" si="621"/>
        <v/>
      </c>
      <c r="S1483" s="532" t="str">
        <f t="shared" si="615"/>
        <v/>
      </c>
      <c r="T1483" s="531" t="str">
        <f t="shared" si="622"/>
        <v/>
      </c>
      <c r="U1483" s="533">
        <f t="shared" si="623"/>
        <v>0</v>
      </c>
      <c r="V1483" s="531" t="str">
        <f t="shared" si="624"/>
        <v/>
      </c>
      <c r="W1483" s="531" t="str">
        <f t="shared" si="625"/>
        <v/>
      </c>
      <c r="X1483" s="534" t="str">
        <f t="shared" si="626"/>
        <v/>
      </c>
      <c r="Y1483" s="535" t="str">
        <f>IF($A1483="","",IF($I1483="weekly",$A1483+7,EDATE($A1483,VLOOKUP($I1483,Ref!$B$24:$C$29,2,0))))</f>
        <v/>
      </c>
      <c r="Z1483" s="536" t="str">
        <f t="shared" si="627"/>
        <v/>
      </c>
      <c r="AA1483" s="531">
        <f t="shared" si="628"/>
        <v>0</v>
      </c>
      <c r="AB1483" s="535" t="str">
        <f t="shared" si="616"/>
        <v/>
      </c>
      <c r="AC1483" s="537" t="str">
        <f t="shared" si="617"/>
        <v/>
      </c>
      <c r="AD1483" s="538" t="str">
        <f t="shared" ca="1" si="618"/>
        <v/>
      </c>
      <c r="AE1483" s="537">
        <f t="shared" ca="1" si="619"/>
        <v>0</v>
      </c>
      <c r="AF1483" s="539" t="str">
        <f t="shared" ca="1" si="629"/>
        <v/>
      </c>
      <c r="AG1483" s="531" t="str">
        <f t="shared" ca="1" si="630"/>
        <v/>
      </c>
      <c r="AH1483" s="531" t="str">
        <f t="shared" ca="1" si="631"/>
        <v/>
      </c>
      <c r="AI1483" s="531" t="str">
        <f t="shared" ca="1" si="632"/>
        <v/>
      </c>
      <c r="AJ1483" s="531" t="str">
        <f t="shared" si="633"/>
        <v/>
      </c>
      <c r="AK1483" s="540">
        <f>SUMIFS('Live Collections'!$S:$S,'Live Collections'!$D:$D,Disbursements!B1483,'Live Collections'!$G:$G,Disbursements!C1483)</f>
        <v>0</v>
      </c>
      <c r="AL1483" s="540">
        <f>SUMIFS('Live Collections'!$T:$T,'Live Collections'!$D:$D,Disbursements!B1483,'Live Collections'!$G:$G,Disbursements!C1483)</f>
        <v>0</v>
      </c>
      <c r="AM1483" s="541">
        <f t="shared" si="634"/>
        <v>0</v>
      </c>
      <c r="AN1483" s="542" t="str">
        <f t="shared" si="635"/>
        <v/>
      </c>
      <c r="AO1483" s="542" t="str">
        <f t="shared" si="636"/>
        <v/>
      </c>
      <c r="AP1483" s="543" t="str">
        <f t="shared" si="637"/>
        <v/>
      </c>
      <c r="AQ1483" s="544" t="str">
        <f t="shared" si="638"/>
        <v/>
      </c>
      <c r="AR1483" s="545">
        <f t="shared" si="639"/>
        <v>0</v>
      </c>
      <c r="AS1483" s="545">
        <f>IFERROR(CEILING($AR1483*VLOOKUP($I1483,Ref!$B$23:$E$29,4,0),1),0)</f>
        <v>0</v>
      </c>
      <c r="AT1483" s="545" t="str">
        <f>IF(A1483="","",IF(AP1483&lt;=1,"Cleared",IF(AS1483=0,"Clean",VLOOKUP($AS1483,Ref!$G$23:$H$28,2))))</f>
        <v/>
      </c>
      <c r="AU1483" s="546" t="str">
        <f t="shared" si="640"/>
        <v/>
      </c>
    </row>
    <row r="1484" spans="1:47" ht="14.25" hidden="1" customHeight="1" x14ac:dyDescent="0.15">
      <c r="A1484" s="575"/>
      <c r="B1484" s="548"/>
      <c r="C1484" s="548"/>
      <c r="D1484" s="548"/>
      <c r="E1484" s="583"/>
      <c r="F1484" s="584"/>
      <c r="G1484" s="548"/>
      <c r="H1484" s="550"/>
      <c r="I1484" s="560"/>
      <c r="J1484" s="548"/>
      <c r="K1484" s="528" t="str">
        <f>IFERROR(VLOOKUP($B1484,'Clients-Live'!$A:$C,3,0),"")</f>
        <v/>
      </c>
      <c r="L1484" s="528">
        <f>IF(E1484="STL",Pricing!$D$38,IF(A1484="",0,IF(A1484&lt;Pricing!$C$25,Pricing!$D$25,VLOOKUP(Disbursements!$F1484,Pricing!$B$29:$D$32,3))))</f>
        <v>0</v>
      </c>
      <c r="M1484" s="528">
        <f>IF(E1484="STL",0,IF(F1484&gt;0,Pricing!$D$21,0))</f>
        <v>0</v>
      </c>
      <c r="N1484" s="529">
        <f>IF(E1484="STL",F1484*Pricing!$D$40,IF(A1484&lt;=Pricing!$C$4,0,IF(AND(A1484&gt;Pricing!$C$4,Disbursements!A1484&lt;=Pricing!$C$5),F1484*Pricing!$E$5,IF(AND(A1484&gt;Pricing!$C$5,Disbursements!A1484&lt;=Pricing!$C$7),VLOOKUP(F1484,Pricing!$D$7:$E$8,2)*Disbursements!F1484,F1484*Pricing!$E$9))))</f>
        <v>0</v>
      </c>
      <c r="O1484" s="528">
        <f>IF(E1484="STL",0,IF($F1484&gt;0,$F1484*Pricing!$D$17,0))</f>
        <v>0</v>
      </c>
      <c r="P1484" s="530" t="str">
        <f t="shared" si="620"/>
        <v/>
      </c>
      <c r="Q1484" s="531" t="str">
        <f>IF($A1484="","",$G1484/VLOOKUP($I1484,Ref!$B$23:$D$29,2,0))</f>
        <v/>
      </c>
      <c r="R1484" s="530" t="str">
        <f t="shared" si="621"/>
        <v/>
      </c>
      <c r="S1484" s="532" t="str">
        <f t="shared" si="615"/>
        <v/>
      </c>
      <c r="T1484" s="531" t="str">
        <f t="shared" si="622"/>
        <v/>
      </c>
      <c r="U1484" s="533">
        <f t="shared" si="623"/>
        <v>0</v>
      </c>
      <c r="V1484" s="531" t="str">
        <f t="shared" si="624"/>
        <v/>
      </c>
      <c r="W1484" s="531" t="str">
        <f t="shared" si="625"/>
        <v/>
      </c>
      <c r="X1484" s="534" t="str">
        <f t="shared" si="626"/>
        <v/>
      </c>
      <c r="Y1484" s="535" t="str">
        <f>IF($A1484="","",IF($I1484="weekly",$A1484+7,EDATE($A1484,VLOOKUP($I1484,Ref!$B$24:$C$29,2,0))))</f>
        <v/>
      </c>
      <c r="Z1484" s="536" t="str">
        <f t="shared" si="627"/>
        <v/>
      </c>
      <c r="AA1484" s="531">
        <f t="shared" si="628"/>
        <v>0</v>
      </c>
      <c r="AB1484" s="535" t="str">
        <f t="shared" si="616"/>
        <v/>
      </c>
      <c r="AC1484" s="537" t="str">
        <f t="shared" si="617"/>
        <v/>
      </c>
      <c r="AD1484" s="538" t="str">
        <f t="shared" ca="1" si="618"/>
        <v/>
      </c>
      <c r="AE1484" s="537">
        <f t="shared" ca="1" si="619"/>
        <v>0</v>
      </c>
      <c r="AF1484" s="539" t="str">
        <f t="shared" ca="1" si="629"/>
        <v/>
      </c>
      <c r="AG1484" s="531" t="str">
        <f t="shared" ca="1" si="630"/>
        <v/>
      </c>
      <c r="AH1484" s="531" t="str">
        <f t="shared" ca="1" si="631"/>
        <v/>
      </c>
      <c r="AI1484" s="531" t="str">
        <f t="shared" ca="1" si="632"/>
        <v/>
      </c>
      <c r="AJ1484" s="531" t="str">
        <f t="shared" si="633"/>
        <v/>
      </c>
      <c r="AK1484" s="540">
        <f>SUMIFS('Live Collections'!$S:$S,'Live Collections'!$D:$D,Disbursements!B1484,'Live Collections'!$G:$G,Disbursements!C1484)</f>
        <v>0</v>
      </c>
      <c r="AL1484" s="540">
        <f>SUMIFS('Live Collections'!$T:$T,'Live Collections'!$D:$D,Disbursements!B1484,'Live Collections'!$G:$G,Disbursements!C1484)</f>
        <v>0</v>
      </c>
      <c r="AM1484" s="541">
        <f t="shared" si="634"/>
        <v>0</v>
      </c>
      <c r="AN1484" s="542" t="str">
        <f t="shared" si="635"/>
        <v/>
      </c>
      <c r="AO1484" s="542" t="str">
        <f t="shared" si="636"/>
        <v/>
      </c>
      <c r="AP1484" s="543" t="str">
        <f t="shared" si="637"/>
        <v/>
      </c>
      <c r="AQ1484" s="544" t="str">
        <f t="shared" si="638"/>
        <v/>
      </c>
      <c r="AR1484" s="545">
        <f t="shared" si="639"/>
        <v>0</v>
      </c>
      <c r="AS1484" s="545">
        <f>IFERROR(CEILING($AR1484*VLOOKUP($I1484,Ref!$B$23:$E$29,4,0),1),0)</f>
        <v>0</v>
      </c>
      <c r="AT1484" s="545" t="str">
        <f>IF(A1484="","",IF(AP1484&lt;=1,"Cleared",IF(AS1484=0,"Clean",VLOOKUP($AS1484,Ref!$G$23:$H$28,2))))</f>
        <v/>
      </c>
      <c r="AU1484" s="546" t="str">
        <f t="shared" si="640"/>
        <v/>
      </c>
    </row>
    <row r="1485" spans="1:47" ht="14.25" hidden="1" customHeight="1" x14ac:dyDescent="0.15">
      <c r="A1485" s="575"/>
      <c r="B1485" s="548"/>
      <c r="C1485" s="548"/>
      <c r="D1485" s="548"/>
      <c r="E1485" s="583"/>
      <c r="F1485" s="584"/>
      <c r="G1485" s="548"/>
      <c r="H1485" s="550"/>
      <c r="I1485" s="560"/>
      <c r="J1485" s="548"/>
      <c r="K1485" s="528" t="str">
        <f>IFERROR(VLOOKUP($B1485,'Clients-Live'!$A:$C,3,0),"")</f>
        <v/>
      </c>
      <c r="L1485" s="528">
        <f>IF(E1485="STL",Pricing!$D$38,IF(A1485="",0,IF(A1485&lt;Pricing!$C$25,Pricing!$D$25,VLOOKUP(Disbursements!$F1485,Pricing!$B$29:$D$32,3))))</f>
        <v>0</v>
      </c>
      <c r="M1485" s="528">
        <f>IF(E1485="STL",0,IF(F1485&gt;0,Pricing!$D$21,0))</f>
        <v>0</v>
      </c>
      <c r="N1485" s="529">
        <f>IF(E1485="STL",F1485*Pricing!$D$40,IF(A1485&lt;=Pricing!$C$4,0,IF(AND(A1485&gt;Pricing!$C$4,Disbursements!A1485&lt;=Pricing!$C$5),F1485*Pricing!$E$5,IF(AND(A1485&gt;Pricing!$C$5,Disbursements!A1485&lt;=Pricing!$C$7),VLOOKUP(F1485,Pricing!$D$7:$E$8,2)*Disbursements!F1485,F1485*Pricing!$E$9))))</f>
        <v>0</v>
      </c>
      <c r="O1485" s="528">
        <f>IF(E1485="STL",0,IF($F1485&gt;0,$F1485*Pricing!$D$17,0))</f>
        <v>0</v>
      </c>
      <c r="P1485" s="530" t="str">
        <f t="shared" si="620"/>
        <v/>
      </c>
      <c r="Q1485" s="531" t="str">
        <f>IF($A1485="","",$G1485/VLOOKUP($I1485,Ref!$B$23:$D$29,2,0))</f>
        <v/>
      </c>
      <c r="R1485" s="530" t="str">
        <f t="shared" si="621"/>
        <v/>
      </c>
      <c r="S1485" s="532" t="str">
        <f t="shared" si="615"/>
        <v/>
      </c>
      <c r="T1485" s="531" t="str">
        <f t="shared" si="622"/>
        <v/>
      </c>
      <c r="U1485" s="533">
        <f t="shared" si="623"/>
        <v>0</v>
      </c>
      <c r="V1485" s="531" t="str">
        <f t="shared" si="624"/>
        <v/>
      </c>
      <c r="W1485" s="531" t="str">
        <f t="shared" si="625"/>
        <v/>
      </c>
      <c r="X1485" s="534" t="str">
        <f t="shared" si="626"/>
        <v/>
      </c>
      <c r="Y1485" s="535" t="str">
        <f>IF($A1485="","",IF($I1485="weekly",$A1485+7,EDATE($A1485,VLOOKUP($I1485,Ref!$B$24:$C$29,2,0))))</f>
        <v/>
      </c>
      <c r="Z1485" s="536" t="str">
        <f t="shared" si="627"/>
        <v/>
      </c>
      <c r="AA1485" s="531">
        <f t="shared" si="628"/>
        <v>0</v>
      </c>
      <c r="AB1485" s="535" t="str">
        <f t="shared" si="616"/>
        <v/>
      </c>
      <c r="AC1485" s="537" t="str">
        <f t="shared" si="617"/>
        <v/>
      </c>
      <c r="AD1485" s="538" t="str">
        <f t="shared" ca="1" si="618"/>
        <v/>
      </c>
      <c r="AE1485" s="537">
        <f t="shared" ca="1" si="619"/>
        <v>0</v>
      </c>
      <c r="AF1485" s="539" t="str">
        <f t="shared" ca="1" si="629"/>
        <v/>
      </c>
      <c r="AG1485" s="531" t="str">
        <f t="shared" ca="1" si="630"/>
        <v/>
      </c>
      <c r="AH1485" s="531" t="str">
        <f t="shared" ca="1" si="631"/>
        <v/>
      </c>
      <c r="AI1485" s="531" t="str">
        <f t="shared" ca="1" si="632"/>
        <v/>
      </c>
      <c r="AJ1485" s="531" t="str">
        <f t="shared" si="633"/>
        <v/>
      </c>
      <c r="AK1485" s="540">
        <f>SUMIFS('Live Collections'!$S:$S,'Live Collections'!$D:$D,Disbursements!B1485,'Live Collections'!$G:$G,Disbursements!C1485)</f>
        <v>0</v>
      </c>
      <c r="AL1485" s="540">
        <f>SUMIFS('Live Collections'!$T:$T,'Live Collections'!$D:$D,Disbursements!B1485,'Live Collections'!$G:$G,Disbursements!C1485)</f>
        <v>0</v>
      </c>
      <c r="AM1485" s="541">
        <f t="shared" si="634"/>
        <v>0</v>
      </c>
      <c r="AN1485" s="542" t="str">
        <f t="shared" si="635"/>
        <v/>
      </c>
      <c r="AO1485" s="542" t="str">
        <f t="shared" si="636"/>
        <v/>
      </c>
      <c r="AP1485" s="543" t="str">
        <f t="shared" si="637"/>
        <v/>
      </c>
      <c r="AQ1485" s="544" t="str">
        <f t="shared" si="638"/>
        <v/>
      </c>
      <c r="AR1485" s="545">
        <f t="shared" si="639"/>
        <v>0</v>
      </c>
      <c r="AS1485" s="545">
        <f>IFERROR(CEILING($AR1485*VLOOKUP($I1485,Ref!$B$23:$E$29,4,0),1),0)</f>
        <v>0</v>
      </c>
      <c r="AT1485" s="545" t="str">
        <f>IF(A1485="","",IF(AP1485&lt;=1,"Cleared",IF(AS1485=0,"Clean",VLOOKUP($AS1485,Ref!$G$23:$H$28,2))))</f>
        <v/>
      </c>
      <c r="AU1485" s="546" t="str">
        <f t="shared" si="640"/>
        <v/>
      </c>
    </row>
    <row r="1486" spans="1:47" ht="14.25" hidden="1" customHeight="1" x14ac:dyDescent="0.15">
      <c r="A1486" s="575"/>
      <c r="B1486" s="548"/>
      <c r="C1486" s="548"/>
      <c r="D1486" s="548"/>
      <c r="E1486" s="583"/>
      <c r="F1486" s="584"/>
      <c r="G1486" s="548"/>
      <c r="H1486" s="550"/>
      <c r="I1486" s="560"/>
      <c r="J1486" s="548"/>
      <c r="K1486" s="528" t="str">
        <f>IFERROR(VLOOKUP($B1486,'Clients-Live'!$A:$C,3,0),"")</f>
        <v/>
      </c>
      <c r="L1486" s="528">
        <f>IF(E1486="STL",Pricing!$D$38,IF(A1486="",0,IF(A1486&lt;Pricing!$C$25,Pricing!$D$25,VLOOKUP(Disbursements!$F1486,Pricing!$B$29:$D$32,3))))</f>
        <v>0</v>
      </c>
      <c r="M1486" s="528">
        <f>IF(E1486="STL",0,IF(F1486&gt;0,Pricing!$D$21,0))</f>
        <v>0</v>
      </c>
      <c r="N1486" s="529">
        <f>IF(E1486="STL",F1486*Pricing!$D$40,IF(A1486&lt;=Pricing!$C$4,0,IF(AND(A1486&gt;Pricing!$C$4,Disbursements!A1486&lt;=Pricing!$C$5),F1486*Pricing!$E$5,IF(AND(A1486&gt;Pricing!$C$5,Disbursements!A1486&lt;=Pricing!$C$7),VLOOKUP(F1486,Pricing!$D$7:$E$8,2)*Disbursements!F1486,F1486*Pricing!$E$9))))</f>
        <v>0</v>
      </c>
      <c r="O1486" s="528">
        <f>IF(E1486="STL",0,IF($F1486&gt;0,$F1486*Pricing!$D$17,0))</f>
        <v>0</v>
      </c>
      <c r="P1486" s="530" t="str">
        <f t="shared" si="620"/>
        <v/>
      </c>
      <c r="Q1486" s="531" t="str">
        <f>IF($A1486="","",$G1486/VLOOKUP($I1486,Ref!$B$23:$D$29,2,0))</f>
        <v/>
      </c>
      <c r="R1486" s="530" t="str">
        <f t="shared" si="621"/>
        <v/>
      </c>
      <c r="S1486" s="532" t="str">
        <f t="shared" si="615"/>
        <v/>
      </c>
      <c r="T1486" s="531" t="str">
        <f t="shared" si="622"/>
        <v/>
      </c>
      <c r="U1486" s="533">
        <f t="shared" si="623"/>
        <v>0</v>
      </c>
      <c r="V1486" s="531" t="str">
        <f t="shared" si="624"/>
        <v/>
      </c>
      <c r="W1486" s="531" t="str">
        <f t="shared" si="625"/>
        <v/>
      </c>
      <c r="X1486" s="534" t="str">
        <f t="shared" si="626"/>
        <v/>
      </c>
      <c r="Y1486" s="535" t="str">
        <f>IF($A1486="","",IF($I1486="weekly",$A1486+7,EDATE($A1486,VLOOKUP($I1486,Ref!$B$24:$C$29,2,0))))</f>
        <v/>
      </c>
      <c r="Z1486" s="536" t="str">
        <f t="shared" si="627"/>
        <v/>
      </c>
      <c r="AA1486" s="531">
        <f t="shared" si="628"/>
        <v>0</v>
      </c>
      <c r="AB1486" s="535" t="str">
        <f t="shared" si="616"/>
        <v/>
      </c>
      <c r="AC1486" s="537" t="str">
        <f t="shared" si="617"/>
        <v/>
      </c>
      <c r="AD1486" s="538" t="str">
        <f t="shared" ca="1" si="618"/>
        <v/>
      </c>
      <c r="AE1486" s="537">
        <f t="shared" ca="1" si="619"/>
        <v>0</v>
      </c>
      <c r="AF1486" s="539" t="str">
        <f t="shared" ca="1" si="629"/>
        <v/>
      </c>
      <c r="AG1486" s="531" t="str">
        <f t="shared" ca="1" si="630"/>
        <v/>
      </c>
      <c r="AH1486" s="531" t="str">
        <f t="shared" ca="1" si="631"/>
        <v/>
      </c>
      <c r="AI1486" s="531" t="str">
        <f t="shared" ca="1" si="632"/>
        <v/>
      </c>
      <c r="AJ1486" s="531" t="str">
        <f t="shared" si="633"/>
        <v/>
      </c>
      <c r="AK1486" s="540">
        <f>SUMIFS('Live Collections'!$S:$S,'Live Collections'!$D:$D,Disbursements!B1486,'Live Collections'!$G:$G,Disbursements!C1486)</f>
        <v>0</v>
      </c>
      <c r="AL1486" s="540">
        <f>SUMIFS('Live Collections'!$T:$T,'Live Collections'!$D:$D,Disbursements!B1486,'Live Collections'!$G:$G,Disbursements!C1486)</f>
        <v>0</v>
      </c>
      <c r="AM1486" s="541">
        <f t="shared" si="634"/>
        <v>0</v>
      </c>
      <c r="AN1486" s="542" t="str">
        <f t="shared" si="635"/>
        <v/>
      </c>
      <c r="AO1486" s="542" t="str">
        <f t="shared" si="636"/>
        <v/>
      </c>
      <c r="AP1486" s="543" t="str">
        <f t="shared" si="637"/>
        <v/>
      </c>
      <c r="AQ1486" s="544" t="str">
        <f t="shared" si="638"/>
        <v/>
      </c>
      <c r="AR1486" s="545">
        <f t="shared" si="639"/>
        <v>0</v>
      </c>
      <c r="AS1486" s="545">
        <f>IFERROR(CEILING($AR1486*VLOOKUP($I1486,Ref!$B$23:$E$29,4,0),1),0)</f>
        <v>0</v>
      </c>
      <c r="AT1486" s="545" t="str">
        <f>IF(A1486="","",IF(AP1486&lt;=1,"Cleared",IF(AS1486=0,"Clean",VLOOKUP($AS1486,Ref!$G$23:$H$28,2))))</f>
        <v/>
      </c>
      <c r="AU1486" s="546" t="str">
        <f t="shared" si="640"/>
        <v/>
      </c>
    </row>
    <row r="1487" spans="1:47" ht="14.25" hidden="1" customHeight="1" x14ac:dyDescent="0.15">
      <c r="A1487" s="575"/>
      <c r="B1487" s="548"/>
      <c r="C1487" s="548"/>
      <c r="D1487" s="548"/>
      <c r="E1487" s="583"/>
      <c r="F1487" s="584"/>
      <c r="G1487" s="548"/>
      <c r="H1487" s="550"/>
      <c r="I1487" s="560"/>
      <c r="J1487" s="548"/>
      <c r="K1487" s="528" t="str">
        <f>IFERROR(VLOOKUP($B1487,'Clients-Live'!$A:$C,3,0),"")</f>
        <v/>
      </c>
      <c r="L1487" s="528">
        <f>IF(E1487="STL",Pricing!$D$38,IF(A1487="",0,IF(A1487&lt;Pricing!$C$25,Pricing!$D$25,VLOOKUP(Disbursements!$F1487,Pricing!$B$29:$D$32,3))))</f>
        <v>0</v>
      </c>
      <c r="M1487" s="528">
        <f>IF(E1487="STL",0,IF(F1487&gt;0,Pricing!$D$21,0))</f>
        <v>0</v>
      </c>
      <c r="N1487" s="529">
        <f>IF(E1487="STL",F1487*Pricing!$D$40,IF(A1487&lt;=Pricing!$C$4,0,IF(AND(A1487&gt;Pricing!$C$4,Disbursements!A1487&lt;=Pricing!$C$5),F1487*Pricing!$E$5,IF(AND(A1487&gt;Pricing!$C$5,Disbursements!A1487&lt;=Pricing!$C$7),VLOOKUP(F1487,Pricing!$D$7:$E$8,2)*Disbursements!F1487,F1487*Pricing!$E$9))))</f>
        <v>0</v>
      </c>
      <c r="O1487" s="528">
        <f>IF(E1487="STL",0,IF($F1487&gt;0,$F1487*Pricing!$D$17,0))</f>
        <v>0</v>
      </c>
      <c r="P1487" s="530" t="str">
        <f t="shared" si="620"/>
        <v/>
      </c>
      <c r="Q1487" s="531" t="str">
        <f>IF($A1487="","",$G1487/VLOOKUP($I1487,Ref!$B$23:$D$29,2,0))</f>
        <v/>
      </c>
      <c r="R1487" s="530" t="str">
        <f t="shared" si="621"/>
        <v/>
      </c>
      <c r="S1487" s="532" t="str">
        <f t="shared" si="615"/>
        <v/>
      </c>
      <c r="T1487" s="531" t="str">
        <f t="shared" si="622"/>
        <v/>
      </c>
      <c r="U1487" s="533">
        <f t="shared" si="623"/>
        <v>0</v>
      </c>
      <c r="V1487" s="531" t="str">
        <f t="shared" si="624"/>
        <v/>
      </c>
      <c r="W1487" s="531" t="str">
        <f t="shared" si="625"/>
        <v/>
      </c>
      <c r="X1487" s="534" t="str">
        <f t="shared" si="626"/>
        <v/>
      </c>
      <c r="Y1487" s="535" t="str">
        <f>IF($A1487="","",IF($I1487="weekly",$A1487+7,EDATE($A1487,VLOOKUP($I1487,Ref!$B$24:$C$29,2,0))))</f>
        <v/>
      </c>
      <c r="Z1487" s="536" t="str">
        <f t="shared" si="627"/>
        <v/>
      </c>
      <c r="AA1487" s="531">
        <f t="shared" si="628"/>
        <v>0</v>
      </c>
      <c r="AB1487" s="535" t="str">
        <f t="shared" si="616"/>
        <v/>
      </c>
      <c r="AC1487" s="537" t="str">
        <f t="shared" si="617"/>
        <v/>
      </c>
      <c r="AD1487" s="538" t="str">
        <f t="shared" ca="1" si="618"/>
        <v/>
      </c>
      <c r="AE1487" s="537">
        <f t="shared" ca="1" si="619"/>
        <v>0</v>
      </c>
      <c r="AF1487" s="539" t="str">
        <f t="shared" ca="1" si="629"/>
        <v/>
      </c>
      <c r="AG1487" s="531" t="str">
        <f t="shared" ca="1" si="630"/>
        <v/>
      </c>
      <c r="AH1487" s="531" t="str">
        <f t="shared" ca="1" si="631"/>
        <v/>
      </c>
      <c r="AI1487" s="531" t="str">
        <f t="shared" ca="1" si="632"/>
        <v/>
      </c>
      <c r="AJ1487" s="531" t="str">
        <f t="shared" si="633"/>
        <v/>
      </c>
      <c r="AK1487" s="540">
        <f>SUMIFS('Live Collections'!$S:$S,'Live Collections'!$D:$D,Disbursements!B1487,'Live Collections'!$G:$G,Disbursements!C1487)</f>
        <v>0</v>
      </c>
      <c r="AL1487" s="540">
        <f>SUMIFS('Live Collections'!$T:$T,'Live Collections'!$D:$D,Disbursements!B1487,'Live Collections'!$G:$G,Disbursements!C1487)</f>
        <v>0</v>
      </c>
      <c r="AM1487" s="541">
        <f t="shared" si="634"/>
        <v>0</v>
      </c>
      <c r="AN1487" s="542" t="str">
        <f t="shared" si="635"/>
        <v/>
      </c>
      <c r="AO1487" s="542" t="str">
        <f t="shared" si="636"/>
        <v/>
      </c>
      <c r="AP1487" s="543" t="str">
        <f t="shared" si="637"/>
        <v/>
      </c>
      <c r="AQ1487" s="544" t="str">
        <f t="shared" si="638"/>
        <v/>
      </c>
      <c r="AR1487" s="545">
        <f t="shared" si="639"/>
        <v>0</v>
      </c>
      <c r="AS1487" s="545">
        <f>IFERROR(CEILING($AR1487*VLOOKUP($I1487,Ref!$B$23:$E$29,4,0),1),0)</f>
        <v>0</v>
      </c>
      <c r="AT1487" s="545" t="str">
        <f>IF(A1487="","",IF(AP1487&lt;=1,"Cleared",IF(AS1487=0,"Clean",VLOOKUP($AS1487,Ref!$G$23:$H$28,2))))</f>
        <v/>
      </c>
      <c r="AU1487" s="546" t="str">
        <f t="shared" si="640"/>
        <v/>
      </c>
    </row>
    <row r="1488" spans="1:47" ht="14.25" hidden="1" customHeight="1" x14ac:dyDescent="0.15">
      <c r="A1488" s="575"/>
      <c r="B1488" s="548"/>
      <c r="C1488" s="548"/>
      <c r="D1488" s="548"/>
      <c r="E1488" s="583"/>
      <c r="F1488" s="584"/>
      <c r="G1488" s="548"/>
      <c r="H1488" s="550"/>
      <c r="I1488" s="560"/>
      <c r="J1488" s="548"/>
      <c r="K1488" s="528" t="str">
        <f>IFERROR(VLOOKUP($B1488,'Clients-Live'!$A:$C,3,0),"")</f>
        <v/>
      </c>
      <c r="L1488" s="528">
        <f>IF(E1488="STL",Pricing!$D$38,IF(A1488="",0,IF(A1488&lt;Pricing!$C$25,Pricing!$D$25,VLOOKUP(Disbursements!$F1488,Pricing!$B$29:$D$32,3))))</f>
        <v>0</v>
      </c>
      <c r="M1488" s="528">
        <f>IF(E1488="STL",0,IF(F1488&gt;0,Pricing!$D$21,0))</f>
        <v>0</v>
      </c>
      <c r="N1488" s="529">
        <f>IF(E1488="STL",F1488*Pricing!$D$40,IF(A1488&lt;=Pricing!$C$4,0,IF(AND(A1488&gt;Pricing!$C$4,Disbursements!A1488&lt;=Pricing!$C$5),F1488*Pricing!$E$5,IF(AND(A1488&gt;Pricing!$C$5,Disbursements!A1488&lt;=Pricing!$C$7),VLOOKUP(F1488,Pricing!$D$7:$E$8,2)*Disbursements!F1488,F1488*Pricing!$E$9))))</f>
        <v>0</v>
      </c>
      <c r="O1488" s="528">
        <f>IF(E1488="STL",0,IF($F1488&gt;0,$F1488*Pricing!$D$17,0))</f>
        <v>0</v>
      </c>
      <c r="P1488" s="530" t="str">
        <f t="shared" si="620"/>
        <v/>
      </c>
      <c r="Q1488" s="531" t="str">
        <f>IF($A1488="","",$G1488/VLOOKUP($I1488,Ref!$B$23:$D$29,2,0))</f>
        <v/>
      </c>
      <c r="R1488" s="530" t="str">
        <f t="shared" si="621"/>
        <v/>
      </c>
      <c r="S1488" s="532" t="str">
        <f t="shared" si="615"/>
        <v/>
      </c>
      <c r="T1488" s="531" t="str">
        <f t="shared" si="622"/>
        <v/>
      </c>
      <c r="U1488" s="533">
        <f t="shared" si="623"/>
        <v>0</v>
      </c>
      <c r="V1488" s="531" t="str">
        <f t="shared" si="624"/>
        <v/>
      </c>
      <c r="W1488" s="531" t="str">
        <f t="shared" si="625"/>
        <v/>
      </c>
      <c r="X1488" s="534" t="str">
        <f t="shared" si="626"/>
        <v/>
      </c>
      <c r="Y1488" s="535" t="str">
        <f>IF($A1488="","",IF($I1488="weekly",$A1488+7,EDATE($A1488,VLOOKUP($I1488,Ref!$B$24:$C$29,2,0))))</f>
        <v/>
      </c>
      <c r="Z1488" s="536" t="str">
        <f t="shared" si="627"/>
        <v/>
      </c>
      <c r="AA1488" s="531">
        <f t="shared" si="628"/>
        <v>0</v>
      </c>
      <c r="AB1488" s="535" t="str">
        <f t="shared" si="616"/>
        <v/>
      </c>
      <c r="AC1488" s="537" t="str">
        <f t="shared" si="617"/>
        <v/>
      </c>
      <c r="AD1488" s="538" t="str">
        <f t="shared" ca="1" si="618"/>
        <v/>
      </c>
      <c r="AE1488" s="537">
        <f t="shared" ca="1" si="619"/>
        <v>0</v>
      </c>
      <c r="AF1488" s="539" t="str">
        <f t="shared" ca="1" si="629"/>
        <v/>
      </c>
      <c r="AG1488" s="531" t="str">
        <f t="shared" ca="1" si="630"/>
        <v/>
      </c>
      <c r="AH1488" s="531" t="str">
        <f t="shared" ca="1" si="631"/>
        <v/>
      </c>
      <c r="AI1488" s="531" t="str">
        <f t="shared" ca="1" si="632"/>
        <v/>
      </c>
      <c r="AJ1488" s="531" t="str">
        <f t="shared" si="633"/>
        <v/>
      </c>
      <c r="AK1488" s="540">
        <f>SUMIFS('Live Collections'!$S:$S,'Live Collections'!$D:$D,Disbursements!B1488,'Live Collections'!$G:$G,Disbursements!C1488)</f>
        <v>0</v>
      </c>
      <c r="AL1488" s="540">
        <f>SUMIFS('Live Collections'!$T:$T,'Live Collections'!$D:$D,Disbursements!B1488,'Live Collections'!$G:$G,Disbursements!C1488)</f>
        <v>0</v>
      </c>
      <c r="AM1488" s="541">
        <f t="shared" si="634"/>
        <v>0</v>
      </c>
      <c r="AN1488" s="542" t="str">
        <f t="shared" si="635"/>
        <v/>
      </c>
      <c r="AO1488" s="542" t="str">
        <f t="shared" si="636"/>
        <v/>
      </c>
      <c r="AP1488" s="543" t="str">
        <f t="shared" si="637"/>
        <v/>
      </c>
      <c r="AQ1488" s="544" t="str">
        <f t="shared" si="638"/>
        <v/>
      </c>
      <c r="AR1488" s="545">
        <f t="shared" si="639"/>
        <v>0</v>
      </c>
      <c r="AS1488" s="545">
        <f>IFERROR(CEILING($AR1488*VLOOKUP($I1488,Ref!$B$23:$E$29,4,0),1),0)</f>
        <v>0</v>
      </c>
      <c r="AT1488" s="545" t="str">
        <f>IF(A1488="","",IF(AP1488&lt;=1,"Cleared",IF(AS1488=0,"Clean",VLOOKUP($AS1488,Ref!$G$23:$H$28,2))))</f>
        <v/>
      </c>
      <c r="AU1488" s="546" t="str">
        <f t="shared" si="640"/>
        <v/>
      </c>
    </row>
    <row r="1489" spans="1:47" ht="14.25" hidden="1" customHeight="1" x14ac:dyDescent="0.15">
      <c r="A1489" s="575"/>
      <c r="B1489" s="548"/>
      <c r="C1489" s="548"/>
      <c r="D1489" s="548"/>
      <c r="E1489" s="583"/>
      <c r="F1489" s="584"/>
      <c r="G1489" s="548"/>
      <c r="H1489" s="550"/>
      <c r="I1489" s="560"/>
      <c r="J1489" s="548"/>
      <c r="K1489" s="528" t="str">
        <f>IFERROR(VLOOKUP($B1489,'Clients-Live'!$A:$C,3,0),"")</f>
        <v/>
      </c>
      <c r="L1489" s="528">
        <f>IF(E1489="STL",Pricing!$D$38,IF(A1489="",0,IF(A1489&lt;Pricing!$C$25,Pricing!$D$25,VLOOKUP(Disbursements!$F1489,Pricing!$B$29:$D$32,3))))</f>
        <v>0</v>
      </c>
      <c r="M1489" s="528">
        <f>IF(E1489="STL",0,IF(F1489&gt;0,Pricing!$D$21,0))</f>
        <v>0</v>
      </c>
      <c r="N1489" s="529">
        <f>IF(E1489="STL",F1489*Pricing!$D$40,IF(A1489&lt;=Pricing!$C$4,0,IF(AND(A1489&gt;Pricing!$C$4,Disbursements!A1489&lt;=Pricing!$C$5),F1489*Pricing!$E$5,IF(AND(A1489&gt;Pricing!$C$5,Disbursements!A1489&lt;=Pricing!$C$7),VLOOKUP(F1489,Pricing!$D$7:$E$8,2)*Disbursements!F1489,F1489*Pricing!$E$9))))</f>
        <v>0</v>
      </c>
      <c r="O1489" s="528">
        <f>IF(E1489="STL",0,IF($F1489&gt;0,$F1489*Pricing!$D$17,0))</f>
        <v>0</v>
      </c>
      <c r="P1489" s="530" t="str">
        <f t="shared" si="620"/>
        <v/>
      </c>
      <c r="Q1489" s="531" t="str">
        <f>IF($A1489="","",$G1489/VLOOKUP($I1489,Ref!$B$23:$D$29,2,0))</f>
        <v/>
      </c>
      <c r="R1489" s="530" t="str">
        <f t="shared" si="621"/>
        <v/>
      </c>
      <c r="S1489" s="532" t="str">
        <f t="shared" si="615"/>
        <v/>
      </c>
      <c r="T1489" s="531" t="str">
        <f t="shared" si="622"/>
        <v/>
      </c>
      <c r="U1489" s="533">
        <f t="shared" si="623"/>
        <v>0</v>
      </c>
      <c r="V1489" s="531" t="str">
        <f t="shared" si="624"/>
        <v/>
      </c>
      <c r="W1489" s="531" t="str">
        <f t="shared" si="625"/>
        <v/>
      </c>
      <c r="X1489" s="534" t="str">
        <f t="shared" si="626"/>
        <v/>
      </c>
      <c r="Y1489" s="535" t="str">
        <f>IF($A1489="","",IF($I1489="weekly",$A1489+7,EDATE($A1489,VLOOKUP($I1489,Ref!$B$24:$C$29,2,0))))</f>
        <v/>
      </c>
      <c r="Z1489" s="536" t="str">
        <f t="shared" si="627"/>
        <v/>
      </c>
      <c r="AA1489" s="531">
        <f t="shared" si="628"/>
        <v>0</v>
      </c>
      <c r="AB1489" s="535" t="str">
        <f t="shared" si="616"/>
        <v/>
      </c>
      <c r="AC1489" s="537" t="str">
        <f t="shared" si="617"/>
        <v/>
      </c>
      <c r="AD1489" s="538" t="str">
        <f t="shared" ca="1" si="618"/>
        <v/>
      </c>
      <c r="AE1489" s="537">
        <f t="shared" ca="1" si="619"/>
        <v>0</v>
      </c>
      <c r="AF1489" s="539" t="str">
        <f t="shared" ca="1" si="629"/>
        <v/>
      </c>
      <c r="AG1489" s="531" t="str">
        <f t="shared" ca="1" si="630"/>
        <v/>
      </c>
      <c r="AH1489" s="531" t="str">
        <f t="shared" ca="1" si="631"/>
        <v/>
      </c>
      <c r="AI1489" s="531" t="str">
        <f t="shared" ca="1" si="632"/>
        <v/>
      </c>
      <c r="AJ1489" s="531" t="str">
        <f t="shared" si="633"/>
        <v/>
      </c>
      <c r="AK1489" s="540">
        <f>SUMIFS('Live Collections'!$S:$S,'Live Collections'!$D:$D,Disbursements!B1489,'Live Collections'!$G:$G,Disbursements!C1489)</f>
        <v>0</v>
      </c>
      <c r="AL1489" s="540">
        <f>SUMIFS('Live Collections'!$T:$T,'Live Collections'!$D:$D,Disbursements!B1489,'Live Collections'!$G:$G,Disbursements!C1489)</f>
        <v>0</v>
      </c>
      <c r="AM1489" s="541">
        <f t="shared" si="634"/>
        <v>0</v>
      </c>
      <c r="AN1489" s="542" t="str">
        <f t="shared" si="635"/>
        <v/>
      </c>
      <c r="AO1489" s="542" t="str">
        <f t="shared" si="636"/>
        <v/>
      </c>
      <c r="AP1489" s="543" t="str">
        <f t="shared" si="637"/>
        <v/>
      </c>
      <c r="AQ1489" s="544" t="str">
        <f t="shared" si="638"/>
        <v/>
      </c>
      <c r="AR1489" s="545">
        <f t="shared" si="639"/>
        <v>0</v>
      </c>
      <c r="AS1489" s="545">
        <f>IFERROR(CEILING($AR1489*VLOOKUP($I1489,Ref!$B$23:$E$29,4,0),1),0)</f>
        <v>0</v>
      </c>
      <c r="AT1489" s="545" t="str">
        <f>IF(A1489="","",IF(AP1489&lt;=1,"Cleared",IF(AS1489=0,"Clean",VLOOKUP($AS1489,Ref!$G$23:$H$28,2))))</f>
        <v/>
      </c>
      <c r="AU1489" s="546" t="str">
        <f t="shared" si="640"/>
        <v/>
      </c>
    </row>
    <row r="1490" spans="1:47" ht="14.25" hidden="1" customHeight="1" x14ac:dyDescent="0.15">
      <c r="A1490" s="575"/>
      <c r="B1490" s="548"/>
      <c r="C1490" s="548"/>
      <c r="D1490" s="548"/>
      <c r="E1490" s="583"/>
      <c r="F1490" s="584"/>
      <c r="G1490" s="548"/>
      <c r="H1490" s="550"/>
      <c r="I1490" s="560"/>
      <c r="J1490" s="548"/>
      <c r="K1490" s="528" t="str">
        <f>IFERROR(VLOOKUP($B1490,'Clients-Live'!$A:$C,3,0),"")</f>
        <v/>
      </c>
      <c r="L1490" s="528">
        <f>IF(E1490="STL",Pricing!$D$38,IF(A1490="",0,IF(A1490&lt;Pricing!$C$25,Pricing!$D$25,VLOOKUP(Disbursements!$F1490,Pricing!$B$29:$D$32,3))))</f>
        <v>0</v>
      </c>
      <c r="M1490" s="528">
        <f>IF(E1490="STL",0,IF(F1490&gt;0,Pricing!$D$21,0))</f>
        <v>0</v>
      </c>
      <c r="N1490" s="529">
        <f>IF(E1490="STL",F1490*Pricing!$D$40,IF(A1490&lt;=Pricing!$C$4,0,IF(AND(A1490&gt;Pricing!$C$4,Disbursements!A1490&lt;=Pricing!$C$5),F1490*Pricing!$E$5,IF(AND(A1490&gt;Pricing!$C$5,Disbursements!A1490&lt;=Pricing!$C$7),VLOOKUP(F1490,Pricing!$D$7:$E$8,2)*Disbursements!F1490,F1490*Pricing!$E$9))))</f>
        <v>0</v>
      </c>
      <c r="O1490" s="528">
        <f>IF(E1490="STL",0,IF($F1490&gt;0,$F1490*Pricing!$D$17,0))</f>
        <v>0</v>
      </c>
      <c r="P1490" s="530" t="str">
        <f t="shared" si="620"/>
        <v/>
      </c>
      <c r="Q1490" s="531" t="str">
        <f>IF($A1490="","",$G1490/VLOOKUP($I1490,Ref!$B$23:$D$29,2,0))</f>
        <v/>
      </c>
      <c r="R1490" s="530" t="str">
        <f t="shared" si="621"/>
        <v/>
      </c>
      <c r="S1490" s="532" t="str">
        <f t="shared" si="615"/>
        <v/>
      </c>
      <c r="T1490" s="531" t="str">
        <f t="shared" si="622"/>
        <v/>
      </c>
      <c r="U1490" s="533">
        <f t="shared" si="623"/>
        <v>0</v>
      </c>
      <c r="V1490" s="531" t="str">
        <f t="shared" si="624"/>
        <v/>
      </c>
      <c r="W1490" s="531" t="str">
        <f t="shared" si="625"/>
        <v/>
      </c>
      <c r="X1490" s="534" t="str">
        <f t="shared" si="626"/>
        <v/>
      </c>
      <c r="Y1490" s="535" t="str">
        <f>IF($A1490="","",IF($I1490="weekly",$A1490+7,EDATE($A1490,VLOOKUP($I1490,Ref!$B$24:$C$29,2,0))))</f>
        <v/>
      </c>
      <c r="Z1490" s="536" t="str">
        <f t="shared" si="627"/>
        <v/>
      </c>
      <c r="AA1490" s="531">
        <f t="shared" si="628"/>
        <v>0</v>
      </c>
      <c r="AB1490" s="535" t="str">
        <f t="shared" si="616"/>
        <v/>
      </c>
      <c r="AC1490" s="537" t="str">
        <f t="shared" si="617"/>
        <v/>
      </c>
      <c r="AD1490" s="538" t="str">
        <f t="shared" ca="1" si="618"/>
        <v/>
      </c>
      <c r="AE1490" s="537">
        <f t="shared" ca="1" si="619"/>
        <v>0</v>
      </c>
      <c r="AF1490" s="539" t="str">
        <f t="shared" ca="1" si="629"/>
        <v/>
      </c>
      <c r="AG1490" s="531" t="str">
        <f t="shared" ca="1" si="630"/>
        <v/>
      </c>
      <c r="AH1490" s="531" t="str">
        <f t="shared" ca="1" si="631"/>
        <v/>
      </c>
      <c r="AI1490" s="531" t="str">
        <f t="shared" ca="1" si="632"/>
        <v/>
      </c>
      <c r="AJ1490" s="531" t="str">
        <f t="shared" si="633"/>
        <v/>
      </c>
      <c r="AK1490" s="540">
        <f>SUMIFS('Live Collections'!$S:$S,'Live Collections'!$D:$D,Disbursements!B1490,'Live Collections'!$G:$G,Disbursements!C1490)</f>
        <v>0</v>
      </c>
      <c r="AL1490" s="540">
        <f>SUMIFS('Live Collections'!$T:$T,'Live Collections'!$D:$D,Disbursements!B1490,'Live Collections'!$G:$G,Disbursements!C1490)</f>
        <v>0</v>
      </c>
      <c r="AM1490" s="541">
        <f t="shared" si="634"/>
        <v>0</v>
      </c>
      <c r="AN1490" s="542" t="str">
        <f t="shared" si="635"/>
        <v/>
      </c>
      <c r="AO1490" s="542" t="str">
        <f t="shared" si="636"/>
        <v/>
      </c>
      <c r="AP1490" s="543" t="str">
        <f t="shared" si="637"/>
        <v/>
      </c>
      <c r="AQ1490" s="544" t="str">
        <f t="shared" si="638"/>
        <v/>
      </c>
      <c r="AR1490" s="545">
        <f t="shared" si="639"/>
        <v>0</v>
      </c>
      <c r="AS1490" s="545">
        <f>IFERROR(CEILING($AR1490*VLOOKUP($I1490,Ref!$B$23:$E$29,4,0),1),0)</f>
        <v>0</v>
      </c>
      <c r="AT1490" s="545" t="str">
        <f>IF(A1490="","",IF(AP1490&lt;=1,"Cleared",IF(AS1490=0,"Clean",VLOOKUP($AS1490,Ref!$G$23:$H$28,2))))</f>
        <v/>
      </c>
      <c r="AU1490" s="546" t="str">
        <f t="shared" si="640"/>
        <v/>
      </c>
    </row>
    <row r="1491" spans="1:47" ht="14.25" hidden="1" customHeight="1" x14ac:dyDescent="0.15">
      <c r="A1491" s="575"/>
      <c r="B1491" s="548"/>
      <c r="C1491" s="548"/>
      <c r="D1491" s="548"/>
      <c r="E1491" s="583"/>
      <c r="F1491" s="584"/>
      <c r="G1491" s="548"/>
      <c r="H1491" s="550"/>
      <c r="I1491" s="560"/>
      <c r="J1491" s="548"/>
      <c r="K1491" s="528" t="str">
        <f>IFERROR(VLOOKUP($B1491,'Clients-Live'!$A:$C,3,0),"")</f>
        <v/>
      </c>
      <c r="L1491" s="528">
        <f>IF(E1491="STL",Pricing!$D$38,IF(A1491="",0,IF(A1491&lt;Pricing!$C$25,Pricing!$D$25,VLOOKUP(Disbursements!$F1491,Pricing!$B$29:$D$32,3))))</f>
        <v>0</v>
      </c>
      <c r="M1491" s="528">
        <f>IF(E1491="STL",0,IF(F1491&gt;0,Pricing!$D$21,0))</f>
        <v>0</v>
      </c>
      <c r="N1491" s="529">
        <f>IF(E1491="STL",F1491*Pricing!$D$40,IF(A1491&lt;=Pricing!$C$4,0,IF(AND(A1491&gt;Pricing!$C$4,Disbursements!A1491&lt;=Pricing!$C$5),F1491*Pricing!$E$5,IF(AND(A1491&gt;Pricing!$C$5,Disbursements!A1491&lt;=Pricing!$C$7),VLOOKUP(F1491,Pricing!$D$7:$E$8,2)*Disbursements!F1491,F1491*Pricing!$E$9))))</f>
        <v>0</v>
      </c>
      <c r="O1491" s="528">
        <f>IF(E1491="STL",0,IF($F1491&gt;0,$F1491*Pricing!$D$17,0))</f>
        <v>0</v>
      </c>
      <c r="P1491" s="530" t="str">
        <f t="shared" si="620"/>
        <v/>
      </c>
      <c r="Q1491" s="531" t="str">
        <f>IF($A1491="","",$G1491/VLOOKUP($I1491,Ref!$B$23:$D$29,2,0))</f>
        <v/>
      </c>
      <c r="R1491" s="530" t="str">
        <f t="shared" si="621"/>
        <v/>
      </c>
      <c r="S1491" s="532" t="str">
        <f t="shared" si="615"/>
        <v/>
      </c>
      <c r="T1491" s="531" t="str">
        <f t="shared" si="622"/>
        <v/>
      </c>
      <c r="U1491" s="533">
        <f t="shared" si="623"/>
        <v>0</v>
      </c>
      <c r="V1491" s="531" t="str">
        <f t="shared" si="624"/>
        <v/>
      </c>
      <c r="W1491" s="531" t="str">
        <f t="shared" si="625"/>
        <v/>
      </c>
      <c r="X1491" s="534" t="str">
        <f t="shared" si="626"/>
        <v/>
      </c>
      <c r="Y1491" s="535" t="str">
        <f>IF($A1491="","",IF($I1491="weekly",$A1491+7,EDATE($A1491,VLOOKUP($I1491,Ref!$B$24:$C$29,2,0))))</f>
        <v/>
      </c>
      <c r="Z1491" s="536" t="str">
        <f t="shared" si="627"/>
        <v/>
      </c>
      <c r="AA1491" s="531">
        <f t="shared" si="628"/>
        <v>0</v>
      </c>
      <c r="AB1491" s="535" t="str">
        <f t="shared" si="616"/>
        <v/>
      </c>
      <c r="AC1491" s="537" t="str">
        <f t="shared" si="617"/>
        <v/>
      </c>
      <c r="AD1491" s="538" t="str">
        <f t="shared" ca="1" si="618"/>
        <v/>
      </c>
      <c r="AE1491" s="537">
        <f t="shared" ca="1" si="619"/>
        <v>0</v>
      </c>
      <c r="AF1491" s="539" t="str">
        <f t="shared" ca="1" si="629"/>
        <v/>
      </c>
      <c r="AG1491" s="531" t="str">
        <f t="shared" ca="1" si="630"/>
        <v/>
      </c>
      <c r="AH1491" s="531" t="str">
        <f t="shared" ca="1" si="631"/>
        <v/>
      </c>
      <c r="AI1491" s="531" t="str">
        <f t="shared" ca="1" si="632"/>
        <v/>
      </c>
      <c r="AJ1491" s="531" t="str">
        <f t="shared" si="633"/>
        <v/>
      </c>
      <c r="AK1491" s="540">
        <f>SUMIFS('Live Collections'!$S:$S,'Live Collections'!$D:$D,Disbursements!B1491,'Live Collections'!$G:$G,Disbursements!C1491)</f>
        <v>0</v>
      </c>
      <c r="AL1491" s="540">
        <f>SUMIFS('Live Collections'!$T:$T,'Live Collections'!$D:$D,Disbursements!B1491,'Live Collections'!$G:$G,Disbursements!C1491)</f>
        <v>0</v>
      </c>
      <c r="AM1491" s="541">
        <f t="shared" si="634"/>
        <v>0</v>
      </c>
      <c r="AN1491" s="542" t="str">
        <f t="shared" si="635"/>
        <v/>
      </c>
      <c r="AO1491" s="542" t="str">
        <f t="shared" si="636"/>
        <v/>
      </c>
      <c r="AP1491" s="543" t="str">
        <f t="shared" si="637"/>
        <v/>
      </c>
      <c r="AQ1491" s="544" t="str">
        <f t="shared" si="638"/>
        <v/>
      </c>
      <c r="AR1491" s="545">
        <f t="shared" si="639"/>
        <v>0</v>
      </c>
      <c r="AS1491" s="545">
        <f>IFERROR(CEILING($AR1491*VLOOKUP($I1491,Ref!$B$23:$E$29,4,0),1),0)</f>
        <v>0</v>
      </c>
      <c r="AT1491" s="545" t="str">
        <f>IF(A1491="","",IF(AP1491&lt;=1,"Cleared",IF(AS1491=0,"Clean",VLOOKUP($AS1491,Ref!$G$23:$H$28,2))))</f>
        <v/>
      </c>
      <c r="AU1491" s="546" t="str">
        <f t="shared" si="640"/>
        <v/>
      </c>
    </row>
    <row r="1492" spans="1:47" ht="14.25" hidden="1" customHeight="1" x14ac:dyDescent="0.15">
      <c r="A1492" s="575"/>
      <c r="B1492" s="548"/>
      <c r="C1492" s="548"/>
      <c r="D1492" s="548"/>
      <c r="E1492" s="583"/>
      <c r="F1492" s="584"/>
      <c r="G1492" s="548"/>
      <c r="H1492" s="550"/>
      <c r="I1492" s="560"/>
      <c r="J1492" s="548"/>
      <c r="K1492" s="528" t="str">
        <f>IFERROR(VLOOKUP($B1492,'Clients-Live'!$A:$C,3,0),"")</f>
        <v/>
      </c>
      <c r="L1492" s="528">
        <f>IF(E1492="STL",Pricing!$D$38,IF(A1492="",0,IF(A1492&lt;Pricing!$C$25,Pricing!$D$25,VLOOKUP(Disbursements!$F1492,Pricing!$B$29:$D$32,3))))</f>
        <v>0</v>
      </c>
      <c r="M1492" s="528">
        <f>IF(E1492="STL",0,IF(F1492&gt;0,Pricing!$D$21,0))</f>
        <v>0</v>
      </c>
      <c r="N1492" s="529">
        <f>IF(E1492="STL",F1492*Pricing!$D$40,IF(A1492&lt;=Pricing!$C$4,0,IF(AND(A1492&gt;Pricing!$C$4,Disbursements!A1492&lt;=Pricing!$C$5),F1492*Pricing!$E$5,IF(AND(A1492&gt;Pricing!$C$5,Disbursements!A1492&lt;=Pricing!$C$7),VLOOKUP(F1492,Pricing!$D$7:$E$8,2)*Disbursements!F1492,F1492*Pricing!$E$9))))</f>
        <v>0</v>
      </c>
      <c r="O1492" s="528">
        <f>IF(E1492="STL",0,IF($F1492&gt;0,$F1492*Pricing!$D$17,0))</f>
        <v>0</v>
      </c>
      <c r="P1492" s="530" t="str">
        <f t="shared" si="620"/>
        <v/>
      </c>
      <c r="Q1492" s="531" t="str">
        <f>IF($A1492="","",$G1492/VLOOKUP($I1492,Ref!$B$23:$D$29,2,0))</f>
        <v/>
      </c>
      <c r="R1492" s="530" t="str">
        <f t="shared" si="621"/>
        <v/>
      </c>
      <c r="S1492" s="532" t="str">
        <f t="shared" si="615"/>
        <v/>
      </c>
      <c r="T1492" s="531" t="str">
        <f t="shared" si="622"/>
        <v/>
      </c>
      <c r="U1492" s="533">
        <f t="shared" si="623"/>
        <v>0</v>
      </c>
      <c r="V1492" s="531" t="str">
        <f t="shared" si="624"/>
        <v/>
      </c>
      <c r="W1492" s="531" t="str">
        <f t="shared" si="625"/>
        <v/>
      </c>
      <c r="X1492" s="534" t="str">
        <f t="shared" si="626"/>
        <v/>
      </c>
      <c r="Y1492" s="535" t="str">
        <f>IF($A1492="","",IF($I1492="weekly",$A1492+7,EDATE($A1492,VLOOKUP($I1492,Ref!$B$24:$C$29,2,0))))</f>
        <v/>
      </c>
      <c r="Z1492" s="536" t="str">
        <f t="shared" si="627"/>
        <v/>
      </c>
      <c r="AA1492" s="531">
        <f t="shared" si="628"/>
        <v>0</v>
      </c>
      <c r="AB1492" s="535" t="str">
        <f t="shared" si="616"/>
        <v/>
      </c>
      <c r="AC1492" s="537" t="str">
        <f t="shared" si="617"/>
        <v/>
      </c>
      <c r="AD1492" s="538" t="str">
        <f t="shared" ca="1" si="618"/>
        <v/>
      </c>
      <c r="AE1492" s="537">
        <f t="shared" ca="1" si="619"/>
        <v>0</v>
      </c>
      <c r="AF1492" s="539" t="str">
        <f t="shared" ca="1" si="629"/>
        <v/>
      </c>
      <c r="AG1492" s="531" t="str">
        <f t="shared" ca="1" si="630"/>
        <v/>
      </c>
      <c r="AH1492" s="531" t="str">
        <f t="shared" ca="1" si="631"/>
        <v/>
      </c>
      <c r="AI1492" s="531" t="str">
        <f t="shared" ca="1" si="632"/>
        <v/>
      </c>
      <c r="AJ1492" s="531" t="str">
        <f t="shared" si="633"/>
        <v/>
      </c>
      <c r="AK1492" s="540">
        <f>SUMIFS('Live Collections'!$S:$S,'Live Collections'!$D:$D,Disbursements!B1492,'Live Collections'!$G:$G,Disbursements!C1492)</f>
        <v>0</v>
      </c>
      <c r="AL1492" s="540">
        <f>SUMIFS('Live Collections'!$T:$T,'Live Collections'!$D:$D,Disbursements!B1492,'Live Collections'!$G:$G,Disbursements!C1492)</f>
        <v>0</v>
      </c>
      <c r="AM1492" s="541">
        <f t="shared" si="634"/>
        <v>0</v>
      </c>
      <c r="AN1492" s="542" t="str">
        <f t="shared" si="635"/>
        <v/>
      </c>
      <c r="AO1492" s="542" t="str">
        <f t="shared" si="636"/>
        <v/>
      </c>
      <c r="AP1492" s="543" t="str">
        <f t="shared" si="637"/>
        <v/>
      </c>
      <c r="AQ1492" s="544" t="str">
        <f t="shared" si="638"/>
        <v/>
      </c>
      <c r="AR1492" s="545">
        <f t="shared" si="639"/>
        <v>0</v>
      </c>
      <c r="AS1492" s="545">
        <f>IFERROR(CEILING($AR1492*VLOOKUP($I1492,Ref!$B$23:$E$29,4,0),1),0)</f>
        <v>0</v>
      </c>
      <c r="AT1492" s="545" t="str">
        <f>IF(A1492="","",IF(AP1492&lt;=1,"Cleared",IF(AS1492=0,"Clean",VLOOKUP($AS1492,Ref!$G$23:$H$28,2))))</f>
        <v/>
      </c>
      <c r="AU1492" s="546" t="str">
        <f t="shared" si="640"/>
        <v/>
      </c>
    </row>
    <row r="1493" spans="1:47" ht="14.25" hidden="1" customHeight="1" x14ac:dyDescent="0.15">
      <c r="A1493" s="575"/>
      <c r="B1493" s="548"/>
      <c r="C1493" s="548"/>
      <c r="D1493" s="548"/>
      <c r="E1493" s="583"/>
      <c r="F1493" s="584"/>
      <c r="G1493" s="548"/>
      <c r="H1493" s="550"/>
      <c r="I1493" s="560"/>
      <c r="J1493" s="548"/>
      <c r="K1493" s="528" t="str">
        <f>IFERROR(VLOOKUP($B1493,'Clients-Live'!$A:$C,3,0),"")</f>
        <v/>
      </c>
      <c r="L1493" s="528">
        <f>IF(E1493="STL",Pricing!$D$38,IF(A1493="",0,IF(A1493&lt;Pricing!$C$25,Pricing!$D$25,VLOOKUP(Disbursements!$F1493,Pricing!$B$29:$D$32,3))))</f>
        <v>0</v>
      </c>
      <c r="M1493" s="528">
        <f>IF(E1493="STL",0,IF(F1493&gt;0,Pricing!$D$21,0))</f>
        <v>0</v>
      </c>
      <c r="N1493" s="529">
        <f>IF(E1493="STL",F1493*Pricing!$D$40,IF(A1493&lt;=Pricing!$C$4,0,IF(AND(A1493&gt;Pricing!$C$4,Disbursements!A1493&lt;=Pricing!$C$5),F1493*Pricing!$E$5,IF(AND(A1493&gt;Pricing!$C$5,Disbursements!A1493&lt;=Pricing!$C$7),VLOOKUP(F1493,Pricing!$D$7:$E$8,2)*Disbursements!F1493,F1493*Pricing!$E$9))))</f>
        <v>0</v>
      </c>
      <c r="O1493" s="528">
        <f>IF(E1493="STL",0,IF($F1493&gt;0,$F1493*Pricing!$D$17,0))</f>
        <v>0</v>
      </c>
      <c r="P1493" s="530" t="str">
        <f t="shared" si="620"/>
        <v/>
      </c>
      <c r="Q1493" s="531" t="str">
        <f>IF($A1493="","",$G1493/VLOOKUP($I1493,Ref!$B$23:$D$29,2,0))</f>
        <v/>
      </c>
      <c r="R1493" s="530" t="str">
        <f t="shared" si="621"/>
        <v/>
      </c>
      <c r="S1493" s="532" t="str">
        <f t="shared" si="615"/>
        <v/>
      </c>
      <c r="T1493" s="531" t="str">
        <f t="shared" si="622"/>
        <v/>
      </c>
      <c r="U1493" s="533">
        <f t="shared" si="623"/>
        <v>0</v>
      </c>
      <c r="V1493" s="531" t="str">
        <f t="shared" si="624"/>
        <v/>
      </c>
      <c r="W1493" s="531" t="str">
        <f t="shared" si="625"/>
        <v/>
      </c>
      <c r="X1493" s="534" t="str">
        <f t="shared" si="626"/>
        <v/>
      </c>
      <c r="Y1493" s="535" t="str">
        <f>IF($A1493="","",IF($I1493="weekly",$A1493+7,EDATE($A1493,VLOOKUP($I1493,Ref!$B$24:$C$29,2,0))))</f>
        <v/>
      </c>
      <c r="Z1493" s="536" t="str">
        <f t="shared" si="627"/>
        <v/>
      </c>
      <c r="AA1493" s="531">
        <f t="shared" si="628"/>
        <v>0</v>
      </c>
      <c r="AB1493" s="535" t="str">
        <f t="shared" si="616"/>
        <v/>
      </c>
      <c r="AC1493" s="537" t="str">
        <f t="shared" si="617"/>
        <v/>
      </c>
      <c r="AD1493" s="538" t="str">
        <f t="shared" ca="1" si="618"/>
        <v/>
      </c>
      <c r="AE1493" s="537">
        <f t="shared" ca="1" si="619"/>
        <v>0</v>
      </c>
      <c r="AF1493" s="539" t="str">
        <f t="shared" ca="1" si="629"/>
        <v/>
      </c>
      <c r="AG1493" s="531" t="str">
        <f t="shared" ca="1" si="630"/>
        <v/>
      </c>
      <c r="AH1493" s="531" t="str">
        <f t="shared" ca="1" si="631"/>
        <v/>
      </c>
      <c r="AI1493" s="531" t="str">
        <f t="shared" ca="1" si="632"/>
        <v/>
      </c>
      <c r="AJ1493" s="531" t="str">
        <f t="shared" si="633"/>
        <v/>
      </c>
      <c r="AK1493" s="540">
        <f>SUMIFS('Live Collections'!$S:$S,'Live Collections'!$D:$D,Disbursements!B1493,'Live Collections'!$G:$G,Disbursements!C1493)</f>
        <v>0</v>
      </c>
      <c r="AL1493" s="540">
        <f>SUMIFS('Live Collections'!$T:$T,'Live Collections'!$D:$D,Disbursements!B1493,'Live Collections'!$G:$G,Disbursements!C1493)</f>
        <v>0</v>
      </c>
      <c r="AM1493" s="541">
        <f t="shared" si="634"/>
        <v>0</v>
      </c>
      <c r="AN1493" s="542" t="str">
        <f t="shared" si="635"/>
        <v/>
      </c>
      <c r="AO1493" s="542" t="str">
        <f t="shared" si="636"/>
        <v/>
      </c>
      <c r="AP1493" s="543" t="str">
        <f t="shared" si="637"/>
        <v/>
      </c>
      <c r="AQ1493" s="544" t="str">
        <f t="shared" si="638"/>
        <v/>
      </c>
      <c r="AR1493" s="545">
        <f t="shared" si="639"/>
        <v>0</v>
      </c>
      <c r="AS1493" s="545">
        <f>IFERROR(CEILING($AR1493*VLOOKUP($I1493,Ref!$B$23:$E$29,4,0),1),0)</f>
        <v>0</v>
      </c>
      <c r="AT1493" s="545" t="str">
        <f>IF(A1493="","",IF(AP1493&lt;=1,"Cleared",IF(AS1493=0,"Clean",VLOOKUP($AS1493,Ref!$G$23:$H$28,2))))</f>
        <v/>
      </c>
      <c r="AU1493" s="546" t="str">
        <f t="shared" si="640"/>
        <v/>
      </c>
    </row>
    <row r="1494" spans="1:47" ht="14.25" hidden="1" customHeight="1" x14ac:dyDescent="0.15">
      <c r="A1494" s="575"/>
      <c r="B1494" s="548"/>
      <c r="C1494" s="548"/>
      <c r="D1494" s="548"/>
      <c r="E1494" s="583"/>
      <c r="F1494" s="584"/>
      <c r="G1494" s="548"/>
      <c r="H1494" s="550"/>
      <c r="I1494" s="560"/>
      <c r="J1494" s="548"/>
      <c r="K1494" s="528" t="str">
        <f>IFERROR(VLOOKUP($B1494,'Clients-Live'!$A:$C,3,0),"")</f>
        <v/>
      </c>
      <c r="L1494" s="528">
        <f>IF(E1494="STL",Pricing!$D$38,IF(A1494="",0,IF(A1494&lt;Pricing!$C$25,Pricing!$D$25,VLOOKUP(Disbursements!$F1494,Pricing!$B$29:$D$32,3))))</f>
        <v>0</v>
      </c>
      <c r="M1494" s="528">
        <f>IF(E1494="STL",0,IF(F1494&gt;0,Pricing!$D$21,0))</f>
        <v>0</v>
      </c>
      <c r="N1494" s="529">
        <f>IF(E1494="STL",F1494*Pricing!$D$40,IF(A1494&lt;=Pricing!$C$4,0,IF(AND(A1494&gt;Pricing!$C$4,Disbursements!A1494&lt;=Pricing!$C$5),F1494*Pricing!$E$5,IF(AND(A1494&gt;Pricing!$C$5,Disbursements!A1494&lt;=Pricing!$C$7),VLOOKUP(F1494,Pricing!$D$7:$E$8,2)*Disbursements!F1494,F1494*Pricing!$E$9))))</f>
        <v>0</v>
      </c>
      <c r="O1494" s="528">
        <f>IF(E1494="STL",0,IF($F1494&gt;0,$F1494*Pricing!$D$17,0))</f>
        <v>0</v>
      </c>
      <c r="P1494" s="530" t="str">
        <f t="shared" si="620"/>
        <v/>
      </c>
      <c r="Q1494" s="531" t="str">
        <f>IF($A1494="","",$G1494/VLOOKUP($I1494,Ref!$B$23:$D$29,2,0))</f>
        <v/>
      </c>
      <c r="R1494" s="530" t="str">
        <f t="shared" si="621"/>
        <v/>
      </c>
      <c r="S1494" s="532" t="str">
        <f t="shared" si="615"/>
        <v/>
      </c>
      <c r="T1494" s="531" t="str">
        <f t="shared" si="622"/>
        <v/>
      </c>
      <c r="U1494" s="533">
        <f t="shared" si="623"/>
        <v>0</v>
      </c>
      <c r="V1494" s="531" t="str">
        <f t="shared" si="624"/>
        <v/>
      </c>
      <c r="W1494" s="531" t="str">
        <f t="shared" si="625"/>
        <v/>
      </c>
      <c r="X1494" s="534" t="str">
        <f t="shared" si="626"/>
        <v/>
      </c>
      <c r="Y1494" s="535" t="str">
        <f>IF($A1494="","",IF($I1494="weekly",$A1494+7,EDATE($A1494,VLOOKUP($I1494,Ref!$B$24:$C$29,2,0))))</f>
        <v/>
      </c>
      <c r="Z1494" s="536" t="str">
        <f t="shared" si="627"/>
        <v/>
      </c>
      <c r="AA1494" s="531">
        <f t="shared" si="628"/>
        <v>0</v>
      </c>
      <c r="AB1494" s="535" t="str">
        <f t="shared" si="616"/>
        <v/>
      </c>
      <c r="AC1494" s="537" t="str">
        <f t="shared" si="617"/>
        <v/>
      </c>
      <c r="AD1494" s="538" t="str">
        <f t="shared" ca="1" si="618"/>
        <v/>
      </c>
      <c r="AE1494" s="537">
        <f t="shared" ca="1" si="619"/>
        <v>0</v>
      </c>
      <c r="AF1494" s="539" t="str">
        <f t="shared" ca="1" si="629"/>
        <v/>
      </c>
      <c r="AG1494" s="531" t="str">
        <f t="shared" ca="1" si="630"/>
        <v/>
      </c>
      <c r="AH1494" s="531" t="str">
        <f t="shared" ca="1" si="631"/>
        <v/>
      </c>
      <c r="AI1494" s="531" t="str">
        <f t="shared" ca="1" si="632"/>
        <v/>
      </c>
      <c r="AJ1494" s="531" t="str">
        <f t="shared" si="633"/>
        <v/>
      </c>
      <c r="AK1494" s="540">
        <f>SUMIFS('Live Collections'!$S:$S,'Live Collections'!$D:$D,Disbursements!B1494,'Live Collections'!$G:$G,Disbursements!C1494)</f>
        <v>0</v>
      </c>
      <c r="AL1494" s="540">
        <f>SUMIFS('Live Collections'!$T:$T,'Live Collections'!$D:$D,Disbursements!B1494,'Live Collections'!$G:$G,Disbursements!C1494)</f>
        <v>0</v>
      </c>
      <c r="AM1494" s="541">
        <f t="shared" si="634"/>
        <v>0</v>
      </c>
      <c r="AN1494" s="542" t="str">
        <f t="shared" si="635"/>
        <v/>
      </c>
      <c r="AO1494" s="542" t="str">
        <f t="shared" si="636"/>
        <v/>
      </c>
      <c r="AP1494" s="543" t="str">
        <f t="shared" si="637"/>
        <v/>
      </c>
      <c r="AQ1494" s="544" t="str">
        <f t="shared" si="638"/>
        <v/>
      </c>
      <c r="AR1494" s="545">
        <f t="shared" si="639"/>
        <v>0</v>
      </c>
      <c r="AS1494" s="545">
        <f>IFERROR(CEILING($AR1494*VLOOKUP($I1494,Ref!$B$23:$E$29,4,0),1),0)</f>
        <v>0</v>
      </c>
      <c r="AT1494" s="545" t="str">
        <f>IF(A1494="","",IF(AP1494&lt;=1,"Cleared",IF(AS1494=0,"Clean",VLOOKUP($AS1494,Ref!$G$23:$H$28,2))))</f>
        <v/>
      </c>
      <c r="AU1494" s="546" t="str">
        <f t="shared" si="640"/>
        <v/>
      </c>
    </row>
    <row r="1495" spans="1:47" ht="14.25" hidden="1" customHeight="1" x14ac:dyDescent="0.15">
      <c r="A1495" s="575"/>
      <c r="B1495" s="548"/>
      <c r="C1495" s="548"/>
      <c r="D1495" s="548"/>
      <c r="E1495" s="583"/>
      <c r="F1495" s="584"/>
      <c r="G1495" s="548"/>
      <c r="H1495" s="550"/>
      <c r="I1495" s="560"/>
      <c r="J1495" s="548"/>
      <c r="K1495" s="528" t="str">
        <f>IFERROR(VLOOKUP($B1495,'Clients-Live'!$A:$C,3,0),"")</f>
        <v/>
      </c>
      <c r="L1495" s="528">
        <f>IF(E1495="STL",Pricing!$D$38,IF(A1495="",0,IF(A1495&lt;Pricing!$C$25,Pricing!$D$25,VLOOKUP(Disbursements!$F1495,Pricing!$B$29:$D$32,3))))</f>
        <v>0</v>
      </c>
      <c r="M1495" s="528">
        <f>IF(E1495="STL",0,IF(F1495&gt;0,Pricing!$D$21,0))</f>
        <v>0</v>
      </c>
      <c r="N1495" s="529">
        <f>IF(E1495="STL",F1495*Pricing!$D$40,IF(A1495&lt;=Pricing!$C$4,0,IF(AND(A1495&gt;Pricing!$C$4,Disbursements!A1495&lt;=Pricing!$C$5),F1495*Pricing!$E$5,IF(AND(A1495&gt;Pricing!$C$5,Disbursements!A1495&lt;=Pricing!$C$7),VLOOKUP(F1495,Pricing!$D$7:$E$8,2)*Disbursements!F1495,F1495*Pricing!$E$9))))</f>
        <v>0</v>
      </c>
      <c r="O1495" s="528">
        <f>IF(E1495="STL",0,IF($F1495&gt;0,$F1495*Pricing!$D$17,0))</f>
        <v>0</v>
      </c>
      <c r="P1495" s="530" t="str">
        <f t="shared" si="620"/>
        <v/>
      </c>
      <c r="Q1495" s="531" t="str">
        <f>IF($A1495="","",$G1495/VLOOKUP($I1495,Ref!$B$23:$D$29,2,0))</f>
        <v/>
      </c>
      <c r="R1495" s="530" t="str">
        <f t="shared" si="621"/>
        <v/>
      </c>
      <c r="S1495" s="532" t="str">
        <f t="shared" si="615"/>
        <v/>
      </c>
      <c r="T1495" s="531" t="str">
        <f t="shared" si="622"/>
        <v/>
      </c>
      <c r="U1495" s="533">
        <f t="shared" si="623"/>
        <v>0</v>
      </c>
      <c r="V1495" s="531" t="str">
        <f t="shared" si="624"/>
        <v/>
      </c>
      <c r="W1495" s="531" t="str">
        <f t="shared" si="625"/>
        <v/>
      </c>
      <c r="X1495" s="534" t="str">
        <f t="shared" si="626"/>
        <v/>
      </c>
      <c r="Y1495" s="535" t="str">
        <f>IF($A1495="","",IF($I1495="weekly",$A1495+7,EDATE($A1495,VLOOKUP($I1495,Ref!$B$24:$C$29,2,0))))</f>
        <v/>
      </c>
      <c r="Z1495" s="536" t="str">
        <f t="shared" si="627"/>
        <v/>
      </c>
      <c r="AA1495" s="531">
        <f t="shared" si="628"/>
        <v>0</v>
      </c>
      <c r="AB1495" s="535" t="str">
        <f t="shared" si="616"/>
        <v/>
      </c>
      <c r="AC1495" s="537" t="str">
        <f t="shared" si="617"/>
        <v/>
      </c>
      <c r="AD1495" s="538" t="str">
        <f t="shared" ca="1" si="618"/>
        <v/>
      </c>
      <c r="AE1495" s="537">
        <f t="shared" ca="1" si="619"/>
        <v>0</v>
      </c>
      <c r="AF1495" s="539" t="str">
        <f t="shared" ca="1" si="629"/>
        <v/>
      </c>
      <c r="AG1495" s="531" t="str">
        <f t="shared" ca="1" si="630"/>
        <v/>
      </c>
      <c r="AH1495" s="531" t="str">
        <f t="shared" ca="1" si="631"/>
        <v/>
      </c>
      <c r="AI1495" s="531" t="str">
        <f t="shared" ca="1" si="632"/>
        <v/>
      </c>
      <c r="AJ1495" s="531" t="str">
        <f t="shared" si="633"/>
        <v/>
      </c>
      <c r="AK1495" s="540">
        <f>SUMIFS('Live Collections'!$S:$S,'Live Collections'!$D:$D,Disbursements!B1495,'Live Collections'!$G:$G,Disbursements!C1495)</f>
        <v>0</v>
      </c>
      <c r="AL1495" s="540">
        <f>SUMIFS('Live Collections'!$T:$T,'Live Collections'!$D:$D,Disbursements!B1495,'Live Collections'!$G:$G,Disbursements!C1495)</f>
        <v>0</v>
      </c>
      <c r="AM1495" s="541">
        <f t="shared" si="634"/>
        <v>0</v>
      </c>
      <c r="AN1495" s="542" t="str">
        <f t="shared" si="635"/>
        <v/>
      </c>
      <c r="AO1495" s="542" t="str">
        <f t="shared" si="636"/>
        <v/>
      </c>
      <c r="AP1495" s="543" t="str">
        <f t="shared" si="637"/>
        <v/>
      </c>
      <c r="AQ1495" s="544" t="str">
        <f t="shared" si="638"/>
        <v/>
      </c>
      <c r="AR1495" s="545">
        <f t="shared" si="639"/>
        <v>0</v>
      </c>
      <c r="AS1495" s="545">
        <f>IFERROR(CEILING($AR1495*VLOOKUP($I1495,Ref!$B$23:$E$29,4,0),1),0)</f>
        <v>0</v>
      </c>
      <c r="AT1495" s="545" t="str">
        <f>IF(A1495="","",IF(AP1495&lt;=1,"Cleared",IF(AS1495=0,"Clean",VLOOKUP($AS1495,Ref!$G$23:$H$28,2))))</f>
        <v/>
      </c>
      <c r="AU1495" s="546" t="str">
        <f t="shared" si="640"/>
        <v/>
      </c>
    </row>
    <row r="1496" spans="1:47" ht="14.25" hidden="1" customHeight="1" x14ac:dyDescent="0.15">
      <c r="A1496" s="575"/>
      <c r="B1496" s="548"/>
      <c r="C1496" s="548"/>
      <c r="D1496" s="548"/>
      <c r="E1496" s="583"/>
      <c r="F1496" s="584"/>
      <c r="G1496" s="548"/>
      <c r="H1496" s="550"/>
      <c r="I1496" s="560"/>
      <c r="J1496" s="548"/>
      <c r="K1496" s="528" t="str">
        <f>IFERROR(VLOOKUP($B1496,'Clients-Live'!$A:$C,3,0),"")</f>
        <v/>
      </c>
      <c r="L1496" s="528">
        <f>IF(E1496="STL",Pricing!$D$38,IF(A1496="",0,IF(A1496&lt;Pricing!$C$25,Pricing!$D$25,VLOOKUP(Disbursements!$F1496,Pricing!$B$29:$D$32,3))))</f>
        <v>0</v>
      </c>
      <c r="M1496" s="528">
        <f>IF(E1496="STL",0,IF(F1496&gt;0,Pricing!$D$21,0))</f>
        <v>0</v>
      </c>
      <c r="N1496" s="529">
        <f>IF(E1496="STL",F1496*Pricing!$D$40,IF(A1496&lt;=Pricing!$C$4,0,IF(AND(A1496&gt;Pricing!$C$4,Disbursements!A1496&lt;=Pricing!$C$5),F1496*Pricing!$E$5,IF(AND(A1496&gt;Pricing!$C$5,Disbursements!A1496&lt;=Pricing!$C$7),VLOOKUP(F1496,Pricing!$D$7:$E$8,2)*Disbursements!F1496,F1496*Pricing!$E$9))))</f>
        <v>0</v>
      </c>
      <c r="O1496" s="528">
        <f>IF(E1496="STL",0,IF($F1496&gt;0,$F1496*Pricing!$D$17,0))</f>
        <v>0</v>
      </c>
      <c r="P1496" s="530" t="str">
        <f t="shared" si="620"/>
        <v/>
      </c>
      <c r="Q1496" s="531" t="str">
        <f>IF($A1496="","",$G1496/VLOOKUP($I1496,Ref!$B$23:$D$29,2,0))</f>
        <v/>
      </c>
      <c r="R1496" s="530" t="str">
        <f t="shared" si="621"/>
        <v/>
      </c>
      <c r="S1496" s="532" t="str">
        <f t="shared" si="615"/>
        <v/>
      </c>
      <c r="T1496" s="531" t="str">
        <f t="shared" si="622"/>
        <v/>
      </c>
      <c r="U1496" s="533">
        <f t="shared" si="623"/>
        <v>0</v>
      </c>
      <c r="V1496" s="531" t="str">
        <f t="shared" si="624"/>
        <v/>
      </c>
      <c r="W1496" s="531" t="str">
        <f t="shared" si="625"/>
        <v/>
      </c>
      <c r="X1496" s="534" t="str">
        <f t="shared" si="626"/>
        <v/>
      </c>
      <c r="Y1496" s="535" t="str">
        <f>IF($A1496="","",IF($I1496="weekly",$A1496+7,EDATE($A1496,VLOOKUP($I1496,Ref!$B$24:$C$29,2,0))))</f>
        <v/>
      </c>
      <c r="Z1496" s="536" t="str">
        <f t="shared" si="627"/>
        <v/>
      </c>
      <c r="AA1496" s="531">
        <f t="shared" si="628"/>
        <v>0</v>
      </c>
      <c r="AB1496" s="535" t="str">
        <f t="shared" si="616"/>
        <v/>
      </c>
      <c r="AC1496" s="537" t="str">
        <f t="shared" si="617"/>
        <v/>
      </c>
      <c r="AD1496" s="538" t="str">
        <f t="shared" ca="1" si="618"/>
        <v/>
      </c>
      <c r="AE1496" s="537">
        <f t="shared" ca="1" si="619"/>
        <v>0</v>
      </c>
      <c r="AF1496" s="539" t="str">
        <f t="shared" ca="1" si="629"/>
        <v/>
      </c>
      <c r="AG1496" s="531" t="str">
        <f t="shared" ca="1" si="630"/>
        <v/>
      </c>
      <c r="AH1496" s="531" t="str">
        <f t="shared" ca="1" si="631"/>
        <v/>
      </c>
      <c r="AI1496" s="531" t="str">
        <f t="shared" ca="1" si="632"/>
        <v/>
      </c>
      <c r="AJ1496" s="531" t="str">
        <f t="shared" si="633"/>
        <v/>
      </c>
      <c r="AK1496" s="540">
        <f>SUMIFS('Live Collections'!$S:$S,'Live Collections'!$D:$D,Disbursements!B1496,'Live Collections'!$G:$G,Disbursements!C1496)</f>
        <v>0</v>
      </c>
      <c r="AL1496" s="540">
        <f>SUMIFS('Live Collections'!$T:$T,'Live Collections'!$D:$D,Disbursements!B1496,'Live Collections'!$G:$G,Disbursements!C1496)</f>
        <v>0</v>
      </c>
      <c r="AM1496" s="541">
        <f t="shared" si="634"/>
        <v>0</v>
      </c>
      <c r="AN1496" s="542" t="str">
        <f t="shared" si="635"/>
        <v/>
      </c>
      <c r="AO1496" s="542" t="str">
        <f t="shared" si="636"/>
        <v/>
      </c>
      <c r="AP1496" s="543" t="str">
        <f t="shared" si="637"/>
        <v/>
      </c>
      <c r="AQ1496" s="544" t="str">
        <f t="shared" si="638"/>
        <v/>
      </c>
      <c r="AR1496" s="545">
        <f t="shared" si="639"/>
        <v>0</v>
      </c>
      <c r="AS1496" s="545">
        <f>IFERROR(CEILING($AR1496*VLOOKUP($I1496,Ref!$B$23:$E$29,4,0),1),0)</f>
        <v>0</v>
      </c>
      <c r="AT1496" s="545" t="str">
        <f>IF(A1496="","",IF(AP1496&lt;=1,"Cleared",IF(AS1496=0,"Clean",VLOOKUP($AS1496,Ref!$G$23:$H$28,2))))</f>
        <v/>
      </c>
      <c r="AU1496" s="546" t="str">
        <f t="shared" si="640"/>
        <v/>
      </c>
    </row>
    <row r="1497" spans="1:47" ht="14.25" hidden="1" customHeight="1" x14ac:dyDescent="0.15">
      <c r="A1497" s="575"/>
      <c r="B1497" s="548"/>
      <c r="C1497" s="548"/>
      <c r="D1497" s="548"/>
      <c r="E1497" s="583"/>
      <c r="F1497" s="584"/>
      <c r="G1497" s="548"/>
      <c r="H1497" s="550"/>
      <c r="I1497" s="560"/>
      <c r="J1497" s="548"/>
      <c r="K1497" s="528" t="str">
        <f>IFERROR(VLOOKUP($B1497,'Clients-Live'!$A:$C,3,0),"")</f>
        <v/>
      </c>
      <c r="L1497" s="528">
        <f>IF(E1497="STL",Pricing!$D$38,IF(A1497="",0,IF(A1497&lt;Pricing!$C$25,Pricing!$D$25,VLOOKUP(Disbursements!$F1497,Pricing!$B$29:$D$32,3))))</f>
        <v>0</v>
      </c>
      <c r="M1497" s="528">
        <f>IF(E1497="STL",0,IF(F1497&gt;0,Pricing!$D$21,0))</f>
        <v>0</v>
      </c>
      <c r="N1497" s="529">
        <f>IF(E1497="STL",F1497*Pricing!$D$40,IF(A1497&lt;=Pricing!$C$4,0,IF(AND(A1497&gt;Pricing!$C$4,Disbursements!A1497&lt;=Pricing!$C$5),F1497*Pricing!$E$5,IF(AND(A1497&gt;Pricing!$C$5,Disbursements!A1497&lt;=Pricing!$C$7),VLOOKUP(F1497,Pricing!$D$7:$E$8,2)*Disbursements!F1497,F1497*Pricing!$E$9))))</f>
        <v>0</v>
      </c>
      <c r="O1497" s="528">
        <f>IF(E1497="STL",0,IF($F1497&gt;0,$F1497*Pricing!$D$17,0))</f>
        <v>0</v>
      </c>
      <c r="P1497" s="530" t="str">
        <f t="shared" si="620"/>
        <v/>
      </c>
      <c r="Q1497" s="531" t="str">
        <f>IF($A1497="","",$G1497/VLOOKUP($I1497,Ref!$B$23:$D$29,2,0))</f>
        <v/>
      </c>
      <c r="R1497" s="530" t="str">
        <f t="shared" si="621"/>
        <v/>
      </c>
      <c r="S1497" s="532" t="str">
        <f t="shared" si="615"/>
        <v/>
      </c>
      <c r="T1497" s="531" t="str">
        <f t="shared" si="622"/>
        <v/>
      </c>
      <c r="U1497" s="533">
        <f t="shared" si="623"/>
        <v>0</v>
      </c>
      <c r="V1497" s="531" t="str">
        <f t="shared" si="624"/>
        <v/>
      </c>
      <c r="W1497" s="531" t="str">
        <f t="shared" si="625"/>
        <v/>
      </c>
      <c r="X1497" s="534" t="str">
        <f t="shared" si="626"/>
        <v/>
      </c>
      <c r="Y1497" s="535" t="str">
        <f>IF($A1497="","",IF($I1497="weekly",$A1497+7,EDATE($A1497,VLOOKUP($I1497,Ref!$B$24:$C$29,2,0))))</f>
        <v/>
      </c>
      <c r="Z1497" s="536" t="str">
        <f t="shared" si="627"/>
        <v/>
      </c>
      <c r="AA1497" s="531">
        <f t="shared" si="628"/>
        <v>0</v>
      </c>
      <c r="AB1497" s="535" t="str">
        <f t="shared" si="616"/>
        <v/>
      </c>
      <c r="AC1497" s="537" t="str">
        <f t="shared" si="617"/>
        <v/>
      </c>
      <c r="AD1497" s="538" t="str">
        <f t="shared" ca="1" si="618"/>
        <v/>
      </c>
      <c r="AE1497" s="537">
        <f t="shared" ca="1" si="619"/>
        <v>0</v>
      </c>
      <c r="AF1497" s="539" t="str">
        <f t="shared" ca="1" si="629"/>
        <v/>
      </c>
      <c r="AG1497" s="531" t="str">
        <f t="shared" ca="1" si="630"/>
        <v/>
      </c>
      <c r="AH1497" s="531" t="str">
        <f t="shared" ca="1" si="631"/>
        <v/>
      </c>
      <c r="AI1497" s="531" t="str">
        <f t="shared" ca="1" si="632"/>
        <v/>
      </c>
      <c r="AJ1497" s="531" t="str">
        <f t="shared" si="633"/>
        <v/>
      </c>
      <c r="AK1497" s="540">
        <f>SUMIFS('Live Collections'!$S:$S,'Live Collections'!$D:$D,Disbursements!B1497,'Live Collections'!$G:$G,Disbursements!C1497)</f>
        <v>0</v>
      </c>
      <c r="AL1497" s="540">
        <f>SUMIFS('Live Collections'!$T:$T,'Live Collections'!$D:$D,Disbursements!B1497,'Live Collections'!$G:$G,Disbursements!C1497)</f>
        <v>0</v>
      </c>
      <c r="AM1497" s="541">
        <f t="shared" si="634"/>
        <v>0</v>
      </c>
      <c r="AN1497" s="542" t="str">
        <f t="shared" si="635"/>
        <v/>
      </c>
      <c r="AO1497" s="542" t="str">
        <f t="shared" si="636"/>
        <v/>
      </c>
      <c r="AP1497" s="543" t="str">
        <f t="shared" si="637"/>
        <v/>
      </c>
      <c r="AQ1497" s="544" t="str">
        <f t="shared" si="638"/>
        <v/>
      </c>
      <c r="AR1497" s="545">
        <f t="shared" si="639"/>
        <v>0</v>
      </c>
      <c r="AS1497" s="545">
        <f>IFERROR(CEILING($AR1497*VLOOKUP($I1497,Ref!$B$23:$E$29,4,0),1),0)</f>
        <v>0</v>
      </c>
      <c r="AT1497" s="545" t="str">
        <f>IF(A1497="","",IF(AP1497&lt;=1,"Cleared",IF(AS1497=0,"Clean",VLOOKUP($AS1497,Ref!$G$23:$H$28,2))))</f>
        <v/>
      </c>
      <c r="AU1497" s="546" t="str">
        <f t="shared" si="640"/>
        <v/>
      </c>
    </row>
    <row r="1498" spans="1:47" ht="14.25" hidden="1" customHeight="1" x14ac:dyDescent="0.15">
      <c r="A1498" s="575"/>
      <c r="B1498" s="548"/>
      <c r="C1498" s="548"/>
      <c r="D1498" s="548"/>
      <c r="E1498" s="583"/>
      <c r="F1498" s="584"/>
      <c r="G1498" s="548"/>
      <c r="H1498" s="550"/>
      <c r="I1498" s="560"/>
      <c r="J1498" s="548"/>
      <c r="K1498" s="528" t="str">
        <f>IFERROR(VLOOKUP($B1498,'Clients-Live'!$A:$C,3,0),"")</f>
        <v/>
      </c>
      <c r="L1498" s="528">
        <f>IF(E1498="STL",Pricing!$D$38,IF(A1498="",0,IF(A1498&lt;Pricing!$C$25,Pricing!$D$25,VLOOKUP(Disbursements!$F1498,Pricing!$B$29:$D$32,3))))</f>
        <v>0</v>
      </c>
      <c r="M1498" s="528">
        <f>IF(E1498="STL",0,IF(F1498&gt;0,Pricing!$D$21,0))</f>
        <v>0</v>
      </c>
      <c r="N1498" s="529">
        <f>IF(E1498="STL",F1498*Pricing!$D$40,IF(A1498&lt;=Pricing!$C$4,0,IF(AND(A1498&gt;Pricing!$C$4,Disbursements!A1498&lt;=Pricing!$C$5),F1498*Pricing!$E$5,IF(AND(A1498&gt;Pricing!$C$5,Disbursements!A1498&lt;=Pricing!$C$7),VLOOKUP(F1498,Pricing!$D$7:$E$8,2)*Disbursements!F1498,F1498*Pricing!$E$9))))</f>
        <v>0</v>
      </c>
      <c r="O1498" s="528">
        <f>IF(E1498="STL",0,IF($F1498&gt;0,$F1498*Pricing!$D$17,0))</f>
        <v>0</v>
      </c>
      <c r="P1498" s="530" t="str">
        <f t="shared" si="620"/>
        <v/>
      </c>
      <c r="Q1498" s="531" t="str">
        <f>IF($A1498="","",$G1498/VLOOKUP($I1498,Ref!$B$23:$D$29,2,0))</f>
        <v/>
      </c>
      <c r="R1498" s="530" t="str">
        <f t="shared" si="621"/>
        <v/>
      </c>
      <c r="S1498" s="532" t="str">
        <f t="shared" si="615"/>
        <v/>
      </c>
      <c r="T1498" s="531" t="str">
        <f t="shared" si="622"/>
        <v/>
      </c>
      <c r="U1498" s="533">
        <f t="shared" si="623"/>
        <v>0</v>
      </c>
      <c r="V1498" s="531" t="str">
        <f t="shared" si="624"/>
        <v/>
      </c>
      <c r="W1498" s="531" t="str">
        <f t="shared" si="625"/>
        <v/>
      </c>
      <c r="X1498" s="534" t="str">
        <f t="shared" si="626"/>
        <v/>
      </c>
      <c r="Y1498" s="535" t="str">
        <f>IF($A1498="","",IF($I1498="weekly",$A1498+7,EDATE($A1498,VLOOKUP($I1498,Ref!$B$24:$C$29,2,0))))</f>
        <v/>
      </c>
      <c r="Z1498" s="536" t="str">
        <f t="shared" si="627"/>
        <v/>
      </c>
      <c r="AA1498" s="531">
        <f t="shared" si="628"/>
        <v>0</v>
      </c>
      <c r="AB1498" s="535" t="str">
        <f t="shared" si="616"/>
        <v/>
      </c>
      <c r="AC1498" s="537" t="str">
        <f t="shared" si="617"/>
        <v/>
      </c>
      <c r="AD1498" s="538" t="str">
        <f t="shared" ca="1" si="618"/>
        <v/>
      </c>
      <c r="AE1498" s="537">
        <f t="shared" ca="1" si="619"/>
        <v>0</v>
      </c>
      <c r="AF1498" s="539" t="str">
        <f t="shared" ca="1" si="629"/>
        <v/>
      </c>
      <c r="AG1498" s="531" t="str">
        <f t="shared" ca="1" si="630"/>
        <v/>
      </c>
      <c r="AH1498" s="531" t="str">
        <f t="shared" ca="1" si="631"/>
        <v/>
      </c>
      <c r="AI1498" s="531" t="str">
        <f t="shared" ca="1" si="632"/>
        <v/>
      </c>
      <c r="AJ1498" s="531" t="str">
        <f t="shared" si="633"/>
        <v/>
      </c>
      <c r="AK1498" s="540">
        <f>SUMIFS('Live Collections'!$S:$S,'Live Collections'!$D:$D,Disbursements!B1498,'Live Collections'!$G:$G,Disbursements!C1498)</f>
        <v>0</v>
      </c>
      <c r="AL1498" s="540">
        <f>SUMIFS('Live Collections'!$T:$T,'Live Collections'!$D:$D,Disbursements!B1498,'Live Collections'!$G:$G,Disbursements!C1498)</f>
        <v>0</v>
      </c>
      <c r="AM1498" s="541">
        <f t="shared" si="634"/>
        <v>0</v>
      </c>
      <c r="AN1498" s="542" t="str">
        <f t="shared" si="635"/>
        <v/>
      </c>
      <c r="AO1498" s="542" t="str">
        <f t="shared" si="636"/>
        <v/>
      </c>
      <c r="AP1498" s="543" t="str">
        <f t="shared" si="637"/>
        <v/>
      </c>
      <c r="AQ1498" s="544" t="str">
        <f t="shared" si="638"/>
        <v/>
      </c>
      <c r="AR1498" s="545">
        <f t="shared" si="639"/>
        <v>0</v>
      </c>
      <c r="AS1498" s="545">
        <f>IFERROR(CEILING($AR1498*VLOOKUP($I1498,Ref!$B$23:$E$29,4,0),1),0)</f>
        <v>0</v>
      </c>
      <c r="AT1498" s="545" t="str">
        <f>IF(A1498="","",IF(AP1498&lt;=1,"Cleared",IF(AS1498=0,"Clean",VLOOKUP($AS1498,Ref!$G$23:$H$28,2))))</f>
        <v/>
      </c>
      <c r="AU1498" s="546" t="str">
        <f t="shared" si="640"/>
        <v/>
      </c>
    </row>
    <row r="1499" spans="1:47" ht="14.25" hidden="1" customHeight="1" x14ac:dyDescent="0.15">
      <c r="A1499" s="575"/>
      <c r="B1499" s="548"/>
      <c r="C1499" s="548"/>
      <c r="D1499" s="548"/>
      <c r="E1499" s="583"/>
      <c r="F1499" s="584"/>
      <c r="G1499" s="548"/>
      <c r="H1499" s="550"/>
      <c r="I1499" s="560"/>
      <c r="J1499" s="548"/>
      <c r="K1499" s="528" t="str">
        <f>IFERROR(VLOOKUP($B1499,'Clients-Live'!$A:$C,3,0),"")</f>
        <v/>
      </c>
      <c r="L1499" s="528">
        <f>IF(E1499="STL",Pricing!$D$38,IF(A1499="",0,IF(A1499&lt;Pricing!$C$25,Pricing!$D$25,VLOOKUP(Disbursements!$F1499,Pricing!$B$29:$D$32,3))))</f>
        <v>0</v>
      </c>
      <c r="M1499" s="528">
        <f>IF(E1499="STL",0,IF(F1499&gt;0,Pricing!$D$21,0))</f>
        <v>0</v>
      </c>
      <c r="N1499" s="529">
        <f>IF(E1499="STL",F1499*Pricing!$D$40,IF(A1499&lt;=Pricing!$C$4,0,IF(AND(A1499&gt;Pricing!$C$4,Disbursements!A1499&lt;=Pricing!$C$5),F1499*Pricing!$E$5,IF(AND(A1499&gt;Pricing!$C$5,Disbursements!A1499&lt;=Pricing!$C$7),VLOOKUP(F1499,Pricing!$D$7:$E$8,2)*Disbursements!F1499,F1499*Pricing!$E$9))))</f>
        <v>0</v>
      </c>
      <c r="O1499" s="528">
        <f>IF(E1499="STL",0,IF($F1499&gt;0,$F1499*Pricing!$D$17,0))</f>
        <v>0</v>
      </c>
      <c r="P1499" s="530" t="str">
        <f t="shared" si="620"/>
        <v/>
      </c>
      <c r="Q1499" s="531" t="str">
        <f>IF($A1499="","",$G1499/VLOOKUP($I1499,Ref!$B$23:$D$29,2,0))</f>
        <v/>
      </c>
      <c r="R1499" s="530" t="str">
        <f t="shared" si="621"/>
        <v/>
      </c>
      <c r="S1499" s="532" t="str">
        <f t="shared" si="615"/>
        <v/>
      </c>
      <c r="T1499" s="531" t="str">
        <f t="shared" si="622"/>
        <v/>
      </c>
      <c r="U1499" s="533">
        <f t="shared" si="623"/>
        <v>0</v>
      </c>
      <c r="V1499" s="531" t="str">
        <f t="shared" si="624"/>
        <v/>
      </c>
      <c r="W1499" s="531" t="str">
        <f t="shared" si="625"/>
        <v/>
      </c>
      <c r="X1499" s="534" t="str">
        <f t="shared" si="626"/>
        <v/>
      </c>
      <c r="Y1499" s="535" t="str">
        <f>IF($A1499="","",IF($I1499="weekly",$A1499+7,EDATE($A1499,VLOOKUP($I1499,Ref!$B$24:$C$29,2,0))))</f>
        <v/>
      </c>
      <c r="Z1499" s="536" t="str">
        <f t="shared" si="627"/>
        <v/>
      </c>
      <c r="AA1499" s="531">
        <f t="shared" si="628"/>
        <v>0</v>
      </c>
      <c r="AB1499" s="535" t="str">
        <f t="shared" si="616"/>
        <v/>
      </c>
      <c r="AC1499" s="537" t="str">
        <f t="shared" si="617"/>
        <v/>
      </c>
      <c r="AD1499" s="538" t="str">
        <f t="shared" ca="1" si="618"/>
        <v/>
      </c>
      <c r="AE1499" s="537">
        <f t="shared" ca="1" si="619"/>
        <v>0</v>
      </c>
      <c r="AF1499" s="539" t="str">
        <f t="shared" ca="1" si="629"/>
        <v/>
      </c>
      <c r="AG1499" s="531" t="str">
        <f t="shared" ca="1" si="630"/>
        <v/>
      </c>
      <c r="AH1499" s="531" t="str">
        <f t="shared" ca="1" si="631"/>
        <v/>
      </c>
      <c r="AI1499" s="531" t="str">
        <f t="shared" ca="1" si="632"/>
        <v/>
      </c>
      <c r="AJ1499" s="531" t="str">
        <f t="shared" si="633"/>
        <v/>
      </c>
      <c r="AK1499" s="540">
        <f>SUMIFS('Live Collections'!$S:$S,'Live Collections'!$D:$D,Disbursements!B1499,'Live Collections'!$G:$G,Disbursements!C1499)</f>
        <v>0</v>
      </c>
      <c r="AL1499" s="540">
        <f>SUMIFS('Live Collections'!$T:$T,'Live Collections'!$D:$D,Disbursements!B1499,'Live Collections'!$G:$G,Disbursements!C1499)</f>
        <v>0</v>
      </c>
      <c r="AM1499" s="541">
        <f t="shared" si="634"/>
        <v>0</v>
      </c>
      <c r="AN1499" s="542" t="str">
        <f t="shared" si="635"/>
        <v/>
      </c>
      <c r="AO1499" s="542" t="str">
        <f t="shared" si="636"/>
        <v/>
      </c>
      <c r="AP1499" s="543" t="str">
        <f t="shared" si="637"/>
        <v/>
      </c>
      <c r="AQ1499" s="544" t="str">
        <f t="shared" si="638"/>
        <v/>
      </c>
      <c r="AR1499" s="545">
        <f t="shared" si="639"/>
        <v>0</v>
      </c>
      <c r="AS1499" s="545">
        <f>IFERROR(CEILING($AR1499*VLOOKUP($I1499,Ref!$B$23:$E$29,4,0),1),0)</f>
        <v>0</v>
      </c>
      <c r="AT1499" s="545" t="str">
        <f>IF(A1499="","",IF(AP1499&lt;=1,"Cleared",IF(AS1499=0,"Clean",VLOOKUP($AS1499,Ref!$G$23:$H$28,2))))</f>
        <v/>
      </c>
      <c r="AU1499" s="546" t="str">
        <f t="shared" si="640"/>
        <v/>
      </c>
    </row>
    <row r="1500" spans="1:47" ht="14.25" hidden="1" customHeight="1" x14ac:dyDescent="0.15">
      <c r="A1500" s="575"/>
      <c r="B1500" s="548"/>
      <c r="C1500" s="548"/>
      <c r="D1500" s="548"/>
      <c r="E1500" s="583"/>
      <c r="F1500" s="584"/>
      <c r="G1500" s="548"/>
      <c r="H1500" s="550"/>
      <c r="I1500" s="560"/>
      <c r="J1500" s="548"/>
      <c r="K1500" s="528" t="str">
        <f>IFERROR(VLOOKUP($B1500,'Clients-Live'!$A:$C,3,0),"")</f>
        <v/>
      </c>
      <c r="L1500" s="528">
        <f>IF(E1500="STL",Pricing!$D$38,IF(A1500="",0,IF(A1500&lt;Pricing!$C$25,Pricing!$D$25,VLOOKUP(Disbursements!$F1500,Pricing!$B$29:$D$32,3))))</f>
        <v>0</v>
      </c>
      <c r="M1500" s="528">
        <f>IF(E1500="STL",0,IF(F1500&gt;0,Pricing!$D$21,0))</f>
        <v>0</v>
      </c>
      <c r="N1500" s="529">
        <f>IF(E1500="STL",F1500*Pricing!$D$40,IF(A1500&lt;=Pricing!$C$4,0,IF(AND(A1500&gt;Pricing!$C$4,Disbursements!A1500&lt;=Pricing!$C$5),F1500*Pricing!$E$5,IF(AND(A1500&gt;Pricing!$C$5,Disbursements!A1500&lt;=Pricing!$C$7),VLOOKUP(F1500,Pricing!$D$7:$E$8,2)*Disbursements!F1500,F1500*Pricing!$E$9))))</f>
        <v>0</v>
      </c>
      <c r="O1500" s="528">
        <f>IF(E1500="STL",0,IF($F1500&gt;0,$F1500*Pricing!$D$17,0))</f>
        <v>0</v>
      </c>
      <c r="P1500" s="530" t="str">
        <f t="shared" si="620"/>
        <v/>
      </c>
      <c r="Q1500" s="531" t="str">
        <f>IF($A1500="","",$G1500/VLOOKUP($I1500,Ref!$B$23:$D$29,2,0))</f>
        <v/>
      </c>
      <c r="R1500" s="530" t="str">
        <f t="shared" si="621"/>
        <v/>
      </c>
      <c r="S1500" s="532" t="str">
        <f t="shared" si="615"/>
        <v/>
      </c>
      <c r="T1500" s="531" t="str">
        <f t="shared" si="622"/>
        <v/>
      </c>
      <c r="U1500" s="533">
        <f t="shared" si="623"/>
        <v>0</v>
      </c>
      <c r="V1500" s="531" t="str">
        <f t="shared" si="624"/>
        <v/>
      </c>
      <c r="W1500" s="531" t="str">
        <f t="shared" si="625"/>
        <v/>
      </c>
      <c r="X1500" s="534" t="str">
        <f t="shared" si="626"/>
        <v/>
      </c>
      <c r="Y1500" s="535" t="str">
        <f>IF($A1500="","",IF($I1500="weekly",$A1500+7,EDATE($A1500,VLOOKUP($I1500,Ref!$B$24:$C$29,2,0))))</f>
        <v/>
      </c>
      <c r="Z1500" s="536" t="str">
        <f t="shared" si="627"/>
        <v/>
      </c>
      <c r="AA1500" s="531">
        <f t="shared" si="628"/>
        <v>0</v>
      </c>
      <c r="AB1500" s="535" t="str">
        <f t="shared" si="616"/>
        <v/>
      </c>
      <c r="AC1500" s="537" t="str">
        <f t="shared" si="617"/>
        <v/>
      </c>
      <c r="AD1500" s="538" t="str">
        <f t="shared" ca="1" si="618"/>
        <v/>
      </c>
      <c r="AE1500" s="537">
        <f t="shared" ca="1" si="619"/>
        <v>0</v>
      </c>
      <c r="AF1500" s="539" t="str">
        <f t="shared" ca="1" si="629"/>
        <v/>
      </c>
      <c r="AG1500" s="531" t="str">
        <f t="shared" ca="1" si="630"/>
        <v/>
      </c>
      <c r="AH1500" s="531" t="str">
        <f t="shared" ca="1" si="631"/>
        <v/>
      </c>
      <c r="AI1500" s="531" t="str">
        <f t="shared" ca="1" si="632"/>
        <v/>
      </c>
      <c r="AJ1500" s="531" t="str">
        <f t="shared" si="633"/>
        <v/>
      </c>
      <c r="AK1500" s="540">
        <f>SUMIFS('Live Collections'!$S:$S,'Live Collections'!$D:$D,Disbursements!B1500,'Live Collections'!$G:$G,Disbursements!C1500)</f>
        <v>0</v>
      </c>
      <c r="AL1500" s="540">
        <f>SUMIFS('Live Collections'!$T:$T,'Live Collections'!$D:$D,Disbursements!B1500,'Live Collections'!$G:$G,Disbursements!C1500)</f>
        <v>0</v>
      </c>
      <c r="AM1500" s="541">
        <f t="shared" si="634"/>
        <v>0</v>
      </c>
      <c r="AN1500" s="542" t="str">
        <f t="shared" si="635"/>
        <v/>
      </c>
      <c r="AO1500" s="542" t="str">
        <f t="shared" si="636"/>
        <v/>
      </c>
      <c r="AP1500" s="543" t="str">
        <f t="shared" si="637"/>
        <v/>
      </c>
      <c r="AQ1500" s="544" t="str">
        <f t="shared" si="638"/>
        <v/>
      </c>
      <c r="AR1500" s="545">
        <f t="shared" si="639"/>
        <v>0</v>
      </c>
      <c r="AS1500" s="545">
        <f>IFERROR(CEILING($AR1500*VLOOKUP($I1500,Ref!$B$23:$E$29,4,0),1),0)</f>
        <v>0</v>
      </c>
      <c r="AT1500" s="545" t="str">
        <f>IF(A1500="","",IF(AP1500&lt;=1,"Cleared",IF(AS1500=0,"Clean",VLOOKUP($AS1500,Ref!$G$23:$H$28,2))))</f>
        <v/>
      </c>
      <c r="AU1500" s="546" t="str">
        <f t="shared" si="640"/>
        <v/>
      </c>
    </row>
    <row r="1501" spans="1:47" ht="14.25" hidden="1" customHeight="1" x14ac:dyDescent="0.15">
      <c r="A1501" s="575"/>
      <c r="B1501" s="548"/>
      <c r="C1501" s="548"/>
      <c r="D1501" s="548"/>
      <c r="E1501" s="583"/>
      <c r="F1501" s="584"/>
      <c r="G1501" s="548"/>
      <c r="H1501" s="550"/>
      <c r="I1501" s="560"/>
      <c r="J1501" s="548"/>
      <c r="K1501" s="528" t="str">
        <f>IFERROR(VLOOKUP($B1501,'Clients-Live'!$A:$C,3,0),"")</f>
        <v/>
      </c>
      <c r="L1501" s="528">
        <f>IF(E1501="STL",Pricing!$D$38,IF(A1501="",0,IF(A1501&lt;Pricing!$C$25,Pricing!$D$25,VLOOKUP(Disbursements!$F1501,Pricing!$B$29:$D$32,3))))</f>
        <v>0</v>
      </c>
      <c r="M1501" s="528">
        <f>IF(E1501="STL",0,IF(F1501&gt;0,Pricing!$D$21,0))</f>
        <v>0</v>
      </c>
      <c r="N1501" s="529">
        <f>IF(E1501="STL",F1501*Pricing!$D$40,IF(A1501&lt;=Pricing!$C$4,0,IF(AND(A1501&gt;Pricing!$C$4,Disbursements!A1501&lt;=Pricing!$C$5),F1501*Pricing!$E$5,IF(AND(A1501&gt;Pricing!$C$5,Disbursements!A1501&lt;=Pricing!$C$7),VLOOKUP(F1501,Pricing!$D$7:$E$8,2)*Disbursements!F1501,F1501*Pricing!$E$9))))</f>
        <v>0</v>
      </c>
      <c r="O1501" s="528">
        <f>IF(E1501="STL",0,IF($F1501&gt;0,$F1501*Pricing!$D$17,0))</f>
        <v>0</v>
      </c>
      <c r="P1501" s="530" t="str">
        <f t="shared" si="620"/>
        <v/>
      </c>
      <c r="Q1501" s="531" t="str">
        <f>IF($A1501="","",$G1501/VLOOKUP($I1501,Ref!$B$23:$D$29,2,0))</f>
        <v/>
      </c>
      <c r="R1501" s="530" t="str">
        <f t="shared" si="621"/>
        <v/>
      </c>
      <c r="S1501" s="532" t="str">
        <f t="shared" si="615"/>
        <v/>
      </c>
      <c r="T1501" s="531" t="str">
        <f t="shared" si="622"/>
        <v/>
      </c>
      <c r="U1501" s="533">
        <f t="shared" si="623"/>
        <v>0</v>
      </c>
      <c r="V1501" s="531" t="str">
        <f t="shared" si="624"/>
        <v/>
      </c>
      <c r="W1501" s="531" t="str">
        <f t="shared" si="625"/>
        <v/>
      </c>
      <c r="X1501" s="534" t="str">
        <f t="shared" si="626"/>
        <v/>
      </c>
      <c r="Y1501" s="535" t="str">
        <f>IF($A1501="","",IF($I1501="weekly",$A1501+7,EDATE($A1501,VLOOKUP($I1501,Ref!$B$24:$C$29,2,0))))</f>
        <v/>
      </c>
      <c r="Z1501" s="536" t="str">
        <f t="shared" si="627"/>
        <v/>
      </c>
      <c r="AA1501" s="531">
        <f t="shared" si="628"/>
        <v>0</v>
      </c>
      <c r="AB1501" s="535" t="str">
        <f t="shared" si="616"/>
        <v/>
      </c>
      <c r="AC1501" s="537" t="str">
        <f t="shared" si="617"/>
        <v/>
      </c>
      <c r="AD1501" s="538" t="str">
        <f t="shared" ca="1" si="618"/>
        <v/>
      </c>
      <c r="AE1501" s="537">
        <f t="shared" ca="1" si="619"/>
        <v>0</v>
      </c>
      <c r="AF1501" s="539" t="str">
        <f t="shared" ca="1" si="629"/>
        <v/>
      </c>
      <c r="AG1501" s="531" t="str">
        <f t="shared" ca="1" si="630"/>
        <v/>
      </c>
      <c r="AH1501" s="531" t="str">
        <f t="shared" ca="1" si="631"/>
        <v/>
      </c>
      <c r="AI1501" s="531" t="str">
        <f t="shared" ca="1" si="632"/>
        <v/>
      </c>
      <c r="AJ1501" s="531" t="str">
        <f t="shared" si="633"/>
        <v/>
      </c>
      <c r="AK1501" s="540">
        <f>SUMIFS('Live Collections'!$S:$S,'Live Collections'!$D:$D,Disbursements!B1501,'Live Collections'!$G:$G,Disbursements!C1501)</f>
        <v>0</v>
      </c>
      <c r="AL1501" s="540">
        <f>SUMIFS('Live Collections'!$T:$T,'Live Collections'!$D:$D,Disbursements!B1501,'Live Collections'!$G:$G,Disbursements!C1501)</f>
        <v>0</v>
      </c>
      <c r="AM1501" s="541">
        <f t="shared" si="634"/>
        <v>0</v>
      </c>
      <c r="AN1501" s="542" t="str">
        <f t="shared" si="635"/>
        <v/>
      </c>
      <c r="AO1501" s="542" t="str">
        <f t="shared" si="636"/>
        <v/>
      </c>
      <c r="AP1501" s="543" t="str">
        <f t="shared" si="637"/>
        <v/>
      </c>
      <c r="AQ1501" s="544" t="str">
        <f t="shared" si="638"/>
        <v/>
      </c>
      <c r="AR1501" s="545">
        <f t="shared" si="639"/>
        <v>0</v>
      </c>
      <c r="AS1501" s="545">
        <f>IFERROR(CEILING($AR1501*VLOOKUP($I1501,Ref!$B$23:$E$29,4,0),1),0)</f>
        <v>0</v>
      </c>
      <c r="AT1501" s="545" t="str">
        <f>IF(A1501="","",IF(AP1501&lt;=1,"Cleared",IF(AS1501=0,"Clean",VLOOKUP($AS1501,Ref!$G$23:$H$28,2))))</f>
        <v/>
      </c>
      <c r="AU1501" s="546" t="str">
        <f t="shared" si="640"/>
        <v/>
      </c>
    </row>
    <row r="1502" spans="1:47" ht="14.25" hidden="1" customHeight="1" x14ac:dyDescent="0.15">
      <c r="A1502" s="575"/>
      <c r="B1502" s="548"/>
      <c r="C1502" s="548"/>
      <c r="D1502" s="548"/>
      <c r="E1502" s="583"/>
      <c r="F1502" s="584"/>
      <c r="G1502" s="548"/>
      <c r="H1502" s="550"/>
      <c r="I1502" s="560"/>
      <c r="J1502" s="548"/>
      <c r="K1502" s="528" t="str">
        <f>IFERROR(VLOOKUP($B1502,'Clients-Live'!$A:$C,3,0),"")</f>
        <v/>
      </c>
      <c r="L1502" s="528">
        <f>IF(E1502="STL",Pricing!$D$38,IF(A1502="",0,IF(A1502&lt;Pricing!$C$25,Pricing!$D$25,VLOOKUP(Disbursements!$F1502,Pricing!$B$29:$D$32,3))))</f>
        <v>0</v>
      </c>
      <c r="M1502" s="528">
        <f>IF(E1502="STL",0,IF(F1502&gt;0,Pricing!$D$21,0))</f>
        <v>0</v>
      </c>
      <c r="N1502" s="529">
        <f>IF(E1502="STL",F1502*Pricing!$D$40,IF(A1502&lt;=Pricing!$C$4,0,IF(AND(A1502&gt;Pricing!$C$4,Disbursements!A1502&lt;=Pricing!$C$5),F1502*Pricing!$E$5,IF(AND(A1502&gt;Pricing!$C$5,Disbursements!A1502&lt;=Pricing!$C$7),VLOOKUP(F1502,Pricing!$D$7:$E$8,2)*Disbursements!F1502,F1502*Pricing!$E$9))))</f>
        <v>0</v>
      </c>
      <c r="O1502" s="528">
        <f>IF(E1502="STL",0,IF($F1502&gt;0,$F1502*Pricing!$D$17,0))</f>
        <v>0</v>
      </c>
      <c r="P1502" s="530" t="str">
        <f t="shared" si="620"/>
        <v/>
      </c>
      <c r="Q1502" s="531" t="str">
        <f>IF($A1502="","",$G1502/VLOOKUP($I1502,Ref!$B$23:$D$29,2,0))</f>
        <v/>
      </c>
      <c r="R1502" s="530" t="str">
        <f t="shared" si="621"/>
        <v/>
      </c>
      <c r="S1502" s="532" t="str">
        <f t="shared" si="615"/>
        <v/>
      </c>
      <c r="T1502" s="531" t="str">
        <f t="shared" si="622"/>
        <v/>
      </c>
      <c r="U1502" s="533">
        <f t="shared" si="623"/>
        <v>0</v>
      </c>
      <c r="V1502" s="531" t="str">
        <f t="shared" si="624"/>
        <v/>
      </c>
      <c r="W1502" s="531" t="str">
        <f t="shared" si="625"/>
        <v/>
      </c>
      <c r="X1502" s="534" t="str">
        <f t="shared" si="626"/>
        <v/>
      </c>
      <c r="Y1502" s="535" t="str">
        <f>IF($A1502="","",IF($I1502="weekly",$A1502+7,EDATE($A1502,VLOOKUP($I1502,Ref!$B$24:$C$29,2,0))))</f>
        <v/>
      </c>
      <c r="Z1502" s="536" t="str">
        <f t="shared" si="627"/>
        <v/>
      </c>
      <c r="AA1502" s="531">
        <f t="shared" si="628"/>
        <v>0</v>
      </c>
      <c r="AB1502" s="535" t="str">
        <f t="shared" si="616"/>
        <v/>
      </c>
      <c r="AC1502" s="537" t="str">
        <f t="shared" si="617"/>
        <v/>
      </c>
      <c r="AD1502" s="538" t="str">
        <f t="shared" ca="1" si="618"/>
        <v/>
      </c>
      <c r="AE1502" s="537">
        <f t="shared" ca="1" si="619"/>
        <v>0</v>
      </c>
      <c r="AF1502" s="539" t="str">
        <f t="shared" ca="1" si="629"/>
        <v/>
      </c>
      <c r="AG1502" s="531" t="str">
        <f t="shared" ca="1" si="630"/>
        <v/>
      </c>
      <c r="AH1502" s="531" t="str">
        <f t="shared" ca="1" si="631"/>
        <v/>
      </c>
      <c r="AI1502" s="531" t="str">
        <f t="shared" ca="1" si="632"/>
        <v/>
      </c>
      <c r="AJ1502" s="531" t="str">
        <f t="shared" si="633"/>
        <v/>
      </c>
      <c r="AK1502" s="540">
        <f>SUMIFS('Live Collections'!$S:$S,'Live Collections'!$D:$D,Disbursements!B1502,'Live Collections'!$G:$G,Disbursements!C1502)</f>
        <v>0</v>
      </c>
      <c r="AL1502" s="540">
        <f>SUMIFS('Live Collections'!$T:$T,'Live Collections'!$D:$D,Disbursements!B1502,'Live Collections'!$G:$G,Disbursements!C1502)</f>
        <v>0</v>
      </c>
      <c r="AM1502" s="541">
        <f t="shared" si="634"/>
        <v>0</v>
      </c>
      <c r="AN1502" s="542" t="str">
        <f t="shared" si="635"/>
        <v/>
      </c>
      <c r="AO1502" s="542" t="str">
        <f t="shared" si="636"/>
        <v/>
      </c>
      <c r="AP1502" s="543" t="str">
        <f t="shared" si="637"/>
        <v/>
      </c>
      <c r="AQ1502" s="544" t="str">
        <f t="shared" si="638"/>
        <v/>
      </c>
      <c r="AR1502" s="545">
        <f t="shared" si="639"/>
        <v>0</v>
      </c>
      <c r="AS1502" s="545">
        <f>IFERROR(CEILING($AR1502*VLOOKUP($I1502,Ref!$B$23:$E$29,4,0),1),0)</f>
        <v>0</v>
      </c>
      <c r="AT1502" s="545" t="str">
        <f>IF(A1502="","",IF(AP1502&lt;=1,"Cleared",IF(AS1502=0,"Clean",VLOOKUP($AS1502,Ref!$G$23:$H$28,2))))</f>
        <v/>
      </c>
      <c r="AU1502" s="546" t="str">
        <f t="shared" si="640"/>
        <v/>
      </c>
    </row>
    <row r="1503" spans="1:47" ht="14.25" hidden="1" customHeight="1" x14ac:dyDescent="0.15">
      <c r="A1503" s="575"/>
      <c r="B1503" s="548"/>
      <c r="C1503" s="548"/>
      <c r="D1503" s="548"/>
      <c r="E1503" s="583"/>
      <c r="F1503" s="584"/>
      <c r="G1503" s="548"/>
      <c r="H1503" s="550"/>
      <c r="I1503" s="560"/>
      <c r="J1503" s="548"/>
      <c r="K1503" s="528" t="str">
        <f>IFERROR(VLOOKUP($B1503,'Clients-Live'!$A:$C,3,0),"")</f>
        <v/>
      </c>
      <c r="L1503" s="528">
        <f>IF(E1503="STL",Pricing!$D$38,IF(A1503="",0,IF(A1503&lt;Pricing!$C$25,Pricing!$D$25,VLOOKUP(Disbursements!$F1503,Pricing!$B$29:$D$32,3))))</f>
        <v>0</v>
      </c>
      <c r="M1503" s="528">
        <f>IF(E1503="STL",0,IF(F1503&gt;0,Pricing!$D$21,0))</f>
        <v>0</v>
      </c>
      <c r="N1503" s="529">
        <f>IF(E1503="STL",F1503*Pricing!$D$40,IF(A1503&lt;=Pricing!$C$4,0,IF(AND(A1503&gt;Pricing!$C$4,Disbursements!A1503&lt;=Pricing!$C$5),F1503*Pricing!$E$5,IF(AND(A1503&gt;Pricing!$C$5,Disbursements!A1503&lt;=Pricing!$C$7),VLOOKUP(F1503,Pricing!$D$7:$E$8,2)*Disbursements!F1503,F1503*Pricing!$E$9))))</f>
        <v>0</v>
      </c>
      <c r="O1503" s="528">
        <f>IF(E1503="STL",0,IF($F1503&gt;0,$F1503*Pricing!$D$17,0))</f>
        <v>0</v>
      </c>
      <c r="P1503" s="530" t="str">
        <f t="shared" si="620"/>
        <v/>
      </c>
      <c r="Q1503" s="531" t="str">
        <f>IF($A1503="","",$G1503/VLOOKUP($I1503,Ref!$B$23:$D$29,2,0))</f>
        <v/>
      </c>
      <c r="R1503" s="530" t="str">
        <f t="shared" si="621"/>
        <v/>
      </c>
      <c r="S1503" s="532" t="str">
        <f t="shared" si="615"/>
        <v/>
      </c>
      <c r="T1503" s="531" t="str">
        <f t="shared" si="622"/>
        <v/>
      </c>
      <c r="U1503" s="533">
        <f t="shared" si="623"/>
        <v>0</v>
      </c>
      <c r="V1503" s="531" t="str">
        <f t="shared" si="624"/>
        <v/>
      </c>
      <c r="W1503" s="531" t="str">
        <f t="shared" si="625"/>
        <v/>
      </c>
      <c r="X1503" s="534" t="str">
        <f t="shared" si="626"/>
        <v/>
      </c>
      <c r="Y1503" s="535" t="str">
        <f>IF($A1503="","",IF($I1503="weekly",$A1503+7,EDATE($A1503,VLOOKUP($I1503,Ref!$B$24:$C$29,2,0))))</f>
        <v/>
      </c>
      <c r="Z1503" s="536" t="str">
        <f t="shared" si="627"/>
        <v/>
      </c>
      <c r="AA1503" s="531">
        <f t="shared" si="628"/>
        <v>0</v>
      </c>
      <c r="AB1503" s="535" t="str">
        <f t="shared" si="616"/>
        <v/>
      </c>
      <c r="AC1503" s="537" t="str">
        <f t="shared" si="617"/>
        <v/>
      </c>
      <c r="AD1503" s="538" t="str">
        <f t="shared" ca="1" si="618"/>
        <v/>
      </c>
      <c r="AE1503" s="537">
        <f t="shared" ca="1" si="619"/>
        <v>0</v>
      </c>
      <c r="AF1503" s="539" t="str">
        <f t="shared" ca="1" si="629"/>
        <v/>
      </c>
      <c r="AG1503" s="531" t="str">
        <f t="shared" ca="1" si="630"/>
        <v/>
      </c>
      <c r="AH1503" s="531" t="str">
        <f t="shared" ca="1" si="631"/>
        <v/>
      </c>
      <c r="AI1503" s="531" t="str">
        <f t="shared" ca="1" si="632"/>
        <v/>
      </c>
      <c r="AJ1503" s="531" t="str">
        <f t="shared" si="633"/>
        <v/>
      </c>
      <c r="AK1503" s="540">
        <f>SUMIFS('Live Collections'!$S:$S,'Live Collections'!$D:$D,Disbursements!B1503,'Live Collections'!$G:$G,Disbursements!C1503)</f>
        <v>0</v>
      </c>
      <c r="AL1503" s="540">
        <f>SUMIFS('Live Collections'!$T:$T,'Live Collections'!$D:$D,Disbursements!B1503,'Live Collections'!$G:$G,Disbursements!C1503)</f>
        <v>0</v>
      </c>
      <c r="AM1503" s="541">
        <f t="shared" si="634"/>
        <v>0</v>
      </c>
      <c r="AN1503" s="542" t="str">
        <f t="shared" si="635"/>
        <v/>
      </c>
      <c r="AO1503" s="542" t="str">
        <f t="shared" si="636"/>
        <v/>
      </c>
      <c r="AP1503" s="543" t="str">
        <f t="shared" si="637"/>
        <v/>
      </c>
      <c r="AQ1503" s="544" t="str">
        <f t="shared" si="638"/>
        <v/>
      </c>
      <c r="AR1503" s="545">
        <f t="shared" si="639"/>
        <v>0</v>
      </c>
      <c r="AS1503" s="545">
        <f>IFERROR(CEILING($AR1503*VLOOKUP($I1503,Ref!$B$23:$E$29,4,0),1),0)</f>
        <v>0</v>
      </c>
      <c r="AT1503" s="545" t="str">
        <f>IF(A1503="","",IF(AP1503&lt;=1,"Cleared",IF(AS1503=0,"Clean",VLOOKUP($AS1503,Ref!$G$23:$H$28,2))))</f>
        <v/>
      </c>
      <c r="AU1503" s="546" t="str">
        <f t="shared" si="640"/>
        <v/>
      </c>
    </row>
    <row r="1504" spans="1:47" ht="14.25" hidden="1" customHeight="1" x14ac:dyDescent="0.15">
      <c r="A1504" s="575"/>
      <c r="B1504" s="548"/>
      <c r="C1504" s="548"/>
      <c r="D1504" s="548"/>
      <c r="E1504" s="583"/>
      <c r="F1504" s="584"/>
      <c r="G1504" s="548"/>
      <c r="H1504" s="550"/>
      <c r="I1504" s="560"/>
      <c r="J1504" s="548"/>
      <c r="K1504" s="528" t="str">
        <f>IFERROR(VLOOKUP($B1504,'Clients-Live'!$A:$C,3,0),"")</f>
        <v/>
      </c>
      <c r="L1504" s="528">
        <f>IF(E1504="STL",Pricing!$D$38,IF(A1504="",0,IF(A1504&lt;Pricing!$C$25,Pricing!$D$25,VLOOKUP(Disbursements!$F1504,Pricing!$B$29:$D$32,3))))</f>
        <v>0</v>
      </c>
      <c r="M1504" s="528">
        <f>IF(E1504="STL",0,IF(F1504&gt;0,Pricing!$D$21,0))</f>
        <v>0</v>
      </c>
      <c r="N1504" s="529">
        <f>IF(E1504="STL",F1504*Pricing!$D$40,IF(A1504&lt;=Pricing!$C$4,0,IF(AND(A1504&gt;Pricing!$C$4,Disbursements!A1504&lt;=Pricing!$C$5),F1504*Pricing!$E$5,IF(AND(A1504&gt;Pricing!$C$5,Disbursements!A1504&lt;=Pricing!$C$7),VLOOKUP(F1504,Pricing!$D$7:$E$8,2)*Disbursements!F1504,F1504*Pricing!$E$9))))</f>
        <v>0</v>
      </c>
      <c r="O1504" s="528">
        <f>IF(E1504="STL",0,IF($F1504&gt;0,$F1504*Pricing!$D$17,0))</f>
        <v>0</v>
      </c>
      <c r="P1504" s="530" t="str">
        <f t="shared" si="620"/>
        <v/>
      </c>
      <c r="Q1504" s="531" t="str">
        <f>IF($A1504="","",$G1504/VLOOKUP($I1504,Ref!$B$23:$D$29,2,0))</f>
        <v/>
      </c>
      <c r="R1504" s="530" t="str">
        <f t="shared" si="621"/>
        <v/>
      </c>
      <c r="S1504" s="532" t="str">
        <f t="shared" si="615"/>
        <v/>
      </c>
      <c r="T1504" s="531" t="str">
        <f t="shared" si="622"/>
        <v/>
      </c>
      <c r="U1504" s="533">
        <f t="shared" si="623"/>
        <v>0</v>
      </c>
      <c r="V1504" s="531" t="str">
        <f t="shared" si="624"/>
        <v/>
      </c>
      <c r="W1504" s="531" t="str">
        <f t="shared" si="625"/>
        <v/>
      </c>
      <c r="X1504" s="534" t="str">
        <f t="shared" si="626"/>
        <v/>
      </c>
      <c r="Y1504" s="535" t="str">
        <f>IF($A1504="","",IF($I1504="weekly",$A1504+7,EDATE($A1504,VLOOKUP($I1504,Ref!$B$24:$C$29,2,0))))</f>
        <v/>
      </c>
      <c r="Z1504" s="536" t="str">
        <f t="shared" si="627"/>
        <v/>
      </c>
      <c r="AA1504" s="531">
        <f t="shared" si="628"/>
        <v>0</v>
      </c>
      <c r="AB1504" s="535" t="str">
        <f t="shared" si="616"/>
        <v/>
      </c>
      <c r="AC1504" s="537" t="str">
        <f t="shared" si="617"/>
        <v/>
      </c>
      <c r="AD1504" s="538" t="str">
        <f t="shared" ca="1" si="618"/>
        <v/>
      </c>
      <c r="AE1504" s="537">
        <f t="shared" ca="1" si="619"/>
        <v>0</v>
      </c>
      <c r="AF1504" s="539" t="str">
        <f t="shared" ca="1" si="629"/>
        <v/>
      </c>
      <c r="AG1504" s="531" t="str">
        <f t="shared" ca="1" si="630"/>
        <v/>
      </c>
      <c r="AH1504" s="531" t="str">
        <f t="shared" ca="1" si="631"/>
        <v/>
      </c>
      <c r="AI1504" s="531" t="str">
        <f t="shared" ca="1" si="632"/>
        <v/>
      </c>
      <c r="AJ1504" s="531" t="str">
        <f t="shared" si="633"/>
        <v/>
      </c>
      <c r="AK1504" s="540">
        <f>SUMIFS('Live Collections'!$S:$S,'Live Collections'!$D:$D,Disbursements!B1504,'Live Collections'!$G:$G,Disbursements!C1504)</f>
        <v>0</v>
      </c>
      <c r="AL1504" s="540">
        <f>SUMIFS('Live Collections'!$T:$T,'Live Collections'!$D:$D,Disbursements!B1504,'Live Collections'!$G:$G,Disbursements!C1504)</f>
        <v>0</v>
      </c>
      <c r="AM1504" s="541">
        <f t="shared" si="634"/>
        <v>0</v>
      </c>
      <c r="AN1504" s="542" t="str">
        <f t="shared" si="635"/>
        <v/>
      </c>
      <c r="AO1504" s="542" t="str">
        <f t="shared" si="636"/>
        <v/>
      </c>
      <c r="AP1504" s="543" t="str">
        <f t="shared" si="637"/>
        <v/>
      </c>
      <c r="AQ1504" s="544" t="str">
        <f t="shared" si="638"/>
        <v/>
      </c>
      <c r="AR1504" s="545">
        <f t="shared" si="639"/>
        <v>0</v>
      </c>
      <c r="AS1504" s="545">
        <f>IFERROR(CEILING($AR1504*VLOOKUP($I1504,Ref!$B$23:$E$29,4,0),1),0)</f>
        <v>0</v>
      </c>
      <c r="AT1504" s="545" t="str">
        <f>IF(A1504="","",IF(AP1504&lt;=1,"Cleared",IF(AS1504=0,"Clean",VLOOKUP($AS1504,Ref!$G$23:$H$28,2))))</f>
        <v/>
      </c>
      <c r="AU1504" s="546" t="str">
        <f t="shared" si="640"/>
        <v/>
      </c>
    </row>
    <row r="1505" spans="1:47" ht="14.25" hidden="1" customHeight="1" x14ac:dyDescent="0.15">
      <c r="A1505" s="575"/>
      <c r="B1505" s="548"/>
      <c r="C1505" s="548"/>
      <c r="D1505" s="548"/>
      <c r="E1505" s="583"/>
      <c r="F1505" s="584"/>
      <c r="G1505" s="548"/>
      <c r="H1505" s="550"/>
      <c r="I1505" s="560"/>
      <c r="J1505" s="548"/>
      <c r="K1505" s="528" t="str">
        <f>IFERROR(VLOOKUP($B1505,'Clients-Live'!$A:$C,3,0),"")</f>
        <v/>
      </c>
      <c r="L1505" s="528">
        <f>IF(E1505="STL",Pricing!$D$38,IF(A1505="",0,IF(A1505&lt;Pricing!$C$25,Pricing!$D$25,VLOOKUP(Disbursements!$F1505,Pricing!$B$29:$D$32,3))))</f>
        <v>0</v>
      </c>
      <c r="M1505" s="528">
        <f>IF(E1505="STL",0,IF(F1505&gt;0,Pricing!$D$21,0))</f>
        <v>0</v>
      </c>
      <c r="N1505" s="529">
        <f>IF(E1505="STL",F1505*Pricing!$D$40,IF(A1505&lt;=Pricing!$C$4,0,IF(AND(A1505&gt;Pricing!$C$4,Disbursements!A1505&lt;=Pricing!$C$5),F1505*Pricing!$E$5,IF(AND(A1505&gt;Pricing!$C$5,Disbursements!A1505&lt;=Pricing!$C$7),VLOOKUP(F1505,Pricing!$D$7:$E$8,2)*Disbursements!F1505,F1505*Pricing!$E$9))))</f>
        <v>0</v>
      </c>
      <c r="O1505" s="528">
        <f>IF(E1505="STL",0,IF($F1505&gt;0,$F1505*Pricing!$D$17,0))</f>
        <v>0</v>
      </c>
      <c r="P1505" s="530" t="str">
        <f t="shared" si="620"/>
        <v/>
      </c>
      <c r="Q1505" s="531" t="str">
        <f>IF($A1505="","",$G1505/VLOOKUP($I1505,Ref!$B$23:$D$29,2,0))</f>
        <v/>
      </c>
      <c r="R1505" s="530" t="str">
        <f t="shared" si="621"/>
        <v/>
      </c>
      <c r="S1505" s="532" t="str">
        <f t="shared" si="615"/>
        <v/>
      </c>
      <c r="T1505" s="531" t="str">
        <f t="shared" si="622"/>
        <v/>
      </c>
      <c r="U1505" s="533">
        <f t="shared" si="623"/>
        <v>0</v>
      </c>
      <c r="V1505" s="531" t="str">
        <f t="shared" si="624"/>
        <v/>
      </c>
      <c r="W1505" s="531" t="str">
        <f t="shared" si="625"/>
        <v/>
      </c>
      <c r="X1505" s="534" t="str">
        <f t="shared" si="626"/>
        <v/>
      </c>
      <c r="Y1505" s="535" t="str">
        <f>IF($A1505="","",IF($I1505="weekly",$A1505+7,EDATE($A1505,VLOOKUP($I1505,Ref!$B$24:$C$29,2,0))))</f>
        <v/>
      </c>
      <c r="Z1505" s="536" t="str">
        <f t="shared" si="627"/>
        <v/>
      </c>
      <c r="AA1505" s="531">
        <f t="shared" si="628"/>
        <v>0</v>
      </c>
      <c r="AB1505" s="535" t="str">
        <f t="shared" si="616"/>
        <v/>
      </c>
      <c r="AC1505" s="537" t="str">
        <f t="shared" si="617"/>
        <v/>
      </c>
      <c r="AD1505" s="538" t="str">
        <f t="shared" ca="1" si="618"/>
        <v/>
      </c>
      <c r="AE1505" s="537">
        <f t="shared" ca="1" si="619"/>
        <v>0</v>
      </c>
      <c r="AF1505" s="539" t="str">
        <f t="shared" ca="1" si="629"/>
        <v/>
      </c>
      <c r="AG1505" s="531" t="str">
        <f t="shared" ca="1" si="630"/>
        <v/>
      </c>
      <c r="AH1505" s="531" t="str">
        <f t="shared" ca="1" si="631"/>
        <v/>
      </c>
      <c r="AI1505" s="531" t="str">
        <f t="shared" ca="1" si="632"/>
        <v/>
      </c>
      <c r="AJ1505" s="531" t="str">
        <f t="shared" si="633"/>
        <v/>
      </c>
      <c r="AK1505" s="540">
        <f>SUMIFS('Live Collections'!$S:$S,'Live Collections'!$D:$D,Disbursements!B1505,'Live Collections'!$G:$G,Disbursements!C1505)</f>
        <v>0</v>
      </c>
      <c r="AL1505" s="540">
        <f>SUMIFS('Live Collections'!$T:$T,'Live Collections'!$D:$D,Disbursements!B1505,'Live Collections'!$G:$G,Disbursements!C1505)</f>
        <v>0</v>
      </c>
      <c r="AM1505" s="541">
        <f t="shared" si="634"/>
        <v>0</v>
      </c>
      <c r="AN1505" s="542" t="str">
        <f t="shared" si="635"/>
        <v/>
      </c>
      <c r="AO1505" s="542" t="str">
        <f t="shared" si="636"/>
        <v/>
      </c>
      <c r="AP1505" s="543" t="str">
        <f t="shared" si="637"/>
        <v/>
      </c>
      <c r="AQ1505" s="544" t="str">
        <f t="shared" si="638"/>
        <v/>
      </c>
      <c r="AR1505" s="545">
        <f t="shared" si="639"/>
        <v>0</v>
      </c>
      <c r="AS1505" s="545">
        <f>IFERROR(CEILING($AR1505*VLOOKUP($I1505,Ref!$B$23:$E$29,4,0),1),0)</f>
        <v>0</v>
      </c>
      <c r="AT1505" s="545" t="str">
        <f>IF(A1505="","",IF(AP1505&lt;=1,"Cleared",IF(AS1505=0,"Clean",VLOOKUP($AS1505,Ref!$G$23:$H$28,2))))</f>
        <v/>
      </c>
      <c r="AU1505" s="546" t="str">
        <f t="shared" si="640"/>
        <v/>
      </c>
    </row>
    <row r="1506" spans="1:47" ht="14.25" hidden="1" customHeight="1" x14ac:dyDescent="0.15">
      <c r="A1506" s="575"/>
      <c r="B1506" s="548"/>
      <c r="C1506" s="548"/>
      <c r="D1506" s="548"/>
      <c r="E1506" s="583"/>
      <c r="F1506" s="584"/>
      <c r="G1506" s="548"/>
      <c r="H1506" s="550"/>
      <c r="I1506" s="560"/>
      <c r="J1506" s="548"/>
      <c r="K1506" s="528" t="str">
        <f>IFERROR(VLOOKUP($B1506,'Clients-Live'!$A:$C,3,0),"")</f>
        <v/>
      </c>
      <c r="L1506" s="528">
        <f>IF(E1506="STL",Pricing!$D$38,IF(A1506="",0,IF(A1506&lt;Pricing!$C$25,Pricing!$D$25,VLOOKUP(Disbursements!$F1506,Pricing!$B$29:$D$32,3))))</f>
        <v>0</v>
      </c>
      <c r="M1506" s="528">
        <f>IF(E1506="STL",0,IF(F1506&gt;0,Pricing!$D$21,0))</f>
        <v>0</v>
      </c>
      <c r="N1506" s="529">
        <f>IF(E1506="STL",F1506*Pricing!$D$40,IF(A1506&lt;=Pricing!$C$4,0,IF(AND(A1506&gt;Pricing!$C$4,Disbursements!A1506&lt;=Pricing!$C$5),F1506*Pricing!$E$5,IF(AND(A1506&gt;Pricing!$C$5,Disbursements!A1506&lt;=Pricing!$C$7),VLOOKUP(F1506,Pricing!$D$7:$E$8,2)*Disbursements!F1506,F1506*Pricing!$E$9))))</f>
        <v>0</v>
      </c>
      <c r="O1506" s="528">
        <f>IF(E1506="STL",0,IF($F1506&gt;0,$F1506*Pricing!$D$17,0))</f>
        <v>0</v>
      </c>
      <c r="P1506" s="530" t="str">
        <f t="shared" si="620"/>
        <v/>
      </c>
      <c r="Q1506" s="531" t="str">
        <f>IF($A1506="","",$G1506/VLOOKUP($I1506,Ref!$B$23:$D$29,2,0))</f>
        <v/>
      </c>
      <c r="R1506" s="530" t="str">
        <f t="shared" si="621"/>
        <v/>
      </c>
      <c r="S1506" s="532" t="str">
        <f t="shared" si="615"/>
        <v/>
      </c>
      <c r="T1506" s="531" t="str">
        <f t="shared" si="622"/>
        <v/>
      </c>
      <c r="U1506" s="533">
        <f t="shared" si="623"/>
        <v>0</v>
      </c>
      <c r="V1506" s="531" t="str">
        <f t="shared" si="624"/>
        <v/>
      </c>
      <c r="W1506" s="531" t="str">
        <f t="shared" si="625"/>
        <v/>
      </c>
      <c r="X1506" s="534" t="str">
        <f t="shared" si="626"/>
        <v/>
      </c>
      <c r="Y1506" s="535" t="str">
        <f>IF($A1506="","",IF($I1506="weekly",$A1506+7,EDATE($A1506,VLOOKUP($I1506,Ref!$B$24:$C$29,2,0))))</f>
        <v/>
      </c>
      <c r="Z1506" s="536" t="str">
        <f t="shared" si="627"/>
        <v/>
      </c>
      <c r="AA1506" s="531">
        <f t="shared" si="628"/>
        <v>0</v>
      </c>
      <c r="AB1506" s="535" t="str">
        <f t="shared" si="616"/>
        <v/>
      </c>
      <c r="AC1506" s="537" t="str">
        <f t="shared" si="617"/>
        <v/>
      </c>
      <c r="AD1506" s="538" t="str">
        <f t="shared" ca="1" si="618"/>
        <v/>
      </c>
      <c r="AE1506" s="537">
        <f t="shared" ca="1" si="619"/>
        <v>0</v>
      </c>
      <c r="AF1506" s="539" t="str">
        <f t="shared" ca="1" si="629"/>
        <v/>
      </c>
      <c r="AG1506" s="531" t="str">
        <f t="shared" ca="1" si="630"/>
        <v/>
      </c>
      <c r="AH1506" s="531" t="str">
        <f t="shared" ca="1" si="631"/>
        <v/>
      </c>
      <c r="AI1506" s="531" t="str">
        <f t="shared" ca="1" si="632"/>
        <v/>
      </c>
      <c r="AJ1506" s="531" t="str">
        <f t="shared" si="633"/>
        <v/>
      </c>
      <c r="AK1506" s="540">
        <f>SUMIFS('Live Collections'!$S:$S,'Live Collections'!$D:$D,Disbursements!B1506,'Live Collections'!$G:$G,Disbursements!C1506)</f>
        <v>0</v>
      </c>
      <c r="AL1506" s="540">
        <f>SUMIFS('Live Collections'!$T:$T,'Live Collections'!$D:$D,Disbursements!B1506,'Live Collections'!$G:$G,Disbursements!C1506)</f>
        <v>0</v>
      </c>
      <c r="AM1506" s="541">
        <f t="shared" si="634"/>
        <v>0</v>
      </c>
      <c r="AN1506" s="542" t="str">
        <f t="shared" si="635"/>
        <v/>
      </c>
      <c r="AO1506" s="542" t="str">
        <f t="shared" si="636"/>
        <v/>
      </c>
      <c r="AP1506" s="543" t="str">
        <f t="shared" si="637"/>
        <v/>
      </c>
      <c r="AQ1506" s="544" t="str">
        <f t="shared" si="638"/>
        <v/>
      </c>
      <c r="AR1506" s="545">
        <f t="shared" si="639"/>
        <v>0</v>
      </c>
      <c r="AS1506" s="545">
        <f>IFERROR(CEILING($AR1506*VLOOKUP($I1506,Ref!$B$23:$E$29,4,0),1),0)</f>
        <v>0</v>
      </c>
      <c r="AT1506" s="545" t="str">
        <f>IF(A1506="","",IF(AP1506&lt;=1,"Cleared",IF(AS1506=0,"Clean",VLOOKUP($AS1506,Ref!$G$23:$H$28,2))))</f>
        <v/>
      </c>
      <c r="AU1506" s="546" t="str">
        <f t="shared" si="640"/>
        <v/>
      </c>
    </row>
    <row r="1507" spans="1:47" ht="14.25" hidden="1" customHeight="1" x14ac:dyDescent="0.15">
      <c r="A1507" s="575"/>
      <c r="B1507" s="548"/>
      <c r="C1507" s="548"/>
      <c r="D1507" s="548"/>
      <c r="E1507" s="583"/>
      <c r="F1507" s="584"/>
      <c r="G1507" s="548"/>
      <c r="H1507" s="550"/>
      <c r="I1507" s="560"/>
      <c r="J1507" s="548"/>
      <c r="K1507" s="528" t="str">
        <f>IFERROR(VLOOKUP($B1507,'Clients-Live'!$A:$C,3,0),"")</f>
        <v/>
      </c>
      <c r="L1507" s="528">
        <f>IF(E1507="STL",Pricing!$D$38,IF(A1507="",0,IF(A1507&lt;Pricing!$C$25,Pricing!$D$25,VLOOKUP(Disbursements!$F1507,Pricing!$B$29:$D$32,3))))</f>
        <v>0</v>
      </c>
      <c r="M1507" s="528">
        <f>IF(E1507="STL",0,IF(F1507&gt;0,Pricing!$D$21,0))</f>
        <v>0</v>
      </c>
      <c r="N1507" s="529">
        <f>IF(E1507="STL",F1507*Pricing!$D$40,IF(A1507&lt;=Pricing!$C$4,0,IF(AND(A1507&gt;Pricing!$C$4,Disbursements!A1507&lt;=Pricing!$C$5),F1507*Pricing!$E$5,IF(AND(A1507&gt;Pricing!$C$5,Disbursements!A1507&lt;=Pricing!$C$7),VLOOKUP(F1507,Pricing!$D$7:$E$8,2)*Disbursements!F1507,F1507*Pricing!$E$9))))</f>
        <v>0</v>
      </c>
      <c r="O1507" s="528">
        <f>IF(E1507="STL",0,IF($F1507&gt;0,$F1507*Pricing!$D$17,0))</f>
        <v>0</v>
      </c>
      <c r="P1507" s="530" t="str">
        <f t="shared" si="620"/>
        <v/>
      </c>
      <c r="Q1507" s="531" t="str">
        <f>IF($A1507="","",$G1507/VLOOKUP($I1507,Ref!$B$23:$D$29,2,0))</f>
        <v/>
      </c>
      <c r="R1507" s="530" t="str">
        <f t="shared" si="621"/>
        <v/>
      </c>
      <c r="S1507" s="532" t="str">
        <f t="shared" si="615"/>
        <v/>
      </c>
      <c r="T1507" s="531" t="str">
        <f t="shared" si="622"/>
        <v/>
      </c>
      <c r="U1507" s="533">
        <f t="shared" si="623"/>
        <v>0</v>
      </c>
      <c r="V1507" s="531" t="str">
        <f t="shared" si="624"/>
        <v/>
      </c>
      <c r="W1507" s="531" t="str">
        <f t="shared" si="625"/>
        <v/>
      </c>
      <c r="X1507" s="534" t="str">
        <f t="shared" si="626"/>
        <v/>
      </c>
      <c r="Y1507" s="535" t="str">
        <f>IF($A1507="","",IF($I1507="weekly",$A1507+7,EDATE($A1507,VLOOKUP($I1507,Ref!$B$24:$C$29,2,0))))</f>
        <v/>
      </c>
      <c r="Z1507" s="536" t="str">
        <f t="shared" si="627"/>
        <v/>
      </c>
      <c r="AA1507" s="531">
        <f t="shared" si="628"/>
        <v>0</v>
      </c>
      <c r="AB1507" s="535" t="str">
        <f t="shared" si="616"/>
        <v/>
      </c>
      <c r="AC1507" s="537" t="str">
        <f t="shared" si="617"/>
        <v/>
      </c>
      <c r="AD1507" s="538" t="str">
        <f t="shared" ca="1" si="618"/>
        <v/>
      </c>
      <c r="AE1507" s="537">
        <f t="shared" ca="1" si="619"/>
        <v>0</v>
      </c>
      <c r="AF1507" s="539" t="str">
        <f t="shared" ca="1" si="629"/>
        <v/>
      </c>
      <c r="AG1507" s="531" t="str">
        <f t="shared" ca="1" si="630"/>
        <v/>
      </c>
      <c r="AH1507" s="531" t="str">
        <f t="shared" ca="1" si="631"/>
        <v/>
      </c>
      <c r="AI1507" s="531" t="str">
        <f t="shared" ca="1" si="632"/>
        <v/>
      </c>
      <c r="AJ1507" s="531" t="str">
        <f t="shared" si="633"/>
        <v/>
      </c>
      <c r="AK1507" s="540">
        <f>SUMIFS('Live Collections'!$S:$S,'Live Collections'!$D:$D,Disbursements!B1507,'Live Collections'!$G:$G,Disbursements!C1507)</f>
        <v>0</v>
      </c>
      <c r="AL1507" s="540">
        <f>SUMIFS('Live Collections'!$T:$T,'Live Collections'!$D:$D,Disbursements!B1507,'Live Collections'!$G:$G,Disbursements!C1507)</f>
        <v>0</v>
      </c>
      <c r="AM1507" s="541">
        <f t="shared" si="634"/>
        <v>0</v>
      </c>
      <c r="AN1507" s="542" t="str">
        <f t="shared" si="635"/>
        <v/>
      </c>
      <c r="AO1507" s="542" t="str">
        <f t="shared" si="636"/>
        <v/>
      </c>
      <c r="AP1507" s="543" t="str">
        <f t="shared" si="637"/>
        <v/>
      </c>
      <c r="AQ1507" s="544" t="str">
        <f t="shared" si="638"/>
        <v/>
      </c>
      <c r="AR1507" s="545">
        <f t="shared" si="639"/>
        <v>0</v>
      </c>
      <c r="AS1507" s="545">
        <f>IFERROR(CEILING($AR1507*VLOOKUP($I1507,Ref!$B$23:$E$29,4,0),1),0)</f>
        <v>0</v>
      </c>
      <c r="AT1507" s="545" t="str">
        <f>IF(A1507="","",IF(AP1507&lt;=1,"Cleared",IF(AS1507=0,"Clean",VLOOKUP($AS1507,Ref!$G$23:$H$28,2))))</f>
        <v/>
      </c>
      <c r="AU1507" s="546" t="str">
        <f t="shared" si="640"/>
        <v/>
      </c>
    </row>
    <row r="1508" spans="1:47" ht="14.25" hidden="1" customHeight="1" x14ac:dyDescent="0.15">
      <c r="A1508" s="575"/>
      <c r="B1508" s="548"/>
      <c r="C1508" s="548"/>
      <c r="D1508" s="548"/>
      <c r="E1508" s="583"/>
      <c r="F1508" s="584"/>
      <c r="G1508" s="548"/>
      <c r="H1508" s="550"/>
      <c r="I1508" s="560"/>
      <c r="J1508" s="548"/>
      <c r="K1508" s="528" t="str">
        <f>IFERROR(VLOOKUP($B1508,'Clients-Live'!$A:$C,3,0),"")</f>
        <v/>
      </c>
      <c r="L1508" s="528">
        <f>IF(E1508="STL",Pricing!$D$38,IF(A1508="",0,IF(A1508&lt;Pricing!$C$25,Pricing!$D$25,VLOOKUP(Disbursements!$F1508,Pricing!$B$29:$D$32,3))))</f>
        <v>0</v>
      </c>
      <c r="M1508" s="528">
        <f>IF(E1508="STL",0,IF(F1508&gt;0,Pricing!$D$21,0))</f>
        <v>0</v>
      </c>
      <c r="N1508" s="529">
        <f>IF(E1508="STL",F1508*Pricing!$D$40,IF(A1508&lt;=Pricing!$C$4,0,IF(AND(A1508&gt;Pricing!$C$4,Disbursements!A1508&lt;=Pricing!$C$5),F1508*Pricing!$E$5,IF(AND(A1508&gt;Pricing!$C$5,Disbursements!A1508&lt;=Pricing!$C$7),VLOOKUP(F1508,Pricing!$D$7:$E$8,2)*Disbursements!F1508,F1508*Pricing!$E$9))))</f>
        <v>0</v>
      </c>
      <c r="O1508" s="528">
        <f>IF(E1508="STL",0,IF($F1508&gt;0,$F1508*Pricing!$D$17,0))</f>
        <v>0</v>
      </c>
      <c r="P1508" s="530" t="str">
        <f t="shared" si="620"/>
        <v/>
      </c>
      <c r="Q1508" s="531" t="str">
        <f>IF($A1508="","",$G1508/VLOOKUP($I1508,Ref!$B$23:$D$29,2,0))</f>
        <v/>
      </c>
      <c r="R1508" s="530" t="str">
        <f t="shared" si="621"/>
        <v/>
      </c>
      <c r="S1508" s="532" t="str">
        <f t="shared" si="615"/>
        <v/>
      </c>
      <c r="T1508" s="531" t="str">
        <f t="shared" si="622"/>
        <v/>
      </c>
      <c r="U1508" s="533">
        <f t="shared" si="623"/>
        <v>0</v>
      </c>
      <c r="V1508" s="531" t="str">
        <f t="shared" si="624"/>
        <v/>
      </c>
      <c r="W1508" s="531" t="str">
        <f t="shared" si="625"/>
        <v/>
      </c>
      <c r="X1508" s="534" t="str">
        <f t="shared" si="626"/>
        <v/>
      </c>
      <c r="Y1508" s="535" t="str">
        <f>IF($A1508="","",IF($I1508="weekly",$A1508+7,EDATE($A1508,VLOOKUP($I1508,Ref!$B$24:$C$29,2,0))))</f>
        <v/>
      </c>
      <c r="Z1508" s="536" t="str">
        <f t="shared" si="627"/>
        <v/>
      </c>
      <c r="AA1508" s="531">
        <f t="shared" si="628"/>
        <v>0</v>
      </c>
      <c r="AB1508" s="535" t="str">
        <f t="shared" si="616"/>
        <v/>
      </c>
      <c r="AC1508" s="537" t="str">
        <f t="shared" si="617"/>
        <v/>
      </c>
      <c r="AD1508" s="538" t="str">
        <f t="shared" ca="1" si="618"/>
        <v/>
      </c>
      <c r="AE1508" s="537">
        <f t="shared" ca="1" si="619"/>
        <v>0</v>
      </c>
      <c r="AF1508" s="539" t="str">
        <f t="shared" ca="1" si="629"/>
        <v/>
      </c>
      <c r="AG1508" s="531" t="str">
        <f t="shared" ca="1" si="630"/>
        <v/>
      </c>
      <c r="AH1508" s="531" t="str">
        <f t="shared" ca="1" si="631"/>
        <v/>
      </c>
      <c r="AI1508" s="531" t="str">
        <f t="shared" ca="1" si="632"/>
        <v/>
      </c>
      <c r="AJ1508" s="531" t="str">
        <f t="shared" si="633"/>
        <v/>
      </c>
      <c r="AK1508" s="540">
        <f>SUMIFS('Live Collections'!$S:$S,'Live Collections'!$D:$D,Disbursements!B1508,'Live Collections'!$G:$G,Disbursements!C1508)</f>
        <v>0</v>
      </c>
      <c r="AL1508" s="540">
        <f>SUMIFS('Live Collections'!$T:$T,'Live Collections'!$D:$D,Disbursements!B1508,'Live Collections'!$G:$G,Disbursements!C1508)</f>
        <v>0</v>
      </c>
      <c r="AM1508" s="541">
        <f t="shared" si="634"/>
        <v>0</v>
      </c>
      <c r="AN1508" s="542" t="str">
        <f t="shared" si="635"/>
        <v/>
      </c>
      <c r="AO1508" s="542" t="str">
        <f t="shared" si="636"/>
        <v/>
      </c>
      <c r="AP1508" s="543" t="str">
        <f t="shared" si="637"/>
        <v/>
      </c>
      <c r="AQ1508" s="544" t="str">
        <f t="shared" si="638"/>
        <v/>
      </c>
      <c r="AR1508" s="545">
        <f t="shared" si="639"/>
        <v>0</v>
      </c>
      <c r="AS1508" s="545">
        <f>IFERROR(CEILING($AR1508*VLOOKUP($I1508,Ref!$B$23:$E$29,4,0),1),0)</f>
        <v>0</v>
      </c>
      <c r="AT1508" s="545" t="str">
        <f>IF(A1508="","",IF(AP1508&lt;=1,"Cleared",IF(AS1508=0,"Clean",VLOOKUP($AS1508,Ref!$G$23:$H$28,2))))</f>
        <v/>
      </c>
      <c r="AU1508" s="546" t="str">
        <f t="shared" si="640"/>
        <v/>
      </c>
    </row>
    <row r="1509" spans="1:47" ht="14.25" hidden="1" customHeight="1" x14ac:dyDescent="0.15">
      <c r="A1509" s="575"/>
      <c r="B1509" s="548"/>
      <c r="C1509" s="548"/>
      <c r="D1509" s="548"/>
      <c r="E1509" s="583"/>
      <c r="F1509" s="584"/>
      <c r="G1509" s="548"/>
      <c r="H1509" s="550"/>
      <c r="I1509" s="560"/>
      <c r="J1509" s="548"/>
      <c r="K1509" s="528" t="str">
        <f>IFERROR(VLOOKUP($B1509,'Clients-Live'!$A:$C,3,0),"")</f>
        <v/>
      </c>
      <c r="L1509" s="528">
        <f>IF(E1509="STL",Pricing!$D$38,IF(A1509="",0,IF(A1509&lt;Pricing!$C$25,Pricing!$D$25,VLOOKUP(Disbursements!$F1509,Pricing!$B$29:$D$32,3))))</f>
        <v>0</v>
      </c>
      <c r="M1509" s="528">
        <f>IF(E1509="STL",0,IF(F1509&gt;0,Pricing!$D$21,0))</f>
        <v>0</v>
      </c>
      <c r="N1509" s="529">
        <f>IF(E1509="STL",F1509*Pricing!$D$40,IF(A1509&lt;=Pricing!$C$4,0,IF(AND(A1509&gt;Pricing!$C$4,Disbursements!A1509&lt;=Pricing!$C$5),F1509*Pricing!$E$5,IF(AND(A1509&gt;Pricing!$C$5,Disbursements!A1509&lt;=Pricing!$C$7),VLOOKUP(F1509,Pricing!$D$7:$E$8,2)*Disbursements!F1509,F1509*Pricing!$E$9))))</f>
        <v>0</v>
      </c>
      <c r="O1509" s="528">
        <f>IF(E1509="STL",0,IF($F1509&gt;0,$F1509*Pricing!$D$17,0))</f>
        <v>0</v>
      </c>
      <c r="P1509" s="530" t="str">
        <f t="shared" si="620"/>
        <v/>
      </c>
      <c r="Q1509" s="531" t="str">
        <f>IF($A1509="","",$G1509/VLOOKUP($I1509,Ref!$B$23:$D$29,2,0))</f>
        <v/>
      </c>
      <c r="R1509" s="530" t="str">
        <f t="shared" si="621"/>
        <v/>
      </c>
      <c r="S1509" s="532" t="str">
        <f t="shared" si="615"/>
        <v/>
      </c>
      <c r="T1509" s="531" t="str">
        <f t="shared" si="622"/>
        <v/>
      </c>
      <c r="U1509" s="533">
        <f t="shared" si="623"/>
        <v>0</v>
      </c>
      <c r="V1509" s="531" t="str">
        <f t="shared" si="624"/>
        <v/>
      </c>
      <c r="W1509" s="531" t="str">
        <f t="shared" si="625"/>
        <v/>
      </c>
      <c r="X1509" s="534" t="str">
        <f t="shared" si="626"/>
        <v/>
      </c>
      <c r="Y1509" s="535" t="str">
        <f>IF($A1509="","",IF($I1509="weekly",$A1509+7,EDATE($A1509,VLOOKUP($I1509,Ref!$B$24:$C$29,2,0))))</f>
        <v/>
      </c>
      <c r="Z1509" s="536" t="str">
        <f t="shared" si="627"/>
        <v/>
      </c>
      <c r="AA1509" s="531">
        <f t="shared" si="628"/>
        <v>0</v>
      </c>
      <c r="AB1509" s="535" t="str">
        <f t="shared" si="616"/>
        <v/>
      </c>
      <c r="AC1509" s="537" t="str">
        <f t="shared" si="617"/>
        <v/>
      </c>
      <c r="AD1509" s="538" t="str">
        <f t="shared" ca="1" si="618"/>
        <v/>
      </c>
      <c r="AE1509" s="537">
        <f t="shared" ca="1" si="619"/>
        <v>0</v>
      </c>
      <c r="AF1509" s="539" t="str">
        <f t="shared" ca="1" si="629"/>
        <v/>
      </c>
      <c r="AG1509" s="531" t="str">
        <f t="shared" ca="1" si="630"/>
        <v/>
      </c>
      <c r="AH1509" s="531" t="str">
        <f t="shared" ca="1" si="631"/>
        <v/>
      </c>
      <c r="AI1509" s="531" t="str">
        <f t="shared" ca="1" si="632"/>
        <v/>
      </c>
      <c r="AJ1509" s="531" t="str">
        <f t="shared" si="633"/>
        <v/>
      </c>
      <c r="AK1509" s="540">
        <f>SUMIFS('Live Collections'!$S:$S,'Live Collections'!$D:$D,Disbursements!B1509,'Live Collections'!$G:$G,Disbursements!C1509)</f>
        <v>0</v>
      </c>
      <c r="AL1509" s="540">
        <f>SUMIFS('Live Collections'!$T:$T,'Live Collections'!$D:$D,Disbursements!B1509,'Live Collections'!$G:$G,Disbursements!C1509)</f>
        <v>0</v>
      </c>
      <c r="AM1509" s="541">
        <f t="shared" si="634"/>
        <v>0</v>
      </c>
      <c r="AN1509" s="542" t="str">
        <f t="shared" si="635"/>
        <v/>
      </c>
      <c r="AO1509" s="542" t="str">
        <f t="shared" si="636"/>
        <v/>
      </c>
      <c r="AP1509" s="543" t="str">
        <f t="shared" si="637"/>
        <v/>
      </c>
      <c r="AQ1509" s="544" t="str">
        <f t="shared" si="638"/>
        <v/>
      </c>
      <c r="AR1509" s="545">
        <f t="shared" si="639"/>
        <v>0</v>
      </c>
      <c r="AS1509" s="545">
        <f>IFERROR(CEILING($AR1509*VLOOKUP($I1509,Ref!$B$23:$E$29,4,0),1),0)</f>
        <v>0</v>
      </c>
      <c r="AT1509" s="545" t="str">
        <f>IF(A1509="","",IF(AP1509&lt;=1,"Cleared",IF(AS1509=0,"Clean",VLOOKUP($AS1509,Ref!$G$23:$H$28,2))))</f>
        <v/>
      </c>
      <c r="AU1509" s="546" t="str">
        <f t="shared" si="640"/>
        <v/>
      </c>
    </row>
    <row r="1510" spans="1:47" ht="14.25" hidden="1" customHeight="1" x14ac:dyDescent="0.15">
      <c r="A1510" s="575"/>
      <c r="B1510" s="548"/>
      <c r="C1510" s="548"/>
      <c r="D1510" s="548"/>
      <c r="E1510" s="583"/>
      <c r="F1510" s="584"/>
      <c r="G1510" s="548"/>
      <c r="H1510" s="550"/>
      <c r="I1510" s="560"/>
      <c r="J1510" s="548"/>
      <c r="K1510" s="528" t="str">
        <f>IFERROR(VLOOKUP($B1510,'Clients-Live'!$A:$C,3,0),"")</f>
        <v/>
      </c>
      <c r="L1510" s="528">
        <f>IF(E1510="STL",Pricing!$D$38,IF(A1510="",0,IF(A1510&lt;Pricing!$C$25,Pricing!$D$25,VLOOKUP(Disbursements!$F1510,Pricing!$B$29:$D$32,3))))</f>
        <v>0</v>
      </c>
      <c r="M1510" s="528">
        <f>IF(E1510="STL",0,IF(F1510&gt;0,Pricing!$D$21,0))</f>
        <v>0</v>
      </c>
      <c r="N1510" s="529">
        <f>IF(E1510="STL",F1510*Pricing!$D$40,IF(A1510&lt;=Pricing!$C$4,0,IF(AND(A1510&gt;Pricing!$C$4,Disbursements!A1510&lt;=Pricing!$C$5),F1510*Pricing!$E$5,IF(AND(A1510&gt;Pricing!$C$5,Disbursements!A1510&lt;=Pricing!$C$7),VLOOKUP(F1510,Pricing!$D$7:$E$8,2)*Disbursements!F1510,F1510*Pricing!$E$9))))</f>
        <v>0</v>
      </c>
      <c r="O1510" s="528">
        <f>IF(E1510="STL",0,IF($F1510&gt;0,$F1510*Pricing!$D$17,0))</f>
        <v>0</v>
      </c>
      <c r="P1510" s="530" t="str">
        <f t="shared" si="620"/>
        <v/>
      </c>
      <c r="Q1510" s="531" t="str">
        <f>IF($A1510="","",$G1510/VLOOKUP($I1510,Ref!$B$23:$D$29,2,0))</f>
        <v/>
      </c>
      <c r="R1510" s="530" t="str">
        <f t="shared" si="621"/>
        <v/>
      </c>
      <c r="S1510" s="532" t="str">
        <f t="shared" si="615"/>
        <v/>
      </c>
      <c r="T1510" s="531" t="str">
        <f t="shared" si="622"/>
        <v/>
      </c>
      <c r="U1510" s="533">
        <f t="shared" si="623"/>
        <v>0</v>
      </c>
      <c r="V1510" s="531" t="str">
        <f t="shared" si="624"/>
        <v/>
      </c>
      <c r="W1510" s="531" t="str">
        <f t="shared" si="625"/>
        <v/>
      </c>
      <c r="X1510" s="534" t="str">
        <f t="shared" si="626"/>
        <v/>
      </c>
      <c r="Y1510" s="535" t="str">
        <f>IF($A1510="","",IF($I1510="weekly",$A1510+7,EDATE($A1510,VLOOKUP($I1510,Ref!$B$24:$C$29,2,0))))</f>
        <v/>
      </c>
      <c r="Z1510" s="536" t="str">
        <f t="shared" si="627"/>
        <v/>
      </c>
      <c r="AA1510" s="531">
        <f t="shared" si="628"/>
        <v>0</v>
      </c>
      <c r="AB1510" s="535" t="str">
        <f t="shared" si="616"/>
        <v/>
      </c>
      <c r="AC1510" s="537" t="str">
        <f t="shared" si="617"/>
        <v/>
      </c>
      <c r="AD1510" s="538" t="str">
        <f t="shared" ca="1" si="618"/>
        <v/>
      </c>
      <c r="AE1510" s="537">
        <f t="shared" ca="1" si="619"/>
        <v>0</v>
      </c>
      <c r="AF1510" s="539" t="str">
        <f t="shared" ca="1" si="629"/>
        <v/>
      </c>
      <c r="AG1510" s="531" t="str">
        <f t="shared" ca="1" si="630"/>
        <v/>
      </c>
      <c r="AH1510" s="531" t="str">
        <f t="shared" ca="1" si="631"/>
        <v/>
      </c>
      <c r="AI1510" s="531" t="str">
        <f t="shared" ca="1" si="632"/>
        <v/>
      </c>
      <c r="AJ1510" s="531" t="str">
        <f t="shared" si="633"/>
        <v/>
      </c>
      <c r="AK1510" s="540">
        <f>SUMIFS('Live Collections'!$S:$S,'Live Collections'!$D:$D,Disbursements!B1510,'Live Collections'!$G:$G,Disbursements!C1510)</f>
        <v>0</v>
      </c>
      <c r="AL1510" s="540">
        <f>SUMIFS('Live Collections'!$T:$T,'Live Collections'!$D:$D,Disbursements!B1510,'Live Collections'!$G:$G,Disbursements!C1510)</f>
        <v>0</v>
      </c>
      <c r="AM1510" s="541">
        <f t="shared" si="634"/>
        <v>0</v>
      </c>
      <c r="AN1510" s="542" t="str">
        <f t="shared" si="635"/>
        <v/>
      </c>
      <c r="AO1510" s="542" t="str">
        <f t="shared" si="636"/>
        <v/>
      </c>
      <c r="AP1510" s="543" t="str">
        <f t="shared" si="637"/>
        <v/>
      </c>
      <c r="AQ1510" s="544" t="str">
        <f t="shared" si="638"/>
        <v/>
      </c>
      <c r="AR1510" s="545">
        <f t="shared" si="639"/>
        <v>0</v>
      </c>
      <c r="AS1510" s="545">
        <f>IFERROR(CEILING($AR1510*VLOOKUP($I1510,Ref!$B$23:$E$29,4,0),1),0)</f>
        <v>0</v>
      </c>
      <c r="AT1510" s="545" t="str">
        <f>IF(A1510="","",IF(AP1510&lt;=1,"Cleared",IF(AS1510=0,"Clean",VLOOKUP($AS1510,Ref!$G$23:$H$28,2))))</f>
        <v/>
      </c>
      <c r="AU1510" s="546" t="str">
        <f t="shared" si="640"/>
        <v/>
      </c>
    </row>
    <row r="1511" spans="1:47" ht="14.25" hidden="1" customHeight="1" x14ac:dyDescent="0.15">
      <c r="A1511" s="575"/>
      <c r="B1511" s="548"/>
      <c r="C1511" s="548"/>
      <c r="D1511" s="548"/>
      <c r="E1511" s="583"/>
      <c r="F1511" s="584"/>
      <c r="G1511" s="548"/>
      <c r="H1511" s="550"/>
      <c r="I1511" s="560"/>
      <c r="J1511" s="548"/>
      <c r="K1511" s="528" t="str">
        <f>IFERROR(VLOOKUP($B1511,'Clients-Live'!$A:$C,3,0),"")</f>
        <v/>
      </c>
      <c r="L1511" s="528">
        <f>IF(E1511="STL",Pricing!$D$38,IF(A1511="",0,IF(A1511&lt;Pricing!$C$25,Pricing!$D$25,VLOOKUP(Disbursements!$F1511,Pricing!$B$29:$D$32,3))))</f>
        <v>0</v>
      </c>
      <c r="M1511" s="528">
        <f>IF(E1511="STL",0,IF(F1511&gt;0,Pricing!$D$21,0))</f>
        <v>0</v>
      </c>
      <c r="N1511" s="529">
        <f>IF(E1511="STL",F1511*Pricing!$D$40,IF(A1511&lt;=Pricing!$C$4,0,IF(AND(A1511&gt;Pricing!$C$4,Disbursements!A1511&lt;=Pricing!$C$5),F1511*Pricing!$E$5,IF(AND(A1511&gt;Pricing!$C$5,Disbursements!A1511&lt;=Pricing!$C$7),VLOOKUP(F1511,Pricing!$D$7:$E$8,2)*Disbursements!F1511,F1511*Pricing!$E$9))))</f>
        <v>0</v>
      </c>
      <c r="O1511" s="528">
        <f>IF(E1511="STL",0,IF($F1511&gt;0,$F1511*Pricing!$D$17,0))</f>
        <v>0</v>
      </c>
      <c r="P1511" s="530" t="str">
        <f t="shared" si="620"/>
        <v/>
      </c>
      <c r="Q1511" s="531" t="str">
        <f>IF($A1511="","",$G1511/VLOOKUP($I1511,Ref!$B$23:$D$29,2,0))</f>
        <v/>
      </c>
      <c r="R1511" s="530" t="str">
        <f t="shared" si="621"/>
        <v/>
      </c>
      <c r="S1511" s="532" t="str">
        <f t="shared" si="615"/>
        <v/>
      </c>
      <c r="T1511" s="531" t="str">
        <f t="shared" si="622"/>
        <v/>
      </c>
      <c r="U1511" s="533">
        <f t="shared" si="623"/>
        <v>0</v>
      </c>
      <c r="V1511" s="531" t="str">
        <f t="shared" si="624"/>
        <v/>
      </c>
      <c r="W1511" s="531" t="str">
        <f t="shared" si="625"/>
        <v/>
      </c>
      <c r="X1511" s="534" t="str">
        <f t="shared" si="626"/>
        <v/>
      </c>
      <c r="Y1511" s="535" t="str">
        <f>IF($A1511="","",IF($I1511="weekly",$A1511+7,EDATE($A1511,VLOOKUP($I1511,Ref!$B$24:$C$29,2,0))))</f>
        <v/>
      </c>
      <c r="Z1511" s="536" t="str">
        <f t="shared" si="627"/>
        <v/>
      </c>
      <c r="AA1511" s="531">
        <f t="shared" si="628"/>
        <v>0</v>
      </c>
      <c r="AB1511" s="535" t="str">
        <f t="shared" si="616"/>
        <v/>
      </c>
      <c r="AC1511" s="537" t="str">
        <f t="shared" si="617"/>
        <v/>
      </c>
      <c r="AD1511" s="538" t="str">
        <f t="shared" ca="1" si="618"/>
        <v/>
      </c>
      <c r="AE1511" s="537">
        <f t="shared" ca="1" si="619"/>
        <v>0</v>
      </c>
      <c r="AF1511" s="539" t="str">
        <f t="shared" ca="1" si="629"/>
        <v/>
      </c>
      <c r="AG1511" s="531" t="str">
        <f t="shared" ca="1" si="630"/>
        <v/>
      </c>
      <c r="AH1511" s="531" t="str">
        <f t="shared" ca="1" si="631"/>
        <v/>
      </c>
      <c r="AI1511" s="531" t="str">
        <f t="shared" ca="1" si="632"/>
        <v/>
      </c>
      <c r="AJ1511" s="531" t="str">
        <f t="shared" si="633"/>
        <v/>
      </c>
      <c r="AK1511" s="540">
        <f>SUMIFS('Live Collections'!$S:$S,'Live Collections'!$D:$D,Disbursements!B1511,'Live Collections'!$G:$G,Disbursements!C1511)</f>
        <v>0</v>
      </c>
      <c r="AL1511" s="540">
        <f>SUMIFS('Live Collections'!$T:$T,'Live Collections'!$D:$D,Disbursements!B1511,'Live Collections'!$G:$G,Disbursements!C1511)</f>
        <v>0</v>
      </c>
      <c r="AM1511" s="541">
        <f t="shared" si="634"/>
        <v>0</v>
      </c>
      <c r="AN1511" s="542" t="str">
        <f t="shared" si="635"/>
        <v/>
      </c>
      <c r="AO1511" s="542" t="str">
        <f t="shared" si="636"/>
        <v/>
      </c>
      <c r="AP1511" s="543" t="str">
        <f t="shared" si="637"/>
        <v/>
      </c>
      <c r="AQ1511" s="544" t="str">
        <f t="shared" si="638"/>
        <v/>
      </c>
      <c r="AR1511" s="545">
        <f t="shared" si="639"/>
        <v>0</v>
      </c>
      <c r="AS1511" s="545">
        <f>IFERROR(CEILING($AR1511*VLOOKUP($I1511,Ref!$B$23:$E$29,4,0),1),0)</f>
        <v>0</v>
      </c>
      <c r="AT1511" s="545" t="str">
        <f>IF(A1511="","",IF(AP1511&lt;=1,"Cleared",IF(AS1511=0,"Clean",VLOOKUP($AS1511,Ref!$G$23:$H$28,2))))</f>
        <v/>
      </c>
      <c r="AU1511" s="546" t="str">
        <f t="shared" si="640"/>
        <v/>
      </c>
    </row>
    <row r="1512" spans="1:47" ht="14.25" hidden="1" customHeight="1" x14ac:dyDescent="0.15">
      <c r="A1512" s="575"/>
      <c r="B1512" s="548"/>
      <c r="C1512" s="548"/>
      <c r="D1512" s="548"/>
      <c r="E1512" s="583"/>
      <c r="F1512" s="584"/>
      <c r="G1512" s="548"/>
      <c r="H1512" s="550"/>
      <c r="I1512" s="560"/>
      <c r="J1512" s="548"/>
      <c r="K1512" s="528" t="str">
        <f>IFERROR(VLOOKUP($B1512,'Clients-Live'!$A:$C,3,0),"")</f>
        <v/>
      </c>
      <c r="L1512" s="528">
        <f>IF(E1512="STL",Pricing!$D$38,IF(A1512="",0,IF(A1512&lt;Pricing!$C$25,Pricing!$D$25,VLOOKUP(Disbursements!$F1512,Pricing!$B$29:$D$32,3))))</f>
        <v>0</v>
      </c>
      <c r="M1512" s="528">
        <f>IF(E1512="STL",0,IF(F1512&gt;0,Pricing!$D$21,0))</f>
        <v>0</v>
      </c>
      <c r="N1512" s="529">
        <f>IF(E1512="STL",F1512*Pricing!$D$40,IF(A1512&lt;=Pricing!$C$4,0,IF(AND(A1512&gt;Pricing!$C$4,Disbursements!A1512&lt;=Pricing!$C$5),F1512*Pricing!$E$5,IF(AND(A1512&gt;Pricing!$C$5,Disbursements!A1512&lt;=Pricing!$C$7),VLOOKUP(F1512,Pricing!$D$7:$E$8,2)*Disbursements!F1512,F1512*Pricing!$E$9))))</f>
        <v>0</v>
      </c>
      <c r="O1512" s="528">
        <f>IF(E1512="STL",0,IF($F1512&gt;0,$F1512*Pricing!$D$17,0))</f>
        <v>0</v>
      </c>
      <c r="P1512" s="530" t="str">
        <f t="shared" si="620"/>
        <v/>
      </c>
      <c r="Q1512" s="531" t="str">
        <f>IF($A1512="","",$G1512/VLOOKUP($I1512,Ref!$B$23:$D$29,2,0))</f>
        <v/>
      </c>
      <c r="R1512" s="530" t="str">
        <f t="shared" si="621"/>
        <v/>
      </c>
      <c r="S1512" s="532" t="str">
        <f t="shared" si="615"/>
        <v/>
      </c>
      <c r="T1512" s="531" t="str">
        <f t="shared" si="622"/>
        <v/>
      </c>
      <c r="U1512" s="533">
        <f t="shared" si="623"/>
        <v>0</v>
      </c>
      <c r="V1512" s="531" t="str">
        <f t="shared" si="624"/>
        <v/>
      </c>
      <c r="W1512" s="531" t="str">
        <f t="shared" si="625"/>
        <v/>
      </c>
      <c r="X1512" s="534" t="str">
        <f t="shared" si="626"/>
        <v/>
      </c>
      <c r="Y1512" s="535" t="str">
        <f>IF($A1512="","",IF($I1512="weekly",$A1512+7,EDATE($A1512,VLOOKUP($I1512,Ref!$B$24:$C$29,2,0))))</f>
        <v/>
      </c>
      <c r="Z1512" s="536" t="str">
        <f t="shared" si="627"/>
        <v/>
      </c>
      <c r="AA1512" s="531">
        <f t="shared" si="628"/>
        <v>0</v>
      </c>
      <c r="AB1512" s="535" t="str">
        <f t="shared" si="616"/>
        <v/>
      </c>
      <c r="AC1512" s="537" t="str">
        <f t="shared" si="617"/>
        <v/>
      </c>
      <c r="AD1512" s="538" t="str">
        <f t="shared" ca="1" si="618"/>
        <v/>
      </c>
      <c r="AE1512" s="537">
        <f t="shared" ca="1" si="619"/>
        <v>0</v>
      </c>
      <c r="AF1512" s="539" t="str">
        <f t="shared" ca="1" si="629"/>
        <v/>
      </c>
      <c r="AG1512" s="531" t="str">
        <f t="shared" ca="1" si="630"/>
        <v/>
      </c>
      <c r="AH1512" s="531" t="str">
        <f t="shared" ca="1" si="631"/>
        <v/>
      </c>
      <c r="AI1512" s="531" t="str">
        <f t="shared" ca="1" si="632"/>
        <v/>
      </c>
      <c r="AJ1512" s="531" t="str">
        <f t="shared" si="633"/>
        <v/>
      </c>
      <c r="AK1512" s="540">
        <f>SUMIFS('Live Collections'!$S:$S,'Live Collections'!$D:$D,Disbursements!B1512,'Live Collections'!$G:$G,Disbursements!C1512)</f>
        <v>0</v>
      </c>
      <c r="AL1512" s="540">
        <f>SUMIFS('Live Collections'!$T:$T,'Live Collections'!$D:$D,Disbursements!B1512,'Live Collections'!$G:$G,Disbursements!C1512)</f>
        <v>0</v>
      </c>
      <c r="AM1512" s="541">
        <f t="shared" si="634"/>
        <v>0</v>
      </c>
      <c r="AN1512" s="542" t="str">
        <f t="shared" si="635"/>
        <v/>
      </c>
      <c r="AO1512" s="542" t="str">
        <f t="shared" si="636"/>
        <v/>
      </c>
      <c r="AP1512" s="543" t="str">
        <f t="shared" si="637"/>
        <v/>
      </c>
      <c r="AQ1512" s="544" t="str">
        <f t="shared" si="638"/>
        <v/>
      </c>
      <c r="AR1512" s="545">
        <f t="shared" si="639"/>
        <v>0</v>
      </c>
      <c r="AS1512" s="545">
        <f>IFERROR(CEILING($AR1512*VLOOKUP($I1512,Ref!$B$23:$E$29,4,0),1),0)</f>
        <v>0</v>
      </c>
      <c r="AT1512" s="545" t="str">
        <f>IF(A1512="","",IF(AP1512&lt;=1,"Cleared",IF(AS1512=0,"Clean",VLOOKUP($AS1512,Ref!$G$23:$H$28,2))))</f>
        <v/>
      </c>
      <c r="AU1512" s="546" t="str">
        <f t="shared" si="640"/>
        <v/>
      </c>
    </row>
    <row r="1513" spans="1:47" ht="14.25" hidden="1" customHeight="1" x14ac:dyDescent="0.15">
      <c r="A1513" s="575"/>
      <c r="B1513" s="548"/>
      <c r="C1513" s="548"/>
      <c r="D1513" s="548"/>
      <c r="E1513" s="583"/>
      <c r="F1513" s="584"/>
      <c r="G1513" s="548"/>
      <c r="H1513" s="550"/>
      <c r="I1513" s="560"/>
      <c r="J1513" s="548"/>
      <c r="K1513" s="528" t="str">
        <f>IFERROR(VLOOKUP($B1513,'Clients-Live'!$A:$C,3,0),"")</f>
        <v/>
      </c>
      <c r="L1513" s="528">
        <f>IF(E1513="STL",Pricing!$D$38,IF(A1513="",0,IF(A1513&lt;Pricing!$C$25,Pricing!$D$25,VLOOKUP(Disbursements!$F1513,Pricing!$B$29:$D$32,3))))</f>
        <v>0</v>
      </c>
      <c r="M1513" s="528">
        <f>IF(E1513="STL",0,IF(F1513&gt;0,Pricing!$D$21,0))</f>
        <v>0</v>
      </c>
      <c r="N1513" s="529">
        <f>IF(E1513="STL",F1513*Pricing!$D$40,IF(A1513&lt;=Pricing!$C$4,0,IF(AND(A1513&gt;Pricing!$C$4,Disbursements!A1513&lt;=Pricing!$C$5),F1513*Pricing!$E$5,IF(AND(A1513&gt;Pricing!$C$5,Disbursements!A1513&lt;=Pricing!$C$7),VLOOKUP(F1513,Pricing!$D$7:$E$8,2)*Disbursements!F1513,F1513*Pricing!$E$9))))</f>
        <v>0</v>
      </c>
      <c r="O1513" s="528">
        <f>IF(E1513="STL",0,IF($F1513&gt;0,$F1513*Pricing!$D$17,0))</f>
        <v>0</v>
      </c>
      <c r="P1513" s="530" t="str">
        <f t="shared" si="620"/>
        <v/>
      </c>
      <c r="Q1513" s="531" t="str">
        <f>IF($A1513="","",$G1513/VLOOKUP($I1513,Ref!$B$23:$D$29,2,0))</f>
        <v/>
      </c>
      <c r="R1513" s="530" t="str">
        <f t="shared" si="621"/>
        <v/>
      </c>
      <c r="S1513" s="532" t="str">
        <f t="shared" si="615"/>
        <v/>
      </c>
      <c r="T1513" s="531" t="str">
        <f t="shared" si="622"/>
        <v/>
      </c>
      <c r="U1513" s="533">
        <f t="shared" si="623"/>
        <v>0</v>
      </c>
      <c r="V1513" s="531" t="str">
        <f t="shared" si="624"/>
        <v/>
      </c>
      <c r="W1513" s="531" t="str">
        <f t="shared" si="625"/>
        <v/>
      </c>
      <c r="X1513" s="534" t="str">
        <f t="shared" si="626"/>
        <v/>
      </c>
      <c r="Y1513" s="535" t="str">
        <f>IF($A1513="","",IF($I1513="weekly",$A1513+7,EDATE($A1513,VLOOKUP($I1513,Ref!$B$24:$C$29,2,0))))</f>
        <v/>
      </c>
      <c r="Z1513" s="536" t="str">
        <f t="shared" si="627"/>
        <v/>
      </c>
      <c r="AA1513" s="531">
        <f t="shared" si="628"/>
        <v>0</v>
      </c>
      <c r="AB1513" s="535" t="str">
        <f t="shared" si="616"/>
        <v/>
      </c>
      <c r="AC1513" s="537" t="str">
        <f t="shared" si="617"/>
        <v/>
      </c>
      <c r="AD1513" s="538" t="str">
        <f t="shared" ca="1" si="618"/>
        <v/>
      </c>
      <c r="AE1513" s="537">
        <f t="shared" ca="1" si="619"/>
        <v>0</v>
      </c>
      <c r="AF1513" s="539" t="str">
        <f t="shared" ca="1" si="629"/>
        <v/>
      </c>
      <c r="AG1513" s="531" t="str">
        <f t="shared" ca="1" si="630"/>
        <v/>
      </c>
      <c r="AH1513" s="531" t="str">
        <f t="shared" ca="1" si="631"/>
        <v/>
      </c>
      <c r="AI1513" s="531" t="str">
        <f t="shared" ca="1" si="632"/>
        <v/>
      </c>
      <c r="AJ1513" s="531" t="str">
        <f t="shared" si="633"/>
        <v/>
      </c>
      <c r="AK1513" s="540">
        <f>SUMIFS('Live Collections'!$S:$S,'Live Collections'!$D:$D,Disbursements!B1513,'Live Collections'!$G:$G,Disbursements!C1513)</f>
        <v>0</v>
      </c>
      <c r="AL1513" s="540">
        <f>SUMIFS('Live Collections'!$T:$T,'Live Collections'!$D:$D,Disbursements!B1513,'Live Collections'!$G:$G,Disbursements!C1513)</f>
        <v>0</v>
      </c>
      <c r="AM1513" s="541">
        <f t="shared" si="634"/>
        <v>0</v>
      </c>
      <c r="AN1513" s="542" t="str">
        <f t="shared" si="635"/>
        <v/>
      </c>
      <c r="AO1513" s="542" t="str">
        <f t="shared" si="636"/>
        <v/>
      </c>
      <c r="AP1513" s="543" t="str">
        <f t="shared" si="637"/>
        <v/>
      </c>
      <c r="AQ1513" s="544" t="str">
        <f t="shared" si="638"/>
        <v/>
      </c>
      <c r="AR1513" s="545">
        <f t="shared" si="639"/>
        <v>0</v>
      </c>
      <c r="AS1513" s="545">
        <f>IFERROR(CEILING($AR1513*VLOOKUP($I1513,Ref!$B$23:$E$29,4,0),1),0)</f>
        <v>0</v>
      </c>
      <c r="AT1513" s="545" t="str">
        <f>IF(A1513="","",IF(AP1513&lt;=1,"Cleared",IF(AS1513=0,"Clean",VLOOKUP($AS1513,Ref!$G$23:$H$28,2))))</f>
        <v/>
      </c>
      <c r="AU1513" s="546" t="str">
        <f t="shared" si="640"/>
        <v/>
      </c>
    </row>
    <row r="1514" spans="1:47" ht="14.25" hidden="1" customHeight="1" x14ac:dyDescent="0.15">
      <c r="A1514" s="575"/>
      <c r="B1514" s="548"/>
      <c r="C1514" s="548"/>
      <c r="D1514" s="548"/>
      <c r="E1514" s="583"/>
      <c r="F1514" s="584"/>
      <c r="G1514" s="548"/>
      <c r="H1514" s="550"/>
      <c r="I1514" s="560"/>
      <c r="J1514" s="548"/>
      <c r="K1514" s="528" t="str">
        <f>IFERROR(VLOOKUP($B1514,'Clients-Live'!$A:$C,3,0),"")</f>
        <v/>
      </c>
      <c r="L1514" s="528">
        <f>IF(E1514="STL",Pricing!$D$38,IF(A1514="",0,IF(A1514&lt;Pricing!$C$25,Pricing!$D$25,VLOOKUP(Disbursements!$F1514,Pricing!$B$29:$D$32,3))))</f>
        <v>0</v>
      </c>
      <c r="M1514" s="528">
        <f>IF(E1514="STL",0,IF(F1514&gt;0,Pricing!$D$21,0))</f>
        <v>0</v>
      </c>
      <c r="N1514" s="529">
        <f>IF(E1514="STL",F1514*Pricing!$D$40,IF(A1514&lt;=Pricing!$C$4,0,IF(AND(A1514&gt;Pricing!$C$4,Disbursements!A1514&lt;=Pricing!$C$5),F1514*Pricing!$E$5,IF(AND(A1514&gt;Pricing!$C$5,Disbursements!A1514&lt;=Pricing!$C$7),VLOOKUP(F1514,Pricing!$D$7:$E$8,2)*Disbursements!F1514,F1514*Pricing!$E$9))))</f>
        <v>0</v>
      </c>
      <c r="O1514" s="528">
        <f>IF(E1514="STL",0,IF($F1514&gt;0,$F1514*Pricing!$D$17,0))</f>
        <v>0</v>
      </c>
      <c r="P1514" s="530" t="str">
        <f t="shared" si="620"/>
        <v/>
      </c>
      <c r="Q1514" s="531" t="str">
        <f>IF($A1514="","",$G1514/VLOOKUP($I1514,Ref!$B$23:$D$29,2,0))</f>
        <v/>
      </c>
      <c r="R1514" s="530" t="str">
        <f t="shared" si="621"/>
        <v/>
      </c>
      <c r="S1514" s="532" t="str">
        <f t="shared" si="615"/>
        <v/>
      </c>
      <c r="T1514" s="531" t="str">
        <f t="shared" si="622"/>
        <v/>
      </c>
      <c r="U1514" s="533">
        <f t="shared" si="623"/>
        <v>0</v>
      </c>
      <c r="V1514" s="531" t="str">
        <f t="shared" si="624"/>
        <v/>
      </c>
      <c r="W1514" s="531" t="str">
        <f t="shared" si="625"/>
        <v/>
      </c>
      <c r="X1514" s="534" t="str">
        <f t="shared" si="626"/>
        <v/>
      </c>
      <c r="Y1514" s="535" t="str">
        <f>IF($A1514="","",IF($I1514="weekly",$A1514+7,EDATE($A1514,VLOOKUP($I1514,Ref!$B$24:$C$29,2,0))))</f>
        <v/>
      </c>
      <c r="Z1514" s="536" t="str">
        <f t="shared" si="627"/>
        <v/>
      </c>
      <c r="AA1514" s="531">
        <f t="shared" si="628"/>
        <v>0</v>
      </c>
      <c r="AB1514" s="535" t="str">
        <f t="shared" si="616"/>
        <v/>
      </c>
      <c r="AC1514" s="537" t="str">
        <f t="shared" si="617"/>
        <v/>
      </c>
      <c r="AD1514" s="538" t="str">
        <f t="shared" ca="1" si="618"/>
        <v/>
      </c>
      <c r="AE1514" s="537">
        <f t="shared" ca="1" si="619"/>
        <v>0</v>
      </c>
      <c r="AF1514" s="539" t="str">
        <f t="shared" ca="1" si="629"/>
        <v/>
      </c>
      <c r="AG1514" s="531" t="str">
        <f t="shared" ca="1" si="630"/>
        <v/>
      </c>
      <c r="AH1514" s="531" t="str">
        <f t="shared" ca="1" si="631"/>
        <v/>
      </c>
      <c r="AI1514" s="531" t="str">
        <f t="shared" ca="1" si="632"/>
        <v/>
      </c>
      <c r="AJ1514" s="531" t="str">
        <f t="shared" si="633"/>
        <v/>
      </c>
      <c r="AK1514" s="540">
        <f>SUMIFS('Live Collections'!$S:$S,'Live Collections'!$D:$D,Disbursements!B1514,'Live Collections'!$G:$G,Disbursements!C1514)</f>
        <v>0</v>
      </c>
      <c r="AL1514" s="540">
        <f>SUMIFS('Live Collections'!$T:$T,'Live Collections'!$D:$D,Disbursements!B1514,'Live Collections'!$G:$G,Disbursements!C1514)</f>
        <v>0</v>
      </c>
      <c r="AM1514" s="541">
        <f t="shared" si="634"/>
        <v>0</v>
      </c>
      <c r="AN1514" s="542" t="str">
        <f t="shared" si="635"/>
        <v/>
      </c>
      <c r="AO1514" s="542" t="str">
        <f t="shared" si="636"/>
        <v/>
      </c>
      <c r="AP1514" s="543" t="str">
        <f t="shared" si="637"/>
        <v/>
      </c>
      <c r="AQ1514" s="544" t="str">
        <f t="shared" si="638"/>
        <v/>
      </c>
      <c r="AR1514" s="545">
        <f t="shared" si="639"/>
        <v>0</v>
      </c>
      <c r="AS1514" s="545">
        <f>IFERROR(CEILING($AR1514*VLOOKUP($I1514,Ref!$B$23:$E$29,4,0),1),0)</f>
        <v>0</v>
      </c>
      <c r="AT1514" s="545" t="str">
        <f>IF(A1514="","",IF(AP1514&lt;=1,"Cleared",IF(AS1514=0,"Clean",VLOOKUP($AS1514,Ref!$G$23:$H$28,2))))</f>
        <v/>
      </c>
      <c r="AU1514" s="546" t="str">
        <f t="shared" si="640"/>
        <v/>
      </c>
    </row>
    <row r="1515" spans="1:47" ht="14.25" hidden="1" customHeight="1" x14ac:dyDescent="0.15">
      <c r="A1515" s="575"/>
      <c r="B1515" s="548"/>
      <c r="C1515" s="548"/>
      <c r="D1515" s="548"/>
      <c r="E1515" s="583"/>
      <c r="F1515" s="584"/>
      <c r="G1515" s="548"/>
      <c r="H1515" s="550"/>
      <c r="I1515" s="560"/>
      <c r="J1515" s="548"/>
      <c r="K1515" s="528" t="str">
        <f>IFERROR(VLOOKUP($B1515,'Clients-Live'!$A:$C,3,0),"")</f>
        <v/>
      </c>
      <c r="L1515" s="528">
        <f>IF(E1515="STL",Pricing!$D$38,IF(A1515="",0,IF(A1515&lt;Pricing!$C$25,Pricing!$D$25,VLOOKUP(Disbursements!$F1515,Pricing!$B$29:$D$32,3))))</f>
        <v>0</v>
      </c>
      <c r="M1515" s="528">
        <f>IF(E1515="STL",0,IF(F1515&gt;0,Pricing!$D$21,0))</f>
        <v>0</v>
      </c>
      <c r="N1515" s="529">
        <f>IF(E1515="STL",F1515*Pricing!$D$40,IF(A1515&lt;=Pricing!$C$4,0,IF(AND(A1515&gt;Pricing!$C$4,Disbursements!A1515&lt;=Pricing!$C$5),F1515*Pricing!$E$5,IF(AND(A1515&gt;Pricing!$C$5,Disbursements!A1515&lt;=Pricing!$C$7),VLOOKUP(F1515,Pricing!$D$7:$E$8,2)*Disbursements!F1515,F1515*Pricing!$E$9))))</f>
        <v>0</v>
      </c>
      <c r="O1515" s="528">
        <f>IF(E1515="STL",0,IF($F1515&gt;0,$F1515*Pricing!$D$17,0))</f>
        <v>0</v>
      </c>
      <c r="P1515" s="530" t="str">
        <f t="shared" si="620"/>
        <v/>
      </c>
      <c r="Q1515" s="531" t="str">
        <f>IF($A1515="","",$G1515/VLOOKUP($I1515,Ref!$B$23:$D$29,2,0))</f>
        <v/>
      </c>
      <c r="R1515" s="530" t="str">
        <f t="shared" si="621"/>
        <v/>
      </c>
      <c r="S1515" s="532" t="str">
        <f t="shared" si="615"/>
        <v/>
      </c>
      <c r="T1515" s="531" t="str">
        <f t="shared" si="622"/>
        <v/>
      </c>
      <c r="U1515" s="533">
        <f t="shared" si="623"/>
        <v>0</v>
      </c>
      <c r="V1515" s="531" t="str">
        <f t="shared" si="624"/>
        <v/>
      </c>
      <c r="W1515" s="531" t="str">
        <f t="shared" si="625"/>
        <v/>
      </c>
      <c r="X1515" s="534" t="str">
        <f t="shared" si="626"/>
        <v/>
      </c>
      <c r="Y1515" s="535" t="str">
        <f>IF($A1515="","",IF($I1515="weekly",$A1515+7,EDATE($A1515,VLOOKUP($I1515,Ref!$B$24:$C$29,2,0))))</f>
        <v/>
      </c>
      <c r="Z1515" s="536" t="str">
        <f t="shared" si="627"/>
        <v/>
      </c>
      <c r="AA1515" s="531">
        <f t="shared" si="628"/>
        <v>0</v>
      </c>
      <c r="AB1515" s="535" t="str">
        <f t="shared" si="616"/>
        <v/>
      </c>
      <c r="AC1515" s="537" t="str">
        <f t="shared" si="617"/>
        <v/>
      </c>
      <c r="AD1515" s="538" t="str">
        <f t="shared" ca="1" si="618"/>
        <v/>
      </c>
      <c r="AE1515" s="537">
        <f t="shared" ca="1" si="619"/>
        <v>0</v>
      </c>
      <c r="AF1515" s="539" t="str">
        <f t="shared" ca="1" si="629"/>
        <v/>
      </c>
      <c r="AG1515" s="531" t="str">
        <f t="shared" ca="1" si="630"/>
        <v/>
      </c>
      <c r="AH1515" s="531" t="str">
        <f t="shared" ca="1" si="631"/>
        <v/>
      </c>
      <c r="AI1515" s="531" t="str">
        <f t="shared" ca="1" si="632"/>
        <v/>
      </c>
      <c r="AJ1515" s="531" t="str">
        <f t="shared" si="633"/>
        <v/>
      </c>
      <c r="AK1515" s="540">
        <f>SUMIFS('Live Collections'!$S:$S,'Live Collections'!$D:$D,Disbursements!B1515,'Live Collections'!$G:$G,Disbursements!C1515)</f>
        <v>0</v>
      </c>
      <c r="AL1515" s="540">
        <f>SUMIFS('Live Collections'!$T:$T,'Live Collections'!$D:$D,Disbursements!B1515,'Live Collections'!$G:$G,Disbursements!C1515)</f>
        <v>0</v>
      </c>
      <c r="AM1515" s="541">
        <f t="shared" si="634"/>
        <v>0</v>
      </c>
      <c r="AN1515" s="542" t="str">
        <f t="shared" si="635"/>
        <v/>
      </c>
      <c r="AO1515" s="542" t="str">
        <f t="shared" si="636"/>
        <v/>
      </c>
      <c r="AP1515" s="543" t="str">
        <f t="shared" si="637"/>
        <v/>
      </c>
      <c r="AQ1515" s="544" t="str">
        <f t="shared" si="638"/>
        <v/>
      </c>
      <c r="AR1515" s="545">
        <f t="shared" si="639"/>
        <v>0</v>
      </c>
      <c r="AS1515" s="545">
        <f>IFERROR(CEILING($AR1515*VLOOKUP($I1515,Ref!$B$23:$E$29,4,0),1),0)</f>
        <v>0</v>
      </c>
      <c r="AT1515" s="545" t="str">
        <f>IF(A1515="","",IF(AP1515&lt;=1,"Cleared",IF(AS1515=0,"Clean",VLOOKUP($AS1515,Ref!$G$23:$H$28,2))))</f>
        <v/>
      </c>
      <c r="AU1515" s="546" t="str">
        <f t="shared" si="640"/>
        <v/>
      </c>
    </row>
    <row r="1516" spans="1:47" ht="14.25" hidden="1" customHeight="1" x14ac:dyDescent="0.15">
      <c r="A1516" s="575"/>
      <c r="B1516" s="548"/>
      <c r="C1516" s="548"/>
      <c r="D1516" s="548"/>
      <c r="E1516" s="583"/>
      <c r="F1516" s="584"/>
      <c r="G1516" s="548"/>
      <c r="H1516" s="550"/>
      <c r="I1516" s="560"/>
      <c r="J1516" s="548"/>
      <c r="K1516" s="528" t="str">
        <f>IFERROR(VLOOKUP($B1516,'Clients-Live'!$A:$C,3,0),"")</f>
        <v/>
      </c>
      <c r="L1516" s="528">
        <f>IF(E1516="STL",Pricing!$D$38,IF(A1516="",0,IF(A1516&lt;Pricing!$C$25,Pricing!$D$25,VLOOKUP(Disbursements!$F1516,Pricing!$B$29:$D$32,3))))</f>
        <v>0</v>
      </c>
      <c r="M1516" s="528">
        <f>IF(E1516="STL",0,IF(F1516&gt;0,Pricing!$D$21,0))</f>
        <v>0</v>
      </c>
      <c r="N1516" s="529">
        <f>IF(E1516="STL",F1516*Pricing!$D$40,IF(A1516&lt;=Pricing!$C$4,0,IF(AND(A1516&gt;Pricing!$C$4,Disbursements!A1516&lt;=Pricing!$C$5),F1516*Pricing!$E$5,IF(AND(A1516&gt;Pricing!$C$5,Disbursements!A1516&lt;=Pricing!$C$7),VLOOKUP(F1516,Pricing!$D$7:$E$8,2)*Disbursements!F1516,F1516*Pricing!$E$9))))</f>
        <v>0</v>
      </c>
      <c r="O1516" s="528">
        <f>IF(E1516="STL",0,IF($F1516&gt;0,$F1516*Pricing!$D$17,0))</f>
        <v>0</v>
      </c>
      <c r="P1516" s="530" t="str">
        <f t="shared" si="620"/>
        <v/>
      </c>
      <c r="Q1516" s="531" t="str">
        <f>IF($A1516="","",$G1516/VLOOKUP($I1516,Ref!$B$23:$D$29,2,0))</f>
        <v/>
      </c>
      <c r="R1516" s="530" t="str">
        <f t="shared" si="621"/>
        <v/>
      </c>
      <c r="S1516" s="532" t="str">
        <f t="shared" si="615"/>
        <v/>
      </c>
      <c r="T1516" s="531" t="str">
        <f t="shared" si="622"/>
        <v/>
      </c>
      <c r="U1516" s="533">
        <f t="shared" si="623"/>
        <v>0</v>
      </c>
      <c r="V1516" s="531" t="str">
        <f t="shared" si="624"/>
        <v/>
      </c>
      <c r="W1516" s="531" t="str">
        <f t="shared" si="625"/>
        <v/>
      </c>
      <c r="X1516" s="534" t="str">
        <f t="shared" si="626"/>
        <v/>
      </c>
      <c r="Y1516" s="535" t="str">
        <f>IF($A1516="","",IF($I1516="weekly",$A1516+7,EDATE($A1516,VLOOKUP($I1516,Ref!$B$24:$C$29,2,0))))</f>
        <v/>
      </c>
      <c r="Z1516" s="536" t="str">
        <f t="shared" si="627"/>
        <v/>
      </c>
      <c r="AA1516" s="531">
        <f t="shared" si="628"/>
        <v>0</v>
      </c>
      <c r="AB1516" s="535" t="str">
        <f t="shared" si="616"/>
        <v/>
      </c>
      <c r="AC1516" s="537" t="str">
        <f t="shared" si="617"/>
        <v/>
      </c>
      <c r="AD1516" s="538" t="str">
        <f t="shared" ca="1" si="618"/>
        <v/>
      </c>
      <c r="AE1516" s="537">
        <f t="shared" ca="1" si="619"/>
        <v>0</v>
      </c>
      <c r="AF1516" s="539" t="str">
        <f t="shared" ca="1" si="629"/>
        <v/>
      </c>
      <c r="AG1516" s="531" t="str">
        <f t="shared" ca="1" si="630"/>
        <v/>
      </c>
      <c r="AH1516" s="531" t="str">
        <f t="shared" ca="1" si="631"/>
        <v/>
      </c>
      <c r="AI1516" s="531" t="str">
        <f t="shared" ca="1" si="632"/>
        <v/>
      </c>
      <c r="AJ1516" s="531" t="str">
        <f t="shared" si="633"/>
        <v/>
      </c>
      <c r="AK1516" s="540">
        <f>SUMIFS('Live Collections'!$S:$S,'Live Collections'!$D:$D,Disbursements!B1516,'Live Collections'!$G:$G,Disbursements!C1516)</f>
        <v>0</v>
      </c>
      <c r="AL1516" s="540">
        <f>SUMIFS('Live Collections'!$T:$T,'Live Collections'!$D:$D,Disbursements!B1516,'Live Collections'!$G:$G,Disbursements!C1516)</f>
        <v>0</v>
      </c>
      <c r="AM1516" s="541">
        <f t="shared" si="634"/>
        <v>0</v>
      </c>
      <c r="AN1516" s="542" t="str">
        <f t="shared" si="635"/>
        <v/>
      </c>
      <c r="AO1516" s="542" t="str">
        <f t="shared" si="636"/>
        <v/>
      </c>
      <c r="AP1516" s="543" t="str">
        <f t="shared" si="637"/>
        <v/>
      </c>
      <c r="AQ1516" s="544" t="str">
        <f t="shared" si="638"/>
        <v/>
      </c>
      <c r="AR1516" s="545">
        <f t="shared" si="639"/>
        <v>0</v>
      </c>
      <c r="AS1516" s="545">
        <f>IFERROR(CEILING($AR1516*VLOOKUP($I1516,Ref!$B$23:$E$29,4,0),1),0)</f>
        <v>0</v>
      </c>
      <c r="AT1516" s="545" t="str">
        <f>IF(A1516="","",IF(AP1516&lt;=1,"Cleared",IF(AS1516=0,"Clean",VLOOKUP($AS1516,Ref!$G$23:$H$28,2))))</f>
        <v/>
      </c>
      <c r="AU1516" s="546" t="str">
        <f t="shared" si="640"/>
        <v/>
      </c>
    </row>
    <row r="1517" spans="1:47" ht="14.25" hidden="1" customHeight="1" x14ac:dyDescent="0.15">
      <c r="A1517" s="575"/>
      <c r="B1517" s="548"/>
      <c r="C1517" s="548"/>
      <c r="D1517" s="548"/>
      <c r="E1517" s="583"/>
      <c r="F1517" s="584"/>
      <c r="G1517" s="548"/>
      <c r="H1517" s="550"/>
      <c r="I1517" s="560"/>
      <c r="J1517" s="548"/>
      <c r="K1517" s="528" t="str">
        <f>IFERROR(VLOOKUP($B1517,'Clients-Live'!$A:$C,3,0),"")</f>
        <v/>
      </c>
      <c r="L1517" s="528">
        <f>IF(E1517="STL",Pricing!$D$38,IF(A1517="",0,IF(A1517&lt;Pricing!$C$25,Pricing!$D$25,VLOOKUP(Disbursements!$F1517,Pricing!$B$29:$D$32,3))))</f>
        <v>0</v>
      </c>
      <c r="M1517" s="528">
        <f>IF(E1517="STL",0,IF(F1517&gt;0,Pricing!$D$21,0))</f>
        <v>0</v>
      </c>
      <c r="N1517" s="529">
        <f>IF(E1517="STL",F1517*Pricing!$D$40,IF(A1517&lt;=Pricing!$C$4,0,IF(AND(A1517&gt;Pricing!$C$4,Disbursements!A1517&lt;=Pricing!$C$5),F1517*Pricing!$E$5,IF(AND(A1517&gt;Pricing!$C$5,Disbursements!A1517&lt;=Pricing!$C$7),VLOOKUP(F1517,Pricing!$D$7:$E$8,2)*Disbursements!F1517,F1517*Pricing!$E$9))))</f>
        <v>0</v>
      </c>
      <c r="O1517" s="528">
        <f>IF(E1517="STL",0,IF($F1517&gt;0,$F1517*Pricing!$D$17,0))</f>
        <v>0</v>
      </c>
      <c r="P1517" s="530" t="str">
        <f t="shared" si="620"/>
        <v/>
      </c>
      <c r="Q1517" s="531" t="str">
        <f>IF($A1517="","",$G1517/VLOOKUP($I1517,Ref!$B$23:$D$29,2,0))</f>
        <v/>
      </c>
      <c r="R1517" s="530" t="str">
        <f t="shared" si="621"/>
        <v/>
      </c>
      <c r="S1517" s="532" t="str">
        <f t="shared" si="615"/>
        <v/>
      </c>
      <c r="T1517" s="531" t="str">
        <f t="shared" si="622"/>
        <v/>
      </c>
      <c r="U1517" s="533">
        <f t="shared" si="623"/>
        <v>0</v>
      </c>
      <c r="V1517" s="531" t="str">
        <f t="shared" si="624"/>
        <v/>
      </c>
      <c r="W1517" s="531" t="str">
        <f t="shared" si="625"/>
        <v/>
      </c>
      <c r="X1517" s="534" t="str">
        <f t="shared" si="626"/>
        <v/>
      </c>
      <c r="Y1517" s="535" t="str">
        <f>IF($A1517="","",IF($I1517="weekly",$A1517+7,EDATE($A1517,VLOOKUP($I1517,Ref!$B$24:$C$29,2,0))))</f>
        <v/>
      </c>
      <c r="Z1517" s="536" t="str">
        <f t="shared" si="627"/>
        <v/>
      </c>
      <c r="AA1517" s="531">
        <f t="shared" si="628"/>
        <v>0</v>
      </c>
      <c r="AB1517" s="535" t="str">
        <f t="shared" si="616"/>
        <v/>
      </c>
      <c r="AC1517" s="537" t="str">
        <f t="shared" si="617"/>
        <v/>
      </c>
      <c r="AD1517" s="538" t="str">
        <f t="shared" ca="1" si="618"/>
        <v/>
      </c>
      <c r="AE1517" s="537">
        <f t="shared" ca="1" si="619"/>
        <v>0</v>
      </c>
      <c r="AF1517" s="539" t="str">
        <f t="shared" ca="1" si="629"/>
        <v/>
      </c>
      <c r="AG1517" s="531" t="str">
        <f t="shared" ca="1" si="630"/>
        <v/>
      </c>
      <c r="AH1517" s="531" t="str">
        <f t="shared" ca="1" si="631"/>
        <v/>
      </c>
      <c r="AI1517" s="531" t="str">
        <f t="shared" ca="1" si="632"/>
        <v/>
      </c>
      <c r="AJ1517" s="531" t="str">
        <f t="shared" si="633"/>
        <v/>
      </c>
      <c r="AK1517" s="540">
        <f>SUMIFS('Live Collections'!$S:$S,'Live Collections'!$D:$D,Disbursements!B1517,'Live Collections'!$G:$G,Disbursements!C1517)</f>
        <v>0</v>
      </c>
      <c r="AL1517" s="540">
        <f>SUMIFS('Live Collections'!$T:$T,'Live Collections'!$D:$D,Disbursements!B1517,'Live Collections'!$G:$G,Disbursements!C1517)</f>
        <v>0</v>
      </c>
      <c r="AM1517" s="541">
        <f t="shared" si="634"/>
        <v>0</v>
      </c>
      <c r="AN1517" s="542" t="str">
        <f t="shared" si="635"/>
        <v/>
      </c>
      <c r="AO1517" s="542" t="str">
        <f t="shared" si="636"/>
        <v/>
      </c>
      <c r="AP1517" s="543" t="str">
        <f t="shared" si="637"/>
        <v/>
      </c>
      <c r="AQ1517" s="544" t="str">
        <f t="shared" si="638"/>
        <v/>
      </c>
      <c r="AR1517" s="545">
        <f t="shared" si="639"/>
        <v>0</v>
      </c>
      <c r="AS1517" s="545">
        <f>IFERROR(CEILING($AR1517*VLOOKUP($I1517,Ref!$B$23:$E$29,4,0),1),0)</f>
        <v>0</v>
      </c>
      <c r="AT1517" s="545" t="str">
        <f>IF(A1517="","",IF(AP1517&lt;=1,"Cleared",IF(AS1517=0,"Clean",VLOOKUP($AS1517,Ref!$G$23:$H$28,2))))</f>
        <v/>
      </c>
      <c r="AU1517" s="546" t="str">
        <f t="shared" si="640"/>
        <v/>
      </c>
    </row>
    <row r="1518" spans="1:47" ht="14.25" hidden="1" customHeight="1" x14ac:dyDescent="0.15">
      <c r="A1518" s="575"/>
      <c r="B1518" s="548"/>
      <c r="C1518" s="548"/>
      <c r="D1518" s="548"/>
      <c r="E1518" s="583"/>
      <c r="F1518" s="584"/>
      <c r="G1518" s="548"/>
      <c r="H1518" s="550"/>
      <c r="I1518" s="560"/>
      <c r="J1518" s="548"/>
      <c r="K1518" s="528" t="str">
        <f>IFERROR(VLOOKUP($B1518,'Clients-Live'!$A:$C,3,0),"")</f>
        <v/>
      </c>
      <c r="L1518" s="528">
        <f>IF(E1518="STL",Pricing!$D$38,IF(A1518="",0,IF(A1518&lt;Pricing!$C$25,Pricing!$D$25,VLOOKUP(Disbursements!$F1518,Pricing!$B$29:$D$32,3))))</f>
        <v>0</v>
      </c>
      <c r="M1518" s="528">
        <f>IF(E1518="STL",0,IF(F1518&gt;0,Pricing!$D$21,0))</f>
        <v>0</v>
      </c>
      <c r="N1518" s="529">
        <f>IF(E1518="STL",F1518*Pricing!$D$40,IF(A1518&lt;=Pricing!$C$4,0,IF(AND(A1518&gt;Pricing!$C$4,Disbursements!A1518&lt;=Pricing!$C$5),F1518*Pricing!$E$5,IF(AND(A1518&gt;Pricing!$C$5,Disbursements!A1518&lt;=Pricing!$C$7),VLOOKUP(F1518,Pricing!$D$7:$E$8,2)*Disbursements!F1518,F1518*Pricing!$E$9))))</f>
        <v>0</v>
      </c>
      <c r="O1518" s="528">
        <f>IF(E1518="STL",0,IF($F1518&gt;0,$F1518*Pricing!$D$17,0))</f>
        <v>0</v>
      </c>
      <c r="P1518" s="530" t="str">
        <f t="shared" si="620"/>
        <v/>
      </c>
      <c r="Q1518" s="531" t="str">
        <f>IF($A1518="","",$G1518/VLOOKUP($I1518,Ref!$B$23:$D$29,2,0))</f>
        <v/>
      </c>
      <c r="R1518" s="530" t="str">
        <f t="shared" si="621"/>
        <v/>
      </c>
      <c r="S1518" s="532" t="str">
        <f t="shared" si="615"/>
        <v/>
      </c>
      <c r="T1518" s="531" t="str">
        <f t="shared" si="622"/>
        <v/>
      </c>
      <c r="U1518" s="533">
        <f t="shared" si="623"/>
        <v>0</v>
      </c>
      <c r="V1518" s="531" t="str">
        <f t="shared" si="624"/>
        <v/>
      </c>
      <c r="W1518" s="531" t="str">
        <f t="shared" si="625"/>
        <v/>
      </c>
      <c r="X1518" s="534" t="str">
        <f t="shared" si="626"/>
        <v/>
      </c>
      <c r="Y1518" s="535" t="str">
        <f>IF($A1518="","",IF($I1518="weekly",$A1518+7,EDATE($A1518,VLOOKUP($I1518,Ref!$B$24:$C$29,2,0))))</f>
        <v/>
      </c>
      <c r="Z1518" s="536" t="str">
        <f t="shared" si="627"/>
        <v/>
      </c>
      <c r="AA1518" s="531">
        <f t="shared" si="628"/>
        <v>0</v>
      </c>
      <c r="AB1518" s="535" t="str">
        <f t="shared" si="616"/>
        <v/>
      </c>
      <c r="AC1518" s="537" t="str">
        <f t="shared" si="617"/>
        <v/>
      </c>
      <c r="AD1518" s="538" t="str">
        <f t="shared" ca="1" si="618"/>
        <v/>
      </c>
      <c r="AE1518" s="537">
        <f t="shared" ca="1" si="619"/>
        <v>0</v>
      </c>
      <c r="AF1518" s="539" t="str">
        <f t="shared" ca="1" si="629"/>
        <v/>
      </c>
      <c r="AG1518" s="531" t="str">
        <f t="shared" ca="1" si="630"/>
        <v/>
      </c>
      <c r="AH1518" s="531" t="str">
        <f t="shared" ca="1" si="631"/>
        <v/>
      </c>
      <c r="AI1518" s="531" t="str">
        <f t="shared" ca="1" si="632"/>
        <v/>
      </c>
      <c r="AJ1518" s="531" t="str">
        <f t="shared" si="633"/>
        <v/>
      </c>
      <c r="AK1518" s="540">
        <f>SUMIFS('Live Collections'!$S:$S,'Live Collections'!$D:$D,Disbursements!B1518,'Live Collections'!$G:$G,Disbursements!C1518)</f>
        <v>0</v>
      </c>
      <c r="AL1518" s="540">
        <f>SUMIFS('Live Collections'!$T:$T,'Live Collections'!$D:$D,Disbursements!B1518,'Live Collections'!$G:$G,Disbursements!C1518)</f>
        <v>0</v>
      </c>
      <c r="AM1518" s="541">
        <f t="shared" si="634"/>
        <v>0</v>
      </c>
      <c r="AN1518" s="542" t="str">
        <f t="shared" si="635"/>
        <v/>
      </c>
      <c r="AO1518" s="542" t="str">
        <f t="shared" si="636"/>
        <v/>
      </c>
      <c r="AP1518" s="543" t="str">
        <f t="shared" si="637"/>
        <v/>
      </c>
      <c r="AQ1518" s="544" t="str">
        <f t="shared" si="638"/>
        <v/>
      </c>
      <c r="AR1518" s="545">
        <f t="shared" si="639"/>
        <v>0</v>
      </c>
      <c r="AS1518" s="545">
        <f>IFERROR(CEILING($AR1518*VLOOKUP($I1518,Ref!$B$23:$E$29,4,0),1),0)</f>
        <v>0</v>
      </c>
      <c r="AT1518" s="545" t="str">
        <f>IF(A1518="","",IF(AP1518&lt;=1,"Cleared",IF(AS1518=0,"Clean",VLOOKUP($AS1518,Ref!$G$23:$H$28,2))))</f>
        <v/>
      </c>
      <c r="AU1518" s="546" t="str">
        <f t="shared" si="640"/>
        <v/>
      </c>
    </row>
    <row r="1519" spans="1:47" ht="14.25" hidden="1" customHeight="1" x14ac:dyDescent="0.15">
      <c r="A1519" s="575"/>
      <c r="B1519" s="548"/>
      <c r="C1519" s="548"/>
      <c r="D1519" s="548"/>
      <c r="E1519" s="583"/>
      <c r="F1519" s="584"/>
      <c r="G1519" s="548"/>
      <c r="H1519" s="550"/>
      <c r="I1519" s="560"/>
      <c r="J1519" s="548"/>
      <c r="K1519" s="528" t="str">
        <f>IFERROR(VLOOKUP($B1519,'Clients-Live'!$A:$C,3,0),"")</f>
        <v/>
      </c>
      <c r="L1519" s="528">
        <f>IF(E1519="STL",Pricing!$D$38,IF(A1519="",0,IF(A1519&lt;Pricing!$C$25,Pricing!$D$25,VLOOKUP(Disbursements!$F1519,Pricing!$B$29:$D$32,3))))</f>
        <v>0</v>
      </c>
      <c r="M1519" s="528">
        <f>IF(E1519="STL",0,IF(F1519&gt;0,Pricing!$D$21,0))</f>
        <v>0</v>
      </c>
      <c r="N1519" s="529">
        <f>IF(E1519="STL",F1519*Pricing!$D$40,IF(A1519&lt;=Pricing!$C$4,0,IF(AND(A1519&gt;Pricing!$C$4,Disbursements!A1519&lt;=Pricing!$C$5),F1519*Pricing!$E$5,IF(AND(A1519&gt;Pricing!$C$5,Disbursements!A1519&lt;=Pricing!$C$7),VLOOKUP(F1519,Pricing!$D$7:$E$8,2)*Disbursements!F1519,F1519*Pricing!$E$9))))</f>
        <v>0</v>
      </c>
      <c r="O1519" s="528">
        <f>IF(E1519="STL",0,IF($F1519&gt;0,$F1519*Pricing!$D$17,0))</f>
        <v>0</v>
      </c>
      <c r="P1519" s="530" t="str">
        <f t="shared" si="620"/>
        <v/>
      </c>
      <c r="Q1519" s="531" t="str">
        <f>IF($A1519="","",$G1519/VLOOKUP($I1519,Ref!$B$23:$D$29,2,0))</f>
        <v/>
      </c>
      <c r="R1519" s="530" t="str">
        <f t="shared" si="621"/>
        <v/>
      </c>
      <c r="S1519" s="532" t="str">
        <f t="shared" si="615"/>
        <v/>
      </c>
      <c r="T1519" s="531" t="str">
        <f t="shared" si="622"/>
        <v/>
      </c>
      <c r="U1519" s="533">
        <f t="shared" si="623"/>
        <v>0</v>
      </c>
      <c r="V1519" s="531" t="str">
        <f t="shared" si="624"/>
        <v/>
      </c>
      <c r="W1519" s="531" t="str">
        <f t="shared" si="625"/>
        <v/>
      </c>
      <c r="X1519" s="534" t="str">
        <f t="shared" si="626"/>
        <v/>
      </c>
      <c r="Y1519" s="535" t="str">
        <f>IF($A1519="","",IF($I1519="weekly",$A1519+7,EDATE($A1519,VLOOKUP($I1519,Ref!$B$24:$C$29,2,0))))</f>
        <v/>
      </c>
      <c r="Z1519" s="536" t="str">
        <f t="shared" si="627"/>
        <v/>
      </c>
      <c r="AA1519" s="531">
        <f t="shared" si="628"/>
        <v>0</v>
      </c>
      <c r="AB1519" s="535" t="str">
        <f t="shared" si="616"/>
        <v/>
      </c>
      <c r="AC1519" s="537" t="str">
        <f t="shared" si="617"/>
        <v/>
      </c>
      <c r="AD1519" s="538" t="str">
        <f t="shared" ca="1" si="618"/>
        <v/>
      </c>
      <c r="AE1519" s="537">
        <f t="shared" ca="1" si="619"/>
        <v>0</v>
      </c>
      <c r="AF1519" s="539" t="str">
        <f t="shared" ca="1" si="629"/>
        <v/>
      </c>
      <c r="AG1519" s="531" t="str">
        <f t="shared" ca="1" si="630"/>
        <v/>
      </c>
      <c r="AH1519" s="531" t="str">
        <f t="shared" ca="1" si="631"/>
        <v/>
      </c>
      <c r="AI1519" s="531" t="str">
        <f t="shared" ca="1" si="632"/>
        <v/>
      </c>
      <c r="AJ1519" s="531" t="str">
        <f t="shared" si="633"/>
        <v/>
      </c>
      <c r="AK1519" s="540">
        <f>SUMIFS('Live Collections'!$S:$S,'Live Collections'!$D:$D,Disbursements!B1519,'Live Collections'!$G:$G,Disbursements!C1519)</f>
        <v>0</v>
      </c>
      <c r="AL1519" s="540">
        <f>SUMIFS('Live Collections'!$T:$T,'Live Collections'!$D:$D,Disbursements!B1519,'Live Collections'!$G:$G,Disbursements!C1519)</f>
        <v>0</v>
      </c>
      <c r="AM1519" s="541">
        <f t="shared" si="634"/>
        <v>0</v>
      </c>
      <c r="AN1519" s="542" t="str">
        <f t="shared" si="635"/>
        <v/>
      </c>
      <c r="AO1519" s="542" t="str">
        <f t="shared" si="636"/>
        <v/>
      </c>
      <c r="AP1519" s="543" t="str">
        <f t="shared" si="637"/>
        <v/>
      </c>
      <c r="AQ1519" s="544" t="str">
        <f t="shared" si="638"/>
        <v/>
      </c>
      <c r="AR1519" s="545">
        <f t="shared" si="639"/>
        <v>0</v>
      </c>
      <c r="AS1519" s="545">
        <f>IFERROR(CEILING($AR1519*VLOOKUP($I1519,Ref!$B$23:$E$29,4,0),1),0)</f>
        <v>0</v>
      </c>
      <c r="AT1519" s="545" t="str">
        <f>IF(A1519="","",IF(AP1519&lt;=1,"Cleared",IF(AS1519=0,"Clean",VLOOKUP($AS1519,Ref!$G$23:$H$28,2))))</f>
        <v/>
      </c>
      <c r="AU1519" s="546" t="str">
        <f t="shared" si="640"/>
        <v/>
      </c>
    </row>
    <row r="1520" spans="1:47" ht="14.25" hidden="1" customHeight="1" x14ac:dyDescent="0.15">
      <c r="A1520" s="575"/>
      <c r="B1520" s="548"/>
      <c r="C1520" s="548"/>
      <c r="D1520" s="548"/>
      <c r="E1520" s="583"/>
      <c r="F1520" s="584"/>
      <c r="G1520" s="548"/>
      <c r="H1520" s="550"/>
      <c r="I1520" s="560"/>
      <c r="J1520" s="548"/>
      <c r="K1520" s="528" t="str">
        <f>IFERROR(VLOOKUP($B1520,'Clients-Live'!$A:$C,3,0),"")</f>
        <v/>
      </c>
      <c r="L1520" s="528">
        <f>IF(E1520="STL",Pricing!$D$38,IF(A1520="",0,IF(A1520&lt;Pricing!$C$25,Pricing!$D$25,VLOOKUP(Disbursements!$F1520,Pricing!$B$29:$D$32,3))))</f>
        <v>0</v>
      </c>
      <c r="M1520" s="528">
        <f>IF(E1520="STL",0,IF(F1520&gt;0,Pricing!$D$21,0))</f>
        <v>0</v>
      </c>
      <c r="N1520" s="529">
        <f>IF(E1520="STL",F1520*Pricing!$D$40,IF(A1520&lt;=Pricing!$C$4,0,IF(AND(A1520&gt;Pricing!$C$4,Disbursements!A1520&lt;=Pricing!$C$5),F1520*Pricing!$E$5,IF(AND(A1520&gt;Pricing!$C$5,Disbursements!A1520&lt;=Pricing!$C$7),VLOOKUP(F1520,Pricing!$D$7:$E$8,2)*Disbursements!F1520,F1520*Pricing!$E$9))))</f>
        <v>0</v>
      </c>
      <c r="O1520" s="528">
        <f>IF(E1520="STL",0,IF($F1520&gt;0,$F1520*Pricing!$D$17,0))</f>
        <v>0</v>
      </c>
      <c r="P1520" s="530" t="str">
        <f t="shared" si="620"/>
        <v/>
      </c>
      <c r="Q1520" s="531" t="str">
        <f>IF($A1520="","",$G1520/VLOOKUP($I1520,Ref!$B$23:$D$29,2,0))</f>
        <v/>
      </c>
      <c r="R1520" s="530" t="str">
        <f t="shared" si="621"/>
        <v/>
      </c>
      <c r="S1520" s="532" t="str">
        <f t="shared" si="615"/>
        <v/>
      </c>
      <c r="T1520" s="531" t="str">
        <f t="shared" si="622"/>
        <v/>
      </c>
      <c r="U1520" s="533">
        <f t="shared" si="623"/>
        <v>0</v>
      </c>
      <c r="V1520" s="531" t="str">
        <f t="shared" si="624"/>
        <v/>
      </c>
      <c r="W1520" s="531" t="str">
        <f t="shared" si="625"/>
        <v/>
      </c>
      <c r="X1520" s="534" t="str">
        <f t="shared" si="626"/>
        <v/>
      </c>
      <c r="Y1520" s="535" t="str">
        <f>IF($A1520="","",IF($I1520="weekly",$A1520+7,EDATE($A1520,VLOOKUP($I1520,Ref!$B$24:$C$29,2,0))))</f>
        <v/>
      </c>
      <c r="Z1520" s="536" t="str">
        <f t="shared" si="627"/>
        <v/>
      </c>
      <c r="AA1520" s="531">
        <f t="shared" si="628"/>
        <v>0</v>
      </c>
      <c r="AB1520" s="535" t="str">
        <f t="shared" si="616"/>
        <v/>
      </c>
      <c r="AC1520" s="537" t="str">
        <f t="shared" si="617"/>
        <v/>
      </c>
      <c r="AD1520" s="538" t="str">
        <f t="shared" ca="1" si="618"/>
        <v/>
      </c>
      <c r="AE1520" s="537">
        <f t="shared" ca="1" si="619"/>
        <v>0</v>
      </c>
      <c r="AF1520" s="539" t="str">
        <f t="shared" ca="1" si="629"/>
        <v/>
      </c>
      <c r="AG1520" s="531" t="str">
        <f t="shared" ca="1" si="630"/>
        <v/>
      </c>
      <c r="AH1520" s="531" t="str">
        <f t="shared" ca="1" si="631"/>
        <v/>
      </c>
      <c r="AI1520" s="531" t="str">
        <f t="shared" ca="1" si="632"/>
        <v/>
      </c>
      <c r="AJ1520" s="531" t="str">
        <f t="shared" si="633"/>
        <v/>
      </c>
      <c r="AK1520" s="540">
        <f>SUMIFS('Live Collections'!$S:$S,'Live Collections'!$D:$D,Disbursements!B1520,'Live Collections'!$G:$G,Disbursements!C1520)</f>
        <v>0</v>
      </c>
      <c r="AL1520" s="540">
        <f>SUMIFS('Live Collections'!$T:$T,'Live Collections'!$D:$D,Disbursements!B1520,'Live Collections'!$G:$G,Disbursements!C1520)</f>
        <v>0</v>
      </c>
      <c r="AM1520" s="541">
        <f t="shared" si="634"/>
        <v>0</v>
      </c>
      <c r="AN1520" s="542" t="str">
        <f t="shared" si="635"/>
        <v/>
      </c>
      <c r="AO1520" s="542" t="str">
        <f t="shared" si="636"/>
        <v/>
      </c>
      <c r="AP1520" s="543" t="str">
        <f t="shared" si="637"/>
        <v/>
      </c>
      <c r="AQ1520" s="544" t="str">
        <f t="shared" si="638"/>
        <v/>
      </c>
      <c r="AR1520" s="545">
        <f t="shared" si="639"/>
        <v>0</v>
      </c>
      <c r="AS1520" s="545">
        <f>IFERROR(CEILING($AR1520*VLOOKUP($I1520,Ref!$B$23:$E$29,4,0),1),0)</f>
        <v>0</v>
      </c>
      <c r="AT1520" s="545" t="str">
        <f>IF(A1520="","",IF(AP1520&lt;=1,"Cleared",IF(AS1520=0,"Clean",VLOOKUP($AS1520,Ref!$G$23:$H$28,2))))</f>
        <v/>
      </c>
      <c r="AU1520" s="546" t="str">
        <f t="shared" si="640"/>
        <v/>
      </c>
    </row>
    <row r="1521" spans="1:47" ht="14.25" hidden="1" customHeight="1" x14ac:dyDescent="0.15">
      <c r="A1521" s="575"/>
      <c r="B1521" s="548"/>
      <c r="C1521" s="548"/>
      <c r="D1521" s="548"/>
      <c r="E1521" s="583"/>
      <c r="F1521" s="584"/>
      <c r="G1521" s="548"/>
      <c r="H1521" s="550"/>
      <c r="I1521" s="560"/>
      <c r="J1521" s="548"/>
      <c r="K1521" s="528" t="str">
        <f>IFERROR(VLOOKUP($B1521,'Clients-Live'!$A:$C,3,0),"")</f>
        <v/>
      </c>
      <c r="L1521" s="528">
        <f>IF(E1521="STL",Pricing!$D$38,IF(A1521="",0,IF(A1521&lt;Pricing!$C$25,Pricing!$D$25,VLOOKUP(Disbursements!$F1521,Pricing!$B$29:$D$32,3))))</f>
        <v>0</v>
      </c>
      <c r="M1521" s="528">
        <f>IF(E1521="STL",0,IF(F1521&gt;0,Pricing!$D$21,0))</f>
        <v>0</v>
      </c>
      <c r="N1521" s="529">
        <f>IF(E1521="STL",F1521*Pricing!$D$40,IF(A1521&lt;=Pricing!$C$4,0,IF(AND(A1521&gt;Pricing!$C$4,Disbursements!A1521&lt;=Pricing!$C$5),F1521*Pricing!$E$5,IF(AND(A1521&gt;Pricing!$C$5,Disbursements!A1521&lt;=Pricing!$C$7),VLOOKUP(F1521,Pricing!$D$7:$E$8,2)*Disbursements!F1521,F1521*Pricing!$E$9))))</f>
        <v>0</v>
      </c>
      <c r="O1521" s="528">
        <f>IF(E1521="STL",0,IF($F1521&gt;0,$F1521*Pricing!$D$17,0))</f>
        <v>0</v>
      </c>
      <c r="P1521" s="530" t="str">
        <f t="shared" si="620"/>
        <v/>
      </c>
      <c r="Q1521" s="531" t="str">
        <f>IF($A1521="","",$G1521/VLOOKUP($I1521,Ref!$B$23:$D$29,2,0))</f>
        <v/>
      </c>
      <c r="R1521" s="530" t="str">
        <f t="shared" si="621"/>
        <v/>
      </c>
      <c r="S1521" s="532" t="str">
        <f t="shared" si="615"/>
        <v/>
      </c>
      <c r="T1521" s="531" t="str">
        <f t="shared" si="622"/>
        <v/>
      </c>
      <c r="U1521" s="533">
        <f t="shared" si="623"/>
        <v>0</v>
      </c>
      <c r="V1521" s="531" t="str">
        <f t="shared" si="624"/>
        <v/>
      </c>
      <c r="W1521" s="531" t="str">
        <f t="shared" si="625"/>
        <v/>
      </c>
      <c r="X1521" s="534" t="str">
        <f t="shared" si="626"/>
        <v/>
      </c>
      <c r="Y1521" s="535" t="str">
        <f>IF($A1521="","",IF($I1521="weekly",$A1521+7,EDATE($A1521,VLOOKUP($I1521,Ref!$B$24:$C$29,2,0))))</f>
        <v/>
      </c>
      <c r="Z1521" s="536" t="str">
        <f t="shared" si="627"/>
        <v/>
      </c>
      <c r="AA1521" s="531">
        <f t="shared" si="628"/>
        <v>0</v>
      </c>
      <c r="AB1521" s="535" t="str">
        <f t="shared" si="616"/>
        <v/>
      </c>
      <c r="AC1521" s="537" t="str">
        <f t="shared" si="617"/>
        <v/>
      </c>
      <c r="AD1521" s="538" t="str">
        <f t="shared" ca="1" si="618"/>
        <v/>
      </c>
      <c r="AE1521" s="537">
        <f t="shared" ca="1" si="619"/>
        <v>0</v>
      </c>
      <c r="AF1521" s="539" t="str">
        <f t="shared" ca="1" si="629"/>
        <v/>
      </c>
      <c r="AG1521" s="531" t="str">
        <f t="shared" ca="1" si="630"/>
        <v/>
      </c>
      <c r="AH1521" s="531" t="str">
        <f t="shared" ca="1" si="631"/>
        <v/>
      </c>
      <c r="AI1521" s="531" t="str">
        <f t="shared" ca="1" si="632"/>
        <v/>
      </c>
      <c r="AJ1521" s="531" t="str">
        <f t="shared" si="633"/>
        <v/>
      </c>
      <c r="AK1521" s="540">
        <f>SUMIFS('Live Collections'!$S:$S,'Live Collections'!$D:$D,Disbursements!B1521,'Live Collections'!$G:$G,Disbursements!C1521)</f>
        <v>0</v>
      </c>
      <c r="AL1521" s="540">
        <f>SUMIFS('Live Collections'!$T:$T,'Live Collections'!$D:$D,Disbursements!B1521,'Live Collections'!$G:$G,Disbursements!C1521)</f>
        <v>0</v>
      </c>
      <c r="AM1521" s="541">
        <f t="shared" si="634"/>
        <v>0</v>
      </c>
      <c r="AN1521" s="542" t="str">
        <f t="shared" si="635"/>
        <v/>
      </c>
      <c r="AO1521" s="542" t="str">
        <f t="shared" si="636"/>
        <v/>
      </c>
      <c r="AP1521" s="543" t="str">
        <f t="shared" si="637"/>
        <v/>
      </c>
      <c r="AQ1521" s="544" t="str">
        <f t="shared" si="638"/>
        <v/>
      </c>
      <c r="AR1521" s="545">
        <f t="shared" si="639"/>
        <v>0</v>
      </c>
      <c r="AS1521" s="545">
        <f>IFERROR(CEILING($AR1521*VLOOKUP($I1521,Ref!$B$23:$E$29,4,0),1),0)</f>
        <v>0</v>
      </c>
      <c r="AT1521" s="545" t="str">
        <f>IF(A1521="","",IF(AP1521&lt;=1,"Cleared",IF(AS1521=0,"Clean",VLOOKUP($AS1521,Ref!$G$23:$H$28,2))))</f>
        <v/>
      </c>
      <c r="AU1521" s="546" t="str">
        <f t="shared" si="640"/>
        <v/>
      </c>
    </row>
    <row r="1522" spans="1:47" ht="14.25" hidden="1" customHeight="1" x14ac:dyDescent="0.15">
      <c r="A1522" s="575"/>
      <c r="B1522" s="548"/>
      <c r="C1522" s="548"/>
      <c r="D1522" s="548"/>
      <c r="E1522" s="583"/>
      <c r="F1522" s="584"/>
      <c r="G1522" s="548"/>
      <c r="H1522" s="550"/>
      <c r="I1522" s="560"/>
      <c r="J1522" s="548"/>
      <c r="K1522" s="528" t="str">
        <f>IFERROR(VLOOKUP($B1522,'Clients-Live'!$A:$C,3,0),"")</f>
        <v/>
      </c>
      <c r="L1522" s="528">
        <f>IF(E1522="STL",Pricing!$D$38,IF(A1522="",0,IF(A1522&lt;Pricing!$C$25,Pricing!$D$25,VLOOKUP(Disbursements!$F1522,Pricing!$B$29:$D$32,3))))</f>
        <v>0</v>
      </c>
      <c r="M1522" s="528">
        <f>IF(E1522="STL",0,IF(F1522&gt;0,Pricing!$D$21,0))</f>
        <v>0</v>
      </c>
      <c r="N1522" s="529">
        <f>IF(E1522="STL",F1522*Pricing!$D$40,IF(A1522&lt;=Pricing!$C$4,0,IF(AND(A1522&gt;Pricing!$C$4,Disbursements!A1522&lt;=Pricing!$C$5),F1522*Pricing!$E$5,IF(AND(A1522&gt;Pricing!$C$5,Disbursements!A1522&lt;=Pricing!$C$7),VLOOKUP(F1522,Pricing!$D$7:$E$8,2)*Disbursements!F1522,F1522*Pricing!$E$9))))</f>
        <v>0</v>
      </c>
      <c r="O1522" s="528">
        <f>IF(E1522="STL",0,IF($F1522&gt;0,$F1522*Pricing!$D$17,0))</f>
        <v>0</v>
      </c>
      <c r="P1522" s="530" t="str">
        <f t="shared" si="620"/>
        <v/>
      </c>
      <c r="Q1522" s="531" t="str">
        <f>IF($A1522="","",$G1522/VLOOKUP($I1522,Ref!$B$23:$D$29,2,0))</f>
        <v/>
      </c>
      <c r="R1522" s="530" t="str">
        <f t="shared" si="621"/>
        <v/>
      </c>
      <c r="S1522" s="532" t="str">
        <f t="shared" si="615"/>
        <v/>
      </c>
      <c r="T1522" s="531" t="str">
        <f t="shared" si="622"/>
        <v/>
      </c>
      <c r="U1522" s="533">
        <f t="shared" si="623"/>
        <v>0</v>
      </c>
      <c r="V1522" s="531" t="str">
        <f t="shared" si="624"/>
        <v/>
      </c>
      <c r="W1522" s="531" t="str">
        <f t="shared" si="625"/>
        <v/>
      </c>
      <c r="X1522" s="534" t="str">
        <f t="shared" si="626"/>
        <v/>
      </c>
      <c r="Y1522" s="535" t="str">
        <f>IF($A1522="","",IF($I1522="weekly",$A1522+7,EDATE($A1522,VLOOKUP($I1522,Ref!$B$24:$C$29,2,0))))</f>
        <v/>
      </c>
      <c r="Z1522" s="536" t="str">
        <f t="shared" si="627"/>
        <v/>
      </c>
      <c r="AA1522" s="531">
        <f t="shared" si="628"/>
        <v>0</v>
      </c>
      <c r="AB1522" s="535" t="str">
        <f t="shared" si="616"/>
        <v/>
      </c>
      <c r="AC1522" s="537" t="str">
        <f t="shared" si="617"/>
        <v/>
      </c>
      <c r="AD1522" s="538" t="str">
        <f t="shared" ca="1" si="618"/>
        <v/>
      </c>
      <c r="AE1522" s="537">
        <f t="shared" ca="1" si="619"/>
        <v>0</v>
      </c>
      <c r="AF1522" s="539" t="str">
        <f t="shared" ca="1" si="629"/>
        <v/>
      </c>
      <c r="AG1522" s="531" t="str">
        <f t="shared" ca="1" si="630"/>
        <v/>
      </c>
      <c r="AH1522" s="531" t="str">
        <f t="shared" ca="1" si="631"/>
        <v/>
      </c>
      <c r="AI1522" s="531" t="str">
        <f t="shared" ca="1" si="632"/>
        <v/>
      </c>
      <c r="AJ1522" s="531" t="str">
        <f t="shared" si="633"/>
        <v/>
      </c>
      <c r="AK1522" s="540">
        <f>SUMIFS('Live Collections'!$S:$S,'Live Collections'!$D:$D,Disbursements!B1522,'Live Collections'!$G:$G,Disbursements!C1522)</f>
        <v>0</v>
      </c>
      <c r="AL1522" s="540">
        <f>SUMIFS('Live Collections'!$T:$T,'Live Collections'!$D:$D,Disbursements!B1522,'Live Collections'!$G:$G,Disbursements!C1522)</f>
        <v>0</v>
      </c>
      <c r="AM1522" s="541">
        <f t="shared" si="634"/>
        <v>0</v>
      </c>
      <c r="AN1522" s="542" t="str">
        <f t="shared" si="635"/>
        <v/>
      </c>
      <c r="AO1522" s="542" t="str">
        <f t="shared" si="636"/>
        <v/>
      </c>
      <c r="AP1522" s="543" t="str">
        <f t="shared" si="637"/>
        <v/>
      </c>
      <c r="AQ1522" s="544" t="str">
        <f t="shared" si="638"/>
        <v/>
      </c>
      <c r="AR1522" s="545">
        <f t="shared" si="639"/>
        <v>0</v>
      </c>
      <c r="AS1522" s="545">
        <f>IFERROR(CEILING($AR1522*VLOOKUP($I1522,Ref!$B$23:$E$29,4,0),1),0)</f>
        <v>0</v>
      </c>
      <c r="AT1522" s="545" t="str">
        <f>IF(A1522="","",IF(AP1522&lt;=1,"Cleared",IF(AS1522=0,"Clean",VLOOKUP($AS1522,Ref!$G$23:$H$28,2))))</f>
        <v/>
      </c>
      <c r="AU1522" s="546" t="str">
        <f t="shared" si="640"/>
        <v/>
      </c>
    </row>
    <row r="1523" spans="1:47" ht="14.25" hidden="1" customHeight="1" x14ac:dyDescent="0.15">
      <c r="A1523" s="575"/>
      <c r="B1523" s="548"/>
      <c r="C1523" s="548"/>
      <c r="D1523" s="548"/>
      <c r="E1523" s="583"/>
      <c r="F1523" s="584"/>
      <c r="G1523" s="548"/>
      <c r="H1523" s="550"/>
      <c r="I1523" s="560"/>
      <c r="J1523" s="548"/>
      <c r="K1523" s="528" t="str">
        <f>IFERROR(VLOOKUP($B1523,'Clients-Live'!$A:$C,3,0),"")</f>
        <v/>
      </c>
      <c r="L1523" s="528">
        <f>IF(E1523="STL",Pricing!$D$38,IF(A1523="",0,IF(A1523&lt;Pricing!$C$25,Pricing!$D$25,VLOOKUP(Disbursements!$F1523,Pricing!$B$29:$D$32,3))))</f>
        <v>0</v>
      </c>
      <c r="M1523" s="528">
        <f>IF(E1523="STL",0,IF(F1523&gt;0,Pricing!$D$21,0))</f>
        <v>0</v>
      </c>
      <c r="N1523" s="529">
        <f>IF(E1523="STL",F1523*Pricing!$D$40,IF(A1523&lt;=Pricing!$C$4,0,IF(AND(A1523&gt;Pricing!$C$4,Disbursements!A1523&lt;=Pricing!$C$5),F1523*Pricing!$E$5,IF(AND(A1523&gt;Pricing!$C$5,Disbursements!A1523&lt;=Pricing!$C$7),VLOOKUP(F1523,Pricing!$D$7:$E$8,2)*Disbursements!F1523,F1523*Pricing!$E$9))))</f>
        <v>0</v>
      </c>
      <c r="O1523" s="528">
        <f>IF(E1523="STL",0,IF($F1523&gt;0,$F1523*Pricing!$D$17,0))</f>
        <v>0</v>
      </c>
      <c r="P1523" s="530" t="str">
        <f t="shared" si="620"/>
        <v/>
      </c>
      <c r="Q1523" s="531" t="str">
        <f>IF($A1523="","",$G1523/VLOOKUP($I1523,Ref!$B$23:$D$29,2,0))</f>
        <v/>
      </c>
      <c r="R1523" s="530" t="str">
        <f t="shared" si="621"/>
        <v/>
      </c>
      <c r="S1523" s="532" t="str">
        <f t="shared" si="615"/>
        <v/>
      </c>
      <c r="T1523" s="531" t="str">
        <f t="shared" si="622"/>
        <v/>
      </c>
      <c r="U1523" s="533">
        <f t="shared" si="623"/>
        <v>0</v>
      </c>
      <c r="V1523" s="531" t="str">
        <f t="shared" si="624"/>
        <v/>
      </c>
      <c r="W1523" s="531" t="str">
        <f t="shared" si="625"/>
        <v/>
      </c>
      <c r="X1523" s="534" t="str">
        <f t="shared" si="626"/>
        <v/>
      </c>
      <c r="Y1523" s="535" t="str">
        <f>IF($A1523="","",IF($I1523="weekly",$A1523+7,EDATE($A1523,VLOOKUP($I1523,Ref!$B$24:$C$29,2,0))))</f>
        <v/>
      </c>
      <c r="Z1523" s="536" t="str">
        <f t="shared" si="627"/>
        <v/>
      </c>
      <c r="AA1523" s="531">
        <f t="shared" si="628"/>
        <v>0</v>
      </c>
      <c r="AB1523" s="535" t="str">
        <f t="shared" si="616"/>
        <v/>
      </c>
      <c r="AC1523" s="537" t="str">
        <f t="shared" si="617"/>
        <v/>
      </c>
      <c r="AD1523" s="538" t="str">
        <f t="shared" ca="1" si="618"/>
        <v/>
      </c>
      <c r="AE1523" s="537">
        <f t="shared" ca="1" si="619"/>
        <v>0</v>
      </c>
      <c r="AF1523" s="539" t="str">
        <f t="shared" ca="1" si="629"/>
        <v/>
      </c>
      <c r="AG1523" s="531" t="str">
        <f t="shared" ca="1" si="630"/>
        <v/>
      </c>
      <c r="AH1523" s="531" t="str">
        <f t="shared" ca="1" si="631"/>
        <v/>
      </c>
      <c r="AI1523" s="531" t="str">
        <f t="shared" ca="1" si="632"/>
        <v/>
      </c>
      <c r="AJ1523" s="531" t="str">
        <f t="shared" si="633"/>
        <v/>
      </c>
      <c r="AK1523" s="540">
        <f>SUMIFS('Live Collections'!$S:$S,'Live Collections'!$D:$D,Disbursements!B1523,'Live Collections'!$G:$G,Disbursements!C1523)</f>
        <v>0</v>
      </c>
      <c r="AL1523" s="540">
        <f>SUMIFS('Live Collections'!$T:$T,'Live Collections'!$D:$D,Disbursements!B1523,'Live Collections'!$G:$G,Disbursements!C1523)</f>
        <v>0</v>
      </c>
      <c r="AM1523" s="541">
        <f t="shared" si="634"/>
        <v>0</v>
      </c>
      <c r="AN1523" s="542" t="str">
        <f t="shared" si="635"/>
        <v/>
      </c>
      <c r="AO1523" s="542" t="str">
        <f t="shared" si="636"/>
        <v/>
      </c>
      <c r="AP1523" s="543" t="str">
        <f t="shared" si="637"/>
        <v/>
      </c>
      <c r="AQ1523" s="544" t="str">
        <f t="shared" si="638"/>
        <v/>
      </c>
      <c r="AR1523" s="545">
        <f t="shared" si="639"/>
        <v>0</v>
      </c>
      <c r="AS1523" s="545">
        <f>IFERROR(CEILING($AR1523*VLOOKUP($I1523,Ref!$B$23:$E$29,4,0),1),0)</f>
        <v>0</v>
      </c>
      <c r="AT1523" s="545" t="str">
        <f>IF(A1523="","",IF(AP1523&lt;=1,"Cleared",IF(AS1523=0,"Clean",VLOOKUP($AS1523,Ref!$G$23:$H$28,2))))</f>
        <v/>
      </c>
      <c r="AU1523" s="546" t="str">
        <f t="shared" si="640"/>
        <v/>
      </c>
    </row>
    <row r="1524" spans="1:47" ht="14.25" hidden="1" customHeight="1" x14ac:dyDescent="0.15">
      <c r="A1524" s="575"/>
      <c r="B1524" s="548"/>
      <c r="C1524" s="548"/>
      <c r="D1524" s="548"/>
      <c r="E1524" s="583"/>
      <c r="F1524" s="584"/>
      <c r="G1524" s="548"/>
      <c r="H1524" s="550"/>
      <c r="I1524" s="560"/>
      <c r="J1524" s="548"/>
      <c r="K1524" s="528" t="str">
        <f>IFERROR(VLOOKUP($B1524,'Clients-Live'!$A:$C,3,0),"")</f>
        <v/>
      </c>
      <c r="L1524" s="528">
        <f>IF(E1524="STL",Pricing!$D$38,IF(A1524="",0,IF(A1524&lt;Pricing!$C$25,Pricing!$D$25,VLOOKUP(Disbursements!$F1524,Pricing!$B$29:$D$32,3))))</f>
        <v>0</v>
      </c>
      <c r="M1524" s="528">
        <f>IF(E1524="STL",0,IF(F1524&gt;0,Pricing!$D$21,0))</f>
        <v>0</v>
      </c>
      <c r="N1524" s="529">
        <f>IF(E1524="STL",F1524*Pricing!$D$40,IF(A1524&lt;=Pricing!$C$4,0,IF(AND(A1524&gt;Pricing!$C$4,Disbursements!A1524&lt;=Pricing!$C$5),F1524*Pricing!$E$5,IF(AND(A1524&gt;Pricing!$C$5,Disbursements!A1524&lt;=Pricing!$C$7),VLOOKUP(F1524,Pricing!$D$7:$E$8,2)*Disbursements!F1524,F1524*Pricing!$E$9))))</f>
        <v>0</v>
      </c>
      <c r="O1524" s="528">
        <f>IF(E1524="STL",0,IF($F1524&gt;0,$F1524*Pricing!$D$17,0))</f>
        <v>0</v>
      </c>
      <c r="P1524" s="530" t="str">
        <f t="shared" si="620"/>
        <v/>
      </c>
      <c r="Q1524" s="531" t="str">
        <f>IF($A1524="","",$G1524/VLOOKUP($I1524,Ref!$B$23:$D$29,2,0))</f>
        <v/>
      </c>
      <c r="R1524" s="530" t="str">
        <f t="shared" si="621"/>
        <v/>
      </c>
      <c r="S1524" s="532" t="str">
        <f t="shared" si="615"/>
        <v/>
      </c>
      <c r="T1524" s="531" t="str">
        <f t="shared" si="622"/>
        <v/>
      </c>
      <c r="U1524" s="533">
        <f t="shared" si="623"/>
        <v>0</v>
      </c>
      <c r="V1524" s="531" t="str">
        <f t="shared" si="624"/>
        <v/>
      </c>
      <c r="W1524" s="531" t="str">
        <f t="shared" si="625"/>
        <v/>
      </c>
      <c r="X1524" s="534" t="str">
        <f t="shared" si="626"/>
        <v/>
      </c>
      <c r="Y1524" s="535" t="str">
        <f>IF($A1524="","",IF($I1524="weekly",$A1524+7,EDATE($A1524,VLOOKUP($I1524,Ref!$B$24:$C$29,2,0))))</f>
        <v/>
      </c>
      <c r="Z1524" s="536" t="str">
        <f t="shared" si="627"/>
        <v/>
      </c>
      <c r="AA1524" s="531">
        <f t="shared" si="628"/>
        <v>0</v>
      </c>
      <c r="AB1524" s="535" t="str">
        <f t="shared" si="616"/>
        <v/>
      </c>
      <c r="AC1524" s="537" t="str">
        <f t="shared" si="617"/>
        <v/>
      </c>
      <c r="AD1524" s="538" t="str">
        <f t="shared" ca="1" si="618"/>
        <v/>
      </c>
      <c r="AE1524" s="537">
        <f t="shared" ca="1" si="619"/>
        <v>0</v>
      </c>
      <c r="AF1524" s="539" t="str">
        <f t="shared" ca="1" si="629"/>
        <v/>
      </c>
      <c r="AG1524" s="531" t="str">
        <f t="shared" ca="1" si="630"/>
        <v/>
      </c>
      <c r="AH1524" s="531" t="str">
        <f t="shared" ca="1" si="631"/>
        <v/>
      </c>
      <c r="AI1524" s="531" t="str">
        <f t="shared" ca="1" si="632"/>
        <v/>
      </c>
      <c r="AJ1524" s="531" t="str">
        <f t="shared" si="633"/>
        <v/>
      </c>
      <c r="AK1524" s="540">
        <f>SUMIFS('Live Collections'!$S:$S,'Live Collections'!$D:$D,Disbursements!B1524,'Live Collections'!$G:$G,Disbursements!C1524)</f>
        <v>0</v>
      </c>
      <c r="AL1524" s="540">
        <f>SUMIFS('Live Collections'!$T:$T,'Live Collections'!$D:$D,Disbursements!B1524,'Live Collections'!$G:$G,Disbursements!C1524)</f>
        <v>0</v>
      </c>
      <c r="AM1524" s="541">
        <f t="shared" si="634"/>
        <v>0</v>
      </c>
      <c r="AN1524" s="542" t="str">
        <f t="shared" si="635"/>
        <v/>
      </c>
      <c r="AO1524" s="542" t="str">
        <f t="shared" si="636"/>
        <v/>
      </c>
      <c r="AP1524" s="543" t="str">
        <f t="shared" si="637"/>
        <v/>
      </c>
      <c r="AQ1524" s="544" t="str">
        <f t="shared" si="638"/>
        <v/>
      </c>
      <c r="AR1524" s="545">
        <f t="shared" si="639"/>
        <v>0</v>
      </c>
      <c r="AS1524" s="545">
        <f>IFERROR(CEILING($AR1524*VLOOKUP($I1524,Ref!$B$23:$E$29,4,0),1),0)</f>
        <v>0</v>
      </c>
      <c r="AT1524" s="545" t="str">
        <f>IF(A1524="","",IF(AP1524&lt;=1,"Cleared",IF(AS1524=0,"Clean",VLOOKUP($AS1524,Ref!$G$23:$H$28,2))))</f>
        <v/>
      </c>
      <c r="AU1524" s="546" t="str">
        <f t="shared" si="640"/>
        <v/>
      </c>
    </row>
    <row r="1525" spans="1:47" ht="14.25" hidden="1" customHeight="1" x14ac:dyDescent="0.15">
      <c r="A1525" s="575"/>
      <c r="B1525" s="548"/>
      <c r="C1525" s="548"/>
      <c r="D1525" s="548"/>
      <c r="E1525" s="583"/>
      <c r="F1525" s="584"/>
      <c r="G1525" s="548"/>
      <c r="H1525" s="550"/>
      <c r="I1525" s="560"/>
      <c r="J1525" s="548"/>
      <c r="K1525" s="528" t="str">
        <f>IFERROR(VLOOKUP($B1525,'Clients-Live'!$A:$C,3,0),"")</f>
        <v/>
      </c>
      <c r="L1525" s="528">
        <f>IF(E1525="STL",Pricing!$D$38,IF(A1525="",0,IF(A1525&lt;Pricing!$C$25,Pricing!$D$25,VLOOKUP(Disbursements!$F1525,Pricing!$B$29:$D$32,3))))</f>
        <v>0</v>
      </c>
      <c r="M1525" s="528">
        <f>IF(E1525="STL",0,IF(F1525&gt;0,Pricing!$D$21,0))</f>
        <v>0</v>
      </c>
      <c r="N1525" s="529">
        <f>IF(E1525="STL",F1525*Pricing!$D$40,IF(A1525&lt;=Pricing!$C$4,0,IF(AND(A1525&gt;Pricing!$C$4,Disbursements!A1525&lt;=Pricing!$C$5),F1525*Pricing!$E$5,IF(AND(A1525&gt;Pricing!$C$5,Disbursements!A1525&lt;=Pricing!$C$7),VLOOKUP(F1525,Pricing!$D$7:$E$8,2)*Disbursements!F1525,F1525*Pricing!$E$9))))</f>
        <v>0</v>
      </c>
      <c r="O1525" s="528">
        <f>IF(E1525="STL",0,IF($F1525&gt;0,$F1525*Pricing!$D$17,0))</f>
        <v>0</v>
      </c>
      <c r="P1525" s="530" t="str">
        <f t="shared" si="620"/>
        <v/>
      </c>
      <c r="Q1525" s="531" t="str">
        <f>IF($A1525="","",$G1525/VLOOKUP($I1525,Ref!$B$23:$D$29,2,0))</f>
        <v/>
      </c>
      <c r="R1525" s="530" t="str">
        <f t="shared" si="621"/>
        <v/>
      </c>
      <c r="S1525" s="532" t="str">
        <f t="shared" si="615"/>
        <v/>
      </c>
      <c r="T1525" s="531" t="str">
        <f t="shared" si="622"/>
        <v/>
      </c>
      <c r="U1525" s="533">
        <f t="shared" si="623"/>
        <v>0</v>
      </c>
      <c r="V1525" s="531" t="str">
        <f t="shared" si="624"/>
        <v/>
      </c>
      <c r="W1525" s="531" t="str">
        <f t="shared" si="625"/>
        <v/>
      </c>
      <c r="X1525" s="534" t="str">
        <f t="shared" si="626"/>
        <v/>
      </c>
      <c r="Y1525" s="535" t="str">
        <f>IF($A1525="","",IF($I1525="weekly",$A1525+7,EDATE($A1525,VLOOKUP($I1525,Ref!$B$24:$C$29,2,0))))</f>
        <v/>
      </c>
      <c r="Z1525" s="536" t="str">
        <f t="shared" si="627"/>
        <v/>
      </c>
      <c r="AA1525" s="531">
        <f t="shared" si="628"/>
        <v>0</v>
      </c>
      <c r="AB1525" s="535" t="str">
        <f t="shared" si="616"/>
        <v/>
      </c>
      <c r="AC1525" s="537" t="str">
        <f t="shared" si="617"/>
        <v/>
      </c>
      <c r="AD1525" s="538" t="str">
        <f t="shared" ca="1" si="618"/>
        <v/>
      </c>
      <c r="AE1525" s="537">
        <f t="shared" ca="1" si="619"/>
        <v>0</v>
      </c>
      <c r="AF1525" s="539" t="str">
        <f t="shared" ca="1" si="629"/>
        <v/>
      </c>
      <c r="AG1525" s="531" t="str">
        <f t="shared" ca="1" si="630"/>
        <v/>
      </c>
      <c r="AH1525" s="531" t="str">
        <f t="shared" ca="1" si="631"/>
        <v/>
      </c>
      <c r="AI1525" s="531" t="str">
        <f t="shared" ca="1" si="632"/>
        <v/>
      </c>
      <c r="AJ1525" s="531" t="str">
        <f t="shared" si="633"/>
        <v/>
      </c>
      <c r="AK1525" s="540">
        <f>SUMIFS('Live Collections'!$S:$S,'Live Collections'!$D:$D,Disbursements!B1525,'Live Collections'!$G:$G,Disbursements!C1525)</f>
        <v>0</v>
      </c>
      <c r="AL1525" s="540">
        <f>SUMIFS('Live Collections'!$T:$T,'Live Collections'!$D:$D,Disbursements!B1525,'Live Collections'!$G:$G,Disbursements!C1525)</f>
        <v>0</v>
      </c>
      <c r="AM1525" s="541">
        <f t="shared" si="634"/>
        <v>0</v>
      </c>
      <c r="AN1525" s="542" t="str">
        <f t="shared" si="635"/>
        <v/>
      </c>
      <c r="AO1525" s="542" t="str">
        <f t="shared" si="636"/>
        <v/>
      </c>
      <c r="AP1525" s="543" t="str">
        <f t="shared" si="637"/>
        <v/>
      </c>
      <c r="AQ1525" s="544" t="str">
        <f t="shared" si="638"/>
        <v/>
      </c>
      <c r="AR1525" s="545">
        <f t="shared" si="639"/>
        <v>0</v>
      </c>
      <c r="AS1525" s="545">
        <f>IFERROR(CEILING($AR1525*VLOOKUP($I1525,Ref!$B$23:$E$29,4,0),1),0)</f>
        <v>0</v>
      </c>
      <c r="AT1525" s="545" t="str">
        <f>IF(A1525="","",IF(AP1525&lt;=1,"Cleared",IF(AS1525=0,"Clean",VLOOKUP($AS1525,Ref!$G$23:$H$28,2))))</f>
        <v/>
      </c>
      <c r="AU1525" s="546" t="str">
        <f t="shared" si="640"/>
        <v/>
      </c>
    </row>
    <row r="1526" spans="1:47" ht="14.25" hidden="1" customHeight="1" x14ac:dyDescent="0.15">
      <c r="A1526" s="575"/>
      <c r="B1526" s="548"/>
      <c r="C1526" s="548"/>
      <c r="D1526" s="548"/>
      <c r="E1526" s="583"/>
      <c r="F1526" s="584"/>
      <c r="G1526" s="548"/>
      <c r="H1526" s="550"/>
      <c r="I1526" s="560"/>
      <c r="J1526" s="548"/>
      <c r="K1526" s="528" t="str">
        <f>IFERROR(VLOOKUP($B1526,'Clients-Live'!$A:$C,3,0),"")</f>
        <v/>
      </c>
      <c r="L1526" s="528">
        <f>IF(E1526="STL",Pricing!$D$38,IF(A1526="",0,IF(A1526&lt;Pricing!$C$25,Pricing!$D$25,VLOOKUP(Disbursements!$F1526,Pricing!$B$29:$D$32,3))))</f>
        <v>0</v>
      </c>
      <c r="M1526" s="528">
        <f>IF(E1526="STL",0,IF(F1526&gt;0,Pricing!$D$21,0))</f>
        <v>0</v>
      </c>
      <c r="N1526" s="529">
        <f>IF(E1526="STL",F1526*Pricing!$D$40,IF(A1526&lt;=Pricing!$C$4,0,IF(AND(A1526&gt;Pricing!$C$4,Disbursements!A1526&lt;=Pricing!$C$5),F1526*Pricing!$E$5,IF(AND(A1526&gt;Pricing!$C$5,Disbursements!A1526&lt;=Pricing!$C$7),VLOOKUP(F1526,Pricing!$D$7:$E$8,2)*Disbursements!F1526,F1526*Pricing!$E$9))))</f>
        <v>0</v>
      </c>
      <c r="O1526" s="528">
        <f>IF(E1526="STL",0,IF($F1526&gt;0,$F1526*Pricing!$D$17,0))</f>
        <v>0</v>
      </c>
      <c r="P1526" s="530" t="str">
        <f t="shared" si="620"/>
        <v/>
      </c>
      <c r="Q1526" s="531" t="str">
        <f>IF($A1526="","",$G1526/VLOOKUP($I1526,Ref!$B$23:$D$29,2,0))</f>
        <v/>
      </c>
      <c r="R1526" s="530" t="str">
        <f t="shared" si="621"/>
        <v/>
      </c>
      <c r="S1526" s="532" t="str">
        <f t="shared" si="615"/>
        <v/>
      </c>
      <c r="T1526" s="531" t="str">
        <f t="shared" si="622"/>
        <v/>
      </c>
      <c r="U1526" s="533">
        <f t="shared" si="623"/>
        <v>0</v>
      </c>
      <c r="V1526" s="531" t="str">
        <f t="shared" si="624"/>
        <v/>
      </c>
      <c r="W1526" s="531" t="str">
        <f t="shared" si="625"/>
        <v/>
      </c>
      <c r="X1526" s="534" t="str">
        <f t="shared" si="626"/>
        <v/>
      </c>
      <c r="Y1526" s="535" t="str">
        <f>IF($A1526="","",IF($I1526="weekly",$A1526+7,EDATE($A1526,VLOOKUP($I1526,Ref!$B$24:$C$29,2,0))))</f>
        <v/>
      </c>
      <c r="Z1526" s="536" t="str">
        <f t="shared" si="627"/>
        <v/>
      </c>
      <c r="AA1526" s="531">
        <f t="shared" si="628"/>
        <v>0</v>
      </c>
      <c r="AB1526" s="535" t="str">
        <f t="shared" si="616"/>
        <v/>
      </c>
      <c r="AC1526" s="537" t="str">
        <f t="shared" si="617"/>
        <v/>
      </c>
      <c r="AD1526" s="538" t="str">
        <f t="shared" ca="1" si="618"/>
        <v/>
      </c>
      <c r="AE1526" s="537">
        <f t="shared" ca="1" si="619"/>
        <v>0</v>
      </c>
      <c r="AF1526" s="539" t="str">
        <f t="shared" ca="1" si="629"/>
        <v/>
      </c>
      <c r="AG1526" s="531" t="str">
        <f t="shared" ca="1" si="630"/>
        <v/>
      </c>
      <c r="AH1526" s="531" t="str">
        <f t="shared" ca="1" si="631"/>
        <v/>
      </c>
      <c r="AI1526" s="531" t="str">
        <f t="shared" ca="1" si="632"/>
        <v/>
      </c>
      <c r="AJ1526" s="531" t="str">
        <f t="shared" si="633"/>
        <v/>
      </c>
      <c r="AK1526" s="540">
        <f>SUMIFS('Live Collections'!$S:$S,'Live Collections'!$D:$D,Disbursements!B1526,'Live Collections'!$G:$G,Disbursements!C1526)</f>
        <v>0</v>
      </c>
      <c r="AL1526" s="540">
        <f>SUMIFS('Live Collections'!$T:$T,'Live Collections'!$D:$D,Disbursements!B1526,'Live Collections'!$G:$G,Disbursements!C1526)</f>
        <v>0</v>
      </c>
      <c r="AM1526" s="541">
        <f t="shared" si="634"/>
        <v>0</v>
      </c>
      <c r="AN1526" s="542" t="str">
        <f t="shared" si="635"/>
        <v/>
      </c>
      <c r="AO1526" s="542" t="str">
        <f t="shared" si="636"/>
        <v/>
      </c>
      <c r="AP1526" s="543" t="str">
        <f t="shared" si="637"/>
        <v/>
      </c>
      <c r="AQ1526" s="544" t="str">
        <f t="shared" si="638"/>
        <v/>
      </c>
      <c r="AR1526" s="545">
        <f t="shared" si="639"/>
        <v>0</v>
      </c>
      <c r="AS1526" s="545">
        <f>IFERROR(CEILING($AR1526*VLOOKUP($I1526,Ref!$B$23:$E$29,4,0),1),0)</f>
        <v>0</v>
      </c>
      <c r="AT1526" s="545" t="str">
        <f>IF(A1526="","",IF(AP1526&lt;=1,"Cleared",IF(AS1526=0,"Clean",VLOOKUP($AS1526,Ref!$G$23:$H$28,2))))</f>
        <v/>
      </c>
      <c r="AU1526" s="546" t="str">
        <f t="shared" si="640"/>
        <v/>
      </c>
    </row>
    <row r="1527" spans="1:47" ht="14.25" hidden="1" customHeight="1" x14ac:dyDescent="0.15">
      <c r="A1527" s="575"/>
      <c r="B1527" s="548"/>
      <c r="C1527" s="548"/>
      <c r="D1527" s="548"/>
      <c r="E1527" s="583"/>
      <c r="F1527" s="584"/>
      <c r="G1527" s="548"/>
      <c r="H1527" s="550"/>
      <c r="I1527" s="560"/>
      <c r="J1527" s="548"/>
      <c r="K1527" s="528" t="str">
        <f>IFERROR(VLOOKUP($B1527,'Clients-Live'!$A:$C,3,0),"")</f>
        <v/>
      </c>
      <c r="L1527" s="528">
        <f>IF(E1527="STL",Pricing!$D$38,IF(A1527="",0,IF(A1527&lt;Pricing!$C$25,Pricing!$D$25,VLOOKUP(Disbursements!$F1527,Pricing!$B$29:$D$32,3))))</f>
        <v>0</v>
      </c>
      <c r="M1527" s="528">
        <f>IF(E1527="STL",0,IF(F1527&gt;0,Pricing!$D$21,0))</f>
        <v>0</v>
      </c>
      <c r="N1527" s="529">
        <f>IF(E1527="STL",F1527*Pricing!$D$40,IF(A1527&lt;=Pricing!$C$4,0,IF(AND(A1527&gt;Pricing!$C$4,Disbursements!A1527&lt;=Pricing!$C$5),F1527*Pricing!$E$5,IF(AND(A1527&gt;Pricing!$C$5,Disbursements!A1527&lt;=Pricing!$C$7),VLOOKUP(F1527,Pricing!$D$7:$E$8,2)*Disbursements!F1527,F1527*Pricing!$E$9))))</f>
        <v>0</v>
      </c>
      <c r="O1527" s="528">
        <f>IF(E1527="STL",0,IF($F1527&gt;0,$F1527*Pricing!$D$17,0))</f>
        <v>0</v>
      </c>
      <c r="P1527" s="530" t="str">
        <f t="shared" si="620"/>
        <v/>
      </c>
      <c r="Q1527" s="531" t="str">
        <f>IF($A1527="","",$G1527/VLOOKUP($I1527,Ref!$B$23:$D$29,2,0))</f>
        <v/>
      </c>
      <c r="R1527" s="530" t="str">
        <f t="shared" si="621"/>
        <v/>
      </c>
      <c r="S1527" s="532" t="str">
        <f t="shared" si="615"/>
        <v/>
      </c>
      <c r="T1527" s="531" t="str">
        <f t="shared" si="622"/>
        <v/>
      </c>
      <c r="U1527" s="533">
        <f t="shared" si="623"/>
        <v>0</v>
      </c>
      <c r="V1527" s="531" t="str">
        <f t="shared" si="624"/>
        <v/>
      </c>
      <c r="W1527" s="531" t="str">
        <f t="shared" si="625"/>
        <v/>
      </c>
      <c r="X1527" s="534" t="str">
        <f t="shared" si="626"/>
        <v/>
      </c>
      <c r="Y1527" s="535" t="str">
        <f>IF($A1527="","",IF($I1527="weekly",$A1527+7,EDATE($A1527,VLOOKUP($I1527,Ref!$B$24:$C$29,2,0))))</f>
        <v/>
      </c>
      <c r="Z1527" s="536" t="str">
        <f t="shared" si="627"/>
        <v/>
      </c>
      <c r="AA1527" s="531">
        <f t="shared" si="628"/>
        <v>0</v>
      </c>
      <c r="AB1527" s="535" t="str">
        <f t="shared" si="616"/>
        <v/>
      </c>
      <c r="AC1527" s="537" t="str">
        <f t="shared" si="617"/>
        <v/>
      </c>
      <c r="AD1527" s="538" t="str">
        <f t="shared" ca="1" si="618"/>
        <v/>
      </c>
      <c r="AE1527" s="537">
        <f t="shared" ca="1" si="619"/>
        <v>0</v>
      </c>
      <c r="AF1527" s="539" t="str">
        <f t="shared" ca="1" si="629"/>
        <v/>
      </c>
      <c r="AG1527" s="531" t="str">
        <f t="shared" ca="1" si="630"/>
        <v/>
      </c>
      <c r="AH1527" s="531" t="str">
        <f t="shared" ca="1" si="631"/>
        <v/>
      </c>
      <c r="AI1527" s="531" t="str">
        <f t="shared" ca="1" si="632"/>
        <v/>
      </c>
      <c r="AJ1527" s="531" t="str">
        <f t="shared" si="633"/>
        <v/>
      </c>
      <c r="AK1527" s="540">
        <f>SUMIFS('Live Collections'!$S:$S,'Live Collections'!$D:$D,Disbursements!B1527,'Live Collections'!$G:$G,Disbursements!C1527)</f>
        <v>0</v>
      </c>
      <c r="AL1527" s="540">
        <f>SUMIFS('Live Collections'!$T:$T,'Live Collections'!$D:$D,Disbursements!B1527,'Live Collections'!$G:$G,Disbursements!C1527)</f>
        <v>0</v>
      </c>
      <c r="AM1527" s="541">
        <f t="shared" si="634"/>
        <v>0</v>
      </c>
      <c r="AN1527" s="542" t="str">
        <f t="shared" si="635"/>
        <v/>
      </c>
      <c r="AO1527" s="542" t="str">
        <f t="shared" si="636"/>
        <v/>
      </c>
      <c r="AP1527" s="543" t="str">
        <f t="shared" si="637"/>
        <v/>
      </c>
      <c r="AQ1527" s="544" t="str">
        <f t="shared" si="638"/>
        <v/>
      </c>
      <c r="AR1527" s="545">
        <f t="shared" si="639"/>
        <v>0</v>
      </c>
      <c r="AS1527" s="545">
        <f>IFERROR(CEILING($AR1527*VLOOKUP($I1527,Ref!$B$23:$E$29,4,0),1),0)</f>
        <v>0</v>
      </c>
      <c r="AT1527" s="545" t="str">
        <f>IF(A1527="","",IF(AP1527&lt;=1,"Cleared",IF(AS1527=0,"Clean",VLOOKUP($AS1527,Ref!$G$23:$H$28,2))))</f>
        <v/>
      </c>
      <c r="AU1527" s="546" t="str">
        <f t="shared" si="640"/>
        <v/>
      </c>
    </row>
    <row r="1528" spans="1:47" ht="14.25" hidden="1" customHeight="1" x14ac:dyDescent="0.15">
      <c r="A1528" s="575"/>
      <c r="B1528" s="548"/>
      <c r="C1528" s="548"/>
      <c r="D1528" s="548"/>
      <c r="E1528" s="583"/>
      <c r="F1528" s="584"/>
      <c r="G1528" s="548"/>
      <c r="H1528" s="550"/>
      <c r="I1528" s="560"/>
      <c r="J1528" s="548"/>
      <c r="K1528" s="528" t="str">
        <f>IFERROR(VLOOKUP($B1528,'Clients-Live'!$A:$C,3,0),"")</f>
        <v/>
      </c>
      <c r="L1528" s="528">
        <f>IF(E1528="STL",Pricing!$D$38,IF(A1528="",0,IF(A1528&lt;Pricing!$C$25,Pricing!$D$25,VLOOKUP(Disbursements!$F1528,Pricing!$B$29:$D$32,3))))</f>
        <v>0</v>
      </c>
      <c r="M1528" s="528">
        <f>IF(E1528="STL",0,IF(F1528&gt;0,Pricing!$D$21,0))</f>
        <v>0</v>
      </c>
      <c r="N1528" s="529">
        <f>IF(E1528="STL",F1528*Pricing!$D$40,IF(A1528&lt;=Pricing!$C$4,0,IF(AND(A1528&gt;Pricing!$C$4,Disbursements!A1528&lt;=Pricing!$C$5),F1528*Pricing!$E$5,IF(AND(A1528&gt;Pricing!$C$5,Disbursements!A1528&lt;=Pricing!$C$7),VLOOKUP(F1528,Pricing!$D$7:$E$8,2)*Disbursements!F1528,F1528*Pricing!$E$9))))</f>
        <v>0</v>
      </c>
      <c r="O1528" s="528">
        <f>IF(E1528="STL",0,IF($F1528&gt;0,$F1528*Pricing!$D$17,0))</f>
        <v>0</v>
      </c>
      <c r="P1528" s="530" t="str">
        <f t="shared" si="620"/>
        <v/>
      </c>
      <c r="Q1528" s="531" t="str">
        <f>IF($A1528="","",$G1528/VLOOKUP($I1528,Ref!$B$23:$D$29,2,0))</f>
        <v/>
      </c>
      <c r="R1528" s="530" t="str">
        <f t="shared" si="621"/>
        <v/>
      </c>
      <c r="S1528" s="532" t="str">
        <f t="shared" si="615"/>
        <v/>
      </c>
      <c r="T1528" s="531" t="str">
        <f t="shared" si="622"/>
        <v/>
      </c>
      <c r="U1528" s="533">
        <f t="shared" si="623"/>
        <v>0</v>
      </c>
      <c r="V1528" s="531" t="str">
        <f t="shared" si="624"/>
        <v/>
      </c>
      <c r="W1528" s="531" t="str">
        <f t="shared" si="625"/>
        <v/>
      </c>
      <c r="X1528" s="534" t="str">
        <f t="shared" si="626"/>
        <v/>
      </c>
      <c r="Y1528" s="535" t="str">
        <f>IF($A1528="","",IF($I1528="weekly",$A1528+7,EDATE($A1528,VLOOKUP($I1528,Ref!$B$24:$C$29,2,0))))</f>
        <v/>
      </c>
      <c r="Z1528" s="536" t="str">
        <f t="shared" si="627"/>
        <v/>
      </c>
      <c r="AA1528" s="531">
        <f t="shared" si="628"/>
        <v>0</v>
      </c>
      <c r="AB1528" s="535" t="str">
        <f t="shared" si="616"/>
        <v/>
      </c>
      <c r="AC1528" s="537" t="str">
        <f t="shared" si="617"/>
        <v/>
      </c>
      <c r="AD1528" s="538" t="str">
        <f t="shared" ca="1" si="618"/>
        <v/>
      </c>
      <c r="AE1528" s="537">
        <f t="shared" ca="1" si="619"/>
        <v>0</v>
      </c>
      <c r="AF1528" s="539" t="str">
        <f t="shared" ca="1" si="629"/>
        <v/>
      </c>
      <c r="AG1528" s="531" t="str">
        <f t="shared" ca="1" si="630"/>
        <v/>
      </c>
      <c r="AH1528" s="531" t="str">
        <f t="shared" ca="1" si="631"/>
        <v/>
      </c>
      <c r="AI1528" s="531" t="str">
        <f t="shared" ca="1" si="632"/>
        <v/>
      </c>
      <c r="AJ1528" s="531" t="str">
        <f t="shared" si="633"/>
        <v/>
      </c>
      <c r="AK1528" s="540">
        <f>SUMIFS('Live Collections'!$S:$S,'Live Collections'!$D:$D,Disbursements!B1528,'Live Collections'!$G:$G,Disbursements!C1528)</f>
        <v>0</v>
      </c>
      <c r="AL1528" s="540">
        <f>SUMIFS('Live Collections'!$T:$T,'Live Collections'!$D:$D,Disbursements!B1528,'Live Collections'!$G:$G,Disbursements!C1528)</f>
        <v>0</v>
      </c>
      <c r="AM1528" s="541">
        <f t="shared" si="634"/>
        <v>0</v>
      </c>
      <c r="AN1528" s="542" t="str">
        <f t="shared" si="635"/>
        <v/>
      </c>
      <c r="AO1528" s="542" t="str">
        <f t="shared" si="636"/>
        <v/>
      </c>
      <c r="AP1528" s="543" t="str">
        <f t="shared" si="637"/>
        <v/>
      </c>
      <c r="AQ1528" s="544" t="str">
        <f t="shared" si="638"/>
        <v/>
      </c>
      <c r="AR1528" s="545">
        <f t="shared" si="639"/>
        <v>0</v>
      </c>
      <c r="AS1528" s="545">
        <f>IFERROR(CEILING($AR1528*VLOOKUP($I1528,Ref!$B$23:$E$29,4,0),1),0)</f>
        <v>0</v>
      </c>
      <c r="AT1528" s="545" t="str">
        <f>IF(A1528="","",IF(AP1528&lt;=1,"Cleared",IF(AS1528=0,"Clean",VLOOKUP($AS1528,Ref!$G$23:$H$28,2))))</f>
        <v/>
      </c>
      <c r="AU1528" s="546" t="str">
        <f t="shared" si="640"/>
        <v/>
      </c>
    </row>
    <row r="1529" spans="1:47" ht="14.25" hidden="1" customHeight="1" x14ac:dyDescent="0.15">
      <c r="A1529" s="575"/>
      <c r="B1529" s="548"/>
      <c r="C1529" s="548"/>
      <c r="D1529" s="548"/>
      <c r="E1529" s="583"/>
      <c r="F1529" s="584"/>
      <c r="G1529" s="548"/>
      <c r="H1529" s="550"/>
      <c r="I1529" s="560"/>
      <c r="J1529" s="548"/>
      <c r="K1529" s="528" t="str">
        <f>IFERROR(VLOOKUP($B1529,'Clients-Live'!$A:$C,3,0),"")</f>
        <v/>
      </c>
      <c r="L1529" s="528">
        <f>IF(E1529="STL",Pricing!$D$38,IF(A1529="",0,IF(A1529&lt;Pricing!$C$25,Pricing!$D$25,VLOOKUP(Disbursements!$F1529,Pricing!$B$29:$D$32,3))))</f>
        <v>0</v>
      </c>
      <c r="M1529" s="528">
        <f>IF(E1529="STL",0,IF(F1529&gt;0,Pricing!$D$21,0))</f>
        <v>0</v>
      </c>
      <c r="N1529" s="529">
        <f>IF(E1529="STL",F1529*Pricing!$D$40,IF(A1529&lt;=Pricing!$C$4,0,IF(AND(A1529&gt;Pricing!$C$4,Disbursements!A1529&lt;=Pricing!$C$5),F1529*Pricing!$E$5,IF(AND(A1529&gt;Pricing!$C$5,Disbursements!A1529&lt;=Pricing!$C$7),VLOOKUP(F1529,Pricing!$D$7:$E$8,2)*Disbursements!F1529,F1529*Pricing!$E$9))))</f>
        <v>0</v>
      </c>
      <c r="O1529" s="528">
        <f>IF(E1529="STL",0,IF($F1529&gt;0,$F1529*Pricing!$D$17,0))</f>
        <v>0</v>
      </c>
      <c r="P1529" s="530" t="str">
        <f t="shared" si="620"/>
        <v/>
      </c>
      <c r="Q1529" s="531" t="str">
        <f>IF($A1529="","",$G1529/VLOOKUP($I1529,Ref!$B$23:$D$29,2,0))</f>
        <v/>
      </c>
      <c r="R1529" s="530" t="str">
        <f t="shared" si="621"/>
        <v/>
      </c>
      <c r="S1529" s="532" t="str">
        <f t="shared" si="615"/>
        <v/>
      </c>
      <c r="T1529" s="531" t="str">
        <f t="shared" si="622"/>
        <v/>
      </c>
      <c r="U1529" s="533">
        <f t="shared" si="623"/>
        <v>0</v>
      </c>
      <c r="V1529" s="531" t="str">
        <f t="shared" si="624"/>
        <v/>
      </c>
      <c r="W1529" s="531" t="str">
        <f t="shared" si="625"/>
        <v/>
      </c>
      <c r="X1529" s="534" t="str">
        <f t="shared" si="626"/>
        <v/>
      </c>
      <c r="Y1529" s="535" t="str">
        <f>IF($A1529="","",IF($I1529="weekly",$A1529+7,EDATE($A1529,VLOOKUP($I1529,Ref!$B$24:$C$29,2,0))))</f>
        <v/>
      </c>
      <c r="Z1529" s="536" t="str">
        <f t="shared" si="627"/>
        <v/>
      </c>
      <c r="AA1529" s="531">
        <f t="shared" si="628"/>
        <v>0</v>
      </c>
      <c r="AB1529" s="535" t="str">
        <f t="shared" si="616"/>
        <v/>
      </c>
      <c r="AC1529" s="537" t="str">
        <f t="shared" si="617"/>
        <v/>
      </c>
      <c r="AD1529" s="538" t="str">
        <f t="shared" ca="1" si="618"/>
        <v/>
      </c>
      <c r="AE1529" s="537">
        <f t="shared" ca="1" si="619"/>
        <v>0</v>
      </c>
      <c r="AF1529" s="539" t="str">
        <f t="shared" ca="1" si="629"/>
        <v/>
      </c>
      <c r="AG1529" s="531" t="str">
        <f t="shared" ca="1" si="630"/>
        <v/>
      </c>
      <c r="AH1529" s="531" t="str">
        <f t="shared" ca="1" si="631"/>
        <v/>
      </c>
      <c r="AI1529" s="531" t="str">
        <f t="shared" ca="1" si="632"/>
        <v/>
      </c>
      <c r="AJ1529" s="531" t="str">
        <f t="shared" si="633"/>
        <v/>
      </c>
      <c r="AK1529" s="540">
        <f>SUMIFS('Live Collections'!$S:$S,'Live Collections'!$D:$D,Disbursements!B1529,'Live Collections'!$G:$G,Disbursements!C1529)</f>
        <v>0</v>
      </c>
      <c r="AL1529" s="540">
        <f>SUMIFS('Live Collections'!$T:$T,'Live Collections'!$D:$D,Disbursements!B1529,'Live Collections'!$G:$G,Disbursements!C1529)</f>
        <v>0</v>
      </c>
      <c r="AM1529" s="541">
        <f t="shared" si="634"/>
        <v>0</v>
      </c>
      <c r="AN1529" s="542" t="str">
        <f t="shared" si="635"/>
        <v/>
      </c>
      <c r="AO1529" s="542" t="str">
        <f t="shared" si="636"/>
        <v/>
      </c>
      <c r="AP1529" s="543" t="str">
        <f t="shared" si="637"/>
        <v/>
      </c>
      <c r="AQ1529" s="544" t="str">
        <f t="shared" si="638"/>
        <v/>
      </c>
      <c r="AR1529" s="545">
        <f t="shared" si="639"/>
        <v>0</v>
      </c>
      <c r="AS1529" s="545">
        <f>IFERROR(CEILING($AR1529*VLOOKUP($I1529,Ref!$B$23:$E$29,4,0),1),0)</f>
        <v>0</v>
      </c>
      <c r="AT1529" s="545" t="str">
        <f>IF(A1529="","",IF(AP1529&lt;=1,"Cleared",IF(AS1529=0,"Clean",VLOOKUP($AS1529,Ref!$G$23:$H$28,2))))</f>
        <v/>
      </c>
      <c r="AU1529" s="546" t="str">
        <f t="shared" si="640"/>
        <v/>
      </c>
    </row>
    <row r="1530" spans="1:47" ht="14.25" hidden="1" customHeight="1" x14ac:dyDescent="0.15">
      <c r="A1530" s="575"/>
      <c r="B1530" s="548"/>
      <c r="C1530" s="548"/>
      <c r="D1530" s="548"/>
      <c r="E1530" s="583"/>
      <c r="F1530" s="584"/>
      <c r="G1530" s="548"/>
      <c r="H1530" s="550"/>
      <c r="I1530" s="560"/>
      <c r="J1530" s="548"/>
      <c r="K1530" s="528" t="str">
        <f>IFERROR(VLOOKUP($B1530,'Clients-Live'!$A:$C,3,0),"")</f>
        <v/>
      </c>
      <c r="L1530" s="528">
        <f>IF(E1530="STL",Pricing!$D$38,IF(A1530="",0,IF(A1530&lt;Pricing!$C$25,Pricing!$D$25,VLOOKUP(Disbursements!$F1530,Pricing!$B$29:$D$32,3))))</f>
        <v>0</v>
      </c>
      <c r="M1530" s="528">
        <f>IF(E1530="STL",0,IF(F1530&gt;0,Pricing!$D$21,0))</f>
        <v>0</v>
      </c>
      <c r="N1530" s="529">
        <f>IF(E1530="STL",F1530*Pricing!$D$40,IF(A1530&lt;=Pricing!$C$4,0,IF(AND(A1530&gt;Pricing!$C$4,Disbursements!A1530&lt;=Pricing!$C$5),F1530*Pricing!$E$5,IF(AND(A1530&gt;Pricing!$C$5,Disbursements!A1530&lt;=Pricing!$C$7),VLOOKUP(F1530,Pricing!$D$7:$E$8,2)*Disbursements!F1530,F1530*Pricing!$E$9))))</f>
        <v>0</v>
      </c>
      <c r="O1530" s="528">
        <f>IF(E1530="STL",0,IF($F1530&gt;0,$F1530*Pricing!$D$17,0))</f>
        <v>0</v>
      </c>
      <c r="P1530" s="530" t="str">
        <f t="shared" si="620"/>
        <v/>
      </c>
      <c r="Q1530" s="531" t="str">
        <f>IF($A1530="","",$G1530/VLOOKUP($I1530,Ref!$B$23:$D$29,2,0))</f>
        <v/>
      </c>
      <c r="R1530" s="530" t="str">
        <f t="shared" si="621"/>
        <v/>
      </c>
      <c r="S1530" s="532" t="str">
        <f t="shared" si="615"/>
        <v/>
      </c>
      <c r="T1530" s="531" t="str">
        <f t="shared" si="622"/>
        <v/>
      </c>
      <c r="U1530" s="533">
        <f t="shared" si="623"/>
        <v>0</v>
      </c>
      <c r="V1530" s="531" t="str">
        <f t="shared" si="624"/>
        <v/>
      </c>
      <c r="W1530" s="531" t="str">
        <f t="shared" si="625"/>
        <v/>
      </c>
      <c r="X1530" s="534" t="str">
        <f t="shared" si="626"/>
        <v/>
      </c>
      <c r="Y1530" s="535" t="str">
        <f>IF($A1530="","",IF($I1530="weekly",$A1530+7,EDATE($A1530,VLOOKUP($I1530,Ref!$B$24:$C$29,2,0))))</f>
        <v/>
      </c>
      <c r="Z1530" s="536" t="str">
        <f t="shared" si="627"/>
        <v/>
      </c>
      <c r="AA1530" s="531">
        <f t="shared" si="628"/>
        <v>0</v>
      </c>
      <c r="AB1530" s="535" t="str">
        <f t="shared" si="616"/>
        <v/>
      </c>
      <c r="AC1530" s="537" t="str">
        <f t="shared" si="617"/>
        <v/>
      </c>
      <c r="AD1530" s="538" t="str">
        <f t="shared" ca="1" si="618"/>
        <v/>
      </c>
      <c r="AE1530" s="537">
        <f t="shared" ca="1" si="619"/>
        <v>0</v>
      </c>
      <c r="AF1530" s="539" t="str">
        <f t="shared" ca="1" si="629"/>
        <v/>
      </c>
      <c r="AG1530" s="531" t="str">
        <f t="shared" ca="1" si="630"/>
        <v/>
      </c>
      <c r="AH1530" s="531" t="str">
        <f t="shared" ca="1" si="631"/>
        <v/>
      </c>
      <c r="AI1530" s="531" t="str">
        <f t="shared" ca="1" si="632"/>
        <v/>
      </c>
      <c r="AJ1530" s="531" t="str">
        <f t="shared" si="633"/>
        <v/>
      </c>
      <c r="AK1530" s="540">
        <f>SUMIFS('Live Collections'!$S:$S,'Live Collections'!$D:$D,Disbursements!B1530,'Live Collections'!$G:$G,Disbursements!C1530)</f>
        <v>0</v>
      </c>
      <c r="AL1530" s="540">
        <f>SUMIFS('Live Collections'!$T:$T,'Live Collections'!$D:$D,Disbursements!B1530,'Live Collections'!$G:$G,Disbursements!C1530)</f>
        <v>0</v>
      </c>
      <c r="AM1530" s="541">
        <f t="shared" si="634"/>
        <v>0</v>
      </c>
      <c r="AN1530" s="542" t="str">
        <f t="shared" si="635"/>
        <v/>
      </c>
      <c r="AO1530" s="542" t="str">
        <f t="shared" si="636"/>
        <v/>
      </c>
      <c r="AP1530" s="543" t="str">
        <f t="shared" si="637"/>
        <v/>
      </c>
      <c r="AQ1530" s="544" t="str">
        <f t="shared" si="638"/>
        <v/>
      </c>
      <c r="AR1530" s="545">
        <f t="shared" si="639"/>
        <v>0</v>
      </c>
      <c r="AS1530" s="545">
        <f>IFERROR(CEILING($AR1530*VLOOKUP($I1530,Ref!$B$23:$E$29,4,0),1),0)</f>
        <v>0</v>
      </c>
      <c r="AT1530" s="545" t="str">
        <f>IF(A1530="","",IF(AP1530&lt;=1,"Cleared",IF(AS1530=0,"Clean",VLOOKUP($AS1530,Ref!$G$23:$H$28,2))))</f>
        <v/>
      </c>
      <c r="AU1530" s="546" t="str">
        <f t="shared" si="640"/>
        <v/>
      </c>
    </row>
    <row r="1531" spans="1:47" ht="14.25" hidden="1" customHeight="1" x14ac:dyDescent="0.15">
      <c r="A1531" s="575"/>
      <c r="B1531" s="548"/>
      <c r="C1531" s="548"/>
      <c r="D1531" s="548"/>
      <c r="E1531" s="583"/>
      <c r="F1531" s="584"/>
      <c r="G1531" s="548"/>
      <c r="H1531" s="550"/>
      <c r="I1531" s="560"/>
      <c r="J1531" s="548"/>
      <c r="K1531" s="528" t="str">
        <f>IFERROR(VLOOKUP($B1531,'Clients-Live'!$A:$C,3,0),"")</f>
        <v/>
      </c>
      <c r="L1531" s="528">
        <f>IF(E1531="STL",Pricing!$D$38,IF(A1531="",0,IF(A1531&lt;Pricing!$C$25,Pricing!$D$25,VLOOKUP(Disbursements!$F1531,Pricing!$B$29:$D$32,3))))</f>
        <v>0</v>
      </c>
      <c r="M1531" s="528">
        <f>IF(E1531="STL",0,IF(F1531&gt;0,Pricing!$D$21,0))</f>
        <v>0</v>
      </c>
      <c r="N1531" s="529">
        <f>IF(E1531="STL",F1531*Pricing!$D$40,IF(A1531&lt;=Pricing!$C$4,0,IF(AND(A1531&gt;Pricing!$C$4,Disbursements!A1531&lt;=Pricing!$C$5),F1531*Pricing!$E$5,IF(AND(A1531&gt;Pricing!$C$5,Disbursements!A1531&lt;=Pricing!$C$7),VLOOKUP(F1531,Pricing!$D$7:$E$8,2)*Disbursements!F1531,F1531*Pricing!$E$9))))</f>
        <v>0</v>
      </c>
      <c r="O1531" s="528">
        <f>IF(E1531="STL",0,IF($F1531&gt;0,$F1531*Pricing!$D$17,0))</f>
        <v>0</v>
      </c>
      <c r="P1531" s="530" t="str">
        <f t="shared" si="620"/>
        <v/>
      </c>
      <c r="Q1531" s="531" t="str">
        <f>IF($A1531="","",$G1531/VLOOKUP($I1531,Ref!$B$23:$D$29,2,0))</f>
        <v/>
      </c>
      <c r="R1531" s="530" t="str">
        <f t="shared" si="621"/>
        <v/>
      </c>
      <c r="S1531" s="532" t="str">
        <f t="shared" si="615"/>
        <v/>
      </c>
      <c r="T1531" s="531" t="str">
        <f t="shared" si="622"/>
        <v/>
      </c>
      <c r="U1531" s="533">
        <f t="shared" si="623"/>
        <v>0</v>
      </c>
      <c r="V1531" s="531" t="str">
        <f t="shared" si="624"/>
        <v/>
      </c>
      <c r="W1531" s="531" t="str">
        <f t="shared" si="625"/>
        <v/>
      </c>
      <c r="X1531" s="534" t="str">
        <f t="shared" si="626"/>
        <v/>
      </c>
      <c r="Y1531" s="535" t="str">
        <f>IF($A1531="","",IF($I1531="weekly",$A1531+7,EDATE($A1531,VLOOKUP($I1531,Ref!$B$24:$C$29,2,0))))</f>
        <v/>
      </c>
      <c r="Z1531" s="536" t="str">
        <f t="shared" si="627"/>
        <v/>
      </c>
      <c r="AA1531" s="531">
        <f t="shared" si="628"/>
        <v>0</v>
      </c>
      <c r="AB1531" s="535" t="str">
        <f t="shared" si="616"/>
        <v/>
      </c>
      <c r="AC1531" s="537" t="str">
        <f t="shared" si="617"/>
        <v/>
      </c>
      <c r="AD1531" s="538" t="str">
        <f t="shared" ca="1" si="618"/>
        <v/>
      </c>
      <c r="AE1531" s="537">
        <f t="shared" ca="1" si="619"/>
        <v>0</v>
      </c>
      <c r="AF1531" s="539" t="str">
        <f t="shared" ca="1" si="629"/>
        <v/>
      </c>
      <c r="AG1531" s="531" t="str">
        <f t="shared" ca="1" si="630"/>
        <v/>
      </c>
      <c r="AH1531" s="531" t="str">
        <f t="shared" ca="1" si="631"/>
        <v/>
      </c>
      <c r="AI1531" s="531" t="str">
        <f t="shared" ca="1" si="632"/>
        <v/>
      </c>
      <c r="AJ1531" s="531" t="str">
        <f t="shared" si="633"/>
        <v/>
      </c>
      <c r="AK1531" s="540">
        <f>SUMIFS('Live Collections'!$S:$S,'Live Collections'!$D:$D,Disbursements!B1531,'Live Collections'!$G:$G,Disbursements!C1531)</f>
        <v>0</v>
      </c>
      <c r="AL1531" s="540">
        <f>SUMIFS('Live Collections'!$T:$T,'Live Collections'!$D:$D,Disbursements!B1531,'Live Collections'!$G:$G,Disbursements!C1531)</f>
        <v>0</v>
      </c>
      <c r="AM1531" s="541">
        <f t="shared" si="634"/>
        <v>0</v>
      </c>
      <c r="AN1531" s="542" t="str">
        <f t="shared" si="635"/>
        <v/>
      </c>
      <c r="AO1531" s="542" t="str">
        <f t="shared" si="636"/>
        <v/>
      </c>
      <c r="AP1531" s="543" t="str">
        <f t="shared" si="637"/>
        <v/>
      </c>
      <c r="AQ1531" s="544" t="str">
        <f t="shared" si="638"/>
        <v/>
      </c>
      <c r="AR1531" s="545">
        <f t="shared" si="639"/>
        <v>0</v>
      </c>
      <c r="AS1531" s="545">
        <f>IFERROR(CEILING($AR1531*VLOOKUP($I1531,Ref!$B$23:$E$29,4,0),1),0)</f>
        <v>0</v>
      </c>
      <c r="AT1531" s="545" t="str">
        <f>IF(A1531="","",IF(AP1531&lt;=1,"Cleared",IF(AS1531=0,"Clean",VLOOKUP($AS1531,Ref!$G$23:$H$28,2))))</f>
        <v/>
      </c>
      <c r="AU1531" s="546" t="str">
        <f t="shared" si="640"/>
        <v/>
      </c>
    </row>
    <row r="1532" spans="1:47" ht="14.25" hidden="1" customHeight="1" x14ac:dyDescent="0.15">
      <c r="A1532" s="575"/>
      <c r="B1532" s="548"/>
      <c r="C1532" s="548"/>
      <c r="D1532" s="548"/>
      <c r="E1532" s="583"/>
      <c r="F1532" s="584"/>
      <c r="G1532" s="548"/>
      <c r="H1532" s="550"/>
      <c r="I1532" s="560"/>
      <c r="J1532" s="548"/>
      <c r="K1532" s="528" t="str">
        <f>IFERROR(VLOOKUP($B1532,'Clients-Live'!$A:$C,3,0),"")</f>
        <v/>
      </c>
      <c r="L1532" s="528">
        <f>IF(E1532="STL",Pricing!$D$38,IF(A1532="",0,IF(A1532&lt;Pricing!$C$25,Pricing!$D$25,VLOOKUP(Disbursements!$F1532,Pricing!$B$29:$D$32,3))))</f>
        <v>0</v>
      </c>
      <c r="M1532" s="528">
        <f>IF(E1532="STL",0,IF(F1532&gt;0,Pricing!$D$21,0))</f>
        <v>0</v>
      </c>
      <c r="N1532" s="529">
        <f>IF(E1532="STL",F1532*Pricing!$D$40,IF(A1532&lt;=Pricing!$C$4,0,IF(AND(A1532&gt;Pricing!$C$4,Disbursements!A1532&lt;=Pricing!$C$5),F1532*Pricing!$E$5,IF(AND(A1532&gt;Pricing!$C$5,Disbursements!A1532&lt;=Pricing!$C$7),VLOOKUP(F1532,Pricing!$D$7:$E$8,2)*Disbursements!F1532,F1532*Pricing!$E$9))))</f>
        <v>0</v>
      </c>
      <c r="O1532" s="528">
        <f>IF(E1532="STL",0,IF($F1532&gt;0,$F1532*Pricing!$D$17,0))</f>
        <v>0</v>
      </c>
      <c r="P1532" s="530" t="str">
        <f t="shared" si="620"/>
        <v/>
      </c>
      <c r="Q1532" s="531" t="str">
        <f>IF($A1532="","",$G1532/VLOOKUP($I1532,Ref!$B$23:$D$29,2,0))</f>
        <v/>
      </c>
      <c r="R1532" s="530" t="str">
        <f t="shared" si="621"/>
        <v/>
      </c>
      <c r="S1532" s="532" t="str">
        <f t="shared" si="615"/>
        <v/>
      </c>
      <c r="T1532" s="531" t="str">
        <f t="shared" si="622"/>
        <v/>
      </c>
      <c r="U1532" s="533">
        <f t="shared" si="623"/>
        <v>0</v>
      </c>
      <c r="V1532" s="531" t="str">
        <f t="shared" si="624"/>
        <v/>
      </c>
      <c r="W1532" s="531" t="str">
        <f t="shared" si="625"/>
        <v/>
      </c>
      <c r="X1532" s="534" t="str">
        <f t="shared" si="626"/>
        <v/>
      </c>
      <c r="Y1532" s="535" t="str">
        <f>IF($A1532="","",IF($I1532="weekly",$A1532+7,EDATE($A1532,VLOOKUP($I1532,Ref!$B$24:$C$29,2,0))))</f>
        <v/>
      </c>
      <c r="Z1532" s="536" t="str">
        <f t="shared" si="627"/>
        <v/>
      </c>
      <c r="AA1532" s="531">
        <f t="shared" si="628"/>
        <v>0</v>
      </c>
      <c r="AB1532" s="535" t="str">
        <f t="shared" si="616"/>
        <v/>
      </c>
      <c r="AC1532" s="537" t="str">
        <f t="shared" si="617"/>
        <v/>
      </c>
      <c r="AD1532" s="538" t="str">
        <f t="shared" ca="1" si="618"/>
        <v/>
      </c>
      <c r="AE1532" s="537">
        <f t="shared" ca="1" si="619"/>
        <v>0</v>
      </c>
      <c r="AF1532" s="539" t="str">
        <f t="shared" ca="1" si="629"/>
        <v/>
      </c>
      <c r="AG1532" s="531" t="str">
        <f t="shared" ca="1" si="630"/>
        <v/>
      </c>
      <c r="AH1532" s="531" t="str">
        <f t="shared" ca="1" si="631"/>
        <v/>
      </c>
      <c r="AI1532" s="531" t="str">
        <f t="shared" ca="1" si="632"/>
        <v/>
      </c>
      <c r="AJ1532" s="531" t="str">
        <f t="shared" si="633"/>
        <v/>
      </c>
      <c r="AK1532" s="540">
        <f>SUMIFS('Live Collections'!$S:$S,'Live Collections'!$D:$D,Disbursements!B1532,'Live Collections'!$G:$G,Disbursements!C1532)</f>
        <v>0</v>
      </c>
      <c r="AL1532" s="540">
        <f>SUMIFS('Live Collections'!$T:$T,'Live Collections'!$D:$D,Disbursements!B1532,'Live Collections'!$G:$G,Disbursements!C1532)</f>
        <v>0</v>
      </c>
      <c r="AM1532" s="541">
        <f t="shared" si="634"/>
        <v>0</v>
      </c>
      <c r="AN1532" s="542" t="str">
        <f t="shared" si="635"/>
        <v/>
      </c>
      <c r="AO1532" s="542" t="str">
        <f t="shared" si="636"/>
        <v/>
      </c>
      <c r="AP1532" s="543" t="str">
        <f t="shared" si="637"/>
        <v/>
      </c>
      <c r="AQ1532" s="544" t="str">
        <f t="shared" si="638"/>
        <v/>
      </c>
      <c r="AR1532" s="545">
        <f t="shared" si="639"/>
        <v>0</v>
      </c>
      <c r="AS1532" s="545">
        <f>IFERROR(CEILING($AR1532*VLOOKUP($I1532,Ref!$B$23:$E$29,4,0),1),0)</f>
        <v>0</v>
      </c>
      <c r="AT1532" s="545" t="str">
        <f>IF(A1532="","",IF(AP1532&lt;=1,"Cleared",IF(AS1532=0,"Clean",VLOOKUP($AS1532,Ref!$G$23:$H$28,2))))</f>
        <v/>
      </c>
      <c r="AU1532" s="546" t="str">
        <f t="shared" si="640"/>
        <v/>
      </c>
    </row>
    <row r="1533" spans="1:47" ht="14.25" hidden="1" customHeight="1" x14ac:dyDescent="0.15">
      <c r="A1533" s="575"/>
      <c r="B1533" s="548"/>
      <c r="C1533" s="548"/>
      <c r="D1533" s="548"/>
      <c r="E1533" s="583"/>
      <c r="F1533" s="584"/>
      <c r="G1533" s="548"/>
      <c r="H1533" s="550"/>
      <c r="I1533" s="560"/>
      <c r="J1533" s="548"/>
      <c r="K1533" s="528" t="str">
        <f>IFERROR(VLOOKUP($B1533,'Clients-Live'!$A:$C,3,0),"")</f>
        <v/>
      </c>
      <c r="L1533" s="528">
        <f>IF(E1533="STL",Pricing!$D$38,IF(A1533="",0,IF(A1533&lt;Pricing!$C$25,Pricing!$D$25,VLOOKUP(Disbursements!$F1533,Pricing!$B$29:$D$32,3))))</f>
        <v>0</v>
      </c>
      <c r="M1533" s="528">
        <f>IF(E1533="STL",0,IF(F1533&gt;0,Pricing!$D$21,0))</f>
        <v>0</v>
      </c>
      <c r="N1533" s="529">
        <f>IF(E1533="STL",F1533*Pricing!$D$40,IF(A1533&lt;=Pricing!$C$4,0,IF(AND(A1533&gt;Pricing!$C$4,Disbursements!A1533&lt;=Pricing!$C$5),F1533*Pricing!$E$5,IF(AND(A1533&gt;Pricing!$C$5,Disbursements!A1533&lt;=Pricing!$C$7),VLOOKUP(F1533,Pricing!$D$7:$E$8,2)*Disbursements!F1533,F1533*Pricing!$E$9))))</f>
        <v>0</v>
      </c>
      <c r="O1533" s="528">
        <f>IF(E1533="STL",0,IF($F1533&gt;0,$F1533*Pricing!$D$17,0))</f>
        <v>0</v>
      </c>
      <c r="P1533" s="530" t="str">
        <f t="shared" si="620"/>
        <v/>
      </c>
      <c r="Q1533" s="531" t="str">
        <f>IF($A1533="","",$G1533/VLOOKUP($I1533,Ref!$B$23:$D$29,2,0))</f>
        <v/>
      </c>
      <c r="R1533" s="530" t="str">
        <f t="shared" si="621"/>
        <v/>
      </c>
      <c r="S1533" s="532" t="str">
        <f t="shared" si="615"/>
        <v/>
      </c>
      <c r="T1533" s="531" t="str">
        <f t="shared" si="622"/>
        <v/>
      </c>
      <c r="U1533" s="533">
        <f t="shared" si="623"/>
        <v>0</v>
      </c>
      <c r="V1533" s="531" t="str">
        <f t="shared" si="624"/>
        <v/>
      </c>
      <c r="W1533" s="531" t="str">
        <f t="shared" si="625"/>
        <v/>
      </c>
      <c r="X1533" s="534" t="str">
        <f t="shared" si="626"/>
        <v/>
      </c>
      <c r="Y1533" s="535" t="str">
        <f>IF($A1533="","",IF($I1533="weekly",$A1533+7,EDATE($A1533,VLOOKUP($I1533,Ref!$B$24:$C$29,2,0))))</f>
        <v/>
      </c>
      <c r="Z1533" s="536" t="str">
        <f t="shared" si="627"/>
        <v/>
      </c>
      <c r="AA1533" s="531">
        <f t="shared" si="628"/>
        <v>0</v>
      </c>
      <c r="AB1533" s="535" t="str">
        <f t="shared" si="616"/>
        <v/>
      </c>
      <c r="AC1533" s="537" t="str">
        <f t="shared" si="617"/>
        <v/>
      </c>
      <c r="AD1533" s="538" t="str">
        <f t="shared" ca="1" si="618"/>
        <v/>
      </c>
      <c r="AE1533" s="537">
        <f t="shared" ca="1" si="619"/>
        <v>0</v>
      </c>
      <c r="AF1533" s="539" t="str">
        <f t="shared" ca="1" si="629"/>
        <v/>
      </c>
      <c r="AG1533" s="531" t="str">
        <f t="shared" ca="1" si="630"/>
        <v/>
      </c>
      <c r="AH1533" s="531" t="str">
        <f t="shared" ca="1" si="631"/>
        <v/>
      </c>
      <c r="AI1533" s="531" t="str">
        <f t="shared" ca="1" si="632"/>
        <v/>
      </c>
      <c r="AJ1533" s="531" t="str">
        <f t="shared" si="633"/>
        <v/>
      </c>
      <c r="AK1533" s="540">
        <f>SUMIFS('Live Collections'!$S:$S,'Live Collections'!$D:$D,Disbursements!B1533,'Live Collections'!$G:$G,Disbursements!C1533)</f>
        <v>0</v>
      </c>
      <c r="AL1533" s="540">
        <f>SUMIFS('Live Collections'!$T:$T,'Live Collections'!$D:$D,Disbursements!B1533,'Live Collections'!$G:$G,Disbursements!C1533)</f>
        <v>0</v>
      </c>
      <c r="AM1533" s="541">
        <f t="shared" si="634"/>
        <v>0</v>
      </c>
      <c r="AN1533" s="542" t="str">
        <f t="shared" si="635"/>
        <v/>
      </c>
      <c r="AO1533" s="542" t="str">
        <f t="shared" si="636"/>
        <v/>
      </c>
      <c r="AP1533" s="543" t="str">
        <f t="shared" si="637"/>
        <v/>
      </c>
      <c r="AQ1533" s="544" t="str">
        <f t="shared" si="638"/>
        <v/>
      </c>
      <c r="AR1533" s="545">
        <f t="shared" si="639"/>
        <v>0</v>
      </c>
      <c r="AS1533" s="545">
        <f>IFERROR(CEILING($AR1533*VLOOKUP($I1533,Ref!$B$23:$E$29,4,0),1),0)</f>
        <v>0</v>
      </c>
      <c r="AT1533" s="545" t="str">
        <f>IF(A1533="","",IF(AP1533&lt;=1,"Cleared",IF(AS1533=0,"Clean",VLOOKUP($AS1533,Ref!$G$23:$H$28,2))))</f>
        <v/>
      </c>
      <c r="AU1533" s="546" t="str">
        <f t="shared" si="640"/>
        <v/>
      </c>
    </row>
    <row r="1534" spans="1:47" ht="14.25" hidden="1" customHeight="1" x14ac:dyDescent="0.15">
      <c r="A1534" s="575"/>
      <c r="B1534" s="548"/>
      <c r="C1534" s="548"/>
      <c r="D1534" s="548"/>
      <c r="E1534" s="583"/>
      <c r="F1534" s="584"/>
      <c r="G1534" s="548"/>
      <c r="H1534" s="550"/>
      <c r="I1534" s="560"/>
      <c r="J1534" s="548"/>
      <c r="K1534" s="528" t="str">
        <f>IFERROR(VLOOKUP($B1534,'Clients-Live'!$A:$C,3,0),"")</f>
        <v/>
      </c>
      <c r="L1534" s="528">
        <f>IF(E1534="STL",Pricing!$D$38,IF(A1534="",0,IF(A1534&lt;Pricing!$C$25,Pricing!$D$25,VLOOKUP(Disbursements!$F1534,Pricing!$B$29:$D$32,3))))</f>
        <v>0</v>
      </c>
      <c r="M1534" s="528">
        <f>IF(E1534="STL",0,IF(F1534&gt;0,Pricing!$D$21,0))</f>
        <v>0</v>
      </c>
      <c r="N1534" s="529">
        <f>IF(E1534="STL",F1534*Pricing!$D$40,IF(A1534&lt;=Pricing!$C$4,0,IF(AND(A1534&gt;Pricing!$C$4,Disbursements!A1534&lt;=Pricing!$C$5),F1534*Pricing!$E$5,IF(AND(A1534&gt;Pricing!$C$5,Disbursements!A1534&lt;=Pricing!$C$7),VLOOKUP(F1534,Pricing!$D$7:$E$8,2)*Disbursements!F1534,F1534*Pricing!$E$9))))</f>
        <v>0</v>
      </c>
      <c r="O1534" s="528">
        <f>IF(E1534="STL",0,IF($F1534&gt;0,$F1534*Pricing!$D$17,0))</f>
        <v>0</v>
      </c>
      <c r="P1534" s="530" t="str">
        <f t="shared" si="620"/>
        <v/>
      </c>
      <c r="Q1534" s="531" t="str">
        <f>IF($A1534="","",$G1534/VLOOKUP($I1534,Ref!$B$23:$D$29,2,0))</f>
        <v/>
      </c>
      <c r="R1534" s="530" t="str">
        <f t="shared" si="621"/>
        <v/>
      </c>
      <c r="S1534" s="532" t="str">
        <f t="shared" si="615"/>
        <v/>
      </c>
      <c r="T1534" s="531" t="str">
        <f t="shared" si="622"/>
        <v/>
      </c>
      <c r="U1534" s="533">
        <f t="shared" si="623"/>
        <v>0</v>
      </c>
      <c r="V1534" s="531" t="str">
        <f t="shared" si="624"/>
        <v/>
      </c>
      <c r="W1534" s="531" t="str">
        <f t="shared" si="625"/>
        <v/>
      </c>
      <c r="X1534" s="534" t="str">
        <f t="shared" si="626"/>
        <v/>
      </c>
      <c r="Y1534" s="535" t="str">
        <f>IF($A1534="","",IF($I1534="weekly",$A1534+7,EDATE($A1534,VLOOKUP($I1534,Ref!$B$24:$C$29,2,0))))</f>
        <v/>
      </c>
      <c r="Z1534" s="536" t="str">
        <f t="shared" si="627"/>
        <v/>
      </c>
      <c r="AA1534" s="531">
        <f t="shared" si="628"/>
        <v>0</v>
      </c>
      <c r="AB1534" s="535" t="str">
        <f t="shared" si="616"/>
        <v/>
      </c>
      <c r="AC1534" s="537" t="str">
        <f t="shared" si="617"/>
        <v/>
      </c>
      <c r="AD1534" s="538" t="str">
        <f t="shared" ca="1" si="618"/>
        <v/>
      </c>
      <c r="AE1534" s="537">
        <f t="shared" ca="1" si="619"/>
        <v>0</v>
      </c>
      <c r="AF1534" s="539" t="str">
        <f t="shared" ca="1" si="629"/>
        <v/>
      </c>
      <c r="AG1534" s="531" t="str">
        <f t="shared" ca="1" si="630"/>
        <v/>
      </c>
      <c r="AH1534" s="531" t="str">
        <f t="shared" ca="1" si="631"/>
        <v/>
      </c>
      <c r="AI1534" s="531" t="str">
        <f t="shared" ca="1" si="632"/>
        <v/>
      </c>
      <c r="AJ1534" s="531" t="str">
        <f t="shared" si="633"/>
        <v/>
      </c>
      <c r="AK1534" s="540">
        <f>SUMIFS('Live Collections'!$S:$S,'Live Collections'!$D:$D,Disbursements!B1534,'Live Collections'!$G:$G,Disbursements!C1534)</f>
        <v>0</v>
      </c>
      <c r="AL1534" s="540">
        <f>SUMIFS('Live Collections'!$T:$T,'Live Collections'!$D:$D,Disbursements!B1534,'Live Collections'!$G:$G,Disbursements!C1534)</f>
        <v>0</v>
      </c>
      <c r="AM1534" s="541">
        <f t="shared" si="634"/>
        <v>0</v>
      </c>
      <c r="AN1534" s="542" t="str">
        <f t="shared" si="635"/>
        <v/>
      </c>
      <c r="AO1534" s="542" t="str">
        <f t="shared" si="636"/>
        <v/>
      </c>
      <c r="AP1534" s="543" t="str">
        <f t="shared" si="637"/>
        <v/>
      </c>
      <c r="AQ1534" s="544" t="str">
        <f t="shared" si="638"/>
        <v/>
      </c>
      <c r="AR1534" s="545">
        <f t="shared" si="639"/>
        <v>0</v>
      </c>
      <c r="AS1534" s="545">
        <f>IFERROR(CEILING($AR1534*VLOOKUP($I1534,Ref!$B$23:$E$29,4,0),1),0)</f>
        <v>0</v>
      </c>
      <c r="AT1534" s="545" t="str">
        <f>IF(A1534="","",IF(AP1534&lt;=1,"Cleared",IF(AS1534=0,"Clean",VLOOKUP($AS1534,Ref!$G$23:$H$28,2))))</f>
        <v/>
      </c>
      <c r="AU1534" s="546" t="str">
        <f t="shared" si="640"/>
        <v/>
      </c>
    </row>
    <row r="1535" spans="1:47" ht="14.25" hidden="1" customHeight="1" x14ac:dyDescent="0.15">
      <c r="A1535" s="575"/>
      <c r="B1535" s="548"/>
      <c r="C1535" s="548"/>
      <c r="D1535" s="548"/>
      <c r="E1535" s="583"/>
      <c r="F1535" s="584"/>
      <c r="G1535" s="548"/>
      <c r="H1535" s="550"/>
      <c r="I1535" s="560"/>
      <c r="J1535" s="548"/>
      <c r="K1535" s="528" t="str">
        <f>IFERROR(VLOOKUP($B1535,'Clients-Live'!$A:$C,3,0),"")</f>
        <v/>
      </c>
      <c r="L1535" s="528">
        <f>IF(E1535="STL",Pricing!$D$38,IF(A1535="",0,IF(A1535&lt;Pricing!$C$25,Pricing!$D$25,VLOOKUP(Disbursements!$F1535,Pricing!$B$29:$D$32,3))))</f>
        <v>0</v>
      </c>
      <c r="M1535" s="528">
        <f>IF(E1535="STL",0,IF(F1535&gt;0,Pricing!$D$21,0))</f>
        <v>0</v>
      </c>
      <c r="N1535" s="529">
        <f>IF(E1535="STL",F1535*Pricing!$D$40,IF(A1535&lt;=Pricing!$C$4,0,IF(AND(A1535&gt;Pricing!$C$4,Disbursements!A1535&lt;=Pricing!$C$5),F1535*Pricing!$E$5,IF(AND(A1535&gt;Pricing!$C$5,Disbursements!A1535&lt;=Pricing!$C$7),VLOOKUP(F1535,Pricing!$D$7:$E$8,2)*Disbursements!F1535,F1535*Pricing!$E$9))))</f>
        <v>0</v>
      </c>
      <c r="O1535" s="528">
        <f>IF(E1535="STL",0,IF($F1535&gt;0,$F1535*Pricing!$D$17,0))</f>
        <v>0</v>
      </c>
      <c r="P1535" s="530" t="str">
        <f t="shared" si="620"/>
        <v/>
      </c>
      <c r="Q1535" s="531" t="str">
        <f>IF($A1535="","",$G1535/VLOOKUP($I1535,Ref!$B$23:$D$29,2,0))</f>
        <v/>
      </c>
      <c r="R1535" s="530" t="str">
        <f t="shared" si="621"/>
        <v/>
      </c>
      <c r="S1535" s="532" t="str">
        <f t="shared" si="615"/>
        <v/>
      </c>
      <c r="T1535" s="531" t="str">
        <f t="shared" si="622"/>
        <v/>
      </c>
      <c r="U1535" s="533">
        <f t="shared" si="623"/>
        <v>0</v>
      </c>
      <c r="V1535" s="531" t="str">
        <f t="shared" si="624"/>
        <v/>
      </c>
      <c r="W1535" s="531" t="str">
        <f t="shared" si="625"/>
        <v/>
      </c>
      <c r="X1535" s="534" t="str">
        <f t="shared" si="626"/>
        <v/>
      </c>
      <c r="Y1535" s="535" t="str">
        <f>IF($A1535="","",IF($I1535="weekly",$A1535+7,EDATE($A1535,VLOOKUP($I1535,Ref!$B$24:$C$29,2,0))))</f>
        <v/>
      </c>
      <c r="Z1535" s="536" t="str">
        <f t="shared" si="627"/>
        <v/>
      </c>
      <c r="AA1535" s="531">
        <f t="shared" si="628"/>
        <v>0</v>
      </c>
      <c r="AB1535" s="535" t="str">
        <f t="shared" si="616"/>
        <v/>
      </c>
      <c r="AC1535" s="537" t="str">
        <f t="shared" si="617"/>
        <v/>
      </c>
      <c r="AD1535" s="538" t="str">
        <f t="shared" ca="1" si="618"/>
        <v/>
      </c>
      <c r="AE1535" s="537">
        <f t="shared" ca="1" si="619"/>
        <v>0</v>
      </c>
      <c r="AF1535" s="539" t="str">
        <f t="shared" ca="1" si="629"/>
        <v/>
      </c>
      <c r="AG1535" s="531" t="str">
        <f t="shared" ca="1" si="630"/>
        <v/>
      </c>
      <c r="AH1535" s="531" t="str">
        <f t="shared" ca="1" si="631"/>
        <v/>
      </c>
      <c r="AI1535" s="531" t="str">
        <f t="shared" ca="1" si="632"/>
        <v/>
      </c>
      <c r="AJ1535" s="531" t="str">
        <f t="shared" si="633"/>
        <v/>
      </c>
      <c r="AK1535" s="540">
        <f>SUMIFS('Live Collections'!$S:$S,'Live Collections'!$D:$D,Disbursements!B1535,'Live Collections'!$G:$G,Disbursements!C1535)</f>
        <v>0</v>
      </c>
      <c r="AL1535" s="540">
        <f>SUMIFS('Live Collections'!$T:$T,'Live Collections'!$D:$D,Disbursements!B1535,'Live Collections'!$G:$G,Disbursements!C1535)</f>
        <v>0</v>
      </c>
      <c r="AM1535" s="541">
        <f t="shared" si="634"/>
        <v>0</v>
      </c>
      <c r="AN1535" s="542" t="str">
        <f t="shared" si="635"/>
        <v/>
      </c>
      <c r="AO1535" s="542" t="str">
        <f t="shared" si="636"/>
        <v/>
      </c>
      <c r="AP1535" s="543" t="str">
        <f t="shared" si="637"/>
        <v/>
      </c>
      <c r="AQ1535" s="544" t="str">
        <f t="shared" si="638"/>
        <v/>
      </c>
      <c r="AR1535" s="545">
        <f t="shared" si="639"/>
        <v>0</v>
      </c>
      <c r="AS1535" s="545">
        <f>IFERROR(CEILING($AR1535*VLOOKUP($I1535,Ref!$B$23:$E$29,4,0),1),0)</f>
        <v>0</v>
      </c>
      <c r="AT1535" s="545" t="str">
        <f>IF(A1535="","",IF(AP1535&lt;=1,"Cleared",IF(AS1535=0,"Clean",VLOOKUP($AS1535,Ref!$G$23:$H$28,2))))</f>
        <v/>
      </c>
      <c r="AU1535" s="546" t="str">
        <f t="shared" si="640"/>
        <v/>
      </c>
    </row>
    <row r="1536" spans="1:47" ht="14.25" hidden="1" customHeight="1" x14ac:dyDescent="0.15">
      <c r="A1536" s="575"/>
      <c r="B1536" s="548"/>
      <c r="C1536" s="548"/>
      <c r="D1536" s="548"/>
      <c r="E1536" s="583"/>
      <c r="F1536" s="584"/>
      <c r="G1536" s="548"/>
      <c r="H1536" s="550"/>
      <c r="I1536" s="560"/>
      <c r="J1536" s="548"/>
      <c r="K1536" s="528" t="str">
        <f>IFERROR(VLOOKUP($B1536,'Clients-Live'!$A:$C,3,0),"")</f>
        <v/>
      </c>
      <c r="L1536" s="528">
        <f>IF(E1536="STL",Pricing!$D$38,IF(A1536="",0,IF(A1536&lt;Pricing!$C$25,Pricing!$D$25,VLOOKUP(Disbursements!$F1536,Pricing!$B$29:$D$32,3))))</f>
        <v>0</v>
      </c>
      <c r="M1536" s="528">
        <f>IF(E1536="STL",0,IF(F1536&gt;0,Pricing!$D$21,0))</f>
        <v>0</v>
      </c>
      <c r="N1536" s="529">
        <f>IF(E1536="STL",F1536*Pricing!$D$40,IF(A1536&lt;=Pricing!$C$4,0,IF(AND(A1536&gt;Pricing!$C$4,Disbursements!A1536&lt;=Pricing!$C$5),F1536*Pricing!$E$5,IF(AND(A1536&gt;Pricing!$C$5,Disbursements!A1536&lt;=Pricing!$C$7),VLOOKUP(F1536,Pricing!$D$7:$E$8,2)*Disbursements!F1536,F1536*Pricing!$E$9))))</f>
        <v>0</v>
      </c>
      <c r="O1536" s="528">
        <f>IF(E1536="STL",0,IF($F1536&gt;0,$F1536*Pricing!$D$17,0))</f>
        <v>0</v>
      </c>
      <c r="P1536" s="530" t="str">
        <f t="shared" si="620"/>
        <v/>
      </c>
      <c r="Q1536" s="531" t="str">
        <f>IF($A1536="","",$G1536/VLOOKUP($I1536,Ref!$B$23:$D$29,2,0))</f>
        <v/>
      </c>
      <c r="R1536" s="530" t="str">
        <f t="shared" si="621"/>
        <v/>
      </c>
      <c r="S1536" s="532" t="str">
        <f t="shared" si="615"/>
        <v/>
      </c>
      <c r="T1536" s="531" t="str">
        <f t="shared" si="622"/>
        <v/>
      </c>
      <c r="U1536" s="533">
        <f t="shared" si="623"/>
        <v>0</v>
      </c>
      <c r="V1536" s="531" t="str">
        <f t="shared" si="624"/>
        <v/>
      </c>
      <c r="W1536" s="531" t="str">
        <f t="shared" si="625"/>
        <v/>
      </c>
      <c r="X1536" s="534" t="str">
        <f t="shared" si="626"/>
        <v/>
      </c>
      <c r="Y1536" s="535" t="str">
        <f>IF($A1536="","",IF($I1536="weekly",$A1536+7,EDATE($A1536,VLOOKUP($I1536,Ref!$B$24:$C$29,2,0))))</f>
        <v/>
      </c>
      <c r="Z1536" s="536" t="str">
        <f t="shared" si="627"/>
        <v/>
      </c>
      <c r="AA1536" s="531">
        <f t="shared" si="628"/>
        <v>0</v>
      </c>
      <c r="AB1536" s="535" t="str">
        <f t="shared" si="616"/>
        <v/>
      </c>
      <c r="AC1536" s="537" t="str">
        <f t="shared" si="617"/>
        <v/>
      </c>
      <c r="AD1536" s="538" t="str">
        <f t="shared" ca="1" si="618"/>
        <v/>
      </c>
      <c r="AE1536" s="537">
        <f t="shared" ca="1" si="619"/>
        <v>0</v>
      </c>
      <c r="AF1536" s="539" t="str">
        <f t="shared" ca="1" si="629"/>
        <v/>
      </c>
      <c r="AG1536" s="531" t="str">
        <f t="shared" ca="1" si="630"/>
        <v/>
      </c>
      <c r="AH1536" s="531" t="str">
        <f t="shared" ca="1" si="631"/>
        <v/>
      </c>
      <c r="AI1536" s="531" t="str">
        <f t="shared" ca="1" si="632"/>
        <v/>
      </c>
      <c r="AJ1536" s="531" t="str">
        <f t="shared" si="633"/>
        <v/>
      </c>
      <c r="AK1536" s="540">
        <f>SUMIFS('Live Collections'!$S:$S,'Live Collections'!$D:$D,Disbursements!B1536,'Live Collections'!$G:$G,Disbursements!C1536)</f>
        <v>0</v>
      </c>
      <c r="AL1536" s="540">
        <f>SUMIFS('Live Collections'!$T:$T,'Live Collections'!$D:$D,Disbursements!B1536,'Live Collections'!$G:$G,Disbursements!C1536)</f>
        <v>0</v>
      </c>
      <c r="AM1536" s="541">
        <f t="shared" si="634"/>
        <v>0</v>
      </c>
      <c r="AN1536" s="542" t="str">
        <f t="shared" si="635"/>
        <v/>
      </c>
      <c r="AO1536" s="542" t="str">
        <f t="shared" si="636"/>
        <v/>
      </c>
      <c r="AP1536" s="543" t="str">
        <f t="shared" si="637"/>
        <v/>
      </c>
      <c r="AQ1536" s="544" t="str">
        <f t="shared" si="638"/>
        <v/>
      </c>
      <c r="AR1536" s="545">
        <f t="shared" si="639"/>
        <v>0</v>
      </c>
      <c r="AS1536" s="545">
        <f>IFERROR(CEILING($AR1536*VLOOKUP($I1536,Ref!$B$23:$E$29,4,0),1),0)</f>
        <v>0</v>
      </c>
      <c r="AT1536" s="545" t="str">
        <f>IF(A1536="","",IF(AP1536&lt;=1,"Cleared",IF(AS1536=0,"Clean",VLOOKUP($AS1536,Ref!$G$23:$H$28,2))))</f>
        <v/>
      </c>
      <c r="AU1536" s="546" t="str">
        <f t="shared" si="640"/>
        <v/>
      </c>
    </row>
    <row r="1537" spans="1:47" ht="14.25" hidden="1" customHeight="1" x14ac:dyDescent="0.15">
      <c r="A1537" s="575"/>
      <c r="B1537" s="548"/>
      <c r="C1537" s="548"/>
      <c r="D1537" s="548"/>
      <c r="E1537" s="583"/>
      <c r="F1537" s="584"/>
      <c r="G1537" s="548"/>
      <c r="H1537" s="550"/>
      <c r="I1537" s="560"/>
      <c r="J1537" s="548"/>
      <c r="K1537" s="528" t="str">
        <f>IFERROR(VLOOKUP($B1537,'Clients-Live'!$A:$C,3,0),"")</f>
        <v/>
      </c>
      <c r="L1537" s="528">
        <f>IF(E1537="STL",Pricing!$D$38,IF(A1537="",0,IF(A1537&lt;Pricing!$C$25,Pricing!$D$25,VLOOKUP(Disbursements!$F1537,Pricing!$B$29:$D$32,3))))</f>
        <v>0</v>
      </c>
      <c r="M1537" s="528">
        <f>IF(E1537="STL",0,IF(F1537&gt;0,Pricing!$D$21,0))</f>
        <v>0</v>
      </c>
      <c r="N1537" s="529">
        <f>IF(E1537="STL",F1537*Pricing!$D$40,IF(A1537&lt;=Pricing!$C$4,0,IF(AND(A1537&gt;Pricing!$C$4,Disbursements!A1537&lt;=Pricing!$C$5),F1537*Pricing!$E$5,IF(AND(A1537&gt;Pricing!$C$5,Disbursements!A1537&lt;=Pricing!$C$7),VLOOKUP(F1537,Pricing!$D$7:$E$8,2)*Disbursements!F1537,F1537*Pricing!$E$9))))</f>
        <v>0</v>
      </c>
      <c r="O1537" s="528">
        <f>IF(E1537="STL",0,IF($F1537&gt;0,$F1537*Pricing!$D$17,0))</f>
        <v>0</v>
      </c>
      <c r="P1537" s="530" t="str">
        <f t="shared" si="620"/>
        <v/>
      </c>
      <c r="Q1537" s="531" t="str">
        <f>IF($A1537="","",$G1537/VLOOKUP($I1537,Ref!$B$23:$D$29,2,0))</f>
        <v/>
      </c>
      <c r="R1537" s="530" t="str">
        <f t="shared" si="621"/>
        <v/>
      </c>
      <c r="S1537" s="532" t="str">
        <f t="shared" si="615"/>
        <v/>
      </c>
      <c r="T1537" s="531" t="str">
        <f t="shared" si="622"/>
        <v/>
      </c>
      <c r="U1537" s="533">
        <f t="shared" si="623"/>
        <v>0</v>
      </c>
      <c r="V1537" s="531" t="str">
        <f t="shared" si="624"/>
        <v/>
      </c>
      <c r="W1537" s="531" t="str">
        <f t="shared" si="625"/>
        <v/>
      </c>
      <c r="X1537" s="534" t="str">
        <f t="shared" si="626"/>
        <v/>
      </c>
      <c r="Y1537" s="535" t="str">
        <f>IF($A1537="","",IF($I1537="weekly",$A1537+7,EDATE($A1537,VLOOKUP($I1537,Ref!$B$24:$C$29,2,0))))</f>
        <v/>
      </c>
      <c r="Z1537" s="536" t="str">
        <f t="shared" si="627"/>
        <v/>
      </c>
      <c r="AA1537" s="531">
        <f t="shared" si="628"/>
        <v>0</v>
      </c>
      <c r="AB1537" s="535" t="str">
        <f t="shared" si="616"/>
        <v/>
      </c>
      <c r="AC1537" s="537" t="str">
        <f t="shared" si="617"/>
        <v/>
      </c>
      <c r="AD1537" s="538" t="str">
        <f t="shared" ca="1" si="618"/>
        <v/>
      </c>
      <c r="AE1537" s="537">
        <f t="shared" ca="1" si="619"/>
        <v>0</v>
      </c>
      <c r="AF1537" s="539" t="str">
        <f t="shared" ca="1" si="629"/>
        <v/>
      </c>
      <c r="AG1537" s="531" t="str">
        <f t="shared" ca="1" si="630"/>
        <v/>
      </c>
      <c r="AH1537" s="531" t="str">
        <f t="shared" ca="1" si="631"/>
        <v/>
      </c>
      <c r="AI1537" s="531" t="str">
        <f t="shared" ca="1" si="632"/>
        <v/>
      </c>
      <c r="AJ1537" s="531" t="str">
        <f t="shared" si="633"/>
        <v/>
      </c>
      <c r="AK1537" s="540">
        <f>SUMIFS('Live Collections'!$S:$S,'Live Collections'!$D:$D,Disbursements!B1537,'Live Collections'!$G:$G,Disbursements!C1537)</f>
        <v>0</v>
      </c>
      <c r="AL1537" s="540">
        <f>SUMIFS('Live Collections'!$T:$T,'Live Collections'!$D:$D,Disbursements!B1537,'Live Collections'!$G:$G,Disbursements!C1537)</f>
        <v>0</v>
      </c>
      <c r="AM1537" s="541">
        <f t="shared" si="634"/>
        <v>0</v>
      </c>
      <c r="AN1537" s="542" t="str">
        <f t="shared" si="635"/>
        <v/>
      </c>
      <c r="AO1537" s="542" t="str">
        <f t="shared" si="636"/>
        <v/>
      </c>
      <c r="AP1537" s="543" t="str">
        <f t="shared" si="637"/>
        <v/>
      </c>
      <c r="AQ1537" s="544" t="str">
        <f t="shared" si="638"/>
        <v/>
      </c>
      <c r="AR1537" s="545">
        <f t="shared" si="639"/>
        <v>0</v>
      </c>
      <c r="AS1537" s="545">
        <f>IFERROR(CEILING($AR1537*VLOOKUP($I1537,Ref!$B$23:$E$29,4,0),1),0)</f>
        <v>0</v>
      </c>
      <c r="AT1537" s="545" t="str">
        <f>IF(A1537="","",IF(AP1537&lt;=1,"Cleared",IF(AS1537=0,"Clean",VLOOKUP($AS1537,Ref!$G$23:$H$28,2))))</f>
        <v/>
      </c>
      <c r="AU1537" s="546" t="str">
        <f t="shared" si="640"/>
        <v/>
      </c>
    </row>
    <row r="1538" spans="1:47" ht="14.25" hidden="1" customHeight="1" x14ac:dyDescent="0.15">
      <c r="A1538" s="575"/>
      <c r="B1538" s="548"/>
      <c r="C1538" s="548"/>
      <c r="D1538" s="548"/>
      <c r="E1538" s="583"/>
      <c r="F1538" s="584"/>
      <c r="G1538" s="548"/>
      <c r="H1538" s="550"/>
      <c r="I1538" s="560"/>
      <c r="J1538" s="548"/>
      <c r="K1538" s="528" t="str">
        <f>IFERROR(VLOOKUP($B1538,'Clients-Live'!$A:$C,3,0),"")</f>
        <v/>
      </c>
      <c r="L1538" s="528">
        <f>IF(E1538="STL",Pricing!$D$38,IF(A1538="",0,IF(A1538&lt;Pricing!$C$25,Pricing!$D$25,VLOOKUP(Disbursements!$F1538,Pricing!$B$29:$D$32,3))))</f>
        <v>0</v>
      </c>
      <c r="M1538" s="528">
        <f>IF(E1538="STL",0,IF(F1538&gt;0,Pricing!$D$21,0))</f>
        <v>0</v>
      </c>
      <c r="N1538" s="529">
        <f>IF(E1538="STL",F1538*Pricing!$D$40,IF(A1538&lt;=Pricing!$C$4,0,IF(AND(A1538&gt;Pricing!$C$4,Disbursements!A1538&lt;=Pricing!$C$5),F1538*Pricing!$E$5,IF(AND(A1538&gt;Pricing!$C$5,Disbursements!A1538&lt;=Pricing!$C$7),VLOOKUP(F1538,Pricing!$D$7:$E$8,2)*Disbursements!F1538,F1538*Pricing!$E$9))))</f>
        <v>0</v>
      </c>
      <c r="O1538" s="528">
        <f>IF(E1538="STL",0,IF($F1538&gt;0,$F1538*Pricing!$D$17,0))</f>
        <v>0</v>
      </c>
      <c r="P1538" s="530" t="str">
        <f t="shared" si="620"/>
        <v/>
      </c>
      <c r="Q1538" s="531" t="str">
        <f>IF($A1538="","",$G1538/VLOOKUP($I1538,Ref!$B$23:$D$29,2,0))</f>
        <v/>
      </c>
      <c r="R1538" s="530" t="str">
        <f t="shared" si="621"/>
        <v/>
      </c>
      <c r="S1538" s="532" t="str">
        <f t="shared" si="615"/>
        <v/>
      </c>
      <c r="T1538" s="531" t="str">
        <f t="shared" si="622"/>
        <v/>
      </c>
      <c r="U1538" s="533">
        <f t="shared" si="623"/>
        <v>0</v>
      </c>
      <c r="V1538" s="531" t="str">
        <f t="shared" si="624"/>
        <v/>
      </c>
      <c r="W1538" s="531" t="str">
        <f t="shared" si="625"/>
        <v/>
      </c>
      <c r="X1538" s="534" t="str">
        <f t="shared" si="626"/>
        <v/>
      </c>
      <c r="Y1538" s="535" t="str">
        <f>IF($A1538="","",IF($I1538="weekly",$A1538+7,EDATE($A1538,VLOOKUP($I1538,Ref!$B$24:$C$29,2,0))))</f>
        <v/>
      </c>
      <c r="Z1538" s="536" t="str">
        <f t="shared" si="627"/>
        <v/>
      </c>
      <c r="AA1538" s="531">
        <f t="shared" si="628"/>
        <v>0</v>
      </c>
      <c r="AB1538" s="535" t="str">
        <f t="shared" si="616"/>
        <v/>
      </c>
      <c r="AC1538" s="537" t="str">
        <f t="shared" si="617"/>
        <v/>
      </c>
      <c r="AD1538" s="538" t="str">
        <f t="shared" ca="1" si="618"/>
        <v/>
      </c>
      <c r="AE1538" s="537">
        <f t="shared" ca="1" si="619"/>
        <v>0</v>
      </c>
      <c r="AF1538" s="539" t="str">
        <f t="shared" ca="1" si="629"/>
        <v/>
      </c>
      <c r="AG1538" s="531" t="str">
        <f t="shared" ca="1" si="630"/>
        <v/>
      </c>
      <c r="AH1538" s="531" t="str">
        <f t="shared" ca="1" si="631"/>
        <v/>
      </c>
      <c r="AI1538" s="531" t="str">
        <f t="shared" ca="1" si="632"/>
        <v/>
      </c>
      <c r="AJ1538" s="531" t="str">
        <f t="shared" si="633"/>
        <v/>
      </c>
      <c r="AK1538" s="540">
        <f>SUMIFS('Live Collections'!$S:$S,'Live Collections'!$D:$D,Disbursements!B1538,'Live Collections'!$G:$G,Disbursements!C1538)</f>
        <v>0</v>
      </c>
      <c r="AL1538" s="540">
        <f>SUMIFS('Live Collections'!$T:$T,'Live Collections'!$D:$D,Disbursements!B1538,'Live Collections'!$G:$G,Disbursements!C1538)</f>
        <v>0</v>
      </c>
      <c r="AM1538" s="541">
        <f t="shared" si="634"/>
        <v>0</v>
      </c>
      <c r="AN1538" s="542" t="str">
        <f t="shared" si="635"/>
        <v/>
      </c>
      <c r="AO1538" s="542" t="str">
        <f t="shared" si="636"/>
        <v/>
      </c>
      <c r="AP1538" s="543" t="str">
        <f t="shared" si="637"/>
        <v/>
      </c>
      <c r="AQ1538" s="544" t="str">
        <f t="shared" si="638"/>
        <v/>
      </c>
      <c r="AR1538" s="545">
        <f t="shared" si="639"/>
        <v>0</v>
      </c>
      <c r="AS1538" s="545">
        <f>IFERROR(CEILING($AR1538*VLOOKUP($I1538,Ref!$B$23:$E$29,4,0),1),0)</f>
        <v>0</v>
      </c>
      <c r="AT1538" s="545" t="str">
        <f>IF(A1538="","",IF(AP1538&lt;=1,"Cleared",IF(AS1538=0,"Clean",VLOOKUP($AS1538,Ref!$G$23:$H$28,2))))</f>
        <v/>
      </c>
      <c r="AU1538" s="546" t="str">
        <f t="shared" si="640"/>
        <v/>
      </c>
    </row>
    <row r="1539" spans="1:47" ht="14.25" hidden="1" customHeight="1" x14ac:dyDescent="0.15">
      <c r="A1539" s="575"/>
      <c r="B1539" s="548"/>
      <c r="C1539" s="548"/>
      <c r="D1539" s="548"/>
      <c r="E1539" s="583"/>
      <c r="F1539" s="584"/>
      <c r="G1539" s="548"/>
      <c r="H1539" s="550"/>
      <c r="I1539" s="560"/>
      <c r="J1539" s="548"/>
      <c r="K1539" s="528" t="str">
        <f>IFERROR(VLOOKUP($B1539,'Clients-Live'!$A:$C,3,0),"")</f>
        <v/>
      </c>
      <c r="L1539" s="528">
        <f>IF(E1539="STL",Pricing!$D$38,IF(A1539="",0,IF(A1539&lt;Pricing!$C$25,Pricing!$D$25,VLOOKUP(Disbursements!$F1539,Pricing!$B$29:$D$32,3))))</f>
        <v>0</v>
      </c>
      <c r="M1539" s="528">
        <f>IF(E1539="STL",0,IF(F1539&gt;0,Pricing!$D$21,0))</f>
        <v>0</v>
      </c>
      <c r="N1539" s="529">
        <f>IF(E1539="STL",F1539*Pricing!$D$40,IF(A1539&lt;=Pricing!$C$4,0,IF(AND(A1539&gt;Pricing!$C$4,Disbursements!A1539&lt;=Pricing!$C$5),F1539*Pricing!$E$5,IF(AND(A1539&gt;Pricing!$C$5,Disbursements!A1539&lt;=Pricing!$C$7),VLOOKUP(F1539,Pricing!$D$7:$E$8,2)*Disbursements!F1539,F1539*Pricing!$E$9))))</f>
        <v>0</v>
      </c>
      <c r="O1539" s="528">
        <f>IF(E1539="STL",0,IF($F1539&gt;0,$F1539*Pricing!$D$17,0))</f>
        <v>0</v>
      </c>
      <c r="P1539" s="530" t="str">
        <f t="shared" si="620"/>
        <v/>
      </c>
      <c r="Q1539" s="531" t="str">
        <f>IF($A1539="","",$G1539/VLOOKUP($I1539,Ref!$B$23:$D$29,2,0))</f>
        <v/>
      </c>
      <c r="R1539" s="530" t="str">
        <f t="shared" si="621"/>
        <v/>
      </c>
      <c r="S1539" s="532" t="str">
        <f t="shared" si="615"/>
        <v/>
      </c>
      <c r="T1539" s="531" t="str">
        <f t="shared" si="622"/>
        <v/>
      </c>
      <c r="U1539" s="533">
        <f t="shared" si="623"/>
        <v>0</v>
      </c>
      <c r="V1539" s="531" t="str">
        <f t="shared" si="624"/>
        <v/>
      </c>
      <c r="W1539" s="531" t="str">
        <f t="shared" si="625"/>
        <v/>
      </c>
      <c r="X1539" s="534" t="str">
        <f t="shared" si="626"/>
        <v/>
      </c>
      <c r="Y1539" s="535" t="str">
        <f>IF($A1539="","",IF($I1539="weekly",$A1539+7,EDATE($A1539,VLOOKUP($I1539,Ref!$B$24:$C$29,2,0))))</f>
        <v/>
      </c>
      <c r="Z1539" s="536" t="str">
        <f t="shared" si="627"/>
        <v/>
      </c>
      <c r="AA1539" s="531">
        <f t="shared" si="628"/>
        <v>0</v>
      </c>
      <c r="AB1539" s="535" t="str">
        <f t="shared" si="616"/>
        <v/>
      </c>
      <c r="AC1539" s="537" t="str">
        <f t="shared" si="617"/>
        <v/>
      </c>
      <c r="AD1539" s="538" t="str">
        <f t="shared" ca="1" si="618"/>
        <v/>
      </c>
      <c r="AE1539" s="537">
        <f t="shared" ca="1" si="619"/>
        <v>0</v>
      </c>
      <c r="AF1539" s="539" t="str">
        <f t="shared" ca="1" si="629"/>
        <v/>
      </c>
      <c r="AG1539" s="531" t="str">
        <f t="shared" ca="1" si="630"/>
        <v/>
      </c>
      <c r="AH1539" s="531" t="str">
        <f t="shared" ca="1" si="631"/>
        <v/>
      </c>
      <c r="AI1539" s="531" t="str">
        <f t="shared" ca="1" si="632"/>
        <v/>
      </c>
      <c r="AJ1539" s="531" t="str">
        <f t="shared" si="633"/>
        <v/>
      </c>
      <c r="AK1539" s="540">
        <f>SUMIFS('Live Collections'!$S:$S,'Live Collections'!$D:$D,Disbursements!B1539,'Live Collections'!$G:$G,Disbursements!C1539)</f>
        <v>0</v>
      </c>
      <c r="AL1539" s="540">
        <f>SUMIFS('Live Collections'!$T:$T,'Live Collections'!$D:$D,Disbursements!B1539,'Live Collections'!$G:$G,Disbursements!C1539)</f>
        <v>0</v>
      </c>
      <c r="AM1539" s="541">
        <f t="shared" si="634"/>
        <v>0</v>
      </c>
      <c r="AN1539" s="542" t="str">
        <f t="shared" si="635"/>
        <v/>
      </c>
      <c r="AO1539" s="542" t="str">
        <f t="shared" si="636"/>
        <v/>
      </c>
      <c r="AP1539" s="543" t="str">
        <f t="shared" si="637"/>
        <v/>
      </c>
      <c r="AQ1539" s="544" t="str">
        <f t="shared" si="638"/>
        <v/>
      </c>
      <c r="AR1539" s="545">
        <f t="shared" si="639"/>
        <v>0</v>
      </c>
      <c r="AS1539" s="545">
        <f>IFERROR(CEILING($AR1539*VLOOKUP($I1539,Ref!$B$23:$E$29,4,0),1),0)</f>
        <v>0</v>
      </c>
      <c r="AT1539" s="545" t="str">
        <f>IF(A1539="","",IF(AP1539&lt;=1,"Cleared",IF(AS1539=0,"Clean",VLOOKUP($AS1539,Ref!$G$23:$H$28,2))))</f>
        <v/>
      </c>
      <c r="AU1539" s="546" t="str">
        <f t="shared" si="640"/>
        <v/>
      </c>
    </row>
    <row r="1540" spans="1:47" ht="14.25" hidden="1" customHeight="1" x14ac:dyDescent="0.15">
      <c r="A1540" s="575"/>
      <c r="B1540" s="548"/>
      <c r="C1540" s="548"/>
      <c r="D1540" s="548"/>
      <c r="E1540" s="583"/>
      <c r="F1540" s="584"/>
      <c r="G1540" s="548"/>
      <c r="H1540" s="550"/>
      <c r="I1540" s="560"/>
      <c r="J1540" s="548"/>
      <c r="K1540" s="528" t="str">
        <f>IFERROR(VLOOKUP($B1540,'Clients-Live'!$A:$C,3,0),"")</f>
        <v/>
      </c>
      <c r="L1540" s="528">
        <f>IF(E1540="STL",Pricing!$D$38,IF(A1540="",0,IF(A1540&lt;Pricing!$C$25,Pricing!$D$25,VLOOKUP(Disbursements!$F1540,Pricing!$B$29:$D$32,3))))</f>
        <v>0</v>
      </c>
      <c r="M1540" s="528">
        <f>IF(E1540="STL",0,IF(F1540&gt;0,Pricing!$D$21,0))</f>
        <v>0</v>
      </c>
      <c r="N1540" s="529">
        <f>IF(E1540="STL",F1540*Pricing!$D$40,IF(A1540&lt;=Pricing!$C$4,0,IF(AND(A1540&gt;Pricing!$C$4,Disbursements!A1540&lt;=Pricing!$C$5),F1540*Pricing!$E$5,IF(AND(A1540&gt;Pricing!$C$5,Disbursements!A1540&lt;=Pricing!$C$7),VLOOKUP(F1540,Pricing!$D$7:$E$8,2)*Disbursements!F1540,F1540*Pricing!$E$9))))</f>
        <v>0</v>
      </c>
      <c r="O1540" s="528">
        <f>IF(E1540="STL",0,IF($F1540&gt;0,$F1540*Pricing!$D$17,0))</f>
        <v>0</v>
      </c>
      <c r="P1540" s="530" t="str">
        <f t="shared" si="620"/>
        <v/>
      </c>
      <c r="Q1540" s="531" t="str">
        <f>IF($A1540="","",$G1540/VLOOKUP($I1540,Ref!$B$23:$D$29,2,0))</f>
        <v/>
      </c>
      <c r="R1540" s="530" t="str">
        <f t="shared" si="621"/>
        <v/>
      </c>
      <c r="S1540" s="532" t="str">
        <f t="shared" ref="S1540:S1603" si="641">IF($A1540="","",$R1540/$Q1540)</f>
        <v/>
      </c>
      <c r="T1540" s="531" t="str">
        <f t="shared" si="622"/>
        <v/>
      </c>
      <c r="U1540" s="533">
        <f t="shared" si="623"/>
        <v>0</v>
      </c>
      <c r="V1540" s="531" t="str">
        <f t="shared" si="624"/>
        <v/>
      </c>
      <c r="W1540" s="531" t="str">
        <f t="shared" si="625"/>
        <v/>
      </c>
      <c r="X1540" s="534" t="str">
        <f t="shared" si="626"/>
        <v/>
      </c>
      <c r="Y1540" s="535" t="str">
        <f>IF($A1540="","",IF($I1540="weekly",$A1540+7,EDATE($A1540,VLOOKUP($I1540,Ref!$B$24:$C$29,2,0))))</f>
        <v/>
      </c>
      <c r="Z1540" s="536" t="str">
        <f t="shared" si="627"/>
        <v/>
      </c>
      <c r="AA1540" s="531">
        <f t="shared" si="628"/>
        <v>0</v>
      </c>
      <c r="AB1540" s="535" t="str">
        <f t="shared" ref="AB1540:AB1603" si="642">IF($A1540="","",EDATE($A1540,$G1540))</f>
        <v/>
      </c>
      <c r="AC1540" s="537" t="str">
        <f t="shared" ref="AC1540:AC1603" si="643">IFERROR($AB1540-$A1540,"")</f>
        <v/>
      </c>
      <c r="AD1540" s="538" t="str">
        <f t="shared" ref="AD1540:AD1603" ca="1" si="644">IFERROR(IF(TODAY()-$A1540&lt;$AB1540-$A1540,TODAY()-$A1540,"Expired"),"")</f>
        <v/>
      </c>
      <c r="AE1540" s="537">
        <f t="shared" ref="AE1540:AE1603" ca="1" si="645">IFERROR($AC1540-$AD1540,0)</f>
        <v>0</v>
      </c>
      <c r="AF1540" s="539" t="str">
        <f t="shared" ca="1" si="629"/>
        <v/>
      </c>
      <c r="AG1540" s="531" t="str">
        <f t="shared" ca="1" si="630"/>
        <v/>
      </c>
      <c r="AH1540" s="531" t="str">
        <f t="shared" ca="1" si="631"/>
        <v/>
      </c>
      <c r="AI1540" s="531" t="str">
        <f t="shared" ca="1" si="632"/>
        <v/>
      </c>
      <c r="AJ1540" s="531" t="str">
        <f t="shared" si="633"/>
        <v/>
      </c>
      <c r="AK1540" s="540">
        <f>SUMIFS('Live Collections'!$S:$S,'Live Collections'!$D:$D,Disbursements!B1540,'Live Collections'!$G:$G,Disbursements!C1540)</f>
        <v>0</v>
      </c>
      <c r="AL1540" s="540">
        <f>SUMIFS('Live Collections'!$T:$T,'Live Collections'!$D:$D,Disbursements!B1540,'Live Collections'!$G:$G,Disbursements!C1540)</f>
        <v>0</v>
      </c>
      <c r="AM1540" s="541">
        <f t="shared" si="634"/>
        <v>0</v>
      </c>
      <c r="AN1540" s="542" t="str">
        <f t="shared" si="635"/>
        <v/>
      </c>
      <c r="AO1540" s="542" t="str">
        <f t="shared" si="636"/>
        <v/>
      </c>
      <c r="AP1540" s="543" t="str">
        <f t="shared" si="637"/>
        <v/>
      </c>
      <c r="AQ1540" s="544" t="str">
        <f t="shared" si="638"/>
        <v/>
      </c>
      <c r="AR1540" s="545">
        <f t="shared" si="639"/>
        <v>0</v>
      </c>
      <c r="AS1540" s="545">
        <f>IFERROR(CEILING($AR1540*VLOOKUP($I1540,Ref!$B$23:$E$29,4,0),1),0)</f>
        <v>0</v>
      </c>
      <c r="AT1540" s="545" t="str">
        <f>IF(A1540="","",IF(AP1540&lt;=1,"Cleared",IF(AS1540=0,"Clean",VLOOKUP($AS1540,Ref!$G$23:$H$28,2))))</f>
        <v/>
      </c>
      <c r="AU1540" s="546" t="str">
        <f t="shared" si="640"/>
        <v/>
      </c>
    </row>
    <row r="1541" spans="1:47" ht="14.25" hidden="1" customHeight="1" x14ac:dyDescent="0.15">
      <c r="A1541" s="575"/>
      <c r="B1541" s="548"/>
      <c r="C1541" s="548"/>
      <c r="D1541" s="548"/>
      <c r="E1541" s="583"/>
      <c r="F1541" s="584"/>
      <c r="G1541" s="548"/>
      <c r="H1541" s="550"/>
      <c r="I1541" s="560"/>
      <c r="J1541" s="548"/>
      <c r="K1541" s="528" t="str">
        <f>IFERROR(VLOOKUP($B1541,'Clients-Live'!$A:$C,3,0),"")</f>
        <v/>
      </c>
      <c r="L1541" s="528">
        <f>IF(E1541="STL",Pricing!$D$38,IF(A1541="",0,IF(A1541&lt;Pricing!$C$25,Pricing!$D$25,VLOOKUP(Disbursements!$F1541,Pricing!$B$29:$D$32,3))))</f>
        <v>0</v>
      </c>
      <c r="M1541" s="528">
        <f>IF(E1541="STL",0,IF(F1541&gt;0,Pricing!$D$21,0))</f>
        <v>0</v>
      </c>
      <c r="N1541" s="529">
        <f>IF(E1541="STL",F1541*Pricing!$D$40,IF(A1541&lt;=Pricing!$C$4,0,IF(AND(A1541&gt;Pricing!$C$4,Disbursements!A1541&lt;=Pricing!$C$5),F1541*Pricing!$E$5,IF(AND(A1541&gt;Pricing!$C$5,Disbursements!A1541&lt;=Pricing!$C$7),VLOOKUP(F1541,Pricing!$D$7:$E$8,2)*Disbursements!F1541,F1541*Pricing!$E$9))))</f>
        <v>0</v>
      </c>
      <c r="O1541" s="528">
        <f>IF(E1541="STL",0,IF($F1541&gt;0,$F1541*Pricing!$D$17,0))</f>
        <v>0</v>
      </c>
      <c r="P1541" s="530" t="str">
        <f t="shared" ref="P1541:P1604" si="646">IF($A1541="","",$H1541*$F1541*$G1541)</f>
        <v/>
      </c>
      <c r="Q1541" s="531" t="str">
        <f>IF($A1541="","",$G1541/VLOOKUP($I1541,Ref!$B$23:$D$29,2,0))</f>
        <v/>
      </c>
      <c r="R1541" s="530" t="str">
        <f t="shared" ref="R1541:R1604" si="647">IF($A1541="","",$F1541+$P1541)</f>
        <v/>
      </c>
      <c r="S1541" s="532" t="str">
        <f t="shared" si="641"/>
        <v/>
      </c>
      <c r="T1541" s="531" t="str">
        <f t="shared" ref="T1541:T1604" si="648">IF(R1541="","",CEILING(S1541,1000))</f>
        <v/>
      </c>
      <c r="U1541" s="533">
        <f t="shared" ref="U1541:U1604" si="649">IFERROR(T1541*Q1541,0)</f>
        <v>0</v>
      </c>
      <c r="V1541" s="531" t="str">
        <f t="shared" ref="V1541:V1604" si="650">IF(T1541="","",F1541/Q1541)</f>
        <v/>
      </c>
      <c r="W1541" s="531" t="str">
        <f t="shared" ref="W1541:W1604" si="651">IF(T1541="","",T1541-V1541)</f>
        <v/>
      </c>
      <c r="X1541" s="534" t="str">
        <f t="shared" ref="X1541:X1604" si="652">IF(A1541="","",W1541*Q1541)</f>
        <v/>
      </c>
      <c r="Y1541" s="535" t="str">
        <f>IF($A1541="","",IF($I1541="weekly",$A1541+7,EDATE($A1541,VLOOKUP($I1541,Ref!$B$24:$C$29,2,0))))</f>
        <v/>
      </c>
      <c r="Z1541" s="536" t="str">
        <f t="shared" ref="Z1541:Z1604" si="653">IFERROR(CHOOSE(WEEKDAY(Y1541),"Sun","Mon","Tue","Wed","Thu","Frid","Sat"),"")</f>
        <v/>
      </c>
      <c r="AA1541" s="531">
        <f t="shared" ref="AA1541:AA1604" si="654">IFERROR(Y1541-A1541,0)</f>
        <v>0</v>
      </c>
      <c r="AB1541" s="535" t="str">
        <f t="shared" si="642"/>
        <v/>
      </c>
      <c r="AC1541" s="537" t="str">
        <f t="shared" si="643"/>
        <v/>
      </c>
      <c r="AD1541" s="538" t="str">
        <f t="shared" ca="1" si="644"/>
        <v/>
      </c>
      <c r="AE1541" s="537">
        <f t="shared" ca="1" si="645"/>
        <v>0</v>
      </c>
      <c r="AF1541" s="539" t="str">
        <f t="shared" ref="AF1541:AF1604" ca="1" si="655">IFERROR(IF(AD1541="Expired",Q1541,IF(AD1541&gt;AA1541,AD1541/AA1541,0)),"")</f>
        <v/>
      </c>
      <c r="AG1541" s="531" t="str">
        <f t="shared" ref="AG1541:AG1604" ca="1" si="656">IFERROR(AF1541*T1541,"")</f>
        <v/>
      </c>
      <c r="AH1541" s="531" t="str">
        <f t="shared" ref="AH1541:AH1604" ca="1" si="657">IFERROR(AF1541*W1541,"")</f>
        <v/>
      </c>
      <c r="AI1541" s="531" t="str">
        <f t="shared" ref="AI1541:AI1604" ca="1" si="658">IFERROR(AF1541*V1541,"")</f>
        <v/>
      </c>
      <c r="AJ1541" s="531" t="str">
        <f t="shared" ref="AJ1541:AJ1604" si="659">IF(F1541=0,"",U1541-AG1541)</f>
        <v/>
      </c>
      <c r="AK1541" s="540">
        <f>SUMIFS('Live Collections'!$S:$S,'Live Collections'!$D:$D,Disbursements!B1541,'Live Collections'!$G:$G,Disbursements!C1541)</f>
        <v>0</v>
      </c>
      <c r="AL1541" s="540">
        <f>SUMIFS('Live Collections'!$T:$T,'Live Collections'!$D:$D,Disbursements!B1541,'Live Collections'!$G:$G,Disbursements!C1541)</f>
        <v>0</v>
      </c>
      <c r="AM1541" s="541">
        <f t="shared" ref="AM1541:AM1604" si="660">SUM(AK1541:AL1541)</f>
        <v>0</v>
      </c>
      <c r="AN1541" s="542" t="str">
        <f t="shared" ref="AN1541:AN1604" si="661">IFERROR(W1541*Q1541-AK1541,"")</f>
        <v/>
      </c>
      <c r="AO1541" s="542" t="str">
        <f t="shared" ref="AO1541:AO1604" si="662">IF(F1541="","",(F1541-AL1541))</f>
        <v/>
      </c>
      <c r="AP1541" s="543" t="str">
        <f t="shared" ref="AP1541:AP1604" si="663">IF(F1541="","",SUM(AN1541:AO1541))</f>
        <v/>
      </c>
      <c r="AQ1541" s="544" t="str">
        <f t="shared" ref="AQ1541:AQ1604" si="664">IF(AP1541&gt;AJ1541,AP1541-AJ1541,"")</f>
        <v/>
      </c>
      <c r="AR1541" s="545">
        <f t="shared" ref="AR1541:AR1604" si="665">IFERROR(AQ1541/T1541,0)</f>
        <v>0</v>
      </c>
      <c r="AS1541" s="545">
        <f>IFERROR(CEILING($AR1541*VLOOKUP($I1541,Ref!$B$23:$E$29,4,0),1),0)</f>
        <v>0</v>
      </c>
      <c r="AT1541" s="545" t="str">
        <f>IF(A1541="","",IF(AP1541&lt;=1,"Cleared",IF(AS1541=0,"Clean",VLOOKUP($AS1541,Ref!$G$23:$H$28,2))))</f>
        <v/>
      </c>
      <c r="AU1541" s="546" t="str">
        <f t="shared" ref="AU1541:AU1604" si="666">IF(F1541="","",IF(OR(AN1541&lt;0,AO1541&lt;0,AP1541&lt;0),"Error on Entry","Ok"))</f>
        <v/>
      </c>
    </row>
    <row r="1542" spans="1:47" ht="14.25" hidden="1" customHeight="1" x14ac:dyDescent="0.15">
      <c r="A1542" s="575"/>
      <c r="B1542" s="548"/>
      <c r="C1542" s="548"/>
      <c r="D1542" s="548"/>
      <c r="E1542" s="583"/>
      <c r="F1542" s="584"/>
      <c r="G1542" s="548"/>
      <c r="H1542" s="550"/>
      <c r="I1542" s="560"/>
      <c r="J1542" s="548"/>
      <c r="K1542" s="528" t="str">
        <f>IFERROR(VLOOKUP($B1542,'Clients-Live'!$A:$C,3,0),"")</f>
        <v/>
      </c>
      <c r="L1542" s="528">
        <f>IF(E1542="STL",Pricing!$D$38,IF(A1542="",0,IF(A1542&lt;Pricing!$C$25,Pricing!$D$25,VLOOKUP(Disbursements!$F1542,Pricing!$B$29:$D$32,3))))</f>
        <v>0</v>
      </c>
      <c r="M1542" s="528">
        <f>IF(E1542="STL",0,IF(F1542&gt;0,Pricing!$D$21,0))</f>
        <v>0</v>
      </c>
      <c r="N1542" s="529">
        <f>IF(E1542="STL",F1542*Pricing!$D$40,IF(A1542&lt;=Pricing!$C$4,0,IF(AND(A1542&gt;Pricing!$C$4,Disbursements!A1542&lt;=Pricing!$C$5),F1542*Pricing!$E$5,IF(AND(A1542&gt;Pricing!$C$5,Disbursements!A1542&lt;=Pricing!$C$7),VLOOKUP(F1542,Pricing!$D$7:$E$8,2)*Disbursements!F1542,F1542*Pricing!$E$9))))</f>
        <v>0</v>
      </c>
      <c r="O1542" s="528">
        <f>IF(E1542="STL",0,IF($F1542&gt;0,$F1542*Pricing!$D$17,0))</f>
        <v>0</v>
      </c>
      <c r="P1542" s="530" t="str">
        <f t="shared" si="646"/>
        <v/>
      </c>
      <c r="Q1542" s="531" t="str">
        <f>IF($A1542="","",$G1542/VLOOKUP($I1542,Ref!$B$23:$D$29,2,0))</f>
        <v/>
      </c>
      <c r="R1542" s="530" t="str">
        <f t="shared" si="647"/>
        <v/>
      </c>
      <c r="S1542" s="532" t="str">
        <f t="shared" si="641"/>
        <v/>
      </c>
      <c r="T1542" s="531" t="str">
        <f t="shared" si="648"/>
        <v/>
      </c>
      <c r="U1542" s="533">
        <f t="shared" si="649"/>
        <v>0</v>
      </c>
      <c r="V1542" s="531" t="str">
        <f t="shared" si="650"/>
        <v/>
      </c>
      <c r="W1542" s="531" t="str">
        <f t="shared" si="651"/>
        <v/>
      </c>
      <c r="X1542" s="534" t="str">
        <f t="shared" si="652"/>
        <v/>
      </c>
      <c r="Y1542" s="535" t="str">
        <f>IF($A1542="","",IF($I1542="weekly",$A1542+7,EDATE($A1542,VLOOKUP($I1542,Ref!$B$24:$C$29,2,0))))</f>
        <v/>
      </c>
      <c r="Z1542" s="536" t="str">
        <f t="shared" si="653"/>
        <v/>
      </c>
      <c r="AA1542" s="531">
        <f t="shared" si="654"/>
        <v>0</v>
      </c>
      <c r="AB1542" s="535" t="str">
        <f t="shared" si="642"/>
        <v/>
      </c>
      <c r="AC1542" s="537" t="str">
        <f t="shared" si="643"/>
        <v/>
      </c>
      <c r="AD1542" s="538" t="str">
        <f t="shared" ca="1" si="644"/>
        <v/>
      </c>
      <c r="AE1542" s="537">
        <f t="shared" ca="1" si="645"/>
        <v>0</v>
      </c>
      <c r="AF1542" s="539" t="str">
        <f t="shared" ca="1" si="655"/>
        <v/>
      </c>
      <c r="AG1542" s="531" t="str">
        <f t="shared" ca="1" si="656"/>
        <v/>
      </c>
      <c r="AH1542" s="531" t="str">
        <f t="shared" ca="1" si="657"/>
        <v/>
      </c>
      <c r="AI1542" s="531" t="str">
        <f t="shared" ca="1" si="658"/>
        <v/>
      </c>
      <c r="AJ1542" s="531" t="str">
        <f t="shared" si="659"/>
        <v/>
      </c>
      <c r="AK1542" s="540">
        <f>SUMIFS('Live Collections'!$S:$S,'Live Collections'!$D:$D,Disbursements!B1542,'Live Collections'!$G:$G,Disbursements!C1542)</f>
        <v>0</v>
      </c>
      <c r="AL1542" s="540">
        <f>SUMIFS('Live Collections'!$T:$T,'Live Collections'!$D:$D,Disbursements!B1542,'Live Collections'!$G:$G,Disbursements!C1542)</f>
        <v>0</v>
      </c>
      <c r="AM1542" s="541">
        <f t="shared" si="660"/>
        <v>0</v>
      </c>
      <c r="AN1542" s="542" t="str">
        <f t="shared" si="661"/>
        <v/>
      </c>
      <c r="AO1542" s="542" t="str">
        <f t="shared" si="662"/>
        <v/>
      </c>
      <c r="AP1542" s="543" t="str">
        <f t="shared" si="663"/>
        <v/>
      </c>
      <c r="AQ1542" s="544" t="str">
        <f t="shared" si="664"/>
        <v/>
      </c>
      <c r="AR1542" s="545">
        <f t="shared" si="665"/>
        <v>0</v>
      </c>
      <c r="AS1542" s="545">
        <f>IFERROR(CEILING($AR1542*VLOOKUP($I1542,Ref!$B$23:$E$29,4,0),1),0)</f>
        <v>0</v>
      </c>
      <c r="AT1542" s="545" t="str">
        <f>IF(A1542="","",IF(AP1542&lt;=1,"Cleared",IF(AS1542=0,"Clean",VLOOKUP($AS1542,Ref!$G$23:$H$28,2))))</f>
        <v/>
      </c>
      <c r="AU1542" s="546" t="str">
        <f t="shared" si="666"/>
        <v/>
      </c>
    </row>
    <row r="1543" spans="1:47" ht="14.25" hidden="1" customHeight="1" x14ac:dyDescent="0.15">
      <c r="A1543" s="575"/>
      <c r="B1543" s="548"/>
      <c r="C1543" s="548"/>
      <c r="D1543" s="548"/>
      <c r="E1543" s="583"/>
      <c r="F1543" s="584"/>
      <c r="G1543" s="548"/>
      <c r="H1543" s="550"/>
      <c r="I1543" s="560"/>
      <c r="J1543" s="548"/>
      <c r="K1543" s="528" t="str">
        <f>IFERROR(VLOOKUP($B1543,'Clients-Live'!$A:$C,3,0),"")</f>
        <v/>
      </c>
      <c r="L1543" s="528">
        <f>IF(E1543="STL",Pricing!$D$38,IF(A1543="",0,IF(A1543&lt;Pricing!$C$25,Pricing!$D$25,VLOOKUP(Disbursements!$F1543,Pricing!$B$29:$D$32,3))))</f>
        <v>0</v>
      </c>
      <c r="M1543" s="528">
        <f>IF(E1543="STL",0,IF(F1543&gt;0,Pricing!$D$21,0))</f>
        <v>0</v>
      </c>
      <c r="N1543" s="529">
        <f>IF(E1543="STL",F1543*Pricing!$D$40,IF(A1543&lt;=Pricing!$C$4,0,IF(AND(A1543&gt;Pricing!$C$4,Disbursements!A1543&lt;=Pricing!$C$5),F1543*Pricing!$E$5,IF(AND(A1543&gt;Pricing!$C$5,Disbursements!A1543&lt;=Pricing!$C$7),VLOOKUP(F1543,Pricing!$D$7:$E$8,2)*Disbursements!F1543,F1543*Pricing!$E$9))))</f>
        <v>0</v>
      </c>
      <c r="O1543" s="528">
        <f>IF(E1543="STL",0,IF($F1543&gt;0,$F1543*Pricing!$D$17,0))</f>
        <v>0</v>
      </c>
      <c r="P1543" s="530" t="str">
        <f t="shared" si="646"/>
        <v/>
      </c>
      <c r="Q1543" s="531" t="str">
        <f>IF($A1543="","",$G1543/VLOOKUP($I1543,Ref!$B$23:$D$29,2,0))</f>
        <v/>
      </c>
      <c r="R1543" s="530" t="str">
        <f t="shared" si="647"/>
        <v/>
      </c>
      <c r="S1543" s="532" t="str">
        <f t="shared" si="641"/>
        <v/>
      </c>
      <c r="T1543" s="531" t="str">
        <f t="shared" si="648"/>
        <v/>
      </c>
      <c r="U1543" s="533">
        <f t="shared" si="649"/>
        <v>0</v>
      </c>
      <c r="V1543" s="531" t="str">
        <f t="shared" si="650"/>
        <v/>
      </c>
      <c r="W1543" s="531" t="str">
        <f t="shared" si="651"/>
        <v/>
      </c>
      <c r="X1543" s="534" t="str">
        <f t="shared" si="652"/>
        <v/>
      </c>
      <c r="Y1543" s="535" t="str">
        <f>IF($A1543="","",IF($I1543="weekly",$A1543+7,EDATE($A1543,VLOOKUP($I1543,Ref!$B$24:$C$29,2,0))))</f>
        <v/>
      </c>
      <c r="Z1543" s="536" t="str">
        <f t="shared" si="653"/>
        <v/>
      </c>
      <c r="AA1543" s="531">
        <f t="shared" si="654"/>
        <v>0</v>
      </c>
      <c r="AB1543" s="535" t="str">
        <f t="shared" si="642"/>
        <v/>
      </c>
      <c r="AC1543" s="537" t="str">
        <f t="shared" si="643"/>
        <v/>
      </c>
      <c r="AD1543" s="538" t="str">
        <f t="shared" ca="1" si="644"/>
        <v/>
      </c>
      <c r="AE1543" s="537">
        <f t="shared" ca="1" si="645"/>
        <v>0</v>
      </c>
      <c r="AF1543" s="539" t="str">
        <f t="shared" ca="1" si="655"/>
        <v/>
      </c>
      <c r="AG1543" s="531" t="str">
        <f t="shared" ca="1" si="656"/>
        <v/>
      </c>
      <c r="AH1543" s="531" t="str">
        <f t="shared" ca="1" si="657"/>
        <v/>
      </c>
      <c r="AI1543" s="531" t="str">
        <f t="shared" ca="1" si="658"/>
        <v/>
      </c>
      <c r="AJ1543" s="531" t="str">
        <f t="shared" si="659"/>
        <v/>
      </c>
      <c r="AK1543" s="540">
        <f>SUMIFS('Live Collections'!$S:$S,'Live Collections'!$D:$D,Disbursements!B1543,'Live Collections'!$G:$G,Disbursements!C1543)</f>
        <v>0</v>
      </c>
      <c r="AL1543" s="540">
        <f>SUMIFS('Live Collections'!$T:$T,'Live Collections'!$D:$D,Disbursements!B1543,'Live Collections'!$G:$G,Disbursements!C1543)</f>
        <v>0</v>
      </c>
      <c r="AM1543" s="541">
        <f t="shared" si="660"/>
        <v>0</v>
      </c>
      <c r="AN1543" s="542" t="str">
        <f t="shared" si="661"/>
        <v/>
      </c>
      <c r="AO1543" s="542" t="str">
        <f t="shared" si="662"/>
        <v/>
      </c>
      <c r="AP1543" s="543" t="str">
        <f t="shared" si="663"/>
        <v/>
      </c>
      <c r="AQ1543" s="544" t="str">
        <f t="shared" si="664"/>
        <v/>
      </c>
      <c r="AR1543" s="545">
        <f t="shared" si="665"/>
        <v>0</v>
      </c>
      <c r="AS1543" s="545">
        <f>IFERROR(CEILING($AR1543*VLOOKUP($I1543,Ref!$B$23:$E$29,4,0),1),0)</f>
        <v>0</v>
      </c>
      <c r="AT1543" s="545" t="str">
        <f>IF(A1543="","",IF(AP1543&lt;=1,"Cleared",IF(AS1543=0,"Clean",VLOOKUP($AS1543,Ref!$G$23:$H$28,2))))</f>
        <v/>
      </c>
      <c r="AU1543" s="546" t="str">
        <f t="shared" si="666"/>
        <v/>
      </c>
    </row>
    <row r="1544" spans="1:47" ht="14.25" hidden="1" customHeight="1" x14ac:dyDescent="0.15">
      <c r="A1544" s="575"/>
      <c r="B1544" s="548"/>
      <c r="C1544" s="548"/>
      <c r="D1544" s="548"/>
      <c r="E1544" s="583"/>
      <c r="F1544" s="584"/>
      <c r="G1544" s="548"/>
      <c r="H1544" s="550"/>
      <c r="I1544" s="560"/>
      <c r="J1544" s="548"/>
      <c r="K1544" s="528" t="str">
        <f>IFERROR(VLOOKUP($B1544,'Clients-Live'!$A:$C,3,0),"")</f>
        <v/>
      </c>
      <c r="L1544" s="528">
        <f>IF(E1544="STL",Pricing!$D$38,IF(A1544="",0,IF(A1544&lt;Pricing!$C$25,Pricing!$D$25,VLOOKUP(Disbursements!$F1544,Pricing!$B$29:$D$32,3))))</f>
        <v>0</v>
      </c>
      <c r="M1544" s="528">
        <f>IF(E1544="STL",0,IF(F1544&gt;0,Pricing!$D$21,0))</f>
        <v>0</v>
      </c>
      <c r="N1544" s="529">
        <f>IF(E1544="STL",F1544*Pricing!$D$40,IF(A1544&lt;=Pricing!$C$4,0,IF(AND(A1544&gt;Pricing!$C$4,Disbursements!A1544&lt;=Pricing!$C$5),F1544*Pricing!$E$5,IF(AND(A1544&gt;Pricing!$C$5,Disbursements!A1544&lt;=Pricing!$C$7),VLOOKUP(F1544,Pricing!$D$7:$E$8,2)*Disbursements!F1544,F1544*Pricing!$E$9))))</f>
        <v>0</v>
      </c>
      <c r="O1544" s="528">
        <f>IF(E1544="STL",0,IF($F1544&gt;0,$F1544*Pricing!$D$17,0))</f>
        <v>0</v>
      </c>
      <c r="P1544" s="530" t="str">
        <f t="shared" si="646"/>
        <v/>
      </c>
      <c r="Q1544" s="531" t="str">
        <f>IF($A1544="","",$G1544/VLOOKUP($I1544,Ref!$B$23:$D$29,2,0))</f>
        <v/>
      </c>
      <c r="R1544" s="530" t="str">
        <f t="shared" si="647"/>
        <v/>
      </c>
      <c r="S1544" s="532" t="str">
        <f t="shared" si="641"/>
        <v/>
      </c>
      <c r="T1544" s="531" t="str">
        <f t="shared" si="648"/>
        <v/>
      </c>
      <c r="U1544" s="533">
        <f t="shared" si="649"/>
        <v>0</v>
      </c>
      <c r="V1544" s="531" t="str">
        <f t="shared" si="650"/>
        <v/>
      </c>
      <c r="W1544" s="531" t="str">
        <f t="shared" si="651"/>
        <v/>
      </c>
      <c r="X1544" s="534" t="str">
        <f t="shared" si="652"/>
        <v/>
      </c>
      <c r="Y1544" s="535" t="str">
        <f>IF($A1544="","",IF($I1544="weekly",$A1544+7,EDATE($A1544,VLOOKUP($I1544,Ref!$B$24:$C$29,2,0))))</f>
        <v/>
      </c>
      <c r="Z1544" s="536" t="str">
        <f t="shared" si="653"/>
        <v/>
      </c>
      <c r="AA1544" s="531">
        <f t="shared" si="654"/>
        <v>0</v>
      </c>
      <c r="AB1544" s="535" t="str">
        <f t="shared" si="642"/>
        <v/>
      </c>
      <c r="AC1544" s="537" t="str">
        <f t="shared" si="643"/>
        <v/>
      </c>
      <c r="AD1544" s="538" t="str">
        <f t="shared" ca="1" si="644"/>
        <v/>
      </c>
      <c r="AE1544" s="537">
        <f t="shared" ca="1" si="645"/>
        <v>0</v>
      </c>
      <c r="AF1544" s="539" t="str">
        <f t="shared" ca="1" si="655"/>
        <v/>
      </c>
      <c r="AG1544" s="531" t="str">
        <f t="shared" ca="1" si="656"/>
        <v/>
      </c>
      <c r="AH1544" s="531" t="str">
        <f t="shared" ca="1" si="657"/>
        <v/>
      </c>
      <c r="AI1544" s="531" t="str">
        <f t="shared" ca="1" si="658"/>
        <v/>
      </c>
      <c r="AJ1544" s="531" t="str">
        <f t="shared" si="659"/>
        <v/>
      </c>
      <c r="AK1544" s="540">
        <f>SUMIFS('Live Collections'!$S:$S,'Live Collections'!$D:$D,Disbursements!B1544,'Live Collections'!$G:$G,Disbursements!C1544)</f>
        <v>0</v>
      </c>
      <c r="AL1544" s="540">
        <f>SUMIFS('Live Collections'!$T:$T,'Live Collections'!$D:$D,Disbursements!B1544,'Live Collections'!$G:$G,Disbursements!C1544)</f>
        <v>0</v>
      </c>
      <c r="AM1544" s="541">
        <f t="shared" si="660"/>
        <v>0</v>
      </c>
      <c r="AN1544" s="542" t="str">
        <f t="shared" si="661"/>
        <v/>
      </c>
      <c r="AO1544" s="542" t="str">
        <f t="shared" si="662"/>
        <v/>
      </c>
      <c r="AP1544" s="543" t="str">
        <f t="shared" si="663"/>
        <v/>
      </c>
      <c r="AQ1544" s="544" t="str">
        <f t="shared" si="664"/>
        <v/>
      </c>
      <c r="AR1544" s="545">
        <f t="shared" si="665"/>
        <v>0</v>
      </c>
      <c r="AS1544" s="545">
        <f>IFERROR(CEILING($AR1544*VLOOKUP($I1544,Ref!$B$23:$E$29,4,0),1),0)</f>
        <v>0</v>
      </c>
      <c r="AT1544" s="545" t="str">
        <f>IF(A1544="","",IF(AP1544&lt;=1,"Cleared",IF(AS1544=0,"Clean",VLOOKUP($AS1544,Ref!$G$23:$H$28,2))))</f>
        <v/>
      </c>
      <c r="AU1544" s="546" t="str">
        <f t="shared" si="666"/>
        <v/>
      </c>
    </row>
    <row r="1545" spans="1:47" ht="14.25" hidden="1" customHeight="1" x14ac:dyDescent="0.15">
      <c r="A1545" s="575"/>
      <c r="B1545" s="548"/>
      <c r="C1545" s="548"/>
      <c r="D1545" s="548"/>
      <c r="E1545" s="583"/>
      <c r="F1545" s="584"/>
      <c r="G1545" s="548"/>
      <c r="H1545" s="550"/>
      <c r="I1545" s="560"/>
      <c r="J1545" s="548"/>
      <c r="K1545" s="528" t="str">
        <f>IFERROR(VLOOKUP($B1545,'Clients-Live'!$A:$C,3,0),"")</f>
        <v/>
      </c>
      <c r="L1545" s="528">
        <f>IF(E1545="STL",Pricing!$D$38,IF(A1545="",0,IF(A1545&lt;Pricing!$C$25,Pricing!$D$25,VLOOKUP(Disbursements!$F1545,Pricing!$B$29:$D$32,3))))</f>
        <v>0</v>
      </c>
      <c r="M1545" s="528">
        <f>IF(E1545="STL",0,IF(F1545&gt;0,Pricing!$D$21,0))</f>
        <v>0</v>
      </c>
      <c r="N1545" s="529">
        <f>IF(E1545="STL",F1545*Pricing!$D$40,IF(A1545&lt;=Pricing!$C$4,0,IF(AND(A1545&gt;Pricing!$C$4,Disbursements!A1545&lt;=Pricing!$C$5),F1545*Pricing!$E$5,IF(AND(A1545&gt;Pricing!$C$5,Disbursements!A1545&lt;=Pricing!$C$7),VLOOKUP(F1545,Pricing!$D$7:$E$8,2)*Disbursements!F1545,F1545*Pricing!$E$9))))</f>
        <v>0</v>
      </c>
      <c r="O1545" s="528">
        <f>IF(E1545="STL",0,IF($F1545&gt;0,$F1545*Pricing!$D$17,0))</f>
        <v>0</v>
      </c>
      <c r="P1545" s="530" t="str">
        <f t="shared" si="646"/>
        <v/>
      </c>
      <c r="Q1545" s="531" t="str">
        <f>IF($A1545="","",$G1545/VLOOKUP($I1545,Ref!$B$23:$D$29,2,0))</f>
        <v/>
      </c>
      <c r="R1545" s="530" t="str">
        <f t="shared" si="647"/>
        <v/>
      </c>
      <c r="S1545" s="532" t="str">
        <f t="shared" si="641"/>
        <v/>
      </c>
      <c r="T1545" s="531" t="str">
        <f t="shared" si="648"/>
        <v/>
      </c>
      <c r="U1545" s="533">
        <f t="shared" si="649"/>
        <v>0</v>
      </c>
      <c r="V1545" s="531" t="str">
        <f t="shared" si="650"/>
        <v/>
      </c>
      <c r="W1545" s="531" t="str">
        <f t="shared" si="651"/>
        <v/>
      </c>
      <c r="X1545" s="534" t="str">
        <f t="shared" si="652"/>
        <v/>
      </c>
      <c r="Y1545" s="535" t="str">
        <f>IF($A1545="","",IF($I1545="weekly",$A1545+7,EDATE($A1545,VLOOKUP($I1545,Ref!$B$24:$C$29,2,0))))</f>
        <v/>
      </c>
      <c r="Z1545" s="536" t="str">
        <f t="shared" si="653"/>
        <v/>
      </c>
      <c r="AA1545" s="531">
        <f t="shared" si="654"/>
        <v>0</v>
      </c>
      <c r="AB1545" s="535" t="str">
        <f t="shared" si="642"/>
        <v/>
      </c>
      <c r="AC1545" s="537" t="str">
        <f t="shared" si="643"/>
        <v/>
      </c>
      <c r="AD1545" s="538" t="str">
        <f t="shared" ca="1" si="644"/>
        <v/>
      </c>
      <c r="AE1545" s="537">
        <f t="shared" ca="1" si="645"/>
        <v>0</v>
      </c>
      <c r="AF1545" s="539" t="str">
        <f t="shared" ca="1" si="655"/>
        <v/>
      </c>
      <c r="AG1545" s="531" t="str">
        <f t="shared" ca="1" si="656"/>
        <v/>
      </c>
      <c r="AH1545" s="531" t="str">
        <f t="shared" ca="1" si="657"/>
        <v/>
      </c>
      <c r="AI1545" s="531" t="str">
        <f t="shared" ca="1" si="658"/>
        <v/>
      </c>
      <c r="AJ1545" s="531" t="str">
        <f t="shared" si="659"/>
        <v/>
      </c>
      <c r="AK1545" s="540">
        <f>SUMIFS('Live Collections'!$S:$S,'Live Collections'!$D:$D,Disbursements!B1545,'Live Collections'!$G:$G,Disbursements!C1545)</f>
        <v>0</v>
      </c>
      <c r="AL1545" s="540">
        <f>SUMIFS('Live Collections'!$T:$T,'Live Collections'!$D:$D,Disbursements!B1545,'Live Collections'!$G:$G,Disbursements!C1545)</f>
        <v>0</v>
      </c>
      <c r="AM1545" s="541">
        <f t="shared" si="660"/>
        <v>0</v>
      </c>
      <c r="AN1545" s="542" t="str">
        <f t="shared" si="661"/>
        <v/>
      </c>
      <c r="AO1545" s="542" t="str">
        <f t="shared" si="662"/>
        <v/>
      </c>
      <c r="AP1545" s="543" t="str">
        <f t="shared" si="663"/>
        <v/>
      </c>
      <c r="AQ1545" s="544" t="str">
        <f t="shared" si="664"/>
        <v/>
      </c>
      <c r="AR1545" s="545">
        <f t="shared" si="665"/>
        <v>0</v>
      </c>
      <c r="AS1545" s="545">
        <f>IFERROR(CEILING($AR1545*VLOOKUP($I1545,Ref!$B$23:$E$29,4,0),1),0)</f>
        <v>0</v>
      </c>
      <c r="AT1545" s="545" t="str">
        <f>IF(A1545="","",IF(AP1545&lt;=1,"Cleared",IF(AS1545=0,"Clean",VLOOKUP($AS1545,Ref!$G$23:$H$28,2))))</f>
        <v/>
      </c>
      <c r="AU1545" s="546" t="str">
        <f t="shared" si="666"/>
        <v/>
      </c>
    </row>
    <row r="1546" spans="1:47" ht="14.25" hidden="1" customHeight="1" x14ac:dyDescent="0.15">
      <c r="A1546" s="575"/>
      <c r="B1546" s="548"/>
      <c r="C1546" s="548"/>
      <c r="D1546" s="548"/>
      <c r="E1546" s="583"/>
      <c r="F1546" s="584"/>
      <c r="G1546" s="548"/>
      <c r="H1546" s="550"/>
      <c r="I1546" s="560"/>
      <c r="J1546" s="548"/>
      <c r="K1546" s="528" t="str">
        <f>IFERROR(VLOOKUP($B1546,'Clients-Live'!$A:$C,3,0),"")</f>
        <v/>
      </c>
      <c r="L1546" s="528">
        <f>IF(E1546="STL",Pricing!$D$38,IF(A1546="",0,IF(A1546&lt;Pricing!$C$25,Pricing!$D$25,VLOOKUP(Disbursements!$F1546,Pricing!$B$29:$D$32,3))))</f>
        <v>0</v>
      </c>
      <c r="M1546" s="528">
        <f>IF(E1546="STL",0,IF(F1546&gt;0,Pricing!$D$21,0))</f>
        <v>0</v>
      </c>
      <c r="N1546" s="529">
        <f>IF(E1546="STL",F1546*Pricing!$D$40,IF(A1546&lt;=Pricing!$C$4,0,IF(AND(A1546&gt;Pricing!$C$4,Disbursements!A1546&lt;=Pricing!$C$5),F1546*Pricing!$E$5,IF(AND(A1546&gt;Pricing!$C$5,Disbursements!A1546&lt;=Pricing!$C$7),VLOOKUP(F1546,Pricing!$D$7:$E$8,2)*Disbursements!F1546,F1546*Pricing!$E$9))))</f>
        <v>0</v>
      </c>
      <c r="O1546" s="528">
        <f>IF(E1546="STL",0,IF($F1546&gt;0,$F1546*Pricing!$D$17,0))</f>
        <v>0</v>
      </c>
      <c r="P1546" s="530" t="str">
        <f t="shared" si="646"/>
        <v/>
      </c>
      <c r="Q1546" s="531" t="str">
        <f>IF($A1546="","",$G1546/VLOOKUP($I1546,Ref!$B$23:$D$29,2,0))</f>
        <v/>
      </c>
      <c r="R1546" s="530" t="str">
        <f t="shared" si="647"/>
        <v/>
      </c>
      <c r="S1546" s="532" t="str">
        <f t="shared" si="641"/>
        <v/>
      </c>
      <c r="T1546" s="531" t="str">
        <f t="shared" si="648"/>
        <v/>
      </c>
      <c r="U1546" s="533">
        <f t="shared" si="649"/>
        <v>0</v>
      </c>
      <c r="V1546" s="531" t="str">
        <f t="shared" si="650"/>
        <v/>
      </c>
      <c r="W1546" s="531" t="str">
        <f t="shared" si="651"/>
        <v/>
      </c>
      <c r="X1546" s="534" t="str">
        <f t="shared" si="652"/>
        <v/>
      </c>
      <c r="Y1546" s="535" t="str">
        <f>IF($A1546="","",IF($I1546="weekly",$A1546+7,EDATE($A1546,VLOOKUP($I1546,Ref!$B$24:$C$29,2,0))))</f>
        <v/>
      </c>
      <c r="Z1546" s="536" t="str">
        <f t="shared" si="653"/>
        <v/>
      </c>
      <c r="AA1546" s="531">
        <f t="shared" si="654"/>
        <v>0</v>
      </c>
      <c r="AB1546" s="535" t="str">
        <f t="shared" si="642"/>
        <v/>
      </c>
      <c r="AC1546" s="537" t="str">
        <f t="shared" si="643"/>
        <v/>
      </c>
      <c r="AD1546" s="538" t="str">
        <f t="shared" ca="1" si="644"/>
        <v/>
      </c>
      <c r="AE1546" s="537">
        <f t="shared" ca="1" si="645"/>
        <v>0</v>
      </c>
      <c r="AF1546" s="539" t="str">
        <f t="shared" ca="1" si="655"/>
        <v/>
      </c>
      <c r="AG1546" s="531" t="str">
        <f t="shared" ca="1" si="656"/>
        <v/>
      </c>
      <c r="AH1546" s="531" t="str">
        <f t="shared" ca="1" si="657"/>
        <v/>
      </c>
      <c r="AI1546" s="531" t="str">
        <f t="shared" ca="1" si="658"/>
        <v/>
      </c>
      <c r="AJ1546" s="531" t="str">
        <f t="shared" si="659"/>
        <v/>
      </c>
      <c r="AK1546" s="540">
        <f>SUMIFS('Live Collections'!$S:$S,'Live Collections'!$D:$D,Disbursements!B1546,'Live Collections'!$G:$G,Disbursements!C1546)</f>
        <v>0</v>
      </c>
      <c r="AL1546" s="540">
        <f>SUMIFS('Live Collections'!$T:$T,'Live Collections'!$D:$D,Disbursements!B1546,'Live Collections'!$G:$G,Disbursements!C1546)</f>
        <v>0</v>
      </c>
      <c r="AM1546" s="541">
        <f t="shared" si="660"/>
        <v>0</v>
      </c>
      <c r="AN1546" s="542" t="str">
        <f t="shared" si="661"/>
        <v/>
      </c>
      <c r="AO1546" s="542" t="str">
        <f t="shared" si="662"/>
        <v/>
      </c>
      <c r="AP1546" s="543" t="str">
        <f t="shared" si="663"/>
        <v/>
      </c>
      <c r="AQ1546" s="544" t="str">
        <f t="shared" si="664"/>
        <v/>
      </c>
      <c r="AR1546" s="545">
        <f t="shared" si="665"/>
        <v>0</v>
      </c>
      <c r="AS1546" s="545">
        <f>IFERROR(CEILING($AR1546*VLOOKUP($I1546,Ref!$B$23:$E$29,4,0),1),0)</f>
        <v>0</v>
      </c>
      <c r="AT1546" s="545" t="str">
        <f>IF(A1546="","",IF(AP1546&lt;=1,"Cleared",IF(AS1546=0,"Clean",VLOOKUP($AS1546,Ref!$G$23:$H$28,2))))</f>
        <v/>
      </c>
      <c r="AU1546" s="546" t="str">
        <f t="shared" si="666"/>
        <v/>
      </c>
    </row>
    <row r="1547" spans="1:47" ht="14.25" hidden="1" customHeight="1" x14ac:dyDescent="0.15">
      <c r="A1547" s="575"/>
      <c r="B1547" s="548"/>
      <c r="C1547" s="548"/>
      <c r="D1547" s="548"/>
      <c r="E1547" s="583"/>
      <c r="F1547" s="584"/>
      <c r="G1547" s="548"/>
      <c r="H1547" s="550"/>
      <c r="I1547" s="560"/>
      <c r="J1547" s="548"/>
      <c r="K1547" s="528" t="str">
        <f>IFERROR(VLOOKUP($B1547,'Clients-Live'!$A:$C,3,0),"")</f>
        <v/>
      </c>
      <c r="L1547" s="528">
        <f>IF(E1547="STL",Pricing!$D$38,IF(A1547="",0,IF(A1547&lt;Pricing!$C$25,Pricing!$D$25,VLOOKUP(Disbursements!$F1547,Pricing!$B$29:$D$32,3))))</f>
        <v>0</v>
      </c>
      <c r="M1547" s="528">
        <f>IF(E1547="STL",0,IF(F1547&gt;0,Pricing!$D$21,0))</f>
        <v>0</v>
      </c>
      <c r="N1547" s="529">
        <f>IF(E1547="STL",F1547*Pricing!$D$40,IF(A1547&lt;=Pricing!$C$4,0,IF(AND(A1547&gt;Pricing!$C$4,Disbursements!A1547&lt;=Pricing!$C$5),F1547*Pricing!$E$5,IF(AND(A1547&gt;Pricing!$C$5,Disbursements!A1547&lt;=Pricing!$C$7),VLOOKUP(F1547,Pricing!$D$7:$E$8,2)*Disbursements!F1547,F1547*Pricing!$E$9))))</f>
        <v>0</v>
      </c>
      <c r="O1547" s="528">
        <f>IF(E1547="STL",0,IF($F1547&gt;0,$F1547*Pricing!$D$17,0))</f>
        <v>0</v>
      </c>
      <c r="P1547" s="530" t="str">
        <f t="shared" si="646"/>
        <v/>
      </c>
      <c r="Q1547" s="531" t="str">
        <f>IF($A1547="","",$G1547/VLOOKUP($I1547,Ref!$B$23:$D$29,2,0))</f>
        <v/>
      </c>
      <c r="R1547" s="530" t="str">
        <f t="shared" si="647"/>
        <v/>
      </c>
      <c r="S1547" s="532" t="str">
        <f t="shared" si="641"/>
        <v/>
      </c>
      <c r="T1547" s="531" t="str">
        <f t="shared" si="648"/>
        <v/>
      </c>
      <c r="U1547" s="533">
        <f t="shared" si="649"/>
        <v>0</v>
      </c>
      <c r="V1547" s="531" t="str">
        <f t="shared" si="650"/>
        <v/>
      </c>
      <c r="W1547" s="531" t="str">
        <f t="shared" si="651"/>
        <v/>
      </c>
      <c r="X1547" s="534" t="str">
        <f t="shared" si="652"/>
        <v/>
      </c>
      <c r="Y1547" s="535" t="str">
        <f>IF($A1547="","",IF($I1547="weekly",$A1547+7,EDATE($A1547,VLOOKUP($I1547,Ref!$B$24:$C$29,2,0))))</f>
        <v/>
      </c>
      <c r="Z1547" s="536" t="str">
        <f t="shared" si="653"/>
        <v/>
      </c>
      <c r="AA1547" s="531">
        <f t="shared" si="654"/>
        <v>0</v>
      </c>
      <c r="AB1547" s="535" t="str">
        <f t="shared" si="642"/>
        <v/>
      </c>
      <c r="AC1547" s="537" t="str">
        <f t="shared" si="643"/>
        <v/>
      </c>
      <c r="AD1547" s="538" t="str">
        <f t="shared" ca="1" si="644"/>
        <v/>
      </c>
      <c r="AE1547" s="537">
        <f t="shared" ca="1" si="645"/>
        <v>0</v>
      </c>
      <c r="AF1547" s="539" t="str">
        <f t="shared" ca="1" si="655"/>
        <v/>
      </c>
      <c r="AG1547" s="531" t="str">
        <f t="shared" ca="1" si="656"/>
        <v/>
      </c>
      <c r="AH1547" s="531" t="str">
        <f t="shared" ca="1" si="657"/>
        <v/>
      </c>
      <c r="AI1547" s="531" t="str">
        <f t="shared" ca="1" si="658"/>
        <v/>
      </c>
      <c r="AJ1547" s="531" t="str">
        <f t="shared" si="659"/>
        <v/>
      </c>
      <c r="AK1547" s="540">
        <f>SUMIFS('Live Collections'!$S:$S,'Live Collections'!$D:$D,Disbursements!B1547,'Live Collections'!$G:$G,Disbursements!C1547)</f>
        <v>0</v>
      </c>
      <c r="AL1547" s="540">
        <f>SUMIFS('Live Collections'!$T:$T,'Live Collections'!$D:$D,Disbursements!B1547,'Live Collections'!$G:$G,Disbursements!C1547)</f>
        <v>0</v>
      </c>
      <c r="AM1547" s="541">
        <f t="shared" si="660"/>
        <v>0</v>
      </c>
      <c r="AN1547" s="542" t="str">
        <f t="shared" si="661"/>
        <v/>
      </c>
      <c r="AO1547" s="542" t="str">
        <f t="shared" si="662"/>
        <v/>
      </c>
      <c r="AP1547" s="543" t="str">
        <f t="shared" si="663"/>
        <v/>
      </c>
      <c r="AQ1547" s="544" t="str">
        <f t="shared" si="664"/>
        <v/>
      </c>
      <c r="AR1547" s="545">
        <f t="shared" si="665"/>
        <v>0</v>
      </c>
      <c r="AS1547" s="545">
        <f>IFERROR(CEILING($AR1547*VLOOKUP($I1547,Ref!$B$23:$E$29,4,0),1),0)</f>
        <v>0</v>
      </c>
      <c r="AT1547" s="545" t="str">
        <f>IF(A1547="","",IF(AP1547&lt;=1,"Cleared",IF(AS1547=0,"Clean",VLOOKUP($AS1547,Ref!$G$23:$H$28,2))))</f>
        <v/>
      </c>
      <c r="AU1547" s="546" t="str">
        <f t="shared" si="666"/>
        <v/>
      </c>
    </row>
    <row r="1548" spans="1:47" ht="14.25" hidden="1" customHeight="1" x14ac:dyDescent="0.15">
      <c r="A1548" s="575"/>
      <c r="B1548" s="548"/>
      <c r="C1548" s="548"/>
      <c r="D1548" s="548"/>
      <c r="E1548" s="583"/>
      <c r="F1548" s="584"/>
      <c r="G1548" s="548"/>
      <c r="H1548" s="550"/>
      <c r="I1548" s="560"/>
      <c r="J1548" s="548"/>
      <c r="K1548" s="528" t="str">
        <f>IFERROR(VLOOKUP($B1548,'Clients-Live'!$A:$C,3,0),"")</f>
        <v/>
      </c>
      <c r="L1548" s="528">
        <f>IF(E1548="STL",Pricing!$D$38,IF(A1548="",0,IF(A1548&lt;Pricing!$C$25,Pricing!$D$25,VLOOKUP(Disbursements!$F1548,Pricing!$B$29:$D$32,3))))</f>
        <v>0</v>
      </c>
      <c r="M1548" s="528">
        <f>IF(E1548="STL",0,IF(F1548&gt;0,Pricing!$D$21,0))</f>
        <v>0</v>
      </c>
      <c r="N1548" s="529">
        <f>IF(E1548="STL",F1548*Pricing!$D$40,IF(A1548&lt;=Pricing!$C$4,0,IF(AND(A1548&gt;Pricing!$C$4,Disbursements!A1548&lt;=Pricing!$C$5),F1548*Pricing!$E$5,IF(AND(A1548&gt;Pricing!$C$5,Disbursements!A1548&lt;=Pricing!$C$7),VLOOKUP(F1548,Pricing!$D$7:$E$8,2)*Disbursements!F1548,F1548*Pricing!$E$9))))</f>
        <v>0</v>
      </c>
      <c r="O1548" s="528">
        <f>IF(E1548="STL",0,IF($F1548&gt;0,$F1548*Pricing!$D$17,0))</f>
        <v>0</v>
      </c>
      <c r="P1548" s="530" t="str">
        <f t="shared" si="646"/>
        <v/>
      </c>
      <c r="Q1548" s="531" t="str">
        <f>IF($A1548="","",$G1548/VLOOKUP($I1548,Ref!$B$23:$D$29,2,0))</f>
        <v/>
      </c>
      <c r="R1548" s="530" t="str">
        <f t="shared" si="647"/>
        <v/>
      </c>
      <c r="S1548" s="532" t="str">
        <f t="shared" si="641"/>
        <v/>
      </c>
      <c r="T1548" s="531" t="str">
        <f t="shared" si="648"/>
        <v/>
      </c>
      <c r="U1548" s="533">
        <f t="shared" si="649"/>
        <v>0</v>
      </c>
      <c r="V1548" s="531" t="str">
        <f t="shared" si="650"/>
        <v/>
      </c>
      <c r="W1548" s="531" t="str">
        <f t="shared" si="651"/>
        <v/>
      </c>
      <c r="X1548" s="534" t="str">
        <f t="shared" si="652"/>
        <v/>
      </c>
      <c r="Y1548" s="535" t="str">
        <f>IF($A1548="","",IF($I1548="weekly",$A1548+7,EDATE($A1548,VLOOKUP($I1548,Ref!$B$24:$C$29,2,0))))</f>
        <v/>
      </c>
      <c r="Z1548" s="536" t="str">
        <f t="shared" si="653"/>
        <v/>
      </c>
      <c r="AA1548" s="531">
        <f t="shared" si="654"/>
        <v>0</v>
      </c>
      <c r="AB1548" s="535" t="str">
        <f t="shared" si="642"/>
        <v/>
      </c>
      <c r="AC1548" s="537" t="str">
        <f t="shared" si="643"/>
        <v/>
      </c>
      <c r="AD1548" s="538" t="str">
        <f t="shared" ca="1" si="644"/>
        <v/>
      </c>
      <c r="AE1548" s="537">
        <f t="shared" ca="1" si="645"/>
        <v>0</v>
      </c>
      <c r="AF1548" s="539" t="str">
        <f t="shared" ca="1" si="655"/>
        <v/>
      </c>
      <c r="AG1548" s="531" t="str">
        <f t="shared" ca="1" si="656"/>
        <v/>
      </c>
      <c r="AH1548" s="531" t="str">
        <f t="shared" ca="1" si="657"/>
        <v/>
      </c>
      <c r="AI1548" s="531" t="str">
        <f t="shared" ca="1" si="658"/>
        <v/>
      </c>
      <c r="AJ1548" s="531" t="str">
        <f t="shared" si="659"/>
        <v/>
      </c>
      <c r="AK1548" s="540">
        <f>SUMIFS('Live Collections'!$S:$S,'Live Collections'!$D:$D,Disbursements!B1548,'Live Collections'!$G:$G,Disbursements!C1548)</f>
        <v>0</v>
      </c>
      <c r="AL1548" s="540">
        <f>SUMIFS('Live Collections'!$T:$T,'Live Collections'!$D:$D,Disbursements!B1548,'Live Collections'!$G:$G,Disbursements!C1548)</f>
        <v>0</v>
      </c>
      <c r="AM1548" s="541">
        <f t="shared" si="660"/>
        <v>0</v>
      </c>
      <c r="AN1548" s="542" t="str">
        <f t="shared" si="661"/>
        <v/>
      </c>
      <c r="AO1548" s="542" t="str">
        <f t="shared" si="662"/>
        <v/>
      </c>
      <c r="AP1548" s="543" t="str">
        <f t="shared" si="663"/>
        <v/>
      </c>
      <c r="AQ1548" s="544" t="str">
        <f t="shared" si="664"/>
        <v/>
      </c>
      <c r="AR1548" s="545">
        <f t="shared" si="665"/>
        <v>0</v>
      </c>
      <c r="AS1548" s="545">
        <f>IFERROR(CEILING($AR1548*VLOOKUP($I1548,Ref!$B$23:$E$29,4,0),1),0)</f>
        <v>0</v>
      </c>
      <c r="AT1548" s="545" t="str">
        <f>IF(A1548="","",IF(AP1548&lt;=1,"Cleared",IF(AS1548=0,"Clean",VLOOKUP($AS1548,Ref!$G$23:$H$28,2))))</f>
        <v/>
      </c>
      <c r="AU1548" s="546" t="str">
        <f t="shared" si="666"/>
        <v/>
      </c>
    </row>
    <row r="1549" spans="1:47" ht="14.25" hidden="1" customHeight="1" x14ac:dyDescent="0.15">
      <c r="A1549" s="575"/>
      <c r="B1549" s="548"/>
      <c r="C1549" s="548"/>
      <c r="D1549" s="548"/>
      <c r="E1549" s="583"/>
      <c r="F1549" s="584"/>
      <c r="G1549" s="548"/>
      <c r="H1549" s="550"/>
      <c r="I1549" s="560"/>
      <c r="J1549" s="548"/>
      <c r="K1549" s="528" t="str">
        <f>IFERROR(VLOOKUP($B1549,'Clients-Live'!$A:$C,3,0),"")</f>
        <v/>
      </c>
      <c r="L1549" s="528">
        <f>IF(E1549="STL",Pricing!$D$38,IF(A1549="",0,IF(A1549&lt;Pricing!$C$25,Pricing!$D$25,VLOOKUP(Disbursements!$F1549,Pricing!$B$29:$D$32,3))))</f>
        <v>0</v>
      </c>
      <c r="M1549" s="528">
        <f>IF(E1549="STL",0,IF(F1549&gt;0,Pricing!$D$21,0))</f>
        <v>0</v>
      </c>
      <c r="N1549" s="529">
        <f>IF(E1549="STL",F1549*Pricing!$D$40,IF(A1549&lt;=Pricing!$C$4,0,IF(AND(A1549&gt;Pricing!$C$4,Disbursements!A1549&lt;=Pricing!$C$5),F1549*Pricing!$E$5,IF(AND(A1549&gt;Pricing!$C$5,Disbursements!A1549&lt;=Pricing!$C$7),VLOOKUP(F1549,Pricing!$D$7:$E$8,2)*Disbursements!F1549,F1549*Pricing!$E$9))))</f>
        <v>0</v>
      </c>
      <c r="O1549" s="528">
        <f>IF(E1549="STL",0,IF($F1549&gt;0,$F1549*Pricing!$D$17,0))</f>
        <v>0</v>
      </c>
      <c r="P1549" s="530" t="str">
        <f t="shared" si="646"/>
        <v/>
      </c>
      <c r="Q1549" s="531" t="str">
        <f>IF($A1549="","",$G1549/VLOOKUP($I1549,Ref!$B$23:$D$29,2,0))</f>
        <v/>
      </c>
      <c r="R1549" s="530" t="str">
        <f t="shared" si="647"/>
        <v/>
      </c>
      <c r="S1549" s="532" t="str">
        <f t="shared" si="641"/>
        <v/>
      </c>
      <c r="T1549" s="531" t="str">
        <f t="shared" si="648"/>
        <v/>
      </c>
      <c r="U1549" s="533">
        <f t="shared" si="649"/>
        <v>0</v>
      </c>
      <c r="V1549" s="531" t="str">
        <f t="shared" si="650"/>
        <v/>
      </c>
      <c r="W1549" s="531" t="str">
        <f t="shared" si="651"/>
        <v/>
      </c>
      <c r="X1549" s="534" t="str">
        <f t="shared" si="652"/>
        <v/>
      </c>
      <c r="Y1549" s="535" t="str">
        <f>IF($A1549="","",IF($I1549="weekly",$A1549+7,EDATE($A1549,VLOOKUP($I1549,Ref!$B$24:$C$29,2,0))))</f>
        <v/>
      </c>
      <c r="Z1549" s="536" t="str">
        <f t="shared" si="653"/>
        <v/>
      </c>
      <c r="AA1549" s="531">
        <f t="shared" si="654"/>
        <v>0</v>
      </c>
      <c r="AB1549" s="535" t="str">
        <f t="shared" si="642"/>
        <v/>
      </c>
      <c r="AC1549" s="537" t="str">
        <f t="shared" si="643"/>
        <v/>
      </c>
      <c r="AD1549" s="538" t="str">
        <f t="shared" ca="1" si="644"/>
        <v/>
      </c>
      <c r="AE1549" s="537">
        <f t="shared" ca="1" si="645"/>
        <v>0</v>
      </c>
      <c r="AF1549" s="539" t="str">
        <f t="shared" ca="1" si="655"/>
        <v/>
      </c>
      <c r="AG1549" s="531" t="str">
        <f t="shared" ca="1" si="656"/>
        <v/>
      </c>
      <c r="AH1549" s="531" t="str">
        <f t="shared" ca="1" si="657"/>
        <v/>
      </c>
      <c r="AI1549" s="531" t="str">
        <f t="shared" ca="1" si="658"/>
        <v/>
      </c>
      <c r="AJ1549" s="531" t="str">
        <f t="shared" si="659"/>
        <v/>
      </c>
      <c r="AK1549" s="540">
        <f>SUMIFS('Live Collections'!$S:$S,'Live Collections'!$D:$D,Disbursements!B1549,'Live Collections'!$G:$G,Disbursements!C1549)</f>
        <v>0</v>
      </c>
      <c r="AL1549" s="540">
        <f>SUMIFS('Live Collections'!$T:$T,'Live Collections'!$D:$D,Disbursements!B1549,'Live Collections'!$G:$G,Disbursements!C1549)</f>
        <v>0</v>
      </c>
      <c r="AM1549" s="541">
        <f t="shared" si="660"/>
        <v>0</v>
      </c>
      <c r="AN1549" s="542" t="str">
        <f t="shared" si="661"/>
        <v/>
      </c>
      <c r="AO1549" s="542" t="str">
        <f t="shared" si="662"/>
        <v/>
      </c>
      <c r="AP1549" s="543" t="str">
        <f t="shared" si="663"/>
        <v/>
      </c>
      <c r="AQ1549" s="544" t="str">
        <f t="shared" si="664"/>
        <v/>
      </c>
      <c r="AR1549" s="545">
        <f t="shared" si="665"/>
        <v>0</v>
      </c>
      <c r="AS1549" s="545">
        <f>IFERROR(CEILING($AR1549*VLOOKUP($I1549,Ref!$B$23:$E$29,4,0),1),0)</f>
        <v>0</v>
      </c>
      <c r="AT1549" s="545" t="str">
        <f>IF(A1549="","",IF(AP1549&lt;=1,"Cleared",IF(AS1549=0,"Clean",VLOOKUP($AS1549,Ref!$G$23:$H$28,2))))</f>
        <v/>
      </c>
      <c r="AU1549" s="546" t="str">
        <f t="shared" si="666"/>
        <v/>
      </c>
    </row>
    <row r="1550" spans="1:47" ht="14.25" hidden="1" customHeight="1" x14ac:dyDescent="0.15">
      <c r="A1550" s="575"/>
      <c r="B1550" s="548"/>
      <c r="C1550" s="548"/>
      <c r="D1550" s="548"/>
      <c r="E1550" s="583"/>
      <c r="F1550" s="584"/>
      <c r="G1550" s="548"/>
      <c r="H1550" s="550"/>
      <c r="I1550" s="560"/>
      <c r="J1550" s="548"/>
      <c r="K1550" s="528" t="str">
        <f>IFERROR(VLOOKUP($B1550,'Clients-Live'!$A:$C,3,0),"")</f>
        <v/>
      </c>
      <c r="L1550" s="528">
        <f>IF(E1550="STL",Pricing!$D$38,IF(A1550="",0,IF(A1550&lt;Pricing!$C$25,Pricing!$D$25,VLOOKUP(Disbursements!$F1550,Pricing!$B$29:$D$32,3))))</f>
        <v>0</v>
      </c>
      <c r="M1550" s="528">
        <f>IF(E1550="STL",0,IF(F1550&gt;0,Pricing!$D$21,0))</f>
        <v>0</v>
      </c>
      <c r="N1550" s="529">
        <f>IF(E1550="STL",F1550*Pricing!$D$40,IF(A1550&lt;=Pricing!$C$4,0,IF(AND(A1550&gt;Pricing!$C$4,Disbursements!A1550&lt;=Pricing!$C$5),F1550*Pricing!$E$5,IF(AND(A1550&gt;Pricing!$C$5,Disbursements!A1550&lt;=Pricing!$C$7),VLOOKUP(F1550,Pricing!$D$7:$E$8,2)*Disbursements!F1550,F1550*Pricing!$E$9))))</f>
        <v>0</v>
      </c>
      <c r="O1550" s="528">
        <f>IF(E1550="STL",0,IF($F1550&gt;0,$F1550*Pricing!$D$17,0))</f>
        <v>0</v>
      </c>
      <c r="P1550" s="530" t="str">
        <f t="shared" si="646"/>
        <v/>
      </c>
      <c r="Q1550" s="531" t="str">
        <f>IF($A1550="","",$G1550/VLOOKUP($I1550,Ref!$B$23:$D$29,2,0))</f>
        <v/>
      </c>
      <c r="R1550" s="530" t="str">
        <f t="shared" si="647"/>
        <v/>
      </c>
      <c r="S1550" s="532" t="str">
        <f t="shared" si="641"/>
        <v/>
      </c>
      <c r="T1550" s="531" t="str">
        <f t="shared" si="648"/>
        <v/>
      </c>
      <c r="U1550" s="533">
        <f t="shared" si="649"/>
        <v>0</v>
      </c>
      <c r="V1550" s="531" t="str">
        <f t="shared" si="650"/>
        <v/>
      </c>
      <c r="W1550" s="531" t="str">
        <f t="shared" si="651"/>
        <v/>
      </c>
      <c r="X1550" s="534" t="str">
        <f t="shared" si="652"/>
        <v/>
      </c>
      <c r="Y1550" s="535" t="str">
        <f>IF($A1550="","",IF($I1550="weekly",$A1550+7,EDATE($A1550,VLOOKUP($I1550,Ref!$B$24:$C$29,2,0))))</f>
        <v/>
      </c>
      <c r="Z1550" s="536" t="str">
        <f t="shared" si="653"/>
        <v/>
      </c>
      <c r="AA1550" s="531">
        <f t="shared" si="654"/>
        <v>0</v>
      </c>
      <c r="AB1550" s="535" t="str">
        <f t="shared" si="642"/>
        <v/>
      </c>
      <c r="AC1550" s="537" t="str">
        <f t="shared" si="643"/>
        <v/>
      </c>
      <c r="AD1550" s="538" t="str">
        <f t="shared" ca="1" si="644"/>
        <v/>
      </c>
      <c r="AE1550" s="537">
        <f t="shared" ca="1" si="645"/>
        <v>0</v>
      </c>
      <c r="AF1550" s="539" t="str">
        <f t="shared" ca="1" si="655"/>
        <v/>
      </c>
      <c r="AG1550" s="531" t="str">
        <f t="shared" ca="1" si="656"/>
        <v/>
      </c>
      <c r="AH1550" s="531" t="str">
        <f t="shared" ca="1" si="657"/>
        <v/>
      </c>
      <c r="AI1550" s="531" t="str">
        <f t="shared" ca="1" si="658"/>
        <v/>
      </c>
      <c r="AJ1550" s="531" t="str">
        <f t="shared" si="659"/>
        <v/>
      </c>
      <c r="AK1550" s="540">
        <f>SUMIFS('Live Collections'!$S:$S,'Live Collections'!$D:$D,Disbursements!B1550,'Live Collections'!$G:$G,Disbursements!C1550)</f>
        <v>0</v>
      </c>
      <c r="AL1550" s="540">
        <f>SUMIFS('Live Collections'!$T:$T,'Live Collections'!$D:$D,Disbursements!B1550,'Live Collections'!$G:$G,Disbursements!C1550)</f>
        <v>0</v>
      </c>
      <c r="AM1550" s="541">
        <f t="shared" si="660"/>
        <v>0</v>
      </c>
      <c r="AN1550" s="542" t="str">
        <f t="shared" si="661"/>
        <v/>
      </c>
      <c r="AO1550" s="542" t="str">
        <f t="shared" si="662"/>
        <v/>
      </c>
      <c r="AP1550" s="543" t="str">
        <f t="shared" si="663"/>
        <v/>
      </c>
      <c r="AQ1550" s="544" t="str">
        <f t="shared" si="664"/>
        <v/>
      </c>
      <c r="AR1550" s="545">
        <f t="shared" si="665"/>
        <v>0</v>
      </c>
      <c r="AS1550" s="545">
        <f>IFERROR(CEILING($AR1550*VLOOKUP($I1550,Ref!$B$23:$E$29,4,0),1),0)</f>
        <v>0</v>
      </c>
      <c r="AT1550" s="545" t="str">
        <f>IF(A1550="","",IF(AP1550&lt;=1,"Cleared",IF(AS1550=0,"Clean",VLOOKUP($AS1550,Ref!$G$23:$H$28,2))))</f>
        <v/>
      </c>
      <c r="AU1550" s="546" t="str">
        <f t="shared" si="666"/>
        <v/>
      </c>
    </row>
    <row r="1551" spans="1:47" ht="14.25" hidden="1" customHeight="1" x14ac:dyDescent="0.15">
      <c r="A1551" s="575"/>
      <c r="B1551" s="548"/>
      <c r="C1551" s="548"/>
      <c r="D1551" s="548"/>
      <c r="E1551" s="583"/>
      <c r="F1551" s="584"/>
      <c r="G1551" s="548"/>
      <c r="H1551" s="550"/>
      <c r="I1551" s="560"/>
      <c r="J1551" s="548"/>
      <c r="K1551" s="528" t="str">
        <f>IFERROR(VLOOKUP($B1551,'Clients-Live'!$A:$C,3,0),"")</f>
        <v/>
      </c>
      <c r="L1551" s="528">
        <f>IF(E1551="STL",Pricing!$D$38,IF(A1551="",0,IF(A1551&lt;Pricing!$C$25,Pricing!$D$25,VLOOKUP(Disbursements!$F1551,Pricing!$B$29:$D$32,3))))</f>
        <v>0</v>
      </c>
      <c r="M1551" s="528">
        <f>IF(E1551="STL",0,IF(F1551&gt;0,Pricing!$D$21,0))</f>
        <v>0</v>
      </c>
      <c r="N1551" s="529">
        <f>IF(E1551="STL",F1551*Pricing!$D$40,IF(A1551&lt;=Pricing!$C$4,0,IF(AND(A1551&gt;Pricing!$C$4,Disbursements!A1551&lt;=Pricing!$C$5),F1551*Pricing!$E$5,IF(AND(A1551&gt;Pricing!$C$5,Disbursements!A1551&lt;=Pricing!$C$7),VLOOKUP(F1551,Pricing!$D$7:$E$8,2)*Disbursements!F1551,F1551*Pricing!$E$9))))</f>
        <v>0</v>
      </c>
      <c r="O1551" s="528">
        <f>IF(E1551="STL",0,IF($F1551&gt;0,$F1551*Pricing!$D$17,0))</f>
        <v>0</v>
      </c>
      <c r="P1551" s="530" t="str">
        <f t="shared" si="646"/>
        <v/>
      </c>
      <c r="Q1551" s="531" t="str">
        <f>IF($A1551="","",$G1551/VLOOKUP($I1551,Ref!$B$23:$D$29,2,0))</f>
        <v/>
      </c>
      <c r="R1551" s="530" t="str">
        <f t="shared" si="647"/>
        <v/>
      </c>
      <c r="S1551" s="532" t="str">
        <f t="shared" si="641"/>
        <v/>
      </c>
      <c r="T1551" s="531" t="str">
        <f t="shared" si="648"/>
        <v/>
      </c>
      <c r="U1551" s="533">
        <f t="shared" si="649"/>
        <v>0</v>
      </c>
      <c r="V1551" s="531" t="str">
        <f t="shared" si="650"/>
        <v/>
      </c>
      <c r="W1551" s="531" t="str">
        <f t="shared" si="651"/>
        <v/>
      </c>
      <c r="X1551" s="534" t="str">
        <f t="shared" si="652"/>
        <v/>
      </c>
      <c r="Y1551" s="535" t="str">
        <f>IF($A1551="","",IF($I1551="weekly",$A1551+7,EDATE($A1551,VLOOKUP($I1551,Ref!$B$24:$C$29,2,0))))</f>
        <v/>
      </c>
      <c r="Z1551" s="536" t="str">
        <f t="shared" si="653"/>
        <v/>
      </c>
      <c r="AA1551" s="531">
        <f t="shared" si="654"/>
        <v>0</v>
      </c>
      <c r="AB1551" s="535" t="str">
        <f t="shared" si="642"/>
        <v/>
      </c>
      <c r="AC1551" s="537" t="str">
        <f t="shared" si="643"/>
        <v/>
      </c>
      <c r="AD1551" s="538" t="str">
        <f t="shared" ca="1" si="644"/>
        <v/>
      </c>
      <c r="AE1551" s="537">
        <f t="shared" ca="1" si="645"/>
        <v>0</v>
      </c>
      <c r="AF1551" s="539" t="str">
        <f t="shared" ca="1" si="655"/>
        <v/>
      </c>
      <c r="AG1551" s="531" t="str">
        <f t="shared" ca="1" si="656"/>
        <v/>
      </c>
      <c r="AH1551" s="531" t="str">
        <f t="shared" ca="1" si="657"/>
        <v/>
      </c>
      <c r="AI1551" s="531" t="str">
        <f t="shared" ca="1" si="658"/>
        <v/>
      </c>
      <c r="AJ1551" s="531" t="str">
        <f t="shared" si="659"/>
        <v/>
      </c>
      <c r="AK1551" s="540">
        <f>SUMIFS('Live Collections'!$S:$S,'Live Collections'!$D:$D,Disbursements!B1551,'Live Collections'!$G:$G,Disbursements!C1551)</f>
        <v>0</v>
      </c>
      <c r="AL1551" s="540">
        <f>SUMIFS('Live Collections'!$T:$T,'Live Collections'!$D:$D,Disbursements!B1551,'Live Collections'!$G:$G,Disbursements!C1551)</f>
        <v>0</v>
      </c>
      <c r="AM1551" s="541">
        <f t="shared" si="660"/>
        <v>0</v>
      </c>
      <c r="AN1551" s="542" t="str">
        <f t="shared" si="661"/>
        <v/>
      </c>
      <c r="AO1551" s="542" t="str">
        <f t="shared" si="662"/>
        <v/>
      </c>
      <c r="AP1551" s="543" t="str">
        <f t="shared" si="663"/>
        <v/>
      </c>
      <c r="AQ1551" s="544" t="str">
        <f t="shared" si="664"/>
        <v/>
      </c>
      <c r="AR1551" s="545">
        <f t="shared" si="665"/>
        <v>0</v>
      </c>
      <c r="AS1551" s="545">
        <f>IFERROR(CEILING($AR1551*VLOOKUP($I1551,Ref!$B$23:$E$29,4,0),1),0)</f>
        <v>0</v>
      </c>
      <c r="AT1551" s="545" t="str">
        <f>IF(A1551="","",IF(AP1551&lt;=1,"Cleared",IF(AS1551=0,"Clean",VLOOKUP($AS1551,Ref!$G$23:$H$28,2))))</f>
        <v/>
      </c>
      <c r="AU1551" s="546" t="str">
        <f t="shared" si="666"/>
        <v/>
      </c>
    </row>
    <row r="1552" spans="1:47" ht="14.25" hidden="1" customHeight="1" x14ac:dyDescent="0.15">
      <c r="A1552" s="575"/>
      <c r="B1552" s="548"/>
      <c r="C1552" s="548"/>
      <c r="D1552" s="548"/>
      <c r="E1552" s="583"/>
      <c r="F1552" s="584"/>
      <c r="G1552" s="548"/>
      <c r="H1552" s="550"/>
      <c r="I1552" s="560"/>
      <c r="J1552" s="548"/>
      <c r="K1552" s="528" t="str">
        <f>IFERROR(VLOOKUP($B1552,'Clients-Live'!$A:$C,3,0),"")</f>
        <v/>
      </c>
      <c r="L1552" s="528">
        <f>IF(E1552="STL",Pricing!$D$38,IF(A1552="",0,IF(A1552&lt;Pricing!$C$25,Pricing!$D$25,VLOOKUP(Disbursements!$F1552,Pricing!$B$29:$D$32,3))))</f>
        <v>0</v>
      </c>
      <c r="M1552" s="528">
        <f>IF(E1552="STL",0,IF(F1552&gt;0,Pricing!$D$21,0))</f>
        <v>0</v>
      </c>
      <c r="N1552" s="529">
        <f>IF(E1552="STL",F1552*Pricing!$D$40,IF(A1552&lt;=Pricing!$C$4,0,IF(AND(A1552&gt;Pricing!$C$4,Disbursements!A1552&lt;=Pricing!$C$5),F1552*Pricing!$E$5,IF(AND(A1552&gt;Pricing!$C$5,Disbursements!A1552&lt;=Pricing!$C$7),VLOOKUP(F1552,Pricing!$D$7:$E$8,2)*Disbursements!F1552,F1552*Pricing!$E$9))))</f>
        <v>0</v>
      </c>
      <c r="O1552" s="528">
        <f>IF(E1552="STL",0,IF($F1552&gt;0,$F1552*Pricing!$D$17,0))</f>
        <v>0</v>
      </c>
      <c r="P1552" s="530" t="str">
        <f t="shared" si="646"/>
        <v/>
      </c>
      <c r="Q1552" s="531" t="str">
        <f>IF($A1552="","",$G1552/VLOOKUP($I1552,Ref!$B$23:$D$29,2,0))</f>
        <v/>
      </c>
      <c r="R1552" s="530" t="str">
        <f t="shared" si="647"/>
        <v/>
      </c>
      <c r="S1552" s="532" t="str">
        <f t="shared" si="641"/>
        <v/>
      </c>
      <c r="T1552" s="531" t="str">
        <f t="shared" si="648"/>
        <v/>
      </c>
      <c r="U1552" s="533">
        <f t="shared" si="649"/>
        <v>0</v>
      </c>
      <c r="V1552" s="531" t="str">
        <f t="shared" si="650"/>
        <v/>
      </c>
      <c r="W1552" s="531" t="str">
        <f t="shared" si="651"/>
        <v/>
      </c>
      <c r="X1552" s="534" t="str">
        <f t="shared" si="652"/>
        <v/>
      </c>
      <c r="Y1552" s="535" t="str">
        <f>IF($A1552="","",IF($I1552="weekly",$A1552+7,EDATE($A1552,VLOOKUP($I1552,Ref!$B$24:$C$29,2,0))))</f>
        <v/>
      </c>
      <c r="Z1552" s="536" t="str">
        <f t="shared" si="653"/>
        <v/>
      </c>
      <c r="AA1552" s="531">
        <f t="shared" si="654"/>
        <v>0</v>
      </c>
      <c r="AB1552" s="535" t="str">
        <f t="shared" si="642"/>
        <v/>
      </c>
      <c r="AC1552" s="537" t="str">
        <f t="shared" si="643"/>
        <v/>
      </c>
      <c r="AD1552" s="538" t="str">
        <f t="shared" ca="1" si="644"/>
        <v/>
      </c>
      <c r="AE1552" s="537">
        <f t="shared" ca="1" si="645"/>
        <v>0</v>
      </c>
      <c r="AF1552" s="539" t="str">
        <f t="shared" ca="1" si="655"/>
        <v/>
      </c>
      <c r="AG1552" s="531" t="str">
        <f t="shared" ca="1" si="656"/>
        <v/>
      </c>
      <c r="AH1552" s="531" t="str">
        <f t="shared" ca="1" si="657"/>
        <v/>
      </c>
      <c r="AI1552" s="531" t="str">
        <f t="shared" ca="1" si="658"/>
        <v/>
      </c>
      <c r="AJ1552" s="531" t="str">
        <f t="shared" si="659"/>
        <v/>
      </c>
      <c r="AK1552" s="540">
        <f>SUMIFS('Live Collections'!$S:$S,'Live Collections'!$D:$D,Disbursements!B1552,'Live Collections'!$G:$G,Disbursements!C1552)</f>
        <v>0</v>
      </c>
      <c r="AL1552" s="540">
        <f>SUMIFS('Live Collections'!$T:$T,'Live Collections'!$D:$D,Disbursements!B1552,'Live Collections'!$G:$G,Disbursements!C1552)</f>
        <v>0</v>
      </c>
      <c r="AM1552" s="541">
        <f t="shared" si="660"/>
        <v>0</v>
      </c>
      <c r="AN1552" s="542" t="str">
        <f t="shared" si="661"/>
        <v/>
      </c>
      <c r="AO1552" s="542" t="str">
        <f t="shared" si="662"/>
        <v/>
      </c>
      <c r="AP1552" s="543" t="str">
        <f t="shared" si="663"/>
        <v/>
      </c>
      <c r="AQ1552" s="544" t="str">
        <f t="shared" si="664"/>
        <v/>
      </c>
      <c r="AR1552" s="545">
        <f t="shared" si="665"/>
        <v>0</v>
      </c>
      <c r="AS1552" s="545">
        <f>IFERROR(CEILING($AR1552*VLOOKUP($I1552,Ref!$B$23:$E$29,4,0),1),0)</f>
        <v>0</v>
      </c>
      <c r="AT1552" s="545" t="str">
        <f>IF(A1552="","",IF(AP1552&lt;=1,"Cleared",IF(AS1552=0,"Clean",VLOOKUP($AS1552,Ref!$G$23:$H$28,2))))</f>
        <v/>
      </c>
      <c r="AU1552" s="546" t="str">
        <f t="shared" si="666"/>
        <v/>
      </c>
    </row>
    <row r="1553" spans="1:47" ht="14.25" hidden="1" customHeight="1" x14ac:dyDescent="0.15">
      <c r="A1553" s="575"/>
      <c r="B1553" s="548"/>
      <c r="C1553" s="548"/>
      <c r="D1553" s="548"/>
      <c r="E1553" s="583"/>
      <c r="F1553" s="584"/>
      <c r="G1553" s="548"/>
      <c r="H1553" s="550"/>
      <c r="I1553" s="560"/>
      <c r="J1553" s="548"/>
      <c r="K1553" s="528" t="str">
        <f>IFERROR(VLOOKUP($B1553,'Clients-Live'!$A:$C,3,0),"")</f>
        <v/>
      </c>
      <c r="L1553" s="528">
        <f>IF(E1553="STL",Pricing!$D$38,IF(A1553="",0,IF(A1553&lt;Pricing!$C$25,Pricing!$D$25,VLOOKUP(Disbursements!$F1553,Pricing!$B$29:$D$32,3))))</f>
        <v>0</v>
      </c>
      <c r="M1553" s="528">
        <f>IF(E1553="STL",0,IF(F1553&gt;0,Pricing!$D$21,0))</f>
        <v>0</v>
      </c>
      <c r="N1553" s="529">
        <f>IF(E1553="STL",F1553*Pricing!$D$40,IF(A1553&lt;=Pricing!$C$4,0,IF(AND(A1553&gt;Pricing!$C$4,Disbursements!A1553&lt;=Pricing!$C$5),F1553*Pricing!$E$5,IF(AND(A1553&gt;Pricing!$C$5,Disbursements!A1553&lt;=Pricing!$C$7),VLOOKUP(F1553,Pricing!$D$7:$E$8,2)*Disbursements!F1553,F1553*Pricing!$E$9))))</f>
        <v>0</v>
      </c>
      <c r="O1553" s="528">
        <f>IF(E1553="STL",0,IF($F1553&gt;0,$F1553*Pricing!$D$17,0))</f>
        <v>0</v>
      </c>
      <c r="P1553" s="530" t="str">
        <f t="shared" si="646"/>
        <v/>
      </c>
      <c r="Q1553" s="531" t="str">
        <f>IF($A1553="","",$G1553/VLOOKUP($I1553,Ref!$B$23:$D$29,2,0))</f>
        <v/>
      </c>
      <c r="R1553" s="530" t="str">
        <f t="shared" si="647"/>
        <v/>
      </c>
      <c r="S1553" s="532" t="str">
        <f t="shared" si="641"/>
        <v/>
      </c>
      <c r="T1553" s="531" t="str">
        <f t="shared" si="648"/>
        <v/>
      </c>
      <c r="U1553" s="533">
        <f t="shared" si="649"/>
        <v>0</v>
      </c>
      <c r="V1553" s="531" t="str">
        <f t="shared" si="650"/>
        <v/>
      </c>
      <c r="W1553" s="531" t="str">
        <f t="shared" si="651"/>
        <v/>
      </c>
      <c r="X1553" s="534" t="str">
        <f t="shared" si="652"/>
        <v/>
      </c>
      <c r="Y1553" s="535" t="str">
        <f>IF($A1553="","",IF($I1553="weekly",$A1553+7,EDATE($A1553,VLOOKUP($I1553,Ref!$B$24:$C$29,2,0))))</f>
        <v/>
      </c>
      <c r="Z1553" s="536" t="str">
        <f t="shared" si="653"/>
        <v/>
      </c>
      <c r="AA1553" s="531">
        <f t="shared" si="654"/>
        <v>0</v>
      </c>
      <c r="AB1553" s="535" t="str">
        <f t="shared" si="642"/>
        <v/>
      </c>
      <c r="AC1553" s="537" t="str">
        <f t="shared" si="643"/>
        <v/>
      </c>
      <c r="AD1553" s="538" t="str">
        <f t="shared" ca="1" si="644"/>
        <v/>
      </c>
      <c r="AE1553" s="537">
        <f t="shared" ca="1" si="645"/>
        <v>0</v>
      </c>
      <c r="AF1553" s="539" t="str">
        <f t="shared" ca="1" si="655"/>
        <v/>
      </c>
      <c r="AG1553" s="531" t="str">
        <f t="shared" ca="1" si="656"/>
        <v/>
      </c>
      <c r="AH1553" s="531" t="str">
        <f t="shared" ca="1" si="657"/>
        <v/>
      </c>
      <c r="AI1553" s="531" t="str">
        <f t="shared" ca="1" si="658"/>
        <v/>
      </c>
      <c r="AJ1553" s="531" t="str">
        <f t="shared" si="659"/>
        <v/>
      </c>
      <c r="AK1553" s="540">
        <f>SUMIFS('Live Collections'!$S:$S,'Live Collections'!$D:$D,Disbursements!B1553,'Live Collections'!$G:$G,Disbursements!C1553)</f>
        <v>0</v>
      </c>
      <c r="AL1553" s="540">
        <f>SUMIFS('Live Collections'!$T:$T,'Live Collections'!$D:$D,Disbursements!B1553,'Live Collections'!$G:$G,Disbursements!C1553)</f>
        <v>0</v>
      </c>
      <c r="AM1553" s="541">
        <f t="shared" si="660"/>
        <v>0</v>
      </c>
      <c r="AN1553" s="542" t="str">
        <f t="shared" si="661"/>
        <v/>
      </c>
      <c r="AO1553" s="542" t="str">
        <f t="shared" si="662"/>
        <v/>
      </c>
      <c r="AP1553" s="543" t="str">
        <f t="shared" si="663"/>
        <v/>
      </c>
      <c r="AQ1553" s="544" t="str">
        <f t="shared" si="664"/>
        <v/>
      </c>
      <c r="AR1553" s="545">
        <f t="shared" si="665"/>
        <v>0</v>
      </c>
      <c r="AS1553" s="545">
        <f>IFERROR(CEILING($AR1553*VLOOKUP($I1553,Ref!$B$23:$E$29,4,0),1),0)</f>
        <v>0</v>
      </c>
      <c r="AT1553" s="545" t="str">
        <f>IF(A1553="","",IF(AP1553&lt;=1,"Cleared",IF(AS1553=0,"Clean",VLOOKUP($AS1553,Ref!$G$23:$H$28,2))))</f>
        <v/>
      </c>
      <c r="AU1553" s="546" t="str">
        <f t="shared" si="666"/>
        <v/>
      </c>
    </row>
    <row r="1554" spans="1:47" ht="14.25" hidden="1" customHeight="1" x14ac:dyDescent="0.15">
      <c r="A1554" s="575"/>
      <c r="B1554" s="548"/>
      <c r="C1554" s="548"/>
      <c r="D1554" s="548"/>
      <c r="E1554" s="583"/>
      <c r="F1554" s="584"/>
      <c r="G1554" s="548"/>
      <c r="H1554" s="550"/>
      <c r="I1554" s="560"/>
      <c r="J1554" s="548"/>
      <c r="K1554" s="528" t="str">
        <f>IFERROR(VLOOKUP($B1554,'Clients-Live'!$A:$C,3,0),"")</f>
        <v/>
      </c>
      <c r="L1554" s="528">
        <f>IF(E1554="STL",Pricing!$D$38,IF(A1554="",0,IF(A1554&lt;Pricing!$C$25,Pricing!$D$25,VLOOKUP(Disbursements!$F1554,Pricing!$B$29:$D$32,3))))</f>
        <v>0</v>
      </c>
      <c r="M1554" s="528">
        <f>IF(E1554="STL",0,IF(F1554&gt;0,Pricing!$D$21,0))</f>
        <v>0</v>
      </c>
      <c r="N1554" s="529">
        <f>IF(E1554="STL",F1554*Pricing!$D$40,IF(A1554&lt;=Pricing!$C$4,0,IF(AND(A1554&gt;Pricing!$C$4,Disbursements!A1554&lt;=Pricing!$C$5),F1554*Pricing!$E$5,IF(AND(A1554&gt;Pricing!$C$5,Disbursements!A1554&lt;=Pricing!$C$7),VLOOKUP(F1554,Pricing!$D$7:$E$8,2)*Disbursements!F1554,F1554*Pricing!$E$9))))</f>
        <v>0</v>
      </c>
      <c r="O1554" s="528">
        <f>IF(E1554="STL",0,IF($F1554&gt;0,$F1554*Pricing!$D$17,0))</f>
        <v>0</v>
      </c>
      <c r="P1554" s="530" t="str">
        <f t="shared" si="646"/>
        <v/>
      </c>
      <c r="Q1554" s="531" t="str">
        <f>IF($A1554="","",$G1554/VLOOKUP($I1554,Ref!$B$23:$D$29,2,0))</f>
        <v/>
      </c>
      <c r="R1554" s="530" t="str">
        <f t="shared" si="647"/>
        <v/>
      </c>
      <c r="S1554" s="532" t="str">
        <f t="shared" si="641"/>
        <v/>
      </c>
      <c r="T1554" s="531" t="str">
        <f t="shared" si="648"/>
        <v/>
      </c>
      <c r="U1554" s="533">
        <f t="shared" si="649"/>
        <v>0</v>
      </c>
      <c r="V1554" s="531" t="str">
        <f t="shared" si="650"/>
        <v/>
      </c>
      <c r="W1554" s="531" t="str">
        <f t="shared" si="651"/>
        <v/>
      </c>
      <c r="X1554" s="534" t="str">
        <f t="shared" si="652"/>
        <v/>
      </c>
      <c r="Y1554" s="535" t="str">
        <f>IF($A1554="","",IF($I1554="weekly",$A1554+7,EDATE($A1554,VLOOKUP($I1554,Ref!$B$24:$C$29,2,0))))</f>
        <v/>
      </c>
      <c r="Z1554" s="536" t="str">
        <f t="shared" si="653"/>
        <v/>
      </c>
      <c r="AA1554" s="531">
        <f t="shared" si="654"/>
        <v>0</v>
      </c>
      <c r="AB1554" s="535" t="str">
        <f t="shared" si="642"/>
        <v/>
      </c>
      <c r="AC1554" s="537" t="str">
        <f t="shared" si="643"/>
        <v/>
      </c>
      <c r="AD1554" s="538" t="str">
        <f t="shared" ca="1" si="644"/>
        <v/>
      </c>
      <c r="AE1554" s="537">
        <f t="shared" ca="1" si="645"/>
        <v>0</v>
      </c>
      <c r="AF1554" s="539" t="str">
        <f t="shared" ca="1" si="655"/>
        <v/>
      </c>
      <c r="AG1554" s="531" t="str">
        <f t="shared" ca="1" si="656"/>
        <v/>
      </c>
      <c r="AH1554" s="531" t="str">
        <f t="shared" ca="1" si="657"/>
        <v/>
      </c>
      <c r="AI1554" s="531" t="str">
        <f t="shared" ca="1" si="658"/>
        <v/>
      </c>
      <c r="AJ1554" s="531" t="str">
        <f t="shared" si="659"/>
        <v/>
      </c>
      <c r="AK1554" s="540">
        <f>SUMIFS('Live Collections'!$S:$S,'Live Collections'!$D:$D,Disbursements!B1554,'Live Collections'!$G:$G,Disbursements!C1554)</f>
        <v>0</v>
      </c>
      <c r="AL1554" s="540">
        <f>SUMIFS('Live Collections'!$T:$T,'Live Collections'!$D:$D,Disbursements!B1554,'Live Collections'!$G:$G,Disbursements!C1554)</f>
        <v>0</v>
      </c>
      <c r="AM1554" s="541">
        <f t="shared" si="660"/>
        <v>0</v>
      </c>
      <c r="AN1554" s="542" t="str">
        <f t="shared" si="661"/>
        <v/>
      </c>
      <c r="AO1554" s="542" t="str">
        <f t="shared" si="662"/>
        <v/>
      </c>
      <c r="AP1554" s="543" t="str">
        <f t="shared" si="663"/>
        <v/>
      </c>
      <c r="AQ1554" s="544" t="str">
        <f t="shared" si="664"/>
        <v/>
      </c>
      <c r="AR1554" s="545">
        <f t="shared" si="665"/>
        <v>0</v>
      </c>
      <c r="AS1554" s="545">
        <f>IFERROR(CEILING($AR1554*VLOOKUP($I1554,Ref!$B$23:$E$29,4,0),1),0)</f>
        <v>0</v>
      </c>
      <c r="AT1554" s="545" t="str">
        <f>IF(A1554="","",IF(AP1554&lt;=1,"Cleared",IF(AS1554=0,"Clean",VLOOKUP($AS1554,Ref!$G$23:$H$28,2))))</f>
        <v/>
      </c>
      <c r="AU1554" s="546" t="str">
        <f t="shared" si="666"/>
        <v/>
      </c>
    </row>
    <row r="1555" spans="1:47" ht="14.25" hidden="1" customHeight="1" x14ac:dyDescent="0.15">
      <c r="A1555" s="575"/>
      <c r="B1555" s="548"/>
      <c r="C1555" s="548"/>
      <c r="D1555" s="548"/>
      <c r="E1555" s="583"/>
      <c r="F1555" s="584"/>
      <c r="G1555" s="548"/>
      <c r="H1555" s="550"/>
      <c r="I1555" s="560"/>
      <c r="J1555" s="548"/>
      <c r="K1555" s="528" t="str">
        <f>IFERROR(VLOOKUP($B1555,'Clients-Live'!$A:$C,3,0),"")</f>
        <v/>
      </c>
      <c r="L1555" s="528">
        <f>IF(E1555="STL",Pricing!$D$38,IF(A1555="",0,IF(A1555&lt;Pricing!$C$25,Pricing!$D$25,VLOOKUP(Disbursements!$F1555,Pricing!$B$29:$D$32,3))))</f>
        <v>0</v>
      </c>
      <c r="M1555" s="528">
        <f>IF(E1555="STL",0,IF(F1555&gt;0,Pricing!$D$21,0))</f>
        <v>0</v>
      </c>
      <c r="N1555" s="529">
        <f>IF(E1555="STL",F1555*Pricing!$D$40,IF(A1555&lt;=Pricing!$C$4,0,IF(AND(A1555&gt;Pricing!$C$4,Disbursements!A1555&lt;=Pricing!$C$5),F1555*Pricing!$E$5,IF(AND(A1555&gt;Pricing!$C$5,Disbursements!A1555&lt;=Pricing!$C$7),VLOOKUP(F1555,Pricing!$D$7:$E$8,2)*Disbursements!F1555,F1555*Pricing!$E$9))))</f>
        <v>0</v>
      </c>
      <c r="O1555" s="528">
        <f>IF(E1555="STL",0,IF($F1555&gt;0,$F1555*Pricing!$D$17,0))</f>
        <v>0</v>
      </c>
      <c r="P1555" s="530" t="str">
        <f t="shared" si="646"/>
        <v/>
      </c>
      <c r="Q1555" s="531" t="str">
        <f>IF($A1555="","",$G1555/VLOOKUP($I1555,Ref!$B$23:$D$29,2,0))</f>
        <v/>
      </c>
      <c r="R1555" s="530" t="str">
        <f t="shared" si="647"/>
        <v/>
      </c>
      <c r="S1555" s="532" t="str">
        <f t="shared" si="641"/>
        <v/>
      </c>
      <c r="T1555" s="531" t="str">
        <f t="shared" si="648"/>
        <v/>
      </c>
      <c r="U1555" s="533">
        <f t="shared" si="649"/>
        <v>0</v>
      </c>
      <c r="V1555" s="531" t="str">
        <f t="shared" si="650"/>
        <v/>
      </c>
      <c r="W1555" s="531" t="str">
        <f t="shared" si="651"/>
        <v/>
      </c>
      <c r="X1555" s="534" t="str">
        <f t="shared" si="652"/>
        <v/>
      </c>
      <c r="Y1555" s="535" t="str">
        <f>IF($A1555="","",IF($I1555="weekly",$A1555+7,EDATE($A1555,VLOOKUP($I1555,Ref!$B$24:$C$29,2,0))))</f>
        <v/>
      </c>
      <c r="Z1555" s="536" t="str">
        <f t="shared" si="653"/>
        <v/>
      </c>
      <c r="AA1555" s="531">
        <f t="shared" si="654"/>
        <v>0</v>
      </c>
      <c r="AB1555" s="535" t="str">
        <f t="shared" si="642"/>
        <v/>
      </c>
      <c r="AC1555" s="537" t="str">
        <f t="shared" si="643"/>
        <v/>
      </c>
      <c r="AD1555" s="538" t="str">
        <f t="shared" ca="1" si="644"/>
        <v/>
      </c>
      <c r="AE1555" s="537">
        <f t="shared" ca="1" si="645"/>
        <v>0</v>
      </c>
      <c r="AF1555" s="539" t="str">
        <f t="shared" ca="1" si="655"/>
        <v/>
      </c>
      <c r="AG1555" s="531" t="str">
        <f t="shared" ca="1" si="656"/>
        <v/>
      </c>
      <c r="AH1555" s="531" t="str">
        <f t="shared" ca="1" si="657"/>
        <v/>
      </c>
      <c r="AI1555" s="531" t="str">
        <f t="shared" ca="1" si="658"/>
        <v/>
      </c>
      <c r="AJ1555" s="531" t="str">
        <f t="shared" si="659"/>
        <v/>
      </c>
      <c r="AK1555" s="540">
        <f>SUMIFS('Live Collections'!$S:$S,'Live Collections'!$D:$D,Disbursements!B1555,'Live Collections'!$G:$G,Disbursements!C1555)</f>
        <v>0</v>
      </c>
      <c r="AL1555" s="540">
        <f>SUMIFS('Live Collections'!$T:$T,'Live Collections'!$D:$D,Disbursements!B1555,'Live Collections'!$G:$G,Disbursements!C1555)</f>
        <v>0</v>
      </c>
      <c r="AM1555" s="541">
        <f t="shared" si="660"/>
        <v>0</v>
      </c>
      <c r="AN1555" s="542" t="str">
        <f t="shared" si="661"/>
        <v/>
      </c>
      <c r="AO1555" s="542" t="str">
        <f t="shared" si="662"/>
        <v/>
      </c>
      <c r="AP1555" s="543" t="str">
        <f t="shared" si="663"/>
        <v/>
      </c>
      <c r="AQ1555" s="544" t="str">
        <f t="shared" si="664"/>
        <v/>
      </c>
      <c r="AR1555" s="545">
        <f t="shared" si="665"/>
        <v>0</v>
      </c>
      <c r="AS1555" s="545">
        <f>IFERROR(CEILING($AR1555*VLOOKUP($I1555,Ref!$B$23:$E$29,4,0),1),0)</f>
        <v>0</v>
      </c>
      <c r="AT1555" s="545" t="str">
        <f>IF(A1555="","",IF(AP1555&lt;=1,"Cleared",IF(AS1555=0,"Clean",VLOOKUP($AS1555,Ref!$G$23:$H$28,2))))</f>
        <v/>
      </c>
      <c r="AU1555" s="546" t="str">
        <f t="shared" si="666"/>
        <v/>
      </c>
    </row>
    <row r="1556" spans="1:47" ht="14.25" hidden="1" customHeight="1" x14ac:dyDescent="0.15">
      <c r="A1556" s="575"/>
      <c r="B1556" s="548"/>
      <c r="C1556" s="548"/>
      <c r="D1556" s="548"/>
      <c r="E1556" s="583"/>
      <c r="F1556" s="584"/>
      <c r="G1556" s="548"/>
      <c r="H1556" s="550"/>
      <c r="I1556" s="560"/>
      <c r="J1556" s="548"/>
      <c r="K1556" s="528" t="str">
        <f>IFERROR(VLOOKUP($B1556,'Clients-Live'!$A:$C,3,0),"")</f>
        <v/>
      </c>
      <c r="L1556" s="528">
        <f>IF(E1556="STL",Pricing!$D$38,IF(A1556="",0,IF(A1556&lt;Pricing!$C$25,Pricing!$D$25,VLOOKUP(Disbursements!$F1556,Pricing!$B$29:$D$32,3))))</f>
        <v>0</v>
      </c>
      <c r="M1556" s="528">
        <f>IF(E1556="STL",0,IF(F1556&gt;0,Pricing!$D$21,0))</f>
        <v>0</v>
      </c>
      <c r="N1556" s="529">
        <f>IF(E1556="STL",F1556*Pricing!$D$40,IF(A1556&lt;=Pricing!$C$4,0,IF(AND(A1556&gt;Pricing!$C$4,Disbursements!A1556&lt;=Pricing!$C$5),F1556*Pricing!$E$5,IF(AND(A1556&gt;Pricing!$C$5,Disbursements!A1556&lt;=Pricing!$C$7),VLOOKUP(F1556,Pricing!$D$7:$E$8,2)*Disbursements!F1556,F1556*Pricing!$E$9))))</f>
        <v>0</v>
      </c>
      <c r="O1556" s="528">
        <f>IF(E1556="STL",0,IF($F1556&gt;0,$F1556*Pricing!$D$17,0))</f>
        <v>0</v>
      </c>
      <c r="P1556" s="530" t="str">
        <f t="shared" si="646"/>
        <v/>
      </c>
      <c r="Q1556" s="531" t="str">
        <f>IF($A1556="","",$G1556/VLOOKUP($I1556,Ref!$B$23:$D$29,2,0))</f>
        <v/>
      </c>
      <c r="R1556" s="530" t="str">
        <f t="shared" si="647"/>
        <v/>
      </c>
      <c r="S1556" s="532" t="str">
        <f t="shared" si="641"/>
        <v/>
      </c>
      <c r="T1556" s="531" t="str">
        <f t="shared" si="648"/>
        <v/>
      </c>
      <c r="U1556" s="533">
        <f t="shared" si="649"/>
        <v>0</v>
      </c>
      <c r="V1556" s="531" t="str">
        <f t="shared" si="650"/>
        <v/>
      </c>
      <c r="W1556" s="531" t="str">
        <f t="shared" si="651"/>
        <v/>
      </c>
      <c r="X1556" s="534" t="str">
        <f t="shared" si="652"/>
        <v/>
      </c>
      <c r="Y1556" s="535" t="str">
        <f>IF($A1556="","",IF($I1556="weekly",$A1556+7,EDATE($A1556,VLOOKUP($I1556,Ref!$B$24:$C$29,2,0))))</f>
        <v/>
      </c>
      <c r="Z1556" s="536" t="str">
        <f t="shared" si="653"/>
        <v/>
      </c>
      <c r="AA1556" s="531">
        <f t="shared" si="654"/>
        <v>0</v>
      </c>
      <c r="AB1556" s="535" t="str">
        <f t="shared" si="642"/>
        <v/>
      </c>
      <c r="AC1556" s="537" t="str">
        <f t="shared" si="643"/>
        <v/>
      </c>
      <c r="AD1556" s="538" t="str">
        <f t="shared" ca="1" si="644"/>
        <v/>
      </c>
      <c r="AE1556" s="537">
        <f t="shared" ca="1" si="645"/>
        <v>0</v>
      </c>
      <c r="AF1556" s="539" t="str">
        <f t="shared" ca="1" si="655"/>
        <v/>
      </c>
      <c r="AG1556" s="531" t="str">
        <f t="shared" ca="1" si="656"/>
        <v/>
      </c>
      <c r="AH1556" s="531" t="str">
        <f t="shared" ca="1" si="657"/>
        <v/>
      </c>
      <c r="AI1556" s="531" t="str">
        <f t="shared" ca="1" si="658"/>
        <v/>
      </c>
      <c r="AJ1556" s="531" t="str">
        <f t="shared" si="659"/>
        <v/>
      </c>
      <c r="AK1556" s="540">
        <f>SUMIFS('Live Collections'!$S:$S,'Live Collections'!$D:$D,Disbursements!B1556,'Live Collections'!$G:$G,Disbursements!C1556)</f>
        <v>0</v>
      </c>
      <c r="AL1556" s="540">
        <f>SUMIFS('Live Collections'!$T:$T,'Live Collections'!$D:$D,Disbursements!B1556,'Live Collections'!$G:$G,Disbursements!C1556)</f>
        <v>0</v>
      </c>
      <c r="AM1556" s="541">
        <f t="shared" si="660"/>
        <v>0</v>
      </c>
      <c r="AN1556" s="542" t="str">
        <f t="shared" si="661"/>
        <v/>
      </c>
      <c r="AO1556" s="542" t="str">
        <f t="shared" si="662"/>
        <v/>
      </c>
      <c r="AP1556" s="543" t="str">
        <f t="shared" si="663"/>
        <v/>
      </c>
      <c r="AQ1556" s="544" t="str">
        <f t="shared" si="664"/>
        <v/>
      </c>
      <c r="AR1556" s="545">
        <f t="shared" si="665"/>
        <v>0</v>
      </c>
      <c r="AS1556" s="545">
        <f>IFERROR(CEILING($AR1556*VLOOKUP($I1556,Ref!$B$23:$E$29,4,0),1),0)</f>
        <v>0</v>
      </c>
      <c r="AT1556" s="545" t="str">
        <f>IF(A1556="","",IF(AP1556&lt;=1,"Cleared",IF(AS1556=0,"Clean",VLOOKUP($AS1556,Ref!$G$23:$H$28,2))))</f>
        <v/>
      </c>
      <c r="AU1556" s="546" t="str">
        <f t="shared" si="666"/>
        <v/>
      </c>
    </row>
    <row r="1557" spans="1:47" ht="14.25" hidden="1" customHeight="1" x14ac:dyDescent="0.15">
      <c r="A1557" s="575"/>
      <c r="B1557" s="548"/>
      <c r="C1557" s="548"/>
      <c r="D1557" s="548"/>
      <c r="E1557" s="583"/>
      <c r="F1557" s="584"/>
      <c r="G1557" s="548"/>
      <c r="H1557" s="550"/>
      <c r="I1557" s="560"/>
      <c r="J1557" s="548"/>
      <c r="K1557" s="528" t="str">
        <f>IFERROR(VLOOKUP($B1557,'Clients-Live'!$A:$C,3,0),"")</f>
        <v/>
      </c>
      <c r="L1557" s="528">
        <f>IF(E1557="STL",Pricing!$D$38,IF(A1557="",0,IF(A1557&lt;Pricing!$C$25,Pricing!$D$25,VLOOKUP(Disbursements!$F1557,Pricing!$B$29:$D$32,3))))</f>
        <v>0</v>
      </c>
      <c r="M1557" s="528">
        <f>IF(E1557="STL",0,IF(F1557&gt;0,Pricing!$D$21,0))</f>
        <v>0</v>
      </c>
      <c r="N1557" s="529">
        <f>IF(E1557="STL",F1557*Pricing!$D$40,IF(A1557&lt;=Pricing!$C$4,0,IF(AND(A1557&gt;Pricing!$C$4,Disbursements!A1557&lt;=Pricing!$C$5),F1557*Pricing!$E$5,IF(AND(A1557&gt;Pricing!$C$5,Disbursements!A1557&lt;=Pricing!$C$7),VLOOKUP(F1557,Pricing!$D$7:$E$8,2)*Disbursements!F1557,F1557*Pricing!$E$9))))</f>
        <v>0</v>
      </c>
      <c r="O1557" s="528">
        <f>IF(E1557="STL",0,IF($F1557&gt;0,$F1557*Pricing!$D$17,0))</f>
        <v>0</v>
      </c>
      <c r="P1557" s="530" t="str">
        <f t="shared" si="646"/>
        <v/>
      </c>
      <c r="Q1557" s="531" t="str">
        <f>IF($A1557="","",$G1557/VLOOKUP($I1557,Ref!$B$23:$D$29,2,0))</f>
        <v/>
      </c>
      <c r="R1557" s="530" t="str">
        <f t="shared" si="647"/>
        <v/>
      </c>
      <c r="S1557" s="532" t="str">
        <f t="shared" si="641"/>
        <v/>
      </c>
      <c r="T1557" s="531" t="str">
        <f t="shared" si="648"/>
        <v/>
      </c>
      <c r="U1557" s="533">
        <f t="shared" si="649"/>
        <v>0</v>
      </c>
      <c r="V1557" s="531" t="str">
        <f t="shared" si="650"/>
        <v/>
      </c>
      <c r="W1557" s="531" t="str">
        <f t="shared" si="651"/>
        <v/>
      </c>
      <c r="X1557" s="534" t="str">
        <f t="shared" si="652"/>
        <v/>
      </c>
      <c r="Y1557" s="535" t="str">
        <f>IF($A1557="","",IF($I1557="weekly",$A1557+7,EDATE($A1557,VLOOKUP($I1557,Ref!$B$24:$C$29,2,0))))</f>
        <v/>
      </c>
      <c r="Z1557" s="536" t="str">
        <f t="shared" si="653"/>
        <v/>
      </c>
      <c r="AA1557" s="531">
        <f t="shared" si="654"/>
        <v>0</v>
      </c>
      <c r="AB1557" s="535" t="str">
        <f t="shared" si="642"/>
        <v/>
      </c>
      <c r="AC1557" s="537" t="str">
        <f t="shared" si="643"/>
        <v/>
      </c>
      <c r="AD1557" s="538" t="str">
        <f t="shared" ca="1" si="644"/>
        <v/>
      </c>
      <c r="AE1557" s="537">
        <f t="shared" ca="1" si="645"/>
        <v>0</v>
      </c>
      <c r="AF1557" s="539" t="str">
        <f t="shared" ca="1" si="655"/>
        <v/>
      </c>
      <c r="AG1557" s="531" t="str">
        <f t="shared" ca="1" si="656"/>
        <v/>
      </c>
      <c r="AH1557" s="531" t="str">
        <f t="shared" ca="1" si="657"/>
        <v/>
      </c>
      <c r="AI1557" s="531" t="str">
        <f t="shared" ca="1" si="658"/>
        <v/>
      </c>
      <c r="AJ1557" s="531" t="str">
        <f t="shared" si="659"/>
        <v/>
      </c>
      <c r="AK1557" s="540">
        <f>SUMIFS('Live Collections'!$S:$S,'Live Collections'!$D:$D,Disbursements!B1557,'Live Collections'!$G:$G,Disbursements!C1557)</f>
        <v>0</v>
      </c>
      <c r="AL1557" s="540">
        <f>SUMIFS('Live Collections'!$T:$T,'Live Collections'!$D:$D,Disbursements!B1557,'Live Collections'!$G:$G,Disbursements!C1557)</f>
        <v>0</v>
      </c>
      <c r="AM1557" s="541">
        <f t="shared" si="660"/>
        <v>0</v>
      </c>
      <c r="AN1557" s="542" t="str">
        <f t="shared" si="661"/>
        <v/>
      </c>
      <c r="AO1557" s="542" t="str">
        <f t="shared" si="662"/>
        <v/>
      </c>
      <c r="AP1557" s="543" t="str">
        <f t="shared" si="663"/>
        <v/>
      </c>
      <c r="AQ1557" s="544" t="str">
        <f t="shared" si="664"/>
        <v/>
      </c>
      <c r="AR1557" s="545">
        <f t="shared" si="665"/>
        <v>0</v>
      </c>
      <c r="AS1557" s="545">
        <f>IFERROR(CEILING($AR1557*VLOOKUP($I1557,Ref!$B$23:$E$29,4,0),1),0)</f>
        <v>0</v>
      </c>
      <c r="AT1557" s="545" t="str">
        <f>IF(A1557="","",IF(AP1557&lt;=1,"Cleared",IF(AS1557=0,"Clean",VLOOKUP($AS1557,Ref!$G$23:$H$28,2))))</f>
        <v/>
      </c>
      <c r="AU1557" s="546" t="str">
        <f t="shared" si="666"/>
        <v/>
      </c>
    </row>
    <row r="1558" spans="1:47" ht="14.25" hidden="1" customHeight="1" x14ac:dyDescent="0.15">
      <c r="A1558" s="575"/>
      <c r="B1558" s="548"/>
      <c r="C1558" s="548"/>
      <c r="D1558" s="548"/>
      <c r="E1558" s="583"/>
      <c r="F1558" s="584"/>
      <c r="G1558" s="548"/>
      <c r="H1558" s="550"/>
      <c r="I1558" s="560"/>
      <c r="J1558" s="548"/>
      <c r="K1558" s="528" t="str">
        <f>IFERROR(VLOOKUP($B1558,'Clients-Live'!$A:$C,3,0),"")</f>
        <v/>
      </c>
      <c r="L1558" s="528">
        <f>IF(E1558="STL",Pricing!$D$38,IF(A1558="",0,IF(A1558&lt;Pricing!$C$25,Pricing!$D$25,VLOOKUP(Disbursements!$F1558,Pricing!$B$29:$D$32,3))))</f>
        <v>0</v>
      </c>
      <c r="M1558" s="528">
        <f>IF(E1558="STL",0,IF(F1558&gt;0,Pricing!$D$21,0))</f>
        <v>0</v>
      </c>
      <c r="N1558" s="529">
        <f>IF(E1558="STL",F1558*Pricing!$D$40,IF(A1558&lt;=Pricing!$C$4,0,IF(AND(A1558&gt;Pricing!$C$4,Disbursements!A1558&lt;=Pricing!$C$5),F1558*Pricing!$E$5,IF(AND(A1558&gt;Pricing!$C$5,Disbursements!A1558&lt;=Pricing!$C$7),VLOOKUP(F1558,Pricing!$D$7:$E$8,2)*Disbursements!F1558,F1558*Pricing!$E$9))))</f>
        <v>0</v>
      </c>
      <c r="O1558" s="528">
        <f>IF(E1558="STL",0,IF($F1558&gt;0,$F1558*Pricing!$D$17,0))</f>
        <v>0</v>
      </c>
      <c r="P1558" s="530" t="str">
        <f t="shared" si="646"/>
        <v/>
      </c>
      <c r="Q1558" s="531" t="str">
        <f>IF($A1558="","",$G1558/VLOOKUP($I1558,Ref!$B$23:$D$29,2,0))</f>
        <v/>
      </c>
      <c r="R1558" s="530" t="str">
        <f t="shared" si="647"/>
        <v/>
      </c>
      <c r="S1558" s="532" t="str">
        <f t="shared" si="641"/>
        <v/>
      </c>
      <c r="T1558" s="531" t="str">
        <f t="shared" si="648"/>
        <v/>
      </c>
      <c r="U1558" s="533">
        <f t="shared" si="649"/>
        <v>0</v>
      </c>
      <c r="V1558" s="531" t="str">
        <f t="shared" si="650"/>
        <v/>
      </c>
      <c r="W1558" s="531" t="str">
        <f t="shared" si="651"/>
        <v/>
      </c>
      <c r="X1558" s="534" t="str">
        <f t="shared" si="652"/>
        <v/>
      </c>
      <c r="Y1558" s="535" t="str">
        <f>IF($A1558="","",IF($I1558="weekly",$A1558+7,EDATE($A1558,VLOOKUP($I1558,Ref!$B$24:$C$29,2,0))))</f>
        <v/>
      </c>
      <c r="Z1558" s="536" t="str">
        <f t="shared" si="653"/>
        <v/>
      </c>
      <c r="AA1558" s="531">
        <f t="shared" si="654"/>
        <v>0</v>
      </c>
      <c r="AB1558" s="535" t="str">
        <f t="shared" si="642"/>
        <v/>
      </c>
      <c r="AC1558" s="537" t="str">
        <f t="shared" si="643"/>
        <v/>
      </c>
      <c r="AD1558" s="538" t="str">
        <f t="shared" ca="1" si="644"/>
        <v/>
      </c>
      <c r="AE1558" s="537">
        <f t="shared" ca="1" si="645"/>
        <v>0</v>
      </c>
      <c r="AF1558" s="539" t="str">
        <f t="shared" ca="1" si="655"/>
        <v/>
      </c>
      <c r="AG1558" s="531" t="str">
        <f t="shared" ca="1" si="656"/>
        <v/>
      </c>
      <c r="AH1558" s="531" t="str">
        <f t="shared" ca="1" si="657"/>
        <v/>
      </c>
      <c r="AI1558" s="531" t="str">
        <f t="shared" ca="1" si="658"/>
        <v/>
      </c>
      <c r="AJ1558" s="531" t="str">
        <f t="shared" si="659"/>
        <v/>
      </c>
      <c r="AK1558" s="540">
        <f>SUMIFS('Live Collections'!$S:$S,'Live Collections'!$D:$D,Disbursements!B1558,'Live Collections'!$G:$G,Disbursements!C1558)</f>
        <v>0</v>
      </c>
      <c r="AL1558" s="540">
        <f>SUMIFS('Live Collections'!$T:$T,'Live Collections'!$D:$D,Disbursements!B1558,'Live Collections'!$G:$G,Disbursements!C1558)</f>
        <v>0</v>
      </c>
      <c r="AM1558" s="541">
        <f t="shared" si="660"/>
        <v>0</v>
      </c>
      <c r="AN1558" s="542" t="str">
        <f t="shared" si="661"/>
        <v/>
      </c>
      <c r="AO1558" s="542" t="str">
        <f t="shared" si="662"/>
        <v/>
      </c>
      <c r="AP1558" s="543" t="str">
        <f t="shared" si="663"/>
        <v/>
      </c>
      <c r="AQ1558" s="544" t="str">
        <f t="shared" si="664"/>
        <v/>
      </c>
      <c r="AR1558" s="545">
        <f t="shared" si="665"/>
        <v>0</v>
      </c>
      <c r="AS1558" s="545">
        <f>IFERROR(CEILING($AR1558*VLOOKUP($I1558,Ref!$B$23:$E$29,4,0),1),0)</f>
        <v>0</v>
      </c>
      <c r="AT1558" s="545" t="str">
        <f>IF(A1558="","",IF(AP1558&lt;=1,"Cleared",IF(AS1558=0,"Clean",VLOOKUP($AS1558,Ref!$G$23:$H$28,2))))</f>
        <v/>
      </c>
      <c r="AU1558" s="546" t="str">
        <f t="shared" si="666"/>
        <v/>
      </c>
    </row>
    <row r="1559" spans="1:47" ht="14.25" hidden="1" customHeight="1" x14ac:dyDescent="0.15">
      <c r="A1559" s="575"/>
      <c r="B1559" s="548"/>
      <c r="C1559" s="548"/>
      <c r="D1559" s="548"/>
      <c r="E1559" s="583"/>
      <c r="F1559" s="584"/>
      <c r="G1559" s="548"/>
      <c r="H1559" s="550"/>
      <c r="I1559" s="560"/>
      <c r="J1559" s="548"/>
      <c r="K1559" s="528" t="str">
        <f>IFERROR(VLOOKUP($B1559,'Clients-Live'!$A:$C,3,0),"")</f>
        <v/>
      </c>
      <c r="L1559" s="528">
        <f>IF(E1559="STL",Pricing!$D$38,IF(A1559="",0,IF(A1559&lt;Pricing!$C$25,Pricing!$D$25,VLOOKUP(Disbursements!$F1559,Pricing!$B$29:$D$32,3))))</f>
        <v>0</v>
      </c>
      <c r="M1559" s="528">
        <f>IF(E1559="STL",0,IF(F1559&gt;0,Pricing!$D$21,0))</f>
        <v>0</v>
      </c>
      <c r="N1559" s="529">
        <f>IF(E1559="STL",F1559*Pricing!$D$40,IF(A1559&lt;=Pricing!$C$4,0,IF(AND(A1559&gt;Pricing!$C$4,Disbursements!A1559&lt;=Pricing!$C$5),F1559*Pricing!$E$5,IF(AND(A1559&gt;Pricing!$C$5,Disbursements!A1559&lt;=Pricing!$C$7),VLOOKUP(F1559,Pricing!$D$7:$E$8,2)*Disbursements!F1559,F1559*Pricing!$E$9))))</f>
        <v>0</v>
      </c>
      <c r="O1559" s="528">
        <f>IF(E1559="STL",0,IF($F1559&gt;0,$F1559*Pricing!$D$17,0))</f>
        <v>0</v>
      </c>
      <c r="P1559" s="530" t="str">
        <f t="shared" si="646"/>
        <v/>
      </c>
      <c r="Q1559" s="531" t="str">
        <f>IF($A1559="","",$G1559/VLOOKUP($I1559,Ref!$B$23:$D$29,2,0))</f>
        <v/>
      </c>
      <c r="R1559" s="530" t="str">
        <f t="shared" si="647"/>
        <v/>
      </c>
      <c r="S1559" s="532" t="str">
        <f t="shared" si="641"/>
        <v/>
      </c>
      <c r="T1559" s="531" t="str">
        <f t="shared" si="648"/>
        <v/>
      </c>
      <c r="U1559" s="533">
        <f t="shared" si="649"/>
        <v>0</v>
      </c>
      <c r="V1559" s="531" t="str">
        <f t="shared" si="650"/>
        <v/>
      </c>
      <c r="W1559" s="531" t="str">
        <f t="shared" si="651"/>
        <v/>
      </c>
      <c r="X1559" s="534" t="str">
        <f t="shared" si="652"/>
        <v/>
      </c>
      <c r="Y1559" s="535" t="str">
        <f>IF($A1559="","",IF($I1559="weekly",$A1559+7,EDATE($A1559,VLOOKUP($I1559,Ref!$B$24:$C$29,2,0))))</f>
        <v/>
      </c>
      <c r="Z1559" s="536" t="str">
        <f t="shared" si="653"/>
        <v/>
      </c>
      <c r="AA1559" s="531">
        <f t="shared" si="654"/>
        <v>0</v>
      </c>
      <c r="AB1559" s="535" t="str">
        <f t="shared" si="642"/>
        <v/>
      </c>
      <c r="AC1559" s="537" t="str">
        <f t="shared" si="643"/>
        <v/>
      </c>
      <c r="AD1559" s="538" t="str">
        <f t="shared" ca="1" si="644"/>
        <v/>
      </c>
      <c r="AE1559" s="537">
        <f t="shared" ca="1" si="645"/>
        <v>0</v>
      </c>
      <c r="AF1559" s="539" t="str">
        <f t="shared" ca="1" si="655"/>
        <v/>
      </c>
      <c r="AG1559" s="531" t="str">
        <f t="shared" ca="1" si="656"/>
        <v/>
      </c>
      <c r="AH1559" s="531" t="str">
        <f t="shared" ca="1" si="657"/>
        <v/>
      </c>
      <c r="AI1559" s="531" t="str">
        <f t="shared" ca="1" si="658"/>
        <v/>
      </c>
      <c r="AJ1559" s="531" t="str">
        <f t="shared" si="659"/>
        <v/>
      </c>
      <c r="AK1559" s="540">
        <f>SUMIFS('Live Collections'!$S:$S,'Live Collections'!$D:$D,Disbursements!B1559,'Live Collections'!$G:$G,Disbursements!C1559)</f>
        <v>0</v>
      </c>
      <c r="AL1559" s="540">
        <f>SUMIFS('Live Collections'!$T:$T,'Live Collections'!$D:$D,Disbursements!B1559,'Live Collections'!$G:$G,Disbursements!C1559)</f>
        <v>0</v>
      </c>
      <c r="AM1559" s="541">
        <f t="shared" si="660"/>
        <v>0</v>
      </c>
      <c r="AN1559" s="542" t="str">
        <f t="shared" si="661"/>
        <v/>
      </c>
      <c r="AO1559" s="542" t="str">
        <f t="shared" si="662"/>
        <v/>
      </c>
      <c r="AP1559" s="543" t="str">
        <f t="shared" si="663"/>
        <v/>
      </c>
      <c r="AQ1559" s="544" t="str">
        <f t="shared" si="664"/>
        <v/>
      </c>
      <c r="AR1559" s="545">
        <f t="shared" si="665"/>
        <v>0</v>
      </c>
      <c r="AS1559" s="545">
        <f>IFERROR(CEILING($AR1559*VLOOKUP($I1559,Ref!$B$23:$E$29,4,0),1),0)</f>
        <v>0</v>
      </c>
      <c r="AT1559" s="545" t="str">
        <f>IF(A1559="","",IF(AP1559&lt;=1,"Cleared",IF(AS1559=0,"Clean",VLOOKUP($AS1559,Ref!$G$23:$H$28,2))))</f>
        <v/>
      </c>
      <c r="AU1559" s="546" t="str">
        <f t="shared" si="666"/>
        <v/>
      </c>
    </row>
    <row r="1560" spans="1:47" ht="14.25" hidden="1" customHeight="1" x14ac:dyDescent="0.15">
      <c r="A1560" s="575"/>
      <c r="B1560" s="548"/>
      <c r="C1560" s="548"/>
      <c r="D1560" s="548"/>
      <c r="E1560" s="583"/>
      <c r="F1560" s="584"/>
      <c r="G1560" s="548"/>
      <c r="H1560" s="550"/>
      <c r="I1560" s="560"/>
      <c r="J1560" s="548"/>
      <c r="K1560" s="528" t="str">
        <f>IFERROR(VLOOKUP($B1560,'Clients-Live'!$A:$C,3,0),"")</f>
        <v/>
      </c>
      <c r="L1560" s="528">
        <f>IF(E1560="STL",Pricing!$D$38,IF(A1560="",0,IF(A1560&lt;Pricing!$C$25,Pricing!$D$25,VLOOKUP(Disbursements!$F1560,Pricing!$B$29:$D$32,3))))</f>
        <v>0</v>
      </c>
      <c r="M1560" s="528">
        <f>IF(E1560="STL",0,IF(F1560&gt;0,Pricing!$D$21,0))</f>
        <v>0</v>
      </c>
      <c r="N1560" s="529">
        <f>IF(E1560="STL",F1560*Pricing!$D$40,IF(A1560&lt;=Pricing!$C$4,0,IF(AND(A1560&gt;Pricing!$C$4,Disbursements!A1560&lt;=Pricing!$C$5),F1560*Pricing!$E$5,IF(AND(A1560&gt;Pricing!$C$5,Disbursements!A1560&lt;=Pricing!$C$7),VLOOKUP(F1560,Pricing!$D$7:$E$8,2)*Disbursements!F1560,F1560*Pricing!$E$9))))</f>
        <v>0</v>
      </c>
      <c r="O1560" s="528">
        <f>IF(E1560="STL",0,IF($F1560&gt;0,$F1560*Pricing!$D$17,0))</f>
        <v>0</v>
      </c>
      <c r="P1560" s="530" t="str">
        <f t="shared" si="646"/>
        <v/>
      </c>
      <c r="Q1560" s="531" t="str">
        <f>IF($A1560="","",$G1560/VLOOKUP($I1560,Ref!$B$23:$D$29,2,0))</f>
        <v/>
      </c>
      <c r="R1560" s="530" t="str">
        <f t="shared" si="647"/>
        <v/>
      </c>
      <c r="S1560" s="532" t="str">
        <f t="shared" si="641"/>
        <v/>
      </c>
      <c r="T1560" s="531" t="str">
        <f t="shared" si="648"/>
        <v/>
      </c>
      <c r="U1560" s="533">
        <f t="shared" si="649"/>
        <v>0</v>
      </c>
      <c r="V1560" s="531" t="str">
        <f t="shared" si="650"/>
        <v/>
      </c>
      <c r="W1560" s="531" t="str">
        <f t="shared" si="651"/>
        <v/>
      </c>
      <c r="X1560" s="534" t="str">
        <f t="shared" si="652"/>
        <v/>
      </c>
      <c r="Y1560" s="535" t="str">
        <f>IF($A1560="","",IF($I1560="weekly",$A1560+7,EDATE($A1560,VLOOKUP($I1560,Ref!$B$24:$C$29,2,0))))</f>
        <v/>
      </c>
      <c r="Z1560" s="536" t="str">
        <f t="shared" si="653"/>
        <v/>
      </c>
      <c r="AA1560" s="531">
        <f t="shared" si="654"/>
        <v>0</v>
      </c>
      <c r="AB1560" s="535" t="str">
        <f t="shared" si="642"/>
        <v/>
      </c>
      <c r="AC1560" s="537" t="str">
        <f t="shared" si="643"/>
        <v/>
      </c>
      <c r="AD1560" s="538" t="str">
        <f t="shared" ca="1" si="644"/>
        <v/>
      </c>
      <c r="AE1560" s="537">
        <f t="shared" ca="1" si="645"/>
        <v>0</v>
      </c>
      <c r="AF1560" s="539" t="str">
        <f t="shared" ca="1" si="655"/>
        <v/>
      </c>
      <c r="AG1560" s="531" t="str">
        <f t="shared" ca="1" si="656"/>
        <v/>
      </c>
      <c r="AH1560" s="531" t="str">
        <f t="shared" ca="1" si="657"/>
        <v/>
      </c>
      <c r="AI1560" s="531" t="str">
        <f t="shared" ca="1" si="658"/>
        <v/>
      </c>
      <c r="AJ1560" s="531" t="str">
        <f t="shared" si="659"/>
        <v/>
      </c>
      <c r="AK1560" s="540">
        <f>SUMIFS('Live Collections'!$S:$S,'Live Collections'!$D:$D,Disbursements!B1560,'Live Collections'!$G:$G,Disbursements!C1560)</f>
        <v>0</v>
      </c>
      <c r="AL1560" s="540">
        <f>SUMIFS('Live Collections'!$T:$T,'Live Collections'!$D:$D,Disbursements!B1560,'Live Collections'!$G:$G,Disbursements!C1560)</f>
        <v>0</v>
      </c>
      <c r="AM1560" s="541">
        <f t="shared" si="660"/>
        <v>0</v>
      </c>
      <c r="AN1560" s="542" t="str">
        <f t="shared" si="661"/>
        <v/>
      </c>
      <c r="AO1560" s="542" t="str">
        <f t="shared" si="662"/>
        <v/>
      </c>
      <c r="AP1560" s="543" t="str">
        <f t="shared" si="663"/>
        <v/>
      </c>
      <c r="AQ1560" s="544" t="str">
        <f t="shared" si="664"/>
        <v/>
      </c>
      <c r="AR1560" s="545">
        <f t="shared" si="665"/>
        <v>0</v>
      </c>
      <c r="AS1560" s="545">
        <f>IFERROR(CEILING($AR1560*VLOOKUP($I1560,Ref!$B$23:$E$29,4,0),1),0)</f>
        <v>0</v>
      </c>
      <c r="AT1560" s="545" t="str">
        <f>IF(A1560="","",IF(AP1560&lt;=1,"Cleared",IF(AS1560=0,"Clean",VLOOKUP($AS1560,Ref!$G$23:$H$28,2))))</f>
        <v/>
      </c>
      <c r="AU1560" s="546" t="str">
        <f t="shared" si="666"/>
        <v/>
      </c>
    </row>
    <row r="1561" spans="1:47" ht="14.25" hidden="1" customHeight="1" x14ac:dyDescent="0.15">
      <c r="A1561" s="575"/>
      <c r="B1561" s="548"/>
      <c r="C1561" s="548"/>
      <c r="D1561" s="548"/>
      <c r="E1561" s="583"/>
      <c r="F1561" s="584"/>
      <c r="G1561" s="548"/>
      <c r="H1561" s="550"/>
      <c r="I1561" s="560"/>
      <c r="J1561" s="548"/>
      <c r="K1561" s="528" t="str">
        <f>IFERROR(VLOOKUP($B1561,'Clients-Live'!$A:$C,3,0),"")</f>
        <v/>
      </c>
      <c r="L1561" s="528">
        <f>IF(E1561="STL",Pricing!$D$38,IF(A1561="",0,IF(A1561&lt;Pricing!$C$25,Pricing!$D$25,VLOOKUP(Disbursements!$F1561,Pricing!$B$29:$D$32,3))))</f>
        <v>0</v>
      </c>
      <c r="M1561" s="528">
        <f>IF(E1561="STL",0,IF(F1561&gt;0,Pricing!$D$21,0))</f>
        <v>0</v>
      </c>
      <c r="N1561" s="529">
        <f>IF(E1561="STL",F1561*Pricing!$D$40,IF(A1561&lt;=Pricing!$C$4,0,IF(AND(A1561&gt;Pricing!$C$4,Disbursements!A1561&lt;=Pricing!$C$5),F1561*Pricing!$E$5,IF(AND(A1561&gt;Pricing!$C$5,Disbursements!A1561&lt;=Pricing!$C$7),VLOOKUP(F1561,Pricing!$D$7:$E$8,2)*Disbursements!F1561,F1561*Pricing!$E$9))))</f>
        <v>0</v>
      </c>
      <c r="O1561" s="528">
        <f>IF(E1561="STL",0,IF($F1561&gt;0,$F1561*Pricing!$D$17,0))</f>
        <v>0</v>
      </c>
      <c r="P1561" s="530" t="str">
        <f t="shared" si="646"/>
        <v/>
      </c>
      <c r="Q1561" s="531" t="str">
        <f>IF($A1561="","",$G1561/VLOOKUP($I1561,Ref!$B$23:$D$29,2,0))</f>
        <v/>
      </c>
      <c r="R1561" s="530" t="str">
        <f t="shared" si="647"/>
        <v/>
      </c>
      <c r="S1561" s="532" t="str">
        <f t="shared" si="641"/>
        <v/>
      </c>
      <c r="T1561" s="531" t="str">
        <f t="shared" si="648"/>
        <v/>
      </c>
      <c r="U1561" s="533">
        <f t="shared" si="649"/>
        <v>0</v>
      </c>
      <c r="V1561" s="531" t="str">
        <f t="shared" si="650"/>
        <v/>
      </c>
      <c r="W1561" s="531" t="str">
        <f t="shared" si="651"/>
        <v/>
      </c>
      <c r="X1561" s="534" t="str">
        <f t="shared" si="652"/>
        <v/>
      </c>
      <c r="Y1561" s="535" t="str">
        <f>IF($A1561="","",IF($I1561="weekly",$A1561+7,EDATE($A1561,VLOOKUP($I1561,Ref!$B$24:$C$29,2,0))))</f>
        <v/>
      </c>
      <c r="Z1561" s="536" t="str">
        <f t="shared" si="653"/>
        <v/>
      </c>
      <c r="AA1561" s="531">
        <f t="shared" si="654"/>
        <v>0</v>
      </c>
      <c r="AB1561" s="535" t="str">
        <f t="shared" si="642"/>
        <v/>
      </c>
      <c r="AC1561" s="537" t="str">
        <f t="shared" si="643"/>
        <v/>
      </c>
      <c r="AD1561" s="538" t="str">
        <f t="shared" ca="1" si="644"/>
        <v/>
      </c>
      <c r="AE1561" s="537">
        <f t="shared" ca="1" si="645"/>
        <v>0</v>
      </c>
      <c r="AF1561" s="539" t="str">
        <f t="shared" ca="1" si="655"/>
        <v/>
      </c>
      <c r="AG1561" s="531" t="str">
        <f t="shared" ca="1" si="656"/>
        <v/>
      </c>
      <c r="AH1561" s="531" t="str">
        <f t="shared" ca="1" si="657"/>
        <v/>
      </c>
      <c r="AI1561" s="531" t="str">
        <f t="shared" ca="1" si="658"/>
        <v/>
      </c>
      <c r="AJ1561" s="531" t="str">
        <f t="shared" si="659"/>
        <v/>
      </c>
      <c r="AK1561" s="540">
        <f>SUMIFS('Live Collections'!$S:$S,'Live Collections'!$D:$D,Disbursements!B1561,'Live Collections'!$G:$G,Disbursements!C1561)</f>
        <v>0</v>
      </c>
      <c r="AL1561" s="540">
        <f>SUMIFS('Live Collections'!$T:$T,'Live Collections'!$D:$D,Disbursements!B1561,'Live Collections'!$G:$G,Disbursements!C1561)</f>
        <v>0</v>
      </c>
      <c r="AM1561" s="541">
        <f t="shared" si="660"/>
        <v>0</v>
      </c>
      <c r="AN1561" s="542" t="str">
        <f t="shared" si="661"/>
        <v/>
      </c>
      <c r="AO1561" s="542" t="str">
        <f t="shared" si="662"/>
        <v/>
      </c>
      <c r="AP1561" s="543" t="str">
        <f t="shared" si="663"/>
        <v/>
      </c>
      <c r="AQ1561" s="544" t="str">
        <f t="shared" si="664"/>
        <v/>
      </c>
      <c r="AR1561" s="545">
        <f t="shared" si="665"/>
        <v>0</v>
      </c>
      <c r="AS1561" s="545">
        <f>IFERROR(CEILING($AR1561*VLOOKUP($I1561,Ref!$B$23:$E$29,4,0),1),0)</f>
        <v>0</v>
      </c>
      <c r="AT1561" s="545" t="str">
        <f>IF(A1561="","",IF(AP1561&lt;=1,"Cleared",IF(AS1561=0,"Clean",VLOOKUP($AS1561,Ref!$G$23:$H$28,2))))</f>
        <v/>
      </c>
      <c r="AU1561" s="546" t="str">
        <f t="shared" si="666"/>
        <v/>
      </c>
    </row>
    <row r="1562" spans="1:47" ht="14.25" hidden="1" customHeight="1" x14ac:dyDescent="0.15">
      <c r="A1562" s="575"/>
      <c r="B1562" s="548"/>
      <c r="C1562" s="548"/>
      <c r="D1562" s="548"/>
      <c r="E1562" s="583"/>
      <c r="F1562" s="584"/>
      <c r="G1562" s="548"/>
      <c r="H1562" s="550"/>
      <c r="I1562" s="560"/>
      <c r="J1562" s="548"/>
      <c r="K1562" s="528" t="str">
        <f>IFERROR(VLOOKUP($B1562,'Clients-Live'!$A:$C,3,0),"")</f>
        <v/>
      </c>
      <c r="L1562" s="528">
        <f>IF(E1562="STL",Pricing!$D$38,IF(A1562="",0,IF(A1562&lt;Pricing!$C$25,Pricing!$D$25,VLOOKUP(Disbursements!$F1562,Pricing!$B$29:$D$32,3))))</f>
        <v>0</v>
      </c>
      <c r="M1562" s="528">
        <f>IF(E1562="STL",0,IF(F1562&gt;0,Pricing!$D$21,0))</f>
        <v>0</v>
      </c>
      <c r="N1562" s="529">
        <f>IF(E1562="STL",F1562*Pricing!$D$40,IF(A1562&lt;=Pricing!$C$4,0,IF(AND(A1562&gt;Pricing!$C$4,Disbursements!A1562&lt;=Pricing!$C$5),F1562*Pricing!$E$5,IF(AND(A1562&gt;Pricing!$C$5,Disbursements!A1562&lt;=Pricing!$C$7),VLOOKUP(F1562,Pricing!$D$7:$E$8,2)*Disbursements!F1562,F1562*Pricing!$E$9))))</f>
        <v>0</v>
      </c>
      <c r="O1562" s="528">
        <f>IF(E1562="STL",0,IF($F1562&gt;0,$F1562*Pricing!$D$17,0))</f>
        <v>0</v>
      </c>
      <c r="P1562" s="530" t="str">
        <f t="shared" si="646"/>
        <v/>
      </c>
      <c r="Q1562" s="531" t="str">
        <f>IF($A1562="","",$G1562/VLOOKUP($I1562,Ref!$B$23:$D$29,2,0))</f>
        <v/>
      </c>
      <c r="R1562" s="530" t="str">
        <f t="shared" si="647"/>
        <v/>
      </c>
      <c r="S1562" s="532" t="str">
        <f t="shared" si="641"/>
        <v/>
      </c>
      <c r="T1562" s="531" t="str">
        <f t="shared" si="648"/>
        <v/>
      </c>
      <c r="U1562" s="533">
        <f t="shared" si="649"/>
        <v>0</v>
      </c>
      <c r="V1562" s="531" t="str">
        <f t="shared" si="650"/>
        <v/>
      </c>
      <c r="W1562" s="531" t="str">
        <f t="shared" si="651"/>
        <v/>
      </c>
      <c r="X1562" s="534" t="str">
        <f t="shared" si="652"/>
        <v/>
      </c>
      <c r="Y1562" s="535" t="str">
        <f>IF($A1562="","",IF($I1562="weekly",$A1562+7,EDATE($A1562,VLOOKUP($I1562,Ref!$B$24:$C$29,2,0))))</f>
        <v/>
      </c>
      <c r="Z1562" s="536" t="str">
        <f t="shared" si="653"/>
        <v/>
      </c>
      <c r="AA1562" s="531">
        <f t="shared" si="654"/>
        <v>0</v>
      </c>
      <c r="AB1562" s="535" t="str">
        <f t="shared" si="642"/>
        <v/>
      </c>
      <c r="AC1562" s="537" t="str">
        <f t="shared" si="643"/>
        <v/>
      </c>
      <c r="AD1562" s="538" t="str">
        <f t="shared" ca="1" si="644"/>
        <v/>
      </c>
      <c r="AE1562" s="537">
        <f t="shared" ca="1" si="645"/>
        <v>0</v>
      </c>
      <c r="AF1562" s="539" t="str">
        <f t="shared" ca="1" si="655"/>
        <v/>
      </c>
      <c r="AG1562" s="531" t="str">
        <f t="shared" ca="1" si="656"/>
        <v/>
      </c>
      <c r="AH1562" s="531" t="str">
        <f t="shared" ca="1" si="657"/>
        <v/>
      </c>
      <c r="AI1562" s="531" t="str">
        <f t="shared" ca="1" si="658"/>
        <v/>
      </c>
      <c r="AJ1562" s="531" t="str">
        <f t="shared" si="659"/>
        <v/>
      </c>
      <c r="AK1562" s="540">
        <f>SUMIFS('Live Collections'!$S:$S,'Live Collections'!$D:$D,Disbursements!B1562,'Live Collections'!$G:$G,Disbursements!C1562)</f>
        <v>0</v>
      </c>
      <c r="AL1562" s="540">
        <f>SUMIFS('Live Collections'!$T:$T,'Live Collections'!$D:$D,Disbursements!B1562,'Live Collections'!$G:$G,Disbursements!C1562)</f>
        <v>0</v>
      </c>
      <c r="AM1562" s="541">
        <f t="shared" si="660"/>
        <v>0</v>
      </c>
      <c r="AN1562" s="542" t="str">
        <f t="shared" si="661"/>
        <v/>
      </c>
      <c r="AO1562" s="542" t="str">
        <f t="shared" si="662"/>
        <v/>
      </c>
      <c r="AP1562" s="543" t="str">
        <f t="shared" si="663"/>
        <v/>
      </c>
      <c r="AQ1562" s="544" t="str">
        <f t="shared" si="664"/>
        <v/>
      </c>
      <c r="AR1562" s="545">
        <f t="shared" si="665"/>
        <v>0</v>
      </c>
      <c r="AS1562" s="545">
        <f>IFERROR(CEILING($AR1562*VLOOKUP($I1562,Ref!$B$23:$E$29,4,0),1),0)</f>
        <v>0</v>
      </c>
      <c r="AT1562" s="545" t="str">
        <f>IF(A1562="","",IF(AP1562&lt;=1,"Cleared",IF(AS1562=0,"Clean",VLOOKUP($AS1562,Ref!$G$23:$H$28,2))))</f>
        <v/>
      </c>
      <c r="AU1562" s="546" t="str">
        <f t="shared" si="666"/>
        <v/>
      </c>
    </row>
    <row r="1563" spans="1:47" ht="14.25" hidden="1" customHeight="1" x14ac:dyDescent="0.15">
      <c r="A1563" s="575"/>
      <c r="B1563" s="548"/>
      <c r="C1563" s="548"/>
      <c r="D1563" s="548"/>
      <c r="E1563" s="583"/>
      <c r="F1563" s="584"/>
      <c r="G1563" s="548"/>
      <c r="H1563" s="550"/>
      <c r="I1563" s="560"/>
      <c r="J1563" s="548"/>
      <c r="K1563" s="528" t="str">
        <f>IFERROR(VLOOKUP($B1563,'Clients-Live'!$A:$C,3,0),"")</f>
        <v/>
      </c>
      <c r="L1563" s="528">
        <f>IF(E1563="STL",Pricing!$D$38,IF(A1563="",0,IF(A1563&lt;Pricing!$C$25,Pricing!$D$25,VLOOKUP(Disbursements!$F1563,Pricing!$B$29:$D$32,3))))</f>
        <v>0</v>
      </c>
      <c r="M1563" s="528">
        <f>IF(E1563="STL",0,IF(F1563&gt;0,Pricing!$D$21,0))</f>
        <v>0</v>
      </c>
      <c r="N1563" s="529">
        <f>IF(E1563="STL",F1563*Pricing!$D$40,IF(A1563&lt;=Pricing!$C$4,0,IF(AND(A1563&gt;Pricing!$C$4,Disbursements!A1563&lt;=Pricing!$C$5),F1563*Pricing!$E$5,IF(AND(A1563&gt;Pricing!$C$5,Disbursements!A1563&lt;=Pricing!$C$7),VLOOKUP(F1563,Pricing!$D$7:$E$8,2)*Disbursements!F1563,F1563*Pricing!$E$9))))</f>
        <v>0</v>
      </c>
      <c r="O1563" s="528">
        <f>IF(E1563="STL",0,IF($F1563&gt;0,$F1563*Pricing!$D$17,0))</f>
        <v>0</v>
      </c>
      <c r="P1563" s="530" t="str">
        <f t="shared" si="646"/>
        <v/>
      </c>
      <c r="Q1563" s="531" t="str">
        <f>IF($A1563="","",$G1563/VLOOKUP($I1563,Ref!$B$23:$D$29,2,0))</f>
        <v/>
      </c>
      <c r="R1563" s="530" t="str">
        <f t="shared" si="647"/>
        <v/>
      </c>
      <c r="S1563" s="532" t="str">
        <f t="shared" si="641"/>
        <v/>
      </c>
      <c r="T1563" s="531" t="str">
        <f t="shared" si="648"/>
        <v/>
      </c>
      <c r="U1563" s="533">
        <f t="shared" si="649"/>
        <v>0</v>
      </c>
      <c r="V1563" s="531" t="str">
        <f t="shared" si="650"/>
        <v/>
      </c>
      <c r="W1563" s="531" t="str">
        <f t="shared" si="651"/>
        <v/>
      </c>
      <c r="X1563" s="534" t="str">
        <f t="shared" si="652"/>
        <v/>
      </c>
      <c r="Y1563" s="535" t="str">
        <f>IF($A1563="","",IF($I1563="weekly",$A1563+7,EDATE($A1563,VLOOKUP($I1563,Ref!$B$24:$C$29,2,0))))</f>
        <v/>
      </c>
      <c r="Z1563" s="536" t="str">
        <f t="shared" si="653"/>
        <v/>
      </c>
      <c r="AA1563" s="531">
        <f t="shared" si="654"/>
        <v>0</v>
      </c>
      <c r="AB1563" s="535" t="str">
        <f t="shared" si="642"/>
        <v/>
      </c>
      <c r="AC1563" s="537" t="str">
        <f t="shared" si="643"/>
        <v/>
      </c>
      <c r="AD1563" s="538" t="str">
        <f t="shared" ca="1" si="644"/>
        <v/>
      </c>
      <c r="AE1563" s="537">
        <f t="shared" ca="1" si="645"/>
        <v>0</v>
      </c>
      <c r="AF1563" s="539" t="str">
        <f t="shared" ca="1" si="655"/>
        <v/>
      </c>
      <c r="AG1563" s="531" t="str">
        <f t="shared" ca="1" si="656"/>
        <v/>
      </c>
      <c r="AH1563" s="531" t="str">
        <f t="shared" ca="1" si="657"/>
        <v/>
      </c>
      <c r="AI1563" s="531" t="str">
        <f t="shared" ca="1" si="658"/>
        <v/>
      </c>
      <c r="AJ1563" s="531" t="str">
        <f t="shared" si="659"/>
        <v/>
      </c>
      <c r="AK1563" s="540">
        <f>SUMIFS('Live Collections'!$S:$S,'Live Collections'!$D:$D,Disbursements!B1563,'Live Collections'!$G:$G,Disbursements!C1563)</f>
        <v>0</v>
      </c>
      <c r="AL1563" s="540">
        <f>SUMIFS('Live Collections'!$T:$T,'Live Collections'!$D:$D,Disbursements!B1563,'Live Collections'!$G:$G,Disbursements!C1563)</f>
        <v>0</v>
      </c>
      <c r="AM1563" s="541">
        <f t="shared" si="660"/>
        <v>0</v>
      </c>
      <c r="AN1563" s="542" t="str">
        <f t="shared" si="661"/>
        <v/>
      </c>
      <c r="AO1563" s="542" t="str">
        <f t="shared" si="662"/>
        <v/>
      </c>
      <c r="AP1563" s="543" t="str">
        <f t="shared" si="663"/>
        <v/>
      </c>
      <c r="AQ1563" s="544" t="str">
        <f t="shared" si="664"/>
        <v/>
      </c>
      <c r="AR1563" s="545">
        <f t="shared" si="665"/>
        <v>0</v>
      </c>
      <c r="AS1563" s="545">
        <f>IFERROR(CEILING($AR1563*VLOOKUP($I1563,Ref!$B$23:$E$29,4,0),1),0)</f>
        <v>0</v>
      </c>
      <c r="AT1563" s="545" t="str">
        <f>IF(A1563="","",IF(AP1563&lt;=1,"Cleared",IF(AS1563=0,"Clean",VLOOKUP($AS1563,Ref!$G$23:$H$28,2))))</f>
        <v/>
      </c>
      <c r="AU1563" s="546" t="str">
        <f t="shared" si="666"/>
        <v/>
      </c>
    </row>
    <row r="1564" spans="1:47" ht="14.25" hidden="1" customHeight="1" x14ac:dyDescent="0.15">
      <c r="A1564" s="575"/>
      <c r="B1564" s="548"/>
      <c r="C1564" s="548"/>
      <c r="D1564" s="548"/>
      <c r="E1564" s="583"/>
      <c r="F1564" s="584"/>
      <c r="G1564" s="548"/>
      <c r="H1564" s="550"/>
      <c r="I1564" s="560"/>
      <c r="J1564" s="548"/>
      <c r="K1564" s="528" t="str">
        <f>IFERROR(VLOOKUP($B1564,'Clients-Live'!$A:$C,3,0),"")</f>
        <v/>
      </c>
      <c r="L1564" s="528">
        <f>IF(E1564="STL",Pricing!$D$38,IF(A1564="",0,IF(A1564&lt;Pricing!$C$25,Pricing!$D$25,VLOOKUP(Disbursements!$F1564,Pricing!$B$29:$D$32,3))))</f>
        <v>0</v>
      </c>
      <c r="M1564" s="528">
        <f>IF(E1564="STL",0,IF(F1564&gt;0,Pricing!$D$21,0))</f>
        <v>0</v>
      </c>
      <c r="N1564" s="529">
        <f>IF(E1564="STL",F1564*Pricing!$D$40,IF(A1564&lt;=Pricing!$C$4,0,IF(AND(A1564&gt;Pricing!$C$4,Disbursements!A1564&lt;=Pricing!$C$5),F1564*Pricing!$E$5,IF(AND(A1564&gt;Pricing!$C$5,Disbursements!A1564&lt;=Pricing!$C$7),VLOOKUP(F1564,Pricing!$D$7:$E$8,2)*Disbursements!F1564,F1564*Pricing!$E$9))))</f>
        <v>0</v>
      </c>
      <c r="O1564" s="528">
        <f>IF(E1564="STL",0,IF($F1564&gt;0,$F1564*Pricing!$D$17,0))</f>
        <v>0</v>
      </c>
      <c r="P1564" s="530" t="str">
        <f t="shared" si="646"/>
        <v/>
      </c>
      <c r="Q1564" s="531" t="str">
        <f>IF($A1564="","",$G1564/VLOOKUP($I1564,Ref!$B$23:$D$29,2,0))</f>
        <v/>
      </c>
      <c r="R1564" s="530" t="str">
        <f t="shared" si="647"/>
        <v/>
      </c>
      <c r="S1564" s="532" t="str">
        <f t="shared" si="641"/>
        <v/>
      </c>
      <c r="T1564" s="531" t="str">
        <f t="shared" si="648"/>
        <v/>
      </c>
      <c r="U1564" s="533">
        <f t="shared" si="649"/>
        <v>0</v>
      </c>
      <c r="V1564" s="531" t="str">
        <f t="shared" si="650"/>
        <v/>
      </c>
      <c r="W1564" s="531" t="str">
        <f t="shared" si="651"/>
        <v/>
      </c>
      <c r="X1564" s="534" t="str">
        <f t="shared" si="652"/>
        <v/>
      </c>
      <c r="Y1564" s="535" t="str">
        <f>IF($A1564="","",IF($I1564="weekly",$A1564+7,EDATE($A1564,VLOOKUP($I1564,Ref!$B$24:$C$29,2,0))))</f>
        <v/>
      </c>
      <c r="Z1564" s="536" t="str">
        <f t="shared" si="653"/>
        <v/>
      </c>
      <c r="AA1564" s="531">
        <f t="shared" si="654"/>
        <v>0</v>
      </c>
      <c r="AB1564" s="535" t="str">
        <f t="shared" si="642"/>
        <v/>
      </c>
      <c r="AC1564" s="537" t="str">
        <f t="shared" si="643"/>
        <v/>
      </c>
      <c r="AD1564" s="538" t="str">
        <f t="shared" ca="1" si="644"/>
        <v/>
      </c>
      <c r="AE1564" s="537">
        <f t="shared" ca="1" si="645"/>
        <v>0</v>
      </c>
      <c r="AF1564" s="539" t="str">
        <f t="shared" ca="1" si="655"/>
        <v/>
      </c>
      <c r="AG1564" s="531" t="str">
        <f t="shared" ca="1" si="656"/>
        <v/>
      </c>
      <c r="AH1564" s="531" t="str">
        <f t="shared" ca="1" si="657"/>
        <v/>
      </c>
      <c r="AI1564" s="531" t="str">
        <f t="shared" ca="1" si="658"/>
        <v/>
      </c>
      <c r="AJ1564" s="531" t="str">
        <f t="shared" si="659"/>
        <v/>
      </c>
      <c r="AK1564" s="540">
        <f>SUMIFS('Live Collections'!$S:$S,'Live Collections'!$D:$D,Disbursements!B1564,'Live Collections'!$G:$G,Disbursements!C1564)</f>
        <v>0</v>
      </c>
      <c r="AL1564" s="540">
        <f>SUMIFS('Live Collections'!$T:$T,'Live Collections'!$D:$D,Disbursements!B1564,'Live Collections'!$G:$G,Disbursements!C1564)</f>
        <v>0</v>
      </c>
      <c r="AM1564" s="541">
        <f t="shared" si="660"/>
        <v>0</v>
      </c>
      <c r="AN1564" s="542" t="str">
        <f t="shared" si="661"/>
        <v/>
      </c>
      <c r="AO1564" s="542" t="str">
        <f t="shared" si="662"/>
        <v/>
      </c>
      <c r="AP1564" s="543" t="str">
        <f t="shared" si="663"/>
        <v/>
      </c>
      <c r="AQ1564" s="544" t="str">
        <f t="shared" si="664"/>
        <v/>
      </c>
      <c r="AR1564" s="545">
        <f t="shared" si="665"/>
        <v>0</v>
      </c>
      <c r="AS1564" s="545">
        <f>IFERROR(CEILING($AR1564*VLOOKUP($I1564,Ref!$B$23:$E$29,4,0),1),0)</f>
        <v>0</v>
      </c>
      <c r="AT1564" s="545" t="str">
        <f>IF(A1564="","",IF(AP1564&lt;=1,"Cleared",IF(AS1564=0,"Clean",VLOOKUP($AS1564,Ref!$G$23:$H$28,2))))</f>
        <v/>
      </c>
      <c r="AU1564" s="546" t="str">
        <f t="shared" si="666"/>
        <v/>
      </c>
    </row>
    <row r="1565" spans="1:47" ht="14.25" hidden="1" customHeight="1" x14ac:dyDescent="0.15">
      <c r="A1565" s="575"/>
      <c r="B1565" s="548"/>
      <c r="C1565" s="548"/>
      <c r="D1565" s="548"/>
      <c r="E1565" s="583"/>
      <c r="F1565" s="584"/>
      <c r="G1565" s="548"/>
      <c r="H1565" s="550"/>
      <c r="I1565" s="560"/>
      <c r="J1565" s="548"/>
      <c r="K1565" s="528" t="str">
        <f>IFERROR(VLOOKUP($B1565,'Clients-Live'!$A:$C,3,0),"")</f>
        <v/>
      </c>
      <c r="L1565" s="528">
        <f>IF(E1565="STL",Pricing!$D$38,IF(A1565="",0,IF(A1565&lt;Pricing!$C$25,Pricing!$D$25,VLOOKUP(Disbursements!$F1565,Pricing!$B$29:$D$32,3))))</f>
        <v>0</v>
      </c>
      <c r="M1565" s="528">
        <f>IF(E1565="STL",0,IF(F1565&gt;0,Pricing!$D$21,0))</f>
        <v>0</v>
      </c>
      <c r="N1565" s="529">
        <f>IF(E1565="STL",F1565*Pricing!$D$40,IF(A1565&lt;=Pricing!$C$4,0,IF(AND(A1565&gt;Pricing!$C$4,Disbursements!A1565&lt;=Pricing!$C$5),F1565*Pricing!$E$5,IF(AND(A1565&gt;Pricing!$C$5,Disbursements!A1565&lt;=Pricing!$C$7),VLOOKUP(F1565,Pricing!$D$7:$E$8,2)*Disbursements!F1565,F1565*Pricing!$E$9))))</f>
        <v>0</v>
      </c>
      <c r="O1565" s="528">
        <f>IF(E1565="STL",0,IF($F1565&gt;0,$F1565*Pricing!$D$17,0))</f>
        <v>0</v>
      </c>
      <c r="P1565" s="530" t="str">
        <f t="shared" si="646"/>
        <v/>
      </c>
      <c r="Q1565" s="531" t="str">
        <f>IF($A1565="","",$G1565/VLOOKUP($I1565,Ref!$B$23:$D$29,2,0))</f>
        <v/>
      </c>
      <c r="R1565" s="530" t="str">
        <f t="shared" si="647"/>
        <v/>
      </c>
      <c r="S1565" s="532" t="str">
        <f t="shared" si="641"/>
        <v/>
      </c>
      <c r="T1565" s="531" t="str">
        <f t="shared" si="648"/>
        <v/>
      </c>
      <c r="U1565" s="533">
        <f t="shared" si="649"/>
        <v>0</v>
      </c>
      <c r="V1565" s="531" t="str">
        <f t="shared" si="650"/>
        <v/>
      </c>
      <c r="W1565" s="531" t="str">
        <f t="shared" si="651"/>
        <v/>
      </c>
      <c r="X1565" s="534" t="str">
        <f t="shared" si="652"/>
        <v/>
      </c>
      <c r="Y1565" s="535" t="str">
        <f>IF($A1565="","",IF($I1565="weekly",$A1565+7,EDATE($A1565,VLOOKUP($I1565,Ref!$B$24:$C$29,2,0))))</f>
        <v/>
      </c>
      <c r="Z1565" s="536" t="str">
        <f t="shared" si="653"/>
        <v/>
      </c>
      <c r="AA1565" s="531">
        <f t="shared" si="654"/>
        <v>0</v>
      </c>
      <c r="AB1565" s="535" t="str">
        <f t="shared" si="642"/>
        <v/>
      </c>
      <c r="AC1565" s="537" t="str">
        <f t="shared" si="643"/>
        <v/>
      </c>
      <c r="AD1565" s="538" t="str">
        <f t="shared" ca="1" si="644"/>
        <v/>
      </c>
      <c r="AE1565" s="537">
        <f t="shared" ca="1" si="645"/>
        <v>0</v>
      </c>
      <c r="AF1565" s="539" t="str">
        <f t="shared" ca="1" si="655"/>
        <v/>
      </c>
      <c r="AG1565" s="531" t="str">
        <f t="shared" ca="1" si="656"/>
        <v/>
      </c>
      <c r="AH1565" s="531" t="str">
        <f t="shared" ca="1" si="657"/>
        <v/>
      </c>
      <c r="AI1565" s="531" t="str">
        <f t="shared" ca="1" si="658"/>
        <v/>
      </c>
      <c r="AJ1565" s="531" t="str">
        <f t="shared" si="659"/>
        <v/>
      </c>
      <c r="AK1565" s="540">
        <f>SUMIFS('Live Collections'!$S:$S,'Live Collections'!$D:$D,Disbursements!B1565,'Live Collections'!$G:$G,Disbursements!C1565)</f>
        <v>0</v>
      </c>
      <c r="AL1565" s="540">
        <f>SUMIFS('Live Collections'!$T:$T,'Live Collections'!$D:$D,Disbursements!B1565,'Live Collections'!$G:$G,Disbursements!C1565)</f>
        <v>0</v>
      </c>
      <c r="AM1565" s="541">
        <f t="shared" si="660"/>
        <v>0</v>
      </c>
      <c r="AN1565" s="542" t="str">
        <f t="shared" si="661"/>
        <v/>
      </c>
      <c r="AO1565" s="542" t="str">
        <f t="shared" si="662"/>
        <v/>
      </c>
      <c r="AP1565" s="543" t="str">
        <f t="shared" si="663"/>
        <v/>
      </c>
      <c r="AQ1565" s="544" t="str">
        <f t="shared" si="664"/>
        <v/>
      </c>
      <c r="AR1565" s="545">
        <f t="shared" si="665"/>
        <v>0</v>
      </c>
      <c r="AS1565" s="545">
        <f>IFERROR(CEILING($AR1565*VLOOKUP($I1565,Ref!$B$23:$E$29,4,0),1),0)</f>
        <v>0</v>
      </c>
      <c r="AT1565" s="545" t="str">
        <f>IF(A1565="","",IF(AP1565&lt;=1,"Cleared",IF(AS1565=0,"Clean",VLOOKUP($AS1565,Ref!$G$23:$H$28,2))))</f>
        <v/>
      </c>
      <c r="AU1565" s="546" t="str">
        <f t="shared" si="666"/>
        <v/>
      </c>
    </row>
    <row r="1566" spans="1:47" ht="14.25" hidden="1" customHeight="1" x14ac:dyDescent="0.15">
      <c r="A1566" s="575"/>
      <c r="B1566" s="548"/>
      <c r="C1566" s="548"/>
      <c r="D1566" s="548"/>
      <c r="E1566" s="583"/>
      <c r="F1566" s="584"/>
      <c r="G1566" s="548"/>
      <c r="H1566" s="550"/>
      <c r="I1566" s="560"/>
      <c r="J1566" s="548"/>
      <c r="K1566" s="528" t="str">
        <f>IFERROR(VLOOKUP($B1566,'Clients-Live'!$A:$C,3,0),"")</f>
        <v/>
      </c>
      <c r="L1566" s="528">
        <f>IF(E1566="STL",Pricing!$D$38,IF(A1566="",0,IF(A1566&lt;Pricing!$C$25,Pricing!$D$25,VLOOKUP(Disbursements!$F1566,Pricing!$B$29:$D$32,3))))</f>
        <v>0</v>
      </c>
      <c r="M1566" s="528">
        <f>IF(E1566="STL",0,IF(F1566&gt;0,Pricing!$D$21,0))</f>
        <v>0</v>
      </c>
      <c r="N1566" s="529">
        <f>IF(E1566="STL",F1566*Pricing!$D$40,IF(A1566&lt;=Pricing!$C$4,0,IF(AND(A1566&gt;Pricing!$C$4,Disbursements!A1566&lt;=Pricing!$C$5),F1566*Pricing!$E$5,IF(AND(A1566&gt;Pricing!$C$5,Disbursements!A1566&lt;=Pricing!$C$7),VLOOKUP(F1566,Pricing!$D$7:$E$8,2)*Disbursements!F1566,F1566*Pricing!$E$9))))</f>
        <v>0</v>
      </c>
      <c r="O1566" s="528">
        <f>IF(E1566="STL",0,IF($F1566&gt;0,$F1566*Pricing!$D$17,0))</f>
        <v>0</v>
      </c>
      <c r="P1566" s="530" t="str">
        <f t="shared" si="646"/>
        <v/>
      </c>
      <c r="Q1566" s="531" t="str">
        <f>IF($A1566="","",$G1566/VLOOKUP($I1566,Ref!$B$23:$D$29,2,0))</f>
        <v/>
      </c>
      <c r="R1566" s="530" t="str">
        <f t="shared" si="647"/>
        <v/>
      </c>
      <c r="S1566" s="532" t="str">
        <f t="shared" si="641"/>
        <v/>
      </c>
      <c r="T1566" s="531" t="str">
        <f t="shared" si="648"/>
        <v/>
      </c>
      <c r="U1566" s="533">
        <f t="shared" si="649"/>
        <v>0</v>
      </c>
      <c r="V1566" s="531" t="str">
        <f t="shared" si="650"/>
        <v/>
      </c>
      <c r="W1566" s="531" t="str">
        <f t="shared" si="651"/>
        <v/>
      </c>
      <c r="X1566" s="534" t="str">
        <f t="shared" si="652"/>
        <v/>
      </c>
      <c r="Y1566" s="535" t="str">
        <f>IF($A1566="","",IF($I1566="weekly",$A1566+7,EDATE($A1566,VLOOKUP($I1566,Ref!$B$24:$C$29,2,0))))</f>
        <v/>
      </c>
      <c r="Z1566" s="536" t="str">
        <f t="shared" si="653"/>
        <v/>
      </c>
      <c r="AA1566" s="531">
        <f t="shared" si="654"/>
        <v>0</v>
      </c>
      <c r="AB1566" s="535" t="str">
        <f t="shared" si="642"/>
        <v/>
      </c>
      <c r="AC1566" s="537" t="str">
        <f t="shared" si="643"/>
        <v/>
      </c>
      <c r="AD1566" s="538" t="str">
        <f t="shared" ca="1" si="644"/>
        <v/>
      </c>
      <c r="AE1566" s="537">
        <f t="shared" ca="1" si="645"/>
        <v>0</v>
      </c>
      <c r="AF1566" s="539" t="str">
        <f t="shared" ca="1" si="655"/>
        <v/>
      </c>
      <c r="AG1566" s="531" t="str">
        <f t="shared" ca="1" si="656"/>
        <v/>
      </c>
      <c r="AH1566" s="531" t="str">
        <f t="shared" ca="1" si="657"/>
        <v/>
      </c>
      <c r="AI1566" s="531" t="str">
        <f t="shared" ca="1" si="658"/>
        <v/>
      </c>
      <c r="AJ1566" s="531" t="str">
        <f t="shared" si="659"/>
        <v/>
      </c>
      <c r="AK1566" s="540">
        <f>SUMIFS('Live Collections'!$S:$S,'Live Collections'!$D:$D,Disbursements!B1566,'Live Collections'!$G:$G,Disbursements!C1566)</f>
        <v>0</v>
      </c>
      <c r="AL1566" s="540">
        <f>SUMIFS('Live Collections'!$T:$T,'Live Collections'!$D:$D,Disbursements!B1566,'Live Collections'!$G:$G,Disbursements!C1566)</f>
        <v>0</v>
      </c>
      <c r="AM1566" s="541">
        <f t="shared" si="660"/>
        <v>0</v>
      </c>
      <c r="AN1566" s="542" t="str">
        <f t="shared" si="661"/>
        <v/>
      </c>
      <c r="AO1566" s="542" t="str">
        <f t="shared" si="662"/>
        <v/>
      </c>
      <c r="AP1566" s="543" t="str">
        <f t="shared" si="663"/>
        <v/>
      </c>
      <c r="AQ1566" s="544" t="str">
        <f t="shared" si="664"/>
        <v/>
      </c>
      <c r="AR1566" s="545">
        <f t="shared" si="665"/>
        <v>0</v>
      </c>
      <c r="AS1566" s="545">
        <f>IFERROR(CEILING($AR1566*VLOOKUP($I1566,Ref!$B$23:$E$29,4,0),1),0)</f>
        <v>0</v>
      </c>
      <c r="AT1566" s="545" t="str">
        <f>IF(A1566="","",IF(AP1566&lt;=1,"Cleared",IF(AS1566=0,"Clean",VLOOKUP($AS1566,Ref!$G$23:$H$28,2))))</f>
        <v/>
      </c>
      <c r="AU1566" s="546" t="str">
        <f t="shared" si="666"/>
        <v/>
      </c>
    </row>
    <row r="1567" spans="1:47" ht="14.25" hidden="1" customHeight="1" x14ac:dyDescent="0.15">
      <c r="A1567" s="575"/>
      <c r="B1567" s="548"/>
      <c r="C1567" s="548"/>
      <c r="D1567" s="548"/>
      <c r="E1567" s="583"/>
      <c r="F1567" s="584"/>
      <c r="G1567" s="548"/>
      <c r="H1567" s="550"/>
      <c r="I1567" s="560"/>
      <c r="J1567" s="548"/>
      <c r="K1567" s="528" t="str">
        <f>IFERROR(VLOOKUP($B1567,'Clients-Live'!$A:$C,3,0),"")</f>
        <v/>
      </c>
      <c r="L1567" s="528">
        <f>IF(E1567="STL",Pricing!$D$38,IF(A1567="",0,IF(A1567&lt;Pricing!$C$25,Pricing!$D$25,VLOOKUP(Disbursements!$F1567,Pricing!$B$29:$D$32,3))))</f>
        <v>0</v>
      </c>
      <c r="M1567" s="528">
        <f>IF(E1567="STL",0,IF(F1567&gt;0,Pricing!$D$21,0))</f>
        <v>0</v>
      </c>
      <c r="N1567" s="529">
        <f>IF(E1567="STL",F1567*Pricing!$D$40,IF(A1567&lt;=Pricing!$C$4,0,IF(AND(A1567&gt;Pricing!$C$4,Disbursements!A1567&lt;=Pricing!$C$5),F1567*Pricing!$E$5,IF(AND(A1567&gt;Pricing!$C$5,Disbursements!A1567&lt;=Pricing!$C$7),VLOOKUP(F1567,Pricing!$D$7:$E$8,2)*Disbursements!F1567,F1567*Pricing!$E$9))))</f>
        <v>0</v>
      </c>
      <c r="O1567" s="528">
        <f>IF(E1567="STL",0,IF($F1567&gt;0,$F1567*Pricing!$D$17,0))</f>
        <v>0</v>
      </c>
      <c r="P1567" s="530" t="str">
        <f t="shared" si="646"/>
        <v/>
      </c>
      <c r="Q1567" s="531" t="str">
        <f>IF($A1567="","",$G1567/VLOOKUP($I1567,Ref!$B$23:$D$29,2,0))</f>
        <v/>
      </c>
      <c r="R1567" s="530" t="str">
        <f t="shared" si="647"/>
        <v/>
      </c>
      <c r="S1567" s="532" t="str">
        <f t="shared" si="641"/>
        <v/>
      </c>
      <c r="T1567" s="531" t="str">
        <f t="shared" si="648"/>
        <v/>
      </c>
      <c r="U1567" s="533">
        <f t="shared" si="649"/>
        <v>0</v>
      </c>
      <c r="V1567" s="531" t="str">
        <f t="shared" si="650"/>
        <v/>
      </c>
      <c r="W1567" s="531" t="str">
        <f t="shared" si="651"/>
        <v/>
      </c>
      <c r="X1567" s="534" t="str">
        <f t="shared" si="652"/>
        <v/>
      </c>
      <c r="Y1567" s="535" t="str">
        <f>IF($A1567="","",IF($I1567="weekly",$A1567+7,EDATE($A1567,VLOOKUP($I1567,Ref!$B$24:$C$29,2,0))))</f>
        <v/>
      </c>
      <c r="Z1567" s="536" t="str">
        <f t="shared" si="653"/>
        <v/>
      </c>
      <c r="AA1567" s="531">
        <f t="shared" si="654"/>
        <v>0</v>
      </c>
      <c r="AB1567" s="535" t="str">
        <f t="shared" si="642"/>
        <v/>
      </c>
      <c r="AC1567" s="537" t="str">
        <f t="shared" si="643"/>
        <v/>
      </c>
      <c r="AD1567" s="538" t="str">
        <f t="shared" ca="1" si="644"/>
        <v/>
      </c>
      <c r="AE1567" s="537">
        <f t="shared" ca="1" si="645"/>
        <v>0</v>
      </c>
      <c r="AF1567" s="539" t="str">
        <f t="shared" ca="1" si="655"/>
        <v/>
      </c>
      <c r="AG1567" s="531" t="str">
        <f t="shared" ca="1" si="656"/>
        <v/>
      </c>
      <c r="AH1567" s="531" t="str">
        <f t="shared" ca="1" si="657"/>
        <v/>
      </c>
      <c r="AI1567" s="531" t="str">
        <f t="shared" ca="1" si="658"/>
        <v/>
      </c>
      <c r="AJ1567" s="531" t="str">
        <f t="shared" si="659"/>
        <v/>
      </c>
      <c r="AK1567" s="540">
        <f>SUMIFS('Live Collections'!$S:$S,'Live Collections'!$D:$D,Disbursements!B1567,'Live Collections'!$G:$G,Disbursements!C1567)</f>
        <v>0</v>
      </c>
      <c r="AL1567" s="540">
        <f>SUMIFS('Live Collections'!$T:$T,'Live Collections'!$D:$D,Disbursements!B1567,'Live Collections'!$G:$G,Disbursements!C1567)</f>
        <v>0</v>
      </c>
      <c r="AM1567" s="541">
        <f t="shared" si="660"/>
        <v>0</v>
      </c>
      <c r="AN1567" s="542" t="str">
        <f t="shared" si="661"/>
        <v/>
      </c>
      <c r="AO1567" s="542" t="str">
        <f t="shared" si="662"/>
        <v/>
      </c>
      <c r="AP1567" s="543" t="str">
        <f t="shared" si="663"/>
        <v/>
      </c>
      <c r="AQ1567" s="544" t="str">
        <f t="shared" si="664"/>
        <v/>
      </c>
      <c r="AR1567" s="545">
        <f t="shared" si="665"/>
        <v>0</v>
      </c>
      <c r="AS1567" s="545">
        <f>IFERROR(CEILING($AR1567*VLOOKUP($I1567,Ref!$B$23:$E$29,4,0),1),0)</f>
        <v>0</v>
      </c>
      <c r="AT1567" s="545" t="str">
        <f>IF(A1567="","",IF(AP1567&lt;=1,"Cleared",IF(AS1567=0,"Clean",VLOOKUP($AS1567,Ref!$G$23:$H$28,2))))</f>
        <v/>
      </c>
      <c r="AU1567" s="546" t="str">
        <f t="shared" si="666"/>
        <v/>
      </c>
    </row>
    <row r="1568" spans="1:47" ht="14.25" hidden="1" customHeight="1" x14ac:dyDescent="0.15">
      <c r="A1568" s="575"/>
      <c r="B1568" s="548"/>
      <c r="C1568" s="548"/>
      <c r="D1568" s="548"/>
      <c r="E1568" s="583"/>
      <c r="F1568" s="584"/>
      <c r="G1568" s="548"/>
      <c r="H1568" s="550"/>
      <c r="I1568" s="560"/>
      <c r="J1568" s="548"/>
      <c r="K1568" s="528" t="str">
        <f>IFERROR(VLOOKUP($B1568,'Clients-Live'!$A:$C,3,0),"")</f>
        <v/>
      </c>
      <c r="L1568" s="528">
        <f>IF(E1568="STL",Pricing!$D$38,IF(A1568="",0,IF(A1568&lt;Pricing!$C$25,Pricing!$D$25,VLOOKUP(Disbursements!$F1568,Pricing!$B$29:$D$32,3))))</f>
        <v>0</v>
      </c>
      <c r="M1568" s="528">
        <f>IF(E1568="STL",0,IF(F1568&gt;0,Pricing!$D$21,0))</f>
        <v>0</v>
      </c>
      <c r="N1568" s="529">
        <f>IF(E1568="STL",F1568*Pricing!$D$40,IF(A1568&lt;=Pricing!$C$4,0,IF(AND(A1568&gt;Pricing!$C$4,Disbursements!A1568&lt;=Pricing!$C$5),F1568*Pricing!$E$5,IF(AND(A1568&gt;Pricing!$C$5,Disbursements!A1568&lt;=Pricing!$C$7),VLOOKUP(F1568,Pricing!$D$7:$E$8,2)*Disbursements!F1568,F1568*Pricing!$E$9))))</f>
        <v>0</v>
      </c>
      <c r="O1568" s="528">
        <f>IF(E1568="STL",0,IF($F1568&gt;0,$F1568*Pricing!$D$17,0))</f>
        <v>0</v>
      </c>
      <c r="P1568" s="530" t="str">
        <f t="shared" si="646"/>
        <v/>
      </c>
      <c r="Q1568" s="531" t="str">
        <f>IF($A1568="","",$G1568/VLOOKUP($I1568,Ref!$B$23:$D$29,2,0))</f>
        <v/>
      </c>
      <c r="R1568" s="530" t="str">
        <f t="shared" si="647"/>
        <v/>
      </c>
      <c r="S1568" s="532" t="str">
        <f t="shared" si="641"/>
        <v/>
      </c>
      <c r="T1568" s="531" t="str">
        <f t="shared" si="648"/>
        <v/>
      </c>
      <c r="U1568" s="533">
        <f t="shared" si="649"/>
        <v>0</v>
      </c>
      <c r="V1568" s="531" t="str">
        <f t="shared" si="650"/>
        <v/>
      </c>
      <c r="W1568" s="531" t="str">
        <f t="shared" si="651"/>
        <v/>
      </c>
      <c r="X1568" s="534" t="str">
        <f t="shared" si="652"/>
        <v/>
      </c>
      <c r="Y1568" s="535" t="str">
        <f>IF($A1568="","",IF($I1568="weekly",$A1568+7,EDATE($A1568,VLOOKUP($I1568,Ref!$B$24:$C$29,2,0))))</f>
        <v/>
      </c>
      <c r="Z1568" s="536" t="str">
        <f t="shared" si="653"/>
        <v/>
      </c>
      <c r="AA1568" s="531">
        <f t="shared" si="654"/>
        <v>0</v>
      </c>
      <c r="AB1568" s="535" t="str">
        <f t="shared" si="642"/>
        <v/>
      </c>
      <c r="AC1568" s="537" t="str">
        <f t="shared" si="643"/>
        <v/>
      </c>
      <c r="AD1568" s="538" t="str">
        <f t="shared" ca="1" si="644"/>
        <v/>
      </c>
      <c r="AE1568" s="537">
        <f t="shared" ca="1" si="645"/>
        <v>0</v>
      </c>
      <c r="AF1568" s="539" t="str">
        <f t="shared" ca="1" si="655"/>
        <v/>
      </c>
      <c r="AG1568" s="531" t="str">
        <f t="shared" ca="1" si="656"/>
        <v/>
      </c>
      <c r="AH1568" s="531" t="str">
        <f t="shared" ca="1" si="657"/>
        <v/>
      </c>
      <c r="AI1568" s="531" t="str">
        <f t="shared" ca="1" si="658"/>
        <v/>
      </c>
      <c r="AJ1568" s="531" t="str">
        <f t="shared" si="659"/>
        <v/>
      </c>
      <c r="AK1568" s="540">
        <f>SUMIFS('Live Collections'!$S:$S,'Live Collections'!$D:$D,Disbursements!B1568,'Live Collections'!$G:$G,Disbursements!C1568)</f>
        <v>0</v>
      </c>
      <c r="AL1568" s="540">
        <f>SUMIFS('Live Collections'!$T:$T,'Live Collections'!$D:$D,Disbursements!B1568,'Live Collections'!$G:$G,Disbursements!C1568)</f>
        <v>0</v>
      </c>
      <c r="AM1568" s="541">
        <f t="shared" si="660"/>
        <v>0</v>
      </c>
      <c r="AN1568" s="542" t="str">
        <f t="shared" si="661"/>
        <v/>
      </c>
      <c r="AO1568" s="542" t="str">
        <f t="shared" si="662"/>
        <v/>
      </c>
      <c r="AP1568" s="543" t="str">
        <f t="shared" si="663"/>
        <v/>
      </c>
      <c r="AQ1568" s="544" t="str">
        <f t="shared" si="664"/>
        <v/>
      </c>
      <c r="AR1568" s="545">
        <f t="shared" si="665"/>
        <v>0</v>
      </c>
      <c r="AS1568" s="545">
        <f>IFERROR(CEILING($AR1568*VLOOKUP($I1568,Ref!$B$23:$E$29,4,0),1),0)</f>
        <v>0</v>
      </c>
      <c r="AT1568" s="545" t="str">
        <f>IF(A1568="","",IF(AP1568&lt;=1,"Cleared",IF(AS1568=0,"Clean",VLOOKUP($AS1568,Ref!$G$23:$H$28,2))))</f>
        <v/>
      </c>
      <c r="AU1568" s="546" t="str">
        <f t="shared" si="666"/>
        <v/>
      </c>
    </row>
    <row r="1569" spans="1:47" ht="14.25" hidden="1" customHeight="1" x14ac:dyDescent="0.15">
      <c r="A1569" s="575"/>
      <c r="B1569" s="548"/>
      <c r="C1569" s="548"/>
      <c r="D1569" s="548"/>
      <c r="E1569" s="583"/>
      <c r="F1569" s="584"/>
      <c r="G1569" s="548"/>
      <c r="H1569" s="550"/>
      <c r="I1569" s="560"/>
      <c r="J1569" s="548"/>
      <c r="K1569" s="528" t="str">
        <f>IFERROR(VLOOKUP($B1569,'Clients-Live'!$A:$C,3,0),"")</f>
        <v/>
      </c>
      <c r="L1569" s="528">
        <f>IF(E1569="STL",Pricing!$D$38,IF(A1569="",0,IF(A1569&lt;Pricing!$C$25,Pricing!$D$25,VLOOKUP(Disbursements!$F1569,Pricing!$B$29:$D$32,3))))</f>
        <v>0</v>
      </c>
      <c r="M1569" s="528">
        <f>IF(E1569="STL",0,IF(F1569&gt;0,Pricing!$D$21,0))</f>
        <v>0</v>
      </c>
      <c r="N1569" s="529">
        <f>IF(E1569="STL",F1569*Pricing!$D$40,IF(A1569&lt;=Pricing!$C$4,0,IF(AND(A1569&gt;Pricing!$C$4,Disbursements!A1569&lt;=Pricing!$C$5),F1569*Pricing!$E$5,IF(AND(A1569&gt;Pricing!$C$5,Disbursements!A1569&lt;=Pricing!$C$7),VLOOKUP(F1569,Pricing!$D$7:$E$8,2)*Disbursements!F1569,F1569*Pricing!$E$9))))</f>
        <v>0</v>
      </c>
      <c r="O1569" s="528">
        <f>IF(E1569="STL",0,IF($F1569&gt;0,$F1569*Pricing!$D$17,0))</f>
        <v>0</v>
      </c>
      <c r="P1569" s="530" t="str">
        <f t="shared" si="646"/>
        <v/>
      </c>
      <c r="Q1569" s="531" t="str">
        <f>IF($A1569="","",$G1569/VLOOKUP($I1569,Ref!$B$23:$D$29,2,0))</f>
        <v/>
      </c>
      <c r="R1569" s="530" t="str">
        <f t="shared" si="647"/>
        <v/>
      </c>
      <c r="S1569" s="532" t="str">
        <f t="shared" si="641"/>
        <v/>
      </c>
      <c r="T1569" s="531" t="str">
        <f t="shared" si="648"/>
        <v/>
      </c>
      <c r="U1569" s="533">
        <f t="shared" si="649"/>
        <v>0</v>
      </c>
      <c r="V1569" s="531" t="str">
        <f t="shared" si="650"/>
        <v/>
      </c>
      <c r="W1569" s="531" t="str">
        <f t="shared" si="651"/>
        <v/>
      </c>
      <c r="X1569" s="534" t="str">
        <f t="shared" si="652"/>
        <v/>
      </c>
      <c r="Y1569" s="535" t="str">
        <f>IF($A1569="","",IF($I1569="weekly",$A1569+7,EDATE($A1569,VLOOKUP($I1569,Ref!$B$24:$C$29,2,0))))</f>
        <v/>
      </c>
      <c r="Z1569" s="536" t="str">
        <f t="shared" si="653"/>
        <v/>
      </c>
      <c r="AA1569" s="531">
        <f t="shared" si="654"/>
        <v>0</v>
      </c>
      <c r="AB1569" s="535" t="str">
        <f t="shared" si="642"/>
        <v/>
      </c>
      <c r="AC1569" s="537" t="str">
        <f t="shared" si="643"/>
        <v/>
      </c>
      <c r="AD1569" s="538" t="str">
        <f t="shared" ca="1" si="644"/>
        <v/>
      </c>
      <c r="AE1569" s="537">
        <f t="shared" ca="1" si="645"/>
        <v>0</v>
      </c>
      <c r="AF1569" s="539" t="str">
        <f t="shared" ca="1" si="655"/>
        <v/>
      </c>
      <c r="AG1569" s="531" t="str">
        <f t="shared" ca="1" si="656"/>
        <v/>
      </c>
      <c r="AH1569" s="531" t="str">
        <f t="shared" ca="1" si="657"/>
        <v/>
      </c>
      <c r="AI1569" s="531" t="str">
        <f t="shared" ca="1" si="658"/>
        <v/>
      </c>
      <c r="AJ1569" s="531" t="str">
        <f t="shared" si="659"/>
        <v/>
      </c>
      <c r="AK1569" s="540">
        <f>SUMIFS('Live Collections'!$S:$S,'Live Collections'!$D:$D,Disbursements!B1569,'Live Collections'!$G:$G,Disbursements!C1569)</f>
        <v>0</v>
      </c>
      <c r="AL1569" s="540">
        <f>SUMIFS('Live Collections'!$T:$T,'Live Collections'!$D:$D,Disbursements!B1569,'Live Collections'!$G:$G,Disbursements!C1569)</f>
        <v>0</v>
      </c>
      <c r="AM1569" s="541">
        <f t="shared" si="660"/>
        <v>0</v>
      </c>
      <c r="AN1569" s="542" t="str">
        <f t="shared" si="661"/>
        <v/>
      </c>
      <c r="AO1569" s="542" t="str">
        <f t="shared" si="662"/>
        <v/>
      </c>
      <c r="AP1569" s="543" t="str">
        <f t="shared" si="663"/>
        <v/>
      </c>
      <c r="AQ1569" s="544" t="str">
        <f t="shared" si="664"/>
        <v/>
      </c>
      <c r="AR1569" s="545">
        <f t="shared" si="665"/>
        <v>0</v>
      </c>
      <c r="AS1569" s="545">
        <f>IFERROR(CEILING($AR1569*VLOOKUP($I1569,Ref!$B$23:$E$29,4,0),1),0)</f>
        <v>0</v>
      </c>
      <c r="AT1569" s="545" t="str">
        <f>IF(A1569="","",IF(AP1569&lt;=1,"Cleared",IF(AS1569=0,"Clean",VLOOKUP($AS1569,Ref!$G$23:$H$28,2))))</f>
        <v/>
      </c>
      <c r="AU1569" s="546" t="str">
        <f t="shared" si="666"/>
        <v/>
      </c>
    </row>
    <row r="1570" spans="1:47" ht="14.25" hidden="1" customHeight="1" x14ac:dyDescent="0.15">
      <c r="A1570" s="575"/>
      <c r="B1570" s="548"/>
      <c r="C1570" s="548"/>
      <c r="D1570" s="548"/>
      <c r="E1570" s="583"/>
      <c r="F1570" s="584"/>
      <c r="G1570" s="548"/>
      <c r="H1570" s="550"/>
      <c r="I1570" s="560"/>
      <c r="J1570" s="548"/>
      <c r="K1570" s="528" t="str">
        <f>IFERROR(VLOOKUP($B1570,'Clients-Live'!$A:$C,3,0),"")</f>
        <v/>
      </c>
      <c r="L1570" s="528">
        <f>IF(E1570="STL",Pricing!$D$38,IF(A1570="",0,IF(A1570&lt;Pricing!$C$25,Pricing!$D$25,VLOOKUP(Disbursements!$F1570,Pricing!$B$29:$D$32,3))))</f>
        <v>0</v>
      </c>
      <c r="M1570" s="528">
        <f>IF(E1570="STL",0,IF(F1570&gt;0,Pricing!$D$21,0))</f>
        <v>0</v>
      </c>
      <c r="N1570" s="529">
        <f>IF(E1570="STL",F1570*Pricing!$D$40,IF(A1570&lt;=Pricing!$C$4,0,IF(AND(A1570&gt;Pricing!$C$4,Disbursements!A1570&lt;=Pricing!$C$5),F1570*Pricing!$E$5,IF(AND(A1570&gt;Pricing!$C$5,Disbursements!A1570&lt;=Pricing!$C$7),VLOOKUP(F1570,Pricing!$D$7:$E$8,2)*Disbursements!F1570,F1570*Pricing!$E$9))))</f>
        <v>0</v>
      </c>
      <c r="O1570" s="528">
        <f>IF(E1570="STL",0,IF($F1570&gt;0,$F1570*Pricing!$D$17,0))</f>
        <v>0</v>
      </c>
      <c r="P1570" s="530" t="str">
        <f t="shared" si="646"/>
        <v/>
      </c>
      <c r="Q1570" s="531" t="str">
        <f>IF($A1570="","",$G1570/VLOOKUP($I1570,Ref!$B$23:$D$29,2,0))</f>
        <v/>
      </c>
      <c r="R1570" s="530" t="str">
        <f t="shared" si="647"/>
        <v/>
      </c>
      <c r="S1570" s="532" t="str">
        <f t="shared" si="641"/>
        <v/>
      </c>
      <c r="T1570" s="531" t="str">
        <f t="shared" si="648"/>
        <v/>
      </c>
      <c r="U1570" s="533">
        <f t="shared" si="649"/>
        <v>0</v>
      </c>
      <c r="V1570" s="531" t="str">
        <f t="shared" si="650"/>
        <v/>
      </c>
      <c r="W1570" s="531" t="str">
        <f t="shared" si="651"/>
        <v/>
      </c>
      <c r="X1570" s="534" t="str">
        <f t="shared" si="652"/>
        <v/>
      </c>
      <c r="Y1570" s="535" t="str">
        <f>IF($A1570="","",IF($I1570="weekly",$A1570+7,EDATE($A1570,VLOOKUP($I1570,Ref!$B$24:$C$29,2,0))))</f>
        <v/>
      </c>
      <c r="Z1570" s="536" t="str">
        <f t="shared" si="653"/>
        <v/>
      </c>
      <c r="AA1570" s="531">
        <f t="shared" si="654"/>
        <v>0</v>
      </c>
      <c r="AB1570" s="535" t="str">
        <f t="shared" si="642"/>
        <v/>
      </c>
      <c r="AC1570" s="537" t="str">
        <f t="shared" si="643"/>
        <v/>
      </c>
      <c r="AD1570" s="538" t="str">
        <f t="shared" ca="1" si="644"/>
        <v/>
      </c>
      <c r="AE1570" s="537">
        <f t="shared" ca="1" si="645"/>
        <v>0</v>
      </c>
      <c r="AF1570" s="539" t="str">
        <f t="shared" ca="1" si="655"/>
        <v/>
      </c>
      <c r="AG1570" s="531" t="str">
        <f t="shared" ca="1" si="656"/>
        <v/>
      </c>
      <c r="AH1570" s="531" t="str">
        <f t="shared" ca="1" si="657"/>
        <v/>
      </c>
      <c r="AI1570" s="531" t="str">
        <f t="shared" ca="1" si="658"/>
        <v/>
      </c>
      <c r="AJ1570" s="531" t="str">
        <f t="shared" si="659"/>
        <v/>
      </c>
      <c r="AK1570" s="540">
        <f>SUMIFS('Live Collections'!$S:$S,'Live Collections'!$D:$D,Disbursements!B1570,'Live Collections'!$G:$G,Disbursements!C1570)</f>
        <v>0</v>
      </c>
      <c r="AL1570" s="540">
        <f>SUMIFS('Live Collections'!$T:$T,'Live Collections'!$D:$D,Disbursements!B1570,'Live Collections'!$G:$G,Disbursements!C1570)</f>
        <v>0</v>
      </c>
      <c r="AM1570" s="541">
        <f t="shared" si="660"/>
        <v>0</v>
      </c>
      <c r="AN1570" s="542" t="str">
        <f t="shared" si="661"/>
        <v/>
      </c>
      <c r="AO1570" s="542" t="str">
        <f t="shared" si="662"/>
        <v/>
      </c>
      <c r="AP1570" s="543" t="str">
        <f t="shared" si="663"/>
        <v/>
      </c>
      <c r="AQ1570" s="544" t="str">
        <f t="shared" si="664"/>
        <v/>
      </c>
      <c r="AR1570" s="545">
        <f t="shared" si="665"/>
        <v>0</v>
      </c>
      <c r="AS1570" s="545">
        <f>IFERROR(CEILING($AR1570*VLOOKUP($I1570,Ref!$B$23:$E$29,4,0),1),0)</f>
        <v>0</v>
      </c>
      <c r="AT1570" s="545" t="str">
        <f>IF(A1570="","",IF(AP1570&lt;=1,"Cleared",IF(AS1570=0,"Clean",VLOOKUP($AS1570,Ref!$G$23:$H$28,2))))</f>
        <v/>
      </c>
      <c r="AU1570" s="546" t="str">
        <f t="shared" si="666"/>
        <v/>
      </c>
    </row>
    <row r="1571" spans="1:47" ht="14.25" hidden="1" customHeight="1" x14ac:dyDescent="0.15">
      <c r="A1571" s="575"/>
      <c r="B1571" s="548"/>
      <c r="C1571" s="548"/>
      <c r="D1571" s="548"/>
      <c r="E1571" s="583"/>
      <c r="F1571" s="584"/>
      <c r="G1571" s="548"/>
      <c r="H1571" s="550"/>
      <c r="I1571" s="560"/>
      <c r="J1571" s="548"/>
      <c r="K1571" s="528" t="str">
        <f>IFERROR(VLOOKUP($B1571,'Clients-Live'!$A:$C,3,0),"")</f>
        <v/>
      </c>
      <c r="L1571" s="528">
        <f>IF(E1571="STL",Pricing!$D$38,IF(A1571="",0,IF(A1571&lt;Pricing!$C$25,Pricing!$D$25,VLOOKUP(Disbursements!$F1571,Pricing!$B$29:$D$32,3))))</f>
        <v>0</v>
      </c>
      <c r="M1571" s="528">
        <f>IF(E1571="STL",0,IF(F1571&gt;0,Pricing!$D$21,0))</f>
        <v>0</v>
      </c>
      <c r="N1571" s="529">
        <f>IF(E1571="STL",F1571*Pricing!$D$40,IF(A1571&lt;=Pricing!$C$4,0,IF(AND(A1571&gt;Pricing!$C$4,Disbursements!A1571&lt;=Pricing!$C$5),F1571*Pricing!$E$5,IF(AND(A1571&gt;Pricing!$C$5,Disbursements!A1571&lt;=Pricing!$C$7),VLOOKUP(F1571,Pricing!$D$7:$E$8,2)*Disbursements!F1571,F1571*Pricing!$E$9))))</f>
        <v>0</v>
      </c>
      <c r="O1571" s="528">
        <f>IF(E1571="STL",0,IF($F1571&gt;0,$F1571*Pricing!$D$17,0))</f>
        <v>0</v>
      </c>
      <c r="P1571" s="530" t="str">
        <f t="shared" si="646"/>
        <v/>
      </c>
      <c r="Q1571" s="531" t="str">
        <f>IF($A1571="","",$G1571/VLOOKUP($I1571,Ref!$B$23:$D$29,2,0))</f>
        <v/>
      </c>
      <c r="R1571" s="530" t="str">
        <f t="shared" si="647"/>
        <v/>
      </c>
      <c r="S1571" s="532" t="str">
        <f t="shared" si="641"/>
        <v/>
      </c>
      <c r="T1571" s="531" t="str">
        <f t="shared" si="648"/>
        <v/>
      </c>
      <c r="U1571" s="533">
        <f t="shared" si="649"/>
        <v>0</v>
      </c>
      <c r="V1571" s="531" t="str">
        <f t="shared" si="650"/>
        <v/>
      </c>
      <c r="W1571" s="531" t="str">
        <f t="shared" si="651"/>
        <v/>
      </c>
      <c r="X1571" s="534" t="str">
        <f t="shared" si="652"/>
        <v/>
      </c>
      <c r="Y1571" s="535" t="str">
        <f>IF($A1571="","",IF($I1571="weekly",$A1571+7,EDATE($A1571,VLOOKUP($I1571,Ref!$B$24:$C$29,2,0))))</f>
        <v/>
      </c>
      <c r="Z1571" s="536" t="str">
        <f t="shared" si="653"/>
        <v/>
      </c>
      <c r="AA1571" s="531">
        <f t="shared" si="654"/>
        <v>0</v>
      </c>
      <c r="AB1571" s="535" t="str">
        <f t="shared" si="642"/>
        <v/>
      </c>
      <c r="AC1571" s="537" t="str">
        <f t="shared" si="643"/>
        <v/>
      </c>
      <c r="AD1571" s="538" t="str">
        <f t="shared" ca="1" si="644"/>
        <v/>
      </c>
      <c r="AE1571" s="537">
        <f t="shared" ca="1" si="645"/>
        <v>0</v>
      </c>
      <c r="AF1571" s="539" t="str">
        <f t="shared" ca="1" si="655"/>
        <v/>
      </c>
      <c r="AG1571" s="531" t="str">
        <f t="shared" ca="1" si="656"/>
        <v/>
      </c>
      <c r="AH1571" s="531" t="str">
        <f t="shared" ca="1" si="657"/>
        <v/>
      </c>
      <c r="AI1571" s="531" t="str">
        <f t="shared" ca="1" si="658"/>
        <v/>
      </c>
      <c r="AJ1571" s="531" t="str">
        <f t="shared" si="659"/>
        <v/>
      </c>
      <c r="AK1571" s="540">
        <f>SUMIFS('Live Collections'!$S:$S,'Live Collections'!$D:$D,Disbursements!B1571,'Live Collections'!$G:$G,Disbursements!C1571)</f>
        <v>0</v>
      </c>
      <c r="AL1571" s="540">
        <f>SUMIFS('Live Collections'!$T:$T,'Live Collections'!$D:$D,Disbursements!B1571,'Live Collections'!$G:$G,Disbursements!C1571)</f>
        <v>0</v>
      </c>
      <c r="AM1571" s="541">
        <f t="shared" si="660"/>
        <v>0</v>
      </c>
      <c r="AN1571" s="542" t="str">
        <f t="shared" si="661"/>
        <v/>
      </c>
      <c r="AO1571" s="542" t="str">
        <f t="shared" si="662"/>
        <v/>
      </c>
      <c r="AP1571" s="543" t="str">
        <f t="shared" si="663"/>
        <v/>
      </c>
      <c r="AQ1571" s="544" t="str">
        <f t="shared" si="664"/>
        <v/>
      </c>
      <c r="AR1571" s="545">
        <f t="shared" si="665"/>
        <v>0</v>
      </c>
      <c r="AS1571" s="545">
        <f>IFERROR(CEILING($AR1571*VLOOKUP($I1571,Ref!$B$23:$E$29,4,0),1),0)</f>
        <v>0</v>
      </c>
      <c r="AT1571" s="545" t="str">
        <f>IF(A1571="","",IF(AP1571&lt;=1,"Cleared",IF(AS1571=0,"Clean",VLOOKUP($AS1571,Ref!$G$23:$H$28,2))))</f>
        <v/>
      </c>
      <c r="AU1571" s="546" t="str">
        <f t="shared" si="666"/>
        <v/>
      </c>
    </row>
    <row r="1572" spans="1:47" ht="14.25" hidden="1" customHeight="1" x14ac:dyDescent="0.15">
      <c r="A1572" s="575"/>
      <c r="B1572" s="548"/>
      <c r="C1572" s="548"/>
      <c r="D1572" s="548"/>
      <c r="E1572" s="583"/>
      <c r="F1572" s="584"/>
      <c r="G1572" s="548"/>
      <c r="H1572" s="550"/>
      <c r="I1572" s="560"/>
      <c r="J1572" s="548"/>
      <c r="K1572" s="528" t="str">
        <f>IFERROR(VLOOKUP($B1572,'Clients-Live'!$A:$C,3,0),"")</f>
        <v/>
      </c>
      <c r="L1572" s="528">
        <f>IF(E1572="STL",Pricing!$D$38,IF(A1572="",0,IF(A1572&lt;Pricing!$C$25,Pricing!$D$25,VLOOKUP(Disbursements!$F1572,Pricing!$B$29:$D$32,3))))</f>
        <v>0</v>
      </c>
      <c r="M1572" s="528">
        <f>IF(E1572="STL",0,IF(F1572&gt;0,Pricing!$D$21,0))</f>
        <v>0</v>
      </c>
      <c r="N1572" s="529">
        <f>IF(E1572="STL",F1572*Pricing!$D$40,IF(A1572&lt;=Pricing!$C$4,0,IF(AND(A1572&gt;Pricing!$C$4,Disbursements!A1572&lt;=Pricing!$C$5),F1572*Pricing!$E$5,IF(AND(A1572&gt;Pricing!$C$5,Disbursements!A1572&lt;=Pricing!$C$7),VLOOKUP(F1572,Pricing!$D$7:$E$8,2)*Disbursements!F1572,F1572*Pricing!$E$9))))</f>
        <v>0</v>
      </c>
      <c r="O1572" s="528">
        <f>IF(E1572="STL",0,IF($F1572&gt;0,$F1572*Pricing!$D$17,0))</f>
        <v>0</v>
      </c>
      <c r="P1572" s="530" t="str">
        <f t="shared" si="646"/>
        <v/>
      </c>
      <c r="Q1572" s="531" t="str">
        <f>IF($A1572="","",$G1572/VLOOKUP($I1572,Ref!$B$23:$D$29,2,0))</f>
        <v/>
      </c>
      <c r="R1572" s="530" t="str">
        <f t="shared" si="647"/>
        <v/>
      </c>
      <c r="S1572" s="532" t="str">
        <f t="shared" si="641"/>
        <v/>
      </c>
      <c r="T1572" s="531" t="str">
        <f t="shared" si="648"/>
        <v/>
      </c>
      <c r="U1572" s="533">
        <f t="shared" si="649"/>
        <v>0</v>
      </c>
      <c r="V1572" s="531" t="str">
        <f t="shared" si="650"/>
        <v/>
      </c>
      <c r="W1572" s="531" t="str">
        <f t="shared" si="651"/>
        <v/>
      </c>
      <c r="X1572" s="534" t="str">
        <f t="shared" si="652"/>
        <v/>
      </c>
      <c r="Y1572" s="535" t="str">
        <f>IF($A1572="","",IF($I1572="weekly",$A1572+7,EDATE($A1572,VLOOKUP($I1572,Ref!$B$24:$C$29,2,0))))</f>
        <v/>
      </c>
      <c r="Z1572" s="536" t="str">
        <f t="shared" si="653"/>
        <v/>
      </c>
      <c r="AA1572" s="531">
        <f t="shared" si="654"/>
        <v>0</v>
      </c>
      <c r="AB1572" s="535" t="str">
        <f t="shared" si="642"/>
        <v/>
      </c>
      <c r="AC1572" s="537" t="str">
        <f t="shared" si="643"/>
        <v/>
      </c>
      <c r="AD1572" s="538" t="str">
        <f t="shared" ca="1" si="644"/>
        <v/>
      </c>
      <c r="AE1572" s="537">
        <f t="shared" ca="1" si="645"/>
        <v>0</v>
      </c>
      <c r="AF1572" s="539" t="str">
        <f t="shared" ca="1" si="655"/>
        <v/>
      </c>
      <c r="AG1572" s="531" t="str">
        <f t="shared" ca="1" si="656"/>
        <v/>
      </c>
      <c r="AH1572" s="531" t="str">
        <f t="shared" ca="1" si="657"/>
        <v/>
      </c>
      <c r="AI1572" s="531" t="str">
        <f t="shared" ca="1" si="658"/>
        <v/>
      </c>
      <c r="AJ1572" s="531" t="str">
        <f t="shared" si="659"/>
        <v/>
      </c>
      <c r="AK1572" s="540">
        <f>SUMIFS('Live Collections'!$S:$S,'Live Collections'!$D:$D,Disbursements!B1572,'Live Collections'!$G:$G,Disbursements!C1572)</f>
        <v>0</v>
      </c>
      <c r="AL1572" s="540">
        <f>SUMIFS('Live Collections'!$T:$T,'Live Collections'!$D:$D,Disbursements!B1572,'Live Collections'!$G:$G,Disbursements!C1572)</f>
        <v>0</v>
      </c>
      <c r="AM1572" s="541">
        <f t="shared" si="660"/>
        <v>0</v>
      </c>
      <c r="AN1572" s="542" t="str">
        <f t="shared" si="661"/>
        <v/>
      </c>
      <c r="AO1572" s="542" t="str">
        <f t="shared" si="662"/>
        <v/>
      </c>
      <c r="AP1572" s="543" t="str">
        <f t="shared" si="663"/>
        <v/>
      </c>
      <c r="AQ1572" s="544" t="str">
        <f t="shared" si="664"/>
        <v/>
      </c>
      <c r="AR1572" s="545">
        <f t="shared" si="665"/>
        <v>0</v>
      </c>
      <c r="AS1572" s="545">
        <f>IFERROR(CEILING($AR1572*VLOOKUP($I1572,Ref!$B$23:$E$29,4,0),1),0)</f>
        <v>0</v>
      </c>
      <c r="AT1572" s="545" t="str">
        <f>IF(A1572="","",IF(AP1572&lt;=1,"Cleared",IF(AS1572=0,"Clean",VLOOKUP($AS1572,Ref!$G$23:$H$28,2))))</f>
        <v/>
      </c>
      <c r="AU1572" s="546" t="str">
        <f t="shared" si="666"/>
        <v/>
      </c>
    </row>
    <row r="1573" spans="1:47" ht="14.25" hidden="1" customHeight="1" x14ac:dyDescent="0.15">
      <c r="A1573" s="575"/>
      <c r="B1573" s="548"/>
      <c r="C1573" s="548"/>
      <c r="D1573" s="548"/>
      <c r="E1573" s="583"/>
      <c r="F1573" s="584"/>
      <c r="G1573" s="548"/>
      <c r="H1573" s="550"/>
      <c r="I1573" s="560"/>
      <c r="J1573" s="548"/>
      <c r="K1573" s="528" t="str">
        <f>IFERROR(VLOOKUP($B1573,'Clients-Live'!$A:$C,3,0),"")</f>
        <v/>
      </c>
      <c r="L1573" s="528">
        <f>IF(E1573="STL",Pricing!$D$38,IF(A1573="",0,IF(A1573&lt;Pricing!$C$25,Pricing!$D$25,VLOOKUP(Disbursements!$F1573,Pricing!$B$29:$D$32,3))))</f>
        <v>0</v>
      </c>
      <c r="M1573" s="528">
        <f>IF(E1573="STL",0,IF(F1573&gt;0,Pricing!$D$21,0))</f>
        <v>0</v>
      </c>
      <c r="N1573" s="529">
        <f>IF(E1573="STL",F1573*Pricing!$D$40,IF(A1573&lt;=Pricing!$C$4,0,IF(AND(A1573&gt;Pricing!$C$4,Disbursements!A1573&lt;=Pricing!$C$5),F1573*Pricing!$E$5,IF(AND(A1573&gt;Pricing!$C$5,Disbursements!A1573&lt;=Pricing!$C$7),VLOOKUP(F1573,Pricing!$D$7:$E$8,2)*Disbursements!F1573,F1573*Pricing!$E$9))))</f>
        <v>0</v>
      </c>
      <c r="O1573" s="528">
        <f>IF(E1573="STL",0,IF($F1573&gt;0,$F1573*Pricing!$D$17,0))</f>
        <v>0</v>
      </c>
      <c r="P1573" s="530" t="str">
        <f t="shared" si="646"/>
        <v/>
      </c>
      <c r="Q1573" s="531" t="str">
        <f>IF($A1573="","",$G1573/VLOOKUP($I1573,Ref!$B$23:$D$29,2,0))</f>
        <v/>
      </c>
      <c r="R1573" s="530" t="str">
        <f t="shared" si="647"/>
        <v/>
      </c>
      <c r="S1573" s="532" t="str">
        <f t="shared" si="641"/>
        <v/>
      </c>
      <c r="T1573" s="531" t="str">
        <f t="shared" si="648"/>
        <v/>
      </c>
      <c r="U1573" s="533">
        <f t="shared" si="649"/>
        <v>0</v>
      </c>
      <c r="V1573" s="531" t="str">
        <f t="shared" si="650"/>
        <v/>
      </c>
      <c r="W1573" s="531" t="str">
        <f t="shared" si="651"/>
        <v/>
      </c>
      <c r="X1573" s="534" t="str">
        <f t="shared" si="652"/>
        <v/>
      </c>
      <c r="Y1573" s="535" t="str">
        <f>IF($A1573="","",IF($I1573="weekly",$A1573+7,EDATE($A1573,VLOOKUP($I1573,Ref!$B$24:$C$29,2,0))))</f>
        <v/>
      </c>
      <c r="Z1573" s="536" t="str">
        <f t="shared" si="653"/>
        <v/>
      </c>
      <c r="AA1573" s="531">
        <f t="shared" si="654"/>
        <v>0</v>
      </c>
      <c r="AB1573" s="535" t="str">
        <f t="shared" si="642"/>
        <v/>
      </c>
      <c r="AC1573" s="537" t="str">
        <f t="shared" si="643"/>
        <v/>
      </c>
      <c r="AD1573" s="538" t="str">
        <f t="shared" ca="1" si="644"/>
        <v/>
      </c>
      <c r="AE1573" s="537">
        <f t="shared" ca="1" si="645"/>
        <v>0</v>
      </c>
      <c r="AF1573" s="539" t="str">
        <f t="shared" ca="1" si="655"/>
        <v/>
      </c>
      <c r="AG1573" s="531" t="str">
        <f t="shared" ca="1" si="656"/>
        <v/>
      </c>
      <c r="AH1573" s="531" t="str">
        <f t="shared" ca="1" si="657"/>
        <v/>
      </c>
      <c r="AI1573" s="531" t="str">
        <f t="shared" ca="1" si="658"/>
        <v/>
      </c>
      <c r="AJ1573" s="531" t="str">
        <f t="shared" si="659"/>
        <v/>
      </c>
      <c r="AK1573" s="540">
        <f>SUMIFS('Live Collections'!$S:$S,'Live Collections'!$D:$D,Disbursements!B1573,'Live Collections'!$G:$G,Disbursements!C1573)</f>
        <v>0</v>
      </c>
      <c r="AL1573" s="540">
        <f>SUMIFS('Live Collections'!$T:$T,'Live Collections'!$D:$D,Disbursements!B1573,'Live Collections'!$G:$G,Disbursements!C1573)</f>
        <v>0</v>
      </c>
      <c r="AM1573" s="541">
        <f t="shared" si="660"/>
        <v>0</v>
      </c>
      <c r="AN1573" s="542" t="str">
        <f t="shared" si="661"/>
        <v/>
      </c>
      <c r="AO1573" s="542" t="str">
        <f t="shared" si="662"/>
        <v/>
      </c>
      <c r="AP1573" s="543" t="str">
        <f t="shared" si="663"/>
        <v/>
      </c>
      <c r="AQ1573" s="544" t="str">
        <f t="shared" si="664"/>
        <v/>
      </c>
      <c r="AR1573" s="545">
        <f t="shared" si="665"/>
        <v>0</v>
      </c>
      <c r="AS1573" s="545">
        <f>IFERROR(CEILING($AR1573*VLOOKUP($I1573,Ref!$B$23:$E$29,4,0),1),0)</f>
        <v>0</v>
      </c>
      <c r="AT1573" s="545" t="str">
        <f>IF(A1573="","",IF(AP1573&lt;=1,"Cleared",IF(AS1573=0,"Clean",VLOOKUP($AS1573,Ref!$G$23:$H$28,2))))</f>
        <v/>
      </c>
      <c r="AU1573" s="546" t="str">
        <f t="shared" si="666"/>
        <v/>
      </c>
    </row>
    <row r="1574" spans="1:47" ht="14.25" hidden="1" customHeight="1" x14ac:dyDescent="0.15">
      <c r="A1574" s="575"/>
      <c r="B1574" s="548"/>
      <c r="C1574" s="548"/>
      <c r="D1574" s="548"/>
      <c r="E1574" s="583"/>
      <c r="F1574" s="584"/>
      <c r="G1574" s="548"/>
      <c r="H1574" s="550"/>
      <c r="I1574" s="560"/>
      <c r="J1574" s="548"/>
      <c r="K1574" s="528" t="str">
        <f>IFERROR(VLOOKUP($B1574,'Clients-Live'!$A:$C,3,0),"")</f>
        <v/>
      </c>
      <c r="L1574" s="528">
        <f>IF(E1574="STL",Pricing!$D$38,IF(A1574="",0,IF(A1574&lt;Pricing!$C$25,Pricing!$D$25,VLOOKUP(Disbursements!$F1574,Pricing!$B$29:$D$32,3))))</f>
        <v>0</v>
      </c>
      <c r="M1574" s="528">
        <f>IF(E1574="STL",0,IF(F1574&gt;0,Pricing!$D$21,0))</f>
        <v>0</v>
      </c>
      <c r="N1574" s="529">
        <f>IF(E1574="STL",F1574*Pricing!$D$40,IF(A1574&lt;=Pricing!$C$4,0,IF(AND(A1574&gt;Pricing!$C$4,Disbursements!A1574&lt;=Pricing!$C$5),F1574*Pricing!$E$5,IF(AND(A1574&gt;Pricing!$C$5,Disbursements!A1574&lt;=Pricing!$C$7),VLOOKUP(F1574,Pricing!$D$7:$E$8,2)*Disbursements!F1574,F1574*Pricing!$E$9))))</f>
        <v>0</v>
      </c>
      <c r="O1574" s="528">
        <f>IF(E1574="STL",0,IF($F1574&gt;0,$F1574*Pricing!$D$17,0))</f>
        <v>0</v>
      </c>
      <c r="P1574" s="530" t="str">
        <f t="shared" si="646"/>
        <v/>
      </c>
      <c r="Q1574" s="531" t="str">
        <f>IF($A1574="","",$G1574/VLOOKUP($I1574,Ref!$B$23:$D$29,2,0))</f>
        <v/>
      </c>
      <c r="R1574" s="530" t="str">
        <f t="shared" si="647"/>
        <v/>
      </c>
      <c r="S1574" s="532" t="str">
        <f t="shared" si="641"/>
        <v/>
      </c>
      <c r="T1574" s="531" t="str">
        <f t="shared" si="648"/>
        <v/>
      </c>
      <c r="U1574" s="533">
        <f t="shared" si="649"/>
        <v>0</v>
      </c>
      <c r="V1574" s="531" t="str">
        <f t="shared" si="650"/>
        <v/>
      </c>
      <c r="W1574" s="531" t="str">
        <f t="shared" si="651"/>
        <v/>
      </c>
      <c r="X1574" s="534" t="str">
        <f t="shared" si="652"/>
        <v/>
      </c>
      <c r="Y1574" s="535" t="str">
        <f>IF($A1574="","",IF($I1574="weekly",$A1574+7,EDATE($A1574,VLOOKUP($I1574,Ref!$B$24:$C$29,2,0))))</f>
        <v/>
      </c>
      <c r="Z1574" s="536" t="str">
        <f t="shared" si="653"/>
        <v/>
      </c>
      <c r="AA1574" s="531">
        <f t="shared" si="654"/>
        <v>0</v>
      </c>
      <c r="AB1574" s="535" t="str">
        <f t="shared" si="642"/>
        <v/>
      </c>
      <c r="AC1574" s="537" t="str">
        <f t="shared" si="643"/>
        <v/>
      </c>
      <c r="AD1574" s="538" t="str">
        <f t="shared" ca="1" si="644"/>
        <v/>
      </c>
      <c r="AE1574" s="537">
        <f t="shared" ca="1" si="645"/>
        <v>0</v>
      </c>
      <c r="AF1574" s="539" t="str">
        <f t="shared" ca="1" si="655"/>
        <v/>
      </c>
      <c r="AG1574" s="531" t="str">
        <f t="shared" ca="1" si="656"/>
        <v/>
      </c>
      <c r="AH1574" s="531" t="str">
        <f t="shared" ca="1" si="657"/>
        <v/>
      </c>
      <c r="AI1574" s="531" t="str">
        <f t="shared" ca="1" si="658"/>
        <v/>
      </c>
      <c r="AJ1574" s="531" t="str">
        <f t="shared" si="659"/>
        <v/>
      </c>
      <c r="AK1574" s="540">
        <f>SUMIFS('Live Collections'!$S:$S,'Live Collections'!$D:$D,Disbursements!B1574,'Live Collections'!$G:$G,Disbursements!C1574)</f>
        <v>0</v>
      </c>
      <c r="AL1574" s="540">
        <f>SUMIFS('Live Collections'!$T:$T,'Live Collections'!$D:$D,Disbursements!B1574,'Live Collections'!$G:$G,Disbursements!C1574)</f>
        <v>0</v>
      </c>
      <c r="AM1574" s="541">
        <f t="shared" si="660"/>
        <v>0</v>
      </c>
      <c r="AN1574" s="542" t="str">
        <f t="shared" si="661"/>
        <v/>
      </c>
      <c r="AO1574" s="542" t="str">
        <f t="shared" si="662"/>
        <v/>
      </c>
      <c r="AP1574" s="543" t="str">
        <f t="shared" si="663"/>
        <v/>
      </c>
      <c r="AQ1574" s="544" t="str">
        <f t="shared" si="664"/>
        <v/>
      </c>
      <c r="AR1574" s="545">
        <f t="shared" si="665"/>
        <v>0</v>
      </c>
      <c r="AS1574" s="545">
        <f>IFERROR(CEILING($AR1574*VLOOKUP($I1574,Ref!$B$23:$E$29,4,0),1),0)</f>
        <v>0</v>
      </c>
      <c r="AT1574" s="545" t="str">
        <f>IF(A1574="","",IF(AP1574&lt;=1,"Cleared",IF(AS1574=0,"Clean",VLOOKUP($AS1574,Ref!$G$23:$H$28,2))))</f>
        <v/>
      </c>
      <c r="AU1574" s="546" t="str">
        <f t="shared" si="666"/>
        <v/>
      </c>
    </row>
    <row r="1575" spans="1:47" ht="14.25" hidden="1" customHeight="1" x14ac:dyDescent="0.15">
      <c r="A1575" s="575"/>
      <c r="B1575" s="548"/>
      <c r="C1575" s="548"/>
      <c r="D1575" s="548"/>
      <c r="E1575" s="583"/>
      <c r="F1575" s="584"/>
      <c r="G1575" s="548"/>
      <c r="H1575" s="550"/>
      <c r="I1575" s="560"/>
      <c r="J1575" s="548"/>
      <c r="K1575" s="528" t="str">
        <f>IFERROR(VLOOKUP($B1575,'Clients-Live'!$A:$C,3,0),"")</f>
        <v/>
      </c>
      <c r="L1575" s="528">
        <f>IF(E1575="STL",Pricing!$D$38,IF(A1575="",0,IF(A1575&lt;Pricing!$C$25,Pricing!$D$25,VLOOKUP(Disbursements!$F1575,Pricing!$B$29:$D$32,3))))</f>
        <v>0</v>
      </c>
      <c r="M1575" s="528">
        <f>IF(E1575="STL",0,IF(F1575&gt;0,Pricing!$D$21,0))</f>
        <v>0</v>
      </c>
      <c r="N1575" s="529">
        <f>IF(E1575="STL",F1575*Pricing!$D$40,IF(A1575&lt;=Pricing!$C$4,0,IF(AND(A1575&gt;Pricing!$C$4,Disbursements!A1575&lt;=Pricing!$C$5),F1575*Pricing!$E$5,IF(AND(A1575&gt;Pricing!$C$5,Disbursements!A1575&lt;=Pricing!$C$7),VLOOKUP(F1575,Pricing!$D$7:$E$8,2)*Disbursements!F1575,F1575*Pricing!$E$9))))</f>
        <v>0</v>
      </c>
      <c r="O1575" s="528">
        <f>IF(E1575="STL",0,IF($F1575&gt;0,$F1575*Pricing!$D$17,0))</f>
        <v>0</v>
      </c>
      <c r="P1575" s="530" t="str">
        <f t="shared" si="646"/>
        <v/>
      </c>
      <c r="Q1575" s="531" t="str">
        <f>IF($A1575="","",$G1575/VLOOKUP($I1575,Ref!$B$23:$D$29,2,0))</f>
        <v/>
      </c>
      <c r="R1575" s="530" t="str">
        <f t="shared" si="647"/>
        <v/>
      </c>
      <c r="S1575" s="532" t="str">
        <f t="shared" si="641"/>
        <v/>
      </c>
      <c r="T1575" s="531" t="str">
        <f t="shared" si="648"/>
        <v/>
      </c>
      <c r="U1575" s="533">
        <f t="shared" si="649"/>
        <v>0</v>
      </c>
      <c r="V1575" s="531" t="str">
        <f t="shared" si="650"/>
        <v/>
      </c>
      <c r="W1575" s="531" t="str">
        <f t="shared" si="651"/>
        <v/>
      </c>
      <c r="X1575" s="534" t="str">
        <f t="shared" si="652"/>
        <v/>
      </c>
      <c r="Y1575" s="535" t="str">
        <f>IF($A1575="","",IF($I1575="weekly",$A1575+7,EDATE($A1575,VLOOKUP($I1575,Ref!$B$24:$C$29,2,0))))</f>
        <v/>
      </c>
      <c r="Z1575" s="536" t="str">
        <f t="shared" si="653"/>
        <v/>
      </c>
      <c r="AA1575" s="531">
        <f t="shared" si="654"/>
        <v>0</v>
      </c>
      <c r="AB1575" s="535" t="str">
        <f t="shared" si="642"/>
        <v/>
      </c>
      <c r="AC1575" s="537" t="str">
        <f t="shared" si="643"/>
        <v/>
      </c>
      <c r="AD1575" s="538" t="str">
        <f t="shared" ca="1" si="644"/>
        <v/>
      </c>
      <c r="AE1575" s="537">
        <f t="shared" ca="1" si="645"/>
        <v>0</v>
      </c>
      <c r="AF1575" s="539" t="str">
        <f t="shared" ca="1" si="655"/>
        <v/>
      </c>
      <c r="AG1575" s="531" t="str">
        <f t="shared" ca="1" si="656"/>
        <v/>
      </c>
      <c r="AH1575" s="531" t="str">
        <f t="shared" ca="1" si="657"/>
        <v/>
      </c>
      <c r="AI1575" s="531" t="str">
        <f t="shared" ca="1" si="658"/>
        <v/>
      </c>
      <c r="AJ1575" s="531" t="str">
        <f t="shared" si="659"/>
        <v/>
      </c>
      <c r="AK1575" s="540">
        <f>SUMIFS('Live Collections'!$S:$S,'Live Collections'!$D:$D,Disbursements!B1575,'Live Collections'!$G:$G,Disbursements!C1575)</f>
        <v>0</v>
      </c>
      <c r="AL1575" s="540">
        <f>SUMIFS('Live Collections'!$T:$T,'Live Collections'!$D:$D,Disbursements!B1575,'Live Collections'!$G:$G,Disbursements!C1575)</f>
        <v>0</v>
      </c>
      <c r="AM1575" s="541">
        <f t="shared" si="660"/>
        <v>0</v>
      </c>
      <c r="AN1575" s="542" t="str">
        <f t="shared" si="661"/>
        <v/>
      </c>
      <c r="AO1575" s="542" t="str">
        <f t="shared" si="662"/>
        <v/>
      </c>
      <c r="AP1575" s="543" t="str">
        <f t="shared" si="663"/>
        <v/>
      </c>
      <c r="AQ1575" s="544" t="str">
        <f t="shared" si="664"/>
        <v/>
      </c>
      <c r="AR1575" s="545">
        <f t="shared" si="665"/>
        <v>0</v>
      </c>
      <c r="AS1575" s="545">
        <f>IFERROR(CEILING($AR1575*VLOOKUP($I1575,Ref!$B$23:$E$29,4,0),1),0)</f>
        <v>0</v>
      </c>
      <c r="AT1575" s="545" t="str">
        <f>IF(A1575="","",IF(AP1575&lt;=1,"Cleared",IF(AS1575=0,"Clean",VLOOKUP($AS1575,Ref!$G$23:$H$28,2))))</f>
        <v/>
      </c>
      <c r="AU1575" s="546" t="str">
        <f t="shared" si="666"/>
        <v/>
      </c>
    </row>
    <row r="1576" spans="1:47" ht="14.25" hidden="1" customHeight="1" x14ac:dyDescent="0.15">
      <c r="A1576" s="575"/>
      <c r="B1576" s="548"/>
      <c r="C1576" s="548"/>
      <c r="D1576" s="548"/>
      <c r="E1576" s="583"/>
      <c r="F1576" s="584"/>
      <c r="G1576" s="548"/>
      <c r="H1576" s="550"/>
      <c r="I1576" s="560"/>
      <c r="J1576" s="548"/>
      <c r="K1576" s="528" t="str">
        <f>IFERROR(VLOOKUP($B1576,'Clients-Live'!$A:$C,3,0),"")</f>
        <v/>
      </c>
      <c r="L1576" s="528">
        <f>IF(E1576="STL",Pricing!$D$38,IF(A1576="",0,IF(A1576&lt;Pricing!$C$25,Pricing!$D$25,VLOOKUP(Disbursements!$F1576,Pricing!$B$29:$D$32,3))))</f>
        <v>0</v>
      </c>
      <c r="M1576" s="528">
        <f>IF(E1576="STL",0,IF(F1576&gt;0,Pricing!$D$21,0))</f>
        <v>0</v>
      </c>
      <c r="N1576" s="529">
        <f>IF(E1576="STL",F1576*Pricing!$D$40,IF(A1576&lt;=Pricing!$C$4,0,IF(AND(A1576&gt;Pricing!$C$4,Disbursements!A1576&lt;=Pricing!$C$5),F1576*Pricing!$E$5,IF(AND(A1576&gt;Pricing!$C$5,Disbursements!A1576&lt;=Pricing!$C$7),VLOOKUP(F1576,Pricing!$D$7:$E$8,2)*Disbursements!F1576,F1576*Pricing!$E$9))))</f>
        <v>0</v>
      </c>
      <c r="O1576" s="528">
        <f>IF(E1576="STL",0,IF($F1576&gt;0,$F1576*Pricing!$D$17,0))</f>
        <v>0</v>
      </c>
      <c r="P1576" s="530" t="str">
        <f t="shared" si="646"/>
        <v/>
      </c>
      <c r="Q1576" s="531" t="str">
        <f>IF($A1576="","",$G1576/VLOOKUP($I1576,Ref!$B$23:$D$29,2,0))</f>
        <v/>
      </c>
      <c r="R1576" s="530" t="str">
        <f t="shared" si="647"/>
        <v/>
      </c>
      <c r="S1576" s="532" t="str">
        <f t="shared" si="641"/>
        <v/>
      </c>
      <c r="T1576" s="531" t="str">
        <f t="shared" si="648"/>
        <v/>
      </c>
      <c r="U1576" s="533">
        <f t="shared" si="649"/>
        <v>0</v>
      </c>
      <c r="V1576" s="531" t="str">
        <f t="shared" si="650"/>
        <v/>
      </c>
      <c r="W1576" s="531" t="str">
        <f t="shared" si="651"/>
        <v/>
      </c>
      <c r="X1576" s="534" t="str">
        <f t="shared" si="652"/>
        <v/>
      </c>
      <c r="Y1576" s="535" t="str">
        <f>IF($A1576="","",IF($I1576="weekly",$A1576+7,EDATE($A1576,VLOOKUP($I1576,Ref!$B$24:$C$29,2,0))))</f>
        <v/>
      </c>
      <c r="Z1576" s="536" t="str">
        <f t="shared" si="653"/>
        <v/>
      </c>
      <c r="AA1576" s="531">
        <f t="shared" si="654"/>
        <v>0</v>
      </c>
      <c r="AB1576" s="535" t="str">
        <f t="shared" si="642"/>
        <v/>
      </c>
      <c r="AC1576" s="537" t="str">
        <f t="shared" si="643"/>
        <v/>
      </c>
      <c r="AD1576" s="538" t="str">
        <f t="shared" ca="1" si="644"/>
        <v/>
      </c>
      <c r="AE1576" s="537">
        <f t="shared" ca="1" si="645"/>
        <v>0</v>
      </c>
      <c r="AF1576" s="539" t="str">
        <f t="shared" ca="1" si="655"/>
        <v/>
      </c>
      <c r="AG1576" s="531" t="str">
        <f t="shared" ca="1" si="656"/>
        <v/>
      </c>
      <c r="AH1576" s="531" t="str">
        <f t="shared" ca="1" si="657"/>
        <v/>
      </c>
      <c r="AI1576" s="531" t="str">
        <f t="shared" ca="1" si="658"/>
        <v/>
      </c>
      <c r="AJ1576" s="531" t="str">
        <f t="shared" si="659"/>
        <v/>
      </c>
      <c r="AK1576" s="540">
        <f>SUMIFS('Live Collections'!$S:$S,'Live Collections'!$D:$D,Disbursements!B1576,'Live Collections'!$G:$G,Disbursements!C1576)</f>
        <v>0</v>
      </c>
      <c r="AL1576" s="540">
        <f>SUMIFS('Live Collections'!$T:$T,'Live Collections'!$D:$D,Disbursements!B1576,'Live Collections'!$G:$G,Disbursements!C1576)</f>
        <v>0</v>
      </c>
      <c r="AM1576" s="541">
        <f t="shared" si="660"/>
        <v>0</v>
      </c>
      <c r="AN1576" s="542" t="str">
        <f t="shared" si="661"/>
        <v/>
      </c>
      <c r="AO1576" s="542" t="str">
        <f t="shared" si="662"/>
        <v/>
      </c>
      <c r="AP1576" s="543" t="str">
        <f t="shared" si="663"/>
        <v/>
      </c>
      <c r="AQ1576" s="544" t="str">
        <f t="shared" si="664"/>
        <v/>
      </c>
      <c r="AR1576" s="545">
        <f t="shared" si="665"/>
        <v>0</v>
      </c>
      <c r="AS1576" s="545">
        <f>IFERROR(CEILING($AR1576*VLOOKUP($I1576,Ref!$B$23:$E$29,4,0),1),0)</f>
        <v>0</v>
      </c>
      <c r="AT1576" s="545" t="str">
        <f>IF(A1576="","",IF(AP1576&lt;=1,"Cleared",IF(AS1576=0,"Clean",VLOOKUP($AS1576,Ref!$G$23:$H$28,2))))</f>
        <v/>
      </c>
      <c r="AU1576" s="546" t="str">
        <f t="shared" si="666"/>
        <v/>
      </c>
    </row>
    <row r="1577" spans="1:47" ht="14.25" hidden="1" customHeight="1" x14ac:dyDescent="0.15">
      <c r="A1577" s="575"/>
      <c r="B1577" s="548"/>
      <c r="C1577" s="548"/>
      <c r="D1577" s="548"/>
      <c r="E1577" s="583"/>
      <c r="F1577" s="584"/>
      <c r="G1577" s="548"/>
      <c r="H1577" s="550"/>
      <c r="I1577" s="560"/>
      <c r="J1577" s="548"/>
      <c r="K1577" s="528" t="str">
        <f>IFERROR(VLOOKUP($B1577,'Clients-Live'!$A:$C,3,0),"")</f>
        <v/>
      </c>
      <c r="L1577" s="528">
        <f>IF(E1577="STL",Pricing!$D$38,IF(A1577="",0,IF(A1577&lt;Pricing!$C$25,Pricing!$D$25,VLOOKUP(Disbursements!$F1577,Pricing!$B$29:$D$32,3))))</f>
        <v>0</v>
      </c>
      <c r="M1577" s="528">
        <f>IF(E1577="STL",0,IF(F1577&gt;0,Pricing!$D$21,0))</f>
        <v>0</v>
      </c>
      <c r="N1577" s="529">
        <f>IF(E1577="STL",F1577*Pricing!$D$40,IF(A1577&lt;=Pricing!$C$4,0,IF(AND(A1577&gt;Pricing!$C$4,Disbursements!A1577&lt;=Pricing!$C$5),F1577*Pricing!$E$5,IF(AND(A1577&gt;Pricing!$C$5,Disbursements!A1577&lt;=Pricing!$C$7),VLOOKUP(F1577,Pricing!$D$7:$E$8,2)*Disbursements!F1577,F1577*Pricing!$E$9))))</f>
        <v>0</v>
      </c>
      <c r="O1577" s="528">
        <f>IF(E1577="STL",0,IF($F1577&gt;0,$F1577*Pricing!$D$17,0))</f>
        <v>0</v>
      </c>
      <c r="P1577" s="530" t="str">
        <f t="shared" si="646"/>
        <v/>
      </c>
      <c r="Q1577" s="531" t="str">
        <f>IF($A1577="","",$G1577/VLOOKUP($I1577,Ref!$B$23:$D$29,2,0))</f>
        <v/>
      </c>
      <c r="R1577" s="530" t="str">
        <f t="shared" si="647"/>
        <v/>
      </c>
      <c r="S1577" s="532" t="str">
        <f t="shared" si="641"/>
        <v/>
      </c>
      <c r="T1577" s="531" t="str">
        <f t="shared" si="648"/>
        <v/>
      </c>
      <c r="U1577" s="533">
        <f t="shared" si="649"/>
        <v>0</v>
      </c>
      <c r="V1577" s="531" t="str">
        <f t="shared" si="650"/>
        <v/>
      </c>
      <c r="W1577" s="531" t="str">
        <f t="shared" si="651"/>
        <v/>
      </c>
      <c r="X1577" s="534" t="str">
        <f t="shared" si="652"/>
        <v/>
      </c>
      <c r="Y1577" s="535" t="str">
        <f>IF($A1577="","",IF($I1577="weekly",$A1577+7,EDATE($A1577,VLOOKUP($I1577,Ref!$B$24:$C$29,2,0))))</f>
        <v/>
      </c>
      <c r="Z1577" s="536" t="str">
        <f t="shared" si="653"/>
        <v/>
      </c>
      <c r="AA1577" s="531">
        <f t="shared" si="654"/>
        <v>0</v>
      </c>
      <c r="AB1577" s="535" t="str">
        <f t="shared" si="642"/>
        <v/>
      </c>
      <c r="AC1577" s="537" t="str">
        <f t="shared" si="643"/>
        <v/>
      </c>
      <c r="AD1577" s="538" t="str">
        <f t="shared" ca="1" si="644"/>
        <v/>
      </c>
      <c r="AE1577" s="537">
        <f t="shared" ca="1" si="645"/>
        <v>0</v>
      </c>
      <c r="AF1577" s="539" t="str">
        <f t="shared" ca="1" si="655"/>
        <v/>
      </c>
      <c r="AG1577" s="531" t="str">
        <f t="shared" ca="1" si="656"/>
        <v/>
      </c>
      <c r="AH1577" s="531" t="str">
        <f t="shared" ca="1" si="657"/>
        <v/>
      </c>
      <c r="AI1577" s="531" t="str">
        <f t="shared" ca="1" si="658"/>
        <v/>
      </c>
      <c r="AJ1577" s="531" t="str">
        <f t="shared" si="659"/>
        <v/>
      </c>
      <c r="AK1577" s="540">
        <f>SUMIFS('Live Collections'!$S:$S,'Live Collections'!$D:$D,Disbursements!B1577,'Live Collections'!$G:$G,Disbursements!C1577)</f>
        <v>0</v>
      </c>
      <c r="AL1577" s="540">
        <f>SUMIFS('Live Collections'!$T:$T,'Live Collections'!$D:$D,Disbursements!B1577,'Live Collections'!$G:$G,Disbursements!C1577)</f>
        <v>0</v>
      </c>
      <c r="AM1577" s="541">
        <f t="shared" si="660"/>
        <v>0</v>
      </c>
      <c r="AN1577" s="542" t="str">
        <f t="shared" si="661"/>
        <v/>
      </c>
      <c r="AO1577" s="542" t="str">
        <f t="shared" si="662"/>
        <v/>
      </c>
      <c r="AP1577" s="543" t="str">
        <f t="shared" si="663"/>
        <v/>
      </c>
      <c r="AQ1577" s="544" t="str">
        <f t="shared" si="664"/>
        <v/>
      </c>
      <c r="AR1577" s="545">
        <f t="shared" si="665"/>
        <v>0</v>
      </c>
      <c r="AS1577" s="545">
        <f>IFERROR(CEILING($AR1577*VLOOKUP($I1577,Ref!$B$23:$E$29,4,0),1),0)</f>
        <v>0</v>
      </c>
      <c r="AT1577" s="545" t="str">
        <f>IF(A1577="","",IF(AP1577&lt;=1,"Cleared",IF(AS1577=0,"Clean",VLOOKUP($AS1577,Ref!$G$23:$H$28,2))))</f>
        <v/>
      </c>
      <c r="AU1577" s="546" t="str">
        <f t="shared" si="666"/>
        <v/>
      </c>
    </row>
    <row r="1578" spans="1:47" ht="14.25" hidden="1" customHeight="1" x14ac:dyDescent="0.15">
      <c r="A1578" s="575"/>
      <c r="B1578" s="548"/>
      <c r="C1578" s="548"/>
      <c r="D1578" s="548"/>
      <c r="E1578" s="583"/>
      <c r="F1578" s="584"/>
      <c r="G1578" s="548"/>
      <c r="H1578" s="550"/>
      <c r="I1578" s="560"/>
      <c r="J1578" s="548"/>
      <c r="K1578" s="528" t="str">
        <f>IFERROR(VLOOKUP($B1578,'Clients-Live'!$A:$C,3,0),"")</f>
        <v/>
      </c>
      <c r="L1578" s="528">
        <f>IF(E1578="STL",Pricing!$D$38,IF(A1578="",0,IF(A1578&lt;Pricing!$C$25,Pricing!$D$25,VLOOKUP(Disbursements!$F1578,Pricing!$B$29:$D$32,3))))</f>
        <v>0</v>
      </c>
      <c r="M1578" s="528">
        <f>IF(E1578="STL",0,IF(F1578&gt;0,Pricing!$D$21,0))</f>
        <v>0</v>
      </c>
      <c r="N1578" s="529">
        <f>IF(E1578="STL",F1578*Pricing!$D$40,IF(A1578&lt;=Pricing!$C$4,0,IF(AND(A1578&gt;Pricing!$C$4,Disbursements!A1578&lt;=Pricing!$C$5),F1578*Pricing!$E$5,IF(AND(A1578&gt;Pricing!$C$5,Disbursements!A1578&lt;=Pricing!$C$7),VLOOKUP(F1578,Pricing!$D$7:$E$8,2)*Disbursements!F1578,F1578*Pricing!$E$9))))</f>
        <v>0</v>
      </c>
      <c r="O1578" s="528">
        <f>IF(E1578="STL",0,IF($F1578&gt;0,$F1578*Pricing!$D$17,0))</f>
        <v>0</v>
      </c>
      <c r="P1578" s="530" t="str">
        <f t="shared" si="646"/>
        <v/>
      </c>
      <c r="Q1578" s="531" t="str">
        <f>IF($A1578="","",$G1578/VLOOKUP($I1578,Ref!$B$23:$D$29,2,0))</f>
        <v/>
      </c>
      <c r="R1578" s="530" t="str">
        <f t="shared" si="647"/>
        <v/>
      </c>
      <c r="S1578" s="532" t="str">
        <f t="shared" si="641"/>
        <v/>
      </c>
      <c r="T1578" s="531" t="str">
        <f t="shared" si="648"/>
        <v/>
      </c>
      <c r="U1578" s="533">
        <f t="shared" si="649"/>
        <v>0</v>
      </c>
      <c r="V1578" s="531" t="str">
        <f t="shared" si="650"/>
        <v/>
      </c>
      <c r="W1578" s="531" t="str">
        <f t="shared" si="651"/>
        <v/>
      </c>
      <c r="X1578" s="534" t="str">
        <f t="shared" si="652"/>
        <v/>
      </c>
      <c r="Y1578" s="535" t="str">
        <f>IF($A1578="","",IF($I1578="weekly",$A1578+7,EDATE($A1578,VLOOKUP($I1578,Ref!$B$24:$C$29,2,0))))</f>
        <v/>
      </c>
      <c r="Z1578" s="536" t="str">
        <f t="shared" si="653"/>
        <v/>
      </c>
      <c r="AA1578" s="531">
        <f t="shared" si="654"/>
        <v>0</v>
      </c>
      <c r="AB1578" s="535" t="str">
        <f t="shared" si="642"/>
        <v/>
      </c>
      <c r="AC1578" s="537" t="str">
        <f t="shared" si="643"/>
        <v/>
      </c>
      <c r="AD1578" s="538" t="str">
        <f t="shared" ca="1" si="644"/>
        <v/>
      </c>
      <c r="AE1578" s="537">
        <f t="shared" ca="1" si="645"/>
        <v>0</v>
      </c>
      <c r="AF1578" s="539" t="str">
        <f t="shared" ca="1" si="655"/>
        <v/>
      </c>
      <c r="AG1578" s="531" t="str">
        <f t="shared" ca="1" si="656"/>
        <v/>
      </c>
      <c r="AH1578" s="531" t="str">
        <f t="shared" ca="1" si="657"/>
        <v/>
      </c>
      <c r="AI1578" s="531" t="str">
        <f t="shared" ca="1" si="658"/>
        <v/>
      </c>
      <c r="AJ1578" s="531" t="str">
        <f t="shared" si="659"/>
        <v/>
      </c>
      <c r="AK1578" s="540">
        <f>SUMIFS('Live Collections'!$S:$S,'Live Collections'!$D:$D,Disbursements!B1578,'Live Collections'!$G:$G,Disbursements!C1578)</f>
        <v>0</v>
      </c>
      <c r="AL1578" s="540">
        <f>SUMIFS('Live Collections'!$T:$T,'Live Collections'!$D:$D,Disbursements!B1578,'Live Collections'!$G:$G,Disbursements!C1578)</f>
        <v>0</v>
      </c>
      <c r="AM1578" s="541">
        <f t="shared" si="660"/>
        <v>0</v>
      </c>
      <c r="AN1578" s="542" t="str">
        <f t="shared" si="661"/>
        <v/>
      </c>
      <c r="AO1578" s="542" t="str">
        <f t="shared" si="662"/>
        <v/>
      </c>
      <c r="AP1578" s="543" t="str">
        <f t="shared" si="663"/>
        <v/>
      </c>
      <c r="AQ1578" s="544" t="str">
        <f t="shared" si="664"/>
        <v/>
      </c>
      <c r="AR1578" s="545">
        <f t="shared" si="665"/>
        <v>0</v>
      </c>
      <c r="AS1578" s="545">
        <f>IFERROR(CEILING($AR1578*VLOOKUP($I1578,Ref!$B$23:$E$29,4,0),1),0)</f>
        <v>0</v>
      </c>
      <c r="AT1578" s="545" t="str">
        <f>IF(A1578="","",IF(AP1578&lt;=1,"Cleared",IF(AS1578=0,"Clean",VLOOKUP($AS1578,Ref!$G$23:$H$28,2))))</f>
        <v/>
      </c>
      <c r="AU1578" s="546" t="str">
        <f t="shared" si="666"/>
        <v/>
      </c>
    </row>
    <row r="1579" spans="1:47" ht="14.25" hidden="1" customHeight="1" x14ac:dyDescent="0.15">
      <c r="A1579" s="575"/>
      <c r="B1579" s="548"/>
      <c r="C1579" s="548"/>
      <c r="D1579" s="548"/>
      <c r="E1579" s="583"/>
      <c r="F1579" s="584"/>
      <c r="G1579" s="548"/>
      <c r="H1579" s="550"/>
      <c r="I1579" s="560"/>
      <c r="J1579" s="548"/>
      <c r="K1579" s="528" t="str">
        <f>IFERROR(VLOOKUP($B1579,'Clients-Live'!$A:$C,3,0),"")</f>
        <v/>
      </c>
      <c r="L1579" s="528">
        <f>IF(E1579="STL",Pricing!$D$38,IF(A1579="",0,IF(A1579&lt;Pricing!$C$25,Pricing!$D$25,VLOOKUP(Disbursements!$F1579,Pricing!$B$29:$D$32,3))))</f>
        <v>0</v>
      </c>
      <c r="M1579" s="528">
        <f>IF(E1579="STL",0,IF(F1579&gt;0,Pricing!$D$21,0))</f>
        <v>0</v>
      </c>
      <c r="N1579" s="529">
        <f>IF(E1579="STL",F1579*Pricing!$D$40,IF(A1579&lt;=Pricing!$C$4,0,IF(AND(A1579&gt;Pricing!$C$4,Disbursements!A1579&lt;=Pricing!$C$5),F1579*Pricing!$E$5,IF(AND(A1579&gt;Pricing!$C$5,Disbursements!A1579&lt;=Pricing!$C$7),VLOOKUP(F1579,Pricing!$D$7:$E$8,2)*Disbursements!F1579,F1579*Pricing!$E$9))))</f>
        <v>0</v>
      </c>
      <c r="O1579" s="528">
        <f>IF(E1579="STL",0,IF($F1579&gt;0,$F1579*Pricing!$D$17,0))</f>
        <v>0</v>
      </c>
      <c r="P1579" s="530" t="str">
        <f t="shared" si="646"/>
        <v/>
      </c>
      <c r="Q1579" s="531" t="str">
        <f>IF($A1579="","",$G1579/VLOOKUP($I1579,Ref!$B$23:$D$29,2,0))</f>
        <v/>
      </c>
      <c r="R1579" s="530" t="str">
        <f t="shared" si="647"/>
        <v/>
      </c>
      <c r="S1579" s="532" t="str">
        <f t="shared" si="641"/>
        <v/>
      </c>
      <c r="T1579" s="531" t="str">
        <f t="shared" si="648"/>
        <v/>
      </c>
      <c r="U1579" s="533">
        <f t="shared" si="649"/>
        <v>0</v>
      </c>
      <c r="V1579" s="531" t="str">
        <f t="shared" si="650"/>
        <v/>
      </c>
      <c r="W1579" s="531" t="str">
        <f t="shared" si="651"/>
        <v/>
      </c>
      <c r="X1579" s="534" t="str">
        <f t="shared" si="652"/>
        <v/>
      </c>
      <c r="Y1579" s="535" t="str">
        <f>IF($A1579="","",IF($I1579="weekly",$A1579+7,EDATE($A1579,VLOOKUP($I1579,Ref!$B$24:$C$29,2,0))))</f>
        <v/>
      </c>
      <c r="Z1579" s="536" t="str">
        <f t="shared" si="653"/>
        <v/>
      </c>
      <c r="AA1579" s="531">
        <f t="shared" si="654"/>
        <v>0</v>
      </c>
      <c r="AB1579" s="535" t="str">
        <f t="shared" si="642"/>
        <v/>
      </c>
      <c r="AC1579" s="537" t="str">
        <f t="shared" si="643"/>
        <v/>
      </c>
      <c r="AD1579" s="538" t="str">
        <f t="shared" ca="1" si="644"/>
        <v/>
      </c>
      <c r="AE1579" s="537">
        <f t="shared" ca="1" si="645"/>
        <v>0</v>
      </c>
      <c r="AF1579" s="539" t="str">
        <f t="shared" ca="1" si="655"/>
        <v/>
      </c>
      <c r="AG1579" s="531" t="str">
        <f t="shared" ca="1" si="656"/>
        <v/>
      </c>
      <c r="AH1579" s="531" t="str">
        <f t="shared" ca="1" si="657"/>
        <v/>
      </c>
      <c r="AI1579" s="531" t="str">
        <f t="shared" ca="1" si="658"/>
        <v/>
      </c>
      <c r="AJ1579" s="531" t="str">
        <f t="shared" si="659"/>
        <v/>
      </c>
      <c r="AK1579" s="540">
        <f>SUMIFS('Live Collections'!$S:$S,'Live Collections'!$D:$D,Disbursements!B1579,'Live Collections'!$G:$G,Disbursements!C1579)</f>
        <v>0</v>
      </c>
      <c r="AL1579" s="540">
        <f>SUMIFS('Live Collections'!$T:$T,'Live Collections'!$D:$D,Disbursements!B1579,'Live Collections'!$G:$G,Disbursements!C1579)</f>
        <v>0</v>
      </c>
      <c r="AM1579" s="541">
        <f t="shared" si="660"/>
        <v>0</v>
      </c>
      <c r="AN1579" s="542" t="str">
        <f t="shared" si="661"/>
        <v/>
      </c>
      <c r="AO1579" s="542" t="str">
        <f t="shared" si="662"/>
        <v/>
      </c>
      <c r="AP1579" s="543" t="str">
        <f t="shared" si="663"/>
        <v/>
      </c>
      <c r="AQ1579" s="544" t="str">
        <f t="shared" si="664"/>
        <v/>
      </c>
      <c r="AR1579" s="545">
        <f t="shared" si="665"/>
        <v>0</v>
      </c>
      <c r="AS1579" s="545">
        <f>IFERROR(CEILING($AR1579*VLOOKUP($I1579,Ref!$B$23:$E$29,4,0),1),0)</f>
        <v>0</v>
      </c>
      <c r="AT1579" s="545" t="str">
        <f>IF(A1579="","",IF(AP1579&lt;=1,"Cleared",IF(AS1579=0,"Clean",VLOOKUP($AS1579,Ref!$G$23:$H$28,2))))</f>
        <v/>
      </c>
      <c r="AU1579" s="546" t="str">
        <f t="shared" si="666"/>
        <v/>
      </c>
    </row>
    <row r="1580" spans="1:47" ht="14.25" hidden="1" customHeight="1" x14ac:dyDescent="0.15">
      <c r="A1580" s="575"/>
      <c r="B1580" s="548"/>
      <c r="C1580" s="548"/>
      <c r="D1580" s="548"/>
      <c r="E1580" s="583"/>
      <c r="F1580" s="584"/>
      <c r="G1580" s="548"/>
      <c r="H1580" s="550"/>
      <c r="I1580" s="560"/>
      <c r="J1580" s="548"/>
      <c r="K1580" s="528" t="str">
        <f>IFERROR(VLOOKUP($B1580,'Clients-Live'!$A:$C,3,0),"")</f>
        <v/>
      </c>
      <c r="L1580" s="528">
        <f>IF(E1580="STL",Pricing!$D$38,IF(A1580="",0,IF(A1580&lt;Pricing!$C$25,Pricing!$D$25,VLOOKUP(Disbursements!$F1580,Pricing!$B$29:$D$32,3))))</f>
        <v>0</v>
      </c>
      <c r="M1580" s="528">
        <f>IF(E1580="STL",0,IF(F1580&gt;0,Pricing!$D$21,0))</f>
        <v>0</v>
      </c>
      <c r="N1580" s="529">
        <f>IF(E1580="STL",F1580*Pricing!$D$40,IF(A1580&lt;=Pricing!$C$4,0,IF(AND(A1580&gt;Pricing!$C$4,Disbursements!A1580&lt;=Pricing!$C$5),F1580*Pricing!$E$5,IF(AND(A1580&gt;Pricing!$C$5,Disbursements!A1580&lt;=Pricing!$C$7),VLOOKUP(F1580,Pricing!$D$7:$E$8,2)*Disbursements!F1580,F1580*Pricing!$E$9))))</f>
        <v>0</v>
      </c>
      <c r="O1580" s="528">
        <f>IF(E1580="STL",0,IF($F1580&gt;0,$F1580*Pricing!$D$17,0))</f>
        <v>0</v>
      </c>
      <c r="P1580" s="530" t="str">
        <f t="shared" si="646"/>
        <v/>
      </c>
      <c r="Q1580" s="531" t="str">
        <f>IF($A1580="","",$G1580/VLOOKUP($I1580,Ref!$B$23:$D$29,2,0))</f>
        <v/>
      </c>
      <c r="R1580" s="530" t="str">
        <f t="shared" si="647"/>
        <v/>
      </c>
      <c r="S1580" s="532" t="str">
        <f t="shared" si="641"/>
        <v/>
      </c>
      <c r="T1580" s="531" t="str">
        <f t="shared" si="648"/>
        <v/>
      </c>
      <c r="U1580" s="533">
        <f t="shared" si="649"/>
        <v>0</v>
      </c>
      <c r="V1580" s="531" t="str">
        <f t="shared" si="650"/>
        <v/>
      </c>
      <c r="W1580" s="531" t="str">
        <f t="shared" si="651"/>
        <v/>
      </c>
      <c r="X1580" s="534" t="str">
        <f t="shared" si="652"/>
        <v/>
      </c>
      <c r="Y1580" s="535" t="str">
        <f>IF($A1580="","",IF($I1580="weekly",$A1580+7,EDATE($A1580,VLOOKUP($I1580,Ref!$B$24:$C$29,2,0))))</f>
        <v/>
      </c>
      <c r="Z1580" s="536" t="str">
        <f t="shared" si="653"/>
        <v/>
      </c>
      <c r="AA1580" s="531">
        <f t="shared" si="654"/>
        <v>0</v>
      </c>
      <c r="AB1580" s="535" t="str">
        <f t="shared" si="642"/>
        <v/>
      </c>
      <c r="AC1580" s="537" t="str">
        <f t="shared" si="643"/>
        <v/>
      </c>
      <c r="AD1580" s="538" t="str">
        <f t="shared" ca="1" si="644"/>
        <v/>
      </c>
      <c r="AE1580" s="537">
        <f t="shared" ca="1" si="645"/>
        <v>0</v>
      </c>
      <c r="AF1580" s="539" t="str">
        <f t="shared" ca="1" si="655"/>
        <v/>
      </c>
      <c r="AG1580" s="531" t="str">
        <f t="shared" ca="1" si="656"/>
        <v/>
      </c>
      <c r="AH1580" s="531" t="str">
        <f t="shared" ca="1" si="657"/>
        <v/>
      </c>
      <c r="AI1580" s="531" t="str">
        <f t="shared" ca="1" si="658"/>
        <v/>
      </c>
      <c r="AJ1580" s="531" t="str">
        <f t="shared" si="659"/>
        <v/>
      </c>
      <c r="AK1580" s="540">
        <f>SUMIFS('Live Collections'!$S:$S,'Live Collections'!$D:$D,Disbursements!B1580,'Live Collections'!$G:$G,Disbursements!C1580)</f>
        <v>0</v>
      </c>
      <c r="AL1580" s="540">
        <f>SUMIFS('Live Collections'!$T:$T,'Live Collections'!$D:$D,Disbursements!B1580,'Live Collections'!$G:$G,Disbursements!C1580)</f>
        <v>0</v>
      </c>
      <c r="AM1580" s="541">
        <f t="shared" si="660"/>
        <v>0</v>
      </c>
      <c r="AN1580" s="542" t="str">
        <f t="shared" si="661"/>
        <v/>
      </c>
      <c r="AO1580" s="542" t="str">
        <f t="shared" si="662"/>
        <v/>
      </c>
      <c r="AP1580" s="543" t="str">
        <f t="shared" si="663"/>
        <v/>
      </c>
      <c r="AQ1580" s="544" t="str">
        <f t="shared" si="664"/>
        <v/>
      </c>
      <c r="AR1580" s="545">
        <f t="shared" si="665"/>
        <v>0</v>
      </c>
      <c r="AS1580" s="545">
        <f>IFERROR(CEILING($AR1580*VLOOKUP($I1580,Ref!$B$23:$E$29,4,0),1),0)</f>
        <v>0</v>
      </c>
      <c r="AT1580" s="545" t="str">
        <f>IF(A1580="","",IF(AP1580&lt;=1,"Cleared",IF(AS1580=0,"Clean",VLOOKUP($AS1580,Ref!$G$23:$H$28,2))))</f>
        <v/>
      </c>
      <c r="AU1580" s="546" t="str">
        <f t="shared" si="666"/>
        <v/>
      </c>
    </row>
    <row r="1581" spans="1:47" ht="14.25" hidden="1" customHeight="1" x14ac:dyDescent="0.15">
      <c r="A1581" s="575"/>
      <c r="B1581" s="548"/>
      <c r="C1581" s="548"/>
      <c r="D1581" s="548"/>
      <c r="E1581" s="583"/>
      <c r="F1581" s="584"/>
      <c r="G1581" s="548"/>
      <c r="H1581" s="550"/>
      <c r="I1581" s="560"/>
      <c r="J1581" s="548"/>
      <c r="K1581" s="528" t="str">
        <f>IFERROR(VLOOKUP($B1581,'Clients-Live'!$A:$C,3,0),"")</f>
        <v/>
      </c>
      <c r="L1581" s="528">
        <f>IF(E1581="STL",Pricing!$D$38,IF(A1581="",0,IF(A1581&lt;Pricing!$C$25,Pricing!$D$25,VLOOKUP(Disbursements!$F1581,Pricing!$B$29:$D$32,3))))</f>
        <v>0</v>
      </c>
      <c r="M1581" s="528">
        <f>IF(E1581="STL",0,IF(F1581&gt;0,Pricing!$D$21,0))</f>
        <v>0</v>
      </c>
      <c r="N1581" s="529">
        <f>IF(E1581="STL",F1581*Pricing!$D$40,IF(A1581&lt;=Pricing!$C$4,0,IF(AND(A1581&gt;Pricing!$C$4,Disbursements!A1581&lt;=Pricing!$C$5),F1581*Pricing!$E$5,IF(AND(A1581&gt;Pricing!$C$5,Disbursements!A1581&lt;=Pricing!$C$7),VLOOKUP(F1581,Pricing!$D$7:$E$8,2)*Disbursements!F1581,F1581*Pricing!$E$9))))</f>
        <v>0</v>
      </c>
      <c r="O1581" s="528">
        <f>IF(E1581="STL",0,IF($F1581&gt;0,$F1581*Pricing!$D$17,0))</f>
        <v>0</v>
      </c>
      <c r="P1581" s="530" t="str">
        <f t="shared" si="646"/>
        <v/>
      </c>
      <c r="Q1581" s="531" t="str">
        <f>IF($A1581="","",$G1581/VLOOKUP($I1581,Ref!$B$23:$D$29,2,0))</f>
        <v/>
      </c>
      <c r="R1581" s="530" t="str">
        <f t="shared" si="647"/>
        <v/>
      </c>
      <c r="S1581" s="532" t="str">
        <f t="shared" si="641"/>
        <v/>
      </c>
      <c r="T1581" s="531" t="str">
        <f t="shared" si="648"/>
        <v/>
      </c>
      <c r="U1581" s="533">
        <f t="shared" si="649"/>
        <v>0</v>
      </c>
      <c r="V1581" s="531" t="str">
        <f t="shared" si="650"/>
        <v/>
      </c>
      <c r="W1581" s="531" t="str">
        <f t="shared" si="651"/>
        <v/>
      </c>
      <c r="X1581" s="534" t="str">
        <f t="shared" si="652"/>
        <v/>
      </c>
      <c r="Y1581" s="535" t="str">
        <f>IF($A1581="","",IF($I1581="weekly",$A1581+7,EDATE($A1581,VLOOKUP($I1581,Ref!$B$24:$C$29,2,0))))</f>
        <v/>
      </c>
      <c r="Z1581" s="536" t="str">
        <f t="shared" si="653"/>
        <v/>
      </c>
      <c r="AA1581" s="531">
        <f t="shared" si="654"/>
        <v>0</v>
      </c>
      <c r="AB1581" s="535" t="str">
        <f t="shared" si="642"/>
        <v/>
      </c>
      <c r="AC1581" s="537" t="str">
        <f t="shared" si="643"/>
        <v/>
      </c>
      <c r="AD1581" s="538" t="str">
        <f t="shared" ca="1" si="644"/>
        <v/>
      </c>
      <c r="AE1581" s="537">
        <f t="shared" ca="1" si="645"/>
        <v>0</v>
      </c>
      <c r="AF1581" s="539" t="str">
        <f t="shared" ca="1" si="655"/>
        <v/>
      </c>
      <c r="AG1581" s="531" t="str">
        <f t="shared" ca="1" si="656"/>
        <v/>
      </c>
      <c r="AH1581" s="531" t="str">
        <f t="shared" ca="1" si="657"/>
        <v/>
      </c>
      <c r="AI1581" s="531" t="str">
        <f t="shared" ca="1" si="658"/>
        <v/>
      </c>
      <c r="AJ1581" s="531" t="str">
        <f t="shared" si="659"/>
        <v/>
      </c>
      <c r="AK1581" s="540">
        <f>SUMIFS('Live Collections'!$S:$S,'Live Collections'!$D:$D,Disbursements!B1581,'Live Collections'!$G:$G,Disbursements!C1581)</f>
        <v>0</v>
      </c>
      <c r="AL1581" s="540">
        <f>SUMIFS('Live Collections'!$T:$T,'Live Collections'!$D:$D,Disbursements!B1581,'Live Collections'!$G:$G,Disbursements!C1581)</f>
        <v>0</v>
      </c>
      <c r="AM1581" s="541">
        <f t="shared" si="660"/>
        <v>0</v>
      </c>
      <c r="AN1581" s="542" t="str">
        <f t="shared" si="661"/>
        <v/>
      </c>
      <c r="AO1581" s="542" t="str">
        <f t="shared" si="662"/>
        <v/>
      </c>
      <c r="AP1581" s="543" t="str">
        <f t="shared" si="663"/>
        <v/>
      </c>
      <c r="AQ1581" s="544" t="str">
        <f t="shared" si="664"/>
        <v/>
      </c>
      <c r="AR1581" s="545">
        <f t="shared" si="665"/>
        <v>0</v>
      </c>
      <c r="AS1581" s="545">
        <f>IFERROR(CEILING($AR1581*VLOOKUP($I1581,Ref!$B$23:$E$29,4,0),1),0)</f>
        <v>0</v>
      </c>
      <c r="AT1581" s="545" t="str">
        <f>IF(A1581="","",IF(AP1581&lt;=1,"Cleared",IF(AS1581=0,"Clean",VLOOKUP($AS1581,Ref!$G$23:$H$28,2))))</f>
        <v/>
      </c>
      <c r="AU1581" s="546" t="str">
        <f t="shared" si="666"/>
        <v/>
      </c>
    </row>
    <row r="1582" spans="1:47" ht="14.25" hidden="1" customHeight="1" x14ac:dyDescent="0.15">
      <c r="A1582" s="575"/>
      <c r="B1582" s="548"/>
      <c r="C1582" s="548"/>
      <c r="D1582" s="548"/>
      <c r="E1582" s="583"/>
      <c r="F1582" s="584"/>
      <c r="G1582" s="548"/>
      <c r="H1582" s="550"/>
      <c r="I1582" s="560"/>
      <c r="J1582" s="548"/>
      <c r="K1582" s="528" t="str">
        <f>IFERROR(VLOOKUP($B1582,'Clients-Live'!$A:$C,3,0),"")</f>
        <v/>
      </c>
      <c r="L1582" s="528">
        <f>IF(E1582="STL",Pricing!$D$38,IF(A1582="",0,IF(A1582&lt;Pricing!$C$25,Pricing!$D$25,VLOOKUP(Disbursements!$F1582,Pricing!$B$29:$D$32,3))))</f>
        <v>0</v>
      </c>
      <c r="M1582" s="528">
        <f>IF(E1582="STL",0,IF(F1582&gt;0,Pricing!$D$21,0))</f>
        <v>0</v>
      </c>
      <c r="N1582" s="529">
        <f>IF(E1582="STL",F1582*Pricing!$D$40,IF(A1582&lt;=Pricing!$C$4,0,IF(AND(A1582&gt;Pricing!$C$4,Disbursements!A1582&lt;=Pricing!$C$5),F1582*Pricing!$E$5,IF(AND(A1582&gt;Pricing!$C$5,Disbursements!A1582&lt;=Pricing!$C$7),VLOOKUP(F1582,Pricing!$D$7:$E$8,2)*Disbursements!F1582,F1582*Pricing!$E$9))))</f>
        <v>0</v>
      </c>
      <c r="O1582" s="528">
        <f>IF(E1582="STL",0,IF($F1582&gt;0,$F1582*Pricing!$D$17,0))</f>
        <v>0</v>
      </c>
      <c r="P1582" s="530" t="str">
        <f t="shared" si="646"/>
        <v/>
      </c>
      <c r="Q1582" s="531" t="str">
        <f>IF($A1582="","",$G1582/VLOOKUP($I1582,Ref!$B$23:$D$29,2,0))</f>
        <v/>
      </c>
      <c r="R1582" s="530" t="str">
        <f t="shared" si="647"/>
        <v/>
      </c>
      <c r="S1582" s="532" t="str">
        <f t="shared" si="641"/>
        <v/>
      </c>
      <c r="T1582" s="531" t="str">
        <f t="shared" si="648"/>
        <v/>
      </c>
      <c r="U1582" s="533">
        <f t="shared" si="649"/>
        <v>0</v>
      </c>
      <c r="V1582" s="531" t="str">
        <f t="shared" si="650"/>
        <v/>
      </c>
      <c r="W1582" s="531" t="str">
        <f t="shared" si="651"/>
        <v/>
      </c>
      <c r="X1582" s="534" t="str">
        <f t="shared" si="652"/>
        <v/>
      </c>
      <c r="Y1582" s="535" t="str">
        <f>IF($A1582="","",IF($I1582="weekly",$A1582+7,EDATE($A1582,VLOOKUP($I1582,Ref!$B$24:$C$29,2,0))))</f>
        <v/>
      </c>
      <c r="Z1582" s="536" t="str">
        <f t="shared" si="653"/>
        <v/>
      </c>
      <c r="AA1582" s="531">
        <f t="shared" si="654"/>
        <v>0</v>
      </c>
      <c r="AB1582" s="535" t="str">
        <f t="shared" si="642"/>
        <v/>
      </c>
      <c r="AC1582" s="537" t="str">
        <f t="shared" si="643"/>
        <v/>
      </c>
      <c r="AD1582" s="538" t="str">
        <f t="shared" ca="1" si="644"/>
        <v/>
      </c>
      <c r="AE1582" s="537">
        <f t="shared" ca="1" si="645"/>
        <v>0</v>
      </c>
      <c r="AF1582" s="539" t="str">
        <f t="shared" ca="1" si="655"/>
        <v/>
      </c>
      <c r="AG1582" s="531" t="str">
        <f t="shared" ca="1" si="656"/>
        <v/>
      </c>
      <c r="AH1582" s="531" t="str">
        <f t="shared" ca="1" si="657"/>
        <v/>
      </c>
      <c r="AI1582" s="531" t="str">
        <f t="shared" ca="1" si="658"/>
        <v/>
      </c>
      <c r="AJ1582" s="531" t="str">
        <f t="shared" si="659"/>
        <v/>
      </c>
      <c r="AK1582" s="540">
        <f>SUMIFS('Live Collections'!$S:$S,'Live Collections'!$D:$D,Disbursements!B1582,'Live Collections'!$G:$G,Disbursements!C1582)</f>
        <v>0</v>
      </c>
      <c r="AL1582" s="540">
        <f>SUMIFS('Live Collections'!$T:$T,'Live Collections'!$D:$D,Disbursements!B1582,'Live Collections'!$G:$G,Disbursements!C1582)</f>
        <v>0</v>
      </c>
      <c r="AM1582" s="541">
        <f t="shared" si="660"/>
        <v>0</v>
      </c>
      <c r="AN1582" s="542" t="str">
        <f t="shared" si="661"/>
        <v/>
      </c>
      <c r="AO1582" s="542" t="str">
        <f t="shared" si="662"/>
        <v/>
      </c>
      <c r="AP1582" s="543" t="str">
        <f t="shared" si="663"/>
        <v/>
      </c>
      <c r="AQ1582" s="544" t="str">
        <f t="shared" si="664"/>
        <v/>
      </c>
      <c r="AR1582" s="545">
        <f t="shared" si="665"/>
        <v>0</v>
      </c>
      <c r="AS1582" s="545">
        <f>IFERROR(CEILING($AR1582*VLOOKUP($I1582,Ref!$B$23:$E$29,4,0),1),0)</f>
        <v>0</v>
      </c>
      <c r="AT1582" s="545" t="str">
        <f>IF(A1582="","",IF(AP1582&lt;=1,"Cleared",IF(AS1582=0,"Clean",VLOOKUP($AS1582,Ref!$G$23:$H$28,2))))</f>
        <v/>
      </c>
      <c r="AU1582" s="546" t="str">
        <f t="shared" si="666"/>
        <v/>
      </c>
    </row>
    <row r="1583" spans="1:47" ht="14.25" hidden="1" customHeight="1" x14ac:dyDescent="0.15">
      <c r="A1583" s="575"/>
      <c r="B1583" s="548"/>
      <c r="C1583" s="548"/>
      <c r="D1583" s="548"/>
      <c r="E1583" s="583"/>
      <c r="F1583" s="584"/>
      <c r="G1583" s="548"/>
      <c r="H1583" s="550"/>
      <c r="I1583" s="560"/>
      <c r="J1583" s="548"/>
      <c r="K1583" s="528" t="str">
        <f>IFERROR(VLOOKUP($B1583,'Clients-Live'!$A:$C,3,0),"")</f>
        <v/>
      </c>
      <c r="L1583" s="528">
        <f>IF(E1583="STL",Pricing!$D$38,IF(A1583="",0,IF(A1583&lt;Pricing!$C$25,Pricing!$D$25,VLOOKUP(Disbursements!$F1583,Pricing!$B$29:$D$32,3))))</f>
        <v>0</v>
      </c>
      <c r="M1583" s="528">
        <f>IF(E1583="STL",0,IF(F1583&gt;0,Pricing!$D$21,0))</f>
        <v>0</v>
      </c>
      <c r="N1583" s="529">
        <f>IF(E1583="STL",F1583*Pricing!$D$40,IF(A1583&lt;=Pricing!$C$4,0,IF(AND(A1583&gt;Pricing!$C$4,Disbursements!A1583&lt;=Pricing!$C$5),F1583*Pricing!$E$5,IF(AND(A1583&gt;Pricing!$C$5,Disbursements!A1583&lt;=Pricing!$C$7),VLOOKUP(F1583,Pricing!$D$7:$E$8,2)*Disbursements!F1583,F1583*Pricing!$E$9))))</f>
        <v>0</v>
      </c>
      <c r="O1583" s="528">
        <f>IF(E1583="STL",0,IF($F1583&gt;0,$F1583*Pricing!$D$17,0))</f>
        <v>0</v>
      </c>
      <c r="P1583" s="530" t="str">
        <f t="shared" si="646"/>
        <v/>
      </c>
      <c r="Q1583" s="531" t="str">
        <f>IF($A1583="","",$G1583/VLOOKUP($I1583,Ref!$B$23:$D$29,2,0))</f>
        <v/>
      </c>
      <c r="R1583" s="530" t="str">
        <f t="shared" si="647"/>
        <v/>
      </c>
      <c r="S1583" s="532" t="str">
        <f t="shared" si="641"/>
        <v/>
      </c>
      <c r="T1583" s="531" t="str">
        <f t="shared" si="648"/>
        <v/>
      </c>
      <c r="U1583" s="533">
        <f t="shared" si="649"/>
        <v>0</v>
      </c>
      <c r="V1583" s="531" t="str">
        <f t="shared" si="650"/>
        <v/>
      </c>
      <c r="W1583" s="531" t="str">
        <f t="shared" si="651"/>
        <v/>
      </c>
      <c r="X1583" s="534" t="str">
        <f t="shared" si="652"/>
        <v/>
      </c>
      <c r="Y1583" s="535" t="str">
        <f>IF($A1583="","",IF($I1583="weekly",$A1583+7,EDATE($A1583,VLOOKUP($I1583,Ref!$B$24:$C$29,2,0))))</f>
        <v/>
      </c>
      <c r="Z1583" s="536" t="str">
        <f t="shared" si="653"/>
        <v/>
      </c>
      <c r="AA1583" s="531">
        <f t="shared" si="654"/>
        <v>0</v>
      </c>
      <c r="AB1583" s="535" t="str">
        <f t="shared" si="642"/>
        <v/>
      </c>
      <c r="AC1583" s="537" t="str">
        <f t="shared" si="643"/>
        <v/>
      </c>
      <c r="AD1583" s="538" t="str">
        <f t="shared" ca="1" si="644"/>
        <v/>
      </c>
      <c r="AE1583" s="537">
        <f t="shared" ca="1" si="645"/>
        <v>0</v>
      </c>
      <c r="AF1583" s="539" t="str">
        <f t="shared" ca="1" si="655"/>
        <v/>
      </c>
      <c r="AG1583" s="531" t="str">
        <f t="shared" ca="1" si="656"/>
        <v/>
      </c>
      <c r="AH1583" s="531" t="str">
        <f t="shared" ca="1" si="657"/>
        <v/>
      </c>
      <c r="AI1583" s="531" t="str">
        <f t="shared" ca="1" si="658"/>
        <v/>
      </c>
      <c r="AJ1583" s="531" t="str">
        <f t="shared" si="659"/>
        <v/>
      </c>
      <c r="AK1583" s="540">
        <f>SUMIFS('Live Collections'!$S:$S,'Live Collections'!$D:$D,Disbursements!B1583,'Live Collections'!$G:$G,Disbursements!C1583)</f>
        <v>0</v>
      </c>
      <c r="AL1583" s="540">
        <f>SUMIFS('Live Collections'!$T:$T,'Live Collections'!$D:$D,Disbursements!B1583,'Live Collections'!$G:$G,Disbursements!C1583)</f>
        <v>0</v>
      </c>
      <c r="AM1583" s="541">
        <f t="shared" si="660"/>
        <v>0</v>
      </c>
      <c r="AN1583" s="542" t="str">
        <f t="shared" si="661"/>
        <v/>
      </c>
      <c r="AO1583" s="542" t="str">
        <f t="shared" si="662"/>
        <v/>
      </c>
      <c r="AP1583" s="543" t="str">
        <f t="shared" si="663"/>
        <v/>
      </c>
      <c r="AQ1583" s="544" t="str">
        <f t="shared" si="664"/>
        <v/>
      </c>
      <c r="AR1583" s="545">
        <f t="shared" si="665"/>
        <v>0</v>
      </c>
      <c r="AS1583" s="545">
        <f>IFERROR(CEILING($AR1583*VLOOKUP($I1583,Ref!$B$23:$E$29,4,0),1),0)</f>
        <v>0</v>
      </c>
      <c r="AT1583" s="545" t="str">
        <f>IF(A1583="","",IF(AP1583&lt;=1,"Cleared",IF(AS1583=0,"Clean",VLOOKUP($AS1583,Ref!$G$23:$H$28,2))))</f>
        <v/>
      </c>
      <c r="AU1583" s="546" t="str">
        <f t="shared" si="666"/>
        <v/>
      </c>
    </row>
    <row r="1584" spans="1:47" ht="14.25" hidden="1" customHeight="1" x14ac:dyDescent="0.15">
      <c r="A1584" s="575"/>
      <c r="B1584" s="548"/>
      <c r="C1584" s="548"/>
      <c r="D1584" s="548"/>
      <c r="E1584" s="583"/>
      <c r="F1584" s="584"/>
      <c r="G1584" s="548"/>
      <c r="H1584" s="550"/>
      <c r="I1584" s="560"/>
      <c r="J1584" s="548"/>
      <c r="K1584" s="528" t="str">
        <f>IFERROR(VLOOKUP($B1584,'Clients-Live'!$A:$C,3,0),"")</f>
        <v/>
      </c>
      <c r="L1584" s="528">
        <f>IF(E1584="STL",Pricing!$D$38,IF(A1584="",0,IF(A1584&lt;Pricing!$C$25,Pricing!$D$25,VLOOKUP(Disbursements!$F1584,Pricing!$B$29:$D$32,3))))</f>
        <v>0</v>
      </c>
      <c r="M1584" s="528">
        <f>IF(E1584="STL",0,IF(F1584&gt;0,Pricing!$D$21,0))</f>
        <v>0</v>
      </c>
      <c r="N1584" s="529">
        <f>IF(E1584="STL",F1584*Pricing!$D$40,IF(A1584&lt;=Pricing!$C$4,0,IF(AND(A1584&gt;Pricing!$C$4,Disbursements!A1584&lt;=Pricing!$C$5),F1584*Pricing!$E$5,IF(AND(A1584&gt;Pricing!$C$5,Disbursements!A1584&lt;=Pricing!$C$7),VLOOKUP(F1584,Pricing!$D$7:$E$8,2)*Disbursements!F1584,F1584*Pricing!$E$9))))</f>
        <v>0</v>
      </c>
      <c r="O1584" s="528">
        <f>IF(E1584="STL",0,IF($F1584&gt;0,$F1584*Pricing!$D$17,0))</f>
        <v>0</v>
      </c>
      <c r="P1584" s="530" t="str">
        <f t="shared" si="646"/>
        <v/>
      </c>
      <c r="Q1584" s="531" t="str">
        <f>IF($A1584="","",$G1584/VLOOKUP($I1584,Ref!$B$23:$D$29,2,0))</f>
        <v/>
      </c>
      <c r="R1584" s="530" t="str">
        <f t="shared" si="647"/>
        <v/>
      </c>
      <c r="S1584" s="532" t="str">
        <f t="shared" si="641"/>
        <v/>
      </c>
      <c r="T1584" s="531" t="str">
        <f t="shared" si="648"/>
        <v/>
      </c>
      <c r="U1584" s="533">
        <f t="shared" si="649"/>
        <v>0</v>
      </c>
      <c r="V1584" s="531" t="str">
        <f t="shared" si="650"/>
        <v/>
      </c>
      <c r="W1584" s="531" t="str">
        <f t="shared" si="651"/>
        <v/>
      </c>
      <c r="X1584" s="534" t="str">
        <f t="shared" si="652"/>
        <v/>
      </c>
      <c r="Y1584" s="535" t="str">
        <f>IF($A1584="","",IF($I1584="weekly",$A1584+7,EDATE($A1584,VLOOKUP($I1584,Ref!$B$24:$C$29,2,0))))</f>
        <v/>
      </c>
      <c r="Z1584" s="536" t="str">
        <f t="shared" si="653"/>
        <v/>
      </c>
      <c r="AA1584" s="531">
        <f t="shared" si="654"/>
        <v>0</v>
      </c>
      <c r="AB1584" s="535" t="str">
        <f t="shared" si="642"/>
        <v/>
      </c>
      <c r="AC1584" s="537" t="str">
        <f t="shared" si="643"/>
        <v/>
      </c>
      <c r="AD1584" s="538" t="str">
        <f t="shared" ca="1" si="644"/>
        <v/>
      </c>
      <c r="AE1584" s="537">
        <f t="shared" ca="1" si="645"/>
        <v>0</v>
      </c>
      <c r="AF1584" s="539" t="str">
        <f t="shared" ca="1" si="655"/>
        <v/>
      </c>
      <c r="AG1584" s="531" t="str">
        <f t="shared" ca="1" si="656"/>
        <v/>
      </c>
      <c r="AH1584" s="531" t="str">
        <f t="shared" ca="1" si="657"/>
        <v/>
      </c>
      <c r="AI1584" s="531" t="str">
        <f t="shared" ca="1" si="658"/>
        <v/>
      </c>
      <c r="AJ1584" s="531" t="str">
        <f t="shared" si="659"/>
        <v/>
      </c>
      <c r="AK1584" s="540">
        <f>SUMIFS('Live Collections'!$S:$S,'Live Collections'!$D:$D,Disbursements!B1584,'Live Collections'!$G:$G,Disbursements!C1584)</f>
        <v>0</v>
      </c>
      <c r="AL1584" s="540">
        <f>SUMIFS('Live Collections'!$T:$T,'Live Collections'!$D:$D,Disbursements!B1584,'Live Collections'!$G:$G,Disbursements!C1584)</f>
        <v>0</v>
      </c>
      <c r="AM1584" s="541">
        <f t="shared" si="660"/>
        <v>0</v>
      </c>
      <c r="AN1584" s="542" t="str">
        <f t="shared" si="661"/>
        <v/>
      </c>
      <c r="AO1584" s="542" t="str">
        <f t="shared" si="662"/>
        <v/>
      </c>
      <c r="AP1584" s="543" t="str">
        <f t="shared" si="663"/>
        <v/>
      </c>
      <c r="AQ1584" s="544" t="str">
        <f t="shared" si="664"/>
        <v/>
      </c>
      <c r="AR1584" s="545">
        <f t="shared" si="665"/>
        <v>0</v>
      </c>
      <c r="AS1584" s="545">
        <f>IFERROR(CEILING($AR1584*VLOOKUP($I1584,Ref!$B$23:$E$29,4,0),1),0)</f>
        <v>0</v>
      </c>
      <c r="AT1584" s="545" t="str">
        <f>IF(A1584="","",IF(AP1584&lt;=1,"Cleared",IF(AS1584=0,"Clean",VLOOKUP($AS1584,Ref!$G$23:$H$28,2))))</f>
        <v/>
      </c>
      <c r="AU1584" s="546" t="str">
        <f t="shared" si="666"/>
        <v/>
      </c>
    </row>
    <row r="1585" spans="1:47" ht="14.25" hidden="1" customHeight="1" x14ac:dyDescent="0.15">
      <c r="A1585" s="575"/>
      <c r="B1585" s="548"/>
      <c r="C1585" s="548"/>
      <c r="D1585" s="548"/>
      <c r="E1585" s="583"/>
      <c r="F1585" s="584"/>
      <c r="G1585" s="548"/>
      <c r="H1585" s="550"/>
      <c r="I1585" s="560"/>
      <c r="J1585" s="548"/>
      <c r="K1585" s="528" t="str">
        <f>IFERROR(VLOOKUP($B1585,'Clients-Live'!$A:$C,3,0),"")</f>
        <v/>
      </c>
      <c r="L1585" s="528">
        <f>IF(E1585="STL",Pricing!$D$38,IF(A1585="",0,IF(A1585&lt;Pricing!$C$25,Pricing!$D$25,VLOOKUP(Disbursements!$F1585,Pricing!$B$29:$D$32,3))))</f>
        <v>0</v>
      </c>
      <c r="M1585" s="528">
        <f>IF(E1585="STL",0,IF(F1585&gt;0,Pricing!$D$21,0))</f>
        <v>0</v>
      </c>
      <c r="N1585" s="529">
        <f>IF(E1585="STL",F1585*Pricing!$D$40,IF(A1585&lt;=Pricing!$C$4,0,IF(AND(A1585&gt;Pricing!$C$4,Disbursements!A1585&lt;=Pricing!$C$5),F1585*Pricing!$E$5,IF(AND(A1585&gt;Pricing!$C$5,Disbursements!A1585&lt;=Pricing!$C$7),VLOOKUP(F1585,Pricing!$D$7:$E$8,2)*Disbursements!F1585,F1585*Pricing!$E$9))))</f>
        <v>0</v>
      </c>
      <c r="O1585" s="528">
        <f>IF(E1585="STL",0,IF($F1585&gt;0,$F1585*Pricing!$D$17,0))</f>
        <v>0</v>
      </c>
      <c r="P1585" s="530" t="str">
        <f t="shared" si="646"/>
        <v/>
      </c>
      <c r="Q1585" s="531" t="str">
        <f>IF($A1585="","",$G1585/VLOOKUP($I1585,Ref!$B$23:$D$29,2,0))</f>
        <v/>
      </c>
      <c r="R1585" s="530" t="str">
        <f t="shared" si="647"/>
        <v/>
      </c>
      <c r="S1585" s="532" t="str">
        <f t="shared" si="641"/>
        <v/>
      </c>
      <c r="T1585" s="531" t="str">
        <f t="shared" si="648"/>
        <v/>
      </c>
      <c r="U1585" s="533">
        <f t="shared" si="649"/>
        <v>0</v>
      </c>
      <c r="V1585" s="531" t="str">
        <f t="shared" si="650"/>
        <v/>
      </c>
      <c r="W1585" s="531" t="str">
        <f t="shared" si="651"/>
        <v/>
      </c>
      <c r="X1585" s="534" t="str">
        <f t="shared" si="652"/>
        <v/>
      </c>
      <c r="Y1585" s="535" t="str">
        <f>IF($A1585="","",IF($I1585="weekly",$A1585+7,EDATE($A1585,VLOOKUP($I1585,Ref!$B$24:$C$29,2,0))))</f>
        <v/>
      </c>
      <c r="Z1585" s="536" t="str">
        <f t="shared" si="653"/>
        <v/>
      </c>
      <c r="AA1585" s="531">
        <f t="shared" si="654"/>
        <v>0</v>
      </c>
      <c r="AB1585" s="535" t="str">
        <f t="shared" si="642"/>
        <v/>
      </c>
      <c r="AC1585" s="537" t="str">
        <f t="shared" si="643"/>
        <v/>
      </c>
      <c r="AD1585" s="538" t="str">
        <f t="shared" ca="1" si="644"/>
        <v/>
      </c>
      <c r="AE1585" s="537">
        <f t="shared" ca="1" si="645"/>
        <v>0</v>
      </c>
      <c r="AF1585" s="539" t="str">
        <f t="shared" ca="1" si="655"/>
        <v/>
      </c>
      <c r="AG1585" s="531" t="str">
        <f t="shared" ca="1" si="656"/>
        <v/>
      </c>
      <c r="AH1585" s="531" t="str">
        <f t="shared" ca="1" si="657"/>
        <v/>
      </c>
      <c r="AI1585" s="531" t="str">
        <f t="shared" ca="1" si="658"/>
        <v/>
      </c>
      <c r="AJ1585" s="531" t="str">
        <f t="shared" si="659"/>
        <v/>
      </c>
      <c r="AK1585" s="540">
        <f>SUMIFS('Live Collections'!$S:$S,'Live Collections'!$D:$D,Disbursements!B1585,'Live Collections'!$G:$G,Disbursements!C1585)</f>
        <v>0</v>
      </c>
      <c r="AL1585" s="540">
        <f>SUMIFS('Live Collections'!$T:$T,'Live Collections'!$D:$D,Disbursements!B1585,'Live Collections'!$G:$G,Disbursements!C1585)</f>
        <v>0</v>
      </c>
      <c r="AM1585" s="541">
        <f t="shared" si="660"/>
        <v>0</v>
      </c>
      <c r="AN1585" s="542" t="str">
        <f t="shared" si="661"/>
        <v/>
      </c>
      <c r="AO1585" s="542" t="str">
        <f t="shared" si="662"/>
        <v/>
      </c>
      <c r="AP1585" s="543" t="str">
        <f t="shared" si="663"/>
        <v/>
      </c>
      <c r="AQ1585" s="544" t="str">
        <f t="shared" si="664"/>
        <v/>
      </c>
      <c r="AR1585" s="545">
        <f t="shared" si="665"/>
        <v>0</v>
      </c>
      <c r="AS1585" s="545">
        <f>IFERROR(CEILING($AR1585*VLOOKUP($I1585,Ref!$B$23:$E$29,4,0),1),0)</f>
        <v>0</v>
      </c>
      <c r="AT1585" s="545" t="str">
        <f>IF(A1585="","",IF(AP1585&lt;=1,"Cleared",IF(AS1585=0,"Clean",VLOOKUP($AS1585,Ref!$G$23:$H$28,2))))</f>
        <v/>
      </c>
      <c r="AU1585" s="546" t="str">
        <f t="shared" si="666"/>
        <v/>
      </c>
    </row>
    <row r="1586" spans="1:47" ht="14.25" hidden="1" customHeight="1" x14ac:dyDescent="0.15">
      <c r="A1586" s="575"/>
      <c r="B1586" s="548"/>
      <c r="C1586" s="548"/>
      <c r="D1586" s="548"/>
      <c r="E1586" s="583"/>
      <c r="F1586" s="584"/>
      <c r="G1586" s="548"/>
      <c r="H1586" s="550"/>
      <c r="I1586" s="560"/>
      <c r="J1586" s="548"/>
      <c r="K1586" s="528" t="str">
        <f>IFERROR(VLOOKUP($B1586,'Clients-Live'!$A:$C,3,0),"")</f>
        <v/>
      </c>
      <c r="L1586" s="528">
        <f>IF(E1586="STL",Pricing!$D$38,IF(A1586="",0,IF(A1586&lt;Pricing!$C$25,Pricing!$D$25,VLOOKUP(Disbursements!$F1586,Pricing!$B$29:$D$32,3))))</f>
        <v>0</v>
      </c>
      <c r="M1586" s="528">
        <f>IF(E1586="STL",0,IF(F1586&gt;0,Pricing!$D$21,0))</f>
        <v>0</v>
      </c>
      <c r="N1586" s="529">
        <f>IF(E1586="STL",F1586*Pricing!$D$40,IF(A1586&lt;=Pricing!$C$4,0,IF(AND(A1586&gt;Pricing!$C$4,Disbursements!A1586&lt;=Pricing!$C$5),F1586*Pricing!$E$5,IF(AND(A1586&gt;Pricing!$C$5,Disbursements!A1586&lt;=Pricing!$C$7),VLOOKUP(F1586,Pricing!$D$7:$E$8,2)*Disbursements!F1586,F1586*Pricing!$E$9))))</f>
        <v>0</v>
      </c>
      <c r="O1586" s="528">
        <f>IF(E1586="STL",0,IF($F1586&gt;0,$F1586*Pricing!$D$17,0))</f>
        <v>0</v>
      </c>
      <c r="P1586" s="530" t="str">
        <f t="shared" si="646"/>
        <v/>
      </c>
      <c r="Q1586" s="531" t="str">
        <f>IF($A1586="","",$G1586/VLOOKUP($I1586,Ref!$B$23:$D$29,2,0))</f>
        <v/>
      </c>
      <c r="R1586" s="530" t="str">
        <f t="shared" si="647"/>
        <v/>
      </c>
      <c r="S1586" s="532" t="str">
        <f t="shared" si="641"/>
        <v/>
      </c>
      <c r="T1586" s="531" t="str">
        <f t="shared" si="648"/>
        <v/>
      </c>
      <c r="U1586" s="533">
        <f t="shared" si="649"/>
        <v>0</v>
      </c>
      <c r="V1586" s="531" t="str">
        <f t="shared" si="650"/>
        <v/>
      </c>
      <c r="W1586" s="531" t="str">
        <f t="shared" si="651"/>
        <v/>
      </c>
      <c r="X1586" s="534" t="str">
        <f t="shared" si="652"/>
        <v/>
      </c>
      <c r="Y1586" s="535" t="str">
        <f>IF($A1586="","",IF($I1586="weekly",$A1586+7,EDATE($A1586,VLOOKUP($I1586,Ref!$B$24:$C$29,2,0))))</f>
        <v/>
      </c>
      <c r="Z1586" s="536" t="str">
        <f t="shared" si="653"/>
        <v/>
      </c>
      <c r="AA1586" s="531">
        <f t="shared" si="654"/>
        <v>0</v>
      </c>
      <c r="AB1586" s="535" t="str">
        <f t="shared" si="642"/>
        <v/>
      </c>
      <c r="AC1586" s="537" t="str">
        <f t="shared" si="643"/>
        <v/>
      </c>
      <c r="AD1586" s="538" t="str">
        <f t="shared" ca="1" si="644"/>
        <v/>
      </c>
      <c r="AE1586" s="537">
        <f t="shared" ca="1" si="645"/>
        <v>0</v>
      </c>
      <c r="AF1586" s="539" t="str">
        <f t="shared" ca="1" si="655"/>
        <v/>
      </c>
      <c r="AG1586" s="531" t="str">
        <f t="shared" ca="1" si="656"/>
        <v/>
      </c>
      <c r="AH1586" s="531" t="str">
        <f t="shared" ca="1" si="657"/>
        <v/>
      </c>
      <c r="AI1586" s="531" t="str">
        <f t="shared" ca="1" si="658"/>
        <v/>
      </c>
      <c r="AJ1586" s="531" t="str">
        <f t="shared" si="659"/>
        <v/>
      </c>
      <c r="AK1586" s="540">
        <f>SUMIFS('Live Collections'!$S:$S,'Live Collections'!$D:$D,Disbursements!B1586,'Live Collections'!$G:$G,Disbursements!C1586)</f>
        <v>0</v>
      </c>
      <c r="AL1586" s="540">
        <f>SUMIFS('Live Collections'!$T:$T,'Live Collections'!$D:$D,Disbursements!B1586,'Live Collections'!$G:$G,Disbursements!C1586)</f>
        <v>0</v>
      </c>
      <c r="AM1586" s="541">
        <f t="shared" si="660"/>
        <v>0</v>
      </c>
      <c r="AN1586" s="542" t="str">
        <f t="shared" si="661"/>
        <v/>
      </c>
      <c r="AO1586" s="542" t="str">
        <f t="shared" si="662"/>
        <v/>
      </c>
      <c r="AP1586" s="543" t="str">
        <f t="shared" si="663"/>
        <v/>
      </c>
      <c r="AQ1586" s="544" t="str">
        <f t="shared" si="664"/>
        <v/>
      </c>
      <c r="AR1586" s="545">
        <f t="shared" si="665"/>
        <v>0</v>
      </c>
      <c r="AS1586" s="545">
        <f>IFERROR(CEILING($AR1586*VLOOKUP($I1586,Ref!$B$23:$E$29,4,0),1),0)</f>
        <v>0</v>
      </c>
      <c r="AT1586" s="545" t="str">
        <f>IF(A1586="","",IF(AP1586&lt;=1,"Cleared",IF(AS1586=0,"Clean",VLOOKUP($AS1586,Ref!$G$23:$H$28,2))))</f>
        <v/>
      </c>
      <c r="AU1586" s="546" t="str">
        <f t="shared" si="666"/>
        <v/>
      </c>
    </row>
    <row r="1587" spans="1:47" ht="14.25" hidden="1" customHeight="1" x14ac:dyDescent="0.15">
      <c r="A1587" s="575"/>
      <c r="B1587" s="548"/>
      <c r="C1587" s="548"/>
      <c r="D1587" s="548"/>
      <c r="E1587" s="583"/>
      <c r="F1587" s="584"/>
      <c r="G1587" s="548"/>
      <c r="H1587" s="550"/>
      <c r="I1587" s="560"/>
      <c r="J1587" s="548"/>
      <c r="K1587" s="528" t="str">
        <f>IFERROR(VLOOKUP($B1587,'Clients-Live'!$A:$C,3,0),"")</f>
        <v/>
      </c>
      <c r="L1587" s="528">
        <f>IF(E1587="STL",Pricing!$D$38,IF(A1587="",0,IF(A1587&lt;Pricing!$C$25,Pricing!$D$25,VLOOKUP(Disbursements!$F1587,Pricing!$B$29:$D$32,3))))</f>
        <v>0</v>
      </c>
      <c r="M1587" s="528">
        <f>IF(E1587="STL",0,IF(F1587&gt;0,Pricing!$D$21,0))</f>
        <v>0</v>
      </c>
      <c r="N1587" s="529">
        <f>IF(E1587="STL",F1587*Pricing!$D$40,IF(A1587&lt;=Pricing!$C$4,0,IF(AND(A1587&gt;Pricing!$C$4,Disbursements!A1587&lt;=Pricing!$C$5),F1587*Pricing!$E$5,IF(AND(A1587&gt;Pricing!$C$5,Disbursements!A1587&lt;=Pricing!$C$7),VLOOKUP(F1587,Pricing!$D$7:$E$8,2)*Disbursements!F1587,F1587*Pricing!$E$9))))</f>
        <v>0</v>
      </c>
      <c r="O1587" s="528">
        <f>IF(E1587="STL",0,IF($F1587&gt;0,$F1587*Pricing!$D$17,0))</f>
        <v>0</v>
      </c>
      <c r="P1587" s="530" t="str">
        <f t="shared" si="646"/>
        <v/>
      </c>
      <c r="Q1587" s="531" t="str">
        <f>IF($A1587="","",$G1587/VLOOKUP($I1587,Ref!$B$23:$D$29,2,0))</f>
        <v/>
      </c>
      <c r="R1587" s="530" t="str">
        <f t="shared" si="647"/>
        <v/>
      </c>
      <c r="S1587" s="532" t="str">
        <f t="shared" si="641"/>
        <v/>
      </c>
      <c r="T1587" s="531" t="str">
        <f t="shared" si="648"/>
        <v/>
      </c>
      <c r="U1587" s="533">
        <f t="shared" si="649"/>
        <v>0</v>
      </c>
      <c r="V1587" s="531" t="str">
        <f t="shared" si="650"/>
        <v/>
      </c>
      <c r="W1587" s="531" t="str">
        <f t="shared" si="651"/>
        <v/>
      </c>
      <c r="X1587" s="534" t="str">
        <f t="shared" si="652"/>
        <v/>
      </c>
      <c r="Y1587" s="535" t="str">
        <f>IF($A1587="","",IF($I1587="weekly",$A1587+7,EDATE($A1587,VLOOKUP($I1587,Ref!$B$24:$C$29,2,0))))</f>
        <v/>
      </c>
      <c r="Z1587" s="536" t="str">
        <f t="shared" si="653"/>
        <v/>
      </c>
      <c r="AA1587" s="531">
        <f t="shared" si="654"/>
        <v>0</v>
      </c>
      <c r="AB1587" s="535" t="str">
        <f t="shared" si="642"/>
        <v/>
      </c>
      <c r="AC1587" s="537" t="str">
        <f t="shared" si="643"/>
        <v/>
      </c>
      <c r="AD1587" s="538" t="str">
        <f t="shared" ca="1" si="644"/>
        <v/>
      </c>
      <c r="AE1587" s="537">
        <f t="shared" ca="1" si="645"/>
        <v>0</v>
      </c>
      <c r="AF1587" s="539" t="str">
        <f t="shared" ca="1" si="655"/>
        <v/>
      </c>
      <c r="AG1587" s="531" t="str">
        <f t="shared" ca="1" si="656"/>
        <v/>
      </c>
      <c r="AH1587" s="531" t="str">
        <f t="shared" ca="1" si="657"/>
        <v/>
      </c>
      <c r="AI1587" s="531" t="str">
        <f t="shared" ca="1" si="658"/>
        <v/>
      </c>
      <c r="AJ1587" s="531" t="str">
        <f t="shared" si="659"/>
        <v/>
      </c>
      <c r="AK1587" s="540">
        <f>SUMIFS('Live Collections'!$S:$S,'Live Collections'!$D:$D,Disbursements!B1587,'Live Collections'!$G:$G,Disbursements!C1587)</f>
        <v>0</v>
      </c>
      <c r="AL1587" s="540">
        <f>SUMIFS('Live Collections'!$T:$T,'Live Collections'!$D:$D,Disbursements!B1587,'Live Collections'!$G:$G,Disbursements!C1587)</f>
        <v>0</v>
      </c>
      <c r="AM1587" s="541">
        <f t="shared" si="660"/>
        <v>0</v>
      </c>
      <c r="AN1587" s="542" t="str">
        <f t="shared" si="661"/>
        <v/>
      </c>
      <c r="AO1587" s="542" t="str">
        <f t="shared" si="662"/>
        <v/>
      </c>
      <c r="AP1587" s="543" t="str">
        <f t="shared" si="663"/>
        <v/>
      </c>
      <c r="AQ1587" s="544" t="str">
        <f t="shared" si="664"/>
        <v/>
      </c>
      <c r="AR1587" s="545">
        <f t="shared" si="665"/>
        <v>0</v>
      </c>
      <c r="AS1587" s="545">
        <f>IFERROR(CEILING($AR1587*VLOOKUP($I1587,Ref!$B$23:$E$29,4,0),1),0)</f>
        <v>0</v>
      </c>
      <c r="AT1587" s="545" t="str">
        <f>IF(A1587="","",IF(AP1587&lt;=1,"Cleared",IF(AS1587=0,"Clean",VLOOKUP($AS1587,Ref!$G$23:$H$28,2))))</f>
        <v/>
      </c>
      <c r="AU1587" s="546" t="str">
        <f t="shared" si="666"/>
        <v/>
      </c>
    </row>
    <row r="1588" spans="1:47" ht="14.25" hidden="1" customHeight="1" x14ac:dyDescent="0.15">
      <c r="A1588" s="575"/>
      <c r="B1588" s="548"/>
      <c r="C1588" s="548"/>
      <c r="D1588" s="548"/>
      <c r="E1588" s="583"/>
      <c r="F1588" s="584"/>
      <c r="G1588" s="548"/>
      <c r="H1588" s="550"/>
      <c r="I1588" s="560"/>
      <c r="J1588" s="548"/>
      <c r="K1588" s="528" t="str">
        <f>IFERROR(VLOOKUP($B1588,'Clients-Live'!$A:$C,3,0),"")</f>
        <v/>
      </c>
      <c r="L1588" s="528">
        <f>IF(E1588="STL",Pricing!$D$38,IF(A1588="",0,IF(A1588&lt;Pricing!$C$25,Pricing!$D$25,VLOOKUP(Disbursements!$F1588,Pricing!$B$29:$D$32,3))))</f>
        <v>0</v>
      </c>
      <c r="M1588" s="528">
        <f>IF(E1588="STL",0,IF(F1588&gt;0,Pricing!$D$21,0))</f>
        <v>0</v>
      </c>
      <c r="N1588" s="529">
        <f>IF(E1588="STL",F1588*Pricing!$D$40,IF(A1588&lt;=Pricing!$C$4,0,IF(AND(A1588&gt;Pricing!$C$4,Disbursements!A1588&lt;=Pricing!$C$5),F1588*Pricing!$E$5,IF(AND(A1588&gt;Pricing!$C$5,Disbursements!A1588&lt;=Pricing!$C$7),VLOOKUP(F1588,Pricing!$D$7:$E$8,2)*Disbursements!F1588,F1588*Pricing!$E$9))))</f>
        <v>0</v>
      </c>
      <c r="O1588" s="528">
        <f>IF(E1588="STL",0,IF($F1588&gt;0,$F1588*Pricing!$D$17,0))</f>
        <v>0</v>
      </c>
      <c r="P1588" s="530" t="str">
        <f t="shared" si="646"/>
        <v/>
      </c>
      <c r="Q1588" s="531" t="str">
        <f>IF($A1588="","",$G1588/VLOOKUP($I1588,Ref!$B$23:$D$29,2,0))</f>
        <v/>
      </c>
      <c r="R1588" s="530" t="str">
        <f t="shared" si="647"/>
        <v/>
      </c>
      <c r="S1588" s="532" t="str">
        <f t="shared" si="641"/>
        <v/>
      </c>
      <c r="T1588" s="531" t="str">
        <f t="shared" si="648"/>
        <v/>
      </c>
      <c r="U1588" s="533">
        <f t="shared" si="649"/>
        <v>0</v>
      </c>
      <c r="V1588" s="531" t="str">
        <f t="shared" si="650"/>
        <v/>
      </c>
      <c r="W1588" s="531" t="str">
        <f t="shared" si="651"/>
        <v/>
      </c>
      <c r="X1588" s="534" t="str">
        <f t="shared" si="652"/>
        <v/>
      </c>
      <c r="Y1588" s="535" t="str">
        <f>IF($A1588="","",IF($I1588="weekly",$A1588+7,EDATE($A1588,VLOOKUP($I1588,Ref!$B$24:$C$29,2,0))))</f>
        <v/>
      </c>
      <c r="Z1588" s="536" t="str">
        <f t="shared" si="653"/>
        <v/>
      </c>
      <c r="AA1588" s="531">
        <f t="shared" si="654"/>
        <v>0</v>
      </c>
      <c r="AB1588" s="535" t="str">
        <f t="shared" si="642"/>
        <v/>
      </c>
      <c r="AC1588" s="537" t="str">
        <f t="shared" si="643"/>
        <v/>
      </c>
      <c r="AD1588" s="538" t="str">
        <f t="shared" ca="1" si="644"/>
        <v/>
      </c>
      <c r="AE1588" s="537">
        <f t="shared" ca="1" si="645"/>
        <v>0</v>
      </c>
      <c r="AF1588" s="539" t="str">
        <f t="shared" ca="1" si="655"/>
        <v/>
      </c>
      <c r="AG1588" s="531" t="str">
        <f t="shared" ca="1" si="656"/>
        <v/>
      </c>
      <c r="AH1588" s="531" t="str">
        <f t="shared" ca="1" si="657"/>
        <v/>
      </c>
      <c r="AI1588" s="531" t="str">
        <f t="shared" ca="1" si="658"/>
        <v/>
      </c>
      <c r="AJ1588" s="531" t="str">
        <f t="shared" si="659"/>
        <v/>
      </c>
      <c r="AK1588" s="540">
        <f>SUMIFS('Live Collections'!$S:$S,'Live Collections'!$D:$D,Disbursements!B1588,'Live Collections'!$G:$G,Disbursements!C1588)</f>
        <v>0</v>
      </c>
      <c r="AL1588" s="540">
        <f>SUMIFS('Live Collections'!$T:$T,'Live Collections'!$D:$D,Disbursements!B1588,'Live Collections'!$G:$G,Disbursements!C1588)</f>
        <v>0</v>
      </c>
      <c r="AM1588" s="541">
        <f t="shared" si="660"/>
        <v>0</v>
      </c>
      <c r="AN1588" s="542" t="str">
        <f t="shared" si="661"/>
        <v/>
      </c>
      <c r="AO1588" s="542" t="str">
        <f t="shared" si="662"/>
        <v/>
      </c>
      <c r="AP1588" s="543" t="str">
        <f t="shared" si="663"/>
        <v/>
      </c>
      <c r="AQ1588" s="544" t="str">
        <f t="shared" si="664"/>
        <v/>
      </c>
      <c r="AR1588" s="545">
        <f t="shared" si="665"/>
        <v>0</v>
      </c>
      <c r="AS1588" s="545">
        <f>IFERROR(CEILING($AR1588*VLOOKUP($I1588,Ref!$B$23:$E$29,4,0),1),0)</f>
        <v>0</v>
      </c>
      <c r="AT1588" s="545" t="str">
        <f>IF(A1588="","",IF(AP1588&lt;=1,"Cleared",IF(AS1588=0,"Clean",VLOOKUP($AS1588,Ref!$G$23:$H$28,2))))</f>
        <v/>
      </c>
      <c r="AU1588" s="546" t="str">
        <f t="shared" si="666"/>
        <v/>
      </c>
    </row>
    <row r="1589" spans="1:47" ht="14.25" hidden="1" customHeight="1" x14ac:dyDescent="0.15">
      <c r="A1589" s="575"/>
      <c r="B1589" s="548"/>
      <c r="C1589" s="548"/>
      <c r="D1589" s="548"/>
      <c r="E1589" s="583"/>
      <c r="F1589" s="584"/>
      <c r="G1589" s="548"/>
      <c r="H1589" s="550"/>
      <c r="I1589" s="560"/>
      <c r="J1589" s="548"/>
      <c r="K1589" s="528" t="str">
        <f>IFERROR(VLOOKUP($B1589,'Clients-Live'!$A:$C,3,0),"")</f>
        <v/>
      </c>
      <c r="L1589" s="528">
        <f>IF(E1589="STL",Pricing!$D$38,IF(A1589="",0,IF(A1589&lt;Pricing!$C$25,Pricing!$D$25,VLOOKUP(Disbursements!$F1589,Pricing!$B$29:$D$32,3))))</f>
        <v>0</v>
      </c>
      <c r="M1589" s="528">
        <f>IF(E1589="STL",0,IF(F1589&gt;0,Pricing!$D$21,0))</f>
        <v>0</v>
      </c>
      <c r="N1589" s="529">
        <f>IF(E1589="STL",F1589*Pricing!$D$40,IF(A1589&lt;=Pricing!$C$4,0,IF(AND(A1589&gt;Pricing!$C$4,Disbursements!A1589&lt;=Pricing!$C$5),F1589*Pricing!$E$5,IF(AND(A1589&gt;Pricing!$C$5,Disbursements!A1589&lt;=Pricing!$C$7),VLOOKUP(F1589,Pricing!$D$7:$E$8,2)*Disbursements!F1589,F1589*Pricing!$E$9))))</f>
        <v>0</v>
      </c>
      <c r="O1589" s="528">
        <f>IF(E1589="STL",0,IF($F1589&gt;0,$F1589*Pricing!$D$17,0))</f>
        <v>0</v>
      </c>
      <c r="P1589" s="530" t="str">
        <f t="shared" si="646"/>
        <v/>
      </c>
      <c r="Q1589" s="531" t="str">
        <f>IF($A1589="","",$G1589/VLOOKUP($I1589,Ref!$B$23:$D$29,2,0))</f>
        <v/>
      </c>
      <c r="R1589" s="530" t="str">
        <f t="shared" si="647"/>
        <v/>
      </c>
      <c r="S1589" s="532" t="str">
        <f t="shared" si="641"/>
        <v/>
      </c>
      <c r="T1589" s="531" t="str">
        <f t="shared" si="648"/>
        <v/>
      </c>
      <c r="U1589" s="533">
        <f t="shared" si="649"/>
        <v>0</v>
      </c>
      <c r="V1589" s="531" t="str">
        <f t="shared" si="650"/>
        <v/>
      </c>
      <c r="W1589" s="531" t="str">
        <f t="shared" si="651"/>
        <v/>
      </c>
      <c r="X1589" s="534" t="str">
        <f t="shared" si="652"/>
        <v/>
      </c>
      <c r="Y1589" s="535" t="str">
        <f>IF($A1589="","",IF($I1589="weekly",$A1589+7,EDATE($A1589,VLOOKUP($I1589,Ref!$B$24:$C$29,2,0))))</f>
        <v/>
      </c>
      <c r="Z1589" s="536" t="str">
        <f t="shared" si="653"/>
        <v/>
      </c>
      <c r="AA1589" s="531">
        <f t="shared" si="654"/>
        <v>0</v>
      </c>
      <c r="AB1589" s="535" t="str">
        <f t="shared" si="642"/>
        <v/>
      </c>
      <c r="AC1589" s="537" t="str">
        <f t="shared" si="643"/>
        <v/>
      </c>
      <c r="AD1589" s="538" t="str">
        <f t="shared" ca="1" si="644"/>
        <v/>
      </c>
      <c r="AE1589" s="537">
        <f t="shared" ca="1" si="645"/>
        <v>0</v>
      </c>
      <c r="AF1589" s="539" t="str">
        <f t="shared" ca="1" si="655"/>
        <v/>
      </c>
      <c r="AG1589" s="531" t="str">
        <f t="shared" ca="1" si="656"/>
        <v/>
      </c>
      <c r="AH1589" s="531" t="str">
        <f t="shared" ca="1" si="657"/>
        <v/>
      </c>
      <c r="AI1589" s="531" t="str">
        <f t="shared" ca="1" si="658"/>
        <v/>
      </c>
      <c r="AJ1589" s="531" t="str">
        <f t="shared" si="659"/>
        <v/>
      </c>
      <c r="AK1589" s="540">
        <f>SUMIFS('Live Collections'!$S:$S,'Live Collections'!$D:$D,Disbursements!B1589,'Live Collections'!$G:$G,Disbursements!C1589)</f>
        <v>0</v>
      </c>
      <c r="AL1589" s="540">
        <f>SUMIFS('Live Collections'!$T:$T,'Live Collections'!$D:$D,Disbursements!B1589,'Live Collections'!$G:$G,Disbursements!C1589)</f>
        <v>0</v>
      </c>
      <c r="AM1589" s="541">
        <f t="shared" si="660"/>
        <v>0</v>
      </c>
      <c r="AN1589" s="542" t="str">
        <f t="shared" si="661"/>
        <v/>
      </c>
      <c r="AO1589" s="542" t="str">
        <f t="shared" si="662"/>
        <v/>
      </c>
      <c r="AP1589" s="543" t="str">
        <f t="shared" si="663"/>
        <v/>
      </c>
      <c r="AQ1589" s="544" t="str">
        <f t="shared" si="664"/>
        <v/>
      </c>
      <c r="AR1589" s="545">
        <f t="shared" si="665"/>
        <v>0</v>
      </c>
      <c r="AS1589" s="545">
        <f>IFERROR(CEILING($AR1589*VLOOKUP($I1589,Ref!$B$23:$E$29,4,0),1),0)</f>
        <v>0</v>
      </c>
      <c r="AT1589" s="545" t="str">
        <f>IF(A1589="","",IF(AP1589&lt;=1,"Cleared",IF(AS1589=0,"Clean",VLOOKUP($AS1589,Ref!$G$23:$H$28,2))))</f>
        <v/>
      </c>
      <c r="AU1589" s="546" t="str">
        <f t="shared" si="666"/>
        <v/>
      </c>
    </row>
    <row r="1590" spans="1:47" ht="14.25" hidden="1" customHeight="1" x14ac:dyDescent="0.15">
      <c r="A1590" s="575"/>
      <c r="B1590" s="548"/>
      <c r="C1590" s="548"/>
      <c r="D1590" s="548"/>
      <c r="E1590" s="583"/>
      <c r="F1590" s="584"/>
      <c r="G1590" s="548"/>
      <c r="H1590" s="550"/>
      <c r="I1590" s="560"/>
      <c r="J1590" s="548"/>
      <c r="K1590" s="528" t="str">
        <f>IFERROR(VLOOKUP($B1590,'Clients-Live'!$A:$C,3,0),"")</f>
        <v/>
      </c>
      <c r="L1590" s="528">
        <f>IF(E1590="STL",Pricing!$D$38,IF(A1590="",0,IF(A1590&lt;Pricing!$C$25,Pricing!$D$25,VLOOKUP(Disbursements!$F1590,Pricing!$B$29:$D$32,3))))</f>
        <v>0</v>
      </c>
      <c r="M1590" s="528">
        <f>IF(E1590="STL",0,IF(F1590&gt;0,Pricing!$D$21,0))</f>
        <v>0</v>
      </c>
      <c r="N1590" s="529">
        <f>IF(E1590="STL",F1590*Pricing!$D$40,IF(A1590&lt;=Pricing!$C$4,0,IF(AND(A1590&gt;Pricing!$C$4,Disbursements!A1590&lt;=Pricing!$C$5),F1590*Pricing!$E$5,IF(AND(A1590&gt;Pricing!$C$5,Disbursements!A1590&lt;=Pricing!$C$7),VLOOKUP(F1590,Pricing!$D$7:$E$8,2)*Disbursements!F1590,F1590*Pricing!$E$9))))</f>
        <v>0</v>
      </c>
      <c r="O1590" s="528">
        <f>IF(E1590="STL",0,IF($F1590&gt;0,$F1590*Pricing!$D$17,0))</f>
        <v>0</v>
      </c>
      <c r="P1590" s="530" t="str">
        <f t="shared" si="646"/>
        <v/>
      </c>
      <c r="Q1590" s="531" t="str">
        <f>IF($A1590="","",$G1590/VLOOKUP($I1590,Ref!$B$23:$D$29,2,0))</f>
        <v/>
      </c>
      <c r="R1590" s="530" t="str">
        <f t="shared" si="647"/>
        <v/>
      </c>
      <c r="S1590" s="532" t="str">
        <f t="shared" si="641"/>
        <v/>
      </c>
      <c r="T1590" s="531" t="str">
        <f t="shared" si="648"/>
        <v/>
      </c>
      <c r="U1590" s="533">
        <f t="shared" si="649"/>
        <v>0</v>
      </c>
      <c r="V1590" s="531" t="str">
        <f t="shared" si="650"/>
        <v/>
      </c>
      <c r="W1590" s="531" t="str">
        <f t="shared" si="651"/>
        <v/>
      </c>
      <c r="X1590" s="534" t="str">
        <f t="shared" si="652"/>
        <v/>
      </c>
      <c r="Y1590" s="535" t="str">
        <f>IF($A1590="","",IF($I1590="weekly",$A1590+7,EDATE($A1590,VLOOKUP($I1590,Ref!$B$24:$C$29,2,0))))</f>
        <v/>
      </c>
      <c r="Z1590" s="536" t="str">
        <f t="shared" si="653"/>
        <v/>
      </c>
      <c r="AA1590" s="531">
        <f t="shared" si="654"/>
        <v>0</v>
      </c>
      <c r="AB1590" s="535" t="str">
        <f t="shared" si="642"/>
        <v/>
      </c>
      <c r="AC1590" s="537" t="str">
        <f t="shared" si="643"/>
        <v/>
      </c>
      <c r="AD1590" s="538" t="str">
        <f t="shared" ca="1" si="644"/>
        <v/>
      </c>
      <c r="AE1590" s="537">
        <f t="shared" ca="1" si="645"/>
        <v>0</v>
      </c>
      <c r="AF1590" s="539" t="str">
        <f t="shared" ca="1" si="655"/>
        <v/>
      </c>
      <c r="AG1590" s="531" t="str">
        <f t="shared" ca="1" si="656"/>
        <v/>
      </c>
      <c r="AH1590" s="531" t="str">
        <f t="shared" ca="1" si="657"/>
        <v/>
      </c>
      <c r="AI1590" s="531" t="str">
        <f t="shared" ca="1" si="658"/>
        <v/>
      </c>
      <c r="AJ1590" s="531" t="str">
        <f t="shared" si="659"/>
        <v/>
      </c>
      <c r="AK1590" s="540">
        <f>SUMIFS('Live Collections'!$S:$S,'Live Collections'!$D:$D,Disbursements!B1590,'Live Collections'!$G:$G,Disbursements!C1590)</f>
        <v>0</v>
      </c>
      <c r="AL1590" s="540">
        <f>SUMIFS('Live Collections'!$T:$T,'Live Collections'!$D:$D,Disbursements!B1590,'Live Collections'!$G:$G,Disbursements!C1590)</f>
        <v>0</v>
      </c>
      <c r="AM1590" s="541">
        <f t="shared" si="660"/>
        <v>0</v>
      </c>
      <c r="AN1590" s="542" t="str">
        <f t="shared" si="661"/>
        <v/>
      </c>
      <c r="AO1590" s="542" t="str">
        <f t="shared" si="662"/>
        <v/>
      </c>
      <c r="AP1590" s="543" t="str">
        <f t="shared" si="663"/>
        <v/>
      </c>
      <c r="AQ1590" s="544" t="str">
        <f t="shared" si="664"/>
        <v/>
      </c>
      <c r="AR1590" s="545">
        <f t="shared" si="665"/>
        <v>0</v>
      </c>
      <c r="AS1590" s="545">
        <f>IFERROR(CEILING($AR1590*VLOOKUP($I1590,Ref!$B$23:$E$29,4,0),1),0)</f>
        <v>0</v>
      </c>
      <c r="AT1590" s="545" t="str">
        <f>IF(A1590="","",IF(AP1590&lt;=1,"Cleared",IF(AS1590=0,"Clean",VLOOKUP($AS1590,Ref!$G$23:$H$28,2))))</f>
        <v/>
      </c>
      <c r="AU1590" s="546" t="str">
        <f t="shared" si="666"/>
        <v/>
      </c>
    </row>
    <row r="1591" spans="1:47" ht="14.25" hidden="1" customHeight="1" x14ac:dyDescent="0.15">
      <c r="A1591" s="575"/>
      <c r="B1591" s="548"/>
      <c r="C1591" s="548"/>
      <c r="D1591" s="548"/>
      <c r="E1591" s="583"/>
      <c r="F1591" s="584"/>
      <c r="G1591" s="548"/>
      <c r="H1591" s="550"/>
      <c r="I1591" s="560"/>
      <c r="J1591" s="548"/>
      <c r="K1591" s="528" t="str">
        <f>IFERROR(VLOOKUP($B1591,'Clients-Live'!$A:$C,3,0),"")</f>
        <v/>
      </c>
      <c r="L1591" s="528">
        <f>IF(E1591="STL",Pricing!$D$38,IF(A1591="",0,IF(A1591&lt;Pricing!$C$25,Pricing!$D$25,VLOOKUP(Disbursements!$F1591,Pricing!$B$29:$D$32,3))))</f>
        <v>0</v>
      </c>
      <c r="M1591" s="528">
        <f>IF(E1591="STL",0,IF(F1591&gt;0,Pricing!$D$21,0))</f>
        <v>0</v>
      </c>
      <c r="N1591" s="529">
        <f>IF(E1591="STL",F1591*Pricing!$D$40,IF(A1591&lt;=Pricing!$C$4,0,IF(AND(A1591&gt;Pricing!$C$4,Disbursements!A1591&lt;=Pricing!$C$5),F1591*Pricing!$E$5,IF(AND(A1591&gt;Pricing!$C$5,Disbursements!A1591&lt;=Pricing!$C$7),VLOOKUP(F1591,Pricing!$D$7:$E$8,2)*Disbursements!F1591,F1591*Pricing!$E$9))))</f>
        <v>0</v>
      </c>
      <c r="O1591" s="528">
        <f>IF(E1591="STL",0,IF($F1591&gt;0,$F1591*Pricing!$D$17,0))</f>
        <v>0</v>
      </c>
      <c r="P1591" s="530" t="str">
        <f t="shared" si="646"/>
        <v/>
      </c>
      <c r="Q1591" s="531" t="str">
        <f>IF($A1591="","",$G1591/VLOOKUP($I1591,Ref!$B$23:$D$29,2,0))</f>
        <v/>
      </c>
      <c r="R1591" s="530" t="str">
        <f t="shared" si="647"/>
        <v/>
      </c>
      <c r="S1591" s="532" t="str">
        <f t="shared" si="641"/>
        <v/>
      </c>
      <c r="T1591" s="531" t="str">
        <f t="shared" si="648"/>
        <v/>
      </c>
      <c r="U1591" s="533">
        <f t="shared" si="649"/>
        <v>0</v>
      </c>
      <c r="V1591" s="531" t="str">
        <f t="shared" si="650"/>
        <v/>
      </c>
      <c r="W1591" s="531" t="str">
        <f t="shared" si="651"/>
        <v/>
      </c>
      <c r="X1591" s="534" t="str">
        <f t="shared" si="652"/>
        <v/>
      </c>
      <c r="Y1591" s="535" t="str">
        <f>IF($A1591="","",IF($I1591="weekly",$A1591+7,EDATE($A1591,VLOOKUP($I1591,Ref!$B$24:$C$29,2,0))))</f>
        <v/>
      </c>
      <c r="Z1591" s="536" t="str">
        <f t="shared" si="653"/>
        <v/>
      </c>
      <c r="AA1591" s="531">
        <f t="shared" si="654"/>
        <v>0</v>
      </c>
      <c r="AB1591" s="535" t="str">
        <f t="shared" si="642"/>
        <v/>
      </c>
      <c r="AC1591" s="537" t="str">
        <f t="shared" si="643"/>
        <v/>
      </c>
      <c r="AD1591" s="538" t="str">
        <f t="shared" ca="1" si="644"/>
        <v/>
      </c>
      <c r="AE1591" s="537">
        <f t="shared" ca="1" si="645"/>
        <v>0</v>
      </c>
      <c r="AF1591" s="539" t="str">
        <f t="shared" ca="1" si="655"/>
        <v/>
      </c>
      <c r="AG1591" s="531" t="str">
        <f t="shared" ca="1" si="656"/>
        <v/>
      </c>
      <c r="AH1591" s="531" t="str">
        <f t="shared" ca="1" si="657"/>
        <v/>
      </c>
      <c r="AI1591" s="531" t="str">
        <f t="shared" ca="1" si="658"/>
        <v/>
      </c>
      <c r="AJ1591" s="531" t="str">
        <f t="shared" si="659"/>
        <v/>
      </c>
      <c r="AK1591" s="540">
        <f>SUMIFS('Live Collections'!$S:$S,'Live Collections'!$D:$D,Disbursements!B1591,'Live Collections'!$G:$G,Disbursements!C1591)</f>
        <v>0</v>
      </c>
      <c r="AL1591" s="540">
        <f>SUMIFS('Live Collections'!$T:$T,'Live Collections'!$D:$D,Disbursements!B1591,'Live Collections'!$G:$G,Disbursements!C1591)</f>
        <v>0</v>
      </c>
      <c r="AM1591" s="541">
        <f t="shared" si="660"/>
        <v>0</v>
      </c>
      <c r="AN1591" s="542" t="str">
        <f t="shared" si="661"/>
        <v/>
      </c>
      <c r="AO1591" s="542" t="str">
        <f t="shared" si="662"/>
        <v/>
      </c>
      <c r="AP1591" s="543" t="str">
        <f t="shared" si="663"/>
        <v/>
      </c>
      <c r="AQ1591" s="544" t="str">
        <f t="shared" si="664"/>
        <v/>
      </c>
      <c r="AR1591" s="545">
        <f t="shared" si="665"/>
        <v>0</v>
      </c>
      <c r="AS1591" s="545">
        <f>IFERROR(CEILING($AR1591*VLOOKUP($I1591,Ref!$B$23:$E$29,4,0),1),0)</f>
        <v>0</v>
      </c>
      <c r="AT1591" s="545" t="str">
        <f>IF(A1591="","",IF(AP1591&lt;=1,"Cleared",IF(AS1591=0,"Clean",VLOOKUP($AS1591,Ref!$G$23:$H$28,2))))</f>
        <v/>
      </c>
      <c r="AU1591" s="546" t="str">
        <f t="shared" si="666"/>
        <v/>
      </c>
    </row>
    <row r="1592" spans="1:47" ht="14.25" hidden="1" customHeight="1" x14ac:dyDescent="0.15">
      <c r="A1592" s="575"/>
      <c r="B1592" s="548"/>
      <c r="C1592" s="548"/>
      <c r="D1592" s="548"/>
      <c r="E1592" s="583"/>
      <c r="F1592" s="584"/>
      <c r="G1592" s="548"/>
      <c r="H1592" s="550"/>
      <c r="I1592" s="560"/>
      <c r="J1592" s="548"/>
      <c r="K1592" s="528" t="str">
        <f>IFERROR(VLOOKUP($B1592,'Clients-Live'!$A:$C,3,0),"")</f>
        <v/>
      </c>
      <c r="L1592" s="528">
        <f>IF(E1592="STL",Pricing!$D$38,IF(A1592="",0,IF(A1592&lt;Pricing!$C$25,Pricing!$D$25,VLOOKUP(Disbursements!$F1592,Pricing!$B$29:$D$32,3))))</f>
        <v>0</v>
      </c>
      <c r="M1592" s="528">
        <f>IF(E1592="STL",0,IF(F1592&gt;0,Pricing!$D$21,0))</f>
        <v>0</v>
      </c>
      <c r="N1592" s="529">
        <f>IF(E1592="STL",F1592*Pricing!$D$40,IF(A1592&lt;=Pricing!$C$4,0,IF(AND(A1592&gt;Pricing!$C$4,Disbursements!A1592&lt;=Pricing!$C$5),F1592*Pricing!$E$5,IF(AND(A1592&gt;Pricing!$C$5,Disbursements!A1592&lt;=Pricing!$C$7),VLOOKUP(F1592,Pricing!$D$7:$E$8,2)*Disbursements!F1592,F1592*Pricing!$E$9))))</f>
        <v>0</v>
      </c>
      <c r="O1592" s="528">
        <f>IF(E1592="STL",0,IF($F1592&gt;0,$F1592*Pricing!$D$17,0))</f>
        <v>0</v>
      </c>
      <c r="P1592" s="530" t="str">
        <f t="shared" si="646"/>
        <v/>
      </c>
      <c r="Q1592" s="531" t="str">
        <f>IF($A1592="","",$G1592/VLOOKUP($I1592,Ref!$B$23:$D$29,2,0))</f>
        <v/>
      </c>
      <c r="R1592" s="530" t="str">
        <f t="shared" si="647"/>
        <v/>
      </c>
      <c r="S1592" s="532" t="str">
        <f t="shared" si="641"/>
        <v/>
      </c>
      <c r="T1592" s="531" t="str">
        <f t="shared" si="648"/>
        <v/>
      </c>
      <c r="U1592" s="533">
        <f t="shared" si="649"/>
        <v>0</v>
      </c>
      <c r="V1592" s="531" t="str">
        <f t="shared" si="650"/>
        <v/>
      </c>
      <c r="W1592" s="531" t="str">
        <f t="shared" si="651"/>
        <v/>
      </c>
      <c r="X1592" s="534" t="str">
        <f t="shared" si="652"/>
        <v/>
      </c>
      <c r="Y1592" s="535" t="str">
        <f>IF($A1592="","",IF($I1592="weekly",$A1592+7,EDATE($A1592,VLOOKUP($I1592,Ref!$B$24:$C$29,2,0))))</f>
        <v/>
      </c>
      <c r="Z1592" s="536" t="str">
        <f t="shared" si="653"/>
        <v/>
      </c>
      <c r="AA1592" s="531">
        <f t="shared" si="654"/>
        <v>0</v>
      </c>
      <c r="AB1592" s="535" t="str">
        <f t="shared" si="642"/>
        <v/>
      </c>
      <c r="AC1592" s="537" t="str">
        <f t="shared" si="643"/>
        <v/>
      </c>
      <c r="AD1592" s="538" t="str">
        <f t="shared" ca="1" si="644"/>
        <v/>
      </c>
      <c r="AE1592" s="537">
        <f t="shared" ca="1" si="645"/>
        <v>0</v>
      </c>
      <c r="AF1592" s="539" t="str">
        <f t="shared" ca="1" si="655"/>
        <v/>
      </c>
      <c r="AG1592" s="531" t="str">
        <f t="shared" ca="1" si="656"/>
        <v/>
      </c>
      <c r="AH1592" s="531" t="str">
        <f t="shared" ca="1" si="657"/>
        <v/>
      </c>
      <c r="AI1592" s="531" t="str">
        <f t="shared" ca="1" si="658"/>
        <v/>
      </c>
      <c r="AJ1592" s="531" t="str">
        <f t="shared" si="659"/>
        <v/>
      </c>
      <c r="AK1592" s="540">
        <f>SUMIFS('Live Collections'!$S:$S,'Live Collections'!$D:$D,Disbursements!B1592,'Live Collections'!$G:$G,Disbursements!C1592)</f>
        <v>0</v>
      </c>
      <c r="AL1592" s="540">
        <f>SUMIFS('Live Collections'!$T:$T,'Live Collections'!$D:$D,Disbursements!B1592,'Live Collections'!$G:$G,Disbursements!C1592)</f>
        <v>0</v>
      </c>
      <c r="AM1592" s="541">
        <f t="shared" si="660"/>
        <v>0</v>
      </c>
      <c r="AN1592" s="542" t="str">
        <f t="shared" si="661"/>
        <v/>
      </c>
      <c r="AO1592" s="542" t="str">
        <f t="shared" si="662"/>
        <v/>
      </c>
      <c r="AP1592" s="543" t="str">
        <f t="shared" si="663"/>
        <v/>
      </c>
      <c r="AQ1592" s="544" t="str">
        <f t="shared" si="664"/>
        <v/>
      </c>
      <c r="AR1592" s="545">
        <f t="shared" si="665"/>
        <v>0</v>
      </c>
      <c r="AS1592" s="545">
        <f>IFERROR(CEILING($AR1592*VLOOKUP($I1592,Ref!$B$23:$E$29,4,0),1),0)</f>
        <v>0</v>
      </c>
      <c r="AT1592" s="545" t="str">
        <f>IF(A1592="","",IF(AP1592&lt;=1,"Cleared",IF(AS1592=0,"Clean",VLOOKUP($AS1592,Ref!$G$23:$H$28,2))))</f>
        <v/>
      </c>
      <c r="AU1592" s="546" t="str">
        <f t="shared" si="666"/>
        <v/>
      </c>
    </row>
    <row r="1593" spans="1:47" ht="14.25" hidden="1" customHeight="1" x14ac:dyDescent="0.15">
      <c r="A1593" s="575"/>
      <c r="B1593" s="548"/>
      <c r="C1593" s="548"/>
      <c r="D1593" s="548"/>
      <c r="E1593" s="583"/>
      <c r="F1593" s="584"/>
      <c r="G1593" s="548"/>
      <c r="H1593" s="550"/>
      <c r="I1593" s="560"/>
      <c r="J1593" s="548"/>
      <c r="K1593" s="528" t="str">
        <f>IFERROR(VLOOKUP($B1593,'Clients-Live'!$A:$C,3,0),"")</f>
        <v/>
      </c>
      <c r="L1593" s="528">
        <f>IF(E1593="STL",Pricing!$D$38,IF(A1593="",0,IF(A1593&lt;Pricing!$C$25,Pricing!$D$25,VLOOKUP(Disbursements!$F1593,Pricing!$B$29:$D$32,3))))</f>
        <v>0</v>
      </c>
      <c r="M1593" s="528">
        <f>IF(E1593="STL",0,IF(F1593&gt;0,Pricing!$D$21,0))</f>
        <v>0</v>
      </c>
      <c r="N1593" s="529">
        <f>IF(E1593="STL",F1593*Pricing!$D$40,IF(A1593&lt;=Pricing!$C$4,0,IF(AND(A1593&gt;Pricing!$C$4,Disbursements!A1593&lt;=Pricing!$C$5),F1593*Pricing!$E$5,IF(AND(A1593&gt;Pricing!$C$5,Disbursements!A1593&lt;=Pricing!$C$7),VLOOKUP(F1593,Pricing!$D$7:$E$8,2)*Disbursements!F1593,F1593*Pricing!$E$9))))</f>
        <v>0</v>
      </c>
      <c r="O1593" s="528">
        <f>IF(E1593="STL",0,IF($F1593&gt;0,$F1593*Pricing!$D$17,0))</f>
        <v>0</v>
      </c>
      <c r="P1593" s="530" t="str">
        <f t="shared" si="646"/>
        <v/>
      </c>
      <c r="Q1593" s="531" t="str">
        <f>IF($A1593="","",$G1593/VLOOKUP($I1593,Ref!$B$23:$D$29,2,0))</f>
        <v/>
      </c>
      <c r="R1593" s="530" t="str">
        <f t="shared" si="647"/>
        <v/>
      </c>
      <c r="S1593" s="532" t="str">
        <f t="shared" si="641"/>
        <v/>
      </c>
      <c r="T1593" s="531" t="str">
        <f t="shared" si="648"/>
        <v/>
      </c>
      <c r="U1593" s="533">
        <f t="shared" si="649"/>
        <v>0</v>
      </c>
      <c r="V1593" s="531" t="str">
        <f t="shared" si="650"/>
        <v/>
      </c>
      <c r="W1593" s="531" t="str">
        <f t="shared" si="651"/>
        <v/>
      </c>
      <c r="X1593" s="534" t="str">
        <f t="shared" si="652"/>
        <v/>
      </c>
      <c r="Y1593" s="535" t="str">
        <f>IF($A1593="","",IF($I1593="weekly",$A1593+7,EDATE($A1593,VLOOKUP($I1593,Ref!$B$24:$C$29,2,0))))</f>
        <v/>
      </c>
      <c r="Z1593" s="536" t="str">
        <f t="shared" si="653"/>
        <v/>
      </c>
      <c r="AA1593" s="531">
        <f t="shared" si="654"/>
        <v>0</v>
      </c>
      <c r="AB1593" s="535" t="str">
        <f t="shared" si="642"/>
        <v/>
      </c>
      <c r="AC1593" s="537" t="str">
        <f t="shared" si="643"/>
        <v/>
      </c>
      <c r="AD1593" s="538" t="str">
        <f t="shared" ca="1" si="644"/>
        <v/>
      </c>
      <c r="AE1593" s="537">
        <f t="shared" ca="1" si="645"/>
        <v>0</v>
      </c>
      <c r="AF1593" s="539" t="str">
        <f t="shared" ca="1" si="655"/>
        <v/>
      </c>
      <c r="AG1593" s="531" t="str">
        <f t="shared" ca="1" si="656"/>
        <v/>
      </c>
      <c r="AH1593" s="531" t="str">
        <f t="shared" ca="1" si="657"/>
        <v/>
      </c>
      <c r="AI1593" s="531" t="str">
        <f t="shared" ca="1" si="658"/>
        <v/>
      </c>
      <c r="AJ1593" s="531" t="str">
        <f t="shared" si="659"/>
        <v/>
      </c>
      <c r="AK1593" s="540">
        <f>SUMIFS('Live Collections'!$S:$S,'Live Collections'!$D:$D,Disbursements!B1593,'Live Collections'!$G:$G,Disbursements!C1593)</f>
        <v>0</v>
      </c>
      <c r="AL1593" s="540">
        <f>SUMIFS('Live Collections'!$T:$T,'Live Collections'!$D:$D,Disbursements!B1593,'Live Collections'!$G:$G,Disbursements!C1593)</f>
        <v>0</v>
      </c>
      <c r="AM1593" s="541">
        <f t="shared" si="660"/>
        <v>0</v>
      </c>
      <c r="AN1593" s="542" t="str">
        <f t="shared" si="661"/>
        <v/>
      </c>
      <c r="AO1593" s="542" t="str">
        <f t="shared" si="662"/>
        <v/>
      </c>
      <c r="AP1593" s="543" t="str">
        <f t="shared" si="663"/>
        <v/>
      </c>
      <c r="AQ1593" s="544" t="str">
        <f t="shared" si="664"/>
        <v/>
      </c>
      <c r="AR1593" s="545">
        <f t="shared" si="665"/>
        <v>0</v>
      </c>
      <c r="AS1593" s="545">
        <f>IFERROR(CEILING($AR1593*VLOOKUP($I1593,Ref!$B$23:$E$29,4,0),1),0)</f>
        <v>0</v>
      </c>
      <c r="AT1593" s="545" t="str">
        <f>IF(A1593="","",IF(AP1593&lt;=1,"Cleared",IF(AS1593=0,"Clean",VLOOKUP($AS1593,Ref!$G$23:$H$28,2))))</f>
        <v/>
      </c>
      <c r="AU1593" s="546" t="str">
        <f t="shared" si="666"/>
        <v/>
      </c>
    </row>
    <row r="1594" spans="1:47" ht="14.25" hidden="1" customHeight="1" x14ac:dyDescent="0.15">
      <c r="A1594" s="575"/>
      <c r="B1594" s="548"/>
      <c r="C1594" s="548"/>
      <c r="D1594" s="548"/>
      <c r="E1594" s="583"/>
      <c r="F1594" s="584"/>
      <c r="G1594" s="548"/>
      <c r="H1594" s="550"/>
      <c r="I1594" s="560"/>
      <c r="J1594" s="548"/>
      <c r="K1594" s="528" t="str">
        <f>IFERROR(VLOOKUP($B1594,'Clients-Live'!$A:$C,3,0),"")</f>
        <v/>
      </c>
      <c r="L1594" s="528">
        <f>IF(E1594="STL",Pricing!$D$38,IF(A1594="",0,IF(A1594&lt;Pricing!$C$25,Pricing!$D$25,VLOOKUP(Disbursements!$F1594,Pricing!$B$29:$D$32,3))))</f>
        <v>0</v>
      </c>
      <c r="M1594" s="528">
        <f>IF(E1594="STL",0,IF(F1594&gt;0,Pricing!$D$21,0))</f>
        <v>0</v>
      </c>
      <c r="N1594" s="529">
        <f>IF(E1594="STL",F1594*Pricing!$D$40,IF(A1594&lt;=Pricing!$C$4,0,IF(AND(A1594&gt;Pricing!$C$4,Disbursements!A1594&lt;=Pricing!$C$5),F1594*Pricing!$E$5,IF(AND(A1594&gt;Pricing!$C$5,Disbursements!A1594&lt;=Pricing!$C$7),VLOOKUP(F1594,Pricing!$D$7:$E$8,2)*Disbursements!F1594,F1594*Pricing!$E$9))))</f>
        <v>0</v>
      </c>
      <c r="O1594" s="528">
        <f>IF(E1594="STL",0,IF($F1594&gt;0,$F1594*Pricing!$D$17,0))</f>
        <v>0</v>
      </c>
      <c r="P1594" s="530" t="str">
        <f t="shared" si="646"/>
        <v/>
      </c>
      <c r="Q1594" s="531" t="str">
        <f>IF($A1594="","",$G1594/VLOOKUP($I1594,Ref!$B$23:$D$29,2,0))</f>
        <v/>
      </c>
      <c r="R1594" s="530" t="str">
        <f t="shared" si="647"/>
        <v/>
      </c>
      <c r="S1594" s="532" t="str">
        <f t="shared" si="641"/>
        <v/>
      </c>
      <c r="T1594" s="531" t="str">
        <f t="shared" si="648"/>
        <v/>
      </c>
      <c r="U1594" s="533">
        <f t="shared" si="649"/>
        <v>0</v>
      </c>
      <c r="V1594" s="531" t="str">
        <f t="shared" si="650"/>
        <v/>
      </c>
      <c r="W1594" s="531" t="str">
        <f t="shared" si="651"/>
        <v/>
      </c>
      <c r="X1594" s="534" t="str">
        <f t="shared" si="652"/>
        <v/>
      </c>
      <c r="Y1594" s="535" t="str">
        <f>IF($A1594="","",IF($I1594="weekly",$A1594+7,EDATE($A1594,VLOOKUP($I1594,Ref!$B$24:$C$29,2,0))))</f>
        <v/>
      </c>
      <c r="Z1594" s="536" t="str">
        <f t="shared" si="653"/>
        <v/>
      </c>
      <c r="AA1594" s="531">
        <f t="shared" si="654"/>
        <v>0</v>
      </c>
      <c r="AB1594" s="535" t="str">
        <f t="shared" si="642"/>
        <v/>
      </c>
      <c r="AC1594" s="537" t="str">
        <f t="shared" si="643"/>
        <v/>
      </c>
      <c r="AD1594" s="538" t="str">
        <f t="shared" ca="1" si="644"/>
        <v/>
      </c>
      <c r="AE1594" s="537">
        <f t="shared" ca="1" si="645"/>
        <v>0</v>
      </c>
      <c r="AF1594" s="539" t="str">
        <f t="shared" ca="1" si="655"/>
        <v/>
      </c>
      <c r="AG1594" s="531" t="str">
        <f t="shared" ca="1" si="656"/>
        <v/>
      </c>
      <c r="AH1594" s="531" t="str">
        <f t="shared" ca="1" si="657"/>
        <v/>
      </c>
      <c r="AI1594" s="531" t="str">
        <f t="shared" ca="1" si="658"/>
        <v/>
      </c>
      <c r="AJ1594" s="531" t="str">
        <f t="shared" si="659"/>
        <v/>
      </c>
      <c r="AK1594" s="540">
        <f>SUMIFS('Live Collections'!$S:$S,'Live Collections'!$D:$D,Disbursements!B1594,'Live Collections'!$G:$G,Disbursements!C1594)</f>
        <v>0</v>
      </c>
      <c r="AL1594" s="540">
        <f>SUMIFS('Live Collections'!$T:$T,'Live Collections'!$D:$D,Disbursements!B1594,'Live Collections'!$G:$G,Disbursements!C1594)</f>
        <v>0</v>
      </c>
      <c r="AM1594" s="541">
        <f t="shared" si="660"/>
        <v>0</v>
      </c>
      <c r="AN1594" s="542" t="str">
        <f t="shared" si="661"/>
        <v/>
      </c>
      <c r="AO1594" s="542" t="str">
        <f t="shared" si="662"/>
        <v/>
      </c>
      <c r="AP1594" s="543" t="str">
        <f t="shared" si="663"/>
        <v/>
      </c>
      <c r="AQ1594" s="544" t="str">
        <f t="shared" si="664"/>
        <v/>
      </c>
      <c r="AR1594" s="545">
        <f t="shared" si="665"/>
        <v>0</v>
      </c>
      <c r="AS1594" s="545">
        <f>IFERROR(CEILING($AR1594*VLOOKUP($I1594,Ref!$B$23:$E$29,4,0),1),0)</f>
        <v>0</v>
      </c>
      <c r="AT1594" s="545" t="str">
        <f>IF(A1594="","",IF(AP1594&lt;=1,"Cleared",IF(AS1594=0,"Clean",VLOOKUP($AS1594,Ref!$G$23:$H$28,2))))</f>
        <v/>
      </c>
      <c r="AU1594" s="546" t="str">
        <f t="shared" si="666"/>
        <v/>
      </c>
    </row>
    <row r="1595" spans="1:47" ht="14.25" hidden="1" customHeight="1" x14ac:dyDescent="0.15">
      <c r="A1595" s="575"/>
      <c r="B1595" s="548"/>
      <c r="C1595" s="548"/>
      <c r="D1595" s="548"/>
      <c r="E1595" s="583"/>
      <c r="F1595" s="584"/>
      <c r="G1595" s="548"/>
      <c r="H1595" s="550"/>
      <c r="I1595" s="560"/>
      <c r="J1595" s="548"/>
      <c r="K1595" s="528" t="str">
        <f>IFERROR(VLOOKUP($B1595,'Clients-Live'!$A:$C,3,0),"")</f>
        <v/>
      </c>
      <c r="L1595" s="528">
        <f>IF(E1595="STL",Pricing!$D$38,IF(A1595="",0,IF(A1595&lt;Pricing!$C$25,Pricing!$D$25,VLOOKUP(Disbursements!$F1595,Pricing!$B$29:$D$32,3))))</f>
        <v>0</v>
      </c>
      <c r="M1595" s="528">
        <f>IF(E1595="STL",0,IF(F1595&gt;0,Pricing!$D$21,0))</f>
        <v>0</v>
      </c>
      <c r="N1595" s="529">
        <f>IF(E1595="STL",F1595*Pricing!$D$40,IF(A1595&lt;=Pricing!$C$4,0,IF(AND(A1595&gt;Pricing!$C$4,Disbursements!A1595&lt;=Pricing!$C$5),F1595*Pricing!$E$5,IF(AND(A1595&gt;Pricing!$C$5,Disbursements!A1595&lt;=Pricing!$C$7),VLOOKUP(F1595,Pricing!$D$7:$E$8,2)*Disbursements!F1595,F1595*Pricing!$E$9))))</f>
        <v>0</v>
      </c>
      <c r="O1595" s="528">
        <f>IF(E1595="STL",0,IF($F1595&gt;0,$F1595*Pricing!$D$17,0))</f>
        <v>0</v>
      </c>
      <c r="P1595" s="530" t="str">
        <f t="shared" si="646"/>
        <v/>
      </c>
      <c r="Q1595" s="531" t="str">
        <f>IF($A1595="","",$G1595/VLOOKUP($I1595,Ref!$B$23:$D$29,2,0))</f>
        <v/>
      </c>
      <c r="R1595" s="530" t="str">
        <f t="shared" si="647"/>
        <v/>
      </c>
      <c r="S1595" s="532" t="str">
        <f t="shared" si="641"/>
        <v/>
      </c>
      <c r="T1595" s="531" t="str">
        <f t="shared" si="648"/>
        <v/>
      </c>
      <c r="U1595" s="533">
        <f t="shared" si="649"/>
        <v>0</v>
      </c>
      <c r="V1595" s="531" t="str">
        <f t="shared" si="650"/>
        <v/>
      </c>
      <c r="W1595" s="531" t="str">
        <f t="shared" si="651"/>
        <v/>
      </c>
      <c r="X1595" s="534" t="str">
        <f t="shared" si="652"/>
        <v/>
      </c>
      <c r="Y1595" s="535" t="str">
        <f>IF($A1595="","",IF($I1595="weekly",$A1595+7,EDATE($A1595,VLOOKUP($I1595,Ref!$B$24:$C$29,2,0))))</f>
        <v/>
      </c>
      <c r="Z1595" s="536" t="str">
        <f t="shared" si="653"/>
        <v/>
      </c>
      <c r="AA1595" s="531">
        <f t="shared" si="654"/>
        <v>0</v>
      </c>
      <c r="AB1595" s="535" t="str">
        <f t="shared" si="642"/>
        <v/>
      </c>
      <c r="AC1595" s="537" t="str">
        <f t="shared" si="643"/>
        <v/>
      </c>
      <c r="AD1595" s="538" t="str">
        <f t="shared" ca="1" si="644"/>
        <v/>
      </c>
      <c r="AE1595" s="537">
        <f t="shared" ca="1" si="645"/>
        <v>0</v>
      </c>
      <c r="AF1595" s="539" t="str">
        <f t="shared" ca="1" si="655"/>
        <v/>
      </c>
      <c r="AG1595" s="531" t="str">
        <f t="shared" ca="1" si="656"/>
        <v/>
      </c>
      <c r="AH1595" s="531" t="str">
        <f t="shared" ca="1" si="657"/>
        <v/>
      </c>
      <c r="AI1595" s="531" t="str">
        <f t="shared" ca="1" si="658"/>
        <v/>
      </c>
      <c r="AJ1595" s="531" t="str">
        <f t="shared" si="659"/>
        <v/>
      </c>
      <c r="AK1595" s="540">
        <f>SUMIFS('Live Collections'!$S:$S,'Live Collections'!$D:$D,Disbursements!B1595,'Live Collections'!$G:$G,Disbursements!C1595)</f>
        <v>0</v>
      </c>
      <c r="AL1595" s="540">
        <f>SUMIFS('Live Collections'!$T:$T,'Live Collections'!$D:$D,Disbursements!B1595,'Live Collections'!$G:$G,Disbursements!C1595)</f>
        <v>0</v>
      </c>
      <c r="AM1595" s="541">
        <f t="shared" si="660"/>
        <v>0</v>
      </c>
      <c r="AN1595" s="542" t="str">
        <f t="shared" si="661"/>
        <v/>
      </c>
      <c r="AO1595" s="542" t="str">
        <f t="shared" si="662"/>
        <v/>
      </c>
      <c r="AP1595" s="543" t="str">
        <f t="shared" si="663"/>
        <v/>
      </c>
      <c r="AQ1595" s="544" t="str">
        <f t="shared" si="664"/>
        <v/>
      </c>
      <c r="AR1595" s="545">
        <f t="shared" si="665"/>
        <v>0</v>
      </c>
      <c r="AS1595" s="545">
        <f>IFERROR(CEILING($AR1595*VLOOKUP($I1595,Ref!$B$23:$E$29,4,0),1),0)</f>
        <v>0</v>
      </c>
      <c r="AT1595" s="545" t="str">
        <f>IF(A1595="","",IF(AP1595&lt;=1,"Cleared",IF(AS1595=0,"Clean",VLOOKUP($AS1595,Ref!$G$23:$H$28,2))))</f>
        <v/>
      </c>
      <c r="AU1595" s="546" t="str">
        <f t="shared" si="666"/>
        <v/>
      </c>
    </row>
    <row r="1596" spans="1:47" ht="14.25" hidden="1" customHeight="1" x14ac:dyDescent="0.15">
      <c r="A1596" s="575"/>
      <c r="B1596" s="548"/>
      <c r="C1596" s="548"/>
      <c r="D1596" s="548"/>
      <c r="E1596" s="583"/>
      <c r="F1596" s="584"/>
      <c r="G1596" s="548"/>
      <c r="H1596" s="550"/>
      <c r="I1596" s="560"/>
      <c r="J1596" s="548"/>
      <c r="K1596" s="528" t="str">
        <f>IFERROR(VLOOKUP($B1596,'Clients-Live'!$A:$C,3,0),"")</f>
        <v/>
      </c>
      <c r="L1596" s="528">
        <f>IF(E1596="STL",Pricing!$D$38,IF(A1596="",0,IF(A1596&lt;Pricing!$C$25,Pricing!$D$25,VLOOKUP(Disbursements!$F1596,Pricing!$B$29:$D$32,3))))</f>
        <v>0</v>
      </c>
      <c r="M1596" s="528">
        <f>IF(E1596="STL",0,IF(F1596&gt;0,Pricing!$D$21,0))</f>
        <v>0</v>
      </c>
      <c r="N1596" s="529">
        <f>IF(E1596="STL",F1596*Pricing!$D$40,IF(A1596&lt;=Pricing!$C$4,0,IF(AND(A1596&gt;Pricing!$C$4,Disbursements!A1596&lt;=Pricing!$C$5),F1596*Pricing!$E$5,IF(AND(A1596&gt;Pricing!$C$5,Disbursements!A1596&lt;=Pricing!$C$7),VLOOKUP(F1596,Pricing!$D$7:$E$8,2)*Disbursements!F1596,F1596*Pricing!$E$9))))</f>
        <v>0</v>
      </c>
      <c r="O1596" s="528">
        <f>IF(E1596="STL",0,IF($F1596&gt;0,$F1596*Pricing!$D$17,0))</f>
        <v>0</v>
      </c>
      <c r="P1596" s="530" t="str">
        <f t="shared" si="646"/>
        <v/>
      </c>
      <c r="Q1596" s="531" t="str">
        <f>IF($A1596="","",$G1596/VLOOKUP($I1596,Ref!$B$23:$D$29,2,0))</f>
        <v/>
      </c>
      <c r="R1596" s="530" t="str">
        <f t="shared" si="647"/>
        <v/>
      </c>
      <c r="S1596" s="532" t="str">
        <f t="shared" si="641"/>
        <v/>
      </c>
      <c r="T1596" s="531" t="str">
        <f t="shared" si="648"/>
        <v/>
      </c>
      <c r="U1596" s="533">
        <f t="shared" si="649"/>
        <v>0</v>
      </c>
      <c r="V1596" s="531" t="str">
        <f t="shared" si="650"/>
        <v/>
      </c>
      <c r="W1596" s="531" t="str">
        <f t="shared" si="651"/>
        <v/>
      </c>
      <c r="X1596" s="534" t="str">
        <f t="shared" si="652"/>
        <v/>
      </c>
      <c r="Y1596" s="535" t="str">
        <f>IF($A1596="","",IF($I1596="weekly",$A1596+7,EDATE($A1596,VLOOKUP($I1596,Ref!$B$24:$C$29,2,0))))</f>
        <v/>
      </c>
      <c r="Z1596" s="536" t="str">
        <f t="shared" si="653"/>
        <v/>
      </c>
      <c r="AA1596" s="531">
        <f t="shared" si="654"/>
        <v>0</v>
      </c>
      <c r="AB1596" s="535" t="str">
        <f t="shared" si="642"/>
        <v/>
      </c>
      <c r="AC1596" s="537" t="str">
        <f t="shared" si="643"/>
        <v/>
      </c>
      <c r="AD1596" s="538" t="str">
        <f t="shared" ca="1" si="644"/>
        <v/>
      </c>
      <c r="AE1596" s="537">
        <f t="shared" ca="1" si="645"/>
        <v>0</v>
      </c>
      <c r="AF1596" s="539" t="str">
        <f t="shared" ca="1" si="655"/>
        <v/>
      </c>
      <c r="AG1596" s="531" t="str">
        <f t="shared" ca="1" si="656"/>
        <v/>
      </c>
      <c r="AH1596" s="531" t="str">
        <f t="shared" ca="1" si="657"/>
        <v/>
      </c>
      <c r="AI1596" s="531" t="str">
        <f t="shared" ca="1" si="658"/>
        <v/>
      </c>
      <c r="AJ1596" s="531" t="str">
        <f t="shared" si="659"/>
        <v/>
      </c>
      <c r="AK1596" s="540">
        <f>SUMIFS('Live Collections'!$S:$S,'Live Collections'!$D:$D,Disbursements!B1596,'Live Collections'!$G:$G,Disbursements!C1596)</f>
        <v>0</v>
      </c>
      <c r="AL1596" s="540">
        <f>SUMIFS('Live Collections'!$T:$T,'Live Collections'!$D:$D,Disbursements!B1596,'Live Collections'!$G:$G,Disbursements!C1596)</f>
        <v>0</v>
      </c>
      <c r="AM1596" s="541">
        <f t="shared" si="660"/>
        <v>0</v>
      </c>
      <c r="AN1596" s="542" t="str">
        <f t="shared" si="661"/>
        <v/>
      </c>
      <c r="AO1596" s="542" t="str">
        <f t="shared" si="662"/>
        <v/>
      </c>
      <c r="AP1596" s="543" t="str">
        <f t="shared" si="663"/>
        <v/>
      </c>
      <c r="AQ1596" s="544" t="str">
        <f t="shared" si="664"/>
        <v/>
      </c>
      <c r="AR1596" s="545">
        <f t="shared" si="665"/>
        <v>0</v>
      </c>
      <c r="AS1596" s="545">
        <f>IFERROR(CEILING($AR1596*VLOOKUP($I1596,Ref!$B$23:$E$29,4,0),1),0)</f>
        <v>0</v>
      </c>
      <c r="AT1596" s="545" t="str">
        <f>IF(A1596="","",IF(AP1596&lt;=1,"Cleared",IF(AS1596=0,"Clean",VLOOKUP($AS1596,Ref!$G$23:$H$28,2))))</f>
        <v/>
      </c>
      <c r="AU1596" s="546" t="str">
        <f t="shared" si="666"/>
        <v/>
      </c>
    </row>
    <row r="1597" spans="1:47" ht="14.25" hidden="1" customHeight="1" x14ac:dyDescent="0.15">
      <c r="A1597" s="575"/>
      <c r="B1597" s="548"/>
      <c r="C1597" s="548"/>
      <c r="D1597" s="548"/>
      <c r="E1597" s="583"/>
      <c r="F1597" s="584"/>
      <c r="G1597" s="548"/>
      <c r="H1597" s="550"/>
      <c r="I1597" s="560"/>
      <c r="J1597" s="548"/>
      <c r="K1597" s="528" t="str">
        <f>IFERROR(VLOOKUP($B1597,'Clients-Live'!$A:$C,3,0),"")</f>
        <v/>
      </c>
      <c r="L1597" s="528">
        <f>IF(E1597="STL",Pricing!$D$38,IF(A1597="",0,IF(A1597&lt;Pricing!$C$25,Pricing!$D$25,VLOOKUP(Disbursements!$F1597,Pricing!$B$29:$D$32,3))))</f>
        <v>0</v>
      </c>
      <c r="M1597" s="528">
        <f>IF(E1597="STL",0,IF(F1597&gt;0,Pricing!$D$21,0))</f>
        <v>0</v>
      </c>
      <c r="N1597" s="529">
        <f>IF(E1597="STL",F1597*Pricing!$D$40,IF(A1597&lt;=Pricing!$C$4,0,IF(AND(A1597&gt;Pricing!$C$4,Disbursements!A1597&lt;=Pricing!$C$5),F1597*Pricing!$E$5,IF(AND(A1597&gt;Pricing!$C$5,Disbursements!A1597&lt;=Pricing!$C$7),VLOOKUP(F1597,Pricing!$D$7:$E$8,2)*Disbursements!F1597,F1597*Pricing!$E$9))))</f>
        <v>0</v>
      </c>
      <c r="O1597" s="528">
        <f>IF(E1597="STL",0,IF($F1597&gt;0,$F1597*Pricing!$D$17,0))</f>
        <v>0</v>
      </c>
      <c r="P1597" s="530" t="str">
        <f t="shared" si="646"/>
        <v/>
      </c>
      <c r="Q1597" s="531" t="str">
        <f>IF($A1597="","",$G1597/VLOOKUP($I1597,Ref!$B$23:$D$29,2,0))</f>
        <v/>
      </c>
      <c r="R1597" s="530" t="str">
        <f t="shared" si="647"/>
        <v/>
      </c>
      <c r="S1597" s="532" t="str">
        <f t="shared" si="641"/>
        <v/>
      </c>
      <c r="T1597" s="531" t="str">
        <f t="shared" si="648"/>
        <v/>
      </c>
      <c r="U1597" s="533">
        <f t="shared" si="649"/>
        <v>0</v>
      </c>
      <c r="V1597" s="531" t="str">
        <f t="shared" si="650"/>
        <v/>
      </c>
      <c r="W1597" s="531" t="str">
        <f t="shared" si="651"/>
        <v/>
      </c>
      <c r="X1597" s="534" t="str">
        <f t="shared" si="652"/>
        <v/>
      </c>
      <c r="Y1597" s="535" t="str">
        <f>IF($A1597="","",IF($I1597="weekly",$A1597+7,EDATE($A1597,VLOOKUP($I1597,Ref!$B$24:$C$29,2,0))))</f>
        <v/>
      </c>
      <c r="Z1597" s="536" t="str">
        <f t="shared" si="653"/>
        <v/>
      </c>
      <c r="AA1597" s="531">
        <f t="shared" si="654"/>
        <v>0</v>
      </c>
      <c r="AB1597" s="535" t="str">
        <f t="shared" si="642"/>
        <v/>
      </c>
      <c r="AC1597" s="537" t="str">
        <f t="shared" si="643"/>
        <v/>
      </c>
      <c r="AD1597" s="538" t="str">
        <f t="shared" ca="1" si="644"/>
        <v/>
      </c>
      <c r="AE1597" s="537">
        <f t="shared" ca="1" si="645"/>
        <v>0</v>
      </c>
      <c r="AF1597" s="539" t="str">
        <f t="shared" ca="1" si="655"/>
        <v/>
      </c>
      <c r="AG1597" s="531" t="str">
        <f t="shared" ca="1" si="656"/>
        <v/>
      </c>
      <c r="AH1597" s="531" t="str">
        <f t="shared" ca="1" si="657"/>
        <v/>
      </c>
      <c r="AI1597" s="531" t="str">
        <f t="shared" ca="1" si="658"/>
        <v/>
      </c>
      <c r="AJ1597" s="531" t="str">
        <f t="shared" si="659"/>
        <v/>
      </c>
      <c r="AK1597" s="540">
        <f>SUMIFS('Live Collections'!$S:$S,'Live Collections'!$D:$D,Disbursements!B1597,'Live Collections'!$G:$G,Disbursements!C1597)</f>
        <v>0</v>
      </c>
      <c r="AL1597" s="540">
        <f>SUMIFS('Live Collections'!$T:$T,'Live Collections'!$D:$D,Disbursements!B1597,'Live Collections'!$G:$G,Disbursements!C1597)</f>
        <v>0</v>
      </c>
      <c r="AM1597" s="541">
        <f t="shared" si="660"/>
        <v>0</v>
      </c>
      <c r="AN1597" s="542" t="str">
        <f t="shared" si="661"/>
        <v/>
      </c>
      <c r="AO1597" s="542" t="str">
        <f t="shared" si="662"/>
        <v/>
      </c>
      <c r="AP1597" s="543" t="str">
        <f t="shared" si="663"/>
        <v/>
      </c>
      <c r="AQ1597" s="544" t="str">
        <f t="shared" si="664"/>
        <v/>
      </c>
      <c r="AR1597" s="545">
        <f t="shared" si="665"/>
        <v>0</v>
      </c>
      <c r="AS1597" s="545">
        <f>IFERROR(CEILING($AR1597*VLOOKUP($I1597,Ref!$B$23:$E$29,4,0),1),0)</f>
        <v>0</v>
      </c>
      <c r="AT1597" s="545" t="str">
        <f>IF(A1597="","",IF(AP1597&lt;=1,"Cleared",IF(AS1597=0,"Clean",VLOOKUP($AS1597,Ref!$G$23:$H$28,2))))</f>
        <v/>
      </c>
      <c r="AU1597" s="546" t="str">
        <f t="shared" si="666"/>
        <v/>
      </c>
    </row>
    <row r="1598" spans="1:47" ht="14.25" hidden="1" customHeight="1" x14ac:dyDescent="0.15">
      <c r="A1598" s="575"/>
      <c r="B1598" s="548"/>
      <c r="C1598" s="548"/>
      <c r="D1598" s="548"/>
      <c r="E1598" s="583"/>
      <c r="F1598" s="584"/>
      <c r="G1598" s="548"/>
      <c r="H1598" s="550"/>
      <c r="I1598" s="560"/>
      <c r="J1598" s="548"/>
      <c r="K1598" s="528" t="str">
        <f>IFERROR(VLOOKUP($B1598,'Clients-Live'!$A:$C,3,0),"")</f>
        <v/>
      </c>
      <c r="L1598" s="528">
        <f>IF(E1598="STL",Pricing!$D$38,IF(A1598="",0,IF(A1598&lt;Pricing!$C$25,Pricing!$D$25,VLOOKUP(Disbursements!$F1598,Pricing!$B$29:$D$32,3))))</f>
        <v>0</v>
      </c>
      <c r="M1598" s="528">
        <f>IF(E1598="STL",0,IF(F1598&gt;0,Pricing!$D$21,0))</f>
        <v>0</v>
      </c>
      <c r="N1598" s="529">
        <f>IF(E1598="STL",F1598*Pricing!$D$40,IF(A1598&lt;=Pricing!$C$4,0,IF(AND(A1598&gt;Pricing!$C$4,Disbursements!A1598&lt;=Pricing!$C$5),F1598*Pricing!$E$5,IF(AND(A1598&gt;Pricing!$C$5,Disbursements!A1598&lt;=Pricing!$C$7),VLOOKUP(F1598,Pricing!$D$7:$E$8,2)*Disbursements!F1598,F1598*Pricing!$E$9))))</f>
        <v>0</v>
      </c>
      <c r="O1598" s="528">
        <f>IF(E1598="STL",0,IF($F1598&gt;0,$F1598*Pricing!$D$17,0))</f>
        <v>0</v>
      </c>
      <c r="P1598" s="530" t="str">
        <f t="shared" si="646"/>
        <v/>
      </c>
      <c r="Q1598" s="531" t="str">
        <f>IF($A1598="","",$G1598/VLOOKUP($I1598,Ref!$B$23:$D$29,2,0))</f>
        <v/>
      </c>
      <c r="R1598" s="530" t="str">
        <f t="shared" si="647"/>
        <v/>
      </c>
      <c r="S1598" s="532" t="str">
        <f t="shared" si="641"/>
        <v/>
      </c>
      <c r="T1598" s="531" t="str">
        <f t="shared" si="648"/>
        <v/>
      </c>
      <c r="U1598" s="533">
        <f t="shared" si="649"/>
        <v>0</v>
      </c>
      <c r="V1598" s="531" t="str">
        <f t="shared" si="650"/>
        <v/>
      </c>
      <c r="W1598" s="531" t="str">
        <f t="shared" si="651"/>
        <v/>
      </c>
      <c r="X1598" s="534" t="str">
        <f t="shared" si="652"/>
        <v/>
      </c>
      <c r="Y1598" s="535" t="str">
        <f>IF($A1598="","",IF($I1598="weekly",$A1598+7,EDATE($A1598,VLOOKUP($I1598,Ref!$B$24:$C$29,2,0))))</f>
        <v/>
      </c>
      <c r="Z1598" s="536" t="str">
        <f t="shared" si="653"/>
        <v/>
      </c>
      <c r="AA1598" s="531">
        <f t="shared" si="654"/>
        <v>0</v>
      </c>
      <c r="AB1598" s="535" t="str">
        <f t="shared" si="642"/>
        <v/>
      </c>
      <c r="AC1598" s="537" t="str">
        <f t="shared" si="643"/>
        <v/>
      </c>
      <c r="AD1598" s="538" t="str">
        <f t="shared" ca="1" si="644"/>
        <v/>
      </c>
      <c r="AE1598" s="537">
        <f t="shared" ca="1" si="645"/>
        <v>0</v>
      </c>
      <c r="AF1598" s="539" t="str">
        <f t="shared" ca="1" si="655"/>
        <v/>
      </c>
      <c r="AG1598" s="531" t="str">
        <f t="shared" ca="1" si="656"/>
        <v/>
      </c>
      <c r="AH1598" s="531" t="str">
        <f t="shared" ca="1" si="657"/>
        <v/>
      </c>
      <c r="AI1598" s="531" t="str">
        <f t="shared" ca="1" si="658"/>
        <v/>
      </c>
      <c r="AJ1598" s="531" t="str">
        <f t="shared" si="659"/>
        <v/>
      </c>
      <c r="AK1598" s="540">
        <f>SUMIFS('Live Collections'!$S:$S,'Live Collections'!$D:$D,Disbursements!B1598,'Live Collections'!$G:$G,Disbursements!C1598)</f>
        <v>0</v>
      </c>
      <c r="AL1598" s="540">
        <f>SUMIFS('Live Collections'!$T:$T,'Live Collections'!$D:$D,Disbursements!B1598,'Live Collections'!$G:$G,Disbursements!C1598)</f>
        <v>0</v>
      </c>
      <c r="AM1598" s="541">
        <f t="shared" si="660"/>
        <v>0</v>
      </c>
      <c r="AN1598" s="542" t="str">
        <f t="shared" si="661"/>
        <v/>
      </c>
      <c r="AO1598" s="542" t="str">
        <f t="shared" si="662"/>
        <v/>
      </c>
      <c r="AP1598" s="543" t="str">
        <f t="shared" si="663"/>
        <v/>
      </c>
      <c r="AQ1598" s="544" t="str">
        <f t="shared" si="664"/>
        <v/>
      </c>
      <c r="AR1598" s="545">
        <f t="shared" si="665"/>
        <v>0</v>
      </c>
      <c r="AS1598" s="545">
        <f>IFERROR(CEILING($AR1598*VLOOKUP($I1598,Ref!$B$23:$E$29,4,0),1),0)</f>
        <v>0</v>
      </c>
      <c r="AT1598" s="545" t="str">
        <f>IF(A1598="","",IF(AP1598&lt;=1,"Cleared",IF(AS1598=0,"Clean",VLOOKUP($AS1598,Ref!$G$23:$H$28,2))))</f>
        <v/>
      </c>
      <c r="AU1598" s="546" t="str">
        <f t="shared" si="666"/>
        <v/>
      </c>
    </row>
    <row r="1599" spans="1:47" ht="14.25" hidden="1" customHeight="1" x14ac:dyDescent="0.15">
      <c r="A1599" s="575"/>
      <c r="B1599" s="548"/>
      <c r="C1599" s="548"/>
      <c r="D1599" s="548"/>
      <c r="E1599" s="583"/>
      <c r="F1599" s="584"/>
      <c r="G1599" s="548"/>
      <c r="H1599" s="550"/>
      <c r="I1599" s="560"/>
      <c r="J1599" s="548"/>
      <c r="K1599" s="528" t="str">
        <f>IFERROR(VLOOKUP($B1599,'Clients-Live'!$A:$C,3,0),"")</f>
        <v/>
      </c>
      <c r="L1599" s="528">
        <f>IF(E1599="STL",Pricing!$D$38,IF(A1599="",0,IF(A1599&lt;Pricing!$C$25,Pricing!$D$25,VLOOKUP(Disbursements!$F1599,Pricing!$B$29:$D$32,3))))</f>
        <v>0</v>
      </c>
      <c r="M1599" s="528">
        <f>IF(E1599="STL",0,IF(F1599&gt;0,Pricing!$D$21,0))</f>
        <v>0</v>
      </c>
      <c r="N1599" s="529">
        <f>IF(E1599="STL",F1599*Pricing!$D$40,IF(A1599&lt;=Pricing!$C$4,0,IF(AND(A1599&gt;Pricing!$C$4,Disbursements!A1599&lt;=Pricing!$C$5),F1599*Pricing!$E$5,IF(AND(A1599&gt;Pricing!$C$5,Disbursements!A1599&lt;=Pricing!$C$7),VLOOKUP(F1599,Pricing!$D$7:$E$8,2)*Disbursements!F1599,F1599*Pricing!$E$9))))</f>
        <v>0</v>
      </c>
      <c r="O1599" s="528">
        <f>IF(E1599="STL",0,IF($F1599&gt;0,$F1599*Pricing!$D$17,0))</f>
        <v>0</v>
      </c>
      <c r="P1599" s="530" t="str">
        <f t="shared" si="646"/>
        <v/>
      </c>
      <c r="Q1599" s="531" t="str">
        <f>IF($A1599="","",$G1599/VLOOKUP($I1599,Ref!$B$23:$D$29,2,0))</f>
        <v/>
      </c>
      <c r="R1599" s="530" t="str">
        <f t="shared" si="647"/>
        <v/>
      </c>
      <c r="S1599" s="532" t="str">
        <f t="shared" si="641"/>
        <v/>
      </c>
      <c r="T1599" s="531" t="str">
        <f t="shared" si="648"/>
        <v/>
      </c>
      <c r="U1599" s="533">
        <f t="shared" si="649"/>
        <v>0</v>
      </c>
      <c r="V1599" s="531" t="str">
        <f t="shared" si="650"/>
        <v/>
      </c>
      <c r="W1599" s="531" t="str">
        <f t="shared" si="651"/>
        <v/>
      </c>
      <c r="X1599" s="534" t="str">
        <f t="shared" si="652"/>
        <v/>
      </c>
      <c r="Y1599" s="535" t="str">
        <f>IF($A1599="","",IF($I1599="weekly",$A1599+7,EDATE($A1599,VLOOKUP($I1599,Ref!$B$24:$C$29,2,0))))</f>
        <v/>
      </c>
      <c r="Z1599" s="536" t="str">
        <f t="shared" si="653"/>
        <v/>
      </c>
      <c r="AA1599" s="531">
        <f t="shared" si="654"/>
        <v>0</v>
      </c>
      <c r="AB1599" s="535" t="str">
        <f t="shared" si="642"/>
        <v/>
      </c>
      <c r="AC1599" s="537" t="str">
        <f t="shared" si="643"/>
        <v/>
      </c>
      <c r="AD1599" s="538" t="str">
        <f t="shared" ca="1" si="644"/>
        <v/>
      </c>
      <c r="AE1599" s="537">
        <f t="shared" ca="1" si="645"/>
        <v>0</v>
      </c>
      <c r="AF1599" s="539" t="str">
        <f t="shared" ca="1" si="655"/>
        <v/>
      </c>
      <c r="AG1599" s="531" t="str">
        <f t="shared" ca="1" si="656"/>
        <v/>
      </c>
      <c r="AH1599" s="531" t="str">
        <f t="shared" ca="1" si="657"/>
        <v/>
      </c>
      <c r="AI1599" s="531" t="str">
        <f t="shared" ca="1" si="658"/>
        <v/>
      </c>
      <c r="AJ1599" s="531" t="str">
        <f t="shared" si="659"/>
        <v/>
      </c>
      <c r="AK1599" s="540">
        <f>SUMIFS('Live Collections'!$S:$S,'Live Collections'!$D:$D,Disbursements!B1599,'Live Collections'!$G:$G,Disbursements!C1599)</f>
        <v>0</v>
      </c>
      <c r="AL1599" s="540">
        <f>SUMIFS('Live Collections'!$T:$T,'Live Collections'!$D:$D,Disbursements!B1599,'Live Collections'!$G:$G,Disbursements!C1599)</f>
        <v>0</v>
      </c>
      <c r="AM1599" s="541">
        <f t="shared" si="660"/>
        <v>0</v>
      </c>
      <c r="AN1599" s="542" t="str">
        <f t="shared" si="661"/>
        <v/>
      </c>
      <c r="AO1599" s="542" t="str">
        <f t="shared" si="662"/>
        <v/>
      </c>
      <c r="AP1599" s="543" t="str">
        <f t="shared" si="663"/>
        <v/>
      </c>
      <c r="AQ1599" s="544" t="str">
        <f t="shared" si="664"/>
        <v/>
      </c>
      <c r="AR1599" s="545">
        <f t="shared" si="665"/>
        <v>0</v>
      </c>
      <c r="AS1599" s="545">
        <f>IFERROR(CEILING($AR1599*VLOOKUP($I1599,Ref!$B$23:$E$29,4,0),1),0)</f>
        <v>0</v>
      </c>
      <c r="AT1599" s="545" t="str">
        <f>IF(A1599="","",IF(AP1599&lt;=1,"Cleared",IF(AS1599=0,"Clean",VLOOKUP($AS1599,Ref!$G$23:$H$28,2))))</f>
        <v/>
      </c>
      <c r="AU1599" s="546" t="str">
        <f t="shared" si="666"/>
        <v/>
      </c>
    </row>
    <row r="1600" spans="1:47" ht="14.25" hidden="1" customHeight="1" x14ac:dyDescent="0.15">
      <c r="A1600" s="575"/>
      <c r="B1600" s="548"/>
      <c r="C1600" s="548"/>
      <c r="D1600" s="548"/>
      <c r="E1600" s="583"/>
      <c r="F1600" s="584"/>
      <c r="G1600" s="548"/>
      <c r="H1600" s="550"/>
      <c r="I1600" s="560"/>
      <c r="J1600" s="548"/>
      <c r="K1600" s="528" t="str">
        <f>IFERROR(VLOOKUP($B1600,'Clients-Live'!$A:$C,3,0),"")</f>
        <v/>
      </c>
      <c r="L1600" s="528">
        <f>IF(E1600="STL",Pricing!$D$38,IF(A1600="",0,IF(A1600&lt;Pricing!$C$25,Pricing!$D$25,VLOOKUP(Disbursements!$F1600,Pricing!$B$29:$D$32,3))))</f>
        <v>0</v>
      </c>
      <c r="M1600" s="528">
        <f>IF(E1600="STL",0,IF(F1600&gt;0,Pricing!$D$21,0))</f>
        <v>0</v>
      </c>
      <c r="N1600" s="529">
        <f>IF(E1600="STL",F1600*Pricing!$D$40,IF(A1600&lt;=Pricing!$C$4,0,IF(AND(A1600&gt;Pricing!$C$4,Disbursements!A1600&lt;=Pricing!$C$5),F1600*Pricing!$E$5,IF(AND(A1600&gt;Pricing!$C$5,Disbursements!A1600&lt;=Pricing!$C$7),VLOOKUP(F1600,Pricing!$D$7:$E$8,2)*Disbursements!F1600,F1600*Pricing!$E$9))))</f>
        <v>0</v>
      </c>
      <c r="O1600" s="528">
        <f>IF(E1600="STL",0,IF($F1600&gt;0,$F1600*Pricing!$D$17,0))</f>
        <v>0</v>
      </c>
      <c r="P1600" s="530" t="str">
        <f t="shared" si="646"/>
        <v/>
      </c>
      <c r="Q1600" s="531" t="str">
        <f>IF($A1600="","",$G1600/VLOOKUP($I1600,Ref!$B$23:$D$29,2,0))</f>
        <v/>
      </c>
      <c r="R1600" s="530" t="str">
        <f t="shared" si="647"/>
        <v/>
      </c>
      <c r="S1600" s="532" t="str">
        <f t="shared" si="641"/>
        <v/>
      </c>
      <c r="T1600" s="531" t="str">
        <f t="shared" si="648"/>
        <v/>
      </c>
      <c r="U1600" s="533">
        <f t="shared" si="649"/>
        <v>0</v>
      </c>
      <c r="V1600" s="531" t="str">
        <f t="shared" si="650"/>
        <v/>
      </c>
      <c r="W1600" s="531" t="str">
        <f t="shared" si="651"/>
        <v/>
      </c>
      <c r="X1600" s="534" t="str">
        <f t="shared" si="652"/>
        <v/>
      </c>
      <c r="Y1600" s="535" t="str">
        <f>IF($A1600="","",IF($I1600="weekly",$A1600+7,EDATE($A1600,VLOOKUP($I1600,Ref!$B$24:$C$29,2,0))))</f>
        <v/>
      </c>
      <c r="Z1600" s="536" t="str">
        <f t="shared" si="653"/>
        <v/>
      </c>
      <c r="AA1600" s="531">
        <f t="shared" si="654"/>
        <v>0</v>
      </c>
      <c r="AB1600" s="535" t="str">
        <f t="shared" si="642"/>
        <v/>
      </c>
      <c r="AC1600" s="537" t="str">
        <f t="shared" si="643"/>
        <v/>
      </c>
      <c r="AD1600" s="538" t="str">
        <f t="shared" ca="1" si="644"/>
        <v/>
      </c>
      <c r="AE1600" s="537">
        <f t="shared" ca="1" si="645"/>
        <v>0</v>
      </c>
      <c r="AF1600" s="539" t="str">
        <f t="shared" ca="1" si="655"/>
        <v/>
      </c>
      <c r="AG1600" s="531" t="str">
        <f t="shared" ca="1" si="656"/>
        <v/>
      </c>
      <c r="AH1600" s="531" t="str">
        <f t="shared" ca="1" si="657"/>
        <v/>
      </c>
      <c r="AI1600" s="531" t="str">
        <f t="shared" ca="1" si="658"/>
        <v/>
      </c>
      <c r="AJ1600" s="531" t="str">
        <f t="shared" si="659"/>
        <v/>
      </c>
      <c r="AK1600" s="540">
        <f>SUMIFS('Live Collections'!$S:$S,'Live Collections'!$D:$D,Disbursements!B1600,'Live Collections'!$G:$G,Disbursements!C1600)</f>
        <v>0</v>
      </c>
      <c r="AL1600" s="540">
        <f>SUMIFS('Live Collections'!$T:$T,'Live Collections'!$D:$D,Disbursements!B1600,'Live Collections'!$G:$G,Disbursements!C1600)</f>
        <v>0</v>
      </c>
      <c r="AM1600" s="541">
        <f t="shared" si="660"/>
        <v>0</v>
      </c>
      <c r="AN1600" s="542" t="str">
        <f t="shared" si="661"/>
        <v/>
      </c>
      <c r="AO1600" s="542" t="str">
        <f t="shared" si="662"/>
        <v/>
      </c>
      <c r="AP1600" s="543" t="str">
        <f t="shared" si="663"/>
        <v/>
      </c>
      <c r="AQ1600" s="544" t="str">
        <f t="shared" si="664"/>
        <v/>
      </c>
      <c r="AR1600" s="545">
        <f t="shared" si="665"/>
        <v>0</v>
      </c>
      <c r="AS1600" s="545">
        <f>IFERROR(CEILING($AR1600*VLOOKUP($I1600,Ref!$B$23:$E$29,4,0),1),0)</f>
        <v>0</v>
      </c>
      <c r="AT1600" s="545" t="str">
        <f>IF(A1600="","",IF(AP1600&lt;=1,"Cleared",IF(AS1600=0,"Clean",VLOOKUP($AS1600,Ref!$G$23:$H$28,2))))</f>
        <v/>
      </c>
      <c r="AU1600" s="546" t="str">
        <f t="shared" si="666"/>
        <v/>
      </c>
    </row>
    <row r="1601" spans="1:47" ht="14.25" hidden="1" customHeight="1" x14ac:dyDescent="0.15">
      <c r="A1601" s="575"/>
      <c r="B1601" s="548"/>
      <c r="C1601" s="548"/>
      <c r="D1601" s="548"/>
      <c r="E1601" s="583"/>
      <c r="F1601" s="584"/>
      <c r="G1601" s="548"/>
      <c r="H1601" s="550"/>
      <c r="I1601" s="560"/>
      <c r="J1601" s="548"/>
      <c r="K1601" s="528" t="str">
        <f>IFERROR(VLOOKUP($B1601,'Clients-Live'!$A:$C,3,0),"")</f>
        <v/>
      </c>
      <c r="L1601" s="528">
        <f>IF(E1601="STL",Pricing!$D$38,IF(A1601="",0,IF(A1601&lt;Pricing!$C$25,Pricing!$D$25,VLOOKUP(Disbursements!$F1601,Pricing!$B$29:$D$32,3))))</f>
        <v>0</v>
      </c>
      <c r="M1601" s="528">
        <f>IF(E1601="STL",0,IF(F1601&gt;0,Pricing!$D$21,0))</f>
        <v>0</v>
      </c>
      <c r="N1601" s="529">
        <f>IF(E1601="STL",F1601*Pricing!$D$40,IF(A1601&lt;=Pricing!$C$4,0,IF(AND(A1601&gt;Pricing!$C$4,Disbursements!A1601&lt;=Pricing!$C$5),F1601*Pricing!$E$5,IF(AND(A1601&gt;Pricing!$C$5,Disbursements!A1601&lt;=Pricing!$C$7),VLOOKUP(F1601,Pricing!$D$7:$E$8,2)*Disbursements!F1601,F1601*Pricing!$E$9))))</f>
        <v>0</v>
      </c>
      <c r="O1601" s="528">
        <f>IF(E1601="STL",0,IF($F1601&gt;0,$F1601*Pricing!$D$17,0))</f>
        <v>0</v>
      </c>
      <c r="P1601" s="530" t="str">
        <f t="shared" si="646"/>
        <v/>
      </c>
      <c r="Q1601" s="531" t="str">
        <f>IF($A1601="","",$G1601/VLOOKUP($I1601,Ref!$B$23:$D$29,2,0))</f>
        <v/>
      </c>
      <c r="R1601" s="530" t="str">
        <f t="shared" si="647"/>
        <v/>
      </c>
      <c r="S1601" s="532" t="str">
        <f t="shared" si="641"/>
        <v/>
      </c>
      <c r="T1601" s="531" t="str">
        <f t="shared" si="648"/>
        <v/>
      </c>
      <c r="U1601" s="533">
        <f t="shared" si="649"/>
        <v>0</v>
      </c>
      <c r="V1601" s="531" t="str">
        <f t="shared" si="650"/>
        <v/>
      </c>
      <c r="W1601" s="531" t="str">
        <f t="shared" si="651"/>
        <v/>
      </c>
      <c r="X1601" s="534" t="str">
        <f t="shared" si="652"/>
        <v/>
      </c>
      <c r="Y1601" s="535" t="str">
        <f>IF($A1601="","",IF($I1601="weekly",$A1601+7,EDATE($A1601,VLOOKUP($I1601,Ref!$B$24:$C$29,2,0))))</f>
        <v/>
      </c>
      <c r="Z1601" s="536" t="str">
        <f t="shared" si="653"/>
        <v/>
      </c>
      <c r="AA1601" s="531">
        <f t="shared" si="654"/>
        <v>0</v>
      </c>
      <c r="AB1601" s="535" t="str">
        <f t="shared" si="642"/>
        <v/>
      </c>
      <c r="AC1601" s="537" t="str">
        <f t="shared" si="643"/>
        <v/>
      </c>
      <c r="AD1601" s="538" t="str">
        <f t="shared" ca="1" si="644"/>
        <v/>
      </c>
      <c r="AE1601" s="537">
        <f t="shared" ca="1" si="645"/>
        <v>0</v>
      </c>
      <c r="AF1601" s="539" t="str">
        <f t="shared" ca="1" si="655"/>
        <v/>
      </c>
      <c r="AG1601" s="531" t="str">
        <f t="shared" ca="1" si="656"/>
        <v/>
      </c>
      <c r="AH1601" s="531" t="str">
        <f t="shared" ca="1" si="657"/>
        <v/>
      </c>
      <c r="AI1601" s="531" t="str">
        <f t="shared" ca="1" si="658"/>
        <v/>
      </c>
      <c r="AJ1601" s="531" t="str">
        <f t="shared" si="659"/>
        <v/>
      </c>
      <c r="AK1601" s="540">
        <f>SUMIFS('Live Collections'!$S:$S,'Live Collections'!$D:$D,Disbursements!B1601,'Live Collections'!$G:$G,Disbursements!C1601)</f>
        <v>0</v>
      </c>
      <c r="AL1601" s="540">
        <f>SUMIFS('Live Collections'!$T:$T,'Live Collections'!$D:$D,Disbursements!B1601,'Live Collections'!$G:$G,Disbursements!C1601)</f>
        <v>0</v>
      </c>
      <c r="AM1601" s="541">
        <f t="shared" si="660"/>
        <v>0</v>
      </c>
      <c r="AN1601" s="542" t="str">
        <f t="shared" si="661"/>
        <v/>
      </c>
      <c r="AO1601" s="542" t="str">
        <f t="shared" si="662"/>
        <v/>
      </c>
      <c r="AP1601" s="543" t="str">
        <f t="shared" si="663"/>
        <v/>
      </c>
      <c r="AQ1601" s="544" t="str">
        <f t="shared" si="664"/>
        <v/>
      </c>
      <c r="AR1601" s="545">
        <f t="shared" si="665"/>
        <v>0</v>
      </c>
      <c r="AS1601" s="545">
        <f>IFERROR(CEILING($AR1601*VLOOKUP($I1601,Ref!$B$23:$E$29,4,0),1),0)</f>
        <v>0</v>
      </c>
      <c r="AT1601" s="545" t="str">
        <f>IF(A1601="","",IF(AP1601&lt;=1,"Cleared",IF(AS1601=0,"Clean",VLOOKUP($AS1601,Ref!$G$23:$H$28,2))))</f>
        <v/>
      </c>
      <c r="AU1601" s="546" t="str">
        <f t="shared" si="666"/>
        <v/>
      </c>
    </row>
    <row r="1602" spans="1:47" ht="14.25" hidden="1" customHeight="1" x14ac:dyDescent="0.15">
      <c r="A1602" s="575"/>
      <c r="B1602" s="548"/>
      <c r="C1602" s="548"/>
      <c r="D1602" s="548"/>
      <c r="E1602" s="583"/>
      <c r="F1602" s="584"/>
      <c r="G1602" s="548"/>
      <c r="H1602" s="550"/>
      <c r="I1602" s="560"/>
      <c r="J1602" s="548"/>
      <c r="K1602" s="528" t="str">
        <f>IFERROR(VLOOKUP($B1602,'Clients-Live'!$A:$C,3,0),"")</f>
        <v/>
      </c>
      <c r="L1602" s="528">
        <f>IF(E1602="STL",Pricing!$D$38,IF(A1602="",0,IF(A1602&lt;Pricing!$C$25,Pricing!$D$25,VLOOKUP(Disbursements!$F1602,Pricing!$B$29:$D$32,3))))</f>
        <v>0</v>
      </c>
      <c r="M1602" s="528">
        <f>IF(E1602="STL",0,IF(F1602&gt;0,Pricing!$D$21,0))</f>
        <v>0</v>
      </c>
      <c r="N1602" s="529">
        <f>IF(E1602="STL",F1602*Pricing!$D$40,IF(A1602&lt;=Pricing!$C$4,0,IF(AND(A1602&gt;Pricing!$C$4,Disbursements!A1602&lt;=Pricing!$C$5),F1602*Pricing!$E$5,IF(AND(A1602&gt;Pricing!$C$5,Disbursements!A1602&lt;=Pricing!$C$7),VLOOKUP(F1602,Pricing!$D$7:$E$8,2)*Disbursements!F1602,F1602*Pricing!$E$9))))</f>
        <v>0</v>
      </c>
      <c r="O1602" s="528">
        <f>IF(E1602="STL",0,IF($F1602&gt;0,$F1602*Pricing!$D$17,0))</f>
        <v>0</v>
      </c>
      <c r="P1602" s="530" t="str">
        <f t="shared" si="646"/>
        <v/>
      </c>
      <c r="Q1602" s="531" t="str">
        <f>IF($A1602="","",$G1602/VLOOKUP($I1602,Ref!$B$23:$D$29,2,0))</f>
        <v/>
      </c>
      <c r="R1602" s="530" t="str">
        <f t="shared" si="647"/>
        <v/>
      </c>
      <c r="S1602" s="532" t="str">
        <f t="shared" si="641"/>
        <v/>
      </c>
      <c r="T1602" s="531" t="str">
        <f t="shared" si="648"/>
        <v/>
      </c>
      <c r="U1602" s="533">
        <f t="shared" si="649"/>
        <v>0</v>
      </c>
      <c r="V1602" s="531" t="str">
        <f t="shared" si="650"/>
        <v/>
      </c>
      <c r="W1602" s="531" t="str">
        <f t="shared" si="651"/>
        <v/>
      </c>
      <c r="X1602" s="534" t="str">
        <f t="shared" si="652"/>
        <v/>
      </c>
      <c r="Y1602" s="535" t="str">
        <f>IF($A1602="","",IF($I1602="weekly",$A1602+7,EDATE($A1602,VLOOKUP($I1602,Ref!$B$24:$C$29,2,0))))</f>
        <v/>
      </c>
      <c r="Z1602" s="536" t="str">
        <f t="shared" si="653"/>
        <v/>
      </c>
      <c r="AA1602" s="531">
        <f t="shared" si="654"/>
        <v>0</v>
      </c>
      <c r="AB1602" s="535" t="str">
        <f t="shared" si="642"/>
        <v/>
      </c>
      <c r="AC1602" s="537" t="str">
        <f t="shared" si="643"/>
        <v/>
      </c>
      <c r="AD1602" s="538" t="str">
        <f t="shared" ca="1" si="644"/>
        <v/>
      </c>
      <c r="AE1602" s="537">
        <f t="shared" ca="1" si="645"/>
        <v>0</v>
      </c>
      <c r="AF1602" s="539" t="str">
        <f t="shared" ca="1" si="655"/>
        <v/>
      </c>
      <c r="AG1602" s="531" t="str">
        <f t="shared" ca="1" si="656"/>
        <v/>
      </c>
      <c r="AH1602" s="531" t="str">
        <f t="shared" ca="1" si="657"/>
        <v/>
      </c>
      <c r="AI1602" s="531" t="str">
        <f t="shared" ca="1" si="658"/>
        <v/>
      </c>
      <c r="AJ1602" s="531" t="str">
        <f t="shared" si="659"/>
        <v/>
      </c>
      <c r="AK1602" s="540">
        <f>SUMIFS('Live Collections'!$S:$S,'Live Collections'!$D:$D,Disbursements!B1602,'Live Collections'!$G:$G,Disbursements!C1602)</f>
        <v>0</v>
      </c>
      <c r="AL1602" s="540">
        <f>SUMIFS('Live Collections'!$T:$T,'Live Collections'!$D:$D,Disbursements!B1602,'Live Collections'!$G:$G,Disbursements!C1602)</f>
        <v>0</v>
      </c>
      <c r="AM1602" s="541">
        <f t="shared" si="660"/>
        <v>0</v>
      </c>
      <c r="AN1602" s="542" t="str">
        <f t="shared" si="661"/>
        <v/>
      </c>
      <c r="AO1602" s="542" t="str">
        <f t="shared" si="662"/>
        <v/>
      </c>
      <c r="AP1602" s="543" t="str">
        <f t="shared" si="663"/>
        <v/>
      </c>
      <c r="AQ1602" s="544" t="str">
        <f t="shared" si="664"/>
        <v/>
      </c>
      <c r="AR1602" s="545">
        <f t="shared" si="665"/>
        <v>0</v>
      </c>
      <c r="AS1602" s="545">
        <f>IFERROR(CEILING($AR1602*VLOOKUP($I1602,Ref!$B$23:$E$29,4,0),1),0)</f>
        <v>0</v>
      </c>
      <c r="AT1602" s="545" t="str">
        <f>IF(A1602="","",IF(AP1602&lt;=1,"Cleared",IF(AS1602=0,"Clean",VLOOKUP($AS1602,Ref!$G$23:$H$28,2))))</f>
        <v/>
      </c>
      <c r="AU1602" s="546" t="str">
        <f t="shared" si="666"/>
        <v/>
      </c>
    </row>
    <row r="1603" spans="1:47" ht="14.25" hidden="1" customHeight="1" x14ac:dyDescent="0.15">
      <c r="A1603" s="575"/>
      <c r="B1603" s="548"/>
      <c r="C1603" s="548"/>
      <c r="D1603" s="548"/>
      <c r="E1603" s="583"/>
      <c r="F1603" s="584"/>
      <c r="G1603" s="548"/>
      <c r="H1603" s="550"/>
      <c r="I1603" s="560"/>
      <c r="J1603" s="548"/>
      <c r="K1603" s="528" t="str">
        <f>IFERROR(VLOOKUP($B1603,'Clients-Live'!$A:$C,3,0),"")</f>
        <v/>
      </c>
      <c r="L1603" s="528">
        <f>IF(E1603="STL",Pricing!$D$38,IF(A1603="",0,IF(A1603&lt;Pricing!$C$25,Pricing!$D$25,VLOOKUP(Disbursements!$F1603,Pricing!$B$29:$D$32,3))))</f>
        <v>0</v>
      </c>
      <c r="M1603" s="528">
        <f>IF(E1603="STL",0,IF(F1603&gt;0,Pricing!$D$21,0))</f>
        <v>0</v>
      </c>
      <c r="N1603" s="529">
        <f>IF(E1603="STL",F1603*Pricing!$D$40,IF(A1603&lt;=Pricing!$C$4,0,IF(AND(A1603&gt;Pricing!$C$4,Disbursements!A1603&lt;=Pricing!$C$5),F1603*Pricing!$E$5,IF(AND(A1603&gt;Pricing!$C$5,Disbursements!A1603&lt;=Pricing!$C$7),VLOOKUP(F1603,Pricing!$D$7:$E$8,2)*Disbursements!F1603,F1603*Pricing!$E$9))))</f>
        <v>0</v>
      </c>
      <c r="O1603" s="528">
        <f>IF(E1603="STL",0,IF($F1603&gt;0,$F1603*Pricing!$D$17,0))</f>
        <v>0</v>
      </c>
      <c r="P1603" s="530" t="str">
        <f t="shared" si="646"/>
        <v/>
      </c>
      <c r="Q1603" s="531" t="str">
        <f>IF($A1603="","",$G1603/VLOOKUP($I1603,Ref!$B$23:$D$29,2,0))</f>
        <v/>
      </c>
      <c r="R1603" s="530" t="str">
        <f t="shared" si="647"/>
        <v/>
      </c>
      <c r="S1603" s="532" t="str">
        <f t="shared" si="641"/>
        <v/>
      </c>
      <c r="T1603" s="531" t="str">
        <f t="shared" si="648"/>
        <v/>
      </c>
      <c r="U1603" s="533">
        <f t="shared" si="649"/>
        <v>0</v>
      </c>
      <c r="V1603" s="531" t="str">
        <f t="shared" si="650"/>
        <v/>
      </c>
      <c r="W1603" s="531" t="str">
        <f t="shared" si="651"/>
        <v/>
      </c>
      <c r="X1603" s="534" t="str">
        <f t="shared" si="652"/>
        <v/>
      </c>
      <c r="Y1603" s="535" t="str">
        <f>IF($A1603="","",IF($I1603="weekly",$A1603+7,EDATE($A1603,VLOOKUP($I1603,Ref!$B$24:$C$29,2,0))))</f>
        <v/>
      </c>
      <c r="Z1603" s="536" t="str">
        <f t="shared" si="653"/>
        <v/>
      </c>
      <c r="AA1603" s="531">
        <f t="shared" si="654"/>
        <v>0</v>
      </c>
      <c r="AB1603" s="535" t="str">
        <f t="shared" si="642"/>
        <v/>
      </c>
      <c r="AC1603" s="537" t="str">
        <f t="shared" si="643"/>
        <v/>
      </c>
      <c r="AD1603" s="538" t="str">
        <f t="shared" ca="1" si="644"/>
        <v/>
      </c>
      <c r="AE1603" s="537">
        <f t="shared" ca="1" si="645"/>
        <v>0</v>
      </c>
      <c r="AF1603" s="539" t="str">
        <f t="shared" ca="1" si="655"/>
        <v/>
      </c>
      <c r="AG1603" s="531" t="str">
        <f t="shared" ca="1" si="656"/>
        <v/>
      </c>
      <c r="AH1603" s="531" t="str">
        <f t="shared" ca="1" si="657"/>
        <v/>
      </c>
      <c r="AI1603" s="531" t="str">
        <f t="shared" ca="1" si="658"/>
        <v/>
      </c>
      <c r="AJ1603" s="531" t="str">
        <f t="shared" si="659"/>
        <v/>
      </c>
      <c r="AK1603" s="540">
        <f>SUMIFS('Live Collections'!$S:$S,'Live Collections'!$D:$D,Disbursements!B1603,'Live Collections'!$G:$G,Disbursements!C1603)</f>
        <v>0</v>
      </c>
      <c r="AL1603" s="540">
        <f>SUMIFS('Live Collections'!$T:$T,'Live Collections'!$D:$D,Disbursements!B1603,'Live Collections'!$G:$G,Disbursements!C1603)</f>
        <v>0</v>
      </c>
      <c r="AM1603" s="541">
        <f t="shared" si="660"/>
        <v>0</v>
      </c>
      <c r="AN1603" s="542" t="str">
        <f t="shared" si="661"/>
        <v/>
      </c>
      <c r="AO1603" s="542" t="str">
        <f t="shared" si="662"/>
        <v/>
      </c>
      <c r="AP1603" s="543" t="str">
        <f t="shared" si="663"/>
        <v/>
      </c>
      <c r="AQ1603" s="544" t="str">
        <f t="shared" si="664"/>
        <v/>
      </c>
      <c r="AR1603" s="545">
        <f t="shared" si="665"/>
        <v>0</v>
      </c>
      <c r="AS1603" s="545">
        <f>IFERROR(CEILING($AR1603*VLOOKUP($I1603,Ref!$B$23:$E$29,4,0),1),0)</f>
        <v>0</v>
      </c>
      <c r="AT1603" s="545" t="str">
        <f>IF(A1603="","",IF(AP1603&lt;=1,"Cleared",IF(AS1603=0,"Clean",VLOOKUP($AS1603,Ref!$G$23:$H$28,2))))</f>
        <v/>
      </c>
      <c r="AU1603" s="546" t="str">
        <f t="shared" si="666"/>
        <v/>
      </c>
    </row>
    <row r="1604" spans="1:47" ht="14.25" hidden="1" customHeight="1" x14ac:dyDescent="0.15">
      <c r="A1604" s="575"/>
      <c r="B1604" s="548"/>
      <c r="C1604" s="548"/>
      <c r="D1604" s="548"/>
      <c r="E1604" s="583"/>
      <c r="F1604" s="584"/>
      <c r="G1604" s="548"/>
      <c r="H1604" s="550"/>
      <c r="I1604" s="560"/>
      <c r="J1604" s="548"/>
      <c r="K1604" s="528" t="str">
        <f>IFERROR(VLOOKUP($B1604,'Clients-Live'!$A:$C,3,0),"")</f>
        <v/>
      </c>
      <c r="L1604" s="528">
        <f>IF(E1604="STL",Pricing!$D$38,IF(A1604="",0,IF(A1604&lt;Pricing!$C$25,Pricing!$D$25,VLOOKUP(Disbursements!$F1604,Pricing!$B$29:$D$32,3))))</f>
        <v>0</v>
      </c>
      <c r="M1604" s="528">
        <f>IF(E1604="STL",0,IF(F1604&gt;0,Pricing!$D$21,0))</f>
        <v>0</v>
      </c>
      <c r="N1604" s="529">
        <f>IF(E1604="STL",F1604*Pricing!$D$40,IF(A1604&lt;=Pricing!$C$4,0,IF(AND(A1604&gt;Pricing!$C$4,Disbursements!A1604&lt;=Pricing!$C$5),F1604*Pricing!$E$5,IF(AND(A1604&gt;Pricing!$C$5,Disbursements!A1604&lt;=Pricing!$C$7),VLOOKUP(F1604,Pricing!$D$7:$E$8,2)*Disbursements!F1604,F1604*Pricing!$E$9))))</f>
        <v>0</v>
      </c>
      <c r="O1604" s="528">
        <f>IF(E1604="STL",0,IF($F1604&gt;0,$F1604*Pricing!$D$17,0))</f>
        <v>0</v>
      </c>
      <c r="P1604" s="530" t="str">
        <f t="shared" si="646"/>
        <v/>
      </c>
      <c r="Q1604" s="531" t="str">
        <f>IF($A1604="","",$G1604/VLOOKUP($I1604,Ref!$B$23:$D$29,2,0))</f>
        <v/>
      </c>
      <c r="R1604" s="530" t="str">
        <f t="shared" si="647"/>
        <v/>
      </c>
      <c r="S1604" s="532" t="str">
        <f t="shared" ref="S1604:S1667" si="667">IF($A1604="","",$R1604/$Q1604)</f>
        <v/>
      </c>
      <c r="T1604" s="531" t="str">
        <f t="shared" si="648"/>
        <v/>
      </c>
      <c r="U1604" s="533">
        <f t="shared" si="649"/>
        <v>0</v>
      </c>
      <c r="V1604" s="531" t="str">
        <f t="shared" si="650"/>
        <v/>
      </c>
      <c r="W1604" s="531" t="str">
        <f t="shared" si="651"/>
        <v/>
      </c>
      <c r="X1604" s="534" t="str">
        <f t="shared" si="652"/>
        <v/>
      </c>
      <c r="Y1604" s="535" t="str">
        <f>IF($A1604="","",IF($I1604="weekly",$A1604+7,EDATE($A1604,VLOOKUP($I1604,Ref!$B$24:$C$29,2,0))))</f>
        <v/>
      </c>
      <c r="Z1604" s="536" t="str">
        <f t="shared" si="653"/>
        <v/>
      </c>
      <c r="AA1604" s="531">
        <f t="shared" si="654"/>
        <v>0</v>
      </c>
      <c r="AB1604" s="535" t="str">
        <f t="shared" ref="AB1604:AB1667" si="668">IF($A1604="","",EDATE($A1604,$G1604))</f>
        <v/>
      </c>
      <c r="AC1604" s="537" t="str">
        <f t="shared" ref="AC1604:AC1667" si="669">IFERROR($AB1604-$A1604,"")</f>
        <v/>
      </c>
      <c r="AD1604" s="538" t="str">
        <f t="shared" ref="AD1604:AD1667" ca="1" si="670">IFERROR(IF(TODAY()-$A1604&lt;$AB1604-$A1604,TODAY()-$A1604,"Expired"),"")</f>
        <v/>
      </c>
      <c r="AE1604" s="537">
        <f t="shared" ref="AE1604:AE1667" ca="1" si="671">IFERROR($AC1604-$AD1604,0)</f>
        <v>0</v>
      </c>
      <c r="AF1604" s="539" t="str">
        <f t="shared" ca="1" si="655"/>
        <v/>
      </c>
      <c r="AG1604" s="531" t="str">
        <f t="shared" ca="1" si="656"/>
        <v/>
      </c>
      <c r="AH1604" s="531" t="str">
        <f t="shared" ca="1" si="657"/>
        <v/>
      </c>
      <c r="AI1604" s="531" t="str">
        <f t="shared" ca="1" si="658"/>
        <v/>
      </c>
      <c r="AJ1604" s="531" t="str">
        <f t="shared" si="659"/>
        <v/>
      </c>
      <c r="AK1604" s="540">
        <f>SUMIFS('Live Collections'!$S:$S,'Live Collections'!$D:$D,Disbursements!B1604,'Live Collections'!$G:$G,Disbursements!C1604)</f>
        <v>0</v>
      </c>
      <c r="AL1604" s="540">
        <f>SUMIFS('Live Collections'!$T:$T,'Live Collections'!$D:$D,Disbursements!B1604,'Live Collections'!$G:$G,Disbursements!C1604)</f>
        <v>0</v>
      </c>
      <c r="AM1604" s="541">
        <f t="shared" si="660"/>
        <v>0</v>
      </c>
      <c r="AN1604" s="542" t="str">
        <f t="shared" si="661"/>
        <v/>
      </c>
      <c r="AO1604" s="542" t="str">
        <f t="shared" si="662"/>
        <v/>
      </c>
      <c r="AP1604" s="543" t="str">
        <f t="shared" si="663"/>
        <v/>
      </c>
      <c r="AQ1604" s="544" t="str">
        <f t="shared" si="664"/>
        <v/>
      </c>
      <c r="AR1604" s="545">
        <f t="shared" si="665"/>
        <v>0</v>
      </c>
      <c r="AS1604" s="545">
        <f>IFERROR(CEILING($AR1604*VLOOKUP($I1604,Ref!$B$23:$E$29,4,0),1),0)</f>
        <v>0</v>
      </c>
      <c r="AT1604" s="545" t="str">
        <f>IF(A1604="","",IF(AP1604&lt;=1,"Cleared",IF(AS1604=0,"Clean",VLOOKUP($AS1604,Ref!$G$23:$H$28,2))))</f>
        <v/>
      </c>
      <c r="AU1604" s="546" t="str">
        <f t="shared" si="666"/>
        <v/>
      </c>
    </row>
    <row r="1605" spans="1:47" ht="14.25" hidden="1" customHeight="1" x14ac:dyDescent="0.15">
      <c r="A1605" s="575"/>
      <c r="B1605" s="548"/>
      <c r="C1605" s="548"/>
      <c r="D1605" s="548"/>
      <c r="E1605" s="583"/>
      <c r="F1605" s="584"/>
      <c r="G1605" s="548"/>
      <c r="H1605" s="550"/>
      <c r="I1605" s="560"/>
      <c r="J1605" s="548"/>
      <c r="K1605" s="528" t="str">
        <f>IFERROR(VLOOKUP($B1605,'Clients-Live'!$A:$C,3,0),"")</f>
        <v/>
      </c>
      <c r="L1605" s="528">
        <f>IF(E1605="STL",Pricing!$D$38,IF(A1605="",0,IF(A1605&lt;Pricing!$C$25,Pricing!$D$25,VLOOKUP(Disbursements!$F1605,Pricing!$B$29:$D$32,3))))</f>
        <v>0</v>
      </c>
      <c r="M1605" s="528">
        <f>IF(E1605="STL",0,IF(F1605&gt;0,Pricing!$D$21,0))</f>
        <v>0</v>
      </c>
      <c r="N1605" s="529">
        <f>IF(E1605="STL",F1605*Pricing!$D$40,IF(A1605&lt;=Pricing!$C$4,0,IF(AND(A1605&gt;Pricing!$C$4,Disbursements!A1605&lt;=Pricing!$C$5),F1605*Pricing!$E$5,IF(AND(A1605&gt;Pricing!$C$5,Disbursements!A1605&lt;=Pricing!$C$7),VLOOKUP(F1605,Pricing!$D$7:$E$8,2)*Disbursements!F1605,F1605*Pricing!$E$9))))</f>
        <v>0</v>
      </c>
      <c r="O1605" s="528">
        <f>IF(E1605="STL",0,IF($F1605&gt;0,$F1605*Pricing!$D$17,0))</f>
        <v>0</v>
      </c>
      <c r="P1605" s="530" t="str">
        <f t="shared" ref="P1605:P1668" si="672">IF($A1605="","",$H1605*$F1605*$G1605)</f>
        <v/>
      </c>
      <c r="Q1605" s="531" t="str">
        <f>IF($A1605="","",$G1605/VLOOKUP($I1605,Ref!$B$23:$D$29,2,0))</f>
        <v/>
      </c>
      <c r="R1605" s="530" t="str">
        <f t="shared" ref="R1605:R1668" si="673">IF($A1605="","",$F1605+$P1605)</f>
        <v/>
      </c>
      <c r="S1605" s="532" t="str">
        <f t="shared" si="667"/>
        <v/>
      </c>
      <c r="T1605" s="531" t="str">
        <f t="shared" ref="T1605:T1668" si="674">IF(R1605="","",CEILING(S1605,1000))</f>
        <v/>
      </c>
      <c r="U1605" s="533">
        <f t="shared" ref="U1605:U1668" si="675">IFERROR(T1605*Q1605,0)</f>
        <v>0</v>
      </c>
      <c r="V1605" s="531" t="str">
        <f t="shared" ref="V1605:V1668" si="676">IF(T1605="","",F1605/Q1605)</f>
        <v/>
      </c>
      <c r="W1605" s="531" t="str">
        <f t="shared" ref="W1605:W1668" si="677">IF(T1605="","",T1605-V1605)</f>
        <v/>
      </c>
      <c r="X1605" s="534" t="str">
        <f t="shared" ref="X1605:X1668" si="678">IF(A1605="","",W1605*Q1605)</f>
        <v/>
      </c>
      <c r="Y1605" s="535" t="str">
        <f>IF($A1605="","",IF($I1605="weekly",$A1605+7,EDATE($A1605,VLOOKUP($I1605,Ref!$B$24:$C$29,2,0))))</f>
        <v/>
      </c>
      <c r="Z1605" s="536" t="str">
        <f t="shared" ref="Z1605:Z1668" si="679">IFERROR(CHOOSE(WEEKDAY(Y1605),"Sun","Mon","Tue","Wed","Thu","Frid","Sat"),"")</f>
        <v/>
      </c>
      <c r="AA1605" s="531">
        <f t="shared" ref="AA1605:AA1668" si="680">IFERROR(Y1605-A1605,0)</f>
        <v>0</v>
      </c>
      <c r="AB1605" s="535" t="str">
        <f t="shared" si="668"/>
        <v/>
      </c>
      <c r="AC1605" s="537" t="str">
        <f t="shared" si="669"/>
        <v/>
      </c>
      <c r="AD1605" s="538" t="str">
        <f t="shared" ca="1" si="670"/>
        <v/>
      </c>
      <c r="AE1605" s="537">
        <f t="shared" ca="1" si="671"/>
        <v>0</v>
      </c>
      <c r="AF1605" s="539" t="str">
        <f t="shared" ref="AF1605:AF1668" ca="1" si="681">IFERROR(IF(AD1605="Expired",Q1605,IF(AD1605&gt;AA1605,AD1605/AA1605,0)),"")</f>
        <v/>
      </c>
      <c r="AG1605" s="531" t="str">
        <f t="shared" ref="AG1605:AG1668" ca="1" si="682">IFERROR(AF1605*T1605,"")</f>
        <v/>
      </c>
      <c r="AH1605" s="531" t="str">
        <f t="shared" ref="AH1605:AH1668" ca="1" si="683">IFERROR(AF1605*W1605,"")</f>
        <v/>
      </c>
      <c r="AI1605" s="531" t="str">
        <f t="shared" ref="AI1605:AI1668" ca="1" si="684">IFERROR(AF1605*V1605,"")</f>
        <v/>
      </c>
      <c r="AJ1605" s="531" t="str">
        <f t="shared" ref="AJ1605:AJ1668" si="685">IF(F1605=0,"",U1605-AG1605)</f>
        <v/>
      </c>
      <c r="AK1605" s="540">
        <f>SUMIFS('Live Collections'!$S:$S,'Live Collections'!$D:$D,Disbursements!B1605,'Live Collections'!$G:$G,Disbursements!C1605)</f>
        <v>0</v>
      </c>
      <c r="AL1605" s="540">
        <f>SUMIFS('Live Collections'!$T:$T,'Live Collections'!$D:$D,Disbursements!B1605,'Live Collections'!$G:$G,Disbursements!C1605)</f>
        <v>0</v>
      </c>
      <c r="AM1605" s="541">
        <f t="shared" ref="AM1605:AM1668" si="686">SUM(AK1605:AL1605)</f>
        <v>0</v>
      </c>
      <c r="AN1605" s="542" t="str">
        <f t="shared" ref="AN1605:AN1668" si="687">IFERROR(W1605*Q1605-AK1605,"")</f>
        <v/>
      </c>
      <c r="AO1605" s="542" t="str">
        <f t="shared" ref="AO1605:AO1668" si="688">IF(F1605="","",(F1605-AL1605))</f>
        <v/>
      </c>
      <c r="AP1605" s="543" t="str">
        <f t="shared" ref="AP1605:AP1668" si="689">IF(F1605="","",SUM(AN1605:AO1605))</f>
        <v/>
      </c>
      <c r="AQ1605" s="544" t="str">
        <f t="shared" ref="AQ1605:AQ1668" si="690">IF(AP1605&gt;AJ1605,AP1605-AJ1605,"")</f>
        <v/>
      </c>
      <c r="AR1605" s="545">
        <f t="shared" ref="AR1605:AR1668" si="691">IFERROR(AQ1605/T1605,0)</f>
        <v>0</v>
      </c>
      <c r="AS1605" s="545">
        <f>IFERROR(CEILING($AR1605*VLOOKUP($I1605,Ref!$B$23:$E$29,4,0),1),0)</f>
        <v>0</v>
      </c>
      <c r="AT1605" s="545" t="str">
        <f>IF(A1605="","",IF(AP1605&lt;=1,"Cleared",IF(AS1605=0,"Clean",VLOOKUP($AS1605,Ref!$G$23:$H$28,2))))</f>
        <v/>
      </c>
      <c r="AU1605" s="546" t="str">
        <f t="shared" ref="AU1605:AU1668" si="692">IF(F1605="","",IF(OR(AN1605&lt;0,AO1605&lt;0,AP1605&lt;0),"Error on Entry","Ok"))</f>
        <v/>
      </c>
    </row>
    <row r="1606" spans="1:47" ht="14.25" hidden="1" customHeight="1" x14ac:dyDescent="0.15">
      <c r="A1606" s="575"/>
      <c r="B1606" s="548"/>
      <c r="C1606" s="548"/>
      <c r="D1606" s="548"/>
      <c r="E1606" s="583"/>
      <c r="F1606" s="584"/>
      <c r="G1606" s="548"/>
      <c r="H1606" s="550"/>
      <c r="I1606" s="560"/>
      <c r="J1606" s="548"/>
      <c r="K1606" s="528" t="str">
        <f>IFERROR(VLOOKUP($B1606,'Clients-Live'!$A:$C,3,0),"")</f>
        <v/>
      </c>
      <c r="L1606" s="528">
        <f>IF(E1606="STL",Pricing!$D$38,IF(A1606="",0,IF(A1606&lt;Pricing!$C$25,Pricing!$D$25,VLOOKUP(Disbursements!$F1606,Pricing!$B$29:$D$32,3))))</f>
        <v>0</v>
      </c>
      <c r="M1606" s="528">
        <f>IF(E1606="STL",0,IF(F1606&gt;0,Pricing!$D$21,0))</f>
        <v>0</v>
      </c>
      <c r="N1606" s="529">
        <f>IF(E1606="STL",F1606*Pricing!$D$40,IF(A1606&lt;=Pricing!$C$4,0,IF(AND(A1606&gt;Pricing!$C$4,Disbursements!A1606&lt;=Pricing!$C$5),F1606*Pricing!$E$5,IF(AND(A1606&gt;Pricing!$C$5,Disbursements!A1606&lt;=Pricing!$C$7),VLOOKUP(F1606,Pricing!$D$7:$E$8,2)*Disbursements!F1606,F1606*Pricing!$E$9))))</f>
        <v>0</v>
      </c>
      <c r="O1606" s="528">
        <f>IF(E1606="STL",0,IF($F1606&gt;0,$F1606*Pricing!$D$17,0))</f>
        <v>0</v>
      </c>
      <c r="P1606" s="530" t="str">
        <f t="shared" si="672"/>
        <v/>
      </c>
      <c r="Q1606" s="531" t="str">
        <f>IF($A1606="","",$G1606/VLOOKUP($I1606,Ref!$B$23:$D$29,2,0))</f>
        <v/>
      </c>
      <c r="R1606" s="530" t="str">
        <f t="shared" si="673"/>
        <v/>
      </c>
      <c r="S1606" s="532" t="str">
        <f t="shared" si="667"/>
        <v/>
      </c>
      <c r="T1606" s="531" t="str">
        <f t="shared" si="674"/>
        <v/>
      </c>
      <c r="U1606" s="533">
        <f t="shared" si="675"/>
        <v>0</v>
      </c>
      <c r="V1606" s="531" t="str">
        <f t="shared" si="676"/>
        <v/>
      </c>
      <c r="W1606" s="531" t="str">
        <f t="shared" si="677"/>
        <v/>
      </c>
      <c r="X1606" s="534" t="str">
        <f t="shared" si="678"/>
        <v/>
      </c>
      <c r="Y1606" s="535" t="str">
        <f>IF($A1606="","",IF($I1606="weekly",$A1606+7,EDATE($A1606,VLOOKUP($I1606,Ref!$B$24:$C$29,2,0))))</f>
        <v/>
      </c>
      <c r="Z1606" s="536" t="str">
        <f t="shared" si="679"/>
        <v/>
      </c>
      <c r="AA1606" s="531">
        <f t="shared" si="680"/>
        <v>0</v>
      </c>
      <c r="AB1606" s="535" t="str">
        <f t="shared" si="668"/>
        <v/>
      </c>
      <c r="AC1606" s="537" t="str">
        <f t="shared" si="669"/>
        <v/>
      </c>
      <c r="AD1606" s="538" t="str">
        <f t="shared" ca="1" si="670"/>
        <v/>
      </c>
      <c r="AE1606" s="537">
        <f t="shared" ca="1" si="671"/>
        <v>0</v>
      </c>
      <c r="AF1606" s="539" t="str">
        <f t="shared" ca="1" si="681"/>
        <v/>
      </c>
      <c r="AG1606" s="531" t="str">
        <f t="shared" ca="1" si="682"/>
        <v/>
      </c>
      <c r="AH1606" s="531" t="str">
        <f t="shared" ca="1" si="683"/>
        <v/>
      </c>
      <c r="AI1606" s="531" t="str">
        <f t="shared" ca="1" si="684"/>
        <v/>
      </c>
      <c r="AJ1606" s="531" t="str">
        <f t="shared" si="685"/>
        <v/>
      </c>
      <c r="AK1606" s="540">
        <f>SUMIFS('Live Collections'!$S:$S,'Live Collections'!$D:$D,Disbursements!B1606,'Live Collections'!$G:$G,Disbursements!C1606)</f>
        <v>0</v>
      </c>
      <c r="AL1606" s="540">
        <f>SUMIFS('Live Collections'!$T:$T,'Live Collections'!$D:$D,Disbursements!B1606,'Live Collections'!$G:$G,Disbursements!C1606)</f>
        <v>0</v>
      </c>
      <c r="AM1606" s="541">
        <f t="shared" si="686"/>
        <v>0</v>
      </c>
      <c r="AN1606" s="542" t="str">
        <f t="shared" si="687"/>
        <v/>
      </c>
      <c r="AO1606" s="542" t="str">
        <f t="shared" si="688"/>
        <v/>
      </c>
      <c r="AP1606" s="543" t="str">
        <f t="shared" si="689"/>
        <v/>
      </c>
      <c r="AQ1606" s="544" t="str">
        <f t="shared" si="690"/>
        <v/>
      </c>
      <c r="AR1606" s="545">
        <f t="shared" si="691"/>
        <v>0</v>
      </c>
      <c r="AS1606" s="545">
        <f>IFERROR(CEILING($AR1606*VLOOKUP($I1606,Ref!$B$23:$E$29,4,0),1),0)</f>
        <v>0</v>
      </c>
      <c r="AT1606" s="545" t="str">
        <f>IF(A1606="","",IF(AP1606&lt;=1,"Cleared",IF(AS1606=0,"Clean",VLOOKUP($AS1606,Ref!$G$23:$H$28,2))))</f>
        <v/>
      </c>
      <c r="AU1606" s="546" t="str">
        <f t="shared" si="692"/>
        <v/>
      </c>
    </row>
    <row r="1607" spans="1:47" ht="14.25" hidden="1" customHeight="1" x14ac:dyDescent="0.15">
      <c r="A1607" s="575"/>
      <c r="B1607" s="548"/>
      <c r="C1607" s="548"/>
      <c r="D1607" s="548"/>
      <c r="E1607" s="583"/>
      <c r="F1607" s="584"/>
      <c r="G1607" s="548"/>
      <c r="H1607" s="550"/>
      <c r="I1607" s="560"/>
      <c r="J1607" s="548"/>
      <c r="K1607" s="528" t="str">
        <f>IFERROR(VLOOKUP($B1607,'Clients-Live'!$A:$C,3,0),"")</f>
        <v/>
      </c>
      <c r="L1607" s="528">
        <f>IF(E1607="STL",Pricing!$D$38,IF(A1607="",0,IF(A1607&lt;Pricing!$C$25,Pricing!$D$25,VLOOKUP(Disbursements!$F1607,Pricing!$B$29:$D$32,3))))</f>
        <v>0</v>
      </c>
      <c r="M1607" s="528">
        <f>IF(E1607="STL",0,IF(F1607&gt;0,Pricing!$D$21,0))</f>
        <v>0</v>
      </c>
      <c r="N1607" s="529">
        <f>IF(E1607="STL",F1607*Pricing!$D$40,IF(A1607&lt;=Pricing!$C$4,0,IF(AND(A1607&gt;Pricing!$C$4,Disbursements!A1607&lt;=Pricing!$C$5),F1607*Pricing!$E$5,IF(AND(A1607&gt;Pricing!$C$5,Disbursements!A1607&lt;=Pricing!$C$7),VLOOKUP(F1607,Pricing!$D$7:$E$8,2)*Disbursements!F1607,F1607*Pricing!$E$9))))</f>
        <v>0</v>
      </c>
      <c r="O1607" s="528">
        <f>IF(E1607="STL",0,IF($F1607&gt;0,$F1607*Pricing!$D$17,0))</f>
        <v>0</v>
      </c>
      <c r="P1607" s="530" t="str">
        <f t="shared" si="672"/>
        <v/>
      </c>
      <c r="Q1607" s="531" t="str">
        <f>IF($A1607="","",$G1607/VLOOKUP($I1607,Ref!$B$23:$D$29,2,0))</f>
        <v/>
      </c>
      <c r="R1607" s="530" t="str">
        <f t="shared" si="673"/>
        <v/>
      </c>
      <c r="S1607" s="532" t="str">
        <f t="shared" si="667"/>
        <v/>
      </c>
      <c r="T1607" s="531" t="str">
        <f t="shared" si="674"/>
        <v/>
      </c>
      <c r="U1607" s="533">
        <f t="shared" si="675"/>
        <v>0</v>
      </c>
      <c r="V1607" s="531" t="str">
        <f t="shared" si="676"/>
        <v/>
      </c>
      <c r="W1607" s="531" t="str">
        <f t="shared" si="677"/>
        <v/>
      </c>
      <c r="X1607" s="534" t="str">
        <f t="shared" si="678"/>
        <v/>
      </c>
      <c r="Y1607" s="535" t="str">
        <f>IF($A1607="","",IF($I1607="weekly",$A1607+7,EDATE($A1607,VLOOKUP($I1607,Ref!$B$24:$C$29,2,0))))</f>
        <v/>
      </c>
      <c r="Z1607" s="536" t="str">
        <f t="shared" si="679"/>
        <v/>
      </c>
      <c r="AA1607" s="531">
        <f t="shared" si="680"/>
        <v>0</v>
      </c>
      <c r="AB1607" s="535" t="str">
        <f t="shared" si="668"/>
        <v/>
      </c>
      <c r="AC1607" s="537" t="str">
        <f t="shared" si="669"/>
        <v/>
      </c>
      <c r="AD1607" s="538" t="str">
        <f t="shared" ca="1" si="670"/>
        <v/>
      </c>
      <c r="AE1607" s="537">
        <f t="shared" ca="1" si="671"/>
        <v>0</v>
      </c>
      <c r="AF1607" s="539" t="str">
        <f t="shared" ca="1" si="681"/>
        <v/>
      </c>
      <c r="AG1607" s="531" t="str">
        <f t="shared" ca="1" si="682"/>
        <v/>
      </c>
      <c r="AH1607" s="531" t="str">
        <f t="shared" ca="1" si="683"/>
        <v/>
      </c>
      <c r="AI1607" s="531" t="str">
        <f t="shared" ca="1" si="684"/>
        <v/>
      </c>
      <c r="AJ1607" s="531" t="str">
        <f t="shared" si="685"/>
        <v/>
      </c>
      <c r="AK1607" s="540">
        <f>SUMIFS('Live Collections'!$S:$S,'Live Collections'!$D:$D,Disbursements!B1607,'Live Collections'!$G:$G,Disbursements!C1607)</f>
        <v>0</v>
      </c>
      <c r="AL1607" s="540">
        <f>SUMIFS('Live Collections'!$T:$T,'Live Collections'!$D:$D,Disbursements!B1607,'Live Collections'!$G:$G,Disbursements!C1607)</f>
        <v>0</v>
      </c>
      <c r="AM1607" s="541">
        <f t="shared" si="686"/>
        <v>0</v>
      </c>
      <c r="AN1607" s="542" t="str">
        <f t="shared" si="687"/>
        <v/>
      </c>
      <c r="AO1607" s="542" t="str">
        <f t="shared" si="688"/>
        <v/>
      </c>
      <c r="AP1607" s="543" t="str">
        <f t="shared" si="689"/>
        <v/>
      </c>
      <c r="AQ1607" s="544" t="str">
        <f t="shared" si="690"/>
        <v/>
      </c>
      <c r="AR1607" s="545">
        <f t="shared" si="691"/>
        <v>0</v>
      </c>
      <c r="AS1607" s="545">
        <f>IFERROR(CEILING($AR1607*VLOOKUP($I1607,Ref!$B$23:$E$29,4,0),1),0)</f>
        <v>0</v>
      </c>
      <c r="AT1607" s="545" t="str">
        <f>IF(A1607="","",IF(AP1607&lt;=1,"Cleared",IF(AS1607=0,"Clean",VLOOKUP($AS1607,Ref!$G$23:$H$28,2))))</f>
        <v/>
      </c>
      <c r="AU1607" s="546" t="str">
        <f t="shared" si="692"/>
        <v/>
      </c>
    </row>
    <row r="1608" spans="1:47" ht="14.25" hidden="1" customHeight="1" x14ac:dyDescent="0.15">
      <c r="A1608" s="575"/>
      <c r="B1608" s="548"/>
      <c r="C1608" s="548"/>
      <c r="D1608" s="548"/>
      <c r="E1608" s="583"/>
      <c r="F1608" s="584"/>
      <c r="G1608" s="548"/>
      <c r="H1608" s="550"/>
      <c r="I1608" s="560"/>
      <c r="J1608" s="548"/>
      <c r="K1608" s="528" t="str">
        <f>IFERROR(VLOOKUP($B1608,'Clients-Live'!$A:$C,3,0),"")</f>
        <v/>
      </c>
      <c r="L1608" s="528">
        <f>IF(E1608="STL",Pricing!$D$38,IF(A1608="",0,IF(A1608&lt;Pricing!$C$25,Pricing!$D$25,VLOOKUP(Disbursements!$F1608,Pricing!$B$29:$D$32,3))))</f>
        <v>0</v>
      </c>
      <c r="M1608" s="528">
        <f>IF(E1608="STL",0,IF(F1608&gt;0,Pricing!$D$21,0))</f>
        <v>0</v>
      </c>
      <c r="N1608" s="529">
        <f>IF(E1608="STL",F1608*Pricing!$D$40,IF(A1608&lt;=Pricing!$C$4,0,IF(AND(A1608&gt;Pricing!$C$4,Disbursements!A1608&lt;=Pricing!$C$5),F1608*Pricing!$E$5,IF(AND(A1608&gt;Pricing!$C$5,Disbursements!A1608&lt;=Pricing!$C$7),VLOOKUP(F1608,Pricing!$D$7:$E$8,2)*Disbursements!F1608,F1608*Pricing!$E$9))))</f>
        <v>0</v>
      </c>
      <c r="O1608" s="528">
        <f>IF(E1608="STL",0,IF($F1608&gt;0,$F1608*Pricing!$D$17,0))</f>
        <v>0</v>
      </c>
      <c r="P1608" s="530" t="str">
        <f t="shared" si="672"/>
        <v/>
      </c>
      <c r="Q1608" s="531" t="str">
        <f>IF($A1608="","",$G1608/VLOOKUP($I1608,Ref!$B$23:$D$29,2,0))</f>
        <v/>
      </c>
      <c r="R1608" s="530" t="str">
        <f t="shared" si="673"/>
        <v/>
      </c>
      <c r="S1608" s="532" t="str">
        <f t="shared" si="667"/>
        <v/>
      </c>
      <c r="T1608" s="531" t="str">
        <f t="shared" si="674"/>
        <v/>
      </c>
      <c r="U1608" s="533">
        <f t="shared" si="675"/>
        <v>0</v>
      </c>
      <c r="V1608" s="531" t="str">
        <f t="shared" si="676"/>
        <v/>
      </c>
      <c r="W1608" s="531" t="str">
        <f t="shared" si="677"/>
        <v/>
      </c>
      <c r="X1608" s="534" t="str">
        <f t="shared" si="678"/>
        <v/>
      </c>
      <c r="Y1608" s="535" t="str">
        <f>IF($A1608="","",IF($I1608="weekly",$A1608+7,EDATE($A1608,VLOOKUP($I1608,Ref!$B$24:$C$29,2,0))))</f>
        <v/>
      </c>
      <c r="Z1608" s="536" t="str">
        <f t="shared" si="679"/>
        <v/>
      </c>
      <c r="AA1608" s="531">
        <f t="shared" si="680"/>
        <v>0</v>
      </c>
      <c r="AB1608" s="535" t="str">
        <f t="shared" si="668"/>
        <v/>
      </c>
      <c r="AC1608" s="537" t="str">
        <f t="shared" si="669"/>
        <v/>
      </c>
      <c r="AD1608" s="538" t="str">
        <f t="shared" ca="1" si="670"/>
        <v/>
      </c>
      <c r="AE1608" s="537">
        <f t="shared" ca="1" si="671"/>
        <v>0</v>
      </c>
      <c r="AF1608" s="539" t="str">
        <f t="shared" ca="1" si="681"/>
        <v/>
      </c>
      <c r="AG1608" s="531" t="str">
        <f t="shared" ca="1" si="682"/>
        <v/>
      </c>
      <c r="AH1608" s="531" t="str">
        <f t="shared" ca="1" si="683"/>
        <v/>
      </c>
      <c r="AI1608" s="531" t="str">
        <f t="shared" ca="1" si="684"/>
        <v/>
      </c>
      <c r="AJ1608" s="531" t="str">
        <f t="shared" si="685"/>
        <v/>
      </c>
      <c r="AK1608" s="540">
        <f>SUMIFS('Live Collections'!$S:$S,'Live Collections'!$D:$D,Disbursements!B1608,'Live Collections'!$G:$G,Disbursements!C1608)</f>
        <v>0</v>
      </c>
      <c r="AL1608" s="540">
        <f>SUMIFS('Live Collections'!$T:$T,'Live Collections'!$D:$D,Disbursements!B1608,'Live Collections'!$G:$G,Disbursements!C1608)</f>
        <v>0</v>
      </c>
      <c r="AM1608" s="541">
        <f t="shared" si="686"/>
        <v>0</v>
      </c>
      <c r="AN1608" s="542" t="str">
        <f t="shared" si="687"/>
        <v/>
      </c>
      <c r="AO1608" s="542" t="str">
        <f t="shared" si="688"/>
        <v/>
      </c>
      <c r="AP1608" s="543" t="str">
        <f t="shared" si="689"/>
        <v/>
      </c>
      <c r="AQ1608" s="544" t="str">
        <f t="shared" si="690"/>
        <v/>
      </c>
      <c r="AR1608" s="545">
        <f t="shared" si="691"/>
        <v>0</v>
      </c>
      <c r="AS1608" s="545">
        <f>IFERROR(CEILING($AR1608*VLOOKUP($I1608,Ref!$B$23:$E$29,4,0),1),0)</f>
        <v>0</v>
      </c>
      <c r="AT1608" s="545" t="str">
        <f>IF(A1608="","",IF(AP1608&lt;=1,"Cleared",IF(AS1608=0,"Clean",VLOOKUP($AS1608,Ref!$G$23:$H$28,2))))</f>
        <v/>
      </c>
      <c r="AU1608" s="546" t="str">
        <f t="shared" si="692"/>
        <v/>
      </c>
    </row>
    <row r="1609" spans="1:47" ht="14.25" hidden="1" customHeight="1" x14ac:dyDescent="0.15">
      <c r="A1609" s="575"/>
      <c r="B1609" s="548"/>
      <c r="C1609" s="548"/>
      <c r="D1609" s="548"/>
      <c r="E1609" s="583"/>
      <c r="F1609" s="584"/>
      <c r="G1609" s="548"/>
      <c r="H1609" s="550"/>
      <c r="I1609" s="560"/>
      <c r="J1609" s="548"/>
      <c r="K1609" s="528" t="str">
        <f>IFERROR(VLOOKUP($B1609,'Clients-Live'!$A:$C,3,0),"")</f>
        <v/>
      </c>
      <c r="L1609" s="528">
        <f>IF(E1609="STL",Pricing!$D$38,IF(A1609="",0,IF(A1609&lt;Pricing!$C$25,Pricing!$D$25,VLOOKUP(Disbursements!$F1609,Pricing!$B$29:$D$32,3))))</f>
        <v>0</v>
      </c>
      <c r="M1609" s="528">
        <f>IF(E1609="STL",0,IF(F1609&gt;0,Pricing!$D$21,0))</f>
        <v>0</v>
      </c>
      <c r="N1609" s="529">
        <f>IF(E1609="STL",F1609*Pricing!$D$40,IF(A1609&lt;=Pricing!$C$4,0,IF(AND(A1609&gt;Pricing!$C$4,Disbursements!A1609&lt;=Pricing!$C$5),F1609*Pricing!$E$5,IF(AND(A1609&gt;Pricing!$C$5,Disbursements!A1609&lt;=Pricing!$C$7),VLOOKUP(F1609,Pricing!$D$7:$E$8,2)*Disbursements!F1609,F1609*Pricing!$E$9))))</f>
        <v>0</v>
      </c>
      <c r="O1609" s="528">
        <f>IF(E1609="STL",0,IF($F1609&gt;0,$F1609*Pricing!$D$17,0))</f>
        <v>0</v>
      </c>
      <c r="P1609" s="530" t="str">
        <f t="shared" si="672"/>
        <v/>
      </c>
      <c r="Q1609" s="531" t="str">
        <f>IF($A1609="","",$G1609/VLOOKUP($I1609,Ref!$B$23:$D$29,2,0))</f>
        <v/>
      </c>
      <c r="R1609" s="530" t="str">
        <f t="shared" si="673"/>
        <v/>
      </c>
      <c r="S1609" s="532" t="str">
        <f t="shared" si="667"/>
        <v/>
      </c>
      <c r="T1609" s="531" t="str">
        <f t="shared" si="674"/>
        <v/>
      </c>
      <c r="U1609" s="533">
        <f t="shared" si="675"/>
        <v>0</v>
      </c>
      <c r="V1609" s="531" t="str">
        <f t="shared" si="676"/>
        <v/>
      </c>
      <c r="W1609" s="531" t="str">
        <f t="shared" si="677"/>
        <v/>
      </c>
      <c r="X1609" s="534" t="str">
        <f t="shared" si="678"/>
        <v/>
      </c>
      <c r="Y1609" s="535" t="str">
        <f>IF($A1609="","",IF($I1609="weekly",$A1609+7,EDATE($A1609,VLOOKUP($I1609,Ref!$B$24:$C$29,2,0))))</f>
        <v/>
      </c>
      <c r="Z1609" s="536" t="str">
        <f t="shared" si="679"/>
        <v/>
      </c>
      <c r="AA1609" s="531">
        <f t="shared" si="680"/>
        <v>0</v>
      </c>
      <c r="AB1609" s="535" t="str">
        <f t="shared" si="668"/>
        <v/>
      </c>
      <c r="AC1609" s="537" t="str">
        <f t="shared" si="669"/>
        <v/>
      </c>
      <c r="AD1609" s="538" t="str">
        <f t="shared" ca="1" si="670"/>
        <v/>
      </c>
      <c r="AE1609" s="537">
        <f t="shared" ca="1" si="671"/>
        <v>0</v>
      </c>
      <c r="AF1609" s="539" t="str">
        <f t="shared" ca="1" si="681"/>
        <v/>
      </c>
      <c r="AG1609" s="531" t="str">
        <f t="shared" ca="1" si="682"/>
        <v/>
      </c>
      <c r="AH1609" s="531" t="str">
        <f t="shared" ca="1" si="683"/>
        <v/>
      </c>
      <c r="AI1609" s="531" t="str">
        <f t="shared" ca="1" si="684"/>
        <v/>
      </c>
      <c r="AJ1609" s="531" t="str">
        <f t="shared" si="685"/>
        <v/>
      </c>
      <c r="AK1609" s="540">
        <f>SUMIFS('Live Collections'!$S:$S,'Live Collections'!$D:$D,Disbursements!B1609,'Live Collections'!$G:$G,Disbursements!C1609)</f>
        <v>0</v>
      </c>
      <c r="AL1609" s="540">
        <f>SUMIFS('Live Collections'!$T:$T,'Live Collections'!$D:$D,Disbursements!B1609,'Live Collections'!$G:$G,Disbursements!C1609)</f>
        <v>0</v>
      </c>
      <c r="AM1609" s="541">
        <f t="shared" si="686"/>
        <v>0</v>
      </c>
      <c r="AN1609" s="542" t="str">
        <f t="shared" si="687"/>
        <v/>
      </c>
      <c r="AO1609" s="542" t="str">
        <f t="shared" si="688"/>
        <v/>
      </c>
      <c r="AP1609" s="543" t="str">
        <f t="shared" si="689"/>
        <v/>
      </c>
      <c r="AQ1609" s="544" t="str">
        <f t="shared" si="690"/>
        <v/>
      </c>
      <c r="AR1609" s="545">
        <f t="shared" si="691"/>
        <v>0</v>
      </c>
      <c r="AS1609" s="545">
        <f>IFERROR(CEILING($AR1609*VLOOKUP($I1609,Ref!$B$23:$E$29,4,0),1),0)</f>
        <v>0</v>
      </c>
      <c r="AT1609" s="545" t="str">
        <f>IF(A1609="","",IF(AP1609&lt;=1,"Cleared",IF(AS1609=0,"Clean",VLOOKUP($AS1609,Ref!$G$23:$H$28,2))))</f>
        <v/>
      </c>
      <c r="AU1609" s="546" t="str">
        <f t="shared" si="692"/>
        <v/>
      </c>
    </row>
    <row r="1610" spans="1:47" ht="14.25" hidden="1" customHeight="1" x14ac:dyDescent="0.15">
      <c r="A1610" s="575"/>
      <c r="B1610" s="548"/>
      <c r="C1610" s="548"/>
      <c r="D1610" s="548"/>
      <c r="E1610" s="583"/>
      <c r="F1610" s="584"/>
      <c r="G1610" s="548"/>
      <c r="H1610" s="550"/>
      <c r="I1610" s="560"/>
      <c r="J1610" s="548"/>
      <c r="K1610" s="528" t="str">
        <f>IFERROR(VLOOKUP($B1610,'Clients-Live'!$A:$C,3,0),"")</f>
        <v/>
      </c>
      <c r="L1610" s="528">
        <f>IF(E1610="STL",Pricing!$D$38,IF(A1610="",0,IF(A1610&lt;Pricing!$C$25,Pricing!$D$25,VLOOKUP(Disbursements!$F1610,Pricing!$B$29:$D$32,3))))</f>
        <v>0</v>
      </c>
      <c r="M1610" s="528">
        <f>IF(E1610="STL",0,IF(F1610&gt;0,Pricing!$D$21,0))</f>
        <v>0</v>
      </c>
      <c r="N1610" s="529">
        <f>IF(E1610="STL",F1610*Pricing!$D$40,IF(A1610&lt;=Pricing!$C$4,0,IF(AND(A1610&gt;Pricing!$C$4,Disbursements!A1610&lt;=Pricing!$C$5),F1610*Pricing!$E$5,IF(AND(A1610&gt;Pricing!$C$5,Disbursements!A1610&lt;=Pricing!$C$7),VLOOKUP(F1610,Pricing!$D$7:$E$8,2)*Disbursements!F1610,F1610*Pricing!$E$9))))</f>
        <v>0</v>
      </c>
      <c r="O1610" s="528">
        <f>IF(E1610="STL",0,IF($F1610&gt;0,$F1610*Pricing!$D$17,0))</f>
        <v>0</v>
      </c>
      <c r="P1610" s="530" t="str">
        <f t="shared" si="672"/>
        <v/>
      </c>
      <c r="Q1610" s="531" t="str">
        <f>IF($A1610="","",$G1610/VLOOKUP($I1610,Ref!$B$23:$D$29,2,0))</f>
        <v/>
      </c>
      <c r="R1610" s="530" t="str">
        <f t="shared" si="673"/>
        <v/>
      </c>
      <c r="S1610" s="532" t="str">
        <f t="shared" si="667"/>
        <v/>
      </c>
      <c r="T1610" s="531" t="str">
        <f t="shared" si="674"/>
        <v/>
      </c>
      <c r="U1610" s="533">
        <f t="shared" si="675"/>
        <v>0</v>
      </c>
      <c r="V1610" s="531" t="str">
        <f t="shared" si="676"/>
        <v/>
      </c>
      <c r="W1610" s="531" t="str">
        <f t="shared" si="677"/>
        <v/>
      </c>
      <c r="X1610" s="534" t="str">
        <f t="shared" si="678"/>
        <v/>
      </c>
      <c r="Y1610" s="535" t="str">
        <f>IF($A1610="","",IF($I1610="weekly",$A1610+7,EDATE($A1610,VLOOKUP($I1610,Ref!$B$24:$C$29,2,0))))</f>
        <v/>
      </c>
      <c r="Z1610" s="536" t="str">
        <f t="shared" si="679"/>
        <v/>
      </c>
      <c r="AA1610" s="531">
        <f t="shared" si="680"/>
        <v>0</v>
      </c>
      <c r="AB1610" s="535" t="str">
        <f t="shared" si="668"/>
        <v/>
      </c>
      <c r="AC1610" s="537" t="str">
        <f t="shared" si="669"/>
        <v/>
      </c>
      <c r="AD1610" s="538" t="str">
        <f t="shared" ca="1" si="670"/>
        <v/>
      </c>
      <c r="AE1610" s="537">
        <f t="shared" ca="1" si="671"/>
        <v>0</v>
      </c>
      <c r="AF1610" s="539" t="str">
        <f t="shared" ca="1" si="681"/>
        <v/>
      </c>
      <c r="AG1610" s="531" t="str">
        <f t="shared" ca="1" si="682"/>
        <v/>
      </c>
      <c r="AH1610" s="531" t="str">
        <f t="shared" ca="1" si="683"/>
        <v/>
      </c>
      <c r="AI1610" s="531" t="str">
        <f t="shared" ca="1" si="684"/>
        <v/>
      </c>
      <c r="AJ1610" s="531" t="str">
        <f t="shared" si="685"/>
        <v/>
      </c>
      <c r="AK1610" s="540">
        <f>SUMIFS('Live Collections'!$S:$S,'Live Collections'!$D:$D,Disbursements!B1610,'Live Collections'!$G:$G,Disbursements!C1610)</f>
        <v>0</v>
      </c>
      <c r="AL1610" s="540">
        <f>SUMIFS('Live Collections'!$T:$T,'Live Collections'!$D:$D,Disbursements!B1610,'Live Collections'!$G:$G,Disbursements!C1610)</f>
        <v>0</v>
      </c>
      <c r="AM1610" s="541">
        <f t="shared" si="686"/>
        <v>0</v>
      </c>
      <c r="AN1610" s="542" t="str">
        <f t="shared" si="687"/>
        <v/>
      </c>
      <c r="AO1610" s="542" t="str">
        <f t="shared" si="688"/>
        <v/>
      </c>
      <c r="AP1610" s="543" t="str">
        <f t="shared" si="689"/>
        <v/>
      </c>
      <c r="AQ1610" s="544" t="str">
        <f t="shared" si="690"/>
        <v/>
      </c>
      <c r="AR1610" s="545">
        <f t="shared" si="691"/>
        <v>0</v>
      </c>
      <c r="AS1610" s="545">
        <f>IFERROR(CEILING($AR1610*VLOOKUP($I1610,Ref!$B$23:$E$29,4,0),1),0)</f>
        <v>0</v>
      </c>
      <c r="AT1610" s="545" t="str">
        <f>IF(A1610="","",IF(AP1610&lt;=1,"Cleared",IF(AS1610=0,"Clean",VLOOKUP($AS1610,Ref!$G$23:$H$28,2))))</f>
        <v/>
      </c>
      <c r="AU1610" s="546" t="str">
        <f t="shared" si="692"/>
        <v/>
      </c>
    </row>
    <row r="1611" spans="1:47" ht="14.25" hidden="1" customHeight="1" x14ac:dyDescent="0.15">
      <c r="A1611" s="575"/>
      <c r="B1611" s="548"/>
      <c r="C1611" s="548"/>
      <c r="D1611" s="548"/>
      <c r="E1611" s="583"/>
      <c r="F1611" s="584"/>
      <c r="G1611" s="548"/>
      <c r="H1611" s="550"/>
      <c r="I1611" s="560"/>
      <c r="J1611" s="548"/>
      <c r="K1611" s="528" t="str">
        <f>IFERROR(VLOOKUP($B1611,'Clients-Live'!$A:$C,3,0),"")</f>
        <v/>
      </c>
      <c r="L1611" s="528">
        <f>IF(E1611="STL",Pricing!$D$38,IF(A1611="",0,IF(A1611&lt;Pricing!$C$25,Pricing!$D$25,VLOOKUP(Disbursements!$F1611,Pricing!$B$29:$D$32,3))))</f>
        <v>0</v>
      </c>
      <c r="M1611" s="528">
        <f>IF(E1611="STL",0,IF(F1611&gt;0,Pricing!$D$21,0))</f>
        <v>0</v>
      </c>
      <c r="N1611" s="529">
        <f>IF(E1611="STL",F1611*Pricing!$D$40,IF(A1611&lt;=Pricing!$C$4,0,IF(AND(A1611&gt;Pricing!$C$4,Disbursements!A1611&lt;=Pricing!$C$5),F1611*Pricing!$E$5,IF(AND(A1611&gt;Pricing!$C$5,Disbursements!A1611&lt;=Pricing!$C$7),VLOOKUP(F1611,Pricing!$D$7:$E$8,2)*Disbursements!F1611,F1611*Pricing!$E$9))))</f>
        <v>0</v>
      </c>
      <c r="O1611" s="528">
        <f>IF(E1611="STL",0,IF($F1611&gt;0,$F1611*Pricing!$D$17,0))</f>
        <v>0</v>
      </c>
      <c r="P1611" s="530" t="str">
        <f t="shared" si="672"/>
        <v/>
      </c>
      <c r="Q1611" s="531" t="str">
        <f>IF($A1611="","",$G1611/VLOOKUP($I1611,Ref!$B$23:$D$29,2,0))</f>
        <v/>
      </c>
      <c r="R1611" s="530" t="str">
        <f t="shared" si="673"/>
        <v/>
      </c>
      <c r="S1611" s="532" t="str">
        <f t="shared" si="667"/>
        <v/>
      </c>
      <c r="T1611" s="531" t="str">
        <f t="shared" si="674"/>
        <v/>
      </c>
      <c r="U1611" s="533">
        <f t="shared" si="675"/>
        <v>0</v>
      </c>
      <c r="V1611" s="531" t="str">
        <f t="shared" si="676"/>
        <v/>
      </c>
      <c r="W1611" s="531" t="str">
        <f t="shared" si="677"/>
        <v/>
      </c>
      <c r="X1611" s="534" t="str">
        <f t="shared" si="678"/>
        <v/>
      </c>
      <c r="Y1611" s="535" t="str">
        <f>IF($A1611="","",IF($I1611="weekly",$A1611+7,EDATE($A1611,VLOOKUP($I1611,Ref!$B$24:$C$29,2,0))))</f>
        <v/>
      </c>
      <c r="Z1611" s="536" t="str">
        <f t="shared" si="679"/>
        <v/>
      </c>
      <c r="AA1611" s="531">
        <f t="shared" si="680"/>
        <v>0</v>
      </c>
      <c r="AB1611" s="535" t="str">
        <f t="shared" si="668"/>
        <v/>
      </c>
      <c r="AC1611" s="537" t="str">
        <f t="shared" si="669"/>
        <v/>
      </c>
      <c r="AD1611" s="538" t="str">
        <f t="shared" ca="1" si="670"/>
        <v/>
      </c>
      <c r="AE1611" s="537">
        <f t="shared" ca="1" si="671"/>
        <v>0</v>
      </c>
      <c r="AF1611" s="539" t="str">
        <f t="shared" ca="1" si="681"/>
        <v/>
      </c>
      <c r="AG1611" s="531" t="str">
        <f t="shared" ca="1" si="682"/>
        <v/>
      </c>
      <c r="AH1611" s="531" t="str">
        <f t="shared" ca="1" si="683"/>
        <v/>
      </c>
      <c r="AI1611" s="531" t="str">
        <f t="shared" ca="1" si="684"/>
        <v/>
      </c>
      <c r="AJ1611" s="531" t="str">
        <f t="shared" si="685"/>
        <v/>
      </c>
      <c r="AK1611" s="540">
        <f>SUMIFS('Live Collections'!$S:$S,'Live Collections'!$D:$D,Disbursements!B1611,'Live Collections'!$G:$G,Disbursements!C1611)</f>
        <v>0</v>
      </c>
      <c r="AL1611" s="540">
        <f>SUMIFS('Live Collections'!$T:$T,'Live Collections'!$D:$D,Disbursements!B1611,'Live Collections'!$G:$G,Disbursements!C1611)</f>
        <v>0</v>
      </c>
      <c r="AM1611" s="541">
        <f t="shared" si="686"/>
        <v>0</v>
      </c>
      <c r="AN1611" s="542" t="str">
        <f t="shared" si="687"/>
        <v/>
      </c>
      <c r="AO1611" s="542" t="str">
        <f t="shared" si="688"/>
        <v/>
      </c>
      <c r="AP1611" s="543" t="str">
        <f t="shared" si="689"/>
        <v/>
      </c>
      <c r="AQ1611" s="544" t="str">
        <f t="shared" si="690"/>
        <v/>
      </c>
      <c r="AR1611" s="545">
        <f t="shared" si="691"/>
        <v>0</v>
      </c>
      <c r="AS1611" s="545">
        <f>IFERROR(CEILING($AR1611*VLOOKUP($I1611,Ref!$B$23:$E$29,4,0),1),0)</f>
        <v>0</v>
      </c>
      <c r="AT1611" s="545" t="str">
        <f>IF(A1611="","",IF(AP1611&lt;=1,"Cleared",IF(AS1611=0,"Clean",VLOOKUP($AS1611,Ref!$G$23:$H$28,2))))</f>
        <v/>
      </c>
      <c r="AU1611" s="546" t="str">
        <f t="shared" si="692"/>
        <v/>
      </c>
    </row>
    <row r="1612" spans="1:47" ht="14.25" hidden="1" customHeight="1" x14ac:dyDescent="0.15">
      <c r="A1612" s="575"/>
      <c r="B1612" s="548"/>
      <c r="C1612" s="548"/>
      <c r="D1612" s="548"/>
      <c r="E1612" s="583"/>
      <c r="F1612" s="584"/>
      <c r="G1612" s="548"/>
      <c r="H1612" s="550"/>
      <c r="I1612" s="560"/>
      <c r="J1612" s="548"/>
      <c r="K1612" s="528" t="str">
        <f>IFERROR(VLOOKUP($B1612,'Clients-Live'!$A:$C,3,0),"")</f>
        <v/>
      </c>
      <c r="L1612" s="528">
        <f>IF(E1612="STL",Pricing!$D$38,IF(A1612="",0,IF(A1612&lt;Pricing!$C$25,Pricing!$D$25,VLOOKUP(Disbursements!$F1612,Pricing!$B$29:$D$32,3))))</f>
        <v>0</v>
      </c>
      <c r="M1612" s="528">
        <f>IF(E1612="STL",0,IF(F1612&gt;0,Pricing!$D$21,0))</f>
        <v>0</v>
      </c>
      <c r="N1612" s="529">
        <f>IF(E1612="STL",F1612*Pricing!$D$40,IF(A1612&lt;=Pricing!$C$4,0,IF(AND(A1612&gt;Pricing!$C$4,Disbursements!A1612&lt;=Pricing!$C$5),F1612*Pricing!$E$5,IF(AND(A1612&gt;Pricing!$C$5,Disbursements!A1612&lt;=Pricing!$C$7),VLOOKUP(F1612,Pricing!$D$7:$E$8,2)*Disbursements!F1612,F1612*Pricing!$E$9))))</f>
        <v>0</v>
      </c>
      <c r="O1612" s="528">
        <f>IF(E1612="STL",0,IF($F1612&gt;0,$F1612*Pricing!$D$17,0))</f>
        <v>0</v>
      </c>
      <c r="P1612" s="530" t="str">
        <f t="shared" si="672"/>
        <v/>
      </c>
      <c r="Q1612" s="531" t="str">
        <f>IF($A1612="","",$G1612/VLOOKUP($I1612,Ref!$B$23:$D$29,2,0))</f>
        <v/>
      </c>
      <c r="R1612" s="530" t="str">
        <f t="shared" si="673"/>
        <v/>
      </c>
      <c r="S1612" s="532" t="str">
        <f t="shared" si="667"/>
        <v/>
      </c>
      <c r="T1612" s="531" t="str">
        <f t="shared" si="674"/>
        <v/>
      </c>
      <c r="U1612" s="533">
        <f t="shared" si="675"/>
        <v>0</v>
      </c>
      <c r="V1612" s="531" t="str">
        <f t="shared" si="676"/>
        <v/>
      </c>
      <c r="W1612" s="531" t="str">
        <f t="shared" si="677"/>
        <v/>
      </c>
      <c r="X1612" s="534" t="str">
        <f t="shared" si="678"/>
        <v/>
      </c>
      <c r="Y1612" s="535" t="str">
        <f>IF($A1612="","",IF($I1612="weekly",$A1612+7,EDATE($A1612,VLOOKUP($I1612,Ref!$B$24:$C$29,2,0))))</f>
        <v/>
      </c>
      <c r="Z1612" s="536" t="str">
        <f t="shared" si="679"/>
        <v/>
      </c>
      <c r="AA1612" s="531">
        <f t="shared" si="680"/>
        <v>0</v>
      </c>
      <c r="AB1612" s="535" t="str">
        <f t="shared" si="668"/>
        <v/>
      </c>
      <c r="AC1612" s="537" t="str">
        <f t="shared" si="669"/>
        <v/>
      </c>
      <c r="AD1612" s="538" t="str">
        <f t="shared" ca="1" si="670"/>
        <v/>
      </c>
      <c r="AE1612" s="537">
        <f t="shared" ca="1" si="671"/>
        <v>0</v>
      </c>
      <c r="AF1612" s="539" t="str">
        <f t="shared" ca="1" si="681"/>
        <v/>
      </c>
      <c r="AG1612" s="531" t="str">
        <f t="shared" ca="1" si="682"/>
        <v/>
      </c>
      <c r="AH1612" s="531" t="str">
        <f t="shared" ca="1" si="683"/>
        <v/>
      </c>
      <c r="AI1612" s="531" t="str">
        <f t="shared" ca="1" si="684"/>
        <v/>
      </c>
      <c r="AJ1612" s="531" t="str">
        <f t="shared" si="685"/>
        <v/>
      </c>
      <c r="AK1612" s="540">
        <f>SUMIFS('Live Collections'!$S:$S,'Live Collections'!$D:$D,Disbursements!B1612,'Live Collections'!$G:$G,Disbursements!C1612)</f>
        <v>0</v>
      </c>
      <c r="AL1612" s="540">
        <f>SUMIFS('Live Collections'!$T:$T,'Live Collections'!$D:$D,Disbursements!B1612,'Live Collections'!$G:$G,Disbursements!C1612)</f>
        <v>0</v>
      </c>
      <c r="AM1612" s="541">
        <f t="shared" si="686"/>
        <v>0</v>
      </c>
      <c r="AN1612" s="542" t="str">
        <f t="shared" si="687"/>
        <v/>
      </c>
      <c r="AO1612" s="542" t="str">
        <f t="shared" si="688"/>
        <v/>
      </c>
      <c r="AP1612" s="543" t="str">
        <f t="shared" si="689"/>
        <v/>
      </c>
      <c r="AQ1612" s="544" t="str">
        <f t="shared" si="690"/>
        <v/>
      </c>
      <c r="AR1612" s="545">
        <f t="shared" si="691"/>
        <v>0</v>
      </c>
      <c r="AS1612" s="545">
        <f>IFERROR(CEILING($AR1612*VLOOKUP($I1612,Ref!$B$23:$E$29,4,0),1),0)</f>
        <v>0</v>
      </c>
      <c r="AT1612" s="545" t="str">
        <f>IF(A1612="","",IF(AP1612&lt;=1,"Cleared",IF(AS1612=0,"Clean",VLOOKUP($AS1612,Ref!$G$23:$H$28,2))))</f>
        <v/>
      </c>
      <c r="AU1612" s="546" t="str">
        <f t="shared" si="692"/>
        <v/>
      </c>
    </row>
    <row r="1613" spans="1:47" ht="14.25" hidden="1" customHeight="1" x14ac:dyDescent="0.15">
      <c r="A1613" s="575"/>
      <c r="B1613" s="548"/>
      <c r="C1613" s="548"/>
      <c r="D1613" s="548"/>
      <c r="E1613" s="583"/>
      <c r="F1613" s="584"/>
      <c r="G1613" s="548"/>
      <c r="H1613" s="550"/>
      <c r="I1613" s="560"/>
      <c r="J1613" s="548"/>
      <c r="K1613" s="528" t="str">
        <f>IFERROR(VLOOKUP($B1613,'Clients-Live'!$A:$C,3,0),"")</f>
        <v/>
      </c>
      <c r="L1613" s="528">
        <f>IF(E1613="STL",Pricing!$D$38,IF(A1613="",0,IF(A1613&lt;Pricing!$C$25,Pricing!$D$25,VLOOKUP(Disbursements!$F1613,Pricing!$B$29:$D$32,3))))</f>
        <v>0</v>
      </c>
      <c r="M1613" s="528">
        <f>IF(E1613="STL",0,IF(F1613&gt;0,Pricing!$D$21,0))</f>
        <v>0</v>
      </c>
      <c r="N1613" s="529">
        <f>IF(E1613="STL",F1613*Pricing!$D$40,IF(A1613&lt;=Pricing!$C$4,0,IF(AND(A1613&gt;Pricing!$C$4,Disbursements!A1613&lt;=Pricing!$C$5),F1613*Pricing!$E$5,IF(AND(A1613&gt;Pricing!$C$5,Disbursements!A1613&lt;=Pricing!$C$7),VLOOKUP(F1613,Pricing!$D$7:$E$8,2)*Disbursements!F1613,F1613*Pricing!$E$9))))</f>
        <v>0</v>
      </c>
      <c r="O1613" s="528">
        <f>IF(E1613="STL",0,IF($F1613&gt;0,$F1613*Pricing!$D$17,0))</f>
        <v>0</v>
      </c>
      <c r="P1613" s="530" t="str">
        <f t="shared" si="672"/>
        <v/>
      </c>
      <c r="Q1613" s="531" t="str">
        <f>IF($A1613="","",$G1613/VLOOKUP($I1613,Ref!$B$23:$D$29,2,0))</f>
        <v/>
      </c>
      <c r="R1613" s="530" t="str">
        <f t="shared" si="673"/>
        <v/>
      </c>
      <c r="S1613" s="532" t="str">
        <f t="shared" si="667"/>
        <v/>
      </c>
      <c r="T1613" s="531" t="str">
        <f t="shared" si="674"/>
        <v/>
      </c>
      <c r="U1613" s="533">
        <f t="shared" si="675"/>
        <v>0</v>
      </c>
      <c r="V1613" s="531" t="str">
        <f t="shared" si="676"/>
        <v/>
      </c>
      <c r="W1613" s="531" t="str">
        <f t="shared" si="677"/>
        <v/>
      </c>
      <c r="X1613" s="534" t="str">
        <f t="shared" si="678"/>
        <v/>
      </c>
      <c r="Y1613" s="535" t="str">
        <f>IF($A1613="","",IF($I1613="weekly",$A1613+7,EDATE($A1613,VLOOKUP($I1613,Ref!$B$24:$C$29,2,0))))</f>
        <v/>
      </c>
      <c r="Z1613" s="536" t="str">
        <f t="shared" si="679"/>
        <v/>
      </c>
      <c r="AA1613" s="531">
        <f t="shared" si="680"/>
        <v>0</v>
      </c>
      <c r="AB1613" s="535" t="str">
        <f t="shared" si="668"/>
        <v/>
      </c>
      <c r="AC1613" s="537" t="str">
        <f t="shared" si="669"/>
        <v/>
      </c>
      <c r="AD1613" s="538" t="str">
        <f t="shared" ca="1" si="670"/>
        <v/>
      </c>
      <c r="AE1613" s="537">
        <f t="shared" ca="1" si="671"/>
        <v>0</v>
      </c>
      <c r="AF1613" s="539" t="str">
        <f t="shared" ca="1" si="681"/>
        <v/>
      </c>
      <c r="AG1613" s="531" t="str">
        <f t="shared" ca="1" si="682"/>
        <v/>
      </c>
      <c r="AH1613" s="531" t="str">
        <f t="shared" ca="1" si="683"/>
        <v/>
      </c>
      <c r="AI1613" s="531" t="str">
        <f t="shared" ca="1" si="684"/>
        <v/>
      </c>
      <c r="AJ1613" s="531" t="str">
        <f t="shared" si="685"/>
        <v/>
      </c>
      <c r="AK1613" s="540">
        <f>SUMIFS('Live Collections'!$S:$S,'Live Collections'!$D:$D,Disbursements!B1613,'Live Collections'!$G:$G,Disbursements!C1613)</f>
        <v>0</v>
      </c>
      <c r="AL1613" s="540">
        <f>SUMIFS('Live Collections'!$T:$T,'Live Collections'!$D:$D,Disbursements!B1613,'Live Collections'!$G:$G,Disbursements!C1613)</f>
        <v>0</v>
      </c>
      <c r="AM1613" s="541">
        <f t="shared" si="686"/>
        <v>0</v>
      </c>
      <c r="AN1613" s="542" t="str">
        <f t="shared" si="687"/>
        <v/>
      </c>
      <c r="AO1613" s="542" t="str">
        <f t="shared" si="688"/>
        <v/>
      </c>
      <c r="AP1613" s="543" t="str">
        <f t="shared" si="689"/>
        <v/>
      </c>
      <c r="AQ1613" s="544" t="str">
        <f t="shared" si="690"/>
        <v/>
      </c>
      <c r="AR1613" s="545">
        <f t="shared" si="691"/>
        <v>0</v>
      </c>
      <c r="AS1613" s="545">
        <f>IFERROR(CEILING($AR1613*VLOOKUP($I1613,Ref!$B$23:$E$29,4,0),1),0)</f>
        <v>0</v>
      </c>
      <c r="AT1613" s="545" t="str">
        <f>IF(A1613="","",IF(AP1613&lt;=1,"Cleared",IF(AS1613=0,"Clean",VLOOKUP($AS1613,Ref!$G$23:$H$28,2))))</f>
        <v/>
      </c>
      <c r="AU1613" s="546" t="str">
        <f t="shared" si="692"/>
        <v/>
      </c>
    </row>
    <row r="1614" spans="1:47" ht="14.25" hidden="1" customHeight="1" x14ac:dyDescent="0.15">
      <c r="A1614" s="575"/>
      <c r="B1614" s="548"/>
      <c r="C1614" s="548"/>
      <c r="D1614" s="548"/>
      <c r="E1614" s="583"/>
      <c r="F1614" s="584"/>
      <c r="G1614" s="548"/>
      <c r="H1614" s="550"/>
      <c r="I1614" s="560"/>
      <c r="J1614" s="548"/>
      <c r="K1614" s="528" t="str">
        <f>IFERROR(VLOOKUP($B1614,'Clients-Live'!$A:$C,3,0),"")</f>
        <v/>
      </c>
      <c r="L1614" s="528">
        <f>IF(E1614="STL",Pricing!$D$38,IF(A1614="",0,IF(A1614&lt;Pricing!$C$25,Pricing!$D$25,VLOOKUP(Disbursements!$F1614,Pricing!$B$29:$D$32,3))))</f>
        <v>0</v>
      </c>
      <c r="M1614" s="528">
        <f>IF(E1614="STL",0,IF(F1614&gt;0,Pricing!$D$21,0))</f>
        <v>0</v>
      </c>
      <c r="N1614" s="529">
        <f>IF(E1614="STL",F1614*Pricing!$D$40,IF(A1614&lt;=Pricing!$C$4,0,IF(AND(A1614&gt;Pricing!$C$4,Disbursements!A1614&lt;=Pricing!$C$5),F1614*Pricing!$E$5,IF(AND(A1614&gt;Pricing!$C$5,Disbursements!A1614&lt;=Pricing!$C$7),VLOOKUP(F1614,Pricing!$D$7:$E$8,2)*Disbursements!F1614,F1614*Pricing!$E$9))))</f>
        <v>0</v>
      </c>
      <c r="O1614" s="528">
        <f>IF(E1614="STL",0,IF($F1614&gt;0,$F1614*Pricing!$D$17,0))</f>
        <v>0</v>
      </c>
      <c r="P1614" s="530" t="str">
        <f t="shared" si="672"/>
        <v/>
      </c>
      <c r="Q1614" s="531" t="str">
        <f>IF($A1614="","",$G1614/VLOOKUP($I1614,Ref!$B$23:$D$29,2,0))</f>
        <v/>
      </c>
      <c r="R1614" s="530" t="str">
        <f t="shared" si="673"/>
        <v/>
      </c>
      <c r="S1614" s="532" t="str">
        <f t="shared" si="667"/>
        <v/>
      </c>
      <c r="T1614" s="531" t="str">
        <f t="shared" si="674"/>
        <v/>
      </c>
      <c r="U1614" s="533">
        <f t="shared" si="675"/>
        <v>0</v>
      </c>
      <c r="V1614" s="531" t="str">
        <f t="shared" si="676"/>
        <v/>
      </c>
      <c r="W1614" s="531" t="str">
        <f t="shared" si="677"/>
        <v/>
      </c>
      <c r="X1614" s="534" t="str">
        <f t="shared" si="678"/>
        <v/>
      </c>
      <c r="Y1614" s="535" t="str">
        <f>IF($A1614="","",IF($I1614="weekly",$A1614+7,EDATE($A1614,VLOOKUP($I1614,Ref!$B$24:$C$29,2,0))))</f>
        <v/>
      </c>
      <c r="Z1614" s="536" t="str">
        <f t="shared" si="679"/>
        <v/>
      </c>
      <c r="AA1614" s="531">
        <f t="shared" si="680"/>
        <v>0</v>
      </c>
      <c r="AB1614" s="535" t="str">
        <f t="shared" si="668"/>
        <v/>
      </c>
      <c r="AC1614" s="537" t="str">
        <f t="shared" si="669"/>
        <v/>
      </c>
      <c r="AD1614" s="538" t="str">
        <f t="shared" ca="1" si="670"/>
        <v/>
      </c>
      <c r="AE1614" s="537">
        <f t="shared" ca="1" si="671"/>
        <v>0</v>
      </c>
      <c r="AF1614" s="539" t="str">
        <f t="shared" ca="1" si="681"/>
        <v/>
      </c>
      <c r="AG1614" s="531" t="str">
        <f t="shared" ca="1" si="682"/>
        <v/>
      </c>
      <c r="AH1614" s="531" t="str">
        <f t="shared" ca="1" si="683"/>
        <v/>
      </c>
      <c r="AI1614" s="531" t="str">
        <f t="shared" ca="1" si="684"/>
        <v/>
      </c>
      <c r="AJ1614" s="531" t="str">
        <f t="shared" si="685"/>
        <v/>
      </c>
      <c r="AK1614" s="540">
        <f>SUMIFS('Live Collections'!$S:$S,'Live Collections'!$D:$D,Disbursements!B1614,'Live Collections'!$G:$G,Disbursements!C1614)</f>
        <v>0</v>
      </c>
      <c r="AL1614" s="540">
        <f>SUMIFS('Live Collections'!$T:$T,'Live Collections'!$D:$D,Disbursements!B1614,'Live Collections'!$G:$G,Disbursements!C1614)</f>
        <v>0</v>
      </c>
      <c r="AM1614" s="541">
        <f t="shared" si="686"/>
        <v>0</v>
      </c>
      <c r="AN1614" s="542" t="str">
        <f t="shared" si="687"/>
        <v/>
      </c>
      <c r="AO1614" s="542" t="str">
        <f t="shared" si="688"/>
        <v/>
      </c>
      <c r="AP1614" s="543" t="str">
        <f t="shared" si="689"/>
        <v/>
      </c>
      <c r="AQ1614" s="544" t="str">
        <f t="shared" si="690"/>
        <v/>
      </c>
      <c r="AR1614" s="545">
        <f t="shared" si="691"/>
        <v>0</v>
      </c>
      <c r="AS1614" s="545">
        <f>IFERROR(CEILING($AR1614*VLOOKUP($I1614,Ref!$B$23:$E$29,4,0),1),0)</f>
        <v>0</v>
      </c>
      <c r="AT1614" s="545" t="str">
        <f>IF(A1614="","",IF(AP1614&lt;=1,"Cleared",IF(AS1614=0,"Clean",VLOOKUP($AS1614,Ref!$G$23:$H$28,2))))</f>
        <v/>
      </c>
      <c r="AU1614" s="546" t="str">
        <f t="shared" si="692"/>
        <v/>
      </c>
    </row>
    <row r="1615" spans="1:47" ht="14.25" hidden="1" customHeight="1" x14ac:dyDescent="0.15">
      <c r="A1615" s="575"/>
      <c r="B1615" s="548"/>
      <c r="C1615" s="548"/>
      <c r="D1615" s="548"/>
      <c r="E1615" s="583"/>
      <c r="F1615" s="584"/>
      <c r="G1615" s="548"/>
      <c r="H1615" s="550"/>
      <c r="I1615" s="560"/>
      <c r="J1615" s="548"/>
      <c r="K1615" s="528" t="str">
        <f>IFERROR(VLOOKUP($B1615,'Clients-Live'!$A:$C,3,0),"")</f>
        <v/>
      </c>
      <c r="L1615" s="528">
        <f>IF(E1615="STL",Pricing!$D$38,IF(A1615="",0,IF(A1615&lt;Pricing!$C$25,Pricing!$D$25,VLOOKUP(Disbursements!$F1615,Pricing!$B$29:$D$32,3))))</f>
        <v>0</v>
      </c>
      <c r="M1615" s="528">
        <f>IF(E1615="STL",0,IF(F1615&gt;0,Pricing!$D$21,0))</f>
        <v>0</v>
      </c>
      <c r="N1615" s="529">
        <f>IF(E1615="STL",F1615*Pricing!$D$40,IF(A1615&lt;=Pricing!$C$4,0,IF(AND(A1615&gt;Pricing!$C$4,Disbursements!A1615&lt;=Pricing!$C$5),F1615*Pricing!$E$5,IF(AND(A1615&gt;Pricing!$C$5,Disbursements!A1615&lt;=Pricing!$C$7),VLOOKUP(F1615,Pricing!$D$7:$E$8,2)*Disbursements!F1615,F1615*Pricing!$E$9))))</f>
        <v>0</v>
      </c>
      <c r="O1615" s="528">
        <f>IF(E1615="STL",0,IF($F1615&gt;0,$F1615*Pricing!$D$17,0))</f>
        <v>0</v>
      </c>
      <c r="P1615" s="530" t="str">
        <f t="shared" si="672"/>
        <v/>
      </c>
      <c r="Q1615" s="531" t="str">
        <f>IF($A1615="","",$G1615/VLOOKUP($I1615,Ref!$B$23:$D$29,2,0))</f>
        <v/>
      </c>
      <c r="R1615" s="530" t="str">
        <f t="shared" si="673"/>
        <v/>
      </c>
      <c r="S1615" s="532" t="str">
        <f t="shared" si="667"/>
        <v/>
      </c>
      <c r="T1615" s="531" t="str">
        <f t="shared" si="674"/>
        <v/>
      </c>
      <c r="U1615" s="533">
        <f t="shared" si="675"/>
        <v>0</v>
      </c>
      <c r="V1615" s="531" t="str">
        <f t="shared" si="676"/>
        <v/>
      </c>
      <c r="W1615" s="531" t="str">
        <f t="shared" si="677"/>
        <v/>
      </c>
      <c r="X1615" s="534" t="str">
        <f t="shared" si="678"/>
        <v/>
      </c>
      <c r="Y1615" s="535" t="str">
        <f>IF($A1615="","",IF($I1615="weekly",$A1615+7,EDATE($A1615,VLOOKUP($I1615,Ref!$B$24:$C$29,2,0))))</f>
        <v/>
      </c>
      <c r="Z1615" s="536" t="str">
        <f t="shared" si="679"/>
        <v/>
      </c>
      <c r="AA1615" s="531">
        <f t="shared" si="680"/>
        <v>0</v>
      </c>
      <c r="AB1615" s="535" t="str">
        <f t="shared" si="668"/>
        <v/>
      </c>
      <c r="AC1615" s="537" t="str">
        <f t="shared" si="669"/>
        <v/>
      </c>
      <c r="AD1615" s="538" t="str">
        <f t="shared" ca="1" si="670"/>
        <v/>
      </c>
      <c r="AE1615" s="537">
        <f t="shared" ca="1" si="671"/>
        <v>0</v>
      </c>
      <c r="AF1615" s="539" t="str">
        <f t="shared" ca="1" si="681"/>
        <v/>
      </c>
      <c r="AG1615" s="531" t="str">
        <f t="shared" ca="1" si="682"/>
        <v/>
      </c>
      <c r="AH1615" s="531" t="str">
        <f t="shared" ca="1" si="683"/>
        <v/>
      </c>
      <c r="AI1615" s="531" t="str">
        <f t="shared" ca="1" si="684"/>
        <v/>
      </c>
      <c r="AJ1615" s="531" t="str">
        <f t="shared" si="685"/>
        <v/>
      </c>
      <c r="AK1615" s="540">
        <f>SUMIFS('Live Collections'!$S:$S,'Live Collections'!$D:$D,Disbursements!B1615,'Live Collections'!$G:$G,Disbursements!C1615)</f>
        <v>0</v>
      </c>
      <c r="AL1615" s="540">
        <f>SUMIFS('Live Collections'!$T:$T,'Live Collections'!$D:$D,Disbursements!B1615,'Live Collections'!$G:$G,Disbursements!C1615)</f>
        <v>0</v>
      </c>
      <c r="AM1615" s="541">
        <f t="shared" si="686"/>
        <v>0</v>
      </c>
      <c r="AN1615" s="542" t="str">
        <f t="shared" si="687"/>
        <v/>
      </c>
      <c r="AO1615" s="542" t="str">
        <f t="shared" si="688"/>
        <v/>
      </c>
      <c r="AP1615" s="543" t="str">
        <f t="shared" si="689"/>
        <v/>
      </c>
      <c r="AQ1615" s="544" t="str">
        <f t="shared" si="690"/>
        <v/>
      </c>
      <c r="AR1615" s="545">
        <f t="shared" si="691"/>
        <v>0</v>
      </c>
      <c r="AS1615" s="545">
        <f>IFERROR(CEILING($AR1615*VLOOKUP($I1615,Ref!$B$23:$E$29,4,0),1),0)</f>
        <v>0</v>
      </c>
      <c r="AT1615" s="545" t="str">
        <f>IF(A1615="","",IF(AP1615&lt;=1,"Cleared",IF(AS1615=0,"Clean",VLOOKUP($AS1615,Ref!$G$23:$H$28,2))))</f>
        <v/>
      </c>
      <c r="AU1615" s="546" t="str">
        <f t="shared" si="692"/>
        <v/>
      </c>
    </row>
    <row r="1616" spans="1:47" ht="14.25" hidden="1" customHeight="1" x14ac:dyDescent="0.15">
      <c r="A1616" s="575"/>
      <c r="B1616" s="548"/>
      <c r="C1616" s="548"/>
      <c r="D1616" s="548"/>
      <c r="E1616" s="583"/>
      <c r="F1616" s="584"/>
      <c r="G1616" s="548"/>
      <c r="H1616" s="550"/>
      <c r="I1616" s="560"/>
      <c r="J1616" s="548"/>
      <c r="K1616" s="528" t="str">
        <f>IFERROR(VLOOKUP($B1616,'Clients-Live'!$A:$C,3,0),"")</f>
        <v/>
      </c>
      <c r="L1616" s="528">
        <f>IF(E1616="STL",Pricing!$D$38,IF(A1616="",0,IF(A1616&lt;Pricing!$C$25,Pricing!$D$25,VLOOKUP(Disbursements!$F1616,Pricing!$B$29:$D$32,3))))</f>
        <v>0</v>
      </c>
      <c r="M1616" s="528">
        <f>IF(E1616="STL",0,IF(F1616&gt;0,Pricing!$D$21,0))</f>
        <v>0</v>
      </c>
      <c r="N1616" s="529">
        <f>IF(E1616="STL",F1616*Pricing!$D$40,IF(A1616&lt;=Pricing!$C$4,0,IF(AND(A1616&gt;Pricing!$C$4,Disbursements!A1616&lt;=Pricing!$C$5),F1616*Pricing!$E$5,IF(AND(A1616&gt;Pricing!$C$5,Disbursements!A1616&lt;=Pricing!$C$7),VLOOKUP(F1616,Pricing!$D$7:$E$8,2)*Disbursements!F1616,F1616*Pricing!$E$9))))</f>
        <v>0</v>
      </c>
      <c r="O1616" s="528">
        <f>IF(E1616="STL",0,IF($F1616&gt;0,$F1616*Pricing!$D$17,0))</f>
        <v>0</v>
      </c>
      <c r="P1616" s="530" t="str">
        <f t="shared" si="672"/>
        <v/>
      </c>
      <c r="Q1616" s="531" t="str">
        <f>IF($A1616="","",$G1616/VLOOKUP($I1616,Ref!$B$23:$D$29,2,0))</f>
        <v/>
      </c>
      <c r="R1616" s="530" t="str">
        <f t="shared" si="673"/>
        <v/>
      </c>
      <c r="S1616" s="532" t="str">
        <f t="shared" si="667"/>
        <v/>
      </c>
      <c r="T1616" s="531" t="str">
        <f t="shared" si="674"/>
        <v/>
      </c>
      <c r="U1616" s="533">
        <f t="shared" si="675"/>
        <v>0</v>
      </c>
      <c r="V1616" s="531" t="str">
        <f t="shared" si="676"/>
        <v/>
      </c>
      <c r="W1616" s="531" t="str">
        <f t="shared" si="677"/>
        <v/>
      </c>
      <c r="X1616" s="534" t="str">
        <f t="shared" si="678"/>
        <v/>
      </c>
      <c r="Y1616" s="535" t="str">
        <f>IF($A1616="","",IF($I1616="weekly",$A1616+7,EDATE($A1616,VLOOKUP($I1616,Ref!$B$24:$C$29,2,0))))</f>
        <v/>
      </c>
      <c r="Z1616" s="536" t="str">
        <f t="shared" si="679"/>
        <v/>
      </c>
      <c r="AA1616" s="531">
        <f t="shared" si="680"/>
        <v>0</v>
      </c>
      <c r="AB1616" s="535" t="str">
        <f t="shared" si="668"/>
        <v/>
      </c>
      <c r="AC1616" s="537" t="str">
        <f t="shared" si="669"/>
        <v/>
      </c>
      <c r="AD1616" s="538" t="str">
        <f t="shared" ca="1" si="670"/>
        <v/>
      </c>
      <c r="AE1616" s="537">
        <f t="shared" ca="1" si="671"/>
        <v>0</v>
      </c>
      <c r="AF1616" s="539" t="str">
        <f t="shared" ca="1" si="681"/>
        <v/>
      </c>
      <c r="AG1616" s="531" t="str">
        <f t="shared" ca="1" si="682"/>
        <v/>
      </c>
      <c r="AH1616" s="531" t="str">
        <f t="shared" ca="1" si="683"/>
        <v/>
      </c>
      <c r="AI1616" s="531" t="str">
        <f t="shared" ca="1" si="684"/>
        <v/>
      </c>
      <c r="AJ1616" s="531" t="str">
        <f t="shared" si="685"/>
        <v/>
      </c>
      <c r="AK1616" s="540">
        <f>SUMIFS('Live Collections'!$S:$S,'Live Collections'!$D:$D,Disbursements!B1616,'Live Collections'!$G:$G,Disbursements!C1616)</f>
        <v>0</v>
      </c>
      <c r="AL1616" s="540">
        <f>SUMIFS('Live Collections'!$T:$T,'Live Collections'!$D:$D,Disbursements!B1616,'Live Collections'!$G:$G,Disbursements!C1616)</f>
        <v>0</v>
      </c>
      <c r="AM1616" s="541">
        <f t="shared" si="686"/>
        <v>0</v>
      </c>
      <c r="AN1616" s="542" t="str">
        <f t="shared" si="687"/>
        <v/>
      </c>
      <c r="AO1616" s="542" t="str">
        <f t="shared" si="688"/>
        <v/>
      </c>
      <c r="AP1616" s="543" t="str">
        <f t="shared" si="689"/>
        <v/>
      </c>
      <c r="AQ1616" s="544" t="str">
        <f t="shared" si="690"/>
        <v/>
      </c>
      <c r="AR1616" s="545">
        <f t="shared" si="691"/>
        <v>0</v>
      </c>
      <c r="AS1616" s="545">
        <f>IFERROR(CEILING($AR1616*VLOOKUP($I1616,Ref!$B$23:$E$29,4,0),1),0)</f>
        <v>0</v>
      </c>
      <c r="AT1616" s="545" t="str">
        <f>IF(A1616="","",IF(AP1616&lt;=1,"Cleared",IF(AS1616=0,"Clean",VLOOKUP($AS1616,Ref!$G$23:$H$28,2))))</f>
        <v/>
      </c>
      <c r="AU1616" s="546" t="str">
        <f t="shared" si="692"/>
        <v/>
      </c>
    </row>
    <row r="1617" spans="1:47" ht="14.25" hidden="1" customHeight="1" x14ac:dyDescent="0.15">
      <c r="A1617" s="575"/>
      <c r="B1617" s="548"/>
      <c r="C1617" s="548"/>
      <c r="D1617" s="548"/>
      <c r="E1617" s="583"/>
      <c r="F1617" s="584"/>
      <c r="G1617" s="548"/>
      <c r="H1617" s="550"/>
      <c r="I1617" s="560"/>
      <c r="J1617" s="548"/>
      <c r="K1617" s="528" t="str">
        <f>IFERROR(VLOOKUP($B1617,'Clients-Live'!$A:$C,3,0),"")</f>
        <v/>
      </c>
      <c r="L1617" s="528">
        <f>IF(E1617="STL",Pricing!$D$38,IF(A1617="",0,IF(A1617&lt;Pricing!$C$25,Pricing!$D$25,VLOOKUP(Disbursements!$F1617,Pricing!$B$29:$D$32,3))))</f>
        <v>0</v>
      </c>
      <c r="M1617" s="528">
        <f>IF(E1617="STL",0,IF(F1617&gt;0,Pricing!$D$21,0))</f>
        <v>0</v>
      </c>
      <c r="N1617" s="529">
        <f>IF(E1617="STL",F1617*Pricing!$D$40,IF(A1617&lt;=Pricing!$C$4,0,IF(AND(A1617&gt;Pricing!$C$4,Disbursements!A1617&lt;=Pricing!$C$5),F1617*Pricing!$E$5,IF(AND(A1617&gt;Pricing!$C$5,Disbursements!A1617&lt;=Pricing!$C$7),VLOOKUP(F1617,Pricing!$D$7:$E$8,2)*Disbursements!F1617,F1617*Pricing!$E$9))))</f>
        <v>0</v>
      </c>
      <c r="O1617" s="528">
        <f>IF(E1617="STL",0,IF($F1617&gt;0,$F1617*Pricing!$D$17,0))</f>
        <v>0</v>
      </c>
      <c r="P1617" s="530" t="str">
        <f t="shared" si="672"/>
        <v/>
      </c>
      <c r="Q1617" s="531" t="str">
        <f>IF($A1617="","",$G1617/VLOOKUP($I1617,Ref!$B$23:$D$29,2,0))</f>
        <v/>
      </c>
      <c r="R1617" s="530" t="str">
        <f t="shared" si="673"/>
        <v/>
      </c>
      <c r="S1617" s="532" t="str">
        <f t="shared" si="667"/>
        <v/>
      </c>
      <c r="T1617" s="531" t="str">
        <f t="shared" si="674"/>
        <v/>
      </c>
      <c r="U1617" s="533">
        <f t="shared" si="675"/>
        <v>0</v>
      </c>
      <c r="V1617" s="531" t="str">
        <f t="shared" si="676"/>
        <v/>
      </c>
      <c r="W1617" s="531" t="str">
        <f t="shared" si="677"/>
        <v/>
      </c>
      <c r="X1617" s="534" t="str">
        <f t="shared" si="678"/>
        <v/>
      </c>
      <c r="Y1617" s="535" t="str">
        <f>IF($A1617="","",IF($I1617="weekly",$A1617+7,EDATE($A1617,VLOOKUP($I1617,Ref!$B$24:$C$29,2,0))))</f>
        <v/>
      </c>
      <c r="Z1617" s="536" t="str">
        <f t="shared" si="679"/>
        <v/>
      </c>
      <c r="AA1617" s="531">
        <f t="shared" si="680"/>
        <v>0</v>
      </c>
      <c r="AB1617" s="535" t="str">
        <f t="shared" si="668"/>
        <v/>
      </c>
      <c r="AC1617" s="537" t="str">
        <f t="shared" si="669"/>
        <v/>
      </c>
      <c r="AD1617" s="538" t="str">
        <f t="shared" ca="1" si="670"/>
        <v/>
      </c>
      <c r="AE1617" s="537">
        <f t="shared" ca="1" si="671"/>
        <v>0</v>
      </c>
      <c r="AF1617" s="539" t="str">
        <f t="shared" ca="1" si="681"/>
        <v/>
      </c>
      <c r="AG1617" s="531" t="str">
        <f t="shared" ca="1" si="682"/>
        <v/>
      </c>
      <c r="AH1617" s="531" t="str">
        <f t="shared" ca="1" si="683"/>
        <v/>
      </c>
      <c r="AI1617" s="531" t="str">
        <f t="shared" ca="1" si="684"/>
        <v/>
      </c>
      <c r="AJ1617" s="531" t="str">
        <f t="shared" si="685"/>
        <v/>
      </c>
      <c r="AK1617" s="540">
        <f>SUMIFS('Live Collections'!$S:$S,'Live Collections'!$D:$D,Disbursements!B1617,'Live Collections'!$G:$G,Disbursements!C1617)</f>
        <v>0</v>
      </c>
      <c r="AL1617" s="540">
        <f>SUMIFS('Live Collections'!$T:$T,'Live Collections'!$D:$D,Disbursements!B1617,'Live Collections'!$G:$G,Disbursements!C1617)</f>
        <v>0</v>
      </c>
      <c r="AM1617" s="541">
        <f t="shared" si="686"/>
        <v>0</v>
      </c>
      <c r="AN1617" s="542" t="str">
        <f t="shared" si="687"/>
        <v/>
      </c>
      <c r="AO1617" s="542" t="str">
        <f t="shared" si="688"/>
        <v/>
      </c>
      <c r="AP1617" s="543" t="str">
        <f t="shared" si="689"/>
        <v/>
      </c>
      <c r="AQ1617" s="544" t="str">
        <f t="shared" si="690"/>
        <v/>
      </c>
      <c r="AR1617" s="545">
        <f t="shared" si="691"/>
        <v>0</v>
      </c>
      <c r="AS1617" s="545">
        <f>IFERROR(CEILING($AR1617*VLOOKUP($I1617,Ref!$B$23:$E$29,4,0),1),0)</f>
        <v>0</v>
      </c>
      <c r="AT1617" s="545" t="str">
        <f>IF(A1617="","",IF(AP1617&lt;=1,"Cleared",IF(AS1617=0,"Clean",VLOOKUP($AS1617,Ref!$G$23:$H$28,2))))</f>
        <v/>
      </c>
      <c r="AU1617" s="546" t="str">
        <f t="shared" si="692"/>
        <v/>
      </c>
    </row>
    <row r="1618" spans="1:47" ht="14.25" hidden="1" customHeight="1" x14ac:dyDescent="0.15">
      <c r="A1618" s="575"/>
      <c r="B1618" s="548"/>
      <c r="C1618" s="548"/>
      <c r="D1618" s="548"/>
      <c r="E1618" s="583"/>
      <c r="F1618" s="584"/>
      <c r="G1618" s="548"/>
      <c r="H1618" s="550"/>
      <c r="I1618" s="560"/>
      <c r="J1618" s="548"/>
      <c r="K1618" s="528" t="str">
        <f>IFERROR(VLOOKUP($B1618,'Clients-Live'!$A:$C,3,0),"")</f>
        <v/>
      </c>
      <c r="L1618" s="528">
        <f>IF(E1618="STL",Pricing!$D$38,IF(A1618="",0,IF(A1618&lt;Pricing!$C$25,Pricing!$D$25,VLOOKUP(Disbursements!$F1618,Pricing!$B$29:$D$32,3))))</f>
        <v>0</v>
      </c>
      <c r="M1618" s="528">
        <f>IF(E1618="STL",0,IF(F1618&gt;0,Pricing!$D$21,0))</f>
        <v>0</v>
      </c>
      <c r="N1618" s="529">
        <f>IF(E1618="STL",F1618*Pricing!$D$40,IF(A1618&lt;=Pricing!$C$4,0,IF(AND(A1618&gt;Pricing!$C$4,Disbursements!A1618&lt;=Pricing!$C$5),F1618*Pricing!$E$5,IF(AND(A1618&gt;Pricing!$C$5,Disbursements!A1618&lt;=Pricing!$C$7),VLOOKUP(F1618,Pricing!$D$7:$E$8,2)*Disbursements!F1618,F1618*Pricing!$E$9))))</f>
        <v>0</v>
      </c>
      <c r="O1618" s="528">
        <f>IF(E1618="STL",0,IF($F1618&gt;0,$F1618*Pricing!$D$17,0))</f>
        <v>0</v>
      </c>
      <c r="P1618" s="530" t="str">
        <f t="shared" si="672"/>
        <v/>
      </c>
      <c r="Q1618" s="531" t="str">
        <f>IF($A1618="","",$G1618/VLOOKUP($I1618,Ref!$B$23:$D$29,2,0))</f>
        <v/>
      </c>
      <c r="R1618" s="530" t="str">
        <f t="shared" si="673"/>
        <v/>
      </c>
      <c r="S1618" s="532" t="str">
        <f t="shared" si="667"/>
        <v/>
      </c>
      <c r="T1618" s="531" t="str">
        <f t="shared" si="674"/>
        <v/>
      </c>
      <c r="U1618" s="533">
        <f t="shared" si="675"/>
        <v>0</v>
      </c>
      <c r="V1618" s="531" t="str">
        <f t="shared" si="676"/>
        <v/>
      </c>
      <c r="W1618" s="531" t="str">
        <f t="shared" si="677"/>
        <v/>
      </c>
      <c r="X1618" s="534" t="str">
        <f t="shared" si="678"/>
        <v/>
      </c>
      <c r="Y1618" s="535" t="str">
        <f>IF($A1618="","",IF($I1618="weekly",$A1618+7,EDATE($A1618,VLOOKUP($I1618,Ref!$B$24:$C$29,2,0))))</f>
        <v/>
      </c>
      <c r="Z1618" s="536" t="str">
        <f t="shared" si="679"/>
        <v/>
      </c>
      <c r="AA1618" s="531">
        <f t="shared" si="680"/>
        <v>0</v>
      </c>
      <c r="AB1618" s="535" t="str">
        <f t="shared" si="668"/>
        <v/>
      </c>
      <c r="AC1618" s="537" t="str">
        <f t="shared" si="669"/>
        <v/>
      </c>
      <c r="AD1618" s="538" t="str">
        <f t="shared" ca="1" si="670"/>
        <v/>
      </c>
      <c r="AE1618" s="537">
        <f t="shared" ca="1" si="671"/>
        <v>0</v>
      </c>
      <c r="AF1618" s="539" t="str">
        <f t="shared" ca="1" si="681"/>
        <v/>
      </c>
      <c r="AG1618" s="531" t="str">
        <f t="shared" ca="1" si="682"/>
        <v/>
      </c>
      <c r="AH1618" s="531" t="str">
        <f t="shared" ca="1" si="683"/>
        <v/>
      </c>
      <c r="AI1618" s="531" t="str">
        <f t="shared" ca="1" si="684"/>
        <v/>
      </c>
      <c r="AJ1618" s="531" t="str">
        <f t="shared" si="685"/>
        <v/>
      </c>
      <c r="AK1618" s="540">
        <f>SUMIFS('Live Collections'!$S:$S,'Live Collections'!$D:$D,Disbursements!B1618,'Live Collections'!$G:$G,Disbursements!C1618)</f>
        <v>0</v>
      </c>
      <c r="AL1618" s="540">
        <f>SUMIFS('Live Collections'!$T:$T,'Live Collections'!$D:$D,Disbursements!B1618,'Live Collections'!$G:$G,Disbursements!C1618)</f>
        <v>0</v>
      </c>
      <c r="AM1618" s="541">
        <f t="shared" si="686"/>
        <v>0</v>
      </c>
      <c r="AN1618" s="542" t="str">
        <f t="shared" si="687"/>
        <v/>
      </c>
      <c r="AO1618" s="542" t="str">
        <f t="shared" si="688"/>
        <v/>
      </c>
      <c r="AP1618" s="543" t="str">
        <f t="shared" si="689"/>
        <v/>
      </c>
      <c r="AQ1618" s="544" t="str">
        <f t="shared" si="690"/>
        <v/>
      </c>
      <c r="AR1618" s="545">
        <f t="shared" si="691"/>
        <v>0</v>
      </c>
      <c r="AS1618" s="545">
        <f>IFERROR(CEILING($AR1618*VLOOKUP($I1618,Ref!$B$23:$E$29,4,0),1),0)</f>
        <v>0</v>
      </c>
      <c r="AT1618" s="545" t="str">
        <f>IF(A1618="","",IF(AP1618&lt;=1,"Cleared",IF(AS1618=0,"Clean",VLOOKUP($AS1618,Ref!$G$23:$H$28,2))))</f>
        <v/>
      </c>
      <c r="AU1618" s="546" t="str">
        <f t="shared" si="692"/>
        <v/>
      </c>
    </row>
    <row r="1619" spans="1:47" ht="14.25" hidden="1" customHeight="1" x14ac:dyDescent="0.15">
      <c r="A1619" s="575"/>
      <c r="B1619" s="548"/>
      <c r="C1619" s="548"/>
      <c r="D1619" s="548"/>
      <c r="E1619" s="583"/>
      <c r="F1619" s="584"/>
      <c r="G1619" s="548"/>
      <c r="H1619" s="550"/>
      <c r="I1619" s="560"/>
      <c r="J1619" s="548"/>
      <c r="K1619" s="528" t="str">
        <f>IFERROR(VLOOKUP($B1619,'Clients-Live'!$A:$C,3,0),"")</f>
        <v/>
      </c>
      <c r="L1619" s="528">
        <f>IF(E1619="STL",Pricing!$D$38,IF(A1619="",0,IF(A1619&lt;Pricing!$C$25,Pricing!$D$25,VLOOKUP(Disbursements!$F1619,Pricing!$B$29:$D$32,3))))</f>
        <v>0</v>
      </c>
      <c r="M1619" s="528">
        <f>IF(E1619="STL",0,IF(F1619&gt;0,Pricing!$D$21,0))</f>
        <v>0</v>
      </c>
      <c r="N1619" s="529">
        <f>IF(E1619="STL",F1619*Pricing!$D$40,IF(A1619&lt;=Pricing!$C$4,0,IF(AND(A1619&gt;Pricing!$C$4,Disbursements!A1619&lt;=Pricing!$C$5),F1619*Pricing!$E$5,IF(AND(A1619&gt;Pricing!$C$5,Disbursements!A1619&lt;=Pricing!$C$7),VLOOKUP(F1619,Pricing!$D$7:$E$8,2)*Disbursements!F1619,F1619*Pricing!$E$9))))</f>
        <v>0</v>
      </c>
      <c r="O1619" s="528">
        <f>IF(E1619="STL",0,IF($F1619&gt;0,$F1619*Pricing!$D$17,0))</f>
        <v>0</v>
      </c>
      <c r="P1619" s="530" t="str">
        <f t="shared" si="672"/>
        <v/>
      </c>
      <c r="Q1619" s="531" t="str">
        <f>IF($A1619="","",$G1619/VLOOKUP($I1619,Ref!$B$23:$D$29,2,0))</f>
        <v/>
      </c>
      <c r="R1619" s="530" t="str">
        <f t="shared" si="673"/>
        <v/>
      </c>
      <c r="S1619" s="532" t="str">
        <f t="shared" si="667"/>
        <v/>
      </c>
      <c r="T1619" s="531" t="str">
        <f t="shared" si="674"/>
        <v/>
      </c>
      <c r="U1619" s="533">
        <f t="shared" si="675"/>
        <v>0</v>
      </c>
      <c r="V1619" s="531" t="str">
        <f t="shared" si="676"/>
        <v/>
      </c>
      <c r="W1619" s="531" t="str">
        <f t="shared" si="677"/>
        <v/>
      </c>
      <c r="X1619" s="534" t="str">
        <f t="shared" si="678"/>
        <v/>
      </c>
      <c r="Y1619" s="535" t="str">
        <f>IF($A1619="","",IF($I1619="weekly",$A1619+7,EDATE($A1619,VLOOKUP($I1619,Ref!$B$24:$C$29,2,0))))</f>
        <v/>
      </c>
      <c r="Z1619" s="536" t="str">
        <f t="shared" si="679"/>
        <v/>
      </c>
      <c r="AA1619" s="531">
        <f t="shared" si="680"/>
        <v>0</v>
      </c>
      <c r="AB1619" s="535" t="str">
        <f t="shared" si="668"/>
        <v/>
      </c>
      <c r="AC1619" s="537" t="str">
        <f t="shared" si="669"/>
        <v/>
      </c>
      <c r="AD1619" s="538" t="str">
        <f t="shared" ca="1" si="670"/>
        <v/>
      </c>
      <c r="AE1619" s="537">
        <f t="shared" ca="1" si="671"/>
        <v>0</v>
      </c>
      <c r="AF1619" s="539" t="str">
        <f t="shared" ca="1" si="681"/>
        <v/>
      </c>
      <c r="AG1619" s="531" t="str">
        <f t="shared" ca="1" si="682"/>
        <v/>
      </c>
      <c r="AH1619" s="531" t="str">
        <f t="shared" ca="1" si="683"/>
        <v/>
      </c>
      <c r="AI1619" s="531" t="str">
        <f t="shared" ca="1" si="684"/>
        <v/>
      </c>
      <c r="AJ1619" s="531" t="str">
        <f t="shared" si="685"/>
        <v/>
      </c>
      <c r="AK1619" s="540">
        <f>SUMIFS('Live Collections'!$S:$S,'Live Collections'!$D:$D,Disbursements!B1619,'Live Collections'!$G:$G,Disbursements!C1619)</f>
        <v>0</v>
      </c>
      <c r="AL1619" s="540">
        <f>SUMIFS('Live Collections'!$T:$T,'Live Collections'!$D:$D,Disbursements!B1619,'Live Collections'!$G:$G,Disbursements!C1619)</f>
        <v>0</v>
      </c>
      <c r="AM1619" s="541">
        <f t="shared" si="686"/>
        <v>0</v>
      </c>
      <c r="AN1619" s="542" t="str">
        <f t="shared" si="687"/>
        <v/>
      </c>
      <c r="AO1619" s="542" t="str">
        <f t="shared" si="688"/>
        <v/>
      </c>
      <c r="AP1619" s="543" t="str">
        <f t="shared" si="689"/>
        <v/>
      </c>
      <c r="AQ1619" s="544" t="str">
        <f t="shared" si="690"/>
        <v/>
      </c>
      <c r="AR1619" s="545">
        <f t="shared" si="691"/>
        <v>0</v>
      </c>
      <c r="AS1619" s="545">
        <f>IFERROR(CEILING($AR1619*VLOOKUP($I1619,Ref!$B$23:$E$29,4,0),1),0)</f>
        <v>0</v>
      </c>
      <c r="AT1619" s="545" t="str">
        <f>IF(A1619="","",IF(AP1619&lt;=1,"Cleared",IF(AS1619=0,"Clean",VLOOKUP($AS1619,Ref!$G$23:$H$28,2))))</f>
        <v/>
      </c>
      <c r="AU1619" s="546" t="str">
        <f t="shared" si="692"/>
        <v/>
      </c>
    </row>
    <row r="1620" spans="1:47" ht="14.25" hidden="1" customHeight="1" x14ac:dyDescent="0.15">
      <c r="A1620" s="575"/>
      <c r="B1620" s="548"/>
      <c r="C1620" s="548"/>
      <c r="D1620" s="548"/>
      <c r="E1620" s="583"/>
      <c r="F1620" s="584"/>
      <c r="G1620" s="548"/>
      <c r="H1620" s="550"/>
      <c r="I1620" s="560"/>
      <c r="J1620" s="548"/>
      <c r="K1620" s="528" t="str">
        <f>IFERROR(VLOOKUP($B1620,'Clients-Live'!$A:$C,3,0),"")</f>
        <v/>
      </c>
      <c r="L1620" s="528">
        <f>IF(E1620="STL",Pricing!$D$38,IF(A1620="",0,IF(A1620&lt;Pricing!$C$25,Pricing!$D$25,VLOOKUP(Disbursements!$F1620,Pricing!$B$29:$D$32,3))))</f>
        <v>0</v>
      </c>
      <c r="M1620" s="528">
        <f>IF(E1620="STL",0,IF(F1620&gt;0,Pricing!$D$21,0))</f>
        <v>0</v>
      </c>
      <c r="N1620" s="529">
        <f>IF(E1620="STL",F1620*Pricing!$D$40,IF(A1620&lt;=Pricing!$C$4,0,IF(AND(A1620&gt;Pricing!$C$4,Disbursements!A1620&lt;=Pricing!$C$5),F1620*Pricing!$E$5,IF(AND(A1620&gt;Pricing!$C$5,Disbursements!A1620&lt;=Pricing!$C$7),VLOOKUP(F1620,Pricing!$D$7:$E$8,2)*Disbursements!F1620,F1620*Pricing!$E$9))))</f>
        <v>0</v>
      </c>
      <c r="O1620" s="528">
        <f>IF(E1620="STL",0,IF($F1620&gt;0,$F1620*Pricing!$D$17,0))</f>
        <v>0</v>
      </c>
      <c r="P1620" s="530" t="str">
        <f t="shared" si="672"/>
        <v/>
      </c>
      <c r="Q1620" s="531" t="str">
        <f>IF($A1620="","",$G1620/VLOOKUP($I1620,Ref!$B$23:$D$29,2,0))</f>
        <v/>
      </c>
      <c r="R1620" s="530" t="str">
        <f t="shared" si="673"/>
        <v/>
      </c>
      <c r="S1620" s="532" t="str">
        <f t="shared" si="667"/>
        <v/>
      </c>
      <c r="T1620" s="531" t="str">
        <f t="shared" si="674"/>
        <v/>
      </c>
      <c r="U1620" s="533">
        <f t="shared" si="675"/>
        <v>0</v>
      </c>
      <c r="V1620" s="531" t="str">
        <f t="shared" si="676"/>
        <v/>
      </c>
      <c r="W1620" s="531" t="str">
        <f t="shared" si="677"/>
        <v/>
      </c>
      <c r="X1620" s="534" t="str">
        <f t="shared" si="678"/>
        <v/>
      </c>
      <c r="Y1620" s="535" t="str">
        <f>IF($A1620="","",IF($I1620="weekly",$A1620+7,EDATE($A1620,VLOOKUP($I1620,Ref!$B$24:$C$29,2,0))))</f>
        <v/>
      </c>
      <c r="Z1620" s="536" t="str">
        <f t="shared" si="679"/>
        <v/>
      </c>
      <c r="AA1620" s="531">
        <f t="shared" si="680"/>
        <v>0</v>
      </c>
      <c r="AB1620" s="535" t="str">
        <f t="shared" si="668"/>
        <v/>
      </c>
      <c r="AC1620" s="537" t="str">
        <f t="shared" si="669"/>
        <v/>
      </c>
      <c r="AD1620" s="538" t="str">
        <f t="shared" ca="1" si="670"/>
        <v/>
      </c>
      <c r="AE1620" s="537">
        <f t="shared" ca="1" si="671"/>
        <v>0</v>
      </c>
      <c r="AF1620" s="539" t="str">
        <f t="shared" ca="1" si="681"/>
        <v/>
      </c>
      <c r="AG1620" s="531" t="str">
        <f t="shared" ca="1" si="682"/>
        <v/>
      </c>
      <c r="AH1620" s="531" t="str">
        <f t="shared" ca="1" si="683"/>
        <v/>
      </c>
      <c r="AI1620" s="531" t="str">
        <f t="shared" ca="1" si="684"/>
        <v/>
      </c>
      <c r="AJ1620" s="531" t="str">
        <f t="shared" si="685"/>
        <v/>
      </c>
      <c r="AK1620" s="540">
        <f>SUMIFS('Live Collections'!$S:$S,'Live Collections'!$D:$D,Disbursements!B1620,'Live Collections'!$G:$G,Disbursements!C1620)</f>
        <v>0</v>
      </c>
      <c r="AL1620" s="540">
        <f>SUMIFS('Live Collections'!$T:$T,'Live Collections'!$D:$D,Disbursements!B1620,'Live Collections'!$G:$G,Disbursements!C1620)</f>
        <v>0</v>
      </c>
      <c r="AM1620" s="541">
        <f t="shared" si="686"/>
        <v>0</v>
      </c>
      <c r="AN1620" s="542" t="str">
        <f t="shared" si="687"/>
        <v/>
      </c>
      <c r="AO1620" s="542" t="str">
        <f t="shared" si="688"/>
        <v/>
      </c>
      <c r="AP1620" s="543" t="str">
        <f t="shared" si="689"/>
        <v/>
      </c>
      <c r="AQ1620" s="544" t="str">
        <f t="shared" si="690"/>
        <v/>
      </c>
      <c r="AR1620" s="545">
        <f t="shared" si="691"/>
        <v>0</v>
      </c>
      <c r="AS1620" s="545">
        <f>IFERROR(CEILING($AR1620*VLOOKUP($I1620,Ref!$B$23:$E$29,4,0),1),0)</f>
        <v>0</v>
      </c>
      <c r="AT1620" s="545" t="str">
        <f>IF(A1620="","",IF(AP1620&lt;=1,"Cleared",IF(AS1620=0,"Clean",VLOOKUP($AS1620,Ref!$G$23:$H$28,2))))</f>
        <v/>
      </c>
      <c r="AU1620" s="546" t="str">
        <f t="shared" si="692"/>
        <v/>
      </c>
    </row>
    <row r="1621" spans="1:47" ht="14.25" hidden="1" customHeight="1" x14ac:dyDescent="0.15">
      <c r="A1621" s="575"/>
      <c r="B1621" s="548"/>
      <c r="C1621" s="548"/>
      <c r="D1621" s="548"/>
      <c r="E1621" s="583"/>
      <c r="F1621" s="584"/>
      <c r="G1621" s="548"/>
      <c r="H1621" s="550"/>
      <c r="I1621" s="560"/>
      <c r="J1621" s="548"/>
      <c r="K1621" s="528" t="str">
        <f>IFERROR(VLOOKUP($B1621,'Clients-Live'!$A:$C,3,0),"")</f>
        <v/>
      </c>
      <c r="L1621" s="528">
        <f>IF(E1621="STL",Pricing!$D$38,IF(A1621="",0,IF(A1621&lt;Pricing!$C$25,Pricing!$D$25,VLOOKUP(Disbursements!$F1621,Pricing!$B$29:$D$32,3))))</f>
        <v>0</v>
      </c>
      <c r="M1621" s="528">
        <f>IF(E1621="STL",0,IF(F1621&gt;0,Pricing!$D$21,0))</f>
        <v>0</v>
      </c>
      <c r="N1621" s="529">
        <f>IF(E1621="STL",F1621*Pricing!$D$40,IF(A1621&lt;=Pricing!$C$4,0,IF(AND(A1621&gt;Pricing!$C$4,Disbursements!A1621&lt;=Pricing!$C$5),F1621*Pricing!$E$5,IF(AND(A1621&gt;Pricing!$C$5,Disbursements!A1621&lt;=Pricing!$C$7),VLOOKUP(F1621,Pricing!$D$7:$E$8,2)*Disbursements!F1621,F1621*Pricing!$E$9))))</f>
        <v>0</v>
      </c>
      <c r="O1621" s="528">
        <f>IF(E1621="STL",0,IF($F1621&gt;0,$F1621*Pricing!$D$17,0))</f>
        <v>0</v>
      </c>
      <c r="P1621" s="530" t="str">
        <f t="shared" si="672"/>
        <v/>
      </c>
      <c r="Q1621" s="531" t="str">
        <f>IF($A1621="","",$G1621/VLOOKUP($I1621,Ref!$B$23:$D$29,2,0))</f>
        <v/>
      </c>
      <c r="R1621" s="530" t="str">
        <f t="shared" si="673"/>
        <v/>
      </c>
      <c r="S1621" s="532" t="str">
        <f t="shared" si="667"/>
        <v/>
      </c>
      <c r="T1621" s="531" t="str">
        <f t="shared" si="674"/>
        <v/>
      </c>
      <c r="U1621" s="533">
        <f t="shared" si="675"/>
        <v>0</v>
      </c>
      <c r="V1621" s="531" t="str">
        <f t="shared" si="676"/>
        <v/>
      </c>
      <c r="W1621" s="531" t="str">
        <f t="shared" si="677"/>
        <v/>
      </c>
      <c r="X1621" s="534" t="str">
        <f t="shared" si="678"/>
        <v/>
      </c>
      <c r="Y1621" s="535" t="str">
        <f>IF($A1621="","",IF($I1621="weekly",$A1621+7,EDATE($A1621,VLOOKUP($I1621,Ref!$B$24:$C$29,2,0))))</f>
        <v/>
      </c>
      <c r="Z1621" s="536" t="str">
        <f t="shared" si="679"/>
        <v/>
      </c>
      <c r="AA1621" s="531">
        <f t="shared" si="680"/>
        <v>0</v>
      </c>
      <c r="AB1621" s="535" t="str">
        <f t="shared" si="668"/>
        <v/>
      </c>
      <c r="AC1621" s="537" t="str">
        <f t="shared" si="669"/>
        <v/>
      </c>
      <c r="AD1621" s="538" t="str">
        <f t="shared" ca="1" si="670"/>
        <v/>
      </c>
      <c r="AE1621" s="537">
        <f t="shared" ca="1" si="671"/>
        <v>0</v>
      </c>
      <c r="AF1621" s="539" t="str">
        <f t="shared" ca="1" si="681"/>
        <v/>
      </c>
      <c r="AG1621" s="531" t="str">
        <f t="shared" ca="1" si="682"/>
        <v/>
      </c>
      <c r="AH1621" s="531" t="str">
        <f t="shared" ca="1" si="683"/>
        <v/>
      </c>
      <c r="AI1621" s="531" t="str">
        <f t="shared" ca="1" si="684"/>
        <v/>
      </c>
      <c r="AJ1621" s="531" t="str">
        <f t="shared" si="685"/>
        <v/>
      </c>
      <c r="AK1621" s="540">
        <f>SUMIFS('Live Collections'!$S:$S,'Live Collections'!$D:$D,Disbursements!B1621,'Live Collections'!$G:$G,Disbursements!C1621)</f>
        <v>0</v>
      </c>
      <c r="AL1621" s="540">
        <f>SUMIFS('Live Collections'!$T:$T,'Live Collections'!$D:$D,Disbursements!B1621,'Live Collections'!$G:$G,Disbursements!C1621)</f>
        <v>0</v>
      </c>
      <c r="AM1621" s="541">
        <f t="shared" si="686"/>
        <v>0</v>
      </c>
      <c r="AN1621" s="542" t="str">
        <f t="shared" si="687"/>
        <v/>
      </c>
      <c r="AO1621" s="542" t="str">
        <f t="shared" si="688"/>
        <v/>
      </c>
      <c r="AP1621" s="543" t="str">
        <f t="shared" si="689"/>
        <v/>
      </c>
      <c r="AQ1621" s="544" t="str">
        <f t="shared" si="690"/>
        <v/>
      </c>
      <c r="AR1621" s="545">
        <f t="shared" si="691"/>
        <v>0</v>
      </c>
      <c r="AS1621" s="545">
        <f>IFERROR(CEILING($AR1621*VLOOKUP($I1621,Ref!$B$23:$E$29,4,0),1),0)</f>
        <v>0</v>
      </c>
      <c r="AT1621" s="545" t="str">
        <f>IF(A1621="","",IF(AP1621&lt;=1,"Cleared",IF(AS1621=0,"Clean",VLOOKUP($AS1621,Ref!$G$23:$H$28,2))))</f>
        <v/>
      </c>
      <c r="AU1621" s="546" t="str">
        <f t="shared" si="692"/>
        <v/>
      </c>
    </row>
    <row r="1622" spans="1:47" ht="14.25" hidden="1" customHeight="1" x14ac:dyDescent="0.15">
      <c r="A1622" s="575"/>
      <c r="B1622" s="548"/>
      <c r="C1622" s="548"/>
      <c r="D1622" s="548"/>
      <c r="E1622" s="583"/>
      <c r="F1622" s="584"/>
      <c r="G1622" s="548"/>
      <c r="H1622" s="550"/>
      <c r="I1622" s="560"/>
      <c r="J1622" s="548"/>
      <c r="K1622" s="528" t="str">
        <f>IFERROR(VLOOKUP($B1622,'Clients-Live'!$A:$C,3,0),"")</f>
        <v/>
      </c>
      <c r="L1622" s="528">
        <f>IF(E1622="STL",Pricing!$D$38,IF(A1622="",0,IF(A1622&lt;Pricing!$C$25,Pricing!$D$25,VLOOKUP(Disbursements!$F1622,Pricing!$B$29:$D$32,3))))</f>
        <v>0</v>
      </c>
      <c r="M1622" s="528">
        <f>IF(E1622="STL",0,IF(F1622&gt;0,Pricing!$D$21,0))</f>
        <v>0</v>
      </c>
      <c r="N1622" s="529">
        <f>IF(E1622="STL",F1622*Pricing!$D$40,IF(A1622&lt;=Pricing!$C$4,0,IF(AND(A1622&gt;Pricing!$C$4,Disbursements!A1622&lt;=Pricing!$C$5),F1622*Pricing!$E$5,IF(AND(A1622&gt;Pricing!$C$5,Disbursements!A1622&lt;=Pricing!$C$7),VLOOKUP(F1622,Pricing!$D$7:$E$8,2)*Disbursements!F1622,F1622*Pricing!$E$9))))</f>
        <v>0</v>
      </c>
      <c r="O1622" s="528">
        <f>IF(E1622="STL",0,IF($F1622&gt;0,$F1622*Pricing!$D$17,0))</f>
        <v>0</v>
      </c>
      <c r="P1622" s="530" t="str">
        <f t="shared" si="672"/>
        <v/>
      </c>
      <c r="Q1622" s="531" t="str">
        <f>IF($A1622="","",$G1622/VLOOKUP($I1622,Ref!$B$23:$D$29,2,0))</f>
        <v/>
      </c>
      <c r="R1622" s="530" t="str">
        <f t="shared" si="673"/>
        <v/>
      </c>
      <c r="S1622" s="532" t="str">
        <f t="shared" si="667"/>
        <v/>
      </c>
      <c r="T1622" s="531" t="str">
        <f t="shared" si="674"/>
        <v/>
      </c>
      <c r="U1622" s="533">
        <f t="shared" si="675"/>
        <v>0</v>
      </c>
      <c r="V1622" s="531" t="str">
        <f t="shared" si="676"/>
        <v/>
      </c>
      <c r="W1622" s="531" t="str">
        <f t="shared" si="677"/>
        <v/>
      </c>
      <c r="X1622" s="534" t="str">
        <f t="shared" si="678"/>
        <v/>
      </c>
      <c r="Y1622" s="535" t="str">
        <f>IF($A1622="","",IF($I1622="weekly",$A1622+7,EDATE($A1622,VLOOKUP($I1622,Ref!$B$24:$C$29,2,0))))</f>
        <v/>
      </c>
      <c r="Z1622" s="536" t="str">
        <f t="shared" si="679"/>
        <v/>
      </c>
      <c r="AA1622" s="531">
        <f t="shared" si="680"/>
        <v>0</v>
      </c>
      <c r="AB1622" s="535" t="str">
        <f t="shared" si="668"/>
        <v/>
      </c>
      <c r="AC1622" s="537" t="str">
        <f t="shared" si="669"/>
        <v/>
      </c>
      <c r="AD1622" s="538" t="str">
        <f t="shared" ca="1" si="670"/>
        <v/>
      </c>
      <c r="AE1622" s="537">
        <f t="shared" ca="1" si="671"/>
        <v>0</v>
      </c>
      <c r="AF1622" s="539" t="str">
        <f t="shared" ca="1" si="681"/>
        <v/>
      </c>
      <c r="AG1622" s="531" t="str">
        <f t="shared" ca="1" si="682"/>
        <v/>
      </c>
      <c r="AH1622" s="531" t="str">
        <f t="shared" ca="1" si="683"/>
        <v/>
      </c>
      <c r="AI1622" s="531" t="str">
        <f t="shared" ca="1" si="684"/>
        <v/>
      </c>
      <c r="AJ1622" s="531" t="str">
        <f t="shared" si="685"/>
        <v/>
      </c>
      <c r="AK1622" s="540">
        <f>SUMIFS('Live Collections'!$S:$S,'Live Collections'!$D:$D,Disbursements!B1622,'Live Collections'!$G:$G,Disbursements!C1622)</f>
        <v>0</v>
      </c>
      <c r="AL1622" s="540">
        <f>SUMIFS('Live Collections'!$T:$T,'Live Collections'!$D:$D,Disbursements!B1622,'Live Collections'!$G:$G,Disbursements!C1622)</f>
        <v>0</v>
      </c>
      <c r="AM1622" s="541">
        <f t="shared" si="686"/>
        <v>0</v>
      </c>
      <c r="AN1622" s="542" t="str">
        <f t="shared" si="687"/>
        <v/>
      </c>
      <c r="AO1622" s="542" t="str">
        <f t="shared" si="688"/>
        <v/>
      </c>
      <c r="AP1622" s="543" t="str">
        <f t="shared" si="689"/>
        <v/>
      </c>
      <c r="AQ1622" s="544" t="str">
        <f t="shared" si="690"/>
        <v/>
      </c>
      <c r="AR1622" s="545">
        <f t="shared" si="691"/>
        <v>0</v>
      </c>
      <c r="AS1622" s="545">
        <f>IFERROR(CEILING($AR1622*VLOOKUP($I1622,Ref!$B$23:$E$29,4,0),1),0)</f>
        <v>0</v>
      </c>
      <c r="AT1622" s="545" t="str">
        <f>IF(A1622="","",IF(AP1622&lt;=1,"Cleared",IF(AS1622=0,"Clean",VLOOKUP($AS1622,Ref!$G$23:$H$28,2))))</f>
        <v/>
      </c>
      <c r="AU1622" s="546" t="str">
        <f t="shared" si="692"/>
        <v/>
      </c>
    </row>
    <row r="1623" spans="1:47" ht="14.25" hidden="1" customHeight="1" x14ac:dyDescent="0.15">
      <c r="A1623" s="575"/>
      <c r="B1623" s="548"/>
      <c r="C1623" s="548"/>
      <c r="D1623" s="548"/>
      <c r="E1623" s="583"/>
      <c r="F1623" s="584"/>
      <c r="G1623" s="548"/>
      <c r="H1623" s="550"/>
      <c r="I1623" s="560"/>
      <c r="J1623" s="548"/>
      <c r="K1623" s="528" t="str">
        <f>IFERROR(VLOOKUP($B1623,'Clients-Live'!$A:$C,3,0),"")</f>
        <v/>
      </c>
      <c r="L1623" s="528">
        <f>IF(E1623="STL",Pricing!$D$38,IF(A1623="",0,IF(A1623&lt;Pricing!$C$25,Pricing!$D$25,VLOOKUP(Disbursements!$F1623,Pricing!$B$29:$D$32,3))))</f>
        <v>0</v>
      </c>
      <c r="M1623" s="528">
        <f>IF(E1623="STL",0,IF(F1623&gt;0,Pricing!$D$21,0))</f>
        <v>0</v>
      </c>
      <c r="N1623" s="529">
        <f>IF(E1623="STL",F1623*Pricing!$D$40,IF(A1623&lt;=Pricing!$C$4,0,IF(AND(A1623&gt;Pricing!$C$4,Disbursements!A1623&lt;=Pricing!$C$5),F1623*Pricing!$E$5,IF(AND(A1623&gt;Pricing!$C$5,Disbursements!A1623&lt;=Pricing!$C$7),VLOOKUP(F1623,Pricing!$D$7:$E$8,2)*Disbursements!F1623,F1623*Pricing!$E$9))))</f>
        <v>0</v>
      </c>
      <c r="O1623" s="528">
        <f>IF(E1623="STL",0,IF($F1623&gt;0,$F1623*Pricing!$D$17,0))</f>
        <v>0</v>
      </c>
      <c r="P1623" s="530" t="str">
        <f t="shared" si="672"/>
        <v/>
      </c>
      <c r="Q1623" s="531" t="str">
        <f>IF($A1623="","",$G1623/VLOOKUP($I1623,Ref!$B$23:$D$29,2,0))</f>
        <v/>
      </c>
      <c r="R1623" s="530" t="str">
        <f t="shared" si="673"/>
        <v/>
      </c>
      <c r="S1623" s="532" t="str">
        <f t="shared" si="667"/>
        <v/>
      </c>
      <c r="T1623" s="531" t="str">
        <f t="shared" si="674"/>
        <v/>
      </c>
      <c r="U1623" s="533">
        <f t="shared" si="675"/>
        <v>0</v>
      </c>
      <c r="V1623" s="531" t="str">
        <f t="shared" si="676"/>
        <v/>
      </c>
      <c r="W1623" s="531" t="str">
        <f t="shared" si="677"/>
        <v/>
      </c>
      <c r="X1623" s="534" t="str">
        <f t="shared" si="678"/>
        <v/>
      </c>
      <c r="Y1623" s="535" t="str">
        <f>IF($A1623="","",IF($I1623="weekly",$A1623+7,EDATE($A1623,VLOOKUP($I1623,Ref!$B$24:$C$29,2,0))))</f>
        <v/>
      </c>
      <c r="Z1623" s="536" t="str">
        <f t="shared" si="679"/>
        <v/>
      </c>
      <c r="AA1623" s="531">
        <f t="shared" si="680"/>
        <v>0</v>
      </c>
      <c r="AB1623" s="535" t="str">
        <f t="shared" si="668"/>
        <v/>
      </c>
      <c r="AC1623" s="537" t="str">
        <f t="shared" si="669"/>
        <v/>
      </c>
      <c r="AD1623" s="538" t="str">
        <f t="shared" ca="1" si="670"/>
        <v/>
      </c>
      <c r="AE1623" s="537">
        <f t="shared" ca="1" si="671"/>
        <v>0</v>
      </c>
      <c r="AF1623" s="539" t="str">
        <f t="shared" ca="1" si="681"/>
        <v/>
      </c>
      <c r="AG1623" s="531" t="str">
        <f t="shared" ca="1" si="682"/>
        <v/>
      </c>
      <c r="AH1623" s="531" t="str">
        <f t="shared" ca="1" si="683"/>
        <v/>
      </c>
      <c r="AI1623" s="531" t="str">
        <f t="shared" ca="1" si="684"/>
        <v/>
      </c>
      <c r="AJ1623" s="531" t="str">
        <f t="shared" si="685"/>
        <v/>
      </c>
      <c r="AK1623" s="540">
        <f>SUMIFS('Live Collections'!$S:$S,'Live Collections'!$D:$D,Disbursements!B1623,'Live Collections'!$G:$G,Disbursements!C1623)</f>
        <v>0</v>
      </c>
      <c r="AL1623" s="540">
        <f>SUMIFS('Live Collections'!$T:$T,'Live Collections'!$D:$D,Disbursements!B1623,'Live Collections'!$G:$G,Disbursements!C1623)</f>
        <v>0</v>
      </c>
      <c r="AM1623" s="541">
        <f t="shared" si="686"/>
        <v>0</v>
      </c>
      <c r="AN1623" s="542" t="str">
        <f t="shared" si="687"/>
        <v/>
      </c>
      <c r="AO1623" s="542" t="str">
        <f t="shared" si="688"/>
        <v/>
      </c>
      <c r="AP1623" s="543" t="str">
        <f t="shared" si="689"/>
        <v/>
      </c>
      <c r="AQ1623" s="544" t="str">
        <f t="shared" si="690"/>
        <v/>
      </c>
      <c r="AR1623" s="545">
        <f t="shared" si="691"/>
        <v>0</v>
      </c>
      <c r="AS1623" s="545">
        <f>IFERROR(CEILING($AR1623*VLOOKUP($I1623,Ref!$B$23:$E$29,4,0),1),0)</f>
        <v>0</v>
      </c>
      <c r="AT1623" s="545" t="str">
        <f>IF(A1623="","",IF(AP1623&lt;=1,"Cleared",IF(AS1623=0,"Clean",VLOOKUP($AS1623,Ref!$G$23:$H$28,2))))</f>
        <v/>
      </c>
      <c r="AU1623" s="546" t="str">
        <f t="shared" si="692"/>
        <v/>
      </c>
    </row>
    <row r="1624" spans="1:47" ht="14.25" hidden="1" customHeight="1" x14ac:dyDescent="0.15">
      <c r="A1624" s="575"/>
      <c r="B1624" s="548"/>
      <c r="C1624" s="548"/>
      <c r="D1624" s="548"/>
      <c r="E1624" s="583"/>
      <c r="F1624" s="584"/>
      <c r="G1624" s="548"/>
      <c r="H1624" s="550"/>
      <c r="I1624" s="560"/>
      <c r="J1624" s="548"/>
      <c r="K1624" s="528" t="str">
        <f>IFERROR(VLOOKUP($B1624,'Clients-Live'!$A:$C,3,0),"")</f>
        <v/>
      </c>
      <c r="L1624" s="528">
        <f>IF(E1624="STL",Pricing!$D$38,IF(A1624="",0,IF(A1624&lt;Pricing!$C$25,Pricing!$D$25,VLOOKUP(Disbursements!$F1624,Pricing!$B$29:$D$32,3))))</f>
        <v>0</v>
      </c>
      <c r="M1624" s="528">
        <f>IF(E1624="STL",0,IF(F1624&gt;0,Pricing!$D$21,0))</f>
        <v>0</v>
      </c>
      <c r="N1624" s="529">
        <f>IF(E1624="STL",F1624*Pricing!$D$40,IF(A1624&lt;=Pricing!$C$4,0,IF(AND(A1624&gt;Pricing!$C$4,Disbursements!A1624&lt;=Pricing!$C$5),F1624*Pricing!$E$5,IF(AND(A1624&gt;Pricing!$C$5,Disbursements!A1624&lt;=Pricing!$C$7),VLOOKUP(F1624,Pricing!$D$7:$E$8,2)*Disbursements!F1624,F1624*Pricing!$E$9))))</f>
        <v>0</v>
      </c>
      <c r="O1624" s="528">
        <f>IF(E1624="STL",0,IF($F1624&gt;0,$F1624*Pricing!$D$17,0))</f>
        <v>0</v>
      </c>
      <c r="P1624" s="530" t="str">
        <f t="shared" si="672"/>
        <v/>
      </c>
      <c r="Q1624" s="531" t="str">
        <f>IF($A1624="","",$G1624/VLOOKUP($I1624,Ref!$B$23:$D$29,2,0))</f>
        <v/>
      </c>
      <c r="R1624" s="530" t="str">
        <f t="shared" si="673"/>
        <v/>
      </c>
      <c r="S1624" s="532" t="str">
        <f t="shared" si="667"/>
        <v/>
      </c>
      <c r="T1624" s="531" t="str">
        <f t="shared" si="674"/>
        <v/>
      </c>
      <c r="U1624" s="533">
        <f t="shared" si="675"/>
        <v>0</v>
      </c>
      <c r="V1624" s="531" t="str">
        <f t="shared" si="676"/>
        <v/>
      </c>
      <c r="W1624" s="531" t="str">
        <f t="shared" si="677"/>
        <v/>
      </c>
      <c r="X1624" s="534" t="str">
        <f t="shared" si="678"/>
        <v/>
      </c>
      <c r="Y1624" s="535" t="str">
        <f>IF($A1624="","",IF($I1624="weekly",$A1624+7,EDATE($A1624,VLOOKUP($I1624,Ref!$B$24:$C$29,2,0))))</f>
        <v/>
      </c>
      <c r="Z1624" s="536" t="str">
        <f t="shared" si="679"/>
        <v/>
      </c>
      <c r="AA1624" s="531">
        <f t="shared" si="680"/>
        <v>0</v>
      </c>
      <c r="AB1624" s="535" t="str">
        <f t="shared" si="668"/>
        <v/>
      </c>
      <c r="AC1624" s="537" t="str">
        <f t="shared" si="669"/>
        <v/>
      </c>
      <c r="AD1624" s="538" t="str">
        <f t="shared" ca="1" si="670"/>
        <v/>
      </c>
      <c r="AE1624" s="537">
        <f t="shared" ca="1" si="671"/>
        <v>0</v>
      </c>
      <c r="AF1624" s="539" t="str">
        <f t="shared" ca="1" si="681"/>
        <v/>
      </c>
      <c r="AG1624" s="531" t="str">
        <f t="shared" ca="1" si="682"/>
        <v/>
      </c>
      <c r="AH1624" s="531" t="str">
        <f t="shared" ca="1" si="683"/>
        <v/>
      </c>
      <c r="AI1624" s="531" t="str">
        <f t="shared" ca="1" si="684"/>
        <v/>
      </c>
      <c r="AJ1624" s="531" t="str">
        <f t="shared" si="685"/>
        <v/>
      </c>
      <c r="AK1624" s="540">
        <f>SUMIFS('Live Collections'!$S:$S,'Live Collections'!$D:$D,Disbursements!B1624,'Live Collections'!$G:$G,Disbursements!C1624)</f>
        <v>0</v>
      </c>
      <c r="AL1624" s="540">
        <f>SUMIFS('Live Collections'!$T:$T,'Live Collections'!$D:$D,Disbursements!B1624,'Live Collections'!$G:$G,Disbursements!C1624)</f>
        <v>0</v>
      </c>
      <c r="AM1624" s="541">
        <f t="shared" si="686"/>
        <v>0</v>
      </c>
      <c r="AN1624" s="542" t="str">
        <f t="shared" si="687"/>
        <v/>
      </c>
      <c r="AO1624" s="542" t="str">
        <f t="shared" si="688"/>
        <v/>
      </c>
      <c r="AP1624" s="543" t="str">
        <f t="shared" si="689"/>
        <v/>
      </c>
      <c r="AQ1624" s="544" t="str">
        <f t="shared" si="690"/>
        <v/>
      </c>
      <c r="AR1624" s="545">
        <f t="shared" si="691"/>
        <v>0</v>
      </c>
      <c r="AS1624" s="545">
        <f>IFERROR(CEILING($AR1624*VLOOKUP($I1624,Ref!$B$23:$E$29,4,0),1),0)</f>
        <v>0</v>
      </c>
      <c r="AT1624" s="545" t="str">
        <f>IF(A1624="","",IF(AP1624&lt;=1,"Cleared",IF(AS1624=0,"Clean",VLOOKUP($AS1624,Ref!$G$23:$H$28,2))))</f>
        <v/>
      </c>
      <c r="AU1624" s="546" t="str">
        <f t="shared" si="692"/>
        <v/>
      </c>
    </row>
    <row r="1625" spans="1:47" ht="14.25" hidden="1" customHeight="1" x14ac:dyDescent="0.15">
      <c r="A1625" s="575"/>
      <c r="B1625" s="548"/>
      <c r="C1625" s="548"/>
      <c r="D1625" s="548"/>
      <c r="E1625" s="583"/>
      <c r="F1625" s="584"/>
      <c r="G1625" s="548"/>
      <c r="H1625" s="550"/>
      <c r="I1625" s="560"/>
      <c r="J1625" s="548"/>
      <c r="K1625" s="528" t="str">
        <f>IFERROR(VLOOKUP($B1625,'Clients-Live'!$A:$C,3,0),"")</f>
        <v/>
      </c>
      <c r="L1625" s="528">
        <f>IF(E1625="STL",Pricing!$D$38,IF(A1625="",0,IF(A1625&lt;Pricing!$C$25,Pricing!$D$25,VLOOKUP(Disbursements!$F1625,Pricing!$B$29:$D$32,3))))</f>
        <v>0</v>
      </c>
      <c r="M1625" s="528">
        <f>IF(E1625="STL",0,IF(F1625&gt;0,Pricing!$D$21,0))</f>
        <v>0</v>
      </c>
      <c r="N1625" s="529">
        <f>IF(E1625="STL",F1625*Pricing!$D$40,IF(A1625&lt;=Pricing!$C$4,0,IF(AND(A1625&gt;Pricing!$C$4,Disbursements!A1625&lt;=Pricing!$C$5),F1625*Pricing!$E$5,IF(AND(A1625&gt;Pricing!$C$5,Disbursements!A1625&lt;=Pricing!$C$7),VLOOKUP(F1625,Pricing!$D$7:$E$8,2)*Disbursements!F1625,F1625*Pricing!$E$9))))</f>
        <v>0</v>
      </c>
      <c r="O1625" s="528">
        <f>IF(E1625="STL",0,IF($F1625&gt;0,$F1625*Pricing!$D$17,0))</f>
        <v>0</v>
      </c>
      <c r="P1625" s="530" t="str">
        <f t="shared" si="672"/>
        <v/>
      </c>
      <c r="Q1625" s="531" t="str">
        <f>IF($A1625="","",$G1625/VLOOKUP($I1625,Ref!$B$23:$D$29,2,0))</f>
        <v/>
      </c>
      <c r="R1625" s="530" t="str">
        <f t="shared" si="673"/>
        <v/>
      </c>
      <c r="S1625" s="532" t="str">
        <f t="shared" si="667"/>
        <v/>
      </c>
      <c r="T1625" s="531" t="str">
        <f t="shared" si="674"/>
        <v/>
      </c>
      <c r="U1625" s="533">
        <f t="shared" si="675"/>
        <v>0</v>
      </c>
      <c r="V1625" s="531" t="str">
        <f t="shared" si="676"/>
        <v/>
      </c>
      <c r="W1625" s="531" t="str">
        <f t="shared" si="677"/>
        <v/>
      </c>
      <c r="X1625" s="534" t="str">
        <f t="shared" si="678"/>
        <v/>
      </c>
      <c r="Y1625" s="535" t="str">
        <f>IF($A1625="","",IF($I1625="weekly",$A1625+7,EDATE($A1625,VLOOKUP($I1625,Ref!$B$24:$C$29,2,0))))</f>
        <v/>
      </c>
      <c r="Z1625" s="536" t="str">
        <f t="shared" si="679"/>
        <v/>
      </c>
      <c r="AA1625" s="531">
        <f t="shared" si="680"/>
        <v>0</v>
      </c>
      <c r="AB1625" s="535" t="str">
        <f t="shared" si="668"/>
        <v/>
      </c>
      <c r="AC1625" s="537" t="str">
        <f t="shared" si="669"/>
        <v/>
      </c>
      <c r="AD1625" s="538" t="str">
        <f t="shared" ca="1" si="670"/>
        <v/>
      </c>
      <c r="AE1625" s="537">
        <f t="shared" ca="1" si="671"/>
        <v>0</v>
      </c>
      <c r="AF1625" s="539" t="str">
        <f t="shared" ca="1" si="681"/>
        <v/>
      </c>
      <c r="AG1625" s="531" t="str">
        <f t="shared" ca="1" si="682"/>
        <v/>
      </c>
      <c r="AH1625" s="531" t="str">
        <f t="shared" ca="1" si="683"/>
        <v/>
      </c>
      <c r="AI1625" s="531" t="str">
        <f t="shared" ca="1" si="684"/>
        <v/>
      </c>
      <c r="AJ1625" s="531" t="str">
        <f t="shared" si="685"/>
        <v/>
      </c>
      <c r="AK1625" s="540">
        <f>SUMIFS('Live Collections'!$S:$S,'Live Collections'!$D:$D,Disbursements!B1625,'Live Collections'!$G:$G,Disbursements!C1625)</f>
        <v>0</v>
      </c>
      <c r="AL1625" s="540">
        <f>SUMIFS('Live Collections'!$T:$T,'Live Collections'!$D:$D,Disbursements!B1625,'Live Collections'!$G:$G,Disbursements!C1625)</f>
        <v>0</v>
      </c>
      <c r="AM1625" s="541">
        <f t="shared" si="686"/>
        <v>0</v>
      </c>
      <c r="AN1625" s="542" t="str">
        <f t="shared" si="687"/>
        <v/>
      </c>
      <c r="AO1625" s="542" t="str">
        <f t="shared" si="688"/>
        <v/>
      </c>
      <c r="AP1625" s="543" t="str">
        <f t="shared" si="689"/>
        <v/>
      </c>
      <c r="AQ1625" s="544" t="str">
        <f t="shared" si="690"/>
        <v/>
      </c>
      <c r="AR1625" s="545">
        <f t="shared" si="691"/>
        <v>0</v>
      </c>
      <c r="AS1625" s="545">
        <f>IFERROR(CEILING($AR1625*VLOOKUP($I1625,Ref!$B$23:$E$29,4,0),1),0)</f>
        <v>0</v>
      </c>
      <c r="AT1625" s="545" t="str">
        <f>IF(A1625="","",IF(AP1625&lt;=1,"Cleared",IF(AS1625=0,"Clean",VLOOKUP($AS1625,Ref!$G$23:$H$28,2))))</f>
        <v/>
      </c>
      <c r="AU1625" s="546" t="str">
        <f t="shared" si="692"/>
        <v/>
      </c>
    </row>
    <row r="1626" spans="1:47" ht="14.25" hidden="1" customHeight="1" x14ac:dyDescent="0.15">
      <c r="A1626" s="575"/>
      <c r="B1626" s="548"/>
      <c r="C1626" s="548"/>
      <c r="D1626" s="548"/>
      <c r="E1626" s="583"/>
      <c r="F1626" s="584"/>
      <c r="G1626" s="548"/>
      <c r="H1626" s="550"/>
      <c r="I1626" s="560"/>
      <c r="J1626" s="548"/>
      <c r="K1626" s="528" t="str">
        <f>IFERROR(VLOOKUP($B1626,'Clients-Live'!$A:$C,3,0),"")</f>
        <v/>
      </c>
      <c r="L1626" s="528">
        <f>IF(E1626="STL",Pricing!$D$38,IF(A1626="",0,IF(A1626&lt;Pricing!$C$25,Pricing!$D$25,VLOOKUP(Disbursements!$F1626,Pricing!$B$29:$D$32,3))))</f>
        <v>0</v>
      </c>
      <c r="M1626" s="528">
        <f>IF(E1626="STL",0,IF(F1626&gt;0,Pricing!$D$21,0))</f>
        <v>0</v>
      </c>
      <c r="N1626" s="529">
        <f>IF(E1626="STL",F1626*Pricing!$D$40,IF(A1626&lt;=Pricing!$C$4,0,IF(AND(A1626&gt;Pricing!$C$4,Disbursements!A1626&lt;=Pricing!$C$5),F1626*Pricing!$E$5,IF(AND(A1626&gt;Pricing!$C$5,Disbursements!A1626&lt;=Pricing!$C$7),VLOOKUP(F1626,Pricing!$D$7:$E$8,2)*Disbursements!F1626,F1626*Pricing!$E$9))))</f>
        <v>0</v>
      </c>
      <c r="O1626" s="528">
        <f>IF(E1626="STL",0,IF($F1626&gt;0,$F1626*Pricing!$D$17,0))</f>
        <v>0</v>
      </c>
      <c r="P1626" s="530" t="str">
        <f t="shared" si="672"/>
        <v/>
      </c>
      <c r="Q1626" s="531" t="str">
        <f>IF($A1626="","",$G1626/VLOOKUP($I1626,Ref!$B$23:$D$29,2,0))</f>
        <v/>
      </c>
      <c r="R1626" s="530" t="str">
        <f t="shared" si="673"/>
        <v/>
      </c>
      <c r="S1626" s="532" t="str">
        <f t="shared" si="667"/>
        <v/>
      </c>
      <c r="T1626" s="531" t="str">
        <f t="shared" si="674"/>
        <v/>
      </c>
      <c r="U1626" s="533">
        <f t="shared" si="675"/>
        <v>0</v>
      </c>
      <c r="V1626" s="531" t="str">
        <f t="shared" si="676"/>
        <v/>
      </c>
      <c r="W1626" s="531" t="str">
        <f t="shared" si="677"/>
        <v/>
      </c>
      <c r="X1626" s="534" t="str">
        <f t="shared" si="678"/>
        <v/>
      </c>
      <c r="Y1626" s="535" t="str">
        <f>IF($A1626="","",IF($I1626="weekly",$A1626+7,EDATE($A1626,VLOOKUP($I1626,Ref!$B$24:$C$29,2,0))))</f>
        <v/>
      </c>
      <c r="Z1626" s="536" t="str">
        <f t="shared" si="679"/>
        <v/>
      </c>
      <c r="AA1626" s="531">
        <f t="shared" si="680"/>
        <v>0</v>
      </c>
      <c r="AB1626" s="535" t="str">
        <f t="shared" si="668"/>
        <v/>
      </c>
      <c r="AC1626" s="537" t="str">
        <f t="shared" si="669"/>
        <v/>
      </c>
      <c r="AD1626" s="538" t="str">
        <f t="shared" ca="1" si="670"/>
        <v/>
      </c>
      <c r="AE1626" s="537">
        <f t="shared" ca="1" si="671"/>
        <v>0</v>
      </c>
      <c r="AF1626" s="539" t="str">
        <f t="shared" ca="1" si="681"/>
        <v/>
      </c>
      <c r="AG1626" s="531" t="str">
        <f t="shared" ca="1" si="682"/>
        <v/>
      </c>
      <c r="AH1626" s="531" t="str">
        <f t="shared" ca="1" si="683"/>
        <v/>
      </c>
      <c r="AI1626" s="531" t="str">
        <f t="shared" ca="1" si="684"/>
        <v/>
      </c>
      <c r="AJ1626" s="531" t="str">
        <f t="shared" si="685"/>
        <v/>
      </c>
      <c r="AK1626" s="540">
        <f>SUMIFS('Live Collections'!$S:$S,'Live Collections'!$D:$D,Disbursements!B1626,'Live Collections'!$G:$G,Disbursements!C1626)</f>
        <v>0</v>
      </c>
      <c r="AL1626" s="540">
        <f>SUMIFS('Live Collections'!$T:$T,'Live Collections'!$D:$D,Disbursements!B1626,'Live Collections'!$G:$G,Disbursements!C1626)</f>
        <v>0</v>
      </c>
      <c r="AM1626" s="541">
        <f t="shared" si="686"/>
        <v>0</v>
      </c>
      <c r="AN1626" s="542" t="str">
        <f t="shared" si="687"/>
        <v/>
      </c>
      <c r="AO1626" s="542" t="str">
        <f t="shared" si="688"/>
        <v/>
      </c>
      <c r="AP1626" s="543" t="str">
        <f t="shared" si="689"/>
        <v/>
      </c>
      <c r="AQ1626" s="544" t="str">
        <f t="shared" si="690"/>
        <v/>
      </c>
      <c r="AR1626" s="545">
        <f t="shared" si="691"/>
        <v>0</v>
      </c>
      <c r="AS1626" s="545">
        <f>IFERROR(CEILING($AR1626*VLOOKUP($I1626,Ref!$B$23:$E$29,4,0),1),0)</f>
        <v>0</v>
      </c>
      <c r="AT1626" s="545" t="str">
        <f>IF(A1626="","",IF(AP1626&lt;=1,"Cleared",IF(AS1626=0,"Clean",VLOOKUP($AS1626,Ref!$G$23:$H$28,2))))</f>
        <v/>
      </c>
      <c r="AU1626" s="546" t="str">
        <f t="shared" si="692"/>
        <v/>
      </c>
    </row>
    <row r="1627" spans="1:47" ht="14.25" hidden="1" customHeight="1" x14ac:dyDescent="0.15">
      <c r="A1627" s="575"/>
      <c r="B1627" s="548"/>
      <c r="C1627" s="548"/>
      <c r="D1627" s="548"/>
      <c r="E1627" s="583"/>
      <c r="F1627" s="584"/>
      <c r="G1627" s="548"/>
      <c r="H1627" s="550"/>
      <c r="I1627" s="560"/>
      <c r="J1627" s="548"/>
      <c r="K1627" s="528" t="str">
        <f>IFERROR(VLOOKUP($B1627,'Clients-Live'!$A:$C,3,0),"")</f>
        <v/>
      </c>
      <c r="L1627" s="528">
        <f>IF(E1627="STL",Pricing!$D$38,IF(A1627="",0,IF(A1627&lt;Pricing!$C$25,Pricing!$D$25,VLOOKUP(Disbursements!$F1627,Pricing!$B$29:$D$32,3))))</f>
        <v>0</v>
      </c>
      <c r="M1627" s="528">
        <f>IF(E1627="STL",0,IF(F1627&gt;0,Pricing!$D$21,0))</f>
        <v>0</v>
      </c>
      <c r="N1627" s="529">
        <f>IF(E1627="STL",F1627*Pricing!$D$40,IF(A1627&lt;=Pricing!$C$4,0,IF(AND(A1627&gt;Pricing!$C$4,Disbursements!A1627&lt;=Pricing!$C$5),F1627*Pricing!$E$5,IF(AND(A1627&gt;Pricing!$C$5,Disbursements!A1627&lt;=Pricing!$C$7),VLOOKUP(F1627,Pricing!$D$7:$E$8,2)*Disbursements!F1627,F1627*Pricing!$E$9))))</f>
        <v>0</v>
      </c>
      <c r="O1627" s="528">
        <f>IF(E1627="STL",0,IF($F1627&gt;0,$F1627*Pricing!$D$17,0))</f>
        <v>0</v>
      </c>
      <c r="P1627" s="530" t="str">
        <f t="shared" si="672"/>
        <v/>
      </c>
      <c r="Q1627" s="531" t="str">
        <f>IF($A1627="","",$G1627/VLOOKUP($I1627,Ref!$B$23:$D$29,2,0))</f>
        <v/>
      </c>
      <c r="R1627" s="530" t="str">
        <f t="shared" si="673"/>
        <v/>
      </c>
      <c r="S1627" s="532" t="str">
        <f t="shared" si="667"/>
        <v/>
      </c>
      <c r="T1627" s="531" t="str">
        <f t="shared" si="674"/>
        <v/>
      </c>
      <c r="U1627" s="533">
        <f t="shared" si="675"/>
        <v>0</v>
      </c>
      <c r="V1627" s="531" t="str">
        <f t="shared" si="676"/>
        <v/>
      </c>
      <c r="W1627" s="531" t="str">
        <f t="shared" si="677"/>
        <v/>
      </c>
      <c r="X1627" s="534" t="str">
        <f t="shared" si="678"/>
        <v/>
      </c>
      <c r="Y1627" s="535" t="str">
        <f>IF($A1627="","",IF($I1627="weekly",$A1627+7,EDATE($A1627,VLOOKUP($I1627,Ref!$B$24:$C$29,2,0))))</f>
        <v/>
      </c>
      <c r="Z1627" s="536" t="str">
        <f t="shared" si="679"/>
        <v/>
      </c>
      <c r="AA1627" s="531">
        <f t="shared" si="680"/>
        <v>0</v>
      </c>
      <c r="AB1627" s="535" t="str">
        <f t="shared" si="668"/>
        <v/>
      </c>
      <c r="AC1627" s="537" t="str">
        <f t="shared" si="669"/>
        <v/>
      </c>
      <c r="AD1627" s="538" t="str">
        <f t="shared" ca="1" si="670"/>
        <v/>
      </c>
      <c r="AE1627" s="537">
        <f t="shared" ca="1" si="671"/>
        <v>0</v>
      </c>
      <c r="AF1627" s="539" t="str">
        <f t="shared" ca="1" si="681"/>
        <v/>
      </c>
      <c r="AG1627" s="531" t="str">
        <f t="shared" ca="1" si="682"/>
        <v/>
      </c>
      <c r="AH1627" s="531" t="str">
        <f t="shared" ca="1" si="683"/>
        <v/>
      </c>
      <c r="AI1627" s="531" t="str">
        <f t="shared" ca="1" si="684"/>
        <v/>
      </c>
      <c r="AJ1627" s="531" t="str">
        <f t="shared" si="685"/>
        <v/>
      </c>
      <c r="AK1627" s="540">
        <f>SUMIFS('Live Collections'!$S:$S,'Live Collections'!$D:$D,Disbursements!B1627,'Live Collections'!$G:$G,Disbursements!C1627)</f>
        <v>0</v>
      </c>
      <c r="AL1627" s="540">
        <f>SUMIFS('Live Collections'!$T:$T,'Live Collections'!$D:$D,Disbursements!B1627,'Live Collections'!$G:$G,Disbursements!C1627)</f>
        <v>0</v>
      </c>
      <c r="AM1627" s="541">
        <f t="shared" si="686"/>
        <v>0</v>
      </c>
      <c r="AN1627" s="542" t="str">
        <f t="shared" si="687"/>
        <v/>
      </c>
      <c r="AO1627" s="542" t="str">
        <f t="shared" si="688"/>
        <v/>
      </c>
      <c r="AP1627" s="543" t="str">
        <f t="shared" si="689"/>
        <v/>
      </c>
      <c r="AQ1627" s="544" t="str">
        <f t="shared" si="690"/>
        <v/>
      </c>
      <c r="AR1627" s="545">
        <f t="shared" si="691"/>
        <v>0</v>
      </c>
      <c r="AS1627" s="545">
        <f>IFERROR(CEILING($AR1627*VLOOKUP($I1627,Ref!$B$23:$E$29,4,0),1),0)</f>
        <v>0</v>
      </c>
      <c r="AT1627" s="545" t="str">
        <f>IF(A1627="","",IF(AP1627&lt;=1,"Cleared",IF(AS1627=0,"Clean",VLOOKUP($AS1627,Ref!$G$23:$H$28,2))))</f>
        <v/>
      </c>
      <c r="AU1627" s="546" t="str">
        <f t="shared" si="692"/>
        <v/>
      </c>
    </row>
    <row r="1628" spans="1:47" ht="14.25" hidden="1" customHeight="1" x14ac:dyDescent="0.15">
      <c r="A1628" s="575"/>
      <c r="B1628" s="548"/>
      <c r="C1628" s="548"/>
      <c r="D1628" s="548"/>
      <c r="E1628" s="583"/>
      <c r="F1628" s="584"/>
      <c r="G1628" s="548"/>
      <c r="H1628" s="550"/>
      <c r="I1628" s="560"/>
      <c r="J1628" s="548"/>
      <c r="K1628" s="528" t="str">
        <f>IFERROR(VLOOKUP($B1628,'Clients-Live'!$A:$C,3,0),"")</f>
        <v/>
      </c>
      <c r="L1628" s="528">
        <f>IF(E1628="STL",Pricing!$D$38,IF(A1628="",0,IF(A1628&lt;Pricing!$C$25,Pricing!$D$25,VLOOKUP(Disbursements!$F1628,Pricing!$B$29:$D$32,3))))</f>
        <v>0</v>
      </c>
      <c r="M1628" s="528">
        <f>IF(E1628="STL",0,IF(F1628&gt;0,Pricing!$D$21,0))</f>
        <v>0</v>
      </c>
      <c r="N1628" s="529">
        <f>IF(E1628="STL",F1628*Pricing!$D$40,IF(A1628&lt;=Pricing!$C$4,0,IF(AND(A1628&gt;Pricing!$C$4,Disbursements!A1628&lt;=Pricing!$C$5),F1628*Pricing!$E$5,IF(AND(A1628&gt;Pricing!$C$5,Disbursements!A1628&lt;=Pricing!$C$7),VLOOKUP(F1628,Pricing!$D$7:$E$8,2)*Disbursements!F1628,F1628*Pricing!$E$9))))</f>
        <v>0</v>
      </c>
      <c r="O1628" s="528">
        <f>IF(E1628="STL",0,IF($F1628&gt;0,$F1628*Pricing!$D$17,0))</f>
        <v>0</v>
      </c>
      <c r="P1628" s="530" t="str">
        <f t="shared" si="672"/>
        <v/>
      </c>
      <c r="Q1628" s="531" t="str">
        <f>IF($A1628="","",$G1628/VLOOKUP($I1628,Ref!$B$23:$D$29,2,0))</f>
        <v/>
      </c>
      <c r="R1628" s="530" t="str">
        <f t="shared" si="673"/>
        <v/>
      </c>
      <c r="S1628" s="532" t="str">
        <f t="shared" si="667"/>
        <v/>
      </c>
      <c r="T1628" s="531" t="str">
        <f t="shared" si="674"/>
        <v/>
      </c>
      <c r="U1628" s="533">
        <f t="shared" si="675"/>
        <v>0</v>
      </c>
      <c r="V1628" s="531" t="str">
        <f t="shared" si="676"/>
        <v/>
      </c>
      <c r="W1628" s="531" t="str">
        <f t="shared" si="677"/>
        <v/>
      </c>
      <c r="X1628" s="534" t="str">
        <f t="shared" si="678"/>
        <v/>
      </c>
      <c r="Y1628" s="535" t="str">
        <f>IF($A1628="","",IF($I1628="weekly",$A1628+7,EDATE($A1628,VLOOKUP($I1628,Ref!$B$24:$C$29,2,0))))</f>
        <v/>
      </c>
      <c r="Z1628" s="536" t="str">
        <f t="shared" si="679"/>
        <v/>
      </c>
      <c r="AA1628" s="531">
        <f t="shared" si="680"/>
        <v>0</v>
      </c>
      <c r="AB1628" s="535" t="str">
        <f t="shared" si="668"/>
        <v/>
      </c>
      <c r="AC1628" s="537" t="str">
        <f t="shared" si="669"/>
        <v/>
      </c>
      <c r="AD1628" s="538" t="str">
        <f t="shared" ca="1" si="670"/>
        <v/>
      </c>
      <c r="AE1628" s="537">
        <f t="shared" ca="1" si="671"/>
        <v>0</v>
      </c>
      <c r="AF1628" s="539" t="str">
        <f t="shared" ca="1" si="681"/>
        <v/>
      </c>
      <c r="AG1628" s="531" t="str">
        <f t="shared" ca="1" si="682"/>
        <v/>
      </c>
      <c r="AH1628" s="531" t="str">
        <f t="shared" ca="1" si="683"/>
        <v/>
      </c>
      <c r="AI1628" s="531" t="str">
        <f t="shared" ca="1" si="684"/>
        <v/>
      </c>
      <c r="AJ1628" s="531" t="str">
        <f t="shared" si="685"/>
        <v/>
      </c>
      <c r="AK1628" s="540">
        <f>SUMIFS('Live Collections'!$S:$S,'Live Collections'!$D:$D,Disbursements!B1628,'Live Collections'!$G:$G,Disbursements!C1628)</f>
        <v>0</v>
      </c>
      <c r="AL1628" s="540">
        <f>SUMIFS('Live Collections'!$T:$T,'Live Collections'!$D:$D,Disbursements!B1628,'Live Collections'!$G:$G,Disbursements!C1628)</f>
        <v>0</v>
      </c>
      <c r="AM1628" s="541">
        <f t="shared" si="686"/>
        <v>0</v>
      </c>
      <c r="AN1628" s="542" t="str">
        <f t="shared" si="687"/>
        <v/>
      </c>
      <c r="AO1628" s="542" t="str">
        <f t="shared" si="688"/>
        <v/>
      </c>
      <c r="AP1628" s="543" t="str">
        <f t="shared" si="689"/>
        <v/>
      </c>
      <c r="AQ1628" s="544" t="str">
        <f t="shared" si="690"/>
        <v/>
      </c>
      <c r="AR1628" s="545">
        <f t="shared" si="691"/>
        <v>0</v>
      </c>
      <c r="AS1628" s="545">
        <f>IFERROR(CEILING($AR1628*VLOOKUP($I1628,Ref!$B$23:$E$29,4,0),1),0)</f>
        <v>0</v>
      </c>
      <c r="AT1628" s="545" t="str">
        <f>IF(A1628="","",IF(AP1628&lt;=1,"Cleared",IF(AS1628=0,"Clean",VLOOKUP($AS1628,Ref!$G$23:$H$28,2))))</f>
        <v/>
      </c>
      <c r="AU1628" s="546" t="str">
        <f t="shared" si="692"/>
        <v/>
      </c>
    </row>
    <row r="1629" spans="1:47" ht="14.25" hidden="1" customHeight="1" x14ac:dyDescent="0.15">
      <c r="A1629" s="575"/>
      <c r="B1629" s="548"/>
      <c r="C1629" s="548"/>
      <c r="D1629" s="548"/>
      <c r="E1629" s="583"/>
      <c r="F1629" s="584"/>
      <c r="G1629" s="548"/>
      <c r="H1629" s="550"/>
      <c r="I1629" s="560"/>
      <c r="J1629" s="548"/>
      <c r="K1629" s="528" t="str">
        <f>IFERROR(VLOOKUP($B1629,'Clients-Live'!$A:$C,3,0),"")</f>
        <v/>
      </c>
      <c r="L1629" s="528">
        <f>IF(E1629="STL",Pricing!$D$38,IF(A1629="",0,IF(A1629&lt;Pricing!$C$25,Pricing!$D$25,VLOOKUP(Disbursements!$F1629,Pricing!$B$29:$D$32,3))))</f>
        <v>0</v>
      </c>
      <c r="M1629" s="528">
        <f>IF(E1629="STL",0,IF(F1629&gt;0,Pricing!$D$21,0))</f>
        <v>0</v>
      </c>
      <c r="N1629" s="529">
        <f>IF(E1629="STL",F1629*Pricing!$D$40,IF(A1629&lt;=Pricing!$C$4,0,IF(AND(A1629&gt;Pricing!$C$4,Disbursements!A1629&lt;=Pricing!$C$5),F1629*Pricing!$E$5,IF(AND(A1629&gt;Pricing!$C$5,Disbursements!A1629&lt;=Pricing!$C$7),VLOOKUP(F1629,Pricing!$D$7:$E$8,2)*Disbursements!F1629,F1629*Pricing!$E$9))))</f>
        <v>0</v>
      </c>
      <c r="O1629" s="528">
        <f>IF(E1629="STL",0,IF($F1629&gt;0,$F1629*Pricing!$D$17,0))</f>
        <v>0</v>
      </c>
      <c r="P1629" s="530" t="str">
        <f t="shared" si="672"/>
        <v/>
      </c>
      <c r="Q1629" s="531" t="str">
        <f>IF($A1629="","",$G1629/VLOOKUP($I1629,Ref!$B$23:$D$29,2,0))</f>
        <v/>
      </c>
      <c r="R1629" s="530" t="str">
        <f t="shared" si="673"/>
        <v/>
      </c>
      <c r="S1629" s="532" t="str">
        <f t="shared" si="667"/>
        <v/>
      </c>
      <c r="T1629" s="531" t="str">
        <f t="shared" si="674"/>
        <v/>
      </c>
      <c r="U1629" s="533">
        <f t="shared" si="675"/>
        <v>0</v>
      </c>
      <c r="V1629" s="531" t="str">
        <f t="shared" si="676"/>
        <v/>
      </c>
      <c r="W1629" s="531" t="str">
        <f t="shared" si="677"/>
        <v/>
      </c>
      <c r="X1629" s="534" t="str">
        <f t="shared" si="678"/>
        <v/>
      </c>
      <c r="Y1629" s="535" t="str">
        <f>IF($A1629="","",IF($I1629="weekly",$A1629+7,EDATE($A1629,VLOOKUP($I1629,Ref!$B$24:$C$29,2,0))))</f>
        <v/>
      </c>
      <c r="Z1629" s="536" t="str">
        <f t="shared" si="679"/>
        <v/>
      </c>
      <c r="AA1629" s="531">
        <f t="shared" si="680"/>
        <v>0</v>
      </c>
      <c r="AB1629" s="535" t="str">
        <f t="shared" si="668"/>
        <v/>
      </c>
      <c r="AC1629" s="537" t="str">
        <f t="shared" si="669"/>
        <v/>
      </c>
      <c r="AD1629" s="538" t="str">
        <f t="shared" ca="1" si="670"/>
        <v/>
      </c>
      <c r="AE1629" s="537">
        <f t="shared" ca="1" si="671"/>
        <v>0</v>
      </c>
      <c r="AF1629" s="539" t="str">
        <f t="shared" ca="1" si="681"/>
        <v/>
      </c>
      <c r="AG1629" s="531" t="str">
        <f t="shared" ca="1" si="682"/>
        <v/>
      </c>
      <c r="AH1629" s="531" t="str">
        <f t="shared" ca="1" si="683"/>
        <v/>
      </c>
      <c r="AI1629" s="531" t="str">
        <f t="shared" ca="1" si="684"/>
        <v/>
      </c>
      <c r="AJ1629" s="531" t="str">
        <f t="shared" si="685"/>
        <v/>
      </c>
      <c r="AK1629" s="540">
        <f>SUMIFS('Live Collections'!$S:$S,'Live Collections'!$D:$D,Disbursements!B1629,'Live Collections'!$G:$G,Disbursements!C1629)</f>
        <v>0</v>
      </c>
      <c r="AL1629" s="540">
        <f>SUMIFS('Live Collections'!$T:$T,'Live Collections'!$D:$D,Disbursements!B1629,'Live Collections'!$G:$G,Disbursements!C1629)</f>
        <v>0</v>
      </c>
      <c r="AM1629" s="541">
        <f t="shared" si="686"/>
        <v>0</v>
      </c>
      <c r="AN1629" s="542" t="str">
        <f t="shared" si="687"/>
        <v/>
      </c>
      <c r="AO1629" s="542" t="str">
        <f t="shared" si="688"/>
        <v/>
      </c>
      <c r="AP1629" s="543" t="str">
        <f t="shared" si="689"/>
        <v/>
      </c>
      <c r="AQ1629" s="544" t="str">
        <f t="shared" si="690"/>
        <v/>
      </c>
      <c r="AR1629" s="545">
        <f t="shared" si="691"/>
        <v>0</v>
      </c>
      <c r="AS1629" s="545">
        <f>IFERROR(CEILING($AR1629*VLOOKUP($I1629,Ref!$B$23:$E$29,4,0),1),0)</f>
        <v>0</v>
      </c>
      <c r="AT1629" s="545" t="str">
        <f>IF(A1629="","",IF(AP1629&lt;=1,"Cleared",IF(AS1629=0,"Clean",VLOOKUP($AS1629,Ref!$G$23:$H$28,2))))</f>
        <v/>
      </c>
      <c r="AU1629" s="546" t="str">
        <f t="shared" si="692"/>
        <v/>
      </c>
    </row>
    <row r="1630" spans="1:47" ht="14.25" hidden="1" customHeight="1" x14ac:dyDescent="0.15">
      <c r="A1630" s="575"/>
      <c r="B1630" s="548"/>
      <c r="C1630" s="548"/>
      <c r="D1630" s="548"/>
      <c r="E1630" s="583"/>
      <c r="F1630" s="584"/>
      <c r="G1630" s="548"/>
      <c r="H1630" s="550"/>
      <c r="I1630" s="560"/>
      <c r="J1630" s="548"/>
      <c r="K1630" s="528" t="str">
        <f>IFERROR(VLOOKUP($B1630,'Clients-Live'!$A:$C,3,0),"")</f>
        <v/>
      </c>
      <c r="L1630" s="528">
        <f>IF(E1630="STL",Pricing!$D$38,IF(A1630="",0,IF(A1630&lt;Pricing!$C$25,Pricing!$D$25,VLOOKUP(Disbursements!$F1630,Pricing!$B$29:$D$32,3))))</f>
        <v>0</v>
      </c>
      <c r="M1630" s="528">
        <f>IF(E1630="STL",0,IF(F1630&gt;0,Pricing!$D$21,0))</f>
        <v>0</v>
      </c>
      <c r="N1630" s="529">
        <f>IF(E1630="STL",F1630*Pricing!$D$40,IF(A1630&lt;=Pricing!$C$4,0,IF(AND(A1630&gt;Pricing!$C$4,Disbursements!A1630&lt;=Pricing!$C$5),F1630*Pricing!$E$5,IF(AND(A1630&gt;Pricing!$C$5,Disbursements!A1630&lt;=Pricing!$C$7),VLOOKUP(F1630,Pricing!$D$7:$E$8,2)*Disbursements!F1630,F1630*Pricing!$E$9))))</f>
        <v>0</v>
      </c>
      <c r="O1630" s="528">
        <f>IF(E1630="STL",0,IF($F1630&gt;0,$F1630*Pricing!$D$17,0))</f>
        <v>0</v>
      </c>
      <c r="P1630" s="530" t="str">
        <f t="shared" si="672"/>
        <v/>
      </c>
      <c r="Q1630" s="531" t="str">
        <f>IF($A1630="","",$G1630/VLOOKUP($I1630,Ref!$B$23:$D$29,2,0))</f>
        <v/>
      </c>
      <c r="R1630" s="530" t="str">
        <f t="shared" si="673"/>
        <v/>
      </c>
      <c r="S1630" s="532" t="str">
        <f t="shared" si="667"/>
        <v/>
      </c>
      <c r="T1630" s="531" t="str">
        <f t="shared" si="674"/>
        <v/>
      </c>
      <c r="U1630" s="533">
        <f t="shared" si="675"/>
        <v>0</v>
      </c>
      <c r="V1630" s="531" t="str">
        <f t="shared" si="676"/>
        <v/>
      </c>
      <c r="W1630" s="531" t="str">
        <f t="shared" si="677"/>
        <v/>
      </c>
      <c r="X1630" s="534" t="str">
        <f t="shared" si="678"/>
        <v/>
      </c>
      <c r="Y1630" s="535" t="str">
        <f>IF($A1630="","",IF($I1630="weekly",$A1630+7,EDATE($A1630,VLOOKUP($I1630,Ref!$B$24:$C$29,2,0))))</f>
        <v/>
      </c>
      <c r="Z1630" s="536" t="str">
        <f t="shared" si="679"/>
        <v/>
      </c>
      <c r="AA1630" s="531">
        <f t="shared" si="680"/>
        <v>0</v>
      </c>
      <c r="AB1630" s="535" t="str">
        <f t="shared" si="668"/>
        <v/>
      </c>
      <c r="AC1630" s="537" t="str">
        <f t="shared" si="669"/>
        <v/>
      </c>
      <c r="AD1630" s="538" t="str">
        <f t="shared" ca="1" si="670"/>
        <v/>
      </c>
      <c r="AE1630" s="537">
        <f t="shared" ca="1" si="671"/>
        <v>0</v>
      </c>
      <c r="AF1630" s="539" t="str">
        <f t="shared" ca="1" si="681"/>
        <v/>
      </c>
      <c r="AG1630" s="531" t="str">
        <f t="shared" ca="1" si="682"/>
        <v/>
      </c>
      <c r="AH1630" s="531" t="str">
        <f t="shared" ca="1" si="683"/>
        <v/>
      </c>
      <c r="AI1630" s="531" t="str">
        <f t="shared" ca="1" si="684"/>
        <v/>
      </c>
      <c r="AJ1630" s="531" t="str">
        <f t="shared" si="685"/>
        <v/>
      </c>
      <c r="AK1630" s="540">
        <f>SUMIFS('Live Collections'!$S:$S,'Live Collections'!$D:$D,Disbursements!B1630,'Live Collections'!$G:$G,Disbursements!C1630)</f>
        <v>0</v>
      </c>
      <c r="AL1630" s="540">
        <f>SUMIFS('Live Collections'!$T:$T,'Live Collections'!$D:$D,Disbursements!B1630,'Live Collections'!$G:$G,Disbursements!C1630)</f>
        <v>0</v>
      </c>
      <c r="AM1630" s="541">
        <f t="shared" si="686"/>
        <v>0</v>
      </c>
      <c r="AN1630" s="542" t="str">
        <f t="shared" si="687"/>
        <v/>
      </c>
      <c r="AO1630" s="542" t="str">
        <f t="shared" si="688"/>
        <v/>
      </c>
      <c r="AP1630" s="543" t="str">
        <f t="shared" si="689"/>
        <v/>
      </c>
      <c r="AQ1630" s="544" t="str">
        <f t="shared" si="690"/>
        <v/>
      </c>
      <c r="AR1630" s="545">
        <f t="shared" si="691"/>
        <v>0</v>
      </c>
      <c r="AS1630" s="545">
        <f>IFERROR(CEILING($AR1630*VLOOKUP($I1630,Ref!$B$23:$E$29,4,0),1),0)</f>
        <v>0</v>
      </c>
      <c r="AT1630" s="545" t="str">
        <f>IF(A1630="","",IF(AP1630&lt;=1,"Cleared",IF(AS1630=0,"Clean",VLOOKUP($AS1630,Ref!$G$23:$H$28,2))))</f>
        <v/>
      </c>
      <c r="AU1630" s="546" t="str">
        <f t="shared" si="692"/>
        <v/>
      </c>
    </row>
    <row r="1631" spans="1:47" ht="14.25" hidden="1" customHeight="1" x14ac:dyDescent="0.15">
      <c r="A1631" s="575"/>
      <c r="B1631" s="548"/>
      <c r="C1631" s="548"/>
      <c r="D1631" s="548"/>
      <c r="E1631" s="583"/>
      <c r="F1631" s="584"/>
      <c r="G1631" s="548"/>
      <c r="H1631" s="550"/>
      <c r="I1631" s="560"/>
      <c r="J1631" s="548"/>
      <c r="K1631" s="528" t="str">
        <f>IFERROR(VLOOKUP($B1631,'Clients-Live'!$A:$C,3,0),"")</f>
        <v/>
      </c>
      <c r="L1631" s="528">
        <f>IF(E1631="STL",Pricing!$D$38,IF(A1631="",0,IF(A1631&lt;Pricing!$C$25,Pricing!$D$25,VLOOKUP(Disbursements!$F1631,Pricing!$B$29:$D$32,3))))</f>
        <v>0</v>
      </c>
      <c r="M1631" s="528">
        <f>IF(E1631="STL",0,IF(F1631&gt;0,Pricing!$D$21,0))</f>
        <v>0</v>
      </c>
      <c r="N1631" s="529">
        <f>IF(E1631="STL",F1631*Pricing!$D$40,IF(A1631&lt;=Pricing!$C$4,0,IF(AND(A1631&gt;Pricing!$C$4,Disbursements!A1631&lt;=Pricing!$C$5),F1631*Pricing!$E$5,IF(AND(A1631&gt;Pricing!$C$5,Disbursements!A1631&lt;=Pricing!$C$7),VLOOKUP(F1631,Pricing!$D$7:$E$8,2)*Disbursements!F1631,F1631*Pricing!$E$9))))</f>
        <v>0</v>
      </c>
      <c r="O1631" s="528">
        <f>IF(E1631="STL",0,IF($F1631&gt;0,$F1631*Pricing!$D$17,0))</f>
        <v>0</v>
      </c>
      <c r="P1631" s="530" t="str">
        <f t="shared" si="672"/>
        <v/>
      </c>
      <c r="Q1631" s="531" t="str">
        <f>IF($A1631="","",$G1631/VLOOKUP($I1631,Ref!$B$23:$D$29,2,0))</f>
        <v/>
      </c>
      <c r="R1631" s="530" t="str">
        <f t="shared" si="673"/>
        <v/>
      </c>
      <c r="S1631" s="532" t="str">
        <f t="shared" si="667"/>
        <v/>
      </c>
      <c r="T1631" s="531" t="str">
        <f t="shared" si="674"/>
        <v/>
      </c>
      <c r="U1631" s="533">
        <f t="shared" si="675"/>
        <v>0</v>
      </c>
      <c r="V1631" s="531" t="str">
        <f t="shared" si="676"/>
        <v/>
      </c>
      <c r="W1631" s="531" t="str">
        <f t="shared" si="677"/>
        <v/>
      </c>
      <c r="X1631" s="534" t="str">
        <f t="shared" si="678"/>
        <v/>
      </c>
      <c r="Y1631" s="535" t="str">
        <f>IF($A1631="","",IF($I1631="weekly",$A1631+7,EDATE($A1631,VLOOKUP($I1631,Ref!$B$24:$C$29,2,0))))</f>
        <v/>
      </c>
      <c r="Z1631" s="536" t="str">
        <f t="shared" si="679"/>
        <v/>
      </c>
      <c r="AA1631" s="531">
        <f t="shared" si="680"/>
        <v>0</v>
      </c>
      <c r="AB1631" s="535" t="str">
        <f t="shared" si="668"/>
        <v/>
      </c>
      <c r="AC1631" s="537" t="str">
        <f t="shared" si="669"/>
        <v/>
      </c>
      <c r="AD1631" s="538" t="str">
        <f t="shared" ca="1" si="670"/>
        <v/>
      </c>
      <c r="AE1631" s="537">
        <f t="shared" ca="1" si="671"/>
        <v>0</v>
      </c>
      <c r="AF1631" s="539" t="str">
        <f t="shared" ca="1" si="681"/>
        <v/>
      </c>
      <c r="AG1631" s="531" t="str">
        <f t="shared" ca="1" si="682"/>
        <v/>
      </c>
      <c r="AH1631" s="531" t="str">
        <f t="shared" ca="1" si="683"/>
        <v/>
      </c>
      <c r="AI1631" s="531" t="str">
        <f t="shared" ca="1" si="684"/>
        <v/>
      </c>
      <c r="AJ1631" s="531" t="str">
        <f t="shared" si="685"/>
        <v/>
      </c>
      <c r="AK1631" s="540">
        <f>SUMIFS('Live Collections'!$S:$S,'Live Collections'!$D:$D,Disbursements!B1631,'Live Collections'!$G:$G,Disbursements!C1631)</f>
        <v>0</v>
      </c>
      <c r="AL1631" s="540">
        <f>SUMIFS('Live Collections'!$T:$T,'Live Collections'!$D:$D,Disbursements!B1631,'Live Collections'!$G:$G,Disbursements!C1631)</f>
        <v>0</v>
      </c>
      <c r="AM1631" s="541">
        <f t="shared" si="686"/>
        <v>0</v>
      </c>
      <c r="AN1631" s="542" t="str">
        <f t="shared" si="687"/>
        <v/>
      </c>
      <c r="AO1631" s="542" t="str">
        <f t="shared" si="688"/>
        <v/>
      </c>
      <c r="AP1631" s="543" t="str">
        <f t="shared" si="689"/>
        <v/>
      </c>
      <c r="AQ1631" s="544" t="str">
        <f t="shared" si="690"/>
        <v/>
      </c>
      <c r="AR1631" s="545">
        <f t="shared" si="691"/>
        <v>0</v>
      </c>
      <c r="AS1631" s="545">
        <f>IFERROR(CEILING($AR1631*VLOOKUP($I1631,Ref!$B$23:$E$29,4,0),1),0)</f>
        <v>0</v>
      </c>
      <c r="AT1631" s="545" t="str">
        <f>IF(A1631="","",IF(AP1631&lt;=1,"Cleared",IF(AS1631=0,"Clean",VLOOKUP($AS1631,Ref!$G$23:$H$28,2))))</f>
        <v/>
      </c>
      <c r="AU1631" s="546" t="str">
        <f t="shared" si="692"/>
        <v/>
      </c>
    </row>
    <row r="1632" spans="1:47" ht="14.25" hidden="1" customHeight="1" x14ac:dyDescent="0.15">
      <c r="A1632" s="575"/>
      <c r="B1632" s="548"/>
      <c r="C1632" s="548"/>
      <c r="D1632" s="548"/>
      <c r="E1632" s="583"/>
      <c r="F1632" s="584"/>
      <c r="G1632" s="548"/>
      <c r="H1632" s="550"/>
      <c r="I1632" s="560"/>
      <c r="J1632" s="548"/>
      <c r="K1632" s="528" t="str">
        <f>IFERROR(VLOOKUP($B1632,'Clients-Live'!$A:$C,3,0),"")</f>
        <v/>
      </c>
      <c r="L1632" s="528">
        <f>IF(E1632="STL",Pricing!$D$38,IF(A1632="",0,IF(A1632&lt;Pricing!$C$25,Pricing!$D$25,VLOOKUP(Disbursements!$F1632,Pricing!$B$29:$D$32,3))))</f>
        <v>0</v>
      </c>
      <c r="M1632" s="528">
        <f>IF(E1632="STL",0,IF(F1632&gt;0,Pricing!$D$21,0))</f>
        <v>0</v>
      </c>
      <c r="N1632" s="529">
        <f>IF(E1632="STL",F1632*Pricing!$D$40,IF(A1632&lt;=Pricing!$C$4,0,IF(AND(A1632&gt;Pricing!$C$4,Disbursements!A1632&lt;=Pricing!$C$5),F1632*Pricing!$E$5,IF(AND(A1632&gt;Pricing!$C$5,Disbursements!A1632&lt;=Pricing!$C$7),VLOOKUP(F1632,Pricing!$D$7:$E$8,2)*Disbursements!F1632,F1632*Pricing!$E$9))))</f>
        <v>0</v>
      </c>
      <c r="O1632" s="528">
        <f>IF(E1632="STL",0,IF($F1632&gt;0,$F1632*Pricing!$D$17,0))</f>
        <v>0</v>
      </c>
      <c r="P1632" s="530" t="str">
        <f t="shared" si="672"/>
        <v/>
      </c>
      <c r="Q1632" s="531" t="str">
        <f>IF($A1632="","",$G1632/VLOOKUP($I1632,Ref!$B$23:$D$29,2,0))</f>
        <v/>
      </c>
      <c r="R1632" s="530" t="str">
        <f t="shared" si="673"/>
        <v/>
      </c>
      <c r="S1632" s="532" t="str">
        <f t="shared" si="667"/>
        <v/>
      </c>
      <c r="T1632" s="531" t="str">
        <f t="shared" si="674"/>
        <v/>
      </c>
      <c r="U1632" s="533">
        <f t="shared" si="675"/>
        <v>0</v>
      </c>
      <c r="V1632" s="531" t="str">
        <f t="shared" si="676"/>
        <v/>
      </c>
      <c r="W1632" s="531" t="str">
        <f t="shared" si="677"/>
        <v/>
      </c>
      <c r="X1632" s="534" t="str">
        <f t="shared" si="678"/>
        <v/>
      </c>
      <c r="Y1632" s="535" t="str">
        <f>IF($A1632="","",IF($I1632="weekly",$A1632+7,EDATE($A1632,VLOOKUP($I1632,Ref!$B$24:$C$29,2,0))))</f>
        <v/>
      </c>
      <c r="Z1632" s="536" t="str">
        <f t="shared" si="679"/>
        <v/>
      </c>
      <c r="AA1632" s="531">
        <f t="shared" si="680"/>
        <v>0</v>
      </c>
      <c r="AB1632" s="535" t="str">
        <f t="shared" si="668"/>
        <v/>
      </c>
      <c r="AC1632" s="537" t="str">
        <f t="shared" si="669"/>
        <v/>
      </c>
      <c r="AD1632" s="538" t="str">
        <f t="shared" ca="1" si="670"/>
        <v/>
      </c>
      <c r="AE1632" s="537">
        <f t="shared" ca="1" si="671"/>
        <v>0</v>
      </c>
      <c r="AF1632" s="539" t="str">
        <f t="shared" ca="1" si="681"/>
        <v/>
      </c>
      <c r="AG1632" s="531" t="str">
        <f t="shared" ca="1" si="682"/>
        <v/>
      </c>
      <c r="AH1632" s="531" t="str">
        <f t="shared" ca="1" si="683"/>
        <v/>
      </c>
      <c r="AI1632" s="531" t="str">
        <f t="shared" ca="1" si="684"/>
        <v/>
      </c>
      <c r="AJ1632" s="531" t="str">
        <f t="shared" si="685"/>
        <v/>
      </c>
      <c r="AK1632" s="540">
        <f>SUMIFS('Live Collections'!$S:$S,'Live Collections'!$D:$D,Disbursements!B1632,'Live Collections'!$G:$G,Disbursements!C1632)</f>
        <v>0</v>
      </c>
      <c r="AL1632" s="540">
        <f>SUMIFS('Live Collections'!$T:$T,'Live Collections'!$D:$D,Disbursements!B1632,'Live Collections'!$G:$G,Disbursements!C1632)</f>
        <v>0</v>
      </c>
      <c r="AM1632" s="541">
        <f t="shared" si="686"/>
        <v>0</v>
      </c>
      <c r="AN1632" s="542" t="str">
        <f t="shared" si="687"/>
        <v/>
      </c>
      <c r="AO1632" s="542" t="str">
        <f t="shared" si="688"/>
        <v/>
      </c>
      <c r="AP1632" s="543" t="str">
        <f t="shared" si="689"/>
        <v/>
      </c>
      <c r="AQ1632" s="544" t="str">
        <f t="shared" si="690"/>
        <v/>
      </c>
      <c r="AR1632" s="545">
        <f t="shared" si="691"/>
        <v>0</v>
      </c>
      <c r="AS1632" s="545">
        <f>IFERROR(CEILING($AR1632*VLOOKUP($I1632,Ref!$B$23:$E$29,4,0),1),0)</f>
        <v>0</v>
      </c>
      <c r="AT1632" s="545" t="str">
        <f>IF(A1632="","",IF(AP1632&lt;=1,"Cleared",IF(AS1632=0,"Clean",VLOOKUP($AS1632,Ref!$G$23:$H$28,2))))</f>
        <v/>
      </c>
      <c r="AU1632" s="546" t="str">
        <f t="shared" si="692"/>
        <v/>
      </c>
    </row>
    <row r="1633" spans="1:47" ht="14.25" hidden="1" customHeight="1" x14ac:dyDescent="0.15">
      <c r="A1633" s="575"/>
      <c r="B1633" s="548"/>
      <c r="C1633" s="548"/>
      <c r="D1633" s="548"/>
      <c r="E1633" s="583"/>
      <c r="F1633" s="584"/>
      <c r="G1633" s="548"/>
      <c r="H1633" s="550"/>
      <c r="I1633" s="560"/>
      <c r="J1633" s="548"/>
      <c r="K1633" s="528" t="str">
        <f>IFERROR(VLOOKUP($B1633,'Clients-Live'!$A:$C,3,0),"")</f>
        <v/>
      </c>
      <c r="L1633" s="528">
        <f>IF(E1633="STL",Pricing!$D$38,IF(A1633="",0,IF(A1633&lt;Pricing!$C$25,Pricing!$D$25,VLOOKUP(Disbursements!$F1633,Pricing!$B$29:$D$32,3))))</f>
        <v>0</v>
      </c>
      <c r="M1633" s="528">
        <f>IF(E1633="STL",0,IF(F1633&gt;0,Pricing!$D$21,0))</f>
        <v>0</v>
      </c>
      <c r="N1633" s="529">
        <f>IF(E1633="STL",F1633*Pricing!$D$40,IF(A1633&lt;=Pricing!$C$4,0,IF(AND(A1633&gt;Pricing!$C$4,Disbursements!A1633&lt;=Pricing!$C$5),F1633*Pricing!$E$5,IF(AND(A1633&gt;Pricing!$C$5,Disbursements!A1633&lt;=Pricing!$C$7),VLOOKUP(F1633,Pricing!$D$7:$E$8,2)*Disbursements!F1633,F1633*Pricing!$E$9))))</f>
        <v>0</v>
      </c>
      <c r="O1633" s="528">
        <f>IF(E1633="STL",0,IF($F1633&gt;0,$F1633*Pricing!$D$17,0))</f>
        <v>0</v>
      </c>
      <c r="P1633" s="530" t="str">
        <f t="shared" si="672"/>
        <v/>
      </c>
      <c r="Q1633" s="531" t="str">
        <f>IF($A1633="","",$G1633/VLOOKUP($I1633,Ref!$B$23:$D$29,2,0))</f>
        <v/>
      </c>
      <c r="R1633" s="530" t="str">
        <f t="shared" si="673"/>
        <v/>
      </c>
      <c r="S1633" s="532" t="str">
        <f t="shared" si="667"/>
        <v/>
      </c>
      <c r="T1633" s="531" t="str">
        <f t="shared" si="674"/>
        <v/>
      </c>
      <c r="U1633" s="533">
        <f t="shared" si="675"/>
        <v>0</v>
      </c>
      <c r="V1633" s="531" t="str">
        <f t="shared" si="676"/>
        <v/>
      </c>
      <c r="W1633" s="531" t="str">
        <f t="shared" si="677"/>
        <v/>
      </c>
      <c r="X1633" s="534" t="str">
        <f t="shared" si="678"/>
        <v/>
      </c>
      <c r="Y1633" s="535" t="str">
        <f>IF($A1633="","",IF($I1633="weekly",$A1633+7,EDATE($A1633,VLOOKUP($I1633,Ref!$B$24:$C$29,2,0))))</f>
        <v/>
      </c>
      <c r="Z1633" s="536" t="str">
        <f t="shared" si="679"/>
        <v/>
      </c>
      <c r="AA1633" s="531">
        <f t="shared" si="680"/>
        <v>0</v>
      </c>
      <c r="AB1633" s="535" t="str">
        <f t="shared" si="668"/>
        <v/>
      </c>
      <c r="AC1633" s="537" t="str">
        <f t="shared" si="669"/>
        <v/>
      </c>
      <c r="AD1633" s="538" t="str">
        <f t="shared" ca="1" si="670"/>
        <v/>
      </c>
      <c r="AE1633" s="537">
        <f t="shared" ca="1" si="671"/>
        <v>0</v>
      </c>
      <c r="AF1633" s="539" t="str">
        <f t="shared" ca="1" si="681"/>
        <v/>
      </c>
      <c r="AG1633" s="531" t="str">
        <f t="shared" ca="1" si="682"/>
        <v/>
      </c>
      <c r="AH1633" s="531" t="str">
        <f t="shared" ca="1" si="683"/>
        <v/>
      </c>
      <c r="AI1633" s="531" t="str">
        <f t="shared" ca="1" si="684"/>
        <v/>
      </c>
      <c r="AJ1633" s="531" t="str">
        <f t="shared" si="685"/>
        <v/>
      </c>
      <c r="AK1633" s="540">
        <f>SUMIFS('Live Collections'!$S:$S,'Live Collections'!$D:$D,Disbursements!B1633,'Live Collections'!$G:$G,Disbursements!C1633)</f>
        <v>0</v>
      </c>
      <c r="AL1633" s="540">
        <f>SUMIFS('Live Collections'!$T:$T,'Live Collections'!$D:$D,Disbursements!B1633,'Live Collections'!$G:$G,Disbursements!C1633)</f>
        <v>0</v>
      </c>
      <c r="AM1633" s="541">
        <f t="shared" si="686"/>
        <v>0</v>
      </c>
      <c r="AN1633" s="542" t="str">
        <f t="shared" si="687"/>
        <v/>
      </c>
      <c r="AO1633" s="542" t="str">
        <f t="shared" si="688"/>
        <v/>
      </c>
      <c r="AP1633" s="543" t="str">
        <f t="shared" si="689"/>
        <v/>
      </c>
      <c r="AQ1633" s="544" t="str">
        <f t="shared" si="690"/>
        <v/>
      </c>
      <c r="AR1633" s="545">
        <f t="shared" si="691"/>
        <v>0</v>
      </c>
      <c r="AS1633" s="545">
        <f>IFERROR(CEILING($AR1633*VLOOKUP($I1633,Ref!$B$23:$E$29,4,0),1),0)</f>
        <v>0</v>
      </c>
      <c r="AT1633" s="545" t="str">
        <f>IF(A1633="","",IF(AP1633&lt;=1,"Cleared",IF(AS1633=0,"Clean",VLOOKUP($AS1633,Ref!$G$23:$H$28,2))))</f>
        <v/>
      </c>
      <c r="AU1633" s="546" t="str">
        <f t="shared" si="692"/>
        <v/>
      </c>
    </row>
    <row r="1634" spans="1:47" ht="14.25" hidden="1" customHeight="1" x14ac:dyDescent="0.15">
      <c r="A1634" s="575"/>
      <c r="B1634" s="548"/>
      <c r="C1634" s="548"/>
      <c r="D1634" s="548"/>
      <c r="E1634" s="583"/>
      <c r="F1634" s="584"/>
      <c r="G1634" s="548"/>
      <c r="H1634" s="550"/>
      <c r="I1634" s="560"/>
      <c r="J1634" s="548"/>
      <c r="K1634" s="528" t="str">
        <f>IFERROR(VLOOKUP($B1634,'Clients-Live'!$A:$C,3,0),"")</f>
        <v/>
      </c>
      <c r="L1634" s="528">
        <f>IF(E1634="STL",Pricing!$D$38,IF(A1634="",0,IF(A1634&lt;Pricing!$C$25,Pricing!$D$25,VLOOKUP(Disbursements!$F1634,Pricing!$B$29:$D$32,3))))</f>
        <v>0</v>
      </c>
      <c r="M1634" s="528">
        <f>IF(E1634="STL",0,IF(F1634&gt;0,Pricing!$D$21,0))</f>
        <v>0</v>
      </c>
      <c r="N1634" s="529">
        <f>IF(E1634="STL",F1634*Pricing!$D$40,IF(A1634&lt;=Pricing!$C$4,0,IF(AND(A1634&gt;Pricing!$C$4,Disbursements!A1634&lt;=Pricing!$C$5),F1634*Pricing!$E$5,IF(AND(A1634&gt;Pricing!$C$5,Disbursements!A1634&lt;=Pricing!$C$7),VLOOKUP(F1634,Pricing!$D$7:$E$8,2)*Disbursements!F1634,F1634*Pricing!$E$9))))</f>
        <v>0</v>
      </c>
      <c r="O1634" s="528">
        <f>IF(E1634="STL",0,IF($F1634&gt;0,$F1634*Pricing!$D$17,0))</f>
        <v>0</v>
      </c>
      <c r="P1634" s="530" t="str">
        <f t="shared" si="672"/>
        <v/>
      </c>
      <c r="Q1634" s="531" t="str">
        <f>IF($A1634="","",$G1634/VLOOKUP($I1634,Ref!$B$23:$D$29,2,0))</f>
        <v/>
      </c>
      <c r="R1634" s="530" t="str">
        <f t="shared" si="673"/>
        <v/>
      </c>
      <c r="S1634" s="532" t="str">
        <f t="shared" si="667"/>
        <v/>
      </c>
      <c r="T1634" s="531" t="str">
        <f t="shared" si="674"/>
        <v/>
      </c>
      <c r="U1634" s="533">
        <f t="shared" si="675"/>
        <v>0</v>
      </c>
      <c r="V1634" s="531" t="str">
        <f t="shared" si="676"/>
        <v/>
      </c>
      <c r="W1634" s="531" t="str">
        <f t="shared" si="677"/>
        <v/>
      </c>
      <c r="X1634" s="534" t="str">
        <f t="shared" si="678"/>
        <v/>
      </c>
      <c r="Y1634" s="535" t="str">
        <f>IF($A1634="","",IF($I1634="weekly",$A1634+7,EDATE($A1634,VLOOKUP($I1634,Ref!$B$24:$C$29,2,0))))</f>
        <v/>
      </c>
      <c r="Z1634" s="536" t="str">
        <f t="shared" si="679"/>
        <v/>
      </c>
      <c r="AA1634" s="531">
        <f t="shared" si="680"/>
        <v>0</v>
      </c>
      <c r="AB1634" s="535" t="str">
        <f t="shared" si="668"/>
        <v/>
      </c>
      <c r="AC1634" s="537" t="str">
        <f t="shared" si="669"/>
        <v/>
      </c>
      <c r="AD1634" s="538" t="str">
        <f t="shared" ca="1" si="670"/>
        <v/>
      </c>
      <c r="AE1634" s="537">
        <f t="shared" ca="1" si="671"/>
        <v>0</v>
      </c>
      <c r="AF1634" s="539" t="str">
        <f t="shared" ca="1" si="681"/>
        <v/>
      </c>
      <c r="AG1634" s="531" t="str">
        <f t="shared" ca="1" si="682"/>
        <v/>
      </c>
      <c r="AH1634" s="531" t="str">
        <f t="shared" ca="1" si="683"/>
        <v/>
      </c>
      <c r="AI1634" s="531" t="str">
        <f t="shared" ca="1" si="684"/>
        <v/>
      </c>
      <c r="AJ1634" s="531" t="str">
        <f t="shared" si="685"/>
        <v/>
      </c>
      <c r="AK1634" s="540">
        <f>SUMIFS('Live Collections'!$S:$S,'Live Collections'!$D:$D,Disbursements!B1634,'Live Collections'!$G:$G,Disbursements!C1634)</f>
        <v>0</v>
      </c>
      <c r="AL1634" s="540">
        <f>SUMIFS('Live Collections'!$T:$T,'Live Collections'!$D:$D,Disbursements!B1634,'Live Collections'!$G:$G,Disbursements!C1634)</f>
        <v>0</v>
      </c>
      <c r="AM1634" s="541">
        <f t="shared" si="686"/>
        <v>0</v>
      </c>
      <c r="AN1634" s="542" t="str">
        <f t="shared" si="687"/>
        <v/>
      </c>
      <c r="AO1634" s="542" t="str">
        <f t="shared" si="688"/>
        <v/>
      </c>
      <c r="AP1634" s="543" t="str">
        <f t="shared" si="689"/>
        <v/>
      </c>
      <c r="AQ1634" s="544" t="str">
        <f t="shared" si="690"/>
        <v/>
      </c>
      <c r="AR1634" s="545">
        <f t="shared" si="691"/>
        <v>0</v>
      </c>
      <c r="AS1634" s="545">
        <f>IFERROR(CEILING($AR1634*VLOOKUP($I1634,Ref!$B$23:$E$29,4,0),1),0)</f>
        <v>0</v>
      </c>
      <c r="AT1634" s="545" t="str">
        <f>IF(A1634="","",IF(AP1634&lt;=1,"Cleared",IF(AS1634=0,"Clean",VLOOKUP($AS1634,Ref!$G$23:$H$28,2))))</f>
        <v/>
      </c>
      <c r="AU1634" s="546" t="str">
        <f t="shared" si="692"/>
        <v/>
      </c>
    </row>
    <row r="1635" spans="1:47" ht="14.25" hidden="1" customHeight="1" x14ac:dyDescent="0.15">
      <c r="A1635" s="575"/>
      <c r="B1635" s="548"/>
      <c r="C1635" s="548"/>
      <c r="D1635" s="548"/>
      <c r="E1635" s="583"/>
      <c r="F1635" s="584"/>
      <c r="G1635" s="548"/>
      <c r="H1635" s="550"/>
      <c r="I1635" s="560"/>
      <c r="J1635" s="548"/>
      <c r="K1635" s="528" t="str">
        <f>IFERROR(VLOOKUP($B1635,'Clients-Live'!$A:$C,3,0),"")</f>
        <v/>
      </c>
      <c r="L1635" s="528">
        <f>IF(E1635="STL",Pricing!$D$38,IF(A1635="",0,IF(A1635&lt;Pricing!$C$25,Pricing!$D$25,VLOOKUP(Disbursements!$F1635,Pricing!$B$29:$D$32,3))))</f>
        <v>0</v>
      </c>
      <c r="M1635" s="528">
        <f>IF(E1635="STL",0,IF(F1635&gt;0,Pricing!$D$21,0))</f>
        <v>0</v>
      </c>
      <c r="N1635" s="529">
        <f>IF(E1635="STL",F1635*Pricing!$D$40,IF(A1635&lt;=Pricing!$C$4,0,IF(AND(A1635&gt;Pricing!$C$4,Disbursements!A1635&lt;=Pricing!$C$5),F1635*Pricing!$E$5,IF(AND(A1635&gt;Pricing!$C$5,Disbursements!A1635&lt;=Pricing!$C$7),VLOOKUP(F1635,Pricing!$D$7:$E$8,2)*Disbursements!F1635,F1635*Pricing!$E$9))))</f>
        <v>0</v>
      </c>
      <c r="O1635" s="528">
        <f>IF(E1635="STL",0,IF($F1635&gt;0,$F1635*Pricing!$D$17,0))</f>
        <v>0</v>
      </c>
      <c r="P1635" s="530" t="str">
        <f t="shared" si="672"/>
        <v/>
      </c>
      <c r="Q1635" s="531" t="str">
        <f>IF($A1635="","",$G1635/VLOOKUP($I1635,Ref!$B$23:$D$29,2,0))</f>
        <v/>
      </c>
      <c r="R1635" s="530" t="str">
        <f t="shared" si="673"/>
        <v/>
      </c>
      <c r="S1635" s="532" t="str">
        <f t="shared" si="667"/>
        <v/>
      </c>
      <c r="T1635" s="531" t="str">
        <f t="shared" si="674"/>
        <v/>
      </c>
      <c r="U1635" s="533">
        <f t="shared" si="675"/>
        <v>0</v>
      </c>
      <c r="V1635" s="531" t="str">
        <f t="shared" si="676"/>
        <v/>
      </c>
      <c r="W1635" s="531" t="str">
        <f t="shared" si="677"/>
        <v/>
      </c>
      <c r="X1635" s="534" t="str">
        <f t="shared" si="678"/>
        <v/>
      </c>
      <c r="Y1635" s="535" t="str">
        <f>IF($A1635="","",IF($I1635="weekly",$A1635+7,EDATE($A1635,VLOOKUP($I1635,Ref!$B$24:$C$29,2,0))))</f>
        <v/>
      </c>
      <c r="Z1635" s="536" t="str">
        <f t="shared" si="679"/>
        <v/>
      </c>
      <c r="AA1635" s="531">
        <f t="shared" si="680"/>
        <v>0</v>
      </c>
      <c r="AB1635" s="535" t="str">
        <f t="shared" si="668"/>
        <v/>
      </c>
      <c r="AC1635" s="537" t="str">
        <f t="shared" si="669"/>
        <v/>
      </c>
      <c r="AD1635" s="538" t="str">
        <f t="shared" ca="1" si="670"/>
        <v/>
      </c>
      <c r="AE1635" s="537">
        <f t="shared" ca="1" si="671"/>
        <v>0</v>
      </c>
      <c r="AF1635" s="539" t="str">
        <f t="shared" ca="1" si="681"/>
        <v/>
      </c>
      <c r="AG1635" s="531" t="str">
        <f t="shared" ca="1" si="682"/>
        <v/>
      </c>
      <c r="AH1635" s="531" t="str">
        <f t="shared" ca="1" si="683"/>
        <v/>
      </c>
      <c r="AI1635" s="531" t="str">
        <f t="shared" ca="1" si="684"/>
        <v/>
      </c>
      <c r="AJ1635" s="531" t="str">
        <f t="shared" si="685"/>
        <v/>
      </c>
      <c r="AK1635" s="540">
        <f>SUMIFS('Live Collections'!$S:$S,'Live Collections'!$D:$D,Disbursements!B1635,'Live Collections'!$G:$G,Disbursements!C1635)</f>
        <v>0</v>
      </c>
      <c r="AL1635" s="540">
        <f>SUMIFS('Live Collections'!$T:$T,'Live Collections'!$D:$D,Disbursements!B1635,'Live Collections'!$G:$G,Disbursements!C1635)</f>
        <v>0</v>
      </c>
      <c r="AM1635" s="541">
        <f t="shared" si="686"/>
        <v>0</v>
      </c>
      <c r="AN1635" s="542" t="str">
        <f t="shared" si="687"/>
        <v/>
      </c>
      <c r="AO1635" s="542" t="str">
        <f t="shared" si="688"/>
        <v/>
      </c>
      <c r="AP1635" s="543" t="str">
        <f t="shared" si="689"/>
        <v/>
      </c>
      <c r="AQ1635" s="544" t="str">
        <f t="shared" si="690"/>
        <v/>
      </c>
      <c r="AR1635" s="545">
        <f t="shared" si="691"/>
        <v>0</v>
      </c>
      <c r="AS1635" s="545">
        <f>IFERROR(CEILING($AR1635*VLOOKUP($I1635,Ref!$B$23:$E$29,4,0),1),0)</f>
        <v>0</v>
      </c>
      <c r="AT1635" s="545" t="str">
        <f>IF(A1635="","",IF(AP1635&lt;=1,"Cleared",IF(AS1635=0,"Clean",VLOOKUP($AS1635,Ref!$G$23:$H$28,2))))</f>
        <v/>
      </c>
      <c r="AU1635" s="546" t="str">
        <f t="shared" si="692"/>
        <v/>
      </c>
    </row>
    <row r="1636" spans="1:47" ht="14.25" hidden="1" customHeight="1" x14ac:dyDescent="0.15">
      <c r="A1636" s="575"/>
      <c r="B1636" s="548"/>
      <c r="C1636" s="548"/>
      <c r="D1636" s="548"/>
      <c r="E1636" s="583"/>
      <c r="F1636" s="584"/>
      <c r="G1636" s="548"/>
      <c r="H1636" s="550"/>
      <c r="I1636" s="560"/>
      <c r="J1636" s="548"/>
      <c r="K1636" s="528" t="str">
        <f>IFERROR(VLOOKUP($B1636,'Clients-Live'!$A:$C,3,0),"")</f>
        <v/>
      </c>
      <c r="L1636" s="528">
        <f>IF(E1636="STL",Pricing!$D$38,IF(A1636="",0,IF(A1636&lt;Pricing!$C$25,Pricing!$D$25,VLOOKUP(Disbursements!$F1636,Pricing!$B$29:$D$32,3))))</f>
        <v>0</v>
      </c>
      <c r="M1636" s="528">
        <f>IF(E1636="STL",0,IF(F1636&gt;0,Pricing!$D$21,0))</f>
        <v>0</v>
      </c>
      <c r="N1636" s="529">
        <f>IF(E1636="STL",F1636*Pricing!$D$40,IF(A1636&lt;=Pricing!$C$4,0,IF(AND(A1636&gt;Pricing!$C$4,Disbursements!A1636&lt;=Pricing!$C$5),F1636*Pricing!$E$5,IF(AND(A1636&gt;Pricing!$C$5,Disbursements!A1636&lt;=Pricing!$C$7),VLOOKUP(F1636,Pricing!$D$7:$E$8,2)*Disbursements!F1636,F1636*Pricing!$E$9))))</f>
        <v>0</v>
      </c>
      <c r="O1636" s="528">
        <f>IF(E1636="STL",0,IF($F1636&gt;0,$F1636*Pricing!$D$17,0))</f>
        <v>0</v>
      </c>
      <c r="P1636" s="530" t="str">
        <f t="shared" si="672"/>
        <v/>
      </c>
      <c r="Q1636" s="531" t="str">
        <f>IF($A1636="","",$G1636/VLOOKUP($I1636,Ref!$B$23:$D$29,2,0))</f>
        <v/>
      </c>
      <c r="R1636" s="530" t="str">
        <f t="shared" si="673"/>
        <v/>
      </c>
      <c r="S1636" s="532" t="str">
        <f t="shared" si="667"/>
        <v/>
      </c>
      <c r="T1636" s="531" t="str">
        <f t="shared" si="674"/>
        <v/>
      </c>
      <c r="U1636" s="533">
        <f t="shared" si="675"/>
        <v>0</v>
      </c>
      <c r="V1636" s="531" t="str">
        <f t="shared" si="676"/>
        <v/>
      </c>
      <c r="W1636" s="531" t="str">
        <f t="shared" si="677"/>
        <v/>
      </c>
      <c r="X1636" s="534" t="str">
        <f t="shared" si="678"/>
        <v/>
      </c>
      <c r="Y1636" s="535" t="str">
        <f>IF($A1636="","",IF($I1636="weekly",$A1636+7,EDATE($A1636,VLOOKUP($I1636,Ref!$B$24:$C$29,2,0))))</f>
        <v/>
      </c>
      <c r="Z1636" s="536" t="str">
        <f t="shared" si="679"/>
        <v/>
      </c>
      <c r="AA1636" s="531">
        <f t="shared" si="680"/>
        <v>0</v>
      </c>
      <c r="AB1636" s="535" t="str">
        <f t="shared" si="668"/>
        <v/>
      </c>
      <c r="AC1636" s="537" t="str">
        <f t="shared" si="669"/>
        <v/>
      </c>
      <c r="AD1636" s="538" t="str">
        <f t="shared" ca="1" si="670"/>
        <v/>
      </c>
      <c r="AE1636" s="537">
        <f t="shared" ca="1" si="671"/>
        <v>0</v>
      </c>
      <c r="AF1636" s="539" t="str">
        <f t="shared" ca="1" si="681"/>
        <v/>
      </c>
      <c r="AG1636" s="531" t="str">
        <f t="shared" ca="1" si="682"/>
        <v/>
      </c>
      <c r="AH1636" s="531" t="str">
        <f t="shared" ca="1" si="683"/>
        <v/>
      </c>
      <c r="AI1636" s="531" t="str">
        <f t="shared" ca="1" si="684"/>
        <v/>
      </c>
      <c r="AJ1636" s="531" t="str">
        <f t="shared" si="685"/>
        <v/>
      </c>
      <c r="AK1636" s="540">
        <f>SUMIFS('Live Collections'!$S:$S,'Live Collections'!$D:$D,Disbursements!B1636,'Live Collections'!$G:$G,Disbursements!C1636)</f>
        <v>0</v>
      </c>
      <c r="AL1636" s="540">
        <f>SUMIFS('Live Collections'!$T:$T,'Live Collections'!$D:$D,Disbursements!B1636,'Live Collections'!$G:$G,Disbursements!C1636)</f>
        <v>0</v>
      </c>
      <c r="AM1636" s="541">
        <f t="shared" si="686"/>
        <v>0</v>
      </c>
      <c r="AN1636" s="542" t="str">
        <f t="shared" si="687"/>
        <v/>
      </c>
      <c r="AO1636" s="542" t="str">
        <f t="shared" si="688"/>
        <v/>
      </c>
      <c r="AP1636" s="543" t="str">
        <f t="shared" si="689"/>
        <v/>
      </c>
      <c r="AQ1636" s="544" t="str">
        <f t="shared" si="690"/>
        <v/>
      </c>
      <c r="AR1636" s="545">
        <f t="shared" si="691"/>
        <v>0</v>
      </c>
      <c r="AS1636" s="545">
        <f>IFERROR(CEILING($AR1636*VLOOKUP($I1636,Ref!$B$23:$E$29,4,0),1),0)</f>
        <v>0</v>
      </c>
      <c r="AT1636" s="545" t="str">
        <f>IF(A1636="","",IF(AP1636&lt;=1,"Cleared",IF(AS1636=0,"Clean",VLOOKUP($AS1636,Ref!$G$23:$H$28,2))))</f>
        <v/>
      </c>
      <c r="AU1636" s="546" t="str">
        <f t="shared" si="692"/>
        <v/>
      </c>
    </row>
    <row r="1637" spans="1:47" ht="14.25" hidden="1" customHeight="1" x14ac:dyDescent="0.15">
      <c r="A1637" s="575"/>
      <c r="B1637" s="548"/>
      <c r="C1637" s="548"/>
      <c r="D1637" s="548"/>
      <c r="E1637" s="583"/>
      <c r="F1637" s="584"/>
      <c r="G1637" s="548"/>
      <c r="H1637" s="550"/>
      <c r="I1637" s="560"/>
      <c r="J1637" s="548"/>
      <c r="K1637" s="528" t="str">
        <f>IFERROR(VLOOKUP($B1637,'Clients-Live'!$A:$C,3,0),"")</f>
        <v/>
      </c>
      <c r="L1637" s="528">
        <f>IF(E1637="STL",Pricing!$D$38,IF(A1637="",0,IF(A1637&lt;Pricing!$C$25,Pricing!$D$25,VLOOKUP(Disbursements!$F1637,Pricing!$B$29:$D$32,3))))</f>
        <v>0</v>
      </c>
      <c r="M1637" s="528">
        <f>IF(E1637="STL",0,IF(F1637&gt;0,Pricing!$D$21,0))</f>
        <v>0</v>
      </c>
      <c r="N1637" s="529">
        <f>IF(E1637="STL",F1637*Pricing!$D$40,IF(A1637&lt;=Pricing!$C$4,0,IF(AND(A1637&gt;Pricing!$C$4,Disbursements!A1637&lt;=Pricing!$C$5),F1637*Pricing!$E$5,IF(AND(A1637&gt;Pricing!$C$5,Disbursements!A1637&lt;=Pricing!$C$7),VLOOKUP(F1637,Pricing!$D$7:$E$8,2)*Disbursements!F1637,F1637*Pricing!$E$9))))</f>
        <v>0</v>
      </c>
      <c r="O1637" s="528">
        <f>IF(E1637="STL",0,IF($F1637&gt;0,$F1637*Pricing!$D$17,0))</f>
        <v>0</v>
      </c>
      <c r="P1637" s="530" t="str">
        <f t="shared" si="672"/>
        <v/>
      </c>
      <c r="Q1637" s="531" t="str">
        <f>IF($A1637="","",$G1637/VLOOKUP($I1637,Ref!$B$23:$D$29,2,0))</f>
        <v/>
      </c>
      <c r="R1637" s="530" t="str">
        <f t="shared" si="673"/>
        <v/>
      </c>
      <c r="S1637" s="532" t="str">
        <f t="shared" si="667"/>
        <v/>
      </c>
      <c r="T1637" s="531" t="str">
        <f t="shared" si="674"/>
        <v/>
      </c>
      <c r="U1637" s="533">
        <f t="shared" si="675"/>
        <v>0</v>
      </c>
      <c r="V1637" s="531" t="str">
        <f t="shared" si="676"/>
        <v/>
      </c>
      <c r="W1637" s="531" t="str">
        <f t="shared" si="677"/>
        <v/>
      </c>
      <c r="X1637" s="534" t="str">
        <f t="shared" si="678"/>
        <v/>
      </c>
      <c r="Y1637" s="535" t="str">
        <f>IF($A1637="","",IF($I1637="weekly",$A1637+7,EDATE($A1637,VLOOKUP($I1637,Ref!$B$24:$C$29,2,0))))</f>
        <v/>
      </c>
      <c r="Z1637" s="536" t="str">
        <f t="shared" si="679"/>
        <v/>
      </c>
      <c r="AA1637" s="531">
        <f t="shared" si="680"/>
        <v>0</v>
      </c>
      <c r="AB1637" s="535" t="str">
        <f t="shared" si="668"/>
        <v/>
      </c>
      <c r="AC1637" s="537" t="str">
        <f t="shared" si="669"/>
        <v/>
      </c>
      <c r="AD1637" s="538" t="str">
        <f t="shared" ca="1" si="670"/>
        <v/>
      </c>
      <c r="AE1637" s="537">
        <f t="shared" ca="1" si="671"/>
        <v>0</v>
      </c>
      <c r="AF1637" s="539" t="str">
        <f t="shared" ca="1" si="681"/>
        <v/>
      </c>
      <c r="AG1637" s="531" t="str">
        <f t="shared" ca="1" si="682"/>
        <v/>
      </c>
      <c r="AH1637" s="531" t="str">
        <f t="shared" ca="1" si="683"/>
        <v/>
      </c>
      <c r="AI1637" s="531" t="str">
        <f t="shared" ca="1" si="684"/>
        <v/>
      </c>
      <c r="AJ1637" s="531" t="str">
        <f t="shared" si="685"/>
        <v/>
      </c>
      <c r="AK1637" s="540">
        <f>SUMIFS('Live Collections'!$S:$S,'Live Collections'!$D:$D,Disbursements!B1637,'Live Collections'!$G:$G,Disbursements!C1637)</f>
        <v>0</v>
      </c>
      <c r="AL1637" s="540">
        <f>SUMIFS('Live Collections'!$T:$T,'Live Collections'!$D:$D,Disbursements!B1637,'Live Collections'!$G:$G,Disbursements!C1637)</f>
        <v>0</v>
      </c>
      <c r="AM1637" s="541">
        <f t="shared" si="686"/>
        <v>0</v>
      </c>
      <c r="AN1637" s="542" t="str">
        <f t="shared" si="687"/>
        <v/>
      </c>
      <c r="AO1637" s="542" t="str">
        <f t="shared" si="688"/>
        <v/>
      </c>
      <c r="AP1637" s="543" t="str">
        <f t="shared" si="689"/>
        <v/>
      </c>
      <c r="AQ1637" s="544" t="str">
        <f t="shared" si="690"/>
        <v/>
      </c>
      <c r="AR1637" s="545">
        <f t="shared" si="691"/>
        <v>0</v>
      </c>
      <c r="AS1637" s="545">
        <f>IFERROR(CEILING($AR1637*VLOOKUP($I1637,Ref!$B$23:$E$29,4,0),1),0)</f>
        <v>0</v>
      </c>
      <c r="AT1637" s="545" t="str">
        <f>IF(A1637="","",IF(AP1637&lt;=1,"Cleared",IF(AS1637=0,"Clean",VLOOKUP($AS1637,Ref!$G$23:$H$28,2))))</f>
        <v/>
      </c>
      <c r="AU1637" s="546" t="str">
        <f t="shared" si="692"/>
        <v/>
      </c>
    </row>
    <row r="1638" spans="1:47" ht="14.25" hidden="1" customHeight="1" x14ac:dyDescent="0.15">
      <c r="A1638" s="575"/>
      <c r="B1638" s="548"/>
      <c r="C1638" s="548"/>
      <c r="D1638" s="548"/>
      <c r="E1638" s="583"/>
      <c r="F1638" s="584"/>
      <c r="G1638" s="548"/>
      <c r="H1638" s="550"/>
      <c r="I1638" s="560"/>
      <c r="J1638" s="548"/>
      <c r="K1638" s="528" t="str">
        <f>IFERROR(VLOOKUP($B1638,'Clients-Live'!$A:$C,3,0),"")</f>
        <v/>
      </c>
      <c r="L1638" s="528">
        <f>IF(E1638="STL",Pricing!$D$38,IF(A1638="",0,IF(A1638&lt;Pricing!$C$25,Pricing!$D$25,VLOOKUP(Disbursements!$F1638,Pricing!$B$29:$D$32,3))))</f>
        <v>0</v>
      </c>
      <c r="M1638" s="528">
        <f>IF(E1638="STL",0,IF(F1638&gt;0,Pricing!$D$21,0))</f>
        <v>0</v>
      </c>
      <c r="N1638" s="529">
        <f>IF(E1638="STL",F1638*Pricing!$D$40,IF(A1638&lt;=Pricing!$C$4,0,IF(AND(A1638&gt;Pricing!$C$4,Disbursements!A1638&lt;=Pricing!$C$5),F1638*Pricing!$E$5,IF(AND(A1638&gt;Pricing!$C$5,Disbursements!A1638&lt;=Pricing!$C$7),VLOOKUP(F1638,Pricing!$D$7:$E$8,2)*Disbursements!F1638,F1638*Pricing!$E$9))))</f>
        <v>0</v>
      </c>
      <c r="O1638" s="528">
        <f>IF(E1638="STL",0,IF($F1638&gt;0,$F1638*Pricing!$D$17,0))</f>
        <v>0</v>
      </c>
      <c r="P1638" s="530" t="str">
        <f t="shared" si="672"/>
        <v/>
      </c>
      <c r="Q1638" s="531" t="str">
        <f>IF($A1638="","",$G1638/VLOOKUP($I1638,Ref!$B$23:$D$29,2,0))</f>
        <v/>
      </c>
      <c r="R1638" s="530" t="str">
        <f t="shared" si="673"/>
        <v/>
      </c>
      <c r="S1638" s="532" t="str">
        <f t="shared" si="667"/>
        <v/>
      </c>
      <c r="T1638" s="531" t="str">
        <f t="shared" si="674"/>
        <v/>
      </c>
      <c r="U1638" s="533">
        <f t="shared" si="675"/>
        <v>0</v>
      </c>
      <c r="V1638" s="531" t="str">
        <f t="shared" si="676"/>
        <v/>
      </c>
      <c r="W1638" s="531" t="str">
        <f t="shared" si="677"/>
        <v/>
      </c>
      <c r="X1638" s="534" t="str">
        <f t="shared" si="678"/>
        <v/>
      </c>
      <c r="Y1638" s="535" t="str">
        <f>IF($A1638="","",IF($I1638="weekly",$A1638+7,EDATE($A1638,VLOOKUP($I1638,Ref!$B$24:$C$29,2,0))))</f>
        <v/>
      </c>
      <c r="Z1638" s="536" t="str">
        <f t="shared" si="679"/>
        <v/>
      </c>
      <c r="AA1638" s="531">
        <f t="shared" si="680"/>
        <v>0</v>
      </c>
      <c r="AB1638" s="535" t="str">
        <f t="shared" si="668"/>
        <v/>
      </c>
      <c r="AC1638" s="537" t="str">
        <f t="shared" si="669"/>
        <v/>
      </c>
      <c r="AD1638" s="538" t="str">
        <f t="shared" ca="1" si="670"/>
        <v/>
      </c>
      <c r="AE1638" s="537">
        <f t="shared" ca="1" si="671"/>
        <v>0</v>
      </c>
      <c r="AF1638" s="539" t="str">
        <f t="shared" ca="1" si="681"/>
        <v/>
      </c>
      <c r="AG1638" s="531" t="str">
        <f t="shared" ca="1" si="682"/>
        <v/>
      </c>
      <c r="AH1638" s="531" t="str">
        <f t="shared" ca="1" si="683"/>
        <v/>
      </c>
      <c r="AI1638" s="531" t="str">
        <f t="shared" ca="1" si="684"/>
        <v/>
      </c>
      <c r="AJ1638" s="531" t="str">
        <f t="shared" si="685"/>
        <v/>
      </c>
      <c r="AK1638" s="540">
        <f>SUMIFS('Live Collections'!$S:$S,'Live Collections'!$D:$D,Disbursements!B1638,'Live Collections'!$G:$G,Disbursements!C1638)</f>
        <v>0</v>
      </c>
      <c r="AL1638" s="540">
        <f>SUMIFS('Live Collections'!$T:$T,'Live Collections'!$D:$D,Disbursements!B1638,'Live Collections'!$G:$G,Disbursements!C1638)</f>
        <v>0</v>
      </c>
      <c r="AM1638" s="541">
        <f t="shared" si="686"/>
        <v>0</v>
      </c>
      <c r="AN1638" s="542" t="str">
        <f t="shared" si="687"/>
        <v/>
      </c>
      <c r="AO1638" s="542" t="str">
        <f t="shared" si="688"/>
        <v/>
      </c>
      <c r="AP1638" s="543" t="str">
        <f t="shared" si="689"/>
        <v/>
      </c>
      <c r="AQ1638" s="544" t="str">
        <f t="shared" si="690"/>
        <v/>
      </c>
      <c r="AR1638" s="545">
        <f t="shared" si="691"/>
        <v>0</v>
      </c>
      <c r="AS1638" s="545">
        <f>IFERROR(CEILING($AR1638*VLOOKUP($I1638,Ref!$B$23:$E$29,4,0),1),0)</f>
        <v>0</v>
      </c>
      <c r="AT1638" s="545" t="str">
        <f>IF(A1638="","",IF(AP1638&lt;=1,"Cleared",IF(AS1638=0,"Clean",VLOOKUP($AS1638,Ref!$G$23:$H$28,2))))</f>
        <v/>
      </c>
      <c r="AU1638" s="546" t="str">
        <f t="shared" si="692"/>
        <v/>
      </c>
    </row>
    <row r="1639" spans="1:47" ht="14.25" hidden="1" customHeight="1" x14ac:dyDescent="0.15">
      <c r="A1639" s="575"/>
      <c r="B1639" s="548"/>
      <c r="C1639" s="548"/>
      <c r="D1639" s="548"/>
      <c r="E1639" s="583"/>
      <c r="F1639" s="584"/>
      <c r="G1639" s="548"/>
      <c r="H1639" s="550"/>
      <c r="I1639" s="560"/>
      <c r="J1639" s="548"/>
      <c r="K1639" s="528" t="str">
        <f>IFERROR(VLOOKUP($B1639,'Clients-Live'!$A:$C,3,0),"")</f>
        <v/>
      </c>
      <c r="L1639" s="528">
        <f>IF(E1639="STL",Pricing!$D$38,IF(A1639="",0,IF(A1639&lt;Pricing!$C$25,Pricing!$D$25,VLOOKUP(Disbursements!$F1639,Pricing!$B$29:$D$32,3))))</f>
        <v>0</v>
      </c>
      <c r="M1639" s="528">
        <f>IF(E1639="STL",0,IF(F1639&gt;0,Pricing!$D$21,0))</f>
        <v>0</v>
      </c>
      <c r="N1639" s="529">
        <f>IF(E1639="STL",F1639*Pricing!$D$40,IF(A1639&lt;=Pricing!$C$4,0,IF(AND(A1639&gt;Pricing!$C$4,Disbursements!A1639&lt;=Pricing!$C$5),F1639*Pricing!$E$5,IF(AND(A1639&gt;Pricing!$C$5,Disbursements!A1639&lt;=Pricing!$C$7),VLOOKUP(F1639,Pricing!$D$7:$E$8,2)*Disbursements!F1639,F1639*Pricing!$E$9))))</f>
        <v>0</v>
      </c>
      <c r="O1639" s="528">
        <f>IF(E1639="STL",0,IF($F1639&gt;0,$F1639*Pricing!$D$17,0))</f>
        <v>0</v>
      </c>
      <c r="P1639" s="530" t="str">
        <f t="shared" si="672"/>
        <v/>
      </c>
      <c r="Q1639" s="531" t="str">
        <f>IF($A1639="","",$G1639/VLOOKUP($I1639,Ref!$B$23:$D$29,2,0))</f>
        <v/>
      </c>
      <c r="R1639" s="530" t="str">
        <f t="shared" si="673"/>
        <v/>
      </c>
      <c r="S1639" s="532" t="str">
        <f t="shared" si="667"/>
        <v/>
      </c>
      <c r="T1639" s="531" t="str">
        <f t="shared" si="674"/>
        <v/>
      </c>
      <c r="U1639" s="533">
        <f t="shared" si="675"/>
        <v>0</v>
      </c>
      <c r="V1639" s="531" t="str">
        <f t="shared" si="676"/>
        <v/>
      </c>
      <c r="W1639" s="531" t="str">
        <f t="shared" si="677"/>
        <v/>
      </c>
      <c r="X1639" s="534" t="str">
        <f t="shared" si="678"/>
        <v/>
      </c>
      <c r="Y1639" s="535" t="str">
        <f>IF($A1639="","",IF($I1639="weekly",$A1639+7,EDATE($A1639,VLOOKUP($I1639,Ref!$B$24:$C$29,2,0))))</f>
        <v/>
      </c>
      <c r="Z1639" s="536" t="str">
        <f t="shared" si="679"/>
        <v/>
      </c>
      <c r="AA1639" s="531">
        <f t="shared" si="680"/>
        <v>0</v>
      </c>
      <c r="AB1639" s="535" t="str">
        <f t="shared" si="668"/>
        <v/>
      </c>
      <c r="AC1639" s="537" t="str">
        <f t="shared" si="669"/>
        <v/>
      </c>
      <c r="AD1639" s="538" t="str">
        <f t="shared" ca="1" si="670"/>
        <v/>
      </c>
      <c r="AE1639" s="537">
        <f t="shared" ca="1" si="671"/>
        <v>0</v>
      </c>
      <c r="AF1639" s="539" t="str">
        <f t="shared" ca="1" si="681"/>
        <v/>
      </c>
      <c r="AG1639" s="531" t="str">
        <f t="shared" ca="1" si="682"/>
        <v/>
      </c>
      <c r="AH1639" s="531" t="str">
        <f t="shared" ca="1" si="683"/>
        <v/>
      </c>
      <c r="AI1639" s="531" t="str">
        <f t="shared" ca="1" si="684"/>
        <v/>
      </c>
      <c r="AJ1639" s="531" t="str">
        <f t="shared" si="685"/>
        <v/>
      </c>
      <c r="AK1639" s="540">
        <f>SUMIFS('Live Collections'!$S:$S,'Live Collections'!$D:$D,Disbursements!B1639,'Live Collections'!$G:$G,Disbursements!C1639)</f>
        <v>0</v>
      </c>
      <c r="AL1639" s="540">
        <f>SUMIFS('Live Collections'!$T:$T,'Live Collections'!$D:$D,Disbursements!B1639,'Live Collections'!$G:$G,Disbursements!C1639)</f>
        <v>0</v>
      </c>
      <c r="AM1639" s="541">
        <f t="shared" si="686"/>
        <v>0</v>
      </c>
      <c r="AN1639" s="542" t="str">
        <f t="shared" si="687"/>
        <v/>
      </c>
      <c r="AO1639" s="542" t="str">
        <f t="shared" si="688"/>
        <v/>
      </c>
      <c r="AP1639" s="543" t="str">
        <f t="shared" si="689"/>
        <v/>
      </c>
      <c r="AQ1639" s="544" t="str">
        <f t="shared" si="690"/>
        <v/>
      </c>
      <c r="AR1639" s="545">
        <f t="shared" si="691"/>
        <v>0</v>
      </c>
      <c r="AS1639" s="545">
        <f>IFERROR(CEILING($AR1639*VLOOKUP($I1639,Ref!$B$23:$E$29,4,0),1),0)</f>
        <v>0</v>
      </c>
      <c r="AT1639" s="545" t="str">
        <f>IF(A1639="","",IF(AP1639&lt;=1,"Cleared",IF(AS1639=0,"Clean",VLOOKUP($AS1639,Ref!$G$23:$H$28,2))))</f>
        <v/>
      </c>
      <c r="AU1639" s="546" t="str">
        <f t="shared" si="692"/>
        <v/>
      </c>
    </row>
    <row r="1640" spans="1:47" ht="14.25" hidden="1" customHeight="1" x14ac:dyDescent="0.15">
      <c r="A1640" s="575"/>
      <c r="B1640" s="548"/>
      <c r="C1640" s="548"/>
      <c r="D1640" s="548"/>
      <c r="E1640" s="583"/>
      <c r="F1640" s="584"/>
      <c r="G1640" s="548"/>
      <c r="H1640" s="550"/>
      <c r="I1640" s="560"/>
      <c r="J1640" s="548"/>
      <c r="K1640" s="528" t="str">
        <f>IFERROR(VLOOKUP($B1640,'Clients-Live'!$A:$C,3,0),"")</f>
        <v/>
      </c>
      <c r="L1640" s="528">
        <f>IF(E1640="STL",Pricing!$D$38,IF(A1640="",0,IF(A1640&lt;Pricing!$C$25,Pricing!$D$25,VLOOKUP(Disbursements!$F1640,Pricing!$B$29:$D$32,3))))</f>
        <v>0</v>
      </c>
      <c r="M1640" s="528">
        <f>IF(E1640="STL",0,IF(F1640&gt;0,Pricing!$D$21,0))</f>
        <v>0</v>
      </c>
      <c r="N1640" s="529">
        <f>IF(E1640="STL",F1640*Pricing!$D$40,IF(A1640&lt;=Pricing!$C$4,0,IF(AND(A1640&gt;Pricing!$C$4,Disbursements!A1640&lt;=Pricing!$C$5),F1640*Pricing!$E$5,IF(AND(A1640&gt;Pricing!$C$5,Disbursements!A1640&lt;=Pricing!$C$7),VLOOKUP(F1640,Pricing!$D$7:$E$8,2)*Disbursements!F1640,F1640*Pricing!$E$9))))</f>
        <v>0</v>
      </c>
      <c r="O1640" s="528">
        <f>IF(E1640="STL",0,IF($F1640&gt;0,$F1640*Pricing!$D$17,0))</f>
        <v>0</v>
      </c>
      <c r="P1640" s="530" t="str">
        <f t="shared" si="672"/>
        <v/>
      </c>
      <c r="Q1640" s="531" t="str">
        <f>IF($A1640="","",$G1640/VLOOKUP($I1640,Ref!$B$23:$D$29,2,0))</f>
        <v/>
      </c>
      <c r="R1640" s="530" t="str">
        <f t="shared" si="673"/>
        <v/>
      </c>
      <c r="S1640" s="532" t="str">
        <f t="shared" si="667"/>
        <v/>
      </c>
      <c r="T1640" s="531" t="str">
        <f t="shared" si="674"/>
        <v/>
      </c>
      <c r="U1640" s="533">
        <f t="shared" si="675"/>
        <v>0</v>
      </c>
      <c r="V1640" s="531" t="str">
        <f t="shared" si="676"/>
        <v/>
      </c>
      <c r="W1640" s="531" t="str">
        <f t="shared" si="677"/>
        <v/>
      </c>
      <c r="X1640" s="534" t="str">
        <f t="shared" si="678"/>
        <v/>
      </c>
      <c r="Y1640" s="535" t="str">
        <f>IF($A1640="","",IF($I1640="weekly",$A1640+7,EDATE($A1640,VLOOKUP($I1640,Ref!$B$24:$C$29,2,0))))</f>
        <v/>
      </c>
      <c r="Z1640" s="536" t="str">
        <f t="shared" si="679"/>
        <v/>
      </c>
      <c r="AA1640" s="531">
        <f t="shared" si="680"/>
        <v>0</v>
      </c>
      <c r="AB1640" s="535" t="str">
        <f t="shared" si="668"/>
        <v/>
      </c>
      <c r="AC1640" s="537" t="str">
        <f t="shared" si="669"/>
        <v/>
      </c>
      <c r="AD1640" s="538" t="str">
        <f t="shared" ca="1" si="670"/>
        <v/>
      </c>
      <c r="AE1640" s="537">
        <f t="shared" ca="1" si="671"/>
        <v>0</v>
      </c>
      <c r="AF1640" s="539" t="str">
        <f t="shared" ca="1" si="681"/>
        <v/>
      </c>
      <c r="AG1640" s="531" t="str">
        <f t="shared" ca="1" si="682"/>
        <v/>
      </c>
      <c r="AH1640" s="531" t="str">
        <f t="shared" ca="1" si="683"/>
        <v/>
      </c>
      <c r="AI1640" s="531" t="str">
        <f t="shared" ca="1" si="684"/>
        <v/>
      </c>
      <c r="AJ1640" s="531" t="str">
        <f t="shared" si="685"/>
        <v/>
      </c>
      <c r="AK1640" s="540">
        <f>SUMIFS('Live Collections'!$S:$S,'Live Collections'!$D:$D,Disbursements!B1640,'Live Collections'!$G:$G,Disbursements!C1640)</f>
        <v>0</v>
      </c>
      <c r="AL1640" s="540">
        <f>SUMIFS('Live Collections'!$T:$T,'Live Collections'!$D:$D,Disbursements!B1640,'Live Collections'!$G:$G,Disbursements!C1640)</f>
        <v>0</v>
      </c>
      <c r="AM1640" s="541">
        <f t="shared" si="686"/>
        <v>0</v>
      </c>
      <c r="AN1640" s="542" t="str">
        <f t="shared" si="687"/>
        <v/>
      </c>
      <c r="AO1640" s="542" t="str">
        <f t="shared" si="688"/>
        <v/>
      </c>
      <c r="AP1640" s="543" t="str">
        <f t="shared" si="689"/>
        <v/>
      </c>
      <c r="AQ1640" s="544" t="str">
        <f t="shared" si="690"/>
        <v/>
      </c>
      <c r="AR1640" s="545">
        <f t="shared" si="691"/>
        <v>0</v>
      </c>
      <c r="AS1640" s="545">
        <f>IFERROR(CEILING($AR1640*VLOOKUP($I1640,Ref!$B$23:$E$29,4,0),1),0)</f>
        <v>0</v>
      </c>
      <c r="AT1640" s="545" t="str">
        <f>IF(A1640="","",IF(AP1640&lt;=1,"Cleared",IF(AS1640=0,"Clean",VLOOKUP($AS1640,Ref!$G$23:$H$28,2))))</f>
        <v/>
      </c>
      <c r="AU1640" s="546" t="str">
        <f t="shared" si="692"/>
        <v/>
      </c>
    </row>
    <row r="1641" spans="1:47" ht="14.25" hidden="1" customHeight="1" x14ac:dyDescent="0.15">
      <c r="A1641" s="575"/>
      <c r="B1641" s="548"/>
      <c r="C1641" s="548"/>
      <c r="D1641" s="548"/>
      <c r="E1641" s="583"/>
      <c r="F1641" s="584"/>
      <c r="G1641" s="548"/>
      <c r="H1641" s="550"/>
      <c r="I1641" s="560"/>
      <c r="J1641" s="548"/>
      <c r="K1641" s="528" t="str">
        <f>IFERROR(VLOOKUP($B1641,'Clients-Live'!$A:$C,3,0),"")</f>
        <v/>
      </c>
      <c r="L1641" s="528">
        <f>IF(E1641="STL",Pricing!$D$38,IF(A1641="",0,IF(A1641&lt;Pricing!$C$25,Pricing!$D$25,VLOOKUP(Disbursements!$F1641,Pricing!$B$29:$D$32,3))))</f>
        <v>0</v>
      </c>
      <c r="M1641" s="528">
        <f>IF(E1641="STL",0,IF(F1641&gt;0,Pricing!$D$21,0))</f>
        <v>0</v>
      </c>
      <c r="N1641" s="529">
        <f>IF(E1641="STL",F1641*Pricing!$D$40,IF(A1641&lt;=Pricing!$C$4,0,IF(AND(A1641&gt;Pricing!$C$4,Disbursements!A1641&lt;=Pricing!$C$5),F1641*Pricing!$E$5,IF(AND(A1641&gt;Pricing!$C$5,Disbursements!A1641&lt;=Pricing!$C$7),VLOOKUP(F1641,Pricing!$D$7:$E$8,2)*Disbursements!F1641,F1641*Pricing!$E$9))))</f>
        <v>0</v>
      </c>
      <c r="O1641" s="528">
        <f>IF(E1641="STL",0,IF($F1641&gt;0,$F1641*Pricing!$D$17,0))</f>
        <v>0</v>
      </c>
      <c r="P1641" s="530" t="str">
        <f t="shared" si="672"/>
        <v/>
      </c>
      <c r="Q1641" s="531" t="str">
        <f>IF($A1641="","",$G1641/VLOOKUP($I1641,Ref!$B$23:$D$29,2,0))</f>
        <v/>
      </c>
      <c r="R1641" s="530" t="str">
        <f t="shared" si="673"/>
        <v/>
      </c>
      <c r="S1641" s="532" t="str">
        <f t="shared" si="667"/>
        <v/>
      </c>
      <c r="T1641" s="531" t="str">
        <f t="shared" si="674"/>
        <v/>
      </c>
      <c r="U1641" s="533">
        <f t="shared" si="675"/>
        <v>0</v>
      </c>
      <c r="V1641" s="531" t="str">
        <f t="shared" si="676"/>
        <v/>
      </c>
      <c r="W1641" s="531" t="str">
        <f t="shared" si="677"/>
        <v/>
      </c>
      <c r="X1641" s="534" t="str">
        <f t="shared" si="678"/>
        <v/>
      </c>
      <c r="Y1641" s="535" t="str">
        <f>IF($A1641="","",IF($I1641="weekly",$A1641+7,EDATE($A1641,VLOOKUP($I1641,Ref!$B$24:$C$29,2,0))))</f>
        <v/>
      </c>
      <c r="Z1641" s="536" t="str">
        <f t="shared" si="679"/>
        <v/>
      </c>
      <c r="AA1641" s="531">
        <f t="shared" si="680"/>
        <v>0</v>
      </c>
      <c r="AB1641" s="535" t="str">
        <f t="shared" si="668"/>
        <v/>
      </c>
      <c r="AC1641" s="537" t="str">
        <f t="shared" si="669"/>
        <v/>
      </c>
      <c r="AD1641" s="538" t="str">
        <f t="shared" ca="1" si="670"/>
        <v/>
      </c>
      <c r="AE1641" s="537">
        <f t="shared" ca="1" si="671"/>
        <v>0</v>
      </c>
      <c r="AF1641" s="539" t="str">
        <f t="shared" ca="1" si="681"/>
        <v/>
      </c>
      <c r="AG1641" s="531" t="str">
        <f t="shared" ca="1" si="682"/>
        <v/>
      </c>
      <c r="AH1641" s="531" t="str">
        <f t="shared" ca="1" si="683"/>
        <v/>
      </c>
      <c r="AI1641" s="531" t="str">
        <f t="shared" ca="1" si="684"/>
        <v/>
      </c>
      <c r="AJ1641" s="531" t="str">
        <f t="shared" si="685"/>
        <v/>
      </c>
      <c r="AK1641" s="540">
        <f>SUMIFS('Live Collections'!$S:$S,'Live Collections'!$D:$D,Disbursements!B1641,'Live Collections'!$G:$G,Disbursements!C1641)</f>
        <v>0</v>
      </c>
      <c r="AL1641" s="540">
        <f>SUMIFS('Live Collections'!$T:$T,'Live Collections'!$D:$D,Disbursements!B1641,'Live Collections'!$G:$G,Disbursements!C1641)</f>
        <v>0</v>
      </c>
      <c r="AM1641" s="541">
        <f t="shared" si="686"/>
        <v>0</v>
      </c>
      <c r="AN1641" s="542" t="str">
        <f t="shared" si="687"/>
        <v/>
      </c>
      <c r="AO1641" s="542" t="str">
        <f t="shared" si="688"/>
        <v/>
      </c>
      <c r="AP1641" s="543" t="str">
        <f t="shared" si="689"/>
        <v/>
      </c>
      <c r="AQ1641" s="544" t="str">
        <f t="shared" si="690"/>
        <v/>
      </c>
      <c r="AR1641" s="545">
        <f t="shared" si="691"/>
        <v>0</v>
      </c>
      <c r="AS1641" s="545">
        <f>IFERROR(CEILING($AR1641*VLOOKUP($I1641,Ref!$B$23:$E$29,4,0),1),0)</f>
        <v>0</v>
      </c>
      <c r="AT1641" s="545" t="str">
        <f>IF(A1641="","",IF(AP1641&lt;=1,"Cleared",IF(AS1641=0,"Clean",VLOOKUP($AS1641,Ref!$G$23:$H$28,2))))</f>
        <v/>
      </c>
      <c r="AU1641" s="546" t="str">
        <f t="shared" si="692"/>
        <v/>
      </c>
    </row>
    <row r="1642" spans="1:47" ht="14.25" hidden="1" customHeight="1" x14ac:dyDescent="0.15">
      <c r="A1642" s="575"/>
      <c r="B1642" s="548"/>
      <c r="C1642" s="548"/>
      <c r="D1642" s="548"/>
      <c r="E1642" s="583"/>
      <c r="F1642" s="584"/>
      <c r="G1642" s="548"/>
      <c r="H1642" s="550"/>
      <c r="I1642" s="560"/>
      <c r="J1642" s="548"/>
      <c r="K1642" s="528" t="str">
        <f>IFERROR(VLOOKUP($B1642,'Clients-Live'!$A:$C,3,0),"")</f>
        <v/>
      </c>
      <c r="L1642" s="528">
        <f>IF(E1642="STL",Pricing!$D$38,IF(A1642="",0,IF(A1642&lt;Pricing!$C$25,Pricing!$D$25,VLOOKUP(Disbursements!$F1642,Pricing!$B$29:$D$32,3))))</f>
        <v>0</v>
      </c>
      <c r="M1642" s="528">
        <f>IF(E1642="STL",0,IF(F1642&gt;0,Pricing!$D$21,0))</f>
        <v>0</v>
      </c>
      <c r="N1642" s="529">
        <f>IF(E1642="STL",F1642*Pricing!$D$40,IF(A1642&lt;=Pricing!$C$4,0,IF(AND(A1642&gt;Pricing!$C$4,Disbursements!A1642&lt;=Pricing!$C$5),F1642*Pricing!$E$5,IF(AND(A1642&gt;Pricing!$C$5,Disbursements!A1642&lt;=Pricing!$C$7),VLOOKUP(F1642,Pricing!$D$7:$E$8,2)*Disbursements!F1642,F1642*Pricing!$E$9))))</f>
        <v>0</v>
      </c>
      <c r="O1642" s="528">
        <f>IF(E1642="STL",0,IF($F1642&gt;0,$F1642*Pricing!$D$17,0))</f>
        <v>0</v>
      </c>
      <c r="P1642" s="530" t="str">
        <f t="shared" si="672"/>
        <v/>
      </c>
      <c r="Q1642" s="531" t="str">
        <f>IF($A1642="","",$G1642/VLOOKUP($I1642,Ref!$B$23:$D$29,2,0))</f>
        <v/>
      </c>
      <c r="R1642" s="530" t="str">
        <f t="shared" si="673"/>
        <v/>
      </c>
      <c r="S1642" s="532" t="str">
        <f t="shared" si="667"/>
        <v/>
      </c>
      <c r="T1642" s="531" t="str">
        <f t="shared" si="674"/>
        <v/>
      </c>
      <c r="U1642" s="533">
        <f t="shared" si="675"/>
        <v>0</v>
      </c>
      <c r="V1642" s="531" t="str">
        <f t="shared" si="676"/>
        <v/>
      </c>
      <c r="W1642" s="531" t="str">
        <f t="shared" si="677"/>
        <v/>
      </c>
      <c r="X1642" s="534" t="str">
        <f t="shared" si="678"/>
        <v/>
      </c>
      <c r="Y1642" s="535" t="str">
        <f>IF($A1642="","",IF($I1642="weekly",$A1642+7,EDATE($A1642,VLOOKUP($I1642,Ref!$B$24:$C$29,2,0))))</f>
        <v/>
      </c>
      <c r="Z1642" s="536" t="str">
        <f t="shared" si="679"/>
        <v/>
      </c>
      <c r="AA1642" s="531">
        <f t="shared" si="680"/>
        <v>0</v>
      </c>
      <c r="AB1642" s="535" t="str">
        <f t="shared" si="668"/>
        <v/>
      </c>
      <c r="AC1642" s="537" t="str">
        <f t="shared" si="669"/>
        <v/>
      </c>
      <c r="AD1642" s="538" t="str">
        <f t="shared" ca="1" si="670"/>
        <v/>
      </c>
      <c r="AE1642" s="537">
        <f t="shared" ca="1" si="671"/>
        <v>0</v>
      </c>
      <c r="AF1642" s="539" t="str">
        <f t="shared" ca="1" si="681"/>
        <v/>
      </c>
      <c r="AG1642" s="531" t="str">
        <f t="shared" ca="1" si="682"/>
        <v/>
      </c>
      <c r="AH1642" s="531" t="str">
        <f t="shared" ca="1" si="683"/>
        <v/>
      </c>
      <c r="AI1642" s="531" t="str">
        <f t="shared" ca="1" si="684"/>
        <v/>
      </c>
      <c r="AJ1642" s="531" t="str">
        <f t="shared" si="685"/>
        <v/>
      </c>
      <c r="AK1642" s="540">
        <f>SUMIFS('Live Collections'!$S:$S,'Live Collections'!$D:$D,Disbursements!B1642,'Live Collections'!$G:$G,Disbursements!C1642)</f>
        <v>0</v>
      </c>
      <c r="AL1642" s="540">
        <f>SUMIFS('Live Collections'!$T:$T,'Live Collections'!$D:$D,Disbursements!B1642,'Live Collections'!$G:$G,Disbursements!C1642)</f>
        <v>0</v>
      </c>
      <c r="AM1642" s="541">
        <f t="shared" si="686"/>
        <v>0</v>
      </c>
      <c r="AN1642" s="542" t="str">
        <f t="shared" si="687"/>
        <v/>
      </c>
      <c r="AO1642" s="542" t="str">
        <f t="shared" si="688"/>
        <v/>
      </c>
      <c r="AP1642" s="543" t="str">
        <f t="shared" si="689"/>
        <v/>
      </c>
      <c r="AQ1642" s="544" t="str">
        <f t="shared" si="690"/>
        <v/>
      </c>
      <c r="AR1642" s="545">
        <f t="shared" si="691"/>
        <v>0</v>
      </c>
      <c r="AS1642" s="545">
        <f>IFERROR(CEILING($AR1642*VLOOKUP($I1642,Ref!$B$23:$E$29,4,0),1),0)</f>
        <v>0</v>
      </c>
      <c r="AT1642" s="545" t="str">
        <f>IF(A1642="","",IF(AP1642&lt;=1,"Cleared",IF(AS1642=0,"Clean",VLOOKUP($AS1642,Ref!$G$23:$H$28,2))))</f>
        <v/>
      </c>
      <c r="AU1642" s="546" t="str">
        <f t="shared" si="692"/>
        <v/>
      </c>
    </row>
    <row r="1643" spans="1:47" ht="14.25" hidden="1" customHeight="1" x14ac:dyDescent="0.15">
      <c r="A1643" s="575"/>
      <c r="B1643" s="548"/>
      <c r="C1643" s="548"/>
      <c r="D1643" s="548"/>
      <c r="E1643" s="583"/>
      <c r="F1643" s="584"/>
      <c r="G1643" s="548"/>
      <c r="H1643" s="550"/>
      <c r="I1643" s="560"/>
      <c r="J1643" s="548"/>
      <c r="K1643" s="528" t="str">
        <f>IFERROR(VLOOKUP($B1643,'Clients-Live'!$A:$C,3,0),"")</f>
        <v/>
      </c>
      <c r="L1643" s="528">
        <f>IF(E1643="STL",Pricing!$D$38,IF(A1643="",0,IF(A1643&lt;Pricing!$C$25,Pricing!$D$25,VLOOKUP(Disbursements!$F1643,Pricing!$B$29:$D$32,3))))</f>
        <v>0</v>
      </c>
      <c r="M1643" s="528">
        <f>IF(E1643="STL",0,IF(F1643&gt;0,Pricing!$D$21,0))</f>
        <v>0</v>
      </c>
      <c r="N1643" s="529">
        <f>IF(E1643="STL",F1643*Pricing!$D$40,IF(A1643&lt;=Pricing!$C$4,0,IF(AND(A1643&gt;Pricing!$C$4,Disbursements!A1643&lt;=Pricing!$C$5),F1643*Pricing!$E$5,IF(AND(A1643&gt;Pricing!$C$5,Disbursements!A1643&lt;=Pricing!$C$7),VLOOKUP(F1643,Pricing!$D$7:$E$8,2)*Disbursements!F1643,F1643*Pricing!$E$9))))</f>
        <v>0</v>
      </c>
      <c r="O1643" s="528">
        <f>IF(E1643="STL",0,IF($F1643&gt;0,$F1643*Pricing!$D$17,0))</f>
        <v>0</v>
      </c>
      <c r="P1643" s="530" t="str">
        <f t="shared" si="672"/>
        <v/>
      </c>
      <c r="Q1643" s="531" t="str">
        <f>IF($A1643="","",$G1643/VLOOKUP($I1643,Ref!$B$23:$D$29,2,0))</f>
        <v/>
      </c>
      <c r="R1643" s="530" t="str">
        <f t="shared" si="673"/>
        <v/>
      </c>
      <c r="S1643" s="532" t="str">
        <f t="shared" si="667"/>
        <v/>
      </c>
      <c r="T1643" s="531" t="str">
        <f t="shared" si="674"/>
        <v/>
      </c>
      <c r="U1643" s="533">
        <f t="shared" si="675"/>
        <v>0</v>
      </c>
      <c r="V1643" s="531" t="str">
        <f t="shared" si="676"/>
        <v/>
      </c>
      <c r="W1643" s="531" t="str">
        <f t="shared" si="677"/>
        <v/>
      </c>
      <c r="X1643" s="534" t="str">
        <f t="shared" si="678"/>
        <v/>
      </c>
      <c r="Y1643" s="535" t="str">
        <f>IF($A1643="","",IF($I1643="weekly",$A1643+7,EDATE($A1643,VLOOKUP($I1643,Ref!$B$24:$C$29,2,0))))</f>
        <v/>
      </c>
      <c r="Z1643" s="536" t="str">
        <f t="shared" si="679"/>
        <v/>
      </c>
      <c r="AA1643" s="531">
        <f t="shared" si="680"/>
        <v>0</v>
      </c>
      <c r="AB1643" s="535" t="str">
        <f t="shared" si="668"/>
        <v/>
      </c>
      <c r="AC1643" s="537" t="str">
        <f t="shared" si="669"/>
        <v/>
      </c>
      <c r="AD1643" s="538" t="str">
        <f t="shared" ca="1" si="670"/>
        <v/>
      </c>
      <c r="AE1643" s="537">
        <f t="shared" ca="1" si="671"/>
        <v>0</v>
      </c>
      <c r="AF1643" s="539" t="str">
        <f t="shared" ca="1" si="681"/>
        <v/>
      </c>
      <c r="AG1643" s="531" t="str">
        <f t="shared" ca="1" si="682"/>
        <v/>
      </c>
      <c r="AH1643" s="531" t="str">
        <f t="shared" ca="1" si="683"/>
        <v/>
      </c>
      <c r="AI1643" s="531" t="str">
        <f t="shared" ca="1" si="684"/>
        <v/>
      </c>
      <c r="AJ1643" s="531" t="str">
        <f t="shared" si="685"/>
        <v/>
      </c>
      <c r="AK1643" s="540">
        <f>SUMIFS('Live Collections'!$S:$S,'Live Collections'!$D:$D,Disbursements!B1643,'Live Collections'!$G:$G,Disbursements!C1643)</f>
        <v>0</v>
      </c>
      <c r="AL1643" s="540">
        <f>SUMIFS('Live Collections'!$T:$T,'Live Collections'!$D:$D,Disbursements!B1643,'Live Collections'!$G:$G,Disbursements!C1643)</f>
        <v>0</v>
      </c>
      <c r="AM1643" s="541">
        <f t="shared" si="686"/>
        <v>0</v>
      </c>
      <c r="AN1643" s="542" t="str">
        <f t="shared" si="687"/>
        <v/>
      </c>
      <c r="AO1643" s="542" t="str">
        <f t="shared" si="688"/>
        <v/>
      </c>
      <c r="AP1643" s="543" t="str">
        <f t="shared" si="689"/>
        <v/>
      </c>
      <c r="AQ1643" s="544" t="str">
        <f t="shared" si="690"/>
        <v/>
      </c>
      <c r="AR1643" s="545">
        <f t="shared" si="691"/>
        <v>0</v>
      </c>
      <c r="AS1643" s="545">
        <f>IFERROR(CEILING($AR1643*VLOOKUP($I1643,Ref!$B$23:$E$29,4,0),1),0)</f>
        <v>0</v>
      </c>
      <c r="AT1643" s="545" t="str">
        <f>IF(A1643="","",IF(AP1643&lt;=1,"Cleared",IF(AS1643=0,"Clean",VLOOKUP($AS1643,Ref!$G$23:$H$28,2))))</f>
        <v/>
      </c>
      <c r="AU1643" s="546" t="str">
        <f t="shared" si="692"/>
        <v/>
      </c>
    </row>
    <row r="1644" spans="1:47" ht="14.25" hidden="1" customHeight="1" x14ac:dyDescent="0.15">
      <c r="A1644" s="575"/>
      <c r="B1644" s="548"/>
      <c r="C1644" s="548"/>
      <c r="D1644" s="548"/>
      <c r="E1644" s="583"/>
      <c r="F1644" s="584"/>
      <c r="G1644" s="548"/>
      <c r="H1644" s="550"/>
      <c r="I1644" s="560"/>
      <c r="J1644" s="548"/>
      <c r="K1644" s="528" t="str">
        <f>IFERROR(VLOOKUP($B1644,'Clients-Live'!$A:$C,3,0),"")</f>
        <v/>
      </c>
      <c r="L1644" s="528">
        <f>IF(E1644="STL",Pricing!$D$38,IF(A1644="",0,IF(A1644&lt;Pricing!$C$25,Pricing!$D$25,VLOOKUP(Disbursements!$F1644,Pricing!$B$29:$D$32,3))))</f>
        <v>0</v>
      </c>
      <c r="M1644" s="528">
        <f>IF(E1644="STL",0,IF(F1644&gt;0,Pricing!$D$21,0))</f>
        <v>0</v>
      </c>
      <c r="N1644" s="529">
        <f>IF(E1644="STL",F1644*Pricing!$D$40,IF(A1644&lt;=Pricing!$C$4,0,IF(AND(A1644&gt;Pricing!$C$4,Disbursements!A1644&lt;=Pricing!$C$5),F1644*Pricing!$E$5,IF(AND(A1644&gt;Pricing!$C$5,Disbursements!A1644&lt;=Pricing!$C$7),VLOOKUP(F1644,Pricing!$D$7:$E$8,2)*Disbursements!F1644,F1644*Pricing!$E$9))))</f>
        <v>0</v>
      </c>
      <c r="O1644" s="528">
        <f>IF(E1644="STL",0,IF($F1644&gt;0,$F1644*Pricing!$D$17,0))</f>
        <v>0</v>
      </c>
      <c r="P1644" s="530" t="str">
        <f t="shared" si="672"/>
        <v/>
      </c>
      <c r="Q1644" s="531" t="str">
        <f>IF($A1644="","",$G1644/VLOOKUP($I1644,Ref!$B$23:$D$29,2,0))</f>
        <v/>
      </c>
      <c r="R1644" s="530" t="str">
        <f t="shared" si="673"/>
        <v/>
      </c>
      <c r="S1644" s="532" t="str">
        <f t="shared" si="667"/>
        <v/>
      </c>
      <c r="T1644" s="531" t="str">
        <f t="shared" si="674"/>
        <v/>
      </c>
      <c r="U1644" s="533">
        <f t="shared" si="675"/>
        <v>0</v>
      </c>
      <c r="V1644" s="531" t="str">
        <f t="shared" si="676"/>
        <v/>
      </c>
      <c r="W1644" s="531" t="str">
        <f t="shared" si="677"/>
        <v/>
      </c>
      <c r="X1644" s="534" t="str">
        <f t="shared" si="678"/>
        <v/>
      </c>
      <c r="Y1644" s="535" t="str">
        <f>IF($A1644="","",IF($I1644="weekly",$A1644+7,EDATE($A1644,VLOOKUP($I1644,Ref!$B$24:$C$29,2,0))))</f>
        <v/>
      </c>
      <c r="Z1644" s="536" t="str">
        <f t="shared" si="679"/>
        <v/>
      </c>
      <c r="AA1644" s="531">
        <f t="shared" si="680"/>
        <v>0</v>
      </c>
      <c r="AB1644" s="535" t="str">
        <f t="shared" si="668"/>
        <v/>
      </c>
      <c r="AC1644" s="537" t="str">
        <f t="shared" si="669"/>
        <v/>
      </c>
      <c r="AD1644" s="538" t="str">
        <f t="shared" ca="1" si="670"/>
        <v/>
      </c>
      <c r="AE1644" s="537">
        <f t="shared" ca="1" si="671"/>
        <v>0</v>
      </c>
      <c r="AF1644" s="539" t="str">
        <f t="shared" ca="1" si="681"/>
        <v/>
      </c>
      <c r="AG1644" s="531" t="str">
        <f t="shared" ca="1" si="682"/>
        <v/>
      </c>
      <c r="AH1644" s="531" t="str">
        <f t="shared" ca="1" si="683"/>
        <v/>
      </c>
      <c r="AI1644" s="531" t="str">
        <f t="shared" ca="1" si="684"/>
        <v/>
      </c>
      <c r="AJ1644" s="531" t="str">
        <f t="shared" si="685"/>
        <v/>
      </c>
      <c r="AK1644" s="540">
        <f>SUMIFS('Live Collections'!$S:$S,'Live Collections'!$D:$D,Disbursements!B1644,'Live Collections'!$G:$G,Disbursements!C1644)</f>
        <v>0</v>
      </c>
      <c r="AL1644" s="540">
        <f>SUMIFS('Live Collections'!$T:$T,'Live Collections'!$D:$D,Disbursements!B1644,'Live Collections'!$G:$G,Disbursements!C1644)</f>
        <v>0</v>
      </c>
      <c r="AM1644" s="541">
        <f t="shared" si="686"/>
        <v>0</v>
      </c>
      <c r="AN1644" s="542" t="str">
        <f t="shared" si="687"/>
        <v/>
      </c>
      <c r="AO1644" s="542" t="str">
        <f t="shared" si="688"/>
        <v/>
      </c>
      <c r="AP1644" s="543" t="str">
        <f t="shared" si="689"/>
        <v/>
      </c>
      <c r="AQ1644" s="544" t="str">
        <f t="shared" si="690"/>
        <v/>
      </c>
      <c r="AR1644" s="545">
        <f t="shared" si="691"/>
        <v>0</v>
      </c>
      <c r="AS1644" s="545">
        <f>IFERROR(CEILING($AR1644*VLOOKUP($I1644,Ref!$B$23:$E$29,4,0),1),0)</f>
        <v>0</v>
      </c>
      <c r="AT1644" s="545" t="str">
        <f>IF(A1644="","",IF(AP1644&lt;=1,"Cleared",IF(AS1644=0,"Clean",VLOOKUP($AS1644,Ref!$G$23:$H$28,2))))</f>
        <v/>
      </c>
      <c r="AU1644" s="546" t="str">
        <f t="shared" si="692"/>
        <v/>
      </c>
    </row>
    <row r="1645" spans="1:47" ht="14.25" hidden="1" customHeight="1" x14ac:dyDescent="0.15">
      <c r="A1645" s="575"/>
      <c r="B1645" s="548"/>
      <c r="C1645" s="548"/>
      <c r="D1645" s="548"/>
      <c r="E1645" s="583"/>
      <c r="F1645" s="584"/>
      <c r="G1645" s="548"/>
      <c r="H1645" s="550"/>
      <c r="I1645" s="560"/>
      <c r="J1645" s="548"/>
      <c r="K1645" s="528" t="str">
        <f>IFERROR(VLOOKUP($B1645,'Clients-Live'!$A:$C,3,0),"")</f>
        <v/>
      </c>
      <c r="L1645" s="528">
        <f>IF(E1645="STL",Pricing!$D$38,IF(A1645="",0,IF(A1645&lt;Pricing!$C$25,Pricing!$D$25,VLOOKUP(Disbursements!$F1645,Pricing!$B$29:$D$32,3))))</f>
        <v>0</v>
      </c>
      <c r="M1645" s="528">
        <f>IF(E1645="STL",0,IF(F1645&gt;0,Pricing!$D$21,0))</f>
        <v>0</v>
      </c>
      <c r="N1645" s="529">
        <f>IF(E1645="STL",F1645*Pricing!$D$40,IF(A1645&lt;=Pricing!$C$4,0,IF(AND(A1645&gt;Pricing!$C$4,Disbursements!A1645&lt;=Pricing!$C$5),F1645*Pricing!$E$5,IF(AND(A1645&gt;Pricing!$C$5,Disbursements!A1645&lt;=Pricing!$C$7),VLOOKUP(F1645,Pricing!$D$7:$E$8,2)*Disbursements!F1645,F1645*Pricing!$E$9))))</f>
        <v>0</v>
      </c>
      <c r="O1645" s="528">
        <f>IF(E1645="STL",0,IF($F1645&gt;0,$F1645*Pricing!$D$17,0))</f>
        <v>0</v>
      </c>
      <c r="P1645" s="530" t="str">
        <f t="shared" si="672"/>
        <v/>
      </c>
      <c r="Q1645" s="531" t="str">
        <f>IF($A1645="","",$G1645/VLOOKUP($I1645,Ref!$B$23:$D$29,2,0))</f>
        <v/>
      </c>
      <c r="R1645" s="530" t="str">
        <f t="shared" si="673"/>
        <v/>
      </c>
      <c r="S1645" s="532" t="str">
        <f t="shared" si="667"/>
        <v/>
      </c>
      <c r="T1645" s="531" t="str">
        <f t="shared" si="674"/>
        <v/>
      </c>
      <c r="U1645" s="533">
        <f t="shared" si="675"/>
        <v>0</v>
      </c>
      <c r="V1645" s="531" t="str">
        <f t="shared" si="676"/>
        <v/>
      </c>
      <c r="W1645" s="531" t="str">
        <f t="shared" si="677"/>
        <v/>
      </c>
      <c r="X1645" s="534" t="str">
        <f t="shared" si="678"/>
        <v/>
      </c>
      <c r="Y1645" s="535" t="str">
        <f>IF($A1645="","",IF($I1645="weekly",$A1645+7,EDATE($A1645,VLOOKUP($I1645,Ref!$B$24:$C$29,2,0))))</f>
        <v/>
      </c>
      <c r="Z1645" s="536" t="str">
        <f t="shared" si="679"/>
        <v/>
      </c>
      <c r="AA1645" s="531">
        <f t="shared" si="680"/>
        <v>0</v>
      </c>
      <c r="AB1645" s="535" t="str">
        <f t="shared" si="668"/>
        <v/>
      </c>
      <c r="AC1645" s="537" t="str">
        <f t="shared" si="669"/>
        <v/>
      </c>
      <c r="AD1645" s="538" t="str">
        <f t="shared" ca="1" si="670"/>
        <v/>
      </c>
      <c r="AE1645" s="537">
        <f t="shared" ca="1" si="671"/>
        <v>0</v>
      </c>
      <c r="AF1645" s="539" t="str">
        <f t="shared" ca="1" si="681"/>
        <v/>
      </c>
      <c r="AG1645" s="531" t="str">
        <f t="shared" ca="1" si="682"/>
        <v/>
      </c>
      <c r="AH1645" s="531" t="str">
        <f t="shared" ca="1" si="683"/>
        <v/>
      </c>
      <c r="AI1645" s="531" t="str">
        <f t="shared" ca="1" si="684"/>
        <v/>
      </c>
      <c r="AJ1645" s="531" t="str">
        <f t="shared" si="685"/>
        <v/>
      </c>
      <c r="AK1645" s="540">
        <f>SUMIFS('Live Collections'!$S:$S,'Live Collections'!$D:$D,Disbursements!B1645,'Live Collections'!$G:$G,Disbursements!C1645)</f>
        <v>0</v>
      </c>
      <c r="AL1645" s="540">
        <f>SUMIFS('Live Collections'!$T:$T,'Live Collections'!$D:$D,Disbursements!B1645,'Live Collections'!$G:$G,Disbursements!C1645)</f>
        <v>0</v>
      </c>
      <c r="AM1645" s="541">
        <f t="shared" si="686"/>
        <v>0</v>
      </c>
      <c r="AN1645" s="542" t="str">
        <f t="shared" si="687"/>
        <v/>
      </c>
      <c r="AO1645" s="542" t="str">
        <f t="shared" si="688"/>
        <v/>
      </c>
      <c r="AP1645" s="543" t="str">
        <f t="shared" si="689"/>
        <v/>
      </c>
      <c r="AQ1645" s="544" t="str">
        <f t="shared" si="690"/>
        <v/>
      </c>
      <c r="AR1645" s="545">
        <f t="shared" si="691"/>
        <v>0</v>
      </c>
      <c r="AS1645" s="545">
        <f>IFERROR(CEILING($AR1645*VLOOKUP($I1645,Ref!$B$23:$E$29,4,0),1),0)</f>
        <v>0</v>
      </c>
      <c r="AT1645" s="545" t="str">
        <f>IF(A1645="","",IF(AP1645&lt;=1,"Cleared",IF(AS1645=0,"Clean",VLOOKUP($AS1645,Ref!$G$23:$H$28,2))))</f>
        <v/>
      </c>
      <c r="AU1645" s="546" t="str">
        <f t="shared" si="692"/>
        <v/>
      </c>
    </row>
    <row r="1646" spans="1:47" ht="14.25" hidden="1" customHeight="1" x14ac:dyDescent="0.15">
      <c r="A1646" s="575"/>
      <c r="B1646" s="548"/>
      <c r="C1646" s="548"/>
      <c r="D1646" s="548"/>
      <c r="E1646" s="583"/>
      <c r="F1646" s="584"/>
      <c r="G1646" s="548"/>
      <c r="H1646" s="550"/>
      <c r="I1646" s="560"/>
      <c r="J1646" s="548"/>
      <c r="K1646" s="528" t="str">
        <f>IFERROR(VLOOKUP($B1646,'Clients-Live'!$A:$C,3,0),"")</f>
        <v/>
      </c>
      <c r="L1646" s="528">
        <f>IF(E1646="STL",Pricing!$D$38,IF(A1646="",0,IF(A1646&lt;Pricing!$C$25,Pricing!$D$25,VLOOKUP(Disbursements!$F1646,Pricing!$B$29:$D$32,3))))</f>
        <v>0</v>
      </c>
      <c r="M1646" s="528">
        <f>IF(E1646="STL",0,IF(F1646&gt;0,Pricing!$D$21,0))</f>
        <v>0</v>
      </c>
      <c r="N1646" s="529">
        <f>IF(E1646="STL",F1646*Pricing!$D$40,IF(A1646&lt;=Pricing!$C$4,0,IF(AND(A1646&gt;Pricing!$C$4,Disbursements!A1646&lt;=Pricing!$C$5),F1646*Pricing!$E$5,IF(AND(A1646&gt;Pricing!$C$5,Disbursements!A1646&lt;=Pricing!$C$7),VLOOKUP(F1646,Pricing!$D$7:$E$8,2)*Disbursements!F1646,F1646*Pricing!$E$9))))</f>
        <v>0</v>
      </c>
      <c r="O1646" s="528">
        <f>IF(E1646="STL",0,IF($F1646&gt;0,$F1646*Pricing!$D$17,0))</f>
        <v>0</v>
      </c>
      <c r="P1646" s="530" t="str">
        <f t="shared" si="672"/>
        <v/>
      </c>
      <c r="Q1646" s="531" t="str">
        <f>IF($A1646="","",$G1646/VLOOKUP($I1646,Ref!$B$23:$D$29,2,0))</f>
        <v/>
      </c>
      <c r="R1646" s="530" t="str">
        <f t="shared" si="673"/>
        <v/>
      </c>
      <c r="S1646" s="532" t="str">
        <f t="shared" si="667"/>
        <v/>
      </c>
      <c r="T1646" s="531" t="str">
        <f t="shared" si="674"/>
        <v/>
      </c>
      <c r="U1646" s="533">
        <f t="shared" si="675"/>
        <v>0</v>
      </c>
      <c r="V1646" s="531" t="str">
        <f t="shared" si="676"/>
        <v/>
      </c>
      <c r="W1646" s="531" t="str">
        <f t="shared" si="677"/>
        <v/>
      </c>
      <c r="X1646" s="534" t="str">
        <f t="shared" si="678"/>
        <v/>
      </c>
      <c r="Y1646" s="535" t="str">
        <f>IF($A1646="","",IF($I1646="weekly",$A1646+7,EDATE($A1646,VLOOKUP($I1646,Ref!$B$24:$C$29,2,0))))</f>
        <v/>
      </c>
      <c r="Z1646" s="536" t="str">
        <f t="shared" si="679"/>
        <v/>
      </c>
      <c r="AA1646" s="531">
        <f t="shared" si="680"/>
        <v>0</v>
      </c>
      <c r="AB1646" s="535" t="str">
        <f t="shared" si="668"/>
        <v/>
      </c>
      <c r="AC1646" s="537" t="str">
        <f t="shared" si="669"/>
        <v/>
      </c>
      <c r="AD1646" s="538" t="str">
        <f t="shared" ca="1" si="670"/>
        <v/>
      </c>
      <c r="AE1646" s="537">
        <f t="shared" ca="1" si="671"/>
        <v>0</v>
      </c>
      <c r="AF1646" s="539" t="str">
        <f t="shared" ca="1" si="681"/>
        <v/>
      </c>
      <c r="AG1646" s="531" t="str">
        <f t="shared" ca="1" si="682"/>
        <v/>
      </c>
      <c r="AH1646" s="531" t="str">
        <f t="shared" ca="1" si="683"/>
        <v/>
      </c>
      <c r="AI1646" s="531" t="str">
        <f t="shared" ca="1" si="684"/>
        <v/>
      </c>
      <c r="AJ1646" s="531" t="str">
        <f t="shared" si="685"/>
        <v/>
      </c>
      <c r="AK1646" s="540">
        <f>SUMIFS('Live Collections'!$S:$S,'Live Collections'!$D:$D,Disbursements!B1646,'Live Collections'!$G:$G,Disbursements!C1646)</f>
        <v>0</v>
      </c>
      <c r="AL1646" s="540">
        <f>SUMIFS('Live Collections'!$T:$T,'Live Collections'!$D:$D,Disbursements!B1646,'Live Collections'!$G:$G,Disbursements!C1646)</f>
        <v>0</v>
      </c>
      <c r="AM1646" s="541">
        <f t="shared" si="686"/>
        <v>0</v>
      </c>
      <c r="AN1646" s="542" t="str">
        <f t="shared" si="687"/>
        <v/>
      </c>
      <c r="AO1646" s="542" t="str">
        <f t="shared" si="688"/>
        <v/>
      </c>
      <c r="AP1646" s="543" t="str">
        <f t="shared" si="689"/>
        <v/>
      </c>
      <c r="AQ1646" s="544" t="str">
        <f t="shared" si="690"/>
        <v/>
      </c>
      <c r="AR1646" s="545">
        <f t="shared" si="691"/>
        <v>0</v>
      </c>
      <c r="AS1646" s="545">
        <f>IFERROR(CEILING($AR1646*VLOOKUP($I1646,Ref!$B$23:$E$29,4,0),1),0)</f>
        <v>0</v>
      </c>
      <c r="AT1646" s="545" t="str">
        <f>IF(A1646="","",IF(AP1646&lt;=1,"Cleared",IF(AS1646=0,"Clean",VLOOKUP($AS1646,Ref!$G$23:$H$28,2))))</f>
        <v/>
      </c>
      <c r="AU1646" s="546" t="str">
        <f t="shared" si="692"/>
        <v/>
      </c>
    </row>
    <row r="1647" spans="1:47" ht="14.25" hidden="1" customHeight="1" x14ac:dyDescent="0.15">
      <c r="A1647" s="575"/>
      <c r="B1647" s="548"/>
      <c r="C1647" s="548"/>
      <c r="D1647" s="548"/>
      <c r="E1647" s="583"/>
      <c r="F1647" s="584"/>
      <c r="G1647" s="548"/>
      <c r="H1647" s="550"/>
      <c r="I1647" s="560"/>
      <c r="J1647" s="548"/>
      <c r="K1647" s="528" t="str">
        <f>IFERROR(VLOOKUP($B1647,'Clients-Live'!$A:$C,3,0),"")</f>
        <v/>
      </c>
      <c r="L1647" s="528">
        <f>IF(E1647="STL",Pricing!$D$38,IF(A1647="",0,IF(A1647&lt;Pricing!$C$25,Pricing!$D$25,VLOOKUP(Disbursements!$F1647,Pricing!$B$29:$D$32,3))))</f>
        <v>0</v>
      </c>
      <c r="M1647" s="528">
        <f>IF(E1647="STL",0,IF(F1647&gt;0,Pricing!$D$21,0))</f>
        <v>0</v>
      </c>
      <c r="N1647" s="529">
        <f>IF(E1647="STL",F1647*Pricing!$D$40,IF(A1647&lt;=Pricing!$C$4,0,IF(AND(A1647&gt;Pricing!$C$4,Disbursements!A1647&lt;=Pricing!$C$5),F1647*Pricing!$E$5,IF(AND(A1647&gt;Pricing!$C$5,Disbursements!A1647&lt;=Pricing!$C$7),VLOOKUP(F1647,Pricing!$D$7:$E$8,2)*Disbursements!F1647,F1647*Pricing!$E$9))))</f>
        <v>0</v>
      </c>
      <c r="O1647" s="528">
        <f>IF(E1647="STL",0,IF($F1647&gt;0,$F1647*Pricing!$D$17,0))</f>
        <v>0</v>
      </c>
      <c r="P1647" s="530" t="str">
        <f t="shared" si="672"/>
        <v/>
      </c>
      <c r="Q1647" s="531" t="str">
        <f>IF($A1647="","",$G1647/VLOOKUP($I1647,Ref!$B$23:$D$29,2,0))</f>
        <v/>
      </c>
      <c r="R1647" s="530" t="str">
        <f t="shared" si="673"/>
        <v/>
      </c>
      <c r="S1647" s="532" t="str">
        <f t="shared" si="667"/>
        <v/>
      </c>
      <c r="T1647" s="531" t="str">
        <f t="shared" si="674"/>
        <v/>
      </c>
      <c r="U1647" s="533">
        <f t="shared" si="675"/>
        <v>0</v>
      </c>
      <c r="V1647" s="531" t="str">
        <f t="shared" si="676"/>
        <v/>
      </c>
      <c r="W1647" s="531" t="str">
        <f t="shared" si="677"/>
        <v/>
      </c>
      <c r="X1647" s="534" t="str">
        <f t="shared" si="678"/>
        <v/>
      </c>
      <c r="Y1647" s="535" t="str">
        <f>IF($A1647="","",IF($I1647="weekly",$A1647+7,EDATE($A1647,VLOOKUP($I1647,Ref!$B$24:$C$29,2,0))))</f>
        <v/>
      </c>
      <c r="Z1647" s="536" t="str">
        <f t="shared" si="679"/>
        <v/>
      </c>
      <c r="AA1647" s="531">
        <f t="shared" si="680"/>
        <v>0</v>
      </c>
      <c r="AB1647" s="535" t="str">
        <f t="shared" si="668"/>
        <v/>
      </c>
      <c r="AC1647" s="537" t="str">
        <f t="shared" si="669"/>
        <v/>
      </c>
      <c r="AD1647" s="538" t="str">
        <f t="shared" ca="1" si="670"/>
        <v/>
      </c>
      <c r="AE1647" s="537">
        <f t="shared" ca="1" si="671"/>
        <v>0</v>
      </c>
      <c r="AF1647" s="539" t="str">
        <f t="shared" ca="1" si="681"/>
        <v/>
      </c>
      <c r="AG1647" s="531" t="str">
        <f t="shared" ca="1" si="682"/>
        <v/>
      </c>
      <c r="AH1647" s="531" t="str">
        <f t="shared" ca="1" si="683"/>
        <v/>
      </c>
      <c r="AI1647" s="531" t="str">
        <f t="shared" ca="1" si="684"/>
        <v/>
      </c>
      <c r="AJ1647" s="531" t="str">
        <f t="shared" si="685"/>
        <v/>
      </c>
      <c r="AK1647" s="540">
        <f>SUMIFS('Live Collections'!$S:$S,'Live Collections'!$D:$D,Disbursements!B1647,'Live Collections'!$G:$G,Disbursements!C1647)</f>
        <v>0</v>
      </c>
      <c r="AL1647" s="540">
        <f>SUMIFS('Live Collections'!$T:$T,'Live Collections'!$D:$D,Disbursements!B1647,'Live Collections'!$G:$G,Disbursements!C1647)</f>
        <v>0</v>
      </c>
      <c r="AM1647" s="541">
        <f t="shared" si="686"/>
        <v>0</v>
      </c>
      <c r="AN1647" s="542" t="str">
        <f t="shared" si="687"/>
        <v/>
      </c>
      <c r="AO1647" s="542" t="str">
        <f t="shared" si="688"/>
        <v/>
      </c>
      <c r="AP1647" s="543" t="str">
        <f t="shared" si="689"/>
        <v/>
      </c>
      <c r="AQ1647" s="544" t="str">
        <f t="shared" si="690"/>
        <v/>
      </c>
      <c r="AR1647" s="545">
        <f t="shared" si="691"/>
        <v>0</v>
      </c>
      <c r="AS1647" s="545">
        <f>IFERROR(CEILING($AR1647*VLOOKUP($I1647,Ref!$B$23:$E$29,4,0),1),0)</f>
        <v>0</v>
      </c>
      <c r="AT1647" s="545" t="str">
        <f>IF(A1647="","",IF(AP1647&lt;=1,"Cleared",IF(AS1647=0,"Clean",VLOOKUP($AS1647,Ref!$G$23:$H$28,2))))</f>
        <v/>
      </c>
      <c r="AU1647" s="546" t="str">
        <f t="shared" si="692"/>
        <v/>
      </c>
    </row>
    <row r="1648" spans="1:47" ht="14.25" hidden="1" customHeight="1" x14ac:dyDescent="0.15">
      <c r="A1648" s="575"/>
      <c r="B1648" s="548"/>
      <c r="C1648" s="548"/>
      <c r="D1648" s="548"/>
      <c r="E1648" s="583"/>
      <c r="F1648" s="584"/>
      <c r="G1648" s="548"/>
      <c r="H1648" s="550"/>
      <c r="I1648" s="560"/>
      <c r="J1648" s="548"/>
      <c r="K1648" s="528" t="str">
        <f>IFERROR(VLOOKUP($B1648,'Clients-Live'!$A:$C,3,0),"")</f>
        <v/>
      </c>
      <c r="L1648" s="528">
        <f>IF(E1648="STL",Pricing!$D$38,IF(A1648="",0,IF(A1648&lt;Pricing!$C$25,Pricing!$D$25,VLOOKUP(Disbursements!$F1648,Pricing!$B$29:$D$32,3))))</f>
        <v>0</v>
      </c>
      <c r="M1648" s="528">
        <f>IF(E1648="STL",0,IF(F1648&gt;0,Pricing!$D$21,0))</f>
        <v>0</v>
      </c>
      <c r="N1648" s="529">
        <f>IF(E1648="STL",F1648*Pricing!$D$40,IF(A1648&lt;=Pricing!$C$4,0,IF(AND(A1648&gt;Pricing!$C$4,Disbursements!A1648&lt;=Pricing!$C$5),F1648*Pricing!$E$5,IF(AND(A1648&gt;Pricing!$C$5,Disbursements!A1648&lt;=Pricing!$C$7),VLOOKUP(F1648,Pricing!$D$7:$E$8,2)*Disbursements!F1648,F1648*Pricing!$E$9))))</f>
        <v>0</v>
      </c>
      <c r="O1648" s="528">
        <f>IF(E1648="STL",0,IF($F1648&gt;0,$F1648*Pricing!$D$17,0))</f>
        <v>0</v>
      </c>
      <c r="P1648" s="530" t="str">
        <f t="shared" si="672"/>
        <v/>
      </c>
      <c r="Q1648" s="531" t="str">
        <f>IF($A1648="","",$G1648/VLOOKUP($I1648,Ref!$B$23:$D$29,2,0))</f>
        <v/>
      </c>
      <c r="R1648" s="530" t="str">
        <f t="shared" si="673"/>
        <v/>
      </c>
      <c r="S1648" s="532" t="str">
        <f t="shared" si="667"/>
        <v/>
      </c>
      <c r="T1648" s="531" t="str">
        <f t="shared" si="674"/>
        <v/>
      </c>
      <c r="U1648" s="533">
        <f t="shared" si="675"/>
        <v>0</v>
      </c>
      <c r="V1648" s="531" t="str">
        <f t="shared" si="676"/>
        <v/>
      </c>
      <c r="W1648" s="531" t="str">
        <f t="shared" si="677"/>
        <v/>
      </c>
      <c r="X1648" s="534" t="str">
        <f t="shared" si="678"/>
        <v/>
      </c>
      <c r="Y1648" s="535" t="str">
        <f>IF($A1648="","",IF($I1648="weekly",$A1648+7,EDATE($A1648,VLOOKUP($I1648,Ref!$B$24:$C$29,2,0))))</f>
        <v/>
      </c>
      <c r="Z1648" s="536" t="str">
        <f t="shared" si="679"/>
        <v/>
      </c>
      <c r="AA1648" s="531">
        <f t="shared" si="680"/>
        <v>0</v>
      </c>
      <c r="AB1648" s="535" t="str">
        <f t="shared" si="668"/>
        <v/>
      </c>
      <c r="AC1648" s="537" t="str">
        <f t="shared" si="669"/>
        <v/>
      </c>
      <c r="AD1648" s="538" t="str">
        <f t="shared" ca="1" si="670"/>
        <v/>
      </c>
      <c r="AE1648" s="537">
        <f t="shared" ca="1" si="671"/>
        <v>0</v>
      </c>
      <c r="AF1648" s="539" t="str">
        <f t="shared" ca="1" si="681"/>
        <v/>
      </c>
      <c r="AG1648" s="531" t="str">
        <f t="shared" ca="1" si="682"/>
        <v/>
      </c>
      <c r="AH1648" s="531" t="str">
        <f t="shared" ca="1" si="683"/>
        <v/>
      </c>
      <c r="AI1648" s="531" t="str">
        <f t="shared" ca="1" si="684"/>
        <v/>
      </c>
      <c r="AJ1648" s="531" t="str">
        <f t="shared" si="685"/>
        <v/>
      </c>
      <c r="AK1648" s="540">
        <f>SUMIFS('Live Collections'!$S:$S,'Live Collections'!$D:$D,Disbursements!B1648,'Live Collections'!$G:$G,Disbursements!C1648)</f>
        <v>0</v>
      </c>
      <c r="AL1648" s="540">
        <f>SUMIFS('Live Collections'!$T:$T,'Live Collections'!$D:$D,Disbursements!B1648,'Live Collections'!$G:$G,Disbursements!C1648)</f>
        <v>0</v>
      </c>
      <c r="AM1648" s="541">
        <f t="shared" si="686"/>
        <v>0</v>
      </c>
      <c r="AN1648" s="542" t="str">
        <f t="shared" si="687"/>
        <v/>
      </c>
      <c r="AO1648" s="542" t="str">
        <f t="shared" si="688"/>
        <v/>
      </c>
      <c r="AP1648" s="543" t="str">
        <f t="shared" si="689"/>
        <v/>
      </c>
      <c r="AQ1648" s="544" t="str">
        <f t="shared" si="690"/>
        <v/>
      </c>
      <c r="AR1648" s="545">
        <f t="shared" si="691"/>
        <v>0</v>
      </c>
      <c r="AS1648" s="545">
        <f>IFERROR(CEILING($AR1648*VLOOKUP($I1648,Ref!$B$23:$E$29,4,0),1),0)</f>
        <v>0</v>
      </c>
      <c r="AT1648" s="545" t="str">
        <f>IF(A1648="","",IF(AP1648&lt;=1,"Cleared",IF(AS1648=0,"Clean",VLOOKUP($AS1648,Ref!$G$23:$H$28,2))))</f>
        <v/>
      </c>
      <c r="AU1648" s="546" t="str">
        <f t="shared" si="692"/>
        <v/>
      </c>
    </row>
    <row r="1649" spans="1:47" ht="14.25" hidden="1" customHeight="1" x14ac:dyDescent="0.15">
      <c r="A1649" s="575"/>
      <c r="B1649" s="548"/>
      <c r="C1649" s="548"/>
      <c r="D1649" s="548"/>
      <c r="E1649" s="583"/>
      <c r="F1649" s="584"/>
      <c r="G1649" s="548"/>
      <c r="H1649" s="550"/>
      <c r="I1649" s="560"/>
      <c r="J1649" s="548"/>
      <c r="K1649" s="528" t="str">
        <f>IFERROR(VLOOKUP($B1649,'Clients-Live'!$A:$C,3,0),"")</f>
        <v/>
      </c>
      <c r="L1649" s="528">
        <f>IF(E1649="STL",Pricing!$D$38,IF(A1649="",0,IF(A1649&lt;Pricing!$C$25,Pricing!$D$25,VLOOKUP(Disbursements!$F1649,Pricing!$B$29:$D$32,3))))</f>
        <v>0</v>
      </c>
      <c r="M1649" s="528">
        <f>IF(E1649="STL",0,IF(F1649&gt;0,Pricing!$D$21,0))</f>
        <v>0</v>
      </c>
      <c r="N1649" s="529">
        <f>IF(E1649="STL",F1649*Pricing!$D$40,IF(A1649&lt;=Pricing!$C$4,0,IF(AND(A1649&gt;Pricing!$C$4,Disbursements!A1649&lt;=Pricing!$C$5),F1649*Pricing!$E$5,IF(AND(A1649&gt;Pricing!$C$5,Disbursements!A1649&lt;=Pricing!$C$7),VLOOKUP(F1649,Pricing!$D$7:$E$8,2)*Disbursements!F1649,F1649*Pricing!$E$9))))</f>
        <v>0</v>
      </c>
      <c r="O1649" s="528">
        <f>IF(E1649="STL",0,IF($F1649&gt;0,$F1649*Pricing!$D$17,0))</f>
        <v>0</v>
      </c>
      <c r="P1649" s="530" t="str">
        <f t="shared" si="672"/>
        <v/>
      </c>
      <c r="Q1649" s="531" t="str">
        <f>IF($A1649="","",$G1649/VLOOKUP($I1649,Ref!$B$23:$D$29,2,0))</f>
        <v/>
      </c>
      <c r="R1649" s="530" t="str">
        <f t="shared" si="673"/>
        <v/>
      </c>
      <c r="S1649" s="532" t="str">
        <f t="shared" si="667"/>
        <v/>
      </c>
      <c r="T1649" s="531" t="str">
        <f t="shared" si="674"/>
        <v/>
      </c>
      <c r="U1649" s="533">
        <f t="shared" si="675"/>
        <v>0</v>
      </c>
      <c r="V1649" s="531" t="str">
        <f t="shared" si="676"/>
        <v/>
      </c>
      <c r="W1649" s="531" t="str">
        <f t="shared" si="677"/>
        <v/>
      </c>
      <c r="X1649" s="534" t="str">
        <f t="shared" si="678"/>
        <v/>
      </c>
      <c r="Y1649" s="535" t="str">
        <f>IF($A1649="","",IF($I1649="weekly",$A1649+7,EDATE($A1649,VLOOKUP($I1649,Ref!$B$24:$C$29,2,0))))</f>
        <v/>
      </c>
      <c r="Z1649" s="536" t="str">
        <f t="shared" si="679"/>
        <v/>
      </c>
      <c r="AA1649" s="531">
        <f t="shared" si="680"/>
        <v>0</v>
      </c>
      <c r="AB1649" s="535" t="str">
        <f t="shared" si="668"/>
        <v/>
      </c>
      <c r="AC1649" s="537" t="str">
        <f t="shared" si="669"/>
        <v/>
      </c>
      <c r="AD1649" s="538" t="str">
        <f t="shared" ca="1" si="670"/>
        <v/>
      </c>
      <c r="AE1649" s="537">
        <f t="shared" ca="1" si="671"/>
        <v>0</v>
      </c>
      <c r="AF1649" s="539" t="str">
        <f t="shared" ca="1" si="681"/>
        <v/>
      </c>
      <c r="AG1649" s="531" t="str">
        <f t="shared" ca="1" si="682"/>
        <v/>
      </c>
      <c r="AH1649" s="531" t="str">
        <f t="shared" ca="1" si="683"/>
        <v/>
      </c>
      <c r="AI1649" s="531" t="str">
        <f t="shared" ca="1" si="684"/>
        <v/>
      </c>
      <c r="AJ1649" s="531" t="str">
        <f t="shared" si="685"/>
        <v/>
      </c>
      <c r="AK1649" s="540">
        <f>SUMIFS('Live Collections'!$S:$S,'Live Collections'!$D:$D,Disbursements!B1649,'Live Collections'!$G:$G,Disbursements!C1649)</f>
        <v>0</v>
      </c>
      <c r="AL1649" s="540">
        <f>SUMIFS('Live Collections'!$T:$T,'Live Collections'!$D:$D,Disbursements!B1649,'Live Collections'!$G:$G,Disbursements!C1649)</f>
        <v>0</v>
      </c>
      <c r="AM1649" s="541">
        <f t="shared" si="686"/>
        <v>0</v>
      </c>
      <c r="AN1649" s="542" t="str">
        <f t="shared" si="687"/>
        <v/>
      </c>
      <c r="AO1649" s="542" t="str">
        <f t="shared" si="688"/>
        <v/>
      </c>
      <c r="AP1649" s="543" t="str">
        <f t="shared" si="689"/>
        <v/>
      </c>
      <c r="AQ1649" s="544" t="str">
        <f t="shared" si="690"/>
        <v/>
      </c>
      <c r="AR1649" s="545">
        <f t="shared" si="691"/>
        <v>0</v>
      </c>
      <c r="AS1649" s="545">
        <f>IFERROR(CEILING($AR1649*VLOOKUP($I1649,Ref!$B$23:$E$29,4,0),1),0)</f>
        <v>0</v>
      </c>
      <c r="AT1649" s="545" t="str">
        <f>IF(A1649="","",IF(AP1649&lt;=1,"Cleared",IF(AS1649=0,"Clean",VLOOKUP($AS1649,Ref!$G$23:$H$28,2))))</f>
        <v/>
      </c>
      <c r="AU1649" s="546" t="str">
        <f t="shared" si="692"/>
        <v/>
      </c>
    </row>
    <row r="1650" spans="1:47" ht="14.25" hidden="1" customHeight="1" x14ac:dyDescent="0.15">
      <c r="A1650" s="575"/>
      <c r="B1650" s="548"/>
      <c r="C1650" s="548"/>
      <c r="D1650" s="548"/>
      <c r="E1650" s="583"/>
      <c r="F1650" s="584"/>
      <c r="G1650" s="548"/>
      <c r="H1650" s="550"/>
      <c r="I1650" s="560"/>
      <c r="J1650" s="548"/>
      <c r="K1650" s="528" t="str">
        <f>IFERROR(VLOOKUP($B1650,'Clients-Live'!$A:$C,3,0),"")</f>
        <v/>
      </c>
      <c r="L1650" s="528">
        <f>IF(E1650="STL",Pricing!$D$38,IF(A1650="",0,IF(A1650&lt;Pricing!$C$25,Pricing!$D$25,VLOOKUP(Disbursements!$F1650,Pricing!$B$29:$D$32,3))))</f>
        <v>0</v>
      </c>
      <c r="M1650" s="528">
        <f>IF(E1650="STL",0,IF(F1650&gt;0,Pricing!$D$21,0))</f>
        <v>0</v>
      </c>
      <c r="N1650" s="529">
        <f>IF(E1650="STL",F1650*Pricing!$D$40,IF(A1650&lt;=Pricing!$C$4,0,IF(AND(A1650&gt;Pricing!$C$4,Disbursements!A1650&lt;=Pricing!$C$5),F1650*Pricing!$E$5,IF(AND(A1650&gt;Pricing!$C$5,Disbursements!A1650&lt;=Pricing!$C$7),VLOOKUP(F1650,Pricing!$D$7:$E$8,2)*Disbursements!F1650,F1650*Pricing!$E$9))))</f>
        <v>0</v>
      </c>
      <c r="O1650" s="528">
        <f>IF(E1650="STL",0,IF($F1650&gt;0,$F1650*Pricing!$D$17,0))</f>
        <v>0</v>
      </c>
      <c r="P1650" s="530" t="str">
        <f t="shared" si="672"/>
        <v/>
      </c>
      <c r="Q1650" s="531" t="str">
        <f>IF($A1650="","",$G1650/VLOOKUP($I1650,Ref!$B$23:$D$29,2,0))</f>
        <v/>
      </c>
      <c r="R1650" s="530" t="str">
        <f t="shared" si="673"/>
        <v/>
      </c>
      <c r="S1650" s="532" t="str">
        <f t="shared" si="667"/>
        <v/>
      </c>
      <c r="T1650" s="531" t="str">
        <f t="shared" si="674"/>
        <v/>
      </c>
      <c r="U1650" s="533">
        <f t="shared" si="675"/>
        <v>0</v>
      </c>
      <c r="V1650" s="531" t="str">
        <f t="shared" si="676"/>
        <v/>
      </c>
      <c r="W1650" s="531" t="str">
        <f t="shared" si="677"/>
        <v/>
      </c>
      <c r="X1650" s="534" t="str">
        <f t="shared" si="678"/>
        <v/>
      </c>
      <c r="Y1650" s="535" t="str">
        <f>IF($A1650="","",IF($I1650="weekly",$A1650+7,EDATE($A1650,VLOOKUP($I1650,Ref!$B$24:$C$29,2,0))))</f>
        <v/>
      </c>
      <c r="Z1650" s="536" t="str">
        <f t="shared" si="679"/>
        <v/>
      </c>
      <c r="AA1650" s="531">
        <f t="shared" si="680"/>
        <v>0</v>
      </c>
      <c r="AB1650" s="535" t="str">
        <f t="shared" si="668"/>
        <v/>
      </c>
      <c r="AC1650" s="537" t="str">
        <f t="shared" si="669"/>
        <v/>
      </c>
      <c r="AD1650" s="538" t="str">
        <f t="shared" ca="1" si="670"/>
        <v/>
      </c>
      <c r="AE1650" s="537">
        <f t="shared" ca="1" si="671"/>
        <v>0</v>
      </c>
      <c r="AF1650" s="539" t="str">
        <f t="shared" ca="1" si="681"/>
        <v/>
      </c>
      <c r="AG1650" s="531" t="str">
        <f t="shared" ca="1" si="682"/>
        <v/>
      </c>
      <c r="AH1650" s="531" t="str">
        <f t="shared" ca="1" si="683"/>
        <v/>
      </c>
      <c r="AI1650" s="531" t="str">
        <f t="shared" ca="1" si="684"/>
        <v/>
      </c>
      <c r="AJ1650" s="531" t="str">
        <f t="shared" si="685"/>
        <v/>
      </c>
      <c r="AK1650" s="540">
        <f>SUMIFS('Live Collections'!$S:$S,'Live Collections'!$D:$D,Disbursements!B1650,'Live Collections'!$G:$G,Disbursements!C1650)</f>
        <v>0</v>
      </c>
      <c r="AL1650" s="540">
        <f>SUMIFS('Live Collections'!$T:$T,'Live Collections'!$D:$D,Disbursements!B1650,'Live Collections'!$G:$G,Disbursements!C1650)</f>
        <v>0</v>
      </c>
      <c r="AM1650" s="541">
        <f t="shared" si="686"/>
        <v>0</v>
      </c>
      <c r="AN1650" s="542" t="str">
        <f t="shared" si="687"/>
        <v/>
      </c>
      <c r="AO1650" s="542" t="str">
        <f t="shared" si="688"/>
        <v/>
      </c>
      <c r="AP1650" s="543" t="str">
        <f t="shared" si="689"/>
        <v/>
      </c>
      <c r="AQ1650" s="544" t="str">
        <f t="shared" si="690"/>
        <v/>
      </c>
      <c r="AR1650" s="545">
        <f t="shared" si="691"/>
        <v>0</v>
      </c>
      <c r="AS1650" s="545">
        <f>IFERROR(CEILING($AR1650*VLOOKUP($I1650,Ref!$B$23:$E$29,4,0),1),0)</f>
        <v>0</v>
      </c>
      <c r="AT1650" s="545" t="str">
        <f>IF(A1650="","",IF(AP1650&lt;=1,"Cleared",IF(AS1650=0,"Clean",VLOOKUP($AS1650,Ref!$G$23:$H$28,2))))</f>
        <v/>
      </c>
      <c r="AU1650" s="546" t="str">
        <f t="shared" si="692"/>
        <v/>
      </c>
    </row>
    <row r="1651" spans="1:47" ht="14.25" hidden="1" customHeight="1" x14ac:dyDescent="0.15">
      <c r="A1651" s="575"/>
      <c r="B1651" s="548"/>
      <c r="C1651" s="548"/>
      <c r="D1651" s="548"/>
      <c r="E1651" s="583"/>
      <c r="F1651" s="584"/>
      <c r="G1651" s="548"/>
      <c r="H1651" s="550"/>
      <c r="I1651" s="560"/>
      <c r="J1651" s="548"/>
      <c r="K1651" s="528" t="str">
        <f>IFERROR(VLOOKUP($B1651,'Clients-Live'!$A:$C,3,0),"")</f>
        <v/>
      </c>
      <c r="L1651" s="528">
        <f>IF(E1651="STL",Pricing!$D$38,IF(A1651="",0,IF(A1651&lt;Pricing!$C$25,Pricing!$D$25,VLOOKUP(Disbursements!$F1651,Pricing!$B$29:$D$32,3))))</f>
        <v>0</v>
      </c>
      <c r="M1651" s="528">
        <f>IF(E1651="STL",0,IF(F1651&gt;0,Pricing!$D$21,0))</f>
        <v>0</v>
      </c>
      <c r="N1651" s="529">
        <f>IF(E1651="STL",F1651*Pricing!$D$40,IF(A1651&lt;=Pricing!$C$4,0,IF(AND(A1651&gt;Pricing!$C$4,Disbursements!A1651&lt;=Pricing!$C$5),F1651*Pricing!$E$5,IF(AND(A1651&gt;Pricing!$C$5,Disbursements!A1651&lt;=Pricing!$C$7),VLOOKUP(F1651,Pricing!$D$7:$E$8,2)*Disbursements!F1651,F1651*Pricing!$E$9))))</f>
        <v>0</v>
      </c>
      <c r="O1651" s="528">
        <f>IF(E1651="STL",0,IF($F1651&gt;0,$F1651*Pricing!$D$17,0))</f>
        <v>0</v>
      </c>
      <c r="P1651" s="530" t="str">
        <f t="shared" si="672"/>
        <v/>
      </c>
      <c r="Q1651" s="531" t="str">
        <f>IF($A1651="","",$G1651/VLOOKUP($I1651,Ref!$B$23:$D$29,2,0))</f>
        <v/>
      </c>
      <c r="R1651" s="530" t="str">
        <f t="shared" si="673"/>
        <v/>
      </c>
      <c r="S1651" s="532" t="str">
        <f t="shared" si="667"/>
        <v/>
      </c>
      <c r="T1651" s="531" t="str">
        <f t="shared" si="674"/>
        <v/>
      </c>
      <c r="U1651" s="533">
        <f t="shared" si="675"/>
        <v>0</v>
      </c>
      <c r="V1651" s="531" t="str">
        <f t="shared" si="676"/>
        <v/>
      </c>
      <c r="W1651" s="531" t="str">
        <f t="shared" si="677"/>
        <v/>
      </c>
      <c r="X1651" s="534" t="str">
        <f t="shared" si="678"/>
        <v/>
      </c>
      <c r="Y1651" s="535" t="str">
        <f>IF($A1651="","",IF($I1651="weekly",$A1651+7,EDATE($A1651,VLOOKUP($I1651,Ref!$B$24:$C$29,2,0))))</f>
        <v/>
      </c>
      <c r="Z1651" s="536" t="str">
        <f t="shared" si="679"/>
        <v/>
      </c>
      <c r="AA1651" s="531">
        <f t="shared" si="680"/>
        <v>0</v>
      </c>
      <c r="AB1651" s="535" t="str">
        <f t="shared" si="668"/>
        <v/>
      </c>
      <c r="AC1651" s="537" t="str">
        <f t="shared" si="669"/>
        <v/>
      </c>
      <c r="AD1651" s="538" t="str">
        <f t="shared" ca="1" si="670"/>
        <v/>
      </c>
      <c r="AE1651" s="537">
        <f t="shared" ca="1" si="671"/>
        <v>0</v>
      </c>
      <c r="AF1651" s="539" t="str">
        <f t="shared" ca="1" si="681"/>
        <v/>
      </c>
      <c r="AG1651" s="531" t="str">
        <f t="shared" ca="1" si="682"/>
        <v/>
      </c>
      <c r="AH1651" s="531" t="str">
        <f t="shared" ca="1" si="683"/>
        <v/>
      </c>
      <c r="AI1651" s="531" t="str">
        <f t="shared" ca="1" si="684"/>
        <v/>
      </c>
      <c r="AJ1651" s="531" t="str">
        <f t="shared" si="685"/>
        <v/>
      </c>
      <c r="AK1651" s="540">
        <f>SUMIFS('Live Collections'!$S:$S,'Live Collections'!$D:$D,Disbursements!B1651,'Live Collections'!$G:$G,Disbursements!C1651)</f>
        <v>0</v>
      </c>
      <c r="AL1651" s="540">
        <f>SUMIFS('Live Collections'!$T:$T,'Live Collections'!$D:$D,Disbursements!B1651,'Live Collections'!$G:$G,Disbursements!C1651)</f>
        <v>0</v>
      </c>
      <c r="AM1651" s="541">
        <f t="shared" si="686"/>
        <v>0</v>
      </c>
      <c r="AN1651" s="542" t="str">
        <f t="shared" si="687"/>
        <v/>
      </c>
      <c r="AO1651" s="542" t="str">
        <f t="shared" si="688"/>
        <v/>
      </c>
      <c r="AP1651" s="543" t="str">
        <f t="shared" si="689"/>
        <v/>
      </c>
      <c r="AQ1651" s="544" t="str">
        <f t="shared" si="690"/>
        <v/>
      </c>
      <c r="AR1651" s="545">
        <f t="shared" si="691"/>
        <v>0</v>
      </c>
      <c r="AS1651" s="545">
        <f>IFERROR(CEILING($AR1651*VLOOKUP($I1651,Ref!$B$23:$E$29,4,0),1),0)</f>
        <v>0</v>
      </c>
      <c r="AT1651" s="545" t="str">
        <f>IF(A1651="","",IF(AP1651&lt;=1,"Cleared",IF(AS1651=0,"Clean",VLOOKUP($AS1651,Ref!$G$23:$H$28,2))))</f>
        <v/>
      </c>
      <c r="AU1651" s="546" t="str">
        <f t="shared" si="692"/>
        <v/>
      </c>
    </row>
    <row r="1652" spans="1:47" ht="14.25" hidden="1" customHeight="1" x14ac:dyDescent="0.15">
      <c r="A1652" s="575"/>
      <c r="B1652" s="548"/>
      <c r="C1652" s="548"/>
      <c r="D1652" s="548"/>
      <c r="E1652" s="583"/>
      <c r="F1652" s="584"/>
      <c r="G1652" s="548"/>
      <c r="H1652" s="550"/>
      <c r="I1652" s="560"/>
      <c r="J1652" s="548"/>
      <c r="K1652" s="528" t="str">
        <f>IFERROR(VLOOKUP($B1652,'Clients-Live'!$A:$C,3,0),"")</f>
        <v/>
      </c>
      <c r="L1652" s="528">
        <f>IF(E1652="STL",Pricing!$D$38,IF(A1652="",0,IF(A1652&lt;Pricing!$C$25,Pricing!$D$25,VLOOKUP(Disbursements!$F1652,Pricing!$B$29:$D$32,3))))</f>
        <v>0</v>
      </c>
      <c r="M1652" s="528">
        <f>IF(E1652="STL",0,IF(F1652&gt;0,Pricing!$D$21,0))</f>
        <v>0</v>
      </c>
      <c r="N1652" s="529">
        <f>IF(E1652="STL",F1652*Pricing!$D$40,IF(A1652&lt;=Pricing!$C$4,0,IF(AND(A1652&gt;Pricing!$C$4,Disbursements!A1652&lt;=Pricing!$C$5),F1652*Pricing!$E$5,IF(AND(A1652&gt;Pricing!$C$5,Disbursements!A1652&lt;=Pricing!$C$7),VLOOKUP(F1652,Pricing!$D$7:$E$8,2)*Disbursements!F1652,F1652*Pricing!$E$9))))</f>
        <v>0</v>
      </c>
      <c r="O1652" s="528">
        <f>IF(E1652="STL",0,IF($F1652&gt;0,$F1652*Pricing!$D$17,0))</f>
        <v>0</v>
      </c>
      <c r="P1652" s="530" t="str">
        <f t="shared" si="672"/>
        <v/>
      </c>
      <c r="Q1652" s="531" t="str">
        <f>IF($A1652="","",$G1652/VLOOKUP($I1652,Ref!$B$23:$D$29,2,0))</f>
        <v/>
      </c>
      <c r="R1652" s="530" t="str">
        <f t="shared" si="673"/>
        <v/>
      </c>
      <c r="S1652" s="532" t="str">
        <f t="shared" si="667"/>
        <v/>
      </c>
      <c r="T1652" s="531" t="str">
        <f t="shared" si="674"/>
        <v/>
      </c>
      <c r="U1652" s="533">
        <f t="shared" si="675"/>
        <v>0</v>
      </c>
      <c r="V1652" s="531" t="str">
        <f t="shared" si="676"/>
        <v/>
      </c>
      <c r="W1652" s="531" t="str">
        <f t="shared" si="677"/>
        <v/>
      </c>
      <c r="X1652" s="534" t="str">
        <f t="shared" si="678"/>
        <v/>
      </c>
      <c r="Y1652" s="535" t="str">
        <f>IF($A1652="","",IF($I1652="weekly",$A1652+7,EDATE($A1652,VLOOKUP($I1652,Ref!$B$24:$C$29,2,0))))</f>
        <v/>
      </c>
      <c r="Z1652" s="536" t="str">
        <f t="shared" si="679"/>
        <v/>
      </c>
      <c r="AA1652" s="531">
        <f t="shared" si="680"/>
        <v>0</v>
      </c>
      <c r="AB1652" s="535" t="str">
        <f t="shared" si="668"/>
        <v/>
      </c>
      <c r="AC1652" s="537" t="str">
        <f t="shared" si="669"/>
        <v/>
      </c>
      <c r="AD1652" s="538" t="str">
        <f t="shared" ca="1" si="670"/>
        <v/>
      </c>
      <c r="AE1652" s="537">
        <f t="shared" ca="1" si="671"/>
        <v>0</v>
      </c>
      <c r="AF1652" s="539" t="str">
        <f t="shared" ca="1" si="681"/>
        <v/>
      </c>
      <c r="AG1652" s="531" t="str">
        <f t="shared" ca="1" si="682"/>
        <v/>
      </c>
      <c r="AH1652" s="531" t="str">
        <f t="shared" ca="1" si="683"/>
        <v/>
      </c>
      <c r="AI1652" s="531" t="str">
        <f t="shared" ca="1" si="684"/>
        <v/>
      </c>
      <c r="AJ1652" s="531" t="str">
        <f t="shared" si="685"/>
        <v/>
      </c>
      <c r="AK1652" s="540">
        <f>SUMIFS('Live Collections'!$S:$S,'Live Collections'!$D:$D,Disbursements!B1652,'Live Collections'!$G:$G,Disbursements!C1652)</f>
        <v>0</v>
      </c>
      <c r="AL1652" s="540">
        <f>SUMIFS('Live Collections'!$T:$T,'Live Collections'!$D:$D,Disbursements!B1652,'Live Collections'!$G:$G,Disbursements!C1652)</f>
        <v>0</v>
      </c>
      <c r="AM1652" s="541">
        <f t="shared" si="686"/>
        <v>0</v>
      </c>
      <c r="AN1652" s="542" t="str">
        <f t="shared" si="687"/>
        <v/>
      </c>
      <c r="AO1652" s="542" t="str">
        <f t="shared" si="688"/>
        <v/>
      </c>
      <c r="AP1652" s="543" t="str">
        <f t="shared" si="689"/>
        <v/>
      </c>
      <c r="AQ1652" s="544" t="str">
        <f t="shared" si="690"/>
        <v/>
      </c>
      <c r="AR1652" s="545">
        <f t="shared" si="691"/>
        <v>0</v>
      </c>
      <c r="AS1652" s="545">
        <f>IFERROR(CEILING($AR1652*VLOOKUP($I1652,Ref!$B$23:$E$29,4,0),1),0)</f>
        <v>0</v>
      </c>
      <c r="AT1652" s="545" t="str">
        <f>IF(A1652="","",IF(AP1652&lt;=1,"Cleared",IF(AS1652=0,"Clean",VLOOKUP($AS1652,Ref!$G$23:$H$28,2))))</f>
        <v/>
      </c>
      <c r="AU1652" s="546" t="str">
        <f t="shared" si="692"/>
        <v/>
      </c>
    </row>
    <row r="1653" spans="1:47" ht="14.25" hidden="1" customHeight="1" x14ac:dyDescent="0.15">
      <c r="A1653" s="575"/>
      <c r="B1653" s="548"/>
      <c r="C1653" s="548"/>
      <c r="D1653" s="548"/>
      <c r="E1653" s="583"/>
      <c r="F1653" s="584"/>
      <c r="G1653" s="548"/>
      <c r="H1653" s="550"/>
      <c r="I1653" s="560"/>
      <c r="J1653" s="548"/>
      <c r="K1653" s="528" t="str">
        <f>IFERROR(VLOOKUP($B1653,'Clients-Live'!$A:$C,3,0),"")</f>
        <v/>
      </c>
      <c r="L1653" s="528">
        <f>IF(E1653="STL",Pricing!$D$38,IF(A1653="",0,IF(A1653&lt;Pricing!$C$25,Pricing!$D$25,VLOOKUP(Disbursements!$F1653,Pricing!$B$29:$D$32,3))))</f>
        <v>0</v>
      </c>
      <c r="M1653" s="528">
        <f>IF(E1653="STL",0,IF(F1653&gt;0,Pricing!$D$21,0))</f>
        <v>0</v>
      </c>
      <c r="N1653" s="529">
        <f>IF(E1653="STL",F1653*Pricing!$D$40,IF(A1653&lt;=Pricing!$C$4,0,IF(AND(A1653&gt;Pricing!$C$4,Disbursements!A1653&lt;=Pricing!$C$5),F1653*Pricing!$E$5,IF(AND(A1653&gt;Pricing!$C$5,Disbursements!A1653&lt;=Pricing!$C$7),VLOOKUP(F1653,Pricing!$D$7:$E$8,2)*Disbursements!F1653,F1653*Pricing!$E$9))))</f>
        <v>0</v>
      </c>
      <c r="O1653" s="528">
        <f>IF(E1653="STL",0,IF($F1653&gt;0,$F1653*Pricing!$D$17,0))</f>
        <v>0</v>
      </c>
      <c r="P1653" s="530" t="str">
        <f t="shared" si="672"/>
        <v/>
      </c>
      <c r="Q1653" s="531" t="str">
        <f>IF($A1653="","",$G1653/VLOOKUP($I1653,Ref!$B$23:$D$29,2,0))</f>
        <v/>
      </c>
      <c r="R1653" s="530" t="str">
        <f t="shared" si="673"/>
        <v/>
      </c>
      <c r="S1653" s="532" t="str">
        <f t="shared" si="667"/>
        <v/>
      </c>
      <c r="T1653" s="531" t="str">
        <f t="shared" si="674"/>
        <v/>
      </c>
      <c r="U1653" s="533">
        <f t="shared" si="675"/>
        <v>0</v>
      </c>
      <c r="V1653" s="531" t="str">
        <f t="shared" si="676"/>
        <v/>
      </c>
      <c r="W1653" s="531" t="str">
        <f t="shared" si="677"/>
        <v/>
      </c>
      <c r="X1653" s="534" t="str">
        <f t="shared" si="678"/>
        <v/>
      </c>
      <c r="Y1653" s="535" t="str">
        <f>IF($A1653="","",IF($I1653="weekly",$A1653+7,EDATE($A1653,VLOOKUP($I1653,Ref!$B$24:$C$29,2,0))))</f>
        <v/>
      </c>
      <c r="Z1653" s="536" t="str">
        <f t="shared" si="679"/>
        <v/>
      </c>
      <c r="AA1653" s="531">
        <f t="shared" si="680"/>
        <v>0</v>
      </c>
      <c r="AB1653" s="535" t="str">
        <f t="shared" si="668"/>
        <v/>
      </c>
      <c r="AC1653" s="537" t="str">
        <f t="shared" si="669"/>
        <v/>
      </c>
      <c r="AD1653" s="538" t="str">
        <f t="shared" ca="1" si="670"/>
        <v/>
      </c>
      <c r="AE1653" s="537">
        <f t="shared" ca="1" si="671"/>
        <v>0</v>
      </c>
      <c r="AF1653" s="539" t="str">
        <f t="shared" ca="1" si="681"/>
        <v/>
      </c>
      <c r="AG1653" s="531" t="str">
        <f t="shared" ca="1" si="682"/>
        <v/>
      </c>
      <c r="AH1653" s="531" t="str">
        <f t="shared" ca="1" si="683"/>
        <v/>
      </c>
      <c r="AI1653" s="531" t="str">
        <f t="shared" ca="1" si="684"/>
        <v/>
      </c>
      <c r="AJ1653" s="531" t="str">
        <f t="shared" si="685"/>
        <v/>
      </c>
      <c r="AK1653" s="540">
        <f>SUMIFS('Live Collections'!$S:$S,'Live Collections'!$D:$D,Disbursements!B1653,'Live Collections'!$G:$G,Disbursements!C1653)</f>
        <v>0</v>
      </c>
      <c r="AL1653" s="540">
        <f>SUMIFS('Live Collections'!$T:$T,'Live Collections'!$D:$D,Disbursements!B1653,'Live Collections'!$G:$G,Disbursements!C1653)</f>
        <v>0</v>
      </c>
      <c r="AM1653" s="541">
        <f t="shared" si="686"/>
        <v>0</v>
      </c>
      <c r="AN1653" s="542" t="str">
        <f t="shared" si="687"/>
        <v/>
      </c>
      <c r="AO1653" s="542" t="str">
        <f t="shared" si="688"/>
        <v/>
      </c>
      <c r="AP1653" s="543" t="str">
        <f t="shared" si="689"/>
        <v/>
      </c>
      <c r="AQ1653" s="544" t="str">
        <f t="shared" si="690"/>
        <v/>
      </c>
      <c r="AR1653" s="545">
        <f t="shared" si="691"/>
        <v>0</v>
      </c>
      <c r="AS1653" s="545">
        <f>IFERROR(CEILING($AR1653*VLOOKUP($I1653,Ref!$B$23:$E$29,4,0),1),0)</f>
        <v>0</v>
      </c>
      <c r="AT1653" s="545" t="str">
        <f>IF(A1653="","",IF(AP1653&lt;=1,"Cleared",IF(AS1653=0,"Clean",VLOOKUP($AS1653,Ref!$G$23:$H$28,2))))</f>
        <v/>
      </c>
      <c r="AU1653" s="546" t="str">
        <f t="shared" si="692"/>
        <v/>
      </c>
    </row>
    <row r="1654" spans="1:47" ht="14.25" hidden="1" customHeight="1" x14ac:dyDescent="0.15">
      <c r="A1654" s="575"/>
      <c r="B1654" s="548"/>
      <c r="C1654" s="548"/>
      <c r="D1654" s="548"/>
      <c r="E1654" s="583"/>
      <c r="F1654" s="584"/>
      <c r="G1654" s="548"/>
      <c r="H1654" s="550"/>
      <c r="I1654" s="560"/>
      <c r="J1654" s="548"/>
      <c r="K1654" s="528" t="str">
        <f>IFERROR(VLOOKUP($B1654,'Clients-Live'!$A:$C,3,0),"")</f>
        <v/>
      </c>
      <c r="L1654" s="528">
        <f>IF(E1654="STL",Pricing!$D$38,IF(A1654="",0,IF(A1654&lt;Pricing!$C$25,Pricing!$D$25,VLOOKUP(Disbursements!$F1654,Pricing!$B$29:$D$32,3))))</f>
        <v>0</v>
      </c>
      <c r="M1654" s="528">
        <f>IF(E1654="STL",0,IF(F1654&gt;0,Pricing!$D$21,0))</f>
        <v>0</v>
      </c>
      <c r="N1654" s="529">
        <f>IF(E1654="STL",F1654*Pricing!$D$40,IF(A1654&lt;=Pricing!$C$4,0,IF(AND(A1654&gt;Pricing!$C$4,Disbursements!A1654&lt;=Pricing!$C$5),F1654*Pricing!$E$5,IF(AND(A1654&gt;Pricing!$C$5,Disbursements!A1654&lt;=Pricing!$C$7),VLOOKUP(F1654,Pricing!$D$7:$E$8,2)*Disbursements!F1654,F1654*Pricing!$E$9))))</f>
        <v>0</v>
      </c>
      <c r="O1654" s="528">
        <f>IF(E1654="STL",0,IF($F1654&gt;0,$F1654*Pricing!$D$17,0))</f>
        <v>0</v>
      </c>
      <c r="P1654" s="530" t="str">
        <f t="shared" si="672"/>
        <v/>
      </c>
      <c r="Q1654" s="531" t="str">
        <f>IF($A1654="","",$G1654/VLOOKUP($I1654,Ref!$B$23:$D$29,2,0))</f>
        <v/>
      </c>
      <c r="R1654" s="530" t="str">
        <f t="shared" si="673"/>
        <v/>
      </c>
      <c r="S1654" s="532" t="str">
        <f t="shared" si="667"/>
        <v/>
      </c>
      <c r="T1654" s="531" t="str">
        <f t="shared" si="674"/>
        <v/>
      </c>
      <c r="U1654" s="533">
        <f t="shared" si="675"/>
        <v>0</v>
      </c>
      <c r="V1654" s="531" t="str">
        <f t="shared" si="676"/>
        <v/>
      </c>
      <c r="W1654" s="531" t="str">
        <f t="shared" si="677"/>
        <v/>
      </c>
      <c r="X1654" s="534" t="str">
        <f t="shared" si="678"/>
        <v/>
      </c>
      <c r="Y1654" s="535" t="str">
        <f>IF($A1654="","",IF($I1654="weekly",$A1654+7,EDATE($A1654,VLOOKUP($I1654,Ref!$B$24:$C$29,2,0))))</f>
        <v/>
      </c>
      <c r="Z1654" s="536" t="str">
        <f t="shared" si="679"/>
        <v/>
      </c>
      <c r="AA1654" s="531">
        <f t="shared" si="680"/>
        <v>0</v>
      </c>
      <c r="AB1654" s="535" t="str">
        <f t="shared" si="668"/>
        <v/>
      </c>
      <c r="AC1654" s="537" t="str">
        <f t="shared" si="669"/>
        <v/>
      </c>
      <c r="AD1654" s="538" t="str">
        <f t="shared" ca="1" si="670"/>
        <v/>
      </c>
      <c r="AE1654" s="537">
        <f t="shared" ca="1" si="671"/>
        <v>0</v>
      </c>
      <c r="AF1654" s="539" t="str">
        <f t="shared" ca="1" si="681"/>
        <v/>
      </c>
      <c r="AG1654" s="531" t="str">
        <f t="shared" ca="1" si="682"/>
        <v/>
      </c>
      <c r="AH1654" s="531" t="str">
        <f t="shared" ca="1" si="683"/>
        <v/>
      </c>
      <c r="AI1654" s="531" t="str">
        <f t="shared" ca="1" si="684"/>
        <v/>
      </c>
      <c r="AJ1654" s="531" t="str">
        <f t="shared" si="685"/>
        <v/>
      </c>
      <c r="AK1654" s="540">
        <f>SUMIFS('Live Collections'!$S:$S,'Live Collections'!$D:$D,Disbursements!B1654,'Live Collections'!$G:$G,Disbursements!C1654)</f>
        <v>0</v>
      </c>
      <c r="AL1654" s="540">
        <f>SUMIFS('Live Collections'!$T:$T,'Live Collections'!$D:$D,Disbursements!B1654,'Live Collections'!$G:$G,Disbursements!C1654)</f>
        <v>0</v>
      </c>
      <c r="AM1654" s="541">
        <f t="shared" si="686"/>
        <v>0</v>
      </c>
      <c r="AN1654" s="542" t="str">
        <f t="shared" si="687"/>
        <v/>
      </c>
      <c r="AO1654" s="542" t="str">
        <f t="shared" si="688"/>
        <v/>
      </c>
      <c r="AP1654" s="543" t="str">
        <f t="shared" si="689"/>
        <v/>
      </c>
      <c r="AQ1654" s="544" t="str">
        <f t="shared" si="690"/>
        <v/>
      </c>
      <c r="AR1654" s="545">
        <f t="shared" si="691"/>
        <v>0</v>
      </c>
      <c r="AS1654" s="545">
        <f>IFERROR(CEILING($AR1654*VLOOKUP($I1654,Ref!$B$23:$E$29,4,0),1),0)</f>
        <v>0</v>
      </c>
      <c r="AT1654" s="545" t="str">
        <f>IF(A1654="","",IF(AP1654&lt;=1,"Cleared",IF(AS1654=0,"Clean",VLOOKUP($AS1654,Ref!$G$23:$H$28,2))))</f>
        <v/>
      </c>
      <c r="AU1654" s="546" t="str">
        <f t="shared" si="692"/>
        <v/>
      </c>
    </row>
    <row r="1655" spans="1:47" ht="14.25" hidden="1" customHeight="1" x14ac:dyDescent="0.15">
      <c r="A1655" s="575"/>
      <c r="B1655" s="548"/>
      <c r="C1655" s="548"/>
      <c r="D1655" s="548"/>
      <c r="E1655" s="583"/>
      <c r="F1655" s="584"/>
      <c r="G1655" s="548"/>
      <c r="H1655" s="550"/>
      <c r="I1655" s="560"/>
      <c r="J1655" s="548"/>
      <c r="K1655" s="528" t="str">
        <f>IFERROR(VLOOKUP($B1655,'Clients-Live'!$A:$C,3,0),"")</f>
        <v/>
      </c>
      <c r="L1655" s="528">
        <f>IF(E1655="STL",Pricing!$D$38,IF(A1655="",0,IF(A1655&lt;Pricing!$C$25,Pricing!$D$25,VLOOKUP(Disbursements!$F1655,Pricing!$B$29:$D$32,3))))</f>
        <v>0</v>
      </c>
      <c r="M1655" s="528">
        <f>IF(E1655="STL",0,IF(F1655&gt;0,Pricing!$D$21,0))</f>
        <v>0</v>
      </c>
      <c r="N1655" s="529">
        <f>IF(E1655="STL",F1655*Pricing!$D$40,IF(A1655&lt;=Pricing!$C$4,0,IF(AND(A1655&gt;Pricing!$C$4,Disbursements!A1655&lt;=Pricing!$C$5),F1655*Pricing!$E$5,IF(AND(A1655&gt;Pricing!$C$5,Disbursements!A1655&lt;=Pricing!$C$7),VLOOKUP(F1655,Pricing!$D$7:$E$8,2)*Disbursements!F1655,F1655*Pricing!$E$9))))</f>
        <v>0</v>
      </c>
      <c r="O1655" s="528">
        <f>IF(E1655="STL",0,IF($F1655&gt;0,$F1655*Pricing!$D$17,0))</f>
        <v>0</v>
      </c>
      <c r="P1655" s="530" t="str">
        <f t="shared" si="672"/>
        <v/>
      </c>
      <c r="Q1655" s="531" t="str">
        <f>IF($A1655="","",$G1655/VLOOKUP($I1655,Ref!$B$23:$D$29,2,0))</f>
        <v/>
      </c>
      <c r="R1655" s="530" t="str">
        <f t="shared" si="673"/>
        <v/>
      </c>
      <c r="S1655" s="532" t="str">
        <f t="shared" si="667"/>
        <v/>
      </c>
      <c r="T1655" s="531" t="str">
        <f t="shared" si="674"/>
        <v/>
      </c>
      <c r="U1655" s="533">
        <f t="shared" si="675"/>
        <v>0</v>
      </c>
      <c r="V1655" s="531" t="str">
        <f t="shared" si="676"/>
        <v/>
      </c>
      <c r="W1655" s="531" t="str">
        <f t="shared" si="677"/>
        <v/>
      </c>
      <c r="X1655" s="534" t="str">
        <f t="shared" si="678"/>
        <v/>
      </c>
      <c r="Y1655" s="535" t="str">
        <f>IF($A1655="","",IF($I1655="weekly",$A1655+7,EDATE($A1655,VLOOKUP($I1655,Ref!$B$24:$C$29,2,0))))</f>
        <v/>
      </c>
      <c r="Z1655" s="536" t="str">
        <f t="shared" si="679"/>
        <v/>
      </c>
      <c r="AA1655" s="531">
        <f t="shared" si="680"/>
        <v>0</v>
      </c>
      <c r="AB1655" s="535" t="str">
        <f t="shared" si="668"/>
        <v/>
      </c>
      <c r="AC1655" s="537" t="str">
        <f t="shared" si="669"/>
        <v/>
      </c>
      <c r="AD1655" s="538" t="str">
        <f t="shared" ca="1" si="670"/>
        <v/>
      </c>
      <c r="AE1655" s="537">
        <f t="shared" ca="1" si="671"/>
        <v>0</v>
      </c>
      <c r="AF1655" s="539" t="str">
        <f t="shared" ca="1" si="681"/>
        <v/>
      </c>
      <c r="AG1655" s="531" t="str">
        <f t="shared" ca="1" si="682"/>
        <v/>
      </c>
      <c r="AH1655" s="531" t="str">
        <f t="shared" ca="1" si="683"/>
        <v/>
      </c>
      <c r="AI1655" s="531" t="str">
        <f t="shared" ca="1" si="684"/>
        <v/>
      </c>
      <c r="AJ1655" s="531" t="str">
        <f t="shared" si="685"/>
        <v/>
      </c>
      <c r="AK1655" s="540">
        <f>SUMIFS('Live Collections'!$S:$S,'Live Collections'!$D:$D,Disbursements!B1655,'Live Collections'!$G:$G,Disbursements!C1655)</f>
        <v>0</v>
      </c>
      <c r="AL1655" s="540">
        <f>SUMIFS('Live Collections'!$T:$T,'Live Collections'!$D:$D,Disbursements!B1655,'Live Collections'!$G:$G,Disbursements!C1655)</f>
        <v>0</v>
      </c>
      <c r="AM1655" s="541">
        <f t="shared" si="686"/>
        <v>0</v>
      </c>
      <c r="AN1655" s="542" t="str">
        <f t="shared" si="687"/>
        <v/>
      </c>
      <c r="AO1655" s="542" t="str">
        <f t="shared" si="688"/>
        <v/>
      </c>
      <c r="AP1655" s="543" t="str">
        <f t="shared" si="689"/>
        <v/>
      </c>
      <c r="AQ1655" s="544" t="str">
        <f t="shared" si="690"/>
        <v/>
      </c>
      <c r="AR1655" s="545">
        <f t="shared" si="691"/>
        <v>0</v>
      </c>
      <c r="AS1655" s="545">
        <f>IFERROR(CEILING($AR1655*VLOOKUP($I1655,Ref!$B$23:$E$29,4,0),1),0)</f>
        <v>0</v>
      </c>
      <c r="AT1655" s="545" t="str">
        <f>IF(A1655="","",IF(AP1655&lt;=1,"Cleared",IF(AS1655=0,"Clean",VLOOKUP($AS1655,Ref!$G$23:$H$28,2))))</f>
        <v/>
      </c>
      <c r="AU1655" s="546" t="str">
        <f t="shared" si="692"/>
        <v/>
      </c>
    </row>
    <row r="1656" spans="1:47" ht="14.25" hidden="1" customHeight="1" x14ac:dyDescent="0.15">
      <c r="A1656" s="575"/>
      <c r="B1656" s="548"/>
      <c r="C1656" s="548"/>
      <c r="D1656" s="548"/>
      <c r="E1656" s="583"/>
      <c r="F1656" s="584"/>
      <c r="G1656" s="548"/>
      <c r="H1656" s="550"/>
      <c r="I1656" s="560"/>
      <c r="J1656" s="548"/>
      <c r="K1656" s="528" t="str">
        <f>IFERROR(VLOOKUP($B1656,'Clients-Live'!$A:$C,3,0),"")</f>
        <v/>
      </c>
      <c r="L1656" s="528">
        <f>IF(E1656="STL",Pricing!$D$38,IF(A1656="",0,IF(A1656&lt;Pricing!$C$25,Pricing!$D$25,VLOOKUP(Disbursements!$F1656,Pricing!$B$29:$D$32,3))))</f>
        <v>0</v>
      </c>
      <c r="M1656" s="528">
        <f>IF(E1656="STL",0,IF(F1656&gt;0,Pricing!$D$21,0))</f>
        <v>0</v>
      </c>
      <c r="N1656" s="529">
        <f>IF(E1656="STL",F1656*Pricing!$D$40,IF(A1656&lt;=Pricing!$C$4,0,IF(AND(A1656&gt;Pricing!$C$4,Disbursements!A1656&lt;=Pricing!$C$5),F1656*Pricing!$E$5,IF(AND(A1656&gt;Pricing!$C$5,Disbursements!A1656&lt;=Pricing!$C$7),VLOOKUP(F1656,Pricing!$D$7:$E$8,2)*Disbursements!F1656,F1656*Pricing!$E$9))))</f>
        <v>0</v>
      </c>
      <c r="O1656" s="528">
        <f>IF(E1656="STL",0,IF($F1656&gt;0,$F1656*Pricing!$D$17,0))</f>
        <v>0</v>
      </c>
      <c r="P1656" s="530" t="str">
        <f t="shared" si="672"/>
        <v/>
      </c>
      <c r="Q1656" s="531" t="str">
        <f>IF($A1656="","",$G1656/VLOOKUP($I1656,Ref!$B$23:$D$29,2,0))</f>
        <v/>
      </c>
      <c r="R1656" s="530" t="str">
        <f t="shared" si="673"/>
        <v/>
      </c>
      <c r="S1656" s="532" t="str">
        <f t="shared" si="667"/>
        <v/>
      </c>
      <c r="T1656" s="531" t="str">
        <f t="shared" si="674"/>
        <v/>
      </c>
      <c r="U1656" s="533">
        <f t="shared" si="675"/>
        <v>0</v>
      </c>
      <c r="V1656" s="531" t="str">
        <f t="shared" si="676"/>
        <v/>
      </c>
      <c r="W1656" s="531" t="str">
        <f t="shared" si="677"/>
        <v/>
      </c>
      <c r="X1656" s="534" t="str">
        <f t="shared" si="678"/>
        <v/>
      </c>
      <c r="Y1656" s="535" t="str">
        <f>IF($A1656="","",IF($I1656="weekly",$A1656+7,EDATE($A1656,VLOOKUP($I1656,Ref!$B$24:$C$29,2,0))))</f>
        <v/>
      </c>
      <c r="Z1656" s="536" t="str">
        <f t="shared" si="679"/>
        <v/>
      </c>
      <c r="AA1656" s="531">
        <f t="shared" si="680"/>
        <v>0</v>
      </c>
      <c r="AB1656" s="535" t="str">
        <f t="shared" si="668"/>
        <v/>
      </c>
      <c r="AC1656" s="537" t="str">
        <f t="shared" si="669"/>
        <v/>
      </c>
      <c r="AD1656" s="538" t="str">
        <f t="shared" ca="1" si="670"/>
        <v/>
      </c>
      <c r="AE1656" s="537">
        <f t="shared" ca="1" si="671"/>
        <v>0</v>
      </c>
      <c r="AF1656" s="539" t="str">
        <f t="shared" ca="1" si="681"/>
        <v/>
      </c>
      <c r="AG1656" s="531" t="str">
        <f t="shared" ca="1" si="682"/>
        <v/>
      </c>
      <c r="AH1656" s="531" t="str">
        <f t="shared" ca="1" si="683"/>
        <v/>
      </c>
      <c r="AI1656" s="531" t="str">
        <f t="shared" ca="1" si="684"/>
        <v/>
      </c>
      <c r="AJ1656" s="531" t="str">
        <f t="shared" si="685"/>
        <v/>
      </c>
      <c r="AK1656" s="540">
        <f>SUMIFS('Live Collections'!$S:$S,'Live Collections'!$D:$D,Disbursements!B1656,'Live Collections'!$G:$G,Disbursements!C1656)</f>
        <v>0</v>
      </c>
      <c r="AL1656" s="540">
        <f>SUMIFS('Live Collections'!$T:$T,'Live Collections'!$D:$D,Disbursements!B1656,'Live Collections'!$G:$G,Disbursements!C1656)</f>
        <v>0</v>
      </c>
      <c r="AM1656" s="541">
        <f t="shared" si="686"/>
        <v>0</v>
      </c>
      <c r="AN1656" s="542" t="str">
        <f t="shared" si="687"/>
        <v/>
      </c>
      <c r="AO1656" s="542" t="str">
        <f t="shared" si="688"/>
        <v/>
      </c>
      <c r="AP1656" s="543" t="str">
        <f t="shared" si="689"/>
        <v/>
      </c>
      <c r="AQ1656" s="544" t="str">
        <f t="shared" si="690"/>
        <v/>
      </c>
      <c r="AR1656" s="545">
        <f t="shared" si="691"/>
        <v>0</v>
      </c>
      <c r="AS1656" s="545">
        <f>IFERROR(CEILING($AR1656*VLOOKUP($I1656,Ref!$B$23:$E$29,4,0),1),0)</f>
        <v>0</v>
      </c>
      <c r="AT1656" s="545" t="str">
        <f>IF(A1656="","",IF(AP1656&lt;=1,"Cleared",IF(AS1656=0,"Clean",VLOOKUP($AS1656,Ref!$G$23:$H$28,2))))</f>
        <v/>
      </c>
      <c r="AU1656" s="546" t="str">
        <f t="shared" si="692"/>
        <v/>
      </c>
    </row>
    <row r="1657" spans="1:47" ht="14.25" hidden="1" customHeight="1" x14ac:dyDescent="0.15">
      <c r="A1657" s="575"/>
      <c r="B1657" s="548"/>
      <c r="C1657" s="548"/>
      <c r="D1657" s="548"/>
      <c r="E1657" s="583"/>
      <c r="F1657" s="584"/>
      <c r="G1657" s="548"/>
      <c r="H1657" s="550"/>
      <c r="I1657" s="560"/>
      <c r="J1657" s="548"/>
      <c r="K1657" s="528" t="str">
        <f>IFERROR(VLOOKUP($B1657,'Clients-Live'!$A:$C,3,0),"")</f>
        <v/>
      </c>
      <c r="L1657" s="528">
        <f>IF(E1657="STL",Pricing!$D$38,IF(A1657="",0,IF(A1657&lt;Pricing!$C$25,Pricing!$D$25,VLOOKUP(Disbursements!$F1657,Pricing!$B$29:$D$32,3))))</f>
        <v>0</v>
      </c>
      <c r="M1657" s="528">
        <f>IF(E1657="STL",0,IF(F1657&gt;0,Pricing!$D$21,0))</f>
        <v>0</v>
      </c>
      <c r="N1657" s="529">
        <f>IF(E1657="STL",F1657*Pricing!$D$40,IF(A1657&lt;=Pricing!$C$4,0,IF(AND(A1657&gt;Pricing!$C$4,Disbursements!A1657&lt;=Pricing!$C$5),F1657*Pricing!$E$5,IF(AND(A1657&gt;Pricing!$C$5,Disbursements!A1657&lt;=Pricing!$C$7),VLOOKUP(F1657,Pricing!$D$7:$E$8,2)*Disbursements!F1657,F1657*Pricing!$E$9))))</f>
        <v>0</v>
      </c>
      <c r="O1657" s="528">
        <f>IF(E1657="STL",0,IF($F1657&gt;0,$F1657*Pricing!$D$17,0))</f>
        <v>0</v>
      </c>
      <c r="P1657" s="530" t="str">
        <f t="shared" si="672"/>
        <v/>
      </c>
      <c r="Q1657" s="531" t="str">
        <f>IF($A1657="","",$G1657/VLOOKUP($I1657,Ref!$B$23:$D$29,2,0))</f>
        <v/>
      </c>
      <c r="R1657" s="530" t="str">
        <f t="shared" si="673"/>
        <v/>
      </c>
      <c r="S1657" s="532" t="str">
        <f t="shared" si="667"/>
        <v/>
      </c>
      <c r="T1657" s="531" t="str">
        <f t="shared" si="674"/>
        <v/>
      </c>
      <c r="U1657" s="533">
        <f t="shared" si="675"/>
        <v>0</v>
      </c>
      <c r="V1657" s="531" t="str">
        <f t="shared" si="676"/>
        <v/>
      </c>
      <c r="W1657" s="531" t="str">
        <f t="shared" si="677"/>
        <v/>
      </c>
      <c r="X1657" s="534" t="str">
        <f t="shared" si="678"/>
        <v/>
      </c>
      <c r="Y1657" s="535" t="str">
        <f>IF($A1657="","",IF($I1657="weekly",$A1657+7,EDATE($A1657,VLOOKUP($I1657,Ref!$B$24:$C$29,2,0))))</f>
        <v/>
      </c>
      <c r="Z1657" s="536" t="str">
        <f t="shared" si="679"/>
        <v/>
      </c>
      <c r="AA1657" s="531">
        <f t="shared" si="680"/>
        <v>0</v>
      </c>
      <c r="AB1657" s="535" t="str">
        <f t="shared" si="668"/>
        <v/>
      </c>
      <c r="AC1657" s="537" t="str">
        <f t="shared" si="669"/>
        <v/>
      </c>
      <c r="AD1657" s="538" t="str">
        <f t="shared" ca="1" si="670"/>
        <v/>
      </c>
      <c r="AE1657" s="537">
        <f t="shared" ca="1" si="671"/>
        <v>0</v>
      </c>
      <c r="AF1657" s="539" t="str">
        <f t="shared" ca="1" si="681"/>
        <v/>
      </c>
      <c r="AG1657" s="531" t="str">
        <f t="shared" ca="1" si="682"/>
        <v/>
      </c>
      <c r="AH1657" s="531" t="str">
        <f t="shared" ca="1" si="683"/>
        <v/>
      </c>
      <c r="AI1657" s="531" t="str">
        <f t="shared" ca="1" si="684"/>
        <v/>
      </c>
      <c r="AJ1657" s="531" t="str">
        <f t="shared" si="685"/>
        <v/>
      </c>
      <c r="AK1657" s="540">
        <f>SUMIFS('Live Collections'!$S:$S,'Live Collections'!$D:$D,Disbursements!B1657,'Live Collections'!$G:$G,Disbursements!C1657)</f>
        <v>0</v>
      </c>
      <c r="AL1657" s="540">
        <f>SUMIFS('Live Collections'!$T:$T,'Live Collections'!$D:$D,Disbursements!B1657,'Live Collections'!$G:$G,Disbursements!C1657)</f>
        <v>0</v>
      </c>
      <c r="AM1657" s="541">
        <f t="shared" si="686"/>
        <v>0</v>
      </c>
      <c r="AN1657" s="542" t="str">
        <f t="shared" si="687"/>
        <v/>
      </c>
      <c r="AO1657" s="542" t="str">
        <f t="shared" si="688"/>
        <v/>
      </c>
      <c r="AP1657" s="543" t="str">
        <f t="shared" si="689"/>
        <v/>
      </c>
      <c r="AQ1657" s="544" t="str">
        <f t="shared" si="690"/>
        <v/>
      </c>
      <c r="AR1657" s="545">
        <f t="shared" si="691"/>
        <v>0</v>
      </c>
      <c r="AS1657" s="545">
        <f>IFERROR(CEILING($AR1657*VLOOKUP($I1657,Ref!$B$23:$E$29,4,0),1),0)</f>
        <v>0</v>
      </c>
      <c r="AT1657" s="545" t="str">
        <f>IF(A1657="","",IF(AP1657&lt;=1,"Cleared",IF(AS1657=0,"Clean",VLOOKUP($AS1657,Ref!$G$23:$H$28,2))))</f>
        <v/>
      </c>
      <c r="AU1657" s="546" t="str">
        <f t="shared" si="692"/>
        <v/>
      </c>
    </row>
    <row r="1658" spans="1:47" ht="14.25" hidden="1" customHeight="1" x14ac:dyDescent="0.15">
      <c r="A1658" s="575"/>
      <c r="B1658" s="548"/>
      <c r="C1658" s="548"/>
      <c r="D1658" s="548"/>
      <c r="E1658" s="583"/>
      <c r="F1658" s="584"/>
      <c r="G1658" s="548"/>
      <c r="H1658" s="550"/>
      <c r="I1658" s="560"/>
      <c r="J1658" s="548"/>
      <c r="K1658" s="528" t="str">
        <f>IFERROR(VLOOKUP($B1658,'Clients-Live'!$A:$C,3,0),"")</f>
        <v/>
      </c>
      <c r="L1658" s="528">
        <f>IF(E1658="STL",Pricing!$D$38,IF(A1658="",0,IF(A1658&lt;Pricing!$C$25,Pricing!$D$25,VLOOKUP(Disbursements!$F1658,Pricing!$B$29:$D$32,3))))</f>
        <v>0</v>
      </c>
      <c r="M1658" s="528">
        <f>IF(E1658="STL",0,IF(F1658&gt;0,Pricing!$D$21,0))</f>
        <v>0</v>
      </c>
      <c r="N1658" s="529">
        <f>IF(E1658="STL",F1658*Pricing!$D$40,IF(A1658&lt;=Pricing!$C$4,0,IF(AND(A1658&gt;Pricing!$C$4,Disbursements!A1658&lt;=Pricing!$C$5),F1658*Pricing!$E$5,IF(AND(A1658&gt;Pricing!$C$5,Disbursements!A1658&lt;=Pricing!$C$7),VLOOKUP(F1658,Pricing!$D$7:$E$8,2)*Disbursements!F1658,F1658*Pricing!$E$9))))</f>
        <v>0</v>
      </c>
      <c r="O1658" s="528">
        <f>IF(E1658="STL",0,IF($F1658&gt;0,$F1658*Pricing!$D$17,0))</f>
        <v>0</v>
      </c>
      <c r="P1658" s="530" t="str">
        <f t="shared" si="672"/>
        <v/>
      </c>
      <c r="Q1658" s="531" t="str">
        <f>IF($A1658="","",$G1658/VLOOKUP($I1658,Ref!$B$23:$D$29,2,0))</f>
        <v/>
      </c>
      <c r="R1658" s="530" t="str">
        <f t="shared" si="673"/>
        <v/>
      </c>
      <c r="S1658" s="532" t="str">
        <f t="shared" si="667"/>
        <v/>
      </c>
      <c r="T1658" s="531" t="str">
        <f t="shared" si="674"/>
        <v/>
      </c>
      <c r="U1658" s="533">
        <f t="shared" si="675"/>
        <v>0</v>
      </c>
      <c r="V1658" s="531" t="str">
        <f t="shared" si="676"/>
        <v/>
      </c>
      <c r="W1658" s="531" t="str">
        <f t="shared" si="677"/>
        <v/>
      </c>
      <c r="X1658" s="534" t="str">
        <f t="shared" si="678"/>
        <v/>
      </c>
      <c r="Y1658" s="535" t="str">
        <f>IF($A1658="","",IF($I1658="weekly",$A1658+7,EDATE($A1658,VLOOKUP($I1658,Ref!$B$24:$C$29,2,0))))</f>
        <v/>
      </c>
      <c r="Z1658" s="536" t="str">
        <f t="shared" si="679"/>
        <v/>
      </c>
      <c r="AA1658" s="531">
        <f t="shared" si="680"/>
        <v>0</v>
      </c>
      <c r="AB1658" s="535" t="str">
        <f t="shared" si="668"/>
        <v/>
      </c>
      <c r="AC1658" s="537" t="str">
        <f t="shared" si="669"/>
        <v/>
      </c>
      <c r="AD1658" s="538" t="str">
        <f t="shared" ca="1" si="670"/>
        <v/>
      </c>
      <c r="AE1658" s="537">
        <f t="shared" ca="1" si="671"/>
        <v>0</v>
      </c>
      <c r="AF1658" s="539" t="str">
        <f t="shared" ca="1" si="681"/>
        <v/>
      </c>
      <c r="AG1658" s="531" t="str">
        <f t="shared" ca="1" si="682"/>
        <v/>
      </c>
      <c r="AH1658" s="531" t="str">
        <f t="shared" ca="1" si="683"/>
        <v/>
      </c>
      <c r="AI1658" s="531" t="str">
        <f t="shared" ca="1" si="684"/>
        <v/>
      </c>
      <c r="AJ1658" s="531" t="str">
        <f t="shared" si="685"/>
        <v/>
      </c>
      <c r="AK1658" s="540">
        <f>SUMIFS('Live Collections'!$S:$S,'Live Collections'!$D:$D,Disbursements!B1658,'Live Collections'!$G:$G,Disbursements!C1658)</f>
        <v>0</v>
      </c>
      <c r="AL1658" s="540">
        <f>SUMIFS('Live Collections'!$T:$T,'Live Collections'!$D:$D,Disbursements!B1658,'Live Collections'!$G:$G,Disbursements!C1658)</f>
        <v>0</v>
      </c>
      <c r="AM1658" s="541">
        <f t="shared" si="686"/>
        <v>0</v>
      </c>
      <c r="AN1658" s="542" t="str">
        <f t="shared" si="687"/>
        <v/>
      </c>
      <c r="AO1658" s="542" t="str">
        <f t="shared" si="688"/>
        <v/>
      </c>
      <c r="AP1658" s="543" t="str">
        <f t="shared" si="689"/>
        <v/>
      </c>
      <c r="AQ1658" s="544" t="str">
        <f t="shared" si="690"/>
        <v/>
      </c>
      <c r="AR1658" s="545">
        <f t="shared" si="691"/>
        <v>0</v>
      </c>
      <c r="AS1658" s="545">
        <f>IFERROR(CEILING($AR1658*VLOOKUP($I1658,Ref!$B$23:$E$29,4,0),1),0)</f>
        <v>0</v>
      </c>
      <c r="AT1658" s="545" t="str">
        <f>IF(A1658="","",IF(AP1658&lt;=1,"Cleared",IF(AS1658=0,"Clean",VLOOKUP($AS1658,Ref!$G$23:$H$28,2))))</f>
        <v/>
      </c>
      <c r="AU1658" s="546" t="str">
        <f t="shared" si="692"/>
        <v/>
      </c>
    </row>
    <row r="1659" spans="1:47" ht="14.25" hidden="1" customHeight="1" x14ac:dyDescent="0.15">
      <c r="A1659" s="575"/>
      <c r="B1659" s="548"/>
      <c r="C1659" s="548"/>
      <c r="D1659" s="548"/>
      <c r="E1659" s="583"/>
      <c r="F1659" s="584"/>
      <c r="G1659" s="548"/>
      <c r="H1659" s="550"/>
      <c r="I1659" s="560"/>
      <c r="J1659" s="548"/>
      <c r="K1659" s="528" t="str">
        <f>IFERROR(VLOOKUP($B1659,'Clients-Live'!$A:$C,3,0),"")</f>
        <v/>
      </c>
      <c r="L1659" s="528">
        <f>IF(E1659="STL",Pricing!$D$38,IF(A1659="",0,IF(A1659&lt;Pricing!$C$25,Pricing!$D$25,VLOOKUP(Disbursements!$F1659,Pricing!$B$29:$D$32,3))))</f>
        <v>0</v>
      </c>
      <c r="M1659" s="528">
        <f>IF(E1659="STL",0,IF(F1659&gt;0,Pricing!$D$21,0))</f>
        <v>0</v>
      </c>
      <c r="N1659" s="529">
        <f>IF(E1659="STL",F1659*Pricing!$D$40,IF(A1659&lt;=Pricing!$C$4,0,IF(AND(A1659&gt;Pricing!$C$4,Disbursements!A1659&lt;=Pricing!$C$5),F1659*Pricing!$E$5,IF(AND(A1659&gt;Pricing!$C$5,Disbursements!A1659&lt;=Pricing!$C$7),VLOOKUP(F1659,Pricing!$D$7:$E$8,2)*Disbursements!F1659,F1659*Pricing!$E$9))))</f>
        <v>0</v>
      </c>
      <c r="O1659" s="528">
        <f>IF(E1659="STL",0,IF($F1659&gt;0,$F1659*Pricing!$D$17,0))</f>
        <v>0</v>
      </c>
      <c r="P1659" s="530" t="str">
        <f t="shared" si="672"/>
        <v/>
      </c>
      <c r="Q1659" s="531" t="str">
        <f>IF($A1659="","",$G1659/VLOOKUP($I1659,Ref!$B$23:$D$29,2,0))</f>
        <v/>
      </c>
      <c r="R1659" s="530" t="str">
        <f t="shared" si="673"/>
        <v/>
      </c>
      <c r="S1659" s="532" t="str">
        <f t="shared" si="667"/>
        <v/>
      </c>
      <c r="T1659" s="531" t="str">
        <f t="shared" si="674"/>
        <v/>
      </c>
      <c r="U1659" s="533">
        <f t="shared" si="675"/>
        <v>0</v>
      </c>
      <c r="V1659" s="531" t="str">
        <f t="shared" si="676"/>
        <v/>
      </c>
      <c r="W1659" s="531" t="str">
        <f t="shared" si="677"/>
        <v/>
      </c>
      <c r="X1659" s="534" t="str">
        <f t="shared" si="678"/>
        <v/>
      </c>
      <c r="Y1659" s="535" t="str">
        <f>IF($A1659="","",IF($I1659="weekly",$A1659+7,EDATE($A1659,VLOOKUP($I1659,Ref!$B$24:$C$29,2,0))))</f>
        <v/>
      </c>
      <c r="Z1659" s="536" t="str">
        <f t="shared" si="679"/>
        <v/>
      </c>
      <c r="AA1659" s="531">
        <f t="shared" si="680"/>
        <v>0</v>
      </c>
      <c r="AB1659" s="535" t="str">
        <f t="shared" si="668"/>
        <v/>
      </c>
      <c r="AC1659" s="537" t="str">
        <f t="shared" si="669"/>
        <v/>
      </c>
      <c r="AD1659" s="538" t="str">
        <f t="shared" ca="1" si="670"/>
        <v/>
      </c>
      <c r="AE1659" s="537">
        <f t="shared" ca="1" si="671"/>
        <v>0</v>
      </c>
      <c r="AF1659" s="539" t="str">
        <f t="shared" ca="1" si="681"/>
        <v/>
      </c>
      <c r="AG1659" s="531" t="str">
        <f t="shared" ca="1" si="682"/>
        <v/>
      </c>
      <c r="AH1659" s="531" t="str">
        <f t="shared" ca="1" si="683"/>
        <v/>
      </c>
      <c r="AI1659" s="531" t="str">
        <f t="shared" ca="1" si="684"/>
        <v/>
      </c>
      <c r="AJ1659" s="531" t="str">
        <f t="shared" si="685"/>
        <v/>
      </c>
      <c r="AK1659" s="540">
        <f>SUMIFS('Live Collections'!$S:$S,'Live Collections'!$D:$D,Disbursements!B1659,'Live Collections'!$G:$G,Disbursements!C1659)</f>
        <v>0</v>
      </c>
      <c r="AL1659" s="540">
        <f>SUMIFS('Live Collections'!$T:$T,'Live Collections'!$D:$D,Disbursements!B1659,'Live Collections'!$G:$G,Disbursements!C1659)</f>
        <v>0</v>
      </c>
      <c r="AM1659" s="541">
        <f t="shared" si="686"/>
        <v>0</v>
      </c>
      <c r="AN1659" s="542" t="str">
        <f t="shared" si="687"/>
        <v/>
      </c>
      <c r="AO1659" s="542" t="str">
        <f t="shared" si="688"/>
        <v/>
      </c>
      <c r="AP1659" s="543" t="str">
        <f t="shared" si="689"/>
        <v/>
      </c>
      <c r="AQ1659" s="544" t="str">
        <f t="shared" si="690"/>
        <v/>
      </c>
      <c r="AR1659" s="545">
        <f t="shared" si="691"/>
        <v>0</v>
      </c>
      <c r="AS1659" s="545">
        <f>IFERROR(CEILING($AR1659*VLOOKUP($I1659,Ref!$B$23:$E$29,4,0),1),0)</f>
        <v>0</v>
      </c>
      <c r="AT1659" s="545" t="str">
        <f>IF(A1659="","",IF(AP1659&lt;=1,"Cleared",IF(AS1659=0,"Clean",VLOOKUP($AS1659,Ref!$G$23:$H$28,2))))</f>
        <v/>
      </c>
      <c r="AU1659" s="546" t="str">
        <f t="shared" si="692"/>
        <v/>
      </c>
    </row>
    <row r="1660" spans="1:47" ht="14.25" hidden="1" customHeight="1" x14ac:dyDescent="0.15">
      <c r="A1660" s="575"/>
      <c r="B1660" s="548"/>
      <c r="C1660" s="548"/>
      <c r="D1660" s="548"/>
      <c r="E1660" s="583"/>
      <c r="F1660" s="584"/>
      <c r="G1660" s="548"/>
      <c r="H1660" s="550"/>
      <c r="I1660" s="560"/>
      <c r="J1660" s="548"/>
      <c r="K1660" s="528" t="str">
        <f>IFERROR(VLOOKUP($B1660,'Clients-Live'!$A:$C,3,0),"")</f>
        <v/>
      </c>
      <c r="L1660" s="528">
        <f>IF(E1660="STL",Pricing!$D$38,IF(A1660="",0,IF(A1660&lt;Pricing!$C$25,Pricing!$D$25,VLOOKUP(Disbursements!$F1660,Pricing!$B$29:$D$32,3))))</f>
        <v>0</v>
      </c>
      <c r="M1660" s="528">
        <f>IF(E1660="STL",0,IF(F1660&gt;0,Pricing!$D$21,0))</f>
        <v>0</v>
      </c>
      <c r="N1660" s="529">
        <f>IF(E1660="STL",F1660*Pricing!$D$40,IF(A1660&lt;=Pricing!$C$4,0,IF(AND(A1660&gt;Pricing!$C$4,Disbursements!A1660&lt;=Pricing!$C$5),F1660*Pricing!$E$5,IF(AND(A1660&gt;Pricing!$C$5,Disbursements!A1660&lt;=Pricing!$C$7),VLOOKUP(F1660,Pricing!$D$7:$E$8,2)*Disbursements!F1660,F1660*Pricing!$E$9))))</f>
        <v>0</v>
      </c>
      <c r="O1660" s="528">
        <f>IF(E1660="STL",0,IF($F1660&gt;0,$F1660*Pricing!$D$17,0))</f>
        <v>0</v>
      </c>
      <c r="P1660" s="530" t="str">
        <f t="shared" si="672"/>
        <v/>
      </c>
      <c r="Q1660" s="531" t="str">
        <f>IF($A1660="","",$G1660/VLOOKUP($I1660,Ref!$B$23:$D$29,2,0))</f>
        <v/>
      </c>
      <c r="R1660" s="530" t="str">
        <f t="shared" si="673"/>
        <v/>
      </c>
      <c r="S1660" s="532" t="str">
        <f t="shared" si="667"/>
        <v/>
      </c>
      <c r="T1660" s="531" t="str">
        <f t="shared" si="674"/>
        <v/>
      </c>
      <c r="U1660" s="533">
        <f t="shared" si="675"/>
        <v>0</v>
      </c>
      <c r="V1660" s="531" t="str">
        <f t="shared" si="676"/>
        <v/>
      </c>
      <c r="W1660" s="531" t="str">
        <f t="shared" si="677"/>
        <v/>
      </c>
      <c r="X1660" s="534" t="str">
        <f t="shared" si="678"/>
        <v/>
      </c>
      <c r="Y1660" s="535" t="str">
        <f>IF($A1660="","",IF($I1660="weekly",$A1660+7,EDATE($A1660,VLOOKUP($I1660,Ref!$B$24:$C$29,2,0))))</f>
        <v/>
      </c>
      <c r="Z1660" s="536" t="str">
        <f t="shared" si="679"/>
        <v/>
      </c>
      <c r="AA1660" s="531">
        <f t="shared" si="680"/>
        <v>0</v>
      </c>
      <c r="AB1660" s="535" t="str">
        <f t="shared" si="668"/>
        <v/>
      </c>
      <c r="AC1660" s="537" t="str">
        <f t="shared" si="669"/>
        <v/>
      </c>
      <c r="AD1660" s="538" t="str">
        <f t="shared" ca="1" si="670"/>
        <v/>
      </c>
      <c r="AE1660" s="537">
        <f t="shared" ca="1" si="671"/>
        <v>0</v>
      </c>
      <c r="AF1660" s="539" t="str">
        <f t="shared" ca="1" si="681"/>
        <v/>
      </c>
      <c r="AG1660" s="531" t="str">
        <f t="shared" ca="1" si="682"/>
        <v/>
      </c>
      <c r="AH1660" s="531" t="str">
        <f t="shared" ca="1" si="683"/>
        <v/>
      </c>
      <c r="AI1660" s="531" t="str">
        <f t="shared" ca="1" si="684"/>
        <v/>
      </c>
      <c r="AJ1660" s="531" t="str">
        <f t="shared" si="685"/>
        <v/>
      </c>
      <c r="AK1660" s="540">
        <f>SUMIFS('Live Collections'!$S:$S,'Live Collections'!$D:$D,Disbursements!B1660,'Live Collections'!$G:$G,Disbursements!C1660)</f>
        <v>0</v>
      </c>
      <c r="AL1660" s="540">
        <f>SUMIFS('Live Collections'!$T:$T,'Live Collections'!$D:$D,Disbursements!B1660,'Live Collections'!$G:$G,Disbursements!C1660)</f>
        <v>0</v>
      </c>
      <c r="AM1660" s="541">
        <f t="shared" si="686"/>
        <v>0</v>
      </c>
      <c r="AN1660" s="542" t="str">
        <f t="shared" si="687"/>
        <v/>
      </c>
      <c r="AO1660" s="542" t="str">
        <f t="shared" si="688"/>
        <v/>
      </c>
      <c r="AP1660" s="543" t="str">
        <f t="shared" si="689"/>
        <v/>
      </c>
      <c r="AQ1660" s="544" t="str">
        <f t="shared" si="690"/>
        <v/>
      </c>
      <c r="AR1660" s="545">
        <f t="shared" si="691"/>
        <v>0</v>
      </c>
      <c r="AS1660" s="545">
        <f>IFERROR(CEILING($AR1660*VLOOKUP($I1660,Ref!$B$23:$E$29,4,0),1),0)</f>
        <v>0</v>
      </c>
      <c r="AT1660" s="545" t="str">
        <f>IF(A1660="","",IF(AP1660&lt;=1,"Cleared",IF(AS1660=0,"Clean",VLOOKUP($AS1660,Ref!$G$23:$H$28,2))))</f>
        <v/>
      </c>
      <c r="AU1660" s="546" t="str">
        <f t="shared" si="692"/>
        <v/>
      </c>
    </row>
    <row r="1661" spans="1:47" ht="14.25" hidden="1" customHeight="1" x14ac:dyDescent="0.15">
      <c r="A1661" s="575"/>
      <c r="B1661" s="548"/>
      <c r="C1661" s="548"/>
      <c r="D1661" s="548"/>
      <c r="E1661" s="583"/>
      <c r="F1661" s="584"/>
      <c r="G1661" s="548"/>
      <c r="H1661" s="550"/>
      <c r="I1661" s="560"/>
      <c r="J1661" s="548"/>
      <c r="K1661" s="528" t="str">
        <f>IFERROR(VLOOKUP($B1661,'Clients-Live'!$A:$C,3,0),"")</f>
        <v/>
      </c>
      <c r="L1661" s="528">
        <f>IF(E1661="STL",Pricing!$D$38,IF(A1661="",0,IF(A1661&lt;Pricing!$C$25,Pricing!$D$25,VLOOKUP(Disbursements!$F1661,Pricing!$B$29:$D$32,3))))</f>
        <v>0</v>
      </c>
      <c r="M1661" s="528">
        <f>IF(E1661="STL",0,IF(F1661&gt;0,Pricing!$D$21,0))</f>
        <v>0</v>
      </c>
      <c r="N1661" s="529">
        <f>IF(E1661="STL",F1661*Pricing!$D$40,IF(A1661&lt;=Pricing!$C$4,0,IF(AND(A1661&gt;Pricing!$C$4,Disbursements!A1661&lt;=Pricing!$C$5),F1661*Pricing!$E$5,IF(AND(A1661&gt;Pricing!$C$5,Disbursements!A1661&lt;=Pricing!$C$7),VLOOKUP(F1661,Pricing!$D$7:$E$8,2)*Disbursements!F1661,F1661*Pricing!$E$9))))</f>
        <v>0</v>
      </c>
      <c r="O1661" s="528">
        <f>IF(E1661="STL",0,IF($F1661&gt;0,$F1661*Pricing!$D$17,0))</f>
        <v>0</v>
      </c>
      <c r="P1661" s="530" t="str">
        <f t="shared" si="672"/>
        <v/>
      </c>
      <c r="Q1661" s="531" t="str">
        <f>IF($A1661="","",$G1661/VLOOKUP($I1661,Ref!$B$23:$D$29,2,0))</f>
        <v/>
      </c>
      <c r="R1661" s="530" t="str">
        <f t="shared" si="673"/>
        <v/>
      </c>
      <c r="S1661" s="532" t="str">
        <f t="shared" si="667"/>
        <v/>
      </c>
      <c r="T1661" s="531" t="str">
        <f t="shared" si="674"/>
        <v/>
      </c>
      <c r="U1661" s="533">
        <f t="shared" si="675"/>
        <v>0</v>
      </c>
      <c r="V1661" s="531" t="str">
        <f t="shared" si="676"/>
        <v/>
      </c>
      <c r="W1661" s="531" t="str">
        <f t="shared" si="677"/>
        <v/>
      </c>
      <c r="X1661" s="534" t="str">
        <f t="shared" si="678"/>
        <v/>
      </c>
      <c r="Y1661" s="535" t="str">
        <f>IF($A1661="","",IF($I1661="weekly",$A1661+7,EDATE($A1661,VLOOKUP($I1661,Ref!$B$24:$C$29,2,0))))</f>
        <v/>
      </c>
      <c r="Z1661" s="536" t="str">
        <f t="shared" si="679"/>
        <v/>
      </c>
      <c r="AA1661" s="531">
        <f t="shared" si="680"/>
        <v>0</v>
      </c>
      <c r="AB1661" s="535" t="str">
        <f t="shared" si="668"/>
        <v/>
      </c>
      <c r="AC1661" s="537" t="str">
        <f t="shared" si="669"/>
        <v/>
      </c>
      <c r="AD1661" s="538" t="str">
        <f t="shared" ca="1" si="670"/>
        <v/>
      </c>
      <c r="AE1661" s="537">
        <f t="shared" ca="1" si="671"/>
        <v>0</v>
      </c>
      <c r="AF1661" s="539" t="str">
        <f t="shared" ca="1" si="681"/>
        <v/>
      </c>
      <c r="AG1661" s="531" t="str">
        <f t="shared" ca="1" si="682"/>
        <v/>
      </c>
      <c r="AH1661" s="531" t="str">
        <f t="shared" ca="1" si="683"/>
        <v/>
      </c>
      <c r="AI1661" s="531" t="str">
        <f t="shared" ca="1" si="684"/>
        <v/>
      </c>
      <c r="AJ1661" s="531" t="str">
        <f t="shared" si="685"/>
        <v/>
      </c>
      <c r="AK1661" s="540">
        <f>SUMIFS('Live Collections'!$S:$S,'Live Collections'!$D:$D,Disbursements!B1661,'Live Collections'!$G:$G,Disbursements!C1661)</f>
        <v>0</v>
      </c>
      <c r="AL1661" s="540">
        <f>SUMIFS('Live Collections'!$T:$T,'Live Collections'!$D:$D,Disbursements!B1661,'Live Collections'!$G:$G,Disbursements!C1661)</f>
        <v>0</v>
      </c>
      <c r="AM1661" s="541">
        <f t="shared" si="686"/>
        <v>0</v>
      </c>
      <c r="AN1661" s="542" t="str">
        <f t="shared" si="687"/>
        <v/>
      </c>
      <c r="AO1661" s="542" t="str">
        <f t="shared" si="688"/>
        <v/>
      </c>
      <c r="AP1661" s="543" t="str">
        <f t="shared" si="689"/>
        <v/>
      </c>
      <c r="AQ1661" s="544" t="str">
        <f t="shared" si="690"/>
        <v/>
      </c>
      <c r="AR1661" s="545">
        <f t="shared" si="691"/>
        <v>0</v>
      </c>
      <c r="AS1661" s="545">
        <f>IFERROR(CEILING($AR1661*VLOOKUP($I1661,Ref!$B$23:$E$29,4,0),1),0)</f>
        <v>0</v>
      </c>
      <c r="AT1661" s="545" t="str">
        <f>IF(A1661="","",IF(AP1661&lt;=1,"Cleared",IF(AS1661=0,"Clean",VLOOKUP($AS1661,Ref!$G$23:$H$28,2))))</f>
        <v/>
      </c>
      <c r="AU1661" s="546" t="str">
        <f t="shared" si="692"/>
        <v/>
      </c>
    </row>
    <row r="1662" spans="1:47" ht="14.25" hidden="1" customHeight="1" x14ac:dyDescent="0.15">
      <c r="A1662" s="575"/>
      <c r="B1662" s="548"/>
      <c r="C1662" s="548"/>
      <c r="D1662" s="548"/>
      <c r="E1662" s="583"/>
      <c r="F1662" s="584"/>
      <c r="G1662" s="548"/>
      <c r="H1662" s="550"/>
      <c r="I1662" s="560"/>
      <c r="J1662" s="548"/>
      <c r="K1662" s="528" t="str">
        <f>IFERROR(VLOOKUP($B1662,'Clients-Live'!$A:$C,3,0),"")</f>
        <v/>
      </c>
      <c r="L1662" s="528">
        <f>IF(E1662="STL",Pricing!$D$38,IF(A1662="",0,IF(A1662&lt;Pricing!$C$25,Pricing!$D$25,VLOOKUP(Disbursements!$F1662,Pricing!$B$29:$D$32,3))))</f>
        <v>0</v>
      </c>
      <c r="M1662" s="528">
        <f>IF(E1662="STL",0,IF(F1662&gt;0,Pricing!$D$21,0))</f>
        <v>0</v>
      </c>
      <c r="N1662" s="529">
        <f>IF(E1662="STL",F1662*Pricing!$D$40,IF(A1662&lt;=Pricing!$C$4,0,IF(AND(A1662&gt;Pricing!$C$4,Disbursements!A1662&lt;=Pricing!$C$5),F1662*Pricing!$E$5,IF(AND(A1662&gt;Pricing!$C$5,Disbursements!A1662&lt;=Pricing!$C$7),VLOOKUP(F1662,Pricing!$D$7:$E$8,2)*Disbursements!F1662,F1662*Pricing!$E$9))))</f>
        <v>0</v>
      </c>
      <c r="O1662" s="528">
        <f>IF(E1662="STL",0,IF($F1662&gt;0,$F1662*Pricing!$D$17,0))</f>
        <v>0</v>
      </c>
      <c r="P1662" s="530" t="str">
        <f t="shared" si="672"/>
        <v/>
      </c>
      <c r="Q1662" s="531" t="str">
        <f>IF($A1662="","",$G1662/VLOOKUP($I1662,Ref!$B$23:$D$29,2,0))</f>
        <v/>
      </c>
      <c r="R1662" s="530" t="str">
        <f t="shared" si="673"/>
        <v/>
      </c>
      <c r="S1662" s="532" t="str">
        <f t="shared" si="667"/>
        <v/>
      </c>
      <c r="T1662" s="531" t="str">
        <f t="shared" si="674"/>
        <v/>
      </c>
      <c r="U1662" s="533">
        <f t="shared" si="675"/>
        <v>0</v>
      </c>
      <c r="V1662" s="531" t="str">
        <f t="shared" si="676"/>
        <v/>
      </c>
      <c r="W1662" s="531" t="str">
        <f t="shared" si="677"/>
        <v/>
      </c>
      <c r="X1662" s="534" t="str">
        <f t="shared" si="678"/>
        <v/>
      </c>
      <c r="Y1662" s="535" t="str">
        <f>IF($A1662="","",IF($I1662="weekly",$A1662+7,EDATE($A1662,VLOOKUP($I1662,Ref!$B$24:$C$29,2,0))))</f>
        <v/>
      </c>
      <c r="Z1662" s="536" t="str">
        <f t="shared" si="679"/>
        <v/>
      </c>
      <c r="AA1662" s="531">
        <f t="shared" si="680"/>
        <v>0</v>
      </c>
      <c r="AB1662" s="535" t="str">
        <f t="shared" si="668"/>
        <v/>
      </c>
      <c r="AC1662" s="537" t="str">
        <f t="shared" si="669"/>
        <v/>
      </c>
      <c r="AD1662" s="538" t="str">
        <f t="shared" ca="1" si="670"/>
        <v/>
      </c>
      <c r="AE1662" s="537">
        <f t="shared" ca="1" si="671"/>
        <v>0</v>
      </c>
      <c r="AF1662" s="539" t="str">
        <f t="shared" ca="1" si="681"/>
        <v/>
      </c>
      <c r="AG1662" s="531" t="str">
        <f t="shared" ca="1" si="682"/>
        <v/>
      </c>
      <c r="AH1662" s="531" t="str">
        <f t="shared" ca="1" si="683"/>
        <v/>
      </c>
      <c r="AI1662" s="531" t="str">
        <f t="shared" ca="1" si="684"/>
        <v/>
      </c>
      <c r="AJ1662" s="531" t="str">
        <f t="shared" si="685"/>
        <v/>
      </c>
      <c r="AK1662" s="540">
        <f>SUMIFS('Live Collections'!$S:$S,'Live Collections'!$D:$D,Disbursements!B1662,'Live Collections'!$G:$G,Disbursements!C1662)</f>
        <v>0</v>
      </c>
      <c r="AL1662" s="540">
        <f>SUMIFS('Live Collections'!$T:$T,'Live Collections'!$D:$D,Disbursements!B1662,'Live Collections'!$G:$G,Disbursements!C1662)</f>
        <v>0</v>
      </c>
      <c r="AM1662" s="541">
        <f t="shared" si="686"/>
        <v>0</v>
      </c>
      <c r="AN1662" s="542" t="str">
        <f t="shared" si="687"/>
        <v/>
      </c>
      <c r="AO1662" s="542" t="str">
        <f t="shared" si="688"/>
        <v/>
      </c>
      <c r="AP1662" s="543" t="str">
        <f t="shared" si="689"/>
        <v/>
      </c>
      <c r="AQ1662" s="544" t="str">
        <f t="shared" si="690"/>
        <v/>
      </c>
      <c r="AR1662" s="545">
        <f t="shared" si="691"/>
        <v>0</v>
      </c>
      <c r="AS1662" s="545">
        <f>IFERROR(CEILING($AR1662*VLOOKUP($I1662,Ref!$B$23:$E$29,4,0),1),0)</f>
        <v>0</v>
      </c>
      <c r="AT1662" s="545" t="str">
        <f>IF(A1662="","",IF(AP1662&lt;=1,"Cleared",IF(AS1662=0,"Clean",VLOOKUP($AS1662,Ref!$G$23:$H$28,2))))</f>
        <v/>
      </c>
      <c r="AU1662" s="546" t="str">
        <f t="shared" si="692"/>
        <v/>
      </c>
    </row>
    <row r="1663" spans="1:47" ht="14.25" hidden="1" customHeight="1" x14ac:dyDescent="0.15">
      <c r="A1663" s="575"/>
      <c r="B1663" s="548"/>
      <c r="C1663" s="548"/>
      <c r="D1663" s="548"/>
      <c r="E1663" s="583"/>
      <c r="F1663" s="584"/>
      <c r="G1663" s="548"/>
      <c r="H1663" s="550"/>
      <c r="I1663" s="560"/>
      <c r="J1663" s="548"/>
      <c r="K1663" s="528" t="str">
        <f>IFERROR(VLOOKUP($B1663,'Clients-Live'!$A:$C,3,0),"")</f>
        <v/>
      </c>
      <c r="L1663" s="528">
        <f>IF(E1663="STL",Pricing!$D$38,IF(A1663="",0,IF(A1663&lt;Pricing!$C$25,Pricing!$D$25,VLOOKUP(Disbursements!$F1663,Pricing!$B$29:$D$32,3))))</f>
        <v>0</v>
      </c>
      <c r="M1663" s="528">
        <f>IF(E1663="STL",0,IF(F1663&gt;0,Pricing!$D$21,0))</f>
        <v>0</v>
      </c>
      <c r="N1663" s="529">
        <f>IF(E1663="STL",F1663*Pricing!$D$40,IF(A1663&lt;=Pricing!$C$4,0,IF(AND(A1663&gt;Pricing!$C$4,Disbursements!A1663&lt;=Pricing!$C$5),F1663*Pricing!$E$5,IF(AND(A1663&gt;Pricing!$C$5,Disbursements!A1663&lt;=Pricing!$C$7),VLOOKUP(F1663,Pricing!$D$7:$E$8,2)*Disbursements!F1663,F1663*Pricing!$E$9))))</f>
        <v>0</v>
      </c>
      <c r="O1663" s="528">
        <f>IF(E1663="STL",0,IF($F1663&gt;0,$F1663*Pricing!$D$17,0))</f>
        <v>0</v>
      </c>
      <c r="P1663" s="530" t="str">
        <f t="shared" si="672"/>
        <v/>
      </c>
      <c r="Q1663" s="531" t="str">
        <f>IF($A1663="","",$G1663/VLOOKUP($I1663,Ref!$B$23:$D$29,2,0))</f>
        <v/>
      </c>
      <c r="R1663" s="530" t="str">
        <f t="shared" si="673"/>
        <v/>
      </c>
      <c r="S1663" s="532" t="str">
        <f t="shared" si="667"/>
        <v/>
      </c>
      <c r="T1663" s="531" t="str">
        <f t="shared" si="674"/>
        <v/>
      </c>
      <c r="U1663" s="533">
        <f t="shared" si="675"/>
        <v>0</v>
      </c>
      <c r="V1663" s="531" t="str">
        <f t="shared" si="676"/>
        <v/>
      </c>
      <c r="W1663" s="531" t="str">
        <f t="shared" si="677"/>
        <v/>
      </c>
      <c r="X1663" s="534" t="str">
        <f t="shared" si="678"/>
        <v/>
      </c>
      <c r="Y1663" s="535" t="str">
        <f>IF($A1663="","",IF($I1663="weekly",$A1663+7,EDATE($A1663,VLOOKUP($I1663,Ref!$B$24:$C$29,2,0))))</f>
        <v/>
      </c>
      <c r="Z1663" s="536" t="str">
        <f t="shared" si="679"/>
        <v/>
      </c>
      <c r="AA1663" s="531">
        <f t="shared" si="680"/>
        <v>0</v>
      </c>
      <c r="AB1663" s="535" t="str">
        <f t="shared" si="668"/>
        <v/>
      </c>
      <c r="AC1663" s="537" t="str">
        <f t="shared" si="669"/>
        <v/>
      </c>
      <c r="AD1663" s="538" t="str">
        <f t="shared" ca="1" si="670"/>
        <v/>
      </c>
      <c r="AE1663" s="537">
        <f t="shared" ca="1" si="671"/>
        <v>0</v>
      </c>
      <c r="AF1663" s="539" t="str">
        <f t="shared" ca="1" si="681"/>
        <v/>
      </c>
      <c r="AG1663" s="531" t="str">
        <f t="shared" ca="1" si="682"/>
        <v/>
      </c>
      <c r="AH1663" s="531" t="str">
        <f t="shared" ca="1" si="683"/>
        <v/>
      </c>
      <c r="AI1663" s="531" t="str">
        <f t="shared" ca="1" si="684"/>
        <v/>
      </c>
      <c r="AJ1663" s="531" t="str">
        <f t="shared" si="685"/>
        <v/>
      </c>
      <c r="AK1663" s="540">
        <f>SUMIFS('Live Collections'!$S:$S,'Live Collections'!$D:$D,Disbursements!B1663,'Live Collections'!$G:$G,Disbursements!C1663)</f>
        <v>0</v>
      </c>
      <c r="AL1663" s="540">
        <f>SUMIFS('Live Collections'!$T:$T,'Live Collections'!$D:$D,Disbursements!B1663,'Live Collections'!$G:$G,Disbursements!C1663)</f>
        <v>0</v>
      </c>
      <c r="AM1663" s="541">
        <f t="shared" si="686"/>
        <v>0</v>
      </c>
      <c r="AN1663" s="542" t="str">
        <f t="shared" si="687"/>
        <v/>
      </c>
      <c r="AO1663" s="542" t="str">
        <f t="shared" si="688"/>
        <v/>
      </c>
      <c r="AP1663" s="543" t="str">
        <f t="shared" si="689"/>
        <v/>
      </c>
      <c r="AQ1663" s="544" t="str">
        <f t="shared" si="690"/>
        <v/>
      </c>
      <c r="AR1663" s="545">
        <f t="shared" si="691"/>
        <v>0</v>
      </c>
      <c r="AS1663" s="545">
        <f>IFERROR(CEILING($AR1663*VLOOKUP($I1663,Ref!$B$23:$E$29,4,0),1),0)</f>
        <v>0</v>
      </c>
      <c r="AT1663" s="545" t="str">
        <f>IF(A1663="","",IF(AP1663&lt;=1,"Cleared",IF(AS1663=0,"Clean",VLOOKUP($AS1663,Ref!$G$23:$H$28,2))))</f>
        <v/>
      </c>
      <c r="AU1663" s="546" t="str">
        <f t="shared" si="692"/>
        <v/>
      </c>
    </row>
    <row r="1664" spans="1:47" ht="14.25" hidden="1" customHeight="1" x14ac:dyDescent="0.15">
      <c r="A1664" s="575"/>
      <c r="B1664" s="548"/>
      <c r="C1664" s="548"/>
      <c r="D1664" s="548"/>
      <c r="E1664" s="583"/>
      <c r="F1664" s="584"/>
      <c r="G1664" s="548"/>
      <c r="H1664" s="550"/>
      <c r="I1664" s="560"/>
      <c r="J1664" s="548"/>
      <c r="K1664" s="528" t="str">
        <f>IFERROR(VLOOKUP($B1664,'Clients-Live'!$A:$C,3,0),"")</f>
        <v/>
      </c>
      <c r="L1664" s="528">
        <f>IF(E1664="STL",Pricing!$D$38,IF(A1664="",0,IF(A1664&lt;Pricing!$C$25,Pricing!$D$25,VLOOKUP(Disbursements!$F1664,Pricing!$B$29:$D$32,3))))</f>
        <v>0</v>
      </c>
      <c r="M1664" s="528">
        <f>IF(E1664="STL",0,IF(F1664&gt;0,Pricing!$D$21,0))</f>
        <v>0</v>
      </c>
      <c r="N1664" s="529">
        <f>IF(E1664="STL",F1664*Pricing!$D$40,IF(A1664&lt;=Pricing!$C$4,0,IF(AND(A1664&gt;Pricing!$C$4,Disbursements!A1664&lt;=Pricing!$C$5),F1664*Pricing!$E$5,IF(AND(A1664&gt;Pricing!$C$5,Disbursements!A1664&lt;=Pricing!$C$7),VLOOKUP(F1664,Pricing!$D$7:$E$8,2)*Disbursements!F1664,F1664*Pricing!$E$9))))</f>
        <v>0</v>
      </c>
      <c r="O1664" s="528">
        <f>IF(E1664="STL",0,IF($F1664&gt;0,$F1664*Pricing!$D$17,0))</f>
        <v>0</v>
      </c>
      <c r="P1664" s="530" t="str">
        <f t="shared" si="672"/>
        <v/>
      </c>
      <c r="Q1664" s="531" t="str">
        <f>IF($A1664="","",$G1664/VLOOKUP($I1664,Ref!$B$23:$D$29,2,0))</f>
        <v/>
      </c>
      <c r="R1664" s="530" t="str">
        <f t="shared" si="673"/>
        <v/>
      </c>
      <c r="S1664" s="532" t="str">
        <f t="shared" si="667"/>
        <v/>
      </c>
      <c r="T1664" s="531" t="str">
        <f t="shared" si="674"/>
        <v/>
      </c>
      <c r="U1664" s="533">
        <f t="shared" si="675"/>
        <v>0</v>
      </c>
      <c r="V1664" s="531" t="str">
        <f t="shared" si="676"/>
        <v/>
      </c>
      <c r="W1664" s="531" t="str">
        <f t="shared" si="677"/>
        <v/>
      </c>
      <c r="X1664" s="534" t="str">
        <f t="shared" si="678"/>
        <v/>
      </c>
      <c r="Y1664" s="535" t="str">
        <f>IF($A1664="","",IF($I1664="weekly",$A1664+7,EDATE($A1664,VLOOKUP($I1664,Ref!$B$24:$C$29,2,0))))</f>
        <v/>
      </c>
      <c r="Z1664" s="536" t="str">
        <f t="shared" si="679"/>
        <v/>
      </c>
      <c r="AA1664" s="531">
        <f t="shared" si="680"/>
        <v>0</v>
      </c>
      <c r="AB1664" s="535" t="str">
        <f t="shared" si="668"/>
        <v/>
      </c>
      <c r="AC1664" s="537" t="str">
        <f t="shared" si="669"/>
        <v/>
      </c>
      <c r="AD1664" s="538" t="str">
        <f t="shared" ca="1" si="670"/>
        <v/>
      </c>
      <c r="AE1664" s="537">
        <f t="shared" ca="1" si="671"/>
        <v>0</v>
      </c>
      <c r="AF1664" s="539" t="str">
        <f t="shared" ca="1" si="681"/>
        <v/>
      </c>
      <c r="AG1664" s="531" t="str">
        <f t="shared" ca="1" si="682"/>
        <v/>
      </c>
      <c r="AH1664" s="531" t="str">
        <f t="shared" ca="1" si="683"/>
        <v/>
      </c>
      <c r="AI1664" s="531" t="str">
        <f t="shared" ca="1" si="684"/>
        <v/>
      </c>
      <c r="AJ1664" s="531" t="str">
        <f t="shared" si="685"/>
        <v/>
      </c>
      <c r="AK1664" s="540">
        <f>SUMIFS('Live Collections'!$S:$S,'Live Collections'!$D:$D,Disbursements!B1664,'Live Collections'!$G:$G,Disbursements!C1664)</f>
        <v>0</v>
      </c>
      <c r="AL1664" s="540">
        <f>SUMIFS('Live Collections'!$T:$T,'Live Collections'!$D:$D,Disbursements!B1664,'Live Collections'!$G:$G,Disbursements!C1664)</f>
        <v>0</v>
      </c>
      <c r="AM1664" s="541">
        <f t="shared" si="686"/>
        <v>0</v>
      </c>
      <c r="AN1664" s="542" t="str">
        <f t="shared" si="687"/>
        <v/>
      </c>
      <c r="AO1664" s="542" t="str">
        <f t="shared" si="688"/>
        <v/>
      </c>
      <c r="AP1664" s="543" t="str">
        <f t="shared" si="689"/>
        <v/>
      </c>
      <c r="AQ1664" s="544" t="str">
        <f t="shared" si="690"/>
        <v/>
      </c>
      <c r="AR1664" s="545">
        <f t="shared" si="691"/>
        <v>0</v>
      </c>
      <c r="AS1664" s="545">
        <f>IFERROR(CEILING($AR1664*VLOOKUP($I1664,Ref!$B$23:$E$29,4,0),1),0)</f>
        <v>0</v>
      </c>
      <c r="AT1664" s="545" t="str">
        <f>IF(A1664="","",IF(AP1664&lt;=1,"Cleared",IF(AS1664=0,"Clean",VLOOKUP($AS1664,Ref!$G$23:$H$28,2))))</f>
        <v/>
      </c>
      <c r="AU1664" s="546" t="str">
        <f t="shared" si="692"/>
        <v/>
      </c>
    </row>
    <row r="1665" spans="1:47" ht="14.25" hidden="1" customHeight="1" x14ac:dyDescent="0.15">
      <c r="A1665" s="575"/>
      <c r="B1665" s="548"/>
      <c r="C1665" s="548"/>
      <c r="D1665" s="548"/>
      <c r="E1665" s="583"/>
      <c r="F1665" s="584"/>
      <c r="G1665" s="548"/>
      <c r="H1665" s="550"/>
      <c r="I1665" s="560"/>
      <c r="J1665" s="548"/>
      <c r="K1665" s="528" t="str">
        <f>IFERROR(VLOOKUP($B1665,'Clients-Live'!$A:$C,3,0),"")</f>
        <v/>
      </c>
      <c r="L1665" s="528">
        <f>IF(E1665="STL",Pricing!$D$38,IF(A1665="",0,IF(A1665&lt;Pricing!$C$25,Pricing!$D$25,VLOOKUP(Disbursements!$F1665,Pricing!$B$29:$D$32,3))))</f>
        <v>0</v>
      </c>
      <c r="M1665" s="528">
        <f>IF(E1665="STL",0,IF(F1665&gt;0,Pricing!$D$21,0))</f>
        <v>0</v>
      </c>
      <c r="N1665" s="529">
        <f>IF(E1665="STL",F1665*Pricing!$D$40,IF(A1665&lt;=Pricing!$C$4,0,IF(AND(A1665&gt;Pricing!$C$4,Disbursements!A1665&lt;=Pricing!$C$5),F1665*Pricing!$E$5,IF(AND(A1665&gt;Pricing!$C$5,Disbursements!A1665&lt;=Pricing!$C$7),VLOOKUP(F1665,Pricing!$D$7:$E$8,2)*Disbursements!F1665,F1665*Pricing!$E$9))))</f>
        <v>0</v>
      </c>
      <c r="O1665" s="528">
        <f>IF(E1665="STL",0,IF($F1665&gt;0,$F1665*Pricing!$D$17,0))</f>
        <v>0</v>
      </c>
      <c r="P1665" s="530" t="str">
        <f t="shared" si="672"/>
        <v/>
      </c>
      <c r="Q1665" s="531" t="str">
        <f>IF($A1665="","",$G1665/VLOOKUP($I1665,Ref!$B$23:$D$29,2,0))</f>
        <v/>
      </c>
      <c r="R1665" s="530" t="str">
        <f t="shared" si="673"/>
        <v/>
      </c>
      <c r="S1665" s="532" t="str">
        <f t="shared" si="667"/>
        <v/>
      </c>
      <c r="T1665" s="531" t="str">
        <f t="shared" si="674"/>
        <v/>
      </c>
      <c r="U1665" s="533">
        <f t="shared" si="675"/>
        <v>0</v>
      </c>
      <c r="V1665" s="531" t="str">
        <f t="shared" si="676"/>
        <v/>
      </c>
      <c r="W1665" s="531" t="str">
        <f t="shared" si="677"/>
        <v/>
      </c>
      <c r="X1665" s="534" t="str">
        <f t="shared" si="678"/>
        <v/>
      </c>
      <c r="Y1665" s="535" t="str">
        <f>IF($A1665="","",IF($I1665="weekly",$A1665+7,EDATE($A1665,VLOOKUP($I1665,Ref!$B$24:$C$29,2,0))))</f>
        <v/>
      </c>
      <c r="Z1665" s="536" t="str">
        <f t="shared" si="679"/>
        <v/>
      </c>
      <c r="AA1665" s="531">
        <f t="shared" si="680"/>
        <v>0</v>
      </c>
      <c r="AB1665" s="535" t="str">
        <f t="shared" si="668"/>
        <v/>
      </c>
      <c r="AC1665" s="537" t="str">
        <f t="shared" si="669"/>
        <v/>
      </c>
      <c r="AD1665" s="538" t="str">
        <f t="shared" ca="1" si="670"/>
        <v/>
      </c>
      <c r="AE1665" s="537">
        <f t="shared" ca="1" si="671"/>
        <v>0</v>
      </c>
      <c r="AF1665" s="539" t="str">
        <f t="shared" ca="1" si="681"/>
        <v/>
      </c>
      <c r="AG1665" s="531" t="str">
        <f t="shared" ca="1" si="682"/>
        <v/>
      </c>
      <c r="AH1665" s="531" t="str">
        <f t="shared" ca="1" si="683"/>
        <v/>
      </c>
      <c r="AI1665" s="531" t="str">
        <f t="shared" ca="1" si="684"/>
        <v/>
      </c>
      <c r="AJ1665" s="531" t="str">
        <f t="shared" si="685"/>
        <v/>
      </c>
      <c r="AK1665" s="540">
        <f>SUMIFS('Live Collections'!$S:$S,'Live Collections'!$D:$D,Disbursements!B1665,'Live Collections'!$G:$G,Disbursements!C1665)</f>
        <v>0</v>
      </c>
      <c r="AL1665" s="540">
        <f>SUMIFS('Live Collections'!$T:$T,'Live Collections'!$D:$D,Disbursements!B1665,'Live Collections'!$G:$G,Disbursements!C1665)</f>
        <v>0</v>
      </c>
      <c r="AM1665" s="541">
        <f t="shared" si="686"/>
        <v>0</v>
      </c>
      <c r="AN1665" s="542" t="str">
        <f t="shared" si="687"/>
        <v/>
      </c>
      <c r="AO1665" s="542" t="str">
        <f t="shared" si="688"/>
        <v/>
      </c>
      <c r="AP1665" s="543" t="str">
        <f t="shared" si="689"/>
        <v/>
      </c>
      <c r="AQ1665" s="544" t="str">
        <f t="shared" si="690"/>
        <v/>
      </c>
      <c r="AR1665" s="545">
        <f t="shared" si="691"/>
        <v>0</v>
      </c>
      <c r="AS1665" s="545">
        <f>IFERROR(CEILING($AR1665*VLOOKUP($I1665,Ref!$B$23:$E$29,4,0),1),0)</f>
        <v>0</v>
      </c>
      <c r="AT1665" s="545" t="str">
        <f>IF(A1665="","",IF(AP1665&lt;=1,"Cleared",IF(AS1665=0,"Clean",VLOOKUP($AS1665,Ref!$G$23:$H$28,2))))</f>
        <v/>
      </c>
      <c r="AU1665" s="546" t="str">
        <f t="shared" si="692"/>
        <v/>
      </c>
    </row>
    <row r="1666" spans="1:47" ht="14.25" hidden="1" customHeight="1" x14ac:dyDescent="0.15">
      <c r="A1666" s="575"/>
      <c r="B1666" s="548"/>
      <c r="C1666" s="548"/>
      <c r="D1666" s="548"/>
      <c r="E1666" s="583"/>
      <c r="F1666" s="584"/>
      <c r="G1666" s="548"/>
      <c r="H1666" s="550"/>
      <c r="I1666" s="560"/>
      <c r="J1666" s="548"/>
      <c r="K1666" s="528" t="str">
        <f>IFERROR(VLOOKUP($B1666,'Clients-Live'!$A:$C,3,0),"")</f>
        <v/>
      </c>
      <c r="L1666" s="528">
        <f>IF(E1666="STL",Pricing!$D$38,IF(A1666="",0,IF(A1666&lt;Pricing!$C$25,Pricing!$D$25,VLOOKUP(Disbursements!$F1666,Pricing!$B$29:$D$32,3))))</f>
        <v>0</v>
      </c>
      <c r="M1666" s="528">
        <f>IF(E1666="STL",0,IF(F1666&gt;0,Pricing!$D$21,0))</f>
        <v>0</v>
      </c>
      <c r="N1666" s="529">
        <f>IF(E1666="STL",F1666*Pricing!$D$40,IF(A1666&lt;=Pricing!$C$4,0,IF(AND(A1666&gt;Pricing!$C$4,Disbursements!A1666&lt;=Pricing!$C$5),F1666*Pricing!$E$5,IF(AND(A1666&gt;Pricing!$C$5,Disbursements!A1666&lt;=Pricing!$C$7),VLOOKUP(F1666,Pricing!$D$7:$E$8,2)*Disbursements!F1666,F1666*Pricing!$E$9))))</f>
        <v>0</v>
      </c>
      <c r="O1666" s="528">
        <f>IF(E1666="STL",0,IF($F1666&gt;0,$F1666*Pricing!$D$17,0))</f>
        <v>0</v>
      </c>
      <c r="P1666" s="530" t="str">
        <f t="shared" si="672"/>
        <v/>
      </c>
      <c r="Q1666" s="531" t="str">
        <f>IF($A1666="","",$G1666/VLOOKUP($I1666,Ref!$B$23:$D$29,2,0))</f>
        <v/>
      </c>
      <c r="R1666" s="530" t="str">
        <f t="shared" si="673"/>
        <v/>
      </c>
      <c r="S1666" s="532" t="str">
        <f t="shared" si="667"/>
        <v/>
      </c>
      <c r="T1666" s="531" t="str">
        <f t="shared" si="674"/>
        <v/>
      </c>
      <c r="U1666" s="533">
        <f t="shared" si="675"/>
        <v>0</v>
      </c>
      <c r="V1666" s="531" t="str">
        <f t="shared" si="676"/>
        <v/>
      </c>
      <c r="W1666" s="531" t="str">
        <f t="shared" si="677"/>
        <v/>
      </c>
      <c r="X1666" s="534" t="str">
        <f t="shared" si="678"/>
        <v/>
      </c>
      <c r="Y1666" s="535" t="str">
        <f>IF($A1666="","",IF($I1666="weekly",$A1666+7,EDATE($A1666,VLOOKUP($I1666,Ref!$B$24:$C$29,2,0))))</f>
        <v/>
      </c>
      <c r="Z1666" s="536" t="str">
        <f t="shared" si="679"/>
        <v/>
      </c>
      <c r="AA1666" s="531">
        <f t="shared" si="680"/>
        <v>0</v>
      </c>
      <c r="AB1666" s="535" t="str">
        <f t="shared" si="668"/>
        <v/>
      </c>
      <c r="AC1666" s="537" t="str">
        <f t="shared" si="669"/>
        <v/>
      </c>
      <c r="AD1666" s="538" t="str">
        <f t="shared" ca="1" si="670"/>
        <v/>
      </c>
      <c r="AE1666" s="537">
        <f t="shared" ca="1" si="671"/>
        <v>0</v>
      </c>
      <c r="AF1666" s="539" t="str">
        <f t="shared" ca="1" si="681"/>
        <v/>
      </c>
      <c r="AG1666" s="531" t="str">
        <f t="shared" ca="1" si="682"/>
        <v/>
      </c>
      <c r="AH1666" s="531" t="str">
        <f t="shared" ca="1" si="683"/>
        <v/>
      </c>
      <c r="AI1666" s="531" t="str">
        <f t="shared" ca="1" si="684"/>
        <v/>
      </c>
      <c r="AJ1666" s="531" t="str">
        <f t="shared" si="685"/>
        <v/>
      </c>
      <c r="AK1666" s="540">
        <f>SUMIFS('Live Collections'!$S:$S,'Live Collections'!$D:$D,Disbursements!B1666,'Live Collections'!$G:$G,Disbursements!C1666)</f>
        <v>0</v>
      </c>
      <c r="AL1666" s="540">
        <f>SUMIFS('Live Collections'!$T:$T,'Live Collections'!$D:$D,Disbursements!B1666,'Live Collections'!$G:$G,Disbursements!C1666)</f>
        <v>0</v>
      </c>
      <c r="AM1666" s="541">
        <f t="shared" si="686"/>
        <v>0</v>
      </c>
      <c r="AN1666" s="542" t="str">
        <f t="shared" si="687"/>
        <v/>
      </c>
      <c r="AO1666" s="542" t="str">
        <f t="shared" si="688"/>
        <v/>
      </c>
      <c r="AP1666" s="543" t="str">
        <f t="shared" si="689"/>
        <v/>
      </c>
      <c r="AQ1666" s="544" t="str">
        <f t="shared" si="690"/>
        <v/>
      </c>
      <c r="AR1666" s="545">
        <f t="shared" si="691"/>
        <v>0</v>
      </c>
      <c r="AS1666" s="545">
        <f>IFERROR(CEILING($AR1666*VLOOKUP($I1666,Ref!$B$23:$E$29,4,0),1),0)</f>
        <v>0</v>
      </c>
      <c r="AT1666" s="545" t="str">
        <f>IF(A1666="","",IF(AP1666&lt;=1,"Cleared",IF(AS1666=0,"Clean",VLOOKUP($AS1666,Ref!$G$23:$H$28,2))))</f>
        <v/>
      </c>
      <c r="AU1666" s="546" t="str">
        <f t="shared" si="692"/>
        <v/>
      </c>
    </row>
    <row r="1667" spans="1:47" ht="14.25" hidden="1" customHeight="1" x14ac:dyDescent="0.15">
      <c r="A1667" s="575"/>
      <c r="B1667" s="548"/>
      <c r="C1667" s="548"/>
      <c r="D1667" s="548"/>
      <c r="E1667" s="583"/>
      <c r="F1667" s="584"/>
      <c r="G1667" s="548"/>
      <c r="H1667" s="550"/>
      <c r="I1667" s="560"/>
      <c r="J1667" s="548"/>
      <c r="K1667" s="528" t="str">
        <f>IFERROR(VLOOKUP($B1667,'Clients-Live'!$A:$C,3,0),"")</f>
        <v/>
      </c>
      <c r="L1667" s="528">
        <f>IF(E1667="STL",Pricing!$D$38,IF(A1667="",0,IF(A1667&lt;Pricing!$C$25,Pricing!$D$25,VLOOKUP(Disbursements!$F1667,Pricing!$B$29:$D$32,3))))</f>
        <v>0</v>
      </c>
      <c r="M1667" s="528">
        <f>IF(E1667="STL",0,IF(F1667&gt;0,Pricing!$D$21,0))</f>
        <v>0</v>
      </c>
      <c r="N1667" s="529">
        <f>IF(E1667="STL",F1667*Pricing!$D$40,IF(A1667&lt;=Pricing!$C$4,0,IF(AND(A1667&gt;Pricing!$C$4,Disbursements!A1667&lt;=Pricing!$C$5),F1667*Pricing!$E$5,IF(AND(A1667&gt;Pricing!$C$5,Disbursements!A1667&lt;=Pricing!$C$7),VLOOKUP(F1667,Pricing!$D$7:$E$8,2)*Disbursements!F1667,F1667*Pricing!$E$9))))</f>
        <v>0</v>
      </c>
      <c r="O1667" s="528">
        <f>IF(E1667="STL",0,IF($F1667&gt;0,$F1667*Pricing!$D$17,0))</f>
        <v>0</v>
      </c>
      <c r="P1667" s="530" t="str">
        <f t="shared" si="672"/>
        <v/>
      </c>
      <c r="Q1667" s="531" t="str">
        <f>IF($A1667="","",$G1667/VLOOKUP($I1667,Ref!$B$23:$D$29,2,0))</f>
        <v/>
      </c>
      <c r="R1667" s="530" t="str">
        <f t="shared" si="673"/>
        <v/>
      </c>
      <c r="S1667" s="532" t="str">
        <f t="shared" si="667"/>
        <v/>
      </c>
      <c r="T1667" s="531" t="str">
        <f t="shared" si="674"/>
        <v/>
      </c>
      <c r="U1667" s="533">
        <f t="shared" si="675"/>
        <v>0</v>
      </c>
      <c r="V1667" s="531" t="str">
        <f t="shared" si="676"/>
        <v/>
      </c>
      <c r="W1667" s="531" t="str">
        <f t="shared" si="677"/>
        <v/>
      </c>
      <c r="X1667" s="534" t="str">
        <f t="shared" si="678"/>
        <v/>
      </c>
      <c r="Y1667" s="535" t="str">
        <f>IF($A1667="","",IF($I1667="weekly",$A1667+7,EDATE($A1667,VLOOKUP($I1667,Ref!$B$24:$C$29,2,0))))</f>
        <v/>
      </c>
      <c r="Z1667" s="536" t="str">
        <f t="shared" si="679"/>
        <v/>
      </c>
      <c r="AA1667" s="531">
        <f t="shared" si="680"/>
        <v>0</v>
      </c>
      <c r="AB1667" s="535" t="str">
        <f t="shared" si="668"/>
        <v/>
      </c>
      <c r="AC1667" s="537" t="str">
        <f t="shared" si="669"/>
        <v/>
      </c>
      <c r="AD1667" s="538" t="str">
        <f t="shared" ca="1" si="670"/>
        <v/>
      </c>
      <c r="AE1667" s="537">
        <f t="shared" ca="1" si="671"/>
        <v>0</v>
      </c>
      <c r="AF1667" s="539" t="str">
        <f t="shared" ca="1" si="681"/>
        <v/>
      </c>
      <c r="AG1667" s="531" t="str">
        <f t="shared" ca="1" si="682"/>
        <v/>
      </c>
      <c r="AH1667" s="531" t="str">
        <f t="shared" ca="1" si="683"/>
        <v/>
      </c>
      <c r="AI1667" s="531" t="str">
        <f t="shared" ca="1" si="684"/>
        <v/>
      </c>
      <c r="AJ1667" s="531" t="str">
        <f t="shared" si="685"/>
        <v/>
      </c>
      <c r="AK1667" s="540">
        <f>SUMIFS('Live Collections'!$S:$S,'Live Collections'!$D:$D,Disbursements!B1667,'Live Collections'!$G:$G,Disbursements!C1667)</f>
        <v>0</v>
      </c>
      <c r="AL1667" s="540">
        <f>SUMIFS('Live Collections'!$T:$T,'Live Collections'!$D:$D,Disbursements!B1667,'Live Collections'!$G:$G,Disbursements!C1667)</f>
        <v>0</v>
      </c>
      <c r="AM1667" s="541">
        <f t="shared" si="686"/>
        <v>0</v>
      </c>
      <c r="AN1667" s="542" t="str">
        <f t="shared" si="687"/>
        <v/>
      </c>
      <c r="AO1667" s="542" t="str">
        <f t="shared" si="688"/>
        <v/>
      </c>
      <c r="AP1667" s="543" t="str">
        <f t="shared" si="689"/>
        <v/>
      </c>
      <c r="AQ1667" s="544" t="str">
        <f t="shared" si="690"/>
        <v/>
      </c>
      <c r="AR1667" s="545">
        <f t="shared" si="691"/>
        <v>0</v>
      </c>
      <c r="AS1667" s="545">
        <f>IFERROR(CEILING($AR1667*VLOOKUP($I1667,Ref!$B$23:$E$29,4,0),1),0)</f>
        <v>0</v>
      </c>
      <c r="AT1667" s="545" t="str">
        <f>IF(A1667="","",IF(AP1667&lt;=1,"Cleared",IF(AS1667=0,"Clean",VLOOKUP($AS1667,Ref!$G$23:$H$28,2))))</f>
        <v/>
      </c>
      <c r="AU1667" s="546" t="str">
        <f t="shared" si="692"/>
        <v/>
      </c>
    </row>
    <row r="1668" spans="1:47" ht="14.25" hidden="1" customHeight="1" x14ac:dyDescent="0.15">
      <c r="A1668" s="575"/>
      <c r="B1668" s="548"/>
      <c r="C1668" s="548"/>
      <c r="D1668" s="548"/>
      <c r="E1668" s="583"/>
      <c r="F1668" s="584"/>
      <c r="G1668" s="548"/>
      <c r="H1668" s="550"/>
      <c r="I1668" s="560"/>
      <c r="J1668" s="548"/>
      <c r="K1668" s="528" t="str">
        <f>IFERROR(VLOOKUP($B1668,'Clients-Live'!$A:$C,3,0),"")</f>
        <v/>
      </c>
      <c r="L1668" s="528">
        <f>IF(E1668="STL",Pricing!$D$38,IF(A1668="",0,IF(A1668&lt;Pricing!$C$25,Pricing!$D$25,VLOOKUP(Disbursements!$F1668,Pricing!$B$29:$D$32,3))))</f>
        <v>0</v>
      </c>
      <c r="M1668" s="528">
        <f>IF(E1668="STL",0,IF(F1668&gt;0,Pricing!$D$21,0))</f>
        <v>0</v>
      </c>
      <c r="N1668" s="529">
        <f>IF(E1668="STL",F1668*Pricing!$D$40,IF(A1668&lt;=Pricing!$C$4,0,IF(AND(A1668&gt;Pricing!$C$4,Disbursements!A1668&lt;=Pricing!$C$5),F1668*Pricing!$E$5,IF(AND(A1668&gt;Pricing!$C$5,Disbursements!A1668&lt;=Pricing!$C$7),VLOOKUP(F1668,Pricing!$D$7:$E$8,2)*Disbursements!F1668,F1668*Pricing!$E$9))))</f>
        <v>0</v>
      </c>
      <c r="O1668" s="528">
        <f>IF(E1668="STL",0,IF($F1668&gt;0,$F1668*Pricing!$D$17,0))</f>
        <v>0</v>
      </c>
      <c r="P1668" s="530" t="str">
        <f t="shared" si="672"/>
        <v/>
      </c>
      <c r="Q1668" s="531" t="str">
        <f>IF($A1668="","",$G1668/VLOOKUP($I1668,Ref!$B$23:$D$29,2,0))</f>
        <v/>
      </c>
      <c r="R1668" s="530" t="str">
        <f t="shared" si="673"/>
        <v/>
      </c>
      <c r="S1668" s="532" t="str">
        <f t="shared" ref="S1668:S1731" si="693">IF($A1668="","",$R1668/$Q1668)</f>
        <v/>
      </c>
      <c r="T1668" s="531" t="str">
        <f t="shared" si="674"/>
        <v/>
      </c>
      <c r="U1668" s="533">
        <f t="shared" si="675"/>
        <v>0</v>
      </c>
      <c r="V1668" s="531" t="str">
        <f t="shared" si="676"/>
        <v/>
      </c>
      <c r="W1668" s="531" t="str">
        <f t="shared" si="677"/>
        <v/>
      </c>
      <c r="X1668" s="534" t="str">
        <f t="shared" si="678"/>
        <v/>
      </c>
      <c r="Y1668" s="535" t="str">
        <f>IF($A1668="","",IF($I1668="weekly",$A1668+7,EDATE($A1668,VLOOKUP($I1668,Ref!$B$24:$C$29,2,0))))</f>
        <v/>
      </c>
      <c r="Z1668" s="536" t="str">
        <f t="shared" si="679"/>
        <v/>
      </c>
      <c r="AA1668" s="531">
        <f t="shared" si="680"/>
        <v>0</v>
      </c>
      <c r="AB1668" s="535" t="str">
        <f t="shared" ref="AB1668:AB1731" si="694">IF($A1668="","",EDATE($A1668,$G1668))</f>
        <v/>
      </c>
      <c r="AC1668" s="537" t="str">
        <f t="shared" ref="AC1668:AC1731" si="695">IFERROR($AB1668-$A1668,"")</f>
        <v/>
      </c>
      <c r="AD1668" s="538" t="str">
        <f t="shared" ref="AD1668:AD1731" ca="1" si="696">IFERROR(IF(TODAY()-$A1668&lt;$AB1668-$A1668,TODAY()-$A1668,"Expired"),"")</f>
        <v/>
      </c>
      <c r="AE1668" s="537">
        <f t="shared" ref="AE1668:AE1731" ca="1" si="697">IFERROR($AC1668-$AD1668,0)</f>
        <v>0</v>
      </c>
      <c r="AF1668" s="539" t="str">
        <f t="shared" ca="1" si="681"/>
        <v/>
      </c>
      <c r="AG1668" s="531" t="str">
        <f t="shared" ca="1" si="682"/>
        <v/>
      </c>
      <c r="AH1668" s="531" t="str">
        <f t="shared" ca="1" si="683"/>
        <v/>
      </c>
      <c r="AI1668" s="531" t="str">
        <f t="shared" ca="1" si="684"/>
        <v/>
      </c>
      <c r="AJ1668" s="531" t="str">
        <f t="shared" si="685"/>
        <v/>
      </c>
      <c r="AK1668" s="540">
        <f>SUMIFS('Live Collections'!$S:$S,'Live Collections'!$D:$D,Disbursements!B1668,'Live Collections'!$G:$G,Disbursements!C1668)</f>
        <v>0</v>
      </c>
      <c r="AL1668" s="540">
        <f>SUMIFS('Live Collections'!$T:$T,'Live Collections'!$D:$D,Disbursements!B1668,'Live Collections'!$G:$G,Disbursements!C1668)</f>
        <v>0</v>
      </c>
      <c r="AM1668" s="541">
        <f t="shared" si="686"/>
        <v>0</v>
      </c>
      <c r="AN1668" s="542" t="str">
        <f t="shared" si="687"/>
        <v/>
      </c>
      <c r="AO1668" s="542" t="str">
        <f t="shared" si="688"/>
        <v/>
      </c>
      <c r="AP1668" s="543" t="str">
        <f t="shared" si="689"/>
        <v/>
      </c>
      <c r="AQ1668" s="544" t="str">
        <f t="shared" si="690"/>
        <v/>
      </c>
      <c r="AR1668" s="545">
        <f t="shared" si="691"/>
        <v>0</v>
      </c>
      <c r="AS1668" s="545">
        <f>IFERROR(CEILING($AR1668*VLOOKUP($I1668,Ref!$B$23:$E$29,4,0),1),0)</f>
        <v>0</v>
      </c>
      <c r="AT1668" s="545" t="str">
        <f>IF(A1668="","",IF(AP1668&lt;=1,"Cleared",IF(AS1668=0,"Clean",VLOOKUP($AS1668,Ref!$G$23:$H$28,2))))</f>
        <v/>
      </c>
      <c r="AU1668" s="546" t="str">
        <f t="shared" si="692"/>
        <v/>
      </c>
    </row>
    <row r="1669" spans="1:47" ht="14.25" hidden="1" customHeight="1" x14ac:dyDescent="0.15">
      <c r="A1669" s="575"/>
      <c r="B1669" s="548"/>
      <c r="C1669" s="548"/>
      <c r="D1669" s="548"/>
      <c r="E1669" s="583"/>
      <c r="F1669" s="584"/>
      <c r="G1669" s="548"/>
      <c r="H1669" s="550"/>
      <c r="I1669" s="560"/>
      <c r="J1669" s="548"/>
      <c r="K1669" s="528" t="str">
        <f>IFERROR(VLOOKUP($B1669,'Clients-Live'!$A:$C,3,0),"")</f>
        <v/>
      </c>
      <c r="L1669" s="528">
        <f>IF(E1669="STL",Pricing!$D$38,IF(A1669="",0,IF(A1669&lt;Pricing!$C$25,Pricing!$D$25,VLOOKUP(Disbursements!$F1669,Pricing!$B$29:$D$32,3))))</f>
        <v>0</v>
      </c>
      <c r="M1669" s="528">
        <f>IF(E1669="STL",0,IF(F1669&gt;0,Pricing!$D$21,0))</f>
        <v>0</v>
      </c>
      <c r="N1669" s="529">
        <f>IF(E1669="STL",F1669*Pricing!$D$40,IF(A1669&lt;=Pricing!$C$4,0,IF(AND(A1669&gt;Pricing!$C$4,Disbursements!A1669&lt;=Pricing!$C$5),F1669*Pricing!$E$5,IF(AND(A1669&gt;Pricing!$C$5,Disbursements!A1669&lt;=Pricing!$C$7),VLOOKUP(F1669,Pricing!$D$7:$E$8,2)*Disbursements!F1669,F1669*Pricing!$E$9))))</f>
        <v>0</v>
      </c>
      <c r="O1669" s="528">
        <f>IF(E1669="STL",0,IF($F1669&gt;0,$F1669*Pricing!$D$17,0))</f>
        <v>0</v>
      </c>
      <c r="P1669" s="530" t="str">
        <f t="shared" ref="P1669:P1732" si="698">IF($A1669="","",$H1669*$F1669*$G1669)</f>
        <v/>
      </c>
      <c r="Q1669" s="531" t="str">
        <f>IF($A1669="","",$G1669/VLOOKUP($I1669,Ref!$B$23:$D$29,2,0))</f>
        <v/>
      </c>
      <c r="R1669" s="530" t="str">
        <f t="shared" ref="R1669:R1732" si="699">IF($A1669="","",$F1669+$P1669)</f>
        <v/>
      </c>
      <c r="S1669" s="532" t="str">
        <f t="shared" si="693"/>
        <v/>
      </c>
      <c r="T1669" s="531" t="str">
        <f t="shared" ref="T1669:T1732" si="700">IF(R1669="","",CEILING(S1669,1000))</f>
        <v/>
      </c>
      <c r="U1669" s="533">
        <f t="shared" ref="U1669:U1732" si="701">IFERROR(T1669*Q1669,0)</f>
        <v>0</v>
      </c>
      <c r="V1669" s="531" t="str">
        <f t="shared" ref="V1669:V1732" si="702">IF(T1669="","",F1669/Q1669)</f>
        <v/>
      </c>
      <c r="W1669" s="531" t="str">
        <f t="shared" ref="W1669:W1732" si="703">IF(T1669="","",T1669-V1669)</f>
        <v/>
      </c>
      <c r="X1669" s="534" t="str">
        <f t="shared" ref="X1669:X1732" si="704">IF(A1669="","",W1669*Q1669)</f>
        <v/>
      </c>
      <c r="Y1669" s="535" t="str">
        <f>IF($A1669="","",IF($I1669="weekly",$A1669+7,EDATE($A1669,VLOOKUP($I1669,Ref!$B$24:$C$29,2,0))))</f>
        <v/>
      </c>
      <c r="Z1669" s="536" t="str">
        <f t="shared" ref="Z1669:Z1732" si="705">IFERROR(CHOOSE(WEEKDAY(Y1669),"Sun","Mon","Tue","Wed","Thu","Frid","Sat"),"")</f>
        <v/>
      </c>
      <c r="AA1669" s="531">
        <f t="shared" ref="AA1669:AA1732" si="706">IFERROR(Y1669-A1669,0)</f>
        <v>0</v>
      </c>
      <c r="AB1669" s="535" t="str">
        <f t="shared" si="694"/>
        <v/>
      </c>
      <c r="AC1669" s="537" t="str">
        <f t="shared" si="695"/>
        <v/>
      </c>
      <c r="AD1669" s="538" t="str">
        <f t="shared" ca="1" si="696"/>
        <v/>
      </c>
      <c r="AE1669" s="537">
        <f t="shared" ca="1" si="697"/>
        <v>0</v>
      </c>
      <c r="AF1669" s="539" t="str">
        <f t="shared" ref="AF1669:AF1732" ca="1" si="707">IFERROR(IF(AD1669="Expired",Q1669,IF(AD1669&gt;AA1669,AD1669/AA1669,0)),"")</f>
        <v/>
      </c>
      <c r="AG1669" s="531" t="str">
        <f t="shared" ref="AG1669:AG1732" ca="1" si="708">IFERROR(AF1669*T1669,"")</f>
        <v/>
      </c>
      <c r="AH1669" s="531" t="str">
        <f t="shared" ref="AH1669:AH1732" ca="1" si="709">IFERROR(AF1669*W1669,"")</f>
        <v/>
      </c>
      <c r="AI1669" s="531" t="str">
        <f t="shared" ref="AI1669:AI1732" ca="1" si="710">IFERROR(AF1669*V1669,"")</f>
        <v/>
      </c>
      <c r="AJ1669" s="531" t="str">
        <f t="shared" ref="AJ1669:AJ1732" si="711">IF(F1669=0,"",U1669-AG1669)</f>
        <v/>
      </c>
      <c r="AK1669" s="540">
        <f>SUMIFS('Live Collections'!$S:$S,'Live Collections'!$D:$D,Disbursements!B1669,'Live Collections'!$G:$G,Disbursements!C1669)</f>
        <v>0</v>
      </c>
      <c r="AL1669" s="540">
        <f>SUMIFS('Live Collections'!$T:$T,'Live Collections'!$D:$D,Disbursements!B1669,'Live Collections'!$G:$G,Disbursements!C1669)</f>
        <v>0</v>
      </c>
      <c r="AM1669" s="541">
        <f t="shared" ref="AM1669:AM1732" si="712">SUM(AK1669:AL1669)</f>
        <v>0</v>
      </c>
      <c r="AN1669" s="542" t="str">
        <f t="shared" ref="AN1669:AN1732" si="713">IFERROR(W1669*Q1669-AK1669,"")</f>
        <v/>
      </c>
      <c r="AO1669" s="542" t="str">
        <f t="shared" ref="AO1669:AO1732" si="714">IF(F1669="","",(F1669-AL1669))</f>
        <v/>
      </c>
      <c r="AP1669" s="543" t="str">
        <f t="shared" ref="AP1669:AP1732" si="715">IF(F1669="","",SUM(AN1669:AO1669))</f>
        <v/>
      </c>
      <c r="AQ1669" s="544" t="str">
        <f t="shared" ref="AQ1669:AQ1732" si="716">IF(AP1669&gt;AJ1669,AP1669-AJ1669,"")</f>
        <v/>
      </c>
      <c r="AR1669" s="545">
        <f t="shared" ref="AR1669:AR1732" si="717">IFERROR(AQ1669/T1669,0)</f>
        <v>0</v>
      </c>
      <c r="AS1669" s="545">
        <f>IFERROR(CEILING($AR1669*VLOOKUP($I1669,Ref!$B$23:$E$29,4,0),1),0)</f>
        <v>0</v>
      </c>
      <c r="AT1669" s="545" t="str">
        <f>IF(A1669="","",IF(AP1669&lt;=1,"Cleared",IF(AS1669=0,"Clean",VLOOKUP($AS1669,Ref!$G$23:$H$28,2))))</f>
        <v/>
      </c>
      <c r="AU1669" s="546" t="str">
        <f t="shared" ref="AU1669:AU1732" si="718">IF(F1669="","",IF(OR(AN1669&lt;0,AO1669&lt;0,AP1669&lt;0),"Error on Entry","Ok"))</f>
        <v/>
      </c>
    </row>
    <row r="1670" spans="1:47" ht="14.25" hidden="1" customHeight="1" x14ac:dyDescent="0.15">
      <c r="A1670" s="575"/>
      <c r="B1670" s="548"/>
      <c r="C1670" s="548"/>
      <c r="D1670" s="548"/>
      <c r="E1670" s="583"/>
      <c r="F1670" s="584"/>
      <c r="G1670" s="548"/>
      <c r="H1670" s="550"/>
      <c r="I1670" s="560"/>
      <c r="J1670" s="548"/>
      <c r="K1670" s="528" t="str">
        <f>IFERROR(VLOOKUP($B1670,'Clients-Live'!$A:$C,3,0),"")</f>
        <v/>
      </c>
      <c r="L1670" s="528">
        <f>IF(E1670="STL",Pricing!$D$38,IF(A1670="",0,IF(A1670&lt;Pricing!$C$25,Pricing!$D$25,VLOOKUP(Disbursements!$F1670,Pricing!$B$29:$D$32,3))))</f>
        <v>0</v>
      </c>
      <c r="M1670" s="528">
        <f>IF(E1670="STL",0,IF(F1670&gt;0,Pricing!$D$21,0))</f>
        <v>0</v>
      </c>
      <c r="N1670" s="529">
        <f>IF(E1670="STL",F1670*Pricing!$D$40,IF(A1670&lt;=Pricing!$C$4,0,IF(AND(A1670&gt;Pricing!$C$4,Disbursements!A1670&lt;=Pricing!$C$5),F1670*Pricing!$E$5,IF(AND(A1670&gt;Pricing!$C$5,Disbursements!A1670&lt;=Pricing!$C$7),VLOOKUP(F1670,Pricing!$D$7:$E$8,2)*Disbursements!F1670,F1670*Pricing!$E$9))))</f>
        <v>0</v>
      </c>
      <c r="O1670" s="528">
        <f>IF(E1670="STL",0,IF($F1670&gt;0,$F1670*Pricing!$D$17,0))</f>
        <v>0</v>
      </c>
      <c r="P1670" s="530" t="str">
        <f t="shared" si="698"/>
        <v/>
      </c>
      <c r="Q1670" s="531" t="str">
        <f>IF($A1670="","",$G1670/VLOOKUP($I1670,Ref!$B$23:$D$29,2,0))</f>
        <v/>
      </c>
      <c r="R1670" s="530" t="str">
        <f t="shared" si="699"/>
        <v/>
      </c>
      <c r="S1670" s="532" t="str">
        <f t="shared" si="693"/>
        <v/>
      </c>
      <c r="T1670" s="531" t="str">
        <f t="shared" si="700"/>
        <v/>
      </c>
      <c r="U1670" s="533">
        <f t="shared" si="701"/>
        <v>0</v>
      </c>
      <c r="V1670" s="531" t="str">
        <f t="shared" si="702"/>
        <v/>
      </c>
      <c r="W1670" s="531" t="str">
        <f t="shared" si="703"/>
        <v/>
      </c>
      <c r="X1670" s="534" t="str">
        <f t="shared" si="704"/>
        <v/>
      </c>
      <c r="Y1670" s="535" t="str">
        <f>IF($A1670="","",IF($I1670="weekly",$A1670+7,EDATE($A1670,VLOOKUP($I1670,Ref!$B$24:$C$29,2,0))))</f>
        <v/>
      </c>
      <c r="Z1670" s="536" t="str">
        <f t="shared" si="705"/>
        <v/>
      </c>
      <c r="AA1670" s="531">
        <f t="shared" si="706"/>
        <v>0</v>
      </c>
      <c r="AB1670" s="535" t="str">
        <f t="shared" si="694"/>
        <v/>
      </c>
      <c r="AC1670" s="537" t="str">
        <f t="shared" si="695"/>
        <v/>
      </c>
      <c r="AD1670" s="538" t="str">
        <f t="shared" ca="1" si="696"/>
        <v/>
      </c>
      <c r="AE1670" s="537">
        <f t="shared" ca="1" si="697"/>
        <v>0</v>
      </c>
      <c r="AF1670" s="539" t="str">
        <f t="shared" ca="1" si="707"/>
        <v/>
      </c>
      <c r="AG1670" s="531" t="str">
        <f t="shared" ca="1" si="708"/>
        <v/>
      </c>
      <c r="AH1670" s="531" t="str">
        <f t="shared" ca="1" si="709"/>
        <v/>
      </c>
      <c r="AI1670" s="531" t="str">
        <f t="shared" ca="1" si="710"/>
        <v/>
      </c>
      <c r="AJ1670" s="531" t="str">
        <f t="shared" si="711"/>
        <v/>
      </c>
      <c r="AK1670" s="540">
        <f>SUMIFS('Live Collections'!$S:$S,'Live Collections'!$D:$D,Disbursements!B1670,'Live Collections'!$G:$G,Disbursements!C1670)</f>
        <v>0</v>
      </c>
      <c r="AL1670" s="540">
        <f>SUMIFS('Live Collections'!$T:$T,'Live Collections'!$D:$D,Disbursements!B1670,'Live Collections'!$G:$G,Disbursements!C1670)</f>
        <v>0</v>
      </c>
      <c r="AM1670" s="541">
        <f t="shared" si="712"/>
        <v>0</v>
      </c>
      <c r="AN1670" s="542" t="str">
        <f t="shared" si="713"/>
        <v/>
      </c>
      <c r="AO1670" s="542" t="str">
        <f t="shared" si="714"/>
        <v/>
      </c>
      <c r="AP1670" s="543" t="str">
        <f t="shared" si="715"/>
        <v/>
      </c>
      <c r="AQ1670" s="544" t="str">
        <f t="shared" si="716"/>
        <v/>
      </c>
      <c r="AR1670" s="545">
        <f t="shared" si="717"/>
        <v>0</v>
      </c>
      <c r="AS1670" s="545">
        <f>IFERROR(CEILING($AR1670*VLOOKUP($I1670,Ref!$B$23:$E$29,4,0),1),0)</f>
        <v>0</v>
      </c>
      <c r="AT1670" s="545" t="str">
        <f>IF(A1670="","",IF(AP1670&lt;=1,"Cleared",IF(AS1670=0,"Clean",VLOOKUP($AS1670,Ref!$G$23:$H$28,2))))</f>
        <v/>
      </c>
      <c r="AU1670" s="546" t="str">
        <f t="shared" si="718"/>
        <v/>
      </c>
    </row>
    <row r="1671" spans="1:47" ht="14.25" hidden="1" customHeight="1" x14ac:dyDescent="0.15">
      <c r="A1671" s="575"/>
      <c r="B1671" s="548"/>
      <c r="C1671" s="548"/>
      <c r="D1671" s="548"/>
      <c r="E1671" s="583"/>
      <c r="F1671" s="584"/>
      <c r="G1671" s="548"/>
      <c r="H1671" s="550"/>
      <c r="I1671" s="560"/>
      <c r="J1671" s="548"/>
      <c r="K1671" s="528" t="str">
        <f>IFERROR(VLOOKUP($B1671,'Clients-Live'!$A:$C,3,0),"")</f>
        <v/>
      </c>
      <c r="L1671" s="528">
        <f>IF(E1671="STL",Pricing!$D$38,IF(A1671="",0,IF(A1671&lt;Pricing!$C$25,Pricing!$D$25,VLOOKUP(Disbursements!$F1671,Pricing!$B$29:$D$32,3))))</f>
        <v>0</v>
      </c>
      <c r="M1671" s="528">
        <f>IF(E1671="STL",0,IF(F1671&gt;0,Pricing!$D$21,0))</f>
        <v>0</v>
      </c>
      <c r="N1671" s="529">
        <f>IF(E1671="STL",F1671*Pricing!$D$40,IF(A1671&lt;=Pricing!$C$4,0,IF(AND(A1671&gt;Pricing!$C$4,Disbursements!A1671&lt;=Pricing!$C$5),F1671*Pricing!$E$5,IF(AND(A1671&gt;Pricing!$C$5,Disbursements!A1671&lt;=Pricing!$C$7),VLOOKUP(F1671,Pricing!$D$7:$E$8,2)*Disbursements!F1671,F1671*Pricing!$E$9))))</f>
        <v>0</v>
      </c>
      <c r="O1671" s="528">
        <f>IF(E1671="STL",0,IF($F1671&gt;0,$F1671*Pricing!$D$17,0))</f>
        <v>0</v>
      </c>
      <c r="P1671" s="530" t="str">
        <f t="shared" si="698"/>
        <v/>
      </c>
      <c r="Q1671" s="531" t="str">
        <f>IF($A1671="","",$G1671/VLOOKUP($I1671,Ref!$B$23:$D$29,2,0))</f>
        <v/>
      </c>
      <c r="R1671" s="530" t="str">
        <f t="shared" si="699"/>
        <v/>
      </c>
      <c r="S1671" s="532" t="str">
        <f t="shared" si="693"/>
        <v/>
      </c>
      <c r="T1671" s="531" t="str">
        <f t="shared" si="700"/>
        <v/>
      </c>
      <c r="U1671" s="533">
        <f t="shared" si="701"/>
        <v>0</v>
      </c>
      <c r="V1671" s="531" t="str">
        <f t="shared" si="702"/>
        <v/>
      </c>
      <c r="W1671" s="531" t="str">
        <f t="shared" si="703"/>
        <v/>
      </c>
      <c r="X1671" s="534" t="str">
        <f t="shared" si="704"/>
        <v/>
      </c>
      <c r="Y1671" s="535" t="str">
        <f>IF($A1671="","",IF($I1671="weekly",$A1671+7,EDATE($A1671,VLOOKUP($I1671,Ref!$B$24:$C$29,2,0))))</f>
        <v/>
      </c>
      <c r="Z1671" s="536" t="str">
        <f t="shared" si="705"/>
        <v/>
      </c>
      <c r="AA1671" s="531">
        <f t="shared" si="706"/>
        <v>0</v>
      </c>
      <c r="AB1671" s="535" t="str">
        <f t="shared" si="694"/>
        <v/>
      </c>
      <c r="AC1671" s="537" t="str">
        <f t="shared" si="695"/>
        <v/>
      </c>
      <c r="AD1671" s="538" t="str">
        <f t="shared" ca="1" si="696"/>
        <v/>
      </c>
      <c r="AE1671" s="537">
        <f t="shared" ca="1" si="697"/>
        <v>0</v>
      </c>
      <c r="AF1671" s="539" t="str">
        <f t="shared" ca="1" si="707"/>
        <v/>
      </c>
      <c r="AG1671" s="531" t="str">
        <f t="shared" ca="1" si="708"/>
        <v/>
      </c>
      <c r="AH1671" s="531" t="str">
        <f t="shared" ca="1" si="709"/>
        <v/>
      </c>
      <c r="AI1671" s="531" t="str">
        <f t="shared" ca="1" si="710"/>
        <v/>
      </c>
      <c r="AJ1671" s="531" t="str">
        <f t="shared" si="711"/>
        <v/>
      </c>
      <c r="AK1671" s="540">
        <f>SUMIFS('Live Collections'!$S:$S,'Live Collections'!$D:$D,Disbursements!B1671,'Live Collections'!$G:$G,Disbursements!C1671)</f>
        <v>0</v>
      </c>
      <c r="AL1671" s="540">
        <f>SUMIFS('Live Collections'!$T:$T,'Live Collections'!$D:$D,Disbursements!B1671,'Live Collections'!$G:$G,Disbursements!C1671)</f>
        <v>0</v>
      </c>
      <c r="AM1671" s="541">
        <f t="shared" si="712"/>
        <v>0</v>
      </c>
      <c r="AN1671" s="542" t="str">
        <f t="shared" si="713"/>
        <v/>
      </c>
      <c r="AO1671" s="542" t="str">
        <f t="shared" si="714"/>
        <v/>
      </c>
      <c r="AP1671" s="543" t="str">
        <f t="shared" si="715"/>
        <v/>
      </c>
      <c r="AQ1671" s="544" t="str">
        <f t="shared" si="716"/>
        <v/>
      </c>
      <c r="AR1671" s="545">
        <f t="shared" si="717"/>
        <v>0</v>
      </c>
      <c r="AS1671" s="545">
        <f>IFERROR(CEILING($AR1671*VLOOKUP($I1671,Ref!$B$23:$E$29,4,0),1),0)</f>
        <v>0</v>
      </c>
      <c r="AT1671" s="545" t="str">
        <f>IF(A1671="","",IF(AP1671&lt;=1,"Cleared",IF(AS1671=0,"Clean",VLOOKUP($AS1671,Ref!$G$23:$H$28,2))))</f>
        <v/>
      </c>
      <c r="AU1671" s="546" t="str">
        <f t="shared" si="718"/>
        <v/>
      </c>
    </row>
    <row r="1672" spans="1:47" ht="14.25" hidden="1" customHeight="1" x14ac:dyDescent="0.15">
      <c r="A1672" s="575"/>
      <c r="B1672" s="548"/>
      <c r="C1672" s="548"/>
      <c r="D1672" s="548"/>
      <c r="E1672" s="583"/>
      <c r="F1672" s="584"/>
      <c r="G1672" s="548"/>
      <c r="H1672" s="550"/>
      <c r="I1672" s="560"/>
      <c r="J1672" s="548"/>
      <c r="K1672" s="528" t="str">
        <f>IFERROR(VLOOKUP($B1672,'Clients-Live'!$A:$C,3,0),"")</f>
        <v/>
      </c>
      <c r="L1672" s="528">
        <f>IF(E1672="STL",Pricing!$D$38,IF(A1672="",0,IF(A1672&lt;Pricing!$C$25,Pricing!$D$25,VLOOKUP(Disbursements!$F1672,Pricing!$B$29:$D$32,3))))</f>
        <v>0</v>
      </c>
      <c r="M1672" s="528">
        <f>IF(E1672="STL",0,IF(F1672&gt;0,Pricing!$D$21,0))</f>
        <v>0</v>
      </c>
      <c r="N1672" s="529">
        <f>IF(E1672="STL",F1672*Pricing!$D$40,IF(A1672&lt;=Pricing!$C$4,0,IF(AND(A1672&gt;Pricing!$C$4,Disbursements!A1672&lt;=Pricing!$C$5),F1672*Pricing!$E$5,IF(AND(A1672&gt;Pricing!$C$5,Disbursements!A1672&lt;=Pricing!$C$7),VLOOKUP(F1672,Pricing!$D$7:$E$8,2)*Disbursements!F1672,F1672*Pricing!$E$9))))</f>
        <v>0</v>
      </c>
      <c r="O1672" s="528">
        <f>IF(E1672="STL",0,IF($F1672&gt;0,$F1672*Pricing!$D$17,0))</f>
        <v>0</v>
      </c>
      <c r="P1672" s="530" t="str">
        <f t="shared" si="698"/>
        <v/>
      </c>
      <c r="Q1672" s="531" t="str">
        <f>IF($A1672="","",$G1672/VLOOKUP($I1672,Ref!$B$23:$D$29,2,0))</f>
        <v/>
      </c>
      <c r="R1672" s="530" t="str">
        <f t="shared" si="699"/>
        <v/>
      </c>
      <c r="S1672" s="532" t="str">
        <f t="shared" si="693"/>
        <v/>
      </c>
      <c r="T1672" s="531" t="str">
        <f t="shared" si="700"/>
        <v/>
      </c>
      <c r="U1672" s="533">
        <f t="shared" si="701"/>
        <v>0</v>
      </c>
      <c r="V1672" s="531" t="str">
        <f t="shared" si="702"/>
        <v/>
      </c>
      <c r="W1672" s="531" t="str">
        <f t="shared" si="703"/>
        <v/>
      </c>
      <c r="X1672" s="534" t="str">
        <f t="shared" si="704"/>
        <v/>
      </c>
      <c r="Y1672" s="535" t="str">
        <f>IF($A1672="","",IF($I1672="weekly",$A1672+7,EDATE($A1672,VLOOKUP($I1672,Ref!$B$24:$C$29,2,0))))</f>
        <v/>
      </c>
      <c r="Z1672" s="536" t="str">
        <f t="shared" si="705"/>
        <v/>
      </c>
      <c r="AA1672" s="531">
        <f t="shared" si="706"/>
        <v>0</v>
      </c>
      <c r="AB1672" s="535" t="str">
        <f t="shared" si="694"/>
        <v/>
      </c>
      <c r="AC1672" s="537" t="str">
        <f t="shared" si="695"/>
        <v/>
      </c>
      <c r="AD1672" s="538" t="str">
        <f t="shared" ca="1" si="696"/>
        <v/>
      </c>
      <c r="AE1672" s="537">
        <f t="shared" ca="1" si="697"/>
        <v>0</v>
      </c>
      <c r="AF1672" s="539" t="str">
        <f t="shared" ca="1" si="707"/>
        <v/>
      </c>
      <c r="AG1672" s="531" t="str">
        <f t="shared" ca="1" si="708"/>
        <v/>
      </c>
      <c r="AH1672" s="531" t="str">
        <f t="shared" ca="1" si="709"/>
        <v/>
      </c>
      <c r="AI1672" s="531" t="str">
        <f t="shared" ca="1" si="710"/>
        <v/>
      </c>
      <c r="AJ1672" s="531" t="str">
        <f t="shared" si="711"/>
        <v/>
      </c>
      <c r="AK1672" s="540">
        <f>SUMIFS('Live Collections'!$S:$S,'Live Collections'!$D:$D,Disbursements!B1672,'Live Collections'!$G:$G,Disbursements!C1672)</f>
        <v>0</v>
      </c>
      <c r="AL1672" s="540">
        <f>SUMIFS('Live Collections'!$T:$T,'Live Collections'!$D:$D,Disbursements!B1672,'Live Collections'!$G:$G,Disbursements!C1672)</f>
        <v>0</v>
      </c>
      <c r="AM1672" s="541">
        <f t="shared" si="712"/>
        <v>0</v>
      </c>
      <c r="AN1672" s="542" t="str">
        <f t="shared" si="713"/>
        <v/>
      </c>
      <c r="AO1672" s="542" t="str">
        <f t="shared" si="714"/>
        <v/>
      </c>
      <c r="AP1672" s="543" t="str">
        <f t="shared" si="715"/>
        <v/>
      </c>
      <c r="AQ1672" s="544" t="str">
        <f t="shared" si="716"/>
        <v/>
      </c>
      <c r="AR1672" s="545">
        <f t="shared" si="717"/>
        <v>0</v>
      </c>
      <c r="AS1672" s="545">
        <f>IFERROR(CEILING($AR1672*VLOOKUP($I1672,Ref!$B$23:$E$29,4,0),1),0)</f>
        <v>0</v>
      </c>
      <c r="AT1672" s="545" t="str">
        <f>IF(A1672="","",IF(AP1672&lt;=1,"Cleared",IF(AS1672=0,"Clean",VLOOKUP($AS1672,Ref!$G$23:$H$28,2))))</f>
        <v/>
      </c>
      <c r="AU1672" s="546" t="str">
        <f t="shared" si="718"/>
        <v/>
      </c>
    </row>
    <row r="1673" spans="1:47" ht="14.25" hidden="1" customHeight="1" x14ac:dyDescent="0.15">
      <c r="A1673" s="575"/>
      <c r="B1673" s="548"/>
      <c r="C1673" s="548"/>
      <c r="D1673" s="548"/>
      <c r="E1673" s="583"/>
      <c r="F1673" s="584"/>
      <c r="G1673" s="548"/>
      <c r="H1673" s="550"/>
      <c r="I1673" s="560"/>
      <c r="J1673" s="548"/>
      <c r="K1673" s="528" t="str">
        <f>IFERROR(VLOOKUP($B1673,'Clients-Live'!$A:$C,3,0),"")</f>
        <v/>
      </c>
      <c r="L1673" s="528">
        <f>IF(E1673="STL",Pricing!$D$38,IF(A1673="",0,IF(A1673&lt;Pricing!$C$25,Pricing!$D$25,VLOOKUP(Disbursements!$F1673,Pricing!$B$29:$D$32,3))))</f>
        <v>0</v>
      </c>
      <c r="M1673" s="528">
        <f>IF(E1673="STL",0,IF(F1673&gt;0,Pricing!$D$21,0))</f>
        <v>0</v>
      </c>
      <c r="N1673" s="529">
        <f>IF(E1673="STL",F1673*Pricing!$D$40,IF(A1673&lt;=Pricing!$C$4,0,IF(AND(A1673&gt;Pricing!$C$4,Disbursements!A1673&lt;=Pricing!$C$5),F1673*Pricing!$E$5,IF(AND(A1673&gt;Pricing!$C$5,Disbursements!A1673&lt;=Pricing!$C$7),VLOOKUP(F1673,Pricing!$D$7:$E$8,2)*Disbursements!F1673,F1673*Pricing!$E$9))))</f>
        <v>0</v>
      </c>
      <c r="O1673" s="528">
        <f>IF(E1673="STL",0,IF($F1673&gt;0,$F1673*Pricing!$D$17,0))</f>
        <v>0</v>
      </c>
      <c r="P1673" s="530" t="str">
        <f t="shared" si="698"/>
        <v/>
      </c>
      <c r="Q1673" s="531" t="str">
        <f>IF($A1673="","",$G1673/VLOOKUP($I1673,Ref!$B$23:$D$29,2,0))</f>
        <v/>
      </c>
      <c r="R1673" s="530" t="str">
        <f t="shared" si="699"/>
        <v/>
      </c>
      <c r="S1673" s="532" t="str">
        <f t="shared" si="693"/>
        <v/>
      </c>
      <c r="T1673" s="531" t="str">
        <f t="shared" si="700"/>
        <v/>
      </c>
      <c r="U1673" s="533">
        <f t="shared" si="701"/>
        <v>0</v>
      </c>
      <c r="V1673" s="531" t="str">
        <f t="shared" si="702"/>
        <v/>
      </c>
      <c r="W1673" s="531" t="str">
        <f t="shared" si="703"/>
        <v/>
      </c>
      <c r="X1673" s="534" t="str">
        <f t="shared" si="704"/>
        <v/>
      </c>
      <c r="Y1673" s="535" t="str">
        <f>IF($A1673="","",IF($I1673="weekly",$A1673+7,EDATE($A1673,VLOOKUP($I1673,Ref!$B$24:$C$29,2,0))))</f>
        <v/>
      </c>
      <c r="Z1673" s="536" t="str">
        <f t="shared" si="705"/>
        <v/>
      </c>
      <c r="AA1673" s="531">
        <f t="shared" si="706"/>
        <v>0</v>
      </c>
      <c r="AB1673" s="535" t="str">
        <f t="shared" si="694"/>
        <v/>
      </c>
      <c r="AC1673" s="537" t="str">
        <f t="shared" si="695"/>
        <v/>
      </c>
      <c r="AD1673" s="538" t="str">
        <f t="shared" ca="1" si="696"/>
        <v/>
      </c>
      <c r="AE1673" s="537">
        <f t="shared" ca="1" si="697"/>
        <v>0</v>
      </c>
      <c r="AF1673" s="539" t="str">
        <f t="shared" ca="1" si="707"/>
        <v/>
      </c>
      <c r="AG1673" s="531" t="str">
        <f t="shared" ca="1" si="708"/>
        <v/>
      </c>
      <c r="AH1673" s="531" t="str">
        <f t="shared" ca="1" si="709"/>
        <v/>
      </c>
      <c r="AI1673" s="531" t="str">
        <f t="shared" ca="1" si="710"/>
        <v/>
      </c>
      <c r="AJ1673" s="531" t="str">
        <f t="shared" si="711"/>
        <v/>
      </c>
      <c r="AK1673" s="540">
        <f>SUMIFS('Live Collections'!$S:$S,'Live Collections'!$D:$D,Disbursements!B1673,'Live Collections'!$G:$G,Disbursements!C1673)</f>
        <v>0</v>
      </c>
      <c r="AL1673" s="540">
        <f>SUMIFS('Live Collections'!$T:$T,'Live Collections'!$D:$D,Disbursements!B1673,'Live Collections'!$G:$G,Disbursements!C1673)</f>
        <v>0</v>
      </c>
      <c r="AM1673" s="541">
        <f t="shared" si="712"/>
        <v>0</v>
      </c>
      <c r="AN1673" s="542" t="str">
        <f t="shared" si="713"/>
        <v/>
      </c>
      <c r="AO1673" s="542" t="str">
        <f t="shared" si="714"/>
        <v/>
      </c>
      <c r="AP1673" s="543" t="str">
        <f t="shared" si="715"/>
        <v/>
      </c>
      <c r="AQ1673" s="544" t="str">
        <f t="shared" si="716"/>
        <v/>
      </c>
      <c r="AR1673" s="545">
        <f t="shared" si="717"/>
        <v>0</v>
      </c>
      <c r="AS1673" s="545">
        <f>IFERROR(CEILING($AR1673*VLOOKUP($I1673,Ref!$B$23:$E$29,4,0),1),0)</f>
        <v>0</v>
      </c>
      <c r="AT1673" s="545" t="str">
        <f>IF(A1673="","",IF(AP1673&lt;=1,"Cleared",IF(AS1673=0,"Clean",VLOOKUP($AS1673,Ref!$G$23:$H$28,2))))</f>
        <v/>
      </c>
      <c r="AU1673" s="546" t="str">
        <f t="shared" si="718"/>
        <v/>
      </c>
    </row>
    <row r="1674" spans="1:47" ht="14.25" hidden="1" customHeight="1" x14ac:dyDescent="0.15">
      <c r="A1674" s="575"/>
      <c r="B1674" s="548"/>
      <c r="C1674" s="548"/>
      <c r="D1674" s="548"/>
      <c r="E1674" s="583"/>
      <c r="F1674" s="584"/>
      <c r="G1674" s="548"/>
      <c r="H1674" s="550"/>
      <c r="I1674" s="560"/>
      <c r="J1674" s="548"/>
      <c r="K1674" s="528" t="str">
        <f>IFERROR(VLOOKUP($B1674,'Clients-Live'!$A:$C,3,0),"")</f>
        <v/>
      </c>
      <c r="L1674" s="528">
        <f>IF(E1674="STL",Pricing!$D$38,IF(A1674="",0,IF(A1674&lt;Pricing!$C$25,Pricing!$D$25,VLOOKUP(Disbursements!$F1674,Pricing!$B$29:$D$32,3))))</f>
        <v>0</v>
      </c>
      <c r="M1674" s="528">
        <f>IF(E1674="STL",0,IF(F1674&gt;0,Pricing!$D$21,0))</f>
        <v>0</v>
      </c>
      <c r="N1674" s="529">
        <f>IF(E1674="STL",F1674*Pricing!$D$40,IF(A1674&lt;=Pricing!$C$4,0,IF(AND(A1674&gt;Pricing!$C$4,Disbursements!A1674&lt;=Pricing!$C$5),F1674*Pricing!$E$5,IF(AND(A1674&gt;Pricing!$C$5,Disbursements!A1674&lt;=Pricing!$C$7),VLOOKUP(F1674,Pricing!$D$7:$E$8,2)*Disbursements!F1674,F1674*Pricing!$E$9))))</f>
        <v>0</v>
      </c>
      <c r="O1674" s="528">
        <f>IF(E1674="STL",0,IF($F1674&gt;0,$F1674*Pricing!$D$17,0))</f>
        <v>0</v>
      </c>
      <c r="P1674" s="530" t="str">
        <f t="shared" si="698"/>
        <v/>
      </c>
      <c r="Q1674" s="531" t="str">
        <f>IF($A1674="","",$G1674/VLOOKUP($I1674,Ref!$B$23:$D$29,2,0))</f>
        <v/>
      </c>
      <c r="R1674" s="530" t="str">
        <f t="shared" si="699"/>
        <v/>
      </c>
      <c r="S1674" s="532" t="str">
        <f t="shared" si="693"/>
        <v/>
      </c>
      <c r="T1674" s="531" t="str">
        <f t="shared" si="700"/>
        <v/>
      </c>
      <c r="U1674" s="533">
        <f t="shared" si="701"/>
        <v>0</v>
      </c>
      <c r="V1674" s="531" t="str">
        <f t="shared" si="702"/>
        <v/>
      </c>
      <c r="W1674" s="531" t="str">
        <f t="shared" si="703"/>
        <v/>
      </c>
      <c r="X1674" s="534" t="str">
        <f t="shared" si="704"/>
        <v/>
      </c>
      <c r="Y1674" s="535" t="str">
        <f>IF($A1674="","",IF($I1674="weekly",$A1674+7,EDATE($A1674,VLOOKUP($I1674,Ref!$B$24:$C$29,2,0))))</f>
        <v/>
      </c>
      <c r="Z1674" s="536" t="str">
        <f t="shared" si="705"/>
        <v/>
      </c>
      <c r="AA1674" s="531">
        <f t="shared" si="706"/>
        <v>0</v>
      </c>
      <c r="AB1674" s="535" t="str">
        <f t="shared" si="694"/>
        <v/>
      </c>
      <c r="AC1674" s="537" t="str">
        <f t="shared" si="695"/>
        <v/>
      </c>
      <c r="AD1674" s="538" t="str">
        <f t="shared" ca="1" si="696"/>
        <v/>
      </c>
      <c r="AE1674" s="537">
        <f t="shared" ca="1" si="697"/>
        <v>0</v>
      </c>
      <c r="AF1674" s="539" t="str">
        <f t="shared" ca="1" si="707"/>
        <v/>
      </c>
      <c r="AG1674" s="531" t="str">
        <f t="shared" ca="1" si="708"/>
        <v/>
      </c>
      <c r="AH1674" s="531" t="str">
        <f t="shared" ca="1" si="709"/>
        <v/>
      </c>
      <c r="AI1674" s="531" t="str">
        <f t="shared" ca="1" si="710"/>
        <v/>
      </c>
      <c r="AJ1674" s="531" t="str">
        <f t="shared" si="711"/>
        <v/>
      </c>
      <c r="AK1674" s="540">
        <f>SUMIFS('Live Collections'!$S:$S,'Live Collections'!$D:$D,Disbursements!B1674,'Live Collections'!$G:$G,Disbursements!C1674)</f>
        <v>0</v>
      </c>
      <c r="AL1674" s="540">
        <f>SUMIFS('Live Collections'!$T:$T,'Live Collections'!$D:$D,Disbursements!B1674,'Live Collections'!$G:$G,Disbursements!C1674)</f>
        <v>0</v>
      </c>
      <c r="AM1674" s="541">
        <f t="shared" si="712"/>
        <v>0</v>
      </c>
      <c r="AN1674" s="542" t="str">
        <f t="shared" si="713"/>
        <v/>
      </c>
      <c r="AO1674" s="542" t="str">
        <f t="shared" si="714"/>
        <v/>
      </c>
      <c r="AP1674" s="543" t="str">
        <f t="shared" si="715"/>
        <v/>
      </c>
      <c r="AQ1674" s="544" t="str">
        <f t="shared" si="716"/>
        <v/>
      </c>
      <c r="AR1674" s="545">
        <f t="shared" si="717"/>
        <v>0</v>
      </c>
      <c r="AS1674" s="545">
        <f>IFERROR(CEILING($AR1674*VLOOKUP($I1674,Ref!$B$23:$E$29,4,0),1),0)</f>
        <v>0</v>
      </c>
      <c r="AT1674" s="545" t="str">
        <f>IF(A1674="","",IF(AP1674&lt;=1,"Cleared",IF(AS1674=0,"Clean",VLOOKUP($AS1674,Ref!$G$23:$H$28,2))))</f>
        <v/>
      </c>
      <c r="AU1674" s="546" t="str">
        <f t="shared" si="718"/>
        <v/>
      </c>
    </row>
    <row r="1675" spans="1:47" ht="14.25" hidden="1" customHeight="1" x14ac:dyDescent="0.15">
      <c r="A1675" s="575"/>
      <c r="B1675" s="548"/>
      <c r="C1675" s="548"/>
      <c r="D1675" s="548"/>
      <c r="E1675" s="583"/>
      <c r="F1675" s="584"/>
      <c r="G1675" s="548"/>
      <c r="H1675" s="550"/>
      <c r="I1675" s="560"/>
      <c r="J1675" s="548"/>
      <c r="K1675" s="528" t="str">
        <f>IFERROR(VLOOKUP($B1675,'Clients-Live'!$A:$C,3,0),"")</f>
        <v/>
      </c>
      <c r="L1675" s="528">
        <f>IF(E1675="STL",Pricing!$D$38,IF(A1675="",0,IF(A1675&lt;Pricing!$C$25,Pricing!$D$25,VLOOKUP(Disbursements!$F1675,Pricing!$B$29:$D$32,3))))</f>
        <v>0</v>
      </c>
      <c r="M1675" s="528">
        <f>IF(E1675="STL",0,IF(F1675&gt;0,Pricing!$D$21,0))</f>
        <v>0</v>
      </c>
      <c r="N1675" s="529">
        <f>IF(E1675="STL",F1675*Pricing!$D$40,IF(A1675&lt;=Pricing!$C$4,0,IF(AND(A1675&gt;Pricing!$C$4,Disbursements!A1675&lt;=Pricing!$C$5),F1675*Pricing!$E$5,IF(AND(A1675&gt;Pricing!$C$5,Disbursements!A1675&lt;=Pricing!$C$7),VLOOKUP(F1675,Pricing!$D$7:$E$8,2)*Disbursements!F1675,F1675*Pricing!$E$9))))</f>
        <v>0</v>
      </c>
      <c r="O1675" s="528">
        <f>IF(E1675="STL",0,IF($F1675&gt;0,$F1675*Pricing!$D$17,0))</f>
        <v>0</v>
      </c>
      <c r="P1675" s="530" t="str">
        <f t="shared" si="698"/>
        <v/>
      </c>
      <c r="Q1675" s="531" t="str">
        <f>IF($A1675="","",$G1675/VLOOKUP($I1675,Ref!$B$23:$D$29,2,0))</f>
        <v/>
      </c>
      <c r="R1675" s="530" t="str">
        <f t="shared" si="699"/>
        <v/>
      </c>
      <c r="S1675" s="532" t="str">
        <f t="shared" si="693"/>
        <v/>
      </c>
      <c r="T1675" s="531" t="str">
        <f t="shared" si="700"/>
        <v/>
      </c>
      <c r="U1675" s="533">
        <f t="shared" si="701"/>
        <v>0</v>
      </c>
      <c r="V1675" s="531" t="str">
        <f t="shared" si="702"/>
        <v/>
      </c>
      <c r="W1675" s="531" t="str">
        <f t="shared" si="703"/>
        <v/>
      </c>
      <c r="X1675" s="534" t="str">
        <f t="shared" si="704"/>
        <v/>
      </c>
      <c r="Y1675" s="535" t="str">
        <f>IF($A1675="","",IF($I1675="weekly",$A1675+7,EDATE($A1675,VLOOKUP($I1675,Ref!$B$24:$C$29,2,0))))</f>
        <v/>
      </c>
      <c r="Z1675" s="536" t="str">
        <f t="shared" si="705"/>
        <v/>
      </c>
      <c r="AA1675" s="531">
        <f t="shared" si="706"/>
        <v>0</v>
      </c>
      <c r="AB1675" s="535" t="str">
        <f t="shared" si="694"/>
        <v/>
      </c>
      <c r="AC1675" s="537" t="str">
        <f t="shared" si="695"/>
        <v/>
      </c>
      <c r="AD1675" s="538" t="str">
        <f t="shared" ca="1" si="696"/>
        <v/>
      </c>
      <c r="AE1675" s="537">
        <f t="shared" ca="1" si="697"/>
        <v>0</v>
      </c>
      <c r="AF1675" s="539" t="str">
        <f t="shared" ca="1" si="707"/>
        <v/>
      </c>
      <c r="AG1675" s="531" t="str">
        <f t="shared" ca="1" si="708"/>
        <v/>
      </c>
      <c r="AH1675" s="531" t="str">
        <f t="shared" ca="1" si="709"/>
        <v/>
      </c>
      <c r="AI1675" s="531" t="str">
        <f t="shared" ca="1" si="710"/>
        <v/>
      </c>
      <c r="AJ1675" s="531" t="str">
        <f t="shared" si="711"/>
        <v/>
      </c>
      <c r="AK1675" s="540">
        <f>SUMIFS('Live Collections'!$S:$S,'Live Collections'!$D:$D,Disbursements!B1675,'Live Collections'!$G:$G,Disbursements!C1675)</f>
        <v>0</v>
      </c>
      <c r="AL1675" s="540">
        <f>SUMIFS('Live Collections'!$T:$T,'Live Collections'!$D:$D,Disbursements!B1675,'Live Collections'!$G:$G,Disbursements!C1675)</f>
        <v>0</v>
      </c>
      <c r="AM1675" s="541">
        <f t="shared" si="712"/>
        <v>0</v>
      </c>
      <c r="AN1675" s="542" t="str">
        <f t="shared" si="713"/>
        <v/>
      </c>
      <c r="AO1675" s="542" t="str">
        <f t="shared" si="714"/>
        <v/>
      </c>
      <c r="AP1675" s="543" t="str">
        <f t="shared" si="715"/>
        <v/>
      </c>
      <c r="AQ1675" s="544" t="str">
        <f t="shared" si="716"/>
        <v/>
      </c>
      <c r="AR1675" s="545">
        <f t="shared" si="717"/>
        <v>0</v>
      </c>
      <c r="AS1675" s="545">
        <f>IFERROR(CEILING($AR1675*VLOOKUP($I1675,Ref!$B$23:$E$29,4,0),1),0)</f>
        <v>0</v>
      </c>
      <c r="AT1675" s="545" t="str">
        <f>IF(A1675="","",IF(AP1675&lt;=1,"Cleared",IF(AS1675=0,"Clean",VLOOKUP($AS1675,Ref!$G$23:$H$28,2))))</f>
        <v/>
      </c>
      <c r="AU1675" s="546" t="str">
        <f t="shared" si="718"/>
        <v/>
      </c>
    </row>
    <row r="1676" spans="1:47" ht="14.25" hidden="1" customHeight="1" x14ac:dyDescent="0.15">
      <c r="A1676" s="575"/>
      <c r="B1676" s="548"/>
      <c r="C1676" s="548"/>
      <c r="D1676" s="548"/>
      <c r="E1676" s="583"/>
      <c r="F1676" s="584"/>
      <c r="G1676" s="548"/>
      <c r="H1676" s="550"/>
      <c r="I1676" s="560"/>
      <c r="J1676" s="548"/>
      <c r="K1676" s="528" t="str">
        <f>IFERROR(VLOOKUP($B1676,'Clients-Live'!$A:$C,3,0),"")</f>
        <v/>
      </c>
      <c r="L1676" s="528">
        <f>IF(E1676="STL",Pricing!$D$38,IF(A1676="",0,IF(A1676&lt;Pricing!$C$25,Pricing!$D$25,VLOOKUP(Disbursements!$F1676,Pricing!$B$29:$D$32,3))))</f>
        <v>0</v>
      </c>
      <c r="M1676" s="528">
        <f>IF(E1676="STL",0,IF(F1676&gt;0,Pricing!$D$21,0))</f>
        <v>0</v>
      </c>
      <c r="N1676" s="529">
        <f>IF(E1676="STL",F1676*Pricing!$D$40,IF(A1676&lt;=Pricing!$C$4,0,IF(AND(A1676&gt;Pricing!$C$4,Disbursements!A1676&lt;=Pricing!$C$5),F1676*Pricing!$E$5,IF(AND(A1676&gt;Pricing!$C$5,Disbursements!A1676&lt;=Pricing!$C$7),VLOOKUP(F1676,Pricing!$D$7:$E$8,2)*Disbursements!F1676,F1676*Pricing!$E$9))))</f>
        <v>0</v>
      </c>
      <c r="O1676" s="528">
        <f>IF(E1676="STL",0,IF($F1676&gt;0,$F1676*Pricing!$D$17,0))</f>
        <v>0</v>
      </c>
      <c r="P1676" s="530" t="str">
        <f t="shared" si="698"/>
        <v/>
      </c>
      <c r="Q1676" s="531" t="str">
        <f>IF($A1676="","",$G1676/VLOOKUP($I1676,Ref!$B$23:$D$29,2,0))</f>
        <v/>
      </c>
      <c r="R1676" s="530" t="str">
        <f t="shared" si="699"/>
        <v/>
      </c>
      <c r="S1676" s="532" t="str">
        <f t="shared" si="693"/>
        <v/>
      </c>
      <c r="T1676" s="531" t="str">
        <f t="shared" si="700"/>
        <v/>
      </c>
      <c r="U1676" s="533">
        <f t="shared" si="701"/>
        <v>0</v>
      </c>
      <c r="V1676" s="531" t="str">
        <f t="shared" si="702"/>
        <v/>
      </c>
      <c r="W1676" s="531" t="str">
        <f t="shared" si="703"/>
        <v/>
      </c>
      <c r="X1676" s="534" t="str">
        <f t="shared" si="704"/>
        <v/>
      </c>
      <c r="Y1676" s="535" t="str">
        <f>IF($A1676="","",IF($I1676="weekly",$A1676+7,EDATE($A1676,VLOOKUP($I1676,Ref!$B$24:$C$29,2,0))))</f>
        <v/>
      </c>
      <c r="Z1676" s="536" t="str">
        <f t="shared" si="705"/>
        <v/>
      </c>
      <c r="AA1676" s="531">
        <f t="shared" si="706"/>
        <v>0</v>
      </c>
      <c r="AB1676" s="535" t="str">
        <f t="shared" si="694"/>
        <v/>
      </c>
      <c r="AC1676" s="537" t="str">
        <f t="shared" si="695"/>
        <v/>
      </c>
      <c r="AD1676" s="538" t="str">
        <f t="shared" ca="1" si="696"/>
        <v/>
      </c>
      <c r="AE1676" s="537">
        <f t="shared" ca="1" si="697"/>
        <v>0</v>
      </c>
      <c r="AF1676" s="539" t="str">
        <f t="shared" ca="1" si="707"/>
        <v/>
      </c>
      <c r="AG1676" s="531" t="str">
        <f t="shared" ca="1" si="708"/>
        <v/>
      </c>
      <c r="AH1676" s="531" t="str">
        <f t="shared" ca="1" si="709"/>
        <v/>
      </c>
      <c r="AI1676" s="531" t="str">
        <f t="shared" ca="1" si="710"/>
        <v/>
      </c>
      <c r="AJ1676" s="531" t="str">
        <f t="shared" si="711"/>
        <v/>
      </c>
      <c r="AK1676" s="540">
        <f>SUMIFS('Live Collections'!$S:$S,'Live Collections'!$D:$D,Disbursements!B1676,'Live Collections'!$G:$G,Disbursements!C1676)</f>
        <v>0</v>
      </c>
      <c r="AL1676" s="540">
        <f>SUMIFS('Live Collections'!$T:$T,'Live Collections'!$D:$D,Disbursements!B1676,'Live Collections'!$G:$G,Disbursements!C1676)</f>
        <v>0</v>
      </c>
      <c r="AM1676" s="541">
        <f t="shared" si="712"/>
        <v>0</v>
      </c>
      <c r="AN1676" s="542" t="str">
        <f t="shared" si="713"/>
        <v/>
      </c>
      <c r="AO1676" s="542" t="str">
        <f t="shared" si="714"/>
        <v/>
      </c>
      <c r="AP1676" s="543" t="str">
        <f t="shared" si="715"/>
        <v/>
      </c>
      <c r="AQ1676" s="544" t="str">
        <f t="shared" si="716"/>
        <v/>
      </c>
      <c r="AR1676" s="545">
        <f t="shared" si="717"/>
        <v>0</v>
      </c>
      <c r="AS1676" s="545">
        <f>IFERROR(CEILING($AR1676*VLOOKUP($I1676,Ref!$B$23:$E$29,4,0),1),0)</f>
        <v>0</v>
      </c>
      <c r="AT1676" s="545" t="str">
        <f>IF(A1676="","",IF(AP1676&lt;=1,"Cleared",IF(AS1676=0,"Clean",VLOOKUP($AS1676,Ref!$G$23:$H$28,2))))</f>
        <v/>
      </c>
      <c r="AU1676" s="546" t="str">
        <f t="shared" si="718"/>
        <v/>
      </c>
    </row>
    <row r="1677" spans="1:47" ht="14.25" hidden="1" customHeight="1" x14ac:dyDescent="0.15">
      <c r="A1677" s="575"/>
      <c r="B1677" s="548"/>
      <c r="C1677" s="548"/>
      <c r="D1677" s="548"/>
      <c r="E1677" s="583"/>
      <c r="F1677" s="584"/>
      <c r="G1677" s="548"/>
      <c r="H1677" s="550"/>
      <c r="I1677" s="560"/>
      <c r="J1677" s="548"/>
      <c r="K1677" s="528" t="str">
        <f>IFERROR(VLOOKUP($B1677,'Clients-Live'!$A:$C,3,0),"")</f>
        <v/>
      </c>
      <c r="L1677" s="528">
        <f>IF(E1677="STL",Pricing!$D$38,IF(A1677="",0,IF(A1677&lt;Pricing!$C$25,Pricing!$D$25,VLOOKUP(Disbursements!$F1677,Pricing!$B$29:$D$32,3))))</f>
        <v>0</v>
      </c>
      <c r="M1677" s="528">
        <f>IF(E1677="STL",0,IF(F1677&gt;0,Pricing!$D$21,0))</f>
        <v>0</v>
      </c>
      <c r="N1677" s="529">
        <f>IF(E1677="STL",F1677*Pricing!$D$40,IF(A1677&lt;=Pricing!$C$4,0,IF(AND(A1677&gt;Pricing!$C$4,Disbursements!A1677&lt;=Pricing!$C$5),F1677*Pricing!$E$5,IF(AND(A1677&gt;Pricing!$C$5,Disbursements!A1677&lt;=Pricing!$C$7),VLOOKUP(F1677,Pricing!$D$7:$E$8,2)*Disbursements!F1677,F1677*Pricing!$E$9))))</f>
        <v>0</v>
      </c>
      <c r="O1677" s="528">
        <f>IF(E1677="STL",0,IF($F1677&gt;0,$F1677*Pricing!$D$17,0))</f>
        <v>0</v>
      </c>
      <c r="P1677" s="530" t="str">
        <f t="shared" si="698"/>
        <v/>
      </c>
      <c r="Q1677" s="531" t="str">
        <f>IF($A1677="","",$G1677/VLOOKUP($I1677,Ref!$B$23:$D$29,2,0))</f>
        <v/>
      </c>
      <c r="R1677" s="530" t="str">
        <f t="shared" si="699"/>
        <v/>
      </c>
      <c r="S1677" s="532" t="str">
        <f t="shared" si="693"/>
        <v/>
      </c>
      <c r="T1677" s="531" t="str">
        <f t="shared" si="700"/>
        <v/>
      </c>
      <c r="U1677" s="533">
        <f t="shared" si="701"/>
        <v>0</v>
      </c>
      <c r="V1677" s="531" t="str">
        <f t="shared" si="702"/>
        <v/>
      </c>
      <c r="W1677" s="531" t="str">
        <f t="shared" si="703"/>
        <v/>
      </c>
      <c r="X1677" s="534" t="str">
        <f t="shared" si="704"/>
        <v/>
      </c>
      <c r="Y1677" s="535" t="str">
        <f>IF($A1677="","",IF($I1677="weekly",$A1677+7,EDATE($A1677,VLOOKUP($I1677,Ref!$B$24:$C$29,2,0))))</f>
        <v/>
      </c>
      <c r="Z1677" s="536" t="str">
        <f t="shared" si="705"/>
        <v/>
      </c>
      <c r="AA1677" s="531">
        <f t="shared" si="706"/>
        <v>0</v>
      </c>
      <c r="AB1677" s="535" t="str">
        <f t="shared" si="694"/>
        <v/>
      </c>
      <c r="AC1677" s="537" t="str">
        <f t="shared" si="695"/>
        <v/>
      </c>
      <c r="AD1677" s="538" t="str">
        <f t="shared" ca="1" si="696"/>
        <v/>
      </c>
      <c r="AE1677" s="537">
        <f t="shared" ca="1" si="697"/>
        <v>0</v>
      </c>
      <c r="AF1677" s="539" t="str">
        <f t="shared" ca="1" si="707"/>
        <v/>
      </c>
      <c r="AG1677" s="531" t="str">
        <f t="shared" ca="1" si="708"/>
        <v/>
      </c>
      <c r="AH1677" s="531" t="str">
        <f t="shared" ca="1" si="709"/>
        <v/>
      </c>
      <c r="AI1677" s="531" t="str">
        <f t="shared" ca="1" si="710"/>
        <v/>
      </c>
      <c r="AJ1677" s="531" t="str">
        <f t="shared" si="711"/>
        <v/>
      </c>
      <c r="AK1677" s="540">
        <f>SUMIFS('Live Collections'!$S:$S,'Live Collections'!$D:$D,Disbursements!B1677,'Live Collections'!$G:$G,Disbursements!C1677)</f>
        <v>0</v>
      </c>
      <c r="AL1677" s="540">
        <f>SUMIFS('Live Collections'!$T:$T,'Live Collections'!$D:$D,Disbursements!B1677,'Live Collections'!$G:$G,Disbursements!C1677)</f>
        <v>0</v>
      </c>
      <c r="AM1677" s="541">
        <f t="shared" si="712"/>
        <v>0</v>
      </c>
      <c r="AN1677" s="542" t="str">
        <f t="shared" si="713"/>
        <v/>
      </c>
      <c r="AO1677" s="542" t="str">
        <f t="shared" si="714"/>
        <v/>
      </c>
      <c r="AP1677" s="543" t="str">
        <f t="shared" si="715"/>
        <v/>
      </c>
      <c r="AQ1677" s="544" t="str">
        <f t="shared" si="716"/>
        <v/>
      </c>
      <c r="AR1677" s="545">
        <f t="shared" si="717"/>
        <v>0</v>
      </c>
      <c r="AS1677" s="545">
        <f>IFERROR(CEILING($AR1677*VLOOKUP($I1677,Ref!$B$23:$E$29,4,0),1),0)</f>
        <v>0</v>
      </c>
      <c r="AT1677" s="545" t="str">
        <f>IF(A1677="","",IF(AP1677&lt;=1,"Cleared",IF(AS1677=0,"Clean",VLOOKUP($AS1677,Ref!$G$23:$H$28,2))))</f>
        <v/>
      </c>
      <c r="AU1677" s="546" t="str">
        <f t="shared" si="718"/>
        <v/>
      </c>
    </row>
    <row r="1678" spans="1:47" ht="14.25" hidden="1" customHeight="1" x14ac:dyDescent="0.15">
      <c r="A1678" s="575"/>
      <c r="B1678" s="548"/>
      <c r="C1678" s="548"/>
      <c r="D1678" s="548"/>
      <c r="E1678" s="583"/>
      <c r="F1678" s="584"/>
      <c r="G1678" s="548"/>
      <c r="H1678" s="550"/>
      <c r="I1678" s="560"/>
      <c r="J1678" s="548"/>
      <c r="K1678" s="528" t="str">
        <f>IFERROR(VLOOKUP($B1678,'Clients-Live'!$A:$C,3,0),"")</f>
        <v/>
      </c>
      <c r="L1678" s="528">
        <f>IF(E1678="STL",Pricing!$D$38,IF(A1678="",0,IF(A1678&lt;Pricing!$C$25,Pricing!$D$25,VLOOKUP(Disbursements!$F1678,Pricing!$B$29:$D$32,3))))</f>
        <v>0</v>
      </c>
      <c r="M1678" s="528">
        <f>IF(E1678="STL",0,IF(F1678&gt;0,Pricing!$D$21,0))</f>
        <v>0</v>
      </c>
      <c r="N1678" s="529">
        <f>IF(E1678="STL",F1678*Pricing!$D$40,IF(A1678&lt;=Pricing!$C$4,0,IF(AND(A1678&gt;Pricing!$C$4,Disbursements!A1678&lt;=Pricing!$C$5),F1678*Pricing!$E$5,IF(AND(A1678&gt;Pricing!$C$5,Disbursements!A1678&lt;=Pricing!$C$7),VLOOKUP(F1678,Pricing!$D$7:$E$8,2)*Disbursements!F1678,F1678*Pricing!$E$9))))</f>
        <v>0</v>
      </c>
      <c r="O1678" s="528">
        <f>IF(E1678="STL",0,IF($F1678&gt;0,$F1678*Pricing!$D$17,0))</f>
        <v>0</v>
      </c>
      <c r="P1678" s="530" t="str">
        <f t="shared" si="698"/>
        <v/>
      </c>
      <c r="Q1678" s="531" t="str">
        <f>IF($A1678="","",$G1678/VLOOKUP($I1678,Ref!$B$23:$D$29,2,0))</f>
        <v/>
      </c>
      <c r="R1678" s="530" t="str">
        <f t="shared" si="699"/>
        <v/>
      </c>
      <c r="S1678" s="532" t="str">
        <f t="shared" si="693"/>
        <v/>
      </c>
      <c r="T1678" s="531" t="str">
        <f t="shared" si="700"/>
        <v/>
      </c>
      <c r="U1678" s="533">
        <f t="shared" si="701"/>
        <v>0</v>
      </c>
      <c r="V1678" s="531" t="str">
        <f t="shared" si="702"/>
        <v/>
      </c>
      <c r="W1678" s="531" t="str">
        <f t="shared" si="703"/>
        <v/>
      </c>
      <c r="X1678" s="534" t="str">
        <f t="shared" si="704"/>
        <v/>
      </c>
      <c r="Y1678" s="535" t="str">
        <f>IF($A1678="","",IF($I1678="weekly",$A1678+7,EDATE($A1678,VLOOKUP($I1678,Ref!$B$24:$C$29,2,0))))</f>
        <v/>
      </c>
      <c r="Z1678" s="536" t="str">
        <f t="shared" si="705"/>
        <v/>
      </c>
      <c r="AA1678" s="531">
        <f t="shared" si="706"/>
        <v>0</v>
      </c>
      <c r="AB1678" s="535" t="str">
        <f t="shared" si="694"/>
        <v/>
      </c>
      <c r="AC1678" s="537" t="str">
        <f t="shared" si="695"/>
        <v/>
      </c>
      <c r="AD1678" s="538" t="str">
        <f t="shared" ca="1" si="696"/>
        <v/>
      </c>
      <c r="AE1678" s="537">
        <f t="shared" ca="1" si="697"/>
        <v>0</v>
      </c>
      <c r="AF1678" s="539" t="str">
        <f t="shared" ca="1" si="707"/>
        <v/>
      </c>
      <c r="AG1678" s="531" t="str">
        <f t="shared" ca="1" si="708"/>
        <v/>
      </c>
      <c r="AH1678" s="531" t="str">
        <f t="shared" ca="1" si="709"/>
        <v/>
      </c>
      <c r="AI1678" s="531" t="str">
        <f t="shared" ca="1" si="710"/>
        <v/>
      </c>
      <c r="AJ1678" s="531" t="str">
        <f t="shared" si="711"/>
        <v/>
      </c>
      <c r="AK1678" s="540">
        <f>SUMIFS('Live Collections'!$S:$S,'Live Collections'!$D:$D,Disbursements!B1678,'Live Collections'!$G:$G,Disbursements!C1678)</f>
        <v>0</v>
      </c>
      <c r="AL1678" s="540">
        <f>SUMIFS('Live Collections'!$T:$T,'Live Collections'!$D:$D,Disbursements!B1678,'Live Collections'!$G:$G,Disbursements!C1678)</f>
        <v>0</v>
      </c>
      <c r="AM1678" s="541">
        <f t="shared" si="712"/>
        <v>0</v>
      </c>
      <c r="AN1678" s="542" t="str">
        <f t="shared" si="713"/>
        <v/>
      </c>
      <c r="AO1678" s="542" t="str">
        <f t="shared" si="714"/>
        <v/>
      </c>
      <c r="AP1678" s="543" t="str">
        <f t="shared" si="715"/>
        <v/>
      </c>
      <c r="AQ1678" s="544" t="str">
        <f t="shared" si="716"/>
        <v/>
      </c>
      <c r="AR1678" s="545">
        <f t="shared" si="717"/>
        <v>0</v>
      </c>
      <c r="AS1678" s="545">
        <f>IFERROR(CEILING($AR1678*VLOOKUP($I1678,Ref!$B$23:$E$29,4,0),1),0)</f>
        <v>0</v>
      </c>
      <c r="AT1678" s="545" t="str">
        <f>IF(A1678="","",IF(AP1678&lt;=1,"Cleared",IF(AS1678=0,"Clean",VLOOKUP($AS1678,Ref!$G$23:$H$28,2))))</f>
        <v/>
      </c>
      <c r="AU1678" s="546" t="str">
        <f t="shared" si="718"/>
        <v/>
      </c>
    </row>
    <row r="1679" spans="1:47" ht="14.25" hidden="1" customHeight="1" x14ac:dyDescent="0.15">
      <c r="A1679" s="575"/>
      <c r="B1679" s="548"/>
      <c r="C1679" s="548"/>
      <c r="D1679" s="548"/>
      <c r="E1679" s="583"/>
      <c r="F1679" s="584"/>
      <c r="G1679" s="548"/>
      <c r="H1679" s="550"/>
      <c r="I1679" s="560"/>
      <c r="J1679" s="548"/>
      <c r="K1679" s="528" t="str">
        <f>IFERROR(VLOOKUP($B1679,'Clients-Live'!$A:$C,3,0),"")</f>
        <v/>
      </c>
      <c r="L1679" s="528">
        <f>IF(E1679="STL",Pricing!$D$38,IF(A1679="",0,IF(A1679&lt;Pricing!$C$25,Pricing!$D$25,VLOOKUP(Disbursements!$F1679,Pricing!$B$29:$D$32,3))))</f>
        <v>0</v>
      </c>
      <c r="M1679" s="528">
        <f>IF(E1679="STL",0,IF(F1679&gt;0,Pricing!$D$21,0))</f>
        <v>0</v>
      </c>
      <c r="N1679" s="529">
        <f>IF(E1679="STL",F1679*Pricing!$D$40,IF(A1679&lt;=Pricing!$C$4,0,IF(AND(A1679&gt;Pricing!$C$4,Disbursements!A1679&lt;=Pricing!$C$5),F1679*Pricing!$E$5,IF(AND(A1679&gt;Pricing!$C$5,Disbursements!A1679&lt;=Pricing!$C$7),VLOOKUP(F1679,Pricing!$D$7:$E$8,2)*Disbursements!F1679,F1679*Pricing!$E$9))))</f>
        <v>0</v>
      </c>
      <c r="O1679" s="528">
        <f>IF(E1679="STL",0,IF($F1679&gt;0,$F1679*Pricing!$D$17,0))</f>
        <v>0</v>
      </c>
      <c r="P1679" s="530" t="str">
        <f t="shared" si="698"/>
        <v/>
      </c>
      <c r="Q1679" s="531" t="str">
        <f>IF($A1679="","",$G1679/VLOOKUP($I1679,Ref!$B$23:$D$29,2,0))</f>
        <v/>
      </c>
      <c r="R1679" s="530" t="str">
        <f t="shared" si="699"/>
        <v/>
      </c>
      <c r="S1679" s="532" t="str">
        <f t="shared" si="693"/>
        <v/>
      </c>
      <c r="T1679" s="531" t="str">
        <f t="shared" si="700"/>
        <v/>
      </c>
      <c r="U1679" s="533">
        <f t="shared" si="701"/>
        <v>0</v>
      </c>
      <c r="V1679" s="531" t="str">
        <f t="shared" si="702"/>
        <v/>
      </c>
      <c r="W1679" s="531" t="str">
        <f t="shared" si="703"/>
        <v/>
      </c>
      <c r="X1679" s="534" t="str">
        <f t="shared" si="704"/>
        <v/>
      </c>
      <c r="Y1679" s="535" t="str">
        <f>IF($A1679="","",IF($I1679="weekly",$A1679+7,EDATE($A1679,VLOOKUP($I1679,Ref!$B$24:$C$29,2,0))))</f>
        <v/>
      </c>
      <c r="Z1679" s="536" t="str">
        <f t="shared" si="705"/>
        <v/>
      </c>
      <c r="AA1679" s="531">
        <f t="shared" si="706"/>
        <v>0</v>
      </c>
      <c r="AB1679" s="535" t="str">
        <f t="shared" si="694"/>
        <v/>
      </c>
      <c r="AC1679" s="537" t="str">
        <f t="shared" si="695"/>
        <v/>
      </c>
      <c r="AD1679" s="538" t="str">
        <f t="shared" ca="1" si="696"/>
        <v/>
      </c>
      <c r="AE1679" s="537">
        <f t="shared" ca="1" si="697"/>
        <v>0</v>
      </c>
      <c r="AF1679" s="539" t="str">
        <f t="shared" ca="1" si="707"/>
        <v/>
      </c>
      <c r="AG1679" s="531" t="str">
        <f t="shared" ca="1" si="708"/>
        <v/>
      </c>
      <c r="AH1679" s="531" t="str">
        <f t="shared" ca="1" si="709"/>
        <v/>
      </c>
      <c r="AI1679" s="531" t="str">
        <f t="shared" ca="1" si="710"/>
        <v/>
      </c>
      <c r="AJ1679" s="531" t="str">
        <f t="shared" si="711"/>
        <v/>
      </c>
      <c r="AK1679" s="540">
        <f>SUMIFS('Live Collections'!$S:$S,'Live Collections'!$D:$D,Disbursements!B1679,'Live Collections'!$G:$G,Disbursements!C1679)</f>
        <v>0</v>
      </c>
      <c r="AL1679" s="540">
        <f>SUMIFS('Live Collections'!$T:$T,'Live Collections'!$D:$D,Disbursements!B1679,'Live Collections'!$G:$G,Disbursements!C1679)</f>
        <v>0</v>
      </c>
      <c r="AM1679" s="541">
        <f t="shared" si="712"/>
        <v>0</v>
      </c>
      <c r="AN1679" s="542" t="str">
        <f t="shared" si="713"/>
        <v/>
      </c>
      <c r="AO1679" s="542" t="str">
        <f t="shared" si="714"/>
        <v/>
      </c>
      <c r="AP1679" s="543" t="str">
        <f t="shared" si="715"/>
        <v/>
      </c>
      <c r="AQ1679" s="544" t="str">
        <f t="shared" si="716"/>
        <v/>
      </c>
      <c r="AR1679" s="545">
        <f t="shared" si="717"/>
        <v>0</v>
      </c>
      <c r="AS1679" s="545">
        <f>IFERROR(CEILING($AR1679*VLOOKUP($I1679,Ref!$B$23:$E$29,4,0),1),0)</f>
        <v>0</v>
      </c>
      <c r="AT1679" s="545" t="str">
        <f>IF(A1679="","",IF(AP1679&lt;=1,"Cleared",IF(AS1679=0,"Clean",VLOOKUP($AS1679,Ref!$G$23:$H$28,2))))</f>
        <v/>
      </c>
      <c r="AU1679" s="546" t="str">
        <f t="shared" si="718"/>
        <v/>
      </c>
    </row>
    <row r="1680" spans="1:47" ht="14.25" hidden="1" customHeight="1" x14ac:dyDescent="0.15">
      <c r="A1680" s="575"/>
      <c r="B1680" s="548"/>
      <c r="C1680" s="548"/>
      <c r="D1680" s="548"/>
      <c r="E1680" s="583"/>
      <c r="F1680" s="584"/>
      <c r="G1680" s="548"/>
      <c r="H1680" s="550"/>
      <c r="I1680" s="560"/>
      <c r="J1680" s="548"/>
      <c r="K1680" s="528" t="str">
        <f>IFERROR(VLOOKUP($B1680,'Clients-Live'!$A:$C,3,0),"")</f>
        <v/>
      </c>
      <c r="L1680" s="528">
        <f>IF(E1680="STL",Pricing!$D$38,IF(A1680="",0,IF(A1680&lt;Pricing!$C$25,Pricing!$D$25,VLOOKUP(Disbursements!$F1680,Pricing!$B$29:$D$32,3))))</f>
        <v>0</v>
      </c>
      <c r="M1680" s="528">
        <f>IF(E1680="STL",0,IF(F1680&gt;0,Pricing!$D$21,0))</f>
        <v>0</v>
      </c>
      <c r="N1680" s="529">
        <f>IF(E1680="STL",F1680*Pricing!$D$40,IF(A1680&lt;=Pricing!$C$4,0,IF(AND(A1680&gt;Pricing!$C$4,Disbursements!A1680&lt;=Pricing!$C$5),F1680*Pricing!$E$5,IF(AND(A1680&gt;Pricing!$C$5,Disbursements!A1680&lt;=Pricing!$C$7),VLOOKUP(F1680,Pricing!$D$7:$E$8,2)*Disbursements!F1680,F1680*Pricing!$E$9))))</f>
        <v>0</v>
      </c>
      <c r="O1680" s="528">
        <f>IF(E1680="STL",0,IF($F1680&gt;0,$F1680*Pricing!$D$17,0))</f>
        <v>0</v>
      </c>
      <c r="P1680" s="530" t="str">
        <f t="shared" si="698"/>
        <v/>
      </c>
      <c r="Q1680" s="531" t="str">
        <f>IF($A1680="","",$G1680/VLOOKUP($I1680,Ref!$B$23:$D$29,2,0))</f>
        <v/>
      </c>
      <c r="R1680" s="530" t="str">
        <f t="shared" si="699"/>
        <v/>
      </c>
      <c r="S1680" s="532" t="str">
        <f t="shared" si="693"/>
        <v/>
      </c>
      <c r="T1680" s="531" t="str">
        <f t="shared" si="700"/>
        <v/>
      </c>
      <c r="U1680" s="533">
        <f t="shared" si="701"/>
        <v>0</v>
      </c>
      <c r="V1680" s="531" t="str">
        <f t="shared" si="702"/>
        <v/>
      </c>
      <c r="W1680" s="531" t="str">
        <f t="shared" si="703"/>
        <v/>
      </c>
      <c r="X1680" s="534" t="str">
        <f t="shared" si="704"/>
        <v/>
      </c>
      <c r="Y1680" s="535" t="str">
        <f>IF($A1680="","",IF($I1680="weekly",$A1680+7,EDATE($A1680,VLOOKUP($I1680,Ref!$B$24:$C$29,2,0))))</f>
        <v/>
      </c>
      <c r="Z1680" s="536" t="str">
        <f t="shared" si="705"/>
        <v/>
      </c>
      <c r="AA1680" s="531">
        <f t="shared" si="706"/>
        <v>0</v>
      </c>
      <c r="AB1680" s="535" t="str">
        <f t="shared" si="694"/>
        <v/>
      </c>
      <c r="AC1680" s="537" t="str">
        <f t="shared" si="695"/>
        <v/>
      </c>
      <c r="AD1680" s="538" t="str">
        <f t="shared" ca="1" si="696"/>
        <v/>
      </c>
      <c r="AE1680" s="537">
        <f t="shared" ca="1" si="697"/>
        <v>0</v>
      </c>
      <c r="AF1680" s="539" t="str">
        <f t="shared" ca="1" si="707"/>
        <v/>
      </c>
      <c r="AG1680" s="531" t="str">
        <f t="shared" ca="1" si="708"/>
        <v/>
      </c>
      <c r="AH1680" s="531" t="str">
        <f t="shared" ca="1" si="709"/>
        <v/>
      </c>
      <c r="AI1680" s="531" t="str">
        <f t="shared" ca="1" si="710"/>
        <v/>
      </c>
      <c r="AJ1680" s="531" t="str">
        <f t="shared" si="711"/>
        <v/>
      </c>
      <c r="AK1680" s="540">
        <f>SUMIFS('Live Collections'!$S:$S,'Live Collections'!$D:$D,Disbursements!B1680,'Live Collections'!$G:$G,Disbursements!C1680)</f>
        <v>0</v>
      </c>
      <c r="AL1680" s="540">
        <f>SUMIFS('Live Collections'!$T:$T,'Live Collections'!$D:$D,Disbursements!B1680,'Live Collections'!$G:$G,Disbursements!C1680)</f>
        <v>0</v>
      </c>
      <c r="AM1680" s="541">
        <f t="shared" si="712"/>
        <v>0</v>
      </c>
      <c r="AN1680" s="542" t="str">
        <f t="shared" si="713"/>
        <v/>
      </c>
      <c r="AO1680" s="542" t="str">
        <f t="shared" si="714"/>
        <v/>
      </c>
      <c r="AP1680" s="543" t="str">
        <f t="shared" si="715"/>
        <v/>
      </c>
      <c r="AQ1680" s="544" t="str">
        <f t="shared" si="716"/>
        <v/>
      </c>
      <c r="AR1680" s="545">
        <f t="shared" si="717"/>
        <v>0</v>
      </c>
      <c r="AS1680" s="545">
        <f>IFERROR(CEILING($AR1680*VLOOKUP($I1680,Ref!$B$23:$E$29,4,0),1),0)</f>
        <v>0</v>
      </c>
      <c r="AT1680" s="545" t="str">
        <f>IF(A1680="","",IF(AP1680&lt;=1,"Cleared",IF(AS1680=0,"Clean",VLOOKUP($AS1680,Ref!$G$23:$H$28,2))))</f>
        <v/>
      </c>
      <c r="AU1680" s="546" t="str">
        <f t="shared" si="718"/>
        <v/>
      </c>
    </row>
    <row r="1681" spans="1:47" ht="14.25" hidden="1" customHeight="1" x14ac:dyDescent="0.15">
      <c r="A1681" s="575"/>
      <c r="B1681" s="548"/>
      <c r="C1681" s="548"/>
      <c r="D1681" s="548"/>
      <c r="E1681" s="583"/>
      <c r="F1681" s="584"/>
      <c r="G1681" s="548"/>
      <c r="H1681" s="550"/>
      <c r="I1681" s="560"/>
      <c r="J1681" s="548"/>
      <c r="K1681" s="528" t="str">
        <f>IFERROR(VLOOKUP($B1681,'Clients-Live'!$A:$C,3,0),"")</f>
        <v/>
      </c>
      <c r="L1681" s="528">
        <f>IF(E1681="STL",Pricing!$D$38,IF(A1681="",0,IF(A1681&lt;Pricing!$C$25,Pricing!$D$25,VLOOKUP(Disbursements!$F1681,Pricing!$B$29:$D$32,3))))</f>
        <v>0</v>
      </c>
      <c r="M1681" s="528">
        <f>IF(E1681="STL",0,IF(F1681&gt;0,Pricing!$D$21,0))</f>
        <v>0</v>
      </c>
      <c r="N1681" s="529">
        <f>IF(E1681="STL",F1681*Pricing!$D$40,IF(A1681&lt;=Pricing!$C$4,0,IF(AND(A1681&gt;Pricing!$C$4,Disbursements!A1681&lt;=Pricing!$C$5),F1681*Pricing!$E$5,IF(AND(A1681&gt;Pricing!$C$5,Disbursements!A1681&lt;=Pricing!$C$7),VLOOKUP(F1681,Pricing!$D$7:$E$8,2)*Disbursements!F1681,F1681*Pricing!$E$9))))</f>
        <v>0</v>
      </c>
      <c r="O1681" s="528">
        <f>IF(E1681="STL",0,IF($F1681&gt;0,$F1681*Pricing!$D$17,0))</f>
        <v>0</v>
      </c>
      <c r="P1681" s="530" t="str">
        <f t="shared" si="698"/>
        <v/>
      </c>
      <c r="Q1681" s="531" t="str">
        <f>IF($A1681="","",$G1681/VLOOKUP($I1681,Ref!$B$23:$D$29,2,0))</f>
        <v/>
      </c>
      <c r="R1681" s="530" t="str">
        <f t="shared" si="699"/>
        <v/>
      </c>
      <c r="S1681" s="532" t="str">
        <f t="shared" si="693"/>
        <v/>
      </c>
      <c r="T1681" s="531" t="str">
        <f t="shared" si="700"/>
        <v/>
      </c>
      <c r="U1681" s="533">
        <f t="shared" si="701"/>
        <v>0</v>
      </c>
      <c r="V1681" s="531" t="str">
        <f t="shared" si="702"/>
        <v/>
      </c>
      <c r="W1681" s="531" t="str">
        <f t="shared" si="703"/>
        <v/>
      </c>
      <c r="X1681" s="534" t="str">
        <f t="shared" si="704"/>
        <v/>
      </c>
      <c r="Y1681" s="535" t="str">
        <f>IF($A1681="","",IF($I1681="weekly",$A1681+7,EDATE($A1681,VLOOKUP($I1681,Ref!$B$24:$C$29,2,0))))</f>
        <v/>
      </c>
      <c r="Z1681" s="536" t="str">
        <f t="shared" si="705"/>
        <v/>
      </c>
      <c r="AA1681" s="531">
        <f t="shared" si="706"/>
        <v>0</v>
      </c>
      <c r="AB1681" s="535" t="str">
        <f t="shared" si="694"/>
        <v/>
      </c>
      <c r="AC1681" s="537" t="str">
        <f t="shared" si="695"/>
        <v/>
      </c>
      <c r="AD1681" s="538" t="str">
        <f t="shared" ca="1" si="696"/>
        <v/>
      </c>
      <c r="AE1681" s="537">
        <f t="shared" ca="1" si="697"/>
        <v>0</v>
      </c>
      <c r="AF1681" s="539" t="str">
        <f t="shared" ca="1" si="707"/>
        <v/>
      </c>
      <c r="AG1681" s="531" t="str">
        <f t="shared" ca="1" si="708"/>
        <v/>
      </c>
      <c r="AH1681" s="531" t="str">
        <f t="shared" ca="1" si="709"/>
        <v/>
      </c>
      <c r="AI1681" s="531" t="str">
        <f t="shared" ca="1" si="710"/>
        <v/>
      </c>
      <c r="AJ1681" s="531" t="str">
        <f t="shared" si="711"/>
        <v/>
      </c>
      <c r="AK1681" s="540">
        <f>SUMIFS('Live Collections'!$S:$S,'Live Collections'!$D:$D,Disbursements!B1681,'Live Collections'!$G:$G,Disbursements!C1681)</f>
        <v>0</v>
      </c>
      <c r="AL1681" s="540">
        <f>SUMIFS('Live Collections'!$T:$T,'Live Collections'!$D:$D,Disbursements!B1681,'Live Collections'!$G:$G,Disbursements!C1681)</f>
        <v>0</v>
      </c>
      <c r="AM1681" s="541">
        <f t="shared" si="712"/>
        <v>0</v>
      </c>
      <c r="AN1681" s="542" t="str">
        <f t="shared" si="713"/>
        <v/>
      </c>
      <c r="AO1681" s="542" t="str">
        <f t="shared" si="714"/>
        <v/>
      </c>
      <c r="AP1681" s="543" t="str">
        <f t="shared" si="715"/>
        <v/>
      </c>
      <c r="AQ1681" s="544" t="str">
        <f t="shared" si="716"/>
        <v/>
      </c>
      <c r="AR1681" s="545">
        <f t="shared" si="717"/>
        <v>0</v>
      </c>
      <c r="AS1681" s="545">
        <f>IFERROR(CEILING($AR1681*VLOOKUP($I1681,Ref!$B$23:$E$29,4,0),1),0)</f>
        <v>0</v>
      </c>
      <c r="AT1681" s="545" t="str">
        <f>IF(A1681="","",IF(AP1681&lt;=1,"Cleared",IF(AS1681=0,"Clean",VLOOKUP($AS1681,Ref!$G$23:$H$28,2))))</f>
        <v/>
      </c>
      <c r="AU1681" s="546" t="str">
        <f t="shared" si="718"/>
        <v/>
      </c>
    </row>
    <row r="1682" spans="1:47" ht="14.25" hidden="1" customHeight="1" x14ac:dyDescent="0.15">
      <c r="A1682" s="575"/>
      <c r="B1682" s="548"/>
      <c r="C1682" s="548"/>
      <c r="D1682" s="548"/>
      <c r="E1682" s="583"/>
      <c r="F1682" s="584"/>
      <c r="G1682" s="548"/>
      <c r="H1682" s="550"/>
      <c r="I1682" s="560"/>
      <c r="J1682" s="548"/>
      <c r="K1682" s="528" t="str">
        <f>IFERROR(VLOOKUP($B1682,'Clients-Live'!$A:$C,3,0),"")</f>
        <v/>
      </c>
      <c r="L1682" s="528">
        <f>IF(E1682="STL",Pricing!$D$38,IF(A1682="",0,IF(A1682&lt;Pricing!$C$25,Pricing!$D$25,VLOOKUP(Disbursements!$F1682,Pricing!$B$29:$D$32,3))))</f>
        <v>0</v>
      </c>
      <c r="M1682" s="528">
        <f>IF(E1682="STL",0,IF(F1682&gt;0,Pricing!$D$21,0))</f>
        <v>0</v>
      </c>
      <c r="N1682" s="529">
        <f>IF(E1682="STL",F1682*Pricing!$D$40,IF(A1682&lt;=Pricing!$C$4,0,IF(AND(A1682&gt;Pricing!$C$4,Disbursements!A1682&lt;=Pricing!$C$5),F1682*Pricing!$E$5,IF(AND(A1682&gt;Pricing!$C$5,Disbursements!A1682&lt;=Pricing!$C$7),VLOOKUP(F1682,Pricing!$D$7:$E$8,2)*Disbursements!F1682,F1682*Pricing!$E$9))))</f>
        <v>0</v>
      </c>
      <c r="O1682" s="528">
        <f>IF(E1682="STL",0,IF($F1682&gt;0,$F1682*Pricing!$D$17,0))</f>
        <v>0</v>
      </c>
      <c r="P1682" s="530" t="str">
        <f t="shared" si="698"/>
        <v/>
      </c>
      <c r="Q1682" s="531" t="str">
        <f>IF($A1682="","",$G1682/VLOOKUP($I1682,Ref!$B$23:$D$29,2,0))</f>
        <v/>
      </c>
      <c r="R1682" s="530" t="str">
        <f t="shared" si="699"/>
        <v/>
      </c>
      <c r="S1682" s="532" t="str">
        <f t="shared" si="693"/>
        <v/>
      </c>
      <c r="T1682" s="531" t="str">
        <f t="shared" si="700"/>
        <v/>
      </c>
      <c r="U1682" s="533">
        <f t="shared" si="701"/>
        <v>0</v>
      </c>
      <c r="V1682" s="531" t="str">
        <f t="shared" si="702"/>
        <v/>
      </c>
      <c r="W1682" s="531" t="str">
        <f t="shared" si="703"/>
        <v/>
      </c>
      <c r="X1682" s="534" t="str">
        <f t="shared" si="704"/>
        <v/>
      </c>
      <c r="Y1682" s="535" t="str">
        <f>IF($A1682="","",IF($I1682="weekly",$A1682+7,EDATE($A1682,VLOOKUP($I1682,Ref!$B$24:$C$29,2,0))))</f>
        <v/>
      </c>
      <c r="Z1682" s="536" t="str">
        <f t="shared" si="705"/>
        <v/>
      </c>
      <c r="AA1682" s="531">
        <f t="shared" si="706"/>
        <v>0</v>
      </c>
      <c r="AB1682" s="535" t="str">
        <f t="shared" si="694"/>
        <v/>
      </c>
      <c r="AC1682" s="537" t="str">
        <f t="shared" si="695"/>
        <v/>
      </c>
      <c r="AD1682" s="538" t="str">
        <f t="shared" ca="1" si="696"/>
        <v/>
      </c>
      <c r="AE1682" s="537">
        <f t="shared" ca="1" si="697"/>
        <v>0</v>
      </c>
      <c r="AF1682" s="539" t="str">
        <f t="shared" ca="1" si="707"/>
        <v/>
      </c>
      <c r="AG1682" s="531" t="str">
        <f t="shared" ca="1" si="708"/>
        <v/>
      </c>
      <c r="AH1682" s="531" t="str">
        <f t="shared" ca="1" si="709"/>
        <v/>
      </c>
      <c r="AI1682" s="531" t="str">
        <f t="shared" ca="1" si="710"/>
        <v/>
      </c>
      <c r="AJ1682" s="531" t="str">
        <f t="shared" si="711"/>
        <v/>
      </c>
      <c r="AK1682" s="540">
        <f>SUMIFS('Live Collections'!$S:$S,'Live Collections'!$D:$D,Disbursements!B1682,'Live Collections'!$G:$G,Disbursements!C1682)</f>
        <v>0</v>
      </c>
      <c r="AL1682" s="540">
        <f>SUMIFS('Live Collections'!$T:$T,'Live Collections'!$D:$D,Disbursements!B1682,'Live Collections'!$G:$G,Disbursements!C1682)</f>
        <v>0</v>
      </c>
      <c r="AM1682" s="541">
        <f t="shared" si="712"/>
        <v>0</v>
      </c>
      <c r="AN1682" s="542" t="str">
        <f t="shared" si="713"/>
        <v/>
      </c>
      <c r="AO1682" s="542" t="str">
        <f t="shared" si="714"/>
        <v/>
      </c>
      <c r="AP1682" s="543" t="str">
        <f t="shared" si="715"/>
        <v/>
      </c>
      <c r="AQ1682" s="544" t="str">
        <f t="shared" si="716"/>
        <v/>
      </c>
      <c r="AR1682" s="545">
        <f t="shared" si="717"/>
        <v>0</v>
      </c>
      <c r="AS1682" s="545">
        <f>IFERROR(CEILING($AR1682*VLOOKUP($I1682,Ref!$B$23:$E$29,4,0),1),0)</f>
        <v>0</v>
      </c>
      <c r="AT1682" s="545" t="str">
        <f>IF(A1682="","",IF(AP1682&lt;=1,"Cleared",IF(AS1682=0,"Clean",VLOOKUP($AS1682,Ref!$G$23:$H$28,2))))</f>
        <v/>
      </c>
      <c r="AU1682" s="546" t="str">
        <f t="shared" si="718"/>
        <v/>
      </c>
    </row>
    <row r="1683" spans="1:47" ht="14.25" hidden="1" customHeight="1" x14ac:dyDescent="0.15">
      <c r="A1683" s="575"/>
      <c r="B1683" s="548"/>
      <c r="C1683" s="548"/>
      <c r="D1683" s="548"/>
      <c r="E1683" s="583"/>
      <c r="F1683" s="584"/>
      <c r="G1683" s="548"/>
      <c r="H1683" s="550"/>
      <c r="I1683" s="560"/>
      <c r="J1683" s="548"/>
      <c r="K1683" s="528" t="str">
        <f>IFERROR(VLOOKUP($B1683,'Clients-Live'!$A:$C,3,0),"")</f>
        <v/>
      </c>
      <c r="L1683" s="528">
        <f>IF(E1683="STL",Pricing!$D$38,IF(A1683="",0,IF(A1683&lt;Pricing!$C$25,Pricing!$D$25,VLOOKUP(Disbursements!$F1683,Pricing!$B$29:$D$32,3))))</f>
        <v>0</v>
      </c>
      <c r="M1683" s="528">
        <f>IF(E1683="STL",0,IF(F1683&gt;0,Pricing!$D$21,0))</f>
        <v>0</v>
      </c>
      <c r="N1683" s="529">
        <f>IF(E1683="STL",F1683*Pricing!$D$40,IF(A1683&lt;=Pricing!$C$4,0,IF(AND(A1683&gt;Pricing!$C$4,Disbursements!A1683&lt;=Pricing!$C$5),F1683*Pricing!$E$5,IF(AND(A1683&gt;Pricing!$C$5,Disbursements!A1683&lt;=Pricing!$C$7),VLOOKUP(F1683,Pricing!$D$7:$E$8,2)*Disbursements!F1683,F1683*Pricing!$E$9))))</f>
        <v>0</v>
      </c>
      <c r="O1683" s="528">
        <f>IF(E1683="STL",0,IF($F1683&gt;0,$F1683*Pricing!$D$17,0))</f>
        <v>0</v>
      </c>
      <c r="P1683" s="530" t="str">
        <f t="shared" si="698"/>
        <v/>
      </c>
      <c r="Q1683" s="531" t="str">
        <f>IF($A1683="","",$G1683/VLOOKUP($I1683,Ref!$B$23:$D$29,2,0))</f>
        <v/>
      </c>
      <c r="R1683" s="530" t="str">
        <f t="shared" si="699"/>
        <v/>
      </c>
      <c r="S1683" s="532" t="str">
        <f t="shared" si="693"/>
        <v/>
      </c>
      <c r="T1683" s="531" t="str">
        <f t="shared" si="700"/>
        <v/>
      </c>
      <c r="U1683" s="533">
        <f t="shared" si="701"/>
        <v>0</v>
      </c>
      <c r="V1683" s="531" t="str">
        <f t="shared" si="702"/>
        <v/>
      </c>
      <c r="W1683" s="531" t="str">
        <f t="shared" si="703"/>
        <v/>
      </c>
      <c r="X1683" s="534" t="str">
        <f t="shared" si="704"/>
        <v/>
      </c>
      <c r="Y1683" s="535" t="str">
        <f>IF($A1683="","",IF($I1683="weekly",$A1683+7,EDATE($A1683,VLOOKUP($I1683,Ref!$B$24:$C$29,2,0))))</f>
        <v/>
      </c>
      <c r="Z1683" s="536" t="str">
        <f t="shared" si="705"/>
        <v/>
      </c>
      <c r="AA1683" s="531">
        <f t="shared" si="706"/>
        <v>0</v>
      </c>
      <c r="AB1683" s="535" t="str">
        <f t="shared" si="694"/>
        <v/>
      </c>
      <c r="AC1683" s="537" t="str">
        <f t="shared" si="695"/>
        <v/>
      </c>
      <c r="AD1683" s="538" t="str">
        <f t="shared" ca="1" si="696"/>
        <v/>
      </c>
      <c r="AE1683" s="537">
        <f t="shared" ca="1" si="697"/>
        <v>0</v>
      </c>
      <c r="AF1683" s="539" t="str">
        <f t="shared" ca="1" si="707"/>
        <v/>
      </c>
      <c r="AG1683" s="531" t="str">
        <f t="shared" ca="1" si="708"/>
        <v/>
      </c>
      <c r="AH1683" s="531" t="str">
        <f t="shared" ca="1" si="709"/>
        <v/>
      </c>
      <c r="AI1683" s="531" t="str">
        <f t="shared" ca="1" si="710"/>
        <v/>
      </c>
      <c r="AJ1683" s="531" t="str">
        <f t="shared" si="711"/>
        <v/>
      </c>
      <c r="AK1683" s="540">
        <f>SUMIFS('Live Collections'!$S:$S,'Live Collections'!$D:$D,Disbursements!B1683,'Live Collections'!$G:$G,Disbursements!C1683)</f>
        <v>0</v>
      </c>
      <c r="AL1683" s="540">
        <f>SUMIFS('Live Collections'!$T:$T,'Live Collections'!$D:$D,Disbursements!B1683,'Live Collections'!$G:$G,Disbursements!C1683)</f>
        <v>0</v>
      </c>
      <c r="AM1683" s="541">
        <f t="shared" si="712"/>
        <v>0</v>
      </c>
      <c r="AN1683" s="542" t="str">
        <f t="shared" si="713"/>
        <v/>
      </c>
      <c r="AO1683" s="542" t="str">
        <f t="shared" si="714"/>
        <v/>
      </c>
      <c r="AP1683" s="543" t="str">
        <f t="shared" si="715"/>
        <v/>
      </c>
      <c r="AQ1683" s="544" t="str">
        <f t="shared" si="716"/>
        <v/>
      </c>
      <c r="AR1683" s="545">
        <f t="shared" si="717"/>
        <v>0</v>
      </c>
      <c r="AS1683" s="545">
        <f>IFERROR(CEILING($AR1683*VLOOKUP($I1683,Ref!$B$23:$E$29,4,0),1),0)</f>
        <v>0</v>
      </c>
      <c r="AT1683" s="545" t="str">
        <f>IF(A1683="","",IF(AP1683&lt;=1,"Cleared",IF(AS1683=0,"Clean",VLOOKUP($AS1683,Ref!$G$23:$H$28,2))))</f>
        <v/>
      </c>
      <c r="AU1683" s="546" t="str">
        <f t="shared" si="718"/>
        <v/>
      </c>
    </row>
    <row r="1684" spans="1:47" ht="14.25" hidden="1" customHeight="1" x14ac:dyDescent="0.15">
      <c r="A1684" s="575"/>
      <c r="B1684" s="548"/>
      <c r="C1684" s="548"/>
      <c r="D1684" s="548"/>
      <c r="E1684" s="583"/>
      <c r="F1684" s="584"/>
      <c r="G1684" s="548"/>
      <c r="H1684" s="550"/>
      <c r="I1684" s="560"/>
      <c r="J1684" s="548"/>
      <c r="K1684" s="528" t="str">
        <f>IFERROR(VLOOKUP($B1684,'Clients-Live'!$A:$C,3,0),"")</f>
        <v/>
      </c>
      <c r="L1684" s="528">
        <f>IF(E1684="STL",Pricing!$D$38,IF(A1684="",0,IF(A1684&lt;Pricing!$C$25,Pricing!$D$25,VLOOKUP(Disbursements!$F1684,Pricing!$B$29:$D$32,3))))</f>
        <v>0</v>
      </c>
      <c r="M1684" s="528">
        <f>IF(E1684="STL",0,IF(F1684&gt;0,Pricing!$D$21,0))</f>
        <v>0</v>
      </c>
      <c r="N1684" s="529">
        <f>IF(E1684="STL",F1684*Pricing!$D$40,IF(A1684&lt;=Pricing!$C$4,0,IF(AND(A1684&gt;Pricing!$C$4,Disbursements!A1684&lt;=Pricing!$C$5),F1684*Pricing!$E$5,IF(AND(A1684&gt;Pricing!$C$5,Disbursements!A1684&lt;=Pricing!$C$7),VLOOKUP(F1684,Pricing!$D$7:$E$8,2)*Disbursements!F1684,F1684*Pricing!$E$9))))</f>
        <v>0</v>
      </c>
      <c r="O1684" s="528">
        <f>IF(E1684="STL",0,IF($F1684&gt;0,$F1684*Pricing!$D$17,0))</f>
        <v>0</v>
      </c>
      <c r="P1684" s="530" t="str">
        <f t="shared" si="698"/>
        <v/>
      </c>
      <c r="Q1684" s="531" t="str">
        <f>IF($A1684="","",$G1684/VLOOKUP($I1684,Ref!$B$23:$D$29,2,0))</f>
        <v/>
      </c>
      <c r="R1684" s="530" t="str">
        <f t="shared" si="699"/>
        <v/>
      </c>
      <c r="S1684" s="532" t="str">
        <f t="shared" si="693"/>
        <v/>
      </c>
      <c r="T1684" s="531" t="str">
        <f t="shared" si="700"/>
        <v/>
      </c>
      <c r="U1684" s="533">
        <f t="shared" si="701"/>
        <v>0</v>
      </c>
      <c r="V1684" s="531" t="str">
        <f t="shared" si="702"/>
        <v/>
      </c>
      <c r="W1684" s="531" t="str">
        <f t="shared" si="703"/>
        <v/>
      </c>
      <c r="X1684" s="534" t="str">
        <f t="shared" si="704"/>
        <v/>
      </c>
      <c r="Y1684" s="535" t="str">
        <f>IF($A1684="","",IF($I1684="weekly",$A1684+7,EDATE($A1684,VLOOKUP($I1684,Ref!$B$24:$C$29,2,0))))</f>
        <v/>
      </c>
      <c r="Z1684" s="536" t="str">
        <f t="shared" si="705"/>
        <v/>
      </c>
      <c r="AA1684" s="531">
        <f t="shared" si="706"/>
        <v>0</v>
      </c>
      <c r="AB1684" s="535" t="str">
        <f t="shared" si="694"/>
        <v/>
      </c>
      <c r="AC1684" s="537" t="str">
        <f t="shared" si="695"/>
        <v/>
      </c>
      <c r="AD1684" s="538" t="str">
        <f t="shared" ca="1" si="696"/>
        <v/>
      </c>
      <c r="AE1684" s="537">
        <f t="shared" ca="1" si="697"/>
        <v>0</v>
      </c>
      <c r="AF1684" s="539" t="str">
        <f t="shared" ca="1" si="707"/>
        <v/>
      </c>
      <c r="AG1684" s="531" t="str">
        <f t="shared" ca="1" si="708"/>
        <v/>
      </c>
      <c r="AH1684" s="531" t="str">
        <f t="shared" ca="1" si="709"/>
        <v/>
      </c>
      <c r="AI1684" s="531" t="str">
        <f t="shared" ca="1" si="710"/>
        <v/>
      </c>
      <c r="AJ1684" s="531" t="str">
        <f t="shared" si="711"/>
        <v/>
      </c>
      <c r="AK1684" s="540">
        <f>SUMIFS('Live Collections'!$S:$S,'Live Collections'!$D:$D,Disbursements!B1684,'Live Collections'!$G:$G,Disbursements!C1684)</f>
        <v>0</v>
      </c>
      <c r="AL1684" s="540">
        <f>SUMIFS('Live Collections'!$T:$T,'Live Collections'!$D:$D,Disbursements!B1684,'Live Collections'!$G:$G,Disbursements!C1684)</f>
        <v>0</v>
      </c>
      <c r="AM1684" s="541">
        <f t="shared" si="712"/>
        <v>0</v>
      </c>
      <c r="AN1684" s="542" t="str">
        <f t="shared" si="713"/>
        <v/>
      </c>
      <c r="AO1684" s="542" t="str">
        <f t="shared" si="714"/>
        <v/>
      </c>
      <c r="AP1684" s="543" t="str">
        <f t="shared" si="715"/>
        <v/>
      </c>
      <c r="AQ1684" s="544" t="str">
        <f t="shared" si="716"/>
        <v/>
      </c>
      <c r="AR1684" s="545">
        <f t="shared" si="717"/>
        <v>0</v>
      </c>
      <c r="AS1684" s="545">
        <f>IFERROR(CEILING($AR1684*VLOOKUP($I1684,Ref!$B$23:$E$29,4,0),1),0)</f>
        <v>0</v>
      </c>
      <c r="AT1684" s="545" t="str">
        <f>IF(A1684="","",IF(AP1684&lt;=1,"Cleared",IF(AS1684=0,"Clean",VLOOKUP($AS1684,Ref!$G$23:$H$28,2))))</f>
        <v/>
      </c>
      <c r="AU1684" s="546" t="str">
        <f t="shared" si="718"/>
        <v/>
      </c>
    </row>
    <row r="1685" spans="1:47" ht="14.25" hidden="1" customHeight="1" x14ac:dyDescent="0.15">
      <c r="A1685" s="575"/>
      <c r="B1685" s="548"/>
      <c r="C1685" s="548"/>
      <c r="D1685" s="548"/>
      <c r="E1685" s="583"/>
      <c r="F1685" s="584"/>
      <c r="G1685" s="548"/>
      <c r="H1685" s="550"/>
      <c r="I1685" s="560"/>
      <c r="J1685" s="548"/>
      <c r="K1685" s="528" t="str">
        <f>IFERROR(VLOOKUP($B1685,'Clients-Live'!$A:$C,3,0),"")</f>
        <v/>
      </c>
      <c r="L1685" s="528">
        <f>IF(E1685="STL",Pricing!$D$38,IF(A1685="",0,IF(A1685&lt;Pricing!$C$25,Pricing!$D$25,VLOOKUP(Disbursements!$F1685,Pricing!$B$29:$D$32,3))))</f>
        <v>0</v>
      </c>
      <c r="M1685" s="528">
        <f>IF(E1685="STL",0,IF(F1685&gt;0,Pricing!$D$21,0))</f>
        <v>0</v>
      </c>
      <c r="N1685" s="529">
        <f>IF(E1685="STL",F1685*Pricing!$D$40,IF(A1685&lt;=Pricing!$C$4,0,IF(AND(A1685&gt;Pricing!$C$4,Disbursements!A1685&lt;=Pricing!$C$5),F1685*Pricing!$E$5,IF(AND(A1685&gt;Pricing!$C$5,Disbursements!A1685&lt;=Pricing!$C$7),VLOOKUP(F1685,Pricing!$D$7:$E$8,2)*Disbursements!F1685,F1685*Pricing!$E$9))))</f>
        <v>0</v>
      </c>
      <c r="O1685" s="528">
        <f>IF(E1685="STL",0,IF($F1685&gt;0,$F1685*Pricing!$D$17,0))</f>
        <v>0</v>
      </c>
      <c r="P1685" s="530" t="str">
        <f t="shared" si="698"/>
        <v/>
      </c>
      <c r="Q1685" s="531" t="str">
        <f>IF($A1685="","",$G1685/VLOOKUP($I1685,Ref!$B$23:$D$29,2,0))</f>
        <v/>
      </c>
      <c r="R1685" s="530" t="str">
        <f t="shared" si="699"/>
        <v/>
      </c>
      <c r="S1685" s="532" t="str">
        <f t="shared" si="693"/>
        <v/>
      </c>
      <c r="T1685" s="531" t="str">
        <f t="shared" si="700"/>
        <v/>
      </c>
      <c r="U1685" s="533">
        <f t="shared" si="701"/>
        <v>0</v>
      </c>
      <c r="V1685" s="531" t="str">
        <f t="shared" si="702"/>
        <v/>
      </c>
      <c r="W1685" s="531" t="str">
        <f t="shared" si="703"/>
        <v/>
      </c>
      <c r="X1685" s="534" t="str">
        <f t="shared" si="704"/>
        <v/>
      </c>
      <c r="Y1685" s="535" t="str">
        <f>IF($A1685="","",IF($I1685="weekly",$A1685+7,EDATE($A1685,VLOOKUP($I1685,Ref!$B$24:$C$29,2,0))))</f>
        <v/>
      </c>
      <c r="Z1685" s="536" t="str">
        <f t="shared" si="705"/>
        <v/>
      </c>
      <c r="AA1685" s="531">
        <f t="shared" si="706"/>
        <v>0</v>
      </c>
      <c r="AB1685" s="535" t="str">
        <f t="shared" si="694"/>
        <v/>
      </c>
      <c r="AC1685" s="537" t="str">
        <f t="shared" si="695"/>
        <v/>
      </c>
      <c r="AD1685" s="538" t="str">
        <f t="shared" ca="1" si="696"/>
        <v/>
      </c>
      <c r="AE1685" s="537">
        <f t="shared" ca="1" si="697"/>
        <v>0</v>
      </c>
      <c r="AF1685" s="539" t="str">
        <f t="shared" ca="1" si="707"/>
        <v/>
      </c>
      <c r="AG1685" s="531" t="str">
        <f t="shared" ca="1" si="708"/>
        <v/>
      </c>
      <c r="AH1685" s="531" t="str">
        <f t="shared" ca="1" si="709"/>
        <v/>
      </c>
      <c r="AI1685" s="531" t="str">
        <f t="shared" ca="1" si="710"/>
        <v/>
      </c>
      <c r="AJ1685" s="531" t="str">
        <f t="shared" si="711"/>
        <v/>
      </c>
      <c r="AK1685" s="540">
        <f>SUMIFS('Live Collections'!$S:$S,'Live Collections'!$D:$D,Disbursements!B1685,'Live Collections'!$G:$G,Disbursements!C1685)</f>
        <v>0</v>
      </c>
      <c r="AL1685" s="540">
        <f>SUMIFS('Live Collections'!$T:$T,'Live Collections'!$D:$D,Disbursements!B1685,'Live Collections'!$G:$G,Disbursements!C1685)</f>
        <v>0</v>
      </c>
      <c r="AM1685" s="541">
        <f t="shared" si="712"/>
        <v>0</v>
      </c>
      <c r="AN1685" s="542" t="str">
        <f t="shared" si="713"/>
        <v/>
      </c>
      <c r="AO1685" s="542" t="str">
        <f t="shared" si="714"/>
        <v/>
      </c>
      <c r="AP1685" s="543" t="str">
        <f t="shared" si="715"/>
        <v/>
      </c>
      <c r="AQ1685" s="544" t="str">
        <f t="shared" si="716"/>
        <v/>
      </c>
      <c r="AR1685" s="545">
        <f t="shared" si="717"/>
        <v>0</v>
      </c>
      <c r="AS1685" s="545">
        <f>IFERROR(CEILING($AR1685*VLOOKUP($I1685,Ref!$B$23:$E$29,4,0),1),0)</f>
        <v>0</v>
      </c>
      <c r="AT1685" s="545" t="str">
        <f>IF(A1685="","",IF(AP1685&lt;=1,"Cleared",IF(AS1685=0,"Clean",VLOOKUP($AS1685,Ref!$G$23:$H$28,2))))</f>
        <v/>
      </c>
      <c r="AU1685" s="546" t="str">
        <f t="shared" si="718"/>
        <v/>
      </c>
    </row>
    <row r="1686" spans="1:47" ht="14.25" hidden="1" customHeight="1" x14ac:dyDescent="0.15">
      <c r="A1686" s="575"/>
      <c r="B1686" s="548"/>
      <c r="C1686" s="548"/>
      <c r="D1686" s="548"/>
      <c r="E1686" s="583"/>
      <c r="F1686" s="584"/>
      <c r="G1686" s="548"/>
      <c r="H1686" s="550"/>
      <c r="I1686" s="560"/>
      <c r="J1686" s="548"/>
      <c r="K1686" s="528" t="str">
        <f>IFERROR(VLOOKUP($B1686,'Clients-Live'!$A:$C,3,0),"")</f>
        <v/>
      </c>
      <c r="L1686" s="528">
        <f>IF(E1686="STL",Pricing!$D$38,IF(A1686="",0,IF(A1686&lt;Pricing!$C$25,Pricing!$D$25,VLOOKUP(Disbursements!$F1686,Pricing!$B$29:$D$32,3))))</f>
        <v>0</v>
      </c>
      <c r="M1686" s="528">
        <f>IF(E1686="STL",0,IF(F1686&gt;0,Pricing!$D$21,0))</f>
        <v>0</v>
      </c>
      <c r="N1686" s="529">
        <f>IF(E1686="STL",F1686*Pricing!$D$40,IF(A1686&lt;=Pricing!$C$4,0,IF(AND(A1686&gt;Pricing!$C$4,Disbursements!A1686&lt;=Pricing!$C$5),F1686*Pricing!$E$5,IF(AND(A1686&gt;Pricing!$C$5,Disbursements!A1686&lt;=Pricing!$C$7),VLOOKUP(F1686,Pricing!$D$7:$E$8,2)*Disbursements!F1686,F1686*Pricing!$E$9))))</f>
        <v>0</v>
      </c>
      <c r="O1686" s="528">
        <f>IF(E1686="STL",0,IF($F1686&gt;0,$F1686*Pricing!$D$17,0))</f>
        <v>0</v>
      </c>
      <c r="P1686" s="530" t="str">
        <f t="shared" si="698"/>
        <v/>
      </c>
      <c r="Q1686" s="531" t="str">
        <f>IF($A1686="","",$G1686/VLOOKUP($I1686,Ref!$B$23:$D$29,2,0))</f>
        <v/>
      </c>
      <c r="R1686" s="530" t="str">
        <f t="shared" si="699"/>
        <v/>
      </c>
      <c r="S1686" s="532" t="str">
        <f t="shared" si="693"/>
        <v/>
      </c>
      <c r="T1686" s="531" t="str">
        <f t="shared" si="700"/>
        <v/>
      </c>
      <c r="U1686" s="533">
        <f t="shared" si="701"/>
        <v>0</v>
      </c>
      <c r="V1686" s="531" t="str">
        <f t="shared" si="702"/>
        <v/>
      </c>
      <c r="W1686" s="531" t="str">
        <f t="shared" si="703"/>
        <v/>
      </c>
      <c r="X1686" s="534" t="str">
        <f t="shared" si="704"/>
        <v/>
      </c>
      <c r="Y1686" s="535" t="str">
        <f>IF($A1686="","",IF($I1686="weekly",$A1686+7,EDATE($A1686,VLOOKUP($I1686,Ref!$B$24:$C$29,2,0))))</f>
        <v/>
      </c>
      <c r="Z1686" s="536" t="str">
        <f t="shared" si="705"/>
        <v/>
      </c>
      <c r="AA1686" s="531">
        <f t="shared" si="706"/>
        <v>0</v>
      </c>
      <c r="AB1686" s="535" t="str">
        <f t="shared" si="694"/>
        <v/>
      </c>
      <c r="AC1686" s="537" t="str">
        <f t="shared" si="695"/>
        <v/>
      </c>
      <c r="AD1686" s="538" t="str">
        <f t="shared" ca="1" si="696"/>
        <v/>
      </c>
      <c r="AE1686" s="537">
        <f t="shared" ca="1" si="697"/>
        <v>0</v>
      </c>
      <c r="AF1686" s="539" t="str">
        <f t="shared" ca="1" si="707"/>
        <v/>
      </c>
      <c r="AG1686" s="531" t="str">
        <f t="shared" ca="1" si="708"/>
        <v/>
      </c>
      <c r="AH1686" s="531" t="str">
        <f t="shared" ca="1" si="709"/>
        <v/>
      </c>
      <c r="AI1686" s="531" t="str">
        <f t="shared" ca="1" si="710"/>
        <v/>
      </c>
      <c r="AJ1686" s="531" t="str">
        <f t="shared" si="711"/>
        <v/>
      </c>
      <c r="AK1686" s="540">
        <f>SUMIFS('Live Collections'!$S:$S,'Live Collections'!$D:$D,Disbursements!B1686,'Live Collections'!$G:$G,Disbursements!C1686)</f>
        <v>0</v>
      </c>
      <c r="AL1686" s="540">
        <f>SUMIFS('Live Collections'!$T:$T,'Live Collections'!$D:$D,Disbursements!B1686,'Live Collections'!$G:$G,Disbursements!C1686)</f>
        <v>0</v>
      </c>
      <c r="AM1686" s="541">
        <f t="shared" si="712"/>
        <v>0</v>
      </c>
      <c r="AN1686" s="542" t="str">
        <f t="shared" si="713"/>
        <v/>
      </c>
      <c r="AO1686" s="542" t="str">
        <f t="shared" si="714"/>
        <v/>
      </c>
      <c r="AP1686" s="543" t="str">
        <f t="shared" si="715"/>
        <v/>
      </c>
      <c r="AQ1686" s="544" t="str">
        <f t="shared" si="716"/>
        <v/>
      </c>
      <c r="AR1686" s="545">
        <f t="shared" si="717"/>
        <v>0</v>
      </c>
      <c r="AS1686" s="545">
        <f>IFERROR(CEILING($AR1686*VLOOKUP($I1686,Ref!$B$23:$E$29,4,0),1),0)</f>
        <v>0</v>
      </c>
      <c r="AT1686" s="545" t="str">
        <f>IF(A1686="","",IF(AP1686&lt;=1,"Cleared",IF(AS1686=0,"Clean",VLOOKUP($AS1686,Ref!$G$23:$H$28,2))))</f>
        <v/>
      </c>
      <c r="AU1686" s="546" t="str">
        <f t="shared" si="718"/>
        <v/>
      </c>
    </row>
    <row r="1687" spans="1:47" ht="14.25" hidden="1" customHeight="1" x14ac:dyDescent="0.15">
      <c r="A1687" s="575"/>
      <c r="B1687" s="548"/>
      <c r="C1687" s="548"/>
      <c r="D1687" s="548"/>
      <c r="E1687" s="583"/>
      <c r="F1687" s="584"/>
      <c r="G1687" s="548"/>
      <c r="H1687" s="550"/>
      <c r="I1687" s="560"/>
      <c r="J1687" s="548"/>
      <c r="K1687" s="528" t="str">
        <f>IFERROR(VLOOKUP($B1687,'Clients-Live'!$A:$C,3,0),"")</f>
        <v/>
      </c>
      <c r="L1687" s="528">
        <f>IF(E1687="STL",Pricing!$D$38,IF(A1687="",0,IF(A1687&lt;Pricing!$C$25,Pricing!$D$25,VLOOKUP(Disbursements!$F1687,Pricing!$B$29:$D$32,3))))</f>
        <v>0</v>
      </c>
      <c r="M1687" s="528">
        <f>IF(E1687="STL",0,IF(F1687&gt;0,Pricing!$D$21,0))</f>
        <v>0</v>
      </c>
      <c r="N1687" s="529">
        <f>IF(E1687="STL",F1687*Pricing!$D$40,IF(A1687&lt;=Pricing!$C$4,0,IF(AND(A1687&gt;Pricing!$C$4,Disbursements!A1687&lt;=Pricing!$C$5),F1687*Pricing!$E$5,IF(AND(A1687&gt;Pricing!$C$5,Disbursements!A1687&lt;=Pricing!$C$7),VLOOKUP(F1687,Pricing!$D$7:$E$8,2)*Disbursements!F1687,F1687*Pricing!$E$9))))</f>
        <v>0</v>
      </c>
      <c r="O1687" s="528">
        <f>IF(E1687="STL",0,IF($F1687&gt;0,$F1687*Pricing!$D$17,0))</f>
        <v>0</v>
      </c>
      <c r="P1687" s="530" t="str">
        <f t="shared" si="698"/>
        <v/>
      </c>
      <c r="Q1687" s="531" t="str">
        <f>IF($A1687="","",$G1687/VLOOKUP($I1687,Ref!$B$23:$D$29,2,0))</f>
        <v/>
      </c>
      <c r="R1687" s="530" t="str">
        <f t="shared" si="699"/>
        <v/>
      </c>
      <c r="S1687" s="532" t="str">
        <f t="shared" si="693"/>
        <v/>
      </c>
      <c r="T1687" s="531" t="str">
        <f t="shared" si="700"/>
        <v/>
      </c>
      <c r="U1687" s="533">
        <f t="shared" si="701"/>
        <v>0</v>
      </c>
      <c r="V1687" s="531" t="str">
        <f t="shared" si="702"/>
        <v/>
      </c>
      <c r="W1687" s="531" t="str">
        <f t="shared" si="703"/>
        <v/>
      </c>
      <c r="X1687" s="534" t="str">
        <f t="shared" si="704"/>
        <v/>
      </c>
      <c r="Y1687" s="535" t="str">
        <f>IF($A1687="","",IF($I1687="weekly",$A1687+7,EDATE($A1687,VLOOKUP($I1687,Ref!$B$24:$C$29,2,0))))</f>
        <v/>
      </c>
      <c r="Z1687" s="536" t="str">
        <f t="shared" si="705"/>
        <v/>
      </c>
      <c r="AA1687" s="531">
        <f t="shared" si="706"/>
        <v>0</v>
      </c>
      <c r="AB1687" s="535" t="str">
        <f t="shared" si="694"/>
        <v/>
      </c>
      <c r="AC1687" s="537" t="str">
        <f t="shared" si="695"/>
        <v/>
      </c>
      <c r="AD1687" s="538" t="str">
        <f t="shared" ca="1" si="696"/>
        <v/>
      </c>
      <c r="AE1687" s="537">
        <f t="shared" ca="1" si="697"/>
        <v>0</v>
      </c>
      <c r="AF1687" s="539" t="str">
        <f t="shared" ca="1" si="707"/>
        <v/>
      </c>
      <c r="AG1687" s="531" t="str">
        <f t="shared" ca="1" si="708"/>
        <v/>
      </c>
      <c r="AH1687" s="531" t="str">
        <f t="shared" ca="1" si="709"/>
        <v/>
      </c>
      <c r="AI1687" s="531" t="str">
        <f t="shared" ca="1" si="710"/>
        <v/>
      </c>
      <c r="AJ1687" s="531" t="str">
        <f t="shared" si="711"/>
        <v/>
      </c>
      <c r="AK1687" s="540">
        <f>SUMIFS('Live Collections'!$S:$S,'Live Collections'!$D:$D,Disbursements!B1687,'Live Collections'!$G:$G,Disbursements!C1687)</f>
        <v>0</v>
      </c>
      <c r="AL1687" s="540">
        <f>SUMIFS('Live Collections'!$T:$T,'Live Collections'!$D:$D,Disbursements!B1687,'Live Collections'!$G:$G,Disbursements!C1687)</f>
        <v>0</v>
      </c>
      <c r="AM1687" s="541">
        <f t="shared" si="712"/>
        <v>0</v>
      </c>
      <c r="AN1687" s="542" t="str">
        <f t="shared" si="713"/>
        <v/>
      </c>
      <c r="AO1687" s="542" t="str">
        <f t="shared" si="714"/>
        <v/>
      </c>
      <c r="AP1687" s="543" t="str">
        <f t="shared" si="715"/>
        <v/>
      </c>
      <c r="AQ1687" s="544" t="str">
        <f t="shared" si="716"/>
        <v/>
      </c>
      <c r="AR1687" s="545">
        <f t="shared" si="717"/>
        <v>0</v>
      </c>
      <c r="AS1687" s="545">
        <f>IFERROR(CEILING($AR1687*VLOOKUP($I1687,Ref!$B$23:$E$29,4,0),1),0)</f>
        <v>0</v>
      </c>
      <c r="AT1687" s="545" t="str">
        <f>IF(A1687="","",IF(AP1687&lt;=1,"Cleared",IF(AS1687=0,"Clean",VLOOKUP($AS1687,Ref!$G$23:$H$28,2))))</f>
        <v/>
      </c>
      <c r="AU1687" s="546" t="str">
        <f t="shared" si="718"/>
        <v/>
      </c>
    </row>
    <row r="1688" spans="1:47" ht="14.25" hidden="1" customHeight="1" x14ac:dyDescent="0.15">
      <c r="A1688" s="575"/>
      <c r="B1688" s="548"/>
      <c r="C1688" s="548"/>
      <c r="D1688" s="548"/>
      <c r="E1688" s="583"/>
      <c r="F1688" s="584"/>
      <c r="G1688" s="548"/>
      <c r="H1688" s="550"/>
      <c r="I1688" s="560"/>
      <c r="J1688" s="548"/>
      <c r="K1688" s="528" t="str">
        <f>IFERROR(VLOOKUP($B1688,'Clients-Live'!$A:$C,3,0),"")</f>
        <v/>
      </c>
      <c r="L1688" s="528">
        <f>IF(E1688="STL",Pricing!$D$38,IF(A1688="",0,IF(A1688&lt;Pricing!$C$25,Pricing!$D$25,VLOOKUP(Disbursements!$F1688,Pricing!$B$29:$D$32,3))))</f>
        <v>0</v>
      </c>
      <c r="M1688" s="528">
        <f>IF(E1688="STL",0,IF(F1688&gt;0,Pricing!$D$21,0))</f>
        <v>0</v>
      </c>
      <c r="N1688" s="529">
        <f>IF(E1688="STL",F1688*Pricing!$D$40,IF(A1688&lt;=Pricing!$C$4,0,IF(AND(A1688&gt;Pricing!$C$4,Disbursements!A1688&lt;=Pricing!$C$5),F1688*Pricing!$E$5,IF(AND(A1688&gt;Pricing!$C$5,Disbursements!A1688&lt;=Pricing!$C$7),VLOOKUP(F1688,Pricing!$D$7:$E$8,2)*Disbursements!F1688,F1688*Pricing!$E$9))))</f>
        <v>0</v>
      </c>
      <c r="O1688" s="528">
        <f>IF(E1688="STL",0,IF($F1688&gt;0,$F1688*Pricing!$D$17,0))</f>
        <v>0</v>
      </c>
      <c r="P1688" s="530" t="str">
        <f t="shared" si="698"/>
        <v/>
      </c>
      <c r="Q1688" s="531" t="str">
        <f>IF($A1688="","",$G1688/VLOOKUP($I1688,Ref!$B$23:$D$29,2,0))</f>
        <v/>
      </c>
      <c r="R1688" s="530" t="str">
        <f t="shared" si="699"/>
        <v/>
      </c>
      <c r="S1688" s="532" t="str">
        <f t="shared" si="693"/>
        <v/>
      </c>
      <c r="T1688" s="531" t="str">
        <f t="shared" si="700"/>
        <v/>
      </c>
      <c r="U1688" s="533">
        <f t="shared" si="701"/>
        <v>0</v>
      </c>
      <c r="V1688" s="531" t="str">
        <f t="shared" si="702"/>
        <v/>
      </c>
      <c r="W1688" s="531" t="str">
        <f t="shared" si="703"/>
        <v/>
      </c>
      <c r="X1688" s="534" t="str">
        <f t="shared" si="704"/>
        <v/>
      </c>
      <c r="Y1688" s="535" t="str">
        <f>IF($A1688="","",IF($I1688="weekly",$A1688+7,EDATE($A1688,VLOOKUP($I1688,Ref!$B$24:$C$29,2,0))))</f>
        <v/>
      </c>
      <c r="Z1688" s="536" t="str">
        <f t="shared" si="705"/>
        <v/>
      </c>
      <c r="AA1688" s="531">
        <f t="shared" si="706"/>
        <v>0</v>
      </c>
      <c r="AB1688" s="535" t="str">
        <f t="shared" si="694"/>
        <v/>
      </c>
      <c r="AC1688" s="537" t="str">
        <f t="shared" si="695"/>
        <v/>
      </c>
      <c r="AD1688" s="538" t="str">
        <f t="shared" ca="1" si="696"/>
        <v/>
      </c>
      <c r="AE1688" s="537">
        <f t="shared" ca="1" si="697"/>
        <v>0</v>
      </c>
      <c r="AF1688" s="539" t="str">
        <f t="shared" ca="1" si="707"/>
        <v/>
      </c>
      <c r="AG1688" s="531" t="str">
        <f t="shared" ca="1" si="708"/>
        <v/>
      </c>
      <c r="AH1688" s="531" t="str">
        <f t="shared" ca="1" si="709"/>
        <v/>
      </c>
      <c r="AI1688" s="531" t="str">
        <f t="shared" ca="1" si="710"/>
        <v/>
      </c>
      <c r="AJ1688" s="531" t="str">
        <f t="shared" si="711"/>
        <v/>
      </c>
      <c r="AK1688" s="540">
        <f>SUMIFS('Live Collections'!$S:$S,'Live Collections'!$D:$D,Disbursements!B1688,'Live Collections'!$G:$G,Disbursements!C1688)</f>
        <v>0</v>
      </c>
      <c r="AL1688" s="540">
        <f>SUMIFS('Live Collections'!$T:$T,'Live Collections'!$D:$D,Disbursements!B1688,'Live Collections'!$G:$G,Disbursements!C1688)</f>
        <v>0</v>
      </c>
      <c r="AM1688" s="541">
        <f t="shared" si="712"/>
        <v>0</v>
      </c>
      <c r="AN1688" s="542" t="str">
        <f t="shared" si="713"/>
        <v/>
      </c>
      <c r="AO1688" s="542" t="str">
        <f t="shared" si="714"/>
        <v/>
      </c>
      <c r="AP1688" s="543" t="str">
        <f t="shared" si="715"/>
        <v/>
      </c>
      <c r="AQ1688" s="544" t="str">
        <f t="shared" si="716"/>
        <v/>
      </c>
      <c r="AR1688" s="545">
        <f t="shared" si="717"/>
        <v>0</v>
      </c>
      <c r="AS1688" s="545">
        <f>IFERROR(CEILING($AR1688*VLOOKUP($I1688,Ref!$B$23:$E$29,4,0),1),0)</f>
        <v>0</v>
      </c>
      <c r="AT1688" s="545" t="str">
        <f>IF(A1688="","",IF(AP1688&lt;=1,"Cleared",IF(AS1688=0,"Clean",VLOOKUP($AS1688,Ref!$G$23:$H$28,2))))</f>
        <v/>
      </c>
      <c r="AU1688" s="546" t="str">
        <f t="shared" si="718"/>
        <v/>
      </c>
    </row>
    <row r="1689" spans="1:47" ht="14.25" hidden="1" customHeight="1" x14ac:dyDescent="0.15">
      <c r="A1689" s="575"/>
      <c r="B1689" s="548"/>
      <c r="C1689" s="548"/>
      <c r="D1689" s="548"/>
      <c r="E1689" s="583"/>
      <c r="F1689" s="584"/>
      <c r="G1689" s="548"/>
      <c r="H1689" s="550"/>
      <c r="I1689" s="560"/>
      <c r="J1689" s="548"/>
      <c r="K1689" s="528" t="str">
        <f>IFERROR(VLOOKUP($B1689,'Clients-Live'!$A:$C,3,0),"")</f>
        <v/>
      </c>
      <c r="L1689" s="528">
        <f>IF(E1689="STL",Pricing!$D$38,IF(A1689="",0,IF(A1689&lt;Pricing!$C$25,Pricing!$D$25,VLOOKUP(Disbursements!$F1689,Pricing!$B$29:$D$32,3))))</f>
        <v>0</v>
      </c>
      <c r="M1689" s="528">
        <f>IF(E1689="STL",0,IF(F1689&gt;0,Pricing!$D$21,0))</f>
        <v>0</v>
      </c>
      <c r="N1689" s="529">
        <f>IF(E1689="STL",F1689*Pricing!$D$40,IF(A1689&lt;=Pricing!$C$4,0,IF(AND(A1689&gt;Pricing!$C$4,Disbursements!A1689&lt;=Pricing!$C$5),F1689*Pricing!$E$5,IF(AND(A1689&gt;Pricing!$C$5,Disbursements!A1689&lt;=Pricing!$C$7),VLOOKUP(F1689,Pricing!$D$7:$E$8,2)*Disbursements!F1689,F1689*Pricing!$E$9))))</f>
        <v>0</v>
      </c>
      <c r="O1689" s="528">
        <f>IF(E1689="STL",0,IF($F1689&gt;0,$F1689*Pricing!$D$17,0))</f>
        <v>0</v>
      </c>
      <c r="P1689" s="530" t="str">
        <f t="shared" si="698"/>
        <v/>
      </c>
      <c r="Q1689" s="531" t="str">
        <f>IF($A1689="","",$G1689/VLOOKUP($I1689,Ref!$B$23:$D$29,2,0))</f>
        <v/>
      </c>
      <c r="R1689" s="530" t="str">
        <f t="shared" si="699"/>
        <v/>
      </c>
      <c r="S1689" s="532" t="str">
        <f t="shared" si="693"/>
        <v/>
      </c>
      <c r="T1689" s="531" t="str">
        <f t="shared" si="700"/>
        <v/>
      </c>
      <c r="U1689" s="533">
        <f t="shared" si="701"/>
        <v>0</v>
      </c>
      <c r="V1689" s="531" t="str">
        <f t="shared" si="702"/>
        <v/>
      </c>
      <c r="W1689" s="531" t="str">
        <f t="shared" si="703"/>
        <v/>
      </c>
      <c r="X1689" s="534" t="str">
        <f t="shared" si="704"/>
        <v/>
      </c>
      <c r="Y1689" s="535" t="str">
        <f>IF($A1689="","",IF($I1689="weekly",$A1689+7,EDATE($A1689,VLOOKUP($I1689,Ref!$B$24:$C$29,2,0))))</f>
        <v/>
      </c>
      <c r="Z1689" s="536" t="str">
        <f t="shared" si="705"/>
        <v/>
      </c>
      <c r="AA1689" s="531">
        <f t="shared" si="706"/>
        <v>0</v>
      </c>
      <c r="AB1689" s="535" t="str">
        <f t="shared" si="694"/>
        <v/>
      </c>
      <c r="AC1689" s="537" t="str">
        <f t="shared" si="695"/>
        <v/>
      </c>
      <c r="AD1689" s="538" t="str">
        <f t="shared" ca="1" si="696"/>
        <v/>
      </c>
      <c r="AE1689" s="537">
        <f t="shared" ca="1" si="697"/>
        <v>0</v>
      </c>
      <c r="AF1689" s="539" t="str">
        <f t="shared" ca="1" si="707"/>
        <v/>
      </c>
      <c r="AG1689" s="531" t="str">
        <f t="shared" ca="1" si="708"/>
        <v/>
      </c>
      <c r="AH1689" s="531" t="str">
        <f t="shared" ca="1" si="709"/>
        <v/>
      </c>
      <c r="AI1689" s="531" t="str">
        <f t="shared" ca="1" si="710"/>
        <v/>
      </c>
      <c r="AJ1689" s="531" t="str">
        <f t="shared" si="711"/>
        <v/>
      </c>
      <c r="AK1689" s="540">
        <f>SUMIFS('Live Collections'!$S:$S,'Live Collections'!$D:$D,Disbursements!B1689,'Live Collections'!$G:$G,Disbursements!C1689)</f>
        <v>0</v>
      </c>
      <c r="AL1689" s="540">
        <f>SUMIFS('Live Collections'!$T:$T,'Live Collections'!$D:$D,Disbursements!B1689,'Live Collections'!$G:$G,Disbursements!C1689)</f>
        <v>0</v>
      </c>
      <c r="AM1689" s="541">
        <f t="shared" si="712"/>
        <v>0</v>
      </c>
      <c r="AN1689" s="542" t="str">
        <f t="shared" si="713"/>
        <v/>
      </c>
      <c r="AO1689" s="542" t="str">
        <f t="shared" si="714"/>
        <v/>
      </c>
      <c r="AP1689" s="543" t="str">
        <f t="shared" si="715"/>
        <v/>
      </c>
      <c r="AQ1689" s="544" t="str">
        <f t="shared" si="716"/>
        <v/>
      </c>
      <c r="AR1689" s="545">
        <f t="shared" si="717"/>
        <v>0</v>
      </c>
      <c r="AS1689" s="545">
        <f>IFERROR(CEILING($AR1689*VLOOKUP($I1689,Ref!$B$23:$E$29,4,0),1),0)</f>
        <v>0</v>
      </c>
      <c r="AT1689" s="545" t="str">
        <f>IF(A1689="","",IF(AP1689&lt;=1,"Cleared",IF(AS1689=0,"Clean",VLOOKUP($AS1689,Ref!$G$23:$H$28,2))))</f>
        <v/>
      </c>
      <c r="AU1689" s="546" t="str">
        <f t="shared" si="718"/>
        <v/>
      </c>
    </row>
    <row r="1690" spans="1:47" ht="14.25" hidden="1" customHeight="1" x14ac:dyDescent="0.15">
      <c r="A1690" s="575"/>
      <c r="B1690" s="548"/>
      <c r="C1690" s="548"/>
      <c r="D1690" s="548"/>
      <c r="E1690" s="583"/>
      <c r="F1690" s="584"/>
      <c r="G1690" s="548"/>
      <c r="H1690" s="550"/>
      <c r="I1690" s="560"/>
      <c r="J1690" s="548"/>
      <c r="K1690" s="528" t="str">
        <f>IFERROR(VLOOKUP($B1690,'Clients-Live'!$A:$C,3,0),"")</f>
        <v/>
      </c>
      <c r="L1690" s="528">
        <f>IF(E1690="STL",Pricing!$D$38,IF(A1690="",0,IF(A1690&lt;Pricing!$C$25,Pricing!$D$25,VLOOKUP(Disbursements!$F1690,Pricing!$B$29:$D$32,3))))</f>
        <v>0</v>
      </c>
      <c r="M1690" s="528">
        <f>IF(E1690="STL",0,IF(F1690&gt;0,Pricing!$D$21,0))</f>
        <v>0</v>
      </c>
      <c r="N1690" s="529">
        <f>IF(E1690="STL",F1690*Pricing!$D$40,IF(A1690&lt;=Pricing!$C$4,0,IF(AND(A1690&gt;Pricing!$C$4,Disbursements!A1690&lt;=Pricing!$C$5),F1690*Pricing!$E$5,IF(AND(A1690&gt;Pricing!$C$5,Disbursements!A1690&lt;=Pricing!$C$7),VLOOKUP(F1690,Pricing!$D$7:$E$8,2)*Disbursements!F1690,F1690*Pricing!$E$9))))</f>
        <v>0</v>
      </c>
      <c r="O1690" s="528">
        <f>IF(E1690="STL",0,IF($F1690&gt;0,$F1690*Pricing!$D$17,0))</f>
        <v>0</v>
      </c>
      <c r="P1690" s="530" t="str">
        <f t="shared" si="698"/>
        <v/>
      </c>
      <c r="Q1690" s="531" t="str">
        <f>IF($A1690="","",$G1690/VLOOKUP($I1690,Ref!$B$23:$D$29,2,0))</f>
        <v/>
      </c>
      <c r="R1690" s="530" t="str">
        <f t="shared" si="699"/>
        <v/>
      </c>
      <c r="S1690" s="532" t="str">
        <f t="shared" si="693"/>
        <v/>
      </c>
      <c r="T1690" s="531" t="str">
        <f t="shared" si="700"/>
        <v/>
      </c>
      <c r="U1690" s="533">
        <f t="shared" si="701"/>
        <v>0</v>
      </c>
      <c r="V1690" s="531" t="str">
        <f t="shared" si="702"/>
        <v/>
      </c>
      <c r="W1690" s="531" t="str">
        <f t="shared" si="703"/>
        <v/>
      </c>
      <c r="X1690" s="534" t="str">
        <f t="shared" si="704"/>
        <v/>
      </c>
      <c r="Y1690" s="535" t="str">
        <f>IF($A1690="","",IF($I1690="weekly",$A1690+7,EDATE($A1690,VLOOKUP($I1690,Ref!$B$24:$C$29,2,0))))</f>
        <v/>
      </c>
      <c r="Z1690" s="536" t="str">
        <f t="shared" si="705"/>
        <v/>
      </c>
      <c r="AA1690" s="531">
        <f t="shared" si="706"/>
        <v>0</v>
      </c>
      <c r="AB1690" s="535" t="str">
        <f t="shared" si="694"/>
        <v/>
      </c>
      <c r="AC1690" s="537" t="str">
        <f t="shared" si="695"/>
        <v/>
      </c>
      <c r="AD1690" s="538" t="str">
        <f t="shared" ca="1" si="696"/>
        <v/>
      </c>
      <c r="AE1690" s="537">
        <f t="shared" ca="1" si="697"/>
        <v>0</v>
      </c>
      <c r="AF1690" s="539" t="str">
        <f t="shared" ca="1" si="707"/>
        <v/>
      </c>
      <c r="AG1690" s="531" t="str">
        <f t="shared" ca="1" si="708"/>
        <v/>
      </c>
      <c r="AH1690" s="531" t="str">
        <f t="shared" ca="1" si="709"/>
        <v/>
      </c>
      <c r="AI1690" s="531" t="str">
        <f t="shared" ca="1" si="710"/>
        <v/>
      </c>
      <c r="AJ1690" s="531" t="str">
        <f t="shared" si="711"/>
        <v/>
      </c>
      <c r="AK1690" s="540">
        <f>SUMIFS('Live Collections'!$S:$S,'Live Collections'!$D:$D,Disbursements!B1690,'Live Collections'!$G:$G,Disbursements!C1690)</f>
        <v>0</v>
      </c>
      <c r="AL1690" s="540">
        <f>SUMIFS('Live Collections'!$T:$T,'Live Collections'!$D:$D,Disbursements!B1690,'Live Collections'!$G:$G,Disbursements!C1690)</f>
        <v>0</v>
      </c>
      <c r="AM1690" s="541">
        <f t="shared" si="712"/>
        <v>0</v>
      </c>
      <c r="AN1690" s="542" t="str">
        <f t="shared" si="713"/>
        <v/>
      </c>
      <c r="AO1690" s="542" t="str">
        <f t="shared" si="714"/>
        <v/>
      </c>
      <c r="AP1690" s="543" t="str">
        <f t="shared" si="715"/>
        <v/>
      </c>
      <c r="AQ1690" s="544" t="str">
        <f t="shared" si="716"/>
        <v/>
      </c>
      <c r="AR1690" s="545">
        <f t="shared" si="717"/>
        <v>0</v>
      </c>
      <c r="AS1690" s="545">
        <f>IFERROR(CEILING($AR1690*VLOOKUP($I1690,Ref!$B$23:$E$29,4,0),1),0)</f>
        <v>0</v>
      </c>
      <c r="AT1690" s="545" t="str">
        <f>IF(A1690="","",IF(AP1690&lt;=1,"Cleared",IF(AS1690=0,"Clean",VLOOKUP($AS1690,Ref!$G$23:$H$28,2))))</f>
        <v/>
      </c>
      <c r="AU1690" s="546" t="str">
        <f t="shared" si="718"/>
        <v/>
      </c>
    </row>
    <row r="1691" spans="1:47" ht="14.25" hidden="1" customHeight="1" x14ac:dyDescent="0.15">
      <c r="A1691" s="575"/>
      <c r="B1691" s="548"/>
      <c r="C1691" s="548"/>
      <c r="D1691" s="548"/>
      <c r="E1691" s="583"/>
      <c r="F1691" s="584"/>
      <c r="G1691" s="548"/>
      <c r="H1691" s="550"/>
      <c r="I1691" s="560"/>
      <c r="J1691" s="548"/>
      <c r="K1691" s="528" t="str">
        <f>IFERROR(VLOOKUP($B1691,'Clients-Live'!$A:$C,3,0),"")</f>
        <v/>
      </c>
      <c r="L1691" s="528">
        <f>IF(E1691="STL",Pricing!$D$38,IF(A1691="",0,IF(A1691&lt;Pricing!$C$25,Pricing!$D$25,VLOOKUP(Disbursements!$F1691,Pricing!$B$29:$D$32,3))))</f>
        <v>0</v>
      </c>
      <c r="M1691" s="528">
        <f>IF(E1691="STL",0,IF(F1691&gt;0,Pricing!$D$21,0))</f>
        <v>0</v>
      </c>
      <c r="N1691" s="529">
        <f>IF(E1691="STL",F1691*Pricing!$D$40,IF(A1691&lt;=Pricing!$C$4,0,IF(AND(A1691&gt;Pricing!$C$4,Disbursements!A1691&lt;=Pricing!$C$5),F1691*Pricing!$E$5,IF(AND(A1691&gt;Pricing!$C$5,Disbursements!A1691&lt;=Pricing!$C$7),VLOOKUP(F1691,Pricing!$D$7:$E$8,2)*Disbursements!F1691,F1691*Pricing!$E$9))))</f>
        <v>0</v>
      </c>
      <c r="O1691" s="528">
        <f>IF(E1691="STL",0,IF($F1691&gt;0,$F1691*Pricing!$D$17,0))</f>
        <v>0</v>
      </c>
      <c r="P1691" s="530" t="str">
        <f t="shared" si="698"/>
        <v/>
      </c>
      <c r="Q1691" s="531" t="str">
        <f>IF($A1691="","",$G1691/VLOOKUP($I1691,Ref!$B$23:$D$29,2,0))</f>
        <v/>
      </c>
      <c r="R1691" s="530" t="str">
        <f t="shared" si="699"/>
        <v/>
      </c>
      <c r="S1691" s="532" t="str">
        <f t="shared" si="693"/>
        <v/>
      </c>
      <c r="T1691" s="531" t="str">
        <f t="shared" si="700"/>
        <v/>
      </c>
      <c r="U1691" s="533">
        <f t="shared" si="701"/>
        <v>0</v>
      </c>
      <c r="V1691" s="531" t="str">
        <f t="shared" si="702"/>
        <v/>
      </c>
      <c r="W1691" s="531" t="str">
        <f t="shared" si="703"/>
        <v/>
      </c>
      <c r="X1691" s="534" t="str">
        <f t="shared" si="704"/>
        <v/>
      </c>
      <c r="Y1691" s="535" t="str">
        <f>IF($A1691="","",IF($I1691="weekly",$A1691+7,EDATE($A1691,VLOOKUP($I1691,Ref!$B$24:$C$29,2,0))))</f>
        <v/>
      </c>
      <c r="Z1691" s="536" t="str">
        <f t="shared" si="705"/>
        <v/>
      </c>
      <c r="AA1691" s="531">
        <f t="shared" si="706"/>
        <v>0</v>
      </c>
      <c r="AB1691" s="535" t="str">
        <f t="shared" si="694"/>
        <v/>
      </c>
      <c r="AC1691" s="537" t="str">
        <f t="shared" si="695"/>
        <v/>
      </c>
      <c r="AD1691" s="538" t="str">
        <f t="shared" ca="1" si="696"/>
        <v/>
      </c>
      <c r="AE1691" s="537">
        <f t="shared" ca="1" si="697"/>
        <v>0</v>
      </c>
      <c r="AF1691" s="539" t="str">
        <f t="shared" ca="1" si="707"/>
        <v/>
      </c>
      <c r="AG1691" s="531" t="str">
        <f t="shared" ca="1" si="708"/>
        <v/>
      </c>
      <c r="AH1691" s="531" t="str">
        <f t="shared" ca="1" si="709"/>
        <v/>
      </c>
      <c r="AI1691" s="531" t="str">
        <f t="shared" ca="1" si="710"/>
        <v/>
      </c>
      <c r="AJ1691" s="531" t="str">
        <f t="shared" si="711"/>
        <v/>
      </c>
      <c r="AK1691" s="540">
        <f>SUMIFS('Live Collections'!$S:$S,'Live Collections'!$D:$D,Disbursements!B1691,'Live Collections'!$G:$G,Disbursements!C1691)</f>
        <v>0</v>
      </c>
      <c r="AL1691" s="540">
        <f>SUMIFS('Live Collections'!$T:$T,'Live Collections'!$D:$D,Disbursements!B1691,'Live Collections'!$G:$G,Disbursements!C1691)</f>
        <v>0</v>
      </c>
      <c r="AM1691" s="541">
        <f t="shared" si="712"/>
        <v>0</v>
      </c>
      <c r="AN1691" s="542" t="str">
        <f t="shared" si="713"/>
        <v/>
      </c>
      <c r="AO1691" s="542" t="str">
        <f t="shared" si="714"/>
        <v/>
      </c>
      <c r="AP1691" s="543" t="str">
        <f t="shared" si="715"/>
        <v/>
      </c>
      <c r="AQ1691" s="544" t="str">
        <f t="shared" si="716"/>
        <v/>
      </c>
      <c r="AR1691" s="545">
        <f t="shared" si="717"/>
        <v>0</v>
      </c>
      <c r="AS1691" s="545">
        <f>IFERROR(CEILING($AR1691*VLOOKUP($I1691,Ref!$B$23:$E$29,4,0),1),0)</f>
        <v>0</v>
      </c>
      <c r="AT1691" s="545" t="str">
        <f>IF(A1691="","",IF(AP1691&lt;=1,"Cleared",IF(AS1691=0,"Clean",VLOOKUP($AS1691,Ref!$G$23:$H$28,2))))</f>
        <v/>
      </c>
      <c r="AU1691" s="546" t="str">
        <f t="shared" si="718"/>
        <v/>
      </c>
    </row>
    <row r="1692" spans="1:47" ht="14.25" hidden="1" customHeight="1" x14ac:dyDescent="0.15">
      <c r="A1692" s="575"/>
      <c r="B1692" s="548"/>
      <c r="C1692" s="548"/>
      <c r="D1692" s="548"/>
      <c r="E1692" s="583"/>
      <c r="F1692" s="584"/>
      <c r="G1692" s="548"/>
      <c r="H1692" s="550"/>
      <c r="I1692" s="560"/>
      <c r="J1692" s="548"/>
      <c r="K1692" s="528" t="str">
        <f>IFERROR(VLOOKUP($B1692,'Clients-Live'!$A:$C,3,0),"")</f>
        <v/>
      </c>
      <c r="L1692" s="528">
        <f>IF(E1692="STL",Pricing!$D$38,IF(A1692="",0,IF(A1692&lt;Pricing!$C$25,Pricing!$D$25,VLOOKUP(Disbursements!$F1692,Pricing!$B$29:$D$32,3))))</f>
        <v>0</v>
      </c>
      <c r="M1692" s="528">
        <f>IF(E1692="STL",0,IF(F1692&gt;0,Pricing!$D$21,0))</f>
        <v>0</v>
      </c>
      <c r="N1692" s="529">
        <f>IF(E1692="STL",F1692*Pricing!$D$40,IF(A1692&lt;=Pricing!$C$4,0,IF(AND(A1692&gt;Pricing!$C$4,Disbursements!A1692&lt;=Pricing!$C$5),F1692*Pricing!$E$5,IF(AND(A1692&gt;Pricing!$C$5,Disbursements!A1692&lt;=Pricing!$C$7),VLOOKUP(F1692,Pricing!$D$7:$E$8,2)*Disbursements!F1692,F1692*Pricing!$E$9))))</f>
        <v>0</v>
      </c>
      <c r="O1692" s="528">
        <f>IF(E1692="STL",0,IF($F1692&gt;0,$F1692*Pricing!$D$17,0))</f>
        <v>0</v>
      </c>
      <c r="P1692" s="530" t="str">
        <f t="shared" si="698"/>
        <v/>
      </c>
      <c r="Q1692" s="531" t="str">
        <f>IF($A1692="","",$G1692/VLOOKUP($I1692,Ref!$B$23:$D$29,2,0))</f>
        <v/>
      </c>
      <c r="R1692" s="530" t="str">
        <f t="shared" si="699"/>
        <v/>
      </c>
      <c r="S1692" s="532" t="str">
        <f t="shared" si="693"/>
        <v/>
      </c>
      <c r="T1692" s="531" t="str">
        <f t="shared" si="700"/>
        <v/>
      </c>
      <c r="U1692" s="533">
        <f t="shared" si="701"/>
        <v>0</v>
      </c>
      <c r="V1692" s="531" t="str">
        <f t="shared" si="702"/>
        <v/>
      </c>
      <c r="W1692" s="531" t="str">
        <f t="shared" si="703"/>
        <v/>
      </c>
      <c r="X1692" s="534" t="str">
        <f t="shared" si="704"/>
        <v/>
      </c>
      <c r="Y1692" s="535" t="str">
        <f>IF($A1692="","",IF($I1692="weekly",$A1692+7,EDATE($A1692,VLOOKUP($I1692,Ref!$B$24:$C$29,2,0))))</f>
        <v/>
      </c>
      <c r="Z1692" s="536" t="str">
        <f t="shared" si="705"/>
        <v/>
      </c>
      <c r="AA1692" s="531">
        <f t="shared" si="706"/>
        <v>0</v>
      </c>
      <c r="AB1692" s="535" t="str">
        <f t="shared" si="694"/>
        <v/>
      </c>
      <c r="AC1692" s="537" t="str">
        <f t="shared" si="695"/>
        <v/>
      </c>
      <c r="AD1692" s="538" t="str">
        <f t="shared" ca="1" si="696"/>
        <v/>
      </c>
      <c r="AE1692" s="537">
        <f t="shared" ca="1" si="697"/>
        <v>0</v>
      </c>
      <c r="AF1692" s="539" t="str">
        <f t="shared" ca="1" si="707"/>
        <v/>
      </c>
      <c r="AG1692" s="531" t="str">
        <f t="shared" ca="1" si="708"/>
        <v/>
      </c>
      <c r="AH1692" s="531" t="str">
        <f t="shared" ca="1" si="709"/>
        <v/>
      </c>
      <c r="AI1692" s="531" t="str">
        <f t="shared" ca="1" si="710"/>
        <v/>
      </c>
      <c r="AJ1692" s="531" t="str">
        <f t="shared" si="711"/>
        <v/>
      </c>
      <c r="AK1692" s="540">
        <f>SUMIFS('Live Collections'!$S:$S,'Live Collections'!$D:$D,Disbursements!B1692,'Live Collections'!$G:$G,Disbursements!C1692)</f>
        <v>0</v>
      </c>
      <c r="AL1692" s="540">
        <f>SUMIFS('Live Collections'!$T:$T,'Live Collections'!$D:$D,Disbursements!B1692,'Live Collections'!$G:$G,Disbursements!C1692)</f>
        <v>0</v>
      </c>
      <c r="AM1692" s="541">
        <f t="shared" si="712"/>
        <v>0</v>
      </c>
      <c r="AN1692" s="542" t="str">
        <f t="shared" si="713"/>
        <v/>
      </c>
      <c r="AO1692" s="542" t="str">
        <f t="shared" si="714"/>
        <v/>
      </c>
      <c r="AP1692" s="543" t="str">
        <f t="shared" si="715"/>
        <v/>
      </c>
      <c r="AQ1692" s="544" t="str">
        <f t="shared" si="716"/>
        <v/>
      </c>
      <c r="AR1692" s="545">
        <f t="shared" si="717"/>
        <v>0</v>
      </c>
      <c r="AS1692" s="545">
        <f>IFERROR(CEILING($AR1692*VLOOKUP($I1692,Ref!$B$23:$E$29,4,0),1),0)</f>
        <v>0</v>
      </c>
      <c r="AT1692" s="545" t="str">
        <f>IF(A1692="","",IF(AP1692&lt;=1,"Cleared",IF(AS1692=0,"Clean",VLOOKUP($AS1692,Ref!$G$23:$H$28,2))))</f>
        <v/>
      </c>
      <c r="AU1692" s="546" t="str">
        <f t="shared" si="718"/>
        <v/>
      </c>
    </row>
    <row r="1693" spans="1:47" ht="14.25" hidden="1" customHeight="1" x14ac:dyDescent="0.15">
      <c r="A1693" s="575"/>
      <c r="B1693" s="548"/>
      <c r="C1693" s="548"/>
      <c r="D1693" s="548"/>
      <c r="E1693" s="583"/>
      <c r="F1693" s="584"/>
      <c r="G1693" s="548"/>
      <c r="H1693" s="550"/>
      <c r="I1693" s="560"/>
      <c r="J1693" s="548"/>
      <c r="K1693" s="528" t="str">
        <f>IFERROR(VLOOKUP($B1693,'Clients-Live'!$A:$C,3,0),"")</f>
        <v/>
      </c>
      <c r="L1693" s="528">
        <f>IF(E1693="STL",Pricing!$D$38,IF(A1693="",0,IF(A1693&lt;Pricing!$C$25,Pricing!$D$25,VLOOKUP(Disbursements!$F1693,Pricing!$B$29:$D$32,3))))</f>
        <v>0</v>
      </c>
      <c r="M1693" s="528">
        <f>IF(E1693="STL",0,IF(F1693&gt;0,Pricing!$D$21,0))</f>
        <v>0</v>
      </c>
      <c r="N1693" s="529">
        <f>IF(E1693="STL",F1693*Pricing!$D$40,IF(A1693&lt;=Pricing!$C$4,0,IF(AND(A1693&gt;Pricing!$C$4,Disbursements!A1693&lt;=Pricing!$C$5),F1693*Pricing!$E$5,IF(AND(A1693&gt;Pricing!$C$5,Disbursements!A1693&lt;=Pricing!$C$7),VLOOKUP(F1693,Pricing!$D$7:$E$8,2)*Disbursements!F1693,F1693*Pricing!$E$9))))</f>
        <v>0</v>
      </c>
      <c r="O1693" s="528">
        <f>IF(E1693="STL",0,IF($F1693&gt;0,$F1693*Pricing!$D$17,0))</f>
        <v>0</v>
      </c>
      <c r="P1693" s="530" t="str">
        <f t="shared" si="698"/>
        <v/>
      </c>
      <c r="Q1693" s="531" t="str">
        <f>IF($A1693="","",$G1693/VLOOKUP($I1693,Ref!$B$23:$D$29,2,0))</f>
        <v/>
      </c>
      <c r="R1693" s="530" t="str">
        <f t="shared" si="699"/>
        <v/>
      </c>
      <c r="S1693" s="532" t="str">
        <f t="shared" si="693"/>
        <v/>
      </c>
      <c r="T1693" s="531" t="str">
        <f t="shared" si="700"/>
        <v/>
      </c>
      <c r="U1693" s="533">
        <f t="shared" si="701"/>
        <v>0</v>
      </c>
      <c r="V1693" s="531" t="str">
        <f t="shared" si="702"/>
        <v/>
      </c>
      <c r="W1693" s="531" t="str">
        <f t="shared" si="703"/>
        <v/>
      </c>
      <c r="X1693" s="534" t="str">
        <f t="shared" si="704"/>
        <v/>
      </c>
      <c r="Y1693" s="535" t="str">
        <f>IF($A1693="","",IF($I1693="weekly",$A1693+7,EDATE($A1693,VLOOKUP($I1693,Ref!$B$24:$C$29,2,0))))</f>
        <v/>
      </c>
      <c r="Z1693" s="536" t="str">
        <f t="shared" si="705"/>
        <v/>
      </c>
      <c r="AA1693" s="531">
        <f t="shared" si="706"/>
        <v>0</v>
      </c>
      <c r="AB1693" s="535" t="str">
        <f t="shared" si="694"/>
        <v/>
      </c>
      <c r="AC1693" s="537" t="str">
        <f t="shared" si="695"/>
        <v/>
      </c>
      <c r="AD1693" s="538" t="str">
        <f t="shared" ca="1" si="696"/>
        <v/>
      </c>
      <c r="AE1693" s="537">
        <f t="shared" ca="1" si="697"/>
        <v>0</v>
      </c>
      <c r="AF1693" s="539" t="str">
        <f t="shared" ca="1" si="707"/>
        <v/>
      </c>
      <c r="AG1693" s="531" t="str">
        <f t="shared" ca="1" si="708"/>
        <v/>
      </c>
      <c r="AH1693" s="531" t="str">
        <f t="shared" ca="1" si="709"/>
        <v/>
      </c>
      <c r="AI1693" s="531" t="str">
        <f t="shared" ca="1" si="710"/>
        <v/>
      </c>
      <c r="AJ1693" s="531" t="str">
        <f t="shared" si="711"/>
        <v/>
      </c>
      <c r="AK1693" s="540">
        <f>SUMIFS('Live Collections'!$S:$S,'Live Collections'!$D:$D,Disbursements!B1693,'Live Collections'!$G:$G,Disbursements!C1693)</f>
        <v>0</v>
      </c>
      <c r="AL1693" s="540">
        <f>SUMIFS('Live Collections'!$T:$T,'Live Collections'!$D:$D,Disbursements!B1693,'Live Collections'!$G:$G,Disbursements!C1693)</f>
        <v>0</v>
      </c>
      <c r="AM1693" s="541">
        <f t="shared" si="712"/>
        <v>0</v>
      </c>
      <c r="AN1693" s="542" t="str">
        <f t="shared" si="713"/>
        <v/>
      </c>
      <c r="AO1693" s="542" t="str">
        <f t="shared" si="714"/>
        <v/>
      </c>
      <c r="AP1693" s="543" t="str">
        <f t="shared" si="715"/>
        <v/>
      </c>
      <c r="AQ1693" s="544" t="str">
        <f t="shared" si="716"/>
        <v/>
      </c>
      <c r="AR1693" s="545">
        <f t="shared" si="717"/>
        <v>0</v>
      </c>
      <c r="AS1693" s="545">
        <f>IFERROR(CEILING($AR1693*VLOOKUP($I1693,Ref!$B$23:$E$29,4,0),1),0)</f>
        <v>0</v>
      </c>
      <c r="AT1693" s="545" t="str">
        <f>IF(A1693="","",IF(AP1693&lt;=1,"Cleared",IF(AS1693=0,"Clean",VLOOKUP($AS1693,Ref!$G$23:$H$28,2))))</f>
        <v/>
      </c>
      <c r="AU1693" s="546" t="str">
        <f t="shared" si="718"/>
        <v/>
      </c>
    </row>
    <row r="1694" spans="1:47" ht="14.25" hidden="1" customHeight="1" x14ac:dyDescent="0.15">
      <c r="A1694" s="575"/>
      <c r="B1694" s="548"/>
      <c r="C1694" s="548"/>
      <c r="D1694" s="548"/>
      <c r="E1694" s="583"/>
      <c r="F1694" s="584"/>
      <c r="G1694" s="548"/>
      <c r="H1694" s="550"/>
      <c r="I1694" s="560"/>
      <c r="J1694" s="548"/>
      <c r="K1694" s="528" t="str">
        <f>IFERROR(VLOOKUP($B1694,'Clients-Live'!$A:$C,3,0),"")</f>
        <v/>
      </c>
      <c r="L1694" s="528">
        <f>IF(E1694="STL",Pricing!$D$38,IF(A1694="",0,IF(A1694&lt;Pricing!$C$25,Pricing!$D$25,VLOOKUP(Disbursements!$F1694,Pricing!$B$29:$D$32,3))))</f>
        <v>0</v>
      </c>
      <c r="M1694" s="528">
        <f>IF(E1694="STL",0,IF(F1694&gt;0,Pricing!$D$21,0))</f>
        <v>0</v>
      </c>
      <c r="N1694" s="529">
        <f>IF(E1694="STL",F1694*Pricing!$D$40,IF(A1694&lt;=Pricing!$C$4,0,IF(AND(A1694&gt;Pricing!$C$4,Disbursements!A1694&lt;=Pricing!$C$5),F1694*Pricing!$E$5,IF(AND(A1694&gt;Pricing!$C$5,Disbursements!A1694&lt;=Pricing!$C$7),VLOOKUP(F1694,Pricing!$D$7:$E$8,2)*Disbursements!F1694,F1694*Pricing!$E$9))))</f>
        <v>0</v>
      </c>
      <c r="O1694" s="528">
        <f>IF(E1694="STL",0,IF($F1694&gt;0,$F1694*Pricing!$D$17,0))</f>
        <v>0</v>
      </c>
      <c r="P1694" s="530" t="str">
        <f t="shared" si="698"/>
        <v/>
      </c>
      <c r="Q1694" s="531" t="str">
        <f>IF($A1694="","",$G1694/VLOOKUP($I1694,Ref!$B$23:$D$29,2,0))</f>
        <v/>
      </c>
      <c r="R1694" s="530" t="str">
        <f t="shared" si="699"/>
        <v/>
      </c>
      <c r="S1694" s="532" t="str">
        <f t="shared" si="693"/>
        <v/>
      </c>
      <c r="T1694" s="531" t="str">
        <f t="shared" si="700"/>
        <v/>
      </c>
      <c r="U1694" s="533">
        <f t="shared" si="701"/>
        <v>0</v>
      </c>
      <c r="V1694" s="531" t="str">
        <f t="shared" si="702"/>
        <v/>
      </c>
      <c r="W1694" s="531" t="str">
        <f t="shared" si="703"/>
        <v/>
      </c>
      <c r="X1694" s="534" t="str">
        <f t="shared" si="704"/>
        <v/>
      </c>
      <c r="Y1694" s="535" t="str">
        <f>IF($A1694="","",IF($I1694="weekly",$A1694+7,EDATE($A1694,VLOOKUP($I1694,Ref!$B$24:$C$29,2,0))))</f>
        <v/>
      </c>
      <c r="Z1694" s="536" t="str">
        <f t="shared" si="705"/>
        <v/>
      </c>
      <c r="AA1694" s="531">
        <f t="shared" si="706"/>
        <v>0</v>
      </c>
      <c r="AB1694" s="535" t="str">
        <f t="shared" si="694"/>
        <v/>
      </c>
      <c r="AC1694" s="537" t="str">
        <f t="shared" si="695"/>
        <v/>
      </c>
      <c r="AD1694" s="538" t="str">
        <f t="shared" ca="1" si="696"/>
        <v/>
      </c>
      <c r="AE1694" s="537">
        <f t="shared" ca="1" si="697"/>
        <v>0</v>
      </c>
      <c r="AF1694" s="539" t="str">
        <f t="shared" ca="1" si="707"/>
        <v/>
      </c>
      <c r="AG1694" s="531" t="str">
        <f t="shared" ca="1" si="708"/>
        <v/>
      </c>
      <c r="AH1694" s="531" t="str">
        <f t="shared" ca="1" si="709"/>
        <v/>
      </c>
      <c r="AI1694" s="531" t="str">
        <f t="shared" ca="1" si="710"/>
        <v/>
      </c>
      <c r="AJ1694" s="531" t="str">
        <f t="shared" si="711"/>
        <v/>
      </c>
      <c r="AK1694" s="540">
        <f>SUMIFS('Live Collections'!$S:$S,'Live Collections'!$D:$D,Disbursements!B1694,'Live Collections'!$G:$G,Disbursements!C1694)</f>
        <v>0</v>
      </c>
      <c r="AL1694" s="540">
        <f>SUMIFS('Live Collections'!$T:$T,'Live Collections'!$D:$D,Disbursements!B1694,'Live Collections'!$G:$G,Disbursements!C1694)</f>
        <v>0</v>
      </c>
      <c r="AM1694" s="541">
        <f t="shared" si="712"/>
        <v>0</v>
      </c>
      <c r="AN1694" s="542" t="str">
        <f t="shared" si="713"/>
        <v/>
      </c>
      <c r="AO1694" s="542" t="str">
        <f t="shared" si="714"/>
        <v/>
      </c>
      <c r="AP1694" s="543" t="str">
        <f t="shared" si="715"/>
        <v/>
      </c>
      <c r="AQ1694" s="544" t="str">
        <f t="shared" si="716"/>
        <v/>
      </c>
      <c r="AR1694" s="545">
        <f t="shared" si="717"/>
        <v>0</v>
      </c>
      <c r="AS1694" s="545">
        <f>IFERROR(CEILING($AR1694*VLOOKUP($I1694,Ref!$B$23:$E$29,4,0),1),0)</f>
        <v>0</v>
      </c>
      <c r="AT1694" s="545" t="str">
        <f>IF(A1694="","",IF(AP1694&lt;=1,"Cleared",IF(AS1694=0,"Clean",VLOOKUP($AS1694,Ref!$G$23:$H$28,2))))</f>
        <v/>
      </c>
      <c r="AU1694" s="546" t="str">
        <f t="shared" si="718"/>
        <v/>
      </c>
    </row>
    <row r="1695" spans="1:47" ht="14.25" hidden="1" customHeight="1" x14ac:dyDescent="0.15">
      <c r="A1695" s="575"/>
      <c r="B1695" s="548"/>
      <c r="C1695" s="548"/>
      <c r="D1695" s="548"/>
      <c r="E1695" s="583"/>
      <c r="F1695" s="584"/>
      <c r="G1695" s="548"/>
      <c r="H1695" s="550"/>
      <c r="I1695" s="560"/>
      <c r="J1695" s="548"/>
      <c r="K1695" s="528" t="str">
        <f>IFERROR(VLOOKUP($B1695,'Clients-Live'!$A:$C,3,0),"")</f>
        <v/>
      </c>
      <c r="L1695" s="528">
        <f>IF(E1695="STL",Pricing!$D$38,IF(A1695="",0,IF(A1695&lt;Pricing!$C$25,Pricing!$D$25,VLOOKUP(Disbursements!$F1695,Pricing!$B$29:$D$32,3))))</f>
        <v>0</v>
      </c>
      <c r="M1695" s="528">
        <f>IF(E1695="STL",0,IF(F1695&gt;0,Pricing!$D$21,0))</f>
        <v>0</v>
      </c>
      <c r="N1695" s="529">
        <f>IF(E1695="STL",F1695*Pricing!$D$40,IF(A1695&lt;=Pricing!$C$4,0,IF(AND(A1695&gt;Pricing!$C$4,Disbursements!A1695&lt;=Pricing!$C$5),F1695*Pricing!$E$5,IF(AND(A1695&gt;Pricing!$C$5,Disbursements!A1695&lt;=Pricing!$C$7),VLOOKUP(F1695,Pricing!$D$7:$E$8,2)*Disbursements!F1695,F1695*Pricing!$E$9))))</f>
        <v>0</v>
      </c>
      <c r="O1695" s="528">
        <f>IF(E1695="STL",0,IF($F1695&gt;0,$F1695*Pricing!$D$17,0))</f>
        <v>0</v>
      </c>
      <c r="P1695" s="530" t="str">
        <f t="shared" si="698"/>
        <v/>
      </c>
      <c r="Q1695" s="531" t="str">
        <f>IF($A1695="","",$G1695/VLOOKUP($I1695,Ref!$B$23:$D$29,2,0))</f>
        <v/>
      </c>
      <c r="R1695" s="530" t="str">
        <f t="shared" si="699"/>
        <v/>
      </c>
      <c r="S1695" s="532" t="str">
        <f t="shared" si="693"/>
        <v/>
      </c>
      <c r="T1695" s="531" t="str">
        <f t="shared" si="700"/>
        <v/>
      </c>
      <c r="U1695" s="533">
        <f t="shared" si="701"/>
        <v>0</v>
      </c>
      <c r="V1695" s="531" t="str">
        <f t="shared" si="702"/>
        <v/>
      </c>
      <c r="W1695" s="531" t="str">
        <f t="shared" si="703"/>
        <v/>
      </c>
      <c r="X1695" s="534" t="str">
        <f t="shared" si="704"/>
        <v/>
      </c>
      <c r="Y1695" s="535" t="str">
        <f>IF($A1695="","",IF($I1695="weekly",$A1695+7,EDATE($A1695,VLOOKUP($I1695,Ref!$B$24:$C$29,2,0))))</f>
        <v/>
      </c>
      <c r="Z1695" s="536" t="str">
        <f t="shared" si="705"/>
        <v/>
      </c>
      <c r="AA1695" s="531">
        <f t="shared" si="706"/>
        <v>0</v>
      </c>
      <c r="AB1695" s="535" t="str">
        <f t="shared" si="694"/>
        <v/>
      </c>
      <c r="AC1695" s="537" t="str">
        <f t="shared" si="695"/>
        <v/>
      </c>
      <c r="AD1695" s="538" t="str">
        <f t="shared" ca="1" si="696"/>
        <v/>
      </c>
      <c r="AE1695" s="537">
        <f t="shared" ca="1" si="697"/>
        <v>0</v>
      </c>
      <c r="AF1695" s="539" t="str">
        <f t="shared" ca="1" si="707"/>
        <v/>
      </c>
      <c r="AG1695" s="531" t="str">
        <f t="shared" ca="1" si="708"/>
        <v/>
      </c>
      <c r="AH1695" s="531" t="str">
        <f t="shared" ca="1" si="709"/>
        <v/>
      </c>
      <c r="AI1695" s="531" t="str">
        <f t="shared" ca="1" si="710"/>
        <v/>
      </c>
      <c r="AJ1695" s="531" t="str">
        <f t="shared" si="711"/>
        <v/>
      </c>
      <c r="AK1695" s="540">
        <f>SUMIFS('Live Collections'!$S:$S,'Live Collections'!$D:$D,Disbursements!B1695,'Live Collections'!$G:$G,Disbursements!C1695)</f>
        <v>0</v>
      </c>
      <c r="AL1695" s="540">
        <f>SUMIFS('Live Collections'!$T:$T,'Live Collections'!$D:$D,Disbursements!B1695,'Live Collections'!$G:$G,Disbursements!C1695)</f>
        <v>0</v>
      </c>
      <c r="AM1695" s="541">
        <f t="shared" si="712"/>
        <v>0</v>
      </c>
      <c r="AN1695" s="542" t="str">
        <f t="shared" si="713"/>
        <v/>
      </c>
      <c r="AO1695" s="542" t="str">
        <f t="shared" si="714"/>
        <v/>
      </c>
      <c r="AP1695" s="543" t="str">
        <f t="shared" si="715"/>
        <v/>
      </c>
      <c r="AQ1695" s="544" t="str">
        <f t="shared" si="716"/>
        <v/>
      </c>
      <c r="AR1695" s="545">
        <f t="shared" si="717"/>
        <v>0</v>
      </c>
      <c r="AS1695" s="545">
        <f>IFERROR(CEILING($AR1695*VLOOKUP($I1695,Ref!$B$23:$E$29,4,0),1),0)</f>
        <v>0</v>
      </c>
      <c r="AT1695" s="545" t="str">
        <f>IF(A1695="","",IF(AP1695&lt;=1,"Cleared",IF(AS1695=0,"Clean",VLOOKUP($AS1695,Ref!$G$23:$H$28,2))))</f>
        <v/>
      </c>
      <c r="AU1695" s="546" t="str">
        <f t="shared" si="718"/>
        <v/>
      </c>
    </row>
    <row r="1696" spans="1:47" ht="14.25" hidden="1" customHeight="1" x14ac:dyDescent="0.15">
      <c r="A1696" s="575"/>
      <c r="B1696" s="548"/>
      <c r="C1696" s="548"/>
      <c r="D1696" s="548"/>
      <c r="E1696" s="583"/>
      <c r="F1696" s="584"/>
      <c r="G1696" s="548"/>
      <c r="H1696" s="550"/>
      <c r="I1696" s="560"/>
      <c r="J1696" s="548"/>
      <c r="K1696" s="528" t="str">
        <f>IFERROR(VLOOKUP($B1696,'Clients-Live'!$A:$C,3,0),"")</f>
        <v/>
      </c>
      <c r="L1696" s="528">
        <f>IF(E1696="STL",Pricing!$D$38,IF(A1696="",0,IF(A1696&lt;Pricing!$C$25,Pricing!$D$25,VLOOKUP(Disbursements!$F1696,Pricing!$B$29:$D$32,3))))</f>
        <v>0</v>
      </c>
      <c r="M1696" s="528">
        <f>IF(E1696="STL",0,IF(F1696&gt;0,Pricing!$D$21,0))</f>
        <v>0</v>
      </c>
      <c r="N1696" s="529">
        <f>IF(E1696="STL",F1696*Pricing!$D$40,IF(A1696&lt;=Pricing!$C$4,0,IF(AND(A1696&gt;Pricing!$C$4,Disbursements!A1696&lt;=Pricing!$C$5),F1696*Pricing!$E$5,IF(AND(A1696&gt;Pricing!$C$5,Disbursements!A1696&lt;=Pricing!$C$7),VLOOKUP(F1696,Pricing!$D$7:$E$8,2)*Disbursements!F1696,F1696*Pricing!$E$9))))</f>
        <v>0</v>
      </c>
      <c r="O1696" s="528">
        <f>IF(E1696="STL",0,IF($F1696&gt;0,$F1696*Pricing!$D$17,0))</f>
        <v>0</v>
      </c>
      <c r="P1696" s="530" t="str">
        <f t="shared" si="698"/>
        <v/>
      </c>
      <c r="Q1696" s="531" t="str">
        <f>IF($A1696="","",$G1696/VLOOKUP($I1696,Ref!$B$23:$D$29,2,0))</f>
        <v/>
      </c>
      <c r="R1696" s="530" t="str">
        <f t="shared" si="699"/>
        <v/>
      </c>
      <c r="S1696" s="532" t="str">
        <f t="shared" si="693"/>
        <v/>
      </c>
      <c r="T1696" s="531" t="str">
        <f t="shared" si="700"/>
        <v/>
      </c>
      <c r="U1696" s="533">
        <f t="shared" si="701"/>
        <v>0</v>
      </c>
      <c r="V1696" s="531" t="str">
        <f t="shared" si="702"/>
        <v/>
      </c>
      <c r="W1696" s="531" t="str">
        <f t="shared" si="703"/>
        <v/>
      </c>
      <c r="X1696" s="534" t="str">
        <f t="shared" si="704"/>
        <v/>
      </c>
      <c r="Y1696" s="535" t="str">
        <f>IF($A1696="","",IF($I1696="weekly",$A1696+7,EDATE($A1696,VLOOKUP($I1696,Ref!$B$24:$C$29,2,0))))</f>
        <v/>
      </c>
      <c r="Z1696" s="536" t="str">
        <f t="shared" si="705"/>
        <v/>
      </c>
      <c r="AA1696" s="531">
        <f t="shared" si="706"/>
        <v>0</v>
      </c>
      <c r="AB1696" s="535" t="str">
        <f t="shared" si="694"/>
        <v/>
      </c>
      <c r="AC1696" s="537" t="str">
        <f t="shared" si="695"/>
        <v/>
      </c>
      <c r="AD1696" s="538" t="str">
        <f t="shared" ca="1" si="696"/>
        <v/>
      </c>
      <c r="AE1696" s="537">
        <f t="shared" ca="1" si="697"/>
        <v>0</v>
      </c>
      <c r="AF1696" s="539" t="str">
        <f t="shared" ca="1" si="707"/>
        <v/>
      </c>
      <c r="AG1696" s="531" t="str">
        <f t="shared" ca="1" si="708"/>
        <v/>
      </c>
      <c r="AH1696" s="531" t="str">
        <f t="shared" ca="1" si="709"/>
        <v/>
      </c>
      <c r="AI1696" s="531" t="str">
        <f t="shared" ca="1" si="710"/>
        <v/>
      </c>
      <c r="AJ1696" s="531" t="str">
        <f t="shared" si="711"/>
        <v/>
      </c>
      <c r="AK1696" s="540">
        <f>SUMIFS('Live Collections'!$S:$S,'Live Collections'!$D:$D,Disbursements!B1696,'Live Collections'!$G:$G,Disbursements!C1696)</f>
        <v>0</v>
      </c>
      <c r="AL1696" s="540">
        <f>SUMIFS('Live Collections'!$T:$T,'Live Collections'!$D:$D,Disbursements!B1696,'Live Collections'!$G:$G,Disbursements!C1696)</f>
        <v>0</v>
      </c>
      <c r="AM1696" s="541">
        <f t="shared" si="712"/>
        <v>0</v>
      </c>
      <c r="AN1696" s="542" t="str">
        <f t="shared" si="713"/>
        <v/>
      </c>
      <c r="AO1696" s="542" t="str">
        <f t="shared" si="714"/>
        <v/>
      </c>
      <c r="AP1696" s="543" t="str">
        <f t="shared" si="715"/>
        <v/>
      </c>
      <c r="AQ1696" s="544" t="str">
        <f t="shared" si="716"/>
        <v/>
      </c>
      <c r="AR1696" s="545">
        <f t="shared" si="717"/>
        <v>0</v>
      </c>
      <c r="AS1696" s="545">
        <f>IFERROR(CEILING($AR1696*VLOOKUP($I1696,Ref!$B$23:$E$29,4,0),1),0)</f>
        <v>0</v>
      </c>
      <c r="AT1696" s="545" t="str">
        <f>IF(A1696="","",IF(AP1696&lt;=1,"Cleared",IF(AS1696=0,"Clean",VLOOKUP($AS1696,Ref!$G$23:$H$28,2))))</f>
        <v/>
      </c>
      <c r="AU1696" s="546" t="str">
        <f t="shared" si="718"/>
        <v/>
      </c>
    </row>
    <row r="1697" spans="1:47" ht="14.25" hidden="1" customHeight="1" x14ac:dyDescent="0.15">
      <c r="A1697" s="575"/>
      <c r="B1697" s="548"/>
      <c r="C1697" s="548"/>
      <c r="D1697" s="548"/>
      <c r="E1697" s="583"/>
      <c r="F1697" s="584"/>
      <c r="G1697" s="548"/>
      <c r="H1697" s="550"/>
      <c r="I1697" s="560"/>
      <c r="J1697" s="548"/>
      <c r="K1697" s="528" t="str">
        <f>IFERROR(VLOOKUP($B1697,'Clients-Live'!$A:$C,3,0),"")</f>
        <v/>
      </c>
      <c r="L1697" s="528">
        <f>IF(E1697="STL",Pricing!$D$38,IF(A1697="",0,IF(A1697&lt;Pricing!$C$25,Pricing!$D$25,VLOOKUP(Disbursements!$F1697,Pricing!$B$29:$D$32,3))))</f>
        <v>0</v>
      </c>
      <c r="M1697" s="528">
        <f>IF(E1697="STL",0,IF(F1697&gt;0,Pricing!$D$21,0))</f>
        <v>0</v>
      </c>
      <c r="N1697" s="529">
        <f>IF(E1697="STL",F1697*Pricing!$D$40,IF(A1697&lt;=Pricing!$C$4,0,IF(AND(A1697&gt;Pricing!$C$4,Disbursements!A1697&lt;=Pricing!$C$5),F1697*Pricing!$E$5,IF(AND(A1697&gt;Pricing!$C$5,Disbursements!A1697&lt;=Pricing!$C$7),VLOOKUP(F1697,Pricing!$D$7:$E$8,2)*Disbursements!F1697,F1697*Pricing!$E$9))))</f>
        <v>0</v>
      </c>
      <c r="O1697" s="528">
        <f>IF(E1697="STL",0,IF($F1697&gt;0,$F1697*Pricing!$D$17,0))</f>
        <v>0</v>
      </c>
      <c r="P1697" s="530" t="str">
        <f t="shared" si="698"/>
        <v/>
      </c>
      <c r="Q1697" s="531" t="str">
        <f>IF($A1697="","",$G1697/VLOOKUP($I1697,Ref!$B$23:$D$29,2,0))</f>
        <v/>
      </c>
      <c r="R1697" s="530" t="str">
        <f t="shared" si="699"/>
        <v/>
      </c>
      <c r="S1697" s="532" t="str">
        <f t="shared" si="693"/>
        <v/>
      </c>
      <c r="T1697" s="531" t="str">
        <f t="shared" si="700"/>
        <v/>
      </c>
      <c r="U1697" s="533">
        <f t="shared" si="701"/>
        <v>0</v>
      </c>
      <c r="V1697" s="531" t="str">
        <f t="shared" si="702"/>
        <v/>
      </c>
      <c r="W1697" s="531" t="str">
        <f t="shared" si="703"/>
        <v/>
      </c>
      <c r="X1697" s="534" t="str">
        <f t="shared" si="704"/>
        <v/>
      </c>
      <c r="Y1697" s="535" t="str">
        <f>IF($A1697="","",IF($I1697="weekly",$A1697+7,EDATE($A1697,VLOOKUP($I1697,Ref!$B$24:$C$29,2,0))))</f>
        <v/>
      </c>
      <c r="Z1697" s="536" t="str">
        <f t="shared" si="705"/>
        <v/>
      </c>
      <c r="AA1697" s="531">
        <f t="shared" si="706"/>
        <v>0</v>
      </c>
      <c r="AB1697" s="535" t="str">
        <f t="shared" si="694"/>
        <v/>
      </c>
      <c r="AC1697" s="537" t="str">
        <f t="shared" si="695"/>
        <v/>
      </c>
      <c r="AD1697" s="538" t="str">
        <f t="shared" ca="1" si="696"/>
        <v/>
      </c>
      <c r="AE1697" s="537">
        <f t="shared" ca="1" si="697"/>
        <v>0</v>
      </c>
      <c r="AF1697" s="539" t="str">
        <f t="shared" ca="1" si="707"/>
        <v/>
      </c>
      <c r="AG1697" s="531" t="str">
        <f t="shared" ca="1" si="708"/>
        <v/>
      </c>
      <c r="AH1697" s="531" t="str">
        <f t="shared" ca="1" si="709"/>
        <v/>
      </c>
      <c r="AI1697" s="531" t="str">
        <f t="shared" ca="1" si="710"/>
        <v/>
      </c>
      <c r="AJ1697" s="531" t="str">
        <f t="shared" si="711"/>
        <v/>
      </c>
      <c r="AK1697" s="540">
        <f>SUMIFS('Live Collections'!$S:$S,'Live Collections'!$D:$D,Disbursements!B1697,'Live Collections'!$G:$G,Disbursements!C1697)</f>
        <v>0</v>
      </c>
      <c r="AL1697" s="540">
        <f>SUMIFS('Live Collections'!$T:$T,'Live Collections'!$D:$D,Disbursements!B1697,'Live Collections'!$G:$G,Disbursements!C1697)</f>
        <v>0</v>
      </c>
      <c r="AM1697" s="541">
        <f t="shared" si="712"/>
        <v>0</v>
      </c>
      <c r="AN1697" s="542" t="str">
        <f t="shared" si="713"/>
        <v/>
      </c>
      <c r="AO1697" s="542" t="str">
        <f t="shared" si="714"/>
        <v/>
      </c>
      <c r="AP1697" s="543" t="str">
        <f t="shared" si="715"/>
        <v/>
      </c>
      <c r="AQ1697" s="544" t="str">
        <f t="shared" si="716"/>
        <v/>
      </c>
      <c r="AR1697" s="545">
        <f t="shared" si="717"/>
        <v>0</v>
      </c>
      <c r="AS1697" s="545">
        <f>IFERROR(CEILING($AR1697*VLOOKUP($I1697,Ref!$B$23:$E$29,4,0),1),0)</f>
        <v>0</v>
      </c>
      <c r="AT1697" s="545" t="str">
        <f>IF(A1697="","",IF(AP1697&lt;=1,"Cleared",IF(AS1697=0,"Clean",VLOOKUP($AS1697,Ref!$G$23:$H$28,2))))</f>
        <v/>
      </c>
      <c r="AU1697" s="546" t="str">
        <f t="shared" si="718"/>
        <v/>
      </c>
    </row>
    <row r="1698" spans="1:47" ht="14.25" hidden="1" customHeight="1" x14ac:dyDescent="0.15">
      <c r="A1698" s="575"/>
      <c r="B1698" s="548"/>
      <c r="C1698" s="548"/>
      <c r="D1698" s="548"/>
      <c r="E1698" s="583"/>
      <c r="F1698" s="584"/>
      <c r="G1698" s="548"/>
      <c r="H1698" s="550"/>
      <c r="I1698" s="560"/>
      <c r="J1698" s="548"/>
      <c r="K1698" s="528" t="str">
        <f>IFERROR(VLOOKUP($B1698,'Clients-Live'!$A:$C,3,0),"")</f>
        <v/>
      </c>
      <c r="L1698" s="528">
        <f>IF(E1698="STL",Pricing!$D$38,IF(A1698="",0,IF(A1698&lt;Pricing!$C$25,Pricing!$D$25,VLOOKUP(Disbursements!$F1698,Pricing!$B$29:$D$32,3))))</f>
        <v>0</v>
      </c>
      <c r="M1698" s="528">
        <f>IF(E1698="STL",0,IF(F1698&gt;0,Pricing!$D$21,0))</f>
        <v>0</v>
      </c>
      <c r="N1698" s="529">
        <f>IF(E1698="STL",F1698*Pricing!$D$40,IF(A1698&lt;=Pricing!$C$4,0,IF(AND(A1698&gt;Pricing!$C$4,Disbursements!A1698&lt;=Pricing!$C$5),F1698*Pricing!$E$5,IF(AND(A1698&gt;Pricing!$C$5,Disbursements!A1698&lt;=Pricing!$C$7),VLOOKUP(F1698,Pricing!$D$7:$E$8,2)*Disbursements!F1698,F1698*Pricing!$E$9))))</f>
        <v>0</v>
      </c>
      <c r="O1698" s="528">
        <f>IF(E1698="STL",0,IF($F1698&gt;0,$F1698*Pricing!$D$17,0))</f>
        <v>0</v>
      </c>
      <c r="P1698" s="530" t="str">
        <f t="shared" si="698"/>
        <v/>
      </c>
      <c r="Q1698" s="531" t="str">
        <f>IF($A1698="","",$G1698/VLOOKUP($I1698,Ref!$B$23:$D$29,2,0))</f>
        <v/>
      </c>
      <c r="R1698" s="530" t="str">
        <f t="shared" si="699"/>
        <v/>
      </c>
      <c r="S1698" s="532" t="str">
        <f t="shared" si="693"/>
        <v/>
      </c>
      <c r="T1698" s="531" t="str">
        <f t="shared" si="700"/>
        <v/>
      </c>
      <c r="U1698" s="533">
        <f t="shared" si="701"/>
        <v>0</v>
      </c>
      <c r="V1698" s="531" t="str">
        <f t="shared" si="702"/>
        <v/>
      </c>
      <c r="W1698" s="531" t="str">
        <f t="shared" si="703"/>
        <v/>
      </c>
      <c r="X1698" s="534" t="str">
        <f t="shared" si="704"/>
        <v/>
      </c>
      <c r="Y1698" s="535" t="str">
        <f>IF($A1698="","",IF($I1698="weekly",$A1698+7,EDATE($A1698,VLOOKUP($I1698,Ref!$B$24:$C$29,2,0))))</f>
        <v/>
      </c>
      <c r="Z1698" s="536" t="str">
        <f t="shared" si="705"/>
        <v/>
      </c>
      <c r="AA1698" s="531">
        <f t="shared" si="706"/>
        <v>0</v>
      </c>
      <c r="AB1698" s="535" t="str">
        <f t="shared" si="694"/>
        <v/>
      </c>
      <c r="AC1698" s="537" t="str">
        <f t="shared" si="695"/>
        <v/>
      </c>
      <c r="AD1698" s="538" t="str">
        <f t="shared" ca="1" si="696"/>
        <v/>
      </c>
      <c r="AE1698" s="537">
        <f t="shared" ca="1" si="697"/>
        <v>0</v>
      </c>
      <c r="AF1698" s="539" t="str">
        <f t="shared" ca="1" si="707"/>
        <v/>
      </c>
      <c r="AG1698" s="531" t="str">
        <f t="shared" ca="1" si="708"/>
        <v/>
      </c>
      <c r="AH1698" s="531" t="str">
        <f t="shared" ca="1" si="709"/>
        <v/>
      </c>
      <c r="AI1698" s="531" t="str">
        <f t="shared" ca="1" si="710"/>
        <v/>
      </c>
      <c r="AJ1698" s="531" t="str">
        <f t="shared" si="711"/>
        <v/>
      </c>
      <c r="AK1698" s="540">
        <f>SUMIFS('Live Collections'!$S:$S,'Live Collections'!$D:$D,Disbursements!B1698,'Live Collections'!$G:$G,Disbursements!C1698)</f>
        <v>0</v>
      </c>
      <c r="AL1698" s="540">
        <f>SUMIFS('Live Collections'!$T:$T,'Live Collections'!$D:$D,Disbursements!B1698,'Live Collections'!$G:$G,Disbursements!C1698)</f>
        <v>0</v>
      </c>
      <c r="AM1698" s="541">
        <f t="shared" si="712"/>
        <v>0</v>
      </c>
      <c r="AN1698" s="542" t="str">
        <f t="shared" si="713"/>
        <v/>
      </c>
      <c r="AO1698" s="542" t="str">
        <f t="shared" si="714"/>
        <v/>
      </c>
      <c r="AP1698" s="543" t="str">
        <f t="shared" si="715"/>
        <v/>
      </c>
      <c r="AQ1698" s="544" t="str">
        <f t="shared" si="716"/>
        <v/>
      </c>
      <c r="AR1698" s="545">
        <f t="shared" si="717"/>
        <v>0</v>
      </c>
      <c r="AS1698" s="545">
        <f>IFERROR(CEILING($AR1698*VLOOKUP($I1698,Ref!$B$23:$E$29,4,0),1),0)</f>
        <v>0</v>
      </c>
      <c r="AT1698" s="545" t="str">
        <f>IF(A1698="","",IF(AP1698&lt;=1,"Cleared",IF(AS1698=0,"Clean",VLOOKUP($AS1698,Ref!$G$23:$H$28,2))))</f>
        <v/>
      </c>
      <c r="AU1698" s="546" t="str">
        <f t="shared" si="718"/>
        <v/>
      </c>
    </row>
    <row r="1699" spans="1:47" ht="14.25" hidden="1" customHeight="1" x14ac:dyDescent="0.15">
      <c r="A1699" s="575"/>
      <c r="B1699" s="548"/>
      <c r="C1699" s="548"/>
      <c r="D1699" s="548"/>
      <c r="E1699" s="583"/>
      <c r="F1699" s="584"/>
      <c r="G1699" s="548"/>
      <c r="H1699" s="550"/>
      <c r="I1699" s="560"/>
      <c r="J1699" s="548"/>
      <c r="K1699" s="528" t="str">
        <f>IFERROR(VLOOKUP($B1699,'Clients-Live'!$A:$C,3,0),"")</f>
        <v/>
      </c>
      <c r="L1699" s="528">
        <f>IF(E1699="STL",Pricing!$D$38,IF(A1699="",0,IF(A1699&lt;Pricing!$C$25,Pricing!$D$25,VLOOKUP(Disbursements!$F1699,Pricing!$B$29:$D$32,3))))</f>
        <v>0</v>
      </c>
      <c r="M1699" s="528">
        <f>IF(E1699="STL",0,IF(F1699&gt;0,Pricing!$D$21,0))</f>
        <v>0</v>
      </c>
      <c r="N1699" s="529">
        <f>IF(E1699="STL",F1699*Pricing!$D$40,IF(A1699&lt;=Pricing!$C$4,0,IF(AND(A1699&gt;Pricing!$C$4,Disbursements!A1699&lt;=Pricing!$C$5),F1699*Pricing!$E$5,IF(AND(A1699&gt;Pricing!$C$5,Disbursements!A1699&lt;=Pricing!$C$7),VLOOKUP(F1699,Pricing!$D$7:$E$8,2)*Disbursements!F1699,F1699*Pricing!$E$9))))</f>
        <v>0</v>
      </c>
      <c r="O1699" s="528">
        <f>IF(E1699="STL",0,IF($F1699&gt;0,$F1699*Pricing!$D$17,0))</f>
        <v>0</v>
      </c>
      <c r="P1699" s="530" t="str">
        <f t="shared" si="698"/>
        <v/>
      </c>
      <c r="Q1699" s="531" t="str">
        <f>IF($A1699="","",$G1699/VLOOKUP($I1699,Ref!$B$23:$D$29,2,0))</f>
        <v/>
      </c>
      <c r="R1699" s="530" t="str">
        <f t="shared" si="699"/>
        <v/>
      </c>
      <c r="S1699" s="532" t="str">
        <f t="shared" si="693"/>
        <v/>
      </c>
      <c r="T1699" s="531" t="str">
        <f t="shared" si="700"/>
        <v/>
      </c>
      <c r="U1699" s="533">
        <f t="shared" si="701"/>
        <v>0</v>
      </c>
      <c r="V1699" s="531" t="str">
        <f t="shared" si="702"/>
        <v/>
      </c>
      <c r="W1699" s="531" t="str">
        <f t="shared" si="703"/>
        <v/>
      </c>
      <c r="X1699" s="534" t="str">
        <f t="shared" si="704"/>
        <v/>
      </c>
      <c r="Y1699" s="535" t="str">
        <f>IF($A1699="","",IF($I1699="weekly",$A1699+7,EDATE($A1699,VLOOKUP($I1699,Ref!$B$24:$C$29,2,0))))</f>
        <v/>
      </c>
      <c r="Z1699" s="536" t="str">
        <f t="shared" si="705"/>
        <v/>
      </c>
      <c r="AA1699" s="531">
        <f t="shared" si="706"/>
        <v>0</v>
      </c>
      <c r="AB1699" s="535" t="str">
        <f t="shared" si="694"/>
        <v/>
      </c>
      <c r="AC1699" s="537" t="str">
        <f t="shared" si="695"/>
        <v/>
      </c>
      <c r="AD1699" s="538" t="str">
        <f t="shared" ca="1" si="696"/>
        <v/>
      </c>
      <c r="AE1699" s="537">
        <f t="shared" ca="1" si="697"/>
        <v>0</v>
      </c>
      <c r="AF1699" s="539" t="str">
        <f t="shared" ca="1" si="707"/>
        <v/>
      </c>
      <c r="AG1699" s="531" t="str">
        <f t="shared" ca="1" si="708"/>
        <v/>
      </c>
      <c r="AH1699" s="531" t="str">
        <f t="shared" ca="1" si="709"/>
        <v/>
      </c>
      <c r="AI1699" s="531" t="str">
        <f t="shared" ca="1" si="710"/>
        <v/>
      </c>
      <c r="AJ1699" s="531" t="str">
        <f t="shared" si="711"/>
        <v/>
      </c>
      <c r="AK1699" s="540">
        <f>SUMIFS('Live Collections'!$S:$S,'Live Collections'!$D:$D,Disbursements!B1699,'Live Collections'!$G:$G,Disbursements!C1699)</f>
        <v>0</v>
      </c>
      <c r="AL1699" s="540">
        <f>SUMIFS('Live Collections'!$T:$T,'Live Collections'!$D:$D,Disbursements!B1699,'Live Collections'!$G:$G,Disbursements!C1699)</f>
        <v>0</v>
      </c>
      <c r="AM1699" s="541">
        <f t="shared" si="712"/>
        <v>0</v>
      </c>
      <c r="AN1699" s="542" t="str">
        <f t="shared" si="713"/>
        <v/>
      </c>
      <c r="AO1699" s="542" t="str">
        <f t="shared" si="714"/>
        <v/>
      </c>
      <c r="AP1699" s="543" t="str">
        <f t="shared" si="715"/>
        <v/>
      </c>
      <c r="AQ1699" s="544" t="str">
        <f t="shared" si="716"/>
        <v/>
      </c>
      <c r="AR1699" s="545">
        <f t="shared" si="717"/>
        <v>0</v>
      </c>
      <c r="AS1699" s="545">
        <f>IFERROR(CEILING($AR1699*VLOOKUP($I1699,Ref!$B$23:$E$29,4,0),1),0)</f>
        <v>0</v>
      </c>
      <c r="AT1699" s="545" t="str">
        <f>IF(A1699="","",IF(AP1699&lt;=1,"Cleared",IF(AS1699=0,"Clean",VLOOKUP($AS1699,Ref!$G$23:$H$28,2))))</f>
        <v/>
      </c>
      <c r="AU1699" s="546" t="str">
        <f t="shared" si="718"/>
        <v/>
      </c>
    </row>
    <row r="1700" spans="1:47" ht="14.25" hidden="1" customHeight="1" x14ac:dyDescent="0.15">
      <c r="A1700" s="575"/>
      <c r="B1700" s="548"/>
      <c r="C1700" s="548"/>
      <c r="D1700" s="548"/>
      <c r="E1700" s="583"/>
      <c r="F1700" s="584"/>
      <c r="G1700" s="548"/>
      <c r="H1700" s="550"/>
      <c r="I1700" s="560"/>
      <c r="J1700" s="548"/>
      <c r="K1700" s="528" t="str">
        <f>IFERROR(VLOOKUP($B1700,'Clients-Live'!$A:$C,3,0),"")</f>
        <v/>
      </c>
      <c r="L1700" s="528">
        <f>IF(E1700="STL",Pricing!$D$38,IF(A1700="",0,IF(A1700&lt;Pricing!$C$25,Pricing!$D$25,VLOOKUP(Disbursements!$F1700,Pricing!$B$29:$D$32,3))))</f>
        <v>0</v>
      </c>
      <c r="M1700" s="528">
        <f>IF(E1700="STL",0,IF(F1700&gt;0,Pricing!$D$21,0))</f>
        <v>0</v>
      </c>
      <c r="N1700" s="529">
        <f>IF(E1700="STL",F1700*Pricing!$D$40,IF(A1700&lt;=Pricing!$C$4,0,IF(AND(A1700&gt;Pricing!$C$4,Disbursements!A1700&lt;=Pricing!$C$5),F1700*Pricing!$E$5,IF(AND(A1700&gt;Pricing!$C$5,Disbursements!A1700&lt;=Pricing!$C$7),VLOOKUP(F1700,Pricing!$D$7:$E$8,2)*Disbursements!F1700,F1700*Pricing!$E$9))))</f>
        <v>0</v>
      </c>
      <c r="O1700" s="528">
        <f>IF(E1700="STL",0,IF($F1700&gt;0,$F1700*Pricing!$D$17,0))</f>
        <v>0</v>
      </c>
      <c r="P1700" s="530" t="str">
        <f t="shared" si="698"/>
        <v/>
      </c>
      <c r="Q1700" s="531" t="str">
        <f>IF($A1700="","",$G1700/VLOOKUP($I1700,Ref!$B$23:$D$29,2,0))</f>
        <v/>
      </c>
      <c r="R1700" s="530" t="str">
        <f t="shared" si="699"/>
        <v/>
      </c>
      <c r="S1700" s="532" t="str">
        <f t="shared" si="693"/>
        <v/>
      </c>
      <c r="T1700" s="531" t="str">
        <f t="shared" si="700"/>
        <v/>
      </c>
      <c r="U1700" s="533">
        <f t="shared" si="701"/>
        <v>0</v>
      </c>
      <c r="V1700" s="531" t="str">
        <f t="shared" si="702"/>
        <v/>
      </c>
      <c r="W1700" s="531" t="str">
        <f t="shared" si="703"/>
        <v/>
      </c>
      <c r="X1700" s="534" t="str">
        <f t="shared" si="704"/>
        <v/>
      </c>
      <c r="Y1700" s="535" t="str">
        <f>IF($A1700="","",IF($I1700="weekly",$A1700+7,EDATE($A1700,VLOOKUP($I1700,Ref!$B$24:$C$29,2,0))))</f>
        <v/>
      </c>
      <c r="Z1700" s="536" t="str">
        <f t="shared" si="705"/>
        <v/>
      </c>
      <c r="AA1700" s="531">
        <f t="shared" si="706"/>
        <v>0</v>
      </c>
      <c r="AB1700" s="535" t="str">
        <f t="shared" si="694"/>
        <v/>
      </c>
      <c r="AC1700" s="537" t="str">
        <f t="shared" si="695"/>
        <v/>
      </c>
      <c r="AD1700" s="538" t="str">
        <f t="shared" ca="1" si="696"/>
        <v/>
      </c>
      <c r="AE1700" s="537">
        <f t="shared" ca="1" si="697"/>
        <v>0</v>
      </c>
      <c r="AF1700" s="539" t="str">
        <f t="shared" ca="1" si="707"/>
        <v/>
      </c>
      <c r="AG1700" s="531" t="str">
        <f t="shared" ca="1" si="708"/>
        <v/>
      </c>
      <c r="AH1700" s="531" t="str">
        <f t="shared" ca="1" si="709"/>
        <v/>
      </c>
      <c r="AI1700" s="531" t="str">
        <f t="shared" ca="1" si="710"/>
        <v/>
      </c>
      <c r="AJ1700" s="531" t="str">
        <f t="shared" si="711"/>
        <v/>
      </c>
      <c r="AK1700" s="540">
        <f>SUMIFS('Live Collections'!$S:$S,'Live Collections'!$D:$D,Disbursements!B1700,'Live Collections'!$G:$G,Disbursements!C1700)</f>
        <v>0</v>
      </c>
      <c r="AL1700" s="540">
        <f>SUMIFS('Live Collections'!$T:$T,'Live Collections'!$D:$D,Disbursements!B1700,'Live Collections'!$G:$G,Disbursements!C1700)</f>
        <v>0</v>
      </c>
      <c r="AM1700" s="541">
        <f t="shared" si="712"/>
        <v>0</v>
      </c>
      <c r="AN1700" s="542" t="str">
        <f t="shared" si="713"/>
        <v/>
      </c>
      <c r="AO1700" s="542" t="str">
        <f t="shared" si="714"/>
        <v/>
      </c>
      <c r="AP1700" s="543" t="str">
        <f t="shared" si="715"/>
        <v/>
      </c>
      <c r="AQ1700" s="544" t="str">
        <f t="shared" si="716"/>
        <v/>
      </c>
      <c r="AR1700" s="545">
        <f t="shared" si="717"/>
        <v>0</v>
      </c>
      <c r="AS1700" s="545">
        <f>IFERROR(CEILING($AR1700*VLOOKUP($I1700,Ref!$B$23:$E$29,4,0),1),0)</f>
        <v>0</v>
      </c>
      <c r="AT1700" s="545" t="str">
        <f>IF(A1700="","",IF(AP1700&lt;=1,"Cleared",IF(AS1700=0,"Clean",VLOOKUP($AS1700,Ref!$G$23:$H$28,2))))</f>
        <v/>
      </c>
      <c r="AU1700" s="546" t="str">
        <f t="shared" si="718"/>
        <v/>
      </c>
    </row>
    <row r="1701" spans="1:47" ht="14.25" hidden="1" customHeight="1" x14ac:dyDescent="0.15">
      <c r="A1701" s="575"/>
      <c r="B1701" s="548"/>
      <c r="C1701" s="548"/>
      <c r="D1701" s="548"/>
      <c r="E1701" s="583"/>
      <c r="F1701" s="584"/>
      <c r="G1701" s="548"/>
      <c r="H1701" s="550"/>
      <c r="I1701" s="560"/>
      <c r="J1701" s="548"/>
      <c r="K1701" s="528" t="str">
        <f>IFERROR(VLOOKUP($B1701,'Clients-Live'!$A:$C,3,0),"")</f>
        <v/>
      </c>
      <c r="L1701" s="528">
        <f>IF(E1701="STL",Pricing!$D$38,IF(A1701="",0,IF(A1701&lt;Pricing!$C$25,Pricing!$D$25,VLOOKUP(Disbursements!$F1701,Pricing!$B$29:$D$32,3))))</f>
        <v>0</v>
      </c>
      <c r="M1701" s="528">
        <f>IF(E1701="STL",0,IF(F1701&gt;0,Pricing!$D$21,0))</f>
        <v>0</v>
      </c>
      <c r="N1701" s="529">
        <f>IF(E1701="STL",F1701*Pricing!$D$40,IF(A1701&lt;=Pricing!$C$4,0,IF(AND(A1701&gt;Pricing!$C$4,Disbursements!A1701&lt;=Pricing!$C$5),F1701*Pricing!$E$5,IF(AND(A1701&gt;Pricing!$C$5,Disbursements!A1701&lt;=Pricing!$C$7),VLOOKUP(F1701,Pricing!$D$7:$E$8,2)*Disbursements!F1701,F1701*Pricing!$E$9))))</f>
        <v>0</v>
      </c>
      <c r="O1701" s="528">
        <f>IF(E1701="STL",0,IF($F1701&gt;0,$F1701*Pricing!$D$17,0))</f>
        <v>0</v>
      </c>
      <c r="P1701" s="530" t="str">
        <f t="shared" si="698"/>
        <v/>
      </c>
      <c r="Q1701" s="531" t="str">
        <f>IF($A1701="","",$G1701/VLOOKUP($I1701,Ref!$B$23:$D$29,2,0))</f>
        <v/>
      </c>
      <c r="R1701" s="530" t="str">
        <f t="shared" si="699"/>
        <v/>
      </c>
      <c r="S1701" s="532" t="str">
        <f t="shared" si="693"/>
        <v/>
      </c>
      <c r="T1701" s="531" t="str">
        <f t="shared" si="700"/>
        <v/>
      </c>
      <c r="U1701" s="533">
        <f t="shared" si="701"/>
        <v>0</v>
      </c>
      <c r="V1701" s="531" t="str">
        <f t="shared" si="702"/>
        <v/>
      </c>
      <c r="W1701" s="531" t="str">
        <f t="shared" si="703"/>
        <v/>
      </c>
      <c r="X1701" s="534" t="str">
        <f t="shared" si="704"/>
        <v/>
      </c>
      <c r="Y1701" s="535" t="str">
        <f>IF($A1701="","",IF($I1701="weekly",$A1701+7,EDATE($A1701,VLOOKUP($I1701,Ref!$B$24:$C$29,2,0))))</f>
        <v/>
      </c>
      <c r="Z1701" s="536" t="str">
        <f t="shared" si="705"/>
        <v/>
      </c>
      <c r="AA1701" s="531">
        <f t="shared" si="706"/>
        <v>0</v>
      </c>
      <c r="AB1701" s="535" t="str">
        <f t="shared" si="694"/>
        <v/>
      </c>
      <c r="AC1701" s="537" t="str">
        <f t="shared" si="695"/>
        <v/>
      </c>
      <c r="AD1701" s="538" t="str">
        <f t="shared" ca="1" si="696"/>
        <v/>
      </c>
      <c r="AE1701" s="537">
        <f t="shared" ca="1" si="697"/>
        <v>0</v>
      </c>
      <c r="AF1701" s="539" t="str">
        <f t="shared" ca="1" si="707"/>
        <v/>
      </c>
      <c r="AG1701" s="531" t="str">
        <f t="shared" ca="1" si="708"/>
        <v/>
      </c>
      <c r="AH1701" s="531" t="str">
        <f t="shared" ca="1" si="709"/>
        <v/>
      </c>
      <c r="AI1701" s="531" t="str">
        <f t="shared" ca="1" si="710"/>
        <v/>
      </c>
      <c r="AJ1701" s="531" t="str">
        <f t="shared" si="711"/>
        <v/>
      </c>
      <c r="AK1701" s="540">
        <f>SUMIFS('Live Collections'!$S:$S,'Live Collections'!$D:$D,Disbursements!B1701,'Live Collections'!$G:$G,Disbursements!C1701)</f>
        <v>0</v>
      </c>
      <c r="AL1701" s="540">
        <f>SUMIFS('Live Collections'!$T:$T,'Live Collections'!$D:$D,Disbursements!B1701,'Live Collections'!$G:$G,Disbursements!C1701)</f>
        <v>0</v>
      </c>
      <c r="AM1701" s="541">
        <f t="shared" si="712"/>
        <v>0</v>
      </c>
      <c r="AN1701" s="542" t="str">
        <f t="shared" si="713"/>
        <v/>
      </c>
      <c r="AO1701" s="542" t="str">
        <f t="shared" si="714"/>
        <v/>
      </c>
      <c r="AP1701" s="543" t="str">
        <f t="shared" si="715"/>
        <v/>
      </c>
      <c r="AQ1701" s="544" t="str">
        <f t="shared" si="716"/>
        <v/>
      </c>
      <c r="AR1701" s="545">
        <f t="shared" si="717"/>
        <v>0</v>
      </c>
      <c r="AS1701" s="545">
        <f>IFERROR(CEILING($AR1701*VLOOKUP($I1701,Ref!$B$23:$E$29,4,0),1),0)</f>
        <v>0</v>
      </c>
      <c r="AT1701" s="545" t="str">
        <f>IF(A1701="","",IF(AP1701&lt;=1,"Cleared",IF(AS1701=0,"Clean",VLOOKUP($AS1701,Ref!$G$23:$H$28,2))))</f>
        <v/>
      </c>
      <c r="AU1701" s="546" t="str">
        <f t="shared" si="718"/>
        <v/>
      </c>
    </row>
    <row r="1702" spans="1:47" ht="14.25" hidden="1" customHeight="1" x14ac:dyDescent="0.15">
      <c r="A1702" s="575"/>
      <c r="B1702" s="548"/>
      <c r="C1702" s="548"/>
      <c r="D1702" s="548"/>
      <c r="E1702" s="583"/>
      <c r="F1702" s="584"/>
      <c r="G1702" s="548"/>
      <c r="H1702" s="550"/>
      <c r="I1702" s="560"/>
      <c r="J1702" s="548"/>
      <c r="K1702" s="528" t="str">
        <f>IFERROR(VLOOKUP($B1702,'Clients-Live'!$A:$C,3,0),"")</f>
        <v/>
      </c>
      <c r="L1702" s="528">
        <f>IF(E1702="STL",Pricing!$D$38,IF(A1702="",0,IF(A1702&lt;Pricing!$C$25,Pricing!$D$25,VLOOKUP(Disbursements!$F1702,Pricing!$B$29:$D$32,3))))</f>
        <v>0</v>
      </c>
      <c r="M1702" s="528">
        <f>IF(E1702="STL",0,IF(F1702&gt;0,Pricing!$D$21,0))</f>
        <v>0</v>
      </c>
      <c r="N1702" s="529">
        <f>IF(E1702="STL",F1702*Pricing!$D$40,IF(A1702&lt;=Pricing!$C$4,0,IF(AND(A1702&gt;Pricing!$C$4,Disbursements!A1702&lt;=Pricing!$C$5),F1702*Pricing!$E$5,IF(AND(A1702&gt;Pricing!$C$5,Disbursements!A1702&lt;=Pricing!$C$7),VLOOKUP(F1702,Pricing!$D$7:$E$8,2)*Disbursements!F1702,F1702*Pricing!$E$9))))</f>
        <v>0</v>
      </c>
      <c r="O1702" s="528">
        <f>IF(E1702="STL",0,IF($F1702&gt;0,$F1702*Pricing!$D$17,0))</f>
        <v>0</v>
      </c>
      <c r="P1702" s="530" t="str">
        <f t="shared" si="698"/>
        <v/>
      </c>
      <c r="Q1702" s="531" t="str">
        <f>IF($A1702="","",$G1702/VLOOKUP($I1702,Ref!$B$23:$D$29,2,0))</f>
        <v/>
      </c>
      <c r="R1702" s="530" t="str">
        <f t="shared" si="699"/>
        <v/>
      </c>
      <c r="S1702" s="532" t="str">
        <f t="shared" si="693"/>
        <v/>
      </c>
      <c r="T1702" s="531" t="str">
        <f t="shared" si="700"/>
        <v/>
      </c>
      <c r="U1702" s="533">
        <f t="shared" si="701"/>
        <v>0</v>
      </c>
      <c r="V1702" s="531" t="str">
        <f t="shared" si="702"/>
        <v/>
      </c>
      <c r="W1702" s="531" t="str">
        <f t="shared" si="703"/>
        <v/>
      </c>
      <c r="X1702" s="534" t="str">
        <f t="shared" si="704"/>
        <v/>
      </c>
      <c r="Y1702" s="535" t="str">
        <f>IF($A1702="","",IF($I1702="weekly",$A1702+7,EDATE($A1702,VLOOKUP($I1702,Ref!$B$24:$C$29,2,0))))</f>
        <v/>
      </c>
      <c r="Z1702" s="536" t="str">
        <f t="shared" si="705"/>
        <v/>
      </c>
      <c r="AA1702" s="531">
        <f t="shared" si="706"/>
        <v>0</v>
      </c>
      <c r="AB1702" s="535" t="str">
        <f t="shared" si="694"/>
        <v/>
      </c>
      <c r="AC1702" s="537" t="str">
        <f t="shared" si="695"/>
        <v/>
      </c>
      <c r="AD1702" s="538" t="str">
        <f t="shared" ca="1" si="696"/>
        <v/>
      </c>
      <c r="AE1702" s="537">
        <f t="shared" ca="1" si="697"/>
        <v>0</v>
      </c>
      <c r="AF1702" s="539" t="str">
        <f t="shared" ca="1" si="707"/>
        <v/>
      </c>
      <c r="AG1702" s="531" t="str">
        <f t="shared" ca="1" si="708"/>
        <v/>
      </c>
      <c r="AH1702" s="531" t="str">
        <f t="shared" ca="1" si="709"/>
        <v/>
      </c>
      <c r="AI1702" s="531" t="str">
        <f t="shared" ca="1" si="710"/>
        <v/>
      </c>
      <c r="AJ1702" s="531" t="str">
        <f t="shared" si="711"/>
        <v/>
      </c>
      <c r="AK1702" s="540">
        <f>SUMIFS('Live Collections'!$S:$S,'Live Collections'!$D:$D,Disbursements!B1702,'Live Collections'!$G:$G,Disbursements!C1702)</f>
        <v>0</v>
      </c>
      <c r="AL1702" s="540">
        <f>SUMIFS('Live Collections'!$T:$T,'Live Collections'!$D:$D,Disbursements!B1702,'Live Collections'!$G:$G,Disbursements!C1702)</f>
        <v>0</v>
      </c>
      <c r="AM1702" s="541">
        <f t="shared" si="712"/>
        <v>0</v>
      </c>
      <c r="AN1702" s="542" t="str">
        <f t="shared" si="713"/>
        <v/>
      </c>
      <c r="AO1702" s="542" t="str">
        <f t="shared" si="714"/>
        <v/>
      </c>
      <c r="AP1702" s="543" t="str">
        <f t="shared" si="715"/>
        <v/>
      </c>
      <c r="AQ1702" s="544" t="str">
        <f t="shared" si="716"/>
        <v/>
      </c>
      <c r="AR1702" s="545">
        <f t="shared" si="717"/>
        <v>0</v>
      </c>
      <c r="AS1702" s="545">
        <f>IFERROR(CEILING($AR1702*VLOOKUP($I1702,Ref!$B$23:$E$29,4,0),1),0)</f>
        <v>0</v>
      </c>
      <c r="AT1702" s="545" t="str">
        <f>IF(A1702="","",IF(AP1702&lt;=1,"Cleared",IF(AS1702=0,"Clean",VLOOKUP($AS1702,Ref!$G$23:$H$28,2))))</f>
        <v/>
      </c>
      <c r="AU1702" s="546" t="str">
        <f t="shared" si="718"/>
        <v/>
      </c>
    </row>
    <row r="1703" spans="1:47" ht="14.25" hidden="1" customHeight="1" x14ac:dyDescent="0.15">
      <c r="A1703" s="575"/>
      <c r="B1703" s="548"/>
      <c r="C1703" s="548"/>
      <c r="D1703" s="548"/>
      <c r="E1703" s="583"/>
      <c r="F1703" s="584"/>
      <c r="G1703" s="548"/>
      <c r="H1703" s="550"/>
      <c r="I1703" s="560"/>
      <c r="J1703" s="548"/>
      <c r="K1703" s="528" t="str">
        <f>IFERROR(VLOOKUP($B1703,'Clients-Live'!$A:$C,3,0),"")</f>
        <v/>
      </c>
      <c r="L1703" s="528">
        <f>IF(E1703="STL",Pricing!$D$38,IF(A1703="",0,IF(A1703&lt;Pricing!$C$25,Pricing!$D$25,VLOOKUP(Disbursements!$F1703,Pricing!$B$29:$D$32,3))))</f>
        <v>0</v>
      </c>
      <c r="M1703" s="528">
        <f>IF(E1703="STL",0,IF(F1703&gt;0,Pricing!$D$21,0))</f>
        <v>0</v>
      </c>
      <c r="N1703" s="529">
        <f>IF(E1703="STL",F1703*Pricing!$D$40,IF(A1703&lt;=Pricing!$C$4,0,IF(AND(A1703&gt;Pricing!$C$4,Disbursements!A1703&lt;=Pricing!$C$5),F1703*Pricing!$E$5,IF(AND(A1703&gt;Pricing!$C$5,Disbursements!A1703&lt;=Pricing!$C$7),VLOOKUP(F1703,Pricing!$D$7:$E$8,2)*Disbursements!F1703,F1703*Pricing!$E$9))))</f>
        <v>0</v>
      </c>
      <c r="O1703" s="528">
        <f>IF(E1703="STL",0,IF($F1703&gt;0,$F1703*Pricing!$D$17,0))</f>
        <v>0</v>
      </c>
      <c r="P1703" s="530" t="str">
        <f t="shared" si="698"/>
        <v/>
      </c>
      <c r="Q1703" s="531" t="str">
        <f>IF($A1703="","",$G1703/VLOOKUP($I1703,Ref!$B$23:$D$29,2,0))</f>
        <v/>
      </c>
      <c r="R1703" s="530" t="str">
        <f t="shared" si="699"/>
        <v/>
      </c>
      <c r="S1703" s="532" t="str">
        <f t="shared" si="693"/>
        <v/>
      </c>
      <c r="T1703" s="531" t="str">
        <f t="shared" si="700"/>
        <v/>
      </c>
      <c r="U1703" s="533">
        <f t="shared" si="701"/>
        <v>0</v>
      </c>
      <c r="V1703" s="531" t="str">
        <f t="shared" si="702"/>
        <v/>
      </c>
      <c r="W1703" s="531" t="str">
        <f t="shared" si="703"/>
        <v/>
      </c>
      <c r="X1703" s="534" t="str">
        <f t="shared" si="704"/>
        <v/>
      </c>
      <c r="Y1703" s="535" t="str">
        <f>IF($A1703="","",IF($I1703="weekly",$A1703+7,EDATE($A1703,VLOOKUP($I1703,Ref!$B$24:$C$29,2,0))))</f>
        <v/>
      </c>
      <c r="Z1703" s="536" t="str">
        <f t="shared" si="705"/>
        <v/>
      </c>
      <c r="AA1703" s="531">
        <f t="shared" si="706"/>
        <v>0</v>
      </c>
      <c r="AB1703" s="535" t="str">
        <f t="shared" si="694"/>
        <v/>
      </c>
      <c r="AC1703" s="537" t="str">
        <f t="shared" si="695"/>
        <v/>
      </c>
      <c r="AD1703" s="538" t="str">
        <f t="shared" ca="1" si="696"/>
        <v/>
      </c>
      <c r="AE1703" s="537">
        <f t="shared" ca="1" si="697"/>
        <v>0</v>
      </c>
      <c r="AF1703" s="539" t="str">
        <f t="shared" ca="1" si="707"/>
        <v/>
      </c>
      <c r="AG1703" s="531" t="str">
        <f t="shared" ca="1" si="708"/>
        <v/>
      </c>
      <c r="AH1703" s="531" t="str">
        <f t="shared" ca="1" si="709"/>
        <v/>
      </c>
      <c r="AI1703" s="531" t="str">
        <f t="shared" ca="1" si="710"/>
        <v/>
      </c>
      <c r="AJ1703" s="531" t="str">
        <f t="shared" si="711"/>
        <v/>
      </c>
      <c r="AK1703" s="540">
        <f>SUMIFS('Live Collections'!$S:$S,'Live Collections'!$D:$D,Disbursements!B1703,'Live Collections'!$G:$G,Disbursements!C1703)</f>
        <v>0</v>
      </c>
      <c r="AL1703" s="540">
        <f>SUMIFS('Live Collections'!$T:$T,'Live Collections'!$D:$D,Disbursements!B1703,'Live Collections'!$G:$G,Disbursements!C1703)</f>
        <v>0</v>
      </c>
      <c r="AM1703" s="541">
        <f t="shared" si="712"/>
        <v>0</v>
      </c>
      <c r="AN1703" s="542" t="str">
        <f t="shared" si="713"/>
        <v/>
      </c>
      <c r="AO1703" s="542" t="str">
        <f t="shared" si="714"/>
        <v/>
      </c>
      <c r="AP1703" s="543" t="str">
        <f t="shared" si="715"/>
        <v/>
      </c>
      <c r="AQ1703" s="544" t="str">
        <f t="shared" si="716"/>
        <v/>
      </c>
      <c r="AR1703" s="545">
        <f t="shared" si="717"/>
        <v>0</v>
      </c>
      <c r="AS1703" s="545">
        <f>IFERROR(CEILING($AR1703*VLOOKUP($I1703,Ref!$B$23:$E$29,4,0),1),0)</f>
        <v>0</v>
      </c>
      <c r="AT1703" s="545" t="str">
        <f>IF(A1703="","",IF(AP1703&lt;=1,"Cleared",IF(AS1703=0,"Clean",VLOOKUP($AS1703,Ref!$G$23:$H$28,2))))</f>
        <v/>
      </c>
      <c r="AU1703" s="546" t="str">
        <f t="shared" si="718"/>
        <v/>
      </c>
    </row>
    <row r="1704" spans="1:47" ht="14.25" hidden="1" customHeight="1" x14ac:dyDescent="0.15">
      <c r="A1704" s="575"/>
      <c r="B1704" s="548"/>
      <c r="C1704" s="548"/>
      <c r="D1704" s="548"/>
      <c r="E1704" s="583"/>
      <c r="F1704" s="584"/>
      <c r="G1704" s="548"/>
      <c r="H1704" s="550"/>
      <c r="I1704" s="560"/>
      <c r="J1704" s="548"/>
      <c r="K1704" s="528" t="str">
        <f>IFERROR(VLOOKUP($B1704,'Clients-Live'!$A:$C,3,0),"")</f>
        <v/>
      </c>
      <c r="L1704" s="528">
        <f>IF(E1704="STL",Pricing!$D$38,IF(A1704="",0,IF(A1704&lt;Pricing!$C$25,Pricing!$D$25,VLOOKUP(Disbursements!$F1704,Pricing!$B$29:$D$32,3))))</f>
        <v>0</v>
      </c>
      <c r="M1704" s="528">
        <f>IF(E1704="STL",0,IF(F1704&gt;0,Pricing!$D$21,0))</f>
        <v>0</v>
      </c>
      <c r="N1704" s="529">
        <f>IF(E1704="STL",F1704*Pricing!$D$40,IF(A1704&lt;=Pricing!$C$4,0,IF(AND(A1704&gt;Pricing!$C$4,Disbursements!A1704&lt;=Pricing!$C$5),F1704*Pricing!$E$5,IF(AND(A1704&gt;Pricing!$C$5,Disbursements!A1704&lt;=Pricing!$C$7),VLOOKUP(F1704,Pricing!$D$7:$E$8,2)*Disbursements!F1704,F1704*Pricing!$E$9))))</f>
        <v>0</v>
      </c>
      <c r="O1704" s="528">
        <f>IF(E1704="STL",0,IF($F1704&gt;0,$F1704*Pricing!$D$17,0))</f>
        <v>0</v>
      </c>
      <c r="P1704" s="530" t="str">
        <f t="shared" si="698"/>
        <v/>
      </c>
      <c r="Q1704" s="531" t="str">
        <f>IF($A1704="","",$G1704/VLOOKUP($I1704,Ref!$B$23:$D$29,2,0))</f>
        <v/>
      </c>
      <c r="R1704" s="530" t="str">
        <f t="shared" si="699"/>
        <v/>
      </c>
      <c r="S1704" s="532" t="str">
        <f t="shared" si="693"/>
        <v/>
      </c>
      <c r="T1704" s="531" t="str">
        <f t="shared" si="700"/>
        <v/>
      </c>
      <c r="U1704" s="533">
        <f t="shared" si="701"/>
        <v>0</v>
      </c>
      <c r="V1704" s="531" t="str">
        <f t="shared" si="702"/>
        <v/>
      </c>
      <c r="W1704" s="531" t="str">
        <f t="shared" si="703"/>
        <v/>
      </c>
      <c r="X1704" s="534" t="str">
        <f t="shared" si="704"/>
        <v/>
      </c>
      <c r="Y1704" s="535" t="str">
        <f>IF($A1704="","",IF($I1704="weekly",$A1704+7,EDATE($A1704,VLOOKUP($I1704,Ref!$B$24:$C$29,2,0))))</f>
        <v/>
      </c>
      <c r="Z1704" s="536" t="str">
        <f t="shared" si="705"/>
        <v/>
      </c>
      <c r="AA1704" s="531">
        <f t="shared" si="706"/>
        <v>0</v>
      </c>
      <c r="AB1704" s="535" t="str">
        <f t="shared" si="694"/>
        <v/>
      </c>
      <c r="AC1704" s="537" t="str">
        <f t="shared" si="695"/>
        <v/>
      </c>
      <c r="AD1704" s="538" t="str">
        <f t="shared" ca="1" si="696"/>
        <v/>
      </c>
      <c r="AE1704" s="537">
        <f t="shared" ca="1" si="697"/>
        <v>0</v>
      </c>
      <c r="AF1704" s="539" t="str">
        <f t="shared" ca="1" si="707"/>
        <v/>
      </c>
      <c r="AG1704" s="531" t="str">
        <f t="shared" ca="1" si="708"/>
        <v/>
      </c>
      <c r="AH1704" s="531" t="str">
        <f t="shared" ca="1" si="709"/>
        <v/>
      </c>
      <c r="AI1704" s="531" t="str">
        <f t="shared" ca="1" si="710"/>
        <v/>
      </c>
      <c r="AJ1704" s="531" t="str">
        <f t="shared" si="711"/>
        <v/>
      </c>
      <c r="AK1704" s="540">
        <f>SUMIFS('Live Collections'!$S:$S,'Live Collections'!$D:$D,Disbursements!B1704,'Live Collections'!$G:$G,Disbursements!C1704)</f>
        <v>0</v>
      </c>
      <c r="AL1704" s="540">
        <f>SUMIFS('Live Collections'!$T:$T,'Live Collections'!$D:$D,Disbursements!B1704,'Live Collections'!$G:$G,Disbursements!C1704)</f>
        <v>0</v>
      </c>
      <c r="AM1704" s="541">
        <f t="shared" si="712"/>
        <v>0</v>
      </c>
      <c r="AN1704" s="542" t="str">
        <f t="shared" si="713"/>
        <v/>
      </c>
      <c r="AO1704" s="542" t="str">
        <f t="shared" si="714"/>
        <v/>
      </c>
      <c r="AP1704" s="543" t="str">
        <f t="shared" si="715"/>
        <v/>
      </c>
      <c r="AQ1704" s="544" t="str">
        <f t="shared" si="716"/>
        <v/>
      </c>
      <c r="AR1704" s="545">
        <f t="shared" si="717"/>
        <v>0</v>
      </c>
      <c r="AS1704" s="545">
        <f>IFERROR(CEILING($AR1704*VLOOKUP($I1704,Ref!$B$23:$E$29,4,0),1),0)</f>
        <v>0</v>
      </c>
      <c r="AT1704" s="545" t="str">
        <f>IF(A1704="","",IF(AP1704&lt;=1,"Cleared",IF(AS1704=0,"Clean",VLOOKUP($AS1704,Ref!$G$23:$H$28,2))))</f>
        <v/>
      </c>
      <c r="AU1704" s="546" t="str">
        <f t="shared" si="718"/>
        <v/>
      </c>
    </row>
    <row r="1705" spans="1:47" ht="14.25" hidden="1" customHeight="1" x14ac:dyDescent="0.15">
      <c r="A1705" s="575"/>
      <c r="B1705" s="548"/>
      <c r="C1705" s="548"/>
      <c r="D1705" s="548"/>
      <c r="E1705" s="583"/>
      <c r="F1705" s="584"/>
      <c r="G1705" s="548"/>
      <c r="H1705" s="550"/>
      <c r="I1705" s="560"/>
      <c r="J1705" s="548"/>
      <c r="K1705" s="528" t="str">
        <f>IFERROR(VLOOKUP($B1705,'Clients-Live'!$A:$C,3,0),"")</f>
        <v/>
      </c>
      <c r="L1705" s="528">
        <f>IF(E1705="STL",Pricing!$D$38,IF(A1705="",0,IF(A1705&lt;Pricing!$C$25,Pricing!$D$25,VLOOKUP(Disbursements!$F1705,Pricing!$B$29:$D$32,3))))</f>
        <v>0</v>
      </c>
      <c r="M1705" s="528">
        <f>IF(E1705="STL",0,IF(F1705&gt;0,Pricing!$D$21,0))</f>
        <v>0</v>
      </c>
      <c r="N1705" s="529">
        <f>IF(E1705="STL",F1705*Pricing!$D$40,IF(A1705&lt;=Pricing!$C$4,0,IF(AND(A1705&gt;Pricing!$C$4,Disbursements!A1705&lt;=Pricing!$C$5),F1705*Pricing!$E$5,IF(AND(A1705&gt;Pricing!$C$5,Disbursements!A1705&lt;=Pricing!$C$7),VLOOKUP(F1705,Pricing!$D$7:$E$8,2)*Disbursements!F1705,F1705*Pricing!$E$9))))</f>
        <v>0</v>
      </c>
      <c r="O1705" s="528">
        <f>IF(E1705="STL",0,IF($F1705&gt;0,$F1705*Pricing!$D$17,0))</f>
        <v>0</v>
      </c>
      <c r="P1705" s="530" t="str">
        <f t="shared" si="698"/>
        <v/>
      </c>
      <c r="Q1705" s="531" t="str">
        <f>IF($A1705="","",$G1705/VLOOKUP($I1705,Ref!$B$23:$D$29,2,0))</f>
        <v/>
      </c>
      <c r="R1705" s="530" t="str">
        <f t="shared" si="699"/>
        <v/>
      </c>
      <c r="S1705" s="532" t="str">
        <f t="shared" si="693"/>
        <v/>
      </c>
      <c r="T1705" s="531" t="str">
        <f t="shared" si="700"/>
        <v/>
      </c>
      <c r="U1705" s="533">
        <f t="shared" si="701"/>
        <v>0</v>
      </c>
      <c r="V1705" s="531" t="str">
        <f t="shared" si="702"/>
        <v/>
      </c>
      <c r="W1705" s="531" t="str">
        <f t="shared" si="703"/>
        <v/>
      </c>
      <c r="X1705" s="534" t="str">
        <f t="shared" si="704"/>
        <v/>
      </c>
      <c r="Y1705" s="535" t="str">
        <f>IF($A1705="","",IF($I1705="weekly",$A1705+7,EDATE($A1705,VLOOKUP($I1705,Ref!$B$24:$C$29,2,0))))</f>
        <v/>
      </c>
      <c r="Z1705" s="536" t="str">
        <f t="shared" si="705"/>
        <v/>
      </c>
      <c r="AA1705" s="531">
        <f t="shared" si="706"/>
        <v>0</v>
      </c>
      <c r="AB1705" s="535" t="str">
        <f t="shared" si="694"/>
        <v/>
      </c>
      <c r="AC1705" s="537" t="str">
        <f t="shared" si="695"/>
        <v/>
      </c>
      <c r="AD1705" s="538" t="str">
        <f t="shared" ca="1" si="696"/>
        <v/>
      </c>
      <c r="AE1705" s="537">
        <f t="shared" ca="1" si="697"/>
        <v>0</v>
      </c>
      <c r="AF1705" s="539" t="str">
        <f t="shared" ca="1" si="707"/>
        <v/>
      </c>
      <c r="AG1705" s="531" t="str">
        <f t="shared" ca="1" si="708"/>
        <v/>
      </c>
      <c r="AH1705" s="531" t="str">
        <f t="shared" ca="1" si="709"/>
        <v/>
      </c>
      <c r="AI1705" s="531" t="str">
        <f t="shared" ca="1" si="710"/>
        <v/>
      </c>
      <c r="AJ1705" s="531" t="str">
        <f t="shared" si="711"/>
        <v/>
      </c>
      <c r="AK1705" s="540">
        <f>SUMIFS('Live Collections'!$S:$S,'Live Collections'!$D:$D,Disbursements!B1705,'Live Collections'!$G:$G,Disbursements!C1705)</f>
        <v>0</v>
      </c>
      <c r="AL1705" s="540">
        <f>SUMIFS('Live Collections'!$T:$T,'Live Collections'!$D:$D,Disbursements!B1705,'Live Collections'!$G:$G,Disbursements!C1705)</f>
        <v>0</v>
      </c>
      <c r="AM1705" s="541">
        <f t="shared" si="712"/>
        <v>0</v>
      </c>
      <c r="AN1705" s="542" t="str">
        <f t="shared" si="713"/>
        <v/>
      </c>
      <c r="AO1705" s="542" t="str">
        <f t="shared" si="714"/>
        <v/>
      </c>
      <c r="AP1705" s="543" t="str">
        <f t="shared" si="715"/>
        <v/>
      </c>
      <c r="AQ1705" s="544" t="str">
        <f t="shared" si="716"/>
        <v/>
      </c>
      <c r="AR1705" s="545">
        <f t="shared" si="717"/>
        <v>0</v>
      </c>
      <c r="AS1705" s="545">
        <f>IFERROR(CEILING($AR1705*VLOOKUP($I1705,Ref!$B$23:$E$29,4,0),1),0)</f>
        <v>0</v>
      </c>
      <c r="AT1705" s="545" t="str">
        <f>IF(A1705="","",IF(AP1705&lt;=1,"Cleared",IF(AS1705=0,"Clean",VLOOKUP($AS1705,Ref!$G$23:$H$28,2))))</f>
        <v/>
      </c>
      <c r="AU1705" s="546" t="str">
        <f t="shared" si="718"/>
        <v/>
      </c>
    </row>
    <row r="1706" spans="1:47" ht="14.25" hidden="1" customHeight="1" x14ac:dyDescent="0.15">
      <c r="A1706" s="575"/>
      <c r="B1706" s="548"/>
      <c r="C1706" s="548"/>
      <c r="D1706" s="548"/>
      <c r="E1706" s="583"/>
      <c r="F1706" s="584"/>
      <c r="G1706" s="548"/>
      <c r="H1706" s="550"/>
      <c r="I1706" s="560"/>
      <c r="J1706" s="548"/>
      <c r="K1706" s="528" t="str">
        <f>IFERROR(VLOOKUP($B1706,'Clients-Live'!$A:$C,3,0),"")</f>
        <v/>
      </c>
      <c r="L1706" s="528">
        <f>IF(E1706="STL",Pricing!$D$38,IF(A1706="",0,IF(A1706&lt;Pricing!$C$25,Pricing!$D$25,VLOOKUP(Disbursements!$F1706,Pricing!$B$29:$D$32,3))))</f>
        <v>0</v>
      </c>
      <c r="M1706" s="528">
        <f>IF(E1706="STL",0,IF(F1706&gt;0,Pricing!$D$21,0))</f>
        <v>0</v>
      </c>
      <c r="N1706" s="529">
        <f>IF(E1706="STL",F1706*Pricing!$D$40,IF(A1706&lt;=Pricing!$C$4,0,IF(AND(A1706&gt;Pricing!$C$4,Disbursements!A1706&lt;=Pricing!$C$5),F1706*Pricing!$E$5,IF(AND(A1706&gt;Pricing!$C$5,Disbursements!A1706&lt;=Pricing!$C$7),VLOOKUP(F1706,Pricing!$D$7:$E$8,2)*Disbursements!F1706,F1706*Pricing!$E$9))))</f>
        <v>0</v>
      </c>
      <c r="O1706" s="528">
        <f>IF(E1706="STL",0,IF($F1706&gt;0,$F1706*Pricing!$D$17,0))</f>
        <v>0</v>
      </c>
      <c r="P1706" s="530" t="str">
        <f t="shared" si="698"/>
        <v/>
      </c>
      <c r="Q1706" s="531" t="str">
        <f>IF($A1706="","",$G1706/VLOOKUP($I1706,Ref!$B$23:$D$29,2,0))</f>
        <v/>
      </c>
      <c r="R1706" s="530" t="str">
        <f t="shared" si="699"/>
        <v/>
      </c>
      <c r="S1706" s="532" t="str">
        <f t="shared" si="693"/>
        <v/>
      </c>
      <c r="T1706" s="531" t="str">
        <f t="shared" si="700"/>
        <v/>
      </c>
      <c r="U1706" s="533">
        <f t="shared" si="701"/>
        <v>0</v>
      </c>
      <c r="V1706" s="531" t="str">
        <f t="shared" si="702"/>
        <v/>
      </c>
      <c r="W1706" s="531" t="str">
        <f t="shared" si="703"/>
        <v/>
      </c>
      <c r="X1706" s="534" t="str">
        <f t="shared" si="704"/>
        <v/>
      </c>
      <c r="Y1706" s="535" t="str">
        <f>IF($A1706="","",IF($I1706="weekly",$A1706+7,EDATE($A1706,VLOOKUP($I1706,Ref!$B$24:$C$29,2,0))))</f>
        <v/>
      </c>
      <c r="Z1706" s="536" t="str">
        <f t="shared" si="705"/>
        <v/>
      </c>
      <c r="AA1706" s="531">
        <f t="shared" si="706"/>
        <v>0</v>
      </c>
      <c r="AB1706" s="535" t="str">
        <f t="shared" si="694"/>
        <v/>
      </c>
      <c r="AC1706" s="537" t="str">
        <f t="shared" si="695"/>
        <v/>
      </c>
      <c r="AD1706" s="538" t="str">
        <f t="shared" ca="1" si="696"/>
        <v/>
      </c>
      <c r="AE1706" s="537">
        <f t="shared" ca="1" si="697"/>
        <v>0</v>
      </c>
      <c r="AF1706" s="539" t="str">
        <f t="shared" ca="1" si="707"/>
        <v/>
      </c>
      <c r="AG1706" s="531" t="str">
        <f t="shared" ca="1" si="708"/>
        <v/>
      </c>
      <c r="AH1706" s="531" t="str">
        <f t="shared" ca="1" si="709"/>
        <v/>
      </c>
      <c r="AI1706" s="531" t="str">
        <f t="shared" ca="1" si="710"/>
        <v/>
      </c>
      <c r="AJ1706" s="531" t="str">
        <f t="shared" si="711"/>
        <v/>
      </c>
      <c r="AK1706" s="540">
        <f>SUMIFS('Live Collections'!$S:$S,'Live Collections'!$D:$D,Disbursements!B1706,'Live Collections'!$G:$G,Disbursements!C1706)</f>
        <v>0</v>
      </c>
      <c r="AL1706" s="540">
        <f>SUMIFS('Live Collections'!$T:$T,'Live Collections'!$D:$D,Disbursements!B1706,'Live Collections'!$G:$G,Disbursements!C1706)</f>
        <v>0</v>
      </c>
      <c r="AM1706" s="541">
        <f t="shared" si="712"/>
        <v>0</v>
      </c>
      <c r="AN1706" s="542" t="str">
        <f t="shared" si="713"/>
        <v/>
      </c>
      <c r="AO1706" s="542" t="str">
        <f t="shared" si="714"/>
        <v/>
      </c>
      <c r="AP1706" s="543" t="str">
        <f t="shared" si="715"/>
        <v/>
      </c>
      <c r="AQ1706" s="544" t="str">
        <f t="shared" si="716"/>
        <v/>
      </c>
      <c r="AR1706" s="545">
        <f t="shared" si="717"/>
        <v>0</v>
      </c>
      <c r="AS1706" s="545">
        <f>IFERROR(CEILING($AR1706*VLOOKUP($I1706,Ref!$B$23:$E$29,4,0),1),0)</f>
        <v>0</v>
      </c>
      <c r="AT1706" s="545" t="str">
        <f>IF(A1706="","",IF(AP1706&lt;=1,"Cleared",IF(AS1706=0,"Clean",VLOOKUP($AS1706,Ref!$G$23:$H$28,2))))</f>
        <v/>
      </c>
      <c r="AU1706" s="546" t="str">
        <f t="shared" si="718"/>
        <v/>
      </c>
    </row>
    <row r="1707" spans="1:47" ht="14.25" hidden="1" customHeight="1" x14ac:dyDescent="0.15">
      <c r="A1707" s="575"/>
      <c r="B1707" s="548"/>
      <c r="C1707" s="548"/>
      <c r="D1707" s="548"/>
      <c r="E1707" s="583"/>
      <c r="F1707" s="584"/>
      <c r="G1707" s="548"/>
      <c r="H1707" s="550"/>
      <c r="I1707" s="560"/>
      <c r="J1707" s="548"/>
      <c r="K1707" s="528" t="str">
        <f>IFERROR(VLOOKUP($B1707,'Clients-Live'!$A:$C,3,0),"")</f>
        <v/>
      </c>
      <c r="L1707" s="528">
        <f>IF(E1707="STL",Pricing!$D$38,IF(A1707="",0,IF(A1707&lt;Pricing!$C$25,Pricing!$D$25,VLOOKUP(Disbursements!$F1707,Pricing!$B$29:$D$32,3))))</f>
        <v>0</v>
      </c>
      <c r="M1707" s="528">
        <f>IF(E1707="STL",0,IF(F1707&gt;0,Pricing!$D$21,0))</f>
        <v>0</v>
      </c>
      <c r="N1707" s="529">
        <f>IF(E1707="STL",F1707*Pricing!$D$40,IF(A1707&lt;=Pricing!$C$4,0,IF(AND(A1707&gt;Pricing!$C$4,Disbursements!A1707&lt;=Pricing!$C$5),F1707*Pricing!$E$5,IF(AND(A1707&gt;Pricing!$C$5,Disbursements!A1707&lt;=Pricing!$C$7),VLOOKUP(F1707,Pricing!$D$7:$E$8,2)*Disbursements!F1707,F1707*Pricing!$E$9))))</f>
        <v>0</v>
      </c>
      <c r="O1707" s="528">
        <f>IF(E1707="STL",0,IF($F1707&gt;0,$F1707*Pricing!$D$17,0))</f>
        <v>0</v>
      </c>
      <c r="P1707" s="530" t="str">
        <f t="shared" si="698"/>
        <v/>
      </c>
      <c r="Q1707" s="531" t="str">
        <f>IF($A1707="","",$G1707/VLOOKUP($I1707,Ref!$B$23:$D$29,2,0))</f>
        <v/>
      </c>
      <c r="R1707" s="530" t="str">
        <f t="shared" si="699"/>
        <v/>
      </c>
      <c r="S1707" s="532" t="str">
        <f t="shared" si="693"/>
        <v/>
      </c>
      <c r="T1707" s="531" t="str">
        <f t="shared" si="700"/>
        <v/>
      </c>
      <c r="U1707" s="533">
        <f t="shared" si="701"/>
        <v>0</v>
      </c>
      <c r="V1707" s="531" t="str">
        <f t="shared" si="702"/>
        <v/>
      </c>
      <c r="W1707" s="531" t="str">
        <f t="shared" si="703"/>
        <v/>
      </c>
      <c r="X1707" s="534" t="str">
        <f t="shared" si="704"/>
        <v/>
      </c>
      <c r="Y1707" s="535" t="str">
        <f>IF($A1707="","",IF($I1707="weekly",$A1707+7,EDATE($A1707,VLOOKUP($I1707,Ref!$B$24:$C$29,2,0))))</f>
        <v/>
      </c>
      <c r="Z1707" s="536" t="str">
        <f t="shared" si="705"/>
        <v/>
      </c>
      <c r="AA1707" s="531">
        <f t="shared" si="706"/>
        <v>0</v>
      </c>
      <c r="AB1707" s="535" t="str">
        <f t="shared" si="694"/>
        <v/>
      </c>
      <c r="AC1707" s="537" t="str">
        <f t="shared" si="695"/>
        <v/>
      </c>
      <c r="AD1707" s="538" t="str">
        <f t="shared" ca="1" si="696"/>
        <v/>
      </c>
      <c r="AE1707" s="537">
        <f t="shared" ca="1" si="697"/>
        <v>0</v>
      </c>
      <c r="AF1707" s="539" t="str">
        <f t="shared" ca="1" si="707"/>
        <v/>
      </c>
      <c r="AG1707" s="531" t="str">
        <f t="shared" ca="1" si="708"/>
        <v/>
      </c>
      <c r="AH1707" s="531" t="str">
        <f t="shared" ca="1" si="709"/>
        <v/>
      </c>
      <c r="AI1707" s="531" t="str">
        <f t="shared" ca="1" si="710"/>
        <v/>
      </c>
      <c r="AJ1707" s="531" t="str">
        <f t="shared" si="711"/>
        <v/>
      </c>
      <c r="AK1707" s="540">
        <f>SUMIFS('Live Collections'!$S:$S,'Live Collections'!$D:$D,Disbursements!B1707,'Live Collections'!$G:$G,Disbursements!C1707)</f>
        <v>0</v>
      </c>
      <c r="AL1707" s="540">
        <f>SUMIFS('Live Collections'!$T:$T,'Live Collections'!$D:$D,Disbursements!B1707,'Live Collections'!$G:$G,Disbursements!C1707)</f>
        <v>0</v>
      </c>
      <c r="AM1707" s="541">
        <f t="shared" si="712"/>
        <v>0</v>
      </c>
      <c r="AN1707" s="542" t="str">
        <f t="shared" si="713"/>
        <v/>
      </c>
      <c r="AO1707" s="542" t="str">
        <f t="shared" si="714"/>
        <v/>
      </c>
      <c r="AP1707" s="543" t="str">
        <f t="shared" si="715"/>
        <v/>
      </c>
      <c r="AQ1707" s="544" t="str">
        <f t="shared" si="716"/>
        <v/>
      </c>
      <c r="AR1707" s="545">
        <f t="shared" si="717"/>
        <v>0</v>
      </c>
      <c r="AS1707" s="545">
        <f>IFERROR(CEILING($AR1707*VLOOKUP($I1707,Ref!$B$23:$E$29,4,0),1),0)</f>
        <v>0</v>
      </c>
      <c r="AT1707" s="545" t="str">
        <f>IF(A1707="","",IF(AP1707&lt;=1,"Cleared",IF(AS1707=0,"Clean",VLOOKUP($AS1707,Ref!$G$23:$H$28,2))))</f>
        <v/>
      </c>
      <c r="AU1707" s="546" t="str">
        <f t="shared" si="718"/>
        <v/>
      </c>
    </row>
    <row r="1708" spans="1:47" ht="14.25" hidden="1" customHeight="1" x14ac:dyDescent="0.15">
      <c r="A1708" s="575"/>
      <c r="B1708" s="548"/>
      <c r="C1708" s="548"/>
      <c r="D1708" s="548"/>
      <c r="E1708" s="583"/>
      <c r="F1708" s="584"/>
      <c r="G1708" s="548"/>
      <c r="H1708" s="550"/>
      <c r="I1708" s="560"/>
      <c r="J1708" s="548"/>
      <c r="K1708" s="528" t="str">
        <f>IFERROR(VLOOKUP($B1708,'Clients-Live'!$A:$C,3,0),"")</f>
        <v/>
      </c>
      <c r="L1708" s="528">
        <f>IF(E1708="STL",Pricing!$D$38,IF(A1708="",0,IF(A1708&lt;Pricing!$C$25,Pricing!$D$25,VLOOKUP(Disbursements!$F1708,Pricing!$B$29:$D$32,3))))</f>
        <v>0</v>
      </c>
      <c r="M1708" s="528">
        <f>IF(E1708="STL",0,IF(F1708&gt;0,Pricing!$D$21,0))</f>
        <v>0</v>
      </c>
      <c r="N1708" s="529">
        <f>IF(E1708="STL",F1708*Pricing!$D$40,IF(A1708&lt;=Pricing!$C$4,0,IF(AND(A1708&gt;Pricing!$C$4,Disbursements!A1708&lt;=Pricing!$C$5),F1708*Pricing!$E$5,IF(AND(A1708&gt;Pricing!$C$5,Disbursements!A1708&lt;=Pricing!$C$7),VLOOKUP(F1708,Pricing!$D$7:$E$8,2)*Disbursements!F1708,F1708*Pricing!$E$9))))</f>
        <v>0</v>
      </c>
      <c r="O1708" s="528">
        <f>IF(E1708="STL",0,IF($F1708&gt;0,$F1708*Pricing!$D$17,0))</f>
        <v>0</v>
      </c>
      <c r="P1708" s="530" t="str">
        <f t="shared" si="698"/>
        <v/>
      </c>
      <c r="Q1708" s="531" t="str">
        <f>IF($A1708="","",$G1708/VLOOKUP($I1708,Ref!$B$23:$D$29,2,0))</f>
        <v/>
      </c>
      <c r="R1708" s="530" t="str">
        <f t="shared" si="699"/>
        <v/>
      </c>
      <c r="S1708" s="532" t="str">
        <f t="shared" si="693"/>
        <v/>
      </c>
      <c r="T1708" s="531" t="str">
        <f t="shared" si="700"/>
        <v/>
      </c>
      <c r="U1708" s="533">
        <f t="shared" si="701"/>
        <v>0</v>
      </c>
      <c r="V1708" s="531" t="str">
        <f t="shared" si="702"/>
        <v/>
      </c>
      <c r="W1708" s="531" t="str">
        <f t="shared" si="703"/>
        <v/>
      </c>
      <c r="X1708" s="534" t="str">
        <f t="shared" si="704"/>
        <v/>
      </c>
      <c r="Y1708" s="535" t="str">
        <f>IF($A1708="","",IF($I1708="weekly",$A1708+7,EDATE($A1708,VLOOKUP($I1708,Ref!$B$24:$C$29,2,0))))</f>
        <v/>
      </c>
      <c r="Z1708" s="536" t="str">
        <f t="shared" si="705"/>
        <v/>
      </c>
      <c r="AA1708" s="531">
        <f t="shared" si="706"/>
        <v>0</v>
      </c>
      <c r="AB1708" s="535" t="str">
        <f t="shared" si="694"/>
        <v/>
      </c>
      <c r="AC1708" s="537" t="str">
        <f t="shared" si="695"/>
        <v/>
      </c>
      <c r="AD1708" s="538" t="str">
        <f t="shared" ca="1" si="696"/>
        <v/>
      </c>
      <c r="AE1708" s="537">
        <f t="shared" ca="1" si="697"/>
        <v>0</v>
      </c>
      <c r="AF1708" s="539" t="str">
        <f t="shared" ca="1" si="707"/>
        <v/>
      </c>
      <c r="AG1708" s="531" t="str">
        <f t="shared" ca="1" si="708"/>
        <v/>
      </c>
      <c r="AH1708" s="531" t="str">
        <f t="shared" ca="1" si="709"/>
        <v/>
      </c>
      <c r="AI1708" s="531" t="str">
        <f t="shared" ca="1" si="710"/>
        <v/>
      </c>
      <c r="AJ1708" s="531" t="str">
        <f t="shared" si="711"/>
        <v/>
      </c>
      <c r="AK1708" s="540">
        <f>SUMIFS('Live Collections'!$S:$S,'Live Collections'!$D:$D,Disbursements!B1708,'Live Collections'!$G:$G,Disbursements!C1708)</f>
        <v>0</v>
      </c>
      <c r="AL1708" s="540">
        <f>SUMIFS('Live Collections'!$T:$T,'Live Collections'!$D:$D,Disbursements!B1708,'Live Collections'!$G:$G,Disbursements!C1708)</f>
        <v>0</v>
      </c>
      <c r="AM1708" s="541">
        <f t="shared" si="712"/>
        <v>0</v>
      </c>
      <c r="AN1708" s="542" t="str">
        <f t="shared" si="713"/>
        <v/>
      </c>
      <c r="AO1708" s="542" t="str">
        <f t="shared" si="714"/>
        <v/>
      </c>
      <c r="AP1708" s="543" t="str">
        <f t="shared" si="715"/>
        <v/>
      </c>
      <c r="AQ1708" s="544" t="str">
        <f t="shared" si="716"/>
        <v/>
      </c>
      <c r="AR1708" s="545">
        <f t="shared" si="717"/>
        <v>0</v>
      </c>
      <c r="AS1708" s="545">
        <f>IFERROR(CEILING($AR1708*VLOOKUP($I1708,Ref!$B$23:$E$29,4,0),1),0)</f>
        <v>0</v>
      </c>
      <c r="AT1708" s="545" t="str">
        <f>IF(A1708="","",IF(AP1708&lt;=1,"Cleared",IF(AS1708=0,"Clean",VLOOKUP($AS1708,Ref!$G$23:$H$28,2))))</f>
        <v/>
      </c>
      <c r="AU1708" s="546" t="str">
        <f t="shared" si="718"/>
        <v/>
      </c>
    </row>
    <row r="1709" spans="1:47" ht="14.25" hidden="1" customHeight="1" x14ac:dyDescent="0.15">
      <c r="A1709" s="575"/>
      <c r="B1709" s="548"/>
      <c r="C1709" s="548"/>
      <c r="D1709" s="548"/>
      <c r="E1709" s="583"/>
      <c r="F1709" s="584"/>
      <c r="G1709" s="548"/>
      <c r="H1709" s="550"/>
      <c r="I1709" s="560"/>
      <c r="J1709" s="548"/>
      <c r="K1709" s="528" t="str">
        <f>IFERROR(VLOOKUP($B1709,'Clients-Live'!$A:$C,3,0),"")</f>
        <v/>
      </c>
      <c r="L1709" s="528">
        <f>IF(E1709="STL",Pricing!$D$38,IF(A1709="",0,IF(A1709&lt;Pricing!$C$25,Pricing!$D$25,VLOOKUP(Disbursements!$F1709,Pricing!$B$29:$D$32,3))))</f>
        <v>0</v>
      </c>
      <c r="M1709" s="528">
        <f>IF(E1709="STL",0,IF(F1709&gt;0,Pricing!$D$21,0))</f>
        <v>0</v>
      </c>
      <c r="N1709" s="529">
        <f>IF(E1709="STL",F1709*Pricing!$D$40,IF(A1709&lt;=Pricing!$C$4,0,IF(AND(A1709&gt;Pricing!$C$4,Disbursements!A1709&lt;=Pricing!$C$5),F1709*Pricing!$E$5,IF(AND(A1709&gt;Pricing!$C$5,Disbursements!A1709&lt;=Pricing!$C$7),VLOOKUP(F1709,Pricing!$D$7:$E$8,2)*Disbursements!F1709,F1709*Pricing!$E$9))))</f>
        <v>0</v>
      </c>
      <c r="O1709" s="528">
        <f>IF(E1709="STL",0,IF($F1709&gt;0,$F1709*Pricing!$D$17,0))</f>
        <v>0</v>
      </c>
      <c r="P1709" s="530" t="str">
        <f t="shared" si="698"/>
        <v/>
      </c>
      <c r="Q1709" s="531" t="str">
        <f>IF($A1709="","",$G1709/VLOOKUP($I1709,Ref!$B$23:$D$29,2,0))</f>
        <v/>
      </c>
      <c r="R1709" s="530" t="str">
        <f t="shared" si="699"/>
        <v/>
      </c>
      <c r="S1709" s="532" t="str">
        <f t="shared" si="693"/>
        <v/>
      </c>
      <c r="T1709" s="531" t="str">
        <f t="shared" si="700"/>
        <v/>
      </c>
      <c r="U1709" s="533">
        <f t="shared" si="701"/>
        <v>0</v>
      </c>
      <c r="V1709" s="531" t="str">
        <f t="shared" si="702"/>
        <v/>
      </c>
      <c r="W1709" s="531" t="str">
        <f t="shared" si="703"/>
        <v/>
      </c>
      <c r="X1709" s="534" t="str">
        <f t="shared" si="704"/>
        <v/>
      </c>
      <c r="Y1709" s="535" t="str">
        <f>IF($A1709="","",IF($I1709="weekly",$A1709+7,EDATE($A1709,VLOOKUP($I1709,Ref!$B$24:$C$29,2,0))))</f>
        <v/>
      </c>
      <c r="Z1709" s="536" t="str">
        <f t="shared" si="705"/>
        <v/>
      </c>
      <c r="AA1709" s="531">
        <f t="shared" si="706"/>
        <v>0</v>
      </c>
      <c r="AB1709" s="535" t="str">
        <f t="shared" si="694"/>
        <v/>
      </c>
      <c r="AC1709" s="537" t="str">
        <f t="shared" si="695"/>
        <v/>
      </c>
      <c r="AD1709" s="538" t="str">
        <f t="shared" ca="1" si="696"/>
        <v/>
      </c>
      <c r="AE1709" s="537">
        <f t="shared" ca="1" si="697"/>
        <v>0</v>
      </c>
      <c r="AF1709" s="539" t="str">
        <f t="shared" ca="1" si="707"/>
        <v/>
      </c>
      <c r="AG1709" s="531" t="str">
        <f t="shared" ca="1" si="708"/>
        <v/>
      </c>
      <c r="AH1709" s="531" t="str">
        <f t="shared" ca="1" si="709"/>
        <v/>
      </c>
      <c r="AI1709" s="531" t="str">
        <f t="shared" ca="1" si="710"/>
        <v/>
      </c>
      <c r="AJ1709" s="531" t="str">
        <f t="shared" si="711"/>
        <v/>
      </c>
      <c r="AK1709" s="540">
        <f>SUMIFS('Live Collections'!$S:$S,'Live Collections'!$D:$D,Disbursements!B1709,'Live Collections'!$G:$G,Disbursements!C1709)</f>
        <v>0</v>
      </c>
      <c r="AL1709" s="540">
        <f>SUMIFS('Live Collections'!$T:$T,'Live Collections'!$D:$D,Disbursements!B1709,'Live Collections'!$G:$G,Disbursements!C1709)</f>
        <v>0</v>
      </c>
      <c r="AM1709" s="541">
        <f t="shared" si="712"/>
        <v>0</v>
      </c>
      <c r="AN1709" s="542" t="str">
        <f t="shared" si="713"/>
        <v/>
      </c>
      <c r="AO1709" s="542" t="str">
        <f t="shared" si="714"/>
        <v/>
      </c>
      <c r="AP1709" s="543" t="str">
        <f t="shared" si="715"/>
        <v/>
      </c>
      <c r="AQ1709" s="544" t="str">
        <f t="shared" si="716"/>
        <v/>
      </c>
      <c r="AR1709" s="545">
        <f t="shared" si="717"/>
        <v>0</v>
      </c>
      <c r="AS1709" s="545">
        <f>IFERROR(CEILING($AR1709*VLOOKUP($I1709,Ref!$B$23:$E$29,4,0),1),0)</f>
        <v>0</v>
      </c>
      <c r="AT1709" s="545" t="str">
        <f>IF(A1709="","",IF(AP1709&lt;=1,"Cleared",IF(AS1709=0,"Clean",VLOOKUP($AS1709,Ref!$G$23:$H$28,2))))</f>
        <v/>
      </c>
      <c r="AU1709" s="546" t="str">
        <f t="shared" si="718"/>
        <v/>
      </c>
    </row>
    <row r="1710" spans="1:47" ht="14.25" hidden="1" customHeight="1" x14ac:dyDescent="0.15">
      <c r="A1710" s="575"/>
      <c r="B1710" s="548"/>
      <c r="C1710" s="548"/>
      <c r="D1710" s="548"/>
      <c r="E1710" s="583"/>
      <c r="F1710" s="584"/>
      <c r="G1710" s="548"/>
      <c r="H1710" s="550"/>
      <c r="I1710" s="560"/>
      <c r="J1710" s="548"/>
      <c r="K1710" s="528" t="str">
        <f>IFERROR(VLOOKUP($B1710,'Clients-Live'!$A:$C,3,0),"")</f>
        <v/>
      </c>
      <c r="L1710" s="528">
        <f>IF(E1710="STL",Pricing!$D$38,IF(A1710="",0,IF(A1710&lt;Pricing!$C$25,Pricing!$D$25,VLOOKUP(Disbursements!$F1710,Pricing!$B$29:$D$32,3))))</f>
        <v>0</v>
      </c>
      <c r="M1710" s="528">
        <f>IF(E1710="STL",0,IF(F1710&gt;0,Pricing!$D$21,0))</f>
        <v>0</v>
      </c>
      <c r="N1710" s="529">
        <f>IF(E1710="STL",F1710*Pricing!$D$40,IF(A1710&lt;=Pricing!$C$4,0,IF(AND(A1710&gt;Pricing!$C$4,Disbursements!A1710&lt;=Pricing!$C$5),F1710*Pricing!$E$5,IF(AND(A1710&gt;Pricing!$C$5,Disbursements!A1710&lt;=Pricing!$C$7),VLOOKUP(F1710,Pricing!$D$7:$E$8,2)*Disbursements!F1710,F1710*Pricing!$E$9))))</f>
        <v>0</v>
      </c>
      <c r="O1710" s="528">
        <f>IF(E1710="STL",0,IF($F1710&gt;0,$F1710*Pricing!$D$17,0))</f>
        <v>0</v>
      </c>
      <c r="P1710" s="530" t="str">
        <f t="shared" si="698"/>
        <v/>
      </c>
      <c r="Q1710" s="531" t="str">
        <f>IF($A1710="","",$G1710/VLOOKUP($I1710,Ref!$B$23:$D$29,2,0))</f>
        <v/>
      </c>
      <c r="R1710" s="530" t="str">
        <f t="shared" si="699"/>
        <v/>
      </c>
      <c r="S1710" s="532" t="str">
        <f t="shared" si="693"/>
        <v/>
      </c>
      <c r="T1710" s="531" t="str">
        <f t="shared" si="700"/>
        <v/>
      </c>
      <c r="U1710" s="533">
        <f t="shared" si="701"/>
        <v>0</v>
      </c>
      <c r="V1710" s="531" t="str">
        <f t="shared" si="702"/>
        <v/>
      </c>
      <c r="W1710" s="531" t="str">
        <f t="shared" si="703"/>
        <v/>
      </c>
      <c r="X1710" s="534" t="str">
        <f t="shared" si="704"/>
        <v/>
      </c>
      <c r="Y1710" s="535" t="str">
        <f>IF($A1710="","",IF($I1710="weekly",$A1710+7,EDATE($A1710,VLOOKUP($I1710,Ref!$B$24:$C$29,2,0))))</f>
        <v/>
      </c>
      <c r="Z1710" s="536" t="str">
        <f t="shared" si="705"/>
        <v/>
      </c>
      <c r="AA1710" s="531">
        <f t="shared" si="706"/>
        <v>0</v>
      </c>
      <c r="AB1710" s="535" t="str">
        <f t="shared" si="694"/>
        <v/>
      </c>
      <c r="AC1710" s="537" t="str">
        <f t="shared" si="695"/>
        <v/>
      </c>
      <c r="AD1710" s="538" t="str">
        <f t="shared" ca="1" si="696"/>
        <v/>
      </c>
      <c r="AE1710" s="537">
        <f t="shared" ca="1" si="697"/>
        <v>0</v>
      </c>
      <c r="AF1710" s="539" t="str">
        <f t="shared" ca="1" si="707"/>
        <v/>
      </c>
      <c r="AG1710" s="531" t="str">
        <f t="shared" ca="1" si="708"/>
        <v/>
      </c>
      <c r="AH1710" s="531" t="str">
        <f t="shared" ca="1" si="709"/>
        <v/>
      </c>
      <c r="AI1710" s="531" t="str">
        <f t="shared" ca="1" si="710"/>
        <v/>
      </c>
      <c r="AJ1710" s="531" t="str">
        <f t="shared" si="711"/>
        <v/>
      </c>
      <c r="AK1710" s="540">
        <f>SUMIFS('Live Collections'!$S:$S,'Live Collections'!$D:$D,Disbursements!B1710,'Live Collections'!$G:$G,Disbursements!C1710)</f>
        <v>0</v>
      </c>
      <c r="AL1710" s="540">
        <f>SUMIFS('Live Collections'!$T:$T,'Live Collections'!$D:$D,Disbursements!B1710,'Live Collections'!$G:$G,Disbursements!C1710)</f>
        <v>0</v>
      </c>
      <c r="AM1710" s="541">
        <f t="shared" si="712"/>
        <v>0</v>
      </c>
      <c r="AN1710" s="542" t="str">
        <f t="shared" si="713"/>
        <v/>
      </c>
      <c r="AO1710" s="542" t="str">
        <f t="shared" si="714"/>
        <v/>
      </c>
      <c r="AP1710" s="543" t="str">
        <f t="shared" si="715"/>
        <v/>
      </c>
      <c r="AQ1710" s="544" t="str">
        <f t="shared" si="716"/>
        <v/>
      </c>
      <c r="AR1710" s="545">
        <f t="shared" si="717"/>
        <v>0</v>
      </c>
      <c r="AS1710" s="545">
        <f>IFERROR(CEILING($AR1710*VLOOKUP($I1710,Ref!$B$23:$E$29,4,0),1),0)</f>
        <v>0</v>
      </c>
      <c r="AT1710" s="545" t="str">
        <f>IF(A1710="","",IF(AP1710&lt;=1,"Cleared",IF(AS1710=0,"Clean",VLOOKUP($AS1710,Ref!$G$23:$H$28,2))))</f>
        <v/>
      </c>
      <c r="AU1710" s="546" t="str">
        <f t="shared" si="718"/>
        <v/>
      </c>
    </row>
    <row r="1711" spans="1:47" ht="14.25" hidden="1" customHeight="1" x14ac:dyDescent="0.15">
      <c r="A1711" s="575"/>
      <c r="B1711" s="548"/>
      <c r="C1711" s="548"/>
      <c r="D1711" s="548"/>
      <c r="E1711" s="583"/>
      <c r="F1711" s="584"/>
      <c r="G1711" s="548"/>
      <c r="H1711" s="550"/>
      <c r="I1711" s="560"/>
      <c r="J1711" s="548"/>
      <c r="K1711" s="528" t="str">
        <f>IFERROR(VLOOKUP($B1711,'Clients-Live'!$A:$C,3,0),"")</f>
        <v/>
      </c>
      <c r="L1711" s="528">
        <f>IF(E1711="STL",Pricing!$D$38,IF(A1711="",0,IF(A1711&lt;Pricing!$C$25,Pricing!$D$25,VLOOKUP(Disbursements!$F1711,Pricing!$B$29:$D$32,3))))</f>
        <v>0</v>
      </c>
      <c r="M1711" s="528">
        <f>IF(E1711="STL",0,IF(F1711&gt;0,Pricing!$D$21,0))</f>
        <v>0</v>
      </c>
      <c r="N1711" s="529">
        <f>IF(E1711="STL",F1711*Pricing!$D$40,IF(A1711&lt;=Pricing!$C$4,0,IF(AND(A1711&gt;Pricing!$C$4,Disbursements!A1711&lt;=Pricing!$C$5),F1711*Pricing!$E$5,IF(AND(A1711&gt;Pricing!$C$5,Disbursements!A1711&lt;=Pricing!$C$7),VLOOKUP(F1711,Pricing!$D$7:$E$8,2)*Disbursements!F1711,F1711*Pricing!$E$9))))</f>
        <v>0</v>
      </c>
      <c r="O1711" s="528">
        <f>IF(E1711="STL",0,IF($F1711&gt;0,$F1711*Pricing!$D$17,0))</f>
        <v>0</v>
      </c>
      <c r="P1711" s="530" t="str">
        <f t="shared" si="698"/>
        <v/>
      </c>
      <c r="Q1711" s="531" t="str">
        <f>IF($A1711="","",$G1711/VLOOKUP($I1711,Ref!$B$23:$D$29,2,0))</f>
        <v/>
      </c>
      <c r="R1711" s="530" t="str">
        <f t="shared" si="699"/>
        <v/>
      </c>
      <c r="S1711" s="532" t="str">
        <f t="shared" si="693"/>
        <v/>
      </c>
      <c r="T1711" s="531" t="str">
        <f t="shared" si="700"/>
        <v/>
      </c>
      <c r="U1711" s="533">
        <f t="shared" si="701"/>
        <v>0</v>
      </c>
      <c r="V1711" s="531" t="str">
        <f t="shared" si="702"/>
        <v/>
      </c>
      <c r="W1711" s="531" t="str">
        <f t="shared" si="703"/>
        <v/>
      </c>
      <c r="X1711" s="534" t="str">
        <f t="shared" si="704"/>
        <v/>
      </c>
      <c r="Y1711" s="535" t="str">
        <f>IF($A1711="","",IF($I1711="weekly",$A1711+7,EDATE($A1711,VLOOKUP($I1711,Ref!$B$24:$C$29,2,0))))</f>
        <v/>
      </c>
      <c r="Z1711" s="536" t="str">
        <f t="shared" si="705"/>
        <v/>
      </c>
      <c r="AA1711" s="531">
        <f t="shared" si="706"/>
        <v>0</v>
      </c>
      <c r="AB1711" s="535" t="str">
        <f t="shared" si="694"/>
        <v/>
      </c>
      <c r="AC1711" s="537" t="str">
        <f t="shared" si="695"/>
        <v/>
      </c>
      <c r="AD1711" s="538" t="str">
        <f t="shared" ca="1" si="696"/>
        <v/>
      </c>
      <c r="AE1711" s="537">
        <f t="shared" ca="1" si="697"/>
        <v>0</v>
      </c>
      <c r="AF1711" s="539" t="str">
        <f t="shared" ca="1" si="707"/>
        <v/>
      </c>
      <c r="AG1711" s="531" t="str">
        <f t="shared" ca="1" si="708"/>
        <v/>
      </c>
      <c r="AH1711" s="531" t="str">
        <f t="shared" ca="1" si="709"/>
        <v/>
      </c>
      <c r="AI1711" s="531" t="str">
        <f t="shared" ca="1" si="710"/>
        <v/>
      </c>
      <c r="AJ1711" s="531" t="str">
        <f t="shared" si="711"/>
        <v/>
      </c>
      <c r="AK1711" s="540">
        <f>SUMIFS('Live Collections'!$S:$S,'Live Collections'!$D:$D,Disbursements!B1711,'Live Collections'!$G:$G,Disbursements!C1711)</f>
        <v>0</v>
      </c>
      <c r="AL1711" s="540">
        <f>SUMIFS('Live Collections'!$T:$T,'Live Collections'!$D:$D,Disbursements!B1711,'Live Collections'!$G:$G,Disbursements!C1711)</f>
        <v>0</v>
      </c>
      <c r="AM1711" s="541">
        <f t="shared" si="712"/>
        <v>0</v>
      </c>
      <c r="AN1711" s="542" t="str">
        <f t="shared" si="713"/>
        <v/>
      </c>
      <c r="AO1711" s="542" t="str">
        <f t="shared" si="714"/>
        <v/>
      </c>
      <c r="AP1711" s="543" t="str">
        <f t="shared" si="715"/>
        <v/>
      </c>
      <c r="AQ1711" s="544" t="str">
        <f t="shared" si="716"/>
        <v/>
      </c>
      <c r="AR1711" s="545">
        <f t="shared" si="717"/>
        <v>0</v>
      </c>
      <c r="AS1711" s="545">
        <f>IFERROR(CEILING($AR1711*VLOOKUP($I1711,Ref!$B$23:$E$29,4,0),1),0)</f>
        <v>0</v>
      </c>
      <c r="AT1711" s="545" t="str">
        <f>IF(A1711="","",IF(AP1711&lt;=1,"Cleared",IF(AS1711=0,"Clean",VLOOKUP($AS1711,Ref!$G$23:$H$28,2))))</f>
        <v/>
      </c>
      <c r="AU1711" s="546" t="str">
        <f t="shared" si="718"/>
        <v/>
      </c>
    </row>
    <row r="1712" spans="1:47" ht="14.25" hidden="1" customHeight="1" x14ac:dyDescent="0.15">
      <c r="A1712" s="575"/>
      <c r="B1712" s="548"/>
      <c r="C1712" s="548"/>
      <c r="D1712" s="548"/>
      <c r="E1712" s="583"/>
      <c r="F1712" s="584"/>
      <c r="G1712" s="548"/>
      <c r="H1712" s="550"/>
      <c r="I1712" s="560"/>
      <c r="J1712" s="548"/>
      <c r="K1712" s="528" t="str">
        <f>IFERROR(VLOOKUP($B1712,'Clients-Live'!$A:$C,3,0),"")</f>
        <v/>
      </c>
      <c r="L1712" s="528">
        <f>IF(E1712="STL",Pricing!$D$38,IF(A1712="",0,IF(A1712&lt;Pricing!$C$25,Pricing!$D$25,VLOOKUP(Disbursements!$F1712,Pricing!$B$29:$D$32,3))))</f>
        <v>0</v>
      </c>
      <c r="M1712" s="528">
        <f>IF(E1712="STL",0,IF(F1712&gt;0,Pricing!$D$21,0))</f>
        <v>0</v>
      </c>
      <c r="N1712" s="529">
        <f>IF(E1712="STL",F1712*Pricing!$D$40,IF(A1712&lt;=Pricing!$C$4,0,IF(AND(A1712&gt;Pricing!$C$4,Disbursements!A1712&lt;=Pricing!$C$5),F1712*Pricing!$E$5,IF(AND(A1712&gt;Pricing!$C$5,Disbursements!A1712&lt;=Pricing!$C$7),VLOOKUP(F1712,Pricing!$D$7:$E$8,2)*Disbursements!F1712,F1712*Pricing!$E$9))))</f>
        <v>0</v>
      </c>
      <c r="O1712" s="528">
        <f>IF(E1712="STL",0,IF($F1712&gt;0,$F1712*Pricing!$D$17,0))</f>
        <v>0</v>
      </c>
      <c r="P1712" s="530" t="str">
        <f t="shared" si="698"/>
        <v/>
      </c>
      <c r="Q1712" s="531" t="str">
        <f>IF($A1712="","",$G1712/VLOOKUP($I1712,Ref!$B$23:$D$29,2,0))</f>
        <v/>
      </c>
      <c r="R1712" s="530" t="str">
        <f t="shared" si="699"/>
        <v/>
      </c>
      <c r="S1712" s="532" t="str">
        <f t="shared" si="693"/>
        <v/>
      </c>
      <c r="T1712" s="531" t="str">
        <f t="shared" si="700"/>
        <v/>
      </c>
      <c r="U1712" s="533">
        <f t="shared" si="701"/>
        <v>0</v>
      </c>
      <c r="V1712" s="531" t="str">
        <f t="shared" si="702"/>
        <v/>
      </c>
      <c r="W1712" s="531" t="str">
        <f t="shared" si="703"/>
        <v/>
      </c>
      <c r="X1712" s="534" t="str">
        <f t="shared" si="704"/>
        <v/>
      </c>
      <c r="Y1712" s="535" t="str">
        <f>IF($A1712="","",IF($I1712="weekly",$A1712+7,EDATE($A1712,VLOOKUP($I1712,Ref!$B$24:$C$29,2,0))))</f>
        <v/>
      </c>
      <c r="Z1712" s="536" t="str">
        <f t="shared" si="705"/>
        <v/>
      </c>
      <c r="AA1712" s="531">
        <f t="shared" si="706"/>
        <v>0</v>
      </c>
      <c r="AB1712" s="535" t="str">
        <f t="shared" si="694"/>
        <v/>
      </c>
      <c r="AC1712" s="537" t="str">
        <f t="shared" si="695"/>
        <v/>
      </c>
      <c r="AD1712" s="538" t="str">
        <f t="shared" ca="1" si="696"/>
        <v/>
      </c>
      <c r="AE1712" s="537">
        <f t="shared" ca="1" si="697"/>
        <v>0</v>
      </c>
      <c r="AF1712" s="539" t="str">
        <f t="shared" ca="1" si="707"/>
        <v/>
      </c>
      <c r="AG1712" s="531" t="str">
        <f t="shared" ca="1" si="708"/>
        <v/>
      </c>
      <c r="AH1712" s="531" t="str">
        <f t="shared" ca="1" si="709"/>
        <v/>
      </c>
      <c r="AI1712" s="531" t="str">
        <f t="shared" ca="1" si="710"/>
        <v/>
      </c>
      <c r="AJ1712" s="531" t="str">
        <f t="shared" si="711"/>
        <v/>
      </c>
      <c r="AK1712" s="540">
        <f>SUMIFS('Live Collections'!$S:$S,'Live Collections'!$D:$D,Disbursements!B1712,'Live Collections'!$G:$G,Disbursements!C1712)</f>
        <v>0</v>
      </c>
      <c r="AL1712" s="540">
        <f>SUMIFS('Live Collections'!$T:$T,'Live Collections'!$D:$D,Disbursements!B1712,'Live Collections'!$G:$G,Disbursements!C1712)</f>
        <v>0</v>
      </c>
      <c r="AM1712" s="541">
        <f t="shared" si="712"/>
        <v>0</v>
      </c>
      <c r="AN1712" s="542" t="str">
        <f t="shared" si="713"/>
        <v/>
      </c>
      <c r="AO1712" s="542" t="str">
        <f t="shared" si="714"/>
        <v/>
      </c>
      <c r="AP1712" s="543" t="str">
        <f t="shared" si="715"/>
        <v/>
      </c>
      <c r="AQ1712" s="544" t="str">
        <f t="shared" si="716"/>
        <v/>
      </c>
      <c r="AR1712" s="545">
        <f t="shared" si="717"/>
        <v>0</v>
      </c>
      <c r="AS1712" s="545">
        <f>IFERROR(CEILING($AR1712*VLOOKUP($I1712,Ref!$B$23:$E$29,4,0),1),0)</f>
        <v>0</v>
      </c>
      <c r="AT1712" s="545" t="str">
        <f>IF(A1712="","",IF(AP1712&lt;=1,"Cleared",IF(AS1712=0,"Clean",VLOOKUP($AS1712,Ref!$G$23:$H$28,2))))</f>
        <v/>
      </c>
      <c r="AU1712" s="546" t="str">
        <f t="shared" si="718"/>
        <v/>
      </c>
    </row>
    <row r="1713" spans="1:47" ht="14.25" hidden="1" customHeight="1" x14ac:dyDescent="0.15">
      <c r="A1713" s="575"/>
      <c r="B1713" s="548"/>
      <c r="C1713" s="548"/>
      <c r="D1713" s="548"/>
      <c r="E1713" s="583"/>
      <c r="F1713" s="584"/>
      <c r="G1713" s="548"/>
      <c r="H1713" s="550"/>
      <c r="I1713" s="560"/>
      <c r="J1713" s="548"/>
      <c r="K1713" s="528" t="str">
        <f>IFERROR(VLOOKUP($B1713,'Clients-Live'!$A:$C,3,0),"")</f>
        <v/>
      </c>
      <c r="L1713" s="528">
        <f>IF(E1713="STL",Pricing!$D$38,IF(A1713="",0,IF(A1713&lt;Pricing!$C$25,Pricing!$D$25,VLOOKUP(Disbursements!$F1713,Pricing!$B$29:$D$32,3))))</f>
        <v>0</v>
      </c>
      <c r="M1713" s="528">
        <f>IF(E1713="STL",0,IF(F1713&gt;0,Pricing!$D$21,0))</f>
        <v>0</v>
      </c>
      <c r="N1713" s="529">
        <f>IF(E1713="STL",F1713*Pricing!$D$40,IF(A1713&lt;=Pricing!$C$4,0,IF(AND(A1713&gt;Pricing!$C$4,Disbursements!A1713&lt;=Pricing!$C$5),F1713*Pricing!$E$5,IF(AND(A1713&gt;Pricing!$C$5,Disbursements!A1713&lt;=Pricing!$C$7),VLOOKUP(F1713,Pricing!$D$7:$E$8,2)*Disbursements!F1713,F1713*Pricing!$E$9))))</f>
        <v>0</v>
      </c>
      <c r="O1713" s="528">
        <f>IF(E1713="STL",0,IF($F1713&gt;0,$F1713*Pricing!$D$17,0))</f>
        <v>0</v>
      </c>
      <c r="P1713" s="530" t="str">
        <f t="shared" si="698"/>
        <v/>
      </c>
      <c r="Q1713" s="531" t="str">
        <f>IF($A1713="","",$G1713/VLOOKUP($I1713,Ref!$B$23:$D$29,2,0))</f>
        <v/>
      </c>
      <c r="R1713" s="530" t="str">
        <f t="shared" si="699"/>
        <v/>
      </c>
      <c r="S1713" s="532" t="str">
        <f t="shared" si="693"/>
        <v/>
      </c>
      <c r="T1713" s="531" t="str">
        <f t="shared" si="700"/>
        <v/>
      </c>
      <c r="U1713" s="533">
        <f t="shared" si="701"/>
        <v>0</v>
      </c>
      <c r="V1713" s="531" t="str">
        <f t="shared" si="702"/>
        <v/>
      </c>
      <c r="W1713" s="531" t="str">
        <f t="shared" si="703"/>
        <v/>
      </c>
      <c r="X1713" s="534" t="str">
        <f t="shared" si="704"/>
        <v/>
      </c>
      <c r="Y1713" s="535" t="str">
        <f>IF($A1713="","",IF($I1713="weekly",$A1713+7,EDATE($A1713,VLOOKUP($I1713,Ref!$B$24:$C$29,2,0))))</f>
        <v/>
      </c>
      <c r="Z1713" s="536" t="str">
        <f t="shared" si="705"/>
        <v/>
      </c>
      <c r="AA1713" s="531">
        <f t="shared" si="706"/>
        <v>0</v>
      </c>
      <c r="AB1713" s="535" t="str">
        <f t="shared" si="694"/>
        <v/>
      </c>
      <c r="AC1713" s="537" t="str">
        <f t="shared" si="695"/>
        <v/>
      </c>
      <c r="AD1713" s="538" t="str">
        <f t="shared" ca="1" si="696"/>
        <v/>
      </c>
      <c r="AE1713" s="537">
        <f t="shared" ca="1" si="697"/>
        <v>0</v>
      </c>
      <c r="AF1713" s="539" t="str">
        <f t="shared" ca="1" si="707"/>
        <v/>
      </c>
      <c r="AG1713" s="531" t="str">
        <f t="shared" ca="1" si="708"/>
        <v/>
      </c>
      <c r="AH1713" s="531" t="str">
        <f t="shared" ca="1" si="709"/>
        <v/>
      </c>
      <c r="AI1713" s="531" t="str">
        <f t="shared" ca="1" si="710"/>
        <v/>
      </c>
      <c r="AJ1713" s="531" t="str">
        <f t="shared" si="711"/>
        <v/>
      </c>
      <c r="AK1713" s="540">
        <f>SUMIFS('Live Collections'!$S:$S,'Live Collections'!$D:$D,Disbursements!B1713,'Live Collections'!$G:$G,Disbursements!C1713)</f>
        <v>0</v>
      </c>
      <c r="AL1713" s="540">
        <f>SUMIFS('Live Collections'!$T:$T,'Live Collections'!$D:$D,Disbursements!B1713,'Live Collections'!$G:$G,Disbursements!C1713)</f>
        <v>0</v>
      </c>
      <c r="AM1713" s="541">
        <f t="shared" si="712"/>
        <v>0</v>
      </c>
      <c r="AN1713" s="542" t="str">
        <f t="shared" si="713"/>
        <v/>
      </c>
      <c r="AO1713" s="542" t="str">
        <f t="shared" si="714"/>
        <v/>
      </c>
      <c r="AP1713" s="543" t="str">
        <f t="shared" si="715"/>
        <v/>
      </c>
      <c r="AQ1713" s="544" t="str">
        <f t="shared" si="716"/>
        <v/>
      </c>
      <c r="AR1713" s="545">
        <f t="shared" si="717"/>
        <v>0</v>
      </c>
      <c r="AS1713" s="545">
        <f>IFERROR(CEILING($AR1713*VLOOKUP($I1713,Ref!$B$23:$E$29,4,0),1),0)</f>
        <v>0</v>
      </c>
      <c r="AT1713" s="545" t="str">
        <f>IF(A1713="","",IF(AP1713&lt;=1,"Cleared",IF(AS1713=0,"Clean",VLOOKUP($AS1713,Ref!$G$23:$H$28,2))))</f>
        <v/>
      </c>
      <c r="AU1713" s="546" t="str">
        <f t="shared" si="718"/>
        <v/>
      </c>
    </row>
    <row r="1714" spans="1:47" ht="14.25" hidden="1" customHeight="1" x14ac:dyDescent="0.15">
      <c r="A1714" s="575"/>
      <c r="B1714" s="548"/>
      <c r="C1714" s="548"/>
      <c r="D1714" s="548"/>
      <c r="E1714" s="583"/>
      <c r="F1714" s="584"/>
      <c r="G1714" s="548"/>
      <c r="H1714" s="550"/>
      <c r="I1714" s="560"/>
      <c r="J1714" s="548"/>
      <c r="K1714" s="528" t="str">
        <f>IFERROR(VLOOKUP($B1714,'Clients-Live'!$A:$C,3,0),"")</f>
        <v/>
      </c>
      <c r="L1714" s="528">
        <f>IF(E1714="STL",Pricing!$D$38,IF(A1714="",0,IF(A1714&lt;Pricing!$C$25,Pricing!$D$25,VLOOKUP(Disbursements!$F1714,Pricing!$B$29:$D$32,3))))</f>
        <v>0</v>
      </c>
      <c r="M1714" s="528">
        <f>IF(E1714="STL",0,IF(F1714&gt;0,Pricing!$D$21,0))</f>
        <v>0</v>
      </c>
      <c r="N1714" s="529">
        <f>IF(E1714="STL",F1714*Pricing!$D$40,IF(A1714&lt;=Pricing!$C$4,0,IF(AND(A1714&gt;Pricing!$C$4,Disbursements!A1714&lt;=Pricing!$C$5),F1714*Pricing!$E$5,IF(AND(A1714&gt;Pricing!$C$5,Disbursements!A1714&lt;=Pricing!$C$7),VLOOKUP(F1714,Pricing!$D$7:$E$8,2)*Disbursements!F1714,F1714*Pricing!$E$9))))</f>
        <v>0</v>
      </c>
      <c r="O1714" s="528">
        <f>IF(E1714="STL",0,IF($F1714&gt;0,$F1714*Pricing!$D$17,0))</f>
        <v>0</v>
      </c>
      <c r="P1714" s="530" t="str">
        <f t="shared" si="698"/>
        <v/>
      </c>
      <c r="Q1714" s="531" t="str">
        <f>IF($A1714="","",$G1714/VLOOKUP($I1714,Ref!$B$23:$D$29,2,0))</f>
        <v/>
      </c>
      <c r="R1714" s="530" t="str">
        <f t="shared" si="699"/>
        <v/>
      </c>
      <c r="S1714" s="532" t="str">
        <f t="shared" si="693"/>
        <v/>
      </c>
      <c r="T1714" s="531" t="str">
        <f t="shared" si="700"/>
        <v/>
      </c>
      <c r="U1714" s="533">
        <f t="shared" si="701"/>
        <v>0</v>
      </c>
      <c r="V1714" s="531" t="str">
        <f t="shared" si="702"/>
        <v/>
      </c>
      <c r="W1714" s="531" t="str">
        <f t="shared" si="703"/>
        <v/>
      </c>
      <c r="X1714" s="534" t="str">
        <f t="shared" si="704"/>
        <v/>
      </c>
      <c r="Y1714" s="535" t="str">
        <f>IF($A1714="","",IF($I1714="weekly",$A1714+7,EDATE($A1714,VLOOKUP($I1714,Ref!$B$24:$C$29,2,0))))</f>
        <v/>
      </c>
      <c r="Z1714" s="536" t="str">
        <f t="shared" si="705"/>
        <v/>
      </c>
      <c r="AA1714" s="531">
        <f t="shared" si="706"/>
        <v>0</v>
      </c>
      <c r="AB1714" s="535" t="str">
        <f t="shared" si="694"/>
        <v/>
      </c>
      <c r="AC1714" s="537" t="str">
        <f t="shared" si="695"/>
        <v/>
      </c>
      <c r="AD1714" s="538" t="str">
        <f t="shared" ca="1" si="696"/>
        <v/>
      </c>
      <c r="AE1714" s="537">
        <f t="shared" ca="1" si="697"/>
        <v>0</v>
      </c>
      <c r="AF1714" s="539" t="str">
        <f t="shared" ca="1" si="707"/>
        <v/>
      </c>
      <c r="AG1714" s="531" t="str">
        <f t="shared" ca="1" si="708"/>
        <v/>
      </c>
      <c r="AH1714" s="531" t="str">
        <f t="shared" ca="1" si="709"/>
        <v/>
      </c>
      <c r="AI1714" s="531" t="str">
        <f t="shared" ca="1" si="710"/>
        <v/>
      </c>
      <c r="AJ1714" s="531" t="str">
        <f t="shared" si="711"/>
        <v/>
      </c>
      <c r="AK1714" s="540">
        <f>SUMIFS('Live Collections'!$S:$S,'Live Collections'!$D:$D,Disbursements!B1714,'Live Collections'!$G:$G,Disbursements!C1714)</f>
        <v>0</v>
      </c>
      <c r="AL1714" s="540">
        <f>SUMIFS('Live Collections'!$T:$T,'Live Collections'!$D:$D,Disbursements!B1714,'Live Collections'!$G:$G,Disbursements!C1714)</f>
        <v>0</v>
      </c>
      <c r="AM1714" s="541">
        <f t="shared" si="712"/>
        <v>0</v>
      </c>
      <c r="AN1714" s="542" t="str">
        <f t="shared" si="713"/>
        <v/>
      </c>
      <c r="AO1714" s="542" t="str">
        <f t="shared" si="714"/>
        <v/>
      </c>
      <c r="AP1714" s="543" t="str">
        <f t="shared" si="715"/>
        <v/>
      </c>
      <c r="AQ1714" s="544" t="str">
        <f t="shared" si="716"/>
        <v/>
      </c>
      <c r="AR1714" s="545">
        <f t="shared" si="717"/>
        <v>0</v>
      </c>
      <c r="AS1714" s="545">
        <f>IFERROR(CEILING($AR1714*VLOOKUP($I1714,Ref!$B$23:$E$29,4,0),1),0)</f>
        <v>0</v>
      </c>
      <c r="AT1714" s="545" t="str">
        <f>IF(A1714="","",IF(AP1714&lt;=1,"Cleared",IF(AS1714=0,"Clean",VLOOKUP($AS1714,Ref!$G$23:$H$28,2))))</f>
        <v/>
      </c>
      <c r="AU1714" s="546" t="str">
        <f t="shared" si="718"/>
        <v/>
      </c>
    </row>
    <row r="1715" spans="1:47" ht="14.25" hidden="1" customHeight="1" x14ac:dyDescent="0.15">
      <c r="A1715" s="575"/>
      <c r="B1715" s="548"/>
      <c r="C1715" s="548"/>
      <c r="D1715" s="548"/>
      <c r="E1715" s="583"/>
      <c r="F1715" s="584"/>
      <c r="G1715" s="548"/>
      <c r="H1715" s="550"/>
      <c r="I1715" s="560"/>
      <c r="J1715" s="548"/>
      <c r="K1715" s="528" t="str">
        <f>IFERROR(VLOOKUP($B1715,'Clients-Live'!$A:$C,3,0),"")</f>
        <v/>
      </c>
      <c r="L1715" s="528">
        <f>IF(E1715="STL",Pricing!$D$38,IF(A1715="",0,IF(A1715&lt;Pricing!$C$25,Pricing!$D$25,VLOOKUP(Disbursements!$F1715,Pricing!$B$29:$D$32,3))))</f>
        <v>0</v>
      </c>
      <c r="M1715" s="528">
        <f>IF(E1715="STL",0,IF(F1715&gt;0,Pricing!$D$21,0))</f>
        <v>0</v>
      </c>
      <c r="N1715" s="529">
        <f>IF(E1715="STL",F1715*Pricing!$D$40,IF(A1715&lt;=Pricing!$C$4,0,IF(AND(A1715&gt;Pricing!$C$4,Disbursements!A1715&lt;=Pricing!$C$5),F1715*Pricing!$E$5,IF(AND(A1715&gt;Pricing!$C$5,Disbursements!A1715&lt;=Pricing!$C$7),VLOOKUP(F1715,Pricing!$D$7:$E$8,2)*Disbursements!F1715,F1715*Pricing!$E$9))))</f>
        <v>0</v>
      </c>
      <c r="O1715" s="528">
        <f>IF(E1715="STL",0,IF($F1715&gt;0,$F1715*Pricing!$D$17,0))</f>
        <v>0</v>
      </c>
      <c r="P1715" s="530" t="str">
        <f t="shared" si="698"/>
        <v/>
      </c>
      <c r="Q1715" s="531" t="str">
        <f>IF($A1715="","",$G1715/VLOOKUP($I1715,Ref!$B$23:$D$29,2,0))</f>
        <v/>
      </c>
      <c r="R1715" s="530" t="str">
        <f t="shared" si="699"/>
        <v/>
      </c>
      <c r="S1715" s="532" t="str">
        <f t="shared" si="693"/>
        <v/>
      </c>
      <c r="T1715" s="531" t="str">
        <f t="shared" si="700"/>
        <v/>
      </c>
      <c r="U1715" s="533">
        <f t="shared" si="701"/>
        <v>0</v>
      </c>
      <c r="V1715" s="531" t="str">
        <f t="shared" si="702"/>
        <v/>
      </c>
      <c r="W1715" s="531" t="str">
        <f t="shared" si="703"/>
        <v/>
      </c>
      <c r="X1715" s="534" t="str">
        <f t="shared" si="704"/>
        <v/>
      </c>
      <c r="Y1715" s="535" t="str">
        <f>IF($A1715="","",IF($I1715="weekly",$A1715+7,EDATE($A1715,VLOOKUP($I1715,Ref!$B$24:$C$29,2,0))))</f>
        <v/>
      </c>
      <c r="Z1715" s="536" t="str">
        <f t="shared" si="705"/>
        <v/>
      </c>
      <c r="AA1715" s="531">
        <f t="shared" si="706"/>
        <v>0</v>
      </c>
      <c r="AB1715" s="535" t="str">
        <f t="shared" si="694"/>
        <v/>
      </c>
      <c r="AC1715" s="537" t="str">
        <f t="shared" si="695"/>
        <v/>
      </c>
      <c r="AD1715" s="538" t="str">
        <f t="shared" ca="1" si="696"/>
        <v/>
      </c>
      <c r="AE1715" s="537">
        <f t="shared" ca="1" si="697"/>
        <v>0</v>
      </c>
      <c r="AF1715" s="539" t="str">
        <f t="shared" ca="1" si="707"/>
        <v/>
      </c>
      <c r="AG1715" s="531" t="str">
        <f t="shared" ca="1" si="708"/>
        <v/>
      </c>
      <c r="AH1715" s="531" t="str">
        <f t="shared" ca="1" si="709"/>
        <v/>
      </c>
      <c r="AI1715" s="531" t="str">
        <f t="shared" ca="1" si="710"/>
        <v/>
      </c>
      <c r="AJ1715" s="531" t="str">
        <f t="shared" si="711"/>
        <v/>
      </c>
      <c r="AK1715" s="540">
        <f>SUMIFS('Live Collections'!$S:$S,'Live Collections'!$D:$D,Disbursements!B1715,'Live Collections'!$G:$G,Disbursements!C1715)</f>
        <v>0</v>
      </c>
      <c r="AL1715" s="540">
        <f>SUMIFS('Live Collections'!$T:$T,'Live Collections'!$D:$D,Disbursements!B1715,'Live Collections'!$G:$G,Disbursements!C1715)</f>
        <v>0</v>
      </c>
      <c r="AM1715" s="541">
        <f t="shared" si="712"/>
        <v>0</v>
      </c>
      <c r="AN1715" s="542" t="str">
        <f t="shared" si="713"/>
        <v/>
      </c>
      <c r="AO1715" s="542" t="str">
        <f t="shared" si="714"/>
        <v/>
      </c>
      <c r="AP1715" s="543" t="str">
        <f t="shared" si="715"/>
        <v/>
      </c>
      <c r="AQ1715" s="544" t="str">
        <f t="shared" si="716"/>
        <v/>
      </c>
      <c r="AR1715" s="545">
        <f t="shared" si="717"/>
        <v>0</v>
      </c>
      <c r="AS1715" s="545">
        <f>IFERROR(CEILING($AR1715*VLOOKUP($I1715,Ref!$B$23:$E$29,4,0),1),0)</f>
        <v>0</v>
      </c>
      <c r="AT1715" s="545" t="str">
        <f>IF(A1715="","",IF(AP1715&lt;=1,"Cleared",IF(AS1715=0,"Clean",VLOOKUP($AS1715,Ref!$G$23:$H$28,2))))</f>
        <v/>
      </c>
      <c r="AU1715" s="546" t="str">
        <f t="shared" si="718"/>
        <v/>
      </c>
    </row>
    <row r="1716" spans="1:47" ht="14.25" hidden="1" customHeight="1" x14ac:dyDescent="0.15">
      <c r="A1716" s="575"/>
      <c r="B1716" s="548"/>
      <c r="C1716" s="548"/>
      <c r="D1716" s="548"/>
      <c r="E1716" s="583"/>
      <c r="F1716" s="584"/>
      <c r="G1716" s="548"/>
      <c r="H1716" s="550"/>
      <c r="I1716" s="560"/>
      <c r="J1716" s="548"/>
      <c r="K1716" s="528" t="str">
        <f>IFERROR(VLOOKUP($B1716,'Clients-Live'!$A:$C,3,0),"")</f>
        <v/>
      </c>
      <c r="L1716" s="528">
        <f>IF(E1716="STL",Pricing!$D$38,IF(A1716="",0,IF(A1716&lt;Pricing!$C$25,Pricing!$D$25,VLOOKUP(Disbursements!$F1716,Pricing!$B$29:$D$32,3))))</f>
        <v>0</v>
      </c>
      <c r="M1716" s="528">
        <f>IF(E1716="STL",0,IF(F1716&gt;0,Pricing!$D$21,0))</f>
        <v>0</v>
      </c>
      <c r="N1716" s="529">
        <f>IF(E1716="STL",F1716*Pricing!$D$40,IF(A1716&lt;=Pricing!$C$4,0,IF(AND(A1716&gt;Pricing!$C$4,Disbursements!A1716&lt;=Pricing!$C$5),F1716*Pricing!$E$5,IF(AND(A1716&gt;Pricing!$C$5,Disbursements!A1716&lt;=Pricing!$C$7),VLOOKUP(F1716,Pricing!$D$7:$E$8,2)*Disbursements!F1716,F1716*Pricing!$E$9))))</f>
        <v>0</v>
      </c>
      <c r="O1716" s="528">
        <f>IF(E1716="STL",0,IF($F1716&gt;0,$F1716*Pricing!$D$17,0))</f>
        <v>0</v>
      </c>
      <c r="P1716" s="530" t="str">
        <f t="shared" si="698"/>
        <v/>
      </c>
      <c r="Q1716" s="531" t="str">
        <f>IF($A1716="","",$G1716/VLOOKUP($I1716,Ref!$B$23:$D$29,2,0))</f>
        <v/>
      </c>
      <c r="R1716" s="530" t="str">
        <f t="shared" si="699"/>
        <v/>
      </c>
      <c r="S1716" s="532" t="str">
        <f t="shared" si="693"/>
        <v/>
      </c>
      <c r="T1716" s="531" t="str">
        <f t="shared" si="700"/>
        <v/>
      </c>
      <c r="U1716" s="533">
        <f t="shared" si="701"/>
        <v>0</v>
      </c>
      <c r="V1716" s="531" t="str">
        <f t="shared" si="702"/>
        <v/>
      </c>
      <c r="W1716" s="531" t="str">
        <f t="shared" si="703"/>
        <v/>
      </c>
      <c r="X1716" s="534" t="str">
        <f t="shared" si="704"/>
        <v/>
      </c>
      <c r="Y1716" s="535" t="str">
        <f>IF($A1716="","",IF($I1716="weekly",$A1716+7,EDATE($A1716,VLOOKUP($I1716,Ref!$B$24:$C$29,2,0))))</f>
        <v/>
      </c>
      <c r="Z1716" s="536" t="str">
        <f t="shared" si="705"/>
        <v/>
      </c>
      <c r="AA1716" s="531">
        <f t="shared" si="706"/>
        <v>0</v>
      </c>
      <c r="AB1716" s="535" t="str">
        <f t="shared" si="694"/>
        <v/>
      </c>
      <c r="AC1716" s="537" t="str">
        <f t="shared" si="695"/>
        <v/>
      </c>
      <c r="AD1716" s="538" t="str">
        <f t="shared" ca="1" si="696"/>
        <v/>
      </c>
      <c r="AE1716" s="537">
        <f t="shared" ca="1" si="697"/>
        <v>0</v>
      </c>
      <c r="AF1716" s="539" t="str">
        <f t="shared" ca="1" si="707"/>
        <v/>
      </c>
      <c r="AG1716" s="531" t="str">
        <f t="shared" ca="1" si="708"/>
        <v/>
      </c>
      <c r="AH1716" s="531" t="str">
        <f t="shared" ca="1" si="709"/>
        <v/>
      </c>
      <c r="AI1716" s="531" t="str">
        <f t="shared" ca="1" si="710"/>
        <v/>
      </c>
      <c r="AJ1716" s="531" t="str">
        <f t="shared" si="711"/>
        <v/>
      </c>
      <c r="AK1716" s="540">
        <f>SUMIFS('Live Collections'!$S:$S,'Live Collections'!$D:$D,Disbursements!B1716,'Live Collections'!$G:$G,Disbursements!C1716)</f>
        <v>0</v>
      </c>
      <c r="AL1716" s="540">
        <f>SUMIFS('Live Collections'!$T:$T,'Live Collections'!$D:$D,Disbursements!B1716,'Live Collections'!$G:$G,Disbursements!C1716)</f>
        <v>0</v>
      </c>
      <c r="AM1716" s="541">
        <f t="shared" si="712"/>
        <v>0</v>
      </c>
      <c r="AN1716" s="542" t="str">
        <f t="shared" si="713"/>
        <v/>
      </c>
      <c r="AO1716" s="542" t="str">
        <f t="shared" si="714"/>
        <v/>
      </c>
      <c r="AP1716" s="543" t="str">
        <f t="shared" si="715"/>
        <v/>
      </c>
      <c r="AQ1716" s="544" t="str">
        <f t="shared" si="716"/>
        <v/>
      </c>
      <c r="AR1716" s="545">
        <f t="shared" si="717"/>
        <v>0</v>
      </c>
      <c r="AS1716" s="545">
        <f>IFERROR(CEILING($AR1716*VLOOKUP($I1716,Ref!$B$23:$E$29,4,0),1),0)</f>
        <v>0</v>
      </c>
      <c r="AT1716" s="545" t="str">
        <f>IF(A1716="","",IF(AP1716&lt;=1,"Cleared",IF(AS1716=0,"Clean",VLOOKUP($AS1716,Ref!$G$23:$H$28,2))))</f>
        <v/>
      </c>
      <c r="AU1716" s="546" t="str">
        <f t="shared" si="718"/>
        <v/>
      </c>
    </row>
    <row r="1717" spans="1:47" ht="14.25" hidden="1" customHeight="1" x14ac:dyDescent="0.15">
      <c r="A1717" s="575"/>
      <c r="B1717" s="548"/>
      <c r="C1717" s="548"/>
      <c r="D1717" s="548"/>
      <c r="E1717" s="583"/>
      <c r="F1717" s="584"/>
      <c r="G1717" s="548"/>
      <c r="H1717" s="550"/>
      <c r="I1717" s="560"/>
      <c r="J1717" s="548"/>
      <c r="K1717" s="528" t="str">
        <f>IFERROR(VLOOKUP($B1717,'Clients-Live'!$A:$C,3,0),"")</f>
        <v/>
      </c>
      <c r="L1717" s="528">
        <f>IF(E1717="STL",Pricing!$D$38,IF(A1717="",0,IF(A1717&lt;Pricing!$C$25,Pricing!$D$25,VLOOKUP(Disbursements!$F1717,Pricing!$B$29:$D$32,3))))</f>
        <v>0</v>
      </c>
      <c r="M1717" s="528">
        <f>IF(E1717="STL",0,IF(F1717&gt;0,Pricing!$D$21,0))</f>
        <v>0</v>
      </c>
      <c r="N1717" s="529">
        <f>IF(E1717="STL",F1717*Pricing!$D$40,IF(A1717&lt;=Pricing!$C$4,0,IF(AND(A1717&gt;Pricing!$C$4,Disbursements!A1717&lt;=Pricing!$C$5),F1717*Pricing!$E$5,IF(AND(A1717&gt;Pricing!$C$5,Disbursements!A1717&lt;=Pricing!$C$7),VLOOKUP(F1717,Pricing!$D$7:$E$8,2)*Disbursements!F1717,F1717*Pricing!$E$9))))</f>
        <v>0</v>
      </c>
      <c r="O1717" s="528">
        <f>IF(E1717="STL",0,IF($F1717&gt;0,$F1717*Pricing!$D$17,0))</f>
        <v>0</v>
      </c>
      <c r="P1717" s="530" t="str">
        <f t="shared" si="698"/>
        <v/>
      </c>
      <c r="Q1717" s="531" t="str">
        <f>IF($A1717="","",$G1717/VLOOKUP($I1717,Ref!$B$23:$D$29,2,0))</f>
        <v/>
      </c>
      <c r="R1717" s="530" t="str">
        <f t="shared" si="699"/>
        <v/>
      </c>
      <c r="S1717" s="532" t="str">
        <f t="shared" si="693"/>
        <v/>
      </c>
      <c r="T1717" s="531" t="str">
        <f t="shared" si="700"/>
        <v/>
      </c>
      <c r="U1717" s="533">
        <f t="shared" si="701"/>
        <v>0</v>
      </c>
      <c r="V1717" s="531" t="str">
        <f t="shared" si="702"/>
        <v/>
      </c>
      <c r="W1717" s="531" t="str">
        <f t="shared" si="703"/>
        <v/>
      </c>
      <c r="X1717" s="534" t="str">
        <f t="shared" si="704"/>
        <v/>
      </c>
      <c r="Y1717" s="535" t="str">
        <f>IF($A1717="","",IF($I1717="weekly",$A1717+7,EDATE($A1717,VLOOKUP($I1717,Ref!$B$24:$C$29,2,0))))</f>
        <v/>
      </c>
      <c r="Z1717" s="536" t="str">
        <f t="shared" si="705"/>
        <v/>
      </c>
      <c r="AA1717" s="531">
        <f t="shared" si="706"/>
        <v>0</v>
      </c>
      <c r="AB1717" s="535" t="str">
        <f t="shared" si="694"/>
        <v/>
      </c>
      <c r="AC1717" s="537" t="str">
        <f t="shared" si="695"/>
        <v/>
      </c>
      <c r="AD1717" s="538" t="str">
        <f t="shared" ca="1" si="696"/>
        <v/>
      </c>
      <c r="AE1717" s="537">
        <f t="shared" ca="1" si="697"/>
        <v>0</v>
      </c>
      <c r="AF1717" s="539" t="str">
        <f t="shared" ca="1" si="707"/>
        <v/>
      </c>
      <c r="AG1717" s="531" t="str">
        <f t="shared" ca="1" si="708"/>
        <v/>
      </c>
      <c r="AH1717" s="531" t="str">
        <f t="shared" ca="1" si="709"/>
        <v/>
      </c>
      <c r="AI1717" s="531" t="str">
        <f t="shared" ca="1" si="710"/>
        <v/>
      </c>
      <c r="AJ1717" s="531" t="str">
        <f t="shared" si="711"/>
        <v/>
      </c>
      <c r="AK1717" s="540">
        <f>SUMIFS('Live Collections'!$S:$S,'Live Collections'!$D:$D,Disbursements!B1717,'Live Collections'!$G:$G,Disbursements!C1717)</f>
        <v>0</v>
      </c>
      <c r="AL1717" s="540">
        <f>SUMIFS('Live Collections'!$T:$T,'Live Collections'!$D:$D,Disbursements!B1717,'Live Collections'!$G:$G,Disbursements!C1717)</f>
        <v>0</v>
      </c>
      <c r="AM1717" s="541">
        <f t="shared" si="712"/>
        <v>0</v>
      </c>
      <c r="AN1717" s="542" t="str">
        <f t="shared" si="713"/>
        <v/>
      </c>
      <c r="AO1717" s="542" t="str">
        <f t="shared" si="714"/>
        <v/>
      </c>
      <c r="AP1717" s="543" t="str">
        <f t="shared" si="715"/>
        <v/>
      </c>
      <c r="AQ1717" s="544" t="str">
        <f t="shared" si="716"/>
        <v/>
      </c>
      <c r="AR1717" s="545">
        <f t="shared" si="717"/>
        <v>0</v>
      </c>
      <c r="AS1717" s="545">
        <f>IFERROR(CEILING($AR1717*VLOOKUP($I1717,Ref!$B$23:$E$29,4,0),1),0)</f>
        <v>0</v>
      </c>
      <c r="AT1717" s="545" t="str">
        <f>IF(A1717="","",IF(AP1717&lt;=1,"Cleared",IF(AS1717=0,"Clean",VLOOKUP($AS1717,Ref!$G$23:$H$28,2))))</f>
        <v/>
      </c>
      <c r="AU1717" s="546" t="str">
        <f t="shared" si="718"/>
        <v/>
      </c>
    </row>
    <row r="1718" spans="1:47" ht="14.25" hidden="1" customHeight="1" x14ac:dyDescent="0.15">
      <c r="A1718" s="575"/>
      <c r="B1718" s="548"/>
      <c r="C1718" s="548"/>
      <c r="D1718" s="548"/>
      <c r="E1718" s="583"/>
      <c r="F1718" s="584"/>
      <c r="G1718" s="548"/>
      <c r="H1718" s="550"/>
      <c r="I1718" s="560"/>
      <c r="J1718" s="548"/>
      <c r="K1718" s="528" t="str">
        <f>IFERROR(VLOOKUP($B1718,'Clients-Live'!$A:$C,3,0),"")</f>
        <v/>
      </c>
      <c r="L1718" s="528">
        <f>IF(E1718="STL",Pricing!$D$38,IF(A1718="",0,IF(A1718&lt;Pricing!$C$25,Pricing!$D$25,VLOOKUP(Disbursements!$F1718,Pricing!$B$29:$D$32,3))))</f>
        <v>0</v>
      </c>
      <c r="M1718" s="528">
        <f>IF(E1718="STL",0,IF(F1718&gt;0,Pricing!$D$21,0))</f>
        <v>0</v>
      </c>
      <c r="N1718" s="529">
        <f>IF(E1718="STL",F1718*Pricing!$D$40,IF(A1718&lt;=Pricing!$C$4,0,IF(AND(A1718&gt;Pricing!$C$4,Disbursements!A1718&lt;=Pricing!$C$5),F1718*Pricing!$E$5,IF(AND(A1718&gt;Pricing!$C$5,Disbursements!A1718&lt;=Pricing!$C$7),VLOOKUP(F1718,Pricing!$D$7:$E$8,2)*Disbursements!F1718,F1718*Pricing!$E$9))))</f>
        <v>0</v>
      </c>
      <c r="O1718" s="528">
        <f>IF(E1718="STL",0,IF($F1718&gt;0,$F1718*Pricing!$D$17,0))</f>
        <v>0</v>
      </c>
      <c r="P1718" s="530" t="str">
        <f t="shared" si="698"/>
        <v/>
      </c>
      <c r="Q1718" s="531" t="str">
        <f>IF($A1718="","",$G1718/VLOOKUP($I1718,Ref!$B$23:$D$29,2,0))</f>
        <v/>
      </c>
      <c r="R1718" s="530" t="str">
        <f t="shared" si="699"/>
        <v/>
      </c>
      <c r="S1718" s="532" t="str">
        <f t="shared" si="693"/>
        <v/>
      </c>
      <c r="T1718" s="531" t="str">
        <f t="shared" si="700"/>
        <v/>
      </c>
      <c r="U1718" s="533">
        <f t="shared" si="701"/>
        <v>0</v>
      </c>
      <c r="V1718" s="531" t="str">
        <f t="shared" si="702"/>
        <v/>
      </c>
      <c r="W1718" s="531" t="str">
        <f t="shared" si="703"/>
        <v/>
      </c>
      <c r="X1718" s="534" t="str">
        <f t="shared" si="704"/>
        <v/>
      </c>
      <c r="Y1718" s="535" t="str">
        <f>IF($A1718="","",IF($I1718="weekly",$A1718+7,EDATE($A1718,VLOOKUP($I1718,Ref!$B$24:$C$29,2,0))))</f>
        <v/>
      </c>
      <c r="Z1718" s="536" t="str">
        <f t="shared" si="705"/>
        <v/>
      </c>
      <c r="AA1718" s="531">
        <f t="shared" si="706"/>
        <v>0</v>
      </c>
      <c r="AB1718" s="535" t="str">
        <f t="shared" si="694"/>
        <v/>
      </c>
      <c r="AC1718" s="537" t="str">
        <f t="shared" si="695"/>
        <v/>
      </c>
      <c r="AD1718" s="538" t="str">
        <f t="shared" ca="1" si="696"/>
        <v/>
      </c>
      <c r="AE1718" s="537">
        <f t="shared" ca="1" si="697"/>
        <v>0</v>
      </c>
      <c r="AF1718" s="539" t="str">
        <f t="shared" ca="1" si="707"/>
        <v/>
      </c>
      <c r="AG1718" s="531" t="str">
        <f t="shared" ca="1" si="708"/>
        <v/>
      </c>
      <c r="AH1718" s="531" t="str">
        <f t="shared" ca="1" si="709"/>
        <v/>
      </c>
      <c r="AI1718" s="531" t="str">
        <f t="shared" ca="1" si="710"/>
        <v/>
      </c>
      <c r="AJ1718" s="531" t="str">
        <f t="shared" si="711"/>
        <v/>
      </c>
      <c r="AK1718" s="540">
        <f>SUMIFS('Live Collections'!$S:$S,'Live Collections'!$D:$D,Disbursements!B1718,'Live Collections'!$G:$G,Disbursements!C1718)</f>
        <v>0</v>
      </c>
      <c r="AL1718" s="540">
        <f>SUMIFS('Live Collections'!$T:$T,'Live Collections'!$D:$D,Disbursements!B1718,'Live Collections'!$G:$G,Disbursements!C1718)</f>
        <v>0</v>
      </c>
      <c r="AM1718" s="541">
        <f t="shared" si="712"/>
        <v>0</v>
      </c>
      <c r="AN1718" s="542" t="str">
        <f t="shared" si="713"/>
        <v/>
      </c>
      <c r="AO1718" s="542" t="str">
        <f t="shared" si="714"/>
        <v/>
      </c>
      <c r="AP1718" s="543" t="str">
        <f t="shared" si="715"/>
        <v/>
      </c>
      <c r="AQ1718" s="544" t="str">
        <f t="shared" si="716"/>
        <v/>
      </c>
      <c r="AR1718" s="545">
        <f t="shared" si="717"/>
        <v>0</v>
      </c>
      <c r="AS1718" s="545">
        <f>IFERROR(CEILING($AR1718*VLOOKUP($I1718,Ref!$B$23:$E$29,4,0),1),0)</f>
        <v>0</v>
      </c>
      <c r="AT1718" s="545" t="str">
        <f>IF(A1718="","",IF(AP1718&lt;=1,"Cleared",IF(AS1718=0,"Clean",VLOOKUP($AS1718,Ref!$G$23:$H$28,2))))</f>
        <v/>
      </c>
      <c r="AU1718" s="546" t="str">
        <f t="shared" si="718"/>
        <v/>
      </c>
    </row>
    <row r="1719" spans="1:47" ht="14.25" hidden="1" customHeight="1" x14ac:dyDescent="0.15">
      <c r="A1719" s="575"/>
      <c r="B1719" s="548"/>
      <c r="C1719" s="548"/>
      <c r="D1719" s="548"/>
      <c r="E1719" s="583"/>
      <c r="F1719" s="584"/>
      <c r="G1719" s="548"/>
      <c r="H1719" s="550"/>
      <c r="I1719" s="560"/>
      <c r="J1719" s="548"/>
      <c r="K1719" s="528" t="str">
        <f>IFERROR(VLOOKUP($B1719,'Clients-Live'!$A:$C,3,0),"")</f>
        <v/>
      </c>
      <c r="L1719" s="528">
        <f>IF(E1719="STL",Pricing!$D$38,IF(A1719="",0,IF(A1719&lt;Pricing!$C$25,Pricing!$D$25,VLOOKUP(Disbursements!$F1719,Pricing!$B$29:$D$32,3))))</f>
        <v>0</v>
      </c>
      <c r="M1719" s="528">
        <f>IF(E1719="STL",0,IF(F1719&gt;0,Pricing!$D$21,0))</f>
        <v>0</v>
      </c>
      <c r="N1719" s="529">
        <f>IF(E1719="STL",F1719*Pricing!$D$40,IF(A1719&lt;=Pricing!$C$4,0,IF(AND(A1719&gt;Pricing!$C$4,Disbursements!A1719&lt;=Pricing!$C$5),F1719*Pricing!$E$5,IF(AND(A1719&gt;Pricing!$C$5,Disbursements!A1719&lt;=Pricing!$C$7),VLOOKUP(F1719,Pricing!$D$7:$E$8,2)*Disbursements!F1719,F1719*Pricing!$E$9))))</f>
        <v>0</v>
      </c>
      <c r="O1719" s="528">
        <f>IF(E1719="STL",0,IF($F1719&gt;0,$F1719*Pricing!$D$17,0))</f>
        <v>0</v>
      </c>
      <c r="P1719" s="530" t="str">
        <f t="shared" si="698"/>
        <v/>
      </c>
      <c r="Q1719" s="531" t="str">
        <f>IF($A1719="","",$G1719/VLOOKUP($I1719,Ref!$B$23:$D$29,2,0))</f>
        <v/>
      </c>
      <c r="R1719" s="530" t="str">
        <f t="shared" si="699"/>
        <v/>
      </c>
      <c r="S1719" s="532" t="str">
        <f t="shared" si="693"/>
        <v/>
      </c>
      <c r="T1719" s="531" t="str">
        <f t="shared" si="700"/>
        <v/>
      </c>
      <c r="U1719" s="533">
        <f t="shared" si="701"/>
        <v>0</v>
      </c>
      <c r="V1719" s="531" t="str">
        <f t="shared" si="702"/>
        <v/>
      </c>
      <c r="W1719" s="531" t="str">
        <f t="shared" si="703"/>
        <v/>
      </c>
      <c r="X1719" s="534" t="str">
        <f t="shared" si="704"/>
        <v/>
      </c>
      <c r="Y1719" s="535" t="str">
        <f>IF($A1719="","",IF($I1719="weekly",$A1719+7,EDATE($A1719,VLOOKUP($I1719,Ref!$B$24:$C$29,2,0))))</f>
        <v/>
      </c>
      <c r="Z1719" s="536" t="str">
        <f t="shared" si="705"/>
        <v/>
      </c>
      <c r="AA1719" s="531">
        <f t="shared" si="706"/>
        <v>0</v>
      </c>
      <c r="AB1719" s="535" t="str">
        <f t="shared" si="694"/>
        <v/>
      </c>
      <c r="AC1719" s="537" t="str">
        <f t="shared" si="695"/>
        <v/>
      </c>
      <c r="AD1719" s="538" t="str">
        <f t="shared" ca="1" si="696"/>
        <v/>
      </c>
      <c r="AE1719" s="537">
        <f t="shared" ca="1" si="697"/>
        <v>0</v>
      </c>
      <c r="AF1719" s="539" t="str">
        <f t="shared" ca="1" si="707"/>
        <v/>
      </c>
      <c r="AG1719" s="531" t="str">
        <f t="shared" ca="1" si="708"/>
        <v/>
      </c>
      <c r="AH1719" s="531" t="str">
        <f t="shared" ca="1" si="709"/>
        <v/>
      </c>
      <c r="AI1719" s="531" t="str">
        <f t="shared" ca="1" si="710"/>
        <v/>
      </c>
      <c r="AJ1719" s="531" t="str">
        <f t="shared" si="711"/>
        <v/>
      </c>
      <c r="AK1719" s="540">
        <f>SUMIFS('Live Collections'!$S:$S,'Live Collections'!$D:$D,Disbursements!B1719,'Live Collections'!$G:$G,Disbursements!C1719)</f>
        <v>0</v>
      </c>
      <c r="AL1719" s="540">
        <f>SUMIFS('Live Collections'!$T:$T,'Live Collections'!$D:$D,Disbursements!B1719,'Live Collections'!$G:$G,Disbursements!C1719)</f>
        <v>0</v>
      </c>
      <c r="AM1719" s="541">
        <f t="shared" si="712"/>
        <v>0</v>
      </c>
      <c r="AN1719" s="542" t="str">
        <f t="shared" si="713"/>
        <v/>
      </c>
      <c r="AO1719" s="542" t="str">
        <f t="shared" si="714"/>
        <v/>
      </c>
      <c r="AP1719" s="543" t="str">
        <f t="shared" si="715"/>
        <v/>
      </c>
      <c r="AQ1719" s="544" t="str">
        <f t="shared" si="716"/>
        <v/>
      </c>
      <c r="AR1719" s="545">
        <f t="shared" si="717"/>
        <v>0</v>
      </c>
      <c r="AS1719" s="545">
        <f>IFERROR(CEILING($AR1719*VLOOKUP($I1719,Ref!$B$23:$E$29,4,0),1),0)</f>
        <v>0</v>
      </c>
      <c r="AT1719" s="545" t="str">
        <f>IF(A1719="","",IF(AP1719&lt;=1,"Cleared",IF(AS1719=0,"Clean",VLOOKUP($AS1719,Ref!$G$23:$H$28,2))))</f>
        <v/>
      </c>
      <c r="AU1719" s="546" t="str">
        <f t="shared" si="718"/>
        <v/>
      </c>
    </row>
    <row r="1720" spans="1:47" ht="14.25" hidden="1" customHeight="1" x14ac:dyDescent="0.15">
      <c r="A1720" s="575"/>
      <c r="B1720" s="548"/>
      <c r="C1720" s="548"/>
      <c r="D1720" s="548"/>
      <c r="E1720" s="583"/>
      <c r="F1720" s="584"/>
      <c r="G1720" s="548"/>
      <c r="H1720" s="550"/>
      <c r="I1720" s="560"/>
      <c r="J1720" s="548"/>
      <c r="K1720" s="528" t="str">
        <f>IFERROR(VLOOKUP($B1720,'Clients-Live'!$A:$C,3,0),"")</f>
        <v/>
      </c>
      <c r="L1720" s="528">
        <f>IF(E1720="STL",Pricing!$D$38,IF(A1720="",0,IF(A1720&lt;Pricing!$C$25,Pricing!$D$25,VLOOKUP(Disbursements!$F1720,Pricing!$B$29:$D$32,3))))</f>
        <v>0</v>
      </c>
      <c r="M1720" s="528">
        <f>IF(E1720="STL",0,IF(F1720&gt;0,Pricing!$D$21,0))</f>
        <v>0</v>
      </c>
      <c r="N1720" s="529">
        <f>IF(E1720="STL",F1720*Pricing!$D$40,IF(A1720&lt;=Pricing!$C$4,0,IF(AND(A1720&gt;Pricing!$C$4,Disbursements!A1720&lt;=Pricing!$C$5),F1720*Pricing!$E$5,IF(AND(A1720&gt;Pricing!$C$5,Disbursements!A1720&lt;=Pricing!$C$7),VLOOKUP(F1720,Pricing!$D$7:$E$8,2)*Disbursements!F1720,F1720*Pricing!$E$9))))</f>
        <v>0</v>
      </c>
      <c r="O1720" s="528">
        <f>IF(E1720="STL",0,IF($F1720&gt;0,$F1720*Pricing!$D$17,0))</f>
        <v>0</v>
      </c>
      <c r="P1720" s="530" t="str">
        <f t="shared" si="698"/>
        <v/>
      </c>
      <c r="Q1720" s="531" t="str">
        <f>IF($A1720="","",$G1720/VLOOKUP($I1720,Ref!$B$23:$D$29,2,0))</f>
        <v/>
      </c>
      <c r="R1720" s="530" t="str">
        <f t="shared" si="699"/>
        <v/>
      </c>
      <c r="S1720" s="532" t="str">
        <f t="shared" si="693"/>
        <v/>
      </c>
      <c r="T1720" s="531" t="str">
        <f t="shared" si="700"/>
        <v/>
      </c>
      <c r="U1720" s="533">
        <f t="shared" si="701"/>
        <v>0</v>
      </c>
      <c r="V1720" s="531" t="str">
        <f t="shared" si="702"/>
        <v/>
      </c>
      <c r="W1720" s="531" t="str">
        <f t="shared" si="703"/>
        <v/>
      </c>
      <c r="X1720" s="534" t="str">
        <f t="shared" si="704"/>
        <v/>
      </c>
      <c r="Y1720" s="535" t="str">
        <f>IF($A1720="","",IF($I1720="weekly",$A1720+7,EDATE($A1720,VLOOKUP($I1720,Ref!$B$24:$C$29,2,0))))</f>
        <v/>
      </c>
      <c r="Z1720" s="536" t="str">
        <f t="shared" si="705"/>
        <v/>
      </c>
      <c r="AA1720" s="531">
        <f t="shared" si="706"/>
        <v>0</v>
      </c>
      <c r="AB1720" s="535" t="str">
        <f t="shared" si="694"/>
        <v/>
      </c>
      <c r="AC1720" s="537" t="str">
        <f t="shared" si="695"/>
        <v/>
      </c>
      <c r="AD1720" s="538" t="str">
        <f t="shared" ca="1" si="696"/>
        <v/>
      </c>
      <c r="AE1720" s="537">
        <f t="shared" ca="1" si="697"/>
        <v>0</v>
      </c>
      <c r="AF1720" s="539" t="str">
        <f t="shared" ca="1" si="707"/>
        <v/>
      </c>
      <c r="AG1720" s="531" t="str">
        <f t="shared" ca="1" si="708"/>
        <v/>
      </c>
      <c r="AH1720" s="531" t="str">
        <f t="shared" ca="1" si="709"/>
        <v/>
      </c>
      <c r="AI1720" s="531" t="str">
        <f t="shared" ca="1" si="710"/>
        <v/>
      </c>
      <c r="AJ1720" s="531" t="str">
        <f t="shared" si="711"/>
        <v/>
      </c>
      <c r="AK1720" s="540">
        <f>SUMIFS('Live Collections'!$S:$S,'Live Collections'!$D:$D,Disbursements!B1720,'Live Collections'!$G:$G,Disbursements!C1720)</f>
        <v>0</v>
      </c>
      <c r="AL1720" s="540">
        <f>SUMIFS('Live Collections'!$T:$T,'Live Collections'!$D:$D,Disbursements!B1720,'Live Collections'!$G:$G,Disbursements!C1720)</f>
        <v>0</v>
      </c>
      <c r="AM1720" s="541">
        <f t="shared" si="712"/>
        <v>0</v>
      </c>
      <c r="AN1720" s="542" t="str">
        <f t="shared" si="713"/>
        <v/>
      </c>
      <c r="AO1720" s="542" t="str">
        <f t="shared" si="714"/>
        <v/>
      </c>
      <c r="AP1720" s="543" t="str">
        <f t="shared" si="715"/>
        <v/>
      </c>
      <c r="AQ1720" s="544" t="str">
        <f t="shared" si="716"/>
        <v/>
      </c>
      <c r="AR1720" s="545">
        <f t="shared" si="717"/>
        <v>0</v>
      </c>
      <c r="AS1720" s="545">
        <f>IFERROR(CEILING($AR1720*VLOOKUP($I1720,Ref!$B$23:$E$29,4,0),1),0)</f>
        <v>0</v>
      </c>
      <c r="AT1720" s="545" t="str">
        <f>IF(A1720="","",IF(AP1720&lt;=1,"Cleared",IF(AS1720=0,"Clean",VLOOKUP($AS1720,Ref!$G$23:$H$28,2))))</f>
        <v/>
      </c>
      <c r="AU1720" s="546" t="str">
        <f t="shared" si="718"/>
        <v/>
      </c>
    </row>
    <row r="1721" spans="1:47" ht="14.25" hidden="1" customHeight="1" x14ac:dyDescent="0.15">
      <c r="A1721" s="575"/>
      <c r="B1721" s="548"/>
      <c r="C1721" s="548"/>
      <c r="D1721" s="548"/>
      <c r="E1721" s="583"/>
      <c r="F1721" s="584"/>
      <c r="G1721" s="548"/>
      <c r="H1721" s="550"/>
      <c r="I1721" s="560"/>
      <c r="J1721" s="548"/>
      <c r="K1721" s="528" t="str">
        <f>IFERROR(VLOOKUP($B1721,'Clients-Live'!$A:$C,3,0),"")</f>
        <v/>
      </c>
      <c r="L1721" s="528">
        <f>IF(E1721="STL",Pricing!$D$38,IF(A1721="",0,IF(A1721&lt;Pricing!$C$25,Pricing!$D$25,VLOOKUP(Disbursements!$F1721,Pricing!$B$29:$D$32,3))))</f>
        <v>0</v>
      </c>
      <c r="M1721" s="528">
        <f>IF(E1721="STL",0,IF(F1721&gt;0,Pricing!$D$21,0))</f>
        <v>0</v>
      </c>
      <c r="N1721" s="529">
        <f>IF(E1721="STL",F1721*Pricing!$D$40,IF(A1721&lt;=Pricing!$C$4,0,IF(AND(A1721&gt;Pricing!$C$4,Disbursements!A1721&lt;=Pricing!$C$5),F1721*Pricing!$E$5,IF(AND(A1721&gt;Pricing!$C$5,Disbursements!A1721&lt;=Pricing!$C$7),VLOOKUP(F1721,Pricing!$D$7:$E$8,2)*Disbursements!F1721,F1721*Pricing!$E$9))))</f>
        <v>0</v>
      </c>
      <c r="O1721" s="528">
        <f>IF(E1721="STL",0,IF($F1721&gt;0,$F1721*Pricing!$D$17,0))</f>
        <v>0</v>
      </c>
      <c r="P1721" s="530" t="str">
        <f t="shared" si="698"/>
        <v/>
      </c>
      <c r="Q1721" s="531" t="str">
        <f>IF($A1721="","",$G1721/VLOOKUP($I1721,Ref!$B$23:$D$29,2,0))</f>
        <v/>
      </c>
      <c r="R1721" s="530" t="str">
        <f t="shared" si="699"/>
        <v/>
      </c>
      <c r="S1721" s="532" t="str">
        <f t="shared" si="693"/>
        <v/>
      </c>
      <c r="T1721" s="531" t="str">
        <f t="shared" si="700"/>
        <v/>
      </c>
      <c r="U1721" s="533">
        <f t="shared" si="701"/>
        <v>0</v>
      </c>
      <c r="V1721" s="531" t="str">
        <f t="shared" si="702"/>
        <v/>
      </c>
      <c r="W1721" s="531" t="str">
        <f t="shared" si="703"/>
        <v/>
      </c>
      <c r="X1721" s="534" t="str">
        <f t="shared" si="704"/>
        <v/>
      </c>
      <c r="Y1721" s="535" t="str">
        <f>IF($A1721="","",IF($I1721="weekly",$A1721+7,EDATE($A1721,VLOOKUP($I1721,Ref!$B$24:$C$29,2,0))))</f>
        <v/>
      </c>
      <c r="Z1721" s="536" t="str">
        <f t="shared" si="705"/>
        <v/>
      </c>
      <c r="AA1721" s="531">
        <f t="shared" si="706"/>
        <v>0</v>
      </c>
      <c r="AB1721" s="535" t="str">
        <f t="shared" si="694"/>
        <v/>
      </c>
      <c r="AC1721" s="537" t="str">
        <f t="shared" si="695"/>
        <v/>
      </c>
      <c r="AD1721" s="538" t="str">
        <f t="shared" ca="1" si="696"/>
        <v/>
      </c>
      <c r="AE1721" s="537">
        <f t="shared" ca="1" si="697"/>
        <v>0</v>
      </c>
      <c r="AF1721" s="539" t="str">
        <f t="shared" ca="1" si="707"/>
        <v/>
      </c>
      <c r="AG1721" s="531" t="str">
        <f t="shared" ca="1" si="708"/>
        <v/>
      </c>
      <c r="AH1721" s="531" t="str">
        <f t="shared" ca="1" si="709"/>
        <v/>
      </c>
      <c r="AI1721" s="531" t="str">
        <f t="shared" ca="1" si="710"/>
        <v/>
      </c>
      <c r="AJ1721" s="531" t="str">
        <f t="shared" si="711"/>
        <v/>
      </c>
      <c r="AK1721" s="540">
        <f>SUMIFS('Live Collections'!$S:$S,'Live Collections'!$D:$D,Disbursements!B1721,'Live Collections'!$G:$G,Disbursements!C1721)</f>
        <v>0</v>
      </c>
      <c r="AL1721" s="540">
        <f>SUMIFS('Live Collections'!$T:$T,'Live Collections'!$D:$D,Disbursements!B1721,'Live Collections'!$G:$G,Disbursements!C1721)</f>
        <v>0</v>
      </c>
      <c r="AM1721" s="541">
        <f t="shared" si="712"/>
        <v>0</v>
      </c>
      <c r="AN1721" s="542" t="str">
        <f t="shared" si="713"/>
        <v/>
      </c>
      <c r="AO1721" s="542" t="str">
        <f t="shared" si="714"/>
        <v/>
      </c>
      <c r="AP1721" s="543" t="str">
        <f t="shared" si="715"/>
        <v/>
      </c>
      <c r="AQ1721" s="544" t="str">
        <f t="shared" si="716"/>
        <v/>
      </c>
      <c r="AR1721" s="545">
        <f t="shared" si="717"/>
        <v>0</v>
      </c>
      <c r="AS1721" s="545">
        <f>IFERROR(CEILING($AR1721*VLOOKUP($I1721,Ref!$B$23:$E$29,4,0),1),0)</f>
        <v>0</v>
      </c>
      <c r="AT1721" s="545" t="str">
        <f>IF(A1721="","",IF(AP1721&lt;=1,"Cleared",IF(AS1721=0,"Clean",VLOOKUP($AS1721,Ref!$G$23:$H$28,2))))</f>
        <v/>
      </c>
      <c r="AU1721" s="546" t="str">
        <f t="shared" si="718"/>
        <v/>
      </c>
    </row>
    <row r="1722" spans="1:47" ht="14.25" hidden="1" customHeight="1" x14ac:dyDescent="0.15">
      <c r="A1722" s="575"/>
      <c r="B1722" s="548"/>
      <c r="C1722" s="548"/>
      <c r="D1722" s="548"/>
      <c r="E1722" s="583"/>
      <c r="F1722" s="584"/>
      <c r="G1722" s="548"/>
      <c r="H1722" s="550"/>
      <c r="I1722" s="560"/>
      <c r="J1722" s="548"/>
      <c r="K1722" s="528" t="str">
        <f>IFERROR(VLOOKUP($B1722,'Clients-Live'!$A:$C,3,0),"")</f>
        <v/>
      </c>
      <c r="L1722" s="528">
        <f>IF(E1722="STL",Pricing!$D$38,IF(A1722="",0,IF(A1722&lt;Pricing!$C$25,Pricing!$D$25,VLOOKUP(Disbursements!$F1722,Pricing!$B$29:$D$32,3))))</f>
        <v>0</v>
      </c>
      <c r="M1722" s="528">
        <f>IF(E1722="STL",0,IF(F1722&gt;0,Pricing!$D$21,0))</f>
        <v>0</v>
      </c>
      <c r="N1722" s="529">
        <f>IF(E1722="STL",F1722*Pricing!$D$40,IF(A1722&lt;=Pricing!$C$4,0,IF(AND(A1722&gt;Pricing!$C$4,Disbursements!A1722&lt;=Pricing!$C$5),F1722*Pricing!$E$5,IF(AND(A1722&gt;Pricing!$C$5,Disbursements!A1722&lt;=Pricing!$C$7),VLOOKUP(F1722,Pricing!$D$7:$E$8,2)*Disbursements!F1722,F1722*Pricing!$E$9))))</f>
        <v>0</v>
      </c>
      <c r="O1722" s="528">
        <f>IF(E1722="STL",0,IF($F1722&gt;0,$F1722*Pricing!$D$17,0))</f>
        <v>0</v>
      </c>
      <c r="P1722" s="530" t="str">
        <f t="shared" si="698"/>
        <v/>
      </c>
      <c r="Q1722" s="531" t="str">
        <f>IF($A1722="","",$G1722/VLOOKUP($I1722,Ref!$B$23:$D$29,2,0))</f>
        <v/>
      </c>
      <c r="R1722" s="530" t="str">
        <f t="shared" si="699"/>
        <v/>
      </c>
      <c r="S1722" s="532" t="str">
        <f t="shared" si="693"/>
        <v/>
      </c>
      <c r="T1722" s="531" t="str">
        <f t="shared" si="700"/>
        <v/>
      </c>
      <c r="U1722" s="533">
        <f t="shared" si="701"/>
        <v>0</v>
      </c>
      <c r="V1722" s="531" t="str">
        <f t="shared" si="702"/>
        <v/>
      </c>
      <c r="W1722" s="531" t="str">
        <f t="shared" si="703"/>
        <v/>
      </c>
      <c r="X1722" s="534" t="str">
        <f t="shared" si="704"/>
        <v/>
      </c>
      <c r="Y1722" s="535" t="str">
        <f>IF($A1722="","",IF($I1722="weekly",$A1722+7,EDATE($A1722,VLOOKUP($I1722,Ref!$B$24:$C$29,2,0))))</f>
        <v/>
      </c>
      <c r="Z1722" s="536" t="str">
        <f t="shared" si="705"/>
        <v/>
      </c>
      <c r="AA1722" s="531">
        <f t="shared" si="706"/>
        <v>0</v>
      </c>
      <c r="AB1722" s="535" t="str">
        <f t="shared" si="694"/>
        <v/>
      </c>
      <c r="AC1722" s="537" t="str">
        <f t="shared" si="695"/>
        <v/>
      </c>
      <c r="AD1722" s="538" t="str">
        <f t="shared" ca="1" si="696"/>
        <v/>
      </c>
      <c r="AE1722" s="537">
        <f t="shared" ca="1" si="697"/>
        <v>0</v>
      </c>
      <c r="AF1722" s="539" t="str">
        <f t="shared" ca="1" si="707"/>
        <v/>
      </c>
      <c r="AG1722" s="531" t="str">
        <f t="shared" ca="1" si="708"/>
        <v/>
      </c>
      <c r="AH1722" s="531" t="str">
        <f t="shared" ca="1" si="709"/>
        <v/>
      </c>
      <c r="AI1722" s="531" t="str">
        <f t="shared" ca="1" si="710"/>
        <v/>
      </c>
      <c r="AJ1722" s="531" t="str">
        <f t="shared" si="711"/>
        <v/>
      </c>
      <c r="AK1722" s="540">
        <f>SUMIFS('Live Collections'!$S:$S,'Live Collections'!$D:$D,Disbursements!B1722,'Live Collections'!$G:$G,Disbursements!C1722)</f>
        <v>0</v>
      </c>
      <c r="AL1722" s="540">
        <f>SUMIFS('Live Collections'!$T:$T,'Live Collections'!$D:$D,Disbursements!B1722,'Live Collections'!$G:$G,Disbursements!C1722)</f>
        <v>0</v>
      </c>
      <c r="AM1722" s="541">
        <f t="shared" si="712"/>
        <v>0</v>
      </c>
      <c r="AN1722" s="542" t="str">
        <f t="shared" si="713"/>
        <v/>
      </c>
      <c r="AO1722" s="542" t="str">
        <f t="shared" si="714"/>
        <v/>
      </c>
      <c r="AP1722" s="543" t="str">
        <f t="shared" si="715"/>
        <v/>
      </c>
      <c r="AQ1722" s="544" t="str">
        <f t="shared" si="716"/>
        <v/>
      </c>
      <c r="AR1722" s="545">
        <f t="shared" si="717"/>
        <v>0</v>
      </c>
      <c r="AS1722" s="545">
        <f>IFERROR(CEILING($AR1722*VLOOKUP($I1722,Ref!$B$23:$E$29,4,0),1),0)</f>
        <v>0</v>
      </c>
      <c r="AT1722" s="545" t="str">
        <f>IF(A1722="","",IF(AP1722&lt;=1,"Cleared",IF(AS1722=0,"Clean",VLOOKUP($AS1722,Ref!$G$23:$H$28,2))))</f>
        <v/>
      </c>
      <c r="AU1722" s="546" t="str">
        <f t="shared" si="718"/>
        <v/>
      </c>
    </row>
    <row r="1723" spans="1:47" ht="14.25" hidden="1" customHeight="1" x14ac:dyDescent="0.15">
      <c r="A1723" s="575"/>
      <c r="B1723" s="548"/>
      <c r="C1723" s="548"/>
      <c r="D1723" s="548"/>
      <c r="E1723" s="583"/>
      <c r="F1723" s="584"/>
      <c r="G1723" s="548"/>
      <c r="H1723" s="550"/>
      <c r="I1723" s="560"/>
      <c r="J1723" s="548"/>
      <c r="K1723" s="528" t="str">
        <f>IFERROR(VLOOKUP($B1723,'Clients-Live'!$A:$C,3,0),"")</f>
        <v/>
      </c>
      <c r="L1723" s="528">
        <f>IF(E1723="STL",Pricing!$D$38,IF(A1723="",0,IF(A1723&lt;Pricing!$C$25,Pricing!$D$25,VLOOKUP(Disbursements!$F1723,Pricing!$B$29:$D$32,3))))</f>
        <v>0</v>
      </c>
      <c r="M1723" s="528">
        <f>IF(E1723="STL",0,IF(F1723&gt;0,Pricing!$D$21,0))</f>
        <v>0</v>
      </c>
      <c r="N1723" s="529">
        <f>IF(E1723="STL",F1723*Pricing!$D$40,IF(A1723&lt;=Pricing!$C$4,0,IF(AND(A1723&gt;Pricing!$C$4,Disbursements!A1723&lt;=Pricing!$C$5),F1723*Pricing!$E$5,IF(AND(A1723&gt;Pricing!$C$5,Disbursements!A1723&lt;=Pricing!$C$7),VLOOKUP(F1723,Pricing!$D$7:$E$8,2)*Disbursements!F1723,F1723*Pricing!$E$9))))</f>
        <v>0</v>
      </c>
      <c r="O1723" s="528">
        <f>IF(E1723="STL",0,IF($F1723&gt;0,$F1723*Pricing!$D$17,0))</f>
        <v>0</v>
      </c>
      <c r="P1723" s="530" t="str">
        <f t="shared" si="698"/>
        <v/>
      </c>
      <c r="Q1723" s="531" t="str">
        <f>IF($A1723="","",$G1723/VLOOKUP($I1723,Ref!$B$23:$D$29,2,0))</f>
        <v/>
      </c>
      <c r="R1723" s="530" t="str">
        <f t="shared" si="699"/>
        <v/>
      </c>
      <c r="S1723" s="532" t="str">
        <f t="shared" si="693"/>
        <v/>
      </c>
      <c r="T1723" s="531" t="str">
        <f t="shared" si="700"/>
        <v/>
      </c>
      <c r="U1723" s="533">
        <f t="shared" si="701"/>
        <v>0</v>
      </c>
      <c r="V1723" s="531" t="str">
        <f t="shared" si="702"/>
        <v/>
      </c>
      <c r="W1723" s="531" t="str">
        <f t="shared" si="703"/>
        <v/>
      </c>
      <c r="X1723" s="534" t="str">
        <f t="shared" si="704"/>
        <v/>
      </c>
      <c r="Y1723" s="535" t="str">
        <f>IF($A1723="","",IF($I1723="weekly",$A1723+7,EDATE($A1723,VLOOKUP($I1723,Ref!$B$24:$C$29,2,0))))</f>
        <v/>
      </c>
      <c r="Z1723" s="536" t="str">
        <f t="shared" si="705"/>
        <v/>
      </c>
      <c r="AA1723" s="531">
        <f t="shared" si="706"/>
        <v>0</v>
      </c>
      <c r="AB1723" s="535" t="str">
        <f t="shared" si="694"/>
        <v/>
      </c>
      <c r="AC1723" s="537" t="str">
        <f t="shared" si="695"/>
        <v/>
      </c>
      <c r="AD1723" s="538" t="str">
        <f t="shared" ca="1" si="696"/>
        <v/>
      </c>
      <c r="AE1723" s="537">
        <f t="shared" ca="1" si="697"/>
        <v>0</v>
      </c>
      <c r="AF1723" s="539" t="str">
        <f t="shared" ca="1" si="707"/>
        <v/>
      </c>
      <c r="AG1723" s="531" t="str">
        <f t="shared" ca="1" si="708"/>
        <v/>
      </c>
      <c r="AH1723" s="531" t="str">
        <f t="shared" ca="1" si="709"/>
        <v/>
      </c>
      <c r="AI1723" s="531" t="str">
        <f t="shared" ca="1" si="710"/>
        <v/>
      </c>
      <c r="AJ1723" s="531" t="str">
        <f t="shared" si="711"/>
        <v/>
      </c>
      <c r="AK1723" s="540">
        <f>SUMIFS('Live Collections'!$S:$S,'Live Collections'!$D:$D,Disbursements!B1723,'Live Collections'!$G:$G,Disbursements!C1723)</f>
        <v>0</v>
      </c>
      <c r="AL1723" s="540">
        <f>SUMIFS('Live Collections'!$T:$T,'Live Collections'!$D:$D,Disbursements!B1723,'Live Collections'!$G:$G,Disbursements!C1723)</f>
        <v>0</v>
      </c>
      <c r="AM1723" s="541">
        <f t="shared" si="712"/>
        <v>0</v>
      </c>
      <c r="AN1723" s="542" t="str">
        <f t="shared" si="713"/>
        <v/>
      </c>
      <c r="AO1723" s="542" t="str">
        <f t="shared" si="714"/>
        <v/>
      </c>
      <c r="AP1723" s="543" t="str">
        <f t="shared" si="715"/>
        <v/>
      </c>
      <c r="AQ1723" s="544" t="str">
        <f t="shared" si="716"/>
        <v/>
      </c>
      <c r="AR1723" s="545">
        <f t="shared" si="717"/>
        <v>0</v>
      </c>
      <c r="AS1723" s="545">
        <f>IFERROR(CEILING($AR1723*VLOOKUP($I1723,Ref!$B$23:$E$29,4,0),1),0)</f>
        <v>0</v>
      </c>
      <c r="AT1723" s="545" t="str">
        <f>IF(A1723="","",IF(AP1723&lt;=1,"Cleared",IF(AS1723=0,"Clean",VLOOKUP($AS1723,Ref!$G$23:$H$28,2))))</f>
        <v/>
      </c>
      <c r="AU1723" s="546" t="str">
        <f t="shared" si="718"/>
        <v/>
      </c>
    </row>
    <row r="1724" spans="1:47" ht="14.25" hidden="1" customHeight="1" x14ac:dyDescent="0.15">
      <c r="A1724" s="575"/>
      <c r="B1724" s="548"/>
      <c r="C1724" s="548"/>
      <c r="D1724" s="548"/>
      <c r="E1724" s="583"/>
      <c r="F1724" s="584"/>
      <c r="G1724" s="548"/>
      <c r="H1724" s="550"/>
      <c r="I1724" s="560"/>
      <c r="J1724" s="548"/>
      <c r="K1724" s="528" t="str">
        <f>IFERROR(VLOOKUP($B1724,'Clients-Live'!$A:$C,3,0),"")</f>
        <v/>
      </c>
      <c r="L1724" s="528">
        <f>IF(E1724="STL",Pricing!$D$38,IF(A1724="",0,IF(A1724&lt;Pricing!$C$25,Pricing!$D$25,VLOOKUP(Disbursements!$F1724,Pricing!$B$29:$D$32,3))))</f>
        <v>0</v>
      </c>
      <c r="M1724" s="528">
        <f>IF(E1724="STL",0,IF(F1724&gt;0,Pricing!$D$21,0))</f>
        <v>0</v>
      </c>
      <c r="N1724" s="529">
        <f>IF(E1724="STL",F1724*Pricing!$D$40,IF(A1724&lt;=Pricing!$C$4,0,IF(AND(A1724&gt;Pricing!$C$4,Disbursements!A1724&lt;=Pricing!$C$5),F1724*Pricing!$E$5,IF(AND(A1724&gt;Pricing!$C$5,Disbursements!A1724&lt;=Pricing!$C$7),VLOOKUP(F1724,Pricing!$D$7:$E$8,2)*Disbursements!F1724,F1724*Pricing!$E$9))))</f>
        <v>0</v>
      </c>
      <c r="O1724" s="528">
        <f>IF(E1724="STL",0,IF($F1724&gt;0,$F1724*Pricing!$D$17,0))</f>
        <v>0</v>
      </c>
      <c r="P1724" s="530" t="str">
        <f t="shared" si="698"/>
        <v/>
      </c>
      <c r="Q1724" s="531" t="str">
        <f>IF($A1724="","",$G1724/VLOOKUP($I1724,Ref!$B$23:$D$29,2,0))</f>
        <v/>
      </c>
      <c r="R1724" s="530" t="str">
        <f t="shared" si="699"/>
        <v/>
      </c>
      <c r="S1724" s="532" t="str">
        <f t="shared" si="693"/>
        <v/>
      </c>
      <c r="T1724" s="531" t="str">
        <f t="shared" si="700"/>
        <v/>
      </c>
      <c r="U1724" s="533">
        <f t="shared" si="701"/>
        <v>0</v>
      </c>
      <c r="V1724" s="531" t="str">
        <f t="shared" si="702"/>
        <v/>
      </c>
      <c r="W1724" s="531" t="str">
        <f t="shared" si="703"/>
        <v/>
      </c>
      <c r="X1724" s="534" t="str">
        <f t="shared" si="704"/>
        <v/>
      </c>
      <c r="Y1724" s="535" t="str">
        <f>IF($A1724="","",IF($I1724="weekly",$A1724+7,EDATE($A1724,VLOOKUP($I1724,Ref!$B$24:$C$29,2,0))))</f>
        <v/>
      </c>
      <c r="Z1724" s="536" t="str">
        <f t="shared" si="705"/>
        <v/>
      </c>
      <c r="AA1724" s="531">
        <f t="shared" si="706"/>
        <v>0</v>
      </c>
      <c r="AB1724" s="535" t="str">
        <f t="shared" si="694"/>
        <v/>
      </c>
      <c r="AC1724" s="537" t="str">
        <f t="shared" si="695"/>
        <v/>
      </c>
      <c r="AD1724" s="538" t="str">
        <f t="shared" ca="1" si="696"/>
        <v/>
      </c>
      <c r="AE1724" s="537">
        <f t="shared" ca="1" si="697"/>
        <v>0</v>
      </c>
      <c r="AF1724" s="539" t="str">
        <f t="shared" ca="1" si="707"/>
        <v/>
      </c>
      <c r="AG1724" s="531" t="str">
        <f t="shared" ca="1" si="708"/>
        <v/>
      </c>
      <c r="AH1724" s="531" t="str">
        <f t="shared" ca="1" si="709"/>
        <v/>
      </c>
      <c r="AI1724" s="531" t="str">
        <f t="shared" ca="1" si="710"/>
        <v/>
      </c>
      <c r="AJ1724" s="531" t="str">
        <f t="shared" si="711"/>
        <v/>
      </c>
      <c r="AK1724" s="540">
        <f>SUMIFS('Live Collections'!$S:$S,'Live Collections'!$D:$D,Disbursements!B1724,'Live Collections'!$G:$G,Disbursements!C1724)</f>
        <v>0</v>
      </c>
      <c r="AL1724" s="540">
        <f>SUMIFS('Live Collections'!$T:$T,'Live Collections'!$D:$D,Disbursements!B1724,'Live Collections'!$G:$G,Disbursements!C1724)</f>
        <v>0</v>
      </c>
      <c r="AM1724" s="541">
        <f t="shared" si="712"/>
        <v>0</v>
      </c>
      <c r="AN1724" s="542" t="str">
        <f t="shared" si="713"/>
        <v/>
      </c>
      <c r="AO1724" s="542" t="str">
        <f t="shared" si="714"/>
        <v/>
      </c>
      <c r="AP1724" s="543" t="str">
        <f t="shared" si="715"/>
        <v/>
      </c>
      <c r="AQ1724" s="544" t="str">
        <f t="shared" si="716"/>
        <v/>
      </c>
      <c r="AR1724" s="545">
        <f t="shared" si="717"/>
        <v>0</v>
      </c>
      <c r="AS1724" s="545">
        <f>IFERROR(CEILING($AR1724*VLOOKUP($I1724,Ref!$B$23:$E$29,4,0),1),0)</f>
        <v>0</v>
      </c>
      <c r="AT1724" s="545" t="str">
        <f>IF(A1724="","",IF(AP1724&lt;=1,"Cleared",IF(AS1724=0,"Clean",VLOOKUP($AS1724,Ref!$G$23:$H$28,2))))</f>
        <v/>
      </c>
      <c r="AU1724" s="546" t="str">
        <f t="shared" si="718"/>
        <v/>
      </c>
    </row>
    <row r="1725" spans="1:47" ht="14.25" hidden="1" customHeight="1" x14ac:dyDescent="0.15">
      <c r="A1725" s="575"/>
      <c r="B1725" s="548"/>
      <c r="C1725" s="548"/>
      <c r="D1725" s="548"/>
      <c r="E1725" s="583"/>
      <c r="F1725" s="584"/>
      <c r="G1725" s="548"/>
      <c r="H1725" s="550"/>
      <c r="I1725" s="560"/>
      <c r="J1725" s="548"/>
      <c r="K1725" s="528" t="str">
        <f>IFERROR(VLOOKUP($B1725,'Clients-Live'!$A:$C,3,0),"")</f>
        <v/>
      </c>
      <c r="L1725" s="528">
        <f>IF(E1725="STL",Pricing!$D$38,IF(A1725="",0,IF(A1725&lt;Pricing!$C$25,Pricing!$D$25,VLOOKUP(Disbursements!$F1725,Pricing!$B$29:$D$32,3))))</f>
        <v>0</v>
      </c>
      <c r="M1725" s="528">
        <f>IF(E1725="STL",0,IF(F1725&gt;0,Pricing!$D$21,0))</f>
        <v>0</v>
      </c>
      <c r="N1725" s="529">
        <f>IF(E1725="STL",F1725*Pricing!$D$40,IF(A1725&lt;=Pricing!$C$4,0,IF(AND(A1725&gt;Pricing!$C$4,Disbursements!A1725&lt;=Pricing!$C$5),F1725*Pricing!$E$5,IF(AND(A1725&gt;Pricing!$C$5,Disbursements!A1725&lt;=Pricing!$C$7),VLOOKUP(F1725,Pricing!$D$7:$E$8,2)*Disbursements!F1725,F1725*Pricing!$E$9))))</f>
        <v>0</v>
      </c>
      <c r="O1725" s="528">
        <f>IF(E1725="STL",0,IF($F1725&gt;0,$F1725*Pricing!$D$17,0))</f>
        <v>0</v>
      </c>
      <c r="P1725" s="530" t="str">
        <f t="shared" si="698"/>
        <v/>
      </c>
      <c r="Q1725" s="531" t="str">
        <f>IF($A1725="","",$G1725/VLOOKUP($I1725,Ref!$B$23:$D$29,2,0))</f>
        <v/>
      </c>
      <c r="R1725" s="530" t="str">
        <f t="shared" si="699"/>
        <v/>
      </c>
      <c r="S1725" s="532" t="str">
        <f t="shared" si="693"/>
        <v/>
      </c>
      <c r="T1725" s="531" t="str">
        <f t="shared" si="700"/>
        <v/>
      </c>
      <c r="U1725" s="533">
        <f t="shared" si="701"/>
        <v>0</v>
      </c>
      <c r="V1725" s="531" t="str">
        <f t="shared" si="702"/>
        <v/>
      </c>
      <c r="W1725" s="531" t="str">
        <f t="shared" si="703"/>
        <v/>
      </c>
      <c r="X1725" s="534" t="str">
        <f t="shared" si="704"/>
        <v/>
      </c>
      <c r="Y1725" s="535" t="str">
        <f>IF($A1725="","",IF($I1725="weekly",$A1725+7,EDATE($A1725,VLOOKUP($I1725,Ref!$B$24:$C$29,2,0))))</f>
        <v/>
      </c>
      <c r="Z1725" s="536" t="str">
        <f t="shared" si="705"/>
        <v/>
      </c>
      <c r="AA1725" s="531">
        <f t="shared" si="706"/>
        <v>0</v>
      </c>
      <c r="AB1725" s="535" t="str">
        <f t="shared" si="694"/>
        <v/>
      </c>
      <c r="AC1725" s="537" t="str">
        <f t="shared" si="695"/>
        <v/>
      </c>
      <c r="AD1725" s="538" t="str">
        <f t="shared" ca="1" si="696"/>
        <v/>
      </c>
      <c r="AE1725" s="537">
        <f t="shared" ca="1" si="697"/>
        <v>0</v>
      </c>
      <c r="AF1725" s="539" t="str">
        <f t="shared" ca="1" si="707"/>
        <v/>
      </c>
      <c r="AG1725" s="531" t="str">
        <f t="shared" ca="1" si="708"/>
        <v/>
      </c>
      <c r="AH1725" s="531" t="str">
        <f t="shared" ca="1" si="709"/>
        <v/>
      </c>
      <c r="AI1725" s="531" t="str">
        <f t="shared" ca="1" si="710"/>
        <v/>
      </c>
      <c r="AJ1725" s="531" t="str">
        <f t="shared" si="711"/>
        <v/>
      </c>
      <c r="AK1725" s="540">
        <f>SUMIFS('Live Collections'!$S:$S,'Live Collections'!$D:$D,Disbursements!B1725,'Live Collections'!$G:$G,Disbursements!C1725)</f>
        <v>0</v>
      </c>
      <c r="AL1725" s="540">
        <f>SUMIFS('Live Collections'!$T:$T,'Live Collections'!$D:$D,Disbursements!B1725,'Live Collections'!$G:$G,Disbursements!C1725)</f>
        <v>0</v>
      </c>
      <c r="AM1725" s="541">
        <f t="shared" si="712"/>
        <v>0</v>
      </c>
      <c r="AN1725" s="542" t="str">
        <f t="shared" si="713"/>
        <v/>
      </c>
      <c r="AO1725" s="542" t="str">
        <f t="shared" si="714"/>
        <v/>
      </c>
      <c r="AP1725" s="543" t="str">
        <f t="shared" si="715"/>
        <v/>
      </c>
      <c r="AQ1725" s="544" t="str">
        <f t="shared" si="716"/>
        <v/>
      </c>
      <c r="AR1725" s="545">
        <f t="shared" si="717"/>
        <v>0</v>
      </c>
      <c r="AS1725" s="545">
        <f>IFERROR(CEILING($AR1725*VLOOKUP($I1725,Ref!$B$23:$E$29,4,0),1),0)</f>
        <v>0</v>
      </c>
      <c r="AT1725" s="545" t="str">
        <f>IF(A1725="","",IF(AP1725&lt;=1,"Cleared",IF(AS1725=0,"Clean",VLOOKUP($AS1725,Ref!$G$23:$H$28,2))))</f>
        <v/>
      </c>
      <c r="AU1725" s="546" t="str">
        <f t="shared" si="718"/>
        <v/>
      </c>
    </row>
    <row r="1726" spans="1:47" ht="14.25" hidden="1" customHeight="1" x14ac:dyDescent="0.15">
      <c r="A1726" s="575"/>
      <c r="B1726" s="548"/>
      <c r="C1726" s="548"/>
      <c r="D1726" s="548"/>
      <c r="E1726" s="583"/>
      <c r="F1726" s="584"/>
      <c r="G1726" s="548"/>
      <c r="H1726" s="550"/>
      <c r="I1726" s="560"/>
      <c r="J1726" s="548"/>
      <c r="K1726" s="528" t="str">
        <f>IFERROR(VLOOKUP($B1726,'Clients-Live'!$A:$C,3,0),"")</f>
        <v/>
      </c>
      <c r="L1726" s="528">
        <f>IF(E1726="STL",Pricing!$D$38,IF(A1726="",0,IF(A1726&lt;Pricing!$C$25,Pricing!$D$25,VLOOKUP(Disbursements!$F1726,Pricing!$B$29:$D$32,3))))</f>
        <v>0</v>
      </c>
      <c r="M1726" s="528">
        <f>IF(E1726="STL",0,IF(F1726&gt;0,Pricing!$D$21,0))</f>
        <v>0</v>
      </c>
      <c r="N1726" s="529">
        <f>IF(E1726="STL",F1726*Pricing!$D$40,IF(A1726&lt;=Pricing!$C$4,0,IF(AND(A1726&gt;Pricing!$C$4,Disbursements!A1726&lt;=Pricing!$C$5),F1726*Pricing!$E$5,IF(AND(A1726&gt;Pricing!$C$5,Disbursements!A1726&lt;=Pricing!$C$7),VLOOKUP(F1726,Pricing!$D$7:$E$8,2)*Disbursements!F1726,F1726*Pricing!$E$9))))</f>
        <v>0</v>
      </c>
      <c r="O1726" s="528">
        <f>IF(E1726="STL",0,IF($F1726&gt;0,$F1726*Pricing!$D$17,0))</f>
        <v>0</v>
      </c>
      <c r="P1726" s="530" t="str">
        <f t="shared" si="698"/>
        <v/>
      </c>
      <c r="Q1726" s="531" t="str">
        <f>IF($A1726="","",$G1726/VLOOKUP($I1726,Ref!$B$23:$D$29,2,0))</f>
        <v/>
      </c>
      <c r="R1726" s="530" t="str">
        <f t="shared" si="699"/>
        <v/>
      </c>
      <c r="S1726" s="532" t="str">
        <f t="shared" si="693"/>
        <v/>
      </c>
      <c r="T1726" s="531" t="str">
        <f t="shared" si="700"/>
        <v/>
      </c>
      <c r="U1726" s="533">
        <f t="shared" si="701"/>
        <v>0</v>
      </c>
      <c r="V1726" s="531" t="str">
        <f t="shared" si="702"/>
        <v/>
      </c>
      <c r="W1726" s="531" t="str">
        <f t="shared" si="703"/>
        <v/>
      </c>
      <c r="X1726" s="534" t="str">
        <f t="shared" si="704"/>
        <v/>
      </c>
      <c r="Y1726" s="535" t="str">
        <f>IF($A1726="","",IF($I1726="weekly",$A1726+7,EDATE($A1726,VLOOKUP($I1726,Ref!$B$24:$C$29,2,0))))</f>
        <v/>
      </c>
      <c r="Z1726" s="536" t="str">
        <f t="shared" si="705"/>
        <v/>
      </c>
      <c r="AA1726" s="531">
        <f t="shared" si="706"/>
        <v>0</v>
      </c>
      <c r="AB1726" s="535" t="str">
        <f t="shared" si="694"/>
        <v/>
      </c>
      <c r="AC1726" s="537" t="str">
        <f t="shared" si="695"/>
        <v/>
      </c>
      <c r="AD1726" s="538" t="str">
        <f t="shared" ca="1" si="696"/>
        <v/>
      </c>
      <c r="AE1726" s="537">
        <f t="shared" ca="1" si="697"/>
        <v>0</v>
      </c>
      <c r="AF1726" s="539" t="str">
        <f t="shared" ca="1" si="707"/>
        <v/>
      </c>
      <c r="AG1726" s="531" t="str">
        <f t="shared" ca="1" si="708"/>
        <v/>
      </c>
      <c r="AH1726" s="531" t="str">
        <f t="shared" ca="1" si="709"/>
        <v/>
      </c>
      <c r="AI1726" s="531" t="str">
        <f t="shared" ca="1" si="710"/>
        <v/>
      </c>
      <c r="AJ1726" s="531" t="str">
        <f t="shared" si="711"/>
        <v/>
      </c>
      <c r="AK1726" s="540">
        <f>SUMIFS('Live Collections'!$S:$S,'Live Collections'!$D:$D,Disbursements!B1726,'Live Collections'!$G:$G,Disbursements!C1726)</f>
        <v>0</v>
      </c>
      <c r="AL1726" s="540">
        <f>SUMIFS('Live Collections'!$T:$T,'Live Collections'!$D:$D,Disbursements!B1726,'Live Collections'!$G:$G,Disbursements!C1726)</f>
        <v>0</v>
      </c>
      <c r="AM1726" s="541">
        <f t="shared" si="712"/>
        <v>0</v>
      </c>
      <c r="AN1726" s="542" t="str">
        <f t="shared" si="713"/>
        <v/>
      </c>
      <c r="AO1726" s="542" t="str">
        <f t="shared" si="714"/>
        <v/>
      </c>
      <c r="AP1726" s="543" t="str">
        <f t="shared" si="715"/>
        <v/>
      </c>
      <c r="AQ1726" s="544" t="str">
        <f t="shared" si="716"/>
        <v/>
      </c>
      <c r="AR1726" s="545">
        <f t="shared" si="717"/>
        <v>0</v>
      </c>
      <c r="AS1726" s="545">
        <f>IFERROR(CEILING($AR1726*VLOOKUP($I1726,Ref!$B$23:$E$29,4,0),1),0)</f>
        <v>0</v>
      </c>
      <c r="AT1726" s="545" t="str">
        <f>IF(A1726="","",IF(AP1726&lt;=1,"Cleared",IF(AS1726=0,"Clean",VLOOKUP($AS1726,Ref!$G$23:$H$28,2))))</f>
        <v/>
      </c>
      <c r="AU1726" s="546" t="str">
        <f t="shared" si="718"/>
        <v/>
      </c>
    </row>
    <row r="1727" spans="1:47" ht="14.25" hidden="1" customHeight="1" x14ac:dyDescent="0.15">
      <c r="A1727" s="575"/>
      <c r="B1727" s="548"/>
      <c r="C1727" s="548"/>
      <c r="D1727" s="548"/>
      <c r="E1727" s="583"/>
      <c r="F1727" s="584"/>
      <c r="G1727" s="548"/>
      <c r="H1727" s="550"/>
      <c r="I1727" s="560"/>
      <c r="J1727" s="548"/>
      <c r="K1727" s="528" t="str">
        <f>IFERROR(VLOOKUP($B1727,'Clients-Live'!$A:$C,3,0),"")</f>
        <v/>
      </c>
      <c r="L1727" s="528">
        <f>IF(E1727="STL",Pricing!$D$38,IF(A1727="",0,IF(A1727&lt;Pricing!$C$25,Pricing!$D$25,VLOOKUP(Disbursements!$F1727,Pricing!$B$29:$D$32,3))))</f>
        <v>0</v>
      </c>
      <c r="M1727" s="528">
        <f>IF(E1727="STL",0,IF(F1727&gt;0,Pricing!$D$21,0))</f>
        <v>0</v>
      </c>
      <c r="N1727" s="529">
        <f>IF(E1727="STL",F1727*Pricing!$D$40,IF(A1727&lt;=Pricing!$C$4,0,IF(AND(A1727&gt;Pricing!$C$4,Disbursements!A1727&lt;=Pricing!$C$5),F1727*Pricing!$E$5,IF(AND(A1727&gt;Pricing!$C$5,Disbursements!A1727&lt;=Pricing!$C$7),VLOOKUP(F1727,Pricing!$D$7:$E$8,2)*Disbursements!F1727,F1727*Pricing!$E$9))))</f>
        <v>0</v>
      </c>
      <c r="O1727" s="528">
        <f>IF(E1727="STL",0,IF($F1727&gt;0,$F1727*Pricing!$D$17,0))</f>
        <v>0</v>
      </c>
      <c r="P1727" s="530" t="str">
        <f t="shared" si="698"/>
        <v/>
      </c>
      <c r="Q1727" s="531" t="str">
        <f>IF($A1727="","",$G1727/VLOOKUP($I1727,Ref!$B$23:$D$29,2,0))</f>
        <v/>
      </c>
      <c r="R1727" s="530" t="str">
        <f t="shared" si="699"/>
        <v/>
      </c>
      <c r="S1727" s="532" t="str">
        <f t="shared" si="693"/>
        <v/>
      </c>
      <c r="T1727" s="531" t="str">
        <f t="shared" si="700"/>
        <v/>
      </c>
      <c r="U1727" s="533">
        <f t="shared" si="701"/>
        <v>0</v>
      </c>
      <c r="V1727" s="531" t="str">
        <f t="shared" si="702"/>
        <v/>
      </c>
      <c r="W1727" s="531" t="str">
        <f t="shared" si="703"/>
        <v/>
      </c>
      <c r="X1727" s="534" t="str">
        <f t="shared" si="704"/>
        <v/>
      </c>
      <c r="Y1727" s="535" t="str">
        <f>IF($A1727="","",IF($I1727="weekly",$A1727+7,EDATE($A1727,VLOOKUP($I1727,Ref!$B$24:$C$29,2,0))))</f>
        <v/>
      </c>
      <c r="Z1727" s="536" t="str">
        <f t="shared" si="705"/>
        <v/>
      </c>
      <c r="AA1727" s="531">
        <f t="shared" si="706"/>
        <v>0</v>
      </c>
      <c r="AB1727" s="535" t="str">
        <f t="shared" si="694"/>
        <v/>
      </c>
      <c r="AC1727" s="537" t="str">
        <f t="shared" si="695"/>
        <v/>
      </c>
      <c r="AD1727" s="538" t="str">
        <f t="shared" ca="1" si="696"/>
        <v/>
      </c>
      <c r="AE1727" s="537">
        <f t="shared" ca="1" si="697"/>
        <v>0</v>
      </c>
      <c r="AF1727" s="539" t="str">
        <f t="shared" ca="1" si="707"/>
        <v/>
      </c>
      <c r="AG1727" s="531" t="str">
        <f t="shared" ca="1" si="708"/>
        <v/>
      </c>
      <c r="AH1727" s="531" t="str">
        <f t="shared" ca="1" si="709"/>
        <v/>
      </c>
      <c r="AI1727" s="531" t="str">
        <f t="shared" ca="1" si="710"/>
        <v/>
      </c>
      <c r="AJ1727" s="531" t="str">
        <f t="shared" si="711"/>
        <v/>
      </c>
      <c r="AK1727" s="540">
        <f>SUMIFS('Live Collections'!$S:$S,'Live Collections'!$D:$D,Disbursements!B1727,'Live Collections'!$G:$G,Disbursements!C1727)</f>
        <v>0</v>
      </c>
      <c r="AL1727" s="540">
        <f>SUMIFS('Live Collections'!$T:$T,'Live Collections'!$D:$D,Disbursements!B1727,'Live Collections'!$G:$G,Disbursements!C1727)</f>
        <v>0</v>
      </c>
      <c r="AM1727" s="541">
        <f t="shared" si="712"/>
        <v>0</v>
      </c>
      <c r="AN1727" s="542" t="str">
        <f t="shared" si="713"/>
        <v/>
      </c>
      <c r="AO1727" s="542" t="str">
        <f t="shared" si="714"/>
        <v/>
      </c>
      <c r="AP1727" s="543" t="str">
        <f t="shared" si="715"/>
        <v/>
      </c>
      <c r="AQ1727" s="544" t="str">
        <f t="shared" si="716"/>
        <v/>
      </c>
      <c r="AR1727" s="545">
        <f t="shared" si="717"/>
        <v>0</v>
      </c>
      <c r="AS1727" s="545">
        <f>IFERROR(CEILING($AR1727*VLOOKUP($I1727,Ref!$B$23:$E$29,4,0),1),0)</f>
        <v>0</v>
      </c>
      <c r="AT1727" s="545" t="str">
        <f>IF(A1727="","",IF(AP1727&lt;=1,"Cleared",IF(AS1727=0,"Clean",VLOOKUP($AS1727,Ref!$G$23:$H$28,2))))</f>
        <v/>
      </c>
      <c r="AU1727" s="546" t="str">
        <f t="shared" si="718"/>
        <v/>
      </c>
    </row>
    <row r="1728" spans="1:47" ht="14.25" hidden="1" customHeight="1" x14ac:dyDescent="0.15">
      <c r="A1728" s="575"/>
      <c r="B1728" s="548"/>
      <c r="C1728" s="548"/>
      <c r="D1728" s="548"/>
      <c r="E1728" s="583"/>
      <c r="F1728" s="584"/>
      <c r="G1728" s="548"/>
      <c r="H1728" s="550"/>
      <c r="I1728" s="560"/>
      <c r="J1728" s="548"/>
      <c r="K1728" s="528" t="str">
        <f>IFERROR(VLOOKUP($B1728,'Clients-Live'!$A:$C,3,0),"")</f>
        <v/>
      </c>
      <c r="L1728" s="528">
        <f>IF(E1728="STL",Pricing!$D$38,IF(A1728="",0,IF(A1728&lt;Pricing!$C$25,Pricing!$D$25,VLOOKUP(Disbursements!$F1728,Pricing!$B$29:$D$32,3))))</f>
        <v>0</v>
      </c>
      <c r="M1728" s="528">
        <f>IF(E1728="STL",0,IF(F1728&gt;0,Pricing!$D$21,0))</f>
        <v>0</v>
      </c>
      <c r="N1728" s="529">
        <f>IF(E1728="STL",F1728*Pricing!$D$40,IF(A1728&lt;=Pricing!$C$4,0,IF(AND(A1728&gt;Pricing!$C$4,Disbursements!A1728&lt;=Pricing!$C$5),F1728*Pricing!$E$5,IF(AND(A1728&gt;Pricing!$C$5,Disbursements!A1728&lt;=Pricing!$C$7),VLOOKUP(F1728,Pricing!$D$7:$E$8,2)*Disbursements!F1728,F1728*Pricing!$E$9))))</f>
        <v>0</v>
      </c>
      <c r="O1728" s="528">
        <f>IF(E1728="STL",0,IF($F1728&gt;0,$F1728*Pricing!$D$17,0))</f>
        <v>0</v>
      </c>
      <c r="P1728" s="530" t="str">
        <f t="shared" si="698"/>
        <v/>
      </c>
      <c r="Q1728" s="531" t="str">
        <f>IF($A1728="","",$G1728/VLOOKUP($I1728,Ref!$B$23:$D$29,2,0))</f>
        <v/>
      </c>
      <c r="R1728" s="530" t="str">
        <f t="shared" si="699"/>
        <v/>
      </c>
      <c r="S1728" s="532" t="str">
        <f t="shared" si="693"/>
        <v/>
      </c>
      <c r="T1728" s="531" t="str">
        <f t="shared" si="700"/>
        <v/>
      </c>
      <c r="U1728" s="533">
        <f t="shared" si="701"/>
        <v>0</v>
      </c>
      <c r="V1728" s="531" t="str">
        <f t="shared" si="702"/>
        <v/>
      </c>
      <c r="W1728" s="531" t="str">
        <f t="shared" si="703"/>
        <v/>
      </c>
      <c r="X1728" s="534" t="str">
        <f t="shared" si="704"/>
        <v/>
      </c>
      <c r="Y1728" s="535" t="str">
        <f>IF($A1728="","",IF($I1728="weekly",$A1728+7,EDATE($A1728,VLOOKUP($I1728,Ref!$B$24:$C$29,2,0))))</f>
        <v/>
      </c>
      <c r="Z1728" s="536" t="str">
        <f t="shared" si="705"/>
        <v/>
      </c>
      <c r="AA1728" s="531">
        <f t="shared" si="706"/>
        <v>0</v>
      </c>
      <c r="AB1728" s="535" t="str">
        <f t="shared" si="694"/>
        <v/>
      </c>
      <c r="AC1728" s="537" t="str">
        <f t="shared" si="695"/>
        <v/>
      </c>
      <c r="AD1728" s="538" t="str">
        <f t="shared" ca="1" si="696"/>
        <v/>
      </c>
      <c r="AE1728" s="537">
        <f t="shared" ca="1" si="697"/>
        <v>0</v>
      </c>
      <c r="AF1728" s="539" t="str">
        <f t="shared" ca="1" si="707"/>
        <v/>
      </c>
      <c r="AG1728" s="531" t="str">
        <f t="shared" ca="1" si="708"/>
        <v/>
      </c>
      <c r="AH1728" s="531" t="str">
        <f t="shared" ca="1" si="709"/>
        <v/>
      </c>
      <c r="AI1728" s="531" t="str">
        <f t="shared" ca="1" si="710"/>
        <v/>
      </c>
      <c r="AJ1728" s="531" t="str">
        <f t="shared" si="711"/>
        <v/>
      </c>
      <c r="AK1728" s="540">
        <f>SUMIFS('Live Collections'!$S:$S,'Live Collections'!$D:$D,Disbursements!B1728,'Live Collections'!$G:$G,Disbursements!C1728)</f>
        <v>0</v>
      </c>
      <c r="AL1728" s="540">
        <f>SUMIFS('Live Collections'!$T:$T,'Live Collections'!$D:$D,Disbursements!B1728,'Live Collections'!$G:$G,Disbursements!C1728)</f>
        <v>0</v>
      </c>
      <c r="AM1728" s="541">
        <f t="shared" si="712"/>
        <v>0</v>
      </c>
      <c r="AN1728" s="542" t="str">
        <f t="shared" si="713"/>
        <v/>
      </c>
      <c r="AO1728" s="542" t="str">
        <f t="shared" si="714"/>
        <v/>
      </c>
      <c r="AP1728" s="543" t="str">
        <f t="shared" si="715"/>
        <v/>
      </c>
      <c r="AQ1728" s="544" t="str">
        <f t="shared" si="716"/>
        <v/>
      </c>
      <c r="AR1728" s="545">
        <f t="shared" si="717"/>
        <v>0</v>
      </c>
      <c r="AS1728" s="545">
        <f>IFERROR(CEILING($AR1728*VLOOKUP($I1728,Ref!$B$23:$E$29,4,0),1),0)</f>
        <v>0</v>
      </c>
      <c r="AT1728" s="545" t="str">
        <f>IF(A1728="","",IF(AP1728&lt;=1,"Cleared",IF(AS1728=0,"Clean",VLOOKUP($AS1728,Ref!$G$23:$H$28,2))))</f>
        <v/>
      </c>
      <c r="AU1728" s="546" t="str">
        <f t="shared" si="718"/>
        <v/>
      </c>
    </row>
    <row r="1729" spans="1:47" ht="14.25" hidden="1" customHeight="1" x14ac:dyDescent="0.15">
      <c r="A1729" s="575"/>
      <c r="B1729" s="548"/>
      <c r="C1729" s="548"/>
      <c r="D1729" s="548"/>
      <c r="E1729" s="583"/>
      <c r="F1729" s="584"/>
      <c r="G1729" s="548"/>
      <c r="H1729" s="550"/>
      <c r="I1729" s="560"/>
      <c r="J1729" s="548"/>
      <c r="K1729" s="528" t="str">
        <f>IFERROR(VLOOKUP($B1729,'Clients-Live'!$A:$C,3,0),"")</f>
        <v/>
      </c>
      <c r="L1729" s="528">
        <f>IF(E1729="STL",Pricing!$D$38,IF(A1729="",0,IF(A1729&lt;Pricing!$C$25,Pricing!$D$25,VLOOKUP(Disbursements!$F1729,Pricing!$B$29:$D$32,3))))</f>
        <v>0</v>
      </c>
      <c r="M1729" s="528">
        <f>IF(E1729="STL",0,IF(F1729&gt;0,Pricing!$D$21,0))</f>
        <v>0</v>
      </c>
      <c r="N1729" s="529">
        <f>IF(E1729="STL",F1729*Pricing!$D$40,IF(A1729&lt;=Pricing!$C$4,0,IF(AND(A1729&gt;Pricing!$C$4,Disbursements!A1729&lt;=Pricing!$C$5),F1729*Pricing!$E$5,IF(AND(A1729&gt;Pricing!$C$5,Disbursements!A1729&lt;=Pricing!$C$7),VLOOKUP(F1729,Pricing!$D$7:$E$8,2)*Disbursements!F1729,F1729*Pricing!$E$9))))</f>
        <v>0</v>
      </c>
      <c r="O1729" s="528">
        <f>IF(E1729="STL",0,IF($F1729&gt;0,$F1729*Pricing!$D$17,0))</f>
        <v>0</v>
      </c>
      <c r="P1729" s="530" t="str">
        <f t="shared" si="698"/>
        <v/>
      </c>
      <c r="Q1729" s="531" t="str">
        <f>IF($A1729="","",$G1729/VLOOKUP($I1729,Ref!$B$23:$D$29,2,0))</f>
        <v/>
      </c>
      <c r="R1729" s="530" t="str">
        <f t="shared" si="699"/>
        <v/>
      </c>
      <c r="S1729" s="532" t="str">
        <f t="shared" si="693"/>
        <v/>
      </c>
      <c r="T1729" s="531" t="str">
        <f t="shared" si="700"/>
        <v/>
      </c>
      <c r="U1729" s="533">
        <f t="shared" si="701"/>
        <v>0</v>
      </c>
      <c r="V1729" s="531" t="str">
        <f t="shared" si="702"/>
        <v/>
      </c>
      <c r="W1729" s="531" t="str">
        <f t="shared" si="703"/>
        <v/>
      </c>
      <c r="X1729" s="534" t="str">
        <f t="shared" si="704"/>
        <v/>
      </c>
      <c r="Y1729" s="535" t="str">
        <f>IF($A1729="","",IF($I1729="weekly",$A1729+7,EDATE($A1729,VLOOKUP($I1729,Ref!$B$24:$C$29,2,0))))</f>
        <v/>
      </c>
      <c r="Z1729" s="536" t="str">
        <f t="shared" si="705"/>
        <v/>
      </c>
      <c r="AA1729" s="531">
        <f t="shared" si="706"/>
        <v>0</v>
      </c>
      <c r="AB1729" s="535" t="str">
        <f t="shared" si="694"/>
        <v/>
      </c>
      <c r="AC1729" s="537" t="str">
        <f t="shared" si="695"/>
        <v/>
      </c>
      <c r="AD1729" s="538" t="str">
        <f t="shared" ca="1" si="696"/>
        <v/>
      </c>
      <c r="AE1729" s="537">
        <f t="shared" ca="1" si="697"/>
        <v>0</v>
      </c>
      <c r="AF1729" s="539" t="str">
        <f t="shared" ca="1" si="707"/>
        <v/>
      </c>
      <c r="AG1729" s="531" t="str">
        <f t="shared" ca="1" si="708"/>
        <v/>
      </c>
      <c r="AH1729" s="531" t="str">
        <f t="shared" ca="1" si="709"/>
        <v/>
      </c>
      <c r="AI1729" s="531" t="str">
        <f t="shared" ca="1" si="710"/>
        <v/>
      </c>
      <c r="AJ1729" s="531" t="str">
        <f t="shared" si="711"/>
        <v/>
      </c>
      <c r="AK1729" s="540">
        <f>SUMIFS('Live Collections'!$S:$S,'Live Collections'!$D:$D,Disbursements!B1729,'Live Collections'!$G:$G,Disbursements!C1729)</f>
        <v>0</v>
      </c>
      <c r="AL1729" s="540">
        <f>SUMIFS('Live Collections'!$T:$T,'Live Collections'!$D:$D,Disbursements!B1729,'Live Collections'!$G:$G,Disbursements!C1729)</f>
        <v>0</v>
      </c>
      <c r="AM1729" s="541">
        <f t="shared" si="712"/>
        <v>0</v>
      </c>
      <c r="AN1729" s="542" t="str">
        <f t="shared" si="713"/>
        <v/>
      </c>
      <c r="AO1729" s="542" t="str">
        <f t="shared" si="714"/>
        <v/>
      </c>
      <c r="AP1729" s="543" t="str">
        <f t="shared" si="715"/>
        <v/>
      </c>
      <c r="AQ1729" s="544" t="str">
        <f t="shared" si="716"/>
        <v/>
      </c>
      <c r="AR1729" s="545">
        <f t="shared" si="717"/>
        <v>0</v>
      </c>
      <c r="AS1729" s="545">
        <f>IFERROR(CEILING($AR1729*VLOOKUP($I1729,Ref!$B$23:$E$29,4,0),1),0)</f>
        <v>0</v>
      </c>
      <c r="AT1729" s="545" t="str">
        <f>IF(A1729="","",IF(AP1729&lt;=1,"Cleared",IF(AS1729=0,"Clean",VLOOKUP($AS1729,Ref!$G$23:$H$28,2))))</f>
        <v/>
      </c>
      <c r="AU1729" s="546" t="str">
        <f t="shared" si="718"/>
        <v/>
      </c>
    </row>
    <row r="1730" spans="1:47" ht="14.25" hidden="1" customHeight="1" x14ac:dyDescent="0.15">
      <c r="A1730" s="575"/>
      <c r="B1730" s="548"/>
      <c r="C1730" s="548"/>
      <c r="D1730" s="548"/>
      <c r="E1730" s="583"/>
      <c r="F1730" s="584"/>
      <c r="G1730" s="548"/>
      <c r="H1730" s="550"/>
      <c r="I1730" s="560"/>
      <c r="J1730" s="548"/>
      <c r="K1730" s="528" t="str">
        <f>IFERROR(VLOOKUP($B1730,'Clients-Live'!$A:$C,3,0),"")</f>
        <v/>
      </c>
      <c r="L1730" s="528">
        <f>IF(E1730="STL",Pricing!$D$38,IF(A1730="",0,IF(A1730&lt;Pricing!$C$25,Pricing!$D$25,VLOOKUP(Disbursements!$F1730,Pricing!$B$29:$D$32,3))))</f>
        <v>0</v>
      </c>
      <c r="M1730" s="528">
        <f>IF(E1730="STL",0,IF(F1730&gt;0,Pricing!$D$21,0))</f>
        <v>0</v>
      </c>
      <c r="N1730" s="529">
        <f>IF(E1730="STL",F1730*Pricing!$D$40,IF(A1730&lt;=Pricing!$C$4,0,IF(AND(A1730&gt;Pricing!$C$4,Disbursements!A1730&lt;=Pricing!$C$5),F1730*Pricing!$E$5,IF(AND(A1730&gt;Pricing!$C$5,Disbursements!A1730&lt;=Pricing!$C$7),VLOOKUP(F1730,Pricing!$D$7:$E$8,2)*Disbursements!F1730,F1730*Pricing!$E$9))))</f>
        <v>0</v>
      </c>
      <c r="O1730" s="528">
        <f>IF(E1730="STL",0,IF($F1730&gt;0,$F1730*Pricing!$D$17,0))</f>
        <v>0</v>
      </c>
      <c r="P1730" s="530" t="str">
        <f t="shared" si="698"/>
        <v/>
      </c>
      <c r="Q1730" s="531" t="str">
        <f>IF($A1730="","",$G1730/VLOOKUP($I1730,Ref!$B$23:$D$29,2,0))</f>
        <v/>
      </c>
      <c r="R1730" s="530" t="str">
        <f t="shared" si="699"/>
        <v/>
      </c>
      <c r="S1730" s="532" t="str">
        <f t="shared" si="693"/>
        <v/>
      </c>
      <c r="T1730" s="531" t="str">
        <f t="shared" si="700"/>
        <v/>
      </c>
      <c r="U1730" s="533">
        <f t="shared" si="701"/>
        <v>0</v>
      </c>
      <c r="V1730" s="531" t="str">
        <f t="shared" si="702"/>
        <v/>
      </c>
      <c r="W1730" s="531" t="str">
        <f t="shared" si="703"/>
        <v/>
      </c>
      <c r="X1730" s="534" t="str">
        <f t="shared" si="704"/>
        <v/>
      </c>
      <c r="Y1730" s="535" t="str">
        <f>IF($A1730="","",IF($I1730="weekly",$A1730+7,EDATE($A1730,VLOOKUP($I1730,Ref!$B$24:$C$29,2,0))))</f>
        <v/>
      </c>
      <c r="Z1730" s="536" t="str">
        <f t="shared" si="705"/>
        <v/>
      </c>
      <c r="AA1730" s="531">
        <f t="shared" si="706"/>
        <v>0</v>
      </c>
      <c r="AB1730" s="535" t="str">
        <f t="shared" si="694"/>
        <v/>
      </c>
      <c r="AC1730" s="537" t="str">
        <f t="shared" si="695"/>
        <v/>
      </c>
      <c r="AD1730" s="538" t="str">
        <f t="shared" ca="1" si="696"/>
        <v/>
      </c>
      <c r="AE1730" s="537">
        <f t="shared" ca="1" si="697"/>
        <v>0</v>
      </c>
      <c r="AF1730" s="539" t="str">
        <f t="shared" ca="1" si="707"/>
        <v/>
      </c>
      <c r="AG1730" s="531" t="str">
        <f t="shared" ca="1" si="708"/>
        <v/>
      </c>
      <c r="AH1730" s="531" t="str">
        <f t="shared" ca="1" si="709"/>
        <v/>
      </c>
      <c r="AI1730" s="531" t="str">
        <f t="shared" ca="1" si="710"/>
        <v/>
      </c>
      <c r="AJ1730" s="531" t="str">
        <f t="shared" si="711"/>
        <v/>
      </c>
      <c r="AK1730" s="540">
        <f>SUMIFS('Live Collections'!$S:$S,'Live Collections'!$D:$D,Disbursements!B1730,'Live Collections'!$G:$G,Disbursements!C1730)</f>
        <v>0</v>
      </c>
      <c r="AL1730" s="540">
        <f>SUMIFS('Live Collections'!$T:$T,'Live Collections'!$D:$D,Disbursements!B1730,'Live Collections'!$G:$G,Disbursements!C1730)</f>
        <v>0</v>
      </c>
      <c r="AM1730" s="541">
        <f t="shared" si="712"/>
        <v>0</v>
      </c>
      <c r="AN1730" s="542" t="str">
        <f t="shared" si="713"/>
        <v/>
      </c>
      <c r="AO1730" s="542" t="str">
        <f t="shared" si="714"/>
        <v/>
      </c>
      <c r="AP1730" s="543" t="str">
        <f t="shared" si="715"/>
        <v/>
      </c>
      <c r="AQ1730" s="544" t="str">
        <f t="shared" si="716"/>
        <v/>
      </c>
      <c r="AR1730" s="545">
        <f t="shared" si="717"/>
        <v>0</v>
      </c>
      <c r="AS1730" s="545">
        <f>IFERROR(CEILING($AR1730*VLOOKUP($I1730,Ref!$B$23:$E$29,4,0),1),0)</f>
        <v>0</v>
      </c>
      <c r="AT1730" s="545" t="str">
        <f>IF(A1730="","",IF(AP1730&lt;=1,"Cleared",IF(AS1730=0,"Clean",VLOOKUP($AS1730,Ref!$G$23:$H$28,2))))</f>
        <v/>
      </c>
      <c r="AU1730" s="546" t="str">
        <f t="shared" si="718"/>
        <v/>
      </c>
    </row>
    <row r="1731" spans="1:47" ht="14.25" hidden="1" customHeight="1" x14ac:dyDescent="0.15">
      <c r="A1731" s="575"/>
      <c r="B1731" s="548"/>
      <c r="C1731" s="548"/>
      <c r="D1731" s="548"/>
      <c r="E1731" s="583"/>
      <c r="F1731" s="584"/>
      <c r="G1731" s="548"/>
      <c r="H1731" s="550"/>
      <c r="I1731" s="560"/>
      <c r="J1731" s="548"/>
      <c r="K1731" s="528" t="str">
        <f>IFERROR(VLOOKUP($B1731,'Clients-Live'!$A:$C,3,0),"")</f>
        <v/>
      </c>
      <c r="L1731" s="528">
        <f>IF(E1731="STL",Pricing!$D$38,IF(A1731="",0,IF(A1731&lt;Pricing!$C$25,Pricing!$D$25,VLOOKUP(Disbursements!$F1731,Pricing!$B$29:$D$32,3))))</f>
        <v>0</v>
      </c>
      <c r="M1731" s="528">
        <f>IF(E1731="STL",0,IF(F1731&gt;0,Pricing!$D$21,0))</f>
        <v>0</v>
      </c>
      <c r="N1731" s="529">
        <f>IF(E1731="STL",F1731*Pricing!$D$40,IF(A1731&lt;=Pricing!$C$4,0,IF(AND(A1731&gt;Pricing!$C$4,Disbursements!A1731&lt;=Pricing!$C$5),F1731*Pricing!$E$5,IF(AND(A1731&gt;Pricing!$C$5,Disbursements!A1731&lt;=Pricing!$C$7),VLOOKUP(F1731,Pricing!$D$7:$E$8,2)*Disbursements!F1731,F1731*Pricing!$E$9))))</f>
        <v>0</v>
      </c>
      <c r="O1731" s="528">
        <f>IF(E1731="STL",0,IF($F1731&gt;0,$F1731*Pricing!$D$17,0))</f>
        <v>0</v>
      </c>
      <c r="P1731" s="530" t="str">
        <f t="shared" si="698"/>
        <v/>
      </c>
      <c r="Q1731" s="531" t="str">
        <f>IF($A1731="","",$G1731/VLOOKUP($I1731,Ref!$B$23:$D$29,2,0))</f>
        <v/>
      </c>
      <c r="R1731" s="530" t="str">
        <f t="shared" si="699"/>
        <v/>
      </c>
      <c r="S1731" s="532" t="str">
        <f t="shared" si="693"/>
        <v/>
      </c>
      <c r="T1731" s="531" t="str">
        <f t="shared" si="700"/>
        <v/>
      </c>
      <c r="U1731" s="533">
        <f t="shared" si="701"/>
        <v>0</v>
      </c>
      <c r="V1731" s="531" t="str">
        <f t="shared" si="702"/>
        <v/>
      </c>
      <c r="W1731" s="531" t="str">
        <f t="shared" si="703"/>
        <v/>
      </c>
      <c r="X1731" s="534" t="str">
        <f t="shared" si="704"/>
        <v/>
      </c>
      <c r="Y1731" s="535" t="str">
        <f>IF($A1731="","",IF($I1731="weekly",$A1731+7,EDATE($A1731,VLOOKUP($I1731,Ref!$B$24:$C$29,2,0))))</f>
        <v/>
      </c>
      <c r="Z1731" s="536" t="str">
        <f t="shared" si="705"/>
        <v/>
      </c>
      <c r="AA1731" s="531">
        <f t="shared" si="706"/>
        <v>0</v>
      </c>
      <c r="AB1731" s="535" t="str">
        <f t="shared" si="694"/>
        <v/>
      </c>
      <c r="AC1731" s="537" t="str">
        <f t="shared" si="695"/>
        <v/>
      </c>
      <c r="AD1731" s="538" t="str">
        <f t="shared" ca="1" si="696"/>
        <v/>
      </c>
      <c r="AE1731" s="537">
        <f t="shared" ca="1" si="697"/>
        <v>0</v>
      </c>
      <c r="AF1731" s="539" t="str">
        <f t="shared" ca="1" si="707"/>
        <v/>
      </c>
      <c r="AG1731" s="531" t="str">
        <f t="shared" ca="1" si="708"/>
        <v/>
      </c>
      <c r="AH1731" s="531" t="str">
        <f t="shared" ca="1" si="709"/>
        <v/>
      </c>
      <c r="AI1731" s="531" t="str">
        <f t="shared" ca="1" si="710"/>
        <v/>
      </c>
      <c r="AJ1731" s="531" t="str">
        <f t="shared" si="711"/>
        <v/>
      </c>
      <c r="AK1731" s="540">
        <f>SUMIFS('Live Collections'!$S:$S,'Live Collections'!$D:$D,Disbursements!B1731,'Live Collections'!$G:$G,Disbursements!C1731)</f>
        <v>0</v>
      </c>
      <c r="AL1731" s="540">
        <f>SUMIFS('Live Collections'!$T:$T,'Live Collections'!$D:$D,Disbursements!B1731,'Live Collections'!$G:$G,Disbursements!C1731)</f>
        <v>0</v>
      </c>
      <c r="AM1731" s="541">
        <f t="shared" si="712"/>
        <v>0</v>
      </c>
      <c r="AN1731" s="542" t="str">
        <f t="shared" si="713"/>
        <v/>
      </c>
      <c r="AO1731" s="542" t="str">
        <f t="shared" si="714"/>
        <v/>
      </c>
      <c r="AP1731" s="543" t="str">
        <f t="shared" si="715"/>
        <v/>
      </c>
      <c r="AQ1731" s="544" t="str">
        <f t="shared" si="716"/>
        <v/>
      </c>
      <c r="AR1731" s="545">
        <f t="shared" si="717"/>
        <v>0</v>
      </c>
      <c r="AS1731" s="545">
        <f>IFERROR(CEILING($AR1731*VLOOKUP($I1731,Ref!$B$23:$E$29,4,0),1),0)</f>
        <v>0</v>
      </c>
      <c r="AT1731" s="545" t="str">
        <f>IF(A1731="","",IF(AP1731&lt;=1,"Cleared",IF(AS1731=0,"Clean",VLOOKUP($AS1731,Ref!$G$23:$H$28,2))))</f>
        <v/>
      </c>
      <c r="AU1731" s="546" t="str">
        <f t="shared" si="718"/>
        <v/>
      </c>
    </row>
    <row r="1732" spans="1:47" ht="14.25" hidden="1" customHeight="1" x14ac:dyDescent="0.15">
      <c r="A1732" s="575"/>
      <c r="B1732" s="548"/>
      <c r="C1732" s="548"/>
      <c r="D1732" s="548"/>
      <c r="E1732" s="583"/>
      <c r="F1732" s="584"/>
      <c r="G1732" s="548"/>
      <c r="H1732" s="550"/>
      <c r="I1732" s="560"/>
      <c r="J1732" s="548"/>
      <c r="K1732" s="528" t="str">
        <f>IFERROR(VLOOKUP($B1732,'Clients-Live'!$A:$C,3,0),"")</f>
        <v/>
      </c>
      <c r="L1732" s="528">
        <f>IF(E1732="STL",Pricing!$D$38,IF(A1732="",0,IF(A1732&lt;Pricing!$C$25,Pricing!$D$25,VLOOKUP(Disbursements!$F1732,Pricing!$B$29:$D$32,3))))</f>
        <v>0</v>
      </c>
      <c r="M1732" s="528">
        <f>IF(E1732="STL",0,IF(F1732&gt;0,Pricing!$D$21,0))</f>
        <v>0</v>
      </c>
      <c r="N1732" s="529">
        <f>IF(E1732="STL",F1732*Pricing!$D$40,IF(A1732&lt;=Pricing!$C$4,0,IF(AND(A1732&gt;Pricing!$C$4,Disbursements!A1732&lt;=Pricing!$C$5),F1732*Pricing!$E$5,IF(AND(A1732&gt;Pricing!$C$5,Disbursements!A1732&lt;=Pricing!$C$7),VLOOKUP(F1732,Pricing!$D$7:$E$8,2)*Disbursements!F1732,F1732*Pricing!$E$9))))</f>
        <v>0</v>
      </c>
      <c r="O1732" s="528">
        <f>IF(E1732="STL",0,IF($F1732&gt;0,$F1732*Pricing!$D$17,0))</f>
        <v>0</v>
      </c>
      <c r="P1732" s="530" t="str">
        <f t="shared" si="698"/>
        <v/>
      </c>
      <c r="Q1732" s="531" t="str">
        <f>IF($A1732="","",$G1732/VLOOKUP($I1732,Ref!$B$23:$D$29,2,0))</f>
        <v/>
      </c>
      <c r="R1732" s="530" t="str">
        <f t="shared" si="699"/>
        <v/>
      </c>
      <c r="S1732" s="532" t="str">
        <f t="shared" ref="S1732:S1795" si="719">IF($A1732="","",$R1732/$Q1732)</f>
        <v/>
      </c>
      <c r="T1732" s="531" t="str">
        <f t="shared" si="700"/>
        <v/>
      </c>
      <c r="U1732" s="533">
        <f t="shared" si="701"/>
        <v>0</v>
      </c>
      <c r="V1732" s="531" t="str">
        <f t="shared" si="702"/>
        <v/>
      </c>
      <c r="W1732" s="531" t="str">
        <f t="shared" si="703"/>
        <v/>
      </c>
      <c r="X1732" s="534" t="str">
        <f t="shared" si="704"/>
        <v/>
      </c>
      <c r="Y1732" s="535" t="str">
        <f>IF($A1732="","",IF($I1732="weekly",$A1732+7,EDATE($A1732,VLOOKUP($I1732,Ref!$B$24:$C$29,2,0))))</f>
        <v/>
      </c>
      <c r="Z1732" s="536" t="str">
        <f t="shared" si="705"/>
        <v/>
      </c>
      <c r="AA1732" s="531">
        <f t="shared" si="706"/>
        <v>0</v>
      </c>
      <c r="AB1732" s="535" t="str">
        <f t="shared" ref="AB1732:AB1795" si="720">IF($A1732="","",EDATE($A1732,$G1732))</f>
        <v/>
      </c>
      <c r="AC1732" s="537" t="str">
        <f t="shared" ref="AC1732:AC1795" si="721">IFERROR($AB1732-$A1732,"")</f>
        <v/>
      </c>
      <c r="AD1732" s="538" t="str">
        <f t="shared" ref="AD1732:AD1795" ca="1" si="722">IFERROR(IF(TODAY()-$A1732&lt;$AB1732-$A1732,TODAY()-$A1732,"Expired"),"")</f>
        <v/>
      </c>
      <c r="AE1732" s="537">
        <f t="shared" ref="AE1732:AE1795" ca="1" si="723">IFERROR($AC1732-$AD1732,0)</f>
        <v>0</v>
      </c>
      <c r="AF1732" s="539" t="str">
        <f t="shared" ca="1" si="707"/>
        <v/>
      </c>
      <c r="AG1732" s="531" t="str">
        <f t="shared" ca="1" si="708"/>
        <v/>
      </c>
      <c r="AH1732" s="531" t="str">
        <f t="shared" ca="1" si="709"/>
        <v/>
      </c>
      <c r="AI1732" s="531" t="str">
        <f t="shared" ca="1" si="710"/>
        <v/>
      </c>
      <c r="AJ1732" s="531" t="str">
        <f t="shared" si="711"/>
        <v/>
      </c>
      <c r="AK1732" s="540">
        <f>SUMIFS('Live Collections'!$S:$S,'Live Collections'!$D:$D,Disbursements!B1732,'Live Collections'!$G:$G,Disbursements!C1732)</f>
        <v>0</v>
      </c>
      <c r="AL1732" s="540">
        <f>SUMIFS('Live Collections'!$T:$T,'Live Collections'!$D:$D,Disbursements!B1732,'Live Collections'!$G:$G,Disbursements!C1732)</f>
        <v>0</v>
      </c>
      <c r="AM1732" s="541">
        <f t="shared" si="712"/>
        <v>0</v>
      </c>
      <c r="AN1732" s="542" t="str">
        <f t="shared" si="713"/>
        <v/>
      </c>
      <c r="AO1732" s="542" t="str">
        <f t="shared" si="714"/>
        <v/>
      </c>
      <c r="AP1732" s="543" t="str">
        <f t="shared" si="715"/>
        <v/>
      </c>
      <c r="AQ1732" s="544" t="str">
        <f t="shared" si="716"/>
        <v/>
      </c>
      <c r="AR1732" s="545">
        <f t="shared" si="717"/>
        <v>0</v>
      </c>
      <c r="AS1732" s="545">
        <f>IFERROR(CEILING($AR1732*VLOOKUP($I1732,Ref!$B$23:$E$29,4,0),1),0)</f>
        <v>0</v>
      </c>
      <c r="AT1732" s="545" t="str">
        <f>IF(A1732="","",IF(AP1732&lt;=1,"Cleared",IF(AS1732=0,"Clean",VLOOKUP($AS1732,Ref!$G$23:$H$28,2))))</f>
        <v/>
      </c>
      <c r="AU1732" s="546" t="str">
        <f t="shared" si="718"/>
        <v/>
      </c>
    </row>
    <row r="1733" spans="1:47" ht="14.25" hidden="1" customHeight="1" x14ac:dyDescent="0.15">
      <c r="A1733" s="575"/>
      <c r="B1733" s="548"/>
      <c r="C1733" s="548"/>
      <c r="D1733" s="548"/>
      <c r="E1733" s="583"/>
      <c r="F1733" s="584"/>
      <c r="G1733" s="548"/>
      <c r="H1733" s="550"/>
      <c r="I1733" s="560"/>
      <c r="J1733" s="548"/>
      <c r="K1733" s="528" t="str">
        <f>IFERROR(VLOOKUP($B1733,'Clients-Live'!$A:$C,3,0),"")</f>
        <v/>
      </c>
      <c r="L1733" s="528">
        <f>IF(E1733="STL",Pricing!$D$38,IF(A1733="",0,IF(A1733&lt;Pricing!$C$25,Pricing!$D$25,VLOOKUP(Disbursements!$F1733,Pricing!$B$29:$D$32,3))))</f>
        <v>0</v>
      </c>
      <c r="M1733" s="528">
        <f>IF(E1733="STL",0,IF(F1733&gt;0,Pricing!$D$21,0))</f>
        <v>0</v>
      </c>
      <c r="N1733" s="529">
        <f>IF(E1733="STL",F1733*Pricing!$D$40,IF(A1733&lt;=Pricing!$C$4,0,IF(AND(A1733&gt;Pricing!$C$4,Disbursements!A1733&lt;=Pricing!$C$5),F1733*Pricing!$E$5,IF(AND(A1733&gt;Pricing!$C$5,Disbursements!A1733&lt;=Pricing!$C$7),VLOOKUP(F1733,Pricing!$D$7:$E$8,2)*Disbursements!F1733,F1733*Pricing!$E$9))))</f>
        <v>0</v>
      </c>
      <c r="O1733" s="528">
        <f>IF(E1733="STL",0,IF($F1733&gt;0,$F1733*Pricing!$D$17,0))</f>
        <v>0</v>
      </c>
      <c r="P1733" s="530" t="str">
        <f t="shared" ref="P1733:P1796" si="724">IF($A1733="","",$H1733*$F1733*$G1733)</f>
        <v/>
      </c>
      <c r="Q1733" s="531" t="str">
        <f>IF($A1733="","",$G1733/VLOOKUP($I1733,Ref!$B$23:$D$29,2,0))</f>
        <v/>
      </c>
      <c r="R1733" s="530" t="str">
        <f t="shared" ref="R1733:R1796" si="725">IF($A1733="","",$F1733+$P1733)</f>
        <v/>
      </c>
      <c r="S1733" s="532" t="str">
        <f t="shared" si="719"/>
        <v/>
      </c>
      <c r="T1733" s="531" t="str">
        <f t="shared" ref="T1733:T1796" si="726">IF(R1733="","",CEILING(S1733,1000))</f>
        <v/>
      </c>
      <c r="U1733" s="533">
        <f t="shared" ref="U1733:U1796" si="727">IFERROR(T1733*Q1733,0)</f>
        <v>0</v>
      </c>
      <c r="V1733" s="531" t="str">
        <f t="shared" ref="V1733:V1796" si="728">IF(T1733="","",F1733/Q1733)</f>
        <v/>
      </c>
      <c r="W1733" s="531" t="str">
        <f t="shared" ref="W1733:W1796" si="729">IF(T1733="","",T1733-V1733)</f>
        <v/>
      </c>
      <c r="X1733" s="534" t="str">
        <f t="shared" ref="X1733:X1796" si="730">IF(A1733="","",W1733*Q1733)</f>
        <v/>
      </c>
      <c r="Y1733" s="535" t="str">
        <f>IF($A1733="","",IF($I1733="weekly",$A1733+7,EDATE($A1733,VLOOKUP($I1733,Ref!$B$24:$C$29,2,0))))</f>
        <v/>
      </c>
      <c r="Z1733" s="536" t="str">
        <f t="shared" ref="Z1733:Z1796" si="731">IFERROR(CHOOSE(WEEKDAY(Y1733),"Sun","Mon","Tue","Wed","Thu","Frid","Sat"),"")</f>
        <v/>
      </c>
      <c r="AA1733" s="531">
        <f t="shared" ref="AA1733:AA1796" si="732">IFERROR(Y1733-A1733,0)</f>
        <v>0</v>
      </c>
      <c r="AB1733" s="535" t="str">
        <f t="shared" si="720"/>
        <v/>
      </c>
      <c r="AC1733" s="537" t="str">
        <f t="shared" si="721"/>
        <v/>
      </c>
      <c r="AD1733" s="538" t="str">
        <f t="shared" ca="1" si="722"/>
        <v/>
      </c>
      <c r="AE1733" s="537">
        <f t="shared" ca="1" si="723"/>
        <v>0</v>
      </c>
      <c r="AF1733" s="539" t="str">
        <f t="shared" ref="AF1733:AF1796" ca="1" si="733">IFERROR(IF(AD1733="Expired",Q1733,IF(AD1733&gt;AA1733,AD1733/AA1733,0)),"")</f>
        <v/>
      </c>
      <c r="AG1733" s="531" t="str">
        <f t="shared" ref="AG1733:AG1796" ca="1" si="734">IFERROR(AF1733*T1733,"")</f>
        <v/>
      </c>
      <c r="AH1733" s="531" t="str">
        <f t="shared" ref="AH1733:AH1796" ca="1" si="735">IFERROR(AF1733*W1733,"")</f>
        <v/>
      </c>
      <c r="AI1733" s="531" t="str">
        <f t="shared" ref="AI1733:AI1796" ca="1" si="736">IFERROR(AF1733*V1733,"")</f>
        <v/>
      </c>
      <c r="AJ1733" s="531" t="str">
        <f t="shared" ref="AJ1733:AJ1796" si="737">IF(F1733=0,"",U1733-AG1733)</f>
        <v/>
      </c>
      <c r="AK1733" s="540">
        <f>SUMIFS('Live Collections'!$S:$S,'Live Collections'!$D:$D,Disbursements!B1733,'Live Collections'!$G:$G,Disbursements!C1733)</f>
        <v>0</v>
      </c>
      <c r="AL1733" s="540">
        <f>SUMIFS('Live Collections'!$T:$T,'Live Collections'!$D:$D,Disbursements!B1733,'Live Collections'!$G:$G,Disbursements!C1733)</f>
        <v>0</v>
      </c>
      <c r="AM1733" s="541">
        <f t="shared" ref="AM1733:AM1796" si="738">SUM(AK1733:AL1733)</f>
        <v>0</v>
      </c>
      <c r="AN1733" s="542" t="str">
        <f t="shared" ref="AN1733:AN1796" si="739">IFERROR(W1733*Q1733-AK1733,"")</f>
        <v/>
      </c>
      <c r="AO1733" s="542" t="str">
        <f t="shared" ref="AO1733:AO1796" si="740">IF(F1733="","",(F1733-AL1733))</f>
        <v/>
      </c>
      <c r="AP1733" s="543" t="str">
        <f t="shared" ref="AP1733:AP1796" si="741">IF(F1733="","",SUM(AN1733:AO1733))</f>
        <v/>
      </c>
      <c r="AQ1733" s="544" t="str">
        <f t="shared" ref="AQ1733:AQ1796" si="742">IF(AP1733&gt;AJ1733,AP1733-AJ1733,"")</f>
        <v/>
      </c>
      <c r="AR1733" s="545">
        <f t="shared" ref="AR1733:AR1796" si="743">IFERROR(AQ1733/T1733,0)</f>
        <v>0</v>
      </c>
      <c r="AS1733" s="545">
        <f>IFERROR(CEILING($AR1733*VLOOKUP($I1733,Ref!$B$23:$E$29,4,0),1),0)</f>
        <v>0</v>
      </c>
      <c r="AT1733" s="545" t="str">
        <f>IF(A1733="","",IF(AP1733&lt;=1,"Cleared",IF(AS1733=0,"Clean",VLOOKUP($AS1733,Ref!$G$23:$H$28,2))))</f>
        <v/>
      </c>
      <c r="AU1733" s="546" t="str">
        <f t="shared" ref="AU1733:AU1796" si="744">IF(F1733="","",IF(OR(AN1733&lt;0,AO1733&lt;0,AP1733&lt;0),"Error on Entry","Ok"))</f>
        <v/>
      </c>
    </row>
    <row r="1734" spans="1:47" ht="14.25" hidden="1" customHeight="1" x14ac:dyDescent="0.15">
      <c r="A1734" s="575"/>
      <c r="B1734" s="548"/>
      <c r="C1734" s="548"/>
      <c r="D1734" s="548"/>
      <c r="E1734" s="583"/>
      <c r="F1734" s="584"/>
      <c r="G1734" s="548"/>
      <c r="H1734" s="550"/>
      <c r="I1734" s="560"/>
      <c r="J1734" s="548"/>
      <c r="K1734" s="528" t="str">
        <f>IFERROR(VLOOKUP($B1734,'Clients-Live'!$A:$C,3,0),"")</f>
        <v/>
      </c>
      <c r="L1734" s="528">
        <f>IF(E1734="STL",Pricing!$D$38,IF(A1734="",0,IF(A1734&lt;Pricing!$C$25,Pricing!$D$25,VLOOKUP(Disbursements!$F1734,Pricing!$B$29:$D$32,3))))</f>
        <v>0</v>
      </c>
      <c r="M1734" s="528">
        <f>IF(E1734="STL",0,IF(F1734&gt;0,Pricing!$D$21,0))</f>
        <v>0</v>
      </c>
      <c r="N1734" s="529">
        <f>IF(E1734="STL",F1734*Pricing!$D$40,IF(A1734&lt;=Pricing!$C$4,0,IF(AND(A1734&gt;Pricing!$C$4,Disbursements!A1734&lt;=Pricing!$C$5),F1734*Pricing!$E$5,IF(AND(A1734&gt;Pricing!$C$5,Disbursements!A1734&lt;=Pricing!$C$7),VLOOKUP(F1734,Pricing!$D$7:$E$8,2)*Disbursements!F1734,F1734*Pricing!$E$9))))</f>
        <v>0</v>
      </c>
      <c r="O1734" s="528">
        <f>IF(E1734="STL",0,IF($F1734&gt;0,$F1734*Pricing!$D$17,0))</f>
        <v>0</v>
      </c>
      <c r="P1734" s="530" t="str">
        <f t="shared" si="724"/>
        <v/>
      </c>
      <c r="Q1734" s="531" t="str">
        <f>IF($A1734="","",$G1734/VLOOKUP($I1734,Ref!$B$23:$D$29,2,0))</f>
        <v/>
      </c>
      <c r="R1734" s="530" t="str">
        <f t="shared" si="725"/>
        <v/>
      </c>
      <c r="S1734" s="532" t="str">
        <f t="shared" si="719"/>
        <v/>
      </c>
      <c r="T1734" s="531" t="str">
        <f t="shared" si="726"/>
        <v/>
      </c>
      <c r="U1734" s="533">
        <f t="shared" si="727"/>
        <v>0</v>
      </c>
      <c r="V1734" s="531" t="str">
        <f t="shared" si="728"/>
        <v/>
      </c>
      <c r="W1734" s="531" t="str">
        <f t="shared" si="729"/>
        <v/>
      </c>
      <c r="X1734" s="534" t="str">
        <f t="shared" si="730"/>
        <v/>
      </c>
      <c r="Y1734" s="535" t="str">
        <f>IF($A1734="","",IF($I1734="weekly",$A1734+7,EDATE($A1734,VLOOKUP($I1734,Ref!$B$24:$C$29,2,0))))</f>
        <v/>
      </c>
      <c r="Z1734" s="536" t="str">
        <f t="shared" si="731"/>
        <v/>
      </c>
      <c r="AA1734" s="531">
        <f t="shared" si="732"/>
        <v>0</v>
      </c>
      <c r="AB1734" s="535" t="str">
        <f t="shared" si="720"/>
        <v/>
      </c>
      <c r="AC1734" s="537" t="str">
        <f t="shared" si="721"/>
        <v/>
      </c>
      <c r="AD1734" s="538" t="str">
        <f t="shared" ca="1" si="722"/>
        <v/>
      </c>
      <c r="AE1734" s="537">
        <f t="shared" ca="1" si="723"/>
        <v>0</v>
      </c>
      <c r="AF1734" s="539" t="str">
        <f t="shared" ca="1" si="733"/>
        <v/>
      </c>
      <c r="AG1734" s="531" t="str">
        <f t="shared" ca="1" si="734"/>
        <v/>
      </c>
      <c r="AH1734" s="531" t="str">
        <f t="shared" ca="1" si="735"/>
        <v/>
      </c>
      <c r="AI1734" s="531" t="str">
        <f t="shared" ca="1" si="736"/>
        <v/>
      </c>
      <c r="AJ1734" s="531" t="str">
        <f t="shared" si="737"/>
        <v/>
      </c>
      <c r="AK1734" s="540">
        <f>SUMIFS('Live Collections'!$S:$S,'Live Collections'!$D:$D,Disbursements!B1734,'Live Collections'!$G:$G,Disbursements!C1734)</f>
        <v>0</v>
      </c>
      <c r="AL1734" s="540">
        <f>SUMIFS('Live Collections'!$T:$T,'Live Collections'!$D:$D,Disbursements!B1734,'Live Collections'!$G:$G,Disbursements!C1734)</f>
        <v>0</v>
      </c>
      <c r="AM1734" s="541">
        <f t="shared" si="738"/>
        <v>0</v>
      </c>
      <c r="AN1734" s="542" t="str">
        <f t="shared" si="739"/>
        <v/>
      </c>
      <c r="AO1734" s="542" t="str">
        <f t="shared" si="740"/>
        <v/>
      </c>
      <c r="AP1734" s="543" t="str">
        <f t="shared" si="741"/>
        <v/>
      </c>
      <c r="AQ1734" s="544" t="str">
        <f t="shared" si="742"/>
        <v/>
      </c>
      <c r="AR1734" s="545">
        <f t="shared" si="743"/>
        <v>0</v>
      </c>
      <c r="AS1734" s="545">
        <f>IFERROR(CEILING($AR1734*VLOOKUP($I1734,Ref!$B$23:$E$29,4,0),1),0)</f>
        <v>0</v>
      </c>
      <c r="AT1734" s="545" t="str">
        <f>IF(A1734="","",IF(AP1734&lt;=1,"Cleared",IF(AS1734=0,"Clean",VLOOKUP($AS1734,Ref!$G$23:$H$28,2))))</f>
        <v/>
      </c>
      <c r="AU1734" s="546" t="str">
        <f t="shared" si="744"/>
        <v/>
      </c>
    </row>
    <row r="1735" spans="1:47" ht="14.25" hidden="1" customHeight="1" x14ac:dyDescent="0.15">
      <c r="A1735" s="575"/>
      <c r="B1735" s="548"/>
      <c r="C1735" s="548"/>
      <c r="D1735" s="548"/>
      <c r="E1735" s="583"/>
      <c r="F1735" s="584"/>
      <c r="G1735" s="548"/>
      <c r="H1735" s="550"/>
      <c r="I1735" s="560"/>
      <c r="J1735" s="548"/>
      <c r="K1735" s="528" t="str">
        <f>IFERROR(VLOOKUP($B1735,'Clients-Live'!$A:$C,3,0),"")</f>
        <v/>
      </c>
      <c r="L1735" s="528">
        <f>IF(E1735="STL",Pricing!$D$38,IF(A1735="",0,IF(A1735&lt;Pricing!$C$25,Pricing!$D$25,VLOOKUP(Disbursements!$F1735,Pricing!$B$29:$D$32,3))))</f>
        <v>0</v>
      </c>
      <c r="M1735" s="528">
        <f>IF(E1735="STL",0,IF(F1735&gt;0,Pricing!$D$21,0))</f>
        <v>0</v>
      </c>
      <c r="N1735" s="529">
        <f>IF(E1735="STL",F1735*Pricing!$D$40,IF(A1735&lt;=Pricing!$C$4,0,IF(AND(A1735&gt;Pricing!$C$4,Disbursements!A1735&lt;=Pricing!$C$5),F1735*Pricing!$E$5,IF(AND(A1735&gt;Pricing!$C$5,Disbursements!A1735&lt;=Pricing!$C$7),VLOOKUP(F1735,Pricing!$D$7:$E$8,2)*Disbursements!F1735,F1735*Pricing!$E$9))))</f>
        <v>0</v>
      </c>
      <c r="O1735" s="528">
        <f>IF(E1735="STL",0,IF($F1735&gt;0,$F1735*Pricing!$D$17,0))</f>
        <v>0</v>
      </c>
      <c r="P1735" s="530" t="str">
        <f t="shared" si="724"/>
        <v/>
      </c>
      <c r="Q1735" s="531" t="str">
        <f>IF($A1735="","",$G1735/VLOOKUP($I1735,Ref!$B$23:$D$29,2,0))</f>
        <v/>
      </c>
      <c r="R1735" s="530" t="str">
        <f t="shared" si="725"/>
        <v/>
      </c>
      <c r="S1735" s="532" t="str">
        <f t="shared" si="719"/>
        <v/>
      </c>
      <c r="T1735" s="531" t="str">
        <f t="shared" si="726"/>
        <v/>
      </c>
      <c r="U1735" s="533">
        <f t="shared" si="727"/>
        <v>0</v>
      </c>
      <c r="V1735" s="531" t="str">
        <f t="shared" si="728"/>
        <v/>
      </c>
      <c r="W1735" s="531" t="str">
        <f t="shared" si="729"/>
        <v/>
      </c>
      <c r="X1735" s="534" t="str">
        <f t="shared" si="730"/>
        <v/>
      </c>
      <c r="Y1735" s="535" t="str">
        <f>IF($A1735="","",IF($I1735="weekly",$A1735+7,EDATE($A1735,VLOOKUP($I1735,Ref!$B$24:$C$29,2,0))))</f>
        <v/>
      </c>
      <c r="Z1735" s="536" t="str">
        <f t="shared" si="731"/>
        <v/>
      </c>
      <c r="AA1735" s="531">
        <f t="shared" si="732"/>
        <v>0</v>
      </c>
      <c r="AB1735" s="535" t="str">
        <f t="shared" si="720"/>
        <v/>
      </c>
      <c r="AC1735" s="537" t="str">
        <f t="shared" si="721"/>
        <v/>
      </c>
      <c r="AD1735" s="538" t="str">
        <f t="shared" ca="1" si="722"/>
        <v/>
      </c>
      <c r="AE1735" s="537">
        <f t="shared" ca="1" si="723"/>
        <v>0</v>
      </c>
      <c r="AF1735" s="539" t="str">
        <f t="shared" ca="1" si="733"/>
        <v/>
      </c>
      <c r="AG1735" s="531" t="str">
        <f t="shared" ca="1" si="734"/>
        <v/>
      </c>
      <c r="AH1735" s="531" t="str">
        <f t="shared" ca="1" si="735"/>
        <v/>
      </c>
      <c r="AI1735" s="531" t="str">
        <f t="shared" ca="1" si="736"/>
        <v/>
      </c>
      <c r="AJ1735" s="531" t="str">
        <f t="shared" si="737"/>
        <v/>
      </c>
      <c r="AK1735" s="540">
        <f>SUMIFS('Live Collections'!$S:$S,'Live Collections'!$D:$D,Disbursements!B1735,'Live Collections'!$G:$G,Disbursements!C1735)</f>
        <v>0</v>
      </c>
      <c r="AL1735" s="540">
        <f>SUMIFS('Live Collections'!$T:$T,'Live Collections'!$D:$D,Disbursements!B1735,'Live Collections'!$G:$G,Disbursements!C1735)</f>
        <v>0</v>
      </c>
      <c r="AM1735" s="541">
        <f t="shared" si="738"/>
        <v>0</v>
      </c>
      <c r="AN1735" s="542" t="str">
        <f t="shared" si="739"/>
        <v/>
      </c>
      <c r="AO1735" s="542" t="str">
        <f t="shared" si="740"/>
        <v/>
      </c>
      <c r="AP1735" s="543" t="str">
        <f t="shared" si="741"/>
        <v/>
      </c>
      <c r="AQ1735" s="544" t="str">
        <f t="shared" si="742"/>
        <v/>
      </c>
      <c r="AR1735" s="545">
        <f t="shared" si="743"/>
        <v>0</v>
      </c>
      <c r="AS1735" s="545">
        <f>IFERROR(CEILING($AR1735*VLOOKUP($I1735,Ref!$B$23:$E$29,4,0),1),0)</f>
        <v>0</v>
      </c>
      <c r="AT1735" s="545" t="str">
        <f>IF(A1735="","",IF(AP1735&lt;=1,"Cleared",IF(AS1735=0,"Clean",VLOOKUP($AS1735,Ref!$G$23:$H$28,2))))</f>
        <v/>
      </c>
      <c r="AU1735" s="546" t="str">
        <f t="shared" si="744"/>
        <v/>
      </c>
    </row>
    <row r="1736" spans="1:47" ht="14.25" hidden="1" customHeight="1" x14ac:dyDescent="0.15">
      <c r="A1736" s="575"/>
      <c r="B1736" s="548"/>
      <c r="C1736" s="548"/>
      <c r="D1736" s="548"/>
      <c r="E1736" s="583"/>
      <c r="F1736" s="584"/>
      <c r="G1736" s="548"/>
      <c r="H1736" s="550"/>
      <c r="I1736" s="560"/>
      <c r="J1736" s="548"/>
      <c r="K1736" s="528" t="str">
        <f>IFERROR(VLOOKUP($B1736,'Clients-Live'!$A:$C,3,0),"")</f>
        <v/>
      </c>
      <c r="L1736" s="528">
        <f>IF(E1736="STL",Pricing!$D$38,IF(A1736="",0,IF(A1736&lt;Pricing!$C$25,Pricing!$D$25,VLOOKUP(Disbursements!$F1736,Pricing!$B$29:$D$32,3))))</f>
        <v>0</v>
      </c>
      <c r="M1736" s="528">
        <f>IF(E1736="STL",0,IF(F1736&gt;0,Pricing!$D$21,0))</f>
        <v>0</v>
      </c>
      <c r="N1736" s="529">
        <f>IF(E1736="STL",F1736*Pricing!$D$40,IF(A1736&lt;=Pricing!$C$4,0,IF(AND(A1736&gt;Pricing!$C$4,Disbursements!A1736&lt;=Pricing!$C$5),F1736*Pricing!$E$5,IF(AND(A1736&gt;Pricing!$C$5,Disbursements!A1736&lt;=Pricing!$C$7),VLOOKUP(F1736,Pricing!$D$7:$E$8,2)*Disbursements!F1736,F1736*Pricing!$E$9))))</f>
        <v>0</v>
      </c>
      <c r="O1736" s="528">
        <f>IF(E1736="STL",0,IF($F1736&gt;0,$F1736*Pricing!$D$17,0))</f>
        <v>0</v>
      </c>
      <c r="P1736" s="530" t="str">
        <f t="shared" si="724"/>
        <v/>
      </c>
      <c r="Q1736" s="531" t="str">
        <f>IF($A1736="","",$G1736/VLOOKUP($I1736,Ref!$B$23:$D$29,2,0))</f>
        <v/>
      </c>
      <c r="R1736" s="530" t="str">
        <f t="shared" si="725"/>
        <v/>
      </c>
      <c r="S1736" s="532" t="str">
        <f t="shared" si="719"/>
        <v/>
      </c>
      <c r="T1736" s="531" t="str">
        <f t="shared" si="726"/>
        <v/>
      </c>
      <c r="U1736" s="533">
        <f t="shared" si="727"/>
        <v>0</v>
      </c>
      <c r="V1736" s="531" t="str">
        <f t="shared" si="728"/>
        <v/>
      </c>
      <c r="W1736" s="531" t="str">
        <f t="shared" si="729"/>
        <v/>
      </c>
      <c r="X1736" s="534" t="str">
        <f t="shared" si="730"/>
        <v/>
      </c>
      <c r="Y1736" s="535" t="str">
        <f>IF($A1736="","",IF($I1736="weekly",$A1736+7,EDATE($A1736,VLOOKUP($I1736,Ref!$B$24:$C$29,2,0))))</f>
        <v/>
      </c>
      <c r="Z1736" s="536" t="str">
        <f t="shared" si="731"/>
        <v/>
      </c>
      <c r="AA1736" s="531">
        <f t="shared" si="732"/>
        <v>0</v>
      </c>
      <c r="AB1736" s="535" t="str">
        <f t="shared" si="720"/>
        <v/>
      </c>
      <c r="AC1736" s="537" t="str">
        <f t="shared" si="721"/>
        <v/>
      </c>
      <c r="AD1736" s="538" t="str">
        <f t="shared" ca="1" si="722"/>
        <v/>
      </c>
      <c r="AE1736" s="537">
        <f t="shared" ca="1" si="723"/>
        <v>0</v>
      </c>
      <c r="AF1736" s="539" t="str">
        <f t="shared" ca="1" si="733"/>
        <v/>
      </c>
      <c r="AG1736" s="531" t="str">
        <f t="shared" ca="1" si="734"/>
        <v/>
      </c>
      <c r="AH1736" s="531" t="str">
        <f t="shared" ca="1" si="735"/>
        <v/>
      </c>
      <c r="AI1736" s="531" t="str">
        <f t="shared" ca="1" si="736"/>
        <v/>
      </c>
      <c r="AJ1736" s="531" t="str">
        <f t="shared" si="737"/>
        <v/>
      </c>
      <c r="AK1736" s="540">
        <f>SUMIFS('Live Collections'!$S:$S,'Live Collections'!$D:$D,Disbursements!B1736,'Live Collections'!$G:$G,Disbursements!C1736)</f>
        <v>0</v>
      </c>
      <c r="AL1736" s="540">
        <f>SUMIFS('Live Collections'!$T:$T,'Live Collections'!$D:$D,Disbursements!B1736,'Live Collections'!$G:$G,Disbursements!C1736)</f>
        <v>0</v>
      </c>
      <c r="AM1736" s="541">
        <f t="shared" si="738"/>
        <v>0</v>
      </c>
      <c r="AN1736" s="542" t="str">
        <f t="shared" si="739"/>
        <v/>
      </c>
      <c r="AO1736" s="542" t="str">
        <f t="shared" si="740"/>
        <v/>
      </c>
      <c r="AP1736" s="543" t="str">
        <f t="shared" si="741"/>
        <v/>
      </c>
      <c r="AQ1736" s="544" t="str">
        <f t="shared" si="742"/>
        <v/>
      </c>
      <c r="AR1736" s="545">
        <f t="shared" si="743"/>
        <v>0</v>
      </c>
      <c r="AS1736" s="545">
        <f>IFERROR(CEILING($AR1736*VLOOKUP($I1736,Ref!$B$23:$E$29,4,0),1),0)</f>
        <v>0</v>
      </c>
      <c r="AT1736" s="545" t="str">
        <f>IF(A1736="","",IF(AP1736&lt;=1,"Cleared",IF(AS1736=0,"Clean",VLOOKUP($AS1736,Ref!$G$23:$H$28,2))))</f>
        <v/>
      </c>
      <c r="AU1736" s="546" t="str">
        <f t="shared" si="744"/>
        <v/>
      </c>
    </row>
    <row r="1737" spans="1:47" ht="14.25" hidden="1" customHeight="1" x14ac:dyDescent="0.15">
      <c r="A1737" s="575"/>
      <c r="B1737" s="548"/>
      <c r="C1737" s="548"/>
      <c r="D1737" s="548"/>
      <c r="E1737" s="583"/>
      <c r="F1737" s="584"/>
      <c r="G1737" s="548"/>
      <c r="H1737" s="550"/>
      <c r="I1737" s="560"/>
      <c r="J1737" s="548"/>
      <c r="K1737" s="528" t="str">
        <f>IFERROR(VLOOKUP($B1737,'Clients-Live'!$A:$C,3,0),"")</f>
        <v/>
      </c>
      <c r="L1737" s="528">
        <f>IF(E1737="STL",Pricing!$D$38,IF(A1737="",0,IF(A1737&lt;Pricing!$C$25,Pricing!$D$25,VLOOKUP(Disbursements!$F1737,Pricing!$B$29:$D$32,3))))</f>
        <v>0</v>
      </c>
      <c r="M1737" s="528">
        <f>IF(E1737="STL",0,IF(F1737&gt;0,Pricing!$D$21,0))</f>
        <v>0</v>
      </c>
      <c r="N1737" s="529">
        <f>IF(E1737="STL",F1737*Pricing!$D$40,IF(A1737&lt;=Pricing!$C$4,0,IF(AND(A1737&gt;Pricing!$C$4,Disbursements!A1737&lt;=Pricing!$C$5),F1737*Pricing!$E$5,IF(AND(A1737&gt;Pricing!$C$5,Disbursements!A1737&lt;=Pricing!$C$7),VLOOKUP(F1737,Pricing!$D$7:$E$8,2)*Disbursements!F1737,F1737*Pricing!$E$9))))</f>
        <v>0</v>
      </c>
      <c r="O1737" s="528">
        <f>IF(E1737="STL",0,IF($F1737&gt;0,$F1737*Pricing!$D$17,0))</f>
        <v>0</v>
      </c>
      <c r="P1737" s="530" t="str">
        <f t="shared" si="724"/>
        <v/>
      </c>
      <c r="Q1737" s="531" t="str">
        <f>IF($A1737="","",$G1737/VLOOKUP($I1737,Ref!$B$23:$D$29,2,0))</f>
        <v/>
      </c>
      <c r="R1737" s="530" t="str">
        <f t="shared" si="725"/>
        <v/>
      </c>
      <c r="S1737" s="532" t="str">
        <f t="shared" si="719"/>
        <v/>
      </c>
      <c r="T1737" s="531" t="str">
        <f t="shared" si="726"/>
        <v/>
      </c>
      <c r="U1737" s="533">
        <f t="shared" si="727"/>
        <v>0</v>
      </c>
      <c r="V1737" s="531" t="str">
        <f t="shared" si="728"/>
        <v/>
      </c>
      <c r="W1737" s="531" t="str">
        <f t="shared" si="729"/>
        <v/>
      </c>
      <c r="X1737" s="534" t="str">
        <f t="shared" si="730"/>
        <v/>
      </c>
      <c r="Y1737" s="535" t="str">
        <f>IF($A1737="","",IF($I1737="weekly",$A1737+7,EDATE($A1737,VLOOKUP($I1737,Ref!$B$24:$C$29,2,0))))</f>
        <v/>
      </c>
      <c r="Z1737" s="536" t="str">
        <f t="shared" si="731"/>
        <v/>
      </c>
      <c r="AA1737" s="531">
        <f t="shared" si="732"/>
        <v>0</v>
      </c>
      <c r="AB1737" s="535" t="str">
        <f t="shared" si="720"/>
        <v/>
      </c>
      <c r="AC1737" s="537" t="str">
        <f t="shared" si="721"/>
        <v/>
      </c>
      <c r="AD1737" s="538" t="str">
        <f t="shared" ca="1" si="722"/>
        <v/>
      </c>
      <c r="AE1737" s="537">
        <f t="shared" ca="1" si="723"/>
        <v>0</v>
      </c>
      <c r="AF1737" s="539" t="str">
        <f t="shared" ca="1" si="733"/>
        <v/>
      </c>
      <c r="AG1737" s="531" t="str">
        <f t="shared" ca="1" si="734"/>
        <v/>
      </c>
      <c r="AH1737" s="531" t="str">
        <f t="shared" ca="1" si="735"/>
        <v/>
      </c>
      <c r="AI1737" s="531" t="str">
        <f t="shared" ca="1" si="736"/>
        <v/>
      </c>
      <c r="AJ1737" s="531" t="str">
        <f t="shared" si="737"/>
        <v/>
      </c>
      <c r="AK1737" s="540">
        <f>SUMIFS('Live Collections'!$S:$S,'Live Collections'!$D:$D,Disbursements!B1737,'Live Collections'!$G:$G,Disbursements!C1737)</f>
        <v>0</v>
      </c>
      <c r="AL1737" s="540">
        <f>SUMIFS('Live Collections'!$T:$T,'Live Collections'!$D:$D,Disbursements!B1737,'Live Collections'!$G:$G,Disbursements!C1737)</f>
        <v>0</v>
      </c>
      <c r="AM1737" s="541">
        <f t="shared" si="738"/>
        <v>0</v>
      </c>
      <c r="AN1737" s="542" t="str">
        <f t="shared" si="739"/>
        <v/>
      </c>
      <c r="AO1737" s="542" t="str">
        <f t="shared" si="740"/>
        <v/>
      </c>
      <c r="AP1737" s="543" t="str">
        <f t="shared" si="741"/>
        <v/>
      </c>
      <c r="AQ1737" s="544" t="str">
        <f t="shared" si="742"/>
        <v/>
      </c>
      <c r="AR1737" s="545">
        <f t="shared" si="743"/>
        <v>0</v>
      </c>
      <c r="AS1737" s="545">
        <f>IFERROR(CEILING($AR1737*VLOOKUP($I1737,Ref!$B$23:$E$29,4,0),1),0)</f>
        <v>0</v>
      </c>
      <c r="AT1737" s="545" t="str">
        <f>IF(A1737="","",IF(AP1737&lt;=1,"Cleared",IF(AS1737=0,"Clean",VLOOKUP($AS1737,Ref!$G$23:$H$28,2))))</f>
        <v/>
      </c>
      <c r="AU1737" s="546" t="str">
        <f t="shared" si="744"/>
        <v/>
      </c>
    </row>
    <row r="1738" spans="1:47" ht="14.25" hidden="1" customHeight="1" x14ac:dyDescent="0.15">
      <c r="A1738" s="575"/>
      <c r="B1738" s="548"/>
      <c r="C1738" s="548"/>
      <c r="D1738" s="548"/>
      <c r="E1738" s="583"/>
      <c r="F1738" s="584"/>
      <c r="G1738" s="548"/>
      <c r="H1738" s="550"/>
      <c r="I1738" s="560"/>
      <c r="J1738" s="548"/>
      <c r="K1738" s="528" t="str">
        <f>IFERROR(VLOOKUP($B1738,'Clients-Live'!$A:$C,3,0),"")</f>
        <v/>
      </c>
      <c r="L1738" s="528">
        <f>IF(E1738="STL",Pricing!$D$38,IF(A1738="",0,IF(A1738&lt;Pricing!$C$25,Pricing!$D$25,VLOOKUP(Disbursements!$F1738,Pricing!$B$29:$D$32,3))))</f>
        <v>0</v>
      </c>
      <c r="M1738" s="528">
        <f>IF(E1738="STL",0,IF(F1738&gt;0,Pricing!$D$21,0))</f>
        <v>0</v>
      </c>
      <c r="N1738" s="529">
        <f>IF(E1738="STL",F1738*Pricing!$D$40,IF(A1738&lt;=Pricing!$C$4,0,IF(AND(A1738&gt;Pricing!$C$4,Disbursements!A1738&lt;=Pricing!$C$5),F1738*Pricing!$E$5,IF(AND(A1738&gt;Pricing!$C$5,Disbursements!A1738&lt;=Pricing!$C$7),VLOOKUP(F1738,Pricing!$D$7:$E$8,2)*Disbursements!F1738,F1738*Pricing!$E$9))))</f>
        <v>0</v>
      </c>
      <c r="O1738" s="528">
        <f>IF(E1738="STL",0,IF($F1738&gt;0,$F1738*Pricing!$D$17,0))</f>
        <v>0</v>
      </c>
      <c r="P1738" s="530" t="str">
        <f t="shared" si="724"/>
        <v/>
      </c>
      <c r="Q1738" s="531" t="str">
        <f>IF($A1738="","",$G1738/VLOOKUP($I1738,Ref!$B$23:$D$29,2,0))</f>
        <v/>
      </c>
      <c r="R1738" s="530" t="str">
        <f t="shared" si="725"/>
        <v/>
      </c>
      <c r="S1738" s="532" t="str">
        <f t="shared" si="719"/>
        <v/>
      </c>
      <c r="T1738" s="531" t="str">
        <f t="shared" si="726"/>
        <v/>
      </c>
      <c r="U1738" s="533">
        <f t="shared" si="727"/>
        <v>0</v>
      </c>
      <c r="V1738" s="531" t="str">
        <f t="shared" si="728"/>
        <v/>
      </c>
      <c r="W1738" s="531" t="str">
        <f t="shared" si="729"/>
        <v/>
      </c>
      <c r="X1738" s="534" t="str">
        <f t="shared" si="730"/>
        <v/>
      </c>
      <c r="Y1738" s="535" t="str">
        <f>IF($A1738="","",IF($I1738="weekly",$A1738+7,EDATE($A1738,VLOOKUP($I1738,Ref!$B$24:$C$29,2,0))))</f>
        <v/>
      </c>
      <c r="Z1738" s="536" t="str">
        <f t="shared" si="731"/>
        <v/>
      </c>
      <c r="AA1738" s="531">
        <f t="shared" si="732"/>
        <v>0</v>
      </c>
      <c r="AB1738" s="535" t="str">
        <f t="shared" si="720"/>
        <v/>
      </c>
      <c r="AC1738" s="537" t="str">
        <f t="shared" si="721"/>
        <v/>
      </c>
      <c r="AD1738" s="538" t="str">
        <f t="shared" ca="1" si="722"/>
        <v/>
      </c>
      <c r="AE1738" s="537">
        <f t="shared" ca="1" si="723"/>
        <v>0</v>
      </c>
      <c r="AF1738" s="539" t="str">
        <f t="shared" ca="1" si="733"/>
        <v/>
      </c>
      <c r="AG1738" s="531" t="str">
        <f t="shared" ca="1" si="734"/>
        <v/>
      </c>
      <c r="AH1738" s="531" t="str">
        <f t="shared" ca="1" si="735"/>
        <v/>
      </c>
      <c r="AI1738" s="531" t="str">
        <f t="shared" ca="1" si="736"/>
        <v/>
      </c>
      <c r="AJ1738" s="531" t="str">
        <f t="shared" si="737"/>
        <v/>
      </c>
      <c r="AK1738" s="540">
        <f>SUMIFS('Live Collections'!$S:$S,'Live Collections'!$D:$D,Disbursements!B1738,'Live Collections'!$G:$G,Disbursements!C1738)</f>
        <v>0</v>
      </c>
      <c r="AL1738" s="540">
        <f>SUMIFS('Live Collections'!$T:$T,'Live Collections'!$D:$D,Disbursements!B1738,'Live Collections'!$G:$G,Disbursements!C1738)</f>
        <v>0</v>
      </c>
      <c r="AM1738" s="541">
        <f t="shared" si="738"/>
        <v>0</v>
      </c>
      <c r="AN1738" s="542" t="str">
        <f t="shared" si="739"/>
        <v/>
      </c>
      <c r="AO1738" s="542" t="str">
        <f t="shared" si="740"/>
        <v/>
      </c>
      <c r="AP1738" s="543" t="str">
        <f t="shared" si="741"/>
        <v/>
      </c>
      <c r="AQ1738" s="544" t="str">
        <f t="shared" si="742"/>
        <v/>
      </c>
      <c r="AR1738" s="545">
        <f t="shared" si="743"/>
        <v>0</v>
      </c>
      <c r="AS1738" s="545">
        <f>IFERROR(CEILING($AR1738*VLOOKUP($I1738,Ref!$B$23:$E$29,4,0),1),0)</f>
        <v>0</v>
      </c>
      <c r="AT1738" s="545" t="str">
        <f>IF(A1738="","",IF(AP1738&lt;=1,"Cleared",IF(AS1738=0,"Clean",VLOOKUP($AS1738,Ref!$G$23:$H$28,2))))</f>
        <v/>
      </c>
      <c r="AU1738" s="546" t="str">
        <f t="shared" si="744"/>
        <v/>
      </c>
    </row>
    <row r="1739" spans="1:47" ht="14.25" hidden="1" customHeight="1" x14ac:dyDescent="0.15">
      <c r="A1739" s="575"/>
      <c r="B1739" s="548"/>
      <c r="C1739" s="548"/>
      <c r="D1739" s="548"/>
      <c r="E1739" s="583"/>
      <c r="F1739" s="584"/>
      <c r="G1739" s="548"/>
      <c r="H1739" s="550"/>
      <c r="I1739" s="560"/>
      <c r="J1739" s="548"/>
      <c r="K1739" s="528" t="str">
        <f>IFERROR(VLOOKUP($B1739,'Clients-Live'!$A:$C,3,0),"")</f>
        <v/>
      </c>
      <c r="L1739" s="528">
        <f>IF(E1739="STL",Pricing!$D$38,IF(A1739="",0,IF(A1739&lt;Pricing!$C$25,Pricing!$D$25,VLOOKUP(Disbursements!$F1739,Pricing!$B$29:$D$32,3))))</f>
        <v>0</v>
      </c>
      <c r="M1739" s="528">
        <f>IF(E1739="STL",0,IF(F1739&gt;0,Pricing!$D$21,0))</f>
        <v>0</v>
      </c>
      <c r="N1739" s="529">
        <f>IF(E1739="STL",F1739*Pricing!$D$40,IF(A1739&lt;=Pricing!$C$4,0,IF(AND(A1739&gt;Pricing!$C$4,Disbursements!A1739&lt;=Pricing!$C$5),F1739*Pricing!$E$5,IF(AND(A1739&gt;Pricing!$C$5,Disbursements!A1739&lt;=Pricing!$C$7),VLOOKUP(F1739,Pricing!$D$7:$E$8,2)*Disbursements!F1739,F1739*Pricing!$E$9))))</f>
        <v>0</v>
      </c>
      <c r="O1739" s="528">
        <f>IF(E1739="STL",0,IF($F1739&gt;0,$F1739*Pricing!$D$17,0))</f>
        <v>0</v>
      </c>
      <c r="P1739" s="530" t="str">
        <f t="shared" si="724"/>
        <v/>
      </c>
      <c r="Q1739" s="531" t="str">
        <f>IF($A1739="","",$G1739/VLOOKUP($I1739,Ref!$B$23:$D$29,2,0))</f>
        <v/>
      </c>
      <c r="R1739" s="530" t="str">
        <f t="shared" si="725"/>
        <v/>
      </c>
      <c r="S1739" s="532" t="str">
        <f t="shared" si="719"/>
        <v/>
      </c>
      <c r="T1739" s="531" t="str">
        <f t="shared" si="726"/>
        <v/>
      </c>
      <c r="U1739" s="533">
        <f t="shared" si="727"/>
        <v>0</v>
      </c>
      <c r="V1739" s="531" t="str">
        <f t="shared" si="728"/>
        <v/>
      </c>
      <c r="W1739" s="531" t="str">
        <f t="shared" si="729"/>
        <v/>
      </c>
      <c r="X1739" s="534" t="str">
        <f t="shared" si="730"/>
        <v/>
      </c>
      <c r="Y1739" s="535" t="str">
        <f>IF($A1739="","",IF($I1739="weekly",$A1739+7,EDATE($A1739,VLOOKUP($I1739,Ref!$B$24:$C$29,2,0))))</f>
        <v/>
      </c>
      <c r="Z1739" s="536" t="str">
        <f t="shared" si="731"/>
        <v/>
      </c>
      <c r="AA1739" s="531">
        <f t="shared" si="732"/>
        <v>0</v>
      </c>
      <c r="AB1739" s="535" t="str">
        <f t="shared" si="720"/>
        <v/>
      </c>
      <c r="AC1739" s="537" t="str">
        <f t="shared" si="721"/>
        <v/>
      </c>
      <c r="AD1739" s="538" t="str">
        <f t="shared" ca="1" si="722"/>
        <v/>
      </c>
      <c r="AE1739" s="537">
        <f t="shared" ca="1" si="723"/>
        <v>0</v>
      </c>
      <c r="AF1739" s="539" t="str">
        <f t="shared" ca="1" si="733"/>
        <v/>
      </c>
      <c r="AG1739" s="531" t="str">
        <f t="shared" ca="1" si="734"/>
        <v/>
      </c>
      <c r="AH1739" s="531" t="str">
        <f t="shared" ca="1" si="735"/>
        <v/>
      </c>
      <c r="AI1739" s="531" t="str">
        <f t="shared" ca="1" si="736"/>
        <v/>
      </c>
      <c r="AJ1739" s="531" t="str">
        <f t="shared" si="737"/>
        <v/>
      </c>
      <c r="AK1739" s="540">
        <f>SUMIFS('Live Collections'!$S:$S,'Live Collections'!$D:$D,Disbursements!B1739,'Live Collections'!$G:$G,Disbursements!C1739)</f>
        <v>0</v>
      </c>
      <c r="AL1739" s="540">
        <f>SUMIFS('Live Collections'!$T:$T,'Live Collections'!$D:$D,Disbursements!B1739,'Live Collections'!$G:$G,Disbursements!C1739)</f>
        <v>0</v>
      </c>
      <c r="AM1739" s="541">
        <f t="shared" si="738"/>
        <v>0</v>
      </c>
      <c r="AN1739" s="542" t="str">
        <f t="shared" si="739"/>
        <v/>
      </c>
      <c r="AO1739" s="542" t="str">
        <f t="shared" si="740"/>
        <v/>
      </c>
      <c r="AP1739" s="543" t="str">
        <f t="shared" si="741"/>
        <v/>
      </c>
      <c r="AQ1739" s="544" t="str">
        <f t="shared" si="742"/>
        <v/>
      </c>
      <c r="AR1739" s="545">
        <f t="shared" si="743"/>
        <v>0</v>
      </c>
      <c r="AS1739" s="545">
        <f>IFERROR(CEILING($AR1739*VLOOKUP($I1739,Ref!$B$23:$E$29,4,0),1),0)</f>
        <v>0</v>
      </c>
      <c r="AT1739" s="545" t="str">
        <f>IF(A1739="","",IF(AP1739&lt;=1,"Cleared",IF(AS1739=0,"Clean",VLOOKUP($AS1739,Ref!$G$23:$H$28,2))))</f>
        <v/>
      </c>
      <c r="AU1739" s="546" t="str">
        <f t="shared" si="744"/>
        <v/>
      </c>
    </row>
    <row r="1740" spans="1:47" ht="14.25" hidden="1" customHeight="1" x14ac:dyDescent="0.15">
      <c r="A1740" s="575"/>
      <c r="B1740" s="548"/>
      <c r="C1740" s="548"/>
      <c r="D1740" s="548"/>
      <c r="E1740" s="583"/>
      <c r="F1740" s="584"/>
      <c r="G1740" s="548"/>
      <c r="H1740" s="550"/>
      <c r="I1740" s="560"/>
      <c r="J1740" s="548"/>
      <c r="K1740" s="528" t="str">
        <f>IFERROR(VLOOKUP($B1740,'Clients-Live'!$A:$C,3,0),"")</f>
        <v/>
      </c>
      <c r="L1740" s="528">
        <f>IF(E1740="STL",Pricing!$D$38,IF(A1740="",0,IF(A1740&lt;Pricing!$C$25,Pricing!$D$25,VLOOKUP(Disbursements!$F1740,Pricing!$B$29:$D$32,3))))</f>
        <v>0</v>
      </c>
      <c r="M1740" s="528">
        <f>IF(E1740="STL",0,IF(F1740&gt;0,Pricing!$D$21,0))</f>
        <v>0</v>
      </c>
      <c r="N1740" s="529">
        <f>IF(E1740="STL",F1740*Pricing!$D$40,IF(A1740&lt;=Pricing!$C$4,0,IF(AND(A1740&gt;Pricing!$C$4,Disbursements!A1740&lt;=Pricing!$C$5),F1740*Pricing!$E$5,IF(AND(A1740&gt;Pricing!$C$5,Disbursements!A1740&lt;=Pricing!$C$7),VLOOKUP(F1740,Pricing!$D$7:$E$8,2)*Disbursements!F1740,F1740*Pricing!$E$9))))</f>
        <v>0</v>
      </c>
      <c r="O1740" s="528">
        <f>IF(E1740="STL",0,IF($F1740&gt;0,$F1740*Pricing!$D$17,0))</f>
        <v>0</v>
      </c>
      <c r="P1740" s="530" t="str">
        <f t="shared" si="724"/>
        <v/>
      </c>
      <c r="Q1740" s="531" t="str">
        <f>IF($A1740="","",$G1740/VLOOKUP($I1740,Ref!$B$23:$D$29,2,0))</f>
        <v/>
      </c>
      <c r="R1740" s="530" t="str">
        <f t="shared" si="725"/>
        <v/>
      </c>
      <c r="S1740" s="532" t="str">
        <f t="shared" si="719"/>
        <v/>
      </c>
      <c r="T1740" s="531" t="str">
        <f t="shared" si="726"/>
        <v/>
      </c>
      <c r="U1740" s="533">
        <f t="shared" si="727"/>
        <v>0</v>
      </c>
      <c r="V1740" s="531" t="str">
        <f t="shared" si="728"/>
        <v/>
      </c>
      <c r="W1740" s="531" t="str">
        <f t="shared" si="729"/>
        <v/>
      </c>
      <c r="X1740" s="534" t="str">
        <f t="shared" si="730"/>
        <v/>
      </c>
      <c r="Y1740" s="535" t="str">
        <f>IF($A1740="","",IF($I1740="weekly",$A1740+7,EDATE($A1740,VLOOKUP($I1740,Ref!$B$24:$C$29,2,0))))</f>
        <v/>
      </c>
      <c r="Z1740" s="536" t="str">
        <f t="shared" si="731"/>
        <v/>
      </c>
      <c r="AA1740" s="531">
        <f t="shared" si="732"/>
        <v>0</v>
      </c>
      <c r="AB1740" s="535" t="str">
        <f t="shared" si="720"/>
        <v/>
      </c>
      <c r="AC1740" s="537" t="str">
        <f t="shared" si="721"/>
        <v/>
      </c>
      <c r="AD1740" s="538" t="str">
        <f t="shared" ca="1" si="722"/>
        <v/>
      </c>
      <c r="AE1740" s="537">
        <f t="shared" ca="1" si="723"/>
        <v>0</v>
      </c>
      <c r="AF1740" s="539" t="str">
        <f t="shared" ca="1" si="733"/>
        <v/>
      </c>
      <c r="AG1740" s="531" t="str">
        <f t="shared" ca="1" si="734"/>
        <v/>
      </c>
      <c r="AH1740" s="531" t="str">
        <f t="shared" ca="1" si="735"/>
        <v/>
      </c>
      <c r="AI1740" s="531" t="str">
        <f t="shared" ca="1" si="736"/>
        <v/>
      </c>
      <c r="AJ1740" s="531" t="str">
        <f t="shared" si="737"/>
        <v/>
      </c>
      <c r="AK1740" s="540">
        <f>SUMIFS('Live Collections'!$S:$S,'Live Collections'!$D:$D,Disbursements!B1740,'Live Collections'!$G:$G,Disbursements!C1740)</f>
        <v>0</v>
      </c>
      <c r="AL1740" s="540">
        <f>SUMIFS('Live Collections'!$T:$T,'Live Collections'!$D:$D,Disbursements!B1740,'Live Collections'!$G:$G,Disbursements!C1740)</f>
        <v>0</v>
      </c>
      <c r="AM1740" s="541">
        <f t="shared" si="738"/>
        <v>0</v>
      </c>
      <c r="AN1740" s="542" t="str">
        <f t="shared" si="739"/>
        <v/>
      </c>
      <c r="AO1740" s="542" t="str">
        <f t="shared" si="740"/>
        <v/>
      </c>
      <c r="AP1740" s="543" t="str">
        <f t="shared" si="741"/>
        <v/>
      </c>
      <c r="AQ1740" s="544" t="str">
        <f t="shared" si="742"/>
        <v/>
      </c>
      <c r="AR1740" s="545">
        <f t="shared" si="743"/>
        <v>0</v>
      </c>
      <c r="AS1740" s="545">
        <f>IFERROR(CEILING($AR1740*VLOOKUP($I1740,Ref!$B$23:$E$29,4,0),1),0)</f>
        <v>0</v>
      </c>
      <c r="AT1740" s="545" t="str">
        <f>IF(A1740="","",IF(AP1740&lt;=1,"Cleared",IF(AS1740=0,"Clean",VLOOKUP($AS1740,Ref!$G$23:$H$28,2))))</f>
        <v/>
      </c>
      <c r="AU1740" s="546" t="str">
        <f t="shared" si="744"/>
        <v/>
      </c>
    </row>
    <row r="1741" spans="1:47" ht="14.25" hidden="1" customHeight="1" x14ac:dyDescent="0.15">
      <c r="A1741" s="575"/>
      <c r="B1741" s="548"/>
      <c r="C1741" s="548"/>
      <c r="D1741" s="548"/>
      <c r="E1741" s="583"/>
      <c r="F1741" s="584"/>
      <c r="G1741" s="548"/>
      <c r="H1741" s="550"/>
      <c r="I1741" s="560"/>
      <c r="J1741" s="548"/>
      <c r="K1741" s="528" t="str">
        <f>IFERROR(VLOOKUP($B1741,'Clients-Live'!$A:$C,3,0),"")</f>
        <v/>
      </c>
      <c r="L1741" s="528">
        <f>IF(E1741="STL",Pricing!$D$38,IF(A1741="",0,IF(A1741&lt;Pricing!$C$25,Pricing!$D$25,VLOOKUP(Disbursements!$F1741,Pricing!$B$29:$D$32,3))))</f>
        <v>0</v>
      </c>
      <c r="M1741" s="528">
        <f>IF(E1741="STL",0,IF(F1741&gt;0,Pricing!$D$21,0))</f>
        <v>0</v>
      </c>
      <c r="N1741" s="529">
        <f>IF(E1741="STL",F1741*Pricing!$D$40,IF(A1741&lt;=Pricing!$C$4,0,IF(AND(A1741&gt;Pricing!$C$4,Disbursements!A1741&lt;=Pricing!$C$5),F1741*Pricing!$E$5,IF(AND(A1741&gt;Pricing!$C$5,Disbursements!A1741&lt;=Pricing!$C$7),VLOOKUP(F1741,Pricing!$D$7:$E$8,2)*Disbursements!F1741,F1741*Pricing!$E$9))))</f>
        <v>0</v>
      </c>
      <c r="O1741" s="528">
        <f>IF(E1741="STL",0,IF($F1741&gt;0,$F1741*Pricing!$D$17,0))</f>
        <v>0</v>
      </c>
      <c r="P1741" s="530" t="str">
        <f t="shared" si="724"/>
        <v/>
      </c>
      <c r="Q1741" s="531" t="str">
        <f>IF($A1741="","",$G1741/VLOOKUP($I1741,Ref!$B$23:$D$29,2,0))</f>
        <v/>
      </c>
      <c r="R1741" s="530" t="str">
        <f t="shared" si="725"/>
        <v/>
      </c>
      <c r="S1741" s="532" t="str">
        <f t="shared" si="719"/>
        <v/>
      </c>
      <c r="T1741" s="531" t="str">
        <f t="shared" si="726"/>
        <v/>
      </c>
      <c r="U1741" s="533">
        <f t="shared" si="727"/>
        <v>0</v>
      </c>
      <c r="V1741" s="531" t="str">
        <f t="shared" si="728"/>
        <v/>
      </c>
      <c r="W1741" s="531" t="str">
        <f t="shared" si="729"/>
        <v/>
      </c>
      <c r="X1741" s="534" t="str">
        <f t="shared" si="730"/>
        <v/>
      </c>
      <c r="Y1741" s="535" t="str">
        <f>IF($A1741="","",IF($I1741="weekly",$A1741+7,EDATE($A1741,VLOOKUP($I1741,Ref!$B$24:$C$29,2,0))))</f>
        <v/>
      </c>
      <c r="Z1741" s="536" t="str">
        <f t="shared" si="731"/>
        <v/>
      </c>
      <c r="AA1741" s="531">
        <f t="shared" si="732"/>
        <v>0</v>
      </c>
      <c r="AB1741" s="535" t="str">
        <f t="shared" si="720"/>
        <v/>
      </c>
      <c r="AC1741" s="537" t="str">
        <f t="shared" si="721"/>
        <v/>
      </c>
      <c r="AD1741" s="538" t="str">
        <f t="shared" ca="1" si="722"/>
        <v/>
      </c>
      <c r="AE1741" s="537">
        <f t="shared" ca="1" si="723"/>
        <v>0</v>
      </c>
      <c r="AF1741" s="539" t="str">
        <f t="shared" ca="1" si="733"/>
        <v/>
      </c>
      <c r="AG1741" s="531" t="str">
        <f t="shared" ca="1" si="734"/>
        <v/>
      </c>
      <c r="AH1741" s="531" t="str">
        <f t="shared" ca="1" si="735"/>
        <v/>
      </c>
      <c r="AI1741" s="531" t="str">
        <f t="shared" ca="1" si="736"/>
        <v/>
      </c>
      <c r="AJ1741" s="531" t="str">
        <f t="shared" si="737"/>
        <v/>
      </c>
      <c r="AK1741" s="540">
        <f>SUMIFS('Live Collections'!$S:$S,'Live Collections'!$D:$D,Disbursements!B1741,'Live Collections'!$G:$G,Disbursements!C1741)</f>
        <v>0</v>
      </c>
      <c r="AL1741" s="540">
        <f>SUMIFS('Live Collections'!$T:$T,'Live Collections'!$D:$D,Disbursements!B1741,'Live Collections'!$G:$G,Disbursements!C1741)</f>
        <v>0</v>
      </c>
      <c r="AM1741" s="541">
        <f t="shared" si="738"/>
        <v>0</v>
      </c>
      <c r="AN1741" s="542" t="str">
        <f t="shared" si="739"/>
        <v/>
      </c>
      <c r="AO1741" s="542" t="str">
        <f t="shared" si="740"/>
        <v/>
      </c>
      <c r="AP1741" s="543" t="str">
        <f t="shared" si="741"/>
        <v/>
      </c>
      <c r="AQ1741" s="544" t="str">
        <f t="shared" si="742"/>
        <v/>
      </c>
      <c r="AR1741" s="545">
        <f t="shared" si="743"/>
        <v>0</v>
      </c>
      <c r="AS1741" s="545">
        <f>IFERROR(CEILING($AR1741*VLOOKUP($I1741,Ref!$B$23:$E$29,4,0),1),0)</f>
        <v>0</v>
      </c>
      <c r="AT1741" s="545" t="str">
        <f>IF(A1741="","",IF(AP1741&lt;=1,"Cleared",IF(AS1741=0,"Clean",VLOOKUP($AS1741,Ref!$G$23:$H$28,2))))</f>
        <v/>
      </c>
      <c r="AU1741" s="546" t="str">
        <f t="shared" si="744"/>
        <v/>
      </c>
    </row>
    <row r="1742" spans="1:47" ht="14.25" hidden="1" customHeight="1" x14ac:dyDescent="0.15">
      <c r="A1742" s="575"/>
      <c r="B1742" s="548"/>
      <c r="C1742" s="548"/>
      <c r="D1742" s="548"/>
      <c r="E1742" s="583"/>
      <c r="F1742" s="584"/>
      <c r="G1742" s="548"/>
      <c r="H1742" s="550"/>
      <c r="I1742" s="560"/>
      <c r="J1742" s="548"/>
      <c r="K1742" s="528" t="str">
        <f>IFERROR(VLOOKUP($B1742,'Clients-Live'!$A:$C,3,0),"")</f>
        <v/>
      </c>
      <c r="L1742" s="528">
        <f>IF(E1742="STL",Pricing!$D$38,IF(A1742="",0,IF(A1742&lt;Pricing!$C$25,Pricing!$D$25,VLOOKUP(Disbursements!$F1742,Pricing!$B$29:$D$32,3))))</f>
        <v>0</v>
      </c>
      <c r="M1742" s="528">
        <f>IF(E1742="STL",0,IF(F1742&gt;0,Pricing!$D$21,0))</f>
        <v>0</v>
      </c>
      <c r="N1742" s="529">
        <f>IF(E1742="STL",F1742*Pricing!$D$40,IF(A1742&lt;=Pricing!$C$4,0,IF(AND(A1742&gt;Pricing!$C$4,Disbursements!A1742&lt;=Pricing!$C$5),F1742*Pricing!$E$5,IF(AND(A1742&gt;Pricing!$C$5,Disbursements!A1742&lt;=Pricing!$C$7),VLOOKUP(F1742,Pricing!$D$7:$E$8,2)*Disbursements!F1742,F1742*Pricing!$E$9))))</f>
        <v>0</v>
      </c>
      <c r="O1742" s="528">
        <f>IF(E1742="STL",0,IF($F1742&gt;0,$F1742*Pricing!$D$17,0))</f>
        <v>0</v>
      </c>
      <c r="P1742" s="530" t="str">
        <f t="shared" si="724"/>
        <v/>
      </c>
      <c r="Q1742" s="531" t="str">
        <f>IF($A1742="","",$G1742/VLOOKUP($I1742,Ref!$B$23:$D$29,2,0))</f>
        <v/>
      </c>
      <c r="R1742" s="530" t="str">
        <f t="shared" si="725"/>
        <v/>
      </c>
      <c r="S1742" s="532" t="str">
        <f t="shared" si="719"/>
        <v/>
      </c>
      <c r="T1742" s="531" t="str">
        <f t="shared" si="726"/>
        <v/>
      </c>
      <c r="U1742" s="533">
        <f t="shared" si="727"/>
        <v>0</v>
      </c>
      <c r="V1742" s="531" t="str">
        <f t="shared" si="728"/>
        <v/>
      </c>
      <c r="W1742" s="531" t="str">
        <f t="shared" si="729"/>
        <v/>
      </c>
      <c r="X1742" s="534" t="str">
        <f t="shared" si="730"/>
        <v/>
      </c>
      <c r="Y1742" s="535" t="str">
        <f>IF($A1742="","",IF($I1742="weekly",$A1742+7,EDATE($A1742,VLOOKUP($I1742,Ref!$B$24:$C$29,2,0))))</f>
        <v/>
      </c>
      <c r="Z1742" s="536" t="str">
        <f t="shared" si="731"/>
        <v/>
      </c>
      <c r="AA1742" s="531">
        <f t="shared" si="732"/>
        <v>0</v>
      </c>
      <c r="AB1742" s="535" t="str">
        <f t="shared" si="720"/>
        <v/>
      </c>
      <c r="AC1742" s="537" t="str">
        <f t="shared" si="721"/>
        <v/>
      </c>
      <c r="AD1742" s="538" t="str">
        <f t="shared" ca="1" si="722"/>
        <v/>
      </c>
      <c r="AE1742" s="537">
        <f t="shared" ca="1" si="723"/>
        <v>0</v>
      </c>
      <c r="AF1742" s="539" t="str">
        <f t="shared" ca="1" si="733"/>
        <v/>
      </c>
      <c r="AG1742" s="531" t="str">
        <f t="shared" ca="1" si="734"/>
        <v/>
      </c>
      <c r="AH1742" s="531" t="str">
        <f t="shared" ca="1" si="735"/>
        <v/>
      </c>
      <c r="AI1742" s="531" t="str">
        <f t="shared" ca="1" si="736"/>
        <v/>
      </c>
      <c r="AJ1742" s="531" t="str">
        <f t="shared" si="737"/>
        <v/>
      </c>
      <c r="AK1742" s="540">
        <f>SUMIFS('Live Collections'!$S:$S,'Live Collections'!$D:$D,Disbursements!B1742,'Live Collections'!$G:$G,Disbursements!C1742)</f>
        <v>0</v>
      </c>
      <c r="AL1742" s="540">
        <f>SUMIFS('Live Collections'!$T:$T,'Live Collections'!$D:$D,Disbursements!B1742,'Live Collections'!$G:$G,Disbursements!C1742)</f>
        <v>0</v>
      </c>
      <c r="AM1742" s="541">
        <f t="shared" si="738"/>
        <v>0</v>
      </c>
      <c r="AN1742" s="542" t="str">
        <f t="shared" si="739"/>
        <v/>
      </c>
      <c r="AO1742" s="542" t="str">
        <f t="shared" si="740"/>
        <v/>
      </c>
      <c r="AP1742" s="543" t="str">
        <f t="shared" si="741"/>
        <v/>
      </c>
      <c r="AQ1742" s="544" t="str">
        <f t="shared" si="742"/>
        <v/>
      </c>
      <c r="AR1742" s="545">
        <f t="shared" si="743"/>
        <v>0</v>
      </c>
      <c r="AS1742" s="545">
        <f>IFERROR(CEILING($AR1742*VLOOKUP($I1742,Ref!$B$23:$E$29,4,0),1),0)</f>
        <v>0</v>
      </c>
      <c r="AT1742" s="545" t="str">
        <f>IF(A1742="","",IF(AP1742&lt;=1,"Cleared",IF(AS1742=0,"Clean",VLOOKUP($AS1742,Ref!$G$23:$H$28,2))))</f>
        <v/>
      </c>
      <c r="AU1742" s="546" t="str">
        <f t="shared" si="744"/>
        <v/>
      </c>
    </row>
    <row r="1743" spans="1:47" ht="14.25" hidden="1" customHeight="1" x14ac:dyDescent="0.15">
      <c r="A1743" s="575"/>
      <c r="B1743" s="548"/>
      <c r="C1743" s="548"/>
      <c r="D1743" s="548"/>
      <c r="E1743" s="583"/>
      <c r="F1743" s="584"/>
      <c r="G1743" s="548"/>
      <c r="H1743" s="550"/>
      <c r="I1743" s="560"/>
      <c r="J1743" s="548"/>
      <c r="K1743" s="528" t="str">
        <f>IFERROR(VLOOKUP($B1743,'Clients-Live'!$A:$C,3,0),"")</f>
        <v/>
      </c>
      <c r="L1743" s="528">
        <f>IF(E1743="STL",Pricing!$D$38,IF(A1743="",0,IF(A1743&lt;Pricing!$C$25,Pricing!$D$25,VLOOKUP(Disbursements!$F1743,Pricing!$B$29:$D$32,3))))</f>
        <v>0</v>
      </c>
      <c r="M1743" s="528">
        <f>IF(E1743="STL",0,IF(F1743&gt;0,Pricing!$D$21,0))</f>
        <v>0</v>
      </c>
      <c r="N1743" s="529">
        <f>IF(E1743="STL",F1743*Pricing!$D$40,IF(A1743&lt;=Pricing!$C$4,0,IF(AND(A1743&gt;Pricing!$C$4,Disbursements!A1743&lt;=Pricing!$C$5),F1743*Pricing!$E$5,IF(AND(A1743&gt;Pricing!$C$5,Disbursements!A1743&lt;=Pricing!$C$7),VLOOKUP(F1743,Pricing!$D$7:$E$8,2)*Disbursements!F1743,F1743*Pricing!$E$9))))</f>
        <v>0</v>
      </c>
      <c r="O1743" s="528">
        <f>IF(E1743="STL",0,IF($F1743&gt;0,$F1743*Pricing!$D$17,0))</f>
        <v>0</v>
      </c>
      <c r="P1743" s="530" t="str">
        <f t="shared" si="724"/>
        <v/>
      </c>
      <c r="Q1743" s="531" t="str">
        <f>IF($A1743="","",$G1743/VLOOKUP($I1743,Ref!$B$23:$D$29,2,0))</f>
        <v/>
      </c>
      <c r="R1743" s="530" t="str">
        <f t="shared" si="725"/>
        <v/>
      </c>
      <c r="S1743" s="532" t="str">
        <f t="shared" si="719"/>
        <v/>
      </c>
      <c r="T1743" s="531" t="str">
        <f t="shared" si="726"/>
        <v/>
      </c>
      <c r="U1743" s="533">
        <f t="shared" si="727"/>
        <v>0</v>
      </c>
      <c r="V1743" s="531" t="str">
        <f t="shared" si="728"/>
        <v/>
      </c>
      <c r="W1743" s="531" t="str">
        <f t="shared" si="729"/>
        <v/>
      </c>
      <c r="X1743" s="534" t="str">
        <f t="shared" si="730"/>
        <v/>
      </c>
      <c r="Y1743" s="535" t="str">
        <f>IF($A1743="","",IF($I1743="weekly",$A1743+7,EDATE($A1743,VLOOKUP($I1743,Ref!$B$24:$C$29,2,0))))</f>
        <v/>
      </c>
      <c r="Z1743" s="536" t="str">
        <f t="shared" si="731"/>
        <v/>
      </c>
      <c r="AA1743" s="531">
        <f t="shared" si="732"/>
        <v>0</v>
      </c>
      <c r="AB1743" s="535" t="str">
        <f t="shared" si="720"/>
        <v/>
      </c>
      <c r="AC1743" s="537" t="str">
        <f t="shared" si="721"/>
        <v/>
      </c>
      <c r="AD1743" s="538" t="str">
        <f t="shared" ca="1" si="722"/>
        <v/>
      </c>
      <c r="AE1743" s="537">
        <f t="shared" ca="1" si="723"/>
        <v>0</v>
      </c>
      <c r="AF1743" s="539" t="str">
        <f t="shared" ca="1" si="733"/>
        <v/>
      </c>
      <c r="AG1743" s="531" t="str">
        <f t="shared" ca="1" si="734"/>
        <v/>
      </c>
      <c r="AH1743" s="531" t="str">
        <f t="shared" ca="1" si="735"/>
        <v/>
      </c>
      <c r="AI1743" s="531" t="str">
        <f t="shared" ca="1" si="736"/>
        <v/>
      </c>
      <c r="AJ1743" s="531" t="str">
        <f t="shared" si="737"/>
        <v/>
      </c>
      <c r="AK1743" s="540">
        <f>SUMIFS('Live Collections'!$S:$S,'Live Collections'!$D:$D,Disbursements!B1743,'Live Collections'!$G:$G,Disbursements!C1743)</f>
        <v>0</v>
      </c>
      <c r="AL1743" s="540">
        <f>SUMIFS('Live Collections'!$T:$T,'Live Collections'!$D:$D,Disbursements!B1743,'Live Collections'!$G:$G,Disbursements!C1743)</f>
        <v>0</v>
      </c>
      <c r="AM1743" s="541">
        <f t="shared" si="738"/>
        <v>0</v>
      </c>
      <c r="AN1743" s="542" t="str">
        <f t="shared" si="739"/>
        <v/>
      </c>
      <c r="AO1743" s="542" t="str">
        <f t="shared" si="740"/>
        <v/>
      </c>
      <c r="AP1743" s="543" t="str">
        <f t="shared" si="741"/>
        <v/>
      </c>
      <c r="AQ1743" s="544" t="str">
        <f t="shared" si="742"/>
        <v/>
      </c>
      <c r="AR1743" s="545">
        <f t="shared" si="743"/>
        <v>0</v>
      </c>
      <c r="AS1743" s="545">
        <f>IFERROR(CEILING($AR1743*VLOOKUP($I1743,Ref!$B$23:$E$29,4,0),1),0)</f>
        <v>0</v>
      </c>
      <c r="AT1743" s="545" t="str">
        <f>IF(A1743="","",IF(AP1743&lt;=1,"Cleared",IF(AS1743=0,"Clean",VLOOKUP($AS1743,Ref!$G$23:$H$28,2))))</f>
        <v/>
      </c>
      <c r="AU1743" s="546" t="str">
        <f t="shared" si="744"/>
        <v/>
      </c>
    </row>
    <row r="1744" spans="1:47" ht="14.25" hidden="1" customHeight="1" x14ac:dyDescent="0.15">
      <c r="A1744" s="575"/>
      <c r="B1744" s="548"/>
      <c r="C1744" s="548"/>
      <c r="D1744" s="548"/>
      <c r="E1744" s="583"/>
      <c r="F1744" s="584"/>
      <c r="G1744" s="548"/>
      <c r="H1744" s="550"/>
      <c r="I1744" s="560"/>
      <c r="J1744" s="548"/>
      <c r="K1744" s="528" t="str">
        <f>IFERROR(VLOOKUP($B1744,'Clients-Live'!$A:$C,3,0),"")</f>
        <v/>
      </c>
      <c r="L1744" s="528">
        <f>IF(E1744="STL",Pricing!$D$38,IF(A1744="",0,IF(A1744&lt;Pricing!$C$25,Pricing!$D$25,VLOOKUP(Disbursements!$F1744,Pricing!$B$29:$D$32,3))))</f>
        <v>0</v>
      </c>
      <c r="M1744" s="528">
        <f>IF(E1744="STL",0,IF(F1744&gt;0,Pricing!$D$21,0))</f>
        <v>0</v>
      </c>
      <c r="N1744" s="529">
        <f>IF(E1744="STL",F1744*Pricing!$D$40,IF(A1744&lt;=Pricing!$C$4,0,IF(AND(A1744&gt;Pricing!$C$4,Disbursements!A1744&lt;=Pricing!$C$5),F1744*Pricing!$E$5,IF(AND(A1744&gt;Pricing!$C$5,Disbursements!A1744&lt;=Pricing!$C$7),VLOOKUP(F1744,Pricing!$D$7:$E$8,2)*Disbursements!F1744,F1744*Pricing!$E$9))))</f>
        <v>0</v>
      </c>
      <c r="O1744" s="528">
        <f>IF(E1744="STL",0,IF($F1744&gt;0,$F1744*Pricing!$D$17,0))</f>
        <v>0</v>
      </c>
      <c r="P1744" s="530" t="str">
        <f t="shared" si="724"/>
        <v/>
      </c>
      <c r="Q1744" s="531" t="str">
        <f>IF($A1744="","",$G1744/VLOOKUP($I1744,Ref!$B$23:$D$29,2,0))</f>
        <v/>
      </c>
      <c r="R1744" s="530" t="str">
        <f t="shared" si="725"/>
        <v/>
      </c>
      <c r="S1744" s="532" t="str">
        <f t="shared" si="719"/>
        <v/>
      </c>
      <c r="T1744" s="531" t="str">
        <f t="shared" si="726"/>
        <v/>
      </c>
      <c r="U1744" s="533">
        <f t="shared" si="727"/>
        <v>0</v>
      </c>
      <c r="V1744" s="531" t="str">
        <f t="shared" si="728"/>
        <v/>
      </c>
      <c r="W1744" s="531" t="str">
        <f t="shared" si="729"/>
        <v/>
      </c>
      <c r="X1744" s="534" t="str">
        <f t="shared" si="730"/>
        <v/>
      </c>
      <c r="Y1744" s="535" t="str">
        <f>IF($A1744="","",IF($I1744="weekly",$A1744+7,EDATE($A1744,VLOOKUP($I1744,Ref!$B$24:$C$29,2,0))))</f>
        <v/>
      </c>
      <c r="Z1744" s="536" t="str">
        <f t="shared" si="731"/>
        <v/>
      </c>
      <c r="AA1744" s="531">
        <f t="shared" si="732"/>
        <v>0</v>
      </c>
      <c r="AB1744" s="535" t="str">
        <f t="shared" si="720"/>
        <v/>
      </c>
      <c r="AC1744" s="537" t="str">
        <f t="shared" si="721"/>
        <v/>
      </c>
      <c r="AD1744" s="538" t="str">
        <f t="shared" ca="1" si="722"/>
        <v/>
      </c>
      <c r="AE1744" s="537">
        <f t="shared" ca="1" si="723"/>
        <v>0</v>
      </c>
      <c r="AF1744" s="539" t="str">
        <f t="shared" ca="1" si="733"/>
        <v/>
      </c>
      <c r="AG1744" s="531" t="str">
        <f t="shared" ca="1" si="734"/>
        <v/>
      </c>
      <c r="AH1744" s="531" t="str">
        <f t="shared" ca="1" si="735"/>
        <v/>
      </c>
      <c r="AI1744" s="531" t="str">
        <f t="shared" ca="1" si="736"/>
        <v/>
      </c>
      <c r="AJ1744" s="531" t="str">
        <f t="shared" si="737"/>
        <v/>
      </c>
      <c r="AK1744" s="540">
        <f>SUMIFS('Live Collections'!$S:$S,'Live Collections'!$D:$D,Disbursements!B1744,'Live Collections'!$G:$G,Disbursements!C1744)</f>
        <v>0</v>
      </c>
      <c r="AL1744" s="540">
        <f>SUMIFS('Live Collections'!$T:$T,'Live Collections'!$D:$D,Disbursements!B1744,'Live Collections'!$G:$G,Disbursements!C1744)</f>
        <v>0</v>
      </c>
      <c r="AM1744" s="541">
        <f t="shared" si="738"/>
        <v>0</v>
      </c>
      <c r="AN1744" s="542" t="str">
        <f t="shared" si="739"/>
        <v/>
      </c>
      <c r="AO1744" s="542" t="str">
        <f t="shared" si="740"/>
        <v/>
      </c>
      <c r="AP1744" s="543" t="str">
        <f t="shared" si="741"/>
        <v/>
      </c>
      <c r="AQ1744" s="544" t="str">
        <f t="shared" si="742"/>
        <v/>
      </c>
      <c r="AR1744" s="545">
        <f t="shared" si="743"/>
        <v>0</v>
      </c>
      <c r="AS1744" s="545">
        <f>IFERROR(CEILING($AR1744*VLOOKUP($I1744,Ref!$B$23:$E$29,4,0),1),0)</f>
        <v>0</v>
      </c>
      <c r="AT1744" s="545" t="str">
        <f>IF(A1744="","",IF(AP1744&lt;=1,"Cleared",IF(AS1744=0,"Clean",VLOOKUP($AS1744,Ref!$G$23:$H$28,2))))</f>
        <v/>
      </c>
      <c r="AU1744" s="546" t="str">
        <f t="shared" si="744"/>
        <v/>
      </c>
    </row>
    <row r="1745" spans="1:47" ht="14.25" hidden="1" customHeight="1" x14ac:dyDescent="0.15">
      <c r="A1745" s="575"/>
      <c r="B1745" s="548"/>
      <c r="C1745" s="548"/>
      <c r="D1745" s="548"/>
      <c r="E1745" s="583"/>
      <c r="F1745" s="584"/>
      <c r="G1745" s="548"/>
      <c r="H1745" s="550"/>
      <c r="I1745" s="560"/>
      <c r="J1745" s="548"/>
      <c r="K1745" s="528" t="str">
        <f>IFERROR(VLOOKUP($B1745,'Clients-Live'!$A:$C,3,0),"")</f>
        <v/>
      </c>
      <c r="L1745" s="528">
        <f>IF(E1745="STL",Pricing!$D$38,IF(A1745="",0,IF(A1745&lt;Pricing!$C$25,Pricing!$D$25,VLOOKUP(Disbursements!$F1745,Pricing!$B$29:$D$32,3))))</f>
        <v>0</v>
      </c>
      <c r="M1745" s="528">
        <f>IF(E1745="STL",0,IF(F1745&gt;0,Pricing!$D$21,0))</f>
        <v>0</v>
      </c>
      <c r="N1745" s="529">
        <f>IF(E1745="STL",F1745*Pricing!$D$40,IF(A1745&lt;=Pricing!$C$4,0,IF(AND(A1745&gt;Pricing!$C$4,Disbursements!A1745&lt;=Pricing!$C$5),F1745*Pricing!$E$5,IF(AND(A1745&gt;Pricing!$C$5,Disbursements!A1745&lt;=Pricing!$C$7),VLOOKUP(F1745,Pricing!$D$7:$E$8,2)*Disbursements!F1745,F1745*Pricing!$E$9))))</f>
        <v>0</v>
      </c>
      <c r="O1745" s="528">
        <f>IF(E1745="STL",0,IF($F1745&gt;0,$F1745*Pricing!$D$17,0))</f>
        <v>0</v>
      </c>
      <c r="P1745" s="530" t="str">
        <f t="shared" si="724"/>
        <v/>
      </c>
      <c r="Q1745" s="531" t="str">
        <f>IF($A1745="","",$G1745/VLOOKUP($I1745,Ref!$B$23:$D$29,2,0))</f>
        <v/>
      </c>
      <c r="R1745" s="530" t="str">
        <f t="shared" si="725"/>
        <v/>
      </c>
      <c r="S1745" s="532" t="str">
        <f t="shared" si="719"/>
        <v/>
      </c>
      <c r="T1745" s="531" t="str">
        <f t="shared" si="726"/>
        <v/>
      </c>
      <c r="U1745" s="533">
        <f t="shared" si="727"/>
        <v>0</v>
      </c>
      <c r="V1745" s="531" t="str">
        <f t="shared" si="728"/>
        <v/>
      </c>
      <c r="W1745" s="531" t="str">
        <f t="shared" si="729"/>
        <v/>
      </c>
      <c r="X1745" s="534" t="str">
        <f t="shared" si="730"/>
        <v/>
      </c>
      <c r="Y1745" s="535" t="str">
        <f>IF($A1745="","",IF($I1745="weekly",$A1745+7,EDATE($A1745,VLOOKUP($I1745,Ref!$B$24:$C$29,2,0))))</f>
        <v/>
      </c>
      <c r="Z1745" s="536" t="str">
        <f t="shared" si="731"/>
        <v/>
      </c>
      <c r="AA1745" s="531">
        <f t="shared" si="732"/>
        <v>0</v>
      </c>
      <c r="AB1745" s="535" t="str">
        <f t="shared" si="720"/>
        <v/>
      </c>
      <c r="AC1745" s="537" t="str">
        <f t="shared" si="721"/>
        <v/>
      </c>
      <c r="AD1745" s="538" t="str">
        <f t="shared" ca="1" si="722"/>
        <v/>
      </c>
      <c r="AE1745" s="537">
        <f t="shared" ca="1" si="723"/>
        <v>0</v>
      </c>
      <c r="AF1745" s="539" t="str">
        <f t="shared" ca="1" si="733"/>
        <v/>
      </c>
      <c r="AG1745" s="531" t="str">
        <f t="shared" ca="1" si="734"/>
        <v/>
      </c>
      <c r="AH1745" s="531" t="str">
        <f t="shared" ca="1" si="735"/>
        <v/>
      </c>
      <c r="AI1745" s="531" t="str">
        <f t="shared" ca="1" si="736"/>
        <v/>
      </c>
      <c r="AJ1745" s="531" t="str">
        <f t="shared" si="737"/>
        <v/>
      </c>
      <c r="AK1745" s="540">
        <f>SUMIFS('Live Collections'!$S:$S,'Live Collections'!$D:$D,Disbursements!B1745,'Live Collections'!$G:$G,Disbursements!C1745)</f>
        <v>0</v>
      </c>
      <c r="AL1745" s="540">
        <f>SUMIFS('Live Collections'!$T:$T,'Live Collections'!$D:$D,Disbursements!B1745,'Live Collections'!$G:$G,Disbursements!C1745)</f>
        <v>0</v>
      </c>
      <c r="AM1745" s="541">
        <f t="shared" si="738"/>
        <v>0</v>
      </c>
      <c r="AN1745" s="542" t="str">
        <f t="shared" si="739"/>
        <v/>
      </c>
      <c r="AO1745" s="542" t="str">
        <f t="shared" si="740"/>
        <v/>
      </c>
      <c r="AP1745" s="543" t="str">
        <f t="shared" si="741"/>
        <v/>
      </c>
      <c r="AQ1745" s="544" t="str">
        <f t="shared" si="742"/>
        <v/>
      </c>
      <c r="AR1745" s="545">
        <f t="shared" si="743"/>
        <v>0</v>
      </c>
      <c r="AS1745" s="545">
        <f>IFERROR(CEILING($AR1745*VLOOKUP($I1745,Ref!$B$23:$E$29,4,0),1),0)</f>
        <v>0</v>
      </c>
      <c r="AT1745" s="545" t="str">
        <f>IF(A1745="","",IF(AP1745&lt;=1,"Cleared",IF(AS1745=0,"Clean",VLOOKUP($AS1745,Ref!$G$23:$H$28,2))))</f>
        <v/>
      </c>
      <c r="AU1745" s="546" t="str">
        <f t="shared" si="744"/>
        <v/>
      </c>
    </row>
    <row r="1746" spans="1:47" ht="14.25" hidden="1" customHeight="1" x14ac:dyDescent="0.15">
      <c r="A1746" s="575"/>
      <c r="B1746" s="548"/>
      <c r="C1746" s="548"/>
      <c r="D1746" s="548"/>
      <c r="E1746" s="583"/>
      <c r="F1746" s="584"/>
      <c r="G1746" s="548"/>
      <c r="H1746" s="550"/>
      <c r="I1746" s="560"/>
      <c r="J1746" s="548"/>
      <c r="K1746" s="528" t="str">
        <f>IFERROR(VLOOKUP($B1746,'Clients-Live'!$A:$C,3,0),"")</f>
        <v/>
      </c>
      <c r="L1746" s="528">
        <f>IF(E1746="STL",Pricing!$D$38,IF(A1746="",0,IF(A1746&lt;Pricing!$C$25,Pricing!$D$25,VLOOKUP(Disbursements!$F1746,Pricing!$B$29:$D$32,3))))</f>
        <v>0</v>
      </c>
      <c r="M1746" s="528">
        <f>IF(E1746="STL",0,IF(F1746&gt;0,Pricing!$D$21,0))</f>
        <v>0</v>
      </c>
      <c r="N1746" s="529">
        <f>IF(E1746="STL",F1746*Pricing!$D$40,IF(A1746&lt;=Pricing!$C$4,0,IF(AND(A1746&gt;Pricing!$C$4,Disbursements!A1746&lt;=Pricing!$C$5),F1746*Pricing!$E$5,IF(AND(A1746&gt;Pricing!$C$5,Disbursements!A1746&lt;=Pricing!$C$7),VLOOKUP(F1746,Pricing!$D$7:$E$8,2)*Disbursements!F1746,F1746*Pricing!$E$9))))</f>
        <v>0</v>
      </c>
      <c r="O1746" s="528">
        <f>IF(E1746="STL",0,IF($F1746&gt;0,$F1746*Pricing!$D$17,0))</f>
        <v>0</v>
      </c>
      <c r="P1746" s="530" t="str">
        <f t="shared" si="724"/>
        <v/>
      </c>
      <c r="Q1746" s="531" t="str">
        <f>IF($A1746="","",$G1746/VLOOKUP($I1746,Ref!$B$23:$D$29,2,0))</f>
        <v/>
      </c>
      <c r="R1746" s="530" t="str">
        <f t="shared" si="725"/>
        <v/>
      </c>
      <c r="S1746" s="532" t="str">
        <f t="shared" si="719"/>
        <v/>
      </c>
      <c r="T1746" s="531" t="str">
        <f t="shared" si="726"/>
        <v/>
      </c>
      <c r="U1746" s="533">
        <f t="shared" si="727"/>
        <v>0</v>
      </c>
      <c r="V1746" s="531" t="str">
        <f t="shared" si="728"/>
        <v/>
      </c>
      <c r="W1746" s="531" t="str">
        <f t="shared" si="729"/>
        <v/>
      </c>
      <c r="X1746" s="534" t="str">
        <f t="shared" si="730"/>
        <v/>
      </c>
      <c r="Y1746" s="535" t="str">
        <f>IF($A1746="","",IF($I1746="weekly",$A1746+7,EDATE($A1746,VLOOKUP($I1746,Ref!$B$24:$C$29,2,0))))</f>
        <v/>
      </c>
      <c r="Z1746" s="536" t="str">
        <f t="shared" si="731"/>
        <v/>
      </c>
      <c r="AA1746" s="531">
        <f t="shared" si="732"/>
        <v>0</v>
      </c>
      <c r="AB1746" s="535" t="str">
        <f t="shared" si="720"/>
        <v/>
      </c>
      <c r="AC1746" s="537" t="str">
        <f t="shared" si="721"/>
        <v/>
      </c>
      <c r="AD1746" s="538" t="str">
        <f t="shared" ca="1" si="722"/>
        <v/>
      </c>
      <c r="AE1746" s="537">
        <f t="shared" ca="1" si="723"/>
        <v>0</v>
      </c>
      <c r="AF1746" s="539" t="str">
        <f t="shared" ca="1" si="733"/>
        <v/>
      </c>
      <c r="AG1746" s="531" t="str">
        <f t="shared" ca="1" si="734"/>
        <v/>
      </c>
      <c r="AH1746" s="531" t="str">
        <f t="shared" ca="1" si="735"/>
        <v/>
      </c>
      <c r="AI1746" s="531" t="str">
        <f t="shared" ca="1" si="736"/>
        <v/>
      </c>
      <c r="AJ1746" s="531" t="str">
        <f t="shared" si="737"/>
        <v/>
      </c>
      <c r="AK1746" s="540">
        <f>SUMIFS('Live Collections'!$S:$S,'Live Collections'!$D:$D,Disbursements!B1746,'Live Collections'!$G:$G,Disbursements!C1746)</f>
        <v>0</v>
      </c>
      <c r="AL1746" s="540">
        <f>SUMIFS('Live Collections'!$T:$T,'Live Collections'!$D:$D,Disbursements!B1746,'Live Collections'!$G:$G,Disbursements!C1746)</f>
        <v>0</v>
      </c>
      <c r="AM1746" s="541">
        <f t="shared" si="738"/>
        <v>0</v>
      </c>
      <c r="AN1746" s="542" t="str">
        <f t="shared" si="739"/>
        <v/>
      </c>
      <c r="AO1746" s="542" t="str">
        <f t="shared" si="740"/>
        <v/>
      </c>
      <c r="AP1746" s="543" t="str">
        <f t="shared" si="741"/>
        <v/>
      </c>
      <c r="AQ1746" s="544" t="str">
        <f t="shared" si="742"/>
        <v/>
      </c>
      <c r="AR1746" s="545">
        <f t="shared" si="743"/>
        <v>0</v>
      </c>
      <c r="AS1746" s="545">
        <f>IFERROR(CEILING($AR1746*VLOOKUP($I1746,Ref!$B$23:$E$29,4,0),1),0)</f>
        <v>0</v>
      </c>
      <c r="AT1746" s="545" t="str">
        <f>IF(A1746="","",IF(AP1746&lt;=1,"Cleared",IF(AS1746=0,"Clean",VLOOKUP($AS1746,Ref!$G$23:$H$28,2))))</f>
        <v/>
      </c>
      <c r="AU1746" s="546" t="str">
        <f t="shared" si="744"/>
        <v/>
      </c>
    </row>
    <row r="1747" spans="1:47" ht="14.25" hidden="1" customHeight="1" x14ac:dyDescent="0.15">
      <c r="A1747" s="575"/>
      <c r="B1747" s="548"/>
      <c r="C1747" s="548"/>
      <c r="D1747" s="548"/>
      <c r="E1747" s="583"/>
      <c r="F1747" s="584"/>
      <c r="G1747" s="548"/>
      <c r="H1747" s="550"/>
      <c r="I1747" s="560"/>
      <c r="J1747" s="548"/>
      <c r="K1747" s="528" t="str">
        <f>IFERROR(VLOOKUP($B1747,'Clients-Live'!$A:$C,3,0),"")</f>
        <v/>
      </c>
      <c r="L1747" s="528">
        <f>IF(E1747="STL",Pricing!$D$38,IF(A1747="",0,IF(A1747&lt;Pricing!$C$25,Pricing!$D$25,VLOOKUP(Disbursements!$F1747,Pricing!$B$29:$D$32,3))))</f>
        <v>0</v>
      </c>
      <c r="M1747" s="528">
        <f>IF(E1747="STL",0,IF(F1747&gt;0,Pricing!$D$21,0))</f>
        <v>0</v>
      </c>
      <c r="N1747" s="529">
        <f>IF(E1747="STL",F1747*Pricing!$D$40,IF(A1747&lt;=Pricing!$C$4,0,IF(AND(A1747&gt;Pricing!$C$4,Disbursements!A1747&lt;=Pricing!$C$5),F1747*Pricing!$E$5,IF(AND(A1747&gt;Pricing!$C$5,Disbursements!A1747&lt;=Pricing!$C$7),VLOOKUP(F1747,Pricing!$D$7:$E$8,2)*Disbursements!F1747,F1747*Pricing!$E$9))))</f>
        <v>0</v>
      </c>
      <c r="O1747" s="528">
        <f>IF(E1747="STL",0,IF($F1747&gt;0,$F1747*Pricing!$D$17,0))</f>
        <v>0</v>
      </c>
      <c r="P1747" s="530" t="str">
        <f t="shared" si="724"/>
        <v/>
      </c>
      <c r="Q1747" s="531" t="str">
        <f>IF($A1747="","",$G1747/VLOOKUP($I1747,Ref!$B$23:$D$29,2,0))</f>
        <v/>
      </c>
      <c r="R1747" s="530" t="str">
        <f t="shared" si="725"/>
        <v/>
      </c>
      <c r="S1747" s="532" t="str">
        <f t="shared" si="719"/>
        <v/>
      </c>
      <c r="T1747" s="531" t="str">
        <f t="shared" si="726"/>
        <v/>
      </c>
      <c r="U1747" s="533">
        <f t="shared" si="727"/>
        <v>0</v>
      </c>
      <c r="V1747" s="531" t="str">
        <f t="shared" si="728"/>
        <v/>
      </c>
      <c r="W1747" s="531" t="str">
        <f t="shared" si="729"/>
        <v/>
      </c>
      <c r="X1747" s="534" t="str">
        <f t="shared" si="730"/>
        <v/>
      </c>
      <c r="Y1747" s="535" t="str">
        <f>IF($A1747="","",IF($I1747="weekly",$A1747+7,EDATE($A1747,VLOOKUP($I1747,Ref!$B$24:$C$29,2,0))))</f>
        <v/>
      </c>
      <c r="Z1747" s="536" t="str">
        <f t="shared" si="731"/>
        <v/>
      </c>
      <c r="AA1747" s="531">
        <f t="shared" si="732"/>
        <v>0</v>
      </c>
      <c r="AB1747" s="535" t="str">
        <f t="shared" si="720"/>
        <v/>
      </c>
      <c r="AC1747" s="537" t="str">
        <f t="shared" si="721"/>
        <v/>
      </c>
      <c r="AD1747" s="538" t="str">
        <f t="shared" ca="1" si="722"/>
        <v/>
      </c>
      <c r="AE1747" s="537">
        <f t="shared" ca="1" si="723"/>
        <v>0</v>
      </c>
      <c r="AF1747" s="539" t="str">
        <f t="shared" ca="1" si="733"/>
        <v/>
      </c>
      <c r="AG1747" s="531" t="str">
        <f t="shared" ca="1" si="734"/>
        <v/>
      </c>
      <c r="AH1747" s="531" t="str">
        <f t="shared" ca="1" si="735"/>
        <v/>
      </c>
      <c r="AI1747" s="531" t="str">
        <f t="shared" ca="1" si="736"/>
        <v/>
      </c>
      <c r="AJ1747" s="531" t="str">
        <f t="shared" si="737"/>
        <v/>
      </c>
      <c r="AK1747" s="540">
        <f>SUMIFS('Live Collections'!$S:$S,'Live Collections'!$D:$D,Disbursements!B1747,'Live Collections'!$G:$G,Disbursements!C1747)</f>
        <v>0</v>
      </c>
      <c r="AL1747" s="540">
        <f>SUMIFS('Live Collections'!$T:$T,'Live Collections'!$D:$D,Disbursements!B1747,'Live Collections'!$G:$G,Disbursements!C1747)</f>
        <v>0</v>
      </c>
      <c r="AM1747" s="541">
        <f t="shared" si="738"/>
        <v>0</v>
      </c>
      <c r="AN1747" s="542" t="str">
        <f t="shared" si="739"/>
        <v/>
      </c>
      <c r="AO1747" s="542" t="str">
        <f t="shared" si="740"/>
        <v/>
      </c>
      <c r="AP1747" s="543" t="str">
        <f t="shared" si="741"/>
        <v/>
      </c>
      <c r="AQ1747" s="544" t="str">
        <f t="shared" si="742"/>
        <v/>
      </c>
      <c r="AR1747" s="545">
        <f t="shared" si="743"/>
        <v>0</v>
      </c>
      <c r="AS1747" s="545">
        <f>IFERROR(CEILING($AR1747*VLOOKUP($I1747,Ref!$B$23:$E$29,4,0),1),0)</f>
        <v>0</v>
      </c>
      <c r="AT1747" s="545" t="str">
        <f>IF(A1747="","",IF(AP1747&lt;=1,"Cleared",IF(AS1747=0,"Clean",VLOOKUP($AS1747,Ref!$G$23:$H$28,2))))</f>
        <v/>
      </c>
      <c r="AU1747" s="546" t="str">
        <f t="shared" si="744"/>
        <v/>
      </c>
    </row>
    <row r="1748" spans="1:47" ht="14.25" hidden="1" customHeight="1" x14ac:dyDescent="0.15">
      <c r="A1748" s="575"/>
      <c r="B1748" s="548"/>
      <c r="C1748" s="548"/>
      <c r="D1748" s="548"/>
      <c r="E1748" s="583"/>
      <c r="F1748" s="584"/>
      <c r="G1748" s="548"/>
      <c r="H1748" s="550"/>
      <c r="I1748" s="560"/>
      <c r="J1748" s="548"/>
      <c r="K1748" s="528" t="str">
        <f>IFERROR(VLOOKUP($B1748,'Clients-Live'!$A:$C,3,0),"")</f>
        <v/>
      </c>
      <c r="L1748" s="528">
        <f>IF(E1748="STL",Pricing!$D$38,IF(A1748="",0,IF(A1748&lt;Pricing!$C$25,Pricing!$D$25,VLOOKUP(Disbursements!$F1748,Pricing!$B$29:$D$32,3))))</f>
        <v>0</v>
      </c>
      <c r="M1748" s="528">
        <f>IF(E1748="STL",0,IF(F1748&gt;0,Pricing!$D$21,0))</f>
        <v>0</v>
      </c>
      <c r="N1748" s="529">
        <f>IF(E1748="STL",F1748*Pricing!$D$40,IF(A1748&lt;=Pricing!$C$4,0,IF(AND(A1748&gt;Pricing!$C$4,Disbursements!A1748&lt;=Pricing!$C$5),F1748*Pricing!$E$5,IF(AND(A1748&gt;Pricing!$C$5,Disbursements!A1748&lt;=Pricing!$C$7),VLOOKUP(F1748,Pricing!$D$7:$E$8,2)*Disbursements!F1748,F1748*Pricing!$E$9))))</f>
        <v>0</v>
      </c>
      <c r="O1748" s="528">
        <f>IF(E1748="STL",0,IF($F1748&gt;0,$F1748*Pricing!$D$17,0))</f>
        <v>0</v>
      </c>
      <c r="P1748" s="530" t="str">
        <f t="shared" si="724"/>
        <v/>
      </c>
      <c r="Q1748" s="531" t="str">
        <f>IF($A1748="","",$G1748/VLOOKUP($I1748,Ref!$B$23:$D$29,2,0))</f>
        <v/>
      </c>
      <c r="R1748" s="530" t="str">
        <f t="shared" si="725"/>
        <v/>
      </c>
      <c r="S1748" s="532" t="str">
        <f t="shared" si="719"/>
        <v/>
      </c>
      <c r="T1748" s="531" t="str">
        <f t="shared" si="726"/>
        <v/>
      </c>
      <c r="U1748" s="533">
        <f t="shared" si="727"/>
        <v>0</v>
      </c>
      <c r="V1748" s="531" t="str">
        <f t="shared" si="728"/>
        <v/>
      </c>
      <c r="W1748" s="531" t="str">
        <f t="shared" si="729"/>
        <v/>
      </c>
      <c r="X1748" s="534" t="str">
        <f t="shared" si="730"/>
        <v/>
      </c>
      <c r="Y1748" s="535" t="str">
        <f>IF($A1748="","",IF($I1748="weekly",$A1748+7,EDATE($A1748,VLOOKUP($I1748,Ref!$B$24:$C$29,2,0))))</f>
        <v/>
      </c>
      <c r="Z1748" s="536" t="str">
        <f t="shared" si="731"/>
        <v/>
      </c>
      <c r="AA1748" s="531">
        <f t="shared" si="732"/>
        <v>0</v>
      </c>
      <c r="AB1748" s="535" t="str">
        <f t="shared" si="720"/>
        <v/>
      </c>
      <c r="AC1748" s="537" t="str">
        <f t="shared" si="721"/>
        <v/>
      </c>
      <c r="AD1748" s="538" t="str">
        <f t="shared" ca="1" si="722"/>
        <v/>
      </c>
      <c r="AE1748" s="537">
        <f t="shared" ca="1" si="723"/>
        <v>0</v>
      </c>
      <c r="AF1748" s="539" t="str">
        <f t="shared" ca="1" si="733"/>
        <v/>
      </c>
      <c r="AG1748" s="531" t="str">
        <f t="shared" ca="1" si="734"/>
        <v/>
      </c>
      <c r="AH1748" s="531" t="str">
        <f t="shared" ca="1" si="735"/>
        <v/>
      </c>
      <c r="AI1748" s="531" t="str">
        <f t="shared" ca="1" si="736"/>
        <v/>
      </c>
      <c r="AJ1748" s="531" t="str">
        <f t="shared" si="737"/>
        <v/>
      </c>
      <c r="AK1748" s="540">
        <f>SUMIFS('Live Collections'!$S:$S,'Live Collections'!$D:$D,Disbursements!B1748,'Live Collections'!$G:$G,Disbursements!C1748)</f>
        <v>0</v>
      </c>
      <c r="AL1748" s="540">
        <f>SUMIFS('Live Collections'!$T:$T,'Live Collections'!$D:$D,Disbursements!B1748,'Live Collections'!$G:$G,Disbursements!C1748)</f>
        <v>0</v>
      </c>
      <c r="AM1748" s="541">
        <f t="shared" si="738"/>
        <v>0</v>
      </c>
      <c r="AN1748" s="542" t="str">
        <f t="shared" si="739"/>
        <v/>
      </c>
      <c r="AO1748" s="542" t="str">
        <f t="shared" si="740"/>
        <v/>
      </c>
      <c r="AP1748" s="543" t="str">
        <f t="shared" si="741"/>
        <v/>
      </c>
      <c r="AQ1748" s="544" t="str">
        <f t="shared" si="742"/>
        <v/>
      </c>
      <c r="AR1748" s="545">
        <f t="shared" si="743"/>
        <v>0</v>
      </c>
      <c r="AS1748" s="545">
        <f>IFERROR(CEILING($AR1748*VLOOKUP($I1748,Ref!$B$23:$E$29,4,0),1),0)</f>
        <v>0</v>
      </c>
      <c r="AT1748" s="545" t="str">
        <f>IF(A1748="","",IF(AP1748&lt;=1,"Cleared",IF(AS1748=0,"Clean",VLOOKUP($AS1748,Ref!$G$23:$H$28,2))))</f>
        <v/>
      </c>
      <c r="AU1748" s="546" t="str">
        <f t="shared" si="744"/>
        <v/>
      </c>
    </row>
    <row r="1749" spans="1:47" ht="14.25" hidden="1" customHeight="1" x14ac:dyDescent="0.15">
      <c r="A1749" s="575"/>
      <c r="B1749" s="548"/>
      <c r="C1749" s="548"/>
      <c r="D1749" s="548"/>
      <c r="E1749" s="583"/>
      <c r="F1749" s="584"/>
      <c r="G1749" s="548"/>
      <c r="H1749" s="550"/>
      <c r="I1749" s="560"/>
      <c r="J1749" s="548"/>
      <c r="K1749" s="528" t="str">
        <f>IFERROR(VLOOKUP($B1749,'Clients-Live'!$A:$C,3,0),"")</f>
        <v/>
      </c>
      <c r="L1749" s="528">
        <f>IF(E1749="STL",Pricing!$D$38,IF(A1749="",0,IF(A1749&lt;Pricing!$C$25,Pricing!$D$25,VLOOKUP(Disbursements!$F1749,Pricing!$B$29:$D$32,3))))</f>
        <v>0</v>
      </c>
      <c r="M1749" s="528">
        <f>IF(E1749="STL",0,IF(F1749&gt;0,Pricing!$D$21,0))</f>
        <v>0</v>
      </c>
      <c r="N1749" s="529">
        <f>IF(E1749="STL",F1749*Pricing!$D$40,IF(A1749&lt;=Pricing!$C$4,0,IF(AND(A1749&gt;Pricing!$C$4,Disbursements!A1749&lt;=Pricing!$C$5),F1749*Pricing!$E$5,IF(AND(A1749&gt;Pricing!$C$5,Disbursements!A1749&lt;=Pricing!$C$7),VLOOKUP(F1749,Pricing!$D$7:$E$8,2)*Disbursements!F1749,F1749*Pricing!$E$9))))</f>
        <v>0</v>
      </c>
      <c r="O1749" s="528">
        <f>IF(E1749="STL",0,IF($F1749&gt;0,$F1749*Pricing!$D$17,0))</f>
        <v>0</v>
      </c>
      <c r="P1749" s="530" t="str">
        <f t="shared" si="724"/>
        <v/>
      </c>
      <c r="Q1749" s="531" t="str">
        <f>IF($A1749="","",$G1749/VLOOKUP($I1749,Ref!$B$23:$D$29,2,0))</f>
        <v/>
      </c>
      <c r="R1749" s="530" t="str">
        <f t="shared" si="725"/>
        <v/>
      </c>
      <c r="S1749" s="532" t="str">
        <f t="shared" si="719"/>
        <v/>
      </c>
      <c r="T1749" s="531" t="str">
        <f t="shared" si="726"/>
        <v/>
      </c>
      <c r="U1749" s="533">
        <f t="shared" si="727"/>
        <v>0</v>
      </c>
      <c r="V1749" s="531" t="str">
        <f t="shared" si="728"/>
        <v/>
      </c>
      <c r="W1749" s="531" t="str">
        <f t="shared" si="729"/>
        <v/>
      </c>
      <c r="X1749" s="534" t="str">
        <f t="shared" si="730"/>
        <v/>
      </c>
      <c r="Y1749" s="535" t="str">
        <f>IF($A1749="","",IF($I1749="weekly",$A1749+7,EDATE($A1749,VLOOKUP($I1749,Ref!$B$24:$C$29,2,0))))</f>
        <v/>
      </c>
      <c r="Z1749" s="536" t="str">
        <f t="shared" si="731"/>
        <v/>
      </c>
      <c r="AA1749" s="531">
        <f t="shared" si="732"/>
        <v>0</v>
      </c>
      <c r="AB1749" s="535" t="str">
        <f t="shared" si="720"/>
        <v/>
      </c>
      <c r="AC1749" s="537" t="str">
        <f t="shared" si="721"/>
        <v/>
      </c>
      <c r="AD1749" s="538" t="str">
        <f t="shared" ca="1" si="722"/>
        <v/>
      </c>
      <c r="AE1749" s="537">
        <f t="shared" ca="1" si="723"/>
        <v>0</v>
      </c>
      <c r="AF1749" s="539" t="str">
        <f t="shared" ca="1" si="733"/>
        <v/>
      </c>
      <c r="AG1749" s="531" t="str">
        <f t="shared" ca="1" si="734"/>
        <v/>
      </c>
      <c r="AH1749" s="531" t="str">
        <f t="shared" ca="1" si="735"/>
        <v/>
      </c>
      <c r="AI1749" s="531" t="str">
        <f t="shared" ca="1" si="736"/>
        <v/>
      </c>
      <c r="AJ1749" s="531" t="str">
        <f t="shared" si="737"/>
        <v/>
      </c>
      <c r="AK1749" s="540">
        <f>SUMIFS('Live Collections'!$S:$S,'Live Collections'!$D:$D,Disbursements!B1749,'Live Collections'!$G:$G,Disbursements!C1749)</f>
        <v>0</v>
      </c>
      <c r="AL1749" s="540">
        <f>SUMIFS('Live Collections'!$T:$T,'Live Collections'!$D:$D,Disbursements!B1749,'Live Collections'!$G:$G,Disbursements!C1749)</f>
        <v>0</v>
      </c>
      <c r="AM1749" s="541">
        <f t="shared" si="738"/>
        <v>0</v>
      </c>
      <c r="AN1749" s="542" t="str">
        <f t="shared" si="739"/>
        <v/>
      </c>
      <c r="AO1749" s="542" t="str">
        <f t="shared" si="740"/>
        <v/>
      </c>
      <c r="AP1749" s="543" t="str">
        <f t="shared" si="741"/>
        <v/>
      </c>
      <c r="AQ1749" s="544" t="str">
        <f t="shared" si="742"/>
        <v/>
      </c>
      <c r="AR1749" s="545">
        <f t="shared" si="743"/>
        <v>0</v>
      </c>
      <c r="AS1749" s="545">
        <f>IFERROR(CEILING($AR1749*VLOOKUP($I1749,Ref!$B$23:$E$29,4,0),1),0)</f>
        <v>0</v>
      </c>
      <c r="AT1749" s="545" t="str">
        <f>IF(A1749="","",IF(AP1749&lt;=1,"Cleared",IF(AS1749=0,"Clean",VLOOKUP($AS1749,Ref!$G$23:$H$28,2))))</f>
        <v/>
      </c>
      <c r="AU1749" s="546" t="str">
        <f t="shared" si="744"/>
        <v/>
      </c>
    </row>
    <row r="1750" spans="1:47" ht="14.25" hidden="1" customHeight="1" x14ac:dyDescent="0.15">
      <c r="A1750" s="575"/>
      <c r="B1750" s="548"/>
      <c r="C1750" s="548"/>
      <c r="D1750" s="548"/>
      <c r="E1750" s="583"/>
      <c r="F1750" s="584"/>
      <c r="G1750" s="548"/>
      <c r="H1750" s="550"/>
      <c r="I1750" s="560"/>
      <c r="J1750" s="548"/>
      <c r="K1750" s="528" t="str">
        <f>IFERROR(VLOOKUP($B1750,'Clients-Live'!$A:$C,3,0),"")</f>
        <v/>
      </c>
      <c r="L1750" s="528">
        <f>IF(E1750="STL",Pricing!$D$38,IF(A1750="",0,IF(A1750&lt;Pricing!$C$25,Pricing!$D$25,VLOOKUP(Disbursements!$F1750,Pricing!$B$29:$D$32,3))))</f>
        <v>0</v>
      </c>
      <c r="M1750" s="528">
        <f>IF(E1750="STL",0,IF(F1750&gt;0,Pricing!$D$21,0))</f>
        <v>0</v>
      </c>
      <c r="N1750" s="529">
        <f>IF(E1750="STL",F1750*Pricing!$D$40,IF(A1750&lt;=Pricing!$C$4,0,IF(AND(A1750&gt;Pricing!$C$4,Disbursements!A1750&lt;=Pricing!$C$5),F1750*Pricing!$E$5,IF(AND(A1750&gt;Pricing!$C$5,Disbursements!A1750&lt;=Pricing!$C$7),VLOOKUP(F1750,Pricing!$D$7:$E$8,2)*Disbursements!F1750,F1750*Pricing!$E$9))))</f>
        <v>0</v>
      </c>
      <c r="O1750" s="528">
        <f>IF(E1750="STL",0,IF($F1750&gt;0,$F1750*Pricing!$D$17,0))</f>
        <v>0</v>
      </c>
      <c r="P1750" s="530" t="str">
        <f t="shared" si="724"/>
        <v/>
      </c>
      <c r="Q1750" s="531" t="str">
        <f>IF($A1750="","",$G1750/VLOOKUP($I1750,Ref!$B$23:$D$29,2,0))</f>
        <v/>
      </c>
      <c r="R1750" s="530" t="str">
        <f t="shared" si="725"/>
        <v/>
      </c>
      <c r="S1750" s="532" t="str">
        <f t="shared" si="719"/>
        <v/>
      </c>
      <c r="T1750" s="531" t="str">
        <f t="shared" si="726"/>
        <v/>
      </c>
      <c r="U1750" s="533">
        <f t="shared" si="727"/>
        <v>0</v>
      </c>
      <c r="V1750" s="531" t="str">
        <f t="shared" si="728"/>
        <v/>
      </c>
      <c r="W1750" s="531" t="str">
        <f t="shared" si="729"/>
        <v/>
      </c>
      <c r="X1750" s="534" t="str">
        <f t="shared" si="730"/>
        <v/>
      </c>
      <c r="Y1750" s="535" t="str">
        <f>IF($A1750="","",IF($I1750="weekly",$A1750+7,EDATE($A1750,VLOOKUP($I1750,Ref!$B$24:$C$29,2,0))))</f>
        <v/>
      </c>
      <c r="Z1750" s="536" t="str">
        <f t="shared" si="731"/>
        <v/>
      </c>
      <c r="AA1750" s="531">
        <f t="shared" si="732"/>
        <v>0</v>
      </c>
      <c r="AB1750" s="535" t="str">
        <f t="shared" si="720"/>
        <v/>
      </c>
      <c r="AC1750" s="537" t="str">
        <f t="shared" si="721"/>
        <v/>
      </c>
      <c r="AD1750" s="538" t="str">
        <f t="shared" ca="1" si="722"/>
        <v/>
      </c>
      <c r="AE1750" s="537">
        <f t="shared" ca="1" si="723"/>
        <v>0</v>
      </c>
      <c r="AF1750" s="539" t="str">
        <f t="shared" ca="1" si="733"/>
        <v/>
      </c>
      <c r="AG1750" s="531" t="str">
        <f t="shared" ca="1" si="734"/>
        <v/>
      </c>
      <c r="AH1750" s="531" t="str">
        <f t="shared" ca="1" si="735"/>
        <v/>
      </c>
      <c r="AI1750" s="531" t="str">
        <f t="shared" ca="1" si="736"/>
        <v/>
      </c>
      <c r="AJ1750" s="531" t="str">
        <f t="shared" si="737"/>
        <v/>
      </c>
      <c r="AK1750" s="540">
        <f>SUMIFS('Live Collections'!$S:$S,'Live Collections'!$D:$D,Disbursements!B1750,'Live Collections'!$G:$G,Disbursements!C1750)</f>
        <v>0</v>
      </c>
      <c r="AL1750" s="540">
        <f>SUMIFS('Live Collections'!$T:$T,'Live Collections'!$D:$D,Disbursements!B1750,'Live Collections'!$G:$G,Disbursements!C1750)</f>
        <v>0</v>
      </c>
      <c r="AM1750" s="541">
        <f t="shared" si="738"/>
        <v>0</v>
      </c>
      <c r="AN1750" s="542" t="str">
        <f t="shared" si="739"/>
        <v/>
      </c>
      <c r="AO1750" s="542" t="str">
        <f t="shared" si="740"/>
        <v/>
      </c>
      <c r="AP1750" s="543" t="str">
        <f t="shared" si="741"/>
        <v/>
      </c>
      <c r="AQ1750" s="544" t="str">
        <f t="shared" si="742"/>
        <v/>
      </c>
      <c r="AR1750" s="545">
        <f t="shared" si="743"/>
        <v>0</v>
      </c>
      <c r="AS1750" s="545">
        <f>IFERROR(CEILING($AR1750*VLOOKUP($I1750,Ref!$B$23:$E$29,4,0),1),0)</f>
        <v>0</v>
      </c>
      <c r="AT1750" s="545" t="str">
        <f>IF(A1750="","",IF(AP1750&lt;=1,"Cleared",IF(AS1750=0,"Clean",VLOOKUP($AS1750,Ref!$G$23:$H$28,2))))</f>
        <v/>
      </c>
      <c r="AU1750" s="546" t="str">
        <f t="shared" si="744"/>
        <v/>
      </c>
    </row>
    <row r="1751" spans="1:47" ht="14.25" hidden="1" customHeight="1" x14ac:dyDescent="0.15">
      <c r="A1751" s="575"/>
      <c r="B1751" s="548"/>
      <c r="C1751" s="548"/>
      <c r="D1751" s="548"/>
      <c r="E1751" s="583"/>
      <c r="F1751" s="584"/>
      <c r="G1751" s="548"/>
      <c r="H1751" s="550"/>
      <c r="I1751" s="560"/>
      <c r="J1751" s="548"/>
      <c r="K1751" s="528" t="str">
        <f>IFERROR(VLOOKUP($B1751,'Clients-Live'!$A:$C,3,0),"")</f>
        <v/>
      </c>
      <c r="L1751" s="528">
        <f>IF(E1751="STL",Pricing!$D$38,IF(A1751="",0,IF(A1751&lt;Pricing!$C$25,Pricing!$D$25,VLOOKUP(Disbursements!$F1751,Pricing!$B$29:$D$32,3))))</f>
        <v>0</v>
      </c>
      <c r="M1751" s="528">
        <f>IF(E1751="STL",0,IF(F1751&gt;0,Pricing!$D$21,0))</f>
        <v>0</v>
      </c>
      <c r="N1751" s="529">
        <f>IF(E1751="STL",F1751*Pricing!$D$40,IF(A1751&lt;=Pricing!$C$4,0,IF(AND(A1751&gt;Pricing!$C$4,Disbursements!A1751&lt;=Pricing!$C$5),F1751*Pricing!$E$5,IF(AND(A1751&gt;Pricing!$C$5,Disbursements!A1751&lt;=Pricing!$C$7),VLOOKUP(F1751,Pricing!$D$7:$E$8,2)*Disbursements!F1751,F1751*Pricing!$E$9))))</f>
        <v>0</v>
      </c>
      <c r="O1751" s="528">
        <f>IF(E1751="STL",0,IF($F1751&gt;0,$F1751*Pricing!$D$17,0))</f>
        <v>0</v>
      </c>
      <c r="P1751" s="530" t="str">
        <f t="shared" si="724"/>
        <v/>
      </c>
      <c r="Q1751" s="531" t="str">
        <f>IF($A1751="","",$G1751/VLOOKUP($I1751,Ref!$B$23:$D$29,2,0))</f>
        <v/>
      </c>
      <c r="R1751" s="530" t="str">
        <f t="shared" si="725"/>
        <v/>
      </c>
      <c r="S1751" s="532" t="str">
        <f t="shared" si="719"/>
        <v/>
      </c>
      <c r="T1751" s="531" t="str">
        <f t="shared" si="726"/>
        <v/>
      </c>
      <c r="U1751" s="533">
        <f t="shared" si="727"/>
        <v>0</v>
      </c>
      <c r="V1751" s="531" t="str">
        <f t="shared" si="728"/>
        <v/>
      </c>
      <c r="W1751" s="531" t="str">
        <f t="shared" si="729"/>
        <v/>
      </c>
      <c r="X1751" s="534" t="str">
        <f t="shared" si="730"/>
        <v/>
      </c>
      <c r="Y1751" s="535" t="str">
        <f>IF($A1751="","",IF($I1751="weekly",$A1751+7,EDATE($A1751,VLOOKUP($I1751,Ref!$B$24:$C$29,2,0))))</f>
        <v/>
      </c>
      <c r="Z1751" s="536" t="str">
        <f t="shared" si="731"/>
        <v/>
      </c>
      <c r="AA1751" s="531">
        <f t="shared" si="732"/>
        <v>0</v>
      </c>
      <c r="AB1751" s="535" t="str">
        <f t="shared" si="720"/>
        <v/>
      </c>
      <c r="AC1751" s="537" t="str">
        <f t="shared" si="721"/>
        <v/>
      </c>
      <c r="AD1751" s="538" t="str">
        <f t="shared" ca="1" si="722"/>
        <v/>
      </c>
      <c r="AE1751" s="537">
        <f t="shared" ca="1" si="723"/>
        <v>0</v>
      </c>
      <c r="AF1751" s="539" t="str">
        <f t="shared" ca="1" si="733"/>
        <v/>
      </c>
      <c r="AG1751" s="531" t="str">
        <f t="shared" ca="1" si="734"/>
        <v/>
      </c>
      <c r="AH1751" s="531" t="str">
        <f t="shared" ca="1" si="735"/>
        <v/>
      </c>
      <c r="AI1751" s="531" t="str">
        <f t="shared" ca="1" si="736"/>
        <v/>
      </c>
      <c r="AJ1751" s="531" t="str">
        <f t="shared" si="737"/>
        <v/>
      </c>
      <c r="AK1751" s="540">
        <f>SUMIFS('Live Collections'!$S:$S,'Live Collections'!$D:$D,Disbursements!B1751,'Live Collections'!$G:$G,Disbursements!C1751)</f>
        <v>0</v>
      </c>
      <c r="AL1751" s="540">
        <f>SUMIFS('Live Collections'!$T:$T,'Live Collections'!$D:$D,Disbursements!B1751,'Live Collections'!$G:$G,Disbursements!C1751)</f>
        <v>0</v>
      </c>
      <c r="AM1751" s="541">
        <f t="shared" si="738"/>
        <v>0</v>
      </c>
      <c r="AN1751" s="542" t="str">
        <f t="shared" si="739"/>
        <v/>
      </c>
      <c r="AO1751" s="542" t="str">
        <f t="shared" si="740"/>
        <v/>
      </c>
      <c r="AP1751" s="543" t="str">
        <f t="shared" si="741"/>
        <v/>
      </c>
      <c r="AQ1751" s="544" t="str">
        <f t="shared" si="742"/>
        <v/>
      </c>
      <c r="AR1751" s="545">
        <f t="shared" si="743"/>
        <v>0</v>
      </c>
      <c r="AS1751" s="545">
        <f>IFERROR(CEILING($AR1751*VLOOKUP($I1751,Ref!$B$23:$E$29,4,0),1),0)</f>
        <v>0</v>
      </c>
      <c r="AT1751" s="545" t="str">
        <f>IF(A1751="","",IF(AP1751&lt;=1,"Cleared",IF(AS1751=0,"Clean",VLOOKUP($AS1751,Ref!$G$23:$H$28,2))))</f>
        <v/>
      </c>
      <c r="AU1751" s="546" t="str">
        <f t="shared" si="744"/>
        <v/>
      </c>
    </row>
    <row r="1752" spans="1:47" ht="14.25" hidden="1" customHeight="1" x14ac:dyDescent="0.15">
      <c r="A1752" s="575"/>
      <c r="B1752" s="548"/>
      <c r="C1752" s="548"/>
      <c r="D1752" s="548"/>
      <c r="E1752" s="583"/>
      <c r="F1752" s="584"/>
      <c r="G1752" s="548"/>
      <c r="H1752" s="550"/>
      <c r="I1752" s="560"/>
      <c r="J1752" s="548"/>
      <c r="K1752" s="528" t="str">
        <f>IFERROR(VLOOKUP($B1752,'Clients-Live'!$A:$C,3,0),"")</f>
        <v/>
      </c>
      <c r="L1752" s="528">
        <f>IF(E1752="STL",Pricing!$D$38,IF(A1752="",0,IF(A1752&lt;Pricing!$C$25,Pricing!$D$25,VLOOKUP(Disbursements!$F1752,Pricing!$B$29:$D$32,3))))</f>
        <v>0</v>
      </c>
      <c r="M1752" s="528">
        <f>IF(E1752="STL",0,IF(F1752&gt;0,Pricing!$D$21,0))</f>
        <v>0</v>
      </c>
      <c r="N1752" s="529">
        <f>IF(E1752="STL",F1752*Pricing!$D$40,IF(A1752&lt;=Pricing!$C$4,0,IF(AND(A1752&gt;Pricing!$C$4,Disbursements!A1752&lt;=Pricing!$C$5),F1752*Pricing!$E$5,IF(AND(A1752&gt;Pricing!$C$5,Disbursements!A1752&lt;=Pricing!$C$7),VLOOKUP(F1752,Pricing!$D$7:$E$8,2)*Disbursements!F1752,F1752*Pricing!$E$9))))</f>
        <v>0</v>
      </c>
      <c r="O1752" s="528">
        <f>IF(E1752="STL",0,IF($F1752&gt;0,$F1752*Pricing!$D$17,0))</f>
        <v>0</v>
      </c>
      <c r="P1752" s="530" t="str">
        <f t="shared" si="724"/>
        <v/>
      </c>
      <c r="Q1752" s="531" t="str">
        <f>IF($A1752="","",$G1752/VLOOKUP($I1752,Ref!$B$23:$D$29,2,0))</f>
        <v/>
      </c>
      <c r="R1752" s="530" t="str">
        <f t="shared" si="725"/>
        <v/>
      </c>
      <c r="S1752" s="532" t="str">
        <f t="shared" si="719"/>
        <v/>
      </c>
      <c r="T1752" s="531" t="str">
        <f t="shared" si="726"/>
        <v/>
      </c>
      <c r="U1752" s="533">
        <f t="shared" si="727"/>
        <v>0</v>
      </c>
      <c r="V1752" s="531" t="str">
        <f t="shared" si="728"/>
        <v/>
      </c>
      <c r="W1752" s="531" t="str">
        <f t="shared" si="729"/>
        <v/>
      </c>
      <c r="X1752" s="534" t="str">
        <f t="shared" si="730"/>
        <v/>
      </c>
      <c r="Y1752" s="535" t="str">
        <f>IF($A1752="","",IF($I1752="weekly",$A1752+7,EDATE($A1752,VLOOKUP($I1752,Ref!$B$24:$C$29,2,0))))</f>
        <v/>
      </c>
      <c r="Z1752" s="536" t="str">
        <f t="shared" si="731"/>
        <v/>
      </c>
      <c r="AA1752" s="531">
        <f t="shared" si="732"/>
        <v>0</v>
      </c>
      <c r="AB1752" s="535" t="str">
        <f t="shared" si="720"/>
        <v/>
      </c>
      <c r="AC1752" s="537" t="str">
        <f t="shared" si="721"/>
        <v/>
      </c>
      <c r="AD1752" s="538" t="str">
        <f t="shared" ca="1" si="722"/>
        <v/>
      </c>
      <c r="AE1752" s="537">
        <f t="shared" ca="1" si="723"/>
        <v>0</v>
      </c>
      <c r="AF1752" s="539" t="str">
        <f t="shared" ca="1" si="733"/>
        <v/>
      </c>
      <c r="AG1752" s="531" t="str">
        <f t="shared" ca="1" si="734"/>
        <v/>
      </c>
      <c r="AH1752" s="531" t="str">
        <f t="shared" ca="1" si="735"/>
        <v/>
      </c>
      <c r="AI1752" s="531" t="str">
        <f t="shared" ca="1" si="736"/>
        <v/>
      </c>
      <c r="AJ1752" s="531" t="str">
        <f t="shared" si="737"/>
        <v/>
      </c>
      <c r="AK1752" s="540">
        <f>SUMIFS('Live Collections'!$S:$S,'Live Collections'!$D:$D,Disbursements!B1752,'Live Collections'!$G:$G,Disbursements!C1752)</f>
        <v>0</v>
      </c>
      <c r="AL1752" s="540">
        <f>SUMIFS('Live Collections'!$T:$T,'Live Collections'!$D:$D,Disbursements!B1752,'Live Collections'!$G:$G,Disbursements!C1752)</f>
        <v>0</v>
      </c>
      <c r="AM1752" s="541">
        <f t="shared" si="738"/>
        <v>0</v>
      </c>
      <c r="AN1752" s="542" t="str">
        <f t="shared" si="739"/>
        <v/>
      </c>
      <c r="AO1752" s="542" t="str">
        <f t="shared" si="740"/>
        <v/>
      </c>
      <c r="AP1752" s="543" t="str">
        <f t="shared" si="741"/>
        <v/>
      </c>
      <c r="AQ1752" s="544" t="str">
        <f t="shared" si="742"/>
        <v/>
      </c>
      <c r="AR1752" s="545">
        <f t="shared" si="743"/>
        <v>0</v>
      </c>
      <c r="AS1752" s="545">
        <f>IFERROR(CEILING($AR1752*VLOOKUP($I1752,Ref!$B$23:$E$29,4,0),1),0)</f>
        <v>0</v>
      </c>
      <c r="AT1752" s="545" t="str">
        <f>IF(A1752="","",IF(AP1752&lt;=1,"Cleared",IF(AS1752=0,"Clean",VLOOKUP($AS1752,Ref!$G$23:$H$28,2))))</f>
        <v/>
      </c>
      <c r="AU1752" s="546" t="str">
        <f t="shared" si="744"/>
        <v/>
      </c>
    </row>
    <row r="1753" spans="1:47" ht="14.25" hidden="1" customHeight="1" x14ac:dyDescent="0.15">
      <c r="A1753" s="575"/>
      <c r="B1753" s="548"/>
      <c r="C1753" s="548"/>
      <c r="D1753" s="548"/>
      <c r="E1753" s="583"/>
      <c r="F1753" s="584"/>
      <c r="G1753" s="548"/>
      <c r="H1753" s="550"/>
      <c r="I1753" s="560"/>
      <c r="J1753" s="548"/>
      <c r="K1753" s="528" t="str">
        <f>IFERROR(VLOOKUP($B1753,'Clients-Live'!$A:$C,3,0),"")</f>
        <v/>
      </c>
      <c r="L1753" s="528">
        <f>IF(E1753="STL",Pricing!$D$38,IF(A1753="",0,IF(A1753&lt;Pricing!$C$25,Pricing!$D$25,VLOOKUP(Disbursements!$F1753,Pricing!$B$29:$D$32,3))))</f>
        <v>0</v>
      </c>
      <c r="M1753" s="528">
        <f>IF(E1753="STL",0,IF(F1753&gt;0,Pricing!$D$21,0))</f>
        <v>0</v>
      </c>
      <c r="N1753" s="529">
        <f>IF(E1753="STL",F1753*Pricing!$D$40,IF(A1753&lt;=Pricing!$C$4,0,IF(AND(A1753&gt;Pricing!$C$4,Disbursements!A1753&lt;=Pricing!$C$5),F1753*Pricing!$E$5,IF(AND(A1753&gt;Pricing!$C$5,Disbursements!A1753&lt;=Pricing!$C$7),VLOOKUP(F1753,Pricing!$D$7:$E$8,2)*Disbursements!F1753,F1753*Pricing!$E$9))))</f>
        <v>0</v>
      </c>
      <c r="O1753" s="528">
        <f>IF(E1753="STL",0,IF($F1753&gt;0,$F1753*Pricing!$D$17,0))</f>
        <v>0</v>
      </c>
      <c r="P1753" s="530" t="str">
        <f t="shared" si="724"/>
        <v/>
      </c>
      <c r="Q1753" s="531" t="str">
        <f>IF($A1753="","",$G1753/VLOOKUP($I1753,Ref!$B$23:$D$29,2,0))</f>
        <v/>
      </c>
      <c r="R1753" s="530" t="str">
        <f t="shared" si="725"/>
        <v/>
      </c>
      <c r="S1753" s="532" t="str">
        <f t="shared" si="719"/>
        <v/>
      </c>
      <c r="T1753" s="531" t="str">
        <f t="shared" si="726"/>
        <v/>
      </c>
      <c r="U1753" s="533">
        <f t="shared" si="727"/>
        <v>0</v>
      </c>
      <c r="V1753" s="531" t="str">
        <f t="shared" si="728"/>
        <v/>
      </c>
      <c r="W1753" s="531" t="str">
        <f t="shared" si="729"/>
        <v/>
      </c>
      <c r="X1753" s="534" t="str">
        <f t="shared" si="730"/>
        <v/>
      </c>
      <c r="Y1753" s="535" t="str">
        <f>IF($A1753="","",IF($I1753="weekly",$A1753+7,EDATE($A1753,VLOOKUP($I1753,Ref!$B$24:$C$29,2,0))))</f>
        <v/>
      </c>
      <c r="Z1753" s="536" t="str">
        <f t="shared" si="731"/>
        <v/>
      </c>
      <c r="AA1753" s="531">
        <f t="shared" si="732"/>
        <v>0</v>
      </c>
      <c r="AB1753" s="535" t="str">
        <f t="shared" si="720"/>
        <v/>
      </c>
      <c r="AC1753" s="537" t="str">
        <f t="shared" si="721"/>
        <v/>
      </c>
      <c r="AD1753" s="538" t="str">
        <f t="shared" ca="1" si="722"/>
        <v/>
      </c>
      <c r="AE1753" s="537">
        <f t="shared" ca="1" si="723"/>
        <v>0</v>
      </c>
      <c r="AF1753" s="539" t="str">
        <f t="shared" ca="1" si="733"/>
        <v/>
      </c>
      <c r="AG1753" s="531" t="str">
        <f t="shared" ca="1" si="734"/>
        <v/>
      </c>
      <c r="AH1753" s="531" t="str">
        <f t="shared" ca="1" si="735"/>
        <v/>
      </c>
      <c r="AI1753" s="531" t="str">
        <f t="shared" ca="1" si="736"/>
        <v/>
      </c>
      <c r="AJ1753" s="531" t="str">
        <f t="shared" si="737"/>
        <v/>
      </c>
      <c r="AK1753" s="540">
        <f>SUMIFS('Live Collections'!$S:$S,'Live Collections'!$D:$D,Disbursements!B1753,'Live Collections'!$G:$G,Disbursements!C1753)</f>
        <v>0</v>
      </c>
      <c r="AL1753" s="540">
        <f>SUMIFS('Live Collections'!$T:$T,'Live Collections'!$D:$D,Disbursements!B1753,'Live Collections'!$G:$G,Disbursements!C1753)</f>
        <v>0</v>
      </c>
      <c r="AM1753" s="541">
        <f t="shared" si="738"/>
        <v>0</v>
      </c>
      <c r="AN1753" s="542" t="str">
        <f t="shared" si="739"/>
        <v/>
      </c>
      <c r="AO1753" s="542" t="str">
        <f t="shared" si="740"/>
        <v/>
      </c>
      <c r="AP1753" s="543" t="str">
        <f t="shared" si="741"/>
        <v/>
      </c>
      <c r="AQ1753" s="544" t="str">
        <f t="shared" si="742"/>
        <v/>
      </c>
      <c r="AR1753" s="545">
        <f t="shared" si="743"/>
        <v>0</v>
      </c>
      <c r="AS1753" s="545">
        <f>IFERROR(CEILING($AR1753*VLOOKUP($I1753,Ref!$B$23:$E$29,4,0),1),0)</f>
        <v>0</v>
      </c>
      <c r="AT1753" s="545" t="str">
        <f>IF(A1753="","",IF(AP1753&lt;=1,"Cleared",IF(AS1753=0,"Clean",VLOOKUP($AS1753,Ref!$G$23:$H$28,2))))</f>
        <v/>
      </c>
      <c r="AU1753" s="546" t="str">
        <f t="shared" si="744"/>
        <v/>
      </c>
    </row>
    <row r="1754" spans="1:47" ht="14.25" hidden="1" customHeight="1" x14ac:dyDescent="0.15">
      <c r="A1754" s="575"/>
      <c r="B1754" s="548"/>
      <c r="C1754" s="548"/>
      <c r="D1754" s="548"/>
      <c r="E1754" s="583"/>
      <c r="F1754" s="584"/>
      <c r="G1754" s="548"/>
      <c r="H1754" s="550"/>
      <c r="I1754" s="560"/>
      <c r="J1754" s="548"/>
      <c r="K1754" s="528" t="str">
        <f>IFERROR(VLOOKUP($B1754,'Clients-Live'!$A:$C,3,0),"")</f>
        <v/>
      </c>
      <c r="L1754" s="528">
        <f>IF(E1754="STL",Pricing!$D$38,IF(A1754="",0,IF(A1754&lt;Pricing!$C$25,Pricing!$D$25,VLOOKUP(Disbursements!$F1754,Pricing!$B$29:$D$32,3))))</f>
        <v>0</v>
      </c>
      <c r="M1754" s="528">
        <f>IF(E1754="STL",0,IF(F1754&gt;0,Pricing!$D$21,0))</f>
        <v>0</v>
      </c>
      <c r="N1754" s="529">
        <f>IF(E1754="STL",F1754*Pricing!$D$40,IF(A1754&lt;=Pricing!$C$4,0,IF(AND(A1754&gt;Pricing!$C$4,Disbursements!A1754&lt;=Pricing!$C$5),F1754*Pricing!$E$5,IF(AND(A1754&gt;Pricing!$C$5,Disbursements!A1754&lt;=Pricing!$C$7),VLOOKUP(F1754,Pricing!$D$7:$E$8,2)*Disbursements!F1754,F1754*Pricing!$E$9))))</f>
        <v>0</v>
      </c>
      <c r="O1754" s="528">
        <f>IF(E1754="STL",0,IF($F1754&gt;0,$F1754*Pricing!$D$17,0))</f>
        <v>0</v>
      </c>
      <c r="P1754" s="530" t="str">
        <f t="shared" si="724"/>
        <v/>
      </c>
      <c r="Q1754" s="531" t="str">
        <f>IF($A1754="","",$G1754/VLOOKUP($I1754,Ref!$B$23:$D$29,2,0))</f>
        <v/>
      </c>
      <c r="R1754" s="530" t="str">
        <f t="shared" si="725"/>
        <v/>
      </c>
      <c r="S1754" s="532" t="str">
        <f t="shared" si="719"/>
        <v/>
      </c>
      <c r="T1754" s="531" t="str">
        <f t="shared" si="726"/>
        <v/>
      </c>
      <c r="U1754" s="533">
        <f t="shared" si="727"/>
        <v>0</v>
      </c>
      <c r="V1754" s="531" t="str">
        <f t="shared" si="728"/>
        <v/>
      </c>
      <c r="W1754" s="531" t="str">
        <f t="shared" si="729"/>
        <v/>
      </c>
      <c r="X1754" s="534" t="str">
        <f t="shared" si="730"/>
        <v/>
      </c>
      <c r="Y1754" s="535" t="str">
        <f>IF($A1754="","",IF($I1754="weekly",$A1754+7,EDATE($A1754,VLOOKUP($I1754,Ref!$B$24:$C$29,2,0))))</f>
        <v/>
      </c>
      <c r="Z1754" s="536" t="str">
        <f t="shared" si="731"/>
        <v/>
      </c>
      <c r="AA1754" s="531">
        <f t="shared" si="732"/>
        <v>0</v>
      </c>
      <c r="AB1754" s="535" t="str">
        <f t="shared" si="720"/>
        <v/>
      </c>
      <c r="AC1754" s="537" t="str">
        <f t="shared" si="721"/>
        <v/>
      </c>
      <c r="AD1754" s="538" t="str">
        <f t="shared" ca="1" si="722"/>
        <v/>
      </c>
      <c r="AE1754" s="537">
        <f t="shared" ca="1" si="723"/>
        <v>0</v>
      </c>
      <c r="AF1754" s="539" t="str">
        <f t="shared" ca="1" si="733"/>
        <v/>
      </c>
      <c r="AG1754" s="531" t="str">
        <f t="shared" ca="1" si="734"/>
        <v/>
      </c>
      <c r="AH1754" s="531" t="str">
        <f t="shared" ca="1" si="735"/>
        <v/>
      </c>
      <c r="AI1754" s="531" t="str">
        <f t="shared" ca="1" si="736"/>
        <v/>
      </c>
      <c r="AJ1754" s="531" t="str">
        <f t="shared" si="737"/>
        <v/>
      </c>
      <c r="AK1754" s="540">
        <f>SUMIFS('Live Collections'!$S:$S,'Live Collections'!$D:$D,Disbursements!B1754,'Live Collections'!$G:$G,Disbursements!C1754)</f>
        <v>0</v>
      </c>
      <c r="AL1754" s="540">
        <f>SUMIFS('Live Collections'!$T:$T,'Live Collections'!$D:$D,Disbursements!B1754,'Live Collections'!$G:$G,Disbursements!C1754)</f>
        <v>0</v>
      </c>
      <c r="AM1754" s="541">
        <f t="shared" si="738"/>
        <v>0</v>
      </c>
      <c r="AN1754" s="542" t="str">
        <f t="shared" si="739"/>
        <v/>
      </c>
      <c r="AO1754" s="542" t="str">
        <f t="shared" si="740"/>
        <v/>
      </c>
      <c r="AP1754" s="543" t="str">
        <f t="shared" si="741"/>
        <v/>
      </c>
      <c r="AQ1754" s="544" t="str">
        <f t="shared" si="742"/>
        <v/>
      </c>
      <c r="AR1754" s="545">
        <f t="shared" si="743"/>
        <v>0</v>
      </c>
      <c r="AS1754" s="545">
        <f>IFERROR(CEILING($AR1754*VLOOKUP($I1754,Ref!$B$23:$E$29,4,0),1),0)</f>
        <v>0</v>
      </c>
      <c r="AT1754" s="545" t="str">
        <f>IF(A1754="","",IF(AP1754&lt;=1,"Cleared",IF(AS1754=0,"Clean",VLOOKUP($AS1754,Ref!$G$23:$H$28,2))))</f>
        <v/>
      </c>
      <c r="AU1754" s="546" t="str">
        <f t="shared" si="744"/>
        <v/>
      </c>
    </row>
    <row r="1755" spans="1:47" ht="14.25" hidden="1" customHeight="1" x14ac:dyDescent="0.15">
      <c r="A1755" s="575"/>
      <c r="B1755" s="548"/>
      <c r="C1755" s="548"/>
      <c r="D1755" s="548"/>
      <c r="E1755" s="583"/>
      <c r="F1755" s="584"/>
      <c r="G1755" s="548"/>
      <c r="H1755" s="550"/>
      <c r="I1755" s="560"/>
      <c r="J1755" s="548"/>
      <c r="K1755" s="528" t="str">
        <f>IFERROR(VLOOKUP($B1755,'Clients-Live'!$A:$C,3,0),"")</f>
        <v/>
      </c>
      <c r="L1755" s="528">
        <f>IF(E1755="STL",Pricing!$D$38,IF(A1755="",0,IF(A1755&lt;Pricing!$C$25,Pricing!$D$25,VLOOKUP(Disbursements!$F1755,Pricing!$B$29:$D$32,3))))</f>
        <v>0</v>
      </c>
      <c r="M1755" s="528">
        <f>IF(E1755="STL",0,IF(F1755&gt;0,Pricing!$D$21,0))</f>
        <v>0</v>
      </c>
      <c r="N1755" s="529">
        <f>IF(E1755="STL",F1755*Pricing!$D$40,IF(A1755&lt;=Pricing!$C$4,0,IF(AND(A1755&gt;Pricing!$C$4,Disbursements!A1755&lt;=Pricing!$C$5),F1755*Pricing!$E$5,IF(AND(A1755&gt;Pricing!$C$5,Disbursements!A1755&lt;=Pricing!$C$7),VLOOKUP(F1755,Pricing!$D$7:$E$8,2)*Disbursements!F1755,F1755*Pricing!$E$9))))</f>
        <v>0</v>
      </c>
      <c r="O1755" s="528">
        <f>IF(E1755="STL",0,IF($F1755&gt;0,$F1755*Pricing!$D$17,0))</f>
        <v>0</v>
      </c>
      <c r="P1755" s="530" t="str">
        <f t="shared" si="724"/>
        <v/>
      </c>
      <c r="Q1755" s="531" t="str">
        <f>IF($A1755="","",$G1755/VLOOKUP($I1755,Ref!$B$23:$D$29,2,0))</f>
        <v/>
      </c>
      <c r="R1755" s="530" t="str">
        <f t="shared" si="725"/>
        <v/>
      </c>
      <c r="S1755" s="532" t="str">
        <f t="shared" si="719"/>
        <v/>
      </c>
      <c r="T1755" s="531" t="str">
        <f t="shared" si="726"/>
        <v/>
      </c>
      <c r="U1755" s="533">
        <f t="shared" si="727"/>
        <v>0</v>
      </c>
      <c r="V1755" s="531" t="str">
        <f t="shared" si="728"/>
        <v/>
      </c>
      <c r="W1755" s="531" t="str">
        <f t="shared" si="729"/>
        <v/>
      </c>
      <c r="X1755" s="534" t="str">
        <f t="shared" si="730"/>
        <v/>
      </c>
      <c r="Y1755" s="535" t="str">
        <f>IF($A1755="","",IF($I1755="weekly",$A1755+7,EDATE($A1755,VLOOKUP($I1755,Ref!$B$24:$C$29,2,0))))</f>
        <v/>
      </c>
      <c r="Z1755" s="536" t="str">
        <f t="shared" si="731"/>
        <v/>
      </c>
      <c r="AA1755" s="531">
        <f t="shared" si="732"/>
        <v>0</v>
      </c>
      <c r="AB1755" s="535" t="str">
        <f t="shared" si="720"/>
        <v/>
      </c>
      <c r="AC1755" s="537" t="str">
        <f t="shared" si="721"/>
        <v/>
      </c>
      <c r="AD1755" s="538" t="str">
        <f t="shared" ca="1" si="722"/>
        <v/>
      </c>
      <c r="AE1755" s="537">
        <f t="shared" ca="1" si="723"/>
        <v>0</v>
      </c>
      <c r="AF1755" s="539" t="str">
        <f t="shared" ca="1" si="733"/>
        <v/>
      </c>
      <c r="AG1755" s="531" t="str">
        <f t="shared" ca="1" si="734"/>
        <v/>
      </c>
      <c r="AH1755" s="531" t="str">
        <f t="shared" ca="1" si="735"/>
        <v/>
      </c>
      <c r="AI1755" s="531" t="str">
        <f t="shared" ca="1" si="736"/>
        <v/>
      </c>
      <c r="AJ1755" s="531" t="str">
        <f t="shared" si="737"/>
        <v/>
      </c>
      <c r="AK1755" s="540">
        <f>SUMIFS('Live Collections'!$S:$S,'Live Collections'!$D:$D,Disbursements!B1755,'Live Collections'!$G:$G,Disbursements!C1755)</f>
        <v>0</v>
      </c>
      <c r="AL1755" s="540">
        <f>SUMIFS('Live Collections'!$T:$T,'Live Collections'!$D:$D,Disbursements!B1755,'Live Collections'!$G:$G,Disbursements!C1755)</f>
        <v>0</v>
      </c>
      <c r="AM1755" s="541">
        <f t="shared" si="738"/>
        <v>0</v>
      </c>
      <c r="AN1755" s="542" t="str">
        <f t="shared" si="739"/>
        <v/>
      </c>
      <c r="AO1755" s="542" t="str">
        <f t="shared" si="740"/>
        <v/>
      </c>
      <c r="AP1755" s="543" t="str">
        <f t="shared" si="741"/>
        <v/>
      </c>
      <c r="AQ1755" s="544" t="str">
        <f t="shared" si="742"/>
        <v/>
      </c>
      <c r="AR1755" s="545">
        <f t="shared" si="743"/>
        <v>0</v>
      </c>
      <c r="AS1755" s="545">
        <f>IFERROR(CEILING($AR1755*VLOOKUP($I1755,Ref!$B$23:$E$29,4,0),1),0)</f>
        <v>0</v>
      </c>
      <c r="AT1755" s="545" t="str">
        <f>IF(A1755="","",IF(AP1755&lt;=1,"Cleared",IF(AS1755=0,"Clean",VLOOKUP($AS1755,Ref!$G$23:$H$28,2))))</f>
        <v/>
      </c>
      <c r="AU1755" s="546" t="str">
        <f t="shared" si="744"/>
        <v/>
      </c>
    </row>
    <row r="1756" spans="1:47" ht="14.25" hidden="1" customHeight="1" x14ac:dyDescent="0.15">
      <c r="A1756" s="575"/>
      <c r="B1756" s="548"/>
      <c r="C1756" s="548"/>
      <c r="D1756" s="548"/>
      <c r="E1756" s="583"/>
      <c r="F1756" s="584"/>
      <c r="G1756" s="548"/>
      <c r="H1756" s="550"/>
      <c r="I1756" s="560"/>
      <c r="J1756" s="548"/>
      <c r="K1756" s="528" t="str">
        <f>IFERROR(VLOOKUP($B1756,'Clients-Live'!$A:$C,3,0),"")</f>
        <v/>
      </c>
      <c r="L1756" s="528">
        <f>IF(E1756="STL",Pricing!$D$38,IF(A1756="",0,IF(A1756&lt;Pricing!$C$25,Pricing!$D$25,VLOOKUP(Disbursements!$F1756,Pricing!$B$29:$D$32,3))))</f>
        <v>0</v>
      </c>
      <c r="M1756" s="528">
        <f>IF(E1756="STL",0,IF(F1756&gt;0,Pricing!$D$21,0))</f>
        <v>0</v>
      </c>
      <c r="N1756" s="529">
        <f>IF(E1756="STL",F1756*Pricing!$D$40,IF(A1756&lt;=Pricing!$C$4,0,IF(AND(A1756&gt;Pricing!$C$4,Disbursements!A1756&lt;=Pricing!$C$5),F1756*Pricing!$E$5,IF(AND(A1756&gt;Pricing!$C$5,Disbursements!A1756&lt;=Pricing!$C$7),VLOOKUP(F1756,Pricing!$D$7:$E$8,2)*Disbursements!F1756,F1756*Pricing!$E$9))))</f>
        <v>0</v>
      </c>
      <c r="O1756" s="528">
        <f>IF(E1756="STL",0,IF($F1756&gt;0,$F1756*Pricing!$D$17,0))</f>
        <v>0</v>
      </c>
      <c r="P1756" s="530" t="str">
        <f t="shared" si="724"/>
        <v/>
      </c>
      <c r="Q1756" s="531" t="str">
        <f>IF($A1756="","",$G1756/VLOOKUP($I1756,Ref!$B$23:$D$29,2,0))</f>
        <v/>
      </c>
      <c r="R1756" s="530" t="str">
        <f t="shared" si="725"/>
        <v/>
      </c>
      <c r="S1756" s="532" t="str">
        <f t="shared" si="719"/>
        <v/>
      </c>
      <c r="T1756" s="531" t="str">
        <f t="shared" si="726"/>
        <v/>
      </c>
      <c r="U1756" s="533">
        <f t="shared" si="727"/>
        <v>0</v>
      </c>
      <c r="V1756" s="531" t="str">
        <f t="shared" si="728"/>
        <v/>
      </c>
      <c r="W1756" s="531" t="str">
        <f t="shared" si="729"/>
        <v/>
      </c>
      <c r="X1756" s="534" t="str">
        <f t="shared" si="730"/>
        <v/>
      </c>
      <c r="Y1756" s="535" t="str">
        <f>IF($A1756="","",IF($I1756="weekly",$A1756+7,EDATE($A1756,VLOOKUP($I1756,Ref!$B$24:$C$29,2,0))))</f>
        <v/>
      </c>
      <c r="Z1756" s="536" t="str">
        <f t="shared" si="731"/>
        <v/>
      </c>
      <c r="AA1756" s="531">
        <f t="shared" si="732"/>
        <v>0</v>
      </c>
      <c r="AB1756" s="535" t="str">
        <f t="shared" si="720"/>
        <v/>
      </c>
      <c r="AC1756" s="537" t="str">
        <f t="shared" si="721"/>
        <v/>
      </c>
      <c r="AD1756" s="538" t="str">
        <f t="shared" ca="1" si="722"/>
        <v/>
      </c>
      <c r="AE1756" s="537">
        <f t="shared" ca="1" si="723"/>
        <v>0</v>
      </c>
      <c r="AF1756" s="539" t="str">
        <f t="shared" ca="1" si="733"/>
        <v/>
      </c>
      <c r="AG1756" s="531" t="str">
        <f t="shared" ca="1" si="734"/>
        <v/>
      </c>
      <c r="AH1756" s="531" t="str">
        <f t="shared" ca="1" si="735"/>
        <v/>
      </c>
      <c r="AI1756" s="531" t="str">
        <f t="shared" ca="1" si="736"/>
        <v/>
      </c>
      <c r="AJ1756" s="531" t="str">
        <f t="shared" si="737"/>
        <v/>
      </c>
      <c r="AK1756" s="540">
        <f>SUMIFS('Live Collections'!$S:$S,'Live Collections'!$D:$D,Disbursements!B1756,'Live Collections'!$G:$G,Disbursements!C1756)</f>
        <v>0</v>
      </c>
      <c r="AL1756" s="540">
        <f>SUMIFS('Live Collections'!$T:$T,'Live Collections'!$D:$D,Disbursements!B1756,'Live Collections'!$G:$G,Disbursements!C1756)</f>
        <v>0</v>
      </c>
      <c r="AM1756" s="541">
        <f t="shared" si="738"/>
        <v>0</v>
      </c>
      <c r="AN1756" s="542" t="str">
        <f t="shared" si="739"/>
        <v/>
      </c>
      <c r="AO1756" s="542" t="str">
        <f t="shared" si="740"/>
        <v/>
      </c>
      <c r="AP1756" s="543" t="str">
        <f t="shared" si="741"/>
        <v/>
      </c>
      <c r="AQ1756" s="544" t="str">
        <f t="shared" si="742"/>
        <v/>
      </c>
      <c r="AR1756" s="545">
        <f t="shared" si="743"/>
        <v>0</v>
      </c>
      <c r="AS1756" s="545">
        <f>IFERROR(CEILING($AR1756*VLOOKUP($I1756,Ref!$B$23:$E$29,4,0),1),0)</f>
        <v>0</v>
      </c>
      <c r="AT1756" s="545" t="str">
        <f>IF(A1756="","",IF(AP1756&lt;=1,"Cleared",IF(AS1756=0,"Clean",VLOOKUP($AS1756,Ref!$G$23:$H$28,2))))</f>
        <v/>
      </c>
      <c r="AU1756" s="546" t="str">
        <f t="shared" si="744"/>
        <v/>
      </c>
    </row>
    <row r="1757" spans="1:47" ht="14.25" hidden="1" customHeight="1" x14ac:dyDescent="0.15">
      <c r="A1757" s="575"/>
      <c r="B1757" s="548"/>
      <c r="C1757" s="548"/>
      <c r="D1757" s="548"/>
      <c r="E1757" s="583"/>
      <c r="F1757" s="584"/>
      <c r="G1757" s="548"/>
      <c r="H1757" s="550"/>
      <c r="I1757" s="560"/>
      <c r="J1757" s="548"/>
      <c r="K1757" s="528" t="str">
        <f>IFERROR(VLOOKUP($B1757,'Clients-Live'!$A:$C,3,0),"")</f>
        <v/>
      </c>
      <c r="L1757" s="528">
        <f>IF(E1757="STL",Pricing!$D$38,IF(A1757="",0,IF(A1757&lt;Pricing!$C$25,Pricing!$D$25,VLOOKUP(Disbursements!$F1757,Pricing!$B$29:$D$32,3))))</f>
        <v>0</v>
      </c>
      <c r="M1757" s="528">
        <f>IF(E1757="STL",0,IF(F1757&gt;0,Pricing!$D$21,0))</f>
        <v>0</v>
      </c>
      <c r="N1757" s="529">
        <f>IF(E1757="STL",F1757*Pricing!$D$40,IF(A1757&lt;=Pricing!$C$4,0,IF(AND(A1757&gt;Pricing!$C$4,Disbursements!A1757&lt;=Pricing!$C$5),F1757*Pricing!$E$5,IF(AND(A1757&gt;Pricing!$C$5,Disbursements!A1757&lt;=Pricing!$C$7),VLOOKUP(F1757,Pricing!$D$7:$E$8,2)*Disbursements!F1757,F1757*Pricing!$E$9))))</f>
        <v>0</v>
      </c>
      <c r="O1757" s="528">
        <f>IF(E1757="STL",0,IF($F1757&gt;0,$F1757*Pricing!$D$17,0))</f>
        <v>0</v>
      </c>
      <c r="P1757" s="530" t="str">
        <f t="shared" si="724"/>
        <v/>
      </c>
      <c r="Q1757" s="531" t="str">
        <f>IF($A1757="","",$G1757/VLOOKUP($I1757,Ref!$B$23:$D$29,2,0))</f>
        <v/>
      </c>
      <c r="R1757" s="530" t="str">
        <f t="shared" si="725"/>
        <v/>
      </c>
      <c r="S1757" s="532" t="str">
        <f t="shared" si="719"/>
        <v/>
      </c>
      <c r="T1757" s="531" t="str">
        <f t="shared" si="726"/>
        <v/>
      </c>
      <c r="U1757" s="533">
        <f t="shared" si="727"/>
        <v>0</v>
      </c>
      <c r="V1757" s="531" t="str">
        <f t="shared" si="728"/>
        <v/>
      </c>
      <c r="W1757" s="531" t="str">
        <f t="shared" si="729"/>
        <v/>
      </c>
      <c r="X1757" s="534" t="str">
        <f t="shared" si="730"/>
        <v/>
      </c>
      <c r="Y1757" s="535" t="str">
        <f>IF($A1757="","",IF($I1757="weekly",$A1757+7,EDATE($A1757,VLOOKUP($I1757,Ref!$B$24:$C$29,2,0))))</f>
        <v/>
      </c>
      <c r="Z1757" s="536" t="str">
        <f t="shared" si="731"/>
        <v/>
      </c>
      <c r="AA1757" s="531">
        <f t="shared" si="732"/>
        <v>0</v>
      </c>
      <c r="AB1757" s="535" t="str">
        <f t="shared" si="720"/>
        <v/>
      </c>
      <c r="AC1757" s="537" t="str">
        <f t="shared" si="721"/>
        <v/>
      </c>
      <c r="AD1757" s="538" t="str">
        <f t="shared" ca="1" si="722"/>
        <v/>
      </c>
      <c r="AE1757" s="537">
        <f t="shared" ca="1" si="723"/>
        <v>0</v>
      </c>
      <c r="AF1757" s="539" t="str">
        <f t="shared" ca="1" si="733"/>
        <v/>
      </c>
      <c r="AG1757" s="531" t="str">
        <f t="shared" ca="1" si="734"/>
        <v/>
      </c>
      <c r="AH1757" s="531" t="str">
        <f t="shared" ca="1" si="735"/>
        <v/>
      </c>
      <c r="AI1757" s="531" t="str">
        <f t="shared" ca="1" si="736"/>
        <v/>
      </c>
      <c r="AJ1757" s="531" t="str">
        <f t="shared" si="737"/>
        <v/>
      </c>
      <c r="AK1757" s="540">
        <f>SUMIFS('Live Collections'!$S:$S,'Live Collections'!$D:$D,Disbursements!B1757,'Live Collections'!$G:$G,Disbursements!C1757)</f>
        <v>0</v>
      </c>
      <c r="AL1757" s="540">
        <f>SUMIFS('Live Collections'!$T:$T,'Live Collections'!$D:$D,Disbursements!B1757,'Live Collections'!$G:$G,Disbursements!C1757)</f>
        <v>0</v>
      </c>
      <c r="AM1757" s="541">
        <f t="shared" si="738"/>
        <v>0</v>
      </c>
      <c r="AN1757" s="542" t="str">
        <f t="shared" si="739"/>
        <v/>
      </c>
      <c r="AO1757" s="542" t="str">
        <f t="shared" si="740"/>
        <v/>
      </c>
      <c r="AP1757" s="543" t="str">
        <f t="shared" si="741"/>
        <v/>
      </c>
      <c r="AQ1757" s="544" t="str">
        <f t="shared" si="742"/>
        <v/>
      </c>
      <c r="AR1757" s="545">
        <f t="shared" si="743"/>
        <v>0</v>
      </c>
      <c r="AS1757" s="545">
        <f>IFERROR(CEILING($AR1757*VLOOKUP($I1757,Ref!$B$23:$E$29,4,0),1),0)</f>
        <v>0</v>
      </c>
      <c r="AT1757" s="545" t="str">
        <f>IF(A1757="","",IF(AP1757&lt;=1,"Cleared",IF(AS1757=0,"Clean",VLOOKUP($AS1757,Ref!$G$23:$H$28,2))))</f>
        <v/>
      </c>
      <c r="AU1757" s="546" t="str">
        <f t="shared" si="744"/>
        <v/>
      </c>
    </row>
    <row r="1758" spans="1:47" ht="14.25" hidden="1" customHeight="1" x14ac:dyDescent="0.15">
      <c r="A1758" s="575"/>
      <c r="B1758" s="548"/>
      <c r="C1758" s="548"/>
      <c r="D1758" s="548"/>
      <c r="E1758" s="583"/>
      <c r="F1758" s="584"/>
      <c r="G1758" s="548"/>
      <c r="H1758" s="550"/>
      <c r="I1758" s="560"/>
      <c r="J1758" s="548"/>
      <c r="K1758" s="528" t="str">
        <f>IFERROR(VLOOKUP($B1758,'Clients-Live'!$A:$C,3,0),"")</f>
        <v/>
      </c>
      <c r="L1758" s="528">
        <f>IF(E1758="STL",Pricing!$D$38,IF(A1758="",0,IF(A1758&lt;Pricing!$C$25,Pricing!$D$25,VLOOKUP(Disbursements!$F1758,Pricing!$B$29:$D$32,3))))</f>
        <v>0</v>
      </c>
      <c r="M1758" s="528">
        <f>IF(E1758="STL",0,IF(F1758&gt;0,Pricing!$D$21,0))</f>
        <v>0</v>
      </c>
      <c r="N1758" s="529">
        <f>IF(E1758="STL",F1758*Pricing!$D$40,IF(A1758&lt;=Pricing!$C$4,0,IF(AND(A1758&gt;Pricing!$C$4,Disbursements!A1758&lt;=Pricing!$C$5),F1758*Pricing!$E$5,IF(AND(A1758&gt;Pricing!$C$5,Disbursements!A1758&lt;=Pricing!$C$7),VLOOKUP(F1758,Pricing!$D$7:$E$8,2)*Disbursements!F1758,F1758*Pricing!$E$9))))</f>
        <v>0</v>
      </c>
      <c r="O1758" s="528">
        <f>IF(E1758="STL",0,IF($F1758&gt;0,$F1758*Pricing!$D$17,0))</f>
        <v>0</v>
      </c>
      <c r="P1758" s="530" t="str">
        <f t="shared" si="724"/>
        <v/>
      </c>
      <c r="Q1758" s="531" t="str">
        <f>IF($A1758="","",$G1758/VLOOKUP($I1758,Ref!$B$23:$D$29,2,0))</f>
        <v/>
      </c>
      <c r="R1758" s="530" t="str">
        <f t="shared" si="725"/>
        <v/>
      </c>
      <c r="S1758" s="532" t="str">
        <f t="shared" si="719"/>
        <v/>
      </c>
      <c r="T1758" s="531" t="str">
        <f t="shared" si="726"/>
        <v/>
      </c>
      <c r="U1758" s="533">
        <f t="shared" si="727"/>
        <v>0</v>
      </c>
      <c r="V1758" s="531" t="str">
        <f t="shared" si="728"/>
        <v/>
      </c>
      <c r="W1758" s="531" t="str">
        <f t="shared" si="729"/>
        <v/>
      </c>
      <c r="X1758" s="534" t="str">
        <f t="shared" si="730"/>
        <v/>
      </c>
      <c r="Y1758" s="535" t="str">
        <f>IF($A1758="","",IF($I1758="weekly",$A1758+7,EDATE($A1758,VLOOKUP($I1758,Ref!$B$24:$C$29,2,0))))</f>
        <v/>
      </c>
      <c r="Z1758" s="536" t="str">
        <f t="shared" si="731"/>
        <v/>
      </c>
      <c r="AA1758" s="531">
        <f t="shared" si="732"/>
        <v>0</v>
      </c>
      <c r="AB1758" s="535" t="str">
        <f t="shared" si="720"/>
        <v/>
      </c>
      <c r="AC1758" s="537" t="str">
        <f t="shared" si="721"/>
        <v/>
      </c>
      <c r="AD1758" s="538" t="str">
        <f t="shared" ca="1" si="722"/>
        <v/>
      </c>
      <c r="AE1758" s="537">
        <f t="shared" ca="1" si="723"/>
        <v>0</v>
      </c>
      <c r="AF1758" s="539" t="str">
        <f t="shared" ca="1" si="733"/>
        <v/>
      </c>
      <c r="AG1758" s="531" t="str">
        <f t="shared" ca="1" si="734"/>
        <v/>
      </c>
      <c r="AH1758" s="531" t="str">
        <f t="shared" ca="1" si="735"/>
        <v/>
      </c>
      <c r="AI1758" s="531" t="str">
        <f t="shared" ca="1" si="736"/>
        <v/>
      </c>
      <c r="AJ1758" s="531" t="str">
        <f t="shared" si="737"/>
        <v/>
      </c>
      <c r="AK1758" s="540">
        <f>SUMIFS('Live Collections'!$S:$S,'Live Collections'!$D:$D,Disbursements!B1758,'Live Collections'!$G:$G,Disbursements!C1758)</f>
        <v>0</v>
      </c>
      <c r="AL1758" s="540">
        <f>SUMIFS('Live Collections'!$T:$T,'Live Collections'!$D:$D,Disbursements!B1758,'Live Collections'!$G:$G,Disbursements!C1758)</f>
        <v>0</v>
      </c>
      <c r="AM1758" s="541">
        <f t="shared" si="738"/>
        <v>0</v>
      </c>
      <c r="AN1758" s="542" t="str">
        <f t="shared" si="739"/>
        <v/>
      </c>
      <c r="AO1758" s="542" t="str">
        <f t="shared" si="740"/>
        <v/>
      </c>
      <c r="AP1758" s="543" t="str">
        <f t="shared" si="741"/>
        <v/>
      </c>
      <c r="AQ1758" s="544" t="str">
        <f t="shared" si="742"/>
        <v/>
      </c>
      <c r="AR1758" s="545">
        <f t="shared" si="743"/>
        <v>0</v>
      </c>
      <c r="AS1758" s="545">
        <f>IFERROR(CEILING($AR1758*VLOOKUP($I1758,Ref!$B$23:$E$29,4,0),1),0)</f>
        <v>0</v>
      </c>
      <c r="AT1758" s="545" t="str">
        <f>IF(A1758="","",IF(AP1758&lt;=1,"Cleared",IF(AS1758=0,"Clean",VLOOKUP($AS1758,Ref!$G$23:$H$28,2))))</f>
        <v/>
      </c>
      <c r="AU1758" s="546" t="str">
        <f t="shared" si="744"/>
        <v/>
      </c>
    </row>
    <row r="1759" spans="1:47" ht="14.25" hidden="1" customHeight="1" x14ac:dyDescent="0.15">
      <c r="A1759" s="575"/>
      <c r="B1759" s="548"/>
      <c r="C1759" s="548"/>
      <c r="D1759" s="548"/>
      <c r="E1759" s="583"/>
      <c r="F1759" s="584"/>
      <c r="G1759" s="548"/>
      <c r="H1759" s="550"/>
      <c r="I1759" s="560"/>
      <c r="J1759" s="548"/>
      <c r="K1759" s="528" t="str">
        <f>IFERROR(VLOOKUP($B1759,'Clients-Live'!$A:$C,3,0),"")</f>
        <v/>
      </c>
      <c r="L1759" s="528">
        <f>IF(E1759="STL",Pricing!$D$38,IF(A1759="",0,IF(A1759&lt;Pricing!$C$25,Pricing!$D$25,VLOOKUP(Disbursements!$F1759,Pricing!$B$29:$D$32,3))))</f>
        <v>0</v>
      </c>
      <c r="M1759" s="528">
        <f>IF(E1759="STL",0,IF(F1759&gt;0,Pricing!$D$21,0))</f>
        <v>0</v>
      </c>
      <c r="N1759" s="529">
        <f>IF(E1759="STL",F1759*Pricing!$D$40,IF(A1759&lt;=Pricing!$C$4,0,IF(AND(A1759&gt;Pricing!$C$4,Disbursements!A1759&lt;=Pricing!$C$5),F1759*Pricing!$E$5,IF(AND(A1759&gt;Pricing!$C$5,Disbursements!A1759&lt;=Pricing!$C$7),VLOOKUP(F1759,Pricing!$D$7:$E$8,2)*Disbursements!F1759,F1759*Pricing!$E$9))))</f>
        <v>0</v>
      </c>
      <c r="O1759" s="528">
        <f>IF(E1759="STL",0,IF($F1759&gt;0,$F1759*Pricing!$D$17,0))</f>
        <v>0</v>
      </c>
      <c r="P1759" s="530" t="str">
        <f t="shared" si="724"/>
        <v/>
      </c>
      <c r="Q1759" s="531" t="str">
        <f>IF($A1759="","",$G1759/VLOOKUP($I1759,Ref!$B$23:$D$29,2,0))</f>
        <v/>
      </c>
      <c r="R1759" s="530" t="str">
        <f t="shared" si="725"/>
        <v/>
      </c>
      <c r="S1759" s="532" t="str">
        <f t="shared" si="719"/>
        <v/>
      </c>
      <c r="T1759" s="531" t="str">
        <f t="shared" si="726"/>
        <v/>
      </c>
      <c r="U1759" s="533">
        <f t="shared" si="727"/>
        <v>0</v>
      </c>
      <c r="V1759" s="531" t="str">
        <f t="shared" si="728"/>
        <v/>
      </c>
      <c r="W1759" s="531" t="str">
        <f t="shared" si="729"/>
        <v/>
      </c>
      <c r="X1759" s="534" t="str">
        <f t="shared" si="730"/>
        <v/>
      </c>
      <c r="Y1759" s="535" t="str">
        <f>IF($A1759="","",IF($I1759="weekly",$A1759+7,EDATE($A1759,VLOOKUP($I1759,Ref!$B$24:$C$29,2,0))))</f>
        <v/>
      </c>
      <c r="Z1759" s="536" t="str">
        <f t="shared" si="731"/>
        <v/>
      </c>
      <c r="AA1759" s="531">
        <f t="shared" si="732"/>
        <v>0</v>
      </c>
      <c r="AB1759" s="535" t="str">
        <f t="shared" si="720"/>
        <v/>
      </c>
      <c r="AC1759" s="537" t="str">
        <f t="shared" si="721"/>
        <v/>
      </c>
      <c r="AD1759" s="538" t="str">
        <f t="shared" ca="1" si="722"/>
        <v/>
      </c>
      <c r="AE1759" s="537">
        <f t="shared" ca="1" si="723"/>
        <v>0</v>
      </c>
      <c r="AF1759" s="539" t="str">
        <f t="shared" ca="1" si="733"/>
        <v/>
      </c>
      <c r="AG1759" s="531" t="str">
        <f t="shared" ca="1" si="734"/>
        <v/>
      </c>
      <c r="AH1759" s="531" t="str">
        <f t="shared" ca="1" si="735"/>
        <v/>
      </c>
      <c r="AI1759" s="531" t="str">
        <f t="shared" ca="1" si="736"/>
        <v/>
      </c>
      <c r="AJ1759" s="531" t="str">
        <f t="shared" si="737"/>
        <v/>
      </c>
      <c r="AK1759" s="540">
        <f>SUMIFS('Live Collections'!$S:$S,'Live Collections'!$D:$D,Disbursements!B1759,'Live Collections'!$G:$G,Disbursements!C1759)</f>
        <v>0</v>
      </c>
      <c r="AL1759" s="540">
        <f>SUMIFS('Live Collections'!$T:$T,'Live Collections'!$D:$D,Disbursements!B1759,'Live Collections'!$G:$G,Disbursements!C1759)</f>
        <v>0</v>
      </c>
      <c r="AM1759" s="541">
        <f t="shared" si="738"/>
        <v>0</v>
      </c>
      <c r="AN1759" s="542" t="str">
        <f t="shared" si="739"/>
        <v/>
      </c>
      <c r="AO1759" s="542" t="str">
        <f t="shared" si="740"/>
        <v/>
      </c>
      <c r="AP1759" s="543" t="str">
        <f t="shared" si="741"/>
        <v/>
      </c>
      <c r="AQ1759" s="544" t="str">
        <f t="shared" si="742"/>
        <v/>
      </c>
      <c r="AR1759" s="545">
        <f t="shared" si="743"/>
        <v>0</v>
      </c>
      <c r="AS1759" s="545">
        <f>IFERROR(CEILING($AR1759*VLOOKUP($I1759,Ref!$B$23:$E$29,4,0),1),0)</f>
        <v>0</v>
      </c>
      <c r="AT1759" s="545" t="str">
        <f>IF(A1759="","",IF(AP1759&lt;=1,"Cleared",IF(AS1759=0,"Clean",VLOOKUP($AS1759,Ref!$G$23:$H$28,2))))</f>
        <v/>
      </c>
      <c r="AU1759" s="546" t="str">
        <f t="shared" si="744"/>
        <v/>
      </c>
    </row>
    <row r="1760" spans="1:47" ht="14.25" hidden="1" customHeight="1" x14ac:dyDescent="0.15">
      <c r="A1760" s="575"/>
      <c r="B1760" s="548"/>
      <c r="C1760" s="548"/>
      <c r="D1760" s="548"/>
      <c r="E1760" s="583"/>
      <c r="F1760" s="584"/>
      <c r="G1760" s="548"/>
      <c r="H1760" s="550"/>
      <c r="I1760" s="560"/>
      <c r="J1760" s="548"/>
      <c r="K1760" s="528" t="str">
        <f>IFERROR(VLOOKUP($B1760,'Clients-Live'!$A:$C,3,0),"")</f>
        <v/>
      </c>
      <c r="L1760" s="528">
        <f>IF(E1760="STL",Pricing!$D$38,IF(A1760="",0,IF(A1760&lt;Pricing!$C$25,Pricing!$D$25,VLOOKUP(Disbursements!$F1760,Pricing!$B$29:$D$32,3))))</f>
        <v>0</v>
      </c>
      <c r="M1760" s="528">
        <f>IF(E1760="STL",0,IF(F1760&gt;0,Pricing!$D$21,0))</f>
        <v>0</v>
      </c>
      <c r="N1760" s="529">
        <f>IF(E1760="STL",F1760*Pricing!$D$40,IF(A1760&lt;=Pricing!$C$4,0,IF(AND(A1760&gt;Pricing!$C$4,Disbursements!A1760&lt;=Pricing!$C$5),F1760*Pricing!$E$5,IF(AND(A1760&gt;Pricing!$C$5,Disbursements!A1760&lt;=Pricing!$C$7),VLOOKUP(F1760,Pricing!$D$7:$E$8,2)*Disbursements!F1760,F1760*Pricing!$E$9))))</f>
        <v>0</v>
      </c>
      <c r="O1760" s="528">
        <f>IF(E1760="STL",0,IF($F1760&gt;0,$F1760*Pricing!$D$17,0))</f>
        <v>0</v>
      </c>
      <c r="P1760" s="530" t="str">
        <f t="shared" si="724"/>
        <v/>
      </c>
      <c r="Q1760" s="531" t="str">
        <f>IF($A1760="","",$G1760/VLOOKUP($I1760,Ref!$B$23:$D$29,2,0))</f>
        <v/>
      </c>
      <c r="R1760" s="530" t="str">
        <f t="shared" si="725"/>
        <v/>
      </c>
      <c r="S1760" s="532" t="str">
        <f t="shared" si="719"/>
        <v/>
      </c>
      <c r="T1760" s="531" t="str">
        <f t="shared" si="726"/>
        <v/>
      </c>
      <c r="U1760" s="533">
        <f t="shared" si="727"/>
        <v>0</v>
      </c>
      <c r="V1760" s="531" t="str">
        <f t="shared" si="728"/>
        <v/>
      </c>
      <c r="W1760" s="531" t="str">
        <f t="shared" si="729"/>
        <v/>
      </c>
      <c r="X1760" s="534" t="str">
        <f t="shared" si="730"/>
        <v/>
      </c>
      <c r="Y1760" s="535" t="str">
        <f>IF($A1760="","",IF($I1760="weekly",$A1760+7,EDATE($A1760,VLOOKUP($I1760,Ref!$B$24:$C$29,2,0))))</f>
        <v/>
      </c>
      <c r="Z1760" s="536" t="str">
        <f t="shared" si="731"/>
        <v/>
      </c>
      <c r="AA1760" s="531">
        <f t="shared" si="732"/>
        <v>0</v>
      </c>
      <c r="AB1760" s="535" t="str">
        <f t="shared" si="720"/>
        <v/>
      </c>
      <c r="AC1760" s="537" t="str">
        <f t="shared" si="721"/>
        <v/>
      </c>
      <c r="AD1760" s="538" t="str">
        <f t="shared" ca="1" si="722"/>
        <v/>
      </c>
      <c r="AE1760" s="537">
        <f t="shared" ca="1" si="723"/>
        <v>0</v>
      </c>
      <c r="AF1760" s="539" t="str">
        <f t="shared" ca="1" si="733"/>
        <v/>
      </c>
      <c r="AG1760" s="531" t="str">
        <f t="shared" ca="1" si="734"/>
        <v/>
      </c>
      <c r="AH1760" s="531" t="str">
        <f t="shared" ca="1" si="735"/>
        <v/>
      </c>
      <c r="AI1760" s="531" t="str">
        <f t="shared" ca="1" si="736"/>
        <v/>
      </c>
      <c r="AJ1760" s="531" t="str">
        <f t="shared" si="737"/>
        <v/>
      </c>
      <c r="AK1760" s="540">
        <f>SUMIFS('Live Collections'!$S:$S,'Live Collections'!$D:$D,Disbursements!B1760,'Live Collections'!$G:$G,Disbursements!C1760)</f>
        <v>0</v>
      </c>
      <c r="AL1760" s="540">
        <f>SUMIFS('Live Collections'!$T:$T,'Live Collections'!$D:$D,Disbursements!B1760,'Live Collections'!$G:$G,Disbursements!C1760)</f>
        <v>0</v>
      </c>
      <c r="AM1760" s="541">
        <f t="shared" si="738"/>
        <v>0</v>
      </c>
      <c r="AN1760" s="542" t="str">
        <f t="shared" si="739"/>
        <v/>
      </c>
      <c r="AO1760" s="542" t="str">
        <f t="shared" si="740"/>
        <v/>
      </c>
      <c r="AP1760" s="543" t="str">
        <f t="shared" si="741"/>
        <v/>
      </c>
      <c r="AQ1760" s="544" t="str">
        <f t="shared" si="742"/>
        <v/>
      </c>
      <c r="AR1760" s="545">
        <f t="shared" si="743"/>
        <v>0</v>
      </c>
      <c r="AS1760" s="545">
        <f>IFERROR(CEILING($AR1760*VLOOKUP($I1760,Ref!$B$23:$E$29,4,0),1),0)</f>
        <v>0</v>
      </c>
      <c r="AT1760" s="545" t="str">
        <f>IF(A1760="","",IF(AP1760&lt;=1,"Cleared",IF(AS1760=0,"Clean",VLOOKUP($AS1760,Ref!$G$23:$H$28,2))))</f>
        <v/>
      </c>
      <c r="AU1760" s="546" t="str">
        <f t="shared" si="744"/>
        <v/>
      </c>
    </row>
    <row r="1761" spans="1:47" ht="14.25" hidden="1" customHeight="1" x14ac:dyDescent="0.15">
      <c r="A1761" s="575"/>
      <c r="B1761" s="548"/>
      <c r="C1761" s="548"/>
      <c r="D1761" s="548"/>
      <c r="E1761" s="583"/>
      <c r="F1761" s="584"/>
      <c r="G1761" s="548"/>
      <c r="H1761" s="550"/>
      <c r="I1761" s="560"/>
      <c r="J1761" s="548"/>
      <c r="K1761" s="528" t="str">
        <f>IFERROR(VLOOKUP($B1761,'Clients-Live'!$A:$C,3,0),"")</f>
        <v/>
      </c>
      <c r="L1761" s="528">
        <f>IF(E1761="STL",Pricing!$D$38,IF(A1761="",0,IF(A1761&lt;Pricing!$C$25,Pricing!$D$25,VLOOKUP(Disbursements!$F1761,Pricing!$B$29:$D$32,3))))</f>
        <v>0</v>
      </c>
      <c r="M1761" s="528">
        <f>IF(E1761="STL",0,IF(F1761&gt;0,Pricing!$D$21,0))</f>
        <v>0</v>
      </c>
      <c r="N1761" s="529">
        <f>IF(E1761="STL",F1761*Pricing!$D$40,IF(A1761&lt;=Pricing!$C$4,0,IF(AND(A1761&gt;Pricing!$C$4,Disbursements!A1761&lt;=Pricing!$C$5),F1761*Pricing!$E$5,IF(AND(A1761&gt;Pricing!$C$5,Disbursements!A1761&lt;=Pricing!$C$7),VLOOKUP(F1761,Pricing!$D$7:$E$8,2)*Disbursements!F1761,F1761*Pricing!$E$9))))</f>
        <v>0</v>
      </c>
      <c r="O1761" s="528">
        <f>IF(E1761="STL",0,IF($F1761&gt;0,$F1761*Pricing!$D$17,0))</f>
        <v>0</v>
      </c>
      <c r="P1761" s="530" t="str">
        <f t="shared" si="724"/>
        <v/>
      </c>
      <c r="Q1761" s="531" t="str">
        <f>IF($A1761="","",$G1761/VLOOKUP($I1761,Ref!$B$23:$D$29,2,0))</f>
        <v/>
      </c>
      <c r="R1761" s="530" t="str">
        <f t="shared" si="725"/>
        <v/>
      </c>
      <c r="S1761" s="532" t="str">
        <f t="shared" si="719"/>
        <v/>
      </c>
      <c r="T1761" s="531" t="str">
        <f t="shared" si="726"/>
        <v/>
      </c>
      <c r="U1761" s="533">
        <f t="shared" si="727"/>
        <v>0</v>
      </c>
      <c r="V1761" s="531" t="str">
        <f t="shared" si="728"/>
        <v/>
      </c>
      <c r="W1761" s="531" t="str">
        <f t="shared" si="729"/>
        <v/>
      </c>
      <c r="X1761" s="534" t="str">
        <f t="shared" si="730"/>
        <v/>
      </c>
      <c r="Y1761" s="535" t="str">
        <f>IF($A1761="","",IF($I1761="weekly",$A1761+7,EDATE($A1761,VLOOKUP($I1761,Ref!$B$24:$C$29,2,0))))</f>
        <v/>
      </c>
      <c r="Z1761" s="536" t="str">
        <f t="shared" si="731"/>
        <v/>
      </c>
      <c r="AA1761" s="531">
        <f t="shared" si="732"/>
        <v>0</v>
      </c>
      <c r="AB1761" s="535" t="str">
        <f t="shared" si="720"/>
        <v/>
      </c>
      <c r="AC1761" s="537" t="str">
        <f t="shared" si="721"/>
        <v/>
      </c>
      <c r="AD1761" s="538" t="str">
        <f t="shared" ca="1" si="722"/>
        <v/>
      </c>
      <c r="AE1761" s="537">
        <f t="shared" ca="1" si="723"/>
        <v>0</v>
      </c>
      <c r="AF1761" s="539" t="str">
        <f t="shared" ca="1" si="733"/>
        <v/>
      </c>
      <c r="AG1761" s="531" t="str">
        <f t="shared" ca="1" si="734"/>
        <v/>
      </c>
      <c r="AH1761" s="531" t="str">
        <f t="shared" ca="1" si="735"/>
        <v/>
      </c>
      <c r="AI1761" s="531" t="str">
        <f t="shared" ca="1" si="736"/>
        <v/>
      </c>
      <c r="AJ1761" s="531" t="str">
        <f t="shared" si="737"/>
        <v/>
      </c>
      <c r="AK1761" s="540">
        <f>SUMIFS('Live Collections'!$S:$S,'Live Collections'!$D:$D,Disbursements!B1761,'Live Collections'!$G:$G,Disbursements!C1761)</f>
        <v>0</v>
      </c>
      <c r="AL1761" s="540">
        <f>SUMIFS('Live Collections'!$T:$T,'Live Collections'!$D:$D,Disbursements!B1761,'Live Collections'!$G:$G,Disbursements!C1761)</f>
        <v>0</v>
      </c>
      <c r="AM1761" s="541">
        <f t="shared" si="738"/>
        <v>0</v>
      </c>
      <c r="AN1761" s="542" t="str">
        <f t="shared" si="739"/>
        <v/>
      </c>
      <c r="AO1761" s="542" t="str">
        <f t="shared" si="740"/>
        <v/>
      </c>
      <c r="AP1761" s="543" t="str">
        <f t="shared" si="741"/>
        <v/>
      </c>
      <c r="AQ1761" s="544" t="str">
        <f t="shared" si="742"/>
        <v/>
      </c>
      <c r="AR1761" s="545">
        <f t="shared" si="743"/>
        <v>0</v>
      </c>
      <c r="AS1761" s="545">
        <f>IFERROR(CEILING($AR1761*VLOOKUP($I1761,Ref!$B$23:$E$29,4,0),1),0)</f>
        <v>0</v>
      </c>
      <c r="AT1761" s="545" t="str">
        <f>IF(A1761="","",IF(AP1761&lt;=1,"Cleared",IF(AS1761=0,"Clean",VLOOKUP($AS1761,Ref!$G$23:$H$28,2))))</f>
        <v/>
      </c>
      <c r="AU1761" s="546" t="str">
        <f t="shared" si="744"/>
        <v/>
      </c>
    </row>
    <row r="1762" spans="1:47" ht="14.25" hidden="1" customHeight="1" x14ac:dyDescent="0.15">
      <c r="A1762" s="575"/>
      <c r="B1762" s="548"/>
      <c r="C1762" s="548"/>
      <c r="D1762" s="548"/>
      <c r="E1762" s="583"/>
      <c r="F1762" s="584"/>
      <c r="G1762" s="548"/>
      <c r="H1762" s="550"/>
      <c r="I1762" s="560"/>
      <c r="J1762" s="548"/>
      <c r="K1762" s="528" t="str">
        <f>IFERROR(VLOOKUP($B1762,'Clients-Live'!$A:$C,3,0),"")</f>
        <v/>
      </c>
      <c r="L1762" s="528">
        <f>IF(E1762="STL",Pricing!$D$38,IF(A1762="",0,IF(A1762&lt;Pricing!$C$25,Pricing!$D$25,VLOOKUP(Disbursements!$F1762,Pricing!$B$29:$D$32,3))))</f>
        <v>0</v>
      </c>
      <c r="M1762" s="528">
        <f>IF(E1762="STL",0,IF(F1762&gt;0,Pricing!$D$21,0))</f>
        <v>0</v>
      </c>
      <c r="N1762" s="529">
        <f>IF(E1762="STL",F1762*Pricing!$D$40,IF(A1762&lt;=Pricing!$C$4,0,IF(AND(A1762&gt;Pricing!$C$4,Disbursements!A1762&lt;=Pricing!$C$5),F1762*Pricing!$E$5,IF(AND(A1762&gt;Pricing!$C$5,Disbursements!A1762&lt;=Pricing!$C$7),VLOOKUP(F1762,Pricing!$D$7:$E$8,2)*Disbursements!F1762,F1762*Pricing!$E$9))))</f>
        <v>0</v>
      </c>
      <c r="O1762" s="528">
        <f>IF(E1762="STL",0,IF($F1762&gt;0,$F1762*Pricing!$D$17,0))</f>
        <v>0</v>
      </c>
      <c r="P1762" s="530" t="str">
        <f t="shared" si="724"/>
        <v/>
      </c>
      <c r="Q1762" s="531" t="str">
        <f>IF($A1762="","",$G1762/VLOOKUP($I1762,Ref!$B$23:$D$29,2,0))</f>
        <v/>
      </c>
      <c r="R1762" s="530" t="str">
        <f t="shared" si="725"/>
        <v/>
      </c>
      <c r="S1762" s="532" t="str">
        <f t="shared" si="719"/>
        <v/>
      </c>
      <c r="T1762" s="531" t="str">
        <f t="shared" si="726"/>
        <v/>
      </c>
      <c r="U1762" s="533">
        <f t="shared" si="727"/>
        <v>0</v>
      </c>
      <c r="V1762" s="531" t="str">
        <f t="shared" si="728"/>
        <v/>
      </c>
      <c r="W1762" s="531" t="str">
        <f t="shared" si="729"/>
        <v/>
      </c>
      <c r="X1762" s="534" t="str">
        <f t="shared" si="730"/>
        <v/>
      </c>
      <c r="Y1762" s="535" t="str">
        <f>IF($A1762="","",IF($I1762="weekly",$A1762+7,EDATE($A1762,VLOOKUP($I1762,Ref!$B$24:$C$29,2,0))))</f>
        <v/>
      </c>
      <c r="Z1762" s="536" t="str">
        <f t="shared" si="731"/>
        <v/>
      </c>
      <c r="AA1762" s="531">
        <f t="shared" si="732"/>
        <v>0</v>
      </c>
      <c r="AB1762" s="535" t="str">
        <f t="shared" si="720"/>
        <v/>
      </c>
      <c r="AC1762" s="537" t="str">
        <f t="shared" si="721"/>
        <v/>
      </c>
      <c r="AD1762" s="538" t="str">
        <f t="shared" ca="1" si="722"/>
        <v/>
      </c>
      <c r="AE1762" s="537">
        <f t="shared" ca="1" si="723"/>
        <v>0</v>
      </c>
      <c r="AF1762" s="539" t="str">
        <f t="shared" ca="1" si="733"/>
        <v/>
      </c>
      <c r="AG1762" s="531" t="str">
        <f t="shared" ca="1" si="734"/>
        <v/>
      </c>
      <c r="AH1762" s="531" t="str">
        <f t="shared" ca="1" si="735"/>
        <v/>
      </c>
      <c r="AI1762" s="531" t="str">
        <f t="shared" ca="1" si="736"/>
        <v/>
      </c>
      <c r="AJ1762" s="531" t="str">
        <f t="shared" si="737"/>
        <v/>
      </c>
      <c r="AK1762" s="540">
        <f>SUMIFS('Live Collections'!$S:$S,'Live Collections'!$D:$D,Disbursements!B1762,'Live Collections'!$G:$G,Disbursements!C1762)</f>
        <v>0</v>
      </c>
      <c r="AL1762" s="540">
        <f>SUMIFS('Live Collections'!$T:$T,'Live Collections'!$D:$D,Disbursements!B1762,'Live Collections'!$G:$G,Disbursements!C1762)</f>
        <v>0</v>
      </c>
      <c r="AM1762" s="541">
        <f t="shared" si="738"/>
        <v>0</v>
      </c>
      <c r="AN1762" s="542" t="str">
        <f t="shared" si="739"/>
        <v/>
      </c>
      <c r="AO1762" s="542" t="str">
        <f t="shared" si="740"/>
        <v/>
      </c>
      <c r="AP1762" s="543" t="str">
        <f t="shared" si="741"/>
        <v/>
      </c>
      <c r="AQ1762" s="544" t="str">
        <f t="shared" si="742"/>
        <v/>
      </c>
      <c r="AR1762" s="545">
        <f t="shared" si="743"/>
        <v>0</v>
      </c>
      <c r="AS1762" s="545">
        <f>IFERROR(CEILING($AR1762*VLOOKUP($I1762,Ref!$B$23:$E$29,4,0),1),0)</f>
        <v>0</v>
      </c>
      <c r="AT1762" s="545" t="str">
        <f>IF(A1762="","",IF(AP1762&lt;=1,"Cleared",IF(AS1762=0,"Clean",VLOOKUP($AS1762,Ref!$G$23:$H$28,2))))</f>
        <v/>
      </c>
      <c r="AU1762" s="546" t="str">
        <f t="shared" si="744"/>
        <v/>
      </c>
    </row>
    <row r="1763" spans="1:47" ht="14.25" hidden="1" customHeight="1" x14ac:dyDescent="0.15">
      <c r="A1763" s="575"/>
      <c r="B1763" s="548"/>
      <c r="C1763" s="548"/>
      <c r="D1763" s="548"/>
      <c r="E1763" s="583"/>
      <c r="F1763" s="584"/>
      <c r="G1763" s="548"/>
      <c r="H1763" s="550"/>
      <c r="I1763" s="560"/>
      <c r="J1763" s="548"/>
      <c r="K1763" s="528" t="str">
        <f>IFERROR(VLOOKUP($B1763,'Clients-Live'!$A:$C,3,0),"")</f>
        <v/>
      </c>
      <c r="L1763" s="528">
        <f>IF(E1763="STL",Pricing!$D$38,IF(A1763="",0,IF(A1763&lt;Pricing!$C$25,Pricing!$D$25,VLOOKUP(Disbursements!$F1763,Pricing!$B$29:$D$32,3))))</f>
        <v>0</v>
      </c>
      <c r="M1763" s="528">
        <f>IF(E1763="STL",0,IF(F1763&gt;0,Pricing!$D$21,0))</f>
        <v>0</v>
      </c>
      <c r="N1763" s="529">
        <f>IF(E1763="STL",F1763*Pricing!$D$40,IF(A1763&lt;=Pricing!$C$4,0,IF(AND(A1763&gt;Pricing!$C$4,Disbursements!A1763&lt;=Pricing!$C$5),F1763*Pricing!$E$5,IF(AND(A1763&gt;Pricing!$C$5,Disbursements!A1763&lt;=Pricing!$C$7),VLOOKUP(F1763,Pricing!$D$7:$E$8,2)*Disbursements!F1763,F1763*Pricing!$E$9))))</f>
        <v>0</v>
      </c>
      <c r="O1763" s="528">
        <f>IF(E1763="STL",0,IF($F1763&gt;0,$F1763*Pricing!$D$17,0))</f>
        <v>0</v>
      </c>
      <c r="P1763" s="530" t="str">
        <f t="shared" si="724"/>
        <v/>
      </c>
      <c r="Q1763" s="531" t="str">
        <f>IF($A1763="","",$G1763/VLOOKUP($I1763,Ref!$B$23:$D$29,2,0))</f>
        <v/>
      </c>
      <c r="R1763" s="530" t="str">
        <f t="shared" si="725"/>
        <v/>
      </c>
      <c r="S1763" s="532" t="str">
        <f t="shared" si="719"/>
        <v/>
      </c>
      <c r="T1763" s="531" t="str">
        <f t="shared" si="726"/>
        <v/>
      </c>
      <c r="U1763" s="533">
        <f t="shared" si="727"/>
        <v>0</v>
      </c>
      <c r="V1763" s="531" t="str">
        <f t="shared" si="728"/>
        <v/>
      </c>
      <c r="W1763" s="531" t="str">
        <f t="shared" si="729"/>
        <v/>
      </c>
      <c r="X1763" s="534" t="str">
        <f t="shared" si="730"/>
        <v/>
      </c>
      <c r="Y1763" s="535" t="str">
        <f>IF($A1763="","",IF($I1763="weekly",$A1763+7,EDATE($A1763,VLOOKUP($I1763,Ref!$B$24:$C$29,2,0))))</f>
        <v/>
      </c>
      <c r="Z1763" s="536" t="str">
        <f t="shared" si="731"/>
        <v/>
      </c>
      <c r="AA1763" s="531">
        <f t="shared" si="732"/>
        <v>0</v>
      </c>
      <c r="AB1763" s="535" t="str">
        <f t="shared" si="720"/>
        <v/>
      </c>
      <c r="AC1763" s="537" t="str">
        <f t="shared" si="721"/>
        <v/>
      </c>
      <c r="AD1763" s="538" t="str">
        <f t="shared" ca="1" si="722"/>
        <v/>
      </c>
      <c r="AE1763" s="537">
        <f t="shared" ca="1" si="723"/>
        <v>0</v>
      </c>
      <c r="AF1763" s="539" t="str">
        <f t="shared" ca="1" si="733"/>
        <v/>
      </c>
      <c r="AG1763" s="531" t="str">
        <f t="shared" ca="1" si="734"/>
        <v/>
      </c>
      <c r="AH1763" s="531" t="str">
        <f t="shared" ca="1" si="735"/>
        <v/>
      </c>
      <c r="AI1763" s="531" t="str">
        <f t="shared" ca="1" si="736"/>
        <v/>
      </c>
      <c r="AJ1763" s="531" t="str">
        <f t="shared" si="737"/>
        <v/>
      </c>
      <c r="AK1763" s="540">
        <f>SUMIFS('Live Collections'!$S:$S,'Live Collections'!$D:$D,Disbursements!B1763,'Live Collections'!$G:$G,Disbursements!C1763)</f>
        <v>0</v>
      </c>
      <c r="AL1763" s="540">
        <f>SUMIFS('Live Collections'!$T:$T,'Live Collections'!$D:$D,Disbursements!B1763,'Live Collections'!$G:$G,Disbursements!C1763)</f>
        <v>0</v>
      </c>
      <c r="AM1763" s="541">
        <f t="shared" si="738"/>
        <v>0</v>
      </c>
      <c r="AN1763" s="542" t="str">
        <f t="shared" si="739"/>
        <v/>
      </c>
      <c r="AO1763" s="542" t="str">
        <f t="shared" si="740"/>
        <v/>
      </c>
      <c r="AP1763" s="543" t="str">
        <f t="shared" si="741"/>
        <v/>
      </c>
      <c r="AQ1763" s="544" t="str">
        <f t="shared" si="742"/>
        <v/>
      </c>
      <c r="AR1763" s="545">
        <f t="shared" si="743"/>
        <v>0</v>
      </c>
      <c r="AS1763" s="545">
        <f>IFERROR(CEILING($AR1763*VLOOKUP($I1763,Ref!$B$23:$E$29,4,0),1),0)</f>
        <v>0</v>
      </c>
      <c r="AT1763" s="545" t="str">
        <f>IF(A1763="","",IF(AP1763&lt;=1,"Cleared",IF(AS1763=0,"Clean",VLOOKUP($AS1763,Ref!$G$23:$H$28,2))))</f>
        <v/>
      </c>
      <c r="AU1763" s="546" t="str">
        <f t="shared" si="744"/>
        <v/>
      </c>
    </row>
    <row r="1764" spans="1:47" ht="14.25" hidden="1" customHeight="1" x14ac:dyDescent="0.15">
      <c r="A1764" s="575"/>
      <c r="B1764" s="548"/>
      <c r="C1764" s="548"/>
      <c r="D1764" s="548"/>
      <c r="E1764" s="583"/>
      <c r="F1764" s="584"/>
      <c r="G1764" s="548"/>
      <c r="H1764" s="550"/>
      <c r="I1764" s="560"/>
      <c r="J1764" s="548"/>
      <c r="K1764" s="528" t="str">
        <f>IFERROR(VLOOKUP($B1764,'Clients-Live'!$A:$C,3,0),"")</f>
        <v/>
      </c>
      <c r="L1764" s="528">
        <f>IF(E1764="STL",Pricing!$D$38,IF(A1764="",0,IF(A1764&lt;Pricing!$C$25,Pricing!$D$25,VLOOKUP(Disbursements!$F1764,Pricing!$B$29:$D$32,3))))</f>
        <v>0</v>
      </c>
      <c r="M1764" s="528">
        <f>IF(E1764="STL",0,IF(F1764&gt;0,Pricing!$D$21,0))</f>
        <v>0</v>
      </c>
      <c r="N1764" s="529">
        <f>IF(E1764="STL",F1764*Pricing!$D$40,IF(A1764&lt;=Pricing!$C$4,0,IF(AND(A1764&gt;Pricing!$C$4,Disbursements!A1764&lt;=Pricing!$C$5),F1764*Pricing!$E$5,IF(AND(A1764&gt;Pricing!$C$5,Disbursements!A1764&lt;=Pricing!$C$7),VLOOKUP(F1764,Pricing!$D$7:$E$8,2)*Disbursements!F1764,F1764*Pricing!$E$9))))</f>
        <v>0</v>
      </c>
      <c r="O1764" s="528">
        <f>IF(E1764="STL",0,IF($F1764&gt;0,$F1764*Pricing!$D$17,0))</f>
        <v>0</v>
      </c>
      <c r="P1764" s="530" t="str">
        <f t="shared" si="724"/>
        <v/>
      </c>
      <c r="Q1764" s="531" t="str">
        <f>IF($A1764="","",$G1764/VLOOKUP($I1764,Ref!$B$23:$D$29,2,0))</f>
        <v/>
      </c>
      <c r="R1764" s="530" t="str">
        <f t="shared" si="725"/>
        <v/>
      </c>
      <c r="S1764" s="532" t="str">
        <f t="shared" si="719"/>
        <v/>
      </c>
      <c r="T1764" s="531" t="str">
        <f t="shared" si="726"/>
        <v/>
      </c>
      <c r="U1764" s="533">
        <f t="shared" si="727"/>
        <v>0</v>
      </c>
      <c r="V1764" s="531" t="str">
        <f t="shared" si="728"/>
        <v/>
      </c>
      <c r="W1764" s="531" t="str">
        <f t="shared" si="729"/>
        <v/>
      </c>
      <c r="X1764" s="534" t="str">
        <f t="shared" si="730"/>
        <v/>
      </c>
      <c r="Y1764" s="535" t="str">
        <f>IF($A1764="","",IF($I1764="weekly",$A1764+7,EDATE($A1764,VLOOKUP($I1764,Ref!$B$24:$C$29,2,0))))</f>
        <v/>
      </c>
      <c r="Z1764" s="536" t="str">
        <f t="shared" si="731"/>
        <v/>
      </c>
      <c r="AA1764" s="531">
        <f t="shared" si="732"/>
        <v>0</v>
      </c>
      <c r="AB1764" s="535" t="str">
        <f t="shared" si="720"/>
        <v/>
      </c>
      <c r="AC1764" s="537" t="str">
        <f t="shared" si="721"/>
        <v/>
      </c>
      <c r="AD1764" s="538" t="str">
        <f t="shared" ca="1" si="722"/>
        <v/>
      </c>
      <c r="AE1764" s="537">
        <f t="shared" ca="1" si="723"/>
        <v>0</v>
      </c>
      <c r="AF1764" s="539" t="str">
        <f t="shared" ca="1" si="733"/>
        <v/>
      </c>
      <c r="AG1764" s="531" t="str">
        <f t="shared" ca="1" si="734"/>
        <v/>
      </c>
      <c r="AH1764" s="531" t="str">
        <f t="shared" ca="1" si="735"/>
        <v/>
      </c>
      <c r="AI1764" s="531" t="str">
        <f t="shared" ca="1" si="736"/>
        <v/>
      </c>
      <c r="AJ1764" s="531" t="str">
        <f t="shared" si="737"/>
        <v/>
      </c>
      <c r="AK1764" s="540">
        <f>SUMIFS('Live Collections'!$S:$S,'Live Collections'!$D:$D,Disbursements!B1764,'Live Collections'!$G:$G,Disbursements!C1764)</f>
        <v>0</v>
      </c>
      <c r="AL1764" s="540">
        <f>SUMIFS('Live Collections'!$T:$T,'Live Collections'!$D:$D,Disbursements!B1764,'Live Collections'!$G:$G,Disbursements!C1764)</f>
        <v>0</v>
      </c>
      <c r="AM1764" s="541">
        <f t="shared" si="738"/>
        <v>0</v>
      </c>
      <c r="AN1764" s="542" t="str">
        <f t="shared" si="739"/>
        <v/>
      </c>
      <c r="AO1764" s="542" t="str">
        <f t="shared" si="740"/>
        <v/>
      </c>
      <c r="AP1764" s="543" t="str">
        <f t="shared" si="741"/>
        <v/>
      </c>
      <c r="AQ1764" s="544" t="str">
        <f t="shared" si="742"/>
        <v/>
      </c>
      <c r="AR1764" s="545">
        <f t="shared" si="743"/>
        <v>0</v>
      </c>
      <c r="AS1764" s="545">
        <f>IFERROR(CEILING($AR1764*VLOOKUP($I1764,Ref!$B$23:$E$29,4,0),1),0)</f>
        <v>0</v>
      </c>
      <c r="AT1764" s="545" t="str">
        <f>IF(A1764="","",IF(AP1764&lt;=1,"Cleared",IF(AS1764=0,"Clean",VLOOKUP($AS1764,Ref!$G$23:$H$28,2))))</f>
        <v/>
      </c>
      <c r="AU1764" s="546" t="str">
        <f t="shared" si="744"/>
        <v/>
      </c>
    </row>
    <row r="1765" spans="1:47" ht="14.25" hidden="1" customHeight="1" x14ac:dyDescent="0.15">
      <c r="A1765" s="575"/>
      <c r="B1765" s="548"/>
      <c r="C1765" s="548"/>
      <c r="D1765" s="548"/>
      <c r="E1765" s="583"/>
      <c r="F1765" s="584"/>
      <c r="G1765" s="548"/>
      <c r="H1765" s="550"/>
      <c r="I1765" s="560"/>
      <c r="J1765" s="548"/>
      <c r="K1765" s="528" t="str">
        <f>IFERROR(VLOOKUP($B1765,'Clients-Live'!$A:$C,3,0),"")</f>
        <v/>
      </c>
      <c r="L1765" s="528">
        <f>IF(E1765="STL",Pricing!$D$38,IF(A1765="",0,IF(A1765&lt;Pricing!$C$25,Pricing!$D$25,VLOOKUP(Disbursements!$F1765,Pricing!$B$29:$D$32,3))))</f>
        <v>0</v>
      </c>
      <c r="M1765" s="528">
        <f>IF(E1765="STL",0,IF(F1765&gt;0,Pricing!$D$21,0))</f>
        <v>0</v>
      </c>
      <c r="N1765" s="529">
        <f>IF(E1765="STL",F1765*Pricing!$D$40,IF(A1765&lt;=Pricing!$C$4,0,IF(AND(A1765&gt;Pricing!$C$4,Disbursements!A1765&lt;=Pricing!$C$5),F1765*Pricing!$E$5,IF(AND(A1765&gt;Pricing!$C$5,Disbursements!A1765&lt;=Pricing!$C$7),VLOOKUP(F1765,Pricing!$D$7:$E$8,2)*Disbursements!F1765,F1765*Pricing!$E$9))))</f>
        <v>0</v>
      </c>
      <c r="O1765" s="528">
        <f>IF(E1765="STL",0,IF($F1765&gt;0,$F1765*Pricing!$D$17,0))</f>
        <v>0</v>
      </c>
      <c r="P1765" s="530" t="str">
        <f t="shared" si="724"/>
        <v/>
      </c>
      <c r="Q1765" s="531" t="str">
        <f>IF($A1765="","",$G1765/VLOOKUP($I1765,Ref!$B$23:$D$29,2,0))</f>
        <v/>
      </c>
      <c r="R1765" s="530" t="str">
        <f t="shared" si="725"/>
        <v/>
      </c>
      <c r="S1765" s="532" t="str">
        <f t="shared" si="719"/>
        <v/>
      </c>
      <c r="T1765" s="531" t="str">
        <f t="shared" si="726"/>
        <v/>
      </c>
      <c r="U1765" s="533">
        <f t="shared" si="727"/>
        <v>0</v>
      </c>
      <c r="V1765" s="531" t="str">
        <f t="shared" si="728"/>
        <v/>
      </c>
      <c r="W1765" s="531" t="str">
        <f t="shared" si="729"/>
        <v/>
      </c>
      <c r="X1765" s="534" t="str">
        <f t="shared" si="730"/>
        <v/>
      </c>
      <c r="Y1765" s="535" t="str">
        <f>IF($A1765="","",IF($I1765="weekly",$A1765+7,EDATE($A1765,VLOOKUP($I1765,Ref!$B$24:$C$29,2,0))))</f>
        <v/>
      </c>
      <c r="Z1765" s="536" t="str">
        <f t="shared" si="731"/>
        <v/>
      </c>
      <c r="AA1765" s="531">
        <f t="shared" si="732"/>
        <v>0</v>
      </c>
      <c r="AB1765" s="535" t="str">
        <f t="shared" si="720"/>
        <v/>
      </c>
      <c r="AC1765" s="537" t="str">
        <f t="shared" si="721"/>
        <v/>
      </c>
      <c r="AD1765" s="538" t="str">
        <f t="shared" ca="1" si="722"/>
        <v/>
      </c>
      <c r="AE1765" s="537">
        <f t="shared" ca="1" si="723"/>
        <v>0</v>
      </c>
      <c r="AF1765" s="539" t="str">
        <f t="shared" ca="1" si="733"/>
        <v/>
      </c>
      <c r="AG1765" s="531" t="str">
        <f t="shared" ca="1" si="734"/>
        <v/>
      </c>
      <c r="AH1765" s="531" t="str">
        <f t="shared" ca="1" si="735"/>
        <v/>
      </c>
      <c r="AI1765" s="531" t="str">
        <f t="shared" ca="1" si="736"/>
        <v/>
      </c>
      <c r="AJ1765" s="531" t="str">
        <f t="shared" si="737"/>
        <v/>
      </c>
      <c r="AK1765" s="540">
        <f>SUMIFS('Live Collections'!$S:$S,'Live Collections'!$D:$D,Disbursements!B1765,'Live Collections'!$G:$G,Disbursements!C1765)</f>
        <v>0</v>
      </c>
      <c r="AL1765" s="540">
        <f>SUMIFS('Live Collections'!$T:$T,'Live Collections'!$D:$D,Disbursements!B1765,'Live Collections'!$G:$G,Disbursements!C1765)</f>
        <v>0</v>
      </c>
      <c r="AM1765" s="541">
        <f t="shared" si="738"/>
        <v>0</v>
      </c>
      <c r="AN1765" s="542" t="str">
        <f t="shared" si="739"/>
        <v/>
      </c>
      <c r="AO1765" s="542" t="str">
        <f t="shared" si="740"/>
        <v/>
      </c>
      <c r="AP1765" s="543" t="str">
        <f t="shared" si="741"/>
        <v/>
      </c>
      <c r="AQ1765" s="544" t="str">
        <f t="shared" si="742"/>
        <v/>
      </c>
      <c r="AR1765" s="545">
        <f t="shared" si="743"/>
        <v>0</v>
      </c>
      <c r="AS1765" s="545">
        <f>IFERROR(CEILING($AR1765*VLOOKUP($I1765,Ref!$B$23:$E$29,4,0),1),0)</f>
        <v>0</v>
      </c>
      <c r="AT1765" s="545" t="str">
        <f>IF(A1765="","",IF(AP1765&lt;=1,"Cleared",IF(AS1765=0,"Clean",VLOOKUP($AS1765,Ref!$G$23:$H$28,2))))</f>
        <v/>
      </c>
      <c r="AU1765" s="546" t="str">
        <f t="shared" si="744"/>
        <v/>
      </c>
    </row>
    <row r="1766" spans="1:47" ht="14.25" hidden="1" customHeight="1" x14ac:dyDescent="0.15">
      <c r="A1766" s="575"/>
      <c r="B1766" s="548"/>
      <c r="C1766" s="548"/>
      <c r="D1766" s="548"/>
      <c r="E1766" s="583"/>
      <c r="F1766" s="584"/>
      <c r="G1766" s="548"/>
      <c r="H1766" s="550"/>
      <c r="I1766" s="560"/>
      <c r="J1766" s="548"/>
      <c r="K1766" s="528" t="str">
        <f>IFERROR(VLOOKUP($B1766,'Clients-Live'!$A:$C,3,0),"")</f>
        <v/>
      </c>
      <c r="L1766" s="528">
        <f>IF(E1766="STL",Pricing!$D$38,IF(A1766="",0,IF(A1766&lt;Pricing!$C$25,Pricing!$D$25,VLOOKUP(Disbursements!$F1766,Pricing!$B$29:$D$32,3))))</f>
        <v>0</v>
      </c>
      <c r="M1766" s="528">
        <f>IF(E1766="STL",0,IF(F1766&gt;0,Pricing!$D$21,0))</f>
        <v>0</v>
      </c>
      <c r="N1766" s="529">
        <f>IF(E1766="STL",F1766*Pricing!$D$40,IF(A1766&lt;=Pricing!$C$4,0,IF(AND(A1766&gt;Pricing!$C$4,Disbursements!A1766&lt;=Pricing!$C$5),F1766*Pricing!$E$5,IF(AND(A1766&gt;Pricing!$C$5,Disbursements!A1766&lt;=Pricing!$C$7),VLOOKUP(F1766,Pricing!$D$7:$E$8,2)*Disbursements!F1766,F1766*Pricing!$E$9))))</f>
        <v>0</v>
      </c>
      <c r="O1766" s="528">
        <f>IF(E1766="STL",0,IF($F1766&gt;0,$F1766*Pricing!$D$17,0))</f>
        <v>0</v>
      </c>
      <c r="P1766" s="530" t="str">
        <f t="shared" si="724"/>
        <v/>
      </c>
      <c r="Q1766" s="531" t="str">
        <f>IF($A1766="","",$G1766/VLOOKUP($I1766,Ref!$B$23:$D$29,2,0))</f>
        <v/>
      </c>
      <c r="R1766" s="530" t="str">
        <f t="shared" si="725"/>
        <v/>
      </c>
      <c r="S1766" s="532" t="str">
        <f t="shared" si="719"/>
        <v/>
      </c>
      <c r="T1766" s="531" t="str">
        <f t="shared" si="726"/>
        <v/>
      </c>
      <c r="U1766" s="533">
        <f t="shared" si="727"/>
        <v>0</v>
      </c>
      <c r="V1766" s="531" t="str">
        <f t="shared" si="728"/>
        <v/>
      </c>
      <c r="W1766" s="531" t="str">
        <f t="shared" si="729"/>
        <v/>
      </c>
      <c r="X1766" s="534" t="str">
        <f t="shared" si="730"/>
        <v/>
      </c>
      <c r="Y1766" s="535" t="str">
        <f>IF($A1766="","",IF($I1766="weekly",$A1766+7,EDATE($A1766,VLOOKUP($I1766,Ref!$B$24:$C$29,2,0))))</f>
        <v/>
      </c>
      <c r="Z1766" s="536" t="str">
        <f t="shared" si="731"/>
        <v/>
      </c>
      <c r="AA1766" s="531">
        <f t="shared" si="732"/>
        <v>0</v>
      </c>
      <c r="AB1766" s="535" t="str">
        <f t="shared" si="720"/>
        <v/>
      </c>
      <c r="AC1766" s="537" t="str">
        <f t="shared" si="721"/>
        <v/>
      </c>
      <c r="AD1766" s="538" t="str">
        <f t="shared" ca="1" si="722"/>
        <v/>
      </c>
      <c r="AE1766" s="537">
        <f t="shared" ca="1" si="723"/>
        <v>0</v>
      </c>
      <c r="AF1766" s="539" t="str">
        <f t="shared" ca="1" si="733"/>
        <v/>
      </c>
      <c r="AG1766" s="531" t="str">
        <f t="shared" ca="1" si="734"/>
        <v/>
      </c>
      <c r="AH1766" s="531" t="str">
        <f t="shared" ca="1" si="735"/>
        <v/>
      </c>
      <c r="AI1766" s="531" t="str">
        <f t="shared" ca="1" si="736"/>
        <v/>
      </c>
      <c r="AJ1766" s="531" t="str">
        <f t="shared" si="737"/>
        <v/>
      </c>
      <c r="AK1766" s="540">
        <f>SUMIFS('Live Collections'!$S:$S,'Live Collections'!$D:$D,Disbursements!B1766,'Live Collections'!$G:$G,Disbursements!C1766)</f>
        <v>0</v>
      </c>
      <c r="AL1766" s="540">
        <f>SUMIFS('Live Collections'!$T:$T,'Live Collections'!$D:$D,Disbursements!B1766,'Live Collections'!$G:$G,Disbursements!C1766)</f>
        <v>0</v>
      </c>
      <c r="AM1766" s="541">
        <f t="shared" si="738"/>
        <v>0</v>
      </c>
      <c r="AN1766" s="542" t="str">
        <f t="shared" si="739"/>
        <v/>
      </c>
      <c r="AO1766" s="542" t="str">
        <f t="shared" si="740"/>
        <v/>
      </c>
      <c r="AP1766" s="543" t="str">
        <f t="shared" si="741"/>
        <v/>
      </c>
      <c r="AQ1766" s="544" t="str">
        <f t="shared" si="742"/>
        <v/>
      </c>
      <c r="AR1766" s="545">
        <f t="shared" si="743"/>
        <v>0</v>
      </c>
      <c r="AS1766" s="545">
        <f>IFERROR(CEILING($AR1766*VLOOKUP($I1766,Ref!$B$23:$E$29,4,0),1),0)</f>
        <v>0</v>
      </c>
      <c r="AT1766" s="545" t="str">
        <f>IF(A1766="","",IF(AP1766&lt;=1,"Cleared",IF(AS1766=0,"Clean",VLOOKUP($AS1766,Ref!$G$23:$H$28,2))))</f>
        <v/>
      </c>
      <c r="AU1766" s="546" t="str">
        <f t="shared" si="744"/>
        <v/>
      </c>
    </row>
    <row r="1767" spans="1:47" ht="14.25" hidden="1" customHeight="1" x14ac:dyDescent="0.15">
      <c r="A1767" s="575"/>
      <c r="B1767" s="548"/>
      <c r="C1767" s="548"/>
      <c r="D1767" s="548"/>
      <c r="E1767" s="583"/>
      <c r="F1767" s="584"/>
      <c r="G1767" s="548"/>
      <c r="H1767" s="550"/>
      <c r="I1767" s="560"/>
      <c r="J1767" s="548"/>
      <c r="K1767" s="528" t="str">
        <f>IFERROR(VLOOKUP($B1767,'Clients-Live'!$A:$C,3,0),"")</f>
        <v/>
      </c>
      <c r="L1767" s="528">
        <f>IF(E1767="STL",Pricing!$D$38,IF(A1767="",0,IF(A1767&lt;Pricing!$C$25,Pricing!$D$25,VLOOKUP(Disbursements!$F1767,Pricing!$B$29:$D$32,3))))</f>
        <v>0</v>
      </c>
      <c r="M1767" s="528">
        <f>IF(E1767="STL",0,IF(F1767&gt;0,Pricing!$D$21,0))</f>
        <v>0</v>
      </c>
      <c r="N1767" s="529">
        <f>IF(E1767="STL",F1767*Pricing!$D$40,IF(A1767&lt;=Pricing!$C$4,0,IF(AND(A1767&gt;Pricing!$C$4,Disbursements!A1767&lt;=Pricing!$C$5),F1767*Pricing!$E$5,IF(AND(A1767&gt;Pricing!$C$5,Disbursements!A1767&lt;=Pricing!$C$7),VLOOKUP(F1767,Pricing!$D$7:$E$8,2)*Disbursements!F1767,F1767*Pricing!$E$9))))</f>
        <v>0</v>
      </c>
      <c r="O1767" s="528">
        <f>IF(E1767="STL",0,IF($F1767&gt;0,$F1767*Pricing!$D$17,0))</f>
        <v>0</v>
      </c>
      <c r="P1767" s="530" t="str">
        <f t="shared" si="724"/>
        <v/>
      </c>
      <c r="Q1767" s="531" t="str">
        <f>IF($A1767="","",$G1767/VLOOKUP($I1767,Ref!$B$23:$D$29,2,0))</f>
        <v/>
      </c>
      <c r="R1767" s="530" t="str">
        <f t="shared" si="725"/>
        <v/>
      </c>
      <c r="S1767" s="532" t="str">
        <f t="shared" si="719"/>
        <v/>
      </c>
      <c r="T1767" s="531" t="str">
        <f t="shared" si="726"/>
        <v/>
      </c>
      <c r="U1767" s="533">
        <f t="shared" si="727"/>
        <v>0</v>
      </c>
      <c r="V1767" s="531" t="str">
        <f t="shared" si="728"/>
        <v/>
      </c>
      <c r="W1767" s="531" t="str">
        <f t="shared" si="729"/>
        <v/>
      </c>
      <c r="X1767" s="534" t="str">
        <f t="shared" si="730"/>
        <v/>
      </c>
      <c r="Y1767" s="535" t="str">
        <f>IF($A1767="","",IF($I1767="weekly",$A1767+7,EDATE($A1767,VLOOKUP($I1767,Ref!$B$24:$C$29,2,0))))</f>
        <v/>
      </c>
      <c r="Z1767" s="536" t="str">
        <f t="shared" si="731"/>
        <v/>
      </c>
      <c r="AA1767" s="531">
        <f t="shared" si="732"/>
        <v>0</v>
      </c>
      <c r="AB1767" s="535" t="str">
        <f t="shared" si="720"/>
        <v/>
      </c>
      <c r="AC1767" s="537" t="str">
        <f t="shared" si="721"/>
        <v/>
      </c>
      <c r="AD1767" s="538" t="str">
        <f t="shared" ca="1" si="722"/>
        <v/>
      </c>
      <c r="AE1767" s="537">
        <f t="shared" ca="1" si="723"/>
        <v>0</v>
      </c>
      <c r="AF1767" s="539" t="str">
        <f t="shared" ca="1" si="733"/>
        <v/>
      </c>
      <c r="AG1767" s="531" t="str">
        <f t="shared" ca="1" si="734"/>
        <v/>
      </c>
      <c r="AH1767" s="531" t="str">
        <f t="shared" ca="1" si="735"/>
        <v/>
      </c>
      <c r="AI1767" s="531" t="str">
        <f t="shared" ca="1" si="736"/>
        <v/>
      </c>
      <c r="AJ1767" s="531" t="str">
        <f t="shared" si="737"/>
        <v/>
      </c>
      <c r="AK1767" s="540">
        <f>SUMIFS('Live Collections'!$S:$S,'Live Collections'!$D:$D,Disbursements!B1767,'Live Collections'!$G:$G,Disbursements!C1767)</f>
        <v>0</v>
      </c>
      <c r="AL1767" s="540">
        <f>SUMIFS('Live Collections'!$T:$T,'Live Collections'!$D:$D,Disbursements!B1767,'Live Collections'!$G:$G,Disbursements!C1767)</f>
        <v>0</v>
      </c>
      <c r="AM1767" s="541">
        <f t="shared" si="738"/>
        <v>0</v>
      </c>
      <c r="AN1767" s="542" t="str">
        <f t="shared" si="739"/>
        <v/>
      </c>
      <c r="AO1767" s="542" t="str">
        <f t="shared" si="740"/>
        <v/>
      </c>
      <c r="AP1767" s="543" t="str">
        <f t="shared" si="741"/>
        <v/>
      </c>
      <c r="AQ1767" s="544" t="str">
        <f t="shared" si="742"/>
        <v/>
      </c>
      <c r="AR1767" s="545">
        <f t="shared" si="743"/>
        <v>0</v>
      </c>
      <c r="AS1767" s="545">
        <f>IFERROR(CEILING($AR1767*VLOOKUP($I1767,Ref!$B$23:$E$29,4,0),1),0)</f>
        <v>0</v>
      </c>
      <c r="AT1767" s="545" t="str">
        <f>IF(A1767="","",IF(AP1767&lt;=1,"Cleared",IF(AS1767=0,"Clean",VLOOKUP($AS1767,Ref!$G$23:$H$28,2))))</f>
        <v/>
      </c>
      <c r="AU1767" s="546" t="str">
        <f t="shared" si="744"/>
        <v/>
      </c>
    </row>
    <row r="1768" spans="1:47" ht="14.25" hidden="1" customHeight="1" x14ac:dyDescent="0.15">
      <c r="A1768" s="575"/>
      <c r="B1768" s="548"/>
      <c r="C1768" s="548"/>
      <c r="D1768" s="548"/>
      <c r="E1768" s="583"/>
      <c r="F1768" s="584"/>
      <c r="G1768" s="548"/>
      <c r="H1768" s="550"/>
      <c r="I1768" s="560"/>
      <c r="J1768" s="548"/>
      <c r="K1768" s="528" t="str">
        <f>IFERROR(VLOOKUP($B1768,'Clients-Live'!$A:$C,3,0),"")</f>
        <v/>
      </c>
      <c r="L1768" s="528">
        <f>IF(E1768="STL",Pricing!$D$38,IF(A1768="",0,IF(A1768&lt;Pricing!$C$25,Pricing!$D$25,VLOOKUP(Disbursements!$F1768,Pricing!$B$29:$D$32,3))))</f>
        <v>0</v>
      </c>
      <c r="M1768" s="528">
        <f>IF(E1768="STL",0,IF(F1768&gt;0,Pricing!$D$21,0))</f>
        <v>0</v>
      </c>
      <c r="N1768" s="529">
        <f>IF(E1768="STL",F1768*Pricing!$D$40,IF(A1768&lt;=Pricing!$C$4,0,IF(AND(A1768&gt;Pricing!$C$4,Disbursements!A1768&lt;=Pricing!$C$5),F1768*Pricing!$E$5,IF(AND(A1768&gt;Pricing!$C$5,Disbursements!A1768&lt;=Pricing!$C$7),VLOOKUP(F1768,Pricing!$D$7:$E$8,2)*Disbursements!F1768,F1768*Pricing!$E$9))))</f>
        <v>0</v>
      </c>
      <c r="O1768" s="528">
        <f>IF(E1768="STL",0,IF($F1768&gt;0,$F1768*Pricing!$D$17,0))</f>
        <v>0</v>
      </c>
      <c r="P1768" s="530" t="str">
        <f t="shared" si="724"/>
        <v/>
      </c>
      <c r="Q1768" s="531" t="str">
        <f>IF($A1768="","",$G1768/VLOOKUP($I1768,Ref!$B$23:$D$29,2,0))</f>
        <v/>
      </c>
      <c r="R1768" s="530" t="str">
        <f t="shared" si="725"/>
        <v/>
      </c>
      <c r="S1768" s="532" t="str">
        <f t="shared" si="719"/>
        <v/>
      </c>
      <c r="T1768" s="531" t="str">
        <f t="shared" si="726"/>
        <v/>
      </c>
      <c r="U1768" s="533">
        <f t="shared" si="727"/>
        <v>0</v>
      </c>
      <c r="V1768" s="531" t="str">
        <f t="shared" si="728"/>
        <v/>
      </c>
      <c r="W1768" s="531" t="str">
        <f t="shared" si="729"/>
        <v/>
      </c>
      <c r="X1768" s="534" t="str">
        <f t="shared" si="730"/>
        <v/>
      </c>
      <c r="Y1768" s="535" t="str">
        <f>IF($A1768="","",IF($I1768="weekly",$A1768+7,EDATE($A1768,VLOOKUP($I1768,Ref!$B$24:$C$29,2,0))))</f>
        <v/>
      </c>
      <c r="Z1768" s="536" t="str">
        <f t="shared" si="731"/>
        <v/>
      </c>
      <c r="AA1768" s="531">
        <f t="shared" si="732"/>
        <v>0</v>
      </c>
      <c r="AB1768" s="535" t="str">
        <f t="shared" si="720"/>
        <v/>
      </c>
      <c r="AC1768" s="537" t="str">
        <f t="shared" si="721"/>
        <v/>
      </c>
      <c r="AD1768" s="538" t="str">
        <f t="shared" ca="1" si="722"/>
        <v/>
      </c>
      <c r="AE1768" s="537">
        <f t="shared" ca="1" si="723"/>
        <v>0</v>
      </c>
      <c r="AF1768" s="539" t="str">
        <f t="shared" ca="1" si="733"/>
        <v/>
      </c>
      <c r="AG1768" s="531" t="str">
        <f t="shared" ca="1" si="734"/>
        <v/>
      </c>
      <c r="AH1768" s="531" t="str">
        <f t="shared" ca="1" si="735"/>
        <v/>
      </c>
      <c r="AI1768" s="531" t="str">
        <f t="shared" ca="1" si="736"/>
        <v/>
      </c>
      <c r="AJ1768" s="531" t="str">
        <f t="shared" si="737"/>
        <v/>
      </c>
      <c r="AK1768" s="540">
        <f>SUMIFS('Live Collections'!$S:$S,'Live Collections'!$D:$D,Disbursements!B1768,'Live Collections'!$G:$G,Disbursements!C1768)</f>
        <v>0</v>
      </c>
      <c r="AL1768" s="540">
        <f>SUMIFS('Live Collections'!$T:$T,'Live Collections'!$D:$D,Disbursements!B1768,'Live Collections'!$G:$G,Disbursements!C1768)</f>
        <v>0</v>
      </c>
      <c r="AM1768" s="541">
        <f t="shared" si="738"/>
        <v>0</v>
      </c>
      <c r="AN1768" s="542" t="str">
        <f t="shared" si="739"/>
        <v/>
      </c>
      <c r="AO1768" s="542" t="str">
        <f t="shared" si="740"/>
        <v/>
      </c>
      <c r="AP1768" s="543" t="str">
        <f t="shared" si="741"/>
        <v/>
      </c>
      <c r="AQ1768" s="544" t="str">
        <f t="shared" si="742"/>
        <v/>
      </c>
      <c r="AR1768" s="545">
        <f t="shared" si="743"/>
        <v>0</v>
      </c>
      <c r="AS1768" s="545">
        <f>IFERROR(CEILING($AR1768*VLOOKUP($I1768,Ref!$B$23:$E$29,4,0),1),0)</f>
        <v>0</v>
      </c>
      <c r="AT1768" s="545" t="str">
        <f>IF(A1768="","",IF(AP1768&lt;=1,"Cleared",IF(AS1768=0,"Clean",VLOOKUP($AS1768,Ref!$G$23:$H$28,2))))</f>
        <v/>
      </c>
      <c r="AU1768" s="546" t="str">
        <f t="shared" si="744"/>
        <v/>
      </c>
    </row>
    <row r="1769" spans="1:47" ht="14.25" hidden="1" customHeight="1" x14ac:dyDescent="0.15">
      <c r="A1769" s="575"/>
      <c r="B1769" s="548"/>
      <c r="C1769" s="548"/>
      <c r="D1769" s="548"/>
      <c r="E1769" s="583"/>
      <c r="F1769" s="584"/>
      <c r="G1769" s="548"/>
      <c r="H1769" s="550"/>
      <c r="I1769" s="560"/>
      <c r="J1769" s="548"/>
      <c r="K1769" s="528" t="str">
        <f>IFERROR(VLOOKUP($B1769,'Clients-Live'!$A:$C,3,0),"")</f>
        <v/>
      </c>
      <c r="L1769" s="528">
        <f>IF(E1769="STL",Pricing!$D$38,IF(A1769="",0,IF(A1769&lt;Pricing!$C$25,Pricing!$D$25,VLOOKUP(Disbursements!$F1769,Pricing!$B$29:$D$32,3))))</f>
        <v>0</v>
      </c>
      <c r="M1769" s="528">
        <f>IF(E1769="STL",0,IF(F1769&gt;0,Pricing!$D$21,0))</f>
        <v>0</v>
      </c>
      <c r="N1769" s="529">
        <f>IF(E1769="STL",F1769*Pricing!$D$40,IF(A1769&lt;=Pricing!$C$4,0,IF(AND(A1769&gt;Pricing!$C$4,Disbursements!A1769&lt;=Pricing!$C$5),F1769*Pricing!$E$5,IF(AND(A1769&gt;Pricing!$C$5,Disbursements!A1769&lt;=Pricing!$C$7),VLOOKUP(F1769,Pricing!$D$7:$E$8,2)*Disbursements!F1769,F1769*Pricing!$E$9))))</f>
        <v>0</v>
      </c>
      <c r="O1769" s="528">
        <f>IF(E1769="STL",0,IF($F1769&gt;0,$F1769*Pricing!$D$17,0))</f>
        <v>0</v>
      </c>
      <c r="P1769" s="530" t="str">
        <f t="shared" si="724"/>
        <v/>
      </c>
      <c r="Q1769" s="531" t="str">
        <f>IF($A1769="","",$G1769/VLOOKUP($I1769,Ref!$B$23:$D$29,2,0))</f>
        <v/>
      </c>
      <c r="R1769" s="530" t="str">
        <f t="shared" si="725"/>
        <v/>
      </c>
      <c r="S1769" s="532" t="str">
        <f t="shared" si="719"/>
        <v/>
      </c>
      <c r="T1769" s="531" t="str">
        <f t="shared" si="726"/>
        <v/>
      </c>
      <c r="U1769" s="533">
        <f t="shared" si="727"/>
        <v>0</v>
      </c>
      <c r="V1769" s="531" t="str">
        <f t="shared" si="728"/>
        <v/>
      </c>
      <c r="W1769" s="531" t="str">
        <f t="shared" si="729"/>
        <v/>
      </c>
      <c r="X1769" s="534" t="str">
        <f t="shared" si="730"/>
        <v/>
      </c>
      <c r="Y1769" s="535" t="str">
        <f>IF($A1769="","",IF($I1769="weekly",$A1769+7,EDATE($A1769,VLOOKUP($I1769,Ref!$B$24:$C$29,2,0))))</f>
        <v/>
      </c>
      <c r="Z1769" s="536" t="str">
        <f t="shared" si="731"/>
        <v/>
      </c>
      <c r="AA1769" s="531">
        <f t="shared" si="732"/>
        <v>0</v>
      </c>
      <c r="AB1769" s="535" t="str">
        <f t="shared" si="720"/>
        <v/>
      </c>
      <c r="AC1769" s="537" t="str">
        <f t="shared" si="721"/>
        <v/>
      </c>
      <c r="AD1769" s="538" t="str">
        <f t="shared" ca="1" si="722"/>
        <v/>
      </c>
      <c r="AE1769" s="537">
        <f t="shared" ca="1" si="723"/>
        <v>0</v>
      </c>
      <c r="AF1769" s="539" t="str">
        <f t="shared" ca="1" si="733"/>
        <v/>
      </c>
      <c r="AG1769" s="531" t="str">
        <f t="shared" ca="1" si="734"/>
        <v/>
      </c>
      <c r="AH1769" s="531" t="str">
        <f t="shared" ca="1" si="735"/>
        <v/>
      </c>
      <c r="AI1769" s="531" t="str">
        <f t="shared" ca="1" si="736"/>
        <v/>
      </c>
      <c r="AJ1769" s="531" t="str">
        <f t="shared" si="737"/>
        <v/>
      </c>
      <c r="AK1769" s="540">
        <f>SUMIFS('Live Collections'!$S:$S,'Live Collections'!$D:$D,Disbursements!B1769,'Live Collections'!$G:$G,Disbursements!C1769)</f>
        <v>0</v>
      </c>
      <c r="AL1769" s="540">
        <f>SUMIFS('Live Collections'!$T:$T,'Live Collections'!$D:$D,Disbursements!B1769,'Live Collections'!$G:$G,Disbursements!C1769)</f>
        <v>0</v>
      </c>
      <c r="AM1769" s="541">
        <f t="shared" si="738"/>
        <v>0</v>
      </c>
      <c r="AN1769" s="542" t="str">
        <f t="shared" si="739"/>
        <v/>
      </c>
      <c r="AO1769" s="542" t="str">
        <f t="shared" si="740"/>
        <v/>
      </c>
      <c r="AP1769" s="543" t="str">
        <f t="shared" si="741"/>
        <v/>
      </c>
      <c r="AQ1769" s="544" t="str">
        <f t="shared" si="742"/>
        <v/>
      </c>
      <c r="AR1769" s="545">
        <f t="shared" si="743"/>
        <v>0</v>
      </c>
      <c r="AS1769" s="545">
        <f>IFERROR(CEILING($AR1769*VLOOKUP($I1769,Ref!$B$23:$E$29,4,0),1),0)</f>
        <v>0</v>
      </c>
      <c r="AT1769" s="545" t="str">
        <f>IF(A1769="","",IF(AP1769&lt;=1,"Cleared",IF(AS1769=0,"Clean",VLOOKUP($AS1769,Ref!$G$23:$H$28,2))))</f>
        <v/>
      </c>
      <c r="AU1769" s="546" t="str">
        <f t="shared" si="744"/>
        <v/>
      </c>
    </row>
    <row r="1770" spans="1:47" ht="14.25" hidden="1" customHeight="1" x14ac:dyDescent="0.15">
      <c r="A1770" s="575"/>
      <c r="B1770" s="548"/>
      <c r="C1770" s="548"/>
      <c r="D1770" s="548"/>
      <c r="E1770" s="583"/>
      <c r="F1770" s="584"/>
      <c r="G1770" s="548"/>
      <c r="H1770" s="550"/>
      <c r="I1770" s="560"/>
      <c r="J1770" s="548"/>
      <c r="K1770" s="528" t="str">
        <f>IFERROR(VLOOKUP($B1770,'Clients-Live'!$A:$C,3,0),"")</f>
        <v/>
      </c>
      <c r="L1770" s="528">
        <f>IF(E1770="STL",Pricing!$D$38,IF(A1770="",0,IF(A1770&lt;Pricing!$C$25,Pricing!$D$25,VLOOKUP(Disbursements!$F1770,Pricing!$B$29:$D$32,3))))</f>
        <v>0</v>
      </c>
      <c r="M1770" s="528">
        <f>IF(E1770="STL",0,IF(F1770&gt;0,Pricing!$D$21,0))</f>
        <v>0</v>
      </c>
      <c r="N1770" s="529">
        <f>IF(E1770="STL",F1770*Pricing!$D$40,IF(A1770&lt;=Pricing!$C$4,0,IF(AND(A1770&gt;Pricing!$C$4,Disbursements!A1770&lt;=Pricing!$C$5),F1770*Pricing!$E$5,IF(AND(A1770&gt;Pricing!$C$5,Disbursements!A1770&lt;=Pricing!$C$7),VLOOKUP(F1770,Pricing!$D$7:$E$8,2)*Disbursements!F1770,F1770*Pricing!$E$9))))</f>
        <v>0</v>
      </c>
      <c r="O1770" s="528">
        <f>IF(E1770="STL",0,IF($F1770&gt;0,$F1770*Pricing!$D$17,0))</f>
        <v>0</v>
      </c>
      <c r="P1770" s="530" t="str">
        <f t="shared" si="724"/>
        <v/>
      </c>
      <c r="Q1770" s="531" t="str">
        <f>IF($A1770="","",$G1770/VLOOKUP($I1770,Ref!$B$23:$D$29,2,0))</f>
        <v/>
      </c>
      <c r="R1770" s="530" t="str">
        <f t="shared" si="725"/>
        <v/>
      </c>
      <c r="S1770" s="532" t="str">
        <f t="shared" si="719"/>
        <v/>
      </c>
      <c r="T1770" s="531" t="str">
        <f t="shared" si="726"/>
        <v/>
      </c>
      <c r="U1770" s="533">
        <f t="shared" si="727"/>
        <v>0</v>
      </c>
      <c r="V1770" s="531" t="str">
        <f t="shared" si="728"/>
        <v/>
      </c>
      <c r="W1770" s="531" t="str">
        <f t="shared" si="729"/>
        <v/>
      </c>
      <c r="X1770" s="534" t="str">
        <f t="shared" si="730"/>
        <v/>
      </c>
      <c r="Y1770" s="535" t="str">
        <f>IF($A1770="","",IF($I1770="weekly",$A1770+7,EDATE($A1770,VLOOKUP($I1770,Ref!$B$24:$C$29,2,0))))</f>
        <v/>
      </c>
      <c r="Z1770" s="536" t="str">
        <f t="shared" si="731"/>
        <v/>
      </c>
      <c r="AA1770" s="531">
        <f t="shared" si="732"/>
        <v>0</v>
      </c>
      <c r="AB1770" s="535" t="str">
        <f t="shared" si="720"/>
        <v/>
      </c>
      <c r="AC1770" s="537" t="str">
        <f t="shared" si="721"/>
        <v/>
      </c>
      <c r="AD1770" s="538" t="str">
        <f t="shared" ca="1" si="722"/>
        <v/>
      </c>
      <c r="AE1770" s="537">
        <f t="shared" ca="1" si="723"/>
        <v>0</v>
      </c>
      <c r="AF1770" s="539" t="str">
        <f t="shared" ca="1" si="733"/>
        <v/>
      </c>
      <c r="AG1770" s="531" t="str">
        <f t="shared" ca="1" si="734"/>
        <v/>
      </c>
      <c r="AH1770" s="531" t="str">
        <f t="shared" ca="1" si="735"/>
        <v/>
      </c>
      <c r="AI1770" s="531" t="str">
        <f t="shared" ca="1" si="736"/>
        <v/>
      </c>
      <c r="AJ1770" s="531" t="str">
        <f t="shared" si="737"/>
        <v/>
      </c>
      <c r="AK1770" s="540">
        <f>SUMIFS('Live Collections'!$S:$S,'Live Collections'!$D:$D,Disbursements!B1770,'Live Collections'!$G:$G,Disbursements!C1770)</f>
        <v>0</v>
      </c>
      <c r="AL1770" s="540">
        <f>SUMIFS('Live Collections'!$T:$T,'Live Collections'!$D:$D,Disbursements!B1770,'Live Collections'!$G:$G,Disbursements!C1770)</f>
        <v>0</v>
      </c>
      <c r="AM1770" s="541">
        <f t="shared" si="738"/>
        <v>0</v>
      </c>
      <c r="AN1770" s="542" t="str">
        <f t="shared" si="739"/>
        <v/>
      </c>
      <c r="AO1770" s="542" t="str">
        <f t="shared" si="740"/>
        <v/>
      </c>
      <c r="AP1770" s="543" t="str">
        <f t="shared" si="741"/>
        <v/>
      </c>
      <c r="AQ1770" s="544" t="str">
        <f t="shared" si="742"/>
        <v/>
      </c>
      <c r="AR1770" s="545">
        <f t="shared" si="743"/>
        <v>0</v>
      </c>
      <c r="AS1770" s="545">
        <f>IFERROR(CEILING($AR1770*VLOOKUP($I1770,Ref!$B$23:$E$29,4,0),1),0)</f>
        <v>0</v>
      </c>
      <c r="AT1770" s="545" t="str">
        <f>IF(A1770="","",IF(AP1770&lt;=1,"Cleared",IF(AS1770=0,"Clean",VLOOKUP($AS1770,Ref!$G$23:$H$28,2))))</f>
        <v/>
      </c>
      <c r="AU1770" s="546" t="str">
        <f t="shared" si="744"/>
        <v/>
      </c>
    </row>
    <row r="1771" spans="1:47" ht="14.25" hidden="1" customHeight="1" x14ac:dyDescent="0.15">
      <c r="A1771" s="575"/>
      <c r="B1771" s="548"/>
      <c r="C1771" s="548"/>
      <c r="D1771" s="548"/>
      <c r="E1771" s="583"/>
      <c r="F1771" s="584"/>
      <c r="G1771" s="548"/>
      <c r="H1771" s="550"/>
      <c r="I1771" s="560"/>
      <c r="J1771" s="548"/>
      <c r="K1771" s="528" t="str">
        <f>IFERROR(VLOOKUP($B1771,'Clients-Live'!$A:$C,3,0),"")</f>
        <v/>
      </c>
      <c r="L1771" s="528">
        <f>IF(E1771="STL",Pricing!$D$38,IF(A1771="",0,IF(A1771&lt;Pricing!$C$25,Pricing!$D$25,VLOOKUP(Disbursements!$F1771,Pricing!$B$29:$D$32,3))))</f>
        <v>0</v>
      </c>
      <c r="M1771" s="528">
        <f>IF(E1771="STL",0,IF(F1771&gt;0,Pricing!$D$21,0))</f>
        <v>0</v>
      </c>
      <c r="N1771" s="529">
        <f>IF(E1771="STL",F1771*Pricing!$D$40,IF(A1771&lt;=Pricing!$C$4,0,IF(AND(A1771&gt;Pricing!$C$4,Disbursements!A1771&lt;=Pricing!$C$5),F1771*Pricing!$E$5,IF(AND(A1771&gt;Pricing!$C$5,Disbursements!A1771&lt;=Pricing!$C$7),VLOOKUP(F1771,Pricing!$D$7:$E$8,2)*Disbursements!F1771,F1771*Pricing!$E$9))))</f>
        <v>0</v>
      </c>
      <c r="O1771" s="528">
        <f>IF(E1771="STL",0,IF($F1771&gt;0,$F1771*Pricing!$D$17,0))</f>
        <v>0</v>
      </c>
      <c r="P1771" s="530" t="str">
        <f t="shared" si="724"/>
        <v/>
      </c>
      <c r="Q1771" s="531" t="str">
        <f>IF($A1771="","",$G1771/VLOOKUP($I1771,Ref!$B$23:$D$29,2,0))</f>
        <v/>
      </c>
      <c r="R1771" s="530" t="str">
        <f t="shared" si="725"/>
        <v/>
      </c>
      <c r="S1771" s="532" t="str">
        <f t="shared" si="719"/>
        <v/>
      </c>
      <c r="T1771" s="531" t="str">
        <f t="shared" si="726"/>
        <v/>
      </c>
      <c r="U1771" s="533">
        <f t="shared" si="727"/>
        <v>0</v>
      </c>
      <c r="V1771" s="531" t="str">
        <f t="shared" si="728"/>
        <v/>
      </c>
      <c r="W1771" s="531" t="str">
        <f t="shared" si="729"/>
        <v/>
      </c>
      <c r="X1771" s="534" t="str">
        <f t="shared" si="730"/>
        <v/>
      </c>
      <c r="Y1771" s="535" t="str">
        <f>IF($A1771="","",IF($I1771="weekly",$A1771+7,EDATE($A1771,VLOOKUP($I1771,Ref!$B$24:$C$29,2,0))))</f>
        <v/>
      </c>
      <c r="Z1771" s="536" t="str">
        <f t="shared" si="731"/>
        <v/>
      </c>
      <c r="AA1771" s="531">
        <f t="shared" si="732"/>
        <v>0</v>
      </c>
      <c r="AB1771" s="535" t="str">
        <f t="shared" si="720"/>
        <v/>
      </c>
      <c r="AC1771" s="537" t="str">
        <f t="shared" si="721"/>
        <v/>
      </c>
      <c r="AD1771" s="538" t="str">
        <f t="shared" ca="1" si="722"/>
        <v/>
      </c>
      <c r="AE1771" s="537">
        <f t="shared" ca="1" si="723"/>
        <v>0</v>
      </c>
      <c r="AF1771" s="539" t="str">
        <f t="shared" ca="1" si="733"/>
        <v/>
      </c>
      <c r="AG1771" s="531" t="str">
        <f t="shared" ca="1" si="734"/>
        <v/>
      </c>
      <c r="AH1771" s="531" t="str">
        <f t="shared" ca="1" si="735"/>
        <v/>
      </c>
      <c r="AI1771" s="531" t="str">
        <f t="shared" ca="1" si="736"/>
        <v/>
      </c>
      <c r="AJ1771" s="531" t="str">
        <f t="shared" si="737"/>
        <v/>
      </c>
      <c r="AK1771" s="540">
        <f>SUMIFS('Live Collections'!$S:$S,'Live Collections'!$D:$D,Disbursements!B1771,'Live Collections'!$G:$G,Disbursements!C1771)</f>
        <v>0</v>
      </c>
      <c r="AL1771" s="540">
        <f>SUMIFS('Live Collections'!$T:$T,'Live Collections'!$D:$D,Disbursements!B1771,'Live Collections'!$G:$G,Disbursements!C1771)</f>
        <v>0</v>
      </c>
      <c r="AM1771" s="541">
        <f t="shared" si="738"/>
        <v>0</v>
      </c>
      <c r="AN1771" s="542" t="str">
        <f t="shared" si="739"/>
        <v/>
      </c>
      <c r="AO1771" s="542" t="str">
        <f t="shared" si="740"/>
        <v/>
      </c>
      <c r="AP1771" s="543" t="str">
        <f t="shared" si="741"/>
        <v/>
      </c>
      <c r="AQ1771" s="544" t="str">
        <f t="shared" si="742"/>
        <v/>
      </c>
      <c r="AR1771" s="545">
        <f t="shared" si="743"/>
        <v>0</v>
      </c>
      <c r="AS1771" s="545">
        <f>IFERROR(CEILING($AR1771*VLOOKUP($I1771,Ref!$B$23:$E$29,4,0),1),0)</f>
        <v>0</v>
      </c>
      <c r="AT1771" s="545" t="str">
        <f>IF(A1771="","",IF(AP1771&lt;=1,"Cleared",IF(AS1771=0,"Clean",VLOOKUP($AS1771,Ref!$G$23:$H$28,2))))</f>
        <v/>
      </c>
      <c r="AU1771" s="546" t="str">
        <f t="shared" si="744"/>
        <v/>
      </c>
    </row>
    <row r="1772" spans="1:47" ht="14.25" hidden="1" customHeight="1" x14ac:dyDescent="0.15">
      <c r="A1772" s="575"/>
      <c r="B1772" s="548"/>
      <c r="C1772" s="548"/>
      <c r="D1772" s="548"/>
      <c r="E1772" s="583"/>
      <c r="F1772" s="584"/>
      <c r="G1772" s="548"/>
      <c r="H1772" s="550"/>
      <c r="I1772" s="560"/>
      <c r="J1772" s="548"/>
      <c r="K1772" s="528" t="str">
        <f>IFERROR(VLOOKUP($B1772,'Clients-Live'!$A:$C,3,0),"")</f>
        <v/>
      </c>
      <c r="L1772" s="528">
        <f>IF(E1772="STL",Pricing!$D$38,IF(A1772="",0,IF(A1772&lt;Pricing!$C$25,Pricing!$D$25,VLOOKUP(Disbursements!$F1772,Pricing!$B$29:$D$32,3))))</f>
        <v>0</v>
      </c>
      <c r="M1772" s="528">
        <f>IF(E1772="STL",0,IF(F1772&gt;0,Pricing!$D$21,0))</f>
        <v>0</v>
      </c>
      <c r="N1772" s="529">
        <f>IF(E1772="STL",F1772*Pricing!$D$40,IF(A1772&lt;=Pricing!$C$4,0,IF(AND(A1772&gt;Pricing!$C$4,Disbursements!A1772&lt;=Pricing!$C$5),F1772*Pricing!$E$5,IF(AND(A1772&gt;Pricing!$C$5,Disbursements!A1772&lt;=Pricing!$C$7),VLOOKUP(F1772,Pricing!$D$7:$E$8,2)*Disbursements!F1772,F1772*Pricing!$E$9))))</f>
        <v>0</v>
      </c>
      <c r="O1772" s="528">
        <f>IF(E1772="STL",0,IF($F1772&gt;0,$F1772*Pricing!$D$17,0))</f>
        <v>0</v>
      </c>
      <c r="P1772" s="530" t="str">
        <f t="shared" si="724"/>
        <v/>
      </c>
      <c r="Q1772" s="531" t="str">
        <f>IF($A1772="","",$G1772/VLOOKUP($I1772,Ref!$B$23:$D$29,2,0))</f>
        <v/>
      </c>
      <c r="R1772" s="530" t="str">
        <f t="shared" si="725"/>
        <v/>
      </c>
      <c r="S1772" s="532" t="str">
        <f t="shared" si="719"/>
        <v/>
      </c>
      <c r="T1772" s="531" t="str">
        <f t="shared" si="726"/>
        <v/>
      </c>
      <c r="U1772" s="533">
        <f t="shared" si="727"/>
        <v>0</v>
      </c>
      <c r="V1772" s="531" t="str">
        <f t="shared" si="728"/>
        <v/>
      </c>
      <c r="W1772" s="531" t="str">
        <f t="shared" si="729"/>
        <v/>
      </c>
      <c r="X1772" s="534" t="str">
        <f t="shared" si="730"/>
        <v/>
      </c>
      <c r="Y1772" s="535" t="str">
        <f>IF($A1772="","",IF($I1772="weekly",$A1772+7,EDATE($A1772,VLOOKUP($I1772,Ref!$B$24:$C$29,2,0))))</f>
        <v/>
      </c>
      <c r="Z1772" s="536" t="str">
        <f t="shared" si="731"/>
        <v/>
      </c>
      <c r="AA1772" s="531">
        <f t="shared" si="732"/>
        <v>0</v>
      </c>
      <c r="AB1772" s="535" t="str">
        <f t="shared" si="720"/>
        <v/>
      </c>
      <c r="AC1772" s="537" t="str">
        <f t="shared" si="721"/>
        <v/>
      </c>
      <c r="AD1772" s="538" t="str">
        <f t="shared" ca="1" si="722"/>
        <v/>
      </c>
      <c r="AE1772" s="537">
        <f t="shared" ca="1" si="723"/>
        <v>0</v>
      </c>
      <c r="AF1772" s="539" t="str">
        <f t="shared" ca="1" si="733"/>
        <v/>
      </c>
      <c r="AG1772" s="531" t="str">
        <f t="shared" ca="1" si="734"/>
        <v/>
      </c>
      <c r="AH1772" s="531" t="str">
        <f t="shared" ca="1" si="735"/>
        <v/>
      </c>
      <c r="AI1772" s="531" t="str">
        <f t="shared" ca="1" si="736"/>
        <v/>
      </c>
      <c r="AJ1772" s="531" t="str">
        <f t="shared" si="737"/>
        <v/>
      </c>
      <c r="AK1772" s="540">
        <f>SUMIFS('Live Collections'!$S:$S,'Live Collections'!$D:$D,Disbursements!B1772,'Live Collections'!$G:$G,Disbursements!C1772)</f>
        <v>0</v>
      </c>
      <c r="AL1772" s="540">
        <f>SUMIFS('Live Collections'!$T:$T,'Live Collections'!$D:$D,Disbursements!B1772,'Live Collections'!$G:$G,Disbursements!C1772)</f>
        <v>0</v>
      </c>
      <c r="AM1772" s="541">
        <f t="shared" si="738"/>
        <v>0</v>
      </c>
      <c r="AN1772" s="542" t="str">
        <f t="shared" si="739"/>
        <v/>
      </c>
      <c r="AO1772" s="542" t="str">
        <f t="shared" si="740"/>
        <v/>
      </c>
      <c r="AP1772" s="543" t="str">
        <f t="shared" si="741"/>
        <v/>
      </c>
      <c r="AQ1772" s="544" t="str">
        <f t="shared" si="742"/>
        <v/>
      </c>
      <c r="AR1772" s="545">
        <f t="shared" si="743"/>
        <v>0</v>
      </c>
      <c r="AS1772" s="545">
        <f>IFERROR(CEILING($AR1772*VLOOKUP($I1772,Ref!$B$23:$E$29,4,0),1),0)</f>
        <v>0</v>
      </c>
      <c r="AT1772" s="545" t="str">
        <f>IF(A1772="","",IF(AP1772&lt;=1,"Cleared",IF(AS1772=0,"Clean",VLOOKUP($AS1772,Ref!$G$23:$H$28,2))))</f>
        <v/>
      </c>
      <c r="AU1772" s="546" t="str">
        <f t="shared" si="744"/>
        <v/>
      </c>
    </row>
    <row r="1773" spans="1:47" ht="14.25" hidden="1" customHeight="1" x14ac:dyDescent="0.15">
      <c r="A1773" s="575"/>
      <c r="B1773" s="548"/>
      <c r="C1773" s="548"/>
      <c r="D1773" s="548"/>
      <c r="E1773" s="583"/>
      <c r="F1773" s="584"/>
      <c r="G1773" s="548"/>
      <c r="H1773" s="550"/>
      <c r="I1773" s="560"/>
      <c r="J1773" s="548"/>
      <c r="K1773" s="528" t="str">
        <f>IFERROR(VLOOKUP($B1773,'Clients-Live'!$A:$C,3,0),"")</f>
        <v/>
      </c>
      <c r="L1773" s="528">
        <f>IF(E1773="STL",Pricing!$D$38,IF(A1773="",0,IF(A1773&lt;Pricing!$C$25,Pricing!$D$25,VLOOKUP(Disbursements!$F1773,Pricing!$B$29:$D$32,3))))</f>
        <v>0</v>
      </c>
      <c r="M1773" s="528">
        <f>IF(E1773="STL",0,IF(F1773&gt;0,Pricing!$D$21,0))</f>
        <v>0</v>
      </c>
      <c r="N1773" s="529">
        <f>IF(E1773="STL",F1773*Pricing!$D$40,IF(A1773&lt;=Pricing!$C$4,0,IF(AND(A1773&gt;Pricing!$C$4,Disbursements!A1773&lt;=Pricing!$C$5),F1773*Pricing!$E$5,IF(AND(A1773&gt;Pricing!$C$5,Disbursements!A1773&lt;=Pricing!$C$7),VLOOKUP(F1773,Pricing!$D$7:$E$8,2)*Disbursements!F1773,F1773*Pricing!$E$9))))</f>
        <v>0</v>
      </c>
      <c r="O1773" s="528">
        <f>IF(E1773="STL",0,IF($F1773&gt;0,$F1773*Pricing!$D$17,0))</f>
        <v>0</v>
      </c>
      <c r="P1773" s="530" t="str">
        <f t="shared" si="724"/>
        <v/>
      </c>
      <c r="Q1773" s="531" t="str">
        <f>IF($A1773="","",$G1773/VLOOKUP($I1773,Ref!$B$23:$D$29,2,0))</f>
        <v/>
      </c>
      <c r="R1773" s="530" t="str">
        <f t="shared" si="725"/>
        <v/>
      </c>
      <c r="S1773" s="532" t="str">
        <f t="shared" si="719"/>
        <v/>
      </c>
      <c r="T1773" s="531" t="str">
        <f t="shared" si="726"/>
        <v/>
      </c>
      <c r="U1773" s="533">
        <f t="shared" si="727"/>
        <v>0</v>
      </c>
      <c r="V1773" s="531" t="str">
        <f t="shared" si="728"/>
        <v/>
      </c>
      <c r="W1773" s="531" t="str">
        <f t="shared" si="729"/>
        <v/>
      </c>
      <c r="X1773" s="534" t="str">
        <f t="shared" si="730"/>
        <v/>
      </c>
      <c r="Y1773" s="535" t="str">
        <f>IF($A1773="","",IF($I1773="weekly",$A1773+7,EDATE($A1773,VLOOKUP($I1773,Ref!$B$24:$C$29,2,0))))</f>
        <v/>
      </c>
      <c r="Z1773" s="536" t="str">
        <f t="shared" si="731"/>
        <v/>
      </c>
      <c r="AA1773" s="531">
        <f t="shared" si="732"/>
        <v>0</v>
      </c>
      <c r="AB1773" s="535" t="str">
        <f t="shared" si="720"/>
        <v/>
      </c>
      <c r="AC1773" s="537" t="str">
        <f t="shared" si="721"/>
        <v/>
      </c>
      <c r="AD1773" s="538" t="str">
        <f t="shared" ca="1" si="722"/>
        <v/>
      </c>
      <c r="AE1773" s="537">
        <f t="shared" ca="1" si="723"/>
        <v>0</v>
      </c>
      <c r="AF1773" s="539" t="str">
        <f t="shared" ca="1" si="733"/>
        <v/>
      </c>
      <c r="AG1773" s="531" t="str">
        <f t="shared" ca="1" si="734"/>
        <v/>
      </c>
      <c r="AH1773" s="531" t="str">
        <f t="shared" ca="1" si="735"/>
        <v/>
      </c>
      <c r="AI1773" s="531" t="str">
        <f t="shared" ca="1" si="736"/>
        <v/>
      </c>
      <c r="AJ1773" s="531" t="str">
        <f t="shared" si="737"/>
        <v/>
      </c>
      <c r="AK1773" s="540">
        <f>SUMIFS('Live Collections'!$S:$S,'Live Collections'!$D:$D,Disbursements!B1773,'Live Collections'!$G:$G,Disbursements!C1773)</f>
        <v>0</v>
      </c>
      <c r="AL1773" s="540">
        <f>SUMIFS('Live Collections'!$T:$T,'Live Collections'!$D:$D,Disbursements!B1773,'Live Collections'!$G:$G,Disbursements!C1773)</f>
        <v>0</v>
      </c>
      <c r="AM1773" s="541">
        <f t="shared" si="738"/>
        <v>0</v>
      </c>
      <c r="AN1773" s="542" t="str">
        <f t="shared" si="739"/>
        <v/>
      </c>
      <c r="AO1773" s="542" t="str">
        <f t="shared" si="740"/>
        <v/>
      </c>
      <c r="AP1773" s="543" t="str">
        <f t="shared" si="741"/>
        <v/>
      </c>
      <c r="AQ1773" s="544" t="str">
        <f t="shared" si="742"/>
        <v/>
      </c>
      <c r="AR1773" s="545">
        <f t="shared" si="743"/>
        <v>0</v>
      </c>
      <c r="AS1773" s="545">
        <f>IFERROR(CEILING($AR1773*VLOOKUP($I1773,Ref!$B$23:$E$29,4,0),1),0)</f>
        <v>0</v>
      </c>
      <c r="AT1773" s="545" t="str">
        <f>IF(A1773="","",IF(AP1773&lt;=1,"Cleared",IF(AS1773=0,"Clean",VLOOKUP($AS1773,Ref!$G$23:$H$28,2))))</f>
        <v/>
      </c>
      <c r="AU1773" s="546" t="str">
        <f t="shared" si="744"/>
        <v/>
      </c>
    </row>
    <row r="1774" spans="1:47" ht="14.25" hidden="1" customHeight="1" x14ac:dyDescent="0.15">
      <c r="A1774" s="575"/>
      <c r="B1774" s="548"/>
      <c r="C1774" s="548"/>
      <c r="D1774" s="548"/>
      <c r="E1774" s="583"/>
      <c r="F1774" s="584"/>
      <c r="G1774" s="548"/>
      <c r="H1774" s="550"/>
      <c r="I1774" s="560"/>
      <c r="J1774" s="548"/>
      <c r="K1774" s="528" t="str">
        <f>IFERROR(VLOOKUP($B1774,'Clients-Live'!$A:$C,3,0),"")</f>
        <v/>
      </c>
      <c r="L1774" s="528">
        <f>IF(E1774="STL",Pricing!$D$38,IF(A1774="",0,IF(A1774&lt;Pricing!$C$25,Pricing!$D$25,VLOOKUP(Disbursements!$F1774,Pricing!$B$29:$D$32,3))))</f>
        <v>0</v>
      </c>
      <c r="M1774" s="528">
        <f>IF(E1774="STL",0,IF(F1774&gt;0,Pricing!$D$21,0))</f>
        <v>0</v>
      </c>
      <c r="N1774" s="529">
        <f>IF(E1774="STL",F1774*Pricing!$D$40,IF(A1774&lt;=Pricing!$C$4,0,IF(AND(A1774&gt;Pricing!$C$4,Disbursements!A1774&lt;=Pricing!$C$5),F1774*Pricing!$E$5,IF(AND(A1774&gt;Pricing!$C$5,Disbursements!A1774&lt;=Pricing!$C$7),VLOOKUP(F1774,Pricing!$D$7:$E$8,2)*Disbursements!F1774,F1774*Pricing!$E$9))))</f>
        <v>0</v>
      </c>
      <c r="O1774" s="528">
        <f>IF(E1774="STL",0,IF($F1774&gt;0,$F1774*Pricing!$D$17,0))</f>
        <v>0</v>
      </c>
      <c r="P1774" s="530" t="str">
        <f t="shared" si="724"/>
        <v/>
      </c>
      <c r="Q1774" s="531" t="str">
        <f>IF($A1774="","",$G1774/VLOOKUP($I1774,Ref!$B$23:$D$29,2,0))</f>
        <v/>
      </c>
      <c r="R1774" s="530" t="str">
        <f t="shared" si="725"/>
        <v/>
      </c>
      <c r="S1774" s="532" t="str">
        <f t="shared" si="719"/>
        <v/>
      </c>
      <c r="T1774" s="531" t="str">
        <f t="shared" si="726"/>
        <v/>
      </c>
      <c r="U1774" s="533">
        <f t="shared" si="727"/>
        <v>0</v>
      </c>
      <c r="V1774" s="531" t="str">
        <f t="shared" si="728"/>
        <v/>
      </c>
      <c r="W1774" s="531" t="str">
        <f t="shared" si="729"/>
        <v/>
      </c>
      <c r="X1774" s="534" t="str">
        <f t="shared" si="730"/>
        <v/>
      </c>
      <c r="Y1774" s="535" t="str">
        <f>IF($A1774="","",IF($I1774="weekly",$A1774+7,EDATE($A1774,VLOOKUP($I1774,Ref!$B$24:$C$29,2,0))))</f>
        <v/>
      </c>
      <c r="Z1774" s="536" t="str">
        <f t="shared" si="731"/>
        <v/>
      </c>
      <c r="AA1774" s="531">
        <f t="shared" si="732"/>
        <v>0</v>
      </c>
      <c r="AB1774" s="535" t="str">
        <f t="shared" si="720"/>
        <v/>
      </c>
      <c r="AC1774" s="537" t="str">
        <f t="shared" si="721"/>
        <v/>
      </c>
      <c r="AD1774" s="538" t="str">
        <f t="shared" ca="1" si="722"/>
        <v/>
      </c>
      <c r="AE1774" s="537">
        <f t="shared" ca="1" si="723"/>
        <v>0</v>
      </c>
      <c r="AF1774" s="539" t="str">
        <f t="shared" ca="1" si="733"/>
        <v/>
      </c>
      <c r="AG1774" s="531" t="str">
        <f t="shared" ca="1" si="734"/>
        <v/>
      </c>
      <c r="AH1774" s="531" t="str">
        <f t="shared" ca="1" si="735"/>
        <v/>
      </c>
      <c r="AI1774" s="531" t="str">
        <f t="shared" ca="1" si="736"/>
        <v/>
      </c>
      <c r="AJ1774" s="531" t="str">
        <f t="shared" si="737"/>
        <v/>
      </c>
      <c r="AK1774" s="540">
        <f>SUMIFS('Live Collections'!$S:$S,'Live Collections'!$D:$D,Disbursements!B1774,'Live Collections'!$G:$G,Disbursements!C1774)</f>
        <v>0</v>
      </c>
      <c r="AL1774" s="540">
        <f>SUMIFS('Live Collections'!$T:$T,'Live Collections'!$D:$D,Disbursements!B1774,'Live Collections'!$G:$G,Disbursements!C1774)</f>
        <v>0</v>
      </c>
      <c r="AM1774" s="541">
        <f t="shared" si="738"/>
        <v>0</v>
      </c>
      <c r="AN1774" s="542" t="str">
        <f t="shared" si="739"/>
        <v/>
      </c>
      <c r="AO1774" s="542" t="str">
        <f t="shared" si="740"/>
        <v/>
      </c>
      <c r="AP1774" s="543" t="str">
        <f t="shared" si="741"/>
        <v/>
      </c>
      <c r="AQ1774" s="544" t="str">
        <f t="shared" si="742"/>
        <v/>
      </c>
      <c r="AR1774" s="545">
        <f t="shared" si="743"/>
        <v>0</v>
      </c>
      <c r="AS1774" s="545">
        <f>IFERROR(CEILING($AR1774*VLOOKUP($I1774,Ref!$B$23:$E$29,4,0),1),0)</f>
        <v>0</v>
      </c>
      <c r="AT1774" s="545" t="str">
        <f>IF(A1774="","",IF(AP1774&lt;=1,"Cleared",IF(AS1774=0,"Clean",VLOOKUP($AS1774,Ref!$G$23:$H$28,2))))</f>
        <v/>
      </c>
      <c r="AU1774" s="546" t="str">
        <f t="shared" si="744"/>
        <v/>
      </c>
    </row>
    <row r="1775" spans="1:47" ht="14.25" hidden="1" customHeight="1" x14ac:dyDescent="0.15">
      <c r="A1775" s="575"/>
      <c r="B1775" s="548"/>
      <c r="C1775" s="548"/>
      <c r="D1775" s="548"/>
      <c r="E1775" s="583"/>
      <c r="F1775" s="584"/>
      <c r="G1775" s="548"/>
      <c r="H1775" s="550"/>
      <c r="I1775" s="560"/>
      <c r="J1775" s="548"/>
      <c r="K1775" s="528" t="str">
        <f>IFERROR(VLOOKUP($B1775,'Clients-Live'!$A:$C,3,0),"")</f>
        <v/>
      </c>
      <c r="L1775" s="528">
        <f>IF(E1775="STL",Pricing!$D$38,IF(A1775="",0,IF(A1775&lt;Pricing!$C$25,Pricing!$D$25,VLOOKUP(Disbursements!$F1775,Pricing!$B$29:$D$32,3))))</f>
        <v>0</v>
      </c>
      <c r="M1775" s="528">
        <f>IF(E1775="STL",0,IF(F1775&gt;0,Pricing!$D$21,0))</f>
        <v>0</v>
      </c>
      <c r="N1775" s="529">
        <f>IF(E1775="STL",F1775*Pricing!$D$40,IF(A1775&lt;=Pricing!$C$4,0,IF(AND(A1775&gt;Pricing!$C$4,Disbursements!A1775&lt;=Pricing!$C$5),F1775*Pricing!$E$5,IF(AND(A1775&gt;Pricing!$C$5,Disbursements!A1775&lt;=Pricing!$C$7),VLOOKUP(F1775,Pricing!$D$7:$E$8,2)*Disbursements!F1775,F1775*Pricing!$E$9))))</f>
        <v>0</v>
      </c>
      <c r="O1775" s="528">
        <f>IF(E1775="STL",0,IF($F1775&gt;0,$F1775*Pricing!$D$17,0))</f>
        <v>0</v>
      </c>
      <c r="P1775" s="530" t="str">
        <f t="shared" si="724"/>
        <v/>
      </c>
      <c r="Q1775" s="531" t="str">
        <f>IF($A1775="","",$G1775/VLOOKUP($I1775,Ref!$B$23:$D$29,2,0))</f>
        <v/>
      </c>
      <c r="R1775" s="530" t="str">
        <f t="shared" si="725"/>
        <v/>
      </c>
      <c r="S1775" s="532" t="str">
        <f t="shared" si="719"/>
        <v/>
      </c>
      <c r="T1775" s="531" t="str">
        <f t="shared" si="726"/>
        <v/>
      </c>
      <c r="U1775" s="533">
        <f t="shared" si="727"/>
        <v>0</v>
      </c>
      <c r="V1775" s="531" t="str">
        <f t="shared" si="728"/>
        <v/>
      </c>
      <c r="W1775" s="531" t="str">
        <f t="shared" si="729"/>
        <v/>
      </c>
      <c r="X1775" s="534" t="str">
        <f t="shared" si="730"/>
        <v/>
      </c>
      <c r="Y1775" s="535" t="str">
        <f>IF($A1775="","",IF($I1775="weekly",$A1775+7,EDATE($A1775,VLOOKUP($I1775,Ref!$B$24:$C$29,2,0))))</f>
        <v/>
      </c>
      <c r="Z1775" s="536" t="str">
        <f t="shared" si="731"/>
        <v/>
      </c>
      <c r="AA1775" s="531">
        <f t="shared" si="732"/>
        <v>0</v>
      </c>
      <c r="AB1775" s="535" t="str">
        <f t="shared" si="720"/>
        <v/>
      </c>
      <c r="AC1775" s="537" t="str">
        <f t="shared" si="721"/>
        <v/>
      </c>
      <c r="AD1775" s="538" t="str">
        <f t="shared" ca="1" si="722"/>
        <v/>
      </c>
      <c r="AE1775" s="537">
        <f t="shared" ca="1" si="723"/>
        <v>0</v>
      </c>
      <c r="AF1775" s="539" t="str">
        <f t="shared" ca="1" si="733"/>
        <v/>
      </c>
      <c r="AG1775" s="531" t="str">
        <f t="shared" ca="1" si="734"/>
        <v/>
      </c>
      <c r="AH1775" s="531" t="str">
        <f t="shared" ca="1" si="735"/>
        <v/>
      </c>
      <c r="AI1775" s="531" t="str">
        <f t="shared" ca="1" si="736"/>
        <v/>
      </c>
      <c r="AJ1775" s="531" t="str">
        <f t="shared" si="737"/>
        <v/>
      </c>
      <c r="AK1775" s="540">
        <f>SUMIFS('Live Collections'!$S:$S,'Live Collections'!$D:$D,Disbursements!B1775,'Live Collections'!$G:$G,Disbursements!C1775)</f>
        <v>0</v>
      </c>
      <c r="AL1775" s="540">
        <f>SUMIFS('Live Collections'!$T:$T,'Live Collections'!$D:$D,Disbursements!B1775,'Live Collections'!$G:$G,Disbursements!C1775)</f>
        <v>0</v>
      </c>
      <c r="AM1775" s="541">
        <f t="shared" si="738"/>
        <v>0</v>
      </c>
      <c r="AN1775" s="542" t="str">
        <f t="shared" si="739"/>
        <v/>
      </c>
      <c r="AO1775" s="542" t="str">
        <f t="shared" si="740"/>
        <v/>
      </c>
      <c r="AP1775" s="543" t="str">
        <f t="shared" si="741"/>
        <v/>
      </c>
      <c r="AQ1775" s="544" t="str">
        <f t="shared" si="742"/>
        <v/>
      </c>
      <c r="AR1775" s="545">
        <f t="shared" si="743"/>
        <v>0</v>
      </c>
      <c r="AS1775" s="545">
        <f>IFERROR(CEILING($AR1775*VLOOKUP($I1775,Ref!$B$23:$E$29,4,0),1),0)</f>
        <v>0</v>
      </c>
      <c r="AT1775" s="545" t="str">
        <f>IF(A1775="","",IF(AP1775&lt;=1,"Cleared",IF(AS1775=0,"Clean",VLOOKUP($AS1775,Ref!$G$23:$H$28,2))))</f>
        <v/>
      </c>
      <c r="AU1775" s="546" t="str">
        <f t="shared" si="744"/>
        <v/>
      </c>
    </row>
    <row r="1776" spans="1:47" ht="14.25" hidden="1" customHeight="1" x14ac:dyDescent="0.15">
      <c r="A1776" s="575"/>
      <c r="B1776" s="548"/>
      <c r="C1776" s="548"/>
      <c r="D1776" s="548"/>
      <c r="E1776" s="583"/>
      <c r="F1776" s="584"/>
      <c r="G1776" s="548"/>
      <c r="H1776" s="550"/>
      <c r="I1776" s="560"/>
      <c r="J1776" s="548"/>
      <c r="K1776" s="528" t="str">
        <f>IFERROR(VLOOKUP($B1776,'Clients-Live'!$A:$C,3,0),"")</f>
        <v/>
      </c>
      <c r="L1776" s="528">
        <f>IF(E1776="STL",Pricing!$D$38,IF(A1776="",0,IF(A1776&lt;Pricing!$C$25,Pricing!$D$25,VLOOKUP(Disbursements!$F1776,Pricing!$B$29:$D$32,3))))</f>
        <v>0</v>
      </c>
      <c r="M1776" s="528">
        <f>IF(E1776="STL",0,IF(F1776&gt;0,Pricing!$D$21,0))</f>
        <v>0</v>
      </c>
      <c r="N1776" s="529">
        <f>IF(E1776="STL",F1776*Pricing!$D$40,IF(A1776&lt;=Pricing!$C$4,0,IF(AND(A1776&gt;Pricing!$C$4,Disbursements!A1776&lt;=Pricing!$C$5),F1776*Pricing!$E$5,IF(AND(A1776&gt;Pricing!$C$5,Disbursements!A1776&lt;=Pricing!$C$7),VLOOKUP(F1776,Pricing!$D$7:$E$8,2)*Disbursements!F1776,F1776*Pricing!$E$9))))</f>
        <v>0</v>
      </c>
      <c r="O1776" s="528">
        <f>IF(E1776="STL",0,IF($F1776&gt;0,$F1776*Pricing!$D$17,0))</f>
        <v>0</v>
      </c>
      <c r="P1776" s="530" t="str">
        <f t="shared" si="724"/>
        <v/>
      </c>
      <c r="Q1776" s="531" t="str">
        <f>IF($A1776="","",$G1776/VLOOKUP($I1776,Ref!$B$23:$D$29,2,0))</f>
        <v/>
      </c>
      <c r="R1776" s="530" t="str">
        <f t="shared" si="725"/>
        <v/>
      </c>
      <c r="S1776" s="532" t="str">
        <f t="shared" si="719"/>
        <v/>
      </c>
      <c r="T1776" s="531" t="str">
        <f t="shared" si="726"/>
        <v/>
      </c>
      <c r="U1776" s="533">
        <f t="shared" si="727"/>
        <v>0</v>
      </c>
      <c r="V1776" s="531" t="str">
        <f t="shared" si="728"/>
        <v/>
      </c>
      <c r="W1776" s="531" t="str">
        <f t="shared" si="729"/>
        <v/>
      </c>
      <c r="X1776" s="534" t="str">
        <f t="shared" si="730"/>
        <v/>
      </c>
      <c r="Y1776" s="535" t="str">
        <f>IF($A1776="","",IF($I1776="weekly",$A1776+7,EDATE($A1776,VLOOKUP($I1776,Ref!$B$24:$C$29,2,0))))</f>
        <v/>
      </c>
      <c r="Z1776" s="536" t="str">
        <f t="shared" si="731"/>
        <v/>
      </c>
      <c r="AA1776" s="531">
        <f t="shared" si="732"/>
        <v>0</v>
      </c>
      <c r="AB1776" s="535" t="str">
        <f t="shared" si="720"/>
        <v/>
      </c>
      <c r="AC1776" s="537" t="str">
        <f t="shared" si="721"/>
        <v/>
      </c>
      <c r="AD1776" s="538" t="str">
        <f t="shared" ca="1" si="722"/>
        <v/>
      </c>
      <c r="AE1776" s="537">
        <f t="shared" ca="1" si="723"/>
        <v>0</v>
      </c>
      <c r="AF1776" s="539" t="str">
        <f t="shared" ca="1" si="733"/>
        <v/>
      </c>
      <c r="AG1776" s="531" t="str">
        <f t="shared" ca="1" si="734"/>
        <v/>
      </c>
      <c r="AH1776" s="531" t="str">
        <f t="shared" ca="1" si="735"/>
        <v/>
      </c>
      <c r="AI1776" s="531" t="str">
        <f t="shared" ca="1" si="736"/>
        <v/>
      </c>
      <c r="AJ1776" s="531" t="str">
        <f t="shared" si="737"/>
        <v/>
      </c>
      <c r="AK1776" s="540">
        <f>SUMIFS('Live Collections'!$S:$S,'Live Collections'!$D:$D,Disbursements!B1776,'Live Collections'!$G:$G,Disbursements!C1776)</f>
        <v>0</v>
      </c>
      <c r="AL1776" s="540">
        <f>SUMIFS('Live Collections'!$T:$T,'Live Collections'!$D:$D,Disbursements!B1776,'Live Collections'!$G:$G,Disbursements!C1776)</f>
        <v>0</v>
      </c>
      <c r="AM1776" s="541">
        <f t="shared" si="738"/>
        <v>0</v>
      </c>
      <c r="AN1776" s="542" t="str">
        <f t="shared" si="739"/>
        <v/>
      </c>
      <c r="AO1776" s="542" t="str">
        <f t="shared" si="740"/>
        <v/>
      </c>
      <c r="AP1776" s="543" t="str">
        <f t="shared" si="741"/>
        <v/>
      </c>
      <c r="AQ1776" s="544" t="str">
        <f t="shared" si="742"/>
        <v/>
      </c>
      <c r="AR1776" s="545">
        <f t="shared" si="743"/>
        <v>0</v>
      </c>
      <c r="AS1776" s="545">
        <f>IFERROR(CEILING($AR1776*VLOOKUP($I1776,Ref!$B$23:$E$29,4,0),1),0)</f>
        <v>0</v>
      </c>
      <c r="AT1776" s="545" t="str">
        <f>IF(A1776="","",IF(AP1776&lt;=1,"Cleared",IF(AS1776=0,"Clean",VLOOKUP($AS1776,Ref!$G$23:$H$28,2))))</f>
        <v/>
      </c>
      <c r="AU1776" s="546" t="str">
        <f t="shared" si="744"/>
        <v/>
      </c>
    </row>
    <row r="1777" spans="1:47" ht="14.25" hidden="1" customHeight="1" x14ac:dyDescent="0.15">
      <c r="A1777" s="575"/>
      <c r="B1777" s="548"/>
      <c r="C1777" s="548"/>
      <c r="D1777" s="548"/>
      <c r="E1777" s="583"/>
      <c r="F1777" s="584"/>
      <c r="G1777" s="548"/>
      <c r="H1777" s="550"/>
      <c r="I1777" s="560"/>
      <c r="J1777" s="548"/>
      <c r="K1777" s="528" t="str">
        <f>IFERROR(VLOOKUP($B1777,'Clients-Live'!$A:$C,3,0),"")</f>
        <v/>
      </c>
      <c r="L1777" s="528">
        <f>IF(E1777="STL",Pricing!$D$38,IF(A1777="",0,IF(A1777&lt;Pricing!$C$25,Pricing!$D$25,VLOOKUP(Disbursements!$F1777,Pricing!$B$29:$D$32,3))))</f>
        <v>0</v>
      </c>
      <c r="M1777" s="528">
        <f>IF(E1777="STL",0,IF(F1777&gt;0,Pricing!$D$21,0))</f>
        <v>0</v>
      </c>
      <c r="N1777" s="529">
        <f>IF(E1777="STL",F1777*Pricing!$D$40,IF(A1777&lt;=Pricing!$C$4,0,IF(AND(A1777&gt;Pricing!$C$4,Disbursements!A1777&lt;=Pricing!$C$5),F1777*Pricing!$E$5,IF(AND(A1777&gt;Pricing!$C$5,Disbursements!A1777&lt;=Pricing!$C$7),VLOOKUP(F1777,Pricing!$D$7:$E$8,2)*Disbursements!F1777,F1777*Pricing!$E$9))))</f>
        <v>0</v>
      </c>
      <c r="O1777" s="528">
        <f>IF(E1777="STL",0,IF($F1777&gt;0,$F1777*Pricing!$D$17,0))</f>
        <v>0</v>
      </c>
      <c r="P1777" s="530" t="str">
        <f t="shared" si="724"/>
        <v/>
      </c>
      <c r="Q1777" s="531" t="str">
        <f>IF($A1777="","",$G1777/VLOOKUP($I1777,Ref!$B$23:$D$29,2,0))</f>
        <v/>
      </c>
      <c r="R1777" s="530" t="str">
        <f t="shared" si="725"/>
        <v/>
      </c>
      <c r="S1777" s="532" t="str">
        <f t="shared" si="719"/>
        <v/>
      </c>
      <c r="T1777" s="531" t="str">
        <f t="shared" si="726"/>
        <v/>
      </c>
      <c r="U1777" s="533">
        <f t="shared" si="727"/>
        <v>0</v>
      </c>
      <c r="V1777" s="531" t="str">
        <f t="shared" si="728"/>
        <v/>
      </c>
      <c r="W1777" s="531" t="str">
        <f t="shared" si="729"/>
        <v/>
      </c>
      <c r="X1777" s="534" t="str">
        <f t="shared" si="730"/>
        <v/>
      </c>
      <c r="Y1777" s="535" t="str">
        <f>IF($A1777="","",IF($I1777="weekly",$A1777+7,EDATE($A1777,VLOOKUP($I1777,Ref!$B$24:$C$29,2,0))))</f>
        <v/>
      </c>
      <c r="Z1777" s="536" t="str">
        <f t="shared" si="731"/>
        <v/>
      </c>
      <c r="AA1777" s="531">
        <f t="shared" si="732"/>
        <v>0</v>
      </c>
      <c r="AB1777" s="535" t="str">
        <f t="shared" si="720"/>
        <v/>
      </c>
      <c r="AC1777" s="537" t="str">
        <f t="shared" si="721"/>
        <v/>
      </c>
      <c r="AD1777" s="538" t="str">
        <f t="shared" ca="1" si="722"/>
        <v/>
      </c>
      <c r="AE1777" s="537">
        <f t="shared" ca="1" si="723"/>
        <v>0</v>
      </c>
      <c r="AF1777" s="539" t="str">
        <f t="shared" ca="1" si="733"/>
        <v/>
      </c>
      <c r="AG1777" s="531" t="str">
        <f t="shared" ca="1" si="734"/>
        <v/>
      </c>
      <c r="AH1777" s="531" t="str">
        <f t="shared" ca="1" si="735"/>
        <v/>
      </c>
      <c r="AI1777" s="531" t="str">
        <f t="shared" ca="1" si="736"/>
        <v/>
      </c>
      <c r="AJ1777" s="531" t="str">
        <f t="shared" si="737"/>
        <v/>
      </c>
      <c r="AK1777" s="540">
        <f>SUMIFS('Live Collections'!$S:$S,'Live Collections'!$D:$D,Disbursements!B1777,'Live Collections'!$G:$G,Disbursements!C1777)</f>
        <v>0</v>
      </c>
      <c r="AL1777" s="540">
        <f>SUMIFS('Live Collections'!$T:$T,'Live Collections'!$D:$D,Disbursements!B1777,'Live Collections'!$G:$G,Disbursements!C1777)</f>
        <v>0</v>
      </c>
      <c r="AM1777" s="541">
        <f t="shared" si="738"/>
        <v>0</v>
      </c>
      <c r="AN1777" s="542" t="str">
        <f t="shared" si="739"/>
        <v/>
      </c>
      <c r="AO1777" s="542" t="str">
        <f t="shared" si="740"/>
        <v/>
      </c>
      <c r="AP1777" s="543" t="str">
        <f t="shared" si="741"/>
        <v/>
      </c>
      <c r="AQ1777" s="544" t="str">
        <f t="shared" si="742"/>
        <v/>
      </c>
      <c r="AR1777" s="545">
        <f t="shared" si="743"/>
        <v>0</v>
      </c>
      <c r="AS1777" s="545">
        <f>IFERROR(CEILING($AR1777*VLOOKUP($I1777,Ref!$B$23:$E$29,4,0),1),0)</f>
        <v>0</v>
      </c>
      <c r="AT1777" s="545" t="str">
        <f>IF(A1777="","",IF(AP1777&lt;=1,"Cleared",IF(AS1777=0,"Clean",VLOOKUP($AS1777,Ref!$G$23:$H$28,2))))</f>
        <v/>
      </c>
      <c r="AU1777" s="546" t="str">
        <f t="shared" si="744"/>
        <v/>
      </c>
    </row>
    <row r="1778" spans="1:47" ht="14.25" hidden="1" customHeight="1" x14ac:dyDescent="0.15">
      <c r="A1778" s="575"/>
      <c r="B1778" s="548"/>
      <c r="C1778" s="548"/>
      <c r="D1778" s="548"/>
      <c r="E1778" s="583"/>
      <c r="F1778" s="584"/>
      <c r="G1778" s="548"/>
      <c r="H1778" s="550"/>
      <c r="I1778" s="560"/>
      <c r="J1778" s="548"/>
      <c r="K1778" s="528" t="str">
        <f>IFERROR(VLOOKUP($B1778,'Clients-Live'!$A:$C,3,0),"")</f>
        <v/>
      </c>
      <c r="L1778" s="528">
        <f>IF(E1778="STL",Pricing!$D$38,IF(A1778="",0,IF(A1778&lt;Pricing!$C$25,Pricing!$D$25,VLOOKUP(Disbursements!$F1778,Pricing!$B$29:$D$32,3))))</f>
        <v>0</v>
      </c>
      <c r="M1778" s="528">
        <f>IF(E1778="STL",0,IF(F1778&gt;0,Pricing!$D$21,0))</f>
        <v>0</v>
      </c>
      <c r="N1778" s="529">
        <f>IF(E1778="STL",F1778*Pricing!$D$40,IF(A1778&lt;=Pricing!$C$4,0,IF(AND(A1778&gt;Pricing!$C$4,Disbursements!A1778&lt;=Pricing!$C$5),F1778*Pricing!$E$5,IF(AND(A1778&gt;Pricing!$C$5,Disbursements!A1778&lt;=Pricing!$C$7),VLOOKUP(F1778,Pricing!$D$7:$E$8,2)*Disbursements!F1778,F1778*Pricing!$E$9))))</f>
        <v>0</v>
      </c>
      <c r="O1778" s="528">
        <f>IF(E1778="STL",0,IF($F1778&gt;0,$F1778*Pricing!$D$17,0))</f>
        <v>0</v>
      </c>
      <c r="P1778" s="530" t="str">
        <f t="shared" si="724"/>
        <v/>
      </c>
      <c r="Q1778" s="531" t="str">
        <f>IF($A1778="","",$G1778/VLOOKUP($I1778,Ref!$B$23:$D$29,2,0))</f>
        <v/>
      </c>
      <c r="R1778" s="530" t="str">
        <f t="shared" si="725"/>
        <v/>
      </c>
      <c r="S1778" s="532" t="str">
        <f t="shared" si="719"/>
        <v/>
      </c>
      <c r="T1778" s="531" t="str">
        <f t="shared" si="726"/>
        <v/>
      </c>
      <c r="U1778" s="533">
        <f t="shared" si="727"/>
        <v>0</v>
      </c>
      <c r="V1778" s="531" t="str">
        <f t="shared" si="728"/>
        <v/>
      </c>
      <c r="W1778" s="531" t="str">
        <f t="shared" si="729"/>
        <v/>
      </c>
      <c r="X1778" s="534" t="str">
        <f t="shared" si="730"/>
        <v/>
      </c>
      <c r="Y1778" s="535" t="str">
        <f>IF($A1778="","",IF($I1778="weekly",$A1778+7,EDATE($A1778,VLOOKUP($I1778,Ref!$B$24:$C$29,2,0))))</f>
        <v/>
      </c>
      <c r="Z1778" s="536" t="str">
        <f t="shared" si="731"/>
        <v/>
      </c>
      <c r="AA1778" s="531">
        <f t="shared" si="732"/>
        <v>0</v>
      </c>
      <c r="AB1778" s="535" t="str">
        <f t="shared" si="720"/>
        <v/>
      </c>
      <c r="AC1778" s="537" t="str">
        <f t="shared" si="721"/>
        <v/>
      </c>
      <c r="AD1778" s="538" t="str">
        <f t="shared" ca="1" si="722"/>
        <v/>
      </c>
      <c r="AE1778" s="537">
        <f t="shared" ca="1" si="723"/>
        <v>0</v>
      </c>
      <c r="AF1778" s="539" t="str">
        <f t="shared" ca="1" si="733"/>
        <v/>
      </c>
      <c r="AG1778" s="531" t="str">
        <f t="shared" ca="1" si="734"/>
        <v/>
      </c>
      <c r="AH1778" s="531" t="str">
        <f t="shared" ca="1" si="735"/>
        <v/>
      </c>
      <c r="AI1778" s="531" t="str">
        <f t="shared" ca="1" si="736"/>
        <v/>
      </c>
      <c r="AJ1778" s="531" t="str">
        <f t="shared" si="737"/>
        <v/>
      </c>
      <c r="AK1778" s="540">
        <f>SUMIFS('Live Collections'!$S:$S,'Live Collections'!$D:$D,Disbursements!B1778,'Live Collections'!$G:$G,Disbursements!C1778)</f>
        <v>0</v>
      </c>
      <c r="AL1778" s="540">
        <f>SUMIFS('Live Collections'!$T:$T,'Live Collections'!$D:$D,Disbursements!B1778,'Live Collections'!$G:$G,Disbursements!C1778)</f>
        <v>0</v>
      </c>
      <c r="AM1778" s="541">
        <f t="shared" si="738"/>
        <v>0</v>
      </c>
      <c r="AN1778" s="542" t="str">
        <f t="shared" si="739"/>
        <v/>
      </c>
      <c r="AO1778" s="542" t="str">
        <f t="shared" si="740"/>
        <v/>
      </c>
      <c r="AP1778" s="543" t="str">
        <f t="shared" si="741"/>
        <v/>
      </c>
      <c r="AQ1778" s="544" t="str">
        <f t="shared" si="742"/>
        <v/>
      </c>
      <c r="AR1778" s="545">
        <f t="shared" si="743"/>
        <v>0</v>
      </c>
      <c r="AS1778" s="545">
        <f>IFERROR(CEILING($AR1778*VLOOKUP($I1778,Ref!$B$23:$E$29,4,0),1),0)</f>
        <v>0</v>
      </c>
      <c r="AT1778" s="545" t="str">
        <f>IF(A1778="","",IF(AP1778&lt;=1,"Cleared",IF(AS1778=0,"Clean",VLOOKUP($AS1778,Ref!$G$23:$H$28,2))))</f>
        <v/>
      </c>
      <c r="AU1778" s="546" t="str">
        <f t="shared" si="744"/>
        <v/>
      </c>
    </row>
    <row r="1779" spans="1:47" ht="14.25" hidden="1" customHeight="1" x14ac:dyDescent="0.15">
      <c r="A1779" s="575"/>
      <c r="B1779" s="548"/>
      <c r="C1779" s="548"/>
      <c r="D1779" s="548"/>
      <c r="E1779" s="583"/>
      <c r="F1779" s="584"/>
      <c r="G1779" s="548"/>
      <c r="H1779" s="550"/>
      <c r="I1779" s="560"/>
      <c r="J1779" s="548"/>
      <c r="K1779" s="528" t="str">
        <f>IFERROR(VLOOKUP($B1779,'Clients-Live'!$A:$C,3,0),"")</f>
        <v/>
      </c>
      <c r="L1779" s="528">
        <f>IF(E1779="STL",Pricing!$D$38,IF(A1779="",0,IF(A1779&lt;Pricing!$C$25,Pricing!$D$25,VLOOKUP(Disbursements!$F1779,Pricing!$B$29:$D$32,3))))</f>
        <v>0</v>
      </c>
      <c r="M1779" s="528">
        <f>IF(E1779="STL",0,IF(F1779&gt;0,Pricing!$D$21,0))</f>
        <v>0</v>
      </c>
      <c r="N1779" s="529">
        <f>IF(E1779="STL",F1779*Pricing!$D$40,IF(A1779&lt;=Pricing!$C$4,0,IF(AND(A1779&gt;Pricing!$C$4,Disbursements!A1779&lt;=Pricing!$C$5),F1779*Pricing!$E$5,IF(AND(A1779&gt;Pricing!$C$5,Disbursements!A1779&lt;=Pricing!$C$7),VLOOKUP(F1779,Pricing!$D$7:$E$8,2)*Disbursements!F1779,F1779*Pricing!$E$9))))</f>
        <v>0</v>
      </c>
      <c r="O1779" s="528">
        <f>IF(E1779="STL",0,IF($F1779&gt;0,$F1779*Pricing!$D$17,0))</f>
        <v>0</v>
      </c>
      <c r="P1779" s="530" t="str">
        <f t="shared" si="724"/>
        <v/>
      </c>
      <c r="Q1779" s="531" t="str">
        <f>IF($A1779="","",$G1779/VLOOKUP($I1779,Ref!$B$23:$D$29,2,0))</f>
        <v/>
      </c>
      <c r="R1779" s="530" t="str">
        <f t="shared" si="725"/>
        <v/>
      </c>
      <c r="S1779" s="532" t="str">
        <f t="shared" si="719"/>
        <v/>
      </c>
      <c r="T1779" s="531" t="str">
        <f t="shared" si="726"/>
        <v/>
      </c>
      <c r="U1779" s="533">
        <f t="shared" si="727"/>
        <v>0</v>
      </c>
      <c r="V1779" s="531" t="str">
        <f t="shared" si="728"/>
        <v/>
      </c>
      <c r="W1779" s="531" t="str">
        <f t="shared" si="729"/>
        <v/>
      </c>
      <c r="X1779" s="534" t="str">
        <f t="shared" si="730"/>
        <v/>
      </c>
      <c r="Y1779" s="535" t="str">
        <f>IF($A1779="","",IF($I1779="weekly",$A1779+7,EDATE($A1779,VLOOKUP($I1779,Ref!$B$24:$C$29,2,0))))</f>
        <v/>
      </c>
      <c r="Z1779" s="536" t="str">
        <f t="shared" si="731"/>
        <v/>
      </c>
      <c r="AA1779" s="531">
        <f t="shared" si="732"/>
        <v>0</v>
      </c>
      <c r="AB1779" s="535" t="str">
        <f t="shared" si="720"/>
        <v/>
      </c>
      <c r="AC1779" s="537" t="str">
        <f t="shared" si="721"/>
        <v/>
      </c>
      <c r="AD1779" s="538" t="str">
        <f t="shared" ca="1" si="722"/>
        <v/>
      </c>
      <c r="AE1779" s="537">
        <f t="shared" ca="1" si="723"/>
        <v>0</v>
      </c>
      <c r="AF1779" s="539" t="str">
        <f t="shared" ca="1" si="733"/>
        <v/>
      </c>
      <c r="AG1779" s="531" t="str">
        <f t="shared" ca="1" si="734"/>
        <v/>
      </c>
      <c r="AH1779" s="531" t="str">
        <f t="shared" ca="1" si="735"/>
        <v/>
      </c>
      <c r="AI1779" s="531" t="str">
        <f t="shared" ca="1" si="736"/>
        <v/>
      </c>
      <c r="AJ1779" s="531" t="str">
        <f t="shared" si="737"/>
        <v/>
      </c>
      <c r="AK1779" s="540">
        <f>SUMIFS('Live Collections'!$S:$S,'Live Collections'!$D:$D,Disbursements!B1779,'Live Collections'!$G:$G,Disbursements!C1779)</f>
        <v>0</v>
      </c>
      <c r="AL1779" s="540">
        <f>SUMIFS('Live Collections'!$T:$T,'Live Collections'!$D:$D,Disbursements!B1779,'Live Collections'!$G:$G,Disbursements!C1779)</f>
        <v>0</v>
      </c>
      <c r="AM1779" s="541">
        <f t="shared" si="738"/>
        <v>0</v>
      </c>
      <c r="AN1779" s="542" t="str">
        <f t="shared" si="739"/>
        <v/>
      </c>
      <c r="AO1779" s="542" t="str">
        <f t="shared" si="740"/>
        <v/>
      </c>
      <c r="AP1779" s="543" t="str">
        <f t="shared" si="741"/>
        <v/>
      </c>
      <c r="AQ1779" s="544" t="str">
        <f t="shared" si="742"/>
        <v/>
      </c>
      <c r="AR1779" s="545">
        <f t="shared" si="743"/>
        <v>0</v>
      </c>
      <c r="AS1779" s="545">
        <f>IFERROR(CEILING($AR1779*VLOOKUP($I1779,Ref!$B$23:$E$29,4,0),1),0)</f>
        <v>0</v>
      </c>
      <c r="AT1779" s="545" t="str">
        <f>IF(A1779="","",IF(AP1779&lt;=1,"Cleared",IF(AS1779=0,"Clean",VLOOKUP($AS1779,Ref!$G$23:$H$28,2))))</f>
        <v/>
      </c>
      <c r="AU1779" s="546" t="str">
        <f t="shared" si="744"/>
        <v/>
      </c>
    </row>
    <row r="1780" spans="1:47" ht="14.25" hidden="1" customHeight="1" x14ac:dyDescent="0.15">
      <c r="A1780" s="575"/>
      <c r="B1780" s="548"/>
      <c r="C1780" s="548"/>
      <c r="D1780" s="548"/>
      <c r="E1780" s="583"/>
      <c r="F1780" s="584"/>
      <c r="G1780" s="548"/>
      <c r="H1780" s="550"/>
      <c r="I1780" s="560"/>
      <c r="J1780" s="548"/>
      <c r="K1780" s="528" t="str">
        <f>IFERROR(VLOOKUP($B1780,'Clients-Live'!$A:$C,3,0),"")</f>
        <v/>
      </c>
      <c r="L1780" s="528">
        <f>IF(E1780="STL",Pricing!$D$38,IF(A1780="",0,IF(A1780&lt;Pricing!$C$25,Pricing!$D$25,VLOOKUP(Disbursements!$F1780,Pricing!$B$29:$D$32,3))))</f>
        <v>0</v>
      </c>
      <c r="M1780" s="528">
        <f>IF(E1780="STL",0,IF(F1780&gt;0,Pricing!$D$21,0))</f>
        <v>0</v>
      </c>
      <c r="N1780" s="529">
        <f>IF(E1780="STL",F1780*Pricing!$D$40,IF(A1780&lt;=Pricing!$C$4,0,IF(AND(A1780&gt;Pricing!$C$4,Disbursements!A1780&lt;=Pricing!$C$5),F1780*Pricing!$E$5,IF(AND(A1780&gt;Pricing!$C$5,Disbursements!A1780&lt;=Pricing!$C$7),VLOOKUP(F1780,Pricing!$D$7:$E$8,2)*Disbursements!F1780,F1780*Pricing!$E$9))))</f>
        <v>0</v>
      </c>
      <c r="O1780" s="528">
        <f>IF(E1780="STL",0,IF($F1780&gt;0,$F1780*Pricing!$D$17,0))</f>
        <v>0</v>
      </c>
      <c r="P1780" s="530" t="str">
        <f t="shared" si="724"/>
        <v/>
      </c>
      <c r="Q1780" s="531" t="str">
        <f>IF($A1780="","",$G1780/VLOOKUP($I1780,Ref!$B$23:$D$29,2,0))</f>
        <v/>
      </c>
      <c r="R1780" s="530" t="str">
        <f t="shared" si="725"/>
        <v/>
      </c>
      <c r="S1780" s="532" t="str">
        <f t="shared" si="719"/>
        <v/>
      </c>
      <c r="T1780" s="531" t="str">
        <f t="shared" si="726"/>
        <v/>
      </c>
      <c r="U1780" s="533">
        <f t="shared" si="727"/>
        <v>0</v>
      </c>
      <c r="V1780" s="531" t="str">
        <f t="shared" si="728"/>
        <v/>
      </c>
      <c r="W1780" s="531" t="str">
        <f t="shared" si="729"/>
        <v/>
      </c>
      <c r="X1780" s="534" t="str">
        <f t="shared" si="730"/>
        <v/>
      </c>
      <c r="Y1780" s="535" t="str">
        <f>IF($A1780="","",IF($I1780="weekly",$A1780+7,EDATE($A1780,VLOOKUP($I1780,Ref!$B$24:$C$29,2,0))))</f>
        <v/>
      </c>
      <c r="Z1780" s="536" t="str">
        <f t="shared" si="731"/>
        <v/>
      </c>
      <c r="AA1780" s="531">
        <f t="shared" si="732"/>
        <v>0</v>
      </c>
      <c r="AB1780" s="535" t="str">
        <f t="shared" si="720"/>
        <v/>
      </c>
      <c r="AC1780" s="537" t="str">
        <f t="shared" si="721"/>
        <v/>
      </c>
      <c r="AD1780" s="538" t="str">
        <f t="shared" ca="1" si="722"/>
        <v/>
      </c>
      <c r="AE1780" s="537">
        <f t="shared" ca="1" si="723"/>
        <v>0</v>
      </c>
      <c r="AF1780" s="539" t="str">
        <f t="shared" ca="1" si="733"/>
        <v/>
      </c>
      <c r="AG1780" s="531" t="str">
        <f t="shared" ca="1" si="734"/>
        <v/>
      </c>
      <c r="AH1780" s="531" t="str">
        <f t="shared" ca="1" si="735"/>
        <v/>
      </c>
      <c r="AI1780" s="531" t="str">
        <f t="shared" ca="1" si="736"/>
        <v/>
      </c>
      <c r="AJ1780" s="531" t="str">
        <f t="shared" si="737"/>
        <v/>
      </c>
      <c r="AK1780" s="540">
        <f>SUMIFS('Live Collections'!$S:$S,'Live Collections'!$D:$D,Disbursements!B1780,'Live Collections'!$G:$G,Disbursements!C1780)</f>
        <v>0</v>
      </c>
      <c r="AL1780" s="540">
        <f>SUMIFS('Live Collections'!$T:$T,'Live Collections'!$D:$D,Disbursements!B1780,'Live Collections'!$G:$G,Disbursements!C1780)</f>
        <v>0</v>
      </c>
      <c r="AM1780" s="541">
        <f t="shared" si="738"/>
        <v>0</v>
      </c>
      <c r="AN1780" s="542" t="str">
        <f t="shared" si="739"/>
        <v/>
      </c>
      <c r="AO1780" s="542" t="str">
        <f t="shared" si="740"/>
        <v/>
      </c>
      <c r="AP1780" s="543" t="str">
        <f t="shared" si="741"/>
        <v/>
      </c>
      <c r="AQ1780" s="544" t="str">
        <f t="shared" si="742"/>
        <v/>
      </c>
      <c r="AR1780" s="545">
        <f t="shared" si="743"/>
        <v>0</v>
      </c>
      <c r="AS1780" s="545">
        <f>IFERROR(CEILING($AR1780*VLOOKUP($I1780,Ref!$B$23:$E$29,4,0),1),0)</f>
        <v>0</v>
      </c>
      <c r="AT1780" s="545" t="str">
        <f>IF(A1780="","",IF(AP1780&lt;=1,"Cleared",IF(AS1780=0,"Clean",VLOOKUP($AS1780,Ref!$G$23:$H$28,2))))</f>
        <v/>
      </c>
      <c r="AU1780" s="546" t="str">
        <f t="shared" si="744"/>
        <v/>
      </c>
    </row>
    <row r="1781" spans="1:47" ht="14.25" hidden="1" customHeight="1" x14ac:dyDescent="0.15">
      <c r="A1781" s="575"/>
      <c r="B1781" s="548"/>
      <c r="C1781" s="548"/>
      <c r="D1781" s="548"/>
      <c r="E1781" s="583"/>
      <c r="F1781" s="584"/>
      <c r="G1781" s="548"/>
      <c r="H1781" s="550"/>
      <c r="I1781" s="560"/>
      <c r="J1781" s="548"/>
      <c r="K1781" s="528" t="str">
        <f>IFERROR(VLOOKUP($B1781,'Clients-Live'!$A:$C,3,0),"")</f>
        <v/>
      </c>
      <c r="L1781" s="528">
        <f>IF(E1781="STL",Pricing!$D$38,IF(A1781="",0,IF(A1781&lt;Pricing!$C$25,Pricing!$D$25,VLOOKUP(Disbursements!$F1781,Pricing!$B$29:$D$32,3))))</f>
        <v>0</v>
      </c>
      <c r="M1781" s="528">
        <f>IF(E1781="STL",0,IF(F1781&gt;0,Pricing!$D$21,0))</f>
        <v>0</v>
      </c>
      <c r="N1781" s="529">
        <f>IF(E1781="STL",F1781*Pricing!$D$40,IF(A1781&lt;=Pricing!$C$4,0,IF(AND(A1781&gt;Pricing!$C$4,Disbursements!A1781&lt;=Pricing!$C$5),F1781*Pricing!$E$5,IF(AND(A1781&gt;Pricing!$C$5,Disbursements!A1781&lt;=Pricing!$C$7),VLOOKUP(F1781,Pricing!$D$7:$E$8,2)*Disbursements!F1781,F1781*Pricing!$E$9))))</f>
        <v>0</v>
      </c>
      <c r="O1781" s="528">
        <f>IF(E1781="STL",0,IF($F1781&gt;0,$F1781*Pricing!$D$17,0))</f>
        <v>0</v>
      </c>
      <c r="P1781" s="530" t="str">
        <f t="shared" si="724"/>
        <v/>
      </c>
      <c r="Q1781" s="531" t="str">
        <f>IF($A1781="","",$G1781/VLOOKUP($I1781,Ref!$B$23:$D$29,2,0))</f>
        <v/>
      </c>
      <c r="R1781" s="530" t="str">
        <f t="shared" si="725"/>
        <v/>
      </c>
      <c r="S1781" s="532" t="str">
        <f t="shared" si="719"/>
        <v/>
      </c>
      <c r="T1781" s="531" t="str">
        <f t="shared" si="726"/>
        <v/>
      </c>
      <c r="U1781" s="533">
        <f t="shared" si="727"/>
        <v>0</v>
      </c>
      <c r="V1781" s="531" t="str">
        <f t="shared" si="728"/>
        <v/>
      </c>
      <c r="W1781" s="531" t="str">
        <f t="shared" si="729"/>
        <v/>
      </c>
      <c r="X1781" s="534" t="str">
        <f t="shared" si="730"/>
        <v/>
      </c>
      <c r="Y1781" s="535" t="str">
        <f>IF($A1781="","",IF($I1781="weekly",$A1781+7,EDATE($A1781,VLOOKUP($I1781,Ref!$B$24:$C$29,2,0))))</f>
        <v/>
      </c>
      <c r="Z1781" s="536" t="str">
        <f t="shared" si="731"/>
        <v/>
      </c>
      <c r="AA1781" s="531">
        <f t="shared" si="732"/>
        <v>0</v>
      </c>
      <c r="AB1781" s="535" t="str">
        <f t="shared" si="720"/>
        <v/>
      </c>
      <c r="AC1781" s="537" t="str">
        <f t="shared" si="721"/>
        <v/>
      </c>
      <c r="AD1781" s="538" t="str">
        <f t="shared" ca="1" si="722"/>
        <v/>
      </c>
      <c r="AE1781" s="537">
        <f t="shared" ca="1" si="723"/>
        <v>0</v>
      </c>
      <c r="AF1781" s="539" t="str">
        <f t="shared" ca="1" si="733"/>
        <v/>
      </c>
      <c r="AG1781" s="531" t="str">
        <f t="shared" ca="1" si="734"/>
        <v/>
      </c>
      <c r="AH1781" s="531" t="str">
        <f t="shared" ca="1" si="735"/>
        <v/>
      </c>
      <c r="AI1781" s="531" t="str">
        <f t="shared" ca="1" si="736"/>
        <v/>
      </c>
      <c r="AJ1781" s="531" t="str">
        <f t="shared" si="737"/>
        <v/>
      </c>
      <c r="AK1781" s="540">
        <f>SUMIFS('Live Collections'!$S:$S,'Live Collections'!$D:$D,Disbursements!B1781,'Live Collections'!$G:$G,Disbursements!C1781)</f>
        <v>0</v>
      </c>
      <c r="AL1781" s="540">
        <f>SUMIFS('Live Collections'!$T:$T,'Live Collections'!$D:$D,Disbursements!B1781,'Live Collections'!$G:$G,Disbursements!C1781)</f>
        <v>0</v>
      </c>
      <c r="AM1781" s="541">
        <f t="shared" si="738"/>
        <v>0</v>
      </c>
      <c r="AN1781" s="542" t="str">
        <f t="shared" si="739"/>
        <v/>
      </c>
      <c r="AO1781" s="542" t="str">
        <f t="shared" si="740"/>
        <v/>
      </c>
      <c r="AP1781" s="543" t="str">
        <f t="shared" si="741"/>
        <v/>
      </c>
      <c r="AQ1781" s="544" t="str">
        <f t="shared" si="742"/>
        <v/>
      </c>
      <c r="AR1781" s="545">
        <f t="shared" si="743"/>
        <v>0</v>
      </c>
      <c r="AS1781" s="545">
        <f>IFERROR(CEILING($AR1781*VLOOKUP($I1781,Ref!$B$23:$E$29,4,0),1),0)</f>
        <v>0</v>
      </c>
      <c r="AT1781" s="545" t="str">
        <f>IF(A1781="","",IF(AP1781&lt;=1,"Cleared",IF(AS1781=0,"Clean",VLOOKUP($AS1781,Ref!$G$23:$H$28,2))))</f>
        <v/>
      </c>
      <c r="AU1781" s="546" t="str">
        <f t="shared" si="744"/>
        <v/>
      </c>
    </row>
    <row r="1782" spans="1:47" ht="14.25" hidden="1" customHeight="1" x14ac:dyDescent="0.15">
      <c r="A1782" s="575"/>
      <c r="B1782" s="548"/>
      <c r="C1782" s="548"/>
      <c r="D1782" s="548"/>
      <c r="E1782" s="583"/>
      <c r="F1782" s="584"/>
      <c r="G1782" s="548"/>
      <c r="H1782" s="550"/>
      <c r="I1782" s="560"/>
      <c r="J1782" s="548"/>
      <c r="K1782" s="528" t="str">
        <f>IFERROR(VLOOKUP($B1782,'Clients-Live'!$A:$C,3,0),"")</f>
        <v/>
      </c>
      <c r="L1782" s="528">
        <f>IF(E1782="STL",Pricing!$D$38,IF(A1782="",0,IF(A1782&lt;Pricing!$C$25,Pricing!$D$25,VLOOKUP(Disbursements!$F1782,Pricing!$B$29:$D$32,3))))</f>
        <v>0</v>
      </c>
      <c r="M1782" s="528">
        <f>IF(E1782="STL",0,IF(F1782&gt;0,Pricing!$D$21,0))</f>
        <v>0</v>
      </c>
      <c r="N1782" s="529">
        <f>IF(E1782="STL",F1782*Pricing!$D$40,IF(A1782&lt;=Pricing!$C$4,0,IF(AND(A1782&gt;Pricing!$C$4,Disbursements!A1782&lt;=Pricing!$C$5),F1782*Pricing!$E$5,IF(AND(A1782&gt;Pricing!$C$5,Disbursements!A1782&lt;=Pricing!$C$7),VLOOKUP(F1782,Pricing!$D$7:$E$8,2)*Disbursements!F1782,F1782*Pricing!$E$9))))</f>
        <v>0</v>
      </c>
      <c r="O1782" s="528">
        <f>IF(E1782="STL",0,IF($F1782&gt;0,$F1782*Pricing!$D$17,0))</f>
        <v>0</v>
      </c>
      <c r="P1782" s="530" t="str">
        <f t="shared" si="724"/>
        <v/>
      </c>
      <c r="Q1782" s="531" t="str">
        <f>IF($A1782="","",$G1782/VLOOKUP($I1782,Ref!$B$23:$D$29,2,0))</f>
        <v/>
      </c>
      <c r="R1782" s="530" t="str">
        <f t="shared" si="725"/>
        <v/>
      </c>
      <c r="S1782" s="532" t="str">
        <f t="shared" si="719"/>
        <v/>
      </c>
      <c r="T1782" s="531" t="str">
        <f t="shared" si="726"/>
        <v/>
      </c>
      <c r="U1782" s="533">
        <f t="shared" si="727"/>
        <v>0</v>
      </c>
      <c r="V1782" s="531" t="str">
        <f t="shared" si="728"/>
        <v/>
      </c>
      <c r="W1782" s="531" t="str">
        <f t="shared" si="729"/>
        <v/>
      </c>
      <c r="X1782" s="534" t="str">
        <f t="shared" si="730"/>
        <v/>
      </c>
      <c r="Y1782" s="535" t="str">
        <f>IF($A1782="","",IF($I1782="weekly",$A1782+7,EDATE($A1782,VLOOKUP($I1782,Ref!$B$24:$C$29,2,0))))</f>
        <v/>
      </c>
      <c r="Z1782" s="536" t="str">
        <f t="shared" si="731"/>
        <v/>
      </c>
      <c r="AA1782" s="531">
        <f t="shared" si="732"/>
        <v>0</v>
      </c>
      <c r="AB1782" s="535" t="str">
        <f t="shared" si="720"/>
        <v/>
      </c>
      <c r="AC1782" s="537" t="str">
        <f t="shared" si="721"/>
        <v/>
      </c>
      <c r="AD1782" s="538" t="str">
        <f t="shared" ca="1" si="722"/>
        <v/>
      </c>
      <c r="AE1782" s="537">
        <f t="shared" ca="1" si="723"/>
        <v>0</v>
      </c>
      <c r="AF1782" s="539" t="str">
        <f t="shared" ca="1" si="733"/>
        <v/>
      </c>
      <c r="AG1782" s="531" t="str">
        <f t="shared" ca="1" si="734"/>
        <v/>
      </c>
      <c r="AH1782" s="531" t="str">
        <f t="shared" ca="1" si="735"/>
        <v/>
      </c>
      <c r="AI1782" s="531" t="str">
        <f t="shared" ca="1" si="736"/>
        <v/>
      </c>
      <c r="AJ1782" s="531" t="str">
        <f t="shared" si="737"/>
        <v/>
      </c>
      <c r="AK1782" s="540">
        <f>SUMIFS('Live Collections'!$S:$S,'Live Collections'!$D:$D,Disbursements!B1782,'Live Collections'!$G:$G,Disbursements!C1782)</f>
        <v>0</v>
      </c>
      <c r="AL1782" s="540">
        <f>SUMIFS('Live Collections'!$T:$T,'Live Collections'!$D:$D,Disbursements!B1782,'Live Collections'!$G:$G,Disbursements!C1782)</f>
        <v>0</v>
      </c>
      <c r="AM1782" s="541">
        <f t="shared" si="738"/>
        <v>0</v>
      </c>
      <c r="AN1782" s="542" t="str">
        <f t="shared" si="739"/>
        <v/>
      </c>
      <c r="AO1782" s="542" t="str">
        <f t="shared" si="740"/>
        <v/>
      </c>
      <c r="AP1782" s="543" t="str">
        <f t="shared" si="741"/>
        <v/>
      </c>
      <c r="AQ1782" s="544" t="str">
        <f t="shared" si="742"/>
        <v/>
      </c>
      <c r="AR1782" s="545">
        <f t="shared" si="743"/>
        <v>0</v>
      </c>
      <c r="AS1782" s="545">
        <f>IFERROR(CEILING($AR1782*VLOOKUP($I1782,Ref!$B$23:$E$29,4,0),1),0)</f>
        <v>0</v>
      </c>
      <c r="AT1782" s="545" t="str">
        <f>IF(A1782="","",IF(AP1782&lt;=1,"Cleared",IF(AS1782=0,"Clean",VLOOKUP($AS1782,Ref!$G$23:$H$28,2))))</f>
        <v/>
      </c>
      <c r="AU1782" s="546" t="str">
        <f t="shared" si="744"/>
        <v/>
      </c>
    </row>
    <row r="1783" spans="1:47" ht="14.25" hidden="1" customHeight="1" x14ac:dyDescent="0.15">
      <c r="A1783" s="575"/>
      <c r="B1783" s="548"/>
      <c r="C1783" s="548"/>
      <c r="D1783" s="548"/>
      <c r="E1783" s="583"/>
      <c r="F1783" s="584"/>
      <c r="G1783" s="548"/>
      <c r="H1783" s="550"/>
      <c r="I1783" s="560"/>
      <c r="J1783" s="548"/>
      <c r="K1783" s="528" t="str">
        <f>IFERROR(VLOOKUP($B1783,'Clients-Live'!$A:$C,3,0),"")</f>
        <v/>
      </c>
      <c r="L1783" s="528">
        <f>IF(E1783="STL",Pricing!$D$38,IF(A1783="",0,IF(A1783&lt;Pricing!$C$25,Pricing!$D$25,VLOOKUP(Disbursements!$F1783,Pricing!$B$29:$D$32,3))))</f>
        <v>0</v>
      </c>
      <c r="M1783" s="528">
        <f>IF(E1783="STL",0,IF(F1783&gt;0,Pricing!$D$21,0))</f>
        <v>0</v>
      </c>
      <c r="N1783" s="529">
        <f>IF(E1783="STL",F1783*Pricing!$D$40,IF(A1783&lt;=Pricing!$C$4,0,IF(AND(A1783&gt;Pricing!$C$4,Disbursements!A1783&lt;=Pricing!$C$5),F1783*Pricing!$E$5,IF(AND(A1783&gt;Pricing!$C$5,Disbursements!A1783&lt;=Pricing!$C$7),VLOOKUP(F1783,Pricing!$D$7:$E$8,2)*Disbursements!F1783,F1783*Pricing!$E$9))))</f>
        <v>0</v>
      </c>
      <c r="O1783" s="528">
        <f>IF(E1783="STL",0,IF($F1783&gt;0,$F1783*Pricing!$D$17,0))</f>
        <v>0</v>
      </c>
      <c r="P1783" s="530" t="str">
        <f t="shared" si="724"/>
        <v/>
      </c>
      <c r="Q1783" s="531" t="str">
        <f>IF($A1783="","",$G1783/VLOOKUP($I1783,Ref!$B$23:$D$29,2,0))</f>
        <v/>
      </c>
      <c r="R1783" s="530" t="str">
        <f t="shared" si="725"/>
        <v/>
      </c>
      <c r="S1783" s="532" t="str">
        <f t="shared" si="719"/>
        <v/>
      </c>
      <c r="T1783" s="531" t="str">
        <f t="shared" si="726"/>
        <v/>
      </c>
      <c r="U1783" s="533">
        <f t="shared" si="727"/>
        <v>0</v>
      </c>
      <c r="V1783" s="531" t="str">
        <f t="shared" si="728"/>
        <v/>
      </c>
      <c r="W1783" s="531" t="str">
        <f t="shared" si="729"/>
        <v/>
      </c>
      <c r="X1783" s="534" t="str">
        <f t="shared" si="730"/>
        <v/>
      </c>
      <c r="Y1783" s="535" t="str">
        <f>IF($A1783="","",IF($I1783="weekly",$A1783+7,EDATE($A1783,VLOOKUP($I1783,Ref!$B$24:$C$29,2,0))))</f>
        <v/>
      </c>
      <c r="Z1783" s="536" t="str">
        <f t="shared" si="731"/>
        <v/>
      </c>
      <c r="AA1783" s="531">
        <f t="shared" si="732"/>
        <v>0</v>
      </c>
      <c r="AB1783" s="535" t="str">
        <f t="shared" si="720"/>
        <v/>
      </c>
      <c r="AC1783" s="537" t="str">
        <f t="shared" si="721"/>
        <v/>
      </c>
      <c r="AD1783" s="538" t="str">
        <f t="shared" ca="1" si="722"/>
        <v/>
      </c>
      <c r="AE1783" s="537">
        <f t="shared" ca="1" si="723"/>
        <v>0</v>
      </c>
      <c r="AF1783" s="539" t="str">
        <f t="shared" ca="1" si="733"/>
        <v/>
      </c>
      <c r="AG1783" s="531" t="str">
        <f t="shared" ca="1" si="734"/>
        <v/>
      </c>
      <c r="AH1783" s="531" t="str">
        <f t="shared" ca="1" si="735"/>
        <v/>
      </c>
      <c r="AI1783" s="531" t="str">
        <f t="shared" ca="1" si="736"/>
        <v/>
      </c>
      <c r="AJ1783" s="531" t="str">
        <f t="shared" si="737"/>
        <v/>
      </c>
      <c r="AK1783" s="540">
        <f>SUMIFS('Live Collections'!$S:$S,'Live Collections'!$D:$D,Disbursements!B1783,'Live Collections'!$G:$G,Disbursements!C1783)</f>
        <v>0</v>
      </c>
      <c r="AL1783" s="540">
        <f>SUMIFS('Live Collections'!$T:$T,'Live Collections'!$D:$D,Disbursements!B1783,'Live Collections'!$G:$G,Disbursements!C1783)</f>
        <v>0</v>
      </c>
      <c r="AM1783" s="541">
        <f t="shared" si="738"/>
        <v>0</v>
      </c>
      <c r="AN1783" s="542" t="str">
        <f t="shared" si="739"/>
        <v/>
      </c>
      <c r="AO1783" s="542" t="str">
        <f t="shared" si="740"/>
        <v/>
      </c>
      <c r="AP1783" s="543" t="str">
        <f t="shared" si="741"/>
        <v/>
      </c>
      <c r="AQ1783" s="544" t="str">
        <f t="shared" si="742"/>
        <v/>
      </c>
      <c r="AR1783" s="545">
        <f t="shared" si="743"/>
        <v>0</v>
      </c>
      <c r="AS1783" s="545">
        <f>IFERROR(CEILING($AR1783*VLOOKUP($I1783,Ref!$B$23:$E$29,4,0),1),0)</f>
        <v>0</v>
      </c>
      <c r="AT1783" s="545" t="str">
        <f>IF(A1783="","",IF(AP1783&lt;=1,"Cleared",IF(AS1783=0,"Clean",VLOOKUP($AS1783,Ref!$G$23:$H$28,2))))</f>
        <v/>
      </c>
      <c r="AU1783" s="546" t="str">
        <f t="shared" si="744"/>
        <v/>
      </c>
    </row>
    <row r="1784" spans="1:47" ht="14.25" hidden="1" customHeight="1" x14ac:dyDescent="0.15">
      <c r="A1784" s="575"/>
      <c r="B1784" s="548"/>
      <c r="C1784" s="548"/>
      <c r="D1784" s="548"/>
      <c r="E1784" s="583"/>
      <c r="F1784" s="584"/>
      <c r="G1784" s="548"/>
      <c r="H1784" s="550"/>
      <c r="I1784" s="560"/>
      <c r="J1784" s="548"/>
      <c r="K1784" s="528" t="str">
        <f>IFERROR(VLOOKUP($B1784,'Clients-Live'!$A:$C,3,0),"")</f>
        <v/>
      </c>
      <c r="L1784" s="528">
        <f>IF(E1784="STL",Pricing!$D$38,IF(A1784="",0,IF(A1784&lt;Pricing!$C$25,Pricing!$D$25,VLOOKUP(Disbursements!$F1784,Pricing!$B$29:$D$32,3))))</f>
        <v>0</v>
      </c>
      <c r="M1784" s="528">
        <f>IF(E1784="STL",0,IF(F1784&gt;0,Pricing!$D$21,0))</f>
        <v>0</v>
      </c>
      <c r="N1784" s="529">
        <f>IF(E1784="STL",F1784*Pricing!$D$40,IF(A1784&lt;=Pricing!$C$4,0,IF(AND(A1784&gt;Pricing!$C$4,Disbursements!A1784&lt;=Pricing!$C$5),F1784*Pricing!$E$5,IF(AND(A1784&gt;Pricing!$C$5,Disbursements!A1784&lt;=Pricing!$C$7),VLOOKUP(F1784,Pricing!$D$7:$E$8,2)*Disbursements!F1784,F1784*Pricing!$E$9))))</f>
        <v>0</v>
      </c>
      <c r="O1784" s="528">
        <f>IF(E1784="STL",0,IF($F1784&gt;0,$F1784*Pricing!$D$17,0))</f>
        <v>0</v>
      </c>
      <c r="P1784" s="530" t="str">
        <f t="shared" si="724"/>
        <v/>
      </c>
      <c r="Q1784" s="531" t="str">
        <f>IF($A1784="","",$G1784/VLOOKUP($I1784,Ref!$B$23:$D$29,2,0))</f>
        <v/>
      </c>
      <c r="R1784" s="530" t="str">
        <f t="shared" si="725"/>
        <v/>
      </c>
      <c r="S1784" s="532" t="str">
        <f t="shared" si="719"/>
        <v/>
      </c>
      <c r="T1784" s="531" t="str">
        <f t="shared" si="726"/>
        <v/>
      </c>
      <c r="U1784" s="533">
        <f t="shared" si="727"/>
        <v>0</v>
      </c>
      <c r="V1784" s="531" t="str">
        <f t="shared" si="728"/>
        <v/>
      </c>
      <c r="W1784" s="531" t="str">
        <f t="shared" si="729"/>
        <v/>
      </c>
      <c r="X1784" s="534" t="str">
        <f t="shared" si="730"/>
        <v/>
      </c>
      <c r="Y1784" s="535" t="str">
        <f>IF($A1784="","",IF($I1784="weekly",$A1784+7,EDATE($A1784,VLOOKUP($I1784,Ref!$B$24:$C$29,2,0))))</f>
        <v/>
      </c>
      <c r="Z1784" s="536" t="str">
        <f t="shared" si="731"/>
        <v/>
      </c>
      <c r="AA1784" s="531">
        <f t="shared" si="732"/>
        <v>0</v>
      </c>
      <c r="AB1784" s="535" t="str">
        <f t="shared" si="720"/>
        <v/>
      </c>
      <c r="AC1784" s="537" t="str">
        <f t="shared" si="721"/>
        <v/>
      </c>
      <c r="AD1784" s="538" t="str">
        <f t="shared" ca="1" si="722"/>
        <v/>
      </c>
      <c r="AE1784" s="537">
        <f t="shared" ca="1" si="723"/>
        <v>0</v>
      </c>
      <c r="AF1784" s="539" t="str">
        <f t="shared" ca="1" si="733"/>
        <v/>
      </c>
      <c r="AG1784" s="531" t="str">
        <f t="shared" ca="1" si="734"/>
        <v/>
      </c>
      <c r="AH1784" s="531" t="str">
        <f t="shared" ca="1" si="735"/>
        <v/>
      </c>
      <c r="AI1784" s="531" t="str">
        <f t="shared" ca="1" si="736"/>
        <v/>
      </c>
      <c r="AJ1784" s="531" t="str">
        <f t="shared" si="737"/>
        <v/>
      </c>
      <c r="AK1784" s="540">
        <f>SUMIFS('Live Collections'!$S:$S,'Live Collections'!$D:$D,Disbursements!B1784,'Live Collections'!$G:$G,Disbursements!C1784)</f>
        <v>0</v>
      </c>
      <c r="AL1784" s="540">
        <f>SUMIFS('Live Collections'!$T:$T,'Live Collections'!$D:$D,Disbursements!B1784,'Live Collections'!$G:$G,Disbursements!C1784)</f>
        <v>0</v>
      </c>
      <c r="AM1784" s="541">
        <f t="shared" si="738"/>
        <v>0</v>
      </c>
      <c r="AN1784" s="542" t="str">
        <f t="shared" si="739"/>
        <v/>
      </c>
      <c r="AO1784" s="542" t="str">
        <f t="shared" si="740"/>
        <v/>
      </c>
      <c r="AP1784" s="543" t="str">
        <f t="shared" si="741"/>
        <v/>
      </c>
      <c r="AQ1784" s="544" t="str">
        <f t="shared" si="742"/>
        <v/>
      </c>
      <c r="AR1784" s="545">
        <f t="shared" si="743"/>
        <v>0</v>
      </c>
      <c r="AS1784" s="545">
        <f>IFERROR(CEILING($AR1784*VLOOKUP($I1784,Ref!$B$23:$E$29,4,0),1),0)</f>
        <v>0</v>
      </c>
      <c r="AT1784" s="545" t="str">
        <f>IF(A1784="","",IF(AP1784&lt;=1,"Cleared",IF(AS1784=0,"Clean",VLOOKUP($AS1784,Ref!$G$23:$H$28,2))))</f>
        <v/>
      </c>
      <c r="AU1784" s="546" t="str">
        <f t="shared" si="744"/>
        <v/>
      </c>
    </row>
    <row r="1785" spans="1:47" ht="14.25" hidden="1" customHeight="1" x14ac:dyDescent="0.15">
      <c r="A1785" s="575"/>
      <c r="B1785" s="548"/>
      <c r="C1785" s="548"/>
      <c r="D1785" s="548"/>
      <c r="E1785" s="583"/>
      <c r="F1785" s="584"/>
      <c r="G1785" s="548"/>
      <c r="H1785" s="550"/>
      <c r="I1785" s="560"/>
      <c r="J1785" s="548"/>
      <c r="K1785" s="528" t="str">
        <f>IFERROR(VLOOKUP($B1785,'Clients-Live'!$A:$C,3,0),"")</f>
        <v/>
      </c>
      <c r="L1785" s="528">
        <f>IF(E1785="STL",Pricing!$D$38,IF(A1785="",0,IF(A1785&lt;Pricing!$C$25,Pricing!$D$25,VLOOKUP(Disbursements!$F1785,Pricing!$B$29:$D$32,3))))</f>
        <v>0</v>
      </c>
      <c r="M1785" s="528">
        <f>IF(E1785="STL",0,IF(F1785&gt;0,Pricing!$D$21,0))</f>
        <v>0</v>
      </c>
      <c r="N1785" s="529">
        <f>IF(E1785="STL",F1785*Pricing!$D$40,IF(A1785&lt;=Pricing!$C$4,0,IF(AND(A1785&gt;Pricing!$C$4,Disbursements!A1785&lt;=Pricing!$C$5),F1785*Pricing!$E$5,IF(AND(A1785&gt;Pricing!$C$5,Disbursements!A1785&lt;=Pricing!$C$7),VLOOKUP(F1785,Pricing!$D$7:$E$8,2)*Disbursements!F1785,F1785*Pricing!$E$9))))</f>
        <v>0</v>
      </c>
      <c r="O1785" s="528">
        <f>IF(E1785="STL",0,IF($F1785&gt;0,$F1785*Pricing!$D$17,0))</f>
        <v>0</v>
      </c>
      <c r="P1785" s="530" t="str">
        <f t="shared" si="724"/>
        <v/>
      </c>
      <c r="Q1785" s="531" t="str">
        <f>IF($A1785="","",$G1785/VLOOKUP($I1785,Ref!$B$23:$D$29,2,0))</f>
        <v/>
      </c>
      <c r="R1785" s="530" t="str">
        <f t="shared" si="725"/>
        <v/>
      </c>
      <c r="S1785" s="532" t="str">
        <f t="shared" si="719"/>
        <v/>
      </c>
      <c r="T1785" s="531" t="str">
        <f t="shared" si="726"/>
        <v/>
      </c>
      <c r="U1785" s="533">
        <f t="shared" si="727"/>
        <v>0</v>
      </c>
      <c r="V1785" s="531" t="str">
        <f t="shared" si="728"/>
        <v/>
      </c>
      <c r="W1785" s="531" t="str">
        <f t="shared" si="729"/>
        <v/>
      </c>
      <c r="X1785" s="534" t="str">
        <f t="shared" si="730"/>
        <v/>
      </c>
      <c r="Y1785" s="535" t="str">
        <f>IF($A1785="","",IF($I1785="weekly",$A1785+7,EDATE($A1785,VLOOKUP($I1785,Ref!$B$24:$C$29,2,0))))</f>
        <v/>
      </c>
      <c r="Z1785" s="536" t="str">
        <f t="shared" si="731"/>
        <v/>
      </c>
      <c r="AA1785" s="531">
        <f t="shared" si="732"/>
        <v>0</v>
      </c>
      <c r="AB1785" s="535" t="str">
        <f t="shared" si="720"/>
        <v/>
      </c>
      <c r="AC1785" s="537" t="str">
        <f t="shared" si="721"/>
        <v/>
      </c>
      <c r="AD1785" s="538" t="str">
        <f t="shared" ca="1" si="722"/>
        <v/>
      </c>
      <c r="AE1785" s="537">
        <f t="shared" ca="1" si="723"/>
        <v>0</v>
      </c>
      <c r="AF1785" s="539" t="str">
        <f t="shared" ca="1" si="733"/>
        <v/>
      </c>
      <c r="AG1785" s="531" t="str">
        <f t="shared" ca="1" si="734"/>
        <v/>
      </c>
      <c r="AH1785" s="531" t="str">
        <f t="shared" ca="1" si="735"/>
        <v/>
      </c>
      <c r="AI1785" s="531" t="str">
        <f t="shared" ca="1" si="736"/>
        <v/>
      </c>
      <c r="AJ1785" s="531" t="str">
        <f t="shared" si="737"/>
        <v/>
      </c>
      <c r="AK1785" s="540">
        <f>SUMIFS('Live Collections'!$S:$S,'Live Collections'!$D:$D,Disbursements!B1785,'Live Collections'!$G:$G,Disbursements!C1785)</f>
        <v>0</v>
      </c>
      <c r="AL1785" s="540">
        <f>SUMIFS('Live Collections'!$T:$T,'Live Collections'!$D:$D,Disbursements!B1785,'Live Collections'!$G:$G,Disbursements!C1785)</f>
        <v>0</v>
      </c>
      <c r="AM1785" s="541">
        <f t="shared" si="738"/>
        <v>0</v>
      </c>
      <c r="AN1785" s="542" t="str">
        <f t="shared" si="739"/>
        <v/>
      </c>
      <c r="AO1785" s="542" t="str">
        <f t="shared" si="740"/>
        <v/>
      </c>
      <c r="AP1785" s="543" t="str">
        <f t="shared" si="741"/>
        <v/>
      </c>
      <c r="AQ1785" s="544" t="str">
        <f t="shared" si="742"/>
        <v/>
      </c>
      <c r="AR1785" s="545">
        <f t="shared" si="743"/>
        <v>0</v>
      </c>
      <c r="AS1785" s="545">
        <f>IFERROR(CEILING($AR1785*VLOOKUP($I1785,Ref!$B$23:$E$29,4,0),1),0)</f>
        <v>0</v>
      </c>
      <c r="AT1785" s="545" t="str">
        <f>IF(A1785="","",IF(AP1785&lt;=1,"Cleared",IF(AS1785=0,"Clean",VLOOKUP($AS1785,Ref!$G$23:$H$28,2))))</f>
        <v/>
      </c>
      <c r="AU1785" s="546" t="str">
        <f t="shared" si="744"/>
        <v/>
      </c>
    </row>
    <row r="1786" spans="1:47" ht="14.25" hidden="1" customHeight="1" x14ac:dyDescent="0.15">
      <c r="A1786" s="575"/>
      <c r="B1786" s="548"/>
      <c r="C1786" s="548"/>
      <c r="D1786" s="548"/>
      <c r="E1786" s="583"/>
      <c r="F1786" s="584"/>
      <c r="G1786" s="548"/>
      <c r="H1786" s="550"/>
      <c r="I1786" s="560"/>
      <c r="J1786" s="548"/>
      <c r="K1786" s="528" t="str">
        <f>IFERROR(VLOOKUP($B1786,'Clients-Live'!$A:$C,3,0),"")</f>
        <v/>
      </c>
      <c r="L1786" s="528">
        <f>IF(E1786="STL",Pricing!$D$38,IF(A1786="",0,IF(A1786&lt;Pricing!$C$25,Pricing!$D$25,VLOOKUP(Disbursements!$F1786,Pricing!$B$29:$D$32,3))))</f>
        <v>0</v>
      </c>
      <c r="M1786" s="528">
        <f>IF(E1786="STL",0,IF(F1786&gt;0,Pricing!$D$21,0))</f>
        <v>0</v>
      </c>
      <c r="N1786" s="529">
        <f>IF(E1786="STL",F1786*Pricing!$D$40,IF(A1786&lt;=Pricing!$C$4,0,IF(AND(A1786&gt;Pricing!$C$4,Disbursements!A1786&lt;=Pricing!$C$5),F1786*Pricing!$E$5,IF(AND(A1786&gt;Pricing!$C$5,Disbursements!A1786&lt;=Pricing!$C$7),VLOOKUP(F1786,Pricing!$D$7:$E$8,2)*Disbursements!F1786,F1786*Pricing!$E$9))))</f>
        <v>0</v>
      </c>
      <c r="O1786" s="528">
        <f>IF(E1786="STL",0,IF($F1786&gt;0,$F1786*Pricing!$D$17,0))</f>
        <v>0</v>
      </c>
      <c r="P1786" s="530" t="str">
        <f t="shared" si="724"/>
        <v/>
      </c>
      <c r="Q1786" s="531" t="str">
        <f>IF($A1786="","",$G1786/VLOOKUP($I1786,Ref!$B$23:$D$29,2,0))</f>
        <v/>
      </c>
      <c r="R1786" s="530" t="str">
        <f t="shared" si="725"/>
        <v/>
      </c>
      <c r="S1786" s="532" t="str">
        <f t="shared" si="719"/>
        <v/>
      </c>
      <c r="T1786" s="531" t="str">
        <f t="shared" si="726"/>
        <v/>
      </c>
      <c r="U1786" s="533">
        <f t="shared" si="727"/>
        <v>0</v>
      </c>
      <c r="V1786" s="531" t="str">
        <f t="shared" si="728"/>
        <v/>
      </c>
      <c r="W1786" s="531" t="str">
        <f t="shared" si="729"/>
        <v/>
      </c>
      <c r="X1786" s="534" t="str">
        <f t="shared" si="730"/>
        <v/>
      </c>
      <c r="Y1786" s="535" t="str">
        <f>IF($A1786="","",IF($I1786="weekly",$A1786+7,EDATE($A1786,VLOOKUP($I1786,Ref!$B$24:$C$29,2,0))))</f>
        <v/>
      </c>
      <c r="Z1786" s="536" t="str">
        <f t="shared" si="731"/>
        <v/>
      </c>
      <c r="AA1786" s="531">
        <f t="shared" si="732"/>
        <v>0</v>
      </c>
      <c r="AB1786" s="535" t="str">
        <f t="shared" si="720"/>
        <v/>
      </c>
      <c r="AC1786" s="537" t="str">
        <f t="shared" si="721"/>
        <v/>
      </c>
      <c r="AD1786" s="538" t="str">
        <f t="shared" ca="1" si="722"/>
        <v/>
      </c>
      <c r="AE1786" s="537">
        <f t="shared" ca="1" si="723"/>
        <v>0</v>
      </c>
      <c r="AF1786" s="539" t="str">
        <f t="shared" ca="1" si="733"/>
        <v/>
      </c>
      <c r="AG1786" s="531" t="str">
        <f t="shared" ca="1" si="734"/>
        <v/>
      </c>
      <c r="AH1786" s="531" t="str">
        <f t="shared" ca="1" si="735"/>
        <v/>
      </c>
      <c r="AI1786" s="531" t="str">
        <f t="shared" ca="1" si="736"/>
        <v/>
      </c>
      <c r="AJ1786" s="531" t="str">
        <f t="shared" si="737"/>
        <v/>
      </c>
      <c r="AK1786" s="540">
        <f>SUMIFS('Live Collections'!$S:$S,'Live Collections'!$D:$D,Disbursements!B1786,'Live Collections'!$G:$G,Disbursements!C1786)</f>
        <v>0</v>
      </c>
      <c r="AL1786" s="540">
        <f>SUMIFS('Live Collections'!$T:$T,'Live Collections'!$D:$D,Disbursements!B1786,'Live Collections'!$G:$G,Disbursements!C1786)</f>
        <v>0</v>
      </c>
      <c r="AM1786" s="541">
        <f t="shared" si="738"/>
        <v>0</v>
      </c>
      <c r="AN1786" s="542" t="str">
        <f t="shared" si="739"/>
        <v/>
      </c>
      <c r="AO1786" s="542" t="str">
        <f t="shared" si="740"/>
        <v/>
      </c>
      <c r="AP1786" s="543" t="str">
        <f t="shared" si="741"/>
        <v/>
      </c>
      <c r="AQ1786" s="544" t="str">
        <f t="shared" si="742"/>
        <v/>
      </c>
      <c r="AR1786" s="545">
        <f t="shared" si="743"/>
        <v>0</v>
      </c>
      <c r="AS1786" s="545">
        <f>IFERROR(CEILING($AR1786*VLOOKUP($I1786,Ref!$B$23:$E$29,4,0),1),0)</f>
        <v>0</v>
      </c>
      <c r="AT1786" s="545" t="str">
        <f>IF(A1786="","",IF(AP1786&lt;=1,"Cleared",IF(AS1786=0,"Clean",VLOOKUP($AS1786,Ref!$G$23:$H$28,2))))</f>
        <v/>
      </c>
      <c r="AU1786" s="546" t="str">
        <f t="shared" si="744"/>
        <v/>
      </c>
    </row>
    <row r="1787" spans="1:47" ht="14.25" hidden="1" customHeight="1" x14ac:dyDescent="0.15">
      <c r="A1787" s="575"/>
      <c r="B1787" s="548"/>
      <c r="C1787" s="548"/>
      <c r="D1787" s="548"/>
      <c r="E1787" s="583"/>
      <c r="F1787" s="584"/>
      <c r="G1787" s="548"/>
      <c r="H1787" s="550"/>
      <c r="I1787" s="560"/>
      <c r="J1787" s="548"/>
      <c r="K1787" s="528" t="str">
        <f>IFERROR(VLOOKUP($B1787,'Clients-Live'!$A:$C,3,0),"")</f>
        <v/>
      </c>
      <c r="L1787" s="528">
        <f>IF(E1787="STL",Pricing!$D$38,IF(A1787="",0,IF(A1787&lt;Pricing!$C$25,Pricing!$D$25,VLOOKUP(Disbursements!$F1787,Pricing!$B$29:$D$32,3))))</f>
        <v>0</v>
      </c>
      <c r="M1787" s="528">
        <f>IF(E1787="STL",0,IF(F1787&gt;0,Pricing!$D$21,0))</f>
        <v>0</v>
      </c>
      <c r="N1787" s="529">
        <f>IF(E1787="STL",F1787*Pricing!$D$40,IF(A1787&lt;=Pricing!$C$4,0,IF(AND(A1787&gt;Pricing!$C$4,Disbursements!A1787&lt;=Pricing!$C$5),F1787*Pricing!$E$5,IF(AND(A1787&gt;Pricing!$C$5,Disbursements!A1787&lt;=Pricing!$C$7),VLOOKUP(F1787,Pricing!$D$7:$E$8,2)*Disbursements!F1787,F1787*Pricing!$E$9))))</f>
        <v>0</v>
      </c>
      <c r="O1787" s="528">
        <f>IF(E1787="STL",0,IF($F1787&gt;0,$F1787*Pricing!$D$17,0))</f>
        <v>0</v>
      </c>
      <c r="P1787" s="530" t="str">
        <f t="shared" si="724"/>
        <v/>
      </c>
      <c r="Q1787" s="531" t="str">
        <f>IF($A1787="","",$G1787/VLOOKUP($I1787,Ref!$B$23:$D$29,2,0))</f>
        <v/>
      </c>
      <c r="R1787" s="530" t="str">
        <f t="shared" si="725"/>
        <v/>
      </c>
      <c r="S1787" s="532" t="str">
        <f t="shared" si="719"/>
        <v/>
      </c>
      <c r="T1787" s="531" t="str">
        <f t="shared" si="726"/>
        <v/>
      </c>
      <c r="U1787" s="533">
        <f t="shared" si="727"/>
        <v>0</v>
      </c>
      <c r="V1787" s="531" t="str">
        <f t="shared" si="728"/>
        <v/>
      </c>
      <c r="W1787" s="531" t="str">
        <f t="shared" si="729"/>
        <v/>
      </c>
      <c r="X1787" s="534" t="str">
        <f t="shared" si="730"/>
        <v/>
      </c>
      <c r="Y1787" s="535" t="str">
        <f>IF($A1787="","",IF($I1787="weekly",$A1787+7,EDATE($A1787,VLOOKUP($I1787,Ref!$B$24:$C$29,2,0))))</f>
        <v/>
      </c>
      <c r="Z1787" s="536" t="str">
        <f t="shared" si="731"/>
        <v/>
      </c>
      <c r="AA1787" s="531">
        <f t="shared" si="732"/>
        <v>0</v>
      </c>
      <c r="AB1787" s="535" t="str">
        <f t="shared" si="720"/>
        <v/>
      </c>
      <c r="AC1787" s="537" t="str">
        <f t="shared" si="721"/>
        <v/>
      </c>
      <c r="AD1787" s="538" t="str">
        <f t="shared" ca="1" si="722"/>
        <v/>
      </c>
      <c r="AE1787" s="537">
        <f t="shared" ca="1" si="723"/>
        <v>0</v>
      </c>
      <c r="AF1787" s="539" t="str">
        <f t="shared" ca="1" si="733"/>
        <v/>
      </c>
      <c r="AG1787" s="531" t="str">
        <f t="shared" ca="1" si="734"/>
        <v/>
      </c>
      <c r="AH1787" s="531" t="str">
        <f t="shared" ca="1" si="735"/>
        <v/>
      </c>
      <c r="AI1787" s="531" t="str">
        <f t="shared" ca="1" si="736"/>
        <v/>
      </c>
      <c r="AJ1787" s="531" t="str">
        <f t="shared" si="737"/>
        <v/>
      </c>
      <c r="AK1787" s="540">
        <f>SUMIFS('Live Collections'!$S:$S,'Live Collections'!$D:$D,Disbursements!B1787,'Live Collections'!$G:$G,Disbursements!C1787)</f>
        <v>0</v>
      </c>
      <c r="AL1787" s="540">
        <f>SUMIFS('Live Collections'!$T:$T,'Live Collections'!$D:$D,Disbursements!B1787,'Live Collections'!$G:$G,Disbursements!C1787)</f>
        <v>0</v>
      </c>
      <c r="AM1787" s="541">
        <f t="shared" si="738"/>
        <v>0</v>
      </c>
      <c r="AN1787" s="542" t="str">
        <f t="shared" si="739"/>
        <v/>
      </c>
      <c r="AO1787" s="542" t="str">
        <f t="shared" si="740"/>
        <v/>
      </c>
      <c r="AP1787" s="543" t="str">
        <f t="shared" si="741"/>
        <v/>
      </c>
      <c r="AQ1787" s="544" t="str">
        <f t="shared" si="742"/>
        <v/>
      </c>
      <c r="AR1787" s="545">
        <f t="shared" si="743"/>
        <v>0</v>
      </c>
      <c r="AS1787" s="545">
        <f>IFERROR(CEILING($AR1787*VLOOKUP($I1787,Ref!$B$23:$E$29,4,0),1),0)</f>
        <v>0</v>
      </c>
      <c r="AT1787" s="545" t="str">
        <f>IF(A1787="","",IF(AP1787&lt;=1,"Cleared",IF(AS1787=0,"Clean",VLOOKUP($AS1787,Ref!$G$23:$H$28,2))))</f>
        <v/>
      </c>
      <c r="AU1787" s="546" t="str">
        <f t="shared" si="744"/>
        <v/>
      </c>
    </row>
    <row r="1788" spans="1:47" ht="14.25" hidden="1" customHeight="1" x14ac:dyDescent="0.15">
      <c r="A1788" s="575"/>
      <c r="B1788" s="548"/>
      <c r="C1788" s="548"/>
      <c r="D1788" s="548"/>
      <c r="E1788" s="583"/>
      <c r="F1788" s="584"/>
      <c r="G1788" s="548"/>
      <c r="H1788" s="550"/>
      <c r="I1788" s="560"/>
      <c r="J1788" s="548"/>
      <c r="K1788" s="528" t="str">
        <f>IFERROR(VLOOKUP($B1788,'Clients-Live'!$A:$C,3,0),"")</f>
        <v/>
      </c>
      <c r="L1788" s="528">
        <f>IF(E1788="STL",Pricing!$D$38,IF(A1788="",0,IF(A1788&lt;Pricing!$C$25,Pricing!$D$25,VLOOKUP(Disbursements!$F1788,Pricing!$B$29:$D$32,3))))</f>
        <v>0</v>
      </c>
      <c r="M1788" s="528">
        <f>IF(E1788="STL",0,IF(F1788&gt;0,Pricing!$D$21,0))</f>
        <v>0</v>
      </c>
      <c r="N1788" s="529">
        <f>IF(E1788="STL",F1788*Pricing!$D$40,IF(A1788&lt;=Pricing!$C$4,0,IF(AND(A1788&gt;Pricing!$C$4,Disbursements!A1788&lt;=Pricing!$C$5),F1788*Pricing!$E$5,IF(AND(A1788&gt;Pricing!$C$5,Disbursements!A1788&lt;=Pricing!$C$7),VLOOKUP(F1788,Pricing!$D$7:$E$8,2)*Disbursements!F1788,F1788*Pricing!$E$9))))</f>
        <v>0</v>
      </c>
      <c r="O1788" s="528">
        <f>IF(E1788="STL",0,IF($F1788&gt;0,$F1788*Pricing!$D$17,0))</f>
        <v>0</v>
      </c>
      <c r="P1788" s="530" t="str">
        <f t="shared" si="724"/>
        <v/>
      </c>
      <c r="Q1788" s="531" t="str">
        <f>IF($A1788="","",$G1788/VLOOKUP($I1788,Ref!$B$23:$D$29,2,0))</f>
        <v/>
      </c>
      <c r="R1788" s="530" t="str">
        <f t="shared" si="725"/>
        <v/>
      </c>
      <c r="S1788" s="532" t="str">
        <f t="shared" si="719"/>
        <v/>
      </c>
      <c r="T1788" s="531" t="str">
        <f t="shared" si="726"/>
        <v/>
      </c>
      <c r="U1788" s="533">
        <f t="shared" si="727"/>
        <v>0</v>
      </c>
      <c r="V1788" s="531" t="str">
        <f t="shared" si="728"/>
        <v/>
      </c>
      <c r="W1788" s="531" t="str">
        <f t="shared" si="729"/>
        <v/>
      </c>
      <c r="X1788" s="534" t="str">
        <f t="shared" si="730"/>
        <v/>
      </c>
      <c r="Y1788" s="535" t="str">
        <f>IF($A1788="","",IF($I1788="weekly",$A1788+7,EDATE($A1788,VLOOKUP($I1788,Ref!$B$24:$C$29,2,0))))</f>
        <v/>
      </c>
      <c r="Z1788" s="536" t="str">
        <f t="shared" si="731"/>
        <v/>
      </c>
      <c r="AA1788" s="531">
        <f t="shared" si="732"/>
        <v>0</v>
      </c>
      <c r="AB1788" s="535" t="str">
        <f t="shared" si="720"/>
        <v/>
      </c>
      <c r="AC1788" s="537" t="str">
        <f t="shared" si="721"/>
        <v/>
      </c>
      <c r="AD1788" s="538" t="str">
        <f t="shared" ca="1" si="722"/>
        <v/>
      </c>
      <c r="AE1788" s="537">
        <f t="shared" ca="1" si="723"/>
        <v>0</v>
      </c>
      <c r="AF1788" s="539" t="str">
        <f t="shared" ca="1" si="733"/>
        <v/>
      </c>
      <c r="AG1788" s="531" t="str">
        <f t="shared" ca="1" si="734"/>
        <v/>
      </c>
      <c r="AH1788" s="531" t="str">
        <f t="shared" ca="1" si="735"/>
        <v/>
      </c>
      <c r="AI1788" s="531" t="str">
        <f t="shared" ca="1" si="736"/>
        <v/>
      </c>
      <c r="AJ1788" s="531" t="str">
        <f t="shared" si="737"/>
        <v/>
      </c>
      <c r="AK1788" s="540">
        <f>SUMIFS('Live Collections'!$S:$S,'Live Collections'!$D:$D,Disbursements!B1788,'Live Collections'!$G:$G,Disbursements!C1788)</f>
        <v>0</v>
      </c>
      <c r="AL1788" s="540">
        <f>SUMIFS('Live Collections'!$T:$T,'Live Collections'!$D:$D,Disbursements!B1788,'Live Collections'!$G:$G,Disbursements!C1788)</f>
        <v>0</v>
      </c>
      <c r="AM1788" s="541">
        <f t="shared" si="738"/>
        <v>0</v>
      </c>
      <c r="AN1788" s="542" t="str">
        <f t="shared" si="739"/>
        <v/>
      </c>
      <c r="AO1788" s="542" t="str">
        <f t="shared" si="740"/>
        <v/>
      </c>
      <c r="AP1788" s="543" t="str">
        <f t="shared" si="741"/>
        <v/>
      </c>
      <c r="AQ1788" s="544" t="str">
        <f t="shared" si="742"/>
        <v/>
      </c>
      <c r="AR1788" s="545">
        <f t="shared" si="743"/>
        <v>0</v>
      </c>
      <c r="AS1788" s="545">
        <f>IFERROR(CEILING($AR1788*VLOOKUP($I1788,Ref!$B$23:$E$29,4,0),1),0)</f>
        <v>0</v>
      </c>
      <c r="AT1788" s="545" t="str">
        <f>IF(A1788="","",IF(AP1788&lt;=1,"Cleared",IF(AS1788=0,"Clean",VLOOKUP($AS1788,Ref!$G$23:$H$28,2))))</f>
        <v/>
      </c>
      <c r="AU1788" s="546" t="str">
        <f t="shared" si="744"/>
        <v/>
      </c>
    </row>
    <row r="1789" spans="1:47" ht="14.25" hidden="1" customHeight="1" x14ac:dyDescent="0.15">
      <c r="A1789" s="575"/>
      <c r="B1789" s="548"/>
      <c r="C1789" s="548"/>
      <c r="D1789" s="548"/>
      <c r="E1789" s="583"/>
      <c r="F1789" s="584"/>
      <c r="G1789" s="548"/>
      <c r="H1789" s="550"/>
      <c r="I1789" s="560"/>
      <c r="J1789" s="548"/>
      <c r="K1789" s="528" t="str">
        <f>IFERROR(VLOOKUP($B1789,'Clients-Live'!$A:$C,3,0),"")</f>
        <v/>
      </c>
      <c r="L1789" s="528">
        <f>IF(E1789="STL",Pricing!$D$38,IF(A1789="",0,IF(A1789&lt;Pricing!$C$25,Pricing!$D$25,VLOOKUP(Disbursements!$F1789,Pricing!$B$29:$D$32,3))))</f>
        <v>0</v>
      </c>
      <c r="M1789" s="528">
        <f>IF(E1789="STL",0,IF(F1789&gt;0,Pricing!$D$21,0))</f>
        <v>0</v>
      </c>
      <c r="N1789" s="529">
        <f>IF(E1789="STL",F1789*Pricing!$D$40,IF(A1789&lt;=Pricing!$C$4,0,IF(AND(A1789&gt;Pricing!$C$4,Disbursements!A1789&lt;=Pricing!$C$5),F1789*Pricing!$E$5,IF(AND(A1789&gt;Pricing!$C$5,Disbursements!A1789&lt;=Pricing!$C$7),VLOOKUP(F1789,Pricing!$D$7:$E$8,2)*Disbursements!F1789,F1789*Pricing!$E$9))))</f>
        <v>0</v>
      </c>
      <c r="O1789" s="528">
        <f>IF(E1789="STL",0,IF($F1789&gt;0,$F1789*Pricing!$D$17,0))</f>
        <v>0</v>
      </c>
      <c r="P1789" s="530" t="str">
        <f t="shared" si="724"/>
        <v/>
      </c>
      <c r="Q1789" s="531" t="str">
        <f>IF($A1789="","",$G1789/VLOOKUP($I1789,Ref!$B$23:$D$29,2,0))</f>
        <v/>
      </c>
      <c r="R1789" s="530" t="str">
        <f t="shared" si="725"/>
        <v/>
      </c>
      <c r="S1789" s="532" t="str">
        <f t="shared" si="719"/>
        <v/>
      </c>
      <c r="T1789" s="531" t="str">
        <f t="shared" si="726"/>
        <v/>
      </c>
      <c r="U1789" s="533">
        <f t="shared" si="727"/>
        <v>0</v>
      </c>
      <c r="V1789" s="531" t="str">
        <f t="shared" si="728"/>
        <v/>
      </c>
      <c r="W1789" s="531" t="str">
        <f t="shared" si="729"/>
        <v/>
      </c>
      <c r="X1789" s="534" t="str">
        <f t="shared" si="730"/>
        <v/>
      </c>
      <c r="Y1789" s="535" t="str">
        <f>IF($A1789="","",IF($I1789="weekly",$A1789+7,EDATE($A1789,VLOOKUP($I1789,Ref!$B$24:$C$29,2,0))))</f>
        <v/>
      </c>
      <c r="Z1789" s="536" t="str">
        <f t="shared" si="731"/>
        <v/>
      </c>
      <c r="AA1789" s="531">
        <f t="shared" si="732"/>
        <v>0</v>
      </c>
      <c r="AB1789" s="535" t="str">
        <f t="shared" si="720"/>
        <v/>
      </c>
      <c r="AC1789" s="537" t="str">
        <f t="shared" si="721"/>
        <v/>
      </c>
      <c r="AD1789" s="538" t="str">
        <f t="shared" ca="1" si="722"/>
        <v/>
      </c>
      <c r="AE1789" s="537">
        <f t="shared" ca="1" si="723"/>
        <v>0</v>
      </c>
      <c r="AF1789" s="539" t="str">
        <f t="shared" ca="1" si="733"/>
        <v/>
      </c>
      <c r="AG1789" s="531" t="str">
        <f t="shared" ca="1" si="734"/>
        <v/>
      </c>
      <c r="AH1789" s="531" t="str">
        <f t="shared" ca="1" si="735"/>
        <v/>
      </c>
      <c r="AI1789" s="531" t="str">
        <f t="shared" ca="1" si="736"/>
        <v/>
      </c>
      <c r="AJ1789" s="531" t="str">
        <f t="shared" si="737"/>
        <v/>
      </c>
      <c r="AK1789" s="540">
        <f>SUMIFS('Live Collections'!$S:$S,'Live Collections'!$D:$D,Disbursements!B1789,'Live Collections'!$G:$G,Disbursements!C1789)</f>
        <v>0</v>
      </c>
      <c r="AL1789" s="540">
        <f>SUMIFS('Live Collections'!$T:$T,'Live Collections'!$D:$D,Disbursements!B1789,'Live Collections'!$G:$G,Disbursements!C1789)</f>
        <v>0</v>
      </c>
      <c r="AM1789" s="541">
        <f t="shared" si="738"/>
        <v>0</v>
      </c>
      <c r="AN1789" s="542" t="str">
        <f t="shared" si="739"/>
        <v/>
      </c>
      <c r="AO1789" s="542" t="str">
        <f t="shared" si="740"/>
        <v/>
      </c>
      <c r="AP1789" s="543" t="str">
        <f t="shared" si="741"/>
        <v/>
      </c>
      <c r="AQ1789" s="544" t="str">
        <f t="shared" si="742"/>
        <v/>
      </c>
      <c r="AR1789" s="545">
        <f t="shared" si="743"/>
        <v>0</v>
      </c>
      <c r="AS1789" s="545">
        <f>IFERROR(CEILING($AR1789*VLOOKUP($I1789,Ref!$B$23:$E$29,4,0),1),0)</f>
        <v>0</v>
      </c>
      <c r="AT1789" s="545" t="str">
        <f>IF(A1789="","",IF(AP1789&lt;=1,"Cleared",IF(AS1789=0,"Clean",VLOOKUP($AS1789,Ref!$G$23:$H$28,2))))</f>
        <v/>
      </c>
      <c r="AU1789" s="546" t="str">
        <f t="shared" si="744"/>
        <v/>
      </c>
    </row>
    <row r="1790" spans="1:47" ht="14.25" hidden="1" customHeight="1" x14ac:dyDescent="0.15">
      <c r="A1790" s="575"/>
      <c r="B1790" s="548"/>
      <c r="C1790" s="548"/>
      <c r="D1790" s="548"/>
      <c r="E1790" s="583"/>
      <c r="F1790" s="584"/>
      <c r="G1790" s="548"/>
      <c r="H1790" s="550"/>
      <c r="I1790" s="560"/>
      <c r="J1790" s="548"/>
      <c r="K1790" s="528" t="str">
        <f>IFERROR(VLOOKUP($B1790,'Clients-Live'!$A:$C,3,0),"")</f>
        <v/>
      </c>
      <c r="L1790" s="528">
        <f>IF(E1790="STL",Pricing!$D$38,IF(A1790="",0,IF(A1790&lt;Pricing!$C$25,Pricing!$D$25,VLOOKUP(Disbursements!$F1790,Pricing!$B$29:$D$32,3))))</f>
        <v>0</v>
      </c>
      <c r="M1790" s="528">
        <f>IF(E1790="STL",0,IF(F1790&gt;0,Pricing!$D$21,0))</f>
        <v>0</v>
      </c>
      <c r="N1790" s="529">
        <f>IF(E1790="STL",F1790*Pricing!$D$40,IF(A1790&lt;=Pricing!$C$4,0,IF(AND(A1790&gt;Pricing!$C$4,Disbursements!A1790&lt;=Pricing!$C$5),F1790*Pricing!$E$5,IF(AND(A1790&gt;Pricing!$C$5,Disbursements!A1790&lt;=Pricing!$C$7),VLOOKUP(F1790,Pricing!$D$7:$E$8,2)*Disbursements!F1790,F1790*Pricing!$E$9))))</f>
        <v>0</v>
      </c>
      <c r="O1790" s="528">
        <f>IF(E1790="STL",0,IF($F1790&gt;0,$F1790*Pricing!$D$17,0))</f>
        <v>0</v>
      </c>
      <c r="P1790" s="530" t="str">
        <f t="shared" si="724"/>
        <v/>
      </c>
      <c r="Q1790" s="531" t="str">
        <f>IF($A1790="","",$G1790/VLOOKUP($I1790,Ref!$B$23:$D$29,2,0))</f>
        <v/>
      </c>
      <c r="R1790" s="530" t="str">
        <f t="shared" si="725"/>
        <v/>
      </c>
      <c r="S1790" s="532" t="str">
        <f t="shared" si="719"/>
        <v/>
      </c>
      <c r="T1790" s="531" t="str">
        <f t="shared" si="726"/>
        <v/>
      </c>
      <c r="U1790" s="533">
        <f t="shared" si="727"/>
        <v>0</v>
      </c>
      <c r="V1790" s="531" t="str">
        <f t="shared" si="728"/>
        <v/>
      </c>
      <c r="W1790" s="531" t="str">
        <f t="shared" si="729"/>
        <v/>
      </c>
      <c r="X1790" s="534" t="str">
        <f t="shared" si="730"/>
        <v/>
      </c>
      <c r="Y1790" s="535" t="str">
        <f>IF($A1790="","",IF($I1790="weekly",$A1790+7,EDATE($A1790,VLOOKUP($I1790,Ref!$B$24:$C$29,2,0))))</f>
        <v/>
      </c>
      <c r="Z1790" s="536" t="str">
        <f t="shared" si="731"/>
        <v/>
      </c>
      <c r="AA1790" s="531">
        <f t="shared" si="732"/>
        <v>0</v>
      </c>
      <c r="AB1790" s="535" t="str">
        <f t="shared" si="720"/>
        <v/>
      </c>
      <c r="AC1790" s="537" t="str">
        <f t="shared" si="721"/>
        <v/>
      </c>
      <c r="AD1790" s="538" t="str">
        <f t="shared" ca="1" si="722"/>
        <v/>
      </c>
      <c r="AE1790" s="537">
        <f t="shared" ca="1" si="723"/>
        <v>0</v>
      </c>
      <c r="AF1790" s="539" t="str">
        <f t="shared" ca="1" si="733"/>
        <v/>
      </c>
      <c r="AG1790" s="531" t="str">
        <f t="shared" ca="1" si="734"/>
        <v/>
      </c>
      <c r="AH1790" s="531" t="str">
        <f t="shared" ca="1" si="735"/>
        <v/>
      </c>
      <c r="AI1790" s="531" t="str">
        <f t="shared" ca="1" si="736"/>
        <v/>
      </c>
      <c r="AJ1790" s="531" t="str">
        <f t="shared" si="737"/>
        <v/>
      </c>
      <c r="AK1790" s="540">
        <f>SUMIFS('Live Collections'!$S:$S,'Live Collections'!$D:$D,Disbursements!B1790,'Live Collections'!$G:$G,Disbursements!C1790)</f>
        <v>0</v>
      </c>
      <c r="AL1790" s="540">
        <f>SUMIFS('Live Collections'!$T:$T,'Live Collections'!$D:$D,Disbursements!B1790,'Live Collections'!$G:$G,Disbursements!C1790)</f>
        <v>0</v>
      </c>
      <c r="AM1790" s="541">
        <f t="shared" si="738"/>
        <v>0</v>
      </c>
      <c r="AN1790" s="542" t="str">
        <f t="shared" si="739"/>
        <v/>
      </c>
      <c r="AO1790" s="542" t="str">
        <f t="shared" si="740"/>
        <v/>
      </c>
      <c r="AP1790" s="543" t="str">
        <f t="shared" si="741"/>
        <v/>
      </c>
      <c r="AQ1790" s="544" t="str">
        <f t="shared" si="742"/>
        <v/>
      </c>
      <c r="AR1790" s="545">
        <f t="shared" si="743"/>
        <v>0</v>
      </c>
      <c r="AS1790" s="545">
        <f>IFERROR(CEILING($AR1790*VLOOKUP($I1790,Ref!$B$23:$E$29,4,0),1),0)</f>
        <v>0</v>
      </c>
      <c r="AT1790" s="545" t="str">
        <f>IF(A1790="","",IF(AP1790&lt;=1,"Cleared",IF(AS1790=0,"Clean",VLOOKUP($AS1790,Ref!$G$23:$H$28,2))))</f>
        <v/>
      </c>
      <c r="AU1790" s="546" t="str">
        <f t="shared" si="744"/>
        <v/>
      </c>
    </row>
    <row r="1791" spans="1:47" ht="14.25" hidden="1" customHeight="1" x14ac:dyDescent="0.15">
      <c r="A1791" s="575"/>
      <c r="B1791" s="548"/>
      <c r="C1791" s="548"/>
      <c r="D1791" s="548"/>
      <c r="E1791" s="583"/>
      <c r="F1791" s="584"/>
      <c r="G1791" s="548"/>
      <c r="H1791" s="550"/>
      <c r="I1791" s="560"/>
      <c r="J1791" s="548"/>
      <c r="K1791" s="528" t="str">
        <f>IFERROR(VLOOKUP($B1791,'Clients-Live'!$A:$C,3,0),"")</f>
        <v/>
      </c>
      <c r="L1791" s="528">
        <f>IF(E1791="STL",Pricing!$D$38,IF(A1791="",0,IF(A1791&lt;Pricing!$C$25,Pricing!$D$25,VLOOKUP(Disbursements!$F1791,Pricing!$B$29:$D$32,3))))</f>
        <v>0</v>
      </c>
      <c r="M1791" s="528">
        <f>IF(E1791="STL",0,IF(F1791&gt;0,Pricing!$D$21,0))</f>
        <v>0</v>
      </c>
      <c r="N1791" s="529">
        <f>IF(E1791="STL",F1791*Pricing!$D$40,IF(A1791&lt;=Pricing!$C$4,0,IF(AND(A1791&gt;Pricing!$C$4,Disbursements!A1791&lt;=Pricing!$C$5),F1791*Pricing!$E$5,IF(AND(A1791&gt;Pricing!$C$5,Disbursements!A1791&lt;=Pricing!$C$7),VLOOKUP(F1791,Pricing!$D$7:$E$8,2)*Disbursements!F1791,F1791*Pricing!$E$9))))</f>
        <v>0</v>
      </c>
      <c r="O1791" s="528">
        <f>IF(E1791="STL",0,IF($F1791&gt;0,$F1791*Pricing!$D$17,0))</f>
        <v>0</v>
      </c>
      <c r="P1791" s="530" t="str">
        <f t="shared" si="724"/>
        <v/>
      </c>
      <c r="Q1791" s="531" t="str">
        <f>IF($A1791="","",$G1791/VLOOKUP($I1791,Ref!$B$23:$D$29,2,0))</f>
        <v/>
      </c>
      <c r="R1791" s="530" t="str">
        <f t="shared" si="725"/>
        <v/>
      </c>
      <c r="S1791" s="532" t="str">
        <f t="shared" si="719"/>
        <v/>
      </c>
      <c r="T1791" s="531" t="str">
        <f t="shared" si="726"/>
        <v/>
      </c>
      <c r="U1791" s="533">
        <f t="shared" si="727"/>
        <v>0</v>
      </c>
      <c r="V1791" s="531" t="str">
        <f t="shared" si="728"/>
        <v/>
      </c>
      <c r="W1791" s="531" t="str">
        <f t="shared" si="729"/>
        <v/>
      </c>
      <c r="X1791" s="534" t="str">
        <f t="shared" si="730"/>
        <v/>
      </c>
      <c r="Y1791" s="535" t="str">
        <f>IF($A1791="","",IF($I1791="weekly",$A1791+7,EDATE($A1791,VLOOKUP($I1791,Ref!$B$24:$C$29,2,0))))</f>
        <v/>
      </c>
      <c r="Z1791" s="536" t="str">
        <f t="shared" si="731"/>
        <v/>
      </c>
      <c r="AA1791" s="531">
        <f t="shared" si="732"/>
        <v>0</v>
      </c>
      <c r="AB1791" s="535" t="str">
        <f t="shared" si="720"/>
        <v/>
      </c>
      <c r="AC1791" s="537" t="str">
        <f t="shared" si="721"/>
        <v/>
      </c>
      <c r="AD1791" s="538" t="str">
        <f t="shared" ca="1" si="722"/>
        <v/>
      </c>
      <c r="AE1791" s="537">
        <f t="shared" ca="1" si="723"/>
        <v>0</v>
      </c>
      <c r="AF1791" s="539" t="str">
        <f t="shared" ca="1" si="733"/>
        <v/>
      </c>
      <c r="AG1791" s="531" t="str">
        <f t="shared" ca="1" si="734"/>
        <v/>
      </c>
      <c r="AH1791" s="531" t="str">
        <f t="shared" ca="1" si="735"/>
        <v/>
      </c>
      <c r="AI1791" s="531" t="str">
        <f t="shared" ca="1" si="736"/>
        <v/>
      </c>
      <c r="AJ1791" s="531" t="str">
        <f t="shared" si="737"/>
        <v/>
      </c>
      <c r="AK1791" s="540">
        <f>SUMIFS('Live Collections'!$S:$S,'Live Collections'!$D:$D,Disbursements!B1791,'Live Collections'!$G:$G,Disbursements!C1791)</f>
        <v>0</v>
      </c>
      <c r="AL1791" s="540">
        <f>SUMIFS('Live Collections'!$T:$T,'Live Collections'!$D:$D,Disbursements!B1791,'Live Collections'!$G:$G,Disbursements!C1791)</f>
        <v>0</v>
      </c>
      <c r="AM1791" s="541">
        <f t="shared" si="738"/>
        <v>0</v>
      </c>
      <c r="AN1791" s="542" t="str">
        <f t="shared" si="739"/>
        <v/>
      </c>
      <c r="AO1791" s="542" t="str">
        <f t="shared" si="740"/>
        <v/>
      </c>
      <c r="AP1791" s="543" t="str">
        <f t="shared" si="741"/>
        <v/>
      </c>
      <c r="AQ1791" s="544" t="str">
        <f t="shared" si="742"/>
        <v/>
      </c>
      <c r="AR1791" s="545">
        <f t="shared" si="743"/>
        <v>0</v>
      </c>
      <c r="AS1791" s="545">
        <f>IFERROR(CEILING($AR1791*VLOOKUP($I1791,Ref!$B$23:$E$29,4,0),1),0)</f>
        <v>0</v>
      </c>
      <c r="AT1791" s="545" t="str">
        <f>IF(A1791="","",IF(AP1791&lt;=1,"Cleared",IF(AS1791=0,"Clean",VLOOKUP($AS1791,Ref!$G$23:$H$28,2))))</f>
        <v/>
      </c>
      <c r="AU1791" s="546" t="str">
        <f t="shared" si="744"/>
        <v/>
      </c>
    </row>
    <row r="1792" spans="1:47" ht="14.25" hidden="1" customHeight="1" x14ac:dyDescent="0.15">
      <c r="A1792" s="575"/>
      <c r="B1792" s="548"/>
      <c r="C1792" s="548"/>
      <c r="D1792" s="548"/>
      <c r="E1792" s="583"/>
      <c r="F1792" s="584"/>
      <c r="G1792" s="548"/>
      <c r="H1792" s="550"/>
      <c r="I1792" s="560"/>
      <c r="J1792" s="548"/>
      <c r="K1792" s="528" t="str">
        <f>IFERROR(VLOOKUP($B1792,'Clients-Live'!$A:$C,3,0),"")</f>
        <v/>
      </c>
      <c r="L1792" s="528">
        <f>IF(E1792="STL",Pricing!$D$38,IF(A1792="",0,IF(A1792&lt;Pricing!$C$25,Pricing!$D$25,VLOOKUP(Disbursements!$F1792,Pricing!$B$29:$D$32,3))))</f>
        <v>0</v>
      </c>
      <c r="M1792" s="528">
        <f>IF(E1792="STL",0,IF(F1792&gt;0,Pricing!$D$21,0))</f>
        <v>0</v>
      </c>
      <c r="N1792" s="529">
        <f>IF(E1792="STL",F1792*Pricing!$D$40,IF(A1792&lt;=Pricing!$C$4,0,IF(AND(A1792&gt;Pricing!$C$4,Disbursements!A1792&lt;=Pricing!$C$5),F1792*Pricing!$E$5,IF(AND(A1792&gt;Pricing!$C$5,Disbursements!A1792&lt;=Pricing!$C$7),VLOOKUP(F1792,Pricing!$D$7:$E$8,2)*Disbursements!F1792,F1792*Pricing!$E$9))))</f>
        <v>0</v>
      </c>
      <c r="O1792" s="528">
        <f>IF(E1792="STL",0,IF($F1792&gt;0,$F1792*Pricing!$D$17,0))</f>
        <v>0</v>
      </c>
      <c r="P1792" s="530" t="str">
        <f t="shared" si="724"/>
        <v/>
      </c>
      <c r="Q1792" s="531" t="str">
        <f>IF($A1792="","",$G1792/VLOOKUP($I1792,Ref!$B$23:$D$29,2,0))</f>
        <v/>
      </c>
      <c r="R1792" s="530" t="str">
        <f t="shared" si="725"/>
        <v/>
      </c>
      <c r="S1792" s="532" t="str">
        <f t="shared" si="719"/>
        <v/>
      </c>
      <c r="T1792" s="531" t="str">
        <f t="shared" si="726"/>
        <v/>
      </c>
      <c r="U1792" s="533">
        <f t="shared" si="727"/>
        <v>0</v>
      </c>
      <c r="V1792" s="531" t="str">
        <f t="shared" si="728"/>
        <v/>
      </c>
      <c r="W1792" s="531" t="str">
        <f t="shared" si="729"/>
        <v/>
      </c>
      <c r="X1792" s="534" t="str">
        <f t="shared" si="730"/>
        <v/>
      </c>
      <c r="Y1792" s="535" t="str">
        <f>IF($A1792="","",IF($I1792="weekly",$A1792+7,EDATE($A1792,VLOOKUP($I1792,Ref!$B$24:$C$29,2,0))))</f>
        <v/>
      </c>
      <c r="Z1792" s="536" t="str">
        <f t="shared" si="731"/>
        <v/>
      </c>
      <c r="AA1792" s="531">
        <f t="shared" si="732"/>
        <v>0</v>
      </c>
      <c r="AB1792" s="535" t="str">
        <f t="shared" si="720"/>
        <v/>
      </c>
      <c r="AC1792" s="537" t="str">
        <f t="shared" si="721"/>
        <v/>
      </c>
      <c r="AD1792" s="538" t="str">
        <f t="shared" ca="1" si="722"/>
        <v/>
      </c>
      <c r="AE1792" s="537">
        <f t="shared" ca="1" si="723"/>
        <v>0</v>
      </c>
      <c r="AF1792" s="539" t="str">
        <f t="shared" ca="1" si="733"/>
        <v/>
      </c>
      <c r="AG1792" s="531" t="str">
        <f t="shared" ca="1" si="734"/>
        <v/>
      </c>
      <c r="AH1792" s="531" t="str">
        <f t="shared" ca="1" si="735"/>
        <v/>
      </c>
      <c r="AI1792" s="531" t="str">
        <f t="shared" ca="1" si="736"/>
        <v/>
      </c>
      <c r="AJ1792" s="531" t="str">
        <f t="shared" si="737"/>
        <v/>
      </c>
      <c r="AK1792" s="540">
        <f>SUMIFS('Live Collections'!$S:$S,'Live Collections'!$D:$D,Disbursements!B1792,'Live Collections'!$G:$G,Disbursements!C1792)</f>
        <v>0</v>
      </c>
      <c r="AL1792" s="540">
        <f>SUMIFS('Live Collections'!$T:$T,'Live Collections'!$D:$D,Disbursements!B1792,'Live Collections'!$G:$G,Disbursements!C1792)</f>
        <v>0</v>
      </c>
      <c r="AM1792" s="541">
        <f t="shared" si="738"/>
        <v>0</v>
      </c>
      <c r="AN1792" s="542" t="str">
        <f t="shared" si="739"/>
        <v/>
      </c>
      <c r="AO1792" s="542" t="str">
        <f t="shared" si="740"/>
        <v/>
      </c>
      <c r="AP1792" s="543" t="str">
        <f t="shared" si="741"/>
        <v/>
      </c>
      <c r="AQ1792" s="544" t="str">
        <f t="shared" si="742"/>
        <v/>
      </c>
      <c r="AR1792" s="545">
        <f t="shared" si="743"/>
        <v>0</v>
      </c>
      <c r="AS1792" s="545">
        <f>IFERROR(CEILING($AR1792*VLOOKUP($I1792,Ref!$B$23:$E$29,4,0),1),0)</f>
        <v>0</v>
      </c>
      <c r="AT1792" s="545" t="str">
        <f>IF(A1792="","",IF(AP1792&lt;=1,"Cleared",IF(AS1792=0,"Clean",VLOOKUP($AS1792,Ref!$G$23:$H$28,2))))</f>
        <v/>
      </c>
      <c r="AU1792" s="546" t="str">
        <f t="shared" si="744"/>
        <v/>
      </c>
    </row>
    <row r="1793" spans="1:47" ht="14.25" hidden="1" customHeight="1" x14ac:dyDescent="0.15">
      <c r="A1793" s="575"/>
      <c r="B1793" s="548"/>
      <c r="C1793" s="548"/>
      <c r="D1793" s="548"/>
      <c r="E1793" s="583"/>
      <c r="F1793" s="584"/>
      <c r="G1793" s="548"/>
      <c r="H1793" s="550"/>
      <c r="I1793" s="560"/>
      <c r="J1793" s="548"/>
      <c r="K1793" s="528" t="str">
        <f>IFERROR(VLOOKUP($B1793,'Clients-Live'!$A:$C,3,0),"")</f>
        <v/>
      </c>
      <c r="L1793" s="528">
        <f>IF(E1793="STL",Pricing!$D$38,IF(A1793="",0,IF(A1793&lt;Pricing!$C$25,Pricing!$D$25,VLOOKUP(Disbursements!$F1793,Pricing!$B$29:$D$32,3))))</f>
        <v>0</v>
      </c>
      <c r="M1793" s="528">
        <f>IF(E1793="STL",0,IF(F1793&gt;0,Pricing!$D$21,0))</f>
        <v>0</v>
      </c>
      <c r="N1793" s="529">
        <f>IF(E1793="STL",F1793*Pricing!$D$40,IF(A1793&lt;=Pricing!$C$4,0,IF(AND(A1793&gt;Pricing!$C$4,Disbursements!A1793&lt;=Pricing!$C$5),F1793*Pricing!$E$5,IF(AND(A1793&gt;Pricing!$C$5,Disbursements!A1793&lt;=Pricing!$C$7),VLOOKUP(F1793,Pricing!$D$7:$E$8,2)*Disbursements!F1793,F1793*Pricing!$E$9))))</f>
        <v>0</v>
      </c>
      <c r="O1793" s="528">
        <f>IF(E1793="STL",0,IF($F1793&gt;0,$F1793*Pricing!$D$17,0))</f>
        <v>0</v>
      </c>
      <c r="P1793" s="530" t="str">
        <f t="shared" si="724"/>
        <v/>
      </c>
      <c r="Q1793" s="531" t="str">
        <f>IF($A1793="","",$G1793/VLOOKUP($I1793,Ref!$B$23:$D$29,2,0))</f>
        <v/>
      </c>
      <c r="R1793" s="530" t="str">
        <f t="shared" si="725"/>
        <v/>
      </c>
      <c r="S1793" s="532" t="str">
        <f t="shared" si="719"/>
        <v/>
      </c>
      <c r="T1793" s="531" t="str">
        <f t="shared" si="726"/>
        <v/>
      </c>
      <c r="U1793" s="533">
        <f t="shared" si="727"/>
        <v>0</v>
      </c>
      <c r="V1793" s="531" t="str">
        <f t="shared" si="728"/>
        <v/>
      </c>
      <c r="W1793" s="531" t="str">
        <f t="shared" si="729"/>
        <v/>
      </c>
      <c r="X1793" s="534" t="str">
        <f t="shared" si="730"/>
        <v/>
      </c>
      <c r="Y1793" s="535" t="str">
        <f>IF($A1793="","",IF($I1793="weekly",$A1793+7,EDATE($A1793,VLOOKUP($I1793,Ref!$B$24:$C$29,2,0))))</f>
        <v/>
      </c>
      <c r="Z1793" s="536" t="str">
        <f t="shared" si="731"/>
        <v/>
      </c>
      <c r="AA1793" s="531">
        <f t="shared" si="732"/>
        <v>0</v>
      </c>
      <c r="AB1793" s="535" t="str">
        <f t="shared" si="720"/>
        <v/>
      </c>
      <c r="AC1793" s="537" t="str">
        <f t="shared" si="721"/>
        <v/>
      </c>
      <c r="AD1793" s="538" t="str">
        <f t="shared" ca="1" si="722"/>
        <v/>
      </c>
      <c r="AE1793" s="537">
        <f t="shared" ca="1" si="723"/>
        <v>0</v>
      </c>
      <c r="AF1793" s="539" t="str">
        <f t="shared" ca="1" si="733"/>
        <v/>
      </c>
      <c r="AG1793" s="531" t="str">
        <f t="shared" ca="1" si="734"/>
        <v/>
      </c>
      <c r="AH1793" s="531" t="str">
        <f t="shared" ca="1" si="735"/>
        <v/>
      </c>
      <c r="AI1793" s="531" t="str">
        <f t="shared" ca="1" si="736"/>
        <v/>
      </c>
      <c r="AJ1793" s="531" t="str">
        <f t="shared" si="737"/>
        <v/>
      </c>
      <c r="AK1793" s="540">
        <f>SUMIFS('Live Collections'!$S:$S,'Live Collections'!$D:$D,Disbursements!B1793,'Live Collections'!$G:$G,Disbursements!C1793)</f>
        <v>0</v>
      </c>
      <c r="AL1793" s="540">
        <f>SUMIFS('Live Collections'!$T:$T,'Live Collections'!$D:$D,Disbursements!B1793,'Live Collections'!$G:$G,Disbursements!C1793)</f>
        <v>0</v>
      </c>
      <c r="AM1793" s="541">
        <f t="shared" si="738"/>
        <v>0</v>
      </c>
      <c r="AN1793" s="542" t="str">
        <f t="shared" si="739"/>
        <v/>
      </c>
      <c r="AO1793" s="542" t="str">
        <f t="shared" si="740"/>
        <v/>
      </c>
      <c r="AP1793" s="543" t="str">
        <f t="shared" si="741"/>
        <v/>
      </c>
      <c r="AQ1793" s="544" t="str">
        <f t="shared" si="742"/>
        <v/>
      </c>
      <c r="AR1793" s="545">
        <f t="shared" si="743"/>
        <v>0</v>
      </c>
      <c r="AS1793" s="545">
        <f>IFERROR(CEILING($AR1793*VLOOKUP($I1793,Ref!$B$23:$E$29,4,0),1),0)</f>
        <v>0</v>
      </c>
      <c r="AT1793" s="545" t="str">
        <f>IF(A1793="","",IF(AP1793&lt;=1,"Cleared",IF(AS1793=0,"Clean",VLOOKUP($AS1793,Ref!$G$23:$H$28,2))))</f>
        <v/>
      </c>
      <c r="AU1793" s="546" t="str">
        <f t="shared" si="744"/>
        <v/>
      </c>
    </row>
    <row r="1794" spans="1:47" ht="14.25" hidden="1" customHeight="1" x14ac:dyDescent="0.15">
      <c r="A1794" s="575"/>
      <c r="B1794" s="548"/>
      <c r="C1794" s="548"/>
      <c r="D1794" s="548"/>
      <c r="E1794" s="583"/>
      <c r="F1794" s="584"/>
      <c r="G1794" s="548"/>
      <c r="H1794" s="550"/>
      <c r="I1794" s="560"/>
      <c r="J1794" s="548"/>
      <c r="K1794" s="528" t="str">
        <f>IFERROR(VLOOKUP($B1794,'Clients-Live'!$A:$C,3,0),"")</f>
        <v/>
      </c>
      <c r="L1794" s="528">
        <f>IF(E1794="STL",Pricing!$D$38,IF(A1794="",0,IF(A1794&lt;Pricing!$C$25,Pricing!$D$25,VLOOKUP(Disbursements!$F1794,Pricing!$B$29:$D$32,3))))</f>
        <v>0</v>
      </c>
      <c r="M1794" s="528">
        <f>IF(E1794="STL",0,IF(F1794&gt;0,Pricing!$D$21,0))</f>
        <v>0</v>
      </c>
      <c r="N1794" s="529">
        <f>IF(E1794="STL",F1794*Pricing!$D$40,IF(A1794&lt;=Pricing!$C$4,0,IF(AND(A1794&gt;Pricing!$C$4,Disbursements!A1794&lt;=Pricing!$C$5),F1794*Pricing!$E$5,IF(AND(A1794&gt;Pricing!$C$5,Disbursements!A1794&lt;=Pricing!$C$7),VLOOKUP(F1794,Pricing!$D$7:$E$8,2)*Disbursements!F1794,F1794*Pricing!$E$9))))</f>
        <v>0</v>
      </c>
      <c r="O1794" s="528">
        <f>IF(E1794="STL",0,IF($F1794&gt;0,$F1794*Pricing!$D$17,0))</f>
        <v>0</v>
      </c>
      <c r="P1794" s="530" t="str">
        <f t="shared" si="724"/>
        <v/>
      </c>
      <c r="Q1794" s="531" t="str">
        <f>IF($A1794="","",$G1794/VLOOKUP($I1794,Ref!$B$23:$D$29,2,0))</f>
        <v/>
      </c>
      <c r="R1794" s="530" t="str">
        <f t="shared" si="725"/>
        <v/>
      </c>
      <c r="S1794" s="532" t="str">
        <f t="shared" si="719"/>
        <v/>
      </c>
      <c r="T1794" s="531" t="str">
        <f t="shared" si="726"/>
        <v/>
      </c>
      <c r="U1794" s="533">
        <f t="shared" si="727"/>
        <v>0</v>
      </c>
      <c r="V1794" s="531" t="str">
        <f t="shared" si="728"/>
        <v/>
      </c>
      <c r="W1794" s="531" t="str">
        <f t="shared" si="729"/>
        <v/>
      </c>
      <c r="X1794" s="534" t="str">
        <f t="shared" si="730"/>
        <v/>
      </c>
      <c r="Y1794" s="535" t="str">
        <f>IF($A1794="","",IF($I1794="weekly",$A1794+7,EDATE($A1794,VLOOKUP($I1794,Ref!$B$24:$C$29,2,0))))</f>
        <v/>
      </c>
      <c r="Z1794" s="536" t="str">
        <f t="shared" si="731"/>
        <v/>
      </c>
      <c r="AA1794" s="531">
        <f t="shared" si="732"/>
        <v>0</v>
      </c>
      <c r="AB1794" s="535" t="str">
        <f t="shared" si="720"/>
        <v/>
      </c>
      <c r="AC1794" s="537" t="str">
        <f t="shared" si="721"/>
        <v/>
      </c>
      <c r="AD1794" s="538" t="str">
        <f t="shared" ca="1" si="722"/>
        <v/>
      </c>
      <c r="AE1794" s="537">
        <f t="shared" ca="1" si="723"/>
        <v>0</v>
      </c>
      <c r="AF1794" s="539" t="str">
        <f t="shared" ca="1" si="733"/>
        <v/>
      </c>
      <c r="AG1794" s="531" t="str">
        <f t="shared" ca="1" si="734"/>
        <v/>
      </c>
      <c r="AH1794" s="531" t="str">
        <f t="shared" ca="1" si="735"/>
        <v/>
      </c>
      <c r="AI1794" s="531" t="str">
        <f t="shared" ca="1" si="736"/>
        <v/>
      </c>
      <c r="AJ1794" s="531" t="str">
        <f t="shared" si="737"/>
        <v/>
      </c>
      <c r="AK1794" s="540">
        <f>SUMIFS('Live Collections'!$S:$S,'Live Collections'!$D:$D,Disbursements!B1794,'Live Collections'!$G:$G,Disbursements!C1794)</f>
        <v>0</v>
      </c>
      <c r="AL1794" s="540">
        <f>SUMIFS('Live Collections'!$T:$T,'Live Collections'!$D:$D,Disbursements!B1794,'Live Collections'!$G:$G,Disbursements!C1794)</f>
        <v>0</v>
      </c>
      <c r="AM1794" s="541">
        <f t="shared" si="738"/>
        <v>0</v>
      </c>
      <c r="AN1794" s="542" t="str">
        <f t="shared" si="739"/>
        <v/>
      </c>
      <c r="AO1794" s="542" t="str">
        <f t="shared" si="740"/>
        <v/>
      </c>
      <c r="AP1794" s="543" t="str">
        <f t="shared" si="741"/>
        <v/>
      </c>
      <c r="AQ1794" s="544" t="str">
        <f t="shared" si="742"/>
        <v/>
      </c>
      <c r="AR1794" s="545">
        <f t="shared" si="743"/>
        <v>0</v>
      </c>
      <c r="AS1794" s="545">
        <f>IFERROR(CEILING($AR1794*VLOOKUP($I1794,Ref!$B$23:$E$29,4,0),1),0)</f>
        <v>0</v>
      </c>
      <c r="AT1794" s="545" t="str">
        <f>IF(A1794="","",IF(AP1794&lt;=1,"Cleared",IF(AS1794=0,"Clean",VLOOKUP($AS1794,Ref!$G$23:$H$28,2))))</f>
        <v/>
      </c>
      <c r="AU1794" s="546" t="str">
        <f t="shared" si="744"/>
        <v/>
      </c>
    </row>
    <row r="1795" spans="1:47" ht="14.25" hidden="1" customHeight="1" x14ac:dyDescent="0.15">
      <c r="A1795" s="575"/>
      <c r="B1795" s="548"/>
      <c r="C1795" s="548"/>
      <c r="D1795" s="548"/>
      <c r="E1795" s="583"/>
      <c r="F1795" s="584"/>
      <c r="G1795" s="548"/>
      <c r="H1795" s="550"/>
      <c r="I1795" s="560"/>
      <c r="J1795" s="548"/>
      <c r="K1795" s="528" t="str">
        <f>IFERROR(VLOOKUP($B1795,'Clients-Live'!$A:$C,3,0),"")</f>
        <v/>
      </c>
      <c r="L1795" s="528">
        <f>IF(E1795="STL",Pricing!$D$38,IF(A1795="",0,IF(A1795&lt;Pricing!$C$25,Pricing!$D$25,VLOOKUP(Disbursements!$F1795,Pricing!$B$29:$D$32,3))))</f>
        <v>0</v>
      </c>
      <c r="M1795" s="528">
        <f>IF(E1795="STL",0,IF(F1795&gt;0,Pricing!$D$21,0))</f>
        <v>0</v>
      </c>
      <c r="N1795" s="529">
        <f>IF(E1795="STL",F1795*Pricing!$D$40,IF(A1795&lt;=Pricing!$C$4,0,IF(AND(A1795&gt;Pricing!$C$4,Disbursements!A1795&lt;=Pricing!$C$5),F1795*Pricing!$E$5,IF(AND(A1795&gt;Pricing!$C$5,Disbursements!A1795&lt;=Pricing!$C$7),VLOOKUP(F1795,Pricing!$D$7:$E$8,2)*Disbursements!F1795,F1795*Pricing!$E$9))))</f>
        <v>0</v>
      </c>
      <c r="O1795" s="528">
        <f>IF(E1795="STL",0,IF($F1795&gt;0,$F1795*Pricing!$D$17,0))</f>
        <v>0</v>
      </c>
      <c r="P1795" s="530" t="str">
        <f t="shared" si="724"/>
        <v/>
      </c>
      <c r="Q1795" s="531" t="str">
        <f>IF($A1795="","",$G1795/VLOOKUP($I1795,Ref!$B$23:$D$29,2,0))</f>
        <v/>
      </c>
      <c r="R1795" s="530" t="str">
        <f t="shared" si="725"/>
        <v/>
      </c>
      <c r="S1795" s="532" t="str">
        <f t="shared" si="719"/>
        <v/>
      </c>
      <c r="T1795" s="531" t="str">
        <f t="shared" si="726"/>
        <v/>
      </c>
      <c r="U1795" s="533">
        <f t="shared" si="727"/>
        <v>0</v>
      </c>
      <c r="V1795" s="531" t="str">
        <f t="shared" si="728"/>
        <v/>
      </c>
      <c r="W1795" s="531" t="str">
        <f t="shared" si="729"/>
        <v/>
      </c>
      <c r="X1795" s="534" t="str">
        <f t="shared" si="730"/>
        <v/>
      </c>
      <c r="Y1795" s="535" t="str">
        <f>IF($A1795="","",IF($I1795="weekly",$A1795+7,EDATE($A1795,VLOOKUP($I1795,Ref!$B$24:$C$29,2,0))))</f>
        <v/>
      </c>
      <c r="Z1795" s="536" t="str">
        <f t="shared" si="731"/>
        <v/>
      </c>
      <c r="AA1795" s="531">
        <f t="shared" si="732"/>
        <v>0</v>
      </c>
      <c r="AB1795" s="535" t="str">
        <f t="shared" si="720"/>
        <v/>
      </c>
      <c r="AC1795" s="537" t="str">
        <f t="shared" si="721"/>
        <v/>
      </c>
      <c r="AD1795" s="538" t="str">
        <f t="shared" ca="1" si="722"/>
        <v/>
      </c>
      <c r="AE1795" s="537">
        <f t="shared" ca="1" si="723"/>
        <v>0</v>
      </c>
      <c r="AF1795" s="539" t="str">
        <f t="shared" ca="1" si="733"/>
        <v/>
      </c>
      <c r="AG1795" s="531" t="str">
        <f t="shared" ca="1" si="734"/>
        <v/>
      </c>
      <c r="AH1795" s="531" t="str">
        <f t="shared" ca="1" si="735"/>
        <v/>
      </c>
      <c r="AI1795" s="531" t="str">
        <f t="shared" ca="1" si="736"/>
        <v/>
      </c>
      <c r="AJ1795" s="531" t="str">
        <f t="shared" si="737"/>
        <v/>
      </c>
      <c r="AK1795" s="540">
        <f>SUMIFS('Live Collections'!$S:$S,'Live Collections'!$D:$D,Disbursements!B1795,'Live Collections'!$G:$G,Disbursements!C1795)</f>
        <v>0</v>
      </c>
      <c r="AL1795" s="540">
        <f>SUMIFS('Live Collections'!$T:$T,'Live Collections'!$D:$D,Disbursements!B1795,'Live Collections'!$G:$G,Disbursements!C1795)</f>
        <v>0</v>
      </c>
      <c r="AM1795" s="541">
        <f t="shared" si="738"/>
        <v>0</v>
      </c>
      <c r="AN1795" s="542" t="str">
        <f t="shared" si="739"/>
        <v/>
      </c>
      <c r="AO1795" s="542" t="str">
        <f t="shared" si="740"/>
        <v/>
      </c>
      <c r="AP1795" s="543" t="str">
        <f t="shared" si="741"/>
        <v/>
      </c>
      <c r="AQ1795" s="544" t="str">
        <f t="shared" si="742"/>
        <v/>
      </c>
      <c r="AR1795" s="545">
        <f t="shared" si="743"/>
        <v>0</v>
      </c>
      <c r="AS1795" s="545">
        <f>IFERROR(CEILING($AR1795*VLOOKUP($I1795,Ref!$B$23:$E$29,4,0),1),0)</f>
        <v>0</v>
      </c>
      <c r="AT1795" s="545" t="str">
        <f>IF(A1795="","",IF(AP1795&lt;=1,"Cleared",IF(AS1795=0,"Clean",VLOOKUP($AS1795,Ref!$G$23:$H$28,2))))</f>
        <v/>
      </c>
      <c r="AU1795" s="546" t="str">
        <f t="shared" si="744"/>
        <v/>
      </c>
    </row>
    <row r="1796" spans="1:47" ht="14.25" hidden="1" customHeight="1" x14ac:dyDescent="0.15">
      <c r="A1796" s="575"/>
      <c r="B1796" s="548"/>
      <c r="C1796" s="548"/>
      <c r="D1796" s="548"/>
      <c r="E1796" s="583"/>
      <c r="F1796" s="584"/>
      <c r="G1796" s="548"/>
      <c r="H1796" s="550"/>
      <c r="I1796" s="560"/>
      <c r="J1796" s="548"/>
      <c r="K1796" s="528" t="str">
        <f>IFERROR(VLOOKUP($B1796,'Clients-Live'!$A:$C,3,0),"")</f>
        <v/>
      </c>
      <c r="L1796" s="528">
        <f>IF(E1796="STL",Pricing!$D$38,IF(A1796="",0,IF(A1796&lt;Pricing!$C$25,Pricing!$D$25,VLOOKUP(Disbursements!$F1796,Pricing!$B$29:$D$32,3))))</f>
        <v>0</v>
      </c>
      <c r="M1796" s="528">
        <f>IF(E1796="STL",0,IF(F1796&gt;0,Pricing!$D$21,0))</f>
        <v>0</v>
      </c>
      <c r="N1796" s="529">
        <f>IF(E1796="STL",F1796*Pricing!$D$40,IF(A1796&lt;=Pricing!$C$4,0,IF(AND(A1796&gt;Pricing!$C$4,Disbursements!A1796&lt;=Pricing!$C$5),F1796*Pricing!$E$5,IF(AND(A1796&gt;Pricing!$C$5,Disbursements!A1796&lt;=Pricing!$C$7),VLOOKUP(F1796,Pricing!$D$7:$E$8,2)*Disbursements!F1796,F1796*Pricing!$E$9))))</f>
        <v>0</v>
      </c>
      <c r="O1796" s="528">
        <f>IF(E1796="STL",0,IF($F1796&gt;0,$F1796*Pricing!$D$17,0))</f>
        <v>0</v>
      </c>
      <c r="P1796" s="530" t="str">
        <f t="shared" si="724"/>
        <v/>
      </c>
      <c r="Q1796" s="531" t="str">
        <f>IF($A1796="","",$G1796/VLOOKUP($I1796,Ref!$B$23:$D$29,2,0))</f>
        <v/>
      </c>
      <c r="R1796" s="530" t="str">
        <f t="shared" si="725"/>
        <v/>
      </c>
      <c r="S1796" s="532" t="str">
        <f t="shared" ref="S1796:S1859" si="745">IF($A1796="","",$R1796/$Q1796)</f>
        <v/>
      </c>
      <c r="T1796" s="531" t="str">
        <f t="shared" si="726"/>
        <v/>
      </c>
      <c r="U1796" s="533">
        <f t="shared" si="727"/>
        <v>0</v>
      </c>
      <c r="V1796" s="531" t="str">
        <f t="shared" si="728"/>
        <v/>
      </c>
      <c r="W1796" s="531" t="str">
        <f t="shared" si="729"/>
        <v/>
      </c>
      <c r="X1796" s="534" t="str">
        <f t="shared" si="730"/>
        <v/>
      </c>
      <c r="Y1796" s="535" t="str">
        <f>IF($A1796="","",IF($I1796="weekly",$A1796+7,EDATE($A1796,VLOOKUP($I1796,Ref!$B$24:$C$29,2,0))))</f>
        <v/>
      </c>
      <c r="Z1796" s="536" t="str">
        <f t="shared" si="731"/>
        <v/>
      </c>
      <c r="AA1796" s="531">
        <f t="shared" si="732"/>
        <v>0</v>
      </c>
      <c r="AB1796" s="535" t="str">
        <f t="shared" ref="AB1796:AB1859" si="746">IF($A1796="","",EDATE($A1796,$G1796))</f>
        <v/>
      </c>
      <c r="AC1796" s="537" t="str">
        <f t="shared" ref="AC1796:AC1859" si="747">IFERROR($AB1796-$A1796,"")</f>
        <v/>
      </c>
      <c r="AD1796" s="538" t="str">
        <f t="shared" ref="AD1796:AD1859" ca="1" si="748">IFERROR(IF(TODAY()-$A1796&lt;$AB1796-$A1796,TODAY()-$A1796,"Expired"),"")</f>
        <v/>
      </c>
      <c r="AE1796" s="537">
        <f t="shared" ref="AE1796:AE1859" ca="1" si="749">IFERROR($AC1796-$AD1796,0)</f>
        <v>0</v>
      </c>
      <c r="AF1796" s="539" t="str">
        <f t="shared" ca="1" si="733"/>
        <v/>
      </c>
      <c r="AG1796" s="531" t="str">
        <f t="shared" ca="1" si="734"/>
        <v/>
      </c>
      <c r="AH1796" s="531" t="str">
        <f t="shared" ca="1" si="735"/>
        <v/>
      </c>
      <c r="AI1796" s="531" t="str">
        <f t="shared" ca="1" si="736"/>
        <v/>
      </c>
      <c r="AJ1796" s="531" t="str">
        <f t="shared" si="737"/>
        <v/>
      </c>
      <c r="AK1796" s="540">
        <f>SUMIFS('Live Collections'!$S:$S,'Live Collections'!$D:$D,Disbursements!B1796,'Live Collections'!$G:$G,Disbursements!C1796)</f>
        <v>0</v>
      </c>
      <c r="AL1796" s="540">
        <f>SUMIFS('Live Collections'!$T:$T,'Live Collections'!$D:$D,Disbursements!B1796,'Live Collections'!$G:$G,Disbursements!C1796)</f>
        <v>0</v>
      </c>
      <c r="AM1796" s="541">
        <f t="shared" si="738"/>
        <v>0</v>
      </c>
      <c r="AN1796" s="542" t="str">
        <f t="shared" si="739"/>
        <v/>
      </c>
      <c r="AO1796" s="542" t="str">
        <f t="shared" si="740"/>
        <v/>
      </c>
      <c r="AP1796" s="543" t="str">
        <f t="shared" si="741"/>
        <v/>
      </c>
      <c r="AQ1796" s="544" t="str">
        <f t="shared" si="742"/>
        <v/>
      </c>
      <c r="AR1796" s="545">
        <f t="shared" si="743"/>
        <v>0</v>
      </c>
      <c r="AS1796" s="545">
        <f>IFERROR(CEILING($AR1796*VLOOKUP($I1796,Ref!$B$23:$E$29,4,0),1),0)</f>
        <v>0</v>
      </c>
      <c r="AT1796" s="545" t="str">
        <f>IF(A1796="","",IF(AP1796&lt;=1,"Cleared",IF(AS1796=0,"Clean",VLOOKUP($AS1796,Ref!$G$23:$H$28,2))))</f>
        <v/>
      </c>
      <c r="AU1796" s="546" t="str">
        <f t="shared" si="744"/>
        <v/>
      </c>
    </row>
    <row r="1797" spans="1:47" ht="14.25" hidden="1" customHeight="1" x14ac:dyDescent="0.15">
      <c r="A1797" s="575"/>
      <c r="B1797" s="548"/>
      <c r="C1797" s="548"/>
      <c r="D1797" s="548"/>
      <c r="E1797" s="583"/>
      <c r="F1797" s="584"/>
      <c r="G1797" s="548"/>
      <c r="H1797" s="550"/>
      <c r="I1797" s="560"/>
      <c r="J1797" s="548"/>
      <c r="K1797" s="528" t="str">
        <f>IFERROR(VLOOKUP($B1797,'Clients-Live'!$A:$C,3,0),"")</f>
        <v/>
      </c>
      <c r="L1797" s="528">
        <f>IF(E1797="STL",Pricing!$D$38,IF(A1797="",0,IF(A1797&lt;Pricing!$C$25,Pricing!$D$25,VLOOKUP(Disbursements!$F1797,Pricing!$B$29:$D$32,3))))</f>
        <v>0</v>
      </c>
      <c r="M1797" s="528">
        <f>IF(E1797="STL",0,IF(F1797&gt;0,Pricing!$D$21,0))</f>
        <v>0</v>
      </c>
      <c r="N1797" s="529">
        <f>IF(E1797="STL",F1797*Pricing!$D$40,IF(A1797&lt;=Pricing!$C$4,0,IF(AND(A1797&gt;Pricing!$C$4,Disbursements!A1797&lt;=Pricing!$C$5),F1797*Pricing!$E$5,IF(AND(A1797&gt;Pricing!$C$5,Disbursements!A1797&lt;=Pricing!$C$7),VLOOKUP(F1797,Pricing!$D$7:$E$8,2)*Disbursements!F1797,F1797*Pricing!$E$9))))</f>
        <v>0</v>
      </c>
      <c r="O1797" s="528">
        <f>IF(E1797="STL",0,IF($F1797&gt;0,$F1797*Pricing!$D$17,0))</f>
        <v>0</v>
      </c>
      <c r="P1797" s="530" t="str">
        <f t="shared" ref="P1797:P1860" si="750">IF($A1797="","",$H1797*$F1797*$G1797)</f>
        <v/>
      </c>
      <c r="Q1797" s="531" t="str">
        <f>IF($A1797="","",$G1797/VLOOKUP($I1797,Ref!$B$23:$D$29,2,0))</f>
        <v/>
      </c>
      <c r="R1797" s="530" t="str">
        <f t="shared" ref="R1797:R1860" si="751">IF($A1797="","",$F1797+$P1797)</f>
        <v/>
      </c>
      <c r="S1797" s="532" t="str">
        <f t="shared" si="745"/>
        <v/>
      </c>
      <c r="T1797" s="531" t="str">
        <f t="shared" ref="T1797:T1860" si="752">IF(R1797="","",CEILING(S1797,1000))</f>
        <v/>
      </c>
      <c r="U1797" s="533">
        <f t="shared" ref="U1797:U1860" si="753">IFERROR(T1797*Q1797,0)</f>
        <v>0</v>
      </c>
      <c r="V1797" s="531" t="str">
        <f t="shared" ref="V1797:V1860" si="754">IF(T1797="","",F1797/Q1797)</f>
        <v/>
      </c>
      <c r="W1797" s="531" t="str">
        <f t="shared" ref="W1797:W1860" si="755">IF(T1797="","",T1797-V1797)</f>
        <v/>
      </c>
      <c r="X1797" s="534" t="str">
        <f t="shared" ref="X1797:X1860" si="756">IF(A1797="","",W1797*Q1797)</f>
        <v/>
      </c>
      <c r="Y1797" s="535" t="str">
        <f>IF($A1797="","",IF($I1797="weekly",$A1797+7,EDATE($A1797,VLOOKUP($I1797,Ref!$B$24:$C$29,2,0))))</f>
        <v/>
      </c>
      <c r="Z1797" s="536" t="str">
        <f t="shared" ref="Z1797:Z1860" si="757">IFERROR(CHOOSE(WEEKDAY(Y1797),"Sun","Mon","Tue","Wed","Thu","Frid","Sat"),"")</f>
        <v/>
      </c>
      <c r="AA1797" s="531">
        <f t="shared" ref="AA1797:AA1860" si="758">IFERROR(Y1797-A1797,0)</f>
        <v>0</v>
      </c>
      <c r="AB1797" s="535" t="str">
        <f t="shared" si="746"/>
        <v/>
      </c>
      <c r="AC1797" s="537" t="str">
        <f t="shared" si="747"/>
        <v/>
      </c>
      <c r="AD1797" s="538" t="str">
        <f t="shared" ca="1" si="748"/>
        <v/>
      </c>
      <c r="AE1797" s="537">
        <f t="shared" ca="1" si="749"/>
        <v>0</v>
      </c>
      <c r="AF1797" s="539" t="str">
        <f t="shared" ref="AF1797:AF1860" ca="1" si="759">IFERROR(IF(AD1797="Expired",Q1797,IF(AD1797&gt;AA1797,AD1797/AA1797,0)),"")</f>
        <v/>
      </c>
      <c r="AG1797" s="531" t="str">
        <f t="shared" ref="AG1797:AG1860" ca="1" si="760">IFERROR(AF1797*T1797,"")</f>
        <v/>
      </c>
      <c r="AH1797" s="531" t="str">
        <f t="shared" ref="AH1797:AH1860" ca="1" si="761">IFERROR(AF1797*W1797,"")</f>
        <v/>
      </c>
      <c r="AI1797" s="531" t="str">
        <f t="shared" ref="AI1797:AI1860" ca="1" si="762">IFERROR(AF1797*V1797,"")</f>
        <v/>
      </c>
      <c r="AJ1797" s="531" t="str">
        <f t="shared" ref="AJ1797:AJ1860" si="763">IF(F1797=0,"",U1797-AG1797)</f>
        <v/>
      </c>
      <c r="AK1797" s="540">
        <f>SUMIFS('Live Collections'!$S:$S,'Live Collections'!$D:$D,Disbursements!B1797,'Live Collections'!$G:$G,Disbursements!C1797)</f>
        <v>0</v>
      </c>
      <c r="AL1797" s="540">
        <f>SUMIFS('Live Collections'!$T:$T,'Live Collections'!$D:$D,Disbursements!B1797,'Live Collections'!$G:$G,Disbursements!C1797)</f>
        <v>0</v>
      </c>
      <c r="AM1797" s="541">
        <f t="shared" ref="AM1797:AM1860" si="764">SUM(AK1797:AL1797)</f>
        <v>0</v>
      </c>
      <c r="AN1797" s="542" t="str">
        <f t="shared" ref="AN1797:AN1860" si="765">IFERROR(W1797*Q1797-AK1797,"")</f>
        <v/>
      </c>
      <c r="AO1797" s="542" t="str">
        <f t="shared" ref="AO1797:AO1860" si="766">IF(F1797="","",(F1797-AL1797))</f>
        <v/>
      </c>
      <c r="AP1797" s="543" t="str">
        <f t="shared" ref="AP1797:AP1860" si="767">IF(F1797="","",SUM(AN1797:AO1797))</f>
        <v/>
      </c>
      <c r="AQ1797" s="544" t="str">
        <f t="shared" ref="AQ1797:AQ1860" si="768">IF(AP1797&gt;AJ1797,AP1797-AJ1797,"")</f>
        <v/>
      </c>
      <c r="AR1797" s="545">
        <f t="shared" ref="AR1797:AR1860" si="769">IFERROR(AQ1797/T1797,0)</f>
        <v>0</v>
      </c>
      <c r="AS1797" s="545">
        <f>IFERROR(CEILING($AR1797*VLOOKUP($I1797,Ref!$B$23:$E$29,4,0),1),0)</f>
        <v>0</v>
      </c>
      <c r="AT1797" s="545" t="str">
        <f>IF(A1797="","",IF(AP1797&lt;=1,"Cleared",IF(AS1797=0,"Clean",VLOOKUP($AS1797,Ref!$G$23:$H$28,2))))</f>
        <v/>
      </c>
      <c r="AU1797" s="546" t="str">
        <f t="shared" ref="AU1797:AU1860" si="770">IF(F1797="","",IF(OR(AN1797&lt;0,AO1797&lt;0,AP1797&lt;0),"Error on Entry","Ok"))</f>
        <v/>
      </c>
    </row>
    <row r="1798" spans="1:47" ht="14.25" hidden="1" customHeight="1" x14ac:dyDescent="0.15">
      <c r="A1798" s="575"/>
      <c r="B1798" s="548"/>
      <c r="C1798" s="548"/>
      <c r="D1798" s="548"/>
      <c r="E1798" s="583"/>
      <c r="F1798" s="584"/>
      <c r="G1798" s="548"/>
      <c r="H1798" s="550"/>
      <c r="I1798" s="560"/>
      <c r="J1798" s="548"/>
      <c r="K1798" s="528" t="str">
        <f>IFERROR(VLOOKUP($B1798,'Clients-Live'!$A:$C,3,0),"")</f>
        <v/>
      </c>
      <c r="L1798" s="528">
        <f>IF(E1798="STL",Pricing!$D$38,IF(A1798="",0,IF(A1798&lt;Pricing!$C$25,Pricing!$D$25,VLOOKUP(Disbursements!$F1798,Pricing!$B$29:$D$32,3))))</f>
        <v>0</v>
      </c>
      <c r="M1798" s="528">
        <f>IF(E1798="STL",0,IF(F1798&gt;0,Pricing!$D$21,0))</f>
        <v>0</v>
      </c>
      <c r="N1798" s="529">
        <f>IF(E1798="STL",F1798*Pricing!$D$40,IF(A1798&lt;=Pricing!$C$4,0,IF(AND(A1798&gt;Pricing!$C$4,Disbursements!A1798&lt;=Pricing!$C$5),F1798*Pricing!$E$5,IF(AND(A1798&gt;Pricing!$C$5,Disbursements!A1798&lt;=Pricing!$C$7),VLOOKUP(F1798,Pricing!$D$7:$E$8,2)*Disbursements!F1798,F1798*Pricing!$E$9))))</f>
        <v>0</v>
      </c>
      <c r="O1798" s="528">
        <f>IF(E1798="STL",0,IF($F1798&gt;0,$F1798*Pricing!$D$17,0))</f>
        <v>0</v>
      </c>
      <c r="P1798" s="530" t="str">
        <f t="shared" si="750"/>
        <v/>
      </c>
      <c r="Q1798" s="531" t="str">
        <f>IF($A1798="","",$G1798/VLOOKUP($I1798,Ref!$B$23:$D$29,2,0))</f>
        <v/>
      </c>
      <c r="R1798" s="530" t="str">
        <f t="shared" si="751"/>
        <v/>
      </c>
      <c r="S1798" s="532" t="str">
        <f t="shared" si="745"/>
        <v/>
      </c>
      <c r="T1798" s="531" t="str">
        <f t="shared" si="752"/>
        <v/>
      </c>
      <c r="U1798" s="533">
        <f t="shared" si="753"/>
        <v>0</v>
      </c>
      <c r="V1798" s="531" t="str">
        <f t="shared" si="754"/>
        <v/>
      </c>
      <c r="W1798" s="531" t="str">
        <f t="shared" si="755"/>
        <v/>
      </c>
      <c r="X1798" s="534" t="str">
        <f t="shared" si="756"/>
        <v/>
      </c>
      <c r="Y1798" s="535" t="str">
        <f>IF($A1798="","",IF($I1798="weekly",$A1798+7,EDATE($A1798,VLOOKUP($I1798,Ref!$B$24:$C$29,2,0))))</f>
        <v/>
      </c>
      <c r="Z1798" s="536" t="str">
        <f t="shared" si="757"/>
        <v/>
      </c>
      <c r="AA1798" s="531">
        <f t="shared" si="758"/>
        <v>0</v>
      </c>
      <c r="AB1798" s="535" t="str">
        <f t="shared" si="746"/>
        <v/>
      </c>
      <c r="AC1798" s="537" t="str">
        <f t="shared" si="747"/>
        <v/>
      </c>
      <c r="AD1798" s="538" t="str">
        <f t="shared" ca="1" si="748"/>
        <v/>
      </c>
      <c r="AE1798" s="537">
        <f t="shared" ca="1" si="749"/>
        <v>0</v>
      </c>
      <c r="AF1798" s="539" t="str">
        <f t="shared" ca="1" si="759"/>
        <v/>
      </c>
      <c r="AG1798" s="531" t="str">
        <f t="shared" ca="1" si="760"/>
        <v/>
      </c>
      <c r="AH1798" s="531" t="str">
        <f t="shared" ca="1" si="761"/>
        <v/>
      </c>
      <c r="AI1798" s="531" t="str">
        <f t="shared" ca="1" si="762"/>
        <v/>
      </c>
      <c r="AJ1798" s="531" t="str">
        <f t="shared" si="763"/>
        <v/>
      </c>
      <c r="AK1798" s="540">
        <f>SUMIFS('Live Collections'!$S:$S,'Live Collections'!$D:$D,Disbursements!B1798,'Live Collections'!$G:$G,Disbursements!C1798)</f>
        <v>0</v>
      </c>
      <c r="AL1798" s="540">
        <f>SUMIFS('Live Collections'!$T:$T,'Live Collections'!$D:$D,Disbursements!B1798,'Live Collections'!$G:$G,Disbursements!C1798)</f>
        <v>0</v>
      </c>
      <c r="AM1798" s="541">
        <f t="shared" si="764"/>
        <v>0</v>
      </c>
      <c r="AN1798" s="542" t="str">
        <f t="shared" si="765"/>
        <v/>
      </c>
      <c r="AO1798" s="542" t="str">
        <f t="shared" si="766"/>
        <v/>
      </c>
      <c r="AP1798" s="543" t="str">
        <f t="shared" si="767"/>
        <v/>
      </c>
      <c r="AQ1798" s="544" t="str">
        <f t="shared" si="768"/>
        <v/>
      </c>
      <c r="AR1798" s="545">
        <f t="shared" si="769"/>
        <v>0</v>
      </c>
      <c r="AS1798" s="545">
        <f>IFERROR(CEILING($AR1798*VLOOKUP($I1798,Ref!$B$23:$E$29,4,0),1),0)</f>
        <v>0</v>
      </c>
      <c r="AT1798" s="545" t="str">
        <f>IF(A1798="","",IF(AP1798&lt;=1,"Cleared",IF(AS1798=0,"Clean",VLOOKUP($AS1798,Ref!$G$23:$H$28,2))))</f>
        <v/>
      </c>
      <c r="AU1798" s="546" t="str">
        <f t="shared" si="770"/>
        <v/>
      </c>
    </row>
    <row r="1799" spans="1:47" ht="14.25" hidden="1" customHeight="1" x14ac:dyDescent="0.15">
      <c r="A1799" s="575"/>
      <c r="B1799" s="548"/>
      <c r="C1799" s="548"/>
      <c r="D1799" s="548"/>
      <c r="E1799" s="583"/>
      <c r="F1799" s="584"/>
      <c r="G1799" s="548"/>
      <c r="H1799" s="550"/>
      <c r="I1799" s="560"/>
      <c r="J1799" s="548"/>
      <c r="K1799" s="528" t="str">
        <f>IFERROR(VLOOKUP($B1799,'Clients-Live'!$A:$C,3,0),"")</f>
        <v/>
      </c>
      <c r="L1799" s="528">
        <f>IF(E1799="STL",Pricing!$D$38,IF(A1799="",0,IF(A1799&lt;Pricing!$C$25,Pricing!$D$25,VLOOKUP(Disbursements!$F1799,Pricing!$B$29:$D$32,3))))</f>
        <v>0</v>
      </c>
      <c r="M1799" s="528">
        <f>IF(E1799="STL",0,IF(F1799&gt;0,Pricing!$D$21,0))</f>
        <v>0</v>
      </c>
      <c r="N1799" s="529">
        <f>IF(E1799="STL",F1799*Pricing!$D$40,IF(A1799&lt;=Pricing!$C$4,0,IF(AND(A1799&gt;Pricing!$C$4,Disbursements!A1799&lt;=Pricing!$C$5),F1799*Pricing!$E$5,IF(AND(A1799&gt;Pricing!$C$5,Disbursements!A1799&lt;=Pricing!$C$7),VLOOKUP(F1799,Pricing!$D$7:$E$8,2)*Disbursements!F1799,F1799*Pricing!$E$9))))</f>
        <v>0</v>
      </c>
      <c r="O1799" s="528">
        <f>IF(E1799="STL",0,IF($F1799&gt;0,$F1799*Pricing!$D$17,0))</f>
        <v>0</v>
      </c>
      <c r="P1799" s="530" t="str">
        <f t="shared" si="750"/>
        <v/>
      </c>
      <c r="Q1799" s="531" t="str">
        <f>IF($A1799="","",$G1799/VLOOKUP($I1799,Ref!$B$23:$D$29,2,0))</f>
        <v/>
      </c>
      <c r="R1799" s="530" t="str">
        <f t="shared" si="751"/>
        <v/>
      </c>
      <c r="S1799" s="532" t="str">
        <f t="shared" si="745"/>
        <v/>
      </c>
      <c r="T1799" s="531" t="str">
        <f t="shared" si="752"/>
        <v/>
      </c>
      <c r="U1799" s="533">
        <f t="shared" si="753"/>
        <v>0</v>
      </c>
      <c r="V1799" s="531" t="str">
        <f t="shared" si="754"/>
        <v/>
      </c>
      <c r="W1799" s="531" t="str">
        <f t="shared" si="755"/>
        <v/>
      </c>
      <c r="X1799" s="534" t="str">
        <f t="shared" si="756"/>
        <v/>
      </c>
      <c r="Y1799" s="535" t="str">
        <f>IF($A1799="","",IF($I1799="weekly",$A1799+7,EDATE($A1799,VLOOKUP($I1799,Ref!$B$24:$C$29,2,0))))</f>
        <v/>
      </c>
      <c r="Z1799" s="536" t="str">
        <f t="shared" si="757"/>
        <v/>
      </c>
      <c r="AA1799" s="531">
        <f t="shared" si="758"/>
        <v>0</v>
      </c>
      <c r="AB1799" s="535" t="str">
        <f t="shared" si="746"/>
        <v/>
      </c>
      <c r="AC1799" s="537" t="str">
        <f t="shared" si="747"/>
        <v/>
      </c>
      <c r="AD1799" s="538" t="str">
        <f t="shared" ca="1" si="748"/>
        <v/>
      </c>
      <c r="AE1799" s="537">
        <f t="shared" ca="1" si="749"/>
        <v>0</v>
      </c>
      <c r="AF1799" s="539" t="str">
        <f t="shared" ca="1" si="759"/>
        <v/>
      </c>
      <c r="AG1799" s="531" t="str">
        <f t="shared" ca="1" si="760"/>
        <v/>
      </c>
      <c r="AH1799" s="531" t="str">
        <f t="shared" ca="1" si="761"/>
        <v/>
      </c>
      <c r="AI1799" s="531" t="str">
        <f t="shared" ca="1" si="762"/>
        <v/>
      </c>
      <c r="AJ1799" s="531" t="str">
        <f t="shared" si="763"/>
        <v/>
      </c>
      <c r="AK1799" s="540">
        <f>SUMIFS('Live Collections'!$S:$S,'Live Collections'!$D:$D,Disbursements!B1799,'Live Collections'!$G:$G,Disbursements!C1799)</f>
        <v>0</v>
      </c>
      <c r="AL1799" s="540">
        <f>SUMIFS('Live Collections'!$T:$T,'Live Collections'!$D:$D,Disbursements!B1799,'Live Collections'!$G:$G,Disbursements!C1799)</f>
        <v>0</v>
      </c>
      <c r="AM1799" s="541">
        <f t="shared" si="764"/>
        <v>0</v>
      </c>
      <c r="AN1799" s="542" t="str">
        <f t="shared" si="765"/>
        <v/>
      </c>
      <c r="AO1799" s="542" t="str">
        <f t="shared" si="766"/>
        <v/>
      </c>
      <c r="AP1799" s="543" t="str">
        <f t="shared" si="767"/>
        <v/>
      </c>
      <c r="AQ1799" s="544" t="str">
        <f t="shared" si="768"/>
        <v/>
      </c>
      <c r="AR1799" s="545">
        <f t="shared" si="769"/>
        <v>0</v>
      </c>
      <c r="AS1799" s="545">
        <f>IFERROR(CEILING($AR1799*VLOOKUP($I1799,Ref!$B$23:$E$29,4,0),1),0)</f>
        <v>0</v>
      </c>
      <c r="AT1799" s="545" t="str">
        <f>IF(A1799="","",IF(AP1799&lt;=1,"Cleared",IF(AS1799=0,"Clean",VLOOKUP($AS1799,Ref!$G$23:$H$28,2))))</f>
        <v/>
      </c>
      <c r="AU1799" s="546" t="str">
        <f t="shared" si="770"/>
        <v/>
      </c>
    </row>
    <row r="1800" spans="1:47" ht="14.25" hidden="1" customHeight="1" x14ac:dyDescent="0.15">
      <c r="A1800" s="575"/>
      <c r="B1800" s="548"/>
      <c r="C1800" s="548"/>
      <c r="D1800" s="548"/>
      <c r="E1800" s="583"/>
      <c r="F1800" s="584"/>
      <c r="G1800" s="548"/>
      <c r="H1800" s="550"/>
      <c r="I1800" s="560"/>
      <c r="J1800" s="548"/>
      <c r="K1800" s="528" t="str">
        <f>IFERROR(VLOOKUP($B1800,'Clients-Live'!$A:$C,3,0),"")</f>
        <v/>
      </c>
      <c r="L1800" s="528">
        <f>IF(E1800="STL",Pricing!$D$38,IF(A1800="",0,IF(A1800&lt;Pricing!$C$25,Pricing!$D$25,VLOOKUP(Disbursements!$F1800,Pricing!$B$29:$D$32,3))))</f>
        <v>0</v>
      </c>
      <c r="M1800" s="528">
        <f>IF(E1800="STL",0,IF(F1800&gt;0,Pricing!$D$21,0))</f>
        <v>0</v>
      </c>
      <c r="N1800" s="529">
        <f>IF(E1800="STL",F1800*Pricing!$D$40,IF(A1800&lt;=Pricing!$C$4,0,IF(AND(A1800&gt;Pricing!$C$4,Disbursements!A1800&lt;=Pricing!$C$5),F1800*Pricing!$E$5,IF(AND(A1800&gt;Pricing!$C$5,Disbursements!A1800&lt;=Pricing!$C$7),VLOOKUP(F1800,Pricing!$D$7:$E$8,2)*Disbursements!F1800,F1800*Pricing!$E$9))))</f>
        <v>0</v>
      </c>
      <c r="O1800" s="528">
        <f>IF(E1800="STL",0,IF($F1800&gt;0,$F1800*Pricing!$D$17,0))</f>
        <v>0</v>
      </c>
      <c r="P1800" s="530" t="str">
        <f t="shared" si="750"/>
        <v/>
      </c>
      <c r="Q1800" s="531" t="str">
        <f>IF($A1800="","",$G1800/VLOOKUP($I1800,Ref!$B$23:$D$29,2,0))</f>
        <v/>
      </c>
      <c r="R1800" s="530" t="str">
        <f t="shared" si="751"/>
        <v/>
      </c>
      <c r="S1800" s="532" t="str">
        <f t="shared" si="745"/>
        <v/>
      </c>
      <c r="T1800" s="531" t="str">
        <f t="shared" si="752"/>
        <v/>
      </c>
      <c r="U1800" s="533">
        <f t="shared" si="753"/>
        <v>0</v>
      </c>
      <c r="V1800" s="531" t="str">
        <f t="shared" si="754"/>
        <v/>
      </c>
      <c r="W1800" s="531" t="str">
        <f t="shared" si="755"/>
        <v/>
      </c>
      <c r="X1800" s="534" t="str">
        <f t="shared" si="756"/>
        <v/>
      </c>
      <c r="Y1800" s="535" t="str">
        <f>IF($A1800="","",IF($I1800="weekly",$A1800+7,EDATE($A1800,VLOOKUP($I1800,Ref!$B$24:$C$29,2,0))))</f>
        <v/>
      </c>
      <c r="Z1800" s="536" t="str">
        <f t="shared" si="757"/>
        <v/>
      </c>
      <c r="AA1800" s="531">
        <f t="shared" si="758"/>
        <v>0</v>
      </c>
      <c r="AB1800" s="535" t="str">
        <f t="shared" si="746"/>
        <v/>
      </c>
      <c r="AC1800" s="537" t="str">
        <f t="shared" si="747"/>
        <v/>
      </c>
      <c r="AD1800" s="538" t="str">
        <f t="shared" ca="1" si="748"/>
        <v/>
      </c>
      <c r="AE1800" s="537">
        <f t="shared" ca="1" si="749"/>
        <v>0</v>
      </c>
      <c r="AF1800" s="539" t="str">
        <f t="shared" ca="1" si="759"/>
        <v/>
      </c>
      <c r="AG1800" s="531" t="str">
        <f t="shared" ca="1" si="760"/>
        <v/>
      </c>
      <c r="AH1800" s="531" t="str">
        <f t="shared" ca="1" si="761"/>
        <v/>
      </c>
      <c r="AI1800" s="531" t="str">
        <f t="shared" ca="1" si="762"/>
        <v/>
      </c>
      <c r="AJ1800" s="531" t="str">
        <f t="shared" si="763"/>
        <v/>
      </c>
      <c r="AK1800" s="540">
        <f>SUMIFS('Live Collections'!$S:$S,'Live Collections'!$D:$D,Disbursements!B1800,'Live Collections'!$G:$G,Disbursements!C1800)</f>
        <v>0</v>
      </c>
      <c r="AL1800" s="540">
        <f>SUMIFS('Live Collections'!$T:$T,'Live Collections'!$D:$D,Disbursements!B1800,'Live Collections'!$G:$G,Disbursements!C1800)</f>
        <v>0</v>
      </c>
      <c r="AM1800" s="541">
        <f t="shared" si="764"/>
        <v>0</v>
      </c>
      <c r="AN1800" s="542" t="str">
        <f t="shared" si="765"/>
        <v/>
      </c>
      <c r="AO1800" s="542" t="str">
        <f t="shared" si="766"/>
        <v/>
      </c>
      <c r="AP1800" s="543" t="str">
        <f t="shared" si="767"/>
        <v/>
      </c>
      <c r="AQ1800" s="544" t="str">
        <f t="shared" si="768"/>
        <v/>
      </c>
      <c r="AR1800" s="545">
        <f t="shared" si="769"/>
        <v>0</v>
      </c>
      <c r="AS1800" s="545">
        <f>IFERROR(CEILING($AR1800*VLOOKUP($I1800,Ref!$B$23:$E$29,4,0),1),0)</f>
        <v>0</v>
      </c>
      <c r="AT1800" s="545" t="str">
        <f>IF(A1800="","",IF(AP1800&lt;=1,"Cleared",IF(AS1800=0,"Clean",VLOOKUP($AS1800,Ref!$G$23:$H$28,2))))</f>
        <v/>
      </c>
      <c r="AU1800" s="546" t="str">
        <f t="shared" si="770"/>
        <v/>
      </c>
    </row>
    <row r="1801" spans="1:47" ht="14.25" hidden="1" customHeight="1" x14ac:dyDescent="0.15">
      <c r="A1801" s="575"/>
      <c r="B1801" s="548"/>
      <c r="C1801" s="548"/>
      <c r="D1801" s="548"/>
      <c r="E1801" s="583"/>
      <c r="F1801" s="584"/>
      <c r="G1801" s="548"/>
      <c r="H1801" s="550"/>
      <c r="I1801" s="560"/>
      <c r="J1801" s="548"/>
      <c r="K1801" s="528" t="str">
        <f>IFERROR(VLOOKUP($B1801,'Clients-Live'!$A:$C,3,0),"")</f>
        <v/>
      </c>
      <c r="L1801" s="528">
        <f>IF(E1801="STL",Pricing!$D$38,IF(A1801="",0,IF(A1801&lt;Pricing!$C$25,Pricing!$D$25,VLOOKUP(Disbursements!$F1801,Pricing!$B$29:$D$32,3))))</f>
        <v>0</v>
      </c>
      <c r="M1801" s="528">
        <f>IF(E1801="STL",0,IF(F1801&gt;0,Pricing!$D$21,0))</f>
        <v>0</v>
      </c>
      <c r="N1801" s="529">
        <f>IF(E1801="STL",F1801*Pricing!$D$40,IF(A1801&lt;=Pricing!$C$4,0,IF(AND(A1801&gt;Pricing!$C$4,Disbursements!A1801&lt;=Pricing!$C$5),F1801*Pricing!$E$5,IF(AND(A1801&gt;Pricing!$C$5,Disbursements!A1801&lt;=Pricing!$C$7),VLOOKUP(F1801,Pricing!$D$7:$E$8,2)*Disbursements!F1801,F1801*Pricing!$E$9))))</f>
        <v>0</v>
      </c>
      <c r="O1801" s="528">
        <f>IF(E1801="STL",0,IF($F1801&gt;0,$F1801*Pricing!$D$17,0))</f>
        <v>0</v>
      </c>
      <c r="P1801" s="530" t="str">
        <f t="shared" si="750"/>
        <v/>
      </c>
      <c r="Q1801" s="531" t="str">
        <f>IF($A1801="","",$G1801/VLOOKUP($I1801,Ref!$B$23:$D$29,2,0))</f>
        <v/>
      </c>
      <c r="R1801" s="530" t="str">
        <f t="shared" si="751"/>
        <v/>
      </c>
      <c r="S1801" s="532" t="str">
        <f t="shared" si="745"/>
        <v/>
      </c>
      <c r="T1801" s="531" t="str">
        <f t="shared" si="752"/>
        <v/>
      </c>
      <c r="U1801" s="533">
        <f t="shared" si="753"/>
        <v>0</v>
      </c>
      <c r="V1801" s="531" t="str">
        <f t="shared" si="754"/>
        <v/>
      </c>
      <c r="W1801" s="531" t="str">
        <f t="shared" si="755"/>
        <v/>
      </c>
      <c r="X1801" s="534" t="str">
        <f t="shared" si="756"/>
        <v/>
      </c>
      <c r="Y1801" s="535" t="str">
        <f>IF($A1801="","",IF($I1801="weekly",$A1801+7,EDATE($A1801,VLOOKUP($I1801,Ref!$B$24:$C$29,2,0))))</f>
        <v/>
      </c>
      <c r="Z1801" s="536" t="str">
        <f t="shared" si="757"/>
        <v/>
      </c>
      <c r="AA1801" s="531">
        <f t="shared" si="758"/>
        <v>0</v>
      </c>
      <c r="AB1801" s="535" t="str">
        <f t="shared" si="746"/>
        <v/>
      </c>
      <c r="AC1801" s="537" t="str">
        <f t="shared" si="747"/>
        <v/>
      </c>
      <c r="AD1801" s="538" t="str">
        <f t="shared" ca="1" si="748"/>
        <v/>
      </c>
      <c r="AE1801" s="537">
        <f t="shared" ca="1" si="749"/>
        <v>0</v>
      </c>
      <c r="AF1801" s="539" t="str">
        <f t="shared" ca="1" si="759"/>
        <v/>
      </c>
      <c r="AG1801" s="531" t="str">
        <f t="shared" ca="1" si="760"/>
        <v/>
      </c>
      <c r="AH1801" s="531" t="str">
        <f t="shared" ca="1" si="761"/>
        <v/>
      </c>
      <c r="AI1801" s="531" t="str">
        <f t="shared" ca="1" si="762"/>
        <v/>
      </c>
      <c r="AJ1801" s="531" t="str">
        <f t="shared" si="763"/>
        <v/>
      </c>
      <c r="AK1801" s="540">
        <f>SUMIFS('Live Collections'!$S:$S,'Live Collections'!$D:$D,Disbursements!B1801,'Live Collections'!$G:$G,Disbursements!C1801)</f>
        <v>0</v>
      </c>
      <c r="AL1801" s="540">
        <f>SUMIFS('Live Collections'!$T:$T,'Live Collections'!$D:$D,Disbursements!B1801,'Live Collections'!$G:$G,Disbursements!C1801)</f>
        <v>0</v>
      </c>
      <c r="AM1801" s="541">
        <f t="shared" si="764"/>
        <v>0</v>
      </c>
      <c r="AN1801" s="542" t="str">
        <f t="shared" si="765"/>
        <v/>
      </c>
      <c r="AO1801" s="542" t="str">
        <f t="shared" si="766"/>
        <v/>
      </c>
      <c r="AP1801" s="543" t="str">
        <f t="shared" si="767"/>
        <v/>
      </c>
      <c r="AQ1801" s="544" t="str">
        <f t="shared" si="768"/>
        <v/>
      </c>
      <c r="AR1801" s="545">
        <f t="shared" si="769"/>
        <v>0</v>
      </c>
      <c r="AS1801" s="545">
        <f>IFERROR(CEILING($AR1801*VLOOKUP($I1801,Ref!$B$23:$E$29,4,0),1),0)</f>
        <v>0</v>
      </c>
      <c r="AT1801" s="545" t="str">
        <f>IF(A1801="","",IF(AP1801&lt;=1,"Cleared",IF(AS1801=0,"Clean",VLOOKUP($AS1801,Ref!$G$23:$H$28,2))))</f>
        <v/>
      </c>
      <c r="AU1801" s="546" t="str">
        <f t="shared" si="770"/>
        <v/>
      </c>
    </row>
    <row r="1802" spans="1:47" ht="14.25" hidden="1" customHeight="1" x14ac:dyDescent="0.15">
      <c r="A1802" s="575"/>
      <c r="B1802" s="548"/>
      <c r="C1802" s="548"/>
      <c r="D1802" s="548"/>
      <c r="E1802" s="583"/>
      <c r="F1802" s="584"/>
      <c r="G1802" s="548"/>
      <c r="H1802" s="550"/>
      <c r="I1802" s="560"/>
      <c r="J1802" s="548"/>
      <c r="K1802" s="528" t="str">
        <f>IFERROR(VLOOKUP($B1802,'Clients-Live'!$A:$C,3,0),"")</f>
        <v/>
      </c>
      <c r="L1802" s="528">
        <f>IF(E1802="STL",Pricing!$D$38,IF(A1802="",0,IF(A1802&lt;Pricing!$C$25,Pricing!$D$25,VLOOKUP(Disbursements!$F1802,Pricing!$B$29:$D$32,3))))</f>
        <v>0</v>
      </c>
      <c r="M1802" s="528">
        <f>IF(E1802="STL",0,IF(F1802&gt;0,Pricing!$D$21,0))</f>
        <v>0</v>
      </c>
      <c r="N1802" s="529">
        <f>IF(E1802="STL",F1802*Pricing!$D$40,IF(A1802&lt;=Pricing!$C$4,0,IF(AND(A1802&gt;Pricing!$C$4,Disbursements!A1802&lt;=Pricing!$C$5),F1802*Pricing!$E$5,IF(AND(A1802&gt;Pricing!$C$5,Disbursements!A1802&lt;=Pricing!$C$7),VLOOKUP(F1802,Pricing!$D$7:$E$8,2)*Disbursements!F1802,F1802*Pricing!$E$9))))</f>
        <v>0</v>
      </c>
      <c r="O1802" s="528">
        <f>IF(E1802="STL",0,IF($F1802&gt;0,$F1802*Pricing!$D$17,0))</f>
        <v>0</v>
      </c>
      <c r="P1802" s="530" t="str">
        <f t="shared" si="750"/>
        <v/>
      </c>
      <c r="Q1802" s="531" t="str">
        <f>IF($A1802="","",$G1802/VLOOKUP($I1802,Ref!$B$23:$D$29,2,0))</f>
        <v/>
      </c>
      <c r="R1802" s="530" t="str">
        <f t="shared" si="751"/>
        <v/>
      </c>
      <c r="S1802" s="532" t="str">
        <f t="shared" si="745"/>
        <v/>
      </c>
      <c r="T1802" s="531" t="str">
        <f t="shared" si="752"/>
        <v/>
      </c>
      <c r="U1802" s="533">
        <f t="shared" si="753"/>
        <v>0</v>
      </c>
      <c r="V1802" s="531" t="str">
        <f t="shared" si="754"/>
        <v/>
      </c>
      <c r="W1802" s="531" t="str">
        <f t="shared" si="755"/>
        <v/>
      </c>
      <c r="X1802" s="534" t="str">
        <f t="shared" si="756"/>
        <v/>
      </c>
      <c r="Y1802" s="535" t="str">
        <f>IF($A1802="","",IF($I1802="weekly",$A1802+7,EDATE($A1802,VLOOKUP($I1802,Ref!$B$24:$C$29,2,0))))</f>
        <v/>
      </c>
      <c r="Z1802" s="536" t="str">
        <f t="shared" si="757"/>
        <v/>
      </c>
      <c r="AA1802" s="531">
        <f t="shared" si="758"/>
        <v>0</v>
      </c>
      <c r="AB1802" s="535" t="str">
        <f t="shared" si="746"/>
        <v/>
      </c>
      <c r="AC1802" s="537" t="str">
        <f t="shared" si="747"/>
        <v/>
      </c>
      <c r="AD1802" s="538" t="str">
        <f t="shared" ca="1" si="748"/>
        <v/>
      </c>
      <c r="AE1802" s="537">
        <f t="shared" ca="1" si="749"/>
        <v>0</v>
      </c>
      <c r="AF1802" s="539" t="str">
        <f t="shared" ca="1" si="759"/>
        <v/>
      </c>
      <c r="AG1802" s="531" t="str">
        <f t="shared" ca="1" si="760"/>
        <v/>
      </c>
      <c r="AH1802" s="531" t="str">
        <f t="shared" ca="1" si="761"/>
        <v/>
      </c>
      <c r="AI1802" s="531" t="str">
        <f t="shared" ca="1" si="762"/>
        <v/>
      </c>
      <c r="AJ1802" s="531" t="str">
        <f t="shared" si="763"/>
        <v/>
      </c>
      <c r="AK1802" s="540">
        <f>SUMIFS('Live Collections'!$S:$S,'Live Collections'!$D:$D,Disbursements!B1802,'Live Collections'!$G:$G,Disbursements!C1802)</f>
        <v>0</v>
      </c>
      <c r="AL1802" s="540">
        <f>SUMIFS('Live Collections'!$T:$T,'Live Collections'!$D:$D,Disbursements!B1802,'Live Collections'!$G:$G,Disbursements!C1802)</f>
        <v>0</v>
      </c>
      <c r="AM1802" s="541">
        <f t="shared" si="764"/>
        <v>0</v>
      </c>
      <c r="AN1802" s="542" t="str">
        <f t="shared" si="765"/>
        <v/>
      </c>
      <c r="AO1802" s="542" t="str">
        <f t="shared" si="766"/>
        <v/>
      </c>
      <c r="AP1802" s="543" t="str">
        <f t="shared" si="767"/>
        <v/>
      </c>
      <c r="AQ1802" s="544" t="str">
        <f t="shared" si="768"/>
        <v/>
      </c>
      <c r="AR1802" s="545">
        <f t="shared" si="769"/>
        <v>0</v>
      </c>
      <c r="AS1802" s="545">
        <f>IFERROR(CEILING($AR1802*VLOOKUP($I1802,Ref!$B$23:$E$29,4,0),1),0)</f>
        <v>0</v>
      </c>
      <c r="AT1802" s="545" t="str">
        <f>IF(A1802="","",IF(AP1802&lt;=1,"Cleared",IF(AS1802=0,"Clean",VLOOKUP($AS1802,Ref!$G$23:$H$28,2))))</f>
        <v/>
      </c>
      <c r="AU1802" s="546" t="str">
        <f t="shared" si="770"/>
        <v/>
      </c>
    </row>
    <row r="1803" spans="1:47" ht="14.25" hidden="1" customHeight="1" x14ac:dyDescent="0.15">
      <c r="A1803" s="575"/>
      <c r="B1803" s="548"/>
      <c r="C1803" s="548"/>
      <c r="D1803" s="548"/>
      <c r="E1803" s="583"/>
      <c r="F1803" s="584"/>
      <c r="G1803" s="548"/>
      <c r="H1803" s="550"/>
      <c r="I1803" s="560"/>
      <c r="J1803" s="548"/>
      <c r="K1803" s="528" t="str">
        <f>IFERROR(VLOOKUP($B1803,'Clients-Live'!$A:$C,3,0),"")</f>
        <v/>
      </c>
      <c r="L1803" s="528">
        <f>IF(E1803="STL",Pricing!$D$38,IF(A1803="",0,IF(A1803&lt;Pricing!$C$25,Pricing!$D$25,VLOOKUP(Disbursements!$F1803,Pricing!$B$29:$D$32,3))))</f>
        <v>0</v>
      </c>
      <c r="M1803" s="528">
        <f>IF(E1803="STL",0,IF(F1803&gt;0,Pricing!$D$21,0))</f>
        <v>0</v>
      </c>
      <c r="N1803" s="529">
        <f>IF(E1803="STL",F1803*Pricing!$D$40,IF(A1803&lt;=Pricing!$C$4,0,IF(AND(A1803&gt;Pricing!$C$4,Disbursements!A1803&lt;=Pricing!$C$5),F1803*Pricing!$E$5,IF(AND(A1803&gt;Pricing!$C$5,Disbursements!A1803&lt;=Pricing!$C$7),VLOOKUP(F1803,Pricing!$D$7:$E$8,2)*Disbursements!F1803,F1803*Pricing!$E$9))))</f>
        <v>0</v>
      </c>
      <c r="O1803" s="528">
        <f>IF(E1803="STL",0,IF($F1803&gt;0,$F1803*Pricing!$D$17,0))</f>
        <v>0</v>
      </c>
      <c r="P1803" s="530" t="str">
        <f t="shared" si="750"/>
        <v/>
      </c>
      <c r="Q1803" s="531" t="str">
        <f>IF($A1803="","",$G1803/VLOOKUP($I1803,Ref!$B$23:$D$29,2,0))</f>
        <v/>
      </c>
      <c r="R1803" s="530" t="str">
        <f t="shared" si="751"/>
        <v/>
      </c>
      <c r="S1803" s="532" t="str">
        <f t="shared" si="745"/>
        <v/>
      </c>
      <c r="T1803" s="531" t="str">
        <f t="shared" si="752"/>
        <v/>
      </c>
      <c r="U1803" s="533">
        <f t="shared" si="753"/>
        <v>0</v>
      </c>
      <c r="V1803" s="531" t="str">
        <f t="shared" si="754"/>
        <v/>
      </c>
      <c r="W1803" s="531" t="str">
        <f t="shared" si="755"/>
        <v/>
      </c>
      <c r="X1803" s="534" t="str">
        <f t="shared" si="756"/>
        <v/>
      </c>
      <c r="Y1803" s="535" t="str">
        <f>IF($A1803="","",IF($I1803="weekly",$A1803+7,EDATE($A1803,VLOOKUP($I1803,Ref!$B$24:$C$29,2,0))))</f>
        <v/>
      </c>
      <c r="Z1803" s="536" t="str">
        <f t="shared" si="757"/>
        <v/>
      </c>
      <c r="AA1803" s="531">
        <f t="shared" si="758"/>
        <v>0</v>
      </c>
      <c r="AB1803" s="535" t="str">
        <f t="shared" si="746"/>
        <v/>
      </c>
      <c r="AC1803" s="537" t="str">
        <f t="shared" si="747"/>
        <v/>
      </c>
      <c r="AD1803" s="538" t="str">
        <f t="shared" ca="1" si="748"/>
        <v/>
      </c>
      <c r="AE1803" s="537">
        <f t="shared" ca="1" si="749"/>
        <v>0</v>
      </c>
      <c r="AF1803" s="539" t="str">
        <f t="shared" ca="1" si="759"/>
        <v/>
      </c>
      <c r="AG1803" s="531" t="str">
        <f t="shared" ca="1" si="760"/>
        <v/>
      </c>
      <c r="AH1803" s="531" t="str">
        <f t="shared" ca="1" si="761"/>
        <v/>
      </c>
      <c r="AI1803" s="531" t="str">
        <f t="shared" ca="1" si="762"/>
        <v/>
      </c>
      <c r="AJ1803" s="531" t="str">
        <f t="shared" si="763"/>
        <v/>
      </c>
      <c r="AK1803" s="540">
        <f>SUMIFS('Live Collections'!$S:$S,'Live Collections'!$D:$D,Disbursements!B1803,'Live Collections'!$G:$G,Disbursements!C1803)</f>
        <v>0</v>
      </c>
      <c r="AL1803" s="540">
        <f>SUMIFS('Live Collections'!$T:$T,'Live Collections'!$D:$D,Disbursements!B1803,'Live Collections'!$G:$G,Disbursements!C1803)</f>
        <v>0</v>
      </c>
      <c r="AM1803" s="541">
        <f t="shared" si="764"/>
        <v>0</v>
      </c>
      <c r="AN1803" s="542" t="str">
        <f t="shared" si="765"/>
        <v/>
      </c>
      <c r="AO1803" s="542" t="str">
        <f t="shared" si="766"/>
        <v/>
      </c>
      <c r="AP1803" s="543" t="str">
        <f t="shared" si="767"/>
        <v/>
      </c>
      <c r="AQ1803" s="544" t="str">
        <f t="shared" si="768"/>
        <v/>
      </c>
      <c r="AR1803" s="545">
        <f t="shared" si="769"/>
        <v>0</v>
      </c>
      <c r="AS1803" s="545">
        <f>IFERROR(CEILING($AR1803*VLOOKUP($I1803,Ref!$B$23:$E$29,4,0),1),0)</f>
        <v>0</v>
      </c>
      <c r="AT1803" s="545" t="str">
        <f>IF(A1803="","",IF(AP1803&lt;=1,"Cleared",IF(AS1803=0,"Clean",VLOOKUP($AS1803,Ref!$G$23:$H$28,2))))</f>
        <v/>
      </c>
      <c r="AU1803" s="546" t="str">
        <f t="shared" si="770"/>
        <v/>
      </c>
    </row>
    <row r="1804" spans="1:47" ht="14.25" hidden="1" customHeight="1" x14ac:dyDescent="0.15">
      <c r="A1804" s="575"/>
      <c r="B1804" s="548"/>
      <c r="C1804" s="548"/>
      <c r="D1804" s="548"/>
      <c r="E1804" s="583"/>
      <c r="F1804" s="584"/>
      <c r="G1804" s="548"/>
      <c r="H1804" s="550"/>
      <c r="I1804" s="560"/>
      <c r="J1804" s="548"/>
      <c r="K1804" s="528" t="str">
        <f>IFERROR(VLOOKUP($B1804,'Clients-Live'!$A:$C,3,0),"")</f>
        <v/>
      </c>
      <c r="L1804" s="528">
        <f>IF(E1804="STL",Pricing!$D$38,IF(A1804="",0,IF(A1804&lt;Pricing!$C$25,Pricing!$D$25,VLOOKUP(Disbursements!$F1804,Pricing!$B$29:$D$32,3))))</f>
        <v>0</v>
      </c>
      <c r="M1804" s="528">
        <f>IF(E1804="STL",0,IF(F1804&gt;0,Pricing!$D$21,0))</f>
        <v>0</v>
      </c>
      <c r="N1804" s="529">
        <f>IF(E1804="STL",F1804*Pricing!$D$40,IF(A1804&lt;=Pricing!$C$4,0,IF(AND(A1804&gt;Pricing!$C$4,Disbursements!A1804&lt;=Pricing!$C$5),F1804*Pricing!$E$5,IF(AND(A1804&gt;Pricing!$C$5,Disbursements!A1804&lt;=Pricing!$C$7),VLOOKUP(F1804,Pricing!$D$7:$E$8,2)*Disbursements!F1804,F1804*Pricing!$E$9))))</f>
        <v>0</v>
      </c>
      <c r="O1804" s="528">
        <f>IF(E1804="STL",0,IF($F1804&gt;0,$F1804*Pricing!$D$17,0))</f>
        <v>0</v>
      </c>
      <c r="P1804" s="530" t="str">
        <f t="shared" si="750"/>
        <v/>
      </c>
      <c r="Q1804" s="531" t="str">
        <f>IF($A1804="","",$G1804/VLOOKUP($I1804,Ref!$B$23:$D$29,2,0))</f>
        <v/>
      </c>
      <c r="R1804" s="530" t="str">
        <f t="shared" si="751"/>
        <v/>
      </c>
      <c r="S1804" s="532" t="str">
        <f t="shared" si="745"/>
        <v/>
      </c>
      <c r="T1804" s="531" t="str">
        <f t="shared" si="752"/>
        <v/>
      </c>
      <c r="U1804" s="533">
        <f t="shared" si="753"/>
        <v>0</v>
      </c>
      <c r="V1804" s="531" t="str">
        <f t="shared" si="754"/>
        <v/>
      </c>
      <c r="W1804" s="531" t="str">
        <f t="shared" si="755"/>
        <v/>
      </c>
      <c r="X1804" s="534" t="str">
        <f t="shared" si="756"/>
        <v/>
      </c>
      <c r="Y1804" s="535" t="str">
        <f>IF($A1804="","",IF($I1804="weekly",$A1804+7,EDATE($A1804,VLOOKUP($I1804,Ref!$B$24:$C$29,2,0))))</f>
        <v/>
      </c>
      <c r="Z1804" s="536" t="str">
        <f t="shared" si="757"/>
        <v/>
      </c>
      <c r="AA1804" s="531">
        <f t="shared" si="758"/>
        <v>0</v>
      </c>
      <c r="AB1804" s="535" t="str">
        <f t="shared" si="746"/>
        <v/>
      </c>
      <c r="AC1804" s="537" t="str">
        <f t="shared" si="747"/>
        <v/>
      </c>
      <c r="AD1804" s="538" t="str">
        <f t="shared" ca="1" si="748"/>
        <v/>
      </c>
      <c r="AE1804" s="537">
        <f t="shared" ca="1" si="749"/>
        <v>0</v>
      </c>
      <c r="AF1804" s="539" t="str">
        <f t="shared" ca="1" si="759"/>
        <v/>
      </c>
      <c r="AG1804" s="531" t="str">
        <f t="shared" ca="1" si="760"/>
        <v/>
      </c>
      <c r="AH1804" s="531" t="str">
        <f t="shared" ca="1" si="761"/>
        <v/>
      </c>
      <c r="AI1804" s="531" t="str">
        <f t="shared" ca="1" si="762"/>
        <v/>
      </c>
      <c r="AJ1804" s="531" t="str">
        <f t="shared" si="763"/>
        <v/>
      </c>
      <c r="AK1804" s="540">
        <f>SUMIFS('Live Collections'!$S:$S,'Live Collections'!$D:$D,Disbursements!B1804,'Live Collections'!$G:$G,Disbursements!C1804)</f>
        <v>0</v>
      </c>
      <c r="AL1804" s="540">
        <f>SUMIFS('Live Collections'!$T:$T,'Live Collections'!$D:$D,Disbursements!B1804,'Live Collections'!$G:$G,Disbursements!C1804)</f>
        <v>0</v>
      </c>
      <c r="AM1804" s="541">
        <f t="shared" si="764"/>
        <v>0</v>
      </c>
      <c r="AN1804" s="542" t="str">
        <f t="shared" si="765"/>
        <v/>
      </c>
      <c r="AO1804" s="542" t="str">
        <f t="shared" si="766"/>
        <v/>
      </c>
      <c r="AP1804" s="543" t="str">
        <f t="shared" si="767"/>
        <v/>
      </c>
      <c r="AQ1804" s="544" t="str">
        <f t="shared" si="768"/>
        <v/>
      </c>
      <c r="AR1804" s="545">
        <f t="shared" si="769"/>
        <v>0</v>
      </c>
      <c r="AS1804" s="545">
        <f>IFERROR(CEILING($AR1804*VLOOKUP($I1804,Ref!$B$23:$E$29,4,0),1),0)</f>
        <v>0</v>
      </c>
      <c r="AT1804" s="545" t="str">
        <f>IF(A1804="","",IF(AP1804&lt;=1,"Cleared",IF(AS1804=0,"Clean",VLOOKUP($AS1804,Ref!$G$23:$H$28,2))))</f>
        <v/>
      </c>
      <c r="AU1804" s="546" t="str">
        <f t="shared" si="770"/>
        <v/>
      </c>
    </row>
    <row r="1805" spans="1:47" ht="14.25" hidden="1" customHeight="1" x14ac:dyDescent="0.15">
      <c r="A1805" s="575"/>
      <c r="B1805" s="548"/>
      <c r="C1805" s="548"/>
      <c r="D1805" s="548"/>
      <c r="E1805" s="583"/>
      <c r="F1805" s="584"/>
      <c r="G1805" s="548"/>
      <c r="H1805" s="550"/>
      <c r="I1805" s="560"/>
      <c r="J1805" s="548"/>
      <c r="K1805" s="528" t="str">
        <f>IFERROR(VLOOKUP($B1805,'Clients-Live'!$A:$C,3,0),"")</f>
        <v/>
      </c>
      <c r="L1805" s="528">
        <f>IF(E1805="STL",Pricing!$D$38,IF(A1805="",0,IF(A1805&lt;Pricing!$C$25,Pricing!$D$25,VLOOKUP(Disbursements!$F1805,Pricing!$B$29:$D$32,3))))</f>
        <v>0</v>
      </c>
      <c r="M1805" s="528">
        <f>IF(E1805="STL",0,IF(F1805&gt;0,Pricing!$D$21,0))</f>
        <v>0</v>
      </c>
      <c r="N1805" s="529">
        <f>IF(E1805="STL",F1805*Pricing!$D$40,IF(A1805&lt;=Pricing!$C$4,0,IF(AND(A1805&gt;Pricing!$C$4,Disbursements!A1805&lt;=Pricing!$C$5),F1805*Pricing!$E$5,IF(AND(A1805&gt;Pricing!$C$5,Disbursements!A1805&lt;=Pricing!$C$7),VLOOKUP(F1805,Pricing!$D$7:$E$8,2)*Disbursements!F1805,F1805*Pricing!$E$9))))</f>
        <v>0</v>
      </c>
      <c r="O1805" s="528">
        <f>IF(E1805="STL",0,IF($F1805&gt;0,$F1805*Pricing!$D$17,0))</f>
        <v>0</v>
      </c>
      <c r="P1805" s="530" t="str">
        <f t="shared" si="750"/>
        <v/>
      </c>
      <c r="Q1805" s="531" t="str">
        <f>IF($A1805="","",$G1805/VLOOKUP($I1805,Ref!$B$23:$D$29,2,0))</f>
        <v/>
      </c>
      <c r="R1805" s="530" t="str">
        <f t="shared" si="751"/>
        <v/>
      </c>
      <c r="S1805" s="532" t="str">
        <f t="shared" si="745"/>
        <v/>
      </c>
      <c r="T1805" s="531" t="str">
        <f t="shared" si="752"/>
        <v/>
      </c>
      <c r="U1805" s="533">
        <f t="shared" si="753"/>
        <v>0</v>
      </c>
      <c r="V1805" s="531" t="str">
        <f t="shared" si="754"/>
        <v/>
      </c>
      <c r="W1805" s="531" t="str">
        <f t="shared" si="755"/>
        <v/>
      </c>
      <c r="X1805" s="534" t="str">
        <f t="shared" si="756"/>
        <v/>
      </c>
      <c r="Y1805" s="535" t="str">
        <f>IF($A1805="","",IF($I1805="weekly",$A1805+7,EDATE($A1805,VLOOKUP($I1805,Ref!$B$24:$C$29,2,0))))</f>
        <v/>
      </c>
      <c r="Z1805" s="536" t="str">
        <f t="shared" si="757"/>
        <v/>
      </c>
      <c r="AA1805" s="531">
        <f t="shared" si="758"/>
        <v>0</v>
      </c>
      <c r="AB1805" s="535" t="str">
        <f t="shared" si="746"/>
        <v/>
      </c>
      <c r="AC1805" s="537" t="str">
        <f t="shared" si="747"/>
        <v/>
      </c>
      <c r="AD1805" s="538" t="str">
        <f t="shared" ca="1" si="748"/>
        <v/>
      </c>
      <c r="AE1805" s="537">
        <f t="shared" ca="1" si="749"/>
        <v>0</v>
      </c>
      <c r="AF1805" s="539" t="str">
        <f t="shared" ca="1" si="759"/>
        <v/>
      </c>
      <c r="AG1805" s="531" t="str">
        <f t="shared" ca="1" si="760"/>
        <v/>
      </c>
      <c r="AH1805" s="531" t="str">
        <f t="shared" ca="1" si="761"/>
        <v/>
      </c>
      <c r="AI1805" s="531" t="str">
        <f t="shared" ca="1" si="762"/>
        <v/>
      </c>
      <c r="AJ1805" s="531" t="str">
        <f t="shared" si="763"/>
        <v/>
      </c>
      <c r="AK1805" s="540">
        <f>SUMIFS('Live Collections'!$S:$S,'Live Collections'!$D:$D,Disbursements!B1805,'Live Collections'!$G:$G,Disbursements!C1805)</f>
        <v>0</v>
      </c>
      <c r="AL1805" s="540">
        <f>SUMIFS('Live Collections'!$T:$T,'Live Collections'!$D:$D,Disbursements!B1805,'Live Collections'!$G:$G,Disbursements!C1805)</f>
        <v>0</v>
      </c>
      <c r="AM1805" s="541">
        <f t="shared" si="764"/>
        <v>0</v>
      </c>
      <c r="AN1805" s="542" t="str">
        <f t="shared" si="765"/>
        <v/>
      </c>
      <c r="AO1805" s="542" t="str">
        <f t="shared" si="766"/>
        <v/>
      </c>
      <c r="AP1805" s="543" t="str">
        <f t="shared" si="767"/>
        <v/>
      </c>
      <c r="AQ1805" s="544" t="str">
        <f t="shared" si="768"/>
        <v/>
      </c>
      <c r="AR1805" s="545">
        <f t="shared" si="769"/>
        <v>0</v>
      </c>
      <c r="AS1805" s="545">
        <f>IFERROR(CEILING($AR1805*VLOOKUP($I1805,Ref!$B$23:$E$29,4,0),1),0)</f>
        <v>0</v>
      </c>
      <c r="AT1805" s="545" t="str">
        <f>IF(A1805="","",IF(AP1805&lt;=1,"Cleared",IF(AS1805=0,"Clean",VLOOKUP($AS1805,Ref!$G$23:$H$28,2))))</f>
        <v/>
      </c>
      <c r="AU1805" s="546" t="str">
        <f t="shared" si="770"/>
        <v/>
      </c>
    </row>
    <row r="1806" spans="1:47" ht="14.25" hidden="1" customHeight="1" x14ac:dyDescent="0.15">
      <c r="A1806" s="575"/>
      <c r="B1806" s="548"/>
      <c r="C1806" s="548"/>
      <c r="D1806" s="548"/>
      <c r="E1806" s="583"/>
      <c r="F1806" s="584"/>
      <c r="G1806" s="548"/>
      <c r="H1806" s="550"/>
      <c r="I1806" s="560"/>
      <c r="J1806" s="548"/>
      <c r="K1806" s="528" t="str">
        <f>IFERROR(VLOOKUP($B1806,'Clients-Live'!$A:$C,3,0),"")</f>
        <v/>
      </c>
      <c r="L1806" s="528">
        <f>IF(E1806="STL",Pricing!$D$38,IF(A1806="",0,IF(A1806&lt;Pricing!$C$25,Pricing!$D$25,VLOOKUP(Disbursements!$F1806,Pricing!$B$29:$D$32,3))))</f>
        <v>0</v>
      </c>
      <c r="M1806" s="528">
        <f>IF(E1806="STL",0,IF(F1806&gt;0,Pricing!$D$21,0))</f>
        <v>0</v>
      </c>
      <c r="N1806" s="529">
        <f>IF(E1806="STL",F1806*Pricing!$D$40,IF(A1806&lt;=Pricing!$C$4,0,IF(AND(A1806&gt;Pricing!$C$4,Disbursements!A1806&lt;=Pricing!$C$5),F1806*Pricing!$E$5,IF(AND(A1806&gt;Pricing!$C$5,Disbursements!A1806&lt;=Pricing!$C$7),VLOOKUP(F1806,Pricing!$D$7:$E$8,2)*Disbursements!F1806,F1806*Pricing!$E$9))))</f>
        <v>0</v>
      </c>
      <c r="O1806" s="528">
        <f>IF(E1806="STL",0,IF($F1806&gt;0,$F1806*Pricing!$D$17,0))</f>
        <v>0</v>
      </c>
      <c r="P1806" s="530" t="str">
        <f t="shared" si="750"/>
        <v/>
      </c>
      <c r="Q1806" s="531" t="str">
        <f>IF($A1806="","",$G1806/VLOOKUP($I1806,Ref!$B$23:$D$29,2,0))</f>
        <v/>
      </c>
      <c r="R1806" s="530" t="str">
        <f t="shared" si="751"/>
        <v/>
      </c>
      <c r="S1806" s="532" t="str">
        <f t="shared" si="745"/>
        <v/>
      </c>
      <c r="T1806" s="531" t="str">
        <f t="shared" si="752"/>
        <v/>
      </c>
      <c r="U1806" s="533">
        <f t="shared" si="753"/>
        <v>0</v>
      </c>
      <c r="V1806" s="531" t="str">
        <f t="shared" si="754"/>
        <v/>
      </c>
      <c r="W1806" s="531" t="str">
        <f t="shared" si="755"/>
        <v/>
      </c>
      <c r="X1806" s="534" t="str">
        <f t="shared" si="756"/>
        <v/>
      </c>
      <c r="Y1806" s="535" t="str">
        <f>IF($A1806="","",IF($I1806="weekly",$A1806+7,EDATE($A1806,VLOOKUP($I1806,Ref!$B$24:$C$29,2,0))))</f>
        <v/>
      </c>
      <c r="Z1806" s="536" t="str">
        <f t="shared" si="757"/>
        <v/>
      </c>
      <c r="AA1806" s="531">
        <f t="shared" si="758"/>
        <v>0</v>
      </c>
      <c r="AB1806" s="535" t="str">
        <f t="shared" si="746"/>
        <v/>
      </c>
      <c r="AC1806" s="537" t="str">
        <f t="shared" si="747"/>
        <v/>
      </c>
      <c r="AD1806" s="538" t="str">
        <f t="shared" ca="1" si="748"/>
        <v/>
      </c>
      <c r="AE1806" s="537">
        <f t="shared" ca="1" si="749"/>
        <v>0</v>
      </c>
      <c r="AF1806" s="539" t="str">
        <f t="shared" ca="1" si="759"/>
        <v/>
      </c>
      <c r="AG1806" s="531" t="str">
        <f t="shared" ca="1" si="760"/>
        <v/>
      </c>
      <c r="AH1806" s="531" t="str">
        <f t="shared" ca="1" si="761"/>
        <v/>
      </c>
      <c r="AI1806" s="531" t="str">
        <f t="shared" ca="1" si="762"/>
        <v/>
      </c>
      <c r="AJ1806" s="531" t="str">
        <f t="shared" si="763"/>
        <v/>
      </c>
      <c r="AK1806" s="540">
        <f>SUMIFS('Live Collections'!$S:$S,'Live Collections'!$D:$D,Disbursements!B1806,'Live Collections'!$G:$G,Disbursements!C1806)</f>
        <v>0</v>
      </c>
      <c r="AL1806" s="540">
        <f>SUMIFS('Live Collections'!$T:$T,'Live Collections'!$D:$D,Disbursements!B1806,'Live Collections'!$G:$G,Disbursements!C1806)</f>
        <v>0</v>
      </c>
      <c r="AM1806" s="541">
        <f t="shared" si="764"/>
        <v>0</v>
      </c>
      <c r="AN1806" s="542" t="str">
        <f t="shared" si="765"/>
        <v/>
      </c>
      <c r="AO1806" s="542" t="str">
        <f t="shared" si="766"/>
        <v/>
      </c>
      <c r="AP1806" s="543" t="str">
        <f t="shared" si="767"/>
        <v/>
      </c>
      <c r="AQ1806" s="544" t="str">
        <f t="shared" si="768"/>
        <v/>
      </c>
      <c r="AR1806" s="545">
        <f t="shared" si="769"/>
        <v>0</v>
      </c>
      <c r="AS1806" s="545">
        <f>IFERROR(CEILING($AR1806*VLOOKUP($I1806,Ref!$B$23:$E$29,4,0),1),0)</f>
        <v>0</v>
      </c>
      <c r="AT1806" s="545" t="str">
        <f>IF(A1806="","",IF(AP1806&lt;=1,"Cleared",IF(AS1806=0,"Clean",VLOOKUP($AS1806,Ref!$G$23:$H$28,2))))</f>
        <v/>
      </c>
      <c r="AU1806" s="546" t="str">
        <f t="shared" si="770"/>
        <v/>
      </c>
    </row>
    <row r="1807" spans="1:47" ht="14.25" hidden="1" customHeight="1" x14ac:dyDescent="0.15">
      <c r="A1807" s="575"/>
      <c r="B1807" s="548"/>
      <c r="C1807" s="548"/>
      <c r="D1807" s="548"/>
      <c r="E1807" s="583"/>
      <c r="F1807" s="584"/>
      <c r="G1807" s="548"/>
      <c r="H1807" s="550"/>
      <c r="I1807" s="560"/>
      <c r="J1807" s="548"/>
      <c r="K1807" s="528" t="str">
        <f>IFERROR(VLOOKUP($B1807,'Clients-Live'!$A:$C,3,0),"")</f>
        <v/>
      </c>
      <c r="L1807" s="528">
        <f>IF(E1807="STL",Pricing!$D$38,IF(A1807="",0,IF(A1807&lt;Pricing!$C$25,Pricing!$D$25,VLOOKUP(Disbursements!$F1807,Pricing!$B$29:$D$32,3))))</f>
        <v>0</v>
      </c>
      <c r="M1807" s="528">
        <f>IF(E1807="STL",0,IF(F1807&gt;0,Pricing!$D$21,0))</f>
        <v>0</v>
      </c>
      <c r="N1807" s="529">
        <f>IF(E1807="STL",F1807*Pricing!$D$40,IF(A1807&lt;=Pricing!$C$4,0,IF(AND(A1807&gt;Pricing!$C$4,Disbursements!A1807&lt;=Pricing!$C$5),F1807*Pricing!$E$5,IF(AND(A1807&gt;Pricing!$C$5,Disbursements!A1807&lt;=Pricing!$C$7),VLOOKUP(F1807,Pricing!$D$7:$E$8,2)*Disbursements!F1807,F1807*Pricing!$E$9))))</f>
        <v>0</v>
      </c>
      <c r="O1807" s="528">
        <f>IF(E1807="STL",0,IF($F1807&gt;0,$F1807*Pricing!$D$17,0))</f>
        <v>0</v>
      </c>
      <c r="P1807" s="530" t="str">
        <f t="shared" si="750"/>
        <v/>
      </c>
      <c r="Q1807" s="531" t="str">
        <f>IF($A1807="","",$G1807/VLOOKUP($I1807,Ref!$B$23:$D$29,2,0))</f>
        <v/>
      </c>
      <c r="R1807" s="530" t="str">
        <f t="shared" si="751"/>
        <v/>
      </c>
      <c r="S1807" s="532" t="str">
        <f t="shared" si="745"/>
        <v/>
      </c>
      <c r="T1807" s="531" t="str">
        <f t="shared" si="752"/>
        <v/>
      </c>
      <c r="U1807" s="533">
        <f t="shared" si="753"/>
        <v>0</v>
      </c>
      <c r="V1807" s="531" t="str">
        <f t="shared" si="754"/>
        <v/>
      </c>
      <c r="W1807" s="531" t="str">
        <f t="shared" si="755"/>
        <v/>
      </c>
      <c r="X1807" s="534" t="str">
        <f t="shared" si="756"/>
        <v/>
      </c>
      <c r="Y1807" s="535" t="str">
        <f>IF($A1807="","",IF($I1807="weekly",$A1807+7,EDATE($A1807,VLOOKUP($I1807,Ref!$B$24:$C$29,2,0))))</f>
        <v/>
      </c>
      <c r="Z1807" s="536" t="str">
        <f t="shared" si="757"/>
        <v/>
      </c>
      <c r="AA1807" s="531">
        <f t="shared" si="758"/>
        <v>0</v>
      </c>
      <c r="AB1807" s="535" t="str">
        <f t="shared" si="746"/>
        <v/>
      </c>
      <c r="AC1807" s="537" t="str">
        <f t="shared" si="747"/>
        <v/>
      </c>
      <c r="AD1807" s="538" t="str">
        <f t="shared" ca="1" si="748"/>
        <v/>
      </c>
      <c r="AE1807" s="537">
        <f t="shared" ca="1" si="749"/>
        <v>0</v>
      </c>
      <c r="AF1807" s="539" t="str">
        <f t="shared" ca="1" si="759"/>
        <v/>
      </c>
      <c r="AG1807" s="531" t="str">
        <f t="shared" ca="1" si="760"/>
        <v/>
      </c>
      <c r="AH1807" s="531" t="str">
        <f t="shared" ca="1" si="761"/>
        <v/>
      </c>
      <c r="AI1807" s="531" t="str">
        <f t="shared" ca="1" si="762"/>
        <v/>
      </c>
      <c r="AJ1807" s="531" t="str">
        <f t="shared" si="763"/>
        <v/>
      </c>
      <c r="AK1807" s="540">
        <f>SUMIFS('Live Collections'!$S:$S,'Live Collections'!$D:$D,Disbursements!B1807,'Live Collections'!$G:$G,Disbursements!C1807)</f>
        <v>0</v>
      </c>
      <c r="AL1807" s="540">
        <f>SUMIFS('Live Collections'!$T:$T,'Live Collections'!$D:$D,Disbursements!B1807,'Live Collections'!$G:$G,Disbursements!C1807)</f>
        <v>0</v>
      </c>
      <c r="AM1807" s="541">
        <f t="shared" si="764"/>
        <v>0</v>
      </c>
      <c r="AN1807" s="542" t="str">
        <f t="shared" si="765"/>
        <v/>
      </c>
      <c r="AO1807" s="542" t="str">
        <f t="shared" si="766"/>
        <v/>
      </c>
      <c r="AP1807" s="543" t="str">
        <f t="shared" si="767"/>
        <v/>
      </c>
      <c r="AQ1807" s="544" t="str">
        <f t="shared" si="768"/>
        <v/>
      </c>
      <c r="AR1807" s="545">
        <f t="shared" si="769"/>
        <v>0</v>
      </c>
      <c r="AS1807" s="545">
        <f>IFERROR(CEILING($AR1807*VLOOKUP($I1807,Ref!$B$23:$E$29,4,0),1),0)</f>
        <v>0</v>
      </c>
      <c r="AT1807" s="545" t="str">
        <f>IF(A1807="","",IF(AP1807&lt;=1,"Cleared",IF(AS1807=0,"Clean",VLOOKUP($AS1807,Ref!$G$23:$H$28,2))))</f>
        <v/>
      </c>
      <c r="AU1807" s="546" t="str">
        <f t="shared" si="770"/>
        <v/>
      </c>
    </row>
    <row r="1808" spans="1:47" ht="14.25" hidden="1" customHeight="1" x14ac:dyDescent="0.15">
      <c r="A1808" s="575"/>
      <c r="B1808" s="548"/>
      <c r="C1808" s="548"/>
      <c r="D1808" s="548"/>
      <c r="E1808" s="583"/>
      <c r="F1808" s="584"/>
      <c r="G1808" s="548"/>
      <c r="H1808" s="550"/>
      <c r="I1808" s="560"/>
      <c r="J1808" s="548"/>
      <c r="K1808" s="528" t="str">
        <f>IFERROR(VLOOKUP($B1808,'Clients-Live'!$A:$C,3,0),"")</f>
        <v/>
      </c>
      <c r="L1808" s="528">
        <f>IF(E1808="STL",Pricing!$D$38,IF(A1808="",0,IF(A1808&lt;Pricing!$C$25,Pricing!$D$25,VLOOKUP(Disbursements!$F1808,Pricing!$B$29:$D$32,3))))</f>
        <v>0</v>
      </c>
      <c r="M1808" s="528">
        <f>IF(E1808="STL",0,IF(F1808&gt;0,Pricing!$D$21,0))</f>
        <v>0</v>
      </c>
      <c r="N1808" s="529">
        <f>IF(E1808="STL",F1808*Pricing!$D$40,IF(A1808&lt;=Pricing!$C$4,0,IF(AND(A1808&gt;Pricing!$C$4,Disbursements!A1808&lt;=Pricing!$C$5),F1808*Pricing!$E$5,IF(AND(A1808&gt;Pricing!$C$5,Disbursements!A1808&lt;=Pricing!$C$7),VLOOKUP(F1808,Pricing!$D$7:$E$8,2)*Disbursements!F1808,F1808*Pricing!$E$9))))</f>
        <v>0</v>
      </c>
      <c r="O1808" s="528">
        <f>IF(E1808="STL",0,IF($F1808&gt;0,$F1808*Pricing!$D$17,0))</f>
        <v>0</v>
      </c>
      <c r="P1808" s="530" t="str">
        <f t="shared" si="750"/>
        <v/>
      </c>
      <c r="Q1808" s="531" t="str">
        <f>IF($A1808="","",$G1808/VLOOKUP($I1808,Ref!$B$23:$D$29,2,0))</f>
        <v/>
      </c>
      <c r="R1808" s="530" t="str">
        <f t="shared" si="751"/>
        <v/>
      </c>
      <c r="S1808" s="532" t="str">
        <f t="shared" si="745"/>
        <v/>
      </c>
      <c r="T1808" s="531" t="str">
        <f t="shared" si="752"/>
        <v/>
      </c>
      <c r="U1808" s="533">
        <f t="shared" si="753"/>
        <v>0</v>
      </c>
      <c r="V1808" s="531" t="str">
        <f t="shared" si="754"/>
        <v/>
      </c>
      <c r="W1808" s="531" t="str">
        <f t="shared" si="755"/>
        <v/>
      </c>
      <c r="X1808" s="534" t="str">
        <f t="shared" si="756"/>
        <v/>
      </c>
      <c r="Y1808" s="535" t="str">
        <f>IF($A1808="","",IF($I1808="weekly",$A1808+7,EDATE($A1808,VLOOKUP($I1808,Ref!$B$24:$C$29,2,0))))</f>
        <v/>
      </c>
      <c r="Z1808" s="536" t="str">
        <f t="shared" si="757"/>
        <v/>
      </c>
      <c r="AA1808" s="531">
        <f t="shared" si="758"/>
        <v>0</v>
      </c>
      <c r="AB1808" s="535" t="str">
        <f t="shared" si="746"/>
        <v/>
      </c>
      <c r="AC1808" s="537" t="str">
        <f t="shared" si="747"/>
        <v/>
      </c>
      <c r="AD1808" s="538" t="str">
        <f t="shared" ca="1" si="748"/>
        <v/>
      </c>
      <c r="AE1808" s="537">
        <f t="shared" ca="1" si="749"/>
        <v>0</v>
      </c>
      <c r="AF1808" s="539" t="str">
        <f t="shared" ca="1" si="759"/>
        <v/>
      </c>
      <c r="AG1808" s="531" t="str">
        <f t="shared" ca="1" si="760"/>
        <v/>
      </c>
      <c r="AH1808" s="531" t="str">
        <f t="shared" ca="1" si="761"/>
        <v/>
      </c>
      <c r="AI1808" s="531" t="str">
        <f t="shared" ca="1" si="762"/>
        <v/>
      </c>
      <c r="AJ1808" s="531" t="str">
        <f t="shared" si="763"/>
        <v/>
      </c>
      <c r="AK1808" s="540">
        <f>SUMIFS('Live Collections'!$S:$S,'Live Collections'!$D:$D,Disbursements!B1808,'Live Collections'!$G:$G,Disbursements!C1808)</f>
        <v>0</v>
      </c>
      <c r="AL1808" s="540">
        <f>SUMIFS('Live Collections'!$T:$T,'Live Collections'!$D:$D,Disbursements!B1808,'Live Collections'!$G:$G,Disbursements!C1808)</f>
        <v>0</v>
      </c>
      <c r="AM1808" s="541">
        <f t="shared" si="764"/>
        <v>0</v>
      </c>
      <c r="AN1808" s="542" t="str">
        <f t="shared" si="765"/>
        <v/>
      </c>
      <c r="AO1808" s="542" t="str">
        <f t="shared" si="766"/>
        <v/>
      </c>
      <c r="AP1808" s="543" t="str">
        <f t="shared" si="767"/>
        <v/>
      </c>
      <c r="AQ1808" s="544" t="str">
        <f t="shared" si="768"/>
        <v/>
      </c>
      <c r="AR1808" s="545">
        <f t="shared" si="769"/>
        <v>0</v>
      </c>
      <c r="AS1808" s="545">
        <f>IFERROR(CEILING($AR1808*VLOOKUP($I1808,Ref!$B$23:$E$29,4,0),1),0)</f>
        <v>0</v>
      </c>
      <c r="AT1808" s="545" t="str">
        <f>IF(A1808="","",IF(AP1808&lt;=1,"Cleared",IF(AS1808=0,"Clean",VLOOKUP($AS1808,Ref!$G$23:$H$28,2))))</f>
        <v/>
      </c>
      <c r="AU1808" s="546" t="str">
        <f t="shared" si="770"/>
        <v/>
      </c>
    </row>
    <row r="1809" spans="1:47" ht="14.25" hidden="1" customHeight="1" x14ac:dyDescent="0.15">
      <c r="A1809" s="575"/>
      <c r="B1809" s="548"/>
      <c r="C1809" s="548"/>
      <c r="D1809" s="548"/>
      <c r="E1809" s="583"/>
      <c r="F1809" s="584"/>
      <c r="G1809" s="548"/>
      <c r="H1809" s="550"/>
      <c r="I1809" s="560"/>
      <c r="J1809" s="548"/>
      <c r="K1809" s="528" t="str">
        <f>IFERROR(VLOOKUP($B1809,'Clients-Live'!$A:$C,3,0),"")</f>
        <v/>
      </c>
      <c r="L1809" s="528">
        <f>IF(E1809="STL",Pricing!$D$38,IF(A1809="",0,IF(A1809&lt;Pricing!$C$25,Pricing!$D$25,VLOOKUP(Disbursements!$F1809,Pricing!$B$29:$D$32,3))))</f>
        <v>0</v>
      </c>
      <c r="M1809" s="528">
        <f>IF(E1809="STL",0,IF(F1809&gt;0,Pricing!$D$21,0))</f>
        <v>0</v>
      </c>
      <c r="N1809" s="529">
        <f>IF(E1809="STL",F1809*Pricing!$D$40,IF(A1809&lt;=Pricing!$C$4,0,IF(AND(A1809&gt;Pricing!$C$4,Disbursements!A1809&lt;=Pricing!$C$5),F1809*Pricing!$E$5,IF(AND(A1809&gt;Pricing!$C$5,Disbursements!A1809&lt;=Pricing!$C$7),VLOOKUP(F1809,Pricing!$D$7:$E$8,2)*Disbursements!F1809,F1809*Pricing!$E$9))))</f>
        <v>0</v>
      </c>
      <c r="O1809" s="528">
        <f>IF(E1809="STL",0,IF($F1809&gt;0,$F1809*Pricing!$D$17,0))</f>
        <v>0</v>
      </c>
      <c r="P1809" s="530" t="str">
        <f t="shared" si="750"/>
        <v/>
      </c>
      <c r="Q1809" s="531" t="str">
        <f>IF($A1809="","",$G1809/VLOOKUP($I1809,Ref!$B$23:$D$29,2,0))</f>
        <v/>
      </c>
      <c r="R1809" s="530" t="str">
        <f t="shared" si="751"/>
        <v/>
      </c>
      <c r="S1809" s="532" t="str">
        <f t="shared" si="745"/>
        <v/>
      </c>
      <c r="T1809" s="531" t="str">
        <f t="shared" si="752"/>
        <v/>
      </c>
      <c r="U1809" s="533">
        <f t="shared" si="753"/>
        <v>0</v>
      </c>
      <c r="V1809" s="531" t="str">
        <f t="shared" si="754"/>
        <v/>
      </c>
      <c r="W1809" s="531" t="str">
        <f t="shared" si="755"/>
        <v/>
      </c>
      <c r="X1809" s="534" t="str">
        <f t="shared" si="756"/>
        <v/>
      </c>
      <c r="Y1809" s="535" t="str">
        <f>IF($A1809="","",IF($I1809="weekly",$A1809+7,EDATE($A1809,VLOOKUP($I1809,Ref!$B$24:$C$29,2,0))))</f>
        <v/>
      </c>
      <c r="Z1809" s="536" t="str">
        <f t="shared" si="757"/>
        <v/>
      </c>
      <c r="AA1809" s="531">
        <f t="shared" si="758"/>
        <v>0</v>
      </c>
      <c r="AB1809" s="535" t="str">
        <f t="shared" si="746"/>
        <v/>
      </c>
      <c r="AC1809" s="537" t="str">
        <f t="shared" si="747"/>
        <v/>
      </c>
      <c r="AD1809" s="538" t="str">
        <f t="shared" ca="1" si="748"/>
        <v/>
      </c>
      <c r="AE1809" s="537">
        <f t="shared" ca="1" si="749"/>
        <v>0</v>
      </c>
      <c r="AF1809" s="539" t="str">
        <f t="shared" ca="1" si="759"/>
        <v/>
      </c>
      <c r="AG1809" s="531" t="str">
        <f t="shared" ca="1" si="760"/>
        <v/>
      </c>
      <c r="AH1809" s="531" t="str">
        <f t="shared" ca="1" si="761"/>
        <v/>
      </c>
      <c r="AI1809" s="531" t="str">
        <f t="shared" ca="1" si="762"/>
        <v/>
      </c>
      <c r="AJ1809" s="531" t="str">
        <f t="shared" si="763"/>
        <v/>
      </c>
      <c r="AK1809" s="540">
        <f>SUMIFS('Live Collections'!$S:$S,'Live Collections'!$D:$D,Disbursements!B1809,'Live Collections'!$G:$G,Disbursements!C1809)</f>
        <v>0</v>
      </c>
      <c r="AL1809" s="540">
        <f>SUMIFS('Live Collections'!$T:$T,'Live Collections'!$D:$D,Disbursements!B1809,'Live Collections'!$G:$G,Disbursements!C1809)</f>
        <v>0</v>
      </c>
      <c r="AM1809" s="541">
        <f t="shared" si="764"/>
        <v>0</v>
      </c>
      <c r="AN1809" s="542" t="str">
        <f t="shared" si="765"/>
        <v/>
      </c>
      <c r="AO1809" s="542" t="str">
        <f t="shared" si="766"/>
        <v/>
      </c>
      <c r="AP1809" s="543" t="str">
        <f t="shared" si="767"/>
        <v/>
      </c>
      <c r="AQ1809" s="544" t="str">
        <f t="shared" si="768"/>
        <v/>
      </c>
      <c r="AR1809" s="545">
        <f t="shared" si="769"/>
        <v>0</v>
      </c>
      <c r="AS1809" s="545">
        <f>IFERROR(CEILING($AR1809*VLOOKUP($I1809,Ref!$B$23:$E$29,4,0),1),0)</f>
        <v>0</v>
      </c>
      <c r="AT1809" s="545" t="str">
        <f>IF(A1809="","",IF(AP1809&lt;=1,"Cleared",IF(AS1809=0,"Clean",VLOOKUP($AS1809,Ref!$G$23:$H$28,2))))</f>
        <v/>
      </c>
      <c r="AU1809" s="546" t="str">
        <f t="shared" si="770"/>
        <v/>
      </c>
    </row>
    <row r="1810" spans="1:47" ht="14.25" hidden="1" customHeight="1" x14ac:dyDescent="0.15">
      <c r="A1810" s="575"/>
      <c r="B1810" s="548"/>
      <c r="C1810" s="548"/>
      <c r="D1810" s="548"/>
      <c r="E1810" s="583"/>
      <c r="F1810" s="584"/>
      <c r="G1810" s="548"/>
      <c r="H1810" s="550"/>
      <c r="I1810" s="560"/>
      <c r="J1810" s="548"/>
      <c r="K1810" s="528" t="str">
        <f>IFERROR(VLOOKUP($B1810,'Clients-Live'!$A:$C,3,0),"")</f>
        <v/>
      </c>
      <c r="L1810" s="528">
        <f>IF(E1810="STL",Pricing!$D$38,IF(A1810="",0,IF(A1810&lt;Pricing!$C$25,Pricing!$D$25,VLOOKUP(Disbursements!$F1810,Pricing!$B$29:$D$32,3))))</f>
        <v>0</v>
      </c>
      <c r="M1810" s="528">
        <f>IF(E1810="STL",0,IF(F1810&gt;0,Pricing!$D$21,0))</f>
        <v>0</v>
      </c>
      <c r="N1810" s="529">
        <f>IF(E1810="STL",F1810*Pricing!$D$40,IF(A1810&lt;=Pricing!$C$4,0,IF(AND(A1810&gt;Pricing!$C$4,Disbursements!A1810&lt;=Pricing!$C$5),F1810*Pricing!$E$5,IF(AND(A1810&gt;Pricing!$C$5,Disbursements!A1810&lt;=Pricing!$C$7),VLOOKUP(F1810,Pricing!$D$7:$E$8,2)*Disbursements!F1810,F1810*Pricing!$E$9))))</f>
        <v>0</v>
      </c>
      <c r="O1810" s="528">
        <f>IF(E1810="STL",0,IF($F1810&gt;0,$F1810*Pricing!$D$17,0))</f>
        <v>0</v>
      </c>
      <c r="P1810" s="530" t="str">
        <f t="shared" si="750"/>
        <v/>
      </c>
      <c r="Q1810" s="531" t="str">
        <f>IF($A1810="","",$G1810/VLOOKUP($I1810,Ref!$B$23:$D$29,2,0))</f>
        <v/>
      </c>
      <c r="R1810" s="530" t="str">
        <f t="shared" si="751"/>
        <v/>
      </c>
      <c r="S1810" s="532" t="str">
        <f t="shared" si="745"/>
        <v/>
      </c>
      <c r="T1810" s="531" t="str">
        <f t="shared" si="752"/>
        <v/>
      </c>
      <c r="U1810" s="533">
        <f t="shared" si="753"/>
        <v>0</v>
      </c>
      <c r="V1810" s="531" t="str">
        <f t="shared" si="754"/>
        <v/>
      </c>
      <c r="W1810" s="531" t="str">
        <f t="shared" si="755"/>
        <v/>
      </c>
      <c r="X1810" s="534" t="str">
        <f t="shared" si="756"/>
        <v/>
      </c>
      <c r="Y1810" s="535" t="str">
        <f>IF($A1810="","",IF($I1810="weekly",$A1810+7,EDATE($A1810,VLOOKUP($I1810,Ref!$B$24:$C$29,2,0))))</f>
        <v/>
      </c>
      <c r="Z1810" s="536" t="str">
        <f t="shared" si="757"/>
        <v/>
      </c>
      <c r="AA1810" s="531">
        <f t="shared" si="758"/>
        <v>0</v>
      </c>
      <c r="AB1810" s="535" t="str">
        <f t="shared" si="746"/>
        <v/>
      </c>
      <c r="AC1810" s="537" t="str">
        <f t="shared" si="747"/>
        <v/>
      </c>
      <c r="AD1810" s="538" t="str">
        <f t="shared" ca="1" si="748"/>
        <v/>
      </c>
      <c r="AE1810" s="537">
        <f t="shared" ca="1" si="749"/>
        <v>0</v>
      </c>
      <c r="AF1810" s="539" t="str">
        <f t="shared" ca="1" si="759"/>
        <v/>
      </c>
      <c r="AG1810" s="531" t="str">
        <f t="shared" ca="1" si="760"/>
        <v/>
      </c>
      <c r="AH1810" s="531" t="str">
        <f t="shared" ca="1" si="761"/>
        <v/>
      </c>
      <c r="AI1810" s="531" t="str">
        <f t="shared" ca="1" si="762"/>
        <v/>
      </c>
      <c r="AJ1810" s="531" t="str">
        <f t="shared" si="763"/>
        <v/>
      </c>
      <c r="AK1810" s="540">
        <f>SUMIFS('Live Collections'!$S:$S,'Live Collections'!$D:$D,Disbursements!B1810,'Live Collections'!$G:$G,Disbursements!C1810)</f>
        <v>0</v>
      </c>
      <c r="AL1810" s="540">
        <f>SUMIFS('Live Collections'!$T:$T,'Live Collections'!$D:$D,Disbursements!B1810,'Live Collections'!$G:$G,Disbursements!C1810)</f>
        <v>0</v>
      </c>
      <c r="AM1810" s="541">
        <f t="shared" si="764"/>
        <v>0</v>
      </c>
      <c r="AN1810" s="542" t="str">
        <f t="shared" si="765"/>
        <v/>
      </c>
      <c r="AO1810" s="542" t="str">
        <f t="shared" si="766"/>
        <v/>
      </c>
      <c r="AP1810" s="543" t="str">
        <f t="shared" si="767"/>
        <v/>
      </c>
      <c r="AQ1810" s="544" t="str">
        <f t="shared" si="768"/>
        <v/>
      </c>
      <c r="AR1810" s="545">
        <f t="shared" si="769"/>
        <v>0</v>
      </c>
      <c r="AS1810" s="545">
        <f>IFERROR(CEILING($AR1810*VLOOKUP($I1810,Ref!$B$23:$E$29,4,0),1),0)</f>
        <v>0</v>
      </c>
      <c r="AT1810" s="545" t="str">
        <f>IF(A1810="","",IF(AP1810&lt;=1,"Cleared",IF(AS1810=0,"Clean",VLOOKUP($AS1810,Ref!$G$23:$H$28,2))))</f>
        <v/>
      </c>
      <c r="AU1810" s="546" t="str">
        <f t="shared" si="770"/>
        <v/>
      </c>
    </row>
    <row r="1811" spans="1:47" ht="14.25" hidden="1" customHeight="1" x14ac:dyDescent="0.15">
      <c r="A1811" s="575"/>
      <c r="B1811" s="548"/>
      <c r="C1811" s="548"/>
      <c r="D1811" s="548"/>
      <c r="E1811" s="583"/>
      <c r="F1811" s="584"/>
      <c r="G1811" s="548"/>
      <c r="H1811" s="550"/>
      <c r="I1811" s="560"/>
      <c r="J1811" s="548"/>
      <c r="K1811" s="528" t="str">
        <f>IFERROR(VLOOKUP($B1811,'Clients-Live'!$A:$C,3,0),"")</f>
        <v/>
      </c>
      <c r="L1811" s="528">
        <f>IF(E1811="STL",Pricing!$D$38,IF(A1811="",0,IF(A1811&lt;Pricing!$C$25,Pricing!$D$25,VLOOKUP(Disbursements!$F1811,Pricing!$B$29:$D$32,3))))</f>
        <v>0</v>
      </c>
      <c r="M1811" s="528">
        <f>IF(E1811="STL",0,IF(F1811&gt;0,Pricing!$D$21,0))</f>
        <v>0</v>
      </c>
      <c r="N1811" s="529">
        <f>IF(E1811="STL",F1811*Pricing!$D$40,IF(A1811&lt;=Pricing!$C$4,0,IF(AND(A1811&gt;Pricing!$C$4,Disbursements!A1811&lt;=Pricing!$C$5),F1811*Pricing!$E$5,IF(AND(A1811&gt;Pricing!$C$5,Disbursements!A1811&lt;=Pricing!$C$7),VLOOKUP(F1811,Pricing!$D$7:$E$8,2)*Disbursements!F1811,F1811*Pricing!$E$9))))</f>
        <v>0</v>
      </c>
      <c r="O1811" s="528">
        <f>IF(E1811="STL",0,IF($F1811&gt;0,$F1811*Pricing!$D$17,0))</f>
        <v>0</v>
      </c>
      <c r="P1811" s="530" t="str">
        <f t="shared" si="750"/>
        <v/>
      </c>
      <c r="Q1811" s="531" t="str">
        <f>IF($A1811="","",$G1811/VLOOKUP($I1811,Ref!$B$23:$D$29,2,0))</f>
        <v/>
      </c>
      <c r="R1811" s="530" t="str">
        <f t="shared" si="751"/>
        <v/>
      </c>
      <c r="S1811" s="532" t="str">
        <f t="shared" si="745"/>
        <v/>
      </c>
      <c r="T1811" s="531" t="str">
        <f t="shared" si="752"/>
        <v/>
      </c>
      <c r="U1811" s="533">
        <f t="shared" si="753"/>
        <v>0</v>
      </c>
      <c r="V1811" s="531" t="str">
        <f t="shared" si="754"/>
        <v/>
      </c>
      <c r="W1811" s="531" t="str">
        <f t="shared" si="755"/>
        <v/>
      </c>
      <c r="X1811" s="534" t="str">
        <f t="shared" si="756"/>
        <v/>
      </c>
      <c r="Y1811" s="535" t="str">
        <f>IF($A1811="","",IF($I1811="weekly",$A1811+7,EDATE($A1811,VLOOKUP($I1811,Ref!$B$24:$C$29,2,0))))</f>
        <v/>
      </c>
      <c r="Z1811" s="536" t="str">
        <f t="shared" si="757"/>
        <v/>
      </c>
      <c r="AA1811" s="531">
        <f t="shared" si="758"/>
        <v>0</v>
      </c>
      <c r="AB1811" s="535" t="str">
        <f t="shared" si="746"/>
        <v/>
      </c>
      <c r="AC1811" s="537" t="str">
        <f t="shared" si="747"/>
        <v/>
      </c>
      <c r="AD1811" s="538" t="str">
        <f t="shared" ca="1" si="748"/>
        <v/>
      </c>
      <c r="AE1811" s="537">
        <f t="shared" ca="1" si="749"/>
        <v>0</v>
      </c>
      <c r="AF1811" s="539" t="str">
        <f t="shared" ca="1" si="759"/>
        <v/>
      </c>
      <c r="AG1811" s="531" t="str">
        <f t="shared" ca="1" si="760"/>
        <v/>
      </c>
      <c r="AH1811" s="531" t="str">
        <f t="shared" ca="1" si="761"/>
        <v/>
      </c>
      <c r="AI1811" s="531" t="str">
        <f t="shared" ca="1" si="762"/>
        <v/>
      </c>
      <c r="AJ1811" s="531" t="str">
        <f t="shared" si="763"/>
        <v/>
      </c>
      <c r="AK1811" s="540">
        <f>SUMIFS('Live Collections'!$S:$S,'Live Collections'!$D:$D,Disbursements!B1811,'Live Collections'!$G:$G,Disbursements!C1811)</f>
        <v>0</v>
      </c>
      <c r="AL1811" s="540">
        <f>SUMIFS('Live Collections'!$T:$T,'Live Collections'!$D:$D,Disbursements!B1811,'Live Collections'!$G:$G,Disbursements!C1811)</f>
        <v>0</v>
      </c>
      <c r="AM1811" s="541">
        <f t="shared" si="764"/>
        <v>0</v>
      </c>
      <c r="AN1811" s="542" t="str">
        <f t="shared" si="765"/>
        <v/>
      </c>
      <c r="AO1811" s="542" t="str">
        <f t="shared" si="766"/>
        <v/>
      </c>
      <c r="AP1811" s="543" t="str">
        <f t="shared" si="767"/>
        <v/>
      </c>
      <c r="AQ1811" s="544" t="str">
        <f t="shared" si="768"/>
        <v/>
      </c>
      <c r="AR1811" s="545">
        <f t="shared" si="769"/>
        <v>0</v>
      </c>
      <c r="AS1811" s="545">
        <f>IFERROR(CEILING($AR1811*VLOOKUP($I1811,Ref!$B$23:$E$29,4,0),1),0)</f>
        <v>0</v>
      </c>
      <c r="AT1811" s="545" t="str">
        <f>IF(A1811="","",IF(AP1811&lt;=1,"Cleared",IF(AS1811=0,"Clean",VLOOKUP($AS1811,Ref!$G$23:$H$28,2))))</f>
        <v/>
      </c>
      <c r="AU1811" s="546" t="str">
        <f t="shared" si="770"/>
        <v/>
      </c>
    </row>
    <row r="1812" spans="1:47" ht="14.25" hidden="1" customHeight="1" x14ac:dyDescent="0.15">
      <c r="A1812" s="575"/>
      <c r="B1812" s="548"/>
      <c r="C1812" s="548"/>
      <c r="D1812" s="548"/>
      <c r="E1812" s="583"/>
      <c r="F1812" s="584"/>
      <c r="G1812" s="548"/>
      <c r="H1812" s="550"/>
      <c r="I1812" s="560"/>
      <c r="J1812" s="548"/>
      <c r="K1812" s="528" t="str">
        <f>IFERROR(VLOOKUP($B1812,'Clients-Live'!$A:$C,3,0),"")</f>
        <v/>
      </c>
      <c r="L1812" s="528">
        <f>IF(E1812="STL",Pricing!$D$38,IF(A1812="",0,IF(A1812&lt;Pricing!$C$25,Pricing!$D$25,VLOOKUP(Disbursements!$F1812,Pricing!$B$29:$D$32,3))))</f>
        <v>0</v>
      </c>
      <c r="M1812" s="528">
        <f>IF(E1812="STL",0,IF(F1812&gt;0,Pricing!$D$21,0))</f>
        <v>0</v>
      </c>
      <c r="N1812" s="529">
        <f>IF(E1812="STL",F1812*Pricing!$D$40,IF(A1812&lt;=Pricing!$C$4,0,IF(AND(A1812&gt;Pricing!$C$4,Disbursements!A1812&lt;=Pricing!$C$5),F1812*Pricing!$E$5,IF(AND(A1812&gt;Pricing!$C$5,Disbursements!A1812&lt;=Pricing!$C$7),VLOOKUP(F1812,Pricing!$D$7:$E$8,2)*Disbursements!F1812,F1812*Pricing!$E$9))))</f>
        <v>0</v>
      </c>
      <c r="O1812" s="528">
        <f>IF(E1812="STL",0,IF($F1812&gt;0,$F1812*Pricing!$D$17,0))</f>
        <v>0</v>
      </c>
      <c r="P1812" s="530" t="str">
        <f t="shared" si="750"/>
        <v/>
      </c>
      <c r="Q1812" s="531" t="str">
        <f>IF($A1812="","",$G1812/VLOOKUP($I1812,Ref!$B$23:$D$29,2,0))</f>
        <v/>
      </c>
      <c r="R1812" s="530" t="str">
        <f t="shared" si="751"/>
        <v/>
      </c>
      <c r="S1812" s="532" t="str">
        <f t="shared" si="745"/>
        <v/>
      </c>
      <c r="T1812" s="531" t="str">
        <f t="shared" si="752"/>
        <v/>
      </c>
      <c r="U1812" s="533">
        <f t="shared" si="753"/>
        <v>0</v>
      </c>
      <c r="V1812" s="531" t="str">
        <f t="shared" si="754"/>
        <v/>
      </c>
      <c r="W1812" s="531" t="str">
        <f t="shared" si="755"/>
        <v/>
      </c>
      <c r="X1812" s="534" t="str">
        <f t="shared" si="756"/>
        <v/>
      </c>
      <c r="Y1812" s="535" t="str">
        <f>IF($A1812="","",IF($I1812="weekly",$A1812+7,EDATE($A1812,VLOOKUP($I1812,Ref!$B$24:$C$29,2,0))))</f>
        <v/>
      </c>
      <c r="Z1812" s="536" t="str">
        <f t="shared" si="757"/>
        <v/>
      </c>
      <c r="AA1812" s="531">
        <f t="shared" si="758"/>
        <v>0</v>
      </c>
      <c r="AB1812" s="535" t="str">
        <f t="shared" si="746"/>
        <v/>
      </c>
      <c r="AC1812" s="537" t="str">
        <f t="shared" si="747"/>
        <v/>
      </c>
      <c r="AD1812" s="538" t="str">
        <f t="shared" ca="1" si="748"/>
        <v/>
      </c>
      <c r="AE1812" s="537">
        <f t="shared" ca="1" si="749"/>
        <v>0</v>
      </c>
      <c r="AF1812" s="539" t="str">
        <f t="shared" ca="1" si="759"/>
        <v/>
      </c>
      <c r="AG1812" s="531" t="str">
        <f t="shared" ca="1" si="760"/>
        <v/>
      </c>
      <c r="AH1812" s="531" t="str">
        <f t="shared" ca="1" si="761"/>
        <v/>
      </c>
      <c r="AI1812" s="531" t="str">
        <f t="shared" ca="1" si="762"/>
        <v/>
      </c>
      <c r="AJ1812" s="531" t="str">
        <f t="shared" si="763"/>
        <v/>
      </c>
      <c r="AK1812" s="540">
        <f>SUMIFS('Live Collections'!$S:$S,'Live Collections'!$D:$D,Disbursements!B1812,'Live Collections'!$G:$G,Disbursements!C1812)</f>
        <v>0</v>
      </c>
      <c r="AL1812" s="540">
        <f>SUMIFS('Live Collections'!$T:$T,'Live Collections'!$D:$D,Disbursements!B1812,'Live Collections'!$G:$G,Disbursements!C1812)</f>
        <v>0</v>
      </c>
      <c r="AM1812" s="541">
        <f t="shared" si="764"/>
        <v>0</v>
      </c>
      <c r="AN1812" s="542" t="str">
        <f t="shared" si="765"/>
        <v/>
      </c>
      <c r="AO1812" s="542" t="str">
        <f t="shared" si="766"/>
        <v/>
      </c>
      <c r="AP1812" s="543" t="str">
        <f t="shared" si="767"/>
        <v/>
      </c>
      <c r="AQ1812" s="544" t="str">
        <f t="shared" si="768"/>
        <v/>
      </c>
      <c r="AR1812" s="545">
        <f t="shared" si="769"/>
        <v>0</v>
      </c>
      <c r="AS1812" s="545">
        <f>IFERROR(CEILING($AR1812*VLOOKUP($I1812,Ref!$B$23:$E$29,4,0),1),0)</f>
        <v>0</v>
      </c>
      <c r="AT1812" s="545" t="str">
        <f>IF(A1812="","",IF(AP1812&lt;=1,"Cleared",IF(AS1812=0,"Clean",VLOOKUP($AS1812,Ref!$G$23:$H$28,2))))</f>
        <v/>
      </c>
      <c r="AU1812" s="546" t="str">
        <f t="shared" si="770"/>
        <v/>
      </c>
    </row>
    <row r="1813" spans="1:47" ht="14.25" hidden="1" customHeight="1" x14ac:dyDescent="0.15">
      <c r="A1813" s="575"/>
      <c r="B1813" s="548"/>
      <c r="C1813" s="548"/>
      <c r="D1813" s="548"/>
      <c r="E1813" s="583"/>
      <c r="F1813" s="584"/>
      <c r="G1813" s="548"/>
      <c r="H1813" s="550"/>
      <c r="I1813" s="560"/>
      <c r="J1813" s="548"/>
      <c r="K1813" s="528" t="str">
        <f>IFERROR(VLOOKUP($B1813,'Clients-Live'!$A:$C,3,0),"")</f>
        <v/>
      </c>
      <c r="L1813" s="528">
        <f>IF(E1813="STL",Pricing!$D$38,IF(A1813="",0,IF(A1813&lt;Pricing!$C$25,Pricing!$D$25,VLOOKUP(Disbursements!$F1813,Pricing!$B$29:$D$32,3))))</f>
        <v>0</v>
      </c>
      <c r="M1813" s="528">
        <f>IF(E1813="STL",0,IF(F1813&gt;0,Pricing!$D$21,0))</f>
        <v>0</v>
      </c>
      <c r="N1813" s="529">
        <f>IF(E1813="STL",F1813*Pricing!$D$40,IF(A1813&lt;=Pricing!$C$4,0,IF(AND(A1813&gt;Pricing!$C$4,Disbursements!A1813&lt;=Pricing!$C$5),F1813*Pricing!$E$5,IF(AND(A1813&gt;Pricing!$C$5,Disbursements!A1813&lt;=Pricing!$C$7),VLOOKUP(F1813,Pricing!$D$7:$E$8,2)*Disbursements!F1813,F1813*Pricing!$E$9))))</f>
        <v>0</v>
      </c>
      <c r="O1813" s="528">
        <f>IF(E1813="STL",0,IF($F1813&gt;0,$F1813*Pricing!$D$17,0))</f>
        <v>0</v>
      </c>
      <c r="P1813" s="530" t="str">
        <f t="shared" si="750"/>
        <v/>
      </c>
      <c r="Q1813" s="531" t="str">
        <f>IF($A1813="","",$G1813/VLOOKUP($I1813,Ref!$B$23:$D$29,2,0))</f>
        <v/>
      </c>
      <c r="R1813" s="530" t="str">
        <f t="shared" si="751"/>
        <v/>
      </c>
      <c r="S1813" s="532" t="str">
        <f t="shared" si="745"/>
        <v/>
      </c>
      <c r="T1813" s="531" t="str">
        <f t="shared" si="752"/>
        <v/>
      </c>
      <c r="U1813" s="533">
        <f t="shared" si="753"/>
        <v>0</v>
      </c>
      <c r="V1813" s="531" t="str">
        <f t="shared" si="754"/>
        <v/>
      </c>
      <c r="W1813" s="531" t="str">
        <f t="shared" si="755"/>
        <v/>
      </c>
      <c r="X1813" s="534" t="str">
        <f t="shared" si="756"/>
        <v/>
      </c>
      <c r="Y1813" s="535" t="str">
        <f>IF($A1813="","",IF($I1813="weekly",$A1813+7,EDATE($A1813,VLOOKUP($I1813,Ref!$B$24:$C$29,2,0))))</f>
        <v/>
      </c>
      <c r="Z1813" s="536" t="str">
        <f t="shared" si="757"/>
        <v/>
      </c>
      <c r="AA1813" s="531">
        <f t="shared" si="758"/>
        <v>0</v>
      </c>
      <c r="AB1813" s="535" t="str">
        <f t="shared" si="746"/>
        <v/>
      </c>
      <c r="AC1813" s="537" t="str">
        <f t="shared" si="747"/>
        <v/>
      </c>
      <c r="AD1813" s="538" t="str">
        <f t="shared" ca="1" si="748"/>
        <v/>
      </c>
      <c r="AE1813" s="537">
        <f t="shared" ca="1" si="749"/>
        <v>0</v>
      </c>
      <c r="AF1813" s="539" t="str">
        <f t="shared" ca="1" si="759"/>
        <v/>
      </c>
      <c r="AG1813" s="531" t="str">
        <f t="shared" ca="1" si="760"/>
        <v/>
      </c>
      <c r="AH1813" s="531" t="str">
        <f t="shared" ca="1" si="761"/>
        <v/>
      </c>
      <c r="AI1813" s="531" t="str">
        <f t="shared" ca="1" si="762"/>
        <v/>
      </c>
      <c r="AJ1813" s="531" t="str">
        <f t="shared" si="763"/>
        <v/>
      </c>
      <c r="AK1813" s="540">
        <f>SUMIFS('Live Collections'!$S:$S,'Live Collections'!$D:$D,Disbursements!B1813,'Live Collections'!$G:$G,Disbursements!C1813)</f>
        <v>0</v>
      </c>
      <c r="AL1813" s="540">
        <f>SUMIFS('Live Collections'!$T:$T,'Live Collections'!$D:$D,Disbursements!B1813,'Live Collections'!$G:$G,Disbursements!C1813)</f>
        <v>0</v>
      </c>
      <c r="AM1813" s="541">
        <f t="shared" si="764"/>
        <v>0</v>
      </c>
      <c r="AN1813" s="542" t="str">
        <f t="shared" si="765"/>
        <v/>
      </c>
      <c r="AO1813" s="542" t="str">
        <f t="shared" si="766"/>
        <v/>
      </c>
      <c r="AP1813" s="543" t="str">
        <f t="shared" si="767"/>
        <v/>
      </c>
      <c r="AQ1813" s="544" t="str">
        <f t="shared" si="768"/>
        <v/>
      </c>
      <c r="AR1813" s="545">
        <f t="shared" si="769"/>
        <v>0</v>
      </c>
      <c r="AS1813" s="545">
        <f>IFERROR(CEILING($AR1813*VLOOKUP($I1813,Ref!$B$23:$E$29,4,0),1),0)</f>
        <v>0</v>
      </c>
      <c r="AT1813" s="545" t="str">
        <f>IF(A1813="","",IF(AP1813&lt;=1,"Cleared",IF(AS1813=0,"Clean",VLOOKUP($AS1813,Ref!$G$23:$H$28,2))))</f>
        <v/>
      </c>
      <c r="AU1813" s="546" t="str">
        <f t="shared" si="770"/>
        <v/>
      </c>
    </row>
    <row r="1814" spans="1:47" ht="14.25" hidden="1" customHeight="1" x14ac:dyDescent="0.15">
      <c r="A1814" s="575"/>
      <c r="B1814" s="548"/>
      <c r="C1814" s="548"/>
      <c r="D1814" s="548"/>
      <c r="E1814" s="583"/>
      <c r="F1814" s="584"/>
      <c r="G1814" s="548"/>
      <c r="H1814" s="550"/>
      <c r="I1814" s="560"/>
      <c r="J1814" s="548"/>
      <c r="K1814" s="528" t="str">
        <f>IFERROR(VLOOKUP($B1814,'Clients-Live'!$A:$C,3,0),"")</f>
        <v/>
      </c>
      <c r="L1814" s="528">
        <f>IF(E1814="STL",Pricing!$D$38,IF(A1814="",0,IF(A1814&lt;Pricing!$C$25,Pricing!$D$25,VLOOKUP(Disbursements!$F1814,Pricing!$B$29:$D$32,3))))</f>
        <v>0</v>
      </c>
      <c r="M1814" s="528">
        <f>IF(E1814="STL",0,IF(F1814&gt;0,Pricing!$D$21,0))</f>
        <v>0</v>
      </c>
      <c r="N1814" s="529">
        <f>IF(E1814="STL",F1814*Pricing!$D$40,IF(A1814&lt;=Pricing!$C$4,0,IF(AND(A1814&gt;Pricing!$C$4,Disbursements!A1814&lt;=Pricing!$C$5),F1814*Pricing!$E$5,IF(AND(A1814&gt;Pricing!$C$5,Disbursements!A1814&lt;=Pricing!$C$7),VLOOKUP(F1814,Pricing!$D$7:$E$8,2)*Disbursements!F1814,F1814*Pricing!$E$9))))</f>
        <v>0</v>
      </c>
      <c r="O1814" s="528">
        <f>IF(E1814="STL",0,IF($F1814&gt;0,$F1814*Pricing!$D$17,0))</f>
        <v>0</v>
      </c>
      <c r="P1814" s="530" t="str">
        <f t="shared" si="750"/>
        <v/>
      </c>
      <c r="Q1814" s="531" t="str">
        <f>IF($A1814="","",$G1814/VLOOKUP($I1814,Ref!$B$23:$D$29,2,0))</f>
        <v/>
      </c>
      <c r="R1814" s="530" t="str">
        <f t="shared" si="751"/>
        <v/>
      </c>
      <c r="S1814" s="532" t="str">
        <f t="shared" si="745"/>
        <v/>
      </c>
      <c r="T1814" s="531" t="str">
        <f t="shared" si="752"/>
        <v/>
      </c>
      <c r="U1814" s="533">
        <f t="shared" si="753"/>
        <v>0</v>
      </c>
      <c r="V1814" s="531" t="str">
        <f t="shared" si="754"/>
        <v/>
      </c>
      <c r="W1814" s="531" t="str">
        <f t="shared" si="755"/>
        <v/>
      </c>
      <c r="X1814" s="534" t="str">
        <f t="shared" si="756"/>
        <v/>
      </c>
      <c r="Y1814" s="535" t="str">
        <f>IF($A1814="","",IF($I1814="weekly",$A1814+7,EDATE($A1814,VLOOKUP($I1814,Ref!$B$24:$C$29,2,0))))</f>
        <v/>
      </c>
      <c r="Z1814" s="536" t="str">
        <f t="shared" si="757"/>
        <v/>
      </c>
      <c r="AA1814" s="531">
        <f t="shared" si="758"/>
        <v>0</v>
      </c>
      <c r="AB1814" s="535" t="str">
        <f t="shared" si="746"/>
        <v/>
      </c>
      <c r="AC1814" s="537" t="str">
        <f t="shared" si="747"/>
        <v/>
      </c>
      <c r="AD1814" s="538" t="str">
        <f t="shared" ca="1" si="748"/>
        <v/>
      </c>
      <c r="AE1814" s="537">
        <f t="shared" ca="1" si="749"/>
        <v>0</v>
      </c>
      <c r="AF1814" s="539" t="str">
        <f t="shared" ca="1" si="759"/>
        <v/>
      </c>
      <c r="AG1814" s="531" t="str">
        <f t="shared" ca="1" si="760"/>
        <v/>
      </c>
      <c r="AH1814" s="531" t="str">
        <f t="shared" ca="1" si="761"/>
        <v/>
      </c>
      <c r="AI1814" s="531" t="str">
        <f t="shared" ca="1" si="762"/>
        <v/>
      </c>
      <c r="AJ1814" s="531" t="str">
        <f t="shared" si="763"/>
        <v/>
      </c>
      <c r="AK1814" s="540">
        <f>SUMIFS('Live Collections'!$S:$S,'Live Collections'!$D:$D,Disbursements!B1814,'Live Collections'!$G:$G,Disbursements!C1814)</f>
        <v>0</v>
      </c>
      <c r="AL1814" s="540">
        <f>SUMIFS('Live Collections'!$T:$T,'Live Collections'!$D:$D,Disbursements!B1814,'Live Collections'!$G:$G,Disbursements!C1814)</f>
        <v>0</v>
      </c>
      <c r="AM1814" s="541">
        <f t="shared" si="764"/>
        <v>0</v>
      </c>
      <c r="AN1814" s="542" t="str">
        <f t="shared" si="765"/>
        <v/>
      </c>
      <c r="AO1814" s="542" t="str">
        <f t="shared" si="766"/>
        <v/>
      </c>
      <c r="AP1814" s="543" t="str">
        <f t="shared" si="767"/>
        <v/>
      </c>
      <c r="AQ1814" s="544" t="str">
        <f t="shared" si="768"/>
        <v/>
      </c>
      <c r="AR1814" s="545">
        <f t="shared" si="769"/>
        <v>0</v>
      </c>
      <c r="AS1814" s="545">
        <f>IFERROR(CEILING($AR1814*VLOOKUP($I1814,Ref!$B$23:$E$29,4,0),1),0)</f>
        <v>0</v>
      </c>
      <c r="AT1814" s="545" t="str">
        <f>IF(A1814="","",IF(AP1814&lt;=1,"Cleared",IF(AS1814=0,"Clean",VLOOKUP($AS1814,Ref!$G$23:$H$28,2))))</f>
        <v/>
      </c>
      <c r="AU1814" s="546" t="str">
        <f t="shared" si="770"/>
        <v/>
      </c>
    </row>
    <row r="1815" spans="1:47" ht="14.25" hidden="1" customHeight="1" x14ac:dyDescent="0.15">
      <c r="A1815" s="575"/>
      <c r="B1815" s="548"/>
      <c r="C1815" s="548"/>
      <c r="D1815" s="548"/>
      <c r="E1815" s="583"/>
      <c r="F1815" s="584"/>
      <c r="G1815" s="548"/>
      <c r="H1815" s="550"/>
      <c r="I1815" s="560"/>
      <c r="J1815" s="548"/>
      <c r="K1815" s="528" t="str">
        <f>IFERROR(VLOOKUP($B1815,'Clients-Live'!$A:$C,3,0),"")</f>
        <v/>
      </c>
      <c r="L1815" s="528">
        <f>IF(E1815="STL",Pricing!$D$38,IF(A1815="",0,IF(A1815&lt;Pricing!$C$25,Pricing!$D$25,VLOOKUP(Disbursements!$F1815,Pricing!$B$29:$D$32,3))))</f>
        <v>0</v>
      </c>
      <c r="M1815" s="528">
        <f>IF(E1815="STL",0,IF(F1815&gt;0,Pricing!$D$21,0))</f>
        <v>0</v>
      </c>
      <c r="N1815" s="529">
        <f>IF(E1815="STL",F1815*Pricing!$D$40,IF(A1815&lt;=Pricing!$C$4,0,IF(AND(A1815&gt;Pricing!$C$4,Disbursements!A1815&lt;=Pricing!$C$5),F1815*Pricing!$E$5,IF(AND(A1815&gt;Pricing!$C$5,Disbursements!A1815&lt;=Pricing!$C$7),VLOOKUP(F1815,Pricing!$D$7:$E$8,2)*Disbursements!F1815,F1815*Pricing!$E$9))))</f>
        <v>0</v>
      </c>
      <c r="O1815" s="528">
        <f>IF(E1815="STL",0,IF($F1815&gt;0,$F1815*Pricing!$D$17,0))</f>
        <v>0</v>
      </c>
      <c r="P1815" s="530" t="str">
        <f t="shared" si="750"/>
        <v/>
      </c>
      <c r="Q1815" s="531" t="str">
        <f>IF($A1815="","",$G1815/VLOOKUP($I1815,Ref!$B$23:$D$29,2,0))</f>
        <v/>
      </c>
      <c r="R1815" s="530" t="str">
        <f t="shared" si="751"/>
        <v/>
      </c>
      <c r="S1815" s="532" t="str">
        <f t="shared" si="745"/>
        <v/>
      </c>
      <c r="T1815" s="531" t="str">
        <f t="shared" si="752"/>
        <v/>
      </c>
      <c r="U1815" s="533">
        <f t="shared" si="753"/>
        <v>0</v>
      </c>
      <c r="V1815" s="531" t="str">
        <f t="shared" si="754"/>
        <v/>
      </c>
      <c r="W1815" s="531" t="str">
        <f t="shared" si="755"/>
        <v/>
      </c>
      <c r="X1815" s="534" t="str">
        <f t="shared" si="756"/>
        <v/>
      </c>
      <c r="Y1815" s="535" t="str">
        <f>IF($A1815="","",IF($I1815="weekly",$A1815+7,EDATE($A1815,VLOOKUP($I1815,Ref!$B$24:$C$29,2,0))))</f>
        <v/>
      </c>
      <c r="Z1815" s="536" t="str">
        <f t="shared" si="757"/>
        <v/>
      </c>
      <c r="AA1815" s="531">
        <f t="shared" si="758"/>
        <v>0</v>
      </c>
      <c r="AB1815" s="535" t="str">
        <f t="shared" si="746"/>
        <v/>
      </c>
      <c r="AC1815" s="537" t="str">
        <f t="shared" si="747"/>
        <v/>
      </c>
      <c r="AD1815" s="538" t="str">
        <f t="shared" ca="1" si="748"/>
        <v/>
      </c>
      <c r="AE1815" s="537">
        <f t="shared" ca="1" si="749"/>
        <v>0</v>
      </c>
      <c r="AF1815" s="539" t="str">
        <f t="shared" ca="1" si="759"/>
        <v/>
      </c>
      <c r="AG1815" s="531" t="str">
        <f t="shared" ca="1" si="760"/>
        <v/>
      </c>
      <c r="AH1815" s="531" t="str">
        <f t="shared" ca="1" si="761"/>
        <v/>
      </c>
      <c r="AI1815" s="531" t="str">
        <f t="shared" ca="1" si="762"/>
        <v/>
      </c>
      <c r="AJ1815" s="531" t="str">
        <f t="shared" si="763"/>
        <v/>
      </c>
      <c r="AK1815" s="540">
        <f>SUMIFS('Live Collections'!$S:$S,'Live Collections'!$D:$D,Disbursements!B1815,'Live Collections'!$G:$G,Disbursements!C1815)</f>
        <v>0</v>
      </c>
      <c r="AL1815" s="540">
        <f>SUMIFS('Live Collections'!$T:$T,'Live Collections'!$D:$D,Disbursements!B1815,'Live Collections'!$G:$G,Disbursements!C1815)</f>
        <v>0</v>
      </c>
      <c r="AM1815" s="541">
        <f t="shared" si="764"/>
        <v>0</v>
      </c>
      <c r="AN1815" s="542" t="str">
        <f t="shared" si="765"/>
        <v/>
      </c>
      <c r="AO1815" s="542" t="str">
        <f t="shared" si="766"/>
        <v/>
      </c>
      <c r="AP1815" s="543" t="str">
        <f t="shared" si="767"/>
        <v/>
      </c>
      <c r="AQ1815" s="544" t="str">
        <f t="shared" si="768"/>
        <v/>
      </c>
      <c r="AR1815" s="545">
        <f t="shared" si="769"/>
        <v>0</v>
      </c>
      <c r="AS1815" s="545">
        <f>IFERROR(CEILING($AR1815*VLOOKUP($I1815,Ref!$B$23:$E$29,4,0),1),0)</f>
        <v>0</v>
      </c>
      <c r="AT1815" s="545" t="str">
        <f>IF(A1815="","",IF(AP1815&lt;=1,"Cleared",IF(AS1815=0,"Clean",VLOOKUP($AS1815,Ref!$G$23:$H$28,2))))</f>
        <v/>
      </c>
      <c r="AU1815" s="546" t="str">
        <f t="shared" si="770"/>
        <v/>
      </c>
    </row>
    <row r="1816" spans="1:47" ht="14.25" hidden="1" customHeight="1" x14ac:dyDescent="0.15">
      <c r="A1816" s="575"/>
      <c r="B1816" s="548"/>
      <c r="C1816" s="548"/>
      <c r="D1816" s="548"/>
      <c r="E1816" s="583"/>
      <c r="F1816" s="584"/>
      <c r="G1816" s="548"/>
      <c r="H1816" s="550"/>
      <c r="I1816" s="560"/>
      <c r="J1816" s="548"/>
      <c r="K1816" s="528" t="str">
        <f>IFERROR(VLOOKUP($B1816,'Clients-Live'!$A:$C,3,0),"")</f>
        <v/>
      </c>
      <c r="L1816" s="528">
        <f>IF(E1816="STL",Pricing!$D$38,IF(A1816="",0,IF(A1816&lt;Pricing!$C$25,Pricing!$D$25,VLOOKUP(Disbursements!$F1816,Pricing!$B$29:$D$32,3))))</f>
        <v>0</v>
      </c>
      <c r="M1816" s="528">
        <f>IF(E1816="STL",0,IF(F1816&gt;0,Pricing!$D$21,0))</f>
        <v>0</v>
      </c>
      <c r="N1816" s="529">
        <f>IF(E1816="STL",F1816*Pricing!$D$40,IF(A1816&lt;=Pricing!$C$4,0,IF(AND(A1816&gt;Pricing!$C$4,Disbursements!A1816&lt;=Pricing!$C$5),F1816*Pricing!$E$5,IF(AND(A1816&gt;Pricing!$C$5,Disbursements!A1816&lt;=Pricing!$C$7),VLOOKUP(F1816,Pricing!$D$7:$E$8,2)*Disbursements!F1816,F1816*Pricing!$E$9))))</f>
        <v>0</v>
      </c>
      <c r="O1816" s="528">
        <f>IF(E1816="STL",0,IF($F1816&gt;0,$F1816*Pricing!$D$17,0))</f>
        <v>0</v>
      </c>
      <c r="P1816" s="530" t="str">
        <f t="shared" si="750"/>
        <v/>
      </c>
      <c r="Q1816" s="531" t="str">
        <f>IF($A1816="","",$G1816/VLOOKUP($I1816,Ref!$B$23:$D$29,2,0))</f>
        <v/>
      </c>
      <c r="R1816" s="530" t="str">
        <f t="shared" si="751"/>
        <v/>
      </c>
      <c r="S1816" s="532" t="str">
        <f t="shared" si="745"/>
        <v/>
      </c>
      <c r="T1816" s="531" t="str">
        <f t="shared" si="752"/>
        <v/>
      </c>
      <c r="U1816" s="533">
        <f t="shared" si="753"/>
        <v>0</v>
      </c>
      <c r="V1816" s="531" t="str">
        <f t="shared" si="754"/>
        <v/>
      </c>
      <c r="W1816" s="531" t="str">
        <f t="shared" si="755"/>
        <v/>
      </c>
      <c r="X1816" s="534" t="str">
        <f t="shared" si="756"/>
        <v/>
      </c>
      <c r="Y1816" s="535" t="str">
        <f>IF($A1816="","",IF($I1816="weekly",$A1816+7,EDATE($A1816,VLOOKUP($I1816,Ref!$B$24:$C$29,2,0))))</f>
        <v/>
      </c>
      <c r="Z1816" s="536" t="str">
        <f t="shared" si="757"/>
        <v/>
      </c>
      <c r="AA1816" s="531">
        <f t="shared" si="758"/>
        <v>0</v>
      </c>
      <c r="AB1816" s="535" t="str">
        <f t="shared" si="746"/>
        <v/>
      </c>
      <c r="AC1816" s="537" t="str">
        <f t="shared" si="747"/>
        <v/>
      </c>
      <c r="AD1816" s="538" t="str">
        <f t="shared" ca="1" si="748"/>
        <v/>
      </c>
      <c r="AE1816" s="537">
        <f t="shared" ca="1" si="749"/>
        <v>0</v>
      </c>
      <c r="AF1816" s="539" t="str">
        <f t="shared" ca="1" si="759"/>
        <v/>
      </c>
      <c r="AG1816" s="531" t="str">
        <f t="shared" ca="1" si="760"/>
        <v/>
      </c>
      <c r="AH1816" s="531" t="str">
        <f t="shared" ca="1" si="761"/>
        <v/>
      </c>
      <c r="AI1816" s="531" t="str">
        <f t="shared" ca="1" si="762"/>
        <v/>
      </c>
      <c r="AJ1816" s="531" t="str">
        <f t="shared" si="763"/>
        <v/>
      </c>
      <c r="AK1816" s="540">
        <f>SUMIFS('Live Collections'!$S:$S,'Live Collections'!$D:$D,Disbursements!B1816,'Live Collections'!$G:$G,Disbursements!C1816)</f>
        <v>0</v>
      </c>
      <c r="AL1816" s="540">
        <f>SUMIFS('Live Collections'!$T:$T,'Live Collections'!$D:$D,Disbursements!B1816,'Live Collections'!$G:$G,Disbursements!C1816)</f>
        <v>0</v>
      </c>
      <c r="AM1816" s="541">
        <f t="shared" si="764"/>
        <v>0</v>
      </c>
      <c r="AN1816" s="542" t="str">
        <f t="shared" si="765"/>
        <v/>
      </c>
      <c r="AO1816" s="542" t="str">
        <f t="shared" si="766"/>
        <v/>
      </c>
      <c r="AP1816" s="543" t="str">
        <f t="shared" si="767"/>
        <v/>
      </c>
      <c r="AQ1816" s="544" t="str">
        <f t="shared" si="768"/>
        <v/>
      </c>
      <c r="AR1816" s="545">
        <f t="shared" si="769"/>
        <v>0</v>
      </c>
      <c r="AS1816" s="545">
        <f>IFERROR(CEILING($AR1816*VLOOKUP($I1816,Ref!$B$23:$E$29,4,0),1),0)</f>
        <v>0</v>
      </c>
      <c r="AT1816" s="545" t="str">
        <f>IF(A1816="","",IF(AP1816&lt;=1,"Cleared",IF(AS1816=0,"Clean",VLOOKUP($AS1816,Ref!$G$23:$H$28,2))))</f>
        <v/>
      </c>
      <c r="AU1816" s="546" t="str">
        <f t="shared" si="770"/>
        <v/>
      </c>
    </row>
    <row r="1817" spans="1:47" ht="14.25" hidden="1" customHeight="1" x14ac:dyDescent="0.15">
      <c r="A1817" s="575"/>
      <c r="B1817" s="548"/>
      <c r="C1817" s="548"/>
      <c r="D1817" s="548"/>
      <c r="E1817" s="583"/>
      <c r="F1817" s="584"/>
      <c r="G1817" s="548"/>
      <c r="H1817" s="550"/>
      <c r="I1817" s="560"/>
      <c r="J1817" s="548"/>
      <c r="K1817" s="528" t="str">
        <f>IFERROR(VLOOKUP($B1817,'Clients-Live'!$A:$C,3,0),"")</f>
        <v/>
      </c>
      <c r="L1817" s="528">
        <f>IF(E1817="STL",Pricing!$D$38,IF(A1817="",0,IF(A1817&lt;Pricing!$C$25,Pricing!$D$25,VLOOKUP(Disbursements!$F1817,Pricing!$B$29:$D$32,3))))</f>
        <v>0</v>
      </c>
      <c r="M1817" s="528">
        <f>IF(E1817="STL",0,IF(F1817&gt;0,Pricing!$D$21,0))</f>
        <v>0</v>
      </c>
      <c r="N1817" s="529">
        <f>IF(E1817="STL",F1817*Pricing!$D$40,IF(A1817&lt;=Pricing!$C$4,0,IF(AND(A1817&gt;Pricing!$C$4,Disbursements!A1817&lt;=Pricing!$C$5),F1817*Pricing!$E$5,IF(AND(A1817&gt;Pricing!$C$5,Disbursements!A1817&lt;=Pricing!$C$7),VLOOKUP(F1817,Pricing!$D$7:$E$8,2)*Disbursements!F1817,F1817*Pricing!$E$9))))</f>
        <v>0</v>
      </c>
      <c r="O1817" s="528">
        <f>IF(E1817="STL",0,IF($F1817&gt;0,$F1817*Pricing!$D$17,0))</f>
        <v>0</v>
      </c>
      <c r="P1817" s="530" t="str">
        <f t="shared" si="750"/>
        <v/>
      </c>
      <c r="Q1817" s="531" t="str">
        <f>IF($A1817="","",$G1817/VLOOKUP($I1817,Ref!$B$23:$D$29,2,0))</f>
        <v/>
      </c>
      <c r="R1817" s="530" t="str">
        <f t="shared" si="751"/>
        <v/>
      </c>
      <c r="S1817" s="532" t="str">
        <f t="shared" si="745"/>
        <v/>
      </c>
      <c r="T1817" s="531" t="str">
        <f t="shared" si="752"/>
        <v/>
      </c>
      <c r="U1817" s="533">
        <f t="shared" si="753"/>
        <v>0</v>
      </c>
      <c r="V1817" s="531" t="str">
        <f t="shared" si="754"/>
        <v/>
      </c>
      <c r="W1817" s="531" t="str">
        <f t="shared" si="755"/>
        <v/>
      </c>
      <c r="X1817" s="534" t="str">
        <f t="shared" si="756"/>
        <v/>
      </c>
      <c r="Y1817" s="535" t="str">
        <f>IF($A1817="","",IF($I1817="weekly",$A1817+7,EDATE($A1817,VLOOKUP($I1817,Ref!$B$24:$C$29,2,0))))</f>
        <v/>
      </c>
      <c r="Z1817" s="536" t="str">
        <f t="shared" si="757"/>
        <v/>
      </c>
      <c r="AA1817" s="531">
        <f t="shared" si="758"/>
        <v>0</v>
      </c>
      <c r="AB1817" s="535" t="str">
        <f t="shared" si="746"/>
        <v/>
      </c>
      <c r="AC1817" s="537" t="str">
        <f t="shared" si="747"/>
        <v/>
      </c>
      <c r="AD1817" s="538" t="str">
        <f t="shared" ca="1" si="748"/>
        <v/>
      </c>
      <c r="AE1817" s="537">
        <f t="shared" ca="1" si="749"/>
        <v>0</v>
      </c>
      <c r="AF1817" s="539" t="str">
        <f t="shared" ca="1" si="759"/>
        <v/>
      </c>
      <c r="AG1817" s="531" t="str">
        <f t="shared" ca="1" si="760"/>
        <v/>
      </c>
      <c r="AH1817" s="531" t="str">
        <f t="shared" ca="1" si="761"/>
        <v/>
      </c>
      <c r="AI1817" s="531" t="str">
        <f t="shared" ca="1" si="762"/>
        <v/>
      </c>
      <c r="AJ1817" s="531" t="str">
        <f t="shared" si="763"/>
        <v/>
      </c>
      <c r="AK1817" s="540">
        <f>SUMIFS('Live Collections'!$S:$S,'Live Collections'!$D:$D,Disbursements!B1817,'Live Collections'!$G:$G,Disbursements!C1817)</f>
        <v>0</v>
      </c>
      <c r="AL1817" s="540">
        <f>SUMIFS('Live Collections'!$T:$T,'Live Collections'!$D:$D,Disbursements!B1817,'Live Collections'!$G:$G,Disbursements!C1817)</f>
        <v>0</v>
      </c>
      <c r="AM1817" s="541">
        <f t="shared" si="764"/>
        <v>0</v>
      </c>
      <c r="AN1817" s="542" t="str">
        <f t="shared" si="765"/>
        <v/>
      </c>
      <c r="AO1817" s="542" t="str">
        <f t="shared" si="766"/>
        <v/>
      </c>
      <c r="AP1817" s="543" t="str">
        <f t="shared" si="767"/>
        <v/>
      </c>
      <c r="AQ1817" s="544" t="str">
        <f t="shared" si="768"/>
        <v/>
      </c>
      <c r="AR1817" s="545">
        <f t="shared" si="769"/>
        <v>0</v>
      </c>
      <c r="AS1817" s="545">
        <f>IFERROR(CEILING($AR1817*VLOOKUP($I1817,Ref!$B$23:$E$29,4,0),1),0)</f>
        <v>0</v>
      </c>
      <c r="AT1817" s="545" t="str">
        <f>IF(A1817="","",IF(AP1817&lt;=1,"Cleared",IF(AS1817=0,"Clean",VLOOKUP($AS1817,Ref!$G$23:$H$28,2))))</f>
        <v/>
      </c>
      <c r="AU1817" s="546" t="str">
        <f t="shared" si="770"/>
        <v/>
      </c>
    </row>
    <row r="1818" spans="1:47" ht="14.25" hidden="1" customHeight="1" x14ac:dyDescent="0.15">
      <c r="A1818" s="575"/>
      <c r="B1818" s="548"/>
      <c r="C1818" s="548"/>
      <c r="D1818" s="548"/>
      <c r="E1818" s="583"/>
      <c r="F1818" s="584"/>
      <c r="G1818" s="548"/>
      <c r="H1818" s="550"/>
      <c r="I1818" s="560"/>
      <c r="J1818" s="548"/>
      <c r="K1818" s="528" t="str">
        <f>IFERROR(VLOOKUP($B1818,'Clients-Live'!$A:$C,3,0),"")</f>
        <v/>
      </c>
      <c r="L1818" s="528">
        <f>IF(E1818="STL",Pricing!$D$38,IF(A1818="",0,IF(A1818&lt;Pricing!$C$25,Pricing!$D$25,VLOOKUP(Disbursements!$F1818,Pricing!$B$29:$D$32,3))))</f>
        <v>0</v>
      </c>
      <c r="M1818" s="528">
        <f>IF(E1818="STL",0,IF(F1818&gt;0,Pricing!$D$21,0))</f>
        <v>0</v>
      </c>
      <c r="N1818" s="529">
        <f>IF(E1818="STL",F1818*Pricing!$D$40,IF(A1818&lt;=Pricing!$C$4,0,IF(AND(A1818&gt;Pricing!$C$4,Disbursements!A1818&lt;=Pricing!$C$5),F1818*Pricing!$E$5,IF(AND(A1818&gt;Pricing!$C$5,Disbursements!A1818&lt;=Pricing!$C$7),VLOOKUP(F1818,Pricing!$D$7:$E$8,2)*Disbursements!F1818,F1818*Pricing!$E$9))))</f>
        <v>0</v>
      </c>
      <c r="O1818" s="528">
        <f>IF(E1818="STL",0,IF($F1818&gt;0,$F1818*Pricing!$D$17,0))</f>
        <v>0</v>
      </c>
      <c r="P1818" s="530" t="str">
        <f t="shared" si="750"/>
        <v/>
      </c>
      <c r="Q1818" s="531" t="str">
        <f>IF($A1818="","",$G1818/VLOOKUP($I1818,Ref!$B$23:$D$29,2,0))</f>
        <v/>
      </c>
      <c r="R1818" s="530" t="str">
        <f t="shared" si="751"/>
        <v/>
      </c>
      <c r="S1818" s="532" t="str">
        <f t="shared" si="745"/>
        <v/>
      </c>
      <c r="T1818" s="531" t="str">
        <f t="shared" si="752"/>
        <v/>
      </c>
      <c r="U1818" s="533">
        <f t="shared" si="753"/>
        <v>0</v>
      </c>
      <c r="V1818" s="531" t="str">
        <f t="shared" si="754"/>
        <v/>
      </c>
      <c r="W1818" s="531" t="str">
        <f t="shared" si="755"/>
        <v/>
      </c>
      <c r="X1818" s="534" t="str">
        <f t="shared" si="756"/>
        <v/>
      </c>
      <c r="Y1818" s="535" t="str">
        <f>IF($A1818="","",IF($I1818="weekly",$A1818+7,EDATE($A1818,VLOOKUP($I1818,Ref!$B$24:$C$29,2,0))))</f>
        <v/>
      </c>
      <c r="Z1818" s="536" t="str">
        <f t="shared" si="757"/>
        <v/>
      </c>
      <c r="AA1818" s="531">
        <f t="shared" si="758"/>
        <v>0</v>
      </c>
      <c r="AB1818" s="535" t="str">
        <f t="shared" si="746"/>
        <v/>
      </c>
      <c r="AC1818" s="537" t="str">
        <f t="shared" si="747"/>
        <v/>
      </c>
      <c r="AD1818" s="538" t="str">
        <f t="shared" ca="1" si="748"/>
        <v/>
      </c>
      <c r="AE1818" s="537">
        <f t="shared" ca="1" si="749"/>
        <v>0</v>
      </c>
      <c r="AF1818" s="539" t="str">
        <f t="shared" ca="1" si="759"/>
        <v/>
      </c>
      <c r="AG1818" s="531" t="str">
        <f t="shared" ca="1" si="760"/>
        <v/>
      </c>
      <c r="AH1818" s="531" t="str">
        <f t="shared" ca="1" si="761"/>
        <v/>
      </c>
      <c r="AI1818" s="531" t="str">
        <f t="shared" ca="1" si="762"/>
        <v/>
      </c>
      <c r="AJ1818" s="531" t="str">
        <f t="shared" si="763"/>
        <v/>
      </c>
      <c r="AK1818" s="540">
        <f>SUMIFS('Live Collections'!$S:$S,'Live Collections'!$D:$D,Disbursements!B1818,'Live Collections'!$G:$G,Disbursements!C1818)</f>
        <v>0</v>
      </c>
      <c r="AL1818" s="540">
        <f>SUMIFS('Live Collections'!$T:$T,'Live Collections'!$D:$D,Disbursements!B1818,'Live Collections'!$G:$G,Disbursements!C1818)</f>
        <v>0</v>
      </c>
      <c r="AM1818" s="541">
        <f t="shared" si="764"/>
        <v>0</v>
      </c>
      <c r="AN1818" s="542" t="str">
        <f t="shared" si="765"/>
        <v/>
      </c>
      <c r="AO1818" s="542" t="str">
        <f t="shared" si="766"/>
        <v/>
      </c>
      <c r="AP1818" s="543" t="str">
        <f t="shared" si="767"/>
        <v/>
      </c>
      <c r="AQ1818" s="544" t="str">
        <f t="shared" si="768"/>
        <v/>
      </c>
      <c r="AR1818" s="545">
        <f t="shared" si="769"/>
        <v>0</v>
      </c>
      <c r="AS1818" s="545">
        <f>IFERROR(CEILING($AR1818*VLOOKUP($I1818,Ref!$B$23:$E$29,4,0),1),0)</f>
        <v>0</v>
      </c>
      <c r="AT1818" s="545" t="str">
        <f>IF(A1818="","",IF(AP1818&lt;=1,"Cleared",IF(AS1818=0,"Clean",VLOOKUP($AS1818,Ref!$G$23:$H$28,2))))</f>
        <v/>
      </c>
      <c r="AU1818" s="546" t="str">
        <f t="shared" si="770"/>
        <v/>
      </c>
    </row>
    <row r="1819" spans="1:47" ht="14.25" hidden="1" customHeight="1" x14ac:dyDescent="0.15">
      <c r="A1819" s="575"/>
      <c r="B1819" s="548"/>
      <c r="C1819" s="548"/>
      <c r="D1819" s="548"/>
      <c r="E1819" s="583"/>
      <c r="F1819" s="584"/>
      <c r="G1819" s="548"/>
      <c r="H1819" s="550"/>
      <c r="I1819" s="560"/>
      <c r="J1819" s="548"/>
      <c r="K1819" s="528" t="str">
        <f>IFERROR(VLOOKUP($B1819,'Clients-Live'!$A:$C,3,0),"")</f>
        <v/>
      </c>
      <c r="L1819" s="528">
        <f>IF(E1819="STL",Pricing!$D$38,IF(A1819="",0,IF(A1819&lt;Pricing!$C$25,Pricing!$D$25,VLOOKUP(Disbursements!$F1819,Pricing!$B$29:$D$32,3))))</f>
        <v>0</v>
      </c>
      <c r="M1819" s="528">
        <f>IF(E1819="STL",0,IF(F1819&gt;0,Pricing!$D$21,0))</f>
        <v>0</v>
      </c>
      <c r="N1819" s="529">
        <f>IF(E1819="STL",F1819*Pricing!$D$40,IF(A1819&lt;=Pricing!$C$4,0,IF(AND(A1819&gt;Pricing!$C$4,Disbursements!A1819&lt;=Pricing!$C$5),F1819*Pricing!$E$5,IF(AND(A1819&gt;Pricing!$C$5,Disbursements!A1819&lt;=Pricing!$C$7),VLOOKUP(F1819,Pricing!$D$7:$E$8,2)*Disbursements!F1819,F1819*Pricing!$E$9))))</f>
        <v>0</v>
      </c>
      <c r="O1819" s="528">
        <f>IF(E1819="STL",0,IF($F1819&gt;0,$F1819*Pricing!$D$17,0))</f>
        <v>0</v>
      </c>
      <c r="P1819" s="530" t="str">
        <f t="shared" si="750"/>
        <v/>
      </c>
      <c r="Q1819" s="531" t="str">
        <f>IF($A1819="","",$G1819/VLOOKUP($I1819,Ref!$B$23:$D$29,2,0))</f>
        <v/>
      </c>
      <c r="R1819" s="530" t="str">
        <f t="shared" si="751"/>
        <v/>
      </c>
      <c r="S1819" s="532" t="str">
        <f t="shared" si="745"/>
        <v/>
      </c>
      <c r="T1819" s="531" t="str">
        <f t="shared" si="752"/>
        <v/>
      </c>
      <c r="U1819" s="533">
        <f t="shared" si="753"/>
        <v>0</v>
      </c>
      <c r="V1819" s="531" t="str">
        <f t="shared" si="754"/>
        <v/>
      </c>
      <c r="W1819" s="531" t="str">
        <f t="shared" si="755"/>
        <v/>
      </c>
      <c r="X1819" s="534" t="str">
        <f t="shared" si="756"/>
        <v/>
      </c>
      <c r="Y1819" s="535" t="str">
        <f>IF($A1819="","",IF($I1819="weekly",$A1819+7,EDATE($A1819,VLOOKUP($I1819,Ref!$B$24:$C$29,2,0))))</f>
        <v/>
      </c>
      <c r="Z1819" s="536" t="str">
        <f t="shared" si="757"/>
        <v/>
      </c>
      <c r="AA1819" s="531">
        <f t="shared" si="758"/>
        <v>0</v>
      </c>
      <c r="AB1819" s="535" t="str">
        <f t="shared" si="746"/>
        <v/>
      </c>
      <c r="AC1819" s="537" t="str">
        <f t="shared" si="747"/>
        <v/>
      </c>
      <c r="AD1819" s="538" t="str">
        <f t="shared" ca="1" si="748"/>
        <v/>
      </c>
      <c r="AE1819" s="537">
        <f t="shared" ca="1" si="749"/>
        <v>0</v>
      </c>
      <c r="AF1819" s="539" t="str">
        <f t="shared" ca="1" si="759"/>
        <v/>
      </c>
      <c r="AG1819" s="531" t="str">
        <f t="shared" ca="1" si="760"/>
        <v/>
      </c>
      <c r="AH1819" s="531" t="str">
        <f t="shared" ca="1" si="761"/>
        <v/>
      </c>
      <c r="AI1819" s="531" t="str">
        <f t="shared" ca="1" si="762"/>
        <v/>
      </c>
      <c r="AJ1819" s="531" t="str">
        <f t="shared" si="763"/>
        <v/>
      </c>
      <c r="AK1819" s="540">
        <f>SUMIFS('Live Collections'!$S:$S,'Live Collections'!$D:$D,Disbursements!B1819,'Live Collections'!$G:$G,Disbursements!C1819)</f>
        <v>0</v>
      </c>
      <c r="AL1819" s="540">
        <f>SUMIFS('Live Collections'!$T:$T,'Live Collections'!$D:$D,Disbursements!B1819,'Live Collections'!$G:$G,Disbursements!C1819)</f>
        <v>0</v>
      </c>
      <c r="AM1819" s="541">
        <f t="shared" si="764"/>
        <v>0</v>
      </c>
      <c r="AN1819" s="542" t="str">
        <f t="shared" si="765"/>
        <v/>
      </c>
      <c r="AO1819" s="542" t="str">
        <f t="shared" si="766"/>
        <v/>
      </c>
      <c r="AP1819" s="543" t="str">
        <f t="shared" si="767"/>
        <v/>
      </c>
      <c r="AQ1819" s="544" t="str">
        <f t="shared" si="768"/>
        <v/>
      </c>
      <c r="AR1819" s="545">
        <f t="shared" si="769"/>
        <v>0</v>
      </c>
      <c r="AS1819" s="545">
        <f>IFERROR(CEILING($AR1819*VLOOKUP($I1819,Ref!$B$23:$E$29,4,0),1),0)</f>
        <v>0</v>
      </c>
      <c r="AT1819" s="545" t="str">
        <f>IF(A1819="","",IF(AP1819&lt;=1,"Cleared",IF(AS1819=0,"Clean",VLOOKUP($AS1819,Ref!$G$23:$H$28,2))))</f>
        <v/>
      </c>
      <c r="AU1819" s="546" t="str">
        <f t="shared" si="770"/>
        <v/>
      </c>
    </row>
    <row r="1820" spans="1:47" ht="14.25" hidden="1" customHeight="1" x14ac:dyDescent="0.15">
      <c r="A1820" s="575"/>
      <c r="B1820" s="548"/>
      <c r="C1820" s="548"/>
      <c r="D1820" s="548"/>
      <c r="E1820" s="583"/>
      <c r="F1820" s="584"/>
      <c r="G1820" s="548"/>
      <c r="H1820" s="550"/>
      <c r="I1820" s="560"/>
      <c r="J1820" s="548"/>
      <c r="K1820" s="528" t="str">
        <f>IFERROR(VLOOKUP($B1820,'Clients-Live'!$A:$C,3,0),"")</f>
        <v/>
      </c>
      <c r="L1820" s="528">
        <f>IF(E1820="STL",Pricing!$D$38,IF(A1820="",0,IF(A1820&lt;Pricing!$C$25,Pricing!$D$25,VLOOKUP(Disbursements!$F1820,Pricing!$B$29:$D$32,3))))</f>
        <v>0</v>
      </c>
      <c r="M1820" s="528">
        <f>IF(E1820="STL",0,IF(F1820&gt;0,Pricing!$D$21,0))</f>
        <v>0</v>
      </c>
      <c r="N1820" s="529">
        <f>IF(E1820="STL",F1820*Pricing!$D$40,IF(A1820&lt;=Pricing!$C$4,0,IF(AND(A1820&gt;Pricing!$C$4,Disbursements!A1820&lt;=Pricing!$C$5),F1820*Pricing!$E$5,IF(AND(A1820&gt;Pricing!$C$5,Disbursements!A1820&lt;=Pricing!$C$7),VLOOKUP(F1820,Pricing!$D$7:$E$8,2)*Disbursements!F1820,F1820*Pricing!$E$9))))</f>
        <v>0</v>
      </c>
      <c r="O1820" s="528">
        <f>IF(E1820="STL",0,IF($F1820&gt;0,$F1820*Pricing!$D$17,0))</f>
        <v>0</v>
      </c>
      <c r="P1820" s="530" t="str">
        <f t="shared" si="750"/>
        <v/>
      </c>
      <c r="Q1820" s="531" t="str">
        <f>IF($A1820="","",$G1820/VLOOKUP($I1820,Ref!$B$23:$D$29,2,0))</f>
        <v/>
      </c>
      <c r="R1820" s="530" t="str">
        <f t="shared" si="751"/>
        <v/>
      </c>
      <c r="S1820" s="532" t="str">
        <f t="shared" si="745"/>
        <v/>
      </c>
      <c r="T1820" s="531" t="str">
        <f t="shared" si="752"/>
        <v/>
      </c>
      <c r="U1820" s="533">
        <f t="shared" si="753"/>
        <v>0</v>
      </c>
      <c r="V1820" s="531" t="str">
        <f t="shared" si="754"/>
        <v/>
      </c>
      <c r="W1820" s="531" t="str">
        <f t="shared" si="755"/>
        <v/>
      </c>
      <c r="X1820" s="534" t="str">
        <f t="shared" si="756"/>
        <v/>
      </c>
      <c r="Y1820" s="535" t="str">
        <f>IF($A1820="","",IF($I1820="weekly",$A1820+7,EDATE($A1820,VLOOKUP($I1820,Ref!$B$24:$C$29,2,0))))</f>
        <v/>
      </c>
      <c r="Z1820" s="536" t="str">
        <f t="shared" si="757"/>
        <v/>
      </c>
      <c r="AA1820" s="531">
        <f t="shared" si="758"/>
        <v>0</v>
      </c>
      <c r="AB1820" s="535" t="str">
        <f t="shared" si="746"/>
        <v/>
      </c>
      <c r="AC1820" s="537" t="str">
        <f t="shared" si="747"/>
        <v/>
      </c>
      <c r="AD1820" s="538" t="str">
        <f t="shared" ca="1" si="748"/>
        <v/>
      </c>
      <c r="AE1820" s="537">
        <f t="shared" ca="1" si="749"/>
        <v>0</v>
      </c>
      <c r="AF1820" s="539" t="str">
        <f t="shared" ca="1" si="759"/>
        <v/>
      </c>
      <c r="AG1820" s="531" t="str">
        <f t="shared" ca="1" si="760"/>
        <v/>
      </c>
      <c r="AH1820" s="531" t="str">
        <f t="shared" ca="1" si="761"/>
        <v/>
      </c>
      <c r="AI1820" s="531" t="str">
        <f t="shared" ca="1" si="762"/>
        <v/>
      </c>
      <c r="AJ1820" s="531" t="str">
        <f t="shared" si="763"/>
        <v/>
      </c>
      <c r="AK1820" s="540">
        <f>SUMIFS('Live Collections'!$S:$S,'Live Collections'!$D:$D,Disbursements!B1820,'Live Collections'!$G:$G,Disbursements!C1820)</f>
        <v>0</v>
      </c>
      <c r="AL1820" s="540">
        <f>SUMIFS('Live Collections'!$T:$T,'Live Collections'!$D:$D,Disbursements!B1820,'Live Collections'!$G:$G,Disbursements!C1820)</f>
        <v>0</v>
      </c>
      <c r="AM1820" s="541">
        <f t="shared" si="764"/>
        <v>0</v>
      </c>
      <c r="AN1820" s="542" t="str">
        <f t="shared" si="765"/>
        <v/>
      </c>
      <c r="AO1820" s="542" t="str">
        <f t="shared" si="766"/>
        <v/>
      </c>
      <c r="AP1820" s="543" t="str">
        <f t="shared" si="767"/>
        <v/>
      </c>
      <c r="AQ1820" s="544" t="str">
        <f t="shared" si="768"/>
        <v/>
      </c>
      <c r="AR1820" s="545">
        <f t="shared" si="769"/>
        <v>0</v>
      </c>
      <c r="AS1820" s="545">
        <f>IFERROR(CEILING($AR1820*VLOOKUP($I1820,Ref!$B$23:$E$29,4,0),1),0)</f>
        <v>0</v>
      </c>
      <c r="AT1820" s="545" t="str">
        <f>IF(A1820="","",IF(AP1820&lt;=1,"Cleared",IF(AS1820=0,"Clean",VLOOKUP($AS1820,Ref!$G$23:$H$28,2))))</f>
        <v/>
      </c>
      <c r="AU1820" s="546" t="str">
        <f t="shared" si="770"/>
        <v/>
      </c>
    </row>
    <row r="1821" spans="1:47" ht="14.25" hidden="1" customHeight="1" x14ac:dyDescent="0.15">
      <c r="A1821" s="575"/>
      <c r="B1821" s="548"/>
      <c r="C1821" s="548"/>
      <c r="D1821" s="548"/>
      <c r="E1821" s="583"/>
      <c r="F1821" s="584"/>
      <c r="G1821" s="548"/>
      <c r="H1821" s="550"/>
      <c r="I1821" s="560"/>
      <c r="J1821" s="548"/>
      <c r="K1821" s="528" t="str">
        <f>IFERROR(VLOOKUP($B1821,'Clients-Live'!$A:$C,3,0),"")</f>
        <v/>
      </c>
      <c r="L1821" s="528">
        <f>IF(E1821="STL",Pricing!$D$38,IF(A1821="",0,IF(A1821&lt;Pricing!$C$25,Pricing!$D$25,VLOOKUP(Disbursements!$F1821,Pricing!$B$29:$D$32,3))))</f>
        <v>0</v>
      </c>
      <c r="M1821" s="528">
        <f>IF(E1821="STL",0,IF(F1821&gt;0,Pricing!$D$21,0))</f>
        <v>0</v>
      </c>
      <c r="N1821" s="529">
        <f>IF(E1821="STL",F1821*Pricing!$D$40,IF(A1821&lt;=Pricing!$C$4,0,IF(AND(A1821&gt;Pricing!$C$4,Disbursements!A1821&lt;=Pricing!$C$5),F1821*Pricing!$E$5,IF(AND(A1821&gt;Pricing!$C$5,Disbursements!A1821&lt;=Pricing!$C$7),VLOOKUP(F1821,Pricing!$D$7:$E$8,2)*Disbursements!F1821,F1821*Pricing!$E$9))))</f>
        <v>0</v>
      </c>
      <c r="O1821" s="528">
        <f>IF(E1821="STL",0,IF($F1821&gt;0,$F1821*Pricing!$D$17,0))</f>
        <v>0</v>
      </c>
      <c r="P1821" s="530" t="str">
        <f t="shared" si="750"/>
        <v/>
      </c>
      <c r="Q1821" s="531" t="str">
        <f>IF($A1821="","",$G1821/VLOOKUP($I1821,Ref!$B$23:$D$29,2,0))</f>
        <v/>
      </c>
      <c r="R1821" s="530" t="str">
        <f t="shared" si="751"/>
        <v/>
      </c>
      <c r="S1821" s="532" t="str">
        <f t="shared" si="745"/>
        <v/>
      </c>
      <c r="T1821" s="531" t="str">
        <f t="shared" si="752"/>
        <v/>
      </c>
      <c r="U1821" s="533">
        <f t="shared" si="753"/>
        <v>0</v>
      </c>
      <c r="V1821" s="531" t="str">
        <f t="shared" si="754"/>
        <v/>
      </c>
      <c r="W1821" s="531" t="str">
        <f t="shared" si="755"/>
        <v/>
      </c>
      <c r="X1821" s="534" t="str">
        <f t="shared" si="756"/>
        <v/>
      </c>
      <c r="Y1821" s="535" t="str">
        <f>IF($A1821="","",IF($I1821="weekly",$A1821+7,EDATE($A1821,VLOOKUP($I1821,Ref!$B$24:$C$29,2,0))))</f>
        <v/>
      </c>
      <c r="Z1821" s="536" t="str">
        <f t="shared" si="757"/>
        <v/>
      </c>
      <c r="AA1821" s="531">
        <f t="shared" si="758"/>
        <v>0</v>
      </c>
      <c r="AB1821" s="535" t="str">
        <f t="shared" si="746"/>
        <v/>
      </c>
      <c r="AC1821" s="537" t="str">
        <f t="shared" si="747"/>
        <v/>
      </c>
      <c r="AD1821" s="538" t="str">
        <f t="shared" ca="1" si="748"/>
        <v/>
      </c>
      <c r="AE1821" s="537">
        <f t="shared" ca="1" si="749"/>
        <v>0</v>
      </c>
      <c r="AF1821" s="539" t="str">
        <f t="shared" ca="1" si="759"/>
        <v/>
      </c>
      <c r="AG1821" s="531" t="str">
        <f t="shared" ca="1" si="760"/>
        <v/>
      </c>
      <c r="AH1821" s="531" t="str">
        <f t="shared" ca="1" si="761"/>
        <v/>
      </c>
      <c r="AI1821" s="531" t="str">
        <f t="shared" ca="1" si="762"/>
        <v/>
      </c>
      <c r="AJ1821" s="531" t="str">
        <f t="shared" si="763"/>
        <v/>
      </c>
      <c r="AK1821" s="540">
        <f>SUMIFS('Live Collections'!$S:$S,'Live Collections'!$D:$D,Disbursements!B1821,'Live Collections'!$G:$G,Disbursements!C1821)</f>
        <v>0</v>
      </c>
      <c r="AL1821" s="540">
        <f>SUMIFS('Live Collections'!$T:$T,'Live Collections'!$D:$D,Disbursements!B1821,'Live Collections'!$G:$G,Disbursements!C1821)</f>
        <v>0</v>
      </c>
      <c r="AM1821" s="541">
        <f t="shared" si="764"/>
        <v>0</v>
      </c>
      <c r="AN1821" s="542" t="str">
        <f t="shared" si="765"/>
        <v/>
      </c>
      <c r="AO1821" s="542" t="str">
        <f t="shared" si="766"/>
        <v/>
      </c>
      <c r="AP1821" s="543" t="str">
        <f t="shared" si="767"/>
        <v/>
      </c>
      <c r="AQ1821" s="544" t="str">
        <f t="shared" si="768"/>
        <v/>
      </c>
      <c r="AR1821" s="545">
        <f t="shared" si="769"/>
        <v>0</v>
      </c>
      <c r="AS1821" s="545">
        <f>IFERROR(CEILING($AR1821*VLOOKUP($I1821,Ref!$B$23:$E$29,4,0),1),0)</f>
        <v>0</v>
      </c>
      <c r="AT1821" s="545" t="str">
        <f>IF(A1821="","",IF(AP1821&lt;=1,"Cleared",IF(AS1821=0,"Clean",VLOOKUP($AS1821,Ref!$G$23:$H$28,2))))</f>
        <v/>
      </c>
      <c r="AU1821" s="546" t="str">
        <f t="shared" si="770"/>
        <v/>
      </c>
    </row>
    <row r="1822" spans="1:47" ht="14.25" hidden="1" customHeight="1" x14ac:dyDescent="0.15">
      <c r="A1822" s="575"/>
      <c r="B1822" s="548"/>
      <c r="C1822" s="548"/>
      <c r="D1822" s="548"/>
      <c r="E1822" s="583"/>
      <c r="F1822" s="584"/>
      <c r="G1822" s="548"/>
      <c r="H1822" s="550"/>
      <c r="I1822" s="560"/>
      <c r="J1822" s="548"/>
      <c r="K1822" s="528" t="str">
        <f>IFERROR(VLOOKUP($B1822,'Clients-Live'!$A:$C,3,0),"")</f>
        <v/>
      </c>
      <c r="L1822" s="528">
        <f>IF(E1822="STL",Pricing!$D$38,IF(A1822="",0,IF(A1822&lt;Pricing!$C$25,Pricing!$D$25,VLOOKUP(Disbursements!$F1822,Pricing!$B$29:$D$32,3))))</f>
        <v>0</v>
      </c>
      <c r="M1822" s="528">
        <f>IF(E1822="STL",0,IF(F1822&gt;0,Pricing!$D$21,0))</f>
        <v>0</v>
      </c>
      <c r="N1822" s="529">
        <f>IF(E1822="STL",F1822*Pricing!$D$40,IF(A1822&lt;=Pricing!$C$4,0,IF(AND(A1822&gt;Pricing!$C$4,Disbursements!A1822&lt;=Pricing!$C$5),F1822*Pricing!$E$5,IF(AND(A1822&gt;Pricing!$C$5,Disbursements!A1822&lt;=Pricing!$C$7),VLOOKUP(F1822,Pricing!$D$7:$E$8,2)*Disbursements!F1822,F1822*Pricing!$E$9))))</f>
        <v>0</v>
      </c>
      <c r="O1822" s="528">
        <f>IF(E1822="STL",0,IF($F1822&gt;0,$F1822*Pricing!$D$17,0))</f>
        <v>0</v>
      </c>
      <c r="P1822" s="530" t="str">
        <f t="shared" si="750"/>
        <v/>
      </c>
      <c r="Q1822" s="531" t="str">
        <f>IF($A1822="","",$G1822/VLOOKUP($I1822,Ref!$B$23:$D$29,2,0))</f>
        <v/>
      </c>
      <c r="R1822" s="530" t="str">
        <f t="shared" si="751"/>
        <v/>
      </c>
      <c r="S1822" s="532" t="str">
        <f t="shared" si="745"/>
        <v/>
      </c>
      <c r="T1822" s="531" t="str">
        <f t="shared" si="752"/>
        <v/>
      </c>
      <c r="U1822" s="533">
        <f t="shared" si="753"/>
        <v>0</v>
      </c>
      <c r="V1822" s="531" t="str">
        <f t="shared" si="754"/>
        <v/>
      </c>
      <c r="W1822" s="531" t="str">
        <f t="shared" si="755"/>
        <v/>
      </c>
      <c r="X1822" s="534" t="str">
        <f t="shared" si="756"/>
        <v/>
      </c>
      <c r="Y1822" s="535" t="str">
        <f>IF($A1822="","",IF($I1822="weekly",$A1822+7,EDATE($A1822,VLOOKUP($I1822,Ref!$B$24:$C$29,2,0))))</f>
        <v/>
      </c>
      <c r="Z1822" s="536" t="str">
        <f t="shared" si="757"/>
        <v/>
      </c>
      <c r="AA1822" s="531">
        <f t="shared" si="758"/>
        <v>0</v>
      </c>
      <c r="AB1822" s="535" t="str">
        <f t="shared" si="746"/>
        <v/>
      </c>
      <c r="AC1822" s="537" t="str">
        <f t="shared" si="747"/>
        <v/>
      </c>
      <c r="AD1822" s="538" t="str">
        <f t="shared" ca="1" si="748"/>
        <v/>
      </c>
      <c r="AE1822" s="537">
        <f t="shared" ca="1" si="749"/>
        <v>0</v>
      </c>
      <c r="AF1822" s="539" t="str">
        <f t="shared" ca="1" si="759"/>
        <v/>
      </c>
      <c r="AG1822" s="531" t="str">
        <f t="shared" ca="1" si="760"/>
        <v/>
      </c>
      <c r="AH1822" s="531" t="str">
        <f t="shared" ca="1" si="761"/>
        <v/>
      </c>
      <c r="AI1822" s="531" t="str">
        <f t="shared" ca="1" si="762"/>
        <v/>
      </c>
      <c r="AJ1822" s="531" t="str">
        <f t="shared" si="763"/>
        <v/>
      </c>
      <c r="AK1822" s="540">
        <f>SUMIFS('Live Collections'!$S:$S,'Live Collections'!$D:$D,Disbursements!B1822,'Live Collections'!$G:$G,Disbursements!C1822)</f>
        <v>0</v>
      </c>
      <c r="AL1822" s="540">
        <f>SUMIFS('Live Collections'!$T:$T,'Live Collections'!$D:$D,Disbursements!B1822,'Live Collections'!$G:$G,Disbursements!C1822)</f>
        <v>0</v>
      </c>
      <c r="AM1822" s="541">
        <f t="shared" si="764"/>
        <v>0</v>
      </c>
      <c r="AN1822" s="542" t="str">
        <f t="shared" si="765"/>
        <v/>
      </c>
      <c r="AO1822" s="542" t="str">
        <f t="shared" si="766"/>
        <v/>
      </c>
      <c r="AP1822" s="543" t="str">
        <f t="shared" si="767"/>
        <v/>
      </c>
      <c r="AQ1822" s="544" t="str">
        <f t="shared" si="768"/>
        <v/>
      </c>
      <c r="AR1822" s="545">
        <f t="shared" si="769"/>
        <v>0</v>
      </c>
      <c r="AS1822" s="545">
        <f>IFERROR(CEILING($AR1822*VLOOKUP($I1822,Ref!$B$23:$E$29,4,0),1),0)</f>
        <v>0</v>
      </c>
      <c r="AT1822" s="545" t="str">
        <f>IF(A1822="","",IF(AP1822&lt;=1,"Cleared",IF(AS1822=0,"Clean",VLOOKUP($AS1822,Ref!$G$23:$H$28,2))))</f>
        <v/>
      </c>
      <c r="AU1822" s="546" t="str">
        <f t="shared" si="770"/>
        <v/>
      </c>
    </row>
    <row r="1823" spans="1:47" ht="14.25" hidden="1" customHeight="1" x14ac:dyDescent="0.15">
      <c r="A1823" s="575"/>
      <c r="B1823" s="548"/>
      <c r="C1823" s="548"/>
      <c r="D1823" s="548"/>
      <c r="E1823" s="583"/>
      <c r="F1823" s="584"/>
      <c r="G1823" s="548"/>
      <c r="H1823" s="550"/>
      <c r="I1823" s="560"/>
      <c r="J1823" s="548"/>
      <c r="K1823" s="528" t="str">
        <f>IFERROR(VLOOKUP($B1823,'Clients-Live'!$A:$C,3,0),"")</f>
        <v/>
      </c>
      <c r="L1823" s="528">
        <f>IF(E1823="STL",Pricing!$D$38,IF(A1823="",0,IF(A1823&lt;Pricing!$C$25,Pricing!$D$25,VLOOKUP(Disbursements!$F1823,Pricing!$B$29:$D$32,3))))</f>
        <v>0</v>
      </c>
      <c r="M1823" s="528">
        <f>IF(E1823="STL",0,IF(F1823&gt;0,Pricing!$D$21,0))</f>
        <v>0</v>
      </c>
      <c r="N1823" s="529">
        <f>IF(E1823="STL",F1823*Pricing!$D$40,IF(A1823&lt;=Pricing!$C$4,0,IF(AND(A1823&gt;Pricing!$C$4,Disbursements!A1823&lt;=Pricing!$C$5),F1823*Pricing!$E$5,IF(AND(A1823&gt;Pricing!$C$5,Disbursements!A1823&lt;=Pricing!$C$7),VLOOKUP(F1823,Pricing!$D$7:$E$8,2)*Disbursements!F1823,F1823*Pricing!$E$9))))</f>
        <v>0</v>
      </c>
      <c r="O1823" s="528">
        <f>IF(E1823="STL",0,IF($F1823&gt;0,$F1823*Pricing!$D$17,0))</f>
        <v>0</v>
      </c>
      <c r="P1823" s="530" t="str">
        <f t="shared" si="750"/>
        <v/>
      </c>
      <c r="Q1823" s="531" t="str">
        <f>IF($A1823="","",$G1823/VLOOKUP($I1823,Ref!$B$23:$D$29,2,0))</f>
        <v/>
      </c>
      <c r="R1823" s="530" t="str">
        <f t="shared" si="751"/>
        <v/>
      </c>
      <c r="S1823" s="532" t="str">
        <f t="shared" si="745"/>
        <v/>
      </c>
      <c r="T1823" s="531" t="str">
        <f t="shared" si="752"/>
        <v/>
      </c>
      <c r="U1823" s="533">
        <f t="shared" si="753"/>
        <v>0</v>
      </c>
      <c r="V1823" s="531" t="str">
        <f t="shared" si="754"/>
        <v/>
      </c>
      <c r="W1823" s="531" t="str">
        <f t="shared" si="755"/>
        <v/>
      </c>
      <c r="X1823" s="534" t="str">
        <f t="shared" si="756"/>
        <v/>
      </c>
      <c r="Y1823" s="535" t="str">
        <f>IF($A1823="","",IF($I1823="weekly",$A1823+7,EDATE($A1823,VLOOKUP($I1823,Ref!$B$24:$C$29,2,0))))</f>
        <v/>
      </c>
      <c r="Z1823" s="536" t="str">
        <f t="shared" si="757"/>
        <v/>
      </c>
      <c r="AA1823" s="531">
        <f t="shared" si="758"/>
        <v>0</v>
      </c>
      <c r="AB1823" s="535" t="str">
        <f t="shared" si="746"/>
        <v/>
      </c>
      <c r="AC1823" s="537" t="str">
        <f t="shared" si="747"/>
        <v/>
      </c>
      <c r="AD1823" s="538" t="str">
        <f t="shared" ca="1" si="748"/>
        <v/>
      </c>
      <c r="AE1823" s="537">
        <f t="shared" ca="1" si="749"/>
        <v>0</v>
      </c>
      <c r="AF1823" s="539" t="str">
        <f t="shared" ca="1" si="759"/>
        <v/>
      </c>
      <c r="AG1823" s="531" t="str">
        <f t="shared" ca="1" si="760"/>
        <v/>
      </c>
      <c r="AH1823" s="531" t="str">
        <f t="shared" ca="1" si="761"/>
        <v/>
      </c>
      <c r="AI1823" s="531" t="str">
        <f t="shared" ca="1" si="762"/>
        <v/>
      </c>
      <c r="AJ1823" s="531" t="str">
        <f t="shared" si="763"/>
        <v/>
      </c>
      <c r="AK1823" s="540">
        <f>SUMIFS('Live Collections'!$S:$S,'Live Collections'!$D:$D,Disbursements!B1823,'Live Collections'!$G:$G,Disbursements!C1823)</f>
        <v>0</v>
      </c>
      <c r="AL1823" s="540">
        <f>SUMIFS('Live Collections'!$T:$T,'Live Collections'!$D:$D,Disbursements!B1823,'Live Collections'!$G:$G,Disbursements!C1823)</f>
        <v>0</v>
      </c>
      <c r="AM1823" s="541">
        <f t="shared" si="764"/>
        <v>0</v>
      </c>
      <c r="AN1823" s="542" t="str">
        <f t="shared" si="765"/>
        <v/>
      </c>
      <c r="AO1823" s="542" t="str">
        <f t="shared" si="766"/>
        <v/>
      </c>
      <c r="AP1823" s="543" t="str">
        <f t="shared" si="767"/>
        <v/>
      </c>
      <c r="AQ1823" s="544" t="str">
        <f t="shared" si="768"/>
        <v/>
      </c>
      <c r="AR1823" s="545">
        <f t="shared" si="769"/>
        <v>0</v>
      </c>
      <c r="AS1823" s="545">
        <f>IFERROR(CEILING($AR1823*VLOOKUP($I1823,Ref!$B$23:$E$29,4,0),1),0)</f>
        <v>0</v>
      </c>
      <c r="AT1823" s="545" t="str">
        <f>IF(A1823="","",IF(AP1823&lt;=1,"Cleared",IF(AS1823=0,"Clean",VLOOKUP($AS1823,Ref!$G$23:$H$28,2))))</f>
        <v/>
      </c>
      <c r="AU1823" s="546" t="str">
        <f t="shared" si="770"/>
        <v/>
      </c>
    </row>
    <row r="1824" spans="1:47" ht="14.25" hidden="1" customHeight="1" x14ac:dyDescent="0.15">
      <c r="A1824" s="575"/>
      <c r="B1824" s="548"/>
      <c r="C1824" s="548"/>
      <c r="D1824" s="548"/>
      <c r="E1824" s="583"/>
      <c r="F1824" s="584"/>
      <c r="G1824" s="548"/>
      <c r="H1824" s="550"/>
      <c r="I1824" s="560"/>
      <c r="J1824" s="548"/>
      <c r="K1824" s="528" t="str">
        <f>IFERROR(VLOOKUP($B1824,'Clients-Live'!$A:$C,3,0),"")</f>
        <v/>
      </c>
      <c r="L1824" s="528">
        <f>IF(E1824="STL",Pricing!$D$38,IF(A1824="",0,IF(A1824&lt;Pricing!$C$25,Pricing!$D$25,VLOOKUP(Disbursements!$F1824,Pricing!$B$29:$D$32,3))))</f>
        <v>0</v>
      </c>
      <c r="M1824" s="528">
        <f>IF(E1824="STL",0,IF(F1824&gt;0,Pricing!$D$21,0))</f>
        <v>0</v>
      </c>
      <c r="N1824" s="529">
        <f>IF(E1824="STL",F1824*Pricing!$D$40,IF(A1824&lt;=Pricing!$C$4,0,IF(AND(A1824&gt;Pricing!$C$4,Disbursements!A1824&lt;=Pricing!$C$5),F1824*Pricing!$E$5,IF(AND(A1824&gt;Pricing!$C$5,Disbursements!A1824&lt;=Pricing!$C$7),VLOOKUP(F1824,Pricing!$D$7:$E$8,2)*Disbursements!F1824,F1824*Pricing!$E$9))))</f>
        <v>0</v>
      </c>
      <c r="O1824" s="528">
        <f>IF(E1824="STL",0,IF($F1824&gt;0,$F1824*Pricing!$D$17,0))</f>
        <v>0</v>
      </c>
      <c r="P1824" s="530" t="str">
        <f t="shared" si="750"/>
        <v/>
      </c>
      <c r="Q1824" s="531" t="str">
        <f>IF($A1824="","",$G1824/VLOOKUP($I1824,Ref!$B$23:$D$29,2,0))</f>
        <v/>
      </c>
      <c r="R1824" s="530" t="str">
        <f t="shared" si="751"/>
        <v/>
      </c>
      <c r="S1824" s="532" t="str">
        <f t="shared" si="745"/>
        <v/>
      </c>
      <c r="T1824" s="531" t="str">
        <f t="shared" si="752"/>
        <v/>
      </c>
      <c r="U1824" s="533">
        <f t="shared" si="753"/>
        <v>0</v>
      </c>
      <c r="V1824" s="531" t="str">
        <f t="shared" si="754"/>
        <v/>
      </c>
      <c r="W1824" s="531" t="str">
        <f t="shared" si="755"/>
        <v/>
      </c>
      <c r="X1824" s="534" t="str">
        <f t="shared" si="756"/>
        <v/>
      </c>
      <c r="Y1824" s="535" t="str">
        <f>IF($A1824="","",IF($I1824="weekly",$A1824+7,EDATE($A1824,VLOOKUP($I1824,Ref!$B$24:$C$29,2,0))))</f>
        <v/>
      </c>
      <c r="Z1824" s="536" t="str">
        <f t="shared" si="757"/>
        <v/>
      </c>
      <c r="AA1824" s="531">
        <f t="shared" si="758"/>
        <v>0</v>
      </c>
      <c r="AB1824" s="535" t="str">
        <f t="shared" si="746"/>
        <v/>
      </c>
      <c r="AC1824" s="537" t="str">
        <f t="shared" si="747"/>
        <v/>
      </c>
      <c r="AD1824" s="538" t="str">
        <f t="shared" ca="1" si="748"/>
        <v/>
      </c>
      <c r="AE1824" s="537">
        <f t="shared" ca="1" si="749"/>
        <v>0</v>
      </c>
      <c r="AF1824" s="539" t="str">
        <f t="shared" ca="1" si="759"/>
        <v/>
      </c>
      <c r="AG1824" s="531" t="str">
        <f t="shared" ca="1" si="760"/>
        <v/>
      </c>
      <c r="AH1824" s="531" t="str">
        <f t="shared" ca="1" si="761"/>
        <v/>
      </c>
      <c r="AI1824" s="531" t="str">
        <f t="shared" ca="1" si="762"/>
        <v/>
      </c>
      <c r="AJ1824" s="531" t="str">
        <f t="shared" si="763"/>
        <v/>
      </c>
      <c r="AK1824" s="540">
        <f>SUMIFS('Live Collections'!$S:$S,'Live Collections'!$D:$D,Disbursements!B1824,'Live Collections'!$G:$G,Disbursements!C1824)</f>
        <v>0</v>
      </c>
      <c r="AL1824" s="540">
        <f>SUMIFS('Live Collections'!$T:$T,'Live Collections'!$D:$D,Disbursements!B1824,'Live Collections'!$G:$G,Disbursements!C1824)</f>
        <v>0</v>
      </c>
      <c r="AM1824" s="541">
        <f t="shared" si="764"/>
        <v>0</v>
      </c>
      <c r="AN1824" s="542" t="str">
        <f t="shared" si="765"/>
        <v/>
      </c>
      <c r="AO1824" s="542" t="str">
        <f t="shared" si="766"/>
        <v/>
      </c>
      <c r="AP1824" s="543" t="str">
        <f t="shared" si="767"/>
        <v/>
      </c>
      <c r="AQ1824" s="544" t="str">
        <f t="shared" si="768"/>
        <v/>
      </c>
      <c r="AR1824" s="545">
        <f t="shared" si="769"/>
        <v>0</v>
      </c>
      <c r="AS1824" s="545">
        <f>IFERROR(CEILING($AR1824*VLOOKUP($I1824,Ref!$B$23:$E$29,4,0),1),0)</f>
        <v>0</v>
      </c>
      <c r="AT1824" s="545" t="str">
        <f>IF(A1824="","",IF(AP1824&lt;=1,"Cleared",IF(AS1824=0,"Clean",VLOOKUP($AS1824,Ref!$G$23:$H$28,2))))</f>
        <v/>
      </c>
      <c r="AU1824" s="546" t="str">
        <f t="shared" si="770"/>
        <v/>
      </c>
    </row>
    <row r="1825" spans="1:47" ht="14.25" hidden="1" customHeight="1" x14ac:dyDescent="0.15">
      <c r="A1825" s="575"/>
      <c r="B1825" s="548"/>
      <c r="C1825" s="548"/>
      <c r="D1825" s="548"/>
      <c r="E1825" s="583"/>
      <c r="F1825" s="584"/>
      <c r="G1825" s="548"/>
      <c r="H1825" s="550"/>
      <c r="I1825" s="560"/>
      <c r="J1825" s="548"/>
      <c r="K1825" s="528" t="str">
        <f>IFERROR(VLOOKUP($B1825,'Clients-Live'!$A:$C,3,0),"")</f>
        <v/>
      </c>
      <c r="L1825" s="528">
        <f>IF(E1825="STL",Pricing!$D$38,IF(A1825="",0,IF(A1825&lt;Pricing!$C$25,Pricing!$D$25,VLOOKUP(Disbursements!$F1825,Pricing!$B$29:$D$32,3))))</f>
        <v>0</v>
      </c>
      <c r="M1825" s="528">
        <f>IF(E1825="STL",0,IF(F1825&gt;0,Pricing!$D$21,0))</f>
        <v>0</v>
      </c>
      <c r="N1825" s="529">
        <f>IF(E1825="STL",F1825*Pricing!$D$40,IF(A1825&lt;=Pricing!$C$4,0,IF(AND(A1825&gt;Pricing!$C$4,Disbursements!A1825&lt;=Pricing!$C$5),F1825*Pricing!$E$5,IF(AND(A1825&gt;Pricing!$C$5,Disbursements!A1825&lt;=Pricing!$C$7),VLOOKUP(F1825,Pricing!$D$7:$E$8,2)*Disbursements!F1825,F1825*Pricing!$E$9))))</f>
        <v>0</v>
      </c>
      <c r="O1825" s="528">
        <f>IF(E1825="STL",0,IF($F1825&gt;0,$F1825*Pricing!$D$17,0))</f>
        <v>0</v>
      </c>
      <c r="P1825" s="530" t="str">
        <f t="shared" si="750"/>
        <v/>
      </c>
      <c r="Q1825" s="531" t="str">
        <f>IF($A1825="","",$G1825/VLOOKUP($I1825,Ref!$B$23:$D$29,2,0))</f>
        <v/>
      </c>
      <c r="R1825" s="530" t="str">
        <f t="shared" si="751"/>
        <v/>
      </c>
      <c r="S1825" s="532" t="str">
        <f t="shared" si="745"/>
        <v/>
      </c>
      <c r="T1825" s="531" t="str">
        <f t="shared" si="752"/>
        <v/>
      </c>
      <c r="U1825" s="533">
        <f t="shared" si="753"/>
        <v>0</v>
      </c>
      <c r="V1825" s="531" t="str">
        <f t="shared" si="754"/>
        <v/>
      </c>
      <c r="W1825" s="531" t="str">
        <f t="shared" si="755"/>
        <v/>
      </c>
      <c r="X1825" s="534" t="str">
        <f t="shared" si="756"/>
        <v/>
      </c>
      <c r="Y1825" s="535" t="str">
        <f>IF($A1825="","",IF($I1825="weekly",$A1825+7,EDATE($A1825,VLOOKUP($I1825,Ref!$B$24:$C$29,2,0))))</f>
        <v/>
      </c>
      <c r="Z1825" s="536" t="str">
        <f t="shared" si="757"/>
        <v/>
      </c>
      <c r="AA1825" s="531">
        <f t="shared" si="758"/>
        <v>0</v>
      </c>
      <c r="AB1825" s="535" t="str">
        <f t="shared" si="746"/>
        <v/>
      </c>
      <c r="AC1825" s="537" t="str">
        <f t="shared" si="747"/>
        <v/>
      </c>
      <c r="AD1825" s="538" t="str">
        <f t="shared" ca="1" si="748"/>
        <v/>
      </c>
      <c r="AE1825" s="537">
        <f t="shared" ca="1" si="749"/>
        <v>0</v>
      </c>
      <c r="AF1825" s="539" t="str">
        <f t="shared" ca="1" si="759"/>
        <v/>
      </c>
      <c r="AG1825" s="531" t="str">
        <f t="shared" ca="1" si="760"/>
        <v/>
      </c>
      <c r="AH1825" s="531" t="str">
        <f t="shared" ca="1" si="761"/>
        <v/>
      </c>
      <c r="AI1825" s="531" t="str">
        <f t="shared" ca="1" si="762"/>
        <v/>
      </c>
      <c r="AJ1825" s="531" t="str">
        <f t="shared" si="763"/>
        <v/>
      </c>
      <c r="AK1825" s="540">
        <f>SUMIFS('Live Collections'!$S:$S,'Live Collections'!$D:$D,Disbursements!B1825,'Live Collections'!$G:$G,Disbursements!C1825)</f>
        <v>0</v>
      </c>
      <c r="AL1825" s="540">
        <f>SUMIFS('Live Collections'!$T:$T,'Live Collections'!$D:$D,Disbursements!B1825,'Live Collections'!$G:$G,Disbursements!C1825)</f>
        <v>0</v>
      </c>
      <c r="AM1825" s="541">
        <f t="shared" si="764"/>
        <v>0</v>
      </c>
      <c r="AN1825" s="542" t="str">
        <f t="shared" si="765"/>
        <v/>
      </c>
      <c r="AO1825" s="542" t="str">
        <f t="shared" si="766"/>
        <v/>
      </c>
      <c r="AP1825" s="543" t="str">
        <f t="shared" si="767"/>
        <v/>
      </c>
      <c r="AQ1825" s="544" t="str">
        <f t="shared" si="768"/>
        <v/>
      </c>
      <c r="AR1825" s="545">
        <f t="shared" si="769"/>
        <v>0</v>
      </c>
      <c r="AS1825" s="545">
        <f>IFERROR(CEILING($AR1825*VLOOKUP($I1825,Ref!$B$23:$E$29,4,0),1),0)</f>
        <v>0</v>
      </c>
      <c r="AT1825" s="545" t="str">
        <f>IF(A1825="","",IF(AP1825&lt;=1,"Cleared",IF(AS1825=0,"Clean",VLOOKUP($AS1825,Ref!$G$23:$H$28,2))))</f>
        <v/>
      </c>
      <c r="AU1825" s="546" t="str">
        <f t="shared" si="770"/>
        <v/>
      </c>
    </row>
    <row r="1826" spans="1:47" ht="14.25" hidden="1" customHeight="1" x14ac:dyDescent="0.15">
      <c r="A1826" s="575"/>
      <c r="B1826" s="548"/>
      <c r="C1826" s="548"/>
      <c r="D1826" s="548"/>
      <c r="E1826" s="583"/>
      <c r="F1826" s="584"/>
      <c r="G1826" s="548"/>
      <c r="H1826" s="550"/>
      <c r="I1826" s="560"/>
      <c r="J1826" s="548"/>
      <c r="K1826" s="528" t="str">
        <f>IFERROR(VLOOKUP($B1826,'Clients-Live'!$A:$C,3,0),"")</f>
        <v/>
      </c>
      <c r="L1826" s="528">
        <f>IF(E1826="STL",Pricing!$D$38,IF(A1826="",0,IF(A1826&lt;Pricing!$C$25,Pricing!$D$25,VLOOKUP(Disbursements!$F1826,Pricing!$B$29:$D$32,3))))</f>
        <v>0</v>
      </c>
      <c r="M1826" s="528">
        <f>IF(E1826="STL",0,IF(F1826&gt;0,Pricing!$D$21,0))</f>
        <v>0</v>
      </c>
      <c r="N1826" s="529">
        <f>IF(E1826="STL",F1826*Pricing!$D$40,IF(A1826&lt;=Pricing!$C$4,0,IF(AND(A1826&gt;Pricing!$C$4,Disbursements!A1826&lt;=Pricing!$C$5),F1826*Pricing!$E$5,IF(AND(A1826&gt;Pricing!$C$5,Disbursements!A1826&lt;=Pricing!$C$7),VLOOKUP(F1826,Pricing!$D$7:$E$8,2)*Disbursements!F1826,F1826*Pricing!$E$9))))</f>
        <v>0</v>
      </c>
      <c r="O1826" s="528">
        <f>IF(E1826="STL",0,IF($F1826&gt;0,$F1826*Pricing!$D$17,0))</f>
        <v>0</v>
      </c>
      <c r="P1826" s="530" t="str">
        <f t="shared" si="750"/>
        <v/>
      </c>
      <c r="Q1826" s="531" t="str">
        <f>IF($A1826="","",$G1826/VLOOKUP($I1826,Ref!$B$23:$D$29,2,0))</f>
        <v/>
      </c>
      <c r="R1826" s="530" t="str">
        <f t="shared" si="751"/>
        <v/>
      </c>
      <c r="S1826" s="532" t="str">
        <f t="shared" si="745"/>
        <v/>
      </c>
      <c r="T1826" s="531" t="str">
        <f t="shared" si="752"/>
        <v/>
      </c>
      <c r="U1826" s="533">
        <f t="shared" si="753"/>
        <v>0</v>
      </c>
      <c r="V1826" s="531" t="str">
        <f t="shared" si="754"/>
        <v/>
      </c>
      <c r="W1826" s="531" t="str">
        <f t="shared" si="755"/>
        <v/>
      </c>
      <c r="X1826" s="534" t="str">
        <f t="shared" si="756"/>
        <v/>
      </c>
      <c r="Y1826" s="535" t="str">
        <f>IF($A1826="","",IF($I1826="weekly",$A1826+7,EDATE($A1826,VLOOKUP($I1826,Ref!$B$24:$C$29,2,0))))</f>
        <v/>
      </c>
      <c r="Z1826" s="536" t="str">
        <f t="shared" si="757"/>
        <v/>
      </c>
      <c r="AA1826" s="531">
        <f t="shared" si="758"/>
        <v>0</v>
      </c>
      <c r="AB1826" s="535" t="str">
        <f t="shared" si="746"/>
        <v/>
      </c>
      <c r="AC1826" s="537" t="str">
        <f t="shared" si="747"/>
        <v/>
      </c>
      <c r="AD1826" s="538" t="str">
        <f t="shared" ca="1" si="748"/>
        <v/>
      </c>
      <c r="AE1826" s="537">
        <f t="shared" ca="1" si="749"/>
        <v>0</v>
      </c>
      <c r="AF1826" s="539" t="str">
        <f t="shared" ca="1" si="759"/>
        <v/>
      </c>
      <c r="AG1826" s="531" t="str">
        <f t="shared" ca="1" si="760"/>
        <v/>
      </c>
      <c r="AH1826" s="531" t="str">
        <f t="shared" ca="1" si="761"/>
        <v/>
      </c>
      <c r="AI1826" s="531" t="str">
        <f t="shared" ca="1" si="762"/>
        <v/>
      </c>
      <c r="AJ1826" s="531" t="str">
        <f t="shared" si="763"/>
        <v/>
      </c>
      <c r="AK1826" s="540">
        <f>SUMIFS('Live Collections'!$S:$S,'Live Collections'!$D:$D,Disbursements!B1826,'Live Collections'!$G:$G,Disbursements!C1826)</f>
        <v>0</v>
      </c>
      <c r="AL1826" s="540">
        <f>SUMIFS('Live Collections'!$T:$T,'Live Collections'!$D:$D,Disbursements!B1826,'Live Collections'!$G:$G,Disbursements!C1826)</f>
        <v>0</v>
      </c>
      <c r="AM1826" s="541">
        <f t="shared" si="764"/>
        <v>0</v>
      </c>
      <c r="AN1826" s="542" t="str">
        <f t="shared" si="765"/>
        <v/>
      </c>
      <c r="AO1826" s="542" t="str">
        <f t="shared" si="766"/>
        <v/>
      </c>
      <c r="AP1826" s="543" t="str">
        <f t="shared" si="767"/>
        <v/>
      </c>
      <c r="AQ1826" s="544" t="str">
        <f t="shared" si="768"/>
        <v/>
      </c>
      <c r="AR1826" s="545">
        <f t="shared" si="769"/>
        <v>0</v>
      </c>
      <c r="AS1826" s="545">
        <f>IFERROR(CEILING($AR1826*VLOOKUP($I1826,Ref!$B$23:$E$29,4,0),1),0)</f>
        <v>0</v>
      </c>
      <c r="AT1826" s="545" t="str">
        <f>IF(A1826="","",IF(AP1826&lt;=1,"Cleared",IF(AS1826=0,"Clean",VLOOKUP($AS1826,Ref!$G$23:$H$28,2))))</f>
        <v/>
      </c>
      <c r="AU1826" s="546" t="str">
        <f t="shared" si="770"/>
        <v/>
      </c>
    </row>
    <row r="1827" spans="1:47" ht="14.25" hidden="1" customHeight="1" x14ac:dyDescent="0.15">
      <c r="A1827" s="575"/>
      <c r="B1827" s="548"/>
      <c r="C1827" s="548"/>
      <c r="D1827" s="548"/>
      <c r="E1827" s="583"/>
      <c r="F1827" s="584"/>
      <c r="G1827" s="548"/>
      <c r="H1827" s="550"/>
      <c r="I1827" s="560"/>
      <c r="J1827" s="548"/>
      <c r="K1827" s="528" t="str">
        <f>IFERROR(VLOOKUP($B1827,'Clients-Live'!$A:$C,3,0),"")</f>
        <v/>
      </c>
      <c r="L1827" s="528">
        <f>IF(E1827="STL",Pricing!$D$38,IF(A1827="",0,IF(A1827&lt;Pricing!$C$25,Pricing!$D$25,VLOOKUP(Disbursements!$F1827,Pricing!$B$29:$D$32,3))))</f>
        <v>0</v>
      </c>
      <c r="M1827" s="528">
        <f>IF(E1827="STL",0,IF(F1827&gt;0,Pricing!$D$21,0))</f>
        <v>0</v>
      </c>
      <c r="N1827" s="529">
        <f>IF(E1827="STL",F1827*Pricing!$D$40,IF(A1827&lt;=Pricing!$C$4,0,IF(AND(A1827&gt;Pricing!$C$4,Disbursements!A1827&lt;=Pricing!$C$5),F1827*Pricing!$E$5,IF(AND(A1827&gt;Pricing!$C$5,Disbursements!A1827&lt;=Pricing!$C$7),VLOOKUP(F1827,Pricing!$D$7:$E$8,2)*Disbursements!F1827,F1827*Pricing!$E$9))))</f>
        <v>0</v>
      </c>
      <c r="O1827" s="528">
        <f>IF(E1827="STL",0,IF($F1827&gt;0,$F1827*Pricing!$D$17,0))</f>
        <v>0</v>
      </c>
      <c r="P1827" s="530" t="str">
        <f t="shared" si="750"/>
        <v/>
      </c>
      <c r="Q1827" s="531" t="str">
        <f>IF($A1827="","",$G1827/VLOOKUP($I1827,Ref!$B$23:$D$29,2,0))</f>
        <v/>
      </c>
      <c r="R1827" s="530" t="str">
        <f t="shared" si="751"/>
        <v/>
      </c>
      <c r="S1827" s="532" t="str">
        <f t="shared" si="745"/>
        <v/>
      </c>
      <c r="T1827" s="531" t="str">
        <f t="shared" si="752"/>
        <v/>
      </c>
      <c r="U1827" s="533">
        <f t="shared" si="753"/>
        <v>0</v>
      </c>
      <c r="V1827" s="531" t="str">
        <f t="shared" si="754"/>
        <v/>
      </c>
      <c r="W1827" s="531" t="str">
        <f t="shared" si="755"/>
        <v/>
      </c>
      <c r="X1827" s="534" t="str">
        <f t="shared" si="756"/>
        <v/>
      </c>
      <c r="Y1827" s="535" t="str">
        <f>IF($A1827="","",IF($I1827="weekly",$A1827+7,EDATE($A1827,VLOOKUP($I1827,Ref!$B$24:$C$29,2,0))))</f>
        <v/>
      </c>
      <c r="Z1827" s="536" t="str">
        <f t="shared" si="757"/>
        <v/>
      </c>
      <c r="AA1827" s="531">
        <f t="shared" si="758"/>
        <v>0</v>
      </c>
      <c r="AB1827" s="535" t="str">
        <f t="shared" si="746"/>
        <v/>
      </c>
      <c r="AC1827" s="537" t="str">
        <f t="shared" si="747"/>
        <v/>
      </c>
      <c r="AD1827" s="538" t="str">
        <f t="shared" ca="1" si="748"/>
        <v/>
      </c>
      <c r="AE1827" s="537">
        <f t="shared" ca="1" si="749"/>
        <v>0</v>
      </c>
      <c r="AF1827" s="539" t="str">
        <f t="shared" ca="1" si="759"/>
        <v/>
      </c>
      <c r="AG1827" s="531" t="str">
        <f t="shared" ca="1" si="760"/>
        <v/>
      </c>
      <c r="AH1827" s="531" t="str">
        <f t="shared" ca="1" si="761"/>
        <v/>
      </c>
      <c r="AI1827" s="531" t="str">
        <f t="shared" ca="1" si="762"/>
        <v/>
      </c>
      <c r="AJ1827" s="531" t="str">
        <f t="shared" si="763"/>
        <v/>
      </c>
      <c r="AK1827" s="540">
        <f>SUMIFS('Live Collections'!$S:$S,'Live Collections'!$D:$D,Disbursements!B1827,'Live Collections'!$G:$G,Disbursements!C1827)</f>
        <v>0</v>
      </c>
      <c r="AL1827" s="540">
        <f>SUMIFS('Live Collections'!$T:$T,'Live Collections'!$D:$D,Disbursements!B1827,'Live Collections'!$G:$G,Disbursements!C1827)</f>
        <v>0</v>
      </c>
      <c r="AM1827" s="541">
        <f t="shared" si="764"/>
        <v>0</v>
      </c>
      <c r="AN1827" s="542" t="str">
        <f t="shared" si="765"/>
        <v/>
      </c>
      <c r="AO1827" s="542" t="str">
        <f t="shared" si="766"/>
        <v/>
      </c>
      <c r="AP1827" s="543" t="str">
        <f t="shared" si="767"/>
        <v/>
      </c>
      <c r="AQ1827" s="544" t="str">
        <f t="shared" si="768"/>
        <v/>
      </c>
      <c r="AR1827" s="545">
        <f t="shared" si="769"/>
        <v>0</v>
      </c>
      <c r="AS1827" s="545">
        <f>IFERROR(CEILING($AR1827*VLOOKUP($I1827,Ref!$B$23:$E$29,4,0),1),0)</f>
        <v>0</v>
      </c>
      <c r="AT1827" s="545" t="str">
        <f>IF(A1827="","",IF(AP1827&lt;=1,"Cleared",IF(AS1827=0,"Clean",VLOOKUP($AS1827,Ref!$G$23:$H$28,2))))</f>
        <v/>
      </c>
      <c r="AU1827" s="546" t="str">
        <f t="shared" si="770"/>
        <v/>
      </c>
    </row>
    <row r="1828" spans="1:47" ht="14.25" hidden="1" customHeight="1" x14ac:dyDescent="0.15">
      <c r="A1828" s="575"/>
      <c r="B1828" s="548"/>
      <c r="C1828" s="548"/>
      <c r="D1828" s="548"/>
      <c r="E1828" s="583"/>
      <c r="F1828" s="584"/>
      <c r="G1828" s="548"/>
      <c r="H1828" s="550"/>
      <c r="I1828" s="560"/>
      <c r="J1828" s="548"/>
      <c r="K1828" s="528" t="str">
        <f>IFERROR(VLOOKUP($B1828,'Clients-Live'!$A:$C,3,0),"")</f>
        <v/>
      </c>
      <c r="L1828" s="528">
        <f>IF(E1828="STL",Pricing!$D$38,IF(A1828="",0,IF(A1828&lt;Pricing!$C$25,Pricing!$D$25,VLOOKUP(Disbursements!$F1828,Pricing!$B$29:$D$32,3))))</f>
        <v>0</v>
      </c>
      <c r="M1828" s="528">
        <f>IF(E1828="STL",0,IF(F1828&gt;0,Pricing!$D$21,0))</f>
        <v>0</v>
      </c>
      <c r="N1828" s="529">
        <f>IF(E1828="STL",F1828*Pricing!$D$40,IF(A1828&lt;=Pricing!$C$4,0,IF(AND(A1828&gt;Pricing!$C$4,Disbursements!A1828&lt;=Pricing!$C$5),F1828*Pricing!$E$5,IF(AND(A1828&gt;Pricing!$C$5,Disbursements!A1828&lt;=Pricing!$C$7),VLOOKUP(F1828,Pricing!$D$7:$E$8,2)*Disbursements!F1828,F1828*Pricing!$E$9))))</f>
        <v>0</v>
      </c>
      <c r="O1828" s="528">
        <f>IF(E1828="STL",0,IF($F1828&gt;0,$F1828*Pricing!$D$17,0))</f>
        <v>0</v>
      </c>
      <c r="P1828" s="530" t="str">
        <f t="shared" si="750"/>
        <v/>
      </c>
      <c r="Q1828" s="531" t="str">
        <f>IF($A1828="","",$G1828/VLOOKUP($I1828,Ref!$B$23:$D$29,2,0))</f>
        <v/>
      </c>
      <c r="R1828" s="530" t="str">
        <f t="shared" si="751"/>
        <v/>
      </c>
      <c r="S1828" s="532" t="str">
        <f t="shared" si="745"/>
        <v/>
      </c>
      <c r="T1828" s="531" t="str">
        <f t="shared" si="752"/>
        <v/>
      </c>
      <c r="U1828" s="533">
        <f t="shared" si="753"/>
        <v>0</v>
      </c>
      <c r="V1828" s="531" t="str">
        <f t="shared" si="754"/>
        <v/>
      </c>
      <c r="W1828" s="531" t="str">
        <f t="shared" si="755"/>
        <v/>
      </c>
      <c r="X1828" s="534" t="str">
        <f t="shared" si="756"/>
        <v/>
      </c>
      <c r="Y1828" s="535" t="str">
        <f>IF($A1828="","",IF($I1828="weekly",$A1828+7,EDATE($A1828,VLOOKUP($I1828,Ref!$B$24:$C$29,2,0))))</f>
        <v/>
      </c>
      <c r="Z1828" s="536" t="str">
        <f t="shared" si="757"/>
        <v/>
      </c>
      <c r="AA1828" s="531">
        <f t="shared" si="758"/>
        <v>0</v>
      </c>
      <c r="AB1828" s="535" t="str">
        <f t="shared" si="746"/>
        <v/>
      </c>
      <c r="AC1828" s="537" t="str">
        <f t="shared" si="747"/>
        <v/>
      </c>
      <c r="AD1828" s="538" t="str">
        <f t="shared" ca="1" si="748"/>
        <v/>
      </c>
      <c r="AE1828" s="537">
        <f t="shared" ca="1" si="749"/>
        <v>0</v>
      </c>
      <c r="AF1828" s="539" t="str">
        <f t="shared" ca="1" si="759"/>
        <v/>
      </c>
      <c r="AG1828" s="531" t="str">
        <f t="shared" ca="1" si="760"/>
        <v/>
      </c>
      <c r="AH1828" s="531" t="str">
        <f t="shared" ca="1" si="761"/>
        <v/>
      </c>
      <c r="AI1828" s="531" t="str">
        <f t="shared" ca="1" si="762"/>
        <v/>
      </c>
      <c r="AJ1828" s="531" t="str">
        <f t="shared" si="763"/>
        <v/>
      </c>
      <c r="AK1828" s="540">
        <f>SUMIFS('Live Collections'!$S:$S,'Live Collections'!$D:$D,Disbursements!B1828,'Live Collections'!$G:$G,Disbursements!C1828)</f>
        <v>0</v>
      </c>
      <c r="AL1828" s="540">
        <f>SUMIFS('Live Collections'!$T:$T,'Live Collections'!$D:$D,Disbursements!B1828,'Live Collections'!$G:$G,Disbursements!C1828)</f>
        <v>0</v>
      </c>
      <c r="AM1828" s="541">
        <f t="shared" si="764"/>
        <v>0</v>
      </c>
      <c r="AN1828" s="542" t="str">
        <f t="shared" si="765"/>
        <v/>
      </c>
      <c r="AO1828" s="542" t="str">
        <f t="shared" si="766"/>
        <v/>
      </c>
      <c r="AP1828" s="543" t="str">
        <f t="shared" si="767"/>
        <v/>
      </c>
      <c r="AQ1828" s="544" t="str">
        <f t="shared" si="768"/>
        <v/>
      </c>
      <c r="AR1828" s="545">
        <f t="shared" si="769"/>
        <v>0</v>
      </c>
      <c r="AS1828" s="545">
        <f>IFERROR(CEILING($AR1828*VLOOKUP($I1828,Ref!$B$23:$E$29,4,0),1),0)</f>
        <v>0</v>
      </c>
      <c r="AT1828" s="545" t="str">
        <f>IF(A1828="","",IF(AP1828&lt;=1,"Cleared",IF(AS1828=0,"Clean",VLOOKUP($AS1828,Ref!$G$23:$H$28,2))))</f>
        <v/>
      </c>
      <c r="AU1828" s="546" t="str">
        <f t="shared" si="770"/>
        <v/>
      </c>
    </row>
    <row r="1829" spans="1:47" ht="14.25" hidden="1" customHeight="1" x14ac:dyDescent="0.15">
      <c r="A1829" s="575"/>
      <c r="B1829" s="548"/>
      <c r="C1829" s="548"/>
      <c r="D1829" s="548"/>
      <c r="E1829" s="583"/>
      <c r="F1829" s="584"/>
      <c r="G1829" s="548"/>
      <c r="H1829" s="550"/>
      <c r="I1829" s="560"/>
      <c r="J1829" s="548"/>
      <c r="K1829" s="528" t="str">
        <f>IFERROR(VLOOKUP($B1829,'Clients-Live'!$A:$C,3,0),"")</f>
        <v/>
      </c>
      <c r="L1829" s="528">
        <f>IF(E1829="STL",Pricing!$D$38,IF(A1829="",0,IF(A1829&lt;Pricing!$C$25,Pricing!$D$25,VLOOKUP(Disbursements!$F1829,Pricing!$B$29:$D$32,3))))</f>
        <v>0</v>
      </c>
      <c r="M1829" s="528">
        <f>IF(E1829="STL",0,IF(F1829&gt;0,Pricing!$D$21,0))</f>
        <v>0</v>
      </c>
      <c r="N1829" s="529">
        <f>IF(E1829="STL",F1829*Pricing!$D$40,IF(A1829&lt;=Pricing!$C$4,0,IF(AND(A1829&gt;Pricing!$C$4,Disbursements!A1829&lt;=Pricing!$C$5),F1829*Pricing!$E$5,IF(AND(A1829&gt;Pricing!$C$5,Disbursements!A1829&lt;=Pricing!$C$7),VLOOKUP(F1829,Pricing!$D$7:$E$8,2)*Disbursements!F1829,F1829*Pricing!$E$9))))</f>
        <v>0</v>
      </c>
      <c r="O1829" s="528">
        <f>IF(E1829="STL",0,IF($F1829&gt;0,$F1829*Pricing!$D$17,0))</f>
        <v>0</v>
      </c>
      <c r="P1829" s="530" t="str">
        <f t="shared" si="750"/>
        <v/>
      </c>
      <c r="Q1829" s="531" t="str">
        <f>IF($A1829="","",$G1829/VLOOKUP($I1829,Ref!$B$23:$D$29,2,0))</f>
        <v/>
      </c>
      <c r="R1829" s="530" t="str">
        <f t="shared" si="751"/>
        <v/>
      </c>
      <c r="S1829" s="532" t="str">
        <f t="shared" si="745"/>
        <v/>
      </c>
      <c r="T1829" s="531" t="str">
        <f t="shared" si="752"/>
        <v/>
      </c>
      <c r="U1829" s="533">
        <f t="shared" si="753"/>
        <v>0</v>
      </c>
      <c r="V1829" s="531" t="str">
        <f t="shared" si="754"/>
        <v/>
      </c>
      <c r="W1829" s="531" t="str">
        <f t="shared" si="755"/>
        <v/>
      </c>
      <c r="X1829" s="534" t="str">
        <f t="shared" si="756"/>
        <v/>
      </c>
      <c r="Y1829" s="535" t="str">
        <f>IF($A1829="","",IF($I1829="weekly",$A1829+7,EDATE($A1829,VLOOKUP($I1829,Ref!$B$24:$C$29,2,0))))</f>
        <v/>
      </c>
      <c r="Z1829" s="536" t="str">
        <f t="shared" si="757"/>
        <v/>
      </c>
      <c r="AA1829" s="531">
        <f t="shared" si="758"/>
        <v>0</v>
      </c>
      <c r="AB1829" s="535" t="str">
        <f t="shared" si="746"/>
        <v/>
      </c>
      <c r="AC1829" s="537" t="str">
        <f t="shared" si="747"/>
        <v/>
      </c>
      <c r="AD1829" s="538" t="str">
        <f t="shared" ca="1" si="748"/>
        <v/>
      </c>
      <c r="AE1829" s="537">
        <f t="shared" ca="1" si="749"/>
        <v>0</v>
      </c>
      <c r="AF1829" s="539" t="str">
        <f t="shared" ca="1" si="759"/>
        <v/>
      </c>
      <c r="AG1829" s="531" t="str">
        <f t="shared" ca="1" si="760"/>
        <v/>
      </c>
      <c r="AH1829" s="531" t="str">
        <f t="shared" ca="1" si="761"/>
        <v/>
      </c>
      <c r="AI1829" s="531" t="str">
        <f t="shared" ca="1" si="762"/>
        <v/>
      </c>
      <c r="AJ1829" s="531" t="str">
        <f t="shared" si="763"/>
        <v/>
      </c>
      <c r="AK1829" s="540">
        <f>SUMIFS('Live Collections'!$S:$S,'Live Collections'!$D:$D,Disbursements!B1829,'Live Collections'!$G:$G,Disbursements!C1829)</f>
        <v>0</v>
      </c>
      <c r="AL1829" s="540">
        <f>SUMIFS('Live Collections'!$T:$T,'Live Collections'!$D:$D,Disbursements!B1829,'Live Collections'!$G:$G,Disbursements!C1829)</f>
        <v>0</v>
      </c>
      <c r="AM1829" s="541">
        <f t="shared" si="764"/>
        <v>0</v>
      </c>
      <c r="AN1829" s="542" t="str">
        <f t="shared" si="765"/>
        <v/>
      </c>
      <c r="AO1829" s="542" t="str">
        <f t="shared" si="766"/>
        <v/>
      </c>
      <c r="AP1829" s="543" t="str">
        <f t="shared" si="767"/>
        <v/>
      </c>
      <c r="AQ1829" s="544" t="str">
        <f t="shared" si="768"/>
        <v/>
      </c>
      <c r="AR1829" s="545">
        <f t="shared" si="769"/>
        <v>0</v>
      </c>
      <c r="AS1829" s="545">
        <f>IFERROR(CEILING($AR1829*VLOOKUP($I1829,Ref!$B$23:$E$29,4,0),1),0)</f>
        <v>0</v>
      </c>
      <c r="AT1829" s="545" t="str">
        <f>IF(A1829="","",IF(AP1829&lt;=1,"Cleared",IF(AS1829=0,"Clean",VLOOKUP($AS1829,Ref!$G$23:$H$28,2))))</f>
        <v/>
      </c>
      <c r="AU1829" s="546" t="str">
        <f t="shared" si="770"/>
        <v/>
      </c>
    </row>
    <row r="1830" spans="1:47" ht="14.25" hidden="1" customHeight="1" x14ac:dyDescent="0.15">
      <c r="A1830" s="575"/>
      <c r="B1830" s="548"/>
      <c r="C1830" s="548"/>
      <c r="D1830" s="548"/>
      <c r="E1830" s="583"/>
      <c r="F1830" s="584"/>
      <c r="G1830" s="548"/>
      <c r="H1830" s="550"/>
      <c r="I1830" s="560"/>
      <c r="J1830" s="548"/>
      <c r="K1830" s="528" t="str">
        <f>IFERROR(VLOOKUP($B1830,'Clients-Live'!$A:$C,3,0),"")</f>
        <v/>
      </c>
      <c r="L1830" s="528">
        <f>IF(E1830="STL",Pricing!$D$38,IF(A1830="",0,IF(A1830&lt;Pricing!$C$25,Pricing!$D$25,VLOOKUP(Disbursements!$F1830,Pricing!$B$29:$D$32,3))))</f>
        <v>0</v>
      </c>
      <c r="M1830" s="528">
        <f>IF(E1830="STL",0,IF(F1830&gt;0,Pricing!$D$21,0))</f>
        <v>0</v>
      </c>
      <c r="N1830" s="529">
        <f>IF(E1830="STL",F1830*Pricing!$D$40,IF(A1830&lt;=Pricing!$C$4,0,IF(AND(A1830&gt;Pricing!$C$4,Disbursements!A1830&lt;=Pricing!$C$5),F1830*Pricing!$E$5,IF(AND(A1830&gt;Pricing!$C$5,Disbursements!A1830&lt;=Pricing!$C$7),VLOOKUP(F1830,Pricing!$D$7:$E$8,2)*Disbursements!F1830,F1830*Pricing!$E$9))))</f>
        <v>0</v>
      </c>
      <c r="O1830" s="528">
        <f>IF(E1830="STL",0,IF($F1830&gt;0,$F1830*Pricing!$D$17,0))</f>
        <v>0</v>
      </c>
      <c r="P1830" s="530" t="str">
        <f t="shared" si="750"/>
        <v/>
      </c>
      <c r="Q1830" s="531" t="str">
        <f>IF($A1830="","",$G1830/VLOOKUP($I1830,Ref!$B$23:$D$29,2,0))</f>
        <v/>
      </c>
      <c r="R1830" s="530" t="str">
        <f t="shared" si="751"/>
        <v/>
      </c>
      <c r="S1830" s="532" t="str">
        <f t="shared" si="745"/>
        <v/>
      </c>
      <c r="T1830" s="531" t="str">
        <f t="shared" si="752"/>
        <v/>
      </c>
      <c r="U1830" s="533">
        <f t="shared" si="753"/>
        <v>0</v>
      </c>
      <c r="V1830" s="531" t="str">
        <f t="shared" si="754"/>
        <v/>
      </c>
      <c r="W1830" s="531" t="str">
        <f t="shared" si="755"/>
        <v/>
      </c>
      <c r="X1830" s="534" t="str">
        <f t="shared" si="756"/>
        <v/>
      </c>
      <c r="Y1830" s="535" t="str">
        <f>IF($A1830="","",IF($I1830="weekly",$A1830+7,EDATE($A1830,VLOOKUP($I1830,Ref!$B$24:$C$29,2,0))))</f>
        <v/>
      </c>
      <c r="Z1830" s="536" t="str">
        <f t="shared" si="757"/>
        <v/>
      </c>
      <c r="AA1830" s="531">
        <f t="shared" si="758"/>
        <v>0</v>
      </c>
      <c r="AB1830" s="535" t="str">
        <f t="shared" si="746"/>
        <v/>
      </c>
      <c r="AC1830" s="537" t="str">
        <f t="shared" si="747"/>
        <v/>
      </c>
      <c r="AD1830" s="538" t="str">
        <f t="shared" ca="1" si="748"/>
        <v/>
      </c>
      <c r="AE1830" s="537">
        <f t="shared" ca="1" si="749"/>
        <v>0</v>
      </c>
      <c r="AF1830" s="539" t="str">
        <f t="shared" ca="1" si="759"/>
        <v/>
      </c>
      <c r="AG1830" s="531" t="str">
        <f t="shared" ca="1" si="760"/>
        <v/>
      </c>
      <c r="AH1830" s="531" t="str">
        <f t="shared" ca="1" si="761"/>
        <v/>
      </c>
      <c r="AI1830" s="531" t="str">
        <f t="shared" ca="1" si="762"/>
        <v/>
      </c>
      <c r="AJ1830" s="531" t="str">
        <f t="shared" si="763"/>
        <v/>
      </c>
      <c r="AK1830" s="540">
        <f>SUMIFS('Live Collections'!$S:$S,'Live Collections'!$D:$D,Disbursements!B1830,'Live Collections'!$G:$G,Disbursements!C1830)</f>
        <v>0</v>
      </c>
      <c r="AL1830" s="540">
        <f>SUMIFS('Live Collections'!$T:$T,'Live Collections'!$D:$D,Disbursements!B1830,'Live Collections'!$G:$G,Disbursements!C1830)</f>
        <v>0</v>
      </c>
      <c r="AM1830" s="541">
        <f t="shared" si="764"/>
        <v>0</v>
      </c>
      <c r="AN1830" s="542" t="str">
        <f t="shared" si="765"/>
        <v/>
      </c>
      <c r="AO1830" s="542" t="str">
        <f t="shared" si="766"/>
        <v/>
      </c>
      <c r="AP1830" s="543" t="str">
        <f t="shared" si="767"/>
        <v/>
      </c>
      <c r="AQ1830" s="544" t="str">
        <f t="shared" si="768"/>
        <v/>
      </c>
      <c r="AR1830" s="545">
        <f t="shared" si="769"/>
        <v>0</v>
      </c>
      <c r="AS1830" s="545">
        <f>IFERROR(CEILING($AR1830*VLOOKUP($I1830,Ref!$B$23:$E$29,4,0),1),0)</f>
        <v>0</v>
      </c>
      <c r="AT1830" s="545" t="str">
        <f>IF(A1830="","",IF(AP1830&lt;=1,"Cleared",IF(AS1830=0,"Clean",VLOOKUP($AS1830,Ref!$G$23:$H$28,2))))</f>
        <v/>
      </c>
      <c r="AU1830" s="546" t="str">
        <f t="shared" si="770"/>
        <v/>
      </c>
    </row>
    <row r="1831" spans="1:47" ht="14.25" hidden="1" customHeight="1" x14ac:dyDescent="0.15">
      <c r="A1831" s="575"/>
      <c r="B1831" s="548"/>
      <c r="C1831" s="548"/>
      <c r="D1831" s="548"/>
      <c r="E1831" s="583"/>
      <c r="F1831" s="584"/>
      <c r="G1831" s="548"/>
      <c r="H1831" s="550"/>
      <c r="I1831" s="560"/>
      <c r="J1831" s="548"/>
      <c r="K1831" s="528" t="str">
        <f>IFERROR(VLOOKUP($B1831,'Clients-Live'!$A:$C,3,0),"")</f>
        <v/>
      </c>
      <c r="L1831" s="528">
        <f>IF(E1831="STL",Pricing!$D$38,IF(A1831="",0,IF(A1831&lt;Pricing!$C$25,Pricing!$D$25,VLOOKUP(Disbursements!$F1831,Pricing!$B$29:$D$32,3))))</f>
        <v>0</v>
      </c>
      <c r="M1831" s="528">
        <f>IF(E1831="STL",0,IF(F1831&gt;0,Pricing!$D$21,0))</f>
        <v>0</v>
      </c>
      <c r="N1831" s="529">
        <f>IF(E1831="STL",F1831*Pricing!$D$40,IF(A1831&lt;=Pricing!$C$4,0,IF(AND(A1831&gt;Pricing!$C$4,Disbursements!A1831&lt;=Pricing!$C$5),F1831*Pricing!$E$5,IF(AND(A1831&gt;Pricing!$C$5,Disbursements!A1831&lt;=Pricing!$C$7),VLOOKUP(F1831,Pricing!$D$7:$E$8,2)*Disbursements!F1831,F1831*Pricing!$E$9))))</f>
        <v>0</v>
      </c>
      <c r="O1831" s="528">
        <f>IF(E1831="STL",0,IF($F1831&gt;0,$F1831*Pricing!$D$17,0))</f>
        <v>0</v>
      </c>
      <c r="P1831" s="530" t="str">
        <f t="shared" si="750"/>
        <v/>
      </c>
      <c r="Q1831" s="531" t="str">
        <f>IF($A1831="","",$G1831/VLOOKUP($I1831,Ref!$B$23:$D$29,2,0))</f>
        <v/>
      </c>
      <c r="R1831" s="530" t="str">
        <f t="shared" si="751"/>
        <v/>
      </c>
      <c r="S1831" s="532" t="str">
        <f t="shared" si="745"/>
        <v/>
      </c>
      <c r="T1831" s="531" t="str">
        <f t="shared" si="752"/>
        <v/>
      </c>
      <c r="U1831" s="533">
        <f t="shared" si="753"/>
        <v>0</v>
      </c>
      <c r="V1831" s="531" t="str">
        <f t="shared" si="754"/>
        <v/>
      </c>
      <c r="W1831" s="531" t="str">
        <f t="shared" si="755"/>
        <v/>
      </c>
      <c r="X1831" s="534" t="str">
        <f t="shared" si="756"/>
        <v/>
      </c>
      <c r="Y1831" s="535" t="str">
        <f>IF($A1831="","",IF($I1831="weekly",$A1831+7,EDATE($A1831,VLOOKUP($I1831,Ref!$B$24:$C$29,2,0))))</f>
        <v/>
      </c>
      <c r="Z1831" s="536" t="str">
        <f t="shared" si="757"/>
        <v/>
      </c>
      <c r="AA1831" s="531">
        <f t="shared" si="758"/>
        <v>0</v>
      </c>
      <c r="AB1831" s="535" t="str">
        <f t="shared" si="746"/>
        <v/>
      </c>
      <c r="AC1831" s="537" t="str">
        <f t="shared" si="747"/>
        <v/>
      </c>
      <c r="AD1831" s="538" t="str">
        <f t="shared" ca="1" si="748"/>
        <v/>
      </c>
      <c r="AE1831" s="537">
        <f t="shared" ca="1" si="749"/>
        <v>0</v>
      </c>
      <c r="AF1831" s="539" t="str">
        <f t="shared" ca="1" si="759"/>
        <v/>
      </c>
      <c r="AG1831" s="531" t="str">
        <f t="shared" ca="1" si="760"/>
        <v/>
      </c>
      <c r="AH1831" s="531" t="str">
        <f t="shared" ca="1" si="761"/>
        <v/>
      </c>
      <c r="AI1831" s="531" t="str">
        <f t="shared" ca="1" si="762"/>
        <v/>
      </c>
      <c r="AJ1831" s="531" t="str">
        <f t="shared" si="763"/>
        <v/>
      </c>
      <c r="AK1831" s="540">
        <f>SUMIFS('Live Collections'!$S:$S,'Live Collections'!$D:$D,Disbursements!B1831,'Live Collections'!$G:$G,Disbursements!C1831)</f>
        <v>0</v>
      </c>
      <c r="AL1831" s="540">
        <f>SUMIFS('Live Collections'!$T:$T,'Live Collections'!$D:$D,Disbursements!B1831,'Live Collections'!$G:$G,Disbursements!C1831)</f>
        <v>0</v>
      </c>
      <c r="AM1831" s="541">
        <f t="shared" si="764"/>
        <v>0</v>
      </c>
      <c r="AN1831" s="542" t="str">
        <f t="shared" si="765"/>
        <v/>
      </c>
      <c r="AO1831" s="542" t="str">
        <f t="shared" si="766"/>
        <v/>
      </c>
      <c r="AP1831" s="543" t="str">
        <f t="shared" si="767"/>
        <v/>
      </c>
      <c r="AQ1831" s="544" t="str">
        <f t="shared" si="768"/>
        <v/>
      </c>
      <c r="AR1831" s="545">
        <f t="shared" si="769"/>
        <v>0</v>
      </c>
      <c r="AS1831" s="545">
        <f>IFERROR(CEILING($AR1831*VLOOKUP($I1831,Ref!$B$23:$E$29,4,0),1),0)</f>
        <v>0</v>
      </c>
      <c r="AT1831" s="545" t="str">
        <f>IF(A1831="","",IF(AP1831&lt;=1,"Cleared",IF(AS1831=0,"Clean",VLOOKUP($AS1831,Ref!$G$23:$H$28,2))))</f>
        <v/>
      </c>
      <c r="AU1831" s="546" t="str">
        <f t="shared" si="770"/>
        <v/>
      </c>
    </row>
    <row r="1832" spans="1:47" ht="14.25" hidden="1" customHeight="1" x14ac:dyDescent="0.15">
      <c r="A1832" s="575"/>
      <c r="B1832" s="548"/>
      <c r="C1832" s="548"/>
      <c r="D1832" s="548"/>
      <c r="E1832" s="583"/>
      <c r="F1832" s="584"/>
      <c r="G1832" s="548"/>
      <c r="H1832" s="550"/>
      <c r="I1832" s="560"/>
      <c r="J1832" s="548"/>
      <c r="K1832" s="528" t="str">
        <f>IFERROR(VLOOKUP($B1832,'Clients-Live'!$A:$C,3,0),"")</f>
        <v/>
      </c>
      <c r="L1832" s="528">
        <f>IF(E1832="STL",Pricing!$D$38,IF(A1832="",0,IF(A1832&lt;Pricing!$C$25,Pricing!$D$25,VLOOKUP(Disbursements!$F1832,Pricing!$B$29:$D$32,3))))</f>
        <v>0</v>
      </c>
      <c r="M1832" s="528">
        <f>IF(E1832="STL",0,IF(F1832&gt;0,Pricing!$D$21,0))</f>
        <v>0</v>
      </c>
      <c r="N1832" s="529">
        <f>IF(E1832="STL",F1832*Pricing!$D$40,IF(A1832&lt;=Pricing!$C$4,0,IF(AND(A1832&gt;Pricing!$C$4,Disbursements!A1832&lt;=Pricing!$C$5),F1832*Pricing!$E$5,IF(AND(A1832&gt;Pricing!$C$5,Disbursements!A1832&lt;=Pricing!$C$7),VLOOKUP(F1832,Pricing!$D$7:$E$8,2)*Disbursements!F1832,F1832*Pricing!$E$9))))</f>
        <v>0</v>
      </c>
      <c r="O1832" s="528">
        <f>IF(E1832="STL",0,IF($F1832&gt;0,$F1832*Pricing!$D$17,0))</f>
        <v>0</v>
      </c>
      <c r="P1832" s="530" t="str">
        <f t="shared" si="750"/>
        <v/>
      </c>
      <c r="Q1832" s="531" t="str">
        <f>IF($A1832="","",$G1832/VLOOKUP($I1832,Ref!$B$23:$D$29,2,0))</f>
        <v/>
      </c>
      <c r="R1832" s="530" t="str">
        <f t="shared" si="751"/>
        <v/>
      </c>
      <c r="S1832" s="532" t="str">
        <f t="shared" si="745"/>
        <v/>
      </c>
      <c r="T1832" s="531" t="str">
        <f t="shared" si="752"/>
        <v/>
      </c>
      <c r="U1832" s="533">
        <f t="shared" si="753"/>
        <v>0</v>
      </c>
      <c r="V1832" s="531" t="str">
        <f t="shared" si="754"/>
        <v/>
      </c>
      <c r="W1832" s="531" t="str">
        <f t="shared" si="755"/>
        <v/>
      </c>
      <c r="X1832" s="534" t="str">
        <f t="shared" si="756"/>
        <v/>
      </c>
      <c r="Y1832" s="535" t="str">
        <f>IF($A1832="","",IF($I1832="weekly",$A1832+7,EDATE($A1832,VLOOKUP($I1832,Ref!$B$24:$C$29,2,0))))</f>
        <v/>
      </c>
      <c r="Z1832" s="536" t="str">
        <f t="shared" si="757"/>
        <v/>
      </c>
      <c r="AA1832" s="531">
        <f t="shared" si="758"/>
        <v>0</v>
      </c>
      <c r="AB1832" s="535" t="str">
        <f t="shared" si="746"/>
        <v/>
      </c>
      <c r="AC1832" s="537" t="str">
        <f t="shared" si="747"/>
        <v/>
      </c>
      <c r="AD1832" s="538" t="str">
        <f t="shared" ca="1" si="748"/>
        <v/>
      </c>
      <c r="AE1832" s="537">
        <f t="shared" ca="1" si="749"/>
        <v>0</v>
      </c>
      <c r="AF1832" s="539" t="str">
        <f t="shared" ca="1" si="759"/>
        <v/>
      </c>
      <c r="AG1832" s="531" t="str">
        <f t="shared" ca="1" si="760"/>
        <v/>
      </c>
      <c r="AH1832" s="531" t="str">
        <f t="shared" ca="1" si="761"/>
        <v/>
      </c>
      <c r="AI1832" s="531" t="str">
        <f t="shared" ca="1" si="762"/>
        <v/>
      </c>
      <c r="AJ1832" s="531" t="str">
        <f t="shared" si="763"/>
        <v/>
      </c>
      <c r="AK1832" s="540">
        <f>SUMIFS('Live Collections'!$S:$S,'Live Collections'!$D:$D,Disbursements!B1832,'Live Collections'!$G:$G,Disbursements!C1832)</f>
        <v>0</v>
      </c>
      <c r="AL1832" s="540">
        <f>SUMIFS('Live Collections'!$T:$T,'Live Collections'!$D:$D,Disbursements!B1832,'Live Collections'!$G:$G,Disbursements!C1832)</f>
        <v>0</v>
      </c>
      <c r="AM1832" s="541">
        <f t="shared" si="764"/>
        <v>0</v>
      </c>
      <c r="AN1832" s="542" t="str">
        <f t="shared" si="765"/>
        <v/>
      </c>
      <c r="AO1832" s="542" t="str">
        <f t="shared" si="766"/>
        <v/>
      </c>
      <c r="AP1832" s="543" t="str">
        <f t="shared" si="767"/>
        <v/>
      </c>
      <c r="AQ1832" s="544" t="str">
        <f t="shared" si="768"/>
        <v/>
      </c>
      <c r="AR1832" s="545">
        <f t="shared" si="769"/>
        <v>0</v>
      </c>
      <c r="AS1832" s="545">
        <f>IFERROR(CEILING($AR1832*VLOOKUP($I1832,Ref!$B$23:$E$29,4,0),1),0)</f>
        <v>0</v>
      </c>
      <c r="AT1832" s="545" t="str">
        <f>IF(A1832="","",IF(AP1832&lt;=1,"Cleared",IF(AS1832=0,"Clean",VLOOKUP($AS1832,Ref!$G$23:$H$28,2))))</f>
        <v/>
      </c>
      <c r="AU1832" s="546" t="str">
        <f t="shared" si="770"/>
        <v/>
      </c>
    </row>
    <row r="1833" spans="1:47" ht="14.25" hidden="1" customHeight="1" x14ac:dyDescent="0.15">
      <c r="A1833" s="575"/>
      <c r="B1833" s="548"/>
      <c r="C1833" s="548"/>
      <c r="D1833" s="548"/>
      <c r="E1833" s="583"/>
      <c r="F1833" s="584"/>
      <c r="G1833" s="548"/>
      <c r="H1833" s="550"/>
      <c r="I1833" s="560"/>
      <c r="J1833" s="548"/>
      <c r="K1833" s="528" t="str">
        <f>IFERROR(VLOOKUP($B1833,'Clients-Live'!$A:$C,3,0),"")</f>
        <v/>
      </c>
      <c r="L1833" s="528">
        <f>IF(E1833="STL",Pricing!$D$38,IF(A1833="",0,IF(A1833&lt;Pricing!$C$25,Pricing!$D$25,VLOOKUP(Disbursements!$F1833,Pricing!$B$29:$D$32,3))))</f>
        <v>0</v>
      </c>
      <c r="M1833" s="528">
        <f>IF(E1833="STL",0,IF(F1833&gt;0,Pricing!$D$21,0))</f>
        <v>0</v>
      </c>
      <c r="N1833" s="529">
        <f>IF(E1833="STL",F1833*Pricing!$D$40,IF(A1833&lt;=Pricing!$C$4,0,IF(AND(A1833&gt;Pricing!$C$4,Disbursements!A1833&lt;=Pricing!$C$5),F1833*Pricing!$E$5,IF(AND(A1833&gt;Pricing!$C$5,Disbursements!A1833&lt;=Pricing!$C$7),VLOOKUP(F1833,Pricing!$D$7:$E$8,2)*Disbursements!F1833,F1833*Pricing!$E$9))))</f>
        <v>0</v>
      </c>
      <c r="O1833" s="528">
        <f>IF(E1833="STL",0,IF($F1833&gt;0,$F1833*Pricing!$D$17,0))</f>
        <v>0</v>
      </c>
      <c r="P1833" s="530" t="str">
        <f t="shared" si="750"/>
        <v/>
      </c>
      <c r="Q1833" s="531" t="str">
        <f>IF($A1833="","",$G1833/VLOOKUP($I1833,Ref!$B$23:$D$29,2,0))</f>
        <v/>
      </c>
      <c r="R1833" s="530" t="str">
        <f t="shared" si="751"/>
        <v/>
      </c>
      <c r="S1833" s="532" t="str">
        <f t="shared" si="745"/>
        <v/>
      </c>
      <c r="T1833" s="531" t="str">
        <f t="shared" si="752"/>
        <v/>
      </c>
      <c r="U1833" s="533">
        <f t="shared" si="753"/>
        <v>0</v>
      </c>
      <c r="V1833" s="531" t="str">
        <f t="shared" si="754"/>
        <v/>
      </c>
      <c r="W1833" s="531" t="str">
        <f t="shared" si="755"/>
        <v/>
      </c>
      <c r="X1833" s="534" t="str">
        <f t="shared" si="756"/>
        <v/>
      </c>
      <c r="Y1833" s="535" t="str">
        <f>IF($A1833="","",IF($I1833="weekly",$A1833+7,EDATE($A1833,VLOOKUP($I1833,Ref!$B$24:$C$29,2,0))))</f>
        <v/>
      </c>
      <c r="Z1833" s="536" t="str">
        <f t="shared" si="757"/>
        <v/>
      </c>
      <c r="AA1833" s="531">
        <f t="shared" si="758"/>
        <v>0</v>
      </c>
      <c r="AB1833" s="535" t="str">
        <f t="shared" si="746"/>
        <v/>
      </c>
      <c r="AC1833" s="537" t="str">
        <f t="shared" si="747"/>
        <v/>
      </c>
      <c r="AD1833" s="538" t="str">
        <f t="shared" ca="1" si="748"/>
        <v/>
      </c>
      <c r="AE1833" s="537">
        <f t="shared" ca="1" si="749"/>
        <v>0</v>
      </c>
      <c r="AF1833" s="539" t="str">
        <f t="shared" ca="1" si="759"/>
        <v/>
      </c>
      <c r="AG1833" s="531" t="str">
        <f t="shared" ca="1" si="760"/>
        <v/>
      </c>
      <c r="AH1833" s="531" t="str">
        <f t="shared" ca="1" si="761"/>
        <v/>
      </c>
      <c r="AI1833" s="531" t="str">
        <f t="shared" ca="1" si="762"/>
        <v/>
      </c>
      <c r="AJ1833" s="531" t="str">
        <f t="shared" si="763"/>
        <v/>
      </c>
      <c r="AK1833" s="540">
        <f>SUMIFS('Live Collections'!$S:$S,'Live Collections'!$D:$D,Disbursements!B1833,'Live Collections'!$G:$G,Disbursements!C1833)</f>
        <v>0</v>
      </c>
      <c r="AL1833" s="540">
        <f>SUMIFS('Live Collections'!$T:$T,'Live Collections'!$D:$D,Disbursements!B1833,'Live Collections'!$G:$G,Disbursements!C1833)</f>
        <v>0</v>
      </c>
      <c r="AM1833" s="541">
        <f t="shared" si="764"/>
        <v>0</v>
      </c>
      <c r="AN1833" s="542" t="str">
        <f t="shared" si="765"/>
        <v/>
      </c>
      <c r="AO1833" s="542" t="str">
        <f t="shared" si="766"/>
        <v/>
      </c>
      <c r="AP1833" s="543" t="str">
        <f t="shared" si="767"/>
        <v/>
      </c>
      <c r="AQ1833" s="544" t="str">
        <f t="shared" si="768"/>
        <v/>
      </c>
      <c r="AR1833" s="545">
        <f t="shared" si="769"/>
        <v>0</v>
      </c>
      <c r="AS1833" s="545">
        <f>IFERROR(CEILING($AR1833*VLOOKUP($I1833,Ref!$B$23:$E$29,4,0),1),0)</f>
        <v>0</v>
      </c>
      <c r="AT1833" s="545" t="str">
        <f>IF(A1833="","",IF(AP1833&lt;=1,"Cleared",IF(AS1833=0,"Clean",VLOOKUP($AS1833,Ref!$G$23:$H$28,2))))</f>
        <v/>
      </c>
      <c r="AU1833" s="546" t="str">
        <f t="shared" si="770"/>
        <v/>
      </c>
    </row>
    <row r="1834" spans="1:47" ht="14.25" hidden="1" customHeight="1" x14ac:dyDescent="0.15">
      <c r="A1834" s="575"/>
      <c r="B1834" s="548"/>
      <c r="C1834" s="548"/>
      <c r="D1834" s="548"/>
      <c r="E1834" s="583"/>
      <c r="F1834" s="584"/>
      <c r="G1834" s="548"/>
      <c r="H1834" s="550"/>
      <c r="I1834" s="560"/>
      <c r="J1834" s="548"/>
      <c r="K1834" s="528" t="str">
        <f>IFERROR(VLOOKUP($B1834,'Clients-Live'!$A:$C,3,0),"")</f>
        <v/>
      </c>
      <c r="L1834" s="528">
        <f>IF(E1834="STL",Pricing!$D$38,IF(A1834="",0,IF(A1834&lt;Pricing!$C$25,Pricing!$D$25,VLOOKUP(Disbursements!$F1834,Pricing!$B$29:$D$32,3))))</f>
        <v>0</v>
      </c>
      <c r="M1834" s="528">
        <f>IF(E1834="STL",0,IF(F1834&gt;0,Pricing!$D$21,0))</f>
        <v>0</v>
      </c>
      <c r="N1834" s="529">
        <f>IF(E1834="STL",F1834*Pricing!$D$40,IF(A1834&lt;=Pricing!$C$4,0,IF(AND(A1834&gt;Pricing!$C$4,Disbursements!A1834&lt;=Pricing!$C$5),F1834*Pricing!$E$5,IF(AND(A1834&gt;Pricing!$C$5,Disbursements!A1834&lt;=Pricing!$C$7),VLOOKUP(F1834,Pricing!$D$7:$E$8,2)*Disbursements!F1834,F1834*Pricing!$E$9))))</f>
        <v>0</v>
      </c>
      <c r="O1834" s="528">
        <f>IF(E1834="STL",0,IF($F1834&gt;0,$F1834*Pricing!$D$17,0))</f>
        <v>0</v>
      </c>
      <c r="P1834" s="530" t="str">
        <f t="shared" si="750"/>
        <v/>
      </c>
      <c r="Q1834" s="531" t="str">
        <f>IF($A1834="","",$G1834/VLOOKUP($I1834,Ref!$B$23:$D$29,2,0))</f>
        <v/>
      </c>
      <c r="R1834" s="530" t="str">
        <f t="shared" si="751"/>
        <v/>
      </c>
      <c r="S1834" s="532" t="str">
        <f t="shared" si="745"/>
        <v/>
      </c>
      <c r="T1834" s="531" t="str">
        <f t="shared" si="752"/>
        <v/>
      </c>
      <c r="U1834" s="533">
        <f t="shared" si="753"/>
        <v>0</v>
      </c>
      <c r="V1834" s="531" t="str">
        <f t="shared" si="754"/>
        <v/>
      </c>
      <c r="W1834" s="531" t="str">
        <f t="shared" si="755"/>
        <v/>
      </c>
      <c r="X1834" s="534" t="str">
        <f t="shared" si="756"/>
        <v/>
      </c>
      <c r="Y1834" s="535" t="str">
        <f>IF($A1834="","",IF($I1834="weekly",$A1834+7,EDATE($A1834,VLOOKUP($I1834,Ref!$B$24:$C$29,2,0))))</f>
        <v/>
      </c>
      <c r="Z1834" s="536" t="str">
        <f t="shared" si="757"/>
        <v/>
      </c>
      <c r="AA1834" s="531">
        <f t="shared" si="758"/>
        <v>0</v>
      </c>
      <c r="AB1834" s="535" t="str">
        <f t="shared" si="746"/>
        <v/>
      </c>
      <c r="AC1834" s="537" t="str">
        <f t="shared" si="747"/>
        <v/>
      </c>
      <c r="AD1834" s="538" t="str">
        <f t="shared" ca="1" si="748"/>
        <v/>
      </c>
      <c r="AE1834" s="537">
        <f t="shared" ca="1" si="749"/>
        <v>0</v>
      </c>
      <c r="AF1834" s="539" t="str">
        <f t="shared" ca="1" si="759"/>
        <v/>
      </c>
      <c r="AG1834" s="531" t="str">
        <f t="shared" ca="1" si="760"/>
        <v/>
      </c>
      <c r="AH1834" s="531" t="str">
        <f t="shared" ca="1" si="761"/>
        <v/>
      </c>
      <c r="AI1834" s="531" t="str">
        <f t="shared" ca="1" si="762"/>
        <v/>
      </c>
      <c r="AJ1834" s="531" t="str">
        <f t="shared" si="763"/>
        <v/>
      </c>
      <c r="AK1834" s="540">
        <f>SUMIFS('Live Collections'!$S:$S,'Live Collections'!$D:$D,Disbursements!B1834,'Live Collections'!$G:$G,Disbursements!C1834)</f>
        <v>0</v>
      </c>
      <c r="AL1834" s="540">
        <f>SUMIFS('Live Collections'!$T:$T,'Live Collections'!$D:$D,Disbursements!B1834,'Live Collections'!$G:$G,Disbursements!C1834)</f>
        <v>0</v>
      </c>
      <c r="AM1834" s="541">
        <f t="shared" si="764"/>
        <v>0</v>
      </c>
      <c r="AN1834" s="542" t="str">
        <f t="shared" si="765"/>
        <v/>
      </c>
      <c r="AO1834" s="542" t="str">
        <f t="shared" si="766"/>
        <v/>
      </c>
      <c r="AP1834" s="543" t="str">
        <f t="shared" si="767"/>
        <v/>
      </c>
      <c r="AQ1834" s="544" t="str">
        <f t="shared" si="768"/>
        <v/>
      </c>
      <c r="AR1834" s="545">
        <f t="shared" si="769"/>
        <v>0</v>
      </c>
      <c r="AS1834" s="545">
        <f>IFERROR(CEILING($AR1834*VLOOKUP($I1834,Ref!$B$23:$E$29,4,0),1),0)</f>
        <v>0</v>
      </c>
      <c r="AT1834" s="545" t="str">
        <f>IF(A1834="","",IF(AP1834&lt;=1,"Cleared",IF(AS1834=0,"Clean",VLOOKUP($AS1834,Ref!$G$23:$H$28,2))))</f>
        <v/>
      </c>
      <c r="AU1834" s="546" t="str">
        <f t="shared" si="770"/>
        <v/>
      </c>
    </row>
    <row r="1835" spans="1:47" ht="14.25" hidden="1" customHeight="1" x14ac:dyDescent="0.15">
      <c r="A1835" s="575"/>
      <c r="B1835" s="548"/>
      <c r="C1835" s="548"/>
      <c r="D1835" s="548"/>
      <c r="E1835" s="583"/>
      <c r="F1835" s="584"/>
      <c r="G1835" s="548"/>
      <c r="H1835" s="550"/>
      <c r="I1835" s="560"/>
      <c r="J1835" s="548"/>
      <c r="K1835" s="528" t="str">
        <f>IFERROR(VLOOKUP($B1835,'Clients-Live'!$A:$C,3,0),"")</f>
        <v/>
      </c>
      <c r="L1835" s="528">
        <f>IF(E1835="STL",Pricing!$D$38,IF(A1835="",0,IF(A1835&lt;Pricing!$C$25,Pricing!$D$25,VLOOKUP(Disbursements!$F1835,Pricing!$B$29:$D$32,3))))</f>
        <v>0</v>
      </c>
      <c r="M1835" s="528">
        <f>IF(E1835="STL",0,IF(F1835&gt;0,Pricing!$D$21,0))</f>
        <v>0</v>
      </c>
      <c r="N1835" s="529">
        <f>IF(E1835="STL",F1835*Pricing!$D$40,IF(A1835&lt;=Pricing!$C$4,0,IF(AND(A1835&gt;Pricing!$C$4,Disbursements!A1835&lt;=Pricing!$C$5),F1835*Pricing!$E$5,IF(AND(A1835&gt;Pricing!$C$5,Disbursements!A1835&lt;=Pricing!$C$7),VLOOKUP(F1835,Pricing!$D$7:$E$8,2)*Disbursements!F1835,F1835*Pricing!$E$9))))</f>
        <v>0</v>
      </c>
      <c r="O1835" s="528">
        <f>IF(E1835="STL",0,IF($F1835&gt;0,$F1835*Pricing!$D$17,0))</f>
        <v>0</v>
      </c>
      <c r="P1835" s="530" t="str">
        <f t="shared" si="750"/>
        <v/>
      </c>
      <c r="Q1835" s="531" t="str">
        <f>IF($A1835="","",$G1835/VLOOKUP($I1835,Ref!$B$23:$D$29,2,0))</f>
        <v/>
      </c>
      <c r="R1835" s="530" t="str">
        <f t="shared" si="751"/>
        <v/>
      </c>
      <c r="S1835" s="532" t="str">
        <f t="shared" si="745"/>
        <v/>
      </c>
      <c r="T1835" s="531" t="str">
        <f t="shared" si="752"/>
        <v/>
      </c>
      <c r="U1835" s="533">
        <f t="shared" si="753"/>
        <v>0</v>
      </c>
      <c r="V1835" s="531" t="str">
        <f t="shared" si="754"/>
        <v/>
      </c>
      <c r="W1835" s="531" t="str">
        <f t="shared" si="755"/>
        <v/>
      </c>
      <c r="X1835" s="534" t="str">
        <f t="shared" si="756"/>
        <v/>
      </c>
      <c r="Y1835" s="535" t="str">
        <f>IF($A1835="","",IF($I1835="weekly",$A1835+7,EDATE($A1835,VLOOKUP($I1835,Ref!$B$24:$C$29,2,0))))</f>
        <v/>
      </c>
      <c r="Z1835" s="536" t="str">
        <f t="shared" si="757"/>
        <v/>
      </c>
      <c r="AA1835" s="531">
        <f t="shared" si="758"/>
        <v>0</v>
      </c>
      <c r="AB1835" s="535" t="str">
        <f t="shared" si="746"/>
        <v/>
      </c>
      <c r="AC1835" s="537" t="str">
        <f t="shared" si="747"/>
        <v/>
      </c>
      <c r="AD1835" s="538" t="str">
        <f t="shared" ca="1" si="748"/>
        <v/>
      </c>
      <c r="AE1835" s="537">
        <f t="shared" ca="1" si="749"/>
        <v>0</v>
      </c>
      <c r="AF1835" s="539" t="str">
        <f t="shared" ca="1" si="759"/>
        <v/>
      </c>
      <c r="AG1835" s="531" t="str">
        <f t="shared" ca="1" si="760"/>
        <v/>
      </c>
      <c r="AH1835" s="531" t="str">
        <f t="shared" ca="1" si="761"/>
        <v/>
      </c>
      <c r="AI1835" s="531" t="str">
        <f t="shared" ca="1" si="762"/>
        <v/>
      </c>
      <c r="AJ1835" s="531" t="str">
        <f t="shared" si="763"/>
        <v/>
      </c>
      <c r="AK1835" s="540">
        <f>SUMIFS('Live Collections'!$S:$S,'Live Collections'!$D:$D,Disbursements!B1835,'Live Collections'!$G:$G,Disbursements!C1835)</f>
        <v>0</v>
      </c>
      <c r="AL1835" s="540">
        <f>SUMIFS('Live Collections'!$T:$T,'Live Collections'!$D:$D,Disbursements!B1835,'Live Collections'!$G:$G,Disbursements!C1835)</f>
        <v>0</v>
      </c>
      <c r="AM1835" s="541">
        <f t="shared" si="764"/>
        <v>0</v>
      </c>
      <c r="AN1835" s="542" t="str">
        <f t="shared" si="765"/>
        <v/>
      </c>
      <c r="AO1835" s="542" t="str">
        <f t="shared" si="766"/>
        <v/>
      </c>
      <c r="AP1835" s="543" t="str">
        <f t="shared" si="767"/>
        <v/>
      </c>
      <c r="AQ1835" s="544" t="str">
        <f t="shared" si="768"/>
        <v/>
      </c>
      <c r="AR1835" s="545">
        <f t="shared" si="769"/>
        <v>0</v>
      </c>
      <c r="AS1835" s="545">
        <f>IFERROR(CEILING($AR1835*VLOOKUP($I1835,Ref!$B$23:$E$29,4,0),1),0)</f>
        <v>0</v>
      </c>
      <c r="AT1835" s="545" t="str">
        <f>IF(A1835="","",IF(AP1835&lt;=1,"Cleared",IF(AS1835=0,"Clean",VLOOKUP($AS1835,Ref!$G$23:$H$28,2))))</f>
        <v/>
      </c>
      <c r="AU1835" s="546" t="str">
        <f t="shared" si="770"/>
        <v/>
      </c>
    </row>
    <row r="1836" spans="1:47" ht="14.25" hidden="1" customHeight="1" x14ac:dyDescent="0.15">
      <c r="A1836" s="575"/>
      <c r="B1836" s="548"/>
      <c r="C1836" s="548"/>
      <c r="D1836" s="548"/>
      <c r="E1836" s="583"/>
      <c r="F1836" s="584"/>
      <c r="G1836" s="548"/>
      <c r="H1836" s="550"/>
      <c r="I1836" s="560"/>
      <c r="J1836" s="548"/>
      <c r="K1836" s="528" t="str">
        <f>IFERROR(VLOOKUP($B1836,'Clients-Live'!$A:$C,3,0),"")</f>
        <v/>
      </c>
      <c r="L1836" s="528">
        <f>IF(E1836="STL",Pricing!$D$38,IF(A1836="",0,IF(A1836&lt;Pricing!$C$25,Pricing!$D$25,VLOOKUP(Disbursements!$F1836,Pricing!$B$29:$D$32,3))))</f>
        <v>0</v>
      </c>
      <c r="M1836" s="528">
        <f>IF(E1836="STL",0,IF(F1836&gt;0,Pricing!$D$21,0))</f>
        <v>0</v>
      </c>
      <c r="N1836" s="529">
        <f>IF(E1836="STL",F1836*Pricing!$D$40,IF(A1836&lt;=Pricing!$C$4,0,IF(AND(A1836&gt;Pricing!$C$4,Disbursements!A1836&lt;=Pricing!$C$5),F1836*Pricing!$E$5,IF(AND(A1836&gt;Pricing!$C$5,Disbursements!A1836&lt;=Pricing!$C$7),VLOOKUP(F1836,Pricing!$D$7:$E$8,2)*Disbursements!F1836,F1836*Pricing!$E$9))))</f>
        <v>0</v>
      </c>
      <c r="O1836" s="528">
        <f>IF(E1836="STL",0,IF($F1836&gt;0,$F1836*Pricing!$D$17,0))</f>
        <v>0</v>
      </c>
      <c r="P1836" s="530" t="str">
        <f t="shared" si="750"/>
        <v/>
      </c>
      <c r="Q1836" s="531" t="str">
        <f>IF($A1836="","",$G1836/VLOOKUP($I1836,Ref!$B$23:$D$29,2,0))</f>
        <v/>
      </c>
      <c r="R1836" s="530" t="str">
        <f t="shared" si="751"/>
        <v/>
      </c>
      <c r="S1836" s="532" t="str">
        <f t="shared" si="745"/>
        <v/>
      </c>
      <c r="T1836" s="531" t="str">
        <f t="shared" si="752"/>
        <v/>
      </c>
      <c r="U1836" s="533">
        <f t="shared" si="753"/>
        <v>0</v>
      </c>
      <c r="V1836" s="531" t="str">
        <f t="shared" si="754"/>
        <v/>
      </c>
      <c r="W1836" s="531" t="str">
        <f t="shared" si="755"/>
        <v/>
      </c>
      <c r="X1836" s="534" t="str">
        <f t="shared" si="756"/>
        <v/>
      </c>
      <c r="Y1836" s="535" t="str">
        <f>IF($A1836="","",IF($I1836="weekly",$A1836+7,EDATE($A1836,VLOOKUP($I1836,Ref!$B$24:$C$29,2,0))))</f>
        <v/>
      </c>
      <c r="Z1836" s="536" t="str">
        <f t="shared" si="757"/>
        <v/>
      </c>
      <c r="AA1836" s="531">
        <f t="shared" si="758"/>
        <v>0</v>
      </c>
      <c r="AB1836" s="535" t="str">
        <f t="shared" si="746"/>
        <v/>
      </c>
      <c r="AC1836" s="537" t="str">
        <f t="shared" si="747"/>
        <v/>
      </c>
      <c r="AD1836" s="538" t="str">
        <f t="shared" ca="1" si="748"/>
        <v/>
      </c>
      <c r="AE1836" s="537">
        <f t="shared" ca="1" si="749"/>
        <v>0</v>
      </c>
      <c r="AF1836" s="539" t="str">
        <f t="shared" ca="1" si="759"/>
        <v/>
      </c>
      <c r="AG1836" s="531" t="str">
        <f t="shared" ca="1" si="760"/>
        <v/>
      </c>
      <c r="AH1836" s="531" t="str">
        <f t="shared" ca="1" si="761"/>
        <v/>
      </c>
      <c r="AI1836" s="531" t="str">
        <f t="shared" ca="1" si="762"/>
        <v/>
      </c>
      <c r="AJ1836" s="531" t="str">
        <f t="shared" si="763"/>
        <v/>
      </c>
      <c r="AK1836" s="540">
        <f>SUMIFS('Live Collections'!$S:$S,'Live Collections'!$D:$D,Disbursements!B1836,'Live Collections'!$G:$G,Disbursements!C1836)</f>
        <v>0</v>
      </c>
      <c r="AL1836" s="540">
        <f>SUMIFS('Live Collections'!$T:$T,'Live Collections'!$D:$D,Disbursements!B1836,'Live Collections'!$G:$G,Disbursements!C1836)</f>
        <v>0</v>
      </c>
      <c r="AM1836" s="541">
        <f t="shared" si="764"/>
        <v>0</v>
      </c>
      <c r="AN1836" s="542" t="str">
        <f t="shared" si="765"/>
        <v/>
      </c>
      <c r="AO1836" s="542" t="str">
        <f t="shared" si="766"/>
        <v/>
      </c>
      <c r="AP1836" s="543" t="str">
        <f t="shared" si="767"/>
        <v/>
      </c>
      <c r="AQ1836" s="544" t="str">
        <f t="shared" si="768"/>
        <v/>
      </c>
      <c r="AR1836" s="545">
        <f t="shared" si="769"/>
        <v>0</v>
      </c>
      <c r="AS1836" s="545">
        <f>IFERROR(CEILING($AR1836*VLOOKUP($I1836,Ref!$B$23:$E$29,4,0),1),0)</f>
        <v>0</v>
      </c>
      <c r="AT1836" s="545" t="str">
        <f>IF(A1836="","",IF(AP1836&lt;=1,"Cleared",IF(AS1836=0,"Clean",VLOOKUP($AS1836,Ref!$G$23:$H$28,2))))</f>
        <v/>
      </c>
      <c r="AU1836" s="546" t="str">
        <f t="shared" si="770"/>
        <v/>
      </c>
    </row>
    <row r="1837" spans="1:47" ht="14.25" hidden="1" customHeight="1" x14ac:dyDescent="0.15">
      <c r="A1837" s="575"/>
      <c r="B1837" s="548"/>
      <c r="C1837" s="548"/>
      <c r="D1837" s="548"/>
      <c r="E1837" s="583"/>
      <c r="F1837" s="584"/>
      <c r="G1837" s="548"/>
      <c r="H1837" s="550"/>
      <c r="I1837" s="560"/>
      <c r="J1837" s="548"/>
      <c r="K1837" s="528" t="str">
        <f>IFERROR(VLOOKUP($B1837,'Clients-Live'!$A:$C,3,0),"")</f>
        <v/>
      </c>
      <c r="L1837" s="528">
        <f>IF(E1837="STL",Pricing!$D$38,IF(A1837="",0,IF(A1837&lt;Pricing!$C$25,Pricing!$D$25,VLOOKUP(Disbursements!$F1837,Pricing!$B$29:$D$32,3))))</f>
        <v>0</v>
      </c>
      <c r="M1837" s="528">
        <f>IF(E1837="STL",0,IF(F1837&gt;0,Pricing!$D$21,0))</f>
        <v>0</v>
      </c>
      <c r="N1837" s="529">
        <f>IF(E1837="STL",F1837*Pricing!$D$40,IF(A1837&lt;=Pricing!$C$4,0,IF(AND(A1837&gt;Pricing!$C$4,Disbursements!A1837&lt;=Pricing!$C$5),F1837*Pricing!$E$5,IF(AND(A1837&gt;Pricing!$C$5,Disbursements!A1837&lt;=Pricing!$C$7),VLOOKUP(F1837,Pricing!$D$7:$E$8,2)*Disbursements!F1837,F1837*Pricing!$E$9))))</f>
        <v>0</v>
      </c>
      <c r="O1837" s="528">
        <f>IF(E1837="STL",0,IF($F1837&gt;0,$F1837*Pricing!$D$17,0))</f>
        <v>0</v>
      </c>
      <c r="P1837" s="530" t="str">
        <f t="shared" si="750"/>
        <v/>
      </c>
      <c r="Q1837" s="531" t="str">
        <f>IF($A1837="","",$G1837/VLOOKUP($I1837,Ref!$B$23:$D$29,2,0))</f>
        <v/>
      </c>
      <c r="R1837" s="530" t="str">
        <f t="shared" si="751"/>
        <v/>
      </c>
      <c r="S1837" s="532" t="str">
        <f t="shared" si="745"/>
        <v/>
      </c>
      <c r="T1837" s="531" t="str">
        <f t="shared" si="752"/>
        <v/>
      </c>
      <c r="U1837" s="533">
        <f t="shared" si="753"/>
        <v>0</v>
      </c>
      <c r="V1837" s="531" t="str">
        <f t="shared" si="754"/>
        <v/>
      </c>
      <c r="W1837" s="531" t="str">
        <f t="shared" si="755"/>
        <v/>
      </c>
      <c r="X1837" s="534" t="str">
        <f t="shared" si="756"/>
        <v/>
      </c>
      <c r="Y1837" s="535" t="str">
        <f>IF($A1837="","",IF($I1837="weekly",$A1837+7,EDATE($A1837,VLOOKUP($I1837,Ref!$B$24:$C$29,2,0))))</f>
        <v/>
      </c>
      <c r="Z1837" s="536" t="str">
        <f t="shared" si="757"/>
        <v/>
      </c>
      <c r="AA1837" s="531">
        <f t="shared" si="758"/>
        <v>0</v>
      </c>
      <c r="AB1837" s="535" t="str">
        <f t="shared" si="746"/>
        <v/>
      </c>
      <c r="AC1837" s="537" t="str">
        <f t="shared" si="747"/>
        <v/>
      </c>
      <c r="AD1837" s="538" t="str">
        <f t="shared" ca="1" si="748"/>
        <v/>
      </c>
      <c r="AE1837" s="537">
        <f t="shared" ca="1" si="749"/>
        <v>0</v>
      </c>
      <c r="AF1837" s="539" t="str">
        <f t="shared" ca="1" si="759"/>
        <v/>
      </c>
      <c r="AG1837" s="531" t="str">
        <f t="shared" ca="1" si="760"/>
        <v/>
      </c>
      <c r="AH1837" s="531" t="str">
        <f t="shared" ca="1" si="761"/>
        <v/>
      </c>
      <c r="AI1837" s="531" t="str">
        <f t="shared" ca="1" si="762"/>
        <v/>
      </c>
      <c r="AJ1837" s="531" t="str">
        <f t="shared" si="763"/>
        <v/>
      </c>
      <c r="AK1837" s="540">
        <f>SUMIFS('Live Collections'!$S:$S,'Live Collections'!$D:$D,Disbursements!B1837,'Live Collections'!$G:$G,Disbursements!C1837)</f>
        <v>0</v>
      </c>
      <c r="AL1837" s="540">
        <f>SUMIFS('Live Collections'!$T:$T,'Live Collections'!$D:$D,Disbursements!B1837,'Live Collections'!$G:$G,Disbursements!C1837)</f>
        <v>0</v>
      </c>
      <c r="AM1837" s="541">
        <f t="shared" si="764"/>
        <v>0</v>
      </c>
      <c r="AN1837" s="542" t="str">
        <f t="shared" si="765"/>
        <v/>
      </c>
      <c r="AO1837" s="542" t="str">
        <f t="shared" si="766"/>
        <v/>
      </c>
      <c r="AP1837" s="543" t="str">
        <f t="shared" si="767"/>
        <v/>
      </c>
      <c r="AQ1837" s="544" t="str">
        <f t="shared" si="768"/>
        <v/>
      </c>
      <c r="AR1837" s="545">
        <f t="shared" si="769"/>
        <v>0</v>
      </c>
      <c r="AS1837" s="545">
        <f>IFERROR(CEILING($AR1837*VLOOKUP($I1837,Ref!$B$23:$E$29,4,0),1),0)</f>
        <v>0</v>
      </c>
      <c r="AT1837" s="545" t="str">
        <f>IF(A1837="","",IF(AP1837&lt;=1,"Cleared",IF(AS1837=0,"Clean",VLOOKUP($AS1837,Ref!$G$23:$H$28,2))))</f>
        <v/>
      </c>
      <c r="AU1837" s="546" t="str">
        <f t="shared" si="770"/>
        <v/>
      </c>
    </row>
    <row r="1838" spans="1:47" ht="14.25" hidden="1" customHeight="1" x14ac:dyDescent="0.15">
      <c r="A1838" s="575"/>
      <c r="B1838" s="548"/>
      <c r="C1838" s="548"/>
      <c r="D1838" s="548"/>
      <c r="E1838" s="583"/>
      <c r="F1838" s="584"/>
      <c r="G1838" s="548"/>
      <c r="H1838" s="550"/>
      <c r="I1838" s="560"/>
      <c r="J1838" s="548"/>
      <c r="K1838" s="528" t="str">
        <f>IFERROR(VLOOKUP($B1838,'Clients-Live'!$A:$C,3,0),"")</f>
        <v/>
      </c>
      <c r="L1838" s="528">
        <f>IF(E1838="STL",Pricing!$D$38,IF(A1838="",0,IF(A1838&lt;Pricing!$C$25,Pricing!$D$25,VLOOKUP(Disbursements!$F1838,Pricing!$B$29:$D$32,3))))</f>
        <v>0</v>
      </c>
      <c r="M1838" s="528">
        <f>IF(E1838="STL",0,IF(F1838&gt;0,Pricing!$D$21,0))</f>
        <v>0</v>
      </c>
      <c r="N1838" s="529">
        <f>IF(E1838="STL",F1838*Pricing!$D$40,IF(A1838&lt;=Pricing!$C$4,0,IF(AND(A1838&gt;Pricing!$C$4,Disbursements!A1838&lt;=Pricing!$C$5),F1838*Pricing!$E$5,IF(AND(A1838&gt;Pricing!$C$5,Disbursements!A1838&lt;=Pricing!$C$7),VLOOKUP(F1838,Pricing!$D$7:$E$8,2)*Disbursements!F1838,F1838*Pricing!$E$9))))</f>
        <v>0</v>
      </c>
      <c r="O1838" s="528">
        <f>IF(E1838="STL",0,IF($F1838&gt;0,$F1838*Pricing!$D$17,0))</f>
        <v>0</v>
      </c>
      <c r="P1838" s="530" t="str">
        <f t="shared" si="750"/>
        <v/>
      </c>
      <c r="Q1838" s="531" t="str">
        <f>IF($A1838="","",$G1838/VLOOKUP($I1838,Ref!$B$23:$D$29,2,0))</f>
        <v/>
      </c>
      <c r="R1838" s="530" t="str">
        <f t="shared" si="751"/>
        <v/>
      </c>
      <c r="S1838" s="532" t="str">
        <f t="shared" si="745"/>
        <v/>
      </c>
      <c r="T1838" s="531" t="str">
        <f t="shared" si="752"/>
        <v/>
      </c>
      <c r="U1838" s="533">
        <f t="shared" si="753"/>
        <v>0</v>
      </c>
      <c r="V1838" s="531" t="str">
        <f t="shared" si="754"/>
        <v/>
      </c>
      <c r="W1838" s="531" t="str">
        <f t="shared" si="755"/>
        <v/>
      </c>
      <c r="X1838" s="534" t="str">
        <f t="shared" si="756"/>
        <v/>
      </c>
      <c r="Y1838" s="535" t="str">
        <f>IF($A1838="","",IF($I1838="weekly",$A1838+7,EDATE($A1838,VLOOKUP($I1838,Ref!$B$24:$C$29,2,0))))</f>
        <v/>
      </c>
      <c r="Z1838" s="536" t="str">
        <f t="shared" si="757"/>
        <v/>
      </c>
      <c r="AA1838" s="531">
        <f t="shared" si="758"/>
        <v>0</v>
      </c>
      <c r="AB1838" s="535" t="str">
        <f t="shared" si="746"/>
        <v/>
      </c>
      <c r="AC1838" s="537" t="str">
        <f t="shared" si="747"/>
        <v/>
      </c>
      <c r="AD1838" s="538" t="str">
        <f t="shared" ca="1" si="748"/>
        <v/>
      </c>
      <c r="AE1838" s="537">
        <f t="shared" ca="1" si="749"/>
        <v>0</v>
      </c>
      <c r="AF1838" s="539" t="str">
        <f t="shared" ca="1" si="759"/>
        <v/>
      </c>
      <c r="AG1838" s="531" t="str">
        <f t="shared" ca="1" si="760"/>
        <v/>
      </c>
      <c r="AH1838" s="531" t="str">
        <f t="shared" ca="1" si="761"/>
        <v/>
      </c>
      <c r="AI1838" s="531" t="str">
        <f t="shared" ca="1" si="762"/>
        <v/>
      </c>
      <c r="AJ1838" s="531" t="str">
        <f t="shared" si="763"/>
        <v/>
      </c>
      <c r="AK1838" s="540">
        <f>SUMIFS('Live Collections'!$S:$S,'Live Collections'!$D:$D,Disbursements!B1838,'Live Collections'!$G:$G,Disbursements!C1838)</f>
        <v>0</v>
      </c>
      <c r="AL1838" s="540">
        <f>SUMIFS('Live Collections'!$T:$T,'Live Collections'!$D:$D,Disbursements!B1838,'Live Collections'!$G:$G,Disbursements!C1838)</f>
        <v>0</v>
      </c>
      <c r="AM1838" s="541">
        <f t="shared" si="764"/>
        <v>0</v>
      </c>
      <c r="AN1838" s="542" t="str">
        <f t="shared" si="765"/>
        <v/>
      </c>
      <c r="AO1838" s="542" t="str">
        <f t="shared" si="766"/>
        <v/>
      </c>
      <c r="AP1838" s="543" t="str">
        <f t="shared" si="767"/>
        <v/>
      </c>
      <c r="AQ1838" s="544" t="str">
        <f t="shared" si="768"/>
        <v/>
      </c>
      <c r="AR1838" s="545">
        <f t="shared" si="769"/>
        <v>0</v>
      </c>
      <c r="AS1838" s="545">
        <f>IFERROR(CEILING($AR1838*VLOOKUP($I1838,Ref!$B$23:$E$29,4,0),1),0)</f>
        <v>0</v>
      </c>
      <c r="AT1838" s="545" t="str">
        <f>IF(A1838="","",IF(AP1838&lt;=1,"Cleared",IF(AS1838=0,"Clean",VLOOKUP($AS1838,Ref!$G$23:$H$28,2))))</f>
        <v/>
      </c>
      <c r="AU1838" s="546" t="str">
        <f t="shared" si="770"/>
        <v/>
      </c>
    </row>
    <row r="1839" spans="1:47" ht="14.25" hidden="1" customHeight="1" x14ac:dyDescent="0.15">
      <c r="A1839" s="575"/>
      <c r="B1839" s="548"/>
      <c r="C1839" s="548"/>
      <c r="D1839" s="548"/>
      <c r="E1839" s="583"/>
      <c r="F1839" s="584"/>
      <c r="G1839" s="548"/>
      <c r="H1839" s="550"/>
      <c r="I1839" s="560"/>
      <c r="J1839" s="548"/>
      <c r="K1839" s="528" t="str">
        <f>IFERROR(VLOOKUP($B1839,'Clients-Live'!$A:$C,3,0),"")</f>
        <v/>
      </c>
      <c r="L1839" s="528">
        <f>IF(E1839="STL",Pricing!$D$38,IF(A1839="",0,IF(A1839&lt;Pricing!$C$25,Pricing!$D$25,VLOOKUP(Disbursements!$F1839,Pricing!$B$29:$D$32,3))))</f>
        <v>0</v>
      </c>
      <c r="M1839" s="528">
        <f>IF(E1839="STL",0,IF(F1839&gt;0,Pricing!$D$21,0))</f>
        <v>0</v>
      </c>
      <c r="N1839" s="529">
        <f>IF(E1839="STL",F1839*Pricing!$D$40,IF(A1839&lt;=Pricing!$C$4,0,IF(AND(A1839&gt;Pricing!$C$4,Disbursements!A1839&lt;=Pricing!$C$5),F1839*Pricing!$E$5,IF(AND(A1839&gt;Pricing!$C$5,Disbursements!A1839&lt;=Pricing!$C$7),VLOOKUP(F1839,Pricing!$D$7:$E$8,2)*Disbursements!F1839,F1839*Pricing!$E$9))))</f>
        <v>0</v>
      </c>
      <c r="O1839" s="528">
        <f>IF(E1839="STL",0,IF($F1839&gt;0,$F1839*Pricing!$D$17,0))</f>
        <v>0</v>
      </c>
      <c r="P1839" s="530" t="str">
        <f t="shared" si="750"/>
        <v/>
      </c>
      <c r="Q1839" s="531" t="str">
        <f>IF($A1839="","",$G1839/VLOOKUP($I1839,Ref!$B$23:$D$29,2,0))</f>
        <v/>
      </c>
      <c r="R1839" s="530" t="str">
        <f t="shared" si="751"/>
        <v/>
      </c>
      <c r="S1839" s="532" t="str">
        <f t="shared" si="745"/>
        <v/>
      </c>
      <c r="T1839" s="531" t="str">
        <f t="shared" si="752"/>
        <v/>
      </c>
      <c r="U1839" s="533">
        <f t="shared" si="753"/>
        <v>0</v>
      </c>
      <c r="V1839" s="531" t="str">
        <f t="shared" si="754"/>
        <v/>
      </c>
      <c r="W1839" s="531" t="str">
        <f t="shared" si="755"/>
        <v/>
      </c>
      <c r="X1839" s="534" t="str">
        <f t="shared" si="756"/>
        <v/>
      </c>
      <c r="Y1839" s="535" t="str">
        <f>IF($A1839="","",IF($I1839="weekly",$A1839+7,EDATE($A1839,VLOOKUP($I1839,Ref!$B$24:$C$29,2,0))))</f>
        <v/>
      </c>
      <c r="Z1839" s="536" t="str">
        <f t="shared" si="757"/>
        <v/>
      </c>
      <c r="AA1839" s="531">
        <f t="shared" si="758"/>
        <v>0</v>
      </c>
      <c r="AB1839" s="535" t="str">
        <f t="shared" si="746"/>
        <v/>
      </c>
      <c r="AC1839" s="537" t="str">
        <f t="shared" si="747"/>
        <v/>
      </c>
      <c r="AD1839" s="538" t="str">
        <f t="shared" ca="1" si="748"/>
        <v/>
      </c>
      <c r="AE1839" s="537">
        <f t="shared" ca="1" si="749"/>
        <v>0</v>
      </c>
      <c r="AF1839" s="539" t="str">
        <f t="shared" ca="1" si="759"/>
        <v/>
      </c>
      <c r="AG1839" s="531" t="str">
        <f t="shared" ca="1" si="760"/>
        <v/>
      </c>
      <c r="AH1839" s="531" t="str">
        <f t="shared" ca="1" si="761"/>
        <v/>
      </c>
      <c r="AI1839" s="531" t="str">
        <f t="shared" ca="1" si="762"/>
        <v/>
      </c>
      <c r="AJ1839" s="531" t="str">
        <f t="shared" si="763"/>
        <v/>
      </c>
      <c r="AK1839" s="540">
        <f>SUMIFS('Live Collections'!$S:$S,'Live Collections'!$D:$D,Disbursements!B1839,'Live Collections'!$G:$G,Disbursements!C1839)</f>
        <v>0</v>
      </c>
      <c r="AL1839" s="540">
        <f>SUMIFS('Live Collections'!$T:$T,'Live Collections'!$D:$D,Disbursements!B1839,'Live Collections'!$G:$G,Disbursements!C1839)</f>
        <v>0</v>
      </c>
      <c r="AM1839" s="541">
        <f t="shared" si="764"/>
        <v>0</v>
      </c>
      <c r="AN1839" s="542" t="str">
        <f t="shared" si="765"/>
        <v/>
      </c>
      <c r="AO1839" s="542" t="str">
        <f t="shared" si="766"/>
        <v/>
      </c>
      <c r="AP1839" s="543" t="str">
        <f t="shared" si="767"/>
        <v/>
      </c>
      <c r="AQ1839" s="544" t="str">
        <f t="shared" si="768"/>
        <v/>
      </c>
      <c r="AR1839" s="545">
        <f t="shared" si="769"/>
        <v>0</v>
      </c>
      <c r="AS1839" s="545">
        <f>IFERROR(CEILING($AR1839*VLOOKUP($I1839,Ref!$B$23:$E$29,4,0),1),0)</f>
        <v>0</v>
      </c>
      <c r="AT1839" s="545" t="str">
        <f>IF(A1839="","",IF(AP1839&lt;=1,"Cleared",IF(AS1839=0,"Clean",VLOOKUP($AS1839,Ref!$G$23:$H$28,2))))</f>
        <v/>
      </c>
      <c r="AU1839" s="546" t="str">
        <f t="shared" si="770"/>
        <v/>
      </c>
    </row>
    <row r="1840" spans="1:47" ht="14.25" hidden="1" customHeight="1" x14ac:dyDescent="0.15">
      <c r="A1840" s="575"/>
      <c r="B1840" s="548"/>
      <c r="C1840" s="548"/>
      <c r="D1840" s="548"/>
      <c r="E1840" s="583"/>
      <c r="F1840" s="584"/>
      <c r="G1840" s="548"/>
      <c r="H1840" s="550"/>
      <c r="I1840" s="560"/>
      <c r="J1840" s="548"/>
      <c r="K1840" s="528" t="str">
        <f>IFERROR(VLOOKUP($B1840,'Clients-Live'!$A:$C,3,0),"")</f>
        <v/>
      </c>
      <c r="L1840" s="528">
        <f>IF(E1840="STL",Pricing!$D$38,IF(A1840="",0,IF(A1840&lt;Pricing!$C$25,Pricing!$D$25,VLOOKUP(Disbursements!$F1840,Pricing!$B$29:$D$32,3))))</f>
        <v>0</v>
      </c>
      <c r="M1840" s="528">
        <f>IF(E1840="STL",0,IF(F1840&gt;0,Pricing!$D$21,0))</f>
        <v>0</v>
      </c>
      <c r="N1840" s="529">
        <f>IF(E1840="STL",F1840*Pricing!$D$40,IF(A1840&lt;=Pricing!$C$4,0,IF(AND(A1840&gt;Pricing!$C$4,Disbursements!A1840&lt;=Pricing!$C$5),F1840*Pricing!$E$5,IF(AND(A1840&gt;Pricing!$C$5,Disbursements!A1840&lt;=Pricing!$C$7),VLOOKUP(F1840,Pricing!$D$7:$E$8,2)*Disbursements!F1840,F1840*Pricing!$E$9))))</f>
        <v>0</v>
      </c>
      <c r="O1840" s="528">
        <f>IF(E1840="STL",0,IF($F1840&gt;0,$F1840*Pricing!$D$17,0))</f>
        <v>0</v>
      </c>
      <c r="P1840" s="530" t="str">
        <f t="shared" si="750"/>
        <v/>
      </c>
      <c r="Q1840" s="531" t="str">
        <f>IF($A1840="","",$G1840/VLOOKUP($I1840,Ref!$B$23:$D$29,2,0))</f>
        <v/>
      </c>
      <c r="R1840" s="530" t="str">
        <f t="shared" si="751"/>
        <v/>
      </c>
      <c r="S1840" s="532" t="str">
        <f t="shared" si="745"/>
        <v/>
      </c>
      <c r="T1840" s="531" t="str">
        <f t="shared" si="752"/>
        <v/>
      </c>
      <c r="U1840" s="533">
        <f t="shared" si="753"/>
        <v>0</v>
      </c>
      <c r="V1840" s="531" t="str">
        <f t="shared" si="754"/>
        <v/>
      </c>
      <c r="W1840" s="531" t="str">
        <f t="shared" si="755"/>
        <v/>
      </c>
      <c r="X1840" s="534" t="str">
        <f t="shared" si="756"/>
        <v/>
      </c>
      <c r="Y1840" s="535" t="str">
        <f>IF($A1840="","",IF($I1840="weekly",$A1840+7,EDATE($A1840,VLOOKUP($I1840,Ref!$B$24:$C$29,2,0))))</f>
        <v/>
      </c>
      <c r="Z1840" s="536" t="str">
        <f t="shared" si="757"/>
        <v/>
      </c>
      <c r="AA1840" s="531">
        <f t="shared" si="758"/>
        <v>0</v>
      </c>
      <c r="AB1840" s="535" t="str">
        <f t="shared" si="746"/>
        <v/>
      </c>
      <c r="AC1840" s="537" t="str">
        <f t="shared" si="747"/>
        <v/>
      </c>
      <c r="AD1840" s="538" t="str">
        <f t="shared" ca="1" si="748"/>
        <v/>
      </c>
      <c r="AE1840" s="537">
        <f t="shared" ca="1" si="749"/>
        <v>0</v>
      </c>
      <c r="AF1840" s="539" t="str">
        <f t="shared" ca="1" si="759"/>
        <v/>
      </c>
      <c r="AG1840" s="531" t="str">
        <f t="shared" ca="1" si="760"/>
        <v/>
      </c>
      <c r="AH1840" s="531" t="str">
        <f t="shared" ca="1" si="761"/>
        <v/>
      </c>
      <c r="AI1840" s="531" t="str">
        <f t="shared" ca="1" si="762"/>
        <v/>
      </c>
      <c r="AJ1840" s="531" t="str">
        <f t="shared" si="763"/>
        <v/>
      </c>
      <c r="AK1840" s="540">
        <f>SUMIFS('Live Collections'!$S:$S,'Live Collections'!$D:$D,Disbursements!B1840,'Live Collections'!$G:$G,Disbursements!C1840)</f>
        <v>0</v>
      </c>
      <c r="AL1840" s="540">
        <f>SUMIFS('Live Collections'!$T:$T,'Live Collections'!$D:$D,Disbursements!B1840,'Live Collections'!$G:$G,Disbursements!C1840)</f>
        <v>0</v>
      </c>
      <c r="AM1840" s="541">
        <f t="shared" si="764"/>
        <v>0</v>
      </c>
      <c r="AN1840" s="542" t="str">
        <f t="shared" si="765"/>
        <v/>
      </c>
      <c r="AO1840" s="542" t="str">
        <f t="shared" si="766"/>
        <v/>
      </c>
      <c r="AP1840" s="543" t="str">
        <f t="shared" si="767"/>
        <v/>
      </c>
      <c r="AQ1840" s="544" t="str">
        <f t="shared" si="768"/>
        <v/>
      </c>
      <c r="AR1840" s="545">
        <f t="shared" si="769"/>
        <v>0</v>
      </c>
      <c r="AS1840" s="545">
        <f>IFERROR(CEILING($AR1840*VLOOKUP($I1840,Ref!$B$23:$E$29,4,0),1),0)</f>
        <v>0</v>
      </c>
      <c r="AT1840" s="545" t="str">
        <f>IF(A1840="","",IF(AP1840&lt;=1,"Cleared",IF(AS1840=0,"Clean",VLOOKUP($AS1840,Ref!$G$23:$H$28,2))))</f>
        <v/>
      </c>
      <c r="AU1840" s="546" t="str">
        <f t="shared" si="770"/>
        <v/>
      </c>
    </row>
    <row r="1841" spans="1:47" ht="14.25" hidden="1" customHeight="1" x14ac:dyDescent="0.15">
      <c r="A1841" s="575"/>
      <c r="B1841" s="548"/>
      <c r="C1841" s="548"/>
      <c r="D1841" s="548"/>
      <c r="E1841" s="583"/>
      <c r="F1841" s="584"/>
      <c r="G1841" s="548"/>
      <c r="H1841" s="550"/>
      <c r="I1841" s="560"/>
      <c r="J1841" s="548"/>
      <c r="K1841" s="528" t="str">
        <f>IFERROR(VLOOKUP($B1841,'Clients-Live'!$A:$C,3,0),"")</f>
        <v/>
      </c>
      <c r="L1841" s="528">
        <f>IF(E1841="STL",Pricing!$D$38,IF(A1841="",0,IF(A1841&lt;Pricing!$C$25,Pricing!$D$25,VLOOKUP(Disbursements!$F1841,Pricing!$B$29:$D$32,3))))</f>
        <v>0</v>
      </c>
      <c r="M1841" s="528">
        <f>IF(E1841="STL",0,IF(F1841&gt;0,Pricing!$D$21,0))</f>
        <v>0</v>
      </c>
      <c r="N1841" s="529">
        <f>IF(E1841="STL",F1841*Pricing!$D$40,IF(A1841&lt;=Pricing!$C$4,0,IF(AND(A1841&gt;Pricing!$C$4,Disbursements!A1841&lt;=Pricing!$C$5),F1841*Pricing!$E$5,IF(AND(A1841&gt;Pricing!$C$5,Disbursements!A1841&lt;=Pricing!$C$7),VLOOKUP(F1841,Pricing!$D$7:$E$8,2)*Disbursements!F1841,F1841*Pricing!$E$9))))</f>
        <v>0</v>
      </c>
      <c r="O1841" s="528">
        <f>IF(E1841="STL",0,IF($F1841&gt;0,$F1841*Pricing!$D$17,0))</f>
        <v>0</v>
      </c>
      <c r="P1841" s="530" t="str">
        <f t="shared" si="750"/>
        <v/>
      </c>
      <c r="Q1841" s="531" t="str">
        <f>IF($A1841="","",$G1841/VLOOKUP($I1841,Ref!$B$23:$D$29,2,0))</f>
        <v/>
      </c>
      <c r="R1841" s="530" t="str">
        <f t="shared" si="751"/>
        <v/>
      </c>
      <c r="S1841" s="532" t="str">
        <f t="shared" si="745"/>
        <v/>
      </c>
      <c r="T1841" s="531" t="str">
        <f t="shared" si="752"/>
        <v/>
      </c>
      <c r="U1841" s="533">
        <f t="shared" si="753"/>
        <v>0</v>
      </c>
      <c r="V1841" s="531" t="str">
        <f t="shared" si="754"/>
        <v/>
      </c>
      <c r="W1841" s="531" t="str">
        <f t="shared" si="755"/>
        <v/>
      </c>
      <c r="X1841" s="534" t="str">
        <f t="shared" si="756"/>
        <v/>
      </c>
      <c r="Y1841" s="535" t="str">
        <f>IF($A1841="","",IF($I1841="weekly",$A1841+7,EDATE($A1841,VLOOKUP($I1841,Ref!$B$24:$C$29,2,0))))</f>
        <v/>
      </c>
      <c r="Z1841" s="536" t="str">
        <f t="shared" si="757"/>
        <v/>
      </c>
      <c r="AA1841" s="531">
        <f t="shared" si="758"/>
        <v>0</v>
      </c>
      <c r="AB1841" s="535" t="str">
        <f t="shared" si="746"/>
        <v/>
      </c>
      <c r="AC1841" s="537" t="str">
        <f t="shared" si="747"/>
        <v/>
      </c>
      <c r="AD1841" s="538" t="str">
        <f t="shared" ca="1" si="748"/>
        <v/>
      </c>
      <c r="AE1841" s="537">
        <f t="shared" ca="1" si="749"/>
        <v>0</v>
      </c>
      <c r="AF1841" s="539" t="str">
        <f t="shared" ca="1" si="759"/>
        <v/>
      </c>
      <c r="AG1841" s="531" t="str">
        <f t="shared" ca="1" si="760"/>
        <v/>
      </c>
      <c r="AH1841" s="531" t="str">
        <f t="shared" ca="1" si="761"/>
        <v/>
      </c>
      <c r="AI1841" s="531" t="str">
        <f t="shared" ca="1" si="762"/>
        <v/>
      </c>
      <c r="AJ1841" s="531" t="str">
        <f t="shared" si="763"/>
        <v/>
      </c>
      <c r="AK1841" s="540">
        <f>SUMIFS('Live Collections'!$S:$S,'Live Collections'!$D:$D,Disbursements!B1841,'Live Collections'!$G:$G,Disbursements!C1841)</f>
        <v>0</v>
      </c>
      <c r="AL1841" s="540">
        <f>SUMIFS('Live Collections'!$T:$T,'Live Collections'!$D:$D,Disbursements!B1841,'Live Collections'!$G:$G,Disbursements!C1841)</f>
        <v>0</v>
      </c>
      <c r="AM1841" s="541">
        <f t="shared" si="764"/>
        <v>0</v>
      </c>
      <c r="AN1841" s="542" t="str">
        <f t="shared" si="765"/>
        <v/>
      </c>
      <c r="AO1841" s="542" t="str">
        <f t="shared" si="766"/>
        <v/>
      </c>
      <c r="AP1841" s="543" t="str">
        <f t="shared" si="767"/>
        <v/>
      </c>
      <c r="AQ1841" s="544" t="str">
        <f t="shared" si="768"/>
        <v/>
      </c>
      <c r="AR1841" s="545">
        <f t="shared" si="769"/>
        <v>0</v>
      </c>
      <c r="AS1841" s="545">
        <f>IFERROR(CEILING($AR1841*VLOOKUP($I1841,Ref!$B$23:$E$29,4,0),1),0)</f>
        <v>0</v>
      </c>
      <c r="AT1841" s="545" t="str">
        <f>IF(A1841="","",IF(AP1841&lt;=1,"Cleared",IF(AS1841=0,"Clean",VLOOKUP($AS1841,Ref!$G$23:$H$28,2))))</f>
        <v/>
      </c>
      <c r="AU1841" s="546" t="str">
        <f t="shared" si="770"/>
        <v/>
      </c>
    </row>
    <row r="1842" spans="1:47" ht="14.25" hidden="1" customHeight="1" x14ac:dyDescent="0.15">
      <c r="A1842" s="575"/>
      <c r="B1842" s="548"/>
      <c r="C1842" s="548"/>
      <c r="D1842" s="548"/>
      <c r="E1842" s="583"/>
      <c r="F1842" s="584"/>
      <c r="G1842" s="548"/>
      <c r="H1842" s="550"/>
      <c r="I1842" s="560"/>
      <c r="J1842" s="548"/>
      <c r="K1842" s="528" t="str">
        <f>IFERROR(VLOOKUP($B1842,'Clients-Live'!$A:$C,3,0),"")</f>
        <v/>
      </c>
      <c r="L1842" s="528">
        <f>IF(E1842="STL",Pricing!$D$38,IF(A1842="",0,IF(A1842&lt;Pricing!$C$25,Pricing!$D$25,VLOOKUP(Disbursements!$F1842,Pricing!$B$29:$D$32,3))))</f>
        <v>0</v>
      </c>
      <c r="M1842" s="528">
        <f>IF(E1842="STL",0,IF(F1842&gt;0,Pricing!$D$21,0))</f>
        <v>0</v>
      </c>
      <c r="N1842" s="529">
        <f>IF(E1842="STL",F1842*Pricing!$D$40,IF(A1842&lt;=Pricing!$C$4,0,IF(AND(A1842&gt;Pricing!$C$4,Disbursements!A1842&lt;=Pricing!$C$5),F1842*Pricing!$E$5,IF(AND(A1842&gt;Pricing!$C$5,Disbursements!A1842&lt;=Pricing!$C$7),VLOOKUP(F1842,Pricing!$D$7:$E$8,2)*Disbursements!F1842,F1842*Pricing!$E$9))))</f>
        <v>0</v>
      </c>
      <c r="O1842" s="528">
        <f>IF(E1842="STL",0,IF($F1842&gt;0,$F1842*Pricing!$D$17,0))</f>
        <v>0</v>
      </c>
      <c r="P1842" s="530" t="str">
        <f t="shared" si="750"/>
        <v/>
      </c>
      <c r="Q1842" s="531" t="str">
        <f>IF($A1842="","",$G1842/VLOOKUP($I1842,Ref!$B$23:$D$29,2,0))</f>
        <v/>
      </c>
      <c r="R1842" s="530" t="str">
        <f t="shared" si="751"/>
        <v/>
      </c>
      <c r="S1842" s="532" t="str">
        <f t="shared" si="745"/>
        <v/>
      </c>
      <c r="T1842" s="531" t="str">
        <f t="shared" si="752"/>
        <v/>
      </c>
      <c r="U1842" s="533">
        <f t="shared" si="753"/>
        <v>0</v>
      </c>
      <c r="V1842" s="531" t="str">
        <f t="shared" si="754"/>
        <v/>
      </c>
      <c r="W1842" s="531" t="str">
        <f t="shared" si="755"/>
        <v/>
      </c>
      <c r="X1842" s="534" t="str">
        <f t="shared" si="756"/>
        <v/>
      </c>
      <c r="Y1842" s="535" t="str">
        <f>IF($A1842="","",IF($I1842="weekly",$A1842+7,EDATE($A1842,VLOOKUP($I1842,Ref!$B$24:$C$29,2,0))))</f>
        <v/>
      </c>
      <c r="Z1842" s="536" t="str">
        <f t="shared" si="757"/>
        <v/>
      </c>
      <c r="AA1842" s="531">
        <f t="shared" si="758"/>
        <v>0</v>
      </c>
      <c r="AB1842" s="535" t="str">
        <f t="shared" si="746"/>
        <v/>
      </c>
      <c r="AC1842" s="537" t="str">
        <f t="shared" si="747"/>
        <v/>
      </c>
      <c r="AD1842" s="538" t="str">
        <f t="shared" ca="1" si="748"/>
        <v/>
      </c>
      <c r="AE1842" s="537">
        <f t="shared" ca="1" si="749"/>
        <v>0</v>
      </c>
      <c r="AF1842" s="539" t="str">
        <f t="shared" ca="1" si="759"/>
        <v/>
      </c>
      <c r="AG1842" s="531" t="str">
        <f t="shared" ca="1" si="760"/>
        <v/>
      </c>
      <c r="AH1842" s="531" t="str">
        <f t="shared" ca="1" si="761"/>
        <v/>
      </c>
      <c r="AI1842" s="531" t="str">
        <f t="shared" ca="1" si="762"/>
        <v/>
      </c>
      <c r="AJ1842" s="531" t="str">
        <f t="shared" si="763"/>
        <v/>
      </c>
      <c r="AK1842" s="540">
        <f>SUMIFS('Live Collections'!$S:$S,'Live Collections'!$D:$D,Disbursements!B1842,'Live Collections'!$G:$G,Disbursements!C1842)</f>
        <v>0</v>
      </c>
      <c r="AL1842" s="540">
        <f>SUMIFS('Live Collections'!$T:$T,'Live Collections'!$D:$D,Disbursements!B1842,'Live Collections'!$G:$G,Disbursements!C1842)</f>
        <v>0</v>
      </c>
      <c r="AM1842" s="541">
        <f t="shared" si="764"/>
        <v>0</v>
      </c>
      <c r="AN1842" s="542" t="str">
        <f t="shared" si="765"/>
        <v/>
      </c>
      <c r="AO1842" s="542" t="str">
        <f t="shared" si="766"/>
        <v/>
      </c>
      <c r="AP1842" s="543" t="str">
        <f t="shared" si="767"/>
        <v/>
      </c>
      <c r="AQ1842" s="544" t="str">
        <f t="shared" si="768"/>
        <v/>
      </c>
      <c r="AR1842" s="545">
        <f t="shared" si="769"/>
        <v>0</v>
      </c>
      <c r="AS1842" s="545">
        <f>IFERROR(CEILING($AR1842*VLOOKUP($I1842,Ref!$B$23:$E$29,4,0),1),0)</f>
        <v>0</v>
      </c>
      <c r="AT1842" s="545" t="str">
        <f>IF(A1842="","",IF(AP1842&lt;=1,"Cleared",IF(AS1842=0,"Clean",VLOOKUP($AS1842,Ref!$G$23:$H$28,2))))</f>
        <v/>
      </c>
      <c r="AU1842" s="546" t="str">
        <f t="shared" si="770"/>
        <v/>
      </c>
    </row>
    <row r="1843" spans="1:47" ht="14.25" hidden="1" customHeight="1" x14ac:dyDescent="0.15">
      <c r="A1843" s="575"/>
      <c r="B1843" s="548"/>
      <c r="C1843" s="548"/>
      <c r="D1843" s="548"/>
      <c r="E1843" s="583"/>
      <c r="F1843" s="584"/>
      <c r="G1843" s="548"/>
      <c r="H1843" s="550"/>
      <c r="I1843" s="560"/>
      <c r="J1843" s="548"/>
      <c r="K1843" s="528" t="str">
        <f>IFERROR(VLOOKUP($B1843,'Clients-Live'!$A:$C,3,0),"")</f>
        <v/>
      </c>
      <c r="L1843" s="528">
        <f>IF(E1843="STL",Pricing!$D$38,IF(A1843="",0,IF(A1843&lt;Pricing!$C$25,Pricing!$D$25,VLOOKUP(Disbursements!$F1843,Pricing!$B$29:$D$32,3))))</f>
        <v>0</v>
      </c>
      <c r="M1843" s="528">
        <f>IF(E1843="STL",0,IF(F1843&gt;0,Pricing!$D$21,0))</f>
        <v>0</v>
      </c>
      <c r="N1843" s="529">
        <f>IF(E1843="STL",F1843*Pricing!$D$40,IF(A1843&lt;=Pricing!$C$4,0,IF(AND(A1843&gt;Pricing!$C$4,Disbursements!A1843&lt;=Pricing!$C$5),F1843*Pricing!$E$5,IF(AND(A1843&gt;Pricing!$C$5,Disbursements!A1843&lt;=Pricing!$C$7),VLOOKUP(F1843,Pricing!$D$7:$E$8,2)*Disbursements!F1843,F1843*Pricing!$E$9))))</f>
        <v>0</v>
      </c>
      <c r="O1843" s="528">
        <f>IF(E1843="STL",0,IF($F1843&gt;0,$F1843*Pricing!$D$17,0))</f>
        <v>0</v>
      </c>
      <c r="P1843" s="530" t="str">
        <f t="shared" si="750"/>
        <v/>
      </c>
      <c r="Q1843" s="531" t="str">
        <f>IF($A1843="","",$G1843/VLOOKUP($I1843,Ref!$B$23:$D$29,2,0))</f>
        <v/>
      </c>
      <c r="R1843" s="530" t="str">
        <f t="shared" si="751"/>
        <v/>
      </c>
      <c r="S1843" s="532" t="str">
        <f t="shared" si="745"/>
        <v/>
      </c>
      <c r="T1843" s="531" t="str">
        <f t="shared" si="752"/>
        <v/>
      </c>
      <c r="U1843" s="533">
        <f t="shared" si="753"/>
        <v>0</v>
      </c>
      <c r="V1843" s="531" t="str">
        <f t="shared" si="754"/>
        <v/>
      </c>
      <c r="W1843" s="531" t="str">
        <f t="shared" si="755"/>
        <v/>
      </c>
      <c r="X1843" s="534" t="str">
        <f t="shared" si="756"/>
        <v/>
      </c>
      <c r="Y1843" s="535" t="str">
        <f>IF($A1843="","",IF($I1843="weekly",$A1843+7,EDATE($A1843,VLOOKUP($I1843,Ref!$B$24:$C$29,2,0))))</f>
        <v/>
      </c>
      <c r="Z1843" s="536" t="str">
        <f t="shared" si="757"/>
        <v/>
      </c>
      <c r="AA1843" s="531">
        <f t="shared" si="758"/>
        <v>0</v>
      </c>
      <c r="AB1843" s="535" t="str">
        <f t="shared" si="746"/>
        <v/>
      </c>
      <c r="AC1843" s="537" t="str">
        <f t="shared" si="747"/>
        <v/>
      </c>
      <c r="AD1843" s="538" t="str">
        <f t="shared" ca="1" si="748"/>
        <v/>
      </c>
      <c r="AE1843" s="537">
        <f t="shared" ca="1" si="749"/>
        <v>0</v>
      </c>
      <c r="AF1843" s="539" t="str">
        <f t="shared" ca="1" si="759"/>
        <v/>
      </c>
      <c r="AG1843" s="531" t="str">
        <f t="shared" ca="1" si="760"/>
        <v/>
      </c>
      <c r="AH1843" s="531" t="str">
        <f t="shared" ca="1" si="761"/>
        <v/>
      </c>
      <c r="AI1843" s="531" t="str">
        <f t="shared" ca="1" si="762"/>
        <v/>
      </c>
      <c r="AJ1843" s="531" t="str">
        <f t="shared" si="763"/>
        <v/>
      </c>
      <c r="AK1843" s="540">
        <f>SUMIFS('Live Collections'!$S:$S,'Live Collections'!$D:$D,Disbursements!B1843,'Live Collections'!$G:$G,Disbursements!C1843)</f>
        <v>0</v>
      </c>
      <c r="AL1843" s="540">
        <f>SUMIFS('Live Collections'!$T:$T,'Live Collections'!$D:$D,Disbursements!B1843,'Live Collections'!$G:$G,Disbursements!C1843)</f>
        <v>0</v>
      </c>
      <c r="AM1843" s="541">
        <f t="shared" si="764"/>
        <v>0</v>
      </c>
      <c r="AN1843" s="542" t="str">
        <f t="shared" si="765"/>
        <v/>
      </c>
      <c r="AO1843" s="542" t="str">
        <f t="shared" si="766"/>
        <v/>
      </c>
      <c r="AP1843" s="543" t="str">
        <f t="shared" si="767"/>
        <v/>
      </c>
      <c r="AQ1843" s="544" t="str">
        <f t="shared" si="768"/>
        <v/>
      </c>
      <c r="AR1843" s="545">
        <f t="shared" si="769"/>
        <v>0</v>
      </c>
      <c r="AS1843" s="545">
        <f>IFERROR(CEILING($AR1843*VLOOKUP($I1843,Ref!$B$23:$E$29,4,0),1),0)</f>
        <v>0</v>
      </c>
      <c r="AT1843" s="545" t="str">
        <f>IF(A1843="","",IF(AP1843&lt;=1,"Cleared",IF(AS1843=0,"Clean",VLOOKUP($AS1843,Ref!$G$23:$H$28,2))))</f>
        <v/>
      </c>
      <c r="AU1843" s="546" t="str">
        <f t="shared" si="770"/>
        <v/>
      </c>
    </row>
    <row r="1844" spans="1:47" ht="14.25" hidden="1" customHeight="1" x14ac:dyDescent="0.15">
      <c r="A1844" s="575"/>
      <c r="B1844" s="548"/>
      <c r="C1844" s="548"/>
      <c r="D1844" s="548"/>
      <c r="E1844" s="583"/>
      <c r="F1844" s="584"/>
      <c r="G1844" s="548"/>
      <c r="H1844" s="550"/>
      <c r="I1844" s="560"/>
      <c r="J1844" s="548"/>
      <c r="K1844" s="528" t="str">
        <f>IFERROR(VLOOKUP($B1844,'Clients-Live'!$A:$C,3,0),"")</f>
        <v/>
      </c>
      <c r="L1844" s="528">
        <f>IF(E1844="STL",Pricing!$D$38,IF(A1844="",0,IF(A1844&lt;Pricing!$C$25,Pricing!$D$25,VLOOKUP(Disbursements!$F1844,Pricing!$B$29:$D$32,3))))</f>
        <v>0</v>
      </c>
      <c r="M1844" s="528">
        <f>IF(E1844="STL",0,IF(F1844&gt;0,Pricing!$D$21,0))</f>
        <v>0</v>
      </c>
      <c r="N1844" s="529">
        <f>IF(E1844="STL",F1844*Pricing!$D$40,IF(A1844&lt;=Pricing!$C$4,0,IF(AND(A1844&gt;Pricing!$C$4,Disbursements!A1844&lt;=Pricing!$C$5),F1844*Pricing!$E$5,IF(AND(A1844&gt;Pricing!$C$5,Disbursements!A1844&lt;=Pricing!$C$7),VLOOKUP(F1844,Pricing!$D$7:$E$8,2)*Disbursements!F1844,F1844*Pricing!$E$9))))</f>
        <v>0</v>
      </c>
      <c r="O1844" s="528">
        <f>IF(E1844="STL",0,IF($F1844&gt;0,$F1844*Pricing!$D$17,0))</f>
        <v>0</v>
      </c>
      <c r="P1844" s="530" t="str">
        <f t="shared" si="750"/>
        <v/>
      </c>
      <c r="Q1844" s="531" t="str">
        <f>IF($A1844="","",$G1844/VLOOKUP($I1844,Ref!$B$23:$D$29,2,0))</f>
        <v/>
      </c>
      <c r="R1844" s="530" t="str">
        <f t="shared" si="751"/>
        <v/>
      </c>
      <c r="S1844" s="532" t="str">
        <f t="shared" si="745"/>
        <v/>
      </c>
      <c r="T1844" s="531" t="str">
        <f t="shared" si="752"/>
        <v/>
      </c>
      <c r="U1844" s="533">
        <f t="shared" si="753"/>
        <v>0</v>
      </c>
      <c r="V1844" s="531" t="str">
        <f t="shared" si="754"/>
        <v/>
      </c>
      <c r="W1844" s="531" t="str">
        <f t="shared" si="755"/>
        <v/>
      </c>
      <c r="X1844" s="534" t="str">
        <f t="shared" si="756"/>
        <v/>
      </c>
      <c r="Y1844" s="535" t="str">
        <f>IF($A1844="","",IF($I1844="weekly",$A1844+7,EDATE($A1844,VLOOKUP($I1844,Ref!$B$24:$C$29,2,0))))</f>
        <v/>
      </c>
      <c r="Z1844" s="536" t="str">
        <f t="shared" si="757"/>
        <v/>
      </c>
      <c r="AA1844" s="531">
        <f t="shared" si="758"/>
        <v>0</v>
      </c>
      <c r="AB1844" s="535" t="str">
        <f t="shared" si="746"/>
        <v/>
      </c>
      <c r="AC1844" s="537" t="str">
        <f t="shared" si="747"/>
        <v/>
      </c>
      <c r="AD1844" s="538" t="str">
        <f t="shared" ca="1" si="748"/>
        <v/>
      </c>
      <c r="AE1844" s="537">
        <f t="shared" ca="1" si="749"/>
        <v>0</v>
      </c>
      <c r="AF1844" s="539" t="str">
        <f t="shared" ca="1" si="759"/>
        <v/>
      </c>
      <c r="AG1844" s="531" t="str">
        <f t="shared" ca="1" si="760"/>
        <v/>
      </c>
      <c r="AH1844" s="531" t="str">
        <f t="shared" ca="1" si="761"/>
        <v/>
      </c>
      <c r="AI1844" s="531" t="str">
        <f t="shared" ca="1" si="762"/>
        <v/>
      </c>
      <c r="AJ1844" s="531" t="str">
        <f t="shared" si="763"/>
        <v/>
      </c>
      <c r="AK1844" s="540">
        <f>SUMIFS('Live Collections'!$S:$S,'Live Collections'!$D:$D,Disbursements!B1844,'Live Collections'!$G:$G,Disbursements!C1844)</f>
        <v>0</v>
      </c>
      <c r="AL1844" s="540">
        <f>SUMIFS('Live Collections'!$T:$T,'Live Collections'!$D:$D,Disbursements!B1844,'Live Collections'!$G:$G,Disbursements!C1844)</f>
        <v>0</v>
      </c>
      <c r="AM1844" s="541">
        <f t="shared" si="764"/>
        <v>0</v>
      </c>
      <c r="AN1844" s="542" t="str">
        <f t="shared" si="765"/>
        <v/>
      </c>
      <c r="AO1844" s="542" t="str">
        <f t="shared" si="766"/>
        <v/>
      </c>
      <c r="AP1844" s="543" t="str">
        <f t="shared" si="767"/>
        <v/>
      </c>
      <c r="AQ1844" s="544" t="str">
        <f t="shared" si="768"/>
        <v/>
      </c>
      <c r="AR1844" s="545">
        <f t="shared" si="769"/>
        <v>0</v>
      </c>
      <c r="AS1844" s="545">
        <f>IFERROR(CEILING($AR1844*VLOOKUP($I1844,Ref!$B$23:$E$29,4,0),1),0)</f>
        <v>0</v>
      </c>
      <c r="AT1844" s="545" t="str">
        <f>IF(A1844="","",IF(AP1844&lt;=1,"Cleared",IF(AS1844=0,"Clean",VLOOKUP($AS1844,Ref!$G$23:$H$28,2))))</f>
        <v/>
      </c>
      <c r="AU1844" s="546" t="str">
        <f t="shared" si="770"/>
        <v/>
      </c>
    </row>
    <row r="1845" spans="1:47" ht="14.25" hidden="1" customHeight="1" x14ac:dyDescent="0.15">
      <c r="A1845" s="575"/>
      <c r="B1845" s="548"/>
      <c r="C1845" s="548"/>
      <c r="D1845" s="548"/>
      <c r="E1845" s="583"/>
      <c r="F1845" s="584"/>
      <c r="G1845" s="548"/>
      <c r="H1845" s="550"/>
      <c r="I1845" s="560"/>
      <c r="J1845" s="548"/>
      <c r="K1845" s="528" t="str">
        <f>IFERROR(VLOOKUP($B1845,'Clients-Live'!$A:$C,3,0),"")</f>
        <v/>
      </c>
      <c r="L1845" s="528">
        <f>IF(E1845="STL",Pricing!$D$38,IF(A1845="",0,IF(A1845&lt;Pricing!$C$25,Pricing!$D$25,VLOOKUP(Disbursements!$F1845,Pricing!$B$29:$D$32,3))))</f>
        <v>0</v>
      </c>
      <c r="M1845" s="528">
        <f>IF(E1845="STL",0,IF(F1845&gt;0,Pricing!$D$21,0))</f>
        <v>0</v>
      </c>
      <c r="N1845" s="529">
        <f>IF(E1845="STL",F1845*Pricing!$D$40,IF(A1845&lt;=Pricing!$C$4,0,IF(AND(A1845&gt;Pricing!$C$4,Disbursements!A1845&lt;=Pricing!$C$5),F1845*Pricing!$E$5,IF(AND(A1845&gt;Pricing!$C$5,Disbursements!A1845&lt;=Pricing!$C$7),VLOOKUP(F1845,Pricing!$D$7:$E$8,2)*Disbursements!F1845,F1845*Pricing!$E$9))))</f>
        <v>0</v>
      </c>
      <c r="O1845" s="528">
        <f>IF(E1845="STL",0,IF($F1845&gt;0,$F1845*Pricing!$D$17,0))</f>
        <v>0</v>
      </c>
      <c r="P1845" s="530" t="str">
        <f t="shared" si="750"/>
        <v/>
      </c>
      <c r="Q1845" s="531" t="str">
        <f>IF($A1845="","",$G1845/VLOOKUP($I1845,Ref!$B$23:$D$29,2,0))</f>
        <v/>
      </c>
      <c r="R1845" s="530" t="str">
        <f t="shared" si="751"/>
        <v/>
      </c>
      <c r="S1845" s="532" t="str">
        <f t="shared" si="745"/>
        <v/>
      </c>
      <c r="T1845" s="531" t="str">
        <f t="shared" si="752"/>
        <v/>
      </c>
      <c r="U1845" s="533">
        <f t="shared" si="753"/>
        <v>0</v>
      </c>
      <c r="V1845" s="531" t="str">
        <f t="shared" si="754"/>
        <v/>
      </c>
      <c r="W1845" s="531" t="str">
        <f t="shared" si="755"/>
        <v/>
      </c>
      <c r="X1845" s="534" t="str">
        <f t="shared" si="756"/>
        <v/>
      </c>
      <c r="Y1845" s="535" t="str">
        <f>IF($A1845="","",IF($I1845="weekly",$A1845+7,EDATE($A1845,VLOOKUP($I1845,Ref!$B$24:$C$29,2,0))))</f>
        <v/>
      </c>
      <c r="Z1845" s="536" t="str">
        <f t="shared" si="757"/>
        <v/>
      </c>
      <c r="AA1845" s="531">
        <f t="shared" si="758"/>
        <v>0</v>
      </c>
      <c r="AB1845" s="535" t="str">
        <f t="shared" si="746"/>
        <v/>
      </c>
      <c r="AC1845" s="537" t="str">
        <f t="shared" si="747"/>
        <v/>
      </c>
      <c r="AD1845" s="538" t="str">
        <f t="shared" ca="1" si="748"/>
        <v/>
      </c>
      <c r="AE1845" s="537">
        <f t="shared" ca="1" si="749"/>
        <v>0</v>
      </c>
      <c r="AF1845" s="539" t="str">
        <f t="shared" ca="1" si="759"/>
        <v/>
      </c>
      <c r="AG1845" s="531" t="str">
        <f t="shared" ca="1" si="760"/>
        <v/>
      </c>
      <c r="AH1845" s="531" t="str">
        <f t="shared" ca="1" si="761"/>
        <v/>
      </c>
      <c r="AI1845" s="531" t="str">
        <f t="shared" ca="1" si="762"/>
        <v/>
      </c>
      <c r="AJ1845" s="531" t="str">
        <f t="shared" si="763"/>
        <v/>
      </c>
      <c r="AK1845" s="540">
        <f>SUMIFS('Live Collections'!$S:$S,'Live Collections'!$D:$D,Disbursements!B1845,'Live Collections'!$G:$G,Disbursements!C1845)</f>
        <v>0</v>
      </c>
      <c r="AL1845" s="540">
        <f>SUMIFS('Live Collections'!$T:$T,'Live Collections'!$D:$D,Disbursements!B1845,'Live Collections'!$G:$G,Disbursements!C1845)</f>
        <v>0</v>
      </c>
      <c r="AM1845" s="541">
        <f t="shared" si="764"/>
        <v>0</v>
      </c>
      <c r="AN1845" s="542" t="str">
        <f t="shared" si="765"/>
        <v/>
      </c>
      <c r="AO1845" s="542" t="str">
        <f t="shared" si="766"/>
        <v/>
      </c>
      <c r="AP1845" s="543" t="str">
        <f t="shared" si="767"/>
        <v/>
      </c>
      <c r="AQ1845" s="544" t="str">
        <f t="shared" si="768"/>
        <v/>
      </c>
      <c r="AR1845" s="545">
        <f t="shared" si="769"/>
        <v>0</v>
      </c>
      <c r="AS1845" s="545">
        <f>IFERROR(CEILING($AR1845*VLOOKUP($I1845,Ref!$B$23:$E$29,4,0),1),0)</f>
        <v>0</v>
      </c>
      <c r="AT1845" s="545" t="str">
        <f>IF(A1845="","",IF(AP1845&lt;=1,"Cleared",IF(AS1845=0,"Clean",VLOOKUP($AS1845,Ref!$G$23:$H$28,2))))</f>
        <v/>
      </c>
      <c r="AU1845" s="546" t="str">
        <f t="shared" si="770"/>
        <v/>
      </c>
    </row>
    <row r="1846" spans="1:47" ht="14.25" hidden="1" customHeight="1" x14ac:dyDescent="0.15">
      <c r="A1846" s="575"/>
      <c r="B1846" s="548"/>
      <c r="C1846" s="548"/>
      <c r="D1846" s="548"/>
      <c r="E1846" s="583"/>
      <c r="F1846" s="584"/>
      <c r="G1846" s="548"/>
      <c r="H1846" s="550"/>
      <c r="I1846" s="560"/>
      <c r="J1846" s="548"/>
      <c r="K1846" s="528" t="str">
        <f>IFERROR(VLOOKUP($B1846,'Clients-Live'!$A:$C,3,0),"")</f>
        <v/>
      </c>
      <c r="L1846" s="528">
        <f>IF(E1846="STL",Pricing!$D$38,IF(A1846="",0,IF(A1846&lt;Pricing!$C$25,Pricing!$D$25,VLOOKUP(Disbursements!$F1846,Pricing!$B$29:$D$32,3))))</f>
        <v>0</v>
      </c>
      <c r="M1846" s="528">
        <f>IF(E1846="STL",0,IF(F1846&gt;0,Pricing!$D$21,0))</f>
        <v>0</v>
      </c>
      <c r="N1846" s="529">
        <f>IF(E1846="STL",F1846*Pricing!$D$40,IF(A1846&lt;=Pricing!$C$4,0,IF(AND(A1846&gt;Pricing!$C$4,Disbursements!A1846&lt;=Pricing!$C$5),F1846*Pricing!$E$5,IF(AND(A1846&gt;Pricing!$C$5,Disbursements!A1846&lt;=Pricing!$C$7),VLOOKUP(F1846,Pricing!$D$7:$E$8,2)*Disbursements!F1846,F1846*Pricing!$E$9))))</f>
        <v>0</v>
      </c>
      <c r="O1846" s="528">
        <f>IF(E1846="STL",0,IF($F1846&gt;0,$F1846*Pricing!$D$17,0))</f>
        <v>0</v>
      </c>
      <c r="P1846" s="530" t="str">
        <f t="shared" si="750"/>
        <v/>
      </c>
      <c r="Q1846" s="531" t="str">
        <f>IF($A1846="","",$G1846/VLOOKUP($I1846,Ref!$B$23:$D$29,2,0))</f>
        <v/>
      </c>
      <c r="R1846" s="530" t="str">
        <f t="shared" si="751"/>
        <v/>
      </c>
      <c r="S1846" s="532" t="str">
        <f t="shared" si="745"/>
        <v/>
      </c>
      <c r="T1846" s="531" t="str">
        <f t="shared" si="752"/>
        <v/>
      </c>
      <c r="U1846" s="533">
        <f t="shared" si="753"/>
        <v>0</v>
      </c>
      <c r="V1846" s="531" t="str">
        <f t="shared" si="754"/>
        <v/>
      </c>
      <c r="W1846" s="531" t="str">
        <f t="shared" si="755"/>
        <v/>
      </c>
      <c r="X1846" s="534" t="str">
        <f t="shared" si="756"/>
        <v/>
      </c>
      <c r="Y1846" s="535" t="str">
        <f>IF($A1846="","",IF($I1846="weekly",$A1846+7,EDATE($A1846,VLOOKUP($I1846,Ref!$B$24:$C$29,2,0))))</f>
        <v/>
      </c>
      <c r="Z1846" s="536" t="str">
        <f t="shared" si="757"/>
        <v/>
      </c>
      <c r="AA1846" s="531">
        <f t="shared" si="758"/>
        <v>0</v>
      </c>
      <c r="AB1846" s="535" t="str">
        <f t="shared" si="746"/>
        <v/>
      </c>
      <c r="AC1846" s="537" t="str">
        <f t="shared" si="747"/>
        <v/>
      </c>
      <c r="AD1846" s="538" t="str">
        <f t="shared" ca="1" si="748"/>
        <v/>
      </c>
      <c r="AE1846" s="537">
        <f t="shared" ca="1" si="749"/>
        <v>0</v>
      </c>
      <c r="AF1846" s="539" t="str">
        <f t="shared" ca="1" si="759"/>
        <v/>
      </c>
      <c r="AG1846" s="531" t="str">
        <f t="shared" ca="1" si="760"/>
        <v/>
      </c>
      <c r="AH1846" s="531" t="str">
        <f t="shared" ca="1" si="761"/>
        <v/>
      </c>
      <c r="AI1846" s="531" t="str">
        <f t="shared" ca="1" si="762"/>
        <v/>
      </c>
      <c r="AJ1846" s="531" t="str">
        <f t="shared" si="763"/>
        <v/>
      </c>
      <c r="AK1846" s="540">
        <f>SUMIFS('Live Collections'!$S:$S,'Live Collections'!$D:$D,Disbursements!B1846,'Live Collections'!$G:$G,Disbursements!C1846)</f>
        <v>0</v>
      </c>
      <c r="AL1846" s="540">
        <f>SUMIFS('Live Collections'!$T:$T,'Live Collections'!$D:$D,Disbursements!B1846,'Live Collections'!$G:$G,Disbursements!C1846)</f>
        <v>0</v>
      </c>
      <c r="AM1846" s="541">
        <f t="shared" si="764"/>
        <v>0</v>
      </c>
      <c r="AN1846" s="542" t="str">
        <f t="shared" si="765"/>
        <v/>
      </c>
      <c r="AO1846" s="542" t="str">
        <f t="shared" si="766"/>
        <v/>
      </c>
      <c r="AP1846" s="543" t="str">
        <f t="shared" si="767"/>
        <v/>
      </c>
      <c r="AQ1846" s="544" t="str">
        <f t="shared" si="768"/>
        <v/>
      </c>
      <c r="AR1846" s="545">
        <f t="shared" si="769"/>
        <v>0</v>
      </c>
      <c r="AS1846" s="545">
        <f>IFERROR(CEILING($AR1846*VLOOKUP($I1846,Ref!$B$23:$E$29,4,0),1),0)</f>
        <v>0</v>
      </c>
      <c r="AT1846" s="545" t="str">
        <f>IF(A1846="","",IF(AP1846&lt;=1,"Cleared",IF(AS1846=0,"Clean",VLOOKUP($AS1846,Ref!$G$23:$H$28,2))))</f>
        <v/>
      </c>
      <c r="AU1846" s="546" t="str">
        <f t="shared" si="770"/>
        <v/>
      </c>
    </row>
    <row r="1847" spans="1:47" ht="14.25" hidden="1" customHeight="1" x14ac:dyDescent="0.15">
      <c r="A1847" s="575"/>
      <c r="B1847" s="548"/>
      <c r="C1847" s="548"/>
      <c r="D1847" s="548"/>
      <c r="E1847" s="583"/>
      <c r="F1847" s="584"/>
      <c r="G1847" s="548"/>
      <c r="H1847" s="550"/>
      <c r="I1847" s="560"/>
      <c r="J1847" s="548"/>
      <c r="K1847" s="528" t="str">
        <f>IFERROR(VLOOKUP($B1847,'Clients-Live'!$A:$C,3,0),"")</f>
        <v/>
      </c>
      <c r="L1847" s="528">
        <f>IF(E1847="STL",Pricing!$D$38,IF(A1847="",0,IF(A1847&lt;Pricing!$C$25,Pricing!$D$25,VLOOKUP(Disbursements!$F1847,Pricing!$B$29:$D$32,3))))</f>
        <v>0</v>
      </c>
      <c r="M1847" s="528">
        <f>IF(E1847="STL",0,IF(F1847&gt;0,Pricing!$D$21,0))</f>
        <v>0</v>
      </c>
      <c r="N1847" s="529">
        <f>IF(E1847="STL",F1847*Pricing!$D$40,IF(A1847&lt;=Pricing!$C$4,0,IF(AND(A1847&gt;Pricing!$C$4,Disbursements!A1847&lt;=Pricing!$C$5),F1847*Pricing!$E$5,IF(AND(A1847&gt;Pricing!$C$5,Disbursements!A1847&lt;=Pricing!$C$7),VLOOKUP(F1847,Pricing!$D$7:$E$8,2)*Disbursements!F1847,F1847*Pricing!$E$9))))</f>
        <v>0</v>
      </c>
      <c r="O1847" s="528">
        <f>IF(E1847="STL",0,IF($F1847&gt;0,$F1847*Pricing!$D$17,0))</f>
        <v>0</v>
      </c>
      <c r="P1847" s="530" t="str">
        <f t="shared" si="750"/>
        <v/>
      </c>
      <c r="Q1847" s="531" t="str">
        <f>IF($A1847="","",$G1847/VLOOKUP($I1847,Ref!$B$23:$D$29,2,0))</f>
        <v/>
      </c>
      <c r="R1847" s="530" t="str">
        <f t="shared" si="751"/>
        <v/>
      </c>
      <c r="S1847" s="532" t="str">
        <f t="shared" si="745"/>
        <v/>
      </c>
      <c r="T1847" s="531" t="str">
        <f t="shared" si="752"/>
        <v/>
      </c>
      <c r="U1847" s="533">
        <f t="shared" si="753"/>
        <v>0</v>
      </c>
      <c r="V1847" s="531" t="str">
        <f t="shared" si="754"/>
        <v/>
      </c>
      <c r="W1847" s="531" t="str">
        <f t="shared" si="755"/>
        <v/>
      </c>
      <c r="X1847" s="534" t="str">
        <f t="shared" si="756"/>
        <v/>
      </c>
      <c r="Y1847" s="535" t="str">
        <f>IF($A1847="","",IF($I1847="weekly",$A1847+7,EDATE($A1847,VLOOKUP($I1847,Ref!$B$24:$C$29,2,0))))</f>
        <v/>
      </c>
      <c r="Z1847" s="536" t="str">
        <f t="shared" si="757"/>
        <v/>
      </c>
      <c r="AA1847" s="531">
        <f t="shared" si="758"/>
        <v>0</v>
      </c>
      <c r="AB1847" s="535" t="str">
        <f t="shared" si="746"/>
        <v/>
      </c>
      <c r="AC1847" s="537" t="str">
        <f t="shared" si="747"/>
        <v/>
      </c>
      <c r="AD1847" s="538" t="str">
        <f t="shared" ca="1" si="748"/>
        <v/>
      </c>
      <c r="AE1847" s="537">
        <f t="shared" ca="1" si="749"/>
        <v>0</v>
      </c>
      <c r="AF1847" s="539" t="str">
        <f t="shared" ca="1" si="759"/>
        <v/>
      </c>
      <c r="AG1847" s="531" t="str">
        <f t="shared" ca="1" si="760"/>
        <v/>
      </c>
      <c r="AH1847" s="531" t="str">
        <f t="shared" ca="1" si="761"/>
        <v/>
      </c>
      <c r="AI1847" s="531" t="str">
        <f t="shared" ca="1" si="762"/>
        <v/>
      </c>
      <c r="AJ1847" s="531" t="str">
        <f t="shared" si="763"/>
        <v/>
      </c>
      <c r="AK1847" s="540">
        <f>SUMIFS('Live Collections'!$S:$S,'Live Collections'!$D:$D,Disbursements!B1847,'Live Collections'!$G:$G,Disbursements!C1847)</f>
        <v>0</v>
      </c>
      <c r="AL1847" s="540">
        <f>SUMIFS('Live Collections'!$T:$T,'Live Collections'!$D:$D,Disbursements!B1847,'Live Collections'!$G:$G,Disbursements!C1847)</f>
        <v>0</v>
      </c>
      <c r="AM1847" s="541">
        <f t="shared" si="764"/>
        <v>0</v>
      </c>
      <c r="AN1847" s="542" t="str">
        <f t="shared" si="765"/>
        <v/>
      </c>
      <c r="AO1847" s="542" t="str">
        <f t="shared" si="766"/>
        <v/>
      </c>
      <c r="AP1847" s="543" t="str">
        <f t="shared" si="767"/>
        <v/>
      </c>
      <c r="AQ1847" s="544" t="str">
        <f t="shared" si="768"/>
        <v/>
      </c>
      <c r="AR1847" s="545">
        <f t="shared" si="769"/>
        <v>0</v>
      </c>
      <c r="AS1847" s="545">
        <f>IFERROR(CEILING($AR1847*VLOOKUP($I1847,Ref!$B$23:$E$29,4,0),1),0)</f>
        <v>0</v>
      </c>
      <c r="AT1847" s="545" t="str">
        <f>IF(A1847="","",IF(AP1847&lt;=1,"Cleared",IF(AS1847=0,"Clean",VLOOKUP($AS1847,Ref!$G$23:$H$28,2))))</f>
        <v/>
      </c>
      <c r="AU1847" s="546" t="str">
        <f t="shared" si="770"/>
        <v/>
      </c>
    </row>
    <row r="1848" spans="1:47" ht="14.25" hidden="1" customHeight="1" x14ac:dyDescent="0.15">
      <c r="A1848" s="575"/>
      <c r="B1848" s="548"/>
      <c r="C1848" s="548"/>
      <c r="D1848" s="548"/>
      <c r="E1848" s="583"/>
      <c r="F1848" s="584"/>
      <c r="G1848" s="548"/>
      <c r="H1848" s="550"/>
      <c r="I1848" s="560"/>
      <c r="J1848" s="548"/>
      <c r="K1848" s="528" t="str">
        <f>IFERROR(VLOOKUP($B1848,'Clients-Live'!$A:$C,3,0),"")</f>
        <v/>
      </c>
      <c r="L1848" s="528">
        <f>IF(E1848="STL",Pricing!$D$38,IF(A1848="",0,IF(A1848&lt;Pricing!$C$25,Pricing!$D$25,VLOOKUP(Disbursements!$F1848,Pricing!$B$29:$D$32,3))))</f>
        <v>0</v>
      </c>
      <c r="M1848" s="528">
        <f>IF(E1848="STL",0,IF(F1848&gt;0,Pricing!$D$21,0))</f>
        <v>0</v>
      </c>
      <c r="N1848" s="529">
        <f>IF(E1848="STL",F1848*Pricing!$D$40,IF(A1848&lt;=Pricing!$C$4,0,IF(AND(A1848&gt;Pricing!$C$4,Disbursements!A1848&lt;=Pricing!$C$5),F1848*Pricing!$E$5,IF(AND(A1848&gt;Pricing!$C$5,Disbursements!A1848&lt;=Pricing!$C$7),VLOOKUP(F1848,Pricing!$D$7:$E$8,2)*Disbursements!F1848,F1848*Pricing!$E$9))))</f>
        <v>0</v>
      </c>
      <c r="O1848" s="528">
        <f>IF(E1848="STL",0,IF($F1848&gt;0,$F1848*Pricing!$D$17,0))</f>
        <v>0</v>
      </c>
      <c r="P1848" s="530" t="str">
        <f t="shared" si="750"/>
        <v/>
      </c>
      <c r="Q1848" s="531" t="str">
        <f>IF($A1848="","",$G1848/VLOOKUP($I1848,Ref!$B$23:$D$29,2,0))</f>
        <v/>
      </c>
      <c r="R1848" s="530" t="str">
        <f t="shared" si="751"/>
        <v/>
      </c>
      <c r="S1848" s="532" t="str">
        <f t="shared" si="745"/>
        <v/>
      </c>
      <c r="T1848" s="531" t="str">
        <f t="shared" si="752"/>
        <v/>
      </c>
      <c r="U1848" s="533">
        <f t="shared" si="753"/>
        <v>0</v>
      </c>
      <c r="V1848" s="531" t="str">
        <f t="shared" si="754"/>
        <v/>
      </c>
      <c r="W1848" s="531" t="str">
        <f t="shared" si="755"/>
        <v/>
      </c>
      <c r="X1848" s="534" t="str">
        <f t="shared" si="756"/>
        <v/>
      </c>
      <c r="Y1848" s="535" t="str">
        <f>IF($A1848="","",IF($I1848="weekly",$A1848+7,EDATE($A1848,VLOOKUP($I1848,Ref!$B$24:$C$29,2,0))))</f>
        <v/>
      </c>
      <c r="Z1848" s="536" t="str">
        <f t="shared" si="757"/>
        <v/>
      </c>
      <c r="AA1848" s="531">
        <f t="shared" si="758"/>
        <v>0</v>
      </c>
      <c r="AB1848" s="535" t="str">
        <f t="shared" si="746"/>
        <v/>
      </c>
      <c r="AC1848" s="537" t="str">
        <f t="shared" si="747"/>
        <v/>
      </c>
      <c r="AD1848" s="538" t="str">
        <f t="shared" ca="1" si="748"/>
        <v/>
      </c>
      <c r="AE1848" s="537">
        <f t="shared" ca="1" si="749"/>
        <v>0</v>
      </c>
      <c r="AF1848" s="539" t="str">
        <f t="shared" ca="1" si="759"/>
        <v/>
      </c>
      <c r="AG1848" s="531" t="str">
        <f t="shared" ca="1" si="760"/>
        <v/>
      </c>
      <c r="AH1848" s="531" t="str">
        <f t="shared" ca="1" si="761"/>
        <v/>
      </c>
      <c r="AI1848" s="531" t="str">
        <f t="shared" ca="1" si="762"/>
        <v/>
      </c>
      <c r="AJ1848" s="531" t="str">
        <f t="shared" si="763"/>
        <v/>
      </c>
      <c r="AK1848" s="540">
        <f>SUMIFS('Live Collections'!$S:$S,'Live Collections'!$D:$D,Disbursements!B1848,'Live Collections'!$G:$G,Disbursements!C1848)</f>
        <v>0</v>
      </c>
      <c r="AL1848" s="540">
        <f>SUMIFS('Live Collections'!$T:$T,'Live Collections'!$D:$D,Disbursements!B1848,'Live Collections'!$G:$G,Disbursements!C1848)</f>
        <v>0</v>
      </c>
      <c r="AM1848" s="541">
        <f t="shared" si="764"/>
        <v>0</v>
      </c>
      <c r="AN1848" s="542" t="str">
        <f t="shared" si="765"/>
        <v/>
      </c>
      <c r="AO1848" s="542" t="str">
        <f t="shared" si="766"/>
        <v/>
      </c>
      <c r="AP1848" s="543" t="str">
        <f t="shared" si="767"/>
        <v/>
      </c>
      <c r="AQ1848" s="544" t="str">
        <f t="shared" si="768"/>
        <v/>
      </c>
      <c r="AR1848" s="545">
        <f t="shared" si="769"/>
        <v>0</v>
      </c>
      <c r="AS1848" s="545">
        <f>IFERROR(CEILING($AR1848*VLOOKUP($I1848,Ref!$B$23:$E$29,4,0),1),0)</f>
        <v>0</v>
      </c>
      <c r="AT1848" s="545" t="str">
        <f>IF(A1848="","",IF(AP1848&lt;=1,"Cleared",IF(AS1848=0,"Clean",VLOOKUP($AS1848,Ref!$G$23:$H$28,2))))</f>
        <v/>
      </c>
      <c r="AU1848" s="546" t="str">
        <f t="shared" si="770"/>
        <v/>
      </c>
    </row>
    <row r="1849" spans="1:47" ht="14.25" hidden="1" customHeight="1" x14ac:dyDescent="0.15">
      <c r="A1849" s="575"/>
      <c r="B1849" s="548"/>
      <c r="C1849" s="548"/>
      <c r="D1849" s="548"/>
      <c r="E1849" s="583"/>
      <c r="F1849" s="584"/>
      <c r="G1849" s="548"/>
      <c r="H1849" s="550"/>
      <c r="I1849" s="560"/>
      <c r="J1849" s="548"/>
      <c r="K1849" s="528" t="str">
        <f>IFERROR(VLOOKUP($B1849,'Clients-Live'!$A:$C,3,0),"")</f>
        <v/>
      </c>
      <c r="L1849" s="528">
        <f>IF(E1849="STL",Pricing!$D$38,IF(A1849="",0,IF(A1849&lt;Pricing!$C$25,Pricing!$D$25,VLOOKUP(Disbursements!$F1849,Pricing!$B$29:$D$32,3))))</f>
        <v>0</v>
      </c>
      <c r="M1849" s="528">
        <f>IF(E1849="STL",0,IF(F1849&gt;0,Pricing!$D$21,0))</f>
        <v>0</v>
      </c>
      <c r="N1849" s="529">
        <f>IF(E1849="STL",F1849*Pricing!$D$40,IF(A1849&lt;=Pricing!$C$4,0,IF(AND(A1849&gt;Pricing!$C$4,Disbursements!A1849&lt;=Pricing!$C$5),F1849*Pricing!$E$5,IF(AND(A1849&gt;Pricing!$C$5,Disbursements!A1849&lt;=Pricing!$C$7),VLOOKUP(F1849,Pricing!$D$7:$E$8,2)*Disbursements!F1849,F1849*Pricing!$E$9))))</f>
        <v>0</v>
      </c>
      <c r="O1849" s="528">
        <f>IF(E1849="STL",0,IF($F1849&gt;0,$F1849*Pricing!$D$17,0))</f>
        <v>0</v>
      </c>
      <c r="P1849" s="530" t="str">
        <f t="shared" si="750"/>
        <v/>
      </c>
      <c r="Q1849" s="531" t="str">
        <f>IF($A1849="","",$G1849/VLOOKUP($I1849,Ref!$B$23:$D$29,2,0))</f>
        <v/>
      </c>
      <c r="R1849" s="530" t="str">
        <f t="shared" si="751"/>
        <v/>
      </c>
      <c r="S1849" s="532" t="str">
        <f t="shared" si="745"/>
        <v/>
      </c>
      <c r="T1849" s="531" t="str">
        <f t="shared" si="752"/>
        <v/>
      </c>
      <c r="U1849" s="533">
        <f t="shared" si="753"/>
        <v>0</v>
      </c>
      <c r="V1849" s="531" t="str">
        <f t="shared" si="754"/>
        <v/>
      </c>
      <c r="W1849" s="531" t="str">
        <f t="shared" si="755"/>
        <v/>
      </c>
      <c r="X1849" s="534" t="str">
        <f t="shared" si="756"/>
        <v/>
      </c>
      <c r="Y1849" s="535" t="str">
        <f>IF($A1849="","",IF($I1849="weekly",$A1849+7,EDATE($A1849,VLOOKUP($I1849,Ref!$B$24:$C$29,2,0))))</f>
        <v/>
      </c>
      <c r="Z1849" s="536" t="str">
        <f t="shared" si="757"/>
        <v/>
      </c>
      <c r="AA1849" s="531">
        <f t="shared" si="758"/>
        <v>0</v>
      </c>
      <c r="AB1849" s="535" t="str">
        <f t="shared" si="746"/>
        <v/>
      </c>
      <c r="AC1849" s="537" t="str">
        <f t="shared" si="747"/>
        <v/>
      </c>
      <c r="AD1849" s="538" t="str">
        <f t="shared" ca="1" si="748"/>
        <v/>
      </c>
      <c r="AE1849" s="537">
        <f t="shared" ca="1" si="749"/>
        <v>0</v>
      </c>
      <c r="AF1849" s="539" t="str">
        <f t="shared" ca="1" si="759"/>
        <v/>
      </c>
      <c r="AG1849" s="531" t="str">
        <f t="shared" ca="1" si="760"/>
        <v/>
      </c>
      <c r="AH1849" s="531" t="str">
        <f t="shared" ca="1" si="761"/>
        <v/>
      </c>
      <c r="AI1849" s="531" t="str">
        <f t="shared" ca="1" si="762"/>
        <v/>
      </c>
      <c r="AJ1849" s="531" t="str">
        <f t="shared" si="763"/>
        <v/>
      </c>
      <c r="AK1849" s="540">
        <f>SUMIFS('Live Collections'!$S:$S,'Live Collections'!$D:$D,Disbursements!B1849,'Live Collections'!$G:$G,Disbursements!C1849)</f>
        <v>0</v>
      </c>
      <c r="AL1849" s="540">
        <f>SUMIFS('Live Collections'!$T:$T,'Live Collections'!$D:$D,Disbursements!B1849,'Live Collections'!$G:$G,Disbursements!C1849)</f>
        <v>0</v>
      </c>
      <c r="AM1849" s="541">
        <f t="shared" si="764"/>
        <v>0</v>
      </c>
      <c r="AN1849" s="542" t="str">
        <f t="shared" si="765"/>
        <v/>
      </c>
      <c r="AO1849" s="542" t="str">
        <f t="shared" si="766"/>
        <v/>
      </c>
      <c r="AP1849" s="543" t="str">
        <f t="shared" si="767"/>
        <v/>
      </c>
      <c r="AQ1849" s="544" t="str">
        <f t="shared" si="768"/>
        <v/>
      </c>
      <c r="AR1849" s="545">
        <f t="shared" si="769"/>
        <v>0</v>
      </c>
      <c r="AS1849" s="545">
        <f>IFERROR(CEILING($AR1849*VLOOKUP($I1849,Ref!$B$23:$E$29,4,0),1),0)</f>
        <v>0</v>
      </c>
      <c r="AT1849" s="545" t="str">
        <f>IF(A1849="","",IF(AP1849&lt;=1,"Cleared",IF(AS1849=0,"Clean",VLOOKUP($AS1849,Ref!$G$23:$H$28,2))))</f>
        <v/>
      </c>
      <c r="AU1849" s="546" t="str">
        <f t="shared" si="770"/>
        <v/>
      </c>
    </row>
    <row r="1850" spans="1:47" ht="14.25" hidden="1" customHeight="1" x14ac:dyDescent="0.15">
      <c r="A1850" s="575"/>
      <c r="B1850" s="548"/>
      <c r="C1850" s="548"/>
      <c r="D1850" s="548"/>
      <c r="E1850" s="583"/>
      <c r="F1850" s="584"/>
      <c r="G1850" s="548"/>
      <c r="H1850" s="550"/>
      <c r="I1850" s="560"/>
      <c r="J1850" s="548"/>
      <c r="K1850" s="528" t="str">
        <f>IFERROR(VLOOKUP($B1850,'Clients-Live'!$A:$C,3,0),"")</f>
        <v/>
      </c>
      <c r="L1850" s="528">
        <f>IF(E1850="STL",Pricing!$D$38,IF(A1850="",0,IF(A1850&lt;Pricing!$C$25,Pricing!$D$25,VLOOKUP(Disbursements!$F1850,Pricing!$B$29:$D$32,3))))</f>
        <v>0</v>
      </c>
      <c r="M1850" s="528">
        <f>IF(E1850="STL",0,IF(F1850&gt;0,Pricing!$D$21,0))</f>
        <v>0</v>
      </c>
      <c r="N1850" s="529">
        <f>IF(E1850="STL",F1850*Pricing!$D$40,IF(A1850&lt;=Pricing!$C$4,0,IF(AND(A1850&gt;Pricing!$C$4,Disbursements!A1850&lt;=Pricing!$C$5),F1850*Pricing!$E$5,IF(AND(A1850&gt;Pricing!$C$5,Disbursements!A1850&lt;=Pricing!$C$7),VLOOKUP(F1850,Pricing!$D$7:$E$8,2)*Disbursements!F1850,F1850*Pricing!$E$9))))</f>
        <v>0</v>
      </c>
      <c r="O1850" s="528">
        <f>IF(E1850="STL",0,IF($F1850&gt;0,$F1850*Pricing!$D$17,0))</f>
        <v>0</v>
      </c>
      <c r="P1850" s="530" t="str">
        <f t="shared" si="750"/>
        <v/>
      </c>
      <c r="Q1850" s="531" t="str">
        <f>IF($A1850="","",$G1850/VLOOKUP($I1850,Ref!$B$23:$D$29,2,0))</f>
        <v/>
      </c>
      <c r="R1850" s="530" t="str">
        <f t="shared" si="751"/>
        <v/>
      </c>
      <c r="S1850" s="532" t="str">
        <f t="shared" si="745"/>
        <v/>
      </c>
      <c r="T1850" s="531" t="str">
        <f t="shared" si="752"/>
        <v/>
      </c>
      <c r="U1850" s="533">
        <f t="shared" si="753"/>
        <v>0</v>
      </c>
      <c r="V1850" s="531" t="str">
        <f t="shared" si="754"/>
        <v/>
      </c>
      <c r="W1850" s="531" t="str">
        <f t="shared" si="755"/>
        <v/>
      </c>
      <c r="X1850" s="534" t="str">
        <f t="shared" si="756"/>
        <v/>
      </c>
      <c r="Y1850" s="535" t="str">
        <f>IF($A1850="","",IF($I1850="weekly",$A1850+7,EDATE($A1850,VLOOKUP($I1850,Ref!$B$24:$C$29,2,0))))</f>
        <v/>
      </c>
      <c r="Z1850" s="536" t="str">
        <f t="shared" si="757"/>
        <v/>
      </c>
      <c r="AA1850" s="531">
        <f t="shared" si="758"/>
        <v>0</v>
      </c>
      <c r="AB1850" s="535" t="str">
        <f t="shared" si="746"/>
        <v/>
      </c>
      <c r="AC1850" s="537" t="str">
        <f t="shared" si="747"/>
        <v/>
      </c>
      <c r="AD1850" s="538" t="str">
        <f t="shared" ca="1" si="748"/>
        <v/>
      </c>
      <c r="AE1850" s="537">
        <f t="shared" ca="1" si="749"/>
        <v>0</v>
      </c>
      <c r="AF1850" s="539" t="str">
        <f t="shared" ca="1" si="759"/>
        <v/>
      </c>
      <c r="AG1850" s="531" t="str">
        <f t="shared" ca="1" si="760"/>
        <v/>
      </c>
      <c r="AH1850" s="531" t="str">
        <f t="shared" ca="1" si="761"/>
        <v/>
      </c>
      <c r="AI1850" s="531" t="str">
        <f t="shared" ca="1" si="762"/>
        <v/>
      </c>
      <c r="AJ1850" s="531" t="str">
        <f t="shared" si="763"/>
        <v/>
      </c>
      <c r="AK1850" s="540">
        <f>SUMIFS('Live Collections'!$S:$S,'Live Collections'!$D:$D,Disbursements!B1850,'Live Collections'!$G:$G,Disbursements!C1850)</f>
        <v>0</v>
      </c>
      <c r="AL1850" s="540">
        <f>SUMIFS('Live Collections'!$T:$T,'Live Collections'!$D:$D,Disbursements!B1850,'Live Collections'!$G:$G,Disbursements!C1850)</f>
        <v>0</v>
      </c>
      <c r="AM1850" s="541">
        <f t="shared" si="764"/>
        <v>0</v>
      </c>
      <c r="AN1850" s="542" t="str">
        <f t="shared" si="765"/>
        <v/>
      </c>
      <c r="AO1850" s="542" t="str">
        <f t="shared" si="766"/>
        <v/>
      </c>
      <c r="AP1850" s="543" t="str">
        <f t="shared" si="767"/>
        <v/>
      </c>
      <c r="AQ1850" s="544" t="str">
        <f t="shared" si="768"/>
        <v/>
      </c>
      <c r="AR1850" s="545">
        <f t="shared" si="769"/>
        <v>0</v>
      </c>
      <c r="AS1850" s="545">
        <f>IFERROR(CEILING($AR1850*VLOOKUP($I1850,Ref!$B$23:$E$29,4,0),1),0)</f>
        <v>0</v>
      </c>
      <c r="AT1850" s="545" t="str">
        <f>IF(A1850="","",IF(AP1850&lt;=1,"Cleared",IF(AS1850=0,"Clean",VLOOKUP($AS1850,Ref!$G$23:$H$28,2))))</f>
        <v/>
      </c>
      <c r="AU1850" s="546" t="str">
        <f t="shared" si="770"/>
        <v/>
      </c>
    </row>
    <row r="1851" spans="1:47" ht="14.25" hidden="1" customHeight="1" x14ac:dyDescent="0.15">
      <c r="A1851" s="575"/>
      <c r="B1851" s="548"/>
      <c r="C1851" s="548"/>
      <c r="D1851" s="548"/>
      <c r="E1851" s="583"/>
      <c r="F1851" s="584"/>
      <c r="G1851" s="548"/>
      <c r="H1851" s="550"/>
      <c r="I1851" s="560"/>
      <c r="J1851" s="548"/>
      <c r="K1851" s="528" t="str">
        <f>IFERROR(VLOOKUP($B1851,'Clients-Live'!$A:$C,3,0),"")</f>
        <v/>
      </c>
      <c r="L1851" s="528">
        <f>IF(E1851="STL",Pricing!$D$38,IF(A1851="",0,IF(A1851&lt;Pricing!$C$25,Pricing!$D$25,VLOOKUP(Disbursements!$F1851,Pricing!$B$29:$D$32,3))))</f>
        <v>0</v>
      </c>
      <c r="M1851" s="528">
        <f>IF(E1851="STL",0,IF(F1851&gt;0,Pricing!$D$21,0))</f>
        <v>0</v>
      </c>
      <c r="N1851" s="529">
        <f>IF(E1851="STL",F1851*Pricing!$D$40,IF(A1851&lt;=Pricing!$C$4,0,IF(AND(A1851&gt;Pricing!$C$4,Disbursements!A1851&lt;=Pricing!$C$5),F1851*Pricing!$E$5,IF(AND(A1851&gt;Pricing!$C$5,Disbursements!A1851&lt;=Pricing!$C$7),VLOOKUP(F1851,Pricing!$D$7:$E$8,2)*Disbursements!F1851,F1851*Pricing!$E$9))))</f>
        <v>0</v>
      </c>
      <c r="O1851" s="528">
        <f>IF(E1851="STL",0,IF($F1851&gt;0,$F1851*Pricing!$D$17,0))</f>
        <v>0</v>
      </c>
      <c r="P1851" s="530" t="str">
        <f t="shared" si="750"/>
        <v/>
      </c>
      <c r="Q1851" s="531" t="str">
        <f>IF($A1851="","",$G1851/VLOOKUP($I1851,Ref!$B$23:$D$29,2,0))</f>
        <v/>
      </c>
      <c r="R1851" s="530" t="str">
        <f t="shared" si="751"/>
        <v/>
      </c>
      <c r="S1851" s="532" t="str">
        <f t="shared" si="745"/>
        <v/>
      </c>
      <c r="T1851" s="531" t="str">
        <f t="shared" si="752"/>
        <v/>
      </c>
      <c r="U1851" s="533">
        <f t="shared" si="753"/>
        <v>0</v>
      </c>
      <c r="V1851" s="531" t="str">
        <f t="shared" si="754"/>
        <v/>
      </c>
      <c r="W1851" s="531" t="str">
        <f t="shared" si="755"/>
        <v/>
      </c>
      <c r="X1851" s="534" t="str">
        <f t="shared" si="756"/>
        <v/>
      </c>
      <c r="Y1851" s="535" t="str">
        <f>IF($A1851="","",IF($I1851="weekly",$A1851+7,EDATE($A1851,VLOOKUP($I1851,Ref!$B$24:$C$29,2,0))))</f>
        <v/>
      </c>
      <c r="Z1851" s="536" t="str">
        <f t="shared" si="757"/>
        <v/>
      </c>
      <c r="AA1851" s="531">
        <f t="shared" si="758"/>
        <v>0</v>
      </c>
      <c r="AB1851" s="535" t="str">
        <f t="shared" si="746"/>
        <v/>
      </c>
      <c r="AC1851" s="537" t="str">
        <f t="shared" si="747"/>
        <v/>
      </c>
      <c r="AD1851" s="538" t="str">
        <f t="shared" ca="1" si="748"/>
        <v/>
      </c>
      <c r="AE1851" s="537">
        <f t="shared" ca="1" si="749"/>
        <v>0</v>
      </c>
      <c r="AF1851" s="539" t="str">
        <f t="shared" ca="1" si="759"/>
        <v/>
      </c>
      <c r="AG1851" s="531" t="str">
        <f t="shared" ca="1" si="760"/>
        <v/>
      </c>
      <c r="AH1851" s="531" t="str">
        <f t="shared" ca="1" si="761"/>
        <v/>
      </c>
      <c r="AI1851" s="531" t="str">
        <f t="shared" ca="1" si="762"/>
        <v/>
      </c>
      <c r="AJ1851" s="531" t="str">
        <f t="shared" si="763"/>
        <v/>
      </c>
      <c r="AK1851" s="540">
        <f>SUMIFS('Live Collections'!$S:$S,'Live Collections'!$D:$D,Disbursements!B1851,'Live Collections'!$G:$G,Disbursements!C1851)</f>
        <v>0</v>
      </c>
      <c r="AL1851" s="540">
        <f>SUMIFS('Live Collections'!$T:$T,'Live Collections'!$D:$D,Disbursements!B1851,'Live Collections'!$G:$G,Disbursements!C1851)</f>
        <v>0</v>
      </c>
      <c r="AM1851" s="541">
        <f t="shared" si="764"/>
        <v>0</v>
      </c>
      <c r="AN1851" s="542" t="str">
        <f t="shared" si="765"/>
        <v/>
      </c>
      <c r="AO1851" s="542" t="str">
        <f t="shared" si="766"/>
        <v/>
      </c>
      <c r="AP1851" s="543" t="str">
        <f t="shared" si="767"/>
        <v/>
      </c>
      <c r="AQ1851" s="544" t="str">
        <f t="shared" si="768"/>
        <v/>
      </c>
      <c r="AR1851" s="545">
        <f t="shared" si="769"/>
        <v>0</v>
      </c>
      <c r="AS1851" s="545">
        <f>IFERROR(CEILING($AR1851*VLOOKUP($I1851,Ref!$B$23:$E$29,4,0),1),0)</f>
        <v>0</v>
      </c>
      <c r="AT1851" s="545" t="str">
        <f>IF(A1851="","",IF(AP1851&lt;=1,"Cleared",IF(AS1851=0,"Clean",VLOOKUP($AS1851,Ref!$G$23:$H$28,2))))</f>
        <v/>
      </c>
      <c r="AU1851" s="546" t="str">
        <f t="shared" si="770"/>
        <v/>
      </c>
    </row>
    <row r="1852" spans="1:47" ht="14.25" hidden="1" customHeight="1" x14ac:dyDescent="0.15">
      <c r="A1852" s="575"/>
      <c r="B1852" s="548"/>
      <c r="C1852" s="548"/>
      <c r="D1852" s="548"/>
      <c r="E1852" s="583"/>
      <c r="F1852" s="584"/>
      <c r="G1852" s="548"/>
      <c r="H1852" s="550"/>
      <c r="I1852" s="560"/>
      <c r="J1852" s="548"/>
      <c r="K1852" s="528" t="str">
        <f>IFERROR(VLOOKUP($B1852,'Clients-Live'!$A:$C,3,0),"")</f>
        <v/>
      </c>
      <c r="L1852" s="528">
        <f>IF(E1852="STL",Pricing!$D$38,IF(A1852="",0,IF(A1852&lt;Pricing!$C$25,Pricing!$D$25,VLOOKUP(Disbursements!$F1852,Pricing!$B$29:$D$32,3))))</f>
        <v>0</v>
      </c>
      <c r="M1852" s="528">
        <f>IF(E1852="STL",0,IF(F1852&gt;0,Pricing!$D$21,0))</f>
        <v>0</v>
      </c>
      <c r="N1852" s="529">
        <f>IF(E1852="STL",F1852*Pricing!$D$40,IF(A1852&lt;=Pricing!$C$4,0,IF(AND(A1852&gt;Pricing!$C$4,Disbursements!A1852&lt;=Pricing!$C$5),F1852*Pricing!$E$5,IF(AND(A1852&gt;Pricing!$C$5,Disbursements!A1852&lt;=Pricing!$C$7),VLOOKUP(F1852,Pricing!$D$7:$E$8,2)*Disbursements!F1852,F1852*Pricing!$E$9))))</f>
        <v>0</v>
      </c>
      <c r="O1852" s="528">
        <f>IF(E1852="STL",0,IF($F1852&gt;0,$F1852*Pricing!$D$17,0))</f>
        <v>0</v>
      </c>
      <c r="P1852" s="530" t="str">
        <f t="shared" si="750"/>
        <v/>
      </c>
      <c r="Q1852" s="531" t="str">
        <f>IF($A1852="","",$G1852/VLOOKUP($I1852,Ref!$B$23:$D$29,2,0))</f>
        <v/>
      </c>
      <c r="R1852" s="530" t="str">
        <f t="shared" si="751"/>
        <v/>
      </c>
      <c r="S1852" s="532" t="str">
        <f t="shared" si="745"/>
        <v/>
      </c>
      <c r="T1852" s="531" t="str">
        <f t="shared" si="752"/>
        <v/>
      </c>
      <c r="U1852" s="533">
        <f t="shared" si="753"/>
        <v>0</v>
      </c>
      <c r="V1852" s="531" t="str">
        <f t="shared" si="754"/>
        <v/>
      </c>
      <c r="W1852" s="531" t="str">
        <f t="shared" si="755"/>
        <v/>
      </c>
      <c r="X1852" s="534" t="str">
        <f t="shared" si="756"/>
        <v/>
      </c>
      <c r="Y1852" s="535" t="str">
        <f>IF($A1852="","",IF($I1852="weekly",$A1852+7,EDATE($A1852,VLOOKUP($I1852,Ref!$B$24:$C$29,2,0))))</f>
        <v/>
      </c>
      <c r="Z1852" s="536" t="str">
        <f t="shared" si="757"/>
        <v/>
      </c>
      <c r="AA1852" s="531">
        <f t="shared" si="758"/>
        <v>0</v>
      </c>
      <c r="AB1852" s="535" t="str">
        <f t="shared" si="746"/>
        <v/>
      </c>
      <c r="AC1852" s="537" t="str">
        <f t="shared" si="747"/>
        <v/>
      </c>
      <c r="AD1852" s="538" t="str">
        <f t="shared" ca="1" si="748"/>
        <v/>
      </c>
      <c r="AE1852" s="537">
        <f t="shared" ca="1" si="749"/>
        <v>0</v>
      </c>
      <c r="AF1852" s="539" t="str">
        <f t="shared" ca="1" si="759"/>
        <v/>
      </c>
      <c r="AG1852" s="531" t="str">
        <f t="shared" ca="1" si="760"/>
        <v/>
      </c>
      <c r="AH1852" s="531" t="str">
        <f t="shared" ca="1" si="761"/>
        <v/>
      </c>
      <c r="AI1852" s="531" t="str">
        <f t="shared" ca="1" si="762"/>
        <v/>
      </c>
      <c r="AJ1852" s="531" t="str">
        <f t="shared" si="763"/>
        <v/>
      </c>
      <c r="AK1852" s="540">
        <f>SUMIFS('Live Collections'!$S:$S,'Live Collections'!$D:$D,Disbursements!B1852,'Live Collections'!$G:$G,Disbursements!C1852)</f>
        <v>0</v>
      </c>
      <c r="AL1852" s="540">
        <f>SUMIFS('Live Collections'!$T:$T,'Live Collections'!$D:$D,Disbursements!B1852,'Live Collections'!$G:$G,Disbursements!C1852)</f>
        <v>0</v>
      </c>
      <c r="AM1852" s="541">
        <f t="shared" si="764"/>
        <v>0</v>
      </c>
      <c r="AN1852" s="542" t="str">
        <f t="shared" si="765"/>
        <v/>
      </c>
      <c r="AO1852" s="542" t="str">
        <f t="shared" si="766"/>
        <v/>
      </c>
      <c r="AP1852" s="543" t="str">
        <f t="shared" si="767"/>
        <v/>
      </c>
      <c r="AQ1852" s="544" t="str">
        <f t="shared" si="768"/>
        <v/>
      </c>
      <c r="AR1852" s="545">
        <f t="shared" si="769"/>
        <v>0</v>
      </c>
      <c r="AS1852" s="545">
        <f>IFERROR(CEILING($AR1852*VLOOKUP($I1852,Ref!$B$23:$E$29,4,0),1),0)</f>
        <v>0</v>
      </c>
      <c r="AT1852" s="545" t="str">
        <f>IF(A1852="","",IF(AP1852&lt;=1,"Cleared",IF(AS1852=0,"Clean",VLOOKUP($AS1852,Ref!$G$23:$H$28,2))))</f>
        <v/>
      </c>
      <c r="AU1852" s="546" t="str">
        <f t="shared" si="770"/>
        <v/>
      </c>
    </row>
    <row r="1853" spans="1:47" ht="14.25" hidden="1" customHeight="1" x14ac:dyDescent="0.15">
      <c r="A1853" s="575"/>
      <c r="B1853" s="548"/>
      <c r="C1853" s="548"/>
      <c r="D1853" s="548"/>
      <c r="E1853" s="583"/>
      <c r="F1853" s="584"/>
      <c r="G1853" s="548"/>
      <c r="H1853" s="550"/>
      <c r="I1853" s="560"/>
      <c r="J1853" s="548"/>
      <c r="K1853" s="528" t="str">
        <f>IFERROR(VLOOKUP($B1853,'Clients-Live'!$A:$C,3,0),"")</f>
        <v/>
      </c>
      <c r="L1853" s="528">
        <f>IF(E1853="STL",Pricing!$D$38,IF(A1853="",0,IF(A1853&lt;Pricing!$C$25,Pricing!$D$25,VLOOKUP(Disbursements!$F1853,Pricing!$B$29:$D$32,3))))</f>
        <v>0</v>
      </c>
      <c r="M1853" s="528">
        <f>IF(E1853="STL",0,IF(F1853&gt;0,Pricing!$D$21,0))</f>
        <v>0</v>
      </c>
      <c r="N1853" s="529">
        <f>IF(E1853="STL",F1853*Pricing!$D$40,IF(A1853&lt;=Pricing!$C$4,0,IF(AND(A1853&gt;Pricing!$C$4,Disbursements!A1853&lt;=Pricing!$C$5),F1853*Pricing!$E$5,IF(AND(A1853&gt;Pricing!$C$5,Disbursements!A1853&lt;=Pricing!$C$7),VLOOKUP(F1853,Pricing!$D$7:$E$8,2)*Disbursements!F1853,F1853*Pricing!$E$9))))</f>
        <v>0</v>
      </c>
      <c r="O1853" s="528">
        <f>IF(E1853="STL",0,IF($F1853&gt;0,$F1853*Pricing!$D$17,0))</f>
        <v>0</v>
      </c>
      <c r="P1853" s="530" t="str">
        <f t="shared" si="750"/>
        <v/>
      </c>
      <c r="Q1853" s="531" t="str">
        <f>IF($A1853="","",$G1853/VLOOKUP($I1853,Ref!$B$23:$D$29,2,0))</f>
        <v/>
      </c>
      <c r="R1853" s="530" t="str">
        <f t="shared" si="751"/>
        <v/>
      </c>
      <c r="S1853" s="532" t="str">
        <f t="shared" si="745"/>
        <v/>
      </c>
      <c r="T1853" s="531" t="str">
        <f t="shared" si="752"/>
        <v/>
      </c>
      <c r="U1853" s="533">
        <f t="shared" si="753"/>
        <v>0</v>
      </c>
      <c r="V1853" s="531" t="str">
        <f t="shared" si="754"/>
        <v/>
      </c>
      <c r="W1853" s="531" t="str">
        <f t="shared" si="755"/>
        <v/>
      </c>
      <c r="X1853" s="534" t="str">
        <f t="shared" si="756"/>
        <v/>
      </c>
      <c r="Y1853" s="535" t="str">
        <f>IF($A1853="","",IF($I1853="weekly",$A1853+7,EDATE($A1853,VLOOKUP($I1853,Ref!$B$24:$C$29,2,0))))</f>
        <v/>
      </c>
      <c r="Z1853" s="536" t="str">
        <f t="shared" si="757"/>
        <v/>
      </c>
      <c r="AA1853" s="531">
        <f t="shared" si="758"/>
        <v>0</v>
      </c>
      <c r="AB1853" s="535" t="str">
        <f t="shared" si="746"/>
        <v/>
      </c>
      <c r="AC1853" s="537" t="str">
        <f t="shared" si="747"/>
        <v/>
      </c>
      <c r="AD1853" s="538" t="str">
        <f t="shared" ca="1" si="748"/>
        <v/>
      </c>
      <c r="AE1853" s="537">
        <f t="shared" ca="1" si="749"/>
        <v>0</v>
      </c>
      <c r="AF1853" s="539" t="str">
        <f t="shared" ca="1" si="759"/>
        <v/>
      </c>
      <c r="AG1853" s="531" t="str">
        <f t="shared" ca="1" si="760"/>
        <v/>
      </c>
      <c r="AH1853" s="531" t="str">
        <f t="shared" ca="1" si="761"/>
        <v/>
      </c>
      <c r="AI1853" s="531" t="str">
        <f t="shared" ca="1" si="762"/>
        <v/>
      </c>
      <c r="AJ1853" s="531" t="str">
        <f t="shared" si="763"/>
        <v/>
      </c>
      <c r="AK1853" s="540">
        <f>SUMIFS('Live Collections'!$S:$S,'Live Collections'!$D:$D,Disbursements!B1853,'Live Collections'!$G:$G,Disbursements!C1853)</f>
        <v>0</v>
      </c>
      <c r="AL1853" s="540">
        <f>SUMIFS('Live Collections'!$T:$T,'Live Collections'!$D:$D,Disbursements!B1853,'Live Collections'!$G:$G,Disbursements!C1853)</f>
        <v>0</v>
      </c>
      <c r="AM1853" s="541">
        <f t="shared" si="764"/>
        <v>0</v>
      </c>
      <c r="AN1853" s="542" t="str">
        <f t="shared" si="765"/>
        <v/>
      </c>
      <c r="AO1853" s="542" t="str">
        <f t="shared" si="766"/>
        <v/>
      </c>
      <c r="AP1853" s="543" t="str">
        <f t="shared" si="767"/>
        <v/>
      </c>
      <c r="AQ1853" s="544" t="str">
        <f t="shared" si="768"/>
        <v/>
      </c>
      <c r="AR1853" s="545">
        <f t="shared" si="769"/>
        <v>0</v>
      </c>
      <c r="AS1853" s="545">
        <f>IFERROR(CEILING($AR1853*VLOOKUP($I1853,Ref!$B$23:$E$29,4,0),1),0)</f>
        <v>0</v>
      </c>
      <c r="AT1853" s="545" t="str">
        <f>IF(A1853="","",IF(AP1853&lt;=1,"Cleared",IF(AS1853=0,"Clean",VLOOKUP($AS1853,Ref!$G$23:$H$28,2))))</f>
        <v/>
      </c>
      <c r="AU1853" s="546" t="str">
        <f t="shared" si="770"/>
        <v/>
      </c>
    </row>
    <row r="1854" spans="1:47" ht="14.25" hidden="1" customHeight="1" x14ac:dyDescent="0.15">
      <c r="A1854" s="575"/>
      <c r="B1854" s="548"/>
      <c r="C1854" s="548"/>
      <c r="D1854" s="548"/>
      <c r="E1854" s="583"/>
      <c r="F1854" s="584"/>
      <c r="G1854" s="548"/>
      <c r="H1854" s="550"/>
      <c r="I1854" s="560"/>
      <c r="J1854" s="548"/>
      <c r="K1854" s="528" t="str">
        <f>IFERROR(VLOOKUP($B1854,'Clients-Live'!$A:$C,3,0),"")</f>
        <v/>
      </c>
      <c r="L1854" s="528">
        <f>IF(E1854="STL",Pricing!$D$38,IF(A1854="",0,IF(A1854&lt;Pricing!$C$25,Pricing!$D$25,VLOOKUP(Disbursements!$F1854,Pricing!$B$29:$D$32,3))))</f>
        <v>0</v>
      </c>
      <c r="M1854" s="528">
        <f>IF(E1854="STL",0,IF(F1854&gt;0,Pricing!$D$21,0))</f>
        <v>0</v>
      </c>
      <c r="N1854" s="529">
        <f>IF(E1854="STL",F1854*Pricing!$D$40,IF(A1854&lt;=Pricing!$C$4,0,IF(AND(A1854&gt;Pricing!$C$4,Disbursements!A1854&lt;=Pricing!$C$5),F1854*Pricing!$E$5,IF(AND(A1854&gt;Pricing!$C$5,Disbursements!A1854&lt;=Pricing!$C$7),VLOOKUP(F1854,Pricing!$D$7:$E$8,2)*Disbursements!F1854,F1854*Pricing!$E$9))))</f>
        <v>0</v>
      </c>
      <c r="O1854" s="528">
        <f>IF(E1854="STL",0,IF($F1854&gt;0,$F1854*Pricing!$D$17,0))</f>
        <v>0</v>
      </c>
      <c r="P1854" s="530" t="str">
        <f t="shared" si="750"/>
        <v/>
      </c>
      <c r="Q1854" s="531" t="str">
        <f>IF($A1854="","",$G1854/VLOOKUP($I1854,Ref!$B$23:$D$29,2,0))</f>
        <v/>
      </c>
      <c r="R1854" s="530" t="str">
        <f t="shared" si="751"/>
        <v/>
      </c>
      <c r="S1854" s="532" t="str">
        <f t="shared" si="745"/>
        <v/>
      </c>
      <c r="T1854" s="531" t="str">
        <f t="shared" si="752"/>
        <v/>
      </c>
      <c r="U1854" s="533">
        <f t="shared" si="753"/>
        <v>0</v>
      </c>
      <c r="V1854" s="531" t="str">
        <f t="shared" si="754"/>
        <v/>
      </c>
      <c r="W1854" s="531" t="str">
        <f t="shared" si="755"/>
        <v/>
      </c>
      <c r="X1854" s="534" t="str">
        <f t="shared" si="756"/>
        <v/>
      </c>
      <c r="Y1854" s="535" t="str">
        <f>IF($A1854="","",IF($I1854="weekly",$A1854+7,EDATE($A1854,VLOOKUP($I1854,Ref!$B$24:$C$29,2,0))))</f>
        <v/>
      </c>
      <c r="Z1854" s="536" t="str">
        <f t="shared" si="757"/>
        <v/>
      </c>
      <c r="AA1854" s="531">
        <f t="shared" si="758"/>
        <v>0</v>
      </c>
      <c r="AB1854" s="535" t="str">
        <f t="shared" si="746"/>
        <v/>
      </c>
      <c r="AC1854" s="537" t="str">
        <f t="shared" si="747"/>
        <v/>
      </c>
      <c r="AD1854" s="538" t="str">
        <f t="shared" ca="1" si="748"/>
        <v/>
      </c>
      <c r="AE1854" s="537">
        <f t="shared" ca="1" si="749"/>
        <v>0</v>
      </c>
      <c r="AF1854" s="539" t="str">
        <f t="shared" ca="1" si="759"/>
        <v/>
      </c>
      <c r="AG1854" s="531" t="str">
        <f t="shared" ca="1" si="760"/>
        <v/>
      </c>
      <c r="AH1854" s="531" t="str">
        <f t="shared" ca="1" si="761"/>
        <v/>
      </c>
      <c r="AI1854" s="531" t="str">
        <f t="shared" ca="1" si="762"/>
        <v/>
      </c>
      <c r="AJ1854" s="531" t="str">
        <f t="shared" si="763"/>
        <v/>
      </c>
      <c r="AK1854" s="540">
        <f>SUMIFS('Live Collections'!$S:$S,'Live Collections'!$D:$D,Disbursements!B1854,'Live Collections'!$G:$G,Disbursements!C1854)</f>
        <v>0</v>
      </c>
      <c r="AL1854" s="540">
        <f>SUMIFS('Live Collections'!$T:$T,'Live Collections'!$D:$D,Disbursements!B1854,'Live Collections'!$G:$G,Disbursements!C1854)</f>
        <v>0</v>
      </c>
      <c r="AM1854" s="541">
        <f t="shared" si="764"/>
        <v>0</v>
      </c>
      <c r="AN1854" s="542" t="str">
        <f t="shared" si="765"/>
        <v/>
      </c>
      <c r="AO1854" s="542" t="str">
        <f t="shared" si="766"/>
        <v/>
      </c>
      <c r="AP1854" s="543" t="str">
        <f t="shared" si="767"/>
        <v/>
      </c>
      <c r="AQ1854" s="544" t="str">
        <f t="shared" si="768"/>
        <v/>
      </c>
      <c r="AR1854" s="545">
        <f t="shared" si="769"/>
        <v>0</v>
      </c>
      <c r="AS1854" s="545">
        <f>IFERROR(CEILING($AR1854*VLOOKUP($I1854,Ref!$B$23:$E$29,4,0),1),0)</f>
        <v>0</v>
      </c>
      <c r="AT1854" s="545" t="str">
        <f>IF(A1854="","",IF(AP1854&lt;=1,"Cleared",IF(AS1854=0,"Clean",VLOOKUP($AS1854,Ref!$G$23:$H$28,2))))</f>
        <v/>
      </c>
      <c r="AU1854" s="546" t="str">
        <f t="shared" si="770"/>
        <v/>
      </c>
    </row>
    <row r="1855" spans="1:47" ht="14.25" hidden="1" customHeight="1" x14ac:dyDescent="0.15">
      <c r="A1855" s="575"/>
      <c r="B1855" s="548"/>
      <c r="C1855" s="548"/>
      <c r="D1855" s="548"/>
      <c r="E1855" s="583"/>
      <c r="F1855" s="584"/>
      <c r="G1855" s="548"/>
      <c r="H1855" s="550"/>
      <c r="I1855" s="560"/>
      <c r="J1855" s="548"/>
      <c r="K1855" s="528" t="str">
        <f>IFERROR(VLOOKUP($B1855,'Clients-Live'!$A:$C,3,0),"")</f>
        <v/>
      </c>
      <c r="L1855" s="528">
        <f>IF(E1855="STL",Pricing!$D$38,IF(A1855="",0,IF(A1855&lt;Pricing!$C$25,Pricing!$D$25,VLOOKUP(Disbursements!$F1855,Pricing!$B$29:$D$32,3))))</f>
        <v>0</v>
      </c>
      <c r="M1855" s="528">
        <f>IF(E1855="STL",0,IF(F1855&gt;0,Pricing!$D$21,0))</f>
        <v>0</v>
      </c>
      <c r="N1855" s="529">
        <f>IF(E1855="STL",F1855*Pricing!$D$40,IF(A1855&lt;=Pricing!$C$4,0,IF(AND(A1855&gt;Pricing!$C$4,Disbursements!A1855&lt;=Pricing!$C$5),F1855*Pricing!$E$5,IF(AND(A1855&gt;Pricing!$C$5,Disbursements!A1855&lt;=Pricing!$C$7),VLOOKUP(F1855,Pricing!$D$7:$E$8,2)*Disbursements!F1855,F1855*Pricing!$E$9))))</f>
        <v>0</v>
      </c>
      <c r="O1855" s="528">
        <f>IF(E1855="STL",0,IF($F1855&gt;0,$F1855*Pricing!$D$17,0))</f>
        <v>0</v>
      </c>
      <c r="P1855" s="530" t="str">
        <f t="shared" si="750"/>
        <v/>
      </c>
      <c r="Q1855" s="531" t="str">
        <f>IF($A1855="","",$G1855/VLOOKUP($I1855,Ref!$B$23:$D$29,2,0))</f>
        <v/>
      </c>
      <c r="R1855" s="530" t="str">
        <f t="shared" si="751"/>
        <v/>
      </c>
      <c r="S1855" s="532" t="str">
        <f t="shared" si="745"/>
        <v/>
      </c>
      <c r="T1855" s="531" t="str">
        <f t="shared" si="752"/>
        <v/>
      </c>
      <c r="U1855" s="533">
        <f t="shared" si="753"/>
        <v>0</v>
      </c>
      <c r="V1855" s="531" t="str">
        <f t="shared" si="754"/>
        <v/>
      </c>
      <c r="W1855" s="531" t="str">
        <f t="shared" si="755"/>
        <v/>
      </c>
      <c r="X1855" s="534" t="str">
        <f t="shared" si="756"/>
        <v/>
      </c>
      <c r="Y1855" s="535" t="str">
        <f>IF($A1855="","",IF($I1855="weekly",$A1855+7,EDATE($A1855,VLOOKUP($I1855,Ref!$B$24:$C$29,2,0))))</f>
        <v/>
      </c>
      <c r="Z1855" s="536" t="str">
        <f t="shared" si="757"/>
        <v/>
      </c>
      <c r="AA1855" s="531">
        <f t="shared" si="758"/>
        <v>0</v>
      </c>
      <c r="AB1855" s="535" t="str">
        <f t="shared" si="746"/>
        <v/>
      </c>
      <c r="AC1855" s="537" t="str">
        <f t="shared" si="747"/>
        <v/>
      </c>
      <c r="AD1855" s="538" t="str">
        <f t="shared" ca="1" si="748"/>
        <v/>
      </c>
      <c r="AE1855" s="537">
        <f t="shared" ca="1" si="749"/>
        <v>0</v>
      </c>
      <c r="AF1855" s="539" t="str">
        <f t="shared" ca="1" si="759"/>
        <v/>
      </c>
      <c r="AG1855" s="531" t="str">
        <f t="shared" ca="1" si="760"/>
        <v/>
      </c>
      <c r="AH1855" s="531" t="str">
        <f t="shared" ca="1" si="761"/>
        <v/>
      </c>
      <c r="AI1855" s="531" t="str">
        <f t="shared" ca="1" si="762"/>
        <v/>
      </c>
      <c r="AJ1855" s="531" t="str">
        <f t="shared" si="763"/>
        <v/>
      </c>
      <c r="AK1855" s="540">
        <f>SUMIFS('Live Collections'!$S:$S,'Live Collections'!$D:$D,Disbursements!B1855,'Live Collections'!$G:$G,Disbursements!C1855)</f>
        <v>0</v>
      </c>
      <c r="AL1855" s="540">
        <f>SUMIFS('Live Collections'!$T:$T,'Live Collections'!$D:$D,Disbursements!B1855,'Live Collections'!$G:$G,Disbursements!C1855)</f>
        <v>0</v>
      </c>
      <c r="AM1855" s="541">
        <f t="shared" si="764"/>
        <v>0</v>
      </c>
      <c r="AN1855" s="542" t="str">
        <f t="shared" si="765"/>
        <v/>
      </c>
      <c r="AO1855" s="542" t="str">
        <f t="shared" si="766"/>
        <v/>
      </c>
      <c r="AP1855" s="543" t="str">
        <f t="shared" si="767"/>
        <v/>
      </c>
      <c r="AQ1855" s="544" t="str">
        <f t="shared" si="768"/>
        <v/>
      </c>
      <c r="AR1855" s="545">
        <f t="shared" si="769"/>
        <v>0</v>
      </c>
      <c r="AS1855" s="545">
        <f>IFERROR(CEILING($AR1855*VLOOKUP($I1855,Ref!$B$23:$E$29,4,0),1),0)</f>
        <v>0</v>
      </c>
      <c r="AT1855" s="545" t="str">
        <f>IF(A1855="","",IF(AP1855&lt;=1,"Cleared",IF(AS1855=0,"Clean",VLOOKUP($AS1855,Ref!$G$23:$H$28,2))))</f>
        <v/>
      </c>
      <c r="AU1855" s="546" t="str">
        <f t="shared" si="770"/>
        <v/>
      </c>
    </row>
    <row r="1856" spans="1:47" ht="14.25" hidden="1" customHeight="1" x14ac:dyDescent="0.15">
      <c r="A1856" s="575"/>
      <c r="B1856" s="548"/>
      <c r="C1856" s="548"/>
      <c r="D1856" s="548"/>
      <c r="E1856" s="583"/>
      <c r="F1856" s="584"/>
      <c r="G1856" s="548"/>
      <c r="H1856" s="550"/>
      <c r="I1856" s="560"/>
      <c r="J1856" s="548"/>
      <c r="K1856" s="528" t="str">
        <f>IFERROR(VLOOKUP($B1856,'Clients-Live'!$A:$C,3,0),"")</f>
        <v/>
      </c>
      <c r="L1856" s="528">
        <f>IF(E1856="STL",Pricing!$D$38,IF(A1856="",0,IF(A1856&lt;Pricing!$C$25,Pricing!$D$25,VLOOKUP(Disbursements!$F1856,Pricing!$B$29:$D$32,3))))</f>
        <v>0</v>
      </c>
      <c r="M1856" s="528">
        <f>IF(E1856="STL",0,IF(F1856&gt;0,Pricing!$D$21,0))</f>
        <v>0</v>
      </c>
      <c r="N1856" s="529">
        <f>IF(E1856="STL",F1856*Pricing!$D$40,IF(A1856&lt;=Pricing!$C$4,0,IF(AND(A1856&gt;Pricing!$C$4,Disbursements!A1856&lt;=Pricing!$C$5),F1856*Pricing!$E$5,IF(AND(A1856&gt;Pricing!$C$5,Disbursements!A1856&lt;=Pricing!$C$7),VLOOKUP(F1856,Pricing!$D$7:$E$8,2)*Disbursements!F1856,F1856*Pricing!$E$9))))</f>
        <v>0</v>
      </c>
      <c r="O1856" s="528">
        <f>IF(E1856="STL",0,IF($F1856&gt;0,$F1856*Pricing!$D$17,0))</f>
        <v>0</v>
      </c>
      <c r="P1856" s="530" t="str">
        <f t="shared" si="750"/>
        <v/>
      </c>
      <c r="Q1856" s="531" t="str">
        <f>IF($A1856="","",$G1856/VLOOKUP($I1856,Ref!$B$23:$D$29,2,0))</f>
        <v/>
      </c>
      <c r="R1856" s="530" t="str">
        <f t="shared" si="751"/>
        <v/>
      </c>
      <c r="S1856" s="532" t="str">
        <f t="shared" si="745"/>
        <v/>
      </c>
      <c r="T1856" s="531" t="str">
        <f t="shared" si="752"/>
        <v/>
      </c>
      <c r="U1856" s="533">
        <f t="shared" si="753"/>
        <v>0</v>
      </c>
      <c r="V1856" s="531" t="str">
        <f t="shared" si="754"/>
        <v/>
      </c>
      <c r="W1856" s="531" t="str">
        <f t="shared" si="755"/>
        <v/>
      </c>
      <c r="X1856" s="534" t="str">
        <f t="shared" si="756"/>
        <v/>
      </c>
      <c r="Y1856" s="535" t="str">
        <f>IF($A1856="","",IF($I1856="weekly",$A1856+7,EDATE($A1856,VLOOKUP($I1856,Ref!$B$24:$C$29,2,0))))</f>
        <v/>
      </c>
      <c r="Z1856" s="536" t="str">
        <f t="shared" si="757"/>
        <v/>
      </c>
      <c r="AA1856" s="531">
        <f t="shared" si="758"/>
        <v>0</v>
      </c>
      <c r="AB1856" s="535" t="str">
        <f t="shared" si="746"/>
        <v/>
      </c>
      <c r="AC1856" s="537" t="str">
        <f t="shared" si="747"/>
        <v/>
      </c>
      <c r="AD1856" s="538" t="str">
        <f t="shared" ca="1" si="748"/>
        <v/>
      </c>
      <c r="AE1856" s="537">
        <f t="shared" ca="1" si="749"/>
        <v>0</v>
      </c>
      <c r="AF1856" s="539" t="str">
        <f t="shared" ca="1" si="759"/>
        <v/>
      </c>
      <c r="AG1856" s="531" t="str">
        <f t="shared" ca="1" si="760"/>
        <v/>
      </c>
      <c r="AH1856" s="531" t="str">
        <f t="shared" ca="1" si="761"/>
        <v/>
      </c>
      <c r="AI1856" s="531" t="str">
        <f t="shared" ca="1" si="762"/>
        <v/>
      </c>
      <c r="AJ1856" s="531" t="str">
        <f t="shared" si="763"/>
        <v/>
      </c>
      <c r="AK1856" s="540">
        <f>SUMIFS('Live Collections'!$S:$S,'Live Collections'!$D:$D,Disbursements!B1856,'Live Collections'!$G:$G,Disbursements!C1856)</f>
        <v>0</v>
      </c>
      <c r="AL1856" s="540">
        <f>SUMIFS('Live Collections'!$T:$T,'Live Collections'!$D:$D,Disbursements!B1856,'Live Collections'!$G:$G,Disbursements!C1856)</f>
        <v>0</v>
      </c>
      <c r="AM1856" s="541">
        <f t="shared" si="764"/>
        <v>0</v>
      </c>
      <c r="AN1856" s="542" t="str">
        <f t="shared" si="765"/>
        <v/>
      </c>
      <c r="AO1856" s="542" t="str">
        <f t="shared" si="766"/>
        <v/>
      </c>
      <c r="AP1856" s="543" t="str">
        <f t="shared" si="767"/>
        <v/>
      </c>
      <c r="AQ1856" s="544" t="str">
        <f t="shared" si="768"/>
        <v/>
      </c>
      <c r="AR1856" s="545">
        <f t="shared" si="769"/>
        <v>0</v>
      </c>
      <c r="AS1856" s="545">
        <f>IFERROR(CEILING($AR1856*VLOOKUP($I1856,Ref!$B$23:$E$29,4,0),1),0)</f>
        <v>0</v>
      </c>
      <c r="AT1856" s="545" t="str">
        <f>IF(A1856="","",IF(AP1856&lt;=1,"Cleared",IF(AS1856=0,"Clean",VLOOKUP($AS1856,Ref!$G$23:$H$28,2))))</f>
        <v/>
      </c>
      <c r="AU1856" s="546" t="str">
        <f t="shared" si="770"/>
        <v/>
      </c>
    </row>
    <row r="1857" spans="1:47" ht="14.25" hidden="1" customHeight="1" x14ac:dyDescent="0.15">
      <c r="A1857" s="575"/>
      <c r="B1857" s="548"/>
      <c r="C1857" s="548"/>
      <c r="D1857" s="548"/>
      <c r="E1857" s="583"/>
      <c r="F1857" s="584"/>
      <c r="G1857" s="548"/>
      <c r="H1857" s="550"/>
      <c r="I1857" s="560"/>
      <c r="J1857" s="548"/>
      <c r="K1857" s="528" t="str">
        <f>IFERROR(VLOOKUP($B1857,'Clients-Live'!$A:$C,3,0),"")</f>
        <v/>
      </c>
      <c r="L1857" s="528">
        <f>IF(E1857="STL",Pricing!$D$38,IF(A1857="",0,IF(A1857&lt;Pricing!$C$25,Pricing!$D$25,VLOOKUP(Disbursements!$F1857,Pricing!$B$29:$D$32,3))))</f>
        <v>0</v>
      </c>
      <c r="M1857" s="528">
        <f>IF(E1857="STL",0,IF(F1857&gt;0,Pricing!$D$21,0))</f>
        <v>0</v>
      </c>
      <c r="N1857" s="529">
        <f>IF(E1857="STL",F1857*Pricing!$D$40,IF(A1857&lt;=Pricing!$C$4,0,IF(AND(A1857&gt;Pricing!$C$4,Disbursements!A1857&lt;=Pricing!$C$5),F1857*Pricing!$E$5,IF(AND(A1857&gt;Pricing!$C$5,Disbursements!A1857&lt;=Pricing!$C$7),VLOOKUP(F1857,Pricing!$D$7:$E$8,2)*Disbursements!F1857,F1857*Pricing!$E$9))))</f>
        <v>0</v>
      </c>
      <c r="O1857" s="528">
        <f>IF(E1857="STL",0,IF($F1857&gt;0,$F1857*Pricing!$D$17,0))</f>
        <v>0</v>
      </c>
      <c r="P1857" s="530" t="str">
        <f t="shared" si="750"/>
        <v/>
      </c>
      <c r="Q1857" s="531" t="str">
        <f>IF($A1857="","",$G1857/VLOOKUP($I1857,Ref!$B$23:$D$29,2,0))</f>
        <v/>
      </c>
      <c r="R1857" s="530" t="str">
        <f t="shared" si="751"/>
        <v/>
      </c>
      <c r="S1857" s="532" t="str">
        <f t="shared" si="745"/>
        <v/>
      </c>
      <c r="T1857" s="531" t="str">
        <f t="shared" si="752"/>
        <v/>
      </c>
      <c r="U1857" s="533">
        <f t="shared" si="753"/>
        <v>0</v>
      </c>
      <c r="V1857" s="531" t="str">
        <f t="shared" si="754"/>
        <v/>
      </c>
      <c r="W1857" s="531" t="str">
        <f t="shared" si="755"/>
        <v/>
      </c>
      <c r="X1857" s="534" t="str">
        <f t="shared" si="756"/>
        <v/>
      </c>
      <c r="Y1857" s="535" t="str">
        <f>IF($A1857="","",IF($I1857="weekly",$A1857+7,EDATE($A1857,VLOOKUP($I1857,Ref!$B$24:$C$29,2,0))))</f>
        <v/>
      </c>
      <c r="Z1857" s="536" t="str">
        <f t="shared" si="757"/>
        <v/>
      </c>
      <c r="AA1857" s="531">
        <f t="shared" si="758"/>
        <v>0</v>
      </c>
      <c r="AB1857" s="535" t="str">
        <f t="shared" si="746"/>
        <v/>
      </c>
      <c r="AC1857" s="537" t="str">
        <f t="shared" si="747"/>
        <v/>
      </c>
      <c r="AD1857" s="538" t="str">
        <f t="shared" ca="1" si="748"/>
        <v/>
      </c>
      <c r="AE1857" s="537">
        <f t="shared" ca="1" si="749"/>
        <v>0</v>
      </c>
      <c r="AF1857" s="539" t="str">
        <f t="shared" ca="1" si="759"/>
        <v/>
      </c>
      <c r="AG1857" s="531" t="str">
        <f t="shared" ca="1" si="760"/>
        <v/>
      </c>
      <c r="AH1857" s="531" t="str">
        <f t="shared" ca="1" si="761"/>
        <v/>
      </c>
      <c r="AI1857" s="531" t="str">
        <f t="shared" ca="1" si="762"/>
        <v/>
      </c>
      <c r="AJ1857" s="531" t="str">
        <f t="shared" si="763"/>
        <v/>
      </c>
      <c r="AK1857" s="540">
        <f>SUMIFS('Live Collections'!$S:$S,'Live Collections'!$D:$D,Disbursements!B1857,'Live Collections'!$G:$G,Disbursements!C1857)</f>
        <v>0</v>
      </c>
      <c r="AL1857" s="540">
        <f>SUMIFS('Live Collections'!$T:$T,'Live Collections'!$D:$D,Disbursements!B1857,'Live Collections'!$G:$G,Disbursements!C1857)</f>
        <v>0</v>
      </c>
      <c r="AM1857" s="541">
        <f t="shared" si="764"/>
        <v>0</v>
      </c>
      <c r="AN1857" s="542" t="str">
        <f t="shared" si="765"/>
        <v/>
      </c>
      <c r="AO1857" s="542" t="str">
        <f t="shared" si="766"/>
        <v/>
      </c>
      <c r="AP1857" s="543" t="str">
        <f t="shared" si="767"/>
        <v/>
      </c>
      <c r="AQ1857" s="544" t="str">
        <f t="shared" si="768"/>
        <v/>
      </c>
      <c r="AR1857" s="545">
        <f t="shared" si="769"/>
        <v>0</v>
      </c>
      <c r="AS1857" s="545">
        <f>IFERROR(CEILING($AR1857*VLOOKUP($I1857,Ref!$B$23:$E$29,4,0),1),0)</f>
        <v>0</v>
      </c>
      <c r="AT1857" s="545" t="str">
        <f>IF(A1857="","",IF(AP1857&lt;=1,"Cleared",IF(AS1857=0,"Clean",VLOOKUP($AS1857,Ref!$G$23:$H$28,2))))</f>
        <v/>
      </c>
      <c r="AU1857" s="546" t="str">
        <f t="shared" si="770"/>
        <v/>
      </c>
    </row>
    <row r="1858" spans="1:47" ht="14.25" hidden="1" customHeight="1" x14ac:dyDescent="0.15">
      <c r="A1858" s="575"/>
      <c r="B1858" s="548"/>
      <c r="C1858" s="548"/>
      <c r="D1858" s="548"/>
      <c r="E1858" s="583"/>
      <c r="F1858" s="584"/>
      <c r="G1858" s="548"/>
      <c r="H1858" s="550"/>
      <c r="I1858" s="560"/>
      <c r="J1858" s="548"/>
      <c r="K1858" s="528" t="str">
        <f>IFERROR(VLOOKUP($B1858,'Clients-Live'!$A:$C,3,0),"")</f>
        <v/>
      </c>
      <c r="L1858" s="528">
        <f>IF(E1858="STL",Pricing!$D$38,IF(A1858="",0,IF(A1858&lt;Pricing!$C$25,Pricing!$D$25,VLOOKUP(Disbursements!$F1858,Pricing!$B$29:$D$32,3))))</f>
        <v>0</v>
      </c>
      <c r="M1858" s="528">
        <f>IF(E1858="STL",0,IF(F1858&gt;0,Pricing!$D$21,0))</f>
        <v>0</v>
      </c>
      <c r="N1858" s="529">
        <f>IF(E1858="STL",F1858*Pricing!$D$40,IF(A1858&lt;=Pricing!$C$4,0,IF(AND(A1858&gt;Pricing!$C$4,Disbursements!A1858&lt;=Pricing!$C$5),F1858*Pricing!$E$5,IF(AND(A1858&gt;Pricing!$C$5,Disbursements!A1858&lt;=Pricing!$C$7),VLOOKUP(F1858,Pricing!$D$7:$E$8,2)*Disbursements!F1858,F1858*Pricing!$E$9))))</f>
        <v>0</v>
      </c>
      <c r="O1858" s="528">
        <f>IF(E1858="STL",0,IF($F1858&gt;0,$F1858*Pricing!$D$17,0))</f>
        <v>0</v>
      </c>
      <c r="P1858" s="530" t="str">
        <f t="shared" si="750"/>
        <v/>
      </c>
      <c r="Q1858" s="531" t="str">
        <f>IF($A1858="","",$G1858/VLOOKUP($I1858,Ref!$B$23:$D$29,2,0))</f>
        <v/>
      </c>
      <c r="R1858" s="530" t="str">
        <f t="shared" si="751"/>
        <v/>
      </c>
      <c r="S1858" s="532" t="str">
        <f t="shared" si="745"/>
        <v/>
      </c>
      <c r="T1858" s="531" t="str">
        <f t="shared" si="752"/>
        <v/>
      </c>
      <c r="U1858" s="533">
        <f t="shared" si="753"/>
        <v>0</v>
      </c>
      <c r="V1858" s="531" t="str">
        <f t="shared" si="754"/>
        <v/>
      </c>
      <c r="W1858" s="531" t="str">
        <f t="shared" si="755"/>
        <v/>
      </c>
      <c r="X1858" s="534" t="str">
        <f t="shared" si="756"/>
        <v/>
      </c>
      <c r="Y1858" s="535" t="str">
        <f>IF($A1858="","",IF($I1858="weekly",$A1858+7,EDATE($A1858,VLOOKUP($I1858,Ref!$B$24:$C$29,2,0))))</f>
        <v/>
      </c>
      <c r="Z1858" s="536" t="str">
        <f t="shared" si="757"/>
        <v/>
      </c>
      <c r="AA1858" s="531">
        <f t="shared" si="758"/>
        <v>0</v>
      </c>
      <c r="AB1858" s="535" t="str">
        <f t="shared" si="746"/>
        <v/>
      </c>
      <c r="AC1858" s="537" t="str">
        <f t="shared" si="747"/>
        <v/>
      </c>
      <c r="AD1858" s="538" t="str">
        <f t="shared" ca="1" si="748"/>
        <v/>
      </c>
      <c r="AE1858" s="537">
        <f t="shared" ca="1" si="749"/>
        <v>0</v>
      </c>
      <c r="AF1858" s="539" t="str">
        <f t="shared" ca="1" si="759"/>
        <v/>
      </c>
      <c r="AG1858" s="531" t="str">
        <f t="shared" ca="1" si="760"/>
        <v/>
      </c>
      <c r="AH1858" s="531" t="str">
        <f t="shared" ca="1" si="761"/>
        <v/>
      </c>
      <c r="AI1858" s="531" t="str">
        <f t="shared" ca="1" si="762"/>
        <v/>
      </c>
      <c r="AJ1858" s="531" t="str">
        <f t="shared" si="763"/>
        <v/>
      </c>
      <c r="AK1858" s="540">
        <f>SUMIFS('Live Collections'!$S:$S,'Live Collections'!$D:$D,Disbursements!B1858,'Live Collections'!$G:$G,Disbursements!C1858)</f>
        <v>0</v>
      </c>
      <c r="AL1858" s="540">
        <f>SUMIFS('Live Collections'!$T:$T,'Live Collections'!$D:$D,Disbursements!B1858,'Live Collections'!$G:$G,Disbursements!C1858)</f>
        <v>0</v>
      </c>
      <c r="AM1858" s="541">
        <f t="shared" si="764"/>
        <v>0</v>
      </c>
      <c r="AN1858" s="542" t="str">
        <f t="shared" si="765"/>
        <v/>
      </c>
      <c r="AO1858" s="542" t="str">
        <f t="shared" si="766"/>
        <v/>
      </c>
      <c r="AP1858" s="543" t="str">
        <f t="shared" si="767"/>
        <v/>
      </c>
      <c r="AQ1858" s="544" t="str">
        <f t="shared" si="768"/>
        <v/>
      </c>
      <c r="AR1858" s="545">
        <f t="shared" si="769"/>
        <v>0</v>
      </c>
      <c r="AS1858" s="545">
        <f>IFERROR(CEILING($AR1858*VLOOKUP($I1858,Ref!$B$23:$E$29,4,0),1),0)</f>
        <v>0</v>
      </c>
      <c r="AT1858" s="545" t="str">
        <f>IF(A1858="","",IF(AP1858&lt;=1,"Cleared",IF(AS1858=0,"Clean",VLOOKUP($AS1858,Ref!$G$23:$H$28,2))))</f>
        <v/>
      </c>
      <c r="AU1858" s="546" t="str">
        <f t="shared" si="770"/>
        <v/>
      </c>
    </row>
    <row r="1859" spans="1:47" ht="14.25" hidden="1" customHeight="1" x14ac:dyDescent="0.15">
      <c r="A1859" s="575"/>
      <c r="B1859" s="548"/>
      <c r="C1859" s="548"/>
      <c r="D1859" s="548"/>
      <c r="E1859" s="583"/>
      <c r="F1859" s="584"/>
      <c r="G1859" s="548"/>
      <c r="H1859" s="550"/>
      <c r="I1859" s="560"/>
      <c r="J1859" s="548"/>
      <c r="K1859" s="528" t="str">
        <f>IFERROR(VLOOKUP($B1859,'Clients-Live'!$A:$C,3,0),"")</f>
        <v/>
      </c>
      <c r="L1859" s="528">
        <f>IF(E1859="STL",Pricing!$D$38,IF(A1859="",0,IF(A1859&lt;Pricing!$C$25,Pricing!$D$25,VLOOKUP(Disbursements!$F1859,Pricing!$B$29:$D$32,3))))</f>
        <v>0</v>
      </c>
      <c r="M1859" s="528">
        <f>IF(E1859="STL",0,IF(F1859&gt;0,Pricing!$D$21,0))</f>
        <v>0</v>
      </c>
      <c r="N1859" s="529">
        <f>IF(E1859="STL",F1859*Pricing!$D$40,IF(A1859&lt;=Pricing!$C$4,0,IF(AND(A1859&gt;Pricing!$C$4,Disbursements!A1859&lt;=Pricing!$C$5),F1859*Pricing!$E$5,IF(AND(A1859&gt;Pricing!$C$5,Disbursements!A1859&lt;=Pricing!$C$7),VLOOKUP(F1859,Pricing!$D$7:$E$8,2)*Disbursements!F1859,F1859*Pricing!$E$9))))</f>
        <v>0</v>
      </c>
      <c r="O1859" s="528">
        <f>IF(E1859="STL",0,IF($F1859&gt;0,$F1859*Pricing!$D$17,0))</f>
        <v>0</v>
      </c>
      <c r="P1859" s="530" t="str">
        <f t="shared" si="750"/>
        <v/>
      </c>
      <c r="Q1859" s="531" t="str">
        <f>IF($A1859="","",$G1859/VLOOKUP($I1859,Ref!$B$23:$D$29,2,0))</f>
        <v/>
      </c>
      <c r="R1859" s="530" t="str">
        <f t="shared" si="751"/>
        <v/>
      </c>
      <c r="S1859" s="532" t="str">
        <f t="shared" si="745"/>
        <v/>
      </c>
      <c r="T1859" s="531" t="str">
        <f t="shared" si="752"/>
        <v/>
      </c>
      <c r="U1859" s="533">
        <f t="shared" si="753"/>
        <v>0</v>
      </c>
      <c r="V1859" s="531" t="str">
        <f t="shared" si="754"/>
        <v/>
      </c>
      <c r="W1859" s="531" t="str">
        <f t="shared" si="755"/>
        <v/>
      </c>
      <c r="X1859" s="534" t="str">
        <f t="shared" si="756"/>
        <v/>
      </c>
      <c r="Y1859" s="535" t="str">
        <f>IF($A1859="","",IF($I1859="weekly",$A1859+7,EDATE($A1859,VLOOKUP($I1859,Ref!$B$24:$C$29,2,0))))</f>
        <v/>
      </c>
      <c r="Z1859" s="536" t="str">
        <f t="shared" si="757"/>
        <v/>
      </c>
      <c r="AA1859" s="531">
        <f t="shared" si="758"/>
        <v>0</v>
      </c>
      <c r="AB1859" s="535" t="str">
        <f t="shared" si="746"/>
        <v/>
      </c>
      <c r="AC1859" s="537" t="str">
        <f t="shared" si="747"/>
        <v/>
      </c>
      <c r="AD1859" s="538" t="str">
        <f t="shared" ca="1" si="748"/>
        <v/>
      </c>
      <c r="AE1859" s="537">
        <f t="shared" ca="1" si="749"/>
        <v>0</v>
      </c>
      <c r="AF1859" s="539" t="str">
        <f t="shared" ca="1" si="759"/>
        <v/>
      </c>
      <c r="AG1859" s="531" t="str">
        <f t="shared" ca="1" si="760"/>
        <v/>
      </c>
      <c r="AH1859" s="531" t="str">
        <f t="shared" ca="1" si="761"/>
        <v/>
      </c>
      <c r="AI1859" s="531" t="str">
        <f t="shared" ca="1" si="762"/>
        <v/>
      </c>
      <c r="AJ1859" s="531" t="str">
        <f t="shared" si="763"/>
        <v/>
      </c>
      <c r="AK1859" s="540">
        <f>SUMIFS('Live Collections'!$S:$S,'Live Collections'!$D:$D,Disbursements!B1859,'Live Collections'!$G:$G,Disbursements!C1859)</f>
        <v>0</v>
      </c>
      <c r="AL1859" s="540">
        <f>SUMIFS('Live Collections'!$T:$T,'Live Collections'!$D:$D,Disbursements!B1859,'Live Collections'!$G:$G,Disbursements!C1859)</f>
        <v>0</v>
      </c>
      <c r="AM1859" s="541">
        <f t="shared" si="764"/>
        <v>0</v>
      </c>
      <c r="AN1859" s="542" t="str">
        <f t="shared" si="765"/>
        <v/>
      </c>
      <c r="AO1859" s="542" t="str">
        <f t="shared" si="766"/>
        <v/>
      </c>
      <c r="AP1859" s="543" t="str">
        <f t="shared" si="767"/>
        <v/>
      </c>
      <c r="AQ1859" s="544" t="str">
        <f t="shared" si="768"/>
        <v/>
      </c>
      <c r="AR1859" s="545">
        <f t="shared" si="769"/>
        <v>0</v>
      </c>
      <c r="AS1859" s="545">
        <f>IFERROR(CEILING($AR1859*VLOOKUP($I1859,Ref!$B$23:$E$29,4,0),1),0)</f>
        <v>0</v>
      </c>
      <c r="AT1859" s="545" t="str">
        <f>IF(A1859="","",IF(AP1859&lt;=1,"Cleared",IF(AS1859=0,"Clean",VLOOKUP($AS1859,Ref!$G$23:$H$28,2))))</f>
        <v/>
      </c>
      <c r="AU1859" s="546" t="str">
        <f t="shared" si="770"/>
        <v/>
      </c>
    </row>
    <row r="1860" spans="1:47" ht="14.25" hidden="1" customHeight="1" x14ac:dyDescent="0.15">
      <c r="A1860" s="575"/>
      <c r="B1860" s="548"/>
      <c r="C1860" s="548"/>
      <c r="D1860" s="548"/>
      <c r="E1860" s="583"/>
      <c r="F1860" s="584"/>
      <c r="G1860" s="548"/>
      <c r="H1860" s="550"/>
      <c r="I1860" s="560"/>
      <c r="J1860" s="548"/>
      <c r="K1860" s="528" t="str">
        <f>IFERROR(VLOOKUP($B1860,'Clients-Live'!$A:$C,3,0),"")</f>
        <v/>
      </c>
      <c r="L1860" s="528">
        <f>IF(E1860="STL",Pricing!$D$38,IF(A1860="",0,IF(A1860&lt;Pricing!$C$25,Pricing!$D$25,VLOOKUP(Disbursements!$F1860,Pricing!$B$29:$D$32,3))))</f>
        <v>0</v>
      </c>
      <c r="M1860" s="528">
        <f>IF(E1860="STL",0,IF(F1860&gt;0,Pricing!$D$21,0))</f>
        <v>0</v>
      </c>
      <c r="N1860" s="529">
        <f>IF(E1860="STL",F1860*Pricing!$D$40,IF(A1860&lt;=Pricing!$C$4,0,IF(AND(A1860&gt;Pricing!$C$4,Disbursements!A1860&lt;=Pricing!$C$5),F1860*Pricing!$E$5,IF(AND(A1860&gt;Pricing!$C$5,Disbursements!A1860&lt;=Pricing!$C$7),VLOOKUP(F1860,Pricing!$D$7:$E$8,2)*Disbursements!F1860,F1860*Pricing!$E$9))))</f>
        <v>0</v>
      </c>
      <c r="O1860" s="528">
        <f>IF(E1860="STL",0,IF($F1860&gt;0,$F1860*Pricing!$D$17,0))</f>
        <v>0</v>
      </c>
      <c r="P1860" s="530" t="str">
        <f t="shared" si="750"/>
        <v/>
      </c>
      <c r="Q1860" s="531" t="str">
        <f>IF($A1860="","",$G1860/VLOOKUP($I1860,Ref!$B$23:$D$29,2,0))</f>
        <v/>
      </c>
      <c r="R1860" s="530" t="str">
        <f t="shared" si="751"/>
        <v/>
      </c>
      <c r="S1860" s="532" t="str">
        <f t="shared" ref="S1860:S1923" si="771">IF($A1860="","",$R1860/$Q1860)</f>
        <v/>
      </c>
      <c r="T1860" s="531" t="str">
        <f t="shared" si="752"/>
        <v/>
      </c>
      <c r="U1860" s="533">
        <f t="shared" si="753"/>
        <v>0</v>
      </c>
      <c r="V1860" s="531" t="str">
        <f t="shared" si="754"/>
        <v/>
      </c>
      <c r="W1860" s="531" t="str">
        <f t="shared" si="755"/>
        <v/>
      </c>
      <c r="X1860" s="534" t="str">
        <f t="shared" si="756"/>
        <v/>
      </c>
      <c r="Y1860" s="535" t="str">
        <f>IF($A1860="","",IF($I1860="weekly",$A1860+7,EDATE($A1860,VLOOKUP($I1860,Ref!$B$24:$C$29,2,0))))</f>
        <v/>
      </c>
      <c r="Z1860" s="536" t="str">
        <f t="shared" si="757"/>
        <v/>
      </c>
      <c r="AA1860" s="531">
        <f t="shared" si="758"/>
        <v>0</v>
      </c>
      <c r="AB1860" s="535" t="str">
        <f t="shared" ref="AB1860:AB1923" si="772">IF($A1860="","",EDATE($A1860,$G1860))</f>
        <v/>
      </c>
      <c r="AC1860" s="537" t="str">
        <f t="shared" ref="AC1860:AC1923" si="773">IFERROR($AB1860-$A1860,"")</f>
        <v/>
      </c>
      <c r="AD1860" s="538" t="str">
        <f t="shared" ref="AD1860:AD1923" ca="1" si="774">IFERROR(IF(TODAY()-$A1860&lt;$AB1860-$A1860,TODAY()-$A1860,"Expired"),"")</f>
        <v/>
      </c>
      <c r="AE1860" s="537">
        <f t="shared" ref="AE1860:AE1923" ca="1" si="775">IFERROR($AC1860-$AD1860,0)</f>
        <v>0</v>
      </c>
      <c r="AF1860" s="539" t="str">
        <f t="shared" ca="1" si="759"/>
        <v/>
      </c>
      <c r="AG1860" s="531" t="str">
        <f t="shared" ca="1" si="760"/>
        <v/>
      </c>
      <c r="AH1860" s="531" t="str">
        <f t="shared" ca="1" si="761"/>
        <v/>
      </c>
      <c r="AI1860" s="531" t="str">
        <f t="shared" ca="1" si="762"/>
        <v/>
      </c>
      <c r="AJ1860" s="531" t="str">
        <f t="shared" si="763"/>
        <v/>
      </c>
      <c r="AK1860" s="540">
        <f>SUMIFS('Live Collections'!$S:$S,'Live Collections'!$D:$D,Disbursements!B1860,'Live Collections'!$G:$G,Disbursements!C1860)</f>
        <v>0</v>
      </c>
      <c r="AL1860" s="540">
        <f>SUMIFS('Live Collections'!$T:$T,'Live Collections'!$D:$D,Disbursements!B1860,'Live Collections'!$G:$G,Disbursements!C1860)</f>
        <v>0</v>
      </c>
      <c r="AM1860" s="541">
        <f t="shared" si="764"/>
        <v>0</v>
      </c>
      <c r="AN1860" s="542" t="str">
        <f t="shared" si="765"/>
        <v/>
      </c>
      <c r="AO1860" s="542" t="str">
        <f t="shared" si="766"/>
        <v/>
      </c>
      <c r="AP1860" s="543" t="str">
        <f t="shared" si="767"/>
        <v/>
      </c>
      <c r="AQ1860" s="544" t="str">
        <f t="shared" si="768"/>
        <v/>
      </c>
      <c r="AR1860" s="545">
        <f t="shared" si="769"/>
        <v>0</v>
      </c>
      <c r="AS1860" s="545">
        <f>IFERROR(CEILING($AR1860*VLOOKUP($I1860,Ref!$B$23:$E$29,4,0),1),0)</f>
        <v>0</v>
      </c>
      <c r="AT1860" s="545" t="str">
        <f>IF(A1860="","",IF(AP1860&lt;=1,"Cleared",IF(AS1860=0,"Clean",VLOOKUP($AS1860,Ref!$G$23:$H$28,2))))</f>
        <v/>
      </c>
      <c r="AU1860" s="546" t="str">
        <f t="shared" si="770"/>
        <v/>
      </c>
    </row>
    <row r="1861" spans="1:47" ht="14.25" hidden="1" customHeight="1" x14ac:dyDescent="0.15">
      <c r="A1861" s="575"/>
      <c r="B1861" s="548"/>
      <c r="C1861" s="548"/>
      <c r="D1861" s="548"/>
      <c r="E1861" s="583"/>
      <c r="F1861" s="584"/>
      <c r="G1861" s="548"/>
      <c r="H1861" s="550"/>
      <c r="I1861" s="560"/>
      <c r="J1861" s="548"/>
      <c r="K1861" s="528" t="str">
        <f>IFERROR(VLOOKUP($B1861,'Clients-Live'!$A:$C,3,0),"")</f>
        <v/>
      </c>
      <c r="L1861" s="528">
        <f>IF(E1861="STL",Pricing!$D$38,IF(A1861="",0,IF(A1861&lt;Pricing!$C$25,Pricing!$D$25,VLOOKUP(Disbursements!$F1861,Pricing!$B$29:$D$32,3))))</f>
        <v>0</v>
      </c>
      <c r="M1861" s="528">
        <f>IF(E1861="STL",0,IF(F1861&gt;0,Pricing!$D$21,0))</f>
        <v>0</v>
      </c>
      <c r="N1861" s="529">
        <f>IF(E1861="STL",F1861*Pricing!$D$40,IF(A1861&lt;=Pricing!$C$4,0,IF(AND(A1861&gt;Pricing!$C$4,Disbursements!A1861&lt;=Pricing!$C$5),F1861*Pricing!$E$5,IF(AND(A1861&gt;Pricing!$C$5,Disbursements!A1861&lt;=Pricing!$C$7),VLOOKUP(F1861,Pricing!$D$7:$E$8,2)*Disbursements!F1861,F1861*Pricing!$E$9))))</f>
        <v>0</v>
      </c>
      <c r="O1861" s="528">
        <f>IF(E1861="STL",0,IF($F1861&gt;0,$F1861*Pricing!$D$17,0))</f>
        <v>0</v>
      </c>
      <c r="P1861" s="530" t="str">
        <f t="shared" ref="P1861:P1924" si="776">IF($A1861="","",$H1861*$F1861*$G1861)</f>
        <v/>
      </c>
      <c r="Q1861" s="531" t="str">
        <f>IF($A1861="","",$G1861/VLOOKUP($I1861,Ref!$B$23:$D$29,2,0))</f>
        <v/>
      </c>
      <c r="R1861" s="530" t="str">
        <f t="shared" ref="R1861:R1924" si="777">IF($A1861="","",$F1861+$P1861)</f>
        <v/>
      </c>
      <c r="S1861" s="532" t="str">
        <f t="shared" si="771"/>
        <v/>
      </c>
      <c r="T1861" s="531" t="str">
        <f t="shared" ref="T1861:T1924" si="778">IF(R1861="","",CEILING(S1861,1000))</f>
        <v/>
      </c>
      <c r="U1861" s="533">
        <f t="shared" ref="U1861:U1924" si="779">IFERROR(T1861*Q1861,0)</f>
        <v>0</v>
      </c>
      <c r="V1861" s="531" t="str">
        <f t="shared" ref="V1861:V1924" si="780">IF(T1861="","",F1861/Q1861)</f>
        <v/>
      </c>
      <c r="W1861" s="531" t="str">
        <f t="shared" ref="W1861:W1924" si="781">IF(T1861="","",T1861-V1861)</f>
        <v/>
      </c>
      <c r="X1861" s="534" t="str">
        <f t="shared" ref="X1861:X1924" si="782">IF(A1861="","",W1861*Q1861)</f>
        <v/>
      </c>
      <c r="Y1861" s="535" t="str">
        <f>IF($A1861="","",IF($I1861="weekly",$A1861+7,EDATE($A1861,VLOOKUP($I1861,Ref!$B$24:$C$29,2,0))))</f>
        <v/>
      </c>
      <c r="Z1861" s="536" t="str">
        <f t="shared" ref="Z1861:Z1924" si="783">IFERROR(CHOOSE(WEEKDAY(Y1861),"Sun","Mon","Tue","Wed","Thu","Frid","Sat"),"")</f>
        <v/>
      </c>
      <c r="AA1861" s="531">
        <f t="shared" ref="AA1861:AA1924" si="784">IFERROR(Y1861-A1861,0)</f>
        <v>0</v>
      </c>
      <c r="AB1861" s="535" t="str">
        <f t="shared" si="772"/>
        <v/>
      </c>
      <c r="AC1861" s="537" t="str">
        <f t="shared" si="773"/>
        <v/>
      </c>
      <c r="AD1861" s="538" t="str">
        <f t="shared" ca="1" si="774"/>
        <v/>
      </c>
      <c r="AE1861" s="537">
        <f t="shared" ca="1" si="775"/>
        <v>0</v>
      </c>
      <c r="AF1861" s="539" t="str">
        <f t="shared" ref="AF1861:AF1924" ca="1" si="785">IFERROR(IF(AD1861="Expired",Q1861,IF(AD1861&gt;AA1861,AD1861/AA1861,0)),"")</f>
        <v/>
      </c>
      <c r="AG1861" s="531" t="str">
        <f t="shared" ref="AG1861:AG1924" ca="1" si="786">IFERROR(AF1861*T1861,"")</f>
        <v/>
      </c>
      <c r="AH1861" s="531" t="str">
        <f t="shared" ref="AH1861:AH1924" ca="1" si="787">IFERROR(AF1861*W1861,"")</f>
        <v/>
      </c>
      <c r="AI1861" s="531" t="str">
        <f t="shared" ref="AI1861:AI1924" ca="1" si="788">IFERROR(AF1861*V1861,"")</f>
        <v/>
      </c>
      <c r="AJ1861" s="531" t="str">
        <f t="shared" ref="AJ1861:AJ1924" si="789">IF(F1861=0,"",U1861-AG1861)</f>
        <v/>
      </c>
      <c r="AK1861" s="540">
        <f>SUMIFS('Live Collections'!$S:$S,'Live Collections'!$D:$D,Disbursements!B1861,'Live Collections'!$G:$G,Disbursements!C1861)</f>
        <v>0</v>
      </c>
      <c r="AL1861" s="540">
        <f>SUMIFS('Live Collections'!$T:$T,'Live Collections'!$D:$D,Disbursements!B1861,'Live Collections'!$G:$G,Disbursements!C1861)</f>
        <v>0</v>
      </c>
      <c r="AM1861" s="541">
        <f t="shared" ref="AM1861:AM1924" si="790">SUM(AK1861:AL1861)</f>
        <v>0</v>
      </c>
      <c r="AN1861" s="542" t="str">
        <f t="shared" ref="AN1861:AN1924" si="791">IFERROR(W1861*Q1861-AK1861,"")</f>
        <v/>
      </c>
      <c r="AO1861" s="542" t="str">
        <f t="shared" ref="AO1861:AO1924" si="792">IF(F1861="","",(F1861-AL1861))</f>
        <v/>
      </c>
      <c r="AP1861" s="543" t="str">
        <f t="shared" ref="AP1861:AP1924" si="793">IF(F1861="","",SUM(AN1861:AO1861))</f>
        <v/>
      </c>
      <c r="AQ1861" s="544" t="str">
        <f t="shared" ref="AQ1861:AQ1924" si="794">IF(AP1861&gt;AJ1861,AP1861-AJ1861,"")</f>
        <v/>
      </c>
      <c r="AR1861" s="545">
        <f t="shared" ref="AR1861:AR1924" si="795">IFERROR(AQ1861/T1861,0)</f>
        <v>0</v>
      </c>
      <c r="AS1861" s="545">
        <f>IFERROR(CEILING($AR1861*VLOOKUP($I1861,Ref!$B$23:$E$29,4,0),1),0)</f>
        <v>0</v>
      </c>
      <c r="AT1861" s="545" t="str">
        <f>IF(A1861="","",IF(AP1861&lt;=1,"Cleared",IF(AS1861=0,"Clean",VLOOKUP($AS1861,Ref!$G$23:$H$28,2))))</f>
        <v/>
      </c>
      <c r="AU1861" s="546" t="str">
        <f t="shared" ref="AU1861:AU1924" si="796">IF(F1861="","",IF(OR(AN1861&lt;0,AO1861&lt;0,AP1861&lt;0),"Error on Entry","Ok"))</f>
        <v/>
      </c>
    </row>
    <row r="1862" spans="1:47" ht="14.25" hidden="1" customHeight="1" x14ac:dyDescent="0.15">
      <c r="A1862" s="575"/>
      <c r="B1862" s="548"/>
      <c r="C1862" s="548"/>
      <c r="D1862" s="548"/>
      <c r="E1862" s="583"/>
      <c r="F1862" s="584"/>
      <c r="G1862" s="548"/>
      <c r="H1862" s="550"/>
      <c r="I1862" s="560"/>
      <c r="J1862" s="548"/>
      <c r="K1862" s="528" t="str">
        <f>IFERROR(VLOOKUP($B1862,'Clients-Live'!$A:$C,3,0),"")</f>
        <v/>
      </c>
      <c r="L1862" s="528">
        <f>IF(E1862="STL",Pricing!$D$38,IF(A1862="",0,IF(A1862&lt;Pricing!$C$25,Pricing!$D$25,VLOOKUP(Disbursements!$F1862,Pricing!$B$29:$D$32,3))))</f>
        <v>0</v>
      </c>
      <c r="M1862" s="528">
        <f>IF(E1862="STL",0,IF(F1862&gt;0,Pricing!$D$21,0))</f>
        <v>0</v>
      </c>
      <c r="N1862" s="529">
        <f>IF(E1862="STL",F1862*Pricing!$D$40,IF(A1862&lt;=Pricing!$C$4,0,IF(AND(A1862&gt;Pricing!$C$4,Disbursements!A1862&lt;=Pricing!$C$5),F1862*Pricing!$E$5,IF(AND(A1862&gt;Pricing!$C$5,Disbursements!A1862&lt;=Pricing!$C$7),VLOOKUP(F1862,Pricing!$D$7:$E$8,2)*Disbursements!F1862,F1862*Pricing!$E$9))))</f>
        <v>0</v>
      </c>
      <c r="O1862" s="528">
        <f>IF(E1862="STL",0,IF($F1862&gt;0,$F1862*Pricing!$D$17,0))</f>
        <v>0</v>
      </c>
      <c r="P1862" s="530" t="str">
        <f t="shared" si="776"/>
        <v/>
      </c>
      <c r="Q1862" s="531" t="str">
        <f>IF($A1862="","",$G1862/VLOOKUP($I1862,Ref!$B$23:$D$29,2,0))</f>
        <v/>
      </c>
      <c r="R1862" s="530" t="str">
        <f t="shared" si="777"/>
        <v/>
      </c>
      <c r="S1862" s="532" t="str">
        <f t="shared" si="771"/>
        <v/>
      </c>
      <c r="T1862" s="531" t="str">
        <f t="shared" si="778"/>
        <v/>
      </c>
      <c r="U1862" s="533">
        <f t="shared" si="779"/>
        <v>0</v>
      </c>
      <c r="V1862" s="531" t="str">
        <f t="shared" si="780"/>
        <v/>
      </c>
      <c r="W1862" s="531" t="str">
        <f t="shared" si="781"/>
        <v/>
      </c>
      <c r="X1862" s="534" t="str">
        <f t="shared" si="782"/>
        <v/>
      </c>
      <c r="Y1862" s="535" t="str">
        <f>IF($A1862="","",IF($I1862="weekly",$A1862+7,EDATE($A1862,VLOOKUP($I1862,Ref!$B$24:$C$29,2,0))))</f>
        <v/>
      </c>
      <c r="Z1862" s="536" t="str">
        <f t="shared" si="783"/>
        <v/>
      </c>
      <c r="AA1862" s="531">
        <f t="shared" si="784"/>
        <v>0</v>
      </c>
      <c r="AB1862" s="535" t="str">
        <f t="shared" si="772"/>
        <v/>
      </c>
      <c r="AC1862" s="537" t="str">
        <f t="shared" si="773"/>
        <v/>
      </c>
      <c r="AD1862" s="538" t="str">
        <f t="shared" ca="1" si="774"/>
        <v/>
      </c>
      <c r="AE1862" s="537">
        <f t="shared" ca="1" si="775"/>
        <v>0</v>
      </c>
      <c r="AF1862" s="539" t="str">
        <f t="shared" ca="1" si="785"/>
        <v/>
      </c>
      <c r="AG1862" s="531" t="str">
        <f t="shared" ca="1" si="786"/>
        <v/>
      </c>
      <c r="AH1862" s="531" t="str">
        <f t="shared" ca="1" si="787"/>
        <v/>
      </c>
      <c r="AI1862" s="531" t="str">
        <f t="shared" ca="1" si="788"/>
        <v/>
      </c>
      <c r="AJ1862" s="531" t="str">
        <f t="shared" si="789"/>
        <v/>
      </c>
      <c r="AK1862" s="540">
        <f>SUMIFS('Live Collections'!$S:$S,'Live Collections'!$D:$D,Disbursements!B1862,'Live Collections'!$G:$G,Disbursements!C1862)</f>
        <v>0</v>
      </c>
      <c r="AL1862" s="540">
        <f>SUMIFS('Live Collections'!$T:$T,'Live Collections'!$D:$D,Disbursements!B1862,'Live Collections'!$G:$G,Disbursements!C1862)</f>
        <v>0</v>
      </c>
      <c r="AM1862" s="541">
        <f t="shared" si="790"/>
        <v>0</v>
      </c>
      <c r="AN1862" s="542" t="str">
        <f t="shared" si="791"/>
        <v/>
      </c>
      <c r="AO1862" s="542" t="str">
        <f t="shared" si="792"/>
        <v/>
      </c>
      <c r="AP1862" s="543" t="str">
        <f t="shared" si="793"/>
        <v/>
      </c>
      <c r="AQ1862" s="544" t="str">
        <f t="shared" si="794"/>
        <v/>
      </c>
      <c r="AR1862" s="545">
        <f t="shared" si="795"/>
        <v>0</v>
      </c>
      <c r="AS1862" s="545">
        <f>IFERROR(CEILING($AR1862*VLOOKUP($I1862,Ref!$B$23:$E$29,4,0),1),0)</f>
        <v>0</v>
      </c>
      <c r="AT1862" s="545" t="str">
        <f>IF(A1862="","",IF(AP1862&lt;=1,"Cleared",IF(AS1862=0,"Clean",VLOOKUP($AS1862,Ref!$G$23:$H$28,2))))</f>
        <v/>
      </c>
      <c r="AU1862" s="546" t="str">
        <f t="shared" si="796"/>
        <v/>
      </c>
    </row>
    <row r="1863" spans="1:47" ht="14.25" hidden="1" customHeight="1" x14ac:dyDescent="0.15">
      <c r="A1863" s="575"/>
      <c r="B1863" s="548"/>
      <c r="C1863" s="548"/>
      <c r="D1863" s="548"/>
      <c r="E1863" s="583"/>
      <c r="F1863" s="584"/>
      <c r="G1863" s="548"/>
      <c r="H1863" s="550"/>
      <c r="I1863" s="560"/>
      <c r="J1863" s="548"/>
      <c r="K1863" s="528" t="str">
        <f>IFERROR(VLOOKUP($B1863,'Clients-Live'!$A:$C,3,0),"")</f>
        <v/>
      </c>
      <c r="L1863" s="528">
        <f>IF(E1863="STL",Pricing!$D$38,IF(A1863="",0,IF(A1863&lt;Pricing!$C$25,Pricing!$D$25,VLOOKUP(Disbursements!$F1863,Pricing!$B$29:$D$32,3))))</f>
        <v>0</v>
      </c>
      <c r="M1863" s="528">
        <f>IF(E1863="STL",0,IF(F1863&gt;0,Pricing!$D$21,0))</f>
        <v>0</v>
      </c>
      <c r="N1863" s="529">
        <f>IF(E1863="STL",F1863*Pricing!$D$40,IF(A1863&lt;=Pricing!$C$4,0,IF(AND(A1863&gt;Pricing!$C$4,Disbursements!A1863&lt;=Pricing!$C$5),F1863*Pricing!$E$5,IF(AND(A1863&gt;Pricing!$C$5,Disbursements!A1863&lt;=Pricing!$C$7),VLOOKUP(F1863,Pricing!$D$7:$E$8,2)*Disbursements!F1863,F1863*Pricing!$E$9))))</f>
        <v>0</v>
      </c>
      <c r="O1863" s="528">
        <f>IF(E1863="STL",0,IF($F1863&gt;0,$F1863*Pricing!$D$17,0))</f>
        <v>0</v>
      </c>
      <c r="P1863" s="530" t="str">
        <f t="shared" si="776"/>
        <v/>
      </c>
      <c r="Q1863" s="531" t="str">
        <f>IF($A1863="","",$G1863/VLOOKUP($I1863,Ref!$B$23:$D$29,2,0))</f>
        <v/>
      </c>
      <c r="R1863" s="530" t="str">
        <f t="shared" si="777"/>
        <v/>
      </c>
      <c r="S1863" s="532" t="str">
        <f t="shared" si="771"/>
        <v/>
      </c>
      <c r="T1863" s="531" t="str">
        <f t="shared" si="778"/>
        <v/>
      </c>
      <c r="U1863" s="533">
        <f t="shared" si="779"/>
        <v>0</v>
      </c>
      <c r="V1863" s="531" t="str">
        <f t="shared" si="780"/>
        <v/>
      </c>
      <c r="W1863" s="531" t="str">
        <f t="shared" si="781"/>
        <v/>
      </c>
      <c r="X1863" s="534" t="str">
        <f t="shared" si="782"/>
        <v/>
      </c>
      <c r="Y1863" s="535" t="str">
        <f>IF($A1863="","",IF($I1863="weekly",$A1863+7,EDATE($A1863,VLOOKUP($I1863,Ref!$B$24:$C$29,2,0))))</f>
        <v/>
      </c>
      <c r="Z1863" s="536" t="str">
        <f t="shared" si="783"/>
        <v/>
      </c>
      <c r="AA1863" s="531">
        <f t="shared" si="784"/>
        <v>0</v>
      </c>
      <c r="AB1863" s="535" t="str">
        <f t="shared" si="772"/>
        <v/>
      </c>
      <c r="AC1863" s="537" t="str">
        <f t="shared" si="773"/>
        <v/>
      </c>
      <c r="AD1863" s="538" t="str">
        <f t="shared" ca="1" si="774"/>
        <v/>
      </c>
      <c r="AE1863" s="537">
        <f t="shared" ca="1" si="775"/>
        <v>0</v>
      </c>
      <c r="AF1863" s="539" t="str">
        <f t="shared" ca="1" si="785"/>
        <v/>
      </c>
      <c r="AG1863" s="531" t="str">
        <f t="shared" ca="1" si="786"/>
        <v/>
      </c>
      <c r="AH1863" s="531" t="str">
        <f t="shared" ca="1" si="787"/>
        <v/>
      </c>
      <c r="AI1863" s="531" t="str">
        <f t="shared" ca="1" si="788"/>
        <v/>
      </c>
      <c r="AJ1863" s="531" t="str">
        <f t="shared" si="789"/>
        <v/>
      </c>
      <c r="AK1863" s="540">
        <f>SUMIFS('Live Collections'!$S:$S,'Live Collections'!$D:$D,Disbursements!B1863,'Live Collections'!$G:$G,Disbursements!C1863)</f>
        <v>0</v>
      </c>
      <c r="AL1863" s="540">
        <f>SUMIFS('Live Collections'!$T:$T,'Live Collections'!$D:$D,Disbursements!B1863,'Live Collections'!$G:$G,Disbursements!C1863)</f>
        <v>0</v>
      </c>
      <c r="AM1863" s="541">
        <f t="shared" si="790"/>
        <v>0</v>
      </c>
      <c r="AN1863" s="542" t="str">
        <f t="shared" si="791"/>
        <v/>
      </c>
      <c r="AO1863" s="542" t="str">
        <f t="shared" si="792"/>
        <v/>
      </c>
      <c r="AP1863" s="543" t="str">
        <f t="shared" si="793"/>
        <v/>
      </c>
      <c r="AQ1863" s="544" t="str">
        <f t="shared" si="794"/>
        <v/>
      </c>
      <c r="AR1863" s="545">
        <f t="shared" si="795"/>
        <v>0</v>
      </c>
      <c r="AS1863" s="545">
        <f>IFERROR(CEILING($AR1863*VLOOKUP($I1863,Ref!$B$23:$E$29,4,0),1),0)</f>
        <v>0</v>
      </c>
      <c r="AT1863" s="545" t="str">
        <f>IF(A1863="","",IF(AP1863&lt;=1,"Cleared",IF(AS1863=0,"Clean",VLOOKUP($AS1863,Ref!$G$23:$H$28,2))))</f>
        <v/>
      </c>
      <c r="AU1863" s="546" t="str">
        <f t="shared" si="796"/>
        <v/>
      </c>
    </row>
    <row r="1864" spans="1:47" ht="14.25" hidden="1" customHeight="1" x14ac:dyDescent="0.15">
      <c r="A1864" s="575"/>
      <c r="B1864" s="548"/>
      <c r="C1864" s="548"/>
      <c r="D1864" s="548"/>
      <c r="E1864" s="583"/>
      <c r="F1864" s="584"/>
      <c r="G1864" s="548"/>
      <c r="H1864" s="550"/>
      <c r="I1864" s="560"/>
      <c r="J1864" s="548"/>
      <c r="K1864" s="528" t="str">
        <f>IFERROR(VLOOKUP($B1864,'Clients-Live'!$A:$C,3,0),"")</f>
        <v/>
      </c>
      <c r="L1864" s="528">
        <f>IF(E1864="STL",Pricing!$D$38,IF(A1864="",0,IF(A1864&lt;Pricing!$C$25,Pricing!$D$25,VLOOKUP(Disbursements!$F1864,Pricing!$B$29:$D$32,3))))</f>
        <v>0</v>
      </c>
      <c r="M1864" s="528">
        <f>IF(E1864="STL",0,IF(F1864&gt;0,Pricing!$D$21,0))</f>
        <v>0</v>
      </c>
      <c r="N1864" s="529">
        <f>IF(E1864="STL",F1864*Pricing!$D$40,IF(A1864&lt;=Pricing!$C$4,0,IF(AND(A1864&gt;Pricing!$C$4,Disbursements!A1864&lt;=Pricing!$C$5),F1864*Pricing!$E$5,IF(AND(A1864&gt;Pricing!$C$5,Disbursements!A1864&lt;=Pricing!$C$7),VLOOKUP(F1864,Pricing!$D$7:$E$8,2)*Disbursements!F1864,F1864*Pricing!$E$9))))</f>
        <v>0</v>
      </c>
      <c r="O1864" s="528">
        <f>IF(E1864="STL",0,IF($F1864&gt;0,$F1864*Pricing!$D$17,0))</f>
        <v>0</v>
      </c>
      <c r="P1864" s="530" t="str">
        <f t="shared" si="776"/>
        <v/>
      </c>
      <c r="Q1864" s="531" t="str">
        <f>IF($A1864="","",$G1864/VLOOKUP($I1864,Ref!$B$23:$D$29,2,0))</f>
        <v/>
      </c>
      <c r="R1864" s="530" t="str">
        <f t="shared" si="777"/>
        <v/>
      </c>
      <c r="S1864" s="532" t="str">
        <f t="shared" si="771"/>
        <v/>
      </c>
      <c r="T1864" s="531" t="str">
        <f t="shared" si="778"/>
        <v/>
      </c>
      <c r="U1864" s="533">
        <f t="shared" si="779"/>
        <v>0</v>
      </c>
      <c r="V1864" s="531" t="str">
        <f t="shared" si="780"/>
        <v/>
      </c>
      <c r="W1864" s="531" t="str">
        <f t="shared" si="781"/>
        <v/>
      </c>
      <c r="X1864" s="534" t="str">
        <f t="shared" si="782"/>
        <v/>
      </c>
      <c r="Y1864" s="535" t="str">
        <f>IF($A1864="","",IF($I1864="weekly",$A1864+7,EDATE($A1864,VLOOKUP($I1864,Ref!$B$24:$C$29,2,0))))</f>
        <v/>
      </c>
      <c r="Z1864" s="536" t="str">
        <f t="shared" si="783"/>
        <v/>
      </c>
      <c r="AA1864" s="531">
        <f t="shared" si="784"/>
        <v>0</v>
      </c>
      <c r="AB1864" s="535" t="str">
        <f t="shared" si="772"/>
        <v/>
      </c>
      <c r="AC1864" s="537" t="str">
        <f t="shared" si="773"/>
        <v/>
      </c>
      <c r="AD1864" s="538" t="str">
        <f t="shared" ca="1" si="774"/>
        <v/>
      </c>
      <c r="AE1864" s="537">
        <f t="shared" ca="1" si="775"/>
        <v>0</v>
      </c>
      <c r="AF1864" s="539" t="str">
        <f t="shared" ca="1" si="785"/>
        <v/>
      </c>
      <c r="AG1864" s="531" t="str">
        <f t="shared" ca="1" si="786"/>
        <v/>
      </c>
      <c r="AH1864" s="531" t="str">
        <f t="shared" ca="1" si="787"/>
        <v/>
      </c>
      <c r="AI1864" s="531" t="str">
        <f t="shared" ca="1" si="788"/>
        <v/>
      </c>
      <c r="AJ1864" s="531" t="str">
        <f t="shared" si="789"/>
        <v/>
      </c>
      <c r="AK1864" s="540">
        <f>SUMIFS('Live Collections'!$S:$S,'Live Collections'!$D:$D,Disbursements!B1864,'Live Collections'!$G:$G,Disbursements!C1864)</f>
        <v>0</v>
      </c>
      <c r="AL1864" s="540">
        <f>SUMIFS('Live Collections'!$T:$T,'Live Collections'!$D:$D,Disbursements!B1864,'Live Collections'!$G:$G,Disbursements!C1864)</f>
        <v>0</v>
      </c>
      <c r="AM1864" s="541">
        <f t="shared" si="790"/>
        <v>0</v>
      </c>
      <c r="AN1864" s="542" t="str">
        <f t="shared" si="791"/>
        <v/>
      </c>
      <c r="AO1864" s="542" t="str">
        <f t="shared" si="792"/>
        <v/>
      </c>
      <c r="AP1864" s="543" t="str">
        <f t="shared" si="793"/>
        <v/>
      </c>
      <c r="AQ1864" s="544" t="str">
        <f t="shared" si="794"/>
        <v/>
      </c>
      <c r="AR1864" s="545">
        <f t="shared" si="795"/>
        <v>0</v>
      </c>
      <c r="AS1864" s="545">
        <f>IFERROR(CEILING($AR1864*VLOOKUP($I1864,Ref!$B$23:$E$29,4,0),1),0)</f>
        <v>0</v>
      </c>
      <c r="AT1864" s="545" t="str">
        <f>IF(A1864="","",IF(AP1864&lt;=1,"Cleared",IF(AS1864=0,"Clean",VLOOKUP($AS1864,Ref!$G$23:$H$28,2))))</f>
        <v/>
      </c>
      <c r="AU1864" s="546" t="str">
        <f t="shared" si="796"/>
        <v/>
      </c>
    </row>
    <row r="1865" spans="1:47" ht="14.25" hidden="1" customHeight="1" x14ac:dyDescent="0.15">
      <c r="A1865" s="575"/>
      <c r="B1865" s="548"/>
      <c r="C1865" s="548"/>
      <c r="D1865" s="548"/>
      <c r="E1865" s="583"/>
      <c r="F1865" s="584"/>
      <c r="G1865" s="548"/>
      <c r="H1865" s="550"/>
      <c r="I1865" s="560"/>
      <c r="J1865" s="548"/>
      <c r="K1865" s="528" t="str">
        <f>IFERROR(VLOOKUP($B1865,'Clients-Live'!$A:$C,3,0),"")</f>
        <v/>
      </c>
      <c r="L1865" s="528">
        <f>IF(E1865="STL",Pricing!$D$38,IF(A1865="",0,IF(A1865&lt;Pricing!$C$25,Pricing!$D$25,VLOOKUP(Disbursements!$F1865,Pricing!$B$29:$D$32,3))))</f>
        <v>0</v>
      </c>
      <c r="M1865" s="528">
        <f>IF(E1865="STL",0,IF(F1865&gt;0,Pricing!$D$21,0))</f>
        <v>0</v>
      </c>
      <c r="N1865" s="529">
        <f>IF(E1865="STL",F1865*Pricing!$D$40,IF(A1865&lt;=Pricing!$C$4,0,IF(AND(A1865&gt;Pricing!$C$4,Disbursements!A1865&lt;=Pricing!$C$5),F1865*Pricing!$E$5,IF(AND(A1865&gt;Pricing!$C$5,Disbursements!A1865&lt;=Pricing!$C$7),VLOOKUP(F1865,Pricing!$D$7:$E$8,2)*Disbursements!F1865,F1865*Pricing!$E$9))))</f>
        <v>0</v>
      </c>
      <c r="O1865" s="528">
        <f>IF(E1865="STL",0,IF($F1865&gt;0,$F1865*Pricing!$D$17,0))</f>
        <v>0</v>
      </c>
      <c r="P1865" s="530" t="str">
        <f t="shared" si="776"/>
        <v/>
      </c>
      <c r="Q1865" s="531" t="str">
        <f>IF($A1865="","",$G1865/VLOOKUP($I1865,Ref!$B$23:$D$29,2,0))</f>
        <v/>
      </c>
      <c r="R1865" s="530" t="str">
        <f t="shared" si="777"/>
        <v/>
      </c>
      <c r="S1865" s="532" t="str">
        <f t="shared" si="771"/>
        <v/>
      </c>
      <c r="T1865" s="531" t="str">
        <f t="shared" si="778"/>
        <v/>
      </c>
      <c r="U1865" s="533">
        <f t="shared" si="779"/>
        <v>0</v>
      </c>
      <c r="V1865" s="531" t="str">
        <f t="shared" si="780"/>
        <v/>
      </c>
      <c r="W1865" s="531" t="str">
        <f t="shared" si="781"/>
        <v/>
      </c>
      <c r="X1865" s="534" t="str">
        <f t="shared" si="782"/>
        <v/>
      </c>
      <c r="Y1865" s="535" t="str">
        <f>IF($A1865="","",IF($I1865="weekly",$A1865+7,EDATE($A1865,VLOOKUP($I1865,Ref!$B$24:$C$29,2,0))))</f>
        <v/>
      </c>
      <c r="Z1865" s="536" t="str">
        <f t="shared" si="783"/>
        <v/>
      </c>
      <c r="AA1865" s="531">
        <f t="shared" si="784"/>
        <v>0</v>
      </c>
      <c r="AB1865" s="535" t="str">
        <f t="shared" si="772"/>
        <v/>
      </c>
      <c r="AC1865" s="537" t="str">
        <f t="shared" si="773"/>
        <v/>
      </c>
      <c r="AD1865" s="538" t="str">
        <f t="shared" ca="1" si="774"/>
        <v/>
      </c>
      <c r="AE1865" s="537">
        <f t="shared" ca="1" si="775"/>
        <v>0</v>
      </c>
      <c r="AF1865" s="539" t="str">
        <f t="shared" ca="1" si="785"/>
        <v/>
      </c>
      <c r="AG1865" s="531" t="str">
        <f t="shared" ca="1" si="786"/>
        <v/>
      </c>
      <c r="AH1865" s="531" t="str">
        <f t="shared" ca="1" si="787"/>
        <v/>
      </c>
      <c r="AI1865" s="531" t="str">
        <f t="shared" ca="1" si="788"/>
        <v/>
      </c>
      <c r="AJ1865" s="531" t="str">
        <f t="shared" si="789"/>
        <v/>
      </c>
      <c r="AK1865" s="540">
        <f>SUMIFS('Live Collections'!$S:$S,'Live Collections'!$D:$D,Disbursements!B1865,'Live Collections'!$G:$G,Disbursements!C1865)</f>
        <v>0</v>
      </c>
      <c r="AL1865" s="540">
        <f>SUMIFS('Live Collections'!$T:$T,'Live Collections'!$D:$D,Disbursements!B1865,'Live Collections'!$G:$G,Disbursements!C1865)</f>
        <v>0</v>
      </c>
      <c r="AM1865" s="541">
        <f t="shared" si="790"/>
        <v>0</v>
      </c>
      <c r="AN1865" s="542" t="str">
        <f t="shared" si="791"/>
        <v/>
      </c>
      <c r="AO1865" s="542" t="str">
        <f t="shared" si="792"/>
        <v/>
      </c>
      <c r="AP1865" s="543" t="str">
        <f t="shared" si="793"/>
        <v/>
      </c>
      <c r="AQ1865" s="544" t="str">
        <f t="shared" si="794"/>
        <v/>
      </c>
      <c r="AR1865" s="545">
        <f t="shared" si="795"/>
        <v>0</v>
      </c>
      <c r="AS1865" s="545">
        <f>IFERROR(CEILING($AR1865*VLOOKUP($I1865,Ref!$B$23:$E$29,4,0),1),0)</f>
        <v>0</v>
      </c>
      <c r="AT1865" s="545" t="str">
        <f>IF(A1865="","",IF(AP1865&lt;=1,"Cleared",IF(AS1865=0,"Clean",VLOOKUP($AS1865,Ref!$G$23:$H$28,2))))</f>
        <v/>
      </c>
      <c r="AU1865" s="546" t="str">
        <f t="shared" si="796"/>
        <v/>
      </c>
    </row>
    <row r="1866" spans="1:47" ht="14.25" hidden="1" customHeight="1" x14ac:dyDescent="0.15">
      <c r="A1866" s="575"/>
      <c r="B1866" s="548"/>
      <c r="C1866" s="548"/>
      <c r="D1866" s="548"/>
      <c r="E1866" s="583"/>
      <c r="F1866" s="584"/>
      <c r="G1866" s="548"/>
      <c r="H1866" s="550"/>
      <c r="I1866" s="560"/>
      <c r="J1866" s="548"/>
      <c r="K1866" s="528" t="str">
        <f>IFERROR(VLOOKUP($B1866,'Clients-Live'!$A:$C,3,0),"")</f>
        <v/>
      </c>
      <c r="L1866" s="528">
        <f>IF(E1866="STL",Pricing!$D$38,IF(A1866="",0,IF(A1866&lt;Pricing!$C$25,Pricing!$D$25,VLOOKUP(Disbursements!$F1866,Pricing!$B$29:$D$32,3))))</f>
        <v>0</v>
      </c>
      <c r="M1866" s="528">
        <f>IF(E1866="STL",0,IF(F1866&gt;0,Pricing!$D$21,0))</f>
        <v>0</v>
      </c>
      <c r="N1866" s="529">
        <f>IF(E1866="STL",F1866*Pricing!$D$40,IF(A1866&lt;=Pricing!$C$4,0,IF(AND(A1866&gt;Pricing!$C$4,Disbursements!A1866&lt;=Pricing!$C$5),F1866*Pricing!$E$5,IF(AND(A1866&gt;Pricing!$C$5,Disbursements!A1866&lt;=Pricing!$C$7),VLOOKUP(F1866,Pricing!$D$7:$E$8,2)*Disbursements!F1866,F1866*Pricing!$E$9))))</f>
        <v>0</v>
      </c>
      <c r="O1866" s="528">
        <f>IF(E1866="STL",0,IF($F1866&gt;0,$F1866*Pricing!$D$17,0))</f>
        <v>0</v>
      </c>
      <c r="P1866" s="530" t="str">
        <f t="shared" si="776"/>
        <v/>
      </c>
      <c r="Q1866" s="531" t="str">
        <f>IF($A1866="","",$G1866/VLOOKUP($I1866,Ref!$B$23:$D$29,2,0))</f>
        <v/>
      </c>
      <c r="R1866" s="530" t="str">
        <f t="shared" si="777"/>
        <v/>
      </c>
      <c r="S1866" s="532" t="str">
        <f t="shared" si="771"/>
        <v/>
      </c>
      <c r="T1866" s="531" t="str">
        <f t="shared" si="778"/>
        <v/>
      </c>
      <c r="U1866" s="533">
        <f t="shared" si="779"/>
        <v>0</v>
      </c>
      <c r="V1866" s="531" t="str">
        <f t="shared" si="780"/>
        <v/>
      </c>
      <c r="W1866" s="531" t="str">
        <f t="shared" si="781"/>
        <v/>
      </c>
      <c r="X1866" s="534" t="str">
        <f t="shared" si="782"/>
        <v/>
      </c>
      <c r="Y1866" s="535" t="str">
        <f>IF($A1866="","",IF($I1866="weekly",$A1866+7,EDATE($A1866,VLOOKUP($I1866,Ref!$B$24:$C$29,2,0))))</f>
        <v/>
      </c>
      <c r="Z1866" s="536" t="str">
        <f t="shared" si="783"/>
        <v/>
      </c>
      <c r="AA1866" s="531">
        <f t="shared" si="784"/>
        <v>0</v>
      </c>
      <c r="AB1866" s="535" t="str">
        <f t="shared" si="772"/>
        <v/>
      </c>
      <c r="AC1866" s="537" t="str">
        <f t="shared" si="773"/>
        <v/>
      </c>
      <c r="AD1866" s="538" t="str">
        <f t="shared" ca="1" si="774"/>
        <v/>
      </c>
      <c r="AE1866" s="537">
        <f t="shared" ca="1" si="775"/>
        <v>0</v>
      </c>
      <c r="AF1866" s="539" t="str">
        <f t="shared" ca="1" si="785"/>
        <v/>
      </c>
      <c r="AG1866" s="531" t="str">
        <f t="shared" ca="1" si="786"/>
        <v/>
      </c>
      <c r="AH1866" s="531" t="str">
        <f t="shared" ca="1" si="787"/>
        <v/>
      </c>
      <c r="AI1866" s="531" t="str">
        <f t="shared" ca="1" si="788"/>
        <v/>
      </c>
      <c r="AJ1866" s="531" t="str">
        <f t="shared" si="789"/>
        <v/>
      </c>
      <c r="AK1866" s="540">
        <f>SUMIFS('Live Collections'!$S:$S,'Live Collections'!$D:$D,Disbursements!B1866,'Live Collections'!$G:$G,Disbursements!C1866)</f>
        <v>0</v>
      </c>
      <c r="AL1866" s="540">
        <f>SUMIFS('Live Collections'!$T:$T,'Live Collections'!$D:$D,Disbursements!B1866,'Live Collections'!$G:$G,Disbursements!C1866)</f>
        <v>0</v>
      </c>
      <c r="AM1866" s="541">
        <f t="shared" si="790"/>
        <v>0</v>
      </c>
      <c r="AN1866" s="542" t="str">
        <f t="shared" si="791"/>
        <v/>
      </c>
      <c r="AO1866" s="542" t="str">
        <f t="shared" si="792"/>
        <v/>
      </c>
      <c r="AP1866" s="543" t="str">
        <f t="shared" si="793"/>
        <v/>
      </c>
      <c r="AQ1866" s="544" t="str">
        <f t="shared" si="794"/>
        <v/>
      </c>
      <c r="AR1866" s="545">
        <f t="shared" si="795"/>
        <v>0</v>
      </c>
      <c r="AS1866" s="545">
        <f>IFERROR(CEILING($AR1866*VLOOKUP($I1866,Ref!$B$23:$E$29,4,0),1),0)</f>
        <v>0</v>
      </c>
      <c r="AT1866" s="545" t="str">
        <f>IF(A1866="","",IF(AP1866&lt;=1,"Cleared",IF(AS1866=0,"Clean",VLOOKUP($AS1866,Ref!$G$23:$H$28,2))))</f>
        <v/>
      </c>
      <c r="AU1866" s="546" t="str">
        <f t="shared" si="796"/>
        <v/>
      </c>
    </row>
    <row r="1867" spans="1:47" ht="14.25" hidden="1" customHeight="1" x14ac:dyDescent="0.15">
      <c r="A1867" s="575"/>
      <c r="B1867" s="548"/>
      <c r="C1867" s="548"/>
      <c r="D1867" s="548"/>
      <c r="E1867" s="583"/>
      <c r="F1867" s="584"/>
      <c r="G1867" s="548"/>
      <c r="H1867" s="550"/>
      <c r="I1867" s="560"/>
      <c r="J1867" s="548"/>
      <c r="K1867" s="528" t="str">
        <f>IFERROR(VLOOKUP($B1867,'Clients-Live'!$A:$C,3,0),"")</f>
        <v/>
      </c>
      <c r="L1867" s="528">
        <f>IF(E1867="STL",Pricing!$D$38,IF(A1867="",0,IF(A1867&lt;Pricing!$C$25,Pricing!$D$25,VLOOKUP(Disbursements!$F1867,Pricing!$B$29:$D$32,3))))</f>
        <v>0</v>
      </c>
      <c r="M1867" s="528">
        <f>IF(E1867="STL",0,IF(F1867&gt;0,Pricing!$D$21,0))</f>
        <v>0</v>
      </c>
      <c r="N1867" s="529">
        <f>IF(E1867="STL",F1867*Pricing!$D$40,IF(A1867&lt;=Pricing!$C$4,0,IF(AND(A1867&gt;Pricing!$C$4,Disbursements!A1867&lt;=Pricing!$C$5),F1867*Pricing!$E$5,IF(AND(A1867&gt;Pricing!$C$5,Disbursements!A1867&lt;=Pricing!$C$7),VLOOKUP(F1867,Pricing!$D$7:$E$8,2)*Disbursements!F1867,F1867*Pricing!$E$9))))</f>
        <v>0</v>
      </c>
      <c r="O1867" s="528">
        <f>IF(E1867="STL",0,IF($F1867&gt;0,$F1867*Pricing!$D$17,0))</f>
        <v>0</v>
      </c>
      <c r="P1867" s="530" t="str">
        <f t="shared" si="776"/>
        <v/>
      </c>
      <c r="Q1867" s="531" t="str">
        <f>IF($A1867="","",$G1867/VLOOKUP($I1867,Ref!$B$23:$D$29,2,0))</f>
        <v/>
      </c>
      <c r="R1867" s="530" t="str">
        <f t="shared" si="777"/>
        <v/>
      </c>
      <c r="S1867" s="532" t="str">
        <f t="shared" si="771"/>
        <v/>
      </c>
      <c r="T1867" s="531" t="str">
        <f t="shared" si="778"/>
        <v/>
      </c>
      <c r="U1867" s="533">
        <f t="shared" si="779"/>
        <v>0</v>
      </c>
      <c r="V1867" s="531" t="str">
        <f t="shared" si="780"/>
        <v/>
      </c>
      <c r="W1867" s="531" t="str">
        <f t="shared" si="781"/>
        <v/>
      </c>
      <c r="X1867" s="534" t="str">
        <f t="shared" si="782"/>
        <v/>
      </c>
      <c r="Y1867" s="535" t="str">
        <f>IF($A1867="","",IF($I1867="weekly",$A1867+7,EDATE($A1867,VLOOKUP($I1867,Ref!$B$24:$C$29,2,0))))</f>
        <v/>
      </c>
      <c r="Z1867" s="536" t="str">
        <f t="shared" si="783"/>
        <v/>
      </c>
      <c r="AA1867" s="531">
        <f t="shared" si="784"/>
        <v>0</v>
      </c>
      <c r="AB1867" s="535" t="str">
        <f t="shared" si="772"/>
        <v/>
      </c>
      <c r="AC1867" s="537" t="str">
        <f t="shared" si="773"/>
        <v/>
      </c>
      <c r="AD1867" s="538" t="str">
        <f t="shared" ca="1" si="774"/>
        <v/>
      </c>
      <c r="AE1867" s="537">
        <f t="shared" ca="1" si="775"/>
        <v>0</v>
      </c>
      <c r="AF1867" s="539" t="str">
        <f t="shared" ca="1" si="785"/>
        <v/>
      </c>
      <c r="AG1867" s="531" t="str">
        <f t="shared" ca="1" si="786"/>
        <v/>
      </c>
      <c r="AH1867" s="531" t="str">
        <f t="shared" ca="1" si="787"/>
        <v/>
      </c>
      <c r="AI1867" s="531" t="str">
        <f t="shared" ca="1" si="788"/>
        <v/>
      </c>
      <c r="AJ1867" s="531" t="str">
        <f t="shared" si="789"/>
        <v/>
      </c>
      <c r="AK1867" s="540">
        <f>SUMIFS('Live Collections'!$S:$S,'Live Collections'!$D:$D,Disbursements!B1867,'Live Collections'!$G:$G,Disbursements!C1867)</f>
        <v>0</v>
      </c>
      <c r="AL1867" s="540">
        <f>SUMIFS('Live Collections'!$T:$T,'Live Collections'!$D:$D,Disbursements!B1867,'Live Collections'!$G:$G,Disbursements!C1867)</f>
        <v>0</v>
      </c>
      <c r="AM1867" s="541">
        <f t="shared" si="790"/>
        <v>0</v>
      </c>
      <c r="AN1867" s="542" t="str">
        <f t="shared" si="791"/>
        <v/>
      </c>
      <c r="AO1867" s="542" t="str">
        <f t="shared" si="792"/>
        <v/>
      </c>
      <c r="AP1867" s="543" t="str">
        <f t="shared" si="793"/>
        <v/>
      </c>
      <c r="AQ1867" s="544" t="str">
        <f t="shared" si="794"/>
        <v/>
      </c>
      <c r="AR1867" s="545">
        <f t="shared" si="795"/>
        <v>0</v>
      </c>
      <c r="AS1867" s="545">
        <f>IFERROR(CEILING($AR1867*VLOOKUP($I1867,Ref!$B$23:$E$29,4,0),1),0)</f>
        <v>0</v>
      </c>
      <c r="AT1867" s="545" t="str">
        <f>IF(A1867="","",IF(AP1867&lt;=1,"Cleared",IF(AS1867=0,"Clean",VLOOKUP($AS1867,Ref!$G$23:$H$28,2))))</f>
        <v/>
      </c>
      <c r="AU1867" s="546" t="str">
        <f t="shared" si="796"/>
        <v/>
      </c>
    </row>
    <row r="1868" spans="1:47" ht="14.25" hidden="1" customHeight="1" x14ac:dyDescent="0.15">
      <c r="A1868" s="575"/>
      <c r="B1868" s="548"/>
      <c r="C1868" s="548"/>
      <c r="D1868" s="548"/>
      <c r="E1868" s="583"/>
      <c r="F1868" s="584"/>
      <c r="G1868" s="548"/>
      <c r="H1868" s="550"/>
      <c r="I1868" s="560"/>
      <c r="J1868" s="548"/>
      <c r="K1868" s="528" t="str">
        <f>IFERROR(VLOOKUP($B1868,'Clients-Live'!$A:$C,3,0),"")</f>
        <v/>
      </c>
      <c r="L1868" s="528">
        <f>IF(E1868="STL",Pricing!$D$38,IF(A1868="",0,IF(A1868&lt;Pricing!$C$25,Pricing!$D$25,VLOOKUP(Disbursements!$F1868,Pricing!$B$29:$D$32,3))))</f>
        <v>0</v>
      </c>
      <c r="M1868" s="528">
        <f>IF(E1868="STL",0,IF(F1868&gt;0,Pricing!$D$21,0))</f>
        <v>0</v>
      </c>
      <c r="N1868" s="529">
        <f>IF(E1868="STL",F1868*Pricing!$D$40,IF(A1868&lt;=Pricing!$C$4,0,IF(AND(A1868&gt;Pricing!$C$4,Disbursements!A1868&lt;=Pricing!$C$5),F1868*Pricing!$E$5,IF(AND(A1868&gt;Pricing!$C$5,Disbursements!A1868&lt;=Pricing!$C$7),VLOOKUP(F1868,Pricing!$D$7:$E$8,2)*Disbursements!F1868,F1868*Pricing!$E$9))))</f>
        <v>0</v>
      </c>
      <c r="O1868" s="528">
        <f>IF(E1868="STL",0,IF($F1868&gt;0,$F1868*Pricing!$D$17,0))</f>
        <v>0</v>
      </c>
      <c r="P1868" s="530" t="str">
        <f t="shared" si="776"/>
        <v/>
      </c>
      <c r="Q1868" s="531" t="str">
        <f>IF($A1868="","",$G1868/VLOOKUP($I1868,Ref!$B$23:$D$29,2,0))</f>
        <v/>
      </c>
      <c r="R1868" s="530" t="str">
        <f t="shared" si="777"/>
        <v/>
      </c>
      <c r="S1868" s="532" t="str">
        <f t="shared" si="771"/>
        <v/>
      </c>
      <c r="T1868" s="531" t="str">
        <f t="shared" si="778"/>
        <v/>
      </c>
      <c r="U1868" s="533">
        <f t="shared" si="779"/>
        <v>0</v>
      </c>
      <c r="V1868" s="531" t="str">
        <f t="shared" si="780"/>
        <v/>
      </c>
      <c r="W1868" s="531" t="str">
        <f t="shared" si="781"/>
        <v/>
      </c>
      <c r="X1868" s="534" t="str">
        <f t="shared" si="782"/>
        <v/>
      </c>
      <c r="Y1868" s="535" t="str">
        <f>IF($A1868="","",IF($I1868="weekly",$A1868+7,EDATE($A1868,VLOOKUP($I1868,Ref!$B$24:$C$29,2,0))))</f>
        <v/>
      </c>
      <c r="Z1868" s="536" t="str">
        <f t="shared" si="783"/>
        <v/>
      </c>
      <c r="AA1868" s="531">
        <f t="shared" si="784"/>
        <v>0</v>
      </c>
      <c r="AB1868" s="535" t="str">
        <f t="shared" si="772"/>
        <v/>
      </c>
      <c r="AC1868" s="537" t="str">
        <f t="shared" si="773"/>
        <v/>
      </c>
      <c r="AD1868" s="538" t="str">
        <f t="shared" ca="1" si="774"/>
        <v/>
      </c>
      <c r="AE1868" s="537">
        <f t="shared" ca="1" si="775"/>
        <v>0</v>
      </c>
      <c r="AF1868" s="539" t="str">
        <f t="shared" ca="1" si="785"/>
        <v/>
      </c>
      <c r="AG1868" s="531" t="str">
        <f t="shared" ca="1" si="786"/>
        <v/>
      </c>
      <c r="AH1868" s="531" t="str">
        <f t="shared" ca="1" si="787"/>
        <v/>
      </c>
      <c r="AI1868" s="531" t="str">
        <f t="shared" ca="1" si="788"/>
        <v/>
      </c>
      <c r="AJ1868" s="531" t="str">
        <f t="shared" si="789"/>
        <v/>
      </c>
      <c r="AK1868" s="540">
        <f>SUMIFS('Live Collections'!$S:$S,'Live Collections'!$D:$D,Disbursements!B1868,'Live Collections'!$G:$G,Disbursements!C1868)</f>
        <v>0</v>
      </c>
      <c r="AL1868" s="540">
        <f>SUMIFS('Live Collections'!$T:$T,'Live Collections'!$D:$D,Disbursements!B1868,'Live Collections'!$G:$G,Disbursements!C1868)</f>
        <v>0</v>
      </c>
      <c r="AM1868" s="541">
        <f t="shared" si="790"/>
        <v>0</v>
      </c>
      <c r="AN1868" s="542" t="str">
        <f t="shared" si="791"/>
        <v/>
      </c>
      <c r="AO1868" s="542" t="str">
        <f t="shared" si="792"/>
        <v/>
      </c>
      <c r="AP1868" s="543" t="str">
        <f t="shared" si="793"/>
        <v/>
      </c>
      <c r="AQ1868" s="544" t="str">
        <f t="shared" si="794"/>
        <v/>
      </c>
      <c r="AR1868" s="545">
        <f t="shared" si="795"/>
        <v>0</v>
      </c>
      <c r="AS1868" s="545">
        <f>IFERROR(CEILING($AR1868*VLOOKUP($I1868,Ref!$B$23:$E$29,4,0),1),0)</f>
        <v>0</v>
      </c>
      <c r="AT1868" s="545" t="str">
        <f>IF(A1868="","",IF(AP1868&lt;=1,"Cleared",IF(AS1868=0,"Clean",VLOOKUP($AS1868,Ref!$G$23:$H$28,2))))</f>
        <v/>
      </c>
      <c r="AU1868" s="546" t="str">
        <f t="shared" si="796"/>
        <v/>
      </c>
    </row>
    <row r="1869" spans="1:47" ht="14.25" hidden="1" customHeight="1" x14ac:dyDescent="0.15">
      <c r="A1869" s="575"/>
      <c r="B1869" s="548"/>
      <c r="C1869" s="548"/>
      <c r="D1869" s="548"/>
      <c r="E1869" s="583"/>
      <c r="F1869" s="584"/>
      <c r="G1869" s="548"/>
      <c r="H1869" s="550"/>
      <c r="I1869" s="560"/>
      <c r="J1869" s="548"/>
      <c r="K1869" s="528" t="str">
        <f>IFERROR(VLOOKUP($B1869,'Clients-Live'!$A:$C,3,0),"")</f>
        <v/>
      </c>
      <c r="L1869" s="528">
        <f>IF(E1869="STL",Pricing!$D$38,IF(A1869="",0,IF(A1869&lt;Pricing!$C$25,Pricing!$D$25,VLOOKUP(Disbursements!$F1869,Pricing!$B$29:$D$32,3))))</f>
        <v>0</v>
      </c>
      <c r="M1869" s="528">
        <f>IF(E1869="STL",0,IF(F1869&gt;0,Pricing!$D$21,0))</f>
        <v>0</v>
      </c>
      <c r="N1869" s="529">
        <f>IF(E1869="STL",F1869*Pricing!$D$40,IF(A1869&lt;=Pricing!$C$4,0,IF(AND(A1869&gt;Pricing!$C$4,Disbursements!A1869&lt;=Pricing!$C$5),F1869*Pricing!$E$5,IF(AND(A1869&gt;Pricing!$C$5,Disbursements!A1869&lt;=Pricing!$C$7),VLOOKUP(F1869,Pricing!$D$7:$E$8,2)*Disbursements!F1869,F1869*Pricing!$E$9))))</f>
        <v>0</v>
      </c>
      <c r="O1869" s="528">
        <f>IF(E1869="STL",0,IF($F1869&gt;0,$F1869*Pricing!$D$17,0))</f>
        <v>0</v>
      </c>
      <c r="P1869" s="530" t="str">
        <f t="shared" si="776"/>
        <v/>
      </c>
      <c r="Q1869" s="531" t="str">
        <f>IF($A1869="","",$G1869/VLOOKUP($I1869,Ref!$B$23:$D$29,2,0))</f>
        <v/>
      </c>
      <c r="R1869" s="530" t="str">
        <f t="shared" si="777"/>
        <v/>
      </c>
      <c r="S1869" s="532" t="str">
        <f t="shared" si="771"/>
        <v/>
      </c>
      <c r="T1869" s="531" t="str">
        <f t="shared" si="778"/>
        <v/>
      </c>
      <c r="U1869" s="533">
        <f t="shared" si="779"/>
        <v>0</v>
      </c>
      <c r="V1869" s="531" t="str">
        <f t="shared" si="780"/>
        <v/>
      </c>
      <c r="W1869" s="531" t="str">
        <f t="shared" si="781"/>
        <v/>
      </c>
      <c r="X1869" s="534" t="str">
        <f t="shared" si="782"/>
        <v/>
      </c>
      <c r="Y1869" s="535" t="str">
        <f>IF($A1869="","",IF($I1869="weekly",$A1869+7,EDATE($A1869,VLOOKUP($I1869,Ref!$B$24:$C$29,2,0))))</f>
        <v/>
      </c>
      <c r="Z1869" s="536" t="str">
        <f t="shared" si="783"/>
        <v/>
      </c>
      <c r="AA1869" s="531">
        <f t="shared" si="784"/>
        <v>0</v>
      </c>
      <c r="AB1869" s="535" t="str">
        <f t="shared" si="772"/>
        <v/>
      </c>
      <c r="AC1869" s="537" t="str">
        <f t="shared" si="773"/>
        <v/>
      </c>
      <c r="AD1869" s="538" t="str">
        <f t="shared" ca="1" si="774"/>
        <v/>
      </c>
      <c r="AE1869" s="537">
        <f t="shared" ca="1" si="775"/>
        <v>0</v>
      </c>
      <c r="AF1869" s="539" t="str">
        <f t="shared" ca="1" si="785"/>
        <v/>
      </c>
      <c r="AG1869" s="531" t="str">
        <f t="shared" ca="1" si="786"/>
        <v/>
      </c>
      <c r="AH1869" s="531" t="str">
        <f t="shared" ca="1" si="787"/>
        <v/>
      </c>
      <c r="AI1869" s="531" t="str">
        <f t="shared" ca="1" si="788"/>
        <v/>
      </c>
      <c r="AJ1869" s="531" t="str">
        <f t="shared" si="789"/>
        <v/>
      </c>
      <c r="AK1869" s="540">
        <f>SUMIFS('Live Collections'!$S:$S,'Live Collections'!$D:$D,Disbursements!B1869,'Live Collections'!$G:$G,Disbursements!C1869)</f>
        <v>0</v>
      </c>
      <c r="AL1869" s="540">
        <f>SUMIFS('Live Collections'!$T:$T,'Live Collections'!$D:$D,Disbursements!B1869,'Live Collections'!$G:$G,Disbursements!C1869)</f>
        <v>0</v>
      </c>
      <c r="AM1869" s="541">
        <f t="shared" si="790"/>
        <v>0</v>
      </c>
      <c r="AN1869" s="542" t="str">
        <f t="shared" si="791"/>
        <v/>
      </c>
      <c r="AO1869" s="542" t="str">
        <f t="shared" si="792"/>
        <v/>
      </c>
      <c r="AP1869" s="543" t="str">
        <f t="shared" si="793"/>
        <v/>
      </c>
      <c r="AQ1869" s="544" t="str">
        <f t="shared" si="794"/>
        <v/>
      </c>
      <c r="AR1869" s="545">
        <f t="shared" si="795"/>
        <v>0</v>
      </c>
      <c r="AS1869" s="545">
        <f>IFERROR(CEILING($AR1869*VLOOKUP($I1869,Ref!$B$23:$E$29,4,0),1),0)</f>
        <v>0</v>
      </c>
      <c r="AT1869" s="545" t="str">
        <f>IF(A1869="","",IF(AP1869&lt;=1,"Cleared",IF(AS1869=0,"Clean",VLOOKUP($AS1869,Ref!$G$23:$H$28,2))))</f>
        <v/>
      </c>
      <c r="AU1869" s="546" t="str">
        <f t="shared" si="796"/>
        <v/>
      </c>
    </row>
    <row r="1870" spans="1:47" ht="14.25" hidden="1" customHeight="1" x14ac:dyDescent="0.15">
      <c r="A1870" s="575"/>
      <c r="B1870" s="548"/>
      <c r="C1870" s="548"/>
      <c r="D1870" s="548"/>
      <c r="E1870" s="583"/>
      <c r="F1870" s="584"/>
      <c r="G1870" s="548"/>
      <c r="H1870" s="550"/>
      <c r="I1870" s="560"/>
      <c r="J1870" s="548"/>
      <c r="K1870" s="528" t="str">
        <f>IFERROR(VLOOKUP($B1870,'Clients-Live'!$A:$C,3,0),"")</f>
        <v/>
      </c>
      <c r="L1870" s="528">
        <f>IF(E1870="STL",Pricing!$D$38,IF(A1870="",0,IF(A1870&lt;Pricing!$C$25,Pricing!$D$25,VLOOKUP(Disbursements!$F1870,Pricing!$B$29:$D$32,3))))</f>
        <v>0</v>
      </c>
      <c r="M1870" s="528">
        <f>IF(E1870="STL",0,IF(F1870&gt;0,Pricing!$D$21,0))</f>
        <v>0</v>
      </c>
      <c r="N1870" s="529">
        <f>IF(E1870="STL",F1870*Pricing!$D$40,IF(A1870&lt;=Pricing!$C$4,0,IF(AND(A1870&gt;Pricing!$C$4,Disbursements!A1870&lt;=Pricing!$C$5),F1870*Pricing!$E$5,IF(AND(A1870&gt;Pricing!$C$5,Disbursements!A1870&lt;=Pricing!$C$7),VLOOKUP(F1870,Pricing!$D$7:$E$8,2)*Disbursements!F1870,F1870*Pricing!$E$9))))</f>
        <v>0</v>
      </c>
      <c r="O1870" s="528">
        <f>IF(E1870="STL",0,IF($F1870&gt;0,$F1870*Pricing!$D$17,0))</f>
        <v>0</v>
      </c>
      <c r="P1870" s="530" t="str">
        <f t="shared" si="776"/>
        <v/>
      </c>
      <c r="Q1870" s="531" t="str">
        <f>IF($A1870="","",$G1870/VLOOKUP($I1870,Ref!$B$23:$D$29,2,0))</f>
        <v/>
      </c>
      <c r="R1870" s="530" t="str">
        <f t="shared" si="777"/>
        <v/>
      </c>
      <c r="S1870" s="532" t="str">
        <f t="shared" si="771"/>
        <v/>
      </c>
      <c r="T1870" s="531" t="str">
        <f t="shared" si="778"/>
        <v/>
      </c>
      <c r="U1870" s="533">
        <f t="shared" si="779"/>
        <v>0</v>
      </c>
      <c r="V1870" s="531" t="str">
        <f t="shared" si="780"/>
        <v/>
      </c>
      <c r="W1870" s="531" t="str">
        <f t="shared" si="781"/>
        <v/>
      </c>
      <c r="X1870" s="534" t="str">
        <f t="shared" si="782"/>
        <v/>
      </c>
      <c r="Y1870" s="535" t="str">
        <f>IF($A1870="","",IF($I1870="weekly",$A1870+7,EDATE($A1870,VLOOKUP($I1870,Ref!$B$24:$C$29,2,0))))</f>
        <v/>
      </c>
      <c r="Z1870" s="536" t="str">
        <f t="shared" si="783"/>
        <v/>
      </c>
      <c r="AA1870" s="531">
        <f t="shared" si="784"/>
        <v>0</v>
      </c>
      <c r="AB1870" s="535" t="str">
        <f t="shared" si="772"/>
        <v/>
      </c>
      <c r="AC1870" s="537" t="str">
        <f t="shared" si="773"/>
        <v/>
      </c>
      <c r="AD1870" s="538" t="str">
        <f t="shared" ca="1" si="774"/>
        <v/>
      </c>
      <c r="AE1870" s="537">
        <f t="shared" ca="1" si="775"/>
        <v>0</v>
      </c>
      <c r="AF1870" s="539" t="str">
        <f t="shared" ca="1" si="785"/>
        <v/>
      </c>
      <c r="AG1870" s="531" t="str">
        <f t="shared" ca="1" si="786"/>
        <v/>
      </c>
      <c r="AH1870" s="531" t="str">
        <f t="shared" ca="1" si="787"/>
        <v/>
      </c>
      <c r="AI1870" s="531" t="str">
        <f t="shared" ca="1" si="788"/>
        <v/>
      </c>
      <c r="AJ1870" s="531" t="str">
        <f t="shared" si="789"/>
        <v/>
      </c>
      <c r="AK1870" s="540">
        <f>SUMIFS('Live Collections'!$S:$S,'Live Collections'!$D:$D,Disbursements!B1870,'Live Collections'!$G:$G,Disbursements!C1870)</f>
        <v>0</v>
      </c>
      <c r="AL1870" s="540">
        <f>SUMIFS('Live Collections'!$T:$T,'Live Collections'!$D:$D,Disbursements!B1870,'Live Collections'!$G:$G,Disbursements!C1870)</f>
        <v>0</v>
      </c>
      <c r="AM1870" s="541">
        <f t="shared" si="790"/>
        <v>0</v>
      </c>
      <c r="AN1870" s="542" t="str">
        <f t="shared" si="791"/>
        <v/>
      </c>
      <c r="AO1870" s="542" t="str">
        <f t="shared" si="792"/>
        <v/>
      </c>
      <c r="AP1870" s="543" t="str">
        <f t="shared" si="793"/>
        <v/>
      </c>
      <c r="AQ1870" s="544" t="str">
        <f t="shared" si="794"/>
        <v/>
      </c>
      <c r="AR1870" s="545">
        <f t="shared" si="795"/>
        <v>0</v>
      </c>
      <c r="AS1870" s="545">
        <f>IFERROR(CEILING($AR1870*VLOOKUP($I1870,Ref!$B$23:$E$29,4,0),1),0)</f>
        <v>0</v>
      </c>
      <c r="AT1870" s="545" t="str">
        <f>IF(A1870="","",IF(AP1870&lt;=1,"Cleared",IF(AS1870=0,"Clean",VLOOKUP($AS1870,Ref!$G$23:$H$28,2))))</f>
        <v/>
      </c>
      <c r="AU1870" s="546" t="str">
        <f t="shared" si="796"/>
        <v/>
      </c>
    </row>
    <row r="1871" spans="1:47" ht="14.25" hidden="1" customHeight="1" x14ac:dyDescent="0.15">
      <c r="A1871" s="575"/>
      <c r="B1871" s="548"/>
      <c r="C1871" s="548"/>
      <c r="D1871" s="548"/>
      <c r="E1871" s="583"/>
      <c r="F1871" s="584"/>
      <c r="G1871" s="548"/>
      <c r="H1871" s="550"/>
      <c r="I1871" s="560"/>
      <c r="J1871" s="548"/>
      <c r="K1871" s="528" t="str">
        <f>IFERROR(VLOOKUP($B1871,'Clients-Live'!$A:$C,3,0),"")</f>
        <v/>
      </c>
      <c r="L1871" s="528">
        <f>IF(E1871="STL",Pricing!$D$38,IF(A1871="",0,IF(A1871&lt;Pricing!$C$25,Pricing!$D$25,VLOOKUP(Disbursements!$F1871,Pricing!$B$29:$D$32,3))))</f>
        <v>0</v>
      </c>
      <c r="M1871" s="528">
        <f>IF(E1871="STL",0,IF(F1871&gt;0,Pricing!$D$21,0))</f>
        <v>0</v>
      </c>
      <c r="N1871" s="529">
        <f>IF(E1871="STL",F1871*Pricing!$D$40,IF(A1871&lt;=Pricing!$C$4,0,IF(AND(A1871&gt;Pricing!$C$4,Disbursements!A1871&lt;=Pricing!$C$5),F1871*Pricing!$E$5,IF(AND(A1871&gt;Pricing!$C$5,Disbursements!A1871&lt;=Pricing!$C$7),VLOOKUP(F1871,Pricing!$D$7:$E$8,2)*Disbursements!F1871,F1871*Pricing!$E$9))))</f>
        <v>0</v>
      </c>
      <c r="O1871" s="528">
        <f>IF(E1871="STL",0,IF($F1871&gt;0,$F1871*Pricing!$D$17,0))</f>
        <v>0</v>
      </c>
      <c r="P1871" s="530" t="str">
        <f t="shared" si="776"/>
        <v/>
      </c>
      <c r="Q1871" s="531" t="str">
        <f>IF($A1871="","",$G1871/VLOOKUP($I1871,Ref!$B$23:$D$29,2,0))</f>
        <v/>
      </c>
      <c r="R1871" s="530" t="str">
        <f t="shared" si="777"/>
        <v/>
      </c>
      <c r="S1871" s="532" t="str">
        <f t="shared" si="771"/>
        <v/>
      </c>
      <c r="T1871" s="531" t="str">
        <f t="shared" si="778"/>
        <v/>
      </c>
      <c r="U1871" s="533">
        <f t="shared" si="779"/>
        <v>0</v>
      </c>
      <c r="V1871" s="531" t="str">
        <f t="shared" si="780"/>
        <v/>
      </c>
      <c r="W1871" s="531" t="str">
        <f t="shared" si="781"/>
        <v/>
      </c>
      <c r="X1871" s="534" t="str">
        <f t="shared" si="782"/>
        <v/>
      </c>
      <c r="Y1871" s="535" t="str">
        <f>IF($A1871="","",IF($I1871="weekly",$A1871+7,EDATE($A1871,VLOOKUP($I1871,Ref!$B$24:$C$29,2,0))))</f>
        <v/>
      </c>
      <c r="Z1871" s="536" t="str">
        <f t="shared" si="783"/>
        <v/>
      </c>
      <c r="AA1871" s="531">
        <f t="shared" si="784"/>
        <v>0</v>
      </c>
      <c r="AB1871" s="535" t="str">
        <f t="shared" si="772"/>
        <v/>
      </c>
      <c r="AC1871" s="537" t="str">
        <f t="shared" si="773"/>
        <v/>
      </c>
      <c r="AD1871" s="538" t="str">
        <f t="shared" ca="1" si="774"/>
        <v/>
      </c>
      <c r="AE1871" s="537">
        <f t="shared" ca="1" si="775"/>
        <v>0</v>
      </c>
      <c r="AF1871" s="539" t="str">
        <f t="shared" ca="1" si="785"/>
        <v/>
      </c>
      <c r="AG1871" s="531" t="str">
        <f t="shared" ca="1" si="786"/>
        <v/>
      </c>
      <c r="AH1871" s="531" t="str">
        <f t="shared" ca="1" si="787"/>
        <v/>
      </c>
      <c r="AI1871" s="531" t="str">
        <f t="shared" ca="1" si="788"/>
        <v/>
      </c>
      <c r="AJ1871" s="531" t="str">
        <f t="shared" si="789"/>
        <v/>
      </c>
      <c r="AK1871" s="540">
        <f>SUMIFS('Live Collections'!$S:$S,'Live Collections'!$D:$D,Disbursements!B1871,'Live Collections'!$G:$G,Disbursements!C1871)</f>
        <v>0</v>
      </c>
      <c r="AL1871" s="540">
        <f>SUMIFS('Live Collections'!$T:$T,'Live Collections'!$D:$D,Disbursements!B1871,'Live Collections'!$G:$G,Disbursements!C1871)</f>
        <v>0</v>
      </c>
      <c r="AM1871" s="541">
        <f t="shared" si="790"/>
        <v>0</v>
      </c>
      <c r="AN1871" s="542" t="str">
        <f t="shared" si="791"/>
        <v/>
      </c>
      <c r="AO1871" s="542" t="str">
        <f t="shared" si="792"/>
        <v/>
      </c>
      <c r="AP1871" s="543" t="str">
        <f t="shared" si="793"/>
        <v/>
      </c>
      <c r="AQ1871" s="544" t="str">
        <f t="shared" si="794"/>
        <v/>
      </c>
      <c r="AR1871" s="545">
        <f t="shared" si="795"/>
        <v>0</v>
      </c>
      <c r="AS1871" s="545">
        <f>IFERROR(CEILING($AR1871*VLOOKUP($I1871,Ref!$B$23:$E$29,4,0),1),0)</f>
        <v>0</v>
      </c>
      <c r="AT1871" s="545" t="str">
        <f>IF(A1871="","",IF(AP1871&lt;=1,"Cleared",IF(AS1871=0,"Clean",VLOOKUP($AS1871,Ref!$G$23:$H$28,2))))</f>
        <v/>
      </c>
      <c r="AU1871" s="546" t="str">
        <f t="shared" si="796"/>
        <v/>
      </c>
    </row>
    <row r="1872" spans="1:47" ht="14.25" hidden="1" customHeight="1" x14ac:dyDescent="0.15">
      <c r="A1872" s="575"/>
      <c r="B1872" s="548"/>
      <c r="C1872" s="548"/>
      <c r="D1872" s="548"/>
      <c r="E1872" s="583"/>
      <c r="F1872" s="584"/>
      <c r="G1872" s="548"/>
      <c r="H1872" s="550"/>
      <c r="I1872" s="560"/>
      <c r="J1872" s="548"/>
      <c r="K1872" s="528" t="str">
        <f>IFERROR(VLOOKUP($B1872,'Clients-Live'!$A:$C,3,0),"")</f>
        <v/>
      </c>
      <c r="L1872" s="528">
        <f>IF(E1872="STL",Pricing!$D$38,IF(A1872="",0,IF(A1872&lt;Pricing!$C$25,Pricing!$D$25,VLOOKUP(Disbursements!$F1872,Pricing!$B$29:$D$32,3))))</f>
        <v>0</v>
      </c>
      <c r="M1872" s="528">
        <f>IF(E1872="STL",0,IF(F1872&gt;0,Pricing!$D$21,0))</f>
        <v>0</v>
      </c>
      <c r="N1872" s="529">
        <f>IF(E1872="STL",F1872*Pricing!$D$40,IF(A1872&lt;=Pricing!$C$4,0,IF(AND(A1872&gt;Pricing!$C$4,Disbursements!A1872&lt;=Pricing!$C$5),F1872*Pricing!$E$5,IF(AND(A1872&gt;Pricing!$C$5,Disbursements!A1872&lt;=Pricing!$C$7),VLOOKUP(F1872,Pricing!$D$7:$E$8,2)*Disbursements!F1872,F1872*Pricing!$E$9))))</f>
        <v>0</v>
      </c>
      <c r="O1872" s="528">
        <f>IF(E1872="STL",0,IF($F1872&gt;0,$F1872*Pricing!$D$17,0))</f>
        <v>0</v>
      </c>
      <c r="P1872" s="530" t="str">
        <f t="shared" si="776"/>
        <v/>
      </c>
      <c r="Q1872" s="531" t="str">
        <f>IF($A1872="","",$G1872/VLOOKUP($I1872,Ref!$B$23:$D$29,2,0))</f>
        <v/>
      </c>
      <c r="R1872" s="530" t="str">
        <f t="shared" si="777"/>
        <v/>
      </c>
      <c r="S1872" s="532" t="str">
        <f t="shared" si="771"/>
        <v/>
      </c>
      <c r="T1872" s="531" t="str">
        <f t="shared" si="778"/>
        <v/>
      </c>
      <c r="U1872" s="533">
        <f t="shared" si="779"/>
        <v>0</v>
      </c>
      <c r="V1872" s="531" t="str">
        <f t="shared" si="780"/>
        <v/>
      </c>
      <c r="W1872" s="531" t="str">
        <f t="shared" si="781"/>
        <v/>
      </c>
      <c r="X1872" s="534" t="str">
        <f t="shared" si="782"/>
        <v/>
      </c>
      <c r="Y1872" s="535" t="str">
        <f>IF($A1872="","",IF($I1872="weekly",$A1872+7,EDATE($A1872,VLOOKUP($I1872,Ref!$B$24:$C$29,2,0))))</f>
        <v/>
      </c>
      <c r="Z1872" s="536" t="str">
        <f t="shared" si="783"/>
        <v/>
      </c>
      <c r="AA1872" s="531">
        <f t="shared" si="784"/>
        <v>0</v>
      </c>
      <c r="AB1872" s="535" t="str">
        <f t="shared" si="772"/>
        <v/>
      </c>
      <c r="AC1872" s="537" t="str">
        <f t="shared" si="773"/>
        <v/>
      </c>
      <c r="AD1872" s="538" t="str">
        <f t="shared" ca="1" si="774"/>
        <v/>
      </c>
      <c r="AE1872" s="537">
        <f t="shared" ca="1" si="775"/>
        <v>0</v>
      </c>
      <c r="AF1872" s="539" t="str">
        <f t="shared" ca="1" si="785"/>
        <v/>
      </c>
      <c r="AG1872" s="531" t="str">
        <f t="shared" ca="1" si="786"/>
        <v/>
      </c>
      <c r="AH1872" s="531" t="str">
        <f t="shared" ca="1" si="787"/>
        <v/>
      </c>
      <c r="AI1872" s="531" t="str">
        <f t="shared" ca="1" si="788"/>
        <v/>
      </c>
      <c r="AJ1872" s="531" t="str">
        <f t="shared" si="789"/>
        <v/>
      </c>
      <c r="AK1872" s="540">
        <f>SUMIFS('Live Collections'!$S:$S,'Live Collections'!$D:$D,Disbursements!B1872,'Live Collections'!$G:$G,Disbursements!C1872)</f>
        <v>0</v>
      </c>
      <c r="AL1872" s="540">
        <f>SUMIFS('Live Collections'!$T:$T,'Live Collections'!$D:$D,Disbursements!B1872,'Live Collections'!$G:$G,Disbursements!C1872)</f>
        <v>0</v>
      </c>
      <c r="AM1872" s="541">
        <f t="shared" si="790"/>
        <v>0</v>
      </c>
      <c r="AN1872" s="542" t="str">
        <f t="shared" si="791"/>
        <v/>
      </c>
      <c r="AO1872" s="542" t="str">
        <f t="shared" si="792"/>
        <v/>
      </c>
      <c r="AP1872" s="543" t="str">
        <f t="shared" si="793"/>
        <v/>
      </c>
      <c r="AQ1872" s="544" t="str">
        <f t="shared" si="794"/>
        <v/>
      </c>
      <c r="AR1872" s="545">
        <f t="shared" si="795"/>
        <v>0</v>
      </c>
      <c r="AS1872" s="545">
        <f>IFERROR(CEILING($AR1872*VLOOKUP($I1872,Ref!$B$23:$E$29,4,0),1),0)</f>
        <v>0</v>
      </c>
      <c r="AT1872" s="545" t="str">
        <f>IF(A1872="","",IF(AP1872&lt;=1,"Cleared",IF(AS1872=0,"Clean",VLOOKUP($AS1872,Ref!$G$23:$H$28,2))))</f>
        <v/>
      </c>
      <c r="AU1872" s="546" t="str">
        <f t="shared" si="796"/>
        <v/>
      </c>
    </row>
    <row r="1873" spans="1:47" ht="14.25" hidden="1" customHeight="1" x14ac:dyDescent="0.15">
      <c r="A1873" s="575"/>
      <c r="B1873" s="548"/>
      <c r="C1873" s="548"/>
      <c r="D1873" s="548"/>
      <c r="E1873" s="583"/>
      <c r="F1873" s="584"/>
      <c r="G1873" s="548"/>
      <c r="H1873" s="550"/>
      <c r="I1873" s="560"/>
      <c r="J1873" s="548"/>
      <c r="K1873" s="528" t="str">
        <f>IFERROR(VLOOKUP($B1873,'Clients-Live'!$A:$C,3,0),"")</f>
        <v/>
      </c>
      <c r="L1873" s="528">
        <f>IF(E1873="STL",Pricing!$D$38,IF(A1873="",0,IF(A1873&lt;Pricing!$C$25,Pricing!$D$25,VLOOKUP(Disbursements!$F1873,Pricing!$B$29:$D$32,3))))</f>
        <v>0</v>
      </c>
      <c r="M1873" s="528">
        <f>IF(E1873="STL",0,IF(F1873&gt;0,Pricing!$D$21,0))</f>
        <v>0</v>
      </c>
      <c r="N1873" s="529">
        <f>IF(E1873="STL",F1873*Pricing!$D$40,IF(A1873&lt;=Pricing!$C$4,0,IF(AND(A1873&gt;Pricing!$C$4,Disbursements!A1873&lt;=Pricing!$C$5),F1873*Pricing!$E$5,IF(AND(A1873&gt;Pricing!$C$5,Disbursements!A1873&lt;=Pricing!$C$7),VLOOKUP(F1873,Pricing!$D$7:$E$8,2)*Disbursements!F1873,F1873*Pricing!$E$9))))</f>
        <v>0</v>
      </c>
      <c r="O1873" s="528">
        <f>IF(E1873="STL",0,IF($F1873&gt;0,$F1873*Pricing!$D$17,0))</f>
        <v>0</v>
      </c>
      <c r="P1873" s="530" t="str">
        <f t="shared" si="776"/>
        <v/>
      </c>
      <c r="Q1873" s="531" t="str">
        <f>IF($A1873="","",$G1873/VLOOKUP($I1873,Ref!$B$23:$D$29,2,0))</f>
        <v/>
      </c>
      <c r="R1873" s="530" t="str">
        <f t="shared" si="777"/>
        <v/>
      </c>
      <c r="S1873" s="532" t="str">
        <f t="shared" si="771"/>
        <v/>
      </c>
      <c r="T1873" s="531" t="str">
        <f t="shared" si="778"/>
        <v/>
      </c>
      <c r="U1873" s="533">
        <f t="shared" si="779"/>
        <v>0</v>
      </c>
      <c r="V1873" s="531" t="str">
        <f t="shared" si="780"/>
        <v/>
      </c>
      <c r="W1873" s="531" t="str">
        <f t="shared" si="781"/>
        <v/>
      </c>
      <c r="X1873" s="534" t="str">
        <f t="shared" si="782"/>
        <v/>
      </c>
      <c r="Y1873" s="535" t="str">
        <f>IF($A1873="","",IF($I1873="weekly",$A1873+7,EDATE($A1873,VLOOKUP($I1873,Ref!$B$24:$C$29,2,0))))</f>
        <v/>
      </c>
      <c r="Z1873" s="536" t="str">
        <f t="shared" si="783"/>
        <v/>
      </c>
      <c r="AA1873" s="531">
        <f t="shared" si="784"/>
        <v>0</v>
      </c>
      <c r="AB1873" s="535" t="str">
        <f t="shared" si="772"/>
        <v/>
      </c>
      <c r="AC1873" s="537" t="str">
        <f t="shared" si="773"/>
        <v/>
      </c>
      <c r="AD1873" s="538" t="str">
        <f t="shared" ca="1" si="774"/>
        <v/>
      </c>
      <c r="AE1873" s="537">
        <f t="shared" ca="1" si="775"/>
        <v>0</v>
      </c>
      <c r="AF1873" s="539" t="str">
        <f t="shared" ca="1" si="785"/>
        <v/>
      </c>
      <c r="AG1873" s="531" t="str">
        <f t="shared" ca="1" si="786"/>
        <v/>
      </c>
      <c r="AH1873" s="531" t="str">
        <f t="shared" ca="1" si="787"/>
        <v/>
      </c>
      <c r="AI1873" s="531" t="str">
        <f t="shared" ca="1" si="788"/>
        <v/>
      </c>
      <c r="AJ1873" s="531" t="str">
        <f t="shared" si="789"/>
        <v/>
      </c>
      <c r="AK1873" s="540">
        <f>SUMIFS('Live Collections'!$S:$S,'Live Collections'!$D:$D,Disbursements!B1873,'Live Collections'!$G:$G,Disbursements!C1873)</f>
        <v>0</v>
      </c>
      <c r="AL1873" s="540">
        <f>SUMIFS('Live Collections'!$T:$T,'Live Collections'!$D:$D,Disbursements!B1873,'Live Collections'!$G:$G,Disbursements!C1873)</f>
        <v>0</v>
      </c>
      <c r="AM1873" s="541">
        <f t="shared" si="790"/>
        <v>0</v>
      </c>
      <c r="AN1873" s="542" t="str">
        <f t="shared" si="791"/>
        <v/>
      </c>
      <c r="AO1873" s="542" t="str">
        <f t="shared" si="792"/>
        <v/>
      </c>
      <c r="AP1873" s="543" t="str">
        <f t="shared" si="793"/>
        <v/>
      </c>
      <c r="AQ1873" s="544" t="str">
        <f t="shared" si="794"/>
        <v/>
      </c>
      <c r="AR1873" s="545">
        <f t="shared" si="795"/>
        <v>0</v>
      </c>
      <c r="AS1873" s="545">
        <f>IFERROR(CEILING($AR1873*VLOOKUP($I1873,Ref!$B$23:$E$29,4,0),1),0)</f>
        <v>0</v>
      </c>
      <c r="AT1873" s="545" t="str">
        <f>IF(A1873="","",IF(AP1873&lt;=1,"Cleared",IF(AS1873=0,"Clean",VLOOKUP($AS1873,Ref!$G$23:$H$28,2))))</f>
        <v/>
      </c>
      <c r="AU1873" s="546" t="str">
        <f t="shared" si="796"/>
        <v/>
      </c>
    </row>
    <row r="1874" spans="1:47" ht="14.25" hidden="1" customHeight="1" x14ac:dyDescent="0.15">
      <c r="A1874" s="575"/>
      <c r="B1874" s="548"/>
      <c r="C1874" s="548"/>
      <c r="D1874" s="548"/>
      <c r="E1874" s="583"/>
      <c r="F1874" s="584"/>
      <c r="G1874" s="548"/>
      <c r="H1874" s="550"/>
      <c r="I1874" s="560"/>
      <c r="J1874" s="548"/>
      <c r="K1874" s="528" t="str">
        <f>IFERROR(VLOOKUP($B1874,'Clients-Live'!$A:$C,3,0),"")</f>
        <v/>
      </c>
      <c r="L1874" s="528">
        <f>IF(E1874="STL",Pricing!$D$38,IF(A1874="",0,IF(A1874&lt;Pricing!$C$25,Pricing!$D$25,VLOOKUP(Disbursements!$F1874,Pricing!$B$29:$D$32,3))))</f>
        <v>0</v>
      </c>
      <c r="M1874" s="528">
        <f>IF(E1874="STL",0,IF(F1874&gt;0,Pricing!$D$21,0))</f>
        <v>0</v>
      </c>
      <c r="N1874" s="529">
        <f>IF(E1874="STL",F1874*Pricing!$D$40,IF(A1874&lt;=Pricing!$C$4,0,IF(AND(A1874&gt;Pricing!$C$4,Disbursements!A1874&lt;=Pricing!$C$5),F1874*Pricing!$E$5,IF(AND(A1874&gt;Pricing!$C$5,Disbursements!A1874&lt;=Pricing!$C$7),VLOOKUP(F1874,Pricing!$D$7:$E$8,2)*Disbursements!F1874,F1874*Pricing!$E$9))))</f>
        <v>0</v>
      </c>
      <c r="O1874" s="528">
        <f>IF(E1874="STL",0,IF($F1874&gt;0,$F1874*Pricing!$D$17,0))</f>
        <v>0</v>
      </c>
      <c r="P1874" s="530" t="str">
        <f t="shared" si="776"/>
        <v/>
      </c>
      <c r="Q1874" s="531" t="str">
        <f>IF($A1874="","",$G1874/VLOOKUP($I1874,Ref!$B$23:$D$29,2,0))</f>
        <v/>
      </c>
      <c r="R1874" s="530" t="str">
        <f t="shared" si="777"/>
        <v/>
      </c>
      <c r="S1874" s="532" t="str">
        <f t="shared" si="771"/>
        <v/>
      </c>
      <c r="T1874" s="531" t="str">
        <f t="shared" si="778"/>
        <v/>
      </c>
      <c r="U1874" s="533">
        <f t="shared" si="779"/>
        <v>0</v>
      </c>
      <c r="V1874" s="531" t="str">
        <f t="shared" si="780"/>
        <v/>
      </c>
      <c r="W1874" s="531" t="str">
        <f t="shared" si="781"/>
        <v/>
      </c>
      <c r="X1874" s="534" t="str">
        <f t="shared" si="782"/>
        <v/>
      </c>
      <c r="Y1874" s="535" t="str">
        <f>IF($A1874="","",IF($I1874="weekly",$A1874+7,EDATE($A1874,VLOOKUP($I1874,Ref!$B$24:$C$29,2,0))))</f>
        <v/>
      </c>
      <c r="Z1874" s="536" t="str">
        <f t="shared" si="783"/>
        <v/>
      </c>
      <c r="AA1874" s="531">
        <f t="shared" si="784"/>
        <v>0</v>
      </c>
      <c r="AB1874" s="535" t="str">
        <f t="shared" si="772"/>
        <v/>
      </c>
      <c r="AC1874" s="537" t="str">
        <f t="shared" si="773"/>
        <v/>
      </c>
      <c r="AD1874" s="538" t="str">
        <f t="shared" ca="1" si="774"/>
        <v/>
      </c>
      <c r="AE1874" s="537">
        <f t="shared" ca="1" si="775"/>
        <v>0</v>
      </c>
      <c r="AF1874" s="539" t="str">
        <f t="shared" ca="1" si="785"/>
        <v/>
      </c>
      <c r="AG1874" s="531" t="str">
        <f t="shared" ca="1" si="786"/>
        <v/>
      </c>
      <c r="AH1874" s="531" t="str">
        <f t="shared" ca="1" si="787"/>
        <v/>
      </c>
      <c r="AI1874" s="531" t="str">
        <f t="shared" ca="1" si="788"/>
        <v/>
      </c>
      <c r="AJ1874" s="531" t="str">
        <f t="shared" si="789"/>
        <v/>
      </c>
      <c r="AK1874" s="540">
        <f>SUMIFS('Live Collections'!$S:$S,'Live Collections'!$D:$D,Disbursements!B1874,'Live Collections'!$G:$G,Disbursements!C1874)</f>
        <v>0</v>
      </c>
      <c r="AL1874" s="540">
        <f>SUMIFS('Live Collections'!$T:$T,'Live Collections'!$D:$D,Disbursements!B1874,'Live Collections'!$G:$G,Disbursements!C1874)</f>
        <v>0</v>
      </c>
      <c r="AM1874" s="541">
        <f t="shared" si="790"/>
        <v>0</v>
      </c>
      <c r="AN1874" s="542" t="str">
        <f t="shared" si="791"/>
        <v/>
      </c>
      <c r="AO1874" s="542" t="str">
        <f t="shared" si="792"/>
        <v/>
      </c>
      <c r="AP1874" s="543" t="str">
        <f t="shared" si="793"/>
        <v/>
      </c>
      <c r="AQ1874" s="544" t="str">
        <f t="shared" si="794"/>
        <v/>
      </c>
      <c r="AR1874" s="545">
        <f t="shared" si="795"/>
        <v>0</v>
      </c>
      <c r="AS1874" s="545">
        <f>IFERROR(CEILING($AR1874*VLOOKUP($I1874,Ref!$B$23:$E$29,4,0),1),0)</f>
        <v>0</v>
      </c>
      <c r="AT1874" s="545" t="str">
        <f>IF(A1874="","",IF(AP1874&lt;=1,"Cleared",IF(AS1874=0,"Clean",VLOOKUP($AS1874,Ref!$G$23:$H$28,2))))</f>
        <v/>
      </c>
      <c r="AU1874" s="546" t="str">
        <f t="shared" si="796"/>
        <v/>
      </c>
    </row>
    <row r="1875" spans="1:47" ht="14.25" hidden="1" customHeight="1" x14ac:dyDescent="0.15">
      <c r="A1875" s="575"/>
      <c r="B1875" s="548"/>
      <c r="C1875" s="548"/>
      <c r="D1875" s="548"/>
      <c r="E1875" s="583"/>
      <c r="F1875" s="584"/>
      <c r="G1875" s="548"/>
      <c r="H1875" s="550"/>
      <c r="I1875" s="560"/>
      <c r="J1875" s="548"/>
      <c r="K1875" s="528" t="str">
        <f>IFERROR(VLOOKUP($B1875,'Clients-Live'!$A:$C,3,0),"")</f>
        <v/>
      </c>
      <c r="L1875" s="528">
        <f>IF(E1875="STL",Pricing!$D$38,IF(A1875="",0,IF(A1875&lt;Pricing!$C$25,Pricing!$D$25,VLOOKUP(Disbursements!$F1875,Pricing!$B$29:$D$32,3))))</f>
        <v>0</v>
      </c>
      <c r="M1875" s="528">
        <f>IF(E1875="STL",0,IF(F1875&gt;0,Pricing!$D$21,0))</f>
        <v>0</v>
      </c>
      <c r="N1875" s="529">
        <f>IF(E1875="STL",F1875*Pricing!$D$40,IF(A1875&lt;=Pricing!$C$4,0,IF(AND(A1875&gt;Pricing!$C$4,Disbursements!A1875&lt;=Pricing!$C$5),F1875*Pricing!$E$5,IF(AND(A1875&gt;Pricing!$C$5,Disbursements!A1875&lt;=Pricing!$C$7),VLOOKUP(F1875,Pricing!$D$7:$E$8,2)*Disbursements!F1875,F1875*Pricing!$E$9))))</f>
        <v>0</v>
      </c>
      <c r="O1875" s="528">
        <f>IF(E1875="STL",0,IF($F1875&gt;0,$F1875*Pricing!$D$17,0))</f>
        <v>0</v>
      </c>
      <c r="P1875" s="530" t="str">
        <f t="shared" si="776"/>
        <v/>
      </c>
      <c r="Q1875" s="531" t="str">
        <f>IF($A1875="","",$G1875/VLOOKUP($I1875,Ref!$B$23:$D$29,2,0))</f>
        <v/>
      </c>
      <c r="R1875" s="530" t="str">
        <f t="shared" si="777"/>
        <v/>
      </c>
      <c r="S1875" s="532" t="str">
        <f t="shared" si="771"/>
        <v/>
      </c>
      <c r="T1875" s="531" t="str">
        <f t="shared" si="778"/>
        <v/>
      </c>
      <c r="U1875" s="533">
        <f t="shared" si="779"/>
        <v>0</v>
      </c>
      <c r="V1875" s="531" t="str">
        <f t="shared" si="780"/>
        <v/>
      </c>
      <c r="W1875" s="531" t="str">
        <f t="shared" si="781"/>
        <v/>
      </c>
      <c r="X1875" s="534" t="str">
        <f t="shared" si="782"/>
        <v/>
      </c>
      <c r="Y1875" s="535" t="str">
        <f>IF($A1875="","",IF($I1875="weekly",$A1875+7,EDATE($A1875,VLOOKUP($I1875,Ref!$B$24:$C$29,2,0))))</f>
        <v/>
      </c>
      <c r="Z1875" s="536" t="str">
        <f t="shared" si="783"/>
        <v/>
      </c>
      <c r="AA1875" s="531">
        <f t="shared" si="784"/>
        <v>0</v>
      </c>
      <c r="AB1875" s="535" t="str">
        <f t="shared" si="772"/>
        <v/>
      </c>
      <c r="AC1875" s="537" t="str">
        <f t="shared" si="773"/>
        <v/>
      </c>
      <c r="AD1875" s="538" t="str">
        <f t="shared" ca="1" si="774"/>
        <v/>
      </c>
      <c r="AE1875" s="537">
        <f t="shared" ca="1" si="775"/>
        <v>0</v>
      </c>
      <c r="AF1875" s="539" t="str">
        <f t="shared" ca="1" si="785"/>
        <v/>
      </c>
      <c r="AG1875" s="531" t="str">
        <f t="shared" ca="1" si="786"/>
        <v/>
      </c>
      <c r="AH1875" s="531" t="str">
        <f t="shared" ca="1" si="787"/>
        <v/>
      </c>
      <c r="AI1875" s="531" t="str">
        <f t="shared" ca="1" si="788"/>
        <v/>
      </c>
      <c r="AJ1875" s="531" t="str">
        <f t="shared" si="789"/>
        <v/>
      </c>
      <c r="AK1875" s="540">
        <f>SUMIFS('Live Collections'!$S:$S,'Live Collections'!$D:$D,Disbursements!B1875,'Live Collections'!$G:$G,Disbursements!C1875)</f>
        <v>0</v>
      </c>
      <c r="AL1875" s="540">
        <f>SUMIFS('Live Collections'!$T:$T,'Live Collections'!$D:$D,Disbursements!B1875,'Live Collections'!$G:$G,Disbursements!C1875)</f>
        <v>0</v>
      </c>
      <c r="AM1875" s="541">
        <f t="shared" si="790"/>
        <v>0</v>
      </c>
      <c r="AN1875" s="542" t="str">
        <f t="shared" si="791"/>
        <v/>
      </c>
      <c r="AO1875" s="542" t="str">
        <f t="shared" si="792"/>
        <v/>
      </c>
      <c r="AP1875" s="543" t="str">
        <f t="shared" si="793"/>
        <v/>
      </c>
      <c r="AQ1875" s="544" t="str">
        <f t="shared" si="794"/>
        <v/>
      </c>
      <c r="AR1875" s="545">
        <f t="shared" si="795"/>
        <v>0</v>
      </c>
      <c r="AS1875" s="545">
        <f>IFERROR(CEILING($AR1875*VLOOKUP($I1875,Ref!$B$23:$E$29,4,0),1),0)</f>
        <v>0</v>
      </c>
      <c r="AT1875" s="545" t="str">
        <f>IF(A1875="","",IF(AP1875&lt;=1,"Cleared",IF(AS1875=0,"Clean",VLOOKUP($AS1875,Ref!$G$23:$H$28,2))))</f>
        <v/>
      </c>
      <c r="AU1875" s="546" t="str">
        <f t="shared" si="796"/>
        <v/>
      </c>
    </row>
    <row r="1876" spans="1:47" ht="14.25" hidden="1" customHeight="1" x14ac:dyDescent="0.15">
      <c r="A1876" s="575"/>
      <c r="B1876" s="548"/>
      <c r="C1876" s="548"/>
      <c r="D1876" s="548"/>
      <c r="E1876" s="583"/>
      <c r="F1876" s="584"/>
      <c r="G1876" s="548"/>
      <c r="H1876" s="550"/>
      <c r="I1876" s="560"/>
      <c r="J1876" s="548"/>
      <c r="K1876" s="528" t="str">
        <f>IFERROR(VLOOKUP($B1876,'Clients-Live'!$A:$C,3,0),"")</f>
        <v/>
      </c>
      <c r="L1876" s="528">
        <f>IF(E1876="STL",Pricing!$D$38,IF(A1876="",0,IF(A1876&lt;Pricing!$C$25,Pricing!$D$25,VLOOKUP(Disbursements!$F1876,Pricing!$B$29:$D$32,3))))</f>
        <v>0</v>
      </c>
      <c r="M1876" s="528">
        <f>IF(E1876="STL",0,IF(F1876&gt;0,Pricing!$D$21,0))</f>
        <v>0</v>
      </c>
      <c r="N1876" s="529">
        <f>IF(E1876="STL",F1876*Pricing!$D$40,IF(A1876&lt;=Pricing!$C$4,0,IF(AND(A1876&gt;Pricing!$C$4,Disbursements!A1876&lt;=Pricing!$C$5),F1876*Pricing!$E$5,IF(AND(A1876&gt;Pricing!$C$5,Disbursements!A1876&lt;=Pricing!$C$7),VLOOKUP(F1876,Pricing!$D$7:$E$8,2)*Disbursements!F1876,F1876*Pricing!$E$9))))</f>
        <v>0</v>
      </c>
      <c r="O1876" s="528">
        <f>IF(E1876="STL",0,IF($F1876&gt;0,$F1876*Pricing!$D$17,0))</f>
        <v>0</v>
      </c>
      <c r="P1876" s="530" t="str">
        <f t="shared" si="776"/>
        <v/>
      </c>
      <c r="Q1876" s="531" t="str">
        <f>IF($A1876="","",$G1876/VLOOKUP($I1876,Ref!$B$23:$D$29,2,0))</f>
        <v/>
      </c>
      <c r="R1876" s="530" t="str">
        <f t="shared" si="777"/>
        <v/>
      </c>
      <c r="S1876" s="532" t="str">
        <f t="shared" si="771"/>
        <v/>
      </c>
      <c r="T1876" s="531" t="str">
        <f t="shared" si="778"/>
        <v/>
      </c>
      <c r="U1876" s="533">
        <f t="shared" si="779"/>
        <v>0</v>
      </c>
      <c r="V1876" s="531" t="str">
        <f t="shared" si="780"/>
        <v/>
      </c>
      <c r="W1876" s="531" t="str">
        <f t="shared" si="781"/>
        <v/>
      </c>
      <c r="X1876" s="534" t="str">
        <f t="shared" si="782"/>
        <v/>
      </c>
      <c r="Y1876" s="535" t="str">
        <f>IF($A1876="","",IF($I1876="weekly",$A1876+7,EDATE($A1876,VLOOKUP($I1876,Ref!$B$24:$C$29,2,0))))</f>
        <v/>
      </c>
      <c r="Z1876" s="536" t="str">
        <f t="shared" si="783"/>
        <v/>
      </c>
      <c r="AA1876" s="531">
        <f t="shared" si="784"/>
        <v>0</v>
      </c>
      <c r="AB1876" s="535" t="str">
        <f t="shared" si="772"/>
        <v/>
      </c>
      <c r="AC1876" s="537" t="str">
        <f t="shared" si="773"/>
        <v/>
      </c>
      <c r="AD1876" s="538" t="str">
        <f t="shared" ca="1" si="774"/>
        <v/>
      </c>
      <c r="AE1876" s="537">
        <f t="shared" ca="1" si="775"/>
        <v>0</v>
      </c>
      <c r="AF1876" s="539" t="str">
        <f t="shared" ca="1" si="785"/>
        <v/>
      </c>
      <c r="AG1876" s="531" t="str">
        <f t="shared" ca="1" si="786"/>
        <v/>
      </c>
      <c r="AH1876" s="531" t="str">
        <f t="shared" ca="1" si="787"/>
        <v/>
      </c>
      <c r="AI1876" s="531" t="str">
        <f t="shared" ca="1" si="788"/>
        <v/>
      </c>
      <c r="AJ1876" s="531" t="str">
        <f t="shared" si="789"/>
        <v/>
      </c>
      <c r="AK1876" s="540">
        <f>SUMIFS('Live Collections'!$S:$S,'Live Collections'!$D:$D,Disbursements!B1876,'Live Collections'!$G:$G,Disbursements!C1876)</f>
        <v>0</v>
      </c>
      <c r="AL1876" s="540">
        <f>SUMIFS('Live Collections'!$T:$T,'Live Collections'!$D:$D,Disbursements!B1876,'Live Collections'!$G:$G,Disbursements!C1876)</f>
        <v>0</v>
      </c>
      <c r="AM1876" s="541">
        <f t="shared" si="790"/>
        <v>0</v>
      </c>
      <c r="AN1876" s="542" t="str">
        <f t="shared" si="791"/>
        <v/>
      </c>
      <c r="AO1876" s="542" t="str">
        <f t="shared" si="792"/>
        <v/>
      </c>
      <c r="AP1876" s="543" t="str">
        <f t="shared" si="793"/>
        <v/>
      </c>
      <c r="AQ1876" s="544" t="str">
        <f t="shared" si="794"/>
        <v/>
      </c>
      <c r="AR1876" s="545">
        <f t="shared" si="795"/>
        <v>0</v>
      </c>
      <c r="AS1876" s="545">
        <f>IFERROR(CEILING($AR1876*VLOOKUP($I1876,Ref!$B$23:$E$29,4,0),1),0)</f>
        <v>0</v>
      </c>
      <c r="AT1876" s="545" t="str">
        <f>IF(A1876="","",IF(AP1876&lt;=1,"Cleared",IF(AS1876=0,"Clean",VLOOKUP($AS1876,Ref!$G$23:$H$28,2))))</f>
        <v/>
      </c>
      <c r="AU1876" s="546" t="str">
        <f t="shared" si="796"/>
        <v/>
      </c>
    </row>
    <row r="1877" spans="1:47" ht="14.25" hidden="1" customHeight="1" x14ac:dyDescent="0.15">
      <c r="A1877" s="575"/>
      <c r="B1877" s="548"/>
      <c r="C1877" s="548"/>
      <c r="D1877" s="548"/>
      <c r="E1877" s="583"/>
      <c r="F1877" s="584"/>
      <c r="G1877" s="548"/>
      <c r="H1877" s="550"/>
      <c r="I1877" s="560"/>
      <c r="J1877" s="548"/>
      <c r="K1877" s="528" t="str">
        <f>IFERROR(VLOOKUP($B1877,'Clients-Live'!$A:$C,3,0),"")</f>
        <v/>
      </c>
      <c r="L1877" s="528">
        <f>IF(E1877="STL",Pricing!$D$38,IF(A1877="",0,IF(A1877&lt;Pricing!$C$25,Pricing!$D$25,VLOOKUP(Disbursements!$F1877,Pricing!$B$29:$D$32,3))))</f>
        <v>0</v>
      </c>
      <c r="M1877" s="528">
        <f>IF(E1877="STL",0,IF(F1877&gt;0,Pricing!$D$21,0))</f>
        <v>0</v>
      </c>
      <c r="N1877" s="529">
        <f>IF(E1877="STL",F1877*Pricing!$D$40,IF(A1877&lt;=Pricing!$C$4,0,IF(AND(A1877&gt;Pricing!$C$4,Disbursements!A1877&lt;=Pricing!$C$5),F1877*Pricing!$E$5,IF(AND(A1877&gt;Pricing!$C$5,Disbursements!A1877&lt;=Pricing!$C$7),VLOOKUP(F1877,Pricing!$D$7:$E$8,2)*Disbursements!F1877,F1877*Pricing!$E$9))))</f>
        <v>0</v>
      </c>
      <c r="O1877" s="528">
        <f>IF(E1877="STL",0,IF($F1877&gt;0,$F1877*Pricing!$D$17,0))</f>
        <v>0</v>
      </c>
      <c r="P1877" s="530" t="str">
        <f t="shared" si="776"/>
        <v/>
      </c>
      <c r="Q1877" s="531" t="str">
        <f>IF($A1877="","",$G1877/VLOOKUP($I1877,Ref!$B$23:$D$29,2,0))</f>
        <v/>
      </c>
      <c r="R1877" s="530" t="str">
        <f t="shared" si="777"/>
        <v/>
      </c>
      <c r="S1877" s="532" t="str">
        <f t="shared" si="771"/>
        <v/>
      </c>
      <c r="T1877" s="531" t="str">
        <f t="shared" si="778"/>
        <v/>
      </c>
      <c r="U1877" s="533">
        <f t="shared" si="779"/>
        <v>0</v>
      </c>
      <c r="V1877" s="531" t="str">
        <f t="shared" si="780"/>
        <v/>
      </c>
      <c r="W1877" s="531" t="str">
        <f t="shared" si="781"/>
        <v/>
      </c>
      <c r="X1877" s="534" t="str">
        <f t="shared" si="782"/>
        <v/>
      </c>
      <c r="Y1877" s="535" t="str">
        <f>IF($A1877="","",IF($I1877="weekly",$A1877+7,EDATE($A1877,VLOOKUP($I1877,Ref!$B$24:$C$29,2,0))))</f>
        <v/>
      </c>
      <c r="Z1877" s="536" t="str">
        <f t="shared" si="783"/>
        <v/>
      </c>
      <c r="AA1877" s="531">
        <f t="shared" si="784"/>
        <v>0</v>
      </c>
      <c r="AB1877" s="535" t="str">
        <f t="shared" si="772"/>
        <v/>
      </c>
      <c r="AC1877" s="537" t="str">
        <f t="shared" si="773"/>
        <v/>
      </c>
      <c r="AD1877" s="538" t="str">
        <f t="shared" ca="1" si="774"/>
        <v/>
      </c>
      <c r="AE1877" s="537">
        <f t="shared" ca="1" si="775"/>
        <v>0</v>
      </c>
      <c r="AF1877" s="539" t="str">
        <f t="shared" ca="1" si="785"/>
        <v/>
      </c>
      <c r="AG1877" s="531" t="str">
        <f t="shared" ca="1" si="786"/>
        <v/>
      </c>
      <c r="AH1877" s="531" t="str">
        <f t="shared" ca="1" si="787"/>
        <v/>
      </c>
      <c r="AI1877" s="531" t="str">
        <f t="shared" ca="1" si="788"/>
        <v/>
      </c>
      <c r="AJ1877" s="531" t="str">
        <f t="shared" si="789"/>
        <v/>
      </c>
      <c r="AK1877" s="540">
        <f>SUMIFS('Live Collections'!$S:$S,'Live Collections'!$D:$D,Disbursements!B1877,'Live Collections'!$G:$G,Disbursements!C1877)</f>
        <v>0</v>
      </c>
      <c r="AL1877" s="540">
        <f>SUMIFS('Live Collections'!$T:$T,'Live Collections'!$D:$D,Disbursements!B1877,'Live Collections'!$G:$G,Disbursements!C1877)</f>
        <v>0</v>
      </c>
      <c r="AM1877" s="541">
        <f t="shared" si="790"/>
        <v>0</v>
      </c>
      <c r="AN1877" s="542" t="str">
        <f t="shared" si="791"/>
        <v/>
      </c>
      <c r="AO1877" s="542" t="str">
        <f t="shared" si="792"/>
        <v/>
      </c>
      <c r="AP1877" s="543" t="str">
        <f t="shared" si="793"/>
        <v/>
      </c>
      <c r="AQ1877" s="544" t="str">
        <f t="shared" si="794"/>
        <v/>
      </c>
      <c r="AR1877" s="545">
        <f t="shared" si="795"/>
        <v>0</v>
      </c>
      <c r="AS1877" s="545">
        <f>IFERROR(CEILING($AR1877*VLOOKUP($I1877,Ref!$B$23:$E$29,4,0),1),0)</f>
        <v>0</v>
      </c>
      <c r="AT1877" s="545" t="str">
        <f>IF(A1877="","",IF(AP1877&lt;=1,"Cleared",IF(AS1877=0,"Clean",VLOOKUP($AS1877,Ref!$G$23:$H$28,2))))</f>
        <v/>
      </c>
      <c r="AU1877" s="546" t="str">
        <f t="shared" si="796"/>
        <v/>
      </c>
    </row>
    <row r="1878" spans="1:47" ht="14.25" hidden="1" customHeight="1" x14ac:dyDescent="0.15">
      <c r="A1878" s="575"/>
      <c r="B1878" s="548"/>
      <c r="C1878" s="548"/>
      <c r="D1878" s="548"/>
      <c r="E1878" s="583"/>
      <c r="F1878" s="584"/>
      <c r="G1878" s="548"/>
      <c r="H1878" s="550"/>
      <c r="I1878" s="560"/>
      <c r="J1878" s="548"/>
      <c r="K1878" s="528" t="str">
        <f>IFERROR(VLOOKUP($B1878,'Clients-Live'!$A:$C,3,0),"")</f>
        <v/>
      </c>
      <c r="L1878" s="528">
        <f>IF(E1878="STL",Pricing!$D$38,IF(A1878="",0,IF(A1878&lt;Pricing!$C$25,Pricing!$D$25,VLOOKUP(Disbursements!$F1878,Pricing!$B$29:$D$32,3))))</f>
        <v>0</v>
      </c>
      <c r="M1878" s="528">
        <f>IF(E1878="STL",0,IF(F1878&gt;0,Pricing!$D$21,0))</f>
        <v>0</v>
      </c>
      <c r="N1878" s="529">
        <f>IF(E1878="STL",F1878*Pricing!$D$40,IF(A1878&lt;=Pricing!$C$4,0,IF(AND(A1878&gt;Pricing!$C$4,Disbursements!A1878&lt;=Pricing!$C$5),F1878*Pricing!$E$5,IF(AND(A1878&gt;Pricing!$C$5,Disbursements!A1878&lt;=Pricing!$C$7),VLOOKUP(F1878,Pricing!$D$7:$E$8,2)*Disbursements!F1878,F1878*Pricing!$E$9))))</f>
        <v>0</v>
      </c>
      <c r="O1878" s="528">
        <f>IF(E1878="STL",0,IF($F1878&gt;0,$F1878*Pricing!$D$17,0))</f>
        <v>0</v>
      </c>
      <c r="P1878" s="530" t="str">
        <f t="shared" si="776"/>
        <v/>
      </c>
      <c r="Q1878" s="531" t="str">
        <f>IF($A1878="","",$G1878/VLOOKUP($I1878,Ref!$B$23:$D$29,2,0))</f>
        <v/>
      </c>
      <c r="R1878" s="530" t="str">
        <f t="shared" si="777"/>
        <v/>
      </c>
      <c r="S1878" s="532" t="str">
        <f t="shared" si="771"/>
        <v/>
      </c>
      <c r="T1878" s="531" t="str">
        <f t="shared" si="778"/>
        <v/>
      </c>
      <c r="U1878" s="533">
        <f t="shared" si="779"/>
        <v>0</v>
      </c>
      <c r="V1878" s="531" t="str">
        <f t="shared" si="780"/>
        <v/>
      </c>
      <c r="W1878" s="531" t="str">
        <f t="shared" si="781"/>
        <v/>
      </c>
      <c r="X1878" s="534" t="str">
        <f t="shared" si="782"/>
        <v/>
      </c>
      <c r="Y1878" s="535" t="str">
        <f>IF($A1878="","",IF($I1878="weekly",$A1878+7,EDATE($A1878,VLOOKUP($I1878,Ref!$B$24:$C$29,2,0))))</f>
        <v/>
      </c>
      <c r="Z1878" s="536" t="str">
        <f t="shared" si="783"/>
        <v/>
      </c>
      <c r="AA1878" s="531">
        <f t="shared" si="784"/>
        <v>0</v>
      </c>
      <c r="AB1878" s="535" t="str">
        <f t="shared" si="772"/>
        <v/>
      </c>
      <c r="AC1878" s="537" t="str">
        <f t="shared" si="773"/>
        <v/>
      </c>
      <c r="AD1878" s="538" t="str">
        <f t="shared" ca="1" si="774"/>
        <v/>
      </c>
      <c r="AE1878" s="537">
        <f t="shared" ca="1" si="775"/>
        <v>0</v>
      </c>
      <c r="AF1878" s="539" t="str">
        <f t="shared" ca="1" si="785"/>
        <v/>
      </c>
      <c r="AG1878" s="531" t="str">
        <f t="shared" ca="1" si="786"/>
        <v/>
      </c>
      <c r="AH1878" s="531" t="str">
        <f t="shared" ca="1" si="787"/>
        <v/>
      </c>
      <c r="AI1878" s="531" t="str">
        <f t="shared" ca="1" si="788"/>
        <v/>
      </c>
      <c r="AJ1878" s="531" t="str">
        <f t="shared" si="789"/>
        <v/>
      </c>
      <c r="AK1878" s="540">
        <f>SUMIFS('Live Collections'!$S:$S,'Live Collections'!$D:$D,Disbursements!B1878,'Live Collections'!$G:$G,Disbursements!C1878)</f>
        <v>0</v>
      </c>
      <c r="AL1878" s="540">
        <f>SUMIFS('Live Collections'!$T:$T,'Live Collections'!$D:$D,Disbursements!B1878,'Live Collections'!$G:$G,Disbursements!C1878)</f>
        <v>0</v>
      </c>
      <c r="AM1878" s="541">
        <f t="shared" si="790"/>
        <v>0</v>
      </c>
      <c r="AN1878" s="542" t="str">
        <f t="shared" si="791"/>
        <v/>
      </c>
      <c r="AO1878" s="542" t="str">
        <f t="shared" si="792"/>
        <v/>
      </c>
      <c r="AP1878" s="543" t="str">
        <f t="shared" si="793"/>
        <v/>
      </c>
      <c r="AQ1878" s="544" t="str">
        <f t="shared" si="794"/>
        <v/>
      </c>
      <c r="AR1878" s="545">
        <f t="shared" si="795"/>
        <v>0</v>
      </c>
      <c r="AS1878" s="545">
        <f>IFERROR(CEILING($AR1878*VLOOKUP($I1878,Ref!$B$23:$E$29,4,0),1),0)</f>
        <v>0</v>
      </c>
      <c r="AT1878" s="545" t="str">
        <f>IF(A1878="","",IF(AP1878&lt;=1,"Cleared",IF(AS1878=0,"Clean",VLOOKUP($AS1878,Ref!$G$23:$H$28,2))))</f>
        <v/>
      </c>
      <c r="AU1878" s="546" t="str">
        <f t="shared" si="796"/>
        <v/>
      </c>
    </row>
    <row r="1879" spans="1:47" ht="14.25" hidden="1" customHeight="1" x14ac:dyDescent="0.15">
      <c r="A1879" s="575"/>
      <c r="B1879" s="548"/>
      <c r="C1879" s="548"/>
      <c r="D1879" s="548"/>
      <c r="E1879" s="583"/>
      <c r="F1879" s="584"/>
      <c r="G1879" s="548"/>
      <c r="H1879" s="550"/>
      <c r="I1879" s="560"/>
      <c r="J1879" s="548"/>
      <c r="K1879" s="528" t="str">
        <f>IFERROR(VLOOKUP($B1879,'Clients-Live'!$A:$C,3,0),"")</f>
        <v/>
      </c>
      <c r="L1879" s="528">
        <f>IF(E1879="STL",Pricing!$D$38,IF(A1879="",0,IF(A1879&lt;Pricing!$C$25,Pricing!$D$25,VLOOKUP(Disbursements!$F1879,Pricing!$B$29:$D$32,3))))</f>
        <v>0</v>
      </c>
      <c r="M1879" s="528">
        <f>IF(E1879="STL",0,IF(F1879&gt;0,Pricing!$D$21,0))</f>
        <v>0</v>
      </c>
      <c r="N1879" s="529">
        <f>IF(E1879="STL",F1879*Pricing!$D$40,IF(A1879&lt;=Pricing!$C$4,0,IF(AND(A1879&gt;Pricing!$C$4,Disbursements!A1879&lt;=Pricing!$C$5),F1879*Pricing!$E$5,IF(AND(A1879&gt;Pricing!$C$5,Disbursements!A1879&lt;=Pricing!$C$7),VLOOKUP(F1879,Pricing!$D$7:$E$8,2)*Disbursements!F1879,F1879*Pricing!$E$9))))</f>
        <v>0</v>
      </c>
      <c r="O1879" s="528">
        <f>IF(E1879="STL",0,IF($F1879&gt;0,$F1879*Pricing!$D$17,0))</f>
        <v>0</v>
      </c>
      <c r="P1879" s="530" t="str">
        <f t="shared" si="776"/>
        <v/>
      </c>
      <c r="Q1879" s="531" t="str">
        <f>IF($A1879="","",$G1879/VLOOKUP($I1879,Ref!$B$23:$D$29,2,0))</f>
        <v/>
      </c>
      <c r="R1879" s="530" t="str">
        <f t="shared" si="777"/>
        <v/>
      </c>
      <c r="S1879" s="532" t="str">
        <f t="shared" si="771"/>
        <v/>
      </c>
      <c r="T1879" s="531" t="str">
        <f t="shared" si="778"/>
        <v/>
      </c>
      <c r="U1879" s="533">
        <f t="shared" si="779"/>
        <v>0</v>
      </c>
      <c r="V1879" s="531" t="str">
        <f t="shared" si="780"/>
        <v/>
      </c>
      <c r="W1879" s="531" t="str">
        <f t="shared" si="781"/>
        <v/>
      </c>
      <c r="X1879" s="534" t="str">
        <f t="shared" si="782"/>
        <v/>
      </c>
      <c r="Y1879" s="535" t="str">
        <f>IF($A1879="","",IF($I1879="weekly",$A1879+7,EDATE($A1879,VLOOKUP($I1879,Ref!$B$24:$C$29,2,0))))</f>
        <v/>
      </c>
      <c r="Z1879" s="536" t="str">
        <f t="shared" si="783"/>
        <v/>
      </c>
      <c r="AA1879" s="531">
        <f t="shared" si="784"/>
        <v>0</v>
      </c>
      <c r="AB1879" s="535" t="str">
        <f t="shared" si="772"/>
        <v/>
      </c>
      <c r="AC1879" s="537" t="str">
        <f t="shared" si="773"/>
        <v/>
      </c>
      <c r="AD1879" s="538" t="str">
        <f t="shared" ca="1" si="774"/>
        <v/>
      </c>
      <c r="AE1879" s="537">
        <f t="shared" ca="1" si="775"/>
        <v>0</v>
      </c>
      <c r="AF1879" s="539" t="str">
        <f t="shared" ca="1" si="785"/>
        <v/>
      </c>
      <c r="AG1879" s="531" t="str">
        <f t="shared" ca="1" si="786"/>
        <v/>
      </c>
      <c r="AH1879" s="531" t="str">
        <f t="shared" ca="1" si="787"/>
        <v/>
      </c>
      <c r="AI1879" s="531" t="str">
        <f t="shared" ca="1" si="788"/>
        <v/>
      </c>
      <c r="AJ1879" s="531" t="str">
        <f t="shared" si="789"/>
        <v/>
      </c>
      <c r="AK1879" s="540">
        <f>SUMIFS('Live Collections'!$S:$S,'Live Collections'!$D:$D,Disbursements!B1879,'Live Collections'!$G:$G,Disbursements!C1879)</f>
        <v>0</v>
      </c>
      <c r="AL1879" s="540">
        <f>SUMIFS('Live Collections'!$T:$T,'Live Collections'!$D:$D,Disbursements!B1879,'Live Collections'!$G:$G,Disbursements!C1879)</f>
        <v>0</v>
      </c>
      <c r="AM1879" s="541">
        <f t="shared" si="790"/>
        <v>0</v>
      </c>
      <c r="AN1879" s="542" t="str">
        <f t="shared" si="791"/>
        <v/>
      </c>
      <c r="AO1879" s="542" t="str">
        <f t="shared" si="792"/>
        <v/>
      </c>
      <c r="AP1879" s="543" t="str">
        <f t="shared" si="793"/>
        <v/>
      </c>
      <c r="AQ1879" s="544" t="str">
        <f t="shared" si="794"/>
        <v/>
      </c>
      <c r="AR1879" s="545">
        <f t="shared" si="795"/>
        <v>0</v>
      </c>
      <c r="AS1879" s="545">
        <f>IFERROR(CEILING($AR1879*VLOOKUP($I1879,Ref!$B$23:$E$29,4,0),1),0)</f>
        <v>0</v>
      </c>
      <c r="AT1879" s="545" t="str">
        <f>IF(A1879="","",IF(AP1879&lt;=1,"Cleared",IF(AS1879=0,"Clean",VLOOKUP($AS1879,Ref!$G$23:$H$28,2))))</f>
        <v/>
      </c>
      <c r="AU1879" s="546" t="str">
        <f t="shared" si="796"/>
        <v/>
      </c>
    </row>
    <row r="1880" spans="1:47" ht="14.25" hidden="1" customHeight="1" x14ac:dyDescent="0.15">
      <c r="A1880" s="575"/>
      <c r="B1880" s="548"/>
      <c r="C1880" s="548"/>
      <c r="D1880" s="548"/>
      <c r="E1880" s="583"/>
      <c r="F1880" s="584"/>
      <c r="G1880" s="548"/>
      <c r="H1880" s="550"/>
      <c r="I1880" s="560"/>
      <c r="J1880" s="548"/>
      <c r="K1880" s="528" t="str">
        <f>IFERROR(VLOOKUP($B1880,'Clients-Live'!$A:$C,3,0),"")</f>
        <v/>
      </c>
      <c r="L1880" s="528">
        <f>IF(E1880="STL",Pricing!$D$38,IF(A1880="",0,IF(A1880&lt;Pricing!$C$25,Pricing!$D$25,VLOOKUP(Disbursements!$F1880,Pricing!$B$29:$D$32,3))))</f>
        <v>0</v>
      </c>
      <c r="M1880" s="528">
        <f>IF(E1880="STL",0,IF(F1880&gt;0,Pricing!$D$21,0))</f>
        <v>0</v>
      </c>
      <c r="N1880" s="529">
        <f>IF(E1880="STL",F1880*Pricing!$D$40,IF(A1880&lt;=Pricing!$C$4,0,IF(AND(A1880&gt;Pricing!$C$4,Disbursements!A1880&lt;=Pricing!$C$5),F1880*Pricing!$E$5,IF(AND(A1880&gt;Pricing!$C$5,Disbursements!A1880&lt;=Pricing!$C$7),VLOOKUP(F1880,Pricing!$D$7:$E$8,2)*Disbursements!F1880,F1880*Pricing!$E$9))))</f>
        <v>0</v>
      </c>
      <c r="O1880" s="528">
        <f>IF(E1880="STL",0,IF($F1880&gt;0,$F1880*Pricing!$D$17,0))</f>
        <v>0</v>
      </c>
      <c r="P1880" s="530" t="str">
        <f t="shared" si="776"/>
        <v/>
      </c>
      <c r="Q1880" s="531" t="str">
        <f>IF($A1880="","",$G1880/VLOOKUP($I1880,Ref!$B$23:$D$29,2,0))</f>
        <v/>
      </c>
      <c r="R1880" s="530" t="str">
        <f t="shared" si="777"/>
        <v/>
      </c>
      <c r="S1880" s="532" t="str">
        <f t="shared" si="771"/>
        <v/>
      </c>
      <c r="T1880" s="531" t="str">
        <f t="shared" si="778"/>
        <v/>
      </c>
      <c r="U1880" s="533">
        <f t="shared" si="779"/>
        <v>0</v>
      </c>
      <c r="V1880" s="531" t="str">
        <f t="shared" si="780"/>
        <v/>
      </c>
      <c r="W1880" s="531" t="str">
        <f t="shared" si="781"/>
        <v/>
      </c>
      <c r="X1880" s="534" t="str">
        <f t="shared" si="782"/>
        <v/>
      </c>
      <c r="Y1880" s="535" t="str">
        <f>IF($A1880="","",IF($I1880="weekly",$A1880+7,EDATE($A1880,VLOOKUP($I1880,Ref!$B$24:$C$29,2,0))))</f>
        <v/>
      </c>
      <c r="Z1880" s="536" t="str">
        <f t="shared" si="783"/>
        <v/>
      </c>
      <c r="AA1880" s="531">
        <f t="shared" si="784"/>
        <v>0</v>
      </c>
      <c r="AB1880" s="535" t="str">
        <f t="shared" si="772"/>
        <v/>
      </c>
      <c r="AC1880" s="537" t="str">
        <f t="shared" si="773"/>
        <v/>
      </c>
      <c r="AD1880" s="538" t="str">
        <f t="shared" ca="1" si="774"/>
        <v/>
      </c>
      <c r="AE1880" s="537">
        <f t="shared" ca="1" si="775"/>
        <v>0</v>
      </c>
      <c r="AF1880" s="539" t="str">
        <f t="shared" ca="1" si="785"/>
        <v/>
      </c>
      <c r="AG1880" s="531" t="str">
        <f t="shared" ca="1" si="786"/>
        <v/>
      </c>
      <c r="AH1880" s="531" t="str">
        <f t="shared" ca="1" si="787"/>
        <v/>
      </c>
      <c r="AI1880" s="531" t="str">
        <f t="shared" ca="1" si="788"/>
        <v/>
      </c>
      <c r="AJ1880" s="531" t="str">
        <f t="shared" si="789"/>
        <v/>
      </c>
      <c r="AK1880" s="540">
        <f>SUMIFS('Live Collections'!$S:$S,'Live Collections'!$D:$D,Disbursements!B1880,'Live Collections'!$G:$G,Disbursements!C1880)</f>
        <v>0</v>
      </c>
      <c r="AL1880" s="540">
        <f>SUMIFS('Live Collections'!$T:$T,'Live Collections'!$D:$D,Disbursements!B1880,'Live Collections'!$G:$G,Disbursements!C1880)</f>
        <v>0</v>
      </c>
      <c r="AM1880" s="541">
        <f t="shared" si="790"/>
        <v>0</v>
      </c>
      <c r="AN1880" s="542" t="str">
        <f t="shared" si="791"/>
        <v/>
      </c>
      <c r="AO1880" s="542" t="str">
        <f t="shared" si="792"/>
        <v/>
      </c>
      <c r="AP1880" s="543" t="str">
        <f t="shared" si="793"/>
        <v/>
      </c>
      <c r="AQ1880" s="544" t="str">
        <f t="shared" si="794"/>
        <v/>
      </c>
      <c r="AR1880" s="545">
        <f t="shared" si="795"/>
        <v>0</v>
      </c>
      <c r="AS1880" s="545">
        <f>IFERROR(CEILING($AR1880*VLOOKUP($I1880,Ref!$B$23:$E$29,4,0),1),0)</f>
        <v>0</v>
      </c>
      <c r="AT1880" s="545" t="str">
        <f>IF(A1880="","",IF(AP1880&lt;=1,"Cleared",IF(AS1880=0,"Clean",VLOOKUP($AS1880,Ref!$G$23:$H$28,2))))</f>
        <v/>
      </c>
      <c r="AU1880" s="546" t="str">
        <f t="shared" si="796"/>
        <v/>
      </c>
    </row>
    <row r="1881" spans="1:47" ht="14.25" hidden="1" customHeight="1" x14ac:dyDescent="0.15">
      <c r="A1881" s="575"/>
      <c r="B1881" s="548"/>
      <c r="C1881" s="548"/>
      <c r="D1881" s="548"/>
      <c r="E1881" s="583"/>
      <c r="F1881" s="584"/>
      <c r="G1881" s="548"/>
      <c r="H1881" s="550"/>
      <c r="I1881" s="560"/>
      <c r="J1881" s="548"/>
      <c r="K1881" s="528" t="str">
        <f>IFERROR(VLOOKUP($B1881,'Clients-Live'!$A:$C,3,0),"")</f>
        <v/>
      </c>
      <c r="L1881" s="528">
        <f>IF(E1881="STL",Pricing!$D$38,IF(A1881="",0,IF(A1881&lt;Pricing!$C$25,Pricing!$D$25,VLOOKUP(Disbursements!$F1881,Pricing!$B$29:$D$32,3))))</f>
        <v>0</v>
      </c>
      <c r="M1881" s="528">
        <f>IF(E1881="STL",0,IF(F1881&gt;0,Pricing!$D$21,0))</f>
        <v>0</v>
      </c>
      <c r="N1881" s="529">
        <f>IF(E1881="STL",F1881*Pricing!$D$40,IF(A1881&lt;=Pricing!$C$4,0,IF(AND(A1881&gt;Pricing!$C$4,Disbursements!A1881&lt;=Pricing!$C$5),F1881*Pricing!$E$5,IF(AND(A1881&gt;Pricing!$C$5,Disbursements!A1881&lt;=Pricing!$C$7),VLOOKUP(F1881,Pricing!$D$7:$E$8,2)*Disbursements!F1881,F1881*Pricing!$E$9))))</f>
        <v>0</v>
      </c>
      <c r="O1881" s="528">
        <f>IF(E1881="STL",0,IF($F1881&gt;0,$F1881*Pricing!$D$17,0))</f>
        <v>0</v>
      </c>
      <c r="P1881" s="530" t="str">
        <f t="shared" si="776"/>
        <v/>
      </c>
      <c r="Q1881" s="531" t="str">
        <f>IF($A1881="","",$G1881/VLOOKUP($I1881,Ref!$B$23:$D$29,2,0))</f>
        <v/>
      </c>
      <c r="R1881" s="530" t="str">
        <f t="shared" si="777"/>
        <v/>
      </c>
      <c r="S1881" s="532" t="str">
        <f t="shared" si="771"/>
        <v/>
      </c>
      <c r="T1881" s="531" t="str">
        <f t="shared" si="778"/>
        <v/>
      </c>
      <c r="U1881" s="533">
        <f t="shared" si="779"/>
        <v>0</v>
      </c>
      <c r="V1881" s="531" t="str">
        <f t="shared" si="780"/>
        <v/>
      </c>
      <c r="W1881" s="531" t="str">
        <f t="shared" si="781"/>
        <v/>
      </c>
      <c r="X1881" s="534" t="str">
        <f t="shared" si="782"/>
        <v/>
      </c>
      <c r="Y1881" s="535" t="str">
        <f>IF($A1881="","",IF($I1881="weekly",$A1881+7,EDATE($A1881,VLOOKUP($I1881,Ref!$B$24:$C$29,2,0))))</f>
        <v/>
      </c>
      <c r="Z1881" s="536" t="str">
        <f t="shared" si="783"/>
        <v/>
      </c>
      <c r="AA1881" s="531">
        <f t="shared" si="784"/>
        <v>0</v>
      </c>
      <c r="AB1881" s="535" t="str">
        <f t="shared" si="772"/>
        <v/>
      </c>
      <c r="AC1881" s="537" t="str">
        <f t="shared" si="773"/>
        <v/>
      </c>
      <c r="AD1881" s="538" t="str">
        <f t="shared" ca="1" si="774"/>
        <v/>
      </c>
      <c r="AE1881" s="537">
        <f t="shared" ca="1" si="775"/>
        <v>0</v>
      </c>
      <c r="AF1881" s="539" t="str">
        <f t="shared" ca="1" si="785"/>
        <v/>
      </c>
      <c r="AG1881" s="531" t="str">
        <f t="shared" ca="1" si="786"/>
        <v/>
      </c>
      <c r="AH1881" s="531" t="str">
        <f t="shared" ca="1" si="787"/>
        <v/>
      </c>
      <c r="AI1881" s="531" t="str">
        <f t="shared" ca="1" si="788"/>
        <v/>
      </c>
      <c r="AJ1881" s="531" t="str">
        <f t="shared" si="789"/>
        <v/>
      </c>
      <c r="AK1881" s="540">
        <f>SUMIFS('Live Collections'!$S:$S,'Live Collections'!$D:$D,Disbursements!B1881,'Live Collections'!$G:$G,Disbursements!C1881)</f>
        <v>0</v>
      </c>
      <c r="AL1881" s="540">
        <f>SUMIFS('Live Collections'!$T:$T,'Live Collections'!$D:$D,Disbursements!B1881,'Live Collections'!$G:$G,Disbursements!C1881)</f>
        <v>0</v>
      </c>
      <c r="AM1881" s="541">
        <f t="shared" si="790"/>
        <v>0</v>
      </c>
      <c r="AN1881" s="542" t="str">
        <f t="shared" si="791"/>
        <v/>
      </c>
      <c r="AO1881" s="542" t="str">
        <f t="shared" si="792"/>
        <v/>
      </c>
      <c r="AP1881" s="543" t="str">
        <f t="shared" si="793"/>
        <v/>
      </c>
      <c r="AQ1881" s="544" t="str">
        <f t="shared" si="794"/>
        <v/>
      </c>
      <c r="AR1881" s="545">
        <f t="shared" si="795"/>
        <v>0</v>
      </c>
      <c r="AS1881" s="545">
        <f>IFERROR(CEILING($AR1881*VLOOKUP($I1881,Ref!$B$23:$E$29,4,0),1),0)</f>
        <v>0</v>
      </c>
      <c r="AT1881" s="545" t="str">
        <f>IF(A1881="","",IF(AP1881&lt;=1,"Cleared",IF(AS1881=0,"Clean",VLOOKUP($AS1881,Ref!$G$23:$H$28,2))))</f>
        <v/>
      </c>
      <c r="AU1881" s="546" t="str">
        <f t="shared" si="796"/>
        <v/>
      </c>
    </row>
    <row r="1882" spans="1:47" ht="14.25" hidden="1" customHeight="1" x14ac:dyDescent="0.15">
      <c r="A1882" s="575"/>
      <c r="B1882" s="548"/>
      <c r="C1882" s="548"/>
      <c r="D1882" s="548"/>
      <c r="E1882" s="583"/>
      <c r="F1882" s="584"/>
      <c r="G1882" s="548"/>
      <c r="H1882" s="550"/>
      <c r="I1882" s="560"/>
      <c r="J1882" s="548"/>
      <c r="K1882" s="528" t="str">
        <f>IFERROR(VLOOKUP($B1882,'Clients-Live'!$A:$C,3,0),"")</f>
        <v/>
      </c>
      <c r="L1882" s="528">
        <f>IF(E1882="STL",Pricing!$D$38,IF(A1882="",0,IF(A1882&lt;Pricing!$C$25,Pricing!$D$25,VLOOKUP(Disbursements!$F1882,Pricing!$B$29:$D$32,3))))</f>
        <v>0</v>
      </c>
      <c r="M1882" s="528">
        <f>IF(E1882="STL",0,IF(F1882&gt;0,Pricing!$D$21,0))</f>
        <v>0</v>
      </c>
      <c r="N1882" s="529">
        <f>IF(E1882="STL",F1882*Pricing!$D$40,IF(A1882&lt;=Pricing!$C$4,0,IF(AND(A1882&gt;Pricing!$C$4,Disbursements!A1882&lt;=Pricing!$C$5),F1882*Pricing!$E$5,IF(AND(A1882&gt;Pricing!$C$5,Disbursements!A1882&lt;=Pricing!$C$7),VLOOKUP(F1882,Pricing!$D$7:$E$8,2)*Disbursements!F1882,F1882*Pricing!$E$9))))</f>
        <v>0</v>
      </c>
      <c r="O1882" s="528">
        <f>IF(E1882="STL",0,IF($F1882&gt;0,$F1882*Pricing!$D$17,0))</f>
        <v>0</v>
      </c>
      <c r="P1882" s="530" t="str">
        <f t="shared" si="776"/>
        <v/>
      </c>
      <c r="Q1882" s="531" t="str">
        <f>IF($A1882="","",$G1882/VLOOKUP($I1882,Ref!$B$23:$D$29,2,0))</f>
        <v/>
      </c>
      <c r="R1882" s="530" t="str">
        <f t="shared" si="777"/>
        <v/>
      </c>
      <c r="S1882" s="532" t="str">
        <f t="shared" si="771"/>
        <v/>
      </c>
      <c r="T1882" s="531" t="str">
        <f t="shared" si="778"/>
        <v/>
      </c>
      <c r="U1882" s="533">
        <f t="shared" si="779"/>
        <v>0</v>
      </c>
      <c r="V1882" s="531" t="str">
        <f t="shared" si="780"/>
        <v/>
      </c>
      <c r="W1882" s="531" t="str">
        <f t="shared" si="781"/>
        <v/>
      </c>
      <c r="X1882" s="534" t="str">
        <f t="shared" si="782"/>
        <v/>
      </c>
      <c r="Y1882" s="535" t="str">
        <f>IF($A1882="","",IF($I1882="weekly",$A1882+7,EDATE($A1882,VLOOKUP($I1882,Ref!$B$24:$C$29,2,0))))</f>
        <v/>
      </c>
      <c r="Z1882" s="536" t="str">
        <f t="shared" si="783"/>
        <v/>
      </c>
      <c r="AA1882" s="531">
        <f t="shared" si="784"/>
        <v>0</v>
      </c>
      <c r="AB1882" s="535" t="str">
        <f t="shared" si="772"/>
        <v/>
      </c>
      <c r="AC1882" s="537" t="str">
        <f t="shared" si="773"/>
        <v/>
      </c>
      <c r="AD1882" s="538" t="str">
        <f t="shared" ca="1" si="774"/>
        <v/>
      </c>
      <c r="AE1882" s="537">
        <f t="shared" ca="1" si="775"/>
        <v>0</v>
      </c>
      <c r="AF1882" s="539" t="str">
        <f t="shared" ca="1" si="785"/>
        <v/>
      </c>
      <c r="AG1882" s="531" t="str">
        <f t="shared" ca="1" si="786"/>
        <v/>
      </c>
      <c r="AH1882" s="531" t="str">
        <f t="shared" ca="1" si="787"/>
        <v/>
      </c>
      <c r="AI1882" s="531" t="str">
        <f t="shared" ca="1" si="788"/>
        <v/>
      </c>
      <c r="AJ1882" s="531" t="str">
        <f t="shared" si="789"/>
        <v/>
      </c>
      <c r="AK1882" s="540">
        <f>SUMIFS('Live Collections'!$S:$S,'Live Collections'!$D:$D,Disbursements!B1882,'Live Collections'!$G:$G,Disbursements!C1882)</f>
        <v>0</v>
      </c>
      <c r="AL1882" s="540">
        <f>SUMIFS('Live Collections'!$T:$T,'Live Collections'!$D:$D,Disbursements!B1882,'Live Collections'!$G:$G,Disbursements!C1882)</f>
        <v>0</v>
      </c>
      <c r="AM1882" s="541">
        <f t="shared" si="790"/>
        <v>0</v>
      </c>
      <c r="AN1882" s="542" t="str">
        <f t="shared" si="791"/>
        <v/>
      </c>
      <c r="AO1882" s="542" t="str">
        <f t="shared" si="792"/>
        <v/>
      </c>
      <c r="AP1882" s="543" t="str">
        <f t="shared" si="793"/>
        <v/>
      </c>
      <c r="AQ1882" s="544" t="str">
        <f t="shared" si="794"/>
        <v/>
      </c>
      <c r="AR1882" s="545">
        <f t="shared" si="795"/>
        <v>0</v>
      </c>
      <c r="AS1882" s="545">
        <f>IFERROR(CEILING($AR1882*VLOOKUP($I1882,Ref!$B$23:$E$29,4,0),1),0)</f>
        <v>0</v>
      </c>
      <c r="AT1882" s="545" t="str">
        <f>IF(A1882="","",IF(AP1882&lt;=1,"Cleared",IF(AS1882=0,"Clean",VLOOKUP($AS1882,Ref!$G$23:$H$28,2))))</f>
        <v/>
      </c>
      <c r="AU1882" s="546" t="str">
        <f t="shared" si="796"/>
        <v/>
      </c>
    </row>
    <row r="1883" spans="1:47" ht="14.25" hidden="1" customHeight="1" x14ac:dyDescent="0.15">
      <c r="A1883" s="575"/>
      <c r="B1883" s="548"/>
      <c r="C1883" s="548"/>
      <c r="D1883" s="548"/>
      <c r="E1883" s="583"/>
      <c r="F1883" s="584"/>
      <c r="G1883" s="548"/>
      <c r="H1883" s="550"/>
      <c r="I1883" s="560"/>
      <c r="J1883" s="548"/>
      <c r="K1883" s="528" t="str">
        <f>IFERROR(VLOOKUP($B1883,'Clients-Live'!$A:$C,3,0),"")</f>
        <v/>
      </c>
      <c r="L1883" s="528">
        <f>IF(E1883="STL",Pricing!$D$38,IF(A1883="",0,IF(A1883&lt;Pricing!$C$25,Pricing!$D$25,VLOOKUP(Disbursements!$F1883,Pricing!$B$29:$D$32,3))))</f>
        <v>0</v>
      </c>
      <c r="M1883" s="528">
        <f>IF(E1883="STL",0,IF(F1883&gt;0,Pricing!$D$21,0))</f>
        <v>0</v>
      </c>
      <c r="N1883" s="529">
        <f>IF(E1883="STL",F1883*Pricing!$D$40,IF(A1883&lt;=Pricing!$C$4,0,IF(AND(A1883&gt;Pricing!$C$4,Disbursements!A1883&lt;=Pricing!$C$5),F1883*Pricing!$E$5,IF(AND(A1883&gt;Pricing!$C$5,Disbursements!A1883&lt;=Pricing!$C$7),VLOOKUP(F1883,Pricing!$D$7:$E$8,2)*Disbursements!F1883,F1883*Pricing!$E$9))))</f>
        <v>0</v>
      </c>
      <c r="O1883" s="528">
        <f>IF(E1883="STL",0,IF($F1883&gt;0,$F1883*Pricing!$D$17,0))</f>
        <v>0</v>
      </c>
      <c r="P1883" s="530" t="str">
        <f t="shared" si="776"/>
        <v/>
      </c>
      <c r="Q1883" s="531" t="str">
        <f>IF($A1883="","",$G1883/VLOOKUP($I1883,Ref!$B$23:$D$29,2,0))</f>
        <v/>
      </c>
      <c r="R1883" s="530" t="str">
        <f t="shared" si="777"/>
        <v/>
      </c>
      <c r="S1883" s="532" t="str">
        <f t="shared" si="771"/>
        <v/>
      </c>
      <c r="T1883" s="531" t="str">
        <f t="shared" si="778"/>
        <v/>
      </c>
      <c r="U1883" s="533">
        <f t="shared" si="779"/>
        <v>0</v>
      </c>
      <c r="V1883" s="531" t="str">
        <f t="shared" si="780"/>
        <v/>
      </c>
      <c r="W1883" s="531" t="str">
        <f t="shared" si="781"/>
        <v/>
      </c>
      <c r="X1883" s="534" t="str">
        <f t="shared" si="782"/>
        <v/>
      </c>
      <c r="Y1883" s="535" t="str">
        <f>IF($A1883="","",IF($I1883="weekly",$A1883+7,EDATE($A1883,VLOOKUP($I1883,Ref!$B$24:$C$29,2,0))))</f>
        <v/>
      </c>
      <c r="Z1883" s="536" t="str">
        <f t="shared" si="783"/>
        <v/>
      </c>
      <c r="AA1883" s="531">
        <f t="shared" si="784"/>
        <v>0</v>
      </c>
      <c r="AB1883" s="535" t="str">
        <f t="shared" si="772"/>
        <v/>
      </c>
      <c r="AC1883" s="537" t="str">
        <f t="shared" si="773"/>
        <v/>
      </c>
      <c r="AD1883" s="538" t="str">
        <f t="shared" ca="1" si="774"/>
        <v/>
      </c>
      <c r="AE1883" s="537">
        <f t="shared" ca="1" si="775"/>
        <v>0</v>
      </c>
      <c r="AF1883" s="539" t="str">
        <f t="shared" ca="1" si="785"/>
        <v/>
      </c>
      <c r="AG1883" s="531" t="str">
        <f t="shared" ca="1" si="786"/>
        <v/>
      </c>
      <c r="AH1883" s="531" t="str">
        <f t="shared" ca="1" si="787"/>
        <v/>
      </c>
      <c r="AI1883" s="531" t="str">
        <f t="shared" ca="1" si="788"/>
        <v/>
      </c>
      <c r="AJ1883" s="531" t="str">
        <f t="shared" si="789"/>
        <v/>
      </c>
      <c r="AK1883" s="540">
        <f>SUMIFS('Live Collections'!$S:$S,'Live Collections'!$D:$D,Disbursements!B1883,'Live Collections'!$G:$G,Disbursements!C1883)</f>
        <v>0</v>
      </c>
      <c r="AL1883" s="540">
        <f>SUMIFS('Live Collections'!$T:$T,'Live Collections'!$D:$D,Disbursements!B1883,'Live Collections'!$G:$G,Disbursements!C1883)</f>
        <v>0</v>
      </c>
      <c r="AM1883" s="541">
        <f t="shared" si="790"/>
        <v>0</v>
      </c>
      <c r="AN1883" s="542" t="str">
        <f t="shared" si="791"/>
        <v/>
      </c>
      <c r="AO1883" s="542" t="str">
        <f t="shared" si="792"/>
        <v/>
      </c>
      <c r="AP1883" s="543" t="str">
        <f t="shared" si="793"/>
        <v/>
      </c>
      <c r="AQ1883" s="544" t="str">
        <f t="shared" si="794"/>
        <v/>
      </c>
      <c r="AR1883" s="545">
        <f t="shared" si="795"/>
        <v>0</v>
      </c>
      <c r="AS1883" s="545">
        <f>IFERROR(CEILING($AR1883*VLOOKUP($I1883,Ref!$B$23:$E$29,4,0),1),0)</f>
        <v>0</v>
      </c>
      <c r="AT1883" s="545" t="str">
        <f>IF(A1883="","",IF(AP1883&lt;=1,"Cleared",IF(AS1883=0,"Clean",VLOOKUP($AS1883,Ref!$G$23:$H$28,2))))</f>
        <v/>
      </c>
      <c r="AU1883" s="546" t="str">
        <f t="shared" si="796"/>
        <v/>
      </c>
    </row>
    <row r="1884" spans="1:47" ht="14.25" hidden="1" customHeight="1" x14ac:dyDescent="0.15">
      <c r="A1884" s="575"/>
      <c r="B1884" s="548"/>
      <c r="C1884" s="548"/>
      <c r="D1884" s="548"/>
      <c r="E1884" s="583"/>
      <c r="F1884" s="584"/>
      <c r="G1884" s="548"/>
      <c r="H1884" s="550"/>
      <c r="I1884" s="560"/>
      <c r="J1884" s="548"/>
      <c r="K1884" s="528" t="str">
        <f>IFERROR(VLOOKUP($B1884,'Clients-Live'!$A:$C,3,0),"")</f>
        <v/>
      </c>
      <c r="L1884" s="528">
        <f>IF(E1884="STL",Pricing!$D$38,IF(A1884="",0,IF(A1884&lt;Pricing!$C$25,Pricing!$D$25,VLOOKUP(Disbursements!$F1884,Pricing!$B$29:$D$32,3))))</f>
        <v>0</v>
      </c>
      <c r="M1884" s="528">
        <f>IF(E1884="STL",0,IF(F1884&gt;0,Pricing!$D$21,0))</f>
        <v>0</v>
      </c>
      <c r="N1884" s="529">
        <f>IF(E1884="STL",F1884*Pricing!$D$40,IF(A1884&lt;=Pricing!$C$4,0,IF(AND(A1884&gt;Pricing!$C$4,Disbursements!A1884&lt;=Pricing!$C$5),F1884*Pricing!$E$5,IF(AND(A1884&gt;Pricing!$C$5,Disbursements!A1884&lt;=Pricing!$C$7),VLOOKUP(F1884,Pricing!$D$7:$E$8,2)*Disbursements!F1884,F1884*Pricing!$E$9))))</f>
        <v>0</v>
      </c>
      <c r="O1884" s="528">
        <f>IF(E1884="STL",0,IF($F1884&gt;0,$F1884*Pricing!$D$17,0))</f>
        <v>0</v>
      </c>
      <c r="P1884" s="530" t="str">
        <f t="shared" si="776"/>
        <v/>
      </c>
      <c r="Q1884" s="531" t="str">
        <f>IF($A1884="","",$G1884/VLOOKUP($I1884,Ref!$B$23:$D$29,2,0))</f>
        <v/>
      </c>
      <c r="R1884" s="530" t="str">
        <f t="shared" si="777"/>
        <v/>
      </c>
      <c r="S1884" s="532" t="str">
        <f t="shared" si="771"/>
        <v/>
      </c>
      <c r="T1884" s="531" t="str">
        <f t="shared" si="778"/>
        <v/>
      </c>
      <c r="U1884" s="533">
        <f t="shared" si="779"/>
        <v>0</v>
      </c>
      <c r="V1884" s="531" t="str">
        <f t="shared" si="780"/>
        <v/>
      </c>
      <c r="W1884" s="531" t="str">
        <f t="shared" si="781"/>
        <v/>
      </c>
      <c r="X1884" s="534" t="str">
        <f t="shared" si="782"/>
        <v/>
      </c>
      <c r="Y1884" s="535" t="str">
        <f>IF($A1884="","",IF($I1884="weekly",$A1884+7,EDATE($A1884,VLOOKUP($I1884,Ref!$B$24:$C$29,2,0))))</f>
        <v/>
      </c>
      <c r="Z1884" s="536" t="str">
        <f t="shared" si="783"/>
        <v/>
      </c>
      <c r="AA1884" s="531">
        <f t="shared" si="784"/>
        <v>0</v>
      </c>
      <c r="AB1884" s="535" t="str">
        <f t="shared" si="772"/>
        <v/>
      </c>
      <c r="AC1884" s="537" t="str">
        <f t="shared" si="773"/>
        <v/>
      </c>
      <c r="AD1884" s="538" t="str">
        <f t="shared" ca="1" si="774"/>
        <v/>
      </c>
      <c r="AE1884" s="537">
        <f t="shared" ca="1" si="775"/>
        <v>0</v>
      </c>
      <c r="AF1884" s="539" t="str">
        <f t="shared" ca="1" si="785"/>
        <v/>
      </c>
      <c r="AG1884" s="531" t="str">
        <f t="shared" ca="1" si="786"/>
        <v/>
      </c>
      <c r="AH1884" s="531" t="str">
        <f t="shared" ca="1" si="787"/>
        <v/>
      </c>
      <c r="AI1884" s="531" t="str">
        <f t="shared" ca="1" si="788"/>
        <v/>
      </c>
      <c r="AJ1884" s="531" t="str">
        <f t="shared" si="789"/>
        <v/>
      </c>
      <c r="AK1884" s="540">
        <f>SUMIFS('Live Collections'!$S:$S,'Live Collections'!$D:$D,Disbursements!B1884,'Live Collections'!$G:$G,Disbursements!C1884)</f>
        <v>0</v>
      </c>
      <c r="AL1884" s="540">
        <f>SUMIFS('Live Collections'!$T:$T,'Live Collections'!$D:$D,Disbursements!B1884,'Live Collections'!$G:$G,Disbursements!C1884)</f>
        <v>0</v>
      </c>
      <c r="AM1884" s="541">
        <f t="shared" si="790"/>
        <v>0</v>
      </c>
      <c r="AN1884" s="542" t="str">
        <f t="shared" si="791"/>
        <v/>
      </c>
      <c r="AO1884" s="542" t="str">
        <f t="shared" si="792"/>
        <v/>
      </c>
      <c r="AP1884" s="543" t="str">
        <f t="shared" si="793"/>
        <v/>
      </c>
      <c r="AQ1884" s="544" t="str">
        <f t="shared" si="794"/>
        <v/>
      </c>
      <c r="AR1884" s="545">
        <f t="shared" si="795"/>
        <v>0</v>
      </c>
      <c r="AS1884" s="545">
        <f>IFERROR(CEILING($AR1884*VLOOKUP($I1884,Ref!$B$23:$E$29,4,0),1),0)</f>
        <v>0</v>
      </c>
      <c r="AT1884" s="545" t="str">
        <f>IF(A1884="","",IF(AP1884&lt;=1,"Cleared",IF(AS1884=0,"Clean",VLOOKUP($AS1884,Ref!$G$23:$H$28,2))))</f>
        <v/>
      </c>
      <c r="AU1884" s="546" t="str">
        <f t="shared" si="796"/>
        <v/>
      </c>
    </row>
    <row r="1885" spans="1:47" ht="14.25" hidden="1" customHeight="1" x14ac:dyDescent="0.15">
      <c r="A1885" s="575"/>
      <c r="B1885" s="548"/>
      <c r="C1885" s="548"/>
      <c r="D1885" s="548"/>
      <c r="E1885" s="583"/>
      <c r="F1885" s="584"/>
      <c r="G1885" s="548"/>
      <c r="H1885" s="550"/>
      <c r="I1885" s="560"/>
      <c r="J1885" s="548"/>
      <c r="K1885" s="528" t="str">
        <f>IFERROR(VLOOKUP($B1885,'Clients-Live'!$A:$C,3,0),"")</f>
        <v/>
      </c>
      <c r="L1885" s="528">
        <f>IF(E1885="STL",Pricing!$D$38,IF(A1885="",0,IF(A1885&lt;Pricing!$C$25,Pricing!$D$25,VLOOKUP(Disbursements!$F1885,Pricing!$B$29:$D$32,3))))</f>
        <v>0</v>
      </c>
      <c r="M1885" s="528">
        <f>IF(E1885="STL",0,IF(F1885&gt;0,Pricing!$D$21,0))</f>
        <v>0</v>
      </c>
      <c r="N1885" s="529">
        <f>IF(E1885="STL",F1885*Pricing!$D$40,IF(A1885&lt;=Pricing!$C$4,0,IF(AND(A1885&gt;Pricing!$C$4,Disbursements!A1885&lt;=Pricing!$C$5),F1885*Pricing!$E$5,IF(AND(A1885&gt;Pricing!$C$5,Disbursements!A1885&lt;=Pricing!$C$7),VLOOKUP(F1885,Pricing!$D$7:$E$8,2)*Disbursements!F1885,F1885*Pricing!$E$9))))</f>
        <v>0</v>
      </c>
      <c r="O1885" s="528">
        <f>IF(E1885="STL",0,IF($F1885&gt;0,$F1885*Pricing!$D$17,0))</f>
        <v>0</v>
      </c>
      <c r="P1885" s="530" t="str">
        <f t="shared" si="776"/>
        <v/>
      </c>
      <c r="Q1885" s="531" t="str">
        <f>IF($A1885="","",$G1885/VLOOKUP($I1885,Ref!$B$23:$D$29,2,0))</f>
        <v/>
      </c>
      <c r="R1885" s="530" t="str">
        <f t="shared" si="777"/>
        <v/>
      </c>
      <c r="S1885" s="532" t="str">
        <f t="shared" si="771"/>
        <v/>
      </c>
      <c r="T1885" s="531" t="str">
        <f t="shared" si="778"/>
        <v/>
      </c>
      <c r="U1885" s="533">
        <f t="shared" si="779"/>
        <v>0</v>
      </c>
      <c r="V1885" s="531" t="str">
        <f t="shared" si="780"/>
        <v/>
      </c>
      <c r="W1885" s="531" t="str">
        <f t="shared" si="781"/>
        <v/>
      </c>
      <c r="X1885" s="534" t="str">
        <f t="shared" si="782"/>
        <v/>
      </c>
      <c r="Y1885" s="535" t="str">
        <f>IF($A1885="","",IF($I1885="weekly",$A1885+7,EDATE($A1885,VLOOKUP($I1885,Ref!$B$24:$C$29,2,0))))</f>
        <v/>
      </c>
      <c r="Z1885" s="536" t="str">
        <f t="shared" si="783"/>
        <v/>
      </c>
      <c r="AA1885" s="531">
        <f t="shared" si="784"/>
        <v>0</v>
      </c>
      <c r="AB1885" s="535" t="str">
        <f t="shared" si="772"/>
        <v/>
      </c>
      <c r="AC1885" s="537" t="str">
        <f t="shared" si="773"/>
        <v/>
      </c>
      <c r="AD1885" s="538" t="str">
        <f t="shared" ca="1" si="774"/>
        <v/>
      </c>
      <c r="AE1885" s="537">
        <f t="shared" ca="1" si="775"/>
        <v>0</v>
      </c>
      <c r="AF1885" s="539" t="str">
        <f t="shared" ca="1" si="785"/>
        <v/>
      </c>
      <c r="AG1885" s="531" t="str">
        <f t="shared" ca="1" si="786"/>
        <v/>
      </c>
      <c r="AH1885" s="531" t="str">
        <f t="shared" ca="1" si="787"/>
        <v/>
      </c>
      <c r="AI1885" s="531" t="str">
        <f t="shared" ca="1" si="788"/>
        <v/>
      </c>
      <c r="AJ1885" s="531" t="str">
        <f t="shared" si="789"/>
        <v/>
      </c>
      <c r="AK1885" s="540">
        <f>SUMIFS('Live Collections'!$S:$S,'Live Collections'!$D:$D,Disbursements!B1885,'Live Collections'!$G:$G,Disbursements!C1885)</f>
        <v>0</v>
      </c>
      <c r="AL1885" s="540">
        <f>SUMIFS('Live Collections'!$T:$T,'Live Collections'!$D:$D,Disbursements!B1885,'Live Collections'!$G:$G,Disbursements!C1885)</f>
        <v>0</v>
      </c>
      <c r="AM1885" s="541">
        <f t="shared" si="790"/>
        <v>0</v>
      </c>
      <c r="AN1885" s="542" t="str">
        <f t="shared" si="791"/>
        <v/>
      </c>
      <c r="AO1885" s="542" t="str">
        <f t="shared" si="792"/>
        <v/>
      </c>
      <c r="AP1885" s="543" t="str">
        <f t="shared" si="793"/>
        <v/>
      </c>
      <c r="AQ1885" s="544" t="str">
        <f t="shared" si="794"/>
        <v/>
      </c>
      <c r="AR1885" s="545">
        <f t="shared" si="795"/>
        <v>0</v>
      </c>
      <c r="AS1885" s="545">
        <f>IFERROR(CEILING($AR1885*VLOOKUP($I1885,Ref!$B$23:$E$29,4,0),1),0)</f>
        <v>0</v>
      </c>
      <c r="AT1885" s="545" t="str">
        <f>IF(A1885="","",IF(AP1885&lt;=1,"Cleared",IF(AS1885=0,"Clean",VLOOKUP($AS1885,Ref!$G$23:$H$28,2))))</f>
        <v/>
      </c>
      <c r="AU1885" s="546" t="str">
        <f t="shared" si="796"/>
        <v/>
      </c>
    </row>
    <row r="1886" spans="1:47" ht="14.25" hidden="1" customHeight="1" x14ac:dyDescent="0.15">
      <c r="A1886" s="575"/>
      <c r="B1886" s="548"/>
      <c r="C1886" s="548"/>
      <c r="D1886" s="548"/>
      <c r="E1886" s="583"/>
      <c r="F1886" s="584"/>
      <c r="G1886" s="548"/>
      <c r="H1886" s="550"/>
      <c r="I1886" s="560"/>
      <c r="J1886" s="548"/>
      <c r="K1886" s="528" t="str">
        <f>IFERROR(VLOOKUP($B1886,'Clients-Live'!$A:$C,3,0),"")</f>
        <v/>
      </c>
      <c r="L1886" s="528">
        <f>IF(E1886="STL",Pricing!$D$38,IF(A1886="",0,IF(A1886&lt;Pricing!$C$25,Pricing!$D$25,VLOOKUP(Disbursements!$F1886,Pricing!$B$29:$D$32,3))))</f>
        <v>0</v>
      </c>
      <c r="M1886" s="528">
        <f>IF(E1886="STL",0,IF(F1886&gt;0,Pricing!$D$21,0))</f>
        <v>0</v>
      </c>
      <c r="N1886" s="529">
        <f>IF(E1886="STL",F1886*Pricing!$D$40,IF(A1886&lt;=Pricing!$C$4,0,IF(AND(A1886&gt;Pricing!$C$4,Disbursements!A1886&lt;=Pricing!$C$5),F1886*Pricing!$E$5,IF(AND(A1886&gt;Pricing!$C$5,Disbursements!A1886&lt;=Pricing!$C$7),VLOOKUP(F1886,Pricing!$D$7:$E$8,2)*Disbursements!F1886,F1886*Pricing!$E$9))))</f>
        <v>0</v>
      </c>
      <c r="O1886" s="528">
        <f>IF(E1886="STL",0,IF($F1886&gt;0,$F1886*Pricing!$D$17,0))</f>
        <v>0</v>
      </c>
      <c r="P1886" s="530" t="str">
        <f t="shared" si="776"/>
        <v/>
      </c>
      <c r="Q1886" s="531" t="str">
        <f>IF($A1886="","",$G1886/VLOOKUP($I1886,Ref!$B$23:$D$29,2,0))</f>
        <v/>
      </c>
      <c r="R1886" s="530" t="str">
        <f t="shared" si="777"/>
        <v/>
      </c>
      <c r="S1886" s="532" t="str">
        <f t="shared" si="771"/>
        <v/>
      </c>
      <c r="T1886" s="531" t="str">
        <f t="shared" si="778"/>
        <v/>
      </c>
      <c r="U1886" s="533">
        <f t="shared" si="779"/>
        <v>0</v>
      </c>
      <c r="V1886" s="531" t="str">
        <f t="shared" si="780"/>
        <v/>
      </c>
      <c r="W1886" s="531" t="str">
        <f t="shared" si="781"/>
        <v/>
      </c>
      <c r="X1886" s="534" t="str">
        <f t="shared" si="782"/>
        <v/>
      </c>
      <c r="Y1886" s="535" t="str">
        <f>IF($A1886="","",IF($I1886="weekly",$A1886+7,EDATE($A1886,VLOOKUP($I1886,Ref!$B$24:$C$29,2,0))))</f>
        <v/>
      </c>
      <c r="Z1886" s="536" t="str">
        <f t="shared" si="783"/>
        <v/>
      </c>
      <c r="AA1886" s="531">
        <f t="shared" si="784"/>
        <v>0</v>
      </c>
      <c r="AB1886" s="535" t="str">
        <f t="shared" si="772"/>
        <v/>
      </c>
      <c r="AC1886" s="537" t="str">
        <f t="shared" si="773"/>
        <v/>
      </c>
      <c r="AD1886" s="538" t="str">
        <f t="shared" ca="1" si="774"/>
        <v/>
      </c>
      <c r="AE1886" s="537">
        <f t="shared" ca="1" si="775"/>
        <v>0</v>
      </c>
      <c r="AF1886" s="539" t="str">
        <f t="shared" ca="1" si="785"/>
        <v/>
      </c>
      <c r="AG1886" s="531" t="str">
        <f t="shared" ca="1" si="786"/>
        <v/>
      </c>
      <c r="AH1886" s="531" t="str">
        <f t="shared" ca="1" si="787"/>
        <v/>
      </c>
      <c r="AI1886" s="531" t="str">
        <f t="shared" ca="1" si="788"/>
        <v/>
      </c>
      <c r="AJ1886" s="531" t="str">
        <f t="shared" si="789"/>
        <v/>
      </c>
      <c r="AK1886" s="540">
        <f>SUMIFS('Live Collections'!$S:$S,'Live Collections'!$D:$D,Disbursements!B1886,'Live Collections'!$G:$G,Disbursements!C1886)</f>
        <v>0</v>
      </c>
      <c r="AL1886" s="540">
        <f>SUMIFS('Live Collections'!$T:$T,'Live Collections'!$D:$D,Disbursements!B1886,'Live Collections'!$G:$G,Disbursements!C1886)</f>
        <v>0</v>
      </c>
      <c r="AM1886" s="541">
        <f t="shared" si="790"/>
        <v>0</v>
      </c>
      <c r="AN1886" s="542" t="str">
        <f t="shared" si="791"/>
        <v/>
      </c>
      <c r="AO1886" s="542" t="str">
        <f t="shared" si="792"/>
        <v/>
      </c>
      <c r="AP1886" s="543" t="str">
        <f t="shared" si="793"/>
        <v/>
      </c>
      <c r="AQ1886" s="544" t="str">
        <f t="shared" si="794"/>
        <v/>
      </c>
      <c r="AR1886" s="545">
        <f t="shared" si="795"/>
        <v>0</v>
      </c>
      <c r="AS1886" s="545">
        <f>IFERROR(CEILING($AR1886*VLOOKUP($I1886,Ref!$B$23:$E$29,4,0),1),0)</f>
        <v>0</v>
      </c>
      <c r="AT1886" s="545" t="str">
        <f>IF(A1886="","",IF(AP1886&lt;=1,"Cleared",IF(AS1886=0,"Clean",VLOOKUP($AS1886,Ref!$G$23:$H$28,2))))</f>
        <v/>
      </c>
      <c r="AU1886" s="546" t="str">
        <f t="shared" si="796"/>
        <v/>
      </c>
    </row>
    <row r="1887" spans="1:47" ht="14.25" hidden="1" customHeight="1" x14ac:dyDescent="0.15">
      <c r="A1887" s="575"/>
      <c r="B1887" s="548"/>
      <c r="C1887" s="548"/>
      <c r="D1887" s="548"/>
      <c r="E1887" s="583"/>
      <c r="F1887" s="584"/>
      <c r="G1887" s="548"/>
      <c r="H1887" s="550"/>
      <c r="I1887" s="560"/>
      <c r="J1887" s="548"/>
      <c r="K1887" s="528" t="str">
        <f>IFERROR(VLOOKUP($B1887,'Clients-Live'!$A:$C,3,0),"")</f>
        <v/>
      </c>
      <c r="L1887" s="528">
        <f>IF(E1887="STL",Pricing!$D$38,IF(A1887="",0,IF(A1887&lt;Pricing!$C$25,Pricing!$D$25,VLOOKUP(Disbursements!$F1887,Pricing!$B$29:$D$32,3))))</f>
        <v>0</v>
      </c>
      <c r="M1887" s="528">
        <f>IF(E1887="STL",0,IF(F1887&gt;0,Pricing!$D$21,0))</f>
        <v>0</v>
      </c>
      <c r="N1887" s="529">
        <f>IF(E1887="STL",F1887*Pricing!$D$40,IF(A1887&lt;=Pricing!$C$4,0,IF(AND(A1887&gt;Pricing!$C$4,Disbursements!A1887&lt;=Pricing!$C$5),F1887*Pricing!$E$5,IF(AND(A1887&gt;Pricing!$C$5,Disbursements!A1887&lt;=Pricing!$C$7),VLOOKUP(F1887,Pricing!$D$7:$E$8,2)*Disbursements!F1887,F1887*Pricing!$E$9))))</f>
        <v>0</v>
      </c>
      <c r="O1887" s="528">
        <f>IF(E1887="STL",0,IF($F1887&gt;0,$F1887*Pricing!$D$17,0))</f>
        <v>0</v>
      </c>
      <c r="P1887" s="530" t="str">
        <f t="shared" si="776"/>
        <v/>
      </c>
      <c r="Q1887" s="531" t="str">
        <f>IF($A1887="","",$G1887/VLOOKUP($I1887,Ref!$B$23:$D$29,2,0))</f>
        <v/>
      </c>
      <c r="R1887" s="530" t="str">
        <f t="shared" si="777"/>
        <v/>
      </c>
      <c r="S1887" s="532" t="str">
        <f t="shared" si="771"/>
        <v/>
      </c>
      <c r="T1887" s="531" t="str">
        <f t="shared" si="778"/>
        <v/>
      </c>
      <c r="U1887" s="533">
        <f t="shared" si="779"/>
        <v>0</v>
      </c>
      <c r="V1887" s="531" t="str">
        <f t="shared" si="780"/>
        <v/>
      </c>
      <c r="W1887" s="531" t="str">
        <f t="shared" si="781"/>
        <v/>
      </c>
      <c r="X1887" s="534" t="str">
        <f t="shared" si="782"/>
        <v/>
      </c>
      <c r="Y1887" s="535" t="str">
        <f>IF($A1887="","",IF($I1887="weekly",$A1887+7,EDATE($A1887,VLOOKUP($I1887,Ref!$B$24:$C$29,2,0))))</f>
        <v/>
      </c>
      <c r="Z1887" s="536" t="str">
        <f t="shared" si="783"/>
        <v/>
      </c>
      <c r="AA1887" s="531">
        <f t="shared" si="784"/>
        <v>0</v>
      </c>
      <c r="AB1887" s="535" t="str">
        <f t="shared" si="772"/>
        <v/>
      </c>
      <c r="AC1887" s="537" t="str">
        <f t="shared" si="773"/>
        <v/>
      </c>
      <c r="AD1887" s="538" t="str">
        <f t="shared" ca="1" si="774"/>
        <v/>
      </c>
      <c r="AE1887" s="537">
        <f t="shared" ca="1" si="775"/>
        <v>0</v>
      </c>
      <c r="AF1887" s="539" t="str">
        <f t="shared" ca="1" si="785"/>
        <v/>
      </c>
      <c r="AG1887" s="531" t="str">
        <f t="shared" ca="1" si="786"/>
        <v/>
      </c>
      <c r="AH1887" s="531" t="str">
        <f t="shared" ca="1" si="787"/>
        <v/>
      </c>
      <c r="AI1887" s="531" t="str">
        <f t="shared" ca="1" si="788"/>
        <v/>
      </c>
      <c r="AJ1887" s="531" t="str">
        <f t="shared" si="789"/>
        <v/>
      </c>
      <c r="AK1887" s="540">
        <f>SUMIFS('Live Collections'!$S:$S,'Live Collections'!$D:$D,Disbursements!B1887,'Live Collections'!$G:$G,Disbursements!C1887)</f>
        <v>0</v>
      </c>
      <c r="AL1887" s="540">
        <f>SUMIFS('Live Collections'!$T:$T,'Live Collections'!$D:$D,Disbursements!B1887,'Live Collections'!$G:$G,Disbursements!C1887)</f>
        <v>0</v>
      </c>
      <c r="AM1887" s="541">
        <f t="shared" si="790"/>
        <v>0</v>
      </c>
      <c r="AN1887" s="542" t="str">
        <f t="shared" si="791"/>
        <v/>
      </c>
      <c r="AO1887" s="542" t="str">
        <f t="shared" si="792"/>
        <v/>
      </c>
      <c r="AP1887" s="543" t="str">
        <f t="shared" si="793"/>
        <v/>
      </c>
      <c r="AQ1887" s="544" t="str">
        <f t="shared" si="794"/>
        <v/>
      </c>
      <c r="AR1887" s="545">
        <f t="shared" si="795"/>
        <v>0</v>
      </c>
      <c r="AS1887" s="545">
        <f>IFERROR(CEILING($AR1887*VLOOKUP($I1887,Ref!$B$23:$E$29,4,0),1),0)</f>
        <v>0</v>
      </c>
      <c r="AT1887" s="545" t="str">
        <f>IF(A1887="","",IF(AP1887&lt;=1,"Cleared",IF(AS1887=0,"Clean",VLOOKUP($AS1887,Ref!$G$23:$H$28,2))))</f>
        <v/>
      </c>
      <c r="AU1887" s="546" t="str">
        <f t="shared" si="796"/>
        <v/>
      </c>
    </row>
    <row r="1888" spans="1:47" ht="14.25" hidden="1" customHeight="1" x14ac:dyDescent="0.15">
      <c r="A1888" s="575"/>
      <c r="B1888" s="548"/>
      <c r="C1888" s="548"/>
      <c r="D1888" s="548"/>
      <c r="E1888" s="583"/>
      <c r="F1888" s="584"/>
      <c r="G1888" s="548"/>
      <c r="H1888" s="550"/>
      <c r="I1888" s="560"/>
      <c r="J1888" s="548"/>
      <c r="K1888" s="528" t="str">
        <f>IFERROR(VLOOKUP($B1888,'Clients-Live'!$A:$C,3,0),"")</f>
        <v/>
      </c>
      <c r="L1888" s="528">
        <f>IF(E1888="STL",Pricing!$D$38,IF(A1888="",0,IF(A1888&lt;Pricing!$C$25,Pricing!$D$25,VLOOKUP(Disbursements!$F1888,Pricing!$B$29:$D$32,3))))</f>
        <v>0</v>
      </c>
      <c r="M1888" s="528">
        <f>IF(E1888="STL",0,IF(F1888&gt;0,Pricing!$D$21,0))</f>
        <v>0</v>
      </c>
      <c r="N1888" s="529">
        <f>IF(E1888="STL",F1888*Pricing!$D$40,IF(A1888&lt;=Pricing!$C$4,0,IF(AND(A1888&gt;Pricing!$C$4,Disbursements!A1888&lt;=Pricing!$C$5),F1888*Pricing!$E$5,IF(AND(A1888&gt;Pricing!$C$5,Disbursements!A1888&lt;=Pricing!$C$7),VLOOKUP(F1888,Pricing!$D$7:$E$8,2)*Disbursements!F1888,F1888*Pricing!$E$9))))</f>
        <v>0</v>
      </c>
      <c r="O1888" s="528">
        <f>IF(E1888="STL",0,IF($F1888&gt;0,$F1888*Pricing!$D$17,0))</f>
        <v>0</v>
      </c>
      <c r="P1888" s="530" t="str">
        <f t="shared" si="776"/>
        <v/>
      </c>
      <c r="Q1888" s="531" t="str">
        <f>IF($A1888="","",$G1888/VLOOKUP($I1888,Ref!$B$23:$D$29,2,0))</f>
        <v/>
      </c>
      <c r="R1888" s="530" t="str">
        <f t="shared" si="777"/>
        <v/>
      </c>
      <c r="S1888" s="532" t="str">
        <f t="shared" si="771"/>
        <v/>
      </c>
      <c r="T1888" s="531" t="str">
        <f t="shared" si="778"/>
        <v/>
      </c>
      <c r="U1888" s="533">
        <f t="shared" si="779"/>
        <v>0</v>
      </c>
      <c r="V1888" s="531" t="str">
        <f t="shared" si="780"/>
        <v/>
      </c>
      <c r="W1888" s="531" t="str">
        <f t="shared" si="781"/>
        <v/>
      </c>
      <c r="X1888" s="534" t="str">
        <f t="shared" si="782"/>
        <v/>
      </c>
      <c r="Y1888" s="535" t="str">
        <f>IF($A1888="","",IF($I1888="weekly",$A1888+7,EDATE($A1888,VLOOKUP($I1888,Ref!$B$24:$C$29,2,0))))</f>
        <v/>
      </c>
      <c r="Z1888" s="536" t="str">
        <f t="shared" si="783"/>
        <v/>
      </c>
      <c r="AA1888" s="531">
        <f t="shared" si="784"/>
        <v>0</v>
      </c>
      <c r="AB1888" s="535" t="str">
        <f t="shared" si="772"/>
        <v/>
      </c>
      <c r="AC1888" s="537" t="str">
        <f t="shared" si="773"/>
        <v/>
      </c>
      <c r="AD1888" s="538" t="str">
        <f t="shared" ca="1" si="774"/>
        <v/>
      </c>
      <c r="AE1888" s="537">
        <f t="shared" ca="1" si="775"/>
        <v>0</v>
      </c>
      <c r="AF1888" s="539" t="str">
        <f t="shared" ca="1" si="785"/>
        <v/>
      </c>
      <c r="AG1888" s="531" t="str">
        <f t="shared" ca="1" si="786"/>
        <v/>
      </c>
      <c r="AH1888" s="531" t="str">
        <f t="shared" ca="1" si="787"/>
        <v/>
      </c>
      <c r="AI1888" s="531" t="str">
        <f t="shared" ca="1" si="788"/>
        <v/>
      </c>
      <c r="AJ1888" s="531" t="str">
        <f t="shared" si="789"/>
        <v/>
      </c>
      <c r="AK1888" s="540">
        <f>SUMIFS('Live Collections'!$S:$S,'Live Collections'!$D:$D,Disbursements!B1888,'Live Collections'!$G:$G,Disbursements!C1888)</f>
        <v>0</v>
      </c>
      <c r="AL1888" s="540">
        <f>SUMIFS('Live Collections'!$T:$T,'Live Collections'!$D:$D,Disbursements!B1888,'Live Collections'!$G:$G,Disbursements!C1888)</f>
        <v>0</v>
      </c>
      <c r="AM1888" s="541">
        <f t="shared" si="790"/>
        <v>0</v>
      </c>
      <c r="AN1888" s="542" t="str">
        <f t="shared" si="791"/>
        <v/>
      </c>
      <c r="AO1888" s="542" t="str">
        <f t="shared" si="792"/>
        <v/>
      </c>
      <c r="AP1888" s="543" t="str">
        <f t="shared" si="793"/>
        <v/>
      </c>
      <c r="AQ1888" s="544" t="str">
        <f t="shared" si="794"/>
        <v/>
      </c>
      <c r="AR1888" s="545">
        <f t="shared" si="795"/>
        <v>0</v>
      </c>
      <c r="AS1888" s="545">
        <f>IFERROR(CEILING($AR1888*VLOOKUP($I1888,Ref!$B$23:$E$29,4,0),1),0)</f>
        <v>0</v>
      </c>
      <c r="AT1888" s="545" t="str">
        <f>IF(A1888="","",IF(AP1888&lt;=1,"Cleared",IF(AS1888=0,"Clean",VLOOKUP($AS1888,Ref!$G$23:$H$28,2))))</f>
        <v/>
      </c>
      <c r="AU1888" s="546" t="str">
        <f t="shared" si="796"/>
        <v/>
      </c>
    </row>
    <row r="1889" spans="1:47" ht="14.25" hidden="1" customHeight="1" x14ac:dyDescent="0.15">
      <c r="A1889" s="575"/>
      <c r="B1889" s="548"/>
      <c r="C1889" s="548"/>
      <c r="D1889" s="548"/>
      <c r="E1889" s="583"/>
      <c r="F1889" s="584"/>
      <c r="G1889" s="548"/>
      <c r="H1889" s="550"/>
      <c r="I1889" s="560"/>
      <c r="J1889" s="548"/>
      <c r="K1889" s="528" t="str">
        <f>IFERROR(VLOOKUP($B1889,'Clients-Live'!$A:$C,3,0),"")</f>
        <v/>
      </c>
      <c r="L1889" s="528">
        <f>IF(E1889="STL",Pricing!$D$38,IF(A1889="",0,IF(A1889&lt;Pricing!$C$25,Pricing!$D$25,VLOOKUP(Disbursements!$F1889,Pricing!$B$29:$D$32,3))))</f>
        <v>0</v>
      </c>
      <c r="M1889" s="528">
        <f>IF(E1889="STL",0,IF(F1889&gt;0,Pricing!$D$21,0))</f>
        <v>0</v>
      </c>
      <c r="N1889" s="529">
        <f>IF(E1889="STL",F1889*Pricing!$D$40,IF(A1889&lt;=Pricing!$C$4,0,IF(AND(A1889&gt;Pricing!$C$4,Disbursements!A1889&lt;=Pricing!$C$5),F1889*Pricing!$E$5,IF(AND(A1889&gt;Pricing!$C$5,Disbursements!A1889&lt;=Pricing!$C$7),VLOOKUP(F1889,Pricing!$D$7:$E$8,2)*Disbursements!F1889,F1889*Pricing!$E$9))))</f>
        <v>0</v>
      </c>
      <c r="O1889" s="528">
        <f>IF(E1889="STL",0,IF($F1889&gt;0,$F1889*Pricing!$D$17,0))</f>
        <v>0</v>
      </c>
      <c r="P1889" s="530" t="str">
        <f t="shared" si="776"/>
        <v/>
      </c>
      <c r="Q1889" s="531" t="str">
        <f>IF($A1889="","",$G1889/VLOOKUP($I1889,Ref!$B$23:$D$29,2,0))</f>
        <v/>
      </c>
      <c r="R1889" s="530" t="str">
        <f t="shared" si="777"/>
        <v/>
      </c>
      <c r="S1889" s="532" t="str">
        <f t="shared" si="771"/>
        <v/>
      </c>
      <c r="T1889" s="531" t="str">
        <f t="shared" si="778"/>
        <v/>
      </c>
      <c r="U1889" s="533">
        <f t="shared" si="779"/>
        <v>0</v>
      </c>
      <c r="V1889" s="531" t="str">
        <f t="shared" si="780"/>
        <v/>
      </c>
      <c r="W1889" s="531" t="str">
        <f t="shared" si="781"/>
        <v/>
      </c>
      <c r="X1889" s="534" t="str">
        <f t="shared" si="782"/>
        <v/>
      </c>
      <c r="Y1889" s="535" t="str">
        <f>IF($A1889="","",IF($I1889="weekly",$A1889+7,EDATE($A1889,VLOOKUP($I1889,Ref!$B$24:$C$29,2,0))))</f>
        <v/>
      </c>
      <c r="Z1889" s="536" t="str">
        <f t="shared" si="783"/>
        <v/>
      </c>
      <c r="AA1889" s="531">
        <f t="shared" si="784"/>
        <v>0</v>
      </c>
      <c r="AB1889" s="535" t="str">
        <f t="shared" si="772"/>
        <v/>
      </c>
      <c r="AC1889" s="537" t="str">
        <f t="shared" si="773"/>
        <v/>
      </c>
      <c r="AD1889" s="538" t="str">
        <f t="shared" ca="1" si="774"/>
        <v/>
      </c>
      <c r="AE1889" s="537">
        <f t="shared" ca="1" si="775"/>
        <v>0</v>
      </c>
      <c r="AF1889" s="539" t="str">
        <f t="shared" ca="1" si="785"/>
        <v/>
      </c>
      <c r="AG1889" s="531" t="str">
        <f t="shared" ca="1" si="786"/>
        <v/>
      </c>
      <c r="AH1889" s="531" t="str">
        <f t="shared" ca="1" si="787"/>
        <v/>
      </c>
      <c r="AI1889" s="531" t="str">
        <f t="shared" ca="1" si="788"/>
        <v/>
      </c>
      <c r="AJ1889" s="531" t="str">
        <f t="shared" si="789"/>
        <v/>
      </c>
      <c r="AK1889" s="540">
        <f>SUMIFS('Live Collections'!$S:$S,'Live Collections'!$D:$D,Disbursements!B1889,'Live Collections'!$G:$G,Disbursements!C1889)</f>
        <v>0</v>
      </c>
      <c r="AL1889" s="540">
        <f>SUMIFS('Live Collections'!$T:$T,'Live Collections'!$D:$D,Disbursements!B1889,'Live Collections'!$G:$G,Disbursements!C1889)</f>
        <v>0</v>
      </c>
      <c r="AM1889" s="541">
        <f t="shared" si="790"/>
        <v>0</v>
      </c>
      <c r="AN1889" s="542" t="str">
        <f t="shared" si="791"/>
        <v/>
      </c>
      <c r="AO1889" s="542" t="str">
        <f t="shared" si="792"/>
        <v/>
      </c>
      <c r="AP1889" s="543" t="str">
        <f t="shared" si="793"/>
        <v/>
      </c>
      <c r="AQ1889" s="544" t="str">
        <f t="shared" si="794"/>
        <v/>
      </c>
      <c r="AR1889" s="545">
        <f t="shared" si="795"/>
        <v>0</v>
      </c>
      <c r="AS1889" s="545">
        <f>IFERROR(CEILING($AR1889*VLOOKUP($I1889,Ref!$B$23:$E$29,4,0),1),0)</f>
        <v>0</v>
      </c>
      <c r="AT1889" s="545" t="str">
        <f>IF(A1889="","",IF(AP1889&lt;=1,"Cleared",IF(AS1889=0,"Clean",VLOOKUP($AS1889,Ref!$G$23:$H$28,2))))</f>
        <v/>
      </c>
      <c r="AU1889" s="546" t="str">
        <f t="shared" si="796"/>
        <v/>
      </c>
    </row>
    <row r="1890" spans="1:47" ht="14.25" hidden="1" customHeight="1" x14ac:dyDescent="0.15">
      <c r="A1890" s="575"/>
      <c r="B1890" s="548"/>
      <c r="C1890" s="548"/>
      <c r="D1890" s="548"/>
      <c r="E1890" s="583"/>
      <c r="F1890" s="584"/>
      <c r="G1890" s="548"/>
      <c r="H1890" s="550"/>
      <c r="I1890" s="560"/>
      <c r="J1890" s="548"/>
      <c r="K1890" s="528" t="str">
        <f>IFERROR(VLOOKUP($B1890,'Clients-Live'!$A:$C,3,0),"")</f>
        <v/>
      </c>
      <c r="L1890" s="528">
        <f>IF(E1890="STL",Pricing!$D$38,IF(A1890="",0,IF(A1890&lt;Pricing!$C$25,Pricing!$D$25,VLOOKUP(Disbursements!$F1890,Pricing!$B$29:$D$32,3))))</f>
        <v>0</v>
      </c>
      <c r="M1890" s="528">
        <f>IF(E1890="STL",0,IF(F1890&gt;0,Pricing!$D$21,0))</f>
        <v>0</v>
      </c>
      <c r="N1890" s="529">
        <f>IF(E1890="STL",F1890*Pricing!$D$40,IF(A1890&lt;=Pricing!$C$4,0,IF(AND(A1890&gt;Pricing!$C$4,Disbursements!A1890&lt;=Pricing!$C$5),F1890*Pricing!$E$5,IF(AND(A1890&gt;Pricing!$C$5,Disbursements!A1890&lt;=Pricing!$C$7),VLOOKUP(F1890,Pricing!$D$7:$E$8,2)*Disbursements!F1890,F1890*Pricing!$E$9))))</f>
        <v>0</v>
      </c>
      <c r="O1890" s="528">
        <f>IF(E1890="STL",0,IF($F1890&gt;0,$F1890*Pricing!$D$17,0))</f>
        <v>0</v>
      </c>
      <c r="P1890" s="530" t="str">
        <f t="shared" si="776"/>
        <v/>
      </c>
      <c r="Q1890" s="531" t="str">
        <f>IF($A1890="","",$G1890/VLOOKUP($I1890,Ref!$B$23:$D$29,2,0))</f>
        <v/>
      </c>
      <c r="R1890" s="530" t="str">
        <f t="shared" si="777"/>
        <v/>
      </c>
      <c r="S1890" s="532" t="str">
        <f t="shared" si="771"/>
        <v/>
      </c>
      <c r="T1890" s="531" t="str">
        <f t="shared" si="778"/>
        <v/>
      </c>
      <c r="U1890" s="533">
        <f t="shared" si="779"/>
        <v>0</v>
      </c>
      <c r="V1890" s="531" t="str">
        <f t="shared" si="780"/>
        <v/>
      </c>
      <c r="W1890" s="531" t="str">
        <f t="shared" si="781"/>
        <v/>
      </c>
      <c r="X1890" s="534" t="str">
        <f t="shared" si="782"/>
        <v/>
      </c>
      <c r="Y1890" s="535" t="str">
        <f>IF($A1890="","",IF($I1890="weekly",$A1890+7,EDATE($A1890,VLOOKUP($I1890,Ref!$B$24:$C$29,2,0))))</f>
        <v/>
      </c>
      <c r="Z1890" s="536" t="str">
        <f t="shared" si="783"/>
        <v/>
      </c>
      <c r="AA1890" s="531">
        <f t="shared" si="784"/>
        <v>0</v>
      </c>
      <c r="AB1890" s="535" t="str">
        <f t="shared" si="772"/>
        <v/>
      </c>
      <c r="AC1890" s="537" t="str">
        <f t="shared" si="773"/>
        <v/>
      </c>
      <c r="AD1890" s="538" t="str">
        <f t="shared" ca="1" si="774"/>
        <v/>
      </c>
      <c r="AE1890" s="537">
        <f t="shared" ca="1" si="775"/>
        <v>0</v>
      </c>
      <c r="AF1890" s="539" t="str">
        <f t="shared" ca="1" si="785"/>
        <v/>
      </c>
      <c r="AG1890" s="531" t="str">
        <f t="shared" ca="1" si="786"/>
        <v/>
      </c>
      <c r="AH1890" s="531" t="str">
        <f t="shared" ca="1" si="787"/>
        <v/>
      </c>
      <c r="AI1890" s="531" t="str">
        <f t="shared" ca="1" si="788"/>
        <v/>
      </c>
      <c r="AJ1890" s="531" t="str">
        <f t="shared" si="789"/>
        <v/>
      </c>
      <c r="AK1890" s="540">
        <f>SUMIFS('Live Collections'!$S:$S,'Live Collections'!$D:$D,Disbursements!B1890,'Live Collections'!$G:$G,Disbursements!C1890)</f>
        <v>0</v>
      </c>
      <c r="AL1890" s="540">
        <f>SUMIFS('Live Collections'!$T:$T,'Live Collections'!$D:$D,Disbursements!B1890,'Live Collections'!$G:$G,Disbursements!C1890)</f>
        <v>0</v>
      </c>
      <c r="AM1890" s="541">
        <f t="shared" si="790"/>
        <v>0</v>
      </c>
      <c r="AN1890" s="542" t="str">
        <f t="shared" si="791"/>
        <v/>
      </c>
      <c r="AO1890" s="542" t="str">
        <f t="shared" si="792"/>
        <v/>
      </c>
      <c r="AP1890" s="543" t="str">
        <f t="shared" si="793"/>
        <v/>
      </c>
      <c r="AQ1890" s="544" t="str">
        <f t="shared" si="794"/>
        <v/>
      </c>
      <c r="AR1890" s="545">
        <f t="shared" si="795"/>
        <v>0</v>
      </c>
      <c r="AS1890" s="545">
        <f>IFERROR(CEILING($AR1890*VLOOKUP($I1890,Ref!$B$23:$E$29,4,0),1),0)</f>
        <v>0</v>
      </c>
      <c r="AT1890" s="545" t="str">
        <f>IF(A1890="","",IF(AP1890&lt;=1,"Cleared",IF(AS1890=0,"Clean",VLOOKUP($AS1890,Ref!$G$23:$H$28,2))))</f>
        <v/>
      </c>
      <c r="AU1890" s="546" t="str">
        <f t="shared" si="796"/>
        <v/>
      </c>
    </row>
    <row r="1891" spans="1:47" ht="14.25" hidden="1" customHeight="1" x14ac:dyDescent="0.15">
      <c r="A1891" s="575"/>
      <c r="B1891" s="548"/>
      <c r="C1891" s="548"/>
      <c r="D1891" s="548"/>
      <c r="E1891" s="583"/>
      <c r="F1891" s="584"/>
      <c r="G1891" s="548"/>
      <c r="H1891" s="550"/>
      <c r="I1891" s="560"/>
      <c r="J1891" s="548"/>
      <c r="K1891" s="528" t="str">
        <f>IFERROR(VLOOKUP($B1891,'Clients-Live'!$A:$C,3,0),"")</f>
        <v/>
      </c>
      <c r="L1891" s="528">
        <f>IF(E1891="STL",Pricing!$D$38,IF(A1891="",0,IF(A1891&lt;Pricing!$C$25,Pricing!$D$25,VLOOKUP(Disbursements!$F1891,Pricing!$B$29:$D$32,3))))</f>
        <v>0</v>
      </c>
      <c r="M1891" s="528">
        <f>IF(E1891="STL",0,IF(F1891&gt;0,Pricing!$D$21,0))</f>
        <v>0</v>
      </c>
      <c r="N1891" s="529">
        <f>IF(E1891="STL",F1891*Pricing!$D$40,IF(A1891&lt;=Pricing!$C$4,0,IF(AND(A1891&gt;Pricing!$C$4,Disbursements!A1891&lt;=Pricing!$C$5),F1891*Pricing!$E$5,IF(AND(A1891&gt;Pricing!$C$5,Disbursements!A1891&lt;=Pricing!$C$7),VLOOKUP(F1891,Pricing!$D$7:$E$8,2)*Disbursements!F1891,F1891*Pricing!$E$9))))</f>
        <v>0</v>
      </c>
      <c r="O1891" s="528">
        <f>IF(E1891="STL",0,IF($F1891&gt;0,$F1891*Pricing!$D$17,0))</f>
        <v>0</v>
      </c>
      <c r="P1891" s="530" t="str">
        <f t="shared" si="776"/>
        <v/>
      </c>
      <c r="Q1891" s="531" t="str">
        <f>IF($A1891="","",$G1891/VLOOKUP($I1891,Ref!$B$23:$D$29,2,0))</f>
        <v/>
      </c>
      <c r="R1891" s="530" t="str">
        <f t="shared" si="777"/>
        <v/>
      </c>
      <c r="S1891" s="532" t="str">
        <f t="shared" si="771"/>
        <v/>
      </c>
      <c r="T1891" s="531" t="str">
        <f t="shared" si="778"/>
        <v/>
      </c>
      <c r="U1891" s="533">
        <f t="shared" si="779"/>
        <v>0</v>
      </c>
      <c r="V1891" s="531" t="str">
        <f t="shared" si="780"/>
        <v/>
      </c>
      <c r="W1891" s="531" t="str">
        <f t="shared" si="781"/>
        <v/>
      </c>
      <c r="X1891" s="534" t="str">
        <f t="shared" si="782"/>
        <v/>
      </c>
      <c r="Y1891" s="535" t="str">
        <f>IF($A1891="","",IF($I1891="weekly",$A1891+7,EDATE($A1891,VLOOKUP($I1891,Ref!$B$24:$C$29,2,0))))</f>
        <v/>
      </c>
      <c r="Z1891" s="536" t="str">
        <f t="shared" si="783"/>
        <v/>
      </c>
      <c r="AA1891" s="531">
        <f t="shared" si="784"/>
        <v>0</v>
      </c>
      <c r="AB1891" s="535" t="str">
        <f t="shared" si="772"/>
        <v/>
      </c>
      <c r="AC1891" s="537" t="str">
        <f t="shared" si="773"/>
        <v/>
      </c>
      <c r="AD1891" s="538" t="str">
        <f t="shared" ca="1" si="774"/>
        <v/>
      </c>
      <c r="AE1891" s="537">
        <f t="shared" ca="1" si="775"/>
        <v>0</v>
      </c>
      <c r="AF1891" s="539" t="str">
        <f t="shared" ca="1" si="785"/>
        <v/>
      </c>
      <c r="AG1891" s="531" t="str">
        <f t="shared" ca="1" si="786"/>
        <v/>
      </c>
      <c r="AH1891" s="531" t="str">
        <f t="shared" ca="1" si="787"/>
        <v/>
      </c>
      <c r="AI1891" s="531" t="str">
        <f t="shared" ca="1" si="788"/>
        <v/>
      </c>
      <c r="AJ1891" s="531" t="str">
        <f t="shared" si="789"/>
        <v/>
      </c>
      <c r="AK1891" s="540">
        <f>SUMIFS('Live Collections'!$S:$S,'Live Collections'!$D:$D,Disbursements!B1891,'Live Collections'!$G:$G,Disbursements!C1891)</f>
        <v>0</v>
      </c>
      <c r="AL1891" s="540">
        <f>SUMIFS('Live Collections'!$T:$T,'Live Collections'!$D:$D,Disbursements!B1891,'Live Collections'!$G:$G,Disbursements!C1891)</f>
        <v>0</v>
      </c>
      <c r="AM1891" s="541">
        <f t="shared" si="790"/>
        <v>0</v>
      </c>
      <c r="AN1891" s="542" t="str">
        <f t="shared" si="791"/>
        <v/>
      </c>
      <c r="AO1891" s="542" t="str">
        <f t="shared" si="792"/>
        <v/>
      </c>
      <c r="AP1891" s="543" t="str">
        <f t="shared" si="793"/>
        <v/>
      </c>
      <c r="AQ1891" s="544" t="str">
        <f t="shared" si="794"/>
        <v/>
      </c>
      <c r="AR1891" s="545">
        <f t="shared" si="795"/>
        <v>0</v>
      </c>
      <c r="AS1891" s="545">
        <f>IFERROR(CEILING($AR1891*VLOOKUP($I1891,Ref!$B$23:$E$29,4,0),1),0)</f>
        <v>0</v>
      </c>
      <c r="AT1891" s="545" t="str">
        <f>IF(A1891="","",IF(AP1891&lt;=1,"Cleared",IF(AS1891=0,"Clean",VLOOKUP($AS1891,Ref!$G$23:$H$28,2))))</f>
        <v/>
      </c>
      <c r="AU1891" s="546" t="str">
        <f t="shared" si="796"/>
        <v/>
      </c>
    </row>
    <row r="1892" spans="1:47" ht="14.25" hidden="1" customHeight="1" x14ac:dyDescent="0.15">
      <c r="A1892" s="575"/>
      <c r="B1892" s="548"/>
      <c r="C1892" s="548"/>
      <c r="D1892" s="548"/>
      <c r="E1892" s="583"/>
      <c r="F1892" s="584"/>
      <c r="G1892" s="548"/>
      <c r="H1892" s="550"/>
      <c r="I1892" s="560"/>
      <c r="J1892" s="548"/>
      <c r="K1892" s="528" t="str">
        <f>IFERROR(VLOOKUP($B1892,'Clients-Live'!$A:$C,3,0),"")</f>
        <v/>
      </c>
      <c r="L1892" s="528">
        <f>IF(E1892="STL",Pricing!$D$38,IF(A1892="",0,IF(A1892&lt;Pricing!$C$25,Pricing!$D$25,VLOOKUP(Disbursements!$F1892,Pricing!$B$29:$D$32,3))))</f>
        <v>0</v>
      </c>
      <c r="M1892" s="528">
        <f>IF(E1892="STL",0,IF(F1892&gt;0,Pricing!$D$21,0))</f>
        <v>0</v>
      </c>
      <c r="N1892" s="529">
        <f>IF(E1892="STL",F1892*Pricing!$D$40,IF(A1892&lt;=Pricing!$C$4,0,IF(AND(A1892&gt;Pricing!$C$4,Disbursements!A1892&lt;=Pricing!$C$5),F1892*Pricing!$E$5,IF(AND(A1892&gt;Pricing!$C$5,Disbursements!A1892&lt;=Pricing!$C$7),VLOOKUP(F1892,Pricing!$D$7:$E$8,2)*Disbursements!F1892,F1892*Pricing!$E$9))))</f>
        <v>0</v>
      </c>
      <c r="O1892" s="528">
        <f>IF(E1892="STL",0,IF($F1892&gt;0,$F1892*Pricing!$D$17,0))</f>
        <v>0</v>
      </c>
      <c r="P1892" s="530" t="str">
        <f t="shared" si="776"/>
        <v/>
      </c>
      <c r="Q1892" s="531" t="str">
        <f>IF($A1892="","",$G1892/VLOOKUP($I1892,Ref!$B$23:$D$29,2,0))</f>
        <v/>
      </c>
      <c r="R1892" s="530" t="str">
        <f t="shared" si="777"/>
        <v/>
      </c>
      <c r="S1892" s="532" t="str">
        <f t="shared" si="771"/>
        <v/>
      </c>
      <c r="T1892" s="531" t="str">
        <f t="shared" si="778"/>
        <v/>
      </c>
      <c r="U1892" s="533">
        <f t="shared" si="779"/>
        <v>0</v>
      </c>
      <c r="V1892" s="531" t="str">
        <f t="shared" si="780"/>
        <v/>
      </c>
      <c r="W1892" s="531" t="str">
        <f t="shared" si="781"/>
        <v/>
      </c>
      <c r="X1892" s="534" t="str">
        <f t="shared" si="782"/>
        <v/>
      </c>
      <c r="Y1892" s="535" t="str">
        <f>IF($A1892="","",IF($I1892="weekly",$A1892+7,EDATE($A1892,VLOOKUP($I1892,Ref!$B$24:$C$29,2,0))))</f>
        <v/>
      </c>
      <c r="Z1892" s="536" t="str">
        <f t="shared" si="783"/>
        <v/>
      </c>
      <c r="AA1892" s="531">
        <f t="shared" si="784"/>
        <v>0</v>
      </c>
      <c r="AB1892" s="535" t="str">
        <f t="shared" si="772"/>
        <v/>
      </c>
      <c r="AC1892" s="537" t="str">
        <f t="shared" si="773"/>
        <v/>
      </c>
      <c r="AD1892" s="538" t="str">
        <f t="shared" ca="1" si="774"/>
        <v/>
      </c>
      <c r="AE1892" s="537">
        <f t="shared" ca="1" si="775"/>
        <v>0</v>
      </c>
      <c r="AF1892" s="539" t="str">
        <f t="shared" ca="1" si="785"/>
        <v/>
      </c>
      <c r="AG1892" s="531" t="str">
        <f t="shared" ca="1" si="786"/>
        <v/>
      </c>
      <c r="AH1892" s="531" t="str">
        <f t="shared" ca="1" si="787"/>
        <v/>
      </c>
      <c r="AI1892" s="531" t="str">
        <f t="shared" ca="1" si="788"/>
        <v/>
      </c>
      <c r="AJ1892" s="531" t="str">
        <f t="shared" si="789"/>
        <v/>
      </c>
      <c r="AK1892" s="540">
        <f>SUMIFS('Live Collections'!$S:$S,'Live Collections'!$D:$D,Disbursements!B1892,'Live Collections'!$G:$G,Disbursements!C1892)</f>
        <v>0</v>
      </c>
      <c r="AL1892" s="540">
        <f>SUMIFS('Live Collections'!$T:$T,'Live Collections'!$D:$D,Disbursements!B1892,'Live Collections'!$G:$G,Disbursements!C1892)</f>
        <v>0</v>
      </c>
      <c r="AM1892" s="541">
        <f t="shared" si="790"/>
        <v>0</v>
      </c>
      <c r="AN1892" s="542" t="str">
        <f t="shared" si="791"/>
        <v/>
      </c>
      <c r="AO1892" s="542" t="str">
        <f t="shared" si="792"/>
        <v/>
      </c>
      <c r="AP1892" s="543" t="str">
        <f t="shared" si="793"/>
        <v/>
      </c>
      <c r="AQ1892" s="544" t="str">
        <f t="shared" si="794"/>
        <v/>
      </c>
      <c r="AR1892" s="545">
        <f t="shared" si="795"/>
        <v>0</v>
      </c>
      <c r="AS1892" s="545">
        <f>IFERROR(CEILING($AR1892*VLOOKUP($I1892,Ref!$B$23:$E$29,4,0),1),0)</f>
        <v>0</v>
      </c>
      <c r="AT1892" s="545" t="str">
        <f>IF(A1892="","",IF(AP1892&lt;=1,"Cleared",IF(AS1892=0,"Clean",VLOOKUP($AS1892,Ref!$G$23:$H$28,2))))</f>
        <v/>
      </c>
      <c r="AU1892" s="546" t="str">
        <f t="shared" si="796"/>
        <v/>
      </c>
    </row>
    <row r="1893" spans="1:47" ht="14.25" hidden="1" customHeight="1" x14ac:dyDescent="0.15">
      <c r="A1893" s="575"/>
      <c r="B1893" s="548"/>
      <c r="C1893" s="548"/>
      <c r="D1893" s="548"/>
      <c r="E1893" s="583"/>
      <c r="F1893" s="584"/>
      <c r="G1893" s="548"/>
      <c r="H1893" s="550"/>
      <c r="I1893" s="560"/>
      <c r="J1893" s="548"/>
      <c r="K1893" s="528" t="str">
        <f>IFERROR(VLOOKUP($B1893,'Clients-Live'!$A:$C,3,0),"")</f>
        <v/>
      </c>
      <c r="L1893" s="528">
        <f>IF(E1893="STL",Pricing!$D$38,IF(A1893="",0,IF(A1893&lt;Pricing!$C$25,Pricing!$D$25,VLOOKUP(Disbursements!$F1893,Pricing!$B$29:$D$32,3))))</f>
        <v>0</v>
      </c>
      <c r="M1893" s="528">
        <f>IF(E1893="STL",0,IF(F1893&gt;0,Pricing!$D$21,0))</f>
        <v>0</v>
      </c>
      <c r="N1893" s="529">
        <f>IF(E1893="STL",F1893*Pricing!$D$40,IF(A1893&lt;=Pricing!$C$4,0,IF(AND(A1893&gt;Pricing!$C$4,Disbursements!A1893&lt;=Pricing!$C$5),F1893*Pricing!$E$5,IF(AND(A1893&gt;Pricing!$C$5,Disbursements!A1893&lt;=Pricing!$C$7),VLOOKUP(F1893,Pricing!$D$7:$E$8,2)*Disbursements!F1893,F1893*Pricing!$E$9))))</f>
        <v>0</v>
      </c>
      <c r="O1893" s="528">
        <f>IF(E1893="STL",0,IF($F1893&gt;0,$F1893*Pricing!$D$17,0))</f>
        <v>0</v>
      </c>
      <c r="P1893" s="530" t="str">
        <f t="shared" si="776"/>
        <v/>
      </c>
      <c r="Q1893" s="531" t="str">
        <f>IF($A1893="","",$G1893/VLOOKUP($I1893,Ref!$B$23:$D$29,2,0))</f>
        <v/>
      </c>
      <c r="R1893" s="530" t="str">
        <f t="shared" si="777"/>
        <v/>
      </c>
      <c r="S1893" s="532" t="str">
        <f t="shared" si="771"/>
        <v/>
      </c>
      <c r="T1893" s="531" t="str">
        <f t="shared" si="778"/>
        <v/>
      </c>
      <c r="U1893" s="533">
        <f t="shared" si="779"/>
        <v>0</v>
      </c>
      <c r="V1893" s="531" t="str">
        <f t="shared" si="780"/>
        <v/>
      </c>
      <c r="W1893" s="531" t="str">
        <f t="shared" si="781"/>
        <v/>
      </c>
      <c r="X1893" s="534" t="str">
        <f t="shared" si="782"/>
        <v/>
      </c>
      <c r="Y1893" s="535" t="str">
        <f>IF($A1893="","",IF($I1893="weekly",$A1893+7,EDATE($A1893,VLOOKUP($I1893,Ref!$B$24:$C$29,2,0))))</f>
        <v/>
      </c>
      <c r="Z1893" s="536" t="str">
        <f t="shared" si="783"/>
        <v/>
      </c>
      <c r="AA1893" s="531">
        <f t="shared" si="784"/>
        <v>0</v>
      </c>
      <c r="AB1893" s="535" t="str">
        <f t="shared" si="772"/>
        <v/>
      </c>
      <c r="AC1893" s="537" t="str">
        <f t="shared" si="773"/>
        <v/>
      </c>
      <c r="AD1893" s="538" t="str">
        <f t="shared" ca="1" si="774"/>
        <v/>
      </c>
      <c r="AE1893" s="537">
        <f t="shared" ca="1" si="775"/>
        <v>0</v>
      </c>
      <c r="AF1893" s="539" t="str">
        <f t="shared" ca="1" si="785"/>
        <v/>
      </c>
      <c r="AG1893" s="531" t="str">
        <f t="shared" ca="1" si="786"/>
        <v/>
      </c>
      <c r="AH1893" s="531" t="str">
        <f t="shared" ca="1" si="787"/>
        <v/>
      </c>
      <c r="AI1893" s="531" t="str">
        <f t="shared" ca="1" si="788"/>
        <v/>
      </c>
      <c r="AJ1893" s="531" t="str">
        <f t="shared" si="789"/>
        <v/>
      </c>
      <c r="AK1893" s="540">
        <f>SUMIFS('Live Collections'!$S:$S,'Live Collections'!$D:$D,Disbursements!B1893,'Live Collections'!$G:$G,Disbursements!C1893)</f>
        <v>0</v>
      </c>
      <c r="AL1893" s="540">
        <f>SUMIFS('Live Collections'!$T:$T,'Live Collections'!$D:$D,Disbursements!B1893,'Live Collections'!$G:$G,Disbursements!C1893)</f>
        <v>0</v>
      </c>
      <c r="AM1893" s="541">
        <f t="shared" si="790"/>
        <v>0</v>
      </c>
      <c r="AN1893" s="542" t="str">
        <f t="shared" si="791"/>
        <v/>
      </c>
      <c r="AO1893" s="542" t="str">
        <f t="shared" si="792"/>
        <v/>
      </c>
      <c r="AP1893" s="543" t="str">
        <f t="shared" si="793"/>
        <v/>
      </c>
      <c r="AQ1893" s="544" t="str">
        <f t="shared" si="794"/>
        <v/>
      </c>
      <c r="AR1893" s="545">
        <f t="shared" si="795"/>
        <v>0</v>
      </c>
      <c r="AS1893" s="545">
        <f>IFERROR(CEILING($AR1893*VLOOKUP($I1893,Ref!$B$23:$E$29,4,0),1),0)</f>
        <v>0</v>
      </c>
      <c r="AT1893" s="545" t="str">
        <f>IF(A1893="","",IF(AP1893&lt;=1,"Cleared",IF(AS1893=0,"Clean",VLOOKUP($AS1893,Ref!$G$23:$H$28,2))))</f>
        <v/>
      </c>
      <c r="AU1893" s="546" t="str">
        <f t="shared" si="796"/>
        <v/>
      </c>
    </row>
    <row r="1894" spans="1:47" ht="14.25" hidden="1" customHeight="1" x14ac:dyDescent="0.15">
      <c r="A1894" s="575"/>
      <c r="B1894" s="548"/>
      <c r="C1894" s="548"/>
      <c r="D1894" s="548"/>
      <c r="E1894" s="583"/>
      <c r="F1894" s="584"/>
      <c r="G1894" s="548"/>
      <c r="H1894" s="550"/>
      <c r="I1894" s="560"/>
      <c r="J1894" s="548"/>
      <c r="K1894" s="528" t="str">
        <f>IFERROR(VLOOKUP($B1894,'Clients-Live'!$A:$C,3,0),"")</f>
        <v/>
      </c>
      <c r="L1894" s="528">
        <f>IF(E1894="STL",Pricing!$D$38,IF(A1894="",0,IF(A1894&lt;Pricing!$C$25,Pricing!$D$25,VLOOKUP(Disbursements!$F1894,Pricing!$B$29:$D$32,3))))</f>
        <v>0</v>
      </c>
      <c r="M1894" s="528">
        <f>IF(E1894="STL",0,IF(F1894&gt;0,Pricing!$D$21,0))</f>
        <v>0</v>
      </c>
      <c r="N1894" s="529">
        <f>IF(E1894="STL",F1894*Pricing!$D$40,IF(A1894&lt;=Pricing!$C$4,0,IF(AND(A1894&gt;Pricing!$C$4,Disbursements!A1894&lt;=Pricing!$C$5),F1894*Pricing!$E$5,IF(AND(A1894&gt;Pricing!$C$5,Disbursements!A1894&lt;=Pricing!$C$7),VLOOKUP(F1894,Pricing!$D$7:$E$8,2)*Disbursements!F1894,F1894*Pricing!$E$9))))</f>
        <v>0</v>
      </c>
      <c r="O1894" s="528">
        <f>IF(E1894="STL",0,IF($F1894&gt;0,$F1894*Pricing!$D$17,0))</f>
        <v>0</v>
      </c>
      <c r="P1894" s="530" t="str">
        <f t="shared" si="776"/>
        <v/>
      </c>
      <c r="Q1894" s="531" t="str">
        <f>IF($A1894="","",$G1894/VLOOKUP($I1894,Ref!$B$23:$D$29,2,0))</f>
        <v/>
      </c>
      <c r="R1894" s="530" t="str">
        <f t="shared" si="777"/>
        <v/>
      </c>
      <c r="S1894" s="532" t="str">
        <f t="shared" si="771"/>
        <v/>
      </c>
      <c r="T1894" s="531" t="str">
        <f t="shared" si="778"/>
        <v/>
      </c>
      <c r="U1894" s="533">
        <f t="shared" si="779"/>
        <v>0</v>
      </c>
      <c r="V1894" s="531" t="str">
        <f t="shared" si="780"/>
        <v/>
      </c>
      <c r="W1894" s="531" t="str">
        <f t="shared" si="781"/>
        <v/>
      </c>
      <c r="X1894" s="534" t="str">
        <f t="shared" si="782"/>
        <v/>
      </c>
      <c r="Y1894" s="535" t="str">
        <f>IF($A1894="","",IF($I1894="weekly",$A1894+7,EDATE($A1894,VLOOKUP($I1894,Ref!$B$24:$C$29,2,0))))</f>
        <v/>
      </c>
      <c r="Z1894" s="536" t="str">
        <f t="shared" si="783"/>
        <v/>
      </c>
      <c r="AA1894" s="531">
        <f t="shared" si="784"/>
        <v>0</v>
      </c>
      <c r="AB1894" s="535" t="str">
        <f t="shared" si="772"/>
        <v/>
      </c>
      <c r="AC1894" s="537" t="str">
        <f t="shared" si="773"/>
        <v/>
      </c>
      <c r="AD1894" s="538" t="str">
        <f t="shared" ca="1" si="774"/>
        <v/>
      </c>
      <c r="AE1894" s="537">
        <f t="shared" ca="1" si="775"/>
        <v>0</v>
      </c>
      <c r="AF1894" s="539" t="str">
        <f t="shared" ca="1" si="785"/>
        <v/>
      </c>
      <c r="AG1894" s="531" t="str">
        <f t="shared" ca="1" si="786"/>
        <v/>
      </c>
      <c r="AH1894" s="531" t="str">
        <f t="shared" ca="1" si="787"/>
        <v/>
      </c>
      <c r="AI1894" s="531" t="str">
        <f t="shared" ca="1" si="788"/>
        <v/>
      </c>
      <c r="AJ1894" s="531" t="str">
        <f t="shared" si="789"/>
        <v/>
      </c>
      <c r="AK1894" s="540">
        <f>SUMIFS('Live Collections'!$S:$S,'Live Collections'!$D:$D,Disbursements!B1894,'Live Collections'!$G:$G,Disbursements!C1894)</f>
        <v>0</v>
      </c>
      <c r="AL1894" s="540">
        <f>SUMIFS('Live Collections'!$T:$T,'Live Collections'!$D:$D,Disbursements!B1894,'Live Collections'!$G:$G,Disbursements!C1894)</f>
        <v>0</v>
      </c>
      <c r="AM1894" s="541">
        <f t="shared" si="790"/>
        <v>0</v>
      </c>
      <c r="AN1894" s="542" t="str">
        <f t="shared" si="791"/>
        <v/>
      </c>
      <c r="AO1894" s="542" t="str">
        <f t="shared" si="792"/>
        <v/>
      </c>
      <c r="AP1894" s="543" t="str">
        <f t="shared" si="793"/>
        <v/>
      </c>
      <c r="AQ1894" s="544" t="str">
        <f t="shared" si="794"/>
        <v/>
      </c>
      <c r="AR1894" s="545">
        <f t="shared" si="795"/>
        <v>0</v>
      </c>
      <c r="AS1894" s="545">
        <f>IFERROR(CEILING($AR1894*VLOOKUP($I1894,Ref!$B$23:$E$29,4,0),1),0)</f>
        <v>0</v>
      </c>
      <c r="AT1894" s="545" t="str">
        <f>IF(A1894="","",IF(AP1894&lt;=1,"Cleared",IF(AS1894=0,"Clean",VLOOKUP($AS1894,Ref!$G$23:$H$28,2))))</f>
        <v/>
      </c>
      <c r="AU1894" s="546" t="str">
        <f t="shared" si="796"/>
        <v/>
      </c>
    </row>
    <row r="1895" spans="1:47" ht="14.25" hidden="1" customHeight="1" x14ac:dyDescent="0.15">
      <c r="A1895" s="575"/>
      <c r="B1895" s="548"/>
      <c r="C1895" s="548"/>
      <c r="D1895" s="548"/>
      <c r="E1895" s="583"/>
      <c r="F1895" s="584"/>
      <c r="G1895" s="548"/>
      <c r="H1895" s="550"/>
      <c r="I1895" s="560"/>
      <c r="J1895" s="548"/>
      <c r="K1895" s="528" t="str">
        <f>IFERROR(VLOOKUP($B1895,'Clients-Live'!$A:$C,3,0),"")</f>
        <v/>
      </c>
      <c r="L1895" s="528">
        <f>IF(E1895="STL",Pricing!$D$38,IF(A1895="",0,IF(A1895&lt;Pricing!$C$25,Pricing!$D$25,VLOOKUP(Disbursements!$F1895,Pricing!$B$29:$D$32,3))))</f>
        <v>0</v>
      </c>
      <c r="M1895" s="528">
        <f>IF(E1895="STL",0,IF(F1895&gt;0,Pricing!$D$21,0))</f>
        <v>0</v>
      </c>
      <c r="N1895" s="529">
        <f>IF(E1895="STL",F1895*Pricing!$D$40,IF(A1895&lt;=Pricing!$C$4,0,IF(AND(A1895&gt;Pricing!$C$4,Disbursements!A1895&lt;=Pricing!$C$5),F1895*Pricing!$E$5,IF(AND(A1895&gt;Pricing!$C$5,Disbursements!A1895&lt;=Pricing!$C$7),VLOOKUP(F1895,Pricing!$D$7:$E$8,2)*Disbursements!F1895,F1895*Pricing!$E$9))))</f>
        <v>0</v>
      </c>
      <c r="O1895" s="528">
        <f>IF(E1895="STL",0,IF($F1895&gt;0,$F1895*Pricing!$D$17,0))</f>
        <v>0</v>
      </c>
      <c r="P1895" s="530" t="str">
        <f t="shared" si="776"/>
        <v/>
      </c>
      <c r="Q1895" s="531" t="str">
        <f>IF($A1895="","",$G1895/VLOOKUP($I1895,Ref!$B$23:$D$29,2,0))</f>
        <v/>
      </c>
      <c r="R1895" s="530" t="str">
        <f t="shared" si="777"/>
        <v/>
      </c>
      <c r="S1895" s="532" t="str">
        <f t="shared" si="771"/>
        <v/>
      </c>
      <c r="T1895" s="531" t="str">
        <f t="shared" si="778"/>
        <v/>
      </c>
      <c r="U1895" s="533">
        <f t="shared" si="779"/>
        <v>0</v>
      </c>
      <c r="V1895" s="531" t="str">
        <f t="shared" si="780"/>
        <v/>
      </c>
      <c r="W1895" s="531" t="str">
        <f t="shared" si="781"/>
        <v/>
      </c>
      <c r="X1895" s="534" t="str">
        <f t="shared" si="782"/>
        <v/>
      </c>
      <c r="Y1895" s="535" t="str">
        <f>IF($A1895="","",IF($I1895="weekly",$A1895+7,EDATE($A1895,VLOOKUP($I1895,Ref!$B$24:$C$29,2,0))))</f>
        <v/>
      </c>
      <c r="Z1895" s="536" t="str">
        <f t="shared" si="783"/>
        <v/>
      </c>
      <c r="AA1895" s="531">
        <f t="shared" si="784"/>
        <v>0</v>
      </c>
      <c r="AB1895" s="535" t="str">
        <f t="shared" si="772"/>
        <v/>
      </c>
      <c r="AC1895" s="537" t="str">
        <f t="shared" si="773"/>
        <v/>
      </c>
      <c r="AD1895" s="538" t="str">
        <f t="shared" ca="1" si="774"/>
        <v/>
      </c>
      <c r="AE1895" s="537">
        <f t="shared" ca="1" si="775"/>
        <v>0</v>
      </c>
      <c r="AF1895" s="539" t="str">
        <f t="shared" ca="1" si="785"/>
        <v/>
      </c>
      <c r="AG1895" s="531" t="str">
        <f t="shared" ca="1" si="786"/>
        <v/>
      </c>
      <c r="AH1895" s="531" t="str">
        <f t="shared" ca="1" si="787"/>
        <v/>
      </c>
      <c r="AI1895" s="531" t="str">
        <f t="shared" ca="1" si="788"/>
        <v/>
      </c>
      <c r="AJ1895" s="531" t="str">
        <f t="shared" si="789"/>
        <v/>
      </c>
      <c r="AK1895" s="540">
        <f>SUMIFS('Live Collections'!$S:$S,'Live Collections'!$D:$D,Disbursements!B1895,'Live Collections'!$G:$G,Disbursements!C1895)</f>
        <v>0</v>
      </c>
      <c r="AL1895" s="540">
        <f>SUMIFS('Live Collections'!$T:$T,'Live Collections'!$D:$D,Disbursements!B1895,'Live Collections'!$G:$G,Disbursements!C1895)</f>
        <v>0</v>
      </c>
      <c r="AM1895" s="541">
        <f t="shared" si="790"/>
        <v>0</v>
      </c>
      <c r="AN1895" s="542" t="str">
        <f t="shared" si="791"/>
        <v/>
      </c>
      <c r="AO1895" s="542" t="str">
        <f t="shared" si="792"/>
        <v/>
      </c>
      <c r="AP1895" s="543" t="str">
        <f t="shared" si="793"/>
        <v/>
      </c>
      <c r="AQ1895" s="544" t="str">
        <f t="shared" si="794"/>
        <v/>
      </c>
      <c r="AR1895" s="545">
        <f t="shared" si="795"/>
        <v>0</v>
      </c>
      <c r="AS1895" s="545">
        <f>IFERROR(CEILING($AR1895*VLOOKUP($I1895,Ref!$B$23:$E$29,4,0),1),0)</f>
        <v>0</v>
      </c>
      <c r="AT1895" s="545" t="str">
        <f>IF(A1895="","",IF(AP1895&lt;=1,"Cleared",IF(AS1895=0,"Clean",VLOOKUP($AS1895,Ref!$G$23:$H$28,2))))</f>
        <v/>
      </c>
      <c r="AU1895" s="546" t="str">
        <f t="shared" si="796"/>
        <v/>
      </c>
    </row>
    <row r="1896" spans="1:47" ht="14.25" hidden="1" customHeight="1" x14ac:dyDescent="0.15">
      <c r="A1896" s="575"/>
      <c r="B1896" s="548"/>
      <c r="C1896" s="548"/>
      <c r="D1896" s="548"/>
      <c r="E1896" s="583"/>
      <c r="F1896" s="584"/>
      <c r="G1896" s="548"/>
      <c r="H1896" s="550"/>
      <c r="I1896" s="560"/>
      <c r="J1896" s="548"/>
      <c r="K1896" s="528" t="str">
        <f>IFERROR(VLOOKUP($B1896,'Clients-Live'!$A:$C,3,0),"")</f>
        <v/>
      </c>
      <c r="L1896" s="528">
        <f>IF(E1896="STL",Pricing!$D$38,IF(A1896="",0,IF(A1896&lt;Pricing!$C$25,Pricing!$D$25,VLOOKUP(Disbursements!$F1896,Pricing!$B$29:$D$32,3))))</f>
        <v>0</v>
      </c>
      <c r="M1896" s="528">
        <f>IF(E1896="STL",0,IF(F1896&gt;0,Pricing!$D$21,0))</f>
        <v>0</v>
      </c>
      <c r="N1896" s="529">
        <f>IF(E1896="STL",F1896*Pricing!$D$40,IF(A1896&lt;=Pricing!$C$4,0,IF(AND(A1896&gt;Pricing!$C$4,Disbursements!A1896&lt;=Pricing!$C$5),F1896*Pricing!$E$5,IF(AND(A1896&gt;Pricing!$C$5,Disbursements!A1896&lt;=Pricing!$C$7),VLOOKUP(F1896,Pricing!$D$7:$E$8,2)*Disbursements!F1896,F1896*Pricing!$E$9))))</f>
        <v>0</v>
      </c>
      <c r="O1896" s="528">
        <f>IF(E1896="STL",0,IF($F1896&gt;0,$F1896*Pricing!$D$17,0))</f>
        <v>0</v>
      </c>
      <c r="P1896" s="530" t="str">
        <f t="shared" si="776"/>
        <v/>
      </c>
      <c r="Q1896" s="531" t="str">
        <f>IF($A1896="","",$G1896/VLOOKUP($I1896,Ref!$B$23:$D$29,2,0))</f>
        <v/>
      </c>
      <c r="R1896" s="530" t="str">
        <f t="shared" si="777"/>
        <v/>
      </c>
      <c r="S1896" s="532" t="str">
        <f t="shared" si="771"/>
        <v/>
      </c>
      <c r="T1896" s="531" t="str">
        <f t="shared" si="778"/>
        <v/>
      </c>
      <c r="U1896" s="533">
        <f t="shared" si="779"/>
        <v>0</v>
      </c>
      <c r="V1896" s="531" t="str">
        <f t="shared" si="780"/>
        <v/>
      </c>
      <c r="W1896" s="531" t="str">
        <f t="shared" si="781"/>
        <v/>
      </c>
      <c r="X1896" s="534" t="str">
        <f t="shared" si="782"/>
        <v/>
      </c>
      <c r="Y1896" s="535" t="str">
        <f>IF($A1896="","",IF($I1896="weekly",$A1896+7,EDATE($A1896,VLOOKUP($I1896,Ref!$B$24:$C$29,2,0))))</f>
        <v/>
      </c>
      <c r="Z1896" s="536" t="str">
        <f t="shared" si="783"/>
        <v/>
      </c>
      <c r="AA1896" s="531">
        <f t="shared" si="784"/>
        <v>0</v>
      </c>
      <c r="AB1896" s="535" t="str">
        <f t="shared" si="772"/>
        <v/>
      </c>
      <c r="AC1896" s="537" t="str">
        <f t="shared" si="773"/>
        <v/>
      </c>
      <c r="AD1896" s="538" t="str">
        <f t="shared" ca="1" si="774"/>
        <v/>
      </c>
      <c r="AE1896" s="537">
        <f t="shared" ca="1" si="775"/>
        <v>0</v>
      </c>
      <c r="AF1896" s="539" t="str">
        <f t="shared" ca="1" si="785"/>
        <v/>
      </c>
      <c r="AG1896" s="531" t="str">
        <f t="shared" ca="1" si="786"/>
        <v/>
      </c>
      <c r="AH1896" s="531" t="str">
        <f t="shared" ca="1" si="787"/>
        <v/>
      </c>
      <c r="AI1896" s="531" t="str">
        <f t="shared" ca="1" si="788"/>
        <v/>
      </c>
      <c r="AJ1896" s="531" t="str">
        <f t="shared" si="789"/>
        <v/>
      </c>
      <c r="AK1896" s="540">
        <f>SUMIFS('Live Collections'!$S:$S,'Live Collections'!$D:$D,Disbursements!B1896,'Live Collections'!$G:$G,Disbursements!C1896)</f>
        <v>0</v>
      </c>
      <c r="AL1896" s="540">
        <f>SUMIFS('Live Collections'!$T:$T,'Live Collections'!$D:$D,Disbursements!B1896,'Live Collections'!$G:$G,Disbursements!C1896)</f>
        <v>0</v>
      </c>
      <c r="AM1896" s="541">
        <f t="shared" si="790"/>
        <v>0</v>
      </c>
      <c r="AN1896" s="542" t="str">
        <f t="shared" si="791"/>
        <v/>
      </c>
      <c r="AO1896" s="542" t="str">
        <f t="shared" si="792"/>
        <v/>
      </c>
      <c r="AP1896" s="543" t="str">
        <f t="shared" si="793"/>
        <v/>
      </c>
      <c r="AQ1896" s="544" t="str">
        <f t="shared" si="794"/>
        <v/>
      </c>
      <c r="AR1896" s="545">
        <f t="shared" si="795"/>
        <v>0</v>
      </c>
      <c r="AS1896" s="545">
        <f>IFERROR(CEILING($AR1896*VLOOKUP($I1896,Ref!$B$23:$E$29,4,0),1),0)</f>
        <v>0</v>
      </c>
      <c r="AT1896" s="545" t="str">
        <f>IF(A1896="","",IF(AP1896&lt;=1,"Cleared",IF(AS1896=0,"Clean",VLOOKUP($AS1896,Ref!$G$23:$H$28,2))))</f>
        <v/>
      </c>
      <c r="AU1896" s="546" t="str">
        <f t="shared" si="796"/>
        <v/>
      </c>
    </row>
    <row r="1897" spans="1:47" ht="14.25" hidden="1" customHeight="1" x14ac:dyDescent="0.15">
      <c r="A1897" s="575"/>
      <c r="B1897" s="548"/>
      <c r="C1897" s="548"/>
      <c r="D1897" s="548"/>
      <c r="E1897" s="583"/>
      <c r="F1897" s="584"/>
      <c r="G1897" s="548"/>
      <c r="H1897" s="550"/>
      <c r="I1897" s="560"/>
      <c r="J1897" s="548"/>
      <c r="K1897" s="528" t="str">
        <f>IFERROR(VLOOKUP($B1897,'Clients-Live'!$A:$C,3,0),"")</f>
        <v/>
      </c>
      <c r="L1897" s="528">
        <f>IF(E1897="STL",Pricing!$D$38,IF(A1897="",0,IF(A1897&lt;Pricing!$C$25,Pricing!$D$25,VLOOKUP(Disbursements!$F1897,Pricing!$B$29:$D$32,3))))</f>
        <v>0</v>
      </c>
      <c r="M1897" s="528">
        <f>IF(E1897="STL",0,IF(F1897&gt;0,Pricing!$D$21,0))</f>
        <v>0</v>
      </c>
      <c r="N1897" s="529">
        <f>IF(E1897="STL",F1897*Pricing!$D$40,IF(A1897&lt;=Pricing!$C$4,0,IF(AND(A1897&gt;Pricing!$C$4,Disbursements!A1897&lt;=Pricing!$C$5),F1897*Pricing!$E$5,IF(AND(A1897&gt;Pricing!$C$5,Disbursements!A1897&lt;=Pricing!$C$7),VLOOKUP(F1897,Pricing!$D$7:$E$8,2)*Disbursements!F1897,F1897*Pricing!$E$9))))</f>
        <v>0</v>
      </c>
      <c r="O1897" s="528">
        <f>IF(E1897="STL",0,IF($F1897&gt;0,$F1897*Pricing!$D$17,0))</f>
        <v>0</v>
      </c>
      <c r="P1897" s="530" t="str">
        <f t="shared" si="776"/>
        <v/>
      </c>
      <c r="Q1897" s="531" t="str">
        <f>IF($A1897="","",$G1897/VLOOKUP($I1897,Ref!$B$23:$D$29,2,0))</f>
        <v/>
      </c>
      <c r="R1897" s="530" t="str">
        <f t="shared" si="777"/>
        <v/>
      </c>
      <c r="S1897" s="532" t="str">
        <f t="shared" si="771"/>
        <v/>
      </c>
      <c r="T1897" s="531" t="str">
        <f t="shared" si="778"/>
        <v/>
      </c>
      <c r="U1897" s="533">
        <f t="shared" si="779"/>
        <v>0</v>
      </c>
      <c r="V1897" s="531" t="str">
        <f t="shared" si="780"/>
        <v/>
      </c>
      <c r="W1897" s="531" t="str">
        <f t="shared" si="781"/>
        <v/>
      </c>
      <c r="X1897" s="534" t="str">
        <f t="shared" si="782"/>
        <v/>
      </c>
      <c r="Y1897" s="535" t="str">
        <f>IF($A1897="","",IF($I1897="weekly",$A1897+7,EDATE($A1897,VLOOKUP($I1897,Ref!$B$24:$C$29,2,0))))</f>
        <v/>
      </c>
      <c r="Z1897" s="536" t="str">
        <f t="shared" si="783"/>
        <v/>
      </c>
      <c r="AA1897" s="531">
        <f t="shared" si="784"/>
        <v>0</v>
      </c>
      <c r="AB1897" s="535" t="str">
        <f t="shared" si="772"/>
        <v/>
      </c>
      <c r="AC1897" s="537" t="str">
        <f t="shared" si="773"/>
        <v/>
      </c>
      <c r="AD1897" s="538" t="str">
        <f t="shared" ca="1" si="774"/>
        <v/>
      </c>
      <c r="AE1897" s="537">
        <f t="shared" ca="1" si="775"/>
        <v>0</v>
      </c>
      <c r="AF1897" s="539" t="str">
        <f t="shared" ca="1" si="785"/>
        <v/>
      </c>
      <c r="AG1897" s="531" t="str">
        <f t="shared" ca="1" si="786"/>
        <v/>
      </c>
      <c r="AH1897" s="531" t="str">
        <f t="shared" ca="1" si="787"/>
        <v/>
      </c>
      <c r="AI1897" s="531" t="str">
        <f t="shared" ca="1" si="788"/>
        <v/>
      </c>
      <c r="AJ1897" s="531" t="str">
        <f t="shared" si="789"/>
        <v/>
      </c>
      <c r="AK1897" s="540">
        <f>SUMIFS('Live Collections'!$S:$S,'Live Collections'!$D:$D,Disbursements!B1897,'Live Collections'!$G:$G,Disbursements!C1897)</f>
        <v>0</v>
      </c>
      <c r="AL1897" s="540">
        <f>SUMIFS('Live Collections'!$T:$T,'Live Collections'!$D:$D,Disbursements!B1897,'Live Collections'!$G:$G,Disbursements!C1897)</f>
        <v>0</v>
      </c>
      <c r="AM1897" s="541">
        <f t="shared" si="790"/>
        <v>0</v>
      </c>
      <c r="AN1897" s="542" t="str">
        <f t="shared" si="791"/>
        <v/>
      </c>
      <c r="AO1897" s="542" t="str">
        <f t="shared" si="792"/>
        <v/>
      </c>
      <c r="AP1897" s="543" t="str">
        <f t="shared" si="793"/>
        <v/>
      </c>
      <c r="AQ1897" s="544" t="str">
        <f t="shared" si="794"/>
        <v/>
      </c>
      <c r="AR1897" s="545">
        <f t="shared" si="795"/>
        <v>0</v>
      </c>
      <c r="AS1897" s="545">
        <f>IFERROR(CEILING($AR1897*VLOOKUP($I1897,Ref!$B$23:$E$29,4,0),1),0)</f>
        <v>0</v>
      </c>
      <c r="AT1897" s="545" t="str">
        <f>IF(A1897="","",IF(AP1897&lt;=1,"Cleared",IF(AS1897=0,"Clean",VLOOKUP($AS1897,Ref!$G$23:$H$28,2))))</f>
        <v/>
      </c>
      <c r="AU1897" s="546" t="str">
        <f t="shared" si="796"/>
        <v/>
      </c>
    </row>
    <row r="1898" spans="1:47" ht="14.25" hidden="1" customHeight="1" x14ac:dyDescent="0.15">
      <c r="A1898" s="575"/>
      <c r="B1898" s="548"/>
      <c r="C1898" s="548"/>
      <c r="D1898" s="548"/>
      <c r="E1898" s="583"/>
      <c r="F1898" s="584"/>
      <c r="G1898" s="548"/>
      <c r="H1898" s="550"/>
      <c r="I1898" s="560"/>
      <c r="J1898" s="548"/>
      <c r="K1898" s="528" t="str">
        <f>IFERROR(VLOOKUP($B1898,'Clients-Live'!$A:$C,3,0),"")</f>
        <v/>
      </c>
      <c r="L1898" s="528">
        <f>IF(E1898="STL",Pricing!$D$38,IF(A1898="",0,IF(A1898&lt;Pricing!$C$25,Pricing!$D$25,VLOOKUP(Disbursements!$F1898,Pricing!$B$29:$D$32,3))))</f>
        <v>0</v>
      </c>
      <c r="M1898" s="528">
        <f>IF(E1898="STL",0,IF(F1898&gt;0,Pricing!$D$21,0))</f>
        <v>0</v>
      </c>
      <c r="N1898" s="529">
        <f>IF(E1898="STL",F1898*Pricing!$D$40,IF(A1898&lt;=Pricing!$C$4,0,IF(AND(A1898&gt;Pricing!$C$4,Disbursements!A1898&lt;=Pricing!$C$5),F1898*Pricing!$E$5,IF(AND(A1898&gt;Pricing!$C$5,Disbursements!A1898&lt;=Pricing!$C$7),VLOOKUP(F1898,Pricing!$D$7:$E$8,2)*Disbursements!F1898,F1898*Pricing!$E$9))))</f>
        <v>0</v>
      </c>
      <c r="O1898" s="528">
        <f>IF(E1898="STL",0,IF($F1898&gt;0,$F1898*Pricing!$D$17,0))</f>
        <v>0</v>
      </c>
      <c r="P1898" s="530" t="str">
        <f t="shared" si="776"/>
        <v/>
      </c>
      <c r="Q1898" s="531" t="str">
        <f>IF($A1898="","",$G1898/VLOOKUP($I1898,Ref!$B$23:$D$29,2,0))</f>
        <v/>
      </c>
      <c r="R1898" s="530" t="str">
        <f t="shared" si="777"/>
        <v/>
      </c>
      <c r="S1898" s="532" t="str">
        <f t="shared" si="771"/>
        <v/>
      </c>
      <c r="T1898" s="531" t="str">
        <f t="shared" si="778"/>
        <v/>
      </c>
      <c r="U1898" s="533">
        <f t="shared" si="779"/>
        <v>0</v>
      </c>
      <c r="V1898" s="531" t="str">
        <f t="shared" si="780"/>
        <v/>
      </c>
      <c r="W1898" s="531" t="str">
        <f t="shared" si="781"/>
        <v/>
      </c>
      <c r="X1898" s="534" t="str">
        <f t="shared" si="782"/>
        <v/>
      </c>
      <c r="Y1898" s="535" t="str">
        <f>IF($A1898="","",IF($I1898="weekly",$A1898+7,EDATE($A1898,VLOOKUP($I1898,Ref!$B$24:$C$29,2,0))))</f>
        <v/>
      </c>
      <c r="Z1898" s="536" t="str">
        <f t="shared" si="783"/>
        <v/>
      </c>
      <c r="AA1898" s="531">
        <f t="shared" si="784"/>
        <v>0</v>
      </c>
      <c r="AB1898" s="535" t="str">
        <f t="shared" si="772"/>
        <v/>
      </c>
      <c r="AC1898" s="537" t="str">
        <f t="shared" si="773"/>
        <v/>
      </c>
      <c r="AD1898" s="538" t="str">
        <f t="shared" ca="1" si="774"/>
        <v/>
      </c>
      <c r="AE1898" s="537">
        <f t="shared" ca="1" si="775"/>
        <v>0</v>
      </c>
      <c r="AF1898" s="539" t="str">
        <f t="shared" ca="1" si="785"/>
        <v/>
      </c>
      <c r="AG1898" s="531" t="str">
        <f t="shared" ca="1" si="786"/>
        <v/>
      </c>
      <c r="AH1898" s="531" t="str">
        <f t="shared" ca="1" si="787"/>
        <v/>
      </c>
      <c r="AI1898" s="531" t="str">
        <f t="shared" ca="1" si="788"/>
        <v/>
      </c>
      <c r="AJ1898" s="531" t="str">
        <f t="shared" si="789"/>
        <v/>
      </c>
      <c r="AK1898" s="540">
        <f>SUMIFS('Live Collections'!$S:$S,'Live Collections'!$D:$D,Disbursements!B1898,'Live Collections'!$G:$G,Disbursements!C1898)</f>
        <v>0</v>
      </c>
      <c r="AL1898" s="540">
        <f>SUMIFS('Live Collections'!$T:$T,'Live Collections'!$D:$D,Disbursements!B1898,'Live Collections'!$G:$G,Disbursements!C1898)</f>
        <v>0</v>
      </c>
      <c r="AM1898" s="541">
        <f t="shared" si="790"/>
        <v>0</v>
      </c>
      <c r="AN1898" s="542" t="str">
        <f t="shared" si="791"/>
        <v/>
      </c>
      <c r="AO1898" s="542" t="str">
        <f t="shared" si="792"/>
        <v/>
      </c>
      <c r="AP1898" s="543" t="str">
        <f t="shared" si="793"/>
        <v/>
      </c>
      <c r="AQ1898" s="544" t="str">
        <f t="shared" si="794"/>
        <v/>
      </c>
      <c r="AR1898" s="545">
        <f t="shared" si="795"/>
        <v>0</v>
      </c>
      <c r="AS1898" s="545">
        <f>IFERROR(CEILING($AR1898*VLOOKUP($I1898,Ref!$B$23:$E$29,4,0),1),0)</f>
        <v>0</v>
      </c>
      <c r="AT1898" s="545" t="str">
        <f>IF(A1898="","",IF(AP1898&lt;=1,"Cleared",IF(AS1898=0,"Clean",VLOOKUP($AS1898,Ref!$G$23:$H$28,2))))</f>
        <v/>
      </c>
      <c r="AU1898" s="546" t="str">
        <f t="shared" si="796"/>
        <v/>
      </c>
    </row>
    <row r="1899" spans="1:47" ht="14.25" hidden="1" customHeight="1" x14ac:dyDescent="0.15">
      <c r="A1899" s="575"/>
      <c r="B1899" s="548"/>
      <c r="C1899" s="548"/>
      <c r="D1899" s="548"/>
      <c r="E1899" s="583"/>
      <c r="F1899" s="584"/>
      <c r="G1899" s="548"/>
      <c r="H1899" s="550"/>
      <c r="I1899" s="560"/>
      <c r="J1899" s="548"/>
      <c r="K1899" s="528" t="str">
        <f>IFERROR(VLOOKUP($B1899,'Clients-Live'!$A:$C,3,0),"")</f>
        <v/>
      </c>
      <c r="L1899" s="528">
        <f>IF(E1899="STL",Pricing!$D$38,IF(A1899="",0,IF(A1899&lt;Pricing!$C$25,Pricing!$D$25,VLOOKUP(Disbursements!$F1899,Pricing!$B$29:$D$32,3))))</f>
        <v>0</v>
      </c>
      <c r="M1899" s="528">
        <f>IF(E1899="STL",0,IF(F1899&gt;0,Pricing!$D$21,0))</f>
        <v>0</v>
      </c>
      <c r="N1899" s="529">
        <f>IF(E1899="STL",F1899*Pricing!$D$40,IF(A1899&lt;=Pricing!$C$4,0,IF(AND(A1899&gt;Pricing!$C$4,Disbursements!A1899&lt;=Pricing!$C$5),F1899*Pricing!$E$5,IF(AND(A1899&gt;Pricing!$C$5,Disbursements!A1899&lt;=Pricing!$C$7),VLOOKUP(F1899,Pricing!$D$7:$E$8,2)*Disbursements!F1899,F1899*Pricing!$E$9))))</f>
        <v>0</v>
      </c>
      <c r="O1899" s="528">
        <f>IF(E1899="STL",0,IF($F1899&gt;0,$F1899*Pricing!$D$17,0))</f>
        <v>0</v>
      </c>
      <c r="P1899" s="530" t="str">
        <f t="shared" si="776"/>
        <v/>
      </c>
      <c r="Q1899" s="531" t="str">
        <f>IF($A1899="","",$G1899/VLOOKUP($I1899,Ref!$B$23:$D$29,2,0))</f>
        <v/>
      </c>
      <c r="R1899" s="530" t="str">
        <f t="shared" si="777"/>
        <v/>
      </c>
      <c r="S1899" s="532" t="str">
        <f t="shared" si="771"/>
        <v/>
      </c>
      <c r="T1899" s="531" t="str">
        <f t="shared" si="778"/>
        <v/>
      </c>
      <c r="U1899" s="533">
        <f t="shared" si="779"/>
        <v>0</v>
      </c>
      <c r="V1899" s="531" t="str">
        <f t="shared" si="780"/>
        <v/>
      </c>
      <c r="W1899" s="531" t="str">
        <f t="shared" si="781"/>
        <v/>
      </c>
      <c r="X1899" s="534" t="str">
        <f t="shared" si="782"/>
        <v/>
      </c>
      <c r="Y1899" s="535" t="str">
        <f>IF($A1899="","",IF($I1899="weekly",$A1899+7,EDATE($A1899,VLOOKUP($I1899,Ref!$B$24:$C$29,2,0))))</f>
        <v/>
      </c>
      <c r="Z1899" s="536" t="str">
        <f t="shared" si="783"/>
        <v/>
      </c>
      <c r="AA1899" s="531">
        <f t="shared" si="784"/>
        <v>0</v>
      </c>
      <c r="AB1899" s="535" t="str">
        <f t="shared" si="772"/>
        <v/>
      </c>
      <c r="AC1899" s="537" t="str">
        <f t="shared" si="773"/>
        <v/>
      </c>
      <c r="AD1899" s="538" t="str">
        <f t="shared" ca="1" si="774"/>
        <v/>
      </c>
      <c r="AE1899" s="537">
        <f t="shared" ca="1" si="775"/>
        <v>0</v>
      </c>
      <c r="AF1899" s="539" t="str">
        <f t="shared" ca="1" si="785"/>
        <v/>
      </c>
      <c r="AG1899" s="531" t="str">
        <f t="shared" ca="1" si="786"/>
        <v/>
      </c>
      <c r="AH1899" s="531" t="str">
        <f t="shared" ca="1" si="787"/>
        <v/>
      </c>
      <c r="AI1899" s="531" t="str">
        <f t="shared" ca="1" si="788"/>
        <v/>
      </c>
      <c r="AJ1899" s="531" t="str">
        <f t="shared" si="789"/>
        <v/>
      </c>
      <c r="AK1899" s="540">
        <f>SUMIFS('Live Collections'!$S:$S,'Live Collections'!$D:$D,Disbursements!B1899,'Live Collections'!$G:$G,Disbursements!C1899)</f>
        <v>0</v>
      </c>
      <c r="AL1899" s="540">
        <f>SUMIFS('Live Collections'!$T:$T,'Live Collections'!$D:$D,Disbursements!B1899,'Live Collections'!$G:$G,Disbursements!C1899)</f>
        <v>0</v>
      </c>
      <c r="AM1899" s="541">
        <f t="shared" si="790"/>
        <v>0</v>
      </c>
      <c r="AN1899" s="542" t="str">
        <f t="shared" si="791"/>
        <v/>
      </c>
      <c r="AO1899" s="542" t="str">
        <f t="shared" si="792"/>
        <v/>
      </c>
      <c r="AP1899" s="543" t="str">
        <f t="shared" si="793"/>
        <v/>
      </c>
      <c r="AQ1899" s="544" t="str">
        <f t="shared" si="794"/>
        <v/>
      </c>
      <c r="AR1899" s="545">
        <f t="shared" si="795"/>
        <v>0</v>
      </c>
      <c r="AS1899" s="545">
        <f>IFERROR(CEILING($AR1899*VLOOKUP($I1899,Ref!$B$23:$E$29,4,0),1),0)</f>
        <v>0</v>
      </c>
      <c r="AT1899" s="545" t="str">
        <f>IF(A1899="","",IF(AP1899&lt;=1,"Cleared",IF(AS1899=0,"Clean",VLOOKUP($AS1899,Ref!$G$23:$H$28,2))))</f>
        <v/>
      </c>
      <c r="AU1899" s="546" t="str">
        <f t="shared" si="796"/>
        <v/>
      </c>
    </row>
    <row r="1900" spans="1:47" ht="14.25" hidden="1" customHeight="1" x14ac:dyDescent="0.15">
      <c r="A1900" s="575"/>
      <c r="B1900" s="548"/>
      <c r="C1900" s="548"/>
      <c r="D1900" s="548"/>
      <c r="E1900" s="583"/>
      <c r="F1900" s="584"/>
      <c r="G1900" s="548"/>
      <c r="H1900" s="550"/>
      <c r="I1900" s="560"/>
      <c r="J1900" s="548"/>
      <c r="K1900" s="528" t="str">
        <f>IFERROR(VLOOKUP($B1900,'Clients-Live'!$A:$C,3,0),"")</f>
        <v/>
      </c>
      <c r="L1900" s="528">
        <f>IF(E1900="STL",Pricing!$D$38,IF(A1900="",0,IF(A1900&lt;Pricing!$C$25,Pricing!$D$25,VLOOKUP(Disbursements!$F1900,Pricing!$B$29:$D$32,3))))</f>
        <v>0</v>
      </c>
      <c r="M1900" s="528">
        <f>IF(E1900="STL",0,IF(F1900&gt;0,Pricing!$D$21,0))</f>
        <v>0</v>
      </c>
      <c r="N1900" s="529">
        <f>IF(E1900="STL",F1900*Pricing!$D$40,IF(A1900&lt;=Pricing!$C$4,0,IF(AND(A1900&gt;Pricing!$C$4,Disbursements!A1900&lt;=Pricing!$C$5),F1900*Pricing!$E$5,IF(AND(A1900&gt;Pricing!$C$5,Disbursements!A1900&lt;=Pricing!$C$7),VLOOKUP(F1900,Pricing!$D$7:$E$8,2)*Disbursements!F1900,F1900*Pricing!$E$9))))</f>
        <v>0</v>
      </c>
      <c r="O1900" s="528">
        <f>IF(E1900="STL",0,IF($F1900&gt;0,$F1900*Pricing!$D$17,0))</f>
        <v>0</v>
      </c>
      <c r="P1900" s="530" t="str">
        <f t="shared" si="776"/>
        <v/>
      </c>
      <c r="Q1900" s="531" t="str">
        <f>IF($A1900="","",$G1900/VLOOKUP($I1900,Ref!$B$23:$D$29,2,0))</f>
        <v/>
      </c>
      <c r="R1900" s="530" t="str">
        <f t="shared" si="777"/>
        <v/>
      </c>
      <c r="S1900" s="532" t="str">
        <f t="shared" si="771"/>
        <v/>
      </c>
      <c r="T1900" s="531" t="str">
        <f t="shared" si="778"/>
        <v/>
      </c>
      <c r="U1900" s="533">
        <f t="shared" si="779"/>
        <v>0</v>
      </c>
      <c r="V1900" s="531" t="str">
        <f t="shared" si="780"/>
        <v/>
      </c>
      <c r="W1900" s="531" t="str">
        <f t="shared" si="781"/>
        <v/>
      </c>
      <c r="X1900" s="534" t="str">
        <f t="shared" si="782"/>
        <v/>
      </c>
      <c r="Y1900" s="535" t="str">
        <f>IF($A1900="","",IF($I1900="weekly",$A1900+7,EDATE($A1900,VLOOKUP($I1900,Ref!$B$24:$C$29,2,0))))</f>
        <v/>
      </c>
      <c r="Z1900" s="536" t="str">
        <f t="shared" si="783"/>
        <v/>
      </c>
      <c r="AA1900" s="531">
        <f t="shared" si="784"/>
        <v>0</v>
      </c>
      <c r="AB1900" s="535" t="str">
        <f t="shared" si="772"/>
        <v/>
      </c>
      <c r="AC1900" s="537" t="str">
        <f t="shared" si="773"/>
        <v/>
      </c>
      <c r="AD1900" s="538" t="str">
        <f t="shared" ca="1" si="774"/>
        <v/>
      </c>
      <c r="AE1900" s="537">
        <f t="shared" ca="1" si="775"/>
        <v>0</v>
      </c>
      <c r="AF1900" s="539" t="str">
        <f t="shared" ca="1" si="785"/>
        <v/>
      </c>
      <c r="AG1900" s="531" t="str">
        <f t="shared" ca="1" si="786"/>
        <v/>
      </c>
      <c r="AH1900" s="531" t="str">
        <f t="shared" ca="1" si="787"/>
        <v/>
      </c>
      <c r="AI1900" s="531" t="str">
        <f t="shared" ca="1" si="788"/>
        <v/>
      </c>
      <c r="AJ1900" s="531" t="str">
        <f t="shared" si="789"/>
        <v/>
      </c>
      <c r="AK1900" s="540">
        <f>SUMIFS('Live Collections'!$S:$S,'Live Collections'!$D:$D,Disbursements!B1900,'Live Collections'!$G:$G,Disbursements!C1900)</f>
        <v>0</v>
      </c>
      <c r="AL1900" s="540">
        <f>SUMIFS('Live Collections'!$T:$T,'Live Collections'!$D:$D,Disbursements!B1900,'Live Collections'!$G:$G,Disbursements!C1900)</f>
        <v>0</v>
      </c>
      <c r="AM1900" s="541">
        <f t="shared" si="790"/>
        <v>0</v>
      </c>
      <c r="AN1900" s="542" t="str">
        <f t="shared" si="791"/>
        <v/>
      </c>
      <c r="AO1900" s="542" t="str">
        <f t="shared" si="792"/>
        <v/>
      </c>
      <c r="AP1900" s="543" t="str">
        <f t="shared" si="793"/>
        <v/>
      </c>
      <c r="AQ1900" s="544" t="str">
        <f t="shared" si="794"/>
        <v/>
      </c>
      <c r="AR1900" s="545">
        <f t="shared" si="795"/>
        <v>0</v>
      </c>
      <c r="AS1900" s="545">
        <f>IFERROR(CEILING($AR1900*VLOOKUP($I1900,Ref!$B$23:$E$29,4,0),1),0)</f>
        <v>0</v>
      </c>
      <c r="AT1900" s="545" t="str">
        <f>IF(A1900="","",IF(AP1900&lt;=1,"Cleared",IF(AS1900=0,"Clean",VLOOKUP($AS1900,Ref!$G$23:$H$28,2))))</f>
        <v/>
      </c>
      <c r="AU1900" s="546" t="str">
        <f t="shared" si="796"/>
        <v/>
      </c>
    </row>
    <row r="1901" spans="1:47" ht="14.25" hidden="1" customHeight="1" x14ac:dyDescent="0.15">
      <c r="A1901" s="575"/>
      <c r="B1901" s="548"/>
      <c r="C1901" s="548"/>
      <c r="D1901" s="548"/>
      <c r="E1901" s="583"/>
      <c r="F1901" s="584"/>
      <c r="G1901" s="548"/>
      <c r="H1901" s="550"/>
      <c r="I1901" s="560"/>
      <c r="J1901" s="548"/>
      <c r="K1901" s="528" t="str">
        <f>IFERROR(VLOOKUP($B1901,'Clients-Live'!$A:$C,3,0),"")</f>
        <v/>
      </c>
      <c r="L1901" s="528">
        <f>IF(E1901="STL",Pricing!$D$38,IF(A1901="",0,IF(A1901&lt;Pricing!$C$25,Pricing!$D$25,VLOOKUP(Disbursements!$F1901,Pricing!$B$29:$D$32,3))))</f>
        <v>0</v>
      </c>
      <c r="M1901" s="528">
        <f>IF(E1901="STL",0,IF(F1901&gt;0,Pricing!$D$21,0))</f>
        <v>0</v>
      </c>
      <c r="N1901" s="529">
        <f>IF(E1901="STL",F1901*Pricing!$D$40,IF(A1901&lt;=Pricing!$C$4,0,IF(AND(A1901&gt;Pricing!$C$4,Disbursements!A1901&lt;=Pricing!$C$5),F1901*Pricing!$E$5,IF(AND(A1901&gt;Pricing!$C$5,Disbursements!A1901&lt;=Pricing!$C$7),VLOOKUP(F1901,Pricing!$D$7:$E$8,2)*Disbursements!F1901,F1901*Pricing!$E$9))))</f>
        <v>0</v>
      </c>
      <c r="O1901" s="528">
        <f>IF(E1901="STL",0,IF($F1901&gt;0,$F1901*Pricing!$D$17,0))</f>
        <v>0</v>
      </c>
      <c r="P1901" s="530" t="str">
        <f t="shared" si="776"/>
        <v/>
      </c>
      <c r="Q1901" s="531" t="str">
        <f>IF($A1901="","",$G1901/VLOOKUP($I1901,Ref!$B$23:$D$29,2,0))</f>
        <v/>
      </c>
      <c r="R1901" s="530" t="str">
        <f t="shared" si="777"/>
        <v/>
      </c>
      <c r="S1901" s="532" t="str">
        <f t="shared" si="771"/>
        <v/>
      </c>
      <c r="T1901" s="531" t="str">
        <f t="shared" si="778"/>
        <v/>
      </c>
      <c r="U1901" s="533">
        <f t="shared" si="779"/>
        <v>0</v>
      </c>
      <c r="V1901" s="531" t="str">
        <f t="shared" si="780"/>
        <v/>
      </c>
      <c r="W1901" s="531" t="str">
        <f t="shared" si="781"/>
        <v/>
      </c>
      <c r="X1901" s="534" t="str">
        <f t="shared" si="782"/>
        <v/>
      </c>
      <c r="Y1901" s="535" t="str">
        <f>IF($A1901="","",IF($I1901="weekly",$A1901+7,EDATE($A1901,VLOOKUP($I1901,Ref!$B$24:$C$29,2,0))))</f>
        <v/>
      </c>
      <c r="Z1901" s="536" t="str">
        <f t="shared" si="783"/>
        <v/>
      </c>
      <c r="AA1901" s="531">
        <f t="shared" si="784"/>
        <v>0</v>
      </c>
      <c r="AB1901" s="535" t="str">
        <f t="shared" si="772"/>
        <v/>
      </c>
      <c r="AC1901" s="537" t="str">
        <f t="shared" si="773"/>
        <v/>
      </c>
      <c r="AD1901" s="538" t="str">
        <f t="shared" ca="1" si="774"/>
        <v/>
      </c>
      <c r="AE1901" s="537">
        <f t="shared" ca="1" si="775"/>
        <v>0</v>
      </c>
      <c r="AF1901" s="539" t="str">
        <f t="shared" ca="1" si="785"/>
        <v/>
      </c>
      <c r="AG1901" s="531" t="str">
        <f t="shared" ca="1" si="786"/>
        <v/>
      </c>
      <c r="AH1901" s="531" t="str">
        <f t="shared" ca="1" si="787"/>
        <v/>
      </c>
      <c r="AI1901" s="531" t="str">
        <f t="shared" ca="1" si="788"/>
        <v/>
      </c>
      <c r="AJ1901" s="531" t="str">
        <f t="shared" si="789"/>
        <v/>
      </c>
      <c r="AK1901" s="540">
        <f>SUMIFS('Live Collections'!$S:$S,'Live Collections'!$D:$D,Disbursements!B1901,'Live Collections'!$G:$G,Disbursements!C1901)</f>
        <v>0</v>
      </c>
      <c r="AL1901" s="540">
        <f>SUMIFS('Live Collections'!$T:$T,'Live Collections'!$D:$D,Disbursements!B1901,'Live Collections'!$G:$G,Disbursements!C1901)</f>
        <v>0</v>
      </c>
      <c r="AM1901" s="541">
        <f t="shared" si="790"/>
        <v>0</v>
      </c>
      <c r="AN1901" s="542" t="str">
        <f t="shared" si="791"/>
        <v/>
      </c>
      <c r="AO1901" s="542" t="str">
        <f t="shared" si="792"/>
        <v/>
      </c>
      <c r="AP1901" s="543" t="str">
        <f t="shared" si="793"/>
        <v/>
      </c>
      <c r="AQ1901" s="544" t="str">
        <f t="shared" si="794"/>
        <v/>
      </c>
      <c r="AR1901" s="545">
        <f t="shared" si="795"/>
        <v>0</v>
      </c>
      <c r="AS1901" s="545">
        <f>IFERROR(CEILING($AR1901*VLOOKUP($I1901,Ref!$B$23:$E$29,4,0),1),0)</f>
        <v>0</v>
      </c>
      <c r="AT1901" s="545" t="str">
        <f>IF(A1901="","",IF(AP1901&lt;=1,"Cleared",IF(AS1901=0,"Clean",VLOOKUP($AS1901,Ref!$G$23:$H$28,2))))</f>
        <v/>
      </c>
      <c r="AU1901" s="546" t="str">
        <f t="shared" si="796"/>
        <v/>
      </c>
    </row>
    <row r="1902" spans="1:47" ht="14.25" hidden="1" customHeight="1" x14ac:dyDescent="0.15">
      <c r="A1902" s="575"/>
      <c r="B1902" s="548"/>
      <c r="C1902" s="548"/>
      <c r="D1902" s="548"/>
      <c r="E1902" s="583"/>
      <c r="F1902" s="584"/>
      <c r="G1902" s="548"/>
      <c r="H1902" s="550"/>
      <c r="I1902" s="560"/>
      <c r="J1902" s="548"/>
      <c r="K1902" s="528" t="str">
        <f>IFERROR(VLOOKUP($B1902,'Clients-Live'!$A:$C,3,0),"")</f>
        <v/>
      </c>
      <c r="L1902" s="528">
        <f>IF(E1902="STL",Pricing!$D$38,IF(A1902="",0,IF(A1902&lt;Pricing!$C$25,Pricing!$D$25,VLOOKUP(Disbursements!$F1902,Pricing!$B$29:$D$32,3))))</f>
        <v>0</v>
      </c>
      <c r="M1902" s="528">
        <f>IF(E1902="STL",0,IF(F1902&gt;0,Pricing!$D$21,0))</f>
        <v>0</v>
      </c>
      <c r="N1902" s="529">
        <f>IF(E1902="STL",F1902*Pricing!$D$40,IF(A1902&lt;=Pricing!$C$4,0,IF(AND(A1902&gt;Pricing!$C$4,Disbursements!A1902&lt;=Pricing!$C$5),F1902*Pricing!$E$5,IF(AND(A1902&gt;Pricing!$C$5,Disbursements!A1902&lt;=Pricing!$C$7),VLOOKUP(F1902,Pricing!$D$7:$E$8,2)*Disbursements!F1902,F1902*Pricing!$E$9))))</f>
        <v>0</v>
      </c>
      <c r="O1902" s="528">
        <f>IF(E1902="STL",0,IF($F1902&gt;0,$F1902*Pricing!$D$17,0))</f>
        <v>0</v>
      </c>
      <c r="P1902" s="530" t="str">
        <f t="shared" si="776"/>
        <v/>
      </c>
      <c r="Q1902" s="531" t="str">
        <f>IF($A1902="","",$G1902/VLOOKUP($I1902,Ref!$B$23:$D$29,2,0))</f>
        <v/>
      </c>
      <c r="R1902" s="530" t="str">
        <f t="shared" si="777"/>
        <v/>
      </c>
      <c r="S1902" s="532" t="str">
        <f t="shared" si="771"/>
        <v/>
      </c>
      <c r="T1902" s="531" t="str">
        <f t="shared" si="778"/>
        <v/>
      </c>
      <c r="U1902" s="533">
        <f t="shared" si="779"/>
        <v>0</v>
      </c>
      <c r="V1902" s="531" t="str">
        <f t="shared" si="780"/>
        <v/>
      </c>
      <c r="W1902" s="531" t="str">
        <f t="shared" si="781"/>
        <v/>
      </c>
      <c r="X1902" s="534" t="str">
        <f t="shared" si="782"/>
        <v/>
      </c>
      <c r="Y1902" s="535" t="str">
        <f>IF($A1902="","",IF($I1902="weekly",$A1902+7,EDATE($A1902,VLOOKUP($I1902,Ref!$B$24:$C$29,2,0))))</f>
        <v/>
      </c>
      <c r="Z1902" s="536" t="str">
        <f t="shared" si="783"/>
        <v/>
      </c>
      <c r="AA1902" s="531">
        <f t="shared" si="784"/>
        <v>0</v>
      </c>
      <c r="AB1902" s="535" t="str">
        <f t="shared" si="772"/>
        <v/>
      </c>
      <c r="AC1902" s="537" t="str">
        <f t="shared" si="773"/>
        <v/>
      </c>
      <c r="AD1902" s="538" t="str">
        <f t="shared" ca="1" si="774"/>
        <v/>
      </c>
      <c r="AE1902" s="537">
        <f t="shared" ca="1" si="775"/>
        <v>0</v>
      </c>
      <c r="AF1902" s="539" t="str">
        <f t="shared" ca="1" si="785"/>
        <v/>
      </c>
      <c r="AG1902" s="531" t="str">
        <f t="shared" ca="1" si="786"/>
        <v/>
      </c>
      <c r="AH1902" s="531" t="str">
        <f t="shared" ca="1" si="787"/>
        <v/>
      </c>
      <c r="AI1902" s="531" t="str">
        <f t="shared" ca="1" si="788"/>
        <v/>
      </c>
      <c r="AJ1902" s="531" t="str">
        <f t="shared" si="789"/>
        <v/>
      </c>
      <c r="AK1902" s="540">
        <f>SUMIFS('Live Collections'!$S:$S,'Live Collections'!$D:$D,Disbursements!B1902,'Live Collections'!$G:$G,Disbursements!C1902)</f>
        <v>0</v>
      </c>
      <c r="AL1902" s="540">
        <f>SUMIFS('Live Collections'!$T:$T,'Live Collections'!$D:$D,Disbursements!B1902,'Live Collections'!$G:$G,Disbursements!C1902)</f>
        <v>0</v>
      </c>
      <c r="AM1902" s="541">
        <f t="shared" si="790"/>
        <v>0</v>
      </c>
      <c r="AN1902" s="542" t="str">
        <f t="shared" si="791"/>
        <v/>
      </c>
      <c r="AO1902" s="542" t="str">
        <f t="shared" si="792"/>
        <v/>
      </c>
      <c r="AP1902" s="543" t="str">
        <f t="shared" si="793"/>
        <v/>
      </c>
      <c r="AQ1902" s="544" t="str">
        <f t="shared" si="794"/>
        <v/>
      </c>
      <c r="AR1902" s="545">
        <f t="shared" si="795"/>
        <v>0</v>
      </c>
      <c r="AS1902" s="545">
        <f>IFERROR(CEILING($AR1902*VLOOKUP($I1902,Ref!$B$23:$E$29,4,0),1),0)</f>
        <v>0</v>
      </c>
      <c r="AT1902" s="545" t="str">
        <f>IF(A1902="","",IF(AP1902&lt;=1,"Cleared",IF(AS1902=0,"Clean",VLOOKUP($AS1902,Ref!$G$23:$H$28,2))))</f>
        <v/>
      </c>
      <c r="AU1902" s="546" t="str">
        <f t="shared" si="796"/>
        <v/>
      </c>
    </row>
    <row r="1903" spans="1:47" ht="14.25" hidden="1" customHeight="1" x14ac:dyDescent="0.15">
      <c r="A1903" s="575"/>
      <c r="B1903" s="548"/>
      <c r="C1903" s="548"/>
      <c r="D1903" s="548"/>
      <c r="E1903" s="583"/>
      <c r="F1903" s="584"/>
      <c r="G1903" s="548"/>
      <c r="H1903" s="550"/>
      <c r="I1903" s="560"/>
      <c r="J1903" s="548"/>
      <c r="K1903" s="528" t="str">
        <f>IFERROR(VLOOKUP($B1903,'Clients-Live'!$A:$C,3,0),"")</f>
        <v/>
      </c>
      <c r="L1903" s="528">
        <f>IF(E1903="STL",Pricing!$D$38,IF(A1903="",0,IF(A1903&lt;Pricing!$C$25,Pricing!$D$25,VLOOKUP(Disbursements!$F1903,Pricing!$B$29:$D$32,3))))</f>
        <v>0</v>
      </c>
      <c r="M1903" s="528">
        <f>IF(E1903="STL",0,IF(F1903&gt;0,Pricing!$D$21,0))</f>
        <v>0</v>
      </c>
      <c r="N1903" s="529">
        <f>IF(E1903="STL",F1903*Pricing!$D$40,IF(A1903&lt;=Pricing!$C$4,0,IF(AND(A1903&gt;Pricing!$C$4,Disbursements!A1903&lt;=Pricing!$C$5),F1903*Pricing!$E$5,IF(AND(A1903&gt;Pricing!$C$5,Disbursements!A1903&lt;=Pricing!$C$7),VLOOKUP(F1903,Pricing!$D$7:$E$8,2)*Disbursements!F1903,F1903*Pricing!$E$9))))</f>
        <v>0</v>
      </c>
      <c r="O1903" s="528">
        <f>IF(E1903="STL",0,IF($F1903&gt;0,$F1903*Pricing!$D$17,0))</f>
        <v>0</v>
      </c>
      <c r="P1903" s="530" t="str">
        <f t="shared" si="776"/>
        <v/>
      </c>
      <c r="Q1903" s="531" t="str">
        <f>IF($A1903="","",$G1903/VLOOKUP($I1903,Ref!$B$23:$D$29,2,0))</f>
        <v/>
      </c>
      <c r="R1903" s="530" t="str">
        <f t="shared" si="777"/>
        <v/>
      </c>
      <c r="S1903" s="532" t="str">
        <f t="shared" si="771"/>
        <v/>
      </c>
      <c r="T1903" s="531" t="str">
        <f t="shared" si="778"/>
        <v/>
      </c>
      <c r="U1903" s="533">
        <f t="shared" si="779"/>
        <v>0</v>
      </c>
      <c r="V1903" s="531" t="str">
        <f t="shared" si="780"/>
        <v/>
      </c>
      <c r="W1903" s="531" t="str">
        <f t="shared" si="781"/>
        <v/>
      </c>
      <c r="X1903" s="534" t="str">
        <f t="shared" si="782"/>
        <v/>
      </c>
      <c r="Y1903" s="535" t="str">
        <f>IF($A1903="","",IF($I1903="weekly",$A1903+7,EDATE($A1903,VLOOKUP($I1903,Ref!$B$24:$C$29,2,0))))</f>
        <v/>
      </c>
      <c r="Z1903" s="536" t="str">
        <f t="shared" si="783"/>
        <v/>
      </c>
      <c r="AA1903" s="531">
        <f t="shared" si="784"/>
        <v>0</v>
      </c>
      <c r="AB1903" s="535" t="str">
        <f t="shared" si="772"/>
        <v/>
      </c>
      <c r="AC1903" s="537" t="str">
        <f t="shared" si="773"/>
        <v/>
      </c>
      <c r="AD1903" s="538" t="str">
        <f t="shared" ca="1" si="774"/>
        <v/>
      </c>
      <c r="AE1903" s="537">
        <f t="shared" ca="1" si="775"/>
        <v>0</v>
      </c>
      <c r="AF1903" s="539" t="str">
        <f t="shared" ca="1" si="785"/>
        <v/>
      </c>
      <c r="AG1903" s="531" t="str">
        <f t="shared" ca="1" si="786"/>
        <v/>
      </c>
      <c r="AH1903" s="531" t="str">
        <f t="shared" ca="1" si="787"/>
        <v/>
      </c>
      <c r="AI1903" s="531" t="str">
        <f t="shared" ca="1" si="788"/>
        <v/>
      </c>
      <c r="AJ1903" s="531" t="str">
        <f t="shared" si="789"/>
        <v/>
      </c>
      <c r="AK1903" s="540">
        <f>SUMIFS('Live Collections'!$S:$S,'Live Collections'!$D:$D,Disbursements!B1903,'Live Collections'!$G:$G,Disbursements!C1903)</f>
        <v>0</v>
      </c>
      <c r="AL1903" s="540">
        <f>SUMIFS('Live Collections'!$T:$T,'Live Collections'!$D:$D,Disbursements!B1903,'Live Collections'!$G:$G,Disbursements!C1903)</f>
        <v>0</v>
      </c>
      <c r="AM1903" s="541">
        <f t="shared" si="790"/>
        <v>0</v>
      </c>
      <c r="AN1903" s="542" t="str">
        <f t="shared" si="791"/>
        <v/>
      </c>
      <c r="AO1903" s="542" t="str">
        <f t="shared" si="792"/>
        <v/>
      </c>
      <c r="AP1903" s="543" t="str">
        <f t="shared" si="793"/>
        <v/>
      </c>
      <c r="AQ1903" s="544" t="str">
        <f t="shared" si="794"/>
        <v/>
      </c>
      <c r="AR1903" s="545">
        <f t="shared" si="795"/>
        <v>0</v>
      </c>
      <c r="AS1903" s="545">
        <f>IFERROR(CEILING($AR1903*VLOOKUP($I1903,Ref!$B$23:$E$29,4,0),1),0)</f>
        <v>0</v>
      </c>
      <c r="AT1903" s="545" t="str">
        <f>IF(A1903="","",IF(AP1903&lt;=1,"Cleared",IF(AS1903=0,"Clean",VLOOKUP($AS1903,Ref!$G$23:$H$28,2))))</f>
        <v/>
      </c>
      <c r="AU1903" s="546" t="str">
        <f t="shared" si="796"/>
        <v/>
      </c>
    </row>
    <row r="1904" spans="1:47" ht="14.25" hidden="1" customHeight="1" x14ac:dyDescent="0.15">
      <c r="A1904" s="575"/>
      <c r="B1904" s="548"/>
      <c r="C1904" s="548"/>
      <c r="D1904" s="548"/>
      <c r="E1904" s="583"/>
      <c r="F1904" s="584"/>
      <c r="G1904" s="548"/>
      <c r="H1904" s="550"/>
      <c r="I1904" s="560"/>
      <c r="J1904" s="548"/>
      <c r="K1904" s="528" t="str">
        <f>IFERROR(VLOOKUP($B1904,'Clients-Live'!$A:$C,3,0),"")</f>
        <v/>
      </c>
      <c r="L1904" s="528">
        <f>IF(E1904="STL",Pricing!$D$38,IF(A1904="",0,IF(A1904&lt;Pricing!$C$25,Pricing!$D$25,VLOOKUP(Disbursements!$F1904,Pricing!$B$29:$D$32,3))))</f>
        <v>0</v>
      </c>
      <c r="M1904" s="528">
        <f>IF(E1904="STL",0,IF(F1904&gt;0,Pricing!$D$21,0))</f>
        <v>0</v>
      </c>
      <c r="N1904" s="529">
        <f>IF(E1904="STL",F1904*Pricing!$D$40,IF(A1904&lt;=Pricing!$C$4,0,IF(AND(A1904&gt;Pricing!$C$4,Disbursements!A1904&lt;=Pricing!$C$5),F1904*Pricing!$E$5,IF(AND(A1904&gt;Pricing!$C$5,Disbursements!A1904&lt;=Pricing!$C$7),VLOOKUP(F1904,Pricing!$D$7:$E$8,2)*Disbursements!F1904,F1904*Pricing!$E$9))))</f>
        <v>0</v>
      </c>
      <c r="O1904" s="528">
        <f>IF(E1904="STL",0,IF($F1904&gt;0,$F1904*Pricing!$D$17,0))</f>
        <v>0</v>
      </c>
      <c r="P1904" s="530" t="str">
        <f t="shared" si="776"/>
        <v/>
      </c>
      <c r="Q1904" s="531" t="str">
        <f>IF($A1904="","",$G1904/VLOOKUP($I1904,Ref!$B$23:$D$29,2,0))</f>
        <v/>
      </c>
      <c r="R1904" s="530" t="str">
        <f t="shared" si="777"/>
        <v/>
      </c>
      <c r="S1904" s="532" t="str">
        <f t="shared" si="771"/>
        <v/>
      </c>
      <c r="T1904" s="531" t="str">
        <f t="shared" si="778"/>
        <v/>
      </c>
      <c r="U1904" s="533">
        <f t="shared" si="779"/>
        <v>0</v>
      </c>
      <c r="V1904" s="531" t="str">
        <f t="shared" si="780"/>
        <v/>
      </c>
      <c r="W1904" s="531" t="str">
        <f t="shared" si="781"/>
        <v/>
      </c>
      <c r="X1904" s="534" t="str">
        <f t="shared" si="782"/>
        <v/>
      </c>
      <c r="Y1904" s="535" t="str">
        <f>IF($A1904="","",IF($I1904="weekly",$A1904+7,EDATE($A1904,VLOOKUP($I1904,Ref!$B$24:$C$29,2,0))))</f>
        <v/>
      </c>
      <c r="Z1904" s="536" t="str">
        <f t="shared" si="783"/>
        <v/>
      </c>
      <c r="AA1904" s="531">
        <f t="shared" si="784"/>
        <v>0</v>
      </c>
      <c r="AB1904" s="535" t="str">
        <f t="shared" si="772"/>
        <v/>
      </c>
      <c r="AC1904" s="537" t="str">
        <f t="shared" si="773"/>
        <v/>
      </c>
      <c r="AD1904" s="538" t="str">
        <f t="shared" ca="1" si="774"/>
        <v/>
      </c>
      <c r="AE1904" s="537">
        <f t="shared" ca="1" si="775"/>
        <v>0</v>
      </c>
      <c r="AF1904" s="539" t="str">
        <f t="shared" ca="1" si="785"/>
        <v/>
      </c>
      <c r="AG1904" s="531" t="str">
        <f t="shared" ca="1" si="786"/>
        <v/>
      </c>
      <c r="AH1904" s="531" t="str">
        <f t="shared" ca="1" si="787"/>
        <v/>
      </c>
      <c r="AI1904" s="531" t="str">
        <f t="shared" ca="1" si="788"/>
        <v/>
      </c>
      <c r="AJ1904" s="531" t="str">
        <f t="shared" si="789"/>
        <v/>
      </c>
      <c r="AK1904" s="540">
        <f>SUMIFS('Live Collections'!$S:$S,'Live Collections'!$D:$D,Disbursements!B1904,'Live Collections'!$G:$G,Disbursements!C1904)</f>
        <v>0</v>
      </c>
      <c r="AL1904" s="540">
        <f>SUMIFS('Live Collections'!$T:$T,'Live Collections'!$D:$D,Disbursements!B1904,'Live Collections'!$G:$G,Disbursements!C1904)</f>
        <v>0</v>
      </c>
      <c r="AM1904" s="541">
        <f t="shared" si="790"/>
        <v>0</v>
      </c>
      <c r="AN1904" s="542" t="str">
        <f t="shared" si="791"/>
        <v/>
      </c>
      <c r="AO1904" s="542" t="str">
        <f t="shared" si="792"/>
        <v/>
      </c>
      <c r="AP1904" s="543" t="str">
        <f t="shared" si="793"/>
        <v/>
      </c>
      <c r="AQ1904" s="544" t="str">
        <f t="shared" si="794"/>
        <v/>
      </c>
      <c r="AR1904" s="545">
        <f t="shared" si="795"/>
        <v>0</v>
      </c>
      <c r="AS1904" s="545">
        <f>IFERROR(CEILING($AR1904*VLOOKUP($I1904,Ref!$B$23:$E$29,4,0),1),0)</f>
        <v>0</v>
      </c>
      <c r="AT1904" s="545" t="str">
        <f>IF(A1904="","",IF(AP1904&lt;=1,"Cleared",IF(AS1904=0,"Clean",VLOOKUP($AS1904,Ref!$G$23:$H$28,2))))</f>
        <v/>
      </c>
      <c r="AU1904" s="546" t="str">
        <f t="shared" si="796"/>
        <v/>
      </c>
    </row>
    <row r="1905" spans="1:47" ht="14.25" hidden="1" customHeight="1" x14ac:dyDescent="0.15">
      <c r="A1905" s="575"/>
      <c r="B1905" s="548"/>
      <c r="C1905" s="548"/>
      <c r="D1905" s="548"/>
      <c r="E1905" s="583"/>
      <c r="F1905" s="584"/>
      <c r="G1905" s="548"/>
      <c r="H1905" s="550"/>
      <c r="I1905" s="560"/>
      <c r="J1905" s="548"/>
      <c r="K1905" s="528" t="str">
        <f>IFERROR(VLOOKUP($B1905,'Clients-Live'!$A:$C,3,0),"")</f>
        <v/>
      </c>
      <c r="L1905" s="528">
        <f>IF(E1905="STL",Pricing!$D$38,IF(A1905="",0,IF(A1905&lt;Pricing!$C$25,Pricing!$D$25,VLOOKUP(Disbursements!$F1905,Pricing!$B$29:$D$32,3))))</f>
        <v>0</v>
      </c>
      <c r="M1905" s="528">
        <f>IF(E1905="STL",0,IF(F1905&gt;0,Pricing!$D$21,0))</f>
        <v>0</v>
      </c>
      <c r="N1905" s="529">
        <f>IF(E1905="STL",F1905*Pricing!$D$40,IF(A1905&lt;=Pricing!$C$4,0,IF(AND(A1905&gt;Pricing!$C$4,Disbursements!A1905&lt;=Pricing!$C$5),F1905*Pricing!$E$5,IF(AND(A1905&gt;Pricing!$C$5,Disbursements!A1905&lt;=Pricing!$C$7),VLOOKUP(F1905,Pricing!$D$7:$E$8,2)*Disbursements!F1905,F1905*Pricing!$E$9))))</f>
        <v>0</v>
      </c>
      <c r="O1905" s="528">
        <f>IF(E1905="STL",0,IF($F1905&gt;0,$F1905*Pricing!$D$17,0))</f>
        <v>0</v>
      </c>
      <c r="P1905" s="530" t="str">
        <f t="shared" si="776"/>
        <v/>
      </c>
      <c r="Q1905" s="531" t="str">
        <f>IF($A1905="","",$G1905/VLOOKUP($I1905,Ref!$B$23:$D$29,2,0))</f>
        <v/>
      </c>
      <c r="R1905" s="530" t="str">
        <f t="shared" si="777"/>
        <v/>
      </c>
      <c r="S1905" s="532" t="str">
        <f t="shared" si="771"/>
        <v/>
      </c>
      <c r="T1905" s="531" t="str">
        <f t="shared" si="778"/>
        <v/>
      </c>
      <c r="U1905" s="533">
        <f t="shared" si="779"/>
        <v>0</v>
      </c>
      <c r="V1905" s="531" t="str">
        <f t="shared" si="780"/>
        <v/>
      </c>
      <c r="W1905" s="531" t="str">
        <f t="shared" si="781"/>
        <v/>
      </c>
      <c r="X1905" s="534" t="str">
        <f t="shared" si="782"/>
        <v/>
      </c>
      <c r="Y1905" s="535" t="str">
        <f>IF($A1905="","",IF($I1905="weekly",$A1905+7,EDATE($A1905,VLOOKUP($I1905,Ref!$B$24:$C$29,2,0))))</f>
        <v/>
      </c>
      <c r="Z1905" s="536" t="str">
        <f t="shared" si="783"/>
        <v/>
      </c>
      <c r="AA1905" s="531">
        <f t="shared" si="784"/>
        <v>0</v>
      </c>
      <c r="AB1905" s="535" t="str">
        <f t="shared" si="772"/>
        <v/>
      </c>
      <c r="AC1905" s="537" t="str">
        <f t="shared" si="773"/>
        <v/>
      </c>
      <c r="AD1905" s="538" t="str">
        <f t="shared" ca="1" si="774"/>
        <v/>
      </c>
      <c r="AE1905" s="537">
        <f t="shared" ca="1" si="775"/>
        <v>0</v>
      </c>
      <c r="AF1905" s="539" t="str">
        <f t="shared" ca="1" si="785"/>
        <v/>
      </c>
      <c r="AG1905" s="531" t="str">
        <f t="shared" ca="1" si="786"/>
        <v/>
      </c>
      <c r="AH1905" s="531" t="str">
        <f t="shared" ca="1" si="787"/>
        <v/>
      </c>
      <c r="AI1905" s="531" t="str">
        <f t="shared" ca="1" si="788"/>
        <v/>
      </c>
      <c r="AJ1905" s="531" t="str">
        <f t="shared" si="789"/>
        <v/>
      </c>
      <c r="AK1905" s="540">
        <f>SUMIFS('Live Collections'!$S:$S,'Live Collections'!$D:$D,Disbursements!B1905,'Live Collections'!$G:$G,Disbursements!C1905)</f>
        <v>0</v>
      </c>
      <c r="AL1905" s="540">
        <f>SUMIFS('Live Collections'!$T:$T,'Live Collections'!$D:$D,Disbursements!B1905,'Live Collections'!$G:$G,Disbursements!C1905)</f>
        <v>0</v>
      </c>
      <c r="AM1905" s="541">
        <f t="shared" si="790"/>
        <v>0</v>
      </c>
      <c r="AN1905" s="542" t="str">
        <f t="shared" si="791"/>
        <v/>
      </c>
      <c r="AO1905" s="542" t="str">
        <f t="shared" si="792"/>
        <v/>
      </c>
      <c r="AP1905" s="543" t="str">
        <f t="shared" si="793"/>
        <v/>
      </c>
      <c r="AQ1905" s="544" t="str">
        <f t="shared" si="794"/>
        <v/>
      </c>
      <c r="AR1905" s="545">
        <f t="shared" si="795"/>
        <v>0</v>
      </c>
      <c r="AS1905" s="545">
        <f>IFERROR(CEILING($AR1905*VLOOKUP($I1905,Ref!$B$23:$E$29,4,0),1),0)</f>
        <v>0</v>
      </c>
      <c r="AT1905" s="545" t="str">
        <f>IF(A1905="","",IF(AP1905&lt;=1,"Cleared",IF(AS1905=0,"Clean",VLOOKUP($AS1905,Ref!$G$23:$H$28,2))))</f>
        <v/>
      </c>
      <c r="AU1905" s="546" t="str">
        <f t="shared" si="796"/>
        <v/>
      </c>
    </row>
    <row r="1906" spans="1:47" ht="14.25" hidden="1" customHeight="1" x14ac:dyDescent="0.15">
      <c r="A1906" s="575"/>
      <c r="B1906" s="548"/>
      <c r="C1906" s="548"/>
      <c r="D1906" s="548"/>
      <c r="E1906" s="583"/>
      <c r="F1906" s="584"/>
      <c r="G1906" s="548"/>
      <c r="H1906" s="550"/>
      <c r="I1906" s="560"/>
      <c r="J1906" s="548"/>
      <c r="K1906" s="528" t="str">
        <f>IFERROR(VLOOKUP($B1906,'Clients-Live'!$A:$C,3,0),"")</f>
        <v/>
      </c>
      <c r="L1906" s="528">
        <f>IF(E1906="STL",Pricing!$D$38,IF(A1906="",0,IF(A1906&lt;Pricing!$C$25,Pricing!$D$25,VLOOKUP(Disbursements!$F1906,Pricing!$B$29:$D$32,3))))</f>
        <v>0</v>
      </c>
      <c r="M1906" s="528">
        <f>IF(E1906="STL",0,IF(F1906&gt;0,Pricing!$D$21,0))</f>
        <v>0</v>
      </c>
      <c r="N1906" s="529">
        <f>IF(E1906="STL",F1906*Pricing!$D$40,IF(A1906&lt;=Pricing!$C$4,0,IF(AND(A1906&gt;Pricing!$C$4,Disbursements!A1906&lt;=Pricing!$C$5),F1906*Pricing!$E$5,IF(AND(A1906&gt;Pricing!$C$5,Disbursements!A1906&lt;=Pricing!$C$7),VLOOKUP(F1906,Pricing!$D$7:$E$8,2)*Disbursements!F1906,F1906*Pricing!$E$9))))</f>
        <v>0</v>
      </c>
      <c r="O1906" s="528">
        <f>IF(E1906="STL",0,IF($F1906&gt;0,$F1906*Pricing!$D$17,0))</f>
        <v>0</v>
      </c>
      <c r="P1906" s="530" t="str">
        <f t="shared" si="776"/>
        <v/>
      </c>
      <c r="Q1906" s="531" t="str">
        <f>IF($A1906="","",$G1906/VLOOKUP($I1906,Ref!$B$23:$D$29,2,0))</f>
        <v/>
      </c>
      <c r="R1906" s="530" t="str">
        <f t="shared" si="777"/>
        <v/>
      </c>
      <c r="S1906" s="532" t="str">
        <f t="shared" si="771"/>
        <v/>
      </c>
      <c r="T1906" s="531" t="str">
        <f t="shared" si="778"/>
        <v/>
      </c>
      <c r="U1906" s="533">
        <f t="shared" si="779"/>
        <v>0</v>
      </c>
      <c r="V1906" s="531" t="str">
        <f t="shared" si="780"/>
        <v/>
      </c>
      <c r="W1906" s="531" t="str">
        <f t="shared" si="781"/>
        <v/>
      </c>
      <c r="X1906" s="534" t="str">
        <f t="shared" si="782"/>
        <v/>
      </c>
      <c r="Y1906" s="535" t="str">
        <f>IF($A1906="","",IF($I1906="weekly",$A1906+7,EDATE($A1906,VLOOKUP($I1906,Ref!$B$24:$C$29,2,0))))</f>
        <v/>
      </c>
      <c r="Z1906" s="536" t="str">
        <f t="shared" si="783"/>
        <v/>
      </c>
      <c r="AA1906" s="531">
        <f t="shared" si="784"/>
        <v>0</v>
      </c>
      <c r="AB1906" s="535" t="str">
        <f t="shared" si="772"/>
        <v/>
      </c>
      <c r="AC1906" s="537" t="str">
        <f t="shared" si="773"/>
        <v/>
      </c>
      <c r="AD1906" s="538" t="str">
        <f t="shared" ca="1" si="774"/>
        <v/>
      </c>
      <c r="AE1906" s="537">
        <f t="shared" ca="1" si="775"/>
        <v>0</v>
      </c>
      <c r="AF1906" s="539" t="str">
        <f t="shared" ca="1" si="785"/>
        <v/>
      </c>
      <c r="AG1906" s="531" t="str">
        <f t="shared" ca="1" si="786"/>
        <v/>
      </c>
      <c r="AH1906" s="531" t="str">
        <f t="shared" ca="1" si="787"/>
        <v/>
      </c>
      <c r="AI1906" s="531" t="str">
        <f t="shared" ca="1" si="788"/>
        <v/>
      </c>
      <c r="AJ1906" s="531" t="str">
        <f t="shared" si="789"/>
        <v/>
      </c>
      <c r="AK1906" s="540">
        <f>SUMIFS('Live Collections'!$S:$S,'Live Collections'!$D:$D,Disbursements!B1906,'Live Collections'!$G:$G,Disbursements!C1906)</f>
        <v>0</v>
      </c>
      <c r="AL1906" s="540">
        <f>SUMIFS('Live Collections'!$T:$T,'Live Collections'!$D:$D,Disbursements!B1906,'Live Collections'!$G:$G,Disbursements!C1906)</f>
        <v>0</v>
      </c>
      <c r="AM1906" s="541">
        <f t="shared" si="790"/>
        <v>0</v>
      </c>
      <c r="AN1906" s="542" t="str">
        <f t="shared" si="791"/>
        <v/>
      </c>
      <c r="AO1906" s="542" t="str">
        <f t="shared" si="792"/>
        <v/>
      </c>
      <c r="AP1906" s="543" t="str">
        <f t="shared" si="793"/>
        <v/>
      </c>
      <c r="AQ1906" s="544" t="str">
        <f t="shared" si="794"/>
        <v/>
      </c>
      <c r="AR1906" s="545">
        <f t="shared" si="795"/>
        <v>0</v>
      </c>
      <c r="AS1906" s="545">
        <f>IFERROR(CEILING($AR1906*VLOOKUP($I1906,Ref!$B$23:$E$29,4,0),1),0)</f>
        <v>0</v>
      </c>
      <c r="AT1906" s="545" t="str">
        <f>IF(A1906="","",IF(AP1906&lt;=1,"Cleared",IF(AS1906=0,"Clean",VLOOKUP($AS1906,Ref!$G$23:$H$28,2))))</f>
        <v/>
      </c>
      <c r="AU1906" s="546" t="str">
        <f t="shared" si="796"/>
        <v/>
      </c>
    </row>
    <row r="1907" spans="1:47" ht="14.25" hidden="1" customHeight="1" x14ac:dyDescent="0.15">
      <c r="A1907" s="575"/>
      <c r="B1907" s="548"/>
      <c r="C1907" s="548"/>
      <c r="D1907" s="548"/>
      <c r="E1907" s="583"/>
      <c r="F1907" s="584"/>
      <c r="G1907" s="548"/>
      <c r="H1907" s="550"/>
      <c r="I1907" s="560"/>
      <c r="J1907" s="548"/>
      <c r="K1907" s="528" t="str">
        <f>IFERROR(VLOOKUP($B1907,'Clients-Live'!$A:$C,3,0),"")</f>
        <v/>
      </c>
      <c r="L1907" s="528">
        <f>IF(E1907="STL",Pricing!$D$38,IF(A1907="",0,IF(A1907&lt;Pricing!$C$25,Pricing!$D$25,VLOOKUP(Disbursements!$F1907,Pricing!$B$29:$D$32,3))))</f>
        <v>0</v>
      </c>
      <c r="M1907" s="528">
        <f>IF(E1907="STL",0,IF(F1907&gt;0,Pricing!$D$21,0))</f>
        <v>0</v>
      </c>
      <c r="N1907" s="529">
        <f>IF(E1907="STL",F1907*Pricing!$D$40,IF(A1907&lt;=Pricing!$C$4,0,IF(AND(A1907&gt;Pricing!$C$4,Disbursements!A1907&lt;=Pricing!$C$5),F1907*Pricing!$E$5,IF(AND(A1907&gt;Pricing!$C$5,Disbursements!A1907&lt;=Pricing!$C$7),VLOOKUP(F1907,Pricing!$D$7:$E$8,2)*Disbursements!F1907,F1907*Pricing!$E$9))))</f>
        <v>0</v>
      </c>
      <c r="O1907" s="528">
        <f>IF(E1907="STL",0,IF($F1907&gt;0,$F1907*Pricing!$D$17,0))</f>
        <v>0</v>
      </c>
      <c r="P1907" s="530" t="str">
        <f t="shared" si="776"/>
        <v/>
      </c>
      <c r="Q1907" s="531" t="str">
        <f>IF($A1907="","",$G1907/VLOOKUP($I1907,Ref!$B$23:$D$29,2,0))</f>
        <v/>
      </c>
      <c r="R1907" s="530" t="str">
        <f t="shared" si="777"/>
        <v/>
      </c>
      <c r="S1907" s="532" t="str">
        <f t="shared" si="771"/>
        <v/>
      </c>
      <c r="T1907" s="531" t="str">
        <f t="shared" si="778"/>
        <v/>
      </c>
      <c r="U1907" s="533">
        <f t="shared" si="779"/>
        <v>0</v>
      </c>
      <c r="V1907" s="531" t="str">
        <f t="shared" si="780"/>
        <v/>
      </c>
      <c r="W1907" s="531" t="str">
        <f t="shared" si="781"/>
        <v/>
      </c>
      <c r="X1907" s="534" t="str">
        <f t="shared" si="782"/>
        <v/>
      </c>
      <c r="Y1907" s="535" t="str">
        <f>IF($A1907="","",IF($I1907="weekly",$A1907+7,EDATE($A1907,VLOOKUP($I1907,Ref!$B$24:$C$29,2,0))))</f>
        <v/>
      </c>
      <c r="Z1907" s="536" t="str">
        <f t="shared" si="783"/>
        <v/>
      </c>
      <c r="AA1907" s="531">
        <f t="shared" si="784"/>
        <v>0</v>
      </c>
      <c r="AB1907" s="535" t="str">
        <f t="shared" si="772"/>
        <v/>
      </c>
      <c r="AC1907" s="537" t="str">
        <f t="shared" si="773"/>
        <v/>
      </c>
      <c r="AD1907" s="538" t="str">
        <f t="shared" ca="1" si="774"/>
        <v/>
      </c>
      <c r="AE1907" s="537">
        <f t="shared" ca="1" si="775"/>
        <v>0</v>
      </c>
      <c r="AF1907" s="539" t="str">
        <f t="shared" ca="1" si="785"/>
        <v/>
      </c>
      <c r="AG1907" s="531" t="str">
        <f t="shared" ca="1" si="786"/>
        <v/>
      </c>
      <c r="AH1907" s="531" t="str">
        <f t="shared" ca="1" si="787"/>
        <v/>
      </c>
      <c r="AI1907" s="531" t="str">
        <f t="shared" ca="1" si="788"/>
        <v/>
      </c>
      <c r="AJ1907" s="531" t="str">
        <f t="shared" si="789"/>
        <v/>
      </c>
      <c r="AK1907" s="540">
        <f>SUMIFS('Live Collections'!$S:$S,'Live Collections'!$D:$D,Disbursements!B1907,'Live Collections'!$G:$G,Disbursements!C1907)</f>
        <v>0</v>
      </c>
      <c r="AL1907" s="540">
        <f>SUMIFS('Live Collections'!$T:$T,'Live Collections'!$D:$D,Disbursements!B1907,'Live Collections'!$G:$G,Disbursements!C1907)</f>
        <v>0</v>
      </c>
      <c r="AM1907" s="541">
        <f t="shared" si="790"/>
        <v>0</v>
      </c>
      <c r="AN1907" s="542" t="str">
        <f t="shared" si="791"/>
        <v/>
      </c>
      <c r="AO1907" s="542" t="str">
        <f t="shared" si="792"/>
        <v/>
      </c>
      <c r="AP1907" s="543" t="str">
        <f t="shared" si="793"/>
        <v/>
      </c>
      <c r="AQ1907" s="544" t="str">
        <f t="shared" si="794"/>
        <v/>
      </c>
      <c r="AR1907" s="545">
        <f t="shared" si="795"/>
        <v>0</v>
      </c>
      <c r="AS1907" s="545">
        <f>IFERROR(CEILING($AR1907*VLOOKUP($I1907,Ref!$B$23:$E$29,4,0),1),0)</f>
        <v>0</v>
      </c>
      <c r="AT1907" s="545" t="str">
        <f>IF(A1907="","",IF(AP1907&lt;=1,"Cleared",IF(AS1907=0,"Clean",VLOOKUP($AS1907,Ref!$G$23:$H$28,2))))</f>
        <v/>
      </c>
      <c r="AU1907" s="546" t="str">
        <f t="shared" si="796"/>
        <v/>
      </c>
    </row>
    <row r="1908" spans="1:47" ht="14.25" hidden="1" customHeight="1" x14ac:dyDescent="0.15">
      <c r="A1908" s="575"/>
      <c r="B1908" s="548"/>
      <c r="C1908" s="548"/>
      <c r="D1908" s="548"/>
      <c r="E1908" s="583"/>
      <c r="F1908" s="584"/>
      <c r="G1908" s="548"/>
      <c r="H1908" s="550"/>
      <c r="I1908" s="560"/>
      <c r="J1908" s="548"/>
      <c r="K1908" s="528" t="str">
        <f>IFERROR(VLOOKUP($B1908,'Clients-Live'!$A:$C,3,0),"")</f>
        <v/>
      </c>
      <c r="L1908" s="528">
        <f>IF(E1908="STL",Pricing!$D$38,IF(A1908="",0,IF(A1908&lt;Pricing!$C$25,Pricing!$D$25,VLOOKUP(Disbursements!$F1908,Pricing!$B$29:$D$32,3))))</f>
        <v>0</v>
      </c>
      <c r="M1908" s="528">
        <f>IF(E1908="STL",0,IF(F1908&gt;0,Pricing!$D$21,0))</f>
        <v>0</v>
      </c>
      <c r="N1908" s="529">
        <f>IF(E1908="STL",F1908*Pricing!$D$40,IF(A1908&lt;=Pricing!$C$4,0,IF(AND(A1908&gt;Pricing!$C$4,Disbursements!A1908&lt;=Pricing!$C$5),F1908*Pricing!$E$5,IF(AND(A1908&gt;Pricing!$C$5,Disbursements!A1908&lt;=Pricing!$C$7),VLOOKUP(F1908,Pricing!$D$7:$E$8,2)*Disbursements!F1908,F1908*Pricing!$E$9))))</f>
        <v>0</v>
      </c>
      <c r="O1908" s="528">
        <f>IF(E1908="STL",0,IF($F1908&gt;0,$F1908*Pricing!$D$17,0))</f>
        <v>0</v>
      </c>
      <c r="P1908" s="530" t="str">
        <f t="shared" si="776"/>
        <v/>
      </c>
      <c r="Q1908" s="531" t="str">
        <f>IF($A1908="","",$G1908/VLOOKUP($I1908,Ref!$B$23:$D$29,2,0))</f>
        <v/>
      </c>
      <c r="R1908" s="530" t="str">
        <f t="shared" si="777"/>
        <v/>
      </c>
      <c r="S1908" s="532" t="str">
        <f t="shared" si="771"/>
        <v/>
      </c>
      <c r="T1908" s="531" t="str">
        <f t="shared" si="778"/>
        <v/>
      </c>
      <c r="U1908" s="533">
        <f t="shared" si="779"/>
        <v>0</v>
      </c>
      <c r="V1908" s="531" t="str">
        <f t="shared" si="780"/>
        <v/>
      </c>
      <c r="W1908" s="531" t="str">
        <f t="shared" si="781"/>
        <v/>
      </c>
      <c r="X1908" s="534" t="str">
        <f t="shared" si="782"/>
        <v/>
      </c>
      <c r="Y1908" s="535" t="str">
        <f>IF($A1908="","",IF($I1908="weekly",$A1908+7,EDATE($A1908,VLOOKUP($I1908,Ref!$B$24:$C$29,2,0))))</f>
        <v/>
      </c>
      <c r="Z1908" s="536" t="str">
        <f t="shared" si="783"/>
        <v/>
      </c>
      <c r="AA1908" s="531">
        <f t="shared" si="784"/>
        <v>0</v>
      </c>
      <c r="AB1908" s="535" t="str">
        <f t="shared" si="772"/>
        <v/>
      </c>
      <c r="AC1908" s="537" t="str">
        <f t="shared" si="773"/>
        <v/>
      </c>
      <c r="AD1908" s="538" t="str">
        <f t="shared" ca="1" si="774"/>
        <v/>
      </c>
      <c r="AE1908" s="537">
        <f t="shared" ca="1" si="775"/>
        <v>0</v>
      </c>
      <c r="AF1908" s="539" t="str">
        <f t="shared" ca="1" si="785"/>
        <v/>
      </c>
      <c r="AG1908" s="531" t="str">
        <f t="shared" ca="1" si="786"/>
        <v/>
      </c>
      <c r="AH1908" s="531" t="str">
        <f t="shared" ca="1" si="787"/>
        <v/>
      </c>
      <c r="AI1908" s="531" t="str">
        <f t="shared" ca="1" si="788"/>
        <v/>
      </c>
      <c r="AJ1908" s="531" t="str">
        <f t="shared" si="789"/>
        <v/>
      </c>
      <c r="AK1908" s="540">
        <f>SUMIFS('Live Collections'!$S:$S,'Live Collections'!$D:$D,Disbursements!B1908,'Live Collections'!$G:$G,Disbursements!C1908)</f>
        <v>0</v>
      </c>
      <c r="AL1908" s="540">
        <f>SUMIFS('Live Collections'!$T:$T,'Live Collections'!$D:$D,Disbursements!B1908,'Live Collections'!$G:$G,Disbursements!C1908)</f>
        <v>0</v>
      </c>
      <c r="AM1908" s="541">
        <f t="shared" si="790"/>
        <v>0</v>
      </c>
      <c r="AN1908" s="542" t="str">
        <f t="shared" si="791"/>
        <v/>
      </c>
      <c r="AO1908" s="542" t="str">
        <f t="shared" si="792"/>
        <v/>
      </c>
      <c r="AP1908" s="543" t="str">
        <f t="shared" si="793"/>
        <v/>
      </c>
      <c r="AQ1908" s="544" t="str">
        <f t="shared" si="794"/>
        <v/>
      </c>
      <c r="AR1908" s="545">
        <f t="shared" si="795"/>
        <v>0</v>
      </c>
      <c r="AS1908" s="545">
        <f>IFERROR(CEILING($AR1908*VLOOKUP($I1908,Ref!$B$23:$E$29,4,0),1),0)</f>
        <v>0</v>
      </c>
      <c r="AT1908" s="545" t="str">
        <f>IF(A1908="","",IF(AP1908&lt;=1,"Cleared",IF(AS1908=0,"Clean",VLOOKUP($AS1908,Ref!$G$23:$H$28,2))))</f>
        <v/>
      </c>
      <c r="AU1908" s="546" t="str">
        <f t="shared" si="796"/>
        <v/>
      </c>
    </row>
    <row r="1909" spans="1:47" ht="14.25" hidden="1" customHeight="1" x14ac:dyDescent="0.15">
      <c r="A1909" s="575"/>
      <c r="B1909" s="548"/>
      <c r="C1909" s="548"/>
      <c r="D1909" s="548"/>
      <c r="E1909" s="583"/>
      <c r="F1909" s="584"/>
      <c r="G1909" s="548"/>
      <c r="H1909" s="550"/>
      <c r="I1909" s="560"/>
      <c r="J1909" s="548"/>
      <c r="K1909" s="528" t="str">
        <f>IFERROR(VLOOKUP($B1909,'Clients-Live'!$A:$C,3,0),"")</f>
        <v/>
      </c>
      <c r="L1909" s="528">
        <f>IF(E1909="STL",Pricing!$D$38,IF(A1909="",0,IF(A1909&lt;Pricing!$C$25,Pricing!$D$25,VLOOKUP(Disbursements!$F1909,Pricing!$B$29:$D$32,3))))</f>
        <v>0</v>
      </c>
      <c r="M1909" s="528">
        <f>IF(E1909="STL",0,IF(F1909&gt;0,Pricing!$D$21,0))</f>
        <v>0</v>
      </c>
      <c r="N1909" s="529">
        <f>IF(E1909="STL",F1909*Pricing!$D$40,IF(A1909&lt;=Pricing!$C$4,0,IF(AND(A1909&gt;Pricing!$C$4,Disbursements!A1909&lt;=Pricing!$C$5),F1909*Pricing!$E$5,IF(AND(A1909&gt;Pricing!$C$5,Disbursements!A1909&lt;=Pricing!$C$7),VLOOKUP(F1909,Pricing!$D$7:$E$8,2)*Disbursements!F1909,F1909*Pricing!$E$9))))</f>
        <v>0</v>
      </c>
      <c r="O1909" s="528">
        <f>IF(E1909="STL",0,IF($F1909&gt;0,$F1909*Pricing!$D$17,0))</f>
        <v>0</v>
      </c>
      <c r="P1909" s="530" t="str">
        <f t="shared" si="776"/>
        <v/>
      </c>
      <c r="Q1909" s="531" t="str">
        <f>IF($A1909="","",$G1909/VLOOKUP($I1909,Ref!$B$23:$D$29,2,0))</f>
        <v/>
      </c>
      <c r="R1909" s="530" t="str">
        <f t="shared" si="777"/>
        <v/>
      </c>
      <c r="S1909" s="532" t="str">
        <f t="shared" si="771"/>
        <v/>
      </c>
      <c r="T1909" s="531" t="str">
        <f t="shared" si="778"/>
        <v/>
      </c>
      <c r="U1909" s="533">
        <f t="shared" si="779"/>
        <v>0</v>
      </c>
      <c r="V1909" s="531" t="str">
        <f t="shared" si="780"/>
        <v/>
      </c>
      <c r="W1909" s="531" t="str">
        <f t="shared" si="781"/>
        <v/>
      </c>
      <c r="X1909" s="534" t="str">
        <f t="shared" si="782"/>
        <v/>
      </c>
      <c r="Y1909" s="535" t="str">
        <f>IF($A1909="","",IF($I1909="weekly",$A1909+7,EDATE($A1909,VLOOKUP($I1909,Ref!$B$24:$C$29,2,0))))</f>
        <v/>
      </c>
      <c r="Z1909" s="536" t="str">
        <f t="shared" si="783"/>
        <v/>
      </c>
      <c r="AA1909" s="531">
        <f t="shared" si="784"/>
        <v>0</v>
      </c>
      <c r="AB1909" s="535" t="str">
        <f t="shared" si="772"/>
        <v/>
      </c>
      <c r="AC1909" s="537" t="str">
        <f t="shared" si="773"/>
        <v/>
      </c>
      <c r="AD1909" s="538" t="str">
        <f t="shared" ca="1" si="774"/>
        <v/>
      </c>
      <c r="AE1909" s="537">
        <f t="shared" ca="1" si="775"/>
        <v>0</v>
      </c>
      <c r="AF1909" s="539" t="str">
        <f t="shared" ca="1" si="785"/>
        <v/>
      </c>
      <c r="AG1909" s="531" t="str">
        <f t="shared" ca="1" si="786"/>
        <v/>
      </c>
      <c r="AH1909" s="531" t="str">
        <f t="shared" ca="1" si="787"/>
        <v/>
      </c>
      <c r="AI1909" s="531" t="str">
        <f t="shared" ca="1" si="788"/>
        <v/>
      </c>
      <c r="AJ1909" s="531" t="str">
        <f t="shared" si="789"/>
        <v/>
      </c>
      <c r="AK1909" s="540">
        <f>SUMIFS('Live Collections'!$S:$S,'Live Collections'!$D:$D,Disbursements!B1909,'Live Collections'!$G:$G,Disbursements!C1909)</f>
        <v>0</v>
      </c>
      <c r="AL1909" s="540">
        <f>SUMIFS('Live Collections'!$T:$T,'Live Collections'!$D:$D,Disbursements!B1909,'Live Collections'!$G:$G,Disbursements!C1909)</f>
        <v>0</v>
      </c>
      <c r="AM1909" s="541">
        <f t="shared" si="790"/>
        <v>0</v>
      </c>
      <c r="AN1909" s="542" t="str">
        <f t="shared" si="791"/>
        <v/>
      </c>
      <c r="AO1909" s="542" t="str">
        <f t="shared" si="792"/>
        <v/>
      </c>
      <c r="AP1909" s="543" t="str">
        <f t="shared" si="793"/>
        <v/>
      </c>
      <c r="AQ1909" s="544" t="str">
        <f t="shared" si="794"/>
        <v/>
      </c>
      <c r="AR1909" s="545">
        <f t="shared" si="795"/>
        <v>0</v>
      </c>
      <c r="AS1909" s="545">
        <f>IFERROR(CEILING($AR1909*VLOOKUP($I1909,Ref!$B$23:$E$29,4,0),1),0)</f>
        <v>0</v>
      </c>
      <c r="AT1909" s="545" t="str">
        <f>IF(A1909="","",IF(AP1909&lt;=1,"Cleared",IF(AS1909=0,"Clean",VLOOKUP($AS1909,Ref!$G$23:$H$28,2))))</f>
        <v/>
      </c>
      <c r="AU1909" s="546" t="str">
        <f t="shared" si="796"/>
        <v/>
      </c>
    </row>
    <row r="1910" spans="1:47" ht="14.25" hidden="1" customHeight="1" x14ac:dyDescent="0.15">
      <c r="A1910" s="575"/>
      <c r="B1910" s="548"/>
      <c r="C1910" s="548"/>
      <c r="D1910" s="548"/>
      <c r="E1910" s="583"/>
      <c r="F1910" s="584"/>
      <c r="G1910" s="548"/>
      <c r="H1910" s="550"/>
      <c r="I1910" s="560"/>
      <c r="J1910" s="548"/>
      <c r="K1910" s="528" t="str">
        <f>IFERROR(VLOOKUP($B1910,'Clients-Live'!$A:$C,3,0),"")</f>
        <v/>
      </c>
      <c r="L1910" s="528">
        <f>IF(E1910="STL",Pricing!$D$38,IF(A1910="",0,IF(A1910&lt;Pricing!$C$25,Pricing!$D$25,VLOOKUP(Disbursements!$F1910,Pricing!$B$29:$D$32,3))))</f>
        <v>0</v>
      </c>
      <c r="M1910" s="528">
        <f>IF(E1910="STL",0,IF(F1910&gt;0,Pricing!$D$21,0))</f>
        <v>0</v>
      </c>
      <c r="N1910" s="529">
        <f>IF(E1910="STL",F1910*Pricing!$D$40,IF(A1910&lt;=Pricing!$C$4,0,IF(AND(A1910&gt;Pricing!$C$4,Disbursements!A1910&lt;=Pricing!$C$5),F1910*Pricing!$E$5,IF(AND(A1910&gt;Pricing!$C$5,Disbursements!A1910&lt;=Pricing!$C$7),VLOOKUP(F1910,Pricing!$D$7:$E$8,2)*Disbursements!F1910,F1910*Pricing!$E$9))))</f>
        <v>0</v>
      </c>
      <c r="O1910" s="528">
        <f>IF(E1910="STL",0,IF($F1910&gt;0,$F1910*Pricing!$D$17,0))</f>
        <v>0</v>
      </c>
      <c r="P1910" s="530" t="str">
        <f t="shared" si="776"/>
        <v/>
      </c>
      <c r="Q1910" s="531" t="str">
        <f>IF($A1910="","",$G1910/VLOOKUP($I1910,Ref!$B$23:$D$29,2,0))</f>
        <v/>
      </c>
      <c r="R1910" s="530" t="str">
        <f t="shared" si="777"/>
        <v/>
      </c>
      <c r="S1910" s="532" t="str">
        <f t="shared" si="771"/>
        <v/>
      </c>
      <c r="T1910" s="531" t="str">
        <f t="shared" si="778"/>
        <v/>
      </c>
      <c r="U1910" s="533">
        <f t="shared" si="779"/>
        <v>0</v>
      </c>
      <c r="V1910" s="531" t="str">
        <f t="shared" si="780"/>
        <v/>
      </c>
      <c r="W1910" s="531" t="str">
        <f t="shared" si="781"/>
        <v/>
      </c>
      <c r="X1910" s="534" t="str">
        <f t="shared" si="782"/>
        <v/>
      </c>
      <c r="Y1910" s="535" t="str">
        <f>IF($A1910="","",IF($I1910="weekly",$A1910+7,EDATE($A1910,VLOOKUP($I1910,Ref!$B$24:$C$29,2,0))))</f>
        <v/>
      </c>
      <c r="Z1910" s="536" t="str">
        <f t="shared" si="783"/>
        <v/>
      </c>
      <c r="AA1910" s="531">
        <f t="shared" si="784"/>
        <v>0</v>
      </c>
      <c r="AB1910" s="535" t="str">
        <f t="shared" si="772"/>
        <v/>
      </c>
      <c r="AC1910" s="537" t="str">
        <f t="shared" si="773"/>
        <v/>
      </c>
      <c r="AD1910" s="538" t="str">
        <f t="shared" ca="1" si="774"/>
        <v/>
      </c>
      <c r="AE1910" s="537">
        <f t="shared" ca="1" si="775"/>
        <v>0</v>
      </c>
      <c r="AF1910" s="539" t="str">
        <f t="shared" ca="1" si="785"/>
        <v/>
      </c>
      <c r="AG1910" s="531" t="str">
        <f t="shared" ca="1" si="786"/>
        <v/>
      </c>
      <c r="AH1910" s="531" t="str">
        <f t="shared" ca="1" si="787"/>
        <v/>
      </c>
      <c r="AI1910" s="531" t="str">
        <f t="shared" ca="1" si="788"/>
        <v/>
      </c>
      <c r="AJ1910" s="531" t="str">
        <f t="shared" si="789"/>
        <v/>
      </c>
      <c r="AK1910" s="540">
        <f>SUMIFS('Live Collections'!$S:$S,'Live Collections'!$D:$D,Disbursements!B1910,'Live Collections'!$G:$G,Disbursements!C1910)</f>
        <v>0</v>
      </c>
      <c r="AL1910" s="540">
        <f>SUMIFS('Live Collections'!$T:$T,'Live Collections'!$D:$D,Disbursements!B1910,'Live Collections'!$G:$G,Disbursements!C1910)</f>
        <v>0</v>
      </c>
      <c r="AM1910" s="541">
        <f t="shared" si="790"/>
        <v>0</v>
      </c>
      <c r="AN1910" s="542" t="str">
        <f t="shared" si="791"/>
        <v/>
      </c>
      <c r="AO1910" s="542" t="str">
        <f t="shared" si="792"/>
        <v/>
      </c>
      <c r="AP1910" s="543" t="str">
        <f t="shared" si="793"/>
        <v/>
      </c>
      <c r="AQ1910" s="544" t="str">
        <f t="shared" si="794"/>
        <v/>
      </c>
      <c r="AR1910" s="545">
        <f t="shared" si="795"/>
        <v>0</v>
      </c>
      <c r="AS1910" s="545">
        <f>IFERROR(CEILING($AR1910*VLOOKUP($I1910,Ref!$B$23:$E$29,4,0),1),0)</f>
        <v>0</v>
      </c>
      <c r="AT1910" s="545" t="str">
        <f>IF(A1910="","",IF(AP1910&lt;=1,"Cleared",IF(AS1910=0,"Clean",VLOOKUP($AS1910,Ref!$G$23:$H$28,2))))</f>
        <v/>
      </c>
      <c r="AU1910" s="546" t="str">
        <f t="shared" si="796"/>
        <v/>
      </c>
    </row>
    <row r="1911" spans="1:47" ht="14.25" hidden="1" customHeight="1" x14ac:dyDescent="0.15">
      <c r="A1911" s="575"/>
      <c r="B1911" s="548"/>
      <c r="C1911" s="548"/>
      <c r="D1911" s="548"/>
      <c r="E1911" s="583"/>
      <c r="F1911" s="584"/>
      <c r="G1911" s="548"/>
      <c r="H1911" s="550"/>
      <c r="I1911" s="560"/>
      <c r="J1911" s="548"/>
      <c r="K1911" s="528" t="str">
        <f>IFERROR(VLOOKUP($B1911,'Clients-Live'!$A:$C,3,0),"")</f>
        <v/>
      </c>
      <c r="L1911" s="528">
        <f>IF(E1911="STL",Pricing!$D$38,IF(A1911="",0,IF(A1911&lt;Pricing!$C$25,Pricing!$D$25,VLOOKUP(Disbursements!$F1911,Pricing!$B$29:$D$32,3))))</f>
        <v>0</v>
      </c>
      <c r="M1911" s="528">
        <f>IF(E1911="STL",0,IF(F1911&gt;0,Pricing!$D$21,0))</f>
        <v>0</v>
      </c>
      <c r="N1911" s="529">
        <f>IF(E1911="STL",F1911*Pricing!$D$40,IF(A1911&lt;=Pricing!$C$4,0,IF(AND(A1911&gt;Pricing!$C$4,Disbursements!A1911&lt;=Pricing!$C$5),F1911*Pricing!$E$5,IF(AND(A1911&gt;Pricing!$C$5,Disbursements!A1911&lt;=Pricing!$C$7),VLOOKUP(F1911,Pricing!$D$7:$E$8,2)*Disbursements!F1911,F1911*Pricing!$E$9))))</f>
        <v>0</v>
      </c>
      <c r="O1911" s="528">
        <f>IF(E1911="STL",0,IF($F1911&gt;0,$F1911*Pricing!$D$17,0))</f>
        <v>0</v>
      </c>
      <c r="P1911" s="530" t="str">
        <f t="shared" si="776"/>
        <v/>
      </c>
      <c r="Q1911" s="531" t="str">
        <f>IF($A1911="","",$G1911/VLOOKUP($I1911,Ref!$B$23:$D$29,2,0))</f>
        <v/>
      </c>
      <c r="R1911" s="530" t="str">
        <f t="shared" si="777"/>
        <v/>
      </c>
      <c r="S1911" s="532" t="str">
        <f t="shared" si="771"/>
        <v/>
      </c>
      <c r="T1911" s="531" t="str">
        <f t="shared" si="778"/>
        <v/>
      </c>
      <c r="U1911" s="533">
        <f t="shared" si="779"/>
        <v>0</v>
      </c>
      <c r="V1911" s="531" t="str">
        <f t="shared" si="780"/>
        <v/>
      </c>
      <c r="W1911" s="531" t="str">
        <f t="shared" si="781"/>
        <v/>
      </c>
      <c r="X1911" s="534" t="str">
        <f t="shared" si="782"/>
        <v/>
      </c>
      <c r="Y1911" s="535" t="str">
        <f>IF($A1911="","",IF($I1911="weekly",$A1911+7,EDATE($A1911,VLOOKUP($I1911,Ref!$B$24:$C$29,2,0))))</f>
        <v/>
      </c>
      <c r="Z1911" s="536" t="str">
        <f t="shared" si="783"/>
        <v/>
      </c>
      <c r="AA1911" s="531">
        <f t="shared" si="784"/>
        <v>0</v>
      </c>
      <c r="AB1911" s="535" t="str">
        <f t="shared" si="772"/>
        <v/>
      </c>
      <c r="AC1911" s="537" t="str">
        <f t="shared" si="773"/>
        <v/>
      </c>
      <c r="AD1911" s="538" t="str">
        <f t="shared" ca="1" si="774"/>
        <v/>
      </c>
      <c r="AE1911" s="537">
        <f t="shared" ca="1" si="775"/>
        <v>0</v>
      </c>
      <c r="AF1911" s="539" t="str">
        <f t="shared" ca="1" si="785"/>
        <v/>
      </c>
      <c r="AG1911" s="531" t="str">
        <f t="shared" ca="1" si="786"/>
        <v/>
      </c>
      <c r="AH1911" s="531" t="str">
        <f t="shared" ca="1" si="787"/>
        <v/>
      </c>
      <c r="AI1911" s="531" t="str">
        <f t="shared" ca="1" si="788"/>
        <v/>
      </c>
      <c r="AJ1911" s="531" t="str">
        <f t="shared" si="789"/>
        <v/>
      </c>
      <c r="AK1911" s="540">
        <f>SUMIFS('Live Collections'!$S:$S,'Live Collections'!$D:$D,Disbursements!B1911,'Live Collections'!$G:$G,Disbursements!C1911)</f>
        <v>0</v>
      </c>
      <c r="AL1911" s="540">
        <f>SUMIFS('Live Collections'!$T:$T,'Live Collections'!$D:$D,Disbursements!B1911,'Live Collections'!$G:$G,Disbursements!C1911)</f>
        <v>0</v>
      </c>
      <c r="AM1911" s="541">
        <f t="shared" si="790"/>
        <v>0</v>
      </c>
      <c r="AN1911" s="542" t="str">
        <f t="shared" si="791"/>
        <v/>
      </c>
      <c r="AO1911" s="542" t="str">
        <f t="shared" si="792"/>
        <v/>
      </c>
      <c r="AP1911" s="543" t="str">
        <f t="shared" si="793"/>
        <v/>
      </c>
      <c r="AQ1911" s="544" t="str">
        <f t="shared" si="794"/>
        <v/>
      </c>
      <c r="AR1911" s="545">
        <f t="shared" si="795"/>
        <v>0</v>
      </c>
      <c r="AS1911" s="545">
        <f>IFERROR(CEILING($AR1911*VLOOKUP($I1911,Ref!$B$23:$E$29,4,0),1),0)</f>
        <v>0</v>
      </c>
      <c r="AT1911" s="545" t="str">
        <f>IF(A1911="","",IF(AP1911&lt;=1,"Cleared",IF(AS1911=0,"Clean",VLOOKUP($AS1911,Ref!$G$23:$H$28,2))))</f>
        <v/>
      </c>
      <c r="AU1911" s="546" t="str">
        <f t="shared" si="796"/>
        <v/>
      </c>
    </row>
    <row r="1912" spans="1:47" ht="14.25" hidden="1" customHeight="1" x14ac:dyDescent="0.15">
      <c r="A1912" s="575"/>
      <c r="B1912" s="548"/>
      <c r="C1912" s="548"/>
      <c r="D1912" s="548"/>
      <c r="E1912" s="583"/>
      <c r="F1912" s="584"/>
      <c r="G1912" s="548"/>
      <c r="H1912" s="550"/>
      <c r="I1912" s="560"/>
      <c r="J1912" s="548"/>
      <c r="K1912" s="528" t="str">
        <f>IFERROR(VLOOKUP($B1912,'Clients-Live'!$A:$C,3,0),"")</f>
        <v/>
      </c>
      <c r="L1912" s="528">
        <f>IF(E1912="STL",Pricing!$D$38,IF(A1912="",0,IF(A1912&lt;Pricing!$C$25,Pricing!$D$25,VLOOKUP(Disbursements!$F1912,Pricing!$B$29:$D$32,3))))</f>
        <v>0</v>
      </c>
      <c r="M1912" s="528">
        <f>IF(E1912="STL",0,IF(F1912&gt;0,Pricing!$D$21,0))</f>
        <v>0</v>
      </c>
      <c r="N1912" s="529">
        <f>IF(E1912="STL",F1912*Pricing!$D$40,IF(A1912&lt;=Pricing!$C$4,0,IF(AND(A1912&gt;Pricing!$C$4,Disbursements!A1912&lt;=Pricing!$C$5),F1912*Pricing!$E$5,IF(AND(A1912&gt;Pricing!$C$5,Disbursements!A1912&lt;=Pricing!$C$7),VLOOKUP(F1912,Pricing!$D$7:$E$8,2)*Disbursements!F1912,F1912*Pricing!$E$9))))</f>
        <v>0</v>
      </c>
      <c r="O1912" s="528">
        <f>IF(E1912="STL",0,IF($F1912&gt;0,$F1912*Pricing!$D$17,0))</f>
        <v>0</v>
      </c>
      <c r="P1912" s="530" t="str">
        <f t="shared" si="776"/>
        <v/>
      </c>
      <c r="Q1912" s="531" t="str">
        <f>IF($A1912="","",$G1912/VLOOKUP($I1912,Ref!$B$23:$D$29,2,0))</f>
        <v/>
      </c>
      <c r="R1912" s="530" t="str">
        <f t="shared" si="777"/>
        <v/>
      </c>
      <c r="S1912" s="532" t="str">
        <f t="shared" si="771"/>
        <v/>
      </c>
      <c r="T1912" s="531" t="str">
        <f t="shared" si="778"/>
        <v/>
      </c>
      <c r="U1912" s="533">
        <f t="shared" si="779"/>
        <v>0</v>
      </c>
      <c r="V1912" s="531" t="str">
        <f t="shared" si="780"/>
        <v/>
      </c>
      <c r="W1912" s="531" t="str">
        <f t="shared" si="781"/>
        <v/>
      </c>
      <c r="X1912" s="534" t="str">
        <f t="shared" si="782"/>
        <v/>
      </c>
      <c r="Y1912" s="535" t="str">
        <f>IF($A1912="","",IF($I1912="weekly",$A1912+7,EDATE($A1912,VLOOKUP($I1912,Ref!$B$24:$C$29,2,0))))</f>
        <v/>
      </c>
      <c r="Z1912" s="536" t="str">
        <f t="shared" si="783"/>
        <v/>
      </c>
      <c r="AA1912" s="531">
        <f t="shared" si="784"/>
        <v>0</v>
      </c>
      <c r="AB1912" s="535" t="str">
        <f t="shared" si="772"/>
        <v/>
      </c>
      <c r="AC1912" s="537" t="str">
        <f t="shared" si="773"/>
        <v/>
      </c>
      <c r="AD1912" s="538" t="str">
        <f t="shared" ca="1" si="774"/>
        <v/>
      </c>
      <c r="AE1912" s="537">
        <f t="shared" ca="1" si="775"/>
        <v>0</v>
      </c>
      <c r="AF1912" s="539" t="str">
        <f t="shared" ca="1" si="785"/>
        <v/>
      </c>
      <c r="AG1912" s="531" t="str">
        <f t="shared" ca="1" si="786"/>
        <v/>
      </c>
      <c r="AH1912" s="531" t="str">
        <f t="shared" ca="1" si="787"/>
        <v/>
      </c>
      <c r="AI1912" s="531" t="str">
        <f t="shared" ca="1" si="788"/>
        <v/>
      </c>
      <c r="AJ1912" s="531" t="str">
        <f t="shared" si="789"/>
        <v/>
      </c>
      <c r="AK1912" s="540">
        <f>SUMIFS('Live Collections'!$S:$S,'Live Collections'!$D:$D,Disbursements!B1912,'Live Collections'!$G:$G,Disbursements!C1912)</f>
        <v>0</v>
      </c>
      <c r="AL1912" s="540">
        <f>SUMIFS('Live Collections'!$T:$T,'Live Collections'!$D:$D,Disbursements!B1912,'Live Collections'!$G:$G,Disbursements!C1912)</f>
        <v>0</v>
      </c>
      <c r="AM1912" s="541">
        <f t="shared" si="790"/>
        <v>0</v>
      </c>
      <c r="AN1912" s="542" t="str">
        <f t="shared" si="791"/>
        <v/>
      </c>
      <c r="AO1912" s="542" t="str">
        <f t="shared" si="792"/>
        <v/>
      </c>
      <c r="AP1912" s="543" t="str">
        <f t="shared" si="793"/>
        <v/>
      </c>
      <c r="AQ1912" s="544" t="str">
        <f t="shared" si="794"/>
        <v/>
      </c>
      <c r="AR1912" s="545">
        <f t="shared" si="795"/>
        <v>0</v>
      </c>
      <c r="AS1912" s="545">
        <f>IFERROR(CEILING($AR1912*VLOOKUP($I1912,Ref!$B$23:$E$29,4,0),1),0)</f>
        <v>0</v>
      </c>
      <c r="AT1912" s="545" t="str">
        <f>IF(A1912="","",IF(AP1912&lt;=1,"Cleared",IF(AS1912=0,"Clean",VLOOKUP($AS1912,Ref!$G$23:$H$28,2))))</f>
        <v/>
      </c>
      <c r="AU1912" s="546" t="str">
        <f t="shared" si="796"/>
        <v/>
      </c>
    </row>
    <row r="1913" spans="1:47" ht="14.25" hidden="1" customHeight="1" x14ac:dyDescent="0.15">
      <c r="A1913" s="575"/>
      <c r="B1913" s="548"/>
      <c r="C1913" s="548"/>
      <c r="D1913" s="548"/>
      <c r="E1913" s="583"/>
      <c r="F1913" s="584"/>
      <c r="G1913" s="548"/>
      <c r="H1913" s="550"/>
      <c r="I1913" s="560"/>
      <c r="J1913" s="548"/>
      <c r="K1913" s="528" t="str">
        <f>IFERROR(VLOOKUP($B1913,'Clients-Live'!$A:$C,3,0),"")</f>
        <v/>
      </c>
      <c r="L1913" s="528">
        <f>IF(E1913="STL",Pricing!$D$38,IF(A1913="",0,IF(A1913&lt;Pricing!$C$25,Pricing!$D$25,VLOOKUP(Disbursements!$F1913,Pricing!$B$29:$D$32,3))))</f>
        <v>0</v>
      </c>
      <c r="M1913" s="528">
        <f>IF(E1913="STL",0,IF(F1913&gt;0,Pricing!$D$21,0))</f>
        <v>0</v>
      </c>
      <c r="N1913" s="529">
        <f>IF(E1913="STL",F1913*Pricing!$D$40,IF(A1913&lt;=Pricing!$C$4,0,IF(AND(A1913&gt;Pricing!$C$4,Disbursements!A1913&lt;=Pricing!$C$5),F1913*Pricing!$E$5,IF(AND(A1913&gt;Pricing!$C$5,Disbursements!A1913&lt;=Pricing!$C$7),VLOOKUP(F1913,Pricing!$D$7:$E$8,2)*Disbursements!F1913,F1913*Pricing!$E$9))))</f>
        <v>0</v>
      </c>
      <c r="O1913" s="528">
        <f>IF(E1913="STL",0,IF($F1913&gt;0,$F1913*Pricing!$D$17,0))</f>
        <v>0</v>
      </c>
      <c r="P1913" s="530" t="str">
        <f t="shared" si="776"/>
        <v/>
      </c>
      <c r="Q1913" s="531" t="str">
        <f>IF($A1913="","",$G1913/VLOOKUP($I1913,Ref!$B$23:$D$29,2,0))</f>
        <v/>
      </c>
      <c r="R1913" s="530" t="str">
        <f t="shared" si="777"/>
        <v/>
      </c>
      <c r="S1913" s="532" t="str">
        <f t="shared" si="771"/>
        <v/>
      </c>
      <c r="T1913" s="531" t="str">
        <f t="shared" si="778"/>
        <v/>
      </c>
      <c r="U1913" s="533">
        <f t="shared" si="779"/>
        <v>0</v>
      </c>
      <c r="V1913" s="531" t="str">
        <f t="shared" si="780"/>
        <v/>
      </c>
      <c r="W1913" s="531" t="str">
        <f t="shared" si="781"/>
        <v/>
      </c>
      <c r="X1913" s="534" t="str">
        <f t="shared" si="782"/>
        <v/>
      </c>
      <c r="Y1913" s="535" t="str">
        <f>IF($A1913="","",IF($I1913="weekly",$A1913+7,EDATE($A1913,VLOOKUP($I1913,Ref!$B$24:$C$29,2,0))))</f>
        <v/>
      </c>
      <c r="Z1913" s="536" t="str">
        <f t="shared" si="783"/>
        <v/>
      </c>
      <c r="AA1913" s="531">
        <f t="shared" si="784"/>
        <v>0</v>
      </c>
      <c r="AB1913" s="535" t="str">
        <f t="shared" si="772"/>
        <v/>
      </c>
      <c r="AC1913" s="537" t="str">
        <f t="shared" si="773"/>
        <v/>
      </c>
      <c r="AD1913" s="538" t="str">
        <f t="shared" ca="1" si="774"/>
        <v/>
      </c>
      <c r="AE1913" s="537">
        <f t="shared" ca="1" si="775"/>
        <v>0</v>
      </c>
      <c r="AF1913" s="539" t="str">
        <f t="shared" ca="1" si="785"/>
        <v/>
      </c>
      <c r="AG1913" s="531" t="str">
        <f t="shared" ca="1" si="786"/>
        <v/>
      </c>
      <c r="AH1913" s="531" t="str">
        <f t="shared" ca="1" si="787"/>
        <v/>
      </c>
      <c r="AI1913" s="531" t="str">
        <f t="shared" ca="1" si="788"/>
        <v/>
      </c>
      <c r="AJ1913" s="531" t="str">
        <f t="shared" si="789"/>
        <v/>
      </c>
      <c r="AK1913" s="540">
        <f>SUMIFS('Live Collections'!$S:$S,'Live Collections'!$D:$D,Disbursements!B1913,'Live Collections'!$G:$G,Disbursements!C1913)</f>
        <v>0</v>
      </c>
      <c r="AL1913" s="540">
        <f>SUMIFS('Live Collections'!$T:$T,'Live Collections'!$D:$D,Disbursements!B1913,'Live Collections'!$G:$G,Disbursements!C1913)</f>
        <v>0</v>
      </c>
      <c r="AM1913" s="541">
        <f t="shared" si="790"/>
        <v>0</v>
      </c>
      <c r="AN1913" s="542" t="str">
        <f t="shared" si="791"/>
        <v/>
      </c>
      <c r="AO1913" s="542" t="str">
        <f t="shared" si="792"/>
        <v/>
      </c>
      <c r="AP1913" s="543" t="str">
        <f t="shared" si="793"/>
        <v/>
      </c>
      <c r="AQ1913" s="544" t="str">
        <f t="shared" si="794"/>
        <v/>
      </c>
      <c r="AR1913" s="545">
        <f t="shared" si="795"/>
        <v>0</v>
      </c>
      <c r="AS1913" s="545">
        <f>IFERROR(CEILING($AR1913*VLOOKUP($I1913,Ref!$B$23:$E$29,4,0),1),0)</f>
        <v>0</v>
      </c>
      <c r="AT1913" s="545" t="str">
        <f>IF(A1913="","",IF(AP1913&lt;=1,"Cleared",IF(AS1913=0,"Clean",VLOOKUP($AS1913,Ref!$G$23:$H$28,2))))</f>
        <v/>
      </c>
      <c r="AU1913" s="546" t="str">
        <f t="shared" si="796"/>
        <v/>
      </c>
    </row>
    <row r="1914" spans="1:47" ht="14.25" hidden="1" customHeight="1" x14ac:dyDescent="0.15">
      <c r="A1914" s="575"/>
      <c r="B1914" s="548"/>
      <c r="C1914" s="548"/>
      <c r="D1914" s="548"/>
      <c r="E1914" s="583"/>
      <c r="F1914" s="584"/>
      <c r="G1914" s="548"/>
      <c r="H1914" s="550"/>
      <c r="I1914" s="560"/>
      <c r="J1914" s="548"/>
      <c r="K1914" s="528" t="str">
        <f>IFERROR(VLOOKUP($B1914,'Clients-Live'!$A:$C,3,0),"")</f>
        <v/>
      </c>
      <c r="L1914" s="528">
        <f>IF(E1914="STL",Pricing!$D$38,IF(A1914="",0,IF(A1914&lt;Pricing!$C$25,Pricing!$D$25,VLOOKUP(Disbursements!$F1914,Pricing!$B$29:$D$32,3))))</f>
        <v>0</v>
      </c>
      <c r="M1914" s="528">
        <f>IF(E1914="STL",0,IF(F1914&gt;0,Pricing!$D$21,0))</f>
        <v>0</v>
      </c>
      <c r="N1914" s="529">
        <f>IF(E1914="STL",F1914*Pricing!$D$40,IF(A1914&lt;=Pricing!$C$4,0,IF(AND(A1914&gt;Pricing!$C$4,Disbursements!A1914&lt;=Pricing!$C$5),F1914*Pricing!$E$5,IF(AND(A1914&gt;Pricing!$C$5,Disbursements!A1914&lt;=Pricing!$C$7),VLOOKUP(F1914,Pricing!$D$7:$E$8,2)*Disbursements!F1914,F1914*Pricing!$E$9))))</f>
        <v>0</v>
      </c>
      <c r="O1914" s="528">
        <f>IF(E1914="STL",0,IF($F1914&gt;0,$F1914*Pricing!$D$17,0))</f>
        <v>0</v>
      </c>
      <c r="P1914" s="530" t="str">
        <f t="shared" si="776"/>
        <v/>
      </c>
      <c r="Q1914" s="531" t="str">
        <f>IF($A1914="","",$G1914/VLOOKUP($I1914,Ref!$B$23:$D$29,2,0))</f>
        <v/>
      </c>
      <c r="R1914" s="530" t="str">
        <f t="shared" si="777"/>
        <v/>
      </c>
      <c r="S1914" s="532" t="str">
        <f t="shared" si="771"/>
        <v/>
      </c>
      <c r="T1914" s="531" t="str">
        <f t="shared" si="778"/>
        <v/>
      </c>
      <c r="U1914" s="533">
        <f t="shared" si="779"/>
        <v>0</v>
      </c>
      <c r="V1914" s="531" t="str">
        <f t="shared" si="780"/>
        <v/>
      </c>
      <c r="W1914" s="531" t="str">
        <f t="shared" si="781"/>
        <v/>
      </c>
      <c r="X1914" s="534" t="str">
        <f t="shared" si="782"/>
        <v/>
      </c>
      <c r="Y1914" s="535" t="str">
        <f>IF($A1914="","",IF($I1914="weekly",$A1914+7,EDATE($A1914,VLOOKUP($I1914,Ref!$B$24:$C$29,2,0))))</f>
        <v/>
      </c>
      <c r="Z1914" s="536" t="str">
        <f t="shared" si="783"/>
        <v/>
      </c>
      <c r="AA1914" s="531">
        <f t="shared" si="784"/>
        <v>0</v>
      </c>
      <c r="AB1914" s="535" t="str">
        <f t="shared" si="772"/>
        <v/>
      </c>
      <c r="AC1914" s="537" t="str">
        <f t="shared" si="773"/>
        <v/>
      </c>
      <c r="AD1914" s="538" t="str">
        <f t="shared" ca="1" si="774"/>
        <v/>
      </c>
      <c r="AE1914" s="537">
        <f t="shared" ca="1" si="775"/>
        <v>0</v>
      </c>
      <c r="AF1914" s="539" t="str">
        <f t="shared" ca="1" si="785"/>
        <v/>
      </c>
      <c r="AG1914" s="531" t="str">
        <f t="shared" ca="1" si="786"/>
        <v/>
      </c>
      <c r="AH1914" s="531" t="str">
        <f t="shared" ca="1" si="787"/>
        <v/>
      </c>
      <c r="AI1914" s="531" t="str">
        <f t="shared" ca="1" si="788"/>
        <v/>
      </c>
      <c r="AJ1914" s="531" t="str">
        <f t="shared" si="789"/>
        <v/>
      </c>
      <c r="AK1914" s="540">
        <f>SUMIFS('Live Collections'!$S:$S,'Live Collections'!$D:$D,Disbursements!B1914,'Live Collections'!$G:$G,Disbursements!C1914)</f>
        <v>0</v>
      </c>
      <c r="AL1914" s="540">
        <f>SUMIFS('Live Collections'!$T:$T,'Live Collections'!$D:$D,Disbursements!B1914,'Live Collections'!$G:$G,Disbursements!C1914)</f>
        <v>0</v>
      </c>
      <c r="AM1914" s="541">
        <f t="shared" si="790"/>
        <v>0</v>
      </c>
      <c r="AN1914" s="542" t="str">
        <f t="shared" si="791"/>
        <v/>
      </c>
      <c r="AO1914" s="542" t="str">
        <f t="shared" si="792"/>
        <v/>
      </c>
      <c r="AP1914" s="543" t="str">
        <f t="shared" si="793"/>
        <v/>
      </c>
      <c r="AQ1914" s="544" t="str">
        <f t="shared" si="794"/>
        <v/>
      </c>
      <c r="AR1914" s="545">
        <f t="shared" si="795"/>
        <v>0</v>
      </c>
      <c r="AS1914" s="545">
        <f>IFERROR(CEILING($AR1914*VLOOKUP($I1914,Ref!$B$23:$E$29,4,0),1),0)</f>
        <v>0</v>
      </c>
      <c r="AT1914" s="545" t="str">
        <f>IF(A1914="","",IF(AP1914&lt;=1,"Cleared",IF(AS1914=0,"Clean",VLOOKUP($AS1914,Ref!$G$23:$H$28,2))))</f>
        <v/>
      </c>
      <c r="AU1914" s="546" t="str">
        <f t="shared" si="796"/>
        <v/>
      </c>
    </row>
    <row r="1915" spans="1:47" ht="14.25" hidden="1" customHeight="1" x14ac:dyDescent="0.15">
      <c r="A1915" s="575"/>
      <c r="B1915" s="548"/>
      <c r="C1915" s="548"/>
      <c r="D1915" s="548"/>
      <c r="E1915" s="583"/>
      <c r="F1915" s="584"/>
      <c r="G1915" s="548"/>
      <c r="H1915" s="550"/>
      <c r="I1915" s="560"/>
      <c r="J1915" s="548"/>
      <c r="K1915" s="528" t="str">
        <f>IFERROR(VLOOKUP($B1915,'Clients-Live'!$A:$C,3,0),"")</f>
        <v/>
      </c>
      <c r="L1915" s="528">
        <f>IF(E1915="STL",Pricing!$D$38,IF(A1915="",0,IF(A1915&lt;Pricing!$C$25,Pricing!$D$25,VLOOKUP(Disbursements!$F1915,Pricing!$B$29:$D$32,3))))</f>
        <v>0</v>
      </c>
      <c r="M1915" s="528">
        <f>IF(E1915="STL",0,IF(F1915&gt;0,Pricing!$D$21,0))</f>
        <v>0</v>
      </c>
      <c r="N1915" s="529">
        <f>IF(E1915="STL",F1915*Pricing!$D$40,IF(A1915&lt;=Pricing!$C$4,0,IF(AND(A1915&gt;Pricing!$C$4,Disbursements!A1915&lt;=Pricing!$C$5),F1915*Pricing!$E$5,IF(AND(A1915&gt;Pricing!$C$5,Disbursements!A1915&lt;=Pricing!$C$7),VLOOKUP(F1915,Pricing!$D$7:$E$8,2)*Disbursements!F1915,F1915*Pricing!$E$9))))</f>
        <v>0</v>
      </c>
      <c r="O1915" s="528">
        <f>IF(E1915="STL",0,IF($F1915&gt;0,$F1915*Pricing!$D$17,0))</f>
        <v>0</v>
      </c>
      <c r="P1915" s="530" t="str">
        <f t="shared" si="776"/>
        <v/>
      </c>
      <c r="Q1915" s="531" t="str">
        <f>IF($A1915="","",$G1915/VLOOKUP($I1915,Ref!$B$23:$D$29,2,0))</f>
        <v/>
      </c>
      <c r="R1915" s="530" t="str">
        <f t="shared" si="777"/>
        <v/>
      </c>
      <c r="S1915" s="532" t="str">
        <f t="shared" si="771"/>
        <v/>
      </c>
      <c r="T1915" s="531" t="str">
        <f t="shared" si="778"/>
        <v/>
      </c>
      <c r="U1915" s="533">
        <f t="shared" si="779"/>
        <v>0</v>
      </c>
      <c r="V1915" s="531" t="str">
        <f t="shared" si="780"/>
        <v/>
      </c>
      <c r="W1915" s="531" t="str">
        <f t="shared" si="781"/>
        <v/>
      </c>
      <c r="X1915" s="534" t="str">
        <f t="shared" si="782"/>
        <v/>
      </c>
      <c r="Y1915" s="535" t="str">
        <f>IF($A1915="","",IF($I1915="weekly",$A1915+7,EDATE($A1915,VLOOKUP($I1915,Ref!$B$24:$C$29,2,0))))</f>
        <v/>
      </c>
      <c r="Z1915" s="536" t="str">
        <f t="shared" si="783"/>
        <v/>
      </c>
      <c r="AA1915" s="531">
        <f t="shared" si="784"/>
        <v>0</v>
      </c>
      <c r="AB1915" s="535" t="str">
        <f t="shared" si="772"/>
        <v/>
      </c>
      <c r="AC1915" s="537" t="str">
        <f t="shared" si="773"/>
        <v/>
      </c>
      <c r="AD1915" s="538" t="str">
        <f t="shared" ca="1" si="774"/>
        <v/>
      </c>
      <c r="AE1915" s="537">
        <f t="shared" ca="1" si="775"/>
        <v>0</v>
      </c>
      <c r="AF1915" s="539" t="str">
        <f t="shared" ca="1" si="785"/>
        <v/>
      </c>
      <c r="AG1915" s="531" t="str">
        <f t="shared" ca="1" si="786"/>
        <v/>
      </c>
      <c r="AH1915" s="531" t="str">
        <f t="shared" ca="1" si="787"/>
        <v/>
      </c>
      <c r="AI1915" s="531" t="str">
        <f t="shared" ca="1" si="788"/>
        <v/>
      </c>
      <c r="AJ1915" s="531" t="str">
        <f t="shared" si="789"/>
        <v/>
      </c>
      <c r="AK1915" s="540">
        <f>SUMIFS('Live Collections'!$S:$S,'Live Collections'!$D:$D,Disbursements!B1915,'Live Collections'!$G:$G,Disbursements!C1915)</f>
        <v>0</v>
      </c>
      <c r="AL1915" s="540">
        <f>SUMIFS('Live Collections'!$T:$T,'Live Collections'!$D:$D,Disbursements!B1915,'Live Collections'!$G:$G,Disbursements!C1915)</f>
        <v>0</v>
      </c>
      <c r="AM1915" s="541">
        <f t="shared" si="790"/>
        <v>0</v>
      </c>
      <c r="AN1915" s="542" t="str">
        <f t="shared" si="791"/>
        <v/>
      </c>
      <c r="AO1915" s="542" t="str">
        <f t="shared" si="792"/>
        <v/>
      </c>
      <c r="AP1915" s="543" t="str">
        <f t="shared" si="793"/>
        <v/>
      </c>
      <c r="AQ1915" s="544" t="str">
        <f t="shared" si="794"/>
        <v/>
      </c>
      <c r="AR1915" s="545">
        <f t="shared" si="795"/>
        <v>0</v>
      </c>
      <c r="AS1915" s="545">
        <f>IFERROR(CEILING($AR1915*VLOOKUP($I1915,Ref!$B$23:$E$29,4,0),1),0)</f>
        <v>0</v>
      </c>
      <c r="AT1915" s="545" t="str">
        <f>IF(A1915="","",IF(AP1915&lt;=1,"Cleared",IF(AS1915=0,"Clean",VLOOKUP($AS1915,Ref!$G$23:$H$28,2))))</f>
        <v/>
      </c>
      <c r="AU1915" s="546" t="str">
        <f t="shared" si="796"/>
        <v/>
      </c>
    </row>
    <row r="1916" spans="1:47" ht="14.25" hidden="1" customHeight="1" x14ac:dyDescent="0.15">
      <c r="A1916" s="575"/>
      <c r="B1916" s="548"/>
      <c r="C1916" s="548"/>
      <c r="D1916" s="548"/>
      <c r="E1916" s="583"/>
      <c r="F1916" s="584"/>
      <c r="G1916" s="548"/>
      <c r="H1916" s="550"/>
      <c r="I1916" s="560"/>
      <c r="J1916" s="548"/>
      <c r="K1916" s="528" t="str">
        <f>IFERROR(VLOOKUP($B1916,'Clients-Live'!$A:$C,3,0),"")</f>
        <v/>
      </c>
      <c r="L1916" s="528">
        <f>IF(E1916="STL",Pricing!$D$38,IF(A1916="",0,IF(A1916&lt;Pricing!$C$25,Pricing!$D$25,VLOOKUP(Disbursements!$F1916,Pricing!$B$29:$D$32,3))))</f>
        <v>0</v>
      </c>
      <c r="M1916" s="528">
        <f>IF(E1916="STL",0,IF(F1916&gt;0,Pricing!$D$21,0))</f>
        <v>0</v>
      </c>
      <c r="N1916" s="529">
        <f>IF(E1916="STL",F1916*Pricing!$D$40,IF(A1916&lt;=Pricing!$C$4,0,IF(AND(A1916&gt;Pricing!$C$4,Disbursements!A1916&lt;=Pricing!$C$5),F1916*Pricing!$E$5,IF(AND(A1916&gt;Pricing!$C$5,Disbursements!A1916&lt;=Pricing!$C$7),VLOOKUP(F1916,Pricing!$D$7:$E$8,2)*Disbursements!F1916,F1916*Pricing!$E$9))))</f>
        <v>0</v>
      </c>
      <c r="O1916" s="528">
        <f>IF(E1916="STL",0,IF($F1916&gt;0,$F1916*Pricing!$D$17,0))</f>
        <v>0</v>
      </c>
      <c r="P1916" s="530" t="str">
        <f t="shared" si="776"/>
        <v/>
      </c>
      <c r="Q1916" s="531" t="str">
        <f>IF($A1916="","",$G1916/VLOOKUP($I1916,Ref!$B$23:$D$29,2,0))</f>
        <v/>
      </c>
      <c r="R1916" s="530" t="str">
        <f t="shared" si="777"/>
        <v/>
      </c>
      <c r="S1916" s="532" t="str">
        <f t="shared" si="771"/>
        <v/>
      </c>
      <c r="T1916" s="531" t="str">
        <f t="shared" si="778"/>
        <v/>
      </c>
      <c r="U1916" s="533">
        <f t="shared" si="779"/>
        <v>0</v>
      </c>
      <c r="V1916" s="531" t="str">
        <f t="shared" si="780"/>
        <v/>
      </c>
      <c r="W1916" s="531" t="str">
        <f t="shared" si="781"/>
        <v/>
      </c>
      <c r="X1916" s="534" t="str">
        <f t="shared" si="782"/>
        <v/>
      </c>
      <c r="Y1916" s="535" t="str">
        <f>IF($A1916="","",IF($I1916="weekly",$A1916+7,EDATE($A1916,VLOOKUP($I1916,Ref!$B$24:$C$29,2,0))))</f>
        <v/>
      </c>
      <c r="Z1916" s="536" t="str">
        <f t="shared" si="783"/>
        <v/>
      </c>
      <c r="AA1916" s="531">
        <f t="shared" si="784"/>
        <v>0</v>
      </c>
      <c r="AB1916" s="535" t="str">
        <f t="shared" si="772"/>
        <v/>
      </c>
      <c r="AC1916" s="537" t="str">
        <f t="shared" si="773"/>
        <v/>
      </c>
      <c r="AD1916" s="538" t="str">
        <f t="shared" ca="1" si="774"/>
        <v/>
      </c>
      <c r="AE1916" s="537">
        <f t="shared" ca="1" si="775"/>
        <v>0</v>
      </c>
      <c r="AF1916" s="539" t="str">
        <f t="shared" ca="1" si="785"/>
        <v/>
      </c>
      <c r="AG1916" s="531" t="str">
        <f t="shared" ca="1" si="786"/>
        <v/>
      </c>
      <c r="AH1916" s="531" t="str">
        <f t="shared" ca="1" si="787"/>
        <v/>
      </c>
      <c r="AI1916" s="531" t="str">
        <f t="shared" ca="1" si="788"/>
        <v/>
      </c>
      <c r="AJ1916" s="531" t="str">
        <f t="shared" si="789"/>
        <v/>
      </c>
      <c r="AK1916" s="540">
        <f>SUMIFS('Live Collections'!$S:$S,'Live Collections'!$D:$D,Disbursements!B1916,'Live Collections'!$G:$G,Disbursements!C1916)</f>
        <v>0</v>
      </c>
      <c r="AL1916" s="540">
        <f>SUMIFS('Live Collections'!$T:$T,'Live Collections'!$D:$D,Disbursements!B1916,'Live Collections'!$G:$G,Disbursements!C1916)</f>
        <v>0</v>
      </c>
      <c r="AM1916" s="541">
        <f t="shared" si="790"/>
        <v>0</v>
      </c>
      <c r="AN1916" s="542" t="str">
        <f t="shared" si="791"/>
        <v/>
      </c>
      <c r="AO1916" s="542" t="str">
        <f t="shared" si="792"/>
        <v/>
      </c>
      <c r="AP1916" s="543" t="str">
        <f t="shared" si="793"/>
        <v/>
      </c>
      <c r="AQ1916" s="544" t="str">
        <f t="shared" si="794"/>
        <v/>
      </c>
      <c r="AR1916" s="545">
        <f t="shared" si="795"/>
        <v>0</v>
      </c>
      <c r="AS1916" s="545">
        <f>IFERROR(CEILING($AR1916*VLOOKUP($I1916,Ref!$B$23:$E$29,4,0),1),0)</f>
        <v>0</v>
      </c>
      <c r="AT1916" s="545" t="str">
        <f>IF(A1916="","",IF(AP1916&lt;=1,"Cleared",IF(AS1916=0,"Clean",VLOOKUP($AS1916,Ref!$G$23:$H$28,2))))</f>
        <v/>
      </c>
      <c r="AU1916" s="546" t="str">
        <f t="shared" si="796"/>
        <v/>
      </c>
    </row>
    <row r="1917" spans="1:47" ht="14.25" hidden="1" customHeight="1" x14ac:dyDescent="0.15">
      <c r="A1917" s="575"/>
      <c r="B1917" s="548"/>
      <c r="C1917" s="548"/>
      <c r="D1917" s="548"/>
      <c r="E1917" s="583"/>
      <c r="F1917" s="584"/>
      <c r="G1917" s="548"/>
      <c r="H1917" s="550"/>
      <c r="I1917" s="560"/>
      <c r="J1917" s="548"/>
      <c r="K1917" s="528" t="str">
        <f>IFERROR(VLOOKUP($B1917,'Clients-Live'!$A:$C,3,0),"")</f>
        <v/>
      </c>
      <c r="L1917" s="528">
        <f>IF(E1917="STL",Pricing!$D$38,IF(A1917="",0,IF(A1917&lt;Pricing!$C$25,Pricing!$D$25,VLOOKUP(Disbursements!$F1917,Pricing!$B$29:$D$32,3))))</f>
        <v>0</v>
      </c>
      <c r="M1917" s="528">
        <f>IF(E1917="STL",0,IF(F1917&gt;0,Pricing!$D$21,0))</f>
        <v>0</v>
      </c>
      <c r="N1917" s="529">
        <f>IF(E1917="STL",F1917*Pricing!$D$40,IF(A1917&lt;=Pricing!$C$4,0,IF(AND(A1917&gt;Pricing!$C$4,Disbursements!A1917&lt;=Pricing!$C$5),F1917*Pricing!$E$5,IF(AND(A1917&gt;Pricing!$C$5,Disbursements!A1917&lt;=Pricing!$C$7),VLOOKUP(F1917,Pricing!$D$7:$E$8,2)*Disbursements!F1917,F1917*Pricing!$E$9))))</f>
        <v>0</v>
      </c>
      <c r="O1917" s="528">
        <f>IF(E1917="STL",0,IF($F1917&gt;0,$F1917*Pricing!$D$17,0))</f>
        <v>0</v>
      </c>
      <c r="P1917" s="530" t="str">
        <f t="shared" si="776"/>
        <v/>
      </c>
      <c r="Q1917" s="531" t="str">
        <f>IF($A1917="","",$G1917/VLOOKUP($I1917,Ref!$B$23:$D$29,2,0))</f>
        <v/>
      </c>
      <c r="R1917" s="530" t="str">
        <f t="shared" si="777"/>
        <v/>
      </c>
      <c r="S1917" s="532" t="str">
        <f t="shared" si="771"/>
        <v/>
      </c>
      <c r="T1917" s="531" t="str">
        <f t="shared" si="778"/>
        <v/>
      </c>
      <c r="U1917" s="533">
        <f t="shared" si="779"/>
        <v>0</v>
      </c>
      <c r="V1917" s="531" t="str">
        <f t="shared" si="780"/>
        <v/>
      </c>
      <c r="W1917" s="531" t="str">
        <f t="shared" si="781"/>
        <v/>
      </c>
      <c r="X1917" s="534" t="str">
        <f t="shared" si="782"/>
        <v/>
      </c>
      <c r="Y1917" s="535" t="str">
        <f>IF($A1917="","",IF($I1917="weekly",$A1917+7,EDATE($A1917,VLOOKUP($I1917,Ref!$B$24:$C$29,2,0))))</f>
        <v/>
      </c>
      <c r="Z1917" s="536" t="str">
        <f t="shared" si="783"/>
        <v/>
      </c>
      <c r="AA1917" s="531">
        <f t="shared" si="784"/>
        <v>0</v>
      </c>
      <c r="AB1917" s="535" t="str">
        <f t="shared" si="772"/>
        <v/>
      </c>
      <c r="AC1917" s="537" t="str">
        <f t="shared" si="773"/>
        <v/>
      </c>
      <c r="AD1917" s="538" t="str">
        <f t="shared" ca="1" si="774"/>
        <v/>
      </c>
      <c r="AE1917" s="537">
        <f t="shared" ca="1" si="775"/>
        <v>0</v>
      </c>
      <c r="AF1917" s="539" t="str">
        <f t="shared" ca="1" si="785"/>
        <v/>
      </c>
      <c r="AG1917" s="531" t="str">
        <f t="shared" ca="1" si="786"/>
        <v/>
      </c>
      <c r="AH1917" s="531" t="str">
        <f t="shared" ca="1" si="787"/>
        <v/>
      </c>
      <c r="AI1917" s="531" t="str">
        <f t="shared" ca="1" si="788"/>
        <v/>
      </c>
      <c r="AJ1917" s="531" t="str">
        <f t="shared" si="789"/>
        <v/>
      </c>
      <c r="AK1917" s="540">
        <f>SUMIFS('Live Collections'!$S:$S,'Live Collections'!$D:$D,Disbursements!B1917,'Live Collections'!$G:$G,Disbursements!C1917)</f>
        <v>0</v>
      </c>
      <c r="AL1917" s="540">
        <f>SUMIFS('Live Collections'!$T:$T,'Live Collections'!$D:$D,Disbursements!B1917,'Live Collections'!$G:$G,Disbursements!C1917)</f>
        <v>0</v>
      </c>
      <c r="AM1917" s="541">
        <f t="shared" si="790"/>
        <v>0</v>
      </c>
      <c r="AN1917" s="542" t="str">
        <f t="shared" si="791"/>
        <v/>
      </c>
      <c r="AO1917" s="542" t="str">
        <f t="shared" si="792"/>
        <v/>
      </c>
      <c r="AP1917" s="543" t="str">
        <f t="shared" si="793"/>
        <v/>
      </c>
      <c r="AQ1917" s="544" t="str">
        <f t="shared" si="794"/>
        <v/>
      </c>
      <c r="AR1917" s="545">
        <f t="shared" si="795"/>
        <v>0</v>
      </c>
      <c r="AS1917" s="545">
        <f>IFERROR(CEILING($AR1917*VLOOKUP($I1917,Ref!$B$23:$E$29,4,0),1),0)</f>
        <v>0</v>
      </c>
      <c r="AT1917" s="545" t="str">
        <f>IF(A1917="","",IF(AP1917&lt;=1,"Cleared",IF(AS1917=0,"Clean",VLOOKUP($AS1917,Ref!$G$23:$H$28,2))))</f>
        <v/>
      </c>
      <c r="AU1917" s="546" t="str">
        <f t="shared" si="796"/>
        <v/>
      </c>
    </row>
    <row r="1918" spans="1:47" ht="14.25" hidden="1" customHeight="1" x14ac:dyDescent="0.15">
      <c r="A1918" s="575"/>
      <c r="B1918" s="548"/>
      <c r="C1918" s="548"/>
      <c r="D1918" s="548"/>
      <c r="E1918" s="583"/>
      <c r="F1918" s="584"/>
      <c r="G1918" s="548"/>
      <c r="H1918" s="550"/>
      <c r="I1918" s="560"/>
      <c r="J1918" s="548"/>
      <c r="K1918" s="528" t="str">
        <f>IFERROR(VLOOKUP($B1918,'Clients-Live'!$A:$C,3,0),"")</f>
        <v/>
      </c>
      <c r="L1918" s="528">
        <f>IF(E1918="STL",Pricing!$D$38,IF(A1918="",0,IF(A1918&lt;Pricing!$C$25,Pricing!$D$25,VLOOKUP(Disbursements!$F1918,Pricing!$B$29:$D$32,3))))</f>
        <v>0</v>
      </c>
      <c r="M1918" s="528">
        <f>IF(E1918="STL",0,IF(F1918&gt;0,Pricing!$D$21,0))</f>
        <v>0</v>
      </c>
      <c r="N1918" s="529">
        <f>IF(E1918="STL",F1918*Pricing!$D$40,IF(A1918&lt;=Pricing!$C$4,0,IF(AND(A1918&gt;Pricing!$C$4,Disbursements!A1918&lt;=Pricing!$C$5),F1918*Pricing!$E$5,IF(AND(A1918&gt;Pricing!$C$5,Disbursements!A1918&lt;=Pricing!$C$7),VLOOKUP(F1918,Pricing!$D$7:$E$8,2)*Disbursements!F1918,F1918*Pricing!$E$9))))</f>
        <v>0</v>
      </c>
      <c r="O1918" s="528">
        <f>IF(E1918="STL",0,IF($F1918&gt;0,$F1918*Pricing!$D$17,0))</f>
        <v>0</v>
      </c>
      <c r="P1918" s="530" t="str">
        <f t="shared" si="776"/>
        <v/>
      </c>
      <c r="Q1918" s="531" t="str">
        <f>IF($A1918="","",$G1918/VLOOKUP($I1918,Ref!$B$23:$D$29,2,0))</f>
        <v/>
      </c>
      <c r="R1918" s="530" t="str">
        <f t="shared" si="777"/>
        <v/>
      </c>
      <c r="S1918" s="532" t="str">
        <f t="shared" si="771"/>
        <v/>
      </c>
      <c r="T1918" s="531" t="str">
        <f t="shared" si="778"/>
        <v/>
      </c>
      <c r="U1918" s="533">
        <f t="shared" si="779"/>
        <v>0</v>
      </c>
      <c r="V1918" s="531" t="str">
        <f t="shared" si="780"/>
        <v/>
      </c>
      <c r="W1918" s="531" t="str">
        <f t="shared" si="781"/>
        <v/>
      </c>
      <c r="X1918" s="534" t="str">
        <f t="shared" si="782"/>
        <v/>
      </c>
      <c r="Y1918" s="535" t="str">
        <f>IF($A1918="","",IF($I1918="weekly",$A1918+7,EDATE($A1918,VLOOKUP($I1918,Ref!$B$24:$C$29,2,0))))</f>
        <v/>
      </c>
      <c r="Z1918" s="536" t="str">
        <f t="shared" si="783"/>
        <v/>
      </c>
      <c r="AA1918" s="531">
        <f t="shared" si="784"/>
        <v>0</v>
      </c>
      <c r="AB1918" s="535" t="str">
        <f t="shared" si="772"/>
        <v/>
      </c>
      <c r="AC1918" s="537" t="str">
        <f t="shared" si="773"/>
        <v/>
      </c>
      <c r="AD1918" s="538" t="str">
        <f t="shared" ca="1" si="774"/>
        <v/>
      </c>
      <c r="AE1918" s="537">
        <f t="shared" ca="1" si="775"/>
        <v>0</v>
      </c>
      <c r="AF1918" s="539" t="str">
        <f t="shared" ca="1" si="785"/>
        <v/>
      </c>
      <c r="AG1918" s="531" t="str">
        <f t="shared" ca="1" si="786"/>
        <v/>
      </c>
      <c r="AH1918" s="531" t="str">
        <f t="shared" ca="1" si="787"/>
        <v/>
      </c>
      <c r="AI1918" s="531" t="str">
        <f t="shared" ca="1" si="788"/>
        <v/>
      </c>
      <c r="AJ1918" s="531" t="str">
        <f t="shared" si="789"/>
        <v/>
      </c>
      <c r="AK1918" s="540">
        <f>SUMIFS('Live Collections'!$S:$S,'Live Collections'!$D:$D,Disbursements!B1918,'Live Collections'!$G:$G,Disbursements!C1918)</f>
        <v>0</v>
      </c>
      <c r="AL1918" s="540">
        <f>SUMIFS('Live Collections'!$T:$T,'Live Collections'!$D:$D,Disbursements!B1918,'Live Collections'!$G:$G,Disbursements!C1918)</f>
        <v>0</v>
      </c>
      <c r="AM1918" s="541">
        <f t="shared" si="790"/>
        <v>0</v>
      </c>
      <c r="AN1918" s="542" t="str">
        <f t="shared" si="791"/>
        <v/>
      </c>
      <c r="AO1918" s="542" t="str">
        <f t="shared" si="792"/>
        <v/>
      </c>
      <c r="AP1918" s="543" t="str">
        <f t="shared" si="793"/>
        <v/>
      </c>
      <c r="AQ1918" s="544" t="str">
        <f t="shared" si="794"/>
        <v/>
      </c>
      <c r="AR1918" s="545">
        <f t="shared" si="795"/>
        <v>0</v>
      </c>
      <c r="AS1918" s="545">
        <f>IFERROR(CEILING($AR1918*VLOOKUP($I1918,Ref!$B$23:$E$29,4,0),1),0)</f>
        <v>0</v>
      </c>
      <c r="AT1918" s="545" t="str">
        <f>IF(A1918="","",IF(AP1918&lt;=1,"Cleared",IF(AS1918=0,"Clean",VLOOKUP($AS1918,Ref!$G$23:$H$28,2))))</f>
        <v/>
      </c>
      <c r="AU1918" s="546" t="str">
        <f t="shared" si="796"/>
        <v/>
      </c>
    </row>
    <row r="1919" spans="1:47" ht="14.25" hidden="1" customHeight="1" x14ac:dyDescent="0.15">
      <c r="A1919" s="575"/>
      <c r="B1919" s="548"/>
      <c r="C1919" s="548"/>
      <c r="D1919" s="548"/>
      <c r="E1919" s="583"/>
      <c r="F1919" s="584"/>
      <c r="G1919" s="548"/>
      <c r="H1919" s="550"/>
      <c r="I1919" s="560"/>
      <c r="J1919" s="548"/>
      <c r="K1919" s="528" t="str">
        <f>IFERROR(VLOOKUP($B1919,'Clients-Live'!$A:$C,3,0),"")</f>
        <v/>
      </c>
      <c r="L1919" s="528">
        <f>IF(E1919="STL",Pricing!$D$38,IF(A1919="",0,IF(A1919&lt;Pricing!$C$25,Pricing!$D$25,VLOOKUP(Disbursements!$F1919,Pricing!$B$29:$D$32,3))))</f>
        <v>0</v>
      </c>
      <c r="M1919" s="528">
        <f>IF(E1919="STL",0,IF(F1919&gt;0,Pricing!$D$21,0))</f>
        <v>0</v>
      </c>
      <c r="N1919" s="529">
        <f>IF(E1919="STL",F1919*Pricing!$D$40,IF(A1919&lt;=Pricing!$C$4,0,IF(AND(A1919&gt;Pricing!$C$4,Disbursements!A1919&lt;=Pricing!$C$5),F1919*Pricing!$E$5,IF(AND(A1919&gt;Pricing!$C$5,Disbursements!A1919&lt;=Pricing!$C$7),VLOOKUP(F1919,Pricing!$D$7:$E$8,2)*Disbursements!F1919,F1919*Pricing!$E$9))))</f>
        <v>0</v>
      </c>
      <c r="O1919" s="528">
        <f>IF(E1919="STL",0,IF($F1919&gt;0,$F1919*Pricing!$D$17,0))</f>
        <v>0</v>
      </c>
      <c r="P1919" s="530" t="str">
        <f t="shared" si="776"/>
        <v/>
      </c>
      <c r="Q1919" s="531" t="str">
        <f>IF($A1919="","",$G1919/VLOOKUP($I1919,Ref!$B$23:$D$29,2,0))</f>
        <v/>
      </c>
      <c r="R1919" s="530" t="str">
        <f t="shared" si="777"/>
        <v/>
      </c>
      <c r="S1919" s="532" t="str">
        <f t="shared" si="771"/>
        <v/>
      </c>
      <c r="T1919" s="531" t="str">
        <f t="shared" si="778"/>
        <v/>
      </c>
      <c r="U1919" s="533">
        <f t="shared" si="779"/>
        <v>0</v>
      </c>
      <c r="V1919" s="531" t="str">
        <f t="shared" si="780"/>
        <v/>
      </c>
      <c r="W1919" s="531" t="str">
        <f t="shared" si="781"/>
        <v/>
      </c>
      <c r="X1919" s="534" t="str">
        <f t="shared" si="782"/>
        <v/>
      </c>
      <c r="Y1919" s="535" t="str">
        <f>IF($A1919="","",IF($I1919="weekly",$A1919+7,EDATE($A1919,VLOOKUP($I1919,Ref!$B$24:$C$29,2,0))))</f>
        <v/>
      </c>
      <c r="Z1919" s="536" t="str">
        <f t="shared" si="783"/>
        <v/>
      </c>
      <c r="AA1919" s="531">
        <f t="shared" si="784"/>
        <v>0</v>
      </c>
      <c r="AB1919" s="535" t="str">
        <f t="shared" si="772"/>
        <v/>
      </c>
      <c r="AC1919" s="537" t="str">
        <f t="shared" si="773"/>
        <v/>
      </c>
      <c r="AD1919" s="538" t="str">
        <f t="shared" ca="1" si="774"/>
        <v/>
      </c>
      <c r="AE1919" s="537">
        <f t="shared" ca="1" si="775"/>
        <v>0</v>
      </c>
      <c r="AF1919" s="539" t="str">
        <f t="shared" ca="1" si="785"/>
        <v/>
      </c>
      <c r="AG1919" s="531" t="str">
        <f t="shared" ca="1" si="786"/>
        <v/>
      </c>
      <c r="AH1919" s="531" t="str">
        <f t="shared" ca="1" si="787"/>
        <v/>
      </c>
      <c r="AI1919" s="531" t="str">
        <f t="shared" ca="1" si="788"/>
        <v/>
      </c>
      <c r="AJ1919" s="531" t="str">
        <f t="shared" si="789"/>
        <v/>
      </c>
      <c r="AK1919" s="540">
        <f>SUMIFS('Live Collections'!$S:$S,'Live Collections'!$D:$D,Disbursements!B1919,'Live Collections'!$G:$G,Disbursements!C1919)</f>
        <v>0</v>
      </c>
      <c r="AL1919" s="540">
        <f>SUMIFS('Live Collections'!$T:$T,'Live Collections'!$D:$D,Disbursements!B1919,'Live Collections'!$G:$G,Disbursements!C1919)</f>
        <v>0</v>
      </c>
      <c r="AM1919" s="541">
        <f t="shared" si="790"/>
        <v>0</v>
      </c>
      <c r="AN1919" s="542" t="str">
        <f t="shared" si="791"/>
        <v/>
      </c>
      <c r="AO1919" s="542" t="str">
        <f t="shared" si="792"/>
        <v/>
      </c>
      <c r="AP1919" s="543" t="str">
        <f t="shared" si="793"/>
        <v/>
      </c>
      <c r="AQ1919" s="544" t="str">
        <f t="shared" si="794"/>
        <v/>
      </c>
      <c r="AR1919" s="545">
        <f t="shared" si="795"/>
        <v>0</v>
      </c>
      <c r="AS1919" s="545">
        <f>IFERROR(CEILING($AR1919*VLOOKUP($I1919,Ref!$B$23:$E$29,4,0),1),0)</f>
        <v>0</v>
      </c>
      <c r="AT1919" s="545" t="str">
        <f>IF(A1919="","",IF(AP1919&lt;=1,"Cleared",IF(AS1919=0,"Clean",VLOOKUP($AS1919,Ref!$G$23:$H$28,2))))</f>
        <v/>
      </c>
      <c r="AU1919" s="546" t="str">
        <f t="shared" si="796"/>
        <v/>
      </c>
    </row>
    <row r="1920" spans="1:47" ht="14.25" hidden="1" customHeight="1" x14ac:dyDescent="0.15">
      <c r="A1920" s="575"/>
      <c r="B1920" s="548"/>
      <c r="C1920" s="548"/>
      <c r="D1920" s="548"/>
      <c r="E1920" s="583"/>
      <c r="F1920" s="584"/>
      <c r="G1920" s="548"/>
      <c r="H1920" s="550"/>
      <c r="I1920" s="560"/>
      <c r="J1920" s="548"/>
      <c r="K1920" s="528" t="str">
        <f>IFERROR(VLOOKUP($B1920,'Clients-Live'!$A:$C,3,0),"")</f>
        <v/>
      </c>
      <c r="L1920" s="528">
        <f>IF(E1920="STL",Pricing!$D$38,IF(A1920="",0,IF(A1920&lt;Pricing!$C$25,Pricing!$D$25,VLOOKUP(Disbursements!$F1920,Pricing!$B$29:$D$32,3))))</f>
        <v>0</v>
      </c>
      <c r="M1920" s="528">
        <f>IF(E1920="STL",0,IF(F1920&gt;0,Pricing!$D$21,0))</f>
        <v>0</v>
      </c>
      <c r="N1920" s="529">
        <f>IF(E1920="STL",F1920*Pricing!$D$40,IF(A1920&lt;=Pricing!$C$4,0,IF(AND(A1920&gt;Pricing!$C$4,Disbursements!A1920&lt;=Pricing!$C$5),F1920*Pricing!$E$5,IF(AND(A1920&gt;Pricing!$C$5,Disbursements!A1920&lt;=Pricing!$C$7),VLOOKUP(F1920,Pricing!$D$7:$E$8,2)*Disbursements!F1920,F1920*Pricing!$E$9))))</f>
        <v>0</v>
      </c>
      <c r="O1920" s="528">
        <f>IF(E1920="STL",0,IF($F1920&gt;0,$F1920*Pricing!$D$17,0))</f>
        <v>0</v>
      </c>
      <c r="P1920" s="530" t="str">
        <f t="shared" si="776"/>
        <v/>
      </c>
      <c r="Q1920" s="531" t="str">
        <f>IF($A1920="","",$G1920/VLOOKUP($I1920,Ref!$B$23:$D$29,2,0))</f>
        <v/>
      </c>
      <c r="R1920" s="530" t="str">
        <f t="shared" si="777"/>
        <v/>
      </c>
      <c r="S1920" s="532" t="str">
        <f t="shared" si="771"/>
        <v/>
      </c>
      <c r="T1920" s="531" t="str">
        <f t="shared" si="778"/>
        <v/>
      </c>
      <c r="U1920" s="533">
        <f t="shared" si="779"/>
        <v>0</v>
      </c>
      <c r="V1920" s="531" t="str">
        <f t="shared" si="780"/>
        <v/>
      </c>
      <c r="W1920" s="531" t="str">
        <f t="shared" si="781"/>
        <v/>
      </c>
      <c r="X1920" s="534" t="str">
        <f t="shared" si="782"/>
        <v/>
      </c>
      <c r="Y1920" s="535" t="str">
        <f>IF($A1920="","",IF($I1920="weekly",$A1920+7,EDATE($A1920,VLOOKUP($I1920,Ref!$B$24:$C$29,2,0))))</f>
        <v/>
      </c>
      <c r="Z1920" s="536" t="str">
        <f t="shared" si="783"/>
        <v/>
      </c>
      <c r="AA1920" s="531">
        <f t="shared" si="784"/>
        <v>0</v>
      </c>
      <c r="AB1920" s="535" t="str">
        <f t="shared" si="772"/>
        <v/>
      </c>
      <c r="AC1920" s="537" t="str">
        <f t="shared" si="773"/>
        <v/>
      </c>
      <c r="AD1920" s="538" t="str">
        <f t="shared" ca="1" si="774"/>
        <v/>
      </c>
      <c r="AE1920" s="537">
        <f t="shared" ca="1" si="775"/>
        <v>0</v>
      </c>
      <c r="AF1920" s="539" t="str">
        <f t="shared" ca="1" si="785"/>
        <v/>
      </c>
      <c r="AG1920" s="531" t="str">
        <f t="shared" ca="1" si="786"/>
        <v/>
      </c>
      <c r="AH1920" s="531" t="str">
        <f t="shared" ca="1" si="787"/>
        <v/>
      </c>
      <c r="AI1920" s="531" t="str">
        <f t="shared" ca="1" si="788"/>
        <v/>
      </c>
      <c r="AJ1920" s="531" t="str">
        <f t="shared" si="789"/>
        <v/>
      </c>
      <c r="AK1920" s="540">
        <f>SUMIFS('Live Collections'!$S:$S,'Live Collections'!$D:$D,Disbursements!B1920,'Live Collections'!$G:$G,Disbursements!C1920)</f>
        <v>0</v>
      </c>
      <c r="AL1920" s="540">
        <f>SUMIFS('Live Collections'!$T:$T,'Live Collections'!$D:$D,Disbursements!B1920,'Live Collections'!$G:$G,Disbursements!C1920)</f>
        <v>0</v>
      </c>
      <c r="AM1920" s="541">
        <f t="shared" si="790"/>
        <v>0</v>
      </c>
      <c r="AN1920" s="542" t="str">
        <f t="shared" si="791"/>
        <v/>
      </c>
      <c r="AO1920" s="542" t="str">
        <f t="shared" si="792"/>
        <v/>
      </c>
      <c r="AP1920" s="543" t="str">
        <f t="shared" si="793"/>
        <v/>
      </c>
      <c r="AQ1920" s="544" t="str">
        <f t="shared" si="794"/>
        <v/>
      </c>
      <c r="AR1920" s="545">
        <f t="shared" si="795"/>
        <v>0</v>
      </c>
      <c r="AS1920" s="545">
        <f>IFERROR(CEILING($AR1920*VLOOKUP($I1920,Ref!$B$23:$E$29,4,0),1),0)</f>
        <v>0</v>
      </c>
      <c r="AT1920" s="545" t="str">
        <f>IF(A1920="","",IF(AP1920&lt;=1,"Cleared",IF(AS1920=0,"Clean",VLOOKUP($AS1920,Ref!$G$23:$H$28,2))))</f>
        <v/>
      </c>
      <c r="AU1920" s="546" t="str">
        <f t="shared" si="796"/>
        <v/>
      </c>
    </row>
    <row r="1921" spans="1:47" ht="14.25" hidden="1" customHeight="1" x14ac:dyDescent="0.15">
      <c r="A1921" s="575"/>
      <c r="B1921" s="548"/>
      <c r="C1921" s="548"/>
      <c r="D1921" s="548"/>
      <c r="E1921" s="583"/>
      <c r="F1921" s="584"/>
      <c r="G1921" s="548"/>
      <c r="H1921" s="550"/>
      <c r="I1921" s="560"/>
      <c r="J1921" s="548"/>
      <c r="K1921" s="528" t="str">
        <f>IFERROR(VLOOKUP($B1921,'Clients-Live'!$A:$C,3,0),"")</f>
        <v/>
      </c>
      <c r="L1921" s="528">
        <f>IF(E1921="STL",Pricing!$D$38,IF(A1921="",0,IF(A1921&lt;Pricing!$C$25,Pricing!$D$25,VLOOKUP(Disbursements!$F1921,Pricing!$B$29:$D$32,3))))</f>
        <v>0</v>
      </c>
      <c r="M1921" s="528">
        <f>IF(E1921="STL",0,IF(F1921&gt;0,Pricing!$D$21,0))</f>
        <v>0</v>
      </c>
      <c r="N1921" s="529">
        <f>IF(E1921="STL",F1921*Pricing!$D$40,IF(A1921&lt;=Pricing!$C$4,0,IF(AND(A1921&gt;Pricing!$C$4,Disbursements!A1921&lt;=Pricing!$C$5),F1921*Pricing!$E$5,IF(AND(A1921&gt;Pricing!$C$5,Disbursements!A1921&lt;=Pricing!$C$7),VLOOKUP(F1921,Pricing!$D$7:$E$8,2)*Disbursements!F1921,F1921*Pricing!$E$9))))</f>
        <v>0</v>
      </c>
      <c r="O1921" s="528">
        <f>IF(E1921="STL",0,IF($F1921&gt;0,$F1921*Pricing!$D$17,0))</f>
        <v>0</v>
      </c>
      <c r="P1921" s="530" t="str">
        <f t="shared" si="776"/>
        <v/>
      </c>
      <c r="Q1921" s="531" t="str">
        <f>IF($A1921="","",$G1921/VLOOKUP($I1921,Ref!$B$23:$D$29,2,0))</f>
        <v/>
      </c>
      <c r="R1921" s="530" t="str">
        <f t="shared" si="777"/>
        <v/>
      </c>
      <c r="S1921" s="532" t="str">
        <f t="shared" si="771"/>
        <v/>
      </c>
      <c r="T1921" s="531" t="str">
        <f t="shared" si="778"/>
        <v/>
      </c>
      <c r="U1921" s="533">
        <f t="shared" si="779"/>
        <v>0</v>
      </c>
      <c r="V1921" s="531" t="str">
        <f t="shared" si="780"/>
        <v/>
      </c>
      <c r="W1921" s="531" t="str">
        <f t="shared" si="781"/>
        <v/>
      </c>
      <c r="X1921" s="534" t="str">
        <f t="shared" si="782"/>
        <v/>
      </c>
      <c r="Y1921" s="535" t="str">
        <f>IF($A1921="","",IF($I1921="weekly",$A1921+7,EDATE($A1921,VLOOKUP($I1921,Ref!$B$24:$C$29,2,0))))</f>
        <v/>
      </c>
      <c r="Z1921" s="536" t="str">
        <f t="shared" si="783"/>
        <v/>
      </c>
      <c r="AA1921" s="531">
        <f t="shared" si="784"/>
        <v>0</v>
      </c>
      <c r="AB1921" s="535" t="str">
        <f t="shared" si="772"/>
        <v/>
      </c>
      <c r="AC1921" s="537" t="str">
        <f t="shared" si="773"/>
        <v/>
      </c>
      <c r="AD1921" s="538" t="str">
        <f t="shared" ca="1" si="774"/>
        <v/>
      </c>
      <c r="AE1921" s="537">
        <f t="shared" ca="1" si="775"/>
        <v>0</v>
      </c>
      <c r="AF1921" s="539" t="str">
        <f t="shared" ca="1" si="785"/>
        <v/>
      </c>
      <c r="AG1921" s="531" t="str">
        <f t="shared" ca="1" si="786"/>
        <v/>
      </c>
      <c r="AH1921" s="531" t="str">
        <f t="shared" ca="1" si="787"/>
        <v/>
      </c>
      <c r="AI1921" s="531" t="str">
        <f t="shared" ca="1" si="788"/>
        <v/>
      </c>
      <c r="AJ1921" s="531" t="str">
        <f t="shared" si="789"/>
        <v/>
      </c>
      <c r="AK1921" s="540">
        <f>SUMIFS('Live Collections'!$S:$S,'Live Collections'!$D:$D,Disbursements!B1921,'Live Collections'!$G:$G,Disbursements!C1921)</f>
        <v>0</v>
      </c>
      <c r="AL1921" s="540">
        <f>SUMIFS('Live Collections'!$T:$T,'Live Collections'!$D:$D,Disbursements!B1921,'Live Collections'!$G:$G,Disbursements!C1921)</f>
        <v>0</v>
      </c>
      <c r="AM1921" s="541">
        <f t="shared" si="790"/>
        <v>0</v>
      </c>
      <c r="AN1921" s="542" t="str">
        <f t="shared" si="791"/>
        <v/>
      </c>
      <c r="AO1921" s="542" t="str">
        <f t="shared" si="792"/>
        <v/>
      </c>
      <c r="AP1921" s="543" t="str">
        <f t="shared" si="793"/>
        <v/>
      </c>
      <c r="AQ1921" s="544" t="str">
        <f t="shared" si="794"/>
        <v/>
      </c>
      <c r="AR1921" s="545">
        <f t="shared" si="795"/>
        <v>0</v>
      </c>
      <c r="AS1921" s="545">
        <f>IFERROR(CEILING($AR1921*VLOOKUP($I1921,Ref!$B$23:$E$29,4,0),1),0)</f>
        <v>0</v>
      </c>
      <c r="AT1921" s="545" t="str">
        <f>IF(A1921="","",IF(AP1921&lt;=1,"Cleared",IF(AS1921=0,"Clean",VLOOKUP($AS1921,Ref!$G$23:$H$28,2))))</f>
        <v/>
      </c>
      <c r="AU1921" s="546" t="str">
        <f t="shared" si="796"/>
        <v/>
      </c>
    </row>
    <row r="1922" spans="1:47" ht="14.25" hidden="1" customHeight="1" x14ac:dyDescent="0.15">
      <c r="A1922" s="575"/>
      <c r="B1922" s="548"/>
      <c r="C1922" s="548"/>
      <c r="D1922" s="548"/>
      <c r="E1922" s="583"/>
      <c r="F1922" s="584"/>
      <c r="G1922" s="548"/>
      <c r="H1922" s="550"/>
      <c r="I1922" s="560"/>
      <c r="J1922" s="548"/>
      <c r="K1922" s="528" t="str">
        <f>IFERROR(VLOOKUP($B1922,'Clients-Live'!$A:$C,3,0),"")</f>
        <v/>
      </c>
      <c r="L1922" s="528">
        <f>IF(E1922="STL",Pricing!$D$38,IF(A1922="",0,IF(A1922&lt;Pricing!$C$25,Pricing!$D$25,VLOOKUP(Disbursements!$F1922,Pricing!$B$29:$D$32,3))))</f>
        <v>0</v>
      </c>
      <c r="M1922" s="528">
        <f>IF(E1922="STL",0,IF(F1922&gt;0,Pricing!$D$21,0))</f>
        <v>0</v>
      </c>
      <c r="N1922" s="529">
        <f>IF(E1922="STL",F1922*Pricing!$D$40,IF(A1922&lt;=Pricing!$C$4,0,IF(AND(A1922&gt;Pricing!$C$4,Disbursements!A1922&lt;=Pricing!$C$5),F1922*Pricing!$E$5,IF(AND(A1922&gt;Pricing!$C$5,Disbursements!A1922&lt;=Pricing!$C$7),VLOOKUP(F1922,Pricing!$D$7:$E$8,2)*Disbursements!F1922,F1922*Pricing!$E$9))))</f>
        <v>0</v>
      </c>
      <c r="O1922" s="528">
        <f>IF(E1922="STL",0,IF($F1922&gt;0,$F1922*Pricing!$D$17,0))</f>
        <v>0</v>
      </c>
      <c r="P1922" s="530" t="str">
        <f t="shared" si="776"/>
        <v/>
      </c>
      <c r="Q1922" s="531" t="str">
        <f>IF($A1922="","",$G1922/VLOOKUP($I1922,Ref!$B$23:$D$29,2,0))</f>
        <v/>
      </c>
      <c r="R1922" s="530" t="str">
        <f t="shared" si="777"/>
        <v/>
      </c>
      <c r="S1922" s="532" t="str">
        <f t="shared" si="771"/>
        <v/>
      </c>
      <c r="T1922" s="531" t="str">
        <f t="shared" si="778"/>
        <v/>
      </c>
      <c r="U1922" s="533">
        <f t="shared" si="779"/>
        <v>0</v>
      </c>
      <c r="V1922" s="531" t="str">
        <f t="shared" si="780"/>
        <v/>
      </c>
      <c r="W1922" s="531" t="str">
        <f t="shared" si="781"/>
        <v/>
      </c>
      <c r="X1922" s="534" t="str">
        <f t="shared" si="782"/>
        <v/>
      </c>
      <c r="Y1922" s="535" t="str">
        <f>IF($A1922="","",IF($I1922="weekly",$A1922+7,EDATE($A1922,VLOOKUP($I1922,Ref!$B$24:$C$29,2,0))))</f>
        <v/>
      </c>
      <c r="Z1922" s="536" t="str">
        <f t="shared" si="783"/>
        <v/>
      </c>
      <c r="AA1922" s="531">
        <f t="shared" si="784"/>
        <v>0</v>
      </c>
      <c r="AB1922" s="535" t="str">
        <f t="shared" si="772"/>
        <v/>
      </c>
      <c r="AC1922" s="537" t="str">
        <f t="shared" si="773"/>
        <v/>
      </c>
      <c r="AD1922" s="538" t="str">
        <f t="shared" ca="1" si="774"/>
        <v/>
      </c>
      <c r="AE1922" s="537">
        <f t="shared" ca="1" si="775"/>
        <v>0</v>
      </c>
      <c r="AF1922" s="539" t="str">
        <f t="shared" ca="1" si="785"/>
        <v/>
      </c>
      <c r="AG1922" s="531" t="str">
        <f t="shared" ca="1" si="786"/>
        <v/>
      </c>
      <c r="AH1922" s="531" t="str">
        <f t="shared" ca="1" si="787"/>
        <v/>
      </c>
      <c r="AI1922" s="531" t="str">
        <f t="shared" ca="1" si="788"/>
        <v/>
      </c>
      <c r="AJ1922" s="531" t="str">
        <f t="shared" si="789"/>
        <v/>
      </c>
      <c r="AK1922" s="540">
        <f>SUMIFS('Live Collections'!$S:$S,'Live Collections'!$D:$D,Disbursements!B1922,'Live Collections'!$G:$G,Disbursements!C1922)</f>
        <v>0</v>
      </c>
      <c r="AL1922" s="540">
        <f>SUMIFS('Live Collections'!$T:$T,'Live Collections'!$D:$D,Disbursements!B1922,'Live Collections'!$G:$G,Disbursements!C1922)</f>
        <v>0</v>
      </c>
      <c r="AM1922" s="541">
        <f t="shared" si="790"/>
        <v>0</v>
      </c>
      <c r="AN1922" s="542" t="str">
        <f t="shared" si="791"/>
        <v/>
      </c>
      <c r="AO1922" s="542" t="str">
        <f t="shared" si="792"/>
        <v/>
      </c>
      <c r="AP1922" s="543" t="str">
        <f t="shared" si="793"/>
        <v/>
      </c>
      <c r="AQ1922" s="544" t="str">
        <f t="shared" si="794"/>
        <v/>
      </c>
      <c r="AR1922" s="545">
        <f t="shared" si="795"/>
        <v>0</v>
      </c>
      <c r="AS1922" s="545">
        <f>IFERROR(CEILING($AR1922*VLOOKUP($I1922,Ref!$B$23:$E$29,4,0),1),0)</f>
        <v>0</v>
      </c>
      <c r="AT1922" s="545" t="str">
        <f>IF(A1922="","",IF(AP1922&lt;=1,"Cleared",IF(AS1922=0,"Clean",VLOOKUP($AS1922,Ref!$G$23:$H$28,2))))</f>
        <v/>
      </c>
      <c r="AU1922" s="546" t="str">
        <f t="shared" si="796"/>
        <v/>
      </c>
    </row>
    <row r="1923" spans="1:47" ht="14.25" hidden="1" customHeight="1" x14ac:dyDescent="0.15">
      <c r="A1923" s="575"/>
      <c r="B1923" s="548"/>
      <c r="C1923" s="548"/>
      <c r="D1923" s="548"/>
      <c r="E1923" s="583"/>
      <c r="F1923" s="584"/>
      <c r="G1923" s="548"/>
      <c r="H1923" s="550"/>
      <c r="I1923" s="560"/>
      <c r="J1923" s="548"/>
      <c r="K1923" s="528" t="str">
        <f>IFERROR(VLOOKUP($B1923,'Clients-Live'!$A:$C,3,0),"")</f>
        <v/>
      </c>
      <c r="L1923" s="528">
        <f>IF(E1923="STL",Pricing!$D$38,IF(A1923="",0,IF(A1923&lt;Pricing!$C$25,Pricing!$D$25,VLOOKUP(Disbursements!$F1923,Pricing!$B$29:$D$32,3))))</f>
        <v>0</v>
      </c>
      <c r="M1923" s="528">
        <f>IF(E1923="STL",0,IF(F1923&gt;0,Pricing!$D$21,0))</f>
        <v>0</v>
      </c>
      <c r="N1923" s="529">
        <f>IF(E1923="STL",F1923*Pricing!$D$40,IF(A1923&lt;=Pricing!$C$4,0,IF(AND(A1923&gt;Pricing!$C$4,Disbursements!A1923&lt;=Pricing!$C$5),F1923*Pricing!$E$5,IF(AND(A1923&gt;Pricing!$C$5,Disbursements!A1923&lt;=Pricing!$C$7),VLOOKUP(F1923,Pricing!$D$7:$E$8,2)*Disbursements!F1923,F1923*Pricing!$E$9))))</f>
        <v>0</v>
      </c>
      <c r="O1923" s="528">
        <f>IF(E1923="STL",0,IF($F1923&gt;0,$F1923*Pricing!$D$17,0))</f>
        <v>0</v>
      </c>
      <c r="P1923" s="530" t="str">
        <f t="shared" si="776"/>
        <v/>
      </c>
      <c r="Q1923" s="531" t="str">
        <f>IF($A1923="","",$G1923/VLOOKUP($I1923,Ref!$B$23:$D$29,2,0))</f>
        <v/>
      </c>
      <c r="R1923" s="530" t="str">
        <f t="shared" si="777"/>
        <v/>
      </c>
      <c r="S1923" s="532" t="str">
        <f t="shared" si="771"/>
        <v/>
      </c>
      <c r="T1923" s="531" t="str">
        <f t="shared" si="778"/>
        <v/>
      </c>
      <c r="U1923" s="533">
        <f t="shared" si="779"/>
        <v>0</v>
      </c>
      <c r="V1923" s="531" t="str">
        <f t="shared" si="780"/>
        <v/>
      </c>
      <c r="W1923" s="531" t="str">
        <f t="shared" si="781"/>
        <v/>
      </c>
      <c r="X1923" s="534" t="str">
        <f t="shared" si="782"/>
        <v/>
      </c>
      <c r="Y1923" s="535" t="str">
        <f>IF($A1923="","",IF($I1923="weekly",$A1923+7,EDATE($A1923,VLOOKUP($I1923,Ref!$B$24:$C$29,2,0))))</f>
        <v/>
      </c>
      <c r="Z1923" s="536" t="str">
        <f t="shared" si="783"/>
        <v/>
      </c>
      <c r="AA1923" s="531">
        <f t="shared" si="784"/>
        <v>0</v>
      </c>
      <c r="AB1923" s="535" t="str">
        <f t="shared" si="772"/>
        <v/>
      </c>
      <c r="AC1923" s="537" t="str">
        <f t="shared" si="773"/>
        <v/>
      </c>
      <c r="AD1923" s="538" t="str">
        <f t="shared" ca="1" si="774"/>
        <v/>
      </c>
      <c r="AE1923" s="537">
        <f t="shared" ca="1" si="775"/>
        <v>0</v>
      </c>
      <c r="AF1923" s="539" t="str">
        <f t="shared" ca="1" si="785"/>
        <v/>
      </c>
      <c r="AG1923" s="531" t="str">
        <f t="shared" ca="1" si="786"/>
        <v/>
      </c>
      <c r="AH1923" s="531" t="str">
        <f t="shared" ca="1" si="787"/>
        <v/>
      </c>
      <c r="AI1923" s="531" t="str">
        <f t="shared" ca="1" si="788"/>
        <v/>
      </c>
      <c r="AJ1923" s="531" t="str">
        <f t="shared" si="789"/>
        <v/>
      </c>
      <c r="AK1923" s="540">
        <f>SUMIFS('Live Collections'!$S:$S,'Live Collections'!$D:$D,Disbursements!B1923,'Live Collections'!$G:$G,Disbursements!C1923)</f>
        <v>0</v>
      </c>
      <c r="AL1923" s="540">
        <f>SUMIFS('Live Collections'!$T:$T,'Live Collections'!$D:$D,Disbursements!B1923,'Live Collections'!$G:$G,Disbursements!C1923)</f>
        <v>0</v>
      </c>
      <c r="AM1923" s="541">
        <f t="shared" si="790"/>
        <v>0</v>
      </c>
      <c r="AN1923" s="542" t="str">
        <f t="shared" si="791"/>
        <v/>
      </c>
      <c r="AO1923" s="542" t="str">
        <f t="shared" si="792"/>
        <v/>
      </c>
      <c r="AP1923" s="543" t="str">
        <f t="shared" si="793"/>
        <v/>
      </c>
      <c r="AQ1923" s="544" t="str">
        <f t="shared" si="794"/>
        <v/>
      </c>
      <c r="AR1923" s="545">
        <f t="shared" si="795"/>
        <v>0</v>
      </c>
      <c r="AS1923" s="545">
        <f>IFERROR(CEILING($AR1923*VLOOKUP($I1923,Ref!$B$23:$E$29,4,0),1),0)</f>
        <v>0</v>
      </c>
      <c r="AT1923" s="545" t="str">
        <f>IF(A1923="","",IF(AP1923&lt;=1,"Cleared",IF(AS1923=0,"Clean",VLOOKUP($AS1923,Ref!$G$23:$H$28,2))))</f>
        <v/>
      </c>
      <c r="AU1923" s="546" t="str">
        <f t="shared" si="796"/>
        <v/>
      </c>
    </row>
    <row r="1924" spans="1:47" ht="14.25" hidden="1" customHeight="1" x14ac:dyDescent="0.15">
      <c r="A1924" s="575"/>
      <c r="B1924" s="548"/>
      <c r="C1924" s="548"/>
      <c r="D1924" s="548"/>
      <c r="E1924" s="583"/>
      <c r="F1924" s="584"/>
      <c r="G1924" s="548"/>
      <c r="H1924" s="550"/>
      <c r="I1924" s="560"/>
      <c r="J1924" s="548"/>
      <c r="K1924" s="528" t="str">
        <f>IFERROR(VLOOKUP($B1924,'Clients-Live'!$A:$C,3,0),"")</f>
        <v/>
      </c>
      <c r="L1924" s="528">
        <f>IF(E1924="STL",Pricing!$D$38,IF(A1924="",0,IF(A1924&lt;Pricing!$C$25,Pricing!$D$25,VLOOKUP(Disbursements!$F1924,Pricing!$B$29:$D$32,3))))</f>
        <v>0</v>
      </c>
      <c r="M1924" s="528">
        <f>IF(E1924="STL",0,IF(F1924&gt;0,Pricing!$D$21,0))</f>
        <v>0</v>
      </c>
      <c r="N1924" s="529">
        <f>IF(E1924="STL",F1924*Pricing!$D$40,IF(A1924&lt;=Pricing!$C$4,0,IF(AND(A1924&gt;Pricing!$C$4,Disbursements!A1924&lt;=Pricing!$C$5),F1924*Pricing!$E$5,IF(AND(A1924&gt;Pricing!$C$5,Disbursements!A1924&lt;=Pricing!$C$7),VLOOKUP(F1924,Pricing!$D$7:$E$8,2)*Disbursements!F1924,F1924*Pricing!$E$9))))</f>
        <v>0</v>
      </c>
      <c r="O1924" s="528">
        <f>IF(E1924="STL",0,IF($F1924&gt;0,$F1924*Pricing!$D$17,0))</f>
        <v>0</v>
      </c>
      <c r="P1924" s="530" t="str">
        <f t="shared" si="776"/>
        <v/>
      </c>
      <c r="Q1924" s="531" t="str">
        <f>IF($A1924="","",$G1924/VLOOKUP($I1924,Ref!$B$23:$D$29,2,0))</f>
        <v/>
      </c>
      <c r="R1924" s="530" t="str">
        <f t="shared" si="777"/>
        <v/>
      </c>
      <c r="S1924" s="532" t="str">
        <f t="shared" ref="S1924:S1987" si="797">IF($A1924="","",$R1924/$Q1924)</f>
        <v/>
      </c>
      <c r="T1924" s="531" t="str">
        <f t="shared" si="778"/>
        <v/>
      </c>
      <c r="U1924" s="533">
        <f t="shared" si="779"/>
        <v>0</v>
      </c>
      <c r="V1924" s="531" t="str">
        <f t="shared" si="780"/>
        <v/>
      </c>
      <c r="W1924" s="531" t="str">
        <f t="shared" si="781"/>
        <v/>
      </c>
      <c r="X1924" s="534" t="str">
        <f t="shared" si="782"/>
        <v/>
      </c>
      <c r="Y1924" s="535" t="str">
        <f>IF($A1924="","",IF($I1924="weekly",$A1924+7,EDATE($A1924,VLOOKUP($I1924,Ref!$B$24:$C$29,2,0))))</f>
        <v/>
      </c>
      <c r="Z1924" s="536" t="str">
        <f t="shared" si="783"/>
        <v/>
      </c>
      <c r="AA1924" s="531">
        <f t="shared" si="784"/>
        <v>0</v>
      </c>
      <c r="AB1924" s="535" t="str">
        <f t="shared" ref="AB1924:AB1987" si="798">IF($A1924="","",EDATE($A1924,$G1924))</f>
        <v/>
      </c>
      <c r="AC1924" s="537" t="str">
        <f t="shared" ref="AC1924:AC1987" si="799">IFERROR($AB1924-$A1924,"")</f>
        <v/>
      </c>
      <c r="AD1924" s="538" t="str">
        <f t="shared" ref="AD1924:AD1987" ca="1" si="800">IFERROR(IF(TODAY()-$A1924&lt;$AB1924-$A1924,TODAY()-$A1924,"Expired"),"")</f>
        <v/>
      </c>
      <c r="AE1924" s="537">
        <f t="shared" ref="AE1924:AE1987" ca="1" si="801">IFERROR($AC1924-$AD1924,0)</f>
        <v>0</v>
      </c>
      <c r="AF1924" s="539" t="str">
        <f t="shared" ca="1" si="785"/>
        <v/>
      </c>
      <c r="AG1924" s="531" t="str">
        <f t="shared" ca="1" si="786"/>
        <v/>
      </c>
      <c r="AH1924" s="531" t="str">
        <f t="shared" ca="1" si="787"/>
        <v/>
      </c>
      <c r="AI1924" s="531" t="str">
        <f t="shared" ca="1" si="788"/>
        <v/>
      </c>
      <c r="AJ1924" s="531" t="str">
        <f t="shared" si="789"/>
        <v/>
      </c>
      <c r="AK1924" s="540">
        <f>SUMIFS('Live Collections'!$S:$S,'Live Collections'!$D:$D,Disbursements!B1924,'Live Collections'!$G:$G,Disbursements!C1924)</f>
        <v>0</v>
      </c>
      <c r="AL1924" s="540">
        <f>SUMIFS('Live Collections'!$T:$T,'Live Collections'!$D:$D,Disbursements!B1924,'Live Collections'!$G:$G,Disbursements!C1924)</f>
        <v>0</v>
      </c>
      <c r="AM1924" s="541">
        <f t="shared" si="790"/>
        <v>0</v>
      </c>
      <c r="AN1924" s="542" t="str">
        <f t="shared" si="791"/>
        <v/>
      </c>
      <c r="AO1924" s="542" t="str">
        <f t="shared" si="792"/>
        <v/>
      </c>
      <c r="AP1924" s="543" t="str">
        <f t="shared" si="793"/>
        <v/>
      </c>
      <c r="AQ1924" s="544" t="str">
        <f t="shared" si="794"/>
        <v/>
      </c>
      <c r="AR1924" s="545">
        <f t="shared" si="795"/>
        <v>0</v>
      </c>
      <c r="AS1924" s="545">
        <f>IFERROR(CEILING($AR1924*VLOOKUP($I1924,Ref!$B$23:$E$29,4,0),1),0)</f>
        <v>0</v>
      </c>
      <c r="AT1924" s="545" t="str">
        <f>IF(A1924="","",IF(AP1924&lt;=1,"Cleared",IF(AS1924=0,"Clean",VLOOKUP($AS1924,Ref!$G$23:$H$28,2))))</f>
        <v/>
      </c>
      <c r="AU1924" s="546" t="str">
        <f t="shared" si="796"/>
        <v/>
      </c>
    </row>
    <row r="1925" spans="1:47" ht="14.25" hidden="1" customHeight="1" x14ac:dyDescent="0.15">
      <c r="A1925" s="575"/>
      <c r="B1925" s="548"/>
      <c r="C1925" s="548"/>
      <c r="D1925" s="548"/>
      <c r="E1925" s="583"/>
      <c r="F1925" s="584"/>
      <c r="G1925" s="548"/>
      <c r="H1925" s="550"/>
      <c r="I1925" s="560"/>
      <c r="J1925" s="548"/>
      <c r="K1925" s="528" t="str">
        <f>IFERROR(VLOOKUP($B1925,'Clients-Live'!$A:$C,3,0),"")</f>
        <v/>
      </c>
      <c r="L1925" s="528">
        <f>IF(E1925="STL",Pricing!$D$38,IF(A1925="",0,IF(A1925&lt;Pricing!$C$25,Pricing!$D$25,VLOOKUP(Disbursements!$F1925,Pricing!$B$29:$D$32,3))))</f>
        <v>0</v>
      </c>
      <c r="M1925" s="528">
        <f>IF(E1925="STL",0,IF(F1925&gt;0,Pricing!$D$21,0))</f>
        <v>0</v>
      </c>
      <c r="N1925" s="529">
        <f>IF(E1925="STL",F1925*Pricing!$D$40,IF(A1925&lt;=Pricing!$C$4,0,IF(AND(A1925&gt;Pricing!$C$4,Disbursements!A1925&lt;=Pricing!$C$5),F1925*Pricing!$E$5,IF(AND(A1925&gt;Pricing!$C$5,Disbursements!A1925&lt;=Pricing!$C$7),VLOOKUP(F1925,Pricing!$D$7:$E$8,2)*Disbursements!F1925,F1925*Pricing!$E$9))))</f>
        <v>0</v>
      </c>
      <c r="O1925" s="528">
        <f>IF(E1925="STL",0,IF($F1925&gt;0,$F1925*Pricing!$D$17,0))</f>
        <v>0</v>
      </c>
      <c r="P1925" s="530" t="str">
        <f t="shared" ref="P1925:P1988" si="802">IF($A1925="","",$H1925*$F1925*$G1925)</f>
        <v/>
      </c>
      <c r="Q1925" s="531" t="str">
        <f>IF($A1925="","",$G1925/VLOOKUP($I1925,Ref!$B$23:$D$29,2,0))</f>
        <v/>
      </c>
      <c r="R1925" s="530" t="str">
        <f t="shared" ref="R1925:R1988" si="803">IF($A1925="","",$F1925+$P1925)</f>
        <v/>
      </c>
      <c r="S1925" s="532" t="str">
        <f t="shared" si="797"/>
        <v/>
      </c>
      <c r="T1925" s="531" t="str">
        <f t="shared" ref="T1925:T1988" si="804">IF(R1925="","",CEILING(S1925,1000))</f>
        <v/>
      </c>
      <c r="U1925" s="533">
        <f t="shared" ref="U1925:U1988" si="805">IFERROR(T1925*Q1925,0)</f>
        <v>0</v>
      </c>
      <c r="V1925" s="531" t="str">
        <f t="shared" ref="V1925:V1988" si="806">IF(T1925="","",F1925/Q1925)</f>
        <v/>
      </c>
      <c r="W1925" s="531" t="str">
        <f t="shared" ref="W1925:W1988" si="807">IF(T1925="","",T1925-V1925)</f>
        <v/>
      </c>
      <c r="X1925" s="534" t="str">
        <f t="shared" ref="X1925:X1988" si="808">IF(A1925="","",W1925*Q1925)</f>
        <v/>
      </c>
      <c r="Y1925" s="535" t="str">
        <f>IF($A1925="","",IF($I1925="weekly",$A1925+7,EDATE($A1925,VLOOKUP($I1925,Ref!$B$24:$C$29,2,0))))</f>
        <v/>
      </c>
      <c r="Z1925" s="536" t="str">
        <f t="shared" ref="Z1925:Z1988" si="809">IFERROR(CHOOSE(WEEKDAY(Y1925),"Sun","Mon","Tue","Wed","Thu","Frid","Sat"),"")</f>
        <v/>
      </c>
      <c r="AA1925" s="531">
        <f t="shared" ref="AA1925:AA1988" si="810">IFERROR(Y1925-A1925,0)</f>
        <v>0</v>
      </c>
      <c r="AB1925" s="535" t="str">
        <f t="shared" si="798"/>
        <v/>
      </c>
      <c r="AC1925" s="537" t="str">
        <f t="shared" si="799"/>
        <v/>
      </c>
      <c r="AD1925" s="538" t="str">
        <f t="shared" ca="1" si="800"/>
        <v/>
      </c>
      <c r="AE1925" s="537">
        <f t="shared" ca="1" si="801"/>
        <v>0</v>
      </c>
      <c r="AF1925" s="539" t="str">
        <f t="shared" ref="AF1925:AF1988" ca="1" si="811">IFERROR(IF(AD1925="Expired",Q1925,IF(AD1925&gt;AA1925,AD1925/AA1925,0)),"")</f>
        <v/>
      </c>
      <c r="AG1925" s="531" t="str">
        <f t="shared" ref="AG1925:AG1988" ca="1" si="812">IFERROR(AF1925*T1925,"")</f>
        <v/>
      </c>
      <c r="AH1925" s="531" t="str">
        <f t="shared" ref="AH1925:AH1988" ca="1" si="813">IFERROR(AF1925*W1925,"")</f>
        <v/>
      </c>
      <c r="AI1925" s="531" t="str">
        <f t="shared" ref="AI1925:AI1988" ca="1" si="814">IFERROR(AF1925*V1925,"")</f>
        <v/>
      </c>
      <c r="AJ1925" s="531" t="str">
        <f t="shared" ref="AJ1925:AJ1988" si="815">IF(F1925=0,"",U1925-AG1925)</f>
        <v/>
      </c>
      <c r="AK1925" s="540">
        <f>SUMIFS('Live Collections'!$S:$S,'Live Collections'!$D:$D,Disbursements!B1925,'Live Collections'!$G:$G,Disbursements!C1925)</f>
        <v>0</v>
      </c>
      <c r="AL1925" s="540">
        <f>SUMIFS('Live Collections'!$T:$T,'Live Collections'!$D:$D,Disbursements!B1925,'Live Collections'!$G:$G,Disbursements!C1925)</f>
        <v>0</v>
      </c>
      <c r="AM1925" s="541">
        <f t="shared" ref="AM1925:AM1988" si="816">SUM(AK1925:AL1925)</f>
        <v>0</v>
      </c>
      <c r="AN1925" s="542" t="str">
        <f t="shared" ref="AN1925:AN1988" si="817">IFERROR(W1925*Q1925-AK1925,"")</f>
        <v/>
      </c>
      <c r="AO1925" s="542" t="str">
        <f t="shared" ref="AO1925:AO1988" si="818">IF(F1925="","",(F1925-AL1925))</f>
        <v/>
      </c>
      <c r="AP1925" s="543" t="str">
        <f t="shared" ref="AP1925:AP1988" si="819">IF(F1925="","",SUM(AN1925:AO1925))</f>
        <v/>
      </c>
      <c r="AQ1925" s="544" t="str">
        <f t="shared" ref="AQ1925:AQ1988" si="820">IF(AP1925&gt;AJ1925,AP1925-AJ1925,"")</f>
        <v/>
      </c>
      <c r="AR1925" s="545">
        <f t="shared" ref="AR1925:AR1988" si="821">IFERROR(AQ1925/T1925,0)</f>
        <v>0</v>
      </c>
      <c r="AS1925" s="545">
        <f>IFERROR(CEILING($AR1925*VLOOKUP($I1925,Ref!$B$23:$E$29,4,0),1),0)</f>
        <v>0</v>
      </c>
      <c r="AT1925" s="545" t="str">
        <f>IF(A1925="","",IF(AP1925&lt;=1,"Cleared",IF(AS1925=0,"Clean",VLOOKUP($AS1925,Ref!$G$23:$H$28,2))))</f>
        <v/>
      </c>
      <c r="AU1925" s="546" t="str">
        <f t="shared" ref="AU1925:AU1988" si="822">IF(F1925="","",IF(OR(AN1925&lt;0,AO1925&lt;0,AP1925&lt;0),"Error on Entry","Ok"))</f>
        <v/>
      </c>
    </row>
    <row r="1926" spans="1:47" ht="14.25" hidden="1" customHeight="1" x14ac:dyDescent="0.15">
      <c r="A1926" s="575"/>
      <c r="B1926" s="548"/>
      <c r="C1926" s="548"/>
      <c r="D1926" s="548"/>
      <c r="E1926" s="583"/>
      <c r="F1926" s="584"/>
      <c r="G1926" s="548"/>
      <c r="H1926" s="550"/>
      <c r="I1926" s="560"/>
      <c r="J1926" s="548"/>
      <c r="K1926" s="528" t="str">
        <f>IFERROR(VLOOKUP($B1926,'Clients-Live'!$A:$C,3,0),"")</f>
        <v/>
      </c>
      <c r="L1926" s="528">
        <f>IF(E1926="STL",Pricing!$D$38,IF(A1926="",0,IF(A1926&lt;Pricing!$C$25,Pricing!$D$25,VLOOKUP(Disbursements!$F1926,Pricing!$B$29:$D$32,3))))</f>
        <v>0</v>
      </c>
      <c r="M1926" s="528">
        <f>IF(E1926="STL",0,IF(F1926&gt;0,Pricing!$D$21,0))</f>
        <v>0</v>
      </c>
      <c r="N1926" s="529">
        <f>IF(E1926="STL",F1926*Pricing!$D$40,IF(A1926&lt;=Pricing!$C$4,0,IF(AND(A1926&gt;Pricing!$C$4,Disbursements!A1926&lt;=Pricing!$C$5),F1926*Pricing!$E$5,IF(AND(A1926&gt;Pricing!$C$5,Disbursements!A1926&lt;=Pricing!$C$7),VLOOKUP(F1926,Pricing!$D$7:$E$8,2)*Disbursements!F1926,F1926*Pricing!$E$9))))</f>
        <v>0</v>
      </c>
      <c r="O1926" s="528">
        <f>IF(E1926="STL",0,IF($F1926&gt;0,$F1926*Pricing!$D$17,0))</f>
        <v>0</v>
      </c>
      <c r="P1926" s="530" t="str">
        <f t="shared" si="802"/>
        <v/>
      </c>
      <c r="Q1926" s="531" t="str">
        <f>IF($A1926="","",$G1926/VLOOKUP($I1926,Ref!$B$23:$D$29,2,0))</f>
        <v/>
      </c>
      <c r="R1926" s="530" t="str">
        <f t="shared" si="803"/>
        <v/>
      </c>
      <c r="S1926" s="532" t="str">
        <f t="shared" si="797"/>
        <v/>
      </c>
      <c r="T1926" s="531" t="str">
        <f t="shared" si="804"/>
        <v/>
      </c>
      <c r="U1926" s="533">
        <f t="shared" si="805"/>
        <v>0</v>
      </c>
      <c r="V1926" s="531" t="str">
        <f t="shared" si="806"/>
        <v/>
      </c>
      <c r="W1926" s="531" t="str">
        <f t="shared" si="807"/>
        <v/>
      </c>
      <c r="X1926" s="534" t="str">
        <f t="shared" si="808"/>
        <v/>
      </c>
      <c r="Y1926" s="535" t="str">
        <f>IF($A1926="","",IF($I1926="weekly",$A1926+7,EDATE($A1926,VLOOKUP($I1926,Ref!$B$24:$C$29,2,0))))</f>
        <v/>
      </c>
      <c r="Z1926" s="536" t="str">
        <f t="shared" si="809"/>
        <v/>
      </c>
      <c r="AA1926" s="531">
        <f t="shared" si="810"/>
        <v>0</v>
      </c>
      <c r="AB1926" s="535" t="str">
        <f t="shared" si="798"/>
        <v/>
      </c>
      <c r="AC1926" s="537" t="str">
        <f t="shared" si="799"/>
        <v/>
      </c>
      <c r="AD1926" s="538" t="str">
        <f t="shared" ca="1" si="800"/>
        <v/>
      </c>
      <c r="AE1926" s="537">
        <f t="shared" ca="1" si="801"/>
        <v>0</v>
      </c>
      <c r="AF1926" s="539" t="str">
        <f t="shared" ca="1" si="811"/>
        <v/>
      </c>
      <c r="AG1926" s="531" t="str">
        <f t="shared" ca="1" si="812"/>
        <v/>
      </c>
      <c r="AH1926" s="531" t="str">
        <f t="shared" ca="1" si="813"/>
        <v/>
      </c>
      <c r="AI1926" s="531" t="str">
        <f t="shared" ca="1" si="814"/>
        <v/>
      </c>
      <c r="AJ1926" s="531" t="str">
        <f t="shared" si="815"/>
        <v/>
      </c>
      <c r="AK1926" s="540">
        <f>SUMIFS('Live Collections'!$S:$S,'Live Collections'!$D:$D,Disbursements!B1926,'Live Collections'!$G:$G,Disbursements!C1926)</f>
        <v>0</v>
      </c>
      <c r="AL1926" s="540">
        <f>SUMIFS('Live Collections'!$T:$T,'Live Collections'!$D:$D,Disbursements!B1926,'Live Collections'!$G:$G,Disbursements!C1926)</f>
        <v>0</v>
      </c>
      <c r="AM1926" s="541">
        <f t="shared" si="816"/>
        <v>0</v>
      </c>
      <c r="AN1926" s="542" t="str">
        <f t="shared" si="817"/>
        <v/>
      </c>
      <c r="AO1926" s="542" t="str">
        <f t="shared" si="818"/>
        <v/>
      </c>
      <c r="AP1926" s="543" t="str">
        <f t="shared" si="819"/>
        <v/>
      </c>
      <c r="AQ1926" s="544" t="str">
        <f t="shared" si="820"/>
        <v/>
      </c>
      <c r="AR1926" s="545">
        <f t="shared" si="821"/>
        <v>0</v>
      </c>
      <c r="AS1926" s="545">
        <f>IFERROR(CEILING($AR1926*VLOOKUP($I1926,Ref!$B$23:$E$29,4,0),1),0)</f>
        <v>0</v>
      </c>
      <c r="AT1926" s="545" t="str">
        <f>IF(A1926="","",IF(AP1926&lt;=1,"Cleared",IF(AS1926=0,"Clean",VLOOKUP($AS1926,Ref!$G$23:$H$28,2))))</f>
        <v/>
      </c>
      <c r="AU1926" s="546" t="str">
        <f t="shared" si="822"/>
        <v/>
      </c>
    </row>
    <row r="1927" spans="1:47" ht="14.25" hidden="1" customHeight="1" x14ac:dyDescent="0.15">
      <c r="A1927" s="575"/>
      <c r="B1927" s="548"/>
      <c r="C1927" s="548"/>
      <c r="D1927" s="548"/>
      <c r="E1927" s="583"/>
      <c r="F1927" s="584"/>
      <c r="G1927" s="548"/>
      <c r="H1927" s="550"/>
      <c r="I1927" s="560"/>
      <c r="J1927" s="548"/>
      <c r="K1927" s="528" t="str">
        <f>IFERROR(VLOOKUP($B1927,'Clients-Live'!$A:$C,3,0),"")</f>
        <v/>
      </c>
      <c r="L1927" s="528">
        <f>IF(E1927="STL",Pricing!$D$38,IF(A1927="",0,IF(A1927&lt;Pricing!$C$25,Pricing!$D$25,VLOOKUP(Disbursements!$F1927,Pricing!$B$29:$D$32,3))))</f>
        <v>0</v>
      </c>
      <c r="M1927" s="528">
        <f>IF(E1927="STL",0,IF(F1927&gt;0,Pricing!$D$21,0))</f>
        <v>0</v>
      </c>
      <c r="N1927" s="529">
        <f>IF(E1927="STL",F1927*Pricing!$D$40,IF(A1927&lt;=Pricing!$C$4,0,IF(AND(A1927&gt;Pricing!$C$4,Disbursements!A1927&lt;=Pricing!$C$5),F1927*Pricing!$E$5,IF(AND(A1927&gt;Pricing!$C$5,Disbursements!A1927&lt;=Pricing!$C$7),VLOOKUP(F1927,Pricing!$D$7:$E$8,2)*Disbursements!F1927,F1927*Pricing!$E$9))))</f>
        <v>0</v>
      </c>
      <c r="O1927" s="528">
        <f>IF(E1927="STL",0,IF($F1927&gt;0,$F1927*Pricing!$D$17,0))</f>
        <v>0</v>
      </c>
      <c r="P1927" s="530" t="str">
        <f t="shared" si="802"/>
        <v/>
      </c>
      <c r="Q1927" s="531" t="str">
        <f>IF($A1927="","",$G1927/VLOOKUP($I1927,Ref!$B$23:$D$29,2,0))</f>
        <v/>
      </c>
      <c r="R1927" s="530" t="str">
        <f t="shared" si="803"/>
        <v/>
      </c>
      <c r="S1927" s="532" t="str">
        <f t="shared" si="797"/>
        <v/>
      </c>
      <c r="T1927" s="531" t="str">
        <f t="shared" si="804"/>
        <v/>
      </c>
      <c r="U1927" s="533">
        <f t="shared" si="805"/>
        <v>0</v>
      </c>
      <c r="V1927" s="531" t="str">
        <f t="shared" si="806"/>
        <v/>
      </c>
      <c r="W1927" s="531" t="str">
        <f t="shared" si="807"/>
        <v/>
      </c>
      <c r="X1927" s="534" t="str">
        <f t="shared" si="808"/>
        <v/>
      </c>
      <c r="Y1927" s="535" t="str">
        <f>IF($A1927="","",IF($I1927="weekly",$A1927+7,EDATE($A1927,VLOOKUP($I1927,Ref!$B$24:$C$29,2,0))))</f>
        <v/>
      </c>
      <c r="Z1927" s="536" t="str">
        <f t="shared" si="809"/>
        <v/>
      </c>
      <c r="AA1927" s="531">
        <f t="shared" si="810"/>
        <v>0</v>
      </c>
      <c r="AB1927" s="535" t="str">
        <f t="shared" si="798"/>
        <v/>
      </c>
      <c r="AC1927" s="537" t="str">
        <f t="shared" si="799"/>
        <v/>
      </c>
      <c r="AD1927" s="538" t="str">
        <f t="shared" ca="1" si="800"/>
        <v/>
      </c>
      <c r="AE1927" s="537">
        <f t="shared" ca="1" si="801"/>
        <v>0</v>
      </c>
      <c r="AF1927" s="539" t="str">
        <f t="shared" ca="1" si="811"/>
        <v/>
      </c>
      <c r="AG1927" s="531" t="str">
        <f t="shared" ca="1" si="812"/>
        <v/>
      </c>
      <c r="AH1927" s="531" t="str">
        <f t="shared" ca="1" si="813"/>
        <v/>
      </c>
      <c r="AI1927" s="531" t="str">
        <f t="shared" ca="1" si="814"/>
        <v/>
      </c>
      <c r="AJ1927" s="531" t="str">
        <f t="shared" si="815"/>
        <v/>
      </c>
      <c r="AK1927" s="540">
        <f>SUMIFS('Live Collections'!$S:$S,'Live Collections'!$D:$D,Disbursements!B1927,'Live Collections'!$G:$G,Disbursements!C1927)</f>
        <v>0</v>
      </c>
      <c r="AL1927" s="540">
        <f>SUMIFS('Live Collections'!$T:$T,'Live Collections'!$D:$D,Disbursements!B1927,'Live Collections'!$G:$G,Disbursements!C1927)</f>
        <v>0</v>
      </c>
      <c r="AM1927" s="541">
        <f t="shared" si="816"/>
        <v>0</v>
      </c>
      <c r="AN1927" s="542" t="str">
        <f t="shared" si="817"/>
        <v/>
      </c>
      <c r="AO1927" s="542" t="str">
        <f t="shared" si="818"/>
        <v/>
      </c>
      <c r="AP1927" s="543" t="str">
        <f t="shared" si="819"/>
        <v/>
      </c>
      <c r="AQ1927" s="544" t="str">
        <f t="shared" si="820"/>
        <v/>
      </c>
      <c r="AR1927" s="545">
        <f t="shared" si="821"/>
        <v>0</v>
      </c>
      <c r="AS1927" s="545">
        <f>IFERROR(CEILING($AR1927*VLOOKUP($I1927,Ref!$B$23:$E$29,4,0),1),0)</f>
        <v>0</v>
      </c>
      <c r="AT1927" s="545" t="str">
        <f>IF(A1927="","",IF(AP1927&lt;=1,"Cleared",IF(AS1927=0,"Clean",VLOOKUP($AS1927,Ref!$G$23:$H$28,2))))</f>
        <v/>
      </c>
      <c r="AU1927" s="546" t="str">
        <f t="shared" si="822"/>
        <v/>
      </c>
    </row>
    <row r="1928" spans="1:47" ht="14.25" hidden="1" customHeight="1" x14ac:dyDescent="0.15">
      <c r="A1928" s="575"/>
      <c r="B1928" s="548"/>
      <c r="C1928" s="548"/>
      <c r="D1928" s="548"/>
      <c r="E1928" s="583"/>
      <c r="F1928" s="584"/>
      <c r="G1928" s="548"/>
      <c r="H1928" s="550"/>
      <c r="I1928" s="560"/>
      <c r="J1928" s="548"/>
      <c r="K1928" s="528" t="str">
        <f>IFERROR(VLOOKUP($B1928,'Clients-Live'!$A:$C,3,0),"")</f>
        <v/>
      </c>
      <c r="L1928" s="528">
        <f>IF(E1928="STL",Pricing!$D$38,IF(A1928="",0,IF(A1928&lt;Pricing!$C$25,Pricing!$D$25,VLOOKUP(Disbursements!$F1928,Pricing!$B$29:$D$32,3))))</f>
        <v>0</v>
      </c>
      <c r="M1928" s="528">
        <f>IF(E1928="STL",0,IF(F1928&gt;0,Pricing!$D$21,0))</f>
        <v>0</v>
      </c>
      <c r="N1928" s="529">
        <f>IF(E1928="STL",F1928*Pricing!$D$40,IF(A1928&lt;=Pricing!$C$4,0,IF(AND(A1928&gt;Pricing!$C$4,Disbursements!A1928&lt;=Pricing!$C$5),F1928*Pricing!$E$5,IF(AND(A1928&gt;Pricing!$C$5,Disbursements!A1928&lt;=Pricing!$C$7),VLOOKUP(F1928,Pricing!$D$7:$E$8,2)*Disbursements!F1928,F1928*Pricing!$E$9))))</f>
        <v>0</v>
      </c>
      <c r="O1928" s="528">
        <f>IF(E1928="STL",0,IF($F1928&gt;0,$F1928*Pricing!$D$17,0))</f>
        <v>0</v>
      </c>
      <c r="P1928" s="530" t="str">
        <f t="shared" si="802"/>
        <v/>
      </c>
      <c r="Q1928" s="531" t="str">
        <f>IF($A1928="","",$G1928/VLOOKUP($I1928,Ref!$B$23:$D$29,2,0))</f>
        <v/>
      </c>
      <c r="R1928" s="530" t="str">
        <f t="shared" si="803"/>
        <v/>
      </c>
      <c r="S1928" s="532" t="str">
        <f t="shared" si="797"/>
        <v/>
      </c>
      <c r="T1928" s="531" t="str">
        <f t="shared" si="804"/>
        <v/>
      </c>
      <c r="U1928" s="533">
        <f t="shared" si="805"/>
        <v>0</v>
      </c>
      <c r="V1928" s="531" t="str">
        <f t="shared" si="806"/>
        <v/>
      </c>
      <c r="W1928" s="531" t="str">
        <f t="shared" si="807"/>
        <v/>
      </c>
      <c r="X1928" s="534" t="str">
        <f t="shared" si="808"/>
        <v/>
      </c>
      <c r="Y1928" s="535" t="str">
        <f>IF($A1928="","",IF($I1928="weekly",$A1928+7,EDATE($A1928,VLOOKUP($I1928,Ref!$B$24:$C$29,2,0))))</f>
        <v/>
      </c>
      <c r="Z1928" s="536" t="str">
        <f t="shared" si="809"/>
        <v/>
      </c>
      <c r="AA1928" s="531">
        <f t="shared" si="810"/>
        <v>0</v>
      </c>
      <c r="AB1928" s="535" t="str">
        <f t="shared" si="798"/>
        <v/>
      </c>
      <c r="AC1928" s="537" t="str">
        <f t="shared" si="799"/>
        <v/>
      </c>
      <c r="AD1928" s="538" t="str">
        <f t="shared" ca="1" si="800"/>
        <v/>
      </c>
      <c r="AE1928" s="537">
        <f t="shared" ca="1" si="801"/>
        <v>0</v>
      </c>
      <c r="AF1928" s="539" t="str">
        <f t="shared" ca="1" si="811"/>
        <v/>
      </c>
      <c r="AG1928" s="531" t="str">
        <f t="shared" ca="1" si="812"/>
        <v/>
      </c>
      <c r="AH1928" s="531" t="str">
        <f t="shared" ca="1" si="813"/>
        <v/>
      </c>
      <c r="AI1928" s="531" t="str">
        <f t="shared" ca="1" si="814"/>
        <v/>
      </c>
      <c r="AJ1928" s="531" t="str">
        <f t="shared" si="815"/>
        <v/>
      </c>
      <c r="AK1928" s="540">
        <f>SUMIFS('Live Collections'!$S:$S,'Live Collections'!$D:$D,Disbursements!B1928,'Live Collections'!$G:$G,Disbursements!C1928)</f>
        <v>0</v>
      </c>
      <c r="AL1928" s="540">
        <f>SUMIFS('Live Collections'!$T:$T,'Live Collections'!$D:$D,Disbursements!B1928,'Live Collections'!$G:$G,Disbursements!C1928)</f>
        <v>0</v>
      </c>
      <c r="AM1928" s="541">
        <f t="shared" si="816"/>
        <v>0</v>
      </c>
      <c r="AN1928" s="542" t="str">
        <f t="shared" si="817"/>
        <v/>
      </c>
      <c r="AO1928" s="542" t="str">
        <f t="shared" si="818"/>
        <v/>
      </c>
      <c r="AP1928" s="543" t="str">
        <f t="shared" si="819"/>
        <v/>
      </c>
      <c r="AQ1928" s="544" t="str">
        <f t="shared" si="820"/>
        <v/>
      </c>
      <c r="AR1928" s="545">
        <f t="shared" si="821"/>
        <v>0</v>
      </c>
      <c r="AS1928" s="545">
        <f>IFERROR(CEILING($AR1928*VLOOKUP($I1928,Ref!$B$23:$E$29,4,0),1),0)</f>
        <v>0</v>
      </c>
      <c r="AT1928" s="545" t="str">
        <f>IF(A1928="","",IF(AP1928&lt;=1,"Cleared",IF(AS1928=0,"Clean",VLOOKUP($AS1928,Ref!$G$23:$H$28,2))))</f>
        <v/>
      </c>
      <c r="AU1928" s="546" t="str">
        <f t="shared" si="822"/>
        <v/>
      </c>
    </row>
    <row r="1929" spans="1:47" ht="14.25" hidden="1" customHeight="1" x14ac:dyDescent="0.15">
      <c r="A1929" s="575"/>
      <c r="B1929" s="548"/>
      <c r="C1929" s="548"/>
      <c r="D1929" s="548"/>
      <c r="E1929" s="583"/>
      <c r="F1929" s="584"/>
      <c r="G1929" s="548"/>
      <c r="H1929" s="550"/>
      <c r="I1929" s="560"/>
      <c r="J1929" s="548"/>
      <c r="K1929" s="528" t="str">
        <f>IFERROR(VLOOKUP($B1929,'Clients-Live'!$A:$C,3,0),"")</f>
        <v/>
      </c>
      <c r="L1929" s="528">
        <f>IF(E1929="STL",Pricing!$D$38,IF(A1929="",0,IF(A1929&lt;Pricing!$C$25,Pricing!$D$25,VLOOKUP(Disbursements!$F1929,Pricing!$B$29:$D$32,3))))</f>
        <v>0</v>
      </c>
      <c r="M1929" s="528">
        <f>IF(E1929="STL",0,IF(F1929&gt;0,Pricing!$D$21,0))</f>
        <v>0</v>
      </c>
      <c r="N1929" s="529">
        <f>IF(E1929="STL",F1929*Pricing!$D$40,IF(A1929&lt;=Pricing!$C$4,0,IF(AND(A1929&gt;Pricing!$C$4,Disbursements!A1929&lt;=Pricing!$C$5),F1929*Pricing!$E$5,IF(AND(A1929&gt;Pricing!$C$5,Disbursements!A1929&lt;=Pricing!$C$7),VLOOKUP(F1929,Pricing!$D$7:$E$8,2)*Disbursements!F1929,F1929*Pricing!$E$9))))</f>
        <v>0</v>
      </c>
      <c r="O1929" s="528">
        <f>IF(E1929="STL",0,IF($F1929&gt;0,$F1929*Pricing!$D$17,0))</f>
        <v>0</v>
      </c>
      <c r="P1929" s="530" t="str">
        <f t="shared" si="802"/>
        <v/>
      </c>
      <c r="Q1929" s="531" t="str">
        <f>IF($A1929="","",$G1929/VLOOKUP($I1929,Ref!$B$23:$D$29,2,0))</f>
        <v/>
      </c>
      <c r="R1929" s="530" t="str">
        <f t="shared" si="803"/>
        <v/>
      </c>
      <c r="S1929" s="532" t="str">
        <f t="shared" si="797"/>
        <v/>
      </c>
      <c r="T1929" s="531" t="str">
        <f t="shared" si="804"/>
        <v/>
      </c>
      <c r="U1929" s="533">
        <f t="shared" si="805"/>
        <v>0</v>
      </c>
      <c r="V1929" s="531" t="str">
        <f t="shared" si="806"/>
        <v/>
      </c>
      <c r="W1929" s="531" t="str">
        <f t="shared" si="807"/>
        <v/>
      </c>
      <c r="X1929" s="534" t="str">
        <f t="shared" si="808"/>
        <v/>
      </c>
      <c r="Y1929" s="535" t="str">
        <f>IF($A1929="","",IF($I1929="weekly",$A1929+7,EDATE($A1929,VLOOKUP($I1929,Ref!$B$24:$C$29,2,0))))</f>
        <v/>
      </c>
      <c r="Z1929" s="536" t="str">
        <f t="shared" si="809"/>
        <v/>
      </c>
      <c r="AA1929" s="531">
        <f t="shared" si="810"/>
        <v>0</v>
      </c>
      <c r="AB1929" s="535" t="str">
        <f t="shared" si="798"/>
        <v/>
      </c>
      <c r="AC1929" s="537" t="str">
        <f t="shared" si="799"/>
        <v/>
      </c>
      <c r="AD1929" s="538" t="str">
        <f t="shared" ca="1" si="800"/>
        <v/>
      </c>
      <c r="AE1929" s="537">
        <f t="shared" ca="1" si="801"/>
        <v>0</v>
      </c>
      <c r="AF1929" s="539" t="str">
        <f t="shared" ca="1" si="811"/>
        <v/>
      </c>
      <c r="AG1929" s="531" t="str">
        <f t="shared" ca="1" si="812"/>
        <v/>
      </c>
      <c r="AH1929" s="531" t="str">
        <f t="shared" ca="1" si="813"/>
        <v/>
      </c>
      <c r="AI1929" s="531" t="str">
        <f t="shared" ca="1" si="814"/>
        <v/>
      </c>
      <c r="AJ1929" s="531" t="str">
        <f t="shared" si="815"/>
        <v/>
      </c>
      <c r="AK1929" s="540">
        <f>SUMIFS('Live Collections'!$S:$S,'Live Collections'!$D:$D,Disbursements!B1929,'Live Collections'!$G:$G,Disbursements!C1929)</f>
        <v>0</v>
      </c>
      <c r="AL1929" s="540">
        <f>SUMIFS('Live Collections'!$T:$T,'Live Collections'!$D:$D,Disbursements!B1929,'Live Collections'!$G:$G,Disbursements!C1929)</f>
        <v>0</v>
      </c>
      <c r="AM1929" s="541">
        <f t="shared" si="816"/>
        <v>0</v>
      </c>
      <c r="AN1929" s="542" t="str">
        <f t="shared" si="817"/>
        <v/>
      </c>
      <c r="AO1929" s="542" t="str">
        <f t="shared" si="818"/>
        <v/>
      </c>
      <c r="AP1929" s="543" t="str">
        <f t="shared" si="819"/>
        <v/>
      </c>
      <c r="AQ1929" s="544" t="str">
        <f t="shared" si="820"/>
        <v/>
      </c>
      <c r="AR1929" s="545">
        <f t="shared" si="821"/>
        <v>0</v>
      </c>
      <c r="AS1929" s="545">
        <f>IFERROR(CEILING($AR1929*VLOOKUP($I1929,Ref!$B$23:$E$29,4,0),1),0)</f>
        <v>0</v>
      </c>
      <c r="AT1929" s="545" t="str">
        <f>IF(A1929="","",IF(AP1929&lt;=1,"Cleared",IF(AS1929=0,"Clean",VLOOKUP($AS1929,Ref!$G$23:$H$28,2))))</f>
        <v/>
      </c>
      <c r="AU1929" s="546" t="str">
        <f t="shared" si="822"/>
        <v/>
      </c>
    </row>
    <row r="1930" spans="1:47" ht="14.25" hidden="1" customHeight="1" x14ac:dyDescent="0.15">
      <c r="A1930" s="575"/>
      <c r="B1930" s="548"/>
      <c r="C1930" s="548"/>
      <c r="D1930" s="548"/>
      <c r="E1930" s="583"/>
      <c r="F1930" s="584"/>
      <c r="G1930" s="548"/>
      <c r="H1930" s="550"/>
      <c r="I1930" s="560"/>
      <c r="J1930" s="548"/>
      <c r="K1930" s="528" t="str">
        <f>IFERROR(VLOOKUP($B1930,'Clients-Live'!$A:$C,3,0),"")</f>
        <v/>
      </c>
      <c r="L1930" s="528">
        <f>IF(E1930="STL",Pricing!$D$38,IF(A1930="",0,IF(A1930&lt;Pricing!$C$25,Pricing!$D$25,VLOOKUP(Disbursements!$F1930,Pricing!$B$29:$D$32,3))))</f>
        <v>0</v>
      </c>
      <c r="M1930" s="528">
        <f>IF(E1930="STL",0,IF(F1930&gt;0,Pricing!$D$21,0))</f>
        <v>0</v>
      </c>
      <c r="N1930" s="529">
        <f>IF(E1930="STL",F1930*Pricing!$D$40,IF(A1930&lt;=Pricing!$C$4,0,IF(AND(A1930&gt;Pricing!$C$4,Disbursements!A1930&lt;=Pricing!$C$5),F1930*Pricing!$E$5,IF(AND(A1930&gt;Pricing!$C$5,Disbursements!A1930&lt;=Pricing!$C$7),VLOOKUP(F1930,Pricing!$D$7:$E$8,2)*Disbursements!F1930,F1930*Pricing!$E$9))))</f>
        <v>0</v>
      </c>
      <c r="O1930" s="528">
        <f>IF(E1930="STL",0,IF($F1930&gt;0,$F1930*Pricing!$D$17,0))</f>
        <v>0</v>
      </c>
      <c r="P1930" s="530" t="str">
        <f t="shared" si="802"/>
        <v/>
      </c>
      <c r="Q1930" s="531" t="str">
        <f>IF($A1930="","",$G1930/VLOOKUP($I1930,Ref!$B$23:$D$29,2,0))</f>
        <v/>
      </c>
      <c r="R1930" s="530" t="str">
        <f t="shared" si="803"/>
        <v/>
      </c>
      <c r="S1930" s="532" t="str">
        <f t="shared" si="797"/>
        <v/>
      </c>
      <c r="T1930" s="531" t="str">
        <f t="shared" si="804"/>
        <v/>
      </c>
      <c r="U1930" s="533">
        <f t="shared" si="805"/>
        <v>0</v>
      </c>
      <c r="V1930" s="531" t="str">
        <f t="shared" si="806"/>
        <v/>
      </c>
      <c r="W1930" s="531" t="str">
        <f t="shared" si="807"/>
        <v/>
      </c>
      <c r="X1930" s="534" t="str">
        <f t="shared" si="808"/>
        <v/>
      </c>
      <c r="Y1930" s="535" t="str">
        <f>IF($A1930="","",IF($I1930="weekly",$A1930+7,EDATE($A1930,VLOOKUP($I1930,Ref!$B$24:$C$29,2,0))))</f>
        <v/>
      </c>
      <c r="Z1930" s="536" t="str">
        <f t="shared" si="809"/>
        <v/>
      </c>
      <c r="AA1930" s="531">
        <f t="shared" si="810"/>
        <v>0</v>
      </c>
      <c r="AB1930" s="535" t="str">
        <f t="shared" si="798"/>
        <v/>
      </c>
      <c r="AC1930" s="537" t="str">
        <f t="shared" si="799"/>
        <v/>
      </c>
      <c r="AD1930" s="538" t="str">
        <f t="shared" ca="1" si="800"/>
        <v/>
      </c>
      <c r="AE1930" s="537">
        <f t="shared" ca="1" si="801"/>
        <v>0</v>
      </c>
      <c r="AF1930" s="539" t="str">
        <f t="shared" ca="1" si="811"/>
        <v/>
      </c>
      <c r="AG1930" s="531" t="str">
        <f t="shared" ca="1" si="812"/>
        <v/>
      </c>
      <c r="AH1930" s="531" t="str">
        <f t="shared" ca="1" si="813"/>
        <v/>
      </c>
      <c r="AI1930" s="531" t="str">
        <f t="shared" ca="1" si="814"/>
        <v/>
      </c>
      <c r="AJ1930" s="531" t="str">
        <f t="shared" si="815"/>
        <v/>
      </c>
      <c r="AK1930" s="540">
        <f>SUMIFS('Live Collections'!$S:$S,'Live Collections'!$D:$D,Disbursements!B1930,'Live Collections'!$G:$G,Disbursements!C1930)</f>
        <v>0</v>
      </c>
      <c r="AL1930" s="540">
        <f>SUMIFS('Live Collections'!$T:$T,'Live Collections'!$D:$D,Disbursements!B1930,'Live Collections'!$G:$G,Disbursements!C1930)</f>
        <v>0</v>
      </c>
      <c r="AM1930" s="541">
        <f t="shared" si="816"/>
        <v>0</v>
      </c>
      <c r="AN1930" s="542" t="str">
        <f t="shared" si="817"/>
        <v/>
      </c>
      <c r="AO1930" s="542" t="str">
        <f t="shared" si="818"/>
        <v/>
      </c>
      <c r="AP1930" s="543" t="str">
        <f t="shared" si="819"/>
        <v/>
      </c>
      <c r="AQ1930" s="544" t="str">
        <f t="shared" si="820"/>
        <v/>
      </c>
      <c r="AR1930" s="545">
        <f t="shared" si="821"/>
        <v>0</v>
      </c>
      <c r="AS1930" s="545">
        <f>IFERROR(CEILING($AR1930*VLOOKUP($I1930,Ref!$B$23:$E$29,4,0),1),0)</f>
        <v>0</v>
      </c>
      <c r="AT1930" s="545" t="str">
        <f>IF(A1930="","",IF(AP1930&lt;=1,"Cleared",IF(AS1930=0,"Clean",VLOOKUP($AS1930,Ref!$G$23:$H$28,2))))</f>
        <v/>
      </c>
      <c r="AU1930" s="546" t="str">
        <f t="shared" si="822"/>
        <v/>
      </c>
    </row>
    <row r="1931" spans="1:47" ht="14.25" hidden="1" customHeight="1" x14ac:dyDescent="0.15">
      <c r="A1931" s="575"/>
      <c r="B1931" s="548"/>
      <c r="C1931" s="548"/>
      <c r="D1931" s="548"/>
      <c r="E1931" s="583"/>
      <c r="F1931" s="584"/>
      <c r="G1931" s="548"/>
      <c r="H1931" s="550"/>
      <c r="I1931" s="560"/>
      <c r="J1931" s="548"/>
      <c r="K1931" s="528" t="str">
        <f>IFERROR(VLOOKUP($B1931,'Clients-Live'!$A:$C,3,0),"")</f>
        <v/>
      </c>
      <c r="L1931" s="528">
        <f>IF(E1931="STL",Pricing!$D$38,IF(A1931="",0,IF(A1931&lt;Pricing!$C$25,Pricing!$D$25,VLOOKUP(Disbursements!$F1931,Pricing!$B$29:$D$32,3))))</f>
        <v>0</v>
      </c>
      <c r="M1931" s="528">
        <f>IF(E1931="STL",0,IF(F1931&gt;0,Pricing!$D$21,0))</f>
        <v>0</v>
      </c>
      <c r="N1931" s="529">
        <f>IF(E1931="STL",F1931*Pricing!$D$40,IF(A1931&lt;=Pricing!$C$4,0,IF(AND(A1931&gt;Pricing!$C$4,Disbursements!A1931&lt;=Pricing!$C$5),F1931*Pricing!$E$5,IF(AND(A1931&gt;Pricing!$C$5,Disbursements!A1931&lt;=Pricing!$C$7),VLOOKUP(F1931,Pricing!$D$7:$E$8,2)*Disbursements!F1931,F1931*Pricing!$E$9))))</f>
        <v>0</v>
      </c>
      <c r="O1931" s="528">
        <f>IF(E1931="STL",0,IF($F1931&gt;0,$F1931*Pricing!$D$17,0))</f>
        <v>0</v>
      </c>
      <c r="P1931" s="530" t="str">
        <f t="shared" si="802"/>
        <v/>
      </c>
      <c r="Q1931" s="531" t="str">
        <f>IF($A1931="","",$G1931/VLOOKUP($I1931,Ref!$B$23:$D$29,2,0))</f>
        <v/>
      </c>
      <c r="R1931" s="530" t="str">
        <f t="shared" si="803"/>
        <v/>
      </c>
      <c r="S1931" s="532" t="str">
        <f t="shared" si="797"/>
        <v/>
      </c>
      <c r="T1931" s="531" t="str">
        <f t="shared" si="804"/>
        <v/>
      </c>
      <c r="U1931" s="533">
        <f t="shared" si="805"/>
        <v>0</v>
      </c>
      <c r="V1931" s="531" t="str">
        <f t="shared" si="806"/>
        <v/>
      </c>
      <c r="W1931" s="531" t="str">
        <f t="shared" si="807"/>
        <v/>
      </c>
      <c r="X1931" s="534" t="str">
        <f t="shared" si="808"/>
        <v/>
      </c>
      <c r="Y1931" s="535" t="str">
        <f>IF($A1931="","",IF($I1931="weekly",$A1931+7,EDATE($A1931,VLOOKUP($I1931,Ref!$B$24:$C$29,2,0))))</f>
        <v/>
      </c>
      <c r="Z1931" s="536" t="str">
        <f t="shared" si="809"/>
        <v/>
      </c>
      <c r="AA1931" s="531">
        <f t="shared" si="810"/>
        <v>0</v>
      </c>
      <c r="AB1931" s="535" t="str">
        <f t="shared" si="798"/>
        <v/>
      </c>
      <c r="AC1931" s="537" t="str">
        <f t="shared" si="799"/>
        <v/>
      </c>
      <c r="AD1931" s="538" t="str">
        <f t="shared" ca="1" si="800"/>
        <v/>
      </c>
      <c r="AE1931" s="537">
        <f t="shared" ca="1" si="801"/>
        <v>0</v>
      </c>
      <c r="AF1931" s="539" t="str">
        <f t="shared" ca="1" si="811"/>
        <v/>
      </c>
      <c r="AG1931" s="531" t="str">
        <f t="shared" ca="1" si="812"/>
        <v/>
      </c>
      <c r="AH1931" s="531" t="str">
        <f t="shared" ca="1" si="813"/>
        <v/>
      </c>
      <c r="AI1931" s="531" t="str">
        <f t="shared" ca="1" si="814"/>
        <v/>
      </c>
      <c r="AJ1931" s="531" t="str">
        <f t="shared" si="815"/>
        <v/>
      </c>
      <c r="AK1931" s="540">
        <f>SUMIFS('Live Collections'!$S:$S,'Live Collections'!$D:$D,Disbursements!B1931,'Live Collections'!$G:$G,Disbursements!C1931)</f>
        <v>0</v>
      </c>
      <c r="AL1931" s="540">
        <f>SUMIFS('Live Collections'!$T:$T,'Live Collections'!$D:$D,Disbursements!B1931,'Live Collections'!$G:$G,Disbursements!C1931)</f>
        <v>0</v>
      </c>
      <c r="AM1931" s="541">
        <f t="shared" si="816"/>
        <v>0</v>
      </c>
      <c r="AN1931" s="542" t="str">
        <f t="shared" si="817"/>
        <v/>
      </c>
      <c r="AO1931" s="542" t="str">
        <f t="shared" si="818"/>
        <v/>
      </c>
      <c r="AP1931" s="543" t="str">
        <f t="shared" si="819"/>
        <v/>
      </c>
      <c r="AQ1931" s="544" t="str">
        <f t="shared" si="820"/>
        <v/>
      </c>
      <c r="AR1931" s="545">
        <f t="shared" si="821"/>
        <v>0</v>
      </c>
      <c r="AS1931" s="545">
        <f>IFERROR(CEILING($AR1931*VLOOKUP($I1931,Ref!$B$23:$E$29,4,0),1),0)</f>
        <v>0</v>
      </c>
      <c r="AT1931" s="545" t="str">
        <f>IF(A1931="","",IF(AP1931&lt;=1,"Cleared",IF(AS1931=0,"Clean",VLOOKUP($AS1931,Ref!$G$23:$H$28,2))))</f>
        <v/>
      </c>
      <c r="AU1931" s="546" t="str">
        <f t="shared" si="822"/>
        <v/>
      </c>
    </row>
    <row r="1932" spans="1:47" ht="14.25" hidden="1" customHeight="1" x14ac:dyDescent="0.15">
      <c r="A1932" s="575"/>
      <c r="B1932" s="548"/>
      <c r="C1932" s="548"/>
      <c r="D1932" s="548"/>
      <c r="E1932" s="583"/>
      <c r="F1932" s="584"/>
      <c r="G1932" s="548"/>
      <c r="H1932" s="550"/>
      <c r="I1932" s="560"/>
      <c r="J1932" s="548"/>
      <c r="K1932" s="528" t="str">
        <f>IFERROR(VLOOKUP($B1932,'Clients-Live'!$A:$C,3,0),"")</f>
        <v/>
      </c>
      <c r="L1932" s="528">
        <f>IF(E1932="STL",Pricing!$D$38,IF(A1932="",0,IF(A1932&lt;Pricing!$C$25,Pricing!$D$25,VLOOKUP(Disbursements!$F1932,Pricing!$B$29:$D$32,3))))</f>
        <v>0</v>
      </c>
      <c r="M1932" s="528">
        <f>IF(E1932="STL",0,IF(F1932&gt;0,Pricing!$D$21,0))</f>
        <v>0</v>
      </c>
      <c r="N1932" s="529">
        <f>IF(E1932="STL",F1932*Pricing!$D$40,IF(A1932&lt;=Pricing!$C$4,0,IF(AND(A1932&gt;Pricing!$C$4,Disbursements!A1932&lt;=Pricing!$C$5),F1932*Pricing!$E$5,IF(AND(A1932&gt;Pricing!$C$5,Disbursements!A1932&lt;=Pricing!$C$7),VLOOKUP(F1932,Pricing!$D$7:$E$8,2)*Disbursements!F1932,F1932*Pricing!$E$9))))</f>
        <v>0</v>
      </c>
      <c r="O1932" s="528">
        <f>IF(E1932="STL",0,IF($F1932&gt;0,$F1932*Pricing!$D$17,0))</f>
        <v>0</v>
      </c>
      <c r="P1932" s="530" t="str">
        <f t="shared" si="802"/>
        <v/>
      </c>
      <c r="Q1932" s="531" t="str">
        <f>IF($A1932="","",$G1932/VLOOKUP($I1932,Ref!$B$23:$D$29,2,0))</f>
        <v/>
      </c>
      <c r="R1932" s="530" t="str">
        <f t="shared" si="803"/>
        <v/>
      </c>
      <c r="S1932" s="532" t="str">
        <f t="shared" si="797"/>
        <v/>
      </c>
      <c r="T1932" s="531" t="str">
        <f t="shared" si="804"/>
        <v/>
      </c>
      <c r="U1932" s="533">
        <f t="shared" si="805"/>
        <v>0</v>
      </c>
      <c r="V1932" s="531" t="str">
        <f t="shared" si="806"/>
        <v/>
      </c>
      <c r="W1932" s="531" t="str">
        <f t="shared" si="807"/>
        <v/>
      </c>
      <c r="X1932" s="534" t="str">
        <f t="shared" si="808"/>
        <v/>
      </c>
      <c r="Y1932" s="535" t="str">
        <f>IF($A1932="","",IF($I1932="weekly",$A1932+7,EDATE($A1932,VLOOKUP($I1932,Ref!$B$24:$C$29,2,0))))</f>
        <v/>
      </c>
      <c r="Z1932" s="536" t="str">
        <f t="shared" si="809"/>
        <v/>
      </c>
      <c r="AA1932" s="531">
        <f t="shared" si="810"/>
        <v>0</v>
      </c>
      <c r="AB1932" s="535" t="str">
        <f t="shared" si="798"/>
        <v/>
      </c>
      <c r="AC1932" s="537" t="str">
        <f t="shared" si="799"/>
        <v/>
      </c>
      <c r="AD1932" s="538" t="str">
        <f t="shared" ca="1" si="800"/>
        <v/>
      </c>
      <c r="AE1932" s="537">
        <f t="shared" ca="1" si="801"/>
        <v>0</v>
      </c>
      <c r="AF1932" s="539" t="str">
        <f t="shared" ca="1" si="811"/>
        <v/>
      </c>
      <c r="AG1932" s="531" t="str">
        <f t="shared" ca="1" si="812"/>
        <v/>
      </c>
      <c r="AH1932" s="531" t="str">
        <f t="shared" ca="1" si="813"/>
        <v/>
      </c>
      <c r="AI1932" s="531" t="str">
        <f t="shared" ca="1" si="814"/>
        <v/>
      </c>
      <c r="AJ1932" s="531" t="str">
        <f t="shared" si="815"/>
        <v/>
      </c>
      <c r="AK1932" s="540">
        <f>SUMIFS('Live Collections'!$S:$S,'Live Collections'!$D:$D,Disbursements!B1932,'Live Collections'!$G:$G,Disbursements!C1932)</f>
        <v>0</v>
      </c>
      <c r="AL1932" s="540">
        <f>SUMIFS('Live Collections'!$T:$T,'Live Collections'!$D:$D,Disbursements!B1932,'Live Collections'!$G:$G,Disbursements!C1932)</f>
        <v>0</v>
      </c>
      <c r="AM1932" s="541">
        <f t="shared" si="816"/>
        <v>0</v>
      </c>
      <c r="AN1932" s="542" t="str">
        <f t="shared" si="817"/>
        <v/>
      </c>
      <c r="AO1932" s="542" t="str">
        <f t="shared" si="818"/>
        <v/>
      </c>
      <c r="AP1932" s="543" t="str">
        <f t="shared" si="819"/>
        <v/>
      </c>
      <c r="AQ1932" s="544" t="str">
        <f t="shared" si="820"/>
        <v/>
      </c>
      <c r="AR1932" s="545">
        <f t="shared" si="821"/>
        <v>0</v>
      </c>
      <c r="AS1932" s="545">
        <f>IFERROR(CEILING($AR1932*VLOOKUP($I1932,Ref!$B$23:$E$29,4,0),1),0)</f>
        <v>0</v>
      </c>
      <c r="AT1932" s="545" t="str">
        <f>IF(A1932="","",IF(AP1932&lt;=1,"Cleared",IF(AS1932=0,"Clean",VLOOKUP($AS1932,Ref!$G$23:$H$28,2))))</f>
        <v/>
      </c>
      <c r="AU1932" s="546" t="str">
        <f t="shared" si="822"/>
        <v/>
      </c>
    </row>
    <row r="1933" spans="1:47" ht="14.25" hidden="1" customHeight="1" x14ac:dyDescent="0.15">
      <c r="A1933" s="575"/>
      <c r="B1933" s="548"/>
      <c r="C1933" s="548"/>
      <c r="D1933" s="548"/>
      <c r="E1933" s="583"/>
      <c r="F1933" s="584"/>
      <c r="G1933" s="548"/>
      <c r="H1933" s="550"/>
      <c r="I1933" s="560"/>
      <c r="J1933" s="548"/>
      <c r="K1933" s="528" t="str">
        <f>IFERROR(VLOOKUP($B1933,'Clients-Live'!$A:$C,3,0),"")</f>
        <v/>
      </c>
      <c r="L1933" s="528">
        <f>IF(E1933="STL",Pricing!$D$38,IF(A1933="",0,IF(A1933&lt;Pricing!$C$25,Pricing!$D$25,VLOOKUP(Disbursements!$F1933,Pricing!$B$29:$D$32,3))))</f>
        <v>0</v>
      </c>
      <c r="M1933" s="528">
        <f>IF(E1933="STL",0,IF(F1933&gt;0,Pricing!$D$21,0))</f>
        <v>0</v>
      </c>
      <c r="N1933" s="529">
        <f>IF(E1933="STL",F1933*Pricing!$D$40,IF(A1933&lt;=Pricing!$C$4,0,IF(AND(A1933&gt;Pricing!$C$4,Disbursements!A1933&lt;=Pricing!$C$5),F1933*Pricing!$E$5,IF(AND(A1933&gt;Pricing!$C$5,Disbursements!A1933&lt;=Pricing!$C$7),VLOOKUP(F1933,Pricing!$D$7:$E$8,2)*Disbursements!F1933,F1933*Pricing!$E$9))))</f>
        <v>0</v>
      </c>
      <c r="O1933" s="528">
        <f>IF(E1933="STL",0,IF($F1933&gt;0,$F1933*Pricing!$D$17,0))</f>
        <v>0</v>
      </c>
      <c r="P1933" s="530" t="str">
        <f t="shared" si="802"/>
        <v/>
      </c>
      <c r="Q1933" s="531" t="str">
        <f>IF($A1933="","",$G1933/VLOOKUP($I1933,Ref!$B$23:$D$29,2,0))</f>
        <v/>
      </c>
      <c r="R1933" s="530" t="str">
        <f t="shared" si="803"/>
        <v/>
      </c>
      <c r="S1933" s="532" t="str">
        <f t="shared" si="797"/>
        <v/>
      </c>
      <c r="T1933" s="531" t="str">
        <f t="shared" si="804"/>
        <v/>
      </c>
      <c r="U1933" s="533">
        <f t="shared" si="805"/>
        <v>0</v>
      </c>
      <c r="V1933" s="531" t="str">
        <f t="shared" si="806"/>
        <v/>
      </c>
      <c r="W1933" s="531" t="str">
        <f t="shared" si="807"/>
        <v/>
      </c>
      <c r="X1933" s="534" t="str">
        <f t="shared" si="808"/>
        <v/>
      </c>
      <c r="Y1933" s="535" t="str">
        <f>IF($A1933="","",IF($I1933="weekly",$A1933+7,EDATE($A1933,VLOOKUP($I1933,Ref!$B$24:$C$29,2,0))))</f>
        <v/>
      </c>
      <c r="Z1933" s="536" t="str">
        <f t="shared" si="809"/>
        <v/>
      </c>
      <c r="AA1933" s="531">
        <f t="shared" si="810"/>
        <v>0</v>
      </c>
      <c r="AB1933" s="535" t="str">
        <f t="shared" si="798"/>
        <v/>
      </c>
      <c r="AC1933" s="537" t="str">
        <f t="shared" si="799"/>
        <v/>
      </c>
      <c r="AD1933" s="538" t="str">
        <f t="shared" ca="1" si="800"/>
        <v/>
      </c>
      <c r="AE1933" s="537">
        <f t="shared" ca="1" si="801"/>
        <v>0</v>
      </c>
      <c r="AF1933" s="539" t="str">
        <f t="shared" ca="1" si="811"/>
        <v/>
      </c>
      <c r="AG1933" s="531" t="str">
        <f t="shared" ca="1" si="812"/>
        <v/>
      </c>
      <c r="AH1933" s="531" t="str">
        <f t="shared" ca="1" si="813"/>
        <v/>
      </c>
      <c r="AI1933" s="531" t="str">
        <f t="shared" ca="1" si="814"/>
        <v/>
      </c>
      <c r="AJ1933" s="531" t="str">
        <f t="shared" si="815"/>
        <v/>
      </c>
      <c r="AK1933" s="540">
        <f>SUMIFS('Live Collections'!$S:$S,'Live Collections'!$D:$D,Disbursements!B1933,'Live Collections'!$G:$G,Disbursements!C1933)</f>
        <v>0</v>
      </c>
      <c r="AL1933" s="540">
        <f>SUMIFS('Live Collections'!$T:$T,'Live Collections'!$D:$D,Disbursements!B1933,'Live Collections'!$G:$G,Disbursements!C1933)</f>
        <v>0</v>
      </c>
      <c r="AM1933" s="541">
        <f t="shared" si="816"/>
        <v>0</v>
      </c>
      <c r="AN1933" s="542" t="str">
        <f t="shared" si="817"/>
        <v/>
      </c>
      <c r="AO1933" s="542" t="str">
        <f t="shared" si="818"/>
        <v/>
      </c>
      <c r="AP1933" s="543" t="str">
        <f t="shared" si="819"/>
        <v/>
      </c>
      <c r="AQ1933" s="544" t="str">
        <f t="shared" si="820"/>
        <v/>
      </c>
      <c r="AR1933" s="545">
        <f t="shared" si="821"/>
        <v>0</v>
      </c>
      <c r="AS1933" s="545">
        <f>IFERROR(CEILING($AR1933*VLOOKUP($I1933,Ref!$B$23:$E$29,4,0),1),0)</f>
        <v>0</v>
      </c>
      <c r="AT1933" s="545" t="str">
        <f>IF(A1933="","",IF(AP1933&lt;=1,"Cleared",IF(AS1933=0,"Clean",VLOOKUP($AS1933,Ref!$G$23:$H$28,2))))</f>
        <v/>
      </c>
      <c r="AU1933" s="546" t="str">
        <f t="shared" si="822"/>
        <v/>
      </c>
    </row>
    <row r="1934" spans="1:47" ht="14.25" hidden="1" customHeight="1" x14ac:dyDescent="0.15">
      <c r="A1934" s="575"/>
      <c r="B1934" s="548"/>
      <c r="C1934" s="548"/>
      <c r="D1934" s="548"/>
      <c r="E1934" s="583"/>
      <c r="F1934" s="584"/>
      <c r="G1934" s="548"/>
      <c r="H1934" s="550"/>
      <c r="I1934" s="560"/>
      <c r="J1934" s="548"/>
      <c r="K1934" s="528" t="str">
        <f>IFERROR(VLOOKUP($B1934,'Clients-Live'!$A:$C,3,0),"")</f>
        <v/>
      </c>
      <c r="L1934" s="528">
        <f>IF(E1934="STL",Pricing!$D$38,IF(A1934="",0,IF(A1934&lt;Pricing!$C$25,Pricing!$D$25,VLOOKUP(Disbursements!$F1934,Pricing!$B$29:$D$32,3))))</f>
        <v>0</v>
      </c>
      <c r="M1934" s="528">
        <f>IF(E1934="STL",0,IF(F1934&gt;0,Pricing!$D$21,0))</f>
        <v>0</v>
      </c>
      <c r="N1934" s="529">
        <f>IF(E1934="STL",F1934*Pricing!$D$40,IF(A1934&lt;=Pricing!$C$4,0,IF(AND(A1934&gt;Pricing!$C$4,Disbursements!A1934&lt;=Pricing!$C$5),F1934*Pricing!$E$5,IF(AND(A1934&gt;Pricing!$C$5,Disbursements!A1934&lt;=Pricing!$C$7),VLOOKUP(F1934,Pricing!$D$7:$E$8,2)*Disbursements!F1934,F1934*Pricing!$E$9))))</f>
        <v>0</v>
      </c>
      <c r="O1934" s="528">
        <f>IF(E1934="STL",0,IF($F1934&gt;0,$F1934*Pricing!$D$17,0))</f>
        <v>0</v>
      </c>
      <c r="P1934" s="530" t="str">
        <f t="shared" si="802"/>
        <v/>
      </c>
      <c r="Q1934" s="531" t="str">
        <f>IF($A1934="","",$G1934/VLOOKUP($I1934,Ref!$B$23:$D$29,2,0))</f>
        <v/>
      </c>
      <c r="R1934" s="530" t="str">
        <f t="shared" si="803"/>
        <v/>
      </c>
      <c r="S1934" s="532" t="str">
        <f t="shared" si="797"/>
        <v/>
      </c>
      <c r="T1934" s="531" t="str">
        <f t="shared" si="804"/>
        <v/>
      </c>
      <c r="U1934" s="533">
        <f t="shared" si="805"/>
        <v>0</v>
      </c>
      <c r="V1934" s="531" t="str">
        <f t="shared" si="806"/>
        <v/>
      </c>
      <c r="W1934" s="531" t="str">
        <f t="shared" si="807"/>
        <v/>
      </c>
      <c r="X1934" s="534" t="str">
        <f t="shared" si="808"/>
        <v/>
      </c>
      <c r="Y1934" s="535" t="str">
        <f>IF($A1934="","",IF($I1934="weekly",$A1934+7,EDATE($A1934,VLOOKUP($I1934,Ref!$B$24:$C$29,2,0))))</f>
        <v/>
      </c>
      <c r="Z1934" s="536" t="str">
        <f t="shared" si="809"/>
        <v/>
      </c>
      <c r="AA1934" s="531">
        <f t="shared" si="810"/>
        <v>0</v>
      </c>
      <c r="AB1934" s="535" t="str">
        <f t="shared" si="798"/>
        <v/>
      </c>
      <c r="AC1934" s="537" t="str">
        <f t="shared" si="799"/>
        <v/>
      </c>
      <c r="AD1934" s="538" t="str">
        <f t="shared" ca="1" si="800"/>
        <v/>
      </c>
      <c r="AE1934" s="537">
        <f t="shared" ca="1" si="801"/>
        <v>0</v>
      </c>
      <c r="AF1934" s="539" t="str">
        <f t="shared" ca="1" si="811"/>
        <v/>
      </c>
      <c r="AG1934" s="531" t="str">
        <f t="shared" ca="1" si="812"/>
        <v/>
      </c>
      <c r="AH1934" s="531" t="str">
        <f t="shared" ca="1" si="813"/>
        <v/>
      </c>
      <c r="AI1934" s="531" t="str">
        <f t="shared" ca="1" si="814"/>
        <v/>
      </c>
      <c r="AJ1934" s="531" t="str">
        <f t="shared" si="815"/>
        <v/>
      </c>
      <c r="AK1934" s="540">
        <f>SUMIFS('Live Collections'!$S:$S,'Live Collections'!$D:$D,Disbursements!B1934,'Live Collections'!$G:$G,Disbursements!C1934)</f>
        <v>0</v>
      </c>
      <c r="AL1934" s="540">
        <f>SUMIFS('Live Collections'!$T:$T,'Live Collections'!$D:$D,Disbursements!B1934,'Live Collections'!$G:$G,Disbursements!C1934)</f>
        <v>0</v>
      </c>
      <c r="AM1934" s="541">
        <f t="shared" si="816"/>
        <v>0</v>
      </c>
      <c r="AN1934" s="542" t="str">
        <f t="shared" si="817"/>
        <v/>
      </c>
      <c r="AO1934" s="542" t="str">
        <f t="shared" si="818"/>
        <v/>
      </c>
      <c r="AP1934" s="543" t="str">
        <f t="shared" si="819"/>
        <v/>
      </c>
      <c r="AQ1934" s="544" t="str">
        <f t="shared" si="820"/>
        <v/>
      </c>
      <c r="AR1934" s="545">
        <f t="shared" si="821"/>
        <v>0</v>
      </c>
      <c r="AS1934" s="545">
        <f>IFERROR(CEILING($AR1934*VLOOKUP($I1934,Ref!$B$23:$E$29,4,0),1),0)</f>
        <v>0</v>
      </c>
      <c r="AT1934" s="545" t="str">
        <f>IF(A1934="","",IF(AP1934&lt;=1,"Cleared",IF(AS1934=0,"Clean",VLOOKUP($AS1934,Ref!$G$23:$H$28,2))))</f>
        <v/>
      </c>
      <c r="AU1934" s="546" t="str">
        <f t="shared" si="822"/>
        <v/>
      </c>
    </row>
    <row r="1935" spans="1:47" ht="14.25" hidden="1" customHeight="1" x14ac:dyDescent="0.15">
      <c r="A1935" s="575"/>
      <c r="B1935" s="548"/>
      <c r="C1935" s="548"/>
      <c r="D1935" s="548"/>
      <c r="E1935" s="583"/>
      <c r="F1935" s="584"/>
      <c r="G1935" s="548"/>
      <c r="H1935" s="550"/>
      <c r="I1935" s="560"/>
      <c r="J1935" s="548"/>
      <c r="K1935" s="528" t="str">
        <f>IFERROR(VLOOKUP($B1935,'Clients-Live'!$A:$C,3,0),"")</f>
        <v/>
      </c>
      <c r="L1935" s="528">
        <f>IF(E1935="STL",Pricing!$D$38,IF(A1935="",0,IF(A1935&lt;Pricing!$C$25,Pricing!$D$25,VLOOKUP(Disbursements!$F1935,Pricing!$B$29:$D$32,3))))</f>
        <v>0</v>
      </c>
      <c r="M1935" s="528">
        <f>IF(E1935="STL",0,IF(F1935&gt;0,Pricing!$D$21,0))</f>
        <v>0</v>
      </c>
      <c r="N1935" s="529">
        <f>IF(E1935="STL",F1935*Pricing!$D$40,IF(A1935&lt;=Pricing!$C$4,0,IF(AND(A1935&gt;Pricing!$C$4,Disbursements!A1935&lt;=Pricing!$C$5),F1935*Pricing!$E$5,IF(AND(A1935&gt;Pricing!$C$5,Disbursements!A1935&lt;=Pricing!$C$7),VLOOKUP(F1935,Pricing!$D$7:$E$8,2)*Disbursements!F1935,F1935*Pricing!$E$9))))</f>
        <v>0</v>
      </c>
      <c r="O1935" s="528">
        <f>IF(E1935="STL",0,IF($F1935&gt;0,$F1935*Pricing!$D$17,0))</f>
        <v>0</v>
      </c>
      <c r="P1935" s="530" t="str">
        <f t="shared" si="802"/>
        <v/>
      </c>
      <c r="Q1935" s="531" t="str">
        <f>IF($A1935="","",$G1935/VLOOKUP($I1935,Ref!$B$23:$D$29,2,0))</f>
        <v/>
      </c>
      <c r="R1935" s="530" t="str">
        <f t="shared" si="803"/>
        <v/>
      </c>
      <c r="S1935" s="532" t="str">
        <f t="shared" si="797"/>
        <v/>
      </c>
      <c r="T1935" s="531" t="str">
        <f t="shared" si="804"/>
        <v/>
      </c>
      <c r="U1935" s="533">
        <f t="shared" si="805"/>
        <v>0</v>
      </c>
      <c r="V1935" s="531" t="str">
        <f t="shared" si="806"/>
        <v/>
      </c>
      <c r="W1935" s="531" t="str">
        <f t="shared" si="807"/>
        <v/>
      </c>
      <c r="X1935" s="534" t="str">
        <f t="shared" si="808"/>
        <v/>
      </c>
      <c r="Y1935" s="535" t="str">
        <f>IF($A1935="","",IF($I1935="weekly",$A1935+7,EDATE($A1935,VLOOKUP($I1935,Ref!$B$24:$C$29,2,0))))</f>
        <v/>
      </c>
      <c r="Z1935" s="536" t="str">
        <f t="shared" si="809"/>
        <v/>
      </c>
      <c r="AA1935" s="531">
        <f t="shared" si="810"/>
        <v>0</v>
      </c>
      <c r="AB1935" s="535" t="str">
        <f t="shared" si="798"/>
        <v/>
      </c>
      <c r="AC1935" s="537" t="str">
        <f t="shared" si="799"/>
        <v/>
      </c>
      <c r="AD1935" s="538" t="str">
        <f t="shared" ca="1" si="800"/>
        <v/>
      </c>
      <c r="AE1935" s="537">
        <f t="shared" ca="1" si="801"/>
        <v>0</v>
      </c>
      <c r="AF1935" s="539" t="str">
        <f t="shared" ca="1" si="811"/>
        <v/>
      </c>
      <c r="AG1935" s="531" t="str">
        <f t="shared" ca="1" si="812"/>
        <v/>
      </c>
      <c r="AH1935" s="531" t="str">
        <f t="shared" ca="1" si="813"/>
        <v/>
      </c>
      <c r="AI1935" s="531" t="str">
        <f t="shared" ca="1" si="814"/>
        <v/>
      </c>
      <c r="AJ1935" s="531" t="str">
        <f t="shared" si="815"/>
        <v/>
      </c>
      <c r="AK1935" s="540">
        <f>SUMIFS('Live Collections'!$S:$S,'Live Collections'!$D:$D,Disbursements!B1935,'Live Collections'!$G:$G,Disbursements!C1935)</f>
        <v>0</v>
      </c>
      <c r="AL1935" s="540">
        <f>SUMIFS('Live Collections'!$T:$T,'Live Collections'!$D:$D,Disbursements!B1935,'Live Collections'!$G:$G,Disbursements!C1935)</f>
        <v>0</v>
      </c>
      <c r="AM1935" s="541">
        <f t="shared" si="816"/>
        <v>0</v>
      </c>
      <c r="AN1935" s="542" t="str">
        <f t="shared" si="817"/>
        <v/>
      </c>
      <c r="AO1935" s="542" t="str">
        <f t="shared" si="818"/>
        <v/>
      </c>
      <c r="AP1935" s="543" t="str">
        <f t="shared" si="819"/>
        <v/>
      </c>
      <c r="AQ1935" s="544" t="str">
        <f t="shared" si="820"/>
        <v/>
      </c>
      <c r="AR1935" s="545">
        <f t="shared" si="821"/>
        <v>0</v>
      </c>
      <c r="AS1935" s="545">
        <f>IFERROR(CEILING($AR1935*VLOOKUP($I1935,Ref!$B$23:$E$29,4,0),1),0)</f>
        <v>0</v>
      </c>
      <c r="AT1935" s="545" t="str">
        <f>IF(A1935="","",IF(AP1935&lt;=1,"Cleared",IF(AS1935=0,"Clean",VLOOKUP($AS1935,Ref!$G$23:$H$28,2))))</f>
        <v/>
      </c>
      <c r="AU1935" s="546" t="str">
        <f t="shared" si="822"/>
        <v/>
      </c>
    </row>
    <row r="1936" spans="1:47" ht="14.25" hidden="1" customHeight="1" x14ac:dyDescent="0.15">
      <c r="A1936" s="575"/>
      <c r="B1936" s="548"/>
      <c r="C1936" s="548"/>
      <c r="D1936" s="548"/>
      <c r="E1936" s="583"/>
      <c r="F1936" s="584"/>
      <c r="G1936" s="548"/>
      <c r="H1936" s="550"/>
      <c r="I1936" s="560"/>
      <c r="J1936" s="548"/>
      <c r="K1936" s="528" t="str">
        <f>IFERROR(VLOOKUP($B1936,'Clients-Live'!$A:$C,3,0),"")</f>
        <v/>
      </c>
      <c r="L1936" s="528">
        <f>IF(E1936="STL",Pricing!$D$38,IF(A1936="",0,IF(A1936&lt;Pricing!$C$25,Pricing!$D$25,VLOOKUP(Disbursements!$F1936,Pricing!$B$29:$D$32,3))))</f>
        <v>0</v>
      </c>
      <c r="M1936" s="528">
        <f>IF(E1936="STL",0,IF(F1936&gt;0,Pricing!$D$21,0))</f>
        <v>0</v>
      </c>
      <c r="N1936" s="529">
        <f>IF(E1936="STL",F1936*Pricing!$D$40,IF(A1936&lt;=Pricing!$C$4,0,IF(AND(A1936&gt;Pricing!$C$4,Disbursements!A1936&lt;=Pricing!$C$5),F1936*Pricing!$E$5,IF(AND(A1936&gt;Pricing!$C$5,Disbursements!A1936&lt;=Pricing!$C$7),VLOOKUP(F1936,Pricing!$D$7:$E$8,2)*Disbursements!F1936,F1936*Pricing!$E$9))))</f>
        <v>0</v>
      </c>
      <c r="O1936" s="528">
        <f>IF(E1936="STL",0,IF($F1936&gt;0,$F1936*Pricing!$D$17,0))</f>
        <v>0</v>
      </c>
      <c r="P1936" s="530" t="str">
        <f t="shared" si="802"/>
        <v/>
      </c>
      <c r="Q1936" s="531" t="str">
        <f>IF($A1936="","",$G1936/VLOOKUP($I1936,Ref!$B$23:$D$29,2,0))</f>
        <v/>
      </c>
      <c r="R1936" s="530" t="str">
        <f t="shared" si="803"/>
        <v/>
      </c>
      <c r="S1936" s="532" t="str">
        <f t="shared" si="797"/>
        <v/>
      </c>
      <c r="T1936" s="531" t="str">
        <f t="shared" si="804"/>
        <v/>
      </c>
      <c r="U1936" s="533">
        <f t="shared" si="805"/>
        <v>0</v>
      </c>
      <c r="V1936" s="531" t="str">
        <f t="shared" si="806"/>
        <v/>
      </c>
      <c r="W1936" s="531" t="str">
        <f t="shared" si="807"/>
        <v/>
      </c>
      <c r="X1936" s="534" t="str">
        <f t="shared" si="808"/>
        <v/>
      </c>
      <c r="Y1936" s="535" t="str">
        <f>IF($A1936="","",IF($I1936="weekly",$A1936+7,EDATE($A1936,VLOOKUP($I1936,Ref!$B$24:$C$29,2,0))))</f>
        <v/>
      </c>
      <c r="Z1936" s="536" t="str">
        <f t="shared" si="809"/>
        <v/>
      </c>
      <c r="AA1936" s="531">
        <f t="shared" si="810"/>
        <v>0</v>
      </c>
      <c r="AB1936" s="535" t="str">
        <f t="shared" si="798"/>
        <v/>
      </c>
      <c r="AC1936" s="537" t="str">
        <f t="shared" si="799"/>
        <v/>
      </c>
      <c r="AD1936" s="538" t="str">
        <f t="shared" ca="1" si="800"/>
        <v/>
      </c>
      <c r="AE1936" s="537">
        <f t="shared" ca="1" si="801"/>
        <v>0</v>
      </c>
      <c r="AF1936" s="539" t="str">
        <f t="shared" ca="1" si="811"/>
        <v/>
      </c>
      <c r="AG1936" s="531" t="str">
        <f t="shared" ca="1" si="812"/>
        <v/>
      </c>
      <c r="AH1936" s="531" t="str">
        <f t="shared" ca="1" si="813"/>
        <v/>
      </c>
      <c r="AI1936" s="531" t="str">
        <f t="shared" ca="1" si="814"/>
        <v/>
      </c>
      <c r="AJ1936" s="531" t="str">
        <f t="shared" si="815"/>
        <v/>
      </c>
      <c r="AK1936" s="540">
        <f>SUMIFS('Live Collections'!$S:$S,'Live Collections'!$D:$D,Disbursements!B1936,'Live Collections'!$G:$G,Disbursements!C1936)</f>
        <v>0</v>
      </c>
      <c r="AL1936" s="540">
        <f>SUMIFS('Live Collections'!$T:$T,'Live Collections'!$D:$D,Disbursements!B1936,'Live Collections'!$G:$G,Disbursements!C1936)</f>
        <v>0</v>
      </c>
      <c r="AM1936" s="541">
        <f t="shared" si="816"/>
        <v>0</v>
      </c>
      <c r="AN1936" s="542" t="str">
        <f t="shared" si="817"/>
        <v/>
      </c>
      <c r="AO1936" s="542" t="str">
        <f t="shared" si="818"/>
        <v/>
      </c>
      <c r="AP1936" s="543" t="str">
        <f t="shared" si="819"/>
        <v/>
      </c>
      <c r="AQ1936" s="544" t="str">
        <f t="shared" si="820"/>
        <v/>
      </c>
      <c r="AR1936" s="545">
        <f t="shared" si="821"/>
        <v>0</v>
      </c>
      <c r="AS1936" s="545">
        <f>IFERROR(CEILING($AR1936*VLOOKUP($I1936,Ref!$B$23:$E$29,4,0),1),0)</f>
        <v>0</v>
      </c>
      <c r="AT1936" s="545" t="str">
        <f>IF(A1936="","",IF(AP1936&lt;=1,"Cleared",IF(AS1936=0,"Clean",VLOOKUP($AS1936,Ref!$G$23:$H$28,2))))</f>
        <v/>
      </c>
      <c r="AU1936" s="546" t="str">
        <f t="shared" si="822"/>
        <v/>
      </c>
    </row>
    <row r="1937" spans="1:47" ht="14.25" hidden="1" customHeight="1" x14ac:dyDescent="0.15">
      <c r="A1937" s="575"/>
      <c r="B1937" s="548"/>
      <c r="C1937" s="548"/>
      <c r="D1937" s="548"/>
      <c r="E1937" s="583"/>
      <c r="F1937" s="584"/>
      <c r="G1937" s="548"/>
      <c r="H1937" s="550"/>
      <c r="I1937" s="560"/>
      <c r="J1937" s="548"/>
      <c r="K1937" s="528" t="str">
        <f>IFERROR(VLOOKUP($B1937,'Clients-Live'!$A:$C,3,0),"")</f>
        <v/>
      </c>
      <c r="L1937" s="528">
        <f>IF(E1937="STL",Pricing!$D$38,IF(A1937="",0,IF(A1937&lt;Pricing!$C$25,Pricing!$D$25,VLOOKUP(Disbursements!$F1937,Pricing!$B$29:$D$32,3))))</f>
        <v>0</v>
      </c>
      <c r="M1937" s="528">
        <f>IF(E1937="STL",0,IF(F1937&gt;0,Pricing!$D$21,0))</f>
        <v>0</v>
      </c>
      <c r="N1937" s="529">
        <f>IF(E1937="STL",F1937*Pricing!$D$40,IF(A1937&lt;=Pricing!$C$4,0,IF(AND(A1937&gt;Pricing!$C$4,Disbursements!A1937&lt;=Pricing!$C$5),F1937*Pricing!$E$5,IF(AND(A1937&gt;Pricing!$C$5,Disbursements!A1937&lt;=Pricing!$C$7),VLOOKUP(F1937,Pricing!$D$7:$E$8,2)*Disbursements!F1937,F1937*Pricing!$E$9))))</f>
        <v>0</v>
      </c>
      <c r="O1937" s="528">
        <f>IF(E1937="STL",0,IF($F1937&gt;0,$F1937*Pricing!$D$17,0))</f>
        <v>0</v>
      </c>
      <c r="P1937" s="530" t="str">
        <f t="shared" si="802"/>
        <v/>
      </c>
      <c r="Q1937" s="531" t="str">
        <f>IF($A1937="","",$G1937/VLOOKUP($I1937,Ref!$B$23:$D$29,2,0))</f>
        <v/>
      </c>
      <c r="R1937" s="530" t="str">
        <f t="shared" si="803"/>
        <v/>
      </c>
      <c r="S1937" s="532" t="str">
        <f t="shared" si="797"/>
        <v/>
      </c>
      <c r="T1937" s="531" t="str">
        <f t="shared" si="804"/>
        <v/>
      </c>
      <c r="U1937" s="533">
        <f t="shared" si="805"/>
        <v>0</v>
      </c>
      <c r="V1937" s="531" t="str">
        <f t="shared" si="806"/>
        <v/>
      </c>
      <c r="W1937" s="531" t="str">
        <f t="shared" si="807"/>
        <v/>
      </c>
      <c r="X1937" s="534" t="str">
        <f t="shared" si="808"/>
        <v/>
      </c>
      <c r="Y1937" s="535" t="str">
        <f>IF($A1937="","",IF($I1937="weekly",$A1937+7,EDATE($A1937,VLOOKUP($I1937,Ref!$B$24:$C$29,2,0))))</f>
        <v/>
      </c>
      <c r="Z1937" s="536" t="str">
        <f t="shared" si="809"/>
        <v/>
      </c>
      <c r="AA1937" s="531">
        <f t="shared" si="810"/>
        <v>0</v>
      </c>
      <c r="AB1937" s="535" t="str">
        <f t="shared" si="798"/>
        <v/>
      </c>
      <c r="AC1937" s="537" t="str">
        <f t="shared" si="799"/>
        <v/>
      </c>
      <c r="AD1937" s="538" t="str">
        <f t="shared" ca="1" si="800"/>
        <v/>
      </c>
      <c r="AE1937" s="537">
        <f t="shared" ca="1" si="801"/>
        <v>0</v>
      </c>
      <c r="AF1937" s="539" t="str">
        <f t="shared" ca="1" si="811"/>
        <v/>
      </c>
      <c r="AG1937" s="531" t="str">
        <f t="shared" ca="1" si="812"/>
        <v/>
      </c>
      <c r="AH1937" s="531" t="str">
        <f t="shared" ca="1" si="813"/>
        <v/>
      </c>
      <c r="AI1937" s="531" t="str">
        <f t="shared" ca="1" si="814"/>
        <v/>
      </c>
      <c r="AJ1937" s="531" t="str">
        <f t="shared" si="815"/>
        <v/>
      </c>
      <c r="AK1937" s="540">
        <f>SUMIFS('Live Collections'!$S:$S,'Live Collections'!$D:$D,Disbursements!B1937,'Live Collections'!$G:$G,Disbursements!C1937)</f>
        <v>0</v>
      </c>
      <c r="AL1937" s="540">
        <f>SUMIFS('Live Collections'!$T:$T,'Live Collections'!$D:$D,Disbursements!B1937,'Live Collections'!$G:$G,Disbursements!C1937)</f>
        <v>0</v>
      </c>
      <c r="AM1937" s="541">
        <f t="shared" si="816"/>
        <v>0</v>
      </c>
      <c r="AN1937" s="542" t="str">
        <f t="shared" si="817"/>
        <v/>
      </c>
      <c r="AO1937" s="542" t="str">
        <f t="shared" si="818"/>
        <v/>
      </c>
      <c r="AP1937" s="543" t="str">
        <f t="shared" si="819"/>
        <v/>
      </c>
      <c r="AQ1937" s="544" t="str">
        <f t="shared" si="820"/>
        <v/>
      </c>
      <c r="AR1937" s="545">
        <f t="shared" si="821"/>
        <v>0</v>
      </c>
      <c r="AS1937" s="545">
        <f>IFERROR(CEILING($AR1937*VLOOKUP($I1937,Ref!$B$23:$E$29,4,0),1),0)</f>
        <v>0</v>
      </c>
      <c r="AT1937" s="545" t="str">
        <f>IF(A1937="","",IF(AP1937&lt;=1,"Cleared",IF(AS1937=0,"Clean",VLOOKUP($AS1937,Ref!$G$23:$H$28,2))))</f>
        <v/>
      </c>
      <c r="AU1937" s="546" t="str">
        <f t="shared" si="822"/>
        <v/>
      </c>
    </row>
    <row r="1938" spans="1:47" ht="14.25" hidden="1" customHeight="1" x14ac:dyDescent="0.15">
      <c r="A1938" s="575"/>
      <c r="B1938" s="548"/>
      <c r="C1938" s="548"/>
      <c r="D1938" s="548"/>
      <c r="E1938" s="583"/>
      <c r="F1938" s="584"/>
      <c r="G1938" s="548"/>
      <c r="H1938" s="550"/>
      <c r="I1938" s="560"/>
      <c r="J1938" s="548"/>
      <c r="K1938" s="528" t="str">
        <f>IFERROR(VLOOKUP($B1938,'Clients-Live'!$A:$C,3,0),"")</f>
        <v/>
      </c>
      <c r="L1938" s="528">
        <f>IF(E1938="STL",Pricing!$D$38,IF(A1938="",0,IF(A1938&lt;Pricing!$C$25,Pricing!$D$25,VLOOKUP(Disbursements!$F1938,Pricing!$B$29:$D$32,3))))</f>
        <v>0</v>
      </c>
      <c r="M1938" s="528">
        <f>IF(E1938="STL",0,IF(F1938&gt;0,Pricing!$D$21,0))</f>
        <v>0</v>
      </c>
      <c r="N1938" s="529">
        <f>IF(E1938="STL",F1938*Pricing!$D$40,IF(A1938&lt;=Pricing!$C$4,0,IF(AND(A1938&gt;Pricing!$C$4,Disbursements!A1938&lt;=Pricing!$C$5),F1938*Pricing!$E$5,IF(AND(A1938&gt;Pricing!$C$5,Disbursements!A1938&lt;=Pricing!$C$7),VLOOKUP(F1938,Pricing!$D$7:$E$8,2)*Disbursements!F1938,F1938*Pricing!$E$9))))</f>
        <v>0</v>
      </c>
      <c r="O1938" s="528">
        <f>IF(E1938="STL",0,IF($F1938&gt;0,$F1938*Pricing!$D$17,0))</f>
        <v>0</v>
      </c>
      <c r="P1938" s="530" t="str">
        <f t="shared" si="802"/>
        <v/>
      </c>
      <c r="Q1938" s="531" t="str">
        <f>IF($A1938="","",$G1938/VLOOKUP($I1938,Ref!$B$23:$D$29,2,0))</f>
        <v/>
      </c>
      <c r="R1938" s="530" t="str">
        <f t="shared" si="803"/>
        <v/>
      </c>
      <c r="S1938" s="532" t="str">
        <f t="shared" si="797"/>
        <v/>
      </c>
      <c r="T1938" s="531" t="str">
        <f t="shared" si="804"/>
        <v/>
      </c>
      <c r="U1938" s="533">
        <f t="shared" si="805"/>
        <v>0</v>
      </c>
      <c r="V1938" s="531" t="str">
        <f t="shared" si="806"/>
        <v/>
      </c>
      <c r="W1938" s="531" t="str">
        <f t="shared" si="807"/>
        <v/>
      </c>
      <c r="X1938" s="534" t="str">
        <f t="shared" si="808"/>
        <v/>
      </c>
      <c r="Y1938" s="535" t="str">
        <f>IF($A1938="","",IF($I1938="weekly",$A1938+7,EDATE($A1938,VLOOKUP($I1938,Ref!$B$24:$C$29,2,0))))</f>
        <v/>
      </c>
      <c r="Z1938" s="536" t="str">
        <f t="shared" si="809"/>
        <v/>
      </c>
      <c r="AA1938" s="531">
        <f t="shared" si="810"/>
        <v>0</v>
      </c>
      <c r="AB1938" s="535" t="str">
        <f t="shared" si="798"/>
        <v/>
      </c>
      <c r="AC1938" s="537" t="str">
        <f t="shared" si="799"/>
        <v/>
      </c>
      <c r="AD1938" s="538" t="str">
        <f t="shared" ca="1" si="800"/>
        <v/>
      </c>
      <c r="AE1938" s="537">
        <f t="shared" ca="1" si="801"/>
        <v>0</v>
      </c>
      <c r="AF1938" s="539" t="str">
        <f t="shared" ca="1" si="811"/>
        <v/>
      </c>
      <c r="AG1938" s="531" t="str">
        <f t="shared" ca="1" si="812"/>
        <v/>
      </c>
      <c r="AH1938" s="531" t="str">
        <f t="shared" ca="1" si="813"/>
        <v/>
      </c>
      <c r="AI1938" s="531" t="str">
        <f t="shared" ca="1" si="814"/>
        <v/>
      </c>
      <c r="AJ1938" s="531" t="str">
        <f t="shared" si="815"/>
        <v/>
      </c>
      <c r="AK1938" s="540">
        <f>SUMIFS('Live Collections'!$S:$S,'Live Collections'!$D:$D,Disbursements!B1938,'Live Collections'!$G:$G,Disbursements!C1938)</f>
        <v>0</v>
      </c>
      <c r="AL1938" s="540">
        <f>SUMIFS('Live Collections'!$T:$T,'Live Collections'!$D:$D,Disbursements!B1938,'Live Collections'!$G:$G,Disbursements!C1938)</f>
        <v>0</v>
      </c>
      <c r="AM1938" s="541">
        <f t="shared" si="816"/>
        <v>0</v>
      </c>
      <c r="AN1938" s="542" t="str">
        <f t="shared" si="817"/>
        <v/>
      </c>
      <c r="AO1938" s="542" t="str">
        <f t="shared" si="818"/>
        <v/>
      </c>
      <c r="AP1938" s="543" t="str">
        <f t="shared" si="819"/>
        <v/>
      </c>
      <c r="AQ1938" s="544" t="str">
        <f t="shared" si="820"/>
        <v/>
      </c>
      <c r="AR1938" s="545">
        <f t="shared" si="821"/>
        <v>0</v>
      </c>
      <c r="AS1938" s="545">
        <f>IFERROR(CEILING($AR1938*VLOOKUP($I1938,Ref!$B$23:$E$29,4,0),1),0)</f>
        <v>0</v>
      </c>
      <c r="AT1938" s="545" t="str">
        <f>IF(A1938="","",IF(AP1938&lt;=1,"Cleared",IF(AS1938=0,"Clean",VLOOKUP($AS1938,Ref!$G$23:$H$28,2))))</f>
        <v/>
      </c>
      <c r="AU1938" s="546" t="str">
        <f t="shared" si="822"/>
        <v/>
      </c>
    </row>
    <row r="1939" spans="1:47" ht="14.25" hidden="1" customHeight="1" x14ac:dyDescent="0.15">
      <c r="A1939" s="575"/>
      <c r="B1939" s="548"/>
      <c r="C1939" s="548"/>
      <c r="D1939" s="548"/>
      <c r="E1939" s="583"/>
      <c r="F1939" s="584"/>
      <c r="G1939" s="548"/>
      <c r="H1939" s="550"/>
      <c r="I1939" s="560"/>
      <c r="J1939" s="548"/>
      <c r="K1939" s="528" t="str">
        <f>IFERROR(VLOOKUP($B1939,'Clients-Live'!$A:$C,3,0),"")</f>
        <v/>
      </c>
      <c r="L1939" s="528">
        <f>IF(E1939="STL",Pricing!$D$38,IF(A1939="",0,IF(A1939&lt;Pricing!$C$25,Pricing!$D$25,VLOOKUP(Disbursements!$F1939,Pricing!$B$29:$D$32,3))))</f>
        <v>0</v>
      </c>
      <c r="M1939" s="528">
        <f>IF(E1939="STL",0,IF(F1939&gt;0,Pricing!$D$21,0))</f>
        <v>0</v>
      </c>
      <c r="N1939" s="529">
        <f>IF(E1939="STL",F1939*Pricing!$D$40,IF(A1939&lt;=Pricing!$C$4,0,IF(AND(A1939&gt;Pricing!$C$4,Disbursements!A1939&lt;=Pricing!$C$5),F1939*Pricing!$E$5,IF(AND(A1939&gt;Pricing!$C$5,Disbursements!A1939&lt;=Pricing!$C$7),VLOOKUP(F1939,Pricing!$D$7:$E$8,2)*Disbursements!F1939,F1939*Pricing!$E$9))))</f>
        <v>0</v>
      </c>
      <c r="O1939" s="528">
        <f>IF(E1939="STL",0,IF($F1939&gt;0,$F1939*Pricing!$D$17,0))</f>
        <v>0</v>
      </c>
      <c r="P1939" s="530" t="str">
        <f t="shared" si="802"/>
        <v/>
      </c>
      <c r="Q1939" s="531" t="str">
        <f>IF($A1939="","",$G1939/VLOOKUP($I1939,Ref!$B$23:$D$29,2,0))</f>
        <v/>
      </c>
      <c r="R1939" s="530" t="str">
        <f t="shared" si="803"/>
        <v/>
      </c>
      <c r="S1939" s="532" t="str">
        <f t="shared" si="797"/>
        <v/>
      </c>
      <c r="T1939" s="531" t="str">
        <f t="shared" si="804"/>
        <v/>
      </c>
      <c r="U1939" s="533">
        <f t="shared" si="805"/>
        <v>0</v>
      </c>
      <c r="V1939" s="531" t="str">
        <f t="shared" si="806"/>
        <v/>
      </c>
      <c r="W1939" s="531" t="str">
        <f t="shared" si="807"/>
        <v/>
      </c>
      <c r="X1939" s="534" t="str">
        <f t="shared" si="808"/>
        <v/>
      </c>
      <c r="Y1939" s="535" t="str">
        <f>IF($A1939="","",IF($I1939="weekly",$A1939+7,EDATE($A1939,VLOOKUP($I1939,Ref!$B$24:$C$29,2,0))))</f>
        <v/>
      </c>
      <c r="Z1939" s="536" t="str">
        <f t="shared" si="809"/>
        <v/>
      </c>
      <c r="AA1939" s="531">
        <f t="shared" si="810"/>
        <v>0</v>
      </c>
      <c r="AB1939" s="535" t="str">
        <f t="shared" si="798"/>
        <v/>
      </c>
      <c r="AC1939" s="537" t="str">
        <f t="shared" si="799"/>
        <v/>
      </c>
      <c r="AD1939" s="538" t="str">
        <f t="shared" ca="1" si="800"/>
        <v/>
      </c>
      <c r="AE1939" s="537">
        <f t="shared" ca="1" si="801"/>
        <v>0</v>
      </c>
      <c r="AF1939" s="539" t="str">
        <f t="shared" ca="1" si="811"/>
        <v/>
      </c>
      <c r="AG1939" s="531" t="str">
        <f t="shared" ca="1" si="812"/>
        <v/>
      </c>
      <c r="AH1939" s="531" t="str">
        <f t="shared" ca="1" si="813"/>
        <v/>
      </c>
      <c r="AI1939" s="531" t="str">
        <f t="shared" ca="1" si="814"/>
        <v/>
      </c>
      <c r="AJ1939" s="531" t="str">
        <f t="shared" si="815"/>
        <v/>
      </c>
      <c r="AK1939" s="540">
        <f>SUMIFS('Live Collections'!$S:$S,'Live Collections'!$D:$D,Disbursements!B1939,'Live Collections'!$G:$G,Disbursements!C1939)</f>
        <v>0</v>
      </c>
      <c r="AL1939" s="540">
        <f>SUMIFS('Live Collections'!$T:$T,'Live Collections'!$D:$D,Disbursements!B1939,'Live Collections'!$G:$G,Disbursements!C1939)</f>
        <v>0</v>
      </c>
      <c r="AM1939" s="541">
        <f t="shared" si="816"/>
        <v>0</v>
      </c>
      <c r="AN1939" s="542" t="str">
        <f t="shared" si="817"/>
        <v/>
      </c>
      <c r="AO1939" s="542" t="str">
        <f t="shared" si="818"/>
        <v/>
      </c>
      <c r="AP1939" s="543" t="str">
        <f t="shared" si="819"/>
        <v/>
      </c>
      <c r="AQ1939" s="544" t="str">
        <f t="shared" si="820"/>
        <v/>
      </c>
      <c r="AR1939" s="545">
        <f t="shared" si="821"/>
        <v>0</v>
      </c>
      <c r="AS1939" s="545">
        <f>IFERROR(CEILING($AR1939*VLOOKUP($I1939,Ref!$B$23:$E$29,4,0),1),0)</f>
        <v>0</v>
      </c>
      <c r="AT1939" s="545" t="str">
        <f>IF(A1939="","",IF(AP1939&lt;=1,"Cleared",IF(AS1939=0,"Clean",VLOOKUP($AS1939,Ref!$G$23:$H$28,2))))</f>
        <v/>
      </c>
      <c r="AU1939" s="546" t="str">
        <f t="shared" si="822"/>
        <v/>
      </c>
    </row>
    <row r="1940" spans="1:47" ht="14.25" hidden="1" customHeight="1" x14ac:dyDescent="0.15">
      <c r="A1940" s="575"/>
      <c r="B1940" s="548"/>
      <c r="C1940" s="548"/>
      <c r="D1940" s="548"/>
      <c r="E1940" s="583"/>
      <c r="F1940" s="584"/>
      <c r="G1940" s="548"/>
      <c r="H1940" s="550"/>
      <c r="I1940" s="560"/>
      <c r="J1940" s="548"/>
      <c r="K1940" s="528" t="str">
        <f>IFERROR(VLOOKUP($B1940,'Clients-Live'!$A:$C,3,0),"")</f>
        <v/>
      </c>
      <c r="L1940" s="528">
        <f>IF(E1940="STL",Pricing!$D$38,IF(A1940="",0,IF(A1940&lt;Pricing!$C$25,Pricing!$D$25,VLOOKUP(Disbursements!$F1940,Pricing!$B$29:$D$32,3))))</f>
        <v>0</v>
      </c>
      <c r="M1940" s="528">
        <f>IF(E1940="STL",0,IF(F1940&gt;0,Pricing!$D$21,0))</f>
        <v>0</v>
      </c>
      <c r="N1940" s="529">
        <f>IF(E1940="STL",F1940*Pricing!$D$40,IF(A1940&lt;=Pricing!$C$4,0,IF(AND(A1940&gt;Pricing!$C$4,Disbursements!A1940&lt;=Pricing!$C$5),F1940*Pricing!$E$5,IF(AND(A1940&gt;Pricing!$C$5,Disbursements!A1940&lt;=Pricing!$C$7),VLOOKUP(F1940,Pricing!$D$7:$E$8,2)*Disbursements!F1940,F1940*Pricing!$E$9))))</f>
        <v>0</v>
      </c>
      <c r="O1940" s="528">
        <f>IF(E1940="STL",0,IF($F1940&gt;0,$F1940*Pricing!$D$17,0))</f>
        <v>0</v>
      </c>
      <c r="P1940" s="530" t="str">
        <f t="shared" si="802"/>
        <v/>
      </c>
      <c r="Q1940" s="531" t="str">
        <f>IF($A1940="","",$G1940/VLOOKUP($I1940,Ref!$B$23:$D$29,2,0))</f>
        <v/>
      </c>
      <c r="R1940" s="530" t="str">
        <f t="shared" si="803"/>
        <v/>
      </c>
      <c r="S1940" s="532" t="str">
        <f t="shared" si="797"/>
        <v/>
      </c>
      <c r="T1940" s="531" t="str">
        <f t="shared" si="804"/>
        <v/>
      </c>
      <c r="U1940" s="533">
        <f t="shared" si="805"/>
        <v>0</v>
      </c>
      <c r="V1940" s="531" t="str">
        <f t="shared" si="806"/>
        <v/>
      </c>
      <c r="W1940" s="531" t="str">
        <f t="shared" si="807"/>
        <v/>
      </c>
      <c r="X1940" s="534" t="str">
        <f t="shared" si="808"/>
        <v/>
      </c>
      <c r="Y1940" s="535" t="str">
        <f>IF($A1940="","",IF($I1940="weekly",$A1940+7,EDATE($A1940,VLOOKUP($I1940,Ref!$B$24:$C$29,2,0))))</f>
        <v/>
      </c>
      <c r="Z1940" s="536" t="str">
        <f t="shared" si="809"/>
        <v/>
      </c>
      <c r="AA1940" s="531">
        <f t="shared" si="810"/>
        <v>0</v>
      </c>
      <c r="AB1940" s="535" t="str">
        <f t="shared" si="798"/>
        <v/>
      </c>
      <c r="AC1940" s="537" t="str">
        <f t="shared" si="799"/>
        <v/>
      </c>
      <c r="AD1940" s="538" t="str">
        <f t="shared" ca="1" si="800"/>
        <v/>
      </c>
      <c r="AE1940" s="537">
        <f t="shared" ca="1" si="801"/>
        <v>0</v>
      </c>
      <c r="AF1940" s="539" t="str">
        <f t="shared" ca="1" si="811"/>
        <v/>
      </c>
      <c r="AG1940" s="531" t="str">
        <f t="shared" ca="1" si="812"/>
        <v/>
      </c>
      <c r="AH1940" s="531" t="str">
        <f t="shared" ca="1" si="813"/>
        <v/>
      </c>
      <c r="AI1940" s="531" t="str">
        <f t="shared" ca="1" si="814"/>
        <v/>
      </c>
      <c r="AJ1940" s="531" t="str">
        <f t="shared" si="815"/>
        <v/>
      </c>
      <c r="AK1940" s="540">
        <f>SUMIFS('Live Collections'!$S:$S,'Live Collections'!$D:$D,Disbursements!B1940,'Live Collections'!$G:$G,Disbursements!C1940)</f>
        <v>0</v>
      </c>
      <c r="AL1940" s="540">
        <f>SUMIFS('Live Collections'!$T:$T,'Live Collections'!$D:$D,Disbursements!B1940,'Live Collections'!$G:$G,Disbursements!C1940)</f>
        <v>0</v>
      </c>
      <c r="AM1940" s="541">
        <f t="shared" si="816"/>
        <v>0</v>
      </c>
      <c r="AN1940" s="542" t="str">
        <f t="shared" si="817"/>
        <v/>
      </c>
      <c r="AO1940" s="542" t="str">
        <f t="shared" si="818"/>
        <v/>
      </c>
      <c r="AP1940" s="543" t="str">
        <f t="shared" si="819"/>
        <v/>
      </c>
      <c r="AQ1940" s="544" t="str">
        <f t="shared" si="820"/>
        <v/>
      </c>
      <c r="AR1940" s="545">
        <f t="shared" si="821"/>
        <v>0</v>
      </c>
      <c r="AS1940" s="545">
        <f>IFERROR(CEILING($AR1940*VLOOKUP($I1940,Ref!$B$23:$E$29,4,0),1),0)</f>
        <v>0</v>
      </c>
      <c r="AT1940" s="545" t="str">
        <f>IF(A1940="","",IF(AP1940&lt;=1,"Cleared",IF(AS1940=0,"Clean",VLOOKUP($AS1940,Ref!$G$23:$H$28,2))))</f>
        <v/>
      </c>
      <c r="AU1940" s="546" t="str">
        <f t="shared" si="822"/>
        <v/>
      </c>
    </row>
    <row r="1941" spans="1:47" ht="14.25" hidden="1" customHeight="1" x14ac:dyDescent="0.15">
      <c r="A1941" s="575"/>
      <c r="B1941" s="548"/>
      <c r="C1941" s="548"/>
      <c r="D1941" s="548"/>
      <c r="E1941" s="583"/>
      <c r="F1941" s="584"/>
      <c r="G1941" s="548"/>
      <c r="H1941" s="550"/>
      <c r="I1941" s="560"/>
      <c r="J1941" s="548"/>
      <c r="K1941" s="528" t="str">
        <f>IFERROR(VLOOKUP($B1941,'Clients-Live'!$A:$C,3,0),"")</f>
        <v/>
      </c>
      <c r="L1941" s="528">
        <f>IF(E1941="STL",Pricing!$D$38,IF(A1941="",0,IF(A1941&lt;Pricing!$C$25,Pricing!$D$25,VLOOKUP(Disbursements!$F1941,Pricing!$B$29:$D$32,3))))</f>
        <v>0</v>
      </c>
      <c r="M1941" s="528">
        <f>IF(E1941="STL",0,IF(F1941&gt;0,Pricing!$D$21,0))</f>
        <v>0</v>
      </c>
      <c r="N1941" s="529">
        <f>IF(E1941="STL",F1941*Pricing!$D$40,IF(A1941&lt;=Pricing!$C$4,0,IF(AND(A1941&gt;Pricing!$C$4,Disbursements!A1941&lt;=Pricing!$C$5),F1941*Pricing!$E$5,IF(AND(A1941&gt;Pricing!$C$5,Disbursements!A1941&lt;=Pricing!$C$7),VLOOKUP(F1941,Pricing!$D$7:$E$8,2)*Disbursements!F1941,F1941*Pricing!$E$9))))</f>
        <v>0</v>
      </c>
      <c r="O1941" s="528">
        <f>IF(E1941="STL",0,IF($F1941&gt;0,$F1941*Pricing!$D$17,0))</f>
        <v>0</v>
      </c>
      <c r="P1941" s="530" t="str">
        <f t="shared" si="802"/>
        <v/>
      </c>
      <c r="Q1941" s="531" t="str">
        <f>IF($A1941="","",$G1941/VLOOKUP($I1941,Ref!$B$23:$D$29,2,0))</f>
        <v/>
      </c>
      <c r="R1941" s="530" t="str">
        <f t="shared" si="803"/>
        <v/>
      </c>
      <c r="S1941" s="532" t="str">
        <f t="shared" si="797"/>
        <v/>
      </c>
      <c r="T1941" s="531" t="str">
        <f t="shared" si="804"/>
        <v/>
      </c>
      <c r="U1941" s="533">
        <f t="shared" si="805"/>
        <v>0</v>
      </c>
      <c r="V1941" s="531" t="str">
        <f t="shared" si="806"/>
        <v/>
      </c>
      <c r="W1941" s="531" t="str">
        <f t="shared" si="807"/>
        <v/>
      </c>
      <c r="X1941" s="534" t="str">
        <f t="shared" si="808"/>
        <v/>
      </c>
      <c r="Y1941" s="535" t="str">
        <f>IF($A1941="","",IF($I1941="weekly",$A1941+7,EDATE($A1941,VLOOKUP($I1941,Ref!$B$24:$C$29,2,0))))</f>
        <v/>
      </c>
      <c r="Z1941" s="536" t="str">
        <f t="shared" si="809"/>
        <v/>
      </c>
      <c r="AA1941" s="531">
        <f t="shared" si="810"/>
        <v>0</v>
      </c>
      <c r="AB1941" s="535" t="str">
        <f t="shared" si="798"/>
        <v/>
      </c>
      <c r="AC1941" s="537" t="str">
        <f t="shared" si="799"/>
        <v/>
      </c>
      <c r="AD1941" s="538" t="str">
        <f t="shared" ca="1" si="800"/>
        <v/>
      </c>
      <c r="AE1941" s="537">
        <f t="shared" ca="1" si="801"/>
        <v>0</v>
      </c>
      <c r="AF1941" s="539" t="str">
        <f t="shared" ca="1" si="811"/>
        <v/>
      </c>
      <c r="AG1941" s="531" t="str">
        <f t="shared" ca="1" si="812"/>
        <v/>
      </c>
      <c r="AH1941" s="531" t="str">
        <f t="shared" ca="1" si="813"/>
        <v/>
      </c>
      <c r="AI1941" s="531" t="str">
        <f t="shared" ca="1" si="814"/>
        <v/>
      </c>
      <c r="AJ1941" s="531" t="str">
        <f t="shared" si="815"/>
        <v/>
      </c>
      <c r="AK1941" s="540">
        <f>SUMIFS('Live Collections'!$S:$S,'Live Collections'!$D:$D,Disbursements!B1941,'Live Collections'!$G:$G,Disbursements!C1941)</f>
        <v>0</v>
      </c>
      <c r="AL1941" s="540">
        <f>SUMIFS('Live Collections'!$T:$T,'Live Collections'!$D:$D,Disbursements!B1941,'Live Collections'!$G:$G,Disbursements!C1941)</f>
        <v>0</v>
      </c>
      <c r="AM1941" s="541">
        <f t="shared" si="816"/>
        <v>0</v>
      </c>
      <c r="AN1941" s="542" t="str">
        <f t="shared" si="817"/>
        <v/>
      </c>
      <c r="AO1941" s="542" t="str">
        <f t="shared" si="818"/>
        <v/>
      </c>
      <c r="AP1941" s="543" t="str">
        <f t="shared" si="819"/>
        <v/>
      </c>
      <c r="AQ1941" s="544" t="str">
        <f t="shared" si="820"/>
        <v/>
      </c>
      <c r="AR1941" s="545">
        <f t="shared" si="821"/>
        <v>0</v>
      </c>
      <c r="AS1941" s="545">
        <f>IFERROR(CEILING($AR1941*VLOOKUP($I1941,Ref!$B$23:$E$29,4,0),1),0)</f>
        <v>0</v>
      </c>
      <c r="AT1941" s="545" t="str">
        <f>IF(A1941="","",IF(AP1941&lt;=1,"Cleared",IF(AS1941=0,"Clean",VLOOKUP($AS1941,Ref!$G$23:$H$28,2))))</f>
        <v/>
      </c>
      <c r="AU1941" s="546" t="str">
        <f t="shared" si="822"/>
        <v/>
      </c>
    </row>
    <row r="1942" spans="1:47" ht="14.25" hidden="1" customHeight="1" x14ac:dyDescent="0.15">
      <c r="A1942" s="575"/>
      <c r="B1942" s="548"/>
      <c r="C1942" s="548"/>
      <c r="D1942" s="548"/>
      <c r="E1942" s="583"/>
      <c r="F1942" s="584"/>
      <c r="G1942" s="548"/>
      <c r="H1942" s="550"/>
      <c r="I1942" s="560"/>
      <c r="J1942" s="548"/>
      <c r="K1942" s="528" t="str">
        <f>IFERROR(VLOOKUP($B1942,'Clients-Live'!$A:$C,3,0),"")</f>
        <v/>
      </c>
      <c r="L1942" s="528">
        <f>IF(E1942="STL",Pricing!$D$38,IF(A1942="",0,IF(A1942&lt;Pricing!$C$25,Pricing!$D$25,VLOOKUP(Disbursements!$F1942,Pricing!$B$29:$D$32,3))))</f>
        <v>0</v>
      </c>
      <c r="M1942" s="528">
        <f>IF(E1942="STL",0,IF(F1942&gt;0,Pricing!$D$21,0))</f>
        <v>0</v>
      </c>
      <c r="N1942" s="529">
        <f>IF(E1942="STL",F1942*Pricing!$D$40,IF(A1942&lt;=Pricing!$C$4,0,IF(AND(A1942&gt;Pricing!$C$4,Disbursements!A1942&lt;=Pricing!$C$5),F1942*Pricing!$E$5,IF(AND(A1942&gt;Pricing!$C$5,Disbursements!A1942&lt;=Pricing!$C$7),VLOOKUP(F1942,Pricing!$D$7:$E$8,2)*Disbursements!F1942,F1942*Pricing!$E$9))))</f>
        <v>0</v>
      </c>
      <c r="O1942" s="528">
        <f>IF(E1942="STL",0,IF($F1942&gt;0,$F1942*Pricing!$D$17,0))</f>
        <v>0</v>
      </c>
      <c r="P1942" s="530" t="str">
        <f t="shared" si="802"/>
        <v/>
      </c>
      <c r="Q1942" s="531" t="str">
        <f>IF($A1942="","",$G1942/VLOOKUP($I1942,Ref!$B$23:$D$29,2,0))</f>
        <v/>
      </c>
      <c r="R1942" s="530" t="str">
        <f t="shared" si="803"/>
        <v/>
      </c>
      <c r="S1942" s="532" t="str">
        <f t="shared" si="797"/>
        <v/>
      </c>
      <c r="T1942" s="531" t="str">
        <f t="shared" si="804"/>
        <v/>
      </c>
      <c r="U1942" s="533">
        <f t="shared" si="805"/>
        <v>0</v>
      </c>
      <c r="V1942" s="531" t="str">
        <f t="shared" si="806"/>
        <v/>
      </c>
      <c r="W1942" s="531" t="str">
        <f t="shared" si="807"/>
        <v/>
      </c>
      <c r="X1942" s="534" t="str">
        <f t="shared" si="808"/>
        <v/>
      </c>
      <c r="Y1942" s="535" t="str">
        <f>IF($A1942="","",IF($I1942="weekly",$A1942+7,EDATE($A1942,VLOOKUP($I1942,Ref!$B$24:$C$29,2,0))))</f>
        <v/>
      </c>
      <c r="Z1942" s="536" t="str">
        <f t="shared" si="809"/>
        <v/>
      </c>
      <c r="AA1942" s="531">
        <f t="shared" si="810"/>
        <v>0</v>
      </c>
      <c r="AB1942" s="535" t="str">
        <f t="shared" si="798"/>
        <v/>
      </c>
      <c r="AC1942" s="537" t="str">
        <f t="shared" si="799"/>
        <v/>
      </c>
      <c r="AD1942" s="538" t="str">
        <f t="shared" ca="1" si="800"/>
        <v/>
      </c>
      <c r="AE1942" s="537">
        <f t="shared" ca="1" si="801"/>
        <v>0</v>
      </c>
      <c r="AF1942" s="539" t="str">
        <f t="shared" ca="1" si="811"/>
        <v/>
      </c>
      <c r="AG1942" s="531" t="str">
        <f t="shared" ca="1" si="812"/>
        <v/>
      </c>
      <c r="AH1942" s="531" t="str">
        <f t="shared" ca="1" si="813"/>
        <v/>
      </c>
      <c r="AI1942" s="531" t="str">
        <f t="shared" ca="1" si="814"/>
        <v/>
      </c>
      <c r="AJ1942" s="531" t="str">
        <f t="shared" si="815"/>
        <v/>
      </c>
      <c r="AK1942" s="540">
        <f>SUMIFS('Live Collections'!$S:$S,'Live Collections'!$D:$D,Disbursements!B1942,'Live Collections'!$G:$G,Disbursements!C1942)</f>
        <v>0</v>
      </c>
      <c r="AL1942" s="540">
        <f>SUMIFS('Live Collections'!$T:$T,'Live Collections'!$D:$D,Disbursements!B1942,'Live Collections'!$G:$G,Disbursements!C1942)</f>
        <v>0</v>
      </c>
      <c r="AM1942" s="541">
        <f t="shared" si="816"/>
        <v>0</v>
      </c>
      <c r="AN1942" s="542" t="str">
        <f t="shared" si="817"/>
        <v/>
      </c>
      <c r="AO1942" s="542" t="str">
        <f t="shared" si="818"/>
        <v/>
      </c>
      <c r="AP1942" s="543" t="str">
        <f t="shared" si="819"/>
        <v/>
      </c>
      <c r="AQ1942" s="544" t="str">
        <f t="shared" si="820"/>
        <v/>
      </c>
      <c r="AR1942" s="545">
        <f t="shared" si="821"/>
        <v>0</v>
      </c>
      <c r="AS1942" s="545">
        <f>IFERROR(CEILING($AR1942*VLOOKUP($I1942,Ref!$B$23:$E$29,4,0),1),0)</f>
        <v>0</v>
      </c>
      <c r="AT1942" s="545" t="str">
        <f>IF(A1942="","",IF(AP1942&lt;=1,"Cleared",IF(AS1942=0,"Clean",VLOOKUP($AS1942,Ref!$G$23:$H$28,2))))</f>
        <v/>
      </c>
      <c r="AU1942" s="546" t="str">
        <f t="shared" si="822"/>
        <v/>
      </c>
    </row>
    <row r="1943" spans="1:47" ht="14.25" hidden="1" customHeight="1" x14ac:dyDescent="0.15">
      <c r="A1943" s="575"/>
      <c r="B1943" s="548"/>
      <c r="C1943" s="548"/>
      <c r="D1943" s="548"/>
      <c r="E1943" s="583"/>
      <c r="F1943" s="584"/>
      <c r="G1943" s="548"/>
      <c r="H1943" s="550"/>
      <c r="I1943" s="560"/>
      <c r="J1943" s="548"/>
      <c r="K1943" s="528" t="str">
        <f>IFERROR(VLOOKUP($B1943,'Clients-Live'!$A:$C,3,0),"")</f>
        <v/>
      </c>
      <c r="L1943" s="528">
        <f>IF(E1943="STL",Pricing!$D$38,IF(A1943="",0,IF(A1943&lt;Pricing!$C$25,Pricing!$D$25,VLOOKUP(Disbursements!$F1943,Pricing!$B$29:$D$32,3))))</f>
        <v>0</v>
      </c>
      <c r="M1943" s="528">
        <f>IF(E1943="STL",0,IF(F1943&gt;0,Pricing!$D$21,0))</f>
        <v>0</v>
      </c>
      <c r="N1943" s="529">
        <f>IF(E1943="STL",F1943*Pricing!$D$40,IF(A1943&lt;=Pricing!$C$4,0,IF(AND(A1943&gt;Pricing!$C$4,Disbursements!A1943&lt;=Pricing!$C$5),F1943*Pricing!$E$5,IF(AND(A1943&gt;Pricing!$C$5,Disbursements!A1943&lt;=Pricing!$C$7),VLOOKUP(F1943,Pricing!$D$7:$E$8,2)*Disbursements!F1943,F1943*Pricing!$E$9))))</f>
        <v>0</v>
      </c>
      <c r="O1943" s="528">
        <f>IF(E1943="STL",0,IF($F1943&gt;0,$F1943*Pricing!$D$17,0))</f>
        <v>0</v>
      </c>
      <c r="P1943" s="530" t="str">
        <f t="shared" si="802"/>
        <v/>
      </c>
      <c r="Q1943" s="531" t="str">
        <f>IF($A1943="","",$G1943/VLOOKUP($I1943,Ref!$B$23:$D$29,2,0))</f>
        <v/>
      </c>
      <c r="R1943" s="530" t="str">
        <f t="shared" si="803"/>
        <v/>
      </c>
      <c r="S1943" s="532" t="str">
        <f t="shared" si="797"/>
        <v/>
      </c>
      <c r="T1943" s="531" t="str">
        <f t="shared" si="804"/>
        <v/>
      </c>
      <c r="U1943" s="533">
        <f t="shared" si="805"/>
        <v>0</v>
      </c>
      <c r="V1943" s="531" t="str">
        <f t="shared" si="806"/>
        <v/>
      </c>
      <c r="W1943" s="531" t="str">
        <f t="shared" si="807"/>
        <v/>
      </c>
      <c r="X1943" s="534" t="str">
        <f t="shared" si="808"/>
        <v/>
      </c>
      <c r="Y1943" s="535" t="str">
        <f>IF($A1943="","",IF($I1943="weekly",$A1943+7,EDATE($A1943,VLOOKUP($I1943,Ref!$B$24:$C$29,2,0))))</f>
        <v/>
      </c>
      <c r="Z1943" s="536" t="str">
        <f t="shared" si="809"/>
        <v/>
      </c>
      <c r="AA1943" s="531">
        <f t="shared" si="810"/>
        <v>0</v>
      </c>
      <c r="AB1943" s="535" t="str">
        <f t="shared" si="798"/>
        <v/>
      </c>
      <c r="AC1943" s="537" t="str">
        <f t="shared" si="799"/>
        <v/>
      </c>
      <c r="AD1943" s="538" t="str">
        <f t="shared" ca="1" si="800"/>
        <v/>
      </c>
      <c r="AE1943" s="537">
        <f t="shared" ca="1" si="801"/>
        <v>0</v>
      </c>
      <c r="AF1943" s="539" t="str">
        <f t="shared" ca="1" si="811"/>
        <v/>
      </c>
      <c r="AG1943" s="531" t="str">
        <f t="shared" ca="1" si="812"/>
        <v/>
      </c>
      <c r="AH1943" s="531" t="str">
        <f t="shared" ca="1" si="813"/>
        <v/>
      </c>
      <c r="AI1943" s="531" t="str">
        <f t="shared" ca="1" si="814"/>
        <v/>
      </c>
      <c r="AJ1943" s="531" t="str">
        <f t="shared" si="815"/>
        <v/>
      </c>
      <c r="AK1943" s="540">
        <f>SUMIFS('Live Collections'!$S:$S,'Live Collections'!$D:$D,Disbursements!B1943,'Live Collections'!$G:$G,Disbursements!C1943)</f>
        <v>0</v>
      </c>
      <c r="AL1943" s="540">
        <f>SUMIFS('Live Collections'!$T:$T,'Live Collections'!$D:$D,Disbursements!B1943,'Live Collections'!$G:$G,Disbursements!C1943)</f>
        <v>0</v>
      </c>
      <c r="AM1943" s="541">
        <f t="shared" si="816"/>
        <v>0</v>
      </c>
      <c r="AN1943" s="542" t="str">
        <f t="shared" si="817"/>
        <v/>
      </c>
      <c r="AO1943" s="542" t="str">
        <f t="shared" si="818"/>
        <v/>
      </c>
      <c r="AP1943" s="543" t="str">
        <f t="shared" si="819"/>
        <v/>
      </c>
      <c r="AQ1943" s="544" t="str">
        <f t="shared" si="820"/>
        <v/>
      </c>
      <c r="AR1943" s="545">
        <f t="shared" si="821"/>
        <v>0</v>
      </c>
      <c r="AS1943" s="545">
        <f>IFERROR(CEILING($AR1943*VLOOKUP($I1943,Ref!$B$23:$E$29,4,0),1),0)</f>
        <v>0</v>
      </c>
      <c r="AT1943" s="545" t="str">
        <f>IF(A1943="","",IF(AP1943&lt;=1,"Cleared",IF(AS1943=0,"Clean",VLOOKUP($AS1943,Ref!$G$23:$H$28,2))))</f>
        <v/>
      </c>
      <c r="AU1943" s="546" t="str">
        <f t="shared" si="822"/>
        <v/>
      </c>
    </row>
    <row r="1944" spans="1:47" ht="14.25" hidden="1" customHeight="1" x14ac:dyDescent="0.15">
      <c r="A1944" s="575"/>
      <c r="B1944" s="548"/>
      <c r="C1944" s="548"/>
      <c r="D1944" s="548"/>
      <c r="E1944" s="583"/>
      <c r="F1944" s="584"/>
      <c r="G1944" s="548"/>
      <c r="H1944" s="550"/>
      <c r="I1944" s="560"/>
      <c r="J1944" s="548"/>
      <c r="K1944" s="528" t="str">
        <f>IFERROR(VLOOKUP($B1944,'Clients-Live'!$A:$C,3,0),"")</f>
        <v/>
      </c>
      <c r="L1944" s="528">
        <f>IF(E1944="STL",Pricing!$D$38,IF(A1944="",0,IF(A1944&lt;Pricing!$C$25,Pricing!$D$25,VLOOKUP(Disbursements!$F1944,Pricing!$B$29:$D$32,3))))</f>
        <v>0</v>
      </c>
      <c r="M1944" s="528">
        <f>IF(E1944="STL",0,IF(F1944&gt;0,Pricing!$D$21,0))</f>
        <v>0</v>
      </c>
      <c r="N1944" s="529">
        <f>IF(E1944="STL",F1944*Pricing!$D$40,IF(A1944&lt;=Pricing!$C$4,0,IF(AND(A1944&gt;Pricing!$C$4,Disbursements!A1944&lt;=Pricing!$C$5),F1944*Pricing!$E$5,IF(AND(A1944&gt;Pricing!$C$5,Disbursements!A1944&lt;=Pricing!$C$7),VLOOKUP(F1944,Pricing!$D$7:$E$8,2)*Disbursements!F1944,F1944*Pricing!$E$9))))</f>
        <v>0</v>
      </c>
      <c r="O1944" s="528">
        <f>IF(E1944="STL",0,IF($F1944&gt;0,$F1944*Pricing!$D$17,0))</f>
        <v>0</v>
      </c>
      <c r="P1944" s="530" t="str">
        <f t="shared" si="802"/>
        <v/>
      </c>
      <c r="Q1944" s="531" t="str">
        <f>IF($A1944="","",$G1944/VLOOKUP($I1944,Ref!$B$23:$D$29,2,0))</f>
        <v/>
      </c>
      <c r="R1944" s="530" t="str">
        <f t="shared" si="803"/>
        <v/>
      </c>
      <c r="S1944" s="532" t="str">
        <f t="shared" si="797"/>
        <v/>
      </c>
      <c r="T1944" s="531" t="str">
        <f t="shared" si="804"/>
        <v/>
      </c>
      <c r="U1944" s="533">
        <f t="shared" si="805"/>
        <v>0</v>
      </c>
      <c r="V1944" s="531" t="str">
        <f t="shared" si="806"/>
        <v/>
      </c>
      <c r="W1944" s="531" t="str">
        <f t="shared" si="807"/>
        <v/>
      </c>
      <c r="X1944" s="534" t="str">
        <f t="shared" si="808"/>
        <v/>
      </c>
      <c r="Y1944" s="535" t="str">
        <f>IF($A1944="","",IF($I1944="weekly",$A1944+7,EDATE($A1944,VLOOKUP($I1944,Ref!$B$24:$C$29,2,0))))</f>
        <v/>
      </c>
      <c r="Z1944" s="536" t="str">
        <f t="shared" si="809"/>
        <v/>
      </c>
      <c r="AA1944" s="531">
        <f t="shared" si="810"/>
        <v>0</v>
      </c>
      <c r="AB1944" s="535" t="str">
        <f t="shared" si="798"/>
        <v/>
      </c>
      <c r="AC1944" s="537" t="str">
        <f t="shared" si="799"/>
        <v/>
      </c>
      <c r="AD1944" s="538" t="str">
        <f t="shared" ca="1" si="800"/>
        <v/>
      </c>
      <c r="AE1944" s="537">
        <f t="shared" ca="1" si="801"/>
        <v>0</v>
      </c>
      <c r="AF1944" s="539" t="str">
        <f t="shared" ca="1" si="811"/>
        <v/>
      </c>
      <c r="AG1944" s="531" t="str">
        <f t="shared" ca="1" si="812"/>
        <v/>
      </c>
      <c r="AH1944" s="531" t="str">
        <f t="shared" ca="1" si="813"/>
        <v/>
      </c>
      <c r="AI1944" s="531" t="str">
        <f t="shared" ca="1" si="814"/>
        <v/>
      </c>
      <c r="AJ1944" s="531" t="str">
        <f t="shared" si="815"/>
        <v/>
      </c>
      <c r="AK1944" s="540">
        <f>SUMIFS('Live Collections'!$S:$S,'Live Collections'!$D:$D,Disbursements!B1944,'Live Collections'!$G:$G,Disbursements!C1944)</f>
        <v>0</v>
      </c>
      <c r="AL1944" s="540">
        <f>SUMIFS('Live Collections'!$T:$T,'Live Collections'!$D:$D,Disbursements!B1944,'Live Collections'!$G:$G,Disbursements!C1944)</f>
        <v>0</v>
      </c>
      <c r="AM1944" s="541">
        <f t="shared" si="816"/>
        <v>0</v>
      </c>
      <c r="AN1944" s="542" t="str">
        <f t="shared" si="817"/>
        <v/>
      </c>
      <c r="AO1944" s="542" t="str">
        <f t="shared" si="818"/>
        <v/>
      </c>
      <c r="AP1944" s="543" t="str">
        <f t="shared" si="819"/>
        <v/>
      </c>
      <c r="AQ1944" s="544" t="str">
        <f t="shared" si="820"/>
        <v/>
      </c>
      <c r="AR1944" s="545">
        <f t="shared" si="821"/>
        <v>0</v>
      </c>
      <c r="AS1944" s="545">
        <f>IFERROR(CEILING($AR1944*VLOOKUP($I1944,Ref!$B$23:$E$29,4,0),1),0)</f>
        <v>0</v>
      </c>
      <c r="AT1944" s="545" t="str">
        <f>IF(A1944="","",IF(AP1944&lt;=1,"Cleared",IF(AS1944=0,"Clean",VLOOKUP($AS1944,Ref!$G$23:$H$28,2))))</f>
        <v/>
      </c>
      <c r="AU1944" s="546" t="str">
        <f t="shared" si="822"/>
        <v/>
      </c>
    </row>
    <row r="1945" spans="1:47" ht="14.25" hidden="1" customHeight="1" x14ac:dyDescent="0.15">
      <c r="A1945" s="575"/>
      <c r="B1945" s="548"/>
      <c r="C1945" s="548"/>
      <c r="D1945" s="548"/>
      <c r="E1945" s="583"/>
      <c r="F1945" s="584"/>
      <c r="G1945" s="548"/>
      <c r="H1945" s="550"/>
      <c r="I1945" s="560"/>
      <c r="J1945" s="548"/>
      <c r="K1945" s="528" t="str">
        <f>IFERROR(VLOOKUP($B1945,'Clients-Live'!$A:$C,3,0),"")</f>
        <v/>
      </c>
      <c r="L1945" s="528">
        <f>IF(E1945="STL",Pricing!$D$38,IF(A1945="",0,IF(A1945&lt;Pricing!$C$25,Pricing!$D$25,VLOOKUP(Disbursements!$F1945,Pricing!$B$29:$D$32,3))))</f>
        <v>0</v>
      </c>
      <c r="M1945" s="528">
        <f>IF(E1945="STL",0,IF(F1945&gt;0,Pricing!$D$21,0))</f>
        <v>0</v>
      </c>
      <c r="N1945" s="529">
        <f>IF(E1945="STL",F1945*Pricing!$D$40,IF(A1945&lt;=Pricing!$C$4,0,IF(AND(A1945&gt;Pricing!$C$4,Disbursements!A1945&lt;=Pricing!$C$5),F1945*Pricing!$E$5,IF(AND(A1945&gt;Pricing!$C$5,Disbursements!A1945&lt;=Pricing!$C$7),VLOOKUP(F1945,Pricing!$D$7:$E$8,2)*Disbursements!F1945,F1945*Pricing!$E$9))))</f>
        <v>0</v>
      </c>
      <c r="O1945" s="528">
        <f>IF(E1945="STL",0,IF($F1945&gt;0,$F1945*Pricing!$D$17,0))</f>
        <v>0</v>
      </c>
      <c r="P1945" s="530" t="str">
        <f t="shared" si="802"/>
        <v/>
      </c>
      <c r="Q1945" s="531" t="str">
        <f>IF($A1945="","",$G1945/VLOOKUP($I1945,Ref!$B$23:$D$29,2,0))</f>
        <v/>
      </c>
      <c r="R1945" s="530" t="str">
        <f t="shared" si="803"/>
        <v/>
      </c>
      <c r="S1945" s="532" t="str">
        <f t="shared" si="797"/>
        <v/>
      </c>
      <c r="T1945" s="531" t="str">
        <f t="shared" si="804"/>
        <v/>
      </c>
      <c r="U1945" s="533">
        <f t="shared" si="805"/>
        <v>0</v>
      </c>
      <c r="V1945" s="531" t="str">
        <f t="shared" si="806"/>
        <v/>
      </c>
      <c r="W1945" s="531" t="str">
        <f t="shared" si="807"/>
        <v/>
      </c>
      <c r="X1945" s="534" t="str">
        <f t="shared" si="808"/>
        <v/>
      </c>
      <c r="Y1945" s="535" t="str">
        <f>IF($A1945="","",IF($I1945="weekly",$A1945+7,EDATE($A1945,VLOOKUP($I1945,Ref!$B$24:$C$29,2,0))))</f>
        <v/>
      </c>
      <c r="Z1945" s="536" t="str">
        <f t="shared" si="809"/>
        <v/>
      </c>
      <c r="AA1945" s="531">
        <f t="shared" si="810"/>
        <v>0</v>
      </c>
      <c r="AB1945" s="535" t="str">
        <f t="shared" si="798"/>
        <v/>
      </c>
      <c r="AC1945" s="537" t="str">
        <f t="shared" si="799"/>
        <v/>
      </c>
      <c r="AD1945" s="538" t="str">
        <f t="shared" ca="1" si="800"/>
        <v/>
      </c>
      <c r="AE1945" s="537">
        <f t="shared" ca="1" si="801"/>
        <v>0</v>
      </c>
      <c r="AF1945" s="539" t="str">
        <f t="shared" ca="1" si="811"/>
        <v/>
      </c>
      <c r="AG1945" s="531" t="str">
        <f t="shared" ca="1" si="812"/>
        <v/>
      </c>
      <c r="AH1945" s="531" t="str">
        <f t="shared" ca="1" si="813"/>
        <v/>
      </c>
      <c r="AI1945" s="531" t="str">
        <f t="shared" ca="1" si="814"/>
        <v/>
      </c>
      <c r="AJ1945" s="531" t="str">
        <f t="shared" si="815"/>
        <v/>
      </c>
      <c r="AK1945" s="540">
        <f>SUMIFS('Live Collections'!$S:$S,'Live Collections'!$D:$D,Disbursements!B1945,'Live Collections'!$G:$G,Disbursements!C1945)</f>
        <v>0</v>
      </c>
      <c r="AL1945" s="540">
        <f>SUMIFS('Live Collections'!$T:$T,'Live Collections'!$D:$D,Disbursements!B1945,'Live Collections'!$G:$G,Disbursements!C1945)</f>
        <v>0</v>
      </c>
      <c r="AM1945" s="541">
        <f t="shared" si="816"/>
        <v>0</v>
      </c>
      <c r="AN1945" s="542" t="str">
        <f t="shared" si="817"/>
        <v/>
      </c>
      <c r="AO1945" s="542" t="str">
        <f t="shared" si="818"/>
        <v/>
      </c>
      <c r="AP1945" s="543" t="str">
        <f t="shared" si="819"/>
        <v/>
      </c>
      <c r="AQ1945" s="544" t="str">
        <f t="shared" si="820"/>
        <v/>
      </c>
      <c r="AR1945" s="545">
        <f t="shared" si="821"/>
        <v>0</v>
      </c>
      <c r="AS1945" s="545">
        <f>IFERROR(CEILING($AR1945*VLOOKUP($I1945,Ref!$B$23:$E$29,4,0),1),0)</f>
        <v>0</v>
      </c>
      <c r="AT1945" s="545" t="str">
        <f>IF(A1945="","",IF(AP1945&lt;=1,"Cleared",IF(AS1945=0,"Clean",VLOOKUP($AS1945,Ref!$G$23:$H$28,2))))</f>
        <v/>
      </c>
      <c r="AU1945" s="546" t="str">
        <f t="shared" si="822"/>
        <v/>
      </c>
    </row>
    <row r="1946" spans="1:47" ht="14.25" hidden="1" customHeight="1" x14ac:dyDescent="0.15">
      <c r="A1946" s="575"/>
      <c r="B1946" s="548"/>
      <c r="C1946" s="548"/>
      <c r="D1946" s="548"/>
      <c r="E1946" s="583"/>
      <c r="F1946" s="584"/>
      <c r="G1946" s="548"/>
      <c r="H1946" s="550"/>
      <c r="I1946" s="560"/>
      <c r="J1946" s="548"/>
      <c r="K1946" s="528" t="str">
        <f>IFERROR(VLOOKUP($B1946,'Clients-Live'!$A:$C,3,0),"")</f>
        <v/>
      </c>
      <c r="L1946" s="528">
        <f>IF(E1946="STL",Pricing!$D$38,IF(A1946="",0,IF(A1946&lt;Pricing!$C$25,Pricing!$D$25,VLOOKUP(Disbursements!$F1946,Pricing!$B$29:$D$32,3))))</f>
        <v>0</v>
      </c>
      <c r="M1946" s="528">
        <f>IF(E1946="STL",0,IF(F1946&gt;0,Pricing!$D$21,0))</f>
        <v>0</v>
      </c>
      <c r="N1946" s="529">
        <f>IF(E1946="STL",F1946*Pricing!$D$40,IF(A1946&lt;=Pricing!$C$4,0,IF(AND(A1946&gt;Pricing!$C$4,Disbursements!A1946&lt;=Pricing!$C$5),F1946*Pricing!$E$5,IF(AND(A1946&gt;Pricing!$C$5,Disbursements!A1946&lt;=Pricing!$C$7),VLOOKUP(F1946,Pricing!$D$7:$E$8,2)*Disbursements!F1946,F1946*Pricing!$E$9))))</f>
        <v>0</v>
      </c>
      <c r="O1946" s="528">
        <f>IF(E1946="STL",0,IF($F1946&gt;0,$F1946*Pricing!$D$17,0))</f>
        <v>0</v>
      </c>
      <c r="P1946" s="530" t="str">
        <f t="shared" si="802"/>
        <v/>
      </c>
      <c r="Q1946" s="531" t="str">
        <f>IF($A1946="","",$G1946/VLOOKUP($I1946,Ref!$B$23:$D$29,2,0))</f>
        <v/>
      </c>
      <c r="R1946" s="530" t="str">
        <f t="shared" si="803"/>
        <v/>
      </c>
      <c r="S1946" s="532" t="str">
        <f t="shared" si="797"/>
        <v/>
      </c>
      <c r="T1946" s="531" t="str">
        <f t="shared" si="804"/>
        <v/>
      </c>
      <c r="U1946" s="533">
        <f t="shared" si="805"/>
        <v>0</v>
      </c>
      <c r="V1946" s="531" t="str">
        <f t="shared" si="806"/>
        <v/>
      </c>
      <c r="W1946" s="531" t="str">
        <f t="shared" si="807"/>
        <v/>
      </c>
      <c r="X1946" s="534" t="str">
        <f t="shared" si="808"/>
        <v/>
      </c>
      <c r="Y1946" s="535" t="str">
        <f>IF($A1946="","",IF($I1946="weekly",$A1946+7,EDATE($A1946,VLOOKUP($I1946,Ref!$B$24:$C$29,2,0))))</f>
        <v/>
      </c>
      <c r="Z1946" s="536" t="str">
        <f t="shared" si="809"/>
        <v/>
      </c>
      <c r="AA1946" s="531">
        <f t="shared" si="810"/>
        <v>0</v>
      </c>
      <c r="AB1946" s="535" t="str">
        <f t="shared" si="798"/>
        <v/>
      </c>
      <c r="AC1946" s="537" t="str">
        <f t="shared" si="799"/>
        <v/>
      </c>
      <c r="AD1946" s="538" t="str">
        <f t="shared" ca="1" si="800"/>
        <v/>
      </c>
      <c r="AE1946" s="537">
        <f t="shared" ca="1" si="801"/>
        <v>0</v>
      </c>
      <c r="AF1946" s="539" t="str">
        <f t="shared" ca="1" si="811"/>
        <v/>
      </c>
      <c r="AG1946" s="531" t="str">
        <f t="shared" ca="1" si="812"/>
        <v/>
      </c>
      <c r="AH1946" s="531" t="str">
        <f t="shared" ca="1" si="813"/>
        <v/>
      </c>
      <c r="AI1946" s="531" t="str">
        <f t="shared" ca="1" si="814"/>
        <v/>
      </c>
      <c r="AJ1946" s="531" t="str">
        <f t="shared" si="815"/>
        <v/>
      </c>
      <c r="AK1946" s="540">
        <f>SUMIFS('Live Collections'!$S:$S,'Live Collections'!$D:$D,Disbursements!B1946,'Live Collections'!$G:$G,Disbursements!C1946)</f>
        <v>0</v>
      </c>
      <c r="AL1946" s="540">
        <f>SUMIFS('Live Collections'!$T:$T,'Live Collections'!$D:$D,Disbursements!B1946,'Live Collections'!$G:$G,Disbursements!C1946)</f>
        <v>0</v>
      </c>
      <c r="AM1946" s="541">
        <f t="shared" si="816"/>
        <v>0</v>
      </c>
      <c r="AN1946" s="542" t="str">
        <f t="shared" si="817"/>
        <v/>
      </c>
      <c r="AO1946" s="542" t="str">
        <f t="shared" si="818"/>
        <v/>
      </c>
      <c r="AP1946" s="543" t="str">
        <f t="shared" si="819"/>
        <v/>
      </c>
      <c r="AQ1946" s="544" t="str">
        <f t="shared" si="820"/>
        <v/>
      </c>
      <c r="AR1946" s="545">
        <f t="shared" si="821"/>
        <v>0</v>
      </c>
      <c r="AS1946" s="545">
        <f>IFERROR(CEILING($AR1946*VLOOKUP($I1946,Ref!$B$23:$E$29,4,0),1),0)</f>
        <v>0</v>
      </c>
      <c r="AT1946" s="545" t="str">
        <f>IF(A1946="","",IF(AP1946&lt;=1,"Cleared",IF(AS1946=0,"Clean",VLOOKUP($AS1946,Ref!$G$23:$H$28,2))))</f>
        <v/>
      </c>
      <c r="AU1946" s="546" t="str">
        <f t="shared" si="822"/>
        <v/>
      </c>
    </row>
    <row r="1947" spans="1:47" ht="14.25" hidden="1" customHeight="1" x14ac:dyDescent="0.15">
      <c r="A1947" s="575"/>
      <c r="B1947" s="548"/>
      <c r="C1947" s="548"/>
      <c r="D1947" s="548"/>
      <c r="E1947" s="583"/>
      <c r="F1947" s="584"/>
      <c r="G1947" s="548"/>
      <c r="H1947" s="550"/>
      <c r="I1947" s="560"/>
      <c r="J1947" s="548"/>
      <c r="K1947" s="528" t="str">
        <f>IFERROR(VLOOKUP($B1947,'Clients-Live'!$A:$C,3,0),"")</f>
        <v/>
      </c>
      <c r="L1947" s="528">
        <f>IF(E1947="STL",Pricing!$D$38,IF(A1947="",0,IF(A1947&lt;Pricing!$C$25,Pricing!$D$25,VLOOKUP(Disbursements!$F1947,Pricing!$B$29:$D$32,3))))</f>
        <v>0</v>
      </c>
      <c r="M1947" s="528">
        <f>IF(E1947="STL",0,IF(F1947&gt;0,Pricing!$D$21,0))</f>
        <v>0</v>
      </c>
      <c r="N1947" s="529">
        <f>IF(E1947="STL",F1947*Pricing!$D$40,IF(A1947&lt;=Pricing!$C$4,0,IF(AND(A1947&gt;Pricing!$C$4,Disbursements!A1947&lt;=Pricing!$C$5),F1947*Pricing!$E$5,IF(AND(A1947&gt;Pricing!$C$5,Disbursements!A1947&lt;=Pricing!$C$7),VLOOKUP(F1947,Pricing!$D$7:$E$8,2)*Disbursements!F1947,F1947*Pricing!$E$9))))</f>
        <v>0</v>
      </c>
      <c r="O1947" s="528">
        <f>IF(E1947="STL",0,IF($F1947&gt;0,$F1947*Pricing!$D$17,0))</f>
        <v>0</v>
      </c>
      <c r="P1947" s="530" t="str">
        <f t="shared" si="802"/>
        <v/>
      </c>
      <c r="Q1947" s="531" t="str">
        <f>IF($A1947="","",$G1947/VLOOKUP($I1947,Ref!$B$23:$D$29,2,0))</f>
        <v/>
      </c>
      <c r="R1947" s="530" t="str">
        <f t="shared" si="803"/>
        <v/>
      </c>
      <c r="S1947" s="532" t="str">
        <f t="shared" si="797"/>
        <v/>
      </c>
      <c r="T1947" s="531" t="str">
        <f t="shared" si="804"/>
        <v/>
      </c>
      <c r="U1947" s="533">
        <f t="shared" si="805"/>
        <v>0</v>
      </c>
      <c r="V1947" s="531" t="str">
        <f t="shared" si="806"/>
        <v/>
      </c>
      <c r="W1947" s="531" t="str">
        <f t="shared" si="807"/>
        <v/>
      </c>
      <c r="X1947" s="534" t="str">
        <f t="shared" si="808"/>
        <v/>
      </c>
      <c r="Y1947" s="535" t="str">
        <f>IF($A1947="","",IF($I1947="weekly",$A1947+7,EDATE($A1947,VLOOKUP($I1947,Ref!$B$24:$C$29,2,0))))</f>
        <v/>
      </c>
      <c r="Z1947" s="536" t="str">
        <f t="shared" si="809"/>
        <v/>
      </c>
      <c r="AA1947" s="531">
        <f t="shared" si="810"/>
        <v>0</v>
      </c>
      <c r="AB1947" s="535" t="str">
        <f t="shared" si="798"/>
        <v/>
      </c>
      <c r="AC1947" s="537" t="str">
        <f t="shared" si="799"/>
        <v/>
      </c>
      <c r="AD1947" s="538" t="str">
        <f t="shared" ca="1" si="800"/>
        <v/>
      </c>
      <c r="AE1947" s="537">
        <f t="shared" ca="1" si="801"/>
        <v>0</v>
      </c>
      <c r="AF1947" s="539" t="str">
        <f t="shared" ca="1" si="811"/>
        <v/>
      </c>
      <c r="AG1947" s="531" t="str">
        <f t="shared" ca="1" si="812"/>
        <v/>
      </c>
      <c r="AH1947" s="531" t="str">
        <f t="shared" ca="1" si="813"/>
        <v/>
      </c>
      <c r="AI1947" s="531" t="str">
        <f t="shared" ca="1" si="814"/>
        <v/>
      </c>
      <c r="AJ1947" s="531" t="str">
        <f t="shared" si="815"/>
        <v/>
      </c>
      <c r="AK1947" s="540">
        <f>SUMIFS('Live Collections'!$S:$S,'Live Collections'!$D:$D,Disbursements!B1947,'Live Collections'!$G:$G,Disbursements!C1947)</f>
        <v>0</v>
      </c>
      <c r="AL1947" s="540">
        <f>SUMIFS('Live Collections'!$T:$T,'Live Collections'!$D:$D,Disbursements!B1947,'Live Collections'!$G:$G,Disbursements!C1947)</f>
        <v>0</v>
      </c>
      <c r="AM1947" s="541">
        <f t="shared" si="816"/>
        <v>0</v>
      </c>
      <c r="AN1947" s="542" t="str">
        <f t="shared" si="817"/>
        <v/>
      </c>
      <c r="AO1947" s="542" t="str">
        <f t="shared" si="818"/>
        <v/>
      </c>
      <c r="AP1947" s="543" t="str">
        <f t="shared" si="819"/>
        <v/>
      </c>
      <c r="AQ1947" s="544" t="str">
        <f t="shared" si="820"/>
        <v/>
      </c>
      <c r="AR1947" s="545">
        <f t="shared" si="821"/>
        <v>0</v>
      </c>
      <c r="AS1947" s="545">
        <f>IFERROR(CEILING($AR1947*VLOOKUP($I1947,Ref!$B$23:$E$29,4,0),1),0)</f>
        <v>0</v>
      </c>
      <c r="AT1947" s="545" t="str">
        <f>IF(A1947="","",IF(AP1947&lt;=1,"Cleared",IF(AS1947=0,"Clean",VLOOKUP($AS1947,Ref!$G$23:$H$28,2))))</f>
        <v/>
      </c>
      <c r="AU1947" s="546" t="str">
        <f t="shared" si="822"/>
        <v/>
      </c>
    </row>
    <row r="1948" spans="1:47" ht="14.25" hidden="1" customHeight="1" x14ac:dyDescent="0.15">
      <c r="A1948" s="575"/>
      <c r="B1948" s="548"/>
      <c r="C1948" s="548"/>
      <c r="D1948" s="548"/>
      <c r="E1948" s="583"/>
      <c r="F1948" s="584"/>
      <c r="G1948" s="548"/>
      <c r="H1948" s="550"/>
      <c r="I1948" s="560"/>
      <c r="J1948" s="548"/>
      <c r="K1948" s="528" t="str">
        <f>IFERROR(VLOOKUP($B1948,'Clients-Live'!$A:$C,3,0),"")</f>
        <v/>
      </c>
      <c r="L1948" s="528">
        <f>IF(E1948="STL",Pricing!$D$38,IF(A1948="",0,IF(A1948&lt;Pricing!$C$25,Pricing!$D$25,VLOOKUP(Disbursements!$F1948,Pricing!$B$29:$D$32,3))))</f>
        <v>0</v>
      </c>
      <c r="M1948" s="528">
        <f>IF(E1948="STL",0,IF(F1948&gt;0,Pricing!$D$21,0))</f>
        <v>0</v>
      </c>
      <c r="N1948" s="529">
        <f>IF(E1948="STL",F1948*Pricing!$D$40,IF(A1948&lt;=Pricing!$C$4,0,IF(AND(A1948&gt;Pricing!$C$4,Disbursements!A1948&lt;=Pricing!$C$5),F1948*Pricing!$E$5,IF(AND(A1948&gt;Pricing!$C$5,Disbursements!A1948&lt;=Pricing!$C$7),VLOOKUP(F1948,Pricing!$D$7:$E$8,2)*Disbursements!F1948,F1948*Pricing!$E$9))))</f>
        <v>0</v>
      </c>
      <c r="O1948" s="528">
        <f>IF(E1948="STL",0,IF($F1948&gt;0,$F1948*Pricing!$D$17,0))</f>
        <v>0</v>
      </c>
      <c r="P1948" s="530" t="str">
        <f t="shared" si="802"/>
        <v/>
      </c>
      <c r="Q1948" s="531" t="str">
        <f>IF($A1948="","",$G1948/VLOOKUP($I1948,Ref!$B$23:$D$29,2,0))</f>
        <v/>
      </c>
      <c r="R1948" s="530" t="str">
        <f t="shared" si="803"/>
        <v/>
      </c>
      <c r="S1948" s="532" t="str">
        <f t="shared" si="797"/>
        <v/>
      </c>
      <c r="T1948" s="531" t="str">
        <f t="shared" si="804"/>
        <v/>
      </c>
      <c r="U1948" s="533">
        <f t="shared" si="805"/>
        <v>0</v>
      </c>
      <c r="V1948" s="531" t="str">
        <f t="shared" si="806"/>
        <v/>
      </c>
      <c r="W1948" s="531" t="str">
        <f t="shared" si="807"/>
        <v/>
      </c>
      <c r="X1948" s="534" t="str">
        <f t="shared" si="808"/>
        <v/>
      </c>
      <c r="Y1948" s="535" t="str">
        <f>IF($A1948="","",IF($I1948="weekly",$A1948+7,EDATE($A1948,VLOOKUP($I1948,Ref!$B$24:$C$29,2,0))))</f>
        <v/>
      </c>
      <c r="Z1948" s="536" t="str">
        <f t="shared" si="809"/>
        <v/>
      </c>
      <c r="AA1948" s="531">
        <f t="shared" si="810"/>
        <v>0</v>
      </c>
      <c r="AB1948" s="535" t="str">
        <f t="shared" si="798"/>
        <v/>
      </c>
      <c r="AC1948" s="537" t="str">
        <f t="shared" si="799"/>
        <v/>
      </c>
      <c r="AD1948" s="538" t="str">
        <f t="shared" ca="1" si="800"/>
        <v/>
      </c>
      <c r="AE1948" s="537">
        <f t="shared" ca="1" si="801"/>
        <v>0</v>
      </c>
      <c r="AF1948" s="539" t="str">
        <f t="shared" ca="1" si="811"/>
        <v/>
      </c>
      <c r="AG1948" s="531" t="str">
        <f t="shared" ca="1" si="812"/>
        <v/>
      </c>
      <c r="AH1948" s="531" t="str">
        <f t="shared" ca="1" si="813"/>
        <v/>
      </c>
      <c r="AI1948" s="531" t="str">
        <f t="shared" ca="1" si="814"/>
        <v/>
      </c>
      <c r="AJ1948" s="531" t="str">
        <f t="shared" si="815"/>
        <v/>
      </c>
      <c r="AK1948" s="540">
        <f>SUMIFS('Live Collections'!$S:$S,'Live Collections'!$D:$D,Disbursements!B1948,'Live Collections'!$G:$G,Disbursements!C1948)</f>
        <v>0</v>
      </c>
      <c r="AL1948" s="540">
        <f>SUMIFS('Live Collections'!$T:$T,'Live Collections'!$D:$D,Disbursements!B1948,'Live Collections'!$G:$G,Disbursements!C1948)</f>
        <v>0</v>
      </c>
      <c r="AM1948" s="541">
        <f t="shared" si="816"/>
        <v>0</v>
      </c>
      <c r="AN1948" s="542" t="str">
        <f t="shared" si="817"/>
        <v/>
      </c>
      <c r="AO1948" s="542" t="str">
        <f t="shared" si="818"/>
        <v/>
      </c>
      <c r="AP1948" s="543" t="str">
        <f t="shared" si="819"/>
        <v/>
      </c>
      <c r="AQ1948" s="544" t="str">
        <f t="shared" si="820"/>
        <v/>
      </c>
      <c r="AR1948" s="545">
        <f t="shared" si="821"/>
        <v>0</v>
      </c>
      <c r="AS1948" s="545">
        <f>IFERROR(CEILING($AR1948*VLOOKUP($I1948,Ref!$B$23:$E$29,4,0),1),0)</f>
        <v>0</v>
      </c>
      <c r="AT1948" s="545" t="str">
        <f>IF(A1948="","",IF(AP1948&lt;=1,"Cleared",IF(AS1948=0,"Clean",VLOOKUP($AS1948,Ref!$G$23:$H$28,2))))</f>
        <v/>
      </c>
      <c r="AU1948" s="546" t="str">
        <f t="shared" si="822"/>
        <v/>
      </c>
    </row>
    <row r="1949" spans="1:47" ht="14.25" hidden="1" customHeight="1" x14ac:dyDescent="0.15">
      <c r="A1949" s="575"/>
      <c r="B1949" s="548"/>
      <c r="C1949" s="548"/>
      <c r="D1949" s="548"/>
      <c r="E1949" s="583"/>
      <c r="F1949" s="584"/>
      <c r="G1949" s="548"/>
      <c r="H1949" s="550"/>
      <c r="I1949" s="560"/>
      <c r="J1949" s="548"/>
      <c r="K1949" s="528" t="str">
        <f>IFERROR(VLOOKUP($B1949,'Clients-Live'!$A:$C,3,0),"")</f>
        <v/>
      </c>
      <c r="L1949" s="528">
        <f>IF(E1949="STL",Pricing!$D$38,IF(A1949="",0,IF(A1949&lt;Pricing!$C$25,Pricing!$D$25,VLOOKUP(Disbursements!$F1949,Pricing!$B$29:$D$32,3))))</f>
        <v>0</v>
      </c>
      <c r="M1949" s="528">
        <f>IF(E1949="STL",0,IF(F1949&gt;0,Pricing!$D$21,0))</f>
        <v>0</v>
      </c>
      <c r="N1949" s="529">
        <f>IF(E1949="STL",F1949*Pricing!$D$40,IF(A1949&lt;=Pricing!$C$4,0,IF(AND(A1949&gt;Pricing!$C$4,Disbursements!A1949&lt;=Pricing!$C$5),F1949*Pricing!$E$5,IF(AND(A1949&gt;Pricing!$C$5,Disbursements!A1949&lt;=Pricing!$C$7),VLOOKUP(F1949,Pricing!$D$7:$E$8,2)*Disbursements!F1949,F1949*Pricing!$E$9))))</f>
        <v>0</v>
      </c>
      <c r="O1949" s="528">
        <f>IF(E1949="STL",0,IF($F1949&gt;0,$F1949*Pricing!$D$17,0))</f>
        <v>0</v>
      </c>
      <c r="P1949" s="530" t="str">
        <f t="shared" si="802"/>
        <v/>
      </c>
      <c r="Q1949" s="531" t="str">
        <f>IF($A1949="","",$G1949/VLOOKUP($I1949,Ref!$B$23:$D$29,2,0))</f>
        <v/>
      </c>
      <c r="R1949" s="530" t="str">
        <f t="shared" si="803"/>
        <v/>
      </c>
      <c r="S1949" s="532" t="str">
        <f t="shared" si="797"/>
        <v/>
      </c>
      <c r="T1949" s="531" t="str">
        <f t="shared" si="804"/>
        <v/>
      </c>
      <c r="U1949" s="533">
        <f t="shared" si="805"/>
        <v>0</v>
      </c>
      <c r="V1949" s="531" t="str">
        <f t="shared" si="806"/>
        <v/>
      </c>
      <c r="W1949" s="531" t="str">
        <f t="shared" si="807"/>
        <v/>
      </c>
      <c r="X1949" s="534" t="str">
        <f t="shared" si="808"/>
        <v/>
      </c>
      <c r="Y1949" s="535" t="str">
        <f>IF($A1949="","",IF($I1949="weekly",$A1949+7,EDATE($A1949,VLOOKUP($I1949,Ref!$B$24:$C$29,2,0))))</f>
        <v/>
      </c>
      <c r="Z1949" s="536" t="str">
        <f t="shared" si="809"/>
        <v/>
      </c>
      <c r="AA1949" s="531">
        <f t="shared" si="810"/>
        <v>0</v>
      </c>
      <c r="AB1949" s="535" t="str">
        <f t="shared" si="798"/>
        <v/>
      </c>
      <c r="AC1949" s="537" t="str">
        <f t="shared" si="799"/>
        <v/>
      </c>
      <c r="AD1949" s="538" t="str">
        <f t="shared" ca="1" si="800"/>
        <v/>
      </c>
      <c r="AE1949" s="537">
        <f t="shared" ca="1" si="801"/>
        <v>0</v>
      </c>
      <c r="AF1949" s="539" t="str">
        <f t="shared" ca="1" si="811"/>
        <v/>
      </c>
      <c r="AG1949" s="531" t="str">
        <f t="shared" ca="1" si="812"/>
        <v/>
      </c>
      <c r="AH1949" s="531" t="str">
        <f t="shared" ca="1" si="813"/>
        <v/>
      </c>
      <c r="AI1949" s="531" t="str">
        <f t="shared" ca="1" si="814"/>
        <v/>
      </c>
      <c r="AJ1949" s="531" t="str">
        <f t="shared" si="815"/>
        <v/>
      </c>
      <c r="AK1949" s="540">
        <f>SUMIFS('Live Collections'!$S:$S,'Live Collections'!$D:$D,Disbursements!B1949,'Live Collections'!$G:$G,Disbursements!C1949)</f>
        <v>0</v>
      </c>
      <c r="AL1949" s="540">
        <f>SUMIFS('Live Collections'!$T:$T,'Live Collections'!$D:$D,Disbursements!B1949,'Live Collections'!$G:$G,Disbursements!C1949)</f>
        <v>0</v>
      </c>
      <c r="AM1949" s="541">
        <f t="shared" si="816"/>
        <v>0</v>
      </c>
      <c r="AN1949" s="542" t="str">
        <f t="shared" si="817"/>
        <v/>
      </c>
      <c r="AO1949" s="542" t="str">
        <f t="shared" si="818"/>
        <v/>
      </c>
      <c r="AP1949" s="543" t="str">
        <f t="shared" si="819"/>
        <v/>
      </c>
      <c r="AQ1949" s="544" t="str">
        <f t="shared" si="820"/>
        <v/>
      </c>
      <c r="AR1949" s="545">
        <f t="shared" si="821"/>
        <v>0</v>
      </c>
      <c r="AS1949" s="545">
        <f>IFERROR(CEILING($AR1949*VLOOKUP($I1949,Ref!$B$23:$E$29,4,0),1),0)</f>
        <v>0</v>
      </c>
      <c r="AT1949" s="545" t="str">
        <f>IF(A1949="","",IF(AP1949&lt;=1,"Cleared",IF(AS1949=0,"Clean",VLOOKUP($AS1949,Ref!$G$23:$H$28,2))))</f>
        <v/>
      </c>
      <c r="AU1949" s="546" t="str">
        <f t="shared" si="822"/>
        <v/>
      </c>
    </row>
    <row r="1950" spans="1:47" ht="14.25" hidden="1" customHeight="1" x14ac:dyDescent="0.15">
      <c r="A1950" s="575"/>
      <c r="B1950" s="548"/>
      <c r="C1950" s="548"/>
      <c r="D1950" s="548"/>
      <c r="E1950" s="583"/>
      <c r="F1950" s="584"/>
      <c r="G1950" s="548"/>
      <c r="H1950" s="550"/>
      <c r="I1950" s="560"/>
      <c r="J1950" s="548"/>
      <c r="K1950" s="528" t="str">
        <f>IFERROR(VLOOKUP($B1950,'Clients-Live'!$A:$C,3,0),"")</f>
        <v/>
      </c>
      <c r="L1950" s="528">
        <f>IF(E1950="STL",Pricing!$D$38,IF(A1950="",0,IF(A1950&lt;Pricing!$C$25,Pricing!$D$25,VLOOKUP(Disbursements!$F1950,Pricing!$B$29:$D$32,3))))</f>
        <v>0</v>
      </c>
      <c r="M1950" s="528">
        <f>IF(E1950="STL",0,IF(F1950&gt;0,Pricing!$D$21,0))</f>
        <v>0</v>
      </c>
      <c r="N1950" s="529">
        <f>IF(E1950="STL",F1950*Pricing!$D$40,IF(A1950&lt;=Pricing!$C$4,0,IF(AND(A1950&gt;Pricing!$C$4,Disbursements!A1950&lt;=Pricing!$C$5),F1950*Pricing!$E$5,IF(AND(A1950&gt;Pricing!$C$5,Disbursements!A1950&lt;=Pricing!$C$7),VLOOKUP(F1950,Pricing!$D$7:$E$8,2)*Disbursements!F1950,F1950*Pricing!$E$9))))</f>
        <v>0</v>
      </c>
      <c r="O1950" s="528">
        <f>IF(E1950="STL",0,IF($F1950&gt;0,$F1950*Pricing!$D$17,0))</f>
        <v>0</v>
      </c>
      <c r="P1950" s="530" t="str">
        <f t="shared" si="802"/>
        <v/>
      </c>
      <c r="Q1950" s="531" t="str">
        <f>IF($A1950="","",$G1950/VLOOKUP($I1950,Ref!$B$23:$D$29,2,0))</f>
        <v/>
      </c>
      <c r="R1950" s="530" t="str">
        <f t="shared" si="803"/>
        <v/>
      </c>
      <c r="S1950" s="532" t="str">
        <f t="shared" si="797"/>
        <v/>
      </c>
      <c r="T1950" s="531" t="str">
        <f t="shared" si="804"/>
        <v/>
      </c>
      <c r="U1950" s="533">
        <f t="shared" si="805"/>
        <v>0</v>
      </c>
      <c r="V1950" s="531" t="str">
        <f t="shared" si="806"/>
        <v/>
      </c>
      <c r="W1950" s="531" t="str">
        <f t="shared" si="807"/>
        <v/>
      </c>
      <c r="X1950" s="534" t="str">
        <f t="shared" si="808"/>
        <v/>
      </c>
      <c r="Y1950" s="535" t="str">
        <f>IF($A1950="","",IF($I1950="weekly",$A1950+7,EDATE($A1950,VLOOKUP($I1950,Ref!$B$24:$C$29,2,0))))</f>
        <v/>
      </c>
      <c r="Z1950" s="536" t="str">
        <f t="shared" si="809"/>
        <v/>
      </c>
      <c r="AA1950" s="531">
        <f t="shared" si="810"/>
        <v>0</v>
      </c>
      <c r="AB1950" s="535" t="str">
        <f t="shared" si="798"/>
        <v/>
      </c>
      <c r="AC1950" s="537" t="str">
        <f t="shared" si="799"/>
        <v/>
      </c>
      <c r="AD1950" s="538" t="str">
        <f t="shared" ca="1" si="800"/>
        <v/>
      </c>
      <c r="AE1950" s="537">
        <f t="shared" ca="1" si="801"/>
        <v>0</v>
      </c>
      <c r="AF1950" s="539" t="str">
        <f t="shared" ca="1" si="811"/>
        <v/>
      </c>
      <c r="AG1950" s="531" t="str">
        <f t="shared" ca="1" si="812"/>
        <v/>
      </c>
      <c r="AH1950" s="531" t="str">
        <f t="shared" ca="1" si="813"/>
        <v/>
      </c>
      <c r="AI1950" s="531" t="str">
        <f t="shared" ca="1" si="814"/>
        <v/>
      </c>
      <c r="AJ1950" s="531" t="str">
        <f t="shared" si="815"/>
        <v/>
      </c>
      <c r="AK1950" s="540">
        <f>SUMIFS('Live Collections'!$S:$S,'Live Collections'!$D:$D,Disbursements!B1950,'Live Collections'!$G:$G,Disbursements!C1950)</f>
        <v>0</v>
      </c>
      <c r="AL1950" s="540">
        <f>SUMIFS('Live Collections'!$T:$T,'Live Collections'!$D:$D,Disbursements!B1950,'Live Collections'!$G:$G,Disbursements!C1950)</f>
        <v>0</v>
      </c>
      <c r="AM1950" s="541">
        <f t="shared" si="816"/>
        <v>0</v>
      </c>
      <c r="AN1950" s="542" t="str">
        <f t="shared" si="817"/>
        <v/>
      </c>
      <c r="AO1950" s="542" t="str">
        <f t="shared" si="818"/>
        <v/>
      </c>
      <c r="AP1950" s="543" t="str">
        <f t="shared" si="819"/>
        <v/>
      </c>
      <c r="AQ1950" s="544" t="str">
        <f t="shared" si="820"/>
        <v/>
      </c>
      <c r="AR1950" s="545">
        <f t="shared" si="821"/>
        <v>0</v>
      </c>
      <c r="AS1950" s="545">
        <f>IFERROR(CEILING($AR1950*VLOOKUP($I1950,Ref!$B$23:$E$29,4,0),1),0)</f>
        <v>0</v>
      </c>
      <c r="AT1950" s="545" t="str">
        <f>IF(A1950="","",IF(AP1950&lt;=1,"Cleared",IF(AS1950=0,"Clean",VLOOKUP($AS1950,Ref!$G$23:$H$28,2))))</f>
        <v/>
      </c>
      <c r="AU1950" s="546" t="str">
        <f t="shared" si="822"/>
        <v/>
      </c>
    </row>
    <row r="1951" spans="1:47" ht="14.25" hidden="1" customHeight="1" x14ac:dyDescent="0.15">
      <c r="A1951" s="575"/>
      <c r="B1951" s="548"/>
      <c r="C1951" s="548"/>
      <c r="D1951" s="548"/>
      <c r="E1951" s="583"/>
      <c r="F1951" s="584"/>
      <c r="G1951" s="548"/>
      <c r="H1951" s="550"/>
      <c r="I1951" s="560"/>
      <c r="J1951" s="548"/>
      <c r="K1951" s="528" t="str">
        <f>IFERROR(VLOOKUP($B1951,'Clients-Live'!$A:$C,3,0),"")</f>
        <v/>
      </c>
      <c r="L1951" s="528">
        <f>IF(E1951="STL",Pricing!$D$38,IF(A1951="",0,IF(A1951&lt;Pricing!$C$25,Pricing!$D$25,VLOOKUP(Disbursements!$F1951,Pricing!$B$29:$D$32,3))))</f>
        <v>0</v>
      </c>
      <c r="M1951" s="528">
        <f>IF(E1951="STL",0,IF(F1951&gt;0,Pricing!$D$21,0))</f>
        <v>0</v>
      </c>
      <c r="N1951" s="529">
        <f>IF(E1951="STL",F1951*Pricing!$D$40,IF(A1951&lt;=Pricing!$C$4,0,IF(AND(A1951&gt;Pricing!$C$4,Disbursements!A1951&lt;=Pricing!$C$5),F1951*Pricing!$E$5,IF(AND(A1951&gt;Pricing!$C$5,Disbursements!A1951&lt;=Pricing!$C$7),VLOOKUP(F1951,Pricing!$D$7:$E$8,2)*Disbursements!F1951,F1951*Pricing!$E$9))))</f>
        <v>0</v>
      </c>
      <c r="O1951" s="528">
        <f>IF(E1951="STL",0,IF($F1951&gt;0,$F1951*Pricing!$D$17,0))</f>
        <v>0</v>
      </c>
      <c r="P1951" s="530" t="str">
        <f t="shared" si="802"/>
        <v/>
      </c>
      <c r="Q1951" s="531" t="str">
        <f>IF($A1951="","",$G1951/VLOOKUP($I1951,Ref!$B$23:$D$29,2,0))</f>
        <v/>
      </c>
      <c r="R1951" s="530" t="str">
        <f t="shared" si="803"/>
        <v/>
      </c>
      <c r="S1951" s="532" t="str">
        <f t="shared" si="797"/>
        <v/>
      </c>
      <c r="T1951" s="531" t="str">
        <f t="shared" si="804"/>
        <v/>
      </c>
      <c r="U1951" s="533">
        <f t="shared" si="805"/>
        <v>0</v>
      </c>
      <c r="V1951" s="531" t="str">
        <f t="shared" si="806"/>
        <v/>
      </c>
      <c r="W1951" s="531" t="str">
        <f t="shared" si="807"/>
        <v/>
      </c>
      <c r="X1951" s="534" t="str">
        <f t="shared" si="808"/>
        <v/>
      </c>
      <c r="Y1951" s="535" t="str">
        <f>IF($A1951="","",IF($I1951="weekly",$A1951+7,EDATE($A1951,VLOOKUP($I1951,Ref!$B$24:$C$29,2,0))))</f>
        <v/>
      </c>
      <c r="Z1951" s="536" t="str">
        <f t="shared" si="809"/>
        <v/>
      </c>
      <c r="AA1951" s="531">
        <f t="shared" si="810"/>
        <v>0</v>
      </c>
      <c r="AB1951" s="535" t="str">
        <f t="shared" si="798"/>
        <v/>
      </c>
      <c r="AC1951" s="537" t="str">
        <f t="shared" si="799"/>
        <v/>
      </c>
      <c r="AD1951" s="538" t="str">
        <f t="shared" ca="1" si="800"/>
        <v/>
      </c>
      <c r="AE1951" s="537">
        <f t="shared" ca="1" si="801"/>
        <v>0</v>
      </c>
      <c r="AF1951" s="539" t="str">
        <f t="shared" ca="1" si="811"/>
        <v/>
      </c>
      <c r="AG1951" s="531" t="str">
        <f t="shared" ca="1" si="812"/>
        <v/>
      </c>
      <c r="AH1951" s="531" t="str">
        <f t="shared" ca="1" si="813"/>
        <v/>
      </c>
      <c r="AI1951" s="531" t="str">
        <f t="shared" ca="1" si="814"/>
        <v/>
      </c>
      <c r="AJ1951" s="531" t="str">
        <f t="shared" si="815"/>
        <v/>
      </c>
      <c r="AK1951" s="540">
        <f>SUMIFS('Live Collections'!$S:$S,'Live Collections'!$D:$D,Disbursements!B1951,'Live Collections'!$G:$G,Disbursements!C1951)</f>
        <v>0</v>
      </c>
      <c r="AL1951" s="540">
        <f>SUMIFS('Live Collections'!$T:$T,'Live Collections'!$D:$D,Disbursements!B1951,'Live Collections'!$G:$G,Disbursements!C1951)</f>
        <v>0</v>
      </c>
      <c r="AM1951" s="541">
        <f t="shared" si="816"/>
        <v>0</v>
      </c>
      <c r="AN1951" s="542" t="str">
        <f t="shared" si="817"/>
        <v/>
      </c>
      <c r="AO1951" s="542" t="str">
        <f t="shared" si="818"/>
        <v/>
      </c>
      <c r="AP1951" s="543" t="str">
        <f t="shared" si="819"/>
        <v/>
      </c>
      <c r="AQ1951" s="544" t="str">
        <f t="shared" si="820"/>
        <v/>
      </c>
      <c r="AR1951" s="545">
        <f t="shared" si="821"/>
        <v>0</v>
      </c>
      <c r="AS1951" s="545">
        <f>IFERROR(CEILING($AR1951*VLOOKUP($I1951,Ref!$B$23:$E$29,4,0),1),0)</f>
        <v>0</v>
      </c>
      <c r="AT1951" s="545" t="str">
        <f>IF(A1951="","",IF(AP1951&lt;=1,"Cleared",IF(AS1951=0,"Clean",VLOOKUP($AS1951,Ref!$G$23:$H$28,2))))</f>
        <v/>
      </c>
      <c r="AU1951" s="546" t="str">
        <f t="shared" si="822"/>
        <v/>
      </c>
    </row>
    <row r="1952" spans="1:47" ht="14.25" hidden="1" customHeight="1" x14ac:dyDescent="0.15">
      <c r="A1952" s="575"/>
      <c r="B1952" s="548"/>
      <c r="C1952" s="548"/>
      <c r="D1952" s="548"/>
      <c r="E1952" s="583"/>
      <c r="F1952" s="584"/>
      <c r="G1952" s="548"/>
      <c r="H1952" s="550"/>
      <c r="I1952" s="560"/>
      <c r="J1952" s="548"/>
      <c r="K1952" s="528" t="str">
        <f>IFERROR(VLOOKUP($B1952,'Clients-Live'!$A:$C,3,0),"")</f>
        <v/>
      </c>
      <c r="L1952" s="528">
        <f>IF(E1952="STL",Pricing!$D$38,IF(A1952="",0,IF(A1952&lt;Pricing!$C$25,Pricing!$D$25,VLOOKUP(Disbursements!$F1952,Pricing!$B$29:$D$32,3))))</f>
        <v>0</v>
      </c>
      <c r="M1952" s="528">
        <f>IF(E1952="STL",0,IF(F1952&gt;0,Pricing!$D$21,0))</f>
        <v>0</v>
      </c>
      <c r="N1952" s="529">
        <f>IF(E1952="STL",F1952*Pricing!$D$40,IF(A1952&lt;=Pricing!$C$4,0,IF(AND(A1952&gt;Pricing!$C$4,Disbursements!A1952&lt;=Pricing!$C$5),F1952*Pricing!$E$5,IF(AND(A1952&gt;Pricing!$C$5,Disbursements!A1952&lt;=Pricing!$C$7),VLOOKUP(F1952,Pricing!$D$7:$E$8,2)*Disbursements!F1952,F1952*Pricing!$E$9))))</f>
        <v>0</v>
      </c>
      <c r="O1952" s="528">
        <f>IF(E1952="STL",0,IF($F1952&gt;0,$F1952*Pricing!$D$17,0))</f>
        <v>0</v>
      </c>
      <c r="P1952" s="530" t="str">
        <f t="shared" si="802"/>
        <v/>
      </c>
      <c r="Q1952" s="531" t="str">
        <f>IF($A1952="","",$G1952/VLOOKUP($I1952,Ref!$B$23:$D$29,2,0))</f>
        <v/>
      </c>
      <c r="R1952" s="530" t="str">
        <f t="shared" si="803"/>
        <v/>
      </c>
      <c r="S1952" s="532" t="str">
        <f t="shared" si="797"/>
        <v/>
      </c>
      <c r="T1952" s="531" t="str">
        <f t="shared" si="804"/>
        <v/>
      </c>
      <c r="U1952" s="533">
        <f t="shared" si="805"/>
        <v>0</v>
      </c>
      <c r="V1952" s="531" t="str">
        <f t="shared" si="806"/>
        <v/>
      </c>
      <c r="W1952" s="531" t="str">
        <f t="shared" si="807"/>
        <v/>
      </c>
      <c r="X1952" s="534" t="str">
        <f t="shared" si="808"/>
        <v/>
      </c>
      <c r="Y1952" s="535" t="str">
        <f>IF($A1952="","",IF($I1952="weekly",$A1952+7,EDATE($A1952,VLOOKUP($I1952,Ref!$B$24:$C$29,2,0))))</f>
        <v/>
      </c>
      <c r="Z1952" s="536" t="str">
        <f t="shared" si="809"/>
        <v/>
      </c>
      <c r="AA1952" s="531">
        <f t="shared" si="810"/>
        <v>0</v>
      </c>
      <c r="AB1952" s="535" t="str">
        <f t="shared" si="798"/>
        <v/>
      </c>
      <c r="AC1952" s="537" t="str">
        <f t="shared" si="799"/>
        <v/>
      </c>
      <c r="AD1952" s="538" t="str">
        <f t="shared" ca="1" si="800"/>
        <v/>
      </c>
      <c r="AE1952" s="537">
        <f t="shared" ca="1" si="801"/>
        <v>0</v>
      </c>
      <c r="AF1952" s="539" t="str">
        <f t="shared" ca="1" si="811"/>
        <v/>
      </c>
      <c r="AG1952" s="531" t="str">
        <f t="shared" ca="1" si="812"/>
        <v/>
      </c>
      <c r="AH1952" s="531" t="str">
        <f t="shared" ca="1" si="813"/>
        <v/>
      </c>
      <c r="AI1952" s="531" t="str">
        <f t="shared" ca="1" si="814"/>
        <v/>
      </c>
      <c r="AJ1952" s="531" t="str">
        <f t="shared" si="815"/>
        <v/>
      </c>
      <c r="AK1952" s="540">
        <f>SUMIFS('Live Collections'!$S:$S,'Live Collections'!$D:$D,Disbursements!B1952,'Live Collections'!$G:$G,Disbursements!C1952)</f>
        <v>0</v>
      </c>
      <c r="AL1952" s="540">
        <f>SUMIFS('Live Collections'!$T:$T,'Live Collections'!$D:$D,Disbursements!B1952,'Live Collections'!$G:$G,Disbursements!C1952)</f>
        <v>0</v>
      </c>
      <c r="AM1952" s="541">
        <f t="shared" si="816"/>
        <v>0</v>
      </c>
      <c r="AN1952" s="542" t="str">
        <f t="shared" si="817"/>
        <v/>
      </c>
      <c r="AO1952" s="542" t="str">
        <f t="shared" si="818"/>
        <v/>
      </c>
      <c r="AP1952" s="543" t="str">
        <f t="shared" si="819"/>
        <v/>
      </c>
      <c r="AQ1952" s="544" t="str">
        <f t="shared" si="820"/>
        <v/>
      </c>
      <c r="AR1952" s="545">
        <f t="shared" si="821"/>
        <v>0</v>
      </c>
      <c r="AS1952" s="545">
        <f>IFERROR(CEILING($AR1952*VLOOKUP($I1952,Ref!$B$23:$E$29,4,0),1),0)</f>
        <v>0</v>
      </c>
      <c r="AT1952" s="545" t="str">
        <f>IF(A1952="","",IF(AP1952&lt;=1,"Cleared",IF(AS1952=0,"Clean",VLOOKUP($AS1952,Ref!$G$23:$H$28,2))))</f>
        <v/>
      </c>
      <c r="AU1952" s="546" t="str">
        <f t="shared" si="822"/>
        <v/>
      </c>
    </row>
    <row r="1953" spans="1:47" ht="14.25" hidden="1" customHeight="1" x14ac:dyDescent="0.15">
      <c r="A1953" s="575"/>
      <c r="B1953" s="548"/>
      <c r="C1953" s="548"/>
      <c r="D1953" s="548"/>
      <c r="E1953" s="583"/>
      <c r="F1953" s="584"/>
      <c r="G1953" s="548"/>
      <c r="H1953" s="550"/>
      <c r="I1953" s="560"/>
      <c r="J1953" s="548"/>
      <c r="K1953" s="528" t="str">
        <f>IFERROR(VLOOKUP($B1953,'Clients-Live'!$A:$C,3,0),"")</f>
        <v/>
      </c>
      <c r="L1953" s="528">
        <f>IF(E1953="STL",Pricing!$D$38,IF(A1953="",0,IF(A1953&lt;Pricing!$C$25,Pricing!$D$25,VLOOKUP(Disbursements!$F1953,Pricing!$B$29:$D$32,3))))</f>
        <v>0</v>
      </c>
      <c r="M1953" s="528">
        <f>IF(E1953="STL",0,IF(F1953&gt;0,Pricing!$D$21,0))</f>
        <v>0</v>
      </c>
      <c r="N1953" s="529">
        <f>IF(E1953="STL",F1953*Pricing!$D$40,IF(A1953&lt;=Pricing!$C$4,0,IF(AND(A1953&gt;Pricing!$C$4,Disbursements!A1953&lt;=Pricing!$C$5),F1953*Pricing!$E$5,IF(AND(A1953&gt;Pricing!$C$5,Disbursements!A1953&lt;=Pricing!$C$7),VLOOKUP(F1953,Pricing!$D$7:$E$8,2)*Disbursements!F1953,F1953*Pricing!$E$9))))</f>
        <v>0</v>
      </c>
      <c r="O1953" s="528">
        <f>IF(E1953="STL",0,IF($F1953&gt;0,$F1953*Pricing!$D$17,0))</f>
        <v>0</v>
      </c>
      <c r="P1953" s="530" t="str">
        <f t="shared" si="802"/>
        <v/>
      </c>
      <c r="Q1953" s="531" t="str">
        <f>IF($A1953="","",$G1953/VLOOKUP($I1953,Ref!$B$23:$D$29,2,0))</f>
        <v/>
      </c>
      <c r="R1953" s="530" t="str">
        <f t="shared" si="803"/>
        <v/>
      </c>
      <c r="S1953" s="532" t="str">
        <f t="shared" si="797"/>
        <v/>
      </c>
      <c r="T1953" s="531" t="str">
        <f t="shared" si="804"/>
        <v/>
      </c>
      <c r="U1953" s="533">
        <f t="shared" si="805"/>
        <v>0</v>
      </c>
      <c r="V1953" s="531" t="str">
        <f t="shared" si="806"/>
        <v/>
      </c>
      <c r="W1953" s="531" t="str">
        <f t="shared" si="807"/>
        <v/>
      </c>
      <c r="X1953" s="534" t="str">
        <f t="shared" si="808"/>
        <v/>
      </c>
      <c r="Y1953" s="535" t="str">
        <f>IF($A1953="","",IF($I1953="weekly",$A1953+7,EDATE($A1953,VLOOKUP($I1953,Ref!$B$24:$C$29,2,0))))</f>
        <v/>
      </c>
      <c r="Z1953" s="536" t="str">
        <f t="shared" si="809"/>
        <v/>
      </c>
      <c r="AA1953" s="531">
        <f t="shared" si="810"/>
        <v>0</v>
      </c>
      <c r="AB1953" s="535" t="str">
        <f t="shared" si="798"/>
        <v/>
      </c>
      <c r="AC1953" s="537" t="str">
        <f t="shared" si="799"/>
        <v/>
      </c>
      <c r="AD1953" s="538" t="str">
        <f t="shared" ca="1" si="800"/>
        <v/>
      </c>
      <c r="AE1953" s="537">
        <f t="shared" ca="1" si="801"/>
        <v>0</v>
      </c>
      <c r="AF1953" s="539" t="str">
        <f t="shared" ca="1" si="811"/>
        <v/>
      </c>
      <c r="AG1953" s="531" t="str">
        <f t="shared" ca="1" si="812"/>
        <v/>
      </c>
      <c r="AH1953" s="531" t="str">
        <f t="shared" ca="1" si="813"/>
        <v/>
      </c>
      <c r="AI1953" s="531" t="str">
        <f t="shared" ca="1" si="814"/>
        <v/>
      </c>
      <c r="AJ1953" s="531" t="str">
        <f t="shared" si="815"/>
        <v/>
      </c>
      <c r="AK1953" s="540">
        <f>SUMIFS('Live Collections'!$S:$S,'Live Collections'!$D:$D,Disbursements!B1953,'Live Collections'!$G:$G,Disbursements!C1953)</f>
        <v>0</v>
      </c>
      <c r="AL1953" s="540">
        <f>SUMIFS('Live Collections'!$T:$T,'Live Collections'!$D:$D,Disbursements!B1953,'Live Collections'!$G:$G,Disbursements!C1953)</f>
        <v>0</v>
      </c>
      <c r="AM1953" s="541">
        <f t="shared" si="816"/>
        <v>0</v>
      </c>
      <c r="AN1953" s="542" t="str">
        <f t="shared" si="817"/>
        <v/>
      </c>
      <c r="AO1953" s="542" t="str">
        <f t="shared" si="818"/>
        <v/>
      </c>
      <c r="AP1953" s="543" t="str">
        <f t="shared" si="819"/>
        <v/>
      </c>
      <c r="AQ1953" s="544" t="str">
        <f t="shared" si="820"/>
        <v/>
      </c>
      <c r="AR1953" s="545">
        <f t="shared" si="821"/>
        <v>0</v>
      </c>
      <c r="AS1953" s="545">
        <f>IFERROR(CEILING($AR1953*VLOOKUP($I1953,Ref!$B$23:$E$29,4,0),1),0)</f>
        <v>0</v>
      </c>
      <c r="AT1953" s="545" t="str">
        <f>IF(A1953="","",IF(AP1953&lt;=1,"Cleared",IF(AS1953=0,"Clean",VLOOKUP($AS1953,Ref!$G$23:$H$28,2))))</f>
        <v/>
      </c>
      <c r="AU1953" s="546" t="str">
        <f t="shared" si="822"/>
        <v/>
      </c>
    </row>
    <row r="1954" spans="1:47" ht="14.25" hidden="1" customHeight="1" x14ac:dyDescent="0.15">
      <c r="A1954" s="575"/>
      <c r="B1954" s="548"/>
      <c r="C1954" s="548"/>
      <c r="D1954" s="548"/>
      <c r="E1954" s="583"/>
      <c r="F1954" s="584"/>
      <c r="G1954" s="548"/>
      <c r="H1954" s="550"/>
      <c r="I1954" s="560"/>
      <c r="J1954" s="548"/>
      <c r="K1954" s="528" t="str">
        <f>IFERROR(VLOOKUP($B1954,'Clients-Live'!$A:$C,3,0),"")</f>
        <v/>
      </c>
      <c r="L1954" s="528">
        <f>IF(E1954="STL",Pricing!$D$38,IF(A1954="",0,IF(A1954&lt;Pricing!$C$25,Pricing!$D$25,VLOOKUP(Disbursements!$F1954,Pricing!$B$29:$D$32,3))))</f>
        <v>0</v>
      </c>
      <c r="M1954" s="528">
        <f>IF(E1954="STL",0,IF(F1954&gt;0,Pricing!$D$21,0))</f>
        <v>0</v>
      </c>
      <c r="N1954" s="529">
        <f>IF(E1954="STL",F1954*Pricing!$D$40,IF(A1954&lt;=Pricing!$C$4,0,IF(AND(A1954&gt;Pricing!$C$4,Disbursements!A1954&lt;=Pricing!$C$5),F1954*Pricing!$E$5,IF(AND(A1954&gt;Pricing!$C$5,Disbursements!A1954&lt;=Pricing!$C$7),VLOOKUP(F1954,Pricing!$D$7:$E$8,2)*Disbursements!F1954,F1954*Pricing!$E$9))))</f>
        <v>0</v>
      </c>
      <c r="O1954" s="528">
        <f>IF(E1954="STL",0,IF($F1954&gt;0,$F1954*Pricing!$D$17,0))</f>
        <v>0</v>
      </c>
      <c r="P1954" s="530" t="str">
        <f t="shared" si="802"/>
        <v/>
      </c>
      <c r="Q1954" s="531" t="str">
        <f>IF($A1954="","",$G1954/VLOOKUP($I1954,Ref!$B$23:$D$29,2,0))</f>
        <v/>
      </c>
      <c r="R1954" s="530" t="str">
        <f t="shared" si="803"/>
        <v/>
      </c>
      <c r="S1954" s="532" t="str">
        <f t="shared" si="797"/>
        <v/>
      </c>
      <c r="T1954" s="531" t="str">
        <f t="shared" si="804"/>
        <v/>
      </c>
      <c r="U1954" s="533">
        <f t="shared" si="805"/>
        <v>0</v>
      </c>
      <c r="V1954" s="531" t="str">
        <f t="shared" si="806"/>
        <v/>
      </c>
      <c r="W1954" s="531" t="str">
        <f t="shared" si="807"/>
        <v/>
      </c>
      <c r="X1954" s="534" t="str">
        <f t="shared" si="808"/>
        <v/>
      </c>
      <c r="Y1954" s="535" t="str">
        <f>IF($A1954="","",IF($I1954="weekly",$A1954+7,EDATE($A1954,VLOOKUP($I1954,Ref!$B$24:$C$29,2,0))))</f>
        <v/>
      </c>
      <c r="Z1954" s="536" t="str">
        <f t="shared" si="809"/>
        <v/>
      </c>
      <c r="AA1954" s="531">
        <f t="shared" si="810"/>
        <v>0</v>
      </c>
      <c r="AB1954" s="535" t="str">
        <f t="shared" si="798"/>
        <v/>
      </c>
      <c r="AC1954" s="537" t="str">
        <f t="shared" si="799"/>
        <v/>
      </c>
      <c r="AD1954" s="538" t="str">
        <f t="shared" ca="1" si="800"/>
        <v/>
      </c>
      <c r="AE1954" s="537">
        <f t="shared" ca="1" si="801"/>
        <v>0</v>
      </c>
      <c r="AF1954" s="539" t="str">
        <f t="shared" ca="1" si="811"/>
        <v/>
      </c>
      <c r="AG1954" s="531" t="str">
        <f t="shared" ca="1" si="812"/>
        <v/>
      </c>
      <c r="AH1954" s="531" t="str">
        <f t="shared" ca="1" si="813"/>
        <v/>
      </c>
      <c r="AI1954" s="531" t="str">
        <f t="shared" ca="1" si="814"/>
        <v/>
      </c>
      <c r="AJ1954" s="531" t="str">
        <f t="shared" si="815"/>
        <v/>
      </c>
      <c r="AK1954" s="540">
        <f>SUMIFS('Live Collections'!$S:$S,'Live Collections'!$D:$D,Disbursements!B1954,'Live Collections'!$G:$G,Disbursements!C1954)</f>
        <v>0</v>
      </c>
      <c r="AL1954" s="540">
        <f>SUMIFS('Live Collections'!$T:$T,'Live Collections'!$D:$D,Disbursements!B1954,'Live Collections'!$G:$G,Disbursements!C1954)</f>
        <v>0</v>
      </c>
      <c r="AM1954" s="541">
        <f t="shared" si="816"/>
        <v>0</v>
      </c>
      <c r="AN1954" s="542" t="str">
        <f t="shared" si="817"/>
        <v/>
      </c>
      <c r="AO1954" s="542" t="str">
        <f t="shared" si="818"/>
        <v/>
      </c>
      <c r="AP1954" s="543" t="str">
        <f t="shared" si="819"/>
        <v/>
      </c>
      <c r="AQ1954" s="544" t="str">
        <f t="shared" si="820"/>
        <v/>
      </c>
      <c r="AR1954" s="545">
        <f t="shared" si="821"/>
        <v>0</v>
      </c>
      <c r="AS1954" s="545">
        <f>IFERROR(CEILING($AR1954*VLOOKUP($I1954,Ref!$B$23:$E$29,4,0),1),0)</f>
        <v>0</v>
      </c>
      <c r="AT1954" s="545" t="str">
        <f>IF(A1954="","",IF(AP1954&lt;=1,"Cleared",IF(AS1954=0,"Clean",VLOOKUP($AS1954,Ref!$G$23:$H$28,2))))</f>
        <v/>
      </c>
      <c r="AU1954" s="546" t="str">
        <f t="shared" si="822"/>
        <v/>
      </c>
    </row>
    <row r="1955" spans="1:47" ht="14.25" hidden="1" customHeight="1" x14ac:dyDescent="0.15">
      <c r="A1955" s="575"/>
      <c r="B1955" s="548"/>
      <c r="C1955" s="548"/>
      <c r="D1955" s="548"/>
      <c r="E1955" s="583"/>
      <c r="F1955" s="584"/>
      <c r="G1955" s="548"/>
      <c r="H1955" s="550"/>
      <c r="I1955" s="560"/>
      <c r="J1955" s="548"/>
      <c r="K1955" s="528" t="str">
        <f>IFERROR(VLOOKUP($B1955,'Clients-Live'!$A:$C,3,0),"")</f>
        <v/>
      </c>
      <c r="L1955" s="528">
        <f>IF(E1955="STL",Pricing!$D$38,IF(A1955="",0,IF(A1955&lt;Pricing!$C$25,Pricing!$D$25,VLOOKUP(Disbursements!$F1955,Pricing!$B$29:$D$32,3))))</f>
        <v>0</v>
      </c>
      <c r="M1955" s="528">
        <f>IF(E1955="STL",0,IF(F1955&gt;0,Pricing!$D$21,0))</f>
        <v>0</v>
      </c>
      <c r="N1955" s="529">
        <f>IF(E1955="STL",F1955*Pricing!$D$40,IF(A1955&lt;=Pricing!$C$4,0,IF(AND(A1955&gt;Pricing!$C$4,Disbursements!A1955&lt;=Pricing!$C$5),F1955*Pricing!$E$5,IF(AND(A1955&gt;Pricing!$C$5,Disbursements!A1955&lt;=Pricing!$C$7),VLOOKUP(F1955,Pricing!$D$7:$E$8,2)*Disbursements!F1955,F1955*Pricing!$E$9))))</f>
        <v>0</v>
      </c>
      <c r="O1955" s="528">
        <f>IF(E1955="STL",0,IF($F1955&gt;0,$F1955*Pricing!$D$17,0))</f>
        <v>0</v>
      </c>
      <c r="P1955" s="530" t="str">
        <f t="shared" si="802"/>
        <v/>
      </c>
      <c r="Q1955" s="531" t="str">
        <f>IF($A1955="","",$G1955/VLOOKUP($I1955,Ref!$B$23:$D$29,2,0))</f>
        <v/>
      </c>
      <c r="R1955" s="530" t="str">
        <f t="shared" si="803"/>
        <v/>
      </c>
      <c r="S1955" s="532" t="str">
        <f t="shared" si="797"/>
        <v/>
      </c>
      <c r="T1955" s="531" t="str">
        <f t="shared" si="804"/>
        <v/>
      </c>
      <c r="U1955" s="533">
        <f t="shared" si="805"/>
        <v>0</v>
      </c>
      <c r="V1955" s="531" t="str">
        <f t="shared" si="806"/>
        <v/>
      </c>
      <c r="W1955" s="531" t="str">
        <f t="shared" si="807"/>
        <v/>
      </c>
      <c r="X1955" s="534" t="str">
        <f t="shared" si="808"/>
        <v/>
      </c>
      <c r="Y1955" s="535" t="str">
        <f>IF($A1955="","",IF($I1955="weekly",$A1955+7,EDATE($A1955,VLOOKUP($I1955,Ref!$B$24:$C$29,2,0))))</f>
        <v/>
      </c>
      <c r="Z1955" s="536" t="str">
        <f t="shared" si="809"/>
        <v/>
      </c>
      <c r="AA1955" s="531">
        <f t="shared" si="810"/>
        <v>0</v>
      </c>
      <c r="AB1955" s="535" t="str">
        <f t="shared" si="798"/>
        <v/>
      </c>
      <c r="AC1955" s="537" t="str">
        <f t="shared" si="799"/>
        <v/>
      </c>
      <c r="AD1955" s="538" t="str">
        <f t="shared" ca="1" si="800"/>
        <v/>
      </c>
      <c r="AE1955" s="537">
        <f t="shared" ca="1" si="801"/>
        <v>0</v>
      </c>
      <c r="AF1955" s="539" t="str">
        <f t="shared" ca="1" si="811"/>
        <v/>
      </c>
      <c r="AG1955" s="531" t="str">
        <f t="shared" ca="1" si="812"/>
        <v/>
      </c>
      <c r="AH1955" s="531" t="str">
        <f t="shared" ca="1" si="813"/>
        <v/>
      </c>
      <c r="AI1955" s="531" t="str">
        <f t="shared" ca="1" si="814"/>
        <v/>
      </c>
      <c r="AJ1955" s="531" t="str">
        <f t="shared" si="815"/>
        <v/>
      </c>
      <c r="AK1955" s="540">
        <f>SUMIFS('Live Collections'!$S:$S,'Live Collections'!$D:$D,Disbursements!B1955,'Live Collections'!$G:$G,Disbursements!C1955)</f>
        <v>0</v>
      </c>
      <c r="AL1955" s="540">
        <f>SUMIFS('Live Collections'!$T:$T,'Live Collections'!$D:$D,Disbursements!B1955,'Live Collections'!$G:$G,Disbursements!C1955)</f>
        <v>0</v>
      </c>
      <c r="AM1955" s="541">
        <f t="shared" si="816"/>
        <v>0</v>
      </c>
      <c r="AN1955" s="542" t="str">
        <f t="shared" si="817"/>
        <v/>
      </c>
      <c r="AO1955" s="542" t="str">
        <f t="shared" si="818"/>
        <v/>
      </c>
      <c r="AP1955" s="543" t="str">
        <f t="shared" si="819"/>
        <v/>
      </c>
      <c r="AQ1955" s="544" t="str">
        <f t="shared" si="820"/>
        <v/>
      </c>
      <c r="AR1955" s="545">
        <f t="shared" si="821"/>
        <v>0</v>
      </c>
      <c r="AS1955" s="545">
        <f>IFERROR(CEILING($AR1955*VLOOKUP($I1955,Ref!$B$23:$E$29,4,0),1),0)</f>
        <v>0</v>
      </c>
      <c r="AT1955" s="545" t="str">
        <f>IF(A1955="","",IF(AP1955&lt;=1,"Cleared",IF(AS1955=0,"Clean",VLOOKUP($AS1955,Ref!$G$23:$H$28,2))))</f>
        <v/>
      </c>
      <c r="AU1955" s="546" t="str">
        <f t="shared" si="822"/>
        <v/>
      </c>
    </row>
    <row r="1956" spans="1:47" ht="14.25" hidden="1" customHeight="1" x14ac:dyDescent="0.15">
      <c r="A1956" s="575"/>
      <c r="B1956" s="548"/>
      <c r="C1956" s="548"/>
      <c r="D1956" s="548"/>
      <c r="E1956" s="583"/>
      <c r="F1956" s="584"/>
      <c r="G1956" s="548"/>
      <c r="H1956" s="550"/>
      <c r="I1956" s="560"/>
      <c r="J1956" s="548"/>
      <c r="K1956" s="528" t="str">
        <f>IFERROR(VLOOKUP($B1956,'Clients-Live'!$A:$C,3,0),"")</f>
        <v/>
      </c>
      <c r="L1956" s="528">
        <f>IF(E1956="STL",Pricing!$D$38,IF(A1956="",0,IF(A1956&lt;Pricing!$C$25,Pricing!$D$25,VLOOKUP(Disbursements!$F1956,Pricing!$B$29:$D$32,3))))</f>
        <v>0</v>
      </c>
      <c r="M1956" s="528">
        <f>IF(E1956="STL",0,IF(F1956&gt;0,Pricing!$D$21,0))</f>
        <v>0</v>
      </c>
      <c r="N1956" s="529">
        <f>IF(E1956="STL",F1956*Pricing!$D$40,IF(A1956&lt;=Pricing!$C$4,0,IF(AND(A1956&gt;Pricing!$C$4,Disbursements!A1956&lt;=Pricing!$C$5),F1956*Pricing!$E$5,IF(AND(A1956&gt;Pricing!$C$5,Disbursements!A1956&lt;=Pricing!$C$7),VLOOKUP(F1956,Pricing!$D$7:$E$8,2)*Disbursements!F1956,F1956*Pricing!$E$9))))</f>
        <v>0</v>
      </c>
      <c r="O1956" s="528">
        <f>IF(E1956="STL",0,IF($F1956&gt;0,$F1956*Pricing!$D$17,0))</f>
        <v>0</v>
      </c>
      <c r="P1956" s="530" t="str">
        <f t="shared" si="802"/>
        <v/>
      </c>
      <c r="Q1956" s="531" t="str">
        <f>IF($A1956="","",$G1956/VLOOKUP($I1956,Ref!$B$23:$D$29,2,0))</f>
        <v/>
      </c>
      <c r="R1956" s="530" t="str">
        <f t="shared" si="803"/>
        <v/>
      </c>
      <c r="S1956" s="532" t="str">
        <f t="shared" si="797"/>
        <v/>
      </c>
      <c r="T1956" s="531" t="str">
        <f t="shared" si="804"/>
        <v/>
      </c>
      <c r="U1956" s="533">
        <f t="shared" si="805"/>
        <v>0</v>
      </c>
      <c r="V1956" s="531" t="str">
        <f t="shared" si="806"/>
        <v/>
      </c>
      <c r="W1956" s="531" t="str">
        <f t="shared" si="807"/>
        <v/>
      </c>
      <c r="X1956" s="534" t="str">
        <f t="shared" si="808"/>
        <v/>
      </c>
      <c r="Y1956" s="535" t="str">
        <f>IF($A1956="","",IF($I1956="weekly",$A1956+7,EDATE($A1956,VLOOKUP($I1956,Ref!$B$24:$C$29,2,0))))</f>
        <v/>
      </c>
      <c r="Z1956" s="536" t="str">
        <f t="shared" si="809"/>
        <v/>
      </c>
      <c r="AA1956" s="531">
        <f t="shared" si="810"/>
        <v>0</v>
      </c>
      <c r="AB1956" s="535" t="str">
        <f t="shared" si="798"/>
        <v/>
      </c>
      <c r="AC1956" s="537" t="str">
        <f t="shared" si="799"/>
        <v/>
      </c>
      <c r="AD1956" s="538" t="str">
        <f t="shared" ca="1" si="800"/>
        <v/>
      </c>
      <c r="AE1956" s="537">
        <f t="shared" ca="1" si="801"/>
        <v>0</v>
      </c>
      <c r="AF1956" s="539" t="str">
        <f t="shared" ca="1" si="811"/>
        <v/>
      </c>
      <c r="AG1956" s="531" t="str">
        <f t="shared" ca="1" si="812"/>
        <v/>
      </c>
      <c r="AH1956" s="531" t="str">
        <f t="shared" ca="1" si="813"/>
        <v/>
      </c>
      <c r="AI1956" s="531" t="str">
        <f t="shared" ca="1" si="814"/>
        <v/>
      </c>
      <c r="AJ1956" s="531" t="str">
        <f t="shared" si="815"/>
        <v/>
      </c>
      <c r="AK1956" s="540">
        <f>SUMIFS('Live Collections'!$S:$S,'Live Collections'!$D:$D,Disbursements!B1956,'Live Collections'!$G:$G,Disbursements!C1956)</f>
        <v>0</v>
      </c>
      <c r="AL1956" s="540">
        <f>SUMIFS('Live Collections'!$T:$T,'Live Collections'!$D:$D,Disbursements!B1956,'Live Collections'!$G:$G,Disbursements!C1956)</f>
        <v>0</v>
      </c>
      <c r="AM1956" s="541">
        <f t="shared" si="816"/>
        <v>0</v>
      </c>
      <c r="AN1956" s="542" t="str">
        <f t="shared" si="817"/>
        <v/>
      </c>
      <c r="AO1956" s="542" t="str">
        <f t="shared" si="818"/>
        <v/>
      </c>
      <c r="AP1956" s="543" t="str">
        <f t="shared" si="819"/>
        <v/>
      </c>
      <c r="AQ1956" s="544" t="str">
        <f t="shared" si="820"/>
        <v/>
      </c>
      <c r="AR1956" s="545">
        <f t="shared" si="821"/>
        <v>0</v>
      </c>
      <c r="AS1956" s="545">
        <f>IFERROR(CEILING($AR1956*VLOOKUP($I1956,Ref!$B$23:$E$29,4,0),1),0)</f>
        <v>0</v>
      </c>
      <c r="AT1956" s="545" t="str">
        <f>IF(A1956="","",IF(AP1956&lt;=1,"Cleared",IF(AS1956=0,"Clean",VLOOKUP($AS1956,Ref!$G$23:$H$28,2))))</f>
        <v/>
      </c>
      <c r="AU1956" s="546" t="str">
        <f t="shared" si="822"/>
        <v/>
      </c>
    </row>
    <row r="1957" spans="1:47" ht="14.25" hidden="1" customHeight="1" x14ac:dyDescent="0.15">
      <c r="A1957" s="575"/>
      <c r="B1957" s="548"/>
      <c r="C1957" s="548"/>
      <c r="D1957" s="548"/>
      <c r="E1957" s="583"/>
      <c r="F1957" s="584"/>
      <c r="G1957" s="548"/>
      <c r="H1957" s="550"/>
      <c r="I1957" s="560"/>
      <c r="J1957" s="548"/>
      <c r="K1957" s="528" t="str">
        <f>IFERROR(VLOOKUP($B1957,'Clients-Live'!$A:$C,3,0),"")</f>
        <v/>
      </c>
      <c r="L1957" s="528">
        <f>IF(E1957="STL",Pricing!$D$38,IF(A1957="",0,IF(A1957&lt;Pricing!$C$25,Pricing!$D$25,VLOOKUP(Disbursements!$F1957,Pricing!$B$29:$D$32,3))))</f>
        <v>0</v>
      </c>
      <c r="M1957" s="528">
        <f>IF(E1957="STL",0,IF(F1957&gt;0,Pricing!$D$21,0))</f>
        <v>0</v>
      </c>
      <c r="N1957" s="529">
        <f>IF(E1957="STL",F1957*Pricing!$D$40,IF(A1957&lt;=Pricing!$C$4,0,IF(AND(A1957&gt;Pricing!$C$4,Disbursements!A1957&lt;=Pricing!$C$5),F1957*Pricing!$E$5,IF(AND(A1957&gt;Pricing!$C$5,Disbursements!A1957&lt;=Pricing!$C$7),VLOOKUP(F1957,Pricing!$D$7:$E$8,2)*Disbursements!F1957,F1957*Pricing!$E$9))))</f>
        <v>0</v>
      </c>
      <c r="O1957" s="528">
        <f>IF(E1957="STL",0,IF($F1957&gt;0,$F1957*Pricing!$D$17,0))</f>
        <v>0</v>
      </c>
      <c r="P1957" s="530" t="str">
        <f t="shared" si="802"/>
        <v/>
      </c>
      <c r="Q1957" s="531" t="str">
        <f>IF($A1957="","",$G1957/VLOOKUP($I1957,Ref!$B$23:$D$29,2,0))</f>
        <v/>
      </c>
      <c r="R1957" s="530" t="str">
        <f t="shared" si="803"/>
        <v/>
      </c>
      <c r="S1957" s="532" t="str">
        <f t="shared" si="797"/>
        <v/>
      </c>
      <c r="T1957" s="531" t="str">
        <f t="shared" si="804"/>
        <v/>
      </c>
      <c r="U1957" s="533">
        <f t="shared" si="805"/>
        <v>0</v>
      </c>
      <c r="V1957" s="531" t="str">
        <f t="shared" si="806"/>
        <v/>
      </c>
      <c r="W1957" s="531" t="str">
        <f t="shared" si="807"/>
        <v/>
      </c>
      <c r="X1957" s="534" t="str">
        <f t="shared" si="808"/>
        <v/>
      </c>
      <c r="Y1957" s="535" t="str">
        <f>IF($A1957="","",IF($I1957="weekly",$A1957+7,EDATE($A1957,VLOOKUP($I1957,Ref!$B$24:$C$29,2,0))))</f>
        <v/>
      </c>
      <c r="Z1957" s="536" t="str">
        <f t="shared" si="809"/>
        <v/>
      </c>
      <c r="AA1957" s="531">
        <f t="shared" si="810"/>
        <v>0</v>
      </c>
      <c r="AB1957" s="535" t="str">
        <f t="shared" si="798"/>
        <v/>
      </c>
      <c r="AC1957" s="537" t="str">
        <f t="shared" si="799"/>
        <v/>
      </c>
      <c r="AD1957" s="538" t="str">
        <f t="shared" ca="1" si="800"/>
        <v/>
      </c>
      <c r="AE1957" s="537">
        <f t="shared" ca="1" si="801"/>
        <v>0</v>
      </c>
      <c r="AF1957" s="539" t="str">
        <f t="shared" ca="1" si="811"/>
        <v/>
      </c>
      <c r="AG1957" s="531" t="str">
        <f t="shared" ca="1" si="812"/>
        <v/>
      </c>
      <c r="AH1957" s="531" t="str">
        <f t="shared" ca="1" si="813"/>
        <v/>
      </c>
      <c r="AI1957" s="531" t="str">
        <f t="shared" ca="1" si="814"/>
        <v/>
      </c>
      <c r="AJ1957" s="531" t="str">
        <f t="shared" si="815"/>
        <v/>
      </c>
      <c r="AK1957" s="540">
        <f>SUMIFS('Live Collections'!$S:$S,'Live Collections'!$D:$D,Disbursements!B1957,'Live Collections'!$G:$G,Disbursements!C1957)</f>
        <v>0</v>
      </c>
      <c r="AL1957" s="540">
        <f>SUMIFS('Live Collections'!$T:$T,'Live Collections'!$D:$D,Disbursements!B1957,'Live Collections'!$G:$G,Disbursements!C1957)</f>
        <v>0</v>
      </c>
      <c r="AM1957" s="541">
        <f t="shared" si="816"/>
        <v>0</v>
      </c>
      <c r="AN1957" s="542" t="str">
        <f t="shared" si="817"/>
        <v/>
      </c>
      <c r="AO1957" s="542" t="str">
        <f t="shared" si="818"/>
        <v/>
      </c>
      <c r="AP1957" s="543" t="str">
        <f t="shared" si="819"/>
        <v/>
      </c>
      <c r="AQ1957" s="544" t="str">
        <f t="shared" si="820"/>
        <v/>
      </c>
      <c r="AR1957" s="545">
        <f t="shared" si="821"/>
        <v>0</v>
      </c>
      <c r="AS1957" s="545">
        <f>IFERROR(CEILING($AR1957*VLOOKUP($I1957,Ref!$B$23:$E$29,4,0),1),0)</f>
        <v>0</v>
      </c>
      <c r="AT1957" s="545" t="str">
        <f>IF(A1957="","",IF(AP1957&lt;=1,"Cleared",IF(AS1957=0,"Clean",VLOOKUP($AS1957,Ref!$G$23:$H$28,2))))</f>
        <v/>
      </c>
      <c r="AU1957" s="546" t="str">
        <f t="shared" si="822"/>
        <v/>
      </c>
    </row>
    <row r="1958" spans="1:47" ht="14.25" hidden="1" customHeight="1" x14ac:dyDescent="0.15">
      <c r="A1958" s="575"/>
      <c r="B1958" s="548"/>
      <c r="C1958" s="548"/>
      <c r="D1958" s="548"/>
      <c r="E1958" s="583"/>
      <c r="F1958" s="584"/>
      <c r="G1958" s="548"/>
      <c r="H1958" s="550"/>
      <c r="I1958" s="560"/>
      <c r="J1958" s="548"/>
      <c r="K1958" s="528" t="str">
        <f>IFERROR(VLOOKUP($B1958,'Clients-Live'!$A:$C,3,0),"")</f>
        <v/>
      </c>
      <c r="L1958" s="528">
        <f>IF(E1958="STL",Pricing!$D$38,IF(A1958="",0,IF(A1958&lt;Pricing!$C$25,Pricing!$D$25,VLOOKUP(Disbursements!$F1958,Pricing!$B$29:$D$32,3))))</f>
        <v>0</v>
      </c>
      <c r="M1958" s="528">
        <f>IF(E1958="STL",0,IF(F1958&gt;0,Pricing!$D$21,0))</f>
        <v>0</v>
      </c>
      <c r="N1958" s="529">
        <f>IF(E1958="STL",F1958*Pricing!$D$40,IF(A1958&lt;=Pricing!$C$4,0,IF(AND(A1958&gt;Pricing!$C$4,Disbursements!A1958&lt;=Pricing!$C$5),F1958*Pricing!$E$5,IF(AND(A1958&gt;Pricing!$C$5,Disbursements!A1958&lt;=Pricing!$C$7),VLOOKUP(F1958,Pricing!$D$7:$E$8,2)*Disbursements!F1958,F1958*Pricing!$E$9))))</f>
        <v>0</v>
      </c>
      <c r="O1958" s="528">
        <f>IF(E1958="STL",0,IF($F1958&gt;0,$F1958*Pricing!$D$17,0))</f>
        <v>0</v>
      </c>
      <c r="P1958" s="530" t="str">
        <f t="shared" si="802"/>
        <v/>
      </c>
      <c r="Q1958" s="531" t="str">
        <f>IF($A1958="","",$G1958/VLOOKUP($I1958,Ref!$B$23:$D$29,2,0))</f>
        <v/>
      </c>
      <c r="R1958" s="530" t="str">
        <f t="shared" si="803"/>
        <v/>
      </c>
      <c r="S1958" s="532" t="str">
        <f t="shared" si="797"/>
        <v/>
      </c>
      <c r="T1958" s="531" t="str">
        <f t="shared" si="804"/>
        <v/>
      </c>
      <c r="U1958" s="533">
        <f t="shared" si="805"/>
        <v>0</v>
      </c>
      <c r="V1958" s="531" t="str">
        <f t="shared" si="806"/>
        <v/>
      </c>
      <c r="W1958" s="531" t="str">
        <f t="shared" si="807"/>
        <v/>
      </c>
      <c r="X1958" s="534" t="str">
        <f t="shared" si="808"/>
        <v/>
      </c>
      <c r="Y1958" s="535" t="str">
        <f>IF($A1958="","",IF($I1958="weekly",$A1958+7,EDATE($A1958,VLOOKUP($I1958,Ref!$B$24:$C$29,2,0))))</f>
        <v/>
      </c>
      <c r="Z1958" s="536" t="str">
        <f t="shared" si="809"/>
        <v/>
      </c>
      <c r="AA1958" s="531">
        <f t="shared" si="810"/>
        <v>0</v>
      </c>
      <c r="AB1958" s="535" t="str">
        <f t="shared" si="798"/>
        <v/>
      </c>
      <c r="AC1958" s="537" t="str">
        <f t="shared" si="799"/>
        <v/>
      </c>
      <c r="AD1958" s="538" t="str">
        <f t="shared" ca="1" si="800"/>
        <v/>
      </c>
      <c r="AE1958" s="537">
        <f t="shared" ca="1" si="801"/>
        <v>0</v>
      </c>
      <c r="AF1958" s="539" t="str">
        <f t="shared" ca="1" si="811"/>
        <v/>
      </c>
      <c r="AG1958" s="531" t="str">
        <f t="shared" ca="1" si="812"/>
        <v/>
      </c>
      <c r="AH1958" s="531" t="str">
        <f t="shared" ca="1" si="813"/>
        <v/>
      </c>
      <c r="AI1958" s="531" t="str">
        <f t="shared" ca="1" si="814"/>
        <v/>
      </c>
      <c r="AJ1958" s="531" t="str">
        <f t="shared" si="815"/>
        <v/>
      </c>
      <c r="AK1958" s="540">
        <f>SUMIFS('Live Collections'!$S:$S,'Live Collections'!$D:$D,Disbursements!B1958,'Live Collections'!$G:$G,Disbursements!C1958)</f>
        <v>0</v>
      </c>
      <c r="AL1958" s="540">
        <f>SUMIFS('Live Collections'!$T:$T,'Live Collections'!$D:$D,Disbursements!B1958,'Live Collections'!$G:$G,Disbursements!C1958)</f>
        <v>0</v>
      </c>
      <c r="AM1958" s="541">
        <f t="shared" si="816"/>
        <v>0</v>
      </c>
      <c r="AN1958" s="542" t="str">
        <f t="shared" si="817"/>
        <v/>
      </c>
      <c r="AO1958" s="542" t="str">
        <f t="shared" si="818"/>
        <v/>
      </c>
      <c r="AP1958" s="543" t="str">
        <f t="shared" si="819"/>
        <v/>
      </c>
      <c r="AQ1958" s="544" t="str">
        <f t="shared" si="820"/>
        <v/>
      </c>
      <c r="AR1958" s="545">
        <f t="shared" si="821"/>
        <v>0</v>
      </c>
      <c r="AS1958" s="545">
        <f>IFERROR(CEILING($AR1958*VLOOKUP($I1958,Ref!$B$23:$E$29,4,0),1),0)</f>
        <v>0</v>
      </c>
      <c r="AT1958" s="545" t="str">
        <f>IF(A1958="","",IF(AP1958&lt;=1,"Cleared",IF(AS1958=0,"Clean",VLOOKUP($AS1958,Ref!$G$23:$H$28,2))))</f>
        <v/>
      </c>
      <c r="AU1958" s="546" t="str">
        <f t="shared" si="822"/>
        <v/>
      </c>
    </row>
    <row r="1959" spans="1:47" ht="14.25" hidden="1" customHeight="1" x14ac:dyDescent="0.15">
      <c r="A1959" s="575"/>
      <c r="B1959" s="548"/>
      <c r="C1959" s="548"/>
      <c r="D1959" s="548"/>
      <c r="E1959" s="583"/>
      <c r="F1959" s="584"/>
      <c r="G1959" s="548"/>
      <c r="H1959" s="550"/>
      <c r="I1959" s="560"/>
      <c r="J1959" s="548"/>
      <c r="K1959" s="528" t="str">
        <f>IFERROR(VLOOKUP($B1959,'Clients-Live'!$A:$C,3,0),"")</f>
        <v/>
      </c>
      <c r="L1959" s="528">
        <f>IF(E1959="STL",Pricing!$D$38,IF(A1959="",0,IF(A1959&lt;Pricing!$C$25,Pricing!$D$25,VLOOKUP(Disbursements!$F1959,Pricing!$B$29:$D$32,3))))</f>
        <v>0</v>
      </c>
      <c r="M1959" s="528">
        <f>IF(E1959="STL",0,IF(F1959&gt;0,Pricing!$D$21,0))</f>
        <v>0</v>
      </c>
      <c r="N1959" s="529">
        <f>IF(E1959="STL",F1959*Pricing!$D$40,IF(A1959&lt;=Pricing!$C$4,0,IF(AND(A1959&gt;Pricing!$C$4,Disbursements!A1959&lt;=Pricing!$C$5),F1959*Pricing!$E$5,IF(AND(A1959&gt;Pricing!$C$5,Disbursements!A1959&lt;=Pricing!$C$7),VLOOKUP(F1959,Pricing!$D$7:$E$8,2)*Disbursements!F1959,F1959*Pricing!$E$9))))</f>
        <v>0</v>
      </c>
      <c r="O1959" s="528">
        <f>IF(E1959="STL",0,IF($F1959&gt;0,$F1959*Pricing!$D$17,0))</f>
        <v>0</v>
      </c>
      <c r="P1959" s="530" t="str">
        <f t="shared" si="802"/>
        <v/>
      </c>
      <c r="Q1959" s="531" t="str">
        <f>IF($A1959="","",$G1959/VLOOKUP($I1959,Ref!$B$23:$D$29,2,0))</f>
        <v/>
      </c>
      <c r="R1959" s="530" t="str">
        <f t="shared" si="803"/>
        <v/>
      </c>
      <c r="S1959" s="532" t="str">
        <f t="shared" si="797"/>
        <v/>
      </c>
      <c r="T1959" s="531" t="str">
        <f t="shared" si="804"/>
        <v/>
      </c>
      <c r="U1959" s="533">
        <f t="shared" si="805"/>
        <v>0</v>
      </c>
      <c r="V1959" s="531" t="str">
        <f t="shared" si="806"/>
        <v/>
      </c>
      <c r="W1959" s="531" t="str">
        <f t="shared" si="807"/>
        <v/>
      </c>
      <c r="X1959" s="534" t="str">
        <f t="shared" si="808"/>
        <v/>
      </c>
      <c r="Y1959" s="535" t="str">
        <f>IF($A1959="","",IF($I1959="weekly",$A1959+7,EDATE($A1959,VLOOKUP($I1959,Ref!$B$24:$C$29,2,0))))</f>
        <v/>
      </c>
      <c r="Z1959" s="536" t="str">
        <f t="shared" si="809"/>
        <v/>
      </c>
      <c r="AA1959" s="531">
        <f t="shared" si="810"/>
        <v>0</v>
      </c>
      <c r="AB1959" s="535" t="str">
        <f t="shared" si="798"/>
        <v/>
      </c>
      <c r="AC1959" s="537" t="str">
        <f t="shared" si="799"/>
        <v/>
      </c>
      <c r="AD1959" s="538" t="str">
        <f t="shared" ca="1" si="800"/>
        <v/>
      </c>
      <c r="AE1959" s="537">
        <f t="shared" ca="1" si="801"/>
        <v>0</v>
      </c>
      <c r="AF1959" s="539" t="str">
        <f t="shared" ca="1" si="811"/>
        <v/>
      </c>
      <c r="AG1959" s="531" t="str">
        <f t="shared" ca="1" si="812"/>
        <v/>
      </c>
      <c r="AH1959" s="531" t="str">
        <f t="shared" ca="1" si="813"/>
        <v/>
      </c>
      <c r="AI1959" s="531" t="str">
        <f t="shared" ca="1" si="814"/>
        <v/>
      </c>
      <c r="AJ1959" s="531" t="str">
        <f t="shared" si="815"/>
        <v/>
      </c>
      <c r="AK1959" s="540">
        <f>SUMIFS('Live Collections'!$S:$S,'Live Collections'!$D:$D,Disbursements!B1959,'Live Collections'!$G:$G,Disbursements!C1959)</f>
        <v>0</v>
      </c>
      <c r="AL1959" s="540">
        <f>SUMIFS('Live Collections'!$T:$T,'Live Collections'!$D:$D,Disbursements!B1959,'Live Collections'!$G:$G,Disbursements!C1959)</f>
        <v>0</v>
      </c>
      <c r="AM1959" s="541">
        <f t="shared" si="816"/>
        <v>0</v>
      </c>
      <c r="AN1959" s="542" t="str">
        <f t="shared" si="817"/>
        <v/>
      </c>
      <c r="AO1959" s="542" t="str">
        <f t="shared" si="818"/>
        <v/>
      </c>
      <c r="AP1959" s="543" t="str">
        <f t="shared" si="819"/>
        <v/>
      </c>
      <c r="AQ1959" s="544" t="str">
        <f t="shared" si="820"/>
        <v/>
      </c>
      <c r="AR1959" s="545">
        <f t="shared" si="821"/>
        <v>0</v>
      </c>
      <c r="AS1959" s="545">
        <f>IFERROR(CEILING($AR1959*VLOOKUP($I1959,Ref!$B$23:$E$29,4,0),1),0)</f>
        <v>0</v>
      </c>
      <c r="AT1959" s="545" t="str">
        <f>IF(A1959="","",IF(AP1959&lt;=1,"Cleared",IF(AS1959=0,"Clean",VLOOKUP($AS1959,Ref!$G$23:$H$28,2))))</f>
        <v/>
      </c>
      <c r="AU1959" s="546" t="str">
        <f t="shared" si="822"/>
        <v/>
      </c>
    </row>
    <row r="1960" spans="1:47" ht="14.25" hidden="1" customHeight="1" x14ac:dyDescent="0.15">
      <c r="A1960" s="575"/>
      <c r="B1960" s="548"/>
      <c r="C1960" s="548"/>
      <c r="D1960" s="548"/>
      <c r="E1960" s="583"/>
      <c r="F1960" s="584"/>
      <c r="G1960" s="548"/>
      <c r="H1960" s="550"/>
      <c r="I1960" s="560"/>
      <c r="J1960" s="548"/>
      <c r="K1960" s="528" t="str">
        <f>IFERROR(VLOOKUP($B1960,'Clients-Live'!$A:$C,3,0),"")</f>
        <v/>
      </c>
      <c r="L1960" s="528">
        <f>IF(E1960="STL",Pricing!$D$38,IF(A1960="",0,IF(A1960&lt;Pricing!$C$25,Pricing!$D$25,VLOOKUP(Disbursements!$F1960,Pricing!$B$29:$D$32,3))))</f>
        <v>0</v>
      </c>
      <c r="M1960" s="528">
        <f>IF(E1960="STL",0,IF(F1960&gt;0,Pricing!$D$21,0))</f>
        <v>0</v>
      </c>
      <c r="N1960" s="529">
        <f>IF(E1960="STL",F1960*Pricing!$D$40,IF(A1960&lt;=Pricing!$C$4,0,IF(AND(A1960&gt;Pricing!$C$4,Disbursements!A1960&lt;=Pricing!$C$5),F1960*Pricing!$E$5,IF(AND(A1960&gt;Pricing!$C$5,Disbursements!A1960&lt;=Pricing!$C$7),VLOOKUP(F1960,Pricing!$D$7:$E$8,2)*Disbursements!F1960,F1960*Pricing!$E$9))))</f>
        <v>0</v>
      </c>
      <c r="O1960" s="528">
        <f>IF(E1960="STL",0,IF($F1960&gt;0,$F1960*Pricing!$D$17,0))</f>
        <v>0</v>
      </c>
      <c r="P1960" s="530" t="str">
        <f t="shared" si="802"/>
        <v/>
      </c>
      <c r="Q1960" s="531" t="str">
        <f>IF($A1960="","",$G1960/VLOOKUP($I1960,Ref!$B$23:$D$29,2,0))</f>
        <v/>
      </c>
      <c r="R1960" s="530" t="str">
        <f t="shared" si="803"/>
        <v/>
      </c>
      <c r="S1960" s="532" t="str">
        <f t="shared" si="797"/>
        <v/>
      </c>
      <c r="T1960" s="531" t="str">
        <f t="shared" si="804"/>
        <v/>
      </c>
      <c r="U1960" s="533">
        <f t="shared" si="805"/>
        <v>0</v>
      </c>
      <c r="V1960" s="531" t="str">
        <f t="shared" si="806"/>
        <v/>
      </c>
      <c r="W1960" s="531" t="str">
        <f t="shared" si="807"/>
        <v/>
      </c>
      <c r="X1960" s="534" t="str">
        <f t="shared" si="808"/>
        <v/>
      </c>
      <c r="Y1960" s="535" t="str">
        <f>IF($A1960="","",IF($I1960="weekly",$A1960+7,EDATE($A1960,VLOOKUP($I1960,Ref!$B$24:$C$29,2,0))))</f>
        <v/>
      </c>
      <c r="Z1960" s="536" t="str">
        <f t="shared" si="809"/>
        <v/>
      </c>
      <c r="AA1960" s="531">
        <f t="shared" si="810"/>
        <v>0</v>
      </c>
      <c r="AB1960" s="535" t="str">
        <f t="shared" si="798"/>
        <v/>
      </c>
      <c r="AC1960" s="537" t="str">
        <f t="shared" si="799"/>
        <v/>
      </c>
      <c r="AD1960" s="538" t="str">
        <f t="shared" ca="1" si="800"/>
        <v/>
      </c>
      <c r="AE1960" s="537">
        <f t="shared" ca="1" si="801"/>
        <v>0</v>
      </c>
      <c r="AF1960" s="539" t="str">
        <f t="shared" ca="1" si="811"/>
        <v/>
      </c>
      <c r="AG1960" s="531" t="str">
        <f t="shared" ca="1" si="812"/>
        <v/>
      </c>
      <c r="AH1960" s="531" t="str">
        <f t="shared" ca="1" si="813"/>
        <v/>
      </c>
      <c r="AI1960" s="531" t="str">
        <f t="shared" ca="1" si="814"/>
        <v/>
      </c>
      <c r="AJ1960" s="531" t="str">
        <f t="shared" si="815"/>
        <v/>
      </c>
      <c r="AK1960" s="540">
        <f>SUMIFS('Live Collections'!$S:$S,'Live Collections'!$D:$D,Disbursements!B1960,'Live Collections'!$G:$G,Disbursements!C1960)</f>
        <v>0</v>
      </c>
      <c r="AL1960" s="540">
        <f>SUMIFS('Live Collections'!$T:$T,'Live Collections'!$D:$D,Disbursements!B1960,'Live Collections'!$G:$G,Disbursements!C1960)</f>
        <v>0</v>
      </c>
      <c r="AM1960" s="541">
        <f t="shared" si="816"/>
        <v>0</v>
      </c>
      <c r="AN1960" s="542" t="str">
        <f t="shared" si="817"/>
        <v/>
      </c>
      <c r="AO1960" s="542" t="str">
        <f t="shared" si="818"/>
        <v/>
      </c>
      <c r="AP1960" s="543" t="str">
        <f t="shared" si="819"/>
        <v/>
      </c>
      <c r="AQ1960" s="544" t="str">
        <f t="shared" si="820"/>
        <v/>
      </c>
      <c r="AR1960" s="545">
        <f t="shared" si="821"/>
        <v>0</v>
      </c>
      <c r="AS1960" s="545">
        <f>IFERROR(CEILING($AR1960*VLOOKUP($I1960,Ref!$B$23:$E$29,4,0),1),0)</f>
        <v>0</v>
      </c>
      <c r="AT1960" s="545" t="str">
        <f>IF(A1960="","",IF(AP1960&lt;=1,"Cleared",IF(AS1960=0,"Clean",VLOOKUP($AS1960,Ref!$G$23:$H$28,2))))</f>
        <v/>
      </c>
      <c r="AU1960" s="546" t="str">
        <f t="shared" si="822"/>
        <v/>
      </c>
    </row>
    <row r="1961" spans="1:47" ht="14.25" hidden="1" customHeight="1" x14ac:dyDescent="0.15">
      <c r="A1961" s="575"/>
      <c r="B1961" s="548"/>
      <c r="C1961" s="548"/>
      <c r="D1961" s="548"/>
      <c r="E1961" s="583"/>
      <c r="F1961" s="584"/>
      <c r="G1961" s="548"/>
      <c r="H1961" s="550"/>
      <c r="I1961" s="560"/>
      <c r="J1961" s="548"/>
      <c r="K1961" s="528" t="str">
        <f>IFERROR(VLOOKUP($B1961,'Clients-Live'!$A:$C,3,0),"")</f>
        <v/>
      </c>
      <c r="L1961" s="528">
        <f>IF(E1961="STL",Pricing!$D$38,IF(A1961="",0,IF(A1961&lt;Pricing!$C$25,Pricing!$D$25,VLOOKUP(Disbursements!$F1961,Pricing!$B$29:$D$32,3))))</f>
        <v>0</v>
      </c>
      <c r="M1961" s="528">
        <f>IF(E1961="STL",0,IF(F1961&gt;0,Pricing!$D$21,0))</f>
        <v>0</v>
      </c>
      <c r="N1961" s="529">
        <f>IF(E1961="STL",F1961*Pricing!$D$40,IF(A1961&lt;=Pricing!$C$4,0,IF(AND(A1961&gt;Pricing!$C$4,Disbursements!A1961&lt;=Pricing!$C$5),F1961*Pricing!$E$5,IF(AND(A1961&gt;Pricing!$C$5,Disbursements!A1961&lt;=Pricing!$C$7),VLOOKUP(F1961,Pricing!$D$7:$E$8,2)*Disbursements!F1961,F1961*Pricing!$E$9))))</f>
        <v>0</v>
      </c>
      <c r="O1961" s="528">
        <f>IF(E1961="STL",0,IF($F1961&gt;0,$F1961*Pricing!$D$17,0))</f>
        <v>0</v>
      </c>
      <c r="P1961" s="530" t="str">
        <f t="shared" si="802"/>
        <v/>
      </c>
      <c r="Q1961" s="531" t="str">
        <f>IF($A1961="","",$G1961/VLOOKUP($I1961,Ref!$B$23:$D$29,2,0))</f>
        <v/>
      </c>
      <c r="R1961" s="530" t="str">
        <f t="shared" si="803"/>
        <v/>
      </c>
      <c r="S1961" s="532" t="str">
        <f t="shared" si="797"/>
        <v/>
      </c>
      <c r="T1961" s="531" t="str">
        <f t="shared" si="804"/>
        <v/>
      </c>
      <c r="U1961" s="533">
        <f t="shared" si="805"/>
        <v>0</v>
      </c>
      <c r="V1961" s="531" t="str">
        <f t="shared" si="806"/>
        <v/>
      </c>
      <c r="W1961" s="531" t="str">
        <f t="shared" si="807"/>
        <v/>
      </c>
      <c r="X1961" s="534" t="str">
        <f t="shared" si="808"/>
        <v/>
      </c>
      <c r="Y1961" s="535" t="str">
        <f>IF($A1961="","",IF($I1961="weekly",$A1961+7,EDATE($A1961,VLOOKUP($I1961,Ref!$B$24:$C$29,2,0))))</f>
        <v/>
      </c>
      <c r="Z1961" s="536" t="str">
        <f t="shared" si="809"/>
        <v/>
      </c>
      <c r="AA1961" s="531">
        <f t="shared" si="810"/>
        <v>0</v>
      </c>
      <c r="AB1961" s="535" t="str">
        <f t="shared" si="798"/>
        <v/>
      </c>
      <c r="AC1961" s="537" t="str">
        <f t="shared" si="799"/>
        <v/>
      </c>
      <c r="AD1961" s="538" t="str">
        <f t="shared" ca="1" si="800"/>
        <v/>
      </c>
      <c r="AE1961" s="537">
        <f t="shared" ca="1" si="801"/>
        <v>0</v>
      </c>
      <c r="AF1961" s="539" t="str">
        <f t="shared" ca="1" si="811"/>
        <v/>
      </c>
      <c r="AG1961" s="531" t="str">
        <f t="shared" ca="1" si="812"/>
        <v/>
      </c>
      <c r="AH1961" s="531" t="str">
        <f t="shared" ca="1" si="813"/>
        <v/>
      </c>
      <c r="AI1961" s="531" t="str">
        <f t="shared" ca="1" si="814"/>
        <v/>
      </c>
      <c r="AJ1961" s="531" t="str">
        <f t="shared" si="815"/>
        <v/>
      </c>
      <c r="AK1961" s="540">
        <f>SUMIFS('Live Collections'!$S:$S,'Live Collections'!$D:$D,Disbursements!B1961,'Live Collections'!$G:$G,Disbursements!C1961)</f>
        <v>0</v>
      </c>
      <c r="AL1961" s="540">
        <f>SUMIFS('Live Collections'!$T:$T,'Live Collections'!$D:$D,Disbursements!B1961,'Live Collections'!$G:$G,Disbursements!C1961)</f>
        <v>0</v>
      </c>
      <c r="AM1961" s="541">
        <f t="shared" si="816"/>
        <v>0</v>
      </c>
      <c r="AN1961" s="542" t="str">
        <f t="shared" si="817"/>
        <v/>
      </c>
      <c r="AO1961" s="542" t="str">
        <f t="shared" si="818"/>
        <v/>
      </c>
      <c r="AP1961" s="543" t="str">
        <f t="shared" si="819"/>
        <v/>
      </c>
      <c r="AQ1961" s="544" t="str">
        <f t="shared" si="820"/>
        <v/>
      </c>
      <c r="AR1961" s="545">
        <f t="shared" si="821"/>
        <v>0</v>
      </c>
      <c r="AS1961" s="545">
        <f>IFERROR(CEILING($AR1961*VLOOKUP($I1961,Ref!$B$23:$E$29,4,0),1),0)</f>
        <v>0</v>
      </c>
      <c r="AT1961" s="545" t="str">
        <f>IF(A1961="","",IF(AP1961&lt;=1,"Cleared",IF(AS1961=0,"Clean",VLOOKUP($AS1961,Ref!$G$23:$H$28,2))))</f>
        <v/>
      </c>
      <c r="AU1961" s="546" t="str">
        <f t="shared" si="822"/>
        <v/>
      </c>
    </row>
    <row r="1962" spans="1:47" ht="14.25" hidden="1" customHeight="1" x14ac:dyDescent="0.15">
      <c r="A1962" s="575"/>
      <c r="B1962" s="548"/>
      <c r="C1962" s="548"/>
      <c r="D1962" s="548"/>
      <c r="E1962" s="583"/>
      <c r="F1962" s="584"/>
      <c r="G1962" s="548"/>
      <c r="H1962" s="550"/>
      <c r="I1962" s="560"/>
      <c r="J1962" s="548"/>
      <c r="K1962" s="528" t="str">
        <f>IFERROR(VLOOKUP($B1962,'Clients-Live'!$A:$C,3,0),"")</f>
        <v/>
      </c>
      <c r="L1962" s="528">
        <f>IF(E1962="STL",Pricing!$D$38,IF(A1962="",0,IF(A1962&lt;Pricing!$C$25,Pricing!$D$25,VLOOKUP(Disbursements!$F1962,Pricing!$B$29:$D$32,3))))</f>
        <v>0</v>
      </c>
      <c r="M1962" s="528">
        <f>IF(E1962="STL",0,IF(F1962&gt;0,Pricing!$D$21,0))</f>
        <v>0</v>
      </c>
      <c r="N1962" s="529">
        <f>IF(E1962="STL",F1962*Pricing!$D$40,IF(A1962&lt;=Pricing!$C$4,0,IF(AND(A1962&gt;Pricing!$C$4,Disbursements!A1962&lt;=Pricing!$C$5),F1962*Pricing!$E$5,IF(AND(A1962&gt;Pricing!$C$5,Disbursements!A1962&lt;=Pricing!$C$7),VLOOKUP(F1962,Pricing!$D$7:$E$8,2)*Disbursements!F1962,F1962*Pricing!$E$9))))</f>
        <v>0</v>
      </c>
      <c r="O1962" s="528">
        <f>IF(E1962="STL",0,IF($F1962&gt;0,$F1962*Pricing!$D$17,0))</f>
        <v>0</v>
      </c>
      <c r="P1962" s="530" t="str">
        <f t="shared" si="802"/>
        <v/>
      </c>
      <c r="Q1962" s="531" t="str">
        <f>IF($A1962="","",$G1962/VLOOKUP($I1962,Ref!$B$23:$D$29,2,0))</f>
        <v/>
      </c>
      <c r="R1962" s="530" t="str">
        <f t="shared" si="803"/>
        <v/>
      </c>
      <c r="S1962" s="532" t="str">
        <f t="shared" si="797"/>
        <v/>
      </c>
      <c r="T1962" s="531" t="str">
        <f t="shared" si="804"/>
        <v/>
      </c>
      <c r="U1962" s="533">
        <f t="shared" si="805"/>
        <v>0</v>
      </c>
      <c r="V1962" s="531" t="str">
        <f t="shared" si="806"/>
        <v/>
      </c>
      <c r="W1962" s="531" t="str">
        <f t="shared" si="807"/>
        <v/>
      </c>
      <c r="X1962" s="534" t="str">
        <f t="shared" si="808"/>
        <v/>
      </c>
      <c r="Y1962" s="535" t="str">
        <f>IF($A1962="","",IF($I1962="weekly",$A1962+7,EDATE($A1962,VLOOKUP($I1962,Ref!$B$24:$C$29,2,0))))</f>
        <v/>
      </c>
      <c r="Z1962" s="536" t="str">
        <f t="shared" si="809"/>
        <v/>
      </c>
      <c r="AA1962" s="531">
        <f t="shared" si="810"/>
        <v>0</v>
      </c>
      <c r="AB1962" s="535" t="str">
        <f t="shared" si="798"/>
        <v/>
      </c>
      <c r="AC1962" s="537" t="str">
        <f t="shared" si="799"/>
        <v/>
      </c>
      <c r="AD1962" s="538" t="str">
        <f t="shared" ca="1" si="800"/>
        <v/>
      </c>
      <c r="AE1962" s="537">
        <f t="shared" ca="1" si="801"/>
        <v>0</v>
      </c>
      <c r="AF1962" s="539" t="str">
        <f t="shared" ca="1" si="811"/>
        <v/>
      </c>
      <c r="AG1962" s="531" t="str">
        <f t="shared" ca="1" si="812"/>
        <v/>
      </c>
      <c r="AH1962" s="531" t="str">
        <f t="shared" ca="1" si="813"/>
        <v/>
      </c>
      <c r="AI1962" s="531" t="str">
        <f t="shared" ca="1" si="814"/>
        <v/>
      </c>
      <c r="AJ1962" s="531" t="str">
        <f t="shared" si="815"/>
        <v/>
      </c>
      <c r="AK1962" s="540">
        <f>SUMIFS('Live Collections'!$S:$S,'Live Collections'!$D:$D,Disbursements!B1962,'Live Collections'!$G:$G,Disbursements!C1962)</f>
        <v>0</v>
      </c>
      <c r="AL1962" s="540">
        <f>SUMIFS('Live Collections'!$T:$T,'Live Collections'!$D:$D,Disbursements!B1962,'Live Collections'!$G:$G,Disbursements!C1962)</f>
        <v>0</v>
      </c>
      <c r="AM1962" s="541">
        <f t="shared" si="816"/>
        <v>0</v>
      </c>
      <c r="AN1962" s="542" t="str">
        <f t="shared" si="817"/>
        <v/>
      </c>
      <c r="AO1962" s="542" t="str">
        <f t="shared" si="818"/>
        <v/>
      </c>
      <c r="AP1962" s="543" t="str">
        <f t="shared" si="819"/>
        <v/>
      </c>
      <c r="AQ1962" s="544" t="str">
        <f t="shared" si="820"/>
        <v/>
      </c>
      <c r="AR1962" s="545">
        <f t="shared" si="821"/>
        <v>0</v>
      </c>
      <c r="AS1962" s="545">
        <f>IFERROR(CEILING($AR1962*VLOOKUP($I1962,Ref!$B$23:$E$29,4,0),1),0)</f>
        <v>0</v>
      </c>
      <c r="AT1962" s="545" t="str">
        <f>IF(A1962="","",IF(AP1962&lt;=1,"Cleared",IF(AS1962=0,"Clean",VLOOKUP($AS1962,Ref!$G$23:$H$28,2))))</f>
        <v/>
      </c>
      <c r="AU1962" s="546" t="str">
        <f t="shared" si="822"/>
        <v/>
      </c>
    </row>
    <row r="1963" spans="1:47" ht="14.25" hidden="1" customHeight="1" x14ac:dyDescent="0.15">
      <c r="A1963" s="575"/>
      <c r="B1963" s="548"/>
      <c r="C1963" s="548"/>
      <c r="D1963" s="548"/>
      <c r="E1963" s="583"/>
      <c r="F1963" s="584"/>
      <c r="G1963" s="548"/>
      <c r="H1963" s="550"/>
      <c r="I1963" s="560"/>
      <c r="J1963" s="548"/>
      <c r="K1963" s="528" t="str">
        <f>IFERROR(VLOOKUP($B1963,'Clients-Live'!$A:$C,3,0),"")</f>
        <v/>
      </c>
      <c r="L1963" s="528">
        <f>IF(E1963="STL",Pricing!$D$38,IF(A1963="",0,IF(A1963&lt;Pricing!$C$25,Pricing!$D$25,VLOOKUP(Disbursements!$F1963,Pricing!$B$29:$D$32,3))))</f>
        <v>0</v>
      </c>
      <c r="M1963" s="528">
        <f>IF(E1963="STL",0,IF(F1963&gt;0,Pricing!$D$21,0))</f>
        <v>0</v>
      </c>
      <c r="N1963" s="529">
        <f>IF(E1963="STL",F1963*Pricing!$D$40,IF(A1963&lt;=Pricing!$C$4,0,IF(AND(A1963&gt;Pricing!$C$4,Disbursements!A1963&lt;=Pricing!$C$5),F1963*Pricing!$E$5,IF(AND(A1963&gt;Pricing!$C$5,Disbursements!A1963&lt;=Pricing!$C$7),VLOOKUP(F1963,Pricing!$D$7:$E$8,2)*Disbursements!F1963,F1963*Pricing!$E$9))))</f>
        <v>0</v>
      </c>
      <c r="O1963" s="528">
        <f>IF(E1963="STL",0,IF($F1963&gt;0,$F1963*Pricing!$D$17,0))</f>
        <v>0</v>
      </c>
      <c r="P1963" s="530" t="str">
        <f t="shared" si="802"/>
        <v/>
      </c>
      <c r="Q1963" s="531" t="str">
        <f>IF($A1963="","",$G1963/VLOOKUP($I1963,Ref!$B$23:$D$29,2,0))</f>
        <v/>
      </c>
      <c r="R1963" s="530" t="str">
        <f t="shared" si="803"/>
        <v/>
      </c>
      <c r="S1963" s="532" t="str">
        <f t="shared" si="797"/>
        <v/>
      </c>
      <c r="T1963" s="531" t="str">
        <f t="shared" si="804"/>
        <v/>
      </c>
      <c r="U1963" s="533">
        <f t="shared" si="805"/>
        <v>0</v>
      </c>
      <c r="V1963" s="531" t="str">
        <f t="shared" si="806"/>
        <v/>
      </c>
      <c r="W1963" s="531" t="str">
        <f t="shared" si="807"/>
        <v/>
      </c>
      <c r="X1963" s="534" t="str">
        <f t="shared" si="808"/>
        <v/>
      </c>
      <c r="Y1963" s="535" t="str">
        <f>IF($A1963="","",IF($I1963="weekly",$A1963+7,EDATE($A1963,VLOOKUP($I1963,Ref!$B$24:$C$29,2,0))))</f>
        <v/>
      </c>
      <c r="Z1963" s="536" t="str">
        <f t="shared" si="809"/>
        <v/>
      </c>
      <c r="AA1963" s="531">
        <f t="shared" si="810"/>
        <v>0</v>
      </c>
      <c r="AB1963" s="535" t="str">
        <f t="shared" si="798"/>
        <v/>
      </c>
      <c r="AC1963" s="537" t="str">
        <f t="shared" si="799"/>
        <v/>
      </c>
      <c r="AD1963" s="538" t="str">
        <f t="shared" ca="1" si="800"/>
        <v/>
      </c>
      <c r="AE1963" s="537">
        <f t="shared" ca="1" si="801"/>
        <v>0</v>
      </c>
      <c r="AF1963" s="539" t="str">
        <f t="shared" ca="1" si="811"/>
        <v/>
      </c>
      <c r="AG1963" s="531" t="str">
        <f t="shared" ca="1" si="812"/>
        <v/>
      </c>
      <c r="AH1963" s="531" t="str">
        <f t="shared" ca="1" si="813"/>
        <v/>
      </c>
      <c r="AI1963" s="531" t="str">
        <f t="shared" ca="1" si="814"/>
        <v/>
      </c>
      <c r="AJ1963" s="531" t="str">
        <f t="shared" si="815"/>
        <v/>
      </c>
      <c r="AK1963" s="540">
        <f>SUMIFS('Live Collections'!$S:$S,'Live Collections'!$D:$D,Disbursements!B1963,'Live Collections'!$G:$G,Disbursements!C1963)</f>
        <v>0</v>
      </c>
      <c r="AL1963" s="540">
        <f>SUMIFS('Live Collections'!$T:$T,'Live Collections'!$D:$D,Disbursements!B1963,'Live Collections'!$G:$G,Disbursements!C1963)</f>
        <v>0</v>
      </c>
      <c r="AM1963" s="541">
        <f t="shared" si="816"/>
        <v>0</v>
      </c>
      <c r="AN1963" s="542" t="str">
        <f t="shared" si="817"/>
        <v/>
      </c>
      <c r="AO1963" s="542" t="str">
        <f t="shared" si="818"/>
        <v/>
      </c>
      <c r="AP1963" s="543" t="str">
        <f t="shared" si="819"/>
        <v/>
      </c>
      <c r="AQ1963" s="544" t="str">
        <f t="shared" si="820"/>
        <v/>
      </c>
      <c r="AR1963" s="545">
        <f t="shared" si="821"/>
        <v>0</v>
      </c>
      <c r="AS1963" s="545">
        <f>IFERROR(CEILING($AR1963*VLOOKUP($I1963,Ref!$B$23:$E$29,4,0),1),0)</f>
        <v>0</v>
      </c>
      <c r="AT1963" s="545" t="str">
        <f>IF(A1963="","",IF(AP1963&lt;=1,"Cleared",IF(AS1963=0,"Clean",VLOOKUP($AS1963,Ref!$G$23:$H$28,2))))</f>
        <v/>
      </c>
      <c r="AU1963" s="546" t="str">
        <f t="shared" si="822"/>
        <v/>
      </c>
    </row>
    <row r="1964" spans="1:47" ht="14.25" hidden="1" customHeight="1" x14ac:dyDescent="0.15">
      <c r="A1964" s="575"/>
      <c r="B1964" s="548"/>
      <c r="C1964" s="548"/>
      <c r="D1964" s="548"/>
      <c r="E1964" s="583"/>
      <c r="F1964" s="584"/>
      <c r="G1964" s="548"/>
      <c r="H1964" s="550"/>
      <c r="I1964" s="560"/>
      <c r="J1964" s="548"/>
      <c r="K1964" s="528" t="str">
        <f>IFERROR(VLOOKUP($B1964,'Clients-Live'!$A:$C,3,0),"")</f>
        <v/>
      </c>
      <c r="L1964" s="528">
        <f>IF(E1964="STL",Pricing!$D$38,IF(A1964="",0,IF(A1964&lt;Pricing!$C$25,Pricing!$D$25,VLOOKUP(Disbursements!$F1964,Pricing!$B$29:$D$32,3))))</f>
        <v>0</v>
      </c>
      <c r="M1964" s="528">
        <f>IF(E1964="STL",0,IF(F1964&gt;0,Pricing!$D$21,0))</f>
        <v>0</v>
      </c>
      <c r="N1964" s="529">
        <f>IF(E1964="STL",F1964*Pricing!$D$40,IF(A1964&lt;=Pricing!$C$4,0,IF(AND(A1964&gt;Pricing!$C$4,Disbursements!A1964&lt;=Pricing!$C$5),F1964*Pricing!$E$5,IF(AND(A1964&gt;Pricing!$C$5,Disbursements!A1964&lt;=Pricing!$C$7),VLOOKUP(F1964,Pricing!$D$7:$E$8,2)*Disbursements!F1964,F1964*Pricing!$E$9))))</f>
        <v>0</v>
      </c>
      <c r="O1964" s="528">
        <f>IF(E1964="STL",0,IF($F1964&gt;0,$F1964*Pricing!$D$17,0))</f>
        <v>0</v>
      </c>
      <c r="P1964" s="530" t="str">
        <f t="shared" si="802"/>
        <v/>
      </c>
      <c r="Q1964" s="531" t="str">
        <f>IF($A1964="","",$G1964/VLOOKUP($I1964,Ref!$B$23:$D$29,2,0))</f>
        <v/>
      </c>
      <c r="R1964" s="530" t="str">
        <f t="shared" si="803"/>
        <v/>
      </c>
      <c r="S1964" s="532" t="str">
        <f t="shared" si="797"/>
        <v/>
      </c>
      <c r="T1964" s="531" t="str">
        <f t="shared" si="804"/>
        <v/>
      </c>
      <c r="U1964" s="533">
        <f t="shared" si="805"/>
        <v>0</v>
      </c>
      <c r="V1964" s="531" t="str">
        <f t="shared" si="806"/>
        <v/>
      </c>
      <c r="W1964" s="531" t="str">
        <f t="shared" si="807"/>
        <v/>
      </c>
      <c r="X1964" s="534" t="str">
        <f t="shared" si="808"/>
        <v/>
      </c>
      <c r="Y1964" s="535" t="str">
        <f>IF($A1964="","",IF($I1964="weekly",$A1964+7,EDATE($A1964,VLOOKUP($I1964,Ref!$B$24:$C$29,2,0))))</f>
        <v/>
      </c>
      <c r="Z1964" s="536" t="str">
        <f t="shared" si="809"/>
        <v/>
      </c>
      <c r="AA1964" s="531">
        <f t="shared" si="810"/>
        <v>0</v>
      </c>
      <c r="AB1964" s="535" t="str">
        <f t="shared" si="798"/>
        <v/>
      </c>
      <c r="AC1964" s="537" t="str">
        <f t="shared" si="799"/>
        <v/>
      </c>
      <c r="AD1964" s="538" t="str">
        <f t="shared" ca="1" si="800"/>
        <v/>
      </c>
      <c r="AE1964" s="537">
        <f t="shared" ca="1" si="801"/>
        <v>0</v>
      </c>
      <c r="AF1964" s="539" t="str">
        <f t="shared" ca="1" si="811"/>
        <v/>
      </c>
      <c r="AG1964" s="531" t="str">
        <f t="shared" ca="1" si="812"/>
        <v/>
      </c>
      <c r="AH1964" s="531" t="str">
        <f t="shared" ca="1" si="813"/>
        <v/>
      </c>
      <c r="AI1964" s="531" t="str">
        <f t="shared" ca="1" si="814"/>
        <v/>
      </c>
      <c r="AJ1964" s="531" t="str">
        <f t="shared" si="815"/>
        <v/>
      </c>
      <c r="AK1964" s="540">
        <f>SUMIFS('Live Collections'!$S:$S,'Live Collections'!$D:$D,Disbursements!B1964,'Live Collections'!$G:$G,Disbursements!C1964)</f>
        <v>0</v>
      </c>
      <c r="AL1964" s="540">
        <f>SUMIFS('Live Collections'!$T:$T,'Live Collections'!$D:$D,Disbursements!B1964,'Live Collections'!$G:$G,Disbursements!C1964)</f>
        <v>0</v>
      </c>
      <c r="AM1964" s="541">
        <f t="shared" si="816"/>
        <v>0</v>
      </c>
      <c r="AN1964" s="542" t="str">
        <f t="shared" si="817"/>
        <v/>
      </c>
      <c r="AO1964" s="542" t="str">
        <f t="shared" si="818"/>
        <v/>
      </c>
      <c r="AP1964" s="543" t="str">
        <f t="shared" si="819"/>
        <v/>
      </c>
      <c r="AQ1964" s="544" t="str">
        <f t="shared" si="820"/>
        <v/>
      </c>
      <c r="AR1964" s="545">
        <f t="shared" si="821"/>
        <v>0</v>
      </c>
      <c r="AS1964" s="545">
        <f>IFERROR(CEILING($AR1964*VLOOKUP($I1964,Ref!$B$23:$E$29,4,0),1),0)</f>
        <v>0</v>
      </c>
      <c r="AT1964" s="545" t="str">
        <f>IF(A1964="","",IF(AP1964&lt;=1,"Cleared",IF(AS1964=0,"Clean",VLOOKUP($AS1964,Ref!$G$23:$H$28,2))))</f>
        <v/>
      </c>
      <c r="AU1964" s="546" t="str">
        <f t="shared" si="822"/>
        <v/>
      </c>
    </row>
    <row r="1965" spans="1:47" ht="14.25" hidden="1" customHeight="1" x14ac:dyDescent="0.15">
      <c r="A1965" s="575"/>
      <c r="B1965" s="548"/>
      <c r="C1965" s="548"/>
      <c r="D1965" s="548"/>
      <c r="E1965" s="583"/>
      <c r="F1965" s="584"/>
      <c r="G1965" s="548"/>
      <c r="H1965" s="550"/>
      <c r="I1965" s="560"/>
      <c r="J1965" s="548"/>
      <c r="K1965" s="528" t="str">
        <f>IFERROR(VLOOKUP($B1965,'Clients-Live'!$A:$C,3,0),"")</f>
        <v/>
      </c>
      <c r="L1965" s="528">
        <f>IF(E1965="STL",Pricing!$D$38,IF(A1965="",0,IF(A1965&lt;Pricing!$C$25,Pricing!$D$25,VLOOKUP(Disbursements!$F1965,Pricing!$B$29:$D$32,3))))</f>
        <v>0</v>
      </c>
      <c r="M1965" s="528">
        <f>IF(E1965="STL",0,IF(F1965&gt;0,Pricing!$D$21,0))</f>
        <v>0</v>
      </c>
      <c r="N1965" s="529">
        <f>IF(E1965="STL",F1965*Pricing!$D$40,IF(A1965&lt;=Pricing!$C$4,0,IF(AND(A1965&gt;Pricing!$C$4,Disbursements!A1965&lt;=Pricing!$C$5),F1965*Pricing!$E$5,IF(AND(A1965&gt;Pricing!$C$5,Disbursements!A1965&lt;=Pricing!$C$7),VLOOKUP(F1965,Pricing!$D$7:$E$8,2)*Disbursements!F1965,F1965*Pricing!$E$9))))</f>
        <v>0</v>
      </c>
      <c r="O1965" s="528">
        <f>IF(E1965="STL",0,IF($F1965&gt;0,$F1965*Pricing!$D$17,0))</f>
        <v>0</v>
      </c>
      <c r="P1965" s="530" t="str">
        <f t="shared" si="802"/>
        <v/>
      </c>
      <c r="Q1965" s="531" t="str">
        <f>IF($A1965="","",$G1965/VLOOKUP($I1965,Ref!$B$23:$D$29,2,0))</f>
        <v/>
      </c>
      <c r="R1965" s="530" t="str">
        <f t="shared" si="803"/>
        <v/>
      </c>
      <c r="S1965" s="532" t="str">
        <f t="shared" si="797"/>
        <v/>
      </c>
      <c r="T1965" s="531" t="str">
        <f t="shared" si="804"/>
        <v/>
      </c>
      <c r="U1965" s="533">
        <f t="shared" si="805"/>
        <v>0</v>
      </c>
      <c r="V1965" s="531" t="str">
        <f t="shared" si="806"/>
        <v/>
      </c>
      <c r="W1965" s="531" t="str">
        <f t="shared" si="807"/>
        <v/>
      </c>
      <c r="X1965" s="534" t="str">
        <f t="shared" si="808"/>
        <v/>
      </c>
      <c r="Y1965" s="535" t="str">
        <f>IF($A1965="","",IF($I1965="weekly",$A1965+7,EDATE($A1965,VLOOKUP($I1965,Ref!$B$24:$C$29,2,0))))</f>
        <v/>
      </c>
      <c r="Z1965" s="536" t="str">
        <f t="shared" si="809"/>
        <v/>
      </c>
      <c r="AA1965" s="531">
        <f t="shared" si="810"/>
        <v>0</v>
      </c>
      <c r="AB1965" s="535" t="str">
        <f t="shared" si="798"/>
        <v/>
      </c>
      <c r="AC1965" s="537" t="str">
        <f t="shared" si="799"/>
        <v/>
      </c>
      <c r="AD1965" s="538" t="str">
        <f t="shared" ca="1" si="800"/>
        <v/>
      </c>
      <c r="AE1965" s="537">
        <f t="shared" ca="1" si="801"/>
        <v>0</v>
      </c>
      <c r="AF1965" s="539" t="str">
        <f t="shared" ca="1" si="811"/>
        <v/>
      </c>
      <c r="AG1965" s="531" t="str">
        <f t="shared" ca="1" si="812"/>
        <v/>
      </c>
      <c r="AH1965" s="531" t="str">
        <f t="shared" ca="1" si="813"/>
        <v/>
      </c>
      <c r="AI1965" s="531" t="str">
        <f t="shared" ca="1" si="814"/>
        <v/>
      </c>
      <c r="AJ1965" s="531" t="str">
        <f t="shared" si="815"/>
        <v/>
      </c>
      <c r="AK1965" s="540">
        <f>SUMIFS('Live Collections'!$S:$S,'Live Collections'!$D:$D,Disbursements!B1965,'Live Collections'!$G:$G,Disbursements!C1965)</f>
        <v>0</v>
      </c>
      <c r="AL1965" s="540">
        <f>SUMIFS('Live Collections'!$T:$T,'Live Collections'!$D:$D,Disbursements!B1965,'Live Collections'!$G:$G,Disbursements!C1965)</f>
        <v>0</v>
      </c>
      <c r="AM1965" s="541">
        <f t="shared" si="816"/>
        <v>0</v>
      </c>
      <c r="AN1965" s="542" t="str">
        <f t="shared" si="817"/>
        <v/>
      </c>
      <c r="AO1965" s="542" t="str">
        <f t="shared" si="818"/>
        <v/>
      </c>
      <c r="AP1965" s="543" t="str">
        <f t="shared" si="819"/>
        <v/>
      </c>
      <c r="AQ1965" s="544" t="str">
        <f t="shared" si="820"/>
        <v/>
      </c>
      <c r="AR1965" s="545">
        <f t="shared" si="821"/>
        <v>0</v>
      </c>
      <c r="AS1965" s="545">
        <f>IFERROR(CEILING($AR1965*VLOOKUP($I1965,Ref!$B$23:$E$29,4,0),1),0)</f>
        <v>0</v>
      </c>
      <c r="AT1965" s="545" t="str">
        <f>IF(A1965="","",IF(AP1965&lt;=1,"Cleared",IF(AS1965=0,"Clean",VLOOKUP($AS1965,Ref!$G$23:$H$28,2))))</f>
        <v/>
      </c>
      <c r="AU1965" s="546" t="str">
        <f t="shared" si="822"/>
        <v/>
      </c>
    </row>
    <row r="1966" spans="1:47" ht="14.25" hidden="1" customHeight="1" x14ac:dyDescent="0.15">
      <c r="A1966" s="575"/>
      <c r="B1966" s="548"/>
      <c r="C1966" s="548"/>
      <c r="D1966" s="548"/>
      <c r="E1966" s="583"/>
      <c r="F1966" s="584"/>
      <c r="G1966" s="548"/>
      <c r="H1966" s="550"/>
      <c r="I1966" s="560"/>
      <c r="J1966" s="548"/>
      <c r="K1966" s="528" t="str">
        <f>IFERROR(VLOOKUP($B1966,'Clients-Live'!$A:$C,3,0),"")</f>
        <v/>
      </c>
      <c r="L1966" s="528">
        <f>IF(E1966="STL",Pricing!$D$38,IF(A1966="",0,IF(A1966&lt;Pricing!$C$25,Pricing!$D$25,VLOOKUP(Disbursements!$F1966,Pricing!$B$29:$D$32,3))))</f>
        <v>0</v>
      </c>
      <c r="M1966" s="528">
        <f>IF(E1966="STL",0,IF(F1966&gt;0,Pricing!$D$21,0))</f>
        <v>0</v>
      </c>
      <c r="N1966" s="529">
        <f>IF(E1966="STL",F1966*Pricing!$D$40,IF(A1966&lt;=Pricing!$C$4,0,IF(AND(A1966&gt;Pricing!$C$4,Disbursements!A1966&lt;=Pricing!$C$5),F1966*Pricing!$E$5,IF(AND(A1966&gt;Pricing!$C$5,Disbursements!A1966&lt;=Pricing!$C$7),VLOOKUP(F1966,Pricing!$D$7:$E$8,2)*Disbursements!F1966,F1966*Pricing!$E$9))))</f>
        <v>0</v>
      </c>
      <c r="O1966" s="528">
        <f>IF(E1966="STL",0,IF($F1966&gt;0,$F1966*Pricing!$D$17,0))</f>
        <v>0</v>
      </c>
      <c r="P1966" s="530" t="str">
        <f t="shared" si="802"/>
        <v/>
      </c>
      <c r="Q1966" s="531" t="str">
        <f>IF($A1966="","",$G1966/VLOOKUP($I1966,Ref!$B$23:$D$29,2,0))</f>
        <v/>
      </c>
      <c r="R1966" s="530" t="str">
        <f t="shared" si="803"/>
        <v/>
      </c>
      <c r="S1966" s="532" t="str">
        <f t="shared" si="797"/>
        <v/>
      </c>
      <c r="T1966" s="531" t="str">
        <f t="shared" si="804"/>
        <v/>
      </c>
      <c r="U1966" s="533">
        <f t="shared" si="805"/>
        <v>0</v>
      </c>
      <c r="V1966" s="531" t="str">
        <f t="shared" si="806"/>
        <v/>
      </c>
      <c r="W1966" s="531" t="str">
        <f t="shared" si="807"/>
        <v/>
      </c>
      <c r="X1966" s="534" t="str">
        <f t="shared" si="808"/>
        <v/>
      </c>
      <c r="Y1966" s="535" t="str">
        <f>IF($A1966="","",IF($I1966="weekly",$A1966+7,EDATE($A1966,VLOOKUP($I1966,Ref!$B$24:$C$29,2,0))))</f>
        <v/>
      </c>
      <c r="Z1966" s="536" t="str">
        <f t="shared" si="809"/>
        <v/>
      </c>
      <c r="AA1966" s="531">
        <f t="shared" si="810"/>
        <v>0</v>
      </c>
      <c r="AB1966" s="535" t="str">
        <f t="shared" si="798"/>
        <v/>
      </c>
      <c r="AC1966" s="537" t="str">
        <f t="shared" si="799"/>
        <v/>
      </c>
      <c r="AD1966" s="538" t="str">
        <f t="shared" ca="1" si="800"/>
        <v/>
      </c>
      <c r="AE1966" s="537">
        <f t="shared" ca="1" si="801"/>
        <v>0</v>
      </c>
      <c r="AF1966" s="539" t="str">
        <f t="shared" ca="1" si="811"/>
        <v/>
      </c>
      <c r="AG1966" s="531" t="str">
        <f t="shared" ca="1" si="812"/>
        <v/>
      </c>
      <c r="AH1966" s="531" t="str">
        <f t="shared" ca="1" si="813"/>
        <v/>
      </c>
      <c r="AI1966" s="531" t="str">
        <f t="shared" ca="1" si="814"/>
        <v/>
      </c>
      <c r="AJ1966" s="531" t="str">
        <f t="shared" si="815"/>
        <v/>
      </c>
      <c r="AK1966" s="540">
        <f>SUMIFS('Live Collections'!$S:$S,'Live Collections'!$D:$D,Disbursements!B1966,'Live Collections'!$G:$G,Disbursements!C1966)</f>
        <v>0</v>
      </c>
      <c r="AL1966" s="540">
        <f>SUMIFS('Live Collections'!$T:$T,'Live Collections'!$D:$D,Disbursements!B1966,'Live Collections'!$G:$G,Disbursements!C1966)</f>
        <v>0</v>
      </c>
      <c r="AM1966" s="541">
        <f t="shared" si="816"/>
        <v>0</v>
      </c>
      <c r="AN1966" s="542" t="str">
        <f t="shared" si="817"/>
        <v/>
      </c>
      <c r="AO1966" s="542" t="str">
        <f t="shared" si="818"/>
        <v/>
      </c>
      <c r="AP1966" s="543" t="str">
        <f t="shared" si="819"/>
        <v/>
      </c>
      <c r="AQ1966" s="544" t="str">
        <f t="shared" si="820"/>
        <v/>
      </c>
      <c r="AR1966" s="545">
        <f t="shared" si="821"/>
        <v>0</v>
      </c>
      <c r="AS1966" s="545">
        <f>IFERROR(CEILING($AR1966*VLOOKUP($I1966,Ref!$B$23:$E$29,4,0),1),0)</f>
        <v>0</v>
      </c>
      <c r="AT1966" s="545" t="str">
        <f>IF(A1966="","",IF(AP1966&lt;=1,"Cleared",IF(AS1966=0,"Clean",VLOOKUP($AS1966,Ref!$G$23:$H$28,2))))</f>
        <v/>
      </c>
      <c r="AU1966" s="546" t="str">
        <f t="shared" si="822"/>
        <v/>
      </c>
    </row>
    <row r="1967" spans="1:47" ht="14.25" hidden="1" customHeight="1" x14ac:dyDescent="0.15">
      <c r="A1967" s="575"/>
      <c r="B1967" s="548"/>
      <c r="C1967" s="548"/>
      <c r="D1967" s="548"/>
      <c r="E1967" s="583"/>
      <c r="F1967" s="584"/>
      <c r="G1967" s="548"/>
      <c r="H1967" s="550"/>
      <c r="I1967" s="560"/>
      <c r="J1967" s="548"/>
      <c r="K1967" s="528" t="str">
        <f>IFERROR(VLOOKUP($B1967,'Clients-Live'!$A:$C,3,0),"")</f>
        <v/>
      </c>
      <c r="L1967" s="528">
        <f>IF(E1967="STL",Pricing!$D$38,IF(A1967="",0,IF(A1967&lt;Pricing!$C$25,Pricing!$D$25,VLOOKUP(Disbursements!$F1967,Pricing!$B$29:$D$32,3))))</f>
        <v>0</v>
      </c>
      <c r="M1967" s="528">
        <f>IF(E1967="STL",0,IF(F1967&gt;0,Pricing!$D$21,0))</f>
        <v>0</v>
      </c>
      <c r="N1967" s="529">
        <f>IF(E1967="STL",F1967*Pricing!$D$40,IF(A1967&lt;=Pricing!$C$4,0,IF(AND(A1967&gt;Pricing!$C$4,Disbursements!A1967&lt;=Pricing!$C$5),F1967*Pricing!$E$5,IF(AND(A1967&gt;Pricing!$C$5,Disbursements!A1967&lt;=Pricing!$C$7),VLOOKUP(F1967,Pricing!$D$7:$E$8,2)*Disbursements!F1967,F1967*Pricing!$E$9))))</f>
        <v>0</v>
      </c>
      <c r="O1967" s="528">
        <f>IF(E1967="STL",0,IF($F1967&gt;0,$F1967*Pricing!$D$17,0))</f>
        <v>0</v>
      </c>
      <c r="P1967" s="530" t="str">
        <f t="shared" si="802"/>
        <v/>
      </c>
      <c r="Q1967" s="531" t="str">
        <f>IF($A1967="","",$G1967/VLOOKUP($I1967,Ref!$B$23:$D$29,2,0))</f>
        <v/>
      </c>
      <c r="R1967" s="530" t="str">
        <f t="shared" si="803"/>
        <v/>
      </c>
      <c r="S1967" s="532" t="str">
        <f t="shared" si="797"/>
        <v/>
      </c>
      <c r="T1967" s="531" t="str">
        <f t="shared" si="804"/>
        <v/>
      </c>
      <c r="U1967" s="533">
        <f t="shared" si="805"/>
        <v>0</v>
      </c>
      <c r="V1967" s="531" t="str">
        <f t="shared" si="806"/>
        <v/>
      </c>
      <c r="W1967" s="531" t="str">
        <f t="shared" si="807"/>
        <v/>
      </c>
      <c r="X1967" s="534" t="str">
        <f t="shared" si="808"/>
        <v/>
      </c>
      <c r="Y1967" s="535" t="str">
        <f>IF($A1967="","",IF($I1967="weekly",$A1967+7,EDATE($A1967,VLOOKUP($I1967,Ref!$B$24:$C$29,2,0))))</f>
        <v/>
      </c>
      <c r="Z1967" s="536" t="str">
        <f t="shared" si="809"/>
        <v/>
      </c>
      <c r="AA1967" s="531">
        <f t="shared" si="810"/>
        <v>0</v>
      </c>
      <c r="AB1967" s="535" t="str">
        <f t="shared" si="798"/>
        <v/>
      </c>
      <c r="AC1967" s="537" t="str">
        <f t="shared" si="799"/>
        <v/>
      </c>
      <c r="AD1967" s="538" t="str">
        <f t="shared" ca="1" si="800"/>
        <v/>
      </c>
      <c r="AE1967" s="537">
        <f t="shared" ca="1" si="801"/>
        <v>0</v>
      </c>
      <c r="AF1967" s="539" t="str">
        <f t="shared" ca="1" si="811"/>
        <v/>
      </c>
      <c r="AG1967" s="531" t="str">
        <f t="shared" ca="1" si="812"/>
        <v/>
      </c>
      <c r="AH1967" s="531" t="str">
        <f t="shared" ca="1" si="813"/>
        <v/>
      </c>
      <c r="AI1967" s="531" t="str">
        <f t="shared" ca="1" si="814"/>
        <v/>
      </c>
      <c r="AJ1967" s="531" t="str">
        <f t="shared" si="815"/>
        <v/>
      </c>
      <c r="AK1967" s="540">
        <f>SUMIFS('Live Collections'!$S:$S,'Live Collections'!$D:$D,Disbursements!B1967,'Live Collections'!$G:$G,Disbursements!C1967)</f>
        <v>0</v>
      </c>
      <c r="AL1967" s="540">
        <f>SUMIFS('Live Collections'!$T:$T,'Live Collections'!$D:$D,Disbursements!B1967,'Live Collections'!$G:$G,Disbursements!C1967)</f>
        <v>0</v>
      </c>
      <c r="AM1967" s="541">
        <f t="shared" si="816"/>
        <v>0</v>
      </c>
      <c r="AN1967" s="542" t="str">
        <f t="shared" si="817"/>
        <v/>
      </c>
      <c r="AO1967" s="542" t="str">
        <f t="shared" si="818"/>
        <v/>
      </c>
      <c r="AP1967" s="543" t="str">
        <f t="shared" si="819"/>
        <v/>
      </c>
      <c r="AQ1967" s="544" t="str">
        <f t="shared" si="820"/>
        <v/>
      </c>
      <c r="AR1967" s="545">
        <f t="shared" si="821"/>
        <v>0</v>
      </c>
      <c r="AS1967" s="545">
        <f>IFERROR(CEILING($AR1967*VLOOKUP($I1967,Ref!$B$23:$E$29,4,0),1),0)</f>
        <v>0</v>
      </c>
      <c r="AT1967" s="545" t="str">
        <f>IF(A1967="","",IF(AP1967&lt;=1,"Cleared",IF(AS1967=0,"Clean",VLOOKUP($AS1967,Ref!$G$23:$H$28,2))))</f>
        <v/>
      </c>
      <c r="AU1967" s="546" t="str">
        <f t="shared" si="822"/>
        <v/>
      </c>
    </row>
    <row r="1968" spans="1:47" ht="14.25" hidden="1" customHeight="1" x14ac:dyDescent="0.15">
      <c r="A1968" s="575"/>
      <c r="B1968" s="548"/>
      <c r="C1968" s="548"/>
      <c r="D1968" s="548"/>
      <c r="E1968" s="583"/>
      <c r="F1968" s="584"/>
      <c r="G1968" s="548"/>
      <c r="H1968" s="550"/>
      <c r="I1968" s="560"/>
      <c r="J1968" s="548"/>
      <c r="K1968" s="528" t="str">
        <f>IFERROR(VLOOKUP($B1968,'Clients-Live'!$A:$C,3,0),"")</f>
        <v/>
      </c>
      <c r="L1968" s="528">
        <f>IF(E1968="STL",Pricing!$D$38,IF(A1968="",0,IF(A1968&lt;Pricing!$C$25,Pricing!$D$25,VLOOKUP(Disbursements!$F1968,Pricing!$B$29:$D$32,3))))</f>
        <v>0</v>
      </c>
      <c r="M1968" s="528">
        <f>IF(E1968="STL",0,IF(F1968&gt;0,Pricing!$D$21,0))</f>
        <v>0</v>
      </c>
      <c r="N1968" s="529">
        <f>IF(E1968="STL",F1968*Pricing!$D$40,IF(A1968&lt;=Pricing!$C$4,0,IF(AND(A1968&gt;Pricing!$C$4,Disbursements!A1968&lt;=Pricing!$C$5),F1968*Pricing!$E$5,IF(AND(A1968&gt;Pricing!$C$5,Disbursements!A1968&lt;=Pricing!$C$7),VLOOKUP(F1968,Pricing!$D$7:$E$8,2)*Disbursements!F1968,F1968*Pricing!$E$9))))</f>
        <v>0</v>
      </c>
      <c r="O1968" s="528">
        <f>IF(E1968="STL",0,IF($F1968&gt;0,$F1968*Pricing!$D$17,0))</f>
        <v>0</v>
      </c>
      <c r="P1968" s="530" t="str">
        <f t="shared" si="802"/>
        <v/>
      </c>
      <c r="Q1968" s="531" t="str">
        <f>IF($A1968="","",$G1968/VLOOKUP($I1968,Ref!$B$23:$D$29,2,0))</f>
        <v/>
      </c>
      <c r="R1968" s="530" t="str">
        <f t="shared" si="803"/>
        <v/>
      </c>
      <c r="S1968" s="532" t="str">
        <f t="shared" si="797"/>
        <v/>
      </c>
      <c r="T1968" s="531" t="str">
        <f t="shared" si="804"/>
        <v/>
      </c>
      <c r="U1968" s="533">
        <f t="shared" si="805"/>
        <v>0</v>
      </c>
      <c r="V1968" s="531" t="str">
        <f t="shared" si="806"/>
        <v/>
      </c>
      <c r="W1968" s="531" t="str">
        <f t="shared" si="807"/>
        <v/>
      </c>
      <c r="X1968" s="534" t="str">
        <f t="shared" si="808"/>
        <v/>
      </c>
      <c r="Y1968" s="535" t="str">
        <f>IF($A1968="","",IF($I1968="weekly",$A1968+7,EDATE($A1968,VLOOKUP($I1968,Ref!$B$24:$C$29,2,0))))</f>
        <v/>
      </c>
      <c r="Z1968" s="536" t="str">
        <f t="shared" si="809"/>
        <v/>
      </c>
      <c r="AA1968" s="531">
        <f t="shared" si="810"/>
        <v>0</v>
      </c>
      <c r="AB1968" s="535" t="str">
        <f t="shared" si="798"/>
        <v/>
      </c>
      <c r="AC1968" s="537" t="str">
        <f t="shared" si="799"/>
        <v/>
      </c>
      <c r="AD1968" s="538" t="str">
        <f t="shared" ca="1" si="800"/>
        <v/>
      </c>
      <c r="AE1968" s="537">
        <f t="shared" ca="1" si="801"/>
        <v>0</v>
      </c>
      <c r="AF1968" s="539" t="str">
        <f t="shared" ca="1" si="811"/>
        <v/>
      </c>
      <c r="AG1968" s="531" t="str">
        <f t="shared" ca="1" si="812"/>
        <v/>
      </c>
      <c r="AH1968" s="531" t="str">
        <f t="shared" ca="1" si="813"/>
        <v/>
      </c>
      <c r="AI1968" s="531" t="str">
        <f t="shared" ca="1" si="814"/>
        <v/>
      </c>
      <c r="AJ1968" s="531" t="str">
        <f t="shared" si="815"/>
        <v/>
      </c>
      <c r="AK1968" s="540">
        <f>SUMIFS('Live Collections'!$S:$S,'Live Collections'!$D:$D,Disbursements!B1968,'Live Collections'!$G:$G,Disbursements!C1968)</f>
        <v>0</v>
      </c>
      <c r="AL1968" s="540">
        <f>SUMIFS('Live Collections'!$T:$T,'Live Collections'!$D:$D,Disbursements!B1968,'Live Collections'!$G:$G,Disbursements!C1968)</f>
        <v>0</v>
      </c>
      <c r="AM1968" s="541">
        <f t="shared" si="816"/>
        <v>0</v>
      </c>
      <c r="AN1968" s="542" t="str">
        <f t="shared" si="817"/>
        <v/>
      </c>
      <c r="AO1968" s="542" t="str">
        <f t="shared" si="818"/>
        <v/>
      </c>
      <c r="AP1968" s="543" t="str">
        <f t="shared" si="819"/>
        <v/>
      </c>
      <c r="AQ1968" s="544" t="str">
        <f t="shared" si="820"/>
        <v/>
      </c>
      <c r="AR1968" s="545">
        <f t="shared" si="821"/>
        <v>0</v>
      </c>
      <c r="AS1968" s="545">
        <f>IFERROR(CEILING($AR1968*VLOOKUP($I1968,Ref!$B$23:$E$29,4,0),1),0)</f>
        <v>0</v>
      </c>
      <c r="AT1968" s="545" t="str">
        <f>IF(A1968="","",IF(AP1968&lt;=1,"Cleared",IF(AS1968=0,"Clean",VLOOKUP($AS1968,Ref!$G$23:$H$28,2))))</f>
        <v/>
      </c>
      <c r="AU1968" s="546" t="str">
        <f t="shared" si="822"/>
        <v/>
      </c>
    </row>
    <row r="1969" spans="1:47" ht="14.25" hidden="1" customHeight="1" x14ac:dyDescent="0.15">
      <c r="A1969" s="575"/>
      <c r="B1969" s="548"/>
      <c r="C1969" s="548"/>
      <c r="D1969" s="548"/>
      <c r="E1969" s="583"/>
      <c r="F1969" s="584"/>
      <c r="G1969" s="548"/>
      <c r="H1969" s="550"/>
      <c r="I1969" s="560"/>
      <c r="J1969" s="548"/>
      <c r="K1969" s="528" t="str">
        <f>IFERROR(VLOOKUP($B1969,'Clients-Live'!$A:$C,3,0),"")</f>
        <v/>
      </c>
      <c r="L1969" s="528">
        <f>IF(E1969="STL",Pricing!$D$38,IF(A1969="",0,IF(A1969&lt;Pricing!$C$25,Pricing!$D$25,VLOOKUP(Disbursements!$F1969,Pricing!$B$29:$D$32,3))))</f>
        <v>0</v>
      </c>
      <c r="M1969" s="528">
        <f>IF(E1969="STL",0,IF(F1969&gt;0,Pricing!$D$21,0))</f>
        <v>0</v>
      </c>
      <c r="N1969" s="529">
        <f>IF(E1969="STL",F1969*Pricing!$D$40,IF(A1969&lt;=Pricing!$C$4,0,IF(AND(A1969&gt;Pricing!$C$4,Disbursements!A1969&lt;=Pricing!$C$5),F1969*Pricing!$E$5,IF(AND(A1969&gt;Pricing!$C$5,Disbursements!A1969&lt;=Pricing!$C$7),VLOOKUP(F1969,Pricing!$D$7:$E$8,2)*Disbursements!F1969,F1969*Pricing!$E$9))))</f>
        <v>0</v>
      </c>
      <c r="O1969" s="528">
        <f>IF(E1969="STL",0,IF($F1969&gt;0,$F1969*Pricing!$D$17,0))</f>
        <v>0</v>
      </c>
      <c r="P1969" s="530" t="str">
        <f t="shared" si="802"/>
        <v/>
      </c>
      <c r="Q1969" s="531" t="str">
        <f>IF($A1969="","",$G1969/VLOOKUP($I1969,Ref!$B$23:$D$29,2,0))</f>
        <v/>
      </c>
      <c r="R1969" s="530" t="str">
        <f t="shared" si="803"/>
        <v/>
      </c>
      <c r="S1969" s="532" t="str">
        <f t="shared" si="797"/>
        <v/>
      </c>
      <c r="T1969" s="531" t="str">
        <f t="shared" si="804"/>
        <v/>
      </c>
      <c r="U1969" s="533">
        <f t="shared" si="805"/>
        <v>0</v>
      </c>
      <c r="V1969" s="531" t="str">
        <f t="shared" si="806"/>
        <v/>
      </c>
      <c r="W1969" s="531" t="str">
        <f t="shared" si="807"/>
        <v/>
      </c>
      <c r="X1969" s="534" t="str">
        <f t="shared" si="808"/>
        <v/>
      </c>
      <c r="Y1969" s="535" t="str">
        <f>IF($A1969="","",IF($I1969="weekly",$A1969+7,EDATE($A1969,VLOOKUP($I1969,Ref!$B$24:$C$29,2,0))))</f>
        <v/>
      </c>
      <c r="Z1969" s="536" t="str">
        <f t="shared" si="809"/>
        <v/>
      </c>
      <c r="AA1969" s="531">
        <f t="shared" si="810"/>
        <v>0</v>
      </c>
      <c r="AB1969" s="535" t="str">
        <f t="shared" si="798"/>
        <v/>
      </c>
      <c r="AC1969" s="537" t="str">
        <f t="shared" si="799"/>
        <v/>
      </c>
      <c r="AD1969" s="538" t="str">
        <f t="shared" ca="1" si="800"/>
        <v/>
      </c>
      <c r="AE1969" s="537">
        <f t="shared" ca="1" si="801"/>
        <v>0</v>
      </c>
      <c r="AF1969" s="539" t="str">
        <f t="shared" ca="1" si="811"/>
        <v/>
      </c>
      <c r="AG1969" s="531" t="str">
        <f t="shared" ca="1" si="812"/>
        <v/>
      </c>
      <c r="AH1969" s="531" t="str">
        <f t="shared" ca="1" si="813"/>
        <v/>
      </c>
      <c r="AI1969" s="531" t="str">
        <f t="shared" ca="1" si="814"/>
        <v/>
      </c>
      <c r="AJ1969" s="531" t="str">
        <f t="shared" si="815"/>
        <v/>
      </c>
      <c r="AK1969" s="540">
        <f>SUMIFS('Live Collections'!$S:$S,'Live Collections'!$D:$D,Disbursements!B1969,'Live Collections'!$G:$G,Disbursements!C1969)</f>
        <v>0</v>
      </c>
      <c r="AL1969" s="540">
        <f>SUMIFS('Live Collections'!$T:$T,'Live Collections'!$D:$D,Disbursements!B1969,'Live Collections'!$G:$G,Disbursements!C1969)</f>
        <v>0</v>
      </c>
      <c r="AM1969" s="541">
        <f t="shared" si="816"/>
        <v>0</v>
      </c>
      <c r="AN1969" s="542" t="str">
        <f t="shared" si="817"/>
        <v/>
      </c>
      <c r="AO1969" s="542" t="str">
        <f t="shared" si="818"/>
        <v/>
      </c>
      <c r="AP1969" s="543" t="str">
        <f t="shared" si="819"/>
        <v/>
      </c>
      <c r="AQ1969" s="544" t="str">
        <f t="shared" si="820"/>
        <v/>
      </c>
      <c r="AR1969" s="545">
        <f t="shared" si="821"/>
        <v>0</v>
      </c>
      <c r="AS1969" s="545">
        <f>IFERROR(CEILING($AR1969*VLOOKUP($I1969,Ref!$B$23:$E$29,4,0),1),0)</f>
        <v>0</v>
      </c>
      <c r="AT1969" s="545" t="str">
        <f>IF(A1969="","",IF(AP1969&lt;=1,"Cleared",IF(AS1969=0,"Clean",VLOOKUP($AS1969,Ref!$G$23:$H$28,2))))</f>
        <v/>
      </c>
      <c r="AU1969" s="546" t="str">
        <f t="shared" si="822"/>
        <v/>
      </c>
    </row>
    <row r="1970" spans="1:47" ht="14.25" hidden="1" customHeight="1" x14ac:dyDescent="0.15">
      <c r="A1970" s="575"/>
      <c r="B1970" s="548"/>
      <c r="C1970" s="548"/>
      <c r="D1970" s="548"/>
      <c r="E1970" s="583"/>
      <c r="F1970" s="584"/>
      <c r="G1970" s="548"/>
      <c r="H1970" s="550"/>
      <c r="I1970" s="560"/>
      <c r="J1970" s="548"/>
      <c r="K1970" s="528" t="str">
        <f>IFERROR(VLOOKUP($B1970,'Clients-Live'!$A:$C,3,0),"")</f>
        <v/>
      </c>
      <c r="L1970" s="528">
        <f>IF(E1970="STL",Pricing!$D$38,IF(A1970="",0,IF(A1970&lt;Pricing!$C$25,Pricing!$D$25,VLOOKUP(Disbursements!$F1970,Pricing!$B$29:$D$32,3))))</f>
        <v>0</v>
      </c>
      <c r="M1970" s="528">
        <f>IF(E1970="STL",0,IF(F1970&gt;0,Pricing!$D$21,0))</f>
        <v>0</v>
      </c>
      <c r="N1970" s="529">
        <f>IF(E1970="STL",F1970*Pricing!$D$40,IF(A1970&lt;=Pricing!$C$4,0,IF(AND(A1970&gt;Pricing!$C$4,Disbursements!A1970&lt;=Pricing!$C$5),F1970*Pricing!$E$5,IF(AND(A1970&gt;Pricing!$C$5,Disbursements!A1970&lt;=Pricing!$C$7),VLOOKUP(F1970,Pricing!$D$7:$E$8,2)*Disbursements!F1970,F1970*Pricing!$E$9))))</f>
        <v>0</v>
      </c>
      <c r="O1970" s="528">
        <f>IF(E1970="STL",0,IF($F1970&gt;0,$F1970*Pricing!$D$17,0))</f>
        <v>0</v>
      </c>
      <c r="P1970" s="530" t="str">
        <f t="shared" si="802"/>
        <v/>
      </c>
      <c r="Q1970" s="531" t="str">
        <f>IF($A1970="","",$G1970/VLOOKUP($I1970,Ref!$B$23:$D$29,2,0))</f>
        <v/>
      </c>
      <c r="R1970" s="530" t="str">
        <f t="shared" si="803"/>
        <v/>
      </c>
      <c r="S1970" s="532" t="str">
        <f t="shared" si="797"/>
        <v/>
      </c>
      <c r="T1970" s="531" t="str">
        <f t="shared" si="804"/>
        <v/>
      </c>
      <c r="U1970" s="533">
        <f t="shared" si="805"/>
        <v>0</v>
      </c>
      <c r="V1970" s="531" t="str">
        <f t="shared" si="806"/>
        <v/>
      </c>
      <c r="W1970" s="531" t="str">
        <f t="shared" si="807"/>
        <v/>
      </c>
      <c r="X1970" s="534" t="str">
        <f t="shared" si="808"/>
        <v/>
      </c>
      <c r="Y1970" s="535" t="str">
        <f>IF($A1970="","",IF($I1970="weekly",$A1970+7,EDATE($A1970,VLOOKUP($I1970,Ref!$B$24:$C$29,2,0))))</f>
        <v/>
      </c>
      <c r="Z1970" s="536" t="str">
        <f t="shared" si="809"/>
        <v/>
      </c>
      <c r="AA1970" s="531">
        <f t="shared" si="810"/>
        <v>0</v>
      </c>
      <c r="AB1970" s="535" t="str">
        <f t="shared" si="798"/>
        <v/>
      </c>
      <c r="AC1970" s="537" t="str">
        <f t="shared" si="799"/>
        <v/>
      </c>
      <c r="AD1970" s="538" t="str">
        <f t="shared" ca="1" si="800"/>
        <v/>
      </c>
      <c r="AE1970" s="537">
        <f t="shared" ca="1" si="801"/>
        <v>0</v>
      </c>
      <c r="AF1970" s="539" t="str">
        <f t="shared" ca="1" si="811"/>
        <v/>
      </c>
      <c r="AG1970" s="531" t="str">
        <f t="shared" ca="1" si="812"/>
        <v/>
      </c>
      <c r="AH1970" s="531" t="str">
        <f t="shared" ca="1" si="813"/>
        <v/>
      </c>
      <c r="AI1970" s="531" t="str">
        <f t="shared" ca="1" si="814"/>
        <v/>
      </c>
      <c r="AJ1970" s="531" t="str">
        <f t="shared" si="815"/>
        <v/>
      </c>
      <c r="AK1970" s="540">
        <f>SUMIFS('Live Collections'!$S:$S,'Live Collections'!$D:$D,Disbursements!B1970,'Live Collections'!$G:$G,Disbursements!C1970)</f>
        <v>0</v>
      </c>
      <c r="AL1970" s="540">
        <f>SUMIFS('Live Collections'!$T:$T,'Live Collections'!$D:$D,Disbursements!B1970,'Live Collections'!$G:$G,Disbursements!C1970)</f>
        <v>0</v>
      </c>
      <c r="AM1970" s="541">
        <f t="shared" si="816"/>
        <v>0</v>
      </c>
      <c r="AN1970" s="542" t="str">
        <f t="shared" si="817"/>
        <v/>
      </c>
      <c r="AO1970" s="542" t="str">
        <f t="shared" si="818"/>
        <v/>
      </c>
      <c r="AP1970" s="543" t="str">
        <f t="shared" si="819"/>
        <v/>
      </c>
      <c r="AQ1970" s="544" t="str">
        <f t="shared" si="820"/>
        <v/>
      </c>
      <c r="AR1970" s="545">
        <f t="shared" si="821"/>
        <v>0</v>
      </c>
      <c r="AS1970" s="545">
        <f>IFERROR(CEILING($AR1970*VLOOKUP($I1970,Ref!$B$23:$E$29,4,0),1),0)</f>
        <v>0</v>
      </c>
      <c r="AT1970" s="545" t="str">
        <f>IF(A1970="","",IF(AP1970&lt;=1,"Cleared",IF(AS1970=0,"Clean",VLOOKUP($AS1970,Ref!$G$23:$H$28,2))))</f>
        <v/>
      </c>
      <c r="AU1970" s="546" t="str">
        <f t="shared" si="822"/>
        <v/>
      </c>
    </row>
    <row r="1971" spans="1:47" ht="14.25" hidden="1" customHeight="1" x14ac:dyDescent="0.15">
      <c r="A1971" s="575"/>
      <c r="B1971" s="548"/>
      <c r="C1971" s="548"/>
      <c r="D1971" s="548"/>
      <c r="E1971" s="583"/>
      <c r="F1971" s="584"/>
      <c r="G1971" s="548"/>
      <c r="H1971" s="550"/>
      <c r="I1971" s="560"/>
      <c r="J1971" s="548"/>
      <c r="K1971" s="528" t="str">
        <f>IFERROR(VLOOKUP($B1971,'Clients-Live'!$A:$C,3,0),"")</f>
        <v/>
      </c>
      <c r="L1971" s="528">
        <f>IF(E1971="STL",Pricing!$D$38,IF(A1971="",0,IF(A1971&lt;Pricing!$C$25,Pricing!$D$25,VLOOKUP(Disbursements!$F1971,Pricing!$B$29:$D$32,3))))</f>
        <v>0</v>
      </c>
      <c r="M1971" s="528">
        <f>IF(E1971="STL",0,IF(F1971&gt;0,Pricing!$D$21,0))</f>
        <v>0</v>
      </c>
      <c r="N1971" s="529">
        <f>IF(E1971="STL",F1971*Pricing!$D$40,IF(A1971&lt;=Pricing!$C$4,0,IF(AND(A1971&gt;Pricing!$C$4,Disbursements!A1971&lt;=Pricing!$C$5),F1971*Pricing!$E$5,IF(AND(A1971&gt;Pricing!$C$5,Disbursements!A1971&lt;=Pricing!$C$7),VLOOKUP(F1971,Pricing!$D$7:$E$8,2)*Disbursements!F1971,F1971*Pricing!$E$9))))</f>
        <v>0</v>
      </c>
      <c r="O1971" s="528">
        <f>IF(E1971="STL",0,IF($F1971&gt;0,$F1971*Pricing!$D$17,0))</f>
        <v>0</v>
      </c>
      <c r="P1971" s="530" t="str">
        <f t="shared" si="802"/>
        <v/>
      </c>
      <c r="Q1971" s="531" t="str">
        <f>IF($A1971="","",$G1971/VLOOKUP($I1971,Ref!$B$23:$D$29,2,0))</f>
        <v/>
      </c>
      <c r="R1971" s="530" t="str">
        <f t="shared" si="803"/>
        <v/>
      </c>
      <c r="S1971" s="532" t="str">
        <f t="shared" si="797"/>
        <v/>
      </c>
      <c r="T1971" s="531" t="str">
        <f t="shared" si="804"/>
        <v/>
      </c>
      <c r="U1971" s="533">
        <f t="shared" si="805"/>
        <v>0</v>
      </c>
      <c r="V1971" s="531" t="str">
        <f t="shared" si="806"/>
        <v/>
      </c>
      <c r="W1971" s="531" t="str">
        <f t="shared" si="807"/>
        <v/>
      </c>
      <c r="X1971" s="534" t="str">
        <f t="shared" si="808"/>
        <v/>
      </c>
      <c r="Y1971" s="535" t="str">
        <f>IF($A1971="","",IF($I1971="weekly",$A1971+7,EDATE($A1971,VLOOKUP($I1971,Ref!$B$24:$C$29,2,0))))</f>
        <v/>
      </c>
      <c r="Z1971" s="536" t="str">
        <f t="shared" si="809"/>
        <v/>
      </c>
      <c r="AA1971" s="531">
        <f t="shared" si="810"/>
        <v>0</v>
      </c>
      <c r="AB1971" s="535" t="str">
        <f t="shared" si="798"/>
        <v/>
      </c>
      <c r="AC1971" s="537" t="str">
        <f t="shared" si="799"/>
        <v/>
      </c>
      <c r="AD1971" s="538" t="str">
        <f t="shared" ca="1" si="800"/>
        <v/>
      </c>
      <c r="AE1971" s="537">
        <f t="shared" ca="1" si="801"/>
        <v>0</v>
      </c>
      <c r="AF1971" s="539" t="str">
        <f t="shared" ca="1" si="811"/>
        <v/>
      </c>
      <c r="AG1971" s="531" t="str">
        <f t="shared" ca="1" si="812"/>
        <v/>
      </c>
      <c r="AH1971" s="531" t="str">
        <f t="shared" ca="1" si="813"/>
        <v/>
      </c>
      <c r="AI1971" s="531" t="str">
        <f t="shared" ca="1" si="814"/>
        <v/>
      </c>
      <c r="AJ1971" s="531" t="str">
        <f t="shared" si="815"/>
        <v/>
      </c>
      <c r="AK1971" s="540">
        <f>SUMIFS('Live Collections'!$S:$S,'Live Collections'!$D:$D,Disbursements!B1971,'Live Collections'!$G:$G,Disbursements!C1971)</f>
        <v>0</v>
      </c>
      <c r="AL1971" s="540">
        <f>SUMIFS('Live Collections'!$T:$T,'Live Collections'!$D:$D,Disbursements!B1971,'Live Collections'!$G:$G,Disbursements!C1971)</f>
        <v>0</v>
      </c>
      <c r="AM1971" s="541">
        <f t="shared" si="816"/>
        <v>0</v>
      </c>
      <c r="AN1971" s="542" t="str">
        <f t="shared" si="817"/>
        <v/>
      </c>
      <c r="AO1971" s="542" t="str">
        <f t="shared" si="818"/>
        <v/>
      </c>
      <c r="AP1971" s="543" t="str">
        <f t="shared" si="819"/>
        <v/>
      </c>
      <c r="AQ1971" s="544" t="str">
        <f t="shared" si="820"/>
        <v/>
      </c>
      <c r="AR1971" s="545">
        <f t="shared" si="821"/>
        <v>0</v>
      </c>
      <c r="AS1971" s="545">
        <f>IFERROR(CEILING($AR1971*VLOOKUP($I1971,Ref!$B$23:$E$29,4,0),1),0)</f>
        <v>0</v>
      </c>
      <c r="AT1971" s="545" t="str">
        <f>IF(A1971="","",IF(AP1971&lt;=1,"Cleared",IF(AS1971=0,"Clean",VLOOKUP($AS1971,Ref!$G$23:$H$28,2))))</f>
        <v/>
      </c>
      <c r="AU1971" s="546" t="str">
        <f t="shared" si="822"/>
        <v/>
      </c>
    </row>
    <row r="1972" spans="1:47" ht="14.25" hidden="1" customHeight="1" x14ac:dyDescent="0.15">
      <c r="A1972" s="575"/>
      <c r="B1972" s="548"/>
      <c r="C1972" s="548"/>
      <c r="D1972" s="548"/>
      <c r="E1972" s="583"/>
      <c r="F1972" s="584"/>
      <c r="G1972" s="548"/>
      <c r="H1972" s="550"/>
      <c r="I1972" s="560"/>
      <c r="J1972" s="548"/>
      <c r="K1972" s="528" t="str">
        <f>IFERROR(VLOOKUP($B1972,'Clients-Live'!$A:$C,3,0),"")</f>
        <v/>
      </c>
      <c r="L1972" s="528">
        <f>IF(E1972="STL",Pricing!$D$38,IF(A1972="",0,IF(A1972&lt;Pricing!$C$25,Pricing!$D$25,VLOOKUP(Disbursements!$F1972,Pricing!$B$29:$D$32,3))))</f>
        <v>0</v>
      </c>
      <c r="M1972" s="528">
        <f>IF(E1972="STL",0,IF(F1972&gt;0,Pricing!$D$21,0))</f>
        <v>0</v>
      </c>
      <c r="N1972" s="529">
        <f>IF(E1972="STL",F1972*Pricing!$D$40,IF(A1972&lt;=Pricing!$C$4,0,IF(AND(A1972&gt;Pricing!$C$4,Disbursements!A1972&lt;=Pricing!$C$5),F1972*Pricing!$E$5,IF(AND(A1972&gt;Pricing!$C$5,Disbursements!A1972&lt;=Pricing!$C$7),VLOOKUP(F1972,Pricing!$D$7:$E$8,2)*Disbursements!F1972,F1972*Pricing!$E$9))))</f>
        <v>0</v>
      </c>
      <c r="O1972" s="528">
        <f>IF(E1972="STL",0,IF($F1972&gt;0,$F1972*Pricing!$D$17,0))</f>
        <v>0</v>
      </c>
      <c r="P1972" s="530" t="str">
        <f t="shared" si="802"/>
        <v/>
      </c>
      <c r="Q1972" s="531" t="str">
        <f>IF($A1972="","",$G1972/VLOOKUP($I1972,Ref!$B$23:$D$29,2,0))</f>
        <v/>
      </c>
      <c r="R1972" s="530" t="str">
        <f t="shared" si="803"/>
        <v/>
      </c>
      <c r="S1972" s="532" t="str">
        <f t="shared" si="797"/>
        <v/>
      </c>
      <c r="T1972" s="531" t="str">
        <f t="shared" si="804"/>
        <v/>
      </c>
      <c r="U1972" s="533">
        <f t="shared" si="805"/>
        <v>0</v>
      </c>
      <c r="V1972" s="531" t="str">
        <f t="shared" si="806"/>
        <v/>
      </c>
      <c r="W1972" s="531" t="str">
        <f t="shared" si="807"/>
        <v/>
      </c>
      <c r="X1972" s="534" t="str">
        <f t="shared" si="808"/>
        <v/>
      </c>
      <c r="Y1972" s="535" t="str">
        <f>IF($A1972="","",IF($I1972="weekly",$A1972+7,EDATE($A1972,VLOOKUP($I1972,Ref!$B$24:$C$29,2,0))))</f>
        <v/>
      </c>
      <c r="Z1972" s="536" t="str">
        <f t="shared" si="809"/>
        <v/>
      </c>
      <c r="AA1972" s="531">
        <f t="shared" si="810"/>
        <v>0</v>
      </c>
      <c r="AB1972" s="535" t="str">
        <f t="shared" si="798"/>
        <v/>
      </c>
      <c r="AC1972" s="537" t="str">
        <f t="shared" si="799"/>
        <v/>
      </c>
      <c r="AD1972" s="538" t="str">
        <f t="shared" ca="1" si="800"/>
        <v/>
      </c>
      <c r="AE1972" s="537">
        <f t="shared" ca="1" si="801"/>
        <v>0</v>
      </c>
      <c r="AF1972" s="539" t="str">
        <f t="shared" ca="1" si="811"/>
        <v/>
      </c>
      <c r="AG1972" s="531" t="str">
        <f t="shared" ca="1" si="812"/>
        <v/>
      </c>
      <c r="AH1972" s="531" t="str">
        <f t="shared" ca="1" si="813"/>
        <v/>
      </c>
      <c r="AI1972" s="531" t="str">
        <f t="shared" ca="1" si="814"/>
        <v/>
      </c>
      <c r="AJ1972" s="531" t="str">
        <f t="shared" si="815"/>
        <v/>
      </c>
      <c r="AK1972" s="540">
        <f>SUMIFS('Live Collections'!$S:$S,'Live Collections'!$D:$D,Disbursements!B1972,'Live Collections'!$G:$G,Disbursements!C1972)</f>
        <v>0</v>
      </c>
      <c r="AL1972" s="540">
        <f>SUMIFS('Live Collections'!$T:$T,'Live Collections'!$D:$D,Disbursements!B1972,'Live Collections'!$G:$G,Disbursements!C1972)</f>
        <v>0</v>
      </c>
      <c r="AM1972" s="541">
        <f t="shared" si="816"/>
        <v>0</v>
      </c>
      <c r="AN1972" s="542" t="str">
        <f t="shared" si="817"/>
        <v/>
      </c>
      <c r="AO1972" s="542" t="str">
        <f t="shared" si="818"/>
        <v/>
      </c>
      <c r="AP1972" s="543" t="str">
        <f t="shared" si="819"/>
        <v/>
      </c>
      <c r="AQ1972" s="544" t="str">
        <f t="shared" si="820"/>
        <v/>
      </c>
      <c r="AR1972" s="545">
        <f t="shared" si="821"/>
        <v>0</v>
      </c>
      <c r="AS1972" s="545">
        <f>IFERROR(CEILING($AR1972*VLOOKUP($I1972,Ref!$B$23:$E$29,4,0),1),0)</f>
        <v>0</v>
      </c>
      <c r="AT1972" s="545" t="str">
        <f>IF(A1972="","",IF(AP1972&lt;=1,"Cleared",IF(AS1972=0,"Clean",VLOOKUP($AS1972,Ref!$G$23:$H$28,2))))</f>
        <v/>
      </c>
      <c r="AU1972" s="546" t="str">
        <f t="shared" si="822"/>
        <v/>
      </c>
    </row>
    <row r="1973" spans="1:47" ht="14.25" hidden="1" customHeight="1" x14ac:dyDescent="0.15">
      <c r="A1973" s="575"/>
      <c r="B1973" s="548"/>
      <c r="C1973" s="548"/>
      <c r="D1973" s="548"/>
      <c r="E1973" s="583"/>
      <c r="F1973" s="584"/>
      <c r="G1973" s="548"/>
      <c r="H1973" s="550"/>
      <c r="I1973" s="560"/>
      <c r="J1973" s="548"/>
      <c r="K1973" s="528" t="str">
        <f>IFERROR(VLOOKUP($B1973,'Clients-Live'!$A:$C,3,0),"")</f>
        <v/>
      </c>
      <c r="L1973" s="528">
        <f>IF(E1973="STL",Pricing!$D$38,IF(A1973="",0,IF(A1973&lt;Pricing!$C$25,Pricing!$D$25,VLOOKUP(Disbursements!$F1973,Pricing!$B$29:$D$32,3))))</f>
        <v>0</v>
      </c>
      <c r="M1973" s="528">
        <f>IF(E1973="STL",0,IF(F1973&gt;0,Pricing!$D$21,0))</f>
        <v>0</v>
      </c>
      <c r="N1973" s="529">
        <f>IF(E1973="STL",F1973*Pricing!$D$40,IF(A1973&lt;=Pricing!$C$4,0,IF(AND(A1973&gt;Pricing!$C$4,Disbursements!A1973&lt;=Pricing!$C$5),F1973*Pricing!$E$5,IF(AND(A1973&gt;Pricing!$C$5,Disbursements!A1973&lt;=Pricing!$C$7),VLOOKUP(F1973,Pricing!$D$7:$E$8,2)*Disbursements!F1973,F1973*Pricing!$E$9))))</f>
        <v>0</v>
      </c>
      <c r="O1973" s="528">
        <f>IF(E1973="STL",0,IF($F1973&gt;0,$F1973*Pricing!$D$17,0))</f>
        <v>0</v>
      </c>
      <c r="P1973" s="530" t="str">
        <f t="shared" si="802"/>
        <v/>
      </c>
      <c r="Q1973" s="531" t="str">
        <f>IF($A1973="","",$G1973/VLOOKUP($I1973,Ref!$B$23:$D$29,2,0))</f>
        <v/>
      </c>
      <c r="R1973" s="530" t="str">
        <f t="shared" si="803"/>
        <v/>
      </c>
      <c r="S1973" s="532" t="str">
        <f t="shared" si="797"/>
        <v/>
      </c>
      <c r="T1973" s="531" t="str">
        <f t="shared" si="804"/>
        <v/>
      </c>
      <c r="U1973" s="533">
        <f t="shared" si="805"/>
        <v>0</v>
      </c>
      <c r="V1973" s="531" t="str">
        <f t="shared" si="806"/>
        <v/>
      </c>
      <c r="W1973" s="531" t="str">
        <f t="shared" si="807"/>
        <v/>
      </c>
      <c r="X1973" s="534" t="str">
        <f t="shared" si="808"/>
        <v/>
      </c>
      <c r="Y1973" s="535" t="str">
        <f>IF($A1973="","",IF($I1973="weekly",$A1973+7,EDATE($A1973,VLOOKUP($I1973,Ref!$B$24:$C$29,2,0))))</f>
        <v/>
      </c>
      <c r="Z1973" s="536" t="str">
        <f t="shared" si="809"/>
        <v/>
      </c>
      <c r="AA1973" s="531">
        <f t="shared" si="810"/>
        <v>0</v>
      </c>
      <c r="AB1973" s="535" t="str">
        <f t="shared" si="798"/>
        <v/>
      </c>
      <c r="AC1973" s="537" t="str">
        <f t="shared" si="799"/>
        <v/>
      </c>
      <c r="AD1973" s="538" t="str">
        <f t="shared" ca="1" si="800"/>
        <v/>
      </c>
      <c r="AE1973" s="537">
        <f t="shared" ca="1" si="801"/>
        <v>0</v>
      </c>
      <c r="AF1973" s="539" t="str">
        <f t="shared" ca="1" si="811"/>
        <v/>
      </c>
      <c r="AG1973" s="531" t="str">
        <f t="shared" ca="1" si="812"/>
        <v/>
      </c>
      <c r="AH1973" s="531" t="str">
        <f t="shared" ca="1" si="813"/>
        <v/>
      </c>
      <c r="AI1973" s="531" t="str">
        <f t="shared" ca="1" si="814"/>
        <v/>
      </c>
      <c r="AJ1973" s="531" t="str">
        <f t="shared" si="815"/>
        <v/>
      </c>
      <c r="AK1973" s="540">
        <f>SUMIFS('Live Collections'!$S:$S,'Live Collections'!$D:$D,Disbursements!B1973,'Live Collections'!$G:$G,Disbursements!C1973)</f>
        <v>0</v>
      </c>
      <c r="AL1973" s="540">
        <f>SUMIFS('Live Collections'!$T:$T,'Live Collections'!$D:$D,Disbursements!B1973,'Live Collections'!$G:$G,Disbursements!C1973)</f>
        <v>0</v>
      </c>
      <c r="AM1973" s="541">
        <f t="shared" si="816"/>
        <v>0</v>
      </c>
      <c r="AN1973" s="542" t="str">
        <f t="shared" si="817"/>
        <v/>
      </c>
      <c r="AO1973" s="542" t="str">
        <f t="shared" si="818"/>
        <v/>
      </c>
      <c r="AP1973" s="543" t="str">
        <f t="shared" si="819"/>
        <v/>
      </c>
      <c r="AQ1973" s="544" t="str">
        <f t="shared" si="820"/>
        <v/>
      </c>
      <c r="AR1973" s="545">
        <f t="shared" si="821"/>
        <v>0</v>
      </c>
      <c r="AS1973" s="545">
        <f>IFERROR(CEILING($AR1973*VLOOKUP($I1973,Ref!$B$23:$E$29,4,0),1),0)</f>
        <v>0</v>
      </c>
      <c r="AT1973" s="545" t="str">
        <f>IF(A1973="","",IF(AP1973&lt;=1,"Cleared",IF(AS1973=0,"Clean",VLOOKUP($AS1973,Ref!$G$23:$H$28,2))))</f>
        <v/>
      </c>
      <c r="AU1973" s="546" t="str">
        <f t="shared" si="822"/>
        <v/>
      </c>
    </row>
    <row r="1974" spans="1:47" ht="14.25" hidden="1" customHeight="1" x14ac:dyDescent="0.15">
      <c r="A1974" s="575"/>
      <c r="B1974" s="548"/>
      <c r="C1974" s="548"/>
      <c r="D1974" s="548"/>
      <c r="E1974" s="583"/>
      <c r="F1974" s="584"/>
      <c r="G1974" s="548"/>
      <c r="H1974" s="550"/>
      <c r="I1974" s="560"/>
      <c r="J1974" s="548"/>
      <c r="K1974" s="528" t="str">
        <f>IFERROR(VLOOKUP($B1974,'Clients-Live'!$A:$C,3,0),"")</f>
        <v/>
      </c>
      <c r="L1974" s="528">
        <f>IF(E1974="STL",Pricing!$D$38,IF(A1974="",0,IF(A1974&lt;Pricing!$C$25,Pricing!$D$25,VLOOKUP(Disbursements!$F1974,Pricing!$B$29:$D$32,3))))</f>
        <v>0</v>
      </c>
      <c r="M1974" s="528">
        <f>IF(E1974="STL",0,IF(F1974&gt;0,Pricing!$D$21,0))</f>
        <v>0</v>
      </c>
      <c r="N1974" s="529">
        <f>IF(E1974="STL",F1974*Pricing!$D$40,IF(A1974&lt;=Pricing!$C$4,0,IF(AND(A1974&gt;Pricing!$C$4,Disbursements!A1974&lt;=Pricing!$C$5),F1974*Pricing!$E$5,IF(AND(A1974&gt;Pricing!$C$5,Disbursements!A1974&lt;=Pricing!$C$7),VLOOKUP(F1974,Pricing!$D$7:$E$8,2)*Disbursements!F1974,F1974*Pricing!$E$9))))</f>
        <v>0</v>
      </c>
      <c r="O1974" s="528">
        <f>IF(E1974="STL",0,IF($F1974&gt;0,$F1974*Pricing!$D$17,0))</f>
        <v>0</v>
      </c>
      <c r="P1974" s="530" t="str">
        <f t="shared" si="802"/>
        <v/>
      </c>
      <c r="Q1974" s="531" t="str">
        <f>IF($A1974="","",$G1974/VLOOKUP($I1974,Ref!$B$23:$D$29,2,0))</f>
        <v/>
      </c>
      <c r="R1974" s="530" t="str">
        <f t="shared" si="803"/>
        <v/>
      </c>
      <c r="S1974" s="532" t="str">
        <f t="shared" si="797"/>
        <v/>
      </c>
      <c r="T1974" s="531" t="str">
        <f t="shared" si="804"/>
        <v/>
      </c>
      <c r="U1974" s="533">
        <f t="shared" si="805"/>
        <v>0</v>
      </c>
      <c r="V1974" s="531" t="str">
        <f t="shared" si="806"/>
        <v/>
      </c>
      <c r="W1974" s="531" t="str">
        <f t="shared" si="807"/>
        <v/>
      </c>
      <c r="X1974" s="534" t="str">
        <f t="shared" si="808"/>
        <v/>
      </c>
      <c r="Y1974" s="535" t="str">
        <f>IF($A1974="","",IF($I1974="weekly",$A1974+7,EDATE($A1974,VLOOKUP($I1974,Ref!$B$24:$C$29,2,0))))</f>
        <v/>
      </c>
      <c r="Z1974" s="536" t="str">
        <f t="shared" si="809"/>
        <v/>
      </c>
      <c r="AA1974" s="531">
        <f t="shared" si="810"/>
        <v>0</v>
      </c>
      <c r="AB1974" s="535" t="str">
        <f t="shared" si="798"/>
        <v/>
      </c>
      <c r="AC1974" s="537" t="str">
        <f t="shared" si="799"/>
        <v/>
      </c>
      <c r="AD1974" s="538" t="str">
        <f t="shared" ca="1" si="800"/>
        <v/>
      </c>
      <c r="AE1974" s="537">
        <f t="shared" ca="1" si="801"/>
        <v>0</v>
      </c>
      <c r="AF1974" s="539" t="str">
        <f t="shared" ca="1" si="811"/>
        <v/>
      </c>
      <c r="AG1974" s="531" t="str">
        <f t="shared" ca="1" si="812"/>
        <v/>
      </c>
      <c r="AH1974" s="531" t="str">
        <f t="shared" ca="1" si="813"/>
        <v/>
      </c>
      <c r="AI1974" s="531" t="str">
        <f t="shared" ca="1" si="814"/>
        <v/>
      </c>
      <c r="AJ1974" s="531" t="str">
        <f t="shared" si="815"/>
        <v/>
      </c>
      <c r="AK1974" s="540">
        <f>SUMIFS('Live Collections'!$S:$S,'Live Collections'!$D:$D,Disbursements!B1974,'Live Collections'!$G:$G,Disbursements!C1974)</f>
        <v>0</v>
      </c>
      <c r="AL1974" s="540">
        <f>SUMIFS('Live Collections'!$T:$T,'Live Collections'!$D:$D,Disbursements!B1974,'Live Collections'!$G:$G,Disbursements!C1974)</f>
        <v>0</v>
      </c>
      <c r="AM1974" s="541">
        <f t="shared" si="816"/>
        <v>0</v>
      </c>
      <c r="AN1974" s="542" t="str">
        <f t="shared" si="817"/>
        <v/>
      </c>
      <c r="AO1974" s="542" t="str">
        <f t="shared" si="818"/>
        <v/>
      </c>
      <c r="AP1974" s="543" t="str">
        <f t="shared" si="819"/>
        <v/>
      </c>
      <c r="AQ1974" s="544" t="str">
        <f t="shared" si="820"/>
        <v/>
      </c>
      <c r="AR1974" s="545">
        <f t="shared" si="821"/>
        <v>0</v>
      </c>
      <c r="AS1974" s="545">
        <f>IFERROR(CEILING($AR1974*VLOOKUP($I1974,Ref!$B$23:$E$29,4,0),1),0)</f>
        <v>0</v>
      </c>
      <c r="AT1974" s="545" t="str">
        <f>IF(A1974="","",IF(AP1974&lt;=1,"Cleared",IF(AS1974=0,"Clean",VLOOKUP($AS1974,Ref!$G$23:$H$28,2))))</f>
        <v/>
      </c>
      <c r="AU1974" s="546" t="str">
        <f t="shared" si="822"/>
        <v/>
      </c>
    </row>
    <row r="1975" spans="1:47" ht="14.25" hidden="1" customHeight="1" x14ac:dyDescent="0.15">
      <c r="A1975" s="575"/>
      <c r="B1975" s="548"/>
      <c r="C1975" s="548"/>
      <c r="D1975" s="548"/>
      <c r="E1975" s="583"/>
      <c r="F1975" s="584"/>
      <c r="G1975" s="548"/>
      <c r="H1975" s="550"/>
      <c r="I1975" s="560"/>
      <c r="J1975" s="548"/>
      <c r="K1975" s="528" t="str">
        <f>IFERROR(VLOOKUP($B1975,'Clients-Live'!$A:$C,3,0),"")</f>
        <v/>
      </c>
      <c r="L1975" s="528">
        <f>IF(E1975="STL",Pricing!$D$38,IF(A1975="",0,IF(A1975&lt;Pricing!$C$25,Pricing!$D$25,VLOOKUP(Disbursements!$F1975,Pricing!$B$29:$D$32,3))))</f>
        <v>0</v>
      </c>
      <c r="M1975" s="528">
        <f>IF(E1975="STL",0,IF(F1975&gt;0,Pricing!$D$21,0))</f>
        <v>0</v>
      </c>
      <c r="N1975" s="529">
        <f>IF(E1975="STL",F1975*Pricing!$D$40,IF(A1975&lt;=Pricing!$C$4,0,IF(AND(A1975&gt;Pricing!$C$4,Disbursements!A1975&lt;=Pricing!$C$5),F1975*Pricing!$E$5,IF(AND(A1975&gt;Pricing!$C$5,Disbursements!A1975&lt;=Pricing!$C$7),VLOOKUP(F1975,Pricing!$D$7:$E$8,2)*Disbursements!F1975,F1975*Pricing!$E$9))))</f>
        <v>0</v>
      </c>
      <c r="O1975" s="528">
        <f>IF(E1975="STL",0,IF($F1975&gt;0,$F1975*Pricing!$D$17,0))</f>
        <v>0</v>
      </c>
      <c r="P1975" s="530" t="str">
        <f t="shared" si="802"/>
        <v/>
      </c>
      <c r="Q1975" s="531" t="str">
        <f>IF($A1975="","",$G1975/VLOOKUP($I1975,Ref!$B$23:$D$29,2,0))</f>
        <v/>
      </c>
      <c r="R1975" s="530" t="str">
        <f t="shared" si="803"/>
        <v/>
      </c>
      <c r="S1975" s="532" t="str">
        <f t="shared" si="797"/>
        <v/>
      </c>
      <c r="T1975" s="531" t="str">
        <f t="shared" si="804"/>
        <v/>
      </c>
      <c r="U1975" s="533">
        <f t="shared" si="805"/>
        <v>0</v>
      </c>
      <c r="V1975" s="531" t="str">
        <f t="shared" si="806"/>
        <v/>
      </c>
      <c r="W1975" s="531" t="str">
        <f t="shared" si="807"/>
        <v/>
      </c>
      <c r="X1975" s="534" t="str">
        <f t="shared" si="808"/>
        <v/>
      </c>
      <c r="Y1975" s="535" t="str">
        <f>IF($A1975="","",IF($I1975="weekly",$A1975+7,EDATE($A1975,VLOOKUP($I1975,Ref!$B$24:$C$29,2,0))))</f>
        <v/>
      </c>
      <c r="Z1975" s="536" t="str">
        <f t="shared" si="809"/>
        <v/>
      </c>
      <c r="AA1975" s="531">
        <f t="shared" si="810"/>
        <v>0</v>
      </c>
      <c r="AB1975" s="535" t="str">
        <f t="shared" si="798"/>
        <v/>
      </c>
      <c r="AC1975" s="537" t="str">
        <f t="shared" si="799"/>
        <v/>
      </c>
      <c r="AD1975" s="538" t="str">
        <f t="shared" ca="1" si="800"/>
        <v/>
      </c>
      <c r="AE1975" s="537">
        <f t="shared" ca="1" si="801"/>
        <v>0</v>
      </c>
      <c r="AF1975" s="539" t="str">
        <f t="shared" ca="1" si="811"/>
        <v/>
      </c>
      <c r="AG1975" s="531" t="str">
        <f t="shared" ca="1" si="812"/>
        <v/>
      </c>
      <c r="AH1975" s="531" t="str">
        <f t="shared" ca="1" si="813"/>
        <v/>
      </c>
      <c r="AI1975" s="531" t="str">
        <f t="shared" ca="1" si="814"/>
        <v/>
      </c>
      <c r="AJ1975" s="531" t="str">
        <f t="shared" si="815"/>
        <v/>
      </c>
      <c r="AK1975" s="540">
        <f>SUMIFS('Live Collections'!$S:$S,'Live Collections'!$D:$D,Disbursements!B1975,'Live Collections'!$G:$G,Disbursements!C1975)</f>
        <v>0</v>
      </c>
      <c r="AL1975" s="540">
        <f>SUMIFS('Live Collections'!$T:$T,'Live Collections'!$D:$D,Disbursements!B1975,'Live Collections'!$G:$G,Disbursements!C1975)</f>
        <v>0</v>
      </c>
      <c r="AM1975" s="541">
        <f t="shared" si="816"/>
        <v>0</v>
      </c>
      <c r="AN1975" s="542" t="str">
        <f t="shared" si="817"/>
        <v/>
      </c>
      <c r="AO1975" s="542" t="str">
        <f t="shared" si="818"/>
        <v/>
      </c>
      <c r="AP1975" s="543" t="str">
        <f t="shared" si="819"/>
        <v/>
      </c>
      <c r="AQ1975" s="544" t="str">
        <f t="shared" si="820"/>
        <v/>
      </c>
      <c r="AR1975" s="545">
        <f t="shared" si="821"/>
        <v>0</v>
      </c>
      <c r="AS1975" s="545">
        <f>IFERROR(CEILING($AR1975*VLOOKUP($I1975,Ref!$B$23:$E$29,4,0),1),0)</f>
        <v>0</v>
      </c>
      <c r="AT1975" s="545" t="str">
        <f>IF(A1975="","",IF(AP1975&lt;=1,"Cleared",IF(AS1975=0,"Clean",VLOOKUP($AS1975,Ref!$G$23:$H$28,2))))</f>
        <v/>
      </c>
      <c r="AU1975" s="546" t="str">
        <f t="shared" si="822"/>
        <v/>
      </c>
    </row>
    <row r="1976" spans="1:47" ht="14.25" hidden="1" customHeight="1" x14ac:dyDescent="0.15">
      <c r="A1976" s="575"/>
      <c r="B1976" s="548"/>
      <c r="C1976" s="548"/>
      <c r="D1976" s="548"/>
      <c r="E1976" s="583"/>
      <c r="F1976" s="584"/>
      <c r="G1976" s="548"/>
      <c r="H1976" s="550"/>
      <c r="I1976" s="560"/>
      <c r="J1976" s="548"/>
      <c r="K1976" s="528" t="str">
        <f>IFERROR(VLOOKUP($B1976,'Clients-Live'!$A:$C,3,0),"")</f>
        <v/>
      </c>
      <c r="L1976" s="528">
        <f>IF(E1976="STL",Pricing!$D$38,IF(A1976="",0,IF(A1976&lt;Pricing!$C$25,Pricing!$D$25,VLOOKUP(Disbursements!$F1976,Pricing!$B$29:$D$32,3))))</f>
        <v>0</v>
      </c>
      <c r="M1976" s="528">
        <f>IF(E1976="STL",0,IF(F1976&gt;0,Pricing!$D$21,0))</f>
        <v>0</v>
      </c>
      <c r="N1976" s="529">
        <f>IF(E1976="STL",F1976*Pricing!$D$40,IF(A1976&lt;=Pricing!$C$4,0,IF(AND(A1976&gt;Pricing!$C$4,Disbursements!A1976&lt;=Pricing!$C$5),F1976*Pricing!$E$5,IF(AND(A1976&gt;Pricing!$C$5,Disbursements!A1976&lt;=Pricing!$C$7),VLOOKUP(F1976,Pricing!$D$7:$E$8,2)*Disbursements!F1976,F1976*Pricing!$E$9))))</f>
        <v>0</v>
      </c>
      <c r="O1976" s="528">
        <f>IF(E1976="STL",0,IF($F1976&gt;0,$F1976*Pricing!$D$17,0))</f>
        <v>0</v>
      </c>
      <c r="P1976" s="530" t="str">
        <f t="shared" si="802"/>
        <v/>
      </c>
      <c r="Q1976" s="531" t="str">
        <f>IF($A1976="","",$G1976/VLOOKUP($I1976,Ref!$B$23:$D$29,2,0))</f>
        <v/>
      </c>
      <c r="R1976" s="530" t="str">
        <f t="shared" si="803"/>
        <v/>
      </c>
      <c r="S1976" s="532" t="str">
        <f t="shared" si="797"/>
        <v/>
      </c>
      <c r="T1976" s="531" t="str">
        <f t="shared" si="804"/>
        <v/>
      </c>
      <c r="U1976" s="533">
        <f t="shared" si="805"/>
        <v>0</v>
      </c>
      <c r="V1976" s="531" t="str">
        <f t="shared" si="806"/>
        <v/>
      </c>
      <c r="W1976" s="531" t="str">
        <f t="shared" si="807"/>
        <v/>
      </c>
      <c r="X1976" s="534" t="str">
        <f t="shared" si="808"/>
        <v/>
      </c>
      <c r="Y1976" s="535" t="str">
        <f>IF($A1976="","",IF($I1976="weekly",$A1976+7,EDATE($A1976,VLOOKUP($I1976,Ref!$B$24:$C$29,2,0))))</f>
        <v/>
      </c>
      <c r="Z1976" s="536" t="str">
        <f t="shared" si="809"/>
        <v/>
      </c>
      <c r="AA1976" s="531">
        <f t="shared" si="810"/>
        <v>0</v>
      </c>
      <c r="AB1976" s="535" t="str">
        <f t="shared" si="798"/>
        <v/>
      </c>
      <c r="AC1976" s="537" t="str">
        <f t="shared" si="799"/>
        <v/>
      </c>
      <c r="AD1976" s="538" t="str">
        <f t="shared" ca="1" si="800"/>
        <v/>
      </c>
      <c r="AE1976" s="537">
        <f t="shared" ca="1" si="801"/>
        <v>0</v>
      </c>
      <c r="AF1976" s="539" t="str">
        <f t="shared" ca="1" si="811"/>
        <v/>
      </c>
      <c r="AG1976" s="531" t="str">
        <f t="shared" ca="1" si="812"/>
        <v/>
      </c>
      <c r="AH1976" s="531" t="str">
        <f t="shared" ca="1" si="813"/>
        <v/>
      </c>
      <c r="AI1976" s="531" t="str">
        <f t="shared" ca="1" si="814"/>
        <v/>
      </c>
      <c r="AJ1976" s="531" t="str">
        <f t="shared" si="815"/>
        <v/>
      </c>
      <c r="AK1976" s="540">
        <f>SUMIFS('Live Collections'!$S:$S,'Live Collections'!$D:$D,Disbursements!B1976,'Live Collections'!$G:$G,Disbursements!C1976)</f>
        <v>0</v>
      </c>
      <c r="AL1976" s="540">
        <f>SUMIFS('Live Collections'!$T:$T,'Live Collections'!$D:$D,Disbursements!B1976,'Live Collections'!$G:$G,Disbursements!C1976)</f>
        <v>0</v>
      </c>
      <c r="AM1976" s="541">
        <f t="shared" si="816"/>
        <v>0</v>
      </c>
      <c r="AN1976" s="542" t="str">
        <f t="shared" si="817"/>
        <v/>
      </c>
      <c r="AO1976" s="542" t="str">
        <f t="shared" si="818"/>
        <v/>
      </c>
      <c r="AP1976" s="543" t="str">
        <f t="shared" si="819"/>
        <v/>
      </c>
      <c r="AQ1976" s="544" t="str">
        <f t="shared" si="820"/>
        <v/>
      </c>
      <c r="AR1976" s="545">
        <f t="shared" si="821"/>
        <v>0</v>
      </c>
      <c r="AS1976" s="545">
        <f>IFERROR(CEILING($AR1976*VLOOKUP($I1976,Ref!$B$23:$E$29,4,0),1),0)</f>
        <v>0</v>
      </c>
      <c r="AT1976" s="545" t="str">
        <f>IF(A1976="","",IF(AP1976&lt;=1,"Cleared",IF(AS1976=0,"Clean",VLOOKUP($AS1976,Ref!$G$23:$H$28,2))))</f>
        <v/>
      </c>
      <c r="AU1976" s="546" t="str">
        <f t="shared" si="822"/>
        <v/>
      </c>
    </row>
    <row r="1977" spans="1:47" ht="14.25" hidden="1" customHeight="1" x14ac:dyDescent="0.15">
      <c r="A1977" s="575"/>
      <c r="B1977" s="548"/>
      <c r="C1977" s="548"/>
      <c r="D1977" s="548"/>
      <c r="E1977" s="583"/>
      <c r="F1977" s="584"/>
      <c r="G1977" s="548"/>
      <c r="H1977" s="550"/>
      <c r="I1977" s="560"/>
      <c r="J1977" s="548"/>
      <c r="K1977" s="528" t="str">
        <f>IFERROR(VLOOKUP($B1977,'Clients-Live'!$A:$C,3,0),"")</f>
        <v/>
      </c>
      <c r="L1977" s="528">
        <f>IF(E1977="STL",Pricing!$D$38,IF(A1977="",0,IF(A1977&lt;Pricing!$C$25,Pricing!$D$25,VLOOKUP(Disbursements!$F1977,Pricing!$B$29:$D$32,3))))</f>
        <v>0</v>
      </c>
      <c r="M1977" s="528">
        <f>IF(E1977="STL",0,IF(F1977&gt;0,Pricing!$D$21,0))</f>
        <v>0</v>
      </c>
      <c r="N1977" s="529">
        <f>IF(E1977="STL",F1977*Pricing!$D$40,IF(A1977&lt;=Pricing!$C$4,0,IF(AND(A1977&gt;Pricing!$C$4,Disbursements!A1977&lt;=Pricing!$C$5),F1977*Pricing!$E$5,IF(AND(A1977&gt;Pricing!$C$5,Disbursements!A1977&lt;=Pricing!$C$7),VLOOKUP(F1977,Pricing!$D$7:$E$8,2)*Disbursements!F1977,F1977*Pricing!$E$9))))</f>
        <v>0</v>
      </c>
      <c r="O1977" s="528">
        <f>IF(E1977="STL",0,IF($F1977&gt;0,$F1977*Pricing!$D$17,0))</f>
        <v>0</v>
      </c>
      <c r="P1977" s="530" t="str">
        <f t="shared" si="802"/>
        <v/>
      </c>
      <c r="Q1977" s="531" t="str">
        <f>IF($A1977="","",$G1977/VLOOKUP($I1977,Ref!$B$23:$D$29,2,0))</f>
        <v/>
      </c>
      <c r="R1977" s="530" t="str">
        <f t="shared" si="803"/>
        <v/>
      </c>
      <c r="S1977" s="532" t="str">
        <f t="shared" si="797"/>
        <v/>
      </c>
      <c r="T1977" s="531" t="str">
        <f t="shared" si="804"/>
        <v/>
      </c>
      <c r="U1977" s="533">
        <f t="shared" si="805"/>
        <v>0</v>
      </c>
      <c r="V1977" s="531" t="str">
        <f t="shared" si="806"/>
        <v/>
      </c>
      <c r="W1977" s="531" t="str">
        <f t="shared" si="807"/>
        <v/>
      </c>
      <c r="X1977" s="534" t="str">
        <f t="shared" si="808"/>
        <v/>
      </c>
      <c r="Y1977" s="535" t="str">
        <f>IF($A1977="","",IF($I1977="weekly",$A1977+7,EDATE($A1977,VLOOKUP($I1977,Ref!$B$24:$C$29,2,0))))</f>
        <v/>
      </c>
      <c r="Z1977" s="536" t="str">
        <f t="shared" si="809"/>
        <v/>
      </c>
      <c r="AA1977" s="531">
        <f t="shared" si="810"/>
        <v>0</v>
      </c>
      <c r="AB1977" s="535" t="str">
        <f t="shared" si="798"/>
        <v/>
      </c>
      <c r="AC1977" s="537" t="str">
        <f t="shared" si="799"/>
        <v/>
      </c>
      <c r="AD1977" s="538" t="str">
        <f t="shared" ca="1" si="800"/>
        <v/>
      </c>
      <c r="AE1977" s="537">
        <f t="shared" ca="1" si="801"/>
        <v>0</v>
      </c>
      <c r="AF1977" s="539" t="str">
        <f t="shared" ca="1" si="811"/>
        <v/>
      </c>
      <c r="AG1977" s="531" t="str">
        <f t="shared" ca="1" si="812"/>
        <v/>
      </c>
      <c r="AH1977" s="531" t="str">
        <f t="shared" ca="1" si="813"/>
        <v/>
      </c>
      <c r="AI1977" s="531" t="str">
        <f t="shared" ca="1" si="814"/>
        <v/>
      </c>
      <c r="AJ1977" s="531" t="str">
        <f t="shared" si="815"/>
        <v/>
      </c>
      <c r="AK1977" s="540">
        <f>SUMIFS('Live Collections'!$S:$S,'Live Collections'!$D:$D,Disbursements!B1977,'Live Collections'!$G:$G,Disbursements!C1977)</f>
        <v>0</v>
      </c>
      <c r="AL1977" s="540">
        <f>SUMIFS('Live Collections'!$T:$T,'Live Collections'!$D:$D,Disbursements!B1977,'Live Collections'!$G:$G,Disbursements!C1977)</f>
        <v>0</v>
      </c>
      <c r="AM1977" s="541">
        <f t="shared" si="816"/>
        <v>0</v>
      </c>
      <c r="AN1977" s="542" t="str">
        <f t="shared" si="817"/>
        <v/>
      </c>
      <c r="AO1977" s="542" t="str">
        <f t="shared" si="818"/>
        <v/>
      </c>
      <c r="AP1977" s="543" t="str">
        <f t="shared" si="819"/>
        <v/>
      </c>
      <c r="AQ1977" s="544" t="str">
        <f t="shared" si="820"/>
        <v/>
      </c>
      <c r="AR1977" s="545">
        <f t="shared" si="821"/>
        <v>0</v>
      </c>
      <c r="AS1977" s="545">
        <f>IFERROR(CEILING($AR1977*VLOOKUP($I1977,Ref!$B$23:$E$29,4,0),1),0)</f>
        <v>0</v>
      </c>
      <c r="AT1977" s="545" t="str">
        <f>IF(A1977="","",IF(AP1977&lt;=1,"Cleared",IF(AS1977=0,"Clean",VLOOKUP($AS1977,Ref!$G$23:$H$28,2))))</f>
        <v/>
      </c>
      <c r="AU1977" s="546" t="str">
        <f t="shared" si="822"/>
        <v/>
      </c>
    </row>
    <row r="1978" spans="1:47" ht="14.25" hidden="1" customHeight="1" x14ac:dyDescent="0.15">
      <c r="A1978" s="575"/>
      <c r="B1978" s="548"/>
      <c r="C1978" s="548"/>
      <c r="D1978" s="548"/>
      <c r="E1978" s="583"/>
      <c r="F1978" s="584"/>
      <c r="G1978" s="548"/>
      <c r="H1978" s="550"/>
      <c r="I1978" s="560"/>
      <c r="J1978" s="548"/>
      <c r="K1978" s="528" t="str">
        <f>IFERROR(VLOOKUP($B1978,'Clients-Live'!$A:$C,3,0),"")</f>
        <v/>
      </c>
      <c r="L1978" s="528">
        <f>IF(E1978="STL",Pricing!$D$38,IF(A1978="",0,IF(A1978&lt;Pricing!$C$25,Pricing!$D$25,VLOOKUP(Disbursements!$F1978,Pricing!$B$29:$D$32,3))))</f>
        <v>0</v>
      </c>
      <c r="M1978" s="528">
        <f>IF(E1978="STL",0,IF(F1978&gt;0,Pricing!$D$21,0))</f>
        <v>0</v>
      </c>
      <c r="N1978" s="529">
        <f>IF(E1978="STL",F1978*Pricing!$D$40,IF(A1978&lt;=Pricing!$C$4,0,IF(AND(A1978&gt;Pricing!$C$4,Disbursements!A1978&lt;=Pricing!$C$5),F1978*Pricing!$E$5,IF(AND(A1978&gt;Pricing!$C$5,Disbursements!A1978&lt;=Pricing!$C$7),VLOOKUP(F1978,Pricing!$D$7:$E$8,2)*Disbursements!F1978,F1978*Pricing!$E$9))))</f>
        <v>0</v>
      </c>
      <c r="O1978" s="528">
        <f>IF(E1978="STL",0,IF($F1978&gt;0,$F1978*Pricing!$D$17,0))</f>
        <v>0</v>
      </c>
      <c r="P1978" s="530" t="str">
        <f t="shared" si="802"/>
        <v/>
      </c>
      <c r="Q1978" s="531" t="str">
        <f>IF($A1978="","",$G1978/VLOOKUP($I1978,Ref!$B$23:$D$29,2,0))</f>
        <v/>
      </c>
      <c r="R1978" s="530" t="str">
        <f t="shared" si="803"/>
        <v/>
      </c>
      <c r="S1978" s="532" t="str">
        <f t="shared" si="797"/>
        <v/>
      </c>
      <c r="T1978" s="531" t="str">
        <f t="shared" si="804"/>
        <v/>
      </c>
      <c r="U1978" s="533">
        <f t="shared" si="805"/>
        <v>0</v>
      </c>
      <c r="V1978" s="531" t="str">
        <f t="shared" si="806"/>
        <v/>
      </c>
      <c r="W1978" s="531" t="str">
        <f t="shared" si="807"/>
        <v/>
      </c>
      <c r="X1978" s="534" t="str">
        <f t="shared" si="808"/>
        <v/>
      </c>
      <c r="Y1978" s="535" t="str">
        <f>IF($A1978="","",IF($I1978="weekly",$A1978+7,EDATE($A1978,VLOOKUP($I1978,Ref!$B$24:$C$29,2,0))))</f>
        <v/>
      </c>
      <c r="Z1978" s="536" t="str">
        <f t="shared" si="809"/>
        <v/>
      </c>
      <c r="AA1978" s="531">
        <f t="shared" si="810"/>
        <v>0</v>
      </c>
      <c r="AB1978" s="535" t="str">
        <f t="shared" si="798"/>
        <v/>
      </c>
      <c r="AC1978" s="537" t="str">
        <f t="shared" si="799"/>
        <v/>
      </c>
      <c r="AD1978" s="538" t="str">
        <f t="shared" ca="1" si="800"/>
        <v/>
      </c>
      <c r="AE1978" s="537">
        <f t="shared" ca="1" si="801"/>
        <v>0</v>
      </c>
      <c r="AF1978" s="539" t="str">
        <f t="shared" ca="1" si="811"/>
        <v/>
      </c>
      <c r="AG1978" s="531" t="str">
        <f t="shared" ca="1" si="812"/>
        <v/>
      </c>
      <c r="AH1978" s="531" t="str">
        <f t="shared" ca="1" si="813"/>
        <v/>
      </c>
      <c r="AI1978" s="531" t="str">
        <f t="shared" ca="1" si="814"/>
        <v/>
      </c>
      <c r="AJ1978" s="531" t="str">
        <f t="shared" si="815"/>
        <v/>
      </c>
      <c r="AK1978" s="540">
        <f>SUMIFS('Live Collections'!$S:$S,'Live Collections'!$D:$D,Disbursements!B1978,'Live Collections'!$G:$G,Disbursements!C1978)</f>
        <v>0</v>
      </c>
      <c r="AL1978" s="540">
        <f>SUMIFS('Live Collections'!$T:$T,'Live Collections'!$D:$D,Disbursements!B1978,'Live Collections'!$G:$G,Disbursements!C1978)</f>
        <v>0</v>
      </c>
      <c r="AM1978" s="541">
        <f t="shared" si="816"/>
        <v>0</v>
      </c>
      <c r="AN1978" s="542" t="str">
        <f t="shared" si="817"/>
        <v/>
      </c>
      <c r="AO1978" s="542" t="str">
        <f t="shared" si="818"/>
        <v/>
      </c>
      <c r="AP1978" s="543" t="str">
        <f t="shared" si="819"/>
        <v/>
      </c>
      <c r="AQ1978" s="544" t="str">
        <f t="shared" si="820"/>
        <v/>
      </c>
      <c r="AR1978" s="545">
        <f t="shared" si="821"/>
        <v>0</v>
      </c>
      <c r="AS1978" s="545">
        <f>IFERROR(CEILING($AR1978*VLOOKUP($I1978,Ref!$B$23:$E$29,4,0),1),0)</f>
        <v>0</v>
      </c>
      <c r="AT1978" s="545" t="str">
        <f>IF(A1978="","",IF(AP1978&lt;=1,"Cleared",IF(AS1978=0,"Clean",VLOOKUP($AS1978,Ref!$G$23:$H$28,2))))</f>
        <v/>
      </c>
      <c r="AU1978" s="546" t="str">
        <f t="shared" si="822"/>
        <v/>
      </c>
    </row>
    <row r="1979" spans="1:47" ht="14.25" hidden="1" customHeight="1" x14ac:dyDescent="0.15">
      <c r="A1979" s="575"/>
      <c r="B1979" s="548"/>
      <c r="C1979" s="548"/>
      <c r="D1979" s="548"/>
      <c r="E1979" s="583"/>
      <c r="F1979" s="584"/>
      <c r="G1979" s="548"/>
      <c r="H1979" s="550"/>
      <c r="I1979" s="560"/>
      <c r="J1979" s="548"/>
      <c r="K1979" s="528" t="str">
        <f>IFERROR(VLOOKUP($B1979,'Clients-Live'!$A:$C,3,0),"")</f>
        <v/>
      </c>
      <c r="L1979" s="528">
        <f>IF(E1979="STL",Pricing!$D$38,IF(A1979="",0,IF(A1979&lt;Pricing!$C$25,Pricing!$D$25,VLOOKUP(Disbursements!$F1979,Pricing!$B$29:$D$32,3))))</f>
        <v>0</v>
      </c>
      <c r="M1979" s="528">
        <f>IF(E1979="STL",0,IF(F1979&gt;0,Pricing!$D$21,0))</f>
        <v>0</v>
      </c>
      <c r="N1979" s="529">
        <f>IF(E1979="STL",F1979*Pricing!$D$40,IF(A1979&lt;=Pricing!$C$4,0,IF(AND(A1979&gt;Pricing!$C$4,Disbursements!A1979&lt;=Pricing!$C$5),F1979*Pricing!$E$5,IF(AND(A1979&gt;Pricing!$C$5,Disbursements!A1979&lt;=Pricing!$C$7),VLOOKUP(F1979,Pricing!$D$7:$E$8,2)*Disbursements!F1979,F1979*Pricing!$E$9))))</f>
        <v>0</v>
      </c>
      <c r="O1979" s="528">
        <f>IF(E1979="STL",0,IF($F1979&gt;0,$F1979*Pricing!$D$17,0))</f>
        <v>0</v>
      </c>
      <c r="P1979" s="530" t="str">
        <f t="shared" si="802"/>
        <v/>
      </c>
      <c r="Q1979" s="531" t="str">
        <f>IF($A1979="","",$G1979/VLOOKUP($I1979,Ref!$B$23:$D$29,2,0))</f>
        <v/>
      </c>
      <c r="R1979" s="530" t="str">
        <f t="shared" si="803"/>
        <v/>
      </c>
      <c r="S1979" s="532" t="str">
        <f t="shared" si="797"/>
        <v/>
      </c>
      <c r="T1979" s="531" t="str">
        <f t="shared" si="804"/>
        <v/>
      </c>
      <c r="U1979" s="533">
        <f t="shared" si="805"/>
        <v>0</v>
      </c>
      <c r="V1979" s="531" t="str">
        <f t="shared" si="806"/>
        <v/>
      </c>
      <c r="W1979" s="531" t="str">
        <f t="shared" si="807"/>
        <v/>
      </c>
      <c r="X1979" s="534" t="str">
        <f t="shared" si="808"/>
        <v/>
      </c>
      <c r="Y1979" s="535" t="str">
        <f>IF($A1979="","",IF($I1979="weekly",$A1979+7,EDATE($A1979,VLOOKUP($I1979,Ref!$B$24:$C$29,2,0))))</f>
        <v/>
      </c>
      <c r="Z1979" s="536" t="str">
        <f t="shared" si="809"/>
        <v/>
      </c>
      <c r="AA1979" s="531">
        <f t="shared" si="810"/>
        <v>0</v>
      </c>
      <c r="AB1979" s="535" t="str">
        <f t="shared" si="798"/>
        <v/>
      </c>
      <c r="AC1979" s="537" t="str">
        <f t="shared" si="799"/>
        <v/>
      </c>
      <c r="AD1979" s="538" t="str">
        <f t="shared" ca="1" si="800"/>
        <v/>
      </c>
      <c r="AE1979" s="537">
        <f t="shared" ca="1" si="801"/>
        <v>0</v>
      </c>
      <c r="AF1979" s="539" t="str">
        <f t="shared" ca="1" si="811"/>
        <v/>
      </c>
      <c r="AG1979" s="531" t="str">
        <f t="shared" ca="1" si="812"/>
        <v/>
      </c>
      <c r="AH1979" s="531" t="str">
        <f t="shared" ca="1" si="813"/>
        <v/>
      </c>
      <c r="AI1979" s="531" t="str">
        <f t="shared" ca="1" si="814"/>
        <v/>
      </c>
      <c r="AJ1979" s="531" t="str">
        <f t="shared" si="815"/>
        <v/>
      </c>
      <c r="AK1979" s="540">
        <f>SUMIFS('Live Collections'!$S:$S,'Live Collections'!$D:$D,Disbursements!B1979,'Live Collections'!$G:$G,Disbursements!C1979)</f>
        <v>0</v>
      </c>
      <c r="AL1979" s="540">
        <f>SUMIFS('Live Collections'!$T:$T,'Live Collections'!$D:$D,Disbursements!B1979,'Live Collections'!$G:$G,Disbursements!C1979)</f>
        <v>0</v>
      </c>
      <c r="AM1979" s="541">
        <f t="shared" si="816"/>
        <v>0</v>
      </c>
      <c r="AN1979" s="542" t="str">
        <f t="shared" si="817"/>
        <v/>
      </c>
      <c r="AO1979" s="542" t="str">
        <f t="shared" si="818"/>
        <v/>
      </c>
      <c r="AP1979" s="543" t="str">
        <f t="shared" si="819"/>
        <v/>
      </c>
      <c r="AQ1979" s="544" t="str">
        <f t="shared" si="820"/>
        <v/>
      </c>
      <c r="AR1979" s="545">
        <f t="shared" si="821"/>
        <v>0</v>
      </c>
      <c r="AS1979" s="545">
        <f>IFERROR(CEILING($AR1979*VLOOKUP($I1979,Ref!$B$23:$E$29,4,0),1),0)</f>
        <v>0</v>
      </c>
      <c r="AT1979" s="545" t="str">
        <f>IF(A1979="","",IF(AP1979&lt;=1,"Cleared",IF(AS1979=0,"Clean",VLOOKUP($AS1979,Ref!$G$23:$H$28,2))))</f>
        <v/>
      </c>
      <c r="AU1979" s="546" t="str">
        <f t="shared" si="822"/>
        <v/>
      </c>
    </row>
    <row r="1980" spans="1:47" ht="14.25" hidden="1" customHeight="1" x14ac:dyDescent="0.15">
      <c r="A1980" s="575"/>
      <c r="B1980" s="548"/>
      <c r="C1980" s="548"/>
      <c r="D1980" s="548"/>
      <c r="E1980" s="583"/>
      <c r="F1980" s="584"/>
      <c r="G1980" s="548"/>
      <c r="H1980" s="550"/>
      <c r="I1980" s="560"/>
      <c r="J1980" s="548"/>
      <c r="K1980" s="528" t="str">
        <f>IFERROR(VLOOKUP($B1980,'Clients-Live'!$A:$C,3,0),"")</f>
        <v/>
      </c>
      <c r="L1980" s="528">
        <f>IF(E1980="STL",Pricing!$D$38,IF(A1980="",0,IF(A1980&lt;Pricing!$C$25,Pricing!$D$25,VLOOKUP(Disbursements!$F1980,Pricing!$B$29:$D$32,3))))</f>
        <v>0</v>
      </c>
      <c r="M1980" s="528">
        <f>IF(E1980="STL",0,IF(F1980&gt;0,Pricing!$D$21,0))</f>
        <v>0</v>
      </c>
      <c r="N1980" s="529">
        <f>IF(E1980="STL",F1980*Pricing!$D$40,IF(A1980&lt;=Pricing!$C$4,0,IF(AND(A1980&gt;Pricing!$C$4,Disbursements!A1980&lt;=Pricing!$C$5),F1980*Pricing!$E$5,IF(AND(A1980&gt;Pricing!$C$5,Disbursements!A1980&lt;=Pricing!$C$7),VLOOKUP(F1980,Pricing!$D$7:$E$8,2)*Disbursements!F1980,F1980*Pricing!$E$9))))</f>
        <v>0</v>
      </c>
      <c r="O1980" s="528">
        <f>IF(E1980="STL",0,IF($F1980&gt;0,$F1980*Pricing!$D$17,0))</f>
        <v>0</v>
      </c>
      <c r="P1980" s="530" t="str">
        <f t="shared" si="802"/>
        <v/>
      </c>
      <c r="Q1980" s="531" t="str">
        <f>IF($A1980="","",$G1980/VLOOKUP($I1980,Ref!$B$23:$D$29,2,0))</f>
        <v/>
      </c>
      <c r="R1980" s="530" t="str">
        <f t="shared" si="803"/>
        <v/>
      </c>
      <c r="S1980" s="532" t="str">
        <f t="shared" si="797"/>
        <v/>
      </c>
      <c r="T1980" s="531" t="str">
        <f t="shared" si="804"/>
        <v/>
      </c>
      <c r="U1980" s="533">
        <f t="shared" si="805"/>
        <v>0</v>
      </c>
      <c r="V1980" s="531" t="str">
        <f t="shared" si="806"/>
        <v/>
      </c>
      <c r="W1980" s="531" t="str">
        <f t="shared" si="807"/>
        <v/>
      </c>
      <c r="X1980" s="534" t="str">
        <f t="shared" si="808"/>
        <v/>
      </c>
      <c r="Y1980" s="535" t="str">
        <f>IF($A1980="","",IF($I1980="weekly",$A1980+7,EDATE($A1980,VLOOKUP($I1980,Ref!$B$24:$C$29,2,0))))</f>
        <v/>
      </c>
      <c r="Z1980" s="536" t="str">
        <f t="shared" si="809"/>
        <v/>
      </c>
      <c r="AA1980" s="531">
        <f t="shared" si="810"/>
        <v>0</v>
      </c>
      <c r="AB1980" s="535" t="str">
        <f t="shared" si="798"/>
        <v/>
      </c>
      <c r="AC1980" s="537" t="str">
        <f t="shared" si="799"/>
        <v/>
      </c>
      <c r="AD1980" s="538" t="str">
        <f t="shared" ca="1" si="800"/>
        <v/>
      </c>
      <c r="AE1980" s="537">
        <f t="shared" ca="1" si="801"/>
        <v>0</v>
      </c>
      <c r="AF1980" s="539" t="str">
        <f t="shared" ca="1" si="811"/>
        <v/>
      </c>
      <c r="AG1980" s="531" t="str">
        <f t="shared" ca="1" si="812"/>
        <v/>
      </c>
      <c r="AH1980" s="531" t="str">
        <f t="shared" ca="1" si="813"/>
        <v/>
      </c>
      <c r="AI1980" s="531" t="str">
        <f t="shared" ca="1" si="814"/>
        <v/>
      </c>
      <c r="AJ1980" s="531" t="str">
        <f t="shared" si="815"/>
        <v/>
      </c>
      <c r="AK1980" s="540">
        <f>SUMIFS('Live Collections'!$S:$S,'Live Collections'!$D:$D,Disbursements!B1980,'Live Collections'!$G:$G,Disbursements!C1980)</f>
        <v>0</v>
      </c>
      <c r="AL1980" s="540">
        <f>SUMIFS('Live Collections'!$T:$T,'Live Collections'!$D:$D,Disbursements!B1980,'Live Collections'!$G:$G,Disbursements!C1980)</f>
        <v>0</v>
      </c>
      <c r="AM1980" s="541">
        <f t="shared" si="816"/>
        <v>0</v>
      </c>
      <c r="AN1980" s="542" t="str">
        <f t="shared" si="817"/>
        <v/>
      </c>
      <c r="AO1980" s="542" t="str">
        <f t="shared" si="818"/>
        <v/>
      </c>
      <c r="AP1980" s="543" t="str">
        <f t="shared" si="819"/>
        <v/>
      </c>
      <c r="AQ1980" s="544" t="str">
        <f t="shared" si="820"/>
        <v/>
      </c>
      <c r="AR1980" s="545">
        <f t="shared" si="821"/>
        <v>0</v>
      </c>
      <c r="AS1980" s="545">
        <f>IFERROR(CEILING($AR1980*VLOOKUP($I1980,Ref!$B$23:$E$29,4,0),1),0)</f>
        <v>0</v>
      </c>
      <c r="AT1980" s="545" t="str">
        <f>IF(A1980="","",IF(AP1980&lt;=1,"Cleared",IF(AS1980=0,"Clean",VLOOKUP($AS1980,Ref!$G$23:$H$28,2))))</f>
        <v/>
      </c>
      <c r="AU1980" s="546" t="str">
        <f t="shared" si="822"/>
        <v/>
      </c>
    </row>
    <row r="1981" spans="1:47" ht="14.25" hidden="1" customHeight="1" x14ac:dyDescent="0.15">
      <c r="A1981" s="575"/>
      <c r="B1981" s="548"/>
      <c r="C1981" s="548"/>
      <c r="D1981" s="548"/>
      <c r="E1981" s="583"/>
      <c r="F1981" s="584"/>
      <c r="G1981" s="548"/>
      <c r="H1981" s="550"/>
      <c r="I1981" s="560"/>
      <c r="J1981" s="548"/>
      <c r="K1981" s="528" t="str">
        <f>IFERROR(VLOOKUP($B1981,'Clients-Live'!$A:$C,3,0),"")</f>
        <v/>
      </c>
      <c r="L1981" s="528">
        <f>IF(E1981="STL",Pricing!$D$38,IF(A1981="",0,IF(A1981&lt;Pricing!$C$25,Pricing!$D$25,VLOOKUP(Disbursements!$F1981,Pricing!$B$29:$D$32,3))))</f>
        <v>0</v>
      </c>
      <c r="M1981" s="528">
        <f>IF(E1981="STL",0,IF(F1981&gt;0,Pricing!$D$21,0))</f>
        <v>0</v>
      </c>
      <c r="N1981" s="529">
        <f>IF(E1981="STL",F1981*Pricing!$D$40,IF(A1981&lt;=Pricing!$C$4,0,IF(AND(A1981&gt;Pricing!$C$4,Disbursements!A1981&lt;=Pricing!$C$5),F1981*Pricing!$E$5,IF(AND(A1981&gt;Pricing!$C$5,Disbursements!A1981&lt;=Pricing!$C$7),VLOOKUP(F1981,Pricing!$D$7:$E$8,2)*Disbursements!F1981,F1981*Pricing!$E$9))))</f>
        <v>0</v>
      </c>
      <c r="O1981" s="528">
        <f>IF(E1981="STL",0,IF($F1981&gt;0,$F1981*Pricing!$D$17,0))</f>
        <v>0</v>
      </c>
      <c r="P1981" s="530" t="str">
        <f t="shared" si="802"/>
        <v/>
      </c>
      <c r="Q1981" s="531" t="str">
        <f>IF($A1981="","",$G1981/VLOOKUP($I1981,Ref!$B$23:$D$29,2,0))</f>
        <v/>
      </c>
      <c r="R1981" s="530" t="str">
        <f t="shared" si="803"/>
        <v/>
      </c>
      <c r="S1981" s="532" t="str">
        <f t="shared" si="797"/>
        <v/>
      </c>
      <c r="T1981" s="531" t="str">
        <f t="shared" si="804"/>
        <v/>
      </c>
      <c r="U1981" s="533">
        <f t="shared" si="805"/>
        <v>0</v>
      </c>
      <c r="V1981" s="531" t="str">
        <f t="shared" si="806"/>
        <v/>
      </c>
      <c r="W1981" s="531" t="str">
        <f t="shared" si="807"/>
        <v/>
      </c>
      <c r="X1981" s="534" t="str">
        <f t="shared" si="808"/>
        <v/>
      </c>
      <c r="Y1981" s="535" t="str">
        <f>IF($A1981="","",IF($I1981="weekly",$A1981+7,EDATE($A1981,VLOOKUP($I1981,Ref!$B$24:$C$29,2,0))))</f>
        <v/>
      </c>
      <c r="Z1981" s="536" t="str">
        <f t="shared" si="809"/>
        <v/>
      </c>
      <c r="AA1981" s="531">
        <f t="shared" si="810"/>
        <v>0</v>
      </c>
      <c r="AB1981" s="535" t="str">
        <f t="shared" si="798"/>
        <v/>
      </c>
      <c r="AC1981" s="537" t="str">
        <f t="shared" si="799"/>
        <v/>
      </c>
      <c r="AD1981" s="538" t="str">
        <f t="shared" ca="1" si="800"/>
        <v/>
      </c>
      <c r="AE1981" s="537">
        <f t="shared" ca="1" si="801"/>
        <v>0</v>
      </c>
      <c r="AF1981" s="539" t="str">
        <f t="shared" ca="1" si="811"/>
        <v/>
      </c>
      <c r="AG1981" s="531" t="str">
        <f t="shared" ca="1" si="812"/>
        <v/>
      </c>
      <c r="AH1981" s="531" t="str">
        <f t="shared" ca="1" si="813"/>
        <v/>
      </c>
      <c r="AI1981" s="531" t="str">
        <f t="shared" ca="1" si="814"/>
        <v/>
      </c>
      <c r="AJ1981" s="531" t="str">
        <f t="shared" si="815"/>
        <v/>
      </c>
      <c r="AK1981" s="540">
        <f>SUMIFS('Live Collections'!$S:$S,'Live Collections'!$D:$D,Disbursements!B1981,'Live Collections'!$G:$G,Disbursements!C1981)</f>
        <v>0</v>
      </c>
      <c r="AL1981" s="540">
        <f>SUMIFS('Live Collections'!$T:$T,'Live Collections'!$D:$D,Disbursements!B1981,'Live Collections'!$G:$G,Disbursements!C1981)</f>
        <v>0</v>
      </c>
      <c r="AM1981" s="541">
        <f t="shared" si="816"/>
        <v>0</v>
      </c>
      <c r="AN1981" s="542" t="str">
        <f t="shared" si="817"/>
        <v/>
      </c>
      <c r="AO1981" s="542" t="str">
        <f t="shared" si="818"/>
        <v/>
      </c>
      <c r="AP1981" s="543" t="str">
        <f t="shared" si="819"/>
        <v/>
      </c>
      <c r="AQ1981" s="544" t="str">
        <f t="shared" si="820"/>
        <v/>
      </c>
      <c r="AR1981" s="545">
        <f t="shared" si="821"/>
        <v>0</v>
      </c>
      <c r="AS1981" s="545">
        <f>IFERROR(CEILING($AR1981*VLOOKUP($I1981,Ref!$B$23:$E$29,4,0),1),0)</f>
        <v>0</v>
      </c>
      <c r="AT1981" s="545" t="str">
        <f>IF(A1981="","",IF(AP1981&lt;=1,"Cleared",IF(AS1981=0,"Clean",VLOOKUP($AS1981,Ref!$G$23:$H$28,2))))</f>
        <v/>
      </c>
      <c r="AU1981" s="546" t="str">
        <f t="shared" si="822"/>
        <v/>
      </c>
    </row>
    <row r="1982" spans="1:47" ht="14.25" hidden="1" customHeight="1" x14ac:dyDescent="0.15">
      <c r="A1982" s="575"/>
      <c r="B1982" s="548"/>
      <c r="C1982" s="548"/>
      <c r="D1982" s="548"/>
      <c r="E1982" s="583"/>
      <c r="F1982" s="584"/>
      <c r="G1982" s="548"/>
      <c r="H1982" s="550"/>
      <c r="I1982" s="560"/>
      <c r="J1982" s="548"/>
      <c r="K1982" s="528" t="str">
        <f>IFERROR(VLOOKUP($B1982,'Clients-Live'!$A:$C,3,0),"")</f>
        <v/>
      </c>
      <c r="L1982" s="528">
        <f>IF(E1982="STL",Pricing!$D$38,IF(A1982="",0,IF(A1982&lt;Pricing!$C$25,Pricing!$D$25,VLOOKUP(Disbursements!$F1982,Pricing!$B$29:$D$32,3))))</f>
        <v>0</v>
      </c>
      <c r="M1982" s="528">
        <f>IF(E1982="STL",0,IF(F1982&gt;0,Pricing!$D$21,0))</f>
        <v>0</v>
      </c>
      <c r="N1982" s="529">
        <f>IF(E1982="STL",F1982*Pricing!$D$40,IF(A1982&lt;=Pricing!$C$4,0,IF(AND(A1982&gt;Pricing!$C$4,Disbursements!A1982&lt;=Pricing!$C$5),F1982*Pricing!$E$5,IF(AND(A1982&gt;Pricing!$C$5,Disbursements!A1982&lt;=Pricing!$C$7),VLOOKUP(F1982,Pricing!$D$7:$E$8,2)*Disbursements!F1982,F1982*Pricing!$E$9))))</f>
        <v>0</v>
      </c>
      <c r="O1982" s="528">
        <f>IF(E1982="STL",0,IF($F1982&gt;0,$F1982*Pricing!$D$17,0))</f>
        <v>0</v>
      </c>
      <c r="P1982" s="530" t="str">
        <f t="shared" si="802"/>
        <v/>
      </c>
      <c r="Q1982" s="531" t="str">
        <f>IF($A1982="","",$G1982/VLOOKUP($I1982,Ref!$B$23:$D$29,2,0))</f>
        <v/>
      </c>
      <c r="R1982" s="530" t="str">
        <f t="shared" si="803"/>
        <v/>
      </c>
      <c r="S1982" s="532" t="str">
        <f t="shared" si="797"/>
        <v/>
      </c>
      <c r="T1982" s="531" t="str">
        <f t="shared" si="804"/>
        <v/>
      </c>
      <c r="U1982" s="533">
        <f t="shared" si="805"/>
        <v>0</v>
      </c>
      <c r="V1982" s="531" t="str">
        <f t="shared" si="806"/>
        <v/>
      </c>
      <c r="W1982" s="531" t="str">
        <f t="shared" si="807"/>
        <v/>
      </c>
      <c r="X1982" s="534" t="str">
        <f t="shared" si="808"/>
        <v/>
      </c>
      <c r="Y1982" s="535" t="str">
        <f>IF($A1982="","",IF($I1982="weekly",$A1982+7,EDATE($A1982,VLOOKUP($I1982,Ref!$B$24:$C$29,2,0))))</f>
        <v/>
      </c>
      <c r="Z1982" s="536" t="str">
        <f t="shared" si="809"/>
        <v/>
      </c>
      <c r="AA1982" s="531">
        <f t="shared" si="810"/>
        <v>0</v>
      </c>
      <c r="AB1982" s="535" t="str">
        <f t="shared" si="798"/>
        <v/>
      </c>
      <c r="AC1982" s="537" t="str">
        <f t="shared" si="799"/>
        <v/>
      </c>
      <c r="AD1982" s="538" t="str">
        <f t="shared" ca="1" si="800"/>
        <v/>
      </c>
      <c r="AE1982" s="537">
        <f t="shared" ca="1" si="801"/>
        <v>0</v>
      </c>
      <c r="AF1982" s="539" t="str">
        <f t="shared" ca="1" si="811"/>
        <v/>
      </c>
      <c r="AG1982" s="531" t="str">
        <f t="shared" ca="1" si="812"/>
        <v/>
      </c>
      <c r="AH1982" s="531" t="str">
        <f t="shared" ca="1" si="813"/>
        <v/>
      </c>
      <c r="AI1982" s="531" t="str">
        <f t="shared" ca="1" si="814"/>
        <v/>
      </c>
      <c r="AJ1982" s="531" t="str">
        <f t="shared" si="815"/>
        <v/>
      </c>
      <c r="AK1982" s="540">
        <f>SUMIFS('Live Collections'!$S:$S,'Live Collections'!$D:$D,Disbursements!B1982,'Live Collections'!$G:$G,Disbursements!C1982)</f>
        <v>0</v>
      </c>
      <c r="AL1982" s="540">
        <f>SUMIFS('Live Collections'!$T:$T,'Live Collections'!$D:$D,Disbursements!B1982,'Live Collections'!$G:$G,Disbursements!C1982)</f>
        <v>0</v>
      </c>
      <c r="AM1982" s="541">
        <f t="shared" si="816"/>
        <v>0</v>
      </c>
      <c r="AN1982" s="542" t="str">
        <f t="shared" si="817"/>
        <v/>
      </c>
      <c r="AO1982" s="542" t="str">
        <f t="shared" si="818"/>
        <v/>
      </c>
      <c r="AP1982" s="543" t="str">
        <f t="shared" si="819"/>
        <v/>
      </c>
      <c r="AQ1982" s="544" t="str">
        <f t="shared" si="820"/>
        <v/>
      </c>
      <c r="AR1982" s="545">
        <f t="shared" si="821"/>
        <v>0</v>
      </c>
      <c r="AS1982" s="545">
        <f>IFERROR(CEILING($AR1982*VLOOKUP($I1982,Ref!$B$23:$E$29,4,0),1),0)</f>
        <v>0</v>
      </c>
      <c r="AT1982" s="545" t="str">
        <f>IF(A1982="","",IF(AP1982&lt;=1,"Cleared",IF(AS1982=0,"Clean",VLOOKUP($AS1982,Ref!$G$23:$H$28,2))))</f>
        <v/>
      </c>
      <c r="AU1982" s="546" t="str">
        <f t="shared" si="822"/>
        <v/>
      </c>
    </row>
    <row r="1983" spans="1:47" ht="14.25" hidden="1" customHeight="1" x14ac:dyDescent="0.15">
      <c r="A1983" s="575"/>
      <c r="B1983" s="548"/>
      <c r="C1983" s="548"/>
      <c r="D1983" s="548"/>
      <c r="E1983" s="583"/>
      <c r="F1983" s="584"/>
      <c r="G1983" s="548"/>
      <c r="H1983" s="550"/>
      <c r="I1983" s="560"/>
      <c r="J1983" s="548"/>
      <c r="K1983" s="528" t="str">
        <f>IFERROR(VLOOKUP($B1983,'Clients-Live'!$A:$C,3,0),"")</f>
        <v/>
      </c>
      <c r="L1983" s="528">
        <f>IF(E1983="STL",Pricing!$D$38,IF(A1983="",0,IF(A1983&lt;Pricing!$C$25,Pricing!$D$25,VLOOKUP(Disbursements!$F1983,Pricing!$B$29:$D$32,3))))</f>
        <v>0</v>
      </c>
      <c r="M1983" s="528">
        <f>IF(E1983="STL",0,IF(F1983&gt;0,Pricing!$D$21,0))</f>
        <v>0</v>
      </c>
      <c r="N1983" s="529">
        <f>IF(E1983="STL",F1983*Pricing!$D$40,IF(A1983&lt;=Pricing!$C$4,0,IF(AND(A1983&gt;Pricing!$C$4,Disbursements!A1983&lt;=Pricing!$C$5),F1983*Pricing!$E$5,IF(AND(A1983&gt;Pricing!$C$5,Disbursements!A1983&lt;=Pricing!$C$7),VLOOKUP(F1983,Pricing!$D$7:$E$8,2)*Disbursements!F1983,F1983*Pricing!$E$9))))</f>
        <v>0</v>
      </c>
      <c r="O1983" s="528">
        <f>IF(E1983="STL",0,IF($F1983&gt;0,$F1983*Pricing!$D$17,0))</f>
        <v>0</v>
      </c>
      <c r="P1983" s="530" t="str">
        <f t="shared" si="802"/>
        <v/>
      </c>
      <c r="Q1983" s="531" t="str">
        <f>IF($A1983="","",$G1983/VLOOKUP($I1983,Ref!$B$23:$D$29,2,0))</f>
        <v/>
      </c>
      <c r="R1983" s="530" t="str">
        <f t="shared" si="803"/>
        <v/>
      </c>
      <c r="S1983" s="532" t="str">
        <f t="shared" si="797"/>
        <v/>
      </c>
      <c r="T1983" s="531" t="str">
        <f t="shared" si="804"/>
        <v/>
      </c>
      <c r="U1983" s="533">
        <f t="shared" si="805"/>
        <v>0</v>
      </c>
      <c r="V1983" s="531" t="str">
        <f t="shared" si="806"/>
        <v/>
      </c>
      <c r="W1983" s="531" t="str">
        <f t="shared" si="807"/>
        <v/>
      </c>
      <c r="X1983" s="534" t="str">
        <f t="shared" si="808"/>
        <v/>
      </c>
      <c r="Y1983" s="535" t="str">
        <f>IF($A1983="","",IF($I1983="weekly",$A1983+7,EDATE($A1983,VLOOKUP($I1983,Ref!$B$24:$C$29,2,0))))</f>
        <v/>
      </c>
      <c r="Z1983" s="536" t="str">
        <f t="shared" si="809"/>
        <v/>
      </c>
      <c r="AA1983" s="531">
        <f t="shared" si="810"/>
        <v>0</v>
      </c>
      <c r="AB1983" s="535" t="str">
        <f t="shared" si="798"/>
        <v/>
      </c>
      <c r="AC1983" s="537" t="str">
        <f t="shared" si="799"/>
        <v/>
      </c>
      <c r="AD1983" s="538" t="str">
        <f t="shared" ca="1" si="800"/>
        <v/>
      </c>
      <c r="AE1983" s="537">
        <f t="shared" ca="1" si="801"/>
        <v>0</v>
      </c>
      <c r="AF1983" s="539" t="str">
        <f t="shared" ca="1" si="811"/>
        <v/>
      </c>
      <c r="AG1983" s="531" t="str">
        <f t="shared" ca="1" si="812"/>
        <v/>
      </c>
      <c r="AH1983" s="531" t="str">
        <f t="shared" ca="1" si="813"/>
        <v/>
      </c>
      <c r="AI1983" s="531" t="str">
        <f t="shared" ca="1" si="814"/>
        <v/>
      </c>
      <c r="AJ1983" s="531" t="str">
        <f t="shared" si="815"/>
        <v/>
      </c>
      <c r="AK1983" s="540">
        <f>SUMIFS('Live Collections'!$S:$S,'Live Collections'!$D:$D,Disbursements!B1983,'Live Collections'!$G:$G,Disbursements!C1983)</f>
        <v>0</v>
      </c>
      <c r="AL1983" s="540">
        <f>SUMIFS('Live Collections'!$T:$T,'Live Collections'!$D:$D,Disbursements!B1983,'Live Collections'!$G:$G,Disbursements!C1983)</f>
        <v>0</v>
      </c>
      <c r="AM1983" s="541">
        <f t="shared" si="816"/>
        <v>0</v>
      </c>
      <c r="AN1983" s="542" t="str">
        <f t="shared" si="817"/>
        <v/>
      </c>
      <c r="AO1983" s="542" t="str">
        <f t="shared" si="818"/>
        <v/>
      </c>
      <c r="AP1983" s="543" t="str">
        <f t="shared" si="819"/>
        <v/>
      </c>
      <c r="AQ1983" s="544" t="str">
        <f t="shared" si="820"/>
        <v/>
      </c>
      <c r="AR1983" s="545">
        <f t="shared" si="821"/>
        <v>0</v>
      </c>
      <c r="AS1983" s="545">
        <f>IFERROR(CEILING($AR1983*VLOOKUP($I1983,Ref!$B$23:$E$29,4,0),1),0)</f>
        <v>0</v>
      </c>
      <c r="AT1983" s="545" t="str">
        <f>IF(A1983="","",IF(AP1983&lt;=1,"Cleared",IF(AS1983=0,"Clean",VLOOKUP($AS1983,Ref!$G$23:$H$28,2))))</f>
        <v/>
      </c>
      <c r="AU1983" s="546" t="str">
        <f t="shared" si="822"/>
        <v/>
      </c>
    </row>
    <row r="1984" spans="1:47" ht="14.25" hidden="1" customHeight="1" x14ac:dyDescent="0.15">
      <c r="A1984" s="575"/>
      <c r="B1984" s="548"/>
      <c r="C1984" s="548"/>
      <c r="D1984" s="548"/>
      <c r="E1984" s="583"/>
      <c r="F1984" s="584"/>
      <c r="G1984" s="548"/>
      <c r="H1984" s="550"/>
      <c r="I1984" s="560"/>
      <c r="J1984" s="548"/>
      <c r="K1984" s="528" t="str">
        <f>IFERROR(VLOOKUP($B1984,'Clients-Live'!$A:$C,3,0),"")</f>
        <v/>
      </c>
      <c r="L1984" s="528">
        <f>IF(E1984="STL",Pricing!$D$38,IF(A1984="",0,IF(A1984&lt;Pricing!$C$25,Pricing!$D$25,VLOOKUP(Disbursements!$F1984,Pricing!$B$29:$D$32,3))))</f>
        <v>0</v>
      </c>
      <c r="M1984" s="528">
        <f>IF(E1984="STL",0,IF(F1984&gt;0,Pricing!$D$21,0))</f>
        <v>0</v>
      </c>
      <c r="N1984" s="529">
        <f>IF(E1984="STL",F1984*Pricing!$D$40,IF(A1984&lt;=Pricing!$C$4,0,IF(AND(A1984&gt;Pricing!$C$4,Disbursements!A1984&lt;=Pricing!$C$5),F1984*Pricing!$E$5,IF(AND(A1984&gt;Pricing!$C$5,Disbursements!A1984&lt;=Pricing!$C$7),VLOOKUP(F1984,Pricing!$D$7:$E$8,2)*Disbursements!F1984,F1984*Pricing!$E$9))))</f>
        <v>0</v>
      </c>
      <c r="O1984" s="528">
        <f>IF(E1984="STL",0,IF($F1984&gt;0,$F1984*Pricing!$D$17,0))</f>
        <v>0</v>
      </c>
      <c r="P1984" s="530" t="str">
        <f t="shared" si="802"/>
        <v/>
      </c>
      <c r="Q1984" s="531" t="str">
        <f>IF($A1984="","",$G1984/VLOOKUP($I1984,Ref!$B$23:$D$29,2,0))</f>
        <v/>
      </c>
      <c r="R1984" s="530" t="str">
        <f t="shared" si="803"/>
        <v/>
      </c>
      <c r="S1984" s="532" t="str">
        <f t="shared" si="797"/>
        <v/>
      </c>
      <c r="T1984" s="531" t="str">
        <f t="shared" si="804"/>
        <v/>
      </c>
      <c r="U1984" s="533">
        <f t="shared" si="805"/>
        <v>0</v>
      </c>
      <c r="V1984" s="531" t="str">
        <f t="shared" si="806"/>
        <v/>
      </c>
      <c r="W1984" s="531" t="str">
        <f t="shared" si="807"/>
        <v/>
      </c>
      <c r="X1984" s="534" t="str">
        <f t="shared" si="808"/>
        <v/>
      </c>
      <c r="Y1984" s="535" t="str">
        <f>IF($A1984="","",IF($I1984="weekly",$A1984+7,EDATE($A1984,VLOOKUP($I1984,Ref!$B$24:$C$29,2,0))))</f>
        <v/>
      </c>
      <c r="Z1984" s="536" t="str">
        <f t="shared" si="809"/>
        <v/>
      </c>
      <c r="AA1984" s="531">
        <f t="shared" si="810"/>
        <v>0</v>
      </c>
      <c r="AB1984" s="535" t="str">
        <f t="shared" si="798"/>
        <v/>
      </c>
      <c r="AC1984" s="537" t="str">
        <f t="shared" si="799"/>
        <v/>
      </c>
      <c r="AD1984" s="538" t="str">
        <f t="shared" ca="1" si="800"/>
        <v/>
      </c>
      <c r="AE1984" s="537">
        <f t="shared" ca="1" si="801"/>
        <v>0</v>
      </c>
      <c r="AF1984" s="539" t="str">
        <f t="shared" ca="1" si="811"/>
        <v/>
      </c>
      <c r="AG1984" s="531" t="str">
        <f t="shared" ca="1" si="812"/>
        <v/>
      </c>
      <c r="AH1984" s="531" t="str">
        <f t="shared" ca="1" si="813"/>
        <v/>
      </c>
      <c r="AI1984" s="531" t="str">
        <f t="shared" ca="1" si="814"/>
        <v/>
      </c>
      <c r="AJ1984" s="531" t="str">
        <f t="shared" si="815"/>
        <v/>
      </c>
      <c r="AK1984" s="540">
        <f>SUMIFS('Live Collections'!$S:$S,'Live Collections'!$D:$D,Disbursements!B1984,'Live Collections'!$G:$G,Disbursements!C1984)</f>
        <v>0</v>
      </c>
      <c r="AL1984" s="540">
        <f>SUMIFS('Live Collections'!$T:$T,'Live Collections'!$D:$D,Disbursements!B1984,'Live Collections'!$G:$G,Disbursements!C1984)</f>
        <v>0</v>
      </c>
      <c r="AM1984" s="541">
        <f t="shared" si="816"/>
        <v>0</v>
      </c>
      <c r="AN1984" s="542" t="str">
        <f t="shared" si="817"/>
        <v/>
      </c>
      <c r="AO1984" s="542" t="str">
        <f t="shared" si="818"/>
        <v/>
      </c>
      <c r="AP1984" s="543" t="str">
        <f t="shared" si="819"/>
        <v/>
      </c>
      <c r="AQ1984" s="544" t="str">
        <f t="shared" si="820"/>
        <v/>
      </c>
      <c r="AR1984" s="545">
        <f t="shared" si="821"/>
        <v>0</v>
      </c>
      <c r="AS1984" s="545">
        <f>IFERROR(CEILING($AR1984*VLOOKUP($I1984,Ref!$B$23:$E$29,4,0),1),0)</f>
        <v>0</v>
      </c>
      <c r="AT1984" s="545" t="str">
        <f>IF(A1984="","",IF(AP1984&lt;=1,"Cleared",IF(AS1984=0,"Clean",VLOOKUP($AS1984,Ref!$G$23:$H$28,2))))</f>
        <v/>
      </c>
      <c r="AU1984" s="546" t="str">
        <f t="shared" si="822"/>
        <v/>
      </c>
    </row>
    <row r="1985" spans="1:47" ht="14.25" hidden="1" customHeight="1" x14ac:dyDescent="0.15">
      <c r="A1985" s="575"/>
      <c r="B1985" s="548"/>
      <c r="C1985" s="548"/>
      <c r="D1985" s="548"/>
      <c r="E1985" s="583"/>
      <c r="F1985" s="584"/>
      <c r="G1985" s="548"/>
      <c r="H1985" s="550"/>
      <c r="I1985" s="560"/>
      <c r="J1985" s="548"/>
      <c r="K1985" s="528" t="str">
        <f>IFERROR(VLOOKUP($B1985,'Clients-Live'!$A:$C,3,0),"")</f>
        <v/>
      </c>
      <c r="L1985" s="528">
        <f>IF(E1985="STL",Pricing!$D$38,IF(A1985="",0,IF(A1985&lt;Pricing!$C$25,Pricing!$D$25,VLOOKUP(Disbursements!$F1985,Pricing!$B$29:$D$32,3))))</f>
        <v>0</v>
      </c>
      <c r="M1985" s="528">
        <f>IF(E1985="STL",0,IF(F1985&gt;0,Pricing!$D$21,0))</f>
        <v>0</v>
      </c>
      <c r="N1985" s="529">
        <f>IF(E1985="STL",F1985*Pricing!$D$40,IF(A1985&lt;=Pricing!$C$4,0,IF(AND(A1985&gt;Pricing!$C$4,Disbursements!A1985&lt;=Pricing!$C$5),F1985*Pricing!$E$5,IF(AND(A1985&gt;Pricing!$C$5,Disbursements!A1985&lt;=Pricing!$C$7),VLOOKUP(F1985,Pricing!$D$7:$E$8,2)*Disbursements!F1985,F1985*Pricing!$E$9))))</f>
        <v>0</v>
      </c>
      <c r="O1985" s="528">
        <f>IF(E1985="STL",0,IF($F1985&gt;0,$F1985*Pricing!$D$17,0))</f>
        <v>0</v>
      </c>
      <c r="P1985" s="530" t="str">
        <f t="shared" si="802"/>
        <v/>
      </c>
      <c r="Q1985" s="531" t="str">
        <f>IF($A1985="","",$G1985/VLOOKUP($I1985,Ref!$B$23:$D$29,2,0))</f>
        <v/>
      </c>
      <c r="R1985" s="530" t="str">
        <f t="shared" si="803"/>
        <v/>
      </c>
      <c r="S1985" s="532" t="str">
        <f t="shared" si="797"/>
        <v/>
      </c>
      <c r="T1985" s="531" t="str">
        <f t="shared" si="804"/>
        <v/>
      </c>
      <c r="U1985" s="533">
        <f t="shared" si="805"/>
        <v>0</v>
      </c>
      <c r="V1985" s="531" t="str">
        <f t="shared" si="806"/>
        <v/>
      </c>
      <c r="W1985" s="531" t="str">
        <f t="shared" si="807"/>
        <v/>
      </c>
      <c r="X1985" s="534" t="str">
        <f t="shared" si="808"/>
        <v/>
      </c>
      <c r="Y1985" s="535" t="str">
        <f>IF($A1985="","",IF($I1985="weekly",$A1985+7,EDATE($A1985,VLOOKUP($I1985,Ref!$B$24:$C$29,2,0))))</f>
        <v/>
      </c>
      <c r="Z1985" s="536" t="str">
        <f t="shared" si="809"/>
        <v/>
      </c>
      <c r="AA1985" s="531">
        <f t="shared" si="810"/>
        <v>0</v>
      </c>
      <c r="AB1985" s="535" t="str">
        <f t="shared" si="798"/>
        <v/>
      </c>
      <c r="AC1985" s="537" t="str">
        <f t="shared" si="799"/>
        <v/>
      </c>
      <c r="AD1985" s="538" t="str">
        <f t="shared" ca="1" si="800"/>
        <v/>
      </c>
      <c r="AE1985" s="537">
        <f t="shared" ca="1" si="801"/>
        <v>0</v>
      </c>
      <c r="AF1985" s="539" t="str">
        <f t="shared" ca="1" si="811"/>
        <v/>
      </c>
      <c r="AG1985" s="531" t="str">
        <f t="shared" ca="1" si="812"/>
        <v/>
      </c>
      <c r="AH1985" s="531" t="str">
        <f t="shared" ca="1" si="813"/>
        <v/>
      </c>
      <c r="AI1985" s="531" t="str">
        <f t="shared" ca="1" si="814"/>
        <v/>
      </c>
      <c r="AJ1985" s="531" t="str">
        <f t="shared" si="815"/>
        <v/>
      </c>
      <c r="AK1985" s="540">
        <f>SUMIFS('Live Collections'!$S:$S,'Live Collections'!$D:$D,Disbursements!B1985,'Live Collections'!$G:$G,Disbursements!C1985)</f>
        <v>0</v>
      </c>
      <c r="AL1985" s="540">
        <f>SUMIFS('Live Collections'!$T:$T,'Live Collections'!$D:$D,Disbursements!B1985,'Live Collections'!$G:$G,Disbursements!C1985)</f>
        <v>0</v>
      </c>
      <c r="AM1985" s="541">
        <f t="shared" si="816"/>
        <v>0</v>
      </c>
      <c r="AN1985" s="542" t="str">
        <f t="shared" si="817"/>
        <v/>
      </c>
      <c r="AO1985" s="542" t="str">
        <f t="shared" si="818"/>
        <v/>
      </c>
      <c r="AP1985" s="543" t="str">
        <f t="shared" si="819"/>
        <v/>
      </c>
      <c r="AQ1985" s="544" t="str">
        <f t="shared" si="820"/>
        <v/>
      </c>
      <c r="AR1985" s="545">
        <f t="shared" si="821"/>
        <v>0</v>
      </c>
      <c r="AS1985" s="545">
        <f>IFERROR(CEILING($AR1985*VLOOKUP($I1985,Ref!$B$23:$E$29,4,0),1),0)</f>
        <v>0</v>
      </c>
      <c r="AT1985" s="545" t="str">
        <f>IF(A1985="","",IF(AP1985&lt;=1,"Cleared",IF(AS1985=0,"Clean",VLOOKUP($AS1985,Ref!$G$23:$H$28,2))))</f>
        <v/>
      </c>
      <c r="AU1985" s="546" t="str">
        <f t="shared" si="822"/>
        <v/>
      </c>
    </row>
    <row r="1986" spans="1:47" ht="14.25" hidden="1" customHeight="1" x14ac:dyDescent="0.15">
      <c r="A1986" s="575"/>
      <c r="B1986" s="548"/>
      <c r="C1986" s="548"/>
      <c r="D1986" s="548"/>
      <c r="E1986" s="583"/>
      <c r="F1986" s="584"/>
      <c r="G1986" s="548"/>
      <c r="H1986" s="550"/>
      <c r="I1986" s="560"/>
      <c r="J1986" s="548"/>
      <c r="K1986" s="528" t="str">
        <f>IFERROR(VLOOKUP($B1986,'Clients-Live'!$A:$C,3,0),"")</f>
        <v/>
      </c>
      <c r="L1986" s="528">
        <f>IF(E1986="STL",Pricing!$D$38,IF(A1986="",0,IF(A1986&lt;Pricing!$C$25,Pricing!$D$25,VLOOKUP(Disbursements!$F1986,Pricing!$B$29:$D$32,3))))</f>
        <v>0</v>
      </c>
      <c r="M1986" s="528">
        <f>IF(E1986="STL",0,IF(F1986&gt;0,Pricing!$D$21,0))</f>
        <v>0</v>
      </c>
      <c r="N1986" s="529">
        <f>IF(E1986="STL",F1986*Pricing!$D$40,IF(A1986&lt;=Pricing!$C$4,0,IF(AND(A1986&gt;Pricing!$C$4,Disbursements!A1986&lt;=Pricing!$C$5),F1986*Pricing!$E$5,IF(AND(A1986&gt;Pricing!$C$5,Disbursements!A1986&lt;=Pricing!$C$7),VLOOKUP(F1986,Pricing!$D$7:$E$8,2)*Disbursements!F1986,F1986*Pricing!$E$9))))</f>
        <v>0</v>
      </c>
      <c r="O1986" s="528">
        <f>IF(E1986="STL",0,IF($F1986&gt;0,$F1986*Pricing!$D$17,0))</f>
        <v>0</v>
      </c>
      <c r="P1986" s="530" t="str">
        <f t="shared" si="802"/>
        <v/>
      </c>
      <c r="Q1986" s="531" t="str">
        <f>IF($A1986="","",$G1986/VLOOKUP($I1986,Ref!$B$23:$D$29,2,0))</f>
        <v/>
      </c>
      <c r="R1986" s="530" t="str">
        <f t="shared" si="803"/>
        <v/>
      </c>
      <c r="S1986" s="532" t="str">
        <f t="shared" si="797"/>
        <v/>
      </c>
      <c r="T1986" s="531" t="str">
        <f t="shared" si="804"/>
        <v/>
      </c>
      <c r="U1986" s="533">
        <f t="shared" si="805"/>
        <v>0</v>
      </c>
      <c r="V1986" s="531" t="str">
        <f t="shared" si="806"/>
        <v/>
      </c>
      <c r="W1986" s="531" t="str">
        <f t="shared" si="807"/>
        <v/>
      </c>
      <c r="X1986" s="534" t="str">
        <f t="shared" si="808"/>
        <v/>
      </c>
      <c r="Y1986" s="535" t="str">
        <f>IF($A1986="","",IF($I1986="weekly",$A1986+7,EDATE($A1986,VLOOKUP($I1986,Ref!$B$24:$C$29,2,0))))</f>
        <v/>
      </c>
      <c r="Z1986" s="536" t="str">
        <f t="shared" si="809"/>
        <v/>
      </c>
      <c r="AA1986" s="531">
        <f t="shared" si="810"/>
        <v>0</v>
      </c>
      <c r="AB1986" s="535" t="str">
        <f t="shared" si="798"/>
        <v/>
      </c>
      <c r="AC1986" s="537" t="str">
        <f t="shared" si="799"/>
        <v/>
      </c>
      <c r="AD1986" s="538" t="str">
        <f t="shared" ca="1" si="800"/>
        <v/>
      </c>
      <c r="AE1986" s="537">
        <f t="shared" ca="1" si="801"/>
        <v>0</v>
      </c>
      <c r="AF1986" s="539" t="str">
        <f t="shared" ca="1" si="811"/>
        <v/>
      </c>
      <c r="AG1986" s="531" t="str">
        <f t="shared" ca="1" si="812"/>
        <v/>
      </c>
      <c r="AH1986" s="531" t="str">
        <f t="shared" ca="1" si="813"/>
        <v/>
      </c>
      <c r="AI1986" s="531" t="str">
        <f t="shared" ca="1" si="814"/>
        <v/>
      </c>
      <c r="AJ1986" s="531" t="str">
        <f t="shared" si="815"/>
        <v/>
      </c>
      <c r="AK1986" s="540">
        <f>SUMIFS('Live Collections'!$S:$S,'Live Collections'!$D:$D,Disbursements!B1986,'Live Collections'!$G:$G,Disbursements!C1986)</f>
        <v>0</v>
      </c>
      <c r="AL1986" s="540">
        <f>SUMIFS('Live Collections'!$T:$T,'Live Collections'!$D:$D,Disbursements!B1986,'Live Collections'!$G:$G,Disbursements!C1986)</f>
        <v>0</v>
      </c>
      <c r="AM1986" s="541">
        <f t="shared" si="816"/>
        <v>0</v>
      </c>
      <c r="AN1986" s="542" t="str">
        <f t="shared" si="817"/>
        <v/>
      </c>
      <c r="AO1986" s="542" t="str">
        <f t="shared" si="818"/>
        <v/>
      </c>
      <c r="AP1986" s="543" t="str">
        <f t="shared" si="819"/>
        <v/>
      </c>
      <c r="AQ1986" s="544" t="str">
        <f t="shared" si="820"/>
        <v/>
      </c>
      <c r="AR1986" s="545">
        <f t="shared" si="821"/>
        <v>0</v>
      </c>
      <c r="AS1986" s="545">
        <f>IFERROR(CEILING($AR1986*VLOOKUP($I1986,Ref!$B$23:$E$29,4,0),1),0)</f>
        <v>0</v>
      </c>
      <c r="AT1986" s="545" t="str">
        <f>IF(A1986="","",IF(AP1986&lt;=1,"Cleared",IF(AS1986=0,"Clean",VLOOKUP($AS1986,Ref!$G$23:$H$28,2))))</f>
        <v/>
      </c>
      <c r="AU1986" s="546" t="str">
        <f t="shared" si="822"/>
        <v/>
      </c>
    </row>
    <row r="1987" spans="1:47" ht="14.25" hidden="1" customHeight="1" x14ac:dyDescent="0.15">
      <c r="A1987" s="575"/>
      <c r="B1987" s="548"/>
      <c r="C1987" s="548"/>
      <c r="D1987" s="548"/>
      <c r="E1987" s="583"/>
      <c r="F1987" s="584"/>
      <c r="G1987" s="548"/>
      <c r="H1987" s="550"/>
      <c r="I1987" s="560"/>
      <c r="J1987" s="548"/>
      <c r="K1987" s="528" t="str">
        <f>IFERROR(VLOOKUP($B1987,'Clients-Live'!$A:$C,3,0),"")</f>
        <v/>
      </c>
      <c r="L1987" s="528">
        <f>IF(E1987="STL",Pricing!$D$38,IF(A1987="",0,IF(A1987&lt;Pricing!$C$25,Pricing!$D$25,VLOOKUP(Disbursements!$F1987,Pricing!$B$29:$D$32,3))))</f>
        <v>0</v>
      </c>
      <c r="M1987" s="528">
        <f>IF(E1987="STL",0,IF(F1987&gt;0,Pricing!$D$21,0))</f>
        <v>0</v>
      </c>
      <c r="N1987" s="529">
        <f>IF(E1987="STL",F1987*Pricing!$D$40,IF(A1987&lt;=Pricing!$C$4,0,IF(AND(A1987&gt;Pricing!$C$4,Disbursements!A1987&lt;=Pricing!$C$5),F1987*Pricing!$E$5,IF(AND(A1987&gt;Pricing!$C$5,Disbursements!A1987&lt;=Pricing!$C$7),VLOOKUP(F1987,Pricing!$D$7:$E$8,2)*Disbursements!F1987,F1987*Pricing!$E$9))))</f>
        <v>0</v>
      </c>
      <c r="O1987" s="528">
        <f>IF(E1987="STL",0,IF($F1987&gt;0,$F1987*Pricing!$D$17,0))</f>
        <v>0</v>
      </c>
      <c r="P1987" s="530" t="str">
        <f t="shared" si="802"/>
        <v/>
      </c>
      <c r="Q1987" s="531" t="str">
        <f>IF($A1987="","",$G1987/VLOOKUP($I1987,Ref!$B$23:$D$29,2,0))</f>
        <v/>
      </c>
      <c r="R1987" s="530" t="str">
        <f t="shared" si="803"/>
        <v/>
      </c>
      <c r="S1987" s="532" t="str">
        <f t="shared" si="797"/>
        <v/>
      </c>
      <c r="T1987" s="531" t="str">
        <f t="shared" si="804"/>
        <v/>
      </c>
      <c r="U1987" s="533">
        <f t="shared" si="805"/>
        <v>0</v>
      </c>
      <c r="V1987" s="531" t="str">
        <f t="shared" si="806"/>
        <v/>
      </c>
      <c r="W1987" s="531" t="str">
        <f t="shared" si="807"/>
        <v/>
      </c>
      <c r="X1987" s="534" t="str">
        <f t="shared" si="808"/>
        <v/>
      </c>
      <c r="Y1987" s="535" t="str">
        <f>IF($A1987="","",IF($I1987="weekly",$A1987+7,EDATE($A1987,VLOOKUP($I1987,Ref!$B$24:$C$29,2,0))))</f>
        <v/>
      </c>
      <c r="Z1987" s="536" t="str">
        <f t="shared" si="809"/>
        <v/>
      </c>
      <c r="AA1987" s="531">
        <f t="shared" si="810"/>
        <v>0</v>
      </c>
      <c r="AB1987" s="535" t="str">
        <f t="shared" si="798"/>
        <v/>
      </c>
      <c r="AC1987" s="537" t="str">
        <f t="shared" si="799"/>
        <v/>
      </c>
      <c r="AD1987" s="538" t="str">
        <f t="shared" ca="1" si="800"/>
        <v/>
      </c>
      <c r="AE1987" s="537">
        <f t="shared" ca="1" si="801"/>
        <v>0</v>
      </c>
      <c r="AF1987" s="539" t="str">
        <f t="shared" ca="1" si="811"/>
        <v/>
      </c>
      <c r="AG1987" s="531" t="str">
        <f t="shared" ca="1" si="812"/>
        <v/>
      </c>
      <c r="AH1987" s="531" t="str">
        <f t="shared" ca="1" si="813"/>
        <v/>
      </c>
      <c r="AI1987" s="531" t="str">
        <f t="shared" ca="1" si="814"/>
        <v/>
      </c>
      <c r="AJ1987" s="531" t="str">
        <f t="shared" si="815"/>
        <v/>
      </c>
      <c r="AK1987" s="540">
        <f>SUMIFS('Live Collections'!$S:$S,'Live Collections'!$D:$D,Disbursements!B1987,'Live Collections'!$G:$G,Disbursements!C1987)</f>
        <v>0</v>
      </c>
      <c r="AL1987" s="540">
        <f>SUMIFS('Live Collections'!$T:$T,'Live Collections'!$D:$D,Disbursements!B1987,'Live Collections'!$G:$G,Disbursements!C1987)</f>
        <v>0</v>
      </c>
      <c r="AM1987" s="541">
        <f t="shared" si="816"/>
        <v>0</v>
      </c>
      <c r="AN1987" s="542" t="str">
        <f t="shared" si="817"/>
        <v/>
      </c>
      <c r="AO1987" s="542" t="str">
        <f t="shared" si="818"/>
        <v/>
      </c>
      <c r="AP1987" s="543" t="str">
        <f t="shared" si="819"/>
        <v/>
      </c>
      <c r="AQ1987" s="544" t="str">
        <f t="shared" si="820"/>
        <v/>
      </c>
      <c r="AR1987" s="545">
        <f t="shared" si="821"/>
        <v>0</v>
      </c>
      <c r="AS1987" s="545">
        <f>IFERROR(CEILING($AR1987*VLOOKUP($I1987,Ref!$B$23:$E$29,4,0),1),0)</f>
        <v>0</v>
      </c>
      <c r="AT1987" s="545" t="str">
        <f>IF(A1987="","",IF(AP1987&lt;=1,"Cleared",IF(AS1987=0,"Clean",VLOOKUP($AS1987,Ref!$G$23:$H$28,2))))</f>
        <v/>
      </c>
      <c r="AU1987" s="546" t="str">
        <f t="shared" si="822"/>
        <v/>
      </c>
    </row>
    <row r="1988" spans="1:47" ht="14.25" hidden="1" customHeight="1" x14ac:dyDescent="0.15">
      <c r="A1988" s="575"/>
      <c r="B1988" s="548"/>
      <c r="C1988" s="548"/>
      <c r="D1988" s="548"/>
      <c r="E1988" s="583"/>
      <c r="F1988" s="584"/>
      <c r="G1988" s="548"/>
      <c r="H1988" s="550"/>
      <c r="I1988" s="560"/>
      <c r="J1988" s="548"/>
      <c r="K1988" s="528" t="str">
        <f>IFERROR(VLOOKUP($B1988,'Clients-Live'!$A:$C,3,0),"")</f>
        <v/>
      </c>
      <c r="L1988" s="528">
        <f>IF(E1988="STL",Pricing!$D$38,IF(A1988="",0,IF(A1988&lt;Pricing!$C$25,Pricing!$D$25,VLOOKUP(Disbursements!$F1988,Pricing!$B$29:$D$32,3))))</f>
        <v>0</v>
      </c>
      <c r="M1988" s="528">
        <f>IF(E1988="STL",0,IF(F1988&gt;0,Pricing!$D$21,0))</f>
        <v>0</v>
      </c>
      <c r="N1988" s="529">
        <f>IF(E1988="STL",F1988*Pricing!$D$40,IF(A1988&lt;=Pricing!$C$4,0,IF(AND(A1988&gt;Pricing!$C$4,Disbursements!A1988&lt;=Pricing!$C$5),F1988*Pricing!$E$5,IF(AND(A1988&gt;Pricing!$C$5,Disbursements!A1988&lt;=Pricing!$C$7),VLOOKUP(F1988,Pricing!$D$7:$E$8,2)*Disbursements!F1988,F1988*Pricing!$E$9))))</f>
        <v>0</v>
      </c>
      <c r="O1988" s="528">
        <f>IF(E1988="STL",0,IF($F1988&gt;0,$F1988*Pricing!$D$17,0))</f>
        <v>0</v>
      </c>
      <c r="P1988" s="530" t="str">
        <f t="shared" si="802"/>
        <v/>
      </c>
      <c r="Q1988" s="531" t="str">
        <f>IF($A1988="","",$G1988/VLOOKUP($I1988,Ref!$B$23:$D$29,2,0))</f>
        <v/>
      </c>
      <c r="R1988" s="530" t="str">
        <f t="shared" si="803"/>
        <v/>
      </c>
      <c r="S1988" s="532" t="str">
        <f t="shared" ref="S1988:S1999" si="823">IF($A1988="","",$R1988/$Q1988)</f>
        <v/>
      </c>
      <c r="T1988" s="531" t="str">
        <f t="shared" si="804"/>
        <v/>
      </c>
      <c r="U1988" s="533">
        <f t="shared" si="805"/>
        <v>0</v>
      </c>
      <c r="V1988" s="531" t="str">
        <f t="shared" si="806"/>
        <v/>
      </c>
      <c r="W1988" s="531" t="str">
        <f t="shared" si="807"/>
        <v/>
      </c>
      <c r="X1988" s="534" t="str">
        <f t="shared" si="808"/>
        <v/>
      </c>
      <c r="Y1988" s="535" t="str">
        <f>IF($A1988="","",IF($I1988="weekly",$A1988+7,EDATE($A1988,VLOOKUP($I1988,Ref!$B$24:$C$29,2,0))))</f>
        <v/>
      </c>
      <c r="Z1988" s="536" t="str">
        <f t="shared" si="809"/>
        <v/>
      </c>
      <c r="AA1988" s="531">
        <f t="shared" si="810"/>
        <v>0</v>
      </c>
      <c r="AB1988" s="535" t="str">
        <f t="shared" ref="AB1988:AB1999" si="824">IF($A1988="","",EDATE($A1988,$G1988))</f>
        <v/>
      </c>
      <c r="AC1988" s="537" t="str">
        <f t="shared" ref="AC1988:AC1999" si="825">IFERROR($AB1988-$A1988,"")</f>
        <v/>
      </c>
      <c r="AD1988" s="538" t="str">
        <f t="shared" ref="AD1988:AD1999" ca="1" si="826">IFERROR(IF(TODAY()-$A1988&lt;$AB1988-$A1988,TODAY()-$A1988,"Expired"),"")</f>
        <v/>
      </c>
      <c r="AE1988" s="537">
        <f t="shared" ref="AE1988:AE1999" ca="1" si="827">IFERROR($AC1988-$AD1988,0)</f>
        <v>0</v>
      </c>
      <c r="AF1988" s="539" t="str">
        <f t="shared" ca="1" si="811"/>
        <v/>
      </c>
      <c r="AG1988" s="531" t="str">
        <f t="shared" ca="1" si="812"/>
        <v/>
      </c>
      <c r="AH1988" s="531" t="str">
        <f t="shared" ca="1" si="813"/>
        <v/>
      </c>
      <c r="AI1988" s="531" t="str">
        <f t="shared" ca="1" si="814"/>
        <v/>
      </c>
      <c r="AJ1988" s="531" t="str">
        <f t="shared" si="815"/>
        <v/>
      </c>
      <c r="AK1988" s="540">
        <f>SUMIFS('Live Collections'!$S:$S,'Live Collections'!$D:$D,Disbursements!B1988,'Live Collections'!$G:$G,Disbursements!C1988)</f>
        <v>0</v>
      </c>
      <c r="AL1988" s="540">
        <f>SUMIFS('Live Collections'!$T:$T,'Live Collections'!$D:$D,Disbursements!B1988,'Live Collections'!$G:$G,Disbursements!C1988)</f>
        <v>0</v>
      </c>
      <c r="AM1988" s="541">
        <f t="shared" si="816"/>
        <v>0</v>
      </c>
      <c r="AN1988" s="542" t="str">
        <f t="shared" si="817"/>
        <v/>
      </c>
      <c r="AO1988" s="542" t="str">
        <f t="shared" si="818"/>
        <v/>
      </c>
      <c r="AP1988" s="543" t="str">
        <f t="shared" si="819"/>
        <v/>
      </c>
      <c r="AQ1988" s="544" t="str">
        <f t="shared" si="820"/>
        <v/>
      </c>
      <c r="AR1988" s="545">
        <f t="shared" si="821"/>
        <v>0</v>
      </c>
      <c r="AS1988" s="545">
        <f>IFERROR(CEILING($AR1988*VLOOKUP($I1988,Ref!$B$23:$E$29,4,0),1),0)</f>
        <v>0</v>
      </c>
      <c r="AT1988" s="545" t="str">
        <f>IF(A1988="","",IF(AP1988&lt;=1,"Cleared",IF(AS1988=0,"Clean",VLOOKUP($AS1988,Ref!$G$23:$H$28,2))))</f>
        <v/>
      </c>
      <c r="AU1988" s="546" t="str">
        <f t="shared" si="822"/>
        <v/>
      </c>
    </row>
    <row r="1989" spans="1:47" ht="14.25" hidden="1" customHeight="1" x14ac:dyDescent="0.15">
      <c r="A1989" s="575"/>
      <c r="B1989" s="548"/>
      <c r="C1989" s="548"/>
      <c r="D1989" s="548"/>
      <c r="E1989" s="583"/>
      <c r="F1989" s="584"/>
      <c r="G1989" s="548"/>
      <c r="H1989" s="550"/>
      <c r="I1989" s="560"/>
      <c r="J1989" s="548"/>
      <c r="K1989" s="528" t="str">
        <f>IFERROR(VLOOKUP($B1989,'Clients-Live'!$A:$C,3,0),"")</f>
        <v/>
      </c>
      <c r="L1989" s="528">
        <f>IF(E1989="STL",Pricing!$D$38,IF(A1989="",0,IF(A1989&lt;Pricing!$C$25,Pricing!$D$25,VLOOKUP(Disbursements!$F1989,Pricing!$B$29:$D$32,3))))</f>
        <v>0</v>
      </c>
      <c r="M1989" s="528">
        <f>IF(E1989="STL",0,IF(F1989&gt;0,Pricing!$D$21,0))</f>
        <v>0</v>
      </c>
      <c r="N1989" s="529">
        <f>IF(E1989="STL",F1989*Pricing!$D$40,IF(A1989&lt;=Pricing!$C$4,0,IF(AND(A1989&gt;Pricing!$C$4,Disbursements!A1989&lt;=Pricing!$C$5),F1989*Pricing!$E$5,IF(AND(A1989&gt;Pricing!$C$5,Disbursements!A1989&lt;=Pricing!$C$7),VLOOKUP(F1989,Pricing!$D$7:$E$8,2)*Disbursements!F1989,F1989*Pricing!$E$9))))</f>
        <v>0</v>
      </c>
      <c r="O1989" s="528">
        <f>IF(E1989="STL",0,IF($F1989&gt;0,$F1989*Pricing!$D$17,0))</f>
        <v>0</v>
      </c>
      <c r="P1989" s="530" t="str">
        <f t="shared" ref="P1989:P1999" si="828">IF($A1989="","",$H1989*$F1989*$G1989)</f>
        <v/>
      </c>
      <c r="Q1989" s="531" t="str">
        <f>IF($A1989="","",$G1989/VLOOKUP($I1989,Ref!$B$23:$D$29,2,0))</f>
        <v/>
      </c>
      <c r="R1989" s="530" t="str">
        <f t="shared" ref="R1989:R1999" si="829">IF($A1989="","",$F1989+$P1989)</f>
        <v/>
      </c>
      <c r="S1989" s="532" t="str">
        <f t="shared" si="823"/>
        <v/>
      </c>
      <c r="T1989" s="531" t="str">
        <f t="shared" ref="T1989:T1999" si="830">IF(R1989="","",CEILING(S1989,1000))</f>
        <v/>
      </c>
      <c r="U1989" s="533">
        <f t="shared" ref="U1989:U1999" si="831">IFERROR(T1989*Q1989,0)</f>
        <v>0</v>
      </c>
      <c r="V1989" s="531" t="str">
        <f t="shared" ref="V1989:V1999" si="832">IF(T1989="","",F1989/Q1989)</f>
        <v/>
      </c>
      <c r="W1989" s="531" t="str">
        <f t="shared" ref="W1989:W1999" si="833">IF(T1989="","",T1989-V1989)</f>
        <v/>
      </c>
      <c r="X1989" s="534" t="str">
        <f t="shared" ref="X1989:X1999" si="834">IF(A1989="","",W1989*Q1989)</f>
        <v/>
      </c>
      <c r="Y1989" s="535" t="str">
        <f>IF($A1989="","",IF($I1989="weekly",$A1989+7,EDATE($A1989,VLOOKUP($I1989,Ref!$B$24:$C$29,2,0))))</f>
        <v/>
      </c>
      <c r="Z1989" s="536" t="str">
        <f t="shared" ref="Z1989:Z1999" si="835">IFERROR(CHOOSE(WEEKDAY(Y1989),"Sun","Mon","Tue","Wed","Thu","Frid","Sat"),"")</f>
        <v/>
      </c>
      <c r="AA1989" s="531">
        <f t="shared" ref="AA1989:AA1999" si="836">IFERROR(Y1989-A1989,0)</f>
        <v>0</v>
      </c>
      <c r="AB1989" s="535" t="str">
        <f t="shared" si="824"/>
        <v/>
      </c>
      <c r="AC1989" s="537" t="str">
        <f t="shared" si="825"/>
        <v/>
      </c>
      <c r="AD1989" s="538" t="str">
        <f t="shared" ca="1" si="826"/>
        <v/>
      </c>
      <c r="AE1989" s="537">
        <f t="shared" ca="1" si="827"/>
        <v>0</v>
      </c>
      <c r="AF1989" s="539" t="str">
        <f t="shared" ref="AF1989:AF1999" ca="1" si="837">IFERROR(IF(AD1989="Expired",Q1989,IF(AD1989&gt;AA1989,AD1989/AA1989,0)),"")</f>
        <v/>
      </c>
      <c r="AG1989" s="531" t="str">
        <f t="shared" ref="AG1989:AG1999" ca="1" si="838">IFERROR(AF1989*T1989,"")</f>
        <v/>
      </c>
      <c r="AH1989" s="531" t="str">
        <f t="shared" ref="AH1989:AH1999" ca="1" si="839">IFERROR(AF1989*W1989,"")</f>
        <v/>
      </c>
      <c r="AI1989" s="531" t="str">
        <f t="shared" ref="AI1989:AI1999" ca="1" si="840">IFERROR(AF1989*V1989,"")</f>
        <v/>
      </c>
      <c r="AJ1989" s="531" t="str">
        <f t="shared" ref="AJ1989:AJ1999" si="841">IF(F1989=0,"",U1989-AG1989)</f>
        <v/>
      </c>
      <c r="AK1989" s="540">
        <f>SUMIFS('Live Collections'!$S:$S,'Live Collections'!$D:$D,Disbursements!B1989,'Live Collections'!$G:$G,Disbursements!C1989)</f>
        <v>0</v>
      </c>
      <c r="AL1989" s="540">
        <f>SUMIFS('Live Collections'!$T:$T,'Live Collections'!$D:$D,Disbursements!B1989,'Live Collections'!$G:$G,Disbursements!C1989)</f>
        <v>0</v>
      </c>
      <c r="AM1989" s="541">
        <f t="shared" ref="AM1989:AM1999" si="842">SUM(AK1989:AL1989)</f>
        <v>0</v>
      </c>
      <c r="AN1989" s="542" t="str">
        <f t="shared" ref="AN1989:AN1999" si="843">IFERROR(W1989*Q1989-AK1989,"")</f>
        <v/>
      </c>
      <c r="AO1989" s="542" t="str">
        <f t="shared" ref="AO1989:AO1999" si="844">IF(F1989="","",(F1989-AL1989))</f>
        <v/>
      </c>
      <c r="AP1989" s="543" t="str">
        <f t="shared" ref="AP1989:AP1999" si="845">IF(F1989="","",SUM(AN1989:AO1989))</f>
        <v/>
      </c>
      <c r="AQ1989" s="544" t="str">
        <f t="shared" ref="AQ1989:AQ1999" si="846">IF(AP1989&gt;AJ1989,AP1989-AJ1989,"")</f>
        <v/>
      </c>
      <c r="AR1989" s="545">
        <f t="shared" ref="AR1989:AR1999" si="847">IFERROR(AQ1989/T1989,0)</f>
        <v>0</v>
      </c>
      <c r="AS1989" s="545">
        <f>IFERROR(CEILING($AR1989*VLOOKUP($I1989,Ref!$B$23:$E$29,4,0),1),0)</f>
        <v>0</v>
      </c>
      <c r="AT1989" s="545" t="str">
        <f>IF(A1989="","",IF(AP1989&lt;=1,"Cleared",IF(AS1989=0,"Clean",VLOOKUP($AS1989,Ref!$G$23:$H$28,2))))</f>
        <v/>
      </c>
      <c r="AU1989" s="546" t="str">
        <f t="shared" ref="AU1989:AU1999" si="848">IF(F1989="","",IF(OR(AN1989&lt;0,AO1989&lt;0,AP1989&lt;0),"Error on Entry","Ok"))</f>
        <v/>
      </c>
    </row>
    <row r="1990" spans="1:47" ht="14.25" hidden="1" customHeight="1" x14ac:dyDescent="0.15">
      <c r="A1990" s="575"/>
      <c r="B1990" s="548"/>
      <c r="C1990" s="548"/>
      <c r="D1990" s="548"/>
      <c r="E1990" s="583"/>
      <c r="F1990" s="584"/>
      <c r="G1990" s="548"/>
      <c r="H1990" s="550"/>
      <c r="I1990" s="560"/>
      <c r="J1990" s="548"/>
      <c r="K1990" s="528" t="str">
        <f>IFERROR(VLOOKUP($B1990,'Clients-Live'!$A:$C,3,0),"")</f>
        <v/>
      </c>
      <c r="L1990" s="528">
        <f>IF(E1990="STL",Pricing!$D$38,IF(A1990="",0,IF(A1990&lt;Pricing!$C$25,Pricing!$D$25,VLOOKUP(Disbursements!$F1990,Pricing!$B$29:$D$32,3))))</f>
        <v>0</v>
      </c>
      <c r="M1990" s="528">
        <f>IF(E1990="STL",0,IF(F1990&gt;0,Pricing!$D$21,0))</f>
        <v>0</v>
      </c>
      <c r="N1990" s="529">
        <f>IF(E1990="STL",F1990*Pricing!$D$40,IF(A1990&lt;=Pricing!$C$4,0,IF(AND(A1990&gt;Pricing!$C$4,Disbursements!A1990&lt;=Pricing!$C$5),F1990*Pricing!$E$5,IF(AND(A1990&gt;Pricing!$C$5,Disbursements!A1990&lt;=Pricing!$C$7),VLOOKUP(F1990,Pricing!$D$7:$E$8,2)*Disbursements!F1990,F1990*Pricing!$E$9))))</f>
        <v>0</v>
      </c>
      <c r="O1990" s="528">
        <f>IF(E1990="STL",0,IF($F1990&gt;0,$F1990*Pricing!$D$17,0))</f>
        <v>0</v>
      </c>
      <c r="P1990" s="530" t="str">
        <f t="shared" si="828"/>
        <v/>
      </c>
      <c r="Q1990" s="531" t="str">
        <f>IF($A1990="","",$G1990/VLOOKUP($I1990,Ref!$B$23:$D$29,2,0))</f>
        <v/>
      </c>
      <c r="R1990" s="530" t="str">
        <f t="shared" si="829"/>
        <v/>
      </c>
      <c r="S1990" s="532" t="str">
        <f t="shared" si="823"/>
        <v/>
      </c>
      <c r="T1990" s="531" t="str">
        <f t="shared" si="830"/>
        <v/>
      </c>
      <c r="U1990" s="533">
        <f t="shared" si="831"/>
        <v>0</v>
      </c>
      <c r="V1990" s="531" t="str">
        <f t="shared" si="832"/>
        <v/>
      </c>
      <c r="W1990" s="531" t="str">
        <f t="shared" si="833"/>
        <v/>
      </c>
      <c r="X1990" s="534" t="str">
        <f t="shared" si="834"/>
        <v/>
      </c>
      <c r="Y1990" s="535" t="str">
        <f>IF($A1990="","",IF($I1990="weekly",$A1990+7,EDATE($A1990,VLOOKUP($I1990,Ref!$B$24:$C$29,2,0))))</f>
        <v/>
      </c>
      <c r="Z1990" s="536" t="str">
        <f t="shared" si="835"/>
        <v/>
      </c>
      <c r="AA1990" s="531">
        <f t="shared" si="836"/>
        <v>0</v>
      </c>
      <c r="AB1990" s="535" t="str">
        <f t="shared" si="824"/>
        <v/>
      </c>
      <c r="AC1990" s="537" t="str">
        <f t="shared" si="825"/>
        <v/>
      </c>
      <c r="AD1990" s="538" t="str">
        <f t="shared" ca="1" si="826"/>
        <v/>
      </c>
      <c r="AE1990" s="537">
        <f t="shared" ca="1" si="827"/>
        <v>0</v>
      </c>
      <c r="AF1990" s="539" t="str">
        <f t="shared" ca="1" si="837"/>
        <v/>
      </c>
      <c r="AG1990" s="531" t="str">
        <f t="shared" ca="1" si="838"/>
        <v/>
      </c>
      <c r="AH1990" s="531" t="str">
        <f t="shared" ca="1" si="839"/>
        <v/>
      </c>
      <c r="AI1990" s="531" t="str">
        <f t="shared" ca="1" si="840"/>
        <v/>
      </c>
      <c r="AJ1990" s="531" t="str">
        <f t="shared" si="841"/>
        <v/>
      </c>
      <c r="AK1990" s="540">
        <f>SUMIFS('Live Collections'!$S:$S,'Live Collections'!$D:$D,Disbursements!B1990,'Live Collections'!$G:$G,Disbursements!C1990)</f>
        <v>0</v>
      </c>
      <c r="AL1990" s="540">
        <f>SUMIFS('Live Collections'!$T:$T,'Live Collections'!$D:$D,Disbursements!B1990,'Live Collections'!$G:$G,Disbursements!C1990)</f>
        <v>0</v>
      </c>
      <c r="AM1990" s="541">
        <f t="shared" si="842"/>
        <v>0</v>
      </c>
      <c r="AN1990" s="542" t="str">
        <f t="shared" si="843"/>
        <v/>
      </c>
      <c r="AO1990" s="542" t="str">
        <f t="shared" si="844"/>
        <v/>
      </c>
      <c r="AP1990" s="543" t="str">
        <f t="shared" si="845"/>
        <v/>
      </c>
      <c r="AQ1990" s="544" t="str">
        <f t="shared" si="846"/>
        <v/>
      </c>
      <c r="AR1990" s="545">
        <f t="shared" si="847"/>
        <v>0</v>
      </c>
      <c r="AS1990" s="545">
        <f>IFERROR(CEILING($AR1990*VLOOKUP($I1990,Ref!$B$23:$E$29,4,0),1),0)</f>
        <v>0</v>
      </c>
      <c r="AT1990" s="545" t="str">
        <f>IF(A1990="","",IF(AP1990&lt;=1,"Cleared",IF(AS1990=0,"Clean",VLOOKUP($AS1990,Ref!$G$23:$H$28,2))))</f>
        <v/>
      </c>
      <c r="AU1990" s="546" t="str">
        <f t="shared" si="848"/>
        <v/>
      </c>
    </row>
    <row r="1991" spans="1:47" ht="14.25" hidden="1" customHeight="1" x14ac:dyDescent="0.15">
      <c r="A1991" s="575"/>
      <c r="B1991" s="548"/>
      <c r="C1991" s="548"/>
      <c r="D1991" s="548"/>
      <c r="E1991" s="583"/>
      <c r="F1991" s="584"/>
      <c r="G1991" s="548"/>
      <c r="H1991" s="550"/>
      <c r="I1991" s="560"/>
      <c r="J1991" s="548"/>
      <c r="K1991" s="528" t="str">
        <f>IFERROR(VLOOKUP($B1991,'Clients-Live'!$A:$C,3,0),"")</f>
        <v/>
      </c>
      <c r="L1991" s="528">
        <f>IF(E1991="STL",Pricing!$D$38,IF(A1991="",0,IF(A1991&lt;Pricing!$C$25,Pricing!$D$25,VLOOKUP(Disbursements!$F1991,Pricing!$B$29:$D$32,3))))</f>
        <v>0</v>
      </c>
      <c r="M1991" s="528">
        <f>IF(E1991="STL",0,IF(F1991&gt;0,Pricing!$D$21,0))</f>
        <v>0</v>
      </c>
      <c r="N1991" s="529">
        <f>IF(E1991="STL",F1991*Pricing!$D$40,IF(A1991&lt;=Pricing!$C$4,0,IF(AND(A1991&gt;Pricing!$C$4,Disbursements!A1991&lt;=Pricing!$C$5),F1991*Pricing!$E$5,IF(AND(A1991&gt;Pricing!$C$5,Disbursements!A1991&lt;=Pricing!$C$7),VLOOKUP(F1991,Pricing!$D$7:$E$8,2)*Disbursements!F1991,F1991*Pricing!$E$9))))</f>
        <v>0</v>
      </c>
      <c r="O1991" s="528">
        <f>IF(E1991="STL",0,IF($F1991&gt;0,$F1991*Pricing!$D$17,0))</f>
        <v>0</v>
      </c>
      <c r="P1991" s="530" t="str">
        <f t="shared" si="828"/>
        <v/>
      </c>
      <c r="Q1991" s="531" t="str">
        <f>IF($A1991="","",$G1991/VLOOKUP($I1991,Ref!$B$23:$D$29,2,0))</f>
        <v/>
      </c>
      <c r="R1991" s="530" t="str">
        <f t="shared" si="829"/>
        <v/>
      </c>
      <c r="S1991" s="532" t="str">
        <f t="shared" si="823"/>
        <v/>
      </c>
      <c r="T1991" s="531" t="str">
        <f t="shared" si="830"/>
        <v/>
      </c>
      <c r="U1991" s="533">
        <f t="shared" si="831"/>
        <v>0</v>
      </c>
      <c r="V1991" s="531" t="str">
        <f t="shared" si="832"/>
        <v/>
      </c>
      <c r="W1991" s="531" t="str">
        <f t="shared" si="833"/>
        <v/>
      </c>
      <c r="X1991" s="534" t="str">
        <f t="shared" si="834"/>
        <v/>
      </c>
      <c r="Y1991" s="535" t="str">
        <f>IF($A1991="","",IF($I1991="weekly",$A1991+7,EDATE($A1991,VLOOKUP($I1991,Ref!$B$24:$C$29,2,0))))</f>
        <v/>
      </c>
      <c r="Z1991" s="536" t="str">
        <f t="shared" si="835"/>
        <v/>
      </c>
      <c r="AA1991" s="531">
        <f t="shared" si="836"/>
        <v>0</v>
      </c>
      <c r="AB1991" s="535" t="str">
        <f t="shared" si="824"/>
        <v/>
      </c>
      <c r="AC1991" s="537" t="str">
        <f t="shared" si="825"/>
        <v/>
      </c>
      <c r="AD1991" s="538" t="str">
        <f t="shared" ca="1" si="826"/>
        <v/>
      </c>
      <c r="AE1991" s="537">
        <f t="shared" ca="1" si="827"/>
        <v>0</v>
      </c>
      <c r="AF1991" s="539" t="str">
        <f t="shared" ca="1" si="837"/>
        <v/>
      </c>
      <c r="AG1991" s="531" t="str">
        <f t="shared" ca="1" si="838"/>
        <v/>
      </c>
      <c r="AH1991" s="531" t="str">
        <f t="shared" ca="1" si="839"/>
        <v/>
      </c>
      <c r="AI1991" s="531" t="str">
        <f t="shared" ca="1" si="840"/>
        <v/>
      </c>
      <c r="AJ1991" s="531" t="str">
        <f t="shared" si="841"/>
        <v/>
      </c>
      <c r="AK1991" s="540">
        <f>SUMIFS('Live Collections'!$S:$S,'Live Collections'!$D:$D,Disbursements!B1991,'Live Collections'!$G:$G,Disbursements!C1991)</f>
        <v>0</v>
      </c>
      <c r="AL1991" s="540">
        <f>SUMIFS('Live Collections'!$T:$T,'Live Collections'!$D:$D,Disbursements!B1991,'Live Collections'!$G:$G,Disbursements!C1991)</f>
        <v>0</v>
      </c>
      <c r="AM1991" s="541">
        <f t="shared" si="842"/>
        <v>0</v>
      </c>
      <c r="AN1991" s="542" t="str">
        <f t="shared" si="843"/>
        <v/>
      </c>
      <c r="AO1991" s="542" t="str">
        <f t="shared" si="844"/>
        <v/>
      </c>
      <c r="AP1991" s="543" t="str">
        <f t="shared" si="845"/>
        <v/>
      </c>
      <c r="AQ1991" s="544" t="str">
        <f t="shared" si="846"/>
        <v/>
      </c>
      <c r="AR1991" s="545">
        <f t="shared" si="847"/>
        <v>0</v>
      </c>
      <c r="AS1991" s="545">
        <f>IFERROR(CEILING($AR1991*VLOOKUP($I1991,Ref!$B$23:$E$29,4,0),1),0)</f>
        <v>0</v>
      </c>
      <c r="AT1991" s="545" t="str">
        <f>IF(A1991="","",IF(AP1991&lt;=1,"Cleared",IF(AS1991=0,"Clean",VLOOKUP($AS1991,Ref!$G$23:$H$28,2))))</f>
        <v/>
      </c>
      <c r="AU1991" s="546" t="str">
        <f t="shared" si="848"/>
        <v/>
      </c>
    </row>
    <row r="1992" spans="1:47" ht="14.25" hidden="1" customHeight="1" x14ac:dyDescent="0.15">
      <c r="A1992" s="575"/>
      <c r="B1992" s="548"/>
      <c r="C1992" s="548"/>
      <c r="D1992" s="548"/>
      <c r="E1992" s="583"/>
      <c r="F1992" s="584"/>
      <c r="G1992" s="548"/>
      <c r="H1992" s="550"/>
      <c r="I1992" s="560"/>
      <c r="J1992" s="548"/>
      <c r="K1992" s="528" t="str">
        <f>IFERROR(VLOOKUP($B1992,'Clients-Live'!$A:$C,3,0),"")</f>
        <v/>
      </c>
      <c r="L1992" s="528">
        <f>IF(E1992="STL",Pricing!$D$38,IF(A1992="",0,IF(A1992&lt;Pricing!$C$25,Pricing!$D$25,VLOOKUP(Disbursements!$F1992,Pricing!$B$29:$D$32,3))))</f>
        <v>0</v>
      </c>
      <c r="M1992" s="528">
        <f>IF(E1992="STL",0,IF(F1992&gt;0,Pricing!$D$21,0))</f>
        <v>0</v>
      </c>
      <c r="N1992" s="529">
        <f>IF(E1992="STL",F1992*Pricing!$D$40,IF(A1992&lt;=Pricing!$C$4,0,IF(AND(A1992&gt;Pricing!$C$4,Disbursements!A1992&lt;=Pricing!$C$5),F1992*Pricing!$E$5,IF(AND(A1992&gt;Pricing!$C$5,Disbursements!A1992&lt;=Pricing!$C$7),VLOOKUP(F1992,Pricing!$D$7:$E$8,2)*Disbursements!F1992,F1992*Pricing!$E$9))))</f>
        <v>0</v>
      </c>
      <c r="O1992" s="528">
        <f>IF(E1992="STL",0,IF($F1992&gt;0,$F1992*Pricing!$D$17,0))</f>
        <v>0</v>
      </c>
      <c r="P1992" s="530" t="str">
        <f t="shared" si="828"/>
        <v/>
      </c>
      <c r="Q1992" s="531" t="str">
        <f>IF($A1992="","",$G1992/VLOOKUP($I1992,Ref!$B$23:$D$29,2,0))</f>
        <v/>
      </c>
      <c r="R1992" s="530" t="str">
        <f t="shared" si="829"/>
        <v/>
      </c>
      <c r="S1992" s="532" t="str">
        <f t="shared" si="823"/>
        <v/>
      </c>
      <c r="T1992" s="531" t="str">
        <f t="shared" si="830"/>
        <v/>
      </c>
      <c r="U1992" s="533">
        <f t="shared" si="831"/>
        <v>0</v>
      </c>
      <c r="V1992" s="531" t="str">
        <f t="shared" si="832"/>
        <v/>
      </c>
      <c r="W1992" s="531" t="str">
        <f t="shared" si="833"/>
        <v/>
      </c>
      <c r="X1992" s="534" t="str">
        <f t="shared" si="834"/>
        <v/>
      </c>
      <c r="Y1992" s="535" t="str">
        <f>IF($A1992="","",IF($I1992="weekly",$A1992+7,EDATE($A1992,VLOOKUP($I1992,Ref!$B$24:$C$29,2,0))))</f>
        <v/>
      </c>
      <c r="Z1992" s="536" t="str">
        <f t="shared" si="835"/>
        <v/>
      </c>
      <c r="AA1992" s="531">
        <f t="shared" si="836"/>
        <v>0</v>
      </c>
      <c r="AB1992" s="535" t="str">
        <f t="shared" si="824"/>
        <v/>
      </c>
      <c r="AC1992" s="537" t="str">
        <f t="shared" si="825"/>
        <v/>
      </c>
      <c r="AD1992" s="538" t="str">
        <f t="shared" ca="1" si="826"/>
        <v/>
      </c>
      <c r="AE1992" s="537">
        <f t="shared" ca="1" si="827"/>
        <v>0</v>
      </c>
      <c r="AF1992" s="539" t="str">
        <f t="shared" ca="1" si="837"/>
        <v/>
      </c>
      <c r="AG1992" s="531" t="str">
        <f t="shared" ca="1" si="838"/>
        <v/>
      </c>
      <c r="AH1992" s="531" t="str">
        <f t="shared" ca="1" si="839"/>
        <v/>
      </c>
      <c r="AI1992" s="531" t="str">
        <f t="shared" ca="1" si="840"/>
        <v/>
      </c>
      <c r="AJ1992" s="531" t="str">
        <f t="shared" si="841"/>
        <v/>
      </c>
      <c r="AK1992" s="540">
        <f>SUMIFS('Live Collections'!$S:$S,'Live Collections'!$D:$D,Disbursements!B1992,'Live Collections'!$G:$G,Disbursements!C1992)</f>
        <v>0</v>
      </c>
      <c r="AL1992" s="540">
        <f>SUMIFS('Live Collections'!$T:$T,'Live Collections'!$D:$D,Disbursements!B1992,'Live Collections'!$G:$G,Disbursements!C1992)</f>
        <v>0</v>
      </c>
      <c r="AM1992" s="541">
        <f t="shared" si="842"/>
        <v>0</v>
      </c>
      <c r="AN1992" s="542" t="str">
        <f t="shared" si="843"/>
        <v/>
      </c>
      <c r="AO1992" s="542" t="str">
        <f t="shared" si="844"/>
        <v/>
      </c>
      <c r="AP1992" s="543" t="str">
        <f t="shared" si="845"/>
        <v/>
      </c>
      <c r="AQ1992" s="544" t="str">
        <f t="shared" si="846"/>
        <v/>
      </c>
      <c r="AR1992" s="545">
        <f t="shared" si="847"/>
        <v>0</v>
      </c>
      <c r="AS1992" s="545">
        <f>IFERROR(CEILING($AR1992*VLOOKUP($I1992,Ref!$B$23:$E$29,4,0),1),0)</f>
        <v>0</v>
      </c>
      <c r="AT1992" s="545" t="str">
        <f>IF(A1992="","",IF(AP1992&lt;=1,"Cleared",IF(AS1992=0,"Clean",VLOOKUP($AS1992,Ref!$G$23:$H$28,2))))</f>
        <v/>
      </c>
      <c r="AU1992" s="546" t="str">
        <f t="shared" si="848"/>
        <v/>
      </c>
    </row>
    <row r="1993" spans="1:47" ht="14.25" hidden="1" customHeight="1" x14ac:dyDescent="0.15">
      <c r="A1993" s="575"/>
      <c r="B1993" s="548"/>
      <c r="C1993" s="548"/>
      <c r="D1993" s="548"/>
      <c r="E1993" s="583"/>
      <c r="F1993" s="584"/>
      <c r="G1993" s="548"/>
      <c r="H1993" s="550"/>
      <c r="I1993" s="560"/>
      <c r="J1993" s="548"/>
      <c r="K1993" s="528" t="str">
        <f>IFERROR(VLOOKUP($B1993,'Clients-Live'!$A:$C,3,0),"")</f>
        <v/>
      </c>
      <c r="L1993" s="528">
        <f>IF(E1993="STL",Pricing!$D$38,IF(A1993="",0,IF(A1993&lt;Pricing!$C$25,Pricing!$D$25,VLOOKUP(Disbursements!$F1993,Pricing!$B$29:$D$32,3))))</f>
        <v>0</v>
      </c>
      <c r="M1993" s="528">
        <f>IF(E1993="STL",0,IF(F1993&gt;0,Pricing!$D$21,0))</f>
        <v>0</v>
      </c>
      <c r="N1993" s="529">
        <f>IF(E1993="STL",F1993*Pricing!$D$40,IF(A1993&lt;=Pricing!$C$4,0,IF(AND(A1993&gt;Pricing!$C$4,Disbursements!A1993&lt;=Pricing!$C$5),F1993*Pricing!$E$5,IF(AND(A1993&gt;Pricing!$C$5,Disbursements!A1993&lt;=Pricing!$C$7),VLOOKUP(F1993,Pricing!$D$7:$E$8,2)*Disbursements!F1993,F1993*Pricing!$E$9))))</f>
        <v>0</v>
      </c>
      <c r="O1993" s="528">
        <f>IF(E1993="STL",0,IF($F1993&gt;0,$F1993*Pricing!$D$17,0))</f>
        <v>0</v>
      </c>
      <c r="P1993" s="530" t="str">
        <f t="shared" si="828"/>
        <v/>
      </c>
      <c r="Q1993" s="531" t="str">
        <f>IF($A1993="","",$G1993/VLOOKUP($I1993,Ref!$B$23:$D$29,2,0))</f>
        <v/>
      </c>
      <c r="R1993" s="530" t="str">
        <f t="shared" si="829"/>
        <v/>
      </c>
      <c r="S1993" s="532" t="str">
        <f t="shared" si="823"/>
        <v/>
      </c>
      <c r="T1993" s="531" t="str">
        <f t="shared" si="830"/>
        <v/>
      </c>
      <c r="U1993" s="533">
        <f t="shared" si="831"/>
        <v>0</v>
      </c>
      <c r="V1993" s="531" t="str">
        <f t="shared" si="832"/>
        <v/>
      </c>
      <c r="W1993" s="531" t="str">
        <f t="shared" si="833"/>
        <v/>
      </c>
      <c r="X1993" s="534" t="str">
        <f t="shared" si="834"/>
        <v/>
      </c>
      <c r="Y1993" s="535" t="str">
        <f>IF($A1993="","",IF($I1993="weekly",$A1993+7,EDATE($A1993,VLOOKUP($I1993,Ref!$B$24:$C$29,2,0))))</f>
        <v/>
      </c>
      <c r="Z1993" s="536" t="str">
        <f t="shared" si="835"/>
        <v/>
      </c>
      <c r="AA1993" s="531">
        <f t="shared" si="836"/>
        <v>0</v>
      </c>
      <c r="AB1993" s="535" t="str">
        <f t="shared" si="824"/>
        <v/>
      </c>
      <c r="AC1993" s="537" t="str">
        <f t="shared" si="825"/>
        <v/>
      </c>
      <c r="AD1993" s="538" t="str">
        <f t="shared" ca="1" si="826"/>
        <v/>
      </c>
      <c r="AE1993" s="537">
        <f t="shared" ca="1" si="827"/>
        <v>0</v>
      </c>
      <c r="AF1993" s="539" t="str">
        <f t="shared" ca="1" si="837"/>
        <v/>
      </c>
      <c r="AG1993" s="531" t="str">
        <f t="shared" ca="1" si="838"/>
        <v/>
      </c>
      <c r="AH1993" s="531" t="str">
        <f t="shared" ca="1" si="839"/>
        <v/>
      </c>
      <c r="AI1993" s="531" t="str">
        <f t="shared" ca="1" si="840"/>
        <v/>
      </c>
      <c r="AJ1993" s="531" t="str">
        <f t="shared" si="841"/>
        <v/>
      </c>
      <c r="AK1993" s="540">
        <f>SUMIFS('Live Collections'!$S:$S,'Live Collections'!$D:$D,Disbursements!B1993,'Live Collections'!$G:$G,Disbursements!C1993)</f>
        <v>0</v>
      </c>
      <c r="AL1993" s="540">
        <f>SUMIFS('Live Collections'!$T:$T,'Live Collections'!$D:$D,Disbursements!B1993,'Live Collections'!$G:$G,Disbursements!C1993)</f>
        <v>0</v>
      </c>
      <c r="AM1993" s="541">
        <f t="shared" si="842"/>
        <v>0</v>
      </c>
      <c r="AN1993" s="542" t="str">
        <f t="shared" si="843"/>
        <v/>
      </c>
      <c r="AO1993" s="542" t="str">
        <f t="shared" si="844"/>
        <v/>
      </c>
      <c r="AP1993" s="543" t="str">
        <f t="shared" si="845"/>
        <v/>
      </c>
      <c r="AQ1993" s="544" t="str">
        <f t="shared" si="846"/>
        <v/>
      </c>
      <c r="AR1993" s="545">
        <f t="shared" si="847"/>
        <v>0</v>
      </c>
      <c r="AS1993" s="545">
        <f>IFERROR(CEILING($AR1993*VLOOKUP($I1993,Ref!$B$23:$E$29,4,0),1),0)</f>
        <v>0</v>
      </c>
      <c r="AT1993" s="545" t="str">
        <f>IF(A1993="","",IF(AP1993&lt;=1,"Cleared",IF(AS1993=0,"Clean",VLOOKUP($AS1993,Ref!$G$23:$H$28,2))))</f>
        <v/>
      </c>
      <c r="AU1993" s="546" t="str">
        <f t="shared" si="848"/>
        <v/>
      </c>
    </row>
    <row r="1994" spans="1:47" ht="14.25" hidden="1" customHeight="1" x14ac:dyDescent="0.15">
      <c r="A1994" s="575"/>
      <c r="B1994" s="548"/>
      <c r="C1994" s="548"/>
      <c r="D1994" s="548"/>
      <c r="E1994" s="583"/>
      <c r="F1994" s="584"/>
      <c r="G1994" s="548"/>
      <c r="H1994" s="550"/>
      <c r="I1994" s="560"/>
      <c r="J1994" s="548"/>
      <c r="K1994" s="528" t="str">
        <f>IFERROR(VLOOKUP($B1994,'Clients-Live'!$A:$C,3,0),"")</f>
        <v/>
      </c>
      <c r="L1994" s="528">
        <f>IF(E1994="STL",Pricing!$D$38,IF(A1994="",0,IF(A1994&lt;Pricing!$C$25,Pricing!$D$25,VLOOKUP(Disbursements!$F1994,Pricing!$B$29:$D$32,3))))</f>
        <v>0</v>
      </c>
      <c r="M1994" s="528">
        <f>IF(E1994="STL",0,IF(F1994&gt;0,Pricing!$D$21,0))</f>
        <v>0</v>
      </c>
      <c r="N1994" s="529">
        <f>IF(E1994="STL",F1994*Pricing!$D$40,IF(A1994&lt;=Pricing!$C$4,0,IF(AND(A1994&gt;Pricing!$C$4,Disbursements!A1994&lt;=Pricing!$C$5),F1994*Pricing!$E$5,IF(AND(A1994&gt;Pricing!$C$5,Disbursements!A1994&lt;=Pricing!$C$7),VLOOKUP(F1994,Pricing!$D$7:$E$8,2)*Disbursements!F1994,F1994*Pricing!$E$9))))</f>
        <v>0</v>
      </c>
      <c r="O1994" s="528">
        <f>IF(E1994="STL",0,IF($F1994&gt;0,$F1994*Pricing!$D$17,0))</f>
        <v>0</v>
      </c>
      <c r="P1994" s="530" t="str">
        <f t="shared" si="828"/>
        <v/>
      </c>
      <c r="Q1994" s="531" t="str">
        <f>IF($A1994="","",$G1994/VLOOKUP($I1994,Ref!$B$23:$D$29,2,0))</f>
        <v/>
      </c>
      <c r="R1994" s="530" t="str">
        <f t="shared" si="829"/>
        <v/>
      </c>
      <c r="S1994" s="532" t="str">
        <f t="shared" si="823"/>
        <v/>
      </c>
      <c r="T1994" s="531" t="str">
        <f t="shared" si="830"/>
        <v/>
      </c>
      <c r="U1994" s="533">
        <f t="shared" si="831"/>
        <v>0</v>
      </c>
      <c r="V1994" s="531" t="str">
        <f t="shared" si="832"/>
        <v/>
      </c>
      <c r="W1994" s="531" t="str">
        <f t="shared" si="833"/>
        <v/>
      </c>
      <c r="X1994" s="534" t="str">
        <f t="shared" si="834"/>
        <v/>
      </c>
      <c r="Y1994" s="535" t="str">
        <f>IF($A1994="","",IF($I1994="weekly",$A1994+7,EDATE($A1994,VLOOKUP($I1994,Ref!$B$24:$C$29,2,0))))</f>
        <v/>
      </c>
      <c r="Z1994" s="536" t="str">
        <f t="shared" si="835"/>
        <v/>
      </c>
      <c r="AA1994" s="531">
        <f t="shared" si="836"/>
        <v>0</v>
      </c>
      <c r="AB1994" s="535" t="str">
        <f t="shared" si="824"/>
        <v/>
      </c>
      <c r="AC1994" s="537" t="str">
        <f t="shared" si="825"/>
        <v/>
      </c>
      <c r="AD1994" s="538" t="str">
        <f t="shared" ca="1" si="826"/>
        <v/>
      </c>
      <c r="AE1994" s="537">
        <f t="shared" ca="1" si="827"/>
        <v>0</v>
      </c>
      <c r="AF1994" s="539" t="str">
        <f t="shared" ca="1" si="837"/>
        <v/>
      </c>
      <c r="AG1994" s="531" t="str">
        <f t="shared" ca="1" si="838"/>
        <v/>
      </c>
      <c r="AH1994" s="531" t="str">
        <f t="shared" ca="1" si="839"/>
        <v/>
      </c>
      <c r="AI1994" s="531" t="str">
        <f t="shared" ca="1" si="840"/>
        <v/>
      </c>
      <c r="AJ1994" s="531" t="str">
        <f t="shared" si="841"/>
        <v/>
      </c>
      <c r="AK1994" s="540">
        <f>SUMIFS('Live Collections'!$S:$S,'Live Collections'!$D:$D,Disbursements!B1994,'Live Collections'!$G:$G,Disbursements!C1994)</f>
        <v>0</v>
      </c>
      <c r="AL1994" s="540">
        <f>SUMIFS('Live Collections'!$T:$T,'Live Collections'!$D:$D,Disbursements!B1994,'Live Collections'!$G:$G,Disbursements!C1994)</f>
        <v>0</v>
      </c>
      <c r="AM1994" s="541">
        <f t="shared" si="842"/>
        <v>0</v>
      </c>
      <c r="AN1994" s="542" t="str">
        <f t="shared" si="843"/>
        <v/>
      </c>
      <c r="AO1994" s="542" t="str">
        <f t="shared" si="844"/>
        <v/>
      </c>
      <c r="AP1994" s="543" t="str">
        <f t="shared" si="845"/>
        <v/>
      </c>
      <c r="AQ1994" s="544" t="str">
        <f t="shared" si="846"/>
        <v/>
      </c>
      <c r="AR1994" s="545">
        <f t="shared" si="847"/>
        <v>0</v>
      </c>
      <c r="AS1994" s="545">
        <f>IFERROR(CEILING($AR1994*VLOOKUP($I1994,Ref!$B$23:$E$29,4,0),1),0)</f>
        <v>0</v>
      </c>
      <c r="AT1994" s="545" t="str">
        <f>IF(A1994="","",IF(AP1994&lt;=1,"Cleared",IF(AS1994=0,"Clean",VLOOKUP($AS1994,Ref!$G$23:$H$28,2))))</f>
        <v/>
      </c>
      <c r="AU1994" s="546" t="str">
        <f t="shared" si="848"/>
        <v/>
      </c>
    </row>
    <row r="1995" spans="1:47" ht="14.25" hidden="1" customHeight="1" x14ac:dyDescent="0.15">
      <c r="A1995" s="575"/>
      <c r="B1995" s="548"/>
      <c r="C1995" s="548"/>
      <c r="D1995" s="548"/>
      <c r="E1995" s="583"/>
      <c r="F1995" s="584"/>
      <c r="G1995" s="548"/>
      <c r="H1995" s="550"/>
      <c r="I1995" s="560"/>
      <c r="J1995" s="548"/>
      <c r="K1995" s="528" t="str">
        <f>IFERROR(VLOOKUP($B1995,'Clients-Live'!$A:$C,3,0),"")</f>
        <v/>
      </c>
      <c r="L1995" s="528">
        <f>IF(E1995="STL",Pricing!$D$38,IF(A1995="",0,IF(A1995&lt;Pricing!$C$25,Pricing!$D$25,VLOOKUP(Disbursements!$F1995,Pricing!$B$29:$D$32,3))))</f>
        <v>0</v>
      </c>
      <c r="M1995" s="528">
        <f>IF(E1995="STL",0,IF(F1995&gt;0,Pricing!$D$21,0))</f>
        <v>0</v>
      </c>
      <c r="N1995" s="529">
        <f>IF(E1995="STL",F1995*Pricing!$D$40,IF(A1995&lt;=Pricing!$C$4,0,IF(AND(A1995&gt;Pricing!$C$4,Disbursements!A1995&lt;=Pricing!$C$5),F1995*Pricing!$E$5,IF(AND(A1995&gt;Pricing!$C$5,Disbursements!A1995&lt;=Pricing!$C$7),VLOOKUP(F1995,Pricing!$D$7:$E$8,2)*Disbursements!F1995,F1995*Pricing!$E$9))))</f>
        <v>0</v>
      </c>
      <c r="O1995" s="528">
        <f>IF(E1995="STL",0,IF($F1995&gt;0,$F1995*Pricing!$D$17,0))</f>
        <v>0</v>
      </c>
      <c r="P1995" s="530" t="str">
        <f t="shared" si="828"/>
        <v/>
      </c>
      <c r="Q1995" s="531" t="str">
        <f>IF($A1995="","",$G1995/VLOOKUP($I1995,Ref!$B$23:$D$29,2,0))</f>
        <v/>
      </c>
      <c r="R1995" s="530" t="str">
        <f t="shared" si="829"/>
        <v/>
      </c>
      <c r="S1995" s="532" t="str">
        <f t="shared" si="823"/>
        <v/>
      </c>
      <c r="T1995" s="531" t="str">
        <f t="shared" si="830"/>
        <v/>
      </c>
      <c r="U1995" s="533">
        <f t="shared" si="831"/>
        <v>0</v>
      </c>
      <c r="V1995" s="531" t="str">
        <f t="shared" si="832"/>
        <v/>
      </c>
      <c r="W1995" s="531" t="str">
        <f t="shared" si="833"/>
        <v/>
      </c>
      <c r="X1995" s="534" t="str">
        <f t="shared" si="834"/>
        <v/>
      </c>
      <c r="Y1995" s="535" t="str">
        <f>IF($A1995="","",IF($I1995="weekly",$A1995+7,EDATE($A1995,VLOOKUP($I1995,Ref!$B$24:$C$29,2,0))))</f>
        <v/>
      </c>
      <c r="Z1995" s="536" t="str">
        <f t="shared" si="835"/>
        <v/>
      </c>
      <c r="AA1995" s="531">
        <f t="shared" si="836"/>
        <v>0</v>
      </c>
      <c r="AB1995" s="535" t="str">
        <f t="shared" si="824"/>
        <v/>
      </c>
      <c r="AC1995" s="537" t="str">
        <f t="shared" si="825"/>
        <v/>
      </c>
      <c r="AD1995" s="538" t="str">
        <f t="shared" ca="1" si="826"/>
        <v/>
      </c>
      <c r="AE1995" s="537">
        <f t="shared" ca="1" si="827"/>
        <v>0</v>
      </c>
      <c r="AF1995" s="539" t="str">
        <f t="shared" ca="1" si="837"/>
        <v/>
      </c>
      <c r="AG1995" s="531" t="str">
        <f t="shared" ca="1" si="838"/>
        <v/>
      </c>
      <c r="AH1995" s="531" t="str">
        <f t="shared" ca="1" si="839"/>
        <v/>
      </c>
      <c r="AI1995" s="531" t="str">
        <f t="shared" ca="1" si="840"/>
        <v/>
      </c>
      <c r="AJ1995" s="531" t="str">
        <f t="shared" si="841"/>
        <v/>
      </c>
      <c r="AK1995" s="540">
        <f>SUMIFS('Live Collections'!$S:$S,'Live Collections'!$D:$D,Disbursements!B1995,'Live Collections'!$G:$G,Disbursements!C1995)</f>
        <v>0</v>
      </c>
      <c r="AL1995" s="540">
        <f>SUMIFS('Live Collections'!$T:$T,'Live Collections'!$D:$D,Disbursements!B1995,'Live Collections'!$G:$G,Disbursements!C1995)</f>
        <v>0</v>
      </c>
      <c r="AM1995" s="541">
        <f t="shared" si="842"/>
        <v>0</v>
      </c>
      <c r="AN1995" s="542" t="str">
        <f t="shared" si="843"/>
        <v/>
      </c>
      <c r="AO1995" s="542" t="str">
        <f t="shared" si="844"/>
        <v/>
      </c>
      <c r="AP1995" s="543" t="str">
        <f t="shared" si="845"/>
        <v/>
      </c>
      <c r="AQ1995" s="544" t="str">
        <f t="shared" si="846"/>
        <v/>
      </c>
      <c r="AR1995" s="545">
        <f t="shared" si="847"/>
        <v>0</v>
      </c>
      <c r="AS1995" s="545">
        <f>IFERROR(CEILING($AR1995*VLOOKUP($I1995,Ref!$B$23:$E$29,4,0),1),0)</f>
        <v>0</v>
      </c>
      <c r="AT1995" s="545" t="str">
        <f>IF(A1995="","",IF(AP1995&lt;=1,"Cleared",IF(AS1995=0,"Clean",VLOOKUP($AS1995,Ref!$G$23:$H$28,2))))</f>
        <v/>
      </c>
      <c r="AU1995" s="546" t="str">
        <f t="shared" si="848"/>
        <v/>
      </c>
    </row>
    <row r="1996" spans="1:47" ht="14.25" hidden="1" customHeight="1" x14ac:dyDescent="0.15">
      <c r="A1996" s="575"/>
      <c r="B1996" s="548"/>
      <c r="C1996" s="548"/>
      <c r="D1996" s="548"/>
      <c r="E1996" s="583"/>
      <c r="F1996" s="584"/>
      <c r="G1996" s="548"/>
      <c r="H1996" s="550"/>
      <c r="I1996" s="560"/>
      <c r="J1996" s="548"/>
      <c r="K1996" s="528" t="str">
        <f>IFERROR(VLOOKUP($B1996,'Clients-Live'!$A:$C,3,0),"")</f>
        <v/>
      </c>
      <c r="L1996" s="528">
        <f>IF(E1996="STL",Pricing!$D$38,IF(A1996="",0,IF(A1996&lt;Pricing!$C$25,Pricing!$D$25,VLOOKUP(Disbursements!$F1996,Pricing!$B$29:$D$32,3))))</f>
        <v>0</v>
      </c>
      <c r="M1996" s="528">
        <f>IF(E1996="STL",0,IF(F1996&gt;0,Pricing!$D$21,0))</f>
        <v>0</v>
      </c>
      <c r="N1996" s="529">
        <f>IF(E1996="STL",F1996*Pricing!$D$40,IF(A1996&lt;=Pricing!$C$4,0,IF(AND(A1996&gt;Pricing!$C$4,Disbursements!A1996&lt;=Pricing!$C$5),F1996*Pricing!$E$5,IF(AND(A1996&gt;Pricing!$C$5,Disbursements!A1996&lt;=Pricing!$C$7),VLOOKUP(F1996,Pricing!$D$7:$E$8,2)*Disbursements!F1996,F1996*Pricing!$E$9))))</f>
        <v>0</v>
      </c>
      <c r="O1996" s="528">
        <f>IF(E1996="STL",0,IF($F1996&gt;0,$F1996*Pricing!$D$17,0))</f>
        <v>0</v>
      </c>
      <c r="P1996" s="530" t="str">
        <f t="shared" si="828"/>
        <v/>
      </c>
      <c r="Q1996" s="531" t="str">
        <f>IF($A1996="","",$G1996/VLOOKUP($I1996,Ref!$B$23:$D$29,2,0))</f>
        <v/>
      </c>
      <c r="R1996" s="530" t="str">
        <f t="shared" si="829"/>
        <v/>
      </c>
      <c r="S1996" s="532" t="str">
        <f t="shared" si="823"/>
        <v/>
      </c>
      <c r="T1996" s="531" t="str">
        <f t="shared" si="830"/>
        <v/>
      </c>
      <c r="U1996" s="533">
        <f t="shared" si="831"/>
        <v>0</v>
      </c>
      <c r="V1996" s="531" t="str">
        <f t="shared" si="832"/>
        <v/>
      </c>
      <c r="W1996" s="531" t="str">
        <f t="shared" si="833"/>
        <v/>
      </c>
      <c r="X1996" s="534" t="str">
        <f t="shared" si="834"/>
        <v/>
      </c>
      <c r="Y1996" s="535" t="str">
        <f>IF($A1996="","",IF($I1996="weekly",$A1996+7,EDATE($A1996,VLOOKUP($I1996,Ref!$B$24:$C$29,2,0))))</f>
        <v/>
      </c>
      <c r="Z1996" s="536" t="str">
        <f t="shared" si="835"/>
        <v/>
      </c>
      <c r="AA1996" s="531">
        <f t="shared" si="836"/>
        <v>0</v>
      </c>
      <c r="AB1996" s="535" t="str">
        <f t="shared" si="824"/>
        <v/>
      </c>
      <c r="AC1996" s="537" t="str">
        <f t="shared" si="825"/>
        <v/>
      </c>
      <c r="AD1996" s="538" t="str">
        <f t="shared" ca="1" si="826"/>
        <v/>
      </c>
      <c r="AE1996" s="537">
        <f t="shared" ca="1" si="827"/>
        <v>0</v>
      </c>
      <c r="AF1996" s="539" t="str">
        <f t="shared" ca="1" si="837"/>
        <v/>
      </c>
      <c r="AG1996" s="531" t="str">
        <f t="shared" ca="1" si="838"/>
        <v/>
      </c>
      <c r="AH1996" s="531" t="str">
        <f t="shared" ca="1" si="839"/>
        <v/>
      </c>
      <c r="AI1996" s="531" t="str">
        <f t="shared" ca="1" si="840"/>
        <v/>
      </c>
      <c r="AJ1996" s="531" t="str">
        <f t="shared" si="841"/>
        <v/>
      </c>
      <c r="AK1996" s="540">
        <f>SUMIFS('Live Collections'!$S:$S,'Live Collections'!$D:$D,Disbursements!B1996,'Live Collections'!$G:$G,Disbursements!C1996)</f>
        <v>0</v>
      </c>
      <c r="AL1996" s="540">
        <f>SUMIFS('Live Collections'!$T:$T,'Live Collections'!$D:$D,Disbursements!B1996,'Live Collections'!$G:$G,Disbursements!C1996)</f>
        <v>0</v>
      </c>
      <c r="AM1996" s="541">
        <f t="shared" si="842"/>
        <v>0</v>
      </c>
      <c r="AN1996" s="542" t="str">
        <f t="shared" si="843"/>
        <v/>
      </c>
      <c r="AO1996" s="542" t="str">
        <f t="shared" si="844"/>
        <v/>
      </c>
      <c r="AP1996" s="543" t="str">
        <f t="shared" si="845"/>
        <v/>
      </c>
      <c r="AQ1996" s="544" t="str">
        <f t="shared" si="846"/>
        <v/>
      </c>
      <c r="AR1996" s="545">
        <f t="shared" si="847"/>
        <v>0</v>
      </c>
      <c r="AS1996" s="545">
        <f>IFERROR(CEILING($AR1996*VLOOKUP($I1996,Ref!$B$23:$E$29,4,0),1),0)</f>
        <v>0</v>
      </c>
      <c r="AT1996" s="545" t="str">
        <f>IF(A1996="","",IF(AP1996&lt;=1,"Cleared",IF(AS1996=0,"Clean",VLOOKUP($AS1996,Ref!$G$23:$H$28,2))))</f>
        <v/>
      </c>
      <c r="AU1996" s="546" t="str">
        <f t="shared" si="848"/>
        <v/>
      </c>
    </row>
    <row r="1997" spans="1:47" ht="14.25" hidden="1" customHeight="1" x14ac:dyDescent="0.15">
      <c r="A1997" s="575"/>
      <c r="B1997" s="548"/>
      <c r="C1997" s="548"/>
      <c r="D1997" s="548"/>
      <c r="E1997" s="583"/>
      <c r="F1997" s="584"/>
      <c r="G1997" s="548"/>
      <c r="H1997" s="550"/>
      <c r="I1997" s="560"/>
      <c r="J1997" s="548"/>
      <c r="K1997" s="528" t="str">
        <f>IFERROR(VLOOKUP($B1997,'Clients-Live'!$A:$C,3,0),"")</f>
        <v/>
      </c>
      <c r="L1997" s="528">
        <f>IF(E1997="STL",Pricing!$D$38,IF(A1997="",0,IF(A1997&lt;Pricing!$C$25,Pricing!$D$25,VLOOKUP(Disbursements!$F1997,Pricing!$B$29:$D$32,3))))</f>
        <v>0</v>
      </c>
      <c r="M1997" s="528">
        <f>IF(E1997="STL",0,IF(F1997&gt;0,Pricing!$D$21,0))</f>
        <v>0</v>
      </c>
      <c r="N1997" s="529">
        <f>IF(E1997="STL",F1997*Pricing!$D$40,IF(A1997&lt;=Pricing!$C$4,0,IF(AND(A1997&gt;Pricing!$C$4,Disbursements!A1997&lt;=Pricing!$C$5),F1997*Pricing!$E$5,IF(AND(A1997&gt;Pricing!$C$5,Disbursements!A1997&lt;=Pricing!$C$7),VLOOKUP(F1997,Pricing!$D$7:$E$8,2)*Disbursements!F1997,F1997*Pricing!$E$9))))</f>
        <v>0</v>
      </c>
      <c r="O1997" s="528">
        <f>IF(E1997="STL",0,IF($F1997&gt;0,$F1997*Pricing!$D$17,0))</f>
        <v>0</v>
      </c>
      <c r="P1997" s="530" t="str">
        <f t="shared" si="828"/>
        <v/>
      </c>
      <c r="Q1997" s="531" t="str">
        <f>IF($A1997="","",$G1997/VLOOKUP($I1997,Ref!$B$23:$D$29,2,0))</f>
        <v/>
      </c>
      <c r="R1997" s="530" t="str">
        <f t="shared" si="829"/>
        <v/>
      </c>
      <c r="S1997" s="532" t="str">
        <f t="shared" si="823"/>
        <v/>
      </c>
      <c r="T1997" s="531" t="str">
        <f t="shared" si="830"/>
        <v/>
      </c>
      <c r="U1997" s="533">
        <f t="shared" si="831"/>
        <v>0</v>
      </c>
      <c r="V1997" s="531" t="str">
        <f t="shared" si="832"/>
        <v/>
      </c>
      <c r="W1997" s="531" t="str">
        <f t="shared" si="833"/>
        <v/>
      </c>
      <c r="X1997" s="534" t="str">
        <f t="shared" si="834"/>
        <v/>
      </c>
      <c r="Y1997" s="535" t="str">
        <f>IF($A1997="","",IF($I1997="weekly",$A1997+7,EDATE($A1997,VLOOKUP($I1997,Ref!$B$24:$C$29,2,0))))</f>
        <v/>
      </c>
      <c r="Z1997" s="536" t="str">
        <f t="shared" si="835"/>
        <v/>
      </c>
      <c r="AA1997" s="531">
        <f t="shared" si="836"/>
        <v>0</v>
      </c>
      <c r="AB1997" s="535" t="str">
        <f t="shared" si="824"/>
        <v/>
      </c>
      <c r="AC1997" s="537" t="str">
        <f t="shared" si="825"/>
        <v/>
      </c>
      <c r="AD1997" s="538" t="str">
        <f t="shared" ca="1" si="826"/>
        <v/>
      </c>
      <c r="AE1997" s="537">
        <f t="shared" ca="1" si="827"/>
        <v>0</v>
      </c>
      <c r="AF1997" s="539" t="str">
        <f t="shared" ca="1" si="837"/>
        <v/>
      </c>
      <c r="AG1997" s="531" t="str">
        <f t="shared" ca="1" si="838"/>
        <v/>
      </c>
      <c r="AH1997" s="531" t="str">
        <f t="shared" ca="1" si="839"/>
        <v/>
      </c>
      <c r="AI1997" s="531" t="str">
        <f t="shared" ca="1" si="840"/>
        <v/>
      </c>
      <c r="AJ1997" s="531" t="str">
        <f t="shared" si="841"/>
        <v/>
      </c>
      <c r="AK1997" s="540">
        <f>SUMIFS('Live Collections'!$S:$S,'Live Collections'!$D:$D,Disbursements!B1997,'Live Collections'!$G:$G,Disbursements!C1997)</f>
        <v>0</v>
      </c>
      <c r="AL1997" s="540">
        <f>SUMIFS('Live Collections'!$T:$T,'Live Collections'!$D:$D,Disbursements!B1997,'Live Collections'!$G:$G,Disbursements!C1997)</f>
        <v>0</v>
      </c>
      <c r="AM1997" s="541">
        <f t="shared" si="842"/>
        <v>0</v>
      </c>
      <c r="AN1997" s="542" t="str">
        <f t="shared" si="843"/>
        <v/>
      </c>
      <c r="AO1997" s="542" t="str">
        <f t="shared" si="844"/>
        <v/>
      </c>
      <c r="AP1997" s="543" t="str">
        <f t="shared" si="845"/>
        <v/>
      </c>
      <c r="AQ1997" s="544" t="str">
        <f t="shared" si="846"/>
        <v/>
      </c>
      <c r="AR1997" s="545">
        <f t="shared" si="847"/>
        <v>0</v>
      </c>
      <c r="AS1997" s="545">
        <f>IFERROR(CEILING($AR1997*VLOOKUP($I1997,Ref!$B$23:$E$29,4,0),1),0)</f>
        <v>0</v>
      </c>
      <c r="AT1997" s="545" t="str">
        <f>IF(A1997="","",IF(AP1997&lt;=1,"Cleared",IF(AS1997=0,"Clean",VLOOKUP($AS1997,Ref!$G$23:$H$28,2))))</f>
        <v/>
      </c>
      <c r="AU1997" s="546" t="str">
        <f t="shared" si="848"/>
        <v/>
      </c>
    </row>
    <row r="1998" spans="1:47" ht="14.25" hidden="1" customHeight="1" x14ac:dyDescent="0.15">
      <c r="A1998" s="575"/>
      <c r="B1998" s="548"/>
      <c r="C1998" s="548"/>
      <c r="D1998" s="548"/>
      <c r="E1998" s="583"/>
      <c r="F1998" s="584"/>
      <c r="G1998" s="548"/>
      <c r="H1998" s="550"/>
      <c r="I1998" s="560"/>
      <c r="J1998" s="548"/>
      <c r="K1998" s="528" t="str">
        <f>IFERROR(VLOOKUP($B1998,'Clients-Live'!$A:$C,3,0),"")</f>
        <v/>
      </c>
      <c r="L1998" s="528">
        <f>IF(E1998="STL",Pricing!$D$38,IF(A1998="",0,IF(A1998&lt;Pricing!$C$25,Pricing!$D$25,VLOOKUP(Disbursements!$F1998,Pricing!$B$29:$D$32,3))))</f>
        <v>0</v>
      </c>
      <c r="M1998" s="528">
        <f>IF(E1998="STL",0,IF(F1998&gt;0,Pricing!$D$21,0))</f>
        <v>0</v>
      </c>
      <c r="N1998" s="529">
        <f>IF(E1998="STL",F1998*Pricing!$D$40,IF(A1998&lt;=Pricing!$C$4,0,IF(AND(A1998&gt;Pricing!$C$4,Disbursements!A1998&lt;=Pricing!$C$5),F1998*Pricing!$E$5,IF(AND(A1998&gt;Pricing!$C$5,Disbursements!A1998&lt;=Pricing!$C$7),VLOOKUP(F1998,Pricing!$D$7:$E$8,2)*Disbursements!F1998,F1998*Pricing!$E$9))))</f>
        <v>0</v>
      </c>
      <c r="O1998" s="528">
        <f>IF(E1998="STL",0,IF($F1998&gt;0,$F1998*Pricing!$D$17,0))</f>
        <v>0</v>
      </c>
      <c r="P1998" s="530" t="str">
        <f t="shared" si="828"/>
        <v/>
      </c>
      <c r="Q1998" s="531" t="str">
        <f>IF($A1998="","",$G1998/VLOOKUP($I1998,Ref!$B$23:$D$29,2,0))</f>
        <v/>
      </c>
      <c r="R1998" s="530" t="str">
        <f t="shared" si="829"/>
        <v/>
      </c>
      <c r="S1998" s="532" t="str">
        <f t="shared" si="823"/>
        <v/>
      </c>
      <c r="T1998" s="531" t="str">
        <f t="shared" si="830"/>
        <v/>
      </c>
      <c r="U1998" s="533">
        <f t="shared" si="831"/>
        <v>0</v>
      </c>
      <c r="V1998" s="531" t="str">
        <f t="shared" si="832"/>
        <v/>
      </c>
      <c r="W1998" s="531" t="str">
        <f t="shared" si="833"/>
        <v/>
      </c>
      <c r="X1998" s="534" t="str">
        <f t="shared" si="834"/>
        <v/>
      </c>
      <c r="Y1998" s="535" t="str">
        <f>IF($A1998="","",IF($I1998="weekly",$A1998+7,EDATE($A1998,VLOOKUP($I1998,Ref!$B$24:$C$29,2,0))))</f>
        <v/>
      </c>
      <c r="Z1998" s="536" t="str">
        <f t="shared" si="835"/>
        <v/>
      </c>
      <c r="AA1998" s="531">
        <f t="shared" si="836"/>
        <v>0</v>
      </c>
      <c r="AB1998" s="535" t="str">
        <f t="shared" si="824"/>
        <v/>
      </c>
      <c r="AC1998" s="537" t="str">
        <f t="shared" si="825"/>
        <v/>
      </c>
      <c r="AD1998" s="538" t="str">
        <f t="shared" ca="1" si="826"/>
        <v/>
      </c>
      <c r="AE1998" s="537">
        <f t="shared" ca="1" si="827"/>
        <v>0</v>
      </c>
      <c r="AF1998" s="539" t="str">
        <f t="shared" ca="1" si="837"/>
        <v/>
      </c>
      <c r="AG1998" s="531" t="str">
        <f t="shared" ca="1" si="838"/>
        <v/>
      </c>
      <c r="AH1998" s="531" t="str">
        <f t="shared" ca="1" si="839"/>
        <v/>
      </c>
      <c r="AI1998" s="531" t="str">
        <f t="shared" ca="1" si="840"/>
        <v/>
      </c>
      <c r="AJ1998" s="531" t="str">
        <f t="shared" si="841"/>
        <v/>
      </c>
      <c r="AK1998" s="540">
        <f>SUMIFS('Live Collections'!$S:$S,'Live Collections'!$D:$D,Disbursements!B1998,'Live Collections'!$G:$G,Disbursements!C1998)</f>
        <v>0</v>
      </c>
      <c r="AL1998" s="540">
        <f>SUMIFS('Live Collections'!$T:$T,'Live Collections'!$D:$D,Disbursements!B1998,'Live Collections'!$G:$G,Disbursements!C1998)</f>
        <v>0</v>
      </c>
      <c r="AM1998" s="541">
        <f t="shared" si="842"/>
        <v>0</v>
      </c>
      <c r="AN1998" s="542" t="str">
        <f t="shared" si="843"/>
        <v/>
      </c>
      <c r="AO1998" s="542" t="str">
        <f t="shared" si="844"/>
        <v/>
      </c>
      <c r="AP1998" s="543" t="str">
        <f t="shared" si="845"/>
        <v/>
      </c>
      <c r="AQ1998" s="544" t="str">
        <f t="shared" si="846"/>
        <v/>
      </c>
      <c r="AR1998" s="545">
        <f t="shared" si="847"/>
        <v>0</v>
      </c>
      <c r="AS1998" s="545">
        <f>IFERROR(CEILING($AR1998*VLOOKUP($I1998,Ref!$B$23:$E$29,4,0),1),0)</f>
        <v>0</v>
      </c>
      <c r="AT1998" s="545" t="str">
        <f>IF(A1998="","",IF(AP1998&lt;=1,"Cleared",IF(AS1998=0,"Clean",VLOOKUP($AS1998,Ref!$G$23:$H$28,2))))</f>
        <v/>
      </c>
      <c r="AU1998" s="546" t="str">
        <f t="shared" si="848"/>
        <v/>
      </c>
    </row>
    <row r="1999" spans="1:47" ht="14.25" hidden="1" customHeight="1" x14ac:dyDescent="0.15">
      <c r="A1999" s="575"/>
      <c r="B1999" s="548"/>
      <c r="C1999" s="548"/>
      <c r="D1999" s="548"/>
      <c r="E1999" s="583"/>
      <c r="F1999" s="584"/>
      <c r="G1999" s="548"/>
      <c r="H1999" s="550"/>
      <c r="I1999" s="560"/>
      <c r="J1999" s="548"/>
      <c r="K1999" s="528" t="str">
        <f>IFERROR(VLOOKUP($B1999,'Clients-Live'!$A:$C,3,0),"")</f>
        <v/>
      </c>
      <c r="L1999" s="528">
        <f>IF(E1999="STL",Pricing!$D$38,IF(A1999="",0,IF(A1999&lt;Pricing!$C$25,Pricing!$D$25,VLOOKUP(Disbursements!$F1999,Pricing!$B$29:$D$32,3))))</f>
        <v>0</v>
      </c>
      <c r="M1999" s="528">
        <f>IF(E1999="STL",0,IF(F1999&gt;0,Pricing!$D$21,0))</f>
        <v>0</v>
      </c>
      <c r="N1999" s="529">
        <f>IF(E1999="STL",F1999*Pricing!$D$40,IF(A1999&lt;=Pricing!$C$4,0,IF(AND(A1999&gt;Pricing!$C$4,Disbursements!A1999&lt;=Pricing!$C$5),F1999*Pricing!$E$5,IF(AND(A1999&gt;Pricing!$C$5,Disbursements!A1999&lt;=Pricing!$C$7),VLOOKUP(F1999,Pricing!$D$7:$E$8,2)*Disbursements!F1999,F1999*Pricing!$E$9))))</f>
        <v>0</v>
      </c>
      <c r="O1999" s="528">
        <f>IF(E1999="STL",0,IF($F1999&gt;0,$F1999*Pricing!$D$17,0))</f>
        <v>0</v>
      </c>
      <c r="P1999" s="530" t="str">
        <f t="shared" si="828"/>
        <v/>
      </c>
      <c r="Q1999" s="531" t="str">
        <f>IF($A1999="","",$G1999/VLOOKUP($I1999,Ref!$B$23:$D$29,2,0))</f>
        <v/>
      </c>
      <c r="R1999" s="530" t="str">
        <f t="shared" si="829"/>
        <v/>
      </c>
      <c r="S1999" s="532" t="str">
        <f t="shared" si="823"/>
        <v/>
      </c>
      <c r="T1999" s="531" t="str">
        <f t="shared" si="830"/>
        <v/>
      </c>
      <c r="U1999" s="533">
        <f t="shared" si="831"/>
        <v>0</v>
      </c>
      <c r="V1999" s="531" t="str">
        <f t="shared" si="832"/>
        <v/>
      </c>
      <c r="W1999" s="531" t="str">
        <f t="shared" si="833"/>
        <v/>
      </c>
      <c r="X1999" s="534" t="str">
        <f t="shared" si="834"/>
        <v/>
      </c>
      <c r="Y1999" s="535" t="str">
        <f>IF($A1999="","",IF($I1999="weekly",$A1999+7,EDATE($A1999,VLOOKUP($I1999,Ref!$B$24:$C$29,2,0))))</f>
        <v/>
      </c>
      <c r="Z1999" s="536" t="str">
        <f t="shared" si="835"/>
        <v/>
      </c>
      <c r="AA1999" s="531">
        <f t="shared" si="836"/>
        <v>0</v>
      </c>
      <c r="AB1999" s="535" t="str">
        <f t="shared" si="824"/>
        <v/>
      </c>
      <c r="AC1999" s="537" t="str">
        <f t="shared" si="825"/>
        <v/>
      </c>
      <c r="AD1999" s="538" t="str">
        <f t="shared" ca="1" si="826"/>
        <v/>
      </c>
      <c r="AE1999" s="537">
        <f t="shared" ca="1" si="827"/>
        <v>0</v>
      </c>
      <c r="AF1999" s="539" t="str">
        <f t="shared" ca="1" si="837"/>
        <v/>
      </c>
      <c r="AG1999" s="531" t="str">
        <f t="shared" ca="1" si="838"/>
        <v/>
      </c>
      <c r="AH1999" s="531" t="str">
        <f t="shared" ca="1" si="839"/>
        <v/>
      </c>
      <c r="AI1999" s="531" t="str">
        <f t="shared" ca="1" si="840"/>
        <v/>
      </c>
      <c r="AJ1999" s="531" t="str">
        <f t="shared" si="841"/>
        <v/>
      </c>
      <c r="AK1999" s="540">
        <f>SUMIFS('Live Collections'!$S:$S,'Live Collections'!$D:$D,Disbursements!B1999,'Live Collections'!$G:$G,Disbursements!C1999)</f>
        <v>0</v>
      </c>
      <c r="AL1999" s="540">
        <f>SUMIFS('Live Collections'!$T:$T,'Live Collections'!$D:$D,Disbursements!B1999,'Live Collections'!$G:$G,Disbursements!C1999)</f>
        <v>0</v>
      </c>
      <c r="AM1999" s="541">
        <f t="shared" si="842"/>
        <v>0</v>
      </c>
      <c r="AN1999" s="542" t="str">
        <f t="shared" si="843"/>
        <v/>
      </c>
      <c r="AO1999" s="542" t="str">
        <f t="shared" si="844"/>
        <v/>
      </c>
      <c r="AP1999" s="543" t="str">
        <f t="shared" si="845"/>
        <v/>
      </c>
      <c r="AQ1999" s="544" t="str">
        <f t="shared" si="846"/>
        <v/>
      </c>
      <c r="AR1999" s="545">
        <f t="shared" si="847"/>
        <v>0</v>
      </c>
      <c r="AS1999" s="545">
        <f>IFERROR(CEILING($AR1999*VLOOKUP($I1999,Ref!$B$23:$E$29,4,0),1),0)</f>
        <v>0</v>
      </c>
      <c r="AT1999" s="545" t="str">
        <f>IF(A1999="","",IF(AP1999&lt;=1,"Cleared",IF(AS1999=0,"Clean",VLOOKUP($AS1999,Ref!$G$23:$H$28,2))))</f>
        <v/>
      </c>
      <c r="AU1999" s="546" t="str">
        <f t="shared" si="848"/>
        <v/>
      </c>
    </row>
    <row r="2000" spans="1:47" x14ac:dyDescent="0.15">
      <c r="A2000" s="586"/>
      <c r="B2000" s="586"/>
      <c r="C2000" s="586"/>
      <c r="D2000" s="586"/>
      <c r="E2000" s="587"/>
      <c r="F2000" s="586"/>
      <c r="G2000" s="586"/>
      <c r="H2000" s="588"/>
      <c r="I2000" s="589"/>
      <c r="J2000" s="586"/>
      <c r="K2000" s="586"/>
      <c r="L2000" s="586"/>
      <c r="M2000" s="586"/>
      <c r="N2000" s="586"/>
      <c r="O2000" s="586"/>
      <c r="P2000" s="586"/>
      <c r="Q2000" s="586"/>
      <c r="R2000" s="586"/>
      <c r="S2000" s="586"/>
      <c r="T2000" s="586"/>
      <c r="U2000" s="586"/>
      <c r="V2000" s="586"/>
      <c r="W2000" s="586"/>
      <c r="X2000" s="590"/>
      <c r="Y2000" s="586"/>
      <c r="Z2000" s="586"/>
      <c r="AA2000" s="591"/>
      <c r="AB2000" s="586"/>
      <c r="AC2000" s="591"/>
      <c r="AD2000" s="592"/>
      <c r="AE2000" s="591"/>
      <c r="AF2000" s="593"/>
      <c r="AG2000" s="591"/>
      <c r="AH2000" s="591"/>
      <c r="AI2000" s="591"/>
      <c r="AJ2000" s="591"/>
      <c r="AK2000" s="591"/>
      <c r="AL2000" s="591"/>
      <c r="AM2000" s="591"/>
      <c r="AN2000" s="594"/>
      <c r="AO2000" s="594"/>
      <c r="AP2000" s="591"/>
      <c r="AQ2000" s="591"/>
      <c r="AR2000" s="591"/>
      <c r="AS2000" s="591"/>
      <c r="AT2000" s="591"/>
      <c r="AU2000" s="586"/>
    </row>
    <row r="2001" spans="1:24" x14ac:dyDescent="0.15">
      <c r="X2001" s="598"/>
    </row>
    <row r="2002" spans="1:24" x14ac:dyDescent="0.15">
      <c r="X2002" s="598"/>
    </row>
    <row r="2003" spans="1:24" x14ac:dyDescent="0.15">
      <c r="W2003" s="603"/>
      <c r="X2003" s="598"/>
    </row>
    <row r="2004" spans="1:24" x14ac:dyDescent="0.15">
      <c r="X2004" s="598"/>
    </row>
    <row r="2005" spans="1:24" x14ac:dyDescent="0.15">
      <c r="X2005" s="598"/>
    </row>
    <row r="2006" spans="1:24" x14ac:dyDescent="0.15">
      <c r="X2006" s="598"/>
    </row>
    <row r="2007" spans="1:24" x14ac:dyDescent="0.15">
      <c r="X2007" s="598"/>
    </row>
    <row r="2008" spans="1:24" x14ac:dyDescent="0.15">
      <c r="X2008" s="598"/>
    </row>
    <row r="2009" spans="1:24" x14ac:dyDescent="0.15">
      <c r="X2009" s="598"/>
    </row>
    <row r="2010" spans="1:24" x14ac:dyDescent="0.15">
      <c r="X2010" s="598"/>
    </row>
    <row r="2011" spans="1:24" x14ac:dyDescent="0.15">
      <c r="X2011" s="598"/>
    </row>
    <row r="2012" spans="1:24" x14ac:dyDescent="0.15">
      <c r="X2012" s="598"/>
    </row>
    <row r="2013" spans="1:24" x14ac:dyDescent="0.15">
      <c r="X2013" s="598"/>
    </row>
    <row r="2014" spans="1:24" x14ac:dyDescent="0.15">
      <c r="X2014" s="598"/>
    </row>
    <row r="2015" spans="1:24" x14ac:dyDescent="0.15">
      <c r="A2015" s="494" t="s">
        <v>2433</v>
      </c>
      <c r="X2015" s="598"/>
    </row>
  </sheetData>
  <sheetProtection algorithmName="SHA-512" hashValue="J8RESWfQa2ySCSKSoD+tB/YxECgUuES6GrsxecX+x8l8zHsOHGNjWvGwBT76sl/t0Frt9m4SgeKa4eXH1VJsmw==" saltValue="jaPRWM7m85HHob75/1v47A==" spinCount="100000" sheet="1" objects="1" scenarios="1"/>
  <autoFilter ref="A3:AU1999" xr:uid="{00000000-0009-0000-0000-000001000000}">
    <filterColumn colId="29">
      <filters>
        <filter val="Expired"/>
      </filters>
    </filterColumn>
    <sortState xmlns:xlrd2="http://schemas.microsoft.com/office/spreadsheetml/2017/richdata2" ref="A4:AU1999">
      <sortCondition ref="A3:A1999"/>
    </sortState>
  </autoFilter>
  <conditionalFormatting sqref="C1:C1048576">
    <cfRule type="duplicateValues" dxfId="28" priority="1"/>
  </conditionalFormatting>
  <conditionalFormatting sqref="C236:C1048576 C1:C215">
    <cfRule type="duplicateValues" dxfId="27" priority="6"/>
  </conditionalFormatting>
  <conditionalFormatting sqref="AD4:AD1999">
    <cfRule type="cellIs" dxfId="26" priority="10" operator="equal">
      <formula>"expired"</formula>
    </cfRule>
  </conditionalFormatting>
  <conditionalFormatting sqref="AN4:AT1999">
    <cfRule type="cellIs" dxfId="25" priority="9" operator="lessThan">
      <formula>0</formula>
    </cfRule>
  </conditionalFormatting>
  <conditionalFormatting sqref="AT4:AT1999">
    <cfRule type="cellIs" dxfId="24" priority="7" operator="equal">
      <formula>$AT$5</formula>
    </cfRule>
  </conditionalFormatting>
  <conditionalFormatting sqref="AU4:AU2000">
    <cfRule type="cellIs" dxfId="23" priority="8" operator="equal">
      <formula>$AU$5</formula>
    </cfRule>
  </conditionalFormatting>
  <pageMargins left="0.7" right="0.7" top="0.75" bottom="0.75" header="0.3" footer="0.3"/>
  <pageSetup paperSize="9" scale="59" orientation="portrait" horizontalDpi="4294967293" verticalDpi="0" r:id="rId1"/>
  <colBreaks count="1" manualBreakCount="1">
    <brk id="11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Kindly pick from the list" xr:uid="{00000000-0002-0000-0100-000000000000}">
          <x14:formula1>
            <xm:f>Ref!$B$24:$B$29</xm:f>
          </x14:formula1>
          <xm:sqref>I236:I1999 I4:I215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W4515"/>
  <sheetViews>
    <sheetView showGridLines="0" topLeftCell="E1" zoomScaleNormal="100" workbookViewId="0">
      <pane ySplit="7" topLeftCell="A61" activePane="bottomLeft" state="frozen"/>
      <selection activeCell="I1" sqref="I1"/>
      <selection pane="bottomLeft" activeCell="F62" sqref="F62"/>
    </sheetView>
  </sheetViews>
  <sheetFormatPr defaultRowHeight="12.75" x14ac:dyDescent="0.2"/>
  <cols>
    <col min="1" max="1" width="9" style="267" customWidth="1"/>
    <col min="2" max="2" width="12.42578125" style="38" customWidth="1"/>
    <col min="3" max="3" width="13.5703125" style="38" customWidth="1"/>
    <col min="4" max="4" width="10.7109375" style="376" customWidth="1"/>
    <col min="5" max="5" width="32.85546875" style="269" customWidth="1"/>
    <col min="6" max="6" width="8" style="269" bestFit="1" customWidth="1"/>
    <col min="7" max="7" width="13.42578125" style="269" customWidth="1"/>
    <col min="8" max="8" width="14.28515625" style="269" bestFit="1" customWidth="1"/>
    <col min="9" max="9" width="13.28515625" style="269" customWidth="1"/>
    <col min="10" max="10" width="11.85546875" style="38" customWidth="1"/>
    <col min="11" max="11" width="12.42578125" style="38" customWidth="1"/>
    <col min="12" max="12" width="11.85546875" style="38" customWidth="1"/>
    <col min="13" max="13" width="13.28515625" style="38" customWidth="1"/>
    <col min="14" max="14" width="14.5703125" style="38" customWidth="1"/>
    <col min="15" max="15" width="14.7109375" style="38" customWidth="1"/>
    <col min="16" max="16" width="12.140625" style="38" customWidth="1"/>
    <col min="17" max="17" width="14.140625" style="38" customWidth="1"/>
    <col min="18" max="18" width="13.140625" style="38" customWidth="1"/>
    <col min="19" max="19" width="13.5703125" style="38" customWidth="1"/>
    <col min="20" max="20" width="15.140625" style="38" customWidth="1"/>
    <col min="21" max="21" width="16" style="269" customWidth="1"/>
    <col min="22" max="22" width="16.140625" style="38" customWidth="1"/>
    <col min="23" max="23" width="34.42578125" style="412" bestFit="1" customWidth="1"/>
    <col min="24" max="16384" width="9.140625" style="38"/>
  </cols>
  <sheetData>
    <row r="1" spans="1:23" ht="14.25" thickTop="1" thickBot="1" x14ac:dyDescent="0.25">
      <c r="A1" s="264"/>
      <c r="B1" s="37"/>
      <c r="C1" s="37"/>
      <c r="D1" s="371"/>
      <c r="E1" s="271"/>
      <c r="F1" s="271"/>
      <c r="G1" s="398" t="s">
        <v>852</v>
      </c>
      <c r="H1" s="399">
        <v>242</v>
      </c>
      <c r="I1" s="271"/>
      <c r="J1" s="37"/>
      <c r="K1" s="330" t="s">
        <v>1372</v>
      </c>
      <c r="L1" s="330" t="s">
        <v>1373</v>
      </c>
      <c r="M1" s="330" t="s">
        <v>763</v>
      </c>
      <c r="N1" s="37"/>
      <c r="O1" s="37"/>
      <c r="P1" s="37"/>
      <c r="Q1" s="37"/>
      <c r="R1" s="37"/>
      <c r="S1" s="37"/>
      <c r="T1" s="37"/>
      <c r="U1" s="271"/>
      <c r="V1" s="37"/>
      <c r="W1" s="405"/>
    </row>
    <row r="2" spans="1:23" ht="14.25" thickTop="1" thickBot="1" x14ac:dyDescent="0.25">
      <c r="A2" s="264"/>
      <c r="B2" s="37"/>
      <c r="C2" s="37"/>
      <c r="D2" s="371"/>
      <c r="E2" s="271"/>
      <c r="F2" s="271"/>
      <c r="G2" s="401" t="s">
        <v>2065</v>
      </c>
      <c r="H2" s="402">
        <v>1</v>
      </c>
      <c r="I2" s="271"/>
      <c r="J2" s="329" t="s">
        <v>1370</v>
      </c>
      <c r="K2" s="334">
        <f>SUMIFS(Disbursements!$F:$F,Disbursements!$B:$B,'Live Collections'!$H$1,Disbursements!$D:$D,'Live Collections'!$H$2)</f>
        <v>1000000</v>
      </c>
      <c r="L2" s="334">
        <f>SUMIFS($T:$T,$D:$D,$H$1,$F:$F,$H$2)</f>
        <v>998299.99999999988</v>
      </c>
      <c r="M2" s="334">
        <f>K2-L2</f>
        <v>1700.0000000001164</v>
      </c>
      <c r="N2" s="37"/>
      <c r="O2" s="37"/>
      <c r="P2" s="37"/>
      <c r="Q2" s="229"/>
      <c r="R2" s="37"/>
      <c r="S2" s="37"/>
      <c r="T2" s="37"/>
      <c r="U2" s="271"/>
      <c r="V2" s="37"/>
      <c r="W2" s="405"/>
    </row>
    <row r="3" spans="1:23" ht="16.5" thickTop="1" thickBot="1" x14ac:dyDescent="0.3">
      <c r="A3" s="264"/>
      <c r="B3" s="37"/>
      <c r="C3" s="37"/>
      <c r="D3" s="371"/>
      <c r="E3" s="272">
        <v>2002000000</v>
      </c>
      <c r="F3" s="272"/>
      <c r="G3" s="403" t="s">
        <v>1264</v>
      </c>
      <c r="H3" s="649" t="str">
        <f>VLOOKUP(H1,'Clients-Live'!$A:$C,3,0)</f>
        <v>BAKOKO FLAVIA</v>
      </c>
      <c r="I3" s="649"/>
      <c r="J3" s="400" t="s">
        <v>1371</v>
      </c>
      <c r="K3" s="334">
        <f>SUMIFS(Disbursements!$X:$X,Disbursements!$B:$B,'Live Collections'!$H$1,Disbursements!$D:$D,'Live Collections'!$H$2)</f>
        <v>302000.00000000006</v>
      </c>
      <c r="L3" s="334">
        <f>SUMIFS($S:$S,$D:$D,$H$1,$F:$F,$H$2)</f>
        <v>302000.00000000012</v>
      </c>
      <c r="M3" s="334">
        <f>K3-L3</f>
        <v>0</v>
      </c>
      <c r="N3" s="37"/>
      <c r="O3" s="37"/>
      <c r="P3" s="37"/>
      <c r="Q3" s="37"/>
      <c r="R3" s="37"/>
      <c r="S3" s="37"/>
      <c r="T3" s="37"/>
      <c r="U3" s="271"/>
      <c r="V3" s="236" t="s">
        <v>9</v>
      </c>
      <c r="W3" s="405"/>
    </row>
    <row r="4" spans="1:23" ht="16.5" thickTop="1" thickBot="1" x14ac:dyDescent="0.3">
      <c r="A4" s="265"/>
      <c r="B4" s="133">
        <f>COLUMN()</f>
        <v>2</v>
      </c>
      <c r="C4" s="133"/>
      <c r="D4" s="372"/>
      <c r="E4" s="273">
        <v>55</v>
      </c>
      <c r="F4" s="273"/>
      <c r="G4" s="273"/>
      <c r="H4" s="273"/>
      <c r="I4" s="273"/>
      <c r="J4" s="273"/>
      <c r="K4" s="449">
        <f>K2+K3</f>
        <v>1302000</v>
      </c>
      <c r="L4" s="449">
        <f>L2+L3</f>
        <v>1300300</v>
      </c>
      <c r="M4" s="334">
        <f>K4-L4</f>
        <v>1700</v>
      </c>
      <c r="N4" s="273"/>
      <c r="O4" s="273">
        <f>COLUMN()</f>
        <v>15</v>
      </c>
      <c r="P4" s="273">
        <f>COLUMN()</f>
        <v>16</v>
      </c>
      <c r="Q4" s="273">
        <f>COLUMN()</f>
        <v>17</v>
      </c>
      <c r="R4" s="273">
        <f>COLUMN()</f>
        <v>18</v>
      </c>
      <c r="S4" s="273">
        <f>COLUMN()</f>
        <v>19</v>
      </c>
      <c r="T4" s="273">
        <f>COLUMN()</f>
        <v>20</v>
      </c>
      <c r="U4" s="273">
        <f>COLUMN()</f>
        <v>21</v>
      </c>
      <c r="V4" s="133">
        <f>COLUMN()</f>
        <v>22</v>
      </c>
      <c r="W4" s="406">
        <f>COLUMN()</f>
        <v>23</v>
      </c>
    </row>
    <row r="5" spans="1:23" ht="5.25" customHeight="1" thickTop="1" thickBot="1" x14ac:dyDescent="0.25">
      <c r="A5" s="331"/>
      <c r="B5" s="332"/>
      <c r="C5" s="332"/>
      <c r="D5" s="373"/>
      <c r="E5" s="333"/>
      <c r="F5" s="333"/>
      <c r="G5" s="333"/>
      <c r="H5" s="333"/>
      <c r="I5" s="333"/>
      <c r="J5" s="333"/>
      <c r="K5" s="333"/>
      <c r="L5" s="333"/>
      <c r="M5" s="334">
        <f>K5-L5</f>
        <v>0</v>
      </c>
      <c r="N5" s="333"/>
      <c r="O5" s="333"/>
      <c r="P5" s="333"/>
      <c r="Q5" s="333"/>
      <c r="R5" s="333"/>
      <c r="S5" s="333"/>
      <c r="T5" s="333"/>
      <c r="U5" s="333"/>
      <c r="V5" s="332"/>
      <c r="W5" s="407"/>
    </row>
    <row r="6" spans="1:23" s="172" customFormat="1" ht="13.5" thickTop="1" x14ac:dyDescent="0.2">
      <c r="A6" s="413"/>
      <c r="B6" s="414" t="s">
        <v>1310</v>
      </c>
      <c r="C6" s="414"/>
      <c r="D6" s="415"/>
      <c r="E6" s="416"/>
      <c r="F6" s="283"/>
      <c r="G6" s="283"/>
      <c r="H6" s="283"/>
      <c r="I6" s="283"/>
      <c r="J6" s="417">
        <f t="shared" ref="J6:Q6" si="0">SUBTOTAL(9,J8:J1000674)</f>
        <v>5405000</v>
      </c>
      <c r="K6" s="417">
        <f t="shared" si="0"/>
        <v>1970000</v>
      </c>
      <c r="L6" s="417">
        <f t="shared" si="0"/>
        <v>8850000</v>
      </c>
      <c r="M6" s="417">
        <f t="shared" si="0"/>
        <v>2875000</v>
      </c>
      <c r="N6" s="417">
        <f t="shared" si="0"/>
        <v>1956600</v>
      </c>
      <c r="O6" s="417">
        <f t="shared" si="0"/>
        <v>508000300</v>
      </c>
      <c r="P6" s="417">
        <f t="shared" si="0"/>
        <v>23342100</v>
      </c>
      <c r="Q6" s="417">
        <f t="shared" si="0"/>
        <v>552399000</v>
      </c>
      <c r="R6" s="271"/>
      <c r="S6" s="417">
        <f>SUBTOTAL(9,S8:S1000674)</f>
        <v>93040350.793650776</v>
      </c>
      <c r="T6" s="417">
        <f>SUBTOTAL(9,T8:T1000674)</f>
        <v>414372649.20634907</v>
      </c>
      <c r="U6" s="418"/>
      <c r="V6" s="419"/>
      <c r="W6" s="420"/>
    </row>
    <row r="7" spans="1:23" x14ac:dyDescent="0.2">
      <c r="A7" s="434" t="s">
        <v>1306</v>
      </c>
      <c r="B7" s="434" t="s">
        <v>1316</v>
      </c>
      <c r="C7" s="434" t="s">
        <v>1315</v>
      </c>
      <c r="D7" s="435" t="s">
        <v>852</v>
      </c>
      <c r="E7" s="434" t="s">
        <v>1264</v>
      </c>
      <c r="F7" s="434" t="s">
        <v>2065</v>
      </c>
      <c r="G7" s="434" t="s">
        <v>1258</v>
      </c>
      <c r="H7" s="436" t="s">
        <v>1311</v>
      </c>
      <c r="I7" s="436" t="s">
        <v>26</v>
      </c>
      <c r="J7" s="434" t="s">
        <v>990</v>
      </c>
      <c r="K7" s="434" t="s">
        <v>991</v>
      </c>
      <c r="L7" s="434" t="s">
        <v>1307</v>
      </c>
      <c r="M7" s="434" t="s">
        <v>1308</v>
      </c>
      <c r="N7" s="434" t="s">
        <v>2016</v>
      </c>
      <c r="O7" s="434" t="s">
        <v>1309</v>
      </c>
      <c r="P7" s="434" t="s">
        <v>855</v>
      </c>
      <c r="Q7" s="437" t="s">
        <v>201</v>
      </c>
      <c r="R7" s="438" t="s">
        <v>842</v>
      </c>
      <c r="S7" s="434" t="s">
        <v>1320</v>
      </c>
      <c r="T7" s="434" t="s">
        <v>1321</v>
      </c>
      <c r="U7" s="439" t="s">
        <v>27</v>
      </c>
      <c r="V7" s="434" t="s">
        <v>28</v>
      </c>
      <c r="W7" s="440" t="s">
        <v>42</v>
      </c>
    </row>
    <row r="8" spans="1:23" ht="12.75" customHeight="1" x14ac:dyDescent="0.2">
      <c r="A8" s="257">
        <v>1</v>
      </c>
      <c r="B8" s="44">
        <v>44321</v>
      </c>
      <c r="C8" s="44">
        <f t="shared" ref="C8:C71" si="1">B8</f>
        <v>44321</v>
      </c>
      <c r="D8" s="431">
        <v>2</v>
      </c>
      <c r="E8" s="291" t="str">
        <f>IFERROR(VLOOKUP($D8,'Clients-Live'!$A:$C,3,0),"")</f>
        <v>LEYA ROSE</v>
      </c>
      <c r="F8" s="291" t="str">
        <f>IFERROR(INDEX(Disbursements!$D:$D,MATCH('Live Collections'!G8,Disbursements!$C:$C,0)),"")</f>
        <v/>
      </c>
      <c r="G8" s="35"/>
      <c r="H8" s="35"/>
      <c r="I8" s="35" t="s">
        <v>1814</v>
      </c>
      <c r="J8" s="59">
        <v>15000</v>
      </c>
      <c r="K8" s="59">
        <v>5000</v>
      </c>
      <c r="L8" s="59"/>
      <c r="M8" s="59"/>
      <c r="N8" s="59"/>
      <c r="O8" s="59"/>
      <c r="P8" s="59"/>
      <c r="Q8" s="268">
        <f t="shared" ref="Q8:Q71" si="2">SUM(J8:P8)</f>
        <v>20000</v>
      </c>
      <c r="R8" s="61">
        <f>IF(O8=0,0,SUMIFS(Disbursements!$T:$T,Disbursements!$B:$B,'Live Collections'!D8,Disbursements!$D:$D,'Live Collections'!F8))</f>
        <v>0</v>
      </c>
      <c r="S8" s="432">
        <f>IF(O8&lt;=IF($O8=0,0,SUMIFS(Disbursements!$W:$W,Disbursements!$B:$B,'Live Collections'!D8,Disbursements!$D:$D,'Live Collections'!F8)),O8,IF($O8=0,0,SUMIFS(Disbursements!$W:$W,Disbursements!$B:$B,'Live Collections'!D8,Disbursements!$D:$D,'Live Collections'!F8)))</f>
        <v>0</v>
      </c>
      <c r="T8" s="432">
        <f t="shared" ref="T8:T71" si="3">IF(O8=0,0,O8-S8)</f>
        <v>0</v>
      </c>
      <c r="U8" s="51">
        <v>774280803</v>
      </c>
      <c r="V8" s="35"/>
      <c r="W8" s="433"/>
    </row>
    <row r="9" spans="1:23" ht="12.75" customHeight="1" x14ac:dyDescent="0.2">
      <c r="A9" s="257">
        <v>2</v>
      </c>
      <c r="B9" s="44">
        <v>44322</v>
      </c>
      <c r="C9" s="44">
        <f t="shared" si="1"/>
        <v>44322</v>
      </c>
      <c r="D9" s="374">
        <v>3</v>
      </c>
      <c r="E9" s="291" t="str">
        <f>IFERROR(VLOOKUP($D9,'Clients-Live'!$A:$C,3,0),"")</f>
        <v>YEKA ARIJABU</v>
      </c>
      <c r="F9" s="291" t="str">
        <f>IFERROR(INDEX(Disbursements!$D:$D,MATCH('Live Collections'!G9,Disbursements!$C:$C,0)),"")</f>
        <v/>
      </c>
      <c r="G9" s="34"/>
      <c r="H9" s="34">
        <v>1478</v>
      </c>
      <c r="I9" s="34" t="s">
        <v>1814</v>
      </c>
      <c r="J9" s="48">
        <v>15000</v>
      </c>
      <c r="K9" s="48">
        <v>5000</v>
      </c>
      <c r="L9" s="48"/>
      <c r="M9" s="48"/>
      <c r="N9" s="59"/>
      <c r="O9" s="59"/>
      <c r="P9" s="59"/>
      <c r="Q9" s="268">
        <f t="shared" si="2"/>
        <v>20000</v>
      </c>
      <c r="R9" s="61">
        <f>IF(O9=0,0,SUMIFS(Disbursements!$T:$T,Disbursements!$B:$B,'Live Collections'!D9,Disbursements!$D:$D,'Live Collections'!F9))</f>
        <v>0</v>
      </c>
      <c r="S9" s="304">
        <f>IF(O9&lt;=IF($O9=0,0,SUMIFS(Disbursements!$W:$W,Disbursements!$B:$B,'Live Collections'!D22,Disbursements!$D:$D,'Live Collections'!F22)),O9,IF($O9=0,0,SUMIFS(Disbursements!$W:$W,Disbursements!$B:$B,'Live Collections'!D22,Disbursements!$D:$D,'Live Collections'!F22)))</f>
        <v>0</v>
      </c>
      <c r="T9" s="304">
        <f t="shared" si="3"/>
        <v>0</v>
      </c>
      <c r="U9" s="52"/>
      <c r="V9" s="34"/>
      <c r="W9" s="408"/>
    </row>
    <row r="10" spans="1:23" ht="12.75" customHeight="1" x14ac:dyDescent="0.2">
      <c r="A10" s="132">
        <v>3</v>
      </c>
      <c r="B10" s="44">
        <v>44322</v>
      </c>
      <c r="C10" s="44">
        <f t="shared" si="1"/>
        <v>44322</v>
      </c>
      <c r="D10" s="374">
        <v>4</v>
      </c>
      <c r="E10" s="291" t="str">
        <f>IFERROR(VLOOKUP($D10,'Clients-Live'!$A:$C,3,0),"")</f>
        <v>EDERU EMMILLY</v>
      </c>
      <c r="F10" s="291" t="str">
        <f>IFERROR(INDEX(Disbursements!$D:$D,MATCH('Live Collections'!G10,Disbursements!$C:$C,0)),"")</f>
        <v/>
      </c>
      <c r="G10" s="34"/>
      <c r="H10" s="34"/>
      <c r="I10" s="34" t="s">
        <v>1814</v>
      </c>
      <c r="J10" s="48">
        <v>15000</v>
      </c>
      <c r="K10" s="48">
        <v>5000</v>
      </c>
      <c r="L10" s="48"/>
      <c r="M10" s="48"/>
      <c r="N10" s="59"/>
      <c r="O10" s="59"/>
      <c r="P10" s="59"/>
      <c r="Q10" s="268">
        <f t="shared" si="2"/>
        <v>20000</v>
      </c>
      <c r="R10" s="61">
        <f>IF(O10=0,0,SUMIFS(Disbursements!$T:$T,Disbursements!$B:$B,'Live Collections'!D10,Disbursements!$D:$D,'Live Collections'!F10))</f>
        <v>0</v>
      </c>
      <c r="S10" s="304">
        <f>IF(O10&lt;=IF($O10=0,0,SUMIFS(Disbursements!$W:$W,Disbursements!$B:$B,'Live Collections'!D34,Disbursements!$D:$D,'Live Collections'!F34)),O10,IF($O10=0,0,SUMIFS(Disbursements!$W:$W,Disbursements!$B:$B,'Live Collections'!D34,Disbursements!$D:$D,'Live Collections'!F34)))</f>
        <v>0</v>
      </c>
      <c r="T10" s="304">
        <f t="shared" si="3"/>
        <v>0</v>
      </c>
      <c r="U10" s="52">
        <v>783838700</v>
      </c>
      <c r="V10" s="34"/>
      <c r="W10" s="408"/>
    </row>
    <row r="11" spans="1:23" ht="12.75" customHeight="1" x14ac:dyDescent="0.2">
      <c r="A11" s="257">
        <v>4</v>
      </c>
      <c r="B11" s="44">
        <v>44322</v>
      </c>
      <c r="C11" s="44">
        <f t="shared" si="1"/>
        <v>44322</v>
      </c>
      <c r="D11" s="374">
        <v>5</v>
      </c>
      <c r="E11" s="291" t="str">
        <f>IFERROR(VLOOKUP($D11,'Clients-Live'!$A:$C,3,0),"")</f>
        <v>AYIKI MAWA</v>
      </c>
      <c r="F11" s="291" t="str">
        <f>IFERROR(INDEX(Disbursements!$D:$D,MATCH('Live Collections'!G11,Disbursements!$C:$C,0)),"")</f>
        <v/>
      </c>
      <c r="G11" s="34"/>
      <c r="H11" s="34"/>
      <c r="I11" s="34" t="s">
        <v>1814</v>
      </c>
      <c r="J11" s="48">
        <v>15000</v>
      </c>
      <c r="K11" s="48">
        <v>5000</v>
      </c>
      <c r="L11" s="48"/>
      <c r="M11" s="48"/>
      <c r="N11" s="59"/>
      <c r="O11" s="59"/>
      <c r="P11" s="59"/>
      <c r="Q11" s="268">
        <f t="shared" si="2"/>
        <v>20000</v>
      </c>
      <c r="R11" s="61">
        <f>IF(O11=0,0,SUMIFS(Disbursements!$T:$T,Disbursements!$B:$B,'Live Collections'!D11,Disbursements!$D:$D,'Live Collections'!F11))</f>
        <v>0</v>
      </c>
      <c r="S11" s="304">
        <f>IF(O11&lt;=IF($O11=0,0,SUMIFS(Disbursements!$W:$W,Disbursements!$B:$B,'Live Collections'!D35,Disbursements!$D:$D,'Live Collections'!F35)),O11,IF($O11=0,0,SUMIFS(Disbursements!$W:$W,Disbursements!$B:$B,'Live Collections'!D35,Disbursements!$D:$D,'Live Collections'!F35)))</f>
        <v>0</v>
      </c>
      <c r="T11" s="304">
        <f t="shared" si="3"/>
        <v>0</v>
      </c>
      <c r="U11" s="52">
        <v>778191587</v>
      </c>
      <c r="V11" s="34"/>
      <c r="W11" s="408"/>
    </row>
    <row r="12" spans="1:23" ht="12.75" customHeight="1" x14ac:dyDescent="0.2">
      <c r="A12" s="257">
        <v>5</v>
      </c>
      <c r="B12" s="44">
        <v>44323</v>
      </c>
      <c r="C12" s="44">
        <f t="shared" si="1"/>
        <v>44323</v>
      </c>
      <c r="D12" s="374">
        <v>6</v>
      </c>
      <c r="E12" s="291" t="str">
        <f>IFERROR(VLOOKUP($D12,'Clients-Live'!$A:$C,3,0),"")</f>
        <v>AMUTE BASHIR</v>
      </c>
      <c r="F12" s="291" t="str">
        <f>IFERROR(INDEX(Disbursements!$D:$D,MATCH('Live Collections'!G12,Disbursements!$C:$C,0)),"")</f>
        <v/>
      </c>
      <c r="G12" s="34"/>
      <c r="H12" s="34"/>
      <c r="I12" s="34" t="s">
        <v>1814</v>
      </c>
      <c r="J12" s="48">
        <v>15000</v>
      </c>
      <c r="K12" s="48">
        <v>5000</v>
      </c>
      <c r="L12" s="48"/>
      <c r="M12" s="48"/>
      <c r="N12" s="59"/>
      <c r="O12" s="59"/>
      <c r="P12" s="59"/>
      <c r="Q12" s="268">
        <f t="shared" si="2"/>
        <v>20000</v>
      </c>
      <c r="R12" s="61">
        <f>IF(O12=0,0,SUMIFS(Disbursements!$T:$T,Disbursements!$B:$B,'Live Collections'!D12,Disbursements!$D:$D,'Live Collections'!F12))</f>
        <v>0</v>
      </c>
      <c r="S12" s="304">
        <f>IF(O12&lt;=IF($O12=0,0,SUMIFS(Disbursements!$W:$W,Disbursements!$B:$B,'Live Collections'!D36,Disbursements!$D:$D,'Live Collections'!F36)),O12,IF($O12=0,0,SUMIFS(Disbursements!$W:$W,Disbursements!$B:$B,'Live Collections'!D36,Disbursements!$D:$D,'Live Collections'!F36)))</f>
        <v>0</v>
      </c>
      <c r="T12" s="304">
        <f t="shared" si="3"/>
        <v>0</v>
      </c>
      <c r="U12" s="52">
        <v>774186765</v>
      </c>
      <c r="V12" s="34"/>
      <c r="W12" s="408"/>
    </row>
    <row r="13" spans="1:23" ht="12.75" customHeight="1" x14ac:dyDescent="0.2">
      <c r="A13" s="257">
        <v>6</v>
      </c>
      <c r="B13" s="44">
        <v>44324</v>
      </c>
      <c r="C13" s="44">
        <f t="shared" si="1"/>
        <v>44324</v>
      </c>
      <c r="D13" s="374">
        <v>7</v>
      </c>
      <c r="E13" s="291" t="str">
        <f>IFERROR(VLOOKUP($D13,'Clients-Live'!$A:$C,3,0),"")</f>
        <v>CHANGE MOHAMMUDU</v>
      </c>
      <c r="F13" s="291" t="str">
        <f>IFERROR(INDEX(Disbursements!$D:$D,MATCH('Live Collections'!G13,Disbursements!$C:$C,0)),"")</f>
        <v/>
      </c>
      <c r="G13" s="34"/>
      <c r="H13" s="34"/>
      <c r="I13" s="34" t="s">
        <v>1814</v>
      </c>
      <c r="J13" s="48">
        <v>15000</v>
      </c>
      <c r="K13" s="48">
        <v>5000</v>
      </c>
      <c r="L13" s="48"/>
      <c r="M13" s="48"/>
      <c r="N13" s="59"/>
      <c r="O13" s="59"/>
      <c r="P13" s="59"/>
      <c r="Q13" s="268">
        <f t="shared" si="2"/>
        <v>20000</v>
      </c>
      <c r="R13" s="61">
        <f>IF(O13=0,0,SUMIFS(Disbursements!$T:$T,Disbursements!$B:$B,'Live Collections'!D13,Disbursements!$D:$D,'Live Collections'!F13))</f>
        <v>0</v>
      </c>
      <c r="S13" s="304">
        <f>IF(O13&lt;=IF($O13=0,0,SUMIFS(Disbursements!$W:$W,Disbursements!$B:$B,'Live Collections'!D66,Disbursements!$D:$D,'Live Collections'!F66)),O13,IF($O13=0,0,SUMIFS(Disbursements!$W:$W,Disbursements!$B:$B,'Live Collections'!D66,Disbursements!$D:$D,'Live Collections'!F66)))</f>
        <v>0</v>
      </c>
      <c r="T13" s="304">
        <f t="shared" si="3"/>
        <v>0</v>
      </c>
      <c r="U13" s="52">
        <v>781198580</v>
      </c>
      <c r="V13" s="34"/>
      <c r="W13" s="408"/>
    </row>
    <row r="14" spans="1:23" ht="12.75" customHeight="1" x14ac:dyDescent="0.2">
      <c r="A14" s="257">
        <v>7</v>
      </c>
      <c r="B14" s="44">
        <v>44324</v>
      </c>
      <c r="C14" s="44">
        <f t="shared" si="1"/>
        <v>44324</v>
      </c>
      <c r="D14" s="374">
        <v>8</v>
      </c>
      <c r="E14" s="291" t="str">
        <f>IFERROR(VLOOKUP($D14,'Clients-Live'!$A:$C,3,0),"")</f>
        <v>ALEMI THOMAS</v>
      </c>
      <c r="F14" s="291" t="str">
        <f>IFERROR(INDEX(Disbursements!$D:$D,MATCH('Live Collections'!G14,Disbursements!$C:$C,0)),"")</f>
        <v/>
      </c>
      <c r="G14" s="34"/>
      <c r="H14" s="34"/>
      <c r="I14" s="34" t="s">
        <v>1814</v>
      </c>
      <c r="J14" s="48">
        <v>15000</v>
      </c>
      <c r="K14" s="48">
        <v>5000</v>
      </c>
      <c r="L14" s="48"/>
      <c r="M14" s="48"/>
      <c r="N14" s="59"/>
      <c r="O14" s="59"/>
      <c r="P14" s="59"/>
      <c r="Q14" s="268">
        <f t="shared" si="2"/>
        <v>20000</v>
      </c>
      <c r="R14" s="61">
        <f>IF(O14=0,0,SUMIFS(Disbursements!$T:$T,Disbursements!$B:$B,'Live Collections'!D14,Disbursements!$D:$D,'Live Collections'!F14))</f>
        <v>0</v>
      </c>
      <c r="S14" s="304">
        <f>IF(O14&lt;=IF($O14=0,0,SUMIFS(Disbursements!$W:$W,Disbursements!$B:$B,'Live Collections'!D67,Disbursements!$D:$D,'Live Collections'!F67)),O14,IF($O14=0,0,SUMIFS(Disbursements!$W:$W,Disbursements!$B:$B,'Live Collections'!D67,Disbursements!$D:$D,'Live Collections'!F67)))</f>
        <v>0</v>
      </c>
      <c r="T14" s="304">
        <f t="shared" si="3"/>
        <v>0</v>
      </c>
      <c r="U14" s="52">
        <v>787955322</v>
      </c>
      <c r="V14" s="34"/>
      <c r="W14" s="408"/>
    </row>
    <row r="15" spans="1:23" ht="12.75" customHeight="1" x14ac:dyDescent="0.2">
      <c r="A15" s="257">
        <v>8</v>
      </c>
      <c r="B15" s="44">
        <v>44324</v>
      </c>
      <c r="C15" s="44">
        <f t="shared" si="1"/>
        <v>44324</v>
      </c>
      <c r="D15" s="374">
        <v>9</v>
      </c>
      <c r="E15" s="291" t="str">
        <f>IFERROR(VLOOKUP($D15,'Clients-Live'!$A:$C,3,0),"")</f>
        <v>TABAN DAVID YAYA</v>
      </c>
      <c r="F15" s="291" t="str">
        <f>IFERROR(INDEX(Disbursements!$D:$D,MATCH('Live Collections'!G15,Disbursements!$C:$C,0)),"")</f>
        <v/>
      </c>
      <c r="G15" s="34"/>
      <c r="H15" s="34"/>
      <c r="I15" s="34" t="s">
        <v>1814</v>
      </c>
      <c r="J15" s="48">
        <v>15000</v>
      </c>
      <c r="K15" s="48">
        <v>5000</v>
      </c>
      <c r="L15" s="48"/>
      <c r="M15" s="48"/>
      <c r="N15" s="59"/>
      <c r="O15" s="59"/>
      <c r="P15" s="59"/>
      <c r="Q15" s="268">
        <f t="shared" si="2"/>
        <v>20000</v>
      </c>
      <c r="R15" s="61">
        <f>IF(O15=0,0,SUMIFS(Disbursements!$T:$T,Disbursements!$B:$B,'Live Collections'!D15,Disbursements!$D:$D,'Live Collections'!F15))</f>
        <v>0</v>
      </c>
      <c r="S15" s="304">
        <f>IF(O15&lt;=IF($O15=0,0,SUMIFS(Disbursements!$W:$W,Disbursements!$B:$B,'Live Collections'!D77,Disbursements!$D:$D,'Live Collections'!F77)),O15,IF($O15=0,0,SUMIFS(Disbursements!$W:$W,Disbursements!$B:$B,'Live Collections'!D77,Disbursements!$D:$D,'Live Collections'!F77)))</f>
        <v>0</v>
      </c>
      <c r="T15" s="304">
        <f t="shared" si="3"/>
        <v>0</v>
      </c>
      <c r="U15" s="52">
        <v>770608989</v>
      </c>
      <c r="V15" s="34"/>
      <c r="W15" s="408"/>
    </row>
    <row r="16" spans="1:23" ht="12.75" customHeight="1" x14ac:dyDescent="0.2">
      <c r="A16" s="257">
        <v>9</v>
      </c>
      <c r="B16" s="44">
        <v>44324</v>
      </c>
      <c r="C16" s="44">
        <f t="shared" si="1"/>
        <v>44324</v>
      </c>
      <c r="D16" s="374">
        <v>10</v>
      </c>
      <c r="E16" s="291" t="str">
        <f>IFERROR(VLOOKUP($D16,'Clients-Live'!$A:$C,3,0),"")</f>
        <v>WARU ARIEYE VALENTINA CHARLES</v>
      </c>
      <c r="F16" s="291" t="str">
        <f>IFERROR(INDEX(Disbursements!$D:$D,MATCH('Live Collections'!G16,Disbursements!$C:$C,0)),"")</f>
        <v/>
      </c>
      <c r="G16" s="34"/>
      <c r="H16" s="34"/>
      <c r="I16" s="34" t="s">
        <v>1814</v>
      </c>
      <c r="J16" s="48">
        <v>15000</v>
      </c>
      <c r="K16" s="48">
        <v>5000</v>
      </c>
      <c r="L16" s="48"/>
      <c r="M16" s="48"/>
      <c r="N16" s="59"/>
      <c r="O16" s="59"/>
      <c r="P16" s="59"/>
      <c r="Q16" s="268">
        <f t="shared" si="2"/>
        <v>20000</v>
      </c>
      <c r="R16" s="61">
        <f>IF(O16=0,0,SUMIFS(Disbursements!$T:$T,Disbursements!$B:$B,'Live Collections'!D16,Disbursements!$D:$D,'Live Collections'!F16))</f>
        <v>0</v>
      </c>
      <c r="S16" s="304">
        <f>IF(O16&lt;=IF($O16=0,0,SUMIFS(Disbursements!$W:$W,Disbursements!$B:$B,'Live Collections'!D100,Disbursements!$D:$D,'Live Collections'!F100)),O16,IF($O16=0,0,SUMIFS(Disbursements!$W:$W,Disbursements!$B:$B,'Live Collections'!D100,Disbursements!$D:$D,'Live Collections'!F100)))</f>
        <v>0</v>
      </c>
      <c r="T16" s="304">
        <f t="shared" si="3"/>
        <v>0</v>
      </c>
      <c r="U16" s="52">
        <v>781421992</v>
      </c>
      <c r="V16" s="34"/>
      <c r="W16" s="408"/>
    </row>
    <row r="17" spans="1:23" ht="12.75" customHeight="1" x14ac:dyDescent="0.2">
      <c r="A17" s="257">
        <v>10</v>
      </c>
      <c r="B17" s="44">
        <v>44324</v>
      </c>
      <c r="C17" s="44">
        <f t="shared" si="1"/>
        <v>44324</v>
      </c>
      <c r="D17" s="374">
        <v>11</v>
      </c>
      <c r="E17" s="291" t="str">
        <f>IFERROR(VLOOKUP($D17,'Clients-Live'!$A:$C,3,0),"")</f>
        <v>ARIME JUMA</v>
      </c>
      <c r="F17" s="291" t="str">
        <f>IFERROR(INDEX(Disbursements!$D:$D,MATCH('Live Collections'!G17,Disbursements!$C:$C,0)),"")</f>
        <v/>
      </c>
      <c r="G17" s="34"/>
      <c r="H17" s="34">
        <v>49</v>
      </c>
      <c r="I17" s="34" t="s">
        <v>1814</v>
      </c>
      <c r="J17" s="48">
        <v>15000</v>
      </c>
      <c r="K17" s="48">
        <v>5000</v>
      </c>
      <c r="L17" s="48"/>
      <c r="M17" s="48"/>
      <c r="N17" s="59"/>
      <c r="O17" s="59"/>
      <c r="P17" s="59"/>
      <c r="Q17" s="268">
        <f t="shared" si="2"/>
        <v>20000</v>
      </c>
      <c r="R17" s="61">
        <f>IF(O17=0,0,SUMIFS(Disbursements!$T:$T,Disbursements!$B:$B,'Live Collections'!D17,Disbursements!$D:$D,'Live Collections'!F17))</f>
        <v>0</v>
      </c>
      <c r="S17" s="304">
        <f>IF(O17&lt;=IF($O17=0,0,SUMIFS(Disbursements!$W:$W,Disbursements!$B:$B,'Live Collections'!D106,Disbursements!$D:$D,'Live Collections'!F106)),O17,IF($O17=0,0,SUMIFS(Disbursements!$W:$W,Disbursements!$B:$B,'Live Collections'!D106,Disbursements!$D:$D,'Live Collections'!F106)))</f>
        <v>0</v>
      </c>
      <c r="T17" s="304">
        <f t="shared" si="3"/>
        <v>0</v>
      </c>
      <c r="U17" s="52">
        <v>780427424</v>
      </c>
      <c r="V17" s="34"/>
      <c r="W17" s="408"/>
    </row>
    <row r="18" spans="1:23" ht="12.75" customHeight="1" x14ac:dyDescent="0.2">
      <c r="A18" s="257">
        <v>13</v>
      </c>
      <c r="B18" s="44">
        <v>44326</v>
      </c>
      <c r="C18" s="44">
        <f t="shared" si="1"/>
        <v>44326</v>
      </c>
      <c r="D18" s="374">
        <v>8</v>
      </c>
      <c r="E18" s="291" t="str">
        <f>IFERROR(VLOOKUP($D18,'Clients-Live'!$A:$C,3,0),"")</f>
        <v>ALEMI THOMAS</v>
      </c>
      <c r="F18" s="291">
        <f>IFERROR(INDEX(Disbursements!$D:$D,MATCH('Live Collections'!G18,Disbursements!$C:$C,0)),"")</f>
        <v>1</v>
      </c>
      <c r="G18" s="34">
        <v>1</v>
      </c>
      <c r="H18" s="34"/>
      <c r="I18" s="34" t="s">
        <v>862</v>
      </c>
      <c r="J18" s="48"/>
      <c r="K18" s="48"/>
      <c r="L18" s="48">
        <v>10000</v>
      </c>
      <c r="M18" s="48">
        <v>5000</v>
      </c>
      <c r="N18" s="59"/>
      <c r="O18" s="59"/>
      <c r="P18" s="59">
        <v>30000</v>
      </c>
      <c r="Q18" s="268">
        <f t="shared" si="2"/>
        <v>45000</v>
      </c>
      <c r="R18" s="61">
        <f>IF(O18=0,0,SUMIFS(Disbursements!$T:$T,Disbursements!$B:$B,'Live Collections'!D18,Disbursements!$D:$D,'Live Collections'!F18))</f>
        <v>0</v>
      </c>
      <c r="S18" s="304">
        <f>IF(O18&lt;=IF($O18=0,0,SUMIFS(Disbursements!$W:$W,Disbursements!$B:$B,'Live Collections'!D68,Disbursements!$D:$D,'Live Collections'!F68)),O18,IF($O18=0,0,SUMIFS(Disbursements!$W:$W,Disbursements!$B:$B,'Live Collections'!D68,Disbursements!$D:$D,'Live Collections'!F68)))</f>
        <v>0</v>
      </c>
      <c r="T18" s="304">
        <f t="shared" si="3"/>
        <v>0</v>
      </c>
      <c r="U18" s="52"/>
      <c r="V18" s="34"/>
      <c r="W18" s="408"/>
    </row>
    <row r="19" spans="1:23" ht="12.75" customHeight="1" x14ac:dyDescent="0.2">
      <c r="A19" s="257">
        <v>11</v>
      </c>
      <c r="B19" s="44">
        <v>44326</v>
      </c>
      <c r="C19" s="44">
        <f t="shared" si="1"/>
        <v>44326</v>
      </c>
      <c r="D19" s="374">
        <v>12</v>
      </c>
      <c r="E19" s="291" t="str">
        <f>IFERROR(VLOOKUP($D19,'Clients-Live'!$A:$C,3,0),"")</f>
        <v>DRELIA SIMON DEADSON</v>
      </c>
      <c r="F19" s="291" t="str">
        <f>IFERROR(INDEX(Disbursements!$D:$D,MATCH('Live Collections'!G19,Disbursements!$C:$C,0)),"")</f>
        <v/>
      </c>
      <c r="G19" s="34"/>
      <c r="H19" s="34"/>
      <c r="I19" s="34" t="s">
        <v>1814</v>
      </c>
      <c r="J19" s="48">
        <v>15000</v>
      </c>
      <c r="K19" s="48">
        <v>5000</v>
      </c>
      <c r="L19" s="48"/>
      <c r="M19" s="48"/>
      <c r="N19" s="59"/>
      <c r="O19" s="59"/>
      <c r="P19" s="59"/>
      <c r="Q19" s="268">
        <f t="shared" si="2"/>
        <v>20000</v>
      </c>
      <c r="R19" s="61">
        <f>IF(O19=0,0,SUMIFS(Disbursements!$T:$T,Disbursements!$B:$B,'Live Collections'!D19,Disbursements!$D:$D,'Live Collections'!F19))</f>
        <v>0</v>
      </c>
      <c r="S19" s="304">
        <f>IF(O19&lt;=IF($O19=0,0,SUMIFS(Disbursements!$W:$W,Disbursements!$B:$B,'Live Collections'!D119,Disbursements!$D:$D,'Live Collections'!F119)),O19,IF($O19=0,0,SUMIFS(Disbursements!$W:$W,Disbursements!$B:$B,'Live Collections'!D119,Disbursements!$D:$D,'Live Collections'!F119)))</f>
        <v>0</v>
      </c>
      <c r="T19" s="304">
        <f t="shared" si="3"/>
        <v>0</v>
      </c>
      <c r="U19" s="52">
        <v>774084455</v>
      </c>
      <c r="V19" s="34"/>
      <c r="W19" s="408"/>
    </row>
    <row r="20" spans="1:23" ht="12.75" customHeight="1" x14ac:dyDescent="0.2">
      <c r="A20" s="257">
        <v>12</v>
      </c>
      <c r="B20" s="44">
        <v>44326</v>
      </c>
      <c r="C20" s="44">
        <f t="shared" si="1"/>
        <v>44326</v>
      </c>
      <c r="D20" s="374">
        <v>13</v>
      </c>
      <c r="E20" s="291" t="str">
        <f>IFERROR(VLOOKUP($D20,'Clients-Live'!$A:$C,3,0),"")</f>
        <v>ALLONE AMOS DAMAI</v>
      </c>
      <c r="F20" s="291" t="str">
        <f>IFERROR(INDEX(Disbursements!$D:$D,MATCH('Live Collections'!G20,Disbursements!$C:$C,0)),"")</f>
        <v/>
      </c>
      <c r="G20" s="34"/>
      <c r="H20" s="34"/>
      <c r="I20" s="34" t="s">
        <v>1814</v>
      </c>
      <c r="J20" s="48">
        <v>15000</v>
      </c>
      <c r="K20" s="48">
        <v>5000</v>
      </c>
      <c r="L20" s="48"/>
      <c r="M20" s="48"/>
      <c r="N20" s="59"/>
      <c r="O20" s="59"/>
      <c r="P20" s="59"/>
      <c r="Q20" s="268">
        <f t="shared" si="2"/>
        <v>20000</v>
      </c>
      <c r="R20" s="61">
        <f>IF(O20=0,0,SUMIFS(Disbursements!$T:$T,Disbursements!$B:$B,'Live Collections'!D20,Disbursements!$D:$D,'Live Collections'!F20))</f>
        <v>0</v>
      </c>
      <c r="S20" s="304">
        <f>IF(O20&lt;=IF($O20=0,0,SUMIFS(Disbursements!$W:$W,Disbursements!$B:$B,'Live Collections'!D133,Disbursements!$D:$D,'Live Collections'!F133)),O20,IF($O20=0,0,SUMIFS(Disbursements!$W:$W,Disbursements!$B:$B,'Live Collections'!D133,Disbursements!$D:$D,'Live Collections'!F133)))</f>
        <v>0</v>
      </c>
      <c r="T20" s="304">
        <f t="shared" si="3"/>
        <v>0</v>
      </c>
      <c r="U20" s="52">
        <v>783606732</v>
      </c>
      <c r="V20" s="34"/>
      <c r="W20" s="408"/>
    </row>
    <row r="21" spans="1:23" ht="12.75" customHeight="1" x14ac:dyDescent="0.2">
      <c r="A21" s="257">
        <v>14</v>
      </c>
      <c r="B21" s="44">
        <v>44327</v>
      </c>
      <c r="C21" s="44">
        <f t="shared" si="1"/>
        <v>44327</v>
      </c>
      <c r="D21" s="374">
        <v>6</v>
      </c>
      <c r="E21" s="291" t="str">
        <f>IFERROR(VLOOKUP($D21,'Clients-Live'!$A:$C,3,0),"")</f>
        <v>AMUTE BASHIR</v>
      </c>
      <c r="F21" s="291">
        <f>IFERROR(INDEX(Disbursements!$D:$D,MATCH('Live Collections'!G21,Disbursements!$C:$C,0)),"")</f>
        <v>1</v>
      </c>
      <c r="G21" s="34">
        <v>2</v>
      </c>
      <c r="H21" s="34"/>
      <c r="I21" s="34" t="s">
        <v>863</v>
      </c>
      <c r="J21" s="48"/>
      <c r="K21" s="48"/>
      <c r="L21" s="48">
        <v>10000</v>
      </c>
      <c r="M21" s="48">
        <v>5000</v>
      </c>
      <c r="N21" s="59"/>
      <c r="O21" s="59"/>
      <c r="P21" s="59">
        <v>200000</v>
      </c>
      <c r="Q21" s="268">
        <f t="shared" si="2"/>
        <v>215000</v>
      </c>
      <c r="R21" s="61">
        <f>IF(O21=0,0,SUMIFS(Disbursements!$T:$T,Disbursements!$B:$B,'Live Collections'!D21,Disbursements!$D:$D,'Live Collections'!F21))</f>
        <v>0</v>
      </c>
      <c r="S21" s="304">
        <f>IF(O21&lt;=IF($O21=0,0,SUMIFS(Disbursements!$W:$W,Disbursements!$B:$B,'Live Collections'!D37,Disbursements!$D:$D,'Live Collections'!F37)),O21,IF($O21=0,0,SUMIFS(Disbursements!$W:$W,Disbursements!$B:$B,'Live Collections'!D37,Disbursements!$D:$D,'Live Collections'!F37)))</f>
        <v>0</v>
      </c>
      <c r="T21" s="304">
        <f t="shared" si="3"/>
        <v>0</v>
      </c>
      <c r="U21" s="52"/>
      <c r="V21" s="34"/>
      <c r="W21" s="408"/>
    </row>
    <row r="22" spans="1:23" ht="12.75" customHeight="1" x14ac:dyDescent="0.2">
      <c r="A22" s="132">
        <v>15</v>
      </c>
      <c r="B22" s="44">
        <v>44327</v>
      </c>
      <c r="C22" s="44">
        <f t="shared" si="1"/>
        <v>44327</v>
      </c>
      <c r="D22" s="374">
        <v>12</v>
      </c>
      <c r="E22" s="291" t="str">
        <f>IFERROR(VLOOKUP($D22,'Clients-Live'!$A:$C,3,0),"")</f>
        <v>DRELIA SIMON DEADSON</v>
      </c>
      <c r="F22" s="291">
        <f>IFERROR(INDEX(Disbursements!$D:$D,MATCH('Live Collections'!G22,Disbursements!$C:$C,0)),"")</f>
        <v>1</v>
      </c>
      <c r="G22" s="34">
        <v>3</v>
      </c>
      <c r="H22" s="34"/>
      <c r="I22" s="34" t="s">
        <v>864</v>
      </c>
      <c r="J22" s="48"/>
      <c r="K22" s="48"/>
      <c r="L22" s="48">
        <v>10000</v>
      </c>
      <c r="M22" s="48">
        <v>5000</v>
      </c>
      <c r="N22" s="59"/>
      <c r="O22" s="59"/>
      <c r="P22" s="59">
        <v>30000</v>
      </c>
      <c r="Q22" s="268">
        <f t="shared" si="2"/>
        <v>45000</v>
      </c>
      <c r="R22" s="61">
        <f>IF(O22=0,0,SUMIFS(Disbursements!$T:$T,Disbursements!$B:$B,'Live Collections'!D22,Disbursements!$D:$D,'Live Collections'!F22))</f>
        <v>0</v>
      </c>
      <c r="S22" s="304">
        <f>IF(O22&lt;=IF($O22=0,0,SUMIFS(Disbursements!$W:$W,Disbursements!$B:$B,'Live Collections'!D120,Disbursements!$D:$D,'Live Collections'!F120)),O22,IF($O22=0,0,SUMIFS(Disbursements!$W:$W,Disbursements!$B:$B,'Live Collections'!D120,Disbursements!$D:$D,'Live Collections'!F120)))</f>
        <v>0</v>
      </c>
      <c r="T22" s="304">
        <f t="shared" si="3"/>
        <v>0</v>
      </c>
      <c r="U22" s="52"/>
      <c r="V22" s="34"/>
      <c r="W22" s="408"/>
    </row>
    <row r="23" spans="1:23" ht="12.75" customHeight="1" x14ac:dyDescent="0.2">
      <c r="A23" s="257">
        <v>17</v>
      </c>
      <c r="B23" s="44">
        <v>44330</v>
      </c>
      <c r="C23" s="44">
        <f t="shared" si="1"/>
        <v>44330</v>
      </c>
      <c r="D23" s="374">
        <v>2</v>
      </c>
      <c r="E23" s="291" t="str">
        <f>IFERROR(VLOOKUP($D23,'Clients-Live'!$A:$C,3,0),"")</f>
        <v>LEYA ROSE</v>
      </c>
      <c r="F23" s="291">
        <f>IFERROR(INDEX(Disbursements!$D:$D,MATCH('Live Collections'!G23,Disbursements!$C:$C,0)),"")</f>
        <v>1</v>
      </c>
      <c r="G23" s="34">
        <v>4</v>
      </c>
      <c r="H23" s="34"/>
      <c r="I23" s="34" t="s">
        <v>864</v>
      </c>
      <c r="J23" s="48"/>
      <c r="K23" s="48"/>
      <c r="L23" s="48">
        <v>10000</v>
      </c>
      <c r="M23" s="48">
        <v>5000</v>
      </c>
      <c r="N23" s="59"/>
      <c r="O23" s="59"/>
      <c r="P23" s="59">
        <v>100000</v>
      </c>
      <c r="Q23" s="268">
        <f t="shared" si="2"/>
        <v>115000</v>
      </c>
      <c r="R23" s="61">
        <f>IF(O23=0,0,SUMIFS(Disbursements!$T:$T,Disbursements!$B:$B,'Live Collections'!D23,Disbursements!$D:$D,'Live Collections'!F23))</f>
        <v>0</v>
      </c>
      <c r="S23" s="304">
        <f>IF(O23&lt;=IF($O23=0,0,SUMIFS(Disbursements!$W:$W,Disbursements!$B:$B,'Live Collections'!D12,Disbursements!$D:$D,'Live Collections'!F12)),O23,IF($O23=0,0,SUMIFS(Disbursements!$W:$W,Disbursements!$B:$B,'Live Collections'!D12,Disbursements!$D:$D,'Live Collections'!F12)))</f>
        <v>0</v>
      </c>
      <c r="T23" s="304">
        <f t="shared" si="3"/>
        <v>0</v>
      </c>
      <c r="U23" s="52"/>
      <c r="V23" s="34"/>
      <c r="W23" s="408"/>
    </row>
    <row r="24" spans="1:23" ht="12.75" customHeight="1" x14ac:dyDescent="0.2">
      <c r="A24" s="132">
        <v>16</v>
      </c>
      <c r="B24" s="44">
        <v>44330</v>
      </c>
      <c r="C24" s="44">
        <f t="shared" si="1"/>
        <v>44330</v>
      </c>
      <c r="D24" s="374">
        <v>14</v>
      </c>
      <c r="E24" s="291" t="str">
        <f>IFERROR(VLOOKUP($D24,'Clients-Live'!$A:$C,3,0),"")</f>
        <v>ASIKU ROMANO ADEBUA</v>
      </c>
      <c r="F24" s="291" t="str">
        <f>IFERROR(INDEX(Disbursements!$D:$D,MATCH('Live Collections'!G24,Disbursements!$C:$C,0)),"")</f>
        <v/>
      </c>
      <c r="G24" s="34"/>
      <c r="H24" s="34"/>
      <c r="I24" s="34" t="s">
        <v>1814</v>
      </c>
      <c r="J24" s="48">
        <v>15000</v>
      </c>
      <c r="K24" s="48">
        <v>5000</v>
      </c>
      <c r="L24" s="48"/>
      <c r="M24" s="48"/>
      <c r="N24" s="59"/>
      <c r="O24" s="59"/>
      <c r="P24" s="59"/>
      <c r="Q24" s="268">
        <f t="shared" si="2"/>
        <v>20000</v>
      </c>
      <c r="R24" s="61">
        <f>IF(O24=0,0,SUMIFS(Disbursements!$T:$T,Disbursements!$B:$B,'Live Collections'!D24,Disbursements!$D:$D,'Live Collections'!F24))</f>
        <v>0</v>
      </c>
      <c r="S24" s="304">
        <f>IF(O24&lt;=IF($O24=0,0,SUMIFS(Disbursements!$W:$W,Disbursements!$B:$B,'Live Collections'!D145,Disbursements!$D:$D,'Live Collections'!F145)),O24,IF($O24=0,0,SUMIFS(Disbursements!$W:$W,Disbursements!$B:$B,'Live Collections'!D145,Disbursements!$D:$D,'Live Collections'!F145)))</f>
        <v>0</v>
      </c>
      <c r="T24" s="304">
        <f t="shared" si="3"/>
        <v>0</v>
      </c>
      <c r="U24" s="52">
        <v>773482402</v>
      </c>
      <c r="V24" s="34">
        <v>784778091</v>
      </c>
      <c r="W24" s="408"/>
    </row>
    <row r="25" spans="1:23" ht="12.75" customHeight="1" x14ac:dyDescent="0.2">
      <c r="A25" s="257">
        <v>18</v>
      </c>
      <c r="B25" s="44">
        <v>44331</v>
      </c>
      <c r="C25" s="44">
        <f t="shared" si="1"/>
        <v>44331</v>
      </c>
      <c r="D25" s="374">
        <v>15</v>
      </c>
      <c r="E25" s="291" t="str">
        <f>IFERROR(VLOOKUP($D25,'Clients-Live'!$A:$C,3,0),"")</f>
        <v>NATOSHA LUCY</v>
      </c>
      <c r="F25" s="291" t="str">
        <f>IFERROR(INDEX(Disbursements!$D:$D,MATCH('Live Collections'!G25,Disbursements!$C:$C,0)),"")</f>
        <v/>
      </c>
      <c r="G25" s="34"/>
      <c r="H25" s="34"/>
      <c r="I25" s="34" t="s">
        <v>1814</v>
      </c>
      <c r="J25" s="48">
        <v>15000</v>
      </c>
      <c r="K25" s="48">
        <v>5000</v>
      </c>
      <c r="L25" s="48"/>
      <c r="M25" s="48"/>
      <c r="N25" s="59"/>
      <c r="O25" s="59"/>
      <c r="P25" s="59"/>
      <c r="Q25" s="268">
        <f t="shared" si="2"/>
        <v>20000</v>
      </c>
      <c r="R25" s="61">
        <f>IF(O25=0,0,SUMIFS(Disbursements!$T:$T,Disbursements!$B:$B,'Live Collections'!D25,Disbursements!$D:$D,'Live Collections'!F25))</f>
        <v>0</v>
      </c>
      <c r="S25" s="304">
        <f>IF(O25&lt;=IF($O25=0,0,SUMIFS(Disbursements!$W:$W,Disbursements!$B:$B,'Live Collections'!D153,Disbursements!$D:$D,'Live Collections'!F153)),O25,IF($O25=0,0,SUMIFS(Disbursements!$W:$W,Disbursements!$B:$B,'Live Collections'!D153,Disbursements!$D:$D,'Live Collections'!F153)))</f>
        <v>0</v>
      </c>
      <c r="T25" s="304">
        <f t="shared" si="3"/>
        <v>0</v>
      </c>
      <c r="U25" s="52">
        <v>787955883</v>
      </c>
      <c r="V25" s="34"/>
      <c r="W25" s="408"/>
    </row>
    <row r="26" spans="1:23" ht="12.75" customHeight="1" x14ac:dyDescent="0.2">
      <c r="A26" s="132">
        <v>19</v>
      </c>
      <c r="B26" s="44">
        <v>44333</v>
      </c>
      <c r="C26" s="44">
        <f t="shared" si="1"/>
        <v>44333</v>
      </c>
      <c r="D26" s="374">
        <v>14</v>
      </c>
      <c r="E26" s="291" t="str">
        <f>IFERROR(VLOOKUP($D26,'Clients-Live'!$A:$C,3,0),"")</f>
        <v>ASIKU ROMANO ADEBUA</v>
      </c>
      <c r="F26" s="291">
        <f>IFERROR(INDEX(Disbursements!$D:$D,MATCH('Live Collections'!G26,Disbursements!$C:$C,0)),"")</f>
        <v>1</v>
      </c>
      <c r="G26" s="34">
        <v>5</v>
      </c>
      <c r="H26" s="34"/>
      <c r="I26" s="34" t="s">
        <v>864</v>
      </c>
      <c r="J26" s="48"/>
      <c r="K26" s="48"/>
      <c r="L26" s="48">
        <v>10000</v>
      </c>
      <c r="M26" s="48">
        <v>5000</v>
      </c>
      <c r="N26" s="59"/>
      <c r="O26" s="59"/>
      <c r="P26" s="59">
        <v>100000</v>
      </c>
      <c r="Q26" s="268">
        <f t="shared" si="2"/>
        <v>115000</v>
      </c>
      <c r="R26" s="61">
        <f>IF(O26=0,0,SUMIFS(Disbursements!$T:$T,Disbursements!$B:$B,'Live Collections'!D26,Disbursements!$D:$D,'Live Collections'!F26))</f>
        <v>0</v>
      </c>
      <c r="S26" s="304">
        <f>IF(O26&lt;=IF($O26=0,0,SUMIFS(Disbursements!$W:$W,Disbursements!$B:$B,'Live Collections'!D146,Disbursements!$D:$D,'Live Collections'!F146)),O26,IF($O26=0,0,SUMIFS(Disbursements!$W:$W,Disbursements!$B:$B,'Live Collections'!D146,Disbursements!$D:$D,'Live Collections'!F146)))</f>
        <v>0</v>
      </c>
      <c r="T26" s="304">
        <f t="shared" si="3"/>
        <v>0</v>
      </c>
      <c r="U26" s="52"/>
      <c r="V26" s="34"/>
      <c r="W26" s="408"/>
    </row>
    <row r="27" spans="1:23" ht="12.75" customHeight="1" x14ac:dyDescent="0.2">
      <c r="A27" s="257">
        <v>20</v>
      </c>
      <c r="B27" s="44">
        <v>44334</v>
      </c>
      <c r="C27" s="44">
        <f t="shared" si="1"/>
        <v>44334</v>
      </c>
      <c r="D27" s="374">
        <v>16</v>
      </c>
      <c r="E27" s="291" t="str">
        <f>IFERROR(VLOOKUP($D27,'Clients-Live'!$A:$C,3,0),"")</f>
        <v>OKELLO ACTION</v>
      </c>
      <c r="F27" s="291" t="str">
        <f>IFERROR(INDEX(Disbursements!$D:$D,MATCH('Live Collections'!G27,Disbursements!$C:$C,0)),"")</f>
        <v/>
      </c>
      <c r="G27" s="34"/>
      <c r="H27" s="34"/>
      <c r="I27" s="34" t="s">
        <v>1814</v>
      </c>
      <c r="J27" s="48">
        <v>15000</v>
      </c>
      <c r="K27" s="48">
        <v>5000</v>
      </c>
      <c r="L27" s="48"/>
      <c r="M27" s="48"/>
      <c r="N27" s="59"/>
      <c r="O27" s="59"/>
      <c r="P27" s="59"/>
      <c r="Q27" s="268">
        <f t="shared" si="2"/>
        <v>20000</v>
      </c>
      <c r="R27" s="61">
        <f>IF(O27=0,0,SUMIFS(Disbursements!$T:$T,Disbursements!$B:$B,'Live Collections'!D27,Disbursements!$D:$D,'Live Collections'!F27))</f>
        <v>0</v>
      </c>
      <c r="S27" s="304">
        <f>IF(O27&lt;=IF($O27=0,0,SUMIFS(Disbursements!$W:$W,Disbursements!$B:$B,'Live Collections'!D170,Disbursements!$D:$D,'Live Collections'!F170)),O27,IF($O27=0,0,SUMIFS(Disbursements!$W:$W,Disbursements!$B:$B,'Live Collections'!D170,Disbursements!$D:$D,'Live Collections'!F170)))</f>
        <v>0</v>
      </c>
      <c r="T27" s="304">
        <f t="shared" si="3"/>
        <v>0</v>
      </c>
      <c r="U27" s="52">
        <v>773194718</v>
      </c>
      <c r="V27" s="34"/>
      <c r="W27" s="408"/>
    </row>
    <row r="28" spans="1:23" ht="12.75" customHeight="1" x14ac:dyDescent="0.2">
      <c r="A28" s="132">
        <v>23</v>
      </c>
      <c r="B28" s="44">
        <v>44335</v>
      </c>
      <c r="C28" s="44">
        <f t="shared" si="1"/>
        <v>44335</v>
      </c>
      <c r="D28" s="374">
        <v>16</v>
      </c>
      <c r="E28" s="291" t="str">
        <f>IFERROR(VLOOKUP($D28,'Clients-Live'!$A:$C,3,0),"")</f>
        <v>OKELLO ACTION</v>
      </c>
      <c r="F28" s="291">
        <f>IFERROR(INDEX(Disbursements!$D:$D,MATCH('Live Collections'!G28,Disbursements!$C:$C,0)),"")</f>
        <v>1</v>
      </c>
      <c r="G28" s="34">
        <v>6</v>
      </c>
      <c r="H28" s="34"/>
      <c r="I28" s="34" t="s">
        <v>862</v>
      </c>
      <c r="J28" s="48"/>
      <c r="K28" s="48"/>
      <c r="L28" s="48">
        <v>10000</v>
      </c>
      <c r="M28" s="48">
        <v>5000</v>
      </c>
      <c r="N28" s="59"/>
      <c r="O28" s="59"/>
      <c r="P28" s="59">
        <v>60000</v>
      </c>
      <c r="Q28" s="268">
        <f t="shared" si="2"/>
        <v>75000</v>
      </c>
      <c r="R28" s="61">
        <f>IF(O28=0,0,SUMIFS(Disbursements!$T:$T,Disbursements!$B:$B,'Live Collections'!D28,Disbursements!$D:$D,'Live Collections'!F28))</f>
        <v>0</v>
      </c>
      <c r="S28" s="304">
        <f>IF(O28&lt;=IF($O28=0,0,SUMIFS(Disbursements!$W:$W,Disbursements!$B:$B,'Live Collections'!D171,Disbursements!$D:$D,'Live Collections'!F171)),O28,IF($O28=0,0,SUMIFS(Disbursements!$W:$W,Disbursements!$B:$B,'Live Collections'!D171,Disbursements!$D:$D,'Live Collections'!F171)))</f>
        <v>0</v>
      </c>
      <c r="T28" s="304">
        <f t="shared" si="3"/>
        <v>0</v>
      </c>
      <c r="U28" s="52"/>
      <c r="V28" s="34"/>
      <c r="W28" s="408"/>
    </row>
    <row r="29" spans="1:23" ht="12.75" customHeight="1" x14ac:dyDescent="0.2">
      <c r="A29" s="257">
        <v>21</v>
      </c>
      <c r="B29" s="44">
        <v>44335</v>
      </c>
      <c r="C29" s="44">
        <f t="shared" si="1"/>
        <v>44335</v>
      </c>
      <c r="D29" s="374">
        <v>17</v>
      </c>
      <c r="E29" s="291" t="str">
        <f>IFERROR(VLOOKUP($D29,'Clients-Live'!$A:$C,3,0),"")</f>
        <v>MAMBU BAYI</v>
      </c>
      <c r="F29" s="291" t="str">
        <f>IFERROR(INDEX(Disbursements!$D:$D,MATCH('Live Collections'!G29,Disbursements!$C:$C,0)),"")</f>
        <v/>
      </c>
      <c r="G29" s="34"/>
      <c r="H29" s="34"/>
      <c r="I29" s="34" t="s">
        <v>1814</v>
      </c>
      <c r="J29" s="48">
        <v>15000</v>
      </c>
      <c r="K29" s="48">
        <v>5000</v>
      </c>
      <c r="L29" s="48"/>
      <c r="M29" s="48"/>
      <c r="N29" s="59"/>
      <c r="O29" s="59"/>
      <c r="P29" s="59"/>
      <c r="Q29" s="268">
        <f t="shared" si="2"/>
        <v>20000</v>
      </c>
      <c r="R29" s="61">
        <f>IF(O29=0,0,SUMIFS(Disbursements!$T:$T,Disbursements!$B:$B,'Live Collections'!D29,Disbursements!$D:$D,'Live Collections'!F29))</f>
        <v>0</v>
      </c>
      <c r="S29" s="304">
        <f>IF(O29&lt;=IF($O29=0,0,SUMIFS(Disbursements!$W:$W,Disbursements!$B:$B,'Live Collections'!D174,Disbursements!$D:$D,'Live Collections'!F174)),O29,IF($O29=0,0,SUMIFS(Disbursements!$W:$W,Disbursements!$B:$B,'Live Collections'!D174,Disbursements!$D:$D,'Live Collections'!F174)))</f>
        <v>0</v>
      </c>
      <c r="T29" s="304">
        <f t="shared" si="3"/>
        <v>0</v>
      </c>
      <c r="U29" s="52">
        <v>779924172</v>
      </c>
      <c r="V29" s="34"/>
      <c r="W29" s="408"/>
    </row>
    <row r="30" spans="1:23" ht="12.75" customHeight="1" x14ac:dyDescent="0.2">
      <c r="A30" s="132">
        <v>22</v>
      </c>
      <c r="B30" s="44">
        <v>44335</v>
      </c>
      <c r="C30" s="44">
        <f t="shared" si="1"/>
        <v>44335</v>
      </c>
      <c r="D30" s="374">
        <v>18</v>
      </c>
      <c r="E30" s="291" t="str">
        <f>IFERROR(VLOOKUP($D30,'Clients-Live'!$A:$C,3,0),"")</f>
        <v>ARIYE PEACE</v>
      </c>
      <c r="F30" s="291" t="str">
        <f>IFERROR(INDEX(Disbursements!$D:$D,MATCH('Live Collections'!G30,Disbursements!$C:$C,0)),"")</f>
        <v/>
      </c>
      <c r="G30" s="34"/>
      <c r="H30" s="34"/>
      <c r="I30" s="34" t="s">
        <v>1814</v>
      </c>
      <c r="J30" s="48">
        <v>15000</v>
      </c>
      <c r="K30" s="48">
        <v>5000</v>
      </c>
      <c r="L30" s="48"/>
      <c r="M30" s="48"/>
      <c r="N30" s="59"/>
      <c r="O30" s="59"/>
      <c r="P30" s="59"/>
      <c r="Q30" s="268">
        <f t="shared" si="2"/>
        <v>20000</v>
      </c>
      <c r="R30" s="61">
        <f>IF(O30=0,0,SUMIFS(Disbursements!$T:$T,Disbursements!$B:$B,'Live Collections'!D30,Disbursements!$D:$D,'Live Collections'!F30))</f>
        <v>0</v>
      </c>
      <c r="S30" s="304">
        <f>IF(O30&lt;=IF($O30=0,0,SUMIFS(Disbursements!$W:$W,Disbursements!$B:$B,'Live Collections'!D188,Disbursements!$D:$D,'Live Collections'!F188)),O30,IF($O30=0,0,SUMIFS(Disbursements!$W:$W,Disbursements!$B:$B,'Live Collections'!D188,Disbursements!$D:$D,'Live Collections'!F188)))</f>
        <v>0</v>
      </c>
      <c r="T30" s="304">
        <f t="shared" si="3"/>
        <v>0</v>
      </c>
      <c r="U30" s="52">
        <v>792068002</v>
      </c>
      <c r="V30" s="34"/>
      <c r="W30" s="408"/>
    </row>
    <row r="31" spans="1:23" ht="12.75" customHeight="1" x14ac:dyDescent="0.2">
      <c r="A31" s="257">
        <v>24</v>
      </c>
      <c r="B31" s="44">
        <v>44336</v>
      </c>
      <c r="C31" s="44">
        <f t="shared" si="1"/>
        <v>44336</v>
      </c>
      <c r="D31" s="374">
        <v>15</v>
      </c>
      <c r="E31" s="291" t="str">
        <f>IFERROR(VLOOKUP($D31,'Clients-Live'!$A:$C,3,0),"")</f>
        <v>NATOSHA LUCY</v>
      </c>
      <c r="F31" s="291">
        <f>IFERROR(INDEX(Disbursements!$D:$D,MATCH('Live Collections'!G31,Disbursements!$C:$C,0)),"")</f>
        <v>1</v>
      </c>
      <c r="G31" s="34">
        <v>8</v>
      </c>
      <c r="H31" s="34"/>
      <c r="I31" s="34" t="s">
        <v>863</v>
      </c>
      <c r="J31" s="48"/>
      <c r="K31" s="48"/>
      <c r="L31" s="48">
        <v>10000</v>
      </c>
      <c r="M31" s="48">
        <v>5000</v>
      </c>
      <c r="N31" s="59"/>
      <c r="O31" s="59"/>
      <c r="P31" s="59">
        <v>200000</v>
      </c>
      <c r="Q31" s="268">
        <f t="shared" si="2"/>
        <v>215000</v>
      </c>
      <c r="R31" s="61">
        <f>IF(O31=0,0,SUMIFS(Disbursements!$T:$T,Disbursements!$B:$B,'Live Collections'!D31,Disbursements!$D:$D,'Live Collections'!F31))</f>
        <v>0</v>
      </c>
      <c r="S31" s="304">
        <f>IF(O31&lt;=IF($O31=0,0,SUMIFS(Disbursements!$W:$W,Disbursements!$B:$B,'Live Collections'!D154,Disbursements!$D:$D,'Live Collections'!F154)),O31,IF($O31=0,0,SUMIFS(Disbursements!$W:$W,Disbursements!$B:$B,'Live Collections'!D154,Disbursements!$D:$D,'Live Collections'!F154)))</f>
        <v>0</v>
      </c>
      <c r="T31" s="304">
        <f t="shared" si="3"/>
        <v>0</v>
      </c>
      <c r="U31" s="52"/>
      <c r="V31" s="34"/>
      <c r="W31" s="408"/>
    </row>
    <row r="32" spans="1:23" ht="12.75" customHeight="1" x14ac:dyDescent="0.2">
      <c r="A32" s="132">
        <v>25</v>
      </c>
      <c r="B32" s="44">
        <v>44336</v>
      </c>
      <c r="C32" s="44">
        <f t="shared" si="1"/>
        <v>44336</v>
      </c>
      <c r="D32" s="374">
        <v>17</v>
      </c>
      <c r="E32" s="291" t="str">
        <f>IFERROR(VLOOKUP($D32,'Clients-Live'!$A:$C,3,0),"")</f>
        <v>MAMBU BAYI</v>
      </c>
      <c r="F32" s="291">
        <f>IFERROR(INDEX(Disbursements!$D:$D,MATCH('Live Collections'!G32,Disbursements!$C:$C,0)),"")</f>
        <v>1</v>
      </c>
      <c r="G32" s="34">
        <v>7</v>
      </c>
      <c r="H32" s="34"/>
      <c r="I32" s="34" t="s">
        <v>864</v>
      </c>
      <c r="J32" s="48"/>
      <c r="K32" s="48"/>
      <c r="L32" s="48">
        <v>10000</v>
      </c>
      <c r="M32" s="48">
        <v>5000</v>
      </c>
      <c r="N32" s="59"/>
      <c r="O32" s="59"/>
      <c r="P32" s="59">
        <v>150000</v>
      </c>
      <c r="Q32" s="268">
        <f t="shared" si="2"/>
        <v>165000</v>
      </c>
      <c r="R32" s="61">
        <f>IF(O32=0,0,SUMIFS(Disbursements!$T:$T,Disbursements!$B:$B,'Live Collections'!D32,Disbursements!$D:$D,'Live Collections'!F32))</f>
        <v>0</v>
      </c>
      <c r="S32" s="304">
        <f>IF(O32&lt;=IF($O32=0,0,SUMIFS(Disbursements!$W:$W,Disbursements!$B:$B,'Live Collections'!D175,Disbursements!$D:$D,'Live Collections'!F175)),O32,IF($O32=0,0,SUMIFS(Disbursements!$W:$W,Disbursements!$B:$B,'Live Collections'!D175,Disbursements!$D:$D,'Live Collections'!F175)))</f>
        <v>0</v>
      </c>
      <c r="T32" s="304">
        <f t="shared" si="3"/>
        <v>0</v>
      </c>
      <c r="U32" s="52"/>
      <c r="V32" s="34"/>
      <c r="W32" s="408"/>
    </row>
    <row r="33" spans="1:23" ht="12.75" customHeight="1" x14ac:dyDescent="0.2">
      <c r="A33" s="257">
        <v>28</v>
      </c>
      <c r="B33" s="44">
        <v>44337</v>
      </c>
      <c r="C33" s="44">
        <f t="shared" si="1"/>
        <v>44337</v>
      </c>
      <c r="D33" s="374">
        <v>18</v>
      </c>
      <c r="E33" s="291" t="str">
        <f>IFERROR(VLOOKUP($D33,'Clients-Live'!$A:$C,3,0),"")</f>
        <v>ARIYE PEACE</v>
      </c>
      <c r="F33" s="291">
        <f>IFERROR(INDEX(Disbursements!$D:$D,MATCH('Live Collections'!G33,Disbursements!$C:$C,0)),"")</f>
        <v>1</v>
      </c>
      <c r="G33" s="34">
        <v>9</v>
      </c>
      <c r="H33" s="34"/>
      <c r="I33" s="34" t="s">
        <v>864</v>
      </c>
      <c r="J33" s="48"/>
      <c r="K33" s="48"/>
      <c r="L33" s="48">
        <v>10000</v>
      </c>
      <c r="M33" s="48">
        <v>5000</v>
      </c>
      <c r="N33" s="59"/>
      <c r="O33" s="59"/>
      <c r="P33" s="59">
        <v>200000</v>
      </c>
      <c r="Q33" s="268">
        <f t="shared" si="2"/>
        <v>215000</v>
      </c>
      <c r="R33" s="61">
        <f>IF(O33=0,0,SUMIFS(Disbursements!$T:$T,Disbursements!$B:$B,'Live Collections'!D33,Disbursements!$D:$D,'Live Collections'!F33))</f>
        <v>0</v>
      </c>
      <c r="S33" s="304">
        <f>IF(O33&lt;=IF($O33=0,0,SUMIFS(Disbursements!$W:$W,Disbursements!$B:$B,'Live Collections'!D189,Disbursements!$D:$D,'Live Collections'!F189)),O33,IF($O33=0,0,SUMIFS(Disbursements!$W:$W,Disbursements!$B:$B,'Live Collections'!D189,Disbursements!$D:$D,'Live Collections'!F189)))</f>
        <v>0</v>
      </c>
      <c r="T33" s="304">
        <f t="shared" si="3"/>
        <v>0</v>
      </c>
      <c r="U33" s="52"/>
      <c r="V33" s="34"/>
      <c r="W33" s="408"/>
    </row>
    <row r="34" spans="1:23" ht="12.75" customHeight="1" x14ac:dyDescent="0.2">
      <c r="A34" s="132">
        <v>26</v>
      </c>
      <c r="B34" s="44">
        <v>44337</v>
      </c>
      <c r="C34" s="44">
        <f t="shared" si="1"/>
        <v>44337</v>
      </c>
      <c r="D34" s="374">
        <v>19</v>
      </c>
      <c r="E34" s="291" t="str">
        <f>IFERROR(VLOOKUP($D34,'Clients-Live'!$A:$C,3,0),"")</f>
        <v>ANGUPARU MOLLY</v>
      </c>
      <c r="F34" s="291" t="str">
        <f>IFERROR(INDEX(Disbursements!$D:$D,MATCH('Live Collections'!G34,Disbursements!$C:$C,0)),"")</f>
        <v/>
      </c>
      <c r="G34" s="34"/>
      <c r="H34" s="34"/>
      <c r="I34" s="34" t="s">
        <v>1814</v>
      </c>
      <c r="J34" s="48">
        <v>15000</v>
      </c>
      <c r="K34" s="48">
        <v>5000</v>
      </c>
      <c r="L34" s="48"/>
      <c r="M34" s="48"/>
      <c r="N34" s="59"/>
      <c r="O34" s="59"/>
      <c r="P34" s="59"/>
      <c r="Q34" s="268">
        <f t="shared" si="2"/>
        <v>20000</v>
      </c>
      <c r="R34" s="61">
        <f>IF(O34=0,0,SUMIFS(Disbursements!$T:$T,Disbursements!$B:$B,'Live Collections'!D34,Disbursements!$D:$D,'Live Collections'!F34))</f>
        <v>0</v>
      </c>
      <c r="S34" s="304">
        <f>IF(O34&lt;=IF($O34=0,0,SUMIFS(Disbursements!$W:$W,Disbursements!$B:$B,'Live Collections'!D231,Disbursements!$D:$D,'Live Collections'!F231)),O34,IF($O34=0,0,SUMIFS(Disbursements!$W:$W,Disbursements!$B:$B,'Live Collections'!D231,Disbursements!$D:$D,'Live Collections'!F231)))</f>
        <v>0</v>
      </c>
      <c r="T34" s="304">
        <f t="shared" si="3"/>
        <v>0</v>
      </c>
      <c r="U34" s="52">
        <v>772158785</v>
      </c>
      <c r="V34" s="34">
        <v>774071248</v>
      </c>
      <c r="W34" s="408"/>
    </row>
    <row r="35" spans="1:23" ht="12.75" customHeight="1" x14ac:dyDescent="0.2">
      <c r="A35" s="257">
        <v>27</v>
      </c>
      <c r="B35" s="44">
        <v>44337</v>
      </c>
      <c r="C35" s="44">
        <f t="shared" si="1"/>
        <v>44337</v>
      </c>
      <c r="D35" s="374">
        <v>20</v>
      </c>
      <c r="E35" s="291" t="str">
        <f>IFERROR(VLOOKUP($D35,'Clients-Live'!$A:$C,3,0),"")</f>
        <v>ANDEZO KEVIN</v>
      </c>
      <c r="F35" s="291" t="str">
        <f>IFERROR(INDEX(Disbursements!$D:$D,MATCH('Live Collections'!G35,Disbursements!$C:$C,0)),"")</f>
        <v/>
      </c>
      <c r="G35" s="34"/>
      <c r="H35" s="34"/>
      <c r="I35" s="34" t="s">
        <v>1814</v>
      </c>
      <c r="J35" s="48">
        <v>15000</v>
      </c>
      <c r="K35" s="48">
        <v>5000</v>
      </c>
      <c r="L35" s="48"/>
      <c r="M35" s="48"/>
      <c r="N35" s="59"/>
      <c r="O35" s="59"/>
      <c r="P35" s="59"/>
      <c r="Q35" s="268">
        <f t="shared" si="2"/>
        <v>20000</v>
      </c>
      <c r="R35" s="61">
        <f>IF(O35=0,0,SUMIFS(Disbursements!$T:$T,Disbursements!$B:$B,'Live Collections'!D35,Disbursements!$D:$D,'Live Collections'!F35))</f>
        <v>0</v>
      </c>
      <c r="S35" s="304">
        <f>IF(O35&lt;=IF($O35=0,0,SUMIFS(Disbursements!$W:$W,Disbursements!$B:$B,'Live Collections'!D244,Disbursements!$D:$D,'Live Collections'!F244)),O35,IF($O35=0,0,SUMIFS(Disbursements!$W:$W,Disbursements!$B:$B,'Live Collections'!D244,Disbursements!$D:$D,'Live Collections'!F244)))</f>
        <v>0</v>
      </c>
      <c r="T35" s="304">
        <f t="shared" si="3"/>
        <v>0</v>
      </c>
      <c r="U35" s="52">
        <v>787667944</v>
      </c>
      <c r="V35" s="34"/>
      <c r="W35" s="408"/>
    </row>
    <row r="36" spans="1:23" ht="12.75" customHeight="1" x14ac:dyDescent="0.2">
      <c r="A36" s="132">
        <v>29</v>
      </c>
      <c r="B36" s="44">
        <v>44338</v>
      </c>
      <c r="C36" s="44">
        <f t="shared" si="1"/>
        <v>44338</v>
      </c>
      <c r="D36" s="374">
        <v>11</v>
      </c>
      <c r="E36" s="291" t="str">
        <f>IFERROR(VLOOKUP($D36,'Clients-Live'!$A:$C,3,0),"")</f>
        <v>ARIME JUMA</v>
      </c>
      <c r="F36" s="291">
        <f>IFERROR(INDEX(Disbursements!$D:$D,MATCH('Live Collections'!G36,Disbursements!$C:$C,0)),"")</f>
        <v>1</v>
      </c>
      <c r="G36" s="34">
        <v>10</v>
      </c>
      <c r="H36" s="34">
        <v>51</v>
      </c>
      <c r="I36" s="34" t="s">
        <v>862</v>
      </c>
      <c r="J36" s="48"/>
      <c r="K36" s="48"/>
      <c r="L36" s="48">
        <v>10000</v>
      </c>
      <c r="M36" s="48">
        <v>5000</v>
      </c>
      <c r="N36" s="59"/>
      <c r="O36" s="59"/>
      <c r="P36" s="59">
        <v>50000</v>
      </c>
      <c r="Q36" s="268">
        <f t="shared" si="2"/>
        <v>65000</v>
      </c>
      <c r="R36" s="61">
        <f>IF(O36=0,0,SUMIFS(Disbursements!$T:$T,Disbursements!$B:$B,'Live Collections'!D36,Disbursements!$D:$D,'Live Collections'!F36))</f>
        <v>0</v>
      </c>
      <c r="S36" s="304">
        <f>IF(O36&lt;=IF($O36=0,0,SUMIFS(Disbursements!$W:$W,Disbursements!$B:$B,'Live Collections'!D107,Disbursements!$D:$D,'Live Collections'!F107)),O36,IF($O36=0,0,SUMIFS(Disbursements!$W:$W,Disbursements!$B:$B,'Live Collections'!D107,Disbursements!$D:$D,'Live Collections'!F107)))</f>
        <v>0</v>
      </c>
      <c r="T36" s="304">
        <f t="shared" si="3"/>
        <v>0</v>
      </c>
      <c r="U36" s="52"/>
      <c r="V36" s="34"/>
      <c r="W36" s="408"/>
    </row>
    <row r="37" spans="1:23" ht="12.75" customHeight="1" x14ac:dyDescent="0.2">
      <c r="A37" s="257">
        <v>33</v>
      </c>
      <c r="B37" s="44">
        <v>44340</v>
      </c>
      <c r="C37" s="44">
        <f t="shared" si="1"/>
        <v>44340</v>
      </c>
      <c r="D37" s="374">
        <v>20</v>
      </c>
      <c r="E37" s="291" t="str">
        <f>IFERROR(VLOOKUP($D37,'Clients-Live'!$A:$C,3,0),"")</f>
        <v>ANDEZO KEVIN</v>
      </c>
      <c r="F37" s="291">
        <f>IFERROR(INDEX(Disbursements!$D:$D,MATCH('Live Collections'!G37,Disbursements!$C:$C,0)),"")</f>
        <v>2</v>
      </c>
      <c r="G37" s="34">
        <v>194</v>
      </c>
      <c r="H37" s="34">
        <v>57</v>
      </c>
      <c r="I37" s="34" t="s">
        <v>863</v>
      </c>
      <c r="J37" s="48"/>
      <c r="K37" s="48"/>
      <c r="L37" s="48">
        <v>10000</v>
      </c>
      <c r="M37" s="48">
        <v>5000</v>
      </c>
      <c r="N37" s="59"/>
      <c r="O37" s="59"/>
      <c r="P37" s="59">
        <v>80000</v>
      </c>
      <c r="Q37" s="268">
        <f t="shared" si="2"/>
        <v>95000</v>
      </c>
      <c r="R37" s="61">
        <f>IF(O37=0,0,SUMIFS(Disbursements!$T:$T,Disbursements!$B:$B,'Live Collections'!D37,Disbursements!$D:$D,'Live Collections'!F37))</f>
        <v>0</v>
      </c>
      <c r="S37" s="304">
        <f>IF(O37&lt;=IF($O37=0,0,SUMIFS(Disbursements!$W:$W,Disbursements!$B:$B,'Live Collections'!D245,Disbursements!$D:$D,'Live Collections'!F245)),O37,IF($O37=0,0,SUMIFS(Disbursements!$W:$W,Disbursements!$B:$B,'Live Collections'!D245,Disbursements!$D:$D,'Live Collections'!F245)))</f>
        <v>0</v>
      </c>
      <c r="T37" s="304">
        <f t="shared" si="3"/>
        <v>0</v>
      </c>
      <c r="U37" s="52"/>
      <c r="V37" s="34"/>
      <c r="W37" s="408"/>
    </row>
    <row r="38" spans="1:23" ht="12.75" customHeight="1" x14ac:dyDescent="0.2">
      <c r="A38" s="132">
        <v>30</v>
      </c>
      <c r="B38" s="44">
        <v>44340</v>
      </c>
      <c r="C38" s="44">
        <f t="shared" si="1"/>
        <v>44340</v>
      </c>
      <c r="D38" s="374">
        <v>21</v>
      </c>
      <c r="E38" s="291" t="str">
        <f>IFERROR(VLOOKUP($D38,'Clients-Live'!$A:$C,3,0),"")</f>
        <v>ESABORU EUNICE</v>
      </c>
      <c r="F38" s="291" t="str">
        <f>IFERROR(INDEX(Disbursements!$D:$D,MATCH('Live Collections'!G38,Disbursements!$C:$C,0)),"")</f>
        <v/>
      </c>
      <c r="G38" s="34"/>
      <c r="H38" s="34"/>
      <c r="I38" s="34" t="s">
        <v>1814</v>
      </c>
      <c r="J38" s="48">
        <v>15000</v>
      </c>
      <c r="K38" s="48">
        <v>5000</v>
      </c>
      <c r="L38" s="48"/>
      <c r="M38" s="48"/>
      <c r="N38" s="59"/>
      <c r="O38" s="59"/>
      <c r="P38" s="59"/>
      <c r="Q38" s="268">
        <f t="shared" si="2"/>
        <v>20000</v>
      </c>
      <c r="R38" s="61">
        <f>IF(O38=0,0,SUMIFS(Disbursements!$T:$T,Disbursements!$B:$B,'Live Collections'!D38,Disbursements!$D:$D,'Live Collections'!F38))</f>
        <v>0</v>
      </c>
      <c r="S38" s="304">
        <f>IF(O38&lt;=IF($O38=0,0,SUMIFS(Disbursements!$W:$W,Disbursements!$B:$B,'Live Collections'!D263,Disbursements!$D:$D,'Live Collections'!F263)),O38,IF($O38=0,0,SUMIFS(Disbursements!$W:$W,Disbursements!$B:$B,'Live Collections'!D263,Disbursements!$D:$D,'Live Collections'!F263)))</f>
        <v>0</v>
      </c>
      <c r="T38" s="304">
        <f t="shared" si="3"/>
        <v>0</v>
      </c>
      <c r="U38" s="52">
        <v>775650775</v>
      </c>
      <c r="V38" s="34"/>
      <c r="W38" s="408"/>
    </row>
    <row r="39" spans="1:23" ht="12.75" customHeight="1" x14ac:dyDescent="0.2">
      <c r="A39" s="257">
        <v>31</v>
      </c>
      <c r="B39" s="44">
        <v>44340</v>
      </c>
      <c r="C39" s="44">
        <f t="shared" si="1"/>
        <v>44340</v>
      </c>
      <c r="D39" s="374">
        <v>22</v>
      </c>
      <c r="E39" s="291" t="str">
        <f>IFERROR(VLOOKUP($D39,'Clients-Live'!$A:$C,3,0),"")</f>
        <v>DATA ISMAIL FATARI</v>
      </c>
      <c r="F39" s="291" t="str">
        <f>IFERROR(INDEX(Disbursements!$D:$D,MATCH('Live Collections'!G39,Disbursements!$C:$C,0)),"")</f>
        <v/>
      </c>
      <c r="G39" s="34"/>
      <c r="H39" s="34"/>
      <c r="I39" s="34" t="s">
        <v>1814</v>
      </c>
      <c r="J39" s="48">
        <v>15000</v>
      </c>
      <c r="K39" s="48">
        <v>5000</v>
      </c>
      <c r="L39" s="48"/>
      <c r="M39" s="48"/>
      <c r="N39" s="59"/>
      <c r="O39" s="59"/>
      <c r="P39" s="59"/>
      <c r="Q39" s="268">
        <f t="shared" si="2"/>
        <v>20000</v>
      </c>
      <c r="R39" s="61">
        <f>IF(O39=0,0,SUMIFS(Disbursements!$T:$T,Disbursements!$B:$B,'Live Collections'!D39,Disbursements!$D:$D,'Live Collections'!F39))</f>
        <v>0</v>
      </c>
      <c r="S39" s="304">
        <f>IF(O39&lt;=IF($O39=0,0,SUMIFS(Disbursements!$W:$W,Disbursements!$B:$B,'Live Collections'!D275,Disbursements!$D:$D,'Live Collections'!F275)),O39,IF($O39=0,0,SUMIFS(Disbursements!$W:$W,Disbursements!$B:$B,'Live Collections'!D275,Disbursements!$D:$D,'Live Collections'!F275)))</f>
        <v>0</v>
      </c>
      <c r="T39" s="304">
        <f t="shared" si="3"/>
        <v>0</v>
      </c>
      <c r="U39" s="52">
        <v>786361864</v>
      </c>
      <c r="V39" s="34"/>
      <c r="W39" s="408"/>
    </row>
    <row r="40" spans="1:23" ht="12.75" customHeight="1" x14ac:dyDescent="0.2">
      <c r="A40" s="132">
        <v>32</v>
      </c>
      <c r="B40" s="44">
        <v>44340</v>
      </c>
      <c r="C40" s="44">
        <f t="shared" si="1"/>
        <v>44340</v>
      </c>
      <c r="D40" s="374">
        <v>23</v>
      </c>
      <c r="E40" s="291" t="str">
        <f>IFERROR(VLOOKUP($D40,'Clients-Live'!$A:$C,3,0),"")</f>
        <v>BADARU KEVIN ATELIONGA</v>
      </c>
      <c r="F40" s="291" t="str">
        <f>IFERROR(INDEX(Disbursements!$D:$D,MATCH('Live Collections'!G40,Disbursements!$C:$C,0)),"")</f>
        <v/>
      </c>
      <c r="G40" s="34"/>
      <c r="H40" s="34"/>
      <c r="I40" s="34" t="s">
        <v>1814</v>
      </c>
      <c r="J40" s="48">
        <v>15000</v>
      </c>
      <c r="K40" s="48">
        <v>5000</v>
      </c>
      <c r="L40" s="48"/>
      <c r="M40" s="48"/>
      <c r="N40" s="59"/>
      <c r="O40" s="59"/>
      <c r="P40" s="59"/>
      <c r="Q40" s="268">
        <f t="shared" si="2"/>
        <v>20000</v>
      </c>
      <c r="R40" s="61">
        <f>IF(O40=0,0,SUMIFS(Disbursements!$T:$T,Disbursements!$B:$B,'Live Collections'!D40,Disbursements!$D:$D,'Live Collections'!F40))</f>
        <v>0</v>
      </c>
      <c r="S40" s="304">
        <f>IF(O40&lt;=IF($O40=0,0,SUMIFS(Disbursements!$W:$W,Disbursements!$B:$B,'Live Collections'!D305,Disbursements!$D:$D,'Live Collections'!F305)),O40,IF($O40=0,0,SUMIFS(Disbursements!$W:$W,Disbursements!$B:$B,'Live Collections'!D305,Disbursements!$D:$D,'Live Collections'!F305)))</f>
        <v>0</v>
      </c>
      <c r="T40" s="304">
        <f t="shared" si="3"/>
        <v>0</v>
      </c>
      <c r="U40" s="52">
        <v>774106932</v>
      </c>
      <c r="V40" s="34"/>
      <c r="W40" s="408"/>
    </row>
    <row r="41" spans="1:23" ht="12.75" customHeight="1" x14ac:dyDescent="0.2">
      <c r="A41" s="257">
        <v>37</v>
      </c>
      <c r="B41" s="44">
        <v>44341</v>
      </c>
      <c r="C41" s="44">
        <f t="shared" si="1"/>
        <v>44341</v>
      </c>
      <c r="D41" s="374">
        <v>19</v>
      </c>
      <c r="E41" s="291" t="str">
        <f>IFERROR(VLOOKUP($D41,'Clients-Live'!$A:$C,3,0),"")</f>
        <v>ANGUPARU MOLLY</v>
      </c>
      <c r="F41" s="291">
        <f>IFERROR(INDEX(Disbursements!$D:$D,MATCH('Live Collections'!G41,Disbursements!$C:$C,0)),"")</f>
        <v>1</v>
      </c>
      <c r="G41" s="34">
        <v>12</v>
      </c>
      <c r="H41" s="34"/>
      <c r="I41" s="34" t="s">
        <v>863</v>
      </c>
      <c r="J41" s="48"/>
      <c r="K41" s="48"/>
      <c r="L41" s="48">
        <v>10000</v>
      </c>
      <c r="M41" s="48">
        <v>5000</v>
      </c>
      <c r="N41" s="59"/>
      <c r="O41" s="59"/>
      <c r="P41" s="59">
        <v>40000</v>
      </c>
      <c r="Q41" s="268">
        <f t="shared" si="2"/>
        <v>55000</v>
      </c>
      <c r="R41" s="61">
        <f>IF(O41=0,0,SUMIFS(Disbursements!$T:$T,Disbursements!$B:$B,'Live Collections'!D41,Disbursements!$D:$D,'Live Collections'!F41))</f>
        <v>0</v>
      </c>
      <c r="S41" s="304">
        <f>IF(O41&lt;=IF($O41=0,0,SUMIFS(Disbursements!$W:$W,Disbursements!$B:$B,'Live Collections'!D232,Disbursements!$D:$D,'Live Collections'!F232)),O41,IF($O41=0,0,SUMIFS(Disbursements!$W:$W,Disbursements!$B:$B,'Live Collections'!D232,Disbursements!$D:$D,'Live Collections'!F232)))</f>
        <v>0</v>
      </c>
      <c r="T41" s="304">
        <f t="shared" si="3"/>
        <v>0</v>
      </c>
      <c r="U41" s="52"/>
      <c r="V41" s="34"/>
      <c r="W41" s="408"/>
    </row>
    <row r="42" spans="1:23" ht="12.75" customHeight="1" x14ac:dyDescent="0.2">
      <c r="A42" s="132">
        <v>38</v>
      </c>
      <c r="B42" s="44">
        <v>44341</v>
      </c>
      <c r="C42" s="44">
        <f t="shared" si="1"/>
        <v>44341</v>
      </c>
      <c r="D42" s="374">
        <v>22</v>
      </c>
      <c r="E42" s="291" t="str">
        <f>IFERROR(VLOOKUP($D42,'Clients-Live'!$A:$C,3,0),"")</f>
        <v>DATA ISMAIL FATARI</v>
      </c>
      <c r="F42" s="291">
        <f>IFERROR(INDEX(Disbursements!$D:$D,MATCH('Live Collections'!G42,Disbursements!$C:$C,0)),"")</f>
        <v>1</v>
      </c>
      <c r="G42" s="34">
        <v>13</v>
      </c>
      <c r="H42" s="34"/>
      <c r="I42" s="34" t="s">
        <v>862</v>
      </c>
      <c r="J42" s="48"/>
      <c r="K42" s="48"/>
      <c r="L42" s="48">
        <v>10000</v>
      </c>
      <c r="M42" s="48">
        <v>5000</v>
      </c>
      <c r="N42" s="59"/>
      <c r="O42" s="59"/>
      <c r="P42" s="59">
        <v>100000</v>
      </c>
      <c r="Q42" s="268">
        <f t="shared" si="2"/>
        <v>115000</v>
      </c>
      <c r="R42" s="61">
        <f>IF(O42=0,0,SUMIFS(Disbursements!$T:$T,Disbursements!$B:$B,'Live Collections'!D42,Disbursements!$D:$D,'Live Collections'!F42))</f>
        <v>0</v>
      </c>
      <c r="S42" s="304">
        <f>IF(O42&lt;=IF($O42=0,0,SUMIFS(Disbursements!$W:$W,Disbursements!$B:$B,'Live Collections'!D276,Disbursements!$D:$D,'Live Collections'!F276)),O42,IF($O42=0,0,SUMIFS(Disbursements!$W:$W,Disbursements!$B:$B,'Live Collections'!D276,Disbursements!$D:$D,'Live Collections'!F276)))</f>
        <v>0</v>
      </c>
      <c r="T42" s="304">
        <f t="shared" si="3"/>
        <v>0</v>
      </c>
      <c r="U42" s="52"/>
      <c r="V42" s="34"/>
      <c r="W42" s="408"/>
    </row>
    <row r="43" spans="1:23" ht="12.75" customHeight="1" x14ac:dyDescent="0.2">
      <c r="A43" s="257">
        <v>39</v>
      </c>
      <c r="B43" s="44">
        <v>44341</v>
      </c>
      <c r="C43" s="44">
        <f t="shared" si="1"/>
        <v>44341</v>
      </c>
      <c r="D43" s="374">
        <v>23</v>
      </c>
      <c r="E43" s="291" t="str">
        <f>IFERROR(VLOOKUP($D43,'Clients-Live'!$A:$C,3,0),"")</f>
        <v>BADARU KEVIN ATELIONGA</v>
      </c>
      <c r="F43" s="291">
        <f>IFERROR(INDEX(Disbursements!$D:$D,MATCH('Live Collections'!G43,Disbursements!$C:$C,0)),"")</f>
        <v>1</v>
      </c>
      <c r="G43" s="34">
        <v>14</v>
      </c>
      <c r="H43" s="34"/>
      <c r="I43" s="34" t="s">
        <v>864</v>
      </c>
      <c r="J43" s="48"/>
      <c r="K43" s="48"/>
      <c r="L43" s="48">
        <v>10000</v>
      </c>
      <c r="M43" s="48">
        <v>5000</v>
      </c>
      <c r="N43" s="59"/>
      <c r="O43" s="59"/>
      <c r="P43" s="59">
        <v>60000</v>
      </c>
      <c r="Q43" s="268">
        <f t="shared" si="2"/>
        <v>75000</v>
      </c>
      <c r="R43" s="61">
        <f>IF(O43=0,0,SUMIFS(Disbursements!$T:$T,Disbursements!$B:$B,'Live Collections'!D43,Disbursements!$D:$D,'Live Collections'!F43))</f>
        <v>0</v>
      </c>
      <c r="S43" s="304">
        <f>IF(O43&lt;=IF($O43=0,0,SUMIFS(Disbursements!$W:$W,Disbursements!$B:$B,'Live Collections'!D306,Disbursements!$D:$D,'Live Collections'!F306)),O43,IF($O43=0,0,SUMIFS(Disbursements!$W:$W,Disbursements!$B:$B,'Live Collections'!D306,Disbursements!$D:$D,'Live Collections'!F306)))</f>
        <v>0</v>
      </c>
      <c r="T43" s="304">
        <f t="shared" si="3"/>
        <v>0</v>
      </c>
      <c r="U43" s="52"/>
      <c r="V43" s="34"/>
      <c r="W43" s="408"/>
    </row>
    <row r="44" spans="1:23" ht="12.75" customHeight="1" x14ac:dyDescent="0.2">
      <c r="A44" s="132">
        <v>34</v>
      </c>
      <c r="B44" s="44">
        <v>44341</v>
      </c>
      <c r="C44" s="44">
        <f t="shared" si="1"/>
        <v>44341</v>
      </c>
      <c r="D44" s="374">
        <v>30</v>
      </c>
      <c r="E44" s="291" t="str">
        <f>IFERROR(VLOOKUP($D44,'Clients-Live'!$A:$C,3,0),"")</f>
        <v>SITARAYA PATRICIA IDERU</v>
      </c>
      <c r="F44" s="291" t="str">
        <f>IFERROR(INDEX(Disbursements!$D:$D,MATCH('Live Collections'!G44,Disbursements!$C:$C,0)),"")</f>
        <v/>
      </c>
      <c r="G44" s="34"/>
      <c r="H44" s="34"/>
      <c r="I44" s="34" t="s">
        <v>1814</v>
      </c>
      <c r="J44" s="48">
        <v>15000</v>
      </c>
      <c r="K44" s="48">
        <v>5000</v>
      </c>
      <c r="L44" s="48"/>
      <c r="M44" s="48"/>
      <c r="N44" s="59"/>
      <c r="O44" s="59"/>
      <c r="P44" s="59"/>
      <c r="Q44" s="268">
        <f t="shared" si="2"/>
        <v>20000</v>
      </c>
      <c r="R44" s="61">
        <f>IF(O44=0,0,SUMIFS(Disbursements!$T:$T,Disbursements!$B:$B,'Live Collections'!D44,Disbursements!$D:$D,'Live Collections'!F44))</f>
        <v>0</v>
      </c>
      <c r="S44" s="304">
        <f>IF(O44&lt;=IF($O44=0,0,SUMIFS(Disbursements!$W:$W,Disbursements!$B:$B,'Live Collections'!D336,Disbursements!$D:$D,'Live Collections'!F336)),O44,IF($O44=0,0,SUMIFS(Disbursements!$W:$W,Disbursements!$B:$B,'Live Collections'!D336,Disbursements!$D:$D,'Live Collections'!F336)))</f>
        <v>0</v>
      </c>
      <c r="T44" s="304">
        <f t="shared" si="3"/>
        <v>0</v>
      </c>
      <c r="U44" s="52">
        <v>786510762</v>
      </c>
      <c r="V44" s="34"/>
      <c r="W44" s="408"/>
    </row>
    <row r="45" spans="1:23" ht="12.75" customHeight="1" x14ac:dyDescent="0.2">
      <c r="A45" s="257">
        <v>35</v>
      </c>
      <c r="B45" s="44">
        <v>44341</v>
      </c>
      <c r="C45" s="44">
        <f t="shared" si="1"/>
        <v>44341</v>
      </c>
      <c r="D45" s="374">
        <v>31</v>
      </c>
      <c r="E45" s="291" t="str">
        <f>IFERROR(VLOOKUP($D45,'Clients-Live'!$A:$C,3,0),"")</f>
        <v>MUNDURU HARRIET</v>
      </c>
      <c r="F45" s="291" t="str">
        <f>IFERROR(INDEX(Disbursements!$D:$D,MATCH('Live Collections'!G45,Disbursements!$C:$C,0)),"")</f>
        <v/>
      </c>
      <c r="G45" s="34"/>
      <c r="H45" s="34"/>
      <c r="I45" s="34" t="s">
        <v>1814</v>
      </c>
      <c r="J45" s="48">
        <v>15000</v>
      </c>
      <c r="K45" s="48">
        <v>5000</v>
      </c>
      <c r="L45" s="48"/>
      <c r="M45" s="48"/>
      <c r="N45" s="59"/>
      <c r="O45" s="59"/>
      <c r="P45" s="59"/>
      <c r="Q45" s="268">
        <f t="shared" si="2"/>
        <v>20000</v>
      </c>
      <c r="R45" s="61">
        <f>IF(O45=0,0,SUMIFS(Disbursements!$T:$T,Disbursements!$B:$B,'Live Collections'!D45,Disbursements!$D:$D,'Live Collections'!F45))</f>
        <v>0</v>
      </c>
      <c r="S45" s="304">
        <f>IF(O45&lt;=IF($O45=0,0,SUMIFS(Disbursements!$W:$W,Disbursements!$B:$B,'Live Collections'!D348,Disbursements!$D:$D,'Live Collections'!F348)),O45,IF($O45=0,0,SUMIFS(Disbursements!$W:$W,Disbursements!$B:$B,'Live Collections'!D348,Disbursements!$D:$D,'Live Collections'!F348)))</f>
        <v>0</v>
      </c>
      <c r="T45" s="304">
        <f t="shared" si="3"/>
        <v>0</v>
      </c>
      <c r="U45" s="52">
        <v>787860915</v>
      </c>
      <c r="V45" s="34"/>
      <c r="W45" s="408"/>
    </row>
    <row r="46" spans="1:23" ht="12.75" customHeight="1" x14ac:dyDescent="0.2">
      <c r="A46" s="132">
        <v>36</v>
      </c>
      <c r="B46" s="44">
        <v>44341</v>
      </c>
      <c r="C46" s="44">
        <f t="shared" si="1"/>
        <v>44341</v>
      </c>
      <c r="D46" s="374">
        <v>32</v>
      </c>
      <c r="E46" s="291" t="str">
        <f>IFERROR(VLOOKUP($D46,'Clients-Live'!$A:$C,3,0),"")</f>
        <v>BAKO LINA ESERU</v>
      </c>
      <c r="F46" s="291" t="str">
        <f>IFERROR(INDEX(Disbursements!$D:$D,MATCH('Live Collections'!G46,Disbursements!$C:$C,0)),"")</f>
        <v/>
      </c>
      <c r="G46" s="34"/>
      <c r="H46" s="34"/>
      <c r="I46" s="34" t="s">
        <v>1814</v>
      </c>
      <c r="J46" s="48">
        <v>15000</v>
      </c>
      <c r="K46" s="48">
        <v>5000</v>
      </c>
      <c r="L46" s="48"/>
      <c r="M46" s="48"/>
      <c r="N46" s="59"/>
      <c r="O46" s="59"/>
      <c r="P46" s="59"/>
      <c r="Q46" s="268">
        <f t="shared" si="2"/>
        <v>20000</v>
      </c>
      <c r="R46" s="61">
        <f>IF(O46=0,0,SUMIFS(Disbursements!$T:$T,Disbursements!$B:$B,'Live Collections'!D46,Disbursements!$D:$D,'Live Collections'!F46))</f>
        <v>0</v>
      </c>
      <c r="S46" s="304">
        <f>IF(O46&lt;=IF($O46=0,0,SUMIFS(Disbursements!$W:$W,Disbursements!$B:$B,'Live Collections'!D362,Disbursements!$D:$D,'Live Collections'!F362)),O46,IF($O46=0,0,SUMIFS(Disbursements!$W:$W,Disbursements!$B:$B,'Live Collections'!D362,Disbursements!$D:$D,'Live Collections'!F362)))</f>
        <v>0</v>
      </c>
      <c r="T46" s="304">
        <f t="shared" si="3"/>
        <v>0</v>
      </c>
      <c r="U46" s="52">
        <v>788014533</v>
      </c>
      <c r="V46" s="34"/>
      <c r="W46" s="408"/>
    </row>
    <row r="47" spans="1:23" ht="12.75" customHeight="1" x14ac:dyDescent="0.2">
      <c r="A47" s="257">
        <v>41</v>
      </c>
      <c r="B47" s="44">
        <v>44342</v>
      </c>
      <c r="C47" s="44">
        <f t="shared" si="1"/>
        <v>44342</v>
      </c>
      <c r="D47" s="374">
        <v>21</v>
      </c>
      <c r="E47" s="291" t="str">
        <f>IFERROR(VLOOKUP($D47,'Clients-Live'!$A:$C,3,0),"")</f>
        <v>ESABORU EUNICE</v>
      </c>
      <c r="F47" s="291">
        <f>IFERROR(INDEX(Disbursements!$D:$D,MATCH('Live Collections'!G47,Disbursements!$C:$C,0)),"")</f>
        <v>1</v>
      </c>
      <c r="G47" s="34">
        <v>17</v>
      </c>
      <c r="H47" s="34"/>
      <c r="I47" s="34" t="s">
        <v>1358</v>
      </c>
      <c r="J47" s="48"/>
      <c r="K47" s="48"/>
      <c r="L47" s="48">
        <v>10000</v>
      </c>
      <c r="M47" s="48">
        <v>5000</v>
      </c>
      <c r="N47" s="59"/>
      <c r="O47" s="59"/>
      <c r="P47" s="59">
        <v>30000</v>
      </c>
      <c r="Q47" s="268">
        <f t="shared" si="2"/>
        <v>45000</v>
      </c>
      <c r="R47" s="61">
        <f>IF(O47=0,0,SUMIFS(Disbursements!$T:$T,Disbursements!$B:$B,'Live Collections'!D47,Disbursements!$D:$D,'Live Collections'!F47))</f>
        <v>0</v>
      </c>
      <c r="S47" s="304">
        <f>IF(O47&lt;=IF($O47=0,0,SUMIFS(Disbursements!$W:$W,Disbursements!$B:$B,'Live Collections'!D264,Disbursements!$D:$D,'Live Collections'!F264)),O47,IF($O47=0,0,SUMIFS(Disbursements!$W:$W,Disbursements!$B:$B,'Live Collections'!D264,Disbursements!$D:$D,'Live Collections'!F264)))</f>
        <v>0</v>
      </c>
      <c r="T47" s="304">
        <f t="shared" si="3"/>
        <v>0</v>
      </c>
      <c r="U47" s="52"/>
      <c r="V47" s="34"/>
      <c r="W47" s="408"/>
    </row>
    <row r="48" spans="1:23" ht="12.75" customHeight="1" x14ac:dyDescent="0.2">
      <c r="A48" s="132">
        <v>42</v>
      </c>
      <c r="B48" s="44">
        <v>44342</v>
      </c>
      <c r="C48" s="44">
        <f t="shared" si="1"/>
        <v>44342</v>
      </c>
      <c r="D48" s="374">
        <v>30</v>
      </c>
      <c r="E48" s="291" t="str">
        <f>IFERROR(VLOOKUP($D48,'Clients-Live'!$A:$C,3,0),"")</f>
        <v>SITARAYA PATRICIA IDERU</v>
      </c>
      <c r="F48" s="291">
        <f>IFERROR(INDEX(Disbursements!$D:$D,MATCH('Live Collections'!G48,Disbursements!$C:$C,0)),"")</f>
        <v>1</v>
      </c>
      <c r="G48" s="34">
        <v>18</v>
      </c>
      <c r="H48" s="34"/>
      <c r="I48" s="34" t="s">
        <v>863</v>
      </c>
      <c r="J48" s="48"/>
      <c r="K48" s="48"/>
      <c r="L48" s="48">
        <v>10000</v>
      </c>
      <c r="M48" s="48">
        <v>5000</v>
      </c>
      <c r="N48" s="59"/>
      <c r="O48" s="59"/>
      <c r="P48" s="59">
        <v>40000</v>
      </c>
      <c r="Q48" s="268">
        <f t="shared" si="2"/>
        <v>55000</v>
      </c>
      <c r="R48" s="61">
        <f>IF(O48=0,0,SUMIFS(Disbursements!$T:$T,Disbursements!$B:$B,'Live Collections'!D48,Disbursements!$D:$D,'Live Collections'!F48))</f>
        <v>0</v>
      </c>
      <c r="S48" s="304">
        <f>IF(O48&lt;=IF($O48=0,0,SUMIFS(Disbursements!$W:$W,Disbursements!$B:$B,'Live Collections'!D337,Disbursements!$D:$D,'Live Collections'!F337)),O48,IF($O48=0,0,SUMIFS(Disbursements!$W:$W,Disbursements!$B:$B,'Live Collections'!D337,Disbursements!$D:$D,'Live Collections'!F337)))</f>
        <v>0</v>
      </c>
      <c r="T48" s="304">
        <f t="shared" si="3"/>
        <v>0</v>
      </c>
      <c r="U48" s="52"/>
      <c r="V48" s="34"/>
      <c r="W48" s="408"/>
    </row>
    <row r="49" spans="1:23" ht="12.75" customHeight="1" x14ac:dyDescent="0.2">
      <c r="A49" s="257">
        <v>43</v>
      </c>
      <c r="B49" s="44">
        <v>44342</v>
      </c>
      <c r="C49" s="44">
        <f t="shared" si="1"/>
        <v>44342</v>
      </c>
      <c r="D49" s="374">
        <v>31</v>
      </c>
      <c r="E49" s="291" t="str">
        <f>IFERROR(VLOOKUP($D49,'Clients-Live'!$A:$C,3,0),"")</f>
        <v>MUNDURU HARRIET</v>
      </c>
      <c r="F49" s="291">
        <f>IFERROR(INDEX(Disbursements!$D:$D,MATCH('Live Collections'!G49,Disbursements!$C:$C,0)),"")</f>
        <v>1</v>
      </c>
      <c r="G49" s="34">
        <v>16</v>
      </c>
      <c r="H49" s="34"/>
      <c r="I49" s="34" t="s">
        <v>864</v>
      </c>
      <c r="J49" s="48"/>
      <c r="K49" s="48"/>
      <c r="L49" s="48">
        <v>10000</v>
      </c>
      <c r="M49" s="48">
        <v>5000</v>
      </c>
      <c r="N49" s="59"/>
      <c r="O49" s="59"/>
      <c r="P49" s="59">
        <v>50000</v>
      </c>
      <c r="Q49" s="268">
        <f t="shared" si="2"/>
        <v>65000</v>
      </c>
      <c r="R49" s="61">
        <f>IF(O49=0,0,SUMIFS(Disbursements!$T:$T,Disbursements!$B:$B,'Live Collections'!D49,Disbursements!$D:$D,'Live Collections'!F49))</f>
        <v>0</v>
      </c>
      <c r="S49" s="304">
        <f>IF(O49&lt;=IF($O49=0,0,SUMIFS(Disbursements!$W:$W,Disbursements!$B:$B,'Live Collections'!D349,Disbursements!$D:$D,'Live Collections'!F349)),O49,IF($O49=0,0,SUMIFS(Disbursements!$W:$W,Disbursements!$B:$B,'Live Collections'!D349,Disbursements!$D:$D,'Live Collections'!F349)))</f>
        <v>0</v>
      </c>
      <c r="T49" s="304">
        <f t="shared" si="3"/>
        <v>0</v>
      </c>
      <c r="U49" s="52"/>
      <c r="V49" s="34"/>
      <c r="W49" s="408"/>
    </row>
    <row r="50" spans="1:23" ht="12.75" customHeight="1" x14ac:dyDescent="0.2">
      <c r="A50" s="132">
        <v>44</v>
      </c>
      <c r="B50" s="44">
        <v>44342</v>
      </c>
      <c r="C50" s="44">
        <f t="shared" si="1"/>
        <v>44342</v>
      </c>
      <c r="D50" s="374">
        <v>32</v>
      </c>
      <c r="E50" s="291" t="str">
        <f>IFERROR(VLOOKUP($D50,'Clients-Live'!$A:$C,3,0),"")</f>
        <v>BAKO LINA ESERU</v>
      </c>
      <c r="F50" s="291">
        <f>IFERROR(INDEX(Disbursements!$D:$D,MATCH('Live Collections'!G50,Disbursements!$C:$C,0)),"")</f>
        <v>1</v>
      </c>
      <c r="G50" s="34">
        <v>15</v>
      </c>
      <c r="H50" s="34"/>
      <c r="I50" s="34" t="s">
        <v>862</v>
      </c>
      <c r="J50" s="48"/>
      <c r="K50" s="48"/>
      <c r="L50" s="48">
        <v>10000</v>
      </c>
      <c r="M50" s="48">
        <v>5000</v>
      </c>
      <c r="N50" s="59"/>
      <c r="O50" s="59"/>
      <c r="P50" s="59">
        <v>50000</v>
      </c>
      <c r="Q50" s="268">
        <f t="shared" si="2"/>
        <v>65000</v>
      </c>
      <c r="R50" s="61">
        <f>IF(O50=0,0,SUMIFS(Disbursements!$T:$T,Disbursements!$B:$B,'Live Collections'!D50,Disbursements!$D:$D,'Live Collections'!F50))</f>
        <v>0</v>
      </c>
      <c r="S50" s="304">
        <f>IF(O50&lt;=IF($O50=0,0,SUMIFS(Disbursements!$W:$W,Disbursements!$B:$B,'Live Collections'!D363,Disbursements!$D:$D,'Live Collections'!F363)),O50,IF($O50=0,0,SUMIFS(Disbursements!$W:$W,Disbursements!$B:$B,'Live Collections'!D363,Disbursements!$D:$D,'Live Collections'!F363)))</f>
        <v>0</v>
      </c>
      <c r="T50" s="304">
        <f t="shared" si="3"/>
        <v>0</v>
      </c>
      <c r="U50" s="52"/>
      <c r="V50" s="34"/>
      <c r="W50" s="408"/>
    </row>
    <row r="51" spans="1:23" ht="12.75" customHeight="1" x14ac:dyDescent="0.2">
      <c r="A51" s="257">
        <v>40</v>
      </c>
      <c r="B51" s="44">
        <v>44342</v>
      </c>
      <c r="C51" s="44">
        <f t="shared" si="1"/>
        <v>44342</v>
      </c>
      <c r="D51" s="374">
        <v>33</v>
      </c>
      <c r="E51" s="291" t="str">
        <f>IFERROR(VLOOKUP($D51,'Clients-Live'!$A:$C,3,0),"")</f>
        <v>MUZEE OMAR</v>
      </c>
      <c r="F51" s="291" t="str">
        <f>IFERROR(INDEX(Disbursements!$D:$D,MATCH('Live Collections'!G51,Disbursements!$C:$C,0)),"")</f>
        <v/>
      </c>
      <c r="G51" s="34"/>
      <c r="H51" s="34"/>
      <c r="I51" s="34" t="s">
        <v>1814</v>
      </c>
      <c r="J51" s="48">
        <v>15000</v>
      </c>
      <c r="K51" s="48">
        <v>5000</v>
      </c>
      <c r="L51" s="48"/>
      <c r="M51" s="48"/>
      <c r="N51" s="59"/>
      <c r="O51" s="59"/>
      <c r="P51" s="59"/>
      <c r="Q51" s="268">
        <f t="shared" si="2"/>
        <v>20000</v>
      </c>
      <c r="R51" s="61">
        <f>IF(O51=0,0,SUMIFS(Disbursements!$T:$T,Disbursements!$B:$B,'Live Collections'!D51,Disbursements!$D:$D,'Live Collections'!F51))</f>
        <v>0</v>
      </c>
      <c r="S51" s="304">
        <f>IF(O51&lt;=IF($O51=0,0,SUMIFS(Disbursements!$W:$W,Disbursements!$B:$B,'Live Collections'!D375,Disbursements!$D:$D,'Live Collections'!F375)),O51,IF($O51=0,0,SUMIFS(Disbursements!$W:$W,Disbursements!$B:$B,'Live Collections'!D375,Disbursements!$D:$D,'Live Collections'!F375)))</f>
        <v>0</v>
      </c>
      <c r="T51" s="304">
        <f t="shared" si="3"/>
        <v>0</v>
      </c>
      <c r="U51" s="52">
        <v>788618017</v>
      </c>
      <c r="V51" s="34"/>
      <c r="W51" s="408"/>
    </row>
    <row r="52" spans="1:23" ht="12.75" customHeight="1" x14ac:dyDescent="0.2">
      <c r="A52" s="132">
        <v>45</v>
      </c>
      <c r="B52" s="44">
        <v>44343</v>
      </c>
      <c r="C52" s="44">
        <f t="shared" si="1"/>
        <v>44343</v>
      </c>
      <c r="D52" s="374">
        <v>34</v>
      </c>
      <c r="E52" s="291" t="str">
        <f>IFERROR(VLOOKUP($D52,'Clients-Live'!$A:$C,3,0),"")</f>
        <v>APEKURU FLORENCE</v>
      </c>
      <c r="F52" s="291" t="str">
        <f>IFERROR(INDEX(Disbursements!$D:$D,MATCH('Live Collections'!G52,Disbursements!$C:$C,0)),"")</f>
        <v/>
      </c>
      <c r="G52" s="34"/>
      <c r="H52" s="34"/>
      <c r="I52" s="34" t="s">
        <v>1814</v>
      </c>
      <c r="J52" s="48">
        <v>15000</v>
      </c>
      <c r="K52" s="48">
        <v>5000</v>
      </c>
      <c r="L52" s="48"/>
      <c r="M52" s="48"/>
      <c r="N52" s="59"/>
      <c r="O52" s="59"/>
      <c r="P52" s="59"/>
      <c r="Q52" s="268">
        <f t="shared" si="2"/>
        <v>20000</v>
      </c>
      <c r="R52" s="61">
        <f>IF(O52=0,0,SUMIFS(Disbursements!$T:$T,Disbursements!$B:$B,'Live Collections'!D52,Disbursements!$D:$D,'Live Collections'!F52))</f>
        <v>0</v>
      </c>
      <c r="S52" s="304">
        <f>IF(O52&lt;=IF($O52=0,0,SUMIFS(Disbursements!$W:$W,Disbursements!$B:$B,'Live Collections'!D390,Disbursements!$D:$D,'Live Collections'!F390)),O52,IF($O52=0,0,SUMIFS(Disbursements!$W:$W,Disbursements!$B:$B,'Live Collections'!D390,Disbursements!$D:$D,'Live Collections'!F390)))</f>
        <v>0</v>
      </c>
      <c r="T52" s="304">
        <f t="shared" si="3"/>
        <v>0</v>
      </c>
      <c r="U52" s="52">
        <v>777515872</v>
      </c>
      <c r="V52" s="34"/>
      <c r="W52" s="408"/>
    </row>
    <row r="53" spans="1:23" ht="12.75" customHeight="1" x14ac:dyDescent="0.2">
      <c r="A53" s="257">
        <v>46</v>
      </c>
      <c r="B53" s="44">
        <v>44343</v>
      </c>
      <c r="C53" s="44">
        <f t="shared" si="1"/>
        <v>44343</v>
      </c>
      <c r="D53" s="374">
        <v>35</v>
      </c>
      <c r="E53" s="291" t="str">
        <f>IFERROR(VLOOKUP($D53,'Clients-Live'!$A:$C,3,0),"")</f>
        <v>ALEZUYO DOCUS</v>
      </c>
      <c r="F53" s="291" t="str">
        <f>IFERROR(INDEX(Disbursements!$D:$D,MATCH('Live Collections'!G53,Disbursements!$C:$C,0)),"")</f>
        <v/>
      </c>
      <c r="G53" s="34"/>
      <c r="H53" s="34"/>
      <c r="I53" s="34" t="s">
        <v>1814</v>
      </c>
      <c r="J53" s="48">
        <v>15000</v>
      </c>
      <c r="K53" s="48">
        <v>5000</v>
      </c>
      <c r="L53" s="48"/>
      <c r="M53" s="48"/>
      <c r="N53" s="59"/>
      <c r="O53" s="59"/>
      <c r="P53" s="59"/>
      <c r="Q53" s="268">
        <f t="shared" si="2"/>
        <v>20000</v>
      </c>
      <c r="R53" s="61">
        <f>IF(O53=0,0,SUMIFS(Disbursements!$T:$T,Disbursements!$B:$B,'Live Collections'!D53,Disbursements!$D:$D,'Live Collections'!F53))</f>
        <v>0</v>
      </c>
      <c r="S53" s="304">
        <f>IF(O53&lt;=IF($O53=0,0,SUMIFS(Disbursements!$W:$W,Disbursements!$B:$B,'Live Collections'!D403,Disbursements!$D:$D,'Live Collections'!F403)),O53,IF($O53=0,0,SUMIFS(Disbursements!$W:$W,Disbursements!$B:$B,'Live Collections'!D403,Disbursements!$D:$D,'Live Collections'!F403)))</f>
        <v>0</v>
      </c>
      <c r="T53" s="304">
        <f t="shared" si="3"/>
        <v>0</v>
      </c>
      <c r="U53" s="52">
        <v>773190904</v>
      </c>
      <c r="V53" s="34"/>
      <c r="W53" s="408"/>
    </row>
    <row r="54" spans="1:23" ht="12.75" customHeight="1" x14ac:dyDescent="0.2">
      <c r="A54" s="132">
        <v>47</v>
      </c>
      <c r="B54" s="44">
        <v>44343</v>
      </c>
      <c r="C54" s="44">
        <f t="shared" si="1"/>
        <v>44343</v>
      </c>
      <c r="D54" s="374">
        <v>36</v>
      </c>
      <c r="E54" s="291" t="str">
        <f>IFERROR(VLOOKUP($D54,'Clients-Live'!$A:$C,3,0),"")</f>
        <v>AMANIYO CHRISTINE</v>
      </c>
      <c r="F54" s="291" t="str">
        <f>IFERROR(INDEX(Disbursements!$D:$D,MATCH('Live Collections'!G54,Disbursements!$C:$C,0)),"")</f>
        <v/>
      </c>
      <c r="G54" s="34"/>
      <c r="H54" s="34"/>
      <c r="I54" s="34" t="s">
        <v>1814</v>
      </c>
      <c r="J54" s="48">
        <v>15000</v>
      </c>
      <c r="K54" s="48">
        <v>5000</v>
      </c>
      <c r="L54" s="48"/>
      <c r="M54" s="48"/>
      <c r="N54" s="59"/>
      <c r="O54" s="59"/>
      <c r="P54" s="59"/>
      <c r="Q54" s="268">
        <f t="shared" si="2"/>
        <v>20000</v>
      </c>
      <c r="R54" s="61">
        <f>IF(O54=0,0,SUMIFS(Disbursements!$T:$T,Disbursements!$B:$B,'Live Collections'!D54,Disbursements!$D:$D,'Live Collections'!F54))</f>
        <v>0</v>
      </c>
      <c r="S54" s="304">
        <f>IF(O54&lt;=IF($O54=0,0,SUMIFS(Disbursements!$W:$W,Disbursements!$B:$B,'Live Collections'!D415,Disbursements!$D:$D,'Live Collections'!F415)),O54,IF($O54=0,0,SUMIFS(Disbursements!$W:$W,Disbursements!$B:$B,'Live Collections'!D415,Disbursements!$D:$D,'Live Collections'!F415)))</f>
        <v>0</v>
      </c>
      <c r="T54" s="304">
        <f t="shared" si="3"/>
        <v>0</v>
      </c>
      <c r="U54" s="52">
        <v>785813073</v>
      </c>
      <c r="V54" s="34"/>
      <c r="W54" s="408"/>
    </row>
    <row r="55" spans="1:23" ht="12.75" customHeight="1" x14ac:dyDescent="0.2">
      <c r="A55" s="257">
        <v>48</v>
      </c>
      <c r="B55" s="44">
        <v>44344</v>
      </c>
      <c r="C55" s="44">
        <f t="shared" si="1"/>
        <v>44344</v>
      </c>
      <c r="D55" s="374">
        <v>37</v>
      </c>
      <c r="E55" s="291" t="str">
        <f>IFERROR(VLOOKUP($D55,'Clients-Live'!$A:$C,3,0),"")</f>
        <v>WANDWALI AMISI</v>
      </c>
      <c r="F55" s="291" t="str">
        <f>IFERROR(INDEX(Disbursements!$D:$D,MATCH('Live Collections'!G55,Disbursements!$C:$C,0)),"")</f>
        <v/>
      </c>
      <c r="G55" s="34"/>
      <c r="H55" s="34"/>
      <c r="I55" s="34" t="s">
        <v>1814</v>
      </c>
      <c r="J55" s="48">
        <v>15000</v>
      </c>
      <c r="K55" s="48">
        <v>5000</v>
      </c>
      <c r="L55" s="48"/>
      <c r="M55" s="48"/>
      <c r="N55" s="59"/>
      <c r="O55" s="59"/>
      <c r="P55" s="59"/>
      <c r="Q55" s="268">
        <f t="shared" si="2"/>
        <v>20000</v>
      </c>
      <c r="R55" s="61">
        <f>IF(O55=0,0,SUMIFS(Disbursements!$T:$T,Disbursements!$B:$B,'Live Collections'!D55,Disbursements!$D:$D,'Live Collections'!F55))</f>
        <v>0</v>
      </c>
      <c r="S55" s="304">
        <f>IF(O55&lt;=IF($O55=0,0,SUMIFS(Disbursements!$W:$W,Disbursements!$B:$B,'Live Collections'!D416,Disbursements!$D:$D,'Live Collections'!F416)),O55,IF($O55=0,0,SUMIFS(Disbursements!$W:$W,Disbursements!$B:$B,'Live Collections'!D416,Disbursements!$D:$D,'Live Collections'!F416)))</f>
        <v>0</v>
      </c>
      <c r="T55" s="304">
        <f t="shared" si="3"/>
        <v>0</v>
      </c>
      <c r="U55" s="52">
        <v>394003556</v>
      </c>
      <c r="V55" s="34"/>
      <c r="W55" s="408"/>
    </row>
    <row r="56" spans="1:23" ht="12.75" customHeight="1" x14ac:dyDescent="0.2">
      <c r="A56" s="132">
        <v>49</v>
      </c>
      <c r="B56" s="44">
        <v>44345</v>
      </c>
      <c r="C56" s="44">
        <f t="shared" si="1"/>
        <v>44345</v>
      </c>
      <c r="D56" s="374">
        <v>34</v>
      </c>
      <c r="E56" s="291" t="str">
        <f>IFERROR(VLOOKUP($D56,'Clients-Live'!$A:$C,3,0),"")</f>
        <v>APEKURU FLORENCE</v>
      </c>
      <c r="F56" s="291">
        <f>IFERROR(INDEX(Disbursements!$D:$D,MATCH('Live Collections'!G56,Disbursements!$C:$C,0)),"")</f>
        <v>2</v>
      </c>
      <c r="G56" s="34">
        <v>283</v>
      </c>
      <c r="H56" s="34">
        <v>92</v>
      </c>
      <c r="I56" s="34" t="s">
        <v>862</v>
      </c>
      <c r="J56" s="48"/>
      <c r="K56" s="48"/>
      <c r="L56" s="48">
        <v>10000</v>
      </c>
      <c r="M56" s="48">
        <v>5000</v>
      </c>
      <c r="N56" s="59"/>
      <c r="O56" s="59"/>
      <c r="P56" s="59">
        <v>100000</v>
      </c>
      <c r="Q56" s="268">
        <f t="shared" si="2"/>
        <v>115000</v>
      </c>
      <c r="R56" s="61">
        <f>IF(O56=0,0,SUMIFS(Disbursements!$T:$T,Disbursements!$B:$B,'Live Collections'!D56,Disbursements!$D:$D,'Live Collections'!F56))</f>
        <v>0</v>
      </c>
      <c r="S56" s="304">
        <f>IF(O56&lt;=IF($O56=0,0,SUMIFS(Disbursements!$W:$W,Disbursements!$B:$B,'Live Collections'!D391,Disbursements!$D:$D,'Live Collections'!F391)),O56,IF($O56=0,0,SUMIFS(Disbursements!$W:$W,Disbursements!$B:$B,'Live Collections'!D391,Disbursements!$D:$D,'Live Collections'!F391)))</f>
        <v>0</v>
      </c>
      <c r="T56" s="304">
        <f t="shared" si="3"/>
        <v>0</v>
      </c>
      <c r="U56" s="52"/>
      <c r="V56" s="34"/>
      <c r="W56" s="408"/>
    </row>
    <row r="57" spans="1:23" ht="12.75" customHeight="1" x14ac:dyDescent="0.2">
      <c r="A57" s="257">
        <v>53</v>
      </c>
      <c r="B57" s="44">
        <v>44347</v>
      </c>
      <c r="C57" s="44">
        <f t="shared" si="1"/>
        <v>44347</v>
      </c>
      <c r="D57" s="374">
        <v>35</v>
      </c>
      <c r="E57" s="291" t="str">
        <f>IFERROR(VLOOKUP($D57,'Clients-Live'!$A:$C,3,0),"")</f>
        <v>ALEZUYO DOCUS</v>
      </c>
      <c r="F57" s="291">
        <f>IFERROR(INDEX(Disbursements!$D:$D,MATCH('Live Collections'!G57,Disbursements!$C:$C,0)),"")</f>
        <v>1</v>
      </c>
      <c r="G57" s="34">
        <v>20</v>
      </c>
      <c r="H57" s="34"/>
      <c r="I57" s="34" t="s">
        <v>864</v>
      </c>
      <c r="J57" s="48"/>
      <c r="K57" s="48"/>
      <c r="L57" s="48">
        <v>10000</v>
      </c>
      <c r="M57" s="48">
        <v>5000</v>
      </c>
      <c r="N57" s="59"/>
      <c r="O57" s="59"/>
      <c r="P57" s="59">
        <v>50000</v>
      </c>
      <c r="Q57" s="268">
        <f t="shared" si="2"/>
        <v>65000</v>
      </c>
      <c r="R57" s="61">
        <f>IF(O57=0,0,SUMIFS(Disbursements!$T:$T,Disbursements!$B:$B,'Live Collections'!D57,Disbursements!$D:$D,'Live Collections'!F57))</f>
        <v>0</v>
      </c>
      <c r="S57" s="304">
        <f>IF(O57&lt;=IF($O57=0,0,SUMIFS(Disbursements!$W:$W,Disbursements!$B:$B,'Live Collections'!D404,Disbursements!$D:$D,'Live Collections'!F404)),O57,IF($O57=0,0,SUMIFS(Disbursements!$W:$W,Disbursements!$B:$B,'Live Collections'!D404,Disbursements!$D:$D,'Live Collections'!F404)))</f>
        <v>0</v>
      </c>
      <c r="T57" s="304">
        <f t="shared" si="3"/>
        <v>0</v>
      </c>
      <c r="U57" s="52"/>
      <c r="V57" s="34"/>
      <c r="W57" s="408"/>
    </row>
    <row r="58" spans="1:23" ht="12.75" customHeight="1" x14ac:dyDescent="0.2">
      <c r="A58" s="132">
        <v>54</v>
      </c>
      <c r="B58" s="44">
        <v>44347</v>
      </c>
      <c r="C58" s="44">
        <f t="shared" si="1"/>
        <v>44347</v>
      </c>
      <c r="D58" s="374">
        <v>37</v>
      </c>
      <c r="E58" s="291" t="str">
        <f>IFERROR(VLOOKUP($D58,'Clients-Live'!$A:$C,3,0),"")</f>
        <v>WANDWALI AMISI</v>
      </c>
      <c r="F58" s="291">
        <f>IFERROR(INDEX(Disbursements!$D:$D,MATCH('Live Collections'!G58,Disbursements!$C:$C,0)),"")</f>
        <v>1</v>
      </c>
      <c r="G58" s="34">
        <v>21</v>
      </c>
      <c r="H58" s="34"/>
      <c r="I58" s="34" t="s">
        <v>864</v>
      </c>
      <c r="J58" s="48"/>
      <c r="K58" s="48"/>
      <c r="L58" s="48">
        <v>10000</v>
      </c>
      <c r="M58" s="48">
        <v>5000</v>
      </c>
      <c r="N58" s="59"/>
      <c r="O58" s="59"/>
      <c r="P58" s="59">
        <v>100000</v>
      </c>
      <c r="Q58" s="268">
        <f t="shared" si="2"/>
        <v>115000</v>
      </c>
      <c r="R58" s="61">
        <f>IF(O58=0,0,SUMIFS(Disbursements!$T:$T,Disbursements!$B:$B,'Live Collections'!D58,Disbursements!$D:$D,'Live Collections'!F58))</f>
        <v>0</v>
      </c>
      <c r="S58" s="304">
        <f>IF(O58&lt;=IF($O58=0,0,SUMIFS(Disbursements!$W:$W,Disbursements!$B:$B,'Live Collections'!D417,Disbursements!$D:$D,'Live Collections'!F417)),O58,IF($O58=0,0,SUMIFS(Disbursements!$W:$W,Disbursements!$B:$B,'Live Collections'!D417,Disbursements!$D:$D,'Live Collections'!F417)))</f>
        <v>0</v>
      </c>
      <c r="T58" s="304">
        <f t="shared" si="3"/>
        <v>0</v>
      </c>
      <c r="U58" s="52"/>
      <c r="V58" s="34"/>
      <c r="W58" s="408"/>
    </row>
    <row r="59" spans="1:23" ht="12.75" customHeight="1" x14ac:dyDescent="0.2">
      <c r="A59" s="257">
        <v>50</v>
      </c>
      <c r="B59" s="44">
        <v>44347</v>
      </c>
      <c r="C59" s="44">
        <f t="shared" si="1"/>
        <v>44347</v>
      </c>
      <c r="D59" s="374">
        <v>38</v>
      </c>
      <c r="E59" s="291" t="str">
        <f>IFERROR(VLOOKUP($D59,'Clients-Live'!$A:$C,3,0),"")</f>
        <v>ANGUZU CHRIS RONALD</v>
      </c>
      <c r="F59" s="291" t="str">
        <f>IFERROR(INDEX(Disbursements!$D:$D,MATCH('Live Collections'!G59,Disbursements!$C:$C,0)),"")</f>
        <v/>
      </c>
      <c r="G59" s="34"/>
      <c r="H59" s="34"/>
      <c r="I59" s="34" t="s">
        <v>1814</v>
      </c>
      <c r="J59" s="48">
        <v>15000</v>
      </c>
      <c r="K59" s="48">
        <v>5000</v>
      </c>
      <c r="L59" s="48"/>
      <c r="M59" s="48"/>
      <c r="N59" s="59"/>
      <c r="O59" s="59"/>
      <c r="P59" s="59"/>
      <c r="Q59" s="268">
        <f t="shared" si="2"/>
        <v>20000</v>
      </c>
      <c r="R59" s="61">
        <f>IF(O59=0,0,SUMIFS(Disbursements!$T:$T,Disbursements!$B:$B,'Live Collections'!D59,Disbursements!$D:$D,'Live Collections'!F59))</f>
        <v>0</v>
      </c>
      <c r="S59" s="304">
        <f>IF(O59&lt;=IF($O59=0,0,SUMIFS(Disbursements!$W:$W,Disbursements!$B:$B,'Live Collections'!D426,Disbursements!$D:$D,'Live Collections'!F426)),O59,IF($O59=0,0,SUMIFS(Disbursements!$W:$W,Disbursements!$B:$B,'Live Collections'!D426,Disbursements!$D:$D,'Live Collections'!F426)))</f>
        <v>0</v>
      </c>
      <c r="T59" s="304">
        <f t="shared" si="3"/>
        <v>0</v>
      </c>
      <c r="U59" s="52">
        <v>784651660</v>
      </c>
      <c r="V59" s="34"/>
      <c r="W59" s="408"/>
    </row>
    <row r="60" spans="1:23" ht="12.75" customHeight="1" x14ac:dyDescent="0.2">
      <c r="A60" s="132">
        <v>51</v>
      </c>
      <c r="B60" s="44">
        <v>44347</v>
      </c>
      <c r="C60" s="44">
        <f t="shared" si="1"/>
        <v>44347</v>
      </c>
      <c r="D60" s="374">
        <v>39</v>
      </c>
      <c r="E60" s="291" t="str">
        <f>IFERROR(VLOOKUP($D60,'Clients-Live'!$A:$C,3,0),"")</f>
        <v>ORODRIYO SUMAYA HARRIET</v>
      </c>
      <c r="F60" s="291" t="str">
        <f>IFERROR(INDEX(Disbursements!$D:$D,MATCH('Live Collections'!G60,Disbursements!$C:$C,0)),"")</f>
        <v/>
      </c>
      <c r="G60" s="34"/>
      <c r="H60" s="34"/>
      <c r="I60" s="34" t="s">
        <v>1814</v>
      </c>
      <c r="J60" s="48">
        <v>15000</v>
      </c>
      <c r="K60" s="48">
        <v>5000</v>
      </c>
      <c r="L60" s="48"/>
      <c r="M60" s="48"/>
      <c r="N60" s="59"/>
      <c r="O60" s="59"/>
      <c r="P60" s="59"/>
      <c r="Q60" s="268">
        <f t="shared" si="2"/>
        <v>20000</v>
      </c>
      <c r="R60" s="61">
        <f>IF(O60=0,0,SUMIFS(Disbursements!$T:$T,Disbursements!$B:$B,'Live Collections'!D60,Disbursements!$D:$D,'Live Collections'!F60))</f>
        <v>0</v>
      </c>
      <c r="S60" s="304">
        <f>IF(O60&lt;=IF($O60=0,0,SUMIFS(Disbursements!$W:$W,Disbursements!$B:$B,'Live Collections'!D429,Disbursements!$D:$D,'Live Collections'!F429)),O60,IF($O60=0,0,SUMIFS(Disbursements!$W:$W,Disbursements!$B:$B,'Live Collections'!D429,Disbursements!$D:$D,'Live Collections'!F429)))</f>
        <v>0</v>
      </c>
      <c r="T60" s="304">
        <f t="shared" si="3"/>
        <v>0</v>
      </c>
      <c r="U60" s="52"/>
      <c r="V60" s="34"/>
      <c r="W60" s="408"/>
    </row>
    <row r="61" spans="1:23" ht="12.75" customHeight="1" x14ac:dyDescent="0.2">
      <c r="A61" s="257">
        <v>52</v>
      </c>
      <c r="B61" s="44">
        <v>44347</v>
      </c>
      <c r="C61" s="44">
        <f t="shared" si="1"/>
        <v>44347</v>
      </c>
      <c r="D61" s="374">
        <v>40</v>
      </c>
      <c r="E61" s="291" t="str">
        <f>IFERROR(VLOOKUP($D61,'Clients-Live'!$A:$C,3,0),"")</f>
        <v>TABU JANE</v>
      </c>
      <c r="F61" s="291" t="str">
        <f>IFERROR(INDEX(Disbursements!$D:$D,MATCH('Live Collections'!G61,Disbursements!$C:$C,0)),"")</f>
        <v/>
      </c>
      <c r="G61" s="34"/>
      <c r="H61" s="34"/>
      <c r="I61" s="34" t="s">
        <v>1814</v>
      </c>
      <c r="J61" s="48">
        <v>15000</v>
      </c>
      <c r="K61" s="48">
        <v>5000</v>
      </c>
      <c r="L61" s="48"/>
      <c r="M61" s="48"/>
      <c r="N61" s="59"/>
      <c r="O61" s="59"/>
      <c r="P61" s="59"/>
      <c r="Q61" s="268">
        <f t="shared" si="2"/>
        <v>20000</v>
      </c>
      <c r="R61" s="61">
        <f>IF(O61=0,0,SUMIFS(Disbursements!$T:$T,Disbursements!$B:$B,'Live Collections'!D61,Disbursements!$D:$D,'Live Collections'!F61))</f>
        <v>0</v>
      </c>
      <c r="S61" s="304">
        <f>IF(O61&lt;=IF($O61=0,0,SUMIFS(Disbursements!$W:$W,Disbursements!$B:$B,'Live Collections'!D430,Disbursements!$D:$D,'Live Collections'!F430)),O61,IF($O61=0,0,SUMIFS(Disbursements!$W:$W,Disbursements!$B:$B,'Live Collections'!D430,Disbursements!$D:$D,'Live Collections'!F430)))</f>
        <v>0</v>
      </c>
      <c r="T61" s="304">
        <f t="shared" si="3"/>
        <v>0</v>
      </c>
      <c r="U61" s="52">
        <v>783663742</v>
      </c>
      <c r="V61" s="34"/>
      <c r="W61" s="408"/>
    </row>
    <row r="62" spans="1:23" ht="12.75" customHeight="1" x14ac:dyDescent="0.2">
      <c r="A62" s="132">
        <v>60</v>
      </c>
      <c r="B62" s="44">
        <v>44348</v>
      </c>
      <c r="C62" s="44">
        <f t="shared" si="1"/>
        <v>44348</v>
      </c>
      <c r="D62" s="374">
        <v>23</v>
      </c>
      <c r="E62" s="291" t="str">
        <f>IFERROR(VLOOKUP($D62,'Clients-Live'!$A:$C,3,0),"")</f>
        <v>BADARU KEVIN ATELIONGA</v>
      </c>
      <c r="F62" s="291">
        <f>IFERROR(INDEX(Disbursements!$D:$D,MATCH('Live Collections'!G62,Disbursements!$C:$C,0)),"")</f>
        <v>1</v>
      </c>
      <c r="G62" s="34">
        <v>14</v>
      </c>
      <c r="H62" s="34"/>
      <c r="I62" s="34" t="s">
        <v>1357</v>
      </c>
      <c r="J62" s="48"/>
      <c r="K62" s="48"/>
      <c r="L62" s="48"/>
      <c r="M62" s="48"/>
      <c r="N62" s="59"/>
      <c r="O62" s="59">
        <v>32500</v>
      </c>
      <c r="P62" s="59"/>
      <c r="Q62" s="268">
        <f t="shared" si="2"/>
        <v>32500</v>
      </c>
      <c r="R62" s="61">
        <f>IF(O62=0,0,SUMIFS(Disbursements!$T:$T,Disbursements!$B:$B,'Live Collections'!D62,Disbursements!$D:$D,'Live Collections'!F62))</f>
        <v>33000</v>
      </c>
      <c r="S62" s="304">
        <f>IF(O62&lt;=IF($O62=0,0,SUMIFS(Disbursements!$W:$W,Disbursements!$B:$B,'Live Collections'!D307,Disbursements!$D:$D,'Live Collections'!F307)),O62,IF($O62=0,0,SUMIFS(Disbursements!$W:$W,Disbursements!$B:$B,'Live Collections'!D307,Disbursements!$D:$D,'Live Collections'!F307)))</f>
        <v>15000</v>
      </c>
      <c r="T62" s="304">
        <f t="shared" si="3"/>
        <v>17500</v>
      </c>
      <c r="U62" s="52"/>
      <c r="V62" s="34"/>
      <c r="W62" s="408"/>
    </row>
    <row r="63" spans="1:23" ht="12.75" customHeight="1" x14ac:dyDescent="0.2">
      <c r="A63" s="257">
        <v>57</v>
      </c>
      <c r="B63" s="44">
        <v>44348</v>
      </c>
      <c r="C63" s="44">
        <f t="shared" si="1"/>
        <v>44348</v>
      </c>
      <c r="D63" s="374">
        <v>38</v>
      </c>
      <c r="E63" s="291" t="str">
        <f>IFERROR(VLOOKUP($D63,'Clients-Live'!$A:$C,3,0),"")</f>
        <v>ANGUZU CHRIS RONALD</v>
      </c>
      <c r="F63" s="291">
        <f>IFERROR(INDEX(Disbursements!$D:$D,MATCH('Live Collections'!G63,Disbursements!$C:$C,0)),"")</f>
        <v>1</v>
      </c>
      <c r="G63" s="34">
        <v>22</v>
      </c>
      <c r="H63" s="34"/>
      <c r="I63" s="34" t="s">
        <v>862</v>
      </c>
      <c r="J63" s="48"/>
      <c r="K63" s="48"/>
      <c r="L63" s="48">
        <v>10000</v>
      </c>
      <c r="M63" s="48">
        <v>5000</v>
      </c>
      <c r="N63" s="59"/>
      <c r="O63" s="59"/>
      <c r="P63" s="59">
        <v>200000</v>
      </c>
      <c r="Q63" s="268">
        <f t="shared" si="2"/>
        <v>215000</v>
      </c>
      <c r="R63" s="61">
        <f>IF(O63=0,0,SUMIFS(Disbursements!$T:$T,Disbursements!$B:$B,'Live Collections'!D63,Disbursements!$D:$D,'Live Collections'!F63))</f>
        <v>0</v>
      </c>
      <c r="S63" s="304">
        <f>IF(O63&lt;=IF($O63=0,0,SUMIFS(Disbursements!$W:$W,Disbursements!$B:$B,'Live Collections'!D427,Disbursements!$D:$D,'Live Collections'!F427)),O63,IF($O63=0,0,SUMIFS(Disbursements!$W:$W,Disbursements!$B:$B,'Live Collections'!D427,Disbursements!$D:$D,'Live Collections'!F427)))</f>
        <v>0</v>
      </c>
      <c r="T63" s="304">
        <f t="shared" si="3"/>
        <v>0</v>
      </c>
      <c r="U63" s="52"/>
      <c r="V63" s="34"/>
      <c r="W63" s="408"/>
    </row>
    <row r="64" spans="1:23" ht="12.75" customHeight="1" x14ac:dyDescent="0.2">
      <c r="A64" s="132">
        <v>58</v>
      </c>
      <c r="B64" s="44">
        <v>44348</v>
      </c>
      <c r="C64" s="44">
        <f t="shared" si="1"/>
        <v>44348</v>
      </c>
      <c r="D64" s="374">
        <v>40</v>
      </c>
      <c r="E64" s="291" t="str">
        <f>IFERROR(VLOOKUP($D64,'Clients-Live'!$A:$C,3,0),"")</f>
        <v>TABU JANE</v>
      </c>
      <c r="F64" s="291">
        <f>IFERROR(INDEX(Disbursements!$D:$D,MATCH('Live Collections'!G64,Disbursements!$C:$C,0)),"")</f>
        <v>2</v>
      </c>
      <c r="G64" s="34">
        <v>230</v>
      </c>
      <c r="H64" s="34"/>
      <c r="I64" s="34" t="s">
        <v>863</v>
      </c>
      <c r="J64" s="48"/>
      <c r="K64" s="48"/>
      <c r="L64" s="48">
        <v>10000</v>
      </c>
      <c r="M64" s="48">
        <v>5000</v>
      </c>
      <c r="N64" s="59"/>
      <c r="O64" s="59"/>
      <c r="P64" s="59">
        <v>50000</v>
      </c>
      <c r="Q64" s="268">
        <f t="shared" si="2"/>
        <v>65000</v>
      </c>
      <c r="R64" s="61">
        <f>IF(O64=0,0,SUMIFS(Disbursements!$T:$T,Disbursements!$B:$B,'Live Collections'!D64,Disbursements!$D:$D,'Live Collections'!F64))</f>
        <v>0</v>
      </c>
      <c r="S64" s="304">
        <f>IF(O64&lt;=IF($O64=0,0,SUMIFS(Disbursements!$W:$W,Disbursements!$B:$B,'Live Collections'!D431,Disbursements!$D:$D,'Live Collections'!F431)),O64,IF($O64=0,0,SUMIFS(Disbursements!$W:$W,Disbursements!$B:$B,'Live Collections'!D431,Disbursements!$D:$D,'Live Collections'!F431)))</f>
        <v>0</v>
      </c>
      <c r="T64" s="304">
        <f t="shared" si="3"/>
        <v>0</v>
      </c>
      <c r="U64" s="52"/>
      <c r="V64" s="34"/>
      <c r="W64" s="408"/>
    </row>
    <row r="65" spans="1:23" ht="12.75" customHeight="1" x14ac:dyDescent="0.2">
      <c r="A65" s="257">
        <v>55</v>
      </c>
      <c r="B65" s="44">
        <v>44348</v>
      </c>
      <c r="C65" s="44">
        <f t="shared" si="1"/>
        <v>44348</v>
      </c>
      <c r="D65" s="374">
        <v>41</v>
      </c>
      <c r="E65" s="291" t="str">
        <f>IFERROR(VLOOKUP($D65,'Clients-Live'!$A:$C,3,0),"")</f>
        <v>ANGUYO RONALD</v>
      </c>
      <c r="F65" s="291" t="str">
        <f>IFERROR(INDEX(Disbursements!$D:$D,MATCH('Live Collections'!G65,Disbursements!$C:$C,0)),"")</f>
        <v/>
      </c>
      <c r="G65" s="34"/>
      <c r="H65" s="34"/>
      <c r="I65" s="34" t="s">
        <v>1814</v>
      </c>
      <c r="J65" s="48">
        <v>15000</v>
      </c>
      <c r="K65" s="48">
        <v>5000</v>
      </c>
      <c r="L65" s="48"/>
      <c r="M65" s="48"/>
      <c r="N65" s="59"/>
      <c r="O65" s="59"/>
      <c r="P65" s="59"/>
      <c r="Q65" s="268">
        <f t="shared" si="2"/>
        <v>20000</v>
      </c>
      <c r="R65" s="61">
        <f>IF(O65=0,0,SUMIFS(Disbursements!$T:$T,Disbursements!$B:$B,'Live Collections'!D65,Disbursements!$D:$D,'Live Collections'!F65))</f>
        <v>0</v>
      </c>
      <c r="S65" s="304">
        <f>IF(O65&lt;=IF($O65=0,0,SUMIFS(Disbursements!$W:$W,Disbursements!$B:$B,'Live Collections'!D443,Disbursements!$D:$D,'Live Collections'!F443)),O65,IF($O65=0,0,SUMIFS(Disbursements!$W:$W,Disbursements!$B:$B,'Live Collections'!D443,Disbursements!$D:$D,'Live Collections'!F443)))</f>
        <v>0</v>
      </c>
      <c r="T65" s="304">
        <f t="shared" si="3"/>
        <v>0</v>
      </c>
      <c r="U65" s="52">
        <v>775043483</v>
      </c>
      <c r="V65" s="34"/>
      <c r="W65" s="408"/>
    </row>
    <row r="66" spans="1:23" ht="12.75" customHeight="1" x14ac:dyDescent="0.2">
      <c r="A66" s="132">
        <v>59</v>
      </c>
      <c r="B66" s="44">
        <v>44348</v>
      </c>
      <c r="C66" s="44">
        <f t="shared" si="1"/>
        <v>44348</v>
      </c>
      <c r="D66" s="374">
        <v>41</v>
      </c>
      <c r="E66" s="291" t="str">
        <f>IFERROR(VLOOKUP($D66,'Clients-Live'!$A:$C,3,0),"")</f>
        <v>ANGUYO RONALD</v>
      </c>
      <c r="F66" s="291">
        <f>IFERROR(INDEX(Disbursements!$D:$D,MATCH('Live Collections'!G66,Disbursements!$C:$C,0)),"")</f>
        <v>1</v>
      </c>
      <c r="G66" s="34">
        <v>23</v>
      </c>
      <c r="H66" s="34"/>
      <c r="I66" s="34" t="s">
        <v>863</v>
      </c>
      <c r="J66" s="48"/>
      <c r="K66" s="48"/>
      <c r="L66" s="48">
        <v>10000</v>
      </c>
      <c r="M66" s="48">
        <v>5000</v>
      </c>
      <c r="N66" s="59"/>
      <c r="O66" s="59"/>
      <c r="P66" s="59">
        <v>50000</v>
      </c>
      <c r="Q66" s="268">
        <f t="shared" si="2"/>
        <v>65000</v>
      </c>
      <c r="R66" s="61">
        <f>IF(O66=0,0,SUMIFS(Disbursements!$T:$T,Disbursements!$B:$B,'Live Collections'!D66,Disbursements!$D:$D,'Live Collections'!F66))</f>
        <v>0</v>
      </c>
      <c r="S66" s="304">
        <f>IF(O66&lt;=IF($O66=0,0,SUMIFS(Disbursements!$W:$W,Disbursements!$B:$B,'Live Collections'!D444,Disbursements!$D:$D,'Live Collections'!F444)),O66,IF($O66=0,0,SUMIFS(Disbursements!$W:$W,Disbursements!$B:$B,'Live Collections'!D444,Disbursements!$D:$D,'Live Collections'!F444)))</f>
        <v>0</v>
      </c>
      <c r="T66" s="304">
        <f t="shared" si="3"/>
        <v>0</v>
      </c>
      <c r="U66" s="52"/>
      <c r="V66" s="34"/>
      <c r="W66" s="408"/>
    </row>
    <row r="67" spans="1:23" ht="12.75" customHeight="1" x14ac:dyDescent="0.2">
      <c r="A67" s="257">
        <v>56</v>
      </c>
      <c r="B67" s="44">
        <v>44348</v>
      </c>
      <c r="C67" s="44">
        <f t="shared" si="1"/>
        <v>44348</v>
      </c>
      <c r="D67" s="374">
        <v>42</v>
      </c>
      <c r="E67" s="291" t="str">
        <f>IFERROR(VLOOKUP($D67,'Clients-Live'!$A:$C,3,0),"")</f>
        <v>ABAU   NOLA</v>
      </c>
      <c r="F67" s="291" t="str">
        <f>IFERROR(INDEX(Disbursements!$D:$D,MATCH('Live Collections'!G67,Disbursements!$C:$C,0)),"")</f>
        <v/>
      </c>
      <c r="G67" s="34"/>
      <c r="H67" s="34"/>
      <c r="I67" s="34" t="s">
        <v>1814</v>
      </c>
      <c r="J67" s="48">
        <v>15000</v>
      </c>
      <c r="K67" s="48">
        <v>5000</v>
      </c>
      <c r="L67" s="48"/>
      <c r="M67" s="48"/>
      <c r="N67" s="59"/>
      <c r="O67" s="59"/>
      <c r="P67" s="59"/>
      <c r="Q67" s="268">
        <f t="shared" si="2"/>
        <v>20000</v>
      </c>
      <c r="R67" s="61">
        <f>IF(O67=0,0,SUMIFS(Disbursements!$T:$T,Disbursements!$B:$B,'Live Collections'!D67,Disbursements!$D:$D,'Live Collections'!F67))</f>
        <v>0</v>
      </c>
      <c r="S67" s="304">
        <f>IF(O67&lt;=IF($O67=0,0,SUMIFS(Disbursements!$W:$W,Disbursements!$B:$B,'Live Collections'!D457,Disbursements!$D:$D,'Live Collections'!F457)),O67,IF($O67=0,0,SUMIFS(Disbursements!$W:$W,Disbursements!$B:$B,'Live Collections'!D457,Disbursements!$D:$D,'Live Collections'!F457)))</f>
        <v>0</v>
      </c>
      <c r="T67" s="304">
        <f t="shared" si="3"/>
        <v>0</v>
      </c>
      <c r="U67" s="52">
        <v>785691539</v>
      </c>
      <c r="V67" s="34"/>
      <c r="W67" s="408"/>
    </row>
    <row r="68" spans="1:23" ht="12.75" customHeight="1" x14ac:dyDescent="0.2">
      <c r="A68" s="132">
        <v>71</v>
      </c>
      <c r="B68" s="44">
        <v>44349</v>
      </c>
      <c r="C68" s="44">
        <f t="shared" si="1"/>
        <v>44349</v>
      </c>
      <c r="D68" s="374">
        <v>12</v>
      </c>
      <c r="E68" s="291" t="str">
        <f>IFERROR(VLOOKUP($D68,'Clients-Live'!$A:$C,3,0),"")</f>
        <v>DRELIA SIMON DEADSON</v>
      </c>
      <c r="F68" s="291">
        <f>IFERROR(INDEX(Disbursements!$D:$D,MATCH('Live Collections'!G68,Disbursements!$C:$C,0)),"")</f>
        <v>1</v>
      </c>
      <c r="G68" s="34">
        <v>3</v>
      </c>
      <c r="H68" s="34"/>
      <c r="I68" s="34" t="s">
        <v>1357</v>
      </c>
      <c r="J68" s="48"/>
      <c r="K68" s="48"/>
      <c r="L68" s="48"/>
      <c r="M68" s="48"/>
      <c r="N68" s="59"/>
      <c r="O68" s="59">
        <v>90000</v>
      </c>
      <c r="P68" s="59"/>
      <c r="Q68" s="268">
        <f t="shared" si="2"/>
        <v>90000</v>
      </c>
      <c r="R68" s="61">
        <f>IF(O68=0,0,SUMIFS(Disbursements!$T:$T,Disbursements!$B:$B,'Live Collections'!D68,Disbursements!$D:$D,'Live Collections'!F68))</f>
        <v>81000</v>
      </c>
      <c r="S68" s="304">
        <f>IF(O68&lt;=IF($O68=0,0,SUMIFS(Disbursements!$W:$W,Disbursements!$B:$B,'Live Collections'!D121,Disbursements!$D:$D,'Live Collections'!F121)),O68,IF($O68=0,0,SUMIFS(Disbursements!$W:$W,Disbursements!$B:$B,'Live Collections'!D121,Disbursements!$D:$D,'Live Collections'!F121)))</f>
        <v>50333.333333333343</v>
      </c>
      <c r="T68" s="304">
        <f t="shared" si="3"/>
        <v>39666.666666666657</v>
      </c>
      <c r="U68" s="52"/>
      <c r="V68" s="34"/>
      <c r="W68" s="408"/>
    </row>
    <row r="69" spans="1:23" ht="12.75" customHeight="1" x14ac:dyDescent="0.2">
      <c r="A69" s="257">
        <v>68</v>
      </c>
      <c r="B69" s="44">
        <v>44349</v>
      </c>
      <c r="C69" s="44">
        <f t="shared" si="1"/>
        <v>44349</v>
      </c>
      <c r="D69" s="374">
        <v>33</v>
      </c>
      <c r="E69" s="291" t="str">
        <f>IFERROR(VLOOKUP($D69,'Clients-Live'!$A:$C,3,0),"")</f>
        <v>MUZEE OMAR</v>
      </c>
      <c r="F69" s="291">
        <f>IFERROR(INDEX(Disbursements!$D:$D,MATCH('Live Collections'!G69,Disbursements!$C:$C,0)),"")</f>
        <v>1</v>
      </c>
      <c r="G69" s="34">
        <v>26</v>
      </c>
      <c r="H69" s="34">
        <v>146</v>
      </c>
      <c r="I69" s="34" t="s">
        <v>864</v>
      </c>
      <c r="J69" s="48"/>
      <c r="K69" s="48"/>
      <c r="L69" s="48">
        <v>10000</v>
      </c>
      <c r="M69" s="48">
        <v>5000</v>
      </c>
      <c r="N69" s="59"/>
      <c r="O69" s="59"/>
      <c r="P69" s="59">
        <v>200000</v>
      </c>
      <c r="Q69" s="268">
        <f t="shared" si="2"/>
        <v>215000</v>
      </c>
      <c r="R69" s="61">
        <f>IF(O69=0,0,SUMIFS(Disbursements!$T:$T,Disbursements!$B:$B,'Live Collections'!D69,Disbursements!$D:$D,'Live Collections'!F69))</f>
        <v>0</v>
      </c>
      <c r="S69" s="304">
        <f>IF(O69&lt;=IF($O69=0,0,SUMIFS(Disbursements!$W:$W,Disbursements!$B:$B,'Live Collections'!D376,Disbursements!$D:$D,'Live Collections'!F376)),O69,IF($O69=0,0,SUMIFS(Disbursements!$W:$W,Disbursements!$B:$B,'Live Collections'!D376,Disbursements!$D:$D,'Live Collections'!F376)))</f>
        <v>0</v>
      </c>
      <c r="T69" s="304">
        <f t="shared" si="3"/>
        <v>0</v>
      </c>
      <c r="U69" s="52"/>
      <c r="V69" s="34"/>
      <c r="W69" s="408"/>
    </row>
    <row r="70" spans="1:23" ht="12.75" customHeight="1" x14ac:dyDescent="0.2">
      <c r="A70" s="132">
        <v>69</v>
      </c>
      <c r="B70" s="44">
        <v>44349</v>
      </c>
      <c r="C70" s="44">
        <f t="shared" si="1"/>
        <v>44349</v>
      </c>
      <c r="D70" s="374">
        <v>42</v>
      </c>
      <c r="E70" s="291" t="str">
        <f>IFERROR(VLOOKUP($D70,'Clients-Live'!$A:$C,3,0),"")</f>
        <v>ABAU   NOLA</v>
      </c>
      <c r="F70" s="291">
        <f>IFERROR(INDEX(Disbursements!$D:$D,MATCH('Live Collections'!G70,Disbursements!$C:$C,0)),"")</f>
        <v>1</v>
      </c>
      <c r="G70" s="34">
        <v>27</v>
      </c>
      <c r="H70" s="34"/>
      <c r="I70" s="34" t="s">
        <v>862</v>
      </c>
      <c r="J70" s="48"/>
      <c r="K70" s="48"/>
      <c r="L70" s="48">
        <v>10000</v>
      </c>
      <c r="M70" s="48">
        <v>5000</v>
      </c>
      <c r="N70" s="59"/>
      <c r="O70" s="59"/>
      <c r="P70" s="59">
        <v>20000</v>
      </c>
      <c r="Q70" s="268">
        <f t="shared" si="2"/>
        <v>35000</v>
      </c>
      <c r="R70" s="61">
        <f>IF(O70=0,0,SUMIFS(Disbursements!$T:$T,Disbursements!$B:$B,'Live Collections'!D70,Disbursements!$D:$D,'Live Collections'!F70))</f>
        <v>0</v>
      </c>
      <c r="S70" s="304">
        <f>IF(O70&lt;=IF($O70=0,0,SUMIFS(Disbursements!$W:$W,Disbursements!$B:$B,'Live Collections'!D458,Disbursements!$D:$D,'Live Collections'!F458)),O70,IF($O70=0,0,SUMIFS(Disbursements!$W:$W,Disbursements!$B:$B,'Live Collections'!D458,Disbursements!$D:$D,'Live Collections'!F458)))</f>
        <v>0</v>
      </c>
      <c r="T70" s="304">
        <f t="shared" si="3"/>
        <v>0</v>
      </c>
      <c r="U70" s="52"/>
      <c r="V70" s="34"/>
      <c r="W70" s="408"/>
    </row>
    <row r="71" spans="1:23" ht="12.75" customHeight="1" x14ac:dyDescent="0.2">
      <c r="A71" s="257">
        <v>61</v>
      </c>
      <c r="B71" s="44">
        <v>44349</v>
      </c>
      <c r="C71" s="44">
        <f t="shared" si="1"/>
        <v>44349</v>
      </c>
      <c r="D71" s="374">
        <v>43</v>
      </c>
      <c r="E71" s="291" t="str">
        <f>IFERROR(VLOOKUP($D71,'Clients-Live'!$A:$C,3,0),"")</f>
        <v>APUNIKI LOICE</v>
      </c>
      <c r="F71" s="291" t="str">
        <f>IFERROR(INDEX(Disbursements!$D:$D,MATCH('Live Collections'!G71,Disbursements!$C:$C,0)),"")</f>
        <v/>
      </c>
      <c r="G71" s="34"/>
      <c r="H71" s="34"/>
      <c r="I71" s="34" t="s">
        <v>1814</v>
      </c>
      <c r="J71" s="48">
        <v>15000</v>
      </c>
      <c r="K71" s="48">
        <v>5000</v>
      </c>
      <c r="L71" s="48"/>
      <c r="M71" s="48"/>
      <c r="N71" s="59"/>
      <c r="O71" s="59"/>
      <c r="P71" s="59"/>
      <c r="Q71" s="268">
        <f t="shared" si="2"/>
        <v>20000</v>
      </c>
      <c r="R71" s="61">
        <f>IF(O71=0,0,SUMIFS(Disbursements!$T:$T,Disbursements!$B:$B,'Live Collections'!D71,Disbursements!$D:$D,'Live Collections'!F71))</f>
        <v>0</v>
      </c>
      <c r="S71" s="304">
        <f>IF(O71&lt;=IF($O71=0,0,SUMIFS(Disbursements!$W:$W,Disbursements!$B:$B,'Live Collections'!D474,Disbursements!$D:$D,'Live Collections'!F474)),O71,IF($O71=0,0,SUMIFS(Disbursements!$W:$W,Disbursements!$B:$B,'Live Collections'!D474,Disbursements!$D:$D,'Live Collections'!F474)))</f>
        <v>0</v>
      </c>
      <c r="T71" s="304">
        <f t="shared" si="3"/>
        <v>0</v>
      </c>
      <c r="U71" s="52">
        <v>784305779</v>
      </c>
      <c r="V71" s="34"/>
      <c r="W71" s="408"/>
    </row>
    <row r="72" spans="1:23" ht="12.75" customHeight="1" x14ac:dyDescent="0.2">
      <c r="A72" s="132">
        <v>62</v>
      </c>
      <c r="B72" s="44">
        <v>44349</v>
      </c>
      <c r="C72" s="44">
        <f t="shared" ref="C72:C135" si="4">B72</f>
        <v>44349</v>
      </c>
      <c r="D72" s="374">
        <v>44</v>
      </c>
      <c r="E72" s="291" t="str">
        <f>IFERROR(VLOOKUP($D72,'Clients-Live'!$A:$C,3,0),"")</f>
        <v>CANDIRU HELLEN</v>
      </c>
      <c r="F72" s="291" t="str">
        <f>IFERROR(INDEX(Disbursements!$D:$D,MATCH('Live Collections'!G72,Disbursements!$C:$C,0)),"")</f>
        <v/>
      </c>
      <c r="G72" s="34"/>
      <c r="H72" s="34"/>
      <c r="I72" s="34" t="s">
        <v>1814</v>
      </c>
      <c r="J72" s="48">
        <v>15000</v>
      </c>
      <c r="K72" s="48">
        <v>5000</v>
      </c>
      <c r="L72" s="48"/>
      <c r="M72" s="48"/>
      <c r="N72" s="59"/>
      <c r="O72" s="59"/>
      <c r="P72" s="59"/>
      <c r="Q72" s="268">
        <f t="shared" ref="Q72:Q135" si="5">SUM(J72:P72)</f>
        <v>20000</v>
      </c>
      <c r="R72" s="61">
        <f>IF(O72=0,0,SUMIFS(Disbursements!$T:$T,Disbursements!$B:$B,'Live Collections'!D72,Disbursements!$D:$D,'Live Collections'!F72))</f>
        <v>0</v>
      </c>
      <c r="S72" s="304">
        <f>IF(O72&lt;=IF($O72=0,0,SUMIFS(Disbursements!$W:$W,Disbursements!$B:$B,'Live Collections'!D483,Disbursements!$D:$D,'Live Collections'!F483)),O72,IF($O72=0,0,SUMIFS(Disbursements!$W:$W,Disbursements!$B:$B,'Live Collections'!D483,Disbursements!$D:$D,'Live Collections'!F483)))</f>
        <v>0</v>
      </c>
      <c r="T72" s="304">
        <f t="shared" ref="T72:T135" si="6">IF(O72=0,0,O72-S72)</f>
        <v>0</v>
      </c>
      <c r="U72" s="52">
        <v>780607321</v>
      </c>
      <c r="V72" s="34"/>
      <c r="W72" s="408"/>
    </row>
    <row r="73" spans="1:23" ht="12.75" customHeight="1" x14ac:dyDescent="0.2">
      <c r="A73" s="257">
        <v>63</v>
      </c>
      <c r="B73" s="44">
        <v>44349</v>
      </c>
      <c r="C73" s="44">
        <f t="shared" si="4"/>
        <v>44349</v>
      </c>
      <c r="D73" s="374">
        <v>45</v>
      </c>
      <c r="E73" s="291" t="str">
        <f>IFERROR(VLOOKUP($D73,'Clients-Live'!$A:$C,3,0),"")</f>
        <v>SANYA DONALD</v>
      </c>
      <c r="F73" s="291" t="str">
        <f>IFERROR(INDEX(Disbursements!$D:$D,MATCH('Live Collections'!G73,Disbursements!$C:$C,0)),"")</f>
        <v/>
      </c>
      <c r="G73" s="34"/>
      <c r="H73" s="34"/>
      <c r="I73" s="34" t="s">
        <v>1814</v>
      </c>
      <c r="J73" s="48">
        <v>15000</v>
      </c>
      <c r="K73" s="48">
        <v>5000</v>
      </c>
      <c r="L73" s="48"/>
      <c r="M73" s="48"/>
      <c r="N73" s="59"/>
      <c r="O73" s="59"/>
      <c r="P73" s="59"/>
      <c r="Q73" s="268">
        <f t="shared" si="5"/>
        <v>20000</v>
      </c>
      <c r="R73" s="61">
        <f>IF(O73=0,0,SUMIFS(Disbursements!$T:$T,Disbursements!$B:$B,'Live Collections'!D73,Disbursements!$D:$D,'Live Collections'!F73))</f>
        <v>0</v>
      </c>
      <c r="S73" s="304">
        <f>IF(O73&lt;=IF($O73=0,0,SUMIFS(Disbursements!$W:$W,Disbursements!$B:$B,'Live Collections'!D502,Disbursements!$D:$D,'Live Collections'!F502)),O73,IF($O73=0,0,SUMIFS(Disbursements!$W:$W,Disbursements!$B:$B,'Live Collections'!D502,Disbursements!$D:$D,'Live Collections'!F502)))</f>
        <v>0</v>
      </c>
      <c r="T73" s="304">
        <f t="shared" si="6"/>
        <v>0</v>
      </c>
      <c r="U73" s="52">
        <v>785290818</v>
      </c>
      <c r="V73" s="34"/>
      <c r="W73" s="408"/>
    </row>
    <row r="74" spans="1:23" ht="12.75" customHeight="1" x14ac:dyDescent="0.2">
      <c r="A74" s="132">
        <v>70</v>
      </c>
      <c r="B74" s="44">
        <v>44349</v>
      </c>
      <c r="C74" s="44">
        <f t="shared" si="4"/>
        <v>44349</v>
      </c>
      <c r="D74" s="374">
        <v>45</v>
      </c>
      <c r="E74" s="291" t="str">
        <f>IFERROR(VLOOKUP($D74,'Clients-Live'!$A:$C,3,0),"")</f>
        <v>SANYA DONALD</v>
      </c>
      <c r="F74" s="291">
        <f>IFERROR(INDEX(Disbursements!$D:$D,MATCH('Live Collections'!G74,Disbursements!$C:$C,0)),"")</f>
        <v>1</v>
      </c>
      <c r="G74" s="34">
        <v>25</v>
      </c>
      <c r="H74" s="34"/>
      <c r="I74" s="34" t="s">
        <v>862</v>
      </c>
      <c r="J74" s="48"/>
      <c r="K74" s="48"/>
      <c r="L74" s="48">
        <v>10000</v>
      </c>
      <c r="M74" s="48">
        <v>5000</v>
      </c>
      <c r="N74" s="59"/>
      <c r="O74" s="59"/>
      <c r="P74" s="59">
        <v>110000</v>
      </c>
      <c r="Q74" s="268">
        <f t="shared" si="5"/>
        <v>125000</v>
      </c>
      <c r="R74" s="61">
        <f>IF(O74=0,0,SUMIFS(Disbursements!$T:$T,Disbursements!$B:$B,'Live Collections'!D74,Disbursements!$D:$D,'Live Collections'!F74))</f>
        <v>0</v>
      </c>
      <c r="S74" s="304">
        <f>IF(O74&lt;=IF($O74=0,0,SUMIFS(Disbursements!$W:$W,Disbursements!$B:$B,'Live Collections'!D503,Disbursements!$D:$D,'Live Collections'!F503)),O74,IF($O74=0,0,SUMIFS(Disbursements!$W:$W,Disbursements!$B:$B,'Live Collections'!D503,Disbursements!$D:$D,'Live Collections'!F503)))</f>
        <v>0</v>
      </c>
      <c r="T74" s="304">
        <f t="shared" si="6"/>
        <v>0</v>
      </c>
      <c r="U74" s="52"/>
      <c r="V74" s="34"/>
      <c r="W74" s="408"/>
    </row>
    <row r="75" spans="1:23" ht="12.75" customHeight="1" x14ac:dyDescent="0.2">
      <c r="A75" s="257">
        <v>64</v>
      </c>
      <c r="B75" s="44">
        <v>44349</v>
      </c>
      <c r="C75" s="44">
        <f t="shared" si="4"/>
        <v>44349</v>
      </c>
      <c r="D75" s="374">
        <v>46</v>
      </c>
      <c r="E75" s="291" t="str">
        <f>IFERROR(VLOOKUP($D75,'Clients-Live'!$A:$C,3,0),"")</f>
        <v>ALIO YUDA</v>
      </c>
      <c r="F75" s="291" t="str">
        <f>IFERROR(INDEX(Disbursements!$D:$D,MATCH('Live Collections'!G75,Disbursements!$C:$C,0)),"")</f>
        <v/>
      </c>
      <c r="G75" s="34"/>
      <c r="H75" s="34"/>
      <c r="I75" s="34" t="s">
        <v>1814</v>
      </c>
      <c r="J75" s="48">
        <v>15000</v>
      </c>
      <c r="K75" s="48">
        <v>5000</v>
      </c>
      <c r="L75" s="48"/>
      <c r="M75" s="48"/>
      <c r="N75" s="59"/>
      <c r="O75" s="59"/>
      <c r="P75" s="59"/>
      <c r="Q75" s="268">
        <f t="shared" si="5"/>
        <v>20000</v>
      </c>
      <c r="R75" s="61">
        <f>IF(O75=0,0,SUMIFS(Disbursements!$T:$T,Disbursements!$B:$B,'Live Collections'!D75,Disbursements!$D:$D,'Live Collections'!F75))</f>
        <v>0</v>
      </c>
      <c r="S75" s="304">
        <f>IF(O75&lt;=IF($O75=0,0,SUMIFS(Disbursements!$W:$W,Disbursements!$B:$B,'Live Collections'!D513,Disbursements!$D:$D,'Live Collections'!F513)),O75,IF($O75=0,0,SUMIFS(Disbursements!$W:$W,Disbursements!$B:$B,'Live Collections'!D513,Disbursements!$D:$D,'Live Collections'!F513)))</f>
        <v>0</v>
      </c>
      <c r="T75" s="304">
        <f t="shared" si="6"/>
        <v>0</v>
      </c>
      <c r="U75" s="52">
        <v>789959791</v>
      </c>
      <c r="V75" s="34"/>
      <c r="W75" s="408"/>
    </row>
    <row r="76" spans="1:23" ht="12.75" customHeight="1" x14ac:dyDescent="0.2">
      <c r="A76" s="132">
        <v>65</v>
      </c>
      <c r="B76" s="44">
        <v>44349</v>
      </c>
      <c r="C76" s="44">
        <f t="shared" si="4"/>
        <v>44349</v>
      </c>
      <c r="D76" s="374">
        <v>47</v>
      </c>
      <c r="E76" s="291" t="str">
        <f>IFERROR(VLOOKUP($D76,'Clients-Live'!$A:$C,3,0),"")</f>
        <v>DAWA AMINA</v>
      </c>
      <c r="F76" s="291" t="str">
        <f>IFERROR(INDEX(Disbursements!$D:$D,MATCH('Live Collections'!G76,Disbursements!$C:$C,0)),"")</f>
        <v/>
      </c>
      <c r="G76" s="34"/>
      <c r="H76" s="34"/>
      <c r="I76" s="34" t="s">
        <v>1814</v>
      </c>
      <c r="J76" s="48">
        <v>15000</v>
      </c>
      <c r="K76" s="48">
        <v>5000</v>
      </c>
      <c r="L76" s="48"/>
      <c r="M76" s="48"/>
      <c r="N76" s="59"/>
      <c r="O76" s="59"/>
      <c r="P76" s="59"/>
      <c r="Q76" s="268">
        <f t="shared" si="5"/>
        <v>20000</v>
      </c>
      <c r="R76" s="61">
        <f>IF(O76=0,0,SUMIFS(Disbursements!$T:$T,Disbursements!$B:$B,'Live Collections'!D76,Disbursements!$D:$D,'Live Collections'!F76))</f>
        <v>0</v>
      </c>
      <c r="S76" s="304">
        <f>IF(O76&lt;=IF($O76=0,0,SUMIFS(Disbursements!$W:$W,Disbursements!$B:$B,'Live Collections'!D535,Disbursements!$D:$D,'Live Collections'!F535)),O76,IF($O76=0,0,SUMIFS(Disbursements!$W:$W,Disbursements!$B:$B,'Live Collections'!D535,Disbursements!$D:$D,'Live Collections'!F535)))</f>
        <v>0</v>
      </c>
      <c r="T76" s="304">
        <f t="shared" si="6"/>
        <v>0</v>
      </c>
      <c r="U76" s="52">
        <v>786456610</v>
      </c>
      <c r="V76" s="34"/>
      <c r="W76" s="408"/>
    </row>
    <row r="77" spans="1:23" ht="12.75" customHeight="1" x14ac:dyDescent="0.2">
      <c r="A77" s="257">
        <v>66</v>
      </c>
      <c r="B77" s="44">
        <v>44349</v>
      </c>
      <c r="C77" s="44">
        <f t="shared" si="4"/>
        <v>44349</v>
      </c>
      <c r="D77" s="374">
        <v>48</v>
      </c>
      <c r="E77" s="291" t="str">
        <f>IFERROR(VLOOKUP($D77,'Clients-Live'!$A:$C,3,0),"")</f>
        <v>BAKO KASIA</v>
      </c>
      <c r="F77" s="291" t="str">
        <f>IFERROR(INDEX(Disbursements!$D:$D,MATCH('Live Collections'!G77,Disbursements!$C:$C,0)),"")</f>
        <v/>
      </c>
      <c r="G77" s="34"/>
      <c r="H77" s="34"/>
      <c r="I77" s="34" t="s">
        <v>1814</v>
      </c>
      <c r="J77" s="48">
        <v>15000</v>
      </c>
      <c r="K77" s="48">
        <v>5000</v>
      </c>
      <c r="L77" s="48"/>
      <c r="M77" s="48"/>
      <c r="N77" s="59"/>
      <c r="O77" s="59"/>
      <c r="P77" s="59"/>
      <c r="Q77" s="268">
        <f t="shared" si="5"/>
        <v>20000</v>
      </c>
      <c r="R77" s="61">
        <f>IF(O77=0,0,SUMIFS(Disbursements!$T:$T,Disbursements!$B:$B,'Live Collections'!D77,Disbursements!$D:$D,'Live Collections'!F77))</f>
        <v>0</v>
      </c>
      <c r="S77" s="304">
        <f>IF(O77&lt;=IF($O77=0,0,SUMIFS(Disbursements!$W:$W,Disbursements!$B:$B,'Live Collections'!D544,Disbursements!$D:$D,'Live Collections'!F544)),O77,IF($O77=0,0,SUMIFS(Disbursements!$W:$W,Disbursements!$B:$B,'Live Collections'!D544,Disbursements!$D:$D,'Live Collections'!F544)))</f>
        <v>0</v>
      </c>
      <c r="T77" s="304">
        <f t="shared" si="6"/>
        <v>0</v>
      </c>
      <c r="U77" s="52">
        <v>786306630</v>
      </c>
      <c r="V77" s="34"/>
      <c r="W77" s="408"/>
    </row>
    <row r="78" spans="1:23" ht="12.75" customHeight="1" x14ac:dyDescent="0.2">
      <c r="A78" s="132">
        <v>67</v>
      </c>
      <c r="B78" s="44">
        <v>44349</v>
      </c>
      <c r="C78" s="44">
        <f t="shared" si="4"/>
        <v>44349</v>
      </c>
      <c r="D78" s="374">
        <v>49</v>
      </c>
      <c r="E78" s="291" t="str">
        <f>IFERROR(VLOOKUP($D78,'Clients-Live'!$A:$C,3,0),"")</f>
        <v>MAWUZU SARAH</v>
      </c>
      <c r="F78" s="291" t="str">
        <f>IFERROR(INDEX(Disbursements!$D:$D,MATCH('Live Collections'!G78,Disbursements!$C:$C,0)),"")</f>
        <v/>
      </c>
      <c r="G78" s="34"/>
      <c r="H78" s="34"/>
      <c r="I78" s="34" t="s">
        <v>1814</v>
      </c>
      <c r="J78" s="48">
        <v>15000</v>
      </c>
      <c r="K78" s="48">
        <v>5000</v>
      </c>
      <c r="L78" s="48"/>
      <c r="M78" s="48"/>
      <c r="N78" s="59"/>
      <c r="O78" s="59"/>
      <c r="P78" s="59"/>
      <c r="Q78" s="268">
        <f t="shared" si="5"/>
        <v>20000</v>
      </c>
      <c r="R78" s="61">
        <f>IF(O78=0,0,SUMIFS(Disbursements!$T:$T,Disbursements!$B:$B,'Live Collections'!D78,Disbursements!$D:$D,'Live Collections'!F78))</f>
        <v>0</v>
      </c>
      <c r="S78" s="304">
        <f>IF(O78&lt;=IF($O78=0,0,SUMIFS(Disbursements!$W:$W,Disbursements!$B:$B,'Live Collections'!D556,Disbursements!$D:$D,'Live Collections'!F556)),O78,IF($O78=0,0,SUMIFS(Disbursements!$W:$W,Disbursements!$B:$B,'Live Collections'!D556,Disbursements!$D:$D,'Live Collections'!F556)))</f>
        <v>0</v>
      </c>
      <c r="T78" s="304">
        <f t="shared" si="6"/>
        <v>0</v>
      </c>
      <c r="U78" s="52">
        <v>775084116</v>
      </c>
      <c r="V78" s="34"/>
      <c r="W78" s="408"/>
    </row>
    <row r="79" spans="1:23" ht="12.75" customHeight="1" x14ac:dyDescent="0.2">
      <c r="A79" s="257">
        <v>80</v>
      </c>
      <c r="B79" s="44">
        <v>44351</v>
      </c>
      <c r="C79" s="44">
        <f t="shared" si="4"/>
        <v>44351</v>
      </c>
      <c r="D79" s="374">
        <v>18</v>
      </c>
      <c r="E79" s="291" t="str">
        <f>IFERROR(VLOOKUP($D79,'Clients-Live'!$A:$C,3,0),"")</f>
        <v>ARIYE PEACE</v>
      </c>
      <c r="F79" s="291">
        <f>IFERROR(INDEX(Disbursements!$D:$D,MATCH('Live Collections'!G79,Disbursements!$C:$C,0)),"")</f>
        <v>1</v>
      </c>
      <c r="G79" s="34">
        <v>9</v>
      </c>
      <c r="H79" s="34"/>
      <c r="I79" s="34" t="s">
        <v>1357</v>
      </c>
      <c r="J79" s="48"/>
      <c r="K79" s="48"/>
      <c r="L79" s="48"/>
      <c r="M79" s="48"/>
      <c r="N79" s="59"/>
      <c r="O79" s="59">
        <v>108400</v>
      </c>
      <c r="P79" s="59"/>
      <c r="Q79" s="268">
        <f t="shared" si="5"/>
        <v>108400</v>
      </c>
      <c r="R79" s="61">
        <f>IF(O79=0,0,SUMIFS(Disbursements!$T:$T,Disbursements!$B:$B,'Live Collections'!D79,Disbursements!$D:$D,'Live Collections'!F79))</f>
        <v>109000</v>
      </c>
      <c r="S79" s="304">
        <f>IF(O79&lt;=IF($O79=0,0,SUMIFS(Disbursements!$W:$W,Disbursements!$B:$B,'Live Collections'!D190,Disbursements!$D:$D,'Live Collections'!F190)),O79,IF($O79=0,0,SUMIFS(Disbursements!$W:$W,Disbursements!$B:$B,'Live Collections'!D190,Disbursements!$D:$D,'Live Collections'!F190)))</f>
        <v>10000</v>
      </c>
      <c r="T79" s="304">
        <f t="shared" si="6"/>
        <v>98400</v>
      </c>
      <c r="U79" s="52"/>
      <c r="V79" s="34"/>
      <c r="W79" s="408"/>
    </row>
    <row r="80" spans="1:23" ht="12.75" customHeight="1" x14ac:dyDescent="0.2">
      <c r="A80" s="132">
        <v>74</v>
      </c>
      <c r="B80" s="44">
        <v>44351</v>
      </c>
      <c r="C80" s="44">
        <f t="shared" si="4"/>
        <v>44351</v>
      </c>
      <c r="D80" s="374">
        <v>43</v>
      </c>
      <c r="E80" s="291" t="str">
        <f>IFERROR(VLOOKUP($D80,'Clients-Live'!$A:$C,3,0),"")</f>
        <v>APUNIKI LOICE</v>
      </c>
      <c r="F80" s="291">
        <f>IFERROR(INDEX(Disbursements!$D:$D,MATCH('Live Collections'!G80,Disbursements!$C:$C,0)),"")</f>
        <v>1</v>
      </c>
      <c r="G80" s="34">
        <v>28</v>
      </c>
      <c r="H80" s="34"/>
      <c r="I80" s="34" t="s">
        <v>864</v>
      </c>
      <c r="J80" s="48"/>
      <c r="K80" s="48"/>
      <c r="L80" s="48">
        <v>10000</v>
      </c>
      <c r="M80" s="48">
        <v>5000</v>
      </c>
      <c r="N80" s="59"/>
      <c r="O80" s="59"/>
      <c r="P80" s="59">
        <v>30000</v>
      </c>
      <c r="Q80" s="268">
        <f t="shared" si="5"/>
        <v>45000</v>
      </c>
      <c r="R80" s="61">
        <f>IF(O80=0,0,SUMIFS(Disbursements!$T:$T,Disbursements!$B:$B,'Live Collections'!D80,Disbursements!$D:$D,'Live Collections'!F80))</f>
        <v>0</v>
      </c>
      <c r="S80" s="304">
        <f>IF(O80&lt;=IF($O80=0,0,SUMIFS(Disbursements!$W:$W,Disbursements!$B:$B,'Live Collections'!D475,Disbursements!$D:$D,'Live Collections'!F475)),O80,IF($O80=0,0,SUMIFS(Disbursements!$W:$W,Disbursements!$B:$B,'Live Collections'!D475,Disbursements!$D:$D,'Live Collections'!F475)))</f>
        <v>0</v>
      </c>
      <c r="T80" s="304">
        <f t="shared" si="6"/>
        <v>0</v>
      </c>
      <c r="U80" s="52"/>
      <c r="V80" s="34"/>
      <c r="W80" s="408"/>
    </row>
    <row r="81" spans="1:23" ht="12.75" customHeight="1" x14ac:dyDescent="0.2">
      <c r="A81" s="257">
        <v>75</v>
      </c>
      <c r="B81" s="44">
        <v>44351</v>
      </c>
      <c r="C81" s="44">
        <f t="shared" si="4"/>
        <v>44351</v>
      </c>
      <c r="D81" s="374">
        <v>44</v>
      </c>
      <c r="E81" s="291" t="str">
        <f>IFERROR(VLOOKUP($D81,'Clients-Live'!$A:$C,3,0),"")</f>
        <v>CANDIRU HELLEN</v>
      </c>
      <c r="F81" s="291">
        <f>IFERROR(INDEX(Disbursements!$D:$D,MATCH('Live Collections'!G81,Disbursements!$C:$C,0)),"")</f>
        <v>1</v>
      </c>
      <c r="G81" s="34">
        <v>31</v>
      </c>
      <c r="H81" s="34"/>
      <c r="I81" s="34" t="s">
        <v>863</v>
      </c>
      <c r="J81" s="48"/>
      <c r="K81" s="48"/>
      <c r="L81" s="48">
        <v>10000</v>
      </c>
      <c r="M81" s="48">
        <v>5000</v>
      </c>
      <c r="N81" s="59"/>
      <c r="O81" s="59"/>
      <c r="P81" s="59">
        <v>50000</v>
      </c>
      <c r="Q81" s="268">
        <f t="shared" si="5"/>
        <v>65000</v>
      </c>
      <c r="R81" s="61">
        <f>IF(O81=0,0,SUMIFS(Disbursements!$T:$T,Disbursements!$B:$B,'Live Collections'!D81,Disbursements!$D:$D,'Live Collections'!F81))</f>
        <v>0</v>
      </c>
      <c r="S81" s="304">
        <f>IF(O81&lt;=IF($O81=0,0,SUMIFS(Disbursements!$W:$W,Disbursements!$B:$B,'Live Collections'!D484,Disbursements!$D:$D,'Live Collections'!F484)),O81,IF($O81=0,0,SUMIFS(Disbursements!$W:$W,Disbursements!$B:$B,'Live Collections'!D484,Disbursements!$D:$D,'Live Collections'!F484)))</f>
        <v>0</v>
      </c>
      <c r="T81" s="304">
        <f t="shared" si="6"/>
        <v>0</v>
      </c>
      <c r="U81" s="52"/>
      <c r="V81" s="34"/>
      <c r="W81" s="408"/>
    </row>
    <row r="82" spans="1:23" ht="12.75" customHeight="1" x14ac:dyDescent="0.2">
      <c r="A82" s="132">
        <v>76</v>
      </c>
      <c r="B82" s="44">
        <v>44351</v>
      </c>
      <c r="C82" s="44">
        <f t="shared" si="4"/>
        <v>44351</v>
      </c>
      <c r="D82" s="374">
        <v>47</v>
      </c>
      <c r="E82" s="291" t="str">
        <f>IFERROR(VLOOKUP($D82,'Clients-Live'!$A:$C,3,0),"")</f>
        <v>DAWA AMINA</v>
      </c>
      <c r="F82" s="291">
        <f>IFERROR(INDEX(Disbursements!$D:$D,MATCH('Live Collections'!G82,Disbursements!$C:$C,0)),"")</f>
        <v>1</v>
      </c>
      <c r="G82" s="34">
        <v>29</v>
      </c>
      <c r="H82" s="34"/>
      <c r="I82" s="34" t="s">
        <v>864</v>
      </c>
      <c r="J82" s="48"/>
      <c r="K82" s="48"/>
      <c r="L82" s="48">
        <v>10000</v>
      </c>
      <c r="M82" s="48">
        <v>5000</v>
      </c>
      <c r="N82" s="59"/>
      <c r="O82" s="59"/>
      <c r="P82" s="59">
        <v>70000</v>
      </c>
      <c r="Q82" s="268">
        <f t="shared" si="5"/>
        <v>85000</v>
      </c>
      <c r="R82" s="61">
        <f>IF(O82=0,0,SUMIFS(Disbursements!$T:$T,Disbursements!$B:$B,'Live Collections'!D82,Disbursements!$D:$D,'Live Collections'!F82))</f>
        <v>0</v>
      </c>
      <c r="S82" s="304">
        <f>IF(O82&lt;=IF($O82=0,0,SUMIFS(Disbursements!$W:$W,Disbursements!$B:$B,'Live Collections'!D536,Disbursements!$D:$D,'Live Collections'!F536)),O82,IF($O82=0,0,SUMIFS(Disbursements!$W:$W,Disbursements!$B:$B,'Live Collections'!D536,Disbursements!$D:$D,'Live Collections'!F536)))</f>
        <v>0</v>
      </c>
      <c r="T82" s="304">
        <f t="shared" si="6"/>
        <v>0</v>
      </c>
      <c r="U82" s="52"/>
      <c r="V82" s="34"/>
      <c r="W82" s="408"/>
    </row>
    <row r="83" spans="1:23" ht="12.75" customHeight="1" x14ac:dyDescent="0.2">
      <c r="A83" s="257">
        <v>77</v>
      </c>
      <c r="B83" s="44">
        <v>44351</v>
      </c>
      <c r="C83" s="44">
        <f t="shared" si="4"/>
        <v>44351</v>
      </c>
      <c r="D83" s="374">
        <v>48</v>
      </c>
      <c r="E83" s="291" t="str">
        <f>IFERROR(VLOOKUP($D83,'Clients-Live'!$A:$C,3,0),"")</f>
        <v>BAKO KASIA</v>
      </c>
      <c r="F83" s="291">
        <f>IFERROR(INDEX(Disbursements!$D:$D,MATCH('Live Collections'!G83,Disbursements!$C:$C,0)),"")</f>
        <v>1</v>
      </c>
      <c r="G83" s="34">
        <v>32</v>
      </c>
      <c r="H83" s="34"/>
      <c r="I83" s="34" t="s">
        <v>863</v>
      </c>
      <c r="J83" s="48"/>
      <c r="K83" s="48"/>
      <c r="L83" s="48">
        <v>10000</v>
      </c>
      <c r="M83" s="48">
        <v>5000</v>
      </c>
      <c r="N83" s="59"/>
      <c r="O83" s="59"/>
      <c r="P83" s="59">
        <v>50000</v>
      </c>
      <c r="Q83" s="268">
        <f t="shared" si="5"/>
        <v>65000</v>
      </c>
      <c r="R83" s="61">
        <f>IF(O83=0,0,SUMIFS(Disbursements!$T:$T,Disbursements!$B:$B,'Live Collections'!D83,Disbursements!$D:$D,'Live Collections'!F83))</f>
        <v>0</v>
      </c>
      <c r="S83" s="304">
        <f>IF(O83&lt;=IF($O83=0,0,SUMIFS(Disbursements!$W:$W,Disbursements!$B:$B,'Live Collections'!D545,Disbursements!$D:$D,'Live Collections'!F545)),O83,IF($O83=0,0,SUMIFS(Disbursements!$W:$W,Disbursements!$B:$B,'Live Collections'!D545,Disbursements!$D:$D,'Live Collections'!F545)))</f>
        <v>0</v>
      </c>
      <c r="T83" s="304">
        <f t="shared" si="6"/>
        <v>0</v>
      </c>
      <c r="U83" s="52"/>
      <c r="V83" s="34"/>
      <c r="W83" s="408"/>
    </row>
    <row r="84" spans="1:23" ht="12.75" customHeight="1" x14ac:dyDescent="0.2">
      <c r="A84" s="132">
        <v>78</v>
      </c>
      <c r="B84" s="44">
        <v>44351</v>
      </c>
      <c r="C84" s="44">
        <f t="shared" si="4"/>
        <v>44351</v>
      </c>
      <c r="D84" s="374">
        <v>49</v>
      </c>
      <c r="E84" s="291" t="str">
        <f>IFERROR(VLOOKUP($D84,'Clients-Live'!$A:$C,3,0),"")</f>
        <v>MAWUZU SARAH</v>
      </c>
      <c r="F84" s="291">
        <f>IFERROR(INDEX(Disbursements!$D:$D,MATCH('Live Collections'!G84,Disbursements!$C:$C,0)),"")</f>
        <v>1</v>
      </c>
      <c r="G84" s="34">
        <v>33</v>
      </c>
      <c r="H84" s="34"/>
      <c r="I84" s="34" t="s">
        <v>863</v>
      </c>
      <c r="J84" s="48"/>
      <c r="K84" s="48"/>
      <c r="L84" s="48">
        <v>10000</v>
      </c>
      <c r="M84" s="48">
        <v>5000</v>
      </c>
      <c r="N84" s="59"/>
      <c r="O84" s="59"/>
      <c r="P84" s="59">
        <v>50000</v>
      </c>
      <c r="Q84" s="268">
        <f t="shared" si="5"/>
        <v>65000</v>
      </c>
      <c r="R84" s="61">
        <f>IF(O84=0,0,SUMIFS(Disbursements!$T:$T,Disbursements!$B:$B,'Live Collections'!D84,Disbursements!$D:$D,'Live Collections'!F84))</f>
        <v>0</v>
      </c>
      <c r="S84" s="304">
        <f>IF(O84&lt;=IF($O84=0,0,SUMIFS(Disbursements!$W:$W,Disbursements!$B:$B,'Live Collections'!D557,Disbursements!$D:$D,'Live Collections'!F557)),O84,IF($O84=0,0,SUMIFS(Disbursements!$W:$W,Disbursements!$B:$B,'Live Collections'!D557,Disbursements!$D:$D,'Live Collections'!F557)))</f>
        <v>0</v>
      </c>
      <c r="T84" s="304">
        <f t="shared" si="6"/>
        <v>0</v>
      </c>
      <c r="U84" s="52"/>
      <c r="V84" s="34"/>
      <c r="W84" s="408"/>
    </row>
    <row r="85" spans="1:23" ht="12.75" customHeight="1" x14ac:dyDescent="0.2">
      <c r="A85" s="257">
        <v>72</v>
      </c>
      <c r="B85" s="44">
        <v>44351</v>
      </c>
      <c r="C85" s="44">
        <f t="shared" si="4"/>
        <v>44351</v>
      </c>
      <c r="D85" s="374">
        <v>50</v>
      </c>
      <c r="E85" s="291" t="str">
        <f>IFERROR(VLOOKUP($D85,'Clients-Live'!$A:$C,3,0),"")</f>
        <v>WACHEKE HARRIET</v>
      </c>
      <c r="F85" s="291" t="str">
        <f>IFERROR(INDEX(Disbursements!$D:$D,MATCH('Live Collections'!G85,Disbursements!$C:$C,0)),"")</f>
        <v/>
      </c>
      <c r="G85" s="34"/>
      <c r="H85" s="34"/>
      <c r="I85" s="34" t="s">
        <v>1814</v>
      </c>
      <c r="J85" s="48">
        <v>15000</v>
      </c>
      <c r="K85" s="48">
        <v>5000</v>
      </c>
      <c r="L85" s="48"/>
      <c r="M85" s="48"/>
      <c r="N85" s="59"/>
      <c r="O85" s="59"/>
      <c r="P85" s="59"/>
      <c r="Q85" s="268">
        <f t="shared" si="5"/>
        <v>20000</v>
      </c>
      <c r="R85" s="61">
        <f>IF(O85=0,0,SUMIFS(Disbursements!$T:$T,Disbursements!$B:$B,'Live Collections'!D85,Disbursements!$D:$D,'Live Collections'!F85))</f>
        <v>0</v>
      </c>
      <c r="S85" s="304">
        <f>IF(O85&lt;=IF($O85=0,0,SUMIFS(Disbursements!$W:$W,Disbursements!$B:$B,'Live Collections'!D568,Disbursements!$D:$D,'Live Collections'!F568)),O85,IF($O85=0,0,SUMIFS(Disbursements!$W:$W,Disbursements!$B:$B,'Live Collections'!D568,Disbursements!$D:$D,'Live Collections'!F568)))</f>
        <v>0</v>
      </c>
      <c r="T85" s="304">
        <f t="shared" si="6"/>
        <v>0</v>
      </c>
      <c r="U85" s="52">
        <v>772816130</v>
      </c>
      <c r="V85" s="34"/>
      <c r="W85" s="408"/>
    </row>
    <row r="86" spans="1:23" ht="14.25" customHeight="1" x14ac:dyDescent="0.2">
      <c r="A86" s="132">
        <v>79</v>
      </c>
      <c r="B86" s="44">
        <v>44351</v>
      </c>
      <c r="C86" s="44">
        <f t="shared" si="4"/>
        <v>44351</v>
      </c>
      <c r="D86" s="374">
        <v>50</v>
      </c>
      <c r="E86" s="291" t="str">
        <f>IFERROR(VLOOKUP($D86,'Clients-Live'!$A:$C,3,0),"")</f>
        <v>WACHEKE HARRIET</v>
      </c>
      <c r="F86" s="291">
        <f>IFERROR(INDEX(Disbursements!$D:$D,MATCH('Live Collections'!G86,Disbursements!$C:$C,0)),"")</f>
        <v>1</v>
      </c>
      <c r="G86" s="34">
        <v>30</v>
      </c>
      <c r="H86" s="34"/>
      <c r="I86" s="34" t="s">
        <v>862</v>
      </c>
      <c r="J86" s="48"/>
      <c r="K86" s="48"/>
      <c r="L86" s="48">
        <v>10000</v>
      </c>
      <c r="M86" s="48">
        <v>5000</v>
      </c>
      <c r="N86" s="59"/>
      <c r="O86" s="59"/>
      <c r="P86" s="59">
        <v>100000</v>
      </c>
      <c r="Q86" s="268">
        <f t="shared" si="5"/>
        <v>115000</v>
      </c>
      <c r="R86" s="61">
        <f>IF(O86=0,0,SUMIFS(Disbursements!$T:$T,Disbursements!$B:$B,'Live Collections'!D86,Disbursements!$D:$D,'Live Collections'!F86))</f>
        <v>0</v>
      </c>
      <c r="S86" s="304">
        <f>IF(O86&lt;=IF($O86=0,0,SUMIFS(Disbursements!$W:$W,Disbursements!$B:$B,'Live Collections'!D569,Disbursements!$D:$D,'Live Collections'!F569)),O86,IF($O86=0,0,SUMIFS(Disbursements!$W:$W,Disbursements!$B:$B,'Live Collections'!D569,Disbursements!$D:$D,'Live Collections'!F569)))</f>
        <v>0</v>
      </c>
      <c r="T86" s="304">
        <f t="shared" si="6"/>
        <v>0</v>
      </c>
      <c r="U86" s="52"/>
      <c r="V86" s="34"/>
      <c r="W86" s="408"/>
    </row>
    <row r="87" spans="1:23" ht="12.75" customHeight="1" x14ac:dyDescent="0.2">
      <c r="A87" s="257">
        <v>73</v>
      </c>
      <c r="B87" s="44">
        <v>44351</v>
      </c>
      <c r="C87" s="44">
        <f t="shared" si="4"/>
        <v>44351</v>
      </c>
      <c r="D87" s="374">
        <v>51</v>
      </c>
      <c r="E87" s="291" t="str">
        <f>IFERROR(VLOOKUP($D87,'Clients-Live'!$A:$C,3,0),"")</f>
        <v>AYILE STEPHEN</v>
      </c>
      <c r="F87" s="291" t="str">
        <f>IFERROR(INDEX(Disbursements!$D:$D,MATCH('Live Collections'!G87,Disbursements!$C:$C,0)),"")</f>
        <v/>
      </c>
      <c r="G87" s="34"/>
      <c r="H87" s="34"/>
      <c r="I87" s="34" t="s">
        <v>1814</v>
      </c>
      <c r="J87" s="48">
        <v>15000</v>
      </c>
      <c r="K87" s="48">
        <v>5000</v>
      </c>
      <c r="L87" s="48"/>
      <c r="M87" s="48"/>
      <c r="N87" s="59"/>
      <c r="O87" s="59"/>
      <c r="P87" s="59"/>
      <c r="Q87" s="268">
        <f t="shared" si="5"/>
        <v>20000</v>
      </c>
      <c r="R87" s="61">
        <f>IF(O87=0,0,SUMIFS(Disbursements!$T:$T,Disbursements!$B:$B,'Live Collections'!D87,Disbursements!$D:$D,'Live Collections'!F87))</f>
        <v>0</v>
      </c>
      <c r="S87" s="304">
        <f>IF(O87&lt;=IF($O87=0,0,SUMIFS(Disbursements!$W:$W,Disbursements!$B:$B,'Live Collections'!D586,Disbursements!$D:$D,'Live Collections'!F586)),O87,IF($O87=0,0,SUMIFS(Disbursements!$W:$W,Disbursements!$B:$B,'Live Collections'!D586,Disbursements!$D:$D,'Live Collections'!F586)))</f>
        <v>0</v>
      </c>
      <c r="T87" s="304">
        <f t="shared" si="6"/>
        <v>0</v>
      </c>
      <c r="U87" s="52">
        <v>785406407</v>
      </c>
      <c r="V87" s="34"/>
      <c r="W87" s="408"/>
    </row>
    <row r="88" spans="1:23" ht="12.75" customHeight="1" x14ac:dyDescent="0.2">
      <c r="A88" s="132">
        <v>81</v>
      </c>
      <c r="B88" s="44">
        <v>44352</v>
      </c>
      <c r="C88" s="44">
        <f t="shared" si="4"/>
        <v>44352</v>
      </c>
      <c r="D88" s="374">
        <v>51</v>
      </c>
      <c r="E88" s="291" t="str">
        <f>IFERROR(VLOOKUP($D88,'Clients-Live'!$A:$C,3,0),"")</f>
        <v>AYILE STEPHEN</v>
      </c>
      <c r="F88" s="291">
        <f>IFERROR(INDEX(Disbursements!$D:$D,MATCH('Live Collections'!G88,Disbursements!$C:$C,0)),"")</f>
        <v>1</v>
      </c>
      <c r="G88" s="34">
        <v>34</v>
      </c>
      <c r="H88" s="34">
        <v>171</v>
      </c>
      <c r="I88" s="34" t="s">
        <v>862</v>
      </c>
      <c r="J88" s="48"/>
      <c r="K88" s="48"/>
      <c r="L88" s="48">
        <v>10000</v>
      </c>
      <c r="M88" s="48">
        <v>5000</v>
      </c>
      <c r="N88" s="59"/>
      <c r="O88" s="59"/>
      <c r="P88" s="59">
        <v>150000</v>
      </c>
      <c r="Q88" s="268">
        <f t="shared" si="5"/>
        <v>165000</v>
      </c>
      <c r="R88" s="61">
        <f>IF(O88=0,0,SUMIFS(Disbursements!$T:$T,Disbursements!$B:$B,'Live Collections'!D88,Disbursements!$D:$D,'Live Collections'!F88))</f>
        <v>0</v>
      </c>
      <c r="S88" s="304">
        <f>IF(O88&lt;=IF($O88=0,0,SUMIFS(Disbursements!$W:$W,Disbursements!$B:$B,'Live Collections'!D587,Disbursements!$D:$D,'Live Collections'!F587)),O88,IF($O88=0,0,SUMIFS(Disbursements!$W:$W,Disbursements!$B:$B,'Live Collections'!D587,Disbursements!$D:$D,'Live Collections'!F587)))</f>
        <v>0</v>
      </c>
      <c r="T88" s="304">
        <f t="shared" si="6"/>
        <v>0</v>
      </c>
      <c r="U88" s="52"/>
      <c r="V88" s="34"/>
      <c r="W88" s="408"/>
    </row>
    <row r="89" spans="1:23" ht="12.75" customHeight="1" x14ac:dyDescent="0.2">
      <c r="A89" s="257">
        <v>88</v>
      </c>
      <c r="B89" s="44">
        <v>44354</v>
      </c>
      <c r="C89" s="44">
        <f t="shared" si="4"/>
        <v>44354</v>
      </c>
      <c r="D89" s="374">
        <v>46</v>
      </c>
      <c r="E89" s="291" t="str">
        <f>IFERROR(VLOOKUP($D89,'Clients-Live'!$A:$C,3,0),"")</f>
        <v>ALIO YUDA</v>
      </c>
      <c r="F89" s="291">
        <f>IFERROR(INDEX(Disbursements!$D:$D,MATCH('Live Collections'!G89,Disbursements!$C:$C,0)),"")</f>
        <v>1</v>
      </c>
      <c r="G89" s="34">
        <v>35</v>
      </c>
      <c r="H89" s="34"/>
      <c r="I89" s="34" t="s">
        <v>864</v>
      </c>
      <c r="J89" s="48"/>
      <c r="K89" s="48"/>
      <c r="L89" s="48">
        <v>10000</v>
      </c>
      <c r="M89" s="48">
        <v>5000</v>
      </c>
      <c r="N89" s="59"/>
      <c r="O89" s="59"/>
      <c r="P89" s="59">
        <v>150000</v>
      </c>
      <c r="Q89" s="268">
        <f t="shared" si="5"/>
        <v>165000</v>
      </c>
      <c r="R89" s="61">
        <f>IF(O89=0,0,SUMIFS(Disbursements!$T:$T,Disbursements!$B:$B,'Live Collections'!D89,Disbursements!$D:$D,'Live Collections'!F89))</f>
        <v>0</v>
      </c>
      <c r="S89" s="304">
        <f>IF(O89&lt;=IF($O89=0,0,SUMIFS(Disbursements!$W:$W,Disbursements!$B:$B,'Live Collections'!D514,Disbursements!$D:$D,'Live Collections'!F514)),O89,IF($O89=0,0,SUMIFS(Disbursements!$W:$W,Disbursements!$B:$B,'Live Collections'!D514,Disbursements!$D:$D,'Live Collections'!F514)))</f>
        <v>0</v>
      </c>
      <c r="T89" s="304">
        <f t="shared" si="6"/>
        <v>0</v>
      </c>
      <c r="U89" s="52"/>
      <c r="V89" s="34"/>
      <c r="W89" s="408"/>
    </row>
    <row r="90" spans="1:23" ht="12.75" customHeight="1" x14ac:dyDescent="0.2">
      <c r="A90" s="132">
        <v>82</v>
      </c>
      <c r="B90" s="44">
        <v>44354</v>
      </c>
      <c r="C90" s="44">
        <f t="shared" si="4"/>
        <v>44354</v>
      </c>
      <c r="D90" s="374">
        <v>52</v>
      </c>
      <c r="E90" s="291" t="str">
        <f>IFERROR(VLOOKUP($D90,'Clients-Live'!$A:$C,3,0),"")</f>
        <v>EDEZU PEACE IRENE</v>
      </c>
      <c r="F90" s="291" t="str">
        <f>IFERROR(INDEX(Disbursements!$D:$D,MATCH('Live Collections'!G90,Disbursements!$C:$C,0)),"")</f>
        <v/>
      </c>
      <c r="G90" s="34"/>
      <c r="H90" s="34"/>
      <c r="I90" s="34" t="s">
        <v>1814</v>
      </c>
      <c r="J90" s="48">
        <v>15000</v>
      </c>
      <c r="K90" s="48">
        <v>5000</v>
      </c>
      <c r="L90" s="48"/>
      <c r="M90" s="48"/>
      <c r="N90" s="59"/>
      <c r="O90" s="59"/>
      <c r="P90" s="59"/>
      <c r="Q90" s="268">
        <f t="shared" si="5"/>
        <v>20000</v>
      </c>
      <c r="R90" s="61">
        <f>IF(O90=0,0,SUMIFS(Disbursements!$T:$T,Disbursements!$B:$B,'Live Collections'!D90,Disbursements!$D:$D,'Live Collections'!F90))</f>
        <v>0</v>
      </c>
      <c r="S90" s="304">
        <f>IF(O90&lt;=IF($O90=0,0,SUMIFS(Disbursements!$W:$W,Disbursements!$B:$B,'Live Collections'!D597,Disbursements!$D:$D,'Live Collections'!F597)),O90,IF($O90=0,0,SUMIFS(Disbursements!$W:$W,Disbursements!$B:$B,'Live Collections'!D597,Disbursements!$D:$D,'Live Collections'!F597)))</f>
        <v>0</v>
      </c>
      <c r="T90" s="304">
        <f t="shared" si="6"/>
        <v>0</v>
      </c>
      <c r="U90" s="52">
        <v>789363050</v>
      </c>
      <c r="V90" s="34"/>
      <c r="W90" s="408"/>
    </row>
    <row r="91" spans="1:23" ht="12.75" customHeight="1" x14ac:dyDescent="0.2">
      <c r="A91" s="257">
        <v>83</v>
      </c>
      <c r="B91" s="44">
        <v>44354</v>
      </c>
      <c r="C91" s="44">
        <f t="shared" si="4"/>
        <v>44354</v>
      </c>
      <c r="D91" s="374">
        <v>53</v>
      </c>
      <c r="E91" s="291" t="str">
        <f>IFERROR(VLOOKUP($D91,'Clients-Live'!$A:$C,3,0),"")</f>
        <v>KALSUMU INNOCENT</v>
      </c>
      <c r="F91" s="291" t="str">
        <f>IFERROR(INDEX(Disbursements!$D:$D,MATCH('Live Collections'!G91,Disbursements!$C:$C,0)),"")</f>
        <v/>
      </c>
      <c r="G91" s="34"/>
      <c r="H91" s="34"/>
      <c r="I91" s="34" t="s">
        <v>1814</v>
      </c>
      <c r="J91" s="48">
        <v>15000</v>
      </c>
      <c r="K91" s="48">
        <v>5000</v>
      </c>
      <c r="L91" s="48"/>
      <c r="M91" s="48"/>
      <c r="N91" s="59"/>
      <c r="O91" s="59"/>
      <c r="P91" s="59"/>
      <c r="Q91" s="268">
        <f t="shared" si="5"/>
        <v>20000</v>
      </c>
      <c r="R91" s="61">
        <f>IF(O91=0,0,SUMIFS(Disbursements!$T:$T,Disbursements!$B:$B,'Live Collections'!D91,Disbursements!$D:$D,'Live Collections'!F91))</f>
        <v>0</v>
      </c>
      <c r="S91" s="304">
        <f>IF(O91&lt;=IF($O91=0,0,SUMIFS(Disbursements!$W:$W,Disbursements!$B:$B,'Live Collections'!D616,Disbursements!$D:$D,'Live Collections'!F616)),O91,IF($O91=0,0,SUMIFS(Disbursements!$W:$W,Disbursements!$B:$B,'Live Collections'!D616,Disbursements!$D:$D,'Live Collections'!F616)))</f>
        <v>0</v>
      </c>
      <c r="T91" s="304">
        <f t="shared" si="6"/>
        <v>0</v>
      </c>
      <c r="U91" s="52">
        <v>776066291</v>
      </c>
      <c r="V91" s="34"/>
      <c r="W91" s="408"/>
    </row>
    <row r="92" spans="1:23" ht="12.75" customHeight="1" x14ac:dyDescent="0.2">
      <c r="A92" s="132">
        <v>84</v>
      </c>
      <c r="B92" s="44">
        <v>44354</v>
      </c>
      <c r="C92" s="44">
        <f t="shared" si="4"/>
        <v>44354</v>
      </c>
      <c r="D92" s="374">
        <v>54</v>
      </c>
      <c r="E92" s="291" t="str">
        <f>IFERROR(VLOOKUP($D92,'Clients-Live'!$A:$C,3,0),"")</f>
        <v>MANENO ANIFA</v>
      </c>
      <c r="F92" s="291" t="str">
        <f>IFERROR(INDEX(Disbursements!$D:$D,MATCH('Live Collections'!G92,Disbursements!$C:$C,0)),"")</f>
        <v/>
      </c>
      <c r="G92" s="34"/>
      <c r="H92" s="34"/>
      <c r="I92" s="34" t="s">
        <v>1814</v>
      </c>
      <c r="J92" s="48">
        <v>15000</v>
      </c>
      <c r="K92" s="48">
        <v>5000</v>
      </c>
      <c r="L92" s="48"/>
      <c r="M92" s="48"/>
      <c r="N92" s="59"/>
      <c r="O92" s="59"/>
      <c r="P92" s="59"/>
      <c r="Q92" s="268">
        <f t="shared" si="5"/>
        <v>20000</v>
      </c>
      <c r="R92" s="61">
        <f>IF(O92=0,0,SUMIFS(Disbursements!$T:$T,Disbursements!$B:$B,'Live Collections'!D92,Disbursements!$D:$D,'Live Collections'!F92))</f>
        <v>0</v>
      </c>
      <c r="S92" s="304">
        <f>IF(O92&lt;=IF($O92=0,0,SUMIFS(Disbursements!$W:$W,Disbursements!$B:$B,'Live Collections'!D629,Disbursements!$D:$D,'Live Collections'!F629)),O92,IF($O92=0,0,SUMIFS(Disbursements!$W:$W,Disbursements!$B:$B,'Live Collections'!D629,Disbursements!$D:$D,'Live Collections'!F629)))</f>
        <v>0</v>
      </c>
      <c r="T92" s="304">
        <f t="shared" si="6"/>
        <v>0</v>
      </c>
      <c r="U92" s="52">
        <v>776814060</v>
      </c>
      <c r="V92" s="34"/>
      <c r="W92" s="408"/>
    </row>
    <row r="93" spans="1:23" ht="12.75" customHeight="1" x14ac:dyDescent="0.2">
      <c r="A93" s="257">
        <v>85</v>
      </c>
      <c r="B93" s="44">
        <v>44354</v>
      </c>
      <c r="C93" s="44">
        <f t="shared" si="4"/>
        <v>44354</v>
      </c>
      <c r="D93" s="374">
        <v>55</v>
      </c>
      <c r="E93" s="291" t="str">
        <f>IFERROR(VLOOKUP($D93,'Clients-Live'!$A:$C,3,0),"")</f>
        <v>SOKOLA SHARON</v>
      </c>
      <c r="F93" s="291" t="str">
        <f>IFERROR(INDEX(Disbursements!$D:$D,MATCH('Live Collections'!G93,Disbursements!$C:$C,0)),"")</f>
        <v/>
      </c>
      <c r="G93" s="34"/>
      <c r="H93" s="34"/>
      <c r="I93" s="34" t="s">
        <v>1814</v>
      </c>
      <c r="J93" s="48">
        <v>15000</v>
      </c>
      <c r="K93" s="48">
        <v>5000</v>
      </c>
      <c r="L93" s="48"/>
      <c r="M93" s="48"/>
      <c r="N93" s="59"/>
      <c r="O93" s="59"/>
      <c r="P93" s="59"/>
      <c r="Q93" s="268">
        <f t="shared" si="5"/>
        <v>20000</v>
      </c>
      <c r="R93" s="61">
        <f>IF(O93=0,0,SUMIFS(Disbursements!$T:$T,Disbursements!$B:$B,'Live Collections'!D93,Disbursements!$D:$D,'Live Collections'!F93))</f>
        <v>0</v>
      </c>
      <c r="S93" s="304">
        <f>IF(O93&lt;=IF($O93=0,0,SUMIFS(Disbursements!$W:$W,Disbursements!$B:$B,'Live Collections'!D646,Disbursements!$D:$D,'Live Collections'!F646)),O93,IF($O93=0,0,SUMIFS(Disbursements!$W:$W,Disbursements!$B:$B,'Live Collections'!D646,Disbursements!$D:$D,'Live Collections'!F646)))</f>
        <v>0</v>
      </c>
      <c r="T93" s="304">
        <f t="shared" si="6"/>
        <v>0</v>
      </c>
      <c r="U93" s="52">
        <v>786116052</v>
      </c>
      <c r="V93" s="34"/>
      <c r="W93" s="408"/>
    </row>
    <row r="94" spans="1:23" ht="12.75" customHeight="1" x14ac:dyDescent="0.2">
      <c r="A94" s="132">
        <v>86</v>
      </c>
      <c r="B94" s="44">
        <v>44354</v>
      </c>
      <c r="C94" s="44">
        <f t="shared" si="4"/>
        <v>44354</v>
      </c>
      <c r="D94" s="374">
        <v>56</v>
      </c>
      <c r="E94" s="291" t="str">
        <f>IFERROR(VLOOKUP($D94,'Clients-Live'!$A:$C,3,0),"")</f>
        <v>ALOMO ZABIBU</v>
      </c>
      <c r="F94" s="291" t="str">
        <f>IFERROR(INDEX(Disbursements!$D:$D,MATCH('Live Collections'!G94,Disbursements!$C:$C,0)),"")</f>
        <v/>
      </c>
      <c r="G94" s="34"/>
      <c r="H94" s="34">
        <v>184</v>
      </c>
      <c r="I94" s="34" t="s">
        <v>1814</v>
      </c>
      <c r="J94" s="48">
        <v>15000</v>
      </c>
      <c r="K94" s="48">
        <v>5000</v>
      </c>
      <c r="L94" s="48"/>
      <c r="M94" s="48"/>
      <c r="N94" s="59"/>
      <c r="O94" s="59"/>
      <c r="P94" s="59"/>
      <c r="Q94" s="268">
        <f t="shared" si="5"/>
        <v>20000</v>
      </c>
      <c r="R94" s="61">
        <f>IF(O94=0,0,SUMIFS(Disbursements!$T:$T,Disbursements!$B:$B,'Live Collections'!D94,Disbursements!$D:$D,'Live Collections'!F94))</f>
        <v>0</v>
      </c>
      <c r="S94" s="304">
        <f>IF(O94&lt;=IF($O94=0,0,SUMIFS(Disbursements!$W:$W,Disbursements!$B:$B,'Live Collections'!D660,Disbursements!$D:$D,'Live Collections'!F660)),O94,IF($O94=0,0,SUMIFS(Disbursements!$W:$W,Disbursements!$B:$B,'Live Collections'!D660,Disbursements!$D:$D,'Live Collections'!F660)))</f>
        <v>0</v>
      </c>
      <c r="T94" s="304">
        <f t="shared" si="6"/>
        <v>0</v>
      </c>
      <c r="U94" s="52">
        <v>786553852</v>
      </c>
      <c r="V94" s="34"/>
      <c r="W94" s="408"/>
    </row>
    <row r="95" spans="1:23" ht="12.75" customHeight="1" x14ac:dyDescent="0.2">
      <c r="A95" s="257">
        <v>87</v>
      </c>
      <c r="B95" s="44">
        <v>44354</v>
      </c>
      <c r="C95" s="44">
        <f t="shared" si="4"/>
        <v>44354</v>
      </c>
      <c r="D95" s="374">
        <v>57</v>
      </c>
      <c r="E95" s="291" t="str">
        <f>IFERROR(VLOOKUP($D95,'Clients-Live'!$A:$C,3,0),"")</f>
        <v>ASERU SCOVIA</v>
      </c>
      <c r="F95" s="291" t="str">
        <f>IFERROR(INDEX(Disbursements!$D:$D,MATCH('Live Collections'!G95,Disbursements!$C:$C,0)),"")</f>
        <v/>
      </c>
      <c r="G95" s="34"/>
      <c r="H95" s="34"/>
      <c r="I95" s="34" t="s">
        <v>1814</v>
      </c>
      <c r="J95" s="48">
        <v>15000</v>
      </c>
      <c r="K95" s="48">
        <v>5000</v>
      </c>
      <c r="L95" s="48"/>
      <c r="M95" s="48"/>
      <c r="N95" s="59"/>
      <c r="O95" s="59"/>
      <c r="P95" s="59"/>
      <c r="Q95" s="268">
        <f t="shared" si="5"/>
        <v>20000</v>
      </c>
      <c r="R95" s="61">
        <f>IF(O95=0,0,SUMIFS(Disbursements!$T:$T,Disbursements!$B:$B,'Live Collections'!D95,Disbursements!$D:$D,'Live Collections'!F95))</f>
        <v>0</v>
      </c>
      <c r="S95" s="304">
        <f>IF(O95&lt;=IF($O95=0,0,SUMIFS(Disbursements!$W:$W,Disbursements!$B:$B,'Live Collections'!D677,Disbursements!$D:$D,'Live Collections'!F677)),O95,IF($O95=0,0,SUMIFS(Disbursements!$W:$W,Disbursements!$B:$B,'Live Collections'!D677,Disbursements!$D:$D,'Live Collections'!F677)))</f>
        <v>0</v>
      </c>
      <c r="T95" s="304">
        <f t="shared" si="6"/>
        <v>0</v>
      </c>
      <c r="U95" s="52">
        <v>785150087</v>
      </c>
      <c r="V95" s="34"/>
      <c r="W95" s="408"/>
    </row>
    <row r="96" spans="1:23" ht="12.75" customHeight="1" x14ac:dyDescent="0.2">
      <c r="A96" s="132">
        <v>101</v>
      </c>
      <c r="B96" s="44">
        <v>44355</v>
      </c>
      <c r="C96" s="44">
        <f t="shared" si="4"/>
        <v>44355</v>
      </c>
      <c r="D96" s="374">
        <v>6</v>
      </c>
      <c r="E96" s="291" t="str">
        <f>IFERROR(VLOOKUP($D96,'Clients-Live'!$A:$C,3,0),"")</f>
        <v>AMUTE BASHIR</v>
      </c>
      <c r="F96" s="291">
        <f>IFERROR(INDEX(Disbursements!$D:$D,MATCH('Live Collections'!G96,Disbursements!$C:$C,0)),"")</f>
        <v>1</v>
      </c>
      <c r="G96" s="34">
        <v>2</v>
      </c>
      <c r="H96" s="34"/>
      <c r="I96" s="34" t="s">
        <v>1358</v>
      </c>
      <c r="J96" s="48"/>
      <c r="K96" s="48"/>
      <c r="L96" s="48"/>
      <c r="M96" s="48"/>
      <c r="N96" s="59"/>
      <c r="O96" s="59">
        <v>434000</v>
      </c>
      <c r="P96" s="59"/>
      <c r="Q96" s="268">
        <f t="shared" si="5"/>
        <v>434000</v>
      </c>
      <c r="R96" s="61">
        <f>IF(O96=0,0,SUMIFS(Disbursements!$T:$T,Disbursements!$B:$B,'Live Collections'!D96,Disbursements!$D:$D,'Live Collections'!F96))</f>
        <v>609000</v>
      </c>
      <c r="S96" s="304">
        <f>IF(O96&lt;=IF($O96=0,0,SUMIFS(Disbursements!$W:$W,Disbursements!$B:$B,'Live Collections'!D38,Disbursements!$D:$D,'Live Collections'!F38)),O96,IF($O96=0,0,SUMIFS(Disbursements!$W:$W,Disbursements!$B:$B,'Live Collections'!D38,Disbursements!$D:$D,'Live Collections'!F38)))</f>
        <v>0</v>
      </c>
      <c r="T96" s="304">
        <f t="shared" si="6"/>
        <v>434000</v>
      </c>
      <c r="U96" s="52"/>
      <c r="V96" s="34"/>
      <c r="W96" s="408"/>
    </row>
    <row r="97" spans="1:23" ht="12.75" customHeight="1" x14ac:dyDescent="0.2">
      <c r="A97" s="257">
        <v>99</v>
      </c>
      <c r="B97" s="44">
        <v>44355</v>
      </c>
      <c r="C97" s="44">
        <f t="shared" si="4"/>
        <v>44355</v>
      </c>
      <c r="D97" s="374">
        <v>12</v>
      </c>
      <c r="E97" s="291" t="str">
        <f>IFERROR(VLOOKUP($D97,'Clients-Live'!$A:$C,3,0),"")</f>
        <v>DRELIA SIMON DEADSON</v>
      </c>
      <c r="F97" s="291">
        <f>IFERROR(INDEX(Disbursements!$D:$D,MATCH('Live Collections'!G97,Disbursements!$C:$C,0)),"")</f>
        <v>1</v>
      </c>
      <c r="G97" s="34">
        <v>3</v>
      </c>
      <c r="H97" s="34"/>
      <c r="I97" s="34" t="s">
        <v>1357</v>
      </c>
      <c r="J97" s="48"/>
      <c r="K97" s="48"/>
      <c r="L97" s="48"/>
      <c r="M97" s="48"/>
      <c r="N97" s="59"/>
      <c r="O97" s="59">
        <v>50000</v>
      </c>
      <c r="P97" s="59"/>
      <c r="Q97" s="268">
        <f t="shared" si="5"/>
        <v>50000</v>
      </c>
      <c r="R97" s="61">
        <f>IF(O97=0,0,SUMIFS(Disbursements!$T:$T,Disbursements!$B:$B,'Live Collections'!D97,Disbursements!$D:$D,'Live Collections'!F97))</f>
        <v>81000</v>
      </c>
      <c r="S97" s="304"/>
      <c r="T97" s="304">
        <f t="shared" si="6"/>
        <v>50000</v>
      </c>
      <c r="U97" s="52"/>
      <c r="V97" s="34"/>
      <c r="W97" s="408"/>
    </row>
    <row r="98" spans="1:23" ht="12.75" customHeight="1" x14ac:dyDescent="0.2">
      <c r="A98" s="132">
        <v>100</v>
      </c>
      <c r="B98" s="44">
        <v>44355</v>
      </c>
      <c r="C98" s="44">
        <f t="shared" si="4"/>
        <v>44355</v>
      </c>
      <c r="D98" s="374">
        <v>37</v>
      </c>
      <c r="E98" s="291" t="str">
        <f>IFERROR(VLOOKUP($D98,'Clients-Live'!$A:$C,3,0),"")</f>
        <v>WANDWALI AMISI</v>
      </c>
      <c r="F98" s="291">
        <f>IFERROR(INDEX(Disbursements!$D:$D,MATCH('Live Collections'!G98,Disbursements!$C:$C,0)),"")</f>
        <v>1</v>
      </c>
      <c r="G98" s="34">
        <v>21</v>
      </c>
      <c r="H98" s="34"/>
      <c r="I98" s="34" t="s">
        <v>1357</v>
      </c>
      <c r="J98" s="48"/>
      <c r="K98" s="48"/>
      <c r="L98" s="48"/>
      <c r="M98" s="48"/>
      <c r="N98" s="59"/>
      <c r="O98" s="59">
        <v>260000</v>
      </c>
      <c r="P98" s="59"/>
      <c r="Q98" s="268">
        <f t="shared" si="5"/>
        <v>260000</v>
      </c>
      <c r="R98" s="61">
        <f>IF(O98=0,0,SUMIFS(Disbursements!$T:$T,Disbursements!$B:$B,'Live Collections'!D98,Disbursements!$D:$D,'Live Collections'!F98))</f>
        <v>1075000</v>
      </c>
      <c r="S98" s="304">
        <f>IF(O98&lt;=IF($O98=0,0,SUMIFS(Disbursements!$W:$W,Disbursements!$B:$B,'Live Collections'!D418,Disbursements!$D:$D,'Live Collections'!F418)),O98,IF($O98=0,0,SUMIFS(Disbursements!$W:$W,Disbursements!$B:$B,'Live Collections'!D418,Disbursements!$D:$D,'Live Collections'!F418)))</f>
        <v>15000</v>
      </c>
      <c r="T98" s="304">
        <f t="shared" si="6"/>
        <v>245000</v>
      </c>
      <c r="U98" s="52"/>
      <c r="V98" s="34"/>
      <c r="W98" s="408"/>
    </row>
    <row r="99" spans="1:23" ht="12.75" customHeight="1" x14ac:dyDescent="0.2">
      <c r="A99" s="257">
        <v>96</v>
      </c>
      <c r="B99" s="44">
        <v>44355</v>
      </c>
      <c r="C99" s="44">
        <f t="shared" si="4"/>
        <v>44355</v>
      </c>
      <c r="D99" s="374">
        <v>52</v>
      </c>
      <c r="E99" s="291" t="str">
        <f>IFERROR(VLOOKUP($D99,'Clients-Live'!$A:$C,3,0),"")</f>
        <v>EDEZU PEACE IRENE</v>
      </c>
      <c r="F99" s="291">
        <f>IFERROR(INDEX(Disbursements!$D:$D,MATCH('Live Collections'!G99,Disbursements!$C:$C,0)),"")</f>
        <v>1</v>
      </c>
      <c r="G99" s="34">
        <v>38</v>
      </c>
      <c r="H99" s="34"/>
      <c r="I99" s="34" t="s">
        <v>864</v>
      </c>
      <c r="J99" s="48"/>
      <c r="K99" s="48"/>
      <c r="L99" s="48">
        <v>10000</v>
      </c>
      <c r="M99" s="48">
        <v>5000</v>
      </c>
      <c r="N99" s="59"/>
      <c r="O99" s="59"/>
      <c r="P99" s="59">
        <v>50000</v>
      </c>
      <c r="Q99" s="268">
        <f t="shared" si="5"/>
        <v>65000</v>
      </c>
      <c r="R99" s="61">
        <f>IF(O99=0,0,SUMIFS(Disbursements!$T:$T,Disbursements!$B:$B,'Live Collections'!D99,Disbursements!$D:$D,'Live Collections'!F99))</f>
        <v>0</v>
      </c>
      <c r="S99" s="304">
        <f>IF(O99&lt;=IF($O99=0,0,SUMIFS(Disbursements!$W:$W,Disbursements!$B:$B,'Live Collections'!D598,Disbursements!$D:$D,'Live Collections'!F598)),O99,IF($O99=0,0,SUMIFS(Disbursements!$W:$W,Disbursements!$B:$B,'Live Collections'!D598,Disbursements!$D:$D,'Live Collections'!F598)))</f>
        <v>0</v>
      </c>
      <c r="T99" s="304">
        <f t="shared" si="6"/>
        <v>0</v>
      </c>
      <c r="U99" s="52"/>
      <c r="V99" s="34"/>
      <c r="W99" s="408"/>
    </row>
    <row r="100" spans="1:23" ht="12.75" customHeight="1" x14ac:dyDescent="0.2">
      <c r="A100" s="132">
        <v>97</v>
      </c>
      <c r="B100" s="44">
        <v>44355</v>
      </c>
      <c r="C100" s="44">
        <f t="shared" si="4"/>
        <v>44355</v>
      </c>
      <c r="D100" s="374">
        <v>53</v>
      </c>
      <c r="E100" s="291" t="str">
        <f>IFERROR(VLOOKUP($D100,'Clients-Live'!$A:$C,3,0),"")</f>
        <v>KALSUMU INNOCENT</v>
      </c>
      <c r="F100" s="291">
        <f>IFERROR(INDEX(Disbursements!$D:$D,MATCH('Live Collections'!G100,Disbursements!$C:$C,0)),"")</f>
        <v>1</v>
      </c>
      <c r="G100" s="34">
        <v>36</v>
      </c>
      <c r="H100" s="34"/>
      <c r="I100" s="34" t="s">
        <v>863</v>
      </c>
      <c r="J100" s="48"/>
      <c r="K100" s="48"/>
      <c r="L100" s="48">
        <v>10000</v>
      </c>
      <c r="M100" s="48">
        <v>5000</v>
      </c>
      <c r="N100" s="59"/>
      <c r="O100" s="59"/>
      <c r="P100" s="59">
        <v>80000</v>
      </c>
      <c r="Q100" s="268">
        <f t="shared" si="5"/>
        <v>95000</v>
      </c>
      <c r="R100" s="61">
        <f>IF(O100=0,0,SUMIFS(Disbursements!$T:$T,Disbursements!$B:$B,'Live Collections'!D100,Disbursements!$D:$D,'Live Collections'!F100))</f>
        <v>0</v>
      </c>
      <c r="S100" s="304">
        <f>IF(O100&lt;=IF($O100=0,0,SUMIFS(Disbursements!$W:$W,Disbursements!$B:$B,'Live Collections'!D617,Disbursements!$D:$D,'Live Collections'!F617)),O100,IF($O100=0,0,SUMIFS(Disbursements!$W:$W,Disbursements!$B:$B,'Live Collections'!D617,Disbursements!$D:$D,'Live Collections'!F617)))</f>
        <v>0</v>
      </c>
      <c r="T100" s="304">
        <f t="shared" si="6"/>
        <v>0</v>
      </c>
      <c r="U100" s="52"/>
      <c r="V100" s="34"/>
      <c r="W100" s="408"/>
    </row>
    <row r="101" spans="1:23" ht="12.75" customHeight="1" x14ac:dyDescent="0.2">
      <c r="A101" s="257">
        <v>98</v>
      </c>
      <c r="B101" s="44">
        <v>44355</v>
      </c>
      <c r="C101" s="44">
        <f t="shared" si="4"/>
        <v>44355</v>
      </c>
      <c r="D101" s="374">
        <v>54</v>
      </c>
      <c r="E101" s="291" t="str">
        <f>IFERROR(VLOOKUP($D101,'Clients-Live'!$A:$C,3,0),"")</f>
        <v>MANENO ANIFA</v>
      </c>
      <c r="F101" s="291">
        <f>IFERROR(INDEX(Disbursements!$D:$D,MATCH('Live Collections'!G101,Disbursements!$C:$C,0)),"")</f>
        <v>1</v>
      </c>
      <c r="G101" s="34">
        <v>37</v>
      </c>
      <c r="H101" s="34"/>
      <c r="I101" s="34" t="s">
        <v>864</v>
      </c>
      <c r="J101" s="48"/>
      <c r="K101" s="48"/>
      <c r="L101" s="48">
        <v>10000</v>
      </c>
      <c r="M101" s="48">
        <v>5000</v>
      </c>
      <c r="N101" s="59"/>
      <c r="O101" s="59"/>
      <c r="P101" s="59">
        <v>60000</v>
      </c>
      <c r="Q101" s="268">
        <f t="shared" si="5"/>
        <v>75000</v>
      </c>
      <c r="R101" s="61">
        <f>IF(O101=0,0,SUMIFS(Disbursements!$T:$T,Disbursements!$B:$B,'Live Collections'!D101,Disbursements!$D:$D,'Live Collections'!F101))</f>
        <v>0</v>
      </c>
      <c r="S101" s="304">
        <f>IF(O101&lt;=IF($O101=0,0,SUMIFS(Disbursements!$W:$W,Disbursements!$B:$B,'Live Collections'!D630,Disbursements!$D:$D,'Live Collections'!F630)),O101,IF($O101=0,0,SUMIFS(Disbursements!$W:$W,Disbursements!$B:$B,'Live Collections'!D630,Disbursements!$D:$D,'Live Collections'!F630)))</f>
        <v>0</v>
      </c>
      <c r="T101" s="304">
        <f t="shared" si="6"/>
        <v>0</v>
      </c>
      <c r="U101" s="52"/>
      <c r="V101" s="34"/>
      <c r="W101" s="408"/>
    </row>
    <row r="102" spans="1:23" ht="12.75" customHeight="1" x14ac:dyDescent="0.2">
      <c r="A102" s="132">
        <v>89</v>
      </c>
      <c r="B102" s="44">
        <v>44355</v>
      </c>
      <c r="C102" s="44">
        <f t="shared" si="4"/>
        <v>44355</v>
      </c>
      <c r="D102" s="374">
        <v>58</v>
      </c>
      <c r="E102" s="291" t="str">
        <f>IFERROR(VLOOKUP($D102,'Clients-Live'!$A:$C,3,0),"")</f>
        <v xml:space="preserve">ALIRU AMINA </v>
      </c>
      <c r="F102" s="291" t="str">
        <f>IFERROR(INDEX(Disbursements!$D:$D,MATCH('Live Collections'!G102,Disbursements!$C:$C,0)),"")</f>
        <v/>
      </c>
      <c r="G102" s="34"/>
      <c r="H102" s="34"/>
      <c r="I102" s="34" t="s">
        <v>1814</v>
      </c>
      <c r="J102" s="48">
        <v>15000</v>
      </c>
      <c r="K102" s="48">
        <v>5000</v>
      </c>
      <c r="L102" s="48"/>
      <c r="M102" s="48"/>
      <c r="N102" s="59"/>
      <c r="O102" s="59"/>
      <c r="P102" s="59"/>
      <c r="Q102" s="268">
        <f t="shared" si="5"/>
        <v>20000</v>
      </c>
      <c r="R102" s="61">
        <f>IF(O102=0,0,SUMIFS(Disbursements!$T:$T,Disbursements!$B:$B,'Live Collections'!D102,Disbursements!$D:$D,'Live Collections'!F102))</f>
        <v>0</v>
      </c>
      <c r="S102" s="304">
        <f>IF(O102&lt;=IF($O102=0,0,SUMIFS(Disbursements!$W:$W,Disbursements!$B:$B,'Live Collections'!D685,Disbursements!$D:$D,'Live Collections'!F685)),O102,IF($O102=0,0,SUMIFS(Disbursements!$W:$W,Disbursements!$B:$B,'Live Collections'!D685,Disbursements!$D:$D,'Live Collections'!F685)))</f>
        <v>0</v>
      </c>
      <c r="T102" s="304">
        <f t="shared" si="6"/>
        <v>0</v>
      </c>
      <c r="U102" s="52">
        <v>789364591</v>
      </c>
      <c r="V102" s="34"/>
      <c r="W102" s="408"/>
    </row>
    <row r="103" spans="1:23" ht="12.75" customHeight="1" x14ac:dyDescent="0.2">
      <c r="A103" s="257">
        <v>90</v>
      </c>
      <c r="B103" s="44">
        <v>44355</v>
      </c>
      <c r="C103" s="44">
        <f t="shared" si="4"/>
        <v>44355</v>
      </c>
      <c r="D103" s="374">
        <v>59</v>
      </c>
      <c r="E103" s="291" t="str">
        <f>IFERROR(VLOOKUP($D103,'Clients-Live'!$A:$C,3,0),"")</f>
        <v>ONZIA AGNES</v>
      </c>
      <c r="F103" s="291" t="str">
        <f>IFERROR(INDEX(Disbursements!$D:$D,MATCH('Live Collections'!G103,Disbursements!$C:$C,0)),"")</f>
        <v/>
      </c>
      <c r="G103" s="34"/>
      <c r="H103" s="34"/>
      <c r="I103" s="34" t="s">
        <v>1814</v>
      </c>
      <c r="J103" s="48">
        <v>15000</v>
      </c>
      <c r="K103" s="48">
        <v>5000</v>
      </c>
      <c r="L103" s="48"/>
      <c r="M103" s="48"/>
      <c r="N103" s="59"/>
      <c r="O103" s="59"/>
      <c r="P103" s="59"/>
      <c r="Q103" s="268">
        <f t="shared" si="5"/>
        <v>20000</v>
      </c>
      <c r="R103" s="61">
        <f>IF(O103=0,0,SUMIFS(Disbursements!$T:$T,Disbursements!$B:$B,'Live Collections'!D103,Disbursements!$D:$D,'Live Collections'!F103))</f>
        <v>0</v>
      </c>
      <c r="S103" s="304">
        <f>IF(O103&lt;=IF($O103=0,0,SUMIFS(Disbursements!$W:$W,Disbursements!$B:$B,'Live Collections'!D699,Disbursements!$D:$D,'Live Collections'!F699)),O103,IF($O103=0,0,SUMIFS(Disbursements!$W:$W,Disbursements!$B:$B,'Live Collections'!D699,Disbursements!$D:$D,'Live Collections'!F699)))</f>
        <v>0</v>
      </c>
      <c r="T103" s="304">
        <f t="shared" si="6"/>
        <v>0</v>
      </c>
      <c r="U103" s="52">
        <v>780780112</v>
      </c>
      <c r="V103" s="34"/>
      <c r="W103" s="408"/>
    </row>
    <row r="104" spans="1:23" ht="12.75" customHeight="1" x14ac:dyDescent="0.2">
      <c r="A104" s="132">
        <v>91</v>
      </c>
      <c r="B104" s="44">
        <v>44355</v>
      </c>
      <c r="C104" s="44">
        <f t="shared" si="4"/>
        <v>44355</v>
      </c>
      <c r="D104" s="374">
        <v>60</v>
      </c>
      <c r="E104" s="291" t="str">
        <f>IFERROR(VLOOKUP($D104,'Clients-Live'!$A:$C,3,0),"")</f>
        <v>MATURU ALICE</v>
      </c>
      <c r="F104" s="291" t="str">
        <f>IFERROR(INDEX(Disbursements!$D:$D,MATCH('Live Collections'!G104,Disbursements!$C:$C,0)),"")</f>
        <v/>
      </c>
      <c r="G104" s="34"/>
      <c r="H104" s="34"/>
      <c r="I104" s="34" t="s">
        <v>1814</v>
      </c>
      <c r="J104" s="48">
        <v>15000</v>
      </c>
      <c r="K104" s="48">
        <v>5000</v>
      </c>
      <c r="L104" s="48"/>
      <c r="M104" s="48"/>
      <c r="N104" s="59"/>
      <c r="O104" s="59"/>
      <c r="P104" s="59"/>
      <c r="Q104" s="268">
        <f t="shared" si="5"/>
        <v>20000</v>
      </c>
      <c r="R104" s="61">
        <f>IF(O104=0,0,SUMIFS(Disbursements!$T:$T,Disbursements!$B:$B,'Live Collections'!D104,Disbursements!$D:$D,'Live Collections'!F104))</f>
        <v>0</v>
      </c>
      <c r="S104" s="304">
        <f>IF(O104&lt;=IF($O104=0,0,SUMIFS(Disbursements!$W:$W,Disbursements!$B:$B,'Live Collections'!D712,Disbursements!$D:$D,'Live Collections'!F712)),O104,IF($O104=0,0,SUMIFS(Disbursements!$W:$W,Disbursements!$B:$B,'Live Collections'!D712,Disbursements!$D:$D,'Live Collections'!F712)))</f>
        <v>0</v>
      </c>
      <c r="T104" s="304">
        <f t="shared" si="6"/>
        <v>0</v>
      </c>
      <c r="U104" s="52">
        <v>785285697</v>
      </c>
      <c r="V104" s="34"/>
      <c r="W104" s="408"/>
    </row>
    <row r="105" spans="1:23" ht="12.75" customHeight="1" x14ac:dyDescent="0.2">
      <c r="A105" s="257">
        <v>92</v>
      </c>
      <c r="B105" s="44">
        <v>44355</v>
      </c>
      <c r="C105" s="44">
        <f t="shared" si="4"/>
        <v>44355</v>
      </c>
      <c r="D105" s="374">
        <v>61</v>
      </c>
      <c r="E105" s="291" t="str">
        <f>IFERROR(VLOOKUP($D105,'Clients-Live'!$A:$C,3,0),"")</f>
        <v>AREDU RUKIA</v>
      </c>
      <c r="F105" s="291" t="str">
        <f>IFERROR(INDEX(Disbursements!$D:$D,MATCH('Live Collections'!G105,Disbursements!$C:$C,0)),"")</f>
        <v/>
      </c>
      <c r="G105" s="34"/>
      <c r="H105" s="34"/>
      <c r="I105" s="34" t="s">
        <v>1814</v>
      </c>
      <c r="J105" s="48">
        <v>15000</v>
      </c>
      <c r="K105" s="48">
        <v>5000</v>
      </c>
      <c r="L105" s="48"/>
      <c r="M105" s="48"/>
      <c r="N105" s="59"/>
      <c r="O105" s="59"/>
      <c r="P105" s="59"/>
      <c r="Q105" s="268">
        <f t="shared" si="5"/>
        <v>20000</v>
      </c>
      <c r="R105" s="61">
        <f>IF(O105=0,0,SUMIFS(Disbursements!$T:$T,Disbursements!$B:$B,'Live Collections'!D105,Disbursements!$D:$D,'Live Collections'!F105))</f>
        <v>0</v>
      </c>
      <c r="S105" s="304">
        <f>IF(O105&lt;=IF($O105=0,0,SUMIFS(Disbursements!$W:$W,Disbursements!$B:$B,'Live Collections'!D730,Disbursements!$D:$D,'Live Collections'!F730)),O105,IF($O105=0,0,SUMIFS(Disbursements!$W:$W,Disbursements!$B:$B,'Live Collections'!D730,Disbursements!$D:$D,'Live Collections'!F730)))</f>
        <v>0</v>
      </c>
      <c r="T105" s="304">
        <f t="shared" si="6"/>
        <v>0</v>
      </c>
      <c r="U105" s="52">
        <v>774034136</v>
      </c>
      <c r="V105" s="34"/>
      <c r="W105" s="408"/>
    </row>
    <row r="106" spans="1:23" ht="12.75" customHeight="1" x14ac:dyDescent="0.2">
      <c r="A106" s="132">
        <v>93</v>
      </c>
      <c r="B106" s="44">
        <v>44355</v>
      </c>
      <c r="C106" s="44">
        <f t="shared" si="4"/>
        <v>44355</v>
      </c>
      <c r="D106" s="374">
        <v>62</v>
      </c>
      <c r="E106" s="291" t="str">
        <f>IFERROR(VLOOKUP($D106,'Clients-Live'!$A:$C,3,0),"")</f>
        <v>DUDU ARIKE</v>
      </c>
      <c r="F106" s="291" t="str">
        <f>IFERROR(INDEX(Disbursements!$D:$D,MATCH('Live Collections'!G106,Disbursements!$C:$C,0)),"")</f>
        <v/>
      </c>
      <c r="G106" s="34"/>
      <c r="H106" s="34"/>
      <c r="I106" s="34" t="s">
        <v>1814</v>
      </c>
      <c r="J106" s="48">
        <v>15000</v>
      </c>
      <c r="K106" s="48">
        <v>5000</v>
      </c>
      <c r="L106" s="48"/>
      <c r="M106" s="48"/>
      <c r="N106" s="59"/>
      <c r="O106" s="59"/>
      <c r="P106" s="59"/>
      <c r="Q106" s="268">
        <f t="shared" si="5"/>
        <v>20000</v>
      </c>
      <c r="R106" s="61">
        <f>IF(O106=0,0,SUMIFS(Disbursements!$T:$T,Disbursements!$B:$B,'Live Collections'!D106,Disbursements!$D:$D,'Live Collections'!F106))</f>
        <v>0</v>
      </c>
      <c r="S106" s="304">
        <f>IF(O106&lt;=IF($O106=0,0,SUMIFS(Disbursements!$W:$W,Disbursements!$B:$B,'Live Collections'!D740,Disbursements!$D:$D,'Live Collections'!F740)),O106,IF($O106=0,0,SUMIFS(Disbursements!$W:$W,Disbursements!$B:$B,'Live Collections'!D740,Disbursements!$D:$D,'Live Collections'!F740)))</f>
        <v>0</v>
      </c>
      <c r="T106" s="304">
        <f t="shared" si="6"/>
        <v>0</v>
      </c>
      <c r="U106" s="52">
        <v>787603337</v>
      </c>
      <c r="V106" s="34"/>
      <c r="W106" s="408"/>
    </row>
    <row r="107" spans="1:23" ht="12.75" customHeight="1" x14ac:dyDescent="0.2">
      <c r="A107" s="257">
        <v>94</v>
      </c>
      <c r="B107" s="44">
        <v>44355</v>
      </c>
      <c r="C107" s="44">
        <f t="shared" si="4"/>
        <v>44355</v>
      </c>
      <c r="D107" s="374">
        <v>63</v>
      </c>
      <c r="E107" s="291" t="str">
        <f>IFERROR(VLOOKUP($D107,'Clients-Live'!$A:$C,3,0),"")</f>
        <v>AWURU KADARA</v>
      </c>
      <c r="F107" s="291" t="str">
        <f>IFERROR(INDEX(Disbursements!$D:$D,MATCH('Live Collections'!G107,Disbursements!$C:$C,0)),"")</f>
        <v/>
      </c>
      <c r="G107" s="34"/>
      <c r="H107" s="34">
        <v>202</v>
      </c>
      <c r="I107" s="34" t="s">
        <v>1814</v>
      </c>
      <c r="J107" s="48">
        <v>15000</v>
      </c>
      <c r="K107" s="48">
        <v>5000</v>
      </c>
      <c r="L107" s="48"/>
      <c r="M107" s="48"/>
      <c r="N107" s="59"/>
      <c r="O107" s="59"/>
      <c r="P107" s="59"/>
      <c r="Q107" s="268">
        <f t="shared" si="5"/>
        <v>20000</v>
      </c>
      <c r="R107" s="61">
        <f>IF(O107=0,0,SUMIFS(Disbursements!$T:$T,Disbursements!$B:$B,'Live Collections'!D107,Disbursements!$D:$D,'Live Collections'!F107))</f>
        <v>0</v>
      </c>
      <c r="S107" s="304">
        <f>IF(O107&lt;=IF($O107=0,0,SUMIFS(Disbursements!$W:$W,Disbursements!$B:$B,'Live Collections'!D750,Disbursements!$D:$D,'Live Collections'!F750)),O107,IF($O107=0,0,SUMIFS(Disbursements!$W:$W,Disbursements!$B:$B,'Live Collections'!D750,Disbursements!$D:$D,'Live Collections'!F750)))</f>
        <v>0</v>
      </c>
      <c r="T107" s="304">
        <f t="shared" si="6"/>
        <v>0</v>
      </c>
      <c r="U107" s="52">
        <v>789088030</v>
      </c>
      <c r="V107" s="34"/>
      <c r="W107" s="408"/>
    </row>
    <row r="108" spans="1:23" ht="12.75" customHeight="1" x14ac:dyDescent="0.2">
      <c r="A108" s="132">
        <v>95</v>
      </c>
      <c r="B108" s="44">
        <v>44355</v>
      </c>
      <c r="C108" s="44">
        <f t="shared" si="4"/>
        <v>44355</v>
      </c>
      <c r="D108" s="374">
        <v>64</v>
      </c>
      <c r="E108" s="291" t="str">
        <f>IFERROR(VLOOKUP($D108,'Clients-Live'!$A:$C,3,0),"")</f>
        <v>AKINO JUDITH</v>
      </c>
      <c r="F108" s="291" t="str">
        <f>IFERROR(INDEX(Disbursements!$D:$D,MATCH('Live Collections'!G108,Disbursements!$C:$C,0)),"")</f>
        <v/>
      </c>
      <c r="G108" s="34"/>
      <c r="H108" s="34"/>
      <c r="I108" s="34" t="s">
        <v>1814</v>
      </c>
      <c r="J108" s="48">
        <v>15000</v>
      </c>
      <c r="K108" s="48">
        <v>5000</v>
      </c>
      <c r="L108" s="48"/>
      <c r="M108" s="48"/>
      <c r="N108" s="59"/>
      <c r="O108" s="59"/>
      <c r="P108" s="59"/>
      <c r="Q108" s="268">
        <f t="shared" si="5"/>
        <v>20000</v>
      </c>
      <c r="R108" s="61">
        <f>IF(O108=0,0,SUMIFS(Disbursements!$T:$T,Disbursements!$B:$B,'Live Collections'!D108,Disbursements!$D:$D,'Live Collections'!F108))</f>
        <v>0</v>
      </c>
      <c r="S108" s="304">
        <f>IF(O108&lt;=IF($O108=0,0,SUMIFS(Disbursements!$W:$W,Disbursements!$B:$B,'Live Collections'!D767,Disbursements!$D:$D,'Live Collections'!F767)),O108,IF($O108=0,0,SUMIFS(Disbursements!$W:$W,Disbursements!$B:$B,'Live Collections'!D767,Disbursements!$D:$D,'Live Collections'!F767)))</f>
        <v>0</v>
      </c>
      <c r="T108" s="304">
        <f t="shared" si="6"/>
        <v>0</v>
      </c>
      <c r="U108" s="52">
        <v>779386782</v>
      </c>
      <c r="V108" s="34"/>
      <c r="W108" s="408"/>
    </row>
    <row r="109" spans="1:23" ht="12.75" customHeight="1" x14ac:dyDescent="0.2">
      <c r="A109" s="257">
        <v>109</v>
      </c>
      <c r="B109" s="44">
        <v>44357</v>
      </c>
      <c r="C109" s="44">
        <f t="shared" si="4"/>
        <v>44357</v>
      </c>
      <c r="D109" s="374">
        <v>9</v>
      </c>
      <c r="E109" s="291" t="str">
        <f>IFERROR(VLOOKUP($D109,'Clients-Live'!$A:$C,3,0),"")</f>
        <v>TABAN DAVID YAYA</v>
      </c>
      <c r="F109" s="291">
        <f>IFERROR(INDEX(Disbursements!$D:$D,MATCH('Live Collections'!G109,Disbursements!$C:$C,0)),"")</f>
        <v>2</v>
      </c>
      <c r="G109" s="34">
        <v>221</v>
      </c>
      <c r="H109" s="34">
        <v>217</v>
      </c>
      <c r="I109" s="34" t="s">
        <v>864</v>
      </c>
      <c r="J109" s="48"/>
      <c r="K109" s="48"/>
      <c r="L109" s="48">
        <v>10000</v>
      </c>
      <c r="M109" s="48">
        <v>5000</v>
      </c>
      <c r="N109" s="59"/>
      <c r="O109" s="59"/>
      <c r="P109" s="59">
        <v>60000</v>
      </c>
      <c r="Q109" s="268">
        <f t="shared" si="5"/>
        <v>75000</v>
      </c>
      <c r="R109" s="61">
        <f>IF(O109=0,0,SUMIFS(Disbursements!$T:$T,Disbursements!$B:$B,'Live Collections'!D109,Disbursements!$D:$D,'Live Collections'!F109))</f>
        <v>0</v>
      </c>
      <c r="S109" s="304">
        <f>IF(O109&lt;=IF($O109=0,0,SUMIFS(Disbursements!$W:$W,Disbursements!$B:$B,'Live Collections'!D78,Disbursements!$D:$D,'Live Collections'!F78)),O109,IF($O109=0,0,SUMIFS(Disbursements!$W:$W,Disbursements!$B:$B,'Live Collections'!D78,Disbursements!$D:$D,'Live Collections'!F78)))</f>
        <v>0</v>
      </c>
      <c r="T109" s="304">
        <f t="shared" si="6"/>
        <v>0</v>
      </c>
      <c r="U109" s="52"/>
      <c r="V109" s="34"/>
      <c r="W109" s="408"/>
    </row>
    <row r="110" spans="1:23" ht="12.75" customHeight="1" x14ac:dyDescent="0.2">
      <c r="A110" s="132">
        <v>104</v>
      </c>
      <c r="B110" s="44">
        <v>44357</v>
      </c>
      <c r="C110" s="44">
        <f t="shared" si="4"/>
        <v>44357</v>
      </c>
      <c r="D110" s="374">
        <v>23</v>
      </c>
      <c r="E110" s="291" t="str">
        <f>IFERROR(VLOOKUP($D110,'Clients-Live'!$A:$C,3,0),"")</f>
        <v>BADARU KEVIN ATELIONGA</v>
      </c>
      <c r="F110" s="291">
        <f>IFERROR(INDEX(Disbursements!$D:$D,MATCH('Live Collections'!G110,Disbursements!$C:$C,0)),"")</f>
        <v>1</v>
      </c>
      <c r="G110" s="34">
        <v>14</v>
      </c>
      <c r="H110" s="34"/>
      <c r="I110" s="34" t="s">
        <v>1357</v>
      </c>
      <c r="J110" s="48"/>
      <c r="K110" s="48"/>
      <c r="L110" s="48"/>
      <c r="M110" s="48"/>
      <c r="N110" s="59"/>
      <c r="O110" s="59">
        <v>32500</v>
      </c>
      <c r="P110" s="59"/>
      <c r="Q110" s="268">
        <f t="shared" si="5"/>
        <v>32500</v>
      </c>
      <c r="R110" s="61">
        <f>IF(O110=0,0,SUMIFS(Disbursements!$T:$T,Disbursements!$B:$B,'Live Collections'!D110,Disbursements!$D:$D,'Live Collections'!F110))</f>
        <v>33000</v>
      </c>
      <c r="S110" s="304">
        <f>IF(O110&lt;=IF($O110=0,0,SUMIFS(Disbursements!$W:$W,Disbursements!$B:$B,'Live Collections'!D308,Disbursements!$D:$D,'Live Collections'!F308)),O110,IF($O110=0,0,SUMIFS(Disbursements!$W:$W,Disbursements!$B:$B,'Live Collections'!D308,Disbursements!$D:$D,'Live Collections'!F308)))</f>
        <v>32500</v>
      </c>
      <c r="T110" s="304">
        <f t="shared" si="6"/>
        <v>0</v>
      </c>
      <c r="U110" s="52"/>
      <c r="V110" s="34"/>
      <c r="W110" s="408"/>
    </row>
    <row r="111" spans="1:23" ht="12.75" customHeight="1" x14ac:dyDescent="0.2">
      <c r="A111" s="257">
        <v>103</v>
      </c>
      <c r="B111" s="44">
        <v>44357</v>
      </c>
      <c r="C111" s="44">
        <f t="shared" si="4"/>
        <v>44357</v>
      </c>
      <c r="D111" s="374">
        <v>59</v>
      </c>
      <c r="E111" s="291" t="str">
        <f>IFERROR(VLOOKUP($D111,'Clients-Live'!$A:$C,3,0),"")</f>
        <v>ONZIA AGNES</v>
      </c>
      <c r="F111" s="291">
        <f>IFERROR(INDEX(Disbursements!$D:$D,MATCH('Live Collections'!G111,Disbursements!$C:$C,0)),"")</f>
        <v>1</v>
      </c>
      <c r="G111" s="34">
        <v>39</v>
      </c>
      <c r="H111" s="34"/>
      <c r="I111" s="34" t="s">
        <v>863</v>
      </c>
      <c r="J111" s="48"/>
      <c r="K111" s="48"/>
      <c r="L111" s="48">
        <v>10000</v>
      </c>
      <c r="M111" s="48">
        <v>5000</v>
      </c>
      <c r="N111" s="59"/>
      <c r="O111" s="59"/>
      <c r="P111" s="59">
        <v>50000</v>
      </c>
      <c r="Q111" s="268">
        <f t="shared" si="5"/>
        <v>65000</v>
      </c>
      <c r="R111" s="61">
        <f>IF(O111=0,0,SUMIFS(Disbursements!$T:$T,Disbursements!$B:$B,'Live Collections'!D111,Disbursements!$D:$D,'Live Collections'!F111))</f>
        <v>0</v>
      </c>
      <c r="S111" s="304">
        <f>IF(O111&lt;=IF($O111=0,0,SUMIFS(Disbursements!$W:$W,Disbursements!$B:$B,'Live Collections'!D700,Disbursements!$D:$D,'Live Collections'!F700)),O111,IF($O111=0,0,SUMIFS(Disbursements!$W:$W,Disbursements!$B:$B,'Live Collections'!D700,Disbursements!$D:$D,'Live Collections'!F700)))</f>
        <v>0</v>
      </c>
      <c r="T111" s="304">
        <f t="shared" si="6"/>
        <v>0</v>
      </c>
      <c r="U111" s="52"/>
      <c r="V111" s="34"/>
      <c r="W111" s="408"/>
    </row>
    <row r="112" spans="1:23" ht="12.75" customHeight="1" x14ac:dyDescent="0.2">
      <c r="A112" s="132">
        <v>102</v>
      </c>
      <c r="B112" s="44">
        <v>44357</v>
      </c>
      <c r="C112" s="44">
        <f t="shared" si="4"/>
        <v>44357</v>
      </c>
      <c r="D112" s="374">
        <v>65</v>
      </c>
      <c r="E112" s="291" t="str">
        <f>IFERROR(VLOOKUP($D112,'Clients-Live'!$A:$C,3,0),"")</f>
        <v>NDAWULA GERALD</v>
      </c>
      <c r="F112" s="291" t="str">
        <f>IFERROR(INDEX(Disbursements!$D:$D,MATCH('Live Collections'!G112,Disbursements!$C:$C,0)),"")</f>
        <v/>
      </c>
      <c r="G112" s="34"/>
      <c r="H112" s="34"/>
      <c r="I112" s="34" t="s">
        <v>1814</v>
      </c>
      <c r="J112" s="48">
        <v>15000</v>
      </c>
      <c r="K112" s="48">
        <v>5000</v>
      </c>
      <c r="L112" s="48"/>
      <c r="M112" s="48"/>
      <c r="N112" s="59"/>
      <c r="O112" s="59"/>
      <c r="P112" s="59"/>
      <c r="Q112" s="268">
        <f t="shared" si="5"/>
        <v>20000</v>
      </c>
      <c r="R112" s="61">
        <f>IF(O112=0,0,SUMIFS(Disbursements!$T:$T,Disbursements!$B:$B,'Live Collections'!D112,Disbursements!$D:$D,'Live Collections'!F112))</f>
        <v>0</v>
      </c>
      <c r="S112" s="304">
        <f>IF(O112&lt;=IF($O112=0,0,SUMIFS(Disbursements!$W:$W,Disbursements!$B:$B,'Live Collections'!D774,Disbursements!$D:$D,'Live Collections'!F774)),O112,IF($O112=0,0,SUMIFS(Disbursements!$W:$W,Disbursements!$B:$B,'Live Collections'!D774,Disbursements!$D:$D,'Live Collections'!F774)))</f>
        <v>0</v>
      </c>
      <c r="T112" s="304">
        <f t="shared" si="6"/>
        <v>0</v>
      </c>
      <c r="U112" s="52">
        <v>775624305</v>
      </c>
      <c r="V112" s="34"/>
      <c r="W112" s="408"/>
    </row>
    <row r="113" spans="1:23" ht="12.75" customHeight="1" x14ac:dyDescent="0.2">
      <c r="A113" s="257">
        <v>118</v>
      </c>
      <c r="B113" s="44">
        <v>44358</v>
      </c>
      <c r="C113" s="44">
        <f t="shared" si="4"/>
        <v>44358</v>
      </c>
      <c r="D113" s="374">
        <v>2</v>
      </c>
      <c r="E113" s="291" t="str">
        <f>IFERROR(VLOOKUP($D113,'Clients-Live'!$A:$C,3,0),"")</f>
        <v>LEYA ROSE</v>
      </c>
      <c r="F113" s="291">
        <f>IFERROR(INDEX(Disbursements!$D:$D,MATCH('Live Collections'!G113,Disbursements!$C:$C,0)),"")</f>
        <v>1</v>
      </c>
      <c r="G113" s="34">
        <v>4</v>
      </c>
      <c r="H113" s="34"/>
      <c r="I113" s="34" t="s">
        <v>1358</v>
      </c>
      <c r="J113" s="48"/>
      <c r="K113" s="48"/>
      <c r="L113" s="48"/>
      <c r="M113" s="48"/>
      <c r="N113" s="59"/>
      <c r="O113" s="59">
        <v>216700</v>
      </c>
      <c r="P113" s="59"/>
      <c r="Q113" s="268">
        <f t="shared" si="5"/>
        <v>216700</v>
      </c>
      <c r="R113" s="61">
        <f>IF(O113=0,0,SUMIFS(Disbursements!$T:$T,Disbursements!$B:$B,'Live Collections'!D113,Disbursements!$D:$D,'Live Collections'!F113))</f>
        <v>217000</v>
      </c>
      <c r="S113" s="304">
        <f>IF(O113&lt;=IF($O113=0,0,SUMIFS(Disbursements!$W:$W,Disbursements!$B:$B,'Live Collections'!D13,Disbursements!$D:$D,'Live Collections'!F13)),O113,IF($O113=0,0,SUMIFS(Disbursements!$W:$W,Disbursements!$B:$B,'Live Collections'!D13,Disbursements!$D:$D,'Live Collections'!F13)))</f>
        <v>0</v>
      </c>
      <c r="T113" s="304">
        <f t="shared" si="6"/>
        <v>216700</v>
      </c>
      <c r="U113" s="52"/>
      <c r="V113" s="34"/>
      <c r="W113" s="408"/>
    </row>
    <row r="114" spans="1:23" ht="12.75" customHeight="1" x14ac:dyDescent="0.2">
      <c r="A114" s="132">
        <v>119</v>
      </c>
      <c r="B114" s="44">
        <v>44358</v>
      </c>
      <c r="C114" s="44">
        <f t="shared" si="4"/>
        <v>44358</v>
      </c>
      <c r="D114" s="374">
        <v>12</v>
      </c>
      <c r="E114" s="291" t="str">
        <f>IFERROR(VLOOKUP($D114,'Clients-Live'!$A:$C,3,0),"")</f>
        <v>DRELIA SIMON DEADSON</v>
      </c>
      <c r="F114" s="291">
        <f>IFERROR(INDEX(Disbursements!$D:$D,MATCH('Live Collections'!G114,Disbursements!$C:$C,0)),"")</f>
        <v>1</v>
      </c>
      <c r="G114" s="34">
        <v>3</v>
      </c>
      <c r="H114" s="34"/>
      <c r="I114" s="34" t="s">
        <v>1357</v>
      </c>
      <c r="J114" s="48"/>
      <c r="K114" s="48"/>
      <c r="L114" s="48"/>
      <c r="M114" s="48"/>
      <c r="N114" s="59"/>
      <c r="O114" s="59">
        <v>20800</v>
      </c>
      <c r="P114" s="59"/>
      <c r="Q114" s="268">
        <f t="shared" si="5"/>
        <v>20800</v>
      </c>
      <c r="R114" s="61">
        <f>IF(O114=0,0,SUMIFS(Disbursements!$T:$T,Disbursements!$B:$B,'Live Collections'!D114,Disbursements!$D:$D,'Live Collections'!F114))</f>
        <v>81000</v>
      </c>
      <c r="S114" s="304"/>
      <c r="T114" s="304">
        <f t="shared" si="6"/>
        <v>20800</v>
      </c>
      <c r="U114" s="52"/>
      <c r="V114" s="34"/>
      <c r="W114" s="408"/>
    </row>
    <row r="115" spans="1:23" ht="12.75" customHeight="1" x14ac:dyDescent="0.2">
      <c r="A115" s="257">
        <v>117</v>
      </c>
      <c r="B115" s="44">
        <v>44358</v>
      </c>
      <c r="C115" s="44">
        <f t="shared" si="4"/>
        <v>44358</v>
      </c>
      <c r="D115" s="374">
        <v>18</v>
      </c>
      <c r="E115" s="291" t="str">
        <f>IFERROR(VLOOKUP($D115,'Clients-Live'!$A:$C,3,0),"")</f>
        <v>ARIYE PEACE</v>
      </c>
      <c r="F115" s="291">
        <f>IFERROR(INDEX(Disbursements!$D:$D,MATCH('Live Collections'!G115,Disbursements!$C:$C,0)),"")</f>
        <v>1</v>
      </c>
      <c r="G115" s="34">
        <v>9</v>
      </c>
      <c r="H115" s="34"/>
      <c r="I115" s="34" t="s">
        <v>1357</v>
      </c>
      <c r="J115" s="48"/>
      <c r="K115" s="48"/>
      <c r="L115" s="48"/>
      <c r="M115" s="48"/>
      <c r="N115" s="59"/>
      <c r="O115" s="59">
        <v>108400</v>
      </c>
      <c r="P115" s="59"/>
      <c r="Q115" s="268">
        <f t="shared" si="5"/>
        <v>108400</v>
      </c>
      <c r="R115" s="61">
        <f>IF(O115=0,0,SUMIFS(Disbursements!$T:$T,Disbursements!$B:$B,'Live Collections'!D115,Disbursements!$D:$D,'Live Collections'!F115))</f>
        <v>109000</v>
      </c>
      <c r="S115" s="304">
        <f>IF(O115&lt;=IF($O115=0,0,SUMIFS(Disbursements!$W:$W,Disbursements!$B:$B,'Live Collections'!D191,Disbursements!$D:$D,'Live Collections'!F191)),O115,IF($O115=0,0,SUMIFS(Disbursements!$W:$W,Disbursements!$B:$B,'Live Collections'!D191,Disbursements!$D:$D,'Live Collections'!F191)))</f>
        <v>35000</v>
      </c>
      <c r="T115" s="304">
        <f t="shared" si="6"/>
        <v>73400</v>
      </c>
      <c r="U115" s="52"/>
      <c r="V115" s="34"/>
      <c r="W115" s="408"/>
    </row>
    <row r="116" spans="1:23" ht="12.75" customHeight="1" x14ac:dyDescent="0.2">
      <c r="A116" s="132">
        <v>120</v>
      </c>
      <c r="B116" s="44">
        <v>44358</v>
      </c>
      <c r="C116" s="44">
        <f t="shared" si="4"/>
        <v>44358</v>
      </c>
      <c r="D116" s="374">
        <v>33</v>
      </c>
      <c r="E116" s="291" t="str">
        <f>IFERROR(VLOOKUP($D116,'Clients-Live'!$A:$C,3,0),"")</f>
        <v>MUZEE OMAR</v>
      </c>
      <c r="F116" s="291">
        <f>IFERROR(INDEX(Disbursements!$D:$D,MATCH('Live Collections'!G116,Disbursements!$C:$C,0)),"")</f>
        <v>1</v>
      </c>
      <c r="G116" s="34">
        <v>26</v>
      </c>
      <c r="H116" s="34">
        <v>224</v>
      </c>
      <c r="I116" s="34" t="s">
        <v>1357</v>
      </c>
      <c r="J116" s="48"/>
      <c r="K116" s="48"/>
      <c r="L116" s="48"/>
      <c r="M116" s="48"/>
      <c r="N116" s="59"/>
      <c r="O116" s="59">
        <v>30000</v>
      </c>
      <c r="P116" s="59"/>
      <c r="Q116" s="268">
        <f t="shared" si="5"/>
        <v>30000</v>
      </c>
      <c r="R116" s="61">
        <f>IF(O116=0,0,SUMIFS(Disbursements!$T:$T,Disbursements!$B:$B,'Live Collections'!D116,Disbursements!$D:$D,'Live Collections'!F116))</f>
        <v>109000</v>
      </c>
      <c r="S116" s="304">
        <f>IF(O116&lt;=IF($O116=0,0,SUMIFS(Disbursements!$W:$W,Disbursements!$B:$B,'Live Collections'!D377,Disbursements!$D:$D,'Live Collections'!F377)),O116,IF($O116=0,0,SUMIFS(Disbursements!$W:$W,Disbursements!$B:$B,'Live Collections'!D377,Disbursements!$D:$D,'Live Collections'!F377)))</f>
        <v>30000</v>
      </c>
      <c r="T116" s="304">
        <f t="shared" si="6"/>
        <v>0</v>
      </c>
      <c r="U116" s="52"/>
      <c r="V116" s="34"/>
      <c r="W116" s="408"/>
    </row>
    <row r="117" spans="1:23" ht="12.75" customHeight="1" x14ac:dyDescent="0.2">
      <c r="A117" s="257">
        <v>110</v>
      </c>
      <c r="B117" s="44">
        <v>44358</v>
      </c>
      <c r="C117" s="44">
        <f t="shared" si="4"/>
        <v>44358</v>
      </c>
      <c r="D117" s="374">
        <v>56</v>
      </c>
      <c r="E117" s="291" t="str">
        <f>IFERROR(VLOOKUP($D117,'Clients-Live'!$A:$C,3,0),"")</f>
        <v>ALOMO ZABIBU</v>
      </c>
      <c r="F117" s="291">
        <f>IFERROR(INDEX(Disbursements!$D:$D,MATCH('Live Collections'!G117,Disbursements!$C:$C,0)),"")</f>
        <v>2</v>
      </c>
      <c r="G117" s="34">
        <v>226</v>
      </c>
      <c r="H117" s="34">
        <v>205</v>
      </c>
      <c r="I117" s="34" t="s">
        <v>864</v>
      </c>
      <c r="J117" s="48"/>
      <c r="K117" s="48"/>
      <c r="L117" s="48">
        <v>10000</v>
      </c>
      <c r="M117" s="48">
        <v>5000</v>
      </c>
      <c r="N117" s="59"/>
      <c r="O117" s="59"/>
      <c r="P117" s="59">
        <v>20000</v>
      </c>
      <c r="Q117" s="268">
        <f t="shared" si="5"/>
        <v>35000</v>
      </c>
      <c r="R117" s="61">
        <f>IF(O117=0,0,SUMIFS(Disbursements!$T:$T,Disbursements!$B:$B,'Live Collections'!D117,Disbursements!$D:$D,'Live Collections'!F117))</f>
        <v>0</v>
      </c>
      <c r="S117" s="304">
        <f>IF(O117&lt;=IF($O117=0,0,SUMIFS(Disbursements!$W:$W,Disbursements!$B:$B,'Live Collections'!D661,Disbursements!$D:$D,'Live Collections'!F661)),O117,IF($O117=0,0,SUMIFS(Disbursements!$W:$W,Disbursements!$B:$B,'Live Collections'!D661,Disbursements!$D:$D,'Live Collections'!F661)))</f>
        <v>0</v>
      </c>
      <c r="T117" s="304">
        <f t="shared" si="6"/>
        <v>0</v>
      </c>
      <c r="U117" s="52"/>
      <c r="V117" s="34"/>
      <c r="W117" s="408"/>
    </row>
    <row r="118" spans="1:23" ht="12.75" customHeight="1" x14ac:dyDescent="0.2">
      <c r="A118" s="132">
        <v>111</v>
      </c>
      <c r="B118" s="44">
        <v>44358</v>
      </c>
      <c r="C118" s="44">
        <f t="shared" si="4"/>
        <v>44358</v>
      </c>
      <c r="D118" s="374">
        <v>57</v>
      </c>
      <c r="E118" s="291" t="str">
        <f>IFERROR(VLOOKUP($D118,'Clients-Live'!$A:$C,3,0),"")</f>
        <v>ASERU SCOVIA</v>
      </c>
      <c r="F118" s="291">
        <f>IFERROR(INDEX(Disbursements!$D:$D,MATCH('Live Collections'!G118,Disbursements!$C:$C,0)),"")</f>
        <v>1</v>
      </c>
      <c r="G118" s="34">
        <v>41</v>
      </c>
      <c r="H118" s="34"/>
      <c r="I118" s="34" t="s">
        <v>862</v>
      </c>
      <c r="J118" s="48"/>
      <c r="K118" s="48"/>
      <c r="L118" s="48">
        <v>10000</v>
      </c>
      <c r="M118" s="48">
        <v>5000</v>
      </c>
      <c r="N118" s="59"/>
      <c r="O118" s="59"/>
      <c r="P118" s="59">
        <v>20000</v>
      </c>
      <c r="Q118" s="268">
        <f t="shared" si="5"/>
        <v>35000</v>
      </c>
      <c r="R118" s="61">
        <f>IF(O118=0,0,SUMIFS(Disbursements!$T:$T,Disbursements!$B:$B,'Live Collections'!D118,Disbursements!$D:$D,'Live Collections'!F118))</f>
        <v>0</v>
      </c>
      <c r="S118" s="304">
        <f>IF(O118&lt;=IF($O118=0,0,SUMIFS(Disbursements!$W:$W,Disbursements!$B:$B,'Live Collections'!D678,Disbursements!$D:$D,'Live Collections'!F678)),O118,IF($O118=0,0,SUMIFS(Disbursements!$W:$W,Disbursements!$B:$B,'Live Collections'!D678,Disbursements!$D:$D,'Live Collections'!F678)))</f>
        <v>0</v>
      </c>
      <c r="T118" s="304">
        <f t="shared" si="6"/>
        <v>0</v>
      </c>
      <c r="U118" s="52"/>
      <c r="V118" s="34"/>
      <c r="W118" s="408"/>
    </row>
    <row r="119" spans="1:23" ht="12.75" customHeight="1" x14ac:dyDescent="0.2">
      <c r="A119" s="257">
        <v>112</v>
      </c>
      <c r="B119" s="44">
        <v>44358</v>
      </c>
      <c r="C119" s="44">
        <f t="shared" si="4"/>
        <v>44358</v>
      </c>
      <c r="D119" s="374">
        <v>58</v>
      </c>
      <c r="E119" s="291" t="str">
        <f>IFERROR(VLOOKUP($D119,'Clients-Live'!$A:$C,3,0),"")</f>
        <v xml:space="preserve">ALIRU AMINA </v>
      </c>
      <c r="F119" s="291">
        <f>IFERROR(INDEX(Disbursements!$D:$D,MATCH('Live Collections'!G119,Disbursements!$C:$C,0)),"")</f>
        <v>1</v>
      </c>
      <c r="G119" s="34">
        <v>46</v>
      </c>
      <c r="H119" s="34"/>
      <c r="I119" s="34" t="s">
        <v>863</v>
      </c>
      <c r="J119" s="48"/>
      <c r="K119" s="48"/>
      <c r="L119" s="48">
        <v>10000</v>
      </c>
      <c r="M119" s="48">
        <v>5000</v>
      </c>
      <c r="N119" s="59"/>
      <c r="O119" s="59"/>
      <c r="P119" s="59">
        <v>60000</v>
      </c>
      <c r="Q119" s="268">
        <f t="shared" si="5"/>
        <v>75000</v>
      </c>
      <c r="R119" s="61">
        <f>IF(O119=0,0,SUMIFS(Disbursements!$T:$T,Disbursements!$B:$B,'Live Collections'!D119,Disbursements!$D:$D,'Live Collections'!F119))</f>
        <v>0</v>
      </c>
      <c r="S119" s="304">
        <f>IF(O119&lt;=IF($O119=0,0,SUMIFS(Disbursements!$W:$W,Disbursements!$B:$B,'Live Collections'!D686,Disbursements!$D:$D,'Live Collections'!F686)),O119,IF($O119=0,0,SUMIFS(Disbursements!$W:$W,Disbursements!$B:$B,'Live Collections'!D686,Disbursements!$D:$D,'Live Collections'!F686)))</f>
        <v>0</v>
      </c>
      <c r="T119" s="304">
        <f t="shared" si="6"/>
        <v>0</v>
      </c>
      <c r="U119" s="52"/>
      <c r="V119" s="34"/>
      <c r="W119" s="408"/>
    </row>
    <row r="120" spans="1:23" ht="12.75" customHeight="1" x14ac:dyDescent="0.2">
      <c r="A120" s="132">
        <v>113</v>
      </c>
      <c r="B120" s="44">
        <v>44358</v>
      </c>
      <c r="C120" s="44">
        <f t="shared" si="4"/>
        <v>44358</v>
      </c>
      <c r="D120" s="374">
        <v>61</v>
      </c>
      <c r="E120" s="291" t="str">
        <f>IFERROR(VLOOKUP($D120,'Clients-Live'!$A:$C,3,0),"")</f>
        <v>AREDU RUKIA</v>
      </c>
      <c r="F120" s="291">
        <v>2</v>
      </c>
      <c r="G120" s="34">
        <v>290</v>
      </c>
      <c r="H120" s="34"/>
      <c r="I120" s="34" t="s">
        <v>862</v>
      </c>
      <c r="J120" s="48"/>
      <c r="K120" s="48"/>
      <c r="L120" s="48">
        <v>10000</v>
      </c>
      <c r="M120" s="48">
        <v>5000</v>
      </c>
      <c r="N120" s="59"/>
      <c r="O120" s="59"/>
      <c r="P120" s="59">
        <v>30000</v>
      </c>
      <c r="Q120" s="268">
        <f t="shared" si="5"/>
        <v>45000</v>
      </c>
      <c r="R120" s="61">
        <f>IF(O120=0,0,SUMIFS(Disbursements!$T:$T,Disbursements!$B:$B,'Live Collections'!D120,Disbursements!$D:$D,'Live Collections'!F120))</f>
        <v>0</v>
      </c>
      <c r="S120" s="304">
        <f>IF(O120&lt;=IF($O120=0,0,SUMIFS(Disbursements!$W:$W,Disbursements!$B:$B,'Live Collections'!D731,Disbursements!$D:$D,'Live Collections'!F731)),O120,IF($O120=0,0,SUMIFS(Disbursements!$W:$W,Disbursements!$B:$B,'Live Collections'!D731,Disbursements!$D:$D,'Live Collections'!F731)))</f>
        <v>0</v>
      </c>
      <c r="T120" s="304">
        <f t="shared" si="6"/>
        <v>0</v>
      </c>
      <c r="U120" s="52"/>
      <c r="V120" s="34"/>
      <c r="W120" s="408"/>
    </row>
    <row r="121" spans="1:23" ht="12.75" customHeight="1" x14ac:dyDescent="0.2">
      <c r="A121" s="257">
        <v>114</v>
      </c>
      <c r="B121" s="44">
        <v>44358</v>
      </c>
      <c r="C121" s="44">
        <f t="shared" si="4"/>
        <v>44358</v>
      </c>
      <c r="D121" s="374">
        <v>62</v>
      </c>
      <c r="E121" s="291" t="str">
        <f>IFERROR(VLOOKUP($D121,'Clients-Live'!$A:$C,3,0),"")</f>
        <v>DUDU ARIKE</v>
      </c>
      <c r="F121" s="291">
        <f>IFERROR(INDEX(Disbursements!$D:$D,MATCH('Live Collections'!G121,Disbursements!$C:$C,0)),"")</f>
        <v>1</v>
      </c>
      <c r="G121" s="34">
        <v>44</v>
      </c>
      <c r="H121" s="34" t="s">
        <v>1939</v>
      </c>
      <c r="I121" s="34" t="s">
        <v>864</v>
      </c>
      <c r="J121" s="48"/>
      <c r="K121" s="48"/>
      <c r="L121" s="48">
        <v>10000</v>
      </c>
      <c r="M121" s="48">
        <v>5000</v>
      </c>
      <c r="N121" s="59"/>
      <c r="O121" s="59"/>
      <c r="P121" s="59">
        <v>100000</v>
      </c>
      <c r="Q121" s="268">
        <f t="shared" si="5"/>
        <v>115000</v>
      </c>
      <c r="R121" s="61">
        <f>IF(O121=0,0,SUMIFS(Disbursements!$T:$T,Disbursements!$B:$B,'Live Collections'!D121,Disbursements!$D:$D,'Live Collections'!F121))</f>
        <v>0</v>
      </c>
      <c r="S121" s="304">
        <f>IF(O121&lt;=IF($O121=0,0,SUMIFS(Disbursements!$W:$W,Disbursements!$B:$B,'Live Collections'!D741,Disbursements!$D:$D,'Live Collections'!F741)),O121,IF($O121=0,0,SUMIFS(Disbursements!$W:$W,Disbursements!$B:$B,'Live Collections'!D741,Disbursements!$D:$D,'Live Collections'!F741)))</f>
        <v>0</v>
      </c>
      <c r="T121" s="304">
        <f t="shared" si="6"/>
        <v>0</v>
      </c>
      <c r="U121" s="52"/>
      <c r="V121" s="34"/>
      <c r="W121" s="408"/>
    </row>
    <row r="122" spans="1:23" ht="12.75" customHeight="1" x14ac:dyDescent="0.2">
      <c r="A122" s="132">
        <v>115</v>
      </c>
      <c r="B122" s="44">
        <v>44358</v>
      </c>
      <c r="C122" s="44">
        <f t="shared" si="4"/>
        <v>44358</v>
      </c>
      <c r="D122" s="374">
        <v>64</v>
      </c>
      <c r="E122" s="291" t="str">
        <f>IFERROR(VLOOKUP($D122,'Clients-Live'!$A:$C,3,0),"")</f>
        <v>AKINO JUDITH</v>
      </c>
      <c r="F122" s="291">
        <f>IFERROR(INDEX(Disbursements!$D:$D,MATCH('Live Collections'!G122,Disbursements!$C:$C,0)),"")</f>
        <v>1</v>
      </c>
      <c r="G122" s="34">
        <v>40</v>
      </c>
      <c r="H122" s="34"/>
      <c r="I122" s="34" t="s">
        <v>863</v>
      </c>
      <c r="J122" s="48"/>
      <c r="K122" s="48"/>
      <c r="L122" s="48">
        <v>10000</v>
      </c>
      <c r="M122" s="48">
        <v>5000</v>
      </c>
      <c r="N122" s="59"/>
      <c r="O122" s="59"/>
      <c r="P122" s="59">
        <v>50000</v>
      </c>
      <c r="Q122" s="268">
        <f t="shared" si="5"/>
        <v>65000</v>
      </c>
      <c r="R122" s="61">
        <f>IF(O122=0,0,SUMIFS(Disbursements!$T:$T,Disbursements!$B:$B,'Live Collections'!D122,Disbursements!$D:$D,'Live Collections'!F122))</f>
        <v>0</v>
      </c>
      <c r="S122" s="304">
        <f>IF(O122&lt;=IF($O122=0,0,SUMIFS(Disbursements!$W:$W,Disbursements!$B:$B,'Live Collections'!D768,Disbursements!$D:$D,'Live Collections'!F768)),O122,IF($O122=0,0,SUMIFS(Disbursements!$W:$W,Disbursements!$B:$B,'Live Collections'!D768,Disbursements!$D:$D,'Live Collections'!F768)))</f>
        <v>0</v>
      </c>
      <c r="T122" s="304">
        <f t="shared" si="6"/>
        <v>0</v>
      </c>
      <c r="U122" s="52"/>
      <c r="V122" s="34"/>
      <c r="W122" s="408"/>
    </row>
    <row r="123" spans="1:23" ht="12.75" customHeight="1" x14ac:dyDescent="0.2">
      <c r="A123" s="257">
        <v>116</v>
      </c>
      <c r="B123" s="44">
        <v>44358</v>
      </c>
      <c r="C123" s="44">
        <f t="shared" si="4"/>
        <v>44358</v>
      </c>
      <c r="D123" s="374">
        <v>65</v>
      </c>
      <c r="E123" s="291" t="str">
        <f>IFERROR(VLOOKUP($D123,'Clients-Live'!$A:$C,3,0),"")</f>
        <v>NDAWULA GERALD</v>
      </c>
      <c r="F123" s="291">
        <f>IFERROR(INDEX(Disbursements!$D:$D,MATCH('Live Collections'!G123,Disbursements!$C:$C,0)),"")</f>
        <v>1</v>
      </c>
      <c r="G123" s="34">
        <v>47</v>
      </c>
      <c r="H123" s="34"/>
      <c r="I123" s="34" t="s">
        <v>862</v>
      </c>
      <c r="J123" s="48"/>
      <c r="K123" s="48"/>
      <c r="L123" s="48">
        <v>10000</v>
      </c>
      <c r="M123" s="48">
        <v>5000</v>
      </c>
      <c r="N123" s="59"/>
      <c r="O123" s="59"/>
      <c r="P123" s="59">
        <v>100000</v>
      </c>
      <c r="Q123" s="268">
        <f t="shared" si="5"/>
        <v>115000</v>
      </c>
      <c r="R123" s="61">
        <f>IF(O123=0,0,SUMIFS(Disbursements!$T:$T,Disbursements!$B:$B,'Live Collections'!D123,Disbursements!$D:$D,'Live Collections'!F123))</f>
        <v>0</v>
      </c>
      <c r="S123" s="304">
        <f>IF(O123&lt;=IF($O123=0,0,SUMIFS(Disbursements!$W:$W,Disbursements!$B:$B,'Live Collections'!D775,Disbursements!$D:$D,'Live Collections'!F775)),O123,IF($O123=0,0,SUMIFS(Disbursements!$W:$W,Disbursements!$B:$B,'Live Collections'!D775,Disbursements!$D:$D,'Live Collections'!F775)))</f>
        <v>0</v>
      </c>
      <c r="T123" s="304">
        <f t="shared" si="6"/>
        <v>0</v>
      </c>
      <c r="U123" s="52"/>
      <c r="V123" s="34"/>
      <c r="W123" s="408"/>
    </row>
    <row r="124" spans="1:23" ht="12.75" customHeight="1" x14ac:dyDescent="0.2">
      <c r="A124" s="132">
        <v>105</v>
      </c>
      <c r="B124" s="44">
        <v>44358</v>
      </c>
      <c r="C124" s="44">
        <f t="shared" si="4"/>
        <v>44358</v>
      </c>
      <c r="D124" s="374">
        <v>66</v>
      </c>
      <c r="E124" s="291" t="str">
        <f>IFERROR(VLOOKUP($D124,'Clients-Live'!$A:$C,3,0),"")</f>
        <v>DENAYA NYAMAZA</v>
      </c>
      <c r="F124" s="291" t="str">
        <f>IFERROR(INDEX(Disbursements!$D:$D,MATCH('Live Collections'!G124,Disbursements!$C:$C,0)),"")</f>
        <v/>
      </c>
      <c r="G124" s="34"/>
      <c r="H124" s="34"/>
      <c r="I124" s="34" t="s">
        <v>1814</v>
      </c>
      <c r="J124" s="48">
        <v>15000</v>
      </c>
      <c r="K124" s="48">
        <v>5000</v>
      </c>
      <c r="L124" s="48"/>
      <c r="M124" s="48"/>
      <c r="N124" s="59"/>
      <c r="O124" s="59"/>
      <c r="P124" s="59"/>
      <c r="Q124" s="268">
        <f t="shared" si="5"/>
        <v>20000</v>
      </c>
      <c r="R124" s="61">
        <f>IF(O124=0,0,SUMIFS(Disbursements!$T:$T,Disbursements!$B:$B,'Live Collections'!D124,Disbursements!$D:$D,'Live Collections'!F124))</f>
        <v>0</v>
      </c>
      <c r="S124" s="304">
        <f>IF(O124&lt;=IF($O124=0,0,SUMIFS(Disbursements!$W:$W,Disbursements!$B:$B,'Live Collections'!D787,Disbursements!$D:$D,'Live Collections'!F787)),O124,IF($O124=0,0,SUMIFS(Disbursements!$W:$W,Disbursements!$B:$B,'Live Collections'!D787,Disbursements!$D:$D,'Live Collections'!F787)))</f>
        <v>0</v>
      </c>
      <c r="T124" s="304">
        <f t="shared" si="6"/>
        <v>0</v>
      </c>
      <c r="U124" s="52">
        <v>770710018</v>
      </c>
      <c r="V124" s="34"/>
      <c r="W124" s="408"/>
    </row>
    <row r="125" spans="1:23" ht="12.75" customHeight="1" x14ac:dyDescent="0.2">
      <c r="A125" s="257">
        <v>106</v>
      </c>
      <c r="B125" s="44">
        <v>44358</v>
      </c>
      <c r="C125" s="44">
        <f t="shared" si="4"/>
        <v>44358</v>
      </c>
      <c r="D125" s="374">
        <v>67</v>
      </c>
      <c r="E125" s="291" t="str">
        <f>IFERROR(VLOOKUP($D125,'Clients-Live'!$A:$C,3,0),"")</f>
        <v>KEBITA SAUDA</v>
      </c>
      <c r="F125" s="291" t="str">
        <f>IFERROR(INDEX(Disbursements!$D:$D,MATCH('Live Collections'!G125,Disbursements!$C:$C,0)),"")</f>
        <v/>
      </c>
      <c r="G125" s="34"/>
      <c r="H125" s="34"/>
      <c r="I125" s="34" t="s">
        <v>1814</v>
      </c>
      <c r="J125" s="48">
        <v>15000</v>
      </c>
      <c r="K125" s="48">
        <v>5000</v>
      </c>
      <c r="L125" s="48"/>
      <c r="M125" s="48"/>
      <c r="N125" s="59"/>
      <c r="O125" s="59"/>
      <c r="P125" s="59"/>
      <c r="Q125" s="268">
        <f t="shared" si="5"/>
        <v>20000</v>
      </c>
      <c r="R125" s="61">
        <f>IF(O125=0,0,SUMIFS(Disbursements!$T:$T,Disbursements!$B:$B,'Live Collections'!D125,Disbursements!$D:$D,'Live Collections'!F125))</f>
        <v>0</v>
      </c>
      <c r="S125" s="304">
        <f>IF(O125&lt;=IF($O125=0,0,SUMIFS(Disbursements!$W:$W,Disbursements!$B:$B,'Live Collections'!D825,Disbursements!$D:$D,'Live Collections'!F825)),O125,IF($O125=0,0,SUMIFS(Disbursements!$W:$W,Disbursements!$B:$B,'Live Collections'!D825,Disbursements!$D:$D,'Live Collections'!F825)))</f>
        <v>0</v>
      </c>
      <c r="T125" s="304">
        <f t="shared" si="6"/>
        <v>0</v>
      </c>
      <c r="U125" s="52">
        <v>779985949</v>
      </c>
      <c r="V125" s="34"/>
      <c r="W125" s="408"/>
    </row>
    <row r="126" spans="1:23" ht="12.75" customHeight="1" x14ac:dyDescent="0.2">
      <c r="A126" s="132">
        <v>107</v>
      </c>
      <c r="B126" s="44">
        <v>44358</v>
      </c>
      <c r="C126" s="44">
        <f t="shared" si="4"/>
        <v>44358</v>
      </c>
      <c r="D126" s="374">
        <v>68</v>
      </c>
      <c r="E126" s="291" t="str">
        <f>IFERROR(VLOOKUP($D126,'Clients-Live'!$A:$C,3,0),"")</f>
        <v>CHANDIA  RAHIMA</v>
      </c>
      <c r="F126" s="291" t="str">
        <f>IFERROR(INDEX(Disbursements!$D:$D,MATCH('Live Collections'!G126,Disbursements!$C:$C,0)),"")</f>
        <v/>
      </c>
      <c r="G126" s="34"/>
      <c r="H126" s="34"/>
      <c r="I126" s="34" t="s">
        <v>1814</v>
      </c>
      <c r="J126" s="48">
        <v>15000</v>
      </c>
      <c r="K126" s="48">
        <v>5000</v>
      </c>
      <c r="L126" s="48"/>
      <c r="M126" s="48"/>
      <c r="N126" s="59"/>
      <c r="O126" s="59"/>
      <c r="P126" s="59"/>
      <c r="Q126" s="268">
        <f t="shared" si="5"/>
        <v>20000</v>
      </c>
      <c r="R126" s="61">
        <f>IF(O126=0,0,SUMIFS(Disbursements!$T:$T,Disbursements!$B:$B,'Live Collections'!D126,Disbursements!$D:$D,'Live Collections'!F126))</f>
        <v>0</v>
      </c>
      <c r="S126" s="304">
        <f>IF(O126&lt;=IF($O126=0,0,SUMIFS(Disbursements!$W:$W,Disbursements!$B:$B,'Live Collections'!D839,Disbursements!$D:$D,'Live Collections'!F839)),O126,IF($O126=0,0,SUMIFS(Disbursements!$W:$W,Disbursements!$B:$B,'Live Collections'!D839,Disbursements!$D:$D,'Live Collections'!F839)))</f>
        <v>0</v>
      </c>
      <c r="T126" s="304">
        <f t="shared" si="6"/>
        <v>0</v>
      </c>
      <c r="U126" s="52">
        <v>771376503</v>
      </c>
      <c r="V126" s="34"/>
      <c r="W126" s="408"/>
    </row>
    <row r="127" spans="1:23" ht="12.75" customHeight="1" x14ac:dyDescent="0.2">
      <c r="A127" s="257">
        <v>108</v>
      </c>
      <c r="B127" s="44">
        <v>44358</v>
      </c>
      <c r="C127" s="44">
        <f t="shared" si="4"/>
        <v>44358</v>
      </c>
      <c r="D127" s="374">
        <v>69</v>
      </c>
      <c r="E127" s="291" t="str">
        <f>IFERROR(VLOOKUP($D127,'Clients-Live'!$A:$C,3,0),"")</f>
        <v>SADIA JOYCE</v>
      </c>
      <c r="F127" s="291" t="str">
        <f>IFERROR(INDEX(Disbursements!$D:$D,MATCH('Live Collections'!G127,Disbursements!$C:$C,0)),"")</f>
        <v/>
      </c>
      <c r="G127" s="34"/>
      <c r="H127" s="34"/>
      <c r="I127" s="34" t="s">
        <v>1814</v>
      </c>
      <c r="J127" s="48">
        <v>15000</v>
      </c>
      <c r="K127" s="48">
        <v>5000</v>
      </c>
      <c r="L127" s="48"/>
      <c r="M127" s="48"/>
      <c r="N127" s="59"/>
      <c r="O127" s="59"/>
      <c r="P127" s="59"/>
      <c r="Q127" s="268">
        <f t="shared" si="5"/>
        <v>20000</v>
      </c>
      <c r="R127" s="61">
        <f>IF(O127=0,0,SUMIFS(Disbursements!$T:$T,Disbursements!$B:$B,'Live Collections'!D127,Disbursements!$D:$D,'Live Collections'!F127))</f>
        <v>0</v>
      </c>
      <c r="S127" s="304">
        <f>IF(O127&lt;=IF($O127=0,0,SUMIFS(Disbursements!$W:$W,Disbursements!$B:$B,'Live Collections'!D851,Disbursements!$D:$D,'Live Collections'!F851)),O127,IF($O127=0,0,SUMIFS(Disbursements!$W:$W,Disbursements!$B:$B,'Live Collections'!D851,Disbursements!$D:$D,'Live Collections'!F851)))</f>
        <v>0</v>
      </c>
      <c r="T127" s="304">
        <f t="shared" si="6"/>
        <v>0</v>
      </c>
      <c r="U127" s="52">
        <v>774279052</v>
      </c>
      <c r="V127" s="34"/>
      <c r="W127" s="408"/>
    </row>
    <row r="128" spans="1:23" ht="12.75" customHeight="1" x14ac:dyDescent="0.2">
      <c r="A128" s="132">
        <v>124</v>
      </c>
      <c r="B128" s="44">
        <v>44359</v>
      </c>
      <c r="C128" s="44">
        <f t="shared" si="4"/>
        <v>44359</v>
      </c>
      <c r="D128" s="374">
        <v>8</v>
      </c>
      <c r="E128" s="291" t="str">
        <f>IFERROR(VLOOKUP($D128,'Clients-Live'!$A:$C,3,0),"")</f>
        <v>ALEMI THOMAS</v>
      </c>
      <c r="F128" s="291">
        <f>IFERROR(INDEX(Disbursements!$D:$D,MATCH('Live Collections'!G128,Disbursements!$C:$C,0)),"")</f>
        <v>1</v>
      </c>
      <c r="G128" s="34">
        <v>1</v>
      </c>
      <c r="H128" s="34"/>
      <c r="I128" s="34" t="s">
        <v>1359</v>
      </c>
      <c r="J128" s="48"/>
      <c r="K128" s="48"/>
      <c r="L128" s="48"/>
      <c r="M128" s="48"/>
      <c r="N128" s="59"/>
      <c r="O128" s="59">
        <v>65000</v>
      </c>
      <c r="P128" s="59"/>
      <c r="Q128" s="268">
        <f t="shared" si="5"/>
        <v>65000</v>
      </c>
      <c r="R128" s="61">
        <f>IF(O128=0,0,SUMIFS(Disbursements!$T:$T,Disbursements!$B:$B,'Live Collections'!D128,Disbursements!$D:$D,'Live Collections'!F128))</f>
        <v>65000</v>
      </c>
      <c r="S128" s="304">
        <f>IF(O128&lt;=IF($O128=0,0,SUMIFS(Disbursements!$W:$W,Disbursements!$B:$B,'Live Collections'!D69,Disbursements!$D:$D,'Live Collections'!F69)),O128,IF($O128=0,0,SUMIFS(Disbursements!$W:$W,Disbursements!$B:$B,'Live Collections'!D69,Disbursements!$D:$D,'Live Collections'!F69)))</f>
        <v>25666.666666666672</v>
      </c>
      <c r="T128" s="304">
        <f t="shared" si="6"/>
        <v>39333.333333333328</v>
      </c>
      <c r="U128" s="52"/>
      <c r="V128" s="34"/>
      <c r="W128" s="408"/>
    </row>
    <row r="129" spans="1:23" ht="12.75" customHeight="1" x14ac:dyDescent="0.2">
      <c r="A129" s="257">
        <v>121</v>
      </c>
      <c r="B129" s="44">
        <v>44359</v>
      </c>
      <c r="C129" s="44">
        <f t="shared" si="4"/>
        <v>44359</v>
      </c>
      <c r="D129" s="374">
        <v>55</v>
      </c>
      <c r="E129" s="291" t="str">
        <f>IFERROR(VLOOKUP($D129,'Clients-Live'!$A:$C,3,0),"")</f>
        <v>SOKOLA SHARON</v>
      </c>
      <c r="F129" s="291">
        <f>IFERROR(INDEX(Disbursements!$D:$D,MATCH('Live Collections'!G129,Disbursements!$C:$C,0)),"")</f>
        <v>1</v>
      </c>
      <c r="G129" s="34">
        <v>48</v>
      </c>
      <c r="H129" s="34"/>
      <c r="I129" s="34" t="s">
        <v>862</v>
      </c>
      <c r="J129" s="48"/>
      <c r="K129" s="48"/>
      <c r="L129" s="48">
        <v>10000</v>
      </c>
      <c r="M129" s="48">
        <v>5000</v>
      </c>
      <c r="N129" s="59"/>
      <c r="O129" s="59"/>
      <c r="P129" s="59">
        <v>30000</v>
      </c>
      <c r="Q129" s="268">
        <f t="shared" si="5"/>
        <v>45000</v>
      </c>
      <c r="R129" s="61">
        <f>IF(O129=0,0,SUMIFS(Disbursements!$T:$T,Disbursements!$B:$B,'Live Collections'!D129,Disbursements!$D:$D,'Live Collections'!F129))</f>
        <v>0</v>
      </c>
      <c r="S129" s="304">
        <f>IF(O129&lt;=IF($O129=0,0,SUMIFS(Disbursements!$W:$W,Disbursements!$B:$B,'Live Collections'!D647,Disbursements!$D:$D,'Live Collections'!F647)),O129,IF($O129=0,0,SUMIFS(Disbursements!$W:$W,Disbursements!$B:$B,'Live Collections'!D647,Disbursements!$D:$D,'Live Collections'!F647)))</f>
        <v>0</v>
      </c>
      <c r="T129" s="304">
        <f t="shared" si="6"/>
        <v>0</v>
      </c>
      <c r="U129" s="52"/>
      <c r="V129" s="34"/>
      <c r="W129" s="408"/>
    </row>
    <row r="130" spans="1:23" ht="12.75" customHeight="1" x14ac:dyDescent="0.2">
      <c r="A130" s="132">
        <v>122</v>
      </c>
      <c r="B130" s="44">
        <v>44359</v>
      </c>
      <c r="C130" s="44">
        <f t="shared" si="4"/>
        <v>44359</v>
      </c>
      <c r="D130" s="374">
        <v>63</v>
      </c>
      <c r="E130" s="291" t="str">
        <f>IFERROR(VLOOKUP($D130,'Clients-Live'!$A:$C,3,0),"")</f>
        <v>AWURU KADARA</v>
      </c>
      <c r="F130" s="291">
        <f>IFERROR(INDEX(Disbursements!$D:$D,MATCH('Live Collections'!G130,Disbursements!$C:$C,0)),"")</f>
        <v>2</v>
      </c>
      <c r="G130" s="34">
        <v>173</v>
      </c>
      <c r="H130" s="34">
        <v>240</v>
      </c>
      <c r="I130" s="34" t="s">
        <v>864</v>
      </c>
      <c r="J130" s="48"/>
      <c r="K130" s="48"/>
      <c r="L130" s="48">
        <v>10000</v>
      </c>
      <c r="M130" s="48">
        <v>5000</v>
      </c>
      <c r="N130" s="59"/>
      <c r="O130" s="59"/>
      <c r="P130" s="59">
        <v>40000</v>
      </c>
      <c r="Q130" s="268">
        <f t="shared" si="5"/>
        <v>55000</v>
      </c>
      <c r="R130" s="61">
        <f>IF(O130=0,0,SUMIFS(Disbursements!$T:$T,Disbursements!$B:$B,'Live Collections'!D130,Disbursements!$D:$D,'Live Collections'!F130))</f>
        <v>0</v>
      </c>
      <c r="S130" s="304">
        <f>IF(O130&lt;=IF($O130=0,0,SUMIFS(Disbursements!$W:$W,Disbursements!$B:$B,'Live Collections'!D751,Disbursements!$D:$D,'Live Collections'!F751)),O130,IF($O130=0,0,SUMIFS(Disbursements!$W:$W,Disbursements!$B:$B,'Live Collections'!D751,Disbursements!$D:$D,'Live Collections'!F751)))</f>
        <v>0</v>
      </c>
      <c r="T130" s="304">
        <f t="shared" si="6"/>
        <v>0</v>
      </c>
      <c r="U130" s="52"/>
      <c r="V130" s="34"/>
      <c r="W130" s="408"/>
    </row>
    <row r="131" spans="1:23" ht="12.75" customHeight="1" x14ac:dyDescent="0.2">
      <c r="A131" s="257">
        <v>123</v>
      </c>
      <c r="B131" s="44">
        <v>44359</v>
      </c>
      <c r="C131" s="44">
        <f t="shared" si="4"/>
        <v>44359</v>
      </c>
      <c r="D131" s="374">
        <v>67</v>
      </c>
      <c r="E131" s="291" t="str">
        <f>IFERROR(VLOOKUP($D131,'Clients-Live'!$A:$C,3,0),"")</f>
        <v>KEBITA SAUDA</v>
      </c>
      <c r="F131" s="291">
        <f>IFERROR(INDEX(Disbursements!$D:$D,MATCH('Live Collections'!G131,Disbursements!$C:$C,0)),"")</f>
        <v>1</v>
      </c>
      <c r="G131" s="34">
        <v>49</v>
      </c>
      <c r="H131" s="34">
        <v>245</v>
      </c>
      <c r="I131" s="34" t="s">
        <v>863</v>
      </c>
      <c r="J131" s="48"/>
      <c r="K131" s="48"/>
      <c r="L131" s="48">
        <v>10000</v>
      </c>
      <c r="M131" s="48">
        <v>5000</v>
      </c>
      <c r="N131" s="59"/>
      <c r="O131" s="59"/>
      <c r="P131" s="59">
        <v>50000</v>
      </c>
      <c r="Q131" s="268">
        <f t="shared" si="5"/>
        <v>65000</v>
      </c>
      <c r="R131" s="61">
        <f>IF(O131=0,0,SUMIFS(Disbursements!$T:$T,Disbursements!$B:$B,'Live Collections'!D131,Disbursements!$D:$D,'Live Collections'!F131))</f>
        <v>0</v>
      </c>
      <c r="S131" s="304">
        <f>IF(O131&lt;=IF($O131=0,0,SUMIFS(Disbursements!$W:$W,Disbursements!$B:$B,'Live Collections'!D826,Disbursements!$D:$D,'Live Collections'!F826)),O131,IF($O131=0,0,SUMIFS(Disbursements!$W:$W,Disbursements!$B:$B,'Live Collections'!D826,Disbursements!$D:$D,'Live Collections'!F826)))</f>
        <v>0</v>
      </c>
      <c r="T131" s="304">
        <f t="shared" si="6"/>
        <v>0</v>
      </c>
      <c r="U131" s="52"/>
      <c r="V131" s="34"/>
      <c r="W131" s="408"/>
    </row>
    <row r="132" spans="1:23" ht="12.75" customHeight="1" x14ac:dyDescent="0.2">
      <c r="A132" s="132">
        <v>131</v>
      </c>
      <c r="B132" s="44">
        <v>44361</v>
      </c>
      <c r="C132" s="44">
        <f t="shared" si="4"/>
        <v>44361</v>
      </c>
      <c r="D132" s="374">
        <v>66</v>
      </c>
      <c r="E132" s="291" t="str">
        <f>IFERROR(VLOOKUP($D132,'Clients-Live'!$A:$C,3,0),"")</f>
        <v>DENAYA NYAMAZA</v>
      </c>
      <c r="F132" s="291">
        <f>IFERROR(INDEX(Disbursements!$D:$D,MATCH('Live Collections'!G132,Disbursements!$C:$C,0)),"")</f>
        <v>1</v>
      </c>
      <c r="G132" s="34">
        <v>53</v>
      </c>
      <c r="H132" s="34"/>
      <c r="I132" s="34" t="s">
        <v>864</v>
      </c>
      <c r="J132" s="48"/>
      <c r="K132" s="48"/>
      <c r="L132" s="48">
        <v>10000</v>
      </c>
      <c r="M132" s="48">
        <v>5000</v>
      </c>
      <c r="N132" s="59"/>
      <c r="O132" s="59"/>
      <c r="P132" s="59">
        <v>200000</v>
      </c>
      <c r="Q132" s="268">
        <f t="shared" si="5"/>
        <v>215000</v>
      </c>
      <c r="R132" s="61">
        <f>IF(O132=0,0,SUMIFS(Disbursements!$T:$T,Disbursements!$B:$B,'Live Collections'!D132,Disbursements!$D:$D,'Live Collections'!F132))</f>
        <v>0</v>
      </c>
      <c r="S132" s="304">
        <f>IF(O132&lt;=IF($O132=0,0,SUMIFS(Disbursements!$W:$W,Disbursements!$B:$B,'Live Collections'!D788,Disbursements!$D:$D,'Live Collections'!F788)),O132,IF($O132=0,0,SUMIFS(Disbursements!$W:$W,Disbursements!$B:$B,'Live Collections'!D788,Disbursements!$D:$D,'Live Collections'!F788)))</f>
        <v>0</v>
      </c>
      <c r="T132" s="304">
        <f t="shared" si="6"/>
        <v>0</v>
      </c>
      <c r="U132" s="52"/>
      <c r="V132" s="34"/>
      <c r="W132" s="408"/>
    </row>
    <row r="133" spans="1:23" ht="12.75" customHeight="1" x14ac:dyDescent="0.2">
      <c r="A133" s="257">
        <v>132</v>
      </c>
      <c r="B133" s="44">
        <v>44361</v>
      </c>
      <c r="C133" s="44">
        <f t="shared" si="4"/>
        <v>44361</v>
      </c>
      <c r="D133" s="374">
        <v>68</v>
      </c>
      <c r="E133" s="291" t="str">
        <f>IFERROR(VLOOKUP($D133,'Clients-Live'!$A:$C,3,0),"")</f>
        <v>CHANDIA  RAHIMA</v>
      </c>
      <c r="F133" s="291">
        <f>IFERROR(INDEX(Disbursements!$D:$D,MATCH('Live Collections'!G133,Disbursements!$C:$C,0)),"")</f>
        <v>1</v>
      </c>
      <c r="G133" s="34">
        <v>51</v>
      </c>
      <c r="H133" s="34">
        <v>259</v>
      </c>
      <c r="I133" s="34" t="s">
        <v>864</v>
      </c>
      <c r="J133" s="48"/>
      <c r="K133" s="48"/>
      <c r="L133" s="48">
        <v>10000</v>
      </c>
      <c r="M133" s="48">
        <v>5000</v>
      </c>
      <c r="N133" s="59"/>
      <c r="O133" s="59"/>
      <c r="P133" s="59">
        <v>70000</v>
      </c>
      <c r="Q133" s="268">
        <f t="shared" si="5"/>
        <v>85000</v>
      </c>
      <c r="R133" s="61">
        <f>IF(O133=0,0,SUMIFS(Disbursements!$T:$T,Disbursements!$B:$B,'Live Collections'!D133,Disbursements!$D:$D,'Live Collections'!F133))</f>
        <v>0</v>
      </c>
      <c r="S133" s="304">
        <f>IF(O133&lt;=IF($O133=0,0,SUMIFS(Disbursements!$W:$W,Disbursements!$B:$B,'Live Collections'!D840,Disbursements!$D:$D,'Live Collections'!F840)),O133,IF($O133=0,0,SUMIFS(Disbursements!$W:$W,Disbursements!$B:$B,'Live Collections'!D840,Disbursements!$D:$D,'Live Collections'!F840)))</f>
        <v>0</v>
      </c>
      <c r="T133" s="304">
        <f t="shared" si="6"/>
        <v>0</v>
      </c>
      <c r="U133" s="52"/>
      <c r="V133" s="34"/>
      <c r="W133" s="408"/>
    </row>
    <row r="134" spans="1:23" ht="12.75" customHeight="1" x14ac:dyDescent="0.2">
      <c r="A134" s="132">
        <v>125</v>
      </c>
      <c r="B134" s="44">
        <v>44361</v>
      </c>
      <c r="C134" s="44">
        <f t="shared" si="4"/>
        <v>44361</v>
      </c>
      <c r="D134" s="374">
        <v>70</v>
      </c>
      <c r="E134" s="291" t="str">
        <f>IFERROR(VLOOKUP($D134,'Clients-Live'!$A:$C,3,0),"")</f>
        <v>BUGA ALIKIA PHILLIP</v>
      </c>
      <c r="F134" s="291" t="str">
        <f>IFERROR(INDEX(Disbursements!$D:$D,MATCH('Live Collections'!G134,Disbursements!$C:$C,0)),"")</f>
        <v/>
      </c>
      <c r="G134" s="34"/>
      <c r="H134" s="34"/>
      <c r="I134" s="34" t="s">
        <v>1814</v>
      </c>
      <c r="J134" s="48">
        <v>15000</v>
      </c>
      <c r="K134" s="48">
        <v>5000</v>
      </c>
      <c r="L134" s="48"/>
      <c r="M134" s="48"/>
      <c r="N134" s="59"/>
      <c r="O134" s="59"/>
      <c r="P134" s="59"/>
      <c r="Q134" s="268">
        <f t="shared" si="5"/>
        <v>20000</v>
      </c>
      <c r="R134" s="61">
        <f>IF(O134=0,0,SUMIFS(Disbursements!$T:$T,Disbursements!$B:$B,'Live Collections'!D134,Disbursements!$D:$D,'Live Collections'!F134))</f>
        <v>0</v>
      </c>
      <c r="S134" s="304">
        <f>IF(O134&lt;=IF($O134=0,0,SUMIFS(Disbursements!$W:$W,Disbursements!$B:$B,'Live Collections'!D868,Disbursements!$D:$D,'Live Collections'!F868)),O134,IF($O134=0,0,SUMIFS(Disbursements!$W:$W,Disbursements!$B:$B,'Live Collections'!D868,Disbursements!$D:$D,'Live Collections'!F868)))</f>
        <v>0</v>
      </c>
      <c r="T134" s="304">
        <f t="shared" si="6"/>
        <v>0</v>
      </c>
      <c r="U134" s="52">
        <v>782961179</v>
      </c>
      <c r="V134" s="34"/>
      <c r="W134" s="408"/>
    </row>
    <row r="135" spans="1:23" ht="12.75" customHeight="1" x14ac:dyDescent="0.2">
      <c r="A135" s="257">
        <v>133</v>
      </c>
      <c r="B135" s="44">
        <v>44361</v>
      </c>
      <c r="C135" s="44">
        <f t="shared" si="4"/>
        <v>44361</v>
      </c>
      <c r="D135" s="374">
        <v>70</v>
      </c>
      <c r="E135" s="291" t="str">
        <f>IFERROR(VLOOKUP($D135,'Clients-Live'!$A:$C,3,0),"")</f>
        <v>BUGA ALIKIA PHILLIP</v>
      </c>
      <c r="F135" s="291">
        <f>IFERROR(INDEX(Disbursements!$D:$D,MATCH('Live Collections'!G135,Disbursements!$C:$C,0)),"")</f>
        <v>1</v>
      </c>
      <c r="G135" s="34">
        <v>52</v>
      </c>
      <c r="H135" s="34"/>
      <c r="I135" s="34" t="s">
        <v>863</v>
      </c>
      <c r="J135" s="48"/>
      <c r="K135" s="48"/>
      <c r="L135" s="48">
        <v>10000</v>
      </c>
      <c r="M135" s="48">
        <v>5000</v>
      </c>
      <c r="N135" s="59"/>
      <c r="O135" s="59">
        <v>3600</v>
      </c>
      <c r="P135" s="59">
        <f>80000-3600</f>
        <v>76400</v>
      </c>
      <c r="Q135" s="268">
        <f t="shared" si="5"/>
        <v>95000</v>
      </c>
      <c r="R135" s="61">
        <f>IF(O135=0,0,SUMIFS(Disbursements!$T:$T,Disbursements!$B:$B,'Live Collections'!D135,Disbursements!$D:$D,'Live Collections'!F135))</f>
        <v>174000</v>
      </c>
      <c r="S135" s="304">
        <f>IF(O135&lt;=IF($O135=0,0,SUMIFS(Disbursements!$W:$W,Disbursements!$B:$B,'Live Collections'!D869,Disbursements!$D:$D,'Live Collections'!F869)),O135,IF($O135=0,0,SUMIFS(Disbursements!$W:$W,Disbursements!$B:$B,'Live Collections'!D869,Disbursements!$D:$D,'Live Collections'!F869)))</f>
        <v>3600</v>
      </c>
      <c r="T135" s="304">
        <f t="shared" si="6"/>
        <v>0</v>
      </c>
      <c r="U135" s="52"/>
      <c r="V135" s="34"/>
      <c r="W135" s="408"/>
    </row>
    <row r="136" spans="1:23" ht="12.75" customHeight="1" x14ac:dyDescent="0.2">
      <c r="A136" s="132">
        <v>126</v>
      </c>
      <c r="B136" s="44">
        <v>44361</v>
      </c>
      <c r="C136" s="44">
        <f t="shared" ref="C136:C199" si="7">B136</f>
        <v>44361</v>
      </c>
      <c r="D136" s="374">
        <v>71</v>
      </c>
      <c r="E136" s="291" t="str">
        <f>IFERROR(VLOOKUP($D136,'Clients-Live'!$A:$C,3,0),"")</f>
        <v>AYIKORU HARIET BAUDI</v>
      </c>
      <c r="F136" s="291" t="str">
        <f>IFERROR(INDEX(Disbursements!$D:$D,MATCH('Live Collections'!G136,Disbursements!$C:$C,0)),"")</f>
        <v/>
      </c>
      <c r="G136" s="34"/>
      <c r="H136" s="34"/>
      <c r="I136" s="34" t="s">
        <v>1814</v>
      </c>
      <c r="J136" s="48">
        <v>15000</v>
      </c>
      <c r="K136" s="48">
        <v>5000</v>
      </c>
      <c r="L136" s="48"/>
      <c r="M136" s="48"/>
      <c r="N136" s="59"/>
      <c r="O136" s="59"/>
      <c r="P136" s="59"/>
      <c r="Q136" s="268">
        <f t="shared" ref="Q136:Q199" si="8">SUM(J136:P136)</f>
        <v>20000</v>
      </c>
      <c r="R136" s="61">
        <f>IF(O136=0,0,SUMIFS(Disbursements!$T:$T,Disbursements!$B:$B,'Live Collections'!D136,Disbursements!$D:$D,'Live Collections'!F136))</f>
        <v>0</v>
      </c>
      <c r="S136" s="304">
        <f>IF(O136&lt;=IF($O136=0,0,SUMIFS(Disbursements!$W:$W,Disbursements!$B:$B,'Live Collections'!D885,Disbursements!$D:$D,'Live Collections'!F885)),O136,IF($O136=0,0,SUMIFS(Disbursements!$W:$W,Disbursements!$B:$B,'Live Collections'!D885,Disbursements!$D:$D,'Live Collections'!F885)))</f>
        <v>0</v>
      </c>
      <c r="T136" s="304">
        <f t="shared" ref="T136:T199" si="9">IF(O136=0,0,O136-S136)</f>
        <v>0</v>
      </c>
      <c r="U136" s="52">
        <v>782553810</v>
      </c>
      <c r="V136" s="34"/>
      <c r="W136" s="408"/>
    </row>
    <row r="137" spans="1:23" ht="12.75" customHeight="1" x14ac:dyDescent="0.2">
      <c r="A137" s="257">
        <v>127</v>
      </c>
      <c r="B137" s="44">
        <v>44361</v>
      </c>
      <c r="C137" s="44">
        <f t="shared" si="7"/>
        <v>44361</v>
      </c>
      <c r="D137" s="374">
        <v>72</v>
      </c>
      <c r="E137" s="291" t="str">
        <f>IFERROR(VLOOKUP($D137,'Clients-Live'!$A:$C,3,0),"")</f>
        <v>MUNDURU MERCY</v>
      </c>
      <c r="F137" s="291" t="str">
        <f>IFERROR(INDEX(Disbursements!$D:$D,MATCH('Live Collections'!G137,Disbursements!$C:$C,0)),"")</f>
        <v/>
      </c>
      <c r="G137" s="34"/>
      <c r="H137" s="34"/>
      <c r="I137" s="34" t="s">
        <v>1814</v>
      </c>
      <c r="J137" s="48">
        <v>15000</v>
      </c>
      <c r="K137" s="48">
        <v>5000</v>
      </c>
      <c r="L137" s="48"/>
      <c r="M137" s="48"/>
      <c r="N137" s="59"/>
      <c r="O137" s="59"/>
      <c r="P137" s="59"/>
      <c r="Q137" s="268">
        <f t="shared" si="8"/>
        <v>20000</v>
      </c>
      <c r="R137" s="61">
        <f>IF(O137=0,0,SUMIFS(Disbursements!$T:$T,Disbursements!$B:$B,'Live Collections'!D137,Disbursements!$D:$D,'Live Collections'!F137))</f>
        <v>0</v>
      </c>
      <c r="S137" s="304">
        <f>IF(O137&lt;=IF($O137=0,0,SUMIFS(Disbursements!$W:$W,Disbursements!$B:$B,'Live Collections'!D903,Disbursements!$D:$D,'Live Collections'!F903)),O137,IF($O137=0,0,SUMIFS(Disbursements!$W:$W,Disbursements!$B:$B,'Live Collections'!D903,Disbursements!$D:$D,'Live Collections'!F903)))</f>
        <v>0</v>
      </c>
      <c r="T137" s="304">
        <f t="shared" si="9"/>
        <v>0</v>
      </c>
      <c r="U137" s="52">
        <v>775990522</v>
      </c>
      <c r="V137" s="34"/>
      <c r="W137" s="408"/>
    </row>
    <row r="138" spans="1:23" ht="12.75" customHeight="1" x14ac:dyDescent="0.2">
      <c r="A138" s="132">
        <v>128</v>
      </c>
      <c r="B138" s="44">
        <v>44361</v>
      </c>
      <c r="C138" s="44">
        <f t="shared" si="7"/>
        <v>44361</v>
      </c>
      <c r="D138" s="374">
        <v>73</v>
      </c>
      <c r="E138" s="291" t="str">
        <f>IFERROR(VLOOKUP($D138,'Clients-Live'!$A:$C,3,0),"")</f>
        <v>AJONYE DEBORA</v>
      </c>
      <c r="F138" s="291" t="str">
        <f>IFERROR(INDEX(Disbursements!$D:$D,MATCH('Live Collections'!G138,Disbursements!$C:$C,0)),"")</f>
        <v/>
      </c>
      <c r="G138" s="34"/>
      <c r="H138" s="34"/>
      <c r="I138" s="34" t="s">
        <v>1814</v>
      </c>
      <c r="J138" s="48">
        <v>15000</v>
      </c>
      <c r="K138" s="48">
        <v>5000</v>
      </c>
      <c r="L138" s="48"/>
      <c r="M138" s="48"/>
      <c r="N138" s="59"/>
      <c r="O138" s="59"/>
      <c r="P138" s="59"/>
      <c r="Q138" s="268">
        <f t="shared" si="8"/>
        <v>20000</v>
      </c>
      <c r="R138" s="61">
        <f>IF(O138=0,0,SUMIFS(Disbursements!$T:$T,Disbursements!$B:$B,'Live Collections'!D138,Disbursements!$D:$D,'Live Collections'!F138))</f>
        <v>0</v>
      </c>
      <c r="S138" s="304">
        <f>IF(O138&lt;=IF($O138=0,0,SUMIFS(Disbursements!$W:$W,Disbursements!$B:$B,'Live Collections'!D917,Disbursements!$D:$D,'Live Collections'!F917)),O138,IF($O138=0,0,SUMIFS(Disbursements!$W:$W,Disbursements!$B:$B,'Live Collections'!D917,Disbursements!$D:$D,'Live Collections'!F917)))</f>
        <v>0</v>
      </c>
      <c r="T138" s="304">
        <f t="shared" si="9"/>
        <v>0</v>
      </c>
      <c r="U138" s="52">
        <v>772443148</v>
      </c>
      <c r="V138" s="34"/>
      <c r="W138" s="408"/>
    </row>
    <row r="139" spans="1:23" ht="12.75" customHeight="1" x14ac:dyDescent="0.2">
      <c r="A139" s="257">
        <v>129</v>
      </c>
      <c r="B139" s="44">
        <v>44361</v>
      </c>
      <c r="C139" s="44">
        <f t="shared" si="7"/>
        <v>44361</v>
      </c>
      <c r="D139" s="374">
        <v>74</v>
      </c>
      <c r="E139" s="291" t="str">
        <f>IFERROR(VLOOKUP($D139,'Clients-Live'!$A:$C,3,0),"")</f>
        <v>YUKUWE AISHA</v>
      </c>
      <c r="F139" s="291" t="str">
        <f>IFERROR(INDEX(Disbursements!$D:$D,MATCH('Live Collections'!G139,Disbursements!$C:$C,0)),"")</f>
        <v/>
      </c>
      <c r="G139" s="34"/>
      <c r="H139" s="34">
        <v>267</v>
      </c>
      <c r="I139" s="34" t="s">
        <v>1814</v>
      </c>
      <c r="J139" s="48">
        <v>15000</v>
      </c>
      <c r="K139" s="48">
        <v>5000</v>
      </c>
      <c r="L139" s="48"/>
      <c r="M139" s="48"/>
      <c r="N139" s="59"/>
      <c r="O139" s="59"/>
      <c r="P139" s="59"/>
      <c r="Q139" s="268">
        <f t="shared" si="8"/>
        <v>20000</v>
      </c>
      <c r="R139" s="61">
        <f>IF(O139=0,0,SUMIFS(Disbursements!$T:$T,Disbursements!$B:$B,'Live Collections'!D139,Disbursements!$D:$D,'Live Collections'!F139))</f>
        <v>0</v>
      </c>
      <c r="S139" s="304">
        <f>IF(O139&lt;=IF($O139=0,0,SUMIFS(Disbursements!$W:$W,Disbursements!$B:$B,'Live Collections'!D934,Disbursements!$D:$D,'Live Collections'!F934)),O139,IF($O139=0,0,SUMIFS(Disbursements!$W:$W,Disbursements!$B:$B,'Live Collections'!D934,Disbursements!$D:$D,'Live Collections'!F934)))</f>
        <v>0</v>
      </c>
      <c r="T139" s="304">
        <f t="shared" si="9"/>
        <v>0</v>
      </c>
      <c r="U139" s="52">
        <v>781929918</v>
      </c>
      <c r="V139" s="34"/>
      <c r="W139" s="408"/>
    </row>
    <row r="140" spans="1:23" ht="12.75" customHeight="1" x14ac:dyDescent="0.2">
      <c r="A140" s="132">
        <v>130</v>
      </c>
      <c r="B140" s="44">
        <v>44361</v>
      </c>
      <c r="C140" s="44">
        <f t="shared" si="7"/>
        <v>44361</v>
      </c>
      <c r="D140" s="374">
        <v>75</v>
      </c>
      <c r="E140" s="291" t="str">
        <f>IFERROR(VLOOKUP($D140,'Clients-Live'!$A:$C,3,0),"")</f>
        <v>MUKULIA JAMES</v>
      </c>
      <c r="F140" s="291" t="str">
        <f>IFERROR(INDEX(Disbursements!$D:$D,MATCH('Live Collections'!G140,Disbursements!$C:$C,0)),"")</f>
        <v/>
      </c>
      <c r="G140" s="34"/>
      <c r="H140" s="34"/>
      <c r="I140" s="34" t="s">
        <v>1814</v>
      </c>
      <c r="J140" s="48">
        <v>15000</v>
      </c>
      <c r="K140" s="48">
        <v>5000</v>
      </c>
      <c r="L140" s="48"/>
      <c r="M140" s="48"/>
      <c r="N140" s="59"/>
      <c r="O140" s="59"/>
      <c r="P140" s="59"/>
      <c r="Q140" s="268">
        <f t="shared" si="8"/>
        <v>20000</v>
      </c>
      <c r="R140" s="61">
        <f>IF(O140=0,0,SUMIFS(Disbursements!$T:$T,Disbursements!$B:$B,'Live Collections'!D140,Disbursements!$D:$D,'Live Collections'!F140))</f>
        <v>0</v>
      </c>
      <c r="S140" s="304">
        <f>IF(O140&lt;=IF($O140=0,0,SUMIFS(Disbursements!$W:$W,Disbursements!$B:$B,'Live Collections'!D949,Disbursements!$D:$D,'Live Collections'!F949)),O140,IF($O140=0,0,SUMIFS(Disbursements!$W:$W,Disbursements!$B:$B,'Live Collections'!D949,Disbursements!$D:$D,'Live Collections'!F949)))</f>
        <v>0</v>
      </c>
      <c r="T140" s="304">
        <f t="shared" si="9"/>
        <v>0</v>
      </c>
      <c r="U140" s="52">
        <v>780674875</v>
      </c>
      <c r="V140" s="34"/>
      <c r="W140" s="408"/>
    </row>
    <row r="141" spans="1:23" ht="12.75" customHeight="1" x14ac:dyDescent="0.2">
      <c r="A141" s="257">
        <v>142</v>
      </c>
      <c r="B141" s="44">
        <v>44362</v>
      </c>
      <c r="C141" s="44">
        <f t="shared" si="7"/>
        <v>44362</v>
      </c>
      <c r="D141" s="374">
        <v>17</v>
      </c>
      <c r="E141" s="291" t="str">
        <f>IFERROR(VLOOKUP($D141,'Clients-Live'!$A:$C,3,0),"")</f>
        <v>MAMBU BAYI</v>
      </c>
      <c r="F141" s="291">
        <f>IFERROR(INDEX(Disbursements!$D:$D,MATCH('Live Collections'!G141,Disbursements!$C:$C,0)),"")</f>
        <v>1</v>
      </c>
      <c r="G141" s="34">
        <v>7</v>
      </c>
      <c r="H141" s="34"/>
      <c r="I141" s="34" t="s">
        <v>1357</v>
      </c>
      <c r="J141" s="48"/>
      <c r="K141" s="48"/>
      <c r="L141" s="48"/>
      <c r="M141" s="48"/>
      <c r="N141" s="59"/>
      <c r="O141" s="59">
        <v>325000</v>
      </c>
      <c r="P141" s="59"/>
      <c r="Q141" s="268">
        <f t="shared" si="8"/>
        <v>325000</v>
      </c>
      <c r="R141" s="61">
        <f>IF(O141=0,0,SUMIFS(Disbursements!$T:$T,Disbursements!$B:$B,'Live Collections'!D141,Disbursements!$D:$D,'Live Collections'!F141))</f>
        <v>325000</v>
      </c>
      <c r="S141" s="304">
        <f>IF(O141&lt;=IF($O141=0,0,SUMIFS(Disbursements!$W:$W,Disbursements!$B:$B,'Live Collections'!D284,Disbursements!$D:$D,'Live Collections'!F284)),O141,IF($O141=0,0,SUMIFS(Disbursements!$W:$W,Disbursements!$B:$B,'Live Collections'!D284,Disbursements!$D:$D,'Live Collections'!F284)))</f>
        <v>25666.666666666672</v>
      </c>
      <c r="T141" s="304">
        <f t="shared" si="9"/>
        <v>299333.33333333331</v>
      </c>
      <c r="U141" s="52"/>
      <c r="V141" s="34"/>
      <c r="W141" s="408"/>
    </row>
    <row r="142" spans="1:23" ht="12.75" customHeight="1" x14ac:dyDescent="0.2">
      <c r="A142" s="132">
        <v>143</v>
      </c>
      <c r="B142" s="44">
        <v>44362</v>
      </c>
      <c r="C142" s="44">
        <f t="shared" si="7"/>
        <v>44362</v>
      </c>
      <c r="D142" s="374">
        <v>23</v>
      </c>
      <c r="E142" s="291" t="str">
        <f>IFERROR(VLOOKUP($D142,'Clients-Live'!$A:$C,3,0),"")</f>
        <v>BADARU KEVIN ATELIONGA</v>
      </c>
      <c r="F142" s="291">
        <f>IFERROR(INDEX(Disbursements!$D:$D,MATCH('Live Collections'!G142,Disbursements!$C:$C,0)),"")</f>
        <v>1</v>
      </c>
      <c r="G142" s="34">
        <v>14</v>
      </c>
      <c r="H142" s="34"/>
      <c r="I142" s="34" t="s">
        <v>1357</v>
      </c>
      <c r="J142" s="48"/>
      <c r="K142" s="48"/>
      <c r="L142" s="48"/>
      <c r="M142" s="48"/>
      <c r="N142" s="59"/>
      <c r="O142" s="59">
        <v>32500</v>
      </c>
      <c r="P142" s="59"/>
      <c r="Q142" s="268">
        <f t="shared" si="8"/>
        <v>32500</v>
      </c>
      <c r="R142" s="61">
        <f>IF(O142=0,0,SUMIFS(Disbursements!$T:$T,Disbursements!$B:$B,'Live Collections'!D142,Disbursements!$D:$D,'Live Collections'!F142))</f>
        <v>33000</v>
      </c>
      <c r="S142" s="304">
        <f>IF(O142&lt;=IF($O142=0,0,SUMIFS(Disbursements!$W:$W,Disbursements!$B:$B,'Live Collections'!D309,Disbursements!$D:$D,'Live Collections'!F309)),O142,IF($O142=0,0,SUMIFS(Disbursements!$W:$W,Disbursements!$B:$B,'Live Collections'!D309,Disbursements!$D:$D,'Live Collections'!F309)))</f>
        <v>25000</v>
      </c>
      <c r="T142" s="304">
        <f t="shared" si="9"/>
        <v>7500</v>
      </c>
      <c r="U142" s="52"/>
      <c r="V142" s="34"/>
      <c r="W142" s="408"/>
    </row>
    <row r="143" spans="1:23" ht="12.75" customHeight="1" x14ac:dyDescent="0.2">
      <c r="A143" s="257">
        <v>136</v>
      </c>
      <c r="B143" s="44">
        <v>44362</v>
      </c>
      <c r="C143" s="44">
        <f t="shared" si="7"/>
        <v>44362</v>
      </c>
      <c r="D143" s="374">
        <v>71</v>
      </c>
      <c r="E143" s="291" t="str">
        <f>IFERROR(VLOOKUP($D143,'Clients-Live'!$A:$C,3,0),"")</f>
        <v>AYIKORU HARIET BAUDI</v>
      </c>
      <c r="F143" s="291">
        <f>IFERROR(INDEX(Disbursements!$D:$D,MATCH('Live Collections'!G143,Disbursements!$C:$C,0)),"")</f>
        <v>2</v>
      </c>
      <c r="G143" s="34">
        <v>326</v>
      </c>
      <c r="H143" s="34"/>
      <c r="I143" s="34" t="s">
        <v>862</v>
      </c>
      <c r="J143" s="48"/>
      <c r="K143" s="48"/>
      <c r="L143" s="48">
        <v>10000</v>
      </c>
      <c r="M143" s="48">
        <v>5000</v>
      </c>
      <c r="N143" s="59"/>
      <c r="O143" s="59"/>
      <c r="P143" s="59">
        <v>150000</v>
      </c>
      <c r="Q143" s="268">
        <f t="shared" si="8"/>
        <v>165000</v>
      </c>
      <c r="R143" s="61">
        <f>IF(O143=0,0,SUMIFS(Disbursements!$T:$T,Disbursements!$B:$B,'Live Collections'!D143,Disbursements!$D:$D,'Live Collections'!F143))</f>
        <v>0</v>
      </c>
      <c r="S143" s="304">
        <f>IF(O143&lt;=IF($O143=0,0,SUMIFS(Disbursements!$W:$W,Disbursements!$B:$B,'Live Collections'!D886,Disbursements!$D:$D,'Live Collections'!F886)),O143,IF($O143=0,0,SUMIFS(Disbursements!$W:$W,Disbursements!$B:$B,'Live Collections'!D886,Disbursements!$D:$D,'Live Collections'!F886)))</f>
        <v>0</v>
      </c>
      <c r="T143" s="304">
        <f t="shared" si="9"/>
        <v>0</v>
      </c>
      <c r="U143" s="52"/>
      <c r="V143" s="34"/>
      <c r="W143" s="408"/>
    </row>
    <row r="144" spans="1:23" ht="12.75" customHeight="1" x14ac:dyDescent="0.2">
      <c r="A144" s="132">
        <v>137</v>
      </c>
      <c r="B144" s="44">
        <v>44362</v>
      </c>
      <c r="C144" s="44">
        <f t="shared" si="7"/>
        <v>44362</v>
      </c>
      <c r="D144" s="374">
        <v>72</v>
      </c>
      <c r="E144" s="291" t="str">
        <f>IFERROR(VLOOKUP($D144,'Clients-Live'!$A:$C,3,0),"")</f>
        <v>MUNDURU MERCY</v>
      </c>
      <c r="F144" s="291">
        <f>IFERROR(INDEX(Disbursements!$D:$D,MATCH('Live Collections'!G144,Disbursements!$C:$C,0)),"")</f>
        <v>1</v>
      </c>
      <c r="G144" s="34">
        <v>57</v>
      </c>
      <c r="H144" s="34"/>
      <c r="I144" s="34" t="s">
        <v>863</v>
      </c>
      <c r="J144" s="48"/>
      <c r="K144" s="48"/>
      <c r="L144" s="48">
        <v>10000</v>
      </c>
      <c r="M144" s="48">
        <v>5000</v>
      </c>
      <c r="N144" s="59"/>
      <c r="O144" s="59"/>
      <c r="P144" s="59">
        <v>100000</v>
      </c>
      <c r="Q144" s="268">
        <f t="shared" si="8"/>
        <v>115000</v>
      </c>
      <c r="R144" s="61">
        <f>IF(O144=0,0,SUMIFS(Disbursements!$T:$T,Disbursements!$B:$B,'Live Collections'!D144,Disbursements!$D:$D,'Live Collections'!F144))</f>
        <v>0</v>
      </c>
      <c r="S144" s="304">
        <f>IF(O144&lt;=IF($O144=0,0,SUMIFS(Disbursements!$W:$W,Disbursements!$B:$B,'Live Collections'!D904,Disbursements!$D:$D,'Live Collections'!F904)),O144,IF($O144=0,0,SUMIFS(Disbursements!$W:$W,Disbursements!$B:$B,'Live Collections'!D904,Disbursements!$D:$D,'Live Collections'!F904)))</f>
        <v>0</v>
      </c>
      <c r="T144" s="304">
        <f t="shared" si="9"/>
        <v>0</v>
      </c>
      <c r="U144" s="52"/>
      <c r="V144" s="34"/>
      <c r="W144" s="408"/>
    </row>
    <row r="145" spans="1:23" ht="12.75" customHeight="1" x14ac:dyDescent="0.2">
      <c r="A145" s="257">
        <v>138</v>
      </c>
      <c r="B145" s="44">
        <v>44362</v>
      </c>
      <c r="C145" s="44">
        <f t="shared" si="7"/>
        <v>44362</v>
      </c>
      <c r="D145" s="374">
        <v>73</v>
      </c>
      <c r="E145" s="291" t="str">
        <f>IFERROR(VLOOKUP($D145,'Clients-Live'!$A:$C,3,0),"")</f>
        <v>AJONYE DEBORA</v>
      </c>
      <c r="F145" s="291">
        <f>IFERROR(INDEX(Disbursements!$D:$D,MATCH('Live Collections'!G145,Disbursements!$C:$C,0)),"")</f>
        <v>2</v>
      </c>
      <c r="G145" s="34">
        <v>240</v>
      </c>
      <c r="H145" s="34"/>
      <c r="I145" s="34" t="s">
        <v>864</v>
      </c>
      <c r="J145" s="48"/>
      <c r="K145" s="48"/>
      <c r="L145" s="48">
        <v>10000</v>
      </c>
      <c r="M145" s="48">
        <v>5000</v>
      </c>
      <c r="N145" s="59"/>
      <c r="O145" s="59"/>
      <c r="P145" s="59">
        <v>50000</v>
      </c>
      <c r="Q145" s="268">
        <f t="shared" si="8"/>
        <v>65000</v>
      </c>
      <c r="R145" s="61">
        <f>IF(O145=0,0,SUMIFS(Disbursements!$T:$T,Disbursements!$B:$B,'Live Collections'!D145,Disbursements!$D:$D,'Live Collections'!F145))</f>
        <v>0</v>
      </c>
      <c r="S145" s="304">
        <f>IF(O145&lt;=IF($O145=0,0,SUMIFS(Disbursements!$W:$W,Disbursements!$B:$B,'Live Collections'!D918,Disbursements!$D:$D,'Live Collections'!F918)),O145,IF($O145=0,0,SUMIFS(Disbursements!$W:$W,Disbursements!$B:$B,'Live Collections'!D918,Disbursements!$D:$D,'Live Collections'!F918)))</f>
        <v>0</v>
      </c>
      <c r="T145" s="304">
        <f t="shared" si="9"/>
        <v>0</v>
      </c>
      <c r="U145" s="52"/>
      <c r="V145" s="34"/>
      <c r="W145" s="408"/>
    </row>
    <row r="146" spans="1:23" ht="12.75" customHeight="1" x14ac:dyDescent="0.2">
      <c r="A146" s="132">
        <v>139</v>
      </c>
      <c r="B146" s="44">
        <v>44362</v>
      </c>
      <c r="C146" s="44">
        <f t="shared" si="7"/>
        <v>44362</v>
      </c>
      <c r="D146" s="374">
        <v>74</v>
      </c>
      <c r="E146" s="291" t="str">
        <f>IFERROR(VLOOKUP($D146,'Clients-Live'!$A:$C,3,0),"")</f>
        <v>YUKUWE AISHA</v>
      </c>
      <c r="F146" s="291">
        <f>IFERROR(INDEX(Disbursements!$D:$D,MATCH('Live Collections'!G146,Disbursements!$C:$C,0)),"")</f>
        <v>1</v>
      </c>
      <c r="G146" s="34">
        <v>59</v>
      </c>
      <c r="H146" s="34">
        <v>268</v>
      </c>
      <c r="I146" s="34" t="s">
        <v>863</v>
      </c>
      <c r="J146" s="48"/>
      <c r="K146" s="48"/>
      <c r="L146" s="48">
        <v>10000</v>
      </c>
      <c r="M146" s="48">
        <v>5000</v>
      </c>
      <c r="N146" s="59"/>
      <c r="O146" s="59"/>
      <c r="P146" s="59">
        <v>30000</v>
      </c>
      <c r="Q146" s="268">
        <f t="shared" si="8"/>
        <v>45000</v>
      </c>
      <c r="R146" s="61">
        <f>IF(O146=0,0,SUMIFS(Disbursements!$T:$T,Disbursements!$B:$B,'Live Collections'!D146,Disbursements!$D:$D,'Live Collections'!F146))</f>
        <v>0</v>
      </c>
      <c r="S146" s="304">
        <f>IF(O146&lt;=IF($O146=0,0,SUMIFS(Disbursements!$W:$W,Disbursements!$B:$B,'Live Collections'!D935,Disbursements!$D:$D,'Live Collections'!F935)),O146,IF($O146=0,0,SUMIFS(Disbursements!$W:$W,Disbursements!$B:$B,'Live Collections'!D935,Disbursements!$D:$D,'Live Collections'!F935)))</f>
        <v>0</v>
      </c>
      <c r="T146" s="304">
        <f t="shared" si="9"/>
        <v>0</v>
      </c>
      <c r="U146" s="52"/>
      <c r="V146" s="34"/>
      <c r="W146" s="408"/>
    </row>
    <row r="147" spans="1:23" ht="12.75" customHeight="1" x14ac:dyDescent="0.2">
      <c r="A147" s="257">
        <v>140</v>
      </c>
      <c r="B147" s="44">
        <v>44362</v>
      </c>
      <c r="C147" s="44">
        <f t="shared" si="7"/>
        <v>44362</v>
      </c>
      <c r="D147" s="374">
        <v>75</v>
      </c>
      <c r="E147" s="291" t="str">
        <f>IFERROR(VLOOKUP($D147,'Clients-Live'!$A:$C,3,0),"")</f>
        <v>MUKULIA JAMES</v>
      </c>
      <c r="F147" s="291">
        <f>IFERROR(INDEX(Disbursements!$D:$D,MATCH('Live Collections'!G147,Disbursements!$C:$C,0)),"")</f>
        <v>1</v>
      </c>
      <c r="G147" s="34">
        <v>55</v>
      </c>
      <c r="H147" s="34"/>
      <c r="I147" s="34" t="s">
        <v>862</v>
      </c>
      <c r="J147" s="48"/>
      <c r="K147" s="48"/>
      <c r="L147" s="48">
        <v>10000</v>
      </c>
      <c r="M147" s="48">
        <v>5000</v>
      </c>
      <c r="N147" s="59"/>
      <c r="O147" s="59"/>
      <c r="P147" s="59">
        <v>40000</v>
      </c>
      <c r="Q147" s="268">
        <f t="shared" si="8"/>
        <v>55000</v>
      </c>
      <c r="R147" s="61">
        <f>IF(O147=0,0,SUMIFS(Disbursements!$T:$T,Disbursements!$B:$B,'Live Collections'!D147,Disbursements!$D:$D,'Live Collections'!F147))</f>
        <v>0</v>
      </c>
      <c r="S147" s="304">
        <f>IF(O147&lt;=IF($O147=0,0,SUMIFS(Disbursements!$W:$W,Disbursements!$B:$B,'Live Collections'!D950,Disbursements!$D:$D,'Live Collections'!F950)),O147,IF($O147=0,0,SUMIFS(Disbursements!$W:$W,Disbursements!$B:$B,'Live Collections'!D950,Disbursements!$D:$D,'Live Collections'!F950)))</f>
        <v>0</v>
      </c>
      <c r="T147" s="304">
        <f t="shared" si="9"/>
        <v>0</v>
      </c>
      <c r="U147" s="52"/>
      <c r="V147" s="34"/>
      <c r="W147" s="408"/>
    </row>
    <row r="148" spans="1:23" ht="12.75" customHeight="1" x14ac:dyDescent="0.2">
      <c r="A148" s="132">
        <v>134</v>
      </c>
      <c r="B148" s="44">
        <v>44362</v>
      </c>
      <c r="C148" s="44">
        <f t="shared" si="7"/>
        <v>44362</v>
      </c>
      <c r="D148" s="374">
        <v>76</v>
      </c>
      <c r="E148" s="291" t="str">
        <f>IFERROR(VLOOKUP($D148,'Clients-Live'!$A:$C,3,0),"")</f>
        <v>DAWA AISHA</v>
      </c>
      <c r="F148" s="291" t="str">
        <f>IFERROR(INDEX(Disbursements!$D:$D,MATCH('Live Collections'!G148,Disbursements!$C:$C,0)),"")</f>
        <v/>
      </c>
      <c r="G148" s="34"/>
      <c r="H148" s="34"/>
      <c r="I148" s="34" t="s">
        <v>1814</v>
      </c>
      <c r="J148" s="48">
        <v>15000</v>
      </c>
      <c r="K148" s="48">
        <v>5000</v>
      </c>
      <c r="L148" s="48"/>
      <c r="M148" s="48"/>
      <c r="N148" s="59"/>
      <c r="O148" s="59"/>
      <c r="P148" s="59"/>
      <c r="Q148" s="268">
        <f t="shared" si="8"/>
        <v>20000</v>
      </c>
      <c r="R148" s="61">
        <f>IF(O148=0,0,SUMIFS(Disbursements!$T:$T,Disbursements!$B:$B,'Live Collections'!D148,Disbursements!$D:$D,'Live Collections'!F148))</f>
        <v>0</v>
      </c>
      <c r="S148" s="304">
        <f>IF(O148&lt;=IF($O148=0,0,SUMIFS(Disbursements!$W:$W,Disbursements!$B:$B,'Live Collections'!D969,Disbursements!$D:$D,'Live Collections'!F969)),O148,IF($O148=0,0,SUMIFS(Disbursements!$W:$W,Disbursements!$B:$B,'Live Collections'!D969,Disbursements!$D:$D,'Live Collections'!F969)))</f>
        <v>0</v>
      </c>
      <c r="T148" s="304">
        <f t="shared" si="9"/>
        <v>0</v>
      </c>
      <c r="U148" s="52">
        <v>783760795</v>
      </c>
      <c r="V148" s="34"/>
      <c r="W148" s="408"/>
    </row>
    <row r="149" spans="1:23" ht="12.75" customHeight="1" x14ac:dyDescent="0.2">
      <c r="A149" s="257">
        <v>141</v>
      </c>
      <c r="B149" s="44">
        <v>44362</v>
      </c>
      <c r="C149" s="44">
        <f t="shared" si="7"/>
        <v>44362</v>
      </c>
      <c r="D149" s="374">
        <v>76</v>
      </c>
      <c r="E149" s="291" t="str">
        <f>IFERROR(VLOOKUP($D149,'Clients-Live'!$A:$C,3,0),"")</f>
        <v>DAWA AISHA</v>
      </c>
      <c r="F149" s="291">
        <f>IFERROR(INDEX(Disbursements!$D:$D,MATCH('Live Collections'!G149,Disbursements!$C:$C,0)),"")</f>
        <v>1</v>
      </c>
      <c r="G149" s="34">
        <v>58</v>
      </c>
      <c r="H149" s="34"/>
      <c r="I149" s="34" t="s">
        <v>863</v>
      </c>
      <c r="J149" s="48"/>
      <c r="K149" s="48"/>
      <c r="L149" s="48">
        <v>10000</v>
      </c>
      <c r="M149" s="48">
        <v>5000</v>
      </c>
      <c r="N149" s="59"/>
      <c r="O149" s="59"/>
      <c r="P149" s="59">
        <v>30000</v>
      </c>
      <c r="Q149" s="268">
        <f t="shared" si="8"/>
        <v>45000</v>
      </c>
      <c r="R149" s="61">
        <f>IF(O149=0,0,SUMIFS(Disbursements!$T:$T,Disbursements!$B:$B,'Live Collections'!D149,Disbursements!$D:$D,'Live Collections'!F149))</f>
        <v>0</v>
      </c>
      <c r="S149" s="304">
        <f>IF(O149&lt;=IF($O149=0,0,SUMIFS(Disbursements!$W:$W,Disbursements!$B:$B,'Live Collections'!D970,Disbursements!$D:$D,'Live Collections'!F970)),O149,IF($O149=0,0,SUMIFS(Disbursements!$W:$W,Disbursements!$B:$B,'Live Collections'!D970,Disbursements!$D:$D,'Live Collections'!F970)))</f>
        <v>0</v>
      </c>
      <c r="T149" s="304">
        <f t="shared" si="9"/>
        <v>0</v>
      </c>
      <c r="U149" s="52"/>
      <c r="V149" s="34"/>
      <c r="W149" s="408"/>
    </row>
    <row r="150" spans="1:23" ht="12.75" customHeight="1" x14ac:dyDescent="0.2">
      <c r="A150" s="132">
        <v>135</v>
      </c>
      <c r="B150" s="44">
        <v>44362</v>
      </c>
      <c r="C150" s="44">
        <f t="shared" si="7"/>
        <v>44362</v>
      </c>
      <c r="D150" s="374">
        <v>77</v>
      </c>
      <c r="E150" s="291" t="str">
        <f>IFERROR(VLOOKUP($D150,'Clients-Live'!$A:$C,3,0),"")</f>
        <v>CACA FATUMA</v>
      </c>
      <c r="F150" s="291" t="str">
        <f>IFERROR(INDEX(Disbursements!$D:$D,MATCH('Live Collections'!G150,Disbursements!$C:$C,0)),"")</f>
        <v/>
      </c>
      <c r="G150" s="34"/>
      <c r="H150" s="34"/>
      <c r="I150" s="34" t="s">
        <v>1814</v>
      </c>
      <c r="J150" s="48">
        <v>15000</v>
      </c>
      <c r="K150" s="48">
        <v>5000</v>
      </c>
      <c r="L150" s="48"/>
      <c r="M150" s="48"/>
      <c r="N150" s="59"/>
      <c r="O150" s="59"/>
      <c r="P150" s="59"/>
      <c r="Q150" s="268">
        <f t="shared" si="8"/>
        <v>20000</v>
      </c>
      <c r="R150" s="61">
        <f>IF(O150=0,0,SUMIFS(Disbursements!$T:$T,Disbursements!$B:$B,'Live Collections'!D150,Disbursements!$D:$D,'Live Collections'!F150))</f>
        <v>0</v>
      </c>
      <c r="S150" s="304">
        <f>IF(O150&lt;=IF($O150=0,0,SUMIFS(Disbursements!$W:$W,Disbursements!$B:$B,'Live Collections'!D981,Disbursements!$D:$D,'Live Collections'!F981)),O150,IF($O150=0,0,SUMIFS(Disbursements!$W:$W,Disbursements!$B:$B,'Live Collections'!D981,Disbursements!$D:$D,'Live Collections'!F981)))</f>
        <v>0</v>
      </c>
      <c r="T150" s="304">
        <f t="shared" si="9"/>
        <v>0</v>
      </c>
      <c r="U150" s="52">
        <v>774007615</v>
      </c>
      <c r="V150" s="34"/>
      <c r="W150" s="408"/>
    </row>
    <row r="151" spans="1:23" ht="12.75" customHeight="1" x14ac:dyDescent="0.2">
      <c r="A151" s="257">
        <v>147</v>
      </c>
      <c r="B151" s="44">
        <v>44363</v>
      </c>
      <c r="C151" s="44">
        <f t="shared" si="7"/>
        <v>44363</v>
      </c>
      <c r="D151" s="374">
        <v>60</v>
      </c>
      <c r="E151" s="291" t="str">
        <f>IFERROR(VLOOKUP($D151,'Clients-Live'!$A:$C,3,0),"")</f>
        <v>MATURU ALICE</v>
      </c>
      <c r="F151" s="291">
        <v>1</v>
      </c>
      <c r="G151" s="34">
        <v>60</v>
      </c>
      <c r="H151" s="34"/>
      <c r="I151" s="34" t="s">
        <v>863</v>
      </c>
      <c r="J151" s="48"/>
      <c r="K151" s="48"/>
      <c r="L151" s="48">
        <v>10000</v>
      </c>
      <c r="M151" s="48">
        <v>5000</v>
      </c>
      <c r="N151" s="59"/>
      <c r="O151" s="59"/>
      <c r="P151" s="59">
        <v>40000</v>
      </c>
      <c r="Q151" s="268">
        <f t="shared" si="8"/>
        <v>55000</v>
      </c>
      <c r="R151" s="61">
        <f>IF(O151=0,0,SUMIFS(Disbursements!$T:$T,Disbursements!$B:$B,'Live Collections'!D151,Disbursements!$D:$D,'Live Collections'!F151))</f>
        <v>0</v>
      </c>
      <c r="S151" s="304">
        <f>IF(O151&lt;=IF($O151=0,0,SUMIFS(Disbursements!$W:$W,Disbursements!$B:$B,'Live Collections'!D713,Disbursements!$D:$D,'Live Collections'!F713)),O151,IF($O151=0,0,SUMIFS(Disbursements!$W:$W,Disbursements!$B:$B,'Live Collections'!D713,Disbursements!$D:$D,'Live Collections'!F713)))</f>
        <v>0</v>
      </c>
      <c r="T151" s="304">
        <f t="shared" si="9"/>
        <v>0</v>
      </c>
      <c r="U151" s="52"/>
      <c r="V151" s="34"/>
      <c r="W151" s="408"/>
    </row>
    <row r="152" spans="1:23" ht="12.75" customHeight="1" x14ac:dyDescent="0.2">
      <c r="A152" s="132">
        <v>148</v>
      </c>
      <c r="B152" s="44">
        <v>44363</v>
      </c>
      <c r="C152" s="44">
        <f t="shared" si="7"/>
        <v>44363</v>
      </c>
      <c r="D152" s="374">
        <v>77</v>
      </c>
      <c r="E152" s="291" t="str">
        <f>IFERROR(VLOOKUP($D152,'Clients-Live'!$A:$C,3,0),"")</f>
        <v>CACA FATUMA</v>
      </c>
      <c r="F152" s="291">
        <f>IFERROR(INDEX(Disbursements!$D:$D,MATCH('Live Collections'!G152,Disbursements!$C:$C,0)),"")</f>
        <v>1</v>
      </c>
      <c r="G152" s="34">
        <v>61</v>
      </c>
      <c r="H152" s="34"/>
      <c r="I152" s="34" t="s">
        <v>864</v>
      </c>
      <c r="J152" s="48"/>
      <c r="K152" s="48"/>
      <c r="L152" s="48">
        <v>10000</v>
      </c>
      <c r="M152" s="48">
        <v>5000</v>
      </c>
      <c r="N152" s="59"/>
      <c r="O152" s="59"/>
      <c r="P152" s="59">
        <v>100000</v>
      </c>
      <c r="Q152" s="268">
        <f t="shared" si="8"/>
        <v>115000</v>
      </c>
      <c r="R152" s="61">
        <f>IF(O152=0,0,SUMIFS(Disbursements!$T:$T,Disbursements!$B:$B,'Live Collections'!D152,Disbursements!$D:$D,'Live Collections'!F152))</f>
        <v>0</v>
      </c>
      <c r="S152" s="304">
        <f>IF(O152&lt;=IF($O152=0,0,SUMIFS(Disbursements!$W:$W,Disbursements!$B:$B,'Live Collections'!D982,Disbursements!$D:$D,'Live Collections'!F982)),O152,IF($O152=0,0,SUMIFS(Disbursements!$W:$W,Disbursements!$B:$B,'Live Collections'!D982,Disbursements!$D:$D,'Live Collections'!F982)))</f>
        <v>0</v>
      </c>
      <c r="T152" s="304">
        <f t="shared" si="9"/>
        <v>0</v>
      </c>
      <c r="U152" s="52"/>
      <c r="V152" s="34"/>
      <c r="W152" s="408"/>
    </row>
    <row r="153" spans="1:23" ht="12.75" customHeight="1" x14ac:dyDescent="0.2">
      <c r="A153" s="257">
        <v>144</v>
      </c>
      <c r="B153" s="44">
        <v>44363</v>
      </c>
      <c r="C153" s="44">
        <f t="shared" si="7"/>
        <v>44363</v>
      </c>
      <c r="D153" s="374">
        <v>78</v>
      </c>
      <c r="E153" s="291" t="str">
        <f>IFERROR(VLOOKUP($D153,'Clients-Live'!$A:$C,3,0),"")</f>
        <v>DIPIYO BEATRICE JOHN</v>
      </c>
      <c r="F153" s="291" t="str">
        <f>IFERROR(INDEX(Disbursements!$D:$D,MATCH('Live Collections'!G153,Disbursements!$C:$C,0)),"")</f>
        <v/>
      </c>
      <c r="G153" s="34"/>
      <c r="H153" s="34"/>
      <c r="I153" s="34" t="s">
        <v>1814</v>
      </c>
      <c r="J153" s="48">
        <v>15000</v>
      </c>
      <c r="K153" s="48">
        <v>5000</v>
      </c>
      <c r="L153" s="48"/>
      <c r="M153" s="48"/>
      <c r="N153" s="59"/>
      <c r="O153" s="59"/>
      <c r="P153" s="59"/>
      <c r="Q153" s="268">
        <f t="shared" si="8"/>
        <v>20000</v>
      </c>
      <c r="R153" s="61">
        <f>IF(O153=0,0,SUMIFS(Disbursements!$T:$T,Disbursements!$B:$B,'Live Collections'!D153,Disbursements!$D:$D,'Live Collections'!F153))</f>
        <v>0</v>
      </c>
      <c r="S153" s="304">
        <f>IF(O153&lt;=IF($O153=0,0,SUMIFS(Disbursements!$W:$W,Disbursements!$B:$B,'Live Collections'!D996,Disbursements!$D:$D,'Live Collections'!F996)),O153,IF($O153=0,0,SUMIFS(Disbursements!$W:$W,Disbursements!$B:$B,'Live Collections'!D996,Disbursements!$D:$D,'Live Collections'!F996)))</f>
        <v>0</v>
      </c>
      <c r="T153" s="304">
        <f t="shared" si="9"/>
        <v>0</v>
      </c>
      <c r="U153" s="52">
        <v>773331625</v>
      </c>
      <c r="V153" s="34"/>
      <c r="W153" s="408"/>
    </row>
    <row r="154" spans="1:23" ht="12.75" customHeight="1" x14ac:dyDescent="0.2">
      <c r="A154" s="132">
        <v>145</v>
      </c>
      <c r="B154" s="44">
        <v>44363</v>
      </c>
      <c r="C154" s="44">
        <f t="shared" si="7"/>
        <v>44363</v>
      </c>
      <c r="D154" s="374">
        <v>79</v>
      </c>
      <c r="E154" s="291" t="str">
        <f>IFERROR(VLOOKUP($D154,'Clients-Live'!$A:$C,3,0),"")</f>
        <v>PASI SENYA</v>
      </c>
      <c r="F154" s="291" t="str">
        <f>IFERROR(INDEX(Disbursements!$D:$D,MATCH('Live Collections'!G154,Disbursements!$C:$C,0)),"")</f>
        <v/>
      </c>
      <c r="G154" s="34"/>
      <c r="H154" s="34"/>
      <c r="I154" s="34" t="s">
        <v>1814</v>
      </c>
      <c r="J154" s="48">
        <v>15000</v>
      </c>
      <c r="K154" s="48">
        <v>5000</v>
      </c>
      <c r="L154" s="48"/>
      <c r="M154" s="48"/>
      <c r="N154" s="59"/>
      <c r="O154" s="59"/>
      <c r="P154" s="59"/>
      <c r="Q154" s="268">
        <f t="shared" si="8"/>
        <v>20000</v>
      </c>
      <c r="R154" s="61">
        <f>IF(O154=0,0,SUMIFS(Disbursements!$T:$T,Disbursements!$B:$B,'Live Collections'!D154,Disbursements!$D:$D,'Live Collections'!F154))</f>
        <v>0</v>
      </c>
      <c r="S154" s="304">
        <f>IF(O154&lt;=IF($O154=0,0,SUMIFS(Disbursements!$W:$W,Disbursements!$B:$B,'Live Collections'!D1011,Disbursements!$D:$D,'Live Collections'!F1011)),O154,IF($O154=0,0,SUMIFS(Disbursements!$W:$W,Disbursements!$B:$B,'Live Collections'!D1011,Disbursements!$D:$D,'Live Collections'!F1011)))</f>
        <v>0</v>
      </c>
      <c r="T154" s="304">
        <f t="shared" si="9"/>
        <v>0</v>
      </c>
      <c r="U154" s="52">
        <v>782033950</v>
      </c>
      <c r="V154" s="34"/>
      <c r="W154" s="408"/>
    </row>
    <row r="155" spans="1:23" ht="12.75" customHeight="1" x14ac:dyDescent="0.2">
      <c r="A155" s="257">
        <v>146</v>
      </c>
      <c r="B155" s="44">
        <v>44363</v>
      </c>
      <c r="C155" s="44">
        <f t="shared" si="7"/>
        <v>44363</v>
      </c>
      <c r="D155" s="374">
        <v>80</v>
      </c>
      <c r="E155" s="291" t="str">
        <f>IFERROR(VLOOKUP($D155,'Clients-Live'!$A:$C,3,0),"")</f>
        <v>ARIYE AISHA</v>
      </c>
      <c r="F155" s="291" t="str">
        <f>IFERROR(INDEX(Disbursements!$D:$D,MATCH('Live Collections'!G155,Disbursements!$C:$C,0)),"")</f>
        <v/>
      </c>
      <c r="G155" s="34"/>
      <c r="H155" s="34"/>
      <c r="I155" s="34" t="s">
        <v>1814</v>
      </c>
      <c r="J155" s="48">
        <v>15000</v>
      </c>
      <c r="K155" s="48">
        <v>5000</v>
      </c>
      <c r="L155" s="48"/>
      <c r="M155" s="48"/>
      <c r="N155" s="59"/>
      <c r="O155" s="59"/>
      <c r="P155" s="59"/>
      <c r="Q155" s="268">
        <f t="shared" si="8"/>
        <v>20000</v>
      </c>
      <c r="R155" s="61">
        <f>IF(O155=0,0,SUMIFS(Disbursements!$T:$T,Disbursements!$B:$B,'Live Collections'!D155,Disbursements!$D:$D,'Live Collections'!F155))</f>
        <v>0</v>
      </c>
      <c r="S155" s="304">
        <f>IF(O155&lt;=IF($O155=0,0,SUMIFS(Disbursements!$W:$W,Disbursements!$B:$B,'Live Collections'!D1034,Disbursements!$D:$D,'Live Collections'!F1034)),O155,IF($O155=0,0,SUMIFS(Disbursements!$W:$W,Disbursements!$B:$B,'Live Collections'!D1034,Disbursements!$D:$D,'Live Collections'!F1034)))</f>
        <v>0</v>
      </c>
      <c r="T155" s="304">
        <f t="shared" si="9"/>
        <v>0</v>
      </c>
      <c r="U155" s="52">
        <v>789987009</v>
      </c>
      <c r="V155" s="34"/>
      <c r="W155" s="408"/>
    </row>
    <row r="156" spans="1:23" ht="12.75" customHeight="1" x14ac:dyDescent="0.2">
      <c r="A156" s="132">
        <v>150</v>
      </c>
      <c r="B156" s="44">
        <v>44364</v>
      </c>
      <c r="C156" s="44">
        <f t="shared" si="7"/>
        <v>44364</v>
      </c>
      <c r="D156" s="374">
        <v>78</v>
      </c>
      <c r="E156" s="291" t="str">
        <f>IFERROR(VLOOKUP($D156,'Clients-Live'!$A:$C,3,0),"")</f>
        <v>DIPIYO BEATRICE JOHN</v>
      </c>
      <c r="F156" s="291">
        <f>IFERROR(INDEX(Disbursements!$D:$D,MATCH('Live Collections'!G156,Disbursements!$C:$C,0)),"")</f>
        <v>1</v>
      </c>
      <c r="G156" s="34">
        <v>62</v>
      </c>
      <c r="H156" s="34"/>
      <c r="I156" s="34" t="s">
        <v>862</v>
      </c>
      <c r="J156" s="48"/>
      <c r="K156" s="48"/>
      <c r="L156" s="48">
        <v>10000</v>
      </c>
      <c r="M156" s="48">
        <v>5000</v>
      </c>
      <c r="N156" s="59"/>
      <c r="O156" s="59"/>
      <c r="P156" s="59">
        <v>70000</v>
      </c>
      <c r="Q156" s="268">
        <f t="shared" si="8"/>
        <v>85000</v>
      </c>
      <c r="R156" s="61">
        <f>IF(O156=0,0,SUMIFS(Disbursements!$T:$T,Disbursements!$B:$B,'Live Collections'!D156,Disbursements!$D:$D,'Live Collections'!F156))</f>
        <v>0</v>
      </c>
      <c r="S156" s="304">
        <f>IF(O156&lt;=IF($O156=0,0,SUMIFS(Disbursements!$W:$W,Disbursements!$B:$B,'Live Collections'!D997,Disbursements!$D:$D,'Live Collections'!F997)),O156,IF($O156=0,0,SUMIFS(Disbursements!$W:$W,Disbursements!$B:$B,'Live Collections'!D997,Disbursements!$D:$D,'Live Collections'!F997)))</f>
        <v>0</v>
      </c>
      <c r="T156" s="304">
        <f t="shared" si="9"/>
        <v>0</v>
      </c>
      <c r="U156" s="52"/>
      <c r="V156" s="34"/>
      <c r="W156" s="408"/>
    </row>
    <row r="157" spans="1:23" ht="12.75" customHeight="1" x14ac:dyDescent="0.2">
      <c r="A157" s="257">
        <v>149</v>
      </c>
      <c r="B157" s="44">
        <v>44364</v>
      </c>
      <c r="C157" s="44">
        <f t="shared" si="7"/>
        <v>44364</v>
      </c>
      <c r="D157" s="374">
        <v>81</v>
      </c>
      <c r="E157" s="291" t="str">
        <f>IFERROR(VLOOKUP($D157,'Clients-Live'!$A:$C,3,0),"")</f>
        <v>ADAM ZAITUN</v>
      </c>
      <c r="F157" s="291" t="str">
        <f>IFERROR(INDEX(Disbursements!$D:$D,MATCH('Live Collections'!G157,Disbursements!$C:$C,0)),"")</f>
        <v/>
      </c>
      <c r="G157" s="34"/>
      <c r="H157" s="34"/>
      <c r="I157" s="34" t="s">
        <v>1814</v>
      </c>
      <c r="J157" s="48">
        <v>15000</v>
      </c>
      <c r="K157" s="48">
        <v>5000</v>
      </c>
      <c r="L157" s="48"/>
      <c r="M157" s="48"/>
      <c r="N157" s="59"/>
      <c r="O157" s="59"/>
      <c r="P157" s="59"/>
      <c r="Q157" s="268">
        <f t="shared" si="8"/>
        <v>20000</v>
      </c>
      <c r="R157" s="61">
        <f>IF(O157=0,0,SUMIFS(Disbursements!$T:$T,Disbursements!$B:$B,'Live Collections'!D157,Disbursements!$D:$D,'Live Collections'!F157))</f>
        <v>0</v>
      </c>
      <c r="S157" s="304">
        <f>IF(O157&lt;=IF($O157=0,0,SUMIFS(Disbursements!$W:$W,Disbursements!$B:$B,'Live Collections'!D1044,Disbursements!$D:$D,'Live Collections'!F1044)),O157,IF($O157=0,0,SUMIFS(Disbursements!$W:$W,Disbursements!$B:$B,'Live Collections'!D1044,Disbursements!$D:$D,'Live Collections'!F1044)))</f>
        <v>0</v>
      </c>
      <c r="T157" s="304">
        <f t="shared" si="9"/>
        <v>0</v>
      </c>
      <c r="U157" s="52">
        <v>776790410</v>
      </c>
      <c r="V157" s="34"/>
      <c r="W157" s="408"/>
    </row>
    <row r="158" spans="1:23" ht="12.75" customHeight="1" x14ac:dyDescent="0.2">
      <c r="A158" s="132">
        <v>154</v>
      </c>
      <c r="B158" s="44">
        <v>44365</v>
      </c>
      <c r="C158" s="44">
        <f t="shared" si="7"/>
        <v>44365</v>
      </c>
      <c r="D158" s="374">
        <v>80</v>
      </c>
      <c r="E158" s="291" t="str">
        <f>IFERROR(VLOOKUP($D158,'Clients-Live'!$A:$C,3,0),"")</f>
        <v>ARIYE AISHA</v>
      </c>
      <c r="F158" s="291">
        <f>IFERROR(INDEX(Disbursements!$D:$D,MATCH('Live Collections'!G158,Disbursements!$C:$C,0)),"")</f>
        <v>1</v>
      </c>
      <c r="G158" s="34">
        <v>63</v>
      </c>
      <c r="H158" s="34"/>
      <c r="I158" s="34" t="s">
        <v>864</v>
      </c>
      <c r="J158" s="48"/>
      <c r="K158" s="48"/>
      <c r="L158" s="48">
        <v>10000</v>
      </c>
      <c r="M158" s="48">
        <v>5000</v>
      </c>
      <c r="N158" s="59"/>
      <c r="O158" s="59"/>
      <c r="P158" s="59">
        <v>100000</v>
      </c>
      <c r="Q158" s="268">
        <f t="shared" si="8"/>
        <v>115000</v>
      </c>
      <c r="R158" s="61">
        <f>IF(O158=0,0,SUMIFS(Disbursements!$T:$T,Disbursements!$B:$B,'Live Collections'!D158,Disbursements!$D:$D,'Live Collections'!F158))</f>
        <v>0</v>
      </c>
      <c r="S158" s="304">
        <f>IF(O158&lt;=IF($O158=0,0,SUMIFS(Disbursements!$W:$W,Disbursements!$B:$B,'Live Collections'!D1035,Disbursements!$D:$D,'Live Collections'!F1035)),O158,IF($O158=0,0,SUMIFS(Disbursements!$W:$W,Disbursements!$B:$B,'Live Collections'!D1035,Disbursements!$D:$D,'Live Collections'!F1035)))</f>
        <v>0</v>
      </c>
      <c r="T158" s="304">
        <f t="shared" si="9"/>
        <v>0</v>
      </c>
      <c r="U158" s="52"/>
      <c r="V158" s="34"/>
      <c r="W158" s="408"/>
    </row>
    <row r="159" spans="1:23" ht="12.75" customHeight="1" x14ac:dyDescent="0.2">
      <c r="A159" s="257">
        <v>151</v>
      </c>
      <c r="B159" s="44">
        <v>44365</v>
      </c>
      <c r="C159" s="44">
        <f t="shared" si="7"/>
        <v>44365</v>
      </c>
      <c r="D159" s="374">
        <v>82</v>
      </c>
      <c r="E159" s="291" t="str">
        <f>IFERROR(VLOOKUP($D159,'Clients-Live'!$A:$C,3,0),"")</f>
        <v>ADUNA MANENO</v>
      </c>
      <c r="F159" s="291" t="str">
        <f>IFERROR(INDEX(Disbursements!$D:$D,MATCH('Live Collections'!G159,Disbursements!$C:$C,0)),"")</f>
        <v/>
      </c>
      <c r="G159" s="34"/>
      <c r="H159" s="34"/>
      <c r="I159" s="34" t="s">
        <v>1814</v>
      </c>
      <c r="J159" s="48">
        <v>15000</v>
      </c>
      <c r="K159" s="48">
        <v>5000</v>
      </c>
      <c r="L159" s="48"/>
      <c r="M159" s="48"/>
      <c r="N159" s="59"/>
      <c r="O159" s="59"/>
      <c r="P159" s="59"/>
      <c r="Q159" s="268">
        <f t="shared" si="8"/>
        <v>20000</v>
      </c>
      <c r="R159" s="61">
        <f>IF(O159=0,0,SUMIFS(Disbursements!$T:$T,Disbursements!$B:$B,'Live Collections'!D159,Disbursements!$D:$D,'Live Collections'!F159))</f>
        <v>0</v>
      </c>
      <c r="S159" s="304">
        <f>IF(O159&lt;=IF($O159=0,0,SUMIFS(Disbursements!$W:$W,Disbursements!$B:$B,'Live Collections'!D1052,Disbursements!$D:$D,'Live Collections'!F1052)),O159,IF($O159=0,0,SUMIFS(Disbursements!$W:$W,Disbursements!$B:$B,'Live Collections'!D1052,Disbursements!$D:$D,'Live Collections'!F1052)))</f>
        <v>0</v>
      </c>
      <c r="T159" s="304">
        <f t="shared" si="9"/>
        <v>0</v>
      </c>
      <c r="U159" s="52">
        <v>760439261</v>
      </c>
      <c r="V159" s="34"/>
      <c r="W159" s="408"/>
    </row>
    <row r="160" spans="1:23" ht="12.75" customHeight="1" x14ac:dyDescent="0.2">
      <c r="A160" s="132">
        <v>152</v>
      </c>
      <c r="B160" s="44">
        <v>44365</v>
      </c>
      <c r="C160" s="44">
        <f t="shared" si="7"/>
        <v>44365</v>
      </c>
      <c r="D160" s="374">
        <v>83</v>
      </c>
      <c r="E160" s="291" t="str">
        <f>IFERROR(VLOOKUP($D160,'Clients-Live'!$A:$C,3,0),"")</f>
        <v>NEVER ZULAIKA</v>
      </c>
      <c r="F160" s="291" t="str">
        <f>IFERROR(INDEX(Disbursements!$D:$D,MATCH('Live Collections'!G160,Disbursements!$C:$C,0)),"")</f>
        <v/>
      </c>
      <c r="G160" s="34"/>
      <c r="H160" s="34"/>
      <c r="I160" s="34" t="s">
        <v>1814</v>
      </c>
      <c r="J160" s="48">
        <v>15000</v>
      </c>
      <c r="K160" s="48">
        <v>5000</v>
      </c>
      <c r="L160" s="48"/>
      <c r="M160" s="48"/>
      <c r="N160" s="59"/>
      <c r="O160" s="59"/>
      <c r="P160" s="59"/>
      <c r="Q160" s="268">
        <f t="shared" si="8"/>
        <v>20000</v>
      </c>
      <c r="R160" s="61">
        <f>IF(O160=0,0,SUMIFS(Disbursements!$T:$T,Disbursements!$B:$B,'Live Collections'!D160,Disbursements!$D:$D,'Live Collections'!F160))</f>
        <v>0</v>
      </c>
      <c r="S160" s="304">
        <f>IF(O160&lt;=IF($O160=0,0,SUMIFS(Disbursements!$W:$W,Disbursements!$B:$B,'Live Collections'!D1065,Disbursements!$D:$D,'Live Collections'!F1065)),O160,IF($O160=0,0,SUMIFS(Disbursements!$W:$W,Disbursements!$B:$B,'Live Collections'!D1065,Disbursements!$D:$D,'Live Collections'!F1065)))</f>
        <v>0</v>
      </c>
      <c r="T160" s="304">
        <f t="shared" si="9"/>
        <v>0</v>
      </c>
      <c r="U160" s="52">
        <v>784649981</v>
      </c>
      <c r="V160" s="34"/>
      <c r="W160" s="408"/>
    </row>
    <row r="161" spans="1:23" ht="12.75" customHeight="1" x14ac:dyDescent="0.2">
      <c r="A161" s="257">
        <v>153</v>
      </c>
      <c r="B161" s="44">
        <v>44365</v>
      </c>
      <c r="C161" s="44">
        <f t="shared" si="7"/>
        <v>44365</v>
      </c>
      <c r="D161" s="374">
        <v>84</v>
      </c>
      <c r="E161" s="291" t="str">
        <f>IFERROR(VLOOKUP($D161,'Clients-Live'!$A:$C,3,0),"")</f>
        <v>OMEGA  CHARLES</v>
      </c>
      <c r="F161" s="291" t="str">
        <f>IFERROR(INDEX(Disbursements!$D:$D,MATCH('Live Collections'!G161,Disbursements!$C:$C,0)),"")</f>
        <v/>
      </c>
      <c r="G161" s="34"/>
      <c r="H161" s="34"/>
      <c r="I161" s="34" t="s">
        <v>1814</v>
      </c>
      <c r="J161" s="48">
        <v>15000</v>
      </c>
      <c r="K161" s="48">
        <v>5000</v>
      </c>
      <c r="L161" s="48"/>
      <c r="M161" s="48"/>
      <c r="N161" s="59"/>
      <c r="O161" s="59"/>
      <c r="P161" s="59"/>
      <c r="Q161" s="268">
        <f t="shared" si="8"/>
        <v>20000</v>
      </c>
      <c r="R161" s="61">
        <f>IF(O161=0,0,SUMIFS(Disbursements!$T:$T,Disbursements!$B:$B,'Live Collections'!D161,Disbursements!$D:$D,'Live Collections'!F161))</f>
        <v>0</v>
      </c>
      <c r="S161" s="304">
        <f>IF(O161&lt;=IF($O161=0,0,SUMIFS(Disbursements!$W:$W,Disbursements!$B:$B,'Live Collections'!D1072,Disbursements!$D:$D,'Live Collections'!F1072)),O161,IF($O161=0,0,SUMIFS(Disbursements!$W:$W,Disbursements!$B:$B,'Live Collections'!D1072,Disbursements!$D:$D,'Live Collections'!F1072)))</f>
        <v>0</v>
      </c>
      <c r="T161" s="304">
        <f t="shared" si="9"/>
        <v>0</v>
      </c>
      <c r="U161" s="52">
        <v>788274101</v>
      </c>
      <c r="V161" s="34"/>
      <c r="W161" s="408"/>
    </row>
    <row r="162" spans="1:23" ht="12.75" customHeight="1" x14ac:dyDescent="0.2">
      <c r="A162" s="132">
        <v>157</v>
      </c>
      <c r="B162" s="44">
        <v>44366</v>
      </c>
      <c r="C162" s="44">
        <f t="shared" si="7"/>
        <v>44366</v>
      </c>
      <c r="D162" s="374">
        <v>18</v>
      </c>
      <c r="E162" s="291" t="str">
        <f>IFERROR(VLOOKUP($D162,'Clients-Live'!$A:$C,3,0),"")</f>
        <v>ARIYE PEACE</v>
      </c>
      <c r="F162" s="291">
        <f>IFERROR(INDEX(Disbursements!$D:$D,MATCH('Live Collections'!G162,Disbursements!$C:$C,0)),"")</f>
        <v>1</v>
      </c>
      <c r="G162" s="34">
        <v>9</v>
      </c>
      <c r="H162" s="34"/>
      <c r="I162" s="34" t="s">
        <v>1357</v>
      </c>
      <c r="J162" s="48"/>
      <c r="K162" s="48"/>
      <c r="L162" s="48"/>
      <c r="M162" s="48"/>
      <c r="N162" s="59"/>
      <c r="O162" s="59">
        <v>108400</v>
      </c>
      <c r="P162" s="59"/>
      <c r="Q162" s="268">
        <f t="shared" si="8"/>
        <v>108400</v>
      </c>
      <c r="R162" s="61">
        <f>IF(O162=0,0,SUMIFS(Disbursements!$T:$T,Disbursements!$B:$B,'Live Collections'!D162,Disbursements!$D:$D,'Live Collections'!F162))</f>
        <v>109000</v>
      </c>
      <c r="S162" s="304">
        <f>IF(O162&lt;=IF($O162=0,0,SUMIFS(Disbursements!$W:$W,Disbursements!$B:$B,'Live Collections'!D192,Disbursements!$D:$D,'Live Collections'!F192)),O162,IF($O162=0,0,SUMIFS(Disbursements!$W:$W,Disbursements!$B:$B,'Live Collections'!D192,Disbursements!$D:$D,'Live Collections'!F192)))</f>
        <v>35000</v>
      </c>
      <c r="T162" s="304">
        <f t="shared" si="9"/>
        <v>73400</v>
      </c>
      <c r="U162" s="52"/>
      <c r="V162" s="34"/>
      <c r="W162" s="408"/>
    </row>
    <row r="163" spans="1:23" ht="12.75" customHeight="1" x14ac:dyDescent="0.2">
      <c r="A163" s="257">
        <v>155</v>
      </c>
      <c r="B163" s="44">
        <v>44366</v>
      </c>
      <c r="C163" s="44">
        <f t="shared" si="7"/>
        <v>44366</v>
      </c>
      <c r="D163" s="374">
        <v>79</v>
      </c>
      <c r="E163" s="291" t="str">
        <f>IFERROR(VLOOKUP($D163,'Clients-Live'!$A:$C,3,0),"")</f>
        <v>PASI SENYA</v>
      </c>
      <c r="F163" s="291">
        <f>IFERROR(INDEX(Disbursements!$D:$D,MATCH('Live Collections'!G163,Disbursements!$C:$C,0)),"")</f>
        <v>1</v>
      </c>
      <c r="G163" s="34">
        <v>64</v>
      </c>
      <c r="H163" s="34"/>
      <c r="I163" s="34" t="s">
        <v>863</v>
      </c>
      <c r="J163" s="48"/>
      <c r="K163" s="48"/>
      <c r="L163" s="48">
        <v>10000</v>
      </c>
      <c r="M163" s="48">
        <v>5000</v>
      </c>
      <c r="N163" s="59"/>
      <c r="O163" s="59"/>
      <c r="P163" s="59">
        <v>100000</v>
      </c>
      <c r="Q163" s="268">
        <f t="shared" si="8"/>
        <v>115000</v>
      </c>
      <c r="R163" s="61">
        <f>IF(O163=0,0,SUMIFS(Disbursements!$T:$T,Disbursements!$B:$B,'Live Collections'!D163,Disbursements!$D:$D,'Live Collections'!F163))</f>
        <v>0</v>
      </c>
      <c r="S163" s="304">
        <f>IF(O163&lt;=IF($O163=0,0,SUMIFS(Disbursements!$W:$W,Disbursements!$B:$B,'Live Collections'!D1012,Disbursements!$D:$D,'Live Collections'!F1012)),O163,IF($O163=0,0,SUMIFS(Disbursements!$W:$W,Disbursements!$B:$B,'Live Collections'!D1012,Disbursements!$D:$D,'Live Collections'!F1012)))</f>
        <v>0</v>
      </c>
      <c r="T163" s="304">
        <f t="shared" si="9"/>
        <v>0</v>
      </c>
      <c r="U163" s="52"/>
      <c r="V163" s="34"/>
      <c r="W163" s="408"/>
    </row>
    <row r="164" spans="1:23" ht="12.75" customHeight="1" x14ac:dyDescent="0.2">
      <c r="A164" s="132">
        <v>156</v>
      </c>
      <c r="B164" s="44">
        <v>44366</v>
      </c>
      <c r="C164" s="44">
        <f t="shared" si="7"/>
        <v>44366</v>
      </c>
      <c r="D164" s="374">
        <v>81</v>
      </c>
      <c r="E164" s="291" t="str">
        <f>IFERROR(VLOOKUP($D164,'Clients-Live'!$A:$C,3,0),"")</f>
        <v>ADAM ZAITUN</v>
      </c>
      <c r="F164" s="291">
        <f>IFERROR(INDEX(Disbursements!$D:$D,MATCH('Live Collections'!G164,Disbursements!$C:$C,0)),"")</f>
        <v>1</v>
      </c>
      <c r="G164" s="34">
        <v>65</v>
      </c>
      <c r="H164" s="34"/>
      <c r="I164" s="34" t="s">
        <v>863</v>
      </c>
      <c r="J164" s="48"/>
      <c r="K164" s="48"/>
      <c r="L164" s="48">
        <v>10000</v>
      </c>
      <c r="M164" s="48">
        <v>5000</v>
      </c>
      <c r="N164" s="59"/>
      <c r="O164" s="59"/>
      <c r="P164" s="59">
        <v>100000</v>
      </c>
      <c r="Q164" s="268">
        <f t="shared" si="8"/>
        <v>115000</v>
      </c>
      <c r="R164" s="61">
        <f>IF(O164=0,0,SUMIFS(Disbursements!$T:$T,Disbursements!$B:$B,'Live Collections'!D164,Disbursements!$D:$D,'Live Collections'!F164))</f>
        <v>0</v>
      </c>
      <c r="S164" s="304">
        <f>IF(O164&lt;=IF($O164=0,0,SUMIFS(Disbursements!$W:$W,Disbursements!$B:$B,'Live Collections'!D1045,Disbursements!$D:$D,'Live Collections'!F1045)),O164,IF($O164=0,0,SUMIFS(Disbursements!$W:$W,Disbursements!$B:$B,'Live Collections'!D1045,Disbursements!$D:$D,'Live Collections'!F1045)))</f>
        <v>0</v>
      </c>
      <c r="T164" s="304">
        <f t="shared" si="9"/>
        <v>0</v>
      </c>
      <c r="U164" s="52"/>
      <c r="V164" s="34"/>
      <c r="W164" s="408"/>
    </row>
    <row r="165" spans="1:23" ht="12.75" customHeight="1" x14ac:dyDescent="0.2">
      <c r="A165" s="257">
        <v>162</v>
      </c>
      <c r="B165" s="44">
        <v>44368</v>
      </c>
      <c r="C165" s="44">
        <f t="shared" si="7"/>
        <v>44368</v>
      </c>
      <c r="D165" s="374">
        <v>13</v>
      </c>
      <c r="E165" s="291" t="str">
        <f>IFERROR(VLOOKUP($D165,'Clients-Live'!$A:$C,3,0),"")</f>
        <v>ALLONE AMOS DAMAI</v>
      </c>
      <c r="F165" s="291">
        <f>IFERROR(INDEX(Disbursements!$D:$D,MATCH('Live Collections'!G165,Disbursements!$C:$C,0)),"")</f>
        <v>1</v>
      </c>
      <c r="G165" s="34">
        <v>67</v>
      </c>
      <c r="H165" s="34">
        <v>341</v>
      </c>
      <c r="I165" s="34" t="s">
        <v>862</v>
      </c>
      <c r="J165" s="48"/>
      <c r="K165" s="48"/>
      <c r="L165" s="48">
        <v>10000</v>
      </c>
      <c r="M165" s="48">
        <v>5000</v>
      </c>
      <c r="N165" s="59"/>
      <c r="O165" s="59"/>
      <c r="P165" s="59">
        <v>100000</v>
      </c>
      <c r="Q165" s="268">
        <f t="shared" si="8"/>
        <v>115000</v>
      </c>
      <c r="R165" s="61">
        <f>IF(O165=0,0,SUMIFS(Disbursements!$T:$T,Disbursements!$B:$B,'Live Collections'!D165,Disbursements!$D:$D,'Live Collections'!F165))</f>
        <v>0</v>
      </c>
      <c r="S165" s="304">
        <f>IF(O165&lt;=IF($O165=0,0,SUMIFS(Disbursements!$W:$W,Disbursements!$B:$B,'Live Collections'!D134,Disbursements!$D:$D,'Live Collections'!F134)),O165,IF($O165=0,0,SUMIFS(Disbursements!$W:$W,Disbursements!$B:$B,'Live Collections'!D134,Disbursements!$D:$D,'Live Collections'!F134)))</f>
        <v>0</v>
      </c>
      <c r="T165" s="304">
        <f t="shared" si="9"/>
        <v>0</v>
      </c>
      <c r="U165" s="52"/>
      <c r="V165" s="34"/>
      <c r="W165" s="408"/>
    </row>
    <row r="166" spans="1:23" ht="12.75" customHeight="1" x14ac:dyDescent="0.2">
      <c r="A166" s="132">
        <v>165</v>
      </c>
      <c r="B166" s="44">
        <v>44368</v>
      </c>
      <c r="C166" s="44">
        <f t="shared" si="7"/>
        <v>44368</v>
      </c>
      <c r="D166" s="374">
        <v>15</v>
      </c>
      <c r="E166" s="291" t="str">
        <f>IFERROR(VLOOKUP($D166,'Clients-Live'!$A:$C,3,0),"")</f>
        <v>NATOSHA LUCY</v>
      </c>
      <c r="F166" s="291">
        <f>IFERROR(INDEX(Disbursements!$D:$D,MATCH('Live Collections'!G166,Disbursements!$C:$C,0)),"")</f>
        <v>1</v>
      </c>
      <c r="G166" s="34">
        <v>8</v>
      </c>
      <c r="H166" s="34"/>
      <c r="I166" s="34" t="s">
        <v>1358</v>
      </c>
      <c r="J166" s="48"/>
      <c r="K166" s="48"/>
      <c r="L166" s="48"/>
      <c r="M166" s="48"/>
      <c r="N166" s="59"/>
      <c r="O166" s="59">
        <v>440000</v>
      </c>
      <c r="P166" s="59"/>
      <c r="Q166" s="268">
        <f t="shared" si="8"/>
        <v>440000</v>
      </c>
      <c r="R166" s="61">
        <f>IF(O166=0,0,SUMIFS(Disbursements!$T:$T,Disbursements!$B:$B,'Live Collections'!D166,Disbursements!$D:$D,'Live Collections'!F166))</f>
        <v>434000</v>
      </c>
      <c r="S166" s="304">
        <f>IF(O166&lt;=IF($O166=0,0,SUMIFS(Disbursements!$W:$W,Disbursements!$B:$B,'Live Collections'!D155,Disbursements!$D:$D,'Live Collections'!F155)),O166,IF($O166=0,0,SUMIFS(Disbursements!$W:$W,Disbursements!$B:$B,'Live Collections'!D155,Disbursements!$D:$D,'Live Collections'!F155)))</f>
        <v>0</v>
      </c>
      <c r="T166" s="304">
        <f t="shared" si="9"/>
        <v>440000</v>
      </c>
      <c r="U166" s="52"/>
      <c r="V166" s="34"/>
      <c r="W166" s="408"/>
    </row>
    <row r="167" spans="1:23" ht="12.75" customHeight="1" x14ac:dyDescent="0.2">
      <c r="A167" s="257">
        <v>163</v>
      </c>
      <c r="B167" s="44">
        <v>44368</v>
      </c>
      <c r="C167" s="44">
        <f t="shared" si="7"/>
        <v>44368</v>
      </c>
      <c r="D167" s="374">
        <v>84</v>
      </c>
      <c r="E167" s="291" t="str">
        <f>IFERROR(VLOOKUP($D167,'Clients-Live'!$A:$C,3,0),"")</f>
        <v>OMEGA  CHARLES</v>
      </c>
      <c r="F167" s="291">
        <f>IFERROR(INDEX(Disbursements!$D:$D,MATCH('Live Collections'!G167,Disbursements!$C:$C,0)),"")</f>
        <v>1</v>
      </c>
      <c r="G167" s="34">
        <v>66</v>
      </c>
      <c r="H167" s="34"/>
      <c r="I167" s="34" t="s">
        <v>862</v>
      </c>
      <c r="J167" s="48"/>
      <c r="K167" s="48"/>
      <c r="L167" s="48">
        <v>10000</v>
      </c>
      <c r="M167" s="48">
        <v>5000</v>
      </c>
      <c r="N167" s="59"/>
      <c r="O167" s="59"/>
      <c r="P167" s="59">
        <v>200000</v>
      </c>
      <c r="Q167" s="268">
        <f t="shared" si="8"/>
        <v>215000</v>
      </c>
      <c r="R167" s="61">
        <f>IF(O167=0,0,SUMIFS(Disbursements!$T:$T,Disbursements!$B:$B,'Live Collections'!D167,Disbursements!$D:$D,'Live Collections'!F167))</f>
        <v>0</v>
      </c>
      <c r="S167" s="304">
        <f>IF(O167&lt;=IF($O167=0,0,SUMIFS(Disbursements!$W:$W,Disbursements!$B:$B,'Live Collections'!D1073,Disbursements!$D:$D,'Live Collections'!F1073)),O167,IF($O167=0,0,SUMIFS(Disbursements!$W:$W,Disbursements!$B:$B,'Live Collections'!D1073,Disbursements!$D:$D,'Live Collections'!F1073)))</f>
        <v>0</v>
      </c>
      <c r="T167" s="304">
        <f t="shared" si="9"/>
        <v>0</v>
      </c>
      <c r="U167" s="52"/>
      <c r="V167" s="34"/>
      <c r="W167" s="408"/>
    </row>
    <row r="168" spans="1:23" ht="12.75" customHeight="1" x14ac:dyDescent="0.2">
      <c r="A168" s="132">
        <v>158</v>
      </c>
      <c r="B168" s="44">
        <v>44368</v>
      </c>
      <c r="C168" s="44">
        <f t="shared" si="7"/>
        <v>44368</v>
      </c>
      <c r="D168" s="374">
        <v>85</v>
      </c>
      <c r="E168" s="291" t="str">
        <f>IFERROR(VLOOKUP($D168,'Clients-Live'!$A:$C,3,0),"")</f>
        <v>CEASER SWALEH</v>
      </c>
      <c r="F168" s="291" t="str">
        <f>IFERROR(INDEX(Disbursements!$D:$D,MATCH('Live Collections'!G168,Disbursements!$C:$C,0)),"")</f>
        <v/>
      </c>
      <c r="G168" s="34"/>
      <c r="H168" s="34"/>
      <c r="I168" s="34" t="s">
        <v>1814</v>
      </c>
      <c r="J168" s="48">
        <v>15000</v>
      </c>
      <c r="K168" s="48">
        <v>5000</v>
      </c>
      <c r="L168" s="48"/>
      <c r="M168" s="48"/>
      <c r="N168" s="59"/>
      <c r="O168" s="59"/>
      <c r="P168" s="59"/>
      <c r="Q168" s="268">
        <f t="shared" si="8"/>
        <v>20000</v>
      </c>
      <c r="R168" s="61">
        <f>IF(O168=0,0,SUMIFS(Disbursements!$T:$T,Disbursements!$B:$B,'Live Collections'!D168,Disbursements!$D:$D,'Live Collections'!F168))</f>
        <v>0</v>
      </c>
      <c r="S168" s="304">
        <f>IF(O168&lt;=IF($O168=0,0,SUMIFS(Disbursements!$W:$W,Disbursements!$B:$B,'Live Collections'!D1080,Disbursements!$D:$D,'Live Collections'!F1080)),O168,IF($O168=0,0,SUMIFS(Disbursements!$W:$W,Disbursements!$B:$B,'Live Collections'!D1080,Disbursements!$D:$D,'Live Collections'!F1080)))</f>
        <v>0</v>
      </c>
      <c r="T168" s="304">
        <f t="shared" si="9"/>
        <v>0</v>
      </c>
      <c r="U168" s="52">
        <v>775586706</v>
      </c>
      <c r="V168" s="34"/>
      <c r="W168" s="408"/>
    </row>
    <row r="169" spans="1:23" ht="12.75" customHeight="1" x14ac:dyDescent="0.2">
      <c r="A169" s="257">
        <v>164</v>
      </c>
      <c r="B169" s="44">
        <v>44368</v>
      </c>
      <c r="C169" s="44">
        <f t="shared" si="7"/>
        <v>44368</v>
      </c>
      <c r="D169" s="374">
        <v>85</v>
      </c>
      <c r="E169" s="291" t="str">
        <f>IFERROR(VLOOKUP($D169,'Clients-Live'!$A:$C,3,0),"")</f>
        <v>CEASER SWALEH</v>
      </c>
      <c r="F169" s="291">
        <f>IFERROR(INDEX(Disbursements!$D:$D,MATCH('Live Collections'!G169,Disbursements!$C:$C,0)),"")</f>
        <v>2</v>
      </c>
      <c r="G169" s="34">
        <v>119</v>
      </c>
      <c r="H169" s="34"/>
      <c r="I169" s="34" t="s">
        <v>864</v>
      </c>
      <c r="J169" s="48"/>
      <c r="K169" s="48"/>
      <c r="L169" s="48">
        <v>10000</v>
      </c>
      <c r="M169" s="48">
        <v>5000</v>
      </c>
      <c r="N169" s="59"/>
      <c r="O169" s="59"/>
      <c r="P169" s="59">
        <v>100000</v>
      </c>
      <c r="Q169" s="268">
        <f t="shared" si="8"/>
        <v>115000</v>
      </c>
      <c r="R169" s="61">
        <f>IF(O169=0,0,SUMIFS(Disbursements!$T:$T,Disbursements!$B:$B,'Live Collections'!D169,Disbursements!$D:$D,'Live Collections'!F169))</f>
        <v>0</v>
      </c>
      <c r="S169" s="304">
        <f>IF(O169&lt;=IF($O169=0,0,SUMIFS(Disbursements!$W:$W,Disbursements!$B:$B,'Live Collections'!D1081,Disbursements!$D:$D,'Live Collections'!F1081)),O169,IF($O169=0,0,SUMIFS(Disbursements!$W:$W,Disbursements!$B:$B,'Live Collections'!D1081,Disbursements!$D:$D,'Live Collections'!F1081)))</f>
        <v>0</v>
      </c>
      <c r="T169" s="304">
        <f t="shared" si="9"/>
        <v>0</v>
      </c>
      <c r="U169" s="52"/>
      <c r="V169" s="34"/>
      <c r="W169" s="408"/>
    </row>
    <row r="170" spans="1:23" ht="12.75" customHeight="1" x14ac:dyDescent="0.2">
      <c r="A170" s="132">
        <v>159</v>
      </c>
      <c r="B170" s="44">
        <v>44368</v>
      </c>
      <c r="C170" s="44">
        <f t="shared" si="7"/>
        <v>44368</v>
      </c>
      <c r="D170" s="374">
        <v>86</v>
      </c>
      <c r="E170" s="291" t="str">
        <f>IFERROR(VLOOKUP($D170,'Clients-Live'!$A:$C,3,0),"")</f>
        <v>AMANIYO JOYCE</v>
      </c>
      <c r="F170" s="291" t="str">
        <f>IFERROR(INDEX(Disbursements!$D:$D,MATCH('Live Collections'!G170,Disbursements!$C:$C,0)),"")</f>
        <v/>
      </c>
      <c r="G170" s="34"/>
      <c r="H170" s="34"/>
      <c r="I170" s="34" t="s">
        <v>1814</v>
      </c>
      <c r="J170" s="48">
        <v>15000</v>
      </c>
      <c r="K170" s="48">
        <v>5000</v>
      </c>
      <c r="L170" s="48"/>
      <c r="M170" s="48"/>
      <c r="N170" s="59"/>
      <c r="O170" s="59"/>
      <c r="P170" s="59"/>
      <c r="Q170" s="268">
        <f t="shared" si="8"/>
        <v>20000</v>
      </c>
      <c r="R170" s="61">
        <f>IF(O170=0,0,SUMIFS(Disbursements!$T:$T,Disbursements!$B:$B,'Live Collections'!D170,Disbursements!$D:$D,'Live Collections'!F170))</f>
        <v>0</v>
      </c>
      <c r="S170" s="304">
        <f>IF(O170&lt;=IF($O170=0,0,SUMIFS(Disbursements!$W:$W,Disbursements!$B:$B,'Live Collections'!D1106,Disbursements!$D:$D,'Live Collections'!F1106)),O170,IF($O170=0,0,SUMIFS(Disbursements!$W:$W,Disbursements!$B:$B,'Live Collections'!D1106,Disbursements!$D:$D,'Live Collections'!F1106)))</f>
        <v>0</v>
      </c>
      <c r="T170" s="304">
        <f t="shared" si="9"/>
        <v>0</v>
      </c>
      <c r="U170" s="52">
        <v>777570311</v>
      </c>
      <c r="V170" s="34"/>
      <c r="W170" s="408"/>
    </row>
    <row r="171" spans="1:23" ht="12.75" customHeight="1" x14ac:dyDescent="0.2">
      <c r="A171" s="257">
        <v>160</v>
      </c>
      <c r="B171" s="44">
        <v>44368</v>
      </c>
      <c r="C171" s="44">
        <f t="shared" si="7"/>
        <v>44368</v>
      </c>
      <c r="D171" s="374">
        <v>87</v>
      </c>
      <c r="E171" s="291" t="str">
        <f>IFERROR(VLOOKUP($D171,'Clients-Live'!$A:$C,3,0),"")</f>
        <v>FAIDA ZUBEDA</v>
      </c>
      <c r="F171" s="291" t="str">
        <f>IFERROR(INDEX(Disbursements!$D:$D,MATCH('Live Collections'!G171,Disbursements!$C:$C,0)),"")</f>
        <v/>
      </c>
      <c r="G171" s="34"/>
      <c r="H171" s="34"/>
      <c r="I171" s="34" t="s">
        <v>1814</v>
      </c>
      <c r="J171" s="48">
        <v>15000</v>
      </c>
      <c r="K171" s="48">
        <v>5000</v>
      </c>
      <c r="L171" s="48"/>
      <c r="M171" s="48"/>
      <c r="N171" s="59"/>
      <c r="O171" s="59"/>
      <c r="P171" s="59"/>
      <c r="Q171" s="268">
        <f t="shared" si="8"/>
        <v>20000</v>
      </c>
      <c r="R171" s="61">
        <f>IF(O171=0,0,SUMIFS(Disbursements!$T:$T,Disbursements!$B:$B,'Live Collections'!D171,Disbursements!$D:$D,'Live Collections'!F171))</f>
        <v>0</v>
      </c>
      <c r="S171" s="304">
        <f>IF(O171&lt;=IF($O171=0,0,SUMIFS(Disbursements!$W:$W,Disbursements!$B:$B,'Live Collections'!D1123,Disbursements!$D:$D,'Live Collections'!F1123)),O171,IF($O171=0,0,SUMIFS(Disbursements!$W:$W,Disbursements!$B:$B,'Live Collections'!D1123,Disbursements!$D:$D,'Live Collections'!F1123)))</f>
        <v>0</v>
      </c>
      <c r="T171" s="304">
        <f t="shared" si="9"/>
        <v>0</v>
      </c>
      <c r="U171" s="52">
        <v>775636307</v>
      </c>
      <c r="V171" s="34"/>
      <c r="W171" s="408"/>
    </row>
    <row r="172" spans="1:23" ht="12.75" customHeight="1" x14ac:dyDescent="0.2">
      <c r="A172" s="132">
        <v>161</v>
      </c>
      <c r="B172" s="44">
        <v>44368</v>
      </c>
      <c r="C172" s="44">
        <f t="shared" si="7"/>
        <v>44368</v>
      </c>
      <c r="D172" s="374">
        <v>88</v>
      </c>
      <c r="E172" s="291" t="str">
        <f>IFERROR(VLOOKUP($D172,'Clients-Live'!$A:$C,3,0),"")</f>
        <v>FAIDA HARRIET</v>
      </c>
      <c r="F172" s="291" t="str">
        <f>IFERROR(INDEX(Disbursements!$D:$D,MATCH('Live Collections'!G172,Disbursements!$C:$C,0)),"")</f>
        <v/>
      </c>
      <c r="G172" s="34"/>
      <c r="H172" s="34"/>
      <c r="I172" s="34" t="s">
        <v>1814</v>
      </c>
      <c r="J172" s="48">
        <v>15000</v>
      </c>
      <c r="K172" s="48">
        <v>5000</v>
      </c>
      <c r="L172" s="48"/>
      <c r="M172" s="48"/>
      <c r="N172" s="59"/>
      <c r="O172" s="59"/>
      <c r="P172" s="59"/>
      <c r="Q172" s="268">
        <f t="shared" si="8"/>
        <v>20000</v>
      </c>
      <c r="R172" s="61">
        <f>IF(O172=0,0,SUMIFS(Disbursements!$T:$T,Disbursements!$B:$B,'Live Collections'!D172,Disbursements!$D:$D,'Live Collections'!F172))</f>
        <v>0</v>
      </c>
      <c r="S172" s="304">
        <f>IF(O172&lt;=IF($O172=0,0,SUMIFS(Disbursements!$W:$W,Disbursements!$B:$B,'Live Collections'!D1134,Disbursements!$D:$D,'Live Collections'!F1134)),O172,IF($O172=0,0,SUMIFS(Disbursements!$W:$W,Disbursements!$B:$B,'Live Collections'!D1134,Disbursements!$D:$D,'Live Collections'!F1134)))</f>
        <v>0</v>
      </c>
      <c r="T172" s="304">
        <f t="shared" si="9"/>
        <v>0</v>
      </c>
      <c r="U172" s="52">
        <v>785380303</v>
      </c>
      <c r="V172" s="34"/>
      <c r="W172" s="408"/>
    </row>
    <row r="173" spans="1:23" ht="12.75" customHeight="1" x14ac:dyDescent="0.2">
      <c r="A173" s="257">
        <v>172</v>
      </c>
      <c r="B173" s="44">
        <v>44369</v>
      </c>
      <c r="C173" s="44">
        <f t="shared" si="7"/>
        <v>44369</v>
      </c>
      <c r="D173" s="374">
        <v>14</v>
      </c>
      <c r="E173" s="291" t="str">
        <f>IFERROR(VLOOKUP($D173,'Clients-Live'!$A:$C,3,0),"")</f>
        <v>ASIKU ROMANO ADEBUA</v>
      </c>
      <c r="F173" s="291">
        <f>IFERROR(INDEX(Disbursements!$D:$D,MATCH('Live Collections'!G173,Disbursements!$C:$C,0)),"")</f>
        <v>1</v>
      </c>
      <c r="G173" s="34">
        <v>5</v>
      </c>
      <c r="H173" s="34"/>
      <c r="I173" s="34" t="s">
        <v>1357</v>
      </c>
      <c r="J173" s="48"/>
      <c r="K173" s="48"/>
      <c r="L173" s="48"/>
      <c r="M173" s="48"/>
      <c r="N173" s="59"/>
      <c r="O173" s="59">
        <v>100000</v>
      </c>
      <c r="P173" s="59"/>
      <c r="Q173" s="268">
        <f t="shared" si="8"/>
        <v>100000</v>
      </c>
      <c r="R173" s="61">
        <f>IF(O173=0,0,SUMIFS(Disbursements!$T:$T,Disbursements!$B:$B,'Live Collections'!D173,Disbursements!$D:$D,'Live Collections'!F173))</f>
        <v>217000</v>
      </c>
      <c r="S173" s="304">
        <f>IF(O173&lt;=IF($O173=0,0,SUMIFS(Disbursements!$W:$W,Disbursements!$B:$B,'Live Collections'!D147,Disbursements!$D:$D,'Live Collections'!F147)),O173,IF($O173=0,0,SUMIFS(Disbursements!$W:$W,Disbursements!$B:$B,'Live Collections'!D147,Disbursements!$D:$D,'Live Collections'!F147)))</f>
        <v>20666.666666666657</v>
      </c>
      <c r="T173" s="304">
        <f t="shared" si="9"/>
        <v>79333.333333333343</v>
      </c>
      <c r="U173" s="52"/>
      <c r="V173" s="34"/>
      <c r="W173" s="408"/>
    </row>
    <row r="174" spans="1:23" ht="12.75" customHeight="1" x14ac:dyDescent="0.2">
      <c r="A174" s="132">
        <v>170</v>
      </c>
      <c r="B174" s="44">
        <v>44369</v>
      </c>
      <c r="C174" s="44">
        <f t="shared" si="7"/>
        <v>44369</v>
      </c>
      <c r="D174" s="374">
        <v>87</v>
      </c>
      <c r="E174" s="291" t="str">
        <f>IFERROR(VLOOKUP($D174,'Clients-Live'!$A:$C,3,0),"")</f>
        <v>FAIDA ZUBEDA</v>
      </c>
      <c r="F174" s="291">
        <f>IFERROR(INDEX(Disbursements!$D:$D,MATCH('Live Collections'!G174,Disbursements!$C:$C,0)),"")</f>
        <v>1</v>
      </c>
      <c r="G174" s="34">
        <v>70</v>
      </c>
      <c r="H174" s="34"/>
      <c r="I174" s="34" t="s">
        <v>863</v>
      </c>
      <c r="J174" s="48"/>
      <c r="K174" s="48"/>
      <c r="L174" s="48">
        <v>10000</v>
      </c>
      <c r="M174" s="48">
        <v>5000</v>
      </c>
      <c r="N174" s="59"/>
      <c r="O174" s="59"/>
      <c r="P174" s="59">
        <v>70000</v>
      </c>
      <c r="Q174" s="268">
        <f t="shared" si="8"/>
        <v>85000</v>
      </c>
      <c r="R174" s="61">
        <f>IF(O174=0,0,SUMIFS(Disbursements!$T:$T,Disbursements!$B:$B,'Live Collections'!D174,Disbursements!$D:$D,'Live Collections'!F174))</f>
        <v>0</v>
      </c>
      <c r="S174" s="304">
        <f>IF(O174&lt;=IF($O174=0,0,SUMIFS(Disbursements!$W:$W,Disbursements!$B:$B,'Live Collections'!D1124,Disbursements!$D:$D,'Live Collections'!F1124)),O174,IF($O174=0,0,SUMIFS(Disbursements!$W:$W,Disbursements!$B:$B,'Live Collections'!D1124,Disbursements!$D:$D,'Live Collections'!F1124)))</f>
        <v>0</v>
      </c>
      <c r="T174" s="304">
        <f t="shared" si="9"/>
        <v>0</v>
      </c>
      <c r="U174" s="52"/>
      <c r="V174" s="34"/>
      <c r="W174" s="408"/>
    </row>
    <row r="175" spans="1:23" ht="12.75" customHeight="1" x14ac:dyDescent="0.2">
      <c r="A175" s="257">
        <v>171</v>
      </c>
      <c r="B175" s="44">
        <v>44369</v>
      </c>
      <c r="C175" s="44">
        <f t="shared" si="7"/>
        <v>44369</v>
      </c>
      <c r="D175" s="374">
        <v>88</v>
      </c>
      <c r="E175" s="291" t="str">
        <f>IFERROR(VLOOKUP($D175,'Clients-Live'!$A:$C,3,0),"")</f>
        <v>FAIDA HARRIET</v>
      </c>
      <c r="F175" s="291">
        <f>IFERROR(INDEX(Disbursements!$D:$D,MATCH('Live Collections'!G175,Disbursements!$C:$C,0)),"")</f>
        <v>1</v>
      </c>
      <c r="G175" s="34">
        <v>69</v>
      </c>
      <c r="H175" s="34"/>
      <c r="I175" s="34" t="s">
        <v>864</v>
      </c>
      <c r="J175" s="48"/>
      <c r="K175" s="48"/>
      <c r="L175" s="48">
        <v>10000</v>
      </c>
      <c r="M175" s="48">
        <v>5000</v>
      </c>
      <c r="N175" s="59"/>
      <c r="O175" s="59"/>
      <c r="P175" s="59">
        <v>20000</v>
      </c>
      <c r="Q175" s="268">
        <f t="shared" si="8"/>
        <v>35000</v>
      </c>
      <c r="R175" s="61">
        <f>IF(O175=0,0,SUMIFS(Disbursements!$T:$T,Disbursements!$B:$B,'Live Collections'!D175,Disbursements!$D:$D,'Live Collections'!F175))</f>
        <v>0</v>
      </c>
      <c r="S175" s="304">
        <f>IF(O175&lt;=IF($O175=0,0,SUMIFS(Disbursements!$W:$W,Disbursements!$B:$B,'Live Collections'!D1135,Disbursements!$D:$D,'Live Collections'!F1135)),O175,IF($O175=0,0,SUMIFS(Disbursements!$W:$W,Disbursements!$B:$B,'Live Collections'!D1135,Disbursements!$D:$D,'Live Collections'!F1135)))</f>
        <v>0</v>
      </c>
      <c r="T175" s="304">
        <f t="shared" si="9"/>
        <v>0</v>
      </c>
      <c r="U175" s="52"/>
      <c r="V175" s="34"/>
      <c r="W175" s="408"/>
    </row>
    <row r="176" spans="1:23" ht="12.75" customHeight="1" x14ac:dyDescent="0.2">
      <c r="A176" s="132">
        <v>166</v>
      </c>
      <c r="B176" s="44">
        <v>44369</v>
      </c>
      <c r="C176" s="44">
        <f t="shared" si="7"/>
        <v>44369</v>
      </c>
      <c r="D176" s="374">
        <v>89</v>
      </c>
      <c r="E176" s="291" t="str">
        <f>IFERROR(VLOOKUP($D176,'Clients-Live'!$A:$C,3,0),"")</f>
        <v>ANDA FLORENCE</v>
      </c>
      <c r="F176" s="291" t="str">
        <f>IFERROR(INDEX(Disbursements!$D:$D,MATCH('Live Collections'!G176,Disbursements!$C:$C,0)),"")</f>
        <v/>
      </c>
      <c r="G176" s="34"/>
      <c r="H176" s="34"/>
      <c r="I176" s="34" t="s">
        <v>1814</v>
      </c>
      <c r="J176" s="48">
        <v>15000</v>
      </c>
      <c r="K176" s="48">
        <v>5000</v>
      </c>
      <c r="L176" s="48"/>
      <c r="M176" s="48"/>
      <c r="N176" s="59"/>
      <c r="O176" s="59"/>
      <c r="P176" s="59"/>
      <c r="Q176" s="268">
        <f t="shared" si="8"/>
        <v>20000</v>
      </c>
      <c r="R176" s="61">
        <f>IF(O176=0,0,SUMIFS(Disbursements!$T:$T,Disbursements!$B:$B,'Live Collections'!D176,Disbursements!$D:$D,'Live Collections'!F176))</f>
        <v>0</v>
      </c>
      <c r="S176" s="304">
        <f>IF(O176&lt;=IF($O176=0,0,SUMIFS(Disbursements!$W:$W,Disbursements!$B:$B,'Live Collections'!D1154,Disbursements!$D:$D,'Live Collections'!F1154)),O176,IF($O176=0,0,SUMIFS(Disbursements!$W:$W,Disbursements!$B:$B,'Live Collections'!D1154,Disbursements!$D:$D,'Live Collections'!F1154)))</f>
        <v>0</v>
      </c>
      <c r="T176" s="304">
        <f t="shared" si="9"/>
        <v>0</v>
      </c>
      <c r="U176" s="52">
        <v>785966794</v>
      </c>
      <c r="V176" s="34"/>
      <c r="W176" s="408"/>
    </row>
    <row r="177" spans="1:23" ht="12.75" customHeight="1" x14ac:dyDescent="0.2">
      <c r="A177" s="257">
        <v>167</v>
      </c>
      <c r="B177" s="44">
        <v>44369</v>
      </c>
      <c r="C177" s="44">
        <f t="shared" si="7"/>
        <v>44369</v>
      </c>
      <c r="D177" s="374">
        <v>90</v>
      </c>
      <c r="E177" s="291" t="str">
        <f>IFERROR(VLOOKUP($D177,'Clients-Live'!$A:$C,3,0),"")</f>
        <v>ZABIBU RAJAB SAIDI</v>
      </c>
      <c r="F177" s="291" t="str">
        <f>IFERROR(INDEX(Disbursements!$D:$D,MATCH('Live Collections'!G177,Disbursements!$C:$C,0)),"")</f>
        <v/>
      </c>
      <c r="G177" s="34"/>
      <c r="H177" s="34"/>
      <c r="I177" s="34" t="s">
        <v>1814</v>
      </c>
      <c r="J177" s="48">
        <v>15000</v>
      </c>
      <c r="K177" s="48">
        <v>5000</v>
      </c>
      <c r="L177" s="48"/>
      <c r="M177" s="48"/>
      <c r="N177" s="59"/>
      <c r="O177" s="59"/>
      <c r="P177" s="59"/>
      <c r="Q177" s="268">
        <f t="shared" si="8"/>
        <v>20000</v>
      </c>
      <c r="R177" s="61">
        <f>IF(O177=0,0,SUMIFS(Disbursements!$T:$T,Disbursements!$B:$B,'Live Collections'!D177,Disbursements!$D:$D,'Live Collections'!F177))</f>
        <v>0</v>
      </c>
      <c r="S177" s="304">
        <f>IF(O177&lt;=IF($O177=0,0,SUMIFS(Disbursements!$W:$W,Disbursements!$B:$B,'Live Collections'!D1169,Disbursements!$D:$D,'Live Collections'!F1169)),O177,IF($O177=0,0,SUMIFS(Disbursements!$W:$W,Disbursements!$B:$B,'Live Collections'!D1169,Disbursements!$D:$D,'Live Collections'!F1169)))</f>
        <v>0</v>
      </c>
      <c r="T177" s="304">
        <f t="shared" si="9"/>
        <v>0</v>
      </c>
      <c r="U177" s="52">
        <v>779629338</v>
      </c>
      <c r="V177" s="34"/>
      <c r="W177" s="408"/>
    </row>
    <row r="178" spans="1:23" ht="12.75" customHeight="1" x14ac:dyDescent="0.2">
      <c r="A178" s="132">
        <v>168</v>
      </c>
      <c r="B178" s="44">
        <v>44369</v>
      </c>
      <c r="C178" s="44">
        <f t="shared" si="7"/>
        <v>44369</v>
      </c>
      <c r="D178" s="374">
        <v>91</v>
      </c>
      <c r="E178" s="291" t="str">
        <f>IFERROR(VLOOKUP($D178,'Clients-Live'!$A:$C,3,0),"")</f>
        <v>CHANDIRU SALILA</v>
      </c>
      <c r="F178" s="291" t="str">
        <f>IFERROR(INDEX(Disbursements!$D:$D,MATCH('Live Collections'!G178,Disbursements!$C:$C,0)),"")</f>
        <v/>
      </c>
      <c r="G178" s="34"/>
      <c r="H178" s="34"/>
      <c r="I178" s="34" t="s">
        <v>1814</v>
      </c>
      <c r="J178" s="48">
        <v>15000</v>
      </c>
      <c r="K178" s="48">
        <v>5000</v>
      </c>
      <c r="L178" s="48"/>
      <c r="M178" s="48"/>
      <c r="N178" s="59"/>
      <c r="O178" s="59"/>
      <c r="P178" s="59"/>
      <c r="Q178" s="268">
        <f t="shared" si="8"/>
        <v>20000</v>
      </c>
      <c r="R178" s="61">
        <f>IF(O178=0,0,SUMIFS(Disbursements!$T:$T,Disbursements!$B:$B,'Live Collections'!D178,Disbursements!$D:$D,'Live Collections'!F178))</f>
        <v>0</v>
      </c>
      <c r="S178" s="304">
        <f>IF(O178&lt;=IF($O178=0,0,SUMIFS(Disbursements!$W:$W,Disbursements!$B:$B,'Live Collections'!D1180,Disbursements!$D:$D,'Live Collections'!F1180)),O178,IF($O178=0,0,SUMIFS(Disbursements!$W:$W,Disbursements!$B:$B,'Live Collections'!D1180,Disbursements!$D:$D,'Live Collections'!F1180)))</f>
        <v>0</v>
      </c>
      <c r="T178" s="304">
        <f t="shared" si="9"/>
        <v>0</v>
      </c>
      <c r="U178" s="52">
        <v>785785679</v>
      </c>
      <c r="V178" s="34"/>
      <c r="W178" s="408"/>
    </row>
    <row r="179" spans="1:23" ht="12.75" customHeight="1" x14ac:dyDescent="0.2">
      <c r="A179" s="257">
        <v>169</v>
      </c>
      <c r="B179" s="44">
        <v>44369</v>
      </c>
      <c r="C179" s="44">
        <f t="shared" si="7"/>
        <v>44369</v>
      </c>
      <c r="D179" s="374">
        <v>92</v>
      </c>
      <c r="E179" s="291" t="str">
        <f>IFERROR(VLOOKUP($D179,'Clients-Live'!$A:$C,3,0),"")</f>
        <v>FAIDA ZAKIYA</v>
      </c>
      <c r="F179" s="291" t="str">
        <f>IFERROR(INDEX(Disbursements!$D:$D,MATCH('Live Collections'!G179,Disbursements!$C:$C,0)),"")</f>
        <v/>
      </c>
      <c r="G179" s="34"/>
      <c r="H179" s="34"/>
      <c r="I179" s="34" t="s">
        <v>1814</v>
      </c>
      <c r="J179" s="48">
        <v>15000</v>
      </c>
      <c r="K179" s="48">
        <v>5000</v>
      </c>
      <c r="L179" s="48"/>
      <c r="M179" s="48"/>
      <c r="N179" s="59"/>
      <c r="O179" s="59"/>
      <c r="P179" s="59"/>
      <c r="Q179" s="268">
        <f t="shared" si="8"/>
        <v>20000</v>
      </c>
      <c r="R179" s="61">
        <f>IF(O179=0,0,SUMIFS(Disbursements!$T:$T,Disbursements!$B:$B,'Live Collections'!D179,Disbursements!$D:$D,'Live Collections'!F179))</f>
        <v>0</v>
      </c>
      <c r="S179" s="304">
        <f>IF(O179&lt;=IF($O179=0,0,SUMIFS(Disbursements!$W:$W,Disbursements!$B:$B,'Live Collections'!D1193,Disbursements!$D:$D,'Live Collections'!F1193)),O179,IF($O179=0,0,SUMIFS(Disbursements!$W:$W,Disbursements!$B:$B,'Live Collections'!D1193,Disbursements!$D:$D,'Live Collections'!F1193)))</f>
        <v>0</v>
      </c>
      <c r="T179" s="304">
        <f t="shared" si="9"/>
        <v>0</v>
      </c>
      <c r="U179" s="52">
        <v>779163014</v>
      </c>
      <c r="V179" s="34"/>
      <c r="W179" s="408"/>
    </row>
    <row r="180" spans="1:23" ht="12.75" customHeight="1" x14ac:dyDescent="0.2">
      <c r="A180" s="132">
        <v>178</v>
      </c>
      <c r="B180" s="44">
        <v>44370</v>
      </c>
      <c r="C180" s="44">
        <f t="shared" si="7"/>
        <v>44370</v>
      </c>
      <c r="D180" s="374">
        <v>33</v>
      </c>
      <c r="E180" s="291" t="str">
        <f>IFERROR(VLOOKUP($D180,'Clients-Live'!$A:$C,3,0),"")</f>
        <v>MUZEE OMAR</v>
      </c>
      <c r="F180" s="291">
        <f>IFERROR(INDEX(Disbursements!$D:$D,MATCH('Live Collections'!G180,Disbursements!$C:$C,0)),"")</f>
        <v>1</v>
      </c>
      <c r="G180" s="34">
        <v>26</v>
      </c>
      <c r="H180" s="34">
        <v>356</v>
      </c>
      <c r="I180" s="34" t="s">
        <v>1357</v>
      </c>
      <c r="J180" s="48"/>
      <c r="K180" s="48"/>
      <c r="L180" s="48"/>
      <c r="M180" s="48"/>
      <c r="N180" s="59"/>
      <c r="O180" s="59">
        <v>40000</v>
      </c>
      <c r="P180" s="59"/>
      <c r="Q180" s="268">
        <f t="shared" si="8"/>
        <v>40000</v>
      </c>
      <c r="R180" s="61">
        <f>IF(O180=0,0,SUMIFS(Disbursements!$T:$T,Disbursements!$B:$B,'Live Collections'!D180,Disbursements!$D:$D,'Live Collections'!F180))</f>
        <v>109000</v>
      </c>
      <c r="S180" s="304">
        <f>IF(O180&lt;=IF($O180=0,0,SUMIFS(Disbursements!$W:$W,Disbursements!$B:$B,'Live Collections'!D378,Disbursements!$D:$D,'Live Collections'!F378)),O180,IF($O180=0,0,SUMIFS(Disbursements!$W:$W,Disbursements!$B:$B,'Live Collections'!D378,Disbursements!$D:$D,'Live Collections'!F378)))</f>
        <v>35000</v>
      </c>
      <c r="T180" s="304">
        <f t="shared" si="9"/>
        <v>5000</v>
      </c>
      <c r="U180" s="52"/>
      <c r="V180" s="34"/>
      <c r="W180" s="408"/>
    </row>
    <row r="181" spans="1:23" ht="12.75" customHeight="1" x14ac:dyDescent="0.2">
      <c r="A181" s="257">
        <v>176</v>
      </c>
      <c r="B181" s="44">
        <v>44370</v>
      </c>
      <c r="C181" s="44">
        <f t="shared" si="7"/>
        <v>44370</v>
      </c>
      <c r="D181" s="374">
        <v>82</v>
      </c>
      <c r="E181" s="291" t="str">
        <f>IFERROR(VLOOKUP($D181,'Clients-Live'!$A:$C,3,0),"")</f>
        <v>ADUNA MANENO</v>
      </c>
      <c r="F181" s="291">
        <f>IFERROR(INDEX(Disbursements!$D:$D,MATCH('Live Collections'!G181,Disbursements!$C:$C,0)),"")</f>
        <v>1</v>
      </c>
      <c r="G181" s="34">
        <v>71</v>
      </c>
      <c r="H181" s="34"/>
      <c r="I181" s="34" t="s">
        <v>864</v>
      </c>
      <c r="J181" s="48"/>
      <c r="K181" s="48"/>
      <c r="L181" s="48">
        <v>10000</v>
      </c>
      <c r="M181" s="48">
        <v>5000</v>
      </c>
      <c r="N181" s="59"/>
      <c r="O181" s="59"/>
      <c r="P181" s="59">
        <v>30000</v>
      </c>
      <c r="Q181" s="268">
        <f t="shared" si="8"/>
        <v>45000</v>
      </c>
      <c r="R181" s="61">
        <f>IF(O181=0,0,SUMIFS(Disbursements!$T:$T,Disbursements!$B:$B,'Live Collections'!D181,Disbursements!$D:$D,'Live Collections'!F181))</f>
        <v>0</v>
      </c>
      <c r="S181" s="304">
        <f>IF(O181&lt;=IF($O181=0,0,SUMIFS(Disbursements!$W:$W,Disbursements!$B:$B,'Live Collections'!D1053,Disbursements!$D:$D,'Live Collections'!F1053)),O181,IF($O181=0,0,SUMIFS(Disbursements!$W:$W,Disbursements!$B:$B,'Live Collections'!D1053,Disbursements!$D:$D,'Live Collections'!F1053)))</f>
        <v>0</v>
      </c>
      <c r="T181" s="304">
        <f t="shared" si="9"/>
        <v>0</v>
      </c>
      <c r="U181" s="52"/>
      <c r="V181" s="34"/>
      <c r="W181" s="408"/>
    </row>
    <row r="182" spans="1:23" ht="12.75" customHeight="1" x14ac:dyDescent="0.2">
      <c r="A182" s="132">
        <v>177</v>
      </c>
      <c r="B182" s="44">
        <v>44370</v>
      </c>
      <c r="C182" s="44">
        <f t="shared" si="7"/>
        <v>44370</v>
      </c>
      <c r="D182" s="374">
        <v>83</v>
      </c>
      <c r="E182" s="291" t="str">
        <f>IFERROR(VLOOKUP($D182,'Clients-Live'!$A:$C,3,0),"")</f>
        <v>NEVER ZULAIKA</v>
      </c>
      <c r="F182" s="291">
        <f>IFERROR(INDEX(Disbursements!$D:$D,MATCH('Live Collections'!G182,Disbursements!$C:$C,0)),"")</f>
        <v>1</v>
      </c>
      <c r="G182" s="34">
        <v>72</v>
      </c>
      <c r="H182" s="34"/>
      <c r="I182" s="34" t="s">
        <v>863</v>
      </c>
      <c r="J182" s="48"/>
      <c r="K182" s="48"/>
      <c r="L182" s="48">
        <v>10000</v>
      </c>
      <c r="M182" s="48">
        <v>5000</v>
      </c>
      <c r="N182" s="59"/>
      <c r="O182" s="59"/>
      <c r="P182" s="59">
        <v>40000</v>
      </c>
      <c r="Q182" s="268">
        <f t="shared" si="8"/>
        <v>55000</v>
      </c>
      <c r="R182" s="61">
        <f>IF(O182=0,0,SUMIFS(Disbursements!$T:$T,Disbursements!$B:$B,'Live Collections'!D182,Disbursements!$D:$D,'Live Collections'!F182))</f>
        <v>0</v>
      </c>
      <c r="S182" s="304">
        <f>IF(O182&lt;=IF($O182=0,0,SUMIFS(Disbursements!$W:$W,Disbursements!$B:$B,'Live Collections'!D1066,Disbursements!$D:$D,'Live Collections'!F1066)),O182,IF($O182=0,0,SUMIFS(Disbursements!$W:$W,Disbursements!$B:$B,'Live Collections'!D1066,Disbursements!$D:$D,'Live Collections'!F1066)))</f>
        <v>0</v>
      </c>
      <c r="T182" s="304">
        <f t="shared" si="9"/>
        <v>0</v>
      </c>
      <c r="U182" s="52"/>
      <c r="V182" s="34"/>
      <c r="W182" s="408"/>
    </row>
    <row r="183" spans="1:23" ht="12.75" customHeight="1" x14ac:dyDescent="0.2">
      <c r="A183" s="257">
        <v>173</v>
      </c>
      <c r="B183" s="44">
        <v>44370</v>
      </c>
      <c r="C183" s="44">
        <f t="shared" si="7"/>
        <v>44370</v>
      </c>
      <c r="D183" s="374">
        <v>93</v>
      </c>
      <c r="E183" s="291" t="str">
        <f>IFERROR(VLOOKUP($D183,'Clients-Live'!$A:$C,3,0),"")</f>
        <v>YOSSA BRAXTON JOHN</v>
      </c>
      <c r="F183" s="291" t="str">
        <f>IFERROR(INDEX(Disbursements!$D:$D,MATCH('Live Collections'!G183,Disbursements!$C:$C,0)),"")</f>
        <v/>
      </c>
      <c r="G183" s="34"/>
      <c r="H183" s="34"/>
      <c r="I183" s="34"/>
      <c r="J183" s="48">
        <v>0</v>
      </c>
      <c r="K183" s="48"/>
      <c r="L183" s="48"/>
      <c r="M183" s="48"/>
      <c r="N183" s="59"/>
      <c r="O183" s="59"/>
      <c r="P183" s="59"/>
      <c r="Q183" s="268">
        <f t="shared" si="8"/>
        <v>0</v>
      </c>
      <c r="R183" s="61">
        <f>IF(O183=0,0,SUMIFS(Disbursements!$T:$T,Disbursements!$B:$B,'Live Collections'!D183,Disbursements!$D:$D,'Live Collections'!F183))</f>
        <v>0</v>
      </c>
      <c r="S183" s="304">
        <f>IF(O183&lt;=IF($O183=0,0,SUMIFS(Disbursements!$W:$W,Disbursements!$B:$B,'Live Collections'!D1208,Disbursements!$D:$D,'Live Collections'!F1208)),O183,IF($O183=0,0,SUMIFS(Disbursements!$W:$W,Disbursements!$B:$B,'Live Collections'!D1208,Disbursements!$D:$D,'Live Collections'!F1208)))</f>
        <v>0</v>
      </c>
      <c r="T183" s="304">
        <f t="shared" si="9"/>
        <v>0</v>
      </c>
      <c r="U183" s="52">
        <v>782996597</v>
      </c>
      <c r="V183" s="34"/>
      <c r="W183" s="408"/>
    </row>
    <row r="184" spans="1:23" ht="12.75" customHeight="1" x14ac:dyDescent="0.2">
      <c r="A184" s="132">
        <v>174</v>
      </c>
      <c r="B184" s="44">
        <v>44370</v>
      </c>
      <c r="C184" s="44">
        <f t="shared" si="7"/>
        <v>44370</v>
      </c>
      <c r="D184" s="374">
        <v>94</v>
      </c>
      <c r="E184" s="291" t="str">
        <f>IFERROR(VLOOKUP($D184,'Clients-Live'!$A:$C,3,0),"")</f>
        <v>NGINYA RICHARD</v>
      </c>
      <c r="F184" s="291" t="str">
        <f>IFERROR(INDEX(Disbursements!$D:$D,MATCH('Live Collections'!G184,Disbursements!$C:$C,0)),"")</f>
        <v/>
      </c>
      <c r="G184" s="34"/>
      <c r="H184" s="34"/>
      <c r="I184" s="34" t="s">
        <v>1814</v>
      </c>
      <c r="J184" s="48">
        <v>15000</v>
      </c>
      <c r="K184" s="48">
        <v>5000</v>
      </c>
      <c r="L184" s="48"/>
      <c r="M184" s="48"/>
      <c r="N184" s="59"/>
      <c r="O184" s="59"/>
      <c r="P184" s="59"/>
      <c r="Q184" s="268">
        <f t="shared" si="8"/>
        <v>20000</v>
      </c>
      <c r="R184" s="61">
        <f>IF(O184=0,0,SUMIFS(Disbursements!$T:$T,Disbursements!$B:$B,'Live Collections'!D184,Disbursements!$D:$D,'Live Collections'!F184))</f>
        <v>0</v>
      </c>
      <c r="S184" s="304">
        <f>IF(O184&lt;=IF($O184=0,0,SUMIFS(Disbursements!$W:$W,Disbursements!$B:$B,'Live Collections'!D1209,Disbursements!$D:$D,'Live Collections'!F1209)),O184,IF($O184=0,0,SUMIFS(Disbursements!$W:$W,Disbursements!$B:$B,'Live Collections'!D1209,Disbursements!$D:$D,'Live Collections'!F1209)))</f>
        <v>0</v>
      </c>
      <c r="T184" s="304">
        <f t="shared" si="9"/>
        <v>0</v>
      </c>
      <c r="U184" s="52">
        <v>774040571</v>
      </c>
      <c r="V184" s="34"/>
      <c r="W184" s="408"/>
    </row>
    <row r="185" spans="1:23" ht="12.75" customHeight="1" x14ac:dyDescent="0.2">
      <c r="A185" s="257">
        <v>175</v>
      </c>
      <c r="B185" s="44">
        <v>44370</v>
      </c>
      <c r="C185" s="44">
        <f t="shared" si="7"/>
        <v>44370</v>
      </c>
      <c r="D185" s="374">
        <v>95</v>
      </c>
      <c r="E185" s="291" t="str">
        <f>IFERROR(VLOOKUP($D185,'Clients-Live'!$A:$C,3,0),"")</f>
        <v>MUNDURU SIFA</v>
      </c>
      <c r="F185" s="291" t="str">
        <f>IFERROR(INDEX(Disbursements!$D:$D,MATCH('Live Collections'!G185,Disbursements!$C:$C,0)),"")</f>
        <v/>
      </c>
      <c r="G185" s="34"/>
      <c r="H185" s="34"/>
      <c r="I185" s="34" t="s">
        <v>1814</v>
      </c>
      <c r="J185" s="48">
        <v>15000</v>
      </c>
      <c r="K185" s="48">
        <v>5000</v>
      </c>
      <c r="L185" s="48"/>
      <c r="M185" s="48"/>
      <c r="N185" s="59"/>
      <c r="O185" s="59"/>
      <c r="P185" s="59"/>
      <c r="Q185" s="268">
        <f t="shared" si="8"/>
        <v>20000</v>
      </c>
      <c r="R185" s="61">
        <f>IF(O185=0,0,SUMIFS(Disbursements!$T:$T,Disbursements!$B:$B,'Live Collections'!D185,Disbursements!$D:$D,'Live Collections'!F185))</f>
        <v>0</v>
      </c>
      <c r="S185" s="304">
        <f>IF(O185&lt;=IF($O185=0,0,SUMIFS(Disbursements!$W:$W,Disbursements!$B:$B,'Live Collections'!D1222,Disbursements!$D:$D,'Live Collections'!F1222)),O185,IF($O185=0,0,SUMIFS(Disbursements!$W:$W,Disbursements!$B:$B,'Live Collections'!D1222,Disbursements!$D:$D,'Live Collections'!F1222)))</f>
        <v>0</v>
      </c>
      <c r="T185" s="304">
        <f t="shared" si="9"/>
        <v>0</v>
      </c>
      <c r="U185" s="52">
        <v>774053613</v>
      </c>
      <c r="V185" s="34"/>
      <c r="W185" s="408"/>
    </row>
    <row r="186" spans="1:23" ht="12.75" customHeight="1" x14ac:dyDescent="0.2">
      <c r="A186" s="132">
        <v>191</v>
      </c>
      <c r="B186" s="44">
        <v>44371</v>
      </c>
      <c r="C186" s="44">
        <f t="shared" si="7"/>
        <v>44371</v>
      </c>
      <c r="D186" s="374">
        <v>20</v>
      </c>
      <c r="E186" s="291" t="str">
        <f>IFERROR(VLOOKUP($D186,'Clients-Live'!$A:$C,3,0),"")</f>
        <v>ANDEZO KEVIN</v>
      </c>
      <c r="F186" s="291">
        <f>IFERROR(INDEX(Disbursements!$D:$D,MATCH('Live Collections'!G186,Disbursements!$C:$C,0)),"")</f>
        <v>1</v>
      </c>
      <c r="G186" s="34">
        <v>11</v>
      </c>
      <c r="H186" s="34"/>
      <c r="I186" s="34" t="s">
        <v>1358</v>
      </c>
      <c r="J186" s="48"/>
      <c r="K186" s="48"/>
      <c r="L186" s="48"/>
      <c r="M186" s="48"/>
      <c r="N186" s="59"/>
      <c r="O186" s="59">
        <v>180000</v>
      </c>
      <c r="P186" s="59"/>
      <c r="Q186" s="268">
        <f t="shared" si="8"/>
        <v>180000</v>
      </c>
      <c r="R186" s="61">
        <f>IF(O186=0,0,SUMIFS(Disbursements!$T:$T,Disbursements!$B:$B,'Live Collections'!D186,Disbursements!$D:$D,'Live Collections'!F186))</f>
        <v>180000</v>
      </c>
      <c r="S186" s="304">
        <f>IF(O186&lt;=IF($O186=0,0,SUMIFS(Disbursements!$W:$W,Disbursements!$B:$B,'Live Collections'!D246,Disbursements!$D:$D,'Live Collections'!F246)),O186,IF($O186=0,0,SUMIFS(Disbursements!$W:$W,Disbursements!$B:$B,'Live Collections'!D246,Disbursements!$D:$D,'Live Collections'!F246)))</f>
        <v>60333.333333333314</v>
      </c>
      <c r="T186" s="304">
        <f t="shared" si="9"/>
        <v>119666.66666666669</v>
      </c>
      <c r="U186" s="52"/>
      <c r="V186" s="34"/>
      <c r="W186" s="408"/>
    </row>
    <row r="187" spans="1:23" ht="12.75" customHeight="1" x14ac:dyDescent="0.2">
      <c r="A187" s="257">
        <v>184</v>
      </c>
      <c r="B187" s="44">
        <v>44371</v>
      </c>
      <c r="C187" s="44">
        <f t="shared" si="7"/>
        <v>44371</v>
      </c>
      <c r="D187" s="374">
        <v>86</v>
      </c>
      <c r="E187" s="291" t="str">
        <f>IFERROR(VLOOKUP($D187,'Clients-Live'!$A:$C,3,0),"")</f>
        <v>AMANIYO JOYCE</v>
      </c>
      <c r="F187" s="291">
        <f>IFERROR(INDEX(Disbursements!$D:$D,MATCH('Live Collections'!G187,Disbursements!$C:$C,0)),"")</f>
        <v>2</v>
      </c>
      <c r="G187" s="34">
        <v>231</v>
      </c>
      <c r="H187" s="34"/>
      <c r="I187" s="34" t="s">
        <v>863</v>
      </c>
      <c r="J187" s="48"/>
      <c r="K187" s="48"/>
      <c r="L187" s="48">
        <v>10000</v>
      </c>
      <c r="M187" s="48">
        <v>5000</v>
      </c>
      <c r="N187" s="59"/>
      <c r="O187" s="59"/>
      <c r="P187" s="59">
        <v>50000</v>
      </c>
      <c r="Q187" s="268">
        <f t="shared" si="8"/>
        <v>65000</v>
      </c>
      <c r="R187" s="61">
        <f>IF(O187=0,0,SUMIFS(Disbursements!$T:$T,Disbursements!$B:$B,'Live Collections'!D187,Disbursements!$D:$D,'Live Collections'!F187))</f>
        <v>0</v>
      </c>
      <c r="S187" s="304">
        <f>IF(O187&lt;=IF($O187=0,0,SUMIFS(Disbursements!$W:$W,Disbursements!$B:$B,'Live Collections'!D1107,Disbursements!$D:$D,'Live Collections'!F1107)),O187,IF($O187=0,0,SUMIFS(Disbursements!$W:$W,Disbursements!$B:$B,'Live Collections'!D1107,Disbursements!$D:$D,'Live Collections'!F1107)))</f>
        <v>0</v>
      </c>
      <c r="T187" s="304">
        <f t="shared" si="9"/>
        <v>0</v>
      </c>
      <c r="U187" s="52"/>
      <c r="V187" s="34"/>
      <c r="W187" s="408"/>
    </row>
    <row r="188" spans="1:23" ht="12.75" customHeight="1" x14ac:dyDescent="0.2">
      <c r="A188" s="132">
        <v>185</v>
      </c>
      <c r="B188" s="44">
        <v>44371</v>
      </c>
      <c r="C188" s="44">
        <f t="shared" si="7"/>
        <v>44371</v>
      </c>
      <c r="D188" s="374">
        <v>89</v>
      </c>
      <c r="E188" s="291" t="str">
        <f>IFERROR(VLOOKUP($D188,'Clients-Live'!$A:$C,3,0),"")</f>
        <v>ANDA FLORENCE</v>
      </c>
      <c r="F188" s="291">
        <f>IFERROR(INDEX(Disbursements!$D:$D,MATCH('Live Collections'!G188,Disbursements!$C:$C,0)),"")</f>
        <v>1</v>
      </c>
      <c r="G188" s="34">
        <v>78</v>
      </c>
      <c r="H188" s="34">
        <v>391</v>
      </c>
      <c r="I188" s="34" t="s">
        <v>862</v>
      </c>
      <c r="J188" s="48"/>
      <c r="K188" s="48"/>
      <c r="L188" s="48">
        <v>10000</v>
      </c>
      <c r="M188" s="48">
        <v>5000</v>
      </c>
      <c r="N188" s="59"/>
      <c r="O188" s="59"/>
      <c r="P188" s="59">
        <v>70000</v>
      </c>
      <c r="Q188" s="268">
        <f t="shared" si="8"/>
        <v>85000</v>
      </c>
      <c r="R188" s="61">
        <f>IF(O188=0,0,SUMIFS(Disbursements!$T:$T,Disbursements!$B:$B,'Live Collections'!D188,Disbursements!$D:$D,'Live Collections'!F188))</f>
        <v>0</v>
      </c>
      <c r="S188" s="304">
        <f>IF(O188&lt;=IF($O188=0,0,SUMIFS(Disbursements!$W:$W,Disbursements!$B:$B,'Live Collections'!D1155,Disbursements!$D:$D,'Live Collections'!F1155)),O188,IF($O188=0,0,SUMIFS(Disbursements!$W:$W,Disbursements!$B:$B,'Live Collections'!D1155,Disbursements!$D:$D,'Live Collections'!F1155)))</f>
        <v>0</v>
      </c>
      <c r="T188" s="304">
        <f t="shared" si="9"/>
        <v>0</v>
      </c>
      <c r="U188" s="52"/>
      <c r="V188" s="34"/>
      <c r="W188" s="408"/>
    </row>
    <row r="189" spans="1:23" ht="12.75" customHeight="1" x14ac:dyDescent="0.2">
      <c r="A189" s="257">
        <v>186</v>
      </c>
      <c r="B189" s="44">
        <v>44371</v>
      </c>
      <c r="C189" s="44">
        <f t="shared" si="7"/>
        <v>44371</v>
      </c>
      <c r="D189" s="374">
        <v>90</v>
      </c>
      <c r="E189" s="291" t="str">
        <f>IFERROR(VLOOKUP($D189,'Clients-Live'!$A:$C,3,0),"")</f>
        <v>ZABIBU RAJAB SAIDI</v>
      </c>
      <c r="F189" s="291">
        <f>IFERROR(INDEX(Disbursements!$D:$D,MATCH('Live Collections'!G189,Disbursements!$C:$C,0)),"")</f>
        <v>1</v>
      </c>
      <c r="G189" s="34">
        <v>77</v>
      </c>
      <c r="H189" s="34"/>
      <c r="I189" s="34" t="s">
        <v>863</v>
      </c>
      <c r="J189" s="48"/>
      <c r="K189" s="48"/>
      <c r="L189" s="48">
        <v>10000</v>
      </c>
      <c r="M189" s="48">
        <v>5000</v>
      </c>
      <c r="N189" s="59"/>
      <c r="O189" s="59"/>
      <c r="P189" s="59">
        <v>80000</v>
      </c>
      <c r="Q189" s="268">
        <f t="shared" si="8"/>
        <v>95000</v>
      </c>
      <c r="R189" s="61">
        <f>IF(O189=0,0,SUMIFS(Disbursements!$T:$T,Disbursements!$B:$B,'Live Collections'!D189,Disbursements!$D:$D,'Live Collections'!F189))</f>
        <v>0</v>
      </c>
      <c r="S189" s="304">
        <f>IF(O189&lt;=IF($O189=0,0,SUMIFS(Disbursements!$W:$W,Disbursements!$B:$B,'Live Collections'!D1170,Disbursements!$D:$D,'Live Collections'!F1170)),O189,IF($O189=0,0,SUMIFS(Disbursements!$W:$W,Disbursements!$B:$B,'Live Collections'!D1170,Disbursements!$D:$D,'Live Collections'!F1170)))</f>
        <v>0</v>
      </c>
      <c r="T189" s="304">
        <f t="shared" si="9"/>
        <v>0</v>
      </c>
      <c r="U189" s="52"/>
      <c r="V189" s="34"/>
      <c r="W189" s="408"/>
    </row>
    <row r="190" spans="1:23" ht="12.75" customHeight="1" x14ac:dyDescent="0.2">
      <c r="A190" s="132">
        <v>187</v>
      </c>
      <c r="B190" s="44">
        <v>44371</v>
      </c>
      <c r="C190" s="44">
        <f t="shared" si="7"/>
        <v>44371</v>
      </c>
      <c r="D190" s="374">
        <v>91</v>
      </c>
      <c r="E190" s="291" t="str">
        <f>IFERROR(VLOOKUP($D190,'Clients-Live'!$A:$C,3,0),"")</f>
        <v>CHANDIRU SALILA</v>
      </c>
      <c r="F190" s="291">
        <f>IFERROR(INDEX(Disbursements!$D:$D,MATCH('Live Collections'!G190,Disbursements!$C:$C,0)),"")</f>
        <v>1</v>
      </c>
      <c r="G190" s="34">
        <v>75</v>
      </c>
      <c r="H190" s="34"/>
      <c r="I190" s="34" t="s">
        <v>862</v>
      </c>
      <c r="J190" s="48"/>
      <c r="K190" s="48"/>
      <c r="L190" s="48">
        <v>10000</v>
      </c>
      <c r="M190" s="48">
        <v>5000</v>
      </c>
      <c r="N190" s="59"/>
      <c r="O190" s="59"/>
      <c r="P190" s="59">
        <v>20000</v>
      </c>
      <c r="Q190" s="268">
        <f t="shared" si="8"/>
        <v>35000</v>
      </c>
      <c r="R190" s="61">
        <f>IF(O190=0,0,SUMIFS(Disbursements!$T:$T,Disbursements!$B:$B,'Live Collections'!D190,Disbursements!$D:$D,'Live Collections'!F190))</f>
        <v>0</v>
      </c>
      <c r="S190" s="304">
        <f>IF(O190&lt;=IF($O190=0,0,SUMIFS(Disbursements!$W:$W,Disbursements!$B:$B,'Live Collections'!D1181,Disbursements!$D:$D,'Live Collections'!F1181)),O190,IF($O190=0,0,SUMIFS(Disbursements!$W:$W,Disbursements!$B:$B,'Live Collections'!D1181,Disbursements!$D:$D,'Live Collections'!F1181)))</f>
        <v>0</v>
      </c>
      <c r="T190" s="304">
        <f t="shared" si="9"/>
        <v>0</v>
      </c>
      <c r="U190" s="52"/>
      <c r="V190" s="34"/>
      <c r="W190" s="408"/>
    </row>
    <row r="191" spans="1:23" ht="12.75" customHeight="1" x14ac:dyDescent="0.2">
      <c r="A191" s="257">
        <v>188</v>
      </c>
      <c r="B191" s="44">
        <v>44371</v>
      </c>
      <c r="C191" s="44">
        <f t="shared" si="7"/>
        <v>44371</v>
      </c>
      <c r="D191" s="374">
        <v>92</v>
      </c>
      <c r="E191" s="291" t="str">
        <f>IFERROR(VLOOKUP($D191,'Clients-Live'!$A:$C,3,0),"")</f>
        <v>FAIDA ZAKIYA</v>
      </c>
      <c r="F191" s="291">
        <f>IFERROR(INDEX(Disbursements!$D:$D,MATCH('Live Collections'!G191,Disbursements!$C:$C,0)),"")</f>
        <v>1</v>
      </c>
      <c r="G191" s="34">
        <v>74</v>
      </c>
      <c r="H191" s="34"/>
      <c r="I191" s="34" t="s">
        <v>863</v>
      </c>
      <c r="J191" s="48"/>
      <c r="K191" s="48"/>
      <c r="L191" s="48">
        <v>10000</v>
      </c>
      <c r="M191" s="48">
        <v>5000</v>
      </c>
      <c r="N191" s="59"/>
      <c r="O191" s="59"/>
      <c r="P191" s="59">
        <v>70000</v>
      </c>
      <c r="Q191" s="268">
        <f t="shared" si="8"/>
        <v>85000</v>
      </c>
      <c r="R191" s="61">
        <f>IF(O191=0,0,SUMIFS(Disbursements!$T:$T,Disbursements!$B:$B,'Live Collections'!D191,Disbursements!$D:$D,'Live Collections'!F191))</f>
        <v>0</v>
      </c>
      <c r="S191" s="304">
        <f>IF(O191&lt;=IF($O191=0,0,SUMIFS(Disbursements!$W:$W,Disbursements!$B:$B,'Live Collections'!D1194,Disbursements!$D:$D,'Live Collections'!F1194)),O191,IF($O191=0,0,SUMIFS(Disbursements!$W:$W,Disbursements!$B:$B,'Live Collections'!D1194,Disbursements!$D:$D,'Live Collections'!F1194)))</f>
        <v>0</v>
      </c>
      <c r="T191" s="304">
        <f t="shared" si="9"/>
        <v>0</v>
      </c>
      <c r="U191" s="52"/>
      <c r="V191" s="34"/>
      <c r="W191" s="408"/>
    </row>
    <row r="192" spans="1:23" ht="12.75" customHeight="1" x14ac:dyDescent="0.2">
      <c r="A192" s="132">
        <v>189</v>
      </c>
      <c r="B192" s="44">
        <v>44371</v>
      </c>
      <c r="C192" s="44">
        <f t="shared" si="7"/>
        <v>44371</v>
      </c>
      <c r="D192" s="374">
        <v>95</v>
      </c>
      <c r="E192" s="291" t="str">
        <f>IFERROR(VLOOKUP($D192,'Clients-Live'!$A:$C,3,0),"")</f>
        <v>MUNDURU SIFA</v>
      </c>
      <c r="F192" s="291">
        <f>IFERROR(INDEX(Disbursements!$D:$D,MATCH('Live Collections'!G192,Disbursements!$C:$C,0)),"")</f>
        <v>1</v>
      </c>
      <c r="G192" s="34">
        <v>76</v>
      </c>
      <c r="H192" s="34"/>
      <c r="I192" s="34" t="s">
        <v>864</v>
      </c>
      <c r="J192" s="48"/>
      <c r="K192" s="48"/>
      <c r="L192" s="48">
        <v>10000</v>
      </c>
      <c r="M192" s="48">
        <v>5000</v>
      </c>
      <c r="N192" s="59"/>
      <c r="O192" s="59"/>
      <c r="P192" s="59">
        <v>70000</v>
      </c>
      <c r="Q192" s="268">
        <f t="shared" si="8"/>
        <v>85000</v>
      </c>
      <c r="R192" s="61">
        <f>IF(O192=0,0,SUMIFS(Disbursements!$T:$T,Disbursements!$B:$B,'Live Collections'!D192,Disbursements!$D:$D,'Live Collections'!F192))</f>
        <v>0</v>
      </c>
      <c r="S192" s="304">
        <f>IF(O192&lt;=IF($O192=0,0,SUMIFS(Disbursements!$W:$W,Disbursements!$B:$B,'Live Collections'!D1223,Disbursements!$D:$D,'Live Collections'!F1223)),O192,IF($O192=0,0,SUMIFS(Disbursements!$W:$W,Disbursements!$B:$B,'Live Collections'!D1223,Disbursements!$D:$D,'Live Collections'!F1223)))</f>
        <v>0</v>
      </c>
      <c r="T192" s="304">
        <f t="shared" si="9"/>
        <v>0</v>
      </c>
      <c r="U192" s="52"/>
      <c r="V192" s="34"/>
      <c r="W192" s="408"/>
    </row>
    <row r="193" spans="1:23" ht="12.75" customHeight="1" x14ac:dyDescent="0.2">
      <c r="A193" s="257">
        <v>179</v>
      </c>
      <c r="B193" s="44">
        <v>44371</v>
      </c>
      <c r="C193" s="44">
        <f t="shared" si="7"/>
        <v>44371</v>
      </c>
      <c r="D193" s="374">
        <v>96</v>
      </c>
      <c r="E193" s="291" t="str">
        <f>IFERROR(VLOOKUP($D193,'Clients-Live'!$A:$C,3,0),"")</f>
        <v>AKANDU NIGHT YONGORO</v>
      </c>
      <c r="F193" s="291" t="str">
        <f>IFERROR(INDEX(Disbursements!$D:$D,MATCH('Live Collections'!G193,Disbursements!$C:$C,0)),"")</f>
        <v/>
      </c>
      <c r="G193" s="34"/>
      <c r="H193" s="34"/>
      <c r="I193" s="34" t="s">
        <v>1814</v>
      </c>
      <c r="J193" s="48">
        <v>15000</v>
      </c>
      <c r="K193" s="48">
        <v>5000</v>
      </c>
      <c r="L193" s="48"/>
      <c r="M193" s="48"/>
      <c r="N193" s="59"/>
      <c r="O193" s="59"/>
      <c r="P193" s="59"/>
      <c r="Q193" s="268">
        <f t="shared" si="8"/>
        <v>20000</v>
      </c>
      <c r="R193" s="61">
        <f>IF(O193=0,0,SUMIFS(Disbursements!$T:$T,Disbursements!$B:$B,'Live Collections'!D193,Disbursements!$D:$D,'Live Collections'!F193))</f>
        <v>0</v>
      </c>
      <c r="S193" s="304">
        <f>IF(O193&lt;=IF($O193=0,0,SUMIFS(Disbursements!$W:$W,Disbursements!$B:$B,'Live Collections'!D1229,Disbursements!$D:$D,'Live Collections'!F1229)),O193,IF($O193=0,0,SUMIFS(Disbursements!$W:$W,Disbursements!$B:$B,'Live Collections'!D1229,Disbursements!$D:$D,'Live Collections'!F1229)))</f>
        <v>0</v>
      </c>
      <c r="T193" s="304">
        <f t="shared" si="9"/>
        <v>0</v>
      </c>
      <c r="U193" s="52">
        <v>789276577</v>
      </c>
      <c r="V193" s="34"/>
      <c r="W193" s="408"/>
    </row>
    <row r="194" spans="1:23" ht="12.75" customHeight="1" x14ac:dyDescent="0.2">
      <c r="A194" s="132">
        <v>180</v>
      </c>
      <c r="B194" s="44">
        <v>44371</v>
      </c>
      <c r="C194" s="44">
        <f t="shared" si="7"/>
        <v>44371</v>
      </c>
      <c r="D194" s="374">
        <v>97</v>
      </c>
      <c r="E194" s="291" t="str">
        <f>IFERROR(VLOOKUP($D194,'Clients-Live'!$A:$C,3,0),"")</f>
        <v>DRANDUA JOB CHRISPUS</v>
      </c>
      <c r="F194" s="291" t="str">
        <f>IFERROR(INDEX(Disbursements!$D:$D,MATCH('Live Collections'!G194,Disbursements!$C:$C,0)),"")</f>
        <v/>
      </c>
      <c r="G194" s="34"/>
      <c r="H194" s="34"/>
      <c r="I194" s="34" t="s">
        <v>1814</v>
      </c>
      <c r="J194" s="48">
        <v>15000</v>
      </c>
      <c r="K194" s="48">
        <v>5000</v>
      </c>
      <c r="L194" s="48"/>
      <c r="M194" s="48"/>
      <c r="N194" s="59"/>
      <c r="O194" s="59"/>
      <c r="P194" s="59"/>
      <c r="Q194" s="268">
        <f t="shared" si="8"/>
        <v>20000</v>
      </c>
      <c r="R194" s="61">
        <f>IF(O194=0,0,SUMIFS(Disbursements!$T:$T,Disbursements!$B:$B,'Live Collections'!D194,Disbursements!$D:$D,'Live Collections'!F194))</f>
        <v>0</v>
      </c>
      <c r="S194" s="304">
        <f>IF(O194&lt;=IF($O194=0,0,SUMIFS(Disbursements!$W:$W,Disbursements!$B:$B,'Live Collections'!D1245,Disbursements!$D:$D,'Live Collections'!F1245)),O194,IF($O194=0,0,SUMIFS(Disbursements!$W:$W,Disbursements!$B:$B,'Live Collections'!D1245,Disbursements!$D:$D,'Live Collections'!F1245)))</f>
        <v>0</v>
      </c>
      <c r="T194" s="304">
        <f t="shared" si="9"/>
        <v>0</v>
      </c>
      <c r="U194" s="52">
        <v>777470336</v>
      </c>
      <c r="V194" s="34"/>
      <c r="W194" s="408"/>
    </row>
    <row r="195" spans="1:23" ht="12.75" customHeight="1" x14ac:dyDescent="0.2">
      <c r="A195" s="257">
        <v>190</v>
      </c>
      <c r="B195" s="44">
        <v>44371</v>
      </c>
      <c r="C195" s="44">
        <f t="shared" si="7"/>
        <v>44371</v>
      </c>
      <c r="D195" s="374">
        <v>97</v>
      </c>
      <c r="E195" s="291" t="str">
        <f>IFERROR(VLOOKUP($D195,'Clients-Live'!$A:$C,3,0),"")</f>
        <v>DRANDUA JOB CHRISPUS</v>
      </c>
      <c r="F195" s="291" t="str">
        <f>IFERROR(INDEX(Disbursements!$D:$D,MATCH('Live Collections'!G195,Disbursements!$C:$C,0)),"")</f>
        <v/>
      </c>
      <c r="G195" s="34"/>
      <c r="H195" s="34"/>
      <c r="I195" s="34" t="s">
        <v>862</v>
      </c>
      <c r="J195" s="48"/>
      <c r="K195" s="48"/>
      <c r="L195" s="48">
        <v>10000</v>
      </c>
      <c r="M195" s="48">
        <v>5000</v>
      </c>
      <c r="N195" s="59"/>
      <c r="O195" s="59"/>
      <c r="P195" s="59">
        <v>200000</v>
      </c>
      <c r="Q195" s="268">
        <f t="shared" si="8"/>
        <v>215000</v>
      </c>
      <c r="R195" s="61">
        <f>IF(O195=0,0,SUMIFS(Disbursements!$T:$T,Disbursements!$B:$B,'Live Collections'!D195,Disbursements!$D:$D,'Live Collections'!F195))</f>
        <v>0</v>
      </c>
      <c r="S195" s="304">
        <f>IF(O195&lt;=IF($O195=0,0,SUMIFS(Disbursements!$W:$W,Disbursements!$B:$B,'Live Collections'!D1246,Disbursements!$D:$D,'Live Collections'!F1246)),O195,IF($O195=0,0,SUMIFS(Disbursements!$W:$W,Disbursements!$B:$B,'Live Collections'!D1246,Disbursements!$D:$D,'Live Collections'!F1246)))</f>
        <v>0</v>
      </c>
      <c r="T195" s="304">
        <f t="shared" si="9"/>
        <v>0</v>
      </c>
      <c r="U195" s="52"/>
      <c r="V195" s="34"/>
      <c r="W195" s="408"/>
    </row>
    <row r="196" spans="1:23" ht="12.75" customHeight="1" x14ac:dyDescent="0.2">
      <c r="A196" s="132">
        <v>181</v>
      </c>
      <c r="B196" s="44">
        <v>44371</v>
      </c>
      <c r="C196" s="44">
        <f t="shared" si="7"/>
        <v>44371</v>
      </c>
      <c r="D196" s="374">
        <v>98</v>
      </c>
      <c r="E196" s="291" t="str">
        <f>IFERROR(VLOOKUP($D196,'Clients-Live'!$A:$C,3,0),"")</f>
        <v>AMANIYO CLARA</v>
      </c>
      <c r="F196" s="291" t="str">
        <f>IFERROR(INDEX(Disbursements!$D:$D,MATCH('Live Collections'!G196,Disbursements!$C:$C,0)),"")</f>
        <v/>
      </c>
      <c r="G196" s="34"/>
      <c r="H196" s="34"/>
      <c r="I196" s="34" t="s">
        <v>1814</v>
      </c>
      <c r="J196" s="48">
        <v>15000</v>
      </c>
      <c r="K196" s="48">
        <v>5000</v>
      </c>
      <c r="L196" s="48"/>
      <c r="M196" s="48"/>
      <c r="N196" s="59"/>
      <c r="O196" s="59"/>
      <c r="P196" s="59"/>
      <c r="Q196" s="268">
        <f t="shared" si="8"/>
        <v>20000</v>
      </c>
      <c r="R196" s="61">
        <f>IF(O196=0,0,SUMIFS(Disbursements!$T:$T,Disbursements!$B:$B,'Live Collections'!D196,Disbursements!$D:$D,'Live Collections'!F196))</f>
        <v>0</v>
      </c>
      <c r="S196" s="304">
        <f>IF(O196&lt;=IF($O196=0,0,SUMIFS(Disbursements!$W:$W,Disbursements!$B:$B,'Live Collections'!D1262,Disbursements!$D:$D,'Live Collections'!F1262)),O196,IF($O196=0,0,SUMIFS(Disbursements!$W:$W,Disbursements!$B:$B,'Live Collections'!D1262,Disbursements!$D:$D,'Live Collections'!F1262)))</f>
        <v>0</v>
      </c>
      <c r="T196" s="304">
        <f t="shared" si="9"/>
        <v>0</v>
      </c>
      <c r="U196" s="52">
        <v>779766607</v>
      </c>
      <c r="V196" s="34"/>
      <c r="W196" s="408"/>
    </row>
    <row r="197" spans="1:23" ht="12.75" customHeight="1" x14ac:dyDescent="0.2">
      <c r="A197" s="257">
        <v>182</v>
      </c>
      <c r="B197" s="44">
        <v>44371</v>
      </c>
      <c r="C197" s="44">
        <f t="shared" si="7"/>
        <v>44371</v>
      </c>
      <c r="D197" s="374">
        <v>99</v>
      </c>
      <c r="E197" s="291" t="str">
        <f>IFERROR(VLOOKUP($D197,'Clients-Live'!$A:$C,3,0),"")</f>
        <v>SIJALI ASINA SIS</v>
      </c>
      <c r="F197" s="291" t="str">
        <f>IFERROR(INDEX(Disbursements!$D:$D,MATCH('Live Collections'!G197,Disbursements!$C:$C,0)),"")</f>
        <v/>
      </c>
      <c r="G197" s="34"/>
      <c r="H197" s="34"/>
      <c r="I197" s="34" t="s">
        <v>1814</v>
      </c>
      <c r="J197" s="48">
        <v>15000</v>
      </c>
      <c r="K197" s="48">
        <v>5000</v>
      </c>
      <c r="L197" s="48"/>
      <c r="M197" s="48"/>
      <c r="N197" s="59"/>
      <c r="O197" s="59"/>
      <c r="P197" s="59"/>
      <c r="Q197" s="268">
        <f t="shared" si="8"/>
        <v>20000</v>
      </c>
      <c r="R197" s="61">
        <f>IF(O197=0,0,SUMIFS(Disbursements!$T:$T,Disbursements!$B:$B,'Live Collections'!D197,Disbursements!$D:$D,'Live Collections'!F197))</f>
        <v>0</v>
      </c>
      <c r="S197" s="304">
        <f>IF(O197&lt;=IF($O197=0,0,SUMIFS(Disbursements!$W:$W,Disbursements!$B:$B,'Live Collections'!D1275,Disbursements!$D:$D,'Live Collections'!F1275)),O197,IF($O197=0,0,SUMIFS(Disbursements!$W:$W,Disbursements!$B:$B,'Live Collections'!D1275,Disbursements!$D:$D,'Live Collections'!F1275)))</f>
        <v>0</v>
      </c>
      <c r="T197" s="304">
        <f t="shared" si="9"/>
        <v>0</v>
      </c>
      <c r="U197" s="52">
        <v>778680545</v>
      </c>
      <c r="V197" s="34"/>
      <c r="W197" s="408"/>
    </row>
    <row r="198" spans="1:23" ht="12.75" customHeight="1" x14ac:dyDescent="0.2">
      <c r="A198" s="132">
        <v>183</v>
      </c>
      <c r="B198" s="44">
        <v>44371</v>
      </c>
      <c r="C198" s="44">
        <f t="shared" si="7"/>
        <v>44371</v>
      </c>
      <c r="D198" s="374">
        <v>100</v>
      </c>
      <c r="E198" s="291" t="str">
        <f>IFERROR(VLOOKUP($D198,'Clients-Live'!$A:$C,3,0),"")</f>
        <v>LETAYO DORCUS</v>
      </c>
      <c r="F198" s="291" t="str">
        <f>IFERROR(INDEX(Disbursements!$D:$D,MATCH('Live Collections'!G198,Disbursements!$C:$C,0)),"")</f>
        <v/>
      </c>
      <c r="G198" s="34"/>
      <c r="H198" s="34"/>
      <c r="I198" s="34" t="s">
        <v>1814</v>
      </c>
      <c r="J198" s="48">
        <v>15000</v>
      </c>
      <c r="K198" s="48">
        <v>5000</v>
      </c>
      <c r="L198" s="48"/>
      <c r="M198" s="48"/>
      <c r="N198" s="59"/>
      <c r="O198" s="59"/>
      <c r="P198" s="59"/>
      <c r="Q198" s="268">
        <f t="shared" si="8"/>
        <v>20000</v>
      </c>
      <c r="R198" s="61">
        <f>IF(O198=0,0,SUMIFS(Disbursements!$T:$T,Disbursements!$B:$B,'Live Collections'!D198,Disbursements!$D:$D,'Live Collections'!F198))</f>
        <v>0</v>
      </c>
      <c r="S198" s="304">
        <f>IF(O198&lt;=IF($O198=0,0,SUMIFS(Disbursements!$W:$W,Disbursements!$B:$B,'Live Collections'!D1287,Disbursements!$D:$D,'Live Collections'!F1287)),O198,IF($O198=0,0,SUMIFS(Disbursements!$W:$W,Disbursements!$B:$B,'Live Collections'!D1287,Disbursements!$D:$D,'Live Collections'!F1287)))</f>
        <v>0</v>
      </c>
      <c r="T198" s="304">
        <f t="shared" si="9"/>
        <v>0</v>
      </c>
      <c r="U198" s="52">
        <v>774071248</v>
      </c>
      <c r="V198" s="34"/>
      <c r="W198" s="408"/>
    </row>
    <row r="199" spans="1:23" ht="12.75" customHeight="1" x14ac:dyDescent="0.2">
      <c r="A199" s="257">
        <v>199</v>
      </c>
      <c r="B199" s="44">
        <v>44373</v>
      </c>
      <c r="C199" s="44">
        <f t="shared" si="7"/>
        <v>44373</v>
      </c>
      <c r="D199" s="374">
        <v>9</v>
      </c>
      <c r="E199" s="291" t="str">
        <f>IFERROR(VLOOKUP($D199,'Clients-Live'!$A:$C,3,0),"")</f>
        <v>TABAN DAVID YAYA</v>
      </c>
      <c r="F199" s="291">
        <f>IFERROR(INDEX(Disbursements!$D:$D,MATCH('Live Collections'!G199,Disbursements!$C:$C,0)),"")</f>
        <v>1</v>
      </c>
      <c r="G199" s="34">
        <v>45</v>
      </c>
      <c r="H199" s="34"/>
      <c r="I199" s="34" t="s">
        <v>1357</v>
      </c>
      <c r="J199" s="48"/>
      <c r="K199" s="48"/>
      <c r="L199" s="48"/>
      <c r="M199" s="48"/>
      <c r="N199" s="59"/>
      <c r="O199" s="59">
        <v>150000</v>
      </c>
      <c r="P199" s="59"/>
      <c r="Q199" s="268">
        <f t="shared" si="8"/>
        <v>150000</v>
      </c>
      <c r="R199" s="61">
        <f>IF(O199=0,0,SUMIFS(Disbursements!$T:$T,Disbursements!$B:$B,'Live Collections'!D199,Disbursements!$D:$D,'Live Collections'!F199))</f>
        <v>180000</v>
      </c>
      <c r="S199" s="304">
        <f>IF(O199&lt;=IF($O199=0,0,SUMIFS(Disbursements!$W:$W,Disbursements!$B:$B,'Live Collections'!D79,Disbursements!$D:$D,'Live Collections'!F79)),O199,IF($O199=0,0,SUMIFS(Disbursements!$W:$W,Disbursements!$B:$B,'Live Collections'!D79,Disbursements!$D:$D,'Live Collections'!F79)))</f>
        <v>25666.666666666672</v>
      </c>
      <c r="T199" s="304">
        <f t="shared" si="9"/>
        <v>124333.33333333333</v>
      </c>
      <c r="U199" s="52"/>
      <c r="V199" s="34"/>
      <c r="W199" s="408"/>
    </row>
    <row r="200" spans="1:23" ht="12.75" customHeight="1" x14ac:dyDescent="0.2">
      <c r="A200" s="132">
        <v>195</v>
      </c>
      <c r="B200" s="44">
        <v>44373</v>
      </c>
      <c r="C200" s="44">
        <f t="shared" ref="C200:C263" si="10">B200</f>
        <v>44373</v>
      </c>
      <c r="D200" s="374">
        <v>11</v>
      </c>
      <c r="E200" s="291" t="str">
        <f>IFERROR(VLOOKUP($D200,'Clients-Live'!$A:$C,3,0),"")</f>
        <v>ARIME JUMA</v>
      </c>
      <c r="F200" s="291">
        <f>IFERROR(INDEX(Disbursements!$D:$D,MATCH('Live Collections'!G200,Disbursements!$C:$C,0)),"")</f>
        <v>1</v>
      </c>
      <c r="G200" s="34">
        <v>10</v>
      </c>
      <c r="H200" s="34"/>
      <c r="I200" s="34" t="s">
        <v>1359</v>
      </c>
      <c r="J200" s="48"/>
      <c r="K200" s="48"/>
      <c r="L200" s="48"/>
      <c r="M200" s="48"/>
      <c r="N200" s="59"/>
      <c r="O200" s="59">
        <v>108000</v>
      </c>
      <c r="P200" s="59"/>
      <c r="Q200" s="268">
        <f t="shared" ref="Q200:Q263" si="11">SUM(J200:P200)</f>
        <v>108000</v>
      </c>
      <c r="R200" s="61">
        <f>IF(O200=0,0,SUMIFS(Disbursements!$T:$T,Disbursements!$B:$B,'Live Collections'!D200,Disbursements!$D:$D,'Live Collections'!F200))</f>
        <v>109000</v>
      </c>
      <c r="S200" s="304">
        <f>IF(O200&lt;=IF($O200=0,0,SUMIFS(Disbursements!$W:$W,Disbursements!$B:$B,'Live Collections'!D108,Disbursements!$D:$D,'Live Collections'!F108)),O200,IF($O200=0,0,SUMIFS(Disbursements!$W:$W,Disbursements!$B:$B,'Live Collections'!D108,Disbursements!$D:$D,'Live Collections'!F108)))</f>
        <v>0</v>
      </c>
      <c r="T200" s="304">
        <f t="shared" ref="T200:T266" si="12">IF(O200=0,0,O200-S200)</f>
        <v>108000</v>
      </c>
      <c r="U200" s="52"/>
      <c r="V200" s="34"/>
      <c r="W200" s="408"/>
    </row>
    <row r="201" spans="1:23" ht="12.75" customHeight="1" x14ac:dyDescent="0.2">
      <c r="A201" s="257">
        <v>201</v>
      </c>
      <c r="B201" s="44">
        <v>44373</v>
      </c>
      <c r="C201" s="44">
        <f t="shared" si="10"/>
        <v>44373</v>
      </c>
      <c r="D201" s="374">
        <v>18</v>
      </c>
      <c r="E201" s="291" t="str">
        <f>IFERROR(VLOOKUP($D201,'Clients-Live'!$A:$C,3,0),"")</f>
        <v>ARIYE PEACE</v>
      </c>
      <c r="F201" s="291">
        <f>IFERROR(INDEX(Disbursements!$D:$D,MATCH('Live Collections'!G201,Disbursements!$C:$C,0)),"")</f>
        <v>1</v>
      </c>
      <c r="G201" s="34">
        <v>9</v>
      </c>
      <c r="H201" s="34"/>
      <c r="I201" s="34" t="s">
        <v>1357</v>
      </c>
      <c r="J201" s="48"/>
      <c r="K201" s="48"/>
      <c r="L201" s="48"/>
      <c r="M201" s="48"/>
      <c r="N201" s="59"/>
      <c r="O201" s="59">
        <v>108400</v>
      </c>
      <c r="P201" s="59"/>
      <c r="Q201" s="268">
        <f t="shared" si="11"/>
        <v>108400</v>
      </c>
      <c r="R201" s="61">
        <f>IF(O201=0,0,SUMIFS(Disbursements!$T:$T,Disbursements!$B:$B,'Live Collections'!D201,Disbursements!$D:$D,'Live Collections'!F201))</f>
        <v>109000</v>
      </c>
      <c r="S201" s="304">
        <f>IF(O201&lt;=IF($O201=0,0,SUMIFS(Disbursements!$W:$W,Disbursements!$B:$B,'Live Collections'!D193,Disbursements!$D:$D,'Live Collections'!F193)),O201,IF($O201=0,0,SUMIFS(Disbursements!$W:$W,Disbursements!$B:$B,'Live Collections'!D193,Disbursements!$D:$D,'Live Collections'!F193)))</f>
        <v>0</v>
      </c>
      <c r="T201" s="304">
        <f t="shared" si="12"/>
        <v>108400</v>
      </c>
      <c r="U201" s="52"/>
      <c r="V201" s="34"/>
      <c r="W201" s="408"/>
    </row>
    <row r="202" spans="1:23" ht="12.75" customHeight="1" x14ac:dyDescent="0.2">
      <c r="A202" s="132">
        <v>202</v>
      </c>
      <c r="B202" s="44">
        <v>44373</v>
      </c>
      <c r="C202" s="44">
        <f t="shared" si="10"/>
        <v>44373</v>
      </c>
      <c r="D202" s="374">
        <v>30</v>
      </c>
      <c r="E202" s="291" t="str">
        <f>IFERROR(VLOOKUP($D202,'Clients-Live'!$A:$C,3,0),"")</f>
        <v>SITARAYA PATRICIA IDERU</v>
      </c>
      <c r="F202" s="291">
        <f>IFERROR(INDEX(Disbursements!$D:$D,MATCH('Live Collections'!G202,Disbursements!$C:$C,0)),"")</f>
        <v>1</v>
      </c>
      <c r="G202" s="34">
        <v>18</v>
      </c>
      <c r="H202" s="34"/>
      <c r="I202" s="34" t="s">
        <v>1358</v>
      </c>
      <c r="J202" s="48"/>
      <c r="K202" s="48"/>
      <c r="L202" s="48"/>
      <c r="M202" s="48"/>
      <c r="N202" s="59"/>
      <c r="O202" s="59">
        <v>120000</v>
      </c>
      <c r="P202" s="59"/>
      <c r="Q202" s="268">
        <f t="shared" si="11"/>
        <v>120000</v>
      </c>
      <c r="R202" s="61">
        <f>IF(O202=0,0,SUMIFS(Disbursements!$T:$T,Disbursements!$B:$B,'Live Collections'!D202,Disbursements!$D:$D,'Live Collections'!F202))</f>
        <v>120000</v>
      </c>
      <c r="S202" s="64">
        <v>80000</v>
      </c>
      <c r="T202" s="304">
        <f t="shared" si="12"/>
        <v>40000</v>
      </c>
      <c r="U202" s="52"/>
      <c r="V202" s="34"/>
      <c r="W202" s="408" t="s">
        <v>2086</v>
      </c>
    </row>
    <row r="203" spans="1:23" ht="12.75" customHeight="1" x14ac:dyDescent="0.2">
      <c r="A203" s="257">
        <v>198</v>
      </c>
      <c r="B203" s="44">
        <v>44373</v>
      </c>
      <c r="C203" s="44">
        <f t="shared" si="10"/>
        <v>44373</v>
      </c>
      <c r="D203" s="374">
        <v>31</v>
      </c>
      <c r="E203" s="291" t="str">
        <f>IFERROR(VLOOKUP($D203,'Clients-Live'!$A:$C,3,0),"")</f>
        <v>MUNDURU HARRIET</v>
      </c>
      <c r="F203" s="291">
        <f>IFERROR(INDEX(Disbursements!$D:$D,MATCH('Live Collections'!G203,Disbursements!$C:$C,0)),"")</f>
        <v>1</v>
      </c>
      <c r="G203" s="34">
        <v>16</v>
      </c>
      <c r="H203" s="34"/>
      <c r="I203" s="34" t="s">
        <v>1357</v>
      </c>
      <c r="J203" s="48"/>
      <c r="K203" s="48"/>
      <c r="L203" s="48"/>
      <c r="M203" s="48"/>
      <c r="N203" s="59"/>
      <c r="O203" s="59">
        <v>125000</v>
      </c>
      <c r="P203" s="59"/>
      <c r="Q203" s="268">
        <f t="shared" si="11"/>
        <v>125000</v>
      </c>
      <c r="R203" s="61">
        <f>IF(O203=0,0,SUMIFS(Disbursements!$T:$T,Disbursements!$B:$B,'Live Collections'!D203,Disbursements!$D:$D,'Live Collections'!F203))</f>
        <v>125000</v>
      </c>
      <c r="S203" s="304">
        <f>IF(O203&lt;=IF($O203=0,0,SUMIFS(Disbursements!$W:$W,Disbursements!$B:$B,'Live Collections'!D350,Disbursements!$D:$D,'Live Collections'!F350)),O203,IF($O203=0,0,SUMIFS(Disbursements!$W:$W,Disbursements!$B:$B,'Live Collections'!D350,Disbursements!$D:$D,'Live Collections'!F350)))</f>
        <v>0</v>
      </c>
      <c r="T203" s="304">
        <f t="shared" si="12"/>
        <v>125000</v>
      </c>
      <c r="U203" s="52"/>
      <c r="V203" s="34"/>
      <c r="W203" s="408"/>
    </row>
    <row r="204" spans="1:23" ht="12.75" customHeight="1" x14ac:dyDescent="0.2">
      <c r="A204" s="132">
        <v>197</v>
      </c>
      <c r="B204" s="44">
        <v>44373</v>
      </c>
      <c r="C204" s="44">
        <f t="shared" si="10"/>
        <v>44373</v>
      </c>
      <c r="D204" s="374">
        <v>32</v>
      </c>
      <c r="E204" s="291" t="str">
        <f>IFERROR(VLOOKUP($D204,'Clients-Live'!$A:$C,3,0),"")</f>
        <v>BAKO LINA ESERU</v>
      </c>
      <c r="F204" s="291">
        <f>IFERROR(INDEX(Disbursements!$D:$D,MATCH('Live Collections'!G204,Disbursements!$C:$C,0)),"")</f>
        <v>1</v>
      </c>
      <c r="G204" s="34">
        <v>15</v>
      </c>
      <c r="H204" s="34"/>
      <c r="I204" s="34" t="s">
        <v>1359</v>
      </c>
      <c r="J204" s="48"/>
      <c r="K204" s="48"/>
      <c r="L204" s="48"/>
      <c r="M204" s="48"/>
      <c r="N204" s="59"/>
      <c r="O204" s="59">
        <v>125000</v>
      </c>
      <c r="P204" s="59"/>
      <c r="Q204" s="268">
        <f t="shared" si="11"/>
        <v>125000</v>
      </c>
      <c r="R204" s="61">
        <f>IF(O204=0,0,SUMIFS(Disbursements!$T:$T,Disbursements!$B:$B,'Live Collections'!D204,Disbursements!$D:$D,'Live Collections'!F204))</f>
        <v>125000</v>
      </c>
      <c r="S204" s="304">
        <f>IF(O204&lt;=IF($O204=0,0,SUMIFS(Disbursements!$W:$W,Disbursements!$B:$B,'Live Collections'!D364,Disbursements!$D:$D,'Live Collections'!F364)),O204,IF($O204=0,0,SUMIFS(Disbursements!$W:$W,Disbursements!$B:$B,'Live Collections'!D364,Disbursements!$D:$D,'Live Collections'!F364)))</f>
        <v>45000</v>
      </c>
      <c r="T204" s="304">
        <f t="shared" si="12"/>
        <v>80000</v>
      </c>
      <c r="U204" s="52"/>
      <c r="V204" s="34"/>
      <c r="W204" s="408"/>
    </row>
    <row r="205" spans="1:23" ht="12.75" customHeight="1" x14ac:dyDescent="0.2">
      <c r="A205" s="257">
        <v>196</v>
      </c>
      <c r="B205" s="44">
        <v>44373</v>
      </c>
      <c r="C205" s="44">
        <f t="shared" si="10"/>
        <v>44373</v>
      </c>
      <c r="D205" s="374">
        <v>50</v>
      </c>
      <c r="E205" s="291" t="str">
        <f>IFERROR(VLOOKUP($D205,'Clients-Live'!$A:$C,3,0),"")</f>
        <v>WACHEKE HARRIET</v>
      </c>
      <c r="F205" s="291">
        <f>IFERROR(INDEX(Disbursements!$D:$D,MATCH('Live Collections'!G205,Disbursements!$C:$C,0)),"")</f>
        <v>1</v>
      </c>
      <c r="G205" s="34">
        <v>30</v>
      </c>
      <c r="H205" s="34"/>
      <c r="I205" s="34" t="s">
        <v>1359</v>
      </c>
      <c r="J205" s="48"/>
      <c r="K205" s="48"/>
      <c r="L205" s="48"/>
      <c r="M205" s="48"/>
      <c r="N205" s="59"/>
      <c r="O205" s="59">
        <v>385400</v>
      </c>
      <c r="P205" s="59"/>
      <c r="Q205" s="268">
        <f t="shared" si="11"/>
        <v>385400</v>
      </c>
      <c r="R205" s="61">
        <f>IF(O205=0,0,SUMIFS(Disbursements!$T:$T,Disbursements!$B:$B,'Live Collections'!D205,Disbursements!$D:$D,'Live Collections'!F205))</f>
        <v>384000</v>
      </c>
      <c r="S205" s="64">
        <v>152000.00000000006</v>
      </c>
      <c r="T205" s="304">
        <f>IF(O205=0,0,O205-S205)</f>
        <v>233399.99999999994</v>
      </c>
      <c r="U205" s="52"/>
      <c r="V205" s="34"/>
      <c r="W205" s="408" t="s">
        <v>2086</v>
      </c>
    </row>
    <row r="206" spans="1:23" ht="12.75" customHeight="1" x14ac:dyDescent="0.2">
      <c r="A206" s="132">
        <v>200</v>
      </c>
      <c r="B206" s="44">
        <v>44373</v>
      </c>
      <c r="C206" s="44">
        <f t="shared" si="10"/>
        <v>44373</v>
      </c>
      <c r="D206" s="374">
        <v>79</v>
      </c>
      <c r="E206" s="291" t="str">
        <f>IFERROR(VLOOKUP($D206,'Clients-Live'!$A:$C,3,0),"")</f>
        <v>PASI SENYA</v>
      </c>
      <c r="F206" s="291">
        <f>IFERROR(INDEX(Disbursements!$D:$D,MATCH('Live Collections'!G206,Disbursements!$C:$C,0)),"")</f>
        <v>1</v>
      </c>
      <c r="G206" s="34">
        <v>64</v>
      </c>
      <c r="H206" s="34"/>
      <c r="I206" s="34" t="s">
        <v>1358</v>
      </c>
      <c r="J206" s="48"/>
      <c r="K206" s="48"/>
      <c r="L206" s="48"/>
      <c r="M206" s="48"/>
      <c r="N206" s="59"/>
      <c r="O206" s="59">
        <v>62500</v>
      </c>
      <c r="P206" s="59"/>
      <c r="Q206" s="268">
        <f t="shared" si="11"/>
        <v>62500</v>
      </c>
      <c r="R206" s="61">
        <f>IF(O206=0,0,SUMIFS(Disbursements!$T:$T,Disbursements!$B:$B,'Live Collections'!D206,Disbursements!$D:$D,'Live Collections'!F206))</f>
        <v>63000</v>
      </c>
      <c r="S206" s="304">
        <f>IF(O206&lt;=IF($O206=0,0,SUMIFS(Disbursements!$W:$W,Disbursements!$B:$B,'Live Collections'!D1013,Disbursements!$D:$D,'Live Collections'!F1013)),O206,IF($O206=0,0,SUMIFS(Disbursements!$W:$W,Disbursements!$B:$B,'Live Collections'!D1013,Disbursements!$D:$D,'Live Collections'!F1013)))</f>
        <v>25000</v>
      </c>
      <c r="T206" s="304">
        <f t="shared" si="12"/>
        <v>37500</v>
      </c>
      <c r="U206" s="52"/>
      <c r="V206" s="34"/>
      <c r="W206" s="408"/>
    </row>
    <row r="207" spans="1:23" ht="12.75" customHeight="1" x14ac:dyDescent="0.2">
      <c r="A207" s="257">
        <v>192</v>
      </c>
      <c r="B207" s="44">
        <v>44373</v>
      </c>
      <c r="C207" s="44">
        <f t="shared" si="10"/>
        <v>44373</v>
      </c>
      <c r="D207" s="374">
        <v>101</v>
      </c>
      <c r="E207" s="291" t="str">
        <f>IFERROR(VLOOKUP($D207,'Clients-Live'!$A:$C,3,0),"")</f>
        <v>AYIKO STEPHEN</v>
      </c>
      <c r="F207" s="291" t="str">
        <f>IFERROR(INDEX(Disbursements!$D:$D,MATCH('Live Collections'!G207,Disbursements!$C:$C,0)),"")</f>
        <v/>
      </c>
      <c r="G207" s="34"/>
      <c r="H207" s="34"/>
      <c r="I207" s="34" t="s">
        <v>1814</v>
      </c>
      <c r="J207" s="48">
        <v>15000</v>
      </c>
      <c r="K207" s="48">
        <v>5000</v>
      </c>
      <c r="L207" s="48"/>
      <c r="M207" s="48"/>
      <c r="N207" s="59"/>
      <c r="O207" s="59"/>
      <c r="P207" s="59"/>
      <c r="Q207" s="268">
        <f t="shared" si="11"/>
        <v>20000</v>
      </c>
      <c r="R207" s="61">
        <f>IF(O207=0,0,SUMIFS(Disbursements!$T:$T,Disbursements!$B:$B,'Live Collections'!D207,Disbursements!$D:$D,'Live Collections'!F207))</f>
        <v>0</v>
      </c>
      <c r="S207" s="304">
        <f>IF(O207&lt;=IF($O207=0,0,SUMIFS(Disbursements!$W:$W,Disbursements!$B:$B,'Live Collections'!D1300,Disbursements!$D:$D,'Live Collections'!F1300)),O207,IF($O207=0,0,SUMIFS(Disbursements!$W:$W,Disbursements!$B:$B,'Live Collections'!D1300,Disbursements!$D:$D,'Live Collections'!F1300)))</f>
        <v>0</v>
      </c>
      <c r="T207" s="304">
        <f t="shared" si="12"/>
        <v>0</v>
      </c>
      <c r="U207" s="52">
        <v>77262635</v>
      </c>
      <c r="V207" s="34"/>
      <c r="W207" s="408"/>
    </row>
    <row r="208" spans="1:23" ht="12.75" customHeight="1" x14ac:dyDescent="0.2">
      <c r="A208" s="132">
        <v>194</v>
      </c>
      <c r="B208" s="44">
        <v>44373</v>
      </c>
      <c r="C208" s="44">
        <f t="shared" si="10"/>
        <v>44373</v>
      </c>
      <c r="D208" s="374">
        <v>101</v>
      </c>
      <c r="E208" s="291" t="str">
        <f>IFERROR(VLOOKUP($D208,'Clients-Live'!$A:$C,3,0),"")</f>
        <v>AYIKO STEPHEN</v>
      </c>
      <c r="F208" s="291">
        <f>IFERROR(INDEX(Disbursements!$D:$D,MATCH('Live Collections'!G208,Disbursements!$C:$C,0)),"")</f>
        <v>1</v>
      </c>
      <c r="G208" s="34">
        <v>80</v>
      </c>
      <c r="H208" s="34"/>
      <c r="I208" s="34" t="s">
        <v>864</v>
      </c>
      <c r="J208" s="48"/>
      <c r="K208" s="48"/>
      <c r="L208" s="48">
        <v>10000</v>
      </c>
      <c r="M208" s="48">
        <v>5000</v>
      </c>
      <c r="N208" s="59"/>
      <c r="O208" s="59"/>
      <c r="P208" s="59">
        <v>200000</v>
      </c>
      <c r="Q208" s="268">
        <f t="shared" si="11"/>
        <v>215000</v>
      </c>
      <c r="R208" s="61">
        <f>IF(O208=0,0,SUMIFS(Disbursements!$T:$T,Disbursements!$B:$B,'Live Collections'!D208,Disbursements!$D:$D,'Live Collections'!F208))</f>
        <v>0</v>
      </c>
      <c r="S208" s="304">
        <f>IF(O208&lt;=IF($O208=0,0,SUMIFS(Disbursements!$W:$W,Disbursements!$B:$B,'Live Collections'!D1301,Disbursements!$D:$D,'Live Collections'!F1301)),O208,IF($O208=0,0,SUMIFS(Disbursements!$W:$W,Disbursements!$B:$B,'Live Collections'!D1301,Disbursements!$D:$D,'Live Collections'!F1301)))</f>
        <v>0</v>
      </c>
      <c r="T208" s="304">
        <f t="shared" si="12"/>
        <v>0</v>
      </c>
      <c r="U208" s="52"/>
      <c r="V208" s="34"/>
      <c r="W208" s="408"/>
    </row>
    <row r="209" spans="1:23" ht="12.75" customHeight="1" x14ac:dyDescent="0.2">
      <c r="A209" s="257">
        <v>193</v>
      </c>
      <c r="B209" s="44">
        <v>44373</v>
      </c>
      <c r="C209" s="44">
        <f t="shared" si="10"/>
        <v>44373</v>
      </c>
      <c r="D209" s="374">
        <v>102</v>
      </c>
      <c r="E209" s="291" t="str">
        <f>IFERROR(VLOOKUP($D209,'Clients-Live'!$A:$C,3,0),"")</f>
        <v>BATALI GODFREY JOHN</v>
      </c>
      <c r="F209" s="291" t="str">
        <f>IFERROR(INDEX(Disbursements!$D:$D,MATCH('Live Collections'!G209,Disbursements!$C:$C,0)),"")</f>
        <v/>
      </c>
      <c r="G209" s="34"/>
      <c r="H209" s="34"/>
      <c r="I209" s="34" t="s">
        <v>1814</v>
      </c>
      <c r="J209" s="48">
        <v>15000</v>
      </c>
      <c r="K209" s="48">
        <v>5000</v>
      </c>
      <c r="L209" s="48"/>
      <c r="M209" s="48"/>
      <c r="N209" s="59"/>
      <c r="O209" s="59"/>
      <c r="P209" s="59"/>
      <c r="Q209" s="268">
        <f t="shared" si="11"/>
        <v>20000</v>
      </c>
      <c r="R209" s="61">
        <f>IF(O209=0,0,SUMIFS(Disbursements!$T:$T,Disbursements!$B:$B,'Live Collections'!D209,Disbursements!$D:$D,'Live Collections'!F209))</f>
        <v>0</v>
      </c>
      <c r="S209" s="304">
        <f>IF(O209&lt;=IF($O209=0,0,SUMIFS(Disbursements!$W:$W,Disbursements!$B:$B,'Live Collections'!D1308,Disbursements!$D:$D,'Live Collections'!F1308)),O209,IF($O209=0,0,SUMIFS(Disbursements!$W:$W,Disbursements!$B:$B,'Live Collections'!D1308,Disbursements!$D:$D,'Live Collections'!F1308)))</f>
        <v>0</v>
      </c>
      <c r="T209" s="304">
        <f t="shared" si="12"/>
        <v>0</v>
      </c>
      <c r="U209" s="52">
        <v>786968044</v>
      </c>
      <c r="V209" s="34"/>
      <c r="W209" s="408"/>
    </row>
    <row r="210" spans="1:23" ht="12.75" customHeight="1" x14ac:dyDescent="0.2">
      <c r="A210" s="450">
        <v>212</v>
      </c>
      <c r="B210" s="451">
        <v>44375</v>
      </c>
      <c r="C210" s="451">
        <f t="shared" si="10"/>
        <v>44375</v>
      </c>
      <c r="D210" s="452">
        <v>6</v>
      </c>
      <c r="E210" s="453" t="str">
        <f>IFERROR(VLOOKUP($D210,'Clients-Live'!$A:$C,3,0),"")</f>
        <v>AMUTE BASHIR</v>
      </c>
      <c r="F210" s="453">
        <f>IFERROR(INDEX(Disbursements!$D:$D,MATCH('Live Collections'!G210,Disbursements!$C:$C,0)),"")</f>
        <v>1</v>
      </c>
      <c r="G210" s="454">
        <v>2</v>
      </c>
      <c r="H210" s="454">
        <v>409</v>
      </c>
      <c r="I210" s="454" t="s">
        <v>1358</v>
      </c>
      <c r="J210" s="455"/>
      <c r="K210" s="455"/>
      <c r="L210" s="455"/>
      <c r="M210" s="455"/>
      <c r="N210" s="456"/>
      <c r="O210" s="456"/>
      <c r="P210" s="456">
        <v>2960000</v>
      </c>
      <c r="Q210" s="457">
        <f t="shared" si="11"/>
        <v>2960000</v>
      </c>
      <c r="R210" s="456">
        <f>IF(O210=0,0,SUMIFS(Disbursements!$T:$T,Disbursements!$B:$B,'Live Collections'!D210,Disbursements!$D:$D,'Live Collections'!F210))</f>
        <v>0</v>
      </c>
      <c r="S210" s="455">
        <f>IF(O210&lt;=IF($O210=0,0,SUMIFS(Disbursements!$W:$W,Disbursements!$B:$B,'Live Collections'!D39,Disbursements!$D:$D,'Live Collections'!F39)),O210,IF($O210=0,0,SUMIFS(Disbursements!$W:$W,Disbursements!$B:$B,'Live Collections'!D39,Disbursements!$D:$D,'Live Collections'!F39)))</f>
        <v>0</v>
      </c>
      <c r="T210" s="455">
        <f t="shared" si="12"/>
        <v>0</v>
      </c>
      <c r="U210" s="458"/>
      <c r="V210" s="454"/>
      <c r="W210" s="459"/>
    </row>
    <row r="211" spans="1:23" ht="12.75" customHeight="1" x14ac:dyDescent="0.2">
      <c r="A211" s="257">
        <v>206</v>
      </c>
      <c r="B211" s="44">
        <v>44375</v>
      </c>
      <c r="C211" s="44">
        <f t="shared" si="10"/>
        <v>44375</v>
      </c>
      <c r="D211" s="374">
        <v>94</v>
      </c>
      <c r="E211" s="291" t="str">
        <f>IFERROR(VLOOKUP($D211,'Clients-Live'!$A:$C,3,0),"")</f>
        <v>NGINYA RICHARD</v>
      </c>
      <c r="F211" s="291">
        <f>IFERROR(INDEX(Disbursements!$D:$D,MATCH('Live Collections'!G211,Disbursements!$C:$C,0)),"")</f>
        <v>1</v>
      </c>
      <c r="G211" s="34">
        <v>84</v>
      </c>
      <c r="H211" s="34"/>
      <c r="I211" s="34" t="s">
        <v>864</v>
      </c>
      <c r="J211" s="48"/>
      <c r="K211" s="48"/>
      <c r="L211" s="48">
        <v>10000</v>
      </c>
      <c r="M211" s="48">
        <v>5000</v>
      </c>
      <c r="N211" s="59"/>
      <c r="O211" s="59"/>
      <c r="P211" s="59">
        <v>40000</v>
      </c>
      <c r="Q211" s="268">
        <f t="shared" si="11"/>
        <v>55000</v>
      </c>
      <c r="R211" s="61">
        <f>IF(O211=0,0,SUMIFS(Disbursements!$T:$T,Disbursements!$B:$B,'Live Collections'!D211,Disbursements!$D:$D,'Live Collections'!F211))</f>
        <v>0</v>
      </c>
      <c r="S211" s="304">
        <f>IF(O211&lt;=IF($O211=0,0,SUMIFS(Disbursements!$W:$W,Disbursements!$B:$B,'Live Collections'!D1210,Disbursements!$D:$D,'Live Collections'!F1210)),O211,IF($O211=0,0,SUMIFS(Disbursements!$W:$W,Disbursements!$B:$B,'Live Collections'!D1210,Disbursements!$D:$D,'Live Collections'!F1210)))</f>
        <v>0</v>
      </c>
      <c r="T211" s="304">
        <f t="shared" si="12"/>
        <v>0</v>
      </c>
      <c r="U211" s="52"/>
      <c r="V211" s="34"/>
      <c r="W211" s="408"/>
    </row>
    <row r="212" spans="1:23" ht="12.75" customHeight="1" x14ac:dyDescent="0.2">
      <c r="A212" s="132">
        <v>207</v>
      </c>
      <c r="B212" s="44">
        <v>44375</v>
      </c>
      <c r="C212" s="44">
        <f t="shared" si="10"/>
        <v>44375</v>
      </c>
      <c r="D212" s="374">
        <v>96</v>
      </c>
      <c r="E212" s="291" t="str">
        <f>IFERROR(VLOOKUP($D212,'Clients-Live'!$A:$C,3,0),"")</f>
        <v>AKANDU NIGHT YONGORO</v>
      </c>
      <c r="F212" s="291">
        <f>IFERROR(INDEX(Disbursements!$D:$D,MATCH('Live Collections'!G212,Disbursements!$C:$C,0)),"")</f>
        <v>1</v>
      </c>
      <c r="G212" s="34">
        <v>87</v>
      </c>
      <c r="H212" s="34"/>
      <c r="I212" s="34" t="s">
        <v>863</v>
      </c>
      <c r="J212" s="48"/>
      <c r="K212" s="48"/>
      <c r="L212" s="48">
        <v>10000</v>
      </c>
      <c r="M212" s="48">
        <v>5000</v>
      </c>
      <c r="N212" s="59"/>
      <c r="O212" s="59"/>
      <c r="P212" s="59">
        <v>60000</v>
      </c>
      <c r="Q212" s="268">
        <f t="shared" si="11"/>
        <v>75000</v>
      </c>
      <c r="R212" s="61">
        <f>IF(O212=0,0,SUMIFS(Disbursements!$T:$T,Disbursements!$B:$B,'Live Collections'!D212,Disbursements!$D:$D,'Live Collections'!F212))</f>
        <v>0</v>
      </c>
      <c r="S212" s="304">
        <f>IF(O212&lt;=IF($O212=0,0,SUMIFS(Disbursements!$W:$W,Disbursements!$B:$B,'Live Collections'!D1230,Disbursements!$D:$D,'Live Collections'!F1230)),O212,IF($O212=0,0,SUMIFS(Disbursements!$W:$W,Disbursements!$B:$B,'Live Collections'!D1230,Disbursements!$D:$D,'Live Collections'!F1230)))</f>
        <v>0</v>
      </c>
      <c r="T212" s="304">
        <f t="shared" si="12"/>
        <v>0</v>
      </c>
      <c r="U212" s="52"/>
      <c r="V212" s="34"/>
      <c r="W212" s="408"/>
    </row>
    <row r="213" spans="1:23" ht="12.75" customHeight="1" x14ac:dyDescent="0.2">
      <c r="A213" s="257">
        <v>208</v>
      </c>
      <c r="B213" s="44">
        <v>44375</v>
      </c>
      <c r="C213" s="44">
        <f t="shared" si="10"/>
        <v>44375</v>
      </c>
      <c r="D213" s="374">
        <v>98</v>
      </c>
      <c r="E213" s="291" t="str">
        <f>IFERROR(VLOOKUP($D213,'Clients-Live'!$A:$C,3,0),"")</f>
        <v>AMANIYO CLARA</v>
      </c>
      <c r="F213" s="291">
        <f>IFERROR(INDEX(Disbursements!$D:$D,MATCH('Live Collections'!G213,Disbursements!$C:$C,0)),"")</f>
        <v>1</v>
      </c>
      <c r="G213" s="34">
        <v>81</v>
      </c>
      <c r="H213" s="34"/>
      <c r="I213" s="34" t="s">
        <v>864</v>
      </c>
      <c r="J213" s="48"/>
      <c r="K213" s="48"/>
      <c r="L213" s="48">
        <v>10000</v>
      </c>
      <c r="M213" s="48">
        <v>5000</v>
      </c>
      <c r="N213" s="59"/>
      <c r="O213" s="59"/>
      <c r="P213" s="59">
        <v>50000</v>
      </c>
      <c r="Q213" s="268">
        <f t="shared" si="11"/>
        <v>65000</v>
      </c>
      <c r="R213" s="61">
        <f>IF(O213=0,0,SUMIFS(Disbursements!$T:$T,Disbursements!$B:$B,'Live Collections'!D213,Disbursements!$D:$D,'Live Collections'!F213))</f>
        <v>0</v>
      </c>
      <c r="S213" s="304">
        <f>IF(O213&lt;=IF($O213=0,0,SUMIFS(Disbursements!$W:$W,Disbursements!$B:$B,'Live Collections'!D1263,Disbursements!$D:$D,'Live Collections'!F1263)),O213,IF($O213=0,0,SUMIFS(Disbursements!$W:$W,Disbursements!$B:$B,'Live Collections'!D1263,Disbursements!$D:$D,'Live Collections'!F1263)))</f>
        <v>0</v>
      </c>
      <c r="T213" s="304">
        <f t="shared" si="12"/>
        <v>0</v>
      </c>
      <c r="U213" s="52"/>
      <c r="V213" s="34"/>
      <c r="W213" s="408"/>
    </row>
    <row r="214" spans="1:23" ht="12.75" customHeight="1" x14ac:dyDescent="0.2">
      <c r="A214" s="132">
        <v>209</v>
      </c>
      <c r="B214" s="44">
        <v>44375</v>
      </c>
      <c r="C214" s="44">
        <f t="shared" si="10"/>
        <v>44375</v>
      </c>
      <c r="D214" s="374">
        <v>99</v>
      </c>
      <c r="E214" s="291" t="str">
        <f>IFERROR(VLOOKUP($D214,'Clients-Live'!$A:$C,3,0),"")</f>
        <v>SIJALI ASINA SIS</v>
      </c>
      <c r="F214" s="291">
        <f>IFERROR(INDEX(Disbursements!$D:$D,MATCH('Live Collections'!G214,Disbursements!$C:$C,0)),"")</f>
        <v>1</v>
      </c>
      <c r="G214" s="34">
        <v>83</v>
      </c>
      <c r="H214" s="34"/>
      <c r="I214" s="34" t="s">
        <v>863</v>
      </c>
      <c r="J214" s="48"/>
      <c r="K214" s="48"/>
      <c r="L214" s="48">
        <v>10000</v>
      </c>
      <c r="M214" s="48">
        <v>5000</v>
      </c>
      <c r="N214" s="59"/>
      <c r="O214" s="59"/>
      <c r="P214" s="59">
        <v>60000</v>
      </c>
      <c r="Q214" s="268">
        <f t="shared" si="11"/>
        <v>75000</v>
      </c>
      <c r="R214" s="61">
        <f>IF(O214=0,0,SUMIFS(Disbursements!$T:$T,Disbursements!$B:$B,'Live Collections'!D214,Disbursements!$D:$D,'Live Collections'!F214))</f>
        <v>0</v>
      </c>
      <c r="S214" s="304">
        <f>IF(O214&lt;=IF($O214=0,0,SUMIFS(Disbursements!$W:$W,Disbursements!$B:$B,'Live Collections'!D1276,Disbursements!$D:$D,'Live Collections'!F1276)),O214,IF($O214=0,0,SUMIFS(Disbursements!$W:$W,Disbursements!$B:$B,'Live Collections'!D1276,Disbursements!$D:$D,'Live Collections'!F1276)))</f>
        <v>0</v>
      </c>
      <c r="T214" s="304">
        <f t="shared" si="12"/>
        <v>0</v>
      </c>
      <c r="U214" s="52"/>
      <c r="V214" s="34"/>
      <c r="W214" s="408"/>
    </row>
    <row r="215" spans="1:23" ht="12.75" customHeight="1" x14ac:dyDescent="0.2">
      <c r="A215" s="257">
        <v>210</v>
      </c>
      <c r="B215" s="44">
        <v>44375</v>
      </c>
      <c r="C215" s="44">
        <f t="shared" si="10"/>
        <v>44375</v>
      </c>
      <c r="D215" s="374">
        <v>100</v>
      </c>
      <c r="E215" s="291" t="str">
        <f>IFERROR(VLOOKUP($D215,'Clients-Live'!$A:$C,3,0),"")</f>
        <v>LETAYO DORCUS</v>
      </c>
      <c r="F215" s="291">
        <f>IFERROR(INDEX(Disbursements!$D:$D,MATCH('Live Collections'!G215,Disbursements!$C:$C,0)),"")</f>
        <v>1</v>
      </c>
      <c r="G215" s="34">
        <v>82</v>
      </c>
      <c r="H215" s="34"/>
      <c r="I215" s="34" t="s">
        <v>864</v>
      </c>
      <c r="J215" s="48"/>
      <c r="K215" s="48"/>
      <c r="L215" s="48">
        <v>10000</v>
      </c>
      <c r="M215" s="48">
        <v>5000</v>
      </c>
      <c r="N215" s="59"/>
      <c r="O215" s="59"/>
      <c r="P215" s="59">
        <v>30000</v>
      </c>
      <c r="Q215" s="268">
        <f t="shared" si="11"/>
        <v>45000</v>
      </c>
      <c r="R215" s="61">
        <f>IF(O215=0,0,SUMIFS(Disbursements!$T:$T,Disbursements!$B:$B,'Live Collections'!D215,Disbursements!$D:$D,'Live Collections'!F215))</f>
        <v>0</v>
      </c>
      <c r="S215" s="304">
        <f>IF(O215&lt;=IF($O215=0,0,SUMIFS(Disbursements!$W:$W,Disbursements!$B:$B,'Live Collections'!D1288,Disbursements!$D:$D,'Live Collections'!F1288)),O215,IF($O215=0,0,SUMIFS(Disbursements!$W:$W,Disbursements!$B:$B,'Live Collections'!D1288,Disbursements!$D:$D,'Live Collections'!F1288)))</f>
        <v>0</v>
      </c>
      <c r="T215" s="304">
        <f t="shared" si="12"/>
        <v>0</v>
      </c>
      <c r="U215" s="52"/>
      <c r="V215" s="34"/>
      <c r="W215" s="408"/>
    </row>
    <row r="216" spans="1:23" ht="12.75" customHeight="1" x14ac:dyDescent="0.2">
      <c r="A216" s="132">
        <v>203</v>
      </c>
      <c r="B216" s="44">
        <v>44375</v>
      </c>
      <c r="C216" s="44">
        <f t="shared" si="10"/>
        <v>44375</v>
      </c>
      <c r="D216" s="374">
        <v>103</v>
      </c>
      <c r="E216" s="291" t="str">
        <f>IFERROR(VLOOKUP($D216,'Clients-Live'!$A:$C,3,0),"")</f>
        <v>CHANDIRU ZABIB</v>
      </c>
      <c r="F216" s="291" t="str">
        <f>IFERROR(INDEX(Disbursements!$D:$D,MATCH('Live Collections'!G216,Disbursements!$C:$C,0)),"")</f>
        <v/>
      </c>
      <c r="G216" s="34"/>
      <c r="H216" s="34"/>
      <c r="I216" s="34" t="s">
        <v>1814</v>
      </c>
      <c r="J216" s="48">
        <v>15000</v>
      </c>
      <c r="K216" s="48">
        <v>5000</v>
      </c>
      <c r="L216" s="48"/>
      <c r="M216" s="48"/>
      <c r="N216" s="59"/>
      <c r="O216" s="59"/>
      <c r="P216" s="59"/>
      <c r="Q216" s="268">
        <f t="shared" si="11"/>
        <v>20000</v>
      </c>
      <c r="R216" s="61">
        <f>IF(O216=0,0,SUMIFS(Disbursements!$T:$T,Disbursements!$B:$B,'Live Collections'!D216,Disbursements!$D:$D,'Live Collections'!F216))</f>
        <v>0</v>
      </c>
      <c r="S216" s="304">
        <f>IF(O216&lt;=IF($O216=0,0,SUMIFS(Disbursements!$W:$W,Disbursements!$B:$B,'Live Collections'!D1320,Disbursements!$D:$D,'Live Collections'!F1320)),O216,IF($O216=0,0,SUMIFS(Disbursements!$W:$W,Disbursements!$B:$B,'Live Collections'!D1320,Disbursements!$D:$D,'Live Collections'!F1320)))</f>
        <v>0</v>
      </c>
      <c r="T216" s="304">
        <f t="shared" si="12"/>
        <v>0</v>
      </c>
      <c r="U216" s="52">
        <v>780128467</v>
      </c>
      <c r="V216" s="34"/>
      <c r="W216" s="408"/>
    </row>
    <row r="217" spans="1:23" ht="12.75" customHeight="1" x14ac:dyDescent="0.2">
      <c r="A217" s="257">
        <v>211</v>
      </c>
      <c r="B217" s="44">
        <v>44375</v>
      </c>
      <c r="C217" s="44">
        <f t="shared" si="10"/>
        <v>44375</v>
      </c>
      <c r="D217" s="374">
        <v>103</v>
      </c>
      <c r="E217" s="291" t="str">
        <f>IFERROR(VLOOKUP($D217,'Clients-Live'!$A:$C,3,0),"")</f>
        <v>CHANDIRU ZABIB</v>
      </c>
      <c r="F217" s="291">
        <f>IFERROR(INDEX(Disbursements!$D:$D,MATCH('Live Collections'!G217,Disbursements!$C:$C,0)),"")</f>
        <v>1</v>
      </c>
      <c r="G217" s="34">
        <v>88</v>
      </c>
      <c r="H217" s="34"/>
      <c r="I217" s="34" t="s">
        <v>863</v>
      </c>
      <c r="J217" s="48"/>
      <c r="K217" s="48"/>
      <c r="L217" s="48">
        <v>10000</v>
      </c>
      <c r="M217" s="48">
        <v>5000</v>
      </c>
      <c r="N217" s="59"/>
      <c r="O217" s="59"/>
      <c r="P217" s="59">
        <v>40000</v>
      </c>
      <c r="Q217" s="268">
        <f t="shared" si="11"/>
        <v>55000</v>
      </c>
      <c r="R217" s="61">
        <f>IF(O217=0,0,SUMIFS(Disbursements!$T:$T,Disbursements!$B:$B,'Live Collections'!D217,Disbursements!$D:$D,'Live Collections'!F217))</f>
        <v>0</v>
      </c>
      <c r="S217" s="304">
        <f>IF(O217&lt;=IF($O217=0,0,SUMIFS(Disbursements!$W:$W,Disbursements!$B:$B,'Live Collections'!D1321,Disbursements!$D:$D,'Live Collections'!F1321)),O217,IF($O217=0,0,SUMIFS(Disbursements!$W:$W,Disbursements!$B:$B,'Live Collections'!D1321,Disbursements!$D:$D,'Live Collections'!F1321)))</f>
        <v>0</v>
      </c>
      <c r="T217" s="304">
        <f t="shared" si="12"/>
        <v>0</v>
      </c>
      <c r="U217" s="52"/>
      <c r="V217" s="34"/>
      <c r="W217" s="408"/>
    </row>
    <row r="218" spans="1:23" ht="12.75" customHeight="1" x14ac:dyDescent="0.2">
      <c r="A218" s="132">
        <v>204</v>
      </c>
      <c r="B218" s="44">
        <v>44375</v>
      </c>
      <c r="C218" s="44">
        <f t="shared" si="10"/>
        <v>44375</v>
      </c>
      <c r="D218" s="374">
        <v>104</v>
      </c>
      <c r="E218" s="291" t="str">
        <f>IFERROR(VLOOKUP($D218,'Clients-Live'!$A:$C,3,0),"")</f>
        <v>IDIRA ALIMA</v>
      </c>
      <c r="F218" s="291" t="str">
        <f>IFERROR(INDEX(Disbursements!$D:$D,MATCH('Live Collections'!G218,Disbursements!$C:$C,0)),"")</f>
        <v/>
      </c>
      <c r="G218" s="34"/>
      <c r="H218" s="34"/>
      <c r="I218" s="34" t="s">
        <v>1814</v>
      </c>
      <c r="J218" s="48">
        <v>15000</v>
      </c>
      <c r="K218" s="48">
        <v>5000</v>
      </c>
      <c r="L218" s="48"/>
      <c r="M218" s="48"/>
      <c r="N218" s="59"/>
      <c r="O218" s="59"/>
      <c r="P218" s="59"/>
      <c r="Q218" s="268">
        <f t="shared" si="11"/>
        <v>20000</v>
      </c>
      <c r="R218" s="61">
        <f>IF(O218=0,0,SUMIFS(Disbursements!$T:$T,Disbursements!$B:$B,'Live Collections'!D218,Disbursements!$D:$D,'Live Collections'!F218))</f>
        <v>0</v>
      </c>
      <c r="S218" s="304">
        <f>IF(O218&lt;=IF($O218=0,0,SUMIFS(Disbursements!$W:$W,Disbursements!$B:$B,'Live Collections'!D1337,Disbursements!$D:$D,'Live Collections'!F1337)),O218,IF($O218=0,0,SUMIFS(Disbursements!$W:$W,Disbursements!$B:$B,'Live Collections'!D1337,Disbursements!$D:$D,'Live Collections'!F1337)))</f>
        <v>0</v>
      </c>
      <c r="T218" s="304">
        <f t="shared" si="12"/>
        <v>0</v>
      </c>
      <c r="U218" s="52">
        <v>788635530</v>
      </c>
      <c r="V218" s="34"/>
      <c r="W218" s="408"/>
    </row>
    <row r="219" spans="1:23" ht="12.75" customHeight="1" x14ac:dyDescent="0.2">
      <c r="A219" s="257">
        <v>205</v>
      </c>
      <c r="B219" s="44">
        <v>44375</v>
      </c>
      <c r="C219" s="44">
        <f t="shared" si="10"/>
        <v>44375</v>
      </c>
      <c r="D219" s="374">
        <v>105</v>
      </c>
      <c r="E219" s="291" t="str">
        <f>IFERROR(VLOOKUP($D219,'Clients-Live'!$A:$C,3,0),"")</f>
        <v>NUKA ROSE</v>
      </c>
      <c r="F219" s="291" t="str">
        <f>IFERROR(INDEX(Disbursements!$D:$D,MATCH('Live Collections'!G219,Disbursements!$C:$C,0)),"")</f>
        <v/>
      </c>
      <c r="G219" s="34"/>
      <c r="H219" s="34"/>
      <c r="I219" s="34" t="s">
        <v>1814</v>
      </c>
      <c r="J219" s="48">
        <v>15000</v>
      </c>
      <c r="K219" s="48">
        <v>5000</v>
      </c>
      <c r="L219" s="48"/>
      <c r="M219" s="48"/>
      <c r="N219" s="59"/>
      <c r="O219" s="59"/>
      <c r="P219" s="59"/>
      <c r="Q219" s="268">
        <f t="shared" si="11"/>
        <v>20000</v>
      </c>
      <c r="R219" s="61">
        <f>IF(O219=0,0,SUMIFS(Disbursements!$T:$T,Disbursements!$B:$B,'Live Collections'!D219,Disbursements!$D:$D,'Live Collections'!F219))</f>
        <v>0</v>
      </c>
      <c r="S219" s="304">
        <f>IF(O219&lt;=IF($O219=0,0,SUMIFS(Disbursements!$W:$W,Disbursements!$B:$B,'Live Collections'!D1348,Disbursements!$D:$D,'Live Collections'!F1348)),O219,IF($O219=0,0,SUMIFS(Disbursements!$W:$W,Disbursements!$B:$B,'Live Collections'!D1348,Disbursements!$D:$D,'Live Collections'!F1348)))</f>
        <v>0</v>
      </c>
      <c r="T219" s="304">
        <f t="shared" si="12"/>
        <v>0</v>
      </c>
      <c r="U219" s="52">
        <v>788635530</v>
      </c>
      <c r="V219" s="34"/>
      <c r="W219" s="408"/>
    </row>
    <row r="220" spans="1:23" ht="12.75" customHeight="1" x14ac:dyDescent="0.2">
      <c r="A220" s="132">
        <v>215</v>
      </c>
      <c r="B220" s="44">
        <v>44376</v>
      </c>
      <c r="C220" s="44">
        <f t="shared" si="10"/>
        <v>44376</v>
      </c>
      <c r="D220" s="374">
        <v>19</v>
      </c>
      <c r="E220" s="291" t="str">
        <f>IFERROR(VLOOKUP($D220,'Clients-Live'!$A:$C,3,0),"")</f>
        <v>ANGUPARU MOLLY</v>
      </c>
      <c r="F220" s="291">
        <f>IFERROR(INDEX(Disbursements!$D:$D,MATCH('Live Collections'!G220,Disbursements!$C:$C,0)),"")</f>
        <v>1</v>
      </c>
      <c r="G220" s="34">
        <v>12</v>
      </c>
      <c r="H220" s="34"/>
      <c r="I220" s="34" t="s">
        <v>1358</v>
      </c>
      <c r="J220" s="48"/>
      <c r="K220" s="48"/>
      <c r="L220" s="48"/>
      <c r="M220" s="48"/>
      <c r="N220" s="59"/>
      <c r="O220" s="59">
        <v>120000</v>
      </c>
      <c r="P220" s="59"/>
      <c r="Q220" s="268">
        <f t="shared" si="11"/>
        <v>120000</v>
      </c>
      <c r="R220" s="61">
        <f>IF(O220=0,0,SUMIFS(Disbursements!$T:$T,Disbursements!$B:$B,'Live Collections'!D220,Disbursements!$D:$D,'Live Collections'!F220))</f>
        <v>120000</v>
      </c>
      <c r="S220" s="304">
        <f>IF(O220&lt;=IF($O220=0,0,SUMIFS(Disbursements!$W:$W,Disbursements!$B:$B,'Live Collections'!D233,Disbursements!$D:$D,'Live Collections'!F233)),O220,IF($O220=0,0,SUMIFS(Disbursements!$W:$W,Disbursements!$B:$B,'Live Collections'!D233,Disbursements!$D:$D,'Live Collections'!F233)))</f>
        <v>50666.666666666686</v>
      </c>
      <c r="T220" s="304">
        <f t="shared" si="12"/>
        <v>69333.333333333314</v>
      </c>
      <c r="U220" s="52"/>
      <c r="V220" s="34"/>
      <c r="W220" s="408"/>
    </row>
    <row r="221" spans="1:23" ht="12.75" customHeight="1" x14ac:dyDescent="0.2">
      <c r="A221" s="257">
        <v>216</v>
      </c>
      <c r="B221" s="44">
        <v>44376</v>
      </c>
      <c r="C221" s="44">
        <f t="shared" si="10"/>
        <v>44376</v>
      </c>
      <c r="D221" s="374">
        <v>66</v>
      </c>
      <c r="E221" s="291" t="str">
        <f>IFERROR(VLOOKUP($D221,'Clients-Live'!$A:$C,3,0),"")</f>
        <v>DENAYA NYAMAZA</v>
      </c>
      <c r="F221" s="291">
        <f>IFERROR(INDEX(Disbursements!$D:$D,MATCH('Live Collections'!G221,Disbursements!$C:$C,0)),"")</f>
        <v>1</v>
      </c>
      <c r="G221" s="34">
        <v>53</v>
      </c>
      <c r="H221" s="34"/>
      <c r="I221" s="34" t="s">
        <v>1357</v>
      </c>
      <c r="J221" s="48"/>
      <c r="K221" s="48"/>
      <c r="L221" s="48"/>
      <c r="M221" s="48"/>
      <c r="N221" s="59"/>
      <c r="O221" s="59">
        <v>170000</v>
      </c>
      <c r="P221" s="59"/>
      <c r="Q221" s="268">
        <f t="shared" si="11"/>
        <v>170000</v>
      </c>
      <c r="R221" s="61">
        <f>IF(O221=0,0,SUMIFS(Disbursements!$T:$T,Disbursements!$B:$B,'Live Collections'!D221,Disbursements!$D:$D,'Live Collections'!F221))</f>
        <v>109000</v>
      </c>
      <c r="S221" s="304">
        <f>IF(O221&lt;=IF($O221=0,0,SUMIFS(Disbursements!$W:$W,Disbursements!$B:$B,'Live Collections'!D789,Disbursements!$D:$D,'Live Collections'!F789)),O221,IF($O221=0,0,SUMIFS(Disbursements!$W:$W,Disbursements!$B:$B,'Live Collections'!D789,Disbursements!$D:$D,'Live Collections'!F789)))</f>
        <v>25000</v>
      </c>
      <c r="T221" s="304">
        <f t="shared" si="12"/>
        <v>145000</v>
      </c>
      <c r="U221" s="52"/>
      <c r="V221" s="34"/>
      <c r="W221" s="408"/>
    </row>
    <row r="222" spans="1:23" ht="12.75" customHeight="1" x14ac:dyDescent="0.2">
      <c r="A222" s="132">
        <v>213</v>
      </c>
      <c r="B222" s="44">
        <v>44376</v>
      </c>
      <c r="C222" s="44">
        <f t="shared" si="10"/>
        <v>44376</v>
      </c>
      <c r="D222" s="374">
        <v>106</v>
      </c>
      <c r="E222" s="291" t="str">
        <f>IFERROR(VLOOKUP($D222,'Clients-Live'!$A:$C,3,0),"")</f>
        <v>ORODRIYO  NUSURA</v>
      </c>
      <c r="F222" s="291" t="str">
        <f>IFERROR(INDEX(Disbursements!$D:$D,MATCH('Live Collections'!G222,Disbursements!$C:$C,0)),"")</f>
        <v/>
      </c>
      <c r="G222" s="34"/>
      <c r="H222" s="34"/>
      <c r="I222" s="34" t="s">
        <v>1814</v>
      </c>
      <c r="J222" s="48">
        <v>15000</v>
      </c>
      <c r="K222" s="48">
        <v>5000</v>
      </c>
      <c r="L222" s="48"/>
      <c r="M222" s="48"/>
      <c r="N222" s="59"/>
      <c r="O222" s="59"/>
      <c r="P222" s="59"/>
      <c r="Q222" s="268">
        <f t="shared" si="11"/>
        <v>20000</v>
      </c>
      <c r="R222" s="61">
        <f>IF(O222=0,0,SUMIFS(Disbursements!$T:$T,Disbursements!$B:$B,'Live Collections'!D222,Disbursements!$D:$D,'Live Collections'!F222))</f>
        <v>0</v>
      </c>
      <c r="S222" s="304">
        <f>IF(O222&lt;=IF($O222=0,0,SUMIFS(Disbursements!$W:$W,Disbursements!$B:$B,'Live Collections'!D1359,Disbursements!$D:$D,'Live Collections'!F1359)),O222,IF($O222=0,0,SUMIFS(Disbursements!$W:$W,Disbursements!$B:$B,'Live Collections'!D1359,Disbursements!$D:$D,'Live Collections'!F1359)))</f>
        <v>0</v>
      </c>
      <c r="T222" s="304">
        <f t="shared" si="12"/>
        <v>0</v>
      </c>
      <c r="U222" s="52">
        <v>784647393</v>
      </c>
      <c r="V222" s="34"/>
      <c r="W222" s="408"/>
    </row>
    <row r="223" spans="1:23" ht="12.75" customHeight="1" x14ac:dyDescent="0.2">
      <c r="A223" s="257">
        <v>214</v>
      </c>
      <c r="B223" s="44">
        <v>44376</v>
      </c>
      <c r="C223" s="44">
        <f t="shared" si="10"/>
        <v>44376</v>
      </c>
      <c r="D223" s="374">
        <v>107</v>
      </c>
      <c r="E223" s="291" t="str">
        <f>IFERROR(VLOOKUP($D223,'Clients-Live'!$A:$C,3,0),"")</f>
        <v>LAKONY PETER</v>
      </c>
      <c r="F223" s="291" t="str">
        <f>IFERROR(INDEX(Disbursements!$D:$D,MATCH('Live Collections'!G223,Disbursements!$C:$C,0)),"")</f>
        <v/>
      </c>
      <c r="G223" s="34"/>
      <c r="H223" s="34"/>
      <c r="I223" s="34" t="s">
        <v>1814</v>
      </c>
      <c r="J223" s="48">
        <v>15000</v>
      </c>
      <c r="K223" s="48">
        <v>5000</v>
      </c>
      <c r="L223" s="48"/>
      <c r="M223" s="48"/>
      <c r="N223" s="59"/>
      <c r="O223" s="59"/>
      <c r="P223" s="59"/>
      <c r="Q223" s="268">
        <f t="shared" si="11"/>
        <v>20000</v>
      </c>
      <c r="R223" s="61">
        <f>IF(O223=0,0,SUMIFS(Disbursements!$T:$T,Disbursements!$B:$B,'Live Collections'!D223,Disbursements!$D:$D,'Live Collections'!F223))</f>
        <v>0</v>
      </c>
      <c r="S223" s="304">
        <f>IF(O223&lt;=IF($O223=0,0,SUMIFS(Disbursements!$W:$W,Disbursements!$B:$B,'Live Collections'!D1377,Disbursements!$D:$D,'Live Collections'!F1377)),O223,IF($O223=0,0,SUMIFS(Disbursements!$W:$W,Disbursements!$B:$B,'Live Collections'!D1377,Disbursements!$D:$D,'Live Collections'!F1377)))</f>
        <v>0</v>
      </c>
      <c r="T223" s="304">
        <f t="shared" si="12"/>
        <v>0</v>
      </c>
      <c r="U223" s="52">
        <v>782085978</v>
      </c>
      <c r="V223" s="34"/>
      <c r="W223" s="408"/>
    </row>
    <row r="224" spans="1:23" ht="12.75" customHeight="1" x14ac:dyDescent="0.2">
      <c r="A224" s="132">
        <v>222</v>
      </c>
      <c r="B224" s="44">
        <v>44377</v>
      </c>
      <c r="C224" s="44">
        <f t="shared" si="10"/>
        <v>44377</v>
      </c>
      <c r="D224" s="374">
        <v>38</v>
      </c>
      <c r="E224" s="291" t="str">
        <f>IFERROR(VLOOKUP($D224,'Clients-Live'!$A:$C,3,0),"")</f>
        <v>ANGUZU CHRIS RONALD</v>
      </c>
      <c r="F224" s="291">
        <f>IFERROR(INDEX(Disbursements!$D:$D,MATCH('Live Collections'!G224,Disbursements!$C:$C,0)),"")</f>
        <v>1</v>
      </c>
      <c r="G224" s="34">
        <v>22</v>
      </c>
      <c r="H224" s="34"/>
      <c r="I224" s="34" t="s">
        <v>1359</v>
      </c>
      <c r="J224" s="48"/>
      <c r="K224" s="48"/>
      <c r="L224" s="48"/>
      <c r="M224" s="48"/>
      <c r="N224" s="59"/>
      <c r="O224" s="59">
        <v>2150000</v>
      </c>
      <c r="P224" s="59"/>
      <c r="Q224" s="268">
        <f t="shared" si="11"/>
        <v>2150000</v>
      </c>
      <c r="R224" s="61">
        <f>IF(O224=0,0,SUMIFS(Disbursements!$T:$T,Disbursements!$B:$B,'Live Collections'!D224,Disbursements!$D:$D,'Live Collections'!F224))</f>
        <v>2150000</v>
      </c>
      <c r="S224" s="64">
        <v>150000</v>
      </c>
      <c r="T224" s="304">
        <f t="shared" si="12"/>
        <v>2000000</v>
      </c>
      <c r="U224" s="52"/>
      <c r="V224" s="34"/>
      <c r="W224" s="408" t="s">
        <v>2086</v>
      </c>
    </row>
    <row r="225" spans="1:23" ht="12.75" customHeight="1" x14ac:dyDescent="0.2">
      <c r="A225" s="257">
        <v>219</v>
      </c>
      <c r="B225" s="44">
        <v>44377</v>
      </c>
      <c r="C225" s="44">
        <f t="shared" si="10"/>
        <v>44377</v>
      </c>
      <c r="D225" s="374">
        <v>104</v>
      </c>
      <c r="E225" s="291" t="str">
        <f>IFERROR(VLOOKUP($D225,'Clients-Live'!$A:$C,3,0),"")</f>
        <v>IDIRA ALIMA</v>
      </c>
      <c r="F225" s="291">
        <f>IFERROR(INDEX(Disbursements!$D:$D,MATCH('Live Collections'!G225,Disbursements!$C:$C,0)),"")</f>
        <v>1</v>
      </c>
      <c r="G225" s="34">
        <v>86</v>
      </c>
      <c r="H225" s="34"/>
      <c r="I225" s="34" t="s">
        <v>862</v>
      </c>
      <c r="J225" s="48"/>
      <c r="K225" s="48"/>
      <c r="L225" s="48">
        <v>10000</v>
      </c>
      <c r="M225" s="48">
        <v>5000</v>
      </c>
      <c r="N225" s="59"/>
      <c r="O225" s="59"/>
      <c r="P225" s="59">
        <v>50000</v>
      </c>
      <c r="Q225" s="268">
        <f t="shared" si="11"/>
        <v>65000</v>
      </c>
      <c r="R225" s="61">
        <f>IF(O225=0,0,SUMIFS(Disbursements!$T:$T,Disbursements!$B:$B,'Live Collections'!D225,Disbursements!$D:$D,'Live Collections'!F225))</f>
        <v>0</v>
      </c>
      <c r="S225" s="304">
        <f>IF(O225&lt;=IF($O225=0,0,SUMIFS(Disbursements!$W:$W,Disbursements!$B:$B,'Live Collections'!D1338,Disbursements!$D:$D,'Live Collections'!F1338)),O225,IF($O225=0,0,SUMIFS(Disbursements!$W:$W,Disbursements!$B:$B,'Live Collections'!D1338,Disbursements!$D:$D,'Live Collections'!F1338)))</f>
        <v>0</v>
      </c>
      <c r="T225" s="304">
        <f t="shared" si="12"/>
        <v>0</v>
      </c>
      <c r="U225" s="52"/>
      <c r="V225" s="34"/>
      <c r="W225" s="408"/>
    </row>
    <row r="226" spans="1:23" ht="12.75" customHeight="1" x14ac:dyDescent="0.2">
      <c r="A226" s="132">
        <v>220</v>
      </c>
      <c r="B226" s="44">
        <v>44377</v>
      </c>
      <c r="C226" s="44">
        <f t="shared" si="10"/>
        <v>44377</v>
      </c>
      <c r="D226" s="374">
        <v>105</v>
      </c>
      <c r="E226" s="291" t="str">
        <f>IFERROR(VLOOKUP($D226,'Clients-Live'!$A:$C,3,0),"")</f>
        <v>NUKA ROSE</v>
      </c>
      <c r="F226" s="291">
        <f>IFERROR(INDEX(Disbursements!$D:$D,MATCH('Live Collections'!G226,Disbursements!$C:$C,0)),"")</f>
        <v>1</v>
      </c>
      <c r="G226" s="34">
        <v>85</v>
      </c>
      <c r="H226" s="34"/>
      <c r="I226" s="34" t="s">
        <v>862</v>
      </c>
      <c r="J226" s="48"/>
      <c r="K226" s="48"/>
      <c r="L226" s="48">
        <v>10000</v>
      </c>
      <c r="M226" s="48">
        <v>5000</v>
      </c>
      <c r="N226" s="59"/>
      <c r="O226" s="59"/>
      <c r="P226" s="59">
        <v>30000</v>
      </c>
      <c r="Q226" s="268">
        <f t="shared" si="11"/>
        <v>45000</v>
      </c>
      <c r="R226" s="61">
        <f>IF(O226=0,0,SUMIFS(Disbursements!$T:$T,Disbursements!$B:$B,'Live Collections'!D226,Disbursements!$D:$D,'Live Collections'!F226))</f>
        <v>0</v>
      </c>
      <c r="S226" s="304">
        <f>IF(O226&lt;=IF($O226=0,0,SUMIFS(Disbursements!$W:$W,Disbursements!$B:$B,'Live Collections'!D1349,Disbursements!$D:$D,'Live Collections'!F1349)),O226,IF($O226=0,0,SUMIFS(Disbursements!$W:$W,Disbursements!$B:$B,'Live Collections'!D1349,Disbursements!$D:$D,'Live Collections'!F1349)))</f>
        <v>0</v>
      </c>
      <c r="T226" s="304">
        <f t="shared" si="12"/>
        <v>0</v>
      </c>
      <c r="U226" s="52"/>
      <c r="V226" s="34"/>
      <c r="W226" s="408"/>
    </row>
    <row r="227" spans="1:23" ht="12.75" customHeight="1" x14ac:dyDescent="0.2">
      <c r="A227" s="257">
        <v>221</v>
      </c>
      <c r="B227" s="44">
        <v>44377</v>
      </c>
      <c r="C227" s="44">
        <f t="shared" si="10"/>
        <v>44377</v>
      </c>
      <c r="D227" s="374">
        <v>106</v>
      </c>
      <c r="E227" s="291" t="str">
        <f>IFERROR(VLOOKUP($D227,'Clients-Live'!$A:$C,3,0),"")</f>
        <v>ORODRIYO  NUSURA</v>
      </c>
      <c r="F227" s="291">
        <f>IFERROR(INDEX(Disbursements!$D:$D,MATCH('Live Collections'!G227,Disbursements!$C:$C,0)),"")</f>
        <v>1</v>
      </c>
      <c r="G227" s="34">
        <v>89</v>
      </c>
      <c r="H227" s="34"/>
      <c r="I227" s="34" t="s">
        <v>864</v>
      </c>
      <c r="J227" s="48"/>
      <c r="K227" s="48"/>
      <c r="L227" s="48">
        <v>10000</v>
      </c>
      <c r="M227" s="48">
        <v>5000</v>
      </c>
      <c r="N227" s="59"/>
      <c r="O227" s="59"/>
      <c r="P227" s="59">
        <v>20000</v>
      </c>
      <c r="Q227" s="268">
        <f t="shared" si="11"/>
        <v>35000</v>
      </c>
      <c r="R227" s="61">
        <f>IF(O227=0,0,SUMIFS(Disbursements!$T:$T,Disbursements!$B:$B,'Live Collections'!D227,Disbursements!$D:$D,'Live Collections'!F227))</f>
        <v>0</v>
      </c>
      <c r="S227" s="304">
        <f>IF(O227&lt;=IF($O227=0,0,SUMIFS(Disbursements!$W:$W,Disbursements!$B:$B,'Live Collections'!D1360,Disbursements!$D:$D,'Live Collections'!F1360)),O227,IF($O227=0,0,SUMIFS(Disbursements!$W:$W,Disbursements!$B:$B,'Live Collections'!D1360,Disbursements!$D:$D,'Live Collections'!F1360)))</f>
        <v>0</v>
      </c>
      <c r="T227" s="304">
        <f t="shared" si="12"/>
        <v>0</v>
      </c>
      <c r="U227" s="52"/>
      <c r="V227" s="34"/>
      <c r="W227" s="408"/>
    </row>
    <row r="228" spans="1:23" ht="12.75" customHeight="1" x14ac:dyDescent="0.2">
      <c r="A228" s="132">
        <v>217</v>
      </c>
      <c r="B228" s="44">
        <v>44377</v>
      </c>
      <c r="C228" s="44">
        <f t="shared" si="10"/>
        <v>44377</v>
      </c>
      <c r="D228" s="374">
        <v>108</v>
      </c>
      <c r="E228" s="291" t="str">
        <f>IFERROR(VLOOKUP($D228,'Clients-Live'!$A:$C,3,0),"")</f>
        <v>DUDU JOICE</v>
      </c>
      <c r="F228" s="291" t="str">
        <f>IFERROR(INDEX(Disbursements!$D:$D,MATCH('Live Collections'!G228,Disbursements!$C:$C,0)),"")</f>
        <v/>
      </c>
      <c r="G228" s="34"/>
      <c r="H228" s="34"/>
      <c r="I228" s="34" t="s">
        <v>1814</v>
      </c>
      <c r="J228" s="48">
        <v>15000</v>
      </c>
      <c r="K228" s="48">
        <v>5000</v>
      </c>
      <c r="L228" s="48"/>
      <c r="M228" s="48"/>
      <c r="N228" s="59"/>
      <c r="O228" s="59"/>
      <c r="P228" s="59"/>
      <c r="Q228" s="268">
        <f t="shared" si="11"/>
        <v>20000</v>
      </c>
      <c r="R228" s="61">
        <f>IF(O228=0,0,SUMIFS(Disbursements!$T:$T,Disbursements!$B:$B,'Live Collections'!D228,Disbursements!$D:$D,'Live Collections'!F228))</f>
        <v>0</v>
      </c>
      <c r="S228" s="304">
        <f>IF(O228&lt;=IF($O228=0,0,SUMIFS(Disbursements!$W:$W,Disbursements!$B:$B,'Live Collections'!D1383,Disbursements!$D:$D,'Live Collections'!F1383)),O228,IF($O228=0,0,SUMIFS(Disbursements!$W:$W,Disbursements!$B:$B,'Live Collections'!D1383,Disbursements!$D:$D,'Live Collections'!F1383)))</f>
        <v>0</v>
      </c>
      <c r="T228" s="304">
        <f t="shared" si="12"/>
        <v>0</v>
      </c>
      <c r="U228" s="52">
        <v>777043035</v>
      </c>
      <c r="V228" s="34"/>
      <c r="W228" s="408"/>
    </row>
    <row r="229" spans="1:23" ht="12.75" customHeight="1" x14ac:dyDescent="0.2">
      <c r="A229" s="257">
        <v>218</v>
      </c>
      <c r="B229" s="44">
        <v>44377</v>
      </c>
      <c r="C229" s="44">
        <f t="shared" si="10"/>
        <v>44377</v>
      </c>
      <c r="D229" s="374">
        <v>109</v>
      </c>
      <c r="E229" s="291" t="str">
        <f>IFERROR(VLOOKUP($D229,'Clients-Live'!$A:$C,3,0),"")</f>
        <v>TABU KISA</v>
      </c>
      <c r="F229" s="291" t="str">
        <f>IFERROR(INDEX(Disbursements!$D:$D,MATCH('Live Collections'!G229,Disbursements!$C:$C,0)),"")</f>
        <v/>
      </c>
      <c r="G229" s="34"/>
      <c r="H229" s="34"/>
      <c r="I229" s="34" t="s">
        <v>1814</v>
      </c>
      <c r="J229" s="48">
        <v>15000</v>
      </c>
      <c r="K229" s="48">
        <v>5000</v>
      </c>
      <c r="L229" s="48"/>
      <c r="M229" s="48"/>
      <c r="N229" s="59"/>
      <c r="O229" s="59"/>
      <c r="P229" s="59"/>
      <c r="Q229" s="268">
        <f t="shared" si="11"/>
        <v>20000</v>
      </c>
      <c r="R229" s="61">
        <f>IF(O229=0,0,SUMIFS(Disbursements!$T:$T,Disbursements!$B:$B,'Live Collections'!D229,Disbursements!$D:$D,'Live Collections'!F229))</f>
        <v>0</v>
      </c>
      <c r="S229" s="304">
        <f>IF(O229&lt;=IF($O229=0,0,SUMIFS(Disbursements!$W:$W,Disbursements!$B:$B,'Live Collections'!D1396,Disbursements!$D:$D,'Live Collections'!F1396)),O229,IF($O229=0,0,SUMIFS(Disbursements!$W:$W,Disbursements!$B:$B,'Live Collections'!D1396,Disbursements!$D:$D,'Live Collections'!F1396)))</f>
        <v>0</v>
      </c>
      <c r="T229" s="304">
        <f t="shared" si="12"/>
        <v>0</v>
      </c>
      <c r="U229" s="52">
        <v>778376198</v>
      </c>
      <c r="V229" s="34"/>
      <c r="W229" s="408"/>
    </row>
    <row r="230" spans="1:23" ht="12.75" customHeight="1" x14ac:dyDescent="0.2">
      <c r="A230" s="132">
        <v>235</v>
      </c>
      <c r="B230" s="44">
        <v>44378</v>
      </c>
      <c r="C230" s="44">
        <f t="shared" si="10"/>
        <v>44378</v>
      </c>
      <c r="D230" s="374">
        <v>21</v>
      </c>
      <c r="E230" s="291" t="str">
        <f>IFERROR(VLOOKUP($D230,'Clients-Live'!$A:$C,3,0),"")</f>
        <v>ESABORU EUNICE</v>
      </c>
      <c r="F230" s="291">
        <f>IFERROR(INDEX(Disbursements!$D:$D,MATCH('Live Collections'!G230,Disbursements!$C:$C,0)),"")</f>
        <v>1</v>
      </c>
      <c r="G230" s="34">
        <v>17</v>
      </c>
      <c r="H230" s="34">
        <v>465</v>
      </c>
      <c r="I230" s="34" t="s">
        <v>1358</v>
      </c>
      <c r="J230" s="48"/>
      <c r="K230" s="48"/>
      <c r="L230" s="48"/>
      <c r="M230" s="48"/>
      <c r="N230" s="59"/>
      <c r="O230" s="59">
        <v>60000</v>
      </c>
      <c r="P230" s="59"/>
      <c r="Q230" s="268">
        <f t="shared" si="11"/>
        <v>60000</v>
      </c>
      <c r="R230" s="61">
        <f>IF(O230=0,0,SUMIFS(Disbursements!$T:$T,Disbursements!$B:$B,'Live Collections'!D230,Disbursements!$D:$D,'Live Collections'!F230))</f>
        <v>90000</v>
      </c>
      <c r="S230" s="304">
        <f>IF(O230&lt;=IF($O230=0,0,SUMIFS(Disbursements!$W:$W,Disbursements!$B:$B,'Live Collections'!D265,Disbursements!$D:$D,'Live Collections'!F265)),O230,IF($O230=0,0,SUMIFS(Disbursements!$W:$W,Disbursements!$B:$B,'Live Collections'!D265,Disbursements!$D:$D,'Live Collections'!F265)))</f>
        <v>50333.333333333343</v>
      </c>
      <c r="T230" s="304">
        <f t="shared" si="12"/>
        <v>9666.666666666657</v>
      </c>
      <c r="U230" s="52"/>
      <c r="V230" s="34"/>
      <c r="W230" s="408"/>
    </row>
    <row r="231" spans="1:23" ht="12.75" customHeight="1" x14ac:dyDescent="0.2">
      <c r="A231" s="257">
        <v>233</v>
      </c>
      <c r="B231" s="44">
        <v>44378</v>
      </c>
      <c r="C231" s="44">
        <f t="shared" si="10"/>
        <v>44378</v>
      </c>
      <c r="D231" s="374">
        <v>23</v>
      </c>
      <c r="E231" s="291" t="str">
        <f>IFERROR(VLOOKUP($D231,'Clients-Live'!$A:$C,3,0),"")</f>
        <v>BADARU KEVIN ATELIONGA</v>
      </c>
      <c r="F231" s="291">
        <f>IFERROR(INDEX(Disbursements!$D:$D,MATCH('Live Collections'!G231,Disbursements!$C:$C,0)),"")</f>
        <v>1</v>
      </c>
      <c r="G231" s="34">
        <v>14</v>
      </c>
      <c r="H231" s="34"/>
      <c r="I231" s="34" t="s">
        <v>1357</v>
      </c>
      <c r="J231" s="48"/>
      <c r="K231" s="48"/>
      <c r="L231" s="48"/>
      <c r="M231" s="48"/>
      <c r="N231" s="59"/>
      <c r="O231" s="59">
        <v>65000</v>
      </c>
      <c r="P231" s="59"/>
      <c r="Q231" s="268">
        <f t="shared" si="11"/>
        <v>65000</v>
      </c>
      <c r="R231" s="61">
        <f>IF(O231=0,0,SUMIFS(Disbursements!$T:$T,Disbursements!$B:$B,'Live Collections'!D231,Disbursements!$D:$D,'Live Collections'!F231))</f>
        <v>33000</v>
      </c>
      <c r="S231" s="304">
        <f>IF(O231&lt;=IF($O231=0,0,SUMIFS(Disbursements!$W:$W,Disbursements!$B:$B,'Live Collections'!D310,Disbursements!$D:$D,'Live Collections'!F310)),O231,IF($O231=0,0,SUMIFS(Disbursements!$W:$W,Disbursements!$B:$B,'Live Collections'!D310,Disbursements!$D:$D,'Live Collections'!F310)))</f>
        <v>50333.333333333343</v>
      </c>
      <c r="T231" s="304">
        <f t="shared" si="12"/>
        <v>14666.666666666657</v>
      </c>
      <c r="U231" s="52"/>
      <c r="V231" s="34"/>
      <c r="W231" s="408"/>
    </row>
    <row r="232" spans="1:23" ht="12.75" customHeight="1" x14ac:dyDescent="0.2">
      <c r="A232" s="132">
        <v>234</v>
      </c>
      <c r="B232" s="44">
        <v>44378</v>
      </c>
      <c r="C232" s="44">
        <f t="shared" si="10"/>
        <v>44378</v>
      </c>
      <c r="D232" s="374">
        <v>33</v>
      </c>
      <c r="E232" s="291" t="str">
        <f>IFERROR(VLOOKUP($D232,'Clients-Live'!$A:$C,3,0),"")</f>
        <v>MUZEE OMAR</v>
      </c>
      <c r="F232" s="291">
        <f>IFERROR(INDEX(Disbursements!$D:$D,MATCH('Live Collections'!G232,Disbursements!$C:$C,0)),"")</f>
        <v>1</v>
      </c>
      <c r="G232" s="34">
        <v>26</v>
      </c>
      <c r="H232" s="34">
        <v>456</v>
      </c>
      <c r="I232" s="34" t="s">
        <v>1357</v>
      </c>
      <c r="J232" s="48"/>
      <c r="K232" s="48"/>
      <c r="L232" s="48"/>
      <c r="M232" s="48"/>
      <c r="N232" s="59"/>
      <c r="O232" s="59">
        <v>40000</v>
      </c>
      <c r="P232" s="59"/>
      <c r="Q232" s="268">
        <f t="shared" si="11"/>
        <v>40000</v>
      </c>
      <c r="R232" s="61">
        <f>IF(O232=0,0,SUMIFS(Disbursements!$T:$T,Disbursements!$B:$B,'Live Collections'!D232,Disbursements!$D:$D,'Live Collections'!F232))</f>
        <v>109000</v>
      </c>
      <c r="S232" s="304">
        <f>IF(O232&lt;=IF($O232=0,0,SUMIFS(Disbursements!$W:$W,Disbursements!$B:$B,'Live Collections'!D379,Disbursements!$D:$D,'Live Collections'!F379)),O232,IF($O232=0,0,SUMIFS(Disbursements!$W:$W,Disbursements!$B:$B,'Live Collections'!D379,Disbursements!$D:$D,'Live Collections'!F379)))</f>
        <v>30000</v>
      </c>
      <c r="T232" s="304">
        <f t="shared" si="12"/>
        <v>10000</v>
      </c>
      <c r="U232" s="52"/>
      <c r="V232" s="34"/>
      <c r="W232" s="408"/>
    </row>
    <row r="233" spans="1:23" ht="12.75" customHeight="1" x14ac:dyDescent="0.2">
      <c r="A233" s="257">
        <v>230</v>
      </c>
      <c r="B233" s="44">
        <v>44378</v>
      </c>
      <c r="C233" s="44">
        <f t="shared" si="10"/>
        <v>44378</v>
      </c>
      <c r="D233" s="374">
        <v>34</v>
      </c>
      <c r="E233" s="291" t="str">
        <f>IFERROR(VLOOKUP($D233,'Clients-Live'!$A:$C,3,0),"")</f>
        <v>APEKURU FLORENCE</v>
      </c>
      <c r="F233" s="291">
        <f>IFERROR(INDEX(Disbursements!$D:$D,MATCH('Live Collections'!G233,Disbursements!$C:$C,0)),"")</f>
        <v>1</v>
      </c>
      <c r="G233" s="34">
        <v>19</v>
      </c>
      <c r="H233" s="34"/>
      <c r="I233" s="34" t="s">
        <v>1359</v>
      </c>
      <c r="J233" s="48"/>
      <c r="K233" s="48"/>
      <c r="L233" s="48"/>
      <c r="M233" s="48"/>
      <c r="N233" s="59"/>
      <c r="O233" s="59">
        <v>383600</v>
      </c>
      <c r="P233" s="59"/>
      <c r="Q233" s="268">
        <f t="shared" si="11"/>
        <v>383600</v>
      </c>
      <c r="R233" s="61">
        <f>IF(O233=0,0,SUMIFS(Disbursements!$T:$T,Disbursements!$B:$B,'Live Collections'!D233,Disbursements!$D:$D,'Live Collections'!F233))</f>
        <v>384000</v>
      </c>
      <c r="S233" s="304">
        <f>IF(O233&lt;=IF($O233=0,0,SUMIFS(Disbursements!$W:$W,Disbursements!$B:$B,'Live Collections'!D392,Disbursements!$D:$D,'Live Collections'!F392)),O233,IF($O233=0,0,SUMIFS(Disbursements!$W:$W,Disbursements!$B:$B,'Live Collections'!D392,Disbursements!$D:$D,'Live Collections'!F392)))</f>
        <v>150000</v>
      </c>
      <c r="T233" s="304">
        <f t="shared" si="12"/>
        <v>233600</v>
      </c>
      <c r="U233" s="52"/>
      <c r="V233" s="34"/>
      <c r="W233" s="408"/>
    </row>
    <row r="234" spans="1:23" ht="12.75" customHeight="1" x14ac:dyDescent="0.2">
      <c r="A234" s="132">
        <v>223</v>
      </c>
      <c r="B234" s="44">
        <v>44378</v>
      </c>
      <c r="C234" s="44">
        <f t="shared" si="10"/>
        <v>44378</v>
      </c>
      <c r="D234" s="374">
        <v>34</v>
      </c>
      <c r="E234" s="291" t="str">
        <f>IFERROR(VLOOKUP($D234,'Clients-Live'!$A:$C,3,0),"")</f>
        <v>APEKURU FLORENCE</v>
      </c>
      <c r="F234" s="291" t="str">
        <f>IFERROR(INDEX(Disbursements!$D:$D,MATCH('Live Collections'!G234,Disbursements!$C:$C,0)),"")</f>
        <v/>
      </c>
      <c r="G234" s="34"/>
      <c r="H234" s="34"/>
      <c r="I234" s="34" t="s">
        <v>1814</v>
      </c>
      <c r="J234" s="48"/>
      <c r="K234" s="48">
        <v>5000</v>
      </c>
      <c r="L234" s="48"/>
      <c r="M234" s="48"/>
      <c r="N234" s="59"/>
      <c r="O234" s="59"/>
      <c r="P234" s="59"/>
      <c r="Q234" s="268">
        <f t="shared" si="11"/>
        <v>5000</v>
      </c>
      <c r="R234" s="61">
        <f>IF(O234=0,0,SUMIFS(Disbursements!$T:$T,Disbursements!$B:$B,'Live Collections'!D234,Disbursements!$D:$D,'Live Collections'!F234))</f>
        <v>0</v>
      </c>
      <c r="S234" s="304">
        <f>IF(O234&lt;=IF($O234=0,0,SUMIFS(Disbursements!$W:$W,Disbursements!$B:$B,'Live Collections'!D393,Disbursements!$D:$D,'Live Collections'!F393)),O234,IF($O234=0,0,SUMIFS(Disbursements!$W:$W,Disbursements!$B:$B,'Live Collections'!D393,Disbursements!$D:$D,'Live Collections'!F393)))</f>
        <v>0</v>
      </c>
      <c r="T234" s="304">
        <f t="shared" si="12"/>
        <v>0</v>
      </c>
      <c r="U234" s="52">
        <v>777515872</v>
      </c>
      <c r="V234" s="34"/>
      <c r="W234" s="408" t="s">
        <v>462</v>
      </c>
    </row>
    <row r="235" spans="1:23" ht="12.75" customHeight="1" x14ac:dyDescent="0.2">
      <c r="A235" s="257">
        <v>231</v>
      </c>
      <c r="B235" s="44">
        <v>44378</v>
      </c>
      <c r="C235" s="44">
        <f t="shared" si="10"/>
        <v>44378</v>
      </c>
      <c r="D235" s="374">
        <v>35</v>
      </c>
      <c r="E235" s="291" t="str">
        <f>IFERROR(VLOOKUP($D235,'Clients-Live'!$A:$C,3,0),"")</f>
        <v>ALEZUYO DOCUS</v>
      </c>
      <c r="F235" s="291">
        <f>IFERROR(INDEX(Disbursements!$D:$D,MATCH('Live Collections'!G235,Disbursements!$C:$C,0)),"")</f>
        <v>1</v>
      </c>
      <c r="G235" s="34">
        <v>20</v>
      </c>
      <c r="H235" s="34"/>
      <c r="I235" s="34" t="s">
        <v>1357</v>
      </c>
      <c r="J235" s="48"/>
      <c r="K235" s="48"/>
      <c r="L235" s="48"/>
      <c r="M235" s="48"/>
      <c r="N235" s="59"/>
      <c r="O235" s="59">
        <v>150000</v>
      </c>
      <c r="P235" s="59"/>
      <c r="Q235" s="268">
        <f t="shared" si="11"/>
        <v>150000</v>
      </c>
      <c r="R235" s="61">
        <f>IF(O235=0,0,SUMIFS(Disbursements!$T:$T,Disbursements!$B:$B,'Live Collections'!D235,Disbursements!$D:$D,'Live Collections'!F235))</f>
        <v>150000</v>
      </c>
      <c r="S235" s="304">
        <f>IF(O235&lt;=IF($O235=0,0,SUMIFS(Disbursements!$W:$W,Disbursements!$B:$B,'Live Collections'!D405,Disbursements!$D:$D,'Live Collections'!F405)),O235,IF($O235=0,0,SUMIFS(Disbursements!$W:$W,Disbursements!$B:$B,'Live Collections'!D405,Disbursements!$D:$D,'Live Collections'!F405)))</f>
        <v>25000</v>
      </c>
      <c r="T235" s="304">
        <f t="shared" si="12"/>
        <v>125000</v>
      </c>
      <c r="U235" s="52"/>
      <c r="V235" s="34"/>
      <c r="W235" s="408"/>
    </row>
    <row r="236" spans="1:23" ht="12.75" customHeight="1" x14ac:dyDescent="0.2">
      <c r="A236" s="132">
        <v>236</v>
      </c>
      <c r="B236" s="44">
        <v>44378</v>
      </c>
      <c r="C236" s="44">
        <f t="shared" si="10"/>
        <v>44378</v>
      </c>
      <c r="D236" s="374">
        <v>40</v>
      </c>
      <c r="E236" s="291" t="str">
        <f>IFERROR(VLOOKUP($D236,'Clients-Live'!$A:$C,3,0),"")</f>
        <v>TABU JANE</v>
      </c>
      <c r="F236" s="291">
        <f>IFERROR(INDEX(Disbursements!$D:$D,MATCH('Live Collections'!G236,Disbursements!$C:$C,0)),"")</f>
        <v>1</v>
      </c>
      <c r="G236" s="34">
        <v>24</v>
      </c>
      <c r="H236" s="34"/>
      <c r="I236" s="34" t="s">
        <v>1358</v>
      </c>
      <c r="J236" s="48"/>
      <c r="K236" s="48"/>
      <c r="L236" s="48"/>
      <c r="M236" s="48"/>
      <c r="N236" s="59"/>
      <c r="O236" s="59">
        <v>150000</v>
      </c>
      <c r="P236" s="59"/>
      <c r="Q236" s="268">
        <f t="shared" si="11"/>
        <v>150000</v>
      </c>
      <c r="R236" s="61">
        <f>IF(O236=0,0,SUMIFS(Disbursements!$T:$T,Disbursements!$B:$B,'Live Collections'!D236,Disbursements!$D:$D,'Live Collections'!F236))</f>
        <v>150000</v>
      </c>
      <c r="S236" s="304">
        <f>IF(O236&lt;=IF($O236=0,0,SUMIFS(Disbursements!$W:$W,Disbursements!$B:$B,'Live Collections'!D432,Disbursements!$D:$D,'Live Collections'!F432)),O236,IF($O236=0,0,SUMIFS(Disbursements!$W:$W,Disbursements!$B:$B,'Live Collections'!D432,Disbursements!$D:$D,'Live Collections'!F432)))</f>
        <v>50333.333333333343</v>
      </c>
      <c r="T236" s="304">
        <f t="shared" si="12"/>
        <v>99666.666666666657</v>
      </c>
      <c r="U236" s="52"/>
      <c r="V236" s="34"/>
      <c r="W236" s="408"/>
    </row>
    <row r="237" spans="1:23" ht="12.75" customHeight="1" x14ac:dyDescent="0.2">
      <c r="A237" s="257">
        <v>227</v>
      </c>
      <c r="B237" s="44">
        <v>44378</v>
      </c>
      <c r="C237" s="44">
        <f t="shared" si="10"/>
        <v>44378</v>
      </c>
      <c r="D237" s="374">
        <v>41</v>
      </c>
      <c r="E237" s="291" t="str">
        <f>IFERROR(VLOOKUP($D237,'Clients-Live'!$A:$C,3,0),"")</f>
        <v>ANGUYO RONALD</v>
      </c>
      <c r="F237" s="291">
        <f>IFERROR(INDEX(Disbursements!$D:$D,MATCH('Live Collections'!G237,Disbursements!$C:$C,0)),"")</f>
        <v>2</v>
      </c>
      <c r="G237" s="34">
        <v>90</v>
      </c>
      <c r="H237" s="34"/>
      <c r="I237" s="34" t="s">
        <v>863</v>
      </c>
      <c r="J237" s="48"/>
      <c r="K237" s="48"/>
      <c r="L237" s="48">
        <v>10000</v>
      </c>
      <c r="M237" s="48">
        <v>5000</v>
      </c>
      <c r="N237" s="59"/>
      <c r="O237" s="59"/>
      <c r="P237" s="59">
        <v>50000</v>
      </c>
      <c r="Q237" s="268">
        <f t="shared" si="11"/>
        <v>65000</v>
      </c>
      <c r="R237" s="61">
        <f>IF(O237=0,0,SUMIFS(Disbursements!$T:$T,Disbursements!$B:$B,'Live Collections'!D237,Disbursements!$D:$D,'Live Collections'!F237))</f>
        <v>0</v>
      </c>
      <c r="S237" s="304">
        <f>IF(O237&lt;=IF($O237=0,0,SUMIFS(Disbursements!$W:$W,Disbursements!$B:$B,'Live Collections'!D445,Disbursements!$D:$D,'Live Collections'!F445)),O237,IF($O237=0,0,SUMIFS(Disbursements!$W:$W,Disbursements!$B:$B,'Live Collections'!D445,Disbursements!$D:$D,'Live Collections'!F445)))</f>
        <v>0</v>
      </c>
      <c r="T237" s="304">
        <f t="shared" si="12"/>
        <v>0</v>
      </c>
      <c r="U237" s="52"/>
      <c r="V237" s="34"/>
      <c r="W237" s="408"/>
    </row>
    <row r="238" spans="1:23" ht="12.75" customHeight="1" x14ac:dyDescent="0.2">
      <c r="A238" s="132">
        <v>232</v>
      </c>
      <c r="B238" s="44">
        <v>44378</v>
      </c>
      <c r="C238" s="44">
        <f t="shared" si="10"/>
        <v>44378</v>
      </c>
      <c r="D238" s="374">
        <v>41</v>
      </c>
      <c r="E238" s="291" t="str">
        <f>IFERROR(VLOOKUP($D238,'Clients-Live'!$A:$C,3,0),"")</f>
        <v>ANGUYO RONALD</v>
      </c>
      <c r="F238" s="291">
        <f>IFERROR(INDEX(Disbursements!$D:$D,MATCH('Live Collections'!G238,Disbursements!$C:$C,0)),"")</f>
        <v>2</v>
      </c>
      <c r="G238" s="34">
        <v>90</v>
      </c>
      <c r="H238" s="34"/>
      <c r="I238" s="34" t="s">
        <v>1358</v>
      </c>
      <c r="J238" s="48"/>
      <c r="K238" s="48"/>
      <c r="L238" s="48"/>
      <c r="M238" s="48"/>
      <c r="N238" s="59"/>
      <c r="O238" s="59">
        <v>537500</v>
      </c>
      <c r="P238" s="59"/>
      <c r="Q238" s="268">
        <f t="shared" si="11"/>
        <v>537500</v>
      </c>
      <c r="R238" s="61">
        <f>IF(O238=0,0,SUMIFS(Disbursements!$T:$T,Disbursements!$B:$B,'Live Collections'!D238,Disbursements!$D:$D,'Live Collections'!F238))</f>
        <v>538000</v>
      </c>
      <c r="S238" s="64">
        <v>38000</v>
      </c>
      <c r="T238" s="304">
        <f>IF(O238=0,0,O238-S238)+500</f>
        <v>500000</v>
      </c>
      <c r="U238" s="52"/>
      <c r="V238" s="34"/>
      <c r="W238" s="408" t="s">
        <v>2086</v>
      </c>
    </row>
    <row r="239" spans="1:23" ht="12.75" customHeight="1" x14ac:dyDescent="0.2">
      <c r="A239" s="257">
        <v>228</v>
      </c>
      <c r="B239" s="44">
        <v>44378</v>
      </c>
      <c r="C239" s="44">
        <f t="shared" si="10"/>
        <v>44378</v>
      </c>
      <c r="D239" s="374">
        <v>108</v>
      </c>
      <c r="E239" s="291" t="str">
        <f>IFERROR(VLOOKUP($D239,'Clients-Live'!$A:$C,3,0),"")</f>
        <v>DUDU JOICE</v>
      </c>
      <c r="F239" s="291">
        <f>IFERROR(INDEX(Disbursements!$D:$D,MATCH('Live Collections'!G239,Disbursements!$C:$C,0)),"")</f>
        <v>1</v>
      </c>
      <c r="G239" s="34">
        <v>91</v>
      </c>
      <c r="H239" s="34"/>
      <c r="I239" s="34" t="s">
        <v>862</v>
      </c>
      <c r="J239" s="48"/>
      <c r="K239" s="48"/>
      <c r="L239" s="48">
        <v>10000</v>
      </c>
      <c r="M239" s="48">
        <v>5000</v>
      </c>
      <c r="N239" s="59"/>
      <c r="O239" s="59"/>
      <c r="P239" s="59">
        <v>60000</v>
      </c>
      <c r="Q239" s="268">
        <f t="shared" si="11"/>
        <v>75000</v>
      </c>
      <c r="R239" s="61">
        <f>IF(O239=0,0,SUMIFS(Disbursements!$T:$T,Disbursements!$B:$B,'Live Collections'!D239,Disbursements!$D:$D,'Live Collections'!F239))</f>
        <v>0</v>
      </c>
      <c r="S239" s="304">
        <f>IF(O239&lt;=IF($O239=0,0,SUMIFS(Disbursements!$W:$W,Disbursements!$B:$B,'Live Collections'!D1384,Disbursements!$D:$D,'Live Collections'!F1384)),O239,IF($O239=0,0,SUMIFS(Disbursements!$W:$W,Disbursements!$B:$B,'Live Collections'!D1384,Disbursements!$D:$D,'Live Collections'!F1384)))</f>
        <v>0</v>
      </c>
      <c r="T239" s="304">
        <f t="shared" si="12"/>
        <v>0</v>
      </c>
      <c r="U239" s="52"/>
      <c r="V239" s="34"/>
      <c r="W239" s="408"/>
    </row>
    <row r="240" spans="1:23" ht="12.75" customHeight="1" x14ac:dyDescent="0.2">
      <c r="A240" s="132">
        <v>224</v>
      </c>
      <c r="B240" s="44">
        <v>44378</v>
      </c>
      <c r="C240" s="44">
        <f t="shared" si="10"/>
        <v>44378</v>
      </c>
      <c r="D240" s="374">
        <v>111</v>
      </c>
      <c r="E240" s="291" t="str">
        <f>IFERROR(VLOOKUP($D240,'Clients-Live'!$A:$C,3,0),"")</f>
        <v>ANDAKU CHARLES JULIAN</v>
      </c>
      <c r="F240" s="291" t="str">
        <f>IFERROR(INDEX(Disbursements!$D:$D,MATCH('Live Collections'!G240,Disbursements!$C:$C,0)),"")</f>
        <v/>
      </c>
      <c r="G240" s="34"/>
      <c r="H240" s="34"/>
      <c r="I240" s="34" t="s">
        <v>1814</v>
      </c>
      <c r="J240" s="48">
        <v>15000</v>
      </c>
      <c r="K240" s="48">
        <v>5000</v>
      </c>
      <c r="L240" s="48"/>
      <c r="M240" s="48"/>
      <c r="N240" s="59"/>
      <c r="O240" s="59"/>
      <c r="P240" s="59"/>
      <c r="Q240" s="268">
        <f t="shared" si="11"/>
        <v>20000</v>
      </c>
      <c r="R240" s="61">
        <f>IF(O240=0,0,SUMIFS(Disbursements!$T:$T,Disbursements!$B:$B,'Live Collections'!D240,Disbursements!$D:$D,'Live Collections'!F240))</f>
        <v>0</v>
      </c>
      <c r="S240" s="304">
        <f>IF(O240&lt;=IF($O240=0,0,SUMIFS(Disbursements!$W:$W,Disbursements!$B:$B,'Live Collections'!D1411,Disbursements!$D:$D,'Live Collections'!F1411)),O240,IF($O240=0,0,SUMIFS(Disbursements!$W:$W,Disbursements!$B:$B,'Live Collections'!D1411,Disbursements!$D:$D,'Live Collections'!F1411)))</f>
        <v>0</v>
      </c>
      <c r="T240" s="304">
        <f t="shared" si="12"/>
        <v>0</v>
      </c>
      <c r="U240" s="52">
        <v>778376198</v>
      </c>
      <c r="V240" s="34"/>
      <c r="W240" s="408"/>
    </row>
    <row r="241" spans="1:23" ht="12.75" customHeight="1" x14ac:dyDescent="0.2">
      <c r="A241" s="257">
        <v>225</v>
      </c>
      <c r="B241" s="44">
        <v>44378</v>
      </c>
      <c r="C241" s="44">
        <f t="shared" si="10"/>
        <v>44378</v>
      </c>
      <c r="D241" s="374">
        <v>112</v>
      </c>
      <c r="E241" s="291" t="str">
        <f>IFERROR(VLOOKUP($D241,'Clients-Live'!$A:$C,3,0),"")</f>
        <v>NURA JOYCE</v>
      </c>
      <c r="F241" s="291" t="str">
        <f>IFERROR(INDEX(Disbursements!$D:$D,MATCH('Live Collections'!G241,Disbursements!$C:$C,0)),"")</f>
        <v/>
      </c>
      <c r="G241" s="34"/>
      <c r="H241" s="34"/>
      <c r="I241" s="34" t="s">
        <v>1814</v>
      </c>
      <c r="J241" s="48">
        <v>15000</v>
      </c>
      <c r="K241" s="48">
        <v>5000</v>
      </c>
      <c r="L241" s="48"/>
      <c r="M241" s="48"/>
      <c r="N241" s="59"/>
      <c r="O241" s="59"/>
      <c r="P241" s="59"/>
      <c r="Q241" s="268">
        <f t="shared" si="11"/>
        <v>20000</v>
      </c>
      <c r="R241" s="61">
        <f>IF(O241=0,0,SUMIFS(Disbursements!$T:$T,Disbursements!$B:$B,'Live Collections'!D241,Disbursements!$D:$D,'Live Collections'!F241))</f>
        <v>0</v>
      </c>
      <c r="S241" s="304">
        <f>IF(O241&lt;=IF($O241=0,0,SUMIFS(Disbursements!$W:$W,Disbursements!$B:$B,'Live Collections'!D1423,Disbursements!$D:$D,'Live Collections'!F1423)),O241,IF($O241=0,0,SUMIFS(Disbursements!$W:$W,Disbursements!$B:$B,'Live Collections'!D1423,Disbursements!$D:$D,'Live Collections'!F1423)))</f>
        <v>0</v>
      </c>
      <c r="T241" s="304">
        <f t="shared" si="12"/>
        <v>0</v>
      </c>
      <c r="U241" s="52">
        <v>782728232</v>
      </c>
      <c r="V241" s="34"/>
      <c r="W241" s="408"/>
    </row>
    <row r="242" spans="1:23" ht="12.75" customHeight="1" x14ac:dyDescent="0.2">
      <c r="A242" s="132">
        <v>226</v>
      </c>
      <c r="B242" s="44">
        <v>44378</v>
      </c>
      <c r="C242" s="44">
        <f t="shared" si="10"/>
        <v>44378</v>
      </c>
      <c r="D242" s="374">
        <v>113</v>
      </c>
      <c r="E242" s="291" t="str">
        <f>IFERROR(VLOOKUP($D242,'Clients-Live'!$A:$C,3,0),"")</f>
        <v>ATIKU AMULE ISAAC</v>
      </c>
      <c r="F242" s="291" t="str">
        <f>IFERROR(INDEX(Disbursements!$D:$D,MATCH('Live Collections'!G242,Disbursements!$C:$C,0)),"")</f>
        <v/>
      </c>
      <c r="G242" s="34"/>
      <c r="H242" s="34"/>
      <c r="I242" s="34" t="s">
        <v>1814</v>
      </c>
      <c r="J242" s="48">
        <v>15000</v>
      </c>
      <c r="K242" s="48">
        <v>5000</v>
      </c>
      <c r="L242" s="48"/>
      <c r="M242" s="48"/>
      <c r="N242" s="59"/>
      <c r="O242" s="59"/>
      <c r="P242" s="59"/>
      <c r="Q242" s="268">
        <f t="shared" si="11"/>
        <v>20000</v>
      </c>
      <c r="R242" s="61">
        <f>IF(O242=0,0,SUMIFS(Disbursements!$T:$T,Disbursements!$B:$B,'Live Collections'!D242,Disbursements!$D:$D,'Live Collections'!F242))</f>
        <v>0</v>
      </c>
      <c r="S242" s="304">
        <f>IF(O242&lt;=IF($O242=0,0,SUMIFS(Disbursements!$W:$W,Disbursements!$B:$B,'Live Collections'!D1438,Disbursements!$D:$D,'Live Collections'!F1438)),O242,IF($O242=0,0,SUMIFS(Disbursements!$W:$W,Disbursements!$B:$B,'Live Collections'!D1438,Disbursements!$D:$D,'Live Collections'!F1438)))</f>
        <v>0</v>
      </c>
      <c r="T242" s="304">
        <f t="shared" si="12"/>
        <v>0</v>
      </c>
      <c r="U242" s="52">
        <v>773165638</v>
      </c>
      <c r="V242" s="34"/>
      <c r="W242" s="408"/>
    </row>
    <row r="243" spans="1:23" ht="12.75" customHeight="1" x14ac:dyDescent="0.2">
      <c r="A243" s="257">
        <v>229</v>
      </c>
      <c r="B243" s="44">
        <v>44378</v>
      </c>
      <c r="C243" s="44">
        <f t="shared" si="10"/>
        <v>44378</v>
      </c>
      <c r="D243" s="374">
        <v>113</v>
      </c>
      <c r="E243" s="291" t="str">
        <f>IFERROR(VLOOKUP($D243,'Clients-Live'!$A:$C,3,0),"")</f>
        <v>ATIKU AMULE ISAAC</v>
      </c>
      <c r="F243" s="291">
        <f>IFERROR(INDEX(Disbursements!$D:$D,MATCH('Live Collections'!G243,Disbursements!$C:$C,0)),"")</f>
        <v>1</v>
      </c>
      <c r="G243" s="34">
        <v>92</v>
      </c>
      <c r="H243" s="34"/>
      <c r="I243" s="34" t="s">
        <v>863</v>
      </c>
      <c r="J243" s="48"/>
      <c r="K243" s="48"/>
      <c r="L243" s="48">
        <v>10000</v>
      </c>
      <c r="M243" s="48">
        <v>5000</v>
      </c>
      <c r="N243" s="59"/>
      <c r="O243" s="59"/>
      <c r="P243" s="59">
        <v>50000</v>
      </c>
      <c r="Q243" s="268">
        <f t="shared" si="11"/>
        <v>65000</v>
      </c>
      <c r="R243" s="61">
        <f>IF(O243=0,0,SUMIFS(Disbursements!$T:$T,Disbursements!$B:$B,'Live Collections'!D243,Disbursements!$D:$D,'Live Collections'!F243))</f>
        <v>0</v>
      </c>
      <c r="S243" s="304">
        <f>IF(O243&lt;=IF($O243=0,0,SUMIFS(Disbursements!$W:$W,Disbursements!$B:$B,'Live Collections'!D1439,Disbursements!$D:$D,'Live Collections'!F1439)),O243,IF($O243=0,0,SUMIFS(Disbursements!$W:$W,Disbursements!$B:$B,'Live Collections'!D1439,Disbursements!$D:$D,'Live Collections'!F1439)))</f>
        <v>0</v>
      </c>
      <c r="T243" s="304">
        <f t="shared" si="12"/>
        <v>0</v>
      </c>
      <c r="U243" s="52"/>
      <c r="V243" s="34"/>
      <c r="W243" s="408"/>
    </row>
    <row r="244" spans="1:23" ht="12.75" customHeight="1" x14ac:dyDescent="0.2">
      <c r="A244" s="132">
        <v>242</v>
      </c>
      <c r="B244" s="44">
        <v>44379</v>
      </c>
      <c r="C244" s="44">
        <f t="shared" si="10"/>
        <v>44379</v>
      </c>
      <c r="D244" s="374">
        <v>9</v>
      </c>
      <c r="E244" s="291" t="str">
        <f>IFERROR(VLOOKUP($D244,'Clients-Live'!$A:$C,3,0),"")</f>
        <v>TABAN DAVID YAYA</v>
      </c>
      <c r="F244" s="291">
        <f>IFERROR(INDEX(Disbursements!$D:$D,MATCH('Live Collections'!G244,Disbursements!$C:$C,0)),"")</f>
        <v>1</v>
      </c>
      <c r="G244" s="34">
        <v>45</v>
      </c>
      <c r="H244" s="34"/>
      <c r="I244" s="34" t="s">
        <v>1357</v>
      </c>
      <c r="J244" s="48"/>
      <c r="K244" s="48"/>
      <c r="L244" s="48"/>
      <c r="M244" s="48"/>
      <c r="N244" s="59"/>
      <c r="O244" s="59">
        <v>30000</v>
      </c>
      <c r="P244" s="59"/>
      <c r="Q244" s="268">
        <f t="shared" si="11"/>
        <v>30000</v>
      </c>
      <c r="R244" s="61">
        <f>IF(O244=0,0,SUMIFS(Disbursements!$T:$T,Disbursements!$B:$B,'Live Collections'!D244,Disbursements!$D:$D,'Live Collections'!F244))</f>
        <v>180000</v>
      </c>
      <c r="S244" s="304">
        <f>IF(O244&lt;=IF($O244=0,0,SUMIFS(Disbursements!$W:$W,Disbursements!$B:$B,'Live Collections'!D124,Disbursements!$D:$D,'Live Collections'!F124)),O244,IF($O244=0,0,SUMIFS(Disbursements!$W:$W,Disbursements!$B:$B,'Live Collections'!D124,Disbursements!$D:$D,'Live Collections'!F124)))</f>
        <v>0</v>
      </c>
      <c r="T244" s="304">
        <f t="shared" si="12"/>
        <v>30000</v>
      </c>
      <c r="U244" s="52"/>
      <c r="V244" s="34"/>
      <c r="W244" s="408"/>
    </row>
    <row r="245" spans="1:23" ht="12.75" customHeight="1" x14ac:dyDescent="0.2">
      <c r="A245" s="257">
        <v>243</v>
      </c>
      <c r="B245" s="44">
        <v>44379</v>
      </c>
      <c r="C245" s="44">
        <f t="shared" si="10"/>
        <v>44379</v>
      </c>
      <c r="D245" s="374">
        <v>14</v>
      </c>
      <c r="E245" s="291" t="str">
        <f>IFERROR(VLOOKUP($D245,'Clients-Live'!$A:$C,3,0),"")</f>
        <v>ASIKU ROMANO ADEBUA</v>
      </c>
      <c r="F245" s="291">
        <f>IFERROR(INDEX(Disbursements!$D:$D,MATCH('Live Collections'!G245,Disbursements!$C:$C,0)),"")</f>
        <v>1</v>
      </c>
      <c r="G245" s="34">
        <v>5</v>
      </c>
      <c r="H245" s="34"/>
      <c r="I245" s="34" t="s">
        <v>1357</v>
      </c>
      <c r="J245" s="48"/>
      <c r="K245" s="48"/>
      <c r="L245" s="48"/>
      <c r="M245" s="48"/>
      <c r="N245" s="59"/>
      <c r="O245" s="59">
        <v>125000</v>
      </c>
      <c r="P245" s="59"/>
      <c r="Q245" s="268">
        <f t="shared" si="11"/>
        <v>125000</v>
      </c>
      <c r="R245" s="61">
        <f>IF(O245=0,0,SUMIFS(Disbursements!$T:$T,Disbursements!$B:$B,'Live Collections'!D245,Disbursements!$D:$D,'Live Collections'!F245))</f>
        <v>217000</v>
      </c>
      <c r="S245" s="304">
        <f>IF(O245&lt;=IF($O245=0,0,SUMIFS(Disbursements!$W:$W,Disbursements!$B:$B,'Live Collections'!D148,Disbursements!$D:$D,'Live Collections'!F148)),O245,IF($O245=0,0,SUMIFS(Disbursements!$W:$W,Disbursements!$B:$B,'Live Collections'!D148,Disbursements!$D:$D,'Live Collections'!F148)))</f>
        <v>0</v>
      </c>
      <c r="T245" s="304">
        <f t="shared" si="12"/>
        <v>125000</v>
      </c>
      <c r="U245" s="52"/>
      <c r="V245" s="34"/>
      <c r="W245" s="408"/>
    </row>
    <row r="246" spans="1:23" ht="12.75" customHeight="1" x14ac:dyDescent="0.2">
      <c r="A246" s="132">
        <v>240</v>
      </c>
      <c r="B246" s="44">
        <v>44379</v>
      </c>
      <c r="C246" s="44">
        <f t="shared" si="10"/>
        <v>44379</v>
      </c>
      <c r="D246" s="374">
        <v>111</v>
      </c>
      <c r="E246" s="291" t="str">
        <f>IFERROR(VLOOKUP($D246,'Clients-Live'!$A:$C,3,0),"")</f>
        <v>ANDAKU CHARLES JULIAN</v>
      </c>
      <c r="F246" s="291">
        <f>IFERROR(INDEX(Disbursements!$D:$D,MATCH('Live Collections'!G246,Disbursements!$C:$C,0)),"")</f>
        <v>2</v>
      </c>
      <c r="G246" s="34">
        <v>236</v>
      </c>
      <c r="H246" s="34">
        <v>469</v>
      </c>
      <c r="I246" s="34" t="s">
        <v>864</v>
      </c>
      <c r="J246" s="48"/>
      <c r="K246" s="48"/>
      <c r="L246" s="48">
        <v>10000</v>
      </c>
      <c r="M246" s="48">
        <v>5000</v>
      </c>
      <c r="N246" s="59"/>
      <c r="O246" s="59"/>
      <c r="P246" s="59">
        <v>40000</v>
      </c>
      <c r="Q246" s="268">
        <f t="shared" si="11"/>
        <v>55000</v>
      </c>
      <c r="R246" s="61">
        <f>IF(O246=0,0,SUMIFS(Disbursements!$T:$T,Disbursements!$B:$B,'Live Collections'!D246,Disbursements!$D:$D,'Live Collections'!F246))</f>
        <v>0</v>
      </c>
      <c r="S246" s="304">
        <f>IF(O246&lt;=IF($O246=0,0,SUMIFS(Disbursements!$W:$W,Disbursements!$B:$B,'Live Collections'!D1412,Disbursements!$D:$D,'Live Collections'!F1412)),O246,IF($O246=0,0,SUMIFS(Disbursements!$W:$W,Disbursements!$B:$B,'Live Collections'!D1412,Disbursements!$D:$D,'Live Collections'!F1412)))</f>
        <v>0</v>
      </c>
      <c r="T246" s="304">
        <f t="shared" si="12"/>
        <v>0</v>
      </c>
      <c r="U246" s="52"/>
      <c r="V246" s="34"/>
      <c r="W246" s="408"/>
    </row>
    <row r="247" spans="1:23" ht="12.75" customHeight="1" x14ac:dyDescent="0.2">
      <c r="A247" s="257">
        <v>237</v>
      </c>
      <c r="B247" s="44">
        <v>44379</v>
      </c>
      <c r="C247" s="44">
        <f t="shared" si="10"/>
        <v>44379</v>
      </c>
      <c r="D247" s="374">
        <v>114</v>
      </c>
      <c r="E247" s="291" t="str">
        <f>IFERROR(VLOOKUP($D247,'Clients-Live'!$A:$C,3,0),"")</f>
        <v>ONZIA EMMILY</v>
      </c>
      <c r="F247" s="291" t="str">
        <f>IFERROR(INDEX(Disbursements!$D:$D,MATCH('Live Collections'!G247,Disbursements!$C:$C,0)),"")</f>
        <v/>
      </c>
      <c r="G247" s="34"/>
      <c r="H247" s="34"/>
      <c r="I247" s="34" t="s">
        <v>1814</v>
      </c>
      <c r="J247" s="48">
        <v>15000</v>
      </c>
      <c r="K247" s="48">
        <v>5000</v>
      </c>
      <c r="L247" s="48"/>
      <c r="M247" s="48"/>
      <c r="N247" s="59"/>
      <c r="O247" s="59"/>
      <c r="P247" s="59"/>
      <c r="Q247" s="268">
        <f t="shared" si="11"/>
        <v>20000</v>
      </c>
      <c r="R247" s="61">
        <f>IF(O247=0,0,SUMIFS(Disbursements!$T:$T,Disbursements!$B:$B,'Live Collections'!D247,Disbursements!$D:$D,'Live Collections'!F247))</f>
        <v>0</v>
      </c>
      <c r="S247" s="304">
        <f>IF(O247&lt;=IF($O247=0,0,SUMIFS(Disbursements!$W:$W,Disbursements!$B:$B,'Live Collections'!D1451,Disbursements!$D:$D,'Live Collections'!F1451)),O247,IF($O247=0,0,SUMIFS(Disbursements!$W:$W,Disbursements!$B:$B,'Live Collections'!D1451,Disbursements!$D:$D,'Live Collections'!F1451)))</f>
        <v>0</v>
      </c>
      <c r="T247" s="304">
        <f t="shared" si="12"/>
        <v>0</v>
      </c>
      <c r="U247" s="52">
        <v>776072755</v>
      </c>
      <c r="V247" s="34"/>
      <c r="W247" s="408"/>
    </row>
    <row r="248" spans="1:23" ht="12.75" customHeight="1" x14ac:dyDescent="0.2">
      <c r="A248" s="132">
        <v>238</v>
      </c>
      <c r="B248" s="44">
        <v>44379</v>
      </c>
      <c r="C248" s="44">
        <f t="shared" si="10"/>
        <v>44379</v>
      </c>
      <c r="D248" s="374">
        <v>115</v>
      </c>
      <c r="E248" s="291" t="str">
        <f>IFERROR(VLOOKUP($D248,'Clients-Live'!$A:$C,3,0),"")</f>
        <v>AYIKE SAUDA</v>
      </c>
      <c r="F248" s="291" t="str">
        <f>IFERROR(INDEX(Disbursements!$D:$D,MATCH('Live Collections'!G248,Disbursements!$C:$C,0)),"")</f>
        <v/>
      </c>
      <c r="G248" s="34"/>
      <c r="H248" s="34"/>
      <c r="I248" s="34" t="s">
        <v>1814</v>
      </c>
      <c r="J248" s="48">
        <v>15000</v>
      </c>
      <c r="K248" s="48">
        <v>5000</v>
      </c>
      <c r="L248" s="48"/>
      <c r="M248" s="48"/>
      <c r="N248" s="59"/>
      <c r="O248" s="59"/>
      <c r="P248" s="59"/>
      <c r="Q248" s="268">
        <f t="shared" si="11"/>
        <v>20000</v>
      </c>
      <c r="R248" s="61">
        <f>IF(O248=0,0,SUMIFS(Disbursements!$T:$T,Disbursements!$B:$B,'Live Collections'!D248,Disbursements!$D:$D,'Live Collections'!F248))</f>
        <v>0</v>
      </c>
      <c r="S248" s="304">
        <f>IF(O248&lt;=IF($O248=0,0,SUMIFS(Disbursements!$W:$W,Disbursements!$B:$B,'Live Collections'!D1475,Disbursements!$D:$D,'Live Collections'!F1475)),O248,IF($O248=0,0,SUMIFS(Disbursements!$W:$W,Disbursements!$B:$B,'Live Collections'!D1475,Disbursements!$D:$D,'Live Collections'!F1475)))</f>
        <v>0</v>
      </c>
      <c r="T248" s="304">
        <f t="shared" si="12"/>
        <v>0</v>
      </c>
      <c r="U248" s="52">
        <v>771880572</v>
      </c>
      <c r="V248" s="34"/>
      <c r="W248" s="408"/>
    </row>
    <row r="249" spans="1:23" ht="12.75" customHeight="1" x14ac:dyDescent="0.2">
      <c r="A249" s="257">
        <v>239</v>
      </c>
      <c r="B249" s="44">
        <v>44379</v>
      </c>
      <c r="C249" s="44">
        <f t="shared" si="10"/>
        <v>44379</v>
      </c>
      <c r="D249" s="374">
        <v>116</v>
      </c>
      <c r="E249" s="291" t="str">
        <f>IFERROR(VLOOKUP($D249,'Clients-Live'!$A:$C,3,0),"")</f>
        <v>ONZIA LUCY</v>
      </c>
      <c r="F249" s="291" t="str">
        <f>IFERROR(INDEX(Disbursements!$D:$D,MATCH('Live Collections'!G249,Disbursements!$C:$C,0)),"")</f>
        <v/>
      </c>
      <c r="G249" s="34"/>
      <c r="H249" s="34"/>
      <c r="I249" s="34" t="s">
        <v>1814</v>
      </c>
      <c r="J249" s="48">
        <v>15000</v>
      </c>
      <c r="K249" s="48">
        <v>5000</v>
      </c>
      <c r="L249" s="48"/>
      <c r="M249" s="48"/>
      <c r="N249" s="59"/>
      <c r="O249" s="59"/>
      <c r="P249" s="59"/>
      <c r="Q249" s="268">
        <f t="shared" si="11"/>
        <v>20000</v>
      </c>
      <c r="R249" s="61">
        <f>IF(O249=0,0,SUMIFS(Disbursements!$T:$T,Disbursements!$B:$B,'Live Collections'!D249,Disbursements!$D:$D,'Live Collections'!F249))</f>
        <v>0</v>
      </c>
      <c r="S249" s="304">
        <f>IF(O249&lt;=IF($O249=0,0,SUMIFS(Disbursements!$W:$W,Disbursements!$B:$B,'Live Collections'!D1484,Disbursements!$D:$D,'Live Collections'!F1484)),O249,IF($O249=0,0,SUMIFS(Disbursements!$W:$W,Disbursements!$B:$B,'Live Collections'!D1484,Disbursements!$D:$D,'Live Collections'!F1484)))</f>
        <v>0</v>
      </c>
      <c r="T249" s="304">
        <f t="shared" si="12"/>
        <v>0</v>
      </c>
      <c r="U249" s="52">
        <v>776339123</v>
      </c>
      <c r="V249" s="34"/>
      <c r="W249" s="408"/>
    </row>
    <row r="250" spans="1:23" ht="12.75" customHeight="1" x14ac:dyDescent="0.2">
      <c r="A250" s="132">
        <v>241</v>
      </c>
      <c r="B250" s="44">
        <v>44379</v>
      </c>
      <c r="C250" s="44">
        <f t="shared" si="10"/>
        <v>44379</v>
      </c>
      <c r="D250" s="374">
        <v>116</v>
      </c>
      <c r="E250" s="291" t="str">
        <f>IFERROR(VLOOKUP($D250,'Clients-Live'!$A:$C,3,0),"")</f>
        <v>ONZIA LUCY</v>
      </c>
      <c r="F250" s="291">
        <f>IFERROR(INDEX(Disbursements!$D:$D,MATCH('Live Collections'!G250,Disbursements!$C:$C,0)),"")</f>
        <v>1</v>
      </c>
      <c r="G250" s="34">
        <v>95</v>
      </c>
      <c r="H250" s="34"/>
      <c r="I250" s="34" t="s">
        <v>864</v>
      </c>
      <c r="J250" s="48"/>
      <c r="K250" s="48"/>
      <c r="L250" s="48">
        <v>10000</v>
      </c>
      <c r="M250" s="48">
        <v>5000</v>
      </c>
      <c r="N250" s="59"/>
      <c r="O250" s="59"/>
      <c r="P250" s="59">
        <v>30000</v>
      </c>
      <c r="Q250" s="268">
        <f t="shared" si="11"/>
        <v>45000</v>
      </c>
      <c r="R250" s="61">
        <f>IF(O250=0,0,SUMIFS(Disbursements!$T:$T,Disbursements!$B:$B,'Live Collections'!D250,Disbursements!$D:$D,'Live Collections'!F250))</f>
        <v>0</v>
      </c>
      <c r="S250" s="304">
        <f>IF(O250&lt;=IF($O250=0,0,SUMIFS(Disbursements!$W:$W,Disbursements!$B:$B,'Live Collections'!D1485,Disbursements!$D:$D,'Live Collections'!F1485)),O250,IF($O250=0,0,SUMIFS(Disbursements!$W:$W,Disbursements!$B:$B,'Live Collections'!D1485,Disbursements!$D:$D,'Live Collections'!F1485)))</f>
        <v>0</v>
      </c>
      <c r="T250" s="304">
        <f t="shared" si="12"/>
        <v>0</v>
      </c>
      <c r="U250" s="52"/>
      <c r="V250" s="34"/>
      <c r="W250" s="408"/>
    </row>
    <row r="251" spans="1:23" ht="12.75" customHeight="1" x14ac:dyDescent="0.2">
      <c r="A251" s="257">
        <v>251</v>
      </c>
      <c r="B251" s="44">
        <v>44380</v>
      </c>
      <c r="C251" s="44">
        <f t="shared" si="10"/>
        <v>44380</v>
      </c>
      <c r="D251" s="374">
        <v>6</v>
      </c>
      <c r="E251" s="291" t="str">
        <f>IFERROR(VLOOKUP($D251,'Clients-Live'!$A:$C,3,0),"")</f>
        <v>AMUTE BASHIR</v>
      </c>
      <c r="F251" s="291">
        <f>IFERROR(INDEX(Disbursements!$D:$D,MATCH('Live Collections'!G251,Disbursements!$C:$C,0)),"")</f>
        <v>1</v>
      </c>
      <c r="G251" s="34">
        <v>2</v>
      </c>
      <c r="H251" s="34"/>
      <c r="I251" s="34" t="s">
        <v>1358</v>
      </c>
      <c r="J251" s="48"/>
      <c r="K251" s="48"/>
      <c r="L251" s="48"/>
      <c r="M251" s="48"/>
      <c r="N251" s="59"/>
      <c r="O251" s="59">
        <v>2166000</v>
      </c>
      <c r="P251" s="59"/>
      <c r="Q251" s="268">
        <f t="shared" si="11"/>
        <v>2166000</v>
      </c>
      <c r="R251" s="61">
        <f>IF(O251=0,0,SUMIFS(Disbursements!$T:$T,Disbursements!$B:$B,'Live Collections'!D251,Disbursements!$D:$D,'Live Collections'!F251))</f>
        <v>609000</v>
      </c>
      <c r="S251" s="64">
        <v>600000.00000000012</v>
      </c>
      <c r="T251" s="304">
        <f t="shared" si="12"/>
        <v>1566000</v>
      </c>
      <c r="U251" s="52"/>
      <c r="V251" s="34"/>
      <c r="W251" s="408"/>
    </row>
    <row r="252" spans="1:23" ht="12.75" customHeight="1" x14ac:dyDescent="0.2">
      <c r="A252" s="132">
        <v>252</v>
      </c>
      <c r="B252" s="44">
        <v>44380</v>
      </c>
      <c r="C252" s="44">
        <f t="shared" si="10"/>
        <v>44380</v>
      </c>
      <c r="D252" s="374">
        <v>6</v>
      </c>
      <c r="E252" s="291" t="str">
        <f>IFERROR(VLOOKUP($D252,'Clients-Live'!$A:$C,3,0),"")</f>
        <v>AMUTE BASHIR</v>
      </c>
      <c r="F252" s="291">
        <f>IFERROR(INDEX(Disbursements!$D:$D,MATCH('Live Collections'!G252,Disbursements!$C:$C,0)),"")</f>
        <v>1</v>
      </c>
      <c r="G252" s="34">
        <v>2</v>
      </c>
      <c r="H252" s="34"/>
      <c r="I252" s="34" t="s">
        <v>1358</v>
      </c>
      <c r="J252" s="48"/>
      <c r="K252" s="48"/>
      <c r="L252" s="48"/>
      <c r="M252" s="48"/>
      <c r="N252" s="59"/>
      <c r="O252" s="59">
        <v>4000</v>
      </c>
      <c r="P252" s="59"/>
      <c r="Q252" s="268">
        <f t="shared" si="11"/>
        <v>4000</v>
      </c>
      <c r="R252" s="61">
        <f>IF(O252=0,0,SUMIFS(Disbursements!$T:$T,Disbursements!$B:$B,'Live Collections'!D252,Disbursements!$D:$D,'Live Collections'!F252))</f>
        <v>609000</v>
      </c>
      <c r="S252" s="304">
        <f>IF(O252&lt;=IF($O252=0,0,SUMIFS(Disbursements!$W:$W,Disbursements!$B:$B,'Live Collections'!D41,Disbursements!$D:$D,'Live Collections'!F41)),O252,IF($O252=0,0,SUMIFS(Disbursements!$W:$W,Disbursements!$B:$B,'Live Collections'!D41,Disbursements!$D:$D,'Live Collections'!F41)))</f>
        <v>4000</v>
      </c>
      <c r="T252" s="304">
        <f t="shared" si="12"/>
        <v>0</v>
      </c>
      <c r="U252" s="52"/>
      <c r="V252" s="34"/>
      <c r="W252" s="408"/>
    </row>
    <row r="253" spans="1:23" ht="12.75" customHeight="1" x14ac:dyDescent="0.2">
      <c r="A253" s="257">
        <v>2770</v>
      </c>
      <c r="B253" s="44">
        <v>44380</v>
      </c>
      <c r="C253" s="44">
        <f t="shared" si="10"/>
        <v>44380</v>
      </c>
      <c r="D253" s="374">
        <v>6</v>
      </c>
      <c r="E253" s="291" t="str">
        <f>IFERROR(VLOOKUP($D253,'Clients-Live'!$A:$C,3,0),"")</f>
        <v>AMUTE BASHIR</v>
      </c>
      <c r="F253" s="291">
        <f>IFERROR(INDEX(Disbursements!$D:$D,MATCH('Live Collections'!G253,Disbursements!$C:$C,0)),"")</f>
        <v>1</v>
      </c>
      <c r="G253" s="34">
        <v>2</v>
      </c>
      <c r="H253" s="34"/>
      <c r="I253" s="34" t="s">
        <v>1358</v>
      </c>
      <c r="J253" s="48"/>
      <c r="K253" s="48"/>
      <c r="L253" s="48"/>
      <c r="M253" s="48"/>
      <c r="N253" s="59"/>
      <c r="O253" s="59"/>
      <c r="P253" s="59">
        <v>-200000</v>
      </c>
      <c r="Q253" s="268">
        <f t="shared" si="11"/>
        <v>-200000</v>
      </c>
      <c r="R253" s="61">
        <f>IF(O253=0,0,SUMIFS(Disbursements!$T:$T,Disbursements!$B:$B,'Live Collections'!D253,Disbursements!$D:$D,'Live Collections'!F253))</f>
        <v>0</v>
      </c>
      <c r="S253" s="304">
        <f>IF(O253&lt;=IF($O253=0,0,SUMIFS(Disbursements!$W:$W,Disbursements!$B:$B,'Live Collections'!D42,Disbursements!$D:$D,'Live Collections'!F42)),O253,IF($O253=0,0,SUMIFS(Disbursements!$W:$W,Disbursements!$B:$B,'Live Collections'!D42,Disbursements!$D:$D,'Live Collections'!F42)))</f>
        <v>0</v>
      </c>
      <c r="T253" s="304">
        <f t="shared" si="12"/>
        <v>0</v>
      </c>
      <c r="U253" s="52"/>
      <c r="V253" s="34"/>
      <c r="W253" s="408" t="s">
        <v>2004</v>
      </c>
    </row>
    <row r="254" spans="1:23" ht="12.75" customHeight="1" x14ac:dyDescent="0.2">
      <c r="A254" s="132">
        <v>249</v>
      </c>
      <c r="B254" s="44">
        <v>44380</v>
      </c>
      <c r="C254" s="44">
        <f t="shared" si="10"/>
        <v>44380</v>
      </c>
      <c r="D254" s="374">
        <v>18</v>
      </c>
      <c r="E254" s="291" t="str">
        <f>IFERROR(VLOOKUP($D254,'Clients-Live'!$A:$C,3,0),"")</f>
        <v>ARIYE PEACE</v>
      </c>
      <c r="F254" s="291">
        <f>IFERROR(INDEX(Disbursements!$D:$D,MATCH('Live Collections'!G254,Disbursements!$C:$C,0)),"")</f>
        <v>1</v>
      </c>
      <c r="G254" s="34">
        <v>9</v>
      </c>
      <c r="H254" s="34"/>
      <c r="I254" s="34" t="s">
        <v>1357</v>
      </c>
      <c r="J254" s="48"/>
      <c r="K254" s="48"/>
      <c r="L254" s="48"/>
      <c r="M254" s="48"/>
      <c r="N254" s="59"/>
      <c r="O254" s="59">
        <v>108400</v>
      </c>
      <c r="P254" s="59"/>
      <c r="Q254" s="268">
        <f t="shared" si="11"/>
        <v>108400</v>
      </c>
      <c r="R254" s="61">
        <f>IF(O254=0,0,SUMIFS(Disbursements!$T:$T,Disbursements!$B:$B,'Live Collections'!D254,Disbursements!$D:$D,'Live Collections'!F254))</f>
        <v>109000</v>
      </c>
      <c r="S254" s="304">
        <f>IF(O254&lt;=IF($O254=0,0,SUMIFS(Disbursements!$W:$W,Disbursements!$B:$B,'Live Collections'!D194,Disbursements!$D:$D,'Live Collections'!F194)),O254,IF($O254=0,0,SUMIFS(Disbursements!$W:$W,Disbursements!$B:$B,'Live Collections'!D194,Disbursements!$D:$D,'Live Collections'!F194)))</f>
        <v>0</v>
      </c>
      <c r="T254" s="304">
        <f t="shared" si="12"/>
        <v>108400</v>
      </c>
      <c r="U254" s="52"/>
      <c r="V254" s="34"/>
      <c r="W254" s="408"/>
    </row>
    <row r="255" spans="1:23" ht="12.75" customHeight="1" x14ac:dyDescent="0.2">
      <c r="A255" s="257">
        <v>250</v>
      </c>
      <c r="B255" s="44">
        <v>44380</v>
      </c>
      <c r="C255" s="44">
        <f t="shared" si="10"/>
        <v>44380</v>
      </c>
      <c r="D255" s="374">
        <v>79</v>
      </c>
      <c r="E255" s="291" t="str">
        <f>IFERROR(VLOOKUP($D255,'Clients-Live'!$A:$C,3,0),"")</f>
        <v>PASI SENYA</v>
      </c>
      <c r="F255" s="291">
        <f>IFERROR(INDEX(Disbursements!$D:$D,MATCH('Live Collections'!G255,Disbursements!$C:$C,0)),"")</f>
        <v>1</v>
      </c>
      <c r="G255" s="34">
        <v>64</v>
      </c>
      <c r="H255" s="34"/>
      <c r="I255" s="34" t="s">
        <v>1358</v>
      </c>
      <c r="J255" s="48"/>
      <c r="K255" s="48"/>
      <c r="L255" s="48"/>
      <c r="M255" s="48"/>
      <c r="N255" s="59"/>
      <c r="O255" s="59">
        <v>62500</v>
      </c>
      <c r="P255" s="59"/>
      <c r="Q255" s="268">
        <f t="shared" si="11"/>
        <v>62500</v>
      </c>
      <c r="R255" s="61">
        <f>IF(O255=0,0,SUMIFS(Disbursements!$T:$T,Disbursements!$B:$B,'Live Collections'!D255,Disbursements!$D:$D,'Live Collections'!F255))</f>
        <v>63000</v>
      </c>
      <c r="S255" s="304">
        <f>IF(O255&lt;=IF($O255=0,0,SUMIFS(Disbursements!$W:$W,Disbursements!$B:$B,'Live Collections'!D1014,Disbursements!$D:$D,'Live Collections'!F1014)),O255,IF($O255=0,0,SUMIFS(Disbursements!$W:$W,Disbursements!$B:$B,'Live Collections'!D1014,Disbursements!$D:$D,'Live Collections'!F1014)))</f>
        <v>35000</v>
      </c>
      <c r="T255" s="304">
        <f t="shared" si="12"/>
        <v>27500</v>
      </c>
      <c r="U255" s="52"/>
      <c r="V255" s="34"/>
      <c r="W255" s="408"/>
    </row>
    <row r="256" spans="1:23" ht="12.75" customHeight="1" x14ac:dyDescent="0.2">
      <c r="A256" s="132">
        <v>247</v>
      </c>
      <c r="B256" s="44">
        <v>44380</v>
      </c>
      <c r="C256" s="44">
        <f t="shared" si="10"/>
        <v>44380</v>
      </c>
      <c r="D256" s="374">
        <v>107</v>
      </c>
      <c r="E256" s="291" t="str">
        <f>IFERROR(VLOOKUP($D256,'Clients-Live'!$A:$C,3,0),"")</f>
        <v>LAKONY PETER</v>
      </c>
      <c r="F256" s="291">
        <f>IFERROR(INDEX(Disbursements!$D:$D,MATCH('Live Collections'!G256,Disbursements!$C:$C,0)),"")</f>
        <v>1</v>
      </c>
      <c r="G256" s="34">
        <v>96</v>
      </c>
      <c r="H256" s="34"/>
      <c r="I256" s="34" t="s">
        <v>864</v>
      </c>
      <c r="J256" s="48"/>
      <c r="K256" s="48"/>
      <c r="L256" s="48">
        <v>10000</v>
      </c>
      <c r="M256" s="48">
        <v>5000</v>
      </c>
      <c r="N256" s="59"/>
      <c r="O256" s="59"/>
      <c r="P256" s="59">
        <v>20000</v>
      </c>
      <c r="Q256" s="268">
        <f t="shared" si="11"/>
        <v>35000</v>
      </c>
      <c r="R256" s="61">
        <f>IF(O256=0,0,SUMIFS(Disbursements!$T:$T,Disbursements!$B:$B,'Live Collections'!D256,Disbursements!$D:$D,'Live Collections'!F256))</f>
        <v>0</v>
      </c>
      <c r="S256" s="304">
        <f>IF(O256&lt;=IF($O256=0,0,SUMIFS(Disbursements!$W:$W,Disbursements!$B:$B,'Live Collections'!D1378,Disbursements!$D:$D,'Live Collections'!F1378)),O256,IF($O256=0,0,SUMIFS(Disbursements!$W:$W,Disbursements!$B:$B,'Live Collections'!D1378,Disbursements!$D:$D,'Live Collections'!F1378)))</f>
        <v>0</v>
      </c>
      <c r="T256" s="304">
        <f t="shared" si="12"/>
        <v>0</v>
      </c>
      <c r="U256" s="52"/>
      <c r="V256" s="34"/>
      <c r="W256" s="408"/>
    </row>
    <row r="257" spans="1:23" ht="12.75" customHeight="1" x14ac:dyDescent="0.2">
      <c r="A257" s="257">
        <v>248</v>
      </c>
      <c r="B257" s="44">
        <v>44380</v>
      </c>
      <c r="C257" s="44">
        <f t="shared" si="10"/>
        <v>44380</v>
      </c>
      <c r="D257" s="374">
        <v>114</v>
      </c>
      <c r="E257" s="291" t="str">
        <f>IFERROR(VLOOKUP($D257,'Clients-Live'!$A:$C,3,0),"")</f>
        <v>ONZIA EMMILY</v>
      </c>
      <c r="F257" s="291">
        <f>IFERROR(INDEX(Disbursements!$D:$D,MATCH('Live Collections'!G257,Disbursements!$C:$C,0)),"")</f>
        <v>3</v>
      </c>
      <c r="G257" s="34">
        <v>262</v>
      </c>
      <c r="H257" s="34">
        <v>487</v>
      </c>
      <c r="I257" s="34" t="s">
        <v>863</v>
      </c>
      <c r="J257" s="48"/>
      <c r="K257" s="48"/>
      <c r="L257" s="48">
        <v>10000</v>
      </c>
      <c r="M257" s="48">
        <v>5000</v>
      </c>
      <c r="N257" s="59"/>
      <c r="O257" s="59"/>
      <c r="P257" s="59">
        <v>30000</v>
      </c>
      <c r="Q257" s="268">
        <f t="shared" si="11"/>
        <v>45000</v>
      </c>
      <c r="R257" s="61">
        <f>IF(O257=0,0,SUMIFS(Disbursements!$T:$T,Disbursements!$B:$B,'Live Collections'!D257,Disbursements!$D:$D,'Live Collections'!F257))</f>
        <v>0</v>
      </c>
      <c r="S257" s="304">
        <f>IF(O257&lt;=IF($O257=0,0,SUMIFS(Disbursements!$W:$W,Disbursements!$B:$B,'Live Collections'!D1452,Disbursements!$D:$D,'Live Collections'!F1452)),O257,IF($O257=0,0,SUMIFS(Disbursements!$W:$W,Disbursements!$B:$B,'Live Collections'!D1452,Disbursements!$D:$D,'Live Collections'!F1452)))</f>
        <v>0</v>
      </c>
      <c r="T257" s="304">
        <f t="shared" si="12"/>
        <v>0</v>
      </c>
      <c r="U257" s="52"/>
      <c r="V257" s="34"/>
      <c r="W257" s="408"/>
    </row>
    <row r="258" spans="1:23" ht="12.75" customHeight="1" x14ac:dyDescent="0.2">
      <c r="A258" s="132">
        <v>244</v>
      </c>
      <c r="B258" s="44">
        <v>44380</v>
      </c>
      <c r="C258" s="44">
        <f t="shared" si="10"/>
        <v>44380</v>
      </c>
      <c r="D258" s="374">
        <v>117</v>
      </c>
      <c r="E258" s="291" t="str">
        <f>IFERROR(VLOOKUP($D258,'Clients-Live'!$A:$C,3,0),"")</f>
        <v>MAWA JACKSON</v>
      </c>
      <c r="F258" s="291" t="str">
        <f>IFERROR(INDEX(Disbursements!$D:$D,MATCH('Live Collections'!G258,Disbursements!$C:$C,0)),"")</f>
        <v/>
      </c>
      <c r="G258" s="34"/>
      <c r="H258" s="34"/>
      <c r="I258" s="34" t="s">
        <v>1814</v>
      </c>
      <c r="J258" s="48">
        <v>15000</v>
      </c>
      <c r="K258" s="48">
        <v>5000</v>
      </c>
      <c r="L258" s="48"/>
      <c r="M258" s="48"/>
      <c r="N258" s="59"/>
      <c r="O258" s="59"/>
      <c r="P258" s="59"/>
      <c r="Q258" s="268">
        <f t="shared" si="11"/>
        <v>20000</v>
      </c>
      <c r="R258" s="61">
        <f>IF(O258=0,0,SUMIFS(Disbursements!$T:$T,Disbursements!$B:$B,'Live Collections'!D258,Disbursements!$D:$D,'Live Collections'!F258))</f>
        <v>0</v>
      </c>
      <c r="S258" s="304">
        <f>IF(O258&lt;=IF($O258=0,0,SUMIFS(Disbursements!$W:$W,Disbursements!$B:$B,'Live Collections'!D1517,Disbursements!$D:$D,'Live Collections'!F1517)),O258,IF($O258=0,0,SUMIFS(Disbursements!$W:$W,Disbursements!$B:$B,'Live Collections'!D1517,Disbursements!$D:$D,'Live Collections'!F1517)))</f>
        <v>0</v>
      </c>
      <c r="T258" s="304">
        <f t="shared" si="12"/>
        <v>0</v>
      </c>
      <c r="U258" s="52">
        <v>777893617</v>
      </c>
      <c r="V258" s="34"/>
      <c r="W258" s="408"/>
    </row>
    <row r="259" spans="1:23" ht="12.75" customHeight="1" x14ac:dyDescent="0.2">
      <c r="A259" s="257">
        <v>245</v>
      </c>
      <c r="B259" s="44">
        <v>44380</v>
      </c>
      <c r="C259" s="44">
        <f t="shared" si="10"/>
        <v>44380</v>
      </c>
      <c r="D259" s="374">
        <v>118</v>
      </c>
      <c r="E259" s="291" t="str">
        <f>IFERROR(VLOOKUP($D259,'Clients-Live'!$A:$C,3,0),"")</f>
        <v>ONYANGO CHARLES JOGOO</v>
      </c>
      <c r="F259" s="291" t="str">
        <f>IFERROR(INDEX(Disbursements!$D:$D,MATCH('Live Collections'!G259,Disbursements!$C:$C,0)),"")</f>
        <v/>
      </c>
      <c r="G259" s="34"/>
      <c r="H259" s="34"/>
      <c r="I259" s="34" t="s">
        <v>1814</v>
      </c>
      <c r="J259" s="48">
        <v>15000</v>
      </c>
      <c r="K259" s="48">
        <v>5000</v>
      </c>
      <c r="L259" s="48"/>
      <c r="M259" s="48"/>
      <c r="N259" s="59"/>
      <c r="O259" s="59"/>
      <c r="P259" s="59"/>
      <c r="Q259" s="268">
        <f t="shared" si="11"/>
        <v>20000</v>
      </c>
      <c r="R259" s="61">
        <f>IF(O259=0,0,SUMIFS(Disbursements!$T:$T,Disbursements!$B:$B,'Live Collections'!D259,Disbursements!$D:$D,'Live Collections'!F259))</f>
        <v>0</v>
      </c>
      <c r="S259" s="304">
        <f>IF(O259&lt;=IF($O259=0,0,SUMIFS(Disbursements!$W:$W,Disbursements!$B:$B,'Live Collections'!D1526,Disbursements!$D:$D,'Live Collections'!F1526)),O259,IF($O259=0,0,SUMIFS(Disbursements!$W:$W,Disbursements!$B:$B,'Live Collections'!D1526,Disbursements!$D:$D,'Live Collections'!F1526)))</f>
        <v>0</v>
      </c>
      <c r="T259" s="304">
        <f t="shared" si="12"/>
        <v>0</v>
      </c>
      <c r="U259" s="52">
        <v>771891800</v>
      </c>
      <c r="V259" s="34"/>
      <c r="W259" s="408"/>
    </row>
    <row r="260" spans="1:23" ht="12.75" customHeight="1" x14ac:dyDescent="0.2">
      <c r="A260" s="132">
        <v>246</v>
      </c>
      <c r="B260" s="44">
        <v>44380</v>
      </c>
      <c r="C260" s="44">
        <f t="shared" si="10"/>
        <v>44380</v>
      </c>
      <c r="D260" s="374">
        <v>119</v>
      </c>
      <c r="E260" s="291" t="str">
        <f>IFERROR(VLOOKUP($D260,'Clients-Live'!$A:$C,3,0),"")</f>
        <v>STELLA KONGAI</v>
      </c>
      <c r="F260" s="291" t="str">
        <f>IFERROR(INDEX(Disbursements!$D:$D,MATCH('Live Collections'!G260,Disbursements!$C:$C,0)),"")</f>
        <v/>
      </c>
      <c r="G260" s="34"/>
      <c r="H260" s="34"/>
      <c r="I260" s="34" t="s">
        <v>1814</v>
      </c>
      <c r="J260" s="48">
        <v>15000</v>
      </c>
      <c r="K260" s="48">
        <v>5000</v>
      </c>
      <c r="L260" s="48"/>
      <c r="M260" s="48"/>
      <c r="N260" s="59"/>
      <c r="O260" s="59"/>
      <c r="P260" s="59"/>
      <c r="Q260" s="268">
        <f t="shared" si="11"/>
        <v>20000</v>
      </c>
      <c r="R260" s="61">
        <f>IF(O260=0,0,SUMIFS(Disbursements!$T:$T,Disbursements!$B:$B,'Live Collections'!D260,Disbursements!$D:$D,'Live Collections'!F260))</f>
        <v>0</v>
      </c>
      <c r="S260" s="304">
        <f>IF(O260&lt;=IF($O260=0,0,SUMIFS(Disbursements!$W:$W,Disbursements!$B:$B,'Live Collections'!D1534,Disbursements!$D:$D,'Live Collections'!F1534)),O260,IF($O260=0,0,SUMIFS(Disbursements!$W:$W,Disbursements!$B:$B,'Live Collections'!D1534,Disbursements!$D:$D,'Live Collections'!F1534)))</f>
        <v>0</v>
      </c>
      <c r="T260" s="304">
        <f t="shared" si="12"/>
        <v>0</v>
      </c>
      <c r="U260" s="52">
        <v>782798138</v>
      </c>
      <c r="V260" s="34"/>
      <c r="W260" s="408"/>
    </row>
    <row r="261" spans="1:23" ht="12.75" customHeight="1" x14ac:dyDescent="0.2">
      <c r="A261" s="257">
        <v>255</v>
      </c>
      <c r="B261" s="44">
        <v>44382</v>
      </c>
      <c r="C261" s="44">
        <f t="shared" si="10"/>
        <v>44382</v>
      </c>
      <c r="D261" s="374">
        <v>6</v>
      </c>
      <c r="E261" s="291" t="str">
        <f>IFERROR(VLOOKUP($D261,'Clients-Live'!$A:$C,3,0),"")</f>
        <v>AMUTE BASHIR</v>
      </c>
      <c r="F261" s="291">
        <f>IFERROR(INDEX(Disbursements!$D:$D,MATCH('Live Collections'!G261,Disbursements!$C:$C,0)),"")</f>
        <v>2</v>
      </c>
      <c r="G261" s="34">
        <v>100</v>
      </c>
      <c r="H261" s="34">
        <v>518</v>
      </c>
      <c r="I261" s="34" t="s">
        <v>863</v>
      </c>
      <c r="J261" s="48"/>
      <c r="K261" s="48"/>
      <c r="L261" s="48">
        <v>10000</v>
      </c>
      <c r="M261" s="48">
        <v>5000</v>
      </c>
      <c r="N261" s="59"/>
      <c r="O261" s="59"/>
      <c r="P261" s="59">
        <v>600000</v>
      </c>
      <c r="Q261" s="268">
        <f t="shared" si="11"/>
        <v>615000</v>
      </c>
      <c r="R261" s="61">
        <f>IF(O261=0,0,SUMIFS(Disbursements!$T:$T,Disbursements!$B:$B,'Live Collections'!D261,Disbursements!$D:$D,'Live Collections'!F261))</f>
        <v>0</v>
      </c>
      <c r="S261" s="304">
        <f>IF(O261&lt;=IF($O261=0,0,SUMIFS(Disbursements!$W:$W,Disbursements!$B:$B,'Live Collections'!D43,Disbursements!$D:$D,'Live Collections'!F43)),O261,IF($O261=0,0,SUMIFS(Disbursements!$W:$W,Disbursements!$B:$B,'Live Collections'!D43,Disbursements!$D:$D,'Live Collections'!F43)))</f>
        <v>0</v>
      </c>
      <c r="T261" s="304">
        <f t="shared" si="12"/>
        <v>0</v>
      </c>
      <c r="U261" s="52"/>
      <c r="V261" s="34"/>
      <c r="W261" s="408"/>
    </row>
    <row r="262" spans="1:23" ht="12.75" customHeight="1" x14ac:dyDescent="0.2">
      <c r="A262" s="132">
        <v>262</v>
      </c>
      <c r="B262" s="44">
        <v>44382</v>
      </c>
      <c r="C262" s="44">
        <f t="shared" si="10"/>
        <v>44382</v>
      </c>
      <c r="D262" s="374">
        <v>43</v>
      </c>
      <c r="E262" s="291" t="str">
        <f>IFERROR(VLOOKUP($D262,'Clients-Live'!$A:$C,3,0),"")</f>
        <v>APUNIKI LOICE</v>
      </c>
      <c r="F262" s="291">
        <f>IFERROR(INDEX(Disbursements!$D:$D,MATCH('Live Collections'!G262,Disbursements!$C:$C,0)),"")</f>
        <v>1</v>
      </c>
      <c r="G262" s="34">
        <v>28</v>
      </c>
      <c r="H262" s="34"/>
      <c r="I262" s="34" t="s">
        <v>1357</v>
      </c>
      <c r="J262" s="48"/>
      <c r="K262" s="48"/>
      <c r="L262" s="48"/>
      <c r="M262" s="48"/>
      <c r="N262" s="59"/>
      <c r="O262" s="59">
        <v>90000</v>
      </c>
      <c r="P262" s="59"/>
      <c r="Q262" s="268">
        <f t="shared" si="11"/>
        <v>90000</v>
      </c>
      <c r="R262" s="61">
        <f>IF(O262=0,0,SUMIFS(Disbursements!$T:$T,Disbursements!$B:$B,'Live Collections'!D262,Disbursements!$D:$D,'Live Collections'!F262))</f>
        <v>90000</v>
      </c>
      <c r="S262" s="304">
        <f>IF(O262&lt;=IF($O262=0,0,SUMIFS(Disbursements!$W:$W,Disbursements!$B:$B,'Live Collections'!D476,Disbursements!$D:$D,'Live Collections'!F476)),O262,IF($O262=0,0,SUMIFS(Disbursements!$W:$W,Disbursements!$B:$B,'Live Collections'!D476,Disbursements!$D:$D,'Live Collections'!F476)))</f>
        <v>20000</v>
      </c>
      <c r="T262" s="304">
        <f t="shared" si="12"/>
        <v>70000</v>
      </c>
      <c r="U262" s="52"/>
      <c r="V262" s="34"/>
      <c r="W262" s="408"/>
    </row>
    <row r="263" spans="1:23" ht="12.75" customHeight="1" x14ac:dyDescent="0.2">
      <c r="A263" s="257">
        <v>260</v>
      </c>
      <c r="B263" s="44">
        <v>44382</v>
      </c>
      <c r="C263" s="44">
        <f t="shared" si="10"/>
        <v>44382</v>
      </c>
      <c r="D263" s="374">
        <v>44</v>
      </c>
      <c r="E263" s="291" t="str">
        <f>IFERROR(VLOOKUP($D263,'Clients-Live'!$A:$C,3,0),"")</f>
        <v>CANDIRU HELLEN</v>
      </c>
      <c r="F263" s="291">
        <f>IFERROR(INDEX(Disbursements!$D:$D,MATCH('Live Collections'!G263,Disbursements!$C:$C,0)),"")</f>
        <v>1</v>
      </c>
      <c r="G263" s="34">
        <v>31</v>
      </c>
      <c r="H263" s="34"/>
      <c r="I263" s="34" t="s">
        <v>1358</v>
      </c>
      <c r="J263" s="48"/>
      <c r="K263" s="48"/>
      <c r="L263" s="48"/>
      <c r="M263" s="48"/>
      <c r="N263" s="59"/>
      <c r="O263" s="59">
        <v>155000</v>
      </c>
      <c r="P263" s="59"/>
      <c r="Q263" s="268">
        <f t="shared" si="11"/>
        <v>155000</v>
      </c>
      <c r="R263" s="61">
        <f>IF(O263=0,0,SUMIFS(Disbursements!$T:$T,Disbursements!$B:$B,'Live Collections'!D263,Disbursements!$D:$D,'Live Collections'!F263))</f>
        <v>150000</v>
      </c>
      <c r="S263" s="64">
        <v>100000</v>
      </c>
      <c r="T263" s="304">
        <f t="shared" si="12"/>
        <v>55000</v>
      </c>
      <c r="U263" s="52"/>
      <c r="V263" s="34"/>
      <c r="W263" s="408"/>
    </row>
    <row r="264" spans="1:23" ht="12.75" customHeight="1" x14ac:dyDescent="0.2">
      <c r="A264" s="132">
        <v>261</v>
      </c>
      <c r="B264" s="44">
        <v>44382</v>
      </c>
      <c r="C264" s="44">
        <f t="shared" ref="C264:C327" si="13">B264</f>
        <v>44382</v>
      </c>
      <c r="D264" s="374">
        <v>66</v>
      </c>
      <c r="E264" s="291" t="str">
        <f>IFERROR(VLOOKUP($D264,'Clients-Live'!$A:$C,3,0),"")</f>
        <v>DENAYA NYAMAZA</v>
      </c>
      <c r="F264" s="291">
        <f>IFERROR(INDEX(Disbursements!$D:$D,MATCH('Live Collections'!G264,Disbursements!$C:$C,0)),"")</f>
        <v>1</v>
      </c>
      <c r="G264" s="34">
        <v>53</v>
      </c>
      <c r="H264" s="34"/>
      <c r="I264" s="34" t="s">
        <v>1357</v>
      </c>
      <c r="J264" s="48"/>
      <c r="K264" s="48"/>
      <c r="L264" s="48"/>
      <c r="M264" s="48"/>
      <c r="N264" s="59"/>
      <c r="O264" s="59">
        <v>60000</v>
      </c>
      <c r="P264" s="59"/>
      <c r="Q264" s="268">
        <f t="shared" ref="Q264:Q327" si="14">SUM(J264:P264)</f>
        <v>60000</v>
      </c>
      <c r="R264" s="61">
        <f>IF(O264=0,0,SUMIFS(Disbursements!$T:$T,Disbursements!$B:$B,'Live Collections'!D264,Disbursements!$D:$D,'Live Collections'!F264))</f>
        <v>109000</v>
      </c>
      <c r="S264" s="304">
        <f>IF(O264&lt;=IF($O264=0,0,SUMIFS(Disbursements!$W:$W,Disbursements!$B:$B,'Live Collections'!D832,Disbursements!$D:$D,'Live Collections'!F832)),O264,IF($O264=0,0,SUMIFS(Disbursements!$W:$W,Disbursements!$B:$B,'Live Collections'!D832,Disbursements!$D:$D,'Live Collections'!F832)))</f>
        <v>3333.3333333333321</v>
      </c>
      <c r="T264" s="304">
        <f t="shared" si="12"/>
        <v>56666.666666666672</v>
      </c>
      <c r="U264" s="52"/>
      <c r="V264" s="34"/>
      <c r="W264" s="408"/>
    </row>
    <row r="265" spans="1:23" ht="12.75" customHeight="1" x14ac:dyDescent="0.2">
      <c r="A265" s="257">
        <v>256</v>
      </c>
      <c r="B265" s="44">
        <v>44382</v>
      </c>
      <c r="C265" s="44">
        <f t="shared" si="13"/>
        <v>44382</v>
      </c>
      <c r="D265" s="374">
        <v>115</v>
      </c>
      <c r="E265" s="291" t="str">
        <f>IFERROR(VLOOKUP($D265,'Clients-Live'!$A:$C,3,0),"")</f>
        <v>AYIKE SAUDA</v>
      </c>
      <c r="F265" s="291">
        <f>IFERROR(INDEX(Disbursements!$D:$D,MATCH('Live Collections'!G265,Disbursements!$C:$C,0)),"")</f>
        <v>1</v>
      </c>
      <c r="G265" s="34">
        <v>98</v>
      </c>
      <c r="H265" s="34"/>
      <c r="I265" s="34" t="s">
        <v>864</v>
      </c>
      <c r="J265" s="48"/>
      <c r="K265" s="48"/>
      <c r="L265" s="48">
        <v>10000</v>
      </c>
      <c r="M265" s="48">
        <v>5000</v>
      </c>
      <c r="N265" s="59"/>
      <c r="O265" s="59"/>
      <c r="P265" s="59">
        <v>100000</v>
      </c>
      <c r="Q265" s="268">
        <f t="shared" si="14"/>
        <v>115000</v>
      </c>
      <c r="R265" s="61">
        <f>IF(O265=0,0,SUMIFS(Disbursements!$T:$T,Disbursements!$B:$B,'Live Collections'!D265,Disbursements!$D:$D,'Live Collections'!F265))</f>
        <v>0</v>
      </c>
      <c r="S265" s="304">
        <f>IF(O265&lt;=IF($O265=0,0,SUMIFS(Disbursements!$W:$W,Disbursements!$B:$B,'Live Collections'!D1476,Disbursements!$D:$D,'Live Collections'!F1476)),O265,IF($O265=0,0,SUMIFS(Disbursements!$W:$W,Disbursements!$B:$B,'Live Collections'!D1476,Disbursements!$D:$D,'Live Collections'!F1476)))</f>
        <v>0</v>
      </c>
      <c r="T265" s="304">
        <f t="shared" ref="T265:T327" si="15">IF(O265=0,0,O265-S265)</f>
        <v>0</v>
      </c>
      <c r="U265" s="52"/>
      <c r="V265" s="34"/>
      <c r="W265" s="408"/>
    </row>
    <row r="266" spans="1:23" ht="12.75" customHeight="1" x14ac:dyDescent="0.2">
      <c r="A266" s="132">
        <v>257</v>
      </c>
      <c r="B266" s="44">
        <v>44382</v>
      </c>
      <c r="C266" s="44">
        <f t="shared" si="13"/>
        <v>44382</v>
      </c>
      <c r="D266" s="374">
        <v>116</v>
      </c>
      <c r="E266" s="291" t="str">
        <f>IFERROR(VLOOKUP($D266,'Clients-Live'!$A:$C,3,0),"")</f>
        <v>ONZIA LUCY</v>
      </c>
      <c r="F266" s="291">
        <f>IFERROR(INDEX(Disbursements!$D:$D,MATCH('Live Collections'!G266,Disbursements!$C:$C,0)),"")</f>
        <v>1</v>
      </c>
      <c r="G266" s="34">
        <v>95</v>
      </c>
      <c r="H266" s="34"/>
      <c r="I266" s="34" t="s">
        <v>864</v>
      </c>
      <c r="J266" s="48"/>
      <c r="K266" s="48"/>
      <c r="L266" s="48">
        <v>10000</v>
      </c>
      <c r="M266" s="48">
        <v>5000</v>
      </c>
      <c r="N266" s="59"/>
      <c r="O266" s="59"/>
      <c r="P266" s="59">
        <v>20000</v>
      </c>
      <c r="Q266" s="268">
        <f t="shared" si="14"/>
        <v>35000</v>
      </c>
      <c r="R266" s="61">
        <f>IF(O266=0,0,SUMIFS(Disbursements!$T:$T,Disbursements!$B:$B,'Live Collections'!D266,Disbursements!$D:$D,'Live Collections'!F266))</f>
        <v>0</v>
      </c>
      <c r="S266" s="304">
        <f>IF(O266&lt;=IF($O266=0,0,SUMIFS(Disbursements!$W:$W,Disbursements!$B:$B,'Live Collections'!D1486,Disbursements!$D:$D,'Live Collections'!F1486)),O266,IF($O266=0,0,SUMIFS(Disbursements!$W:$W,Disbursements!$B:$B,'Live Collections'!D1486,Disbursements!$D:$D,'Live Collections'!F1486)))</f>
        <v>0</v>
      </c>
      <c r="T266" s="304">
        <f t="shared" si="12"/>
        <v>0</v>
      </c>
      <c r="U266" s="52"/>
      <c r="V266" s="34"/>
      <c r="W266" s="408"/>
    </row>
    <row r="267" spans="1:23" ht="12.75" customHeight="1" x14ac:dyDescent="0.2">
      <c r="A267" s="257">
        <v>259</v>
      </c>
      <c r="B267" s="44">
        <v>44382</v>
      </c>
      <c r="C267" s="44">
        <f t="shared" si="13"/>
        <v>44382</v>
      </c>
      <c r="D267" s="374">
        <v>116</v>
      </c>
      <c r="E267" s="291" t="str">
        <f>IFERROR(VLOOKUP($D267,'Clients-Live'!$A:$C,3,0),"")</f>
        <v>ONZIA LUCY</v>
      </c>
      <c r="F267" s="291">
        <f>IFERROR(INDEX(Disbursements!$D:$D,MATCH('Live Collections'!G267,Disbursements!$C:$C,0)),"")</f>
        <v>1</v>
      </c>
      <c r="G267" s="34">
        <v>95</v>
      </c>
      <c r="H267" s="34"/>
      <c r="I267" s="34" t="s">
        <v>1357</v>
      </c>
      <c r="J267" s="48"/>
      <c r="K267" s="48"/>
      <c r="L267" s="48"/>
      <c r="M267" s="48"/>
      <c r="N267" s="59"/>
      <c r="O267" s="59">
        <v>20000</v>
      </c>
      <c r="P267" s="59"/>
      <c r="Q267" s="268">
        <f t="shared" si="14"/>
        <v>20000</v>
      </c>
      <c r="R267" s="61">
        <f>IF(O267=0,0,SUMIFS(Disbursements!$T:$T,Disbursements!$B:$B,'Live Collections'!D267,Disbursements!$D:$D,'Live Collections'!F267))</f>
        <v>20000</v>
      </c>
      <c r="S267" s="304">
        <f>IF(O267&lt;=IF($O267=0,0,SUMIFS(Disbursements!$W:$W,Disbursements!$B:$B,'Live Collections'!D1487,Disbursements!$D:$D,'Live Collections'!F1487)),O267,IF($O267=0,0,SUMIFS(Disbursements!$W:$W,Disbursements!$B:$B,'Live Collections'!D1487,Disbursements!$D:$D,'Live Collections'!F1487)))</f>
        <v>20000</v>
      </c>
      <c r="T267" s="304">
        <f>IF(O267=0,0,O267-S267)</f>
        <v>0</v>
      </c>
      <c r="U267" s="52"/>
      <c r="V267" s="34"/>
      <c r="W267" s="408"/>
    </row>
    <row r="268" spans="1:23" ht="12.75" customHeight="1" x14ac:dyDescent="0.2">
      <c r="A268" s="132">
        <v>258</v>
      </c>
      <c r="B268" s="44">
        <v>44382</v>
      </c>
      <c r="C268" s="44">
        <f t="shared" si="13"/>
        <v>44382</v>
      </c>
      <c r="D268" s="374">
        <v>117</v>
      </c>
      <c r="E268" s="291" t="str">
        <f>IFERROR(VLOOKUP($D268,'Clients-Live'!$A:$C,3,0),"")</f>
        <v>MAWA JACKSON</v>
      </c>
      <c r="F268" s="291">
        <f>IFERROR(INDEX(Disbursements!$D:$D,MATCH('Live Collections'!G268,Disbursements!$C:$C,0)),"")</f>
        <v>1</v>
      </c>
      <c r="G268" s="34">
        <v>99</v>
      </c>
      <c r="H268" s="34"/>
      <c r="I268" s="34" t="s">
        <v>863</v>
      </c>
      <c r="J268" s="48"/>
      <c r="K268" s="48"/>
      <c r="L268" s="48">
        <v>10000</v>
      </c>
      <c r="M268" s="48">
        <v>5000</v>
      </c>
      <c r="N268" s="59"/>
      <c r="O268" s="59"/>
      <c r="P268" s="59">
        <v>70000</v>
      </c>
      <c r="Q268" s="268">
        <f t="shared" si="14"/>
        <v>85000</v>
      </c>
      <c r="R268" s="61">
        <f>IF(O268=0,0,SUMIFS(Disbursements!$T:$T,Disbursements!$B:$B,'Live Collections'!D268,Disbursements!$D:$D,'Live Collections'!F268))</f>
        <v>0</v>
      </c>
      <c r="S268" s="304">
        <f>IF(O268&lt;=IF($O268=0,0,SUMIFS(Disbursements!$W:$W,Disbursements!$B:$B,'Live Collections'!D1518,Disbursements!$D:$D,'Live Collections'!F1518)),O268,IF($O268=0,0,SUMIFS(Disbursements!$W:$W,Disbursements!$B:$B,'Live Collections'!D1518,Disbursements!$D:$D,'Live Collections'!F1518)))</f>
        <v>0</v>
      </c>
      <c r="T268" s="304">
        <f t="shared" si="15"/>
        <v>0</v>
      </c>
      <c r="U268" s="52"/>
      <c r="V268" s="34"/>
      <c r="W268" s="408"/>
    </row>
    <row r="269" spans="1:23" ht="12.75" customHeight="1" x14ac:dyDescent="0.2">
      <c r="A269" s="257">
        <v>253</v>
      </c>
      <c r="B269" s="44">
        <v>44382</v>
      </c>
      <c r="C269" s="44">
        <f t="shared" si="13"/>
        <v>44382</v>
      </c>
      <c r="D269" s="374">
        <v>120</v>
      </c>
      <c r="E269" s="291" t="str">
        <f>IFERROR(VLOOKUP($D269,'Clients-Live'!$A:$C,3,0),"")</f>
        <v>ALORO SADIKI</v>
      </c>
      <c r="F269" s="291" t="str">
        <f>IFERROR(INDEX(Disbursements!$D:$D,MATCH('Live Collections'!G269,Disbursements!$C:$C,0)),"")</f>
        <v/>
      </c>
      <c r="G269" s="34"/>
      <c r="H269" s="34"/>
      <c r="I269" s="34" t="s">
        <v>1814</v>
      </c>
      <c r="J269" s="48">
        <v>15000</v>
      </c>
      <c r="K269" s="48">
        <v>5000</v>
      </c>
      <c r="L269" s="48"/>
      <c r="M269" s="48"/>
      <c r="N269" s="59"/>
      <c r="O269" s="59"/>
      <c r="P269" s="59"/>
      <c r="Q269" s="268">
        <f t="shared" si="14"/>
        <v>20000</v>
      </c>
      <c r="R269" s="61">
        <f>IF(O269=0,0,SUMIFS(Disbursements!$T:$T,Disbursements!$B:$B,'Live Collections'!D269,Disbursements!$D:$D,'Live Collections'!F269))</f>
        <v>0</v>
      </c>
      <c r="S269" s="304">
        <f>IF(O269&lt;=IF($O269=0,0,SUMIFS(Disbursements!$W:$W,Disbursements!$B:$B,'Live Collections'!D1550,Disbursements!$D:$D,'Live Collections'!F1550)),O269,IF($O269=0,0,SUMIFS(Disbursements!$W:$W,Disbursements!$B:$B,'Live Collections'!D1550,Disbursements!$D:$D,'Live Collections'!F1550)))</f>
        <v>0</v>
      </c>
      <c r="T269" s="304">
        <f t="shared" si="15"/>
        <v>0</v>
      </c>
      <c r="U269" s="52">
        <v>775515324</v>
      </c>
      <c r="V269" s="34"/>
      <c r="W269" s="408"/>
    </row>
    <row r="270" spans="1:23" ht="12.75" customHeight="1" x14ac:dyDescent="0.2">
      <c r="A270" s="132">
        <v>254</v>
      </c>
      <c r="B270" s="44">
        <v>44382</v>
      </c>
      <c r="C270" s="44">
        <f t="shared" si="13"/>
        <v>44382</v>
      </c>
      <c r="D270" s="374">
        <v>121</v>
      </c>
      <c r="E270" s="291" t="str">
        <f>IFERROR(VLOOKUP($D270,'Clients-Live'!$A:$C,3,0),"")</f>
        <v>AMAYO CHARLES</v>
      </c>
      <c r="F270" s="291" t="str">
        <f>IFERROR(INDEX(Disbursements!$D:$D,MATCH('Live Collections'!G270,Disbursements!$C:$C,0)),"")</f>
        <v/>
      </c>
      <c r="G270" s="34"/>
      <c r="H270" s="34"/>
      <c r="I270" s="34" t="s">
        <v>1814</v>
      </c>
      <c r="J270" s="48">
        <v>15000</v>
      </c>
      <c r="K270" s="48">
        <v>5000</v>
      </c>
      <c r="L270" s="48"/>
      <c r="M270" s="48"/>
      <c r="N270" s="59"/>
      <c r="O270" s="59"/>
      <c r="P270" s="59"/>
      <c r="Q270" s="268">
        <f t="shared" si="14"/>
        <v>20000</v>
      </c>
      <c r="R270" s="61">
        <f>IF(O270=0,0,SUMIFS(Disbursements!$T:$T,Disbursements!$B:$B,'Live Collections'!D270,Disbursements!$D:$D,'Live Collections'!F270))</f>
        <v>0</v>
      </c>
      <c r="S270" s="304">
        <f>IF(O270&lt;=IF($O270=0,0,SUMIFS(Disbursements!$W:$W,Disbursements!$B:$B,'Live Collections'!D1551,Disbursements!$D:$D,'Live Collections'!F1551)),O270,IF($O270=0,0,SUMIFS(Disbursements!$W:$W,Disbursements!$B:$B,'Live Collections'!D1551,Disbursements!$D:$D,'Live Collections'!F1551)))</f>
        <v>0</v>
      </c>
      <c r="T270" s="304">
        <f t="shared" si="15"/>
        <v>0</v>
      </c>
      <c r="U270" s="52">
        <v>788232971</v>
      </c>
      <c r="V270" s="34"/>
      <c r="W270" s="408"/>
    </row>
    <row r="271" spans="1:23" ht="12.75" customHeight="1" x14ac:dyDescent="0.2">
      <c r="A271" s="257">
        <v>268</v>
      </c>
      <c r="B271" s="44">
        <v>44383</v>
      </c>
      <c r="C271" s="44">
        <f t="shared" si="13"/>
        <v>44383</v>
      </c>
      <c r="D271" s="374">
        <v>42</v>
      </c>
      <c r="E271" s="291" t="str">
        <f>IFERROR(VLOOKUP($D271,'Clients-Live'!$A:$C,3,0),"")</f>
        <v>ABAU   NOLA</v>
      </c>
      <c r="F271" s="291">
        <f>IFERROR(INDEX(Disbursements!$D:$D,MATCH('Live Collections'!G271,Disbursements!$C:$C,0)),"")</f>
        <v>1</v>
      </c>
      <c r="G271" s="34">
        <v>27</v>
      </c>
      <c r="H271" s="34"/>
      <c r="I271" s="34" t="s">
        <v>1359</v>
      </c>
      <c r="J271" s="48"/>
      <c r="K271" s="48"/>
      <c r="L271" s="48"/>
      <c r="M271" s="48"/>
      <c r="N271" s="59"/>
      <c r="O271" s="59">
        <v>110000</v>
      </c>
      <c r="P271" s="59"/>
      <c r="Q271" s="268">
        <f t="shared" si="14"/>
        <v>110000</v>
      </c>
      <c r="R271" s="61">
        <f>IF(O271=0,0,SUMIFS(Disbursements!$T:$T,Disbursements!$B:$B,'Live Collections'!D271,Disbursements!$D:$D,'Live Collections'!F271))</f>
        <v>110000</v>
      </c>
      <c r="S271" s="304"/>
      <c r="T271" s="304">
        <f t="shared" si="15"/>
        <v>110000</v>
      </c>
      <c r="U271" s="52"/>
      <c r="V271" s="34"/>
      <c r="W271" s="408"/>
    </row>
    <row r="272" spans="1:23" ht="12.75" customHeight="1" x14ac:dyDescent="0.2">
      <c r="A272" s="132">
        <v>269</v>
      </c>
      <c r="B272" s="44">
        <v>44383</v>
      </c>
      <c r="C272" s="44">
        <f t="shared" si="13"/>
        <v>44383</v>
      </c>
      <c r="D272" s="374">
        <v>51</v>
      </c>
      <c r="E272" s="291" t="str">
        <f>IFERROR(VLOOKUP($D272,'Clients-Live'!$A:$C,3,0),"")</f>
        <v>AYILE STEPHEN</v>
      </c>
      <c r="F272" s="291">
        <f>IFERROR(INDEX(Disbursements!$D:$D,MATCH('Live Collections'!G272,Disbursements!$C:$C,0)),"")</f>
        <v>1</v>
      </c>
      <c r="G272" s="34">
        <v>34</v>
      </c>
      <c r="H272" s="34">
        <v>520</v>
      </c>
      <c r="I272" s="34" t="s">
        <v>1359</v>
      </c>
      <c r="J272" s="48"/>
      <c r="K272" s="48"/>
      <c r="L272" s="48"/>
      <c r="M272" s="48"/>
      <c r="N272" s="59"/>
      <c r="O272" s="59">
        <v>325000</v>
      </c>
      <c r="P272" s="59"/>
      <c r="Q272" s="268">
        <f t="shared" si="14"/>
        <v>325000</v>
      </c>
      <c r="R272" s="61">
        <f>IF(O272=0,0,SUMIFS(Disbursements!$T:$T,Disbursements!$B:$B,'Live Collections'!D272,Disbursements!$D:$D,'Live Collections'!F272))</f>
        <v>325000</v>
      </c>
      <c r="S272" s="304">
        <f>IF(O272&lt;=IF($O272=0,0,SUMIFS(Disbursements!$W:$W,Disbursements!$B:$B,'Live Collections'!D588,Disbursements!$D:$D,'Live Collections'!F588)),O272,IF($O272=0,0,SUMIFS(Disbursements!$W:$W,Disbursements!$B:$B,'Live Collections'!D588,Disbursements!$D:$D,'Live Collections'!F588)))</f>
        <v>15000</v>
      </c>
      <c r="T272" s="304">
        <f t="shared" si="15"/>
        <v>310000</v>
      </c>
      <c r="U272" s="52"/>
      <c r="V272" s="34"/>
      <c r="W272" s="408"/>
    </row>
    <row r="273" spans="1:23" ht="12.75" customHeight="1" x14ac:dyDescent="0.2">
      <c r="A273" s="257">
        <v>265</v>
      </c>
      <c r="B273" s="44">
        <v>44383</v>
      </c>
      <c r="C273" s="44">
        <f t="shared" si="13"/>
        <v>44383</v>
      </c>
      <c r="D273" s="374">
        <v>102</v>
      </c>
      <c r="E273" s="291" t="str">
        <f>IFERROR(VLOOKUP($D273,'Clients-Live'!$A:$C,3,0),"")</f>
        <v>BATALI GODFREY JOHN</v>
      </c>
      <c r="F273" s="291">
        <f>IFERROR(INDEX(Disbursements!$D:$D,MATCH('Live Collections'!G273,Disbursements!$C:$C,0)),"")</f>
        <v>1</v>
      </c>
      <c r="G273" s="34">
        <v>102</v>
      </c>
      <c r="H273" s="34"/>
      <c r="I273" s="34" t="s">
        <v>864</v>
      </c>
      <c r="J273" s="48"/>
      <c r="K273" s="48"/>
      <c r="L273" s="48">
        <v>10000</v>
      </c>
      <c r="M273" s="48">
        <v>5000</v>
      </c>
      <c r="N273" s="59"/>
      <c r="O273" s="59"/>
      <c r="P273" s="59">
        <v>20000</v>
      </c>
      <c r="Q273" s="268">
        <f t="shared" si="14"/>
        <v>35000</v>
      </c>
      <c r="R273" s="61">
        <f>IF(O273=0,0,SUMIFS(Disbursements!$T:$T,Disbursements!$B:$B,'Live Collections'!D273,Disbursements!$D:$D,'Live Collections'!F273))</f>
        <v>0</v>
      </c>
      <c r="S273" s="304">
        <f>IF(O273&lt;=IF($O273=0,0,SUMIFS(Disbursements!$W:$W,Disbursements!$B:$B,'Live Collections'!D1309,Disbursements!$D:$D,'Live Collections'!F1309)),O273,IF($O273=0,0,SUMIFS(Disbursements!$W:$W,Disbursements!$B:$B,'Live Collections'!D1309,Disbursements!$D:$D,'Live Collections'!F1309)))</f>
        <v>0</v>
      </c>
      <c r="T273" s="304">
        <f t="shared" si="15"/>
        <v>0</v>
      </c>
      <c r="U273" s="52"/>
      <c r="V273" s="34"/>
      <c r="W273" s="408"/>
    </row>
    <row r="274" spans="1:23" ht="12.75" customHeight="1" x14ac:dyDescent="0.2">
      <c r="A274" s="132">
        <v>266</v>
      </c>
      <c r="B274" s="44">
        <v>44383</v>
      </c>
      <c r="C274" s="44">
        <f t="shared" si="13"/>
        <v>44383</v>
      </c>
      <c r="D274" s="374">
        <v>112</v>
      </c>
      <c r="E274" s="291" t="str">
        <f>IFERROR(VLOOKUP($D274,'Clients-Live'!$A:$C,3,0),"")</f>
        <v>NURA JOYCE</v>
      </c>
      <c r="F274" s="291">
        <f>IFERROR(INDEX(Disbursements!$D:$D,MATCH('Live Collections'!G274,Disbursements!$C:$C,0)),"")</f>
        <v>1</v>
      </c>
      <c r="G274" s="34">
        <v>101</v>
      </c>
      <c r="H274" s="34"/>
      <c r="I274" s="34" t="s">
        <v>862</v>
      </c>
      <c r="J274" s="48"/>
      <c r="K274" s="48"/>
      <c r="L274" s="48">
        <v>10000</v>
      </c>
      <c r="M274" s="48">
        <v>5000</v>
      </c>
      <c r="N274" s="59"/>
      <c r="O274" s="59"/>
      <c r="P274" s="59">
        <v>50000</v>
      </c>
      <c r="Q274" s="268">
        <f t="shared" si="14"/>
        <v>65000</v>
      </c>
      <c r="R274" s="61">
        <f>IF(O274=0,0,SUMIFS(Disbursements!$T:$T,Disbursements!$B:$B,'Live Collections'!D274,Disbursements!$D:$D,'Live Collections'!F274))</f>
        <v>0</v>
      </c>
      <c r="S274" s="304">
        <f>IF(O274&lt;=IF($O274=0,0,SUMIFS(Disbursements!$W:$W,Disbursements!$B:$B,'Live Collections'!D1424,Disbursements!$D:$D,'Live Collections'!F1424)),O274,IF($O274=0,0,SUMIFS(Disbursements!$W:$W,Disbursements!$B:$B,'Live Collections'!D1424,Disbursements!$D:$D,'Live Collections'!F1424)))</f>
        <v>0</v>
      </c>
      <c r="T274" s="304">
        <f t="shared" si="15"/>
        <v>0</v>
      </c>
      <c r="U274" s="52"/>
      <c r="V274" s="34"/>
      <c r="W274" s="408"/>
    </row>
    <row r="275" spans="1:23" ht="12.75" customHeight="1" x14ac:dyDescent="0.2">
      <c r="A275" s="257">
        <v>267</v>
      </c>
      <c r="B275" s="44">
        <v>44383</v>
      </c>
      <c r="C275" s="44">
        <f t="shared" si="13"/>
        <v>44383</v>
      </c>
      <c r="D275" s="374">
        <v>119</v>
      </c>
      <c r="E275" s="291" t="str">
        <f>IFERROR(VLOOKUP($D275,'Clients-Live'!$A:$C,3,0),"")</f>
        <v>STELLA KONGAI</v>
      </c>
      <c r="F275" s="291">
        <f>IFERROR(INDEX(Disbursements!$D:$D,MATCH('Live Collections'!G275,Disbursements!$C:$C,0)),"")</f>
        <v>2</v>
      </c>
      <c r="G275" s="34">
        <v>253</v>
      </c>
      <c r="H275" s="34"/>
      <c r="I275" s="34" t="s">
        <v>862</v>
      </c>
      <c r="J275" s="48"/>
      <c r="K275" s="48"/>
      <c r="L275" s="48">
        <v>10000</v>
      </c>
      <c r="M275" s="48">
        <v>5000</v>
      </c>
      <c r="N275" s="59"/>
      <c r="O275" s="59"/>
      <c r="P275" s="59">
        <v>200000</v>
      </c>
      <c r="Q275" s="268">
        <f t="shared" si="14"/>
        <v>215000</v>
      </c>
      <c r="R275" s="61">
        <f>IF(O275=0,0,SUMIFS(Disbursements!$T:$T,Disbursements!$B:$B,'Live Collections'!D275,Disbursements!$D:$D,'Live Collections'!F275))</f>
        <v>0</v>
      </c>
      <c r="S275" s="304">
        <f>IF(O275&lt;=IF($O275=0,0,SUMIFS(Disbursements!$W:$W,Disbursements!$B:$B,'Live Collections'!D1535,Disbursements!$D:$D,'Live Collections'!F1535)),O275,IF($O275=0,0,SUMIFS(Disbursements!$W:$W,Disbursements!$B:$B,'Live Collections'!D1535,Disbursements!$D:$D,'Live Collections'!F1535)))</f>
        <v>0</v>
      </c>
      <c r="T275" s="304">
        <f t="shared" si="15"/>
        <v>0</v>
      </c>
      <c r="U275" s="52"/>
      <c r="V275" s="34"/>
      <c r="W275" s="408"/>
    </row>
    <row r="276" spans="1:23" ht="12.75" customHeight="1" x14ac:dyDescent="0.2">
      <c r="A276" s="132">
        <v>263</v>
      </c>
      <c r="B276" s="44">
        <v>44383</v>
      </c>
      <c r="C276" s="44">
        <f t="shared" si="13"/>
        <v>44383</v>
      </c>
      <c r="D276" s="374">
        <v>122</v>
      </c>
      <c r="E276" s="291" t="str">
        <f>IFERROR(VLOOKUP($D276,'Clients-Live'!$A:$C,3,0),"")</f>
        <v>NABWETEME MILLY</v>
      </c>
      <c r="F276" s="291" t="str">
        <f>IFERROR(INDEX(Disbursements!$D:$D,MATCH('Live Collections'!G276,Disbursements!$C:$C,0)),"")</f>
        <v/>
      </c>
      <c r="G276" s="34"/>
      <c r="H276" s="34"/>
      <c r="I276" s="34" t="s">
        <v>1814</v>
      </c>
      <c r="J276" s="48">
        <v>15000</v>
      </c>
      <c r="K276" s="48">
        <v>5000</v>
      </c>
      <c r="L276" s="48"/>
      <c r="M276" s="48"/>
      <c r="N276" s="59"/>
      <c r="O276" s="59"/>
      <c r="P276" s="59"/>
      <c r="Q276" s="268">
        <f t="shared" si="14"/>
        <v>20000</v>
      </c>
      <c r="R276" s="61">
        <f>IF(O276=0,0,SUMIFS(Disbursements!$T:$T,Disbursements!$B:$B,'Live Collections'!D276,Disbursements!$D:$D,'Live Collections'!F276))</f>
        <v>0</v>
      </c>
      <c r="S276" s="304">
        <f>IF(O276&lt;=IF($O276=0,0,SUMIFS(Disbursements!$W:$W,Disbursements!$B:$B,'Live Collections'!D1559,Disbursements!$D:$D,'Live Collections'!F1559)),O276,IF($O276=0,0,SUMIFS(Disbursements!$W:$W,Disbursements!$B:$B,'Live Collections'!D1559,Disbursements!$D:$D,'Live Collections'!F1559)))</f>
        <v>0</v>
      </c>
      <c r="T276" s="304">
        <f t="shared" si="15"/>
        <v>0</v>
      </c>
      <c r="U276" s="52">
        <v>777673427</v>
      </c>
      <c r="V276" s="34"/>
      <c r="W276" s="408"/>
    </row>
    <row r="277" spans="1:23" ht="12.75" customHeight="1" x14ac:dyDescent="0.2">
      <c r="A277" s="257">
        <v>264</v>
      </c>
      <c r="B277" s="44">
        <v>44383</v>
      </c>
      <c r="C277" s="44">
        <f t="shared" si="13"/>
        <v>44383</v>
      </c>
      <c r="D277" s="374">
        <v>123</v>
      </c>
      <c r="E277" s="291" t="str">
        <f>IFERROR(VLOOKUP($D277,'Clients-Live'!$A:$C,3,0),"")</f>
        <v>INZIKURU JANET</v>
      </c>
      <c r="F277" s="291" t="str">
        <f>IFERROR(INDEX(Disbursements!$D:$D,MATCH('Live Collections'!G277,Disbursements!$C:$C,0)),"")</f>
        <v/>
      </c>
      <c r="G277" s="34"/>
      <c r="H277" s="34"/>
      <c r="I277" s="34" t="s">
        <v>1814</v>
      </c>
      <c r="J277" s="48">
        <v>15000</v>
      </c>
      <c r="K277" s="48">
        <v>5000</v>
      </c>
      <c r="L277" s="48"/>
      <c r="M277" s="48"/>
      <c r="N277" s="59"/>
      <c r="O277" s="59"/>
      <c r="P277" s="59"/>
      <c r="Q277" s="268">
        <f t="shared" si="14"/>
        <v>20000</v>
      </c>
      <c r="R277" s="61">
        <f>IF(O277=0,0,SUMIFS(Disbursements!$T:$T,Disbursements!$B:$B,'Live Collections'!D277,Disbursements!$D:$D,'Live Collections'!F277))</f>
        <v>0</v>
      </c>
      <c r="S277" s="304">
        <f>IF(O277&lt;=IF($O277=0,0,SUMIFS(Disbursements!$W:$W,Disbursements!$B:$B,'Live Collections'!D1560,Disbursements!$D:$D,'Live Collections'!F1560)),O277,IF($O277=0,0,SUMIFS(Disbursements!$W:$W,Disbursements!$B:$B,'Live Collections'!D1560,Disbursements!$D:$D,'Live Collections'!F1560)))</f>
        <v>0</v>
      </c>
      <c r="T277" s="304">
        <f t="shared" si="15"/>
        <v>0</v>
      </c>
      <c r="U277" s="52">
        <v>773578982</v>
      </c>
      <c r="V277" s="34"/>
      <c r="W277" s="408"/>
    </row>
    <row r="278" spans="1:23" ht="12.75" customHeight="1" x14ac:dyDescent="0.2">
      <c r="A278" s="132">
        <v>274</v>
      </c>
      <c r="B278" s="44">
        <v>44384</v>
      </c>
      <c r="C278" s="44">
        <f t="shared" si="13"/>
        <v>44384</v>
      </c>
      <c r="D278" s="374">
        <v>23</v>
      </c>
      <c r="E278" s="291" t="str">
        <f>IFERROR(VLOOKUP($D278,'Clients-Live'!$A:$C,3,0),"")</f>
        <v>BADARU KEVIN ATELIONGA</v>
      </c>
      <c r="F278" s="291">
        <f>IFERROR(INDEX(Disbursements!$D:$D,MATCH('Live Collections'!G278,Disbursements!$C:$C,0)),"")</f>
        <v>1</v>
      </c>
      <c r="G278" s="34">
        <v>14</v>
      </c>
      <c r="H278" s="34"/>
      <c r="I278" s="34" t="s">
        <v>1357</v>
      </c>
      <c r="J278" s="48"/>
      <c r="K278" s="48"/>
      <c r="L278" s="48"/>
      <c r="M278" s="48"/>
      <c r="N278" s="59"/>
      <c r="O278" s="59">
        <v>65000</v>
      </c>
      <c r="P278" s="59"/>
      <c r="Q278" s="268">
        <f t="shared" si="14"/>
        <v>65000</v>
      </c>
      <c r="R278" s="61">
        <f>IF(O278=0,0,SUMIFS(Disbursements!$T:$T,Disbursements!$B:$B,'Live Collections'!D278,Disbursements!$D:$D,'Live Collections'!F278))</f>
        <v>33000</v>
      </c>
      <c r="S278" s="304"/>
      <c r="T278" s="64">
        <f>IF(O278=0,0,O278-S278)+12000</f>
        <v>77000</v>
      </c>
      <c r="U278" s="52"/>
      <c r="V278" s="34"/>
      <c r="W278" s="408" t="s">
        <v>2083</v>
      </c>
    </row>
    <row r="279" spans="1:23" ht="12.75" customHeight="1" x14ac:dyDescent="0.2">
      <c r="A279" s="257">
        <v>275</v>
      </c>
      <c r="B279" s="44">
        <v>44384</v>
      </c>
      <c r="C279" s="44">
        <f t="shared" si="13"/>
        <v>44384</v>
      </c>
      <c r="D279" s="374">
        <v>46</v>
      </c>
      <c r="E279" s="291" t="str">
        <f>IFERROR(VLOOKUP($D279,'Clients-Live'!$A:$C,3,0),"")</f>
        <v>ALIO YUDA</v>
      </c>
      <c r="F279" s="291">
        <f>IFERROR(INDEX(Disbursements!$D:$D,MATCH('Live Collections'!G279,Disbursements!$C:$C,0)),"")</f>
        <v>1</v>
      </c>
      <c r="G279" s="34">
        <v>35</v>
      </c>
      <c r="H279" s="34"/>
      <c r="I279" s="34" t="s">
        <v>1357</v>
      </c>
      <c r="J279" s="48"/>
      <c r="K279" s="48"/>
      <c r="L279" s="48"/>
      <c r="M279" s="48"/>
      <c r="N279" s="59"/>
      <c r="O279" s="59">
        <v>100000</v>
      </c>
      <c r="P279" s="59"/>
      <c r="Q279" s="268">
        <f t="shared" si="14"/>
        <v>100000</v>
      </c>
      <c r="R279" s="61">
        <f>IF(O279=0,0,SUMIFS(Disbursements!$T:$T,Disbursements!$B:$B,'Live Collections'!D279,Disbursements!$D:$D,'Live Collections'!F279))</f>
        <v>325000</v>
      </c>
      <c r="S279" s="304">
        <f>IF(O279&lt;=IF($O279=0,0,SUMIFS(Disbursements!$W:$W,Disbursements!$B:$B,'Live Collections'!D515,Disbursements!$D:$D,'Live Collections'!F515)),O279,IF($O279=0,0,SUMIFS(Disbursements!$W:$W,Disbursements!$B:$B,'Live Collections'!D515,Disbursements!$D:$D,'Live Collections'!F515)))</f>
        <v>25666.666666666672</v>
      </c>
      <c r="T279" s="304">
        <f t="shared" si="15"/>
        <v>74333.333333333328</v>
      </c>
      <c r="U279" s="52"/>
      <c r="V279" s="34"/>
      <c r="W279" s="408"/>
    </row>
    <row r="280" spans="1:23" ht="12.75" customHeight="1" x14ac:dyDescent="0.2">
      <c r="A280" s="132">
        <v>271</v>
      </c>
      <c r="B280" s="44">
        <v>44384</v>
      </c>
      <c r="C280" s="44">
        <f t="shared" si="13"/>
        <v>44384</v>
      </c>
      <c r="D280" s="374">
        <v>69</v>
      </c>
      <c r="E280" s="291" t="str">
        <f>IFERROR(VLOOKUP($D280,'Clients-Live'!$A:$C,3,0),"")</f>
        <v>SADIA JOYCE</v>
      </c>
      <c r="F280" s="291">
        <f>IFERROR(INDEX(Disbursements!$D:$D,MATCH('Live Collections'!G280,Disbursements!$C:$C,0)),"")</f>
        <v>1</v>
      </c>
      <c r="G280" s="34">
        <v>106</v>
      </c>
      <c r="H280" s="34"/>
      <c r="I280" s="34" t="s">
        <v>862</v>
      </c>
      <c r="J280" s="48"/>
      <c r="K280" s="48"/>
      <c r="L280" s="48">
        <v>10000</v>
      </c>
      <c r="M280" s="48">
        <v>5000</v>
      </c>
      <c r="N280" s="59"/>
      <c r="O280" s="59"/>
      <c r="P280" s="59">
        <v>30000</v>
      </c>
      <c r="Q280" s="268">
        <f t="shared" si="14"/>
        <v>45000</v>
      </c>
      <c r="R280" s="61">
        <f>IF(O280=0,0,SUMIFS(Disbursements!$T:$T,Disbursements!$B:$B,'Live Collections'!D280,Disbursements!$D:$D,'Live Collections'!F280))</f>
        <v>0</v>
      </c>
      <c r="S280" s="304">
        <f>IF(O280&lt;=IF($O280=0,0,SUMIFS(Disbursements!$W:$W,Disbursements!$B:$B,'Live Collections'!D852,Disbursements!$D:$D,'Live Collections'!F852)),O280,IF($O280=0,0,SUMIFS(Disbursements!$W:$W,Disbursements!$B:$B,'Live Collections'!D852,Disbursements!$D:$D,'Live Collections'!F852)))</f>
        <v>0</v>
      </c>
      <c r="T280" s="304">
        <f t="shared" si="15"/>
        <v>0</v>
      </c>
      <c r="U280" s="52"/>
      <c r="V280" s="34"/>
      <c r="W280" s="408"/>
    </row>
    <row r="281" spans="1:23" ht="12.75" customHeight="1" x14ac:dyDescent="0.2">
      <c r="A281" s="257">
        <v>273</v>
      </c>
      <c r="B281" s="44">
        <v>44384</v>
      </c>
      <c r="C281" s="44">
        <f t="shared" si="13"/>
        <v>44384</v>
      </c>
      <c r="D281" s="374">
        <v>106</v>
      </c>
      <c r="E281" s="291" t="str">
        <f>IFERROR(VLOOKUP($D281,'Clients-Live'!$A:$C,3,0),"")</f>
        <v>ORODRIYO  NUSURA</v>
      </c>
      <c r="F281" s="291">
        <f>IFERROR(INDEX(Disbursements!$D:$D,MATCH('Live Collections'!G281,Disbursements!$C:$C,0)),"")</f>
        <v>2</v>
      </c>
      <c r="G281" s="34">
        <v>104</v>
      </c>
      <c r="H281" s="34">
        <v>535</v>
      </c>
      <c r="I281" s="34" t="s">
        <v>1357</v>
      </c>
      <c r="J281" s="48"/>
      <c r="K281" s="48"/>
      <c r="L281" s="48"/>
      <c r="M281" s="48"/>
      <c r="N281" s="59"/>
      <c r="O281" s="59">
        <v>10000</v>
      </c>
      <c r="P281" s="59"/>
      <c r="Q281" s="268">
        <f t="shared" si="14"/>
        <v>10000</v>
      </c>
      <c r="R281" s="61">
        <f>IF(O281=0,0,SUMIFS(Disbursements!$T:$T,Disbursements!$B:$B,'Live Collections'!D281,Disbursements!$D:$D,'Live Collections'!F281))</f>
        <v>120000</v>
      </c>
      <c r="S281" s="304"/>
      <c r="T281" s="304">
        <f t="shared" si="15"/>
        <v>10000</v>
      </c>
      <c r="U281" s="52"/>
      <c r="V281" s="34"/>
      <c r="W281" s="408"/>
    </row>
    <row r="282" spans="1:23" ht="12.75" customHeight="1" x14ac:dyDescent="0.2">
      <c r="A282" s="132">
        <v>270</v>
      </c>
      <c r="B282" s="44">
        <v>44384</v>
      </c>
      <c r="C282" s="44">
        <f t="shared" si="13"/>
        <v>44384</v>
      </c>
      <c r="D282" s="374">
        <v>124</v>
      </c>
      <c r="E282" s="291" t="str">
        <f>IFERROR(VLOOKUP($D282,'Clients-Live'!$A:$C,3,0),"")</f>
        <v>TIKO ZABIBU</v>
      </c>
      <c r="F282" s="291" t="str">
        <f>IFERROR(INDEX(Disbursements!$D:$D,MATCH('Live Collections'!G282,Disbursements!$C:$C,0)),"")</f>
        <v/>
      </c>
      <c r="G282" s="34"/>
      <c r="H282" s="34"/>
      <c r="I282" s="34" t="s">
        <v>1814</v>
      </c>
      <c r="J282" s="48">
        <v>15000</v>
      </c>
      <c r="K282" s="48">
        <v>5000</v>
      </c>
      <c r="L282" s="48"/>
      <c r="M282" s="48"/>
      <c r="N282" s="59"/>
      <c r="O282" s="59"/>
      <c r="P282" s="59"/>
      <c r="Q282" s="268">
        <f t="shared" si="14"/>
        <v>20000</v>
      </c>
      <c r="R282" s="61">
        <f>IF(O282=0,0,SUMIFS(Disbursements!$T:$T,Disbursements!$B:$B,'Live Collections'!D282,Disbursements!$D:$D,'Live Collections'!F282))</f>
        <v>0</v>
      </c>
      <c r="S282" s="304">
        <f>IF(O282&lt;=IF($O282=0,0,SUMIFS(Disbursements!$W:$W,Disbursements!$B:$B,'Live Collections'!D1567,Disbursements!$D:$D,'Live Collections'!F1567)),O282,IF($O282=0,0,SUMIFS(Disbursements!$W:$W,Disbursements!$B:$B,'Live Collections'!D1567,Disbursements!$D:$D,'Live Collections'!F1567)))</f>
        <v>0</v>
      </c>
      <c r="T282" s="304">
        <f t="shared" si="15"/>
        <v>0</v>
      </c>
      <c r="U282" s="52">
        <v>786495781</v>
      </c>
      <c r="V282" s="34"/>
      <c r="W282" s="408"/>
    </row>
    <row r="283" spans="1:23" ht="12.75" customHeight="1" x14ac:dyDescent="0.2">
      <c r="A283" s="257">
        <v>272</v>
      </c>
      <c r="B283" s="44">
        <v>44384</v>
      </c>
      <c r="C283" s="44">
        <f t="shared" si="13"/>
        <v>44384</v>
      </c>
      <c r="D283" s="374">
        <v>126</v>
      </c>
      <c r="E283" s="291" t="str">
        <f>IFERROR(VLOOKUP($D283,'Clients-Live'!$A:$C,3,0),"")</f>
        <v>OGWAL STEPHEN GERALD</v>
      </c>
      <c r="F283" s="291">
        <f>IFERROR(INDEX(Disbursements!$D:$D,MATCH('Live Collections'!G283,Disbursements!$C:$C,0)),"")</f>
        <v>1</v>
      </c>
      <c r="G283" s="34">
        <v>108</v>
      </c>
      <c r="H283" s="34"/>
      <c r="I283" s="34" t="s">
        <v>862</v>
      </c>
      <c r="J283" s="48"/>
      <c r="K283" s="48"/>
      <c r="L283" s="48">
        <v>10000</v>
      </c>
      <c r="M283" s="48">
        <v>5000</v>
      </c>
      <c r="N283" s="59"/>
      <c r="O283" s="59"/>
      <c r="P283" s="59">
        <v>70000</v>
      </c>
      <c r="Q283" s="268">
        <f t="shared" si="14"/>
        <v>85000</v>
      </c>
      <c r="R283" s="61">
        <f>IF(O283=0,0,SUMIFS(Disbursements!$T:$T,Disbursements!$B:$B,'Live Collections'!D283,Disbursements!$D:$D,'Live Collections'!F283))</f>
        <v>0</v>
      </c>
      <c r="S283" s="304">
        <f>IF(O283&lt;=IF($O283=0,0,SUMIFS(Disbursements!$W:$W,Disbursements!$B:$B,'Live Collections'!D1595,Disbursements!$D:$D,'Live Collections'!F1595)),O283,IF($O283=0,0,SUMIFS(Disbursements!$W:$W,Disbursements!$B:$B,'Live Collections'!D1595,Disbursements!$D:$D,'Live Collections'!F1595)))</f>
        <v>0</v>
      </c>
      <c r="T283" s="304">
        <f t="shared" si="15"/>
        <v>0</v>
      </c>
      <c r="U283" s="52"/>
      <c r="V283" s="34"/>
      <c r="W283" s="408"/>
    </row>
    <row r="284" spans="1:23" ht="12.75" customHeight="1" x14ac:dyDescent="0.2">
      <c r="A284" s="132">
        <v>280</v>
      </c>
      <c r="B284" s="44">
        <v>44385</v>
      </c>
      <c r="C284" s="44">
        <f t="shared" si="13"/>
        <v>44385</v>
      </c>
      <c r="D284" s="374">
        <v>33</v>
      </c>
      <c r="E284" s="291" t="str">
        <f>IFERROR(VLOOKUP($D284,'Clients-Live'!$A:$C,3,0),"")</f>
        <v>MUZEE OMAR</v>
      </c>
      <c r="F284" s="291">
        <f>IFERROR(INDEX(Disbursements!$D:$D,MATCH('Live Collections'!G284,Disbursements!$C:$C,0)),"")</f>
        <v>1</v>
      </c>
      <c r="G284" s="34">
        <v>26</v>
      </c>
      <c r="H284" s="34">
        <v>460</v>
      </c>
      <c r="I284" s="34" t="s">
        <v>1357</v>
      </c>
      <c r="J284" s="48"/>
      <c r="K284" s="48"/>
      <c r="L284" s="48"/>
      <c r="M284" s="48"/>
      <c r="N284" s="59"/>
      <c r="O284" s="59">
        <v>50000</v>
      </c>
      <c r="P284" s="59"/>
      <c r="Q284" s="268">
        <f t="shared" si="14"/>
        <v>50000</v>
      </c>
      <c r="R284" s="61">
        <f>IF(O284=0,0,SUMIFS(Disbursements!$T:$T,Disbursements!$B:$B,'Live Collections'!D284,Disbursements!$D:$D,'Live Collections'!F284))</f>
        <v>109000</v>
      </c>
      <c r="S284" s="304">
        <f>IF(O284&lt;=IF($O284=0,0,SUMIFS(Disbursements!$W:$W,Disbursements!$B:$B,'Live Collections'!D380,Disbursements!$D:$D,'Live Collections'!F380)),O284,IF($O284=0,0,SUMIFS(Disbursements!$W:$W,Disbursements!$B:$B,'Live Collections'!D380,Disbursements!$D:$D,'Live Collections'!F380)))</f>
        <v>15000</v>
      </c>
      <c r="T284" s="304">
        <f t="shared" si="15"/>
        <v>35000</v>
      </c>
      <c r="U284" s="52"/>
      <c r="V284" s="34"/>
      <c r="W284" s="408"/>
    </row>
    <row r="285" spans="1:23" ht="12.75" customHeight="1" x14ac:dyDescent="0.2">
      <c r="A285" s="257">
        <v>281</v>
      </c>
      <c r="B285" s="44">
        <v>44385</v>
      </c>
      <c r="C285" s="44">
        <f t="shared" si="13"/>
        <v>44385</v>
      </c>
      <c r="D285" s="374">
        <v>54</v>
      </c>
      <c r="E285" s="291" t="str">
        <f>IFERROR(VLOOKUP($D285,'Clients-Live'!$A:$C,3,0),"")</f>
        <v>MANENO ANIFA</v>
      </c>
      <c r="F285" s="291">
        <f>IFERROR(INDEX(Disbursements!$D:$D,MATCH('Live Collections'!G285,Disbursements!$C:$C,0)),"")</f>
        <v>1</v>
      </c>
      <c r="G285" s="34">
        <v>37</v>
      </c>
      <c r="H285" s="34"/>
      <c r="I285" s="34" t="s">
        <v>1357</v>
      </c>
      <c r="J285" s="48"/>
      <c r="K285" s="48"/>
      <c r="L285" s="48"/>
      <c r="M285" s="48"/>
      <c r="N285" s="59"/>
      <c r="O285" s="59">
        <v>80000</v>
      </c>
      <c r="P285" s="59"/>
      <c r="Q285" s="268">
        <f t="shared" si="14"/>
        <v>80000</v>
      </c>
      <c r="R285" s="61">
        <f>IF(O285=0,0,SUMIFS(Disbursements!$T:$T,Disbursements!$B:$B,'Live Collections'!D285,Disbursements!$D:$D,'Live Collections'!F285))</f>
        <v>150000</v>
      </c>
      <c r="S285" s="304">
        <f>IF(O285&lt;=IF($O285=0,0,SUMIFS(Disbursements!$W:$W,Disbursements!$B:$B,'Live Collections'!D631,Disbursements!$D:$D,'Live Collections'!F631)),O285,IF($O285=0,0,SUMIFS(Disbursements!$W:$W,Disbursements!$B:$B,'Live Collections'!D631,Disbursements!$D:$D,'Live Collections'!F631)))</f>
        <v>0</v>
      </c>
      <c r="T285" s="304">
        <f t="shared" si="15"/>
        <v>80000</v>
      </c>
      <c r="U285" s="52"/>
      <c r="V285" s="34"/>
      <c r="W285" s="408"/>
    </row>
    <row r="286" spans="1:23" ht="12.75" customHeight="1" x14ac:dyDescent="0.2">
      <c r="A286" s="132">
        <v>278</v>
      </c>
      <c r="B286" s="44">
        <v>44385</v>
      </c>
      <c r="C286" s="44">
        <f t="shared" si="13"/>
        <v>44385</v>
      </c>
      <c r="D286" s="374">
        <v>121</v>
      </c>
      <c r="E286" s="291" t="str">
        <f>IFERROR(VLOOKUP($D286,'Clients-Live'!$A:$C,3,0),"")</f>
        <v>AMAYO CHARLES</v>
      </c>
      <c r="F286" s="291">
        <f>IFERROR(INDEX(Disbursements!$D:$D,MATCH('Live Collections'!G286,Disbursements!$C:$C,0)),"")</f>
        <v>1</v>
      </c>
      <c r="G286" s="34">
        <v>105</v>
      </c>
      <c r="H286" s="34"/>
      <c r="I286" s="34" t="s">
        <v>863</v>
      </c>
      <c r="J286" s="48"/>
      <c r="K286" s="48"/>
      <c r="L286" s="48">
        <v>10000</v>
      </c>
      <c r="M286" s="48">
        <v>5000</v>
      </c>
      <c r="N286" s="59"/>
      <c r="O286" s="59"/>
      <c r="P286" s="59">
        <v>80000</v>
      </c>
      <c r="Q286" s="268">
        <f t="shared" si="14"/>
        <v>95000</v>
      </c>
      <c r="R286" s="61">
        <f>IF(O286=0,0,SUMIFS(Disbursements!$T:$T,Disbursements!$B:$B,'Live Collections'!D286,Disbursements!$D:$D,'Live Collections'!F286))</f>
        <v>0</v>
      </c>
      <c r="S286" s="304">
        <f>IF(O286&lt;=IF($O286=0,0,SUMIFS(Disbursements!$W:$W,Disbursements!$B:$B,'Live Collections'!D1552,Disbursements!$D:$D,'Live Collections'!F1552)),O286,IF($O286=0,0,SUMIFS(Disbursements!$W:$W,Disbursements!$B:$B,'Live Collections'!D1552,Disbursements!$D:$D,'Live Collections'!F1552)))</f>
        <v>0</v>
      </c>
      <c r="T286" s="304">
        <f t="shared" si="15"/>
        <v>0</v>
      </c>
      <c r="U286" s="52"/>
      <c r="V286" s="34"/>
      <c r="W286" s="408"/>
    </row>
    <row r="287" spans="1:23" ht="12.75" customHeight="1" x14ac:dyDescent="0.2">
      <c r="A287" s="257">
        <v>279</v>
      </c>
      <c r="B287" s="44">
        <v>44385</v>
      </c>
      <c r="C287" s="44">
        <f t="shared" si="13"/>
        <v>44385</v>
      </c>
      <c r="D287" s="374">
        <v>124</v>
      </c>
      <c r="E287" s="291" t="str">
        <f>IFERROR(VLOOKUP($D287,'Clients-Live'!$A:$C,3,0),"")</f>
        <v>TIKO ZABIBU</v>
      </c>
      <c r="F287" s="291">
        <f>IFERROR(INDEX(Disbursements!$D:$D,MATCH('Live Collections'!G287,Disbursements!$C:$C,0)),"")</f>
        <v>1</v>
      </c>
      <c r="G287" s="34">
        <v>199</v>
      </c>
      <c r="H287" s="34"/>
      <c r="I287" s="34" t="s">
        <v>863</v>
      </c>
      <c r="J287" s="48"/>
      <c r="K287" s="48"/>
      <c r="L287" s="48">
        <v>10000</v>
      </c>
      <c r="M287" s="48">
        <v>5000</v>
      </c>
      <c r="N287" s="59"/>
      <c r="O287" s="59"/>
      <c r="P287" s="59">
        <v>70000</v>
      </c>
      <c r="Q287" s="268">
        <f t="shared" si="14"/>
        <v>85000</v>
      </c>
      <c r="R287" s="61">
        <f>IF(O287=0,0,SUMIFS(Disbursements!$T:$T,Disbursements!$B:$B,'Live Collections'!D287,Disbursements!$D:$D,'Live Collections'!F287))</f>
        <v>0</v>
      </c>
      <c r="S287" s="304">
        <f>IF(O287&lt;=IF($O287=0,0,SUMIFS(Disbursements!$W:$W,Disbursements!$B:$B,'Live Collections'!D1568,Disbursements!$D:$D,'Live Collections'!F1568)),O287,IF($O287=0,0,SUMIFS(Disbursements!$W:$W,Disbursements!$B:$B,'Live Collections'!D1568,Disbursements!$D:$D,'Live Collections'!F1568)))</f>
        <v>0</v>
      </c>
      <c r="T287" s="304">
        <f t="shared" si="15"/>
        <v>0</v>
      </c>
      <c r="U287" s="52"/>
      <c r="V287" s="34"/>
      <c r="W287" s="408"/>
    </row>
    <row r="288" spans="1:23" ht="12.75" customHeight="1" x14ac:dyDescent="0.2">
      <c r="A288" s="132">
        <v>276</v>
      </c>
      <c r="B288" s="44">
        <v>44385</v>
      </c>
      <c r="C288" s="44">
        <f t="shared" si="13"/>
        <v>44385</v>
      </c>
      <c r="D288" s="374">
        <v>125</v>
      </c>
      <c r="E288" s="291" t="str">
        <f>IFERROR(VLOOKUP($D288,'Clients-Live'!$A:$C,3,0),"")</f>
        <v>SUNDAY SCOVIA</v>
      </c>
      <c r="F288" s="291" t="str">
        <f>IFERROR(INDEX(Disbursements!$D:$D,MATCH('Live Collections'!G288,Disbursements!$C:$C,0)),"")</f>
        <v/>
      </c>
      <c r="G288" s="34"/>
      <c r="H288" s="34"/>
      <c r="I288" s="34" t="s">
        <v>1814</v>
      </c>
      <c r="J288" s="48">
        <v>15000</v>
      </c>
      <c r="K288" s="48">
        <v>5000</v>
      </c>
      <c r="L288" s="48"/>
      <c r="M288" s="48"/>
      <c r="N288" s="59"/>
      <c r="O288" s="59"/>
      <c r="P288" s="59"/>
      <c r="Q288" s="268">
        <f t="shared" si="14"/>
        <v>20000</v>
      </c>
      <c r="R288" s="61">
        <f>IF(O288=0,0,SUMIFS(Disbursements!$T:$T,Disbursements!$B:$B,'Live Collections'!D288,Disbursements!$D:$D,'Live Collections'!F288))</f>
        <v>0</v>
      </c>
      <c r="S288" s="304">
        <f>IF(O288&lt;=IF($O288=0,0,SUMIFS(Disbursements!$W:$W,Disbursements!$B:$B,'Live Collections'!D1585,Disbursements!$D:$D,'Live Collections'!F1585)),O288,IF($O288=0,0,SUMIFS(Disbursements!$W:$W,Disbursements!$B:$B,'Live Collections'!D1585,Disbursements!$D:$D,'Live Collections'!F1585)))</f>
        <v>0</v>
      </c>
      <c r="T288" s="304">
        <f t="shared" si="15"/>
        <v>0</v>
      </c>
      <c r="U288" s="52">
        <v>760025937</v>
      </c>
      <c r="V288" s="34"/>
      <c r="W288" s="408"/>
    </row>
    <row r="289" spans="1:23" ht="12.75" customHeight="1" x14ac:dyDescent="0.2">
      <c r="A289" s="257">
        <v>277</v>
      </c>
      <c r="B289" s="44">
        <v>44385</v>
      </c>
      <c r="C289" s="44">
        <f t="shared" si="13"/>
        <v>44385</v>
      </c>
      <c r="D289" s="374">
        <v>126</v>
      </c>
      <c r="E289" s="291" t="str">
        <f>IFERROR(VLOOKUP($D289,'Clients-Live'!$A:$C,3,0),"")</f>
        <v>OGWAL STEPHEN GERALD</v>
      </c>
      <c r="F289" s="291" t="str">
        <f>IFERROR(INDEX(Disbursements!$D:$D,MATCH('Live Collections'!G289,Disbursements!$C:$C,0)),"")</f>
        <v/>
      </c>
      <c r="G289" s="34"/>
      <c r="H289" s="34"/>
      <c r="I289" s="34" t="s">
        <v>1814</v>
      </c>
      <c r="J289" s="48">
        <v>15000</v>
      </c>
      <c r="K289" s="48">
        <v>5000</v>
      </c>
      <c r="L289" s="48"/>
      <c r="M289" s="48"/>
      <c r="N289" s="59"/>
      <c r="O289" s="59"/>
      <c r="P289" s="59"/>
      <c r="Q289" s="268">
        <f t="shared" si="14"/>
        <v>20000</v>
      </c>
      <c r="R289" s="61">
        <f>IF(O289=0,0,SUMIFS(Disbursements!$T:$T,Disbursements!$B:$B,'Live Collections'!D289,Disbursements!$D:$D,'Live Collections'!F289))</f>
        <v>0</v>
      </c>
      <c r="S289" s="304">
        <f>IF(O289&lt;=IF($O289=0,0,SUMIFS(Disbursements!$W:$W,Disbursements!$B:$B,'Live Collections'!D1596,Disbursements!$D:$D,'Live Collections'!F1596)),O289,IF($O289=0,0,SUMIFS(Disbursements!$W:$W,Disbursements!$B:$B,'Live Collections'!D1596,Disbursements!$D:$D,'Live Collections'!F1596)))</f>
        <v>0</v>
      </c>
      <c r="T289" s="304">
        <f t="shared" si="15"/>
        <v>0</v>
      </c>
      <c r="U289" s="52">
        <v>777039041</v>
      </c>
      <c r="V289" s="34"/>
      <c r="W289" s="408"/>
    </row>
    <row r="290" spans="1:23" ht="12.75" customHeight="1" x14ac:dyDescent="0.2">
      <c r="A290" s="132">
        <v>285</v>
      </c>
      <c r="B290" s="44">
        <v>44386</v>
      </c>
      <c r="C290" s="44">
        <f t="shared" si="13"/>
        <v>44386</v>
      </c>
      <c r="D290" s="374">
        <v>22</v>
      </c>
      <c r="E290" s="291" t="str">
        <f>IFERROR(VLOOKUP($D290,'Clients-Live'!$A:$C,3,0),"")</f>
        <v>DATA ISMAIL FATARI</v>
      </c>
      <c r="F290" s="291">
        <f>IFERROR(INDEX(Disbursements!$D:$D,MATCH('Live Collections'!G290,Disbursements!$C:$C,0)),"")</f>
        <v>1</v>
      </c>
      <c r="G290" s="34">
        <v>13</v>
      </c>
      <c r="H290" s="34"/>
      <c r="I290" s="34" t="s">
        <v>1359</v>
      </c>
      <c r="J290" s="48"/>
      <c r="K290" s="48"/>
      <c r="L290" s="48"/>
      <c r="M290" s="48"/>
      <c r="N290" s="59"/>
      <c r="O290" s="59">
        <v>120000</v>
      </c>
      <c r="P290" s="59"/>
      <c r="Q290" s="268">
        <f t="shared" si="14"/>
        <v>120000</v>
      </c>
      <c r="R290" s="61">
        <f>IF(O290=0,0,SUMIFS(Disbursements!$T:$T,Disbursements!$B:$B,'Live Collections'!D290,Disbursements!$D:$D,'Live Collections'!F290))</f>
        <v>217000</v>
      </c>
      <c r="S290" s="304">
        <f>IF(O290&lt;=IF($O290=0,0,SUMIFS(Disbursements!$W:$W,Disbursements!$B:$B,'Live Collections'!D277,Disbursements!$D:$D,'Live Collections'!F277)),O290,IF($O290=0,0,SUMIFS(Disbursements!$W:$W,Disbursements!$B:$B,'Live Collections'!D277,Disbursements!$D:$D,'Live Collections'!F277)))</f>
        <v>0</v>
      </c>
      <c r="T290" s="304">
        <f t="shared" si="15"/>
        <v>120000</v>
      </c>
      <c r="U290" s="52"/>
      <c r="V290" s="34"/>
      <c r="W290" s="408"/>
    </row>
    <row r="291" spans="1:23" ht="12.75" customHeight="1" x14ac:dyDescent="0.2">
      <c r="A291" s="257">
        <v>286</v>
      </c>
      <c r="B291" s="44">
        <v>44386</v>
      </c>
      <c r="C291" s="44">
        <f t="shared" si="13"/>
        <v>44386</v>
      </c>
      <c r="D291" s="374">
        <v>47</v>
      </c>
      <c r="E291" s="291" t="str">
        <f>IFERROR(VLOOKUP($D291,'Clients-Live'!$A:$C,3,0),"")</f>
        <v>DAWA AMINA</v>
      </c>
      <c r="F291" s="291">
        <f>IFERROR(INDEX(Disbursements!$D:$D,MATCH('Live Collections'!G291,Disbursements!$C:$C,0)),"")</f>
        <v>1</v>
      </c>
      <c r="G291" s="34">
        <v>29</v>
      </c>
      <c r="H291" s="34"/>
      <c r="I291" s="34" t="s">
        <v>1357</v>
      </c>
      <c r="J291" s="48"/>
      <c r="K291" s="48"/>
      <c r="L291" s="48"/>
      <c r="M291" s="48"/>
      <c r="N291" s="59"/>
      <c r="O291" s="59">
        <v>98000</v>
      </c>
      <c r="P291" s="59"/>
      <c r="Q291" s="268">
        <f t="shared" si="14"/>
        <v>98000</v>
      </c>
      <c r="R291" s="61">
        <f>IF(O291=0,0,SUMIFS(Disbursements!$T:$T,Disbursements!$B:$B,'Live Collections'!D291,Disbursements!$D:$D,'Live Collections'!F291))</f>
        <v>0</v>
      </c>
      <c r="S291" s="304">
        <f>IF(O291&lt;=IF($O291=0,0,SUMIFS(Disbursements!$W:$W,Disbursements!$B:$B,'Live Collections'!D537,Disbursements!$D:$D,'Live Collections'!F537)),O291,IF($O291=0,0,SUMIFS(Disbursements!$W:$W,Disbursements!$B:$B,'Live Collections'!D537,Disbursements!$D:$D,'Live Collections'!F537)))</f>
        <v>35333.333333333328</v>
      </c>
      <c r="T291" s="304">
        <f t="shared" si="15"/>
        <v>62666.666666666672</v>
      </c>
      <c r="U291" s="52"/>
      <c r="V291" s="34"/>
      <c r="W291" s="408"/>
    </row>
    <row r="292" spans="1:23" ht="12.75" customHeight="1" x14ac:dyDescent="0.2">
      <c r="A292" s="132">
        <v>284</v>
      </c>
      <c r="B292" s="44">
        <v>44386</v>
      </c>
      <c r="C292" s="44">
        <f t="shared" si="13"/>
        <v>44386</v>
      </c>
      <c r="D292" s="374">
        <v>118</v>
      </c>
      <c r="E292" s="291" t="str">
        <f>IFERROR(VLOOKUP($D292,'Clients-Live'!$A:$C,3,0),"")</f>
        <v>ONYANGO CHARLES JOGOO</v>
      </c>
      <c r="F292" s="291">
        <f>IFERROR(INDEX(Disbursements!$D:$D,MATCH('Live Collections'!G292,Disbursements!$C:$C,0)),"")</f>
        <v>1</v>
      </c>
      <c r="G292" s="34">
        <v>109</v>
      </c>
      <c r="H292" s="34"/>
      <c r="I292" s="34" t="s">
        <v>1358</v>
      </c>
      <c r="J292" s="48"/>
      <c r="K292" s="48"/>
      <c r="L292" s="48">
        <v>10000</v>
      </c>
      <c r="M292" s="48">
        <v>5000</v>
      </c>
      <c r="N292" s="59"/>
      <c r="O292" s="59"/>
      <c r="P292" s="59">
        <v>100000</v>
      </c>
      <c r="Q292" s="268">
        <f t="shared" si="14"/>
        <v>115000</v>
      </c>
      <c r="R292" s="61">
        <f>IF(O292=0,0,SUMIFS(Disbursements!$T:$T,Disbursements!$B:$B,'Live Collections'!D292,Disbursements!$D:$D,'Live Collections'!F292))</f>
        <v>0</v>
      </c>
      <c r="S292" s="304">
        <f>IF(O292&lt;=IF($O292=0,0,SUMIFS(Disbursements!$W:$W,Disbursements!$B:$B,'Live Collections'!D1527,Disbursements!$D:$D,'Live Collections'!F1527)),O292,IF($O292=0,0,SUMIFS(Disbursements!$W:$W,Disbursements!$B:$B,'Live Collections'!D1527,Disbursements!$D:$D,'Live Collections'!F1527)))</f>
        <v>0</v>
      </c>
      <c r="T292" s="304">
        <f t="shared" si="15"/>
        <v>0</v>
      </c>
      <c r="U292" s="52"/>
      <c r="V292" s="34"/>
      <c r="W292" s="408"/>
    </row>
    <row r="293" spans="1:23" ht="12.75" customHeight="1" x14ac:dyDescent="0.2">
      <c r="A293" s="257">
        <v>282</v>
      </c>
      <c r="B293" s="44">
        <v>44386</v>
      </c>
      <c r="C293" s="44">
        <f t="shared" si="13"/>
        <v>44386</v>
      </c>
      <c r="D293" s="374">
        <v>127</v>
      </c>
      <c r="E293" s="291" t="str">
        <f>IFERROR(VLOOKUP($D293,'Clients-Live'!$A:$C,3,0),"")</f>
        <v>TIKO RUKIA</v>
      </c>
      <c r="F293" s="291" t="str">
        <f>IFERROR(INDEX(Disbursements!$D:$D,MATCH('Live Collections'!G293,Disbursements!$C:$C,0)),"")</f>
        <v/>
      </c>
      <c r="G293" s="34"/>
      <c r="H293" s="34"/>
      <c r="I293" s="34" t="s">
        <v>1814</v>
      </c>
      <c r="J293" s="48">
        <v>15000</v>
      </c>
      <c r="K293" s="48">
        <v>5000</v>
      </c>
      <c r="L293" s="48"/>
      <c r="M293" s="48"/>
      <c r="N293" s="59"/>
      <c r="O293" s="59"/>
      <c r="P293" s="59"/>
      <c r="Q293" s="268">
        <f t="shared" si="14"/>
        <v>20000</v>
      </c>
      <c r="R293" s="61">
        <f>IF(O293=0,0,SUMIFS(Disbursements!$T:$T,Disbursements!$B:$B,'Live Collections'!D293,Disbursements!$D:$D,'Live Collections'!F293))</f>
        <v>0</v>
      </c>
      <c r="S293" s="304">
        <f>IF(O293&lt;=IF($O293=0,0,SUMIFS(Disbursements!$W:$W,Disbursements!$B:$B,'Live Collections'!D1608,Disbursements!$D:$D,'Live Collections'!F1608)),O293,IF($O293=0,0,SUMIFS(Disbursements!$W:$W,Disbursements!$B:$B,'Live Collections'!D1608,Disbursements!$D:$D,'Live Collections'!F1608)))</f>
        <v>0</v>
      </c>
      <c r="T293" s="304">
        <f t="shared" si="15"/>
        <v>0</v>
      </c>
      <c r="U293" s="52">
        <v>772867685</v>
      </c>
      <c r="V293" s="34"/>
      <c r="W293" s="408"/>
    </row>
    <row r="294" spans="1:23" ht="12.75" customHeight="1" x14ac:dyDescent="0.2">
      <c r="A294" s="132">
        <v>283</v>
      </c>
      <c r="B294" s="44">
        <v>44386</v>
      </c>
      <c r="C294" s="44">
        <f t="shared" si="13"/>
        <v>44386</v>
      </c>
      <c r="D294" s="374">
        <v>128</v>
      </c>
      <c r="E294" s="291" t="str">
        <f>IFERROR(VLOOKUP($D294,'Clients-Live'!$A:$C,3,0),"")</f>
        <v>AJONYE BETTY</v>
      </c>
      <c r="F294" s="291" t="str">
        <f>IFERROR(INDEX(Disbursements!$D:$D,MATCH('Live Collections'!G294,Disbursements!$C:$C,0)),"")</f>
        <v/>
      </c>
      <c r="G294" s="34"/>
      <c r="H294" s="34"/>
      <c r="I294" s="34" t="s">
        <v>1814</v>
      </c>
      <c r="J294" s="48">
        <v>15000</v>
      </c>
      <c r="K294" s="48">
        <v>5000</v>
      </c>
      <c r="L294" s="48"/>
      <c r="M294" s="48"/>
      <c r="N294" s="59"/>
      <c r="O294" s="59"/>
      <c r="P294" s="59"/>
      <c r="Q294" s="268">
        <f t="shared" si="14"/>
        <v>20000</v>
      </c>
      <c r="R294" s="61">
        <f>IF(O294=0,0,SUMIFS(Disbursements!$T:$T,Disbursements!$B:$B,'Live Collections'!D294,Disbursements!$D:$D,'Live Collections'!F294))</f>
        <v>0</v>
      </c>
      <c r="S294" s="304">
        <f>IF(O294&lt;=IF($O294=0,0,SUMIFS(Disbursements!$W:$W,Disbursements!$B:$B,'Live Collections'!D1617,Disbursements!$D:$D,'Live Collections'!F1617)),O294,IF($O294=0,0,SUMIFS(Disbursements!$W:$W,Disbursements!$B:$B,'Live Collections'!D1617,Disbursements!$D:$D,'Live Collections'!F1617)))</f>
        <v>0</v>
      </c>
      <c r="T294" s="304">
        <f t="shared" si="15"/>
        <v>0</v>
      </c>
      <c r="U294" s="52">
        <v>779664637</v>
      </c>
      <c r="V294" s="34"/>
      <c r="W294" s="408"/>
    </row>
    <row r="295" spans="1:23" ht="12.75" customHeight="1" x14ac:dyDescent="0.2">
      <c r="A295" s="257">
        <v>289</v>
      </c>
      <c r="B295" s="44">
        <v>44387</v>
      </c>
      <c r="C295" s="44">
        <f t="shared" si="13"/>
        <v>44387</v>
      </c>
      <c r="D295" s="374">
        <v>8</v>
      </c>
      <c r="E295" s="291" t="str">
        <f>IFERROR(VLOOKUP($D295,'Clients-Live'!$A:$C,3,0),"")</f>
        <v>ALEMI THOMAS</v>
      </c>
      <c r="F295" s="291">
        <f>IFERROR(INDEX(Disbursements!$D:$D,MATCH('Live Collections'!G295,Disbursements!$C:$C,0)),"")</f>
        <v>1</v>
      </c>
      <c r="G295" s="34">
        <v>1</v>
      </c>
      <c r="H295" s="34"/>
      <c r="I295" s="34" t="s">
        <v>1359</v>
      </c>
      <c r="J295" s="48"/>
      <c r="K295" s="48"/>
      <c r="L295" s="48"/>
      <c r="M295" s="48"/>
      <c r="N295" s="59"/>
      <c r="O295" s="59">
        <v>65000</v>
      </c>
      <c r="P295" s="59"/>
      <c r="Q295" s="268">
        <f t="shared" si="14"/>
        <v>65000</v>
      </c>
      <c r="R295" s="61">
        <f>IF(O295=0,0,SUMIFS(Disbursements!$T:$T,Disbursements!$B:$B,'Live Collections'!D295,Disbursements!$D:$D,'Live Collections'!F295))</f>
        <v>65000</v>
      </c>
      <c r="S295" s="304">
        <f>IF(O295&lt;=IF($O295=0,0,SUMIFS(Disbursements!$W:$W,Disbursements!$B:$B,'Live Collections'!D70,Disbursements!$D:$D,'Live Collections'!F70)),O295,IF($O295=0,0,SUMIFS(Disbursements!$W:$W,Disbursements!$B:$B,'Live Collections'!D70,Disbursements!$D:$D,'Live Collections'!F70)))</f>
        <v>10000</v>
      </c>
      <c r="T295" s="304">
        <f t="shared" si="15"/>
        <v>55000</v>
      </c>
      <c r="U295" s="52"/>
      <c r="V295" s="34"/>
      <c r="W295" s="408"/>
    </row>
    <row r="296" spans="1:23" ht="12.75" customHeight="1" x14ac:dyDescent="0.2">
      <c r="A296" s="132">
        <v>291</v>
      </c>
      <c r="B296" s="44">
        <v>44387</v>
      </c>
      <c r="C296" s="44">
        <f t="shared" si="13"/>
        <v>44387</v>
      </c>
      <c r="D296" s="374">
        <v>18</v>
      </c>
      <c r="E296" s="291" t="str">
        <f>IFERROR(VLOOKUP($D296,'Clients-Live'!$A:$C,3,0),"")</f>
        <v>ARIYE PEACE</v>
      </c>
      <c r="F296" s="291">
        <f>IFERROR(INDEX(Disbursements!$D:$D,MATCH('Live Collections'!G296,Disbursements!$C:$C,0)),"")</f>
        <v>1</v>
      </c>
      <c r="G296" s="34">
        <v>9</v>
      </c>
      <c r="H296" s="34"/>
      <c r="I296" s="34" t="s">
        <v>1357</v>
      </c>
      <c r="J296" s="48"/>
      <c r="K296" s="48"/>
      <c r="L296" s="48"/>
      <c r="M296" s="48"/>
      <c r="N296" s="59"/>
      <c r="O296" s="59">
        <v>108400</v>
      </c>
      <c r="P296" s="59"/>
      <c r="Q296" s="268">
        <f t="shared" si="14"/>
        <v>108400</v>
      </c>
      <c r="R296" s="61">
        <f>IF(O296=0,0,SUMIFS(Disbursements!$T:$T,Disbursements!$B:$B,'Live Collections'!D296,Disbursements!$D:$D,'Live Collections'!F296))</f>
        <v>109000</v>
      </c>
      <c r="S296" s="304">
        <f>IF(O296&lt;=IF($O296=0,0,SUMIFS(Disbursements!$W:$W,Disbursements!$B:$B,'Live Collections'!D195,Disbursements!$D:$D,'Live Collections'!F195)),O296,IF($O296=0,0,SUMIFS(Disbursements!$W:$W,Disbursements!$B:$B,'Live Collections'!D195,Disbursements!$D:$D,'Live Collections'!F195)))</f>
        <v>0</v>
      </c>
      <c r="T296" s="304">
        <f t="shared" si="15"/>
        <v>108400</v>
      </c>
      <c r="U296" s="52"/>
      <c r="V296" s="34"/>
      <c r="W296" s="408"/>
    </row>
    <row r="297" spans="1:23" ht="12.75" customHeight="1" x14ac:dyDescent="0.2">
      <c r="A297" s="257">
        <v>290</v>
      </c>
      <c r="B297" s="44">
        <v>44387</v>
      </c>
      <c r="C297" s="44">
        <f t="shared" si="13"/>
        <v>44387</v>
      </c>
      <c r="D297" s="374">
        <v>79</v>
      </c>
      <c r="E297" s="291" t="str">
        <f>IFERROR(VLOOKUP($D297,'Clients-Live'!$A:$C,3,0),"")</f>
        <v>PASI SENYA</v>
      </c>
      <c r="F297" s="291">
        <f>IFERROR(INDEX(Disbursements!$D:$D,MATCH('Live Collections'!G297,Disbursements!$C:$C,0)),"")</f>
        <v>1</v>
      </c>
      <c r="G297" s="34">
        <v>64</v>
      </c>
      <c r="H297" s="34"/>
      <c r="I297" s="34" t="s">
        <v>1358</v>
      </c>
      <c r="J297" s="48"/>
      <c r="K297" s="48"/>
      <c r="L297" s="48"/>
      <c r="M297" s="48"/>
      <c r="N297" s="59"/>
      <c r="O297" s="59">
        <v>62500</v>
      </c>
      <c r="P297" s="59"/>
      <c r="Q297" s="268">
        <f t="shared" si="14"/>
        <v>62500</v>
      </c>
      <c r="R297" s="61">
        <f>IF(O297=0,0,SUMIFS(Disbursements!$T:$T,Disbursements!$B:$B,'Live Collections'!D297,Disbursements!$D:$D,'Live Collections'!F297))</f>
        <v>63000</v>
      </c>
      <c r="S297" s="304">
        <f>IF(O297&lt;=IF($O297=0,0,SUMIFS(Disbursements!$W:$W,Disbursements!$B:$B,'Live Collections'!D1015,Disbursements!$D:$D,'Live Collections'!F1015)),O297,IF($O297=0,0,SUMIFS(Disbursements!$W:$W,Disbursements!$B:$B,'Live Collections'!D1015,Disbursements!$D:$D,'Live Collections'!F1015)))</f>
        <v>35333.333333333328</v>
      </c>
      <c r="T297" s="304">
        <f t="shared" si="15"/>
        <v>27166.666666666672</v>
      </c>
      <c r="U297" s="52"/>
      <c r="V297" s="34"/>
      <c r="W297" s="408"/>
    </row>
    <row r="298" spans="1:23" ht="12.75" customHeight="1" x14ac:dyDescent="0.2">
      <c r="A298" s="132">
        <v>287</v>
      </c>
      <c r="B298" s="44">
        <v>44387</v>
      </c>
      <c r="C298" s="44">
        <f t="shared" si="13"/>
        <v>44387</v>
      </c>
      <c r="D298" s="374">
        <v>125</v>
      </c>
      <c r="E298" s="291" t="str">
        <f>IFERROR(VLOOKUP($D298,'Clients-Live'!$A:$C,3,0),"")</f>
        <v>SUNDAY SCOVIA</v>
      </c>
      <c r="F298" s="291">
        <f>IFERROR(INDEX(Disbursements!$D:$D,MATCH('Live Collections'!G298,Disbursements!$C:$C,0)),"")</f>
        <v>1</v>
      </c>
      <c r="G298" s="34">
        <v>111</v>
      </c>
      <c r="H298" s="34">
        <v>563</v>
      </c>
      <c r="I298" s="34" t="s">
        <v>863</v>
      </c>
      <c r="J298" s="48"/>
      <c r="K298" s="48"/>
      <c r="L298" s="48">
        <v>10000</v>
      </c>
      <c r="M298" s="48">
        <v>5000</v>
      </c>
      <c r="N298" s="59"/>
      <c r="O298" s="59"/>
      <c r="P298" s="59">
        <v>50000</v>
      </c>
      <c r="Q298" s="268">
        <f t="shared" si="14"/>
        <v>65000</v>
      </c>
      <c r="R298" s="61">
        <f>IF(O298=0,0,SUMIFS(Disbursements!$T:$T,Disbursements!$B:$B,'Live Collections'!D298,Disbursements!$D:$D,'Live Collections'!F298))</f>
        <v>0</v>
      </c>
      <c r="S298" s="304">
        <f>IF(O298&lt;=IF($O298=0,0,SUMIFS(Disbursements!$W:$W,Disbursements!$B:$B,'Live Collections'!D1586,Disbursements!$D:$D,'Live Collections'!F1586)),O298,IF($O298=0,0,SUMIFS(Disbursements!$W:$W,Disbursements!$B:$B,'Live Collections'!D1586,Disbursements!$D:$D,'Live Collections'!F1586)))</f>
        <v>0</v>
      </c>
      <c r="T298" s="304">
        <f t="shared" si="15"/>
        <v>0</v>
      </c>
      <c r="U298" s="52"/>
      <c r="V298" s="34"/>
      <c r="W298" s="408"/>
    </row>
    <row r="299" spans="1:23" ht="12.75" customHeight="1" x14ac:dyDescent="0.2">
      <c r="A299" s="257">
        <v>288</v>
      </c>
      <c r="B299" s="44">
        <v>44387</v>
      </c>
      <c r="C299" s="44">
        <f t="shared" si="13"/>
        <v>44387</v>
      </c>
      <c r="D299" s="374">
        <v>127</v>
      </c>
      <c r="E299" s="291" t="str">
        <f>IFERROR(VLOOKUP($D299,'Clients-Live'!$A:$C,3,0),"")</f>
        <v>TIKO RUKIA</v>
      </c>
      <c r="F299" s="291">
        <f>IFERROR(INDEX(Disbursements!$D:$D,MATCH('Live Collections'!G299,Disbursements!$C:$C,0)),"")</f>
        <v>1</v>
      </c>
      <c r="G299" s="34">
        <v>110</v>
      </c>
      <c r="H299" s="34"/>
      <c r="I299" s="34" t="s">
        <v>863</v>
      </c>
      <c r="J299" s="48"/>
      <c r="K299" s="48"/>
      <c r="L299" s="48">
        <v>10000</v>
      </c>
      <c r="M299" s="48">
        <v>5000</v>
      </c>
      <c r="N299" s="59"/>
      <c r="O299" s="59"/>
      <c r="P299" s="59">
        <v>40000</v>
      </c>
      <c r="Q299" s="268">
        <f t="shared" si="14"/>
        <v>55000</v>
      </c>
      <c r="R299" s="61">
        <f>IF(O299=0,0,SUMIFS(Disbursements!$T:$T,Disbursements!$B:$B,'Live Collections'!D299,Disbursements!$D:$D,'Live Collections'!F299))</f>
        <v>0</v>
      </c>
      <c r="S299" s="304">
        <f>IF(O299&lt;=IF($O299=0,0,SUMIFS(Disbursements!$W:$W,Disbursements!$B:$B,'Live Collections'!D1609,Disbursements!$D:$D,'Live Collections'!F1609)),O299,IF($O299=0,0,SUMIFS(Disbursements!$W:$W,Disbursements!$B:$B,'Live Collections'!D1609,Disbursements!$D:$D,'Live Collections'!F1609)))</f>
        <v>0</v>
      </c>
      <c r="T299" s="304">
        <f t="shared" si="15"/>
        <v>0</v>
      </c>
      <c r="U299" s="52"/>
      <c r="V299" s="34"/>
      <c r="W299" s="408"/>
    </row>
    <row r="300" spans="1:23" ht="12.75" customHeight="1" x14ac:dyDescent="0.2">
      <c r="A300" s="132">
        <v>302</v>
      </c>
      <c r="B300" s="44">
        <v>44389</v>
      </c>
      <c r="C300" s="44">
        <f t="shared" si="13"/>
        <v>44389</v>
      </c>
      <c r="D300" s="374">
        <v>6</v>
      </c>
      <c r="E300" s="291" t="str">
        <f>IFERROR(VLOOKUP($D300,'Clients-Live'!$A:$C,3,0),"")</f>
        <v>AMUTE BASHIR</v>
      </c>
      <c r="F300" s="291">
        <f>IFERROR(INDEX(Disbursements!$D:$D,MATCH('Live Collections'!G300,Disbursements!$C:$C,0)),"")</f>
        <v>2</v>
      </c>
      <c r="G300" s="34">
        <v>100</v>
      </c>
      <c r="H300" s="34">
        <v>580</v>
      </c>
      <c r="I300" s="34" t="s">
        <v>1358</v>
      </c>
      <c r="J300" s="48"/>
      <c r="K300" s="48"/>
      <c r="L300" s="48"/>
      <c r="M300" s="48"/>
      <c r="N300" s="59"/>
      <c r="O300" s="59">
        <v>325000</v>
      </c>
      <c r="P300" s="59"/>
      <c r="Q300" s="268">
        <f t="shared" si="14"/>
        <v>325000</v>
      </c>
      <c r="R300" s="61">
        <f>IF(O300=0,0,SUMIFS(Disbursements!$T:$T,Disbursements!$B:$B,'Live Collections'!D300,Disbursements!$D:$D,'Live Collections'!F300))</f>
        <v>1300000</v>
      </c>
      <c r="S300" s="304">
        <f>IF(O300&lt;=IF($O300=0,0,SUMIFS(Disbursements!$W:$W,Disbursements!$B:$B,'Live Collections'!D44,Disbursements!$D:$D,'Live Collections'!F44)),O300,IF($O300=0,0,SUMIFS(Disbursements!$W:$W,Disbursements!$B:$B,'Live Collections'!D44,Disbursements!$D:$D,'Live Collections'!F44)))</f>
        <v>0</v>
      </c>
      <c r="T300" s="304">
        <f t="shared" si="15"/>
        <v>325000</v>
      </c>
      <c r="U300" s="52"/>
      <c r="V300" s="34"/>
      <c r="W300" s="408"/>
    </row>
    <row r="301" spans="1:23" ht="12.75" customHeight="1" x14ac:dyDescent="0.2">
      <c r="A301" s="257">
        <v>306</v>
      </c>
      <c r="B301" s="44">
        <v>44389</v>
      </c>
      <c r="C301" s="44">
        <f t="shared" si="13"/>
        <v>44389</v>
      </c>
      <c r="D301" s="374">
        <v>48</v>
      </c>
      <c r="E301" s="291" t="str">
        <f>IFERROR(VLOOKUP($D301,'Clients-Live'!$A:$C,3,0),"")</f>
        <v>BAKO KASIA</v>
      </c>
      <c r="F301" s="291">
        <f>IFERROR(INDEX(Disbursements!$D:$D,MATCH('Live Collections'!G301,Disbursements!$C:$C,0)),"")</f>
        <v>1</v>
      </c>
      <c r="G301" s="34">
        <v>32</v>
      </c>
      <c r="H301" s="34"/>
      <c r="I301" s="34" t="s">
        <v>1358</v>
      </c>
      <c r="J301" s="48"/>
      <c r="K301" s="48"/>
      <c r="L301" s="48"/>
      <c r="M301" s="48"/>
      <c r="N301" s="59"/>
      <c r="O301" s="59">
        <v>50000</v>
      </c>
      <c r="P301" s="59"/>
      <c r="Q301" s="268">
        <f t="shared" si="14"/>
        <v>50000</v>
      </c>
      <c r="R301" s="61">
        <f>IF(O301=0,0,SUMIFS(Disbursements!$T:$T,Disbursements!$B:$B,'Live Collections'!D301,Disbursements!$D:$D,'Live Collections'!F301))</f>
        <v>150000</v>
      </c>
      <c r="S301" s="304">
        <f>IF(O301&lt;=IF($O301=0,0,SUMIFS(Disbursements!$W:$W,Disbursements!$B:$B,'Live Collections'!D546,Disbursements!$D:$D,'Live Collections'!F546)),O301,IF($O301=0,0,SUMIFS(Disbursements!$W:$W,Disbursements!$B:$B,'Live Collections'!D546,Disbursements!$D:$D,'Live Collections'!F546)))</f>
        <v>30000</v>
      </c>
      <c r="T301" s="304">
        <f t="shared" si="15"/>
        <v>20000</v>
      </c>
      <c r="U301" s="52"/>
      <c r="V301" s="34"/>
      <c r="W301" s="408"/>
    </row>
    <row r="302" spans="1:23" ht="12.75" customHeight="1" x14ac:dyDescent="0.2">
      <c r="A302" s="132">
        <v>305</v>
      </c>
      <c r="B302" s="44">
        <v>44389</v>
      </c>
      <c r="C302" s="44">
        <f t="shared" si="13"/>
        <v>44389</v>
      </c>
      <c r="D302" s="374">
        <v>49</v>
      </c>
      <c r="E302" s="291" t="str">
        <f>IFERROR(VLOOKUP($D302,'Clients-Live'!$A:$C,3,0),"")</f>
        <v>MAWUZU SARAH</v>
      </c>
      <c r="F302" s="291">
        <f>IFERROR(INDEX(Disbursements!$D:$D,MATCH('Live Collections'!G302,Disbursements!$C:$C,0)),"")</f>
        <v>1</v>
      </c>
      <c r="G302" s="34">
        <v>33</v>
      </c>
      <c r="H302" s="34"/>
      <c r="I302" s="34" t="s">
        <v>1358</v>
      </c>
      <c r="J302" s="48"/>
      <c r="K302" s="48"/>
      <c r="L302" s="48"/>
      <c r="M302" s="48"/>
      <c r="N302" s="59"/>
      <c r="O302" s="59">
        <v>60000</v>
      </c>
      <c r="P302" s="59"/>
      <c r="Q302" s="268">
        <f t="shared" si="14"/>
        <v>60000</v>
      </c>
      <c r="R302" s="61">
        <f>IF(O302=0,0,SUMIFS(Disbursements!$T:$T,Disbursements!$B:$B,'Live Collections'!D302,Disbursements!$D:$D,'Live Collections'!F302))</f>
        <v>150000</v>
      </c>
      <c r="S302" s="304">
        <f>IF(O302&lt;=IF($O302=0,0,SUMIFS(Disbursements!$W:$W,Disbursements!$B:$B,'Live Collections'!D558,Disbursements!$D:$D,'Live Collections'!F558)),O302,IF($O302=0,0,SUMIFS(Disbursements!$W:$W,Disbursements!$B:$B,'Live Collections'!D558,Disbursements!$D:$D,'Live Collections'!F558)))</f>
        <v>0</v>
      </c>
      <c r="T302" s="304">
        <f t="shared" si="15"/>
        <v>60000</v>
      </c>
      <c r="U302" s="52"/>
      <c r="V302" s="34"/>
      <c r="W302" s="408"/>
    </row>
    <row r="303" spans="1:23" ht="12.75" customHeight="1" x14ac:dyDescent="0.2">
      <c r="A303" s="257">
        <v>307</v>
      </c>
      <c r="B303" s="44">
        <v>44389</v>
      </c>
      <c r="C303" s="44">
        <f t="shared" si="13"/>
        <v>44389</v>
      </c>
      <c r="D303" s="374">
        <v>54</v>
      </c>
      <c r="E303" s="291" t="str">
        <f>IFERROR(VLOOKUP($D303,'Clients-Live'!$A:$C,3,0),"")</f>
        <v>MANENO ANIFA</v>
      </c>
      <c r="F303" s="291">
        <f>IFERROR(INDEX(Disbursements!$D:$D,MATCH('Live Collections'!G303,Disbursements!$C:$C,0)),"")</f>
        <v>1</v>
      </c>
      <c r="G303" s="34">
        <v>37</v>
      </c>
      <c r="H303" s="34"/>
      <c r="I303" s="34" t="s">
        <v>1357</v>
      </c>
      <c r="J303" s="48"/>
      <c r="K303" s="48"/>
      <c r="L303" s="48"/>
      <c r="M303" s="48"/>
      <c r="N303" s="59"/>
      <c r="O303" s="59">
        <v>70000</v>
      </c>
      <c r="P303" s="59"/>
      <c r="Q303" s="268">
        <f t="shared" si="14"/>
        <v>70000</v>
      </c>
      <c r="R303" s="61">
        <f>IF(O303=0,0,SUMIFS(Disbursements!$T:$T,Disbursements!$B:$B,'Live Collections'!D303,Disbursements!$D:$D,'Live Collections'!F303))</f>
        <v>150000</v>
      </c>
      <c r="S303" s="304">
        <f>IF(O303&lt;=IF($O303=0,0,SUMIFS(Disbursements!$W:$W,Disbursements!$B:$B,'Live Collections'!D632,Disbursements!$D:$D,'Live Collections'!F632)),O303,IF($O303=0,0,SUMIFS(Disbursements!$W:$W,Disbursements!$B:$B,'Live Collections'!D632,Disbursements!$D:$D,'Live Collections'!F632)))</f>
        <v>70000</v>
      </c>
      <c r="T303" s="304">
        <f t="shared" si="15"/>
        <v>0</v>
      </c>
      <c r="U303" s="52"/>
      <c r="V303" s="34"/>
      <c r="W303" s="408"/>
    </row>
    <row r="304" spans="1:23" ht="12.75" customHeight="1" x14ac:dyDescent="0.2">
      <c r="A304" s="132">
        <v>296</v>
      </c>
      <c r="B304" s="44">
        <v>44389</v>
      </c>
      <c r="C304" s="44">
        <f t="shared" si="13"/>
        <v>44389</v>
      </c>
      <c r="D304" s="374">
        <v>55</v>
      </c>
      <c r="E304" s="291" t="str">
        <f>IFERROR(VLOOKUP($D304,'Clients-Live'!$A:$C,3,0),"")</f>
        <v>SOKOLA SHARON</v>
      </c>
      <c r="F304" s="291">
        <f>IFERROR(INDEX(Disbursements!$D:$D,MATCH('Live Collections'!G304,Disbursements!$C:$C,0)),"")</f>
        <v>1</v>
      </c>
      <c r="G304" s="34">
        <v>48</v>
      </c>
      <c r="H304" s="34"/>
      <c r="I304" s="34" t="s">
        <v>1359</v>
      </c>
      <c r="J304" s="48"/>
      <c r="K304" s="48"/>
      <c r="L304" s="48"/>
      <c r="M304" s="48"/>
      <c r="N304" s="59"/>
      <c r="O304" s="59">
        <v>90000</v>
      </c>
      <c r="P304" s="59"/>
      <c r="Q304" s="268">
        <f t="shared" si="14"/>
        <v>90000</v>
      </c>
      <c r="R304" s="61">
        <f>IF(O304=0,0,SUMIFS(Disbursements!$T:$T,Disbursements!$B:$B,'Live Collections'!D304,Disbursements!$D:$D,'Live Collections'!F304))</f>
        <v>90000</v>
      </c>
      <c r="S304" s="304">
        <f>IF(O304&lt;=IF($O304=0,0,SUMIFS(Disbursements!$W:$W,Disbursements!$B:$B,'Live Collections'!D648,Disbursements!$D:$D,'Live Collections'!F648)),O304,IF($O304=0,0,SUMIFS(Disbursements!$W:$W,Disbursements!$B:$B,'Live Collections'!D648,Disbursements!$D:$D,'Live Collections'!F648)))</f>
        <v>35333.333333333328</v>
      </c>
      <c r="T304" s="304">
        <f t="shared" si="15"/>
        <v>54666.666666666672</v>
      </c>
      <c r="U304" s="52"/>
      <c r="V304" s="34"/>
      <c r="W304" s="408"/>
    </row>
    <row r="305" spans="1:23" ht="12.75" customHeight="1" x14ac:dyDescent="0.2">
      <c r="A305" s="257">
        <v>297</v>
      </c>
      <c r="B305" s="44">
        <v>44389</v>
      </c>
      <c r="C305" s="44">
        <f t="shared" si="13"/>
        <v>44389</v>
      </c>
      <c r="D305" s="374">
        <v>56</v>
      </c>
      <c r="E305" s="291" t="str">
        <f>IFERROR(VLOOKUP($D305,'Clients-Live'!$A:$C,3,0),"")</f>
        <v>ALOMO ZABIBU</v>
      </c>
      <c r="F305" s="291">
        <f>IFERROR(INDEX(Disbursements!$D:$D,MATCH('Live Collections'!G305,Disbursements!$C:$C,0)),"")</f>
        <v>1</v>
      </c>
      <c r="G305" s="34">
        <v>43</v>
      </c>
      <c r="H305" s="34">
        <v>592</v>
      </c>
      <c r="I305" s="34" t="s">
        <v>1357</v>
      </c>
      <c r="J305" s="48"/>
      <c r="K305" s="48"/>
      <c r="L305" s="48"/>
      <c r="M305" s="48"/>
      <c r="N305" s="59"/>
      <c r="O305" s="59">
        <v>60000</v>
      </c>
      <c r="P305" s="59"/>
      <c r="Q305" s="268">
        <f t="shared" si="14"/>
        <v>60000</v>
      </c>
      <c r="R305" s="61">
        <f>IF(O305=0,0,SUMIFS(Disbursements!$T:$T,Disbursements!$B:$B,'Live Collections'!D305,Disbursements!$D:$D,'Live Collections'!F305))</f>
        <v>60000</v>
      </c>
      <c r="S305" s="304">
        <f>IF(O305&lt;=IF($O305=0,0,SUMIFS(Disbursements!$W:$W,Disbursements!$B:$B,'Live Collections'!D662,Disbursements!$D:$D,'Live Collections'!F662)),O305,IF($O305=0,0,SUMIFS(Disbursements!$W:$W,Disbursements!$B:$B,'Live Collections'!D662,Disbursements!$D:$D,'Live Collections'!F662)))</f>
        <v>40000</v>
      </c>
      <c r="T305" s="304">
        <f t="shared" si="15"/>
        <v>20000</v>
      </c>
      <c r="U305" s="52"/>
      <c r="V305" s="34"/>
      <c r="W305" s="408"/>
    </row>
    <row r="306" spans="1:23" ht="12.75" customHeight="1" x14ac:dyDescent="0.2">
      <c r="A306" s="132">
        <v>295</v>
      </c>
      <c r="B306" s="44">
        <v>44389</v>
      </c>
      <c r="C306" s="44">
        <f t="shared" si="13"/>
        <v>44389</v>
      </c>
      <c r="D306" s="374">
        <v>59</v>
      </c>
      <c r="E306" s="291" t="str">
        <f>IFERROR(VLOOKUP($D306,'Clients-Live'!$A:$C,3,0),"")</f>
        <v>ONZIA AGNES</v>
      </c>
      <c r="F306" s="291">
        <f>IFERROR(INDEX(Disbursements!$D:$D,MATCH('Live Collections'!G306,Disbursements!$C:$C,0)),"")</f>
        <v>1</v>
      </c>
      <c r="G306" s="34">
        <v>39</v>
      </c>
      <c r="H306" s="34">
        <v>593</v>
      </c>
      <c r="I306" s="34" t="s">
        <v>1358</v>
      </c>
      <c r="J306" s="48"/>
      <c r="K306" s="48"/>
      <c r="L306" s="48"/>
      <c r="M306" s="48"/>
      <c r="N306" s="59"/>
      <c r="O306" s="59">
        <v>150000</v>
      </c>
      <c r="P306" s="59"/>
      <c r="Q306" s="268">
        <f t="shared" si="14"/>
        <v>150000</v>
      </c>
      <c r="R306" s="61">
        <f>IF(O306=0,0,SUMIFS(Disbursements!$T:$T,Disbursements!$B:$B,'Live Collections'!D306,Disbursements!$D:$D,'Live Collections'!F306))</f>
        <v>150000</v>
      </c>
      <c r="S306" s="304">
        <f>IF(O306&lt;=IF($O306=0,0,SUMIFS(Disbursements!$W:$W,Disbursements!$B:$B,'Live Collections'!D701,Disbursements!$D:$D,'Live Collections'!F701)),O306,IF($O306=0,0,SUMIFS(Disbursements!$W:$W,Disbursements!$B:$B,'Live Collections'!D701,Disbursements!$D:$D,'Live Collections'!F701)))</f>
        <v>30666.666666666657</v>
      </c>
      <c r="T306" s="304">
        <f t="shared" si="15"/>
        <v>119333.33333333334</v>
      </c>
      <c r="U306" s="52"/>
      <c r="V306" s="34"/>
      <c r="W306" s="408"/>
    </row>
    <row r="307" spans="1:23" ht="12.75" customHeight="1" x14ac:dyDescent="0.2">
      <c r="A307" s="257">
        <v>301</v>
      </c>
      <c r="B307" s="44">
        <v>44389</v>
      </c>
      <c r="C307" s="44">
        <f t="shared" si="13"/>
        <v>44389</v>
      </c>
      <c r="D307" s="374">
        <v>61</v>
      </c>
      <c r="E307" s="291" t="str">
        <f>IFERROR(VLOOKUP($D307,'Clients-Live'!$A:$C,3,0),"")</f>
        <v>AREDU RUKIA</v>
      </c>
      <c r="F307" s="291">
        <f>IFERROR(INDEX(Disbursements!$D:$D,MATCH('Live Collections'!G307,Disbursements!$C:$C,0)),"")</f>
        <v>1</v>
      </c>
      <c r="G307" s="34">
        <v>42</v>
      </c>
      <c r="H307" s="34"/>
      <c r="I307" s="34" t="s">
        <v>1359</v>
      </c>
      <c r="J307" s="48"/>
      <c r="K307" s="48"/>
      <c r="L307" s="48"/>
      <c r="M307" s="48"/>
      <c r="N307" s="59"/>
      <c r="O307" s="59">
        <v>90000</v>
      </c>
      <c r="P307" s="59"/>
      <c r="Q307" s="268">
        <f t="shared" si="14"/>
        <v>90000</v>
      </c>
      <c r="R307" s="61">
        <f>IF(O307=0,0,SUMIFS(Disbursements!$T:$T,Disbursements!$B:$B,'Live Collections'!D307,Disbursements!$D:$D,'Live Collections'!F307))</f>
        <v>90000</v>
      </c>
      <c r="S307" s="304">
        <f>IF(O307&lt;=IF($O307=0,0,SUMIFS(Disbursements!$W:$W,Disbursements!$B:$B,'Live Collections'!D732,Disbursements!$D:$D,'Live Collections'!F732)),O307,IF($O307=0,0,SUMIFS(Disbursements!$W:$W,Disbursements!$B:$B,'Live Collections'!D732,Disbursements!$D:$D,'Live Collections'!F732)))</f>
        <v>0</v>
      </c>
      <c r="T307" s="304">
        <f t="shared" si="15"/>
        <v>90000</v>
      </c>
      <c r="U307" s="52"/>
      <c r="V307" s="34"/>
      <c r="W307" s="408"/>
    </row>
    <row r="308" spans="1:23" ht="12.75" customHeight="1" x14ac:dyDescent="0.2">
      <c r="A308" s="132">
        <v>304</v>
      </c>
      <c r="B308" s="44">
        <v>44389</v>
      </c>
      <c r="C308" s="44">
        <f t="shared" si="13"/>
        <v>44389</v>
      </c>
      <c r="D308" s="374">
        <v>62</v>
      </c>
      <c r="E308" s="291" t="str">
        <f>IFERROR(VLOOKUP($D308,'Clients-Live'!$A:$C,3,0),"")</f>
        <v>DUDU ARIKE</v>
      </c>
      <c r="F308" s="291">
        <f>IFERROR(INDEX(Disbursements!$D:$D,MATCH('Live Collections'!G308,Disbursements!$C:$C,0)),"")</f>
        <v>1</v>
      </c>
      <c r="G308" s="34">
        <v>44</v>
      </c>
      <c r="H308" s="34">
        <v>576</v>
      </c>
      <c r="I308" s="34" t="s">
        <v>1357</v>
      </c>
      <c r="J308" s="48"/>
      <c r="K308" s="48"/>
      <c r="L308" s="48"/>
      <c r="M308" s="48"/>
      <c r="N308" s="59"/>
      <c r="O308" s="59">
        <v>433000</v>
      </c>
      <c r="P308" s="59"/>
      <c r="Q308" s="268">
        <f t="shared" si="14"/>
        <v>433000</v>
      </c>
      <c r="R308" s="61">
        <f>IF(O308=0,0,SUMIFS(Disbursements!$T:$T,Disbursements!$B:$B,'Live Collections'!D308,Disbursements!$D:$D,'Live Collections'!F308))</f>
        <v>217000</v>
      </c>
      <c r="S308" s="304">
        <f>IF(O308&lt;=IF($O308=0,0,SUMIFS(Disbursements!$W:$W,Disbursements!$B:$B,'Live Collections'!D742,Disbursements!$D:$D,'Live Collections'!F742)),O308,IF($O308=0,0,SUMIFS(Disbursements!$W:$W,Disbursements!$B:$B,'Live Collections'!D742,Disbursements!$D:$D,'Live Collections'!F742)))</f>
        <v>0</v>
      </c>
      <c r="T308" s="304">
        <f t="shared" si="15"/>
        <v>433000</v>
      </c>
      <c r="U308" s="52"/>
      <c r="V308" s="34"/>
      <c r="W308" s="408"/>
    </row>
    <row r="309" spans="1:23" ht="12.75" customHeight="1" x14ac:dyDescent="0.2">
      <c r="A309" s="257">
        <v>303</v>
      </c>
      <c r="B309" s="44">
        <v>44389</v>
      </c>
      <c r="C309" s="44">
        <f t="shared" si="13"/>
        <v>44389</v>
      </c>
      <c r="D309" s="374">
        <v>64</v>
      </c>
      <c r="E309" s="291" t="str">
        <f>IFERROR(VLOOKUP($D309,'Clients-Live'!$A:$C,3,0),"")</f>
        <v>AKINO JUDITH</v>
      </c>
      <c r="F309" s="291">
        <f>IFERROR(INDEX(Disbursements!$D:$D,MATCH('Live Collections'!G309,Disbursements!$C:$C,0)),"")</f>
        <v>1</v>
      </c>
      <c r="G309" s="34">
        <v>40</v>
      </c>
      <c r="H309" s="34"/>
      <c r="I309" s="34" t="s">
        <v>1358</v>
      </c>
      <c r="J309" s="48"/>
      <c r="K309" s="48"/>
      <c r="L309" s="48"/>
      <c r="M309" s="48"/>
      <c r="N309" s="59"/>
      <c r="O309" s="59">
        <v>150000</v>
      </c>
      <c r="P309" s="59"/>
      <c r="Q309" s="268">
        <f t="shared" si="14"/>
        <v>150000</v>
      </c>
      <c r="R309" s="61">
        <f>IF(O309=0,0,SUMIFS(Disbursements!$T:$T,Disbursements!$B:$B,'Live Collections'!D309,Disbursements!$D:$D,'Live Collections'!F309))</f>
        <v>150000</v>
      </c>
      <c r="S309" s="304">
        <f>IF(O309&lt;=IF($O309=0,0,SUMIFS(Disbursements!$W:$W,Disbursements!$B:$B,'Live Collections'!D769,Disbursements!$D:$D,'Live Collections'!F769)),O309,IF($O309=0,0,SUMIFS(Disbursements!$W:$W,Disbursements!$B:$B,'Live Collections'!D769,Disbursements!$D:$D,'Live Collections'!F769)))</f>
        <v>25000</v>
      </c>
      <c r="T309" s="304">
        <f t="shared" si="15"/>
        <v>125000</v>
      </c>
      <c r="U309" s="52"/>
      <c r="V309" s="34"/>
      <c r="W309" s="408"/>
    </row>
    <row r="310" spans="1:23" ht="12.75" customHeight="1" x14ac:dyDescent="0.2">
      <c r="A310" s="132">
        <v>299</v>
      </c>
      <c r="B310" s="44">
        <v>44389</v>
      </c>
      <c r="C310" s="44">
        <f t="shared" si="13"/>
        <v>44389</v>
      </c>
      <c r="D310" s="374">
        <v>72</v>
      </c>
      <c r="E310" s="291" t="str">
        <f>IFERROR(VLOOKUP($D310,'Clients-Live'!$A:$C,3,0),"")</f>
        <v>MUNDURU MERCY</v>
      </c>
      <c r="F310" s="291">
        <f>IFERROR(INDEX(Disbursements!$D:$D,MATCH('Live Collections'!G310,Disbursements!$C:$C,0)),"")</f>
        <v>1</v>
      </c>
      <c r="G310" s="34">
        <v>57</v>
      </c>
      <c r="H310" s="34"/>
      <c r="I310" s="34" t="s">
        <v>1358</v>
      </c>
      <c r="J310" s="48"/>
      <c r="K310" s="48"/>
      <c r="L310" s="48"/>
      <c r="M310" s="48"/>
      <c r="N310" s="59"/>
      <c r="O310" s="59">
        <v>216700</v>
      </c>
      <c r="P310" s="59"/>
      <c r="Q310" s="268">
        <f t="shared" si="14"/>
        <v>216700</v>
      </c>
      <c r="R310" s="61">
        <f>IF(O310=0,0,SUMIFS(Disbursements!$T:$T,Disbursements!$B:$B,'Live Collections'!D310,Disbursements!$D:$D,'Live Collections'!F310))</f>
        <v>217000</v>
      </c>
      <c r="S310" s="304">
        <f>IF(O310&lt;=IF($O310=0,0,SUMIFS(Disbursements!$W:$W,Disbursements!$B:$B,'Live Collections'!D905,Disbursements!$D:$D,'Live Collections'!F905)),O310,IF($O310=0,0,SUMIFS(Disbursements!$W:$W,Disbursements!$B:$B,'Live Collections'!D905,Disbursements!$D:$D,'Live Collections'!F905)))</f>
        <v>19000</v>
      </c>
      <c r="T310" s="304">
        <f t="shared" si="15"/>
        <v>197700</v>
      </c>
      <c r="U310" s="52"/>
      <c r="V310" s="34"/>
      <c r="W310" s="408"/>
    </row>
    <row r="311" spans="1:23" ht="12.75" customHeight="1" x14ac:dyDescent="0.2">
      <c r="A311" s="257">
        <v>298</v>
      </c>
      <c r="B311" s="44">
        <v>44389</v>
      </c>
      <c r="C311" s="44">
        <f t="shared" si="13"/>
        <v>44389</v>
      </c>
      <c r="D311" s="374">
        <v>101</v>
      </c>
      <c r="E311" s="291" t="str">
        <f>IFERROR(VLOOKUP($D311,'Clients-Live'!$A:$C,3,0),"")</f>
        <v>AYIKO STEPHEN</v>
      </c>
      <c r="F311" s="291">
        <f>IFERROR(INDEX(Disbursements!$D:$D,MATCH('Live Collections'!G311,Disbursements!$C:$C,0)),"")</f>
        <v>1</v>
      </c>
      <c r="G311" s="34">
        <v>80</v>
      </c>
      <c r="H311" s="34"/>
      <c r="I311" s="34" t="s">
        <v>1357</v>
      </c>
      <c r="J311" s="48"/>
      <c r="K311" s="48"/>
      <c r="L311" s="48"/>
      <c r="M311" s="48"/>
      <c r="N311" s="59"/>
      <c r="O311" s="59">
        <v>400000</v>
      </c>
      <c r="P311" s="59"/>
      <c r="Q311" s="268">
        <f t="shared" si="14"/>
        <v>400000</v>
      </c>
      <c r="R311" s="61">
        <f>IF(O311=0,0,SUMIFS(Disbursements!$T:$T,Disbursements!$B:$B,'Live Collections'!D311,Disbursements!$D:$D,'Live Collections'!F311))</f>
        <v>2150000</v>
      </c>
      <c r="S311" s="304">
        <f>IF(O311&lt;=IF($O311=0,0,SUMIFS(Disbursements!$W:$W,Disbursements!$B:$B,'Live Collections'!D1302,Disbursements!$D:$D,'Live Collections'!F1302)),O311,IF($O311=0,0,SUMIFS(Disbursements!$W:$W,Disbursements!$B:$B,'Live Collections'!D1302,Disbursements!$D:$D,'Live Collections'!F1302)))</f>
        <v>35000</v>
      </c>
      <c r="T311" s="304">
        <f t="shared" si="15"/>
        <v>365000</v>
      </c>
      <c r="U311" s="52"/>
      <c r="V311" s="34"/>
      <c r="W311" s="408"/>
    </row>
    <row r="312" spans="1:23" ht="12.75" customHeight="1" x14ac:dyDescent="0.2">
      <c r="A312" s="132">
        <v>300</v>
      </c>
      <c r="B312" s="44">
        <v>44389</v>
      </c>
      <c r="C312" s="44">
        <f t="shared" si="13"/>
        <v>44389</v>
      </c>
      <c r="D312" s="374">
        <v>114</v>
      </c>
      <c r="E312" s="291" t="str">
        <f>IFERROR(VLOOKUP($D312,'Clients-Live'!$A:$C,3,0),"")</f>
        <v>ONZIA EMMILY</v>
      </c>
      <c r="F312" s="291">
        <f>IFERROR(INDEX(Disbursements!$D:$D,MATCH('Live Collections'!G312,Disbursements!$C:$C,0)),"")</f>
        <v>1</v>
      </c>
      <c r="G312" s="34">
        <v>97</v>
      </c>
      <c r="H312" s="34"/>
      <c r="I312" s="34" t="s">
        <v>1358</v>
      </c>
      <c r="J312" s="48"/>
      <c r="K312" s="48"/>
      <c r="L312" s="48"/>
      <c r="M312" s="48"/>
      <c r="N312" s="59"/>
      <c r="O312" s="59">
        <v>30000</v>
      </c>
      <c r="P312" s="59"/>
      <c r="Q312" s="268">
        <f t="shared" si="14"/>
        <v>30000</v>
      </c>
      <c r="R312" s="61">
        <f>IF(O312=0,0,SUMIFS(Disbursements!$T:$T,Disbursements!$B:$B,'Live Collections'!D312,Disbursements!$D:$D,'Live Collections'!F312))</f>
        <v>29000</v>
      </c>
      <c r="S312" s="304">
        <f>IF(O312&lt;=IF($O312=0,0,SUMIFS(Disbursements!$W:$W,Disbursements!$B:$B,'Live Collections'!D1453,Disbursements!$D:$D,'Live Collections'!F1453)),O312,IF($O312=0,0,SUMIFS(Disbursements!$W:$W,Disbursements!$B:$B,'Live Collections'!D1453,Disbursements!$D:$D,'Live Collections'!F1453)))</f>
        <v>15000</v>
      </c>
      <c r="T312" s="304">
        <f t="shared" si="15"/>
        <v>15000</v>
      </c>
      <c r="U312" s="52"/>
      <c r="V312" s="34"/>
      <c r="W312" s="408"/>
    </row>
    <row r="313" spans="1:23" ht="12.75" customHeight="1" x14ac:dyDescent="0.2">
      <c r="A313" s="257">
        <v>293</v>
      </c>
      <c r="B313" s="44">
        <v>44389</v>
      </c>
      <c r="C313" s="44">
        <f t="shared" si="13"/>
        <v>44389</v>
      </c>
      <c r="D313" s="374">
        <v>123</v>
      </c>
      <c r="E313" s="291" t="str">
        <f>IFERROR(VLOOKUP($D313,'Clients-Live'!$A:$C,3,0),"")</f>
        <v>INZIKURU JANET</v>
      </c>
      <c r="F313" s="291">
        <f>IFERROR(INDEX(Disbursements!$D:$D,MATCH('Live Collections'!G313,Disbursements!$C:$C,0)),"")</f>
        <v>1</v>
      </c>
      <c r="G313" s="34">
        <v>107</v>
      </c>
      <c r="H313" s="34"/>
      <c r="I313" s="34" t="s">
        <v>863</v>
      </c>
      <c r="J313" s="48"/>
      <c r="K313" s="48"/>
      <c r="L313" s="48">
        <v>10000</v>
      </c>
      <c r="M313" s="48">
        <v>5000</v>
      </c>
      <c r="N313" s="59"/>
      <c r="O313" s="59"/>
      <c r="P313" s="59">
        <v>50000</v>
      </c>
      <c r="Q313" s="268">
        <f t="shared" si="14"/>
        <v>65000</v>
      </c>
      <c r="R313" s="61">
        <f>IF(O313=0,0,SUMIFS(Disbursements!$T:$T,Disbursements!$B:$B,'Live Collections'!D313,Disbursements!$D:$D,'Live Collections'!F313))</f>
        <v>0</v>
      </c>
      <c r="S313" s="304">
        <f>IF(O313&lt;=IF($O313=0,0,SUMIFS(Disbursements!$W:$W,Disbursements!$B:$B,'Live Collections'!D1561,Disbursements!$D:$D,'Live Collections'!F1561)),O313,IF($O313=0,0,SUMIFS(Disbursements!$W:$W,Disbursements!$B:$B,'Live Collections'!D1561,Disbursements!$D:$D,'Live Collections'!F1561)))</f>
        <v>0</v>
      </c>
      <c r="T313" s="304">
        <f t="shared" si="15"/>
        <v>0</v>
      </c>
      <c r="U313" s="52"/>
      <c r="V313" s="34"/>
      <c r="W313" s="408"/>
    </row>
    <row r="314" spans="1:23" ht="12.75" customHeight="1" x14ac:dyDescent="0.2">
      <c r="A314" s="132">
        <v>294</v>
      </c>
      <c r="B314" s="44">
        <v>44389</v>
      </c>
      <c r="C314" s="44">
        <f t="shared" si="13"/>
        <v>44389</v>
      </c>
      <c r="D314" s="374">
        <v>128</v>
      </c>
      <c r="E314" s="291" t="str">
        <f>IFERROR(VLOOKUP($D314,'Clients-Live'!$A:$C,3,0),"")</f>
        <v>AJONYE BETTY</v>
      </c>
      <c r="F314" s="291">
        <f>IFERROR(INDEX(Disbursements!$D:$D,MATCH('Live Collections'!G314,Disbursements!$C:$C,0)),"")</f>
        <v>1</v>
      </c>
      <c r="G314" s="34">
        <v>112</v>
      </c>
      <c r="H314" s="34"/>
      <c r="I314" s="34" t="s">
        <v>862</v>
      </c>
      <c r="J314" s="48"/>
      <c r="K314" s="48"/>
      <c r="L314" s="48">
        <v>10000</v>
      </c>
      <c r="M314" s="48">
        <v>5000</v>
      </c>
      <c r="N314" s="59"/>
      <c r="O314" s="59"/>
      <c r="P314" s="59">
        <v>30000</v>
      </c>
      <c r="Q314" s="268">
        <f t="shared" si="14"/>
        <v>45000</v>
      </c>
      <c r="R314" s="61">
        <f>IF(O314=0,0,SUMIFS(Disbursements!$T:$T,Disbursements!$B:$B,'Live Collections'!D314,Disbursements!$D:$D,'Live Collections'!F314))</f>
        <v>0</v>
      </c>
      <c r="S314" s="304">
        <f>IF(O314&lt;=IF($O314=0,0,SUMIFS(Disbursements!$W:$W,Disbursements!$B:$B,'Live Collections'!D1618,Disbursements!$D:$D,'Live Collections'!F1618)),O314,IF($O314=0,0,SUMIFS(Disbursements!$W:$W,Disbursements!$B:$B,'Live Collections'!D1618,Disbursements!$D:$D,'Live Collections'!F1618)))</f>
        <v>0</v>
      </c>
      <c r="T314" s="304">
        <f t="shared" si="15"/>
        <v>0</v>
      </c>
      <c r="U314" s="52"/>
      <c r="V314" s="34"/>
      <c r="W314" s="408"/>
    </row>
    <row r="315" spans="1:23" ht="12.75" customHeight="1" x14ac:dyDescent="0.2">
      <c r="A315" s="257">
        <v>292</v>
      </c>
      <c r="B315" s="44">
        <v>44389</v>
      </c>
      <c r="C315" s="44">
        <f t="shared" si="13"/>
        <v>44389</v>
      </c>
      <c r="D315" s="374">
        <v>129</v>
      </c>
      <c r="E315" s="291" t="str">
        <f>IFERROR(VLOOKUP($D315,'Clients-Live'!$A:$C,3,0),"")</f>
        <v>BAKO ASINA</v>
      </c>
      <c r="F315" s="291" t="str">
        <f>IFERROR(INDEX(Disbursements!$D:$D,MATCH('Live Collections'!G315,Disbursements!$C:$C,0)),"")</f>
        <v/>
      </c>
      <c r="G315" s="34"/>
      <c r="H315" s="34"/>
      <c r="I315" s="34" t="s">
        <v>1814</v>
      </c>
      <c r="J315" s="48">
        <v>15000</v>
      </c>
      <c r="K315" s="48">
        <v>5000</v>
      </c>
      <c r="L315" s="48"/>
      <c r="M315" s="48"/>
      <c r="N315" s="59"/>
      <c r="O315" s="59"/>
      <c r="P315" s="59"/>
      <c r="Q315" s="268">
        <f t="shared" si="14"/>
        <v>20000</v>
      </c>
      <c r="R315" s="61">
        <f>IF(O315=0,0,SUMIFS(Disbursements!$T:$T,Disbursements!$B:$B,'Live Collections'!D315,Disbursements!$D:$D,'Live Collections'!F315))</f>
        <v>0</v>
      </c>
      <c r="S315" s="304">
        <f>IF(O315&lt;=IF($O315=0,0,SUMIFS(Disbursements!$W:$W,Disbursements!$B:$B,'Live Collections'!D1630,Disbursements!$D:$D,'Live Collections'!F1630)),O315,IF($O315=0,0,SUMIFS(Disbursements!$W:$W,Disbursements!$B:$B,'Live Collections'!D1630,Disbursements!$D:$D,'Live Collections'!F1630)))</f>
        <v>0</v>
      </c>
      <c r="T315" s="304">
        <f t="shared" si="15"/>
        <v>0</v>
      </c>
      <c r="U315" s="52">
        <v>778760073</v>
      </c>
      <c r="V315" s="34"/>
      <c r="W315" s="408"/>
    </row>
    <row r="316" spans="1:23" ht="12.75" customHeight="1" x14ac:dyDescent="0.2">
      <c r="A316" s="132">
        <v>310</v>
      </c>
      <c r="B316" s="44">
        <v>44390</v>
      </c>
      <c r="C316" s="44">
        <f t="shared" si="13"/>
        <v>44390</v>
      </c>
      <c r="D316" s="374">
        <v>12</v>
      </c>
      <c r="E316" s="291" t="str">
        <f>IFERROR(VLOOKUP($D316,'Clients-Live'!$A:$C,3,0),"")</f>
        <v>DRELIA SIMON DEADSON</v>
      </c>
      <c r="F316" s="291">
        <f>IFERROR(INDEX(Disbursements!$D:$D,MATCH('Live Collections'!G316,Disbursements!$C:$C,0)),"")</f>
        <v>1</v>
      </c>
      <c r="G316" s="34">
        <v>3</v>
      </c>
      <c r="H316" s="34"/>
      <c r="I316" s="34" t="s">
        <v>1357</v>
      </c>
      <c r="J316" s="48"/>
      <c r="K316" s="48"/>
      <c r="L316" s="48"/>
      <c r="M316" s="48"/>
      <c r="N316" s="59"/>
      <c r="O316" s="59">
        <v>30000</v>
      </c>
      <c r="P316" s="59">
        <v>-30000</v>
      </c>
      <c r="Q316" s="268">
        <f t="shared" si="14"/>
        <v>0</v>
      </c>
      <c r="R316" s="61">
        <f>IF(O316=0,0,SUMIFS(Disbursements!$T:$T,Disbursements!$B:$B,'Live Collections'!D316,Disbursements!$D:$D,'Live Collections'!F316))</f>
        <v>81000</v>
      </c>
      <c r="S316" s="304">
        <f>IF(O316&lt;=IF($O316=0,0,SUMIFS(Disbursements!$W:$W,Disbursements!$B:$B,'Live Collections'!D124,Disbursements!$D:$D,'Live Collections'!F124)),O316,IF($O316=0,0,SUMIFS(Disbursements!$W:$W,Disbursements!$B:$B,'Live Collections'!D124,Disbursements!$D:$D,'Live Collections'!F124)))</f>
        <v>0</v>
      </c>
      <c r="T316" s="304">
        <f t="shared" si="15"/>
        <v>30000</v>
      </c>
      <c r="U316" s="52"/>
      <c r="V316" s="34"/>
      <c r="W316" s="408"/>
    </row>
    <row r="317" spans="1:23" ht="12.75" customHeight="1" x14ac:dyDescent="0.2">
      <c r="A317" s="257">
        <v>311</v>
      </c>
      <c r="B317" s="44">
        <v>44390</v>
      </c>
      <c r="C317" s="44">
        <f t="shared" si="13"/>
        <v>44390</v>
      </c>
      <c r="D317" s="374">
        <v>12</v>
      </c>
      <c r="E317" s="291" t="str">
        <f>IFERROR(VLOOKUP($D317,'Clients-Live'!$A:$C,3,0),"")</f>
        <v>DRELIA SIMON DEADSON</v>
      </c>
      <c r="F317" s="291">
        <f>IFERROR(INDEX(Disbursements!$D:$D,MATCH('Live Collections'!G317,Disbursements!$C:$C,0)),"")</f>
        <v>2</v>
      </c>
      <c r="G317" s="34">
        <v>113</v>
      </c>
      <c r="H317" s="34"/>
      <c r="I317" s="34" t="s">
        <v>864</v>
      </c>
      <c r="J317" s="48"/>
      <c r="K317" s="48"/>
      <c r="L317" s="48">
        <v>10000</v>
      </c>
      <c r="M317" s="48">
        <v>5000</v>
      </c>
      <c r="N317" s="59"/>
      <c r="O317" s="59"/>
      <c r="P317" s="59">
        <v>25000</v>
      </c>
      <c r="Q317" s="268">
        <f t="shared" si="14"/>
        <v>40000</v>
      </c>
      <c r="R317" s="61">
        <f>IF(O317=0,0,SUMIFS(Disbursements!$T:$T,Disbursements!$B:$B,'Live Collections'!D317,Disbursements!$D:$D,'Live Collections'!F317))</f>
        <v>0</v>
      </c>
      <c r="S317" s="304">
        <f>IF(O317&lt;=IF($O317=0,0,SUMIFS(Disbursements!$W:$W,Disbursements!$B:$B,'Live Collections'!D125,Disbursements!$D:$D,'Live Collections'!F125)),O317,IF($O317=0,0,SUMIFS(Disbursements!$W:$W,Disbursements!$B:$B,'Live Collections'!D125,Disbursements!$D:$D,'Live Collections'!F125)))</f>
        <v>0</v>
      </c>
      <c r="T317" s="304">
        <f t="shared" si="15"/>
        <v>0</v>
      </c>
      <c r="U317" s="52"/>
      <c r="V317" s="34"/>
      <c r="W317" s="408"/>
    </row>
    <row r="318" spans="1:23" ht="12.75" customHeight="1" x14ac:dyDescent="0.2">
      <c r="A318" s="132">
        <v>315</v>
      </c>
      <c r="B318" s="44">
        <v>44390</v>
      </c>
      <c r="C318" s="44">
        <f t="shared" si="13"/>
        <v>44390</v>
      </c>
      <c r="D318" s="374">
        <v>52</v>
      </c>
      <c r="E318" s="291" t="str">
        <f>IFERROR(VLOOKUP($D318,'Clients-Live'!$A:$C,3,0),"")</f>
        <v>EDEZU PEACE IRENE</v>
      </c>
      <c r="F318" s="291">
        <f>IFERROR(INDEX(Disbursements!$D:$D,MATCH('Live Collections'!G318,Disbursements!$C:$C,0)),"")</f>
        <v>1</v>
      </c>
      <c r="G318" s="34">
        <v>38</v>
      </c>
      <c r="H318" s="34"/>
      <c r="I318" s="34" t="s">
        <v>1357</v>
      </c>
      <c r="J318" s="48"/>
      <c r="K318" s="48"/>
      <c r="L318" s="48"/>
      <c r="M318" s="48"/>
      <c r="N318" s="59"/>
      <c r="O318" s="59">
        <v>60000</v>
      </c>
      <c r="P318" s="59"/>
      <c r="Q318" s="268">
        <f t="shared" si="14"/>
        <v>60000</v>
      </c>
      <c r="R318" s="61">
        <f>IF(O318=0,0,SUMIFS(Disbursements!$T:$T,Disbursements!$B:$B,'Live Collections'!D318,Disbursements!$D:$D,'Live Collections'!F318))</f>
        <v>150000</v>
      </c>
      <c r="S318" s="304">
        <f>IF(O318&lt;=IF($O318=0,0,SUMIFS(Disbursements!$W:$W,Disbursements!$B:$B,'Live Collections'!D599,Disbursements!$D:$D,'Live Collections'!F599)),O318,IF($O318=0,0,SUMIFS(Disbursements!$W:$W,Disbursements!$B:$B,'Live Collections'!D599,Disbursements!$D:$D,'Live Collections'!F599)))</f>
        <v>25000</v>
      </c>
      <c r="T318" s="304">
        <f t="shared" si="15"/>
        <v>35000</v>
      </c>
      <c r="U318" s="52"/>
      <c r="V318" s="34"/>
      <c r="W318" s="408"/>
    </row>
    <row r="319" spans="1:23" ht="12.75" customHeight="1" x14ac:dyDescent="0.2">
      <c r="A319" s="257">
        <v>312</v>
      </c>
      <c r="B319" s="44">
        <v>44390</v>
      </c>
      <c r="C319" s="44">
        <f t="shared" si="13"/>
        <v>44390</v>
      </c>
      <c r="D319" s="374">
        <v>58</v>
      </c>
      <c r="E319" s="291" t="str">
        <f>IFERROR(VLOOKUP($D319,'Clients-Live'!$A:$C,3,0),"")</f>
        <v xml:space="preserve">ALIRU AMINA </v>
      </c>
      <c r="F319" s="291">
        <f>IFERROR(INDEX(Disbursements!$D:$D,MATCH('Live Collections'!G319,Disbursements!$C:$C,0)),"")</f>
        <v>1</v>
      </c>
      <c r="G319" s="34">
        <v>46</v>
      </c>
      <c r="H319" s="34"/>
      <c r="I319" s="34" t="s">
        <v>1358</v>
      </c>
      <c r="J319" s="48"/>
      <c r="K319" s="48"/>
      <c r="L319" s="48"/>
      <c r="M319" s="48"/>
      <c r="N319" s="59"/>
      <c r="O319" s="59">
        <v>55000</v>
      </c>
      <c r="P319" s="59"/>
      <c r="Q319" s="268">
        <f t="shared" si="14"/>
        <v>55000</v>
      </c>
      <c r="R319" s="61">
        <f>IF(O319=0,0,SUMIFS(Disbursements!$T:$T,Disbursements!$B:$B,'Live Collections'!D319,Disbursements!$D:$D,'Live Collections'!F319))</f>
        <v>180000</v>
      </c>
      <c r="S319" s="304">
        <f>IF(O319&lt;=IF($O319=0,0,SUMIFS(Disbursements!$W:$W,Disbursements!$B:$B,'Live Collections'!D687,Disbursements!$D:$D,'Live Collections'!F687)),O319,IF($O319=0,0,SUMIFS(Disbursements!$W:$W,Disbursements!$B:$B,'Live Collections'!D687,Disbursements!$D:$D,'Live Collections'!F687)))</f>
        <v>50000</v>
      </c>
      <c r="T319" s="304">
        <f t="shared" si="15"/>
        <v>5000</v>
      </c>
      <c r="U319" s="52"/>
      <c r="V319" s="34"/>
      <c r="W319" s="408"/>
    </row>
    <row r="320" spans="1:23" ht="12.75" customHeight="1" x14ac:dyDescent="0.2">
      <c r="A320" s="132">
        <v>313</v>
      </c>
      <c r="B320" s="44">
        <v>44390</v>
      </c>
      <c r="C320" s="44">
        <f t="shared" si="13"/>
        <v>44390</v>
      </c>
      <c r="D320" s="374">
        <v>63</v>
      </c>
      <c r="E320" s="291" t="str">
        <f>IFERROR(VLOOKUP($D320,'Clients-Live'!$A:$C,3,0),"")</f>
        <v>AWURU KADARA</v>
      </c>
      <c r="F320" s="291">
        <f>IFERROR(INDEX(Disbursements!$D:$D,MATCH('Live Collections'!G320,Disbursements!$C:$C,0)),"")</f>
        <v>1</v>
      </c>
      <c r="G320" s="34">
        <v>50</v>
      </c>
      <c r="H320" s="34"/>
      <c r="I320" s="34" t="s">
        <v>1357</v>
      </c>
      <c r="J320" s="48"/>
      <c r="K320" s="48"/>
      <c r="L320" s="48"/>
      <c r="M320" s="48"/>
      <c r="N320" s="59"/>
      <c r="O320" s="59">
        <v>110000</v>
      </c>
      <c r="P320" s="59"/>
      <c r="Q320" s="268">
        <f t="shared" si="14"/>
        <v>110000</v>
      </c>
      <c r="R320" s="61">
        <f>IF(O320=0,0,SUMIFS(Disbursements!$T:$T,Disbursements!$B:$B,'Live Collections'!D320,Disbursements!$D:$D,'Live Collections'!F320))</f>
        <v>100000</v>
      </c>
      <c r="S320" s="304">
        <f>IF(O320&lt;=IF($O320=0,0,SUMIFS(Disbursements!$W:$W,Disbursements!$B:$B,'Live Collections'!D752,Disbursements!$D:$D,'Live Collections'!F752)),O320,IF($O320=0,0,SUMIFS(Disbursements!$W:$W,Disbursements!$B:$B,'Live Collections'!D752,Disbursements!$D:$D,'Live Collections'!F752)))</f>
        <v>35000</v>
      </c>
      <c r="T320" s="304">
        <f t="shared" si="15"/>
        <v>75000</v>
      </c>
      <c r="U320" s="52"/>
      <c r="V320" s="34"/>
      <c r="W320" s="408"/>
    </row>
    <row r="321" spans="1:23" ht="12.75" customHeight="1" x14ac:dyDescent="0.2">
      <c r="A321" s="257">
        <v>314</v>
      </c>
      <c r="B321" s="44">
        <v>44390</v>
      </c>
      <c r="C321" s="44">
        <f t="shared" si="13"/>
        <v>44390</v>
      </c>
      <c r="D321" s="374">
        <v>67</v>
      </c>
      <c r="E321" s="291" t="str">
        <f>IFERROR(VLOOKUP($D321,'Clients-Live'!$A:$C,3,0),"")</f>
        <v>KEBITA SAUDA</v>
      </c>
      <c r="F321" s="291">
        <f>IFERROR(INDEX(Disbursements!$D:$D,MATCH('Live Collections'!G321,Disbursements!$C:$C,0)),"")</f>
        <v>1</v>
      </c>
      <c r="G321" s="34">
        <v>49</v>
      </c>
      <c r="H321" s="34"/>
      <c r="I321" s="34" t="s">
        <v>1358</v>
      </c>
      <c r="J321" s="48"/>
      <c r="K321" s="48"/>
      <c r="L321" s="48"/>
      <c r="M321" s="48"/>
      <c r="N321" s="59"/>
      <c r="O321" s="59">
        <v>150000</v>
      </c>
      <c r="P321" s="59"/>
      <c r="Q321" s="268">
        <f t="shared" si="14"/>
        <v>150000</v>
      </c>
      <c r="R321" s="61">
        <f>IF(O321=0,0,SUMIFS(Disbursements!$T:$T,Disbursements!$B:$B,'Live Collections'!D321,Disbursements!$D:$D,'Live Collections'!F321))</f>
        <v>150000</v>
      </c>
      <c r="S321" s="304">
        <f>IF(O321&lt;=IF($O321=0,0,SUMIFS(Disbursements!$W:$W,Disbursements!$B:$B,'Live Collections'!D827,Disbursements!$D:$D,'Live Collections'!F827)),O321,IF($O321=0,0,SUMIFS(Disbursements!$W:$W,Disbursements!$B:$B,'Live Collections'!D827,Disbursements!$D:$D,'Live Collections'!F827)))</f>
        <v>35000</v>
      </c>
      <c r="T321" s="304">
        <f t="shared" si="15"/>
        <v>115000</v>
      </c>
      <c r="U321" s="52"/>
      <c r="V321" s="34"/>
      <c r="W321" s="408"/>
    </row>
    <row r="322" spans="1:23" ht="12.75" customHeight="1" x14ac:dyDescent="0.2">
      <c r="A322" s="132">
        <v>316</v>
      </c>
      <c r="B322" s="44">
        <v>44390</v>
      </c>
      <c r="C322" s="44">
        <f t="shared" si="13"/>
        <v>44390</v>
      </c>
      <c r="D322" s="374">
        <v>74</v>
      </c>
      <c r="E322" s="291" t="str">
        <f>IFERROR(VLOOKUP($D322,'Clients-Live'!$A:$C,3,0),"")</f>
        <v>YUKUWE AISHA</v>
      </c>
      <c r="F322" s="291">
        <f>IFERROR(INDEX(Disbursements!$D:$D,MATCH('Live Collections'!G322,Disbursements!$C:$C,0)),"")</f>
        <v>1</v>
      </c>
      <c r="G322" s="34">
        <v>59</v>
      </c>
      <c r="H322" s="34">
        <v>605</v>
      </c>
      <c r="I322" s="34" t="s">
        <v>1358</v>
      </c>
      <c r="J322" s="48"/>
      <c r="K322" s="48"/>
      <c r="L322" s="48"/>
      <c r="M322" s="48"/>
      <c r="N322" s="59"/>
      <c r="O322" s="59">
        <v>90000</v>
      </c>
      <c r="P322" s="59"/>
      <c r="Q322" s="268">
        <f t="shared" si="14"/>
        <v>90000</v>
      </c>
      <c r="R322" s="61">
        <f>IF(O322=0,0,SUMIFS(Disbursements!$T:$T,Disbursements!$B:$B,'Live Collections'!D322,Disbursements!$D:$D,'Live Collections'!F322))</f>
        <v>90000</v>
      </c>
      <c r="S322" s="304">
        <f>IF(O322&lt;=IF($O322=0,0,SUMIFS(Disbursements!$W:$W,Disbursements!$B:$B,'Live Collections'!D936,Disbursements!$D:$D,'Live Collections'!F936)),O322,IF($O322=0,0,SUMIFS(Disbursements!$W:$W,Disbursements!$B:$B,'Live Collections'!D936,Disbursements!$D:$D,'Live Collections'!F936)))</f>
        <v>53000</v>
      </c>
      <c r="T322" s="304">
        <f t="shared" si="15"/>
        <v>37000</v>
      </c>
      <c r="U322" s="52"/>
      <c r="V322" s="34"/>
      <c r="W322" s="408"/>
    </row>
    <row r="323" spans="1:23" ht="12.75" customHeight="1" x14ac:dyDescent="0.2">
      <c r="A323" s="257">
        <v>308</v>
      </c>
      <c r="B323" s="44">
        <v>44390</v>
      </c>
      <c r="C323" s="44">
        <f t="shared" si="13"/>
        <v>44390</v>
      </c>
      <c r="D323" s="374">
        <v>130</v>
      </c>
      <c r="E323" s="291" t="str">
        <f>IFERROR(VLOOKUP($D323,'Clients-Live'!$A:$C,3,0),"")</f>
        <v>AYILE JOHN MAX</v>
      </c>
      <c r="F323" s="291" t="str">
        <f>IFERROR(INDEX(Disbursements!$D:$D,MATCH('Live Collections'!G323,Disbursements!$C:$C,0)),"")</f>
        <v/>
      </c>
      <c r="G323" s="34"/>
      <c r="H323" s="34"/>
      <c r="I323" s="34" t="s">
        <v>1814</v>
      </c>
      <c r="J323" s="48">
        <v>15000</v>
      </c>
      <c r="K323" s="48">
        <v>5000</v>
      </c>
      <c r="L323" s="48"/>
      <c r="M323" s="48"/>
      <c r="N323" s="59"/>
      <c r="O323" s="59"/>
      <c r="P323" s="59"/>
      <c r="Q323" s="268">
        <f t="shared" si="14"/>
        <v>20000</v>
      </c>
      <c r="R323" s="61">
        <f>IF(O323=0,0,SUMIFS(Disbursements!$T:$T,Disbursements!$B:$B,'Live Collections'!D323,Disbursements!$D:$D,'Live Collections'!F323))</f>
        <v>0</v>
      </c>
      <c r="S323" s="304">
        <f>IF(O323&lt;=IF($O323=0,0,SUMIFS(Disbursements!$W:$W,Disbursements!$B:$B,'Live Collections'!D1646,Disbursements!$D:$D,'Live Collections'!F1646)),O323,IF($O323=0,0,SUMIFS(Disbursements!$W:$W,Disbursements!$B:$B,'Live Collections'!D1646,Disbursements!$D:$D,'Live Collections'!F1646)))</f>
        <v>0</v>
      </c>
      <c r="T323" s="304">
        <f t="shared" si="15"/>
        <v>0</v>
      </c>
      <c r="U323" s="52">
        <v>786063738</v>
      </c>
      <c r="V323" s="34"/>
      <c r="W323" s="408"/>
    </row>
    <row r="324" spans="1:23" ht="12.75" customHeight="1" x14ac:dyDescent="0.2">
      <c r="A324" s="132">
        <v>309</v>
      </c>
      <c r="B324" s="44">
        <v>44390</v>
      </c>
      <c r="C324" s="44">
        <f t="shared" si="13"/>
        <v>44390</v>
      </c>
      <c r="D324" s="374">
        <v>131</v>
      </c>
      <c r="E324" s="291" t="str">
        <f>IFERROR(VLOOKUP($D324,'Clients-Live'!$A:$C,3,0),"")</f>
        <v>CANDIRU ZAKIA</v>
      </c>
      <c r="F324" s="291" t="str">
        <f>IFERROR(INDEX(Disbursements!$D:$D,MATCH('Live Collections'!G324,Disbursements!$C:$C,0)),"")</f>
        <v/>
      </c>
      <c r="G324" s="34"/>
      <c r="H324" s="34"/>
      <c r="I324" s="34" t="s">
        <v>1814</v>
      </c>
      <c r="J324" s="48">
        <v>15000</v>
      </c>
      <c r="K324" s="48">
        <v>5000</v>
      </c>
      <c r="L324" s="48"/>
      <c r="M324" s="48"/>
      <c r="N324" s="59"/>
      <c r="O324" s="59"/>
      <c r="P324" s="59"/>
      <c r="Q324" s="268">
        <f t="shared" si="14"/>
        <v>20000</v>
      </c>
      <c r="R324" s="61">
        <f>IF(O324=0,0,SUMIFS(Disbursements!$T:$T,Disbursements!$B:$B,'Live Collections'!D324,Disbursements!$D:$D,'Live Collections'!F324))</f>
        <v>0</v>
      </c>
      <c r="S324" s="304">
        <f>IF(O324&lt;=IF($O324=0,0,SUMIFS(Disbursements!$W:$W,Disbursements!$B:$B,'Live Collections'!D1653,Disbursements!$D:$D,'Live Collections'!F1653)),O324,IF($O324=0,0,SUMIFS(Disbursements!$W:$W,Disbursements!$B:$B,'Live Collections'!D1653,Disbursements!$D:$D,'Live Collections'!F1653)))</f>
        <v>0</v>
      </c>
      <c r="T324" s="304">
        <f t="shared" si="15"/>
        <v>0</v>
      </c>
      <c r="U324" s="52">
        <v>788868192</v>
      </c>
      <c r="V324" s="34"/>
      <c r="W324" s="408"/>
    </row>
    <row r="325" spans="1:23" ht="12.75" customHeight="1" x14ac:dyDescent="0.2">
      <c r="A325" s="257">
        <v>322</v>
      </c>
      <c r="B325" s="44">
        <v>44391</v>
      </c>
      <c r="C325" s="44">
        <f t="shared" si="13"/>
        <v>44391</v>
      </c>
      <c r="D325" s="374">
        <v>2</v>
      </c>
      <c r="E325" s="291" t="str">
        <f>IFERROR(VLOOKUP($D325,'Clients-Live'!$A:$C,3,0),"")</f>
        <v>LEYA ROSE</v>
      </c>
      <c r="F325" s="291">
        <f>IFERROR(INDEX(Disbursements!$D:$D,MATCH('Live Collections'!G325,Disbursements!$C:$C,0)),"")</f>
        <v>1</v>
      </c>
      <c r="G325" s="34">
        <v>4</v>
      </c>
      <c r="H325" s="34"/>
      <c r="I325" s="34" t="s">
        <v>1358</v>
      </c>
      <c r="J325" s="48"/>
      <c r="K325" s="48"/>
      <c r="L325" s="48"/>
      <c r="M325" s="48"/>
      <c r="N325" s="59"/>
      <c r="O325" s="59">
        <v>44000</v>
      </c>
      <c r="P325" s="59"/>
      <c r="Q325" s="268">
        <f t="shared" si="14"/>
        <v>44000</v>
      </c>
      <c r="R325" s="61">
        <f>IF(O325=0,0,SUMIFS(Disbursements!$T:$T,Disbursements!$B:$B,'Live Collections'!D325,Disbursements!$D:$D,'Live Collections'!F325))</f>
        <v>217000</v>
      </c>
      <c r="S325" s="304">
        <f>IF(O325&lt;=IF($O325=0,0,SUMIFS(Disbursements!$W:$W,Disbursements!$B:$B,'Live Collections'!D14,Disbursements!$D:$D,'Live Collections'!F14)),O325,IF($O325=0,0,SUMIFS(Disbursements!$W:$W,Disbursements!$B:$B,'Live Collections'!D14,Disbursements!$D:$D,'Live Collections'!F14)))</f>
        <v>0</v>
      </c>
      <c r="T325" s="304">
        <f t="shared" si="15"/>
        <v>44000</v>
      </c>
      <c r="U325" s="52"/>
      <c r="V325" s="34"/>
      <c r="W325" s="408"/>
    </row>
    <row r="326" spans="1:23" ht="12.75" customHeight="1" x14ac:dyDescent="0.2">
      <c r="A326" s="132">
        <v>320</v>
      </c>
      <c r="B326" s="44">
        <v>44391</v>
      </c>
      <c r="C326" s="44">
        <f t="shared" si="13"/>
        <v>44391</v>
      </c>
      <c r="D326" s="374">
        <v>66</v>
      </c>
      <c r="E326" s="291" t="str">
        <f>IFERROR(VLOOKUP($D326,'Clients-Live'!$A:$C,3,0),"")</f>
        <v>DENAYA NYAMAZA</v>
      </c>
      <c r="F326" s="291">
        <f>IFERROR(INDEX(Disbursements!$D:$D,MATCH('Live Collections'!G326,Disbursements!$C:$C,0)),"")</f>
        <v>1</v>
      </c>
      <c r="G326" s="34">
        <v>53</v>
      </c>
      <c r="H326" s="34"/>
      <c r="I326" s="34" t="s">
        <v>1357</v>
      </c>
      <c r="J326" s="48"/>
      <c r="K326" s="48"/>
      <c r="L326" s="48"/>
      <c r="M326" s="48"/>
      <c r="N326" s="59"/>
      <c r="O326" s="59">
        <v>100000</v>
      </c>
      <c r="P326" s="59"/>
      <c r="Q326" s="268">
        <f t="shared" si="14"/>
        <v>100000</v>
      </c>
      <c r="R326" s="61">
        <f>IF(O326=0,0,SUMIFS(Disbursements!$T:$T,Disbursements!$B:$B,'Live Collections'!D326,Disbursements!$D:$D,'Live Collections'!F326))</f>
        <v>109000</v>
      </c>
      <c r="S326" s="304">
        <f>IF(O326&lt;=IF($O326=0,0,SUMIFS(Disbursements!$W:$W,Disbursements!$B:$B,'Live Collections'!D894,Disbursements!$D:$D,'Live Collections'!F894)),O326,IF($O326=0,0,SUMIFS(Disbursements!$W:$W,Disbursements!$B:$B,'Live Collections'!D894,Disbursements!$D:$D,'Live Collections'!F894)))</f>
        <v>15000</v>
      </c>
      <c r="T326" s="304">
        <f t="shared" si="15"/>
        <v>85000</v>
      </c>
      <c r="U326" s="52"/>
      <c r="V326" s="34"/>
      <c r="W326" s="408"/>
    </row>
    <row r="327" spans="1:23" ht="12.75" customHeight="1" x14ac:dyDescent="0.2">
      <c r="A327" s="257">
        <v>321</v>
      </c>
      <c r="B327" s="44">
        <v>44391</v>
      </c>
      <c r="C327" s="44">
        <f t="shared" si="13"/>
        <v>44391</v>
      </c>
      <c r="D327" s="374">
        <v>68</v>
      </c>
      <c r="E327" s="291" t="str">
        <f>IFERROR(VLOOKUP($D327,'Clients-Live'!$A:$C,3,0),"")</f>
        <v>CHANDIA  RAHIMA</v>
      </c>
      <c r="F327" s="291">
        <f>IFERROR(INDEX(Disbursements!$D:$D,MATCH('Live Collections'!G327,Disbursements!$C:$C,0)),"")</f>
        <v>1</v>
      </c>
      <c r="G327" s="34">
        <v>51</v>
      </c>
      <c r="H327" s="34">
        <v>609</v>
      </c>
      <c r="I327" s="34" t="s">
        <v>1357</v>
      </c>
      <c r="J327" s="48"/>
      <c r="K327" s="48"/>
      <c r="L327" s="48"/>
      <c r="M327" s="48"/>
      <c r="N327" s="59"/>
      <c r="O327" s="59">
        <v>151700</v>
      </c>
      <c r="P327" s="59"/>
      <c r="Q327" s="268">
        <f t="shared" si="14"/>
        <v>151700</v>
      </c>
      <c r="R327" s="61">
        <f>IF(O327=0,0,SUMIFS(Disbursements!$T:$T,Disbursements!$B:$B,'Live Collections'!D327,Disbursements!$D:$D,'Live Collections'!F327))</f>
        <v>152000</v>
      </c>
      <c r="S327" s="304">
        <f>IF(O327&lt;=IF($O327=0,0,SUMIFS(Disbursements!$W:$W,Disbursements!$B:$B,'Live Collections'!D841,Disbursements!$D:$D,'Live Collections'!F841)),O327,IF($O327=0,0,SUMIFS(Disbursements!$W:$W,Disbursements!$B:$B,'Live Collections'!D841,Disbursements!$D:$D,'Live Collections'!F841)))</f>
        <v>25666.666666666672</v>
      </c>
      <c r="T327" s="304">
        <f t="shared" si="15"/>
        <v>126033.33333333333</v>
      </c>
      <c r="U327" s="52"/>
      <c r="V327" s="34"/>
      <c r="W327" s="408"/>
    </row>
    <row r="328" spans="1:23" ht="12.75" customHeight="1" x14ac:dyDescent="0.2">
      <c r="A328" s="132">
        <v>319</v>
      </c>
      <c r="B328" s="44">
        <v>44391</v>
      </c>
      <c r="C328" s="44">
        <f t="shared" ref="C328:C391" si="16">B328</f>
        <v>44391</v>
      </c>
      <c r="D328" s="374">
        <v>130</v>
      </c>
      <c r="E328" s="291" t="str">
        <f>IFERROR(VLOOKUP($D328,'Clients-Live'!$A:$C,3,0),"")</f>
        <v>AYILE JOHN MAX</v>
      </c>
      <c r="F328" s="291">
        <f>IFERROR(INDEX(Disbursements!$D:$D,MATCH('Live Collections'!G328,Disbursements!$C:$C,0)),"")</f>
        <v>1</v>
      </c>
      <c r="G328" s="34">
        <v>114</v>
      </c>
      <c r="H328" s="34"/>
      <c r="I328" s="34" t="s">
        <v>864</v>
      </c>
      <c r="J328" s="48"/>
      <c r="K328" s="48"/>
      <c r="L328" s="48">
        <v>10000</v>
      </c>
      <c r="M328" s="48">
        <v>5000</v>
      </c>
      <c r="N328" s="59"/>
      <c r="O328" s="59"/>
      <c r="P328" s="59">
        <v>70000</v>
      </c>
      <c r="Q328" s="268">
        <f t="shared" ref="Q328:Q391" si="17">SUM(J328:P328)</f>
        <v>85000</v>
      </c>
      <c r="R328" s="61">
        <f>IF(O328=0,0,SUMIFS(Disbursements!$T:$T,Disbursements!$B:$B,'Live Collections'!D328,Disbursements!$D:$D,'Live Collections'!F328))</f>
        <v>0</v>
      </c>
      <c r="S328" s="304">
        <f>IF(O328&lt;=IF($O328=0,0,SUMIFS(Disbursements!$W:$W,Disbursements!$B:$B,'Live Collections'!D1647,Disbursements!$D:$D,'Live Collections'!F1647)),O328,IF($O328=0,0,SUMIFS(Disbursements!$W:$W,Disbursements!$B:$B,'Live Collections'!D1647,Disbursements!$D:$D,'Live Collections'!F1647)))</f>
        <v>0</v>
      </c>
      <c r="T328" s="304">
        <f t="shared" ref="T328:T391" si="18">IF(O328=0,0,O328-S328)</f>
        <v>0</v>
      </c>
      <c r="U328" s="52"/>
      <c r="V328" s="34"/>
      <c r="W328" s="408"/>
    </row>
    <row r="329" spans="1:23" ht="12.75" customHeight="1" x14ac:dyDescent="0.2">
      <c r="A329" s="257">
        <v>317</v>
      </c>
      <c r="B329" s="44">
        <v>44391</v>
      </c>
      <c r="C329" s="44">
        <f t="shared" si="16"/>
        <v>44391</v>
      </c>
      <c r="D329" s="374">
        <v>132</v>
      </c>
      <c r="E329" s="291" t="str">
        <f>IFERROR(VLOOKUP($D329,'Clients-Live'!$A:$C,3,0),"")</f>
        <v>MANIYO JOICE</v>
      </c>
      <c r="F329" s="291" t="str">
        <f>IFERROR(INDEX(Disbursements!$D:$D,MATCH('Live Collections'!G329,Disbursements!$C:$C,0)),"")</f>
        <v/>
      </c>
      <c r="G329" s="34"/>
      <c r="H329" s="34"/>
      <c r="I329" s="34" t="s">
        <v>1814</v>
      </c>
      <c r="J329" s="48">
        <v>15000</v>
      </c>
      <c r="K329" s="48">
        <v>5000</v>
      </c>
      <c r="L329" s="48"/>
      <c r="M329" s="48"/>
      <c r="N329" s="59"/>
      <c r="O329" s="59"/>
      <c r="P329" s="59"/>
      <c r="Q329" s="268">
        <f t="shared" si="17"/>
        <v>20000</v>
      </c>
      <c r="R329" s="61">
        <f>IF(O329=0,0,SUMIFS(Disbursements!$T:$T,Disbursements!$B:$B,'Live Collections'!D329,Disbursements!$D:$D,'Live Collections'!F329))</f>
        <v>0</v>
      </c>
      <c r="S329" s="304">
        <f>IF(O329&lt;=IF($O329=0,0,SUMIFS(Disbursements!$W:$W,Disbursements!$B:$B,'Live Collections'!D1661,Disbursements!$D:$D,'Live Collections'!F1661)),O329,IF($O329=0,0,SUMIFS(Disbursements!$W:$W,Disbursements!$B:$B,'Live Collections'!D1661,Disbursements!$D:$D,'Live Collections'!F1661)))</f>
        <v>0</v>
      </c>
      <c r="T329" s="304">
        <f t="shared" si="18"/>
        <v>0</v>
      </c>
      <c r="U329" s="52">
        <v>787603768</v>
      </c>
      <c r="V329" s="34"/>
      <c r="W329" s="408"/>
    </row>
    <row r="330" spans="1:23" ht="12.75" customHeight="1" x14ac:dyDescent="0.2">
      <c r="A330" s="421">
        <v>318</v>
      </c>
      <c r="B330" s="422">
        <v>44391</v>
      </c>
      <c r="C330" s="422">
        <f t="shared" si="16"/>
        <v>44391</v>
      </c>
      <c r="D330" s="423">
        <v>133</v>
      </c>
      <c r="E330" s="291" t="str">
        <f>IFERROR(VLOOKUP($D330,'Clients-Live'!$A:$C,3,0),"")</f>
        <v>JABE MARY</v>
      </c>
      <c r="F330" s="291" t="str">
        <f>IFERROR(INDEX(Disbursements!$D:$D,MATCH('Live Collections'!G330,Disbursements!$C:$C,0)),"")</f>
        <v/>
      </c>
      <c r="G330" s="424"/>
      <c r="H330" s="424"/>
      <c r="I330" s="424" t="s">
        <v>1814</v>
      </c>
      <c r="J330" s="425">
        <v>15000</v>
      </c>
      <c r="K330" s="425">
        <v>5000</v>
      </c>
      <c r="L330" s="425"/>
      <c r="M330" s="425"/>
      <c r="N330" s="175"/>
      <c r="O330" s="175"/>
      <c r="P330" s="175"/>
      <c r="Q330" s="426">
        <f t="shared" si="17"/>
        <v>20000</v>
      </c>
      <c r="R330" s="61">
        <f>IF(O330=0,0,SUMIFS(Disbursements!$T:$T,Disbursements!$B:$B,'Live Collections'!D330,Disbursements!$D:$D,'Live Collections'!F330))</f>
        <v>0</v>
      </c>
      <c r="S330" s="427">
        <f>IF(O330&lt;=IF($O330=0,0,SUMIFS(Disbursements!$W:$W,Disbursements!$B:$B,'Live Collections'!D1673,Disbursements!$D:$D,'Live Collections'!F1673)),O330,IF($O330=0,0,SUMIFS(Disbursements!$W:$W,Disbursements!$B:$B,'Live Collections'!D1673,Disbursements!$D:$D,'Live Collections'!F1673)))</f>
        <v>0</v>
      </c>
      <c r="T330" s="427">
        <f t="shared" si="18"/>
        <v>0</v>
      </c>
      <c r="U330" s="428">
        <v>778824717</v>
      </c>
      <c r="V330" s="424"/>
      <c r="W330" s="429"/>
    </row>
    <row r="331" spans="1:23" ht="12.75" customHeight="1" x14ac:dyDescent="0.2">
      <c r="A331" s="441">
        <v>330</v>
      </c>
      <c r="B331" s="442">
        <v>44392</v>
      </c>
      <c r="C331" s="442">
        <f t="shared" si="16"/>
        <v>44392</v>
      </c>
      <c r="D331" s="443">
        <v>33</v>
      </c>
      <c r="E331" s="291" t="str">
        <f>IFERROR(VLOOKUP($D331,'Clients-Live'!$A:$C,3,0),"")</f>
        <v>MUZEE OMAR</v>
      </c>
      <c r="F331" s="291">
        <f>IFERROR(INDEX(Disbursements!$D:$D,MATCH('Live Collections'!G331,Disbursements!$C:$C,0)),"")</f>
        <v>1</v>
      </c>
      <c r="G331" s="404">
        <v>26</v>
      </c>
      <c r="H331" s="404">
        <v>690</v>
      </c>
      <c r="I331" s="404" t="s">
        <v>1357</v>
      </c>
      <c r="J331" s="444"/>
      <c r="K331" s="444"/>
      <c r="L331" s="444"/>
      <c r="M331" s="444"/>
      <c r="N331" s="444"/>
      <c r="O331" s="444">
        <v>40000</v>
      </c>
      <c r="P331" s="444"/>
      <c r="Q331" s="445">
        <f t="shared" si="17"/>
        <v>40000</v>
      </c>
      <c r="R331" s="61">
        <f>IF(O331=0,0,SUMIFS(Disbursements!$T:$T,Disbursements!$B:$B,'Live Collections'!D331,Disbursements!$D:$D,'Live Collections'!F331))</f>
        <v>109000</v>
      </c>
      <c r="S331" s="446">
        <f>IF(O331&lt;=IF($O331=0,0,SUMIFS(Disbursements!$W:$W,Disbursements!$B:$B,'Live Collections'!D381,Disbursements!$D:$D,'Live Collections'!F381)),O331,IF($O331=0,0,SUMIFS(Disbursements!$W:$W,Disbursements!$B:$B,'Live Collections'!D381,Disbursements!$D:$D,'Live Collections'!F381)))</f>
        <v>25333.333333333343</v>
      </c>
      <c r="T331" s="446">
        <f t="shared" si="18"/>
        <v>14666.666666666657</v>
      </c>
      <c r="U331" s="447"/>
      <c r="V331" s="404"/>
      <c r="W331" s="448"/>
    </row>
    <row r="332" spans="1:23" ht="12.75" customHeight="1" x14ac:dyDescent="0.2">
      <c r="A332" s="257">
        <v>333</v>
      </c>
      <c r="B332" s="44">
        <v>44392</v>
      </c>
      <c r="C332" s="44">
        <f t="shared" si="16"/>
        <v>44392</v>
      </c>
      <c r="D332" s="431">
        <v>70</v>
      </c>
      <c r="E332" s="291" t="str">
        <f>IFERROR(VLOOKUP($D332,'Clients-Live'!$A:$C,3,0),"")</f>
        <v>BUGA ALIKIA PHILLIP</v>
      </c>
      <c r="F332" s="291">
        <f>IFERROR(INDEX(Disbursements!$D:$D,MATCH('Live Collections'!G332,Disbursements!$C:$C,0)),"")</f>
        <v>1</v>
      </c>
      <c r="G332" s="35">
        <v>52</v>
      </c>
      <c r="H332" s="35"/>
      <c r="I332" s="35" t="s">
        <v>1358</v>
      </c>
      <c r="J332" s="59"/>
      <c r="K332" s="59"/>
      <c r="L332" s="59"/>
      <c r="M332" s="59"/>
      <c r="N332" s="59"/>
      <c r="O332" s="59">
        <v>173400</v>
      </c>
      <c r="P332" s="59"/>
      <c r="Q332" s="268">
        <f t="shared" si="17"/>
        <v>173400</v>
      </c>
      <c r="R332" s="61">
        <f>IF(O332=0,0,SUMIFS(Disbursements!$T:$T,Disbursements!$B:$B,'Live Collections'!D332,Disbursements!$D:$D,'Live Collections'!F332))</f>
        <v>174000</v>
      </c>
      <c r="S332" s="432">
        <f>IF(O332&lt;=IF($O332=0,0,SUMIFS(Disbursements!$W:$W,Disbursements!$B:$B,'Live Collections'!D870,Disbursements!$D:$D,'Live Collections'!F870)),O332,IF($O332=0,0,SUMIFS(Disbursements!$W:$W,Disbursements!$B:$B,'Live Collections'!D870,Disbursements!$D:$D,'Live Collections'!F870)))</f>
        <v>25666.666666666672</v>
      </c>
      <c r="T332" s="432">
        <f t="shared" si="18"/>
        <v>147733.33333333331</v>
      </c>
      <c r="U332" s="51"/>
      <c r="V332" s="35"/>
      <c r="W332" s="433"/>
    </row>
    <row r="333" spans="1:23" ht="12.75" customHeight="1" x14ac:dyDescent="0.2">
      <c r="A333" s="257">
        <v>332</v>
      </c>
      <c r="B333" s="44">
        <v>44392</v>
      </c>
      <c r="C333" s="44">
        <f t="shared" si="16"/>
        <v>44392</v>
      </c>
      <c r="D333" s="374">
        <v>71</v>
      </c>
      <c r="E333" s="291" t="str">
        <f>IFERROR(VLOOKUP($D333,'Clients-Live'!$A:$C,3,0),"")</f>
        <v>AYIKORU HARIET BAUDI</v>
      </c>
      <c r="F333" s="291">
        <f>IFERROR(INDEX(Disbursements!$D:$D,MATCH('Live Collections'!G333,Disbursements!$C:$C,0)),"")</f>
        <v>1</v>
      </c>
      <c r="G333" s="34">
        <v>56</v>
      </c>
      <c r="H333" s="34"/>
      <c r="I333" s="34" t="s">
        <v>1359</v>
      </c>
      <c r="J333" s="48"/>
      <c r="K333" s="48"/>
      <c r="L333" s="48"/>
      <c r="M333" s="48"/>
      <c r="N333" s="59"/>
      <c r="O333" s="59">
        <v>325000</v>
      </c>
      <c r="P333" s="59"/>
      <c r="Q333" s="268">
        <f t="shared" si="17"/>
        <v>325000</v>
      </c>
      <c r="R333" s="61">
        <f>IF(O333=0,0,SUMIFS(Disbursements!$T:$T,Disbursements!$B:$B,'Live Collections'!D333,Disbursements!$D:$D,'Live Collections'!F333))</f>
        <v>325000</v>
      </c>
      <c r="S333" s="304">
        <f>IF(O333&lt;=IF($O333=0,0,SUMIFS(Disbursements!$W:$W,Disbursements!$B:$B,'Live Collections'!D887,Disbursements!$D:$D,'Live Collections'!F887)),O333,IF($O333=0,0,SUMIFS(Disbursements!$W:$W,Disbursements!$B:$B,'Live Collections'!D887,Disbursements!$D:$D,'Live Collections'!F887)))</f>
        <v>25000</v>
      </c>
      <c r="T333" s="304">
        <f t="shared" si="18"/>
        <v>300000</v>
      </c>
      <c r="U333" s="52"/>
      <c r="V333" s="34"/>
      <c r="W333" s="408"/>
    </row>
    <row r="334" spans="1:23" ht="12.75" customHeight="1" x14ac:dyDescent="0.2">
      <c r="A334" s="132">
        <v>329</v>
      </c>
      <c r="B334" s="44">
        <v>44392</v>
      </c>
      <c r="C334" s="44">
        <f t="shared" si="16"/>
        <v>44392</v>
      </c>
      <c r="D334" s="374">
        <v>73</v>
      </c>
      <c r="E334" s="291" t="str">
        <f>IFERROR(VLOOKUP($D334,'Clients-Live'!$A:$C,3,0),"")</f>
        <v>AJONYE DEBORA</v>
      </c>
      <c r="F334" s="291">
        <f>IFERROR(INDEX(Disbursements!$D:$D,MATCH('Live Collections'!G334,Disbursements!$C:$C,0)),"")</f>
        <v>1</v>
      </c>
      <c r="G334" s="34">
        <v>54</v>
      </c>
      <c r="H334" s="34"/>
      <c r="I334" s="34" t="s">
        <v>1357</v>
      </c>
      <c r="J334" s="48"/>
      <c r="K334" s="48"/>
      <c r="L334" s="48"/>
      <c r="M334" s="48"/>
      <c r="N334" s="59"/>
      <c r="O334" s="59">
        <v>150000</v>
      </c>
      <c r="P334" s="59"/>
      <c r="Q334" s="268">
        <f t="shared" si="17"/>
        <v>150000</v>
      </c>
      <c r="R334" s="61">
        <f>IF(O334=0,0,SUMIFS(Disbursements!$T:$T,Disbursements!$B:$B,'Live Collections'!D334,Disbursements!$D:$D,'Live Collections'!F334))</f>
        <v>150000</v>
      </c>
      <c r="S334" s="304">
        <f>IF(O334&lt;=IF($O334=0,0,SUMIFS(Disbursements!$W:$W,Disbursements!$B:$B,'Live Collections'!D919,Disbursements!$D:$D,'Live Collections'!F919)),O334,IF($O334=0,0,SUMIFS(Disbursements!$W:$W,Disbursements!$B:$B,'Live Collections'!D919,Disbursements!$D:$D,'Live Collections'!F919)))</f>
        <v>20000</v>
      </c>
      <c r="T334" s="304">
        <f t="shared" si="18"/>
        <v>130000</v>
      </c>
      <c r="U334" s="52"/>
      <c r="V334" s="34"/>
      <c r="W334" s="408"/>
    </row>
    <row r="335" spans="1:23" ht="12.75" customHeight="1" x14ac:dyDescent="0.2">
      <c r="A335" s="257">
        <v>331</v>
      </c>
      <c r="B335" s="44">
        <v>44392</v>
      </c>
      <c r="C335" s="44">
        <f t="shared" si="16"/>
        <v>44392</v>
      </c>
      <c r="D335" s="374">
        <v>75</v>
      </c>
      <c r="E335" s="291" t="str">
        <f>IFERROR(VLOOKUP($D335,'Clients-Live'!$A:$C,3,0),"")</f>
        <v>MUKULIA JAMES</v>
      </c>
      <c r="F335" s="291">
        <f>IFERROR(INDEX(Disbursements!$D:$D,MATCH('Live Collections'!G335,Disbursements!$C:$C,0)),"")</f>
        <v>1</v>
      </c>
      <c r="G335" s="34">
        <v>55</v>
      </c>
      <c r="H335" s="34"/>
      <c r="I335" s="34" t="s">
        <v>1359</v>
      </c>
      <c r="J335" s="48"/>
      <c r="K335" s="48"/>
      <c r="L335" s="48"/>
      <c r="M335" s="48"/>
      <c r="N335" s="59"/>
      <c r="O335" s="59">
        <v>153400</v>
      </c>
      <c r="P335" s="59"/>
      <c r="Q335" s="268">
        <f t="shared" si="17"/>
        <v>153400</v>
      </c>
      <c r="R335" s="61">
        <f>IF(O335=0,0,SUMIFS(Disbursements!$T:$T,Disbursements!$B:$B,'Live Collections'!D335,Disbursements!$D:$D,'Live Collections'!F335))</f>
        <v>154000</v>
      </c>
      <c r="S335" s="304">
        <f>IF(O335&lt;=IF($O335=0,0,SUMIFS(Disbursements!$W:$W,Disbursements!$B:$B,'Live Collections'!D951,Disbursements!$D:$D,'Live Collections'!F951)),O335,IF($O335=0,0,SUMIFS(Disbursements!$W:$W,Disbursements!$B:$B,'Live Collections'!D951,Disbursements!$D:$D,'Live Collections'!F951)))</f>
        <v>20000</v>
      </c>
      <c r="T335" s="304">
        <f t="shared" si="18"/>
        <v>133400</v>
      </c>
      <c r="U335" s="52"/>
      <c r="V335" s="34"/>
      <c r="W335" s="408"/>
    </row>
    <row r="336" spans="1:23" ht="12.75" customHeight="1" x14ac:dyDescent="0.2">
      <c r="A336" s="132">
        <v>328</v>
      </c>
      <c r="B336" s="44">
        <v>44392</v>
      </c>
      <c r="C336" s="44">
        <f t="shared" si="16"/>
        <v>44392</v>
      </c>
      <c r="D336" s="374">
        <v>76</v>
      </c>
      <c r="E336" s="291" t="str">
        <f>IFERROR(VLOOKUP($D336,'Clients-Live'!$A:$C,3,0),"")</f>
        <v>DAWA AISHA</v>
      </c>
      <c r="F336" s="291">
        <f>IFERROR(INDEX(Disbursements!$D:$D,MATCH('Live Collections'!G336,Disbursements!$C:$C,0)),"")</f>
        <v>1</v>
      </c>
      <c r="G336" s="34">
        <v>58</v>
      </c>
      <c r="H336" s="34"/>
      <c r="I336" s="34" t="s">
        <v>1358</v>
      </c>
      <c r="J336" s="48"/>
      <c r="K336" s="48"/>
      <c r="L336" s="48"/>
      <c r="M336" s="48"/>
      <c r="N336" s="59"/>
      <c r="O336" s="59">
        <v>90000</v>
      </c>
      <c r="P336" s="59"/>
      <c r="Q336" s="268">
        <f t="shared" si="17"/>
        <v>90000</v>
      </c>
      <c r="R336" s="61">
        <f>IF(O336=0,0,SUMIFS(Disbursements!$T:$T,Disbursements!$B:$B,'Live Collections'!D336,Disbursements!$D:$D,'Live Collections'!F336))</f>
        <v>90000</v>
      </c>
      <c r="S336" s="304">
        <f>IF(O336&lt;=IF($O336=0,0,SUMIFS(Disbursements!$W:$W,Disbursements!$B:$B,'Live Collections'!D971,Disbursements!$D:$D,'Live Collections'!F971)),O336,IF($O336=0,0,SUMIFS(Disbursements!$W:$W,Disbursements!$B:$B,'Live Collections'!D971,Disbursements!$D:$D,'Live Collections'!F971)))</f>
        <v>0</v>
      </c>
      <c r="T336" s="304">
        <f t="shared" si="18"/>
        <v>90000</v>
      </c>
      <c r="U336" s="52"/>
      <c r="V336" s="34"/>
      <c r="W336" s="408"/>
    </row>
    <row r="337" spans="1:23" ht="12.75" customHeight="1" x14ac:dyDescent="0.2">
      <c r="A337" s="257">
        <v>324</v>
      </c>
      <c r="B337" s="44">
        <v>44392</v>
      </c>
      <c r="C337" s="44">
        <f t="shared" si="16"/>
        <v>44392</v>
      </c>
      <c r="D337" s="374">
        <v>85</v>
      </c>
      <c r="E337" s="291" t="str">
        <f>IFERROR(VLOOKUP($D337,'Clients-Live'!$A:$C,3,0),"")</f>
        <v>CEASER SWALEH</v>
      </c>
      <c r="F337" s="291">
        <f>IFERROR(INDEX(Disbursements!$D:$D,MATCH('Live Collections'!G337,Disbursements!$C:$C,0)),"")</f>
        <v>2</v>
      </c>
      <c r="G337" s="34">
        <v>119</v>
      </c>
      <c r="H337" s="34"/>
      <c r="I337" s="34" t="s">
        <v>864</v>
      </c>
      <c r="J337" s="48"/>
      <c r="K337" s="48"/>
      <c r="L337" s="48">
        <v>10000</v>
      </c>
      <c r="M337" s="48">
        <v>5000</v>
      </c>
      <c r="N337" s="59"/>
      <c r="O337" s="59"/>
      <c r="P337" s="59">
        <v>200000</v>
      </c>
      <c r="Q337" s="268">
        <f t="shared" si="17"/>
        <v>215000</v>
      </c>
      <c r="R337" s="61">
        <f>IF(O337=0,0,SUMIFS(Disbursements!$T:$T,Disbursements!$B:$B,'Live Collections'!D337,Disbursements!$D:$D,'Live Collections'!F337))</f>
        <v>0</v>
      </c>
      <c r="S337" s="304">
        <f>IF(O337&lt;=IF($O337=0,0,SUMIFS(Disbursements!$W:$W,Disbursements!$B:$B,'Live Collections'!D1082,Disbursements!$D:$D,'Live Collections'!F1082)),O337,IF($O337=0,0,SUMIFS(Disbursements!$W:$W,Disbursements!$B:$B,'Live Collections'!D1082,Disbursements!$D:$D,'Live Collections'!F1082)))</f>
        <v>0</v>
      </c>
      <c r="T337" s="304">
        <f t="shared" si="18"/>
        <v>0</v>
      </c>
      <c r="U337" s="52"/>
      <c r="V337" s="34"/>
      <c r="W337" s="408"/>
    </row>
    <row r="338" spans="1:23" ht="12.75" customHeight="1" x14ac:dyDescent="0.2">
      <c r="A338" s="132">
        <v>334</v>
      </c>
      <c r="B338" s="44">
        <v>44392</v>
      </c>
      <c r="C338" s="44">
        <f t="shared" si="16"/>
        <v>44392</v>
      </c>
      <c r="D338" s="374">
        <v>85</v>
      </c>
      <c r="E338" s="291" t="str">
        <f>IFERROR(VLOOKUP($D338,'Clients-Live'!$A:$C,3,0),"")</f>
        <v>CEASER SWALEH</v>
      </c>
      <c r="F338" s="291">
        <f>IFERROR(INDEX(Disbursements!$D:$D,MATCH('Live Collections'!G338,Disbursements!$C:$C,0)),"")</f>
        <v>1</v>
      </c>
      <c r="G338" s="34">
        <v>68</v>
      </c>
      <c r="H338" s="34"/>
      <c r="I338" s="34" t="s">
        <v>1357</v>
      </c>
      <c r="J338" s="48"/>
      <c r="K338" s="48"/>
      <c r="L338" s="48"/>
      <c r="M338" s="48"/>
      <c r="N338" s="59"/>
      <c r="O338" s="59">
        <v>1100000</v>
      </c>
      <c r="P338" s="59"/>
      <c r="Q338" s="268">
        <f t="shared" si="17"/>
        <v>1100000</v>
      </c>
      <c r="R338" s="61">
        <f>IF(O338=0,0,SUMIFS(Disbursements!$T:$T,Disbursements!$B:$B,'Live Collections'!D338,Disbursements!$D:$D,'Live Collections'!F338))</f>
        <v>384000</v>
      </c>
      <c r="S338" s="304">
        <v>152000.00000000006</v>
      </c>
      <c r="T338" s="304">
        <f t="shared" si="18"/>
        <v>948000</v>
      </c>
      <c r="U338" s="52"/>
      <c r="V338" s="34"/>
      <c r="W338" s="408"/>
    </row>
    <row r="339" spans="1:23" ht="12.75" customHeight="1" x14ac:dyDescent="0.2">
      <c r="A339" s="257">
        <v>325</v>
      </c>
      <c r="B339" s="44">
        <v>44392</v>
      </c>
      <c r="C339" s="44">
        <f t="shared" si="16"/>
        <v>44392</v>
      </c>
      <c r="D339" s="374">
        <v>129</v>
      </c>
      <c r="E339" s="291" t="str">
        <f>IFERROR(VLOOKUP($D339,'Clients-Live'!$A:$C,3,0),"")</f>
        <v>BAKO ASINA</v>
      </c>
      <c r="F339" s="291">
        <f>IFERROR(INDEX(Disbursements!$D:$D,MATCH('Live Collections'!G339,Disbursements!$C:$C,0)),"")</f>
        <v>1</v>
      </c>
      <c r="G339" s="34">
        <v>118</v>
      </c>
      <c r="H339" s="34"/>
      <c r="I339" s="34" t="s">
        <v>863</v>
      </c>
      <c r="J339" s="48"/>
      <c r="K339" s="48"/>
      <c r="L339" s="48">
        <v>10000</v>
      </c>
      <c r="M339" s="48">
        <v>5000</v>
      </c>
      <c r="N339" s="59"/>
      <c r="O339" s="59"/>
      <c r="P339" s="59">
        <v>150000</v>
      </c>
      <c r="Q339" s="268">
        <f t="shared" si="17"/>
        <v>165000</v>
      </c>
      <c r="R339" s="61">
        <f>IF(O339=0,0,SUMIFS(Disbursements!$T:$T,Disbursements!$B:$B,'Live Collections'!D339,Disbursements!$D:$D,'Live Collections'!F339))</f>
        <v>0</v>
      </c>
      <c r="S339" s="304">
        <f>IF(O339&lt;=IF($O339=0,0,SUMIFS(Disbursements!$W:$W,Disbursements!$B:$B,'Live Collections'!D1631,Disbursements!$D:$D,'Live Collections'!F1631)),O339,IF($O339=0,0,SUMIFS(Disbursements!$W:$W,Disbursements!$B:$B,'Live Collections'!D1631,Disbursements!$D:$D,'Live Collections'!F1631)))</f>
        <v>0</v>
      </c>
      <c r="T339" s="304">
        <f t="shared" si="18"/>
        <v>0</v>
      </c>
      <c r="U339" s="52"/>
      <c r="V339" s="34"/>
      <c r="W339" s="408"/>
    </row>
    <row r="340" spans="1:23" ht="12.75" customHeight="1" x14ac:dyDescent="0.2">
      <c r="A340" s="132">
        <v>326</v>
      </c>
      <c r="B340" s="44">
        <v>44392</v>
      </c>
      <c r="C340" s="44">
        <f t="shared" si="16"/>
        <v>44392</v>
      </c>
      <c r="D340" s="374">
        <v>131</v>
      </c>
      <c r="E340" s="291" t="str">
        <f>IFERROR(VLOOKUP($D340,'Clients-Live'!$A:$C,3,0),"")</f>
        <v>CANDIRU ZAKIA</v>
      </c>
      <c r="F340" s="291">
        <f>IFERROR(INDEX(Disbursements!$D:$D,MATCH('Live Collections'!G340,Disbursements!$C:$C,0)),"")</f>
        <v>1</v>
      </c>
      <c r="G340" s="34">
        <v>115</v>
      </c>
      <c r="H340" s="34"/>
      <c r="I340" s="34" t="s">
        <v>864</v>
      </c>
      <c r="J340" s="48"/>
      <c r="K340" s="48"/>
      <c r="L340" s="48">
        <v>10000</v>
      </c>
      <c r="M340" s="48">
        <v>5000</v>
      </c>
      <c r="N340" s="59"/>
      <c r="O340" s="59"/>
      <c r="P340" s="59">
        <v>20000</v>
      </c>
      <c r="Q340" s="268">
        <f t="shared" si="17"/>
        <v>35000</v>
      </c>
      <c r="R340" s="61">
        <f>IF(O340=0,0,SUMIFS(Disbursements!$T:$T,Disbursements!$B:$B,'Live Collections'!D340,Disbursements!$D:$D,'Live Collections'!F340))</f>
        <v>0</v>
      </c>
      <c r="S340" s="304">
        <f>IF(O340&lt;=IF($O340=0,0,SUMIFS(Disbursements!$W:$W,Disbursements!$B:$B,'Live Collections'!D1654,Disbursements!$D:$D,'Live Collections'!F1654)),O340,IF($O340=0,0,SUMIFS(Disbursements!$W:$W,Disbursements!$B:$B,'Live Collections'!D1654,Disbursements!$D:$D,'Live Collections'!F1654)))</f>
        <v>0</v>
      </c>
      <c r="T340" s="304">
        <f t="shared" si="18"/>
        <v>0</v>
      </c>
      <c r="U340" s="52"/>
      <c r="V340" s="34"/>
      <c r="W340" s="408"/>
    </row>
    <row r="341" spans="1:23" ht="12.75" customHeight="1" x14ac:dyDescent="0.2">
      <c r="A341" s="257">
        <v>327</v>
      </c>
      <c r="B341" s="44">
        <v>44392</v>
      </c>
      <c r="C341" s="44">
        <f t="shared" si="16"/>
        <v>44392</v>
      </c>
      <c r="D341" s="374">
        <v>133</v>
      </c>
      <c r="E341" s="291" t="str">
        <f>IFERROR(VLOOKUP($D341,'Clients-Live'!$A:$C,3,0),"")</f>
        <v>JABE MARY</v>
      </c>
      <c r="F341" s="291">
        <f>IFERROR(INDEX(Disbursements!$D:$D,MATCH('Live Collections'!G341,Disbursements!$C:$C,0)),"")</f>
        <v>1</v>
      </c>
      <c r="G341" s="34">
        <v>116</v>
      </c>
      <c r="H341" s="34"/>
      <c r="I341" s="34" t="s">
        <v>862</v>
      </c>
      <c r="J341" s="48"/>
      <c r="K341" s="48"/>
      <c r="L341" s="48">
        <v>10000</v>
      </c>
      <c r="M341" s="48">
        <v>5000</v>
      </c>
      <c r="N341" s="59"/>
      <c r="O341" s="59"/>
      <c r="P341" s="59">
        <v>50000</v>
      </c>
      <c r="Q341" s="268">
        <f t="shared" si="17"/>
        <v>65000</v>
      </c>
      <c r="R341" s="61">
        <f>IF(O341=0,0,SUMIFS(Disbursements!$T:$T,Disbursements!$B:$B,'Live Collections'!D341,Disbursements!$D:$D,'Live Collections'!F341))</f>
        <v>0</v>
      </c>
      <c r="S341" s="304">
        <f>IF(O341&lt;=IF($O341=0,0,SUMIFS(Disbursements!$W:$W,Disbursements!$B:$B,'Live Collections'!D1674,Disbursements!$D:$D,'Live Collections'!F1674)),O341,IF($O341=0,0,SUMIFS(Disbursements!$W:$W,Disbursements!$B:$B,'Live Collections'!D1674,Disbursements!$D:$D,'Live Collections'!F1674)))</f>
        <v>0</v>
      </c>
      <c r="T341" s="304">
        <f t="shared" si="18"/>
        <v>0</v>
      </c>
      <c r="U341" s="52"/>
      <c r="V341" s="34"/>
      <c r="W341" s="408"/>
    </row>
    <row r="342" spans="1:23" ht="12.75" customHeight="1" x14ac:dyDescent="0.2">
      <c r="A342" s="132">
        <v>323</v>
      </c>
      <c r="B342" s="44">
        <v>44392</v>
      </c>
      <c r="C342" s="44">
        <f t="shared" si="16"/>
        <v>44392</v>
      </c>
      <c r="D342" s="374">
        <v>134</v>
      </c>
      <c r="E342" s="291" t="str">
        <f>IFERROR(VLOOKUP($D342,'Clients-Live'!$A:$C,3,0),"")</f>
        <v>TABU NATALIYA</v>
      </c>
      <c r="F342" s="291" t="str">
        <f>IFERROR(INDEX(Disbursements!$D:$D,MATCH('Live Collections'!G342,Disbursements!$C:$C,0)),"")</f>
        <v/>
      </c>
      <c r="G342" s="34"/>
      <c r="H342" s="34"/>
      <c r="I342" s="34" t="s">
        <v>1814</v>
      </c>
      <c r="J342" s="48">
        <v>15000</v>
      </c>
      <c r="K342" s="48">
        <v>5000</v>
      </c>
      <c r="L342" s="48"/>
      <c r="M342" s="48"/>
      <c r="N342" s="59"/>
      <c r="O342" s="59"/>
      <c r="P342" s="59"/>
      <c r="Q342" s="268">
        <f t="shared" si="17"/>
        <v>20000</v>
      </c>
      <c r="R342" s="61">
        <f>IF(O342=0,0,SUMIFS(Disbursements!$T:$T,Disbursements!$B:$B,'Live Collections'!D342,Disbursements!$D:$D,'Live Collections'!F342))</f>
        <v>0</v>
      </c>
      <c r="S342" s="304">
        <f>IF(O342&lt;=IF($O342=0,0,SUMIFS(Disbursements!$W:$W,Disbursements!$B:$B,'Live Collections'!D1684,Disbursements!$D:$D,'Live Collections'!F1684)),O342,IF($O342=0,0,SUMIFS(Disbursements!$W:$W,Disbursements!$B:$B,'Live Collections'!D1684,Disbursements!$D:$D,'Live Collections'!F1684)))</f>
        <v>0</v>
      </c>
      <c r="T342" s="304">
        <f t="shared" si="18"/>
        <v>0</v>
      </c>
      <c r="U342" s="52">
        <v>780674875</v>
      </c>
      <c r="V342" s="34"/>
      <c r="W342" s="408"/>
    </row>
    <row r="343" spans="1:23" ht="12.75" customHeight="1" x14ac:dyDescent="0.2">
      <c r="A343" s="257">
        <v>341</v>
      </c>
      <c r="B343" s="44">
        <v>44393</v>
      </c>
      <c r="C343" s="44">
        <f t="shared" si="16"/>
        <v>44393</v>
      </c>
      <c r="D343" s="374">
        <v>48</v>
      </c>
      <c r="E343" s="291" t="str">
        <f>IFERROR(VLOOKUP($D343,'Clients-Live'!$A:$C,3,0),"")</f>
        <v>BAKO KASIA</v>
      </c>
      <c r="F343" s="291">
        <f>IFERROR(INDEX(Disbursements!$D:$D,MATCH('Live Collections'!G343,Disbursements!$C:$C,0)),"")</f>
        <v>1</v>
      </c>
      <c r="G343" s="34">
        <v>32</v>
      </c>
      <c r="H343" s="34"/>
      <c r="I343" s="34" t="s">
        <v>1358</v>
      </c>
      <c r="J343" s="48"/>
      <c r="K343" s="48"/>
      <c r="L343" s="48"/>
      <c r="M343" s="48"/>
      <c r="N343" s="59"/>
      <c r="O343" s="59">
        <v>38000</v>
      </c>
      <c r="P343" s="59"/>
      <c r="Q343" s="268">
        <f t="shared" si="17"/>
        <v>38000</v>
      </c>
      <c r="R343" s="61">
        <f>IF(O343=0,0,SUMIFS(Disbursements!$T:$T,Disbursements!$B:$B,'Live Collections'!D343,Disbursements!$D:$D,'Live Collections'!F343))</f>
        <v>150000</v>
      </c>
      <c r="S343" s="304">
        <f>IF(O343&lt;=IF($O343=0,0,SUMIFS(Disbursements!$W:$W,Disbursements!$B:$B,'Live Collections'!D547,Disbursements!$D:$D,'Live Collections'!F547)),O343,IF($O343=0,0,SUMIFS(Disbursements!$W:$W,Disbursements!$B:$B,'Live Collections'!D547,Disbursements!$D:$D,'Live Collections'!F547)))</f>
        <v>0</v>
      </c>
      <c r="T343" s="304">
        <f t="shared" si="18"/>
        <v>38000</v>
      </c>
      <c r="U343" s="52"/>
      <c r="V343" s="34"/>
      <c r="W343" s="408"/>
    </row>
    <row r="344" spans="1:23" ht="12.75" customHeight="1" x14ac:dyDescent="0.2">
      <c r="A344" s="132">
        <v>343</v>
      </c>
      <c r="B344" s="44">
        <v>44393</v>
      </c>
      <c r="C344" s="44">
        <f t="shared" si="16"/>
        <v>44393</v>
      </c>
      <c r="D344" s="374">
        <v>48</v>
      </c>
      <c r="E344" s="291" t="str">
        <f>IFERROR(VLOOKUP($D344,'Clients-Live'!$A:$C,3,0),"")</f>
        <v>BAKO KASIA</v>
      </c>
      <c r="F344" s="291">
        <f>IFERROR(INDEX(Disbursements!$D:$D,MATCH('Live Collections'!G344,Disbursements!$C:$C,0)),"")</f>
        <v>1</v>
      </c>
      <c r="G344" s="34">
        <v>32</v>
      </c>
      <c r="H344" s="34"/>
      <c r="I344" s="34" t="s">
        <v>1358</v>
      </c>
      <c r="J344" s="48"/>
      <c r="K344" s="48"/>
      <c r="L344" s="48"/>
      <c r="M344" s="48"/>
      <c r="N344" s="59"/>
      <c r="O344" s="59">
        <v>32000</v>
      </c>
      <c r="P344" s="59"/>
      <c r="Q344" s="268">
        <f t="shared" si="17"/>
        <v>32000</v>
      </c>
      <c r="R344" s="61">
        <f>IF(O344=0,0,SUMIFS(Disbursements!$T:$T,Disbursements!$B:$B,'Live Collections'!D344,Disbursements!$D:$D,'Live Collections'!F344))</f>
        <v>150000</v>
      </c>
      <c r="S344" s="304">
        <f>IF(O344&lt;=IF($O344=0,0,SUMIFS(Disbursements!$W:$W,Disbursements!$B:$B,'Live Collections'!D548,Disbursements!$D:$D,'Live Collections'!F548)),O344,IF($O344=0,0,SUMIFS(Disbursements!$W:$W,Disbursements!$B:$B,'Live Collections'!D548,Disbursements!$D:$D,'Live Collections'!F548)))</f>
        <v>13000</v>
      </c>
      <c r="T344" s="304">
        <f t="shared" si="18"/>
        <v>19000</v>
      </c>
      <c r="U344" s="52"/>
      <c r="V344" s="34"/>
      <c r="W344" s="408"/>
    </row>
    <row r="345" spans="1:23" ht="12.75" customHeight="1" x14ac:dyDescent="0.2">
      <c r="A345" s="257">
        <v>342</v>
      </c>
      <c r="B345" s="44">
        <v>44393</v>
      </c>
      <c r="C345" s="44">
        <f t="shared" si="16"/>
        <v>44393</v>
      </c>
      <c r="D345" s="374">
        <v>49</v>
      </c>
      <c r="E345" s="291" t="str">
        <f>IFERROR(VLOOKUP($D345,'Clients-Live'!$A:$C,3,0),"")</f>
        <v>MAWUZU SARAH</v>
      </c>
      <c r="F345" s="291">
        <f>IFERROR(INDEX(Disbursements!$D:$D,MATCH('Live Collections'!G345,Disbursements!$C:$C,0)),"")</f>
        <v>1</v>
      </c>
      <c r="G345" s="34">
        <v>33</v>
      </c>
      <c r="H345" s="34"/>
      <c r="I345" s="34" t="s">
        <v>1358</v>
      </c>
      <c r="J345" s="48"/>
      <c r="K345" s="48"/>
      <c r="L345" s="48"/>
      <c r="M345" s="48"/>
      <c r="N345" s="59"/>
      <c r="O345" s="59">
        <v>60000</v>
      </c>
      <c r="P345" s="59"/>
      <c r="Q345" s="268">
        <f t="shared" si="17"/>
        <v>60000</v>
      </c>
      <c r="R345" s="61">
        <f>IF(O345=0,0,SUMIFS(Disbursements!$T:$T,Disbursements!$B:$B,'Live Collections'!D345,Disbursements!$D:$D,'Live Collections'!F345))</f>
        <v>150000</v>
      </c>
      <c r="S345" s="304">
        <f>IF(O345&lt;=IF($O345=0,0,SUMIFS(Disbursements!$W:$W,Disbursements!$B:$B,'Live Collections'!D559,Disbursements!$D:$D,'Live Collections'!F559)),O345,IF($O345=0,0,SUMIFS(Disbursements!$W:$W,Disbursements!$B:$B,'Live Collections'!D559,Disbursements!$D:$D,'Live Collections'!F559)))</f>
        <v>0</v>
      </c>
      <c r="T345" s="304">
        <f t="shared" si="18"/>
        <v>60000</v>
      </c>
      <c r="U345" s="52"/>
      <c r="V345" s="34"/>
      <c r="W345" s="408"/>
    </row>
    <row r="346" spans="1:23" ht="12.75" customHeight="1" x14ac:dyDescent="0.2">
      <c r="A346" s="132">
        <v>340</v>
      </c>
      <c r="B346" s="44">
        <v>44393</v>
      </c>
      <c r="C346" s="44">
        <f t="shared" si="16"/>
        <v>44393</v>
      </c>
      <c r="D346" s="374">
        <v>77</v>
      </c>
      <c r="E346" s="291" t="str">
        <f>IFERROR(VLOOKUP($D346,'Clients-Live'!$A:$C,3,0),"")</f>
        <v>CACA FATUMA</v>
      </c>
      <c r="F346" s="291">
        <f>IFERROR(INDEX(Disbursements!$D:$D,MATCH('Live Collections'!G346,Disbursements!$C:$C,0)),"")</f>
        <v>1</v>
      </c>
      <c r="G346" s="34">
        <v>61</v>
      </c>
      <c r="H346" s="34"/>
      <c r="I346" s="34" t="s">
        <v>1357</v>
      </c>
      <c r="J346" s="48"/>
      <c r="K346" s="48"/>
      <c r="L346" s="48"/>
      <c r="M346" s="48"/>
      <c r="N346" s="59"/>
      <c r="O346" s="59">
        <v>220000</v>
      </c>
      <c r="P346" s="59"/>
      <c r="Q346" s="268">
        <f t="shared" si="17"/>
        <v>220000</v>
      </c>
      <c r="R346" s="61">
        <f>IF(O346=0,0,SUMIFS(Disbursements!$T:$T,Disbursements!$B:$B,'Live Collections'!D346,Disbursements!$D:$D,'Live Collections'!F346))</f>
        <v>217000</v>
      </c>
      <c r="S346" s="304">
        <f>IF(O346&lt;=IF($O346=0,0,SUMIFS(Disbursements!$W:$W,Disbursements!$B:$B,'Live Collections'!D983,Disbursements!$D:$D,'Live Collections'!F983)),O346,IF($O346=0,0,SUMIFS(Disbursements!$W:$W,Disbursements!$B:$B,'Live Collections'!D983,Disbursements!$D:$D,'Live Collections'!F983)))</f>
        <v>15000</v>
      </c>
      <c r="T346" s="304">
        <f t="shared" si="18"/>
        <v>205000</v>
      </c>
      <c r="U346" s="52"/>
      <c r="V346" s="34"/>
      <c r="W346" s="408"/>
    </row>
    <row r="347" spans="1:23" ht="12.75" customHeight="1" x14ac:dyDescent="0.2">
      <c r="A347" s="257">
        <v>338</v>
      </c>
      <c r="B347" s="44">
        <v>44393</v>
      </c>
      <c r="C347" s="44">
        <f t="shared" si="16"/>
        <v>44393</v>
      </c>
      <c r="D347" s="374">
        <v>134</v>
      </c>
      <c r="E347" s="291" t="str">
        <f>IFERROR(VLOOKUP($D347,'Clients-Live'!$A:$C,3,0),"")</f>
        <v>TABU NATALIYA</v>
      </c>
      <c r="F347" s="291">
        <f>IFERROR(INDEX(Disbursements!$D:$D,MATCH('Live Collections'!G347,Disbursements!$C:$C,0)),"")</f>
        <v>1</v>
      </c>
      <c r="G347" s="34">
        <v>117</v>
      </c>
      <c r="H347" s="34"/>
      <c r="I347" s="34" t="s">
        <v>862</v>
      </c>
      <c r="J347" s="48"/>
      <c r="K347" s="48"/>
      <c r="L347" s="48">
        <v>10000</v>
      </c>
      <c r="M347" s="48">
        <v>5000</v>
      </c>
      <c r="N347" s="59"/>
      <c r="O347" s="59"/>
      <c r="P347" s="59">
        <v>40000</v>
      </c>
      <c r="Q347" s="268">
        <f t="shared" si="17"/>
        <v>55000</v>
      </c>
      <c r="R347" s="61">
        <f>IF(O347=0,0,SUMIFS(Disbursements!$T:$T,Disbursements!$B:$B,'Live Collections'!D347,Disbursements!$D:$D,'Live Collections'!F347))</f>
        <v>0</v>
      </c>
      <c r="S347" s="304">
        <f>IF(O347&lt;=IF($O347=0,0,SUMIFS(Disbursements!$W:$W,Disbursements!$B:$B,'Live Collections'!D1685,Disbursements!$D:$D,'Live Collections'!F1685)),O347,IF($O347=0,0,SUMIFS(Disbursements!$W:$W,Disbursements!$B:$B,'Live Collections'!D1685,Disbursements!$D:$D,'Live Collections'!F1685)))</f>
        <v>0</v>
      </c>
      <c r="T347" s="304">
        <f t="shared" si="18"/>
        <v>0</v>
      </c>
      <c r="U347" s="52"/>
      <c r="V347" s="34"/>
      <c r="W347" s="408"/>
    </row>
    <row r="348" spans="1:23" ht="12.75" customHeight="1" x14ac:dyDescent="0.2">
      <c r="A348" s="132">
        <v>335</v>
      </c>
      <c r="B348" s="44">
        <v>44393</v>
      </c>
      <c r="C348" s="44">
        <f t="shared" si="16"/>
        <v>44393</v>
      </c>
      <c r="D348" s="374">
        <v>135</v>
      </c>
      <c r="E348" s="291" t="str">
        <f>IFERROR(VLOOKUP($D348,'Clients-Live'!$A:$C,3,0),"")</f>
        <v>SARIF SAIDI</v>
      </c>
      <c r="F348" s="291" t="str">
        <f>IFERROR(INDEX(Disbursements!$D:$D,MATCH('Live Collections'!G348,Disbursements!$C:$C,0)),"")</f>
        <v/>
      </c>
      <c r="G348" s="34"/>
      <c r="H348" s="34"/>
      <c r="I348" s="34" t="s">
        <v>1814</v>
      </c>
      <c r="J348" s="48">
        <v>15000</v>
      </c>
      <c r="K348" s="48">
        <v>5000</v>
      </c>
      <c r="L348" s="48"/>
      <c r="M348" s="48"/>
      <c r="N348" s="59"/>
      <c r="O348" s="59"/>
      <c r="P348" s="59"/>
      <c r="Q348" s="268">
        <f t="shared" si="17"/>
        <v>20000</v>
      </c>
      <c r="R348" s="61">
        <f>IF(O348=0,0,SUMIFS(Disbursements!$T:$T,Disbursements!$B:$B,'Live Collections'!D348,Disbursements!$D:$D,'Live Collections'!F348))</f>
        <v>0</v>
      </c>
      <c r="S348" s="304">
        <f>IF(O348&lt;=IF($O348=0,0,SUMIFS(Disbursements!$W:$W,Disbursements!$B:$B,'Live Collections'!D1698,Disbursements!$D:$D,'Live Collections'!F1698)),O348,IF($O348=0,0,SUMIFS(Disbursements!$W:$W,Disbursements!$B:$B,'Live Collections'!D1698,Disbursements!$D:$D,'Live Collections'!F1698)))</f>
        <v>0</v>
      </c>
      <c r="T348" s="304">
        <f t="shared" si="18"/>
        <v>0</v>
      </c>
      <c r="U348" s="52">
        <v>770832060</v>
      </c>
      <c r="V348" s="34"/>
      <c r="W348" s="408"/>
    </row>
    <row r="349" spans="1:23" ht="12.75" customHeight="1" x14ac:dyDescent="0.2">
      <c r="A349" s="257">
        <v>339</v>
      </c>
      <c r="B349" s="44">
        <v>44393</v>
      </c>
      <c r="C349" s="44">
        <f t="shared" si="16"/>
        <v>44393</v>
      </c>
      <c r="D349" s="374">
        <v>135</v>
      </c>
      <c r="E349" s="291" t="str">
        <f>IFERROR(VLOOKUP($D349,'Clients-Live'!$A:$C,3,0),"")</f>
        <v>SARIF SAIDI</v>
      </c>
      <c r="F349" s="291">
        <f>IFERROR(INDEX(Disbursements!$D:$D,MATCH('Live Collections'!G349,Disbursements!$C:$C,0)),"")</f>
        <v>1</v>
      </c>
      <c r="G349" s="34">
        <v>120</v>
      </c>
      <c r="H349" s="34"/>
      <c r="I349" s="34" t="s">
        <v>864</v>
      </c>
      <c r="J349" s="48"/>
      <c r="K349" s="48"/>
      <c r="L349" s="48">
        <v>10000</v>
      </c>
      <c r="M349" s="48">
        <v>5000</v>
      </c>
      <c r="N349" s="59"/>
      <c r="O349" s="59"/>
      <c r="P349" s="59">
        <v>70000</v>
      </c>
      <c r="Q349" s="268">
        <f t="shared" si="17"/>
        <v>85000</v>
      </c>
      <c r="R349" s="61">
        <f>IF(O349=0,0,SUMIFS(Disbursements!$T:$T,Disbursements!$B:$B,'Live Collections'!D349,Disbursements!$D:$D,'Live Collections'!F349))</f>
        <v>0</v>
      </c>
      <c r="S349" s="304">
        <f>IF(O349&lt;=IF($O349=0,0,SUMIFS(Disbursements!$W:$W,Disbursements!$B:$B,'Live Collections'!D1699,Disbursements!$D:$D,'Live Collections'!F1699)),O349,IF($O349=0,0,SUMIFS(Disbursements!$W:$W,Disbursements!$B:$B,'Live Collections'!D1699,Disbursements!$D:$D,'Live Collections'!F1699)))</f>
        <v>0</v>
      </c>
      <c r="T349" s="304">
        <f t="shared" si="18"/>
        <v>0</v>
      </c>
      <c r="U349" s="52"/>
      <c r="V349" s="34"/>
      <c r="W349" s="408"/>
    </row>
    <row r="350" spans="1:23" ht="12.75" customHeight="1" x14ac:dyDescent="0.2">
      <c r="A350" s="132">
        <v>336</v>
      </c>
      <c r="B350" s="44">
        <v>44393</v>
      </c>
      <c r="C350" s="44">
        <f t="shared" si="16"/>
        <v>44393</v>
      </c>
      <c r="D350" s="374">
        <v>136</v>
      </c>
      <c r="E350" s="291" t="str">
        <f>IFERROR(VLOOKUP($D350,'Clients-Live'!$A:$C,3,0),"")</f>
        <v>LEMERIGA GODWILL JOSEPH</v>
      </c>
      <c r="F350" s="291" t="str">
        <f>IFERROR(INDEX(Disbursements!$D:$D,MATCH('Live Collections'!G350,Disbursements!$C:$C,0)),"")</f>
        <v/>
      </c>
      <c r="G350" s="34"/>
      <c r="H350" s="34"/>
      <c r="I350" s="34" t="s">
        <v>1814</v>
      </c>
      <c r="J350" s="48">
        <v>15000</v>
      </c>
      <c r="K350" s="48">
        <v>5000</v>
      </c>
      <c r="L350" s="48"/>
      <c r="M350" s="48"/>
      <c r="N350" s="59"/>
      <c r="O350" s="59"/>
      <c r="P350" s="59"/>
      <c r="Q350" s="268">
        <f t="shared" si="17"/>
        <v>20000</v>
      </c>
      <c r="R350" s="61">
        <f>IF(O350=0,0,SUMIFS(Disbursements!$T:$T,Disbursements!$B:$B,'Live Collections'!D350,Disbursements!$D:$D,'Live Collections'!F350))</f>
        <v>0</v>
      </c>
      <c r="S350" s="304">
        <f>IF(O350&lt;=IF($O350=0,0,SUMIFS(Disbursements!$W:$W,Disbursements!$B:$B,'Live Collections'!D1711,Disbursements!$D:$D,'Live Collections'!F1711)),O350,IF($O350=0,0,SUMIFS(Disbursements!$W:$W,Disbursements!$B:$B,'Live Collections'!D1711,Disbursements!$D:$D,'Live Collections'!F1711)))</f>
        <v>0</v>
      </c>
      <c r="T350" s="304">
        <f t="shared" si="18"/>
        <v>0</v>
      </c>
      <c r="U350" s="52">
        <v>772962109</v>
      </c>
      <c r="V350" s="34"/>
      <c r="W350" s="408"/>
    </row>
    <row r="351" spans="1:23" ht="12.75" customHeight="1" x14ac:dyDescent="0.2">
      <c r="A351" s="257">
        <v>337</v>
      </c>
      <c r="B351" s="44">
        <v>44393</v>
      </c>
      <c r="C351" s="44">
        <f t="shared" si="16"/>
        <v>44393</v>
      </c>
      <c r="D351" s="374">
        <v>137</v>
      </c>
      <c r="E351" s="291" t="str">
        <f>IFERROR(VLOOKUP($D351,'Clients-Live'!$A:$C,3,0),"")</f>
        <v>YAKANI CHARLES</v>
      </c>
      <c r="F351" s="291" t="str">
        <f>IFERROR(INDEX(Disbursements!$D:$D,MATCH('Live Collections'!G351,Disbursements!$C:$C,0)),"")</f>
        <v/>
      </c>
      <c r="G351" s="34"/>
      <c r="H351" s="34"/>
      <c r="I351" s="34" t="s">
        <v>1814</v>
      </c>
      <c r="J351" s="48">
        <v>15000</v>
      </c>
      <c r="K351" s="48">
        <v>5000</v>
      </c>
      <c r="L351" s="48"/>
      <c r="M351" s="48"/>
      <c r="N351" s="59"/>
      <c r="O351" s="59"/>
      <c r="P351" s="59"/>
      <c r="Q351" s="268">
        <f t="shared" si="17"/>
        <v>20000</v>
      </c>
      <c r="R351" s="61">
        <f>IF(O351=0,0,SUMIFS(Disbursements!$T:$T,Disbursements!$B:$B,'Live Collections'!D351,Disbursements!$D:$D,'Live Collections'!F351))</f>
        <v>0</v>
      </c>
      <c r="S351" s="304">
        <f>IF(O351&lt;=IF($O351=0,0,SUMIFS(Disbursements!$W:$W,Disbursements!$B:$B,'Live Collections'!D1722,Disbursements!$D:$D,'Live Collections'!F1722)),O351,IF($O351=0,0,SUMIFS(Disbursements!$W:$W,Disbursements!$B:$B,'Live Collections'!D1722,Disbursements!$D:$D,'Live Collections'!F1722)))</f>
        <v>0</v>
      </c>
      <c r="T351" s="304">
        <f t="shared" si="18"/>
        <v>0</v>
      </c>
      <c r="U351" s="52">
        <v>782881119</v>
      </c>
      <c r="V351" s="34"/>
      <c r="W351" s="408"/>
    </row>
    <row r="352" spans="1:23" ht="12.75" customHeight="1" x14ac:dyDescent="0.2">
      <c r="A352" s="132">
        <v>345</v>
      </c>
      <c r="B352" s="44">
        <v>44394</v>
      </c>
      <c r="C352" s="44">
        <f t="shared" si="16"/>
        <v>44394</v>
      </c>
      <c r="D352" s="374">
        <v>18</v>
      </c>
      <c r="E352" s="291" t="str">
        <f>IFERROR(VLOOKUP($D352,'Clients-Live'!$A:$C,3,0),"")</f>
        <v>ARIYE PEACE</v>
      </c>
      <c r="F352" s="291">
        <f>IFERROR(INDEX(Disbursements!$D:$D,MATCH('Live Collections'!G352,Disbursements!$C:$C,0)),"")</f>
        <v>1</v>
      </c>
      <c r="G352" s="34">
        <v>9</v>
      </c>
      <c r="H352" s="34"/>
      <c r="I352" s="34" t="s">
        <v>1357</v>
      </c>
      <c r="J352" s="48"/>
      <c r="K352" s="48"/>
      <c r="L352" s="48"/>
      <c r="M352" s="48"/>
      <c r="N352" s="59"/>
      <c r="O352" s="59">
        <v>108400</v>
      </c>
      <c r="P352" s="59"/>
      <c r="Q352" s="268">
        <f t="shared" si="17"/>
        <v>108400</v>
      </c>
      <c r="R352" s="61">
        <f>IF(O352=0,0,SUMIFS(Disbursements!$T:$T,Disbursements!$B:$B,'Live Collections'!D352,Disbursements!$D:$D,'Live Collections'!F352))</f>
        <v>109000</v>
      </c>
      <c r="S352" s="304">
        <f>IF(O352&lt;=IF($O352=0,0,SUMIFS(Disbursements!$W:$W,Disbursements!$B:$B,'Live Collections'!D196,Disbursements!$D:$D,'Live Collections'!F196)),O352,IF($O352=0,0,SUMIFS(Disbursements!$W:$W,Disbursements!$B:$B,'Live Collections'!D196,Disbursements!$D:$D,'Live Collections'!F196)))</f>
        <v>0</v>
      </c>
      <c r="T352" s="304">
        <f t="shared" si="18"/>
        <v>108400</v>
      </c>
      <c r="U352" s="52"/>
      <c r="V352" s="34"/>
      <c r="W352" s="408"/>
    </row>
    <row r="353" spans="1:23" ht="12.75" customHeight="1" x14ac:dyDescent="0.2">
      <c r="A353" s="257">
        <v>347</v>
      </c>
      <c r="B353" s="44">
        <v>44394</v>
      </c>
      <c r="C353" s="44">
        <f t="shared" si="16"/>
        <v>44394</v>
      </c>
      <c r="D353" s="374">
        <v>60</v>
      </c>
      <c r="E353" s="291" t="str">
        <f>IFERROR(VLOOKUP($D353,'Clients-Live'!$A:$C,3,0),"")</f>
        <v>MATURU ALICE</v>
      </c>
      <c r="F353" s="291">
        <f>IFERROR(INDEX(Disbursements!$D:$D,MATCH('Live Collections'!G353,Disbursements!$C:$C,0)),"")</f>
        <v>1</v>
      </c>
      <c r="G353" s="34">
        <v>60</v>
      </c>
      <c r="H353" s="34"/>
      <c r="I353" s="34" t="s">
        <v>1358</v>
      </c>
      <c r="J353" s="48"/>
      <c r="K353" s="48"/>
      <c r="L353" s="48"/>
      <c r="M353" s="48"/>
      <c r="N353" s="59"/>
      <c r="O353" s="59">
        <v>120000</v>
      </c>
      <c r="P353" s="59"/>
      <c r="Q353" s="268">
        <f t="shared" si="17"/>
        <v>120000</v>
      </c>
      <c r="R353" s="61">
        <f>IF(O353=0,0,SUMIFS(Disbursements!$T:$T,Disbursements!$B:$B,'Live Collections'!D353,Disbursements!$D:$D,'Live Collections'!F353))</f>
        <v>120000</v>
      </c>
      <c r="S353" s="304">
        <f>IF(O353&lt;=IF($O353=0,0,SUMIFS(Disbursements!$W:$W,Disbursements!$B:$B,'Live Collections'!D714,Disbursements!$D:$D,'Live Collections'!F714)),O353,IF($O353=0,0,SUMIFS(Disbursements!$W:$W,Disbursements!$B:$B,'Live Collections'!D714,Disbursements!$D:$D,'Live Collections'!F714)))</f>
        <v>35000</v>
      </c>
      <c r="T353" s="304">
        <f t="shared" si="18"/>
        <v>85000</v>
      </c>
      <c r="U353" s="52"/>
      <c r="V353" s="34"/>
      <c r="W353" s="408"/>
    </row>
    <row r="354" spans="1:23" ht="12.75" customHeight="1" x14ac:dyDescent="0.2">
      <c r="A354" s="132">
        <v>346</v>
      </c>
      <c r="B354" s="44">
        <v>44394</v>
      </c>
      <c r="C354" s="44">
        <f t="shared" si="16"/>
        <v>44394</v>
      </c>
      <c r="D354" s="374">
        <v>78</v>
      </c>
      <c r="E354" s="291" t="str">
        <f>IFERROR(VLOOKUP($D354,'Clients-Live'!$A:$C,3,0),"")</f>
        <v>DIPIYO BEATRICE JOHN</v>
      </c>
      <c r="F354" s="291">
        <f>IFERROR(INDEX(Disbursements!$D:$D,MATCH('Live Collections'!G354,Disbursements!$C:$C,0)),"")</f>
        <v>1</v>
      </c>
      <c r="G354" s="34">
        <v>62</v>
      </c>
      <c r="H354" s="34"/>
      <c r="I354" s="34" t="s">
        <v>1359</v>
      </c>
      <c r="J354" s="48"/>
      <c r="K354" s="48"/>
      <c r="L354" s="48"/>
      <c r="M354" s="48"/>
      <c r="N354" s="59"/>
      <c r="O354" s="59">
        <v>175000</v>
      </c>
      <c r="P354" s="59"/>
      <c r="Q354" s="268">
        <f t="shared" si="17"/>
        <v>175000</v>
      </c>
      <c r="R354" s="61">
        <f>IF(O354=0,0,SUMIFS(Disbursements!$T:$T,Disbursements!$B:$B,'Live Collections'!D354,Disbursements!$D:$D,'Live Collections'!F354))</f>
        <v>175000</v>
      </c>
      <c r="S354" s="304">
        <f>IF(O354&lt;=IF($O354=0,0,SUMIFS(Disbursements!$W:$W,Disbursements!$B:$B,'Live Collections'!D998,Disbursements!$D:$D,'Live Collections'!F998)),O354,IF($O354=0,0,SUMIFS(Disbursements!$W:$W,Disbursements!$B:$B,'Live Collections'!D998,Disbursements!$D:$D,'Live Collections'!F998)))</f>
        <v>25000</v>
      </c>
      <c r="T354" s="304">
        <f t="shared" si="18"/>
        <v>150000</v>
      </c>
      <c r="U354" s="52"/>
      <c r="V354" s="34"/>
      <c r="W354" s="408"/>
    </row>
    <row r="355" spans="1:23" ht="12.75" customHeight="1" x14ac:dyDescent="0.2">
      <c r="A355" s="257">
        <v>348</v>
      </c>
      <c r="B355" s="44">
        <v>44394</v>
      </c>
      <c r="C355" s="44">
        <f t="shared" si="16"/>
        <v>44394</v>
      </c>
      <c r="D355" s="374">
        <v>116</v>
      </c>
      <c r="E355" s="291" t="str">
        <f>IFERROR(VLOOKUP($D355,'Clients-Live'!$A:$C,3,0),"")</f>
        <v>ONZIA LUCY</v>
      </c>
      <c r="F355" s="291">
        <f>IFERROR(INDEX(Disbursements!$D:$D,MATCH('Live Collections'!G355,Disbursements!$C:$C,0)),"")</f>
        <v>1</v>
      </c>
      <c r="G355" s="34">
        <v>95</v>
      </c>
      <c r="H355" s="34"/>
      <c r="I355" s="34" t="s">
        <v>1357</v>
      </c>
      <c r="J355" s="48"/>
      <c r="K355" s="48"/>
      <c r="L355" s="48"/>
      <c r="M355" s="48"/>
      <c r="N355" s="59"/>
      <c r="O355" s="59">
        <v>19000</v>
      </c>
      <c r="P355" s="59"/>
      <c r="Q355" s="268">
        <f t="shared" si="17"/>
        <v>19000</v>
      </c>
      <c r="R355" s="61">
        <f>IF(O355=0,0,SUMIFS(Disbursements!$T:$T,Disbursements!$B:$B,'Live Collections'!D355,Disbursements!$D:$D,'Live Collections'!F355))</f>
        <v>20000</v>
      </c>
      <c r="S355" s="304">
        <f>IF(O355&lt;=IF($O355=0,0,SUMIFS(Disbursements!$W:$W,Disbursements!$B:$B,'Live Collections'!D1488,Disbursements!$D:$D,'Live Collections'!F1488)),O355,IF($O355=0,0,SUMIFS(Disbursements!$W:$W,Disbursements!$B:$B,'Live Collections'!D1488,Disbursements!$D:$D,'Live Collections'!F1488)))</f>
        <v>0</v>
      </c>
      <c r="T355" s="304">
        <f t="shared" si="18"/>
        <v>19000</v>
      </c>
      <c r="U355" s="52"/>
      <c r="V355" s="34"/>
      <c r="W355" s="408"/>
    </row>
    <row r="356" spans="1:23" ht="12.75" customHeight="1" x14ac:dyDescent="0.2">
      <c r="A356" s="132">
        <v>344</v>
      </c>
      <c r="B356" s="44">
        <v>44394</v>
      </c>
      <c r="C356" s="44">
        <f t="shared" si="16"/>
        <v>44394</v>
      </c>
      <c r="D356" s="374">
        <v>137</v>
      </c>
      <c r="E356" s="291" t="str">
        <f>IFERROR(VLOOKUP($D356,'Clients-Live'!$A:$C,3,0),"")</f>
        <v>YAKANI CHARLES</v>
      </c>
      <c r="F356" s="291">
        <f>IFERROR(INDEX(Disbursements!$D:$D,MATCH('Live Collections'!G356,Disbursements!$C:$C,0)),"")</f>
        <v>1</v>
      </c>
      <c r="G356" s="34">
        <v>121</v>
      </c>
      <c r="H356" s="34">
        <v>638</v>
      </c>
      <c r="I356" s="34" t="s">
        <v>862</v>
      </c>
      <c r="J356" s="48"/>
      <c r="K356" s="48"/>
      <c r="L356" s="48">
        <v>10000</v>
      </c>
      <c r="M356" s="48">
        <v>5000</v>
      </c>
      <c r="N356" s="59"/>
      <c r="O356" s="59"/>
      <c r="P356" s="59">
        <v>50000</v>
      </c>
      <c r="Q356" s="268">
        <f t="shared" si="17"/>
        <v>65000</v>
      </c>
      <c r="R356" s="61">
        <f>IF(O356=0,0,SUMIFS(Disbursements!$T:$T,Disbursements!$B:$B,'Live Collections'!D356,Disbursements!$D:$D,'Live Collections'!F356))</f>
        <v>0</v>
      </c>
      <c r="S356" s="304">
        <f>IF(O356&lt;=IF($O356=0,0,SUMIFS(Disbursements!$W:$W,Disbursements!$B:$B,'Live Collections'!D1723,Disbursements!$D:$D,'Live Collections'!F1723)),O356,IF($O356=0,0,SUMIFS(Disbursements!$W:$W,Disbursements!$B:$B,'Live Collections'!D1723,Disbursements!$D:$D,'Live Collections'!F1723)))</f>
        <v>0</v>
      </c>
      <c r="T356" s="304">
        <f t="shared" si="18"/>
        <v>0</v>
      </c>
      <c r="U356" s="52"/>
      <c r="V356" s="34"/>
      <c r="W356" s="408"/>
    </row>
    <row r="357" spans="1:23" ht="12.75" customHeight="1" x14ac:dyDescent="0.2">
      <c r="A357" s="257">
        <v>352</v>
      </c>
      <c r="B357" s="44">
        <v>44396</v>
      </c>
      <c r="C357" s="44">
        <f t="shared" si="16"/>
        <v>44396</v>
      </c>
      <c r="D357" s="374">
        <v>6</v>
      </c>
      <c r="E357" s="291" t="str">
        <f>IFERROR(VLOOKUP($D357,'Clients-Live'!$A:$C,3,0),"")</f>
        <v>AMUTE BASHIR</v>
      </c>
      <c r="F357" s="291">
        <f>IFERROR(INDEX(Disbursements!$D:$D,MATCH('Live Collections'!G357,Disbursements!$C:$C,0)),"")</f>
        <v>2</v>
      </c>
      <c r="G357" s="34">
        <v>100</v>
      </c>
      <c r="H357" s="34">
        <v>657</v>
      </c>
      <c r="I357" s="34" t="s">
        <v>1358</v>
      </c>
      <c r="J357" s="48"/>
      <c r="K357" s="48"/>
      <c r="L357" s="48"/>
      <c r="M357" s="48"/>
      <c r="N357" s="59"/>
      <c r="O357" s="59">
        <v>115000</v>
      </c>
      <c r="P357" s="59"/>
      <c r="Q357" s="268">
        <f t="shared" si="17"/>
        <v>115000</v>
      </c>
      <c r="R357" s="61">
        <f>IF(O357=0,0,SUMIFS(Disbursements!$T:$T,Disbursements!$B:$B,'Live Collections'!D357,Disbursements!$D:$D,'Live Collections'!F357))</f>
        <v>1300000</v>
      </c>
      <c r="S357" s="304">
        <f>IF(O357&lt;=IF($O357=0,0,SUMIFS(Disbursements!$W:$W,Disbursements!$B:$B,'Live Collections'!D45,Disbursements!$D:$D,'Live Collections'!F45)),O357,IF($O357=0,0,SUMIFS(Disbursements!$W:$W,Disbursements!$B:$B,'Live Collections'!D45,Disbursements!$D:$D,'Live Collections'!F45)))</f>
        <v>0</v>
      </c>
      <c r="T357" s="304">
        <f t="shared" si="18"/>
        <v>115000</v>
      </c>
      <c r="U357" s="52"/>
      <c r="V357" s="34"/>
      <c r="W357" s="408"/>
    </row>
    <row r="358" spans="1:23" ht="12.75" customHeight="1" x14ac:dyDescent="0.2">
      <c r="A358" s="132">
        <v>351</v>
      </c>
      <c r="B358" s="44">
        <v>44396</v>
      </c>
      <c r="C358" s="44">
        <f t="shared" si="16"/>
        <v>44396</v>
      </c>
      <c r="D358" s="374">
        <v>80</v>
      </c>
      <c r="E358" s="291" t="str">
        <f>IFERROR(VLOOKUP($D358,'Clients-Live'!$A:$C,3,0),"")</f>
        <v>ARIYE AISHA</v>
      </c>
      <c r="F358" s="291">
        <f>IFERROR(INDEX(Disbursements!$D:$D,MATCH('Live Collections'!G358,Disbursements!$C:$C,0)),"")</f>
        <v>1</v>
      </c>
      <c r="G358" s="34">
        <v>63</v>
      </c>
      <c r="H358" s="34"/>
      <c r="I358" s="34" t="s">
        <v>1357</v>
      </c>
      <c r="J358" s="48"/>
      <c r="K358" s="48"/>
      <c r="L358" s="48"/>
      <c r="M358" s="48"/>
      <c r="N358" s="59"/>
      <c r="O358" s="59">
        <v>250000</v>
      </c>
      <c r="P358" s="59"/>
      <c r="Q358" s="268">
        <f t="shared" si="17"/>
        <v>250000</v>
      </c>
      <c r="R358" s="61">
        <f>IF(O358=0,0,SUMIFS(Disbursements!$T:$T,Disbursements!$B:$B,'Live Collections'!D358,Disbursements!$D:$D,'Live Collections'!F358))</f>
        <v>250000</v>
      </c>
      <c r="S358" s="304">
        <f>IF(O358&lt;=IF($O358=0,0,SUMIFS(Disbursements!$W:$W,Disbursements!$B:$B,'Live Collections'!D1036,Disbursements!$D:$D,'Live Collections'!F1036)),O358,IF($O358=0,0,SUMIFS(Disbursements!$W:$W,Disbursements!$B:$B,'Live Collections'!D1036,Disbursements!$D:$D,'Live Collections'!F1036)))</f>
        <v>50333.333333333343</v>
      </c>
      <c r="T358" s="304">
        <f t="shared" si="18"/>
        <v>199666.66666666666</v>
      </c>
      <c r="U358" s="52"/>
      <c r="V358" s="34"/>
      <c r="W358" s="408"/>
    </row>
    <row r="359" spans="1:23" ht="12.75" customHeight="1" x14ac:dyDescent="0.2">
      <c r="A359" s="257">
        <v>350</v>
      </c>
      <c r="B359" s="44">
        <v>44396</v>
      </c>
      <c r="C359" s="44">
        <f t="shared" si="16"/>
        <v>44396</v>
      </c>
      <c r="D359" s="374">
        <v>106</v>
      </c>
      <c r="E359" s="291" t="str">
        <f>IFERROR(VLOOKUP($D359,'Clients-Live'!$A:$C,3,0),"")</f>
        <v>ORODRIYO  NUSURA</v>
      </c>
      <c r="F359" s="291">
        <f>IFERROR(INDEX(Disbursements!$D:$D,MATCH('Live Collections'!G359,Disbursements!$C:$C,0)),"")</f>
        <v>1</v>
      </c>
      <c r="G359" s="34">
        <v>89</v>
      </c>
      <c r="H359" s="34">
        <v>653</v>
      </c>
      <c r="I359" s="34" t="s">
        <v>1357</v>
      </c>
      <c r="J359" s="48"/>
      <c r="K359" s="48"/>
      <c r="L359" s="48"/>
      <c r="M359" s="48"/>
      <c r="N359" s="59"/>
      <c r="O359" s="59">
        <v>20000</v>
      </c>
      <c r="P359" s="59"/>
      <c r="Q359" s="268">
        <f t="shared" si="17"/>
        <v>20000</v>
      </c>
      <c r="R359" s="61">
        <f>IF(O359=0,0,SUMIFS(Disbursements!$T:$T,Disbursements!$B:$B,'Live Collections'!D359,Disbursements!$D:$D,'Live Collections'!F359))</f>
        <v>20000</v>
      </c>
      <c r="S359" s="304">
        <f>IF(O359&lt;=IF($O359=0,0,SUMIFS(Disbursements!$W:$W,Disbursements!$B:$B,'Live Collections'!D1492,Disbursements!$D:$D,'Live Collections'!F1492)),O359,IF($O359=0,0,SUMIFS(Disbursements!$W:$W,Disbursements!$B:$B,'Live Collections'!D1492,Disbursements!$D:$D,'Live Collections'!F1492)))</f>
        <v>20000</v>
      </c>
      <c r="T359" s="304">
        <f t="shared" si="18"/>
        <v>0</v>
      </c>
      <c r="U359" s="52"/>
      <c r="V359" s="34"/>
      <c r="W359" s="408"/>
    </row>
    <row r="360" spans="1:23" ht="12.75" customHeight="1" x14ac:dyDescent="0.2">
      <c r="A360" s="132">
        <v>349</v>
      </c>
      <c r="B360" s="44">
        <v>44396</v>
      </c>
      <c r="C360" s="44">
        <f t="shared" si="16"/>
        <v>44396</v>
      </c>
      <c r="D360" s="374">
        <v>136</v>
      </c>
      <c r="E360" s="291" t="str">
        <f>IFERROR(VLOOKUP($D360,'Clients-Live'!$A:$C,3,0),"")</f>
        <v>LEMERIGA GODWILL JOSEPH</v>
      </c>
      <c r="F360" s="291">
        <f>IFERROR(INDEX(Disbursements!$D:$D,MATCH('Live Collections'!G360,Disbursements!$C:$C,0)),"")</f>
        <v>1</v>
      </c>
      <c r="G360" s="34">
        <v>122</v>
      </c>
      <c r="H360" s="34"/>
      <c r="I360" s="34" t="s">
        <v>864</v>
      </c>
      <c r="J360" s="48"/>
      <c r="K360" s="48"/>
      <c r="L360" s="48">
        <v>10000</v>
      </c>
      <c r="M360" s="48">
        <v>5000</v>
      </c>
      <c r="N360" s="59"/>
      <c r="O360" s="59"/>
      <c r="P360" s="59">
        <v>40000</v>
      </c>
      <c r="Q360" s="268">
        <f t="shared" si="17"/>
        <v>55000</v>
      </c>
      <c r="R360" s="61">
        <f>IF(O360=0,0,SUMIFS(Disbursements!$T:$T,Disbursements!$B:$B,'Live Collections'!D360,Disbursements!$D:$D,'Live Collections'!F360))</f>
        <v>0</v>
      </c>
      <c r="S360" s="304">
        <f>IF(O360&lt;=IF($O360=0,0,SUMIFS(Disbursements!$W:$W,Disbursements!$B:$B,'Live Collections'!D1712,Disbursements!$D:$D,'Live Collections'!F1712)),O360,IF($O360=0,0,SUMIFS(Disbursements!$W:$W,Disbursements!$B:$B,'Live Collections'!D1712,Disbursements!$D:$D,'Live Collections'!F1712)))</f>
        <v>0</v>
      </c>
      <c r="T360" s="304">
        <f t="shared" si="18"/>
        <v>0</v>
      </c>
      <c r="U360" s="52"/>
      <c r="V360" s="34"/>
      <c r="W360" s="408"/>
    </row>
    <row r="361" spans="1:23" ht="12.75" customHeight="1" x14ac:dyDescent="0.2">
      <c r="A361" s="257">
        <v>353</v>
      </c>
      <c r="B361" s="44">
        <v>44397</v>
      </c>
      <c r="C361" s="44">
        <f t="shared" si="16"/>
        <v>44397</v>
      </c>
      <c r="D361" s="374">
        <v>15</v>
      </c>
      <c r="E361" s="291" t="str">
        <f>IFERROR(VLOOKUP($D361,'Clients-Live'!$A:$C,3,0),"")</f>
        <v>NATOSHA LUCY</v>
      </c>
      <c r="F361" s="291">
        <f>IFERROR(INDEX(Disbursements!$D:$D,MATCH('Live Collections'!G361,Disbursements!$C:$C,0)),"")</f>
        <v>1</v>
      </c>
      <c r="G361" s="34">
        <v>8</v>
      </c>
      <c r="H361" s="34"/>
      <c r="I361" s="34" t="s">
        <v>1358</v>
      </c>
      <c r="J361" s="48"/>
      <c r="K361" s="48"/>
      <c r="L361" s="48"/>
      <c r="M361" s="48"/>
      <c r="N361" s="59"/>
      <c r="O361" s="59">
        <v>440000</v>
      </c>
      <c r="P361" s="59"/>
      <c r="Q361" s="268">
        <f t="shared" si="17"/>
        <v>440000</v>
      </c>
      <c r="R361" s="61">
        <f>IF(O361=0,0,SUMIFS(Disbursements!$T:$T,Disbursements!$B:$B,'Live Collections'!D361,Disbursements!$D:$D,'Live Collections'!F361))</f>
        <v>434000</v>
      </c>
      <c r="S361" s="304">
        <f>IF(O361&lt;=IF($O361=0,0,SUMIFS(Disbursements!$W:$W,Disbursements!$B:$B,'Live Collections'!D156,Disbursements!$D:$D,'Live Collections'!F156)),O361,IF($O361=0,0,SUMIFS(Disbursements!$W:$W,Disbursements!$B:$B,'Live Collections'!D156,Disbursements!$D:$D,'Live Collections'!F156)))</f>
        <v>35000</v>
      </c>
      <c r="T361" s="304">
        <f t="shared" si="18"/>
        <v>405000</v>
      </c>
      <c r="U361" s="52"/>
      <c r="V361" s="34"/>
      <c r="W361" s="408"/>
    </row>
    <row r="362" spans="1:23" ht="12.75" customHeight="1" x14ac:dyDescent="0.2">
      <c r="A362" s="132">
        <v>363</v>
      </c>
      <c r="B362" s="44">
        <v>44398</v>
      </c>
      <c r="C362" s="44">
        <f t="shared" si="16"/>
        <v>44398</v>
      </c>
      <c r="D362" s="374">
        <v>6</v>
      </c>
      <c r="E362" s="291" t="str">
        <f>IFERROR(VLOOKUP($D362,'Clients-Live'!$A:$C,3,0),"")</f>
        <v>AMUTE BASHIR</v>
      </c>
      <c r="F362" s="291">
        <f>IFERROR(INDEX(Disbursements!$D:$D,MATCH('Live Collections'!G362,Disbursements!$C:$C,0)),"")</f>
        <v>2</v>
      </c>
      <c r="G362" s="34">
        <v>100</v>
      </c>
      <c r="H362" s="34">
        <v>671</v>
      </c>
      <c r="I362" s="34" t="s">
        <v>1358</v>
      </c>
      <c r="J362" s="48"/>
      <c r="K362" s="48"/>
      <c r="L362" s="48"/>
      <c r="M362" s="48"/>
      <c r="N362" s="59"/>
      <c r="O362" s="59">
        <v>110000</v>
      </c>
      <c r="P362" s="59"/>
      <c r="Q362" s="268">
        <f t="shared" si="17"/>
        <v>110000</v>
      </c>
      <c r="R362" s="61">
        <f>IF(O362=0,0,SUMIFS(Disbursements!$T:$T,Disbursements!$B:$B,'Live Collections'!D362,Disbursements!$D:$D,'Live Collections'!F362))</f>
        <v>1300000</v>
      </c>
      <c r="S362" s="304">
        <f>IF(O362&lt;=IF($O362=0,0,SUMIFS(Disbursements!$W:$W,Disbursements!$B:$B,'Live Collections'!D46,Disbursements!$D:$D,'Live Collections'!F46)),O362,IF($O362=0,0,SUMIFS(Disbursements!$W:$W,Disbursements!$B:$B,'Live Collections'!D46,Disbursements!$D:$D,'Live Collections'!F46)))</f>
        <v>0</v>
      </c>
      <c r="T362" s="304">
        <f t="shared" si="18"/>
        <v>110000</v>
      </c>
      <c r="U362" s="52"/>
      <c r="V362" s="34"/>
      <c r="W362" s="408"/>
    </row>
    <row r="363" spans="1:23" ht="12.75" customHeight="1" x14ac:dyDescent="0.2">
      <c r="A363" s="257">
        <v>362</v>
      </c>
      <c r="B363" s="44">
        <v>44398</v>
      </c>
      <c r="C363" s="44">
        <f t="shared" si="16"/>
        <v>44398</v>
      </c>
      <c r="D363" s="374">
        <v>13</v>
      </c>
      <c r="E363" s="291" t="str">
        <f>IFERROR(VLOOKUP($D363,'Clients-Live'!$A:$C,3,0),"")</f>
        <v>ALLONE AMOS DAMAI</v>
      </c>
      <c r="F363" s="291">
        <f>IFERROR(INDEX(Disbursements!$D:$D,MATCH('Live Collections'!G363,Disbursements!$C:$C,0)),"")</f>
        <v>1</v>
      </c>
      <c r="G363" s="34">
        <v>67</v>
      </c>
      <c r="H363" s="34">
        <v>666</v>
      </c>
      <c r="I363" s="34" t="s">
        <v>1359</v>
      </c>
      <c r="J363" s="48"/>
      <c r="K363" s="48"/>
      <c r="L363" s="48"/>
      <c r="M363" s="48"/>
      <c r="N363" s="59"/>
      <c r="O363" s="59">
        <v>216700</v>
      </c>
      <c r="P363" s="59"/>
      <c r="Q363" s="268">
        <f t="shared" si="17"/>
        <v>216700</v>
      </c>
      <c r="R363" s="61">
        <f>IF(O363=0,0,SUMIFS(Disbursements!$T:$T,Disbursements!$B:$B,'Live Collections'!D363,Disbursements!$D:$D,'Live Collections'!F363))</f>
        <v>217000</v>
      </c>
      <c r="S363" s="304">
        <f>IF(O363&lt;=IF($O363=0,0,SUMIFS(Disbursements!$W:$W,Disbursements!$B:$B,'Live Collections'!D135,Disbursements!$D:$D,'Live Collections'!F135)),O363,IF($O363=0,0,SUMIFS(Disbursements!$W:$W,Disbursements!$B:$B,'Live Collections'!D135,Disbursements!$D:$D,'Live Collections'!F135)))</f>
        <v>40666.666666666657</v>
      </c>
      <c r="T363" s="304">
        <f t="shared" si="18"/>
        <v>176033.33333333334</v>
      </c>
      <c r="U363" s="52"/>
      <c r="V363" s="34"/>
      <c r="W363" s="408"/>
    </row>
    <row r="364" spans="1:23" ht="12.75" customHeight="1" x14ac:dyDescent="0.2">
      <c r="A364" s="132">
        <v>360</v>
      </c>
      <c r="B364" s="44">
        <v>44398</v>
      </c>
      <c r="C364" s="44">
        <f t="shared" si="16"/>
        <v>44398</v>
      </c>
      <c r="D364" s="374">
        <v>16</v>
      </c>
      <c r="E364" s="291" t="str">
        <f>IFERROR(VLOOKUP($D364,'Clients-Live'!$A:$C,3,0),"")</f>
        <v>OKELLO ACTION</v>
      </c>
      <c r="F364" s="291">
        <f>IFERROR(INDEX(Disbursements!$D:$D,MATCH('Live Collections'!G364,Disbursements!$C:$C,0)),"")</f>
        <v>1</v>
      </c>
      <c r="G364" s="34">
        <v>6</v>
      </c>
      <c r="H364" s="34"/>
      <c r="I364" s="34" t="s">
        <v>1359</v>
      </c>
      <c r="J364" s="48"/>
      <c r="K364" s="48"/>
      <c r="L364" s="48"/>
      <c r="M364" s="48"/>
      <c r="N364" s="59"/>
      <c r="O364" s="59">
        <v>400000</v>
      </c>
      <c r="P364" s="59"/>
      <c r="Q364" s="268">
        <f t="shared" si="17"/>
        <v>400000</v>
      </c>
      <c r="R364" s="61">
        <f>IF(O364=0,0,SUMIFS(Disbursements!$T:$T,Disbursements!$B:$B,'Live Collections'!D364,Disbursements!$D:$D,'Live Collections'!F364))</f>
        <v>245000</v>
      </c>
      <c r="S364" s="304">
        <f>IF(O364&lt;=IF($O364=0,0,SUMIFS(Disbursements!$W:$W,Disbursements!$B:$B,'Live Collections'!D172,Disbursements!$D:$D,'Live Collections'!F172)),O364,IF($O364=0,0,SUMIFS(Disbursements!$W:$W,Disbursements!$B:$B,'Live Collections'!D172,Disbursements!$D:$D,'Live Collections'!F172)))</f>
        <v>0</v>
      </c>
      <c r="T364" s="304">
        <f t="shared" si="18"/>
        <v>400000</v>
      </c>
      <c r="U364" s="52"/>
      <c r="V364" s="34"/>
      <c r="W364" s="408"/>
    </row>
    <row r="365" spans="1:23" ht="12.75" customHeight="1" x14ac:dyDescent="0.2">
      <c r="A365" s="257">
        <v>359</v>
      </c>
      <c r="B365" s="44">
        <v>44398</v>
      </c>
      <c r="C365" s="44">
        <f t="shared" si="16"/>
        <v>44398</v>
      </c>
      <c r="D365" s="374">
        <v>65</v>
      </c>
      <c r="E365" s="291" t="str">
        <f>IFERROR(VLOOKUP($D365,'Clients-Live'!$A:$C,3,0),"")</f>
        <v>NDAWULA GERALD</v>
      </c>
      <c r="F365" s="291">
        <f>IFERROR(INDEX(Disbursements!$D:$D,MATCH('Live Collections'!G365,Disbursements!$C:$C,0)),"")</f>
        <v>1</v>
      </c>
      <c r="G365" s="34">
        <v>47</v>
      </c>
      <c r="H365" s="34"/>
      <c r="I365" s="34" t="s">
        <v>1359</v>
      </c>
      <c r="J365" s="48"/>
      <c r="K365" s="48"/>
      <c r="L365" s="48"/>
      <c r="M365" s="48"/>
      <c r="N365" s="59"/>
      <c r="O365" s="59">
        <v>50000</v>
      </c>
      <c r="P365" s="59"/>
      <c r="Q365" s="268">
        <f t="shared" si="17"/>
        <v>50000</v>
      </c>
      <c r="R365" s="61">
        <f>IF(O365=0,0,SUMIFS(Disbursements!$T:$T,Disbursements!$B:$B,'Live Collections'!D365,Disbursements!$D:$D,'Live Collections'!F365))</f>
        <v>217000</v>
      </c>
      <c r="S365" s="304">
        <f>IF(O365&lt;=IF($O365=0,0,SUMIFS(Disbursements!$W:$W,Disbursements!$B:$B,'Live Collections'!D776,Disbursements!$D:$D,'Live Collections'!F776)),O365,IF($O365=0,0,SUMIFS(Disbursements!$W:$W,Disbursements!$B:$B,'Live Collections'!D776,Disbursements!$D:$D,'Live Collections'!F776)))</f>
        <v>40000</v>
      </c>
      <c r="T365" s="304">
        <f t="shared" si="18"/>
        <v>10000</v>
      </c>
      <c r="U365" s="52"/>
      <c r="V365" s="34"/>
      <c r="W365" s="408"/>
    </row>
    <row r="366" spans="1:23" ht="12.75" customHeight="1" x14ac:dyDescent="0.2">
      <c r="A366" s="132">
        <v>361</v>
      </c>
      <c r="B366" s="44">
        <v>44398</v>
      </c>
      <c r="C366" s="44">
        <f t="shared" si="16"/>
        <v>44398</v>
      </c>
      <c r="D366" s="374">
        <v>66</v>
      </c>
      <c r="E366" s="291" t="str">
        <f>IFERROR(VLOOKUP($D366,'Clients-Live'!$A:$C,3,0),"")</f>
        <v>DENAYA NYAMAZA</v>
      </c>
      <c r="F366" s="291">
        <f>IFERROR(INDEX(Disbursements!$D:$D,MATCH('Live Collections'!G366,Disbursements!$C:$C,0)),"")</f>
        <v>1</v>
      </c>
      <c r="G366" s="34">
        <v>53</v>
      </c>
      <c r="H366" s="34"/>
      <c r="I366" s="34" t="s">
        <v>1357</v>
      </c>
      <c r="J366" s="48"/>
      <c r="K366" s="48"/>
      <c r="L366" s="48"/>
      <c r="M366" s="48"/>
      <c r="N366" s="59"/>
      <c r="O366" s="59">
        <v>90000</v>
      </c>
      <c r="P366" s="59"/>
      <c r="Q366" s="268">
        <f t="shared" si="17"/>
        <v>90000</v>
      </c>
      <c r="R366" s="61">
        <f>IF(O366=0,0,SUMIFS(Disbursements!$T:$T,Disbursements!$B:$B,'Live Collections'!D366,Disbursements!$D:$D,'Live Collections'!F366))</f>
        <v>109000</v>
      </c>
      <c r="S366" s="304">
        <f>IF(O366&lt;=IF($O366=0,0,SUMIFS(Disbursements!$W:$W,Disbursements!$B:$B,'Live Collections'!D934,Disbursements!$D:$D,'Live Collections'!F934)),O366,IF($O366=0,0,SUMIFS(Disbursements!$W:$W,Disbursements!$B:$B,'Live Collections'!D934,Disbursements!$D:$D,'Live Collections'!F934)))</f>
        <v>30000</v>
      </c>
      <c r="T366" s="304">
        <f t="shared" si="18"/>
        <v>60000</v>
      </c>
      <c r="U366" s="52"/>
      <c r="V366" s="34"/>
      <c r="W366" s="408"/>
    </row>
    <row r="367" spans="1:23" ht="12.75" customHeight="1" x14ac:dyDescent="0.2">
      <c r="A367" s="257">
        <v>365</v>
      </c>
      <c r="B367" s="44">
        <v>44398</v>
      </c>
      <c r="C367" s="44">
        <f t="shared" si="16"/>
        <v>44398</v>
      </c>
      <c r="D367" s="374">
        <v>84</v>
      </c>
      <c r="E367" s="291" t="str">
        <f>IFERROR(VLOOKUP($D367,'Clients-Live'!$A:$C,3,0),"")</f>
        <v>OMEGA  CHARLES</v>
      </c>
      <c r="F367" s="291">
        <f>IFERROR(INDEX(Disbursements!$D:$D,MATCH('Live Collections'!G367,Disbursements!$C:$C,0)),"")</f>
        <v>1</v>
      </c>
      <c r="G367" s="34">
        <v>66</v>
      </c>
      <c r="H367" s="34"/>
      <c r="I367" s="34" t="s">
        <v>1359</v>
      </c>
      <c r="J367" s="48"/>
      <c r="K367" s="48"/>
      <c r="L367" s="48"/>
      <c r="M367" s="48"/>
      <c r="N367" s="59"/>
      <c r="O367" s="59">
        <v>410000</v>
      </c>
      <c r="P367" s="59"/>
      <c r="Q367" s="268">
        <f t="shared" si="17"/>
        <v>410000</v>
      </c>
      <c r="R367" s="61">
        <f>IF(O367=0,0,SUMIFS(Disbursements!$T:$T,Disbursements!$B:$B,'Live Collections'!D367,Disbursements!$D:$D,'Live Collections'!F367))</f>
        <v>434000</v>
      </c>
      <c r="S367" s="304">
        <f>IF(O367&lt;=IF($O367=0,0,SUMIFS(Disbursements!$W:$W,Disbursements!$B:$B,'Live Collections'!D1074,Disbursements!$D:$D,'Live Collections'!F1074)),O367,IF($O367=0,0,SUMIFS(Disbursements!$W:$W,Disbursements!$B:$B,'Live Collections'!D1074,Disbursements!$D:$D,'Live Collections'!F1074)))</f>
        <v>25000</v>
      </c>
      <c r="T367" s="304">
        <f t="shared" si="18"/>
        <v>385000</v>
      </c>
      <c r="U367" s="52"/>
      <c r="V367" s="34"/>
      <c r="W367" s="408"/>
    </row>
    <row r="368" spans="1:23" ht="12.75" customHeight="1" x14ac:dyDescent="0.2">
      <c r="A368" s="132">
        <v>364</v>
      </c>
      <c r="B368" s="44">
        <v>44398</v>
      </c>
      <c r="C368" s="44">
        <f t="shared" si="16"/>
        <v>44398</v>
      </c>
      <c r="D368" s="374">
        <v>109</v>
      </c>
      <c r="E368" s="291" t="str">
        <f>IFERROR(VLOOKUP($D368,'Clients-Live'!$A:$C,3,0),"")</f>
        <v>TABU KISA</v>
      </c>
      <c r="F368" s="291">
        <f>IFERROR(INDEX(Disbursements!$D:$D,MATCH('Live Collections'!G368,Disbursements!$C:$C,0)),"")</f>
        <v>1</v>
      </c>
      <c r="G368" s="34">
        <v>93</v>
      </c>
      <c r="H368" s="34"/>
      <c r="I368" s="34" t="s">
        <v>1357</v>
      </c>
      <c r="J368" s="48"/>
      <c r="K368" s="48"/>
      <c r="L368" s="48"/>
      <c r="M368" s="48"/>
      <c r="N368" s="59"/>
      <c r="O368" s="59">
        <v>40000</v>
      </c>
      <c r="P368" s="59"/>
      <c r="Q368" s="268">
        <f t="shared" si="17"/>
        <v>40000</v>
      </c>
      <c r="R368" s="61">
        <f>IF(O368=0,0,SUMIFS(Disbursements!$T:$T,Disbursements!$B:$B,'Live Collections'!D368,Disbursements!$D:$D,'Live Collections'!F368))</f>
        <v>315000</v>
      </c>
      <c r="S368" s="304">
        <f>IF(O368&lt;=IF($O368=0,0,SUMIFS(Disbursements!$W:$W,Disbursements!$B:$B,'Live Collections'!D1397,Disbursements!$D:$D,'Live Collections'!F1397)),O368,IF($O368=0,0,SUMIFS(Disbursements!$W:$W,Disbursements!$B:$B,'Live Collections'!D1397,Disbursements!$D:$D,'Live Collections'!F1397)))</f>
        <v>20666.666666666657</v>
      </c>
      <c r="T368" s="304">
        <f t="shared" si="18"/>
        <v>19333.333333333343</v>
      </c>
      <c r="U368" s="52"/>
      <c r="V368" s="34"/>
      <c r="W368" s="408"/>
    </row>
    <row r="369" spans="1:23" ht="12.75" customHeight="1" x14ac:dyDescent="0.2">
      <c r="A369" s="257">
        <v>354</v>
      </c>
      <c r="B369" s="44">
        <v>44398</v>
      </c>
      <c r="C369" s="44">
        <f t="shared" si="16"/>
        <v>44398</v>
      </c>
      <c r="D369" s="374">
        <v>138</v>
      </c>
      <c r="E369" s="291" t="str">
        <f>IFERROR(VLOOKUP($D369,'Clients-Live'!$A:$C,3,0),"")</f>
        <v>BEATRICE AMANDRU</v>
      </c>
      <c r="F369" s="291" t="str">
        <f>IFERROR(INDEX(Disbursements!$D:$D,MATCH('Live Collections'!G369,Disbursements!$C:$C,0)),"")</f>
        <v/>
      </c>
      <c r="G369" s="34"/>
      <c r="H369" s="34"/>
      <c r="I369" s="34" t="s">
        <v>1814</v>
      </c>
      <c r="J369" s="48">
        <v>15000</v>
      </c>
      <c r="K369" s="48">
        <v>5000</v>
      </c>
      <c r="L369" s="48"/>
      <c r="M369" s="48"/>
      <c r="N369" s="59"/>
      <c r="O369" s="59"/>
      <c r="P369" s="59"/>
      <c r="Q369" s="268">
        <f t="shared" si="17"/>
        <v>20000</v>
      </c>
      <c r="R369" s="61">
        <f>IF(O369=0,0,SUMIFS(Disbursements!$T:$T,Disbursements!$B:$B,'Live Collections'!D369,Disbursements!$D:$D,'Live Collections'!F369))</f>
        <v>0</v>
      </c>
      <c r="S369" s="304">
        <f>IF(O369&lt;=IF($O369=0,0,SUMIFS(Disbursements!$W:$W,Disbursements!$B:$B,'Live Collections'!D1739,Disbursements!$D:$D,'Live Collections'!F1739)),O369,IF($O369=0,0,SUMIFS(Disbursements!$W:$W,Disbursements!$B:$B,'Live Collections'!D1739,Disbursements!$D:$D,'Live Collections'!F1739)))</f>
        <v>0</v>
      </c>
      <c r="T369" s="304">
        <f t="shared" si="18"/>
        <v>0</v>
      </c>
      <c r="U369" s="52">
        <v>786824429</v>
      </c>
      <c r="V369" s="34"/>
      <c r="W369" s="408"/>
    </row>
    <row r="370" spans="1:23" ht="12.75" customHeight="1" x14ac:dyDescent="0.2">
      <c r="A370" s="132">
        <v>355</v>
      </c>
      <c r="B370" s="44">
        <v>44398</v>
      </c>
      <c r="C370" s="44">
        <f t="shared" si="16"/>
        <v>44398</v>
      </c>
      <c r="D370" s="374">
        <v>139</v>
      </c>
      <c r="E370" s="291" t="str">
        <f>IFERROR(VLOOKUP($D370,'Clients-Live'!$A:$C,3,0),"")</f>
        <v xml:space="preserve">DRICHIRU MAIMUNA </v>
      </c>
      <c r="F370" s="291" t="str">
        <f>IFERROR(INDEX(Disbursements!$D:$D,MATCH('Live Collections'!G370,Disbursements!$C:$C,0)),"")</f>
        <v/>
      </c>
      <c r="G370" s="34"/>
      <c r="H370" s="34"/>
      <c r="I370" s="34" t="s">
        <v>1814</v>
      </c>
      <c r="J370" s="48">
        <v>15000</v>
      </c>
      <c r="K370" s="48">
        <v>5000</v>
      </c>
      <c r="L370" s="48"/>
      <c r="M370" s="48"/>
      <c r="N370" s="59"/>
      <c r="O370" s="59"/>
      <c r="P370" s="59"/>
      <c r="Q370" s="268">
        <f t="shared" si="17"/>
        <v>20000</v>
      </c>
      <c r="R370" s="61">
        <f>IF(O370=0,0,SUMIFS(Disbursements!$T:$T,Disbursements!$B:$B,'Live Collections'!D370,Disbursements!$D:$D,'Live Collections'!F370))</f>
        <v>0</v>
      </c>
      <c r="S370" s="304">
        <f>IF(O370&lt;=IF($O370=0,0,SUMIFS(Disbursements!$W:$W,Disbursements!$B:$B,'Live Collections'!D1756,Disbursements!$D:$D,'Live Collections'!F1756)),O370,IF($O370=0,0,SUMIFS(Disbursements!$W:$W,Disbursements!$B:$B,'Live Collections'!D1756,Disbursements!$D:$D,'Live Collections'!F1756)))</f>
        <v>0</v>
      </c>
      <c r="T370" s="304">
        <f t="shared" si="18"/>
        <v>0</v>
      </c>
      <c r="U370" s="52">
        <v>782075383</v>
      </c>
      <c r="V370" s="34"/>
      <c r="W370" s="408"/>
    </row>
    <row r="371" spans="1:23" ht="12.75" customHeight="1" x14ac:dyDescent="0.2">
      <c r="A371" s="257">
        <v>356</v>
      </c>
      <c r="B371" s="44">
        <v>44398</v>
      </c>
      <c r="C371" s="44">
        <f t="shared" si="16"/>
        <v>44398</v>
      </c>
      <c r="D371" s="374">
        <v>140</v>
      </c>
      <c r="E371" s="291" t="str">
        <f>IFERROR(VLOOKUP($D371,'Clients-Live'!$A:$C,3,0),"")</f>
        <v>AYIKORU MARIAM</v>
      </c>
      <c r="F371" s="291" t="str">
        <f>IFERROR(INDEX(Disbursements!$D:$D,MATCH('Live Collections'!G371,Disbursements!$C:$C,0)),"")</f>
        <v/>
      </c>
      <c r="G371" s="34"/>
      <c r="H371" s="34"/>
      <c r="I371" s="34" t="s">
        <v>1814</v>
      </c>
      <c r="J371" s="48">
        <v>15000</v>
      </c>
      <c r="K371" s="48">
        <v>5000</v>
      </c>
      <c r="L371" s="48"/>
      <c r="M371" s="48"/>
      <c r="N371" s="59"/>
      <c r="O371" s="59"/>
      <c r="P371" s="59"/>
      <c r="Q371" s="268">
        <f t="shared" si="17"/>
        <v>20000</v>
      </c>
      <c r="R371" s="61">
        <f>IF(O371=0,0,SUMIFS(Disbursements!$T:$T,Disbursements!$B:$B,'Live Collections'!D371,Disbursements!$D:$D,'Live Collections'!F371))</f>
        <v>0</v>
      </c>
      <c r="S371" s="304">
        <f>IF(O371&lt;=IF($O371=0,0,SUMIFS(Disbursements!$W:$W,Disbursements!$B:$B,'Live Collections'!D1765,Disbursements!$D:$D,'Live Collections'!F1765)),O371,IF($O371=0,0,SUMIFS(Disbursements!$W:$W,Disbursements!$B:$B,'Live Collections'!D1765,Disbursements!$D:$D,'Live Collections'!F1765)))</f>
        <v>0</v>
      </c>
      <c r="T371" s="304">
        <f t="shared" si="18"/>
        <v>0</v>
      </c>
      <c r="U371" s="52">
        <v>780450864</v>
      </c>
      <c r="V371" s="34"/>
      <c r="W371" s="408"/>
    </row>
    <row r="372" spans="1:23" ht="12.75" customHeight="1" x14ac:dyDescent="0.2">
      <c r="A372" s="132">
        <v>357</v>
      </c>
      <c r="B372" s="44">
        <v>44398</v>
      </c>
      <c r="C372" s="44">
        <f t="shared" si="16"/>
        <v>44398</v>
      </c>
      <c r="D372" s="374">
        <v>141</v>
      </c>
      <c r="E372" s="291" t="str">
        <f>IFERROR(VLOOKUP($D372,'Clients-Live'!$A:$C,3,0),"")</f>
        <v>DRAMANI WILFRED</v>
      </c>
      <c r="F372" s="291" t="str">
        <f>IFERROR(INDEX(Disbursements!$D:$D,MATCH('Live Collections'!G372,Disbursements!$C:$C,0)),"")</f>
        <v/>
      </c>
      <c r="G372" s="34"/>
      <c r="H372" s="34"/>
      <c r="I372" s="34" t="s">
        <v>1814</v>
      </c>
      <c r="J372" s="48">
        <v>15000</v>
      </c>
      <c r="K372" s="48">
        <v>5000</v>
      </c>
      <c r="L372" s="48"/>
      <c r="M372" s="48"/>
      <c r="N372" s="59"/>
      <c r="O372" s="59"/>
      <c r="P372" s="59"/>
      <c r="Q372" s="268">
        <f t="shared" si="17"/>
        <v>20000</v>
      </c>
      <c r="R372" s="61">
        <f>IF(O372=0,0,SUMIFS(Disbursements!$T:$T,Disbursements!$B:$B,'Live Collections'!D372,Disbursements!$D:$D,'Live Collections'!F372))</f>
        <v>0</v>
      </c>
      <c r="S372" s="304">
        <f>IF(O372&lt;=IF($O372=0,0,SUMIFS(Disbursements!$W:$W,Disbursements!$B:$B,'Live Collections'!D1778,Disbursements!$D:$D,'Live Collections'!F1778)),O372,IF($O372=0,0,SUMIFS(Disbursements!$W:$W,Disbursements!$B:$B,'Live Collections'!D1778,Disbursements!$D:$D,'Live Collections'!F1778)))</f>
        <v>0</v>
      </c>
      <c r="T372" s="304">
        <f t="shared" si="18"/>
        <v>0</v>
      </c>
      <c r="U372" s="52">
        <v>782992325</v>
      </c>
      <c r="V372" s="34"/>
      <c r="W372" s="408"/>
    </row>
    <row r="373" spans="1:23" ht="12.75" customHeight="1" x14ac:dyDescent="0.2">
      <c r="A373" s="257">
        <v>358</v>
      </c>
      <c r="B373" s="44">
        <v>44398</v>
      </c>
      <c r="C373" s="44">
        <f t="shared" si="16"/>
        <v>44398</v>
      </c>
      <c r="D373" s="374">
        <v>142</v>
      </c>
      <c r="E373" s="291" t="str">
        <f>IFERROR(VLOOKUP($D373,'Clients-Live'!$A:$C,3,0),"")</f>
        <v>TABU MARY</v>
      </c>
      <c r="F373" s="291" t="str">
        <f>IFERROR(INDEX(Disbursements!$D:$D,MATCH('Live Collections'!G373,Disbursements!$C:$C,0)),"")</f>
        <v/>
      </c>
      <c r="G373" s="34"/>
      <c r="H373" s="34">
        <v>672</v>
      </c>
      <c r="I373" s="34" t="s">
        <v>1814</v>
      </c>
      <c r="J373" s="48">
        <v>15000</v>
      </c>
      <c r="K373" s="48">
        <v>5000</v>
      </c>
      <c r="L373" s="48"/>
      <c r="M373" s="48"/>
      <c r="N373" s="59"/>
      <c r="O373" s="59"/>
      <c r="P373" s="59"/>
      <c r="Q373" s="268">
        <f t="shared" si="17"/>
        <v>20000</v>
      </c>
      <c r="R373" s="61">
        <f>IF(O373=0,0,SUMIFS(Disbursements!$T:$T,Disbursements!$B:$B,'Live Collections'!D373,Disbursements!$D:$D,'Live Collections'!F373))</f>
        <v>0</v>
      </c>
      <c r="S373" s="304">
        <f>IF(O373&lt;=IF($O373=0,0,SUMIFS(Disbursements!$W:$W,Disbursements!$B:$B,'Live Collections'!D1791,Disbursements!$D:$D,'Live Collections'!F1791)),O373,IF($O373=0,0,SUMIFS(Disbursements!$W:$W,Disbursements!$B:$B,'Live Collections'!D1791,Disbursements!$D:$D,'Live Collections'!F1791)))</f>
        <v>0</v>
      </c>
      <c r="T373" s="304">
        <f t="shared" si="18"/>
        <v>0</v>
      </c>
      <c r="U373" s="52">
        <v>775329562</v>
      </c>
      <c r="V373" s="34"/>
      <c r="W373" s="408"/>
    </row>
    <row r="374" spans="1:23" ht="12.75" customHeight="1" x14ac:dyDescent="0.2">
      <c r="A374" s="132">
        <v>377</v>
      </c>
      <c r="B374" s="44">
        <v>44399</v>
      </c>
      <c r="C374" s="44">
        <f t="shared" si="16"/>
        <v>44399</v>
      </c>
      <c r="D374" s="374">
        <v>44</v>
      </c>
      <c r="E374" s="291" t="str">
        <f>IFERROR(VLOOKUP($D374,'Clients-Live'!$A:$C,3,0),"")</f>
        <v>CANDIRU HELLEN</v>
      </c>
      <c r="F374" s="291">
        <f>IFERROR(INDEX(Disbursements!$D:$D,MATCH('Live Collections'!G374,Disbursements!$C:$C,0)),"")</f>
        <v>1</v>
      </c>
      <c r="G374" s="34">
        <v>31</v>
      </c>
      <c r="H374" s="34"/>
      <c r="I374" s="34" t="s">
        <v>1358</v>
      </c>
      <c r="J374" s="48"/>
      <c r="K374" s="48"/>
      <c r="L374" s="48"/>
      <c r="M374" s="48"/>
      <c r="N374" s="59"/>
      <c r="O374" s="59">
        <v>445000</v>
      </c>
      <c r="P374" s="59"/>
      <c r="Q374" s="268">
        <f t="shared" si="17"/>
        <v>445000</v>
      </c>
      <c r="R374" s="61">
        <f>IF(O374=0,0,SUMIFS(Disbursements!$T:$T,Disbursements!$B:$B,'Live Collections'!D374,Disbursements!$D:$D,'Live Collections'!F374))</f>
        <v>150000</v>
      </c>
      <c r="S374" s="304"/>
      <c r="T374" s="304">
        <f t="shared" si="18"/>
        <v>445000</v>
      </c>
      <c r="U374" s="52"/>
      <c r="V374" s="34"/>
      <c r="W374" s="408"/>
    </row>
    <row r="375" spans="1:23" ht="12.75" customHeight="1" x14ac:dyDescent="0.2">
      <c r="A375" s="257">
        <v>378</v>
      </c>
      <c r="B375" s="44">
        <v>44399</v>
      </c>
      <c r="C375" s="44">
        <f t="shared" si="16"/>
        <v>44399</v>
      </c>
      <c r="D375" s="374">
        <v>47</v>
      </c>
      <c r="E375" s="291" t="str">
        <f>IFERROR(VLOOKUP($D375,'Clients-Live'!$A:$C,3,0),"")</f>
        <v>DAWA AMINA</v>
      </c>
      <c r="F375" s="291">
        <f>IFERROR(INDEX(Disbursements!$D:$D,MATCH('Live Collections'!G375,Disbursements!$C:$C,0)),"")</f>
        <v>1</v>
      </c>
      <c r="G375" s="34">
        <v>29</v>
      </c>
      <c r="H375" s="34"/>
      <c r="I375" s="34" t="s">
        <v>1357</v>
      </c>
      <c r="J375" s="48"/>
      <c r="K375" s="48"/>
      <c r="L375" s="48"/>
      <c r="M375" s="48"/>
      <c r="N375" s="59"/>
      <c r="O375" s="59">
        <v>40000</v>
      </c>
      <c r="P375" s="59"/>
      <c r="Q375" s="268">
        <f t="shared" si="17"/>
        <v>40000</v>
      </c>
      <c r="R375" s="61">
        <f>IF(O375=0,0,SUMIFS(Disbursements!$T:$T,Disbursements!$B:$B,'Live Collections'!D375,Disbursements!$D:$D,'Live Collections'!F375))</f>
        <v>0</v>
      </c>
      <c r="S375" s="304">
        <f>IF(O375&lt;=IF($O375=0,0,SUMIFS(Disbursements!$W:$W,Disbursements!$B:$B,'Live Collections'!D538,Disbursements!$D:$D,'Live Collections'!F538)),O375,IF($O375=0,0,SUMIFS(Disbursements!$W:$W,Disbursements!$B:$B,'Live Collections'!D538,Disbursements!$D:$D,'Live Collections'!F538)))</f>
        <v>40000</v>
      </c>
      <c r="T375" s="304">
        <f t="shared" si="18"/>
        <v>0</v>
      </c>
      <c r="U375" s="52"/>
      <c r="V375" s="34"/>
      <c r="W375" s="408"/>
    </row>
    <row r="376" spans="1:23" ht="12.75" customHeight="1" x14ac:dyDescent="0.2">
      <c r="A376" s="132">
        <v>374</v>
      </c>
      <c r="B376" s="44">
        <v>44399</v>
      </c>
      <c r="C376" s="44">
        <f t="shared" si="16"/>
        <v>44399</v>
      </c>
      <c r="D376" s="374">
        <v>58</v>
      </c>
      <c r="E376" s="291" t="str">
        <f>IFERROR(VLOOKUP($D376,'Clients-Live'!$A:$C,3,0),"")</f>
        <v xml:space="preserve">ALIRU AMINA </v>
      </c>
      <c r="F376" s="291">
        <f>IFERROR(INDEX(Disbursements!$D:$D,MATCH('Live Collections'!G376,Disbursements!$C:$C,0)),"")</f>
        <v>1</v>
      </c>
      <c r="G376" s="34">
        <v>46</v>
      </c>
      <c r="H376" s="34"/>
      <c r="I376" s="34" t="s">
        <v>1358</v>
      </c>
      <c r="J376" s="48"/>
      <c r="K376" s="48"/>
      <c r="L376" s="48"/>
      <c r="M376" s="48"/>
      <c r="N376" s="59"/>
      <c r="O376" s="59">
        <v>200000</v>
      </c>
      <c r="P376" s="59"/>
      <c r="Q376" s="268">
        <f t="shared" si="17"/>
        <v>200000</v>
      </c>
      <c r="R376" s="61">
        <f>IF(O376=0,0,SUMIFS(Disbursements!$T:$T,Disbursements!$B:$B,'Live Collections'!D376,Disbursements!$D:$D,'Live Collections'!F376))</f>
        <v>180000</v>
      </c>
      <c r="S376" s="304">
        <f>IF(O376&lt;=IF($O376=0,0,SUMIFS(Disbursements!$W:$W,Disbursements!$B:$B,'Live Collections'!D688,Disbursements!$D:$D,'Live Collections'!F688)),O376,IF($O376=0,0,SUMIFS(Disbursements!$W:$W,Disbursements!$B:$B,'Live Collections'!D688,Disbursements!$D:$D,'Live Collections'!F688)))</f>
        <v>15000</v>
      </c>
      <c r="T376" s="304">
        <f t="shared" si="18"/>
        <v>185000</v>
      </c>
      <c r="U376" s="52"/>
      <c r="V376" s="34"/>
      <c r="W376" s="408"/>
    </row>
    <row r="377" spans="1:23" ht="12.75" customHeight="1" x14ac:dyDescent="0.2">
      <c r="A377" s="257">
        <v>376</v>
      </c>
      <c r="B377" s="44">
        <v>44399</v>
      </c>
      <c r="C377" s="44">
        <f t="shared" si="16"/>
        <v>44399</v>
      </c>
      <c r="D377" s="374">
        <v>81</v>
      </c>
      <c r="E377" s="291" t="str">
        <f>IFERROR(VLOOKUP($D377,'Clients-Live'!$A:$C,3,0),"")</f>
        <v>ADAM ZAITUN</v>
      </c>
      <c r="F377" s="291">
        <f>IFERROR(INDEX(Disbursements!$D:$D,MATCH('Live Collections'!G377,Disbursements!$C:$C,0)),"")</f>
        <v>1</v>
      </c>
      <c r="G377" s="34">
        <v>65</v>
      </c>
      <c r="H377" s="34"/>
      <c r="I377" s="34" t="s">
        <v>1358</v>
      </c>
      <c r="J377" s="48"/>
      <c r="K377" s="48"/>
      <c r="L377" s="48"/>
      <c r="M377" s="48"/>
      <c r="N377" s="59"/>
      <c r="O377" s="59">
        <v>100000</v>
      </c>
      <c r="P377" s="59"/>
      <c r="Q377" s="268">
        <f t="shared" si="17"/>
        <v>100000</v>
      </c>
      <c r="R377" s="61">
        <f>IF(O377=0,0,SUMIFS(Disbursements!$T:$T,Disbursements!$B:$B,'Live Collections'!D377,Disbursements!$D:$D,'Live Collections'!F377))</f>
        <v>217000</v>
      </c>
      <c r="S377" s="304">
        <f>IF(O377&lt;=IF($O377=0,0,SUMIFS(Disbursements!$W:$W,Disbursements!$B:$B,'Live Collections'!D1046,Disbursements!$D:$D,'Live Collections'!F1046)),O377,IF($O377=0,0,SUMIFS(Disbursements!$W:$W,Disbursements!$B:$B,'Live Collections'!D1046,Disbursements!$D:$D,'Live Collections'!F1046)))</f>
        <v>35000</v>
      </c>
      <c r="T377" s="304">
        <f t="shared" si="18"/>
        <v>65000</v>
      </c>
      <c r="U377" s="52"/>
      <c r="V377" s="34"/>
      <c r="W377" s="408"/>
    </row>
    <row r="378" spans="1:23" ht="12.75" customHeight="1" x14ac:dyDescent="0.2">
      <c r="A378" s="132">
        <v>375</v>
      </c>
      <c r="B378" s="44">
        <v>44399</v>
      </c>
      <c r="C378" s="44">
        <f t="shared" si="16"/>
        <v>44399</v>
      </c>
      <c r="D378" s="374">
        <v>87</v>
      </c>
      <c r="E378" s="291" t="str">
        <f>IFERROR(VLOOKUP($D378,'Clients-Live'!$A:$C,3,0),"")</f>
        <v>FAIDA ZUBEDA</v>
      </c>
      <c r="F378" s="291">
        <f>IFERROR(INDEX(Disbursements!$D:$D,MATCH('Live Collections'!G378,Disbursements!$C:$C,0)),"")</f>
        <v>1</v>
      </c>
      <c r="G378" s="34">
        <v>70</v>
      </c>
      <c r="H378" s="34"/>
      <c r="I378" s="34" t="s">
        <v>1358</v>
      </c>
      <c r="J378" s="48"/>
      <c r="K378" s="48"/>
      <c r="L378" s="48"/>
      <c r="M378" s="48"/>
      <c r="N378" s="59"/>
      <c r="O378" s="59">
        <v>80000</v>
      </c>
      <c r="P378" s="59"/>
      <c r="Q378" s="268">
        <f t="shared" si="17"/>
        <v>80000</v>
      </c>
      <c r="R378" s="61">
        <f>IF(O378=0,0,SUMIFS(Disbursements!$T:$T,Disbursements!$B:$B,'Live Collections'!D378,Disbursements!$D:$D,'Live Collections'!F378))</f>
        <v>175000</v>
      </c>
      <c r="S378" s="304">
        <f>IF(O378&lt;=IF($O378=0,0,SUMIFS(Disbursements!$W:$W,Disbursements!$B:$B,'Live Collections'!D1125,Disbursements!$D:$D,'Live Collections'!F1125)),O378,IF($O378=0,0,SUMIFS(Disbursements!$W:$W,Disbursements!$B:$B,'Live Collections'!D1125,Disbursements!$D:$D,'Live Collections'!F1125)))</f>
        <v>80000</v>
      </c>
      <c r="T378" s="304">
        <f t="shared" si="18"/>
        <v>0</v>
      </c>
      <c r="U378" s="52"/>
      <c r="V378" s="34"/>
      <c r="W378" s="408"/>
    </row>
    <row r="379" spans="1:23" ht="12.75" customHeight="1" x14ac:dyDescent="0.2">
      <c r="A379" s="257">
        <v>370</v>
      </c>
      <c r="B379" s="44">
        <v>44399</v>
      </c>
      <c r="C379" s="44">
        <f t="shared" si="16"/>
        <v>44399</v>
      </c>
      <c r="D379" s="374">
        <v>138</v>
      </c>
      <c r="E379" s="291" t="str">
        <f>IFERROR(VLOOKUP($D379,'Clients-Live'!$A:$C,3,0),"")</f>
        <v>BEATRICE AMANDRU</v>
      </c>
      <c r="F379" s="291">
        <f>IFERROR(INDEX(Disbursements!$D:$D,MATCH('Live Collections'!G379,Disbursements!$C:$C,0)),"")</f>
        <v>1</v>
      </c>
      <c r="G379" s="34">
        <v>126</v>
      </c>
      <c r="H379" s="34"/>
      <c r="I379" s="34" t="s">
        <v>864</v>
      </c>
      <c r="J379" s="48"/>
      <c r="K379" s="48"/>
      <c r="L379" s="48">
        <v>10000</v>
      </c>
      <c r="M379" s="48">
        <v>5000</v>
      </c>
      <c r="N379" s="59"/>
      <c r="O379" s="59"/>
      <c r="P379" s="59">
        <v>60000</v>
      </c>
      <c r="Q379" s="268">
        <f t="shared" si="17"/>
        <v>75000</v>
      </c>
      <c r="R379" s="61">
        <f>IF(O379=0,0,SUMIFS(Disbursements!$T:$T,Disbursements!$B:$B,'Live Collections'!D379,Disbursements!$D:$D,'Live Collections'!F379))</f>
        <v>0</v>
      </c>
      <c r="S379" s="304">
        <f>IF(O379&lt;=IF($O379=0,0,SUMIFS(Disbursements!$W:$W,Disbursements!$B:$B,'Live Collections'!D1740,Disbursements!$D:$D,'Live Collections'!F1740)),O379,IF($O379=0,0,SUMIFS(Disbursements!$W:$W,Disbursements!$B:$B,'Live Collections'!D1740,Disbursements!$D:$D,'Live Collections'!F1740)))</f>
        <v>0</v>
      </c>
      <c r="T379" s="304">
        <f t="shared" si="18"/>
        <v>0</v>
      </c>
      <c r="U379" s="52"/>
      <c r="V379" s="34"/>
      <c r="W379" s="408"/>
    </row>
    <row r="380" spans="1:23" ht="12.75" customHeight="1" x14ac:dyDescent="0.2">
      <c r="A380" s="132">
        <v>371</v>
      </c>
      <c r="B380" s="44">
        <v>44399</v>
      </c>
      <c r="C380" s="44">
        <f t="shared" si="16"/>
        <v>44399</v>
      </c>
      <c r="D380" s="374">
        <v>139</v>
      </c>
      <c r="E380" s="291" t="str">
        <f>IFERROR(VLOOKUP($D380,'Clients-Live'!$A:$C,3,0),"")</f>
        <v xml:space="preserve">DRICHIRU MAIMUNA </v>
      </c>
      <c r="F380" s="291">
        <f>IFERROR(INDEX(Disbursements!$D:$D,MATCH('Live Collections'!G380,Disbursements!$C:$C,0)),"")</f>
        <v>1</v>
      </c>
      <c r="G380" s="34">
        <v>123</v>
      </c>
      <c r="H380" s="34">
        <v>687</v>
      </c>
      <c r="I380" s="34" t="s">
        <v>862</v>
      </c>
      <c r="J380" s="48"/>
      <c r="K380" s="48"/>
      <c r="L380" s="48">
        <v>10000</v>
      </c>
      <c r="M380" s="48">
        <v>5000</v>
      </c>
      <c r="N380" s="59"/>
      <c r="O380" s="59"/>
      <c r="P380" s="59">
        <v>30000</v>
      </c>
      <c r="Q380" s="268">
        <f t="shared" si="17"/>
        <v>45000</v>
      </c>
      <c r="R380" s="61">
        <f>IF(O380=0,0,SUMIFS(Disbursements!$T:$T,Disbursements!$B:$B,'Live Collections'!D380,Disbursements!$D:$D,'Live Collections'!F380))</f>
        <v>0</v>
      </c>
      <c r="S380" s="304">
        <f>IF(O380&lt;=IF($O380=0,0,SUMIFS(Disbursements!$W:$W,Disbursements!$B:$B,'Live Collections'!D1757,Disbursements!$D:$D,'Live Collections'!F1757)),O380,IF($O380=0,0,SUMIFS(Disbursements!$W:$W,Disbursements!$B:$B,'Live Collections'!D1757,Disbursements!$D:$D,'Live Collections'!F1757)))</f>
        <v>0</v>
      </c>
      <c r="T380" s="304">
        <f t="shared" si="18"/>
        <v>0</v>
      </c>
      <c r="U380" s="52"/>
      <c r="V380" s="34"/>
      <c r="W380" s="408"/>
    </row>
    <row r="381" spans="1:23" ht="12.75" customHeight="1" x14ac:dyDescent="0.2">
      <c r="A381" s="257">
        <v>372</v>
      </c>
      <c r="B381" s="44">
        <v>44399</v>
      </c>
      <c r="C381" s="44">
        <f t="shared" si="16"/>
        <v>44399</v>
      </c>
      <c r="D381" s="374">
        <v>140</v>
      </c>
      <c r="E381" s="291" t="str">
        <f>IFERROR(VLOOKUP($D381,'Clients-Live'!$A:$C,3,0),"")</f>
        <v>AYIKORU MARIAM</v>
      </c>
      <c r="F381" s="291">
        <f>IFERROR(INDEX(Disbursements!$D:$D,MATCH('Live Collections'!G381,Disbursements!$C:$C,0)),"")</f>
        <v>1</v>
      </c>
      <c r="G381" s="34">
        <v>125</v>
      </c>
      <c r="H381" s="34"/>
      <c r="I381" s="34" t="s">
        <v>863</v>
      </c>
      <c r="J381" s="48"/>
      <c r="K381" s="48"/>
      <c r="L381" s="48">
        <v>10000</v>
      </c>
      <c r="M381" s="48">
        <v>5000</v>
      </c>
      <c r="N381" s="59"/>
      <c r="O381" s="59"/>
      <c r="P381" s="59">
        <v>50000</v>
      </c>
      <c r="Q381" s="268">
        <f t="shared" si="17"/>
        <v>65000</v>
      </c>
      <c r="R381" s="61">
        <f>IF(O381=0,0,SUMIFS(Disbursements!$T:$T,Disbursements!$B:$B,'Live Collections'!D381,Disbursements!$D:$D,'Live Collections'!F381))</f>
        <v>0</v>
      </c>
      <c r="S381" s="304">
        <f>IF(O381&lt;=IF($O381=0,0,SUMIFS(Disbursements!$W:$W,Disbursements!$B:$B,'Live Collections'!D1766,Disbursements!$D:$D,'Live Collections'!F1766)),O381,IF($O381=0,0,SUMIFS(Disbursements!$W:$W,Disbursements!$B:$B,'Live Collections'!D1766,Disbursements!$D:$D,'Live Collections'!F1766)))</f>
        <v>0</v>
      </c>
      <c r="T381" s="304">
        <f t="shared" si="18"/>
        <v>0</v>
      </c>
      <c r="U381" s="52"/>
      <c r="V381" s="34"/>
      <c r="W381" s="408"/>
    </row>
    <row r="382" spans="1:23" ht="12.75" customHeight="1" x14ac:dyDescent="0.2">
      <c r="A382" s="132">
        <v>373</v>
      </c>
      <c r="B382" s="44">
        <v>44399</v>
      </c>
      <c r="C382" s="44">
        <f t="shared" si="16"/>
        <v>44399</v>
      </c>
      <c r="D382" s="374">
        <v>141</v>
      </c>
      <c r="E382" s="291" t="str">
        <f>IFERROR(VLOOKUP($D382,'Clients-Live'!$A:$C,3,0),"")</f>
        <v>DRAMANI WILFRED</v>
      </c>
      <c r="F382" s="291">
        <v>1</v>
      </c>
      <c r="G382" s="34">
        <v>124</v>
      </c>
      <c r="H382" s="34"/>
      <c r="I382" s="34" t="s">
        <v>862</v>
      </c>
      <c r="J382" s="48"/>
      <c r="K382" s="48"/>
      <c r="L382" s="48">
        <v>10000</v>
      </c>
      <c r="M382" s="48">
        <v>5000</v>
      </c>
      <c r="N382" s="59"/>
      <c r="O382" s="59"/>
      <c r="P382" s="59">
        <v>40000</v>
      </c>
      <c r="Q382" s="268">
        <f t="shared" si="17"/>
        <v>55000</v>
      </c>
      <c r="R382" s="61">
        <f>IF(O382=0,0,SUMIFS(Disbursements!$T:$T,Disbursements!$B:$B,'Live Collections'!D382,Disbursements!$D:$D,'Live Collections'!F382))</f>
        <v>0</v>
      </c>
      <c r="S382" s="304">
        <f>IF(O382&lt;=IF($O382=0,0,SUMIFS(Disbursements!$W:$W,Disbursements!$B:$B,'Live Collections'!D1779,Disbursements!$D:$D,'Live Collections'!F1779)),O382,IF($O382=0,0,SUMIFS(Disbursements!$W:$W,Disbursements!$B:$B,'Live Collections'!D1779,Disbursements!$D:$D,'Live Collections'!F1779)))</f>
        <v>0</v>
      </c>
      <c r="T382" s="304">
        <f t="shared" si="18"/>
        <v>0</v>
      </c>
      <c r="U382" s="52"/>
      <c r="V382" s="34"/>
      <c r="W382" s="408"/>
    </row>
    <row r="383" spans="1:23" ht="12.75" customHeight="1" x14ac:dyDescent="0.2">
      <c r="A383" s="257">
        <v>366</v>
      </c>
      <c r="B383" s="44">
        <v>44399</v>
      </c>
      <c r="C383" s="44">
        <f t="shared" si="16"/>
        <v>44399</v>
      </c>
      <c r="D383" s="374">
        <v>143</v>
      </c>
      <c r="E383" s="291" t="str">
        <f>IFERROR(VLOOKUP($D383,'Clients-Live'!$A:$C,3,0),"")</f>
        <v>MORO HAKIM</v>
      </c>
      <c r="F383" s="291" t="str">
        <f>IFERROR(INDEX(Disbursements!$D:$D,MATCH('Live Collections'!G383,Disbursements!$C:$C,0)),"")</f>
        <v/>
      </c>
      <c r="G383" s="34"/>
      <c r="H383" s="34"/>
      <c r="I383" s="34" t="s">
        <v>1814</v>
      </c>
      <c r="J383" s="48">
        <v>15000</v>
      </c>
      <c r="K383" s="48">
        <v>5000</v>
      </c>
      <c r="L383" s="48"/>
      <c r="M383" s="48"/>
      <c r="N383" s="59"/>
      <c r="O383" s="59"/>
      <c r="P383" s="59"/>
      <c r="Q383" s="268">
        <f t="shared" si="17"/>
        <v>20000</v>
      </c>
      <c r="R383" s="61">
        <f>IF(O383=0,0,SUMIFS(Disbursements!$T:$T,Disbursements!$B:$B,'Live Collections'!D383,Disbursements!$D:$D,'Live Collections'!F383))</f>
        <v>0</v>
      </c>
      <c r="S383" s="304">
        <f>IF(O383&lt;=IF($O383=0,0,SUMIFS(Disbursements!$W:$W,Disbursements!$B:$B,'Live Collections'!D1804,Disbursements!$D:$D,'Live Collections'!F1804)),O383,IF($O383=0,0,SUMIFS(Disbursements!$W:$W,Disbursements!$B:$B,'Live Collections'!D1804,Disbursements!$D:$D,'Live Collections'!F1804)))</f>
        <v>0</v>
      </c>
      <c r="T383" s="304">
        <f t="shared" si="18"/>
        <v>0</v>
      </c>
      <c r="U383" s="52">
        <v>779321449</v>
      </c>
      <c r="V383" s="34"/>
      <c r="W383" s="408"/>
    </row>
    <row r="384" spans="1:23" ht="12.75" customHeight="1" x14ac:dyDescent="0.2">
      <c r="A384" s="132">
        <v>367</v>
      </c>
      <c r="B384" s="44">
        <v>44399</v>
      </c>
      <c r="C384" s="44">
        <f t="shared" si="16"/>
        <v>44399</v>
      </c>
      <c r="D384" s="374">
        <v>144</v>
      </c>
      <c r="E384" s="291" t="str">
        <f>IFERROR(VLOOKUP($D384,'Clients-Live'!$A:$C,3,0),"")</f>
        <v>GBENINGA RUKIA</v>
      </c>
      <c r="F384" s="291" t="str">
        <f>IFERROR(INDEX(Disbursements!$D:$D,MATCH('Live Collections'!G384,Disbursements!$C:$C,0)),"")</f>
        <v/>
      </c>
      <c r="G384" s="34"/>
      <c r="H384" s="34"/>
      <c r="I384" s="34" t="s">
        <v>1814</v>
      </c>
      <c r="J384" s="48">
        <v>15000</v>
      </c>
      <c r="K384" s="48">
        <v>5000</v>
      </c>
      <c r="L384" s="48"/>
      <c r="M384" s="48"/>
      <c r="N384" s="59"/>
      <c r="O384" s="59"/>
      <c r="P384" s="59"/>
      <c r="Q384" s="268">
        <f t="shared" si="17"/>
        <v>20000</v>
      </c>
      <c r="R384" s="61">
        <f>IF(O384=0,0,SUMIFS(Disbursements!$T:$T,Disbursements!$B:$B,'Live Collections'!D384,Disbursements!$D:$D,'Live Collections'!F384))</f>
        <v>0</v>
      </c>
      <c r="S384" s="304">
        <f>IF(O384&lt;=IF($O384=0,0,SUMIFS(Disbursements!$W:$W,Disbursements!$B:$B,'Live Collections'!D1816,Disbursements!$D:$D,'Live Collections'!F1816)),O384,IF($O384=0,0,SUMIFS(Disbursements!$W:$W,Disbursements!$B:$B,'Live Collections'!D1816,Disbursements!$D:$D,'Live Collections'!F1816)))</f>
        <v>0</v>
      </c>
      <c r="T384" s="304">
        <f t="shared" si="18"/>
        <v>0</v>
      </c>
      <c r="U384" s="52">
        <v>777091422</v>
      </c>
      <c r="V384" s="34"/>
      <c r="W384" s="408"/>
    </row>
    <row r="385" spans="1:23" ht="12.75" customHeight="1" x14ac:dyDescent="0.2">
      <c r="A385" s="257">
        <v>368</v>
      </c>
      <c r="B385" s="44">
        <v>44399</v>
      </c>
      <c r="C385" s="44">
        <f t="shared" si="16"/>
        <v>44399</v>
      </c>
      <c r="D385" s="374">
        <v>145</v>
      </c>
      <c r="E385" s="291" t="str">
        <f>IFERROR(VLOOKUP($D385,'Clients-Live'!$A:$C,3,0),"")</f>
        <v>NIGHT ASARA</v>
      </c>
      <c r="F385" s="291" t="str">
        <f>IFERROR(INDEX(Disbursements!$D:$D,MATCH('Live Collections'!G385,Disbursements!$C:$C,0)),"")</f>
        <v/>
      </c>
      <c r="G385" s="34"/>
      <c r="H385" s="34"/>
      <c r="I385" s="34" t="s">
        <v>1814</v>
      </c>
      <c r="J385" s="48">
        <v>15000</v>
      </c>
      <c r="K385" s="48">
        <v>5000</v>
      </c>
      <c r="L385" s="48"/>
      <c r="M385" s="48"/>
      <c r="N385" s="59"/>
      <c r="O385" s="59"/>
      <c r="P385" s="59"/>
      <c r="Q385" s="268">
        <f t="shared" si="17"/>
        <v>20000</v>
      </c>
      <c r="R385" s="61">
        <f>IF(O385=0,0,SUMIFS(Disbursements!$T:$T,Disbursements!$B:$B,'Live Collections'!D385,Disbursements!$D:$D,'Live Collections'!F385))</f>
        <v>0</v>
      </c>
      <c r="S385" s="304">
        <f>IF(O385&lt;=IF($O385=0,0,SUMIFS(Disbursements!$W:$W,Disbursements!$B:$B,'Live Collections'!D1825,Disbursements!$D:$D,'Live Collections'!F1825)),O385,IF($O385=0,0,SUMIFS(Disbursements!$W:$W,Disbursements!$B:$B,'Live Collections'!D1825,Disbursements!$D:$D,'Live Collections'!F1825)))</f>
        <v>0</v>
      </c>
      <c r="T385" s="304">
        <f t="shared" si="18"/>
        <v>0</v>
      </c>
      <c r="U385" s="52">
        <v>777785607</v>
      </c>
      <c r="V385" s="34"/>
      <c r="W385" s="408"/>
    </row>
    <row r="386" spans="1:23" ht="12.75" customHeight="1" x14ac:dyDescent="0.2">
      <c r="A386" s="132">
        <v>369</v>
      </c>
      <c r="B386" s="44">
        <v>44399</v>
      </c>
      <c r="C386" s="44">
        <f t="shared" si="16"/>
        <v>44399</v>
      </c>
      <c r="D386" s="374">
        <v>146</v>
      </c>
      <c r="E386" s="291" t="str">
        <f>IFERROR(VLOOKUP($D386,'Clients-Live'!$A:$C,3,0),"")</f>
        <v>IMBIRA AISHA</v>
      </c>
      <c r="F386" s="291" t="str">
        <f>IFERROR(INDEX(Disbursements!$D:$D,MATCH('Live Collections'!G386,Disbursements!$C:$C,0)),"")</f>
        <v/>
      </c>
      <c r="G386" s="34"/>
      <c r="H386" s="34"/>
      <c r="I386" s="34" t="s">
        <v>1814</v>
      </c>
      <c r="J386" s="48">
        <v>15000</v>
      </c>
      <c r="K386" s="48">
        <v>5000</v>
      </c>
      <c r="L386" s="48"/>
      <c r="M386" s="48"/>
      <c r="N386" s="59"/>
      <c r="O386" s="59"/>
      <c r="P386" s="59"/>
      <c r="Q386" s="268">
        <f t="shared" si="17"/>
        <v>20000</v>
      </c>
      <c r="R386" s="61">
        <f>IF(O386=0,0,SUMIFS(Disbursements!$T:$T,Disbursements!$B:$B,'Live Collections'!D386,Disbursements!$D:$D,'Live Collections'!F386))</f>
        <v>0</v>
      </c>
      <c r="S386" s="304">
        <f>IF(O386&lt;=IF($O386=0,0,SUMIFS(Disbursements!$W:$W,Disbursements!$B:$B,'Live Collections'!D1839,Disbursements!$D:$D,'Live Collections'!F1839)),O386,IF($O386=0,0,SUMIFS(Disbursements!$W:$W,Disbursements!$B:$B,'Live Collections'!D1839,Disbursements!$D:$D,'Live Collections'!F1839)))</f>
        <v>0</v>
      </c>
      <c r="T386" s="304">
        <f t="shared" si="18"/>
        <v>0</v>
      </c>
      <c r="U386" s="52">
        <v>776471601</v>
      </c>
      <c r="V386" s="34"/>
      <c r="W386" s="408"/>
    </row>
    <row r="387" spans="1:23" ht="12.75" customHeight="1" x14ac:dyDescent="0.2">
      <c r="A387" s="257">
        <v>382</v>
      </c>
      <c r="B387" s="44">
        <v>44400</v>
      </c>
      <c r="C387" s="44">
        <f t="shared" si="16"/>
        <v>44400</v>
      </c>
      <c r="D387" s="374">
        <v>6</v>
      </c>
      <c r="E387" s="291" t="str">
        <f>IFERROR(VLOOKUP($D387,'Clients-Live'!$A:$C,3,0),"")</f>
        <v>AMUTE BASHIR</v>
      </c>
      <c r="F387" s="291">
        <f>IFERROR(INDEX(Disbursements!$D:$D,MATCH('Live Collections'!G387,Disbursements!$C:$C,0)),"")</f>
        <v>2</v>
      </c>
      <c r="G387" s="34">
        <v>100</v>
      </c>
      <c r="H387" s="34">
        <v>695</v>
      </c>
      <c r="I387" s="34" t="s">
        <v>1358</v>
      </c>
      <c r="J387" s="48"/>
      <c r="K387" s="48"/>
      <c r="L387" s="48"/>
      <c r="M387" s="48"/>
      <c r="N387" s="59"/>
      <c r="O387" s="59">
        <v>100000</v>
      </c>
      <c r="P387" s="59"/>
      <c r="Q387" s="268">
        <f t="shared" si="17"/>
        <v>100000</v>
      </c>
      <c r="R387" s="61">
        <f>IF(O387=0,0,SUMIFS(Disbursements!$T:$T,Disbursements!$B:$B,'Live Collections'!D387,Disbursements!$D:$D,'Live Collections'!F387))</f>
        <v>1300000</v>
      </c>
      <c r="S387" s="304">
        <f>IF(O387&lt;=IF($O387=0,0,SUMIFS(Disbursements!$W:$W,Disbursements!$B:$B,'Live Collections'!D47,Disbursements!$D:$D,'Live Collections'!F47)),O387,IF($O387=0,0,SUMIFS(Disbursements!$W:$W,Disbursements!$B:$B,'Live Collections'!D47,Disbursements!$D:$D,'Live Collections'!F47)))</f>
        <v>15000</v>
      </c>
      <c r="T387" s="304">
        <f t="shared" si="18"/>
        <v>85000</v>
      </c>
      <c r="U387" s="52"/>
      <c r="V387" s="34"/>
      <c r="W387" s="408"/>
    </row>
    <row r="388" spans="1:23" ht="12.75" customHeight="1" x14ac:dyDescent="0.2">
      <c r="A388" s="132">
        <v>384</v>
      </c>
      <c r="B388" s="44">
        <v>44400</v>
      </c>
      <c r="C388" s="44">
        <f t="shared" si="16"/>
        <v>44400</v>
      </c>
      <c r="D388" s="374">
        <v>17</v>
      </c>
      <c r="E388" s="291" t="str">
        <f>IFERROR(VLOOKUP($D388,'Clients-Live'!$A:$C,3,0),"")</f>
        <v>MAMBU BAYI</v>
      </c>
      <c r="F388" s="291">
        <f>IFERROR(INDEX(Disbursements!$D:$D,MATCH('Live Collections'!G388,Disbursements!$C:$C,0)),"")</f>
        <v>1</v>
      </c>
      <c r="G388" s="34">
        <v>7</v>
      </c>
      <c r="H388" s="34"/>
      <c r="I388" s="34" t="s">
        <v>1357</v>
      </c>
      <c r="J388" s="48"/>
      <c r="K388" s="48"/>
      <c r="L388" s="48"/>
      <c r="M388" s="48"/>
      <c r="N388" s="59"/>
      <c r="O388" s="59">
        <v>150000</v>
      </c>
      <c r="P388" s="59"/>
      <c r="Q388" s="268">
        <f t="shared" si="17"/>
        <v>150000</v>
      </c>
      <c r="R388" s="61">
        <f>IF(O388=0,0,SUMIFS(Disbursements!$T:$T,Disbursements!$B:$B,'Live Collections'!D388,Disbursements!$D:$D,'Live Collections'!F388))</f>
        <v>325000</v>
      </c>
      <c r="S388" s="304">
        <f>IF(O388&lt;=IF($O388=0,0,SUMIFS(Disbursements!$W:$W,Disbursements!$B:$B,'Live Collections'!D531,Disbursements!$D:$D,'Live Collections'!F531)),O388,IF($O388=0,0,SUMIFS(Disbursements!$W:$W,Disbursements!$B:$B,'Live Collections'!D531,Disbursements!$D:$D,'Live Collections'!F531)))</f>
        <v>50333.333333333343</v>
      </c>
      <c r="T388" s="304">
        <f t="shared" si="18"/>
        <v>99666.666666666657</v>
      </c>
      <c r="U388" s="52"/>
      <c r="V388" s="34"/>
      <c r="W388" s="408"/>
    </row>
    <row r="389" spans="1:23" ht="12.75" customHeight="1" x14ac:dyDescent="0.2">
      <c r="A389" s="257">
        <v>383</v>
      </c>
      <c r="B389" s="44">
        <v>44400</v>
      </c>
      <c r="C389" s="44">
        <f t="shared" si="16"/>
        <v>44400</v>
      </c>
      <c r="D389" s="374">
        <v>33</v>
      </c>
      <c r="E389" s="291" t="str">
        <f>IFERROR(VLOOKUP($D389,'Clients-Live'!$A:$C,3,0),"")</f>
        <v>MUZEE OMAR</v>
      </c>
      <c r="F389" s="291">
        <f>IFERROR(INDEX(Disbursements!$D:$D,MATCH('Live Collections'!G389,Disbursements!$C:$C,0)),"")</f>
        <v>1</v>
      </c>
      <c r="G389" s="34">
        <v>26</v>
      </c>
      <c r="H389" s="34">
        <v>694</v>
      </c>
      <c r="I389" s="34" t="s">
        <v>1357</v>
      </c>
      <c r="J389" s="48"/>
      <c r="K389" s="48"/>
      <c r="L389" s="48"/>
      <c r="M389" s="48"/>
      <c r="N389" s="59"/>
      <c r="O389" s="59">
        <v>55000</v>
      </c>
      <c r="P389" s="59"/>
      <c r="Q389" s="268">
        <f t="shared" si="17"/>
        <v>55000</v>
      </c>
      <c r="R389" s="61">
        <f>IF(O389=0,0,SUMIFS(Disbursements!$T:$T,Disbursements!$B:$B,'Live Collections'!D389,Disbursements!$D:$D,'Live Collections'!F389))</f>
        <v>109000</v>
      </c>
      <c r="S389" s="304">
        <f>IF(O389&lt;=IF($O389=0,0,SUMIFS(Disbursements!$W:$W,Disbursements!$B:$B,'Live Collections'!D382,Disbursements!$D:$D,'Live Collections'!F382)),O389,IF($O389=0,0,SUMIFS(Disbursements!$W:$W,Disbursements!$B:$B,'Live Collections'!D382,Disbursements!$D:$D,'Live Collections'!F382)))</f>
        <v>20666.666666666657</v>
      </c>
      <c r="T389" s="304">
        <f t="shared" si="18"/>
        <v>34333.333333333343</v>
      </c>
      <c r="U389" s="52"/>
      <c r="V389" s="34"/>
      <c r="W389" s="408"/>
    </row>
    <row r="390" spans="1:23" ht="12.75" customHeight="1" x14ac:dyDescent="0.2">
      <c r="A390" s="132">
        <v>385</v>
      </c>
      <c r="B390" s="44">
        <v>44400</v>
      </c>
      <c r="C390" s="44">
        <f t="shared" si="16"/>
        <v>44400</v>
      </c>
      <c r="D390" s="374">
        <v>83</v>
      </c>
      <c r="E390" s="291" t="str">
        <f>IFERROR(VLOOKUP($D390,'Clients-Live'!$A:$C,3,0),"")</f>
        <v>NEVER ZULAIKA</v>
      </c>
      <c r="F390" s="291">
        <f>IFERROR(INDEX(Disbursements!$D:$D,MATCH('Live Collections'!G390,Disbursements!$C:$C,0)),"")</f>
        <v>1</v>
      </c>
      <c r="G390" s="34">
        <v>72</v>
      </c>
      <c r="H390" s="34"/>
      <c r="I390" s="34" t="s">
        <v>1358</v>
      </c>
      <c r="J390" s="48"/>
      <c r="K390" s="48"/>
      <c r="L390" s="48"/>
      <c r="M390" s="48"/>
      <c r="N390" s="59"/>
      <c r="O390" s="59">
        <v>120000</v>
      </c>
      <c r="P390" s="59"/>
      <c r="Q390" s="268">
        <f t="shared" si="17"/>
        <v>120000</v>
      </c>
      <c r="R390" s="61">
        <f>IF(O390=0,0,SUMIFS(Disbursements!$T:$T,Disbursements!$B:$B,'Live Collections'!D390,Disbursements!$D:$D,'Live Collections'!F390))</f>
        <v>120000</v>
      </c>
      <c r="S390" s="304">
        <f>IF(O390&lt;=IF($O390=0,0,SUMIFS(Disbursements!$W:$W,Disbursements!$B:$B,'Live Collections'!D1067,Disbursements!$D:$D,'Live Collections'!F1067)),O390,IF($O390=0,0,SUMIFS(Disbursements!$W:$W,Disbursements!$B:$B,'Live Collections'!D1067,Disbursements!$D:$D,'Live Collections'!F1067)))</f>
        <v>25000</v>
      </c>
      <c r="T390" s="304">
        <f t="shared" si="18"/>
        <v>95000</v>
      </c>
      <c r="U390" s="52"/>
      <c r="V390" s="34"/>
      <c r="W390" s="408"/>
    </row>
    <row r="391" spans="1:23" ht="12.75" customHeight="1" x14ac:dyDescent="0.2">
      <c r="A391" s="257">
        <v>380</v>
      </c>
      <c r="B391" s="44">
        <v>44400</v>
      </c>
      <c r="C391" s="44">
        <f t="shared" si="16"/>
        <v>44400</v>
      </c>
      <c r="D391" s="374">
        <v>142</v>
      </c>
      <c r="E391" s="291" t="str">
        <f>IFERROR(VLOOKUP($D391,'Clients-Live'!$A:$C,3,0),"")</f>
        <v>TABU MARY</v>
      </c>
      <c r="F391" s="291">
        <f>IFERROR(INDEX(Disbursements!$D:$D,MATCH('Live Collections'!G391,Disbursements!$C:$C,0)),"")</f>
        <v>1</v>
      </c>
      <c r="G391" s="34">
        <v>128</v>
      </c>
      <c r="H391" s="34">
        <v>691</v>
      </c>
      <c r="I391" s="34" t="s">
        <v>1814</v>
      </c>
      <c r="J391" s="48"/>
      <c r="K391" s="48"/>
      <c r="L391" s="48">
        <v>10000</v>
      </c>
      <c r="M391" s="48">
        <v>5000</v>
      </c>
      <c r="N391" s="59"/>
      <c r="O391" s="59"/>
      <c r="P391" s="59">
        <v>100000</v>
      </c>
      <c r="Q391" s="268">
        <f t="shared" si="17"/>
        <v>115000</v>
      </c>
      <c r="R391" s="61">
        <f>IF(O391=0,0,SUMIFS(Disbursements!$T:$T,Disbursements!$B:$B,'Live Collections'!D391,Disbursements!$D:$D,'Live Collections'!F391))</f>
        <v>0</v>
      </c>
      <c r="S391" s="304">
        <f>IF(O391&lt;=IF($O391=0,0,SUMIFS(Disbursements!$W:$W,Disbursements!$B:$B,'Live Collections'!D1792,Disbursements!$D:$D,'Live Collections'!F1792)),O391,IF($O391=0,0,SUMIFS(Disbursements!$W:$W,Disbursements!$B:$B,'Live Collections'!D1792,Disbursements!$D:$D,'Live Collections'!F1792)))</f>
        <v>0</v>
      </c>
      <c r="T391" s="304">
        <f t="shared" si="18"/>
        <v>0</v>
      </c>
      <c r="U391" s="52"/>
      <c r="V391" s="34"/>
      <c r="W391" s="408"/>
    </row>
    <row r="392" spans="1:23" ht="12.75" customHeight="1" x14ac:dyDescent="0.2">
      <c r="A392" s="132">
        <v>381</v>
      </c>
      <c r="B392" s="44">
        <v>44400</v>
      </c>
      <c r="C392" s="44">
        <f t="shared" ref="C392:C455" si="19">B392</f>
        <v>44400</v>
      </c>
      <c r="D392" s="374">
        <v>143</v>
      </c>
      <c r="E392" s="291" t="str">
        <f>IFERROR(VLOOKUP($D392,'Clients-Live'!$A:$C,3,0),"")</f>
        <v>MORO HAKIM</v>
      </c>
      <c r="F392" s="291">
        <f>IFERROR(INDEX(Disbursements!$D:$D,MATCH('Live Collections'!G392,Disbursements!$C:$C,0)),"")</f>
        <v>1</v>
      </c>
      <c r="G392" s="34">
        <v>127</v>
      </c>
      <c r="H392" s="34"/>
      <c r="I392" s="34" t="s">
        <v>864</v>
      </c>
      <c r="J392" s="48"/>
      <c r="K392" s="48"/>
      <c r="L392" s="48">
        <v>10000</v>
      </c>
      <c r="M392" s="48">
        <v>5000</v>
      </c>
      <c r="N392" s="59"/>
      <c r="O392" s="59"/>
      <c r="P392" s="59">
        <v>300000</v>
      </c>
      <c r="Q392" s="268">
        <f t="shared" ref="Q392:Q455" si="20">SUM(J392:P392)</f>
        <v>315000</v>
      </c>
      <c r="R392" s="61">
        <f>IF(O392=0,0,SUMIFS(Disbursements!$T:$T,Disbursements!$B:$B,'Live Collections'!D392,Disbursements!$D:$D,'Live Collections'!F392))</f>
        <v>0</v>
      </c>
      <c r="S392" s="304">
        <f>IF(O392&lt;=IF($O392=0,0,SUMIFS(Disbursements!$W:$W,Disbursements!$B:$B,'Live Collections'!D1805,Disbursements!$D:$D,'Live Collections'!F1805)),O392,IF($O392=0,0,SUMIFS(Disbursements!$W:$W,Disbursements!$B:$B,'Live Collections'!D1805,Disbursements!$D:$D,'Live Collections'!F1805)))</f>
        <v>0</v>
      </c>
      <c r="T392" s="304">
        <f t="shared" ref="T392:T455" si="21">IF(O392=0,0,O392-S392)</f>
        <v>0</v>
      </c>
      <c r="U392" s="52"/>
      <c r="V392" s="34"/>
      <c r="W392" s="408"/>
    </row>
    <row r="393" spans="1:23" ht="12.75" customHeight="1" x14ac:dyDescent="0.2">
      <c r="A393" s="257">
        <v>379</v>
      </c>
      <c r="B393" s="44">
        <v>44400</v>
      </c>
      <c r="C393" s="44">
        <f t="shared" si="19"/>
        <v>44400</v>
      </c>
      <c r="D393" s="374">
        <v>147</v>
      </c>
      <c r="E393" s="291" t="str">
        <f>IFERROR(VLOOKUP($D393,'Clients-Live'!$A:$C,3,0),"")</f>
        <v>DRICIRU MARGRET</v>
      </c>
      <c r="F393" s="291" t="str">
        <f>IFERROR(INDEX(Disbursements!$D:$D,MATCH('Live Collections'!G393,Disbursements!$C:$C,0)),"")</f>
        <v/>
      </c>
      <c r="G393" s="34"/>
      <c r="H393" s="34"/>
      <c r="I393" s="34" t="s">
        <v>1814</v>
      </c>
      <c r="J393" s="48">
        <v>15000</v>
      </c>
      <c r="K393" s="48">
        <v>5000</v>
      </c>
      <c r="L393" s="48"/>
      <c r="M393" s="48"/>
      <c r="N393" s="59"/>
      <c r="O393" s="59"/>
      <c r="P393" s="59"/>
      <c r="Q393" s="268">
        <f t="shared" si="20"/>
        <v>20000</v>
      </c>
      <c r="R393" s="61">
        <f>IF(O393=0,0,SUMIFS(Disbursements!$T:$T,Disbursements!$B:$B,'Live Collections'!D393,Disbursements!$D:$D,'Live Collections'!F393))</f>
        <v>0</v>
      </c>
      <c r="S393" s="304">
        <f>IF(O393&lt;=IF($O393=0,0,SUMIFS(Disbursements!$W:$W,Disbursements!$B:$B,'Live Collections'!D1852,Disbursements!$D:$D,'Live Collections'!F1852)),O393,IF($O393=0,0,SUMIFS(Disbursements!$W:$W,Disbursements!$B:$B,'Live Collections'!D1852,Disbursements!$D:$D,'Live Collections'!F1852)))</f>
        <v>0</v>
      </c>
      <c r="T393" s="304">
        <f t="shared" si="21"/>
        <v>0</v>
      </c>
      <c r="U393" s="52">
        <v>773217464</v>
      </c>
      <c r="V393" s="34"/>
      <c r="W393" s="408"/>
    </row>
    <row r="394" spans="1:23" ht="12.75" customHeight="1" x14ac:dyDescent="0.2">
      <c r="A394" s="132">
        <v>392</v>
      </c>
      <c r="B394" s="44">
        <v>44401</v>
      </c>
      <c r="C394" s="44">
        <f t="shared" si="19"/>
        <v>44401</v>
      </c>
      <c r="D394" s="374">
        <v>11</v>
      </c>
      <c r="E394" s="291" t="str">
        <f>IFERROR(VLOOKUP($D394,'Clients-Live'!$A:$C,3,0),"")</f>
        <v>ARIME JUMA</v>
      </c>
      <c r="F394" s="291">
        <f>IFERROR(INDEX(Disbursements!$D:$D,MATCH('Live Collections'!G394,Disbursements!$C:$C,0)),"")</f>
        <v>1</v>
      </c>
      <c r="G394" s="34">
        <v>10</v>
      </c>
      <c r="H394" s="34"/>
      <c r="I394" s="34" t="s">
        <v>1359</v>
      </c>
      <c r="J394" s="48"/>
      <c r="K394" s="48"/>
      <c r="L394" s="48"/>
      <c r="M394" s="48"/>
      <c r="N394" s="59"/>
      <c r="O394" s="59">
        <v>108000</v>
      </c>
      <c r="P394" s="59"/>
      <c r="Q394" s="268">
        <f t="shared" si="20"/>
        <v>108000</v>
      </c>
      <c r="R394" s="61">
        <f>IF(O394=0,0,SUMIFS(Disbursements!$T:$T,Disbursements!$B:$B,'Live Collections'!D394,Disbursements!$D:$D,'Live Collections'!F394))</f>
        <v>109000</v>
      </c>
      <c r="S394" s="304">
        <f>IF(O394&lt;=IF($O394=0,0,SUMIFS(Disbursements!$W:$W,Disbursements!$B:$B,'Live Collections'!D109,Disbursements!$D:$D,'Live Collections'!F109)),O394,IF($O394=0,0,SUMIFS(Disbursements!$W:$W,Disbursements!$B:$B,'Live Collections'!D109,Disbursements!$D:$D,'Live Collections'!F109)))</f>
        <v>60000</v>
      </c>
      <c r="T394" s="304">
        <f t="shared" si="21"/>
        <v>48000</v>
      </c>
      <c r="U394" s="52"/>
      <c r="V394" s="34"/>
      <c r="W394" s="408"/>
    </row>
    <row r="395" spans="1:23" ht="12.75" customHeight="1" x14ac:dyDescent="0.2">
      <c r="A395" s="257">
        <v>395</v>
      </c>
      <c r="B395" s="44">
        <v>44401</v>
      </c>
      <c r="C395" s="44">
        <f t="shared" si="19"/>
        <v>44401</v>
      </c>
      <c r="D395" s="374">
        <v>18</v>
      </c>
      <c r="E395" s="291" t="str">
        <f>IFERROR(VLOOKUP($D395,'Clients-Live'!$A:$C,3,0),"")</f>
        <v>ARIYE PEACE</v>
      </c>
      <c r="F395" s="291">
        <f>IFERROR(INDEX(Disbursements!$D:$D,MATCH('Live Collections'!G395,Disbursements!$C:$C,0)),"")</f>
        <v>1</v>
      </c>
      <c r="G395" s="34">
        <v>9</v>
      </c>
      <c r="H395" s="34"/>
      <c r="I395" s="34" t="s">
        <v>1357</v>
      </c>
      <c r="J395" s="48"/>
      <c r="K395" s="48"/>
      <c r="L395" s="48"/>
      <c r="M395" s="48"/>
      <c r="N395" s="59"/>
      <c r="O395" s="59">
        <v>108400</v>
      </c>
      <c r="P395" s="59"/>
      <c r="Q395" s="268">
        <f t="shared" si="20"/>
        <v>108400</v>
      </c>
      <c r="R395" s="61">
        <f>IF(O395=0,0,SUMIFS(Disbursements!$T:$T,Disbursements!$B:$B,'Live Collections'!D395,Disbursements!$D:$D,'Live Collections'!F395))</f>
        <v>109000</v>
      </c>
      <c r="S395" s="304">
        <f>IF(O395&lt;=IF($O395=0,0,SUMIFS(Disbursements!$W:$W,Disbursements!$B:$B,'Live Collections'!D197,Disbursements!$D:$D,'Live Collections'!F197)),O395,IF($O395=0,0,SUMIFS(Disbursements!$W:$W,Disbursements!$B:$B,'Live Collections'!D197,Disbursements!$D:$D,'Live Collections'!F197)))</f>
        <v>0</v>
      </c>
      <c r="T395" s="304">
        <f t="shared" si="21"/>
        <v>108400</v>
      </c>
      <c r="U395" s="52"/>
      <c r="V395" s="34"/>
      <c r="W395" s="408"/>
    </row>
    <row r="396" spans="1:23" ht="12.75" customHeight="1" x14ac:dyDescent="0.2">
      <c r="A396" s="132">
        <v>387</v>
      </c>
      <c r="B396" s="44">
        <v>44401</v>
      </c>
      <c r="C396" s="44">
        <f t="shared" si="19"/>
        <v>44401</v>
      </c>
      <c r="D396" s="374">
        <v>44</v>
      </c>
      <c r="E396" s="291" t="str">
        <f>IFERROR(VLOOKUP($D396,'Clients-Live'!$A:$C,3,0),"")</f>
        <v>CANDIRU HELLEN</v>
      </c>
      <c r="F396" s="291">
        <f>IFERROR(INDEX(Disbursements!$D:$D,MATCH('Live Collections'!G396,Disbursements!$C:$C,0)),"")</f>
        <v>2</v>
      </c>
      <c r="G396" s="34">
        <v>129</v>
      </c>
      <c r="H396" s="34"/>
      <c r="I396" s="34" t="s">
        <v>863</v>
      </c>
      <c r="J396" s="48"/>
      <c r="K396" s="48"/>
      <c r="L396" s="48">
        <v>10000</v>
      </c>
      <c r="M396" s="48">
        <v>5000</v>
      </c>
      <c r="N396" s="59"/>
      <c r="O396" s="59"/>
      <c r="P396" s="59">
        <v>100000</v>
      </c>
      <c r="Q396" s="268">
        <f t="shared" si="20"/>
        <v>115000</v>
      </c>
      <c r="R396" s="61">
        <f>IF(O396=0,0,SUMIFS(Disbursements!$T:$T,Disbursements!$B:$B,'Live Collections'!D396,Disbursements!$D:$D,'Live Collections'!F396))</f>
        <v>0</v>
      </c>
      <c r="S396" s="304">
        <f>IF(O396&lt;=IF($O396=0,0,SUMIFS(Disbursements!$W:$W,Disbursements!$B:$B,'Live Collections'!D487,Disbursements!$D:$D,'Live Collections'!F487)),O396,IF($O396=0,0,SUMIFS(Disbursements!$W:$W,Disbursements!$B:$B,'Live Collections'!D487,Disbursements!$D:$D,'Live Collections'!F487)))</f>
        <v>0</v>
      </c>
      <c r="T396" s="304">
        <f t="shared" si="21"/>
        <v>0</v>
      </c>
      <c r="U396" s="52"/>
      <c r="V396" s="34"/>
      <c r="W396" s="408"/>
    </row>
    <row r="397" spans="1:23" ht="12.75" customHeight="1" x14ac:dyDescent="0.2">
      <c r="A397" s="257">
        <v>393</v>
      </c>
      <c r="B397" s="44">
        <v>44401</v>
      </c>
      <c r="C397" s="44">
        <f t="shared" si="19"/>
        <v>44401</v>
      </c>
      <c r="D397" s="374">
        <v>50</v>
      </c>
      <c r="E397" s="291" t="str">
        <f>IFERROR(VLOOKUP($D397,'Clients-Live'!$A:$C,3,0),"")</f>
        <v>WACHEKE HARRIET</v>
      </c>
      <c r="F397" s="291">
        <f>IFERROR(INDEX(Disbursements!$D:$D,MATCH('Live Collections'!G397,Disbursements!$C:$C,0)),"")</f>
        <v>1</v>
      </c>
      <c r="G397" s="34">
        <v>30</v>
      </c>
      <c r="H397" s="34"/>
      <c r="I397" s="34" t="s">
        <v>1359</v>
      </c>
      <c r="J397" s="48"/>
      <c r="K397" s="48"/>
      <c r="L397" s="48"/>
      <c r="M397" s="48"/>
      <c r="N397" s="59"/>
      <c r="O397" s="59">
        <v>383400</v>
      </c>
      <c r="P397" s="59"/>
      <c r="Q397" s="268">
        <f t="shared" si="20"/>
        <v>383400</v>
      </c>
      <c r="R397" s="61">
        <f>IF(O397=0,0,SUMIFS(Disbursements!$T:$T,Disbursements!$B:$B,'Live Collections'!D397,Disbursements!$D:$D,'Live Collections'!F397))</f>
        <v>384000</v>
      </c>
      <c r="S397" s="304">
        <f>IF(O397&lt;=IF($O397=0,0,SUMIFS(Disbursements!$W:$W,Disbursements!$B:$B,'Live Collections'!D571,Disbursements!$D:$D,'Live Collections'!F571)),O397,IF($O397=0,0,SUMIFS(Disbursements!$W:$W,Disbursements!$B:$B,'Live Collections'!D571,Disbursements!$D:$D,'Live Collections'!F571)))</f>
        <v>0</v>
      </c>
      <c r="T397" s="304">
        <f t="shared" si="21"/>
        <v>383400</v>
      </c>
      <c r="U397" s="52"/>
      <c r="V397" s="34"/>
      <c r="W397" s="408"/>
    </row>
    <row r="398" spans="1:23" ht="12.75" customHeight="1" x14ac:dyDescent="0.2">
      <c r="A398" s="132">
        <v>394</v>
      </c>
      <c r="B398" s="44">
        <v>44401</v>
      </c>
      <c r="C398" s="44">
        <f t="shared" si="19"/>
        <v>44401</v>
      </c>
      <c r="D398" s="374">
        <v>135</v>
      </c>
      <c r="E398" s="291" t="str">
        <f>IFERROR(VLOOKUP($D398,'Clients-Live'!$A:$C,3,0),"")</f>
        <v>SARIF SAIDI</v>
      </c>
      <c r="F398" s="291">
        <f>IFERROR(INDEX(Disbursements!$D:$D,MATCH('Live Collections'!G398,Disbursements!$C:$C,0)),"")</f>
        <v>1</v>
      </c>
      <c r="G398" s="34">
        <v>120</v>
      </c>
      <c r="H398" s="34"/>
      <c r="I398" s="34" t="s">
        <v>1357</v>
      </c>
      <c r="J398" s="48"/>
      <c r="K398" s="48"/>
      <c r="L398" s="48"/>
      <c r="M398" s="48"/>
      <c r="N398" s="59"/>
      <c r="O398" s="59">
        <v>100000</v>
      </c>
      <c r="P398" s="59"/>
      <c r="Q398" s="268">
        <f t="shared" si="20"/>
        <v>100000</v>
      </c>
      <c r="R398" s="61">
        <f>IF(O398=0,0,SUMIFS(Disbursements!$T:$T,Disbursements!$B:$B,'Live Collections'!D398,Disbursements!$D:$D,'Live Collections'!F398))</f>
        <v>175000</v>
      </c>
      <c r="S398" s="304">
        <f>IF(O398&lt;=IF($O398=0,0,SUMIFS(Disbursements!$W:$W,Disbursements!$B:$B,'Live Collections'!D1700,Disbursements!$D:$D,'Live Collections'!F1700)),O398,IF($O398=0,0,SUMIFS(Disbursements!$W:$W,Disbursements!$B:$B,'Live Collections'!D1700,Disbursements!$D:$D,'Live Collections'!F1700)))</f>
        <v>25000</v>
      </c>
      <c r="T398" s="304">
        <f t="shared" si="21"/>
        <v>75000</v>
      </c>
      <c r="U398" s="52"/>
      <c r="V398" s="34"/>
      <c r="W398" s="408"/>
    </row>
    <row r="399" spans="1:23" ht="12.75" customHeight="1" x14ac:dyDescent="0.2">
      <c r="A399" s="257">
        <v>388</v>
      </c>
      <c r="B399" s="44">
        <v>44401</v>
      </c>
      <c r="C399" s="44">
        <f t="shared" si="19"/>
        <v>44401</v>
      </c>
      <c r="D399" s="374">
        <v>144</v>
      </c>
      <c r="E399" s="291" t="str">
        <f>IFERROR(VLOOKUP($D399,'Clients-Live'!$A:$C,3,0),"")</f>
        <v>GBENINGA RUKIA</v>
      </c>
      <c r="F399" s="291">
        <f>IFERROR(INDEX(Disbursements!$D:$D,MATCH('Live Collections'!G399,Disbursements!$C:$C,0)),"")</f>
        <v>1</v>
      </c>
      <c r="G399" s="34">
        <v>131</v>
      </c>
      <c r="H399" s="34"/>
      <c r="I399" s="34" t="s">
        <v>862</v>
      </c>
      <c r="J399" s="48"/>
      <c r="K399" s="48"/>
      <c r="L399" s="48">
        <v>10000</v>
      </c>
      <c r="M399" s="48">
        <v>5000</v>
      </c>
      <c r="N399" s="59"/>
      <c r="O399" s="59"/>
      <c r="P399" s="59">
        <v>50000</v>
      </c>
      <c r="Q399" s="268">
        <f t="shared" si="20"/>
        <v>65000</v>
      </c>
      <c r="R399" s="61">
        <f>IF(O399=0,0,SUMIFS(Disbursements!$T:$T,Disbursements!$B:$B,'Live Collections'!D399,Disbursements!$D:$D,'Live Collections'!F399))</f>
        <v>0</v>
      </c>
      <c r="S399" s="304">
        <f>IF(O399&lt;=IF($O399=0,0,SUMIFS(Disbursements!$W:$W,Disbursements!$B:$B,'Live Collections'!D1817,Disbursements!$D:$D,'Live Collections'!F1817)),O399,IF($O399=0,0,SUMIFS(Disbursements!$W:$W,Disbursements!$B:$B,'Live Collections'!D1817,Disbursements!$D:$D,'Live Collections'!F1817)))</f>
        <v>0</v>
      </c>
      <c r="T399" s="304">
        <f t="shared" si="21"/>
        <v>0</v>
      </c>
      <c r="U399" s="52"/>
      <c r="V399" s="34"/>
      <c r="W399" s="408"/>
    </row>
    <row r="400" spans="1:23" ht="12.75" customHeight="1" x14ac:dyDescent="0.2">
      <c r="A400" s="132">
        <v>389</v>
      </c>
      <c r="B400" s="44">
        <v>44401</v>
      </c>
      <c r="C400" s="44">
        <f t="shared" si="19"/>
        <v>44401</v>
      </c>
      <c r="D400" s="374">
        <v>145</v>
      </c>
      <c r="E400" s="291" t="str">
        <f>IFERROR(VLOOKUP($D400,'Clients-Live'!$A:$C,3,0),"")</f>
        <v>NIGHT ASARA</v>
      </c>
      <c r="F400" s="291">
        <f>IFERROR(INDEX(Disbursements!$D:$D,MATCH('Live Collections'!G400,Disbursements!$C:$C,0)),"")</f>
        <v>1</v>
      </c>
      <c r="G400" s="34">
        <v>132</v>
      </c>
      <c r="H400" s="34"/>
      <c r="I400" s="34" t="s">
        <v>864</v>
      </c>
      <c r="J400" s="48"/>
      <c r="K400" s="48"/>
      <c r="L400" s="48">
        <v>10000</v>
      </c>
      <c r="M400" s="48">
        <v>5000</v>
      </c>
      <c r="N400" s="59"/>
      <c r="O400" s="59"/>
      <c r="P400" s="59">
        <v>40000</v>
      </c>
      <c r="Q400" s="268">
        <f t="shared" si="20"/>
        <v>55000</v>
      </c>
      <c r="R400" s="61">
        <f>IF(O400=0,0,SUMIFS(Disbursements!$T:$T,Disbursements!$B:$B,'Live Collections'!D400,Disbursements!$D:$D,'Live Collections'!F400))</f>
        <v>0</v>
      </c>
      <c r="S400" s="304">
        <f>IF(O400&lt;=IF($O400=0,0,SUMIFS(Disbursements!$W:$W,Disbursements!$B:$B,'Live Collections'!D1826,Disbursements!$D:$D,'Live Collections'!F1826)),O400,IF($O400=0,0,SUMIFS(Disbursements!$W:$W,Disbursements!$B:$B,'Live Collections'!D1826,Disbursements!$D:$D,'Live Collections'!F1826)))</f>
        <v>0</v>
      </c>
      <c r="T400" s="304">
        <f t="shared" si="21"/>
        <v>0</v>
      </c>
      <c r="U400" s="52"/>
      <c r="V400" s="34"/>
      <c r="W400" s="408"/>
    </row>
    <row r="401" spans="1:23" ht="12.75" customHeight="1" x14ac:dyDescent="0.2">
      <c r="A401" s="257">
        <v>390</v>
      </c>
      <c r="B401" s="44">
        <v>44401</v>
      </c>
      <c r="C401" s="44">
        <f t="shared" si="19"/>
        <v>44401</v>
      </c>
      <c r="D401" s="374">
        <v>146</v>
      </c>
      <c r="E401" s="291" t="str">
        <f>IFERROR(VLOOKUP($D401,'Clients-Live'!$A:$C,3,0),"")</f>
        <v>IMBIRA AISHA</v>
      </c>
      <c r="F401" s="291">
        <f>IFERROR(INDEX(Disbursements!$D:$D,MATCH('Live Collections'!G401,Disbursements!$C:$C,0)),"")</f>
        <v>1</v>
      </c>
      <c r="G401" s="34">
        <v>133</v>
      </c>
      <c r="H401" s="34">
        <v>702</v>
      </c>
      <c r="I401" s="34" t="s">
        <v>864</v>
      </c>
      <c r="J401" s="48"/>
      <c r="K401" s="48"/>
      <c r="L401" s="48">
        <v>10000</v>
      </c>
      <c r="M401" s="48">
        <v>5000</v>
      </c>
      <c r="N401" s="59"/>
      <c r="O401" s="59"/>
      <c r="P401" s="59">
        <v>50000</v>
      </c>
      <c r="Q401" s="268">
        <f t="shared" si="20"/>
        <v>65000</v>
      </c>
      <c r="R401" s="61">
        <f>IF(O401=0,0,SUMIFS(Disbursements!$T:$T,Disbursements!$B:$B,'Live Collections'!D401,Disbursements!$D:$D,'Live Collections'!F401))</f>
        <v>0</v>
      </c>
      <c r="S401" s="304">
        <f>IF(O401&lt;=IF($O401=0,0,SUMIFS(Disbursements!$W:$W,Disbursements!$B:$B,'Live Collections'!D1840,Disbursements!$D:$D,'Live Collections'!F1840)),O401,IF($O401=0,0,SUMIFS(Disbursements!$W:$W,Disbursements!$B:$B,'Live Collections'!D1840,Disbursements!$D:$D,'Live Collections'!F1840)))</f>
        <v>0</v>
      </c>
      <c r="T401" s="304">
        <f t="shared" si="21"/>
        <v>0</v>
      </c>
      <c r="U401" s="52"/>
      <c r="V401" s="34"/>
      <c r="W401" s="408"/>
    </row>
    <row r="402" spans="1:23" ht="12.75" customHeight="1" x14ac:dyDescent="0.2">
      <c r="A402" s="132">
        <v>391</v>
      </c>
      <c r="B402" s="44">
        <v>44401</v>
      </c>
      <c r="C402" s="44">
        <f t="shared" si="19"/>
        <v>44401</v>
      </c>
      <c r="D402" s="374">
        <v>147</v>
      </c>
      <c r="E402" s="291" t="str">
        <f>IFERROR(VLOOKUP($D402,'Clients-Live'!$A:$C,3,0),"")</f>
        <v>DRICIRU MARGRET</v>
      </c>
      <c r="F402" s="291">
        <f>IFERROR(INDEX(Disbursements!$D:$D,MATCH('Live Collections'!G402,Disbursements!$C:$C,0)),"")</f>
        <v>2</v>
      </c>
      <c r="G402" s="34">
        <v>203</v>
      </c>
      <c r="H402" s="34">
        <v>711</v>
      </c>
      <c r="I402" s="34" t="s">
        <v>862</v>
      </c>
      <c r="J402" s="48"/>
      <c r="K402" s="48"/>
      <c r="L402" s="48">
        <v>10000</v>
      </c>
      <c r="M402" s="48">
        <v>5000</v>
      </c>
      <c r="N402" s="59"/>
      <c r="O402" s="59"/>
      <c r="P402" s="59">
        <v>60000</v>
      </c>
      <c r="Q402" s="268">
        <f t="shared" si="20"/>
        <v>75000</v>
      </c>
      <c r="R402" s="61">
        <f>IF(O402=0,0,SUMIFS(Disbursements!$T:$T,Disbursements!$B:$B,'Live Collections'!D402,Disbursements!$D:$D,'Live Collections'!F402))</f>
        <v>0</v>
      </c>
      <c r="S402" s="304">
        <f>IF(O402&lt;=IF($O402=0,0,SUMIFS(Disbursements!$W:$W,Disbursements!$B:$B,'Live Collections'!D1853,Disbursements!$D:$D,'Live Collections'!F1853)),O402,IF($O402=0,0,SUMIFS(Disbursements!$W:$W,Disbursements!$B:$B,'Live Collections'!D1853,Disbursements!$D:$D,'Live Collections'!F1853)))</f>
        <v>0</v>
      </c>
      <c r="T402" s="304">
        <f t="shared" si="21"/>
        <v>0</v>
      </c>
      <c r="U402" s="52"/>
      <c r="V402" s="34"/>
      <c r="W402" s="408"/>
    </row>
    <row r="403" spans="1:23" ht="12.75" customHeight="1" x14ac:dyDescent="0.2">
      <c r="A403" s="257">
        <v>386</v>
      </c>
      <c r="B403" s="44">
        <v>44401</v>
      </c>
      <c r="C403" s="44">
        <f t="shared" si="19"/>
        <v>44401</v>
      </c>
      <c r="D403" s="374">
        <v>148</v>
      </c>
      <c r="E403" s="291" t="str">
        <f>IFERROR(VLOOKUP($D403,'Clients-Live'!$A:$C,3,0),"")</f>
        <v>GBOKA ZAIDA</v>
      </c>
      <c r="F403" s="291" t="str">
        <f>IFERROR(INDEX(Disbursements!$D:$D,MATCH('Live Collections'!G403,Disbursements!$C:$C,0)),"")</f>
        <v/>
      </c>
      <c r="G403" s="34"/>
      <c r="H403" s="34"/>
      <c r="I403" s="34" t="s">
        <v>1814</v>
      </c>
      <c r="J403" s="48">
        <v>15000</v>
      </c>
      <c r="K403" s="48">
        <v>5000</v>
      </c>
      <c r="L403" s="48"/>
      <c r="M403" s="48"/>
      <c r="N403" s="59"/>
      <c r="O403" s="59"/>
      <c r="P403" s="59"/>
      <c r="Q403" s="268">
        <f t="shared" si="20"/>
        <v>20000</v>
      </c>
      <c r="R403" s="61">
        <f>IF(O403=0,0,SUMIFS(Disbursements!$T:$T,Disbursements!$B:$B,'Live Collections'!D403,Disbursements!$D:$D,'Live Collections'!F403))</f>
        <v>0</v>
      </c>
      <c r="S403" s="304">
        <f>IF(O403&lt;=IF($O403=0,0,SUMIFS(Disbursements!$W:$W,Disbursements!$B:$B,'Live Collections'!D1866,Disbursements!$D:$D,'Live Collections'!F1866)),O403,IF($O403=0,0,SUMIFS(Disbursements!$W:$W,Disbursements!$B:$B,'Live Collections'!D1866,Disbursements!$D:$D,'Live Collections'!F1866)))</f>
        <v>0</v>
      </c>
      <c r="T403" s="304">
        <f t="shared" si="21"/>
        <v>0</v>
      </c>
      <c r="U403" s="52">
        <v>781615209</v>
      </c>
      <c r="V403" s="34"/>
      <c r="W403" s="408"/>
    </row>
    <row r="404" spans="1:23" ht="12.75" customHeight="1" x14ac:dyDescent="0.2">
      <c r="A404" s="132">
        <v>403</v>
      </c>
      <c r="B404" s="44">
        <v>44403</v>
      </c>
      <c r="C404" s="44">
        <f t="shared" si="19"/>
        <v>44403</v>
      </c>
      <c r="D404" s="374">
        <v>19</v>
      </c>
      <c r="E404" s="291" t="str">
        <f>IFERROR(VLOOKUP($D404,'Clients-Live'!$A:$C,3,0),"")</f>
        <v>ANGUPARU MOLLY</v>
      </c>
      <c r="F404" s="291">
        <f>IFERROR(INDEX(Disbursements!$D:$D,MATCH('Live Collections'!G404,Disbursements!$C:$C,0)),"")</f>
        <v>1</v>
      </c>
      <c r="G404" s="34">
        <v>12</v>
      </c>
      <c r="H404" s="34"/>
      <c r="I404" s="34" t="s">
        <v>1358</v>
      </c>
      <c r="J404" s="48"/>
      <c r="K404" s="48"/>
      <c r="L404" s="48"/>
      <c r="M404" s="48"/>
      <c r="N404" s="59"/>
      <c r="O404" s="59">
        <v>120000</v>
      </c>
      <c r="P404" s="59"/>
      <c r="Q404" s="268">
        <f t="shared" si="20"/>
        <v>120000</v>
      </c>
      <c r="R404" s="61">
        <f>IF(O404=0,0,SUMIFS(Disbursements!$T:$T,Disbursements!$B:$B,'Live Collections'!D404,Disbursements!$D:$D,'Live Collections'!F404))</f>
        <v>120000</v>
      </c>
      <c r="S404" s="64">
        <v>4333.3333333333139</v>
      </c>
      <c r="T404" s="304">
        <f t="shared" si="21"/>
        <v>115666.66666666669</v>
      </c>
      <c r="U404" s="52"/>
      <c r="V404" s="34"/>
      <c r="W404" s="408" t="s">
        <v>2086</v>
      </c>
    </row>
    <row r="405" spans="1:23" ht="12.75" customHeight="1" x14ac:dyDescent="0.2">
      <c r="A405" s="257">
        <v>408</v>
      </c>
      <c r="B405" s="44">
        <v>44403</v>
      </c>
      <c r="C405" s="44">
        <f t="shared" si="19"/>
        <v>44403</v>
      </c>
      <c r="D405" s="374">
        <v>31</v>
      </c>
      <c r="E405" s="291" t="str">
        <f>IFERROR(VLOOKUP($D405,'Clients-Live'!$A:$C,3,0),"")</f>
        <v>MUNDURU HARRIET</v>
      </c>
      <c r="F405" s="291">
        <f>IFERROR(INDEX(Disbursements!$D:$D,MATCH('Live Collections'!G405,Disbursements!$C:$C,0)),"")</f>
        <v>1</v>
      </c>
      <c r="G405" s="34">
        <v>16</v>
      </c>
      <c r="H405" s="34"/>
      <c r="I405" s="34" t="s">
        <v>1357</v>
      </c>
      <c r="J405" s="48"/>
      <c r="K405" s="48"/>
      <c r="L405" s="48"/>
      <c r="M405" s="48"/>
      <c r="N405" s="59"/>
      <c r="O405" s="59">
        <v>125000</v>
      </c>
      <c r="P405" s="59"/>
      <c r="Q405" s="268">
        <f t="shared" si="20"/>
        <v>125000</v>
      </c>
      <c r="R405" s="61">
        <f>IF(O405=0,0,SUMIFS(Disbursements!$T:$T,Disbursements!$B:$B,'Live Collections'!D405,Disbursements!$D:$D,'Live Collections'!F405))</f>
        <v>125000</v>
      </c>
      <c r="S405" s="304">
        <f>IF(O405&lt;=IF($O405=0,0,SUMIFS(Disbursements!$W:$W,Disbursements!$B:$B,'Live Collections'!D351,Disbursements!$D:$D,'Live Collections'!F351)),O405,IF($O405=0,0,SUMIFS(Disbursements!$W:$W,Disbursements!$B:$B,'Live Collections'!D351,Disbursements!$D:$D,'Live Collections'!F351)))</f>
        <v>0</v>
      </c>
      <c r="T405" s="304">
        <f t="shared" si="21"/>
        <v>125000</v>
      </c>
      <c r="U405" s="52"/>
      <c r="V405" s="34"/>
      <c r="W405" s="408"/>
    </row>
    <row r="406" spans="1:23" ht="12.75" customHeight="1" x14ac:dyDescent="0.2">
      <c r="A406" s="132">
        <v>406</v>
      </c>
      <c r="B406" s="44">
        <v>44403</v>
      </c>
      <c r="C406" s="44">
        <f t="shared" si="19"/>
        <v>44403</v>
      </c>
      <c r="D406" s="374">
        <v>32</v>
      </c>
      <c r="E406" s="291" t="str">
        <f>IFERROR(VLOOKUP($D406,'Clients-Live'!$A:$C,3,0),"")</f>
        <v>BAKO LINA ESERU</v>
      </c>
      <c r="F406" s="291">
        <f>IFERROR(INDEX(Disbursements!$D:$D,MATCH('Live Collections'!G406,Disbursements!$C:$C,0)),"")</f>
        <v>1</v>
      </c>
      <c r="G406" s="34">
        <v>15</v>
      </c>
      <c r="H406" s="34"/>
      <c r="I406" s="34" t="s">
        <v>1359</v>
      </c>
      <c r="J406" s="48"/>
      <c r="K406" s="48"/>
      <c r="L406" s="48"/>
      <c r="M406" s="48"/>
      <c r="N406" s="59"/>
      <c r="O406" s="59">
        <v>125000</v>
      </c>
      <c r="P406" s="59"/>
      <c r="Q406" s="268">
        <f t="shared" si="20"/>
        <v>125000</v>
      </c>
      <c r="R406" s="61">
        <f>IF(O406=0,0,SUMIFS(Disbursements!$T:$T,Disbursements!$B:$B,'Live Collections'!D406,Disbursements!$D:$D,'Live Collections'!F406))</f>
        <v>125000</v>
      </c>
      <c r="S406" s="304">
        <f>IF(O406&lt;=IF($O406=0,0,SUMIFS(Disbursements!$W:$W,Disbursements!$B:$B,'Live Collections'!D365,Disbursements!$D:$D,'Live Collections'!F365)),O406,IF($O406=0,0,SUMIFS(Disbursements!$W:$W,Disbursements!$B:$B,'Live Collections'!D365,Disbursements!$D:$D,'Live Collections'!F365)))</f>
        <v>50333.333333333343</v>
      </c>
      <c r="T406" s="304">
        <f t="shared" si="21"/>
        <v>74666.666666666657</v>
      </c>
      <c r="U406" s="52"/>
      <c r="V406" s="34"/>
      <c r="W406" s="408"/>
    </row>
    <row r="407" spans="1:23" ht="12.75" customHeight="1" x14ac:dyDescent="0.2">
      <c r="A407" s="257">
        <v>407</v>
      </c>
      <c r="B407" s="44">
        <v>44403</v>
      </c>
      <c r="C407" s="44">
        <f t="shared" si="19"/>
        <v>44403</v>
      </c>
      <c r="D407" s="374">
        <v>79</v>
      </c>
      <c r="E407" s="291" t="str">
        <f>IFERROR(VLOOKUP($D407,'Clients-Live'!$A:$C,3,0),"")</f>
        <v>PASI SENYA</v>
      </c>
      <c r="F407" s="291">
        <f>IFERROR(INDEX(Disbursements!$D:$D,MATCH('Live Collections'!G407,Disbursements!$C:$C,0)),"")</f>
        <v>1</v>
      </c>
      <c r="G407" s="34">
        <v>64</v>
      </c>
      <c r="H407" s="34"/>
      <c r="I407" s="34" t="s">
        <v>1358</v>
      </c>
      <c r="J407" s="48"/>
      <c r="K407" s="48"/>
      <c r="L407" s="48"/>
      <c r="M407" s="48"/>
      <c r="N407" s="59"/>
      <c r="O407" s="59">
        <v>62500</v>
      </c>
      <c r="P407" s="59"/>
      <c r="Q407" s="268">
        <f t="shared" si="20"/>
        <v>62500</v>
      </c>
      <c r="R407" s="61">
        <f>IF(O407=0,0,SUMIFS(Disbursements!$T:$T,Disbursements!$B:$B,'Live Collections'!D407,Disbursements!$D:$D,'Live Collections'!F407))</f>
        <v>63000</v>
      </c>
      <c r="S407" s="304">
        <f>IF(O407&lt;=IF($O407=0,0,SUMIFS(Disbursements!$W:$W,Disbursements!$B:$B,'Live Collections'!D1016,Disbursements!$D:$D,'Live Collections'!F1016)),O407,IF($O407=0,0,SUMIFS(Disbursements!$W:$W,Disbursements!$B:$B,'Live Collections'!D1016,Disbursements!$D:$D,'Live Collections'!F1016)))</f>
        <v>50333.333333333343</v>
      </c>
      <c r="T407" s="304">
        <f t="shared" si="21"/>
        <v>12166.666666666657</v>
      </c>
      <c r="U407" s="52"/>
      <c r="V407" s="34"/>
      <c r="W407" s="408"/>
    </row>
    <row r="408" spans="1:23" ht="12.75" customHeight="1" x14ac:dyDescent="0.2">
      <c r="A408" s="132">
        <v>405</v>
      </c>
      <c r="B408" s="44">
        <v>44403</v>
      </c>
      <c r="C408" s="44">
        <f t="shared" si="19"/>
        <v>44403</v>
      </c>
      <c r="D408" s="374">
        <v>81</v>
      </c>
      <c r="E408" s="291" t="str">
        <f>IFERROR(VLOOKUP($D408,'Clients-Live'!$A:$C,3,0),"")</f>
        <v>ADAM ZAITUN</v>
      </c>
      <c r="F408" s="291">
        <f>IFERROR(INDEX(Disbursements!$D:$D,MATCH('Live Collections'!G408,Disbursements!$C:$C,0)),"")</f>
        <v>1</v>
      </c>
      <c r="G408" s="34">
        <v>65</v>
      </c>
      <c r="H408" s="34"/>
      <c r="I408" s="34" t="s">
        <v>1358</v>
      </c>
      <c r="J408" s="48"/>
      <c r="K408" s="48"/>
      <c r="L408" s="48"/>
      <c r="M408" s="48"/>
      <c r="N408" s="59"/>
      <c r="O408" s="59">
        <v>117000</v>
      </c>
      <c r="P408" s="59"/>
      <c r="Q408" s="268">
        <f t="shared" si="20"/>
        <v>117000</v>
      </c>
      <c r="R408" s="61">
        <f>IF(O408=0,0,SUMIFS(Disbursements!$T:$T,Disbursements!$B:$B,'Live Collections'!D408,Disbursements!$D:$D,'Live Collections'!F408))</f>
        <v>217000</v>
      </c>
      <c r="S408" s="304">
        <f>IF(O408&lt;=IF($O408=0,0,SUMIFS(Disbursements!$W:$W,Disbursements!$B:$B,'Live Collections'!D1047,Disbursements!$D:$D,'Live Collections'!F1047)),O408,IF($O408=0,0,SUMIFS(Disbursements!$W:$W,Disbursements!$B:$B,'Live Collections'!D1047,Disbursements!$D:$D,'Live Collections'!F1047)))</f>
        <v>20666.666666666657</v>
      </c>
      <c r="T408" s="304">
        <f t="shared" si="21"/>
        <v>96333.333333333343</v>
      </c>
      <c r="U408" s="52"/>
      <c r="V408" s="34"/>
      <c r="W408" s="408"/>
    </row>
    <row r="409" spans="1:23" ht="12.75" customHeight="1" x14ac:dyDescent="0.2">
      <c r="A409" s="257">
        <v>401</v>
      </c>
      <c r="B409" s="44">
        <v>44403</v>
      </c>
      <c r="C409" s="44">
        <f t="shared" si="19"/>
        <v>44403</v>
      </c>
      <c r="D409" s="374">
        <v>86</v>
      </c>
      <c r="E409" s="291" t="str">
        <f>IFERROR(VLOOKUP($D409,'Clients-Live'!$A:$C,3,0),"")</f>
        <v>AMANIYO JOYCE</v>
      </c>
      <c r="F409" s="291">
        <f>IFERROR(INDEX(Disbursements!$D:$D,MATCH('Live Collections'!G409,Disbursements!$C:$C,0)),"")</f>
        <v>1</v>
      </c>
      <c r="G409" s="34">
        <v>73</v>
      </c>
      <c r="H409" s="34"/>
      <c r="I409" s="34" t="s">
        <v>1358</v>
      </c>
      <c r="J409" s="48"/>
      <c r="K409" s="48"/>
      <c r="L409" s="48"/>
      <c r="M409" s="48"/>
      <c r="N409" s="59"/>
      <c r="O409" s="59">
        <v>70000</v>
      </c>
      <c r="P409" s="59"/>
      <c r="Q409" s="268">
        <f t="shared" si="20"/>
        <v>70000</v>
      </c>
      <c r="R409" s="61">
        <f>IF(O409=0,0,SUMIFS(Disbursements!$T:$T,Disbursements!$B:$B,'Live Collections'!D409,Disbursements!$D:$D,'Live Collections'!F409))</f>
        <v>150000</v>
      </c>
      <c r="S409" s="304">
        <f>IF(O409&lt;=IF($O409=0,0,SUMIFS(Disbursements!$W:$W,Disbursements!$B:$B,'Live Collections'!D1329,Disbursements!$D:$D,'Live Collections'!F1329)),O409,IF($O409=0,0,SUMIFS(Disbursements!$W:$W,Disbursements!$B:$B,'Live Collections'!D1329,Disbursements!$D:$D,'Live Collections'!F1329)))</f>
        <v>30000</v>
      </c>
      <c r="T409" s="304">
        <f t="shared" si="21"/>
        <v>40000</v>
      </c>
      <c r="U409" s="52"/>
      <c r="V409" s="34"/>
      <c r="W409" s="408"/>
    </row>
    <row r="410" spans="1:23" ht="12.75" customHeight="1" x14ac:dyDescent="0.2">
      <c r="A410" s="132">
        <v>398</v>
      </c>
      <c r="B410" s="44">
        <v>44403</v>
      </c>
      <c r="C410" s="44">
        <f t="shared" si="19"/>
        <v>44403</v>
      </c>
      <c r="D410" s="374">
        <v>90</v>
      </c>
      <c r="E410" s="291" t="str">
        <f>IFERROR(VLOOKUP($D410,'Clients-Live'!$A:$C,3,0),"")</f>
        <v>ZABIBU RAJAB SAIDI</v>
      </c>
      <c r="F410" s="291">
        <f>IFERROR(INDEX(Disbursements!$D:$D,MATCH('Live Collections'!G410,Disbursements!$C:$C,0)),"")</f>
        <v>1</v>
      </c>
      <c r="G410" s="34">
        <v>77</v>
      </c>
      <c r="H410" s="34"/>
      <c r="I410" s="34" t="s">
        <v>1358</v>
      </c>
      <c r="J410" s="48"/>
      <c r="K410" s="48"/>
      <c r="L410" s="48"/>
      <c r="M410" s="48"/>
      <c r="N410" s="59"/>
      <c r="O410" s="59">
        <v>173400</v>
      </c>
      <c r="P410" s="59"/>
      <c r="Q410" s="268">
        <f t="shared" si="20"/>
        <v>173400</v>
      </c>
      <c r="R410" s="61">
        <f>IF(O410=0,0,SUMIFS(Disbursements!$T:$T,Disbursements!$B:$B,'Live Collections'!D410,Disbursements!$D:$D,'Live Collections'!F410))</f>
        <v>174000</v>
      </c>
      <c r="S410" s="304">
        <f>IF(O410&lt;=IF($O410=0,0,SUMIFS(Disbursements!$W:$W,Disbursements!$B:$B,'Live Collections'!D1171,Disbursements!$D:$D,'Live Collections'!F1171)),O410,IF($O410=0,0,SUMIFS(Disbursements!$W:$W,Disbursements!$B:$B,'Live Collections'!D1171,Disbursements!$D:$D,'Live Collections'!F1171)))</f>
        <v>15000</v>
      </c>
      <c r="T410" s="304">
        <f t="shared" si="21"/>
        <v>158400</v>
      </c>
      <c r="U410" s="52"/>
      <c r="V410" s="34"/>
      <c r="W410" s="408"/>
    </row>
    <row r="411" spans="1:23" ht="12.75" customHeight="1" x14ac:dyDescent="0.2">
      <c r="A411" s="257">
        <v>400</v>
      </c>
      <c r="B411" s="44">
        <v>44403</v>
      </c>
      <c r="C411" s="44">
        <f t="shared" si="19"/>
        <v>44403</v>
      </c>
      <c r="D411" s="374">
        <v>91</v>
      </c>
      <c r="E411" s="291" t="str">
        <f>IFERROR(VLOOKUP($D411,'Clients-Live'!$A:$C,3,0),"")</f>
        <v>CHANDIRU SALILA</v>
      </c>
      <c r="F411" s="291">
        <f>IFERROR(INDEX(Disbursements!$D:$D,MATCH('Live Collections'!G411,Disbursements!$C:$C,0)),"")</f>
        <v>1</v>
      </c>
      <c r="G411" s="34">
        <v>75</v>
      </c>
      <c r="H411" s="34"/>
      <c r="I411" s="34" t="s">
        <v>1359</v>
      </c>
      <c r="J411" s="48"/>
      <c r="K411" s="48"/>
      <c r="L411" s="48"/>
      <c r="M411" s="48"/>
      <c r="N411" s="59"/>
      <c r="O411" s="59">
        <v>60000</v>
      </c>
      <c r="P411" s="59"/>
      <c r="Q411" s="268">
        <f t="shared" si="20"/>
        <v>60000</v>
      </c>
      <c r="R411" s="61">
        <f>IF(O411=0,0,SUMIFS(Disbursements!$T:$T,Disbursements!$B:$B,'Live Collections'!D411,Disbursements!$D:$D,'Live Collections'!F411))</f>
        <v>60000</v>
      </c>
      <c r="S411" s="304">
        <f>IF(O411&lt;=IF($O411=0,0,SUMIFS(Disbursements!$W:$W,Disbursements!$B:$B,'Live Collections'!D1182,Disbursements!$D:$D,'Live Collections'!F1182)),O411,IF($O411=0,0,SUMIFS(Disbursements!$W:$W,Disbursements!$B:$B,'Live Collections'!D1182,Disbursements!$D:$D,'Live Collections'!F1182)))</f>
        <v>13000</v>
      </c>
      <c r="T411" s="304">
        <f t="shared" si="21"/>
        <v>47000</v>
      </c>
      <c r="U411" s="52"/>
      <c r="V411" s="34"/>
      <c r="W411" s="408"/>
    </row>
    <row r="412" spans="1:23" ht="12.75" customHeight="1" x14ac:dyDescent="0.2">
      <c r="A412" s="132">
        <v>399</v>
      </c>
      <c r="B412" s="44">
        <v>44403</v>
      </c>
      <c r="C412" s="44">
        <f t="shared" si="19"/>
        <v>44403</v>
      </c>
      <c r="D412" s="374">
        <v>95</v>
      </c>
      <c r="E412" s="291" t="str">
        <f>IFERROR(VLOOKUP($D412,'Clients-Live'!$A:$C,3,0),"")</f>
        <v>MUNDURU SIFA</v>
      </c>
      <c r="F412" s="291">
        <f>IFERROR(INDEX(Disbursements!$D:$D,MATCH('Live Collections'!G412,Disbursements!$C:$C,0)),"")</f>
        <v>1</v>
      </c>
      <c r="G412" s="34">
        <v>76</v>
      </c>
      <c r="H412" s="34"/>
      <c r="I412" s="34" t="s">
        <v>1357</v>
      </c>
      <c r="J412" s="48"/>
      <c r="K412" s="48"/>
      <c r="L412" s="48"/>
      <c r="M412" s="48"/>
      <c r="N412" s="59"/>
      <c r="O412" s="59">
        <v>80500</v>
      </c>
      <c r="P412" s="59"/>
      <c r="Q412" s="268">
        <f t="shared" si="20"/>
        <v>80500</v>
      </c>
      <c r="R412" s="61">
        <f>IF(O412=0,0,SUMIFS(Disbursements!$T:$T,Disbursements!$B:$B,'Live Collections'!D412,Disbursements!$D:$D,'Live Collections'!F412))</f>
        <v>175000</v>
      </c>
      <c r="S412" s="304">
        <f>IF(O412&lt;=IF($O412=0,0,SUMIFS(Disbursements!$W:$W,Disbursements!$B:$B,'Live Collections'!D1224,Disbursements!$D:$D,'Live Collections'!F1224)),O412,IF($O412=0,0,SUMIFS(Disbursements!$W:$W,Disbursements!$B:$B,'Live Collections'!D1224,Disbursements!$D:$D,'Live Collections'!F1224)))</f>
        <v>30000</v>
      </c>
      <c r="T412" s="304">
        <f t="shared" si="21"/>
        <v>50500</v>
      </c>
      <c r="U412" s="52"/>
      <c r="V412" s="34"/>
      <c r="W412" s="408"/>
    </row>
    <row r="413" spans="1:23" ht="12.75" customHeight="1" x14ac:dyDescent="0.2">
      <c r="A413" s="257">
        <v>404</v>
      </c>
      <c r="B413" s="44">
        <v>44403</v>
      </c>
      <c r="C413" s="44">
        <f t="shared" si="19"/>
        <v>44403</v>
      </c>
      <c r="D413" s="374">
        <v>116</v>
      </c>
      <c r="E413" s="291" t="str">
        <f>IFERROR(VLOOKUP($D413,'Clients-Live'!$A:$C,3,0),"")</f>
        <v>ONZIA LUCY</v>
      </c>
      <c r="F413" s="291">
        <f>IFERROR(INDEX(Disbursements!$D:$D,MATCH('Live Collections'!G413,Disbursements!$C:$C,0)),"")</f>
        <v>1</v>
      </c>
      <c r="G413" s="34">
        <v>95</v>
      </c>
      <c r="H413" s="34"/>
      <c r="I413" s="34" t="s">
        <v>1357</v>
      </c>
      <c r="J413" s="48"/>
      <c r="K413" s="48"/>
      <c r="L413" s="48"/>
      <c r="M413" s="48"/>
      <c r="N413" s="59"/>
      <c r="O413" s="59">
        <v>20000</v>
      </c>
      <c r="P413" s="59"/>
      <c r="Q413" s="268">
        <f t="shared" si="20"/>
        <v>20000</v>
      </c>
      <c r="R413" s="61">
        <f>IF(O413=0,0,SUMIFS(Disbursements!$T:$T,Disbursements!$B:$B,'Live Collections'!D413,Disbursements!$D:$D,'Live Collections'!F413))</f>
        <v>20000</v>
      </c>
      <c r="S413" s="304"/>
      <c r="T413" s="304">
        <f t="shared" si="21"/>
        <v>20000</v>
      </c>
      <c r="U413" s="52"/>
      <c r="V413" s="34"/>
      <c r="W413" s="408"/>
    </row>
    <row r="414" spans="1:23" ht="12.75" customHeight="1" x14ac:dyDescent="0.2">
      <c r="A414" s="132">
        <v>397</v>
      </c>
      <c r="B414" s="44">
        <v>44403</v>
      </c>
      <c r="C414" s="44">
        <f t="shared" si="19"/>
        <v>44403</v>
      </c>
      <c r="D414" s="374">
        <v>132</v>
      </c>
      <c r="E414" s="291" t="str">
        <f>IFERROR(VLOOKUP($D414,'Clients-Live'!$A:$C,3,0),"")</f>
        <v>MANIYO JOICE</v>
      </c>
      <c r="F414" s="291">
        <f>IFERROR(INDEX(Disbursements!$D:$D,MATCH('Live Collections'!G414,Disbursements!$C:$C,0)),"")</f>
        <v>1</v>
      </c>
      <c r="G414" s="34">
        <v>134</v>
      </c>
      <c r="H414" s="34"/>
      <c r="I414" s="34" t="s">
        <v>863</v>
      </c>
      <c r="J414" s="48"/>
      <c r="K414" s="48"/>
      <c r="L414" s="48">
        <v>10000</v>
      </c>
      <c r="M414" s="48">
        <v>5000</v>
      </c>
      <c r="N414" s="59"/>
      <c r="O414" s="59"/>
      <c r="P414" s="59">
        <v>40000</v>
      </c>
      <c r="Q414" s="268">
        <f t="shared" si="20"/>
        <v>55000</v>
      </c>
      <c r="R414" s="61">
        <f>IF(O414=0,0,SUMIFS(Disbursements!$T:$T,Disbursements!$B:$B,'Live Collections'!D414,Disbursements!$D:$D,'Live Collections'!F414))</f>
        <v>0</v>
      </c>
      <c r="S414" s="304">
        <f>IF(O414&lt;=IF($O414=0,0,SUMIFS(Disbursements!$W:$W,Disbursements!$B:$B,'Live Collections'!D1662,Disbursements!$D:$D,'Live Collections'!F1662)),O414,IF($O414=0,0,SUMIFS(Disbursements!$W:$W,Disbursements!$B:$B,'Live Collections'!D1662,Disbursements!$D:$D,'Live Collections'!F1662)))</f>
        <v>0</v>
      </c>
      <c r="T414" s="304">
        <f t="shared" si="21"/>
        <v>0</v>
      </c>
      <c r="U414" s="52"/>
      <c r="V414" s="34"/>
      <c r="W414" s="408"/>
    </row>
    <row r="415" spans="1:23" ht="12.75" customHeight="1" x14ac:dyDescent="0.2">
      <c r="A415" s="257">
        <v>402</v>
      </c>
      <c r="B415" s="44">
        <v>44403</v>
      </c>
      <c r="C415" s="44">
        <f t="shared" si="19"/>
        <v>44403</v>
      </c>
      <c r="D415" s="374">
        <v>137</v>
      </c>
      <c r="E415" s="291" t="str">
        <f>IFERROR(VLOOKUP($D415,'Clients-Live'!$A:$C,3,0),"")</f>
        <v>YAKANI CHARLES</v>
      </c>
      <c r="F415" s="291">
        <f>IFERROR(INDEX(Disbursements!$D:$D,MATCH('Live Collections'!G415,Disbursements!$C:$C,0)),"")</f>
        <v>2</v>
      </c>
      <c r="G415" s="34">
        <v>139</v>
      </c>
      <c r="H415" s="34"/>
      <c r="I415" s="34" t="s">
        <v>1359</v>
      </c>
      <c r="J415" s="48"/>
      <c r="K415" s="48"/>
      <c r="L415" s="48"/>
      <c r="M415" s="48"/>
      <c r="N415" s="59"/>
      <c r="O415" s="59">
        <v>30000</v>
      </c>
      <c r="P415" s="59"/>
      <c r="Q415" s="268">
        <f t="shared" si="20"/>
        <v>30000</v>
      </c>
      <c r="R415" s="61">
        <f>IF(O415=0,0,SUMIFS(Disbursements!$T:$T,Disbursements!$B:$B,'Live Collections'!D415,Disbursements!$D:$D,'Live Collections'!F415))</f>
        <v>360000</v>
      </c>
      <c r="S415" s="304">
        <f>IF(O415&lt;=IF($O415=0,0,SUMIFS(Disbursements!$W:$W,Disbursements!$B:$B,'Live Collections'!D1724,Disbursements!$D:$D,'Live Collections'!F1724)),O415,IF($O415=0,0,SUMIFS(Disbursements!$W:$W,Disbursements!$B:$B,'Live Collections'!D1724,Disbursements!$D:$D,'Live Collections'!F1724)))</f>
        <v>30000</v>
      </c>
      <c r="T415" s="304">
        <f t="shared" si="21"/>
        <v>0</v>
      </c>
      <c r="U415" s="52"/>
      <c r="V415" s="34"/>
      <c r="W415" s="408"/>
    </row>
    <row r="416" spans="1:23" ht="12.75" customHeight="1" x14ac:dyDescent="0.2">
      <c r="A416" s="132">
        <v>396</v>
      </c>
      <c r="B416" s="44">
        <v>44403</v>
      </c>
      <c r="C416" s="44">
        <f t="shared" si="19"/>
        <v>44403</v>
      </c>
      <c r="D416" s="374">
        <v>149</v>
      </c>
      <c r="E416" s="291" t="str">
        <f>IFERROR(VLOOKUP($D416,'Clients-Live'!$A:$C,3,0),"")</f>
        <v>SIKA AMIDRA</v>
      </c>
      <c r="F416" s="291" t="str">
        <f>IFERROR(INDEX(Disbursements!$D:$D,MATCH('Live Collections'!G416,Disbursements!$C:$C,0)),"")</f>
        <v/>
      </c>
      <c r="G416" s="34"/>
      <c r="H416" s="34"/>
      <c r="I416" s="34" t="s">
        <v>1814</v>
      </c>
      <c r="J416" s="48">
        <v>15000</v>
      </c>
      <c r="K416" s="48">
        <v>5000</v>
      </c>
      <c r="L416" s="48"/>
      <c r="M416" s="48"/>
      <c r="N416" s="59"/>
      <c r="O416" s="59"/>
      <c r="P416" s="59"/>
      <c r="Q416" s="268">
        <f t="shared" si="20"/>
        <v>20000</v>
      </c>
      <c r="R416" s="61">
        <f>IF(O416=0,0,SUMIFS(Disbursements!$T:$T,Disbursements!$B:$B,'Live Collections'!D416,Disbursements!$D:$D,'Live Collections'!F416))</f>
        <v>0</v>
      </c>
      <c r="S416" s="304">
        <f>IF(O416&lt;=IF($O416=0,0,SUMIFS(Disbursements!$W:$W,Disbursements!$B:$B,'Live Collections'!D1881,Disbursements!$D:$D,'Live Collections'!F1881)),O416,IF($O416=0,0,SUMIFS(Disbursements!$W:$W,Disbursements!$B:$B,'Live Collections'!D1881,Disbursements!$D:$D,'Live Collections'!F1881)))</f>
        <v>0</v>
      </c>
      <c r="T416" s="304">
        <f t="shared" si="21"/>
        <v>0</v>
      </c>
      <c r="U416" s="52">
        <v>776471601</v>
      </c>
      <c r="V416" s="34"/>
      <c r="W416" s="408"/>
    </row>
    <row r="417" spans="1:23" ht="12.75" customHeight="1" x14ac:dyDescent="0.2">
      <c r="A417" s="257">
        <v>414</v>
      </c>
      <c r="B417" s="44">
        <v>44404</v>
      </c>
      <c r="C417" s="44">
        <f t="shared" si="19"/>
        <v>44404</v>
      </c>
      <c r="D417" s="374">
        <v>20</v>
      </c>
      <c r="E417" s="291" t="str">
        <f>IFERROR(VLOOKUP($D417,'Clients-Live'!$A:$C,3,0),"")</f>
        <v>ANDEZO KEVIN</v>
      </c>
      <c r="F417" s="291">
        <f>IFERROR(INDEX(Disbursements!$D:$D,MATCH('Live Collections'!G417,Disbursements!$C:$C,0)),"")</f>
        <v>1</v>
      </c>
      <c r="G417" s="34">
        <v>11</v>
      </c>
      <c r="H417" s="34"/>
      <c r="I417" s="34" t="s">
        <v>1358</v>
      </c>
      <c r="J417" s="48"/>
      <c r="K417" s="48"/>
      <c r="L417" s="48"/>
      <c r="M417" s="48"/>
      <c r="N417" s="59"/>
      <c r="O417" s="59">
        <v>130000</v>
      </c>
      <c r="P417" s="59"/>
      <c r="Q417" s="268">
        <f t="shared" si="20"/>
        <v>130000</v>
      </c>
      <c r="R417" s="61">
        <f>IF(O417=0,0,SUMIFS(Disbursements!$T:$T,Disbursements!$B:$B,'Live Collections'!D417,Disbursements!$D:$D,'Live Collections'!F417))</f>
        <v>180000</v>
      </c>
      <c r="S417" s="304">
        <f>IF(O417&lt;=IF($O417=0,0,SUMIFS(Disbursements!$W:$W,Disbursements!$B:$B,'Live Collections'!D247,Disbursements!$D:$D,'Live Collections'!F247)),O417,IF($O417=0,0,SUMIFS(Disbursements!$W:$W,Disbursements!$B:$B,'Live Collections'!D247,Disbursements!$D:$D,'Live Collections'!F247)))</f>
        <v>0</v>
      </c>
      <c r="T417" s="304">
        <f t="shared" si="21"/>
        <v>130000</v>
      </c>
      <c r="U417" s="52"/>
      <c r="V417" s="34"/>
      <c r="W417" s="408"/>
    </row>
    <row r="418" spans="1:23" ht="12.75" customHeight="1" x14ac:dyDescent="0.2">
      <c r="A418" s="132">
        <v>419</v>
      </c>
      <c r="B418" s="44">
        <v>44404</v>
      </c>
      <c r="C418" s="44">
        <f t="shared" si="19"/>
        <v>44404</v>
      </c>
      <c r="D418" s="374">
        <v>21</v>
      </c>
      <c r="E418" s="291" t="str">
        <f>IFERROR(VLOOKUP($D418,'Clients-Live'!$A:$C,3,0),"")</f>
        <v>ESABORU EUNICE</v>
      </c>
      <c r="F418" s="291">
        <f>IFERROR(INDEX(Disbursements!$D:$D,MATCH('Live Collections'!G418,Disbursements!$C:$C,0)),"")</f>
        <v>1</v>
      </c>
      <c r="G418" s="34">
        <v>17</v>
      </c>
      <c r="H418" s="34">
        <v>754</v>
      </c>
      <c r="I418" s="34" t="s">
        <v>1358</v>
      </c>
      <c r="J418" s="48"/>
      <c r="K418" s="48"/>
      <c r="L418" s="48"/>
      <c r="M418" s="48"/>
      <c r="N418" s="59"/>
      <c r="O418" s="59">
        <v>30000</v>
      </c>
      <c r="P418" s="59"/>
      <c r="Q418" s="268">
        <f t="shared" si="20"/>
        <v>30000</v>
      </c>
      <c r="R418" s="61">
        <f>IF(O418=0,0,SUMIFS(Disbursements!$T:$T,Disbursements!$B:$B,'Live Collections'!D418,Disbursements!$D:$D,'Live Collections'!F418))</f>
        <v>90000</v>
      </c>
      <c r="S418" s="304">
        <f>IF(O418&lt;=IF($O418=0,0,SUMIFS(Disbursements!$W:$W,Disbursements!$B:$B,'Live Collections'!D266,Disbursements!$D:$D,'Live Collections'!F266)),O418,IF($O418=0,0,SUMIFS(Disbursements!$W:$W,Disbursements!$B:$B,'Live Collections'!D266,Disbursements!$D:$D,'Live Collections'!F266)))</f>
        <v>3333.3333333333321</v>
      </c>
      <c r="T418" s="304">
        <f t="shared" si="21"/>
        <v>26666.666666666668</v>
      </c>
      <c r="U418" s="52"/>
      <c r="V418" s="34"/>
      <c r="W418" s="408"/>
    </row>
    <row r="419" spans="1:23" ht="12.75" customHeight="1" x14ac:dyDescent="0.2">
      <c r="A419" s="257">
        <v>418</v>
      </c>
      <c r="B419" s="44">
        <v>44404</v>
      </c>
      <c r="C419" s="44">
        <f t="shared" si="19"/>
        <v>44404</v>
      </c>
      <c r="D419" s="374">
        <v>30</v>
      </c>
      <c r="E419" s="291" t="str">
        <f>IFERROR(VLOOKUP($D419,'Clients-Live'!$A:$C,3,0),"")</f>
        <v>SITARAYA PATRICIA IDERU</v>
      </c>
      <c r="F419" s="291">
        <f>IFERROR(INDEX(Disbursements!$D:$D,MATCH('Live Collections'!G419,Disbursements!$C:$C,0)),"")</f>
        <v>1</v>
      </c>
      <c r="G419" s="34">
        <v>18</v>
      </c>
      <c r="H419" s="34"/>
      <c r="I419" s="34" t="s">
        <v>1358</v>
      </c>
      <c r="J419" s="48"/>
      <c r="K419" s="48"/>
      <c r="L419" s="48"/>
      <c r="M419" s="48"/>
      <c r="N419" s="59"/>
      <c r="O419" s="59">
        <v>70000</v>
      </c>
      <c r="P419" s="59"/>
      <c r="Q419" s="268">
        <f t="shared" si="20"/>
        <v>70000</v>
      </c>
      <c r="R419" s="61">
        <f>IF(O419=0,0,SUMIFS(Disbursements!$T:$T,Disbursements!$B:$B,'Live Collections'!D419,Disbursements!$D:$D,'Live Collections'!F419))</f>
        <v>120000</v>
      </c>
      <c r="S419" s="304"/>
      <c r="T419" s="304">
        <f t="shared" si="21"/>
        <v>70000</v>
      </c>
      <c r="U419" s="52"/>
      <c r="V419" s="34"/>
      <c r="W419" s="408"/>
    </row>
    <row r="420" spans="1:23" ht="12.75" customHeight="1" x14ac:dyDescent="0.2">
      <c r="A420" s="132">
        <v>416</v>
      </c>
      <c r="B420" s="44">
        <v>44404</v>
      </c>
      <c r="C420" s="44">
        <f t="shared" si="19"/>
        <v>44404</v>
      </c>
      <c r="D420" s="374">
        <v>49</v>
      </c>
      <c r="E420" s="291" t="str">
        <f>IFERROR(VLOOKUP($D420,'Clients-Live'!$A:$C,3,0),"")</f>
        <v>MAWUZU SARAH</v>
      </c>
      <c r="F420" s="291">
        <f>IFERROR(INDEX(Disbursements!$D:$D,MATCH('Live Collections'!G420,Disbursements!$C:$C,0)),"")</f>
        <v>1</v>
      </c>
      <c r="G420" s="34">
        <v>33</v>
      </c>
      <c r="H420" s="34"/>
      <c r="I420" s="34" t="s">
        <v>1358</v>
      </c>
      <c r="J420" s="48"/>
      <c r="K420" s="48"/>
      <c r="L420" s="48"/>
      <c r="M420" s="48"/>
      <c r="N420" s="59"/>
      <c r="O420" s="59">
        <v>30000</v>
      </c>
      <c r="P420" s="59"/>
      <c r="Q420" s="268">
        <f t="shared" si="20"/>
        <v>30000</v>
      </c>
      <c r="R420" s="61">
        <f>IF(O420=0,0,SUMIFS(Disbursements!$T:$T,Disbursements!$B:$B,'Live Collections'!D420,Disbursements!$D:$D,'Live Collections'!F420))</f>
        <v>150000</v>
      </c>
      <c r="S420" s="304">
        <f>IF(O420&lt;=IF($O420=0,0,SUMIFS(Disbursements!$W:$W,Disbursements!$B:$B,'Live Collections'!D560,Disbursements!$D:$D,'Live Collections'!F560)),O420,IF($O420=0,0,SUMIFS(Disbursements!$W:$W,Disbursements!$B:$B,'Live Collections'!D560,Disbursements!$D:$D,'Live Collections'!F560)))</f>
        <v>0</v>
      </c>
      <c r="T420" s="304">
        <f t="shared" si="21"/>
        <v>30000</v>
      </c>
      <c r="U420" s="52"/>
      <c r="V420" s="34"/>
      <c r="W420" s="408"/>
    </row>
    <row r="421" spans="1:23" ht="12.75" customHeight="1" x14ac:dyDescent="0.2">
      <c r="A421" s="257">
        <v>417</v>
      </c>
      <c r="B421" s="44">
        <v>44404</v>
      </c>
      <c r="C421" s="44">
        <f t="shared" si="19"/>
        <v>44404</v>
      </c>
      <c r="D421" s="374">
        <v>89</v>
      </c>
      <c r="E421" s="291" t="str">
        <f>IFERROR(VLOOKUP($D421,'Clients-Live'!$A:$C,3,0),"")</f>
        <v>ANDA FLORENCE</v>
      </c>
      <c r="F421" s="291">
        <f>IFERROR(INDEX(Disbursements!$D:$D,MATCH('Live Collections'!G421,Disbursements!$C:$C,0)),"")</f>
        <v>1</v>
      </c>
      <c r="G421" s="34">
        <v>78</v>
      </c>
      <c r="H421" s="34">
        <v>739</v>
      </c>
      <c r="I421" s="34" t="s">
        <v>862</v>
      </c>
      <c r="J421" s="48"/>
      <c r="K421" s="48"/>
      <c r="L421" s="48"/>
      <c r="M421" s="48"/>
      <c r="N421" s="59"/>
      <c r="O421" s="59">
        <v>152000</v>
      </c>
      <c r="P421" s="59"/>
      <c r="Q421" s="268">
        <f t="shared" si="20"/>
        <v>152000</v>
      </c>
      <c r="R421" s="61">
        <f>IF(O421=0,0,SUMIFS(Disbursements!$T:$T,Disbursements!$B:$B,'Live Collections'!D421,Disbursements!$D:$D,'Live Collections'!F421))</f>
        <v>152000</v>
      </c>
      <c r="S421" s="304">
        <f>IF(O421&lt;=IF($O421=0,0,SUMIFS(Disbursements!$W:$W,Disbursements!$B:$B,'Live Collections'!D1156,Disbursements!$D:$D,'Live Collections'!F1156)),O421,IF($O421=0,0,SUMIFS(Disbursements!$W:$W,Disbursements!$B:$B,'Live Collections'!D1156,Disbursements!$D:$D,'Live Collections'!F1156)))</f>
        <v>0</v>
      </c>
      <c r="T421" s="304">
        <f t="shared" si="21"/>
        <v>152000</v>
      </c>
      <c r="U421" s="52"/>
      <c r="V421" s="34"/>
      <c r="W421" s="408"/>
    </row>
    <row r="422" spans="1:23" ht="12.75" customHeight="1" x14ac:dyDescent="0.2">
      <c r="A422" s="132">
        <v>415</v>
      </c>
      <c r="B422" s="44">
        <v>44404</v>
      </c>
      <c r="C422" s="44">
        <f t="shared" si="19"/>
        <v>44404</v>
      </c>
      <c r="D422" s="374">
        <v>92</v>
      </c>
      <c r="E422" s="291" t="str">
        <f>IFERROR(VLOOKUP($D422,'Clients-Live'!$A:$C,3,0),"")</f>
        <v>FAIDA ZAKIYA</v>
      </c>
      <c r="F422" s="291">
        <f>IFERROR(INDEX(Disbursements!$D:$D,MATCH('Live Collections'!G422,Disbursements!$C:$C,0)),"")</f>
        <v>1</v>
      </c>
      <c r="G422" s="34">
        <v>74</v>
      </c>
      <c r="H422" s="34"/>
      <c r="I422" s="34" t="s">
        <v>1358</v>
      </c>
      <c r="J422" s="48"/>
      <c r="K422" s="48"/>
      <c r="L422" s="48"/>
      <c r="M422" s="48"/>
      <c r="N422" s="59"/>
      <c r="O422" s="59">
        <v>80000</v>
      </c>
      <c r="P422" s="59"/>
      <c r="Q422" s="268">
        <f t="shared" si="20"/>
        <v>80000</v>
      </c>
      <c r="R422" s="61">
        <f>IF(O422=0,0,SUMIFS(Disbursements!$T:$T,Disbursements!$B:$B,'Live Collections'!D422,Disbursements!$D:$D,'Live Collections'!F422))</f>
        <v>175000</v>
      </c>
      <c r="S422" s="304">
        <f>IF(O422&lt;=IF($O422=0,0,SUMIFS(Disbursements!$W:$W,Disbursements!$B:$B,'Live Collections'!D1195,Disbursements!$D:$D,'Live Collections'!F1195)),O422,IF($O422=0,0,SUMIFS(Disbursements!$W:$W,Disbursements!$B:$B,'Live Collections'!D1195,Disbursements!$D:$D,'Live Collections'!F1195)))</f>
        <v>30000</v>
      </c>
      <c r="T422" s="304">
        <f t="shared" si="21"/>
        <v>50000</v>
      </c>
      <c r="U422" s="52"/>
      <c r="V422" s="34"/>
      <c r="W422" s="408"/>
    </row>
    <row r="423" spans="1:23" ht="12.75" customHeight="1" x14ac:dyDescent="0.2">
      <c r="A423" s="257">
        <v>420</v>
      </c>
      <c r="B423" s="44">
        <v>44404</v>
      </c>
      <c r="C423" s="44">
        <f t="shared" si="19"/>
        <v>44404</v>
      </c>
      <c r="D423" s="374">
        <v>94</v>
      </c>
      <c r="E423" s="291" t="str">
        <f>IFERROR(VLOOKUP($D423,'Clients-Live'!$A:$C,3,0),"")</f>
        <v>NGINYA RICHARD</v>
      </c>
      <c r="F423" s="291">
        <f>IFERROR(INDEX(Disbursements!$D:$D,MATCH('Live Collections'!G423,Disbursements!$C:$C,0)),"")</f>
        <v>1</v>
      </c>
      <c r="G423" s="34">
        <v>84</v>
      </c>
      <c r="H423" s="34"/>
      <c r="I423" s="34" t="s">
        <v>1357</v>
      </c>
      <c r="J423" s="48"/>
      <c r="K423" s="48"/>
      <c r="L423" s="48"/>
      <c r="M423" s="48"/>
      <c r="N423" s="59"/>
      <c r="O423" s="59">
        <v>120000</v>
      </c>
      <c r="P423" s="59"/>
      <c r="Q423" s="268">
        <f t="shared" si="20"/>
        <v>120000</v>
      </c>
      <c r="R423" s="61">
        <f>IF(O423=0,0,SUMIFS(Disbursements!$T:$T,Disbursements!$B:$B,'Live Collections'!D423,Disbursements!$D:$D,'Live Collections'!F423))</f>
        <v>120000</v>
      </c>
      <c r="S423" s="304">
        <f>IF(O423&lt;=IF($O423=0,0,SUMIFS(Disbursements!$W:$W,Disbursements!$B:$B,'Live Collections'!D1211,Disbursements!$D:$D,'Live Collections'!F1211)),O423,IF($O423=0,0,SUMIFS(Disbursements!$W:$W,Disbursements!$B:$B,'Live Collections'!D1211,Disbursements!$D:$D,'Live Collections'!F1211)))</f>
        <v>50333.333333333343</v>
      </c>
      <c r="T423" s="304">
        <f t="shared" si="21"/>
        <v>69666.666666666657</v>
      </c>
      <c r="U423" s="52"/>
      <c r="V423" s="34"/>
      <c r="W423" s="408"/>
    </row>
    <row r="424" spans="1:23" ht="12.75" customHeight="1" x14ac:dyDescent="0.2">
      <c r="A424" s="132">
        <v>421</v>
      </c>
      <c r="B424" s="44">
        <v>44404</v>
      </c>
      <c r="C424" s="44">
        <f t="shared" si="19"/>
        <v>44404</v>
      </c>
      <c r="D424" s="374">
        <v>103</v>
      </c>
      <c r="E424" s="291" t="str">
        <f>IFERROR(VLOOKUP($D424,'Clients-Live'!$A:$C,3,0),"")</f>
        <v>CHANDIRU ZABIB</v>
      </c>
      <c r="F424" s="291">
        <f>IFERROR(INDEX(Disbursements!$D:$D,MATCH('Live Collections'!G424,Disbursements!$C:$C,0)),"")</f>
        <v>1</v>
      </c>
      <c r="G424" s="34">
        <v>88</v>
      </c>
      <c r="H424" s="34"/>
      <c r="I424" s="34" t="s">
        <v>1358</v>
      </c>
      <c r="J424" s="48"/>
      <c r="K424" s="48"/>
      <c r="L424" s="48"/>
      <c r="M424" s="48"/>
      <c r="N424" s="59"/>
      <c r="O424" s="59">
        <v>120000</v>
      </c>
      <c r="P424" s="59"/>
      <c r="Q424" s="268">
        <f t="shared" si="20"/>
        <v>120000</v>
      </c>
      <c r="R424" s="61">
        <f>IF(O424=0,0,SUMIFS(Disbursements!$T:$T,Disbursements!$B:$B,'Live Collections'!D424,Disbursements!$D:$D,'Live Collections'!F424))</f>
        <v>120000</v>
      </c>
      <c r="S424" s="304">
        <f>IF(O424&lt;=IF($O424=0,0,SUMIFS(Disbursements!$W:$W,Disbursements!$B:$B,'Live Collections'!D1322,Disbursements!$D:$D,'Live Collections'!F1322)),O424,IF($O424=0,0,SUMIFS(Disbursements!$W:$W,Disbursements!$B:$B,'Live Collections'!D1322,Disbursements!$D:$D,'Live Collections'!F1322)))</f>
        <v>0</v>
      </c>
      <c r="T424" s="304">
        <f t="shared" si="21"/>
        <v>120000</v>
      </c>
      <c r="U424" s="52"/>
      <c r="V424" s="34"/>
      <c r="W424" s="408"/>
    </row>
    <row r="425" spans="1:23" ht="12.75" customHeight="1" x14ac:dyDescent="0.2">
      <c r="A425" s="257">
        <v>413</v>
      </c>
      <c r="B425" s="44">
        <v>44404</v>
      </c>
      <c r="C425" s="44">
        <f t="shared" si="19"/>
        <v>44404</v>
      </c>
      <c r="D425" s="374">
        <v>106</v>
      </c>
      <c r="E425" s="291" t="str">
        <f>IFERROR(VLOOKUP($D425,'Clients-Live'!$A:$C,3,0),"")</f>
        <v>ORODRIYO  NUSURA</v>
      </c>
      <c r="F425" s="291">
        <f>IFERROR(INDEX(Disbursements!$D:$D,MATCH('Live Collections'!G425,Disbursements!$C:$C,0)),"")</f>
        <v>1</v>
      </c>
      <c r="G425" s="34">
        <v>89</v>
      </c>
      <c r="H425" s="34">
        <v>748</v>
      </c>
      <c r="I425" s="34" t="s">
        <v>1357</v>
      </c>
      <c r="J425" s="48"/>
      <c r="K425" s="48"/>
      <c r="L425" s="48"/>
      <c r="M425" s="48"/>
      <c r="N425" s="59"/>
      <c r="O425" s="59">
        <v>20000</v>
      </c>
      <c r="P425" s="59"/>
      <c r="Q425" s="268">
        <f t="shared" si="20"/>
        <v>20000</v>
      </c>
      <c r="R425" s="61">
        <f>IF(O425=0,0,SUMIFS(Disbursements!$T:$T,Disbursements!$B:$B,'Live Collections'!D425,Disbursements!$D:$D,'Live Collections'!F425))</f>
        <v>20000</v>
      </c>
      <c r="S425" s="304">
        <v>19999.999999999985</v>
      </c>
      <c r="T425" s="304">
        <f t="shared" si="21"/>
        <v>1.4551915228366852E-11</v>
      </c>
      <c r="U425" s="52"/>
      <c r="V425" s="34"/>
      <c r="W425" s="408"/>
    </row>
    <row r="426" spans="1:23" ht="12.75" customHeight="1" x14ac:dyDescent="0.2">
      <c r="A426" s="132">
        <v>422</v>
      </c>
      <c r="B426" s="44">
        <v>44404</v>
      </c>
      <c r="C426" s="44">
        <f t="shared" si="19"/>
        <v>44404</v>
      </c>
      <c r="D426" s="374">
        <v>126</v>
      </c>
      <c r="E426" s="291" t="str">
        <f>IFERROR(VLOOKUP($D426,'Clients-Live'!$A:$C,3,0),"")</f>
        <v>OGWAL STEPHEN GERALD</v>
      </c>
      <c r="F426" s="291">
        <f>IFERROR(INDEX(Disbursements!$D:$D,MATCH('Live Collections'!G426,Disbursements!$C:$C,0)),"")</f>
        <v>1</v>
      </c>
      <c r="G426" s="34">
        <v>108</v>
      </c>
      <c r="H426" s="34"/>
      <c r="I426" s="34" t="s">
        <v>1359</v>
      </c>
      <c r="J426" s="48"/>
      <c r="K426" s="48"/>
      <c r="L426" s="48"/>
      <c r="M426" s="48"/>
      <c r="N426" s="59"/>
      <c r="O426" s="59">
        <v>752500</v>
      </c>
      <c r="P426" s="59"/>
      <c r="Q426" s="268">
        <f t="shared" si="20"/>
        <v>752500</v>
      </c>
      <c r="R426" s="61">
        <f>IF(O426=0,0,SUMIFS(Disbursements!$T:$T,Disbursements!$B:$B,'Live Collections'!D426,Disbursements!$D:$D,'Live Collections'!F426))</f>
        <v>753000</v>
      </c>
      <c r="S426" s="64">
        <v>53000</v>
      </c>
      <c r="T426" s="304">
        <f>IF(O426=0,0,O426-S426)+500</f>
        <v>700000</v>
      </c>
      <c r="U426" s="52"/>
      <c r="V426" s="34"/>
      <c r="W426" s="408"/>
    </row>
    <row r="427" spans="1:23" ht="12.75" customHeight="1" x14ac:dyDescent="0.2">
      <c r="A427" s="257">
        <v>412</v>
      </c>
      <c r="B427" s="44">
        <v>44404</v>
      </c>
      <c r="C427" s="44">
        <f t="shared" si="19"/>
        <v>44404</v>
      </c>
      <c r="D427" s="374">
        <v>148</v>
      </c>
      <c r="E427" s="291" t="str">
        <f>IFERROR(VLOOKUP($D427,'Clients-Live'!$A:$C,3,0),"")</f>
        <v>GBOKA ZAIDA</v>
      </c>
      <c r="F427" s="291">
        <f>IFERROR(INDEX(Disbursements!$D:$D,MATCH('Live Collections'!G427,Disbursements!$C:$C,0)),"")</f>
        <v>1</v>
      </c>
      <c r="G427" s="34">
        <v>135</v>
      </c>
      <c r="H427" s="34"/>
      <c r="I427" s="34" t="s">
        <v>862</v>
      </c>
      <c r="J427" s="48"/>
      <c r="K427" s="48"/>
      <c r="L427" s="48">
        <v>10000</v>
      </c>
      <c r="M427" s="48">
        <v>5000</v>
      </c>
      <c r="N427" s="59"/>
      <c r="O427" s="59"/>
      <c r="P427" s="59">
        <v>40000</v>
      </c>
      <c r="Q427" s="268">
        <f t="shared" si="20"/>
        <v>55000</v>
      </c>
      <c r="R427" s="61">
        <f>IF(O427=0,0,SUMIFS(Disbursements!$T:$T,Disbursements!$B:$B,'Live Collections'!D427,Disbursements!$D:$D,'Live Collections'!F427))</f>
        <v>0</v>
      </c>
      <c r="S427" s="304">
        <f>IF(O427&lt;=IF($O427=0,0,SUMIFS(Disbursements!$W:$W,Disbursements!$B:$B,'Live Collections'!D1867,Disbursements!$D:$D,'Live Collections'!F1867)),O427,IF($O427=0,0,SUMIFS(Disbursements!$W:$W,Disbursements!$B:$B,'Live Collections'!D1867,Disbursements!$D:$D,'Live Collections'!F1867)))</f>
        <v>0</v>
      </c>
      <c r="T427" s="304">
        <f t="shared" si="21"/>
        <v>0</v>
      </c>
      <c r="U427" s="52"/>
      <c r="V427" s="34"/>
      <c r="W427" s="408"/>
    </row>
    <row r="428" spans="1:23" ht="12.75" customHeight="1" x14ac:dyDescent="0.2">
      <c r="A428" s="132">
        <v>409</v>
      </c>
      <c r="B428" s="44">
        <v>44404</v>
      </c>
      <c r="C428" s="44">
        <f t="shared" si="19"/>
        <v>44404</v>
      </c>
      <c r="D428" s="374">
        <v>150</v>
      </c>
      <c r="E428" s="291" t="str">
        <f>IFERROR(VLOOKUP($D428,'Clients-Live'!$A:$C,3,0),"")</f>
        <v>ALOKE KENNEDY</v>
      </c>
      <c r="F428" s="291" t="str">
        <f>IFERROR(INDEX(Disbursements!$D:$D,MATCH('Live Collections'!G428,Disbursements!$C:$C,0)),"")</f>
        <v/>
      </c>
      <c r="G428" s="34"/>
      <c r="H428" s="34"/>
      <c r="I428" s="34" t="s">
        <v>1814</v>
      </c>
      <c r="J428" s="48">
        <v>15000</v>
      </c>
      <c r="K428" s="48">
        <v>5000</v>
      </c>
      <c r="L428" s="48"/>
      <c r="M428" s="48"/>
      <c r="N428" s="59"/>
      <c r="O428" s="59"/>
      <c r="P428" s="59"/>
      <c r="Q428" s="268">
        <f t="shared" si="20"/>
        <v>20000</v>
      </c>
      <c r="R428" s="61">
        <f>IF(O428=0,0,SUMIFS(Disbursements!$T:$T,Disbursements!$B:$B,'Live Collections'!D428,Disbursements!$D:$D,'Live Collections'!F428))</f>
        <v>0</v>
      </c>
      <c r="S428" s="304">
        <f>IF(O428&lt;=IF($O428=0,0,SUMIFS(Disbursements!$W:$W,Disbursements!$B:$B,'Live Collections'!D1891,Disbursements!$D:$D,'Live Collections'!F1891)),O428,IF($O428=0,0,SUMIFS(Disbursements!$W:$W,Disbursements!$B:$B,'Live Collections'!D1891,Disbursements!$D:$D,'Live Collections'!F1891)))</f>
        <v>0</v>
      </c>
      <c r="T428" s="304">
        <f t="shared" si="21"/>
        <v>0</v>
      </c>
      <c r="U428" s="52">
        <v>775377910</v>
      </c>
      <c r="V428" s="34"/>
      <c r="W428" s="408"/>
    </row>
    <row r="429" spans="1:23" ht="12.75" customHeight="1" x14ac:dyDescent="0.2">
      <c r="A429" s="257">
        <v>410</v>
      </c>
      <c r="B429" s="44">
        <v>44404</v>
      </c>
      <c r="C429" s="44">
        <f t="shared" si="19"/>
        <v>44404</v>
      </c>
      <c r="D429" s="374">
        <v>151</v>
      </c>
      <c r="E429" s="291" t="str">
        <f>IFERROR(VLOOKUP($D429,'Clients-Live'!$A:$C,3,0),"")</f>
        <v>MORRO HASSAN</v>
      </c>
      <c r="F429" s="291" t="str">
        <f>IFERROR(INDEX(Disbursements!$D:$D,MATCH('Live Collections'!G429,Disbursements!$C:$C,0)),"")</f>
        <v/>
      </c>
      <c r="G429" s="34"/>
      <c r="H429" s="34"/>
      <c r="I429" s="34" t="s">
        <v>1814</v>
      </c>
      <c r="J429" s="48">
        <v>15000</v>
      </c>
      <c r="K429" s="48">
        <v>5000</v>
      </c>
      <c r="L429" s="48"/>
      <c r="M429" s="48"/>
      <c r="N429" s="59"/>
      <c r="O429" s="59"/>
      <c r="P429" s="59"/>
      <c r="Q429" s="268">
        <f t="shared" si="20"/>
        <v>20000</v>
      </c>
      <c r="R429" s="61">
        <f>IF(O429=0,0,SUMIFS(Disbursements!$T:$T,Disbursements!$B:$B,'Live Collections'!D429,Disbursements!$D:$D,'Live Collections'!F429))</f>
        <v>0</v>
      </c>
      <c r="S429" s="304">
        <f>IF(O429&lt;=IF($O429=0,0,SUMIFS(Disbursements!$W:$W,Disbursements!$B:$B,'Live Collections'!D1894,Disbursements!$D:$D,'Live Collections'!F1894)),O429,IF($O429=0,0,SUMIFS(Disbursements!$W:$W,Disbursements!$B:$B,'Live Collections'!D1894,Disbursements!$D:$D,'Live Collections'!F1894)))</f>
        <v>0</v>
      </c>
      <c r="T429" s="304">
        <f t="shared" si="21"/>
        <v>0</v>
      </c>
      <c r="U429" s="52">
        <v>786307686</v>
      </c>
      <c r="V429" s="34"/>
      <c r="W429" s="408"/>
    </row>
    <row r="430" spans="1:23" ht="12.75" customHeight="1" x14ac:dyDescent="0.2">
      <c r="A430" s="132">
        <v>411</v>
      </c>
      <c r="B430" s="44">
        <v>44404</v>
      </c>
      <c r="C430" s="44">
        <f t="shared" si="19"/>
        <v>44404</v>
      </c>
      <c r="D430" s="374">
        <v>152</v>
      </c>
      <c r="E430" s="291" t="str">
        <f>IFERROR(VLOOKUP($D430,'Clients-Live'!$A:$C,3,0),"")</f>
        <v>ASE ZAINABU</v>
      </c>
      <c r="F430" s="291" t="str">
        <f>IFERROR(INDEX(Disbursements!$D:$D,MATCH('Live Collections'!G430,Disbursements!$C:$C,0)),"")</f>
        <v/>
      </c>
      <c r="G430" s="34"/>
      <c r="H430" s="34"/>
      <c r="I430" s="34" t="s">
        <v>1814</v>
      </c>
      <c r="J430" s="48">
        <v>15000</v>
      </c>
      <c r="K430" s="48">
        <v>5000</v>
      </c>
      <c r="L430" s="48"/>
      <c r="M430" s="48"/>
      <c r="N430" s="59"/>
      <c r="O430" s="59"/>
      <c r="P430" s="59"/>
      <c r="Q430" s="268">
        <f t="shared" si="20"/>
        <v>20000</v>
      </c>
      <c r="R430" s="61">
        <f>IF(O430=0,0,SUMIFS(Disbursements!$T:$T,Disbursements!$B:$B,'Live Collections'!D430,Disbursements!$D:$D,'Live Collections'!F430))</f>
        <v>0</v>
      </c>
      <c r="S430" s="304">
        <f>IF(O430&lt;=IF($O430=0,0,SUMIFS(Disbursements!$W:$W,Disbursements!$B:$B,'Live Collections'!D1907,Disbursements!$D:$D,'Live Collections'!F1907)),O430,IF($O430=0,0,SUMIFS(Disbursements!$W:$W,Disbursements!$B:$B,'Live Collections'!D1907,Disbursements!$D:$D,'Live Collections'!F1907)))</f>
        <v>0</v>
      </c>
      <c r="T430" s="304">
        <f t="shared" si="21"/>
        <v>0</v>
      </c>
      <c r="U430" s="52">
        <v>776814060</v>
      </c>
      <c r="V430" s="34"/>
      <c r="W430" s="408"/>
    </row>
    <row r="431" spans="1:23" ht="12.75" customHeight="1" x14ac:dyDescent="0.2">
      <c r="A431" s="257">
        <v>433</v>
      </c>
      <c r="B431" s="44">
        <v>44405</v>
      </c>
      <c r="C431" s="44">
        <f t="shared" si="19"/>
        <v>44405</v>
      </c>
      <c r="D431" s="374">
        <v>9</v>
      </c>
      <c r="E431" s="291" t="str">
        <f>IFERROR(VLOOKUP($D431,'Clients-Live'!$A:$C,3,0),"")</f>
        <v>TABAN DAVID YAYA</v>
      </c>
      <c r="F431" s="291">
        <f>IFERROR(INDEX(Disbursements!$D:$D,MATCH('Live Collections'!G431,Disbursements!$C:$C,0)),"")</f>
        <v>1</v>
      </c>
      <c r="G431" s="34">
        <v>45</v>
      </c>
      <c r="H431" s="34"/>
      <c r="I431" s="34" t="s">
        <v>1357</v>
      </c>
      <c r="J431" s="48"/>
      <c r="K431" s="48"/>
      <c r="L431" s="48"/>
      <c r="M431" s="48"/>
      <c r="N431" s="59"/>
      <c r="O431" s="59">
        <v>90000</v>
      </c>
      <c r="P431" s="59"/>
      <c r="Q431" s="268">
        <f t="shared" si="20"/>
        <v>90000</v>
      </c>
      <c r="R431" s="61">
        <f>IF(O431=0,0,SUMIFS(Disbursements!$T:$T,Disbursements!$B:$B,'Live Collections'!D431,Disbursements!$D:$D,'Live Collections'!F431))</f>
        <v>180000</v>
      </c>
      <c r="S431" s="304">
        <f>IF(O431&lt;=IF($O431=0,0,SUMIFS(Disbursements!$W:$W,Disbursements!$B:$B,'Live Collections'!D311,Disbursements!$D:$D,'Live Collections'!F311)),O431,IF($O431=0,0,SUMIFS(Disbursements!$W:$W,Disbursements!$B:$B,'Live Collections'!D311,Disbursements!$D:$D,'Live Collections'!F311)))</f>
        <v>90000</v>
      </c>
      <c r="T431" s="304">
        <f t="shared" si="21"/>
        <v>0</v>
      </c>
      <c r="U431" s="52"/>
      <c r="V431" s="34"/>
      <c r="W431" s="408"/>
    </row>
    <row r="432" spans="1:23" ht="12.75" customHeight="1" x14ac:dyDescent="0.2">
      <c r="A432" s="132">
        <v>431</v>
      </c>
      <c r="B432" s="44">
        <v>44405</v>
      </c>
      <c r="C432" s="44">
        <f t="shared" si="19"/>
        <v>44405</v>
      </c>
      <c r="D432" s="374">
        <v>14</v>
      </c>
      <c r="E432" s="291" t="str">
        <f>IFERROR(VLOOKUP($D432,'Clients-Live'!$A:$C,3,0),"")</f>
        <v>ASIKU ROMANO ADEBUA</v>
      </c>
      <c r="F432" s="291">
        <f>IFERROR(INDEX(Disbursements!$D:$D,MATCH('Live Collections'!G432,Disbursements!$C:$C,0)),"")</f>
        <v>1</v>
      </c>
      <c r="G432" s="34">
        <v>5</v>
      </c>
      <c r="H432" s="34"/>
      <c r="I432" s="34" t="s">
        <v>1357</v>
      </c>
      <c r="J432" s="48"/>
      <c r="K432" s="48"/>
      <c r="L432" s="48"/>
      <c r="M432" s="48"/>
      <c r="N432" s="59"/>
      <c r="O432" s="59">
        <v>100000</v>
      </c>
      <c r="P432" s="59"/>
      <c r="Q432" s="268">
        <f t="shared" si="20"/>
        <v>100000</v>
      </c>
      <c r="R432" s="61">
        <f>IF(O432=0,0,SUMIFS(Disbursements!$T:$T,Disbursements!$B:$B,'Live Collections'!D432,Disbursements!$D:$D,'Live Collections'!F432))</f>
        <v>217000</v>
      </c>
      <c r="S432" s="304">
        <f>IF(O432&lt;=IF($O432=0,0,SUMIFS(Disbursements!$W:$W,Disbursements!$B:$B,'Live Collections'!D149,Disbursements!$D:$D,'Live Collections'!F149)),O432,IF($O432=0,0,SUMIFS(Disbursements!$W:$W,Disbursements!$B:$B,'Live Collections'!D149,Disbursements!$D:$D,'Live Collections'!F149)))</f>
        <v>15000</v>
      </c>
      <c r="T432" s="304">
        <f t="shared" si="21"/>
        <v>85000</v>
      </c>
      <c r="U432" s="52"/>
      <c r="V432" s="34"/>
      <c r="W432" s="408"/>
    </row>
    <row r="433" spans="1:23" ht="12.75" customHeight="1" x14ac:dyDescent="0.2">
      <c r="A433" s="257">
        <v>430</v>
      </c>
      <c r="B433" s="44">
        <v>44405</v>
      </c>
      <c r="C433" s="44">
        <f t="shared" si="19"/>
        <v>44405</v>
      </c>
      <c r="D433" s="374">
        <v>21</v>
      </c>
      <c r="E433" s="291" t="str">
        <f>IFERROR(VLOOKUP($D433,'Clients-Live'!$A:$C,3,0),"")</f>
        <v>ESABORU EUNICE</v>
      </c>
      <c r="F433" s="291">
        <f>IFERROR(INDEX(Disbursements!$D:$D,MATCH('Live Collections'!G433,Disbursements!$C:$C,0)),"")</f>
        <v>1</v>
      </c>
      <c r="G433" s="34">
        <v>17</v>
      </c>
      <c r="H433" s="34"/>
      <c r="I433" s="34" t="s">
        <v>1358</v>
      </c>
      <c r="J433" s="48"/>
      <c r="K433" s="48"/>
      <c r="L433" s="48"/>
      <c r="M433" s="48"/>
      <c r="N433" s="59"/>
      <c r="O433" s="59">
        <v>30000</v>
      </c>
      <c r="P433" s="59"/>
      <c r="Q433" s="268">
        <f t="shared" si="20"/>
        <v>30000</v>
      </c>
      <c r="R433" s="61">
        <f>IF(O433=0,0,SUMIFS(Disbursements!$T:$T,Disbursements!$B:$B,'Live Collections'!D433,Disbursements!$D:$D,'Live Collections'!F433))</f>
        <v>90000</v>
      </c>
      <c r="S433" s="304">
        <f>IF(O433&lt;=IF($O433=0,0,SUMIFS(Disbursements!$W:$W,Disbursements!$B:$B,'Live Collections'!D267,Disbursements!$D:$D,'Live Collections'!F267)),O433,IF($O433=0,0,SUMIFS(Disbursements!$W:$W,Disbursements!$B:$B,'Live Collections'!D267,Disbursements!$D:$D,'Live Collections'!F267)))</f>
        <v>3333.3333333333321</v>
      </c>
      <c r="T433" s="304">
        <f t="shared" si="21"/>
        <v>26666.666666666668</v>
      </c>
      <c r="U433" s="52"/>
      <c r="V433" s="34"/>
      <c r="W433" s="408"/>
    </row>
    <row r="434" spans="1:23" ht="12.75" customHeight="1" x14ac:dyDescent="0.2">
      <c r="A434" s="132">
        <v>429</v>
      </c>
      <c r="B434" s="44">
        <v>44405</v>
      </c>
      <c r="C434" s="44">
        <f t="shared" si="19"/>
        <v>44405</v>
      </c>
      <c r="D434" s="374">
        <v>23</v>
      </c>
      <c r="E434" s="291" t="str">
        <f>IFERROR(VLOOKUP($D434,'Clients-Live'!$A:$C,3,0),"")</f>
        <v>BADARU KEVIN ATELIONGA</v>
      </c>
      <c r="F434" s="291">
        <f>IFERROR(INDEX(Disbursements!$D:$D,MATCH('Live Collections'!G434,Disbursements!$C:$C,0)),"")</f>
        <v>1</v>
      </c>
      <c r="G434" s="34">
        <v>14</v>
      </c>
      <c r="H434" s="34"/>
      <c r="I434" s="34" t="s">
        <v>1357</v>
      </c>
      <c r="J434" s="48"/>
      <c r="K434" s="48"/>
      <c r="L434" s="48"/>
      <c r="M434" s="48"/>
      <c r="N434" s="59"/>
      <c r="O434" s="59">
        <v>65000</v>
      </c>
      <c r="P434" s="59"/>
      <c r="Q434" s="268">
        <f t="shared" si="20"/>
        <v>65000</v>
      </c>
      <c r="R434" s="61">
        <f>IF(O434=0,0,SUMIFS(Disbursements!$T:$T,Disbursements!$B:$B,'Live Collections'!D434,Disbursements!$D:$D,'Live Collections'!F434))</f>
        <v>33000</v>
      </c>
      <c r="S434" s="304"/>
      <c r="T434" s="304">
        <f t="shared" si="21"/>
        <v>65000</v>
      </c>
      <c r="U434" s="52"/>
      <c r="V434" s="34"/>
      <c r="W434" s="408"/>
    </row>
    <row r="435" spans="1:23" ht="12.75" customHeight="1" x14ac:dyDescent="0.2">
      <c r="A435" s="257">
        <v>434</v>
      </c>
      <c r="B435" s="44">
        <v>44405</v>
      </c>
      <c r="C435" s="44">
        <f t="shared" si="19"/>
        <v>44405</v>
      </c>
      <c r="D435" s="374">
        <v>58</v>
      </c>
      <c r="E435" s="291" t="str">
        <f>IFERROR(VLOOKUP($D435,'Clients-Live'!$A:$C,3,0),"")</f>
        <v xml:space="preserve">ALIRU AMINA </v>
      </c>
      <c r="F435" s="291">
        <f>IFERROR(INDEX(Disbursements!$D:$D,MATCH('Live Collections'!G435,Disbursements!$C:$C,0)),"")</f>
        <v>1</v>
      </c>
      <c r="G435" s="34">
        <v>46</v>
      </c>
      <c r="H435" s="34"/>
      <c r="I435" s="34" t="s">
        <v>1358</v>
      </c>
      <c r="J435" s="48"/>
      <c r="K435" s="48"/>
      <c r="L435" s="48"/>
      <c r="M435" s="48"/>
      <c r="N435" s="59"/>
      <c r="O435" s="59">
        <v>60000</v>
      </c>
      <c r="P435" s="59"/>
      <c r="Q435" s="268">
        <f t="shared" si="20"/>
        <v>60000</v>
      </c>
      <c r="R435" s="61">
        <f>IF(O435=0,0,SUMIFS(Disbursements!$T:$T,Disbursements!$B:$B,'Live Collections'!D435,Disbursements!$D:$D,'Live Collections'!F435))</f>
        <v>180000</v>
      </c>
      <c r="S435" s="64">
        <v>-44000</v>
      </c>
      <c r="T435" s="304">
        <f t="shared" si="21"/>
        <v>104000</v>
      </c>
      <c r="U435" s="52"/>
      <c r="V435" s="34"/>
      <c r="W435" s="408" t="s">
        <v>2086</v>
      </c>
    </row>
    <row r="436" spans="1:23" ht="12.75" customHeight="1" x14ac:dyDescent="0.2">
      <c r="A436" s="132">
        <v>428</v>
      </c>
      <c r="B436" s="44">
        <v>44405</v>
      </c>
      <c r="C436" s="44">
        <f t="shared" si="19"/>
        <v>44405</v>
      </c>
      <c r="D436" s="374">
        <v>97</v>
      </c>
      <c r="E436" s="291" t="str">
        <f>IFERROR(VLOOKUP($D436,'Clients-Live'!$A:$C,3,0),"")</f>
        <v>DRANDUA JOB CHRISPUS</v>
      </c>
      <c r="F436" s="291">
        <f>IFERROR(INDEX(Disbursements!$D:$D,MATCH('Live Collections'!G436,Disbursements!$C:$C,0)),"")</f>
        <v>1</v>
      </c>
      <c r="G436" s="34">
        <v>79</v>
      </c>
      <c r="H436" s="34">
        <v>753</v>
      </c>
      <c r="I436" s="34" t="s">
        <v>1359</v>
      </c>
      <c r="J436" s="48"/>
      <c r="K436" s="48"/>
      <c r="L436" s="48"/>
      <c r="M436" s="48"/>
      <c r="N436" s="59"/>
      <c r="O436" s="59">
        <v>2100000</v>
      </c>
      <c r="P436" s="59"/>
      <c r="Q436" s="268">
        <f t="shared" si="20"/>
        <v>2100000</v>
      </c>
      <c r="R436" s="61">
        <f>IF(O436=0,0,SUMIFS(Disbursements!$T:$T,Disbursements!$B:$B,'Live Collections'!D436,Disbursements!$D:$D,'Live Collections'!F436))</f>
        <v>2100000</v>
      </c>
      <c r="S436" s="304">
        <v>100000</v>
      </c>
      <c r="T436" s="304">
        <f t="shared" si="21"/>
        <v>2000000</v>
      </c>
      <c r="U436" s="52"/>
      <c r="V436" s="34"/>
      <c r="W436" s="408"/>
    </row>
    <row r="437" spans="1:23" ht="12.75" customHeight="1" x14ac:dyDescent="0.2">
      <c r="A437" s="257">
        <v>432</v>
      </c>
      <c r="B437" s="44">
        <v>44405</v>
      </c>
      <c r="C437" s="44">
        <f t="shared" si="19"/>
        <v>44405</v>
      </c>
      <c r="D437" s="374">
        <v>99</v>
      </c>
      <c r="E437" s="291" t="str">
        <f>IFERROR(VLOOKUP($D437,'Clients-Live'!$A:$C,3,0),"")</f>
        <v>SIJALI ASINA SIS</v>
      </c>
      <c r="F437" s="291">
        <f>IFERROR(INDEX(Disbursements!$D:$D,MATCH('Live Collections'!G437,Disbursements!$C:$C,0)),"")</f>
        <v>1</v>
      </c>
      <c r="G437" s="34">
        <v>83</v>
      </c>
      <c r="H437" s="34"/>
      <c r="I437" s="34" t="s">
        <v>1358</v>
      </c>
      <c r="J437" s="48"/>
      <c r="K437" s="48"/>
      <c r="L437" s="48"/>
      <c r="M437" s="48"/>
      <c r="N437" s="59"/>
      <c r="O437" s="59">
        <v>150000</v>
      </c>
      <c r="P437" s="59"/>
      <c r="Q437" s="268">
        <f t="shared" si="20"/>
        <v>150000</v>
      </c>
      <c r="R437" s="61">
        <f>IF(O437=0,0,SUMIFS(Disbursements!$T:$T,Disbursements!$B:$B,'Live Collections'!D437,Disbursements!$D:$D,'Live Collections'!F437))</f>
        <v>150000</v>
      </c>
      <c r="S437" s="304">
        <f>IF(O437&lt;=IF($O437=0,0,SUMIFS(Disbursements!$W:$W,Disbursements!$B:$B,'Live Collections'!D1277,Disbursements!$D:$D,'Live Collections'!F1277)),O437,IF($O437=0,0,SUMIFS(Disbursements!$W:$W,Disbursements!$B:$B,'Live Collections'!D1277,Disbursements!$D:$D,'Live Collections'!F1277)))</f>
        <v>25000</v>
      </c>
      <c r="T437" s="304">
        <f t="shared" si="21"/>
        <v>125000</v>
      </c>
      <c r="U437" s="52"/>
      <c r="V437" s="34"/>
      <c r="W437" s="408"/>
    </row>
    <row r="438" spans="1:23" ht="12.75" customHeight="1" x14ac:dyDescent="0.2">
      <c r="A438" s="132">
        <v>425</v>
      </c>
      <c r="B438" s="44">
        <v>44405</v>
      </c>
      <c r="C438" s="44">
        <f t="shared" si="19"/>
        <v>44405</v>
      </c>
      <c r="D438" s="374">
        <v>126</v>
      </c>
      <c r="E438" s="291" t="str">
        <f>IFERROR(VLOOKUP($D438,'Clients-Live'!$A:$C,3,0),"")</f>
        <v>OGWAL STEPHEN GERALD</v>
      </c>
      <c r="F438" s="291">
        <f>IFERROR(INDEX(Disbursements!$D:$D,MATCH('Live Collections'!G438,Disbursements!$C:$C,0)),"")</f>
        <v>2</v>
      </c>
      <c r="G438" s="34">
        <v>137</v>
      </c>
      <c r="H438" s="34"/>
      <c r="I438" s="34" t="s">
        <v>862</v>
      </c>
      <c r="J438" s="48"/>
      <c r="K438" s="48"/>
      <c r="L438" s="48">
        <v>10000</v>
      </c>
      <c r="M438" s="48">
        <v>5000</v>
      </c>
      <c r="N438" s="59"/>
      <c r="O438" s="59"/>
      <c r="P438" s="59">
        <v>150000</v>
      </c>
      <c r="Q438" s="268">
        <f t="shared" si="20"/>
        <v>165000</v>
      </c>
      <c r="R438" s="61">
        <f>IF(O438=0,0,SUMIFS(Disbursements!$T:$T,Disbursements!$B:$B,'Live Collections'!D438,Disbursements!$D:$D,'Live Collections'!F438))</f>
        <v>0</v>
      </c>
      <c r="S438" s="304">
        <f>IF(O438&lt;=IF($O438=0,0,SUMIFS(Disbursements!$W:$W,Disbursements!$B:$B,'Live Collections'!D1598,Disbursements!$D:$D,'Live Collections'!F1598)),O438,IF($O438=0,0,SUMIFS(Disbursements!$W:$W,Disbursements!$B:$B,'Live Collections'!D1598,Disbursements!$D:$D,'Live Collections'!F1598)))</f>
        <v>0</v>
      </c>
      <c r="T438" s="304">
        <f t="shared" si="21"/>
        <v>0</v>
      </c>
      <c r="U438" s="52"/>
      <c r="V438" s="34"/>
      <c r="W438" s="408"/>
    </row>
    <row r="439" spans="1:23" ht="12.75" customHeight="1" x14ac:dyDescent="0.2">
      <c r="A439" s="257">
        <v>426</v>
      </c>
      <c r="B439" s="44">
        <v>44405</v>
      </c>
      <c r="C439" s="44">
        <f t="shared" si="19"/>
        <v>44405</v>
      </c>
      <c r="D439" s="374">
        <v>151</v>
      </c>
      <c r="E439" s="291" t="str">
        <f>IFERROR(VLOOKUP($D439,'Clients-Live'!$A:$C,3,0),"")</f>
        <v>MORRO HASSAN</v>
      </c>
      <c r="F439" s="291">
        <f>IFERROR(INDEX(Disbursements!$D:$D,MATCH('Live Collections'!G439,Disbursements!$C:$C,0)),"")</f>
        <v>1</v>
      </c>
      <c r="G439" s="34">
        <v>138</v>
      </c>
      <c r="H439" s="34"/>
      <c r="I439" s="34" t="s">
        <v>862</v>
      </c>
      <c r="J439" s="48"/>
      <c r="K439" s="48"/>
      <c r="L439" s="48">
        <v>10000</v>
      </c>
      <c r="M439" s="48">
        <v>5000</v>
      </c>
      <c r="N439" s="59"/>
      <c r="O439" s="59"/>
      <c r="P439" s="59">
        <v>100000</v>
      </c>
      <c r="Q439" s="268">
        <f t="shared" si="20"/>
        <v>115000</v>
      </c>
      <c r="R439" s="61">
        <f>IF(O439=0,0,SUMIFS(Disbursements!$T:$T,Disbursements!$B:$B,'Live Collections'!D439,Disbursements!$D:$D,'Live Collections'!F439))</f>
        <v>0</v>
      </c>
      <c r="S439" s="304">
        <f>IF(O439&lt;=IF($O439=0,0,SUMIFS(Disbursements!$W:$W,Disbursements!$B:$B,'Live Collections'!D1895,Disbursements!$D:$D,'Live Collections'!F1895)),O439,IF($O439=0,0,SUMIFS(Disbursements!$W:$W,Disbursements!$B:$B,'Live Collections'!D1895,Disbursements!$D:$D,'Live Collections'!F1895)))</f>
        <v>0</v>
      </c>
      <c r="T439" s="304">
        <f t="shared" si="21"/>
        <v>0</v>
      </c>
      <c r="U439" s="52"/>
      <c r="V439" s="34"/>
      <c r="W439" s="408"/>
    </row>
    <row r="440" spans="1:23" ht="12.75" customHeight="1" x14ac:dyDescent="0.2">
      <c r="A440" s="132">
        <v>427</v>
      </c>
      <c r="B440" s="44">
        <v>44405</v>
      </c>
      <c r="C440" s="44">
        <f t="shared" si="19"/>
        <v>44405</v>
      </c>
      <c r="D440" s="374">
        <v>152</v>
      </c>
      <c r="E440" s="291" t="str">
        <f>IFERROR(VLOOKUP($D440,'Clients-Live'!$A:$C,3,0),"")</f>
        <v>ASE ZAINABU</v>
      </c>
      <c r="F440" s="291">
        <f>IFERROR(INDEX(Disbursements!$D:$D,MATCH('Live Collections'!G440,Disbursements!$C:$C,0)),"")</f>
        <v>1</v>
      </c>
      <c r="G440" s="34">
        <v>136</v>
      </c>
      <c r="H440" s="34">
        <v>762</v>
      </c>
      <c r="I440" s="34" t="s">
        <v>863</v>
      </c>
      <c r="J440" s="48"/>
      <c r="K440" s="48"/>
      <c r="L440" s="48">
        <v>10000</v>
      </c>
      <c r="M440" s="48">
        <v>5000</v>
      </c>
      <c r="N440" s="59"/>
      <c r="O440" s="59"/>
      <c r="P440" s="59">
        <v>70000</v>
      </c>
      <c r="Q440" s="268">
        <f t="shared" si="20"/>
        <v>85000</v>
      </c>
      <c r="R440" s="61">
        <f>IF(O440=0,0,SUMIFS(Disbursements!$T:$T,Disbursements!$B:$B,'Live Collections'!D440,Disbursements!$D:$D,'Live Collections'!F440))</f>
        <v>0</v>
      </c>
      <c r="S440" s="304">
        <f>IF(O440&lt;=IF($O440=0,0,SUMIFS(Disbursements!$W:$W,Disbursements!$B:$B,'Live Collections'!D1908,Disbursements!$D:$D,'Live Collections'!F1908)),O440,IF($O440=0,0,SUMIFS(Disbursements!$W:$W,Disbursements!$B:$B,'Live Collections'!D1908,Disbursements!$D:$D,'Live Collections'!F1908)))</f>
        <v>0</v>
      </c>
      <c r="T440" s="304">
        <f t="shared" si="21"/>
        <v>0</v>
      </c>
      <c r="U440" s="52"/>
      <c r="V440" s="34"/>
      <c r="W440" s="408"/>
    </row>
    <row r="441" spans="1:23" ht="12.75" customHeight="1" x14ac:dyDescent="0.2">
      <c r="A441" s="257">
        <v>423</v>
      </c>
      <c r="B441" s="44">
        <v>44405</v>
      </c>
      <c r="C441" s="44">
        <f t="shared" si="19"/>
        <v>44405</v>
      </c>
      <c r="D441" s="374">
        <v>153</v>
      </c>
      <c r="E441" s="291" t="str">
        <f>IFERROR(VLOOKUP($D441,'Clients-Live'!$A:$C,3,0),"")</f>
        <v>ALEMI SEBI</v>
      </c>
      <c r="F441" s="291" t="str">
        <f>IFERROR(INDEX(Disbursements!$D:$D,MATCH('Live Collections'!G441,Disbursements!$C:$C,0)),"")</f>
        <v/>
      </c>
      <c r="G441" s="34"/>
      <c r="H441" s="34"/>
      <c r="I441" s="34" t="s">
        <v>1814</v>
      </c>
      <c r="J441" s="48">
        <v>15000</v>
      </c>
      <c r="K441" s="48">
        <v>5000</v>
      </c>
      <c r="L441" s="48"/>
      <c r="M441" s="48"/>
      <c r="N441" s="59"/>
      <c r="O441" s="59"/>
      <c r="P441" s="59"/>
      <c r="Q441" s="268">
        <f t="shared" si="20"/>
        <v>20000</v>
      </c>
      <c r="R441" s="61">
        <f>IF(O441=0,0,SUMIFS(Disbursements!$T:$T,Disbursements!$B:$B,'Live Collections'!D441,Disbursements!$D:$D,'Live Collections'!F441))</f>
        <v>0</v>
      </c>
      <c r="S441" s="304">
        <f>IF(O441&lt;=IF($O441=0,0,SUMIFS(Disbursements!$W:$W,Disbursements!$B:$B,'Live Collections'!D1924,Disbursements!$D:$D,'Live Collections'!F1924)),O441,IF($O441=0,0,SUMIFS(Disbursements!$W:$W,Disbursements!$B:$B,'Live Collections'!D1924,Disbursements!$D:$D,'Live Collections'!F1924)))</f>
        <v>0</v>
      </c>
      <c r="T441" s="304">
        <f t="shared" si="21"/>
        <v>0</v>
      </c>
      <c r="U441" s="52">
        <v>781693289</v>
      </c>
      <c r="V441" s="34"/>
      <c r="W441" s="408"/>
    </row>
    <row r="442" spans="1:23" ht="12.75" customHeight="1" x14ac:dyDescent="0.2">
      <c r="A442" s="132">
        <v>424</v>
      </c>
      <c r="B442" s="44">
        <v>44405</v>
      </c>
      <c r="C442" s="44">
        <f t="shared" si="19"/>
        <v>44405</v>
      </c>
      <c r="D442" s="374">
        <v>154</v>
      </c>
      <c r="E442" s="291" t="str">
        <f>IFERROR(VLOOKUP($D442,'Clients-Live'!$A:$C,3,0),"")</f>
        <v>ERIMU SAMSON</v>
      </c>
      <c r="F442" s="291" t="str">
        <f>IFERROR(INDEX(Disbursements!$D:$D,MATCH('Live Collections'!G442,Disbursements!$C:$C,0)),"")</f>
        <v/>
      </c>
      <c r="G442" s="34"/>
      <c r="H442" s="34"/>
      <c r="I442" s="34" t="s">
        <v>1814</v>
      </c>
      <c r="J442" s="48">
        <v>15000</v>
      </c>
      <c r="K442" s="48">
        <v>5000</v>
      </c>
      <c r="L442" s="48"/>
      <c r="M442" s="48"/>
      <c r="N442" s="59"/>
      <c r="O442" s="59"/>
      <c r="P442" s="59"/>
      <c r="Q442" s="268">
        <f t="shared" si="20"/>
        <v>20000</v>
      </c>
      <c r="R442" s="61">
        <f>IF(O442=0,0,SUMIFS(Disbursements!$T:$T,Disbursements!$B:$B,'Live Collections'!D442,Disbursements!$D:$D,'Live Collections'!F442))</f>
        <v>0</v>
      </c>
      <c r="S442" s="304">
        <f>IF(O442&lt;=IF($O442=0,0,SUMIFS(Disbursements!$W:$W,Disbursements!$B:$B,'Live Collections'!D1925,Disbursements!$D:$D,'Live Collections'!F1925)),O442,IF($O442=0,0,SUMIFS(Disbursements!$W:$W,Disbursements!$B:$B,'Live Collections'!D1925,Disbursements!$D:$D,'Live Collections'!F1925)))</f>
        <v>0</v>
      </c>
      <c r="T442" s="304">
        <f t="shared" si="21"/>
        <v>0</v>
      </c>
      <c r="U442" s="52">
        <v>772784778</v>
      </c>
      <c r="V442" s="34"/>
      <c r="W442" s="408"/>
    </row>
    <row r="443" spans="1:23" ht="12.75" customHeight="1" x14ac:dyDescent="0.2">
      <c r="A443" s="257">
        <v>440</v>
      </c>
      <c r="B443" s="44">
        <v>44406</v>
      </c>
      <c r="C443" s="44">
        <f t="shared" si="19"/>
        <v>44406</v>
      </c>
      <c r="D443" s="374">
        <v>17</v>
      </c>
      <c r="E443" s="291" t="str">
        <f>IFERROR(VLOOKUP($D443,'Clients-Live'!$A:$C,3,0),"")</f>
        <v>MAMBU BAYI</v>
      </c>
      <c r="F443" s="291">
        <f>IFERROR(INDEX(Disbursements!$D:$D,MATCH('Live Collections'!G443,Disbursements!$C:$C,0)),"")</f>
        <v>1</v>
      </c>
      <c r="G443" s="34">
        <v>7</v>
      </c>
      <c r="H443" s="34"/>
      <c r="I443" s="34" t="s">
        <v>1357</v>
      </c>
      <c r="J443" s="48"/>
      <c r="K443" s="48"/>
      <c r="L443" s="48"/>
      <c r="M443" s="48"/>
      <c r="N443" s="59"/>
      <c r="O443" s="59">
        <v>100000</v>
      </c>
      <c r="P443" s="59"/>
      <c r="Q443" s="268">
        <f t="shared" si="20"/>
        <v>100000</v>
      </c>
      <c r="R443" s="61">
        <f>IF(O443=0,0,SUMIFS(Disbursements!$T:$T,Disbursements!$B:$B,'Live Collections'!D443,Disbursements!$D:$D,'Live Collections'!F443))</f>
        <v>325000</v>
      </c>
      <c r="S443" s="304">
        <f>IF(O443&lt;=IF($O443=0,0,SUMIFS(Disbursements!$W:$W,Disbursements!$B:$B,'Live Collections'!D586,Disbursements!$D:$D,'Live Collections'!F586)),O443,IF($O443=0,0,SUMIFS(Disbursements!$W:$W,Disbursements!$B:$B,'Live Collections'!D586,Disbursements!$D:$D,'Live Collections'!F586)))</f>
        <v>0</v>
      </c>
      <c r="T443" s="304">
        <f t="shared" si="21"/>
        <v>100000</v>
      </c>
      <c r="U443" s="52"/>
      <c r="V443" s="34"/>
      <c r="W443" s="408"/>
    </row>
    <row r="444" spans="1:23" ht="12.75" customHeight="1" x14ac:dyDescent="0.2">
      <c r="A444" s="132">
        <v>443</v>
      </c>
      <c r="B444" s="44">
        <v>44406</v>
      </c>
      <c r="C444" s="44">
        <f t="shared" si="19"/>
        <v>44406</v>
      </c>
      <c r="D444" s="374">
        <v>33</v>
      </c>
      <c r="E444" s="291" t="str">
        <f>IFERROR(VLOOKUP($D444,'Clients-Live'!$A:$C,3,0),"")</f>
        <v>MUZEE OMAR</v>
      </c>
      <c r="F444" s="291">
        <f>IFERROR(INDEX(Disbursements!$D:$D,MATCH('Live Collections'!G444,Disbursements!$C:$C,0)),"")</f>
        <v>1</v>
      </c>
      <c r="G444" s="34">
        <v>26</v>
      </c>
      <c r="H444" s="34">
        <v>774</v>
      </c>
      <c r="I444" s="34" t="s">
        <v>1357</v>
      </c>
      <c r="J444" s="48"/>
      <c r="K444" s="48"/>
      <c r="L444" s="48"/>
      <c r="M444" s="48"/>
      <c r="N444" s="59"/>
      <c r="O444" s="59">
        <v>115000</v>
      </c>
      <c r="P444" s="59"/>
      <c r="Q444" s="268">
        <f t="shared" si="20"/>
        <v>115000</v>
      </c>
      <c r="R444" s="61">
        <f>IF(O444=0,0,SUMIFS(Disbursements!$T:$T,Disbursements!$B:$B,'Live Collections'!D444,Disbursements!$D:$D,'Live Collections'!F444))</f>
        <v>109000</v>
      </c>
      <c r="S444" s="304">
        <f>IF(O444&lt;=IF($O444=0,0,SUMIFS(Disbursements!$W:$W,Disbursements!$B:$B,'Live Collections'!D383,Disbursements!$D:$D,'Live Collections'!F383)),O444,IF($O444=0,0,SUMIFS(Disbursements!$W:$W,Disbursements!$B:$B,'Live Collections'!D383,Disbursements!$D:$D,'Live Collections'!F383)))</f>
        <v>0</v>
      </c>
      <c r="T444" s="304">
        <f t="shared" si="21"/>
        <v>115000</v>
      </c>
      <c r="U444" s="52"/>
      <c r="V444" s="34"/>
      <c r="W444" s="408"/>
    </row>
    <row r="445" spans="1:23" ht="12.75" customHeight="1" x14ac:dyDescent="0.2">
      <c r="A445" s="257">
        <v>446</v>
      </c>
      <c r="B445" s="44">
        <v>44406</v>
      </c>
      <c r="C445" s="44">
        <f t="shared" si="19"/>
        <v>44406</v>
      </c>
      <c r="D445" s="374">
        <v>45</v>
      </c>
      <c r="E445" s="291" t="str">
        <f>IFERROR(VLOOKUP($D445,'Clients-Live'!$A:$C,3,0),"")</f>
        <v>SANYA DONALD</v>
      </c>
      <c r="F445" s="291">
        <f>IFERROR(INDEX(Disbursements!$D:$D,MATCH('Live Collections'!G445,Disbursements!$C:$C,0)),"")</f>
        <v>1</v>
      </c>
      <c r="G445" s="34">
        <v>25</v>
      </c>
      <c r="H445" s="34"/>
      <c r="I445" s="34" t="s">
        <v>1359</v>
      </c>
      <c r="J445" s="48"/>
      <c r="K445" s="48"/>
      <c r="L445" s="48"/>
      <c r="M445" s="48"/>
      <c r="N445" s="59"/>
      <c r="O445" s="59">
        <v>10000</v>
      </c>
      <c r="P445" s="59"/>
      <c r="Q445" s="268">
        <f t="shared" si="20"/>
        <v>10000</v>
      </c>
      <c r="R445" s="61">
        <f>IF(O445=0,0,SUMIFS(Disbursements!$T:$T,Disbursements!$B:$B,'Live Collections'!D445,Disbursements!$D:$D,'Live Collections'!F445))</f>
        <v>605000</v>
      </c>
      <c r="S445" s="304">
        <f>IF(O445&lt;=IF($O445=0,0,SUMIFS(Disbursements!$W:$W,Disbursements!$B:$B,'Live Collections'!D504,Disbursements!$D:$D,'Live Collections'!F504)),O445,IF($O445=0,0,SUMIFS(Disbursements!$W:$W,Disbursements!$B:$B,'Live Collections'!D504,Disbursements!$D:$D,'Live Collections'!F504)))</f>
        <v>10000</v>
      </c>
      <c r="T445" s="304">
        <f t="shared" si="21"/>
        <v>0</v>
      </c>
      <c r="U445" s="52"/>
      <c r="V445" s="34"/>
      <c r="W445" s="408"/>
    </row>
    <row r="446" spans="1:23" ht="12.75" customHeight="1" x14ac:dyDescent="0.2">
      <c r="A446" s="132">
        <v>445</v>
      </c>
      <c r="B446" s="44">
        <v>44406</v>
      </c>
      <c r="C446" s="44">
        <f t="shared" si="19"/>
        <v>44406</v>
      </c>
      <c r="D446" s="374">
        <v>82</v>
      </c>
      <c r="E446" s="291" t="str">
        <f>IFERROR(VLOOKUP($D446,'Clients-Live'!$A:$C,3,0),"")</f>
        <v>ADUNA MANENO</v>
      </c>
      <c r="F446" s="291">
        <f>IFERROR(INDEX(Disbursements!$D:$D,MATCH('Live Collections'!G446,Disbursements!$C:$C,0)),"")</f>
        <v>1</v>
      </c>
      <c r="G446" s="34">
        <v>71</v>
      </c>
      <c r="H446" s="34"/>
      <c r="I446" s="34" t="s">
        <v>1357</v>
      </c>
      <c r="J446" s="48"/>
      <c r="K446" s="48"/>
      <c r="L446" s="48"/>
      <c r="M446" s="48"/>
      <c r="N446" s="59"/>
      <c r="O446" s="59">
        <v>80000</v>
      </c>
      <c r="P446" s="59"/>
      <c r="Q446" s="268">
        <f t="shared" si="20"/>
        <v>80000</v>
      </c>
      <c r="R446" s="61">
        <f>IF(O446=0,0,SUMIFS(Disbursements!$T:$T,Disbursements!$B:$B,'Live Collections'!D446,Disbursements!$D:$D,'Live Collections'!F446))</f>
        <v>90000</v>
      </c>
      <c r="S446" s="304">
        <f>IF(O446&lt;=IF($O446=0,0,SUMIFS(Disbursements!$W:$W,Disbursements!$B:$B,'Live Collections'!D1054,Disbursements!$D:$D,'Live Collections'!F1054)),O446,IF($O446=0,0,SUMIFS(Disbursements!$W:$W,Disbursements!$B:$B,'Live Collections'!D1054,Disbursements!$D:$D,'Live Collections'!F1054)))</f>
        <v>30000</v>
      </c>
      <c r="T446" s="304">
        <f t="shared" si="21"/>
        <v>50000</v>
      </c>
      <c r="U446" s="52"/>
      <c r="V446" s="34"/>
      <c r="W446" s="408"/>
    </row>
    <row r="447" spans="1:23" ht="12.75" customHeight="1" x14ac:dyDescent="0.2">
      <c r="A447" s="257">
        <v>444</v>
      </c>
      <c r="B447" s="44">
        <v>44406</v>
      </c>
      <c r="C447" s="44">
        <f t="shared" si="19"/>
        <v>44406</v>
      </c>
      <c r="D447" s="374">
        <v>96</v>
      </c>
      <c r="E447" s="291" t="str">
        <f>IFERROR(VLOOKUP($D447,'Clients-Live'!$A:$C,3,0),"")</f>
        <v>AKANDU NIGHT YONGORO</v>
      </c>
      <c r="F447" s="291">
        <f>IFERROR(INDEX(Disbursements!$D:$D,MATCH('Live Collections'!G447,Disbursements!$C:$C,0)),"")</f>
        <v>1</v>
      </c>
      <c r="G447" s="34">
        <v>87</v>
      </c>
      <c r="H447" s="34"/>
      <c r="I447" s="34" t="s">
        <v>1358</v>
      </c>
      <c r="J447" s="48"/>
      <c r="K447" s="48"/>
      <c r="L447" s="48"/>
      <c r="M447" s="48"/>
      <c r="N447" s="59"/>
      <c r="O447" s="59">
        <v>180000</v>
      </c>
      <c r="P447" s="59"/>
      <c r="Q447" s="268">
        <f t="shared" si="20"/>
        <v>180000</v>
      </c>
      <c r="R447" s="61">
        <f>IF(O447=0,0,SUMIFS(Disbursements!$T:$T,Disbursements!$B:$B,'Live Collections'!D447,Disbursements!$D:$D,'Live Collections'!F447))</f>
        <v>180000</v>
      </c>
      <c r="S447" s="304">
        <f>IF(O447&lt;=IF($O447=0,0,SUMIFS(Disbursements!$W:$W,Disbursements!$B:$B,'Live Collections'!D1231,Disbursements!$D:$D,'Live Collections'!F1231)),O447,IF($O447=0,0,SUMIFS(Disbursements!$W:$W,Disbursements!$B:$B,'Live Collections'!D1231,Disbursements!$D:$D,'Live Collections'!F1231)))</f>
        <v>50333.333333333343</v>
      </c>
      <c r="T447" s="304">
        <f t="shared" si="21"/>
        <v>129666.66666666666</v>
      </c>
      <c r="U447" s="52"/>
      <c r="V447" s="34"/>
      <c r="W447" s="408"/>
    </row>
    <row r="448" spans="1:23" ht="12.75" customHeight="1" x14ac:dyDescent="0.2">
      <c r="A448" s="132">
        <v>441</v>
      </c>
      <c r="B448" s="44">
        <v>44406</v>
      </c>
      <c r="C448" s="44">
        <f t="shared" si="19"/>
        <v>44406</v>
      </c>
      <c r="D448" s="374">
        <v>98</v>
      </c>
      <c r="E448" s="291" t="str">
        <f>IFERROR(VLOOKUP($D448,'Clients-Live'!$A:$C,3,0),"")</f>
        <v>AMANIYO CLARA</v>
      </c>
      <c r="F448" s="291">
        <f>IFERROR(INDEX(Disbursements!$D:$D,MATCH('Live Collections'!G448,Disbursements!$C:$C,0)),"")</f>
        <v>1</v>
      </c>
      <c r="G448" s="34">
        <v>81</v>
      </c>
      <c r="H448" s="34"/>
      <c r="I448" s="34" t="s">
        <v>1357</v>
      </c>
      <c r="J448" s="48"/>
      <c r="K448" s="48"/>
      <c r="L448" s="48"/>
      <c r="M448" s="48"/>
      <c r="N448" s="59"/>
      <c r="O448" s="59">
        <v>150000</v>
      </c>
      <c r="P448" s="59"/>
      <c r="Q448" s="268">
        <f t="shared" si="20"/>
        <v>150000</v>
      </c>
      <c r="R448" s="61">
        <f>IF(O448=0,0,SUMIFS(Disbursements!$T:$T,Disbursements!$B:$B,'Live Collections'!D448,Disbursements!$D:$D,'Live Collections'!F448))</f>
        <v>150000</v>
      </c>
      <c r="S448" s="304">
        <f>IF(O448&lt;=IF($O448=0,0,SUMIFS(Disbursements!$W:$W,Disbursements!$B:$B,'Live Collections'!D1264,Disbursements!$D:$D,'Live Collections'!F1264)),O448,IF($O448=0,0,SUMIFS(Disbursements!$W:$W,Disbursements!$B:$B,'Live Collections'!D1264,Disbursements!$D:$D,'Live Collections'!F1264)))</f>
        <v>0</v>
      </c>
      <c r="T448" s="304">
        <f t="shared" si="21"/>
        <v>150000</v>
      </c>
      <c r="U448" s="52"/>
      <c r="V448" s="34"/>
      <c r="W448" s="408"/>
    </row>
    <row r="449" spans="1:23" ht="12.75" customHeight="1" x14ac:dyDescent="0.2">
      <c r="A449" s="257">
        <v>442</v>
      </c>
      <c r="B449" s="44">
        <v>44406</v>
      </c>
      <c r="C449" s="44">
        <f t="shared" si="19"/>
        <v>44406</v>
      </c>
      <c r="D449" s="374">
        <v>100</v>
      </c>
      <c r="E449" s="291" t="str">
        <f>IFERROR(VLOOKUP($D449,'Clients-Live'!$A:$C,3,0),"")</f>
        <v>LETAYO DORCUS</v>
      </c>
      <c r="F449" s="291">
        <f>IFERROR(INDEX(Disbursements!$D:$D,MATCH('Live Collections'!G449,Disbursements!$C:$C,0)),"")</f>
        <v>1</v>
      </c>
      <c r="G449" s="34">
        <v>82</v>
      </c>
      <c r="H449" s="34"/>
      <c r="I449" s="34" t="s">
        <v>1357</v>
      </c>
      <c r="J449" s="48"/>
      <c r="K449" s="48"/>
      <c r="L449" s="48"/>
      <c r="M449" s="48"/>
      <c r="N449" s="59"/>
      <c r="O449" s="59">
        <v>50000</v>
      </c>
      <c r="P449" s="59"/>
      <c r="Q449" s="268">
        <f t="shared" si="20"/>
        <v>50000</v>
      </c>
      <c r="R449" s="61">
        <f>IF(O449=0,0,SUMIFS(Disbursements!$T:$T,Disbursements!$B:$B,'Live Collections'!D449,Disbursements!$D:$D,'Live Collections'!F449))</f>
        <v>90000</v>
      </c>
      <c r="S449" s="304">
        <f>IF(O449&lt;=IF($O449=0,0,SUMIFS(Disbursements!$W:$W,Disbursements!$B:$B,'Live Collections'!D1289,Disbursements!$D:$D,'Live Collections'!F1289)),O449,IF($O449=0,0,SUMIFS(Disbursements!$W:$W,Disbursements!$B:$B,'Live Collections'!D1289,Disbursements!$D:$D,'Live Collections'!F1289)))</f>
        <v>50000</v>
      </c>
      <c r="T449" s="304">
        <f t="shared" si="21"/>
        <v>0</v>
      </c>
      <c r="U449" s="52"/>
      <c r="V449" s="34"/>
      <c r="W449" s="408"/>
    </row>
    <row r="450" spans="1:23" ht="12.75" customHeight="1" x14ac:dyDescent="0.2">
      <c r="A450" s="132">
        <v>437</v>
      </c>
      <c r="B450" s="44">
        <v>44406</v>
      </c>
      <c r="C450" s="44">
        <f t="shared" si="19"/>
        <v>44406</v>
      </c>
      <c r="D450" s="374">
        <v>137</v>
      </c>
      <c r="E450" s="291" t="str">
        <f>IFERROR(VLOOKUP($D450,'Clients-Live'!$A:$C,3,0),"")</f>
        <v>YAKANI CHARLES</v>
      </c>
      <c r="F450" s="291">
        <f>IFERROR(INDEX(Disbursements!$D:$D,MATCH('Live Collections'!G450,Disbursements!$C:$C,0)),"")</f>
        <v>2</v>
      </c>
      <c r="G450" s="34">
        <v>139</v>
      </c>
      <c r="H450" s="34"/>
      <c r="I450" s="34" t="s">
        <v>862</v>
      </c>
      <c r="J450" s="48"/>
      <c r="K450" s="48"/>
      <c r="L450" s="48">
        <v>10000</v>
      </c>
      <c r="M450" s="48">
        <v>5000</v>
      </c>
      <c r="N450" s="59"/>
      <c r="O450" s="59"/>
      <c r="P450" s="59">
        <v>120000</v>
      </c>
      <c r="Q450" s="268">
        <f t="shared" si="20"/>
        <v>135000</v>
      </c>
      <c r="R450" s="61">
        <f>IF(O450=0,0,SUMIFS(Disbursements!$T:$T,Disbursements!$B:$B,'Live Collections'!D450,Disbursements!$D:$D,'Live Collections'!F450))</f>
        <v>0</v>
      </c>
      <c r="S450" s="304">
        <f>IF(O450&lt;=IF($O450=0,0,SUMIFS(Disbursements!$W:$W,Disbursements!$B:$B,'Live Collections'!D1725,Disbursements!$D:$D,'Live Collections'!F1725)),O450,IF($O450=0,0,SUMIFS(Disbursements!$W:$W,Disbursements!$B:$B,'Live Collections'!D1725,Disbursements!$D:$D,'Live Collections'!F1725)))</f>
        <v>0</v>
      </c>
      <c r="T450" s="304">
        <f t="shared" si="21"/>
        <v>0</v>
      </c>
      <c r="U450" s="52"/>
      <c r="V450" s="34"/>
      <c r="W450" s="408"/>
    </row>
    <row r="451" spans="1:23" ht="12.75" customHeight="1" x14ac:dyDescent="0.2">
      <c r="A451" s="257">
        <v>439</v>
      </c>
      <c r="B451" s="44">
        <v>44406</v>
      </c>
      <c r="C451" s="44">
        <f t="shared" si="19"/>
        <v>44406</v>
      </c>
      <c r="D451" s="374">
        <v>137</v>
      </c>
      <c r="E451" s="291" t="str">
        <f>IFERROR(VLOOKUP($D451,'Clients-Live'!$A:$C,3,0),"")</f>
        <v>YAKANI CHARLES</v>
      </c>
      <c r="F451" s="291">
        <f>IFERROR(INDEX(Disbursements!$D:$D,MATCH('Live Collections'!G451,Disbursements!$C:$C,0)),"")</f>
        <v>1</v>
      </c>
      <c r="G451" s="34">
        <v>121</v>
      </c>
      <c r="H451" s="34">
        <v>725</v>
      </c>
      <c r="I451" s="34" t="s">
        <v>1359</v>
      </c>
      <c r="J451" s="48"/>
      <c r="K451" s="48"/>
      <c r="L451" s="48"/>
      <c r="M451" s="48"/>
      <c r="N451" s="59"/>
      <c r="O451" s="59">
        <v>520000</v>
      </c>
      <c r="P451" s="59"/>
      <c r="Q451" s="268">
        <f t="shared" si="20"/>
        <v>520000</v>
      </c>
      <c r="R451" s="61">
        <f>IF(O451=0,0,SUMIFS(Disbursements!$T:$T,Disbursements!$B:$B,'Live Collections'!D451,Disbursements!$D:$D,'Live Collections'!F451))</f>
        <v>275000</v>
      </c>
      <c r="S451" s="304">
        <f>IF(O451&lt;=IF($O451=0,0,SUMIFS(Disbursements!$W:$W,Disbursements!$B:$B,'Live Collections'!D1726,Disbursements!$D:$D,'Live Collections'!F1726)),O451,IF($O451=0,0,SUMIFS(Disbursements!$W:$W,Disbursements!$B:$B,'Live Collections'!D1726,Disbursements!$D:$D,'Live Collections'!F1726)))</f>
        <v>30000</v>
      </c>
      <c r="T451" s="304">
        <f t="shared" si="21"/>
        <v>490000</v>
      </c>
      <c r="U451" s="52"/>
      <c r="V451" s="34"/>
      <c r="W451" s="408"/>
    </row>
    <row r="452" spans="1:23" ht="12.75" customHeight="1" x14ac:dyDescent="0.2">
      <c r="A452" s="132">
        <v>438</v>
      </c>
      <c r="B452" s="44">
        <v>44406</v>
      </c>
      <c r="C452" s="44">
        <f t="shared" si="19"/>
        <v>44406</v>
      </c>
      <c r="D452" s="374">
        <v>149</v>
      </c>
      <c r="E452" s="291" t="str">
        <f>IFERROR(VLOOKUP($D452,'Clients-Live'!$A:$C,3,0),"")</f>
        <v>SIKA AMIDRA</v>
      </c>
      <c r="F452" s="291">
        <f>IFERROR(INDEX(Disbursements!$D:$D,MATCH('Live Collections'!G452,Disbursements!$C:$C,0)),"")</f>
        <v>1</v>
      </c>
      <c r="G452" s="34">
        <v>141</v>
      </c>
      <c r="H452" s="34"/>
      <c r="I452" s="34" t="s">
        <v>863</v>
      </c>
      <c r="J452" s="48"/>
      <c r="K452" s="48"/>
      <c r="L452" s="48">
        <v>10000</v>
      </c>
      <c r="M452" s="48">
        <v>5000</v>
      </c>
      <c r="N452" s="59"/>
      <c r="O452" s="59"/>
      <c r="P452" s="59">
        <v>40000</v>
      </c>
      <c r="Q452" s="268">
        <f t="shared" si="20"/>
        <v>55000</v>
      </c>
      <c r="R452" s="61">
        <f>IF(O452=0,0,SUMIFS(Disbursements!$T:$T,Disbursements!$B:$B,'Live Collections'!D452,Disbursements!$D:$D,'Live Collections'!F452))</f>
        <v>0</v>
      </c>
      <c r="S452" s="304">
        <f>IF(O452&lt;=IF($O452=0,0,SUMIFS(Disbursements!$W:$W,Disbursements!$B:$B,'Live Collections'!D1882,Disbursements!$D:$D,'Live Collections'!F1882)),O452,IF($O452=0,0,SUMIFS(Disbursements!$W:$W,Disbursements!$B:$B,'Live Collections'!D1882,Disbursements!$D:$D,'Live Collections'!F1882)))</f>
        <v>0</v>
      </c>
      <c r="T452" s="304">
        <f t="shared" si="21"/>
        <v>0</v>
      </c>
      <c r="U452" s="52"/>
      <c r="V452" s="34"/>
      <c r="W452" s="408"/>
    </row>
    <row r="453" spans="1:23" ht="12.75" customHeight="1" x14ac:dyDescent="0.2">
      <c r="A453" s="257">
        <v>435</v>
      </c>
      <c r="B453" s="44">
        <v>44406</v>
      </c>
      <c r="C453" s="44">
        <f t="shared" si="19"/>
        <v>44406</v>
      </c>
      <c r="D453" s="374">
        <v>155</v>
      </c>
      <c r="E453" s="291" t="str">
        <f>IFERROR(VLOOKUP($D453,'Clients-Live'!$A:$C,3,0),"")</f>
        <v>AROMBORAC SIAMA</v>
      </c>
      <c r="F453" s="291" t="str">
        <f>IFERROR(INDEX(Disbursements!$D:$D,MATCH('Live Collections'!G453,Disbursements!$C:$C,0)),"")</f>
        <v/>
      </c>
      <c r="G453" s="34"/>
      <c r="H453" s="34"/>
      <c r="I453" s="34" t="s">
        <v>1814</v>
      </c>
      <c r="J453" s="48">
        <v>15000</v>
      </c>
      <c r="K453" s="48">
        <v>5000</v>
      </c>
      <c r="L453" s="48"/>
      <c r="M453" s="48"/>
      <c r="N453" s="59"/>
      <c r="O453" s="59"/>
      <c r="P453" s="59"/>
      <c r="Q453" s="268">
        <f t="shared" si="20"/>
        <v>20000</v>
      </c>
      <c r="R453" s="61">
        <f>IF(O453=0,0,SUMIFS(Disbursements!$T:$T,Disbursements!$B:$B,'Live Collections'!D453,Disbursements!$D:$D,'Live Collections'!F453))</f>
        <v>0</v>
      </c>
      <c r="S453" s="304">
        <f>IF(O453&lt;=IF($O453=0,0,SUMIFS(Disbursements!$W:$W,Disbursements!$B:$B,'Live Collections'!D1930,Disbursements!$D:$D,'Live Collections'!F1930)),O453,IF($O453=0,0,SUMIFS(Disbursements!$W:$W,Disbursements!$B:$B,'Live Collections'!D1930,Disbursements!$D:$D,'Live Collections'!F1930)))</f>
        <v>0</v>
      </c>
      <c r="T453" s="304">
        <f t="shared" si="21"/>
        <v>0</v>
      </c>
      <c r="U453" s="52">
        <v>785400486</v>
      </c>
      <c r="V453" s="34"/>
      <c r="W453" s="408"/>
    </row>
    <row r="454" spans="1:23" ht="12.75" customHeight="1" x14ac:dyDescent="0.2">
      <c r="A454" s="132">
        <v>436</v>
      </c>
      <c r="B454" s="44">
        <v>44406</v>
      </c>
      <c r="C454" s="44">
        <f t="shared" si="19"/>
        <v>44406</v>
      </c>
      <c r="D454" s="374">
        <v>157</v>
      </c>
      <c r="E454" s="291" t="str">
        <f>IFERROR(VLOOKUP($D454,'Clients-Live'!$A:$C,3,0),"")</f>
        <v>AYITE MARGERT</v>
      </c>
      <c r="F454" s="291" t="str">
        <f>IFERROR(INDEX(Disbursements!$D:$D,MATCH('Live Collections'!G454,Disbursements!$C:$C,0)),"")</f>
        <v/>
      </c>
      <c r="G454" s="34"/>
      <c r="H454" s="34"/>
      <c r="I454" s="34" t="s">
        <v>1814</v>
      </c>
      <c r="J454" s="48">
        <v>15000</v>
      </c>
      <c r="K454" s="48">
        <v>5000</v>
      </c>
      <c r="L454" s="48"/>
      <c r="M454" s="48"/>
      <c r="N454" s="59"/>
      <c r="O454" s="59"/>
      <c r="P454" s="59"/>
      <c r="Q454" s="268">
        <f t="shared" si="20"/>
        <v>20000</v>
      </c>
      <c r="R454" s="61">
        <f>IF(O454=0,0,SUMIFS(Disbursements!$T:$T,Disbursements!$B:$B,'Live Collections'!D454,Disbursements!$D:$D,'Live Collections'!F454))</f>
        <v>0</v>
      </c>
      <c r="S454" s="304">
        <f>IF(O454&lt;=IF($O454=0,0,SUMIFS(Disbursements!$W:$W,Disbursements!$B:$B,'Live Collections'!D1963,Disbursements!$D:$D,'Live Collections'!F1963)),O454,IF($O454=0,0,SUMIFS(Disbursements!$W:$W,Disbursements!$B:$B,'Live Collections'!D1963,Disbursements!$D:$D,'Live Collections'!F1963)))</f>
        <v>0</v>
      </c>
      <c r="T454" s="304">
        <f t="shared" si="21"/>
        <v>0</v>
      </c>
      <c r="U454" s="52">
        <v>772509334</v>
      </c>
      <c r="V454" s="34"/>
      <c r="W454" s="408"/>
    </row>
    <row r="455" spans="1:23" ht="12.75" customHeight="1" x14ac:dyDescent="0.2">
      <c r="A455" s="257">
        <v>457</v>
      </c>
      <c r="B455" s="44">
        <v>44407</v>
      </c>
      <c r="C455" s="44">
        <f t="shared" si="19"/>
        <v>44407</v>
      </c>
      <c r="D455" s="374">
        <v>21</v>
      </c>
      <c r="E455" s="291" t="str">
        <f>IFERROR(VLOOKUP($D455,'Clients-Live'!$A:$C,3,0),"")</f>
        <v>ESABORU EUNICE</v>
      </c>
      <c r="F455" s="291">
        <f>IFERROR(INDEX(Disbursements!$D:$D,MATCH('Live Collections'!G455,Disbursements!$C:$C,0)),"")</f>
        <v>1</v>
      </c>
      <c r="G455" s="34">
        <v>17</v>
      </c>
      <c r="H455" s="34">
        <v>786</v>
      </c>
      <c r="I455" s="34" t="s">
        <v>1358</v>
      </c>
      <c r="J455" s="48"/>
      <c r="K455" s="48"/>
      <c r="L455" s="48"/>
      <c r="M455" s="48"/>
      <c r="N455" s="59"/>
      <c r="O455" s="59">
        <v>10000</v>
      </c>
      <c r="P455" s="59"/>
      <c r="Q455" s="268">
        <f t="shared" si="20"/>
        <v>10000</v>
      </c>
      <c r="R455" s="61">
        <f>IF(O455=0,0,SUMIFS(Disbursements!$T:$T,Disbursements!$B:$B,'Live Collections'!D455,Disbursements!$D:$D,'Live Collections'!F455))</f>
        <v>90000</v>
      </c>
      <c r="S455" s="64">
        <v>3000</v>
      </c>
      <c r="T455" s="304">
        <f t="shared" si="21"/>
        <v>7000</v>
      </c>
      <c r="U455" s="52"/>
      <c r="V455" s="34"/>
      <c r="W455" s="408"/>
    </row>
    <row r="456" spans="1:23" ht="12.75" customHeight="1" x14ac:dyDescent="0.2">
      <c r="A456" s="132">
        <v>458</v>
      </c>
      <c r="B456" s="44">
        <v>44407</v>
      </c>
      <c r="C456" s="44">
        <f t="shared" ref="C456:C519" si="22">B456</f>
        <v>44407</v>
      </c>
      <c r="D456" s="374">
        <v>35</v>
      </c>
      <c r="E456" s="291" t="str">
        <f>IFERROR(VLOOKUP($D456,'Clients-Live'!$A:$C,3,0),"")</f>
        <v>ALEZUYO DOCUS</v>
      </c>
      <c r="F456" s="291">
        <f>IFERROR(INDEX(Disbursements!$D:$D,MATCH('Live Collections'!G456,Disbursements!$C:$C,0)),"")</f>
        <v>1</v>
      </c>
      <c r="G456" s="34">
        <v>20</v>
      </c>
      <c r="H456" s="34"/>
      <c r="I456" s="34" t="s">
        <v>1357</v>
      </c>
      <c r="J456" s="48"/>
      <c r="K456" s="48"/>
      <c r="L456" s="48"/>
      <c r="M456" s="48"/>
      <c r="N456" s="59"/>
      <c r="O456" s="59">
        <v>150000</v>
      </c>
      <c r="P456" s="59"/>
      <c r="Q456" s="268">
        <f t="shared" ref="Q456:Q519" si="23">SUM(J456:P456)</f>
        <v>150000</v>
      </c>
      <c r="R456" s="61">
        <f>IF(O456=0,0,SUMIFS(Disbursements!$T:$T,Disbursements!$B:$B,'Live Collections'!D456,Disbursements!$D:$D,'Live Collections'!F456))</f>
        <v>150000</v>
      </c>
      <c r="S456" s="304">
        <f>IF(O456&lt;=IF($O456=0,0,SUMIFS(Disbursements!$W:$W,Disbursements!$B:$B,'Live Collections'!D406,Disbursements!$D:$D,'Live Collections'!F406)),O456,IF($O456=0,0,SUMIFS(Disbursements!$W:$W,Disbursements!$B:$B,'Live Collections'!D406,Disbursements!$D:$D,'Live Collections'!F406)))</f>
        <v>25000</v>
      </c>
      <c r="T456" s="304">
        <f t="shared" ref="T456:T519" si="24">IF(O456=0,0,O456-S456)</f>
        <v>125000</v>
      </c>
      <c r="U456" s="52"/>
      <c r="V456" s="34"/>
      <c r="W456" s="408"/>
    </row>
    <row r="457" spans="1:23" ht="12.75" customHeight="1" x14ac:dyDescent="0.2">
      <c r="A457" s="257">
        <v>456</v>
      </c>
      <c r="B457" s="44">
        <v>44407</v>
      </c>
      <c r="C457" s="44">
        <f t="shared" si="22"/>
        <v>44407</v>
      </c>
      <c r="D457" s="374">
        <v>48</v>
      </c>
      <c r="E457" s="291" t="str">
        <f>IFERROR(VLOOKUP($D457,'Clients-Live'!$A:$C,3,0),"")</f>
        <v>BAKO KASIA</v>
      </c>
      <c r="F457" s="291">
        <f>IFERROR(INDEX(Disbursements!$D:$D,MATCH('Live Collections'!G457,Disbursements!$C:$C,0)),"")</f>
        <v>1</v>
      </c>
      <c r="G457" s="34">
        <v>32</v>
      </c>
      <c r="H457" s="34"/>
      <c r="I457" s="34" t="s">
        <v>1358</v>
      </c>
      <c r="J457" s="48"/>
      <c r="K457" s="48"/>
      <c r="L457" s="48"/>
      <c r="M457" s="48"/>
      <c r="N457" s="59"/>
      <c r="O457" s="59">
        <v>50000</v>
      </c>
      <c r="P457" s="59"/>
      <c r="Q457" s="268">
        <f t="shared" si="23"/>
        <v>50000</v>
      </c>
      <c r="R457" s="61">
        <f>IF(O457=0,0,SUMIFS(Disbursements!$T:$T,Disbursements!$B:$B,'Live Collections'!D457,Disbursements!$D:$D,'Live Collections'!F457))</f>
        <v>150000</v>
      </c>
      <c r="S457" s="304">
        <f>IF(O457&lt;=IF($O457=0,0,SUMIFS(Disbursements!$W:$W,Disbursements!$B:$B,'Live Collections'!D549,Disbursements!$D:$D,'Live Collections'!F549)),O457,IF($O457=0,0,SUMIFS(Disbursements!$W:$W,Disbursements!$B:$B,'Live Collections'!D549,Disbursements!$D:$D,'Live Collections'!F549)))</f>
        <v>50000</v>
      </c>
      <c r="T457" s="304">
        <f t="shared" si="24"/>
        <v>0</v>
      </c>
      <c r="U457" s="52"/>
      <c r="V457" s="34"/>
      <c r="W457" s="408"/>
    </row>
    <row r="458" spans="1:23" ht="12.75" customHeight="1" x14ac:dyDescent="0.2">
      <c r="A458" s="132">
        <v>455</v>
      </c>
      <c r="B458" s="44">
        <v>44407</v>
      </c>
      <c r="C458" s="44">
        <f t="shared" si="22"/>
        <v>44407</v>
      </c>
      <c r="D458" s="374">
        <v>52</v>
      </c>
      <c r="E458" s="291" t="str">
        <f>IFERROR(VLOOKUP($D458,'Clients-Live'!$A:$C,3,0),"")</f>
        <v>EDEZU PEACE IRENE</v>
      </c>
      <c r="F458" s="291">
        <f>IFERROR(INDEX(Disbursements!$D:$D,MATCH('Live Collections'!G458,Disbursements!$C:$C,0)),"")</f>
        <v>1</v>
      </c>
      <c r="G458" s="34">
        <v>38</v>
      </c>
      <c r="H458" s="34"/>
      <c r="I458" s="34" t="s">
        <v>1357</v>
      </c>
      <c r="J458" s="48"/>
      <c r="K458" s="48"/>
      <c r="L458" s="48"/>
      <c r="M458" s="48"/>
      <c r="N458" s="59"/>
      <c r="O458" s="59">
        <v>90000</v>
      </c>
      <c r="P458" s="59"/>
      <c r="Q458" s="268">
        <f t="shared" si="23"/>
        <v>90000</v>
      </c>
      <c r="R458" s="61">
        <f>IF(O458=0,0,SUMIFS(Disbursements!$T:$T,Disbursements!$B:$B,'Live Collections'!D458,Disbursements!$D:$D,'Live Collections'!F458))</f>
        <v>150000</v>
      </c>
      <c r="S458" s="304">
        <f>IF(O458&lt;=IF($O458=0,0,SUMIFS(Disbursements!$W:$W,Disbursements!$B:$B,'Live Collections'!D600,Disbursements!$D:$D,'Live Collections'!F600)),O458,IF($O458=0,0,SUMIFS(Disbursements!$W:$W,Disbursements!$B:$B,'Live Collections'!D600,Disbursements!$D:$D,'Live Collections'!F600)))</f>
        <v>75000</v>
      </c>
      <c r="T458" s="304">
        <f t="shared" si="24"/>
        <v>15000</v>
      </c>
      <c r="U458" s="52"/>
      <c r="V458" s="34"/>
      <c r="W458" s="408"/>
    </row>
    <row r="459" spans="1:23" ht="12.75" customHeight="1" x14ac:dyDescent="0.2">
      <c r="A459" s="257">
        <v>450</v>
      </c>
      <c r="B459" s="44">
        <v>44407</v>
      </c>
      <c r="C459" s="44">
        <f t="shared" si="22"/>
        <v>44407</v>
      </c>
      <c r="D459" s="374">
        <v>97</v>
      </c>
      <c r="E459" s="291" t="str">
        <f>IFERROR(VLOOKUP($D459,'Clients-Live'!$A:$C,3,0),"")</f>
        <v>DRANDUA JOB CHRISPUS</v>
      </c>
      <c r="F459" s="291">
        <f>IFERROR(INDEX(Disbursements!$D:$D,MATCH('Live Collections'!G459,Disbursements!$C:$C,0)),"")</f>
        <v>3</v>
      </c>
      <c r="G459" s="34">
        <v>202</v>
      </c>
      <c r="H459" s="34">
        <v>807</v>
      </c>
      <c r="I459" s="34" t="s">
        <v>862</v>
      </c>
      <c r="J459" s="48"/>
      <c r="K459" s="48"/>
      <c r="L459" s="48">
        <v>10000</v>
      </c>
      <c r="M459" s="48">
        <v>5000</v>
      </c>
      <c r="N459" s="59"/>
      <c r="O459" s="59"/>
      <c r="P459" s="59">
        <v>200000</v>
      </c>
      <c r="Q459" s="268">
        <f t="shared" si="23"/>
        <v>215000</v>
      </c>
      <c r="R459" s="61">
        <f>IF(O459=0,0,SUMIFS(Disbursements!$T:$T,Disbursements!$B:$B,'Live Collections'!D459,Disbursements!$D:$D,'Live Collections'!F459))</f>
        <v>0</v>
      </c>
      <c r="S459" s="304">
        <f>IF(O459&lt;=IF($O459=0,0,SUMIFS(Disbursements!$W:$W,Disbursements!$B:$B,'Live Collections'!D1248,Disbursements!$D:$D,'Live Collections'!F1248)),O459,IF($O459=0,0,SUMIFS(Disbursements!$W:$W,Disbursements!$B:$B,'Live Collections'!D1248,Disbursements!$D:$D,'Live Collections'!F1248)))</f>
        <v>0</v>
      </c>
      <c r="T459" s="304">
        <f t="shared" si="24"/>
        <v>0</v>
      </c>
      <c r="U459" s="52"/>
      <c r="V459" s="34"/>
      <c r="W459" s="408"/>
    </row>
    <row r="460" spans="1:23" ht="12.75" customHeight="1" x14ac:dyDescent="0.2">
      <c r="A460" s="132">
        <v>460</v>
      </c>
      <c r="B460" s="44">
        <v>44407</v>
      </c>
      <c r="C460" s="44">
        <f t="shared" si="22"/>
        <v>44407</v>
      </c>
      <c r="D460" s="374">
        <v>104</v>
      </c>
      <c r="E460" s="291" t="str">
        <f>IFERROR(VLOOKUP($D460,'Clients-Live'!$A:$C,3,0),"")</f>
        <v>IDIRA ALIMA</v>
      </c>
      <c r="F460" s="291">
        <f>IFERROR(INDEX(Disbursements!$D:$D,MATCH('Live Collections'!G460,Disbursements!$C:$C,0)),"")</f>
        <v>1</v>
      </c>
      <c r="G460" s="34">
        <v>86</v>
      </c>
      <c r="H460" s="34"/>
      <c r="I460" s="34" t="s">
        <v>1357</v>
      </c>
      <c r="J460" s="48"/>
      <c r="K460" s="48"/>
      <c r="L460" s="48"/>
      <c r="M460" s="48"/>
      <c r="N460" s="59"/>
      <c r="O460" s="59">
        <v>150000</v>
      </c>
      <c r="P460" s="59"/>
      <c r="Q460" s="268">
        <f t="shared" si="23"/>
        <v>150000</v>
      </c>
      <c r="R460" s="61">
        <f>IF(O460=0,0,SUMIFS(Disbursements!$T:$T,Disbursements!$B:$B,'Live Collections'!D460,Disbursements!$D:$D,'Live Collections'!F460))</f>
        <v>150000</v>
      </c>
      <c r="S460" s="64">
        <v>100000</v>
      </c>
      <c r="T460" s="304">
        <f t="shared" si="24"/>
        <v>50000</v>
      </c>
      <c r="U460" s="52"/>
      <c r="V460" s="34"/>
      <c r="W460" s="408"/>
    </row>
    <row r="461" spans="1:23" ht="12.75" customHeight="1" x14ac:dyDescent="0.2">
      <c r="A461" s="257">
        <v>461</v>
      </c>
      <c r="B461" s="44">
        <v>44407</v>
      </c>
      <c r="C461" s="44">
        <f t="shared" si="22"/>
        <v>44407</v>
      </c>
      <c r="D461" s="374">
        <v>105</v>
      </c>
      <c r="E461" s="291" t="str">
        <f>IFERROR(VLOOKUP($D461,'Clients-Live'!$A:$C,3,0),"")</f>
        <v>NUKA ROSE</v>
      </c>
      <c r="F461" s="291">
        <f>IFERROR(INDEX(Disbursements!$D:$D,MATCH('Live Collections'!G461,Disbursements!$C:$C,0)),"")</f>
        <v>1</v>
      </c>
      <c r="G461" s="34">
        <v>85</v>
      </c>
      <c r="H461" s="34"/>
      <c r="I461" s="34" t="s">
        <v>1359</v>
      </c>
      <c r="J461" s="48"/>
      <c r="K461" s="48"/>
      <c r="L461" s="48"/>
      <c r="M461" s="48"/>
      <c r="N461" s="59"/>
      <c r="O461" s="59">
        <v>80000</v>
      </c>
      <c r="P461" s="59"/>
      <c r="Q461" s="268">
        <f t="shared" si="23"/>
        <v>80000</v>
      </c>
      <c r="R461" s="61">
        <f>IF(O461=0,0,SUMIFS(Disbursements!$T:$T,Disbursements!$B:$B,'Live Collections'!D461,Disbursements!$D:$D,'Live Collections'!F461))</f>
        <v>90000</v>
      </c>
      <c r="S461" s="304">
        <f>IF(O461&lt;=IF($O461=0,0,SUMIFS(Disbursements!$W:$W,Disbursements!$B:$B,'Live Collections'!D1350,Disbursements!$D:$D,'Live Collections'!F1350)),O461,IF($O461=0,0,SUMIFS(Disbursements!$W:$W,Disbursements!$B:$B,'Live Collections'!D1350,Disbursements!$D:$D,'Live Collections'!F1350)))</f>
        <v>35000</v>
      </c>
      <c r="T461" s="304">
        <f t="shared" si="24"/>
        <v>45000</v>
      </c>
      <c r="U461" s="52"/>
      <c r="V461" s="34"/>
      <c r="W461" s="408"/>
    </row>
    <row r="462" spans="1:23" ht="12.75" customHeight="1" x14ac:dyDescent="0.2">
      <c r="A462" s="132">
        <v>459</v>
      </c>
      <c r="B462" s="44">
        <v>44407</v>
      </c>
      <c r="C462" s="44">
        <f t="shared" si="22"/>
        <v>44407</v>
      </c>
      <c r="D462" s="374">
        <v>116</v>
      </c>
      <c r="E462" s="291" t="str">
        <f>IFERROR(VLOOKUP($D462,'Clients-Live'!$A:$C,3,0),"")</f>
        <v>ONZIA LUCY</v>
      </c>
      <c r="F462" s="291">
        <f>IFERROR(INDEX(Disbursements!$D:$D,MATCH('Live Collections'!G462,Disbursements!$C:$C,0)),"")</f>
        <v>1</v>
      </c>
      <c r="G462" s="34">
        <v>95</v>
      </c>
      <c r="H462" s="34"/>
      <c r="I462" s="34" t="s">
        <v>1357</v>
      </c>
      <c r="J462" s="48"/>
      <c r="K462" s="48"/>
      <c r="L462" s="48"/>
      <c r="M462" s="48"/>
      <c r="N462" s="59"/>
      <c r="O462" s="59">
        <v>19000</v>
      </c>
      <c r="P462" s="59"/>
      <c r="Q462" s="268">
        <f t="shared" si="23"/>
        <v>19000</v>
      </c>
      <c r="R462" s="61">
        <f>IF(O462=0,0,SUMIFS(Disbursements!$T:$T,Disbursements!$B:$B,'Live Collections'!D462,Disbursements!$D:$D,'Live Collections'!F462))</f>
        <v>20000</v>
      </c>
      <c r="S462" s="304"/>
      <c r="T462" s="304">
        <f t="shared" si="24"/>
        <v>19000</v>
      </c>
      <c r="U462" s="52"/>
      <c r="V462" s="34"/>
      <c r="W462" s="408"/>
    </row>
    <row r="463" spans="1:23" ht="12.75" customHeight="1" x14ac:dyDescent="0.2">
      <c r="A463" s="257">
        <v>451</v>
      </c>
      <c r="B463" s="44">
        <v>44407</v>
      </c>
      <c r="C463" s="44">
        <f t="shared" si="22"/>
        <v>44407</v>
      </c>
      <c r="D463" s="374">
        <v>150</v>
      </c>
      <c r="E463" s="291" t="str">
        <f>IFERROR(VLOOKUP($D463,'Clients-Live'!$A:$C,3,0),"")</f>
        <v>ALOKE KENNEDY</v>
      </c>
      <c r="F463" s="291">
        <f>IFERROR(INDEX(Disbursements!$D:$D,MATCH('Live Collections'!G463,Disbursements!$C:$C,0)),"")</f>
        <v>1</v>
      </c>
      <c r="G463" s="34">
        <v>145</v>
      </c>
      <c r="H463" s="34"/>
      <c r="I463" s="34" t="s">
        <v>862</v>
      </c>
      <c r="J463" s="48"/>
      <c r="K463" s="48"/>
      <c r="L463" s="48">
        <v>10000</v>
      </c>
      <c r="M463" s="48">
        <v>5000</v>
      </c>
      <c r="N463" s="59"/>
      <c r="O463" s="59"/>
      <c r="P463" s="59">
        <v>140000</v>
      </c>
      <c r="Q463" s="268">
        <f t="shared" si="23"/>
        <v>155000</v>
      </c>
      <c r="R463" s="61">
        <f>IF(O463=0,0,SUMIFS(Disbursements!$T:$T,Disbursements!$B:$B,'Live Collections'!D463,Disbursements!$D:$D,'Live Collections'!F463))</f>
        <v>0</v>
      </c>
      <c r="S463" s="304">
        <f>IF(O463&lt;=IF($O463=0,0,SUMIFS(Disbursements!$W:$W,Disbursements!$B:$B,'Live Collections'!D1892,Disbursements!$D:$D,'Live Collections'!F1892)),O463,IF($O463=0,0,SUMIFS(Disbursements!$W:$W,Disbursements!$B:$B,'Live Collections'!D1892,Disbursements!$D:$D,'Live Collections'!F1892)))</f>
        <v>0</v>
      </c>
      <c r="T463" s="304">
        <f t="shared" si="24"/>
        <v>0</v>
      </c>
      <c r="U463" s="52"/>
      <c r="V463" s="34"/>
      <c r="W463" s="408"/>
    </row>
    <row r="464" spans="1:23" ht="12.75" customHeight="1" x14ac:dyDescent="0.2">
      <c r="A464" s="132">
        <v>452</v>
      </c>
      <c r="B464" s="44">
        <v>44407</v>
      </c>
      <c r="C464" s="44">
        <f t="shared" si="22"/>
        <v>44407</v>
      </c>
      <c r="D464" s="374">
        <v>154</v>
      </c>
      <c r="E464" s="291" t="str">
        <f>IFERROR(VLOOKUP($D464,'Clients-Live'!$A:$C,3,0),"")</f>
        <v>ERIMU SAMSON</v>
      </c>
      <c r="F464" s="291">
        <f>IFERROR(INDEX(Disbursements!$D:$D,MATCH('Live Collections'!G464,Disbursements!$C:$C,0)),"")</f>
        <v>1</v>
      </c>
      <c r="G464" s="34">
        <v>140</v>
      </c>
      <c r="H464" s="34"/>
      <c r="I464" s="34" t="s">
        <v>863</v>
      </c>
      <c r="J464" s="48"/>
      <c r="K464" s="48"/>
      <c r="L464" s="48">
        <v>10000</v>
      </c>
      <c r="M464" s="48">
        <v>5000</v>
      </c>
      <c r="N464" s="59"/>
      <c r="O464" s="59"/>
      <c r="P464" s="59">
        <v>180000</v>
      </c>
      <c r="Q464" s="268">
        <f t="shared" si="23"/>
        <v>195000</v>
      </c>
      <c r="R464" s="61">
        <f>IF(O464=0,0,SUMIFS(Disbursements!$T:$T,Disbursements!$B:$B,'Live Collections'!D464,Disbursements!$D:$D,'Live Collections'!F464))</f>
        <v>0</v>
      </c>
      <c r="S464" s="304">
        <f>IF(O464&lt;=IF($O464=0,0,SUMIFS(Disbursements!$W:$W,Disbursements!$B:$B,'Live Collections'!D1926,Disbursements!$D:$D,'Live Collections'!F1926)),O464,IF($O464=0,0,SUMIFS(Disbursements!$W:$W,Disbursements!$B:$B,'Live Collections'!D1926,Disbursements!$D:$D,'Live Collections'!F1926)))</f>
        <v>0</v>
      </c>
      <c r="T464" s="304">
        <f t="shared" si="24"/>
        <v>0</v>
      </c>
      <c r="U464" s="52"/>
      <c r="V464" s="34"/>
      <c r="W464" s="408"/>
    </row>
    <row r="465" spans="1:23" ht="12.75" customHeight="1" x14ac:dyDescent="0.2">
      <c r="A465" s="257">
        <v>453</v>
      </c>
      <c r="B465" s="44">
        <v>44407</v>
      </c>
      <c r="C465" s="44">
        <f t="shared" si="22"/>
        <v>44407</v>
      </c>
      <c r="D465" s="374">
        <v>155</v>
      </c>
      <c r="E465" s="291" t="str">
        <f>IFERROR(VLOOKUP($D465,'Clients-Live'!$A:$C,3,0),"")</f>
        <v>AROMBORAC SIAMA</v>
      </c>
      <c r="F465" s="291">
        <f>IFERROR(INDEX(Disbursements!$D:$D,MATCH('Live Collections'!G465,Disbursements!$C:$C,0)),"")</f>
        <v>1</v>
      </c>
      <c r="G465" s="34">
        <v>143</v>
      </c>
      <c r="H465" s="34"/>
      <c r="I465" s="34" t="s">
        <v>863</v>
      </c>
      <c r="J465" s="48"/>
      <c r="K465" s="48"/>
      <c r="L465" s="48">
        <v>10000</v>
      </c>
      <c r="M465" s="48">
        <v>5000</v>
      </c>
      <c r="N465" s="59"/>
      <c r="O465" s="59"/>
      <c r="P465" s="59">
        <v>30000</v>
      </c>
      <c r="Q465" s="268">
        <f t="shared" si="23"/>
        <v>45000</v>
      </c>
      <c r="R465" s="61">
        <f>IF(O465=0,0,SUMIFS(Disbursements!$T:$T,Disbursements!$B:$B,'Live Collections'!D465,Disbursements!$D:$D,'Live Collections'!F465))</f>
        <v>0</v>
      </c>
      <c r="S465" s="304">
        <f>IF(O465&lt;=IF($O465=0,0,SUMIFS(Disbursements!$W:$W,Disbursements!$B:$B,'Live Collections'!D1931,Disbursements!$D:$D,'Live Collections'!F1931)),O465,IF($O465=0,0,SUMIFS(Disbursements!$W:$W,Disbursements!$B:$B,'Live Collections'!D1931,Disbursements!$D:$D,'Live Collections'!F1931)))</f>
        <v>0</v>
      </c>
      <c r="T465" s="304">
        <f t="shared" si="24"/>
        <v>0</v>
      </c>
      <c r="U465" s="52"/>
      <c r="V465" s="34"/>
      <c r="W465" s="408"/>
    </row>
    <row r="466" spans="1:23" ht="12.75" customHeight="1" x14ac:dyDescent="0.2">
      <c r="A466" s="132">
        <v>447</v>
      </c>
      <c r="B466" s="44">
        <v>44407</v>
      </c>
      <c r="C466" s="44">
        <f t="shared" si="22"/>
        <v>44407</v>
      </c>
      <c r="D466" s="374">
        <v>158</v>
      </c>
      <c r="E466" s="291" t="str">
        <f>IFERROR(VLOOKUP($D466,'Clients-Live'!$A:$C,3,0),"")</f>
        <v>METALORO STEPHEN</v>
      </c>
      <c r="F466" s="291" t="str">
        <f>IFERROR(INDEX(Disbursements!$D:$D,MATCH('Live Collections'!G466,Disbursements!$C:$C,0)),"")</f>
        <v/>
      </c>
      <c r="G466" s="34"/>
      <c r="H466" s="34"/>
      <c r="I466" s="34" t="s">
        <v>1814</v>
      </c>
      <c r="J466" s="48">
        <v>15000</v>
      </c>
      <c r="K466" s="48">
        <v>5000</v>
      </c>
      <c r="L466" s="48"/>
      <c r="M466" s="48"/>
      <c r="N466" s="59"/>
      <c r="O466" s="59"/>
      <c r="P466" s="59"/>
      <c r="Q466" s="268">
        <f t="shared" si="23"/>
        <v>20000</v>
      </c>
      <c r="R466" s="61">
        <f>IF(O466=0,0,SUMIFS(Disbursements!$T:$T,Disbursements!$B:$B,'Live Collections'!D466,Disbursements!$D:$D,'Live Collections'!F466))</f>
        <v>0</v>
      </c>
      <c r="S466" s="304">
        <f>IF(O466&lt;=IF($O466=0,0,SUMIFS(Disbursements!$W:$W,Disbursements!$B:$B,'Live Collections'!D1976,Disbursements!$D:$D,'Live Collections'!F1976)),O466,IF($O466=0,0,SUMIFS(Disbursements!$W:$W,Disbursements!$B:$B,'Live Collections'!D1976,Disbursements!$D:$D,'Live Collections'!F1976)))</f>
        <v>0</v>
      </c>
      <c r="T466" s="304">
        <f t="shared" si="24"/>
        <v>0</v>
      </c>
      <c r="U466" s="52">
        <v>775090562</v>
      </c>
      <c r="V466" s="34"/>
      <c r="W466" s="408"/>
    </row>
    <row r="467" spans="1:23" ht="12.75" customHeight="1" x14ac:dyDescent="0.2">
      <c r="A467" s="257">
        <v>454</v>
      </c>
      <c r="B467" s="44">
        <v>44407</v>
      </c>
      <c r="C467" s="44">
        <f t="shared" si="22"/>
        <v>44407</v>
      </c>
      <c r="D467" s="374">
        <v>158</v>
      </c>
      <c r="E467" s="291" t="str">
        <f>IFERROR(VLOOKUP($D467,'Clients-Live'!$A:$C,3,0),"")</f>
        <v>METALORO STEPHEN</v>
      </c>
      <c r="F467" s="291">
        <f>IFERROR(INDEX(Disbursements!$D:$D,MATCH('Live Collections'!G467,Disbursements!$C:$C,0)),"")</f>
        <v>1</v>
      </c>
      <c r="G467" s="34">
        <v>144</v>
      </c>
      <c r="H467" s="34"/>
      <c r="I467" s="34" t="s">
        <v>863</v>
      </c>
      <c r="J467" s="48"/>
      <c r="K467" s="48"/>
      <c r="L467" s="48">
        <v>10000</v>
      </c>
      <c r="M467" s="48">
        <v>5000</v>
      </c>
      <c r="N467" s="59"/>
      <c r="O467" s="59"/>
      <c r="P467" s="59">
        <v>40000</v>
      </c>
      <c r="Q467" s="268">
        <f t="shared" si="23"/>
        <v>55000</v>
      </c>
      <c r="R467" s="61">
        <f>IF(O467=0,0,SUMIFS(Disbursements!$T:$T,Disbursements!$B:$B,'Live Collections'!D467,Disbursements!$D:$D,'Live Collections'!F467))</f>
        <v>0</v>
      </c>
      <c r="S467" s="304">
        <f>IF(O467&lt;=IF($O467=0,0,SUMIFS(Disbursements!$W:$W,Disbursements!$B:$B,'Live Collections'!D1977,Disbursements!$D:$D,'Live Collections'!F1977)),O467,IF($O467=0,0,SUMIFS(Disbursements!$W:$W,Disbursements!$B:$B,'Live Collections'!D1977,Disbursements!$D:$D,'Live Collections'!F1977)))</f>
        <v>0</v>
      </c>
      <c r="T467" s="304">
        <f t="shared" si="24"/>
        <v>0</v>
      </c>
      <c r="U467" s="52"/>
      <c r="V467" s="34"/>
      <c r="W467" s="408"/>
    </row>
    <row r="468" spans="1:23" ht="12.75" customHeight="1" x14ac:dyDescent="0.2">
      <c r="A468" s="132">
        <v>448</v>
      </c>
      <c r="B468" s="44">
        <v>44407</v>
      </c>
      <c r="C468" s="44">
        <f t="shared" si="22"/>
        <v>44407</v>
      </c>
      <c r="D468" s="374">
        <v>159</v>
      </c>
      <c r="E468" s="291" t="str">
        <f>IFERROR(VLOOKUP($D468,'Clients-Live'!$A:$C,3,0),"")</f>
        <v>ALICE AMINA</v>
      </c>
      <c r="F468" s="291" t="str">
        <f>IFERROR(INDEX(Disbursements!$D:$D,MATCH('Live Collections'!G468,Disbursements!$C:$C,0)),"")</f>
        <v/>
      </c>
      <c r="G468" s="34"/>
      <c r="H468" s="34"/>
      <c r="I468" s="34" t="s">
        <v>1814</v>
      </c>
      <c r="J468" s="48">
        <v>15000</v>
      </c>
      <c r="K468" s="48">
        <v>5000</v>
      </c>
      <c r="L468" s="48"/>
      <c r="M468" s="48"/>
      <c r="N468" s="59"/>
      <c r="O468" s="59"/>
      <c r="P468" s="59"/>
      <c r="Q468" s="268">
        <f t="shared" si="23"/>
        <v>20000</v>
      </c>
      <c r="R468" s="61">
        <f>IF(O468=0,0,SUMIFS(Disbursements!$T:$T,Disbursements!$B:$B,'Live Collections'!D468,Disbursements!$D:$D,'Live Collections'!F468))</f>
        <v>0</v>
      </c>
      <c r="S468" s="304">
        <f>IF(O468&lt;=IF($O468=0,0,SUMIFS(Disbursements!$W:$W,Disbursements!$B:$B,'Live Collections'!D1980,Disbursements!$D:$D,'Live Collections'!F1980)),O468,IF($O468=0,0,SUMIFS(Disbursements!$W:$W,Disbursements!$B:$B,'Live Collections'!D1980,Disbursements!$D:$D,'Live Collections'!F1980)))</f>
        <v>0</v>
      </c>
      <c r="T468" s="304">
        <f t="shared" si="24"/>
        <v>0</v>
      </c>
      <c r="U468" s="52">
        <v>779776045</v>
      </c>
      <c r="V468" s="34"/>
      <c r="W468" s="408"/>
    </row>
    <row r="469" spans="1:23" ht="12.75" customHeight="1" x14ac:dyDescent="0.2">
      <c r="A469" s="257">
        <v>449</v>
      </c>
      <c r="B469" s="44">
        <v>44407</v>
      </c>
      <c r="C469" s="44">
        <f t="shared" si="22"/>
        <v>44407</v>
      </c>
      <c r="D469" s="374">
        <v>160</v>
      </c>
      <c r="E469" s="291" t="str">
        <f>IFERROR(VLOOKUP($D469,'Clients-Live'!$A:$C,3,0),"")</f>
        <v>CHANDI ZANABU</v>
      </c>
      <c r="F469" s="291" t="str">
        <f>IFERROR(INDEX(Disbursements!$D:$D,MATCH('Live Collections'!G469,Disbursements!$C:$C,0)),"")</f>
        <v/>
      </c>
      <c r="G469" s="34"/>
      <c r="H469" s="34"/>
      <c r="I469" s="34" t="s">
        <v>1814</v>
      </c>
      <c r="J469" s="48">
        <v>15000</v>
      </c>
      <c r="K469" s="48">
        <v>5000</v>
      </c>
      <c r="L469" s="48"/>
      <c r="M469" s="48"/>
      <c r="N469" s="59"/>
      <c r="O469" s="59"/>
      <c r="P469" s="59"/>
      <c r="Q469" s="268">
        <f t="shared" si="23"/>
        <v>20000</v>
      </c>
      <c r="R469" s="61">
        <f>IF(O469=0,0,SUMIFS(Disbursements!$T:$T,Disbursements!$B:$B,'Live Collections'!D469,Disbursements!$D:$D,'Live Collections'!F469))</f>
        <v>0</v>
      </c>
      <c r="S469" s="304">
        <f>IF(O469&lt;=IF($O469=0,0,SUMIFS(Disbursements!$W:$W,Disbursements!$B:$B,'Live Collections'!D1989,Disbursements!$D:$D,'Live Collections'!F1989)),O469,IF($O469=0,0,SUMIFS(Disbursements!$W:$W,Disbursements!$B:$B,'Live Collections'!D1989,Disbursements!$D:$D,'Live Collections'!F1989)))</f>
        <v>0</v>
      </c>
      <c r="T469" s="304">
        <f t="shared" si="24"/>
        <v>0</v>
      </c>
      <c r="U469" s="52"/>
      <c r="V469" s="34"/>
      <c r="W469" s="408"/>
    </row>
    <row r="470" spans="1:23" ht="12.75" customHeight="1" x14ac:dyDescent="0.2">
      <c r="A470" s="132">
        <v>462</v>
      </c>
      <c r="B470" s="44">
        <v>44408</v>
      </c>
      <c r="C470" s="44">
        <f t="shared" si="22"/>
        <v>44408</v>
      </c>
      <c r="D470" s="374">
        <v>14</v>
      </c>
      <c r="E470" s="291" t="str">
        <f>IFERROR(VLOOKUP($D470,'Clients-Live'!$A:$C,3,0),"")</f>
        <v>ASIKU ROMANO ADEBUA</v>
      </c>
      <c r="F470" s="291">
        <f>IFERROR(INDEX(Disbursements!$D:$D,MATCH('Live Collections'!G470,Disbursements!$C:$C,0)),"")</f>
        <v>1</v>
      </c>
      <c r="G470" s="34">
        <v>5</v>
      </c>
      <c r="H470" s="34"/>
      <c r="I470" s="34" t="s">
        <v>1357</v>
      </c>
      <c r="J470" s="48"/>
      <c r="K470" s="48"/>
      <c r="L470" s="48"/>
      <c r="M470" s="48"/>
      <c r="N470" s="59"/>
      <c r="O470" s="59">
        <v>116700</v>
      </c>
      <c r="P470" s="59"/>
      <c r="Q470" s="268">
        <f t="shared" si="23"/>
        <v>116700</v>
      </c>
      <c r="R470" s="61">
        <f>IF(O470=0,0,SUMIFS(Disbursements!$T:$T,Disbursements!$B:$B,'Live Collections'!D470,Disbursements!$D:$D,'Live Collections'!F470))</f>
        <v>217000</v>
      </c>
      <c r="S470" s="304">
        <f>IF(O470&lt;=IF($O470=0,0,SUMIFS(Disbursements!$W:$W,Disbursements!$B:$B,'Live Collections'!D150,Disbursements!$D:$D,'Live Collections'!F150)),O470,IF($O470=0,0,SUMIFS(Disbursements!$W:$W,Disbursements!$B:$B,'Live Collections'!D150,Disbursements!$D:$D,'Live Collections'!F150)))</f>
        <v>0</v>
      </c>
      <c r="T470" s="304">
        <f t="shared" si="24"/>
        <v>116700</v>
      </c>
      <c r="U470" s="52"/>
      <c r="V470" s="34"/>
      <c r="W470" s="408"/>
    </row>
    <row r="471" spans="1:23" ht="12.75" customHeight="1" x14ac:dyDescent="0.2">
      <c r="A471" s="257">
        <v>464</v>
      </c>
      <c r="B471" s="44">
        <v>44408</v>
      </c>
      <c r="C471" s="44">
        <f t="shared" si="22"/>
        <v>44408</v>
      </c>
      <c r="D471" s="374">
        <v>18</v>
      </c>
      <c r="E471" s="291" t="str">
        <f>IFERROR(VLOOKUP($D471,'Clients-Live'!$A:$C,3,0),"")</f>
        <v>ARIYE PEACE</v>
      </c>
      <c r="F471" s="291">
        <f>IFERROR(INDEX(Disbursements!$D:$D,MATCH('Live Collections'!G471,Disbursements!$C:$C,0)),"")</f>
        <v>1</v>
      </c>
      <c r="G471" s="34">
        <v>9</v>
      </c>
      <c r="H471" s="34"/>
      <c r="I471" s="34" t="s">
        <v>1357</v>
      </c>
      <c r="J471" s="48"/>
      <c r="K471" s="48"/>
      <c r="L471" s="48"/>
      <c r="M471" s="48"/>
      <c r="N471" s="59"/>
      <c r="O471" s="59">
        <v>108400</v>
      </c>
      <c r="P471" s="59"/>
      <c r="Q471" s="268">
        <f t="shared" si="23"/>
        <v>108400</v>
      </c>
      <c r="R471" s="61">
        <f>IF(O471=0,0,SUMIFS(Disbursements!$T:$T,Disbursements!$B:$B,'Live Collections'!D471,Disbursements!$D:$D,'Live Collections'!F471))</f>
        <v>109000</v>
      </c>
      <c r="S471" s="304">
        <f>IF(O471&lt;=IF($O471=0,0,SUMIFS(Disbursements!$W:$W,Disbursements!$B:$B,'Live Collections'!D198,Disbursements!$D:$D,'Live Collections'!F198)),O471,IF($O471=0,0,SUMIFS(Disbursements!$W:$W,Disbursements!$B:$B,'Live Collections'!D198,Disbursements!$D:$D,'Live Collections'!F198)))</f>
        <v>0</v>
      </c>
      <c r="T471" s="304">
        <f t="shared" si="24"/>
        <v>108400</v>
      </c>
      <c r="U471" s="52"/>
      <c r="V471" s="34"/>
      <c r="W471" s="408"/>
    </row>
    <row r="472" spans="1:23" ht="12.75" customHeight="1" x14ac:dyDescent="0.2">
      <c r="A472" s="132">
        <v>465</v>
      </c>
      <c r="B472" s="44">
        <v>44408</v>
      </c>
      <c r="C472" s="44">
        <f t="shared" si="22"/>
        <v>44408</v>
      </c>
      <c r="D472" s="374">
        <v>57</v>
      </c>
      <c r="E472" s="291" t="str">
        <f>IFERROR(VLOOKUP($D472,'Clients-Live'!$A:$C,3,0),"")</f>
        <v>ASERU SCOVIA</v>
      </c>
      <c r="F472" s="291">
        <f>IFERROR(INDEX(Disbursements!$D:$D,MATCH('Live Collections'!G472,Disbursements!$C:$C,0)),"")</f>
        <v>1</v>
      </c>
      <c r="G472" s="34">
        <v>41</v>
      </c>
      <c r="H472" s="34"/>
      <c r="I472" s="34" t="s">
        <v>1359</v>
      </c>
      <c r="J472" s="48"/>
      <c r="K472" s="48"/>
      <c r="L472" s="48"/>
      <c r="M472" s="48"/>
      <c r="N472" s="59"/>
      <c r="O472" s="59">
        <v>105000</v>
      </c>
      <c r="P472" s="59"/>
      <c r="Q472" s="268">
        <f t="shared" si="23"/>
        <v>105000</v>
      </c>
      <c r="R472" s="61">
        <f>IF(O472=0,0,SUMIFS(Disbursements!$T:$T,Disbursements!$B:$B,'Live Collections'!D472,Disbursements!$D:$D,'Live Collections'!F472))</f>
        <v>60000</v>
      </c>
      <c r="S472" s="304">
        <f>IF(O472&lt;=IF($O472=0,0,SUMIFS(Disbursements!$W:$W,Disbursements!$B:$B,'Live Collections'!D679,Disbursements!$D:$D,'Live Collections'!F679)),O472,IF($O472=0,0,SUMIFS(Disbursements!$W:$W,Disbursements!$B:$B,'Live Collections'!D679,Disbursements!$D:$D,'Live Collections'!F679)))</f>
        <v>3333.3333333333321</v>
      </c>
      <c r="T472" s="304">
        <f t="shared" si="24"/>
        <v>101666.66666666667</v>
      </c>
      <c r="U472" s="52"/>
      <c r="V472" s="34"/>
      <c r="W472" s="408"/>
    </row>
    <row r="473" spans="1:23" ht="12.75" customHeight="1" x14ac:dyDescent="0.2">
      <c r="A473" s="257">
        <v>463</v>
      </c>
      <c r="B473" s="44">
        <v>44408</v>
      </c>
      <c r="C473" s="44">
        <f t="shared" si="22"/>
        <v>44408</v>
      </c>
      <c r="D473" s="374">
        <v>58</v>
      </c>
      <c r="E473" s="291" t="str">
        <f>IFERROR(VLOOKUP($D473,'Clients-Live'!$A:$C,3,0),"")</f>
        <v xml:space="preserve">ALIRU AMINA </v>
      </c>
      <c r="F473" s="291">
        <f>IFERROR(INDEX(Disbursements!$D:$D,MATCH('Live Collections'!G473,Disbursements!$C:$C,0)),"")</f>
        <v>1</v>
      </c>
      <c r="G473" s="34">
        <v>46</v>
      </c>
      <c r="H473" s="34"/>
      <c r="I473" s="34" t="s">
        <v>1358</v>
      </c>
      <c r="J473" s="48"/>
      <c r="K473" s="48"/>
      <c r="L473" s="48"/>
      <c r="M473" s="48"/>
      <c r="N473" s="59"/>
      <c r="O473" s="59">
        <v>45000</v>
      </c>
      <c r="P473" s="59"/>
      <c r="Q473" s="268">
        <f t="shared" si="23"/>
        <v>45000</v>
      </c>
      <c r="R473" s="61">
        <f>IF(O473=0,0,SUMIFS(Disbursements!$T:$T,Disbursements!$B:$B,'Live Collections'!D473,Disbursements!$D:$D,'Live Collections'!F473))</f>
        <v>180000</v>
      </c>
      <c r="S473" s="304">
        <f>IF(O473&lt;=IF($O473=0,0,SUMIFS(Disbursements!$W:$W,Disbursements!$B:$B,'Live Collections'!D690,Disbursements!$D:$D,'Live Collections'!F690)),O473,IF($O473=0,0,SUMIFS(Disbursements!$W:$W,Disbursements!$B:$B,'Live Collections'!D690,Disbursements!$D:$D,'Live Collections'!F690)))</f>
        <v>8000</v>
      </c>
      <c r="T473" s="304">
        <f t="shared" si="24"/>
        <v>37000</v>
      </c>
      <c r="U473" s="52"/>
      <c r="V473" s="34"/>
      <c r="W473" s="408"/>
    </row>
    <row r="474" spans="1:23" ht="12.75" customHeight="1" x14ac:dyDescent="0.2">
      <c r="A474" s="132">
        <v>484</v>
      </c>
      <c r="B474" s="44">
        <v>44410</v>
      </c>
      <c r="C474" s="44">
        <f t="shared" si="22"/>
        <v>44410</v>
      </c>
      <c r="D474" s="374">
        <v>19</v>
      </c>
      <c r="E474" s="291" t="str">
        <f>IFERROR(VLOOKUP($D474,'Clients-Live'!$A:$C,3,0),"")</f>
        <v>ANGUPARU MOLLY</v>
      </c>
      <c r="F474" s="291">
        <f>IFERROR(INDEX(Disbursements!$D:$D,MATCH('Live Collections'!G474,Disbursements!$C:$C,0)),"")</f>
        <v>1</v>
      </c>
      <c r="G474" s="34">
        <v>12</v>
      </c>
      <c r="H474" s="34"/>
      <c r="I474" s="34" t="s">
        <v>1358</v>
      </c>
      <c r="J474" s="48"/>
      <c r="K474" s="48"/>
      <c r="L474" s="48"/>
      <c r="M474" s="48"/>
      <c r="N474" s="59"/>
      <c r="O474" s="59">
        <v>240000</v>
      </c>
      <c r="P474" s="59"/>
      <c r="Q474" s="268">
        <f t="shared" si="23"/>
        <v>240000</v>
      </c>
      <c r="R474" s="61">
        <f>IF(O474=0,0,SUMIFS(Disbursements!$T:$T,Disbursements!$B:$B,'Live Collections'!D474,Disbursements!$D:$D,'Live Collections'!F474))</f>
        <v>120000</v>
      </c>
      <c r="S474" s="304">
        <f>IF(O474&lt;=IF($O474=0,0,SUMIFS(Disbursements!$W:$W,Disbursements!$B:$B,'Live Collections'!D235,Disbursements!$D:$D,'Live Collections'!F235)),O474,IF($O474=0,0,SUMIFS(Disbursements!$W:$W,Disbursements!$B:$B,'Live Collections'!D235,Disbursements!$D:$D,'Live Collections'!F235)))</f>
        <v>25000</v>
      </c>
      <c r="T474" s="304">
        <f t="shared" si="24"/>
        <v>215000</v>
      </c>
      <c r="U474" s="52"/>
      <c r="V474" s="34"/>
      <c r="W474" s="408"/>
    </row>
    <row r="475" spans="1:23" ht="12.75" customHeight="1" x14ac:dyDescent="0.2">
      <c r="A475" s="257">
        <v>481</v>
      </c>
      <c r="B475" s="44">
        <v>44410</v>
      </c>
      <c r="C475" s="44">
        <f t="shared" si="22"/>
        <v>44410</v>
      </c>
      <c r="D475" s="374">
        <v>20</v>
      </c>
      <c r="E475" s="291" t="str">
        <f>IFERROR(VLOOKUP($D475,'Clients-Live'!$A:$C,3,0),"")</f>
        <v>ANDEZO KEVIN</v>
      </c>
      <c r="F475" s="291">
        <f>IFERROR(INDEX(Disbursements!$D:$D,MATCH('Live Collections'!G475,Disbursements!$C:$C,0)),"")</f>
        <v>1</v>
      </c>
      <c r="G475" s="34">
        <v>11</v>
      </c>
      <c r="H475" s="34">
        <v>815</v>
      </c>
      <c r="I475" s="34" t="s">
        <v>1358</v>
      </c>
      <c r="J475" s="48"/>
      <c r="K475" s="48"/>
      <c r="L475" s="48"/>
      <c r="M475" s="48"/>
      <c r="N475" s="59"/>
      <c r="O475" s="59">
        <v>50000</v>
      </c>
      <c r="P475" s="59"/>
      <c r="Q475" s="268">
        <f t="shared" si="23"/>
        <v>50000</v>
      </c>
      <c r="R475" s="61">
        <f>IF(O475=0,0,SUMIFS(Disbursements!$T:$T,Disbursements!$B:$B,'Live Collections'!D475,Disbursements!$D:$D,'Live Collections'!F475))</f>
        <v>180000</v>
      </c>
      <c r="S475" s="304">
        <f>IF(O475&lt;=IF($O475=0,0,SUMIFS(Disbursements!$W:$W,Disbursements!$B:$B,'Live Collections'!D248,Disbursements!$D:$D,'Live Collections'!F248)),O475,IF($O475=0,0,SUMIFS(Disbursements!$W:$W,Disbursements!$B:$B,'Live Collections'!D248,Disbursements!$D:$D,'Live Collections'!F248)))</f>
        <v>0</v>
      </c>
      <c r="T475" s="304">
        <f t="shared" si="24"/>
        <v>50000</v>
      </c>
      <c r="U475" s="52"/>
      <c r="V475" s="34"/>
      <c r="W475" s="408"/>
    </row>
    <row r="476" spans="1:23" ht="12.75" customHeight="1" x14ac:dyDescent="0.2">
      <c r="A476" s="132">
        <v>479</v>
      </c>
      <c r="B476" s="44">
        <v>44410</v>
      </c>
      <c r="C476" s="44">
        <f t="shared" si="22"/>
        <v>44410</v>
      </c>
      <c r="D476" s="374">
        <v>30</v>
      </c>
      <c r="E476" s="291" t="str">
        <f>IFERROR(VLOOKUP($D476,'Clients-Live'!$A:$C,3,0),"")</f>
        <v>SITARAYA PATRICIA IDERU</v>
      </c>
      <c r="F476" s="291">
        <f>IFERROR(INDEX(Disbursements!$D:$D,MATCH('Live Collections'!G476,Disbursements!$C:$C,0)),"")</f>
        <v>1</v>
      </c>
      <c r="G476" s="34">
        <v>18</v>
      </c>
      <c r="H476" s="34"/>
      <c r="I476" s="34" t="s">
        <v>1358</v>
      </c>
      <c r="J476" s="48"/>
      <c r="K476" s="48"/>
      <c r="L476" s="48"/>
      <c r="M476" s="48"/>
      <c r="N476" s="59"/>
      <c r="O476" s="59">
        <v>50000</v>
      </c>
      <c r="P476" s="59"/>
      <c r="Q476" s="268">
        <f t="shared" si="23"/>
        <v>50000</v>
      </c>
      <c r="R476" s="61">
        <f>IF(O476=0,0,SUMIFS(Disbursements!$T:$T,Disbursements!$B:$B,'Live Collections'!D476,Disbursements!$D:$D,'Live Collections'!F476))</f>
        <v>120000</v>
      </c>
      <c r="S476" s="304"/>
      <c r="T476" s="304">
        <f t="shared" si="24"/>
        <v>50000</v>
      </c>
      <c r="U476" s="52"/>
      <c r="V476" s="34"/>
      <c r="W476" s="408"/>
    </row>
    <row r="477" spans="1:23" ht="12.75" customHeight="1" x14ac:dyDescent="0.2">
      <c r="A477" s="257">
        <v>474</v>
      </c>
      <c r="B477" s="44">
        <v>44410</v>
      </c>
      <c r="C477" s="44">
        <f t="shared" si="22"/>
        <v>44410</v>
      </c>
      <c r="D477" s="374">
        <v>34</v>
      </c>
      <c r="E477" s="291" t="str">
        <f>IFERROR(VLOOKUP($D477,'Clients-Live'!$A:$C,3,0),"")</f>
        <v>APEKURU FLORENCE</v>
      </c>
      <c r="F477" s="291">
        <f>IFERROR(INDEX(Disbursements!$D:$D,MATCH('Live Collections'!G477,Disbursements!$C:$C,0)),"")</f>
        <v>1</v>
      </c>
      <c r="G477" s="34">
        <v>19</v>
      </c>
      <c r="H477" s="34"/>
      <c r="I477" s="34" t="s">
        <v>1359</v>
      </c>
      <c r="J477" s="48"/>
      <c r="K477" s="48"/>
      <c r="L477" s="48"/>
      <c r="M477" s="48"/>
      <c r="N477" s="59"/>
      <c r="O477" s="59">
        <v>383600</v>
      </c>
      <c r="P477" s="59"/>
      <c r="Q477" s="268">
        <f t="shared" si="23"/>
        <v>383600</v>
      </c>
      <c r="R477" s="61">
        <f>IF(O477=0,0,SUMIFS(Disbursements!$T:$T,Disbursements!$B:$B,'Live Collections'!D477,Disbursements!$D:$D,'Live Collections'!F477))</f>
        <v>384000</v>
      </c>
      <c r="S477" s="304"/>
      <c r="T477" s="304">
        <f t="shared" si="24"/>
        <v>383600</v>
      </c>
      <c r="U477" s="52"/>
      <c r="V477" s="34"/>
      <c r="W477" s="408"/>
    </row>
    <row r="478" spans="1:23" ht="12.75" customHeight="1" x14ac:dyDescent="0.2">
      <c r="A478" s="132">
        <v>470</v>
      </c>
      <c r="B478" s="44">
        <v>44410</v>
      </c>
      <c r="C478" s="44">
        <f t="shared" si="22"/>
        <v>44410</v>
      </c>
      <c r="D478" s="374">
        <v>41</v>
      </c>
      <c r="E478" s="291" t="str">
        <f>IFERROR(VLOOKUP($D478,'Clients-Live'!$A:$C,3,0),"")</f>
        <v>ANGUYO RONALD</v>
      </c>
      <c r="F478" s="291">
        <f>IFERROR(INDEX(Disbursements!$D:$D,MATCH('Live Collections'!G478,Disbursements!$C:$C,0)),"")</f>
        <v>3</v>
      </c>
      <c r="G478" s="34">
        <v>147</v>
      </c>
      <c r="H478" s="34"/>
      <c r="I478" s="34" t="s">
        <v>863</v>
      </c>
      <c r="J478" s="48"/>
      <c r="K478" s="48"/>
      <c r="L478" s="48">
        <v>15000</v>
      </c>
      <c r="M478" s="48">
        <v>5000</v>
      </c>
      <c r="N478" s="59"/>
      <c r="O478" s="59"/>
      <c r="P478" s="59"/>
      <c r="Q478" s="268">
        <f t="shared" si="23"/>
        <v>20000</v>
      </c>
      <c r="R478" s="61">
        <f>IF(O478=0,0,SUMIFS(Disbursements!$T:$T,Disbursements!$B:$B,'Live Collections'!D478,Disbursements!$D:$D,'Live Collections'!F478))</f>
        <v>0</v>
      </c>
      <c r="S478" s="304">
        <f>IF(O478&lt;=IF($O478=0,0,SUMIFS(Disbursements!$W:$W,Disbursements!$B:$B,'Live Collections'!D447,Disbursements!$D:$D,'Live Collections'!F447)),O478,IF($O478=0,0,SUMIFS(Disbursements!$W:$W,Disbursements!$B:$B,'Live Collections'!D447,Disbursements!$D:$D,'Live Collections'!F447)))</f>
        <v>0</v>
      </c>
      <c r="T478" s="304">
        <f t="shared" si="24"/>
        <v>0</v>
      </c>
      <c r="U478" s="52"/>
      <c r="V478" s="34"/>
      <c r="W478" s="408"/>
    </row>
    <row r="479" spans="1:23" ht="12.75" customHeight="1" x14ac:dyDescent="0.2">
      <c r="A479" s="257">
        <v>482</v>
      </c>
      <c r="B479" s="44">
        <v>44410</v>
      </c>
      <c r="C479" s="44">
        <f t="shared" si="22"/>
        <v>44410</v>
      </c>
      <c r="D479" s="374">
        <v>41</v>
      </c>
      <c r="E479" s="291" t="str">
        <f>IFERROR(VLOOKUP($D479,'Clients-Live'!$A:$C,3,0),"")</f>
        <v>ANGUYO RONALD</v>
      </c>
      <c r="F479" s="291">
        <f>IFERROR(INDEX(Disbursements!$D:$D,MATCH('Live Collections'!G479,Disbursements!$C:$C,0)),"")</f>
        <v>1</v>
      </c>
      <c r="G479" s="34">
        <v>23</v>
      </c>
      <c r="H479" s="34"/>
      <c r="I479" s="34" t="s">
        <v>1358</v>
      </c>
      <c r="J479" s="48"/>
      <c r="K479" s="48"/>
      <c r="L479" s="48"/>
      <c r="M479" s="48"/>
      <c r="N479" s="59"/>
      <c r="O479" s="59">
        <v>537500</v>
      </c>
      <c r="P479" s="59"/>
      <c r="Q479" s="268">
        <f t="shared" si="23"/>
        <v>537500</v>
      </c>
      <c r="R479" s="61">
        <f>IF(O479=0,0,SUMIFS(Disbursements!$T:$T,Disbursements!$B:$B,'Live Collections'!D479,Disbursements!$D:$D,'Live Collections'!F479))</f>
        <v>538000</v>
      </c>
      <c r="S479" s="64">
        <v>38000</v>
      </c>
      <c r="T479" s="304">
        <f>IF(O479=0,0,O479-S479)+500</f>
        <v>500000</v>
      </c>
      <c r="U479" s="52"/>
      <c r="V479" s="34"/>
      <c r="W479" s="408" t="s">
        <v>2086</v>
      </c>
    </row>
    <row r="480" spans="1:23" ht="12.75" customHeight="1" x14ac:dyDescent="0.2">
      <c r="A480" s="132">
        <v>480</v>
      </c>
      <c r="B480" s="44">
        <v>44410</v>
      </c>
      <c r="C480" s="44">
        <f t="shared" si="22"/>
        <v>44410</v>
      </c>
      <c r="D480" s="374">
        <v>47</v>
      </c>
      <c r="E480" s="291" t="str">
        <f>IFERROR(VLOOKUP($D480,'Clients-Live'!$A:$C,3,0),"")</f>
        <v>DAWA AMINA</v>
      </c>
      <c r="F480" s="291">
        <f>IFERROR(INDEX(Disbursements!$D:$D,MATCH('Live Collections'!G480,Disbursements!$C:$C,0)),"")</f>
        <v>1</v>
      </c>
      <c r="G480" s="34">
        <v>29</v>
      </c>
      <c r="H480" s="34"/>
      <c r="I480" s="34" t="s">
        <v>1357</v>
      </c>
      <c r="J480" s="48"/>
      <c r="K480" s="48"/>
      <c r="L480" s="48"/>
      <c r="M480" s="48"/>
      <c r="N480" s="59"/>
      <c r="O480" s="59">
        <v>32000</v>
      </c>
      <c r="P480" s="59"/>
      <c r="Q480" s="268">
        <f t="shared" si="23"/>
        <v>32000</v>
      </c>
      <c r="R480" s="61">
        <f>IF(O480=0,0,SUMIFS(Disbursements!$T:$T,Disbursements!$B:$B,'Live Collections'!D480,Disbursements!$D:$D,'Live Collections'!F480))</f>
        <v>0</v>
      </c>
      <c r="S480" s="304">
        <f>IF(O480&lt;=IF($O480=0,0,SUMIFS(Disbursements!$W:$W,Disbursements!$B:$B,'Live Collections'!D539,Disbursements!$D:$D,'Live Collections'!F539)),O480,IF($O480=0,0,SUMIFS(Disbursements!$W:$W,Disbursements!$B:$B,'Live Collections'!D539,Disbursements!$D:$D,'Live Collections'!F539)))</f>
        <v>32000</v>
      </c>
      <c r="T480" s="304">
        <f t="shared" si="24"/>
        <v>0</v>
      </c>
      <c r="U480" s="52"/>
      <c r="V480" s="34"/>
      <c r="W480" s="408"/>
    </row>
    <row r="481" spans="1:23" ht="12.75" customHeight="1" x14ac:dyDescent="0.2">
      <c r="A481" s="257">
        <v>478</v>
      </c>
      <c r="B481" s="44">
        <v>44410</v>
      </c>
      <c r="C481" s="44">
        <f t="shared" si="22"/>
        <v>44410</v>
      </c>
      <c r="D481" s="374">
        <v>79</v>
      </c>
      <c r="E481" s="291" t="str">
        <f>IFERROR(VLOOKUP($D481,'Clients-Live'!$A:$C,3,0),"")</f>
        <v>PASI SENYA</v>
      </c>
      <c r="F481" s="291">
        <f>IFERROR(INDEX(Disbursements!$D:$D,MATCH('Live Collections'!G481,Disbursements!$C:$C,0)),"")</f>
        <v>1</v>
      </c>
      <c r="G481" s="34">
        <v>64</v>
      </c>
      <c r="H481" s="34"/>
      <c r="I481" s="34" t="s">
        <v>1358</v>
      </c>
      <c r="J481" s="48"/>
      <c r="K481" s="48"/>
      <c r="L481" s="48"/>
      <c r="M481" s="48"/>
      <c r="N481" s="59"/>
      <c r="O481" s="59">
        <v>62500</v>
      </c>
      <c r="P481" s="59"/>
      <c r="Q481" s="268">
        <f t="shared" si="23"/>
        <v>62500</v>
      </c>
      <c r="R481" s="61">
        <f>IF(O481=0,0,SUMIFS(Disbursements!$T:$T,Disbursements!$B:$B,'Live Collections'!D481,Disbursements!$D:$D,'Live Collections'!F481))</f>
        <v>63000</v>
      </c>
      <c r="S481" s="304">
        <f>IF(O481&lt;=IF($O481=0,0,SUMIFS(Disbursements!$W:$W,Disbursements!$B:$B,'Live Collections'!D1017,Disbursements!$D:$D,'Live Collections'!F1017)),O481,IF($O481=0,0,SUMIFS(Disbursements!$W:$W,Disbursements!$B:$B,'Live Collections'!D1017,Disbursements!$D:$D,'Live Collections'!F1017)))</f>
        <v>15000</v>
      </c>
      <c r="T481" s="304">
        <f t="shared" si="24"/>
        <v>47500</v>
      </c>
      <c r="U481" s="52"/>
      <c r="V481" s="34"/>
      <c r="W481" s="408"/>
    </row>
    <row r="482" spans="1:23" ht="12.75" customHeight="1" x14ac:dyDescent="0.2">
      <c r="A482" s="132">
        <v>475</v>
      </c>
      <c r="B482" s="44">
        <v>44410</v>
      </c>
      <c r="C482" s="44">
        <f t="shared" si="22"/>
        <v>44410</v>
      </c>
      <c r="D482" s="374">
        <v>86</v>
      </c>
      <c r="E482" s="291" t="str">
        <f>IFERROR(VLOOKUP($D482,'Clients-Live'!$A:$C,3,0),"")</f>
        <v>AMANIYO JOYCE</v>
      </c>
      <c r="F482" s="291">
        <f>IFERROR(INDEX(Disbursements!$D:$D,MATCH('Live Collections'!G482,Disbursements!$C:$C,0)),"")</f>
        <v>1</v>
      </c>
      <c r="G482" s="34">
        <v>73</v>
      </c>
      <c r="H482" s="34"/>
      <c r="I482" s="34" t="s">
        <v>1358</v>
      </c>
      <c r="J482" s="48"/>
      <c r="K482" s="48"/>
      <c r="L482" s="48"/>
      <c r="M482" s="48"/>
      <c r="N482" s="59"/>
      <c r="O482" s="59">
        <v>80000</v>
      </c>
      <c r="P482" s="59"/>
      <c r="Q482" s="268">
        <f t="shared" si="23"/>
        <v>80000</v>
      </c>
      <c r="R482" s="61">
        <f>IF(O482=0,0,SUMIFS(Disbursements!$T:$T,Disbursements!$B:$B,'Live Collections'!D482,Disbursements!$D:$D,'Live Collections'!F482))</f>
        <v>150000</v>
      </c>
      <c r="S482" s="304">
        <f>IF(O482&lt;=IF($O482=0,0,SUMIFS(Disbursements!$W:$W,Disbursements!$B:$B,'Live Collections'!D1402,Disbursements!$D:$D,'Live Collections'!F1402)),O482,IF($O482=0,0,SUMIFS(Disbursements!$W:$W,Disbursements!$B:$B,'Live Collections'!D1402,Disbursements!$D:$D,'Live Collections'!F1402)))</f>
        <v>50333.333333333343</v>
      </c>
      <c r="T482" s="304">
        <f t="shared" si="24"/>
        <v>29666.666666666657</v>
      </c>
      <c r="U482" s="52"/>
      <c r="V482" s="34"/>
      <c r="W482" s="408"/>
    </row>
    <row r="483" spans="1:23" ht="12.75" customHeight="1" x14ac:dyDescent="0.2">
      <c r="A483" s="257">
        <v>477</v>
      </c>
      <c r="B483" s="44">
        <v>44410</v>
      </c>
      <c r="C483" s="44">
        <f t="shared" si="22"/>
        <v>44410</v>
      </c>
      <c r="D483" s="374">
        <v>87</v>
      </c>
      <c r="E483" s="291" t="str">
        <f>IFERROR(VLOOKUP($D483,'Clients-Live'!$A:$C,3,0),"")</f>
        <v>FAIDA ZUBEDA</v>
      </c>
      <c r="F483" s="291">
        <f>IFERROR(INDEX(Disbursements!$D:$D,MATCH('Live Collections'!G483,Disbursements!$C:$C,0)),"")</f>
        <v>1</v>
      </c>
      <c r="G483" s="34">
        <v>70</v>
      </c>
      <c r="H483" s="34"/>
      <c r="I483" s="34" t="s">
        <v>1358</v>
      </c>
      <c r="J483" s="48"/>
      <c r="K483" s="48"/>
      <c r="L483" s="48"/>
      <c r="M483" s="48"/>
      <c r="N483" s="59"/>
      <c r="O483" s="59">
        <v>60000</v>
      </c>
      <c r="P483" s="59"/>
      <c r="Q483" s="268">
        <f t="shared" si="23"/>
        <v>60000</v>
      </c>
      <c r="R483" s="61">
        <f>IF(O483=0,0,SUMIFS(Disbursements!$T:$T,Disbursements!$B:$B,'Live Collections'!D483,Disbursements!$D:$D,'Live Collections'!F483))</f>
        <v>175000</v>
      </c>
      <c r="S483" s="304">
        <f>IF(O483&lt;=IF($O483=0,0,SUMIFS(Disbursements!$W:$W,Disbursements!$B:$B,'Live Collections'!D1126,Disbursements!$D:$D,'Live Collections'!F1126)),O483,IF($O483=0,0,SUMIFS(Disbursements!$W:$W,Disbursements!$B:$B,'Live Collections'!D1126,Disbursements!$D:$D,'Live Collections'!F1126)))</f>
        <v>25000</v>
      </c>
      <c r="T483" s="304">
        <f t="shared" si="24"/>
        <v>35000</v>
      </c>
      <c r="U483" s="52"/>
      <c r="V483" s="34"/>
      <c r="W483" s="408"/>
    </row>
    <row r="484" spans="1:23" ht="12.75" customHeight="1" x14ac:dyDescent="0.2">
      <c r="A484" s="132">
        <v>473</v>
      </c>
      <c r="B484" s="44">
        <v>44410</v>
      </c>
      <c r="C484" s="44">
        <f t="shared" si="22"/>
        <v>44410</v>
      </c>
      <c r="D484" s="374">
        <v>100</v>
      </c>
      <c r="E484" s="291" t="str">
        <f>IFERROR(VLOOKUP($D484,'Clients-Live'!$A:$C,3,0),"")</f>
        <v>LETAYO DORCUS</v>
      </c>
      <c r="F484" s="291">
        <f>IFERROR(INDEX(Disbursements!$D:$D,MATCH('Live Collections'!G484,Disbursements!$C:$C,0)),"")</f>
        <v>1</v>
      </c>
      <c r="G484" s="34">
        <v>82</v>
      </c>
      <c r="H484" s="34"/>
      <c r="I484" s="34" t="s">
        <v>1357</v>
      </c>
      <c r="J484" s="48"/>
      <c r="K484" s="48"/>
      <c r="L484" s="48"/>
      <c r="M484" s="48"/>
      <c r="N484" s="59"/>
      <c r="O484" s="59">
        <v>40000</v>
      </c>
      <c r="P484" s="59"/>
      <c r="Q484" s="268">
        <f t="shared" si="23"/>
        <v>40000</v>
      </c>
      <c r="R484" s="61">
        <f>IF(O484=0,0,SUMIFS(Disbursements!$T:$T,Disbursements!$B:$B,'Live Collections'!D484,Disbursements!$D:$D,'Live Collections'!F484))</f>
        <v>90000</v>
      </c>
      <c r="S484" s="64">
        <v>10000</v>
      </c>
      <c r="T484" s="304">
        <f t="shared" si="24"/>
        <v>30000</v>
      </c>
      <c r="U484" s="52"/>
      <c r="V484" s="34"/>
      <c r="W484" s="408" t="s">
        <v>2086</v>
      </c>
    </row>
    <row r="485" spans="1:23" ht="12.75" customHeight="1" x14ac:dyDescent="0.2">
      <c r="A485" s="257">
        <v>483</v>
      </c>
      <c r="B485" s="44">
        <v>44410</v>
      </c>
      <c r="C485" s="44">
        <f t="shared" si="22"/>
        <v>44410</v>
      </c>
      <c r="D485" s="374">
        <v>108</v>
      </c>
      <c r="E485" s="291" t="str">
        <f>IFERROR(VLOOKUP($D485,'Clients-Live'!$A:$C,3,0),"")</f>
        <v>DUDU JOICE</v>
      </c>
      <c r="F485" s="291">
        <f>IFERROR(INDEX(Disbursements!$D:$D,MATCH('Live Collections'!G485,Disbursements!$C:$C,0)),"")</f>
        <v>1</v>
      </c>
      <c r="G485" s="34">
        <v>91</v>
      </c>
      <c r="H485" s="34"/>
      <c r="I485" s="34" t="s">
        <v>1359</v>
      </c>
      <c r="J485" s="48"/>
      <c r="K485" s="48"/>
      <c r="L485" s="48"/>
      <c r="M485" s="48"/>
      <c r="N485" s="59"/>
      <c r="O485" s="59">
        <v>180000</v>
      </c>
      <c r="P485" s="59"/>
      <c r="Q485" s="268">
        <f t="shared" si="23"/>
        <v>180000</v>
      </c>
      <c r="R485" s="61">
        <f>IF(O485=0,0,SUMIFS(Disbursements!$T:$T,Disbursements!$B:$B,'Live Collections'!D485,Disbursements!$D:$D,'Live Collections'!F485))</f>
        <v>180000</v>
      </c>
      <c r="S485" s="304">
        <f>IF(O485&lt;=IF($O485=0,0,SUMIFS(Disbursements!$W:$W,Disbursements!$B:$B,'Live Collections'!D1385,Disbursements!$D:$D,'Live Collections'!F1385)),O485,IF($O485=0,0,SUMIFS(Disbursements!$W:$W,Disbursements!$B:$B,'Live Collections'!D1385,Disbursements!$D:$D,'Live Collections'!F1385)))</f>
        <v>0</v>
      </c>
      <c r="T485" s="304">
        <f t="shared" si="24"/>
        <v>180000</v>
      </c>
      <c r="U485" s="52"/>
      <c r="V485" s="34"/>
      <c r="W485" s="408"/>
    </row>
    <row r="486" spans="1:23" ht="12.75" customHeight="1" x14ac:dyDescent="0.2">
      <c r="A486" s="132">
        <v>476</v>
      </c>
      <c r="B486" s="44">
        <v>44410</v>
      </c>
      <c r="C486" s="44">
        <f t="shared" si="22"/>
        <v>44410</v>
      </c>
      <c r="D486" s="374">
        <v>114</v>
      </c>
      <c r="E486" s="291" t="str">
        <f>IFERROR(VLOOKUP($D486,'Clients-Live'!$A:$C,3,0),"")</f>
        <v>ONZIA EMMILY</v>
      </c>
      <c r="F486" s="291">
        <f>IFERROR(INDEX(Disbursements!$D:$D,MATCH('Live Collections'!G486,Disbursements!$C:$C,0)),"")</f>
        <v>1</v>
      </c>
      <c r="G486" s="34">
        <v>97</v>
      </c>
      <c r="H486" s="34"/>
      <c r="I486" s="34" t="s">
        <v>1358</v>
      </c>
      <c r="J486" s="48"/>
      <c r="K486" s="48"/>
      <c r="L486" s="48"/>
      <c r="M486" s="48"/>
      <c r="N486" s="59"/>
      <c r="O486" s="59">
        <v>45000</v>
      </c>
      <c r="P486" s="59"/>
      <c r="Q486" s="268">
        <f t="shared" si="23"/>
        <v>45000</v>
      </c>
      <c r="R486" s="61">
        <f>IF(O486=0,0,SUMIFS(Disbursements!$T:$T,Disbursements!$B:$B,'Live Collections'!D486,Disbursements!$D:$D,'Live Collections'!F486))</f>
        <v>29000</v>
      </c>
      <c r="S486" s="304">
        <f>IF(O486&lt;=IF($O486=0,0,SUMIFS(Disbursements!$W:$W,Disbursements!$B:$B,'Live Collections'!D1626,Disbursements!$D:$D,'Live Collections'!F1626)),O486,IF($O486=0,0,SUMIFS(Disbursements!$W:$W,Disbursements!$B:$B,'Live Collections'!D1626,Disbursements!$D:$D,'Live Collections'!F1626)))</f>
        <v>0</v>
      </c>
      <c r="T486" s="304">
        <f t="shared" si="24"/>
        <v>45000</v>
      </c>
      <c r="U486" s="52"/>
      <c r="V486" s="34"/>
      <c r="W486" s="408"/>
    </row>
    <row r="487" spans="1:23" ht="12.75" customHeight="1" x14ac:dyDescent="0.2">
      <c r="A487" s="257">
        <v>466</v>
      </c>
      <c r="B487" s="44">
        <v>44410</v>
      </c>
      <c r="C487" s="44">
        <f t="shared" si="22"/>
        <v>44410</v>
      </c>
      <c r="D487" s="374">
        <v>156</v>
      </c>
      <c r="E487" s="291" t="str">
        <f>IFERROR(VLOOKUP($D487,'Clients-Live'!$A:$C,3,0),"")</f>
        <v xml:space="preserve">ONIBA AISHA </v>
      </c>
      <c r="F487" s="291" t="str">
        <f>IFERROR(INDEX(Disbursements!$D:$D,MATCH('Live Collections'!G487,Disbursements!$C:$C,0)),"")</f>
        <v/>
      </c>
      <c r="G487" s="34"/>
      <c r="H487" s="34"/>
      <c r="I487" s="34" t="s">
        <v>1814</v>
      </c>
      <c r="J487" s="48">
        <v>15000</v>
      </c>
      <c r="K487" s="48">
        <v>5000</v>
      </c>
      <c r="L487" s="48"/>
      <c r="M487" s="48"/>
      <c r="N487" s="59"/>
      <c r="O487" s="59"/>
      <c r="P487" s="59"/>
      <c r="Q487" s="268">
        <f t="shared" si="23"/>
        <v>20000</v>
      </c>
      <c r="R487" s="61">
        <f>IF(O487=0,0,SUMIFS(Disbursements!$T:$T,Disbursements!$B:$B,'Live Collections'!D487,Disbursements!$D:$D,'Live Collections'!F487))</f>
        <v>0</v>
      </c>
      <c r="S487" s="304">
        <f>IF(O487&lt;=IF($O487=0,0,SUMIFS(Disbursements!$W:$W,Disbursements!$B:$B,'Live Collections'!D1943,Disbursements!$D:$D,'Live Collections'!F1943)),O487,IF($O487=0,0,SUMIFS(Disbursements!$W:$W,Disbursements!$B:$B,'Live Collections'!D1943,Disbursements!$D:$D,'Live Collections'!F1943)))</f>
        <v>0</v>
      </c>
      <c r="T487" s="304">
        <f t="shared" si="24"/>
        <v>0</v>
      </c>
      <c r="U487" s="52">
        <v>775995875</v>
      </c>
      <c r="V487" s="34"/>
      <c r="W487" s="408" t="s">
        <v>1254</v>
      </c>
    </row>
    <row r="488" spans="1:23" ht="12.75" customHeight="1" x14ac:dyDescent="0.2">
      <c r="A488" s="132">
        <v>471</v>
      </c>
      <c r="B488" s="44">
        <v>44410</v>
      </c>
      <c r="C488" s="44">
        <f t="shared" si="22"/>
        <v>44410</v>
      </c>
      <c r="D488" s="374">
        <v>157</v>
      </c>
      <c r="E488" s="291" t="str">
        <f>IFERROR(VLOOKUP($D488,'Clients-Live'!$A:$C,3,0),"")</f>
        <v>AYITE MARGERT</v>
      </c>
      <c r="F488" s="291">
        <f>IFERROR(INDEX(Disbursements!$D:$D,MATCH('Live Collections'!G488,Disbursements!$C:$C,0)),"")</f>
        <v>1</v>
      </c>
      <c r="G488" s="34">
        <v>148</v>
      </c>
      <c r="H488" s="34">
        <v>819</v>
      </c>
      <c r="I488" s="34" t="s">
        <v>863</v>
      </c>
      <c r="J488" s="48"/>
      <c r="K488" s="48"/>
      <c r="L488" s="48">
        <v>10000</v>
      </c>
      <c r="M488" s="48">
        <v>5000</v>
      </c>
      <c r="N488" s="59"/>
      <c r="O488" s="59"/>
      <c r="P488" s="59">
        <v>70000</v>
      </c>
      <c r="Q488" s="268">
        <f t="shared" si="23"/>
        <v>85000</v>
      </c>
      <c r="R488" s="61">
        <f>IF(O488=0,0,SUMIFS(Disbursements!$T:$T,Disbursements!$B:$B,'Live Collections'!D488,Disbursements!$D:$D,'Live Collections'!F488))</f>
        <v>0</v>
      </c>
      <c r="S488" s="304">
        <f>IF(O488&lt;=IF($O488=0,0,SUMIFS(Disbursements!$W:$W,Disbursements!$B:$B,'Live Collections'!D1964,Disbursements!$D:$D,'Live Collections'!F1964)),O488,IF($O488=0,0,SUMIFS(Disbursements!$W:$W,Disbursements!$B:$B,'Live Collections'!D1964,Disbursements!$D:$D,'Live Collections'!F1964)))</f>
        <v>0</v>
      </c>
      <c r="T488" s="304">
        <f t="shared" si="24"/>
        <v>0</v>
      </c>
      <c r="U488" s="52"/>
      <c r="V488" s="34"/>
      <c r="W488" s="408"/>
    </row>
    <row r="489" spans="1:23" ht="12.75" customHeight="1" x14ac:dyDescent="0.2">
      <c r="A489" s="257">
        <v>467</v>
      </c>
      <c r="B489" s="44">
        <v>44410</v>
      </c>
      <c r="C489" s="44">
        <f t="shared" si="22"/>
        <v>44410</v>
      </c>
      <c r="D489" s="374">
        <v>161</v>
      </c>
      <c r="E489" s="291" t="str">
        <f>IFERROR(VLOOKUP($D489,'Clients-Live'!$A:$C,3,0),"")</f>
        <v>OKUYO BERNARD</v>
      </c>
      <c r="F489" s="291" t="str">
        <f>IFERROR(INDEX(Disbursements!$D:$D,MATCH('Live Collections'!G489,Disbursements!$C:$C,0)),"")</f>
        <v/>
      </c>
      <c r="G489" s="34"/>
      <c r="H489" s="34"/>
      <c r="I489" s="34" t="s">
        <v>1814</v>
      </c>
      <c r="J489" s="48">
        <v>15000</v>
      </c>
      <c r="K489" s="48">
        <v>5000</v>
      </c>
      <c r="L489" s="48"/>
      <c r="M489" s="48"/>
      <c r="N489" s="59"/>
      <c r="O489" s="59"/>
      <c r="P489" s="59"/>
      <c r="Q489" s="268">
        <f t="shared" si="23"/>
        <v>20000</v>
      </c>
      <c r="R489" s="61">
        <f>IF(O489=0,0,SUMIFS(Disbursements!$T:$T,Disbursements!$B:$B,'Live Collections'!D489,Disbursements!$D:$D,'Live Collections'!F489))</f>
        <v>0</v>
      </c>
      <c r="S489" s="304">
        <f>IF(O489&lt;=IF($O489=0,0,SUMIFS(Disbursements!$W:$W,Disbursements!$B:$B,'Live Collections'!D2003,Disbursements!$D:$D,'Live Collections'!F2003)),O489,IF($O489=0,0,SUMIFS(Disbursements!$W:$W,Disbursements!$B:$B,'Live Collections'!D2003,Disbursements!$D:$D,'Live Collections'!F2003)))</f>
        <v>0</v>
      </c>
      <c r="T489" s="304">
        <f t="shared" si="24"/>
        <v>0</v>
      </c>
      <c r="U489" s="52">
        <v>776846975</v>
      </c>
      <c r="V489" s="34"/>
      <c r="W489" s="408" t="s">
        <v>1254</v>
      </c>
    </row>
    <row r="490" spans="1:23" ht="12.75" customHeight="1" x14ac:dyDescent="0.2">
      <c r="A490" s="132">
        <v>472</v>
      </c>
      <c r="B490" s="44">
        <v>44410</v>
      </c>
      <c r="C490" s="44">
        <f t="shared" si="22"/>
        <v>44410</v>
      </c>
      <c r="D490" s="374">
        <v>161</v>
      </c>
      <c r="E490" s="291" t="str">
        <f>IFERROR(VLOOKUP($D490,'Clients-Live'!$A:$C,3,0),"")</f>
        <v>OKUYO BERNARD</v>
      </c>
      <c r="F490" s="291">
        <f>IFERROR(INDEX(Disbursements!$D:$D,MATCH('Live Collections'!G490,Disbursements!$C:$C,0)),"")</f>
        <v>1</v>
      </c>
      <c r="G490" s="34">
        <v>146</v>
      </c>
      <c r="H490" s="34"/>
      <c r="I490" s="34" t="s">
        <v>864</v>
      </c>
      <c r="J490" s="48"/>
      <c r="K490" s="48"/>
      <c r="L490" s="48">
        <v>25000</v>
      </c>
      <c r="M490" s="48">
        <v>5000</v>
      </c>
      <c r="N490" s="59"/>
      <c r="O490" s="59"/>
      <c r="P490" s="59">
        <v>500000</v>
      </c>
      <c r="Q490" s="268">
        <f t="shared" si="23"/>
        <v>530000</v>
      </c>
      <c r="R490" s="61">
        <f>IF(O490=0,0,SUMIFS(Disbursements!$T:$T,Disbursements!$B:$B,'Live Collections'!D490,Disbursements!$D:$D,'Live Collections'!F490))</f>
        <v>0</v>
      </c>
      <c r="S490" s="304">
        <f>IF(O490&lt;=IF($O490=0,0,SUMIFS(Disbursements!$W:$W,Disbursements!$B:$B,'Live Collections'!D2004,Disbursements!$D:$D,'Live Collections'!F2004)),O490,IF($O490=0,0,SUMIFS(Disbursements!$W:$W,Disbursements!$B:$B,'Live Collections'!D2004,Disbursements!$D:$D,'Live Collections'!F2004)))</f>
        <v>0</v>
      </c>
      <c r="T490" s="304">
        <f t="shared" si="24"/>
        <v>0</v>
      </c>
      <c r="U490" s="52"/>
      <c r="V490" s="34"/>
      <c r="W490" s="408"/>
    </row>
    <row r="491" spans="1:23" ht="12.75" customHeight="1" x14ac:dyDescent="0.2">
      <c r="A491" s="257">
        <v>468</v>
      </c>
      <c r="B491" s="44">
        <v>44410</v>
      </c>
      <c r="C491" s="44">
        <f t="shared" si="22"/>
        <v>44410</v>
      </c>
      <c r="D491" s="374">
        <v>162</v>
      </c>
      <c r="E491" s="291" t="str">
        <f>IFERROR(VLOOKUP($D491,'Clients-Live'!$A:$C,3,0),"")</f>
        <v>DEPAYA JOYCE</v>
      </c>
      <c r="F491" s="291" t="str">
        <f>IFERROR(INDEX(Disbursements!$D:$D,MATCH('Live Collections'!G491,Disbursements!$C:$C,0)),"")</f>
        <v/>
      </c>
      <c r="G491" s="34"/>
      <c r="H491" s="34"/>
      <c r="I491" s="34" t="s">
        <v>1814</v>
      </c>
      <c r="J491" s="48">
        <v>15000</v>
      </c>
      <c r="K491" s="48">
        <v>5000</v>
      </c>
      <c r="L491" s="48"/>
      <c r="M491" s="48"/>
      <c r="N491" s="59"/>
      <c r="O491" s="59"/>
      <c r="P491" s="59"/>
      <c r="Q491" s="268">
        <f t="shared" si="23"/>
        <v>20000</v>
      </c>
      <c r="R491" s="61">
        <f>IF(O491=0,0,SUMIFS(Disbursements!$T:$T,Disbursements!$B:$B,'Live Collections'!D491,Disbursements!$D:$D,'Live Collections'!F491))</f>
        <v>0</v>
      </c>
      <c r="S491" s="304">
        <f>IF(O491&lt;=IF($O491=0,0,SUMIFS(Disbursements!$W:$W,Disbursements!$B:$B,'Live Collections'!D2011,Disbursements!$D:$D,'Live Collections'!F2011)),O491,IF($O491=0,0,SUMIFS(Disbursements!$W:$W,Disbursements!$B:$B,'Live Collections'!D2011,Disbursements!$D:$D,'Live Collections'!F2011)))</f>
        <v>0</v>
      </c>
      <c r="T491" s="304">
        <f t="shared" si="24"/>
        <v>0</v>
      </c>
      <c r="U491" s="52">
        <v>787737411</v>
      </c>
      <c r="V491" s="34"/>
      <c r="W491" s="408" t="s">
        <v>1254</v>
      </c>
    </row>
    <row r="492" spans="1:23" ht="12.75" customHeight="1" x14ac:dyDescent="0.2">
      <c r="A492" s="132">
        <v>469</v>
      </c>
      <c r="B492" s="44">
        <v>44410</v>
      </c>
      <c r="C492" s="44">
        <f t="shared" si="22"/>
        <v>44410</v>
      </c>
      <c r="D492" s="374">
        <v>163</v>
      </c>
      <c r="E492" s="291" t="str">
        <f>IFERROR(VLOOKUP($D492,'Clients-Live'!$A:$C,3,0),"")</f>
        <v>CHANDIRU RAMULA</v>
      </c>
      <c r="F492" s="291" t="str">
        <f>IFERROR(INDEX(Disbursements!$D:$D,MATCH('Live Collections'!G492,Disbursements!$C:$C,0)),"")</f>
        <v/>
      </c>
      <c r="G492" s="34"/>
      <c r="H492" s="34"/>
      <c r="I492" s="34" t="s">
        <v>1814</v>
      </c>
      <c r="J492" s="48">
        <v>15000</v>
      </c>
      <c r="K492" s="48">
        <v>5000</v>
      </c>
      <c r="L492" s="48"/>
      <c r="M492" s="48"/>
      <c r="N492" s="59"/>
      <c r="O492" s="59"/>
      <c r="P492" s="59"/>
      <c r="Q492" s="268">
        <f t="shared" si="23"/>
        <v>20000</v>
      </c>
      <c r="R492" s="61">
        <f>IF(O492=0,0,SUMIFS(Disbursements!$T:$T,Disbursements!$B:$B,'Live Collections'!D492,Disbursements!$D:$D,'Live Collections'!F492))</f>
        <v>0</v>
      </c>
      <c r="S492" s="304">
        <f>IF(O492&lt;=IF($O492=0,0,SUMIFS(Disbursements!$W:$W,Disbursements!$B:$B,'Live Collections'!D2012,Disbursements!$D:$D,'Live Collections'!F2012)),O492,IF($O492=0,0,SUMIFS(Disbursements!$W:$W,Disbursements!$B:$B,'Live Collections'!D2012,Disbursements!$D:$D,'Live Collections'!F2012)))</f>
        <v>0</v>
      </c>
      <c r="T492" s="304">
        <f t="shared" si="24"/>
        <v>0</v>
      </c>
      <c r="U492" s="52">
        <v>770481530</v>
      </c>
      <c r="V492" s="34"/>
      <c r="W492" s="408" t="s">
        <v>1254</v>
      </c>
    </row>
    <row r="493" spans="1:23" ht="12.75" customHeight="1" x14ac:dyDescent="0.2">
      <c r="A493" s="257">
        <v>492</v>
      </c>
      <c r="B493" s="44">
        <v>44411</v>
      </c>
      <c r="C493" s="44">
        <f t="shared" si="22"/>
        <v>44411</v>
      </c>
      <c r="D493" s="374">
        <v>88</v>
      </c>
      <c r="E493" s="291" t="str">
        <f>IFERROR(VLOOKUP($D493,'Clients-Live'!$A:$C,3,0),"")</f>
        <v>FAIDA HARRIET</v>
      </c>
      <c r="F493" s="291">
        <f>IFERROR(INDEX(Disbursements!$D:$D,MATCH('Live Collections'!G493,Disbursements!$C:$C,0)),"")</f>
        <v>1</v>
      </c>
      <c r="G493" s="34">
        <v>69</v>
      </c>
      <c r="H493" s="34"/>
      <c r="I493" s="34" t="s">
        <v>1357</v>
      </c>
      <c r="J493" s="48"/>
      <c r="K493" s="48"/>
      <c r="L493" s="48"/>
      <c r="M493" s="48"/>
      <c r="N493" s="59"/>
      <c r="O493" s="59">
        <v>50000</v>
      </c>
      <c r="P493" s="59"/>
      <c r="Q493" s="268">
        <f t="shared" si="23"/>
        <v>50000</v>
      </c>
      <c r="R493" s="61">
        <f>IF(O493=0,0,SUMIFS(Disbursements!$T:$T,Disbursements!$B:$B,'Live Collections'!D493,Disbursements!$D:$D,'Live Collections'!F493))</f>
        <v>77000</v>
      </c>
      <c r="S493" s="304">
        <f>IF(O493&lt;=IF($O493=0,0,SUMIFS(Disbursements!$W:$W,Disbursements!$B:$B,'Live Collections'!D1136,Disbursements!$D:$D,'Live Collections'!F1136)),O493,IF($O493=0,0,SUMIFS(Disbursements!$W:$W,Disbursements!$B:$B,'Live Collections'!D1136,Disbursements!$D:$D,'Live Collections'!F1136)))</f>
        <v>25666.666666666672</v>
      </c>
      <c r="T493" s="304">
        <f t="shared" si="24"/>
        <v>24333.333333333328</v>
      </c>
      <c r="U493" s="52"/>
      <c r="V493" s="34"/>
      <c r="W493" s="408"/>
    </row>
    <row r="494" spans="1:23" ht="12.75" customHeight="1" x14ac:dyDescent="0.2">
      <c r="A494" s="132">
        <v>493</v>
      </c>
      <c r="B494" s="44">
        <v>44411</v>
      </c>
      <c r="C494" s="44">
        <f t="shared" si="22"/>
        <v>44411</v>
      </c>
      <c r="D494" s="374">
        <v>101</v>
      </c>
      <c r="E494" s="291" t="str">
        <f>IFERROR(VLOOKUP($D494,'Clients-Live'!$A:$C,3,0),"")</f>
        <v>AYIKO STEPHEN</v>
      </c>
      <c r="F494" s="291">
        <f>IFERROR(INDEX(Disbursements!$D:$D,MATCH('Live Collections'!G494,Disbursements!$C:$C,0)),"")</f>
        <v>1</v>
      </c>
      <c r="G494" s="34">
        <v>80</v>
      </c>
      <c r="H494" s="34"/>
      <c r="I494" s="34" t="s">
        <v>1357</v>
      </c>
      <c r="J494" s="48"/>
      <c r="K494" s="48"/>
      <c r="L494" s="48"/>
      <c r="M494" s="48"/>
      <c r="N494" s="59"/>
      <c r="O494" s="59">
        <v>700000</v>
      </c>
      <c r="P494" s="59"/>
      <c r="Q494" s="268">
        <f t="shared" si="23"/>
        <v>700000</v>
      </c>
      <c r="R494" s="61">
        <f>IF(O494=0,0,SUMIFS(Disbursements!$T:$T,Disbursements!$B:$B,'Live Collections'!D494,Disbursements!$D:$D,'Live Collections'!F494))</f>
        <v>2150000</v>
      </c>
      <c r="S494" s="304">
        <f>IF(O494&lt;=IF($O494=0,0,SUMIFS(Disbursements!$W:$W,Disbursements!$B:$B,'Live Collections'!D1303,Disbursements!$D:$D,'Live Collections'!F1303)),O494,IF($O494=0,0,SUMIFS(Disbursements!$W:$W,Disbursements!$B:$B,'Live Collections'!D1303,Disbursements!$D:$D,'Live Collections'!F1303)))</f>
        <v>15000</v>
      </c>
      <c r="T494" s="304">
        <f t="shared" si="24"/>
        <v>685000</v>
      </c>
      <c r="U494" s="52"/>
      <c r="V494" s="34"/>
      <c r="W494" s="408"/>
    </row>
    <row r="495" spans="1:23" ht="12.75" customHeight="1" x14ac:dyDescent="0.2">
      <c r="A495" s="257">
        <v>495</v>
      </c>
      <c r="B495" s="44">
        <v>44411</v>
      </c>
      <c r="C495" s="44">
        <f t="shared" si="22"/>
        <v>44411</v>
      </c>
      <c r="D495" s="374">
        <v>105</v>
      </c>
      <c r="E495" s="291" t="str">
        <f>IFERROR(VLOOKUP($D495,'Clients-Live'!$A:$C,3,0),"")</f>
        <v>NUKA ROSE</v>
      </c>
      <c r="F495" s="291">
        <f>IFERROR(INDEX(Disbursements!$D:$D,MATCH('Live Collections'!G495,Disbursements!$C:$C,0)),"")</f>
        <v>1</v>
      </c>
      <c r="G495" s="34">
        <v>85</v>
      </c>
      <c r="H495" s="34"/>
      <c r="I495" s="34" t="s">
        <v>1359</v>
      </c>
      <c r="J495" s="48"/>
      <c r="K495" s="48"/>
      <c r="L495" s="48"/>
      <c r="M495" s="48"/>
      <c r="N495" s="59"/>
      <c r="O495" s="59">
        <v>10000</v>
      </c>
      <c r="P495" s="59"/>
      <c r="Q495" s="268">
        <f t="shared" si="23"/>
        <v>10000</v>
      </c>
      <c r="R495" s="61">
        <f>IF(O495=0,0,SUMIFS(Disbursements!$T:$T,Disbursements!$B:$B,'Live Collections'!D495,Disbursements!$D:$D,'Live Collections'!F495))</f>
        <v>90000</v>
      </c>
      <c r="S495" s="304">
        <f>IF(O495&lt;=IF($O495=0,0,SUMIFS(Disbursements!$W:$W,Disbursements!$B:$B,'Live Collections'!D1351,Disbursements!$D:$D,'Live Collections'!F1351)),O495,IF($O495=0,0,SUMIFS(Disbursements!$W:$W,Disbursements!$B:$B,'Live Collections'!D1351,Disbursements!$D:$D,'Live Collections'!F1351)))</f>
        <v>10000</v>
      </c>
      <c r="T495" s="304">
        <f t="shared" si="24"/>
        <v>0</v>
      </c>
      <c r="U495" s="52"/>
      <c r="V495" s="34"/>
      <c r="W495" s="408"/>
    </row>
    <row r="496" spans="1:23" ht="12.75" customHeight="1" x14ac:dyDescent="0.2">
      <c r="A496" s="132">
        <v>494</v>
      </c>
      <c r="B496" s="44">
        <v>44411</v>
      </c>
      <c r="C496" s="44">
        <f t="shared" si="22"/>
        <v>44411</v>
      </c>
      <c r="D496" s="374">
        <v>113</v>
      </c>
      <c r="E496" s="291" t="str">
        <f>IFERROR(VLOOKUP($D496,'Clients-Live'!$A:$C,3,0),"")</f>
        <v>ATIKU AMULE ISAAC</v>
      </c>
      <c r="F496" s="291">
        <f>IFERROR(INDEX(Disbursements!$D:$D,MATCH('Live Collections'!G496,Disbursements!$C:$C,0)),"")</f>
        <v>1</v>
      </c>
      <c r="G496" s="34">
        <v>92</v>
      </c>
      <c r="H496" s="34"/>
      <c r="I496" s="34" t="s">
        <v>1358</v>
      </c>
      <c r="J496" s="48"/>
      <c r="K496" s="48"/>
      <c r="L496" s="48"/>
      <c r="M496" s="48"/>
      <c r="N496" s="59"/>
      <c r="O496" s="59">
        <v>150000</v>
      </c>
      <c r="P496" s="59"/>
      <c r="Q496" s="268">
        <f t="shared" si="23"/>
        <v>150000</v>
      </c>
      <c r="R496" s="61">
        <f>IF(O496=0,0,SUMIFS(Disbursements!$T:$T,Disbursements!$B:$B,'Live Collections'!D496,Disbursements!$D:$D,'Live Collections'!F496))</f>
        <v>150000</v>
      </c>
      <c r="S496" s="304">
        <f>IF(O496&lt;=IF($O496=0,0,SUMIFS(Disbursements!$W:$W,Disbursements!$B:$B,'Live Collections'!D1440,Disbursements!$D:$D,'Live Collections'!F1440)),O496,IF($O496=0,0,SUMIFS(Disbursements!$W:$W,Disbursements!$B:$B,'Live Collections'!D1440,Disbursements!$D:$D,'Live Collections'!F1440)))</f>
        <v>20000</v>
      </c>
      <c r="T496" s="304">
        <f t="shared" si="24"/>
        <v>130000</v>
      </c>
      <c r="U496" s="52"/>
      <c r="V496" s="34"/>
      <c r="W496" s="408"/>
    </row>
    <row r="497" spans="1:23" ht="12.75" customHeight="1" x14ac:dyDescent="0.2">
      <c r="A497" s="257">
        <v>489</v>
      </c>
      <c r="B497" s="44">
        <v>44411</v>
      </c>
      <c r="C497" s="44">
        <f t="shared" si="22"/>
        <v>44411</v>
      </c>
      <c r="D497" s="374">
        <v>156</v>
      </c>
      <c r="E497" s="291" t="str">
        <f>IFERROR(VLOOKUP($D497,'Clients-Live'!$A:$C,3,0),"")</f>
        <v xml:space="preserve">ONIBA AISHA </v>
      </c>
      <c r="F497" s="291">
        <f>IFERROR(INDEX(Disbursements!$D:$D,MATCH('Live Collections'!G497,Disbursements!$C:$C,0)),"")</f>
        <v>1</v>
      </c>
      <c r="G497" s="34">
        <v>149</v>
      </c>
      <c r="H497" s="34"/>
      <c r="I497" s="34" t="s">
        <v>863</v>
      </c>
      <c r="J497" s="48"/>
      <c r="K497" s="48"/>
      <c r="L497" s="48">
        <v>10000</v>
      </c>
      <c r="M497" s="48">
        <v>5000</v>
      </c>
      <c r="N497" s="59"/>
      <c r="O497" s="59"/>
      <c r="P497" s="59">
        <v>40000</v>
      </c>
      <c r="Q497" s="268">
        <f t="shared" si="23"/>
        <v>55000</v>
      </c>
      <c r="R497" s="61">
        <f>IF(O497=0,0,SUMIFS(Disbursements!$T:$T,Disbursements!$B:$B,'Live Collections'!D497,Disbursements!$D:$D,'Live Collections'!F497))</f>
        <v>0</v>
      </c>
      <c r="S497" s="304">
        <f>IF(O497&lt;=IF($O497=0,0,SUMIFS(Disbursements!$W:$W,Disbursements!$B:$B,'Live Collections'!D1944,Disbursements!$D:$D,'Live Collections'!F1944)),O497,IF($O497=0,0,SUMIFS(Disbursements!$W:$W,Disbursements!$B:$B,'Live Collections'!D1944,Disbursements!$D:$D,'Live Collections'!F1944)))</f>
        <v>0</v>
      </c>
      <c r="T497" s="304">
        <f t="shared" si="24"/>
        <v>0</v>
      </c>
      <c r="U497" s="52"/>
      <c r="V497" s="34"/>
      <c r="W497" s="408"/>
    </row>
    <row r="498" spans="1:23" ht="12.75" customHeight="1" x14ac:dyDescent="0.2">
      <c r="A498" s="132">
        <v>490</v>
      </c>
      <c r="B498" s="44">
        <v>44411</v>
      </c>
      <c r="C498" s="44">
        <f t="shared" si="22"/>
        <v>44411</v>
      </c>
      <c r="D498" s="374">
        <v>159</v>
      </c>
      <c r="E498" s="291" t="str">
        <f>IFERROR(VLOOKUP($D498,'Clients-Live'!$A:$C,3,0),"")</f>
        <v>ALICE AMINA</v>
      </c>
      <c r="F498" s="291">
        <f>IFERROR(INDEX(Disbursements!$D:$D,MATCH('Live Collections'!G498,Disbursements!$C:$C,0)),"")</f>
        <v>1</v>
      </c>
      <c r="G498" s="34">
        <v>150</v>
      </c>
      <c r="H498" s="34"/>
      <c r="I498" s="34" t="s">
        <v>863</v>
      </c>
      <c r="J498" s="48"/>
      <c r="K498" s="48"/>
      <c r="L498" s="48">
        <v>10000</v>
      </c>
      <c r="M498" s="48">
        <v>5000</v>
      </c>
      <c r="N498" s="59"/>
      <c r="O498" s="59"/>
      <c r="P498" s="59">
        <v>80000</v>
      </c>
      <c r="Q498" s="268">
        <f t="shared" si="23"/>
        <v>95000</v>
      </c>
      <c r="R498" s="61">
        <f>IF(O498=0,0,SUMIFS(Disbursements!$T:$T,Disbursements!$B:$B,'Live Collections'!D498,Disbursements!$D:$D,'Live Collections'!F498))</f>
        <v>0</v>
      </c>
      <c r="S498" s="304">
        <f>IF(O498&lt;=IF($O498=0,0,SUMIFS(Disbursements!$W:$W,Disbursements!$B:$B,'Live Collections'!D1981,Disbursements!$D:$D,'Live Collections'!F1981)),O498,IF($O498=0,0,SUMIFS(Disbursements!$W:$W,Disbursements!$B:$B,'Live Collections'!D1981,Disbursements!$D:$D,'Live Collections'!F1981)))</f>
        <v>0</v>
      </c>
      <c r="T498" s="304">
        <f t="shared" si="24"/>
        <v>0</v>
      </c>
      <c r="U498" s="52"/>
      <c r="V498" s="34"/>
      <c r="W498" s="408"/>
    </row>
    <row r="499" spans="1:23" ht="12.75" customHeight="1" x14ac:dyDescent="0.2">
      <c r="A499" s="257">
        <v>491</v>
      </c>
      <c r="B499" s="44">
        <v>44411</v>
      </c>
      <c r="C499" s="44">
        <f t="shared" si="22"/>
        <v>44411</v>
      </c>
      <c r="D499" s="374">
        <v>160</v>
      </c>
      <c r="E499" s="291" t="str">
        <f>IFERROR(VLOOKUP($D499,'Clients-Live'!$A:$C,3,0),"")</f>
        <v>CHANDI ZANABU</v>
      </c>
      <c r="F499" s="291">
        <f>IFERROR(INDEX(Disbursements!$D:$D,MATCH('Live Collections'!G499,Disbursements!$C:$C,0)),"")</f>
        <v>2</v>
      </c>
      <c r="G499" s="34">
        <v>267</v>
      </c>
      <c r="H499" s="34"/>
      <c r="I499" s="34" t="s">
        <v>863</v>
      </c>
      <c r="J499" s="48"/>
      <c r="K499" s="48"/>
      <c r="L499" s="48">
        <v>10000</v>
      </c>
      <c r="M499" s="48">
        <v>5000</v>
      </c>
      <c r="N499" s="59"/>
      <c r="O499" s="59"/>
      <c r="P499" s="59">
        <v>30000</v>
      </c>
      <c r="Q499" s="268">
        <f t="shared" si="23"/>
        <v>45000</v>
      </c>
      <c r="R499" s="61">
        <f>IF(O499=0,0,SUMIFS(Disbursements!$T:$T,Disbursements!$B:$B,'Live Collections'!D499,Disbursements!$D:$D,'Live Collections'!F499))</f>
        <v>0</v>
      </c>
      <c r="S499" s="304">
        <f>IF(O499&lt;=IF($O499=0,0,SUMIFS(Disbursements!$W:$W,Disbursements!$B:$B,'Live Collections'!D1990,Disbursements!$D:$D,'Live Collections'!F1990)),O499,IF($O499=0,0,SUMIFS(Disbursements!$W:$W,Disbursements!$B:$B,'Live Collections'!D1990,Disbursements!$D:$D,'Live Collections'!F1990)))</f>
        <v>0</v>
      </c>
      <c r="T499" s="304">
        <f t="shared" si="24"/>
        <v>0</v>
      </c>
      <c r="U499" s="52"/>
      <c r="V499" s="34"/>
      <c r="W499" s="408"/>
    </row>
    <row r="500" spans="1:23" ht="12.75" customHeight="1" x14ac:dyDescent="0.2">
      <c r="A500" s="132">
        <v>485</v>
      </c>
      <c r="B500" s="44">
        <v>44411</v>
      </c>
      <c r="C500" s="44">
        <f t="shared" si="22"/>
        <v>44411</v>
      </c>
      <c r="D500" s="374">
        <v>164</v>
      </c>
      <c r="E500" s="291" t="str">
        <f>IFERROR(VLOOKUP($D500,'Clients-Live'!$A:$C,3,0),"")</f>
        <v>ARIKE SWAIB</v>
      </c>
      <c r="F500" s="291" t="str">
        <f>IFERROR(INDEX(Disbursements!$D:$D,MATCH('Live Collections'!G500,Disbursements!$C:$C,0)),"")</f>
        <v/>
      </c>
      <c r="G500" s="34"/>
      <c r="H500" s="34"/>
      <c r="I500" s="34" t="s">
        <v>1814</v>
      </c>
      <c r="J500" s="48">
        <v>15000</v>
      </c>
      <c r="K500" s="48">
        <v>5000</v>
      </c>
      <c r="L500" s="48"/>
      <c r="M500" s="48"/>
      <c r="N500" s="59"/>
      <c r="O500" s="59"/>
      <c r="P500" s="59"/>
      <c r="Q500" s="268">
        <f t="shared" si="23"/>
        <v>20000</v>
      </c>
      <c r="R500" s="61">
        <f>IF(O500=0,0,SUMIFS(Disbursements!$T:$T,Disbursements!$B:$B,'Live Collections'!D500,Disbursements!$D:$D,'Live Collections'!F500))</f>
        <v>0</v>
      </c>
      <c r="S500" s="304">
        <f>IF(O500&lt;=IF($O500=0,0,SUMIFS(Disbursements!$W:$W,Disbursements!$B:$B,'Live Collections'!D2022,Disbursements!$D:$D,'Live Collections'!F2022)),O500,IF($O500=0,0,SUMIFS(Disbursements!$W:$W,Disbursements!$B:$B,'Live Collections'!D2022,Disbursements!$D:$D,'Live Collections'!F2022)))</f>
        <v>0</v>
      </c>
      <c r="T500" s="304">
        <f t="shared" si="24"/>
        <v>0</v>
      </c>
      <c r="U500" s="52">
        <v>772676785</v>
      </c>
      <c r="V500" s="34"/>
      <c r="W500" s="408" t="s">
        <v>1254</v>
      </c>
    </row>
    <row r="501" spans="1:23" ht="12.75" customHeight="1" x14ac:dyDescent="0.2">
      <c r="A501" s="257">
        <v>486</v>
      </c>
      <c r="B501" s="44">
        <v>44411</v>
      </c>
      <c r="C501" s="44">
        <f t="shared" si="22"/>
        <v>44411</v>
      </c>
      <c r="D501" s="374">
        <v>165</v>
      </c>
      <c r="E501" s="291" t="str">
        <f>IFERROR(VLOOKUP($D501,'Clients-Live'!$A:$C,3,0),"")</f>
        <v>BOBOYA BRAN</v>
      </c>
      <c r="F501" s="291" t="str">
        <f>IFERROR(INDEX(Disbursements!$D:$D,MATCH('Live Collections'!G501,Disbursements!$C:$C,0)),"")</f>
        <v/>
      </c>
      <c r="G501" s="34"/>
      <c r="H501" s="34"/>
      <c r="I501" s="34" t="s">
        <v>1814</v>
      </c>
      <c r="J501" s="48">
        <v>15000</v>
      </c>
      <c r="K501" s="48">
        <v>5000</v>
      </c>
      <c r="L501" s="48"/>
      <c r="M501" s="48"/>
      <c r="N501" s="59"/>
      <c r="O501" s="59"/>
      <c r="P501" s="59"/>
      <c r="Q501" s="268">
        <f t="shared" si="23"/>
        <v>20000</v>
      </c>
      <c r="R501" s="61">
        <f>IF(O501=0,0,SUMIFS(Disbursements!$T:$T,Disbursements!$B:$B,'Live Collections'!D501,Disbursements!$D:$D,'Live Collections'!F501))</f>
        <v>0</v>
      </c>
      <c r="S501" s="304">
        <f>IF(O501&lt;=IF($O501=0,0,SUMIFS(Disbursements!$W:$W,Disbursements!$B:$B,'Live Collections'!D2043,Disbursements!$D:$D,'Live Collections'!F2043)),O501,IF($O501=0,0,SUMIFS(Disbursements!$W:$W,Disbursements!$B:$B,'Live Collections'!D2043,Disbursements!$D:$D,'Live Collections'!F2043)))</f>
        <v>0</v>
      </c>
      <c r="T501" s="304">
        <f t="shared" si="24"/>
        <v>0</v>
      </c>
      <c r="U501" s="52">
        <v>777698226</v>
      </c>
      <c r="V501" s="34"/>
      <c r="W501" s="408" t="s">
        <v>1254</v>
      </c>
    </row>
    <row r="502" spans="1:23" ht="12.75" customHeight="1" x14ac:dyDescent="0.2">
      <c r="A502" s="132">
        <v>487</v>
      </c>
      <c r="B502" s="44">
        <v>44411</v>
      </c>
      <c r="C502" s="44">
        <f t="shared" si="22"/>
        <v>44411</v>
      </c>
      <c r="D502" s="374">
        <v>166</v>
      </c>
      <c r="E502" s="291" t="str">
        <f>IFERROR(VLOOKUP($D502,'Clients-Live'!$A:$C,3,0),"")</f>
        <v>INJIKURU ROSE</v>
      </c>
      <c r="F502" s="291" t="str">
        <f>IFERROR(INDEX(Disbursements!$D:$D,MATCH('Live Collections'!G502,Disbursements!$C:$C,0)),"")</f>
        <v/>
      </c>
      <c r="G502" s="34"/>
      <c r="H502" s="34"/>
      <c r="I502" s="34" t="s">
        <v>1814</v>
      </c>
      <c r="J502" s="48">
        <v>15000</v>
      </c>
      <c r="K502" s="48">
        <v>5000</v>
      </c>
      <c r="L502" s="48"/>
      <c r="M502" s="48"/>
      <c r="N502" s="59"/>
      <c r="O502" s="59"/>
      <c r="P502" s="59"/>
      <c r="Q502" s="268">
        <f t="shared" si="23"/>
        <v>20000</v>
      </c>
      <c r="R502" s="61">
        <f>IF(O502=0,0,SUMIFS(Disbursements!$T:$T,Disbursements!$B:$B,'Live Collections'!D502,Disbursements!$D:$D,'Live Collections'!F502))</f>
        <v>0</v>
      </c>
      <c r="S502" s="304">
        <f>IF(O502&lt;=IF($O502=0,0,SUMIFS(Disbursements!$W:$W,Disbursements!$B:$B,'Live Collections'!D2049,Disbursements!$D:$D,'Live Collections'!F2049)),O502,IF($O502=0,0,SUMIFS(Disbursements!$W:$W,Disbursements!$B:$B,'Live Collections'!D2049,Disbursements!$D:$D,'Live Collections'!F2049)))</f>
        <v>0</v>
      </c>
      <c r="T502" s="304">
        <f t="shared" si="24"/>
        <v>0</v>
      </c>
      <c r="U502" s="52">
        <v>771377349</v>
      </c>
      <c r="V502" s="34"/>
      <c r="W502" s="408" t="s">
        <v>1254</v>
      </c>
    </row>
    <row r="503" spans="1:23" ht="12.75" customHeight="1" x14ac:dyDescent="0.2">
      <c r="A503" s="257">
        <v>488</v>
      </c>
      <c r="B503" s="44">
        <v>44411</v>
      </c>
      <c r="C503" s="44">
        <f t="shared" si="22"/>
        <v>44411</v>
      </c>
      <c r="D503" s="374">
        <v>167</v>
      </c>
      <c r="E503" s="291" t="str">
        <f>IFERROR(VLOOKUP($D503,'Clients-Live'!$A:$C,3,0),"")</f>
        <v>DRICHA KADIJA</v>
      </c>
      <c r="F503" s="291" t="str">
        <f>IFERROR(INDEX(Disbursements!$D:$D,MATCH('Live Collections'!G503,Disbursements!$C:$C,0)),"")</f>
        <v/>
      </c>
      <c r="G503" s="34"/>
      <c r="H503" s="34"/>
      <c r="I503" s="34" t="s">
        <v>1814</v>
      </c>
      <c r="J503" s="48">
        <v>15000</v>
      </c>
      <c r="K503" s="48">
        <v>5000</v>
      </c>
      <c r="L503" s="48"/>
      <c r="M503" s="48"/>
      <c r="N503" s="59"/>
      <c r="O503" s="59"/>
      <c r="P503" s="59"/>
      <c r="Q503" s="268">
        <f t="shared" si="23"/>
        <v>20000</v>
      </c>
      <c r="R503" s="61">
        <f>IF(O503=0,0,SUMIFS(Disbursements!$T:$T,Disbursements!$B:$B,'Live Collections'!D503,Disbursements!$D:$D,'Live Collections'!F503))</f>
        <v>0</v>
      </c>
      <c r="S503" s="304">
        <f>IF(O503&lt;=IF($O503=0,0,SUMIFS(Disbursements!$W:$W,Disbursements!$B:$B,'Live Collections'!D2053,Disbursements!$D:$D,'Live Collections'!F2053)),O503,IF($O503=0,0,SUMIFS(Disbursements!$W:$W,Disbursements!$B:$B,'Live Collections'!D2053,Disbursements!$D:$D,'Live Collections'!F2053)))</f>
        <v>0</v>
      </c>
      <c r="T503" s="304">
        <f t="shared" si="24"/>
        <v>0</v>
      </c>
      <c r="U503" s="52">
        <v>779440494</v>
      </c>
      <c r="V503" s="34"/>
      <c r="W503" s="408" t="s">
        <v>1254</v>
      </c>
    </row>
    <row r="504" spans="1:23" ht="12.75" customHeight="1" x14ac:dyDescent="0.2">
      <c r="A504" s="132">
        <v>499</v>
      </c>
      <c r="B504" s="44">
        <v>44412</v>
      </c>
      <c r="C504" s="44">
        <f t="shared" si="22"/>
        <v>44412</v>
      </c>
      <c r="D504" s="374">
        <v>9</v>
      </c>
      <c r="E504" s="291" t="str">
        <f>IFERROR(VLOOKUP($D504,'Clients-Live'!$A:$C,3,0),"")</f>
        <v>TABAN DAVID YAYA</v>
      </c>
      <c r="F504" s="291">
        <f>IFERROR(INDEX(Disbursements!$D:$D,MATCH('Live Collections'!G504,Disbursements!$C:$C,0)),"")</f>
        <v>1</v>
      </c>
      <c r="G504" s="34">
        <v>45</v>
      </c>
      <c r="H504" s="34"/>
      <c r="I504" s="34" t="s">
        <v>1357</v>
      </c>
      <c r="J504" s="48"/>
      <c r="K504" s="48"/>
      <c r="L504" s="48"/>
      <c r="M504" s="48"/>
      <c r="N504" s="59"/>
      <c r="O504" s="59">
        <v>90000</v>
      </c>
      <c r="P504" s="59"/>
      <c r="Q504" s="268">
        <f t="shared" si="23"/>
        <v>90000</v>
      </c>
      <c r="R504" s="61">
        <f>IF(O504=0,0,SUMIFS(Disbursements!$T:$T,Disbursements!$B:$B,'Live Collections'!D504,Disbursements!$D:$D,'Live Collections'!F504))</f>
        <v>180000</v>
      </c>
      <c r="S504" s="304">
        <f>IF(O504&lt;=IF($O504=0,0,SUMIFS(Disbursements!$W:$W,Disbursements!$B:$B,'Live Collections'!D384,Disbursements!$D:$D,'Live Collections'!F384)),O504,IF($O504=0,0,SUMIFS(Disbursements!$W:$W,Disbursements!$B:$B,'Live Collections'!D384,Disbursements!$D:$D,'Live Collections'!F384)))</f>
        <v>0</v>
      </c>
      <c r="T504" s="304">
        <f t="shared" si="24"/>
        <v>90000</v>
      </c>
      <c r="U504" s="52"/>
      <c r="V504" s="34"/>
      <c r="W504" s="408"/>
    </row>
    <row r="505" spans="1:23" ht="12.75" customHeight="1" x14ac:dyDescent="0.2">
      <c r="A505" s="257">
        <v>497</v>
      </c>
      <c r="B505" s="44">
        <v>44412</v>
      </c>
      <c r="C505" s="44">
        <f t="shared" si="22"/>
        <v>44412</v>
      </c>
      <c r="D505" s="374">
        <v>19</v>
      </c>
      <c r="E505" s="291" t="str">
        <f>IFERROR(VLOOKUP($D505,'Clients-Live'!$A:$C,3,0),"")</f>
        <v>ANGUPARU MOLLY</v>
      </c>
      <c r="F505" s="291">
        <f>IFERROR(INDEX(Disbursements!$D:$D,MATCH('Live Collections'!G505,Disbursements!$C:$C,0)),"")</f>
        <v>2</v>
      </c>
      <c r="G505" s="34">
        <v>152</v>
      </c>
      <c r="H505" s="34"/>
      <c r="I505" s="34" t="s">
        <v>863</v>
      </c>
      <c r="J505" s="48"/>
      <c r="K505" s="48"/>
      <c r="L505" s="48">
        <v>15000</v>
      </c>
      <c r="M505" s="48">
        <v>5000</v>
      </c>
      <c r="N505" s="59"/>
      <c r="O505" s="59"/>
      <c r="P505" s="59">
        <v>70000</v>
      </c>
      <c r="Q505" s="268">
        <f t="shared" si="23"/>
        <v>90000</v>
      </c>
      <c r="R505" s="61">
        <f>IF(O505=0,0,SUMIFS(Disbursements!$T:$T,Disbursements!$B:$B,'Live Collections'!D505,Disbursements!$D:$D,'Live Collections'!F505))</f>
        <v>0</v>
      </c>
      <c r="S505" s="304">
        <f>IF(O505&lt;=IF($O505=0,0,SUMIFS(Disbursements!$W:$W,Disbursements!$B:$B,'Live Collections'!D236,Disbursements!$D:$D,'Live Collections'!F236)),O505,IF($O505=0,0,SUMIFS(Disbursements!$W:$W,Disbursements!$B:$B,'Live Collections'!D236,Disbursements!$D:$D,'Live Collections'!F236)))</f>
        <v>0</v>
      </c>
      <c r="T505" s="304">
        <f t="shared" si="24"/>
        <v>0</v>
      </c>
      <c r="U505" s="52"/>
      <c r="V505" s="34"/>
      <c r="W505" s="408"/>
    </row>
    <row r="506" spans="1:23" ht="12.75" customHeight="1" x14ac:dyDescent="0.2">
      <c r="A506" s="132">
        <v>502</v>
      </c>
      <c r="B506" s="44">
        <v>44412</v>
      </c>
      <c r="C506" s="44">
        <f t="shared" si="22"/>
        <v>44412</v>
      </c>
      <c r="D506" s="374">
        <v>42</v>
      </c>
      <c r="E506" s="291" t="str">
        <f>IFERROR(VLOOKUP($D506,'Clients-Live'!$A:$C,3,0),"")</f>
        <v>ABAU   NOLA</v>
      </c>
      <c r="F506" s="291">
        <f>IFERROR(INDEX(Disbursements!$D:$D,MATCH('Live Collections'!G506,Disbursements!$C:$C,0)),"")</f>
        <v>1</v>
      </c>
      <c r="G506" s="34">
        <v>27</v>
      </c>
      <c r="H506" s="34"/>
      <c r="I506" s="34" t="s">
        <v>1359</v>
      </c>
      <c r="J506" s="48"/>
      <c r="K506" s="48"/>
      <c r="L506" s="48"/>
      <c r="M506" s="48"/>
      <c r="N506" s="59"/>
      <c r="O506" s="59">
        <v>110000</v>
      </c>
      <c r="P506" s="59"/>
      <c r="Q506" s="268">
        <f t="shared" si="23"/>
        <v>110000</v>
      </c>
      <c r="R506" s="61">
        <f>IF(O506=0,0,SUMIFS(Disbursements!$T:$T,Disbursements!$B:$B,'Live Collections'!D506,Disbursements!$D:$D,'Live Collections'!F506))</f>
        <v>110000</v>
      </c>
      <c r="S506" s="64">
        <v>20000</v>
      </c>
      <c r="T506" s="304">
        <f t="shared" si="24"/>
        <v>90000</v>
      </c>
      <c r="U506" s="52"/>
      <c r="V506" s="34"/>
      <c r="W506" s="408" t="s">
        <v>2086</v>
      </c>
    </row>
    <row r="507" spans="1:23" ht="12.75" customHeight="1" x14ac:dyDescent="0.2">
      <c r="A507" s="257">
        <v>504</v>
      </c>
      <c r="B507" s="44">
        <v>44412</v>
      </c>
      <c r="C507" s="44">
        <f t="shared" si="22"/>
        <v>44412</v>
      </c>
      <c r="D507" s="374">
        <v>43</v>
      </c>
      <c r="E507" s="291" t="str">
        <f>IFERROR(VLOOKUP($D507,'Clients-Live'!$A:$C,3,0),"")</f>
        <v>APUNIKI LOICE</v>
      </c>
      <c r="F507" s="291">
        <f>IFERROR(INDEX(Disbursements!$D:$D,MATCH('Live Collections'!G507,Disbursements!$C:$C,0)),"")</f>
        <v>1</v>
      </c>
      <c r="G507" s="34">
        <v>28</v>
      </c>
      <c r="H507" s="34"/>
      <c r="I507" s="34" t="s">
        <v>1357</v>
      </c>
      <c r="J507" s="48"/>
      <c r="K507" s="48"/>
      <c r="L507" s="48"/>
      <c r="M507" s="48"/>
      <c r="N507" s="59"/>
      <c r="O507" s="59">
        <v>90000</v>
      </c>
      <c r="P507" s="59"/>
      <c r="Q507" s="268">
        <f t="shared" si="23"/>
        <v>90000</v>
      </c>
      <c r="R507" s="61">
        <f>IF(O507=0,0,SUMIFS(Disbursements!$T:$T,Disbursements!$B:$B,'Live Collections'!D507,Disbursements!$D:$D,'Live Collections'!F507))</f>
        <v>90000</v>
      </c>
      <c r="S507" s="304"/>
      <c r="T507" s="304">
        <f t="shared" si="24"/>
        <v>90000</v>
      </c>
      <c r="U507" s="52"/>
      <c r="V507" s="34"/>
      <c r="W507" s="408"/>
    </row>
    <row r="508" spans="1:23" ht="12.75" customHeight="1" x14ac:dyDescent="0.2">
      <c r="A508" s="132">
        <v>500</v>
      </c>
      <c r="B508" s="44">
        <v>44412</v>
      </c>
      <c r="C508" s="44">
        <f t="shared" si="22"/>
        <v>44412</v>
      </c>
      <c r="D508" s="374">
        <v>66</v>
      </c>
      <c r="E508" s="291" t="str">
        <f>IFERROR(VLOOKUP($D508,'Clients-Live'!$A:$C,3,0),"")</f>
        <v>DENAYA NYAMAZA</v>
      </c>
      <c r="F508" s="291">
        <f>IFERROR(INDEX(Disbursements!$D:$D,MATCH('Live Collections'!G508,Disbursements!$C:$C,0)),"")</f>
        <v>1</v>
      </c>
      <c r="G508" s="34">
        <v>53</v>
      </c>
      <c r="H508" s="34"/>
      <c r="I508" s="34" t="s">
        <v>1357</v>
      </c>
      <c r="J508" s="48"/>
      <c r="K508" s="48"/>
      <c r="L508" s="48"/>
      <c r="M508" s="48"/>
      <c r="N508" s="59"/>
      <c r="O508" s="59">
        <v>110000</v>
      </c>
      <c r="P508" s="59"/>
      <c r="Q508" s="268">
        <f t="shared" si="23"/>
        <v>110000</v>
      </c>
      <c r="R508" s="61">
        <f>IF(O508=0,0,SUMIFS(Disbursements!$T:$T,Disbursements!$B:$B,'Live Collections'!D508,Disbursements!$D:$D,'Live Collections'!F508))</f>
        <v>109000</v>
      </c>
      <c r="S508" s="304">
        <f>IF(O508&lt;=IF($O508=0,0,SUMIFS(Disbursements!$W:$W,Disbursements!$B:$B,'Live Collections'!D1076,Disbursements!$D:$D,'Live Collections'!F1076)),O508,IF($O508=0,0,SUMIFS(Disbursements!$W:$W,Disbursements!$B:$B,'Live Collections'!D1076,Disbursements!$D:$D,'Live Collections'!F1076)))</f>
        <v>0</v>
      </c>
      <c r="T508" s="304">
        <f t="shared" si="24"/>
        <v>110000</v>
      </c>
      <c r="U508" s="52"/>
      <c r="V508" s="34"/>
      <c r="W508" s="408"/>
    </row>
    <row r="509" spans="1:23" ht="12.75" customHeight="1" x14ac:dyDescent="0.2">
      <c r="A509" s="257">
        <v>503</v>
      </c>
      <c r="B509" s="44">
        <v>44412</v>
      </c>
      <c r="C509" s="44">
        <f t="shared" si="22"/>
        <v>44412</v>
      </c>
      <c r="D509" s="374">
        <v>88</v>
      </c>
      <c r="E509" s="291" t="str">
        <f>IFERROR(VLOOKUP($D509,'Clients-Live'!$A:$C,3,0),"")</f>
        <v>FAIDA HARRIET</v>
      </c>
      <c r="F509" s="291">
        <f>IFERROR(INDEX(Disbursements!$D:$D,MATCH('Live Collections'!G509,Disbursements!$C:$C,0)),"")</f>
        <v>1</v>
      </c>
      <c r="G509" s="34">
        <v>69</v>
      </c>
      <c r="H509" s="34"/>
      <c r="I509" s="34" t="s">
        <v>1357</v>
      </c>
      <c r="J509" s="48"/>
      <c r="K509" s="48"/>
      <c r="L509" s="48"/>
      <c r="M509" s="48"/>
      <c r="N509" s="59"/>
      <c r="O509" s="59">
        <v>180000</v>
      </c>
      <c r="P509" s="59"/>
      <c r="Q509" s="268">
        <f t="shared" si="23"/>
        <v>180000</v>
      </c>
      <c r="R509" s="61">
        <f>IF(O509=0,0,SUMIFS(Disbursements!$T:$T,Disbursements!$B:$B,'Live Collections'!D509,Disbursements!$D:$D,'Live Collections'!F509))</f>
        <v>77000</v>
      </c>
      <c r="S509" s="64">
        <v>5333.3333333333139</v>
      </c>
      <c r="T509" s="304">
        <f t="shared" si="24"/>
        <v>174666.66666666669</v>
      </c>
      <c r="U509" s="52"/>
      <c r="V509" s="34"/>
      <c r="W509" s="408"/>
    </row>
    <row r="510" spans="1:23" ht="12.75" customHeight="1" x14ac:dyDescent="0.2">
      <c r="A510" s="132">
        <v>501</v>
      </c>
      <c r="B510" s="44">
        <v>44412</v>
      </c>
      <c r="C510" s="44">
        <f t="shared" si="22"/>
        <v>44412</v>
      </c>
      <c r="D510" s="374">
        <v>102</v>
      </c>
      <c r="E510" s="291" t="str">
        <f>IFERROR(VLOOKUP($D510,'Clients-Live'!$A:$C,3,0),"")</f>
        <v>BATALI GODFREY JOHN</v>
      </c>
      <c r="F510" s="291">
        <f>IFERROR(INDEX(Disbursements!$D:$D,MATCH('Live Collections'!G510,Disbursements!$C:$C,0)),"")</f>
        <v>1</v>
      </c>
      <c r="G510" s="34">
        <v>102</v>
      </c>
      <c r="H510" s="34"/>
      <c r="I510" s="34" t="s">
        <v>1357</v>
      </c>
      <c r="J510" s="48"/>
      <c r="K510" s="48"/>
      <c r="L510" s="48"/>
      <c r="M510" s="48"/>
      <c r="N510" s="59"/>
      <c r="O510" s="59">
        <v>70000</v>
      </c>
      <c r="P510" s="59"/>
      <c r="Q510" s="268">
        <f t="shared" si="23"/>
        <v>70000</v>
      </c>
      <c r="R510" s="61">
        <f>IF(O510=0,0,SUMIFS(Disbursements!$T:$T,Disbursements!$B:$B,'Live Collections'!D510,Disbursements!$D:$D,'Live Collections'!F510))</f>
        <v>77000</v>
      </c>
      <c r="S510" s="304">
        <f>IF(O510&lt;=IF($O510=0,0,SUMIFS(Disbursements!$W:$W,Disbursements!$B:$B,'Live Collections'!D1310,Disbursements!$D:$D,'Live Collections'!F1310)),O510,IF($O510=0,0,SUMIFS(Disbursements!$W:$W,Disbursements!$B:$B,'Live Collections'!D1310,Disbursements!$D:$D,'Live Collections'!F1310)))</f>
        <v>0</v>
      </c>
      <c r="T510" s="304">
        <f t="shared" si="24"/>
        <v>70000</v>
      </c>
      <c r="U510" s="52"/>
      <c r="V510" s="34"/>
      <c r="W510" s="408"/>
    </row>
    <row r="511" spans="1:23" ht="12.75" customHeight="1" x14ac:dyDescent="0.2">
      <c r="A511" s="257">
        <v>498</v>
      </c>
      <c r="B511" s="44">
        <v>44412</v>
      </c>
      <c r="C511" s="44">
        <f t="shared" si="22"/>
        <v>44412</v>
      </c>
      <c r="D511" s="374">
        <v>166</v>
      </c>
      <c r="E511" s="291" t="str">
        <f>IFERROR(VLOOKUP($D511,'Clients-Live'!$A:$C,3,0),"")</f>
        <v>INJIKURU ROSE</v>
      </c>
      <c r="F511" s="291">
        <f>IFERROR(INDEX(Disbursements!$D:$D,MATCH('Live Collections'!G511,Disbursements!$C:$C,0)),"")</f>
        <v>1</v>
      </c>
      <c r="G511" s="34">
        <v>153</v>
      </c>
      <c r="H511" s="34"/>
      <c r="I511" s="34" t="s">
        <v>864</v>
      </c>
      <c r="J511" s="48"/>
      <c r="K511" s="48"/>
      <c r="L511" s="48">
        <v>10000</v>
      </c>
      <c r="M511" s="48">
        <v>5000</v>
      </c>
      <c r="N511" s="59"/>
      <c r="O511" s="59"/>
      <c r="P511" s="59">
        <v>20000</v>
      </c>
      <c r="Q511" s="268">
        <f t="shared" si="23"/>
        <v>35000</v>
      </c>
      <c r="R511" s="61">
        <f>IF(O511=0,0,SUMIFS(Disbursements!$T:$T,Disbursements!$B:$B,'Live Collections'!D511,Disbursements!$D:$D,'Live Collections'!F511))</f>
        <v>0</v>
      </c>
      <c r="S511" s="304">
        <f>IF(O511&lt;=IF($O511=0,0,SUMIFS(Disbursements!$W:$W,Disbursements!$B:$B,'Live Collections'!D2050,Disbursements!$D:$D,'Live Collections'!F2050)),O511,IF($O511=0,0,SUMIFS(Disbursements!$W:$W,Disbursements!$B:$B,'Live Collections'!D2050,Disbursements!$D:$D,'Live Collections'!F2050)))</f>
        <v>0</v>
      </c>
      <c r="T511" s="304">
        <f t="shared" si="24"/>
        <v>0</v>
      </c>
      <c r="U511" s="52"/>
      <c r="V511" s="34"/>
      <c r="W511" s="408"/>
    </row>
    <row r="512" spans="1:23" ht="12.75" customHeight="1" x14ac:dyDescent="0.2">
      <c r="A512" s="132">
        <v>496</v>
      </c>
      <c r="B512" s="44">
        <v>44412</v>
      </c>
      <c r="C512" s="44">
        <f t="shared" si="22"/>
        <v>44412</v>
      </c>
      <c r="D512" s="374">
        <v>168</v>
      </c>
      <c r="E512" s="291" t="str">
        <f>IFERROR(VLOOKUP($D512,'Clients-Live'!$A:$C,3,0),"")</f>
        <v>ALORO FREDERICK</v>
      </c>
      <c r="F512" s="291" t="str">
        <f>IFERROR(INDEX(Disbursements!$D:$D,MATCH('Live Collections'!G512,Disbursements!$C:$C,0)),"")</f>
        <v/>
      </c>
      <c r="G512" s="34"/>
      <c r="H512" s="34"/>
      <c r="I512" s="34" t="s">
        <v>1814</v>
      </c>
      <c r="J512" s="48">
        <v>15000</v>
      </c>
      <c r="K512" s="48">
        <v>5000</v>
      </c>
      <c r="L512" s="48"/>
      <c r="M512" s="48"/>
      <c r="N512" s="59"/>
      <c r="O512" s="59"/>
      <c r="P512" s="59"/>
      <c r="Q512" s="268">
        <f t="shared" si="23"/>
        <v>20000</v>
      </c>
      <c r="R512" s="61">
        <f>IF(O512=0,0,SUMIFS(Disbursements!$T:$T,Disbursements!$B:$B,'Live Collections'!D512,Disbursements!$D:$D,'Live Collections'!F512))</f>
        <v>0</v>
      </c>
      <c r="S512" s="304">
        <f>IF(O512&lt;=IF($O512=0,0,SUMIFS(Disbursements!$W:$W,Disbursements!$B:$B,'Live Collections'!D2061,Disbursements!$D:$D,'Live Collections'!F2061)),O512,IF($O512=0,0,SUMIFS(Disbursements!$W:$W,Disbursements!$B:$B,'Live Collections'!D2061,Disbursements!$D:$D,'Live Collections'!F2061)))</f>
        <v>0</v>
      </c>
      <c r="T512" s="304">
        <f t="shared" si="24"/>
        <v>0</v>
      </c>
      <c r="U512" s="52">
        <v>772358965</v>
      </c>
      <c r="V512" s="34"/>
      <c r="W512" s="408" t="s">
        <v>1254</v>
      </c>
    </row>
    <row r="513" spans="1:23" ht="12.75" customHeight="1" x14ac:dyDescent="0.2">
      <c r="A513" s="257">
        <v>514</v>
      </c>
      <c r="B513" s="44">
        <v>44413</v>
      </c>
      <c r="C513" s="44">
        <f t="shared" si="22"/>
        <v>44413</v>
      </c>
      <c r="D513" s="374">
        <v>6</v>
      </c>
      <c r="E513" s="291" t="str">
        <f>IFERROR(VLOOKUP($D513,'Clients-Live'!$A:$C,3,0),"")</f>
        <v>AMUTE BASHIR</v>
      </c>
      <c r="F513" s="291">
        <f>IFERROR(INDEX(Disbursements!$D:$D,MATCH('Live Collections'!G513,Disbursements!$C:$C,0)),"")</f>
        <v>2</v>
      </c>
      <c r="G513" s="34">
        <v>100</v>
      </c>
      <c r="H513" s="34">
        <v>874</v>
      </c>
      <c r="I513" s="34" t="s">
        <v>1358</v>
      </c>
      <c r="J513" s="48"/>
      <c r="K513" s="48"/>
      <c r="L513" s="48"/>
      <c r="M513" s="48"/>
      <c r="N513" s="59"/>
      <c r="O513" s="59">
        <v>650000</v>
      </c>
      <c r="P513" s="59"/>
      <c r="Q513" s="268">
        <f t="shared" si="23"/>
        <v>650000</v>
      </c>
      <c r="R513" s="61">
        <f>IF(O513=0,0,SUMIFS(Disbursements!$T:$T,Disbursements!$B:$B,'Live Collections'!D513,Disbursements!$D:$D,'Live Collections'!F513))</f>
        <v>1300000</v>
      </c>
      <c r="S513" s="304">
        <f>IF(O513&lt;=IF($O513=0,0,SUMIFS(Disbursements!$W:$W,Disbursements!$B:$B,'Live Collections'!D48,Disbursements!$D:$D,'Live Collections'!F48)),O513,IF($O513=0,0,SUMIFS(Disbursements!$W:$W,Disbursements!$B:$B,'Live Collections'!D48,Disbursements!$D:$D,'Live Collections'!F48)))</f>
        <v>20000</v>
      </c>
      <c r="T513" s="304">
        <f t="shared" si="24"/>
        <v>630000</v>
      </c>
      <c r="U513" s="52"/>
      <c r="V513" s="34"/>
      <c r="W513" s="408"/>
    </row>
    <row r="514" spans="1:23" ht="12.75" customHeight="1" x14ac:dyDescent="0.2">
      <c r="A514" s="132">
        <v>519</v>
      </c>
      <c r="B514" s="44">
        <v>44413</v>
      </c>
      <c r="C514" s="44">
        <f t="shared" si="22"/>
        <v>44413</v>
      </c>
      <c r="D514" s="374">
        <v>21</v>
      </c>
      <c r="E514" s="291" t="str">
        <f>IFERROR(VLOOKUP($D514,'Clients-Live'!$A:$C,3,0),"")</f>
        <v>ESABORU EUNICE</v>
      </c>
      <c r="F514" s="291">
        <f>IFERROR(INDEX(Disbursements!$D:$D,MATCH('Live Collections'!G514,Disbursements!$C:$C,0)),"")</f>
        <v>1</v>
      </c>
      <c r="G514" s="34">
        <v>17</v>
      </c>
      <c r="H514" s="34">
        <v>850</v>
      </c>
      <c r="I514" s="34" t="s">
        <v>1358</v>
      </c>
      <c r="J514" s="48"/>
      <c r="K514" s="48"/>
      <c r="L514" s="48"/>
      <c r="M514" s="48"/>
      <c r="N514" s="59"/>
      <c r="O514" s="59">
        <v>20000</v>
      </c>
      <c r="P514" s="59"/>
      <c r="Q514" s="268">
        <f t="shared" si="23"/>
        <v>20000</v>
      </c>
      <c r="R514" s="61">
        <f>IF(O514=0,0,SUMIFS(Disbursements!$T:$T,Disbursements!$B:$B,'Live Collections'!D514,Disbursements!$D:$D,'Live Collections'!F514))</f>
        <v>90000</v>
      </c>
      <c r="S514" s="304"/>
      <c r="T514" s="304">
        <f t="shared" si="24"/>
        <v>20000</v>
      </c>
      <c r="U514" s="52"/>
      <c r="V514" s="34"/>
      <c r="W514" s="408"/>
    </row>
    <row r="515" spans="1:23" ht="12.75" customHeight="1" x14ac:dyDescent="0.2">
      <c r="A515" s="257">
        <v>520</v>
      </c>
      <c r="B515" s="44">
        <v>44413</v>
      </c>
      <c r="C515" s="44">
        <f t="shared" si="22"/>
        <v>44413</v>
      </c>
      <c r="D515" s="374">
        <v>33</v>
      </c>
      <c r="E515" s="291" t="str">
        <f>IFERROR(VLOOKUP($D515,'Clients-Live'!$A:$C,3,0),"")</f>
        <v>MUZEE OMAR</v>
      </c>
      <c r="F515" s="291">
        <f>IFERROR(INDEX(Disbursements!$D:$D,MATCH('Live Collections'!G515,Disbursements!$C:$C,0)),"")</f>
        <v>1</v>
      </c>
      <c r="G515" s="34">
        <v>26</v>
      </c>
      <c r="H515" s="34">
        <v>891</v>
      </c>
      <c r="I515" s="34" t="s">
        <v>1357</v>
      </c>
      <c r="J515" s="48"/>
      <c r="K515" s="48"/>
      <c r="L515" s="48"/>
      <c r="M515" s="48"/>
      <c r="N515" s="59"/>
      <c r="O515" s="59">
        <v>100000</v>
      </c>
      <c r="P515" s="59"/>
      <c r="Q515" s="268">
        <f t="shared" si="23"/>
        <v>100000</v>
      </c>
      <c r="R515" s="61">
        <f>IF(O515=0,0,SUMIFS(Disbursements!$T:$T,Disbursements!$B:$B,'Live Collections'!D515,Disbursements!$D:$D,'Live Collections'!F515))</f>
        <v>109000</v>
      </c>
      <c r="S515" s="304">
        <f>IF(O515&lt;=IF($O515=0,0,SUMIFS(Disbursements!$W:$W,Disbursements!$B:$B,'Live Collections'!D384,Disbursements!$D:$D,'Live Collections'!F384)),O515,IF($O515=0,0,SUMIFS(Disbursements!$W:$W,Disbursements!$B:$B,'Live Collections'!D384,Disbursements!$D:$D,'Live Collections'!F384)))</f>
        <v>0</v>
      </c>
      <c r="T515" s="304">
        <f t="shared" si="24"/>
        <v>100000</v>
      </c>
      <c r="U515" s="52"/>
      <c r="V515" s="34"/>
      <c r="W515" s="408"/>
    </row>
    <row r="516" spans="1:23" ht="12.75" customHeight="1" x14ac:dyDescent="0.2">
      <c r="A516" s="132">
        <v>508</v>
      </c>
      <c r="B516" s="44">
        <v>44413</v>
      </c>
      <c r="C516" s="44">
        <f t="shared" si="22"/>
        <v>44413</v>
      </c>
      <c r="D516" s="374">
        <v>35</v>
      </c>
      <c r="E516" s="291" t="str">
        <f>IFERROR(VLOOKUP($D516,'Clients-Live'!$A:$C,3,0),"")</f>
        <v>ALEZUYO DOCUS</v>
      </c>
      <c r="F516" s="291">
        <f>IFERROR(INDEX(Disbursements!$D:$D,MATCH('Live Collections'!G516,Disbursements!$C:$C,0)),"")</f>
        <v>2</v>
      </c>
      <c r="G516" s="34">
        <v>155</v>
      </c>
      <c r="H516" s="34"/>
      <c r="I516" s="34" t="s">
        <v>862</v>
      </c>
      <c r="J516" s="48"/>
      <c r="K516" s="48"/>
      <c r="L516" s="48">
        <v>15000</v>
      </c>
      <c r="M516" s="48">
        <v>5000</v>
      </c>
      <c r="N516" s="59"/>
      <c r="O516" s="59"/>
      <c r="P516" s="59">
        <v>100000</v>
      </c>
      <c r="Q516" s="268">
        <f t="shared" si="23"/>
        <v>120000</v>
      </c>
      <c r="R516" s="61">
        <f>IF(O516=0,0,SUMIFS(Disbursements!$T:$T,Disbursements!$B:$B,'Live Collections'!D516,Disbursements!$D:$D,'Live Collections'!F516))</f>
        <v>0</v>
      </c>
      <c r="S516" s="304">
        <f>IF(O516&lt;=IF($O516=0,0,SUMIFS(Disbursements!$W:$W,Disbursements!$B:$B,'Live Collections'!D407,Disbursements!$D:$D,'Live Collections'!F407)),O516,IF($O516=0,0,SUMIFS(Disbursements!$W:$W,Disbursements!$B:$B,'Live Collections'!D407,Disbursements!$D:$D,'Live Collections'!F407)))</f>
        <v>0</v>
      </c>
      <c r="T516" s="304">
        <f t="shared" si="24"/>
        <v>0</v>
      </c>
      <c r="U516" s="52"/>
      <c r="V516" s="34"/>
      <c r="W516" s="408"/>
    </row>
    <row r="517" spans="1:23" ht="12.75" customHeight="1" x14ac:dyDescent="0.2">
      <c r="A517" s="257">
        <v>513</v>
      </c>
      <c r="B517" s="44">
        <v>44413</v>
      </c>
      <c r="C517" s="44">
        <f t="shared" si="22"/>
        <v>44413</v>
      </c>
      <c r="D517" s="374">
        <v>35</v>
      </c>
      <c r="E517" s="291" t="str">
        <f>IFERROR(VLOOKUP($D517,'Clients-Live'!$A:$C,3,0),"")</f>
        <v>ALEZUYO DOCUS</v>
      </c>
      <c r="F517" s="291">
        <f>IFERROR(INDEX(Disbursements!$D:$D,MATCH('Live Collections'!G517,Disbursements!$C:$C,0)),"")</f>
        <v>1</v>
      </c>
      <c r="G517" s="34">
        <v>20</v>
      </c>
      <c r="H517" s="34"/>
      <c r="I517" s="34" t="s">
        <v>1357</v>
      </c>
      <c r="J517" s="48"/>
      <c r="K517" s="48"/>
      <c r="L517" s="48"/>
      <c r="M517" s="48"/>
      <c r="N517" s="59"/>
      <c r="O517" s="59">
        <v>300000</v>
      </c>
      <c r="P517" s="59"/>
      <c r="Q517" s="268">
        <f t="shared" si="23"/>
        <v>300000</v>
      </c>
      <c r="R517" s="61">
        <f>IF(O517=0,0,SUMIFS(Disbursements!$T:$T,Disbursements!$B:$B,'Live Collections'!D517,Disbursements!$D:$D,'Live Collections'!F517))</f>
        <v>150000</v>
      </c>
      <c r="S517" s="304">
        <v>50000</v>
      </c>
      <c r="T517" s="304">
        <f t="shared" si="24"/>
        <v>250000</v>
      </c>
      <c r="U517" s="52"/>
      <c r="V517" s="34"/>
      <c r="W517" s="408" t="s">
        <v>2091</v>
      </c>
    </row>
    <row r="518" spans="1:23" ht="12.75" customHeight="1" x14ac:dyDescent="0.2">
      <c r="A518" s="132">
        <v>518</v>
      </c>
      <c r="B518" s="44">
        <v>44413</v>
      </c>
      <c r="C518" s="44">
        <f t="shared" si="22"/>
        <v>44413</v>
      </c>
      <c r="D518" s="374">
        <v>45</v>
      </c>
      <c r="E518" s="291" t="str">
        <f>IFERROR(VLOOKUP($D518,'Clients-Live'!$A:$C,3,0),"")</f>
        <v>SANYA DONALD</v>
      </c>
      <c r="F518" s="291">
        <f>IFERROR(INDEX(Disbursements!$D:$D,MATCH('Live Collections'!G518,Disbursements!$C:$C,0)),"")</f>
        <v>1</v>
      </c>
      <c r="G518" s="34">
        <v>25</v>
      </c>
      <c r="H518" s="34"/>
      <c r="I518" s="34" t="s">
        <v>1359</v>
      </c>
      <c r="J518" s="48"/>
      <c r="K518" s="48"/>
      <c r="L518" s="48"/>
      <c r="M518" s="48"/>
      <c r="N518" s="59"/>
      <c r="O518" s="59">
        <v>20000</v>
      </c>
      <c r="P518" s="59"/>
      <c r="Q518" s="268">
        <f t="shared" si="23"/>
        <v>20000</v>
      </c>
      <c r="R518" s="61">
        <f>IF(O518=0,0,SUMIFS(Disbursements!$T:$T,Disbursements!$B:$B,'Live Collections'!D518,Disbursements!$D:$D,'Live Collections'!F518))</f>
        <v>605000</v>
      </c>
      <c r="S518" s="304">
        <f>IF(O518&lt;=IF($O518=0,0,SUMIFS(Disbursements!$W:$W,Disbursements!$B:$B,'Live Collections'!D505,Disbursements!$D:$D,'Live Collections'!F505)),O518,IF($O518=0,0,SUMIFS(Disbursements!$W:$W,Disbursements!$B:$B,'Live Collections'!D505,Disbursements!$D:$D,'Live Collections'!F505)))</f>
        <v>20000</v>
      </c>
      <c r="T518" s="304">
        <f t="shared" si="24"/>
        <v>0</v>
      </c>
      <c r="U518" s="52"/>
      <c r="V518" s="34"/>
      <c r="W518" s="408"/>
    </row>
    <row r="519" spans="1:23" ht="12.75" customHeight="1" x14ac:dyDescent="0.2">
      <c r="A519" s="257">
        <v>516</v>
      </c>
      <c r="B519" s="44">
        <v>44413</v>
      </c>
      <c r="C519" s="44">
        <f t="shared" si="22"/>
        <v>44413</v>
      </c>
      <c r="D519" s="374">
        <v>92</v>
      </c>
      <c r="E519" s="291" t="str">
        <f>IFERROR(VLOOKUP($D519,'Clients-Live'!$A:$C,3,0),"")</f>
        <v>FAIDA ZAKIYA</v>
      </c>
      <c r="F519" s="291">
        <f>IFERROR(INDEX(Disbursements!$D:$D,MATCH('Live Collections'!G519,Disbursements!$C:$C,0)),"")</f>
        <v>1</v>
      </c>
      <c r="G519" s="34">
        <v>74</v>
      </c>
      <c r="H519" s="34"/>
      <c r="I519" s="34" t="s">
        <v>1358</v>
      </c>
      <c r="J519" s="48"/>
      <c r="K519" s="48"/>
      <c r="L519" s="48"/>
      <c r="M519" s="48"/>
      <c r="N519" s="59"/>
      <c r="O519" s="59">
        <v>95000</v>
      </c>
      <c r="P519" s="59"/>
      <c r="Q519" s="268">
        <f t="shared" si="23"/>
        <v>95000</v>
      </c>
      <c r="R519" s="61">
        <f>IF(O519=0,0,SUMIFS(Disbursements!$T:$T,Disbursements!$B:$B,'Live Collections'!D519,Disbursements!$D:$D,'Live Collections'!F519))</f>
        <v>175000</v>
      </c>
      <c r="S519" s="304">
        <f>IF(O519&lt;=IF($O519=0,0,SUMIFS(Disbursements!$W:$W,Disbursements!$B:$B,'Live Collections'!D1196,Disbursements!$D:$D,'Live Collections'!F1196)),O519,IF($O519=0,0,SUMIFS(Disbursements!$W:$W,Disbursements!$B:$B,'Live Collections'!D1196,Disbursements!$D:$D,'Live Collections'!F1196)))</f>
        <v>15000</v>
      </c>
      <c r="T519" s="304">
        <f t="shared" si="24"/>
        <v>80000</v>
      </c>
      <c r="U519" s="52"/>
      <c r="V519" s="34"/>
      <c r="W519" s="408"/>
    </row>
    <row r="520" spans="1:23" ht="12.75" customHeight="1" x14ac:dyDescent="0.2">
      <c r="A520" s="132">
        <v>515</v>
      </c>
      <c r="B520" s="44">
        <v>44413</v>
      </c>
      <c r="C520" s="44">
        <f t="shared" ref="C520:C583" si="25">B520</f>
        <v>44413</v>
      </c>
      <c r="D520" s="374">
        <v>107</v>
      </c>
      <c r="E520" s="291" t="str">
        <f>IFERROR(VLOOKUP($D520,'Clients-Live'!$A:$C,3,0),"")</f>
        <v>LAKONY PETER</v>
      </c>
      <c r="F520" s="291">
        <f>IFERROR(INDEX(Disbursements!$D:$D,MATCH('Live Collections'!G520,Disbursements!$C:$C,0)),"")</f>
        <v>1</v>
      </c>
      <c r="G520" s="34">
        <v>96</v>
      </c>
      <c r="H520" s="34"/>
      <c r="I520" s="34" t="s">
        <v>1357</v>
      </c>
      <c r="J520" s="48"/>
      <c r="K520" s="48"/>
      <c r="L520" s="48"/>
      <c r="M520" s="48"/>
      <c r="N520" s="59"/>
      <c r="O520" s="59">
        <v>75000</v>
      </c>
      <c r="P520" s="59"/>
      <c r="Q520" s="268">
        <f t="shared" ref="Q520:Q583" si="26">SUM(J520:P520)</f>
        <v>75000</v>
      </c>
      <c r="R520" s="61">
        <f>IF(O520=0,0,SUMIFS(Disbursements!$T:$T,Disbursements!$B:$B,'Live Collections'!D520,Disbursements!$D:$D,'Live Collections'!F520))</f>
        <v>82000</v>
      </c>
      <c r="S520" s="304">
        <f>IF(O520&lt;=IF($O520=0,0,SUMIFS(Disbursements!$W:$W,Disbursements!$B:$B,'Live Collections'!D1379,Disbursements!$D:$D,'Live Collections'!F1379)),O520,IF($O520=0,0,SUMIFS(Disbursements!$W:$W,Disbursements!$B:$B,'Live Collections'!D1379,Disbursements!$D:$D,'Live Collections'!F1379)))</f>
        <v>4000</v>
      </c>
      <c r="T520" s="304">
        <f t="shared" ref="T520:T583" si="27">IF(O520=0,0,O520-S520)</f>
        <v>71000</v>
      </c>
      <c r="U520" s="52"/>
      <c r="V520" s="34"/>
      <c r="W520" s="408"/>
    </row>
    <row r="521" spans="1:23" ht="12.75" customHeight="1" x14ac:dyDescent="0.2">
      <c r="A521" s="257">
        <v>517</v>
      </c>
      <c r="B521" s="44">
        <v>44413</v>
      </c>
      <c r="C521" s="44">
        <f t="shared" si="25"/>
        <v>44413</v>
      </c>
      <c r="D521" s="374">
        <v>114</v>
      </c>
      <c r="E521" s="291" t="str">
        <f>IFERROR(VLOOKUP($D521,'Clients-Live'!$A:$C,3,0),"")</f>
        <v>ONZIA EMMILY</v>
      </c>
      <c r="F521" s="291">
        <f>IFERROR(INDEX(Disbursements!$D:$D,MATCH('Live Collections'!G521,Disbursements!$C:$C,0)),"")</f>
        <v>1</v>
      </c>
      <c r="G521" s="34">
        <v>97</v>
      </c>
      <c r="H521" s="34"/>
      <c r="I521" s="34" t="s">
        <v>1358</v>
      </c>
      <c r="J521" s="48"/>
      <c r="K521" s="48"/>
      <c r="L521" s="48"/>
      <c r="M521" s="48"/>
      <c r="N521" s="59"/>
      <c r="O521" s="59">
        <v>240000</v>
      </c>
      <c r="P521" s="59"/>
      <c r="Q521" s="268">
        <f t="shared" si="26"/>
        <v>240000</v>
      </c>
      <c r="R521" s="61">
        <f>IF(O521=0,0,SUMIFS(Disbursements!$T:$T,Disbursements!$B:$B,'Live Collections'!D521,Disbursements!$D:$D,'Live Collections'!F521))</f>
        <v>29000</v>
      </c>
      <c r="S521" s="304">
        <f>IF(O521&lt;=IF($O521=0,0,SUMIFS(Disbursements!$W:$W,Disbursements!$B:$B,'Live Collections'!D1661,Disbursements!$D:$D,'Live Collections'!F1661)),O521,IF($O521=0,0,SUMIFS(Disbursements!$W:$W,Disbursements!$B:$B,'Live Collections'!D1661,Disbursements!$D:$D,'Live Collections'!F1661)))</f>
        <v>60000</v>
      </c>
      <c r="T521" s="304">
        <f t="shared" si="27"/>
        <v>180000</v>
      </c>
      <c r="U521" s="52"/>
      <c r="V521" s="34"/>
      <c r="W521" s="408"/>
    </row>
    <row r="522" spans="1:23" ht="12.75" customHeight="1" x14ac:dyDescent="0.2">
      <c r="A522" s="132">
        <v>521</v>
      </c>
      <c r="B522" s="44">
        <v>44413</v>
      </c>
      <c r="C522" s="44">
        <f t="shared" si="25"/>
        <v>44413</v>
      </c>
      <c r="D522" s="374">
        <v>115</v>
      </c>
      <c r="E522" s="291" t="str">
        <f>IFERROR(VLOOKUP($D522,'Clients-Live'!$A:$C,3,0),"")</f>
        <v>AYIKE SAUDA</v>
      </c>
      <c r="F522" s="291">
        <f>IFERROR(INDEX(Disbursements!$D:$D,MATCH('Live Collections'!G522,Disbursements!$C:$C,0)),"")</f>
        <v>1</v>
      </c>
      <c r="G522" s="34">
        <v>98</v>
      </c>
      <c r="H522" s="34"/>
      <c r="I522" s="34" t="s">
        <v>1357</v>
      </c>
      <c r="J522" s="48"/>
      <c r="K522" s="48"/>
      <c r="L522" s="48"/>
      <c r="M522" s="48"/>
      <c r="N522" s="59"/>
      <c r="O522" s="59">
        <v>216700</v>
      </c>
      <c r="P522" s="59"/>
      <c r="Q522" s="268">
        <f t="shared" si="26"/>
        <v>216700</v>
      </c>
      <c r="R522" s="61">
        <f>IF(O522=0,0,SUMIFS(Disbursements!$T:$T,Disbursements!$B:$B,'Live Collections'!D522,Disbursements!$D:$D,'Live Collections'!F522))</f>
        <v>217000</v>
      </c>
      <c r="S522" s="304">
        <f>IF(O522&lt;=IF($O522=0,0,SUMIFS(Disbursements!$W:$W,Disbursements!$B:$B,'Live Collections'!D1477,Disbursements!$D:$D,'Live Collections'!F1477)),O522,IF($O522=0,0,SUMIFS(Disbursements!$W:$W,Disbursements!$B:$B,'Live Collections'!D1477,Disbursements!$D:$D,'Live Collections'!F1477)))</f>
        <v>50333.333333333343</v>
      </c>
      <c r="T522" s="304">
        <f t="shared" si="27"/>
        <v>166366.66666666666</v>
      </c>
      <c r="U522" s="52"/>
      <c r="V522" s="34"/>
      <c r="W522" s="408"/>
    </row>
    <row r="523" spans="1:23" ht="12.75" customHeight="1" x14ac:dyDescent="0.2">
      <c r="A523" s="257">
        <v>509</v>
      </c>
      <c r="B523" s="44">
        <v>44413</v>
      </c>
      <c r="C523" s="44">
        <f t="shared" si="25"/>
        <v>44413</v>
      </c>
      <c r="D523" s="374">
        <v>163</v>
      </c>
      <c r="E523" s="291" t="str">
        <f>IFERROR(VLOOKUP($D523,'Clients-Live'!$A:$C,3,0),"")</f>
        <v>CHANDIRU RAMULA</v>
      </c>
      <c r="F523" s="291">
        <f>IFERROR(INDEX(Disbursements!$D:$D,MATCH('Live Collections'!G523,Disbursements!$C:$C,0)),"")</f>
        <v>1</v>
      </c>
      <c r="G523" s="34">
        <v>156</v>
      </c>
      <c r="H523" s="34"/>
      <c r="I523" s="34" t="s">
        <v>863</v>
      </c>
      <c r="J523" s="48"/>
      <c r="K523" s="48"/>
      <c r="L523" s="48">
        <v>10000</v>
      </c>
      <c r="M523" s="48">
        <v>5000</v>
      </c>
      <c r="N523" s="59"/>
      <c r="O523" s="59"/>
      <c r="P523" s="59">
        <v>30000</v>
      </c>
      <c r="Q523" s="268">
        <f t="shared" si="26"/>
        <v>45000</v>
      </c>
      <c r="R523" s="61">
        <f>IF(O523=0,0,SUMIFS(Disbursements!$T:$T,Disbursements!$B:$B,'Live Collections'!D523,Disbursements!$D:$D,'Live Collections'!F523))</f>
        <v>0</v>
      </c>
      <c r="S523" s="304">
        <f>IF(O523&lt;=IF($O523=0,0,SUMIFS(Disbursements!$W:$W,Disbursements!$B:$B,'Live Collections'!D2013,Disbursements!$D:$D,'Live Collections'!F2013)),O523,IF($O523=0,0,SUMIFS(Disbursements!$W:$W,Disbursements!$B:$B,'Live Collections'!D2013,Disbursements!$D:$D,'Live Collections'!F2013)))</f>
        <v>0</v>
      </c>
      <c r="T523" s="304">
        <f t="shared" si="27"/>
        <v>0</v>
      </c>
      <c r="U523" s="52"/>
      <c r="V523" s="34"/>
      <c r="W523" s="408"/>
    </row>
    <row r="524" spans="1:23" ht="12.75" customHeight="1" x14ac:dyDescent="0.2">
      <c r="A524" s="132">
        <v>510</v>
      </c>
      <c r="B524" s="44">
        <v>44413</v>
      </c>
      <c r="C524" s="44">
        <f t="shared" si="25"/>
        <v>44413</v>
      </c>
      <c r="D524" s="374">
        <v>164</v>
      </c>
      <c r="E524" s="291" t="str">
        <f>IFERROR(VLOOKUP($D524,'Clients-Live'!$A:$C,3,0),"")</f>
        <v>ARIKE SWAIB</v>
      </c>
      <c r="F524" s="291">
        <f>IFERROR(INDEX(Disbursements!$D:$D,MATCH('Live Collections'!G524,Disbursements!$C:$C,0)),"")</f>
        <v>1</v>
      </c>
      <c r="G524" s="34">
        <v>154</v>
      </c>
      <c r="H524" s="34"/>
      <c r="I524" s="34" t="s">
        <v>864</v>
      </c>
      <c r="J524" s="48"/>
      <c r="K524" s="48"/>
      <c r="L524" s="48">
        <v>20000</v>
      </c>
      <c r="M524" s="48">
        <v>5000</v>
      </c>
      <c r="N524" s="59"/>
      <c r="O524" s="59"/>
      <c r="P524" s="59">
        <v>200000</v>
      </c>
      <c r="Q524" s="268">
        <f t="shared" si="26"/>
        <v>225000</v>
      </c>
      <c r="R524" s="61">
        <f>IF(O524=0,0,SUMIFS(Disbursements!$T:$T,Disbursements!$B:$B,'Live Collections'!D524,Disbursements!$D:$D,'Live Collections'!F524))</f>
        <v>0</v>
      </c>
      <c r="S524" s="304">
        <f>IF(O524&lt;=IF($O524=0,0,SUMIFS(Disbursements!$W:$W,Disbursements!$B:$B,'Live Collections'!D2023,Disbursements!$D:$D,'Live Collections'!F2023)),O524,IF($O524=0,0,SUMIFS(Disbursements!$W:$W,Disbursements!$B:$B,'Live Collections'!D2023,Disbursements!$D:$D,'Live Collections'!F2023)))</f>
        <v>0</v>
      </c>
      <c r="T524" s="304">
        <f t="shared" si="27"/>
        <v>0</v>
      </c>
      <c r="U524" s="52"/>
      <c r="V524" s="34"/>
      <c r="W524" s="408"/>
    </row>
    <row r="525" spans="1:23" ht="12.75" customHeight="1" x14ac:dyDescent="0.2">
      <c r="A525" s="257">
        <v>511</v>
      </c>
      <c r="B525" s="44">
        <v>44413</v>
      </c>
      <c r="C525" s="44">
        <f t="shared" si="25"/>
        <v>44413</v>
      </c>
      <c r="D525" s="374">
        <v>167</v>
      </c>
      <c r="E525" s="291" t="str">
        <f>IFERROR(VLOOKUP($D525,'Clients-Live'!$A:$C,3,0),"")</f>
        <v>DRICHA KADIJA</v>
      </c>
      <c r="F525" s="291">
        <f>IFERROR(INDEX(Disbursements!$D:$D,MATCH('Live Collections'!G525,Disbursements!$C:$C,0)),"")</f>
        <v>1</v>
      </c>
      <c r="G525" s="34">
        <v>157</v>
      </c>
      <c r="H525" s="34"/>
      <c r="I525" s="34" t="s">
        <v>863</v>
      </c>
      <c r="J525" s="48"/>
      <c r="K525" s="48"/>
      <c r="L525" s="48">
        <v>15000</v>
      </c>
      <c r="M525" s="48">
        <v>5000</v>
      </c>
      <c r="N525" s="59"/>
      <c r="O525" s="59"/>
      <c r="P525" s="59">
        <v>100000</v>
      </c>
      <c r="Q525" s="268">
        <f t="shared" si="26"/>
        <v>120000</v>
      </c>
      <c r="R525" s="61">
        <f>IF(O525=0,0,SUMIFS(Disbursements!$T:$T,Disbursements!$B:$B,'Live Collections'!D525,Disbursements!$D:$D,'Live Collections'!F525))</f>
        <v>0</v>
      </c>
      <c r="S525" s="304">
        <f>IF(O525&lt;=IF($O525=0,0,SUMIFS(Disbursements!$W:$W,Disbursements!$B:$B,'Live Collections'!D2075,Disbursements!$D:$D,'Live Collections'!F2075)),O525,IF($O525=0,0,SUMIFS(Disbursements!$W:$W,Disbursements!$B:$B,'Live Collections'!D2075,Disbursements!$D:$D,'Live Collections'!F2075)))</f>
        <v>0</v>
      </c>
      <c r="T525" s="304">
        <f t="shared" si="27"/>
        <v>0</v>
      </c>
      <c r="U525" s="52"/>
      <c r="V525" s="34"/>
      <c r="W525" s="408"/>
    </row>
    <row r="526" spans="1:23" ht="12.75" customHeight="1" x14ac:dyDescent="0.2">
      <c r="A526" s="132">
        <v>505</v>
      </c>
      <c r="B526" s="44">
        <v>44413</v>
      </c>
      <c r="C526" s="44">
        <f t="shared" si="25"/>
        <v>44413</v>
      </c>
      <c r="D526" s="374">
        <v>169</v>
      </c>
      <c r="E526" s="291" t="str">
        <f>IFERROR(VLOOKUP($D526,'Clients-Live'!$A:$C,3,0),"")</f>
        <v>KATO KENNEDY</v>
      </c>
      <c r="F526" s="291" t="str">
        <f>IFERROR(INDEX(Disbursements!$D:$D,MATCH('Live Collections'!G526,Disbursements!$C:$C,0)),"")</f>
        <v/>
      </c>
      <c r="G526" s="34"/>
      <c r="H526" s="34"/>
      <c r="I526" s="34" t="s">
        <v>1814</v>
      </c>
      <c r="J526" s="48">
        <v>15000</v>
      </c>
      <c r="K526" s="48">
        <v>5000</v>
      </c>
      <c r="L526" s="48"/>
      <c r="M526" s="48"/>
      <c r="N526" s="59"/>
      <c r="O526" s="59"/>
      <c r="P526" s="59"/>
      <c r="Q526" s="268">
        <f t="shared" si="26"/>
        <v>20000</v>
      </c>
      <c r="R526" s="61">
        <f>IF(O526=0,0,SUMIFS(Disbursements!$T:$T,Disbursements!$B:$B,'Live Collections'!D526,Disbursements!$D:$D,'Live Collections'!F526))</f>
        <v>0</v>
      </c>
      <c r="S526" s="304">
        <f>IF(O526&lt;=IF($O526=0,0,SUMIFS(Disbursements!$W:$W,Disbursements!$B:$B,'Live Collections'!D2076,Disbursements!$D:$D,'Live Collections'!F2076)),O526,IF($O526=0,0,SUMIFS(Disbursements!$W:$W,Disbursements!$B:$B,'Live Collections'!D2076,Disbursements!$D:$D,'Live Collections'!F2076)))</f>
        <v>0</v>
      </c>
      <c r="T526" s="304">
        <f t="shared" si="27"/>
        <v>0</v>
      </c>
      <c r="U526" s="52">
        <v>392991887</v>
      </c>
      <c r="V526" s="34"/>
      <c r="W526" s="408" t="s">
        <v>1254</v>
      </c>
    </row>
    <row r="527" spans="1:23" ht="12.75" customHeight="1" x14ac:dyDescent="0.2">
      <c r="A527" s="257">
        <v>506</v>
      </c>
      <c r="B527" s="44">
        <v>44413</v>
      </c>
      <c r="C527" s="44">
        <f t="shared" si="25"/>
        <v>44413</v>
      </c>
      <c r="D527" s="374">
        <v>170</v>
      </c>
      <c r="E527" s="291" t="str">
        <f>IFERROR(VLOOKUP($D527,'Clients-Live'!$A:$C,3,0),"")</f>
        <v xml:space="preserve">KABEBI RAIMA </v>
      </c>
      <c r="F527" s="291" t="str">
        <f>IFERROR(INDEX(Disbursements!$D:$D,MATCH('Live Collections'!G527,Disbursements!$C:$C,0)),"")</f>
        <v/>
      </c>
      <c r="G527" s="34"/>
      <c r="H527" s="34"/>
      <c r="I527" s="34" t="s">
        <v>1814</v>
      </c>
      <c r="J527" s="48">
        <v>15000</v>
      </c>
      <c r="K527" s="48">
        <v>5000</v>
      </c>
      <c r="L527" s="48"/>
      <c r="M527" s="48"/>
      <c r="N527" s="59"/>
      <c r="O527" s="59"/>
      <c r="P527" s="59"/>
      <c r="Q527" s="268">
        <f t="shared" si="26"/>
        <v>20000</v>
      </c>
      <c r="R527" s="61">
        <f>IF(O527=0,0,SUMIFS(Disbursements!$T:$T,Disbursements!$B:$B,'Live Collections'!D527,Disbursements!$D:$D,'Live Collections'!F527))</f>
        <v>0</v>
      </c>
      <c r="S527" s="304">
        <f>IF(O527&lt;=IF($O527=0,0,SUMIFS(Disbursements!$W:$W,Disbursements!$B:$B,'Live Collections'!D2108,Disbursements!$D:$D,'Live Collections'!F2108)),O527,IF($O527=0,0,SUMIFS(Disbursements!$W:$W,Disbursements!$B:$B,'Live Collections'!D2108,Disbursements!$D:$D,'Live Collections'!F2108)))</f>
        <v>0</v>
      </c>
      <c r="T527" s="304">
        <f t="shared" si="27"/>
        <v>0</v>
      </c>
      <c r="U527" s="52">
        <v>786379543</v>
      </c>
      <c r="V527" s="34"/>
      <c r="W527" s="408" t="s">
        <v>1254</v>
      </c>
    </row>
    <row r="528" spans="1:23" ht="12.75" customHeight="1" x14ac:dyDescent="0.2">
      <c r="A528" s="132">
        <v>507</v>
      </c>
      <c r="B528" s="44">
        <v>44413</v>
      </c>
      <c r="C528" s="44">
        <f t="shared" si="25"/>
        <v>44413</v>
      </c>
      <c r="D528" s="374">
        <v>171</v>
      </c>
      <c r="E528" s="291" t="str">
        <f>IFERROR(VLOOKUP($D528,'Clients-Live'!$A:$C,3,0),"")</f>
        <v>BADAKA GIFT JOEL</v>
      </c>
      <c r="F528" s="291" t="str">
        <f>IFERROR(INDEX(Disbursements!$D:$D,MATCH('Live Collections'!G528,Disbursements!$C:$C,0)),"")</f>
        <v/>
      </c>
      <c r="G528" s="34"/>
      <c r="H528" s="34"/>
      <c r="I528" s="34" t="s">
        <v>1814</v>
      </c>
      <c r="J528" s="48">
        <v>15000</v>
      </c>
      <c r="K528" s="48">
        <v>5000</v>
      </c>
      <c r="L528" s="48"/>
      <c r="M528" s="48"/>
      <c r="N528" s="59"/>
      <c r="O528" s="59"/>
      <c r="P528" s="59"/>
      <c r="Q528" s="268">
        <f t="shared" si="26"/>
        <v>20000</v>
      </c>
      <c r="R528" s="61">
        <f>IF(O528=0,0,SUMIFS(Disbursements!$T:$T,Disbursements!$B:$B,'Live Collections'!D528,Disbursements!$D:$D,'Live Collections'!F528))</f>
        <v>0</v>
      </c>
      <c r="S528" s="304">
        <f>IF(O528&lt;=IF($O528=0,0,SUMIFS(Disbursements!$W:$W,Disbursements!$B:$B,'Live Collections'!D2121,Disbursements!$D:$D,'Live Collections'!F2121)),O528,IF($O528=0,0,SUMIFS(Disbursements!$W:$W,Disbursements!$B:$B,'Live Collections'!D2121,Disbursements!$D:$D,'Live Collections'!F2121)))</f>
        <v>0</v>
      </c>
      <c r="T528" s="304">
        <f t="shared" si="27"/>
        <v>0</v>
      </c>
      <c r="U528" s="52">
        <v>773044440</v>
      </c>
      <c r="V528" s="34"/>
      <c r="W528" s="408" t="s">
        <v>1254</v>
      </c>
    </row>
    <row r="529" spans="1:23" ht="12.75" customHeight="1" x14ac:dyDescent="0.2">
      <c r="A529" s="257">
        <v>512</v>
      </c>
      <c r="B529" s="44">
        <v>44413</v>
      </c>
      <c r="C529" s="44">
        <f t="shared" si="25"/>
        <v>44413</v>
      </c>
      <c r="D529" s="374">
        <v>171</v>
      </c>
      <c r="E529" s="291" t="str">
        <f>IFERROR(VLOOKUP($D529,'Clients-Live'!$A:$C,3,0),"")</f>
        <v>BADAKA GIFT JOEL</v>
      </c>
      <c r="F529" s="291">
        <f>IFERROR(INDEX(Disbursements!$D:$D,MATCH('Live Collections'!G529,Disbursements!$C:$C,0)),"")</f>
        <v>1</v>
      </c>
      <c r="G529" s="34">
        <v>158</v>
      </c>
      <c r="H529" s="34"/>
      <c r="I529" s="34" t="s">
        <v>864</v>
      </c>
      <c r="J529" s="48"/>
      <c r="K529" s="48"/>
      <c r="L529" s="48">
        <v>10000</v>
      </c>
      <c r="M529" s="48">
        <v>5000</v>
      </c>
      <c r="N529" s="59"/>
      <c r="O529" s="59"/>
      <c r="P529" s="59">
        <v>30000</v>
      </c>
      <c r="Q529" s="268">
        <f t="shared" si="26"/>
        <v>45000</v>
      </c>
      <c r="R529" s="61">
        <f>IF(O529=0,0,SUMIFS(Disbursements!$T:$T,Disbursements!$B:$B,'Live Collections'!D529,Disbursements!$D:$D,'Live Collections'!F529))</f>
        <v>0</v>
      </c>
      <c r="S529" s="304">
        <f>IF(O529&lt;=IF($O529=0,0,SUMIFS(Disbursements!$W:$W,Disbursements!$B:$B,'Live Collections'!D2122,Disbursements!$D:$D,'Live Collections'!F2122)),O529,IF($O529=0,0,SUMIFS(Disbursements!$W:$W,Disbursements!$B:$B,'Live Collections'!D2122,Disbursements!$D:$D,'Live Collections'!F2122)))</f>
        <v>0</v>
      </c>
      <c r="T529" s="304">
        <f t="shared" si="27"/>
        <v>0</v>
      </c>
      <c r="U529" s="52"/>
      <c r="V529" s="34"/>
      <c r="W529" s="408"/>
    </row>
    <row r="530" spans="1:23" ht="12.75" customHeight="1" x14ac:dyDescent="0.2">
      <c r="A530" s="132">
        <v>527</v>
      </c>
      <c r="B530" s="44">
        <v>44414</v>
      </c>
      <c r="C530" s="44">
        <f t="shared" si="25"/>
        <v>44414</v>
      </c>
      <c r="D530" s="374">
        <v>22</v>
      </c>
      <c r="E530" s="291" t="str">
        <f>IFERROR(VLOOKUP($D530,'Clients-Live'!$A:$C,3,0),"")</f>
        <v>DATA ISMAIL FATARI</v>
      </c>
      <c r="F530" s="291">
        <f>IFERROR(INDEX(Disbursements!$D:$D,MATCH('Live Collections'!G530,Disbursements!$C:$C,0)),"")</f>
        <v>1</v>
      </c>
      <c r="G530" s="34">
        <v>13</v>
      </c>
      <c r="H530" s="34"/>
      <c r="I530" s="34" t="s">
        <v>1359</v>
      </c>
      <c r="J530" s="48"/>
      <c r="K530" s="48"/>
      <c r="L530" s="48"/>
      <c r="M530" s="48"/>
      <c r="N530" s="59"/>
      <c r="O530" s="59">
        <v>25000</v>
      </c>
      <c r="P530" s="59"/>
      <c r="Q530" s="268">
        <f t="shared" si="26"/>
        <v>25000</v>
      </c>
      <c r="R530" s="61">
        <f>IF(O530=0,0,SUMIFS(Disbursements!$T:$T,Disbursements!$B:$B,'Live Collections'!D530,Disbursements!$D:$D,'Live Collections'!F530))</f>
        <v>217000</v>
      </c>
      <c r="S530" s="304">
        <f>IF(O530&lt;=IF($O530=0,0,SUMIFS(Disbursements!$W:$W,Disbursements!$B:$B,'Live Collections'!D278,Disbursements!$D:$D,'Live Collections'!F278)),O530,IF($O530=0,0,SUMIFS(Disbursements!$W:$W,Disbursements!$B:$B,'Live Collections'!D278,Disbursements!$D:$D,'Live Collections'!F278)))</f>
        <v>8000</v>
      </c>
      <c r="T530" s="304">
        <f t="shared" si="27"/>
        <v>17000</v>
      </c>
      <c r="U530" s="52"/>
      <c r="V530" s="34"/>
      <c r="W530" s="408"/>
    </row>
    <row r="531" spans="1:23" ht="12.75" customHeight="1" x14ac:dyDescent="0.2">
      <c r="A531" s="257">
        <v>531</v>
      </c>
      <c r="B531" s="44">
        <v>44414</v>
      </c>
      <c r="C531" s="44">
        <f t="shared" si="25"/>
        <v>44414</v>
      </c>
      <c r="D531" s="374">
        <v>22</v>
      </c>
      <c r="E531" s="291" t="str">
        <f>IFERROR(VLOOKUP($D531,'Clients-Live'!$A:$C,3,0),"")</f>
        <v>DATA ISMAIL FATARI</v>
      </c>
      <c r="F531" s="291">
        <f>IFERROR(INDEX(Disbursements!$D:$D,MATCH('Live Collections'!G531,Disbursements!$C:$C,0)),"")</f>
        <v>1</v>
      </c>
      <c r="G531" s="34">
        <v>13</v>
      </c>
      <c r="H531" s="34"/>
      <c r="I531" s="34" t="s">
        <v>1359</v>
      </c>
      <c r="J531" s="48"/>
      <c r="K531" s="48"/>
      <c r="L531" s="48"/>
      <c r="M531" s="48"/>
      <c r="N531" s="59"/>
      <c r="O531" s="59">
        <v>30000</v>
      </c>
      <c r="P531" s="59"/>
      <c r="Q531" s="268">
        <f t="shared" si="26"/>
        <v>30000</v>
      </c>
      <c r="R531" s="61">
        <f>IF(O531=0,0,SUMIFS(Disbursements!$T:$T,Disbursements!$B:$B,'Live Collections'!D531,Disbursements!$D:$D,'Live Collections'!F531))</f>
        <v>217000</v>
      </c>
      <c r="S531" s="304">
        <f>IF(O531&lt;=IF($O531=0,0,SUMIFS(Disbursements!$W:$W,Disbursements!$B:$B,'Live Collections'!D279,Disbursements!$D:$D,'Live Collections'!F279)),O531,IF($O531=0,0,SUMIFS(Disbursements!$W:$W,Disbursements!$B:$B,'Live Collections'!D279,Disbursements!$D:$D,'Live Collections'!F279)))</f>
        <v>30000</v>
      </c>
      <c r="T531" s="304">
        <f t="shared" si="27"/>
        <v>0</v>
      </c>
      <c r="U531" s="52"/>
      <c r="V531" s="34"/>
      <c r="W531" s="408"/>
    </row>
    <row r="532" spans="1:23" ht="12.75" customHeight="1" x14ac:dyDescent="0.2">
      <c r="A532" s="132">
        <v>532</v>
      </c>
      <c r="B532" s="44">
        <v>44414</v>
      </c>
      <c r="C532" s="44">
        <f t="shared" si="25"/>
        <v>44414</v>
      </c>
      <c r="D532" s="374">
        <v>37</v>
      </c>
      <c r="E532" s="291" t="str">
        <f>IFERROR(VLOOKUP($D532,'Clients-Live'!$A:$C,3,0),"")</f>
        <v>WANDWALI AMISI</v>
      </c>
      <c r="F532" s="291">
        <f>IFERROR(INDEX(Disbursements!$D:$D,MATCH('Live Collections'!G532,Disbursements!$C:$C,0)),"")</f>
        <v>1</v>
      </c>
      <c r="G532" s="34">
        <v>21</v>
      </c>
      <c r="H532" s="34"/>
      <c r="I532" s="34" t="s">
        <v>1357</v>
      </c>
      <c r="J532" s="48"/>
      <c r="K532" s="48"/>
      <c r="L532" s="48"/>
      <c r="M532" s="48"/>
      <c r="N532" s="59"/>
      <c r="O532" s="59">
        <v>350000</v>
      </c>
      <c r="P532" s="59"/>
      <c r="Q532" s="268">
        <f t="shared" si="26"/>
        <v>350000</v>
      </c>
      <c r="R532" s="61">
        <f>IF(O532=0,0,SUMIFS(Disbursements!$T:$T,Disbursements!$B:$B,'Live Collections'!D532,Disbursements!$D:$D,'Live Collections'!F532))</f>
        <v>1075000</v>
      </c>
      <c r="S532" s="304">
        <f>IF(O532&lt;=IF($O532=0,0,SUMIFS(Disbursements!$W:$W,Disbursements!$B:$B,'Live Collections'!D419,Disbursements!$D:$D,'Live Collections'!F419)),O532,IF($O532=0,0,SUMIFS(Disbursements!$W:$W,Disbursements!$B:$B,'Live Collections'!D419,Disbursements!$D:$D,'Live Collections'!F419)))</f>
        <v>20000</v>
      </c>
      <c r="T532" s="304">
        <f t="shared" si="27"/>
        <v>330000</v>
      </c>
      <c r="U532" s="52"/>
      <c r="V532" s="34"/>
      <c r="W532" s="408"/>
    </row>
    <row r="533" spans="1:23" ht="12.75" customHeight="1" x14ac:dyDescent="0.2">
      <c r="A533" s="257">
        <v>529</v>
      </c>
      <c r="B533" s="44">
        <v>44414</v>
      </c>
      <c r="C533" s="44">
        <f t="shared" si="25"/>
        <v>44414</v>
      </c>
      <c r="D533" s="374">
        <v>40</v>
      </c>
      <c r="E533" s="291" t="str">
        <f>IFERROR(VLOOKUP($D533,'Clients-Live'!$A:$C,3,0),"")</f>
        <v>TABU JANE</v>
      </c>
      <c r="F533" s="291">
        <f>IFERROR(INDEX(Disbursements!$D:$D,MATCH('Live Collections'!G533,Disbursements!$C:$C,0)),"")</f>
        <v>1</v>
      </c>
      <c r="G533" s="34">
        <v>24</v>
      </c>
      <c r="H533" s="34"/>
      <c r="I533" s="34" t="s">
        <v>1358</v>
      </c>
      <c r="J533" s="48"/>
      <c r="K533" s="48"/>
      <c r="L533" s="48"/>
      <c r="M533" s="48"/>
      <c r="N533" s="59"/>
      <c r="O533" s="59">
        <v>145000</v>
      </c>
      <c r="P533" s="59"/>
      <c r="Q533" s="268">
        <f t="shared" si="26"/>
        <v>145000</v>
      </c>
      <c r="R533" s="61">
        <f>IF(O533=0,0,SUMIFS(Disbursements!$T:$T,Disbursements!$B:$B,'Live Collections'!D533,Disbursements!$D:$D,'Live Collections'!F533))</f>
        <v>150000</v>
      </c>
      <c r="S533" s="304">
        <f>IF(O533&lt;=IF($O533=0,0,SUMIFS(Disbursements!$W:$W,Disbursements!$B:$B,'Live Collections'!D433,Disbursements!$D:$D,'Live Collections'!F433)),O533,IF($O533=0,0,SUMIFS(Disbursements!$W:$W,Disbursements!$B:$B,'Live Collections'!D433,Disbursements!$D:$D,'Live Collections'!F433)))</f>
        <v>15000</v>
      </c>
      <c r="T533" s="304">
        <f t="shared" si="27"/>
        <v>130000</v>
      </c>
      <c r="U533" s="52"/>
      <c r="V533" s="34"/>
      <c r="W533" s="408"/>
    </row>
    <row r="534" spans="1:23" ht="12.75" customHeight="1" x14ac:dyDescent="0.2">
      <c r="A534" s="132">
        <v>525</v>
      </c>
      <c r="B534" s="44">
        <v>44414</v>
      </c>
      <c r="C534" s="44">
        <f t="shared" si="25"/>
        <v>44414</v>
      </c>
      <c r="D534" s="374">
        <v>43</v>
      </c>
      <c r="E534" s="291" t="str">
        <f>IFERROR(VLOOKUP($D534,'Clients-Live'!$A:$C,3,0),"")</f>
        <v>APUNIKI LOICE</v>
      </c>
      <c r="F534" s="291">
        <f>IFERROR(INDEX(Disbursements!$D:$D,MATCH('Live Collections'!G534,Disbursements!$C:$C,0)),"")</f>
        <v>1</v>
      </c>
      <c r="G534" s="34">
        <v>28</v>
      </c>
      <c r="H534" s="34"/>
      <c r="I534" s="34" t="s">
        <v>1357</v>
      </c>
      <c r="J534" s="48"/>
      <c r="K534" s="48"/>
      <c r="L534" s="48"/>
      <c r="M534" s="48"/>
      <c r="N534" s="59"/>
      <c r="O534" s="59">
        <v>180000</v>
      </c>
      <c r="P534" s="59"/>
      <c r="Q534" s="268">
        <f t="shared" si="26"/>
        <v>180000</v>
      </c>
      <c r="R534" s="61">
        <f>IF(O534=0,0,SUMIFS(Disbursements!$T:$T,Disbursements!$B:$B,'Live Collections'!D534,Disbursements!$D:$D,'Live Collections'!F534))</f>
        <v>90000</v>
      </c>
      <c r="S534" s="64">
        <v>40000</v>
      </c>
      <c r="T534" s="304">
        <f t="shared" si="27"/>
        <v>140000</v>
      </c>
      <c r="U534" s="52"/>
      <c r="V534" s="34"/>
      <c r="W534" s="408" t="s">
        <v>2095</v>
      </c>
    </row>
    <row r="535" spans="1:23" ht="12.75" customHeight="1" x14ac:dyDescent="0.2">
      <c r="A535" s="257">
        <v>533</v>
      </c>
      <c r="B535" s="44">
        <v>44414</v>
      </c>
      <c r="C535" s="44">
        <f t="shared" si="25"/>
        <v>44414</v>
      </c>
      <c r="D535" s="374">
        <v>82</v>
      </c>
      <c r="E535" s="291" t="str">
        <f>IFERROR(VLOOKUP($D535,'Clients-Live'!$A:$C,3,0),"")</f>
        <v>ADUNA MANENO</v>
      </c>
      <c r="F535" s="291">
        <f>IFERROR(INDEX(Disbursements!$D:$D,MATCH('Live Collections'!G535,Disbursements!$C:$C,0)),"")</f>
        <v>1</v>
      </c>
      <c r="G535" s="34">
        <v>71</v>
      </c>
      <c r="H535" s="34"/>
      <c r="I535" s="34" t="s">
        <v>1357</v>
      </c>
      <c r="J535" s="48"/>
      <c r="K535" s="48"/>
      <c r="L535" s="48"/>
      <c r="M535" s="48"/>
      <c r="N535" s="59"/>
      <c r="O535" s="59">
        <v>10000</v>
      </c>
      <c r="P535" s="59"/>
      <c r="Q535" s="268">
        <f t="shared" si="26"/>
        <v>10000</v>
      </c>
      <c r="R535" s="61">
        <f>IF(O535=0,0,SUMIFS(Disbursements!$T:$T,Disbursements!$B:$B,'Live Collections'!D535,Disbursements!$D:$D,'Live Collections'!F535))</f>
        <v>90000</v>
      </c>
      <c r="S535" s="304">
        <f>IF(O535&lt;=IF($O535=0,0,SUMIFS(Disbursements!$W:$W,Disbursements!$B:$B,'Live Collections'!D1055,Disbursements!$D:$D,'Live Collections'!F1055)),O535,IF($O535=0,0,SUMIFS(Disbursements!$W:$W,Disbursements!$B:$B,'Live Collections'!D1055,Disbursements!$D:$D,'Live Collections'!F1055)))</f>
        <v>10000</v>
      </c>
      <c r="T535" s="304">
        <f t="shared" si="27"/>
        <v>0</v>
      </c>
      <c r="U535" s="52"/>
      <c r="V535" s="34"/>
      <c r="W535" s="408"/>
    </row>
    <row r="536" spans="1:23" ht="12.75" customHeight="1" x14ac:dyDescent="0.2">
      <c r="A536" s="132">
        <v>526</v>
      </c>
      <c r="B536" s="44">
        <v>44414</v>
      </c>
      <c r="C536" s="44">
        <f t="shared" si="25"/>
        <v>44414</v>
      </c>
      <c r="D536" s="374">
        <v>112</v>
      </c>
      <c r="E536" s="291" t="str">
        <f>IFERROR(VLOOKUP($D536,'Clients-Live'!$A:$C,3,0),"")</f>
        <v>NURA JOYCE</v>
      </c>
      <c r="F536" s="291">
        <f>IFERROR(INDEX(Disbursements!$D:$D,MATCH('Live Collections'!G536,Disbursements!$C:$C,0)),"")</f>
        <v>1</v>
      </c>
      <c r="G536" s="34">
        <v>101</v>
      </c>
      <c r="H536" s="34"/>
      <c r="I536" s="34" t="s">
        <v>1359</v>
      </c>
      <c r="J536" s="48"/>
      <c r="K536" s="48"/>
      <c r="L536" s="48"/>
      <c r="M536" s="48"/>
      <c r="N536" s="59"/>
      <c r="O536" s="59">
        <v>150000</v>
      </c>
      <c r="P536" s="59"/>
      <c r="Q536" s="268">
        <f t="shared" si="26"/>
        <v>150000</v>
      </c>
      <c r="R536" s="61">
        <f>IF(O536=0,0,SUMIFS(Disbursements!$T:$T,Disbursements!$B:$B,'Live Collections'!D536,Disbursements!$D:$D,'Live Collections'!F536))</f>
        <v>150000</v>
      </c>
      <c r="S536" s="304">
        <f>IF(O536&lt;=IF($O536=0,0,SUMIFS(Disbursements!$W:$W,Disbursements!$B:$B,'Live Collections'!D1425,Disbursements!$D:$D,'Live Collections'!F1425)),O536,IF($O536=0,0,SUMIFS(Disbursements!$W:$W,Disbursements!$B:$B,'Live Collections'!D1425,Disbursements!$D:$D,'Live Collections'!F1425)))</f>
        <v>50333.333333333343</v>
      </c>
      <c r="T536" s="304">
        <f t="shared" si="27"/>
        <v>99666.666666666657</v>
      </c>
      <c r="U536" s="52"/>
      <c r="V536" s="34"/>
      <c r="W536" s="408"/>
    </row>
    <row r="537" spans="1:23" ht="12.75" customHeight="1" x14ac:dyDescent="0.2">
      <c r="A537" s="257">
        <v>528</v>
      </c>
      <c r="B537" s="44">
        <v>44414</v>
      </c>
      <c r="C537" s="44">
        <f t="shared" si="25"/>
        <v>44414</v>
      </c>
      <c r="D537" s="374">
        <v>117</v>
      </c>
      <c r="E537" s="291" t="str">
        <f>IFERROR(VLOOKUP($D537,'Clients-Live'!$A:$C,3,0),"")</f>
        <v>MAWA JACKSON</v>
      </c>
      <c r="F537" s="291">
        <f>IFERROR(INDEX(Disbursements!$D:$D,MATCH('Live Collections'!G537,Disbursements!$C:$C,0)),"")</f>
        <v>1</v>
      </c>
      <c r="G537" s="34">
        <v>99</v>
      </c>
      <c r="H537" s="34"/>
      <c r="I537" s="34" t="s">
        <v>1358</v>
      </c>
      <c r="J537" s="48"/>
      <c r="K537" s="48"/>
      <c r="L537" s="48"/>
      <c r="M537" s="48"/>
      <c r="N537" s="59"/>
      <c r="O537" s="59">
        <v>152000</v>
      </c>
      <c r="P537" s="59"/>
      <c r="Q537" s="268">
        <f t="shared" si="26"/>
        <v>152000</v>
      </c>
      <c r="R537" s="61">
        <f>IF(O537=0,0,SUMIFS(Disbursements!$T:$T,Disbursements!$B:$B,'Live Collections'!D537,Disbursements!$D:$D,'Live Collections'!F537))</f>
        <v>152000</v>
      </c>
      <c r="S537" s="304">
        <f>IF(O537&lt;=IF($O537=0,0,SUMIFS(Disbursements!$W:$W,Disbursements!$B:$B,'Live Collections'!D1519,Disbursements!$D:$D,'Live Collections'!F1519)),O537,IF($O537=0,0,SUMIFS(Disbursements!$W:$W,Disbursements!$B:$B,'Live Collections'!D1519,Disbursements!$D:$D,'Live Collections'!F1519)))</f>
        <v>10000</v>
      </c>
      <c r="T537" s="304">
        <f t="shared" si="27"/>
        <v>142000</v>
      </c>
      <c r="U537" s="52"/>
      <c r="V537" s="34"/>
      <c r="W537" s="408"/>
    </row>
    <row r="538" spans="1:23" ht="12.75" customHeight="1" x14ac:dyDescent="0.2">
      <c r="A538" s="132">
        <v>530</v>
      </c>
      <c r="B538" s="44">
        <v>44414</v>
      </c>
      <c r="C538" s="44">
        <f t="shared" si="25"/>
        <v>44414</v>
      </c>
      <c r="D538" s="374">
        <v>119</v>
      </c>
      <c r="E538" s="291" t="str">
        <f>IFERROR(VLOOKUP($D538,'Clients-Live'!$A:$C,3,0),"")</f>
        <v>STELLA KONGAI</v>
      </c>
      <c r="F538" s="291">
        <f>IFERROR(INDEX(Disbursements!$D:$D,MATCH('Live Collections'!G538,Disbursements!$C:$C,0)),"")</f>
        <v>1</v>
      </c>
      <c r="G538" s="34">
        <v>103</v>
      </c>
      <c r="H538" s="34"/>
      <c r="I538" s="34" t="s">
        <v>1359</v>
      </c>
      <c r="J538" s="48"/>
      <c r="K538" s="48"/>
      <c r="L538" s="48"/>
      <c r="M538" s="48"/>
      <c r="N538" s="59"/>
      <c r="O538" s="59">
        <v>818700</v>
      </c>
      <c r="P538" s="59"/>
      <c r="Q538" s="268">
        <f t="shared" si="26"/>
        <v>818700</v>
      </c>
      <c r="R538" s="61">
        <f>IF(O538=0,0,SUMIFS(Disbursements!$T:$T,Disbursements!$B:$B,'Live Collections'!D538,Disbursements!$D:$D,'Live Collections'!F538))</f>
        <v>817000</v>
      </c>
      <c r="S538" s="304">
        <f>IF(O538&lt;=IF($O538=0,0,SUMIFS(Disbursements!$W:$W,Disbursements!$B:$B,'Live Collections'!D1536,Disbursements!$D:$D,'Live Collections'!F1536)),O538,IF($O538=0,0,SUMIFS(Disbursements!$W:$W,Disbursements!$B:$B,'Live Collections'!D1536,Disbursements!$D:$D,'Live Collections'!F1536)))</f>
        <v>10333.333333333328</v>
      </c>
      <c r="T538" s="304">
        <f t="shared" si="27"/>
        <v>808366.66666666663</v>
      </c>
      <c r="U538" s="52"/>
      <c r="V538" s="34"/>
      <c r="W538" s="408"/>
    </row>
    <row r="539" spans="1:23" ht="12.75" customHeight="1" x14ac:dyDescent="0.2">
      <c r="A539" s="257">
        <v>524</v>
      </c>
      <c r="B539" s="44">
        <v>44414</v>
      </c>
      <c r="C539" s="44">
        <f t="shared" si="25"/>
        <v>44414</v>
      </c>
      <c r="D539" s="374">
        <v>168</v>
      </c>
      <c r="E539" s="291" t="str">
        <f>IFERROR(VLOOKUP($D539,'Clients-Live'!$A:$C,3,0),"")</f>
        <v>ALORO FREDERICK</v>
      </c>
      <c r="F539" s="291">
        <f>IFERROR(INDEX(Disbursements!$D:$D,MATCH('Live Collections'!G539,Disbursements!$C:$C,0)),"")</f>
        <v>1</v>
      </c>
      <c r="G539" s="34">
        <v>159</v>
      </c>
      <c r="H539" s="34"/>
      <c r="I539" s="34" t="s">
        <v>864</v>
      </c>
      <c r="J539" s="48"/>
      <c r="K539" s="48"/>
      <c r="L539" s="48">
        <v>25000</v>
      </c>
      <c r="M539" s="48">
        <v>5000</v>
      </c>
      <c r="N539" s="59"/>
      <c r="O539" s="59"/>
      <c r="P539" s="59">
        <v>500000</v>
      </c>
      <c r="Q539" s="268">
        <f t="shared" si="26"/>
        <v>530000</v>
      </c>
      <c r="R539" s="61">
        <f>IF(O539=0,0,SUMIFS(Disbursements!$T:$T,Disbursements!$B:$B,'Live Collections'!D539,Disbursements!$D:$D,'Live Collections'!F539))</f>
        <v>0</v>
      </c>
      <c r="S539" s="304">
        <f>IF(O539&lt;=IF($O539=0,0,SUMIFS(Disbursements!$W:$W,Disbursements!$B:$B,'Live Collections'!D2062,Disbursements!$D:$D,'Live Collections'!F2062)),O539,IF($O539=0,0,SUMIFS(Disbursements!$W:$W,Disbursements!$B:$B,'Live Collections'!D2062,Disbursements!$D:$D,'Live Collections'!F2062)))</f>
        <v>0</v>
      </c>
      <c r="T539" s="304">
        <f t="shared" si="27"/>
        <v>0</v>
      </c>
      <c r="U539" s="52"/>
      <c r="V539" s="34"/>
      <c r="W539" s="408"/>
    </row>
    <row r="540" spans="1:23" ht="12.75" customHeight="1" x14ac:dyDescent="0.2">
      <c r="A540" s="132">
        <v>522</v>
      </c>
      <c r="B540" s="44">
        <v>44414</v>
      </c>
      <c r="C540" s="44">
        <f t="shared" si="25"/>
        <v>44414</v>
      </c>
      <c r="D540" s="374">
        <v>172</v>
      </c>
      <c r="E540" s="291" t="str">
        <f>IFERROR(VLOOKUP($D540,'Clients-Live'!$A:$C,3,0),"")</f>
        <v>KATUSIIME CLARA CHEKA</v>
      </c>
      <c r="F540" s="291" t="str">
        <f>IFERROR(INDEX(Disbursements!$D:$D,MATCH('Live Collections'!G540,Disbursements!$C:$C,0)),"")</f>
        <v/>
      </c>
      <c r="G540" s="34"/>
      <c r="H540" s="34"/>
      <c r="I540" s="34" t="s">
        <v>1814</v>
      </c>
      <c r="J540" s="48">
        <v>15000</v>
      </c>
      <c r="K540" s="48">
        <v>5000</v>
      </c>
      <c r="L540" s="48"/>
      <c r="M540" s="48"/>
      <c r="N540" s="59"/>
      <c r="O540" s="59"/>
      <c r="P540" s="59"/>
      <c r="Q540" s="268">
        <f t="shared" si="26"/>
        <v>20000</v>
      </c>
      <c r="R540" s="61">
        <f>IF(O540=0,0,SUMIFS(Disbursements!$T:$T,Disbursements!$B:$B,'Live Collections'!D540,Disbursements!$D:$D,'Live Collections'!F540))</f>
        <v>0</v>
      </c>
      <c r="S540" s="304">
        <f>IF(O540&lt;=IF($O540=0,0,SUMIFS(Disbursements!$W:$W,Disbursements!$B:$B,'Live Collections'!D2132,Disbursements!$D:$D,'Live Collections'!F2132)),O540,IF($O540=0,0,SUMIFS(Disbursements!$W:$W,Disbursements!$B:$B,'Live Collections'!D2132,Disbursements!$D:$D,'Live Collections'!F2132)))</f>
        <v>0</v>
      </c>
      <c r="T540" s="304">
        <f t="shared" si="27"/>
        <v>0</v>
      </c>
      <c r="U540" s="52">
        <v>782833844</v>
      </c>
      <c r="V540" s="34"/>
      <c r="W540" s="408" t="s">
        <v>1254</v>
      </c>
    </row>
    <row r="541" spans="1:23" ht="12.75" customHeight="1" x14ac:dyDescent="0.2">
      <c r="A541" s="257">
        <v>523</v>
      </c>
      <c r="B541" s="44">
        <v>44414</v>
      </c>
      <c r="C541" s="44">
        <f t="shared" si="25"/>
        <v>44414</v>
      </c>
      <c r="D541" s="374">
        <v>173</v>
      </c>
      <c r="E541" s="291" t="str">
        <f>IFERROR(VLOOKUP($D541,'Clients-Live'!$A:$C,3,0),"")</f>
        <v>AATE SEKINA</v>
      </c>
      <c r="F541" s="291" t="str">
        <f>IFERROR(INDEX(Disbursements!$D:$D,MATCH('Live Collections'!G541,Disbursements!$C:$C,0)),"")</f>
        <v/>
      </c>
      <c r="G541" s="34"/>
      <c r="H541" s="34"/>
      <c r="I541" s="34" t="s">
        <v>1814</v>
      </c>
      <c r="J541" s="48">
        <v>15000</v>
      </c>
      <c r="K541" s="48">
        <v>5000</v>
      </c>
      <c r="L541" s="48"/>
      <c r="M541" s="48"/>
      <c r="N541" s="59"/>
      <c r="O541" s="59"/>
      <c r="P541" s="59"/>
      <c r="Q541" s="268">
        <f t="shared" si="26"/>
        <v>20000</v>
      </c>
      <c r="R541" s="61">
        <f>IF(O541=0,0,SUMIFS(Disbursements!$T:$T,Disbursements!$B:$B,'Live Collections'!D541,Disbursements!$D:$D,'Live Collections'!F541))</f>
        <v>0</v>
      </c>
      <c r="S541" s="304">
        <f>IF(O541&lt;=IF($O541=0,0,SUMIFS(Disbursements!$W:$W,Disbursements!$B:$B,'Live Collections'!D2133,Disbursements!$D:$D,'Live Collections'!F2133)),O541,IF($O541=0,0,SUMIFS(Disbursements!$W:$W,Disbursements!$B:$B,'Live Collections'!D2133,Disbursements!$D:$D,'Live Collections'!F2133)))</f>
        <v>0</v>
      </c>
      <c r="T541" s="304">
        <f t="shared" si="27"/>
        <v>0</v>
      </c>
      <c r="U541" s="52">
        <v>782711690</v>
      </c>
      <c r="V541" s="34"/>
      <c r="W541" s="408" t="s">
        <v>1254</v>
      </c>
    </row>
    <row r="542" spans="1:23" ht="12.75" customHeight="1" x14ac:dyDescent="0.2">
      <c r="A542" s="132">
        <v>540</v>
      </c>
      <c r="B542" s="44">
        <v>44415</v>
      </c>
      <c r="C542" s="44">
        <f t="shared" si="25"/>
        <v>44415</v>
      </c>
      <c r="D542" s="374">
        <v>18</v>
      </c>
      <c r="E542" s="291" t="str">
        <f>IFERROR(VLOOKUP($D542,'Clients-Live'!$A:$C,3,0),"")</f>
        <v>ARIYE PEACE</v>
      </c>
      <c r="F542" s="291">
        <f>IFERROR(INDEX(Disbursements!$D:$D,MATCH('Live Collections'!G542,Disbursements!$C:$C,0)),"")</f>
        <v>1</v>
      </c>
      <c r="G542" s="34">
        <v>9</v>
      </c>
      <c r="H542" s="34"/>
      <c r="I542" s="34" t="s">
        <v>1357</v>
      </c>
      <c r="J542" s="48"/>
      <c r="K542" s="48"/>
      <c r="L542" s="48"/>
      <c r="M542" s="48"/>
      <c r="N542" s="59"/>
      <c r="O542" s="59">
        <v>108400</v>
      </c>
      <c r="P542" s="59"/>
      <c r="Q542" s="268">
        <f t="shared" si="26"/>
        <v>108400</v>
      </c>
      <c r="R542" s="61">
        <f>IF(O542=0,0,SUMIFS(Disbursements!$T:$T,Disbursements!$B:$B,'Live Collections'!D542,Disbursements!$D:$D,'Live Collections'!F542))</f>
        <v>109000</v>
      </c>
      <c r="S542" s="304">
        <f>IF(O542&lt;=IF($O542=0,0,SUMIFS(Disbursements!$W:$W,Disbursements!$B:$B,'Live Collections'!D199,Disbursements!$D:$D,'Live Collections'!F199)),O542,IF($O542=0,0,SUMIFS(Disbursements!$W:$W,Disbursements!$B:$B,'Live Collections'!D199,Disbursements!$D:$D,'Live Collections'!F199)))</f>
        <v>30000</v>
      </c>
      <c r="T542" s="304">
        <f t="shared" si="27"/>
        <v>78400</v>
      </c>
      <c r="U542" s="52"/>
      <c r="V542" s="34"/>
      <c r="W542" s="408"/>
    </row>
    <row r="543" spans="1:23" ht="12.75" customHeight="1" x14ac:dyDescent="0.2">
      <c r="A543" s="257">
        <v>535</v>
      </c>
      <c r="B543" s="44">
        <v>44415</v>
      </c>
      <c r="C543" s="44">
        <f t="shared" si="25"/>
        <v>44415</v>
      </c>
      <c r="D543" s="374">
        <v>43</v>
      </c>
      <c r="E543" s="291" t="str">
        <f>IFERROR(VLOOKUP($D543,'Clients-Live'!$A:$C,3,0),"")</f>
        <v>APUNIKI LOICE</v>
      </c>
      <c r="F543" s="291">
        <f>IFERROR(INDEX(Disbursements!$D:$D,MATCH('Live Collections'!G543,Disbursements!$C:$C,0)),"")</f>
        <v>2</v>
      </c>
      <c r="G543" s="34">
        <v>160</v>
      </c>
      <c r="H543" s="34"/>
      <c r="I543" s="34" t="s">
        <v>864</v>
      </c>
      <c r="J543" s="48"/>
      <c r="K543" s="48"/>
      <c r="L543" s="48">
        <v>15000</v>
      </c>
      <c r="M543" s="48">
        <v>5000</v>
      </c>
      <c r="N543" s="59"/>
      <c r="O543" s="59"/>
      <c r="P543" s="59">
        <v>60000</v>
      </c>
      <c r="Q543" s="268">
        <f t="shared" si="26"/>
        <v>80000</v>
      </c>
      <c r="R543" s="61">
        <f>IF(O543=0,0,SUMIFS(Disbursements!$T:$T,Disbursements!$B:$B,'Live Collections'!D543,Disbursements!$D:$D,'Live Collections'!F543))</f>
        <v>0</v>
      </c>
      <c r="S543" s="304">
        <f>IF(O543&lt;=IF($O543=0,0,SUMIFS(Disbursements!$W:$W,Disbursements!$B:$B,'Live Collections'!D479,Disbursements!$D:$D,'Live Collections'!F479)),O543,IF($O543=0,0,SUMIFS(Disbursements!$W:$W,Disbursements!$B:$B,'Live Collections'!D479,Disbursements!$D:$D,'Live Collections'!F479)))</f>
        <v>0</v>
      </c>
      <c r="T543" s="304">
        <f t="shared" si="27"/>
        <v>0</v>
      </c>
      <c r="U543" s="52"/>
      <c r="V543" s="34"/>
      <c r="W543" s="408"/>
    </row>
    <row r="544" spans="1:23" ht="12.75" customHeight="1" x14ac:dyDescent="0.2">
      <c r="A544" s="132">
        <v>539</v>
      </c>
      <c r="B544" s="44">
        <v>44415</v>
      </c>
      <c r="C544" s="44">
        <f t="shared" si="25"/>
        <v>44415</v>
      </c>
      <c r="D544" s="374">
        <v>69</v>
      </c>
      <c r="E544" s="291" t="str">
        <f>IFERROR(VLOOKUP($D544,'Clients-Live'!$A:$C,3,0),"")</f>
        <v>SADIA JOYCE</v>
      </c>
      <c r="F544" s="291">
        <f>IFERROR(INDEX(Disbursements!$D:$D,MATCH('Live Collections'!G544,Disbursements!$C:$C,0)),"")</f>
        <v>1</v>
      </c>
      <c r="G544" s="34">
        <v>106</v>
      </c>
      <c r="H544" s="34"/>
      <c r="I544" s="34" t="s">
        <v>1359</v>
      </c>
      <c r="J544" s="48"/>
      <c r="K544" s="48"/>
      <c r="L544" s="48"/>
      <c r="M544" s="48"/>
      <c r="N544" s="59"/>
      <c r="O544" s="59">
        <v>90000</v>
      </c>
      <c r="P544" s="59"/>
      <c r="Q544" s="268">
        <f t="shared" si="26"/>
        <v>90000</v>
      </c>
      <c r="R544" s="61">
        <f>IF(O544=0,0,SUMIFS(Disbursements!$T:$T,Disbursements!$B:$B,'Live Collections'!D544,Disbursements!$D:$D,'Live Collections'!F544))</f>
        <v>90000</v>
      </c>
      <c r="S544" s="304">
        <f>IF(O544&lt;=IF($O544=0,0,SUMIFS(Disbursements!$W:$W,Disbursements!$B:$B,'Live Collections'!D1116,Disbursements!$D:$D,'Live Collections'!F1116)),O544,IF($O544=0,0,SUMIFS(Disbursements!$W:$W,Disbursements!$B:$B,'Live Collections'!D1116,Disbursements!$D:$D,'Live Collections'!F1116)))</f>
        <v>20000</v>
      </c>
      <c r="T544" s="304">
        <f t="shared" si="27"/>
        <v>70000</v>
      </c>
      <c r="U544" s="52"/>
      <c r="V544" s="34"/>
      <c r="W544" s="408"/>
    </row>
    <row r="545" spans="1:23" ht="12.75" customHeight="1" x14ac:dyDescent="0.2">
      <c r="A545" s="257">
        <v>536</v>
      </c>
      <c r="B545" s="44">
        <v>44415</v>
      </c>
      <c r="C545" s="44">
        <f t="shared" si="25"/>
        <v>44415</v>
      </c>
      <c r="D545" s="374">
        <v>114</v>
      </c>
      <c r="E545" s="291" t="str">
        <f>IFERROR(VLOOKUP($D545,'Clients-Live'!$A:$C,3,0),"")</f>
        <v>ONZIA EMMILY</v>
      </c>
      <c r="F545" s="291">
        <f>IFERROR(INDEX(Disbursements!$D:$D,MATCH('Live Collections'!G545,Disbursements!$C:$C,0)),"")</f>
        <v>3</v>
      </c>
      <c r="G545" s="34">
        <v>262</v>
      </c>
      <c r="H545" s="34">
        <v>921</v>
      </c>
      <c r="I545" s="34" t="s">
        <v>863</v>
      </c>
      <c r="J545" s="48"/>
      <c r="K545" s="48"/>
      <c r="L545" s="48">
        <v>15000</v>
      </c>
      <c r="M545" s="48">
        <v>5000</v>
      </c>
      <c r="N545" s="59"/>
      <c r="O545" s="59"/>
      <c r="P545" s="59">
        <v>30000</v>
      </c>
      <c r="Q545" s="268">
        <f t="shared" si="26"/>
        <v>50000</v>
      </c>
      <c r="R545" s="61">
        <f>IF(O545=0,0,SUMIFS(Disbursements!$T:$T,Disbursements!$B:$B,'Live Collections'!D545,Disbursements!$D:$D,'Live Collections'!F545))</f>
        <v>0</v>
      </c>
      <c r="S545" s="304">
        <f>IF(O545&lt;=IF($O545=0,0,SUMIFS(Disbursements!$W:$W,Disbursements!$B:$B,'Live Collections'!D1456,Disbursements!$D:$D,'Live Collections'!F1456)),O545,IF($O545=0,0,SUMIFS(Disbursements!$W:$W,Disbursements!$B:$B,'Live Collections'!D1456,Disbursements!$D:$D,'Live Collections'!F1456)))</f>
        <v>0</v>
      </c>
      <c r="T545" s="304">
        <f t="shared" si="27"/>
        <v>0</v>
      </c>
      <c r="U545" s="52"/>
      <c r="V545" s="34"/>
      <c r="W545" s="408"/>
    </row>
    <row r="546" spans="1:23" ht="12.75" customHeight="1" x14ac:dyDescent="0.2">
      <c r="A546" s="132">
        <v>538</v>
      </c>
      <c r="B546" s="44">
        <v>44415</v>
      </c>
      <c r="C546" s="44">
        <f t="shared" si="25"/>
        <v>44415</v>
      </c>
      <c r="D546" s="374">
        <v>124</v>
      </c>
      <c r="E546" s="291" t="str">
        <f>IFERROR(VLOOKUP($D546,'Clients-Live'!$A:$C,3,0),"")</f>
        <v>TIKO ZABIBU</v>
      </c>
      <c r="F546" s="291">
        <f>IFERROR(INDEX(Disbursements!$D:$D,MATCH('Live Collections'!G546,Disbursements!$C:$C,0)),"")</f>
        <v>1</v>
      </c>
      <c r="G546" s="34">
        <v>199</v>
      </c>
      <c r="H546" s="34">
        <v>917</v>
      </c>
      <c r="I546" s="34" t="s">
        <v>1358</v>
      </c>
      <c r="J546" s="48"/>
      <c r="K546" s="48"/>
      <c r="L546" s="48"/>
      <c r="M546" s="48"/>
      <c r="N546" s="59"/>
      <c r="O546" s="59">
        <v>130000</v>
      </c>
      <c r="P546" s="59"/>
      <c r="Q546" s="268">
        <f t="shared" si="26"/>
        <v>130000</v>
      </c>
      <c r="R546" s="61">
        <f>IF(O546=0,0,SUMIFS(Disbursements!$T:$T,Disbursements!$B:$B,'Live Collections'!D546,Disbursements!$D:$D,'Live Collections'!F546))</f>
        <v>180000</v>
      </c>
      <c r="S546" s="304">
        <f>IF(O546&lt;=IF($O546=0,0,SUMIFS(Disbursements!$W:$W,Disbursements!$B:$B,'Live Collections'!D1569,Disbursements!$D:$D,'Live Collections'!F1569)),O546,IF($O546=0,0,SUMIFS(Disbursements!$W:$W,Disbursements!$B:$B,'Live Collections'!D1569,Disbursements!$D:$D,'Live Collections'!F1569)))</f>
        <v>4000</v>
      </c>
      <c r="T546" s="304">
        <f t="shared" si="27"/>
        <v>126000</v>
      </c>
      <c r="U546" s="52"/>
      <c r="V546" s="34"/>
      <c r="W546" s="408"/>
    </row>
    <row r="547" spans="1:23" ht="12.75" customHeight="1" x14ac:dyDescent="0.2">
      <c r="A547" s="257">
        <v>534</v>
      </c>
      <c r="B547" s="44">
        <v>44415</v>
      </c>
      <c r="C547" s="44">
        <f t="shared" si="25"/>
        <v>44415</v>
      </c>
      <c r="D547" s="374">
        <v>174</v>
      </c>
      <c r="E547" s="291" t="str">
        <f>IFERROR(VLOOKUP($D547,'Clients-Live'!$A:$C,3,0),"")</f>
        <v>METALORO   MOSES</v>
      </c>
      <c r="F547" s="291" t="str">
        <f>IFERROR(INDEX(Disbursements!$D:$D,MATCH('Live Collections'!G547,Disbursements!$C:$C,0)),"")</f>
        <v/>
      </c>
      <c r="G547" s="34"/>
      <c r="H547" s="34"/>
      <c r="I547" s="34" t="s">
        <v>1814</v>
      </c>
      <c r="J547" s="48">
        <v>15000</v>
      </c>
      <c r="K547" s="48">
        <v>5000</v>
      </c>
      <c r="L547" s="48"/>
      <c r="M547" s="48"/>
      <c r="N547" s="59"/>
      <c r="O547" s="59"/>
      <c r="P547" s="59"/>
      <c r="Q547" s="268">
        <f t="shared" si="26"/>
        <v>20000</v>
      </c>
      <c r="R547" s="61">
        <f>IF(O547=0,0,SUMIFS(Disbursements!$T:$T,Disbursements!$B:$B,'Live Collections'!D547,Disbursements!$D:$D,'Live Collections'!F547))</f>
        <v>0</v>
      </c>
      <c r="S547" s="304">
        <f>IF(O547&lt;=IF($O547=0,0,SUMIFS(Disbursements!$W:$W,Disbursements!$B:$B,'Live Collections'!D2134,Disbursements!$D:$D,'Live Collections'!F2134)),O547,IF($O547=0,0,SUMIFS(Disbursements!$W:$W,Disbursements!$B:$B,'Live Collections'!D2134,Disbursements!$D:$D,'Live Collections'!F2134)))</f>
        <v>0</v>
      </c>
      <c r="T547" s="304">
        <f t="shared" si="27"/>
        <v>0</v>
      </c>
      <c r="U547" s="52">
        <v>777665365</v>
      </c>
      <c r="V547" s="34"/>
      <c r="W547" s="408" t="s">
        <v>1254</v>
      </c>
    </row>
    <row r="548" spans="1:23" ht="12.75" customHeight="1" x14ac:dyDescent="0.2">
      <c r="A548" s="132">
        <v>537</v>
      </c>
      <c r="B548" s="44">
        <v>44415</v>
      </c>
      <c r="C548" s="44">
        <f t="shared" si="25"/>
        <v>44415</v>
      </c>
      <c r="D548" s="374">
        <v>174</v>
      </c>
      <c r="E548" s="291" t="str">
        <f>IFERROR(VLOOKUP($D548,'Clients-Live'!$A:$C,3,0),"")</f>
        <v>METALORO   MOSES</v>
      </c>
      <c r="F548" s="291">
        <f>IFERROR(INDEX(Disbursements!$D:$D,MATCH('Live Collections'!G548,Disbursements!$C:$C,0)),"")</f>
        <v>1</v>
      </c>
      <c r="G548" s="34">
        <v>162</v>
      </c>
      <c r="H548" s="34"/>
      <c r="I548" s="34" t="s">
        <v>863</v>
      </c>
      <c r="J548" s="48"/>
      <c r="K548" s="48"/>
      <c r="L548" s="48">
        <v>10000</v>
      </c>
      <c r="M548" s="48">
        <v>5000</v>
      </c>
      <c r="N548" s="59"/>
      <c r="O548" s="59"/>
      <c r="P548" s="59">
        <v>25000</v>
      </c>
      <c r="Q548" s="268">
        <f t="shared" si="26"/>
        <v>40000</v>
      </c>
      <c r="R548" s="61">
        <f>IF(O548=0,0,SUMIFS(Disbursements!$T:$T,Disbursements!$B:$B,'Live Collections'!D548,Disbursements!$D:$D,'Live Collections'!F548))</f>
        <v>0</v>
      </c>
      <c r="S548" s="304">
        <f>IF(O548&lt;=IF($O548=0,0,SUMIFS(Disbursements!$W:$W,Disbursements!$B:$B,'Live Collections'!D2135,Disbursements!$D:$D,'Live Collections'!F2135)),O548,IF($O548=0,0,SUMIFS(Disbursements!$W:$W,Disbursements!$B:$B,'Live Collections'!D2135,Disbursements!$D:$D,'Live Collections'!F2135)))</f>
        <v>0</v>
      </c>
      <c r="T548" s="304">
        <f t="shared" si="27"/>
        <v>0</v>
      </c>
      <c r="U548" s="52"/>
      <c r="V548" s="34"/>
      <c r="W548" s="408"/>
    </row>
    <row r="549" spans="1:23" ht="12.75" customHeight="1" x14ac:dyDescent="0.2">
      <c r="A549" s="257">
        <v>547</v>
      </c>
      <c r="B549" s="44">
        <v>44416</v>
      </c>
      <c r="C549" s="44">
        <f t="shared" si="25"/>
        <v>44416</v>
      </c>
      <c r="D549" s="374">
        <v>22</v>
      </c>
      <c r="E549" s="291" t="str">
        <f>IFERROR(VLOOKUP($D549,'Clients-Live'!$A:$C,3,0),"")</f>
        <v>DATA ISMAIL FATARI</v>
      </c>
      <c r="F549" s="291">
        <f>IFERROR(INDEX(Disbursements!$D:$D,MATCH('Live Collections'!G549,Disbursements!$C:$C,0)),"")</f>
        <v>1</v>
      </c>
      <c r="G549" s="34">
        <v>13</v>
      </c>
      <c r="H549" s="34"/>
      <c r="I549" s="34" t="s">
        <v>1359</v>
      </c>
      <c r="J549" s="48"/>
      <c r="K549" s="48"/>
      <c r="L549" s="48"/>
      <c r="M549" s="48"/>
      <c r="N549" s="59"/>
      <c r="O549" s="59">
        <v>20000</v>
      </c>
      <c r="P549" s="59"/>
      <c r="Q549" s="268">
        <f t="shared" si="26"/>
        <v>20000</v>
      </c>
      <c r="R549" s="61">
        <f>IF(O549=0,0,SUMIFS(Disbursements!$T:$T,Disbursements!$B:$B,'Live Collections'!D549,Disbursements!$D:$D,'Live Collections'!F549))</f>
        <v>217000</v>
      </c>
      <c r="S549" s="304">
        <f>IF(O549&lt;=IF($O549=0,0,SUMIFS(Disbursements!$W:$W,Disbursements!$B:$B,'Live Collections'!D280,Disbursements!$D:$D,'Live Collections'!F280)),O549,IF($O549=0,0,SUMIFS(Disbursements!$W:$W,Disbursements!$B:$B,'Live Collections'!D280,Disbursements!$D:$D,'Live Collections'!F280)))</f>
        <v>15000</v>
      </c>
      <c r="T549" s="304">
        <f t="shared" si="27"/>
        <v>5000</v>
      </c>
      <c r="U549" s="52"/>
      <c r="V549" s="34"/>
      <c r="W549" s="408"/>
    </row>
    <row r="550" spans="1:23" ht="12.75" customHeight="1" x14ac:dyDescent="0.2">
      <c r="A550" s="132">
        <v>545</v>
      </c>
      <c r="B550" s="44">
        <v>44416</v>
      </c>
      <c r="C550" s="44">
        <f t="shared" si="25"/>
        <v>44416</v>
      </c>
      <c r="D550" s="374">
        <v>48</v>
      </c>
      <c r="E550" s="291" t="str">
        <f>IFERROR(VLOOKUP($D550,'Clients-Live'!$A:$C,3,0),"")</f>
        <v>BAKO KASIA</v>
      </c>
      <c r="F550" s="291">
        <f>IFERROR(INDEX(Disbursements!$D:$D,MATCH('Live Collections'!G550,Disbursements!$C:$C,0)),"")</f>
        <v>1</v>
      </c>
      <c r="G550" s="34">
        <v>32</v>
      </c>
      <c r="H550" s="34"/>
      <c r="I550" s="34" t="s">
        <v>1358</v>
      </c>
      <c r="J550" s="48"/>
      <c r="K550" s="48"/>
      <c r="L550" s="48"/>
      <c r="M550" s="48"/>
      <c r="N550" s="59"/>
      <c r="O550" s="59">
        <v>43000</v>
      </c>
      <c r="P550" s="59"/>
      <c r="Q550" s="268">
        <f t="shared" si="26"/>
        <v>43000</v>
      </c>
      <c r="R550" s="61">
        <f>IF(O550=0,0,SUMIFS(Disbursements!$T:$T,Disbursements!$B:$B,'Live Collections'!D550,Disbursements!$D:$D,'Live Collections'!F550))</f>
        <v>150000</v>
      </c>
      <c r="S550" s="304">
        <f>IF(O550&lt;=IF($O550=0,0,SUMIFS(Disbursements!$W:$W,Disbursements!$B:$B,'Live Collections'!D550,Disbursements!$D:$D,'Live Collections'!F550)),O550,IF($O550=0,0,SUMIFS(Disbursements!$W:$W,Disbursements!$B:$B,'Live Collections'!D550,Disbursements!$D:$D,'Live Collections'!F550)))</f>
        <v>25000</v>
      </c>
      <c r="T550" s="304">
        <f t="shared" si="27"/>
        <v>18000</v>
      </c>
      <c r="U550" s="52"/>
      <c r="V550" s="34"/>
      <c r="W550" s="408"/>
    </row>
    <row r="551" spans="1:23" ht="12.75" customHeight="1" x14ac:dyDescent="0.2">
      <c r="A551" s="257">
        <v>543</v>
      </c>
      <c r="B551" s="44">
        <v>44416</v>
      </c>
      <c r="C551" s="44">
        <f t="shared" si="25"/>
        <v>44416</v>
      </c>
      <c r="D551" s="374">
        <v>51</v>
      </c>
      <c r="E551" s="291" t="str">
        <f>IFERROR(VLOOKUP($D551,'Clients-Live'!$A:$C,3,0),"")</f>
        <v>AYILE STEPHEN</v>
      </c>
      <c r="F551" s="291">
        <f>IFERROR(INDEX(Disbursements!$D:$D,MATCH('Live Collections'!G551,Disbursements!$C:$C,0)),"")</f>
        <v>1</v>
      </c>
      <c r="G551" s="34">
        <v>34</v>
      </c>
      <c r="H551" s="34">
        <v>931</v>
      </c>
      <c r="I551" s="34" t="s">
        <v>1359</v>
      </c>
      <c r="J551" s="48"/>
      <c r="K551" s="48"/>
      <c r="L551" s="48"/>
      <c r="M551" s="48"/>
      <c r="N551" s="59"/>
      <c r="O551" s="59">
        <v>300000</v>
      </c>
      <c r="P551" s="59"/>
      <c r="Q551" s="268">
        <f t="shared" si="26"/>
        <v>300000</v>
      </c>
      <c r="R551" s="61">
        <f>IF(O551=0,0,SUMIFS(Disbursements!$T:$T,Disbursements!$B:$B,'Live Collections'!D551,Disbursements!$D:$D,'Live Collections'!F551))</f>
        <v>325000</v>
      </c>
      <c r="S551" s="304">
        <f>IF(O551&lt;=IF($O551=0,0,SUMIFS(Disbursements!$W:$W,Disbursements!$B:$B,'Live Collections'!D589,Disbursements!$D:$D,'Live Collections'!F589)),O551,IF($O551=0,0,SUMIFS(Disbursements!$W:$W,Disbursements!$B:$B,'Live Collections'!D589,Disbursements!$D:$D,'Live Collections'!F589)))</f>
        <v>15000</v>
      </c>
      <c r="T551" s="304">
        <f t="shared" si="27"/>
        <v>285000</v>
      </c>
      <c r="U551" s="52"/>
      <c r="V551" s="34"/>
      <c r="W551" s="408"/>
    </row>
    <row r="552" spans="1:23" ht="12.75" customHeight="1" x14ac:dyDescent="0.2">
      <c r="A552" s="132">
        <v>546</v>
      </c>
      <c r="B552" s="44">
        <v>44416</v>
      </c>
      <c r="C552" s="44">
        <f t="shared" si="25"/>
        <v>44416</v>
      </c>
      <c r="D552" s="374">
        <v>52</v>
      </c>
      <c r="E552" s="291" t="str">
        <f>IFERROR(VLOOKUP($D552,'Clients-Live'!$A:$C,3,0),"")</f>
        <v>EDEZU PEACE IRENE</v>
      </c>
      <c r="F552" s="291">
        <f>IFERROR(INDEX(Disbursements!$D:$D,MATCH('Live Collections'!G552,Disbursements!$C:$C,0)),"")</f>
        <v>1</v>
      </c>
      <c r="G552" s="34">
        <v>38</v>
      </c>
      <c r="H552" s="34"/>
      <c r="I552" s="34" t="s">
        <v>1357</v>
      </c>
      <c r="J552" s="48"/>
      <c r="K552" s="48"/>
      <c r="L552" s="48"/>
      <c r="M552" s="48"/>
      <c r="N552" s="59"/>
      <c r="O552" s="59">
        <v>50000</v>
      </c>
      <c r="P552" s="59"/>
      <c r="Q552" s="268">
        <f t="shared" si="26"/>
        <v>50000</v>
      </c>
      <c r="R552" s="61">
        <f>IF(O552=0,0,SUMIFS(Disbursements!$T:$T,Disbursements!$B:$B,'Live Collections'!D552,Disbursements!$D:$D,'Live Collections'!F552))</f>
        <v>150000</v>
      </c>
      <c r="S552" s="304">
        <f>IF(O552&lt;=IF($O552=0,0,SUMIFS(Disbursements!$W:$W,Disbursements!$B:$B,'Live Collections'!D601,Disbursements!$D:$D,'Live Collections'!F601)),O552,IF($O552=0,0,SUMIFS(Disbursements!$W:$W,Disbursements!$B:$B,'Live Collections'!D601,Disbursements!$D:$D,'Live Collections'!F601)))</f>
        <v>25000</v>
      </c>
      <c r="T552" s="304">
        <f t="shared" si="27"/>
        <v>25000</v>
      </c>
      <c r="U552" s="52"/>
      <c r="V552" s="34"/>
      <c r="W552" s="408"/>
    </row>
    <row r="553" spans="1:23" ht="12.75" customHeight="1" x14ac:dyDescent="0.2">
      <c r="A553" s="257">
        <v>548</v>
      </c>
      <c r="B553" s="44">
        <v>44416</v>
      </c>
      <c r="C553" s="44">
        <f t="shared" si="25"/>
        <v>44416</v>
      </c>
      <c r="D553" s="374">
        <v>53</v>
      </c>
      <c r="E553" s="291" t="str">
        <f>IFERROR(VLOOKUP($D553,'Clients-Live'!$A:$C,3,0),"")</f>
        <v>KALSUMU INNOCENT</v>
      </c>
      <c r="F553" s="291">
        <f>IFERROR(INDEX(Disbursements!$D:$D,MATCH('Live Collections'!G553,Disbursements!$C:$C,0)),"")</f>
        <v>1</v>
      </c>
      <c r="G553" s="34">
        <v>36</v>
      </c>
      <c r="H553" s="34">
        <v>559</v>
      </c>
      <c r="I553" s="34" t="s">
        <v>1358</v>
      </c>
      <c r="J553" s="48"/>
      <c r="K553" s="48"/>
      <c r="L553" s="48"/>
      <c r="M553" s="48"/>
      <c r="N553" s="59"/>
      <c r="O553" s="59">
        <v>210000</v>
      </c>
      <c r="P553" s="59"/>
      <c r="Q553" s="268">
        <f t="shared" si="26"/>
        <v>210000</v>
      </c>
      <c r="R553" s="61">
        <f>IF(O553=0,0,SUMIFS(Disbursements!$T:$T,Disbursements!$B:$B,'Live Collections'!D553,Disbursements!$D:$D,'Live Collections'!F553))</f>
        <v>200000</v>
      </c>
      <c r="S553" s="304">
        <f>IF(O553&lt;=IF($O553=0,0,SUMIFS(Disbursements!$W:$W,Disbursements!$B:$B,'Live Collections'!D618,Disbursements!$D:$D,'Live Collections'!F618)),O553,IF($O553=0,0,SUMIFS(Disbursements!$W:$W,Disbursements!$B:$B,'Live Collections'!D618,Disbursements!$D:$D,'Live Collections'!F618)))</f>
        <v>0</v>
      </c>
      <c r="T553" s="304">
        <f t="shared" si="27"/>
        <v>210000</v>
      </c>
      <c r="U553" s="52"/>
      <c r="V553" s="34"/>
      <c r="W553" s="408"/>
    </row>
    <row r="554" spans="1:23" ht="12.75" customHeight="1" x14ac:dyDescent="0.2">
      <c r="A554" s="132">
        <v>544</v>
      </c>
      <c r="B554" s="44">
        <v>44416</v>
      </c>
      <c r="C554" s="44">
        <f t="shared" si="25"/>
        <v>44416</v>
      </c>
      <c r="D554" s="374">
        <v>54</v>
      </c>
      <c r="E554" s="291" t="str">
        <f>IFERROR(VLOOKUP($D554,'Clients-Live'!$A:$C,3,0),"")</f>
        <v>MANENO ANIFA</v>
      </c>
      <c r="F554" s="291">
        <f>IFERROR(INDEX(Disbursements!$D:$D,MATCH('Live Collections'!G554,Disbursements!$C:$C,0)),"")</f>
        <v>1</v>
      </c>
      <c r="G554" s="34">
        <v>37</v>
      </c>
      <c r="H554" s="34"/>
      <c r="I554" s="34" t="s">
        <v>1357</v>
      </c>
      <c r="J554" s="48"/>
      <c r="K554" s="48"/>
      <c r="L554" s="48"/>
      <c r="M554" s="48"/>
      <c r="N554" s="59"/>
      <c r="O554" s="59">
        <v>135000</v>
      </c>
      <c r="P554" s="59"/>
      <c r="Q554" s="268">
        <f t="shared" si="26"/>
        <v>135000</v>
      </c>
      <c r="R554" s="61">
        <f>IF(O554=0,0,SUMIFS(Disbursements!$T:$T,Disbursements!$B:$B,'Live Collections'!D554,Disbursements!$D:$D,'Live Collections'!F554))</f>
        <v>150000</v>
      </c>
      <c r="S554" s="304">
        <f>IF(O554&lt;=IF($O554=0,0,SUMIFS(Disbursements!$W:$W,Disbursements!$B:$B,'Live Collections'!D633,Disbursements!$D:$D,'Live Collections'!F633)),O554,IF($O554=0,0,SUMIFS(Disbursements!$W:$W,Disbursements!$B:$B,'Live Collections'!D633,Disbursements!$D:$D,'Live Collections'!F633)))</f>
        <v>25000</v>
      </c>
      <c r="T554" s="304">
        <f t="shared" si="27"/>
        <v>110000</v>
      </c>
      <c r="U554" s="52"/>
      <c r="V554" s="34"/>
      <c r="W554" s="408"/>
    </row>
    <row r="555" spans="1:23" ht="12.75" customHeight="1" x14ac:dyDescent="0.2">
      <c r="A555" s="257">
        <v>541</v>
      </c>
      <c r="B555" s="44">
        <v>44416</v>
      </c>
      <c r="C555" s="44">
        <f t="shared" si="25"/>
        <v>44416</v>
      </c>
      <c r="D555" s="374">
        <v>116</v>
      </c>
      <c r="E555" s="291" t="str">
        <f>IFERROR(VLOOKUP($D555,'Clients-Live'!$A:$C,3,0),"")</f>
        <v>ONZIA LUCY</v>
      </c>
      <c r="F555" s="291">
        <f>IFERROR(INDEX(Disbursements!$D:$D,MATCH('Live Collections'!G555,Disbursements!$C:$C,0)),"")</f>
        <v>1</v>
      </c>
      <c r="G555" s="34">
        <v>95</v>
      </c>
      <c r="H555" s="34"/>
      <c r="I555" s="34" t="s">
        <v>1357</v>
      </c>
      <c r="J555" s="48"/>
      <c r="K555" s="48"/>
      <c r="L555" s="48"/>
      <c r="M555" s="48"/>
      <c r="N555" s="59"/>
      <c r="O555" s="59">
        <v>20000</v>
      </c>
      <c r="P555" s="59"/>
      <c r="Q555" s="268">
        <f t="shared" si="26"/>
        <v>20000</v>
      </c>
      <c r="R555" s="61">
        <f>IF(O555=0,0,SUMIFS(Disbursements!$T:$T,Disbursements!$B:$B,'Live Collections'!D555,Disbursements!$D:$D,'Live Collections'!F555))</f>
        <v>20000</v>
      </c>
      <c r="S555" s="304"/>
      <c r="T555" s="304">
        <f t="shared" si="27"/>
        <v>20000</v>
      </c>
      <c r="U555" s="52"/>
      <c r="V555" s="34"/>
      <c r="W555" s="408"/>
    </row>
    <row r="556" spans="1:23" ht="12.75" customHeight="1" x14ac:dyDescent="0.2">
      <c r="A556" s="132">
        <v>542</v>
      </c>
      <c r="B556" s="44">
        <v>44416</v>
      </c>
      <c r="C556" s="44">
        <f t="shared" si="25"/>
        <v>44416</v>
      </c>
      <c r="D556" s="374">
        <v>136</v>
      </c>
      <c r="E556" s="291" t="str">
        <f>IFERROR(VLOOKUP($D556,'Clients-Live'!$A:$C,3,0),"")</f>
        <v>LEMERIGA GODWILL JOSEPH</v>
      </c>
      <c r="F556" s="291">
        <f>IFERROR(INDEX(Disbursements!$D:$D,MATCH('Live Collections'!G556,Disbursements!$C:$C,0)),"")</f>
        <v>1</v>
      </c>
      <c r="G556" s="34">
        <v>122</v>
      </c>
      <c r="H556" s="34"/>
      <c r="I556" s="34" t="s">
        <v>1357</v>
      </c>
      <c r="J556" s="48"/>
      <c r="K556" s="48"/>
      <c r="L556" s="48"/>
      <c r="M556" s="48"/>
      <c r="N556" s="59"/>
      <c r="O556" s="59">
        <v>50000</v>
      </c>
      <c r="P556" s="59"/>
      <c r="Q556" s="268">
        <f t="shared" si="26"/>
        <v>50000</v>
      </c>
      <c r="R556" s="61">
        <f>IF(O556=0,0,SUMIFS(Disbursements!$T:$T,Disbursements!$B:$B,'Live Collections'!D556,Disbursements!$D:$D,'Live Collections'!F556))</f>
        <v>120000</v>
      </c>
      <c r="S556" s="304">
        <f>IF(O556&lt;=IF($O556=0,0,SUMIFS(Disbursements!$W:$W,Disbursements!$B:$B,'Live Collections'!D1713,Disbursements!$D:$D,'Live Collections'!F1713)),O556,IF($O556=0,0,SUMIFS(Disbursements!$W:$W,Disbursements!$B:$B,'Live Collections'!D1713,Disbursements!$D:$D,'Live Collections'!F1713)))</f>
        <v>30000</v>
      </c>
      <c r="T556" s="304">
        <f t="shared" si="27"/>
        <v>20000</v>
      </c>
      <c r="U556" s="52"/>
      <c r="V556" s="34"/>
      <c r="W556" s="408"/>
    </row>
    <row r="557" spans="1:23" ht="12.75" customHeight="1" x14ac:dyDescent="0.2">
      <c r="A557" s="257">
        <v>549</v>
      </c>
      <c r="B557" s="44">
        <v>44417</v>
      </c>
      <c r="C557" s="44">
        <f t="shared" si="25"/>
        <v>44417</v>
      </c>
      <c r="D557" s="374">
        <v>175</v>
      </c>
      <c r="E557" s="291" t="str">
        <f>IFERROR(VLOOKUP($D557,'Clients-Live'!$A:$C,3,0),"")</f>
        <v>ZUBEDA WAIGA</v>
      </c>
      <c r="F557" s="291" t="str">
        <f>IFERROR(INDEX(Disbursements!$D:$D,MATCH('Live Collections'!G557,Disbursements!$C:$C,0)),"")</f>
        <v/>
      </c>
      <c r="G557" s="34"/>
      <c r="H557" s="34">
        <v>929</v>
      </c>
      <c r="I557" s="34" t="s">
        <v>1814</v>
      </c>
      <c r="J557" s="48">
        <v>15000</v>
      </c>
      <c r="K557" s="48">
        <v>5000</v>
      </c>
      <c r="L557" s="48"/>
      <c r="M557" s="48"/>
      <c r="N557" s="59"/>
      <c r="O557" s="59"/>
      <c r="P557" s="59"/>
      <c r="Q557" s="268">
        <f t="shared" si="26"/>
        <v>20000</v>
      </c>
      <c r="R557" s="61">
        <f>IF(O557=0,0,SUMIFS(Disbursements!$T:$T,Disbursements!$B:$B,'Live Collections'!D557,Disbursements!$D:$D,'Live Collections'!F557))</f>
        <v>0</v>
      </c>
      <c r="S557" s="304">
        <f>IF(O557&lt;=IF($O557=0,0,SUMIFS(Disbursements!$W:$W,Disbursements!$B:$B,'Live Collections'!D2139,Disbursements!$D:$D,'Live Collections'!F2139)),O557,IF($O557=0,0,SUMIFS(Disbursements!$W:$W,Disbursements!$B:$B,'Live Collections'!D2139,Disbursements!$D:$D,'Live Collections'!F2139)))</f>
        <v>0</v>
      </c>
      <c r="T557" s="304">
        <f t="shared" si="27"/>
        <v>0</v>
      </c>
      <c r="U557" s="52">
        <v>788651678</v>
      </c>
      <c r="V557" s="34"/>
      <c r="W557" s="408" t="s">
        <v>1254</v>
      </c>
    </row>
    <row r="558" spans="1:23" ht="12.75" customHeight="1" x14ac:dyDescent="0.2">
      <c r="A558" s="132">
        <v>550</v>
      </c>
      <c r="B558" s="44">
        <v>44417</v>
      </c>
      <c r="C558" s="44">
        <f t="shared" si="25"/>
        <v>44417</v>
      </c>
      <c r="D558" s="374">
        <v>176</v>
      </c>
      <c r="E558" s="291" t="str">
        <f>IFERROR(VLOOKUP($D558,'Clients-Live'!$A:$C,3,0),"")</f>
        <v>AJONYE JANE SINANDUGU</v>
      </c>
      <c r="F558" s="291" t="str">
        <f>IFERROR(INDEX(Disbursements!$D:$D,MATCH('Live Collections'!G558,Disbursements!$C:$C,0)),"")</f>
        <v/>
      </c>
      <c r="G558" s="34"/>
      <c r="H558" s="34"/>
      <c r="I558" s="34" t="s">
        <v>1814</v>
      </c>
      <c r="J558" s="48">
        <v>15000</v>
      </c>
      <c r="K558" s="48">
        <v>5000</v>
      </c>
      <c r="L558" s="48"/>
      <c r="M558" s="48"/>
      <c r="N558" s="59"/>
      <c r="O558" s="59"/>
      <c r="P558" s="59"/>
      <c r="Q558" s="268">
        <f t="shared" si="26"/>
        <v>20000</v>
      </c>
      <c r="R558" s="61">
        <f>IF(O558=0,0,SUMIFS(Disbursements!$T:$T,Disbursements!$B:$B,'Live Collections'!D558,Disbursements!$D:$D,'Live Collections'!F558))</f>
        <v>0</v>
      </c>
      <c r="S558" s="304">
        <f>IF(O558&lt;=IF($O558=0,0,SUMIFS(Disbursements!$W:$W,Disbursements!$B:$B,'Live Collections'!D2150,Disbursements!$D:$D,'Live Collections'!F2150)),O558,IF($O558=0,0,SUMIFS(Disbursements!$W:$W,Disbursements!$B:$B,'Live Collections'!D2150,Disbursements!$D:$D,'Live Collections'!F2150)))</f>
        <v>0</v>
      </c>
      <c r="T558" s="304">
        <f t="shared" si="27"/>
        <v>0</v>
      </c>
      <c r="U558" s="52">
        <v>774085216</v>
      </c>
      <c r="V558" s="34"/>
      <c r="W558" s="408" t="s">
        <v>1254</v>
      </c>
    </row>
    <row r="559" spans="1:23" ht="12.75" customHeight="1" x14ac:dyDescent="0.2">
      <c r="A559" s="257">
        <v>551</v>
      </c>
      <c r="B559" s="44">
        <v>44417</v>
      </c>
      <c r="C559" s="44">
        <f t="shared" si="25"/>
        <v>44417</v>
      </c>
      <c r="D559" s="374">
        <v>177</v>
      </c>
      <c r="E559" s="291" t="str">
        <f>IFERROR(VLOOKUP($D559,'Clients-Live'!$A:$C,3,0),"")</f>
        <v>EFIT GIFT</v>
      </c>
      <c r="F559" s="291" t="str">
        <f>IFERROR(INDEX(Disbursements!$D:$D,MATCH('Live Collections'!G559,Disbursements!$C:$C,0)),"")</f>
        <v/>
      </c>
      <c r="G559" s="34"/>
      <c r="H559" s="34"/>
      <c r="I559" s="34" t="s">
        <v>1814</v>
      </c>
      <c r="J559" s="48">
        <v>15000</v>
      </c>
      <c r="K559" s="48">
        <v>5000</v>
      </c>
      <c r="L559" s="48"/>
      <c r="M559" s="48"/>
      <c r="N559" s="59"/>
      <c r="O559" s="59"/>
      <c r="P559" s="59"/>
      <c r="Q559" s="268">
        <f t="shared" si="26"/>
        <v>20000</v>
      </c>
      <c r="R559" s="61">
        <f>IF(O559=0,0,SUMIFS(Disbursements!$T:$T,Disbursements!$B:$B,'Live Collections'!D559,Disbursements!$D:$D,'Live Collections'!F559))</f>
        <v>0</v>
      </c>
      <c r="S559" s="304">
        <f>IF(O559&lt;=IF($O559=0,0,SUMIFS(Disbursements!$W:$W,Disbursements!$B:$B,'Live Collections'!D2162,Disbursements!$D:$D,'Live Collections'!F2162)),O559,IF($O559=0,0,SUMIFS(Disbursements!$W:$W,Disbursements!$B:$B,'Live Collections'!D2162,Disbursements!$D:$D,'Live Collections'!F2162)))</f>
        <v>0</v>
      </c>
      <c r="T559" s="304">
        <f t="shared" si="27"/>
        <v>0</v>
      </c>
      <c r="U559" s="52">
        <v>783258212</v>
      </c>
      <c r="V559" s="34"/>
      <c r="W559" s="408" t="s">
        <v>1254</v>
      </c>
    </row>
    <row r="560" spans="1:23" ht="12.75" customHeight="1" x14ac:dyDescent="0.2">
      <c r="A560" s="132">
        <v>552</v>
      </c>
      <c r="B560" s="44">
        <v>44417</v>
      </c>
      <c r="C560" s="44">
        <f t="shared" si="25"/>
        <v>44417</v>
      </c>
      <c r="D560" s="374">
        <v>178</v>
      </c>
      <c r="E560" s="291" t="str">
        <f>IFERROR(VLOOKUP($D560,'Clients-Live'!$A:$C,3,0),"")</f>
        <v>EMUSUGUT DANIEL</v>
      </c>
      <c r="F560" s="291" t="str">
        <f>IFERROR(INDEX(Disbursements!$D:$D,MATCH('Live Collections'!G560,Disbursements!$C:$C,0)),"")</f>
        <v/>
      </c>
      <c r="G560" s="34"/>
      <c r="H560" s="34"/>
      <c r="I560" s="34" t="s">
        <v>1814</v>
      </c>
      <c r="J560" s="48">
        <v>15000</v>
      </c>
      <c r="K560" s="48">
        <v>5000</v>
      </c>
      <c r="L560" s="48"/>
      <c r="M560" s="48"/>
      <c r="N560" s="59"/>
      <c r="O560" s="59"/>
      <c r="P560" s="59"/>
      <c r="Q560" s="268">
        <f t="shared" si="26"/>
        <v>20000</v>
      </c>
      <c r="R560" s="61">
        <f>IF(O560=0,0,SUMIFS(Disbursements!$T:$T,Disbursements!$B:$B,'Live Collections'!D560,Disbursements!$D:$D,'Live Collections'!F560))</f>
        <v>0</v>
      </c>
      <c r="S560" s="304">
        <f>IF(O560&lt;=IF($O560=0,0,SUMIFS(Disbursements!$W:$W,Disbursements!$B:$B,'Live Collections'!D2183,Disbursements!$D:$D,'Live Collections'!F2183)),O560,IF($O560=0,0,SUMIFS(Disbursements!$W:$W,Disbursements!$B:$B,'Live Collections'!D2183,Disbursements!$D:$D,'Live Collections'!F2183)))</f>
        <v>0</v>
      </c>
      <c r="T560" s="304">
        <f t="shared" si="27"/>
        <v>0</v>
      </c>
      <c r="U560" s="52">
        <v>771931316</v>
      </c>
      <c r="V560" s="34"/>
      <c r="W560" s="408" t="s">
        <v>1254</v>
      </c>
    </row>
    <row r="561" spans="1:23" ht="12.75" customHeight="1" x14ac:dyDescent="0.2">
      <c r="A561" s="257">
        <v>562</v>
      </c>
      <c r="B561" s="44">
        <v>44418</v>
      </c>
      <c r="C561" s="44">
        <f t="shared" si="25"/>
        <v>44418</v>
      </c>
      <c r="D561" s="374">
        <v>8</v>
      </c>
      <c r="E561" s="291" t="str">
        <f>IFERROR(VLOOKUP($D561,'Clients-Live'!$A:$C,3,0),"")</f>
        <v>ALEMI THOMAS</v>
      </c>
      <c r="F561" s="291">
        <f>IFERROR(INDEX(Disbursements!$D:$D,MATCH('Live Collections'!G561,Disbursements!$C:$C,0)),"")</f>
        <v>1</v>
      </c>
      <c r="G561" s="34">
        <v>1</v>
      </c>
      <c r="H561" s="34"/>
      <c r="I561" s="34" t="s">
        <v>1359</v>
      </c>
      <c r="J561" s="48"/>
      <c r="K561" s="48"/>
      <c r="L561" s="48"/>
      <c r="M561" s="48"/>
      <c r="N561" s="59"/>
      <c r="O561" s="59">
        <v>65000</v>
      </c>
      <c r="P561" s="59"/>
      <c r="Q561" s="268">
        <f t="shared" si="26"/>
        <v>65000</v>
      </c>
      <c r="R561" s="61">
        <f>IF(O561=0,0,SUMIFS(Disbursements!$T:$T,Disbursements!$B:$B,'Live Collections'!D561,Disbursements!$D:$D,'Live Collections'!F561))</f>
        <v>65000</v>
      </c>
      <c r="S561" s="304">
        <f>IF(O561&lt;=IF($O561=0,0,SUMIFS(Disbursements!$W:$W,Disbursements!$B:$B,'Live Collections'!D71,Disbursements!$D:$D,'Live Collections'!F71)),O561,IF($O561=0,0,SUMIFS(Disbursements!$W:$W,Disbursements!$B:$B,'Live Collections'!D71,Disbursements!$D:$D,'Live Collections'!F71)))</f>
        <v>0</v>
      </c>
      <c r="T561" s="304">
        <f t="shared" si="27"/>
        <v>65000</v>
      </c>
      <c r="U561" s="52"/>
      <c r="V561" s="34"/>
      <c r="W561" s="408"/>
    </row>
    <row r="562" spans="1:23" ht="12.75" customHeight="1" x14ac:dyDescent="0.2">
      <c r="A562" s="132">
        <v>559</v>
      </c>
      <c r="B562" s="44">
        <v>44418</v>
      </c>
      <c r="C562" s="44">
        <f t="shared" si="25"/>
        <v>44418</v>
      </c>
      <c r="D562" s="374">
        <v>45</v>
      </c>
      <c r="E562" s="291" t="str">
        <f>IFERROR(VLOOKUP($D562,'Clients-Live'!$A:$C,3,0),"")</f>
        <v>SANYA DONALD</v>
      </c>
      <c r="F562" s="291">
        <f>IFERROR(INDEX(Disbursements!$D:$D,MATCH('Live Collections'!G562,Disbursements!$C:$C,0)),"")</f>
        <v>1</v>
      </c>
      <c r="G562" s="34">
        <v>25</v>
      </c>
      <c r="H562" s="34"/>
      <c r="I562" s="34" t="s">
        <v>1359</v>
      </c>
      <c r="J562" s="48"/>
      <c r="K562" s="48"/>
      <c r="L562" s="48"/>
      <c r="M562" s="48"/>
      <c r="N562" s="59"/>
      <c r="O562" s="59">
        <v>100000</v>
      </c>
      <c r="P562" s="59"/>
      <c r="Q562" s="268">
        <f t="shared" si="26"/>
        <v>100000</v>
      </c>
      <c r="R562" s="61">
        <f>IF(O562=0,0,SUMIFS(Disbursements!$T:$T,Disbursements!$B:$B,'Live Collections'!D562,Disbursements!$D:$D,'Live Collections'!F562))</f>
        <v>605000</v>
      </c>
      <c r="S562" s="304">
        <f>IF(O562&lt;=IF($O562=0,0,SUMIFS(Disbursements!$W:$W,Disbursements!$B:$B,'Live Collections'!D506,Disbursements!$D:$D,'Live Collections'!F506)),O562,IF($O562=0,0,SUMIFS(Disbursements!$W:$W,Disbursements!$B:$B,'Live Collections'!D506,Disbursements!$D:$D,'Live Collections'!F506)))</f>
        <v>10000</v>
      </c>
      <c r="T562" s="304">
        <f t="shared" si="27"/>
        <v>90000</v>
      </c>
      <c r="U562" s="52"/>
      <c r="V562" s="34"/>
      <c r="W562" s="408"/>
    </row>
    <row r="563" spans="1:23" ht="12.75" customHeight="1" x14ac:dyDescent="0.2">
      <c r="A563" s="257">
        <v>560</v>
      </c>
      <c r="B563" s="44">
        <v>44418</v>
      </c>
      <c r="C563" s="44">
        <f t="shared" si="25"/>
        <v>44418</v>
      </c>
      <c r="D563" s="374">
        <v>49</v>
      </c>
      <c r="E563" s="291" t="str">
        <f>IFERROR(VLOOKUP($D563,'Clients-Live'!$A:$C,3,0),"")</f>
        <v>MAWUZU SARAH</v>
      </c>
      <c r="F563" s="291">
        <f>IFERROR(INDEX(Disbursements!$D:$D,MATCH('Live Collections'!G563,Disbursements!$C:$C,0)),"")</f>
        <v>1</v>
      </c>
      <c r="G563" s="34">
        <v>33</v>
      </c>
      <c r="H563" s="34"/>
      <c r="I563" s="34" t="s">
        <v>1358</v>
      </c>
      <c r="J563" s="48"/>
      <c r="K563" s="48"/>
      <c r="L563" s="48"/>
      <c r="M563" s="48"/>
      <c r="N563" s="59"/>
      <c r="O563" s="59">
        <v>50000</v>
      </c>
      <c r="P563" s="59"/>
      <c r="Q563" s="268">
        <f t="shared" si="26"/>
        <v>50000</v>
      </c>
      <c r="R563" s="61">
        <f>IF(O563=0,0,SUMIFS(Disbursements!$T:$T,Disbursements!$B:$B,'Live Collections'!D563,Disbursements!$D:$D,'Live Collections'!F563))</f>
        <v>150000</v>
      </c>
      <c r="S563" s="304">
        <f>IF(O563&lt;=IF($O563=0,0,SUMIFS(Disbursements!$W:$W,Disbursements!$B:$B,'Live Collections'!D561,Disbursements!$D:$D,'Live Collections'!F561)),O563,IF($O563=0,0,SUMIFS(Disbursements!$W:$W,Disbursements!$B:$B,'Live Collections'!D561,Disbursements!$D:$D,'Live Collections'!F561)))</f>
        <v>15000</v>
      </c>
      <c r="T563" s="304">
        <f t="shared" si="27"/>
        <v>35000</v>
      </c>
      <c r="U563" s="52"/>
      <c r="V563" s="34"/>
      <c r="W563" s="408"/>
    </row>
    <row r="564" spans="1:23" ht="12.75" customHeight="1" x14ac:dyDescent="0.2">
      <c r="A564" s="132">
        <v>561</v>
      </c>
      <c r="B564" s="44">
        <v>44418</v>
      </c>
      <c r="C564" s="44">
        <f t="shared" si="25"/>
        <v>44418</v>
      </c>
      <c r="D564" s="374">
        <v>59</v>
      </c>
      <c r="E564" s="291" t="str">
        <f>IFERROR(VLOOKUP($D564,'Clients-Live'!$A:$C,3,0),"")</f>
        <v>ONZIA AGNES</v>
      </c>
      <c r="F564" s="291">
        <f>IFERROR(INDEX(Disbursements!$D:$D,MATCH('Live Collections'!G564,Disbursements!$C:$C,0)),"")</f>
        <v>1</v>
      </c>
      <c r="G564" s="34">
        <v>39</v>
      </c>
      <c r="H564" s="34">
        <v>951</v>
      </c>
      <c r="I564" s="34" t="s">
        <v>1358</v>
      </c>
      <c r="J564" s="48"/>
      <c r="K564" s="48"/>
      <c r="L564" s="48"/>
      <c r="M564" s="48"/>
      <c r="N564" s="59"/>
      <c r="O564" s="59">
        <v>150000</v>
      </c>
      <c r="P564" s="59"/>
      <c r="Q564" s="268">
        <f t="shared" si="26"/>
        <v>150000</v>
      </c>
      <c r="R564" s="61">
        <f>IF(O564=0,0,SUMIFS(Disbursements!$T:$T,Disbursements!$B:$B,'Live Collections'!D564,Disbursements!$D:$D,'Live Collections'!F564))</f>
        <v>150000</v>
      </c>
      <c r="S564" s="304">
        <f>IF(O564&lt;=IF($O564=0,0,SUMIFS(Disbursements!$W:$W,Disbursements!$B:$B,'Live Collections'!D702,Disbursements!$D:$D,'Live Collections'!F702)),O564,IF($O564=0,0,SUMIFS(Disbursements!$W:$W,Disbursements!$B:$B,'Live Collections'!D702,Disbursements!$D:$D,'Live Collections'!F702)))</f>
        <v>25333.333333333343</v>
      </c>
      <c r="T564" s="304">
        <f t="shared" si="27"/>
        <v>124666.66666666666</v>
      </c>
      <c r="U564" s="52"/>
      <c r="V564" s="34"/>
      <c r="W564" s="408"/>
    </row>
    <row r="565" spans="1:23" ht="12.75" customHeight="1" x14ac:dyDescent="0.2">
      <c r="A565" s="257">
        <v>563</v>
      </c>
      <c r="B565" s="44">
        <v>44418</v>
      </c>
      <c r="C565" s="44">
        <f t="shared" si="25"/>
        <v>44418</v>
      </c>
      <c r="D565" s="374">
        <v>66</v>
      </c>
      <c r="E565" s="291" t="str">
        <f>IFERROR(VLOOKUP($D565,'Clients-Live'!$A:$C,3,0),"")</f>
        <v>DENAYA NYAMAZA</v>
      </c>
      <c r="F565" s="291">
        <f>IFERROR(INDEX(Disbursements!$D:$D,MATCH('Live Collections'!G565,Disbursements!$C:$C,0)),"")</f>
        <v>1</v>
      </c>
      <c r="G565" s="34">
        <v>53</v>
      </c>
      <c r="H565" s="34"/>
      <c r="I565" s="34" t="s">
        <v>1357</v>
      </c>
      <c r="J565" s="48"/>
      <c r="K565" s="48"/>
      <c r="L565" s="48"/>
      <c r="M565" s="48"/>
      <c r="N565" s="59"/>
      <c r="O565" s="59">
        <v>150000</v>
      </c>
      <c r="P565" s="59"/>
      <c r="Q565" s="268">
        <f t="shared" si="26"/>
        <v>150000</v>
      </c>
      <c r="R565" s="61">
        <f>IF(O565=0,0,SUMIFS(Disbursements!$T:$T,Disbursements!$B:$B,'Live Collections'!D565,Disbursements!$D:$D,'Live Collections'!F565))</f>
        <v>109000</v>
      </c>
      <c r="S565" s="304">
        <f>IF(O565&lt;=IF($O565=0,0,SUMIFS(Disbursements!$W:$W,Disbursements!$B:$B,'Live Collections'!D1133,Disbursements!$D:$D,'Live Collections'!F1133)),O565,IF($O565=0,0,SUMIFS(Disbursements!$W:$W,Disbursements!$B:$B,'Live Collections'!D1133,Disbursements!$D:$D,'Live Collections'!F1133)))</f>
        <v>25000</v>
      </c>
      <c r="T565" s="304">
        <f t="shared" si="27"/>
        <v>125000</v>
      </c>
      <c r="U565" s="52"/>
      <c r="V565" s="34"/>
      <c r="W565" s="408"/>
    </row>
    <row r="566" spans="1:23" ht="12.75" customHeight="1" x14ac:dyDescent="0.2">
      <c r="A566" s="132">
        <v>565</v>
      </c>
      <c r="B566" s="44">
        <v>44418</v>
      </c>
      <c r="C566" s="44">
        <f t="shared" si="25"/>
        <v>44418</v>
      </c>
      <c r="D566" s="374">
        <v>79</v>
      </c>
      <c r="E566" s="291" t="str">
        <f>IFERROR(VLOOKUP($D566,'Clients-Live'!$A:$C,3,0),"")</f>
        <v>PASI SENYA</v>
      </c>
      <c r="F566" s="291">
        <f>IFERROR(INDEX(Disbursements!$D:$D,MATCH('Live Collections'!G566,Disbursements!$C:$C,0)),"")</f>
        <v>1</v>
      </c>
      <c r="G566" s="34">
        <v>64</v>
      </c>
      <c r="H566" s="34"/>
      <c r="I566" s="34" t="s">
        <v>1358</v>
      </c>
      <c r="J566" s="48"/>
      <c r="K566" s="48"/>
      <c r="L566" s="48"/>
      <c r="M566" s="48"/>
      <c r="N566" s="59"/>
      <c r="O566" s="59">
        <v>62500</v>
      </c>
      <c r="P566" s="59"/>
      <c r="Q566" s="268">
        <f t="shared" si="26"/>
        <v>62500</v>
      </c>
      <c r="R566" s="61">
        <f>IF(O566=0,0,SUMIFS(Disbursements!$T:$T,Disbursements!$B:$B,'Live Collections'!D566,Disbursements!$D:$D,'Live Collections'!F566))</f>
        <v>63000</v>
      </c>
      <c r="S566" s="304">
        <f>IF(O566&lt;=IF($O566=0,0,SUMIFS(Disbursements!$W:$W,Disbursements!$B:$B,'Live Collections'!D1018,Disbursements!$D:$D,'Live Collections'!F1018)),O566,IF($O566=0,0,SUMIFS(Disbursements!$W:$W,Disbursements!$B:$B,'Live Collections'!D1018,Disbursements!$D:$D,'Live Collections'!F1018)))</f>
        <v>15000</v>
      </c>
      <c r="T566" s="304">
        <f t="shared" si="27"/>
        <v>47500</v>
      </c>
      <c r="U566" s="52"/>
      <c r="V566" s="34"/>
      <c r="W566" s="408"/>
    </row>
    <row r="567" spans="1:23" ht="12.75" customHeight="1" x14ac:dyDescent="0.2">
      <c r="A567" s="257">
        <v>564</v>
      </c>
      <c r="B567" s="44">
        <v>44418</v>
      </c>
      <c r="C567" s="44">
        <f t="shared" si="25"/>
        <v>44418</v>
      </c>
      <c r="D567" s="374">
        <v>125</v>
      </c>
      <c r="E567" s="291" t="str">
        <f>IFERROR(VLOOKUP($D567,'Clients-Live'!$A:$C,3,0),"")</f>
        <v>SUNDAY SCOVIA</v>
      </c>
      <c r="F567" s="291">
        <f>IFERROR(INDEX(Disbursements!$D:$D,MATCH('Live Collections'!G567,Disbursements!$C:$C,0)),"")</f>
        <v>1</v>
      </c>
      <c r="G567" s="34">
        <v>111</v>
      </c>
      <c r="H567" s="34"/>
      <c r="I567" s="34" t="s">
        <v>1358</v>
      </c>
      <c r="J567" s="48"/>
      <c r="K567" s="48"/>
      <c r="L567" s="48"/>
      <c r="M567" s="48"/>
      <c r="N567" s="59"/>
      <c r="O567" s="59">
        <v>60000</v>
      </c>
      <c r="P567" s="59"/>
      <c r="Q567" s="268">
        <f t="shared" si="26"/>
        <v>60000</v>
      </c>
      <c r="R567" s="61">
        <f>IF(O567=0,0,SUMIFS(Disbursements!$T:$T,Disbursements!$B:$B,'Live Collections'!D567,Disbursements!$D:$D,'Live Collections'!F567))</f>
        <v>120000</v>
      </c>
      <c r="S567" s="304">
        <f>IF(O567&lt;=IF($O567=0,0,SUMIFS(Disbursements!$W:$W,Disbursements!$B:$B,'Live Collections'!D1587,Disbursements!$D:$D,'Live Collections'!F1587)),O567,IF($O567=0,0,SUMIFS(Disbursements!$W:$W,Disbursements!$B:$B,'Live Collections'!D1587,Disbursements!$D:$D,'Live Collections'!F1587)))</f>
        <v>60000</v>
      </c>
      <c r="T567" s="304">
        <f t="shared" si="27"/>
        <v>0</v>
      </c>
      <c r="U567" s="52"/>
      <c r="V567" s="34"/>
      <c r="W567" s="408"/>
    </row>
    <row r="568" spans="1:23" ht="12.75" customHeight="1" x14ac:dyDescent="0.2">
      <c r="A568" s="132">
        <v>556</v>
      </c>
      <c r="B568" s="44">
        <v>44418</v>
      </c>
      <c r="C568" s="44">
        <f t="shared" si="25"/>
        <v>44418</v>
      </c>
      <c r="D568" s="374">
        <v>165</v>
      </c>
      <c r="E568" s="291" t="str">
        <f>IFERROR(VLOOKUP($D568,'Clients-Live'!$A:$C,3,0),"")</f>
        <v>BOBOYA BRAN</v>
      </c>
      <c r="F568" s="291">
        <f>IFERROR(INDEX(Disbursements!$D:$D,MATCH('Live Collections'!G568,Disbursements!$C:$C,0)),"")</f>
        <v>1</v>
      </c>
      <c r="G568" s="34">
        <v>163</v>
      </c>
      <c r="H568" s="34"/>
      <c r="I568" s="34" t="s">
        <v>864</v>
      </c>
      <c r="J568" s="48"/>
      <c r="K568" s="48"/>
      <c r="L568" s="48">
        <v>15000</v>
      </c>
      <c r="M568" s="48">
        <v>5000</v>
      </c>
      <c r="N568" s="59"/>
      <c r="O568" s="59"/>
      <c r="P568" s="59">
        <v>70000</v>
      </c>
      <c r="Q568" s="268">
        <f t="shared" si="26"/>
        <v>90000</v>
      </c>
      <c r="R568" s="61">
        <f>IF(O568=0,0,SUMIFS(Disbursements!$T:$T,Disbursements!$B:$B,'Live Collections'!D568,Disbursements!$D:$D,'Live Collections'!F568))</f>
        <v>0</v>
      </c>
      <c r="S568" s="304">
        <f>IF(O568&lt;=IF($O568=0,0,SUMIFS(Disbursements!$W:$W,Disbursements!$B:$B,'Live Collections'!D2044,Disbursements!$D:$D,'Live Collections'!F2044)),O568,IF($O568=0,0,SUMIFS(Disbursements!$W:$W,Disbursements!$B:$B,'Live Collections'!D2044,Disbursements!$D:$D,'Live Collections'!F2044)))</f>
        <v>0</v>
      </c>
      <c r="T568" s="304">
        <f t="shared" si="27"/>
        <v>0</v>
      </c>
      <c r="U568" s="52"/>
      <c r="V568" s="34"/>
      <c r="W568" s="408"/>
    </row>
    <row r="569" spans="1:23" ht="12.75" customHeight="1" x14ac:dyDescent="0.2">
      <c r="A569" s="257">
        <v>557</v>
      </c>
      <c r="B569" s="44">
        <v>44418</v>
      </c>
      <c r="C569" s="44">
        <f t="shared" si="25"/>
        <v>44418</v>
      </c>
      <c r="D569" s="374">
        <v>170</v>
      </c>
      <c r="E569" s="291" t="str">
        <f>IFERROR(VLOOKUP($D569,'Clients-Live'!$A:$C,3,0),"")</f>
        <v xml:space="preserve">KABEBI RAIMA </v>
      </c>
      <c r="F569" s="291">
        <f>IFERROR(INDEX(Disbursements!$D:$D,MATCH('Live Collections'!G569,Disbursements!$C:$C,0)),"")</f>
        <v>1</v>
      </c>
      <c r="G569" s="34">
        <v>164</v>
      </c>
      <c r="H569" s="34"/>
      <c r="I569" s="34" t="s">
        <v>862</v>
      </c>
      <c r="J569" s="48"/>
      <c r="K569" s="48"/>
      <c r="L569" s="48">
        <v>10000</v>
      </c>
      <c r="M569" s="48">
        <v>5000</v>
      </c>
      <c r="N569" s="59"/>
      <c r="O569" s="59"/>
      <c r="P569" s="59">
        <v>40000</v>
      </c>
      <c r="Q569" s="268">
        <f t="shared" si="26"/>
        <v>55000</v>
      </c>
      <c r="R569" s="61">
        <f>IF(O569=0,0,SUMIFS(Disbursements!$T:$T,Disbursements!$B:$B,'Live Collections'!D569,Disbursements!$D:$D,'Live Collections'!F569))</f>
        <v>0</v>
      </c>
      <c r="S569" s="304">
        <f>IF(O569&lt;=IF($O569=0,0,SUMIFS(Disbursements!$W:$W,Disbursements!$B:$B,'Live Collections'!D2109,Disbursements!$D:$D,'Live Collections'!F2109)),O569,IF($O569=0,0,SUMIFS(Disbursements!$W:$W,Disbursements!$B:$B,'Live Collections'!D2109,Disbursements!$D:$D,'Live Collections'!F2109)))</f>
        <v>0</v>
      </c>
      <c r="T569" s="304">
        <f t="shared" si="27"/>
        <v>0</v>
      </c>
      <c r="U569" s="52"/>
      <c r="V569" s="34"/>
      <c r="W569" s="408"/>
    </row>
    <row r="570" spans="1:23" ht="12.75" customHeight="1" x14ac:dyDescent="0.2">
      <c r="A570" s="132">
        <v>558</v>
      </c>
      <c r="B570" s="44">
        <v>44418</v>
      </c>
      <c r="C570" s="44">
        <f t="shared" si="25"/>
        <v>44418</v>
      </c>
      <c r="D570" s="374">
        <v>175</v>
      </c>
      <c r="E570" s="291" t="str">
        <f>IFERROR(VLOOKUP($D570,'Clients-Live'!$A:$C,3,0),"")</f>
        <v>ZUBEDA WAIGA</v>
      </c>
      <c r="F570" s="291">
        <f>IFERROR(INDEX(Disbursements!$D:$D,MATCH('Live Collections'!G570,Disbursements!$C:$C,0)),"")</f>
        <v>1</v>
      </c>
      <c r="G570" s="34">
        <v>166</v>
      </c>
      <c r="H570" s="34">
        <v>949</v>
      </c>
      <c r="I570" s="34" t="s">
        <v>863</v>
      </c>
      <c r="J570" s="48"/>
      <c r="K570" s="48"/>
      <c r="L570" s="48">
        <v>10000</v>
      </c>
      <c r="M570" s="48">
        <v>5000</v>
      </c>
      <c r="N570" s="59"/>
      <c r="O570" s="59"/>
      <c r="P570" s="59">
        <v>30000</v>
      </c>
      <c r="Q570" s="268">
        <f t="shared" si="26"/>
        <v>45000</v>
      </c>
      <c r="R570" s="61">
        <f>IF(O570=0,0,SUMIFS(Disbursements!$T:$T,Disbursements!$B:$B,'Live Collections'!D570,Disbursements!$D:$D,'Live Collections'!F570))</f>
        <v>0</v>
      </c>
      <c r="S570" s="304">
        <f>IF(O570&lt;=IF($O570=0,0,SUMIFS(Disbursements!$W:$W,Disbursements!$B:$B,'Live Collections'!D2140,Disbursements!$D:$D,'Live Collections'!F2140)),O570,IF($O570=0,0,SUMIFS(Disbursements!$W:$W,Disbursements!$B:$B,'Live Collections'!D2140,Disbursements!$D:$D,'Live Collections'!F2140)))</f>
        <v>0</v>
      </c>
      <c r="T570" s="304">
        <f t="shared" si="27"/>
        <v>0</v>
      </c>
      <c r="U570" s="52"/>
      <c r="V570" s="34"/>
      <c r="W570" s="408"/>
    </row>
    <row r="571" spans="1:23" ht="12.75" customHeight="1" x14ac:dyDescent="0.2">
      <c r="A571" s="257">
        <v>553</v>
      </c>
      <c r="B571" s="44">
        <v>44418</v>
      </c>
      <c r="C571" s="44">
        <f t="shared" si="25"/>
        <v>44418</v>
      </c>
      <c r="D571" s="374">
        <v>179</v>
      </c>
      <c r="E571" s="291" t="str">
        <f>IFERROR(VLOOKUP($D571,'Clients-Live'!$A:$C,3,0),"")</f>
        <v>GERIA VIOLA</v>
      </c>
      <c r="F571" s="291" t="str">
        <f>IFERROR(INDEX(Disbursements!$D:$D,MATCH('Live Collections'!G571,Disbursements!$C:$C,0)),"")</f>
        <v/>
      </c>
      <c r="G571" s="34"/>
      <c r="H571" s="34"/>
      <c r="I571" s="34" t="s">
        <v>1814</v>
      </c>
      <c r="J571" s="48">
        <v>15000</v>
      </c>
      <c r="K571" s="48">
        <v>5000</v>
      </c>
      <c r="L571" s="48"/>
      <c r="M571" s="48"/>
      <c r="N571" s="59"/>
      <c r="O571" s="59"/>
      <c r="P571" s="59"/>
      <c r="Q571" s="268">
        <f t="shared" si="26"/>
        <v>20000</v>
      </c>
      <c r="R571" s="61">
        <f>IF(O571=0,0,SUMIFS(Disbursements!$T:$T,Disbursements!$B:$B,'Live Collections'!D571,Disbursements!$D:$D,'Live Collections'!F571))</f>
        <v>0</v>
      </c>
      <c r="S571" s="304">
        <f>IF(O571&lt;=IF($O571=0,0,SUMIFS(Disbursements!$W:$W,Disbursements!$B:$B,'Live Collections'!D2184,Disbursements!$D:$D,'Live Collections'!F2184)),O571,IF($O571=0,0,SUMIFS(Disbursements!$W:$W,Disbursements!$B:$B,'Live Collections'!D2184,Disbursements!$D:$D,'Live Collections'!F2184)))</f>
        <v>0</v>
      </c>
      <c r="T571" s="304">
        <f t="shared" si="27"/>
        <v>0</v>
      </c>
      <c r="U571" s="52">
        <v>776740721</v>
      </c>
      <c r="V571" s="34"/>
      <c r="W571" s="408" t="s">
        <v>1254</v>
      </c>
    </row>
    <row r="572" spans="1:23" ht="12.75" customHeight="1" x14ac:dyDescent="0.2">
      <c r="A572" s="132">
        <v>554</v>
      </c>
      <c r="B572" s="44">
        <v>44418</v>
      </c>
      <c r="C572" s="44">
        <f t="shared" si="25"/>
        <v>44418</v>
      </c>
      <c r="D572" s="374">
        <v>180</v>
      </c>
      <c r="E572" s="291" t="str">
        <f>IFERROR(VLOOKUP($D572,'Clients-Live'!$A:$C,3,0),"")</f>
        <v>IJOSIGA ISMAIL</v>
      </c>
      <c r="F572" s="291" t="str">
        <f>IFERROR(INDEX(Disbursements!$D:$D,MATCH('Live Collections'!G572,Disbursements!$C:$C,0)),"")</f>
        <v/>
      </c>
      <c r="G572" s="34"/>
      <c r="H572" s="34"/>
      <c r="I572" s="34" t="s">
        <v>1814</v>
      </c>
      <c r="J572" s="48">
        <v>15000</v>
      </c>
      <c r="K572" s="48">
        <v>5000</v>
      </c>
      <c r="L572" s="48"/>
      <c r="M572" s="48"/>
      <c r="N572" s="59"/>
      <c r="O572" s="59"/>
      <c r="P572" s="59"/>
      <c r="Q572" s="268">
        <f t="shared" si="26"/>
        <v>20000</v>
      </c>
      <c r="R572" s="61">
        <f>IF(O572=0,0,SUMIFS(Disbursements!$T:$T,Disbursements!$B:$B,'Live Collections'!D572,Disbursements!$D:$D,'Live Collections'!F572))</f>
        <v>0</v>
      </c>
      <c r="S572" s="304">
        <f>IF(O572&lt;=IF($O572=0,0,SUMIFS(Disbursements!$W:$W,Disbursements!$B:$B,'Live Collections'!D2199,Disbursements!$D:$D,'Live Collections'!F2199)),O572,IF($O572=0,0,SUMIFS(Disbursements!$W:$W,Disbursements!$B:$B,'Live Collections'!D2199,Disbursements!$D:$D,'Live Collections'!F2199)))</f>
        <v>0</v>
      </c>
      <c r="T572" s="304">
        <f t="shared" si="27"/>
        <v>0</v>
      </c>
      <c r="U572" s="52">
        <v>775888913</v>
      </c>
      <c r="V572" s="34"/>
      <c r="W572" s="408" t="s">
        <v>1254</v>
      </c>
    </row>
    <row r="573" spans="1:23" ht="12.75" customHeight="1" x14ac:dyDescent="0.2">
      <c r="A573" s="257">
        <v>555</v>
      </c>
      <c r="B573" s="44">
        <v>44418</v>
      </c>
      <c r="C573" s="44">
        <f t="shared" si="25"/>
        <v>44418</v>
      </c>
      <c r="D573" s="374">
        <v>181</v>
      </c>
      <c r="E573" s="291" t="str">
        <f>IFERROR(VLOOKUP($D573,'Clients-Live'!$A:$C,3,0),"")</f>
        <v>LEKURU CHRISTINE</v>
      </c>
      <c r="F573" s="291" t="str">
        <f>IFERROR(INDEX(Disbursements!$D:$D,MATCH('Live Collections'!G573,Disbursements!$C:$C,0)),"")</f>
        <v/>
      </c>
      <c r="G573" s="34"/>
      <c r="H573" s="34"/>
      <c r="I573" s="34" t="s">
        <v>1814</v>
      </c>
      <c r="J573" s="48">
        <v>15000</v>
      </c>
      <c r="K573" s="48">
        <v>5000</v>
      </c>
      <c r="L573" s="48"/>
      <c r="M573" s="48"/>
      <c r="N573" s="59"/>
      <c r="O573" s="59"/>
      <c r="P573" s="59"/>
      <c r="Q573" s="268">
        <f t="shared" si="26"/>
        <v>20000</v>
      </c>
      <c r="R573" s="61">
        <f>IF(O573=0,0,SUMIFS(Disbursements!$T:$T,Disbursements!$B:$B,'Live Collections'!D573,Disbursements!$D:$D,'Live Collections'!F573))</f>
        <v>0</v>
      </c>
      <c r="S573" s="304">
        <f>IF(O573&lt;=IF($O573=0,0,SUMIFS(Disbursements!$W:$W,Disbursements!$B:$B,'Live Collections'!D2207,Disbursements!$D:$D,'Live Collections'!F2207)),O573,IF($O573=0,0,SUMIFS(Disbursements!$W:$W,Disbursements!$B:$B,'Live Collections'!D2207,Disbursements!$D:$D,'Live Collections'!F2207)))</f>
        <v>0</v>
      </c>
      <c r="T573" s="304">
        <f t="shared" si="27"/>
        <v>0</v>
      </c>
      <c r="U573" s="52">
        <v>774704411</v>
      </c>
      <c r="V573" s="34"/>
      <c r="W573" s="408" t="s">
        <v>1254</v>
      </c>
    </row>
    <row r="574" spans="1:23" ht="12.75" customHeight="1" x14ac:dyDescent="0.2">
      <c r="A574" s="132">
        <v>568</v>
      </c>
      <c r="B574" s="44">
        <v>44419</v>
      </c>
      <c r="C574" s="44">
        <f t="shared" si="25"/>
        <v>44419</v>
      </c>
      <c r="D574" s="374">
        <v>22</v>
      </c>
      <c r="E574" s="291" t="str">
        <f>IFERROR(VLOOKUP($D574,'Clients-Live'!$A:$C,3,0),"")</f>
        <v>DATA ISMAIL FATARI</v>
      </c>
      <c r="F574" s="291">
        <f>IFERROR(INDEX(Disbursements!$D:$D,MATCH('Live Collections'!G574,Disbursements!$C:$C,0)),"")</f>
        <v>1</v>
      </c>
      <c r="G574" s="34">
        <v>13</v>
      </c>
      <c r="H574" s="34"/>
      <c r="I574" s="34" t="s">
        <v>1359</v>
      </c>
      <c r="J574" s="48"/>
      <c r="K574" s="48"/>
      <c r="L574" s="48"/>
      <c r="M574" s="48"/>
      <c r="N574" s="59">
        <v>20000</v>
      </c>
      <c r="O574" s="59"/>
      <c r="P574" s="59"/>
      <c r="Q574" s="268">
        <f t="shared" si="26"/>
        <v>20000</v>
      </c>
      <c r="R574" s="61">
        <f>IF(O574=0,0,SUMIFS(Disbursements!$T:$T,Disbursements!$B:$B,'Live Collections'!D574,Disbursements!$D:$D,'Live Collections'!F574))</f>
        <v>0</v>
      </c>
      <c r="S574" s="304">
        <f>IF(O574&lt;=IF($O574=0,0,SUMIFS(Disbursements!$W:$W,Disbursements!$B:$B,'Live Collections'!D281,Disbursements!$D:$D,'Live Collections'!F281)),O574,IF($O574=0,0,SUMIFS(Disbursements!$W:$W,Disbursements!$B:$B,'Live Collections'!D281,Disbursements!$D:$D,'Live Collections'!F281)))</f>
        <v>0</v>
      </c>
      <c r="T574" s="304">
        <f t="shared" si="27"/>
        <v>0</v>
      </c>
      <c r="U574" s="52"/>
      <c r="V574" s="34"/>
      <c r="W574" s="408"/>
    </row>
    <row r="575" spans="1:23" ht="12.75" customHeight="1" x14ac:dyDescent="0.2">
      <c r="A575" s="257">
        <v>569</v>
      </c>
      <c r="B575" s="44">
        <v>44419</v>
      </c>
      <c r="C575" s="44">
        <f t="shared" si="25"/>
        <v>44419</v>
      </c>
      <c r="D575" s="374">
        <v>55</v>
      </c>
      <c r="E575" s="291" t="str">
        <f>IFERROR(VLOOKUP($D575,'Clients-Live'!$A:$C,3,0),"")</f>
        <v>SOKOLA SHARON</v>
      </c>
      <c r="F575" s="291">
        <f>IFERROR(INDEX(Disbursements!$D:$D,MATCH('Live Collections'!G575,Disbursements!$C:$C,0)),"")</f>
        <v>1</v>
      </c>
      <c r="G575" s="34">
        <v>48</v>
      </c>
      <c r="H575" s="34"/>
      <c r="I575" s="34" t="s">
        <v>1359</v>
      </c>
      <c r="J575" s="48"/>
      <c r="K575" s="48"/>
      <c r="L575" s="48"/>
      <c r="M575" s="48"/>
      <c r="N575" s="59"/>
      <c r="O575" s="59">
        <v>90000</v>
      </c>
      <c r="P575" s="59"/>
      <c r="Q575" s="268">
        <f t="shared" si="26"/>
        <v>90000</v>
      </c>
      <c r="R575" s="61">
        <f>IF(O575=0,0,SUMIFS(Disbursements!$T:$T,Disbursements!$B:$B,'Live Collections'!D575,Disbursements!$D:$D,'Live Collections'!F575))</f>
        <v>90000</v>
      </c>
      <c r="S575" s="304">
        <f>IF(O575&lt;=IF($O575=0,0,SUMIFS(Disbursements!$W:$W,Disbursements!$B:$B,'Live Collections'!D649,Disbursements!$D:$D,'Live Collections'!F649)),O575,IF($O575=0,0,SUMIFS(Disbursements!$W:$W,Disbursements!$B:$B,'Live Collections'!D649,Disbursements!$D:$D,'Live Collections'!F649)))</f>
        <v>15000</v>
      </c>
      <c r="T575" s="304">
        <f t="shared" si="27"/>
        <v>75000</v>
      </c>
      <c r="U575" s="52"/>
      <c r="V575" s="34"/>
      <c r="W575" s="408"/>
    </row>
    <row r="576" spans="1:23" ht="12.75" customHeight="1" x14ac:dyDescent="0.2">
      <c r="A576" s="132">
        <v>570</v>
      </c>
      <c r="B576" s="44">
        <v>44419</v>
      </c>
      <c r="C576" s="44">
        <f t="shared" si="25"/>
        <v>44419</v>
      </c>
      <c r="D576" s="374">
        <v>56</v>
      </c>
      <c r="E576" s="291" t="str">
        <f>IFERROR(VLOOKUP($D576,'Clients-Live'!$A:$C,3,0),"")</f>
        <v>ALOMO ZABIBU</v>
      </c>
      <c r="F576" s="291">
        <f>IFERROR(INDEX(Disbursements!$D:$D,MATCH('Live Collections'!G576,Disbursements!$C:$C,0)),"")</f>
        <v>1</v>
      </c>
      <c r="G576" s="34">
        <v>43</v>
      </c>
      <c r="H576" s="34">
        <v>1008</v>
      </c>
      <c r="I576" s="34" t="s">
        <v>1357</v>
      </c>
      <c r="J576" s="48"/>
      <c r="K576" s="48"/>
      <c r="L576" s="48"/>
      <c r="M576" s="48"/>
      <c r="N576" s="59"/>
      <c r="O576" s="59">
        <v>60000</v>
      </c>
      <c r="P576" s="59"/>
      <c r="Q576" s="268">
        <f t="shared" si="26"/>
        <v>60000</v>
      </c>
      <c r="R576" s="61">
        <f>IF(O576=0,0,SUMIFS(Disbursements!$T:$T,Disbursements!$B:$B,'Live Collections'!D576,Disbursements!$D:$D,'Live Collections'!F576))</f>
        <v>60000</v>
      </c>
      <c r="S576" s="304"/>
      <c r="T576" s="304">
        <f t="shared" si="27"/>
        <v>60000</v>
      </c>
      <c r="U576" s="52"/>
      <c r="V576" s="34"/>
      <c r="W576" s="408"/>
    </row>
    <row r="577" spans="1:23" ht="12.75" customHeight="1" x14ac:dyDescent="0.2">
      <c r="A577" s="257">
        <v>572</v>
      </c>
      <c r="B577" s="44">
        <v>44419</v>
      </c>
      <c r="C577" s="44">
        <f t="shared" si="25"/>
        <v>44419</v>
      </c>
      <c r="D577" s="374">
        <v>61</v>
      </c>
      <c r="E577" s="291" t="str">
        <f>IFERROR(VLOOKUP($D577,'Clients-Live'!$A:$C,3,0),"")</f>
        <v>AREDU RUKIA</v>
      </c>
      <c r="F577" s="291">
        <f>IFERROR(INDEX(Disbursements!$D:$D,MATCH('Live Collections'!G577,Disbursements!$C:$C,0)),"")</f>
        <v>1</v>
      </c>
      <c r="G577" s="34">
        <v>42</v>
      </c>
      <c r="H577" s="34"/>
      <c r="I577" s="34" t="s">
        <v>1359</v>
      </c>
      <c r="J577" s="48"/>
      <c r="K577" s="48"/>
      <c r="L577" s="48"/>
      <c r="M577" s="48"/>
      <c r="N577" s="59"/>
      <c r="O577" s="59">
        <v>90000</v>
      </c>
      <c r="P577" s="59"/>
      <c r="Q577" s="268">
        <f t="shared" si="26"/>
        <v>90000</v>
      </c>
      <c r="R577" s="61">
        <f>IF(O577=0,0,SUMIFS(Disbursements!$T:$T,Disbursements!$B:$B,'Live Collections'!D577,Disbursements!$D:$D,'Live Collections'!F577))</f>
        <v>90000</v>
      </c>
      <c r="S577" s="304">
        <f>IF(O577&lt;=IF($O577=0,0,SUMIFS(Disbursements!$W:$W,Disbursements!$B:$B,'Live Collections'!D733,Disbursements!$D:$D,'Live Collections'!F733)),O577,IF($O577=0,0,SUMIFS(Disbursements!$W:$W,Disbursements!$B:$B,'Live Collections'!D733,Disbursements!$D:$D,'Live Collections'!F733)))</f>
        <v>35000</v>
      </c>
      <c r="T577" s="304">
        <f t="shared" si="27"/>
        <v>55000</v>
      </c>
      <c r="U577" s="52"/>
      <c r="V577" s="34"/>
      <c r="W577" s="408"/>
    </row>
    <row r="578" spans="1:23" ht="12.75" customHeight="1" x14ac:dyDescent="0.2">
      <c r="A578" s="132">
        <v>574</v>
      </c>
      <c r="B578" s="44">
        <v>44419</v>
      </c>
      <c r="C578" s="44">
        <f t="shared" si="25"/>
        <v>44419</v>
      </c>
      <c r="D578" s="374">
        <v>63</v>
      </c>
      <c r="E578" s="291" t="str">
        <f>IFERROR(VLOOKUP($D578,'Clients-Live'!$A:$C,3,0),"")</f>
        <v>AWURU KADARA</v>
      </c>
      <c r="F578" s="291">
        <f>IFERROR(INDEX(Disbursements!$D:$D,MATCH('Live Collections'!G578,Disbursements!$C:$C,0)),"")</f>
        <v>1</v>
      </c>
      <c r="G578" s="34">
        <v>50</v>
      </c>
      <c r="H578" s="34"/>
      <c r="I578" s="34" t="s">
        <v>1357</v>
      </c>
      <c r="J578" s="48"/>
      <c r="K578" s="48"/>
      <c r="L578" s="48"/>
      <c r="M578" s="48"/>
      <c r="N578" s="59"/>
      <c r="O578" s="59">
        <v>390000</v>
      </c>
      <c r="P578" s="59"/>
      <c r="Q578" s="268">
        <f t="shared" si="26"/>
        <v>390000</v>
      </c>
      <c r="R578" s="61">
        <f>IF(O578=0,0,SUMIFS(Disbursements!$T:$T,Disbursements!$B:$B,'Live Collections'!D578,Disbursements!$D:$D,'Live Collections'!F578))</f>
        <v>100000</v>
      </c>
      <c r="S578" s="64">
        <v>65000</v>
      </c>
      <c r="T578" s="304">
        <f t="shared" si="27"/>
        <v>325000</v>
      </c>
      <c r="U578" s="52"/>
      <c r="V578" s="34"/>
      <c r="W578" s="408" t="s">
        <v>2086</v>
      </c>
    </row>
    <row r="579" spans="1:23" ht="12.75" customHeight="1" x14ac:dyDescent="0.2">
      <c r="A579" s="257">
        <v>575</v>
      </c>
      <c r="B579" s="44">
        <v>44419</v>
      </c>
      <c r="C579" s="44">
        <f t="shared" si="25"/>
        <v>44419</v>
      </c>
      <c r="D579" s="374">
        <v>64</v>
      </c>
      <c r="E579" s="291" t="str">
        <f>IFERROR(VLOOKUP($D579,'Clients-Live'!$A:$C,3,0),"")</f>
        <v>AKINO JUDITH</v>
      </c>
      <c r="F579" s="291">
        <f>IFERROR(INDEX(Disbursements!$D:$D,MATCH('Live Collections'!G579,Disbursements!$C:$C,0)),"")</f>
        <v>1</v>
      </c>
      <c r="G579" s="34">
        <v>40</v>
      </c>
      <c r="H579" s="34"/>
      <c r="I579" s="34" t="s">
        <v>1358</v>
      </c>
      <c r="J579" s="48"/>
      <c r="K579" s="48"/>
      <c r="L579" s="48"/>
      <c r="M579" s="48"/>
      <c r="N579" s="59"/>
      <c r="O579" s="59">
        <v>150000</v>
      </c>
      <c r="P579" s="59"/>
      <c r="Q579" s="268">
        <f t="shared" si="26"/>
        <v>150000</v>
      </c>
      <c r="R579" s="61">
        <f>IF(O579=0,0,SUMIFS(Disbursements!$T:$T,Disbursements!$B:$B,'Live Collections'!D579,Disbursements!$D:$D,'Live Collections'!F579))</f>
        <v>150000</v>
      </c>
      <c r="S579" s="304">
        <f>IF(O579&lt;=IF($O579=0,0,SUMIFS(Disbursements!$W:$W,Disbursements!$B:$B,'Live Collections'!D770,Disbursements!$D:$D,'Live Collections'!F770)),O579,IF($O579=0,0,SUMIFS(Disbursements!$W:$W,Disbursements!$B:$B,'Live Collections'!D770,Disbursements!$D:$D,'Live Collections'!F770)))</f>
        <v>0</v>
      </c>
      <c r="T579" s="304">
        <f t="shared" si="27"/>
        <v>150000</v>
      </c>
      <c r="U579" s="52"/>
      <c r="V579" s="34"/>
      <c r="W579" s="408"/>
    </row>
    <row r="580" spans="1:23" ht="12.75" customHeight="1" x14ac:dyDescent="0.2">
      <c r="A580" s="132">
        <v>573</v>
      </c>
      <c r="B580" s="44">
        <v>44419</v>
      </c>
      <c r="C580" s="44">
        <f t="shared" si="25"/>
        <v>44419</v>
      </c>
      <c r="D580" s="374">
        <v>109</v>
      </c>
      <c r="E580" s="291" t="str">
        <f>IFERROR(VLOOKUP($D580,'Clients-Live'!$A:$C,3,0),"")</f>
        <v>TABU KISA</v>
      </c>
      <c r="F580" s="291">
        <f>IFERROR(INDEX(Disbursements!$D:$D,MATCH('Live Collections'!G580,Disbursements!$C:$C,0)),"")</f>
        <v>1</v>
      </c>
      <c r="G580" s="34">
        <v>93</v>
      </c>
      <c r="H580" s="34"/>
      <c r="I580" s="34" t="s">
        <v>1357</v>
      </c>
      <c r="J580" s="48"/>
      <c r="K580" s="48"/>
      <c r="L580" s="48"/>
      <c r="M580" s="48"/>
      <c r="N580" s="59"/>
      <c r="O580" s="59">
        <v>40000</v>
      </c>
      <c r="P580" s="59"/>
      <c r="Q580" s="268">
        <f t="shared" si="26"/>
        <v>40000</v>
      </c>
      <c r="R580" s="61">
        <f>IF(O580=0,0,SUMIFS(Disbursements!$T:$T,Disbursements!$B:$B,'Live Collections'!D580,Disbursements!$D:$D,'Live Collections'!F580))</f>
        <v>315000</v>
      </c>
      <c r="S580" s="304">
        <v>-5666.666666666657</v>
      </c>
      <c r="T580" s="304">
        <f t="shared" si="27"/>
        <v>45666.666666666657</v>
      </c>
      <c r="U580" s="52"/>
      <c r="V580" s="34"/>
      <c r="W580" s="408"/>
    </row>
    <row r="581" spans="1:23" ht="12.75" customHeight="1" x14ac:dyDescent="0.2">
      <c r="A581" s="257">
        <v>571</v>
      </c>
      <c r="B581" s="44">
        <v>44419</v>
      </c>
      <c r="C581" s="44">
        <f t="shared" si="25"/>
        <v>44419</v>
      </c>
      <c r="D581" s="374">
        <v>121</v>
      </c>
      <c r="E581" s="291" t="str">
        <f>IFERROR(VLOOKUP($D581,'Clients-Live'!$A:$C,3,0),"")</f>
        <v>AMAYO CHARLES</v>
      </c>
      <c r="F581" s="291">
        <f>IFERROR(INDEX(Disbursements!$D:$D,MATCH('Live Collections'!G581,Disbursements!$C:$C,0)),"")</f>
        <v>1</v>
      </c>
      <c r="G581" s="34">
        <v>105</v>
      </c>
      <c r="H581" s="34"/>
      <c r="I581" s="34" t="s">
        <v>1358</v>
      </c>
      <c r="J581" s="48"/>
      <c r="K581" s="48"/>
      <c r="L581" s="48"/>
      <c r="M581" s="48"/>
      <c r="N581" s="59"/>
      <c r="O581" s="59">
        <v>100000</v>
      </c>
      <c r="P581" s="59"/>
      <c r="Q581" s="268">
        <f t="shared" si="26"/>
        <v>100000</v>
      </c>
      <c r="R581" s="61">
        <f>IF(O581=0,0,SUMIFS(Disbursements!$T:$T,Disbursements!$B:$B,'Live Collections'!D581,Disbursements!$D:$D,'Live Collections'!F581))</f>
        <v>240000</v>
      </c>
      <c r="S581" s="304">
        <f>IF(O581&lt;=IF($O581=0,0,SUMIFS(Disbursements!$W:$W,Disbursements!$B:$B,'Live Collections'!D1553,Disbursements!$D:$D,'Live Collections'!F1553)),O581,IF($O581=0,0,SUMIFS(Disbursements!$W:$W,Disbursements!$B:$B,'Live Collections'!D1553,Disbursements!$D:$D,'Live Collections'!F1553)))</f>
        <v>50333.333333333343</v>
      </c>
      <c r="T581" s="304">
        <f t="shared" si="27"/>
        <v>49666.666666666657</v>
      </c>
      <c r="U581" s="52"/>
      <c r="V581" s="34"/>
      <c r="W581" s="408"/>
    </row>
    <row r="582" spans="1:23" ht="12.75" customHeight="1" x14ac:dyDescent="0.2">
      <c r="A582" s="132">
        <v>567</v>
      </c>
      <c r="B582" s="44">
        <v>44419</v>
      </c>
      <c r="C582" s="44">
        <f t="shared" si="25"/>
        <v>44419</v>
      </c>
      <c r="D582" s="374">
        <v>179</v>
      </c>
      <c r="E582" s="291" t="str">
        <f>IFERROR(VLOOKUP($D582,'Clients-Live'!$A:$C,3,0),"")</f>
        <v>GERIA VIOLA</v>
      </c>
      <c r="F582" s="291">
        <f>IFERROR(INDEX(Disbursements!$D:$D,MATCH('Live Collections'!G582,Disbursements!$C:$C,0)),"")</f>
        <v>1</v>
      </c>
      <c r="G582" s="34">
        <v>167</v>
      </c>
      <c r="H582" s="34"/>
      <c r="I582" s="34" t="s">
        <v>862</v>
      </c>
      <c r="J582" s="48"/>
      <c r="K582" s="48"/>
      <c r="L582" s="48">
        <v>10000</v>
      </c>
      <c r="M582" s="48">
        <v>5000</v>
      </c>
      <c r="N582" s="59"/>
      <c r="O582" s="59"/>
      <c r="P582" s="59">
        <v>30000</v>
      </c>
      <c r="Q582" s="268">
        <f t="shared" si="26"/>
        <v>45000</v>
      </c>
      <c r="R582" s="61">
        <f>IF(O582=0,0,SUMIFS(Disbursements!$T:$T,Disbursements!$B:$B,'Live Collections'!D582,Disbursements!$D:$D,'Live Collections'!F582))</f>
        <v>0</v>
      </c>
      <c r="S582" s="304">
        <f>IF(O582&lt;=IF($O582=0,0,SUMIFS(Disbursements!$W:$W,Disbursements!$B:$B,'Live Collections'!D2185,Disbursements!$D:$D,'Live Collections'!F2185)),O582,IF($O582=0,0,SUMIFS(Disbursements!$W:$W,Disbursements!$B:$B,'Live Collections'!D2185,Disbursements!$D:$D,'Live Collections'!F2185)))</f>
        <v>0</v>
      </c>
      <c r="T582" s="304">
        <f t="shared" si="27"/>
        <v>0</v>
      </c>
      <c r="U582" s="52"/>
      <c r="V582" s="34"/>
      <c r="W582" s="408"/>
    </row>
    <row r="583" spans="1:23" ht="12.75" customHeight="1" x14ac:dyDescent="0.2">
      <c r="A583" s="257">
        <v>566</v>
      </c>
      <c r="B583" s="44">
        <v>44419</v>
      </c>
      <c r="C583" s="44">
        <f t="shared" si="25"/>
        <v>44419</v>
      </c>
      <c r="D583" s="374">
        <v>182</v>
      </c>
      <c r="E583" s="291" t="str">
        <f>IFERROR(VLOOKUP($D583,'Clients-Live'!$A:$C,3,0),"")</f>
        <v>ANITE ZAM</v>
      </c>
      <c r="F583" s="291" t="str">
        <f>IFERROR(INDEX(Disbursements!$D:$D,MATCH('Live Collections'!G583,Disbursements!$C:$C,0)),"")</f>
        <v/>
      </c>
      <c r="G583" s="34"/>
      <c r="H583" s="34"/>
      <c r="I583" s="34" t="s">
        <v>1814</v>
      </c>
      <c r="J583" s="48">
        <v>15000</v>
      </c>
      <c r="K583" s="48">
        <v>5000</v>
      </c>
      <c r="L583" s="48"/>
      <c r="M583" s="48"/>
      <c r="N583" s="59"/>
      <c r="O583" s="59"/>
      <c r="P583" s="59"/>
      <c r="Q583" s="268">
        <f t="shared" si="26"/>
        <v>20000</v>
      </c>
      <c r="R583" s="61">
        <f>IF(O583=0,0,SUMIFS(Disbursements!$T:$T,Disbursements!$B:$B,'Live Collections'!D583,Disbursements!$D:$D,'Live Collections'!F583))</f>
        <v>0</v>
      </c>
      <c r="S583" s="304">
        <f>IF(O583&lt;=IF($O583=0,0,SUMIFS(Disbursements!$W:$W,Disbursements!$B:$B,'Live Collections'!D2218,Disbursements!$D:$D,'Live Collections'!F2218)),O583,IF($O583=0,0,SUMIFS(Disbursements!$W:$W,Disbursements!$B:$B,'Live Collections'!D2218,Disbursements!$D:$D,'Live Collections'!F2218)))</f>
        <v>0</v>
      </c>
      <c r="T583" s="304">
        <f t="shared" si="27"/>
        <v>0</v>
      </c>
      <c r="U583" s="52"/>
      <c r="V583" s="34"/>
      <c r="W583" s="408" t="s">
        <v>1254</v>
      </c>
    </row>
    <row r="584" spans="1:23" ht="12.75" customHeight="1" x14ac:dyDescent="0.2">
      <c r="A584" s="132">
        <v>580</v>
      </c>
      <c r="B584" s="44">
        <v>44420</v>
      </c>
      <c r="C584" s="44">
        <f t="shared" ref="C584:C647" si="28">B584</f>
        <v>44420</v>
      </c>
      <c r="D584" s="374">
        <v>2</v>
      </c>
      <c r="E584" s="291" t="str">
        <f>IFERROR(VLOOKUP($D584,'Clients-Live'!$A:$C,3,0),"")</f>
        <v>LEYA ROSE</v>
      </c>
      <c r="F584" s="291">
        <f>IFERROR(INDEX(Disbursements!$D:$D,MATCH('Live Collections'!G584,Disbursements!$C:$C,0)),"")</f>
        <v>1</v>
      </c>
      <c r="G584" s="34">
        <v>4</v>
      </c>
      <c r="H584" s="34"/>
      <c r="I584" s="34" t="s">
        <v>1358</v>
      </c>
      <c r="J584" s="48"/>
      <c r="K584" s="48"/>
      <c r="L584" s="48"/>
      <c r="M584" s="48"/>
      <c r="N584" s="59"/>
      <c r="O584" s="59">
        <v>220000</v>
      </c>
      <c r="P584" s="59"/>
      <c r="Q584" s="268">
        <f t="shared" ref="Q584:Q647" si="29">SUM(J584:P584)</f>
        <v>220000</v>
      </c>
      <c r="R584" s="61">
        <f>IF(O584=0,0,SUMIFS(Disbursements!$T:$T,Disbursements!$B:$B,'Live Collections'!D584,Disbursements!$D:$D,'Live Collections'!F584))</f>
        <v>217000</v>
      </c>
      <c r="S584" s="304">
        <f>IF(O584&lt;=IF($O584=0,0,SUMIFS(Disbursements!$W:$W,Disbursements!$B:$B,'Live Collections'!D15,Disbursements!$D:$D,'Live Collections'!F15)),O584,IF($O584=0,0,SUMIFS(Disbursements!$W:$W,Disbursements!$B:$B,'Live Collections'!D15,Disbursements!$D:$D,'Live Collections'!F15)))</f>
        <v>0</v>
      </c>
      <c r="T584" s="304">
        <f t="shared" ref="T584:T647" si="30">IF(O584=0,0,O584-S584)</f>
        <v>220000</v>
      </c>
      <c r="U584" s="52"/>
      <c r="V584" s="34"/>
      <c r="W584" s="408"/>
    </row>
    <row r="585" spans="1:23" ht="12.75" customHeight="1" x14ac:dyDescent="0.2">
      <c r="A585" s="257">
        <v>581</v>
      </c>
      <c r="B585" s="44">
        <v>44420</v>
      </c>
      <c r="C585" s="44">
        <f t="shared" si="28"/>
        <v>44420</v>
      </c>
      <c r="D585" s="374">
        <v>33</v>
      </c>
      <c r="E585" s="291" t="str">
        <f>IFERROR(VLOOKUP($D585,'Clients-Live'!$A:$C,3,0),"")</f>
        <v>MUZEE OMAR</v>
      </c>
      <c r="F585" s="291">
        <f>IFERROR(INDEX(Disbursements!$D:$D,MATCH('Live Collections'!G585,Disbursements!$C:$C,0)),"")</f>
        <v>1</v>
      </c>
      <c r="G585" s="34">
        <v>26</v>
      </c>
      <c r="H585" s="34">
        <v>975</v>
      </c>
      <c r="I585" s="34" t="s">
        <v>1357</v>
      </c>
      <c r="J585" s="48"/>
      <c r="K585" s="48"/>
      <c r="L585" s="48"/>
      <c r="M585" s="48"/>
      <c r="N585" s="59"/>
      <c r="O585" s="59">
        <v>110000</v>
      </c>
      <c r="P585" s="59"/>
      <c r="Q585" s="268">
        <f t="shared" si="29"/>
        <v>110000</v>
      </c>
      <c r="R585" s="61">
        <f>IF(O585=0,0,SUMIFS(Disbursements!$T:$T,Disbursements!$B:$B,'Live Collections'!D585,Disbursements!$D:$D,'Live Collections'!F585))</f>
        <v>109000</v>
      </c>
      <c r="S585" s="304">
        <f>IF(O585&lt;=IF($O585=0,0,SUMIFS(Disbursements!$W:$W,Disbursements!$B:$B,'Live Collections'!D385,Disbursements!$D:$D,'Live Collections'!F385)),O585,IF($O585=0,0,SUMIFS(Disbursements!$W:$W,Disbursements!$B:$B,'Live Collections'!D385,Disbursements!$D:$D,'Live Collections'!F385)))</f>
        <v>0</v>
      </c>
      <c r="T585" s="304">
        <f t="shared" si="30"/>
        <v>110000</v>
      </c>
      <c r="U585" s="52"/>
      <c r="V585" s="34"/>
      <c r="W585" s="408"/>
    </row>
    <row r="586" spans="1:23" ht="12.75" customHeight="1" x14ac:dyDescent="0.2">
      <c r="A586" s="132">
        <v>583</v>
      </c>
      <c r="B586" s="44">
        <v>44420</v>
      </c>
      <c r="C586" s="44">
        <f t="shared" si="28"/>
        <v>44420</v>
      </c>
      <c r="D586" s="374">
        <v>47</v>
      </c>
      <c r="E586" s="291" t="str">
        <f>IFERROR(VLOOKUP($D586,'Clients-Live'!$A:$C,3,0),"")</f>
        <v>DAWA AMINA</v>
      </c>
      <c r="F586" s="291">
        <f>IFERROR(INDEX(Disbursements!$D:$D,MATCH('Live Collections'!G586,Disbursements!$C:$C,0)),"")</f>
        <v>1</v>
      </c>
      <c r="G586" s="34">
        <v>29</v>
      </c>
      <c r="H586" s="34"/>
      <c r="I586" s="34" t="s">
        <v>1357</v>
      </c>
      <c r="J586" s="48"/>
      <c r="K586" s="48"/>
      <c r="L586" s="48"/>
      <c r="M586" s="48"/>
      <c r="N586" s="59"/>
      <c r="O586" s="59">
        <v>43000</v>
      </c>
      <c r="P586" s="59"/>
      <c r="Q586" s="268">
        <f t="shared" si="29"/>
        <v>43000</v>
      </c>
      <c r="R586" s="61">
        <f>IF(O586=0,0,SUMIFS(Disbursements!$T:$T,Disbursements!$B:$B,'Live Collections'!D586,Disbursements!$D:$D,'Live Collections'!F586))</f>
        <v>0</v>
      </c>
      <c r="S586" s="304">
        <f>IF(O586&lt;=IF($O586=0,0,SUMIFS(Disbursements!$W:$W,Disbursements!$B:$B,'Live Collections'!D540,Disbursements!$D:$D,'Live Collections'!F540)),O586,IF($O586=0,0,SUMIFS(Disbursements!$W:$W,Disbursements!$B:$B,'Live Collections'!D540,Disbursements!$D:$D,'Live Collections'!F540)))</f>
        <v>0</v>
      </c>
      <c r="T586" s="304">
        <f t="shared" si="30"/>
        <v>43000</v>
      </c>
      <c r="U586" s="52"/>
      <c r="V586" s="34"/>
      <c r="W586" s="408"/>
    </row>
    <row r="587" spans="1:23" ht="12.75" customHeight="1" x14ac:dyDescent="0.2">
      <c r="A587" s="257">
        <v>585</v>
      </c>
      <c r="B587" s="44">
        <v>44420</v>
      </c>
      <c r="C587" s="44">
        <f t="shared" si="28"/>
        <v>44420</v>
      </c>
      <c r="D587" s="374">
        <v>74</v>
      </c>
      <c r="E587" s="291" t="str">
        <f>IFERROR(VLOOKUP($D587,'Clients-Live'!$A:$C,3,0),"")</f>
        <v>YUKUWE AISHA</v>
      </c>
      <c r="F587" s="291">
        <f>IFERROR(INDEX(Disbursements!$D:$D,MATCH('Live Collections'!G587,Disbursements!$C:$C,0)),"")</f>
        <v>1</v>
      </c>
      <c r="G587" s="34">
        <v>59</v>
      </c>
      <c r="H587" s="34">
        <v>968</v>
      </c>
      <c r="I587" s="34" t="s">
        <v>1358</v>
      </c>
      <c r="J587" s="48"/>
      <c r="K587" s="48"/>
      <c r="L587" s="48"/>
      <c r="M587" s="48"/>
      <c r="N587" s="59"/>
      <c r="O587" s="59">
        <v>90000</v>
      </c>
      <c r="P587" s="59"/>
      <c r="Q587" s="268">
        <f t="shared" si="29"/>
        <v>90000</v>
      </c>
      <c r="R587" s="61">
        <f>IF(O587=0,0,SUMIFS(Disbursements!$T:$T,Disbursements!$B:$B,'Live Collections'!D587,Disbursements!$D:$D,'Live Collections'!F587))</f>
        <v>90000</v>
      </c>
      <c r="S587" s="304">
        <v>7000</v>
      </c>
      <c r="T587" s="304">
        <f t="shared" si="30"/>
        <v>83000</v>
      </c>
      <c r="U587" s="52"/>
      <c r="V587" s="34"/>
      <c r="W587" s="408"/>
    </row>
    <row r="588" spans="1:23" ht="12.75" customHeight="1" x14ac:dyDescent="0.2">
      <c r="A588" s="132">
        <v>582</v>
      </c>
      <c r="B588" s="44">
        <v>44420</v>
      </c>
      <c r="C588" s="44">
        <f t="shared" si="28"/>
        <v>44420</v>
      </c>
      <c r="D588" s="374">
        <v>76</v>
      </c>
      <c r="E588" s="291" t="str">
        <f>IFERROR(VLOOKUP($D588,'Clients-Live'!$A:$C,3,0),"")</f>
        <v>DAWA AISHA</v>
      </c>
      <c r="F588" s="291">
        <f>IFERROR(INDEX(Disbursements!$D:$D,MATCH('Live Collections'!G588,Disbursements!$C:$C,0)),"")</f>
        <v>1</v>
      </c>
      <c r="G588" s="34">
        <v>58</v>
      </c>
      <c r="H588" s="34"/>
      <c r="I588" s="34" t="s">
        <v>1358</v>
      </c>
      <c r="J588" s="48"/>
      <c r="K588" s="48"/>
      <c r="L588" s="48"/>
      <c r="M588" s="48"/>
      <c r="N588" s="59"/>
      <c r="O588" s="59">
        <v>90000</v>
      </c>
      <c r="P588" s="59"/>
      <c r="Q588" s="268">
        <f t="shared" si="29"/>
        <v>90000</v>
      </c>
      <c r="R588" s="61">
        <f>IF(O588=0,0,SUMIFS(Disbursements!$T:$T,Disbursements!$B:$B,'Live Collections'!D588,Disbursements!$D:$D,'Live Collections'!F588))</f>
        <v>90000</v>
      </c>
      <c r="S588" s="64">
        <v>60000</v>
      </c>
      <c r="T588" s="304">
        <f t="shared" si="30"/>
        <v>30000</v>
      </c>
      <c r="U588" s="52"/>
      <c r="V588" s="34"/>
      <c r="W588" s="408"/>
    </row>
    <row r="589" spans="1:23" ht="12.75" customHeight="1" x14ac:dyDescent="0.2">
      <c r="A589" s="257">
        <v>578</v>
      </c>
      <c r="B589" s="44">
        <v>44420</v>
      </c>
      <c r="C589" s="44">
        <f t="shared" si="28"/>
        <v>44420</v>
      </c>
      <c r="D589" s="374">
        <v>88</v>
      </c>
      <c r="E589" s="291" t="str">
        <f>IFERROR(VLOOKUP($D589,'Clients-Live'!$A:$C,3,0),"")</f>
        <v>FAIDA HARRIET</v>
      </c>
      <c r="F589" s="291">
        <f>IFERROR(INDEX(Disbursements!$D:$D,MATCH('Live Collections'!G589,Disbursements!$C:$C,0)),"")</f>
        <v>2</v>
      </c>
      <c r="G589" s="34">
        <v>169</v>
      </c>
      <c r="H589" s="34"/>
      <c r="I589" s="34" t="s">
        <v>863</v>
      </c>
      <c r="J589" s="48"/>
      <c r="K589" s="48"/>
      <c r="L589" s="48">
        <v>10000</v>
      </c>
      <c r="M589" s="48">
        <v>5000</v>
      </c>
      <c r="N589" s="59"/>
      <c r="O589" s="59"/>
      <c r="P589" s="59">
        <v>30000</v>
      </c>
      <c r="Q589" s="268">
        <f t="shared" si="29"/>
        <v>45000</v>
      </c>
      <c r="R589" s="61">
        <f>IF(O589=0,0,SUMIFS(Disbursements!$T:$T,Disbursements!$B:$B,'Live Collections'!D589,Disbursements!$D:$D,'Live Collections'!F589))</f>
        <v>0</v>
      </c>
      <c r="S589" s="304">
        <f>IF(O589&lt;=IF($O589=0,0,SUMIFS(Disbursements!$W:$W,Disbursements!$B:$B,'Live Collections'!D1138,Disbursements!$D:$D,'Live Collections'!F1138)),O589,IF($O589=0,0,SUMIFS(Disbursements!$W:$W,Disbursements!$B:$B,'Live Collections'!D1138,Disbursements!$D:$D,'Live Collections'!F1138)))</f>
        <v>0</v>
      </c>
      <c r="T589" s="304">
        <f t="shared" si="30"/>
        <v>0</v>
      </c>
      <c r="U589" s="52"/>
      <c r="V589" s="34"/>
      <c r="W589" s="408"/>
    </row>
    <row r="590" spans="1:23" ht="12.75" customHeight="1" x14ac:dyDescent="0.2">
      <c r="A590" s="132">
        <v>584</v>
      </c>
      <c r="B590" s="44">
        <v>44420</v>
      </c>
      <c r="C590" s="44">
        <f t="shared" si="28"/>
        <v>44420</v>
      </c>
      <c r="D590" s="374">
        <v>95</v>
      </c>
      <c r="E590" s="291" t="str">
        <f>IFERROR(VLOOKUP($D590,'Clients-Live'!$A:$C,3,0),"")</f>
        <v>MUNDURU SIFA</v>
      </c>
      <c r="F590" s="291">
        <f>IFERROR(INDEX(Disbursements!$D:$D,MATCH('Live Collections'!G590,Disbursements!$C:$C,0)),"")</f>
        <v>1</v>
      </c>
      <c r="G590" s="34">
        <v>76</v>
      </c>
      <c r="H590" s="34"/>
      <c r="I590" s="34" t="s">
        <v>1357</v>
      </c>
      <c r="J590" s="48"/>
      <c r="K590" s="48"/>
      <c r="L590" s="48"/>
      <c r="M590" s="48"/>
      <c r="N590" s="59"/>
      <c r="O590" s="59">
        <v>40000</v>
      </c>
      <c r="P590" s="59"/>
      <c r="Q590" s="268">
        <f t="shared" si="29"/>
        <v>40000</v>
      </c>
      <c r="R590" s="61">
        <f>IF(O590=0,0,SUMIFS(Disbursements!$T:$T,Disbursements!$B:$B,'Live Collections'!D590,Disbursements!$D:$D,'Live Collections'!F590))</f>
        <v>175000</v>
      </c>
      <c r="S590" s="304">
        <f>IF(O590&lt;=IF($O590=0,0,SUMIFS(Disbursements!$W:$W,Disbursements!$B:$B,'Live Collections'!D1225,Disbursements!$D:$D,'Live Collections'!F1225)),O590,IF($O590=0,0,SUMIFS(Disbursements!$W:$W,Disbursements!$B:$B,'Live Collections'!D1225,Disbursements!$D:$D,'Live Collections'!F1225)))</f>
        <v>40000</v>
      </c>
      <c r="T590" s="304">
        <f t="shared" si="30"/>
        <v>0</v>
      </c>
      <c r="U590" s="52"/>
      <c r="V590" s="34"/>
      <c r="W590" s="408"/>
    </row>
    <row r="591" spans="1:23" ht="12.75" customHeight="1" x14ac:dyDescent="0.2">
      <c r="A591" s="257">
        <v>587</v>
      </c>
      <c r="B591" s="44">
        <v>44420</v>
      </c>
      <c r="C591" s="44">
        <f t="shared" si="28"/>
        <v>44420</v>
      </c>
      <c r="D591" s="374">
        <v>127</v>
      </c>
      <c r="E591" s="291" t="str">
        <f>IFERROR(VLOOKUP($D591,'Clients-Live'!$A:$C,3,0),"")</f>
        <v>TIKO RUKIA</v>
      </c>
      <c r="F591" s="291">
        <f>IFERROR(INDEX(Disbursements!$D:$D,MATCH('Live Collections'!G591,Disbursements!$C:$C,0)),"")</f>
        <v>1</v>
      </c>
      <c r="G591" s="34">
        <v>110</v>
      </c>
      <c r="H591" s="34"/>
      <c r="I591" s="34" t="s">
        <v>1358</v>
      </c>
      <c r="J591" s="48"/>
      <c r="K591" s="48"/>
      <c r="L591" s="48"/>
      <c r="M591" s="48"/>
      <c r="N591" s="59"/>
      <c r="O591" s="59">
        <v>100000</v>
      </c>
      <c r="P591" s="59"/>
      <c r="Q591" s="268">
        <f t="shared" si="29"/>
        <v>100000</v>
      </c>
      <c r="R591" s="61">
        <f>IF(O591=0,0,SUMIFS(Disbursements!$T:$T,Disbursements!$B:$B,'Live Collections'!D591,Disbursements!$D:$D,'Live Collections'!F591))</f>
        <v>154000</v>
      </c>
      <c r="S591" s="304">
        <f>IF(O591&lt;=IF($O591=0,0,SUMIFS(Disbursements!$W:$W,Disbursements!$B:$B,'Live Collections'!D1610,Disbursements!$D:$D,'Live Collections'!F1610)),O591,IF($O591=0,0,SUMIFS(Disbursements!$W:$W,Disbursements!$B:$B,'Live Collections'!D1610,Disbursements!$D:$D,'Live Collections'!F1610)))</f>
        <v>30000</v>
      </c>
      <c r="T591" s="304">
        <f t="shared" si="30"/>
        <v>70000</v>
      </c>
      <c r="U591" s="52"/>
      <c r="V591" s="34"/>
      <c r="W591" s="408"/>
    </row>
    <row r="592" spans="1:23" ht="12.75" customHeight="1" x14ac:dyDescent="0.2">
      <c r="A592" s="132">
        <v>586</v>
      </c>
      <c r="B592" s="44">
        <v>44420</v>
      </c>
      <c r="C592" s="44">
        <f t="shared" si="28"/>
        <v>44420</v>
      </c>
      <c r="D592" s="374">
        <v>164</v>
      </c>
      <c r="E592" s="291" t="str">
        <f>IFERROR(VLOOKUP($D592,'Clients-Live'!$A:$C,3,0),"")</f>
        <v>ARIKE SWAIB</v>
      </c>
      <c r="F592" s="291">
        <f>IFERROR(INDEX(Disbursements!$D:$D,MATCH('Live Collections'!G592,Disbursements!$C:$C,0)),"")</f>
        <v>1</v>
      </c>
      <c r="G592" s="34">
        <v>154</v>
      </c>
      <c r="H592" s="34"/>
      <c r="I592" s="34" t="s">
        <v>1357</v>
      </c>
      <c r="J592" s="48"/>
      <c r="K592" s="48"/>
      <c r="L592" s="48"/>
      <c r="M592" s="48"/>
      <c r="N592" s="59"/>
      <c r="O592" s="59">
        <v>141000</v>
      </c>
      <c r="P592" s="59"/>
      <c r="Q592" s="268">
        <f t="shared" si="29"/>
        <v>141000</v>
      </c>
      <c r="R592" s="61">
        <f>IF(O592=0,0,SUMIFS(Disbursements!$T:$T,Disbursements!$B:$B,'Live Collections'!D592,Disbursements!$D:$D,'Live Collections'!F592))</f>
        <v>109000</v>
      </c>
      <c r="S592" s="304">
        <f>IF(O592&lt;=IF($O592=0,0,SUMIFS(Disbursements!$W:$W,Disbursements!$B:$B,'Live Collections'!D2024,Disbursements!$D:$D,'Live Collections'!F2024)),O592,IF($O592=0,0,SUMIFS(Disbursements!$W:$W,Disbursements!$B:$B,'Live Collections'!D2024,Disbursements!$D:$D,'Live Collections'!F2024)))</f>
        <v>30000</v>
      </c>
      <c r="T592" s="304">
        <f t="shared" si="30"/>
        <v>111000</v>
      </c>
      <c r="U592" s="52"/>
      <c r="V592" s="34"/>
      <c r="W592" s="408"/>
    </row>
    <row r="593" spans="1:23" ht="12.75" customHeight="1" x14ac:dyDescent="0.2">
      <c r="A593" s="257">
        <v>579</v>
      </c>
      <c r="B593" s="44">
        <v>44420</v>
      </c>
      <c r="C593" s="44">
        <f t="shared" si="28"/>
        <v>44420</v>
      </c>
      <c r="D593" s="374">
        <v>181</v>
      </c>
      <c r="E593" s="291" t="str">
        <f>IFERROR(VLOOKUP($D593,'Clients-Live'!$A:$C,3,0),"")</f>
        <v>LEKURU CHRISTINE</v>
      </c>
      <c r="F593" s="291">
        <f>IFERROR(INDEX(Disbursements!$D:$D,MATCH('Live Collections'!G593,Disbursements!$C:$C,0)),"")</f>
        <v>1</v>
      </c>
      <c r="G593" s="34">
        <v>168</v>
      </c>
      <c r="H593" s="34"/>
      <c r="I593" s="34" t="s">
        <v>863</v>
      </c>
      <c r="J593" s="48"/>
      <c r="K593" s="48"/>
      <c r="L593" s="48">
        <v>10000</v>
      </c>
      <c r="M593" s="48">
        <v>5000</v>
      </c>
      <c r="N593" s="59"/>
      <c r="O593" s="59"/>
      <c r="P593" s="59">
        <v>30000</v>
      </c>
      <c r="Q593" s="268">
        <f t="shared" si="29"/>
        <v>45000</v>
      </c>
      <c r="R593" s="61">
        <f>IF(O593=0,0,SUMIFS(Disbursements!$T:$T,Disbursements!$B:$B,'Live Collections'!D593,Disbursements!$D:$D,'Live Collections'!F593))</f>
        <v>0</v>
      </c>
      <c r="S593" s="304">
        <f>IF(O593&lt;=IF($O593=0,0,SUMIFS(Disbursements!$W:$W,Disbursements!$B:$B,'Live Collections'!D2208,Disbursements!$D:$D,'Live Collections'!F2208)),O593,IF($O593=0,0,SUMIFS(Disbursements!$W:$W,Disbursements!$B:$B,'Live Collections'!D2208,Disbursements!$D:$D,'Live Collections'!F2208)))</f>
        <v>0</v>
      </c>
      <c r="T593" s="304">
        <f t="shared" si="30"/>
        <v>0</v>
      </c>
      <c r="U593" s="52"/>
      <c r="V593" s="34"/>
      <c r="W593" s="408"/>
    </row>
    <row r="594" spans="1:23" ht="12.75" customHeight="1" x14ac:dyDescent="0.2">
      <c r="A594" s="132">
        <v>576</v>
      </c>
      <c r="B594" s="44">
        <v>44420</v>
      </c>
      <c r="C594" s="44">
        <f t="shared" si="28"/>
        <v>44420</v>
      </c>
      <c r="D594" s="374">
        <v>183</v>
      </c>
      <c r="E594" s="291" t="str">
        <f>IFERROR(VLOOKUP($D594,'Clients-Live'!$A:$C,3,0),"")</f>
        <v>NIGHT AMINA HUSSEIN</v>
      </c>
      <c r="F594" s="291" t="str">
        <f>IFERROR(INDEX(Disbursements!$D:$D,MATCH('Live Collections'!G594,Disbursements!$C:$C,0)),"")</f>
        <v/>
      </c>
      <c r="G594" s="34"/>
      <c r="H594" s="34"/>
      <c r="I594" s="34" t="s">
        <v>1814</v>
      </c>
      <c r="J594" s="48">
        <v>15000</v>
      </c>
      <c r="K594" s="48">
        <v>5000</v>
      </c>
      <c r="L594" s="48"/>
      <c r="M594" s="48"/>
      <c r="N594" s="59"/>
      <c r="O594" s="59"/>
      <c r="P594" s="59"/>
      <c r="Q594" s="268">
        <f t="shared" si="29"/>
        <v>20000</v>
      </c>
      <c r="R594" s="61">
        <f>IF(O594=0,0,SUMIFS(Disbursements!$T:$T,Disbursements!$B:$B,'Live Collections'!D594,Disbursements!$D:$D,'Live Collections'!F594))</f>
        <v>0</v>
      </c>
      <c r="S594" s="304">
        <f>IF(O594&lt;=IF($O594=0,0,SUMIFS(Disbursements!$W:$W,Disbursements!$B:$B,'Live Collections'!D2229,Disbursements!$D:$D,'Live Collections'!F2229)),O594,IF($O594=0,0,SUMIFS(Disbursements!$W:$W,Disbursements!$B:$B,'Live Collections'!D2229,Disbursements!$D:$D,'Live Collections'!F2229)))</f>
        <v>0</v>
      </c>
      <c r="T594" s="304">
        <f t="shared" si="30"/>
        <v>0</v>
      </c>
      <c r="U594" s="52">
        <v>781501152</v>
      </c>
      <c r="V594" s="34"/>
      <c r="W594" s="408" t="s">
        <v>1254</v>
      </c>
    </row>
    <row r="595" spans="1:23" ht="12.75" customHeight="1" x14ac:dyDescent="0.2">
      <c r="A595" s="257">
        <v>577</v>
      </c>
      <c r="B595" s="44">
        <v>44420</v>
      </c>
      <c r="C595" s="44">
        <f t="shared" si="28"/>
        <v>44420</v>
      </c>
      <c r="D595" s="374">
        <v>184</v>
      </c>
      <c r="E595" s="291" t="str">
        <f>IFERROR(VLOOKUP($D595,'Clients-Live'!$A:$C,3,0),"")</f>
        <v>OCOKORU GLORIA</v>
      </c>
      <c r="F595" s="291" t="str">
        <f>IFERROR(INDEX(Disbursements!$D:$D,MATCH('Live Collections'!G595,Disbursements!$C:$C,0)),"")</f>
        <v/>
      </c>
      <c r="G595" s="34"/>
      <c r="H595" s="34"/>
      <c r="I595" s="34" t="s">
        <v>1814</v>
      </c>
      <c r="J595" s="48">
        <v>15000</v>
      </c>
      <c r="K595" s="48">
        <v>5000</v>
      </c>
      <c r="L595" s="48"/>
      <c r="M595" s="48"/>
      <c r="N595" s="59"/>
      <c r="O595" s="59"/>
      <c r="P595" s="59"/>
      <c r="Q595" s="268">
        <f t="shared" si="29"/>
        <v>20000</v>
      </c>
      <c r="R595" s="61">
        <f>IF(O595=0,0,SUMIFS(Disbursements!$T:$T,Disbursements!$B:$B,'Live Collections'!D595,Disbursements!$D:$D,'Live Collections'!F595))</f>
        <v>0</v>
      </c>
      <c r="S595" s="304">
        <f>IF(O595&lt;=IF($O595=0,0,SUMIFS(Disbursements!$W:$W,Disbursements!$B:$B,'Live Collections'!D2237,Disbursements!$D:$D,'Live Collections'!F2237)),O595,IF($O595=0,0,SUMIFS(Disbursements!$W:$W,Disbursements!$B:$B,'Live Collections'!D2237,Disbursements!$D:$D,'Live Collections'!F2237)))</f>
        <v>0</v>
      </c>
      <c r="T595" s="304">
        <f t="shared" si="30"/>
        <v>0</v>
      </c>
      <c r="U595" s="52">
        <v>784437253</v>
      </c>
      <c r="V595" s="34"/>
      <c r="W595" s="408" t="s">
        <v>1254</v>
      </c>
    </row>
    <row r="596" spans="1:23" ht="12.75" customHeight="1" x14ac:dyDescent="0.2">
      <c r="A596" s="132">
        <v>589</v>
      </c>
      <c r="B596" s="44">
        <v>44421</v>
      </c>
      <c r="C596" s="44">
        <f t="shared" si="28"/>
        <v>44421</v>
      </c>
      <c r="D596" s="374">
        <v>48</v>
      </c>
      <c r="E596" s="291" t="str">
        <f>IFERROR(VLOOKUP($D596,'Clients-Live'!$A:$C,3,0),"")</f>
        <v>BAKO KASIA</v>
      </c>
      <c r="F596" s="291">
        <f>IFERROR(INDEX(Disbursements!$D:$D,MATCH('Live Collections'!G596,Disbursements!$C:$C,0)),"")</f>
        <v>1</v>
      </c>
      <c r="G596" s="34">
        <v>32</v>
      </c>
      <c r="H596" s="34"/>
      <c r="I596" s="34" t="s">
        <v>1358</v>
      </c>
      <c r="J596" s="48"/>
      <c r="K596" s="48"/>
      <c r="L596" s="48"/>
      <c r="M596" s="48"/>
      <c r="N596" s="59"/>
      <c r="O596" s="59">
        <v>10000</v>
      </c>
      <c r="P596" s="59"/>
      <c r="Q596" s="268">
        <f t="shared" si="29"/>
        <v>10000</v>
      </c>
      <c r="R596" s="61">
        <f>IF(O596=0,0,SUMIFS(Disbursements!$T:$T,Disbursements!$B:$B,'Live Collections'!D596,Disbursements!$D:$D,'Live Collections'!F596))</f>
        <v>150000</v>
      </c>
      <c r="S596" s="304">
        <f>IF(O596&lt;=IF($O596=0,0,SUMIFS(Disbursements!$W:$W,Disbursements!$B:$B,'Live Collections'!D551,Disbursements!$D:$D,'Live Collections'!F551)),O596,IF($O596=0,0,SUMIFS(Disbursements!$W:$W,Disbursements!$B:$B,'Live Collections'!D551,Disbursements!$D:$D,'Live Collections'!F551)))</f>
        <v>10000</v>
      </c>
      <c r="T596" s="304">
        <f t="shared" si="30"/>
        <v>0</v>
      </c>
      <c r="U596" s="52"/>
      <c r="V596" s="34"/>
      <c r="W596" s="408"/>
    </row>
    <row r="597" spans="1:23" ht="12.75" customHeight="1" x14ac:dyDescent="0.2">
      <c r="A597" s="257">
        <v>590</v>
      </c>
      <c r="B597" s="44">
        <v>44421</v>
      </c>
      <c r="C597" s="44">
        <f t="shared" si="28"/>
        <v>44421</v>
      </c>
      <c r="D597" s="374">
        <v>67</v>
      </c>
      <c r="E597" s="291" t="str">
        <f>IFERROR(VLOOKUP($D597,'Clients-Live'!$A:$C,3,0),"")</f>
        <v>KEBITA SAUDA</v>
      </c>
      <c r="F597" s="291">
        <f>IFERROR(INDEX(Disbursements!$D:$D,MATCH('Live Collections'!G597,Disbursements!$C:$C,0)),"")</f>
        <v>1</v>
      </c>
      <c r="G597" s="34">
        <v>49</v>
      </c>
      <c r="H597" s="34"/>
      <c r="I597" s="34" t="s">
        <v>1358</v>
      </c>
      <c r="J597" s="48"/>
      <c r="K597" s="48"/>
      <c r="L597" s="48"/>
      <c r="M597" s="48"/>
      <c r="N597" s="59"/>
      <c r="O597" s="59">
        <v>150000</v>
      </c>
      <c r="P597" s="59"/>
      <c r="Q597" s="268">
        <f t="shared" si="29"/>
        <v>150000</v>
      </c>
      <c r="R597" s="61">
        <f>IF(O597=0,0,SUMIFS(Disbursements!$T:$T,Disbursements!$B:$B,'Live Collections'!D597,Disbursements!$D:$D,'Live Collections'!F597))</f>
        <v>150000</v>
      </c>
      <c r="S597" s="304">
        <f>IF(O597&lt;=IF($O597=0,0,SUMIFS(Disbursements!$W:$W,Disbursements!$B:$B,'Live Collections'!D828,Disbursements!$D:$D,'Live Collections'!F828)),O597,IF($O597=0,0,SUMIFS(Disbursements!$W:$W,Disbursements!$B:$B,'Live Collections'!D828,Disbursements!$D:$D,'Live Collections'!F828)))</f>
        <v>35000</v>
      </c>
      <c r="T597" s="304">
        <f t="shared" si="30"/>
        <v>115000</v>
      </c>
      <c r="U597" s="52"/>
      <c r="V597" s="34"/>
      <c r="W597" s="408"/>
    </row>
    <row r="598" spans="1:23" ht="12.75" customHeight="1" x14ac:dyDescent="0.2">
      <c r="A598" s="132">
        <v>588</v>
      </c>
      <c r="B598" s="44">
        <v>44421</v>
      </c>
      <c r="C598" s="44">
        <f t="shared" si="28"/>
        <v>44421</v>
      </c>
      <c r="D598" s="374">
        <v>106</v>
      </c>
      <c r="E598" s="291" t="str">
        <f>IFERROR(VLOOKUP($D598,'Clients-Live'!$A:$C,3,0),"")</f>
        <v>ORODRIYO  NUSURA</v>
      </c>
      <c r="F598" s="291">
        <f>IFERROR(INDEX(Disbursements!$D:$D,MATCH('Live Collections'!G598,Disbursements!$C:$C,0)),"")</f>
        <v>1</v>
      </c>
      <c r="G598" s="34">
        <v>89</v>
      </c>
      <c r="H598" s="34">
        <v>981</v>
      </c>
      <c r="I598" s="34" t="s">
        <v>1357</v>
      </c>
      <c r="J598" s="48"/>
      <c r="K598" s="48"/>
      <c r="L598" s="48"/>
      <c r="M598" s="48"/>
      <c r="N598" s="59"/>
      <c r="O598" s="59">
        <v>30000</v>
      </c>
      <c r="P598" s="59"/>
      <c r="Q598" s="268">
        <f t="shared" si="29"/>
        <v>30000</v>
      </c>
      <c r="R598" s="61">
        <f>IF(O598=0,0,SUMIFS(Disbursements!$T:$T,Disbursements!$B:$B,'Live Collections'!D598,Disbursements!$D:$D,'Live Collections'!F598))</f>
        <v>20000</v>
      </c>
      <c r="S598" s="304">
        <f>IF(O598&lt;=IF($O598=0,0,SUMIFS(Disbursements!$W:$W,Disbursements!$B:$B,'Live Collections'!D1731,Disbursements!$D:$D,'Live Collections'!F1731)),O598,IF($O598=0,0,SUMIFS(Disbursements!$W:$W,Disbursements!$B:$B,'Live Collections'!D1731,Disbursements!$D:$D,'Live Collections'!F1731)))</f>
        <v>0</v>
      </c>
      <c r="T598" s="304">
        <f t="shared" si="30"/>
        <v>30000</v>
      </c>
      <c r="U598" s="52"/>
      <c r="V598" s="34"/>
      <c r="W598" s="408"/>
    </row>
    <row r="599" spans="1:23" ht="12.75" customHeight="1" x14ac:dyDescent="0.2">
      <c r="A599" s="257">
        <v>591</v>
      </c>
      <c r="B599" s="44">
        <v>44421</v>
      </c>
      <c r="C599" s="44">
        <f t="shared" si="28"/>
        <v>44421</v>
      </c>
      <c r="D599" s="374">
        <v>123</v>
      </c>
      <c r="E599" s="291" t="str">
        <f>IFERROR(VLOOKUP($D599,'Clients-Live'!$A:$C,3,0),"")</f>
        <v>INZIKURU JANET</v>
      </c>
      <c r="F599" s="291">
        <f>IFERROR(INDEX(Disbursements!$D:$D,MATCH('Live Collections'!G599,Disbursements!$C:$C,0)),"")</f>
        <v>1</v>
      </c>
      <c r="G599" s="34">
        <v>107</v>
      </c>
      <c r="H599" s="34"/>
      <c r="I599" s="34" t="s">
        <v>1358</v>
      </c>
      <c r="J599" s="48"/>
      <c r="K599" s="48"/>
      <c r="L599" s="48"/>
      <c r="M599" s="48"/>
      <c r="N599" s="59"/>
      <c r="O599" s="59">
        <v>110000</v>
      </c>
      <c r="P599" s="59"/>
      <c r="Q599" s="268">
        <f t="shared" si="29"/>
        <v>110000</v>
      </c>
      <c r="R599" s="61">
        <f>IF(O599=0,0,SUMIFS(Disbursements!$T:$T,Disbursements!$B:$B,'Live Collections'!D599,Disbursements!$D:$D,'Live Collections'!F599))</f>
        <v>150000</v>
      </c>
      <c r="S599" s="304">
        <f>IF(O599&lt;=IF($O599=0,0,SUMIFS(Disbursements!$W:$W,Disbursements!$B:$B,'Live Collections'!D1562,Disbursements!$D:$D,'Live Collections'!F1562)),O599,IF($O599=0,0,SUMIFS(Disbursements!$W:$W,Disbursements!$B:$B,'Live Collections'!D1562,Disbursements!$D:$D,'Live Collections'!F1562)))</f>
        <v>30000</v>
      </c>
      <c r="T599" s="304">
        <f t="shared" si="30"/>
        <v>80000</v>
      </c>
      <c r="U599" s="52"/>
      <c r="V599" s="34"/>
      <c r="W599" s="408"/>
    </row>
    <row r="600" spans="1:23" ht="12.75" customHeight="1" x14ac:dyDescent="0.2">
      <c r="A600" s="132">
        <v>593</v>
      </c>
      <c r="B600" s="44">
        <v>44422</v>
      </c>
      <c r="C600" s="44">
        <f t="shared" si="28"/>
        <v>44422</v>
      </c>
      <c r="D600" s="374">
        <v>71</v>
      </c>
      <c r="E600" s="291" t="str">
        <f>IFERROR(VLOOKUP($D600,'Clients-Live'!$A:$C,3,0),"")</f>
        <v>AYIKORU HARIET BAUDI</v>
      </c>
      <c r="F600" s="291">
        <f>IFERROR(INDEX(Disbursements!$D:$D,MATCH('Live Collections'!G600,Disbursements!$C:$C,0)),"")</f>
        <v>1</v>
      </c>
      <c r="G600" s="34">
        <v>56</v>
      </c>
      <c r="H600" s="34"/>
      <c r="I600" s="34" t="s">
        <v>1359</v>
      </c>
      <c r="J600" s="48"/>
      <c r="K600" s="48"/>
      <c r="L600" s="48"/>
      <c r="M600" s="48"/>
      <c r="N600" s="59"/>
      <c r="O600" s="59">
        <v>325000</v>
      </c>
      <c r="P600" s="59"/>
      <c r="Q600" s="268">
        <f t="shared" si="29"/>
        <v>325000</v>
      </c>
      <c r="R600" s="61">
        <f>IF(O600=0,0,SUMIFS(Disbursements!$T:$T,Disbursements!$B:$B,'Live Collections'!D600,Disbursements!$D:$D,'Live Collections'!F600))</f>
        <v>325000</v>
      </c>
      <c r="S600" s="304">
        <f>IF(O600&lt;=IF($O600=0,0,SUMIFS(Disbursements!$W:$W,Disbursements!$B:$B,'Live Collections'!D888,Disbursements!$D:$D,'Live Collections'!F888)),O600,IF($O600=0,0,SUMIFS(Disbursements!$W:$W,Disbursements!$B:$B,'Live Collections'!D888,Disbursements!$D:$D,'Live Collections'!F888)))</f>
        <v>13000</v>
      </c>
      <c r="T600" s="304">
        <f t="shared" si="30"/>
        <v>312000</v>
      </c>
      <c r="U600" s="52"/>
      <c r="V600" s="34"/>
      <c r="W600" s="408"/>
    </row>
    <row r="601" spans="1:23" ht="12.75" customHeight="1" x14ac:dyDescent="0.2">
      <c r="A601" s="257">
        <v>592</v>
      </c>
      <c r="B601" s="44">
        <v>44422</v>
      </c>
      <c r="C601" s="44">
        <f t="shared" si="28"/>
        <v>44422</v>
      </c>
      <c r="D601" s="374">
        <v>73</v>
      </c>
      <c r="E601" s="291" t="str">
        <f>IFERROR(VLOOKUP($D601,'Clients-Live'!$A:$C,3,0),"")</f>
        <v>AJONYE DEBORA</v>
      </c>
      <c r="F601" s="291">
        <f>IFERROR(INDEX(Disbursements!$D:$D,MATCH('Live Collections'!G601,Disbursements!$C:$C,0)),"")</f>
        <v>1</v>
      </c>
      <c r="G601" s="34">
        <v>54</v>
      </c>
      <c r="H601" s="34"/>
      <c r="I601" s="34" t="s">
        <v>1357</v>
      </c>
      <c r="J601" s="48"/>
      <c r="K601" s="48"/>
      <c r="L601" s="48"/>
      <c r="M601" s="48"/>
      <c r="N601" s="59"/>
      <c r="O601" s="59">
        <v>150000</v>
      </c>
      <c r="P601" s="59"/>
      <c r="Q601" s="268">
        <f t="shared" si="29"/>
        <v>150000</v>
      </c>
      <c r="R601" s="61">
        <f>IF(O601=0,0,SUMIFS(Disbursements!$T:$T,Disbursements!$B:$B,'Live Collections'!D601,Disbursements!$D:$D,'Live Collections'!F601))</f>
        <v>150000</v>
      </c>
      <c r="S601" s="304">
        <f>IF(O601&lt;=IF($O601=0,0,SUMIFS(Disbursements!$W:$W,Disbursements!$B:$B,'Live Collections'!D920,Disbursements!$D:$D,'Live Collections'!F920)),O601,IF($O601=0,0,SUMIFS(Disbursements!$W:$W,Disbursements!$B:$B,'Live Collections'!D920,Disbursements!$D:$D,'Live Collections'!F920)))</f>
        <v>20666.666666666657</v>
      </c>
      <c r="T601" s="304">
        <f t="shared" si="30"/>
        <v>129333.33333333334</v>
      </c>
      <c r="U601" s="52"/>
      <c r="V601" s="34"/>
      <c r="W601" s="408"/>
    </row>
    <row r="602" spans="1:23" ht="12.75" customHeight="1" x14ac:dyDescent="0.2">
      <c r="A602" s="132">
        <v>594</v>
      </c>
      <c r="B602" s="44">
        <v>44422</v>
      </c>
      <c r="C602" s="44">
        <f t="shared" si="28"/>
        <v>44422</v>
      </c>
      <c r="D602" s="374">
        <v>79</v>
      </c>
      <c r="E602" s="291" t="str">
        <f>IFERROR(VLOOKUP($D602,'Clients-Live'!$A:$C,3,0),"")</f>
        <v>PASI SENYA</v>
      </c>
      <c r="F602" s="291">
        <f>IFERROR(INDEX(Disbursements!$D:$D,MATCH('Live Collections'!G602,Disbursements!$C:$C,0)),"")</f>
        <v>1</v>
      </c>
      <c r="G602" s="34">
        <v>64</v>
      </c>
      <c r="H602" s="34"/>
      <c r="I602" s="34" t="s">
        <v>1358</v>
      </c>
      <c r="J602" s="48"/>
      <c r="K602" s="48"/>
      <c r="L602" s="48"/>
      <c r="M602" s="48"/>
      <c r="N602" s="59"/>
      <c r="O602" s="59">
        <v>62500</v>
      </c>
      <c r="P602" s="59"/>
      <c r="Q602" s="268">
        <f t="shared" si="29"/>
        <v>62500</v>
      </c>
      <c r="R602" s="61">
        <f>IF(O602=0,0,SUMIFS(Disbursements!$T:$T,Disbursements!$B:$B,'Live Collections'!D602,Disbursements!$D:$D,'Live Collections'!F602))</f>
        <v>63000</v>
      </c>
      <c r="S602" s="304">
        <f>IF(O602&lt;=IF($O602=0,0,SUMIFS(Disbursements!$W:$W,Disbursements!$B:$B,'Live Collections'!D1019,Disbursements!$D:$D,'Live Collections'!F1019)),O602,IF($O602=0,0,SUMIFS(Disbursements!$W:$W,Disbursements!$B:$B,'Live Collections'!D1019,Disbursements!$D:$D,'Live Collections'!F1019)))</f>
        <v>35000</v>
      </c>
      <c r="T602" s="304">
        <f t="shared" si="30"/>
        <v>27500</v>
      </c>
      <c r="U602" s="52"/>
      <c r="V602" s="34"/>
      <c r="W602" s="408"/>
    </row>
    <row r="603" spans="1:23" ht="12.75" customHeight="1" x14ac:dyDescent="0.2">
      <c r="A603" s="257">
        <v>601</v>
      </c>
      <c r="B603" s="44">
        <v>44424</v>
      </c>
      <c r="C603" s="44">
        <f t="shared" si="28"/>
        <v>44424</v>
      </c>
      <c r="D603" s="374">
        <v>18</v>
      </c>
      <c r="E603" s="291" t="str">
        <f>IFERROR(VLOOKUP($D603,'Clients-Live'!$A:$C,3,0),"")</f>
        <v>ARIYE PEACE</v>
      </c>
      <c r="F603" s="291">
        <f>IFERROR(INDEX(Disbursements!$D:$D,MATCH('Live Collections'!G603,Disbursements!$C:$C,0)),"")</f>
        <v>1</v>
      </c>
      <c r="G603" s="34">
        <v>9</v>
      </c>
      <c r="H603" s="34"/>
      <c r="I603" s="34" t="s">
        <v>1357</v>
      </c>
      <c r="J603" s="48"/>
      <c r="K603" s="48"/>
      <c r="L603" s="48"/>
      <c r="M603" s="48"/>
      <c r="N603" s="59"/>
      <c r="O603" s="59">
        <v>108400</v>
      </c>
      <c r="P603" s="59"/>
      <c r="Q603" s="268">
        <f t="shared" si="29"/>
        <v>108400</v>
      </c>
      <c r="R603" s="61">
        <f>IF(O603=0,0,SUMIFS(Disbursements!$T:$T,Disbursements!$B:$B,'Live Collections'!D603,Disbursements!$D:$D,'Live Collections'!F603))</f>
        <v>109000</v>
      </c>
      <c r="S603" s="304">
        <f>IF(O603&lt;=IF($O603=0,0,SUMIFS(Disbursements!$W:$W,Disbursements!$B:$B,'Live Collections'!D200,Disbursements!$D:$D,'Live Collections'!F200)),O603,IF($O603=0,0,SUMIFS(Disbursements!$W:$W,Disbursements!$B:$B,'Live Collections'!D200,Disbursements!$D:$D,'Live Collections'!F200)))</f>
        <v>25666.666666666672</v>
      </c>
      <c r="T603" s="304">
        <f t="shared" si="30"/>
        <v>82733.333333333328</v>
      </c>
      <c r="U603" s="52"/>
      <c r="V603" s="34"/>
      <c r="W603" s="408"/>
    </row>
    <row r="604" spans="1:23" ht="12.75" customHeight="1" x14ac:dyDescent="0.2">
      <c r="A604" s="132">
        <v>609</v>
      </c>
      <c r="B604" s="44">
        <v>44424</v>
      </c>
      <c r="C604" s="44">
        <f t="shared" si="28"/>
        <v>44424</v>
      </c>
      <c r="D604" s="374">
        <v>46</v>
      </c>
      <c r="E604" s="291" t="str">
        <f>IFERROR(VLOOKUP($D604,'Clients-Live'!$A:$C,3,0),"")</f>
        <v>ALIO YUDA</v>
      </c>
      <c r="F604" s="291">
        <f>IFERROR(INDEX(Disbursements!$D:$D,MATCH('Live Collections'!G604,Disbursements!$C:$C,0)),"")</f>
        <v>1</v>
      </c>
      <c r="G604" s="34">
        <v>35</v>
      </c>
      <c r="H604" s="34"/>
      <c r="I604" s="34" t="s">
        <v>1357</v>
      </c>
      <c r="J604" s="48"/>
      <c r="K604" s="48"/>
      <c r="L604" s="48"/>
      <c r="M604" s="48"/>
      <c r="N604" s="59"/>
      <c r="O604" s="59">
        <v>400000</v>
      </c>
      <c r="P604" s="59"/>
      <c r="Q604" s="268">
        <f t="shared" si="29"/>
        <v>400000</v>
      </c>
      <c r="R604" s="61">
        <f>IF(O604=0,0,SUMIFS(Disbursements!$T:$T,Disbursements!$B:$B,'Live Collections'!D604,Disbursements!$D:$D,'Live Collections'!F604))</f>
        <v>325000</v>
      </c>
      <c r="S604" s="304">
        <f>IF(O604&lt;=IF($O604=0,0,SUMIFS(Disbursements!$W:$W,Disbursements!$B:$B,'Live Collections'!D516,Disbursements!$D:$D,'Live Collections'!F516)),O604,IF($O604=0,0,SUMIFS(Disbursements!$W:$W,Disbursements!$B:$B,'Live Collections'!D516,Disbursements!$D:$D,'Live Collections'!F516)))</f>
        <v>50000</v>
      </c>
      <c r="T604" s="304">
        <f t="shared" si="30"/>
        <v>350000</v>
      </c>
      <c r="U604" s="52"/>
      <c r="V604" s="34"/>
      <c r="W604" s="408"/>
    </row>
    <row r="605" spans="1:23" ht="12.75" customHeight="1" x14ac:dyDescent="0.2">
      <c r="A605" s="257">
        <v>608</v>
      </c>
      <c r="B605" s="44">
        <v>44424</v>
      </c>
      <c r="C605" s="44">
        <f t="shared" si="28"/>
        <v>44424</v>
      </c>
      <c r="D605" s="374">
        <v>58</v>
      </c>
      <c r="E605" s="291" t="str">
        <f>IFERROR(VLOOKUP($D605,'Clients-Live'!$A:$C,3,0),"")</f>
        <v xml:space="preserve">ALIRU AMINA </v>
      </c>
      <c r="F605" s="291">
        <f>IFERROR(INDEX(Disbursements!$D:$D,MATCH('Live Collections'!G605,Disbursements!$C:$C,0)),"")</f>
        <v>1</v>
      </c>
      <c r="G605" s="34">
        <v>46</v>
      </c>
      <c r="H605" s="34"/>
      <c r="I605" s="34" t="s">
        <v>1357</v>
      </c>
      <c r="J605" s="48"/>
      <c r="K605" s="48"/>
      <c r="L605" s="48"/>
      <c r="M605" s="48"/>
      <c r="N605" s="59"/>
      <c r="O605" s="59">
        <v>60000</v>
      </c>
      <c r="P605" s="59"/>
      <c r="Q605" s="268">
        <f t="shared" si="29"/>
        <v>60000</v>
      </c>
      <c r="R605" s="61">
        <f>IF(O605=0,0,SUMIFS(Disbursements!$T:$T,Disbursements!$B:$B,'Live Collections'!D605,Disbursements!$D:$D,'Live Collections'!F605))</f>
        <v>180000</v>
      </c>
      <c r="S605" s="304">
        <f>IF(O605&lt;=IF($O605=0,0,SUMIFS(Disbursements!$W:$W,Disbursements!$B:$B,'Live Collections'!D691,Disbursements!$D:$D,'Live Collections'!F691)),O605,IF($O605=0,0,SUMIFS(Disbursements!$W:$W,Disbursements!$B:$B,'Live Collections'!D691,Disbursements!$D:$D,'Live Collections'!F691)))</f>
        <v>25666.666666666672</v>
      </c>
      <c r="T605" s="304">
        <f t="shared" si="30"/>
        <v>34333.333333333328</v>
      </c>
      <c r="U605" s="52"/>
      <c r="V605" s="34"/>
      <c r="W605" s="408"/>
    </row>
    <row r="606" spans="1:23" ht="12.75" customHeight="1" x14ac:dyDescent="0.2">
      <c r="A606" s="132">
        <v>607</v>
      </c>
      <c r="B606" s="44">
        <v>44424</v>
      </c>
      <c r="C606" s="44">
        <f t="shared" si="28"/>
        <v>44424</v>
      </c>
      <c r="D606" s="374">
        <v>72</v>
      </c>
      <c r="E606" s="291" t="str">
        <f>IFERROR(VLOOKUP($D606,'Clients-Live'!$A:$C,3,0),"")</f>
        <v>MUNDURU MERCY</v>
      </c>
      <c r="F606" s="291">
        <f>IFERROR(INDEX(Disbursements!$D:$D,MATCH('Live Collections'!G606,Disbursements!$C:$C,0)),"")</f>
        <v>1</v>
      </c>
      <c r="G606" s="34">
        <v>57</v>
      </c>
      <c r="H606" s="34"/>
      <c r="I606" s="34" t="s">
        <v>1358</v>
      </c>
      <c r="J606" s="48"/>
      <c r="K606" s="48"/>
      <c r="L606" s="48"/>
      <c r="M606" s="48"/>
      <c r="N606" s="59"/>
      <c r="O606" s="59">
        <v>216700</v>
      </c>
      <c r="P606" s="59"/>
      <c r="Q606" s="268">
        <f t="shared" si="29"/>
        <v>216700</v>
      </c>
      <c r="R606" s="61">
        <f>IF(O606=0,0,SUMIFS(Disbursements!$T:$T,Disbursements!$B:$B,'Live Collections'!D606,Disbursements!$D:$D,'Live Collections'!F606))</f>
        <v>217000</v>
      </c>
      <c r="S606" s="304">
        <f>IF(O606&lt;=IF($O606=0,0,SUMIFS(Disbursements!$W:$W,Disbursements!$B:$B,'Live Collections'!D906,Disbursements!$D:$D,'Live Collections'!F906)),O606,IF($O606=0,0,SUMIFS(Disbursements!$W:$W,Disbursements!$B:$B,'Live Collections'!D906,Disbursements!$D:$D,'Live Collections'!F906)))</f>
        <v>75000</v>
      </c>
      <c r="T606" s="304">
        <f t="shared" si="30"/>
        <v>141700</v>
      </c>
      <c r="U606" s="52"/>
      <c r="V606" s="34"/>
      <c r="W606" s="408"/>
    </row>
    <row r="607" spans="1:23" ht="12.75" customHeight="1" x14ac:dyDescent="0.2">
      <c r="A607" s="257">
        <v>605</v>
      </c>
      <c r="B607" s="44">
        <v>44424</v>
      </c>
      <c r="C607" s="44">
        <f t="shared" si="28"/>
        <v>44424</v>
      </c>
      <c r="D607" s="374">
        <v>75</v>
      </c>
      <c r="E607" s="291" t="str">
        <f>IFERROR(VLOOKUP($D607,'Clients-Live'!$A:$C,3,0),"")</f>
        <v>MUKULIA JAMES</v>
      </c>
      <c r="F607" s="291">
        <f>IFERROR(INDEX(Disbursements!$D:$D,MATCH('Live Collections'!G607,Disbursements!$C:$C,0)),"")</f>
        <v>1</v>
      </c>
      <c r="G607" s="34">
        <v>55</v>
      </c>
      <c r="H607" s="34"/>
      <c r="I607" s="34" t="s">
        <v>1359</v>
      </c>
      <c r="J607" s="48"/>
      <c r="K607" s="48"/>
      <c r="L607" s="48"/>
      <c r="M607" s="48"/>
      <c r="N607" s="59"/>
      <c r="O607" s="59">
        <v>306600</v>
      </c>
      <c r="P607" s="59"/>
      <c r="Q607" s="268">
        <f t="shared" si="29"/>
        <v>306600</v>
      </c>
      <c r="R607" s="61">
        <f>IF(O607=0,0,SUMIFS(Disbursements!$T:$T,Disbursements!$B:$B,'Live Collections'!D607,Disbursements!$D:$D,'Live Collections'!F607))</f>
        <v>154000</v>
      </c>
      <c r="S607" s="304">
        <f>IF(O607&lt;=IF($O607=0,0,SUMIFS(Disbursements!$W:$W,Disbursements!$B:$B,'Live Collections'!D952,Disbursements!$D:$D,'Live Collections'!F952)),O607,IF($O607=0,0,SUMIFS(Disbursements!$W:$W,Disbursements!$B:$B,'Live Collections'!D952,Disbursements!$D:$D,'Live Collections'!F952)))</f>
        <v>20000</v>
      </c>
      <c r="T607" s="304">
        <f t="shared" si="30"/>
        <v>286600</v>
      </c>
      <c r="U607" s="52"/>
      <c r="V607" s="34"/>
      <c r="W607" s="408"/>
    </row>
    <row r="608" spans="1:23" ht="12.75" customHeight="1" x14ac:dyDescent="0.2">
      <c r="A608" s="132">
        <v>612</v>
      </c>
      <c r="B608" s="44">
        <v>44424</v>
      </c>
      <c r="C608" s="44">
        <f t="shared" si="28"/>
        <v>44424</v>
      </c>
      <c r="D608" s="374">
        <v>77</v>
      </c>
      <c r="E608" s="291" t="str">
        <f>IFERROR(VLOOKUP($D608,'Clients-Live'!$A:$C,3,0),"")</f>
        <v>CACA FATUMA</v>
      </c>
      <c r="F608" s="291">
        <f>IFERROR(INDEX(Disbursements!$D:$D,MATCH('Live Collections'!G608,Disbursements!$C:$C,0)),"")</f>
        <v>1</v>
      </c>
      <c r="G608" s="34">
        <v>61</v>
      </c>
      <c r="H608" s="34"/>
      <c r="I608" s="34" t="s">
        <v>1357</v>
      </c>
      <c r="J608" s="48"/>
      <c r="K608" s="48"/>
      <c r="L608" s="48"/>
      <c r="M608" s="48"/>
      <c r="N608" s="59"/>
      <c r="O608" s="59">
        <v>212000</v>
      </c>
      <c r="P608" s="59"/>
      <c r="Q608" s="268">
        <f t="shared" si="29"/>
        <v>212000</v>
      </c>
      <c r="R608" s="61">
        <f>IF(O608=0,0,SUMIFS(Disbursements!$T:$T,Disbursements!$B:$B,'Live Collections'!D608,Disbursements!$D:$D,'Live Collections'!F608))</f>
        <v>217000</v>
      </c>
      <c r="S608" s="304">
        <f>IF(O608&lt;=IF($O608=0,0,SUMIFS(Disbursements!$W:$W,Disbursements!$B:$B,'Live Collections'!D984,Disbursements!$D:$D,'Live Collections'!F984)),O608,IF($O608=0,0,SUMIFS(Disbursements!$W:$W,Disbursements!$B:$B,'Live Collections'!D984,Disbursements!$D:$D,'Live Collections'!F984)))</f>
        <v>30000</v>
      </c>
      <c r="T608" s="304">
        <f t="shared" si="30"/>
        <v>182000</v>
      </c>
      <c r="U608" s="52"/>
      <c r="V608" s="34"/>
      <c r="W608" s="408"/>
    </row>
    <row r="609" spans="1:23" ht="12.75" customHeight="1" x14ac:dyDescent="0.2">
      <c r="A609" s="257">
        <v>603</v>
      </c>
      <c r="B609" s="44">
        <v>44424</v>
      </c>
      <c r="C609" s="44">
        <f t="shared" si="28"/>
        <v>44424</v>
      </c>
      <c r="D609" s="374">
        <v>85</v>
      </c>
      <c r="E609" s="291" t="str">
        <f>IFERROR(VLOOKUP($D609,'Clients-Live'!$A:$C,3,0),"")</f>
        <v>CEASER SWALEH</v>
      </c>
      <c r="F609" s="291">
        <f>IFERROR(INDEX(Disbursements!$D:$D,MATCH('Live Collections'!G609,Disbursements!$C:$C,0)),"")</f>
        <v>2</v>
      </c>
      <c r="G609" s="34">
        <v>119</v>
      </c>
      <c r="H609" s="34"/>
      <c r="I609" s="34" t="s">
        <v>1357</v>
      </c>
      <c r="J609" s="48"/>
      <c r="K609" s="48"/>
      <c r="L609" s="48"/>
      <c r="M609" s="48"/>
      <c r="N609" s="59"/>
      <c r="O609" s="59">
        <v>400000</v>
      </c>
      <c r="P609" s="59"/>
      <c r="Q609" s="268">
        <f t="shared" si="29"/>
        <v>400000</v>
      </c>
      <c r="R609" s="61">
        <f>IF(O609=0,0,SUMIFS(Disbursements!$T:$T,Disbursements!$B:$B,'Live Collections'!D609,Disbursements!$D:$D,'Live Collections'!F609))</f>
        <v>434000</v>
      </c>
      <c r="S609" s="304">
        <f>IF(O609&lt;=IF($O609=0,0,SUMIFS(Disbursements!$W:$W,Disbursements!$B:$B,'Live Collections'!D1084,Disbursements!$D:$D,'Live Collections'!F1084)),O609,IF($O609=0,0,SUMIFS(Disbursements!$W:$W,Disbursements!$B:$B,'Live Collections'!D1084,Disbursements!$D:$D,'Live Collections'!F1084)))</f>
        <v>15000</v>
      </c>
      <c r="T609" s="304">
        <f t="shared" si="30"/>
        <v>385000</v>
      </c>
      <c r="U609" s="52"/>
      <c r="V609" s="34"/>
      <c r="W609" s="408"/>
    </row>
    <row r="610" spans="1:23" ht="12.75" customHeight="1" x14ac:dyDescent="0.2">
      <c r="A610" s="132">
        <v>604</v>
      </c>
      <c r="B610" s="44">
        <v>44424</v>
      </c>
      <c r="C610" s="44">
        <f t="shared" si="28"/>
        <v>44424</v>
      </c>
      <c r="D610" s="374">
        <v>116</v>
      </c>
      <c r="E610" s="291" t="str">
        <f>IFERROR(VLOOKUP($D610,'Clients-Live'!$A:$C,3,0),"")</f>
        <v>ONZIA LUCY</v>
      </c>
      <c r="F610" s="291">
        <f>IFERROR(INDEX(Disbursements!$D:$D,MATCH('Live Collections'!G610,Disbursements!$C:$C,0)),"")</f>
        <v>1</v>
      </c>
      <c r="G610" s="34">
        <v>95</v>
      </c>
      <c r="H610" s="34"/>
      <c r="I610" s="34" t="s">
        <v>1357</v>
      </c>
      <c r="J610" s="48"/>
      <c r="K610" s="48"/>
      <c r="L610" s="48"/>
      <c r="M610" s="48"/>
      <c r="N610" s="59"/>
      <c r="O610" s="59">
        <v>20000</v>
      </c>
      <c r="P610" s="59"/>
      <c r="Q610" s="268">
        <f t="shared" si="29"/>
        <v>20000</v>
      </c>
      <c r="R610" s="61">
        <f>IF(O610=0,0,SUMIFS(Disbursements!$T:$T,Disbursements!$B:$B,'Live Collections'!D610,Disbursements!$D:$D,'Live Collections'!F610))</f>
        <v>20000</v>
      </c>
      <c r="S610" s="304"/>
      <c r="T610" s="304">
        <f t="shared" si="30"/>
        <v>20000</v>
      </c>
      <c r="U610" s="52"/>
      <c r="V610" s="34"/>
      <c r="W610" s="408"/>
    </row>
    <row r="611" spans="1:23" ht="12.75" customHeight="1" x14ac:dyDescent="0.2">
      <c r="A611" s="257">
        <v>611</v>
      </c>
      <c r="B611" s="44">
        <v>44424</v>
      </c>
      <c r="C611" s="44">
        <f t="shared" si="28"/>
        <v>44424</v>
      </c>
      <c r="D611" s="374">
        <v>128</v>
      </c>
      <c r="E611" s="291" t="str">
        <f>IFERROR(VLOOKUP($D611,'Clients-Live'!$A:$C,3,0),"")</f>
        <v>AJONYE BETTY</v>
      </c>
      <c r="F611" s="291">
        <f>IFERROR(INDEX(Disbursements!$D:$D,MATCH('Live Collections'!G611,Disbursements!$C:$C,0)),"")</f>
        <v>1</v>
      </c>
      <c r="G611" s="34">
        <v>112</v>
      </c>
      <c r="H611" s="34"/>
      <c r="I611" s="34" t="s">
        <v>1359</v>
      </c>
      <c r="J611" s="48"/>
      <c r="K611" s="48"/>
      <c r="L611" s="48"/>
      <c r="M611" s="48"/>
      <c r="N611" s="59"/>
      <c r="O611" s="59">
        <v>90000</v>
      </c>
      <c r="P611" s="59"/>
      <c r="Q611" s="268">
        <f t="shared" si="29"/>
        <v>90000</v>
      </c>
      <c r="R611" s="61">
        <f>IF(O611=0,0,SUMIFS(Disbursements!$T:$T,Disbursements!$B:$B,'Live Collections'!D611,Disbursements!$D:$D,'Live Collections'!F611))</f>
        <v>90000</v>
      </c>
      <c r="S611" s="64">
        <v>60000</v>
      </c>
      <c r="T611" s="304">
        <f t="shared" si="30"/>
        <v>30000</v>
      </c>
      <c r="U611" s="52"/>
      <c r="V611" s="34"/>
      <c r="W611" s="408"/>
    </row>
    <row r="612" spans="1:23" ht="12.75" customHeight="1" x14ac:dyDescent="0.2">
      <c r="A612" s="132">
        <v>610</v>
      </c>
      <c r="B612" s="44">
        <v>44424</v>
      </c>
      <c r="C612" s="44">
        <f t="shared" si="28"/>
        <v>44424</v>
      </c>
      <c r="D612" s="374">
        <v>129</v>
      </c>
      <c r="E612" s="291" t="str">
        <f>IFERROR(VLOOKUP($D612,'Clients-Live'!$A:$C,3,0),"")</f>
        <v>BAKO ASINA</v>
      </c>
      <c r="F612" s="291">
        <f>IFERROR(INDEX(Disbursements!$D:$D,MATCH('Live Collections'!G612,Disbursements!$C:$C,0)),"")</f>
        <v>1</v>
      </c>
      <c r="G612" s="34">
        <v>118</v>
      </c>
      <c r="H612" s="34"/>
      <c r="I612" s="34" t="s">
        <v>1358</v>
      </c>
      <c r="J612" s="48"/>
      <c r="K612" s="48"/>
      <c r="L612" s="48"/>
      <c r="M612" s="48"/>
      <c r="N612" s="59"/>
      <c r="O612" s="59">
        <v>575000</v>
      </c>
      <c r="P612" s="59"/>
      <c r="Q612" s="268">
        <f t="shared" si="29"/>
        <v>575000</v>
      </c>
      <c r="R612" s="61">
        <f>IF(O612=0,0,SUMIFS(Disbursements!$T:$T,Disbursements!$B:$B,'Live Collections'!D612,Disbursements!$D:$D,'Live Collections'!F612))</f>
        <v>575000</v>
      </c>
      <c r="S612" s="304">
        <f>IF(O612&lt;=IF($O612=0,0,SUMIFS(Disbursements!$W:$W,Disbursements!$B:$B,'Live Collections'!D1632,Disbursements!$D:$D,'Live Collections'!F1632)),O612,IF($O612=0,0,SUMIFS(Disbursements!$W:$W,Disbursements!$B:$B,'Live Collections'!D1632,Disbursements!$D:$D,'Live Collections'!F1632)))</f>
        <v>60000</v>
      </c>
      <c r="T612" s="304">
        <f t="shared" si="30"/>
        <v>515000</v>
      </c>
      <c r="U612" s="52"/>
      <c r="V612" s="34"/>
      <c r="W612" s="408"/>
    </row>
    <row r="613" spans="1:23" ht="12.75" customHeight="1" x14ac:dyDescent="0.2">
      <c r="A613" s="257">
        <v>606</v>
      </c>
      <c r="B613" s="44">
        <v>44424</v>
      </c>
      <c r="C613" s="44">
        <f t="shared" si="28"/>
        <v>44424</v>
      </c>
      <c r="D613" s="374">
        <v>133</v>
      </c>
      <c r="E613" s="291" t="str">
        <f>IFERROR(VLOOKUP($D613,'Clients-Live'!$A:$C,3,0),"")</f>
        <v>JABE MARY</v>
      </c>
      <c r="F613" s="291">
        <f>IFERROR(INDEX(Disbursements!$D:$D,MATCH('Live Collections'!G613,Disbursements!$C:$C,0)),"")</f>
        <v>1</v>
      </c>
      <c r="G613" s="34">
        <v>116</v>
      </c>
      <c r="H613" s="34"/>
      <c r="I613" s="34" t="s">
        <v>1359</v>
      </c>
      <c r="J613" s="48"/>
      <c r="K613" s="48"/>
      <c r="L613" s="48"/>
      <c r="M613" s="48"/>
      <c r="N613" s="59"/>
      <c r="O613" s="59">
        <v>125000</v>
      </c>
      <c r="P613" s="59"/>
      <c r="Q613" s="268">
        <f t="shared" si="29"/>
        <v>125000</v>
      </c>
      <c r="R613" s="61">
        <f>IF(O613=0,0,SUMIFS(Disbursements!$T:$T,Disbursements!$B:$B,'Live Collections'!D613,Disbursements!$D:$D,'Live Collections'!F613))</f>
        <v>125000</v>
      </c>
      <c r="S613" s="304">
        <f>IF(O613&lt;=IF($O613=0,0,SUMIFS(Disbursements!$W:$W,Disbursements!$B:$B,'Live Collections'!D1675,Disbursements!$D:$D,'Live Collections'!F1675)),O613,IF($O613=0,0,SUMIFS(Disbursements!$W:$W,Disbursements!$B:$B,'Live Collections'!D1675,Disbursements!$D:$D,'Live Collections'!F1675)))</f>
        <v>0</v>
      </c>
      <c r="T613" s="304">
        <f t="shared" si="30"/>
        <v>125000</v>
      </c>
      <c r="U613" s="52"/>
      <c r="V613" s="34"/>
      <c r="W613" s="408"/>
    </row>
    <row r="614" spans="1:23" ht="12.75" customHeight="1" x14ac:dyDescent="0.2">
      <c r="A614" s="132">
        <v>602</v>
      </c>
      <c r="B614" s="44">
        <v>44424</v>
      </c>
      <c r="C614" s="44">
        <f t="shared" si="28"/>
        <v>44424</v>
      </c>
      <c r="D614" s="374">
        <v>149</v>
      </c>
      <c r="E614" s="291" t="str">
        <f>IFERROR(VLOOKUP($D614,'Clients-Live'!$A:$C,3,0),"")</f>
        <v>SIKA AMIDRA</v>
      </c>
      <c r="F614" s="291">
        <f>IFERROR(INDEX(Disbursements!$D:$D,MATCH('Live Collections'!G614,Disbursements!$C:$C,0)),"")</f>
        <v>1</v>
      </c>
      <c r="G614" s="34">
        <v>141</v>
      </c>
      <c r="H614" s="34"/>
      <c r="I614" s="34" t="s">
        <v>1358</v>
      </c>
      <c r="J614" s="48"/>
      <c r="K614" s="48"/>
      <c r="L614" s="48"/>
      <c r="M614" s="48"/>
      <c r="N614" s="59"/>
      <c r="O614" s="59">
        <v>60000</v>
      </c>
      <c r="P614" s="59"/>
      <c r="Q614" s="268">
        <f t="shared" si="29"/>
        <v>60000</v>
      </c>
      <c r="R614" s="61">
        <f>IF(O614=0,0,SUMIFS(Disbursements!$T:$T,Disbursements!$B:$B,'Live Collections'!D614,Disbursements!$D:$D,'Live Collections'!F614))</f>
        <v>30000</v>
      </c>
      <c r="S614" s="304">
        <f>IF(O614&lt;=IF($O614=0,0,SUMIFS(Disbursements!$W:$W,Disbursements!$B:$B,'Live Collections'!D1883,Disbursements!$D:$D,'Live Collections'!F1883)),O614,IF($O614=0,0,SUMIFS(Disbursements!$W:$W,Disbursements!$B:$B,'Live Collections'!D1883,Disbursements!$D:$D,'Live Collections'!F1883)))</f>
        <v>20000</v>
      </c>
      <c r="T614" s="304">
        <f t="shared" si="30"/>
        <v>40000</v>
      </c>
      <c r="U614" s="52"/>
      <c r="V614" s="34"/>
      <c r="W614" s="408"/>
    </row>
    <row r="615" spans="1:23" ht="12.75" customHeight="1" x14ac:dyDescent="0.2">
      <c r="A615" s="257">
        <v>597</v>
      </c>
      <c r="B615" s="44">
        <v>44424</v>
      </c>
      <c r="C615" s="44">
        <f t="shared" si="28"/>
        <v>44424</v>
      </c>
      <c r="D615" s="374">
        <v>169</v>
      </c>
      <c r="E615" s="291" t="str">
        <f>IFERROR(VLOOKUP($D615,'Clients-Live'!$A:$C,3,0),"")</f>
        <v>KATO KENNEDY</v>
      </c>
      <c r="F615" s="291">
        <f>IFERROR(INDEX(Disbursements!$D:$D,MATCH('Live Collections'!G615,Disbursements!$C:$C,0)),"")</f>
        <v>1</v>
      </c>
      <c r="G615" s="34">
        <v>176</v>
      </c>
      <c r="H615" s="34">
        <v>908</v>
      </c>
      <c r="I615" s="34" t="s">
        <v>864</v>
      </c>
      <c r="J615" s="48"/>
      <c r="K615" s="48"/>
      <c r="L615" s="48">
        <v>20000</v>
      </c>
      <c r="M615" s="48">
        <v>5000</v>
      </c>
      <c r="N615" s="59"/>
      <c r="O615" s="59"/>
      <c r="P615" s="59">
        <v>200000</v>
      </c>
      <c r="Q615" s="268">
        <f t="shared" si="29"/>
        <v>225000</v>
      </c>
      <c r="R615" s="61">
        <f>IF(O615=0,0,SUMIFS(Disbursements!$T:$T,Disbursements!$B:$B,'Live Collections'!D615,Disbursements!$D:$D,'Live Collections'!F615))</f>
        <v>0</v>
      </c>
      <c r="S615" s="304">
        <f>IF(O615&lt;=IF($O615=0,0,SUMIFS(Disbursements!$W:$W,Disbursements!$B:$B,'Live Collections'!D2077,Disbursements!$D:$D,'Live Collections'!F2077)),O615,IF($O615=0,0,SUMIFS(Disbursements!$W:$W,Disbursements!$B:$B,'Live Collections'!D2077,Disbursements!$D:$D,'Live Collections'!F2077)))</f>
        <v>0</v>
      </c>
      <c r="T615" s="304">
        <f t="shared" si="30"/>
        <v>0</v>
      </c>
      <c r="U615" s="52"/>
      <c r="V615" s="34"/>
      <c r="W615" s="408"/>
    </row>
    <row r="616" spans="1:23" ht="12.75" customHeight="1" x14ac:dyDescent="0.2">
      <c r="A616" s="132">
        <v>598</v>
      </c>
      <c r="B616" s="44">
        <v>44424</v>
      </c>
      <c r="C616" s="44">
        <f t="shared" si="28"/>
        <v>44424</v>
      </c>
      <c r="D616" s="374">
        <v>183</v>
      </c>
      <c r="E616" s="291" t="str">
        <f>IFERROR(VLOOKUP($D616,'Clients-Live'!$A:$C,3,0),"")</f>
        <v>NIGHT AMINA HUSSEIN</v>
      </c>
      <c r="F616" s="291">
        <f>IFERROR(INDEX(Disbursements!$D:$D,MATCH('Live Collections'!G616,Disbursements!$C:$C,0)),"")</f>
        <v>1</v>
      </c>
      <c r="G616" s="34">
        <v>171</v>
      </c>
      <c r="H616" s="34"/>
      <c r="I616" s="34" t="s">
        <v>862</v>
      </c>
      <c r="J616" s="48"/>
      <c r="K616" s="48"/>
      <c r="L616" s="48">
        <v>15000</v>
      </c>
      <c r="M616" s="48">
        <v>5000</v>
      </c>
      <c r="N616" s="59"/>
      <c r="O616" s="59"/>
      <c r="P616" s="59">
        <v>60000</v>
      </c>
      <c r="Q616" s="268">
        <f t="shared" si="29"/>
        <v>80000</v>
      </c>
      <c r="R616" s="61">
        <f>IF(O616=0,0,SUMIFS(Disbursements!$T:$T,Disbursements!$B:$B,'Live Collections'!D616,Disbursements!$D:$D,'Live Collections'!F616))</f>
        <v>0</v>
      </c>
      <c r="S616" s="304">
        <f>IF(O616&lt;=IF($O616=0,0,SUMIFS(Disbursements!$W:$W,Disbursements!$B:$B,'Live Collections'!D2230,Disbursements!$D:$D,'Live Collections'!F2230)),O616,IF($O616=0,0,SUMIFS(Disbursements!$W:$W,Disbursements!$B:$B,'Live Collections'!D2230,Disbursements!$D:$D,'Live Collections'!F2230)))</f>
        <v>0</v>
      </c>
      <c r="T616" s="304">
        <f t="shared" si="30"/>
        <v>0</v>
      </c>
      <c r="U616" s="52"/>
      <c r="V616" s="34"/>
      <c r="W616" s="408"/>
    </row>
    <row r="617" spans="1:23" ht="12.75" customHeight="1" x14ac:dyDescent="0.2">
      <c r="A617" s="257">
        <v>599</v>
      </c>
      <c r="B617" s="44">
        <v>44424</v>
      </c>
      <c r="C617" s="44">
        <f t="shared" si="28"/>
        <v>44424</v>
      </c>
      <c r="D617" s="374">
        <v>184</v>
      </c>
      <c r="E617" s="291" t="str">
        <f>IFERROR(VLOOKUP($D617,'Clients-Live'!$A:$C,3,0),"")</f>
        <v>OCOKORU GLORIA</v>
      </c>
      <c r="F617" s="291">
        <f>IFERROR(INDEX(Disbursements!$D:$D,MATCH('Live Collections'!G617,Disbursements!$C:$C,0)),"")</f>
        <v>1</v>
      </c>
      <c r="G617" s="34">
        <v>170</v>
      </c>
      <c r="H617" s="34"/>
      <c r="I617" s="34" t="s">
        <v>863</v>
      </c>
      <c r="J617" s="48"/>
      <c r="K617" s="48"/>
      <c r="L617" s="48">
        <v>15000</v>
      </c>
      <c r="M617" s="48">
        <v>5000</v>
      </c>
      <c r="N617" s="59"/>
      <c r="O617" s="59"/>
      <c r="P617" s="59">
        <v>80000</v>
      </c>
      <c r="Q617" s="268">
        <f t="shared" si="29"/>
        <v>100000</v>
      </c>
      <c r="R617" s="61">
        <f>IF(O617=0,0,SUMIFS(Disbursements!$T:$T,Disbursements!$B:$B,'Live Collections'!D617,Disbursements!$D:$D,'Live Collections'!F617))</f>
        <v>0</v>
      </c>
      <c r="S617" s="304">
        <f>IF(O617&lt;=IF($O617=0,0,SUMIFS(Disbursements!$W:$W,Disbursements!$B:$B,'Live Collections'!D2238,Disbursements!$D:$D,'Live Collections'!F2238)),O617,IF($O617=0,0,SUMIFS(Disbursements!$W:$W,Disbursements!$B:$B,'Live Collections'!D2238,Disbursements!$D:$D,'Live Collections'!F2238)))</f>
        <v>0</v>
      </c>
      <c r="T617" s="304">
        <f t="shared" si="30"/>
        <v>0</v>
      </c>
      <c r="U617" s="52"/>
      <c r="V617" s="34"/>
      <c r="W617" s="408"/>
    </row>
    <row r="618" spans="1:23" ht="12.75" customHeight="1" x14ac:dyDescent="0.2">
      <c r="A618" s="132">
        <v>595</v>
      </c>
      <c r="B618" s="44">
        <v>44424</v>
      </c>
      <c r="C618" s="44">
        <f t="shared" si="28"/>
        <v>44424</v>
      </c>
      <c r="D618" s="374">
        <v>185</v>
      </c>
      <c r="E618" s="291" t="str">
        <f>IFERROR(VLOOKUP($D618,'Clients-Live'!$A:$C,3,0),"")</f>
        <v>APAYI HARRIET</v>
      </c>
      <c r="F618" s="291" t="str">
        <f>IFERROR(INDEX(Disbursements!$D:$D,MATCH('Live Collections'!G618,Disbursements!$C:$C,0)),"")</f>
        <v/>
      </c>
      <c r="G618" s="34"/>
      <c r="H618" s="34"/>
      <c r="I618" s="34" t="s">
        <v>1814</v>
      </c>
      <c r="J618" s="48">
        <v>15000</v>
      </c>
      <c r="K618" s="48">
        <v>5000</v>
      </c>
      <c r="L618" s="48"/>
      <c r="M618" s="48"/>
      <c r="N618" s="59"/>
      <c r="O618" s="59"/>
      <c r="P618" s="59"/>
      <c r="Q618" s="268">
        <f t="shared" si="29"/>
        <v>20000</v>
      </c>
      <c r="R618" s="61">
        <f>IF(O618=0,0,SUMIFS(Disbursements!$T:$T,Disbursements!$B:$B,'Live Collections'!D618,Disbursements!$D:$D,'Live Collections'!F618))</f>
        <v>0</v>
      </c>
      <c r="S618" s="304">
        <f>IF(O618&lt;=IF($O618=0,0,SUMIFS(Disbursements!$W:$W,Disbursements!$B:$B,'Live Collections'!D2244,Disbursements!$D:$D,'Live Collections'!F2244)),O618,IF($O618=0,0,SUMIFS(Disbursements!$W:$W,Disbursements!$B:$B,'Live Collections'!D2244,Disbursements!$D:$D,'Live Collections'!F2244)))</f>
        <v>0</v>
      </c>
      <c r="T618" s="304">
        <f t="shared" si="30"/>
        <v>0</v>
      </c>
      <c r="U618" s="52">
        <v>775325339</v>
      </c>
      <c r="V618" s="34"/>
      <c r="W618" s="408" t="s">
        <v>1254</v>
      </c>
    </row>
    <row r="619" spans="1:23" ht="12.75" customHeight="1" x14ac:dyDescent="0.2">
      <c r="A619" s="257">
        <v>596</v>
      </c>
      <c r="B619" s="44">
        <v>44424</v>
      </c>
      <c r="C619" s="44">
        <f t="shared" si="28"/>
        <v>44424</v>
      </c>
      <c r="D619" s="374">
        <v>186</v>
      </c>
      <c r="E619" s="291" t="str">
        <f>IFERROR(VLOOKUP($D619,'Clients-Live'!$A:$C,3,0),"")</f>
        <v>GIFT JAMES</v>
      </c>
      <c r="F619" s="291" t="str">
        <f>IFERROR(INDEX(Disbursements!$D:$D,MATCH('Live Collections'!G619,Disbursements!$C:$C,0)),"")</f>
        <v/>
      </c>
      <c r="G619" s="34"/>
      <c r="H619" s="34">
        <v>1021</v>
      </c>
      <c r="I619" s="34" t="s">
        <v>1814</v>
      </c>
      <c r="J619" s="48">
        <v>15000</v>
      </c>
      <c r="K619" s="48">
        <v>5000</v>
      </c>
      <c r="L619" s="48"/>
      <c r="M619" s="48"/>
      <c r="N619" s="59"/>
      <c r="O619" s="59"/>
      <c r="P619" s="59"/>
      <c r="Q619" s="268">
        <f t="shared" si="29"/>
        <v>20000</v>
      </c>
      <c r="R619" s="61">
        <f>IF(O619=0,0,SUMIFS(Disbursements!$T:$T,Disbursements!$B:$B,'Live Collections'!D619,Disbursements!$D:$D,'Live Collections'!F619))</f>
        <v>0</v>
      </c>
      <c r="S619" s="304">
        <f>IF(O619&lt;=IF($O619=0,0,SUMIFS(Disbursements!$W:$W,Disbursements!$B:$B,'Live Collections'!D2256,Disbursements!$D:$D,'Live Collections'!F2256)),O619,IF($O619=0,0,SUMIFS(Disbursements!$W:$W,Disbursements!$B:$B,'Live Collections'!D2256,Disbursements!$D:$D,'Live Collections'!F2256)))</f>
        <v>0</v>
      </c>
      <c r="T619" s="304">
        <f t="shared" si="30"/>
        <v>0</v>
      </c>
      <c r="U619" s="52">
        <v>778962096</v>
      </c>
      <c r="V619" s="34"/>
      <c r="W619" s="408" t="s">
        <v>1254</v>
      </c>
    </row>
    <row r="620" spans="1:23" ht="12.75" customHeight="1" x14ac:dyDescent="0.2">
      <c r="A620" s="132">
        <v>600</v>
      </c>
      <c r="B620" s="44">
        <v>44424</v>
      </c>
      <c r="C620" s="44">
        <f t="shared" si="28"/>
        <v>44424</v>
      </c>
      <c r="D620" s="374">
        <v>186</v>
      </c>
      <c r="E620" s="291" t="str">
        <f>IFERROR(VLOOKUP($D620,'Clients-Live'!$A:$C,3,0),"")</f>
        <v>GIFT JAMES</v>
      </c>
      <c r="F620" s="291">
        <f>IFERROR(INDEX(Disbursements!$D:$D,MATCH('Live Collections'!G620,Disbursements!$C:$C,0)),"")</f>
        <v>1</v>
      </c>
      <c r="G620" s="34">
        <v>172</v>
      </c>
      <c r="H620" s="34">
        <v>1022</v>
      </c>
      <c r="I620" s="34" t="s">
        <v>862</v>
      </c>
      <c r="J620" s="48"/>
      <c r="K620" s="48"/>
      <c r="L620" s="48">
        <v>15000</v>
      </c>
      <c r="M620" s="48">
        <v>5000</v>
      </c>
      <c r="N620" s="59"/>
      <c r="O620" s="59"/>
      <c r="P620" s="59"/>
      <c r="Q620" s="268">
        <f t="shared" si="29"/>
        <v>20000</v>
      </c>
      <c r="R620" s="61">
        <f>IF(O620=0,0,SUMIFS(Disbursements!$T:$T,Disbursements!$B:$B,'Live Collections'!D620,Disbursements!$D:$D,'Live Collections'!F620))</f>
        <v>0</v>
      </c>
      <c r="S620" s="304">
        <f>IF(O620&lt;=IF($O620=0,0,SUMIFS(Disbursements!$W:$W,Disbursements!$B:$B,'Live Collections'!D2257,Disbursements!$D:$D,'Live Collections'!F2257)),O620,IF($O620=0,0,SUMIFS(Disbursements!$W:$W,Disbursements!$B:$B,'Live Collections'!D2257,Disbursements!$D:$D,'Live Collections'!F2257)))</f>
        <v>0</v>
      </c>
      <c r="T620" s="304">
        <f t="shared" si="30"/>
        <v>0</v>
      </c>
      <c r="U620" s="52"/>
      <c r="V620" s="34"/>
      <c r="W620" s="408"/>
    </row>
    <row r="621" spans="1:23" ht="12.75" customHeight="1" x14ac:dyDescent="0.2">
      <c r="A621" s="257">
        <v>2000</v>
      </c>
      <c r="B621" s="44">
        <v>44424</v>
      </c>
      <c r="C621" s="44">
        <f t="shared" si="28"/>
        <v>44424</v>
      </c>
      <c r="D621" s="374">
        <v>186</v>
      </c>
      <c r="E621" s="291" t="str">
        <f>IFERROR(VLOOKUP($D621,'Clients-Live'!$A:$C,3,0),"")</f>
        <v>GIFT JAMES</v>
      </c>
      <c r="F621" s="291">
        <f>IFERROR(INDEX(Disbursements!$D:$D,MATCH('Live Collections'!G621,Disbursements!$C:$C,0)),"")</f>
        <v>1</v>
      </c>
      <c r="G621" s="34">
        <v>172</v>
      </c>
      <c r="H621" s="34">
        <v>1019</v>
      </c>
      <c r="I621" s="34" t="s">
        <v>1359</v>
      </c>
      <c r="J621" s="48"/>
      <c r="K621" s="48"/>
      <c r="L621" s="48"/>
      <c r="M621" s="48"/>
      <c r="N621" s="59"/>
      <c r="O621" s="59"/>
      <c r="P621" s="59">
        <v>70000</v>
      </c>
      <c r="Q621" s="268">
        <f t="shared" si="29"/>
        <v>70000</v>
      </c>
      <c r="R621" s="61">
        <f>IF(O621=0,0,SUMIFS(Disbursements!$T:$T,Disbursements!$B:$B,'Live Collections'!D621,Disbursements!$D:$D,'Live Collections'!F621))</f>
        <v>0</v>
      </c>
      <c r="S621" s="304">
        <f>IF(O621&lt;=IF($O621=0,0,SUMIFS(Disbursements!$W:$W,Disbursements!$B:$B,'Live Collections'!D2258,Disbursements!$D:$D,'Live Collections'!F2258)),O621,IF($O621=0,0,SUMIFS(Disbursements!$W:$W,Disbursements!$B:$B,'Live Collections'!D2258,Disbursements!$D:$D,'Live Collections'!F2258)))</f>
        <v>0</v>
      </c>
      <c r="T621" s="304">
        <f t="shared" si="30"/>
        <v>0</v>
      </c>
      <c r="U621" s="52"/>
      <c r="V621" s="34"/>
      <c r="W621" s="408"/>
    </row>
    <row r="622" spans="1:23" ht="12.75" customHeight="1" x14ac:dyDescent="0.2">
      <c r="A622" s="132">
        <v>615</v>
      </c>
      <c r="B622" s="44">
        <v>44425</v>
      </c>
      <c r="C622" s="44">
        <f t="shared" si="28"/>
        <v>44425</v>
      </c>
      <c r="D622" s="374">
        <v>23</v>
      </c>
      <c r="E622" s="291" t="str">
        <f>IFERROR(VLOOKUP($D622,'Clients-Live'!$A:$C,3,0),"")</f>
        <v>BADARU KEVIN ATELIONGA</v>
      </c>
      <c r="F622" s="291">
        <f>IFERROR(INDEX(Disbursements!$D:$D,MATCH('Live Collections'!G622,Disbursements!$C:$C,0)),"")</f>
        <v>1</v>
      </c>
      <c r="G622" s="34">
        <v>14</v>
      </c>
      <c r="H622" s="34"/>
      <c r="I622" s="34" t="s">
        <v>1357</v>
      </c>
      <c r="J622" s="48"/>
      <c r="K622" s="48"/>
      <c r="L622" s="48"/>
      <c r="M622" s="48"/>
      <c r="N622" s="59"/>
      <c r="O622" s="59">
        <v>390000</v>
      </c>
      <c r="P622" s="59"/>
      <c r="Q622" s="268">
        <f t="shared" si="29"/>
        <v>390000</v>
      </c>
      <c r="R622" s="61">
        <f>IF(O622=0,0,SUMIFS(Disbursements!$T:$T,Disbursements!$B:$B,'Live Collections'!D622,Disbursements!$D:$D,'Live Collections'!F622))</f>
        <v>33000</v>
      </c>
      <c r="S622" s="304"/>
      <c r="T622" s="304">
        <f t="shared" si="30"/>
        <v>390000</v>
      </c>
      <c r="U622" s="52"/>
      <c r="V622" s="34"/>
      <c r="W622" s="408"/>
    </row>
    <row r="623" spans="1:23" ht="12.75" customHeight="1" x14ac:dyDescent="0.2">
      <c r="A623" s="257">
        <v>622</v>
      </c>
      <c r="B623" s="44">
        <v>44425</v>
      </c>
      <c r="C623" s="44">
        <f t="shared" si="28"/>
        <v>44425</v>
      </c>
      <c r="D623" s="374">
        <v>60</v>
      </c>
      <c r="E623" s="291" t="str">
        <f>IFERROR(VLOOKUP($D623,'Clients-Live'!$A:$C,3,0),"")</f>
        <v>MATURU ALICE</v>
      </c>
      <c r="F623" s="291">
        <f>IFERROR(INDEX(Disbursements!$D:$D,MATCH('Live Collections'!G623,Disbursements!$C:$C,0)),"")</f>
        <v>1</v>
      </c>
      <c r="G623" s="34">
        <v>60</v>
      </c>
      <c r="H623" s="34"/>
      <c r="I623" s="34" t="s">
        <v>1358</v>
      </c>
      <c r="J623" s="48"/>
      <c r="K623" s="48"/>
      <c r="L623" s="48"/>
      <c r="M623" s="48"/>
      <c r="N623" s="59"/>
      <c r="O623" s="59">
        <v>120000</v>
      </c>
      <c r="P623" s="59"/>
      <c r="Q623" s="268">
        <f t="shared" si="29"/>
        <v>120000</v>
      </c>
      <c r="R623" s="61">
        <f>IF(O623=0,0,SUMIFS(Disbursements!$T:$T,Disbursements!$B:$B,'Live Collections'!D623,Disbursements!$D:$D,'Live Collections'!F623))</f>
        <v>120000</v>
      </c>
      <c r="S623" s="304">
        <f>IF(O623&lt;=IF($O623=0,0,SUMIFS(Disbursements!$W:$W,Disbursements!$B:$B,'Live Collections'!D715,Disbursements!$D:$D,'Live Collections'!F715)),O623,IF($O623=0,0,SUMIFS(Disbursements!$W:$W,Disbursements!$B:$B,'Live Collections'!D715,Disbursements!$D:$D,'Live Collections'!F715)))</f>
        <v>20666.666666666657</v>
      </c>
      <c r="T623" s="304">
        <f t="shared" si="30"/>
        <v>99333.333333333343</v>
      </c>
      <c r="U623" s="52"/>
      <c r="V623" s="34"/>
      <c r="W623" s="408"/>
    </row>
    <row r="624" spans="1:23" ht="12.75" customHeight="1" x14ac:dyDescent="0.2">
      <c r="A624" s="132">
        <v>618</v>
      </c>
      <c r="B624" s="44">
        <v>44425</v>
      </c>
      <c r="C624" s="44">
        <f t="shared" si="28"/>
        <v>44425</v>
      </c>
      <c r="D624" s="374">
        <v>65</v>
      </c>
      <c r="E624" s="291" t="str">
        <f>IFERROR(VLOOKUP($D624,'Clients-Live'!$A:$C,3,0),"")</f>
        <v>NDAWULA GERALD</v>
      </c>
      <c r="F624" s="291">
        <f>IFERROR(INDEX(Disbursements!$D:$D,MATCH('Live Collections'!G624,Disbursements!$C:$C,0)),"")</f>
        <v>1</v>
      </c>
      <c r="G624" s="34">
        <v>47</v>
      </c>
      <c r="H624" s="34"/>
      <c r="I624" s="34" t="s">
        <v>1359</v>
      </c>
      <c r="J624" s="48"/>
      <c r="K624" s="48"/>
      <c r="L624" s="48"/>
      <c r="M624" s="48"/>
      <c r="N624" s="59"/>
      <c r="O624" s="59">
        <v>100000</v>
      </c>
      <c r="P624" s="59"/>
      <c r="Q624" s="268">
        <f t="shared" si="29"/>
        <v>100000</v>
      </c>
      <c r="R624" s="61">
        <f>IF(O624=0,0,SUMIFS(Disbursements!$T:$T,Disbursements!$B:$B,'Live Collections'!D624,Disbursements!$D:$D,'Live Collections'!F624))</f>
        <v>217000</v>
      </c>
      <c r="S624" s="304">
        <f>IF(O624&lt;=IF($O624=0,0,SUMIFS(Disbursements!$W:$W,Disbursements!$B:$B,'Live Collections'!D777,Disbursements!$D:$D,'Live Collections'!F777)),O624,IF($O624=0,0,SUMIFS(Disbursements!$W:$W,Disbursements!$B:$B,'Live Collections'!D777,Disbursements!$D:$D,'Live Collections'!F777)))</f>
        <v>25666.666666666672</v>
      </c>
      <c r="T624" s="304">
        <f t="shared" si="30"/>
        <v>74333.333333333328</v>
      </c>
      <c r="U624" s="52"/>
      <c r="V624" s="34"/>
      <c r="W624" s="408"/>
    </row>
    <row r="625" spans="1:23" ht="12.75" customHeight="1" x14ac:dyDescent="0.2">
      <c r="A625" s="257">
        <v>620</v>
      </c>
      <c r="B625" s="44">
        <v>44425</v>
      </c>
      <c r="C625" s="44">
        <f t="shared" si="28"/>
        <v>44425</v>
      </c>
      <c r="D625" s="374">
        <v>66</v>
      </c>
      <c r="E625" s="291" t="str">
        <f>IFERROR(VLOOKUP($D625,'Clients-Live'!$A:$C,3,0),"")</f>
        <v>DENAYA NYAMAZA</v>
      </c>
      <c r="F625" s="291">
        <f>IFERROR(INDEX(Disbursements!$D:$D,MATCH('Live Collections'!G625,Disbursements!$C:$C,0)),"")</f>
        <v>1</v>
      </c>
      <c r="G625" s="34">
        <v>53</v>
      </c>
      <c r="H625" s="34"/>
      <c r="I625" s="34" t="s">
        <v>1357</v>
      </c>
      <c r="J625" s="48"/>
      <c r="K625" s="48"/>
      <c r="L625" s="48"/>
      <c r="M625" s="48"/>
      <c r="N625" s="59"/>
      <c r="O625" s="59">
        <v>100000</v>
      </c>
      <c r="P625" s="59"/>
      <c r="Q625" s="268">
        <f t="shared" si="29"/>
        <v>100000</v>
      </c>
      <c r="R625" s="61">
        <f>IF(O625=0,0,SUMIFS(Disbursements!$T:$T,Disbursements!$B:$B,'Live Collections'!D625,Disbursements!$D:$D,'Live Collections'!F625))</f>
        <v>109000</v>
      </c>
      <c r="S625" s="304">
        <f>IF(O625&lt;=IF($O625=0,0,SUMIFS(Disbursements!$W:$W,Disbursements!$B:$B,'Live Collections'!D1193,Disbursements!$D:$D,'Live Collections'!F1193)),O625,IF($O625=0,0,SUMIFS(Disbursements!$W:$W,Disbursements!$B:$B,'Live Collections'!D1193,Disbursements!$D:$D,'Live Collections'!F1193)))</f>
        <v>50333.333333333343</v>
      </c>
      <c r="T625" s="304">
        <f t="shared" si="30"/>
        <v>49666.666666666657</v>
      </c>
      <c r="U625" s="52"/>
      <c r="V625" s="34"/>
      <c r="W625" s="408"/>
    </row>
    <row r="626" spans="1:23" ht="12.75" customHeight="1" x14ac:dyDescent="0.2">
      <c r="A626" s="132">
        <v>617</v>
      </c>
      <c r="B626" s="44">
        <v>44425</v>
      </c>
      <c r="C626" s="44">
        <f t="shared" si="28"/>
        <v>44425</v>
      </c>
      <c r="D626" s="374">
        <v>101</v>
      </c>
      <c r="E626" s="291" t="str">
        <f>IFERROR(VLOOKUP($D626,'Clients-Live'!$A:$C,3,0),"")</f>
        <v>AYIKO STEPHEN</v>
      </c>
      <c r="F626" s="291">
        <f>IFERROR(INDEX(Disbursements!$D:$D,MATCH('Live Collections'!G626,Disbursements!$C:$C,0)),"")</f>
        <v>1</v>
      </c>
      <c r="G626" s="34">
        <v>80</v>
      </c>
      <c r="H626" s="34"/>
      <c r="I626" s="34" t="s">
        <v>1357</v>
      </c>
      <c r="J626" s="48"/>
      <c r="K626" s="48"/>
      <c r="L626" s="48"/>
      <c r="M626" s="48"/>
      <c r="N626" s="59"/>
      <c r="O626" s="59">
        <v>440000</v>
      </c>
      <c r="P626" s="59"/>
      <c r="Q626" s="268">
        <f t="shared" si="29"/>
        <v>440000</v>
      </c>
      <c r="R626" s="61">
        <f>IF(O626=0,0,SUMIFS(Disbursements!$T:$T,Disbursements!$B:$B,'Live Collections'!D626,Disbursements!$D:$D,'Live Collections'!F626))</f>
        <v>2150000</v>
      </c>
      <c r="S626" s="304">
        <f>IF(O626&lt;=IF($O626=0,0,SUMIFS(Disbursements!$W:$W,Disbursements!$B:$B,'Live Collections'!D1304,Disbursements!$D:$D,'Live Collections'!F1304)),O626,IF($O626=0,0,SUMIFS(Disbursements!$W:$W,Disbursements!$B:$B,'Live Collections'!D1304,Disbursements!$D:$D,'Live Collections'!F1304)))</f>
        <v>20000</v>
      </c>
      <c r="T626" s="304">
        <f t="shared" si="30"/>
        <v>420000</v>
      </c>
      <c r="U626" s="52"/>
      <c r="V626" s="34"/>
      <c r="W626" s="408"/>
    </row>
    <row r="627" spans="1:23" ht="12.75" customHeight="1" x14ac:dyDescent="0.2">
      <c r="A627" s="257">
        <v>616</v>
      </c>
      <c r="B627" s="44">
        <v>44425</v>
      </c>
      <c r="C627" s="44">
        <f t="shared" si="28"/>
        <v>44425</v>
      </c>
      <c r="D627" s="374">
        <v>106</v>
      </c>
      <c r="E627" s="291" t="str">
        <f>IFERROR(VLOOKUP($D627,'Clients-Live'!$A:$C,3,0),"")</f>
        <v>ORODRIYO  NUSURA</v>
      </c>
      <c r="F627" s="291">
        <f>IFERROR(INDEX(Disbursements!$D:$D,MATCH('Live Collections'!G627,Disbursements!$C:$C,0)),"")</f>
        <v>1</v>
      </c>
      <c r="G627" s="34">
        <v>89</v>
      </c>
      <c r="H627" s="34">
        <v>1029</v>
      </c>
      <c r="I627" s="34" t="s">
        <v>1357</v>
      </c>
      <c r="J627" s="48"/>
      <c r="K627" s="48"/>
      <c r="L627" s="48"/>
      <c r="M627" s="48"/>
      <c r="N627" s="59"/>
      <c r="O627" s="59">
        <v>30000</v>
      </c>
      <c r="P627" s="59"/>
      <c r="Q627" s="268">
        <f t="shared" si="29"/>
        <v>30000</v>
      </c>
      <c r="R627" s="61">
        <f>IF(O627=0,0,SUMIFS(Disbursements!$T:$T,Disbursements!$B:$B,'Live Collections'!D627,Disbursements!$D:$D,'Live Collections'!F627))</f>
        <v>20000</v>
      </c>
      <c r="S627" s="304">
        <v>0</v>
      </c>
      <c r="T627" s="304">
        <f t="shared" si="30"/>
        <v>30000</v>
      </c>
      <c r="U627" s="52"/>
      <c r="V627" s="34"/>
      <c r="W627" s="408"/>
    </row>
    <row r="628" spans="1:23" ht="12.75" customHeight="1" x14ac:dyDescent="0.2">
      <c r="A628" s="132">
        <v>621</v>
      </c>
      <c r="B628" s="44">
        <v>44425</v>
      </c>
      <c r="C628" s="44">
        <f t="shared" si="28"/>
        <v>44425</v>
      </c>
      <c r="D628" s="374">
        <v>118</v>
      </c>
      <c r="E628" s="291" t="str">
        <f>IFERROR(VLOOKUP($D628,'Clients-Live'!$A:$C,3,0),"")</f>
        <v>ONYANGO CHARLES JOGOO</v>
      </c>
      <c r="F628" s="291">
        <f>IFERROR(INDEX(Disbursements!$D:$D,MATCH('Live Collections'!G628,Disbursements!$C:$C,0)),"")</f>
        <v>1</v>
      </c>
      <c r="G628" s="34">
        <v>109</v>
      </c>
      <c r="H628" s="34"/>
      <c r="I628" s="34" t="s">
        <v>1358</v>
      </c>
      <c r="J628" s="48"/>
      <c r="K628" s="48"/>
      <c r="L628" s="48"/>
      <c r="M628" s="48"/>
      <c r="N628" s="59"/>
      <c r="O628" s="59">
        <v>216700</v>
      </c>
      <c r="P628" s="59"/>
      <c r="Q628" s="268">
        <f t="shared" si="29"/>
        <v>216700</v>
      </c>
      <c r="R628" s="61">
        <f>IF(O628=0,0,SUMIFS(Disbursements!$T:$T,Disbursements!$B:$B,'Live Collections'!D628,Disbursements!$D:$D,'Live Collections'!F628))</f>
        <v>217000</v>
      </c>
      <c r="S628" s="304">
        <f>IF(O628&lt;=IF($O628=0,0,SUMIFS(Disbursements!$W:$W,Disbursements!$B:$B,'Live Collections'!D1528,Disbursements!$D:$D,'Live Collections'!F1528)),O628,IF($O628=0,0,SUMIFS(Disbursements!$W:$W,Disbursements!$B:$B,'Live Collections'!D1528,Disbursements!$D:$D,'Live Collections'!F1528)))</f>
        <v>113000</v>
      </c>
      <c r="T628" s="304">
        <f t="shared" si="30"/>
        <v>103700</v>
      </c>
      <c r="U628" s="52"/>
      <c r="V628" s="34"/>
      <c r="W628" s="408"/>
    </row>
    <row r="629" spans="1:23" ht="12.75" customHeight="1" x14ac:dyDescent="0.2">
      <c r="A629" s="257">
        <v>619</v>
      </c>
      <c r="B629" s="44">
        <v>44425</v>
      </c>
      <c r="C629" s="44">
        <f t="shared" si="28"/>
        <v>44425</v>
      </c>
      <c r="D629" s="374">
        <v>146</v>
      </c>
      <c r="E629" s="291" t="str">
        <f>IFERROR(VLOOKUP($D629,'Clients-Live'!$A:$C,3,0),"")</f>
        <v>IMBIRA AISHA</v>
      </c>
      <c r="F629" s="291">
        <f>IFERROR(INDEX(Disbursements!$D:$D,MATCH('Live Collections'!G629,Disbursements!$C:$C,0)),"")</f>
        <v>1</v>
      </c>
      <c r="G629" s="34">
        <v>133</v>
      </c>
      <c r="H629" s="34">
        <v>998</v>
      </c>
      <c r="I629" s="34" t="s">
        <v>1357</v>
      </c>
      <c r="J629" s="48"/>
      <c r="K629" s="48"/>
      <c r="L629" s="48"/>
      <c r="M629" s="48"/>
      <c r="N629" s="59"/>
      <c r="O629" s="59">
        <v>30000</v>
      </c>
      <c r="P629" s="59"/>
      <c r="Q629" s="268">
        <f t="shared" si="29"/>
        <v>30000</v>
      </c>
      <c r="R629" s="61">
        <f>IF(O629=0,0,SUMIFS(Disbursements!$T:$T,Disbursements!$B:$B,'Live Collections'!D629,Disbursements!$D:$D,'Live Collections'!F629))</f>
        <v>120000</v>
      </c>
      <c r="S629" s="304">
        <f>IF(O629&lt;=IF($O629=0,0,SUMIFS(Disbursements!$W:$W,Disbursements!$B:$B,'Live Collections'!D1841,Disbursements!$D:$D,'Live Collections'!F1841)),O629,IF($O629=0,0,SUMIFS(Disbursements!$W:$W,Disbursements!$B:$B,'Live Collections'!D1841,Disbursements!$D:$D,'Live Collections'!F1841)))</f>
        <v>25000</v>
      </c>
      <c r="T629" s="304">
        <f t="shared" si="30"/>
        <v>5000</v>
      </c>
      <c r="U629" s="52"/>
      <c r="V629" s="34"/>
      <c r="W629" s="408"/>
    </row>
    <row r="630" spans="1:23" ht="12.75" customHeight="1" x14ac:dyDescent="0.2">
      <c r="A630" s="132">
        <v>613</v>
      </c>
      <c r="B630" s="44">
        <v>44425</v>
      </c>
      <c r="C630" s="44">
        <f t="shared" si="28"/>
        <v>44425</v>
      </c>
      <c r="D630" s="374">
        <v>187</v>
      </c>
      <c r="E630" s="291" t="str">
        <f>IFERROR(VLOOKUP($D630,'Clients-Live'!$A:$C,3,0),"")</f>
        <v xml:space="preserve">AJIO HARRIET </v>
      </c>
      <c r="F630" s="291" t="str">
        <f>IFERROR(INDEX(Disbursements!$D:$D,MATCH('Live Collections'!G630,Disbursements!$C:$C,0)),"")</f>
        <v/>
      </c>
      <c r="G630" s="34"/>
      <c r="H630" s="34"/>
      <c r="I630" s="34" t="s">
        <v>1814</v>
      </c>
      <c r="J630" s="48">
        <v>15000</v>
      </c>
      <c r="K630" s="48">
        <v>5000</v>
      </c>
      <c r="L630" s="48"/>
      <c r="M630" s="48"/>
      <c r="N630" s="59"/>
      <c r="O630" s="59"/>
      <c r="P630" s="59"/>
      <c r="Q630" s="268">
        <f t="shared" si="29"/>
        <v>20000</v>
      </c>
      <c r="R630" s="61">
        <f>IF(O630=0,0,SUMIFS(Disbursements!$T:$T,Disbursements!$B:$B,'Live Collections'!D630,Disbursements!$D:$D,'Live Collections'!F630))</f>
        <v>0</v>
      </c>
      <c r="S630" s="304">
        <f>IF(O630&lt;=IF($O630=0,0,SUMIFS(Disbursements!$W:$W,Disbursements!$B:$B,'Live Collections'!D2273,Disbursements!$D:$D,'Live Collections'!F2273)),O630,IF($O630=0,0,SUMIFS(Disbursements!$W:$W,Disbursements!$B:$B,'Live Collections'!D2273,Disbursements!$D:$D,'Live Collections'!F2273)))</f>
        <v>0</v>
      </c>
      <c r="T630" s="304">
        <f t="shared" si="30"/>
        <v>0</v>
      </c>
      <c r="U630" s="52">
        <v>774565525</v>
      </c>
      <c r="V630" s="34"/>
      <c r="W630" s="408" t="s">
        <v>1254</v>
      </c>
    </row>
    <row r="631" spans="1:23" ht="12.75" customHeight="1" x14ac:dyDescent="0.2">
      <c r="A631" s="257">
        <v>614</v>
      </c>
      <c r="B631" s="44">
        <v>44425</v>
      </c>
      <c r="C631" s="44">
        <f t="shared" si="28"/>
        <v>44425</v>
      </c>
      <c r="D631" s="374">
        <v>188</v>
      </c>
      <c r="E631" s="291" t="str">
        <f>IFERROR(VLOOKUP($D631,'Clients-Live'!$A:$C,3,0),"")</f>
        <v>ADIRU HELLEN</v>
      </c>
      <c r="F631" s="291" t="str">
        <f>IFERROR(INDEX(Disbursements!$D:$D,MATCH('Live Collections'!G631,Disbursements!$C:$C,0)),"")</f>
        <v/>
      </c>
      <c r="G631" s="34"/>
      <c r="H631" s="34"/>
      <c r="I631" s="34" t="s">
        <v>1814</v>
      </c>
      <c r="J631" s="48">
        <v>15000</v>
      </c>
      <c r="K631" s="48">
        <v>5000</v>
      </c>
      <c r="L631" s="48"/>
      <c r="M631" s="48"/>
      <c r="N631" s="59"/>
      <c r="O631" s="59"/>
      <c r="P631" s="59"/>
      <c r="Q631" s="268">
        <f t="shared" si="29"/>
        <v>20000</v>
      </c>
      <c r="R631" s="61">
        <f>IF(O631=0,0,SUMIFS(Disbursements!$T:$T,Disbursements!$B:$B,'Live Collections'!D631,Disbursements!$D:$D,'Live Collections'!F631))</f>
        <v>0</v>
      </c>
      <c r="S631" s="304">
        <f>IF(O631&lt;=IF($O631=0,0,SUMIFS(Disbursements!$W:$W,Disbursements!$B:$B,'Live Collections'!D2281,Disbursements!$D:$D,'Live Collections'!F2281)),O631,IF($O631=0,0,SUMIFS(Disbursements!$W:$W,Disbursements!$B:$B,'Live Collections'!D2281,Disbursements!$D:$D,'Live Collections'!F2281)))</f>
        <v>0</v>
      </c>
      <c r="T631" s="304">
        <f t="shared" si="30"/>
        <v>0</v>
      </c>
      <c r="U631" s="52">
        <v>773556773</v>
      </c>
      <c r="V631" s="34"/>
      <c r="W631" s="408" t="s">
        <v>1254</v>
      </c>
    </row>
    <row r="632" spans="1:23" ht="12.75" customHeight="1" x14ac:dyDescent="0.2">
      <c r="A632" s="132">
        <v>635</v>
      </c>
      <c r="B632" s="44">
        <v>44426</v>
      </c>
      <c r="C632" s="44">
        <f t="shared" si="28"/>
        <v>44426</v>
      </c>
      <c r="D632" s="374">
        <v>6</v>
      </c>
      <c r="E632" s="291" t="str">
        <f>IFERROR(VLOOKUP($D632,'Clients-Live'!$A:$C,3,0),"")</f>
        <v>AMUTE BASHIR</v>
      </c>
      <c r="F632" s="291">
        <f>IFERROR(INDEX(Disbursements!$D:$D,MATCH('Live Collections'!G632,Disbursements!$C:$C,0)),"")</f>
        <v>2</v>
      </c>
      <c r="G632" s="34">
        <v>100</v>
      </c>
      <c r="H632" s="34"/>
      <c r="I632" s="34" t="s">
        <v>1358</v>
      </c>
      <c r="J632" s="48"/>
      <c r="K632" s="48"/>
      <c r="L632" s="48"/>
      <c r="M632" s="48"/>
      <c r="N632" s="59"/>
      <c r="O632" s="59">
        <v>500000</v>
      </c>
      <c r="P632" s="59"/>
      <c r="Q632" s="268">
        <f t="shared" si="29"/>
        <v>500000</v>
      </c>
      <c r="R632" s="61">
        <f>IF(O632=0,0,SUMIFS(Disbursements!$T:$T,Disbursements!$B:$B,'Live Collections'!D632,Disbursements!$D:$D,'Live Collections'!F632))</f>
        <v>1300000</v>
      </c>
      <c r="S632" s="304">
        <f>IF(O632&lt;=IF($O632=0,0,SUMIFS(Disbursements!$W:$W,Disbursements!$B:$B,'Live Collections'!D49,Disbursements!$D:$D,'Live Collections'!F49)),O632,IF($O632=0,0,SUMIFS(Disbursements!$W:$W,Disbursements!$B:$B,'Live Collections'!D49,Disbursements!$D:$D,'Live Collections'!F49)))</f>
        <v>25000</v>
      </c>
      <c r="T632" s="304">
        <f t="shared" si="30"/>
        <v>475000</v>
      </c>
      <c r="U632" s="52"/>
      <c r="V632" s="34"/>
      <c r="W632" s="408"/>
    </row>
    <row r="633" spans="1:23" ht="12.75" customHeight="1" x14ac:dyDescent="0.2">
      <c r="A633" s="257">
        <v>630</v>
      </c>
      <c r="B633" s="44">
        <v>44426</v>
      </c>
      <c r="C633" s="44">
        <f t="shared" si="28"/>
        <v>44426</v>
      </c>
      <c r="D633" s="374">
        <v>52</v>
      </c>
      <c r="E633" s="291" t="str">
        <f>IFERROR(VLOOKUP($D633,'Clients-Live'!$A:$C,3,0),"")</f>
        <v>EDEZU PEACE IRENE</v>
      </c>
      <c r="F633" s="291">
        <f>IFERROR(INDEX(Disbursements!$D:$D,MATCH('Live Collections'!G633,Disbursements!$C:$C,0)),"")</f>
        <v>1</v>
      </c>
      <c r="G633" s="34">
        <v>38</v>
      </c>
      <c r="H633" s="34"/>
      <c r="I633" s="34" t="s">
        <v>1357</v>
      </c>
      <c r="J633" s="48"/>
      <c r="K633" s="48"/>
      <c r="L633" s="48"/>
      <c r="M633" s="48"/>
      <c r="N633" s="59"/>
      <c r="O633" s="59">
        <v>50000</v>
      </c>
      <c r="P633" s="59"/>
      <c r="Q633" s="268">
        <f t="shared" si="29"/>
        <v>50000</v>
      </c>
      <c r="R633" s="61">
        <f>IF(O633=0,0,SUMIFS(Disbursements!$T:$T,Disbursements!$B:$B,'Live Collections'!D633,Disbursements!$D:$D,'Live Collections'!F633))</f>
        <v>150000</v>
      </c>
      <c r="S633" s="304">
        <f>IF(O633&lt;=IF($O633=0,0,SUMIFS(Disbursements!$W:$W,Disbursements!$B:$B,'Live Collections'!D602,Disbursements!$D:$D,'Live Collections'!F602)),O633,IF($O633=0,0,SUMIFS(Disbursements!$W:$W,Disbursements!$B:$B,'Live Collections'!D602,Disbursements!$D:$D,'Live Collections'!F602)))</f>
        <v>13000</v>
      </c>
      <c r="T633" s="304">
        <f t="shared" si="30"/>
        <v>37000</v>
      </c>
      <c r="U633" s="52"/>
      <c r="V633" s="34"/>
      <c r="W633" s="408"/>
    </row>
    <row r="634" spans="1:23" ht="12.75" customHeight="1" x14ac:dyDescent="0.2">
      <c r="A634" s="132">
        <v>628</v>
      </c>
      <c r="B634" s="44">
        <v>44426</v>
      </c>
      <c r="C634" s="44">
        <f t="shared" si="28"/>
        <v>44426</v>
      </c>
      <c r="D634" s="374">
        <v>63</v>
      </c>
      <c r="E634" s="291" t="str">
        <f>IFERROR(VLOOKUP($D634,'Clients-Live'!$A:$C,3,0),"")</f>
        <v>AWURU KADARA</v>
      </c>
      <c r="F634" s="291">
        <f>IFERROR(INDEX(Disbursements!$D:$D,MATCH('Live Collections'!G634,Disbursements!$C:$C,0)),"")</f>
        <v>2</v>
      </c>
      <c r="G634" s="34">
        <v>173</v>
      </c>
      <c r="H634" s="34">
        <v>973</v>
      </c>
      <c r="I634" s="34" t="s">
        <v>863</v>
      </c>
      <c r="J634" s="48"/>
      <c r="K634" s="48"/>
      <c r="L634" s="48">
        <v>15000</v>
      </c>
      <c r="M634" s="48">
        <v>5000</v>
      </c>
      <c r="N634" s="59"/>
      <c r="O634" s="59"/>
      <c r="P634" s="59">
        <v>60000</v>
      </c>
      <c r="Q634" s="268">
        <f t="shared" si="29"/>
        <v>80000</v>
      </c>
      <c r="R634" s="61">
        <f>IF(O634=0,0,SUMIFS(Disbursements!$T:$T,Disbursements!$B:$B,'Live Collections'!D634,Disbursements!$D:$D,'Live Collections'!F634))</f>
        <v>0</v>
      </c>
      <c r="S634" s="304">
        <f>IF(O634&lt;=IF($O634=0,0,SUMIFS(Disbursements!$W:$W,Disbursements!$B:$B,'Live Collections'!D754,Disbursements!$D:$D,'Live Collections'!F754)),O634,IF($O634=0,0,SUMIFS(Disbursements!$W:$W,Disbursements!$B:$B,'Live Collections'!D754,Disbursements!$D:$D,'Live Collections'!F754)))</f>
        <v>0</v>
      </c>
      <c r="T634" s="304">
        <f t="shared" si="30"/>
        <v>0</v>
      </c>
      <c r="U634" s="52"/>
      <c r="V634" s="34"/>
      <c r="W634" s="408"/>
    </row>
    <row r="635" spans="1:23" ht="12.75" customHeight="1" x14ac:dyDescent="0.2">
      <c r="A635" s="257">
        <v>631</v>
      </c>
      <c r="B635" s="44">
        <v>44426</v>
      </c>
      <c r="C635" s="44">
        <f t="shared" si="28"/>
        <v>44426</v>
      </c>
      <c r="D635" s="374">
        <v>70</v>
      </c>
      <c r="E635" s="291" t="str">
        <f>IFERROR(VLOOKUP($D635,'Clients-Live'!$A:$C,3,0),"")</f>
        <v>BUGA ALIKIA PHILLIP</v>
      </c>
      <c r="F635" s="291">
        <f>IFERROR(INDEX(Disbursements!$D:$D,MATCH('Live Collections'!G635,Disbursements!$C:$C,0)),"")</f>
        <v>1</v>
      </c>
      <c r="G635" s="34">
        <v>52</v>
      </c>
      <c r="H635" s="34"/>
      <c r="I635" s="34" t="s">
        <v>1358</v>
      </c>
      <c r="J635" s="48"/>
      <c r="K635" s="48"/>
      <c r="L635" s="48"/>
      <c r="M635" s="48"/>
      <c r="N635" s="59"/>
      <c r="O635" s="59">
        <v>173400</v>
      </c>
      <c r="P635" s="59"/>
      <c r="Q635" s="268">
        <f t="shared" si="29"/>
        <v>173400</v>
      </c>
      <c r="R635" s="61">
        <f>IF(O635=0,0,SUMIFS(Disbursements!$T:$T,Disbursements!$B:$B,'Live Collections'!D635,Disbursements!$D:$D,'Live Collections'!F635))</f>
        <v>174000</v>
      </c>
      <c r="S635" s="304">
        <f>IF(O635&lt;=IF($O635=0,0,SUMIFS(Disbursements!$W:$W,Disbursements!$B:$B,'Live Collections'!D871,Disbursements!$D:$D,'Live Collections'!F871)),O635,IF($O635=0,0,SUMIFS(Disbursements!$W:$W,Disbursements!$B:$B,'Live Collections'!D871,Disbursements!$D:$D,'Live Collections'!F871)))</f>
        <v>50333.333333333343</v>
      </c>
      <c r="T635" s="304">
        <f t="shared" si="30"/>
        <v>123066.66666666666</v>
      </c>
      <c r="U635" s="52"/>
      <c r="V635" s="34"/>
      <c r="W635" s="408"/>
    </row>
    <row r="636" spans="1:23" ht="12.75" customHeight="1" x14ac:dyDescent="0.2">
      <c r="A636" s="132">
        <v>629</v>
      </c>
      <c r="B636" s="44">
        <v>44426</v>
      </c>
      <c r="C636" s="44">
        <f t="shared" si="28"/>
        <v>44426</v>
      </c>
      <c r="D636" s="374">
        <v>75</v>
      </c>
      <c r="E636" s="291" t="str">
        <f>IFERROR(VLOOKUP($D636,'Clients-Live'!$A:$C,3,0),"")</f>
        <v>MUKULIA JAMES</v>
      </c>
      <c r="F636" s="291">
        <f>IFERROR(INDEX(Disbursements!$D:$D,MATCH('Live Collections'!G636,Disbursements!$C:$C,0)),"")</f>
        <v>2</v>
      </c>
      <c r="G636" s="34">
        <v>174</v>
      </c>
      <c r="H636" s="34">
        <v>1049</v>
      </c>
      <c r="I636" s="34" t="s">
        <v>862</v>
      </c>
      <c r="J636" s="48"/>
      <c r="K636" s="48"/>
      <c r="L636" s="48">
        <v>15000</v>
      </c>
      <c r="M636" s="48">
        <v>5000</v>
      </c>
      <c r="N636" s="59"/>
      <c r="O636" s="59"/>
      <c r="P636" s="59">
        <v>30000</v>
      </c>
      <c r="Q636" s="268">
        <f t="shared" si="29"/>
        <v>50000</v>
      </c>
      <c r="R636" s="61">
        <f>IF(O636=0,0,SUMIFS(Disbursements!$T:$T,Disbursements!$B:$B,'Live Collections'!D636,Disbursements!$D:$D,'Live Collections'!F636))</f>
        <v>0</v>
      </c>
      <c r="S636" s="304">
        <f>IF(O636&lt;=IF($O636=0,0,SUMIFS(Disbursements!$W:$W,Disbursements!$B:$B,'Live Collections'!D953,Disbursements!$D:$D,'Live Collections'!F953)),O636,IF($O636=0,0,SUMIFS(Disbursements!$W:$W,Disbursements!$B:$B,'Live Collections'!D953,Disbursements!$D:$D,'Live Collections'!F953)))</f>
        <v>0</v>
      </c>
      <c r="T636" s="304">
        <f t="shared" si="30"/>
        <v>0</v>
      </c>
      <c r="U636" s="52"/>
      <c r="V636" s="34"/>
      <c r="W636" s="408"/>
    </row>
    <row r="637" spans="1:23" ht="12.75" customHeight="1" x14ac:dyDescent="0.2">
      <c r="A637" s="257">
        <v>633</v>
      </c>
      <c r="B637" s="44">
        <v>44426</v>
      </c>
      <c r="C637" s="44">
        <f t="shared" si="28"/>
        <v>44426</v>
      </c>
      <c r="D637" s="374">
        <v>78</v>
      </c>
      <c r="E637" s="291" t="str">
        <f>IFERROR(VLOOKUP($D637,'Clients-Live'!$A:$C,3,0),"")</f>
        <v>DIPIYO BEATRICE JOHN</v>
      </c>
      <c r="F637" s="291">
        <f>IFERROR(INDEX(Disbursements!$D:$D,MATCH('Live Collections'!G637,Disbursements!$C:$C,0)),"")</f>
        <v>1</v>
      </c>
      <c r="G637" s="34">
        <v>62</v>
      </c>
      <c r="H637" s="34"/>
      <c r="I637" s="34" t="s">
        <v>1359</v>
      </c>
      <c r="J637" s="48"/>
      <c r="K637" s="48"/>
      <c r="L637" s="48"/>
      <c r="M637" s="48"/>
      <c r="N637" s="59"/>
      <c r="O637" s="59">
        <v>175000</v>
      </c>
      <c r="P637" s="59"/>
      <c r="Q637" s="268">
        <f t="shared" si="29"/>
        <v>175000</v>
      </c>
      <c r="R637" s="61">
        <f>IF(O637=0,0,SUMIFS(Disbursements!$T:$T,Disbursements!$B:$B,'Live Collections'!D637,Disbursements!$D:$D,'Live Collections'!F637))</f>
        <v>175000</v>
      </c>
      <c r="S637" s="304">
        <f>IF(O637&lt;=IF($O637=0,0,SUMIFS(Disbursements!$W:$W,Disbursements!$B:$B,'Live Collections'!D999,Disbursements!$D:$D,'Live Collections'!F999)),O637,IF($O637=0,0,SUMIFS(Disbursements!$W:$W,Disbursements!$B:$B,'Live Collections'!D999,Disbursements!$D:$D,'Live Collections'!F999)))</f>
        <v>0</v>
      </c>
      <c r="T637" s="304">
        <f t="shared" si="30"/>
        <v>175000</v>
      </c>
      <c r="U637" s="52"/>
      <c r="V637" s="34"/>
      <c r="W637" s="408"/>
    </row>
    <row r="638" spans="1:23" ht="12.75" customHeight="1" x14ac:dyDescent="0.2">
      <c r="A638" s="132">
        <v>632</v>
      </c>
      <c r="B638" s="44">
        <v>44426</v>
      </c>
      <c r="C638" s="44">
        <f t="shared" si="28"/>
        <v>44426</v>
      </c>
      <c r="D638" s="374">
        <v>80</v>
      </c>
      <c r="E638" s="291" t="str">
        <f>IFERROR(VLOOKUP($D638,'Clients-Live'!$A:$C,3,0),"")</f>
        <v>ARIYE AISHA</v>
      </c>
      <c r="F638" s="291">
        <f>IFERROR(INDEX(Disbursements!$D:$D,MATCH('Live Collections'!G638,Disbursements!$C:$C,0)),"")</f>
        <v>1</v>
      </c>
      <c r="G638" s="34">
        <v>63</v>
      </c>
      <c r="H638" s="34"/>
      <c r="I638" s="34" t="s">
        <v>1357</v>
      </c>
      <c r="J638" s="48"/>
      <c r="K638" s="48"/>
      <c r="L638" s="48"/>
      <c r="M638" s="48"/>
      <c r="N638" s="59"/>
      <c r="O638" s="59">
        <v>250000</v>
      </c>
      <c r="P638" s="59"/>
      <c r="Q638" s="268">
        <f t="shared" si="29"/>
        <v>250000</v>
      </c>
      <c r="R638" s="61">
        <f>IF(O638=0,0,SUMIFS(Disbursements!$T:$T,Disbursements!$B:$B,'Live Collections'!D638,Disbursements!$D:$D,'Live Collections'!F638))</f>
        <v>250000</v>
      </c>
      <c r="S638" s="304">
        <f>IF(O638&lt;=IF($O638=0,0,SUMIFS(Disbursements!$W:$W,Disbursements!$B:$B,'Live Collections'!D1037,Disbursements!$D:$D,'Live Collections'!F1037)),O638,IF($O638=0,0,SUMIFS(Disbursements!$W:$W,Disbursements!$B:$B,'Live Collections'!D1037,Disbursements!$D:$D,'Live Collections'!F1037)))</f>
        <v>20666.666666666657</v>
      </c>
      <c r="T638" s="304">
        <f t="shared" si="30"/>
        <v>229333.33333333334</v>
      </c>
      <c r="U638" s="52"/>
      <c r="V638" s="34"/>
      <c r="W638" s="408"/>
    </row>
    <row r="639" spans="1:23" ht="12.75" customHeight="1" x14ac:dyDescent="0.2">
      <c r="A639" s="257">
        <v>634</v>
      </c>
      <c r="B639" s="44">
        <v>44426</v>
      </c>
      <c r="C639" s="44">
        <f t="shared" si="28"/>
        <v>44426</v>
      </c>
      <c r="D639" s="374">
        <v>134</v>
      </c>
      <c r="E639" s="291" t="str">
        <f>IFERROR(VLOOKUP($D639,'Clients-Live'!$A:$C,3,0),"")</f>
        <v>TABU NATALIYA</v>
      </c>
      <c r="F639" s="291">
        <f>IFERROR(INDEX(Disbursements!$D:$D,MATCH('Live Collections'!G639,Disbursements!$C:$C,0)),"")</f>
        <v>1</v>
      </c>
      <c r="G639" s="34">
        <v>117</v>
      </c>
      <c r="H639" s="34"/>
      <c r="I639" s="34" t="s">
        <v>1359</v>
      </c>
      <c r="J639" s="48"/>
      <c r="K639" s="48"/>
      <c r="L639" s="48"/>
      <c r="M639" s="48"/>
      <c r="N639" s="59"/>
      <c r="O639" s="59">
        <v>120000</v>
      </c>
      <c r="P639" s="59"/>
      <c r="Q639" s="268">
        <f t="shared" si="29"/>
        <v>120000</v>
      </c>
      <c r="R639" s="61">
        <f>IF(O639=0,0,SUMIFS(Disbursements!$T:$T,Disbursements!$B:$B,'Live Collections'!D639,Disbursements!$D:$D,'Live Collections'!F639))</f>
        <v>120000</v>
      </c>
      <c r="S639" s="304">
        <f>IF(O639&lt;=IF($O639=0,0,SUMIFS(Disbursements!$W:$W,Disbursements!$B:$B,'Live Collections'!D1977,Disbursements!$D:$D,'Live Collections'!F1977)),O639,IF($O639=0,0,SUMIFS(Disbursements!$W:$W,Disbursements!$B:$B,'Live Collections'!D1977,Disbursements!$D:$D,'Live Collections'!F1977)))</f>
        <v>30000</v>
      </c>
      <c r="T639" s="304">
        <f t="shared" si="30"/>
        <v>90000</v>
      </c>
      <c r="U639" s="52"/>
      <c r="V639" s="34"/>
      <c r="W639" s="408"/>
    </row>
    <row r="640" spans="1:23" ht="12.75" customHeight="1" x14ac:dyDescent="0.2">
      <c r="A640" s="132">
        <v>623</v>
      </c>
      <c r="B640" s="44">
        <v>44426</v>
      </c>
      <c r="C640" s="44">
        <f t="shared" si="28"/>
        <v>44426</v>
      </c>
      <c r="D640" s="374">
        <v>189</v>
      </c>
      <c r="E640" s="291" t="str">
        <f>IFERROR(VLOOKUP($D640,'Clients-Live'!$A:$C,3,0),"")</f>
        <v>AYIDA SELUWA</v>
      </c>
      <c r="F640" s="291" t="str">
        <f>IFERROR(INDEX(Disbursements!$D:$D,MATCH('Live Collections'!G640,Disbursements!$C:$C,0)),"")</f>
        <v/>
      </c>
      <c r="G640" s="34"/>
      <c r="H640" s="34"/>
      <c r="I640" s="34" t="s">
        <v>1814</v>
      </c>
      <c r="J640" s="48">
        <v>15000</v>
      </c>
      <c r="K640" s="48">
        <v>5000</v>
      </c>
      <c r="L640" s="48"/>
      <c r="M640" s="48"/>
      <c r="N640" s="59"/>
      <c r="O640" s="59"/>
      <c r="P640" s="59"/>
      <c r="Q640" s="268">
        <f t="shared" si="29"/>
        <v>20000</v>
      </c>
      <c r="R640" s="61">
        <f>IF(O640=0,0,SUMIFS(Disbursements!$T:$T,Disbursements!$B:$B,'Live Collections'!D640,Disbursements!$D:$D,'Live Collections'!F640))</f>
        <v>0</v>
      </c>
      <c r="S640" s="304">
        <f>IF(O640&lt;=IF($O640=0,0,SUMIFS(Disbursements!$W:$W,Disbursements!$B:$B,'Live Collections'!D2295,Disbursements!$D:$D,'Live Collections'!F2295)),O640,IF($O640=0,0,SUMIFS(Disbursements!$W:$W,Disbursements!$B:$B,'Live Collections'!D2295,Disbursements!$D:$D,'Live Collections'!F2295)))</f>
        <v>0</v>
      </c>
      <c r="T640" s="304">
        <f t="shared" si="30"/>
        <v>0</v>
      </c>
      <c r="U640" s="52">
        <v>788605788</v>
      </c>
      <c r="V640" s="34"/>
      <c r="W640" s="408" t="s">
        <v>1254</v>
      </c>
    </row>
    <row r="641" spans="1:23" ht="12.75" customHeight="1" x14ac:dyDescent="0.2">
      <c r="A641" s="257">
        <v>624</v>
      </c>
      <c r="B641" s="44">
        <v>44426</v>
      </c>
      <c r="C641" s="44">
        <f t="shared" si="28"/>
        <v>44426</v>
      </c>
      <c r="D641" s="374">
        <v>190</v>
      </c>
      <c r="E641" s="291" t="str">
        <f>IFERROR(VLOOKUP($D641,'Clients-Live'!$A:$C,3,0),"")</f>
        <v>TAISA AMINA</v>
      </c>
      <c r="F641" s="291" t="str">
        <f>IFERROR(INDEX(Disbursements!$D:$D,MATCH('Live Collections'!G641,Disbursements!$C:$C,0)),"")</f>
        <v/>
      </c>
      <c r="G641" s="34"/>
      <c r="H641" s="34"/>
      <c r="I641" s="34" t="s">
        <v>1814</v>
      </c>
      <c r="J641" s="48">
        <v>15000</v>
      </c>
      <c r="K641" s="48">
        <v>5000</v>
      </c>
      <c r="L641" s="48"/>
      <c r="M641" s="48"/>
      <c r="N641" s="59"/>
      <c r="O641" s="59"/>
      <c r="P641" s="59"/>
      <c r="Q641" s="268">
        <f t="shared" si="29"/>
        <v>20000</v>
      </c>
      <c r="R641" s="61">
        <f>IF(O641=0,0,SUMIFS(Disbursements!$T:$T,Disbursements!$B:$B,'Live Collections'!D641,Disbursements!$D:$D,'Live Collections'!F641))</f>
        <v>0</v>
      </c>
      <c r="S641" s="304">
        <f>IF(O641&lt;=IF($O641=0,0,SUMIFS(Disbursements!$W:$W,Disbursements!$B:$B,'Live Collections'!D2310,Disbursements!$D:$D,'Live Collections'!F2310)),O641,IF($O641=0,0,SUMIFS(Disbursements!$W:$W,Disbursements!$B:$B,'Live Collections'!D2310,Disbursements!$D:$D,'Live Collections'!F2310)))</f>
        <v>0</v>
      </c>
      <c r="T641" s="304">
        <f t="shared" si="30"/>
        <v>0</v>
      </c>
      <c r="U641" s="52">
        <v>778833050</v>
      </c>
      <c r="V641" s="34"/>
      <c r="W641" s="408"/>
    </row>
    <row r="642" spans="1:23" ht="12.75" customHeight="1" x14ac:dyDescent="0.2">
      <c r="A642" s="132">
        <v>625</v>
      </c>
      <c r="B642" s="44">
        <v>44426</v>
      </c>
      <c r="C642" s="44">
        <f t="shared" si="28"/>
        <v>44426</v>
      </c>
      <c r="D642" s="374">
        <v>191</v>
      </c>
      <c r="E642" s="291" t="str">
        <f>IFERROR(VLOOKUP($D642,'Clients-Live'!$A:$C,3,0),"")</f>
        <v>AYOZU JESCA TAIBO</v>
      </c>
      <c r="F642" s="291" t="str">
        <f>IFERROR(INDEX(Disbursements!$D:$D,MATCH('Live Collections'!G642,Disbursements!$C:$C,0)),"")</f>
        <v/>
      </c>
      <c r="G642" s="34"/>
      <c r="H642" s="34"/>
      <c r="I642" s="34" t="s">
        <v>1814</v>
      </c>
      <c r="J642" s="48">
        <v>15000</v>
      </c>
      <c r="K642" s="48">
        <v>5000</v>
      </c>
      <c r="L642" s="48"/>
      <c r="M642" s="48"/>
      <c r="N642" s="59"/>
      <c r="O642" s="59"/>
      <c r="P642" s="59"/>
      <c r="Q642" s="268">
        <f t="shared" si="29"/>
        <v>20000</v>
      </c>
      <c r="R642" s="61">
        <f>IF(O642=0,0,SUMIFS(Disbursements!$T:$T,Disbursements!$B:$B,'Live Collections'!D642,Disbursements!$D:$D,'Live Collections'!F642))</f>
        <v>0</v>
      </c>
      <c r="S642" s="304">
        <f>IF(O642&lt;=IF($O642=0,0,SUMIFS(Disbursements!$W:$W,Disbursements!$B:$B,'Live Collections'!D2318,Disbursements!$D:$D,'Live Collections'!F2318)),O642,IF($O642=0,0,SUMIFS(Disbursements!$W:$W,Disbursements!$B:$B,'Live Collections'!D2318,Disbursements!$D:$D,'Live Collections'!F2318)))</f>
        <v>0</v>
      </c>
      <c r="T642" s="304">
        <f t="shared" si="30"/>
        <v>0</v>
      </c>
      <c r="U642" s="52">
        <v>775096785</v>
      </c>
      <c r="V642" s="34"/>
      <c r="W642" s="408" t="s">
        <v>1255</v>
      </c>
    </row>
    <row r="643" spans="1:23" ht="12.75" customHeight="1" x14ac:dyDescent="0.2">
      <c r="A643" s="257">
        <v>626</v>
      </c>
      <c r="B643" s="44">
        <v>44426</v>
      </c>
      <c r="C643" s="44">
        <f t="shared" si="28"/>
        <v>44426</v>
      </c>
      <c r="D643" s="374">
        <v>192</v>
      </c>
      <c r="E643" s="291" t="str">
        <f>IFERROR(VLOOKUP($D643,'Clients-Live'!$A:$C,3,0),"")</f>
        <v>MAZARAU AISHA</v>
      </c>
      <c r="F643" s="291" t="str">
        <f>IFERROR(INDEX(Disbursements!$D:$D,MATCH('Live Collections'!G643,Disbursements!$C:$C,0)),"")</f>
        <v/>
      </c>
      <c r="G643" s="34"/>
      <c r="H643" s="34"/>
      <c r="I643" s="34" t="s">
        <v>1814</v>
      </c>
      <c r="J643" s="48">
        <v>15000</v>
      </c>
      <c r="K643" s="48">
        <v>5000</v>
      </c>
      <c r="L643" s="48"/>
      <c r="M643" s="48"/>
      <c r="N643" s="59"/>
      <c r="O643" s="59"/>
      <c r="P643" s="59"/>
      <c r="Q643" s="268">
        <f t="shared" si="29"/>
        <v>20000</v>
      </c>
      <c r="R643" s="61">
        <f>IF(O643=0,0,SUMIFS(Disbursements!$T:$T,Disbursements!$B:$B,'Live Collections'!D643,Disbursements!$D:$D,'Live Collections'!F643))</f>
        <v>0</v>
      </c>
      <c r="S643" s="304">
        <f>IF(O643&lt;=IF($O643=0,0,SUMIFS(Disbursements!$W:$W,Disbursements!$B:$B,'Live Collections'!D2325,Disbursements!$D:$D,'Live Collections'!F2325)),O643,IF($O643=0,0,SUMIFS(Disbursements!$W:$W,Disbursements!$B:$B,'Live Collections'!D2325,Disbursements!$D:$D,'Live Collections'!F2325)))</f>
        <v>0</v>
      </c>
      <c r="T643" s="304">
        <f t="shared" si="30"/>
        <v>0</v>
      </c>
      <c r="U643" s="52">
        <v>787668410</v>
      </c>
      <c r="V643" s="34"/>
      <c r="W643" s="408"/>
    </row>
    <row r="644" spans="1:23" ht="12.75" customHeight="1" x14ac:dyDescent="0.2">
      <c r="A644" s="132">
        <v>627</v>
      </c>
      <c r="B644" s="44">
        <v>44426</v>
      </c>
      <c r="C644" s="44">
        <f t="shared" si="28"/>
        <v>44426</v>
      </c>
      <c r="D644" s="374">
        <v>193</v>
      </c>
      <c r="E644" s="291" t="str">
        <f>IFERROR(VLOOKUP($D644,'Clients-Live'!$A:$C,3,0),"")</f>
        <v>ADIYE MARIAM</v>
      </c>
      <c r="F644" s="291" t="str">
        <f>IFERROR(INDEX(Disbursements!$D:$D,MATCH('Live Collections'!G644,Disbursements!$C:$C,0)),"")</f>
        <v/>
      </c>
      <c r="G644" s="34"/>
      <c r="H644" s="34"/>
      <c r="I644" s="34" t="s">
        <v>1814</v>
      </c>
      <c r="J644" s="48">
        <v>15000</v>
      </c>
      <c r="K644" s="48">
        <v>5000</v>
      </c>
      <c r="L644" s="48"/>
      <c r="M644" s="48"/>
      <c r="N644" s="59"/>
      <c r="O644" s="59"/>
      <c r="P644" s="59"/>
      <c r="Q644" s="268">
        <f t="shared" si="29"/>
        <v>20000</v>
      </c>
      <c r="R644" s="61">
        <f>IF(O644=0,0,SUMIFS(Disbursements!$T:$T,Disbursements!$B:$B,'Live Collections'!D644,Disbursements!$D:$D,'Live Collections'!F644))</f>
        <v>0</v>
      </c>
      <c r="S644" s="304">
        <f>IF(O644&lt;=IF($O644=0,0,SUMIFS(Disbursements!$W:$W,Disbursements!$B:$B,'Live Collections'!D2340,Disbursements!$D:$D,'Live Collections'!F2340)),O644,IF($O644=0,0,SUMIFS(Disbursements!$W:$W,Disbursements!$B:$B,'Live Collections'!D2340,Disbursements!$D:$D,'Live Collections'!F2340)))</f>
        <v>0</v>
      </c>
      <c r="T644" s="304">
        <f t="shared" si="30"/>
        <v>0</v>
      </c>
      <c r="U644" s="52">
        <v>791343509</v>
      </c>
      <c r="V644" s="34"/>
      <c r="W644" s="408"/>
    </row>
    <row r="645" spans="1:23" ht="12.75" customHeight="1" x14ac:dyDescent="0.2">
      <c r="A645" s="257">
        <v>648</v>
      </c>
      <c r="B645" s="44">
        <v>44427</v>
      </c>
      <c r="C645" s="44">
        <f t="shared" si="28"/>
        <v>44427</v>
      </c>
      <c r="D645" s="374">
        <v>15</v>
      </c>
      <c r="E645" s="291" t="str">
        <f>IFERROR(VLOOKUP($D645,'Clients-Live'!$A:$C,3,0),"")</f>
        <v>NATOSHA LUCY</v>
      </c>
      <c r="F645" s="291">
        <f>IFERROR(INDEX(Disbursements!$D:$D,MATCH('Live Collections'!G645,Disbursements!$C:$C,0)),"")</f>
        <v>1</v>
      </c>
      <c r="G645" s="34">
        <v>8</v>
      </c>
      <c r="H645" s="34"/>
      <c r="I645" s="34" t="s">
        <v>1358</v>
      </c>
      <c r="J645" s="48"/>
      <c r="K645" s="48"/>
      <c r="L645" s="48"/>
      <c r="M645" s="48"/>
      <c r="N645" s="59"/>
      <c r="O645" s="59">
        <v>440000</v>
      </c>
      <c r="P645" s="59"/>
      <c r="Q645" s="268">
        <f t="shared" si="29"/>
        <v>440000</v>
      </c>
      <c r="R645" s="61">
        <f>IF(O645=0,0,SUMIFS(Disbursements!$T:$T,Disbursements!$B:$B,'Live Collections'!D645,Disbursements!$D:$D,'Live Collections'!F645))</f>
        <v>434000</v>
      </c>
      <c r="S645" s="304">
        <f>IF(O645&lt;=IF($O645=0,0,SUMIFS(Disbursements!$W:$W,Disbursements!$B:$B,'Live Collections'!D157,Disbursements!$D:$D,'Live Collections'!F157)),O645,IF($O645=0,0,SUMIFS(Disbursements!$W:$W,Disbursements!$B:$B,'Live Collections'!D157,Disbursements!$D:$D,'Live Collections'!F157)))</f>
        <v>0</v>
      </c>
      <c r="T645" s="304">
        <f t="shared" si="30"/>
        <v>440000</v>
      </c>
      <c r="U645" s="52"/>
      <c r="V645" s="34"/>
      <c r="W645" s="408"/>
    </row>
    <row r="646" spans="1:23" ht="12.75" customHeight="1" x14ac:dyDescent="0.2">
      <c r="A646" s="132">
        <v>646</v>
      </c>
      <c r="B646" s="44">
        <v>44427</v>
      </c>
      <c r="C646" s="44">
        <f t="shared" si="28"/>
        <v>44427</v>
      </c>
      <c r="D646" s="374">
        <v>51</v>
      </c>
      <c r="E646" s="291" t="str">
        <f>IFERROR(VLOOKUP($D646,'Clients-Live'!$A:$C,3,0),"")</f>
        <v>AYILE STEPHEN</v>
      </c>
      <c r="F646" s="291">
        <f>IFERROR(INDEX(Disbursements!$D:$D,MATCH('Live Collections'!G646,Disbursements!$C:$C,0)),"")</f>
        <v>1</v>
      </c>
      <c r="G646" s="34">
        <v>34</v>
      </c>
      <c r="H646" s="34">
        <v>1117</v>
      </c>
      <c r="I646" s="34" t="s">
        <v>1359</v>
      </c>
      <c r="J646" s="48"/>
      <c r="K646" s="48"/>
      <c r="L646" s="48"/>
      <c r="M646" s="48"/>
      <c r="N646" s="59"/>
      <c r="O646" s="59">
        <v>30000</v>
      </c>
      <c r="P646" s="59"/>
      <c r="Q646" s="268">
        <f t="shared" si="29"/>
        <v>30000</v>
      </c>
      <c r="R646" s="61">
        <f>IF(O646=0,0,SUMIFS(Disbursements!$T:$T,Disbursements!$B:$B,'Live Collections'!D646,Disbursements!$D:$D,'Live Collections'!F646))</f>
        <v>325000</v>
      </c>
      <c r="S646" s="304">
        <f>IF(O646&lt;=IF($O646=0,0,SUMIFS(Disbursements!$W:$W,Disbursements!$B:$B,'Live Collections'!D590,Disbursements!$D:$D,'Live Collections'!F590)),O646,IF($O646=0,0,SUMIFS(Disbursements!$W:$W,Disbursements!$B:$B,'Live Collections'!D590,Disbursements!$D:$D,'Live Collections'!F590)))</f>
        <v>30000</v>
      </c>
      <c r="T646" s="304">
        <f t="shared" si="30"/>
        <v>0</v>
      </c>
      <c r="U646" s="52"/>
      <c r="V646" s="34"/>
      <c r="W646" s="408"/>
    </row>
    <row r="647" spans="1:23" ht="12.75" customHeight="1" x14ac:dyDescent="0.2">
      <c r="A647" s="257">
        <v>639</v>
      </c>
      <c r="B647" s="44">
        <v>44427</v>
      </c>
      <c r="C647" s="44">
        <f t="shared" si="28"/>
        <v>44427</v>
      </c>
      <c r="D647" s="374">
        <v>54</v>
      </c>
      <c r="E647" s="291" t="str">
        <f>IFERROR(VLOOKUP($D647,'Clients-Live'!$A:$C,3,0),"")</f>
        <v>MANENO ANIFA</v>
      </c>
      <c r="F647" s="291">
        <f>IFERROR(INDEX(Disbursements!$D:$D,MATCH('Live Collections'!G647,Disbursements!$C:$C,0)),"")</f>
        <v>1</v>
      </c>
      <c r="G647" s="34">
        <v>37</v>
      </c>
      <c r="H647" s="34"/>
      <c r="I647" s="34" t="s">
        <v>1357</v>
      </c>
      <c r="J647" s="48"/>
      <c r="K647" s="48"/>
      <c r="L647" s="48"/>
      <c r="M647" s="48"/>
      <c r="N647" s="59"/>
      <c r="O647" s="59">
        <v>15000</v>
      </c>
      <c r="P647" s="59"/>
      <c r="Q647" s="268">
        <f t="shared" si="29"/>
        <v>15000</v>
      </c>
      <c r="R647" s="61">
        <f>IF(O647=0,0,SUMIFS(Disbursements!$T:$T,Disbursements!$B:$B,'Live Collections'!D647,Disbursements!$D:$D,'Live Collections'!F647))</f>
        <v>150000</v>
      </c>
      <c r="S647" s="304">
        <f>IF(O647&lt;=IF($O647=0,0,SUMIFS(Disbursements!$W:$W,Disbursements!$B:$B,'Live Collections'!D634,Disbursements!$D:$D,'Live Collections'!F634)),O647,IF($O647=0,0,SUMIFS(Disbursements!$W:$W,Disbursements!$B:$B,'Live Collections'!D634,Disbursements!$D:$D,'Live Collections'!F634)))</f>
        <v>15000</v>
      </c>
      <c r="T647" s="304">
        <f t="shared" si="30"/>
        <v>0</v>
      </c>
      <c r="U647" s="52"/>
      <c r="V647" s="34"/>
      <c r="W647" s="408"/>
    </row>
    <row r="648" spans="1:23" ht="12.75" customHeight="1" x14ac:dyDescent="0.2">
      <c r="A648" s="132">
        <v>645</v>
      </c>
      <c r="B648" s="44">
        <v>44427</v>
      </c>
      <c r="C648" s="44">
        <f t="shared" ref="C648:C711" si="31">B648</f>
        <v>44427</v>
      </c>
      <c r="D648" s="374">
        <v>68</v>
      </c>
      <c r="E648" s="291" t="str">
        <f>IFERROR(VLOOKUP($D648,'Clients-Live'!$A:$C,3,0),"")</f>
        <v>CHANDIA  RAHIMA</v>
      </c>
      <c r="F648" s="291">
        <f>IFERROR(INDEX(Disbursements!$D:$D,MATCH('Live Collections'!G648,Disbursements!$C:$C,0)),"")</f>
        <v>1</v>
      </c>
      <c r="G648" s="34">
        <v>51</v>
      </c>
      <c r="H648" s="34">
        <v>1104</v>
      </c>
      <c r="I648" s="34" t="s">
        <v>1357</v>
      </c>
      <c r="J648" s="48"/>
      <c r="K648" s="48"/>
      <c r="L648" s="48"/>
      <c r="M648" s="48"/>
      <c r="N648" s="59"/>
      <c r="O648" s="59">
        <v>151700</v>
      </c>
      <c r="P648" s="59"/>
      <c r="Q648" s="268">
        <f t="shared" ref="Q648:Q711" si="32">SUM(J648:P648)</f>
        <v>151700</v>
      </c>
      <c r="R648" s="61">
        <f>IF(O648=0,0,SUMIFS(Disbursements!$T:$T,Disbursements!$B:$B,'Live Collections'!D648,Disbursements!$D:$D,'Live Collections'!F648))</f>
        <v>152000</v>
      </c>
      <c r="S648" s="304">
        <f>IF(O648&lt;=IF($O648=0,0,SUMIFS(Disbursements!$W:$W,Disbursements!$B:$B,'Live Collections'!D842,Disbursements!$D:$D,'Live Collections'!F842)),O648,IF($O648=0,0,SUMIFS(Disbursements!$W:$W,Disbursements!$B:$B,'Live Collections'!D842,Disbursements!$D:$D,'Live Collections'!F842)))</f>
        <v>20666.666666666657</v>
      </c>
      <c r="T648" s="304">
        <f t="shared" ref="T648:T711" si="33">IF(O648=0,0,O648-S648)</f>
        <v>131033.33333333334</v>
      </c>
      <c r="U648" s="52"/>
      <c r="V648" s="34"/>
      <c r="W648" s="408"/>
    </row>
    <row r="649" spans="1:23" ht="12.75" customHeight="1" x14ac:dyDescent="0.2">
      <c r="A649" s="257">
        <v>643</v>
      </c>
      <c r="B649" s="44">
        <v>44427</v>
      </c>
      <c r="C649" s="44">
        <f t="shared" si="31"/>
        <v>44427</v>
      </c>
      <c r="D649" s="374">
        <v>100</v>
      </c>
      <c r="E649" s="291" t="str">
        <f>IFERROR(VLOOKUP($D649,'Clients-Live'!$A:$C,3,0),"")</f>
        <v>LETAYO DORCUS</v>
      </c>
      <c r="F649" s="291">
        <f>IFERROR(INDEX(Disbursements!$D:$D,MATCH('Live Collections'!G649,Disbursements!$C:$C,0)),"")</f>
        <v>1</v>
      </c>
      <c r="G649" s="34">
        <v>82</v>
      </c>
      <c r="H649" s="34"/>
      <c r="I649" s="34" t="s">
        <v>1357</v>
      </c>
      <c r="J649" s="48"/>
      <c r="K649" s="48"/>
      <c r="L649" s="48"/>
      <c r="M649" s="48"/>
      <c r="N649" s="59"/>
      <c r="O649" s="59">
        <v>240000</v>
      </c>
      <c r="P649" s="59"/>
      <c r="Q649" s="268">
        <f t="shared" si="32"/>
        <v>240000</v>
      </c>
      <c r="R649" s="61">
        <f>IF(O649=0,0,SUMIFS(Disbursements!$T:$T,Disbursements!$B:$B,'Live Collections'!D649,Disbursements!$D:$D,'Live Collections'!F649))</f>
        <v>90000</v>
      </c>
      <c r="S649" s="304">
        <f>IF(O649&lt;=IF($O649=0,0,SUMIFS(Disbursements!$W:$W,Disbursements!$B:$B,'Live Collections'!D1291,Disbursements!$D:$D,'Live Collections'!F1291)),O649,IF($O649=0,0,SUMIFS(Disbursements!$W:$W,Disbursements!$B:$B,'Live Collections'!D1291,Disbursements!$D:$D,'Live Collections'!F1291)))</f>
        <v>0</v>
      </c>
      <c r="T649" s="304">
        <f t="shared" si="33"/>
        <v>240000</v>
      </c>
      <c r="U649" s="52"/>
      <c r="V649" s="34"/>
      <c r="W649" s="408"/>
    </row>
    <row r="650" spans="1:23" ht="12.75" customHeight="1" x14ac:dyDescent="0.2">
      <c r="A650" s="132">
        <v>642</v>
      </c>
      <c r="B650" s="44">
        <v>44427</v>
      </c>
      <c r="C650" s="44">
        <f t="shared" si="31"/>
        <v>44427</v>
      </c>
      <c r="D650" s="374">
        <v>109</v>
      </c>
      <c r="E650" s="291" t="str">
        <f>IFERROR(VLOOKUP($D650,'Clients-Live'!$A:$C,3,0),"")</f>
        <v>TABU KISA</v>
      </c>
      <c r="F650" s="291">
        <f>IFERROR(INDEX(Disbursements!$D:$D,MATCH('Live Collections'!G650,Disbursements!$C:$C,0)),"")</f>
        <v>1</v>
      </c>
      <c r="G650" s="34">
        <v>93</v>
      </c>
      <c r="H650" s="34"/>
      <c r="I650" s="34" t="s">
        <v>1357</v>
      </c>
      <c r="J650" s="48"/>
      <c r="K650" s="48"/>
      <c r="L650" s="48"/>
      <c r="M650" s="48"/>
      <c r="N650" s="59"/>
      <c r="O650" s="59">
        <v>20000</v>
      </c>
      <c r="P650" s="59"/>
      <c r="Q650" s="268">
        <f t="shared" si="32"/>
        <v>20000</v>
      </c>
      <c r="R650" s="61">
        <f>IF(O650=0,0,SUMIFS(Disbursements!$T:$T,Disbursements!$B:$B,'Live Collections'!D650,Disbursements!$D:$D,'Live Collections'!F650))</f>
        <v>315000</v>
      </c>
      <c r="S650" s="304">
        <f>IF(O650&lt;=IF($O650=0,0,SUMIFS(Disbursements!$W:$W,Disbursements!$B:$B,'Live Collections'!D1399,Disbursements!$D:$D,'Live Collections'!F1399)),O650,IF($O650=0,0,SUMIFS(Disbursements!$W:$W,Disbursements!$B:$B,'Live Collections'!D1399,Disbursements!$D:$D,'Live Collections'!F1399)))</f>
        <v>0</v>
      </c>
      <c r="T650" s="304">
        <f t="shared" si="33"/>
        <v>20000</v>
      </c>
      <c r="U650" s="52"/>
      <c r="V650" s="34"/>
      <c r="W650" s="408"/>
    </row>
    <row r="651" spans="1:23" ht="12.75" customHeight="1" x14ac:dyDescent="0.2">
      <c r="A651" s="257">
        <v>647</v>
      </c>
      <c r="B651" s="44">
        <v>44427</v>
      </c>
      <c r="C651" s="44">
        <f t="shared" si="31"/>
        <v>44427</v>
      </c>
      <c r="D651" s="374">
        <v>125</v>
      </c>
      <c r="E651" s="291" t="str">
        <f>IFERROR(VLOOKUP($D651,'Clients-Live'!$A:$C,3,0),"")</f>
        <v>SUNDAY SCOVIA</v>
      </c>
      <c r="F651" s="291">
        <f>IFERROR(INDEX(Disbursements!$D:$D,MATCH('Live Collections'!G651,Disbursements!$C:$C,0)),"")</f>
        <v>1</v>
      </c>
      <c r="G651" s="34">
        <v>111</v>
      </c>
      <c r="H651" s="34">
        <v>1116</v>
      </c>
      <c r="I651" s="34" t="s">
        <v>1358</v>
      </c>
      <c r="J651" s="48"/>
      <c r="K651" s="48"/>
      <c r="L651" s="48"/>
      <c r="M651" s="48"/>
      <c r="N651" s="59"/>
      <c r="O651" s="59">
        <v>60000</v>
      </c>
      <c r="P651" s="59"/>
      <c r="Q651" s="268">
        <f t="shared" si="32"/>
        <v>60000</v>
      </c>
      <c r="R651" s="61">
        <f>IF(O651=0,0,SUMIFS(Disbursements!$T:$T,Disbursements!$B:$B,'Live Collections'!D651,Disbursements!$D:$D,'Live Collections'!F651))</f>
        <v>120000</v>
      </c>
      <c r="S651" s="304">
        <f>IF(O651&lt;=IF($O651=0,0,SUMIFS(Disbursements!$W:$W,Disbursements!$B:$B,'Live Collections'!D1588,Disbursements!$D:$D,'Live Collections'!F1588)),O651,IF($O651=0,0,SUMIFS(Disbursements!$W:$W,Disbursements!$B:$B,'Live Collections'!D1588,Disbursements!$D:$D,'Live Collections'!F1588)))</f>
        <v>0</v>
      </c>
      <c r="T651" s="304">
        <f t="shared" si="33"/>
        <v>60000</v>
      </c>
      <c r="U651" s="52"/>
      <c r="V651" s="34"/>
      <c r="W651" s="408"/>
    </row>
    <row r="652" spans="1:23" ht="12.75" customHeight="1" x14ac:dyDescent="0.2">
      <c r="A652" s="132">
        <v>644</v>
      </c>
      <c r="B652" s="44">
        <v>44427</v>
      </c>
      <c r="C652" s="44">
        <f t="shared" si="31"/>
        <v>44427</v>
      </c>
      <c r="D652" s="374">
        <v>131</v>
      </c>
      <c r="E652" s="291" t="str">
        <f>IFERROR(VLOOKUP($D652,'Clients-Live'!$A:$C,3,0),"")</f>
        <v>CANDIRU ZAKIA</v>
      </c>
      <c r="F652" s="291">
        <f>IFERROR(INDEX(Disbursements!$D:$D,MATCH('Live Collections'!G652,Disbursements!$C:$C,0)),"")</f>
        <v>1</v>
      </c>
      <c r="G652" s="34">
        <v>115</v>
      </c>
      <c r="H652" s="34"/>
      <c r="I652" s="34" t="s">
        <v>1357</v>
      </c>
      <c r="J652" s="48"/>
      <c r="K652" s="48"/>
      <c r="L652" s="48"/>
      <c r="M652" s="48"/>
      <c r="N652" s="59"/>
      <c r="O652" s="59">
        <v>76700</v>
      </c>
      <c r="P652" s="59"/>
      <c r="Q652" s="268">
        <f t="shared" si="32"/>
        <v>76700</v>
      </c>
      <c r="R652" s="61">
        <f>IF(O652=0,0,SUMIFS(Disbursements!$T:$T,Disbursements!$B:$B,'Live Collections'!D652,Disbursements!$D:$D,'Live Collections'!F652))</f>
        <v>77000</v>
      </c>
      <c r="S652" s="304">
        <f>IF(O652&lt;=IF($O652=0,0,SUMIFS(Disbursements!$W:$W,Disbursements!$B:$B,'Live Collections'!D1655,Disbursements!$D:$D,'Live Collections'!F1655)),O652,IF($O652=0,0,SUMIFS(Disbursements!$W:$W,Disbursements!$B:$B,'Live Collections'!D1655,Disbursements!$D:$D,'Live Collections'!F1655)))</f>
        <v>0</v>
      </c>
      <c r="T652" s="304">
        <f t="shared" si="33"/>
        <v>76700</v>
      </c>
      <c r="U652" s="52"/>
      <c r="V652" s="34"/>
      <c r="W652" s="408"/>
    </row>
    <row r="653" spans="1:23" ht="12.75" customHeight="1" x14ac:dyDescent="0.2">
      <c r="A653" s="257">
        <v>640</v>
      </c>
      <c r="B653" s="44">
        <v>44427</v>
      </c>
      <c r="C653" s="44">
        <f t="shared" si="31"/>
        <v>44427</v>
      </c>
      <c r="D653" s="374">
        <v>136</v>
      </c>
      <c r="E653" s="291" t="str">
        <f>IFERROR(VLOOKUP($D653,'Clients-Live'!$A:$C,3,0),"")</f>
        <v>LEMERIGA GODWILL JOSEPH</v>
      </c>
      <c r="F653" s="291">
        <f>IFERROR(INDEX(Disbursements!$D:$D,MATCH('Live Collections'!G653,Disbursements!$C:$C,0)),"")</f>
        <v>1</v>
      </c>
      <c r="G653" s="34">
        <v>122</v>
      </c>
      <c r="H653" s="34"/>
      <c r="I653" s="34" t="s">
        <v>1357</v>
      </c>
      <c r="J653" s="48"/>
      <c r="K653" s="48"/>
      <c r="L653" s="48"/>
      <c r="M653" s="48"/>
      <c r="N653" s="59"/>
      <c r="O653" s="59">
        <v>50000</v>
      </c>
      <c r="P653" s="59"/>
      <c r="Q653" s="268">
        <f t="shared" si="32"/>
        <v>50000</v>
      </c>
      <c r="R653" s="61">
        <f>IF(O653=0,0,SUMIFS(Disbursements!$T:$T,Disbursements!$B:$B,'Live Collections'!D653,Disbursements!$D:$D,'Live Collections'!F653))</f>
        <v>120000</v>
      </c>
      <c r="S653" s="304">
        <f>IF(O653&lt;=IF($O653=0,0,SUMIFS(Disbursements!$W:$W,Disbursements!$B:$B,'Live Collections'!D1714,Disbursements!$D:$D,'Live Collections'!F1714)),O653,IF($O653=0,0,SUMIFS(Disbursements!$W:$W,Disbursements!$B:$B,'Live Collections'!D1714,Disbursements!$D:$D,'Live Collections'!F1714)))</f>
        <v>0</v>
      </c>
      <c r="T653" s="304">
        <f t="shared" si="33"/>
        <v>50000</v>
      </c>
      <c r="U653" s="52"/>
      <c r="V653" s="34"/>
      <c r="W653" s="408"/>
    </row>
    <row r="654" spans="1:23" ht="12.75" customHeight="1" x14ac:dyDescent="0.2">
      <c r="A654" s="132">
        <v>641</v>
      </c>
      <c r="B654" s="44">
        <v>44427</v>
      </c>
      <c r="C654" s="44">
        <f t="shared" si="31"/>
        <v>44427</v>
      </c>
      <c r="D654" s="374">
        <v>164</v>
      </c>
      <c r="E654" s="291" t="str">
        <f>IFERROR(VLOOKUP($D654,'Clients-Live'!$A:$C,3,0),"")</f>
        <v>ARIKE SWAIB</v>
      </c>
      <c r="F654" s="291">
        <f>IFERROR(INDEX(Disbursements!$D:$D,MATCH('Live Collections'!G654,Disbursements!$C:$C,0)),"")</f>
        <v>1</v>
      </c>
      <c r="G654" s="34">
        <v>154</v>
      </c>
      <c r="H654" s="34"/>
      <c r="I654" s="34" t="s">
        <v>1357</v>
      </c>
      <c r="J654" s="48"/>
      <c r="K654" s="48"/>
      <c r="L654" s="48"/>
      <c r="M654" s="48"/>
      <c r="N654" s="59"/>
      <c r="O654" s="59">
        <v>111000</v>
      </c>
      <c r="P654" s="59"/>
      <c r="Q654" s="268">
        <f t="shared" si="32"/>
        <v>111000</v>
      </c>
      <c r="R654" s="61">
        <f>IF(O654=0,0,SUMIFS(Disbursements!$T:$T,Disbursements!$B:$B,'Live Collections'!D654,Disbursements!$D:$D,'Live Collections'!F654))</f>
        <v>109000</v>
      </c>
      <c r="S654" s="304">
        <f>IF(O654&lt;=IF($O654=0,0,SUMIFS(Disbursements!$W:$W,Disbursements!$B:$B,'Live Collections'!D2025,Disbursements!$D:$D,'Live Collections'!F2025)),O654,IF($O654=0,0,SUMIFS(Disbursements!$W:$W,Disbursements!$B:$B,'Live Collections'!D2025,Disbursements!$D:$D,'Live Collections'!F2025)))</f>
        <v>35000</v>
      </c>
      <c r="T654" s="304">
        <f t="shared" si="33"/>
        <v>76000</v>
      </c>
      <c r="U654" s="52"/>
      <c r="V654" s="34"/>
      <c r="W654" s="408"/>
    </row>
    <row r="655" spans="1:23" ht="12.75" customHeight="1" x14ac:dyDescent="0.2">
      <c r="A655" s="257">
        <v>636</v>
      </c>
      <c r="B655" s="44">
        <v>44427</v>
      </c>
      <c r="C655" s="44">
        <f t="shared" si="31"/>
        <v>44427</v>
      </c>
      <c r="D655" s="374">
        <v>176</v>
      </c>
      <c r="E655" s="291" t="str">
        <f>IFERROR(VLOOKUP($D655,'Clients-Live'!$A:$C,3,0),"")</f>
        <v>AJONYE JANE SINANDUGU</v>
      </c>
      <c r="F655" s="291">
        <f>IFERROR(INDEX(Disbursements!$D:$D,MATCH('Live Collections'!G655,Disbursements!$C:$C,0)),"")</f>
        <v>1</v>
      </c>
      <c r="G655" s="34">
        <v>201</v>
      </c>
      <c r="H655" s="34"/>
      <c r="I655" s="34" t="s">
        <v>863</v>
      </c>
      <c r="J655" s="48"/>
      <c r="K655" s="48"/>
      <c r="L655" s="48">
        <v>20000</v>
      </c>
      <c r="M655" s="48">
        <v>5000</v>
      </c>
      <c r="N655" s="59"/>
      <c r="O655" s="59"/>
      <c r="P655" s="59">
        <v>120000</v>
      </c>
      <c r="Q655" s="268">
        <f t="shared" si="32"/>
        <v>145000</v>
      </c>
      <c r="R655" s="61">
        <f>IF(O655=0,0,SUMIFS(Disbursements!$T:$T,Disbursements!$B:$B,'Live Collections'!D655,Disbursements!$D:$D,'Live Collections'!F655))</f>
        <v>0</v>
      </c>
      <c r="S655" s="304">
        <f>IF(O655&lt;=IF($O655=0,0,SUMIFS(Disbursements!$W:$W,Disbursements!$B:$B,'Live Collections'!D2151,Disbursements!$D:$D,'Live Collections'!F2151)),O655,IF($O655=0,0,SUMIFS(Disbursements!$W:$W,Disbursements!$B:$B,'Live Collections'!D2151,Disbursements!$D:$D,'Live Collections'!F2151)))</f>
        <v>0</v>
      </c>
      <c r="T655" s="304">
        <f t="shared" si="33"/>
        <v>0</v>
      </c>
      <c r="U655" s="52"/>
      <c r="V655" s="34"/>
      <c r="W655" s="408"/>
    </row>
    <row r="656" spans="1:23" ht="12.75" customHeight="1" x14ac:dyDescent="0.2">
      <c r="A656" s="132">
        <v>637</v>
      </c>
      <c r="B656" s="44">
        <v>44427</v>
      </c>
      <c r="C656" s="44">
        <f t="shared" si="31"/>
        <v>44427</v>
      </c>
      <c r="D656" s="374">
        <v>182</v>
      </c>
      <c r="E656" s="291" t="str">
        <f>IFERROR(VLOOKUP($D656,'Clients-Live'!$A:$C,3,0),"")</f>
        <v>ANITE ZAM</v>
      </c>
      <c r="F656" s="291">
        <f>IFERROR(INDEX(Disbursements!$D:$D,MATCH('Live Collections'!G656,Disbursements!$C:$C,0)),"")</f>
        <v>1</v>
      </c>
      <c r="G656" s="34">
        <v>175</v>
      </c>
      <c r="H656" s="34"/>
      <c r="I656" s="34" t="s">
        <v>863</v>
      </c>
      <c r="J656" s="48"/>
      <c r="K656" s="48"/>
      <c r="L656" s="48">
        <v>10000</v>
      </c>
      <c r="M656" s="48">
        <v>5000</v>
      </c>
      <c r="N656" s="59"/>
      <c r="O656" s="59"/>
      <c r="P656" s="59">
        <v>30000</v>
      </c>
      <c r="Q656" s="268">
        <f t="shared" si="32"/>
        <v>45000</v>
      </c>
      <c r="R656" s="61">
        <f>IF(O656=0,0,SUMIFS(Disbursements!$T:$T,Disbursements!$B:$B,'Live Collections'!D656,Disbursements!$D:$D,'Live Collections'!F656))</f>
        <v>0</v>
      </c>
      <c r="S656" s="304">
        <f>IF(O656&lt;=IF($O656=0,0,SUMIFS(Disbursements!$W:$W,Disbursements!$B:$B,'Live Collections'!D2219,Disbursements!$D:$D,'Live Collections'!F2219)),O656,IF($O656=0,0,SUMIFS(Disbursements!$W:$W,Disbursements!$B:$B,'Live Collections'!D2219,Disbursements!$D:$D,'Live Collections'!F2219)))</f>
        <v>0</v>
      </c>
      <c r="T656" s="304">
        <f t="shared" si="33"/>
        <v>0</v>
      </c>
      <c r="U656" s="52"/>
      <c r="V656" s="34"/>
      <c r="W656" s="408"/>
    </row>
    <row r="657" spans="1:23" ht="12.75" customHeight="1" x14ac:dyDescent="0.2">
      <c r="A657" s="257">
        <v>638</v>
      </c>
      <c r="B657" s="44">
        <v>44427</v>
      </c>
      <c r="C657" s="44">
        <f t="shared" si="31"/>
        <v>44427</v>
      </c>
      <c r="D657" s="374">
        <v>190</v>
      </c>
      <c r="E657" s="291" t="str">
        <f>IFERROR(VLOOKUP($D657,'Clients-Live'!$A:$C,3,0),"")</f>
        <v>TAISA AMINA</v>
      </c>
      <c r="F657" s="291">
        <f>IFERROR(INDEX(Disbursements!$D:$D,MATCH('Live Collections'!G657,Disbursements!$C:$C,0)),"")</f>
        <v>1</v>
      </c>
      <c r="G657" s="34">
        <v>177</v>
      </c>
      <c r="H657" s="34">
        <v>1113</v>
      </c>
      <c r="I657" s="34" t="s">
        <v>864</v>
      </c>
      <c r="J657" s="48"/>
      <c r="K657" s="48"/>
      <c r="L657" s="48">
        <v>10000</v>
      </c>
      <c r="M657" s="48">
        <v>5000</v>
      </c>
      <c r="N657" s="59"/>
      <c r="O657" s="59"/>
      <c r="P657" s="59">
        <v>40000</v>
      </c>
      <c r="Q657" s="268">
        <f t="shared" si="32"/>
        <v>55000</v>
      </c>
      <c r="R657" s="61">
        <f>IF(O657=0,0,SUMIFS(Disbursements!$T:$T,Disbursements!$B:$B,'Live Collections'!D657,Disbursements!$D:$D,'Live Collections'!F657))</f>
        <v>0</v>
      </c>
      <c r="S657" s="304">
        <f>IF(O657&lt;=IF($O657=0,0,SUMIFS(Disbursements!$W:$W,Disbursements!$B:$B,'Live Collections'!D2311,Disbursements!$D:$D,'Live Collections'!F2311)),O657,IF($O657=0,0,SUMIFS(Disbursements!$W:$W,Disbursements!$B:$B,'Live Collections'!D2311,Disbursements!$D:$D,'Live Collections'!F2311)))</f>
        <v>0</v>
      </c>
      <c r="T657" s="304">
        <f t="shared" si="33"/>
        <v>0</v>
      </c>
      <c r="U657" s="52"/>
      <c r="V657" s="34"/>
      <c r="W657" s="408"/>
    </row>
    <row r="658" spans="1:23" ht="12.75" customHeight="1" x14ac:dyDescent="0.2">
      <c r="A658" s="132">
        <v>657</v>
      </c>
      <c r="B658" s="44">
        <v>44428</v>
      </c>
      <c r="C658" s="44">
        <f t="shared" si="31"/>
        <v>44428</v>
      </c>
      <c r="D658" s="374">
        <v>13</v>
      </c>
      <c r="E658" s="291" t="str">
        <f>IFERROR(VLOOKUP($D658,'Clients-Live'!$A:$C,3,0),"")</f>
        <v>ALLONE AMOS DAMAI</v>
      </c>
      <c r="F658" s="291">
        <f>IFERROR(INDEX(Disbursements!$D:$D,MATCH('Live Collections'!G658,Disbursements!$C:$C,0)),"")</f>
        <v>1</v>
      </c>
      <c r="G658" s="34">
        <v>67</v>
      </c>
      <c r="H658" s="34">
        <v>1123</v>
      </c>
      <c r="I658" s="34" t="s">
        <v>1359</v>
      </c>
      <c r="J658" s="48"/>
      <c r="K658" s="48"/>
      <c r="L658" s="48"/>
      <c r="M658" s="48"/>
      <c r="N658" s="59"/>
      <c r="O658" s="59">
        <v>217000</v>
      </c>
      <c r="P658" s="59"/>
      <c r="Q658" s="268">
        <f t="shared" si="32"/>
        <v>217000</v>
      </c>
      <c r="R658" s="61">
        <f>IF(O658=0,0,SUMIFS(Disbursements!$T:$T,Disbursements!$B:$B,'Live Collections'!D658,Disbursements!$D:$D,'Live Collections'!F658))</f>
        <v>217000</v>
      </c>
      <c r="S658" s="304">
        <f>IF(O658&lt;=IF($O658=0,0,SUMIFS(Disbursements!$W:$W,Disbursements!$B:$B,'Live Collections'!D136,Disbursements!$D:$D,'Live Collections'!F136)),O658,IF($O658=0,0,SUMIFS(Disbursements!$W:$W,Disbursements!$B:$B,'Live Collections'!D136,Disbursements!$D:$D,'Live Collections'!F136)))</f>
        <v>0</v>
      </c>
      <c r="T658" s="304">
        <f t="shared" si="33"/>
        <v>217000</v>
      </c>
      <c r="U658" s="52"/>
      <c r="V658" s="34"/>
      <c r="W658" s="408"/>
    </row>
    <row r="659" spans="1:23" ht="12.75" customHeight="1" x14ac:dyDescent="0.2">
      <c r="A659" s="257">
        <v>654</v>
      </c>
      <c r="B659" s="44">
        <v>44428</v>
      </c>
      <c r="C659" s="44">
        <f t="shared" si="31"/>
        <v>44428</v>
      </c>
      <c r="D659" s="374">
        <v>48</v>
      </c>
      <c r="E659" s="291" t="str">
        <f>IFERROR(VLOOKUP($D659,'Clients-Live'!$A:$C,3,0),"")</f>
        <v>BAKO KASIA</v>
      </c>
      <c r="F659" s="291">
        <f>IFERROR(INDEX(Disbursements!$D:$D,MATCH('Live Collections'!G659,Disbursements!$C:$C,0)),"")</f>
        <v>1</v>
      </c>
      <c r="G659" s="34">
        <v>32</v>
      </c>
      <c r="H659" s="34"/>
      <c r="I659" s="34" t="s">
        <v>1358</v>
      </c>
      <c r="J659" s="48"/>
      <c r="K659" s="48"/>
      <c r="L659" s="48"/>
      <c r="M659" s="48"/>
      <c r="N659" s="59"/>
      <c r="O659" s="59">
        <v>32000</v>
      </c>
      <c r="P659" s="59"/>
      <c r="Q659" s="268">
        <f t="shared" si="32"/>
        <v>32000</v>
      </c>
      <c r="R659" s="61">
        <f>IF(O659=0,0,SUMIFS(Disbursements!$T:$T,Disbursements!$B:$B,'Live Collections'!D659,Disbursements!$D:$D,'Live Collections'!F659))</f>
        <v>150000</v>
      </c>
      <c r="S659" s="304">
        <f>IF(O659&lt;=IF($O659=0,0,SUMIFS(Disbursements!$W:$W,Disbursements!$B:$B,'Live Collections'!D552,Disbursements!$D:$D,'Live Collections'!F552)),O659,IF($O659=0,0,SUMIFS(Disbursements!$W:$W,Disbursements!$B:$B,'Live Collections'!D552,Disbursements!$D:$D,'Live Collections'!F552)))</f>
        <v>25000</v>
      </c>
      <c r="T659" s="304">
        <f t="shared" si="33"/>
        <v>7000</v>
      </c>
      <c r="U659" s="52"/>
      <c r="V659" s="34"/>
      <c r="W659" s="408"/>
    </row>
    <row r="660" spans="1:23" ht="12.75" customHeight="1" x14ac:dyDescent="0.2">
      <c r="A660" s="132">
        <v>656</v>
      </c>
      <c r="B660" s="44">
        <v>44428</v>
      </c>
      <c r="C660" s="44">
        <f t="shared" si="31"/>
        <v>44428</v>
      </c>
      <c r="D660" s="374">
        <v>49</v>
      </c>
      <c r="E660" s="291" t="str">
        <f>IFERROR(VLOOKUP($D660,'Clients-Live'!$A:$C,3,0),"")</f>
        <v>MAWUZU SARAH</v>
      </c>
      <c r="F660" s="291">
        <f>IFERROR(INDEX(Disbursements!$D:$D,MATCH('Live Collections'!G660,Disbursements!$C:$C,0)),"")</f>
        <v>1</v>
      </c>
      <c r="G660" s="34">
        <v>33</v>
      </c>
      <c r="H660" s="34"/>
      <c r="I660" s="34" t="s">
        <v>1358</v>
      </c>
      <c r="J660" s="48"/>
      <c r="K660" s="48"/>
      <c r="L660" s="48"/>
      <c r="M660" s="48"/>
      <c r="N660" s="59"/>
      <c r="O660" s="59">
        <v>45000</v>
      </c>
      <c r="P660" s="59"/>
      <c r="Q660" s="268">
        <f t="shared" si="32"/>
        <v>45000</v>
      </c>
      <c r="R660" s="61">
        <f>IF(O660=0,0,SUMIFS(Disbursements!$T:$T,Disbursements!$B:$B,'Live Collections'!D660,Disbursements!$D:$D,'Live Collections'!F660))</f>
        <v>150000</v>
      </c>
      <c r="S660" s="304">
        <f>IF(O660&lt;=IF($O660=0,0,SUMIFS(Disbursements!$W:$W,Disbursements!$B:$B,'Live Collections'!D562,Disbursements!$D:$D,'Live Collections'!F562)),O660,IF($O660=0,0,SUMIFS(Disbursements!$W:$W,Disbursements!$B:$B,'Live Collections'!D562,Disbursements!$D:$D,'Live Collections'!F562)))</f>
        <v>45000</v>
      </c>
      <c r="T660" s="304">
        <f t="shared" si="33"/>
        <v>0</v>
      </c>
      <c r="U660" s="52"/>
      <c r="V660" s="34"/>
      <c r="W660" s="408"/>
    </row>
    <row r="661" spans="1:23" ht="12.75" customHeight="1" x14ac:dyDescent="0.2">
      <c r="A661" s="257">
        <v>658</v>
      </c>
      <c r="B661" s="44">
        <v>44428</v>
      </c>
      <c r="C661" s="44">
        <f t="shared" si="31"/>
        <v>44428</v>
      </c>
      <c r="D661" s="374">
        <v>100</v>
      </c>
      <c r="E661" s="291" t="str">
        <f>IFERROR(VLOOKUP($D661,'Clients-Live'!$A:$C,3,0),"")</f>
        <v>LETAYO DORCUS</v>
      </c>
      <c r="F661" s="291">
        <f>IFERROR(INDEX(Disbursements!$D:$D,MATCH('Live Collections'!G661,Disbursements!$C:$C,0)),"")</f>
        <v>1</v>
      </c>
      <c r="G661" s="34">
        <v>82</v>
      </c>
      <c r="H661" s="34"/>
      <c r="I661" s="34" t="s">
        <v>1357</v>
      </c>
      <c r="J661" s="48"/>
      <c r="K661" s="48"/>
      <c r="L661" s="48"/>
      <c r="M661" s="48"/>
      <c r="N661" s="59"/>
      <c r="O661" s="59">
        <v>30000</v>
      </c>
      <c r="P661" s="59"/>
      <c r="Q661" s="268">
        <f t="shared" si="32"/>
        <v>30000</v>
      </c>
      <c r="R661" s="61">
        <f>IF(O661=0,0,SUMIFS(Disbursements!$T:$T,Disbursements!$B:$B,'Live Collections'!D661,Disbursements!$D:$D,'Live Collections'!F661))</f>
        <v>90000</v>
      </c>
      <c r="S661" s="304">
        <f>IF(O661&lt;=IF($O661=0,0,SUMIFS(Disbursements!$W:$W,Disbursements!$B:$B,'Live Collections'!D1292,Disbursements!$D:$D,'Live Collections'!F1292)),O661,IF($O661=0,0,SUMIFS(Disbursements!$W:$W,Disbursements!$B:$B,'Live Collections'!D1292,Disbursements!$D:$D,'Live Collections'!F1292)))</f>
        <v>0</v>
      </c>
      <c r="T661" s="304">
        <f t="shared" si="33"/>
        <v>30000</v>
      </c>
      <c r="U661" s="52"/>
      <c r="V661" s="34"/>
      <c r="W661" s="408"/>
    </row>
    <row r="662" spans="1:23" ht="12.75" customHeight="1" x14ac:dyDescent="0.2">
      <c r="A662" s="132">
        <v>655</v>
      </c>
      <c r="B662" s="44">
        <v>44428</v>
      </c>
      <c r="C662" s="44">
        <f t="shared" si="31"/>
        <v>44428</v>
      </c>
      <c r="D662" s="374">
        <v>121</v>
      </c>
      <c r="E662" s="291" t="str">
        <f>IFERROR(VLOOKUP($D662,'Clients-Live'!$A:$C,3,0),"")</f>
        <v>AMAYO CHARLES</v>
      </c>
      <c r="F662" s="291">
        <f>IFERROR(INDEX(Disbursements!$D:$D,MATCH('Live Collections'!G662,Disbursements!$C:$C,0)),"")</f>
        <v>1</v>
      </c>
      <c r="G662" s="34">
        <v>105</v>
      </c>
      <c r="H662" s="34"/>
      <c r="I662" s="34" t="s">
        <v>1358</v>
      </c>
      <c r="J662" s="48"/>
      <c r="K662" s="48"/>
      <c r="L662" s="48"/>
      <c r="M662" s="48"/>
      <c r="N662" s="59"/>
      <c r="O662" s="59">
        <v>140000</v>
      </c>
      <c r="P662" s="59"/>
      <c r="Q662" s="268">
        <f t="shared" si="32"/>
        <v>140000</v>
      </c>
      <c r="R662" s="61">
        <f>IF(O662=0,0,SUMIFS(Disbursements!$T:$T,Disbursements!$B:$B,'Live Collections'!D662,Disbursements!$D:$D,'Live Collections'!F662))</f>
        <v>240000</v>
      </c>
      <c r="S662" s="304">
        <f>IF(O662&lt;=IF($O662=0,0,SUMIFS(Disbursements!$W:$W,Disbursements!$B:$B,'Live Collections'!D1554,Disbursements!$D:$D,'Live Collections'!F1554)),O662,IF($O662=0,0,SUMIFS(Disbursements!$W:$W,Disbursements!$B:$B,'Live Collections'!D1554,Disbursements!$D:$D,'Live Collections'!F1554)))</f>
        <v>75000</v>
      </c>
      <c r="T662" s="304">
        <f t="shared" si="33"/>
        <v>65000</v>
      </c>
      <c r="U662" s="52"/>
      <c r="V662" s="34"/>
      <c r="W662" s="408"/>
    </row>
    <row r="663" spans="1:23" ht="12.75" customHeight="1" x14ac:dyDescent="0.2">
      <c r="A663" s="257">
        <v>651</v>
      </c>
      <c r="B663" s="44">
        <v>44428</v>
      </c>
      <c r="C663" s="44">
        <f t="shared" si="31"/>
        <v>44428</v>
      </c>
      <c r="D663" s="374">
        <v>187</v>
      </c>
      <c r="E663" s="291" t="str">
        <f>IFERROR(VLOOKUP($D663,'Clients-Live'!$A:$C,3,0),"")</f>
        <v xml:space="preserve">AJIO HARRIET </v>
      </c>
      <c r="F663" s="291">
        <f>IFERROR(INDEX(Disbursements!$D:$D,MATCH('Live Collections'!G663,Disbursements!$C:$C,0)),"")</f>
        <v>1</v>
      </c>
      <c r="G663" s="34">
        <v>179</v>
      </c>
      <c r="H663" s="34">
        <v>1103</v>
      </c>
      <c r="I663" s="34" t="s">
        <v>863</v>
      </c>
      <c r="J663" s="48"/>
      <c r="K663" s="48"/>
      <c r="L663" s="48">
        <v>10000</v>
      </c>
      <c r="M663" s="48">
        <v>5000</v>
      </c>
      <c r="N663" s="59"/>
      <c r="O663" s="59"/>
      <c r="P663" s="59">
        <v>50000</v>
      </c>
      <c r="Q663" s="268">
        <f t="shared" si="32"/>
        <v>65000</v>
      </c>
      <c r="R663" s="61">
        <f>IF(O663=0,0,SUMIFS(Disbursements!$T:$T,Disbursements!$B:$B,'Live Collections'!D663,Disbursements!$D:$D,'Live Collections'!F663))</f>
        <v>0</v>
      </c>
      <c r="S663" s="304">
        <f>IF(O663&lt;=IF($O663=0,0,SUMIFS(Disbursements!$W:$W,Disbursements!$B:$B,'Live Collections'!D2274,Disbursements!$D:$D,'Live Collections'!F2274)),O663,IF($O663=0,0,SUMIFS(Disbursements!$W:$W,Disbursements!$B:$B,'Live Collections'!D2274,Disbursements!$D:$D,'Live Collections'!F2274)))</f>
        <v>0</v>
      </c>
      <c r="T663" s="304">
        <f t="shared" si="33"/>
        <v>0</v>
      </c>
      <c r="U663" s="52"/>
      <c r="V663" s="34"/>
      <c r="W663" s="408"/>
    </row>
    <row r="664" spans="1:23" ht="12.75" customHeight="1" x14ac:dyDescent="0.2">
      <c r="A664" s="132">
        <v>652</v>
      </c>
      <c r="B664" s="44">
        <v>44428</v>
      </c>
      <c r="C664" s="44">
        <f t="shared" si="31"/>
        <v>44428</v>
      </c>
      <c r="D664" s="374">
        <v>188</v>
      </c>
      <c r="E664" s="291" t="str">
        <f>IFERROR(VLOOKUP($D664,'Clients-Live'!$A:$C,3,0),"")</f>
        <v>ADIRU HELLEN</v>
      </c>
      <c r="F664" s="291">
        <f>IFERROR(INDEX(Disbursements!$D:$D,MATCH('Live Collections'!G664,Disbursements!$C:$C,0)),"")</f>
        <v>1</v>
      </c>
      <c r="G664" s="34">
        <v>180</v>
      </c>
      <c r="H664" s="34"/>
      <c r="I664" s="34" t="s">
        <v>863</v>
      </c>
      <c r="J664" s="48"/>
      <c r="K664" s="48"/>
      <c r="L664" s="48">
        <v>10000</v>
      </c>
      <c r="M664" s="48">
        <v>5000</v>
      </c>
      <c r="N664" s="59"/>
      <c r="O664" s="59"/>
      <c r="P664" s="59">
        <v>40000</v>
      </c>
      <c r="Q664" s="268">
        <f t="shared" si="32"/>
        <v>55000</v>
      </c>
      <c r="R664" s="61">
        <f>IF(O664=0,0,SUMIFS(Disbursements!$T:$T,Disbursements!$B:$B,'Live Collections'!D664,Disbursements!$D:$D,'Live Collections'!F664))</f>
        <v>0</v>
      </c>
      <c r="S664" s="304">
        <f>IF(O664&lt;=IF($O664=0,0,SUMIFS(Disbursements!$W:$W,Disbursements!$B:$B,'Live Collections'!D2282,Disbursements!$D:$D,'Live Collections'!F2282)),O664,IF($O664=0,0,SUMIFS(Disbursements!$W:$W,Disbursements!$B:$B,'Live Collections'!D2282,Disbursements!$D:$D,'Live Collections'!F2282)))</f>
        <v>0</v>
      </c>
      <c r="T664" s="304">
        <f t="shared" si="33"/>
        <v>0</v>
      </c>
      <c r="U664" s="52"/>
      <c r="V664" s="34"/>
      <c r="W664" s="408"/>
    </row>
    <row r="665" spans="1:23" ht="12.75" customHeight="1" x14ac:dyDescent="0.2">
      <c r="A665" s="257">
        <v>653</v>
      </c>
      <c r="B665" s="44">
        <v>44428</v>
      </c>
      <c r="C665" s="44">
        <f t="shared" si="31"/>
        <v>44428</v>
      </c>
      <c r="D665" s="374">
        <v>189</v>
      </c>
      <c r="E665" s="291" t="str">
        <f>IFERROR(VLOOKUP($D665,'Clients-Live'!$A:$C,3,0),"")</f>
        <v>AYIDA SELUWA</v>
      </c>
      <c r="F665" s="291">
        <f>IFERROR(INDEX(Disbursements!$D:$D,MATCH('Live Collections'!G665,Disbursements!$C:$C,0)),"")</f>
        <v>1</v>
      </c>
      <c r="G665" s="34">
        <v>178</v>
      </c>
      <c r="H665" s="34"/>
      <c r="I665" s="34" t="s">
        <v>862</v>
      </c>
      <c r="J665" s="48"/>
      <c r="K665" s="48"/>
      <c r="L665" s="48">
        <v>10000</v>
      </c>
      <c r="M665" s="48">
        <v>5000</v>
      </c>
      <c r="N665" s="59"/>
      <c r="O665" s="59"/>
      <c r="P665" s="59">
        <v>40000</v>
      </c>
      <c r="Q665" s="268">
        <f t="shared" si="32"/>
        <v>55000</v>
      </c>
      <c r="R665" s="61">
        <f>IF(O665=0,0,SUMIFS(Disbursements!$T:$T,Disbursements!$B:$B,'Live Collections'!D665,Disbursements!$D:$D,'Live Collections'!F665))</f>
        <v>0</v>
      </c>
      <c r="S665" s="304">
        <f>IF(O665&lt;=IF($O665=0,0,SUMIFS(Disbursements!$W:$W,Disbursements!$B:$B,'Live Collections'!D2296,Disbursements!$D:$D,'Live Collections'!F2296)),O665,IF($O665=0,0,SUMIFS(Disbursements!$W:$W,Disbursements!$B:$B,'Live Collections'!D2296,Disbursements!$D:$D,'Live Collections'!F2296)))</f>
        <v>0</v>
      </c>
      <c r="T665" s="304">
        <f t="shared" si="33"/>
        <v>0</v>
      </c>
      <c r="U665" s="52"/>
      <c r="V665" s="34"/>
      <c r="W665" s="408"/>
    </row>
    <row r="666" spans="1:23" ht="12.75" customHeight="1" x14ac:dyDescent="0.2">
      <c r="A666" s="132">
        <v>649</v>
      </c>
      <c r="B666" s="44">
        <v>44428</v>
      </c>
      <c r="C666" s="44">
        <f t="shared" si="31"/>
        <v>44428</v>
      </c>
      <c r="D666" s="374">
        <v>194</v>
      </c>
      <c r="E666" s="291" t="str">
        <f>IFERROR(VLOOKUP($D666,'Clients-Live'!$A:$C,3,0),"")</f>
        <v>NYOLA SHERIFA AHMED</v>
      </c>
      <c r="F666" s="291" t="str">
        <f>IFERROR(INDEX(Disbursements!$D:$D,MATCH('Live Collections'!G666,Disbursements!$C:$C,0)),"")</f>
        <v/>
      </c>
      <c r="G666" s="34"/>
      <c r="H666" s="34"/>
      <c r="I666" s="34" t="s">
        <v>1814</v>
      </c>
      <c r="J666" s="48">
        <v>15000</v>
      </c>
      <c r="K666" s="48">
        <v>5000</v>
      </c>
      <c r="L666" s="48"/>
      <c r="M666" s="48"/>
      <c r="N666" s="59"/>
      <c r="O666" s="59"/>
      <c r="P666" s="59"/>
      <c r="Q666" s="268">
        <f t="shared" si="32"/>
        <v>20000</v>
      </c>
      <c r="R666" s="61">
        <f>IF(O666=0,0,SUMIFS(Disbursements!$T:$T,Disbursements!$B:$B,'Live Collections'!D666,Disbursements!$D:$D,'Live Collections'!F666))</f>
        <v>0</v>
      </c>
      <c r="S666" s="304">
        <f>IF(O666&lt;=IF($O666=0,0,SUMIFS(Disbursements!$W:$W,Disbursements!$B:$B,'Live Collections'!D2341,Disbursements!$D:$D,'Live Collections'!F2341)),O666,IF($O666=0,0,SUMIFS(Disbursements!$W:$W,Disbursements!$B:$B,'Live Collections'!D2341,Disbursements!$D:$D,'Live Collections'!F2341)))</f>
        <v>0</v>
      </c>
      <c r="T666" s="304">
        <f t="shared" si="33"/>
        <v>0</v>
      </c>
      <c r="U666" s="52">
        <v>789257814</v>
      </c>
      <c r="V666" s="34"/>
      <c r="W666" s="408"/>
    </row>
    <row r="667" spans="1:23" ht="12.75" customHeight="1" x14ac:dyDescent="0.2">
      <c r="A667" s="257">
        <v>650</v>
      </c>
      <c r="B667" s="44">
        <v>44428</v>
      </c>
      <c r="C667" s="44">
        <f t="shared" si="31"/>
        <v>44428</v>
      </c>
      <c r="D667" s="374">
        <v>195</v>
      </c>
      <c r="E667" s="291" t="str">
        <f>IFERROR(VLOOKUP($D667,'Clients-Live'!$A:$C,3,0),"")</f>
        <v>OJARA RICHARD</v>
      </c>
      <c r="F667" s="291" t="str">
        <f>IFERROR(INDEX(Disbursements!$D:$D,MATCH('Live Collections'!G667,Disbursements!$C:$C,0)),"")</f>
        <v/>
      </c>
      <c r="G667" s="34"/>
      <c r="H667" s="34"/>
      <c r="I667" s="34" t="s">
        <v>1814</v>
      </c>
      <c r="J667" s="48">
        <v>15000</v>
      </c>
      <c r="K667" s="48">
        <v>5000</v>
      </c>
      <c r="L667" s="48"/>
      <c r="M667" s="48"/>
      <c r="N667" s="59"/>
      <c r="O667" s="59"/>
      <c r="P667" s="59"/>
      <c r="Q667" s="268">
        <f t="shared" si="32"/>
        <v>20000</v>
      </c>
      <c r="R667" s="61">
        <f>IF(O667=0,0,SUMIFS(Disbursements!$T:$T,Disbursements!$B:$B,'Live Collections'!D667,Disbursements!$D:$D,'Live Collections'!F667))</f>
        <v>0</v>
      </c>
      <c r="S667" s="304">
        <f>IF(O667&lt;=IF($O667=0,0,SUMIFS(Disbursements!$W:$W,Disbursements!$B:$B,'Live Collections'!D2352,Disbursements!$D:$D,'Live Collections'!F2352)),O667,IF($O667=0,0,SUMIFS(Disbursements!$W:$W,Disbursements!$B:$B,'Live Collections'!D2352,Disbursements!$D:$D,'Live Collections'!F2352)))</f>
        <v>0</v>
      </c>
      <c r="T667" s="304">
        <f t="shared" si="33"/>
        <v>0</v>
      </c>
      <c r="U667" s="52">
        <v>774186334</v>
      </c>
      <c r="V667" s="34"/>
      <c r="W667" s="408"/>
    </row>
    <row r="668" spans="1:23" ht="12.75" customHeight="1" x14ac:dyDescent="0.2">
      <c r="A668" s="132">
        <v>659</v>
      </c>
      <c r="B668" s="44">
        <v>44429</v>
      </c>
      <c r="C668" s="44">
        <f t="shared" si="31"/>
        <v>44429</v>
      </c>
      <c r="D668" s="374">
        <v>18</v>
      </c>
      <c r="E668" s="291" t="str">
        <f>IFERROR(VLOOKUP($D668,'Clients-Live'!$A:$C,3,0),"")</f>
        <v>ARIYE PEACE</v>
      </c>
      <c r="F668" s="291">
        <f>IFERROR(INDEX(Disbursements!$D:$D,MATCH('Live Collections'!G668,Disbursements!$C:$C,0)),"")</f>
        <v>1</v>
      </c>
      <c r="G668" s="34">
        <v>9</v>
      </c>
      <c r="H668" s="34"/>
      <c r="I668" s="34" t="s">
        <v>1357</v>
      </c>
      <c r="J668" s="48"/>
      <c r="K668" s="48"/>
      <c r="L668" s="48"/>
      <c r="M668" s="48"/>
      <c r="N668" s="59"/>
      <c r="O668" s="59">
        <v>108400</v>
      </c>
      <c r="P668" s="59"/>
      <c r="Q668" s="268">
        <f t="shared" si="32"/>
        <v>108400</v>
      </c>
      <c r="R668" s="61">
        <f>IF(O668=0,0,SUMIFS(Disbursements!$T:$T,Disbursements!$B:$B,'Live Collections'!D668,Disbursements!$D:$D,'Live Collections'!F668))</f>
        <v>109000</v>
      </c>
      <c r="S668" s="304">
        <f>IF(O668&lt;=IF($O668=0,0,SUMIFS(Disbursements!$W:$W,Disbursements!$B:$B,'Live Collections'!D201,Disbursements!$D:$D,'Live Collections'!F201)),O668,IF($O668=0,0,SUMIFS(Disbursements!$W:$W,Disbursements!$B:$B,'Live Collections'!D201,Disbursements!$D:$D,'Live Collections'!F201)))</f>
        <v>25666.666666666672</v>
      </c>
      <c r="T668" s="304">
        <f t="shared" si="33"/>
        <v>82733.333333333328</v>
      </c>
      <c r="U668" s="52"/>
      <c r="V668" s="34"/>
      <c r="W668" s="408"/>
    </row>
    <row r="669" spans="1:23" ht="12.75" customHeight="1" x14ac:dyDescent="0.2">
      <c r="A669" s="257">
        <v>660</v>
      </c>
      <c r="B669" s="44">
        <v>44429</v>
      </c>
      <c r="C669" s="44">
        <f t="shared" si="31"/>
        <v>44429</v>
      </c>
      <c r="D669" s="374">
        <v>111</v>
      </c>
      <c r="E669" s="291" t="str">
        <f>IFERROR(VLOOKUP($D669,'Clients-Live'!$A:$C,3,0),"")</f>
        <v>ANDAKU CHARLES JULIAN</v>
      </c>
      <c r="F669" s="291">
        <f>IFERROR(INDEX(Disbursements!$D:$D,MATCH('Live Collections'!G669,Disbursements!$C:$C,0)),"")</f>
        <v>1</v>
      </c>
      <c r="G669" s="34">
        <v>94</v>
      </c>
      <c r="H669" s="34"/>
      <c r="I669" s="34" t="s">
        <v>1357</v>
      </c>
      <c r="J669" s="48"/>
      <c r="K669" s="48"/>
      <c r="L669" s="48"/>
      <c r="M669" s="48"/>
      <c r="N669" s="59"/>
      <c r="O669" s="59">
        <v>134000</v>
      </c>
      <c r="P669" s="59"/>
      <c r="Q669" s="268">
        <f t="shared" si="32"/>
        <v>134000</v>
      </c>
      <c r="R669" s="61">
        <f>IF(O669=0,0,SUMIFS(Disbursements!$T:$T,Disbursements!$B:$B,'Live Collections'!D669,Disbursements!$D:$D,'Live Collections'!F669))</f>
        <v>164000</v>
      </c>
      <c r="S669" s="304">
        <f>IF(O669&lt;=IF($O669=0,0,SUMIFS(Disbursements!$W:$W,Disbursements!$B:$B,'Live Collections'!D1413,Disbursements!$D:$D,'Live Collections'!F1413)),O669,IF($O669=0,0,SUMIFS(Disbursements!$W:$W,Disbursements!$B:$B,'Live Collections'!D1413,Disbursements!$D:$D,'Live Collections'!F1413)))</f>
        <v>20666.666666666657</v>
      </c>
      <c r="T669" s="304">
        <f t="shared" si="33"/>
        <v>113333.33333333334</v>
      </c>
      <c r="U669" s="52"/>
      <c r="V669" s="34"/>
      <c r="W669" s="408"/>
    </row>
    <row r="670" spans="1:23" ht="12.75" customHeight="1" x14ac:dyDescent="0.2">
      <c r="A670" s="132">
        <v>669</v>
      </c>
      <c r="B670" s="44">
        <v>44431</v>
      </c>
      <c r="C670" s="44">
        <f t="shared" si="31"/>
        <v>44431</v>
      </c>
      <c r="D670" s="374">
        <v>9</v>
      </c>
      <c r="E670" s="291" t="str">
        <f>IFERROR(VLOOKUP($D670,'Clients-Live'!$A:$C,3,0),"")</f>
        <v>TABAN DAVID YAYA</v>
      </c>
      <c r="F670" s="291">
        <f>IFERROR(INDEX(Disbursements!$D:$D,MATCH('Live Collections'!G670,Disbursements!$C:$C,0)),"")</f>
        <v>1</v>
      </c>
      <c r="G670" s="34">
        <v>45</v>
      </c>
      <c r="H670" s="34"/>
      <c r="I670" s="34" t="s">
        <v>1357</v>
      </c>
      <c r="J670" s="48"/>
      <c r="K670" s="48"/>
      <c r="L670" s="48"/>
      <c r="M670" s="48"/>
      <c r="N670" s="59"/>
      <c r="O670" s="59">
        <v>360000</v>
      </c>
      <c r="P670" s="59"/>
      <c r="Q670" s="268">
        <f t="shared" si="32"/>
        <v>360000</v>
      </c>
      <c r="R670" s="61">
        <f>IF(O670=0,0,SUMIFS(Disbursements!$T:$T,Disbursements!$B:$B,'Live Collections'!D670,Disbursements!$D:$D,'Live Collections'!F670))</f>
        <v>180000</v>
      </c>
      <c r="S670" s="64">
        <v>4333.3333333333285</v>
      </c>
      <c r="T670" s="304">
        <f t="shared" si="33"/>
        <v>355666.66666666669</v>
      </c>
      <c r="U670" s="52"/>
      <c r="V670" s="34"/>
      <c r="W670" s="408"/>
    </row>
    <row r="671" spans="1:23" ht="12.75" customHeight="1" x14ac:dyDescent="0.2">
      <c r="A671" s="257">
        <v>679</v>
      </c>
      <c r="B671" s="44">
        <v>44431</v>
      </c>
      <c r="C671" s="44">
        <f t="shared" si="31"/>
        <v>44431</v>
      </c>
      <c r="D671" s="374">
        <v>22</v>
      </c>
      <c r="E671" s="291" t="str">
        <f>IFERROR(VLOOKUP($D671,'Clients-Live'!$A:$C,3,0),"")</f>
        <v>DATA ISMAIL FATARI</v>
      </c>
      <c r="F671" s="291">
        <f>IFERROR(INDEX(Disbursements!$D:$D,MATCH('Live Collections'!G671,Disbursements!$C:$C,0)),"")</f>
        <v>1</v>
      </c>
      <c r="G671" s="34">
        <v>13</v>
      </c>
      <c r="H671" s="34"/>
      <c r="I671" s="34" t="s">
        <v>1359</v>
      </c>
      <c r="J671" s="48"/>
      <c r="K671" s="48"/>
      <c r="L671" s="48"/>
      <c r="M671" s="48"/>
      <c r="N671" s="59"/>
      <c r="O671" s="59">
        <v>45000</v>
      </c>
      <c r="P671" s="59"/>
      <c r="Q671" s="268">
        <f t="shared" si="32"/>
        <v>45000</v>
      </c>
      <c r="R671" s="61">
        <f>IF(O671=0,0,SUMIFS(Disbursements!$T:$T,Disbursements!$B:$B,'Live Collections'!D671,Disbursements!$D:$D,'Live Collections'!F671))</f>
        <v>217000</v>
      </c>
      <c r="S671" s="304">
        <f>IF(O671&lt;=IF($O671=0,0,SUMIFS(Disbursements!$W:$W,Disbursements!$B:$B,'Live Collections'!D282,Disbursements!$D:$D,'Live Collections'!F282)),O671,IF($O671=0,0,SUMIFS(Disbursements!$W:$W,Disbursements!$B:$B,'Live Collections'!D282,Disbursements!$D:$D,'Live Collections'!F282)))</f>
        <v>0</v>
      </c>
      <c r="T671" s="304">
        <f t="shared" si="33"/>
        <v>45000</v>
      </c>
      <c r="U671" s="52"/>
      <c r="V671" s="34"/>
      <c r="W671" s="408"/>
    </row>
    <row r="672" spans="1:23" ht="12.75" customHeight="1" x14ac:dyDescent="0.2">
      <c r="A672" s="132">
        <v>668</v>
      </c>
      <c r="B672" s="44">
        <v>44431</v>
      </c>
      <c r="C672" s="44">
        <f t="shared" si="31"/>
        <v>44431</v>
      </c>
      <c r="D672" s="374">
        <v>37</v>
      </c>
      <c r="E672" s="291" t="str">
        <f>IFERROR(VLOOKUP($D672,'Clients-Live'!$A:$C,3,0),"")</f>
        <v>WANDWALI AMISI</v>
      </c>
      <c r="F672" s="291">
        <f>IFERROR(INDEX(Disbursements!$D:$D,MATCH('Live Collections'!G672,Disbursements!$C:$C,0)),"")</f>
        <v>1</v>
      </c>
      <c r="G672" s="34">
        <v>21</v>
      </c>
      <c r="H672" s="34"/>
      <c r="I672" s="34" t="s">
        <v>1357</v>
      </c>
      <c r="J672" s="48"/>
      <c r="K672" s="48"/>
      <c r="L672" s="48"/>
      <c r="M672" s="48"/>
      <c r="N672" s="59"/>
      <c r="O672" s="59">
        <v>160000</v>
      </c>
      <c r="P672" s="59"/>
      <c r="Q672" s="268">
        <f t="shared" si="32"/>
        <v>160000</v>
      </c>
      <c r="R672" s="61">
        <f>IF(O672=0,0,SUMIFS(Disbursements!$T:$T,Disbursements!$B:$B,'Live Collections'!D672,Disbursements!$D:$D,'Live Collections'!F672))</f>
        <v>1075000</v>
      </c>
      <c r="S672" s="304">
        <f>IF(O672&lt;=IF($O672=0,0,SUMIFS(Disbursements!$W:$W,Disbursements!$B:$B,'Live Collections'!D420,Disbursements!$D:$D,'Live Collections'!F420)),O672,IF($O672=0,0,SUMIFS(Disbursements!$W:$W,Disbursements!$B:$B,'Live Collections'!D420,Disbursements!$D:$D,'Live Collections'!F420)))</f>
        <v>25000</v>
      </c>
      <c r="T672" s="304">
        <f t="shared" si="33"/>
        <v>135000</v>
      </c>
      <c r="U672" s="52"/>
      <c r="V672" s="34"/>
      <c r="W672" s="408"/>
    </row>
    <row r="673" spans="1:23" ht="12.75" customHeight="1" x14ac:dyDescent="0.2">
      <c r="A673" s="257">
        <v>680</v>
      </c>
      <c r="B673" s="44">
        <v>44431</v>
      </c>
      <c r="C673" s="44">
        <f t="shared" si="31"/>
        <v>44431</v>
      </c>
      <c r="D673" s="374">
        <v>44</v>
      </c>
      <c r="E673" s="291" t="str">
        <f>IFERROR(VLOOKUP($D673,'Clients-Live'!$A:$C,3,0),"")</f>
        <v>CANDIRU HELLEN</v>
      </c>
      <c r="F673" s="291">
        <f>IFERROR(INDEX(Disbursements!$D:$D,MATCH('Live Collections'!G673,Disbursements!$C:$C,0)),"")</f>
        <v>2</v>
      </c>
      <c r="G673" s="34">
        <v>129</v>
      </c>
      <c r="H673" s="34"/>
      <c r="I673" s="34" t="s">
        <v>1358</v>
      </c>
      <c r="J673" s="48"/>
      <c r="K673" s="48"/>
      <c r="L673" s="48"/>
      <c r="M673" s="48"/>
      <c r="N673" s="59"/>
      <c r="O673" s="59">
        <v>216700</v>
      </c>
      <c r="P673" s="59"/>
      <c r="Q673" s="268">
        <f t="shared" si="32"/>
        <v>216700</v>
      </c>
      <c r="R673" s="61">
        <f>IF(O673=0,0,SUMIFS(Disbursements!$T:$T,Disbursements!$B:$B,'Live Collections'!D673,Disbursements!$D:$D,'Live Collections'!F673))</f>
        <v>217000</v>
      </c>
      <c r="S673" s="304">
        <f>IF(O673&lt;=IF($O673=0,0,SUMIFS(Disbursements!$W:$W,Disbursements!$B:$B,'Live Collections'!D488,Disbursements!$D:$D,'Live Collections'!F488)),O673,IF($O673=0,0,SUMIFS(Disbursements!$W:$W,Disbursements!$B:$B,'Live Collections'!D488,Disbursements!$D:$D,'Live Collections'!F488)))</f>
        <v>25000</v>
      </c>
      <c r="T673" s="304">
        <f t="shared" si="33"/>
        <v>191700</v>
      </c>
      <c r="U673" s="52"/>
      <c r="V673" s="34"/>
      <c r="W673" s="408"/>
    </row>
    <row r="674" spans="1:23" ht="12.75" customHeight="1" x14ac:dyDescent="0.2">
      <c r="A674" s="132">
        <v>674</v>
      </c>
      <c r="B674" s="44">
        <v>44431</v>
      </c>
      <c r="C674" s="44">
        <f t="shared" si="31"/>
        <v>44431</v>
      </c>
      <c r="D674" s="374">
        <v>57</v>
      </c>
      <c r="E674" s="291" t="str">
        <f>IFERROR(VLOOKUP($D674,'Clients-Live'!$A:$C,3,0),"")</f>
        <v>ASERU SCOVIA</v>
      </c>
      <c r="F674" s="291">
        <f>IFERROR(INDEX(Disbursements!$D:$D,MATCH('Live Collections'!G674,Disbursements!$C:$C,0)),"")</f>
        <v>1</v>
      </c>
      <c r="G674" s="34">
        <v>41</v>
      </c>
      <c r="H674" s="34"/>
      <c r="I674" s="34" t="s">
        <v>1359</v>
      </c>
      <c r="J674" s="48"/>
      <c r="K674" s="48"/>
      <c r="L674" s="48"/>
      <c r="M674" s="48"/>
      <c r="N674" s="59"/>
      <c r="O674" s="59">
        <v>15000</v>
      </c>
      <c r="P674" s="59"/>
      <c r="Q674" s="268">
        <f t="shared" si="32"/>
        <v>15000</v>
      </c>
      <c r="R674" s="61">
        <f>IF(O674=0,0,SUMIFS(Disbursements!$T:$T,Disbursements!$B:$B,'Live Collections'!D674,Disbursements!$D:$D,'Live Collections'!F674))</f>
        <v>60000</v>
      </c>
      <c r="S674" s="304">
        <f>IF(O674&lt;=IF($O674=0,0,SUMIFS(Disbursements!$W:$W,Disbursements!$B:$B,'Live Collections'!D680,Disbursements!$D:$D,'Live Collections'!F680)),O674,IF($O674=0,0,SUMIFS(Disbursements!$W:$W,Disbursements!$B:$B,'Live Collections'!D680,Disbursements!$D:$D,'Live Collections'!F680)))</f>
        <v>15000</v>
      </c>
      <c r="T674" s="304">
        <f t="shared" si="33"/>
        <v>0</v>
      </c>
      <c r="U674" s="52"/>
      <c r="V674" s="34"/>
      <c r="W674" s="408"/>
    </row>
    <row r="675" spans="1:23" ht="12.75" customHeight="1" x14ac:dyDescent="0.2">
      <c r="A675" s="257">
        <v>677</v>
      </c>
      <c r="B675" s="44">
        <v>44431</v>
      </c>
      <c r="C675" s="44">
        <f t="shared" si="31"/>
        <v>44431</v>
      </c>
      <c r="D675" s="374">
        <v>76</v>
      </c>
      <c r="E675" s="291" t="str">
        <f>IFERROR(VLOOKUP($D675,'Clients-Live'!$A:$C,3,0),"")</f>
        <v>DAWA AISHA</v>
      </c>
      <c r="F675" s="291">
        <f>IFERROR(INDEX(Disbursements!$D:$D,MATCH('Live Collections'!G675,Disbursements!$C:$C,0)),"")</f>
        <v>1</v>
      </c>
      <c r="G675" s="34">
        <v>58</v>
      </c>
      <c r="H675" s="34"/>
      <c r="I675" s="34" t="s">
        <v>1358</v>
      </c>
      <c r="J675" s="48"/>
      <c r="K675" s="48"/>
      <c r="L675" s="48"/>
      <c r="M675" s="48"/>
      <c r="N675" s="59"/>
      <c r="O675" s="59">
        <v>180000</v>
      </c>
      <c r="P675" s="59"/>
      <c r="Q675" s="268">
        <f t="shared" si="32"/>
        <v>180000</v>
      </c>
      <c r="R675" s="61">
        <f>IF(O675=0,0,SUMIFS(Disbursements!$T:$T,Disbursements!$B:$B,'Live Collections'!D675,Disbursements!$D:$D,'Live Collections'!F675))</f>
        <v>90000</v>
      </c>
      <c r="S675" s="304"/>
      <c r="T675" s="304">
        <f t="shared" si="33"/>
        <v>180000</v>
      </c>
      <c r="U675" s="52"/>
      <c r="V675" s="34"/>
      <c r="W675" s="408"/>
    </row>
    <row r="676" spans="1:23" ht="12.75" customHeight="1" x14ac:dyDescent="0.2">
      <c r="A676" s="132">
        <v>672</v>
      </c>
      <c r="B676" s="44">
        <v>44431</v>
      </c>
      <c r="C676" s="44">
        <f t="shared" si="31"/>
        <v>44431</v>
      </c>
      <c r="D676" s="374">
        <v>79</v>
      </c>
      <c r="E676" s="291" t="str">
        <f>IFERROR(VLOOKUP($D676,'Clients-Live'!$A:$C,3,0),"")</f>
        <v>PASI SENYA</v>
      </c>
      <c r="F676" s="291">
        <f>IFERROR(INDEX(Disbursements!$D:$D,MATCH('Live Collections'!G676,Disbursements!$C:$C,0)),"")</f>
        <v>1</v>
      </c>
      <c r="G676" s="34">
        <v>64</v>
      </c>
      <c r="H676" s="34"/>
      <c r="I676" s="34" t="s">
        <v>1358</v>
      </c>
      <c r="J676" s="48"/>
      <c r="K676" s="48"/>
      <c r="L676" s="48"/>
      <c r="M676" s="48"/>
      <c r="N676" s="59"/>
      <c r="O676" s="59">
        <v>62500</v>
      </c>
      <c r="P676" s="59"/>
      <c r="Q676" s="268">
        <f t="shared" si="32"/>
        <v>62500</v>
      </c>
      <c r="R676" s="61">
        <f>IF(O676=0,0,SUMIFS(Disbursements!$T:$T,Disbursements!$B:$B,'Live Collections'!D676,Disbursements!$D:$D,'Live Collections'!F676))</f>
        <v>63000</v>
      </c>
      <c r="S676" s="304">
        <f>IF(O676&lt;=IF($O676=0,0,SUMIFS(Disbursements!$W:$W,Disbursements!$B:$B,'Live Collections'!D1020,Disbursements!$D:$D,'Live Collections'!F1020)),O676,IF($O676=0,0,SUMIFS(Disbursements!$W:$W,Disbursements!$B:$B,'Live Collections'!D1020,Disbursements!$D:$D,'Live Collections'!F1020)))</f>
        <v>10333.333333333328</v>
      </c>
      <c r="T676" s="304">
        <f t="shared" si="33"/>
        <v>52166.666666666672</v>
      </c>
      <c r="U676" s="52"/>
      <c r="V676" s="34"/>
      <c r="W676" s="408"/>
    </row>
    <row r="677" spans="1:23" ht="12.75" customHeight="1" x14ac:dyDescent="0.2">
      <c r="A677" s="257">
        <v>667</v>
      </c>
      <c r="B677" s="44">
        <v>44431</v>
      </c>
      <c r="C677" s="44">
        <f t="shared" si="31"/>
        <v>44431</v>
      </c>
      <c r="D677" s="374">
        <v>82</v>
      </c>
      <c r="E677" s="291" t="str">
        <f>IFERROR(VLOOKUP($D677,'Clients-Live'!$A:$C,3,0),"")</f>
        <v>ADUNA MANENO</v>
      </c>
      <c r="F677" s="291">
        <f>IFERROR(INDEX(Disbursements!$D:$D,MATCH('Live Collections'!G677,Disbursements!$C:$C,0)),"")</f>
        <v>1</v>
      </c>
      <c r="G677" s="34">
        <v>71</v>
      </c>
      <c r="H677" s="34"/>
      <c r="I677" s="34" t="s">
        <v>1357</v>
      </c>
      <c r="J677" s="48"/>
      <c r="K677" s="48"/>
      <c r="L677" s="48"/>
      <c r="M677" s="48"/>
      <c r="N677" s="59"/>
      <c r="O677" s="59">
        <v>70000</v>
      </c>
      <c r="P677" s="59"/>
      <c r="Q677" s="268">
        <f t="shared" si="32"/>
        <v>70000</v>
      </c>
      <c r="R677" s="61">
        <f>IF(O677=0,0,SUMIFS(Disbursements!$T:$T,Disbursements!$B:$B,'Live Collections'!D677,Disbursements!$D:$D,'Live Collections'!F677))</f>
        <v>90000</v>
      </c>
      <c r="S677" s="304">
        <f>IF(O677&lt;=IF($O677=0,0,SUMIFS(Disbursements!$W:$W,Disbursements!$B:$B,'Live Collections'!D1056,Disbursements!$D:$D,'Live Collections'!F1056)),O677,IF($O677=0,0,SUMIFS(Disbursements!$W:$W,Disbursements!$B:$B,'Live Collections'!D1056,Disbursements!$D:$D,'Live Collections'!F1056)))</f>
        <v>15000</v>
      </c>
      <c r="T677" s="304">
        <f t="shared" si="33"/>
        <v>55000</v>
      </c>
      <c r="U677" s="52"/>
      <c r="V677" s="34"/>
      <c r="W677" s="408"/>
    </row>
    <row r="678" spans="1:23" ht="12.75" customHeight="1" x14ac:dyDescent="0.2">
      <c r="A678" s="132">
        <v>671</v>
      </c>
      <c r="B678" s="44">
        <v>44431</v>
      </c>
      <c r="C678" s="44">
        <f t="shared" si="31"/>
        <v>44431</v>
      </c>
      <c r="D678" s="374">
        <v>84</v>
      </c>
      <c r="E678" s="291" t="str">
        <f>IFERROR(VLOOKUP($D678,'Clients-Live'!$A:$C,3,0),"")</f>
        <v>OMEGA  CHARLES</v>
      </c>
      <c r="F678" s="291">
        <f>IFERROR(INDEX(Disbursements!$D:$D,MATCH('Live Collections'!G678,Disbursements!$C:$C,0)),"")</f>
        <v>1</v>
      </c>
      <c r="G678" s="34">
        <v>66</v>
      </c>
      <c r="H678" s="34"/>
      <c r="I678" s="34" t="s">
        <v>1359</v>
      </c>
      <c r="J678" s="48"/>
      <c r="K678" s="48"/>
      <c r="L678" s="48"/>
      <c r="M678" s="48"/>
      <c r="N678" s="59"/>
      <c r="O678" s="59">
        <v>440000</v>
      </c>
      <c r="P678" s="59"/>
      <c r="Q678" s="268">
        <f t="shared" si="32"/>
        <v>440000</v>
      </c>
      <c r="R678" s="61">
        <f>IF(O678=0,0,SUMIFS(Disbursements!$T:$T,Disbursements!$B:$B,'Live Collections'!D678,Disbursements!$D:$D,'Live Collections'!F678))</f>
        <v>434000</v>
      </c>
      <c r="S678" s="304">
        <f>IF(O678&lt;=IF($O678=0,0,SUMIFS(Disbursements!$W:$W,Disbursements!$B:$B,'Live Collections'!D1075,Disbursements!$D:$D,'Live Collections'!F1075)),O678,IF($O678=0,0,SUMIFS(Disbursements!$W:$W,Disbursements!$B:$B,'Live Collections'!D1075,Disbursements!$D:$D,'Live Collections'!F1075)))</f>
        <v>0</v>
      </c>
      <c r="T678" s="304">
        <f t="shared" si="33"/>
        <v>440000</v>
      </c>
      <c r="U678" s="52"/>
      <c r="V678" s="34"/>
      <c r="W678" s="408"/>
    </row>
    <row r="679" spans="1:23" ht="12.75" customHeight="1" x14ac:dyDescent="0.2">
      <c r="A679" s="257">
        <v>676</v>
      </c>
      <c r="B679" s="44">
        <v>44431</v>
      </c>
      <c r="C679" s="44">
        <f t="shared" si="31"/>
        <v>44431</v>
      </c>
      <c r="D679" s="374">
        <v>116</v>
      </c>
      <c r="E679" s="291" t="str">
        <f>IFERROR(VLOOKUP($D679,'Clients-Live'!$A:$C,3,0),"")</f>
        <v>ONZIA LUCY</v>
      </c>
      <c r="F679" s="291">
        <f>IFERROR(INDEX(Disbursements!$D:$D,MATCH('Live Collections'!G679,Disbursements!$C:$C,0)),"")</f>
        <v>1</v>
      </c>
      <c r="G679" s="34">
        <v>95</v>
      </c>
      <c r="H679" s="34"/>
      <c r="I679" s="34" t="s">
        <v>1357</v>
      </c>
      <c r="J679" s="48"/>
      <c r="K679" s="48"/>
      <c r="L679" s="48"/>
      <c r="M679" s="48"/>
      <c r="N679" s="59"/>
      <c r="O679" s="59">
        <v>20000</v>
      </c>
      <c r="P679" s="59"/>
      <c r="Q679" s="268">
        <f t="shared" si="32"/>
        <v>20000</v>
      </c>
      <c r="R679" s="61">
        <f>IF(O679=0,0,SUMIFS(Disbursements!$T:$T,Disbursements!$B:$B,'Live Collections'!D679,Disbursements!$D:$D,'Live Collections'!F679))</f>
        <v>20000</v>
      </c>
      <c r="S679" s="304">
        <v>19999.999999999985</v>
      </c>
      <c r="T679" s="304">
        <f t="shared" si="33"/>
        <v>1.4551915228366852E-11</v>
      </c>
      <c r="U679" s="52"/>
      <c r="V679" s="34"/>
      <c r="W679" s="408"/>
    </row>
    <row r="680" spans="1:23" ht="12.75" customHeight="1" x14ac:dyDescent="0.2">
      <c r="A680" s="132">
        <v>675</v>
      </c>
      <c r="B680" s="44">
        <v>44431</v>
      </c>
      <c r="C680" s="44">
        <f t="shared" si="31"/>
        <v>44431</v>
      </c>
      <c r="D680" s="374">
        <v>138</v>
      </c>
      <c r="E680" s="291" t="str">
        <f>IFERROR(VLOOKUP($D680,'Clients-Live'!$A:$C,3,0),"")</f>
        <v>BEATRICE AMANDRU</v>
      </c>
      <c r="F680" s="291">
        <f>IFERROR(INDEX(Disbursements!$D:$D,MATCH('Live Collections'!G680,Disbursements!$C:$C,0)),"")</f>
        <v>1</v>
      </c>
      <c r="G680" s="34">
        <v>126</v>
      </c>
      <c r="H680" s="34"/>
      <c r="I680" s="34" t="s">
        <v>1357</v>
      </c>
      <c r="J680" s="48"/>
      <c r="K680" s="48"/>
      <c r="L680" s="48"/>
      <c r="M680" s="48"/>
      <c r="N680" s="59"/>
      <c r="O680" s="59">
        <v>230000</v>
      </c>
      <c r="P680" s="59"/>
      <c r="Q680" s="268">
        <f t="shared" si="32"/>
        <v>230000</v>
      </c>
      <c r="R680" s="61">
        <f>IF(O680=0,0,SUMIFS(Disbursements!$T:$T,Disbursements!$B:$B,'Live Collections'!D680,Disbursements!$D:$D,'Live Collections'!F680))</f>
        <v>230000</v>
      </c>
      <c r="S680" s="304">
        <v>90000</v>
      </c>
      <c r="T680" s="304">
        <f t="shared" si="33"/>
        <v>140000</v>
      </c>
      <c r="U680" s="52"/>
      <c r="V680" s="34"/>
      <c r="W680" s="408"/>
    </row>
    <row r="681" spans="1:23" ht="12.75" customHeight="1" x14ac:dyDescent="0.2">
      <c r="A681" s="257">
        <v>673</v>
      </c>
      <c r="B681" s="44">
        <v>44431</v>
      </c>
      <c r="C681" s="44">
        <f t="shared" si="31"/>
        <v>44431</v>
      </c>
      <c r="D681" s="374">
        <v>139</v>
      </c>
      <c r="E681" s="291" t="str">
        <f>IFERROR(VLOOKUP($D681,'Clients-Live'!$A:$C,3,0),"")</f>
        <v xml:space="preserve">DRICHIRU MAIMUNA </v>
      </c>
      <c r="F681" s="291">
        <f>IFERROR(INDEX(Disbursements!$D:$D,MATCH('Live Collections'!G681,Disbursements!$C:$C,0)),"")</f>
        <v>1</v>
      </c>
      <c r="G681" s="34">
        <v>123</v>
      </c>
      <c r="H681" s="34">
        <v>1143</v>
      </c>
      <c r="I681" s="34" t="s">
        <v>1359</v>
      </c>
      <c r="J681" s="48"/>
      <c r="K681" s="48"/>
      <c r="L681" s="48"/>
      <c r="M681" s="48"/>
      <c r="N681" s="59"/>
      <c r="O681" s="59">
        <v>115000</v>
      </c>
      <c r="P681" s="59"/>
      <c r="Q681" s="268">
        <f t="shared" si="32"/>
        <v>115000</v>
      </c>
      <c r="R681" s="61">
        <f>IF(O681=0,0,SUMIFS(Disbursements!$T:$T,Disbursements!$B:$B,'Live Collections'!D681,Disbursements!$D:$D,'Live Collections'!F681))</f>
        <v>115000</v>
      </c>
      <c r="S681" s="304">
        <f>IF(O681&lt;=IF($O681=0,0,SUMIFS(Disbursements!$W:$W,Disbursements!$B:$B,'Live Collections'!D1758,Disbursements!$D:$D,'Live Collections'!F1758)),O681,IF($O681=0,0,SUMIFS(Disbursements!$W:$W,Disbursements!$B:$B,'Live Collections'!D1758,Disbursements!$D:$D,'Live Collections'!F1758)))</f>
        <v>0</v>
      </c>
      <c r="T681" s="304">
        <f t="shared" si="33"/>
        <v>115000</v>
      </c>
      <c r="U681" s="52"/>
      <c r="V681" s="34"/>
      <c r="W681" s="408"/>
    </row>
    <row r="682" spans="1:23" ht="12.75" customHeight="1" x14ac:dyDescent="0.2">
      <c r="A682" s="132">
        <v>666</v>
      </c>
      <c r="B682" s="44">
        <v>44431</v>
      </c>
      <c r="C682" s="44">
        <f t="shared" si="31"/>
        <v>44431</v>
      </c>
      <c r="D682" s="374">
        <v>142</v>
      </c>
      <c r="E682" s="291" t="str">
        <f>IFERROR(VLOOKUP($D682,'Clients-Live'!$A:$C,3,0),"")</f>
        <v>TABU MARY</v>
      </c>
      <c r="F682" s="291">
        <f>IFERROR(INDEX(Disbursements!$D:$D,MATCH('Live Collections'!G682,Disbursements!$C:$C,0)),"")</f>
        <v>1</v>
      </c>
      <c r="G682" s="34">
        <v>128</v>
      </c>
      <c r="H682" s="34"/>
      <c r="I682" s="34" t="s">
        <v>1357</v>
      </c>
      <c r="J682" s="48"/>
      <c r="K682" s="48"/>
      <c r="L682" s="48"/>
      <c r="M682" s="48"/>
      <c r="N682" s="59"/>
      <c r="O682" s="59">
        <v>216700</v>
      </c>
      <c r="P682" s="59"/>
      <c r="Q682" s="268">
        <f t="shared" si="32"/>
        <v>216700</v>
      </c>
      <c r="R682" s="61">
        <f>IF(O682=0,0,SUMIFS(Disbursements!$T:$T,Disbursements!$B:$B,'Live Collections'!D682,Disbursements!$D:$D,'Live Collections'!F682))</f>
        <v>217000</v>
      </c>
      <c r="S682" s="304">
        <f>IF(O682&lt;=IF($O682=0,0,SUMIFS(Disbursements!$W:$W,Disbursements!$B:$B,'Live Collections'!D1793,Disbursements!$D:$D,'Live Collections'!F1793)),O682,IF($O682=0,0,SUMIFS(Disbursements!$W:$W,Disbursements!$B:$B,'Live Collections'!D1793,Disbursements!$D:$D,'Live Collections'!F1793)))</f>
        <v>25000</v>
      </c>
      <c r="T682" s="304">
        <f t="shared" si="33"/>
        <v>191700</v>
      </c>
      <c r="U682" s="52"/>
      <c r="V682" s="34"/>
      <c r="W682" s="408"/>
    </row>
    <row r="683" spans="1:23" ht="12.75" customHeight="1" x14ac:dyDescent="0.2">
      <c r="A683" s="257">
        <v>678</v>
      </c>
      <c r="B683" s="44">
        <v>44431</v>
      </c>
      <c r="C683" s="44">
        <f t="shared" si="31"/>
        <v>44431</v>
      </c>
      <c r="D683" s="374">
        <v>155</v>
      </c>
      <c r="E683" s="291" t="str">
        <f>IFERROR(VLOOKUP($D683,'Clients-Live'!$A:$C,3,0),"")</f>
        <v>AROMBORAC SIAMA</v>
      </c>
      <c r="F683" s="291">
        <f>IFERROR(INDEX(Disbursements!$D:$D,MATCH('Live Collections'!G683,Disbursements!$C:$C,0)),"")</f>
        <v>1</v>
      </c>
      <c r="G683" s="34">
        <v>143</v>
      </c>
      <c r="H683" s="34"/>
      <c r="I683" s="34" t="s">
        <v>1358</v>
      </c>
      <c r="J683" s="48"/>
      <c r="K683" s="48"/>
      <c r="L683" s="48"/>
      <c r="M683" s="48"/>
      <c r="N683" s="59"/>
      <c r="O683" s="59">
        <v>90000</v>
      </c>
      <c r="P683" s="59"/>
      <c r="Q683" s="268">
        <f t="shared" si="32"/>
        <v>90000</v>
      </c>
      <c r="R683" s="61">
        <f>IF(O683=0,0,SUMIFS(Disbursements!$T:$T,Disbursements!$B:$B,'Live Collections'!D683,Disbursements!$D:$D,'Live Collections'!F683))</f>
        <v>90000</v>
      </c>
      <c r="S683" s="64">
        <v>60000</v>
      </c>
      <c r="T683" s="304">
        <f t="shared" si="33"/>
        <v>30000</v>
      </c>
      <c r="U683" s="52"/>
      <c r="V683" s="34"/>
      <c r="W683" s="408"/>
    </row>
    <row r="684" spans="1:23" ht="12.75" customHeight="1" x14ac:dyDescent="0.2">
      <c r="A684" s="132">
        <v>670</v>
      </c>
      <c r="B684" s="44">
        <v>44431</v>
      </c>
      <c r="C684" s="44">
        <f t="shared" si="31"/>
        <v>44431</v>
      </c>
      <c r="D684" s="374">
        <v>169</v>
      </c>
      <c r="E684" s="291" t="str">
        <f>IFERROR(VLOOKUP($D684,'Clients-Live'!$A:$C,3,0),"")</f>
        <v>KATO KENNEDY</v>
      </c>
      <c r="F684" s="291">
        <f>IFERROR(INDEX(Disbursements!$D:$D,MATCH('Live Collections'!G684,Disbursements!$C:$C,0)),"")</f>
        <v>1</v>
      </c>
      <c r="G684" s="34">
        <v>176</v>
      </c>
      <c r="H684" s="34">
        <v>1137</v>
      </c>
      <c r="I684" s="34" t="s">
        <v>1357</v>
      </c>
      <c r="J684" s="48"/>
      <c r="K684" s="48"/>
      <c r="L684" s="48"/>
      <c r="M684" s="48"/>
      <c r="N684" s="59"/>
      <c r="O684" s="59">
        <v>120000</v>
      </c>
      <c r="P684" s="59"/>
      <c r="Q684" s="268">
        <f t="shared" si="32"/>
        <v>120000</v>
      </c>
      <c r="R684" s="61">
        <f>IF(O684=0,0,SUMIFS(Disbursements!$T:$T,Disbursements!$B:$B,'Live Collections'!D684,Disbursements!$D:$D,'Live Collections'!F684))</f>
        <v>109000</v>
      </c>
      <c r="S684" s="304">
        <f>IF(O684&lt;=IF($O684=0,0,SUMIFS(Disbursements!$W:$W,Disbursements!$B:$B,'Live Collections'!D2078,Disbursements!$D:$D,'Live Collections'!F2078)),O684,IF($O684=0,0,SUMIFS(Disbursements!$W:$W,Disbursements!$B:$B,'Live Collections'!D2078,Disbursements!$D:$D,'Live Collections'!F2078)))</f>
        <v>75000</v>
      </c>
      <c r="T684" s="304">
        <f t="shared" si="33"/>
        <v>45000</v>
      </c>
      <c r="U684" s="52"/>
      <c r="V684" s="34"/>
      <c r="W684" s="408"/>
    </row>
    <row r="685" spans="1:23" ht="12.75" customHeight="1" x14ac:dyDescent="0.2">
      <c r="A685" s="257">
        <v>662</v>
      </c>
      <c r="B685" s="44">
        <v>44431</v>
      </c>
      <c r="C685" s="44">
        <f t="shared" si="31"/>
        <v>44431</v>
      </c>
      <c r="D685" s="374">
        <v>177</v>
      </c>
      <c r="E685" s="291" t="str">
        <f>IFERROR(VLOOKUP($D685,'Clients-Live'!$A:$C,3,0),"")</f>
        <v>EFIT GIFT</v>
      </c>
      <c r="F685" s="291">
        <f>IFERROR(INDEX(Disbursements!$D:$D,MATCH('Live Collections'!G685,Disbursements!$C:$C,0)),"")</f>
        <v>1</v>
      </c>
      <c r="G685" s="34">
        <v>183</v>
      </c>
      <c r="H685" s="34"/>
      <c r="I685" s="34" t="s">
        <v>863</v>
      </c>
      <c r="J685" s="48"/>
      <c r="K685" s="48"/>
      <c r="L685" s="48">
        <v>20000</v>
      </c>
      <c r="M685" s="48">
        <v>5000</v>
      </c>
      <c r="N685" s="59"/>
      <c r="O685" s="59"/>
      <c r="P685" s="59">
        <v>200000</v>
      </c>
      <c r="Q685" s="268">
        <f t="shared" si="32"/>
        <v>225000</v>
      </c>
      <c r="R685" s="61">
        <f>IF(O685=0,0,SUMIFS(Disbursements!$T:$T,Disbursements!$B:$B,'Live Collections'!D685,Disbursements!$D:$D,'Live Collections'!F685))</f>
        <v>0</v>
      </c>
      <c r="S685" s="304">
        <f>IF(O685&lt;=IF($O685=0,0,SUMIFS(Disbursements!$W:$W,Disbursements!$B:$B,'Live Collections'!D2163,Disbursements!$D:$D,'Live Collections'!F2163)),O685,IF($O685=0,0,SUMIFS(Disbursements!$W:$W,Disbursements!$B:$B,'Live Collections'!D2163,Disbursements!$D:$D,'Live Collections'!F2163)))</f>
        <v>0</v>
      </c>
      <c r="T685" s="304">
        <f t="shared" si="33"/>
        <v>0</v>
      </c>
      <c r="U685" s="52"/>
      <c r="V685" s="34"/>
      <c r="W685" s="408"/>
    </row>
    <row r="686" spans="1:23" ht="12.75" customHeight="1" x14ac:dyDescent="0.2">
      <c r="A686" s="132">
        <v>663</v>
      </c>
      <c r="B686" s="44">
        <v>44431</v>
      </c>
      <c r="C686" s="44">
        <f t="shared" si="31"/>
        <v>44431</v>
      </c>
      <c r="D686" s="374">
        <v>180</v>
      </c>
      <c r="E686" s="291" t="str">
        <f>IFERROR(VLOOKUP($D686,'Clients-Live'!$A:$C,3,0),"")</f>
        <v>IJOSIGA ISMAIL</v>
      </c>
      <c r="F686" s="291">
        <f>IFERROR(INDEX(Disbursements!$D:$D,MATCH('Live Collections'!G686,Disbursements!$C:$C,0)),"")</f>
        <v>1</v>
      </c>
      <c r="G686" s="34">
        <v>185</v>
      </c>
      <c r="H686" s="34"/>
      <c r="I686" s="34" t="s">
        <v>862</v>
      </c>
      <c r="J686" s="48"/>
      <c r="K686" s="48"/>
      <c r="L686" s="48">
        <v>15000</v>
      </c>
      <c r="M686" s="48">
        <v>5000</v>
      </c>
      <c r="N686" s="59"/>
      <c r="O686" s="59"/>
      <c r="P686" s="59">
        <v>70000</v>
      </c>
      <c r="Q686" s="268">
        <f t="shared" si="32"/>
        <v>90000</v>
      </c>
      <c r="R686" s="61">
        <f>IF(O686=0,0,SUMIFS(Disbursements!$T:$T,Disbursements!$B:$B,'Live Collections'!D686,Disbursements!$D:$D,'Live Collections'!F686))</f>
        <v>0</v>
      </c>
      <c r="S686" s="304">
        <f>IF(O686&lt;=IF($O686=0,0,SUMIFS(Disbursements!$W:$W,Disbursements!$B:$B,'Live Collections'!D2200,Disbursements!$D:$D,'Live Collections'!F2200)),O686,IF($O686=0,0,SUMIFS(Disbursements!$W:$W,Disbursements!$B:$B,'Live Collections'!D2200,Disbursements!$D:$D,'Live Collections'!F2200)))</f>
        <v>0</v>
      </c>
      <c r="T686" s="304">
        <f t="shared" si="33"/>
        <v>0</v>
      </c>
      <c r="U686" s="52"/>
      <c r="V686" s="34"/>
      <c r="W686" s="408"/>
    </row>
    <row r="687" spans="1:23" ht="12.75" customHeight="1" x14ac:dyDescent="0.2">
      <c r="A687" s="257">
        <v>664</v>
      </c>
      <c r="B687" s="44">
        <v>44431</v>
      </c>
      <c r="C687" s="44">
        <f t="shared" si="31"/>
        <v>44431</v>
      </c>
      <c r="D687" s="374">
        <v>185</v>
      </c>
      <c r="E687" s="291" t="str">
        <f>IFERROR(VLOOKUP($D687,'Clients-Live'!$A:$C,3,0),"")</f>
        <v>APAYI HARRIET</v>
      </c>
      <c r="F687" s="291">
        <f>IFERROR(INDEX(Disbursements!$D:$D,MATCH('Live Collections'!G687,Disbursements!$C:$C,0)),"")</f>
        <v>1</v>
      </c>
      <c r="G687" s="34">
        <v>182</v>
      </c>
      <c r="H687" s="34"/>
      <c r="I687" s="34" t="s">
        <v>864</v>
      </c>
      <c r="J687" s="48"/>
      <c r="K687" s="48"/>
      <c r="L687" s="48">
        <v>15000</v>
      </c>
      <c r="M687" s="48">
        <v>5000</v>
      </c>
      <c r="N687" s="59"/>
      <c r="O687" s="59"/>
      <c r="P687" s="59">
        <v>100000</v>
      </c>
      <c r="Q687" s="268">
        <f t="shared" si="32"/>
        <v>120000</v>
      </c>
      <c r="R687" s="61">
        <f>IF(O687=0,0,SUMIFS(Disbursements!$T:$T,Disbursements!$B:$B,'Live Collections'!D687,Disbursements!$D:$D,'Live Collections'!F687))</f>
        <v>0</v>
      </c>
      <c r="S687" s="304">
        <f>IF(O687&lt;=IF($O687=0,0,SUMIFS(Disbursements!$W:$W,Disbursements!$B:$B,'Live Collections'!D2245,Disbursements!$D:$D,'Live Collections'!F2245)),O687,IF($O687=0,0,SUMIFS(Disbursements!$W:$W,Disbursements!$B:$B,'Live Collections'!D2245,Disbursements!$D:$D,'Live Collections'!F2245)))</f>
        <v>0</v>
      </c>
      <c r="T687" s="304">
        <f t="shared" si="33"/>
        <v>0</v>
      </c>
      <c r="U687" s="52"/>
      <c r="V687" s="34"/>
      <c r="W687" s="408"/>
    </row>
    <row r="688" spans="1:23" ht="12.75" customHeight="1" x14ac:dyDescent="0.2">
      <c r="A688" s="132">
        <v>665</v>
      </c>
      <c r="B688" s="44">
        <v>44431</v>
      </c>
      <c r="C688" s="44">
        <f t="shared" si="31"/>
        <v>44431</v>
      </c>
      <c r="D688" s="374">
        <v>192</v>
      </c>
      <c r="E688" s="291" t="str">
        <f>IFERROR(VLOOKUP($D688,'Clients-Live'!$A:$C,3,0),"")</f>
        <v>MAZARAU AISHA</v>
      </c>
      <c r="F688" s="291">
        <f>IFERROR(INDEX(Disbursements!$D:$D,MATCH('Live Collections'!G688,Disbursements!$C:$C,0)),"")</f>
        <v>1</v>
      </c>
      <c r="G688" s="34">
        <v>181</v>
      </c>
      <c r="H688" s="34"/>
      <c r="I688" s="34" t="s">
        <v>864</v>
      </c>
      <c r="J688" s="48"/>
      <c r="K688" s="48"/>
      <c r="L688" s="48">
        <v>10000</v>
      </c>
      <c r="M688" s="48">
        <v>5000</v>
      </c>
      <c r="N688" s="59"/>
      <c r="O688" s="59"/>
      <c r="P688" s="59">
        <v>30000</v>
      </c>
      <c r="Q688" s="268">
        <f t="shared" si="32"/>
        <v>45000</v>
      </c>
      <c r="R688" s="61">
        <f>IF(O688=0,0,SUMIFS(Disbursements!$T:$T,Disbursements!$B:$B,'Live Collections'!D688,Disbursements!$D:$D,'Live Collections'!F688))</f>
        <v>0</v>
      </c>
      <c r="S688" s="304">
        <f>IF(O688&lt;=IF($O688=0,0,SUMIFS(Disbursements!$W:$W,Disbursements!$B:$B,'Live Collections'!D2326,Disbursements!$D:$D,'Live Collections'!F2326)),O688,IF($O688=0,0,SUMIFS(Disbursements!$W:$W,Disbursements!$B:$B,'Live Collections'!D2326,Disbursements!$D:$D,'Live Collections'!F2326)))</f>
        <v>0</v>
      </c>
      <c r="T688" s="304">
        <f t="shared" si="33"/>
        <v>0</v>
      </c>
      <c r="U688" s="52"/>
      <c r="V688" s="34"/>
      <c r="W688" s="408"/>
    </row>
    <row r="689" spans="1:23" ht="12.75" customHeight="1" x14ac:dyDescent="0.2">
      <c r="A689" s="257">
        <v>661</v>
      </c>
      <c r="B689" s="44">
        <v>44431</v>
      </c>
      <c r="C689" s="44">
        <f t="shared" si="31"/>
        <v>44431</v>
      </c>
      <c r="D689" s="374">
        <v>196</v>
      </c>
      <c r="E689" s="291" t="str">
        <f>IFERROR(VLOOKUP($D689,'Clients-Live'!$A:$C,3,0),"")</f>
        <v>AKISU JOICE</v>
      </c>
      <c r="F689" s="291" t="str">
        <f>IFERROR(INDEX(Disbursements!$D:$D,MATCH('Live Collections'!G689,Disbursements!$C:$C,0)),"")</f>
        <v/>
      </c>
      <c r="G689" s="34"/>
      <c r="H689" s="34"/>
      <c r="I689" s="34" t="s">
        <v>1814</v>
      </c>
      <c r="J689" s="48">
        <v>15000</v>
      </c>
      <c r="K689" s="48">
        <v>5000</v>
      </c>
      <c r="L689" s="48"/>
      <c r="M689" s="48"/>
      <c r="N689" s="59"/>
      <c r="O689" s="59"/>
      <c r="P689" s="59"/>
      <c r="Q689" s="268">
        <f t="shared" si="32"/>
        <v>20000</v>
      </c>
      <c r="R689" s="61">
        <f>IF(O689=0,0,SUMIFS(Disbursements!$T:$T,Disbursements!$B:$B,'Live Collections'!D689,Disbursements!$D:$D,'Live Collections'!F689))</f>
        <v>0</v>
      </c>
      <c r="S689" s="304">
        <f>IF(O689&lt;=IF($O689=0,0,SUMIFS(Disbursements!$W:$W,Disbursements!$B:$B,'Live Collections'!D2353,Disbursements!$D:$D,'Live Collections'!F2353)),O689,IF($O689=0,0,SUMIFS(Disbursements!$W:$W,Disbursements!$B:$B,'Live Collections'!D2353,Disbursements!$D:$D,'Live Collections'!F2353)))</f>
        <v>0</v>
      </c>
      <c r="T689" s="304">
        <f t="shared" si="33"/>
        <v>0</v>
      </c>
      <c r="U689" s="52">
        <v>770712680</v>
      </c>
      <c r="V689" s="34"/>
      <c r="W689" s="408"/>
    </row>
    <row r="690" spans="1:23" ht="12.75" customHeight="1" x14ac:dyDescent="0.2">
      <c r="A690" s="132">
        <v>685</v>
      </c>
      <c r="B690" s="44">
        <v>44432</v>
      </c>
      <c r="C690" s="44">
        <f t="shared" si="31"/>
        <v>44432</v>
      </c>
      <c r="D690" s="374">
        <v>23</v>
      </c>
      <c r="E690" s="291" t="str">
        <f>IFERROR(VLOOKUP($D690,'Clients-Live'!$A:$C,3,0),"")</f>
        <v>BADARU KEVIN ATELIONGA</v>
      </c>
      <c r="F690" s="291">
        <f>IFERROR(INDEX(Disbursements!$D:$D,MATCH('Live Collections'!G690,Disbursements!$C:$C,0)),"")</f>
        <v>1</v>
      </c>
      <c r="G690" s="34">
        <v>14</v>
      </c>
      <c r="H690" s="34"/>
      <c r="I690" s="34" t="s">
        <v>1357</v>
      </c>
      <c r="J690" s="48"/>
      <c r="K690" s="48"/>
      <c r="L690" s="48"/>
      <c r="M690" s="48"/>
      <c r="N690" s="59"/>
      <c r="O690" s="59">
        <v>97500</v>
      </c>
      <c r="P690" s="59"/>
      <c r="Q690" s="268">
        <f t="shared" si="32"/>
        <v>97500</v>
      </c>
      <c r="R690" s="61">
        <f>IF(O690=0,0,SUMIFS(Disbursements!$T:$T,Disbursements!$B:$B,'Live Collections'!D690,Disbursements!$D:$D,'Live Collections'!F690))</f>
        <v>33000</v>
      </c>
      <c r="S690" s="64">
        <v>69166.666666666657</v>
      </c>
      <c r="T690" s="304">
        <f t="shared" si="33"/>
        <v>28333.333333333343</v>
      </c>
      <c r="U690" s="52"/>
      <c r="V690" s="34"/>
      <c r="W690" s="408" t="s">
        <v>2086</v>
      </c>
    </row>
    <row r="691" spans="1:23" ht="12.75" customHeight="1" x14ac:dyDescent="0.2">
      <c r="A691" s="257">
        <v>687</v>
      </c>
      <c r="B691" s="44">
        <v>44432</v>
      </c>
      <c r="C691" s="44">
        <f t="shared" si="31"/>
        <v>44432</v>
      </c>
      <c r="D691" s="374">
        <v>66</v>
      </c>
      <c r="E691" s="291" t="str">
        <f>IFERROR(VLOOKUP($D691,'Clients-Live'!$A:$C,3,0),"")</f>
        <v>DENAYA NYAMAZA</v>
      </c>
      <c r="F691" s="291">
        <f>IFERROR(INDEX(Disbursements!$D:$D,MATCH('Live Collections'!G691,Disbursements!$C:$C,0)),"")</f>
        <v>1</v>
      </c>
      <c r="G691" s="34">
        <v>53</v>
      </c>
      <c r="H691" s="34"/>
      <c r="I691" s="34" t="s">
        <v>1357</v>
      </c>
      <c r="J691" s="48"/>
      <c r="K691" s="48"/>
      <c r="L691" s="48"/>
      <c r="M691" s="48"/>
      <c r="N691" s="59"/>
      <c r="O691" s="59">
        <v>120000</v>
      </c>
      <c r="P691" s="59"/>
      <c r="Q691" s="268">
        <f t="shared" si="32"/>
        <v>120000</v>
      </c>
      <c r="R691" s="61">
        <f>IF(O691=0,0,SUMIFS(Disbursements!$T:$T,Disbursements!$B:$B,'Live Collections'!D691,Disbursements!$D:$D,'Live Collections'!F691))</f>
        <v>109000</v>
      </c>
      <c r="S691" s="304">
        <f>IF(O691&lt;=IF($O691=0,0,SUMIFS(Disbursements!$W:$W,Disbursements!$B:$B,'Live Collections'!D1259,Disbursements!$D:$D,'Live Collections'!F1259)),O691,IF($O691=0,0,SUMIFS(Disbursements!$W:$W,Disbursements!$B:$B,'Live Collections'!D1259,Disbursements!$D:$D,'Live Collections'!F1259)))</f>
        <v>15000</v>
      </c>
      <c r="T691" s="304">
        <f t="shared" si="33"/>
        <v>105000</v>
      </c>
      <c r="U691" s="52"/>
      <c r="V691" s="34"/>
      <c r="W691" s="408"/>
    </row>
    <row r="692" spans="1:23" ht="12.75" customHeight="1" x14ac:dyDescent="0.2">
      <c r="A692" s="132">
        <v>682</v>
      </c>
      <c r="B692" s="44">
        <v>44432</v>
      </c>
      <c r="C692" s="44">
        <f t="shared" si="31"/>
        <v>44432</v>
      </c>
      <c r="D692" s="374">
        <v>76</v>
      </c>
      <c r="E692" s="291" t="str">
        <f>IFERROR(VLOOKUP($D692,'Clients-Live'!$A:$C,3,0),"")</f>
        <v>DAWA AISHA</v>
      </c>
      <c r="F692" s="291">
        <f>IFERROR(INDEX(Disbursements!$D:$D,MATCH('Live Collections'!G692,Disbursements!$C:$C,0)),"")</f>
        <v>2</v>
      </c>
      <c r="G692" s="34">
        <v>187</v>
      </c>
      <c r="H692" s="34"/>
      <c r="I692" s="34" t="s">
        <v>863</v>
      </c>
      <c r="J692" s="48"/>
      <c r="K692" s="48"/>
      <c r="L692" s="48">
        <v>15000</v>
      </c>
      <c r="M692" s="48">
        <v>5000</v>
      </c>
      <c r="N692" s="59"/>
      <c r="O692" s="59"/>
      <c r="P692" s="59">
        <v>60000</v>
      </c>
      <c r="Q692" s="268">
        <f t="shared" si="32"/>
        <v>80000</v>
      </c>
      <c r="R692" s="61">
        <f>IF(O692=0,0,SUMIFS(Disbursements!$T:$T,Disbursements!$B:$B,'Live Collections'!D692,Disbursements!$D:$D,'Live Collections'!F692))</f>
        <v>0</v>
      </c>
      <c r="S692" s="304">
        <f>IF(O692&lt;=IF($O692=0,0,SUMIFS(Disbursements!$W:$W,Disbursements!$B:$B,'Live Collections'!D974,Disbursements!$D:$D,'Live Collections'!F974)),O692,IF($O692=0,0,SUMIFS(Disbursements!$W:$W,Disbursements!$B:$B,'Live Collections'!D974,Disbursements!$D:$D,'Live Collections'!F974)))</f>
        <v>0</v>
      </c>
      <c r="T692" s="304">
        <f t="shared" si="33"/>
        <v>0</v>
      </c>
      <c r="U692" s="52"/>
      <c r="V692" s="34"/>
      <c r="W692" s="408"/>
    </row>
    <row r="693" spans="1:23" ht="12.75" customHeight="1" x14ac:dyDescent="0.2">
      <c r="A693" s="257">
        <v>691</v>
      </c>
      <c r="B693" s="44">
        <v>44432</v>
      </c>
      <c r="C693" s="44">
        <f t="shared" si="31"/>
        <v>44432</v>
      </c>
      <c r="D693" s="374">
        <v>89</v>
      </c>
      <c r="E693" s="291" t="str">
        <f>IFERROR(VLOOKUP($D693,'Clients-Live'!$A:$C,3,0),"")</f>
        <v>ANDA FLORENCE</v>
      </c>
      <c r="F693" s="291">
        <f>IFERROR(INDEX(Disbursements!$D:$D,MATCH('Live Collections'!G693,Disbursements!$C:$C,0)),"")</f>
        <v>1</v>
      </c>
      <c r="G693" s="34">
        <v>78</v>
      </c>
      <c r="H693" s="34">
        <v>1080</v>
      </c>
      <c r="I693" s="34" t="s">
        <v>1359</v>
      </c>
      <c r="J693" s="48"/>
      <c r="K693" s="48"/>
      <c r="L693" s="48"/>
      <c r="M693" s="48"/>
      <c r="N693" s="59"/>
      <c r="O693" s="59">
        <v>153000</v>
      </c>
      <c r="P693" s="59"/>
      <c r="Q693" s="268">
        <f t="shared" si="32"/>
        <v>153000</v>
      </c>
      <c r="R693" s="61">
        <f>IF(O693=0,0,SUMIFS(Disbursements!$T:$T,Disbursements!$B:$B,'Live Collections'!D693,Disbursements!$D:$D,'Live Collections'!F693))</f>
        <v>152000</v>
      </c>
      <c r="S693" s="304">
        <f>IF(O693&lt;=IF($O693=0,0,SUMIFS(Disbursements!$W:$W,Disbursements!$B:$B,'Live Collections'!D1157,Disbursements!$D:$D,'Live Collections'!F1157)),O693,IF($O693=0,0,SUMIFS(Disbursements!$W:$W,Disbursements!$B:$B,'Live Collections'!D1157,Disbursements!$D:$D,'Live Collections'!F1157)))</f>
        <v>9000</v>
      </c>
      <c r="T693" s="304">
        <f t="shared" si="33"/>
        <v>144000</v>
      </c>
      <c r="U693" s="52"/>
      <c r="V693" s="34"/>
      <c r="W693" s="408"/>
    </row>
    <row r="694" spans="1:23" ht="12.75" customHeight="1" x14ac:dyDescent="0.2">
      <c r="A694" s="132">
        <v>688</v>
      </c>
      <c r="B694" s="44">
        <v>44432</v>
      </c>
      <c r="C694" s="44">
        <f t="shared" si="31"/>
        <v>44432</v>
      </c>
      <c r="D694" s="374">
        <v>90</v>
      </c>
      <c r="E694" s="291" t="str">
        <f>IFERROR(VLOOKUP($D694,'Clients-Live'!$A:$C,3,0),"")</f>
        <v>ZABIBU RAJAB SAIDI</v>
      </c>
      <c r="F694" s="291">
        <f>IFERROR(INDEX(Disbursements!$D:$D,MATCH('Live Collections'!G694,Disbursements!$C:$C,0)),"")</f>
        <v>1</v>
      </c>
      <c r="G694" s="34">
        <v>77</v>
      </c>
      <c r="H694" s="34"/>
      <c r="I694" s="34" t="s">
        <v>1358</v>
      </c>
      <c r="J694" s="48"/>
      <c r="K694" s="48"/>
      <c r="L694" s="48"/>
      <c r="M694" s="48"/>
      <c r="N694" s="59"/>
      <c r="O694" s="59">
        <v>173300</v>
      </c>
      <c r="P694" s="59"/>
      <c r="Q694" s="268">
        <f t="shared" si="32"/>
        <v>173300</v>
      </c>
      <c r="R694" s="61">
        <f>IF(O694=0,0,SUMIFS(Disbursements!$T:$T,Disbursements!$B:$B,'Live Collections'!D694,Disbursements!$D:$D,'Live Collections'!F694))</f>
        <v>174000</v>
      </c>
      <c r="S694" s="304">
        <f>IF(O694&lt;=IF($O694=0,0,SUMIFS(Disbursements!$W:$W,Disbursements!$B:$B,'Live Collections'!D1172,Disbursements!$D:$D,'Live Collections'!F1172)),O694,IF($O694=0,0,SUMIFS(Disbursements!$W:$W,Disbursements!$B:$B,'Live Collections'!D1172,Disbursements!$D:$D,'Live Collections'!F1172)))</f>
        <v>173300</v>
      </c>
      <c r="T694" s="304">
        <f t="shared" si="33"/>
        <v>0</v>
      </c>
      <c r="U694" s="52"/>
      <c r="V694" s="34"/>
      <c r="W694" s="408"/>
    </row>
    <row r="695" spans="1:23" ht="12.75" customHeight="1" x14ac:dyDescent="0.2">
      <c r="A695" s="257">
        <v>689</v>
      </c>
      <c r="B695" s="44">
        <v>44432</v>
      </c>
      <c r="C695" s="44">
        <f t="shared" si="31"/>
        <v>44432</v>
      </c>
      <c r="D695" s="374">
        <v>91</v>
      </c>
      <c r="E695" s="291" t="str">
        <f>IFERROR(VLOOKUP($D695,'Clients-Live'!$A:$C,3,0),"")</f>
        <v>CHANDIRU SALILA</v>
      </c>
      <c r="F695" s="291">
        <f>IFERROR(INDEX(Disbursements!$D:$D,MATCH('Live Collections'!G695,Disbursements!$C:$C,0)),"")</f>
        <v>1</v>
      </c>
      <c r="G695" s="34">
        <v>75</v>
      </c>
      <c r="H695" s="34"/>
      <c r="I695" s="34" t="s">
        <v>1359</v>
      </c>
      <c r="J695" s="48"/>
      <c r="K695" s="48"/>
      <c r="L695" s="48"/>
      <c r="M695" s="48"/>
      <c r="N695" s="59"/>
      <c r="O695" s="59">
        <v>60000</v>
      </c>
      <c r="P695" s="59"/>
      <c r="Q695" s="268">
        <f t="shared" si="32"/>
        <v>60000</v>
      </c>
      <c r="R695" s="61">
        <f>IF(O695=0,0,SUMIFS(Disbursements!$T:$T,Disbursements!$B:$B,'Live Collections'!D695,Disbursements!$D:$D,'Live Collections'!F695))</f>
        <v>60000</v>
      </c>
      <c r="S695" s="304">
        <f>IF(O695&lt;=IF($O695=0,0,SUMIFS(Disbursements!$W:$W,Disbursements!$B:$B,'Live Collections'!D1183,Disbursements!$D:$D,'Live Collections'!F1183)),O695,IF($O695=0,0,SUMIFS(Disbursements!$W:$W,Disbursements!$B:$B,'Live Collections'!D1183,Disbursements!$D:$D,'Live Collections'!F1183)))</f>
        <v>25000</v>
      </c>
      <c r="T695" s="304">
        <f t="shared" si="33"/>
        <v>35000</v>
      </c>
      <c r="U695" s="52"/>
      <c r="V695" s="34"/>
      <c r="W695" s="408"/>
    </row>
    <row r="696" spans="1:23" ht="12.75" customHeight="1" x14ac:dyDescent="0.2">
      <c r="A696" s="132">
        <v>683</v>
      </c>
      <c r="B696" s="44">
        <v>44432</v>
      </c>
      <c r="C696" s="44">
        <f t="shared" si="31"/>
        <v>44432</v>
      </c>
      <c r="D696" s="374">
        <v>100</v>
      </c>
      <c r="E696" s="291" t="str">
        <f>IFERROR(VLOOKUP($D696,'Clients-Live'!$A:$C,3,0),"")</f>
        <v>LETAYO DORCUS</v>
      </c>
      <c r="F696" s="291">
        <f>IFERROR(INDEX(Disbursements!$D:$D,MATCH('Live Collections'!G696,Disbursements!$C:$C,0)),"")</f>
        <v>2</v>
      </c>
      <c r="G696" s="34">
        <v>184</v>
      </c>
      <c r="H696" s="34"/>
      <c r="I696" s="34" t="s">
        <v>864</v>
      </c>
      <c r="J696" s="48"/>
      <c r="K696" s="48"/>
      <c r="L696" s="48">
        <v>10000</v>
      </c>
      <c r="M696" s="48">
        <v>5000</v>
      </c>
      <c r="N696" s="59"/>
      <c r="O696" s="59"/>
      <c r="P696" s="59">
        <v>50000</v>
      </c>
      <c r="Q696" s="268">
        <f t="shared" si="32"/>
        <v>65000</v>
      </c>
      <c r="R696" s="61">
        <f>IF(O696=0,0,SUMIFS(Disbursements!$T:$T,Disbursements!$B:$B,'Live Collections'!D696,Disbursements!$D:$D,'Live Collections'!F696))</f>
        <v>0</v>
      </c>
      <c r="S696" s="304">
        <f>IF(O696&lt;=IF($O696=0,0,SUMIFS(Disbursements!$W:$W,Disbursements!$B:$B,'Live Collections'!D1293,Disbursements!$D:$D,'Live Collections'!F1293)),O696,IF($O696=0,0,SUMIFS(Disbursements!$W:$W,Disbursements!$B:$B,'Live Collections'!D1293,Disbursements!$D:$D,'Live Collections'!F1293)))</f>
        <v>0</v>
      </c>
      <c r="T696" s="304">
        <f t="shared" si="33"/>
        <v>0</v>
      </c>
      <c r="U696" s="52"/>
      <c r="V696" s="34"/>
      <c r="W696" s="408"/>
    </row>
    <row r="697" spans="1:23" ht="12.75" customHeight="1" x14ac:dyDescent="0.2">
      <c r="A697" s="257">
        <v>686</v>
      </c>
      <c r="B697" s="44">
        <v>44432</v>
      </c>
      <c r="C697" s="44">
        <f t="shared" si="31"/>
        <v>44432</v>
      </c>
      <c r="D697" s="374">
        <v>143</v>
      </c>
      <c r="E697" s="291" t="str">
        <f>IFERROR(VLOOKUP($D697,'Clients-Live'!$A:$C,3,0),"")</f>
        <v>MORO HAKIM</v>
      </c>
      <c r="F697" s="291">
        <f>IFERROR(INDEX(Disbursements!$D:$D,MATCH('Live Collections'!G697,Disbursements!$C:$C,0)),"")</f>
        <v>1</v>
      </c>
      <c r="G697" s="34">
        <v>127</v>
      </c>
      <c r="H697" s="34"/>
      <c r="I697" s="34" t="s">
        <v>1357</v>
      </c>
      <c r="J697" s="48"/>
      <c r="K697" s="48"/>
      <c r="L697" s="48"/>
      <c r="M697" s="48"/>
      <c r="N697" s="59"/>
      <c r="O697" s="59">
        <v>1150000</v>
      </c>
      <c r="P697" s="59"/>
      <c r="Q697" s="268">
        <f t="shared" si="32"/>
        <v>1150000</v>
      </c>
      <c r="R697" s="61">
        <f>IF(O697=0,0,SUMIFS(Disbursements!$T:$T,Disbursements!$B:$B,'Live Collections'!D697,Disbursements!$D:$D,'Live Collections'!F697))</f>
        <v>1150000</v>
      </c>
      <c r="S697" s="304">
        <f>IF(O697&lt;=IF($O697=0,0,SUMIFS(Disbursements!$W:$W,Disbursements!$B:$B,'Live Collections'!D1806,Disbursements!$D:$D,'Live Collections'!F1806)),O697,IF($O697=0,0,SUMIFS(Disbursements!$W:$W,Disbursements!$B:$B,'Live Collections'!D1806,Disbursements!$D:$D,'Live Collections'!F1806)))</f>
        <v>25666.666666666672</v>
      </c>
      <c r="T697" s="304">
        <f t="shared" si="33"/>
        <v>1124333.3333333333</v>
      </c>
      <c r="U697" s="52"/>
      <c r="V697" s="34"/>
      <c r="W697" s="408"/>
    </row>
    <row r="698" spans="1:23" ht="12.75" customHeight="1" x14ac:dyDescent="0.2">
      <c r="A698" s="132">
        <v>690</v>
      </c>
      <c r="B698" s="44">
        <v>44432</v>
      </c>
      <c r="C698" s="44">
        <f t="shared" si="31"/>
        <v>44432</v>
      </c>
      <c r="D698" s="374">
        <v>147</v>
      </c>
      <c r="E698" s="291" t="str">
        <f>IFERROR(VLOOKUP($D698,'Clients-Live'!$A:$C,3,0),"")</f>
        <v>DRICIRU MARGRET</v>
      </c>
      <c r="F698" s="291">
        <f>IFERROR(INDEX(Disbursements!$D:$D,MATCH('Live Collections'!G698,Disbursements!$C:$C,0)),"")</f>
        <v>1</v>
      </c>
      <c r="G698" s="34">
        <v>130</v>
      </c>
      <c r="H698" s="34"/>
      <c r="I698" s="34" t="s">
        <v>1359</v>
      </c>
      <c r="J698" s="48"/>
      <c r="K698" s="48"/>
      <c r="L698" s="48"/>
      <c r="M698" s="48"/>
      <c r="N698" s="59"/>
      <c r="O698" s="59">
        <v>230000</v>
      </c>
      <c r="P698" s="59"/>
      <c r="Q698" s="268">
        <f t="shared" si="32"/>
        <v>230000</v>
      </c>
      <c r="R698" s="61">
        <f>IF(O698=0,0,SUMIFS(Disbursements!$T:$T,Disbursements!$B:$B,'Live Collections'!D698,Disbursements!$D:$D,'Live Collections'!F698))</f>
        <v>230000</v>
      </c>
      <c r="S698" s="304">
        <f>IF(O698&lt;=IF($O698=0,0,SUMIFS(Disbursements!$W:$W,Disbursements!$B:$B,'Live Collections'!D1854,Disbursements!$D:$D,'Live Collections'!F1854)),O698,IF($O698=0,0,SUMIFS(Disbursements!$W:$W,Disbursements!$B:$B,'Live Collections'!D1854,Disbursements!$D:$D,'Live Collections'!F1854)))</f>
        <v>15000</v>
      </c>
      <c r="T698" s="304">
        <f t="shared" si="33"/>
        <v>215000</v>
      </c>
      <c r="U698" s="52"/>
      <c r="V698" s="34"/>
      <c r="W698" s="408"/>
    </row>
    <row r="699" spans="1:23" ht="12.75" customHeight="1" x14ac:dyDescent="0.2">
      <c r="A699" s="257">
        <v>684</v>
      </c>
      <c r="B699" s="44">
        <v>44432</v>
      </c>
      <c r="C699" s="44">
        <f t="shared" si="31"/>
        <v>44432</v>
      </c>
      <c r="D699" s="374">
        <v>194</v>
      </c>
      <c r="E699" s="291" t="str">
        <f>IFERROR(VLOOKUP($D699,'Clients-Live'!$A:$C,3,0),"")</f>
        <v>NYOLA SHERIFA AHMED</v>
      </c>
      <c r="F699" s="291">
        <f>IFERROR(INDEX(Disbursements!$D:$D,MATCH('Live Collections'!G699,Disbursements!$C:$C,0)),"")</f>
        <v>1</v>
      </c>
      <c r="G699" s="34">
        <v>186</v>
      </c>
      <c r="H699" s="34">
        <v>1135</v>
      </c>
      <c r="I699" s="34" t="s">
        <v>863</v>
      </c>
      <c r="J699" s="48"/>
      <c r="K699" s="48"/>
      <c r="L699" s="48">
        <v>10000</v>
      </c>
      <c r="M699" s="48">
        <v>5000</v>
      </c>
      <c r="N699" s="59"/>
      <c r="O699" s="59"/>
      <c r="P699" s="59">
        <v>60000</v>
      </c>
      <c r="Q699" s="268">
        <f t="shared" si="32"/>
        <v>75000</v>
      </c>
      <c r="R699" s="61">
        <f>IF(O699=0,0,SUMIFS(Disbursements!$T:$T,Disbursements!$B:$B,'Live Collections'!D699,Disbursements!$D:$D,'Live Collections'!F699))</f>
        <v>0</v>
      </c>
      <c r="S699" s="304">
        <f>IF(O699&lt;=IF($O699=0,0,SUMIFS(Disbursements!$W:$W,Disbursements!$B:$B,'Live Collections'!D2342,Disbursements!$D:$D,'Live Collections'!F2342)),O699,IF($O699=0,0,SUMIFS(Disbursements!$W:$W,Disbursements!$B:$B,'Live Collections'!D2342,Disbursements!$D:$D,'Live Collections'!F2342)))</f>
        <v>0</v>
      </c>
      <c r="T699" s="304">
        <f t="shared" si="33"/>
        <v>0</v>
      </c>
      <c r="U699" s="52"/>
      <c r="V699" s="34"/>
      <c r="W699" s="408"/>
    </row>
    <row r="700" spans="1:23" ht="12.75" customHeight="1" x14ac:dyDescent="0.2">
      <c r="A700" s="132">
        <v>681</v>
      </c>
      <c r="B700" s="44">
        <v>44432</v>
      </c>
      <c r="C700" s="44">
        <f t="shared" si="31"/>
        <v>44432</v>
      </c>
      <c r="D700" s="374">
        <v>197</v>
      </c>
      <c r="E700" s="291" t="str">
        <f>IFERROR(VLOOKUP($D700,'Clients-Live'!$A:$C,3,0),"")</f>
        <v>SIYESA JAMILA</v>
      </c>
      <c r="F700" s="291" t="str">
        <f>IFERROR(INDEX(Disbursements!$D:$D,MATCH('Live Collections'!G700,Disbursements!$C:$C,0)),"")</f>
        <v/>
      </c>
      <c r="G700" s="34"/>
      <c r="H700" s="34"/>
      <c r="I700" s="34" t="s">
        <v>1814</v>
      </c>
      <c r="J700" s="48">
        <v>15000</v>
      </c>
      <c r="K700" s="48">
        <v>5000</v>
      </c>
      <c r="L700" s="48"/>
      <c r="M700" s="48"/>
      <c r="N700" s="59"/>
      <c r="O700" s="59"/>
      <c r="P700" s="59"/>
      <c r="Q700" s="268">
        <f t="shared" si="32"/>
        <v>20000</v>
      </c>
      <c r="R700" s="61">
        <f>IF(O700=0,0,SUMIFS(Disbursements!$T:$T,Disbursements!$B:$B,'Live Collections'!D700,Disbursements!$D:$D,'Live Collections'!F700))</f>
        <v>0</v>
      </c>
      <c r="S700" s="304">
        <f>IF(O700&lt;=IF($O700=0,0,SUMIFS(Disbursements!$W:$W,Disbursements!$B:$B,'Live Collections'!D2360,Disbursements!$D:$D,'Live Collections'!F2360)),O700,IF($O700=0,0,SUMIFS(Disbursements!$W:$W,Disbursements!$B:$B,'Live Collections'!D2360,Disbursements!$D:$D,'Live Collections'!F2360)))</f>
        <v>0</v>
      </c>
      <c r="T700" s="304">
        <f t="shared" si="33"/>
        <v>0</v>
      </c>
      <c r="U700" s="52">
        <v>777621894</v>
      </c>
      <c r="V700" s="34"/>
      <c r="W700" s="408"/>
    </row>
    <row r="701" spans="1:23" ht="12.75" customHeight="1" x14ac:dyDescent="0.2">
      <c r="A701" s="257">
        <v>693</v>
      </c>
      <c r="B701" s="44">
        <v>44433</v>
      </c>
      <c r="C701" s="44">
        <f t="shared" si="31"/>
        <v>44433</v>
      </c>
      <c r="D701" s="374">
        <v>111</v>
      </c>
      <c r="E701" s="291" t="str">
        <f>IFERROR(VLOOKUP($D701,'Clients-Live'!$A:$C,3,0),"")</f>
        <v>ANDAKU CHARLES JULIAN</v>
      </c>
      <c r="F701" s="291">
        <f>IFERROR(INDEX(Disbursements!$D:$D,MATCH('Live Collections'!G701,Disbursements!$C:$C,0)),"")</f>
        <v>1</v>
      </c>
      <c r="G701" s="34">
        <v>94</v>
      </c>
      <c r="H701" s="34"/>
      <c r="I701" s="34" t="s">
        <v>1357</v>
      </c>
      <c r="J701" s="48"/>
      <c r="K701" s="48"/>
      <c r="L701" s="48"/>
      <c r="M701" s="48"/>
      <c r="N701" s="59"/>
      <c r="O701" s="59">
        <v>30000</v>
      </c>
      <c r="P701" s="59"/>
      <c r="Q701" s="268">
        <f t="shared" si="32"/>
        <v>30000</v>
      </c>
      <c r="R701" s="61">
        <f>IF(O701=0,0,SUMIFS(Disbursements!$T:$T,Disbursements!$B:$B,'Live Collections'!D701,Disbursements!$D:$D,'Live Collections'!F701))</f>
        <v>164000</v>
      </c>
      <c r="S701" s="304">
        <f>IF(O701&lt;=IF($O701=0,0,SUMIFS(Disbursements!$W:$W,Disbursements!$B:$B,'Live Collections'!D1414,Disbursements!$D:$D,'Live Collections'!F1414)),O701,IF($O701=0,0,SUMIFS(Disbursements!$W:$W,Disbursements!$B:$B,'Live Collections'!D1414,Disbursements!$D:$D,'Live Collections'!F1414)))</f>
        <v>20666.666666666657</v>
      </c>
      <c r="T701" s="304">
        <f t="shared" si="33"/>
        <v>9333.333333333343</v>
      </c>
      <c r="U701" s="52"/>
      <c r="V701" s="34"/>
      <c r="W701" s="408"/>
    </row>
    <row r="702" spans="1:23" ht="12.75" customHeight="1" x14ac:dyDescent="0.2">
      <c r="A702" s="132">
        <v>692</v>
      </c>
      <c r="B702" s="44">
        <v>44433</v>
      </c>
      <c r="C702" s="44">
        <f t="shared" si="31"/>
        <v>44433</v>
      </c>
      <c r="D702" s="374">
        <v>140</v>
      </c>
      <c r="E702" s="291" t="str">
        <f>IFERROR(VLOOKUP($D702,'Clients-Live'!$A:$C,3,0),"")</f>
        <v>AYIKORU MARIAM</v>
      </c>
      <c r="F702" s="291">
        <f>IFERROR(INDEX(Disbursements!$D:$D,MATCH('Live Collections'!G702,Disbursements!$C:$C,0)),"")</f>
        <v>1</v>
      </c>
      <c r="G702" s="34">
        <v>125</v>
      </c>
      <c r="H702" s="34"/>
      <c r="I702" s="34" t="s">
        <v>1358</v>
      </c>
      <c r="J702" s="48"/>
      <c r="K702" s="48"/>
      <c r="L702" s="48"/>
      <c r="M702" s="48"/>
      <c r="N702" s="59"/>
      <c r="O702" s="59">
        <v>100000</v>
      </c>
      <c r="P702" s="59"/>
      <c r="Q702" s="268">
        <f t="shared" si="32"/>
        <v>100000</v>
      </c>
      <c r="R702" s="61">
        <f>IF(O702=0,0,SUMIFS(Disbursements!$T:$T,Disbursements!$B:$B,'Live Collections'!D702,Disbursements!$D:$D,'Live Collections'!F702))</f>
        <v>192000</v>
      </c>
      <c r="S702" s="304">
        <f>IF(O702&lt;=IF($O702=0,0,SUMIFS(Disbursements!$W:$W,Disbursements!$B:$B,'Live Collections'!D1767,Disbursements!$D:$D,'Live Collections'!F1767)),O702,IF($O702=0,0,SUMIFS(Disbursements!$W:$W,Disbursements!$B:$B,'Live Collections'!D1767,Disbursements!$D:$D,'Live Collections'!F1767)))</f>
        <v>40000</v>
      </c>
      <c r="T702" s="304">
        <f t="shared" si="33"/>
        <v>60000</v>
      </c>
      <c r="U702" s="52"/>
      <c r="V702" s="34"/>
      <c r="W702" s="408"/>
    </row>
    <row r="703" spans="1:23" ht="12.75" customHeight="1" x14ac:dyDescent="0.2">
      <c r="A703" s="257">
        <v>694</v>
      </c>
      <c r="B703" s="44">
        <v>44433</v>
      </c>
      <c r="C703" s="44">
        <f t="shared" si="31"/>
        <v>44433</v>
      </c>
      <c r="D703" s="374">
        <v>148</v>
      </c>
      <c r="E703" s="291" t="str">
        <f>IFERROR(VLOOKUP($D703,'Clients-Live'!$A:$C,3,0),"")</f>
        <v>GBOKA ZAIDA</v>
      </c>
      <c r="F703" s="291">
        <f>IFERROR(INDEX(Disbursements!$D:$D,MATCH('Live Collections'!G703,Disbursements!$C:$C,0)),"")</f>
        <v>1</v>
      </c>
      <c r="G703" s="34">
        <v>135</v>
      </c>
      <c r="H703" s="34"/>
      <c r="I703" s="34" t="s">
        <v>1359</v>
      </c>
      <c r="J703" s="48"/>
      <c r="K703" s="48"/>
      <c r="L703" s="48"/>
      <c r="M703" s="48"/>
      <c r="N703" s="59"/>
      <c r="O703" s="59">
        <v>120000</v>
      </c>
      <c r="P703" s="59"/>
      <c r="Q703" s="268">
        <f t="shared" si="32"/>
        <v>120000</v>
      </c>
      <c r="R703" s="61">
        <f>IF(O703=0,0,SUMIFS(Disbursements!$T:$T,Disbursements!$B:$B,'Live Collections'!D703,Disbursements!$D:$D,'Live Collections'!F703))</f>
        <v>120000</v>
      </c>
      <c r="S703" s="304">
        <f>IF(O703&lt;=IF($O703=0,0,SUMIFS(Disbursements!$W:$W,Disbursements!$B:$B,'Live Collections'!D1868,Disbursements!$D:$D,'Live Collections'!F1868)),O703,IF($O703=0,0,SUMIFS(Disbursements!$W:$W,Disbursements!$B:$B,'Live Collections'!D1868,Disbursements!$D:$D,'Live Collections'!F1868)))</f>
        <v>0</v>
      </c>
      <c r="T703" s="304">
        <f t="shared" si="33"/>
        <v>120000</v>
      </c>
      <c r="U703" s="52"/>
      <c r="V703" s="34"/>
      <c r="W703" s="408"/>
    </row>
    <row r="704" spans="1:23" ht="12.75" customHeight="1" x14ac:dyDescent="0.2">
      <c r="A704" s="132">
        <v>706</v>
      </c>
      <c r="B704" s="44">
        <v>44434</v>
      </c>
      <c r="C704" s="44">
        <f t="shared" si="31"/>
        <v>44434</v>
      </c>
      <c r="D704" s="374">
        <v>11</v>
      </c>
      <c r="E704" s="291" t="str">
        <f>IFERROR(VLOOKUP($D704,'Clients-Live'!$A:$C,3,0),"")</f>
        <v>ARIME JUMA</v>
      </c>
      <c r="F704" s="291">
        <f>IFERROR(INDEX(Disbursements!$D:$D,MATCH('Live Collections'!G704,Disbursements!$C:$C,0)),"")</f>
        <v>1</v>
      </c>
      <c r="G704" s="34">
        <v>10</v>
      </c>
      <c r="H704" s="34"/>
      <c r="I704" s="34" t="s">
        <v>1359</v>
      </c>
      <c r="J704" s="48"/>
      <c r="K704" s="48"/>
      <c r="L704" s="48"/>
      <c r="M704" s="48"/>
      <c r="N704" s="59"/>
      <c r="O704" s="59">
        <v>108000</v>
      </c>
      <c r="P704" s="59"/>
      <c r="Q704" s="268">
        <f t="shared" si="32"/>
        <v>108000</v>
      </c>
      <c r="R704" s="61">
        <f>IF(O704=0,0,SUMIFS(Disbursements!$T:$T,Disbursements!$B:$B,'Live Collections'!D704,Disbursements!$D:$D,'Live Collections'!F704))</f>
        <v>109000</v>
      </c>
      <c r="S704" s="304">
        <f>IF(O704&lt;=IF($O704=0,0,SUMIFS(Disbursements!$W:$W,Disbursements!$B:$B,'Live Collections'!D110,Disbursements!$D:$D,'Live Collections'!F110)),O704,IF($O704=0,0,SUMIFS(Disbursements!$W:$W,Disbursements!$B:$B,'Live Collections'!D110,Disbursements!$D:$D,'Live Collections'!F110)))</f>
        <v>8000</v>
      </c>
      <c r="T704" s="304">
        <f t="shared" si="33"/>
        <v>100000</v>
      </c>
      <c r="U704" s="52"/>
      <c r="V704" s="34"/>
      <c r="W704" s="408"/>
    </row>
    <row r="705" spans="1:23" ht="12.75" customHeight="1" x14ac:dyDescent="0.2">
      <c r="A705" s="257">
        <v>708</v>
      </c>
      <c r="B705" s="44">
        <v>44434</v>
      </c>
      <c r="C705" s="44">
        <f t="shared" si="31"/>
        <v>44434</v>
      </c>
      <c r="D705" s="374">
        <v>50</v>
      </c>
      <c r="E705" s="291" t="str">
        <f>IFERROR(VLOOKUP($D705,'Clients-Live'!$A:$C,3,0),"")</f>
        <v>WACHEKE HARRIET</v>
      </c>
      <c r="F705" s="291">
        <f>IFERROR(INDEX(Disbursements!$D:$D,MATCH('Live Collections'!G705,Disbursements!$C:$C,0)),"")</f>
        <v>1</v>
      </c>
      <c r="G705" s="34">
        <v>30</v>
      </c>
      <c r="H705" s="34"/>
      <c r="I705" s="34" t="s">
        <v>1359</v>
      </c>
      <c r="J705" s="48"/>
      <c r="K705" s="48"/>
      <c r="L705" s="48"/>
      <c r="M705" s="48"/>
      <c r="N705" s="59"/>
      <c r="O705" s="59">
        <v>383200</v>
      </c>
      <c r="P705" s="59"/>
      <c r="Q705" s="268">
        <f t="shared" si="32"/>
        <v>383200</v>
      </c>
      <c r="R705" s="61">
        <f>IF(O705=0,0,SUMIFS(Disbursements!$T:$T,Disbursements!$B:$B,'Live Collections'!D705,Disbursements!$D:$D,'Live Collections'!F705))</f>
        <v>384000</v>
      </c>
      <c r="S705" s="304">
        <f>IF(O705&lt;=IF($O705=0,0,SUMIFS(Disbursements!$W:$W,Disbursements!$B:$B,'Live Collections'!D572,Disbursements!$D:$D,'Live Collections'!F572)),O705,IF($O705=0,0,SUMIFS(Disbursements!$W:$W,Disbursements!$B:$B,'Live Collections'!D572,Disbursements!$D:$D,'Live Collections'!F572)))</f>
        <v>0</v>
      </c>
      <c r="T705" s="304">
        <f t="shared" si="33"/>
        <v>383200</v>
      </c>
      <c r="U705" s="52"/>
      <c r="V705" s="34"/>
      <c r="W705" s="408"/>
    </row>
    <row r="706" spans="1:23" ht="12.75" customHeight="1" x14ac:dyDescent="0.2">
      <c r="A706" s="132">
        <v>699</v>
      </c>
      <c r="B706" s="44">
        <v>44434</v>
      </c>
      <c r="C706" s="44">
        <f t="shared" si="31"/>
        <v>44434</v>
      </c>
      <c r="D706" s="374">
        <v>58</v>
      </c>
      <c r="E706" s="291" t="str">
        <f>IFERROR(VLOOKUP($D706,'Clients-Live'!$A:$C,3,0),"")</f>
        <v xml:space="preserve">ALIRU AMINA </v>
      </c>
      <c r="F706" s="291">
        <f>IFERROR(INDEX(Disbursements!$D:$D,MATCH('Live Collections'!G706,Disbursements!$C:$C,0)),"")</f>
        <v>1</v>
      </c>
      <c r="G706" s="34">
        <v>46</v>
      </c>
      <c r="H706" s="34"/>
      <c r="I706" s="34" t="s">
        <v>1358</v>
      </c>
      <c r="J706" s="48"/>
      <c r="K706" s="48"/>
      <c r="L706" s="48"/>
      <c r="M706" s="48"/>
      <c r="N706" s="59"/>
      <c r="O706" s="59">
        <v>120000</v>
      </c>
      <c r="P706" s="59"/>
      <c r="Q706" s="268">
        <f t="shared" si="32"/>
        <v>120000</v>
      </c>
      <c r="R706" s="61">
        <f>IF(O706=0,0,SUMIFS(Disbursements!$T:$T,Disbursements!$B:$B,'Live Collections'!D706,Disbursements!$D:$D,'Live Collections'!F706))</f>
        <v>180000</v>
      </c>
      <c r="S706" s="304">
        <f>IF(O706&lt;=IF($O706=0,0,SUMIFS(Disbursements!$W:$W,Disbursements!$B:$B,'Live Collections'!D692,Disbursements!$D:$D,'Live Collections'!F692)),O706,IF($O706=0,0,SUMIFS(Disbursements!$W:$W,Disbursements!$B:$B,'Live Collections'!D692,Disbursements!$D:$D,'Live Collections'!F692)))</f>
        <v>30000</v>
      </c>
      <c r="T706" s="304">
        <f t="shared" si="33"/>
        <v>90000</v>
      </c>
      <c r="U706" s="52"/>
      <c r="V706" s="34"/>
      <c r="W706" s="408"/>
    </row>
    <row r="707" spans="1:23" ht="12.75" customHeight="1" x14ac:dyDescent="0.2">
      <c r="A707" s="257">
        <v>697</v>
      </c>
      <c r="B707" s="44">
        <v>44434</v>
      </c>
      <c r="C707" s="44">
        <f t="shared" si="31"/>
        <v>44434</v>
      </c>
      <c r="D707" s="374">
        <v>82</v>
      </c>
      <c r="E707" s="291" t="str">
        <f>IFERROR(VLOOKUP($D707,'Clients-Live'!$A:$C,3,0),"")</f>
        <v>ADUNA MANENO</v>
      </c>
      <c r="F707" s="291">
        <f>IFERROR(INDEX(Disbursements!$D:$D,MATCH('Live Collections'!G707,Disbursements!$C:$C,0)),"")</f>
        <v>1</v>
      </c>
      <c r="G707" s="34">
        <v>71</v>
      </c>
      <c r="H707" s="34"/>
      <c r="I707" s="34" t="s">
        <v>1357</v>
      </c>
      <c r="J707" s="48"/>
      <c r="K707" s="48"/>
      <c r="L707" s="48"/>
      <c r="M707" s="48"/>
      <c r="N707" s="59"/>
      <c r="O707" s="59">
        <v>20000</v>
      </c>
      <c r="P707" s="59"/>
      <c r="Q707" s="268">
        <f t="shared" si="32"/>
        <v>20000</v>
      </c>
      <c r="R707" s="61">
        <f>IF(O707=0,0,SUMIFS(Disbursements!$T:$T,Disbursements!$B:$B,'Live Collections'!D707,Disbursements!$D:$D,'Live Collections'!F707))</f>
        <v>90000</v>
      </c>
      <c r="S707" s="304">
        <v>5000</v>
      </c>
      <c r="T707" s="304">
        <f t="shared" si="33"/>
        <v>15000</v>
      </c>
      <c r="U707" s="52"/>
      <c r="V707" s="34"/>
      <c r="W707" s="408"/>
    </row>
    <row r="708" spans="1:23" ht="12.75" customHeight="1" x14ac:dyDescent="0.2">
      <c r="A708" s="132">
        <v>702</v>
      </c>
      <c r="B708" s="44">
        <v>44434</v>
      </c>
      <c r="C708" s="44">
        <f t="shared" si="31"/>
        <v>44434</v>
      </c>
      <c r="D708" s="374">
        <v>83</v>
      </c>
      <c r="E708" s="291" t="str">
        <f>IFERROR(VLOOKUP($D708,'Clients-Live'!$A:$C,3,0),"")</f>
        <v>NEVER ZULAIKA</v>
      </c>
      <c r="F708" s="291">
        <f>IFERROR(INDEX(Disbursements!$D:$D,MATCH('Live Collections'!G708,Disbursements!$C:$C,0)),"")</f>
        <v>1</v>
      </c>
      <c r="G708" s="34">
        <v>72</v>
      </c>
      <c r="H708" s="34"/>
      <c r="I708" s="34" t="s">
        <v>1358</v>
      </c>
      <c r="J708" s="48"/>
      <c r="K708" s="48"/>
      <c r="L708" s="48"/>
      <c r="M708" s="48"/>
      <c r="N708" s="59"/>
      <c r="O708" s="59">
        <v>120000</v>
      </c>
      <c r="P708" s="59"/>
      <c r="Q708" s="268">
        <f t="shared" si="32"/>
        <v>120000</v>
      </c>
      <c r="R708" s="61">
        <f>IF(O708=0,0,SUMIFS(Disbursements!$T:$T,Disbursements!$B:$B,'Live Collections'!D708,Disbursements!$D:$D,'Live Collections'!F708))</f>
        <v>120000</v>
      </c>
      <c r="S708" s="304">
        <f>IF(O708&lt;=IF($O708=0,0,SUMIFS(Disbursements!$W:$W,Disbursements!$B:$B,'Live Collections'!D1068,Disbursements!$D:$D,'Live Collections'!F1068)),O708,IF($O708=0,0,SUMIFS(Disbursements!$W:$W,Disbursements!$B:$B,'Live Collections'!D1068,Disbursements!$D:$D,'Live Collections'!F1068)))</f>
        <v>20000</v>
      </c>
      <c r="T708" s="304">
        <f t="shared" si="33"/>
        <v>100000</v>
      </c>
      <c r="U708" s="52"/>
      <c r="V708" s="34"/>
      <c r="W708" s="408"/>
    </row>
    <row r="709" spans="1:23" ht="12.75" customHeight="1" x14ac:dyDescent="0.2">
      <c r="A709" s="257">
        <v>703</v>
      </c>
      <c r="B709" s="44">
        <v>44434</v>
      </c>
      <c r="C709" s="44">
        <f t="shared" si="31"/>
        <v>44434</v>
      </c>
      <c r="D709" s="374">
        <v>92</v>
      </c>
      <c r="E709" s="291" t="str">
        <f>IFERROR(VLOOKUP($D709,'Clients-Live'!$A:$C,3,0),"")</f>
        <v>FAIDA ZAKIYA</v>
      </c>
      <c r="F709" s="291">
        <f>IFERROR(INDEX(Disbursements!$D:$D,MATCH('Live Collections'!G709,Disbursements!$C:$C,0)),"")</f>
        <v>1</v>
      </c>
      <c r="G709" s="34">
        <v>74</v>
      </c>
      <c r="H709" s="34"/>
      <c r="I709" s="34" t="s">
        <v>1358</v>
      </c>
      <c r="J709" s="48"/>
      <c r="K709" s="48"/>
      <c r="L709" s="48"/>
      <c r="M709" s="48"/>
      <c r="N709" s="59"/>
      <c r="O709" s="59">
        <v>40000</v>
      </c>
      <c r="P709" s="59"/>
      <c r="Q709" s="268">
        <f t="shared" si="32"/>
        <v>40000</v>
      </c>
      <c r="R709" s="61">
        <f>IF(O709=0,0,SUMIFS(Disbursements!$T:$T,Disbursements!$B:$B,'Live Collections'!D709,Disbursements!$D:$D,'Live Collections'!F709))</f>
        <v>175000</v>
      </c>
      <c r="S709" s="304">
        <f>IF(O709&lt;=IF($O709=0,0,SUMIFS(Disbursements!$W:$W,Disbursements!$B:$B,'Live Collections'!D1197,Disbursements!$D:$D,'Live Collections'!F1197)),O709,IF($O709=0,0,SUMIFS(Disbursements!$W:$W,Disbursements!$B:$B,'Live Collections'!D1197,Disbursements!$D:$D,'Live Collections'!F1197)))</f>
        <v>40000</v>
      </c>
      <c r="T709" s="304">
        <f t="shared" si="33"/>
        <v>0</v>
      </c>
      <c r="U709" s="52"/>
      <c r="V709" s="34"/>
      <c r="W709" s="408"/>
    </row>
    <row r="710" spans="1:23" ht="12.75" customHeight="1" x14ac:dyDescent="0.2">
      <c r="A710" s="132">
        <v>696</v>
      </c>
      <c r="B710" s="44">
        <v>44433</v>
      </c>
      <c r="C710" s="44">
        <f t="shared" si="31"/>
        <v>44433</v>
      </c>
      <c r="D710" s="374">
        <v>106</v>
      </c>
      <c r="E710" s="291" t="str">
        <f>IFERROR(VLOOKUP($D710,'Clients-Live'!$A:$C,3,0),"")</f>
        <v>ORODRIYO  NUSURA</v>
      </c>
      <c r="F710" s="291">
        <f>IFERROR(INDEX(Disbursements!$D:$D,MATCH('Live Collections'!G710,Disbursements!$C:$C,0)),"")</f>
        <v>1</v>
      </c>
      <c r="G710" s="34">
        <v>89</v>
      </c>
      <c r="H710" s="34">
        <v>1086</v>
      </c>
      <c r="I710" s="34" t="s">
        <v>1357</v>
      </c>
      <c r="J710" s="48"/>
      <c r="K710" s="48"/>
      <c r="L710" s="48"/>
      <c r="M710" s="48"/>
      <c r="N710" s="59"/>
      <c r="O710" s="59">
        <v>20000</v>
      </c>
      <c r="P710" s="59"/>
      <c r="Q710" s="268">
        <f t="shared" si="32"/>
        <v>20000</v>
      </c>
      <c r="R710" s="61">
        <f>IF(O710=0,0,SUMIFS(Disbursements!$T:$T,Disbursements!$B:$B,'Live Collections'!D710,Disbursements!$D:$D,'Live Collections'!F710))</f>
        <v>20000</v>
      </c>
      <c r="S710" s="304">
        <v>0</v>
      </c>
      <c r="T710" s="304">
        <f t="shared" si="33"/>
        <v>20000</v>
      </c>
      <c r="U710" s="52"/>
      <c r="V710" s="34"/>
      <c r="W710" s="408"/>
    </row>
    <row r="711" spans="1:23" ht="12.75" customHeight="1" x14ac:dyDescent="0.2">
      <c r="A711" s="257">
        <v>698</v>
      </c>
      <c r="B711" s="44">
        <v>44434</v>
      </c>
      <c r="C711" s="44">
        <f t="shared" si="31"/>
        <v>44434</v>
      </c>
      <c r="D711" s="374">
        <v>123</v>
      </c>
      <c r="E711" s="291" t="str">
        <f>IFERROR(VLOOKUP($D711,'Clients-Live'!$A:$C,3,0),"")</f>
        <v>INZIKURU JANET</v>
      </c>
      <c r="F711" s="291">
        <f>IFERROR(INDEX(Disbursements!$D:$D,MATCH('Live Collections'!G711,Disbursements!$C:$C,0)),"")</f>
        <v>1</v>
      </c>
      <c r="G711" s="34">
        <v>107</v>
      </c>
      <c r="H711" s="34"/>
      <c r="I711" s="34" t="s">
        <v>1358</v>
      </c>
      <c r="J711" s="48"/>
      <c r="K711" s="48"/>
      <c r="L711" s="48"/>
      <c r="M711" s="48"/>
      <c r="N711" s="59"/>
      <c r="O711" s="59">
        <v>40000</v>
      </c>
      <c r="P711" s="59"/>
      <c r="Q711" s="268">
        <f t="shared" si="32"/>
        <v>40000</v>
      </c>
      <c r="R711" s="61">
        <f>IF(O711=0,0,SUMIFS(Disbursements!$T:$T,Disbursements!$B:$B,'Live Collections'!D711,Disbursements!$D:$D,'Live Collections'!F711))</f>
        <v>150000</v>
      </c>
      <c r="S711" s="304">
        <f>IF(O711&lt;=IF($O711=0,0,SUMIFS(Disbursements!$W:$W,Disbursements!$B:$B,'Live Collections'!D1563,Disbursements!$D:$D,'Live Collections'!F1563)),O711,IF($O711=0,0,SUMIFS(Disbursements!$W:$W,Disbursements!$B:$B,'Live Collections'!D1563,Disbursements!$D:$D,'Live Collections'!F1563)))</f>
        <v>0</v>
      </c>
      <c r="T711" s="304">
        <f t="shared" si="33"/>
        <v>40000</v>
      </c>
      <c r="U711" s="52"/>
      <c r="V711" s="34"/>
      <c r="W711" s="408"/>
    </row>
    <row r="712" spans="1:23" ht="12.75" customHeight="1" x14ac:dyDescent="0.2">
      <c r="A712" s="132">
        <v>704</v>
      </c>
      <c r="B712" s="44">
        <v>44434</v>
      </c>
      <c r="C712" s="44">
        <f t="shared" ref="C712:C775" si="34">B712</f>
        <v>44434</v>
      </c>
      <c r="D712" s="374">
        <v>124</v>
      </c>
      <c r="E712" s="291" t="str">
        <f>IFERROR(VLOOKUP($D712,'Clients-Live'!$A:$C,3,0),"")</f>
        <v>TIKO ZABIBU</v>
      </c>
      <c r="F712" s="291">
        <f>IFERROR(INDEX(Disbursements!$D:$D,MATCH('Live Collections'!G712,Disbursements!$C:$C,0)),"")</f>
        <v>1</v>
      </c>
      <c r="G712" s="34">
        <v>199</v>
      </c>
      <c r="H712" s="34">
        <v>555</v>
      </c>
      <c r="I712" s="34" t="s">
        <v>1358</v>
      </c>
      <c r="J712" s="48"/>
      <c r="K712" s="48"/>
      <c r="L712" s="48"/>
      <c r="M712" s="48"/>
      <c r="N712" s="59"/>
      <c r="O712" s="59">
        <v>50000</v>
      </c>
      <c r="P712" s="59"/>
      <c r="Q712" s="268">
        <f t="shared" ref="Q712:Q775" si="35">SUM(J712:P712)</f>
        <v>50000</v>
      </c>
      <c r="R712" s="61">
        <f>IF(O712=0,0,SUMIFS(Disbursements!$T:$T,Disbursements!$B:$B,'Live Collections'!D712,Disbursements!$D:$D,'Live Collections'!F712))</f>
        <v>180000</v>
      </c>
      <c r="S712" s="304">
        <f>IF(O712&lt;=IF($O712=0,0,SUMIFS(Disbursements!$W:$W,Disbursements!$B:$B,'Live Collections'!D1570,Disbursements!$D:$D,'Live Collections'!F1570)),O712,IF($O712=0,0,SUMIFS(Disbursements!$W:$W,Disbursements!$B:$B,'Live Collections'!D1570,Disbursements!$D:$D,'Live Collections'!F1570)))</f>
        <v>15000</v>
      </c>
      <c r="T712" s="304">
        <f t="shared" ref="T712:T775" si="36">IF(O712=0,0,O712-S712)</f>
        <v>35000</v>
      </c>
      <c r="U712" s="52"/>
      <c r="V712" s="34"/>
      <c r="W712" s="408"/>
    </row>
    <row r="713" spans="1:23" ht="12.75" customHeight="1" x14ac:dyDescent="0.2">
      <c r="A713" s="257">
        <v>701</v>
      </c>
      <c r="B713" s="44">
        <v>44434</v>
      </c>
      <c r="C713" s="44">
        <f t="shared" si="34"/>
        <v>44434</v>
      </c>
      <c r="D713" s="374">
        <v>132</v>
      </c>
      <c r="E713" s="291" t="str">
        <f>IFERROR(VLOOKUP($D713,'Clients-Live'!$A:$C,3,0),"")</f>
        <v>MANIYO JOICE</v>
      </c>
      <c r="F713" s="291">
        <f>IFERROR(INDEX(Disbursements!$D:$D,MATCH('Live Collections'!G713,Disbursements!$C:$C,0)),"")</f>
        <v>1</v>
      </c>
      <c r="G713" s="34">
        <v>134</v>
      </c>
      <c r="H713" s="34"/>
      <c r="I713" s="34" t="s">
        <v>1358</v>
      </c>
      <c r="J713" s="48"/>
      <c r="K713" s="48"/>
      <c r="L713" s="48"/>
      <c r="M713" s="48"/>
      <c r="N713" s="59"/>
      <c r="O713" s="59">
        <v>100000</v>
      </c>
      <c r="P713" s="59"/>
      <c r="Q713" s="268">
        <f t="shared" si="35"/>
        <v>100000</v>
      </c>
      <c r="R713" s="61">
        <f>IF(O713=0,0,SUMIFS(Disbursements!$T:$T,Disbursements!$B:$B,'Live Collections'!D713,Disbursements!$D:$D,'Live Collections'!F713))</f>
        <v>115000</v>
      </c>
      <c r="S713" s="304">
        <f>IF(O713&lt;=IF($O713=0,0,SUMIFS(Disbursements!$W:$W,Disbursements!$B:$B,'Live Collections'!D1663,Disbursements!$D:$D,'Live Collections'!F1663)),O713,IF($O713=0,0,SUMIFS(Disbursements!$W:$W,Disbursements!$B:$B,'Live Collections'!D1663,Disbursements!$D:$D,'Live Collections'!F1663)))</f>
        <v>55000</v>
      </c>
      <c r="T713" s="304">
        <f t="shared" si="36"/>
        <v>45000</v>
      </c>
      <c r="U713" s="52"/>
      <c r="V713" s="34"/>
      <c r="W713" s="408"/>
    </row>
    <row r="714" spans="1:23" ht="12.75" customHeight="1" x14ac:dyDescent="0.2">
      <c r="A714" s="132">
        <v>705</v>
      </c>
      <c r="B714" s="44">
        <v>44434</v>
      </c>
      <c r="C714" s="44">
        <f t="shared" si="34"/>
        <v>44434</v>
      </c>
      <c r="D714" s="374">
        <v>135</v>
      </c>
      <c r="E714" s="291" t="str">
        <f>IFERROR(VLOOKUP($D714,'Clients-Live'!$A:$C,3,0),"")</f>
        <v>SARIF SAIDI</v>
      </c>
      <c r="F714" s="291">
        <f>IFERROR(INDEX(Disbursements!$D:$D,MATCH('Live Collections'!G714,Disbursements!$C:$C,0)),"")</f>
        <v>1</v>
      </c>
      <c r="G714" s="34">
        <v>120</v>
      </c>
      <c r="H714" s="34"/>
      <c r="I714" s="34" t="s">
        <v>1357</v>
      </c>
      <c r="J714" s="48"/>
      <c r="K714" s="48"/>
      <c r="L714" s="48"/>
      <c r="M714" s="48"/>
      <c r="N714" s="59"/>
      <c r="O714" s="59">
        <v>175000</v>
      </c>
      <c r="P714" s="59"/>
      <c r="Q714" s="268">
        <f t="shared" si="35"/>
        <v>175000</v>
      </c>
      <c r="R714" s="61">
        <f>IF(O714=0,0,SUMIFS(Disbursements!$T:$T,Disbursements!$B:$B,'Live Collections'!D714,Disbursements!$D:$D,'Live Collections'!F714))</f>
        <v>175000</v>
      </c>
      <c r="S714" s="304">
        <f>IF(O714&lt;=IF($O714=0,0,SUMIFS(Disbursements!$W:$W,Disbursements!$B:$B,'Live Collections'!D1701,Disbursements!$D:$D,'Live Collections'!F1701)),O714,IF($O714=0,0,SUMIFS(Disbursements!$W:$W,Disbursements!$B:$B,'Live Collections'!D1701,Disbursements!$D:$D,'Live Collections'!F1701)))</f>
        <v>20000</v>
      </c>
      <c r="T714" s="304">
        <f t="shared" si="36"/>
        <v>155000</v>
      </c>
      <c r="U714" s="52"/>
      <c r="V714" s="34"/>
      <c r="W714" s="408"/>
    </row>
    <row r="715" spans="1:23" ht="12.75" customHeight="1" x14ac:dyDescent="0.2">
      <c r="A715" s="257">
        <v>700</v>
      </c>
      <c r="B715" s="44">
        <v>44434</v>
      </c>
      <c r="C715" s="44">
        <f t="shared" si="34"/>
        <v>44434</v>
      </c>
      <c r="D715" s="374">
        <v>141</v>
      </c>
      <c r="E715" s="291" t="str">
        <f>IFERROR(VLOOKUP($D715,'Clients-Live'!$A:$C,3,0),"")</f>
        <v>DRAMANI WILFRED</v>
      </c>
      <c r="F715" s="291">
        <v>1</v>
      </c>
      <c r="G715" s="34">
        <v>124</v>
      </c>
      <c r="H715" s="34"/>
      <c r="I715" s="34" t="s">
        <v>1359</v>
      </c>
      <c r="J715" s="48"/>
      <c r="K715" s="48"/>
      <c r="L715" s="48"/>
      <c r="M715" s="48"/>
      <c r="N715" s="59"/>
      <c r="O715" s="59">
        <v>153000</v>
      </c>
      <c r="P715" s="59"/>
      <c r="Q715" s="268">
        <f t="shared" si="35"/>
        <v>153000</v>
      </c>
      <c r="R715" s="61">
        <f>IF(O715=0,0,SUMIFS(Disbursements!$T:$T,Disbursements!$B:$B,'Live Collections'!D715,Disbursements!$D:$D,'Live Collections'!F715))</f>
        <v>154000</v>
      </c>
      <c r="S715" s="304">
        <v>61999.999999999971</v>
      </c>
      <c r="T715" s="304">
        <f t="shared" si="36"/>
        <v>91000.000000000029</v>
      </c>
      <c r="U715" s="52"/>
      <c r="V715" s="34"/>
      <c r="W715" s="408"/>
    </row>
    <row r="716" spans="1:23" ht="12.75" customHeight="1" x14ac:dyDescent="0.2">
      <c r="A716" s="132">
        <v>695</v>
      </c>
      <c r="B716" s="44">
        <v>44434</v>
      </c>
      <c r="C716" s="44">
        <f t="shared" si="34"/>
        <v>44434</v>
      </c>
      <c r="D716" s="374">
        <v>144</v>
      </c>
      <c r="E716" s="291" t="str">
        <f>IFERROR(VLOOKUP($D716,'Clients-Live'!$A:$C,3,0),"")</f>
        <v>GBENINGA RUKIA</v>
      </c>
      <c r="F716" s="291">
        <f>IFERROR(INDEX(Disbursements!$D:$D,MATCH('Live Collections'!G716,Disbursements!$C:$C,0)),"")</f>
        <v>1</v>
      </c>
      <c r="G716" s="34">
        <v>131</v>
      </c>
      <c r="H716" s="34"/>
      <c r="I716" s="34" t="s">
        <v>1359</v>
      </c>
      <c r="J716" s="48"/>
      <c r="K716" s="48"/>
      <c r="L716" s="48"/>
      <c r="M716" s="48"/>
      <c r="N716" s="59"/>
      <c r="O716" s="59">
        <v>125000</v>
      </c>
      <c r="P716" s="59"/>
      <c r="Q716" s="268">
        <f t="shared" si="35"/>
        <v>125000</v>
      </c>
      <c r="R716" s="61">
        <f>IF(O716=0,0,SUMIFS(Disbursements!$T:$T,Disbursements!$B:$B,'Live Collections'!D716,Disbursements!$D:$D,'Live Collections'!F716))</f>
        <v>125000</v>
      </c>
      <c r="S716" s="304">
        <f>IF(O716&lt;=IF($O716=0,0,SUMIFS(Disbursements!$W:$W,Disbursements!$B:$B,'Live Collections'!D1818,Disbursements!$D:$D,'Live Collections'!F1818)),O716,IF($O716=0,0,SUMIFS(Disbursements!$W:$W,Disbursements!$B:$B,'Live Collections'!D1818,Disbursements!$D:$D,'Live Collections'!F1818)))</f>
        <v>50333.333333333343</v>
      </c>
      <c r="T716" s="304">
        <f t="shared" si="36"/>
        <v>74666.666666666657</v>
      </c>
      <c r="U716" s="52"/>
      <c r="V716" s="34"/>
      <c r="W716" s="408"/>
    </row>
    <row r="717" spans="1:23" ht="12.75" customHeight="1" x14ac:dyDescent="0.2">
      <c r="A717" s="257">
        <v>707</v>
      </c>
      <c r="B717" s="44">
        <v>44434</v>
      </c>
      <c r="C717" s="44">
        <f t="shared" si="34"/>
        <v>44434</v>
      </c>
      <c r="D717" s="374">
        <v>164</v>
      </c>
      <c r="E717" s="291" t="str">
        <f>IFERROR(VLOOKUP($D717,'Clients-Live'!$A:$C,3,0),"")</f>
        <v>ARIKE SWAIB</v>
      </c>
      <c r="F717" s="291">
        <f>IFERROR(INDEX(Disbursements!$D:$D,MATCH('Live Collections'!G717,Disbursements!$C:$C,0)),"")</f>
        <v>1</v>
      </c>
      <c r="G717" s="34">
        <v>154</v>
      </c>
      <c r="H717" s="34"/>
      <c r="I717" s="34" t="s">
        <v>1357</v>
      </c>
      <c r="J717" s="48"/>
      <c r="K717" s="48"/>
      <c r="L717" s="48"/>
      <c r="M717" s="48"/>
      <c r="N717" s="59"/>
      <c r="O717" s="59">
        <v>110000</v>
      </c>
      <c r="P717" s="59"/>
      <c r="Q717" s="268">
        <f t="shared" si="35"/>
        <v>110000</v>
      </c>
      <c r="R717" s="61">
        <f>IF(O717=0,0,SUMIFS(Disbursements!$T:$T,Disbursements!$B:$B,'Live Collections'!D717,Disbursements!$D:$D,'Live Collections'!F717))</f>
        <v>109000</v>
      </c>
      <c r="S717" s="304">
        <f>IF(O717&lt;=IF($O717=0,0,SUMIFS(Disbursements!$W:$W,Disbursements!$B:$B,'Live Collections'!D2026,Disbursements!$D:$D,'Live Collections'!F2026)),O717,IF($O717=0,0,SUMIFS(Disbursements!$W:$W,Disbursements!$B:$B,'Live Collections'!D2026,Disbursements!$D:$D,'Live Collections'!F2026)))</f>
        <v>35000</v>
      </c>
      <c r="T717" s="304">
        <f t="shared" si="36"/>
        <v>75000</v>
      </c>
      <c r="U717" s="52"/>
      <c r="V717" s="34"/>
      <c r="W717" s="408"/>
    </row>
    <row r="718" spans="1:23" ht="12.75" customHeight="1" x14ac:dyDescent="0.2">
      <c r="A718" s="132">
        <v>713</v>
      </c>
      <c r="B718" s="44">
        <v>44435</v>
      </c>
      <c r="C718" s="44">
        <f t="shared" si="34"/>
        <v>44435</v>
      </c>
      <c r="D718" s="374">
        <v>12</v>
      </c>
      <c r="E718" s="291" t="str">
        <f>IFERROR(VLOOKUP($D718,'Clients-Live'!$A:$C,3,0),"")</f>
        <v>DRELIA SIMON DEADSON</v>
      </c>
      <c r="F718" s="291">
        <f>IFERROR(INDEX(Disbursements!$D:$D,MATCH('Live Collections'!G718,Disbursements!$C:$C,0)),"")</f>
        <v>1</v>
      </c>
      <c r="G718" s="34">
        <v>3</v>
      </c>
      <c r="H718" s="34"/>
      <c r="I718" s="34" t="s">
        <v>1357</v>
      </c>
      <c r="J718" s="48"/>
      <c r="K718" s="48"/>
      <c r="L718" s="48"/>
      <c r="M718" s="48"/>
      <c r="N718" s="59"/>
      <c r="O718" s="59">
        <f>176000-44300+1500</f>
        <v>133200</v>
      </c>
      <c r="P718" s="59"/>
      <c r="Q718" s="268">
        <f t="shared" si="35"/>
        <v>133200</v>
      </c>
      <c r="R718" s="61">
        <f>IF(O718=0,0,SUMIFS(Disbursements!$T:$T,Disbursements!$B:$B,'Live Collections'!D718,Disbursements!$D:$D,'Live Collections'!F718))</f>
        <v>81000</v>
      </c>
      <c r="S718" s="64">
        <v>-26333.333333333343</v>
      </c>
      <c r="T718" s="304">
        <f t="shared" si="36"/>
        <v>159533.33333333334</v>
      </c>
      <c r="U718" s="52"/>
      <c r="V718" s="34"/>
      <c r="W718" s="408"/>
    </row>
    <row r="719" spans="1:23" ht="12.75" customHeight="1" x14ac:dyDescent="0.2">
      <c r="A719" s="257">
        <v>723</v>
      </c>
      <c r="B719" s="44">
        <v>44435</v>
      </c>
      <c r="C719" s="44">
        <f t="shared" si="34"/>
        <v>44435</v>
      </c>
      <c r="D719" s="374">
        <v>12</v>
      </c>
      <c r="E719" s="291" t="str">
        <f>IFERROR(VLOOKUP($D719,'Clients-Live'!$A:$C,3,0),"")</f>
        <v>DRELIA SIMON DEADSON</v>
      </c>
      <c r="F719" s="291">
        <f>IFERROR(INDEX(Disbursements!$D:$D,MATCH('Live Collections'!G719,Disbursements!$C:$C,0)),"")</f>
        <v>2</v>
      </c>
      <c r="G719" s="34">
        <v>113</v>
      </c>
      <c r="H719" s="34"/>
      <c r="I719" s="34" t="s">
        <v>1357</v>
      </c>
      <c r="J719" s="48"/>
      <c r="K719" s="48"/>
      <c r="L719" s="48"/>
      <c r="M719" s="48"/>
      <c r="N719" s="59"/>
      <c r="O719" s="59">
        <f>176000-131700+1500</f>
        <v>45800</v>
      </c>
      <c r="P719" s="59"/>
      <c r="Q719" s="268">
        <f t="shared" si="35"/>
        <v>45800</v>
      </c>
      <c r="R719" s="61">
        <f>IF(O719=0,0,SUMIFS(Disbursements!$T:$T,Disbursements!$B:$B,'Live Collections'!D719,Disbursements!$D:$D,'Live Collections'!F719))</f>
        <v>269000</v>
      </c>
      <c r="S719" s="304">
        <f>IF(O719&lt;=IF($O719=0,0,SUMIFS(Disbursements!$W:$W,Disbursements!$B:$B,'Live Collections'!D127,Disbursements!$D:$D,'Live Collections'!F127)),O719,IF($O719=0,0,SUMIFS(Disbursements!$W:$W,Disbursements!$B:$B,'Live Collections'!D127,Disbursements!$D:$D,'Live Collections'!F127)))</f>
        <v>0</v>
      </c>
      <c r="T719" s="304">
        <f t="shared" si="36"/>
        <v>45800</v>
      </c>
      <c r="U719" s="52"/>
      <c r="V719" s="34"/>
      <c r="W719" s="408"/>
    </row>
    <row r="720" spans="1:23" ht="12.75" customHeight="1" x14ac:dyDescent="0.2">
      <c r="A720" s="132">
        <v>722</v>
      </c>
      <c r="B720" s="44">
        <v>44435</v>
      </c>
      <c r="C720" s="44">
        <f t="shared" si="34"/>
        <v>44435</v>
      </c>
      <c r="D720" s="374">
        <v>18</v>
      </c>
      <c r="E720" s="291" t="str">
        <f>IFERROR(VLOOKUP($D720,'Clients-Live'!$A:$C,3,0),"")</f>
        <v>ARIYE PEACE</v>
      </c>
      <c r="F720" s="291">
        <f>IFERROR(INDEX(Disbursements!$D:$D,MATCH('Live Collections'!G720,Disbursements!$C:$C,0)),"")</f>
        <v>1</v>
      </c>
      <c r="G720" s="34">
        <v>9</v>
      </c>
      <c r="H720" s="34"/>
      <c r="I720" s="34" t="s">
        <v>1357</v>
      </c>
      <c r="J720" s="48"/>
      <c r="K720" s="48"/>
      <c r="L720" s="48"/>
      <c r="M720" s="48"/>
      <c r="N720" s="59"/>
      <c r="O720" s="59">
        <v>99000</v>
      </c>
      <c r="P720" s="59"/>
      <c r="Q720" s="268">
        <f t="shared" si="35"/>
        <v>99000</v>
      </c>
      <c r="R720" s="61">
        <f>IF(O720=0,0,SUMIFS(Disbursements!$T:$T,Disbursements!$B:$B,'Live Collections'!D720,Disbursements!$D:$D,'Live Collections'!F720))</f>
        <v>109000</v>
      </c>
      <c r="S720" s="304">
        <f>IF(O720&lt;=IF($O720=0,0,SUMIFS(Disbursements!$W:$W,Disbursements!$B:$B,'Live Collections'!D202,Disbursements!$D:$D,'Live Collections'!F202)),O720,IF($O720=0,0,SUMIFS(Disbursements!$W:$W,Disbursements!$B:$B,'Live Collections'!D202,Disbursements!$D:$D,'Live Collections'!F202)))</f>
        <v>20000</v>
      </c>
      <c r="T720" s="304">
        <f t="shared" si="36"/>
        <v>79000</v>
      </c>
      <c r="U720" s="52"/>
      <c r="V720" s="34"/>
      <c r="W720" s="408"/>
    </row>
    <row r="721" spans="1:23" ht="12.75" customHeight="1" x14ac:dyDescent="0.2">
      <c r="A721" s="257">
        <v>712</v>
      </c>
      <c r="B721" s="44">
        <v>44435</v>
      </c>
      <c r="C721" s="44">
        <f t="shared" si="34"/>
        <v>44435</v>
      </c>
      <c r="D721" s="374">
        <v>30</v>
      </c>
      <c r="E721" s="291" t="str">
        <f>IFERROR(VLOOKUP($D721,'Clients-Live'!$A:$C,3,0),"")</f>
        <v>SITARAYA PATRICIA IDERU</v>
      </c>
      <c r="F721" s="291">
        <f>IFERROR(INDEX(Disbursements!$D:$D,MATCH('Live Collections'!G721,Disbursements!$C:$C,0)),"")</f>
        <v>1</v>
      </c>
      <c r="G721" s="34">
        <v>18</v>
      </c>
      <c r="H721" s="34"/>
      <c r="I721" s="34" t="s">
        <v>1358</v>
      </c>
      <c r="J721" s="48"/>
      <c r="K721" s="48"/>
      <c r="L721" s="48"/>
      <c r="M721" s="48"/>
      <c r="N721" s="59"/>
      <c r="O721" s="59">
        <v>50000</v>
      </c>
      <c r="P721" s="59"/>
      <c r="Q721" s="268">
        <f t="shared" si="35"/>
        <v>50000</v>
      </c>
      <c r="R721" s="61">
        <f>IF(O721=0,0,SUMIFS(Disbursements!$T:$T,Disbursements!$B:$B,'Live Collections'!D721,Disbursements!$D:$D,'Live Collections'!F721))</f>
        <v>120000</v>
      </c>
      <c r="S721" s="304"/>
      <c r="T721" s="304">
        <f t="shared" si="36"/>
        <v>50000</v>
      </c>
      <c r="U721" s="52"/>
      <c r="V721" s="34"/>
      <c r="W721" s="408"/>
    </row>
    <row r="722" spans="1:23" ht="12.75" customHeight="1" x14ac:dyDescent="0.2">
      <c r="A722" s="132">
        <v>716</v>
      </c>
      <c r="B722" s="44">
        <v>44435</v>
      </c>
      <c r="C722" s="44">
        <f t="shared" si="34"/>
        <v>44435</v>
      </c>
      <c r="D722" s="374">
        <v>31</v>
      </c>
      <c r="E722" s="291" t="str">
        <f>IFERROR(VLOOKUP($D722,'Clients-Live'!$A:$C,3,0),"")</f>
        <v>MUNDURU HARRIET</v>
      </c>
      <c r="F722" s="291">
        <f>IFERROR(INDEX(Disbursements!$D:$D,MATCH('Live Collections'!G722,Disbursements!$C:$C,0)),"")</f>
        <v>1</v>
      </c>
      <c r="G722" s="34">
        <v>16</v>
      </c>
      <c r="H722" s="34"/>
      <c r="I722" s="34" t="s">
        <v>1357</v>
      </c>
      <c r="J722" s="48"/>
      <c r="K722" s="48"/>
      <c r="L722" s="48"/>
      <c r="M722" s="48"/>
      <c r="N722" s="59"/>
      <c r="O722" s="59">
        <v>115000</v>
      </c>
      <c r="P722" s="59"/>
      <c r="Q722" s="268">
        <f t="shared" si="35"/>
        <v>115000</v>
      </c>
      <c r="R722" s="61">
        <f>IF(O722=0,0,SUMIFS(Disbursements!$T:$T,Disbursements!$B:$B,'Live Collections'!D722,Disbursements!$D:$D,'Live Collections'!F722))</f>
        <v>125000</v>
      </c>
      <c r="S722" s="304">
        <f>IF(O722&lt;=IF($O722=0,0,SUMIFS(Disbursements!$W:$W,Disbursements!$B:$B,'Live Collections'!D352,Disbursements!$D:$D,'Live Collections'!F352)),O722,IF($O722=0,0,SUMIFS(Disbursements!$W:$W,Disbursements!$B:$B,'Live Collections'!D352,Disbursements!$D:$D,'Live Collections'!F352)))</f>
        <v>25666.666666666672</v>
      </c>
      <c r="T722" s="304">
        <f t="shared" si="36"/>
        <v>89333.333333333328</v>
      </c>
      <c r="U722" s="52"/>
      <c r="V722" s="34"/>
      <c r="W722" s="408"/>
    </row>
    <row r="723" spans="1:23" ht="12.75" customHeight="1" x14ac:dyDescent="0.2">
      <c r="A723" s="257">
        <v>718</v>
      </c>
      <c r="B723" s="44">
        <v>44435</v>
      </c>
      <c r="C723" s="44">
        <f t="shared" si="34"/>
        <v>44435</v>
      </c>
      <c r="D723" s="374">
        <v>37</v>
      </c>
      <c r="E723" s="291" t="str">
        <f>IFERROR(VLOOKUP($D723,'Clients-Live'!$A:$C,3,0),"")</f>
        <v>WANDWALI AMISI</v>
      </c>
      <c r="F723" s="291">
        <f>IFERROR(INDEX(Disbursements!$D:$D,MATCH('Live Collections'!G723,Disbursements!$C:$C,0)),"")</f>
        <v>1</v>
      </c>
      <c r="G723" s="34">
        <v>21</v>
      </c>
      <c r="H723" s="34"/>
      <c r="I723" s="34" t="s">
        <v>1357</v>
      </c>
      <c r="J723" s="48"/>
      <c r="K723" s="48"/>
      <c r="L723" s="48"/>
      <c r="M723" s="48"/>
      <c r="N723" s="59"/>
      <c r="O723" s="59">
        <v>100000</v>
      </c>
      <c r="P723" s="59"/>
      <c r="Q723" s="268">
        <f t="shared" si="35"/>
        <v>100000</v>
      </c>
      <c r="R723" s="61">
        <f>IF(O723=0,0,SUMIFS(Disbursements!$T:$T,Disbursements!$B:$B,'Live Collections'!D723,Disbursements!$D:$D,'Live Collections'!F723))</f>
        <v>1075000</v>
      </c>
      <c r="S723" s="304">
        <f>IF(O723&lt;=IF($O723=0,0,SUMIFS(Disbursements!$W:$W,Disbursements!$B:$B,'Live Collections'!D421,Disbursements!$D:$D,'Live Collections'!F421)),O723,IF($O723=0,0,SUMIFS(Disbursements!$W:$W,Disbursements!$B:$B,'Live Collections'!D421,Disbursements!$D:$D,'Live Collections'!F421)))</f>
        <v>35333.333333333328</v>
      </c>
      <c r="T723" s="304">
        <f t="shared" si="36"/>
        <v>64666.666666666672</v>
      </c>
      <c r="U723" s="52"/>
      <c r="V723" s="34"/>
      <c r="W723" s="408"/>
    </row>
    <row r="724" spans="1:23" ht="12.75" customHeight="1" x14ac:dyDescent="0.2">
      <c r="A724" s="132">
        <v>710</v>
      </c>
      <c r="B724" s="44">
        <v>44435</v>
      </c>
      <c r="C724" s="44">
        <f t="shared" si="34"/>
        <v>44435</v>
      </c>
      <c r="D724" s="374">
        <v>41</v>
      </c>
      <c r="E724" s="291" t="str">
        <f>IFERROR(VLOOKUP($D724,'Clients-Live'!$A:$C,3,0),"")</f>
        <v>ANGUYO RONALD</v>
      </c>
      <c r="F724" s="291">
        <f>IFERROR(INDEX(Disbursements!$D:$D,MATCH('Live Collections'!G724,Disbursements!$C:$C,0)),"")</f>
        <v>4</v>
      </c>
      <c r="G724" s="34">
        <v>188</v>
      </c>
      <c r="H724" s="34"/>
      <c r="I724" s="34" t="s">
        <v>863</v>
      </c>
      <c r="J724" s="48"/>
      <c r="K724" s="48"/>
      <c r="L724" s="48">
        <v>15000</v>
      </c>
      <c r="M724" s="48">
        <v>5000</v>
      </c>
      <c r="N724" s="59"/>
      <c r="O724" s="59"/>
      <c r="P724" s="59"/>
      <c r="Q724" s="268">
        <f t="shared" si="35"/>
        <v>20000</v>
      </c>
      <c r="R724" s="61">
        <f>IF(O724=0,0,SUMIFS(Disbursements!$T:$T,Disbursements!$B:$B,'Live Collections'!D724,Disbursements!$D:$D,'Live Collections'!F724))</f>
        <v>0</v>
      </c>
      <c r="S724" s="304">
        <f>IF(O724&lt;=IF($O724=0,0,SUMIFS(Disbursements!$W:$W,Disbursements!$B:$B,'Live Collections'!D449,Disbursements!$D:$D,'Live Collections'!F449)),O724,IF($O724=0,0,SUMIFS(Disbursements!$W:$W,Disbursements!$B:$B,'Live Collections'!D449,Disbursements!$D:$D,'Live Collections'!F449)))</f>
        <v>0</v>
      </c>
      <c r="T724" s="304">
        <f t="shared" si="36"/>
        <v>0</v>
      </c>
      <c r="U724" s="52"/>
      <c r="V724" s="34"/>
      <c r="W724" s="408"/>
    </row>
    <row r="725" spans="1:23" ht="12.75" customHeight="1" x14ac:dyDescent="0.2">
      <c r="A725" s="257">
        <v>717</v>
      </c>
      <c r="B725" s="44">
        <v>44435</v>
      </c>
      <c r="C725" s="44">
        <f t="shared" si="34"/>
        <v>44435</v>
      </c>
      <c r="D725" s="374">
        <v>41</v>
      </c>
      <c r="E725" s="291" t="str">
        <f>IFERROR(VLOOKUP($D725,'Clients-Live'!$A:$C,3,0),"")</f>
        <v>ANGUYO RONALD</v>
      </c>
      <c r="F725" s="291">
        <f>IFERROR(INDEX(Disbursements!$D:$D,MATCH('Live Collections'!G725,Disbursements!$C:$C,0)),"")</f>
        <v>3</v>
      </c>
      <c r="G725" s="34">
        <v>147</v>
      </c>
      <c r="H725" s="34"/>
      <c r="I725" s="34" t="s">
        <v>1358</v>
      </c>
      <c r="J725" s="48"/>
      <c r="K725" s="48"/>
      <c r="L725" s="48"/>
      <c r="M725" s="48"/>
      <c r="N725" s="59"/>
      <c r="O725" s="59">
        <v>1075000</v>
      </c>
      <c r="P725" s="59"/>
      <c r="Q725" s="268">
        <f t="shared" si="35"/>
        <v>1075000</v>
      </c>
      <c r="R725" s="61">
        <f>IF(O725=0,0,SUMIFS(Disbursements!$T:$T,Disbursements!$B:$B,'Live Collections'!D725,Disbursements!$D:$D,'Live Collections'!F725))</f>
        <v>1075000</v>
      </c>
      <c r="S725" s="64">
        <v>75000</v>
      </c>
      <c r="T725" s="304">
        <f t="shared" si="36"/>
        <v>1000000</v>
      </c>
      <c r="U725" s="52"/>
      <c r="V725" s="34"/>
      <c r="W725" s="408" t="s">
        <v>2093</v>
      </c>
    </row>
    <row r="726" spans="1:23" ht="12.75" customHeight="1" x14ac:dyDescent="0.2">
      <c r="A726" s="132">
        <v>720</v>
      </c>
      <c r="B726" s="44">
        <v>44435</v>
      </c>
      <c r="C726" s="44">
        <f t="shared" si="34"/>
        <v>44435</v>
      </c>
      <c r="D726" s="374">
        <v>85</v>
      </c>
      <c r="E726" s="291" t="str">
        <f>IFERROR(VLOOKUP($D726,'Clients-Live'!$A:$C,3,0),"")</f>
        <v>CEASER SWALEH</v>
      </c>
      <c r="F726" s="291">
        <f>IFERROR(INDEX(Disbursements!$D:$D,MATCH('Live Collections'!G726,Disbursements!$C:$C,0)),"")</f>
        <v>1</v>
      </c>
      <c r="G726" s="34">
        <v>68</v>
      </c>
      <c r="H726" s="34"/>
      <c r="I726" s="34" t="s">
        <v>1357</v>
      </c>
      <c r="J726" s="48"/>
      <c r="K726" s="48"/>
      <c r="L726" s="48"/>
      <c r="M726" s="48"/>
      <c r="N726" s="59"/>
      <c r="O726" s="59">
        <v>50000</v>
      </c>
      <c r="P726" s="59"/>
      <c r="Q726" s="268">
        <f t="shared" si="35"/>
        <v>50000</v>
      </c>
      <c r="R726" s="61">
        <f>IF(O726=0,0,SUMIFS(Disbursements!$T:$T,Disbursements!$B:$B,'Live Collections'!D726,Disbursements!$D:$D,'Live Collections'!F726))</f>
        <v>384000</v>
      </c>
      <c r="S726" s="304"/>
      <c r="T726" s="304">
        <v>52000</v>
      </c>
      <c r="U726" s="52"/>
      <c r="V726" s="34"/>
      <c r="W726" s="408"/>
    </row>
    <row r="727" spans="1:23" ht="12.75" customHeight="1" x14ac:dyDescent="0.2">
      <c r="A727" s="257">
        <v>721</v>
      </c>
      <c r="B727" s="44">
        <v>44435</v>
      </c>
      <c r="C727" s="44">
        <f t="shared" si="34"/>
        <v>44435</v>
      </c>
      <c r="D727" s="374">
        <v>85</v>
      </c>
      <c r="E727" s="291" t="str">
        <f>IFERROR(VLOOKUP($D727,'Clients-Live'!$A:$C,3,0),"")</f>
        <v>CEASER SWALEH</v>
      </c>
      <c r="F727" s="291">
        <f>IFERROR(INDEX(Disbursements!$D:$D,MATCH('Live Collections'!G727,Disbursements!$C:$C,0)),"")</f>
        <v>2</v>
      </c>
      <c r="G727" s="34">
        <v>119</v>
      </c>
      <c r="H727" s="34"/>
      <c r="I727" s="34" t="s">
        <v>1357</v>
      </c>
      <c r="J727" s="48"/>
      <c r="K727" s="48"/>
      <c r="L727" s="48"/>
      <c r="M727" s="48"/>
      <c r="N727" s="59"/>
      <c r="O727" s="59">
        <v>20000</v>
      </c>
      <c r="P727" s="59"/>
      <c r="Q727" s="268">
        <f t="shared" si="35"/>
        <v>20000</v>
      </c>
      <c r="R727" s="61">
        <f>IF(O727=0,0,SUMIFS(Disbursements!$T:$T,Disbursements!$B:$B,'Live Collections'!D727,Disbursements!$D:$D,'Live Collections'!F727))</f>
        <v>434000</v>
      </c>
      <c r="S727" s="304">
        <f>IF(O727&lt;=IF($O727=0,0,SUMIFS(Disbursements!$W:$W,Disbursements!$B:$B,'Live Collections'!D1086,Disbursements!$D:$D,'Live Collections'!F1086)),O727,IF($O727=0,0,SUMIFS(Disbursements!$W:$W,Disbursements!$B:$B,'Live Collections'!D1086,Disbursements!$D:$D,'Live Collections'!F1086)))</f>
        <v>20000</v>
      </c>
      <c r="T727" s="304">
        <f t="shared" si="36"/>
        <v>0</v>
      </c>
      <c r="U727" s="52"/>
      <c r="V727" s="34"/>
      <c r="W727" s="408"/>
    </row>
    <row r="728" spans="1:23" ht="12.75" customHeight="1" x14ac:dyDescent="0.2">
      <c r="A728" s="132">
        <v>719</v>
      </c>
      <c r="B728" s="44">
        <v>44435</v>
      </c>
      <c r="C728" s="44">
        <f t="shared" si="34"/>
        <v>44435</v>
      </c>
      <c r="D728" s="374">
        <v>86</v>
      </c>
      <c r="E728" s="291" t="str">
        <f>IFERROR(VLOOKUP($D728,'Clients-Live'!$A:$C,3,0),"")</f>
        <v>AMANIYO JOYCE</v>
      </c>
      <c r="F728" s="291">
        <f>IFERROR(INDEX(Disbursements!$D:$D,MATCH('Live Collections'!G728,Disbursements!$C:$C,0)),"")</f>
        <v>1</v>
      </c>
      <c r="G728" s="34">
        <v>73</v>
      </c>
      <c r="H728" s="34"/>
      <c r="I728" s="34" t="s">
        <v>1358</v>
      </c>
      <c r="J728" s="48"/>
      <c r="K728" s="48"/>
      <c r="L728" s="48"/>
      <c r="M728" s="48"/>
      <c r="N728" s="59"/>
      <c r="O728" s="59">
        <v>100000</v>
      </c>
      <c r="P728" s="59"/>
      <c r="Q728" s="268">
        <f t="shared" si="35"/>
        <v>100000</v>
      </c>
      <c r="R728" s="61">
        <f>IF(O728=0,0,SUMIFS(Disbursements!$T:$T,Disbursements!$B:$B,'Live Collections'!D728,Disbursements!$D:$D,'Live Collections'!F728))</f>
        <v>150000</v>
      </c>
      <c r="S728" s="304">
        <f>IF(O728&lt;=IF($O728=0,0,SUMIFS(Disbursements!$W:$W,Disbursements!$B:$B,'Live Collections'!D1648,Disbursements!$D:$D,'Live Collections'!F1648)),O728,IF($O728=0,0,SUMIFS(Disbursements!$W:$W,Disbursements!$B:$B,'Live Collections'!D1648,Disbursements!$D:$D,'Live Collections'!F1648)))</f>
        <v>15000</v>
      </c>
      <c r="T728" s="304">
        <f t="shared" si="36"/>
        <v>85000</v>
      </c>
      <c r="U728" s="52"/>
      <c r="V728" s="34"/>
      <c r="W728" s="408"/>
    </row>
    <row r="729" spans="1:23" ht="12.75" customHeight="1" x14ac:dyDescent="0.2">
      <c r="A729" s="257">
        <v>714</v>
      </c>
      <c r="B729" s="44">
        <v>44435</v>
      </c>
      <c r="C729" s="44">
        <f t="shared" si="34"/>
        <v>44435</v>
      </c>
      <c r="D729" s="374">
        <v>127</v>
      </c>
      <c r="E729" s="291" t="str">
        <f>IFERROR(VLOOKUP($D729,'Clients-Live'!$A:$C,3,0),"")</f>
        <v>TIKO RUKIA</v>
      </c>
      <c r="F729" s="291">
        <f>IFERROR(INDEX(Disbursements!$D:$D,MATCH('Live Collections'!G729,Disbursements!$C:$C,0)),"")</f>
        <v>1</v>
      </c>
      <c r="G729" s="34">
        <v>110</v>
      </c>
      <c r="H729" s="34"/>
      <c r="I729" s="34" t="s">
        <v>1358</v>
      </c>
      <c r="J729" s="48"/>
      <c r="K729" s="48"/>
      <c r="L729" s="48"/>
      <c r="M729" s="48"/>
      <c r="N729" s="59"/>
      <c r="O729" s="59">
        <v>6000</v>
      </c>
      <c r="P729" s="59"/>
      <c r="Q729" s="268">
        <f t="shared" si="35"/>
        <v>6000</v>
      </c>
      <c r="R729" s="61">
        <f>IF(O729=0,0,SUMIFS(Disbursements!$T:$T,Disbursements!$B:$B,'Live Collections'!D729,Disbursements!$D:$D,'Live Collections'!F729))</f>
        <v>154000</v>
      </c>
      <c r="S729" s="304">
        <f>IF(O729&lt;=IF($O729=0,0,SUMIFS(Disbursements!$W:$W,Disbursements!$B:$B,'Live Collections'!D1611,Disbursements!$D:$D,'Live Collections'!F1611)),O729,IF($O729=0,0,SUMIFS(Disbursements!$W:$W,Disbursements!$B:$B,'Live Collections'!D1611,Disbursements!$D:$D,'Live Collections'!F1611)))</f>
        <v>0</v>
      </c>
      <c r="T729" s="304">
        <f t="shared" si="36"/>
        <v>6000</v>
      </c>
      <c r="U729" s="52"/>
      <c r="V729" s="34"/>
      <c r="W729" s="408"/>
    </row>
    <row r="730" spans="1:23" ht="12.75" customHeight="1" x14ac:dyDescent="0.2">
      <c r="A730" s="132">
        <v>715</v>
      </c>
      <c r="B730" s="44">
        <v>44435</v>
      </c>
      <c r="C730" s="44">
        <f t="shared" si="34"/>
        <v>44435</v>
      </c>
      <c r="D730" s="374">
        <v>127</v>
      </c>
      <c r="E730" s="291" t="str">
        <f>IFERROR(VLOOKUP($D730,'Clients-Live'!$A:$C,3,0),"")</f>
        <v>TIKO RUKIA</v>
      </c>
      <c r="F730" s="291">
        <f>IFERROR(INDEX(Disbursements!$D:$D,MATCH('Live Collections'!G730,Disbursements!$C:$C,0)),"")</f>
        <v>1</v>
      </c>
      <c r="G730" s="34">
        <v>110</v>
      </c>
      <c r="H730" s="34"/>
      <c r="I730" s="34" t="s">
        <v>1358</v>
      </c>
      <c r="J730" s="48"/>
      <c r="K730" s="48"/>
      <c r="L730" s="48"/>
      <c r="M730" s="48"/>
      <c r="N730" s="59"/>
      <c r="O730" s="59">
        <v>53400</v>
      </c>
      <c r="P730" s="59"/>
      <c r="Q730" s="268">
        <f t="shared" si="35"/>
        <v>53400</v>
      </c>
      <c r="R730" s="61">
        <f>IF(O730=0,0,SUMIFS(Disbursements!$T:$T,Disbursements!$B:$B,'Live Collections'!D730,Disbursements!$D:$D,'Live Collections'!F730))</f>
        <v>154000</v>
      </c>
      <c r="S730" s="64">
        <v>31999.999999999971</v>
      </c>
      <c r="T730" s="304">
        <f t="shared" si="36"/>
        <v>21400.000000000029</v>
      </c>
      <c r="U730" s="52"/>
      <c r="V730" s="34"/>
      <c r="W730" s="408"/>
    </row>
    <row r="731" spans="1:23" ht="12.75" customHeight="1" x14ac:dyDescent="0.2">
      <c r="A731" s="257">
        <v>711</v>
      </c>
      <c r="B731" s="44">
        <v>44435</v>
      </c>
      <c r="C731" s="44">
        <f t="shared" si="34"/>
        <v>44435</v>
      </c>
      <c r="D731" s="374">
        <v>196</v>
      </c>
      <c r="E731" s="291" t="str">
        <f>IFERROR(VLOOKUP($D731,'Clients-Live'!$A:$C,3,0),"")</f>
        <v>AKISU JOICE</v>
      </c>
      <c r="F731" s="291">
        <f>IFERROR(INDEX(Disbursements!$D:$D,MATCH('Live Collections'!G731,Disbursements!$C:$C,0)),"")</f>
        <v>1</v>
      </c>
      <c r="G731" s="34">
        <v>189</v>
      </c>
      <c r="H731" s="34"/>
      <c r="I731" s="34" t="s">
        <v>862</v>
      </c>
      <c r="J731" s="48"/>
      <c r="K731" s="48"/>
      <c r="L731" s="48">
        <v>15000</v>
      </c>
      <c r="M731" s="48">
        <v>5000</v>
      </c>
      <c r="N731" s="59"/>
      <c r="O731" s="59"/>
      <c r="P731" s="59">
        <v>60000</v>
      </c>
      <c r="Q731" s="268">
        <f t="shared" si="35"/>
        <v>80000</v>
      </c>
      <c r="R731" s="61">
        <f>IF(O731=0,0,SUMIFS(Disbursements!$T:$T,Disbursements!$B:$B,'Live Collections'!D731,Disbursements!$D:$D,'Live Collections'!F731))</f>
        <v>0</v>
      </c>
      <c r="S731" s="304">
        <f>IF(O731&lt;=IF($O731=0,0,SUMIFS(Disbursements!$W:$W,Disbursements!$B:$B,'Live Collections'!D2354,Disbursements!$D:$D,'Live Collections'!F2354)),O731,IF($O731=0,0,SUMIFS(Disbursements!$W:$W,Disbursements!$B:$B,'Live Collections'!D2354,Disbursements!$D:$D,'Live Collections'!F2354)))</f>
        <v>0</v>
      </c>
      <c r="T731" s="304">
        <f t="shared" si="36"/>
        <v>0</v>
      </c>
      <c r="U731" s="52"/>
      <c r="V731" s="34"/>
      <c r="W731" s="408"/>
    </row>
    <row r="732" spans="1:23" ht="12.75" customHeight="1" x14ac:dyDescent="0.2">
      <c r="A732" s="132">
        <v>709</v>
      </c>
      <c r="B732" s="44">
        <v>44435</v>
      </c>
      <c r="C732" s="44">
        <f t="shared" si="34"/>
        <v>44435</v>
      </c>
      <c r="D732" s="374">
        <v>198</v>
      </c>
      <c r="E732" s="291" t="str">
        <f>IFERROR(VLOOKUP($D732,'Clients-Live'!$A:$C,3,0),"")</f>
        <v>ETOLE BIAJO</v>
      </c>
      <c r="F732" s="291" t="str">
        <f>IFERROR(INDEX(Disbursements!$D:$D,MATCH('Live Collections'!G732,Disbursements!$C:$C,0)),"")</f>
        <v/>
      </c>
      <c r="G732" s="34"/>
      <c r="H732" s="34"/>
      <c r="I732" s="34" t="s">
        <v>1814</v>
      </c>
      <c r="J732" s="48">
        <v>15000</v>
      </c>
      <c r="K732" s="48">
        <v>5000</v>
      </c>
      <c r="L732" s="48"/>
      <c r="M732" s="48"/>
      <c r="N732" s="59"/>
      <c r="O732" s="59"/>
      <c r="P732" s="59"/>
      <c r="Q732" s="268">
        <f t="shared" si="35"/>
        <v>20000</v>
      </c>
      <c r="R732" s="61">
        <f>IF(O732=0,0,SUMIFS(Disbursements!$T:$T,Disbursements!$B:$B,'Live Collections'!D732,Disbursements!$D:$D,'Live Collections'!F732))</f>
        <v>0</v>
      </c>
      <c r="S732" s="304">
        <f>IF(O732&lt;=IF($O732=0,0,SUMIFS(Disbursements!$W:$W,Disbursements!$B:$B,'Live Collections'!D2370,Disbursements!$D:$D,'Live Collections'!F2370)),O732,IF($O732=0,0,SUMIFS(Disbursements!$W:$W,Disbursements!$B:$B,'Live Collections'!D2370,Disbursements!$D:$D,'Live Collections'!F2370)))</f>
        <v>0</v>
      </c>
      <c r="T732" s="304">
        <f t="shared" si="36"/>
        <v>0</v>
      </c>
      <c r="U732" s="52">
        <v>782305844</v>
      </c>
      <c r="V732" s="34"/>
      <c r="W732" s="408" t="s">
        <v>1254</v>
      </c>
    </row>
    <row r="733" spans="1:23" ht="12.75" customHeight="1" x14ac:dyDescent="0.2">
      <c r="A733" s="257">
        <v>726</v>
      </c>
      <c r="B733" s="44">
        <v>44436</v>
      </c>
      <c r="C733" s="44">
        <f t="shared" si="34"/>
        <v>44436</v>
      </c>
      <c r="D733" s="374">
        <v>23</v>
      </c>
      <c r="E733" s="291" t="str">
        <f>IFERROR(VLOOKUP($D733,'Clients-Live'!$A:$C,3,0),"")</f>
        <v>BADARU KEVIN ATELIONGA</v>
      </c>
      <c r="F733" s="291">
        <f>IFERROR(INDEX(Disbursements!$D:$D,MATCH('Live Collections'!G733,Disbursements!$C:$C,0)),"")</f>
        <v>2</v>
      </c>
      <c r="G733" s="34">
        <v>190</v>
      </c>
      <c r="H733" s="34"/>
      <c r="I733" s="34" t="s">
        <v>864</v>
      </c>
      <c r="J733" s="48"/>
      <c r="K733" s="48"/>
      <c r="L733" s="48">
        <v>15000</v>
      </c>
      <c r="M733" s="48">
        <v>5000</v>
      </c>
      <c r="N733" s="59"/>
      <c r="O733" s="59"/>
      <c r="P733" s="59">
        <v>70000</v>
      </c>
      <c r="Q733" s="268">
        <f t="shared" si="35"/>
        <v>90000</v>
      </c>
      <c r="R733" s="61">
        <f>IF(O733=0,0,SUMIFS(Disbursements!$T:$T,Disbursements!$B:$B,'Live Collections'!D733,Disbursements!$D:$D,'Live Collections'!F733))</f>
        <v>0</v>
      </c>
      <c r="S733" s="304">
        <f>IF(O733&lt;=IF($O733=0,0,SUMIFS(Disbursements!$W:$W,Disbursements!$B:$B,'Live Collections'!D315,Disbursements!$D:$D,'Live Collections'!F315)),O733,IF($O733=0,0,SUMIFS(Disbursements!$W:$W,Disbursements!$B:$B,'Live Collections'!D315,Disbursements!$D:$D,'Live Collections'!F315)))</f>
        <v>0</v>
      </c>
      <c r="T733" s="304">
        <f t="shared" si="36"/>
        <v>0</v>
      </c>
      <c r="U733" s="52"/>
      <c r="V733" s="34"/>
      <c r="W733" s="408"/>
    </row>
    <row r="734" spans="1:23" ht="12.75" customHeight="1" x14ac:dyDescent="0.2">
      <c r="A734" s="132">
        <v>728</v>
      </c>
      <c r="B734" s="44">
        <v>44436</v>
      </c>
      <c r="C734" s="44">
        <f t="shared" si="34"/>
        <v>44436</v>
      </c>
      <c r="D734" s="374">
        <v>54</v>
      </c>
      <c r="E734" s="291" t="str">
        <f>IFERROR(VLOOKUP($D734,'Clients-Live'!$A:$C,3,0),"")</f>
        <v>MANENO ANIFA</v>
      </c>
      <c r="F734" s="291">
        <f>IFERROR(INDEX(Disbursements!$D:$D,MATCH('Live Collections'!G734,Disbursements!$C:$C,0)),"")</f>
        <v>1</v>
      </c>
      <c r="G734" s="34">
        <v>37</v>
      </c>
      <c r="H734" s="34"/>
      <c r="I734" s="34" t="s">
        <v>1357</v>
      </c>
      <c r="J734" s="48"/>
      <c r="K734" s="48"/>
      <c r="L734" s="48"/>
      <c r="M734" s="48"/>
      <c r="N734" s="59"/>
      <c r="O734" s="59">
        <v>450000</v>
      </c>
      <c r="P734" s="59"/>
      <c r="Q734" s="268">
        <f t="shared" si="35"/>
        <v>450000</v>
      </c>
      <c r="R734" s="61">
        <f>IF(O734=0,0,SUMIFS(Disbursements!$T:$T,Disbursements!$B:$B,'Live Collections'!D734,Disbursements!$D:$D,'Live Collections'!F734))</f>
        <v>150000</v>
      </c>
      <c r="S734" s="64">
        <v>40000</v>
      </c>
      <c r="T734" s="304">
        <f t="shared" si="36"/>
        <v>410000</v>
      </c>
      <c r="U734" s="52"/>
      <c r="V734" s="34"/>
      <c r="W734" s="408"/>
    </row>
    <row r="735" spans="1:23" ht="12.75" customHeight="1" x14ac:dyDescent="0.2">
      <c r="A735" s="257">
        <v>729</v>
      </c>
      <c r="B735" s="44">
        <v>44436</v>
      </c>
      <c r="C735" s="44">
        <f t="shared" si="34"/>
        <v>44436</v>
      </c>
      <c r="D735" s="374">
        <v>94</v>
      </c>
      <c r="E735" s="291" t="str">
        <f>IFERROR(VLOOKUP($D735,'Clients-Live'!$A:$C,3,0),"")</f>
        <v>NGINYA RICHARD</v>
      </c>
      <c r="F735" s="291">
        <f>IFERROR(INDEX(Disbursements!$D:$D,MATCH('Live Collections'!G735,Disbursements!$C:$C,0)),"")</f>
        <v>1</v>
      </c>
      <c r="G735" s="34">
        <v>84</v>
      </c>
      <c r="H735" s="34"/>
      <c r="I735" s="34" t="s">
        <v>1357</v>
      </c>
      <c r="J735" s="48"/>
      <c r="K735" s="48"/>
      <c r="L735" s="48"/>
      <c r="M735" s="48"/>
      <c r="N735" s="59"/>
      <c r="O735" s="59">
        <v>120000</v>
      </c>
      <c r="P735" s="59"/>
      <c r="Q735" s="268">
        <f t="shared" si="35"/>
        <v>120000</v>
      </c>
      <c r="R735" s="61">
        <f>IF(O735=0,0,SUMIFS(Disbursements!$T:$T,Disbursements!$B:$B,'Live Collections'!D735,Disbursements!$D:$D,'Live Collections'!F735))</f>
        <v>120000</v>
      </c>
      <c r="S735" s="304">
        <f>IF(O735&lt;=IF($O735=0,0,SUMIFS(Disbursements!$W:$W,Disbursements!$B:$B,'Live Collections'!D1212,Disbursements!$D:$D,'Live Collections'!F1212)),O735,IF($O735=0,0,SUMIFS(Disbursements!$W:$W,Disbursements!$B:$B,'Live Collections'!D1212,Disbursements!$D:$D,'Live Collections'!F1212)))</f>
        <v>25000</v>
      </c>
      <c r="T735" s="304">
        <f t="shared" si="36"/>
        <v>95000</v>
      </c>
      <c r="U735" s="52"/>
      <c r="V735" s="34"/>
      <c r="W735" s="408"/>
    </row>
    <row r="736" spans="1:23" ht="12.75" customHeight="1" x14ac:dyDescent="0.2">
      <c r="A736" s="132">
        <v>727</v>
      </c>
      <c r="B736" s="44">
        <v>44436</v>
      </c>
      <c r="C736" s="44">
        <f t="shared" si="34"/>
        <v>44436</v>
      </c>
      <c r="D736" s="374">
        <v>99</v>
      </c>
      <c r="E736" s="291" t="str">
        <f>IFERROR(VLOOKUP($D736,'Clients-Live'!$A:$C,3,0),"")</f>
        <v>SIJALI ASINA SIS</v>
      </c>
      <c r="F736" s="291">
        <f>IFERROR(INDEX(Disbursements!$D:$D,MATCH('Live Collections'!G736,Disbursements!$C:$C,0)),"")</f>
        <v>1</v>
      </c>
      <c r="G736" s="34">
        <v>83</v>
      </c>
      <c r="H736" s="34"/>
      <c r="I736" s="34" t="s">
        <v>1358</v>
      </c>
      <c r="J736" s="48"/>
      <c r="K736" s="48"/>
      <c r="L736" s="48"/>
      <c r="M736" s="48"/>
      <c r="N736" s="59"/>
      <c r="O736" s="59">
        <v>150000</v>
      </c>
      <c r="P736" s="59"/>
      <c r="Q736" s="268">
        <f t="shared" si="35"/>
        <v>150000</v>
      </c>
      <c r="R736" s="61">
        <f>IF(O736=0,0,SUMIFS(Disbursements!$T:$T,Disbursements!$B:$B,'Live Collections'!D736,Disbursements!$D:$D,'Live Collections'!F736))</f>
        <v>150000</v>
      </c>
      <c r="S736" s="304">
        <f>IF(O736&lt;=IF($O736=0,0,SUMIFS(Disbursements!$W:$W,Disbursements!$B:$B,'Live Collections'!D1278,Disbursements!$D:$D,'Live Collections'!F1278)),O736,IF($O736=0,0,SUMIFS(Disbursements!$W:$W,Disbursements!$B:$B,'Live Collections'!D1278,Disbursements!$D:$D,'Live Collections'!F1278)))</f>
        <v>25000</v>
      </c>
      <c r="T736" s="304">
        <f t="shared" si="36"/>
        <v>125000</v>
      </c>
      <c r="U736" s="52"/>
      <c r="V736" s="34"/>
      <c r="W736" s="408"/>
    </row>
    <row r="737" spans="1:23" ht="12.75" customHeight="1" x14ac:dyDescent="0.2">
      <c r="A737" s="257">
        <v>730</v>
      </c>
      <c r="B737" s="44">
        <v>44436</v>
      </c>
      <c r="C737" s="44">
        <f t="shared" si="34"/>
        <v>44436</v>
      </c>
      <c r="D737" s="374">
        <v>136</v>
      </c>
      <c r="E737" s="291" t="str">
        <f>IFERROR(VLOOKUP($D737,'Clients-Live'!$A:$C,3,0),"")</f>
        <v>LEMERIGA GODWILL JOSEPH</v>
      </c>
      <c r="F737" s="291">
        <f>IFERROR(INDEX(Disbursements!$D:$D,MATCH('Live Collections'!G737,Disbursements!$C:$C,0)),"")</f>
        <v>1</v>
      </c>
      <c r="G737" s="34">
        <v>122</v>
      </c>
      <c r="H737" s="34"/>
      <c r="I737" s="34" t="s">
        <v>1357</v>
      </c>
      <c r="J737" s="48"/>
      <c r="K737" s="48"/>
      <c r="L737" s="48"/>
      <c r="M737" s="48"/>
      <c r="N737" s="59"/>
      <c r="O737" s="59">
        <v>20000</v>
      </c>
      <c r="P737" s="59"/>
      <c r="Q737" s="268">
        <f t="shared" si="35"/>
        <v>20000</v>
      </c>
      <c r="R737" s="61">
        <f>IF(O737=0,0,SUMIFS(Disbursements!$T:$T,Disbursements!$B:$B,'Live Collections'!D737,Disbursements!$D:$D,'Live Collections'!F737))</f>
        <v>120000</v>
      </c>
      <c r="S737" s="304">
        <f>IF(O737&lt;=IF($O737=0,0,SUMIFS(Disbursements!$W:$W,Disbursements!$B:$B,'Live Collections'!D1715,Disbursements!$D:$D,'Live Collections'!F1715)),O737,IF($O737=0,0,SUMIFS(Disbursements!$W:$W,Disbursements!$B:$B,'Live Collections'!D1715,Disbursements!$D:$D,'Live Collections'!F1715)))</f>
        <v>20000</v>
      </c>
      <c r="T737" s="304">
        <f t="shared" si="36"/>
        <v>0</v>
      </c>
      <c r="U737" s="52"/>
      <c r="V737" s="34"/>
      <c r="W737" s="408"/>
    </row>
    <row r="738" spans="1:23" ht="12.75" customHeight="1" x14ac:dyDescent="0.2">
      <c r="A738" s="132">
        <v>733</v>
      </c>
      <c r="B738" s="44">
        <v>44436</v>
      </c>
      <c r="C738" s="44">
        <f t="shared" si="34"/>
        <v>44436</v>
      </c>
      <c r="D738" s="374">
        <v>137</v>
      </c>
      <c r="E738" s="291" t="str">
        <f>IFERROR(VLOOKUP($D738,'Clients-Live'!$A:$C,3,0),"")</f>
        <v>YAKANI CHARLES</v>
      </c>
      <c r="F738" s="291">
        <f>IFERROR(INDEX(Disbursements!$D:$D,MATCH('Live Collections'!G738,Disbursements!$C:$C,0)),"")</f>
        <v>1</v>
      </c>
      <c r="G738" s="34">
        <v>121</v>
      </c>
      <c r="H738" s="34"/>
      <c r="I738" s="34" t="s">
        <v>1359</v>
      </c>
      <c r="J738" s="48"/>
      <c r="K738" s="48"/>
      <c r="L738" s="48"/>
      <c r="M738" s="48"/>
      <c r="N738" s="59"/>
      <c r="O738" s="59">
        <f>360000-330000</f>
        <v>30000</v>
      </c>
      <c r="P738" s="59"/>
      <c r="Q738" s="268">
        <f t="shared" si="35"/>
        <v>30000</v>
      </c>
      <c r="R738" s="61">
        <f>IF(O738=0,0,SUMIFS(Disbursements!$T:$T,Disbursements!$B:$B,'Live Collections'!D738,Disbursements!$D:$D,'Live Collections'!F738))</f>
        <v>275000</v>
      </c>
      <c r="S738" s="64">
        <v>20000</v>
      </c>
      <c r="T738" s="304">
        <f t="shared" si="36"/>
        <v>10000</v>
      </c>
      <c r="U738" s="52"/>
      <c r="V738" s="34"/>
      <c r="W738" s="408"/>
    </row>
    <row r="739" spans="1:23" ht="12.75" customHeight="1" x14ac:dyDescent="0.2">
      <c r="A739" s="257">
        <v>734</v>
      </c>
      <c r="B739" s="44">
        <v>44436</v>
      </c>
      <c r="C739" s="44">
        <f t="shared" si="34"/>
        <v>44436</v>
      </c>
      <c r="D739" s="374">
        <v>137</v>
      </c>
      <c r="E739" s="291" t="str">
        <f>IFERROR(VLOOKUP($D739,'Clients-Live'!$A:$C,3,0),"")</f>
        <v>YAKANI CHARLES</v>
      </c>
      <c r="F739" s="291">
        <f>IFERROR(INDEX(Disbursements!$D:$D,MATCH('Live Collections'!G739,Disbursements!$C:$C,0)),"")</f>
        <v>2</v>
      </c>
      <c r="G739" s="34">
        <v>139</v>
      </c>
      <c r="H739" s="34"/>
      <c r="I739" s="34" t="s">
        <v>1359</v>
      </c>
      <c r="J739" s="48"/>
      <c r="K739" s="48"/>
      <c r="L739" s="48"/>
      <c r="M739" s="48"/>
      <c r="N739" s="59"/>
      <c r="O739" s="59">
        <v>330000</v>
      </c>
      <c r="P739" s="59"/>
      <c r="Q739" s="268">
        <f t="shared" si="35"/>
        <v>330000</v>
      </c>
      <c r="R739" s="61">
        <f>IF(O739=0,0,SUMIFS(Disbursements!$T:$T,Disbursements!$B:$B,'Live Collections'!D739,Disbursements!$D:$D,'Live Collections'!F739))</f>
        <v>360000</v>
      </c>
      <c r="S739" s="304">
        <f>IF(O739&lt;=IF($O739=0,0,SUMIFS(Disbursements!$W:$W,Disbursements!$B:$B,'Live Collections'!D1728,Disbursements!$D:$D,'Live Collections'!F1728)),O739,IF($O739=0,0,SUMIFS(Disbursements!$W:$W,Disbursements!$B:$B,'Live Collections'!D1728,Disbursements!$D:$D,'Live Collections'!F1728)))</f>
        <v>0</v>
      </c>
      <c r="T739" s="304">
        <f t="shared" si="36"/>
        <v>330000</v>
      </c>
      <c r="U739" s="52"/>
      <c r="V739" s="34"/>
      <c r="W739" s="408"/>
    </row>
    <row r="740" spans="1:23" ht="12.75" customHeight="1" x14ac:dyDescent="0.2">
      <c r="A740" s="132">
        <v>731</v>
      </c>
      <c r="B740" s="44">
        <v>44436</v>
      </c>
      <c r="C740" s="44">
        <f t="shared" si="34"/>
        <v>44436</v>
      </c>
      <c r="D740" s="374">
        <v>145</v>
      </c>
      <c r="E740" s="291" t="str">
        <f>IFERROR(VLOOKUP($D740,'Clients-Live'!$A:$C,3,0),"")</f>
        <v>NIGHT ASARA</v>
      </c>
      <c r="F740" s="291">
        <f>IFERROR(INDEX(Disbursements!$D:$D,MATCH('Live Collections'!G740,Disbursements!$C:$C,0)),"")</f>
        <v>1</v>
      </c>
      <c r="G740" s="34">
        <v>132</v>
      </c>
      <c r="H740" s="34"/>
      <c r="I740" s="34" t="s">
        <v>1357</v>
      </c>
      <c r="J740" s="48"/>
      <c r="K740" s="48"/>
      <c r="L740" s="48"/>
      <c r="M740" s="48"/>
      <c r="N740" s="59"/>
      <c r="O740" s="59">
        <v>90000</v>
      </c>
      <c r="P740" s="59"/>
      <c r="Q740" s="268">
        <f t="shared" si="35"/>
        <v>90000</v>
      </c>
      <c r="R740" s="61">
        <f>IF(O740=0,0,SUMIFS(Disbursements!$T:$T,Disbursements!$B:$B,'Live Collections'!D740,Disbursements!$D:$D,'Live Collections'!F740))</f>
        <v>120000</v>
      </c>
      <c r="S740" s="304">
        <f>IF(O740&lt;=IF($O740=0,0,SUMIFS(Disbursements!$W:$W,Disbursements!$B:$B,'Live Collections'!D1827,Disbursements!$D:$D,'Live Collections'!F1827)),O740,IF($O740=0,0,SUMIFS(Disbursements!$W:$W,Disbursements!$B:$B,'Live Collections'!D1827,Disbursements!$D:$D,'Live Collections'!F1827)))</f>
        <v>0</v>
      </c>
      <c r="T740" s="304">
        <f t="shared" si="36"/>
        <v>90000</v>
      </c>
      <c r="U740" s="52"/>
      <c r="V740" s="34"/>
      <c r="W740" s="408"/>
    </row>
    <row r="741" spans="1:23" ht="12.75" customHeight="1" x14ac:dyDescent="0.2">
      <c r="A741" s="257">
        <v>732</v>
      </c>
      <c r="B741" s="44">
        <v>44436</v>
      </c>
      <c r="C741" s="44">
        <f t="shared" si="34"/>
        <v>44436</v>
      </c>
      <c r="D741" s="374">
        <v>154</v>
      </c>
      <c r="E741" s="291" t="str">
        <f>IFERROR(VLOOKUP($D741,'Clients-Live'!$A:$C,3,0),"")</f>
        <v>ERIMU SAMSON</v>
      </c>
      <c r="F741" s="291">
        <f>IFERROR(INDEX(Disbursements!$D:$D,MATCH('Live Collections'!G741,Disbursements!$C:$C,0)),"")</f>
        <v>1</v>
      </c>
      <c r="G741" s="34">
        <v>140</v>
      </c>
      <c r="H741" s="34"/>
      <c r="I741" s="34" t="s">
        <v>1358</v>
      </c>
      <c r="J741" s="48"/>
      <c r="K741" s="48"/>
      <c r="L741" s="48"/>
      <c r="M741" s="48"/>
      <c r="N741" s="59"/>
      <c r="O741" s="59">
        <v>390000</v>
      </c>
      <c r="P741" s="59"/>
      <c r="Q741" s="268">
        <f t="shared" si="35"/>
        <v>390000</v>
      </c>
      <c r="R741" s="61">
        <f>IF(O741=0,0,SUMIFS(Disbursements!$T:$T,Disbursements!$B:$B,'Live Collections'!D741,Disbursements!$D:$D,'Live Collections'!F741))</f>
        <v>390000</v>
      </c>
      <c r="S741" s="304">
        <f>IF(O741&lt;=IF($O741=0,0,SUMIFS(Disbursements!$W:$W,Disbursements!$B:$B,'Live Collections'!D1927,Disbursements!$D:$D,'Live Collections'!F1927)),O741,IF($O741=0,0,SUMIFS(Disbursements!$W:$W,Disbursements!$B:$B,'Live Collections'!D1927,Disbursements!$D:$D,'Live Collections'!F1927)))</f>
        <v>125333.33333333331</v>
      </c>
      <c r="T741" s="304">
        <f t="shared" si="36"/>
        <v>264666.66666666669</v>
      </c>
      <c r="U741" s="52"/>
      <c r="V741" s="34"/>
      <c r="W741" s="408"/>
    </row>
    <row r="742" spans="1:23" ht="12.75" customHeight="1" x14ac:dyDescent="0.2">
      <c r="A742" s="132">
        <v>724</v>
      </c>
      <c r="B742" s="44">
        <v>44436</v>
      </c>
      <c r="C742" s="44">
        <f t="shared" si="34"/>
        <v>44436</v>
      </c>
      <c r="D742" s="374">
        <v>199</v>
      </c>
      <c r="E742" s="291" t="str">
        <f>IFERROR(VLOOKUP($D742,'Clients-Live'!$A:$C,3,0),"")</f>
        <v>OTHIM JIMMY</v>
      </c>
      <c r="F742" s="291" t="str">
        <f>IFERROR(INDEX(Disbursements!$D:$D,MATCH('Live Collections'!G742,Disbursements!$C:$C,0)),"")</f>
        <v/>
      </c>
      <c r="G742" s="34"/>
      <c r="H742" s="34"/>
      <c r="I742" s="34" t="s">
        <v>1814</v>
      </c>
      <c r="J742" s="48">
        <v>15000</v>
      </c>
      <c r="K742" s="48">
        <v>5000</v>
      </c>
      <c r="L742" s="48"/>
      <c r="M742" s="48"/>
      <c r="N742" s="59"/>
      <c r="O742" s="59"/>
      <c r="P742" s="59"/>
      <c r="Q742" s="268">
        <f t="shared" si="35"/>
        <v>20000</v>
      </c>
      <c r="R742" s="61">
        <f>IF(O742=0,0,SUMIFS(Disbursements!$T:$T,Disbursements!$B:$B,'Live Collections'!D742,Disbursements!$D:$D,'Live Collections'!F742))</f>
        <v>0</v>
      </c>
      <c r="S742" s="304">
        <f>IF(O742&lt;=IF($O742=0,0,SUMIFS(Disbursements!$W:$W,Disbursements!$B:$B,'Live Collections'!D2375,Disbursements!$D:$D,'Live Collections'!F2375)),O742,IF($O742=0,0,SUMIFS(Disbursements!$W:$W,Disbursements!$B:$B,'Live Collections'!D2375,Disbursements!$D:$D,'Live Collections'!F2375)))</f>
        <v>0</v>
      </c>
      <c r="T742" s="304">
        <f t="shared" si="36"/>
        <v>0</v>
      </c>
      <c r="U742" s="52">
        <v>787062741</v>
      </c>
      <c r="V742" s="34"/>
      <c r="W742" s="408" t="s">
        <v>1254</v>
      </c>
    </row>
    <row r="743" spans="1:23" ht="12.75" customHeight="1" x14ac:dyDescent="0.2">
      <c r="A743" s="257">
        <v>725</v>
      </c>
      <c r="B743" s="44">
        <v>44436</v>
      </c>
      <c r="C743" s="44">
        <f t="shared" si="34"/>
        <v>44436</v>
      </c>
      <c r="D743" s="374">
        <v>200</v>
      </c>
      <c r="E743" s="291" t="str">
        <f>IFERROR(VLOOKUP($D743,'Clients-Live'!$A:$C,3,0),"")</f>
        <v>SERIYA FLORENCE</v>
      </c>
      <c r="F743" s="291" t="str">
        <f>IFERROR(INDEX(Disbursements!$D:$D,MATCH('Live Collections'!G743,Disbursements!$C:$C,0)),"")</f>
        <v/>
      </c>
      <c r="G743" s="34"/>
      <c r="H743" s="34"/>
      <c r="I743" s="34" t="s">
        <v>1814</v>
      </c>
      <c r="J743" s="48">
        <v>15000</v>
      </c>
      <c r="K743" s="48">
        <v>5000</v>
      </c>
      <c r="L743" s="48"/>
      <c r="M743" s="48"/>
      <c r="N743" s="59"/>
      <c r="O743" s="59"/>
      <c r="P743" s="59"/>
      <c r="Q743" s="268">
        <f t="shared" si="35"/>
        <v>20000</v>
      </c>
      <c r="R743" s="61">
        <f>IF(O743=0,0,SUMIFS(Disbursements!$T:$T,Disbursements!$B:$B,'Live Collections'!D743,Disbursements!$D:$D,'Live Collections'!F743))</f>
        <v>0</v>
      </c>
      <c r="S743" s="304">
        <f>IF(O743&lt;=IF($O743=0,0,SUMIFS(Disbursements!$W:$W,Disbursements!$B:$B,'Live Collections'!D2384,Disbursements!$D:$D,'Live Collections'!F2384)),O743,IF($O743=0,0,SUMIFS(Disbursements!$W:$W,Disbursements!$B:$B,'Live Collections'!D2384,Disbursements!$D:$D,'Live Collections'!F2384)))</f>
        <v>0</v>
      </c>
      <c r="T743" s="304">
        <f t="shared" si="36"/>
        <v>0</v>
      </c>
      <c r="U743" s="52">
        <v>776490992</v>
      </c>
      <c r="V743" s="34">
        <v>793392822</v>
      </c>
      <c r="W743" s="408" t="s">
        <v>1256</v>
      </c>
    </row>
    <row r="744" spans="1:23" ht="12.75" customHeight="1" x14ac:dyDescent="0.2">
      <c r="A744" s="132">
        <v>739</v>
      </c>
      <c r="B744" s="44">
        <v>44438</v>
      </c>
      <c r="C744" s="44">
        <f t="shared" si="34"/>
        <v>44438</v>
      </c>
      <c r="D744" s="374">
        <v>20</v>
      </c>
      <c r="E744" s="291" t="str">
        <f>IFERROR(VLOOKUP($D744,'Clients-Live'!$A:$C,3,0),"")</f>
        <v>ANDEZO KEVIN</v>
      </c>
      <c r="F744" s="291">
        <f>IFERROR(INDEX(Disbursements!$D:$D,MATCH('Live Collections'!G744,Disbursements!$C:$C,0)),"")</f>
        <v>1</v>
      </c>
      <c r="G744" s="34">
        <v>11</v>
      </c>
      <c r="H744" s="34"/>
      <c r="I744" s="34" t="s">
        <v>1358</v>
      </c>
      <c r="J744" s="48"/>
      <c r="K744" s="48"/>
      <c r="L744" s="48"/>
      <c r="M744" s="48"/>
      <c r="N744" s="59"/>
      <c r="O744" s="59">
        <v>360000</v>
      </c>
      <c r="P744" s="59"/>
      <c r="Q744" s="268">
        <f t="shared" si="35"/>
        <v>360000</v>
      </c>
      <c r="R744" s="61">
        <f>IF(O744=0,0,SUMIFS(Disbursements!$T:$T,Disbursements!$B:$B,'Live Collections'!D744,Disbursements!$D:$D,'Live Collections'!F744))</f>
        <v>180000</v>
      </c>
      <c r="S744" s="304">
        <v>59666.666666666686</v>
      </c>
      <c r="T744" s="304">
        <f t="shared" si="36"/>
        <v>300333.33333333331</v>
      </c>
      <c r="U744" s="52"/>
      <c r="V744" s="34"/>
      <c r="W744" s="408"/>
    </row>
    <row r="745" spans="1:23" ht="12.75" customHeight="1" x14ac:dyDescent="0.2">
      <c r="A745" s="257">
        <v>760</v>
      </c>
      <c r="B745" s="44">
        <v>44438</v>
      </c>
      <c r="C745" s="44">
        <f t="shared" si="34"/>
        <v>44438</v>
      </c>
      <c r="D745" s="374">
        <v>22</v>
      </c>
      <c r="E745" s="291" t="str">
        <f>IFERROR(VLOOKUP($D745,'Clients-Live'!$A:$C,3,0),"")</f>
        <v>DATA ISMAIL FATARI</v>
      </c>
      <c r="F745" s="291">
        <f>IFERROR(INDEX(Disbursements!$D:$D,MATCH('Live Collections'!G745,Disbursements!$C:$C,0)),"")</f>
        <v>1</v>
      </c>
      <c r="G745" s="34">
        <v>13</v>
      </c>
      <c r="H745" s="34"/>
      <c r="I745" s="34" t="s">
        <v>1359</v>
      </c>
      <c r="J745" s="48"/>
      <c r="K745" s="48"/>
      <c r="L745" s="48"/>
      <c r="M745" s="48"/>
      <c r="N745" s="59"/>
      <c r="O745" s="59">
        <v>30000</v>
      </c>
      <c r="P745" s="59"/>
      <c r="Q745" s="268">
        <f t="shared" si="35"/>
        <v>30000</v>
      </c>
      <c r="R745" s="61">
        <f>IF(O745=0,0,SUMIFS(Disbursements!$T:$T,Disbursements!$B:$B,'Live Collections'!D745,Disbursements!$D:$D,'Live Collections'!F745))</f>
        <v>217000</v>
      </c>
      <c r="S745" s="304">
        <f>IF(O745&lt;=IF($O745=0,0,SUMIFS(Disbursements!$W:$W,Disbursements!$B:$B,'Live Collections'!D283,Disbursements!$D:$D,'Live Collections'!F283)),O745,IF($O745=0,0,SUMIFS(Disbursements!$W:$W,Disbursements!$B:$B,'Live Collections'!D283,Disbursements!$D:$D,'Live Collections'!F283)))</f>
        <v>30000</v>
      </c>
      <c r="T745" s="304">
        <f t="shared" si="36"/>
        <v>0</v>
      </c>
      <c r="U745" s="52"/>
      <c r="V745" s="34"/>
      <c r="W745" s="408"/>
    </row>
    <row r="746" spans="1:23" ht="12.75" customHeight="1" x14ac:dyDescent="0.2">
      <c r="A746" s="132">
        <v>753</v>
      </c>
      <c r="B746" s="44">
        <v>44438</v>
      </c>
      <c r="C746" s="44">
        <f t="shared" si="34"/>
        <v>44438</v>
      </c>
      <c r="D746" s="374">
        <v>31</v>
      </c>
      <c r="E746" s="291" t="str">
        <f>IFERROR(VLOOKUP($D746,'Clients-Live'!$A:$C,3,0),"")</f>
        <v>MUNDURU HARRIET</v>
      </c>
      <c r="F746" s="291">
        <f>IFERROR(INDEX(Disbursements!$D:$D,MATCH('Live Collections'!G746,Disbursements!$C:$C,0)),"")</f>
        <v>1</v>
      </c>
      <c r="G746" s="34">
        <v>16</v>
      </c>
      <c r="H746" s="34"/>
      <c r="I746" s="34" t="s">
        <v>1357</v>
      </c>
      <c r="J746" s="48"/>
      <c r="K746" s="48"/>
      <c r="L746" s="48"/>
      <c r="M746" s="48"/>
      <c r="N746" s="59"/>
      <c r="O746" s="59">
        <v>10000</v>
      </c>
      <c r="P746" s="59"/>
      <c r="Q746" s="268">
        <f t="shared" si="35"/>
        <v>10000</v>
      </c>
      <c r="R746" s="61">
        <f>IF(O746=0,0,SUMIFS(Disbursements!$T:$T,Disbursements!$B:$B,'Live Collections'!D746,Disbursements!$D:$D,'Live Collections'!F746))</f>
        <v>125000</v>
      </c>
      <c r="S746" s="304">
        <f>IF(O746&lt;=IF($O746=0,0,SUMIFS(Disbursements!$W:$W,Disbursements!$B:$B,'Live Collections'!D353,Disbursements!$D:$D,'Live Collections'!F353)),O746,IF($O746=0,0,SUMIFS(Disbursements!$W:$W,Disbursements!$B:$B,'Live Collections'!D353,Disbursements!$D:$D,'Live Collections'!F353)))</f>
        <v>10000</v>
      </c>
      <c r="T746" s="304">
        <f t="shared" si="36"/>
        <v>0</v>
      </c>
      <c r="U746" s="52"/>
      <c r="V746" s="34"/>
      <c r="W746" s="408"/>
    </row>
    <row r="747" spans="1:23" ht="12.75" customHeight="1" x14ac:dyDescent="0.2">
      <c r="A747" s="257">
        <v>752</v>
      </c>
      <c r="B747" s="44">
        <v>44438</v>
      </c>
      <c r="C747" s="44">
        <f t="shared" si="34"/>
        <v>44438</v>
      </c>
      <c r="D747" s="374">
        <v>32</v>
      </c>
      <c r="E747" s="291" t="str">
        <f>IFERROR(VLOOKUP($D747,'Clients-Live'!$A:$C,3,0),"")</f>
        <v>BAKO LINA ESERU</v>
      </c>
      <c r="F747" s="291">
        <f>IFERROR(INDEX(Disbursements!$D:$D,MATCH('Live Collections'!G747,Disbursements!$C:$C,0)),"")</f>
        <v>1</v>
      </c>
      <c r="G747" s="34">
        <v>15</v>
      </c>
      <c r="H747" s="34"/>
      <c r="I747" s="34" t="s">
        <v>1359</v>
      </c>
      <c r="J747" s="48"/>
      <c r="K747" s="48"/>
      <c r="L747" s="48"/>
      <c r="M747" s="48"/>
      <c r="N747" s="59"/>
      <c r="O747" s="59">
        <v>125000</v>
      </c>
      <c r="P747" s="59"/>
      <c r="Q747" s="268">
        <f t="shared" si="35"/>
        <v>125000</v>
      </c>
      <c r="R747" s="61">
        <f>IF(O747=0,0,SUMIFS(Disbursements!$T:$T,Disbursements!$B:$B,'Live Collections'!D747,Disbursements!$D:$D,'Live Collections'!F747))</f>
        <v>125000</v>
      </c>
      <c r="S747" s="304">
        <f>IF(O747&lt;=IF($O747=0,0,SUMIFS(Disbursements!$W:$W,Disbursements!$B:$B,'Live Collections'!D366,Disbursements!$D:$D,'Live Collections'!F366)),O747,IF($O747=0,0,SUMIFS(Disbursements!$W:$W,Disbursements!$B:$B,'Live Collections'!D366,Disbursements!$D:$D,'Live Collections'!F366)))</f>
        <v>25666.666666666672</v>
      </c>
      <c r="T747" s="304">
        <f t="shared" si="36"/>
        <v>99333.333333333328</v>
      </c>
      <c r="U747" s="52"/>
      <c r="V747" s="34"/>
      <c r="W747" s="408"/>
    </row>
    <row r="748" spans="1:23" ht="12.75" customHeight="1" x14ac:dyDescent="0.2">
      <c r="A748" s="132">
        <v>761</v>
      </c>
      <c r="B748" s="44">
        <v>44438</v>
      </c>
      <c r="C748" s="44">
        <f t="shared" si="34"/>
        <v>44438</v>
      </c>
      <c r="D748" s="374">
        <v>37</v>
      </c>
      <c r="E748" s="291" t="str">
        <f>IFERROR(VLOOKUP($D748,'Clients-Live'!$A:$C,3,0),"")</f>
        <v>WANDWALI AMISI</v>
      </c>
      <c r="F748" s="291">
        <f>IFERROR(INDEX(Disbursements!$D:$D,MATCH('Live Collections'!G748,Disbursements!$C:$C,0)),"")</f>
        <v>1</v>
      </c>
      <c r="G748" s="34">
        <v>21</v>
      </c>
      <c r="H748" s="34"/>
      <c r="I748" s="34" t="s">
        <v>1357</v>
      </c>
      <c r="J748" s="48"/>
      <c r="K748" s="48"/>
      <c r="L748" s="48"/>
      <c r="M748" s="48"/>
      <c r="N748" s="59"/>
      <c r="O748" s="59">
        <v>80000</v>
      </c>
      <c r="P748" s="59"/>
      <c r="Q748" s="268">
        <f t="shared" si="35"/>
        <v>80000</v>
      </c>
      <c r="R748" s="61">
        <f>IF(O748=0,0,SUMIFS(Disbursements!$T:$T,Disbursements!$B:$B,'Live Collections'!D748,Disbursements!$D:$D,'Live Collections'!F748))</f>
        <v>1075000</v>
      </c>
      <c r="S748" s="64">
        <v>-20333.333333333328</v>
      </c>
      <c r="T748" s="304">
        <f t="shared" si="36"/>
        <v>100333.33333333333</v>
      </c>
      <c r="U748" s="52"/>
      <c r="V748" s="34"/>
      <c r="W748" s="408" t="s">
        <v>2093</v>
      </c>
    </row>
    <row r="749" spans="1:23" ht="12.75" customHeight="1" x14ac:dyDescent="0.2">
      <c r="A749" s="257">
        <v>748</v>
      </c>
      <c r="B749" s="44">
        <v>44438</v>
      </c>
      <c r="C749" s="44">
        <f t="shared" si="34"/>
        <v>44438</v>
      </c>
      <c r="D749" s="374">
        <v>46</v>
      </c>
      <c r="E749" s="291" t="str">
        <f>IFERROR(VLOOKUP($D749,'Clients-Live'!$A:$C,3,0),"")</f>
        <v>ALIO YUDA</v>
      </c>
      <c r="F749" s="291">
        <f>IFERROR(INDEX(Disbursements!$D:$D,MATCH('Live Collections'!G749,Disbursements!$C:$C,0)),"")</f>
        <v>1</v>
      </c>
      <c r="G749" s="34">
        <v>35</v>
      </c>
      <c r="H749" s="34"/>
      <c r="I749" s="34" t="s">
        <v>1357</v>
      </c>
      <c r="J749" s="48"/>
      <c r="K749" s="48"/>
      <c r="L749" s="48"/>
      <c r="M749" s="48"/>
      <c r="N749" s="59"/>
      <c r="O749" s="59">
        <v>100000</v>
      </c>
      <c r="P749" s="59"/>
      <c r="Q749" s="268">
        <f t="shared" si="35"/>
        <v>100000</v>
      </c>
      <c r="R749" s="61">
        <f>IF(O749=0,0,SUMIFS(Disbursements!$T:$T,Disbursements!$B:$B,'Live Collections'!D749,Disbursements!$D:$D,'Live Collections'!F749))</f>
        <v>325000</v>
      </c>
      <c r="S749" s="304">
        <f>IF(O749&lt;=IF($O749=0,0,SUMIFS(Disbursements!$W:$W,Disbursements!$B:$B,'Live Collections'!D517,Disbursements!$D:$D,'Live Collections'!F517)),O749,IF($O749=0,0,SUMIFS(Disbursements!$W:$W,Disbursements!$B:$B,'Live Collections'!D517,Disbursements!$D:$D,'Live Collections'!F517)))</f>
        <v>25000</v>
      </c>
      <c r="T749" s="304">
        <f t="shared" si="36"/>
        <v>75000</v>
      </c>
      <c r="U749" s="52"/>
      <c r="V749" s="34"/>
      <c r="W749" s="408"/>
    </row>
    <row r="750" spans="1:23" ht="12.75" customHeight="1" x14ac:dyDescent="0.2">
      <c r="A750" s="132">
        <v>749</v>
      </c>
      <c r="B750" s="44">
        <v>44438</v>
      </c>
      <c r="C750" s="44">
        <f t="shared" si="34"/>
        <v>44438</v>
      </c>
      <c r="D750" s="374">
        <v>60</v>
      </c>
      <c r="E750" s="291" t="str">
        <f>IFERROR(VLOOKUP($D750,'Clients-Live'!$A:$C,3,0),"")</f>
        <v>MATURU ALICE</v>
      </c>
      <c r="F750" s="291">
        <f>IFERROR(INDEX(Disbursements!$D:$D,MATCH('Live Collections'!G750,Disbursements!$C:$C,0)),"")</f>
        <v>1</v>
      </c>
      <c r="G750" s="34">
        <v>60</v>
      </c>
      <c r="H750" s="34"/>
      <c r="I750" s="34" t="s">
        <v>1358</v>
      </c>
      <c r="J750" s="48"/>
      <c r="K750" s="48"/>
      <c r="L750" s="48"/>
      <c r="M750" s="48"/>
      <c r="N750" s="59"/>
      <c r="O750" s="59">
        <v>240000</v>
      </c>
      <c r="P750" s="59"/>
      <c r="Q750" s="268">
        <f t="shared" si="35"/>
        <v>240000</v>
      </c>
      <c r="R750" s="61">
        <f>IF(O750=0,0,SUMIFS(Disbursements!$T:$T,Disbursements!$B:$B,'Live Collections'!D750,Disbursements!$D:$D,'Live Collections'!F750))</f>
        <v>120000</v>
      </c>
      <c r="S750" s="64">
        <v>24333.333333333343</v>
      </c>
      <c r="T750" s="304">
        <f t="shared" si="36"/>
        <v>215666.66666666666</v>
      </c>
      <c r="U750" s="52"/>
      <c r="V750" s="34"/>
      <c r="W750" s="408" t="s">
        <v>2086</v>
      </c>
    </row>
    <row r="751" spans="1:23" ht="12.75" customHeight="1" x14ac:dyDescent="0.2">
      <c r="A751" s="257">
        <v>742</v>
      </c>
      <c r="B751" s="44">
        <v>44438</v>
      </c>
      <c r="C751" s="44">
        <f t="shared" si="34"/>
        <v>44438</v>
      </c>
      <c r="D751" s="374">
        <v>86</v>
      </c>
      <c r="E751" s="291" t="str">
        <f>IFERROR(VLOOKUP($D751,'Clients-Live'!$A:$C,3,0),"")</f>
        <v>AMANIYO JOYCE</v>
      </c>
      <c r="F751" s="291">
        <f>IFERROR(INDEX(Disbursements!$D:$D,MATCH('Live Collections'!G751,Disbursements!$C:$C,0)),"")</f>
        <v>1</v>
      </c>
      <c r="G751" s="34">
        <v>73</v>
      </c>
      <c r="H751" s="34"/>
      <c r="I751" s="34" t="s">
        <v>1358</v>
      </c>
      <c r="J751" s="48"/>
      <c r="K751" s="48"/>
      <c r="L751" s="48"/>
      <c r="M751" s="48"/>
      <c r="N751" s="59"/>
      <c r="O751" s="59">
        <v>40000</v>
      </c>
      <c r="P751" s="59"/>
      <c r="Q751" s="268">
        <f t="shared" si="35"/>
        <v>40000</v>
      </c>
      <c r="R751" s="61">
        <f>IF(O751=0,0,SUMIFS(Disbursements!$T:$T,Disbursements!$B:$B,'Live Collections'!D751,Disbursements!$D:$D,'Live Collections'!F751))</f>
        <v>150000</v>
      </c>
      <c r="S751" s="304">
        <f>IF(O751&lt;=IF($O751=0,0,SUMIFS(Disbursements!$W:$W,Disbursements!$B:$B,'Live Collections'!D1671,Disbursements!$D:$D,'Live Collections'!F1671)),O751,IF($O751=0,0,SUMIFS(Disbursements!$W:$W,Disbursements!$B:$B,'Live Collections'!D1671,Disbursements!$D:$D,'Live Collections'!F1671)))</f>
        <v>0</v>
      </c>
      <c r="T751" s="304">
        <f t="shared" si="36"/>
        <v>40000</v>
      </c>
      <c r="U751" s="52"/>
      <c r="V751" s="34"/>
      <c r="W751" s="408"/>
    </row>
    <row r="752" spans="1:23" ht="12.75" customHeight="1" x14ac:dyDescent="0.2">
      <c r="A752" s="132">
        <v>757</v>
      </c>
      <c r="B752" s="44">
        <v>44438</v>
      </c>
      <c r="C752" s="44">
        <f t="shared" si="34"/>
        <v>44438</v>
      </c>
      <c r="D752" s="374">
        <v>92</v>
      </c>
      <c r="E752" s="291" t="str">
        <f>IFERROR(VLOOKUP($D752,'Clients-Live'!$A:$C,3,0),"")</f>
        <v>FAIDA ZAKIYA</v>
      </c>
      <c r="F752" s="291">
        <f>IFERROR(INDEX(Disbursements!$D:$D,MATCH('Live Collections'!G752,Disbursements!$C:$C,0)),"")</f>
        <v>1</v>
      </c>
      <c r="G752" s="34">
        <v>74</v>
      </c>
      <c r="H752" s="34"/>
      <c r="I752" s="34" t="s">
        <v>1358</v>
      </c>
      <c r="J752" s="48"/>
      <c r="K752" s="48"/>
      <c r="L752" s="48"/>
      <c r="M752" s="48"/>
      <c r="N752" s="59"/>
      <c r="O752" s="59">
        <v>60000</v>
      </c>
      <c r="P752" s="59"/>
      <c r="Q752" s="268">
        <f t="shared" si="35"/>
        <v>60000</v>
      </c>
      <c r="R752" s="61">
        <f>IF(O752=0,0,SUMIFS(Disbursements!$T:$T,Disbursements!$B:$B,'Live Collections'!D752,Disbursements!$D:$D,'Live Collections'!F752))</f>
        <v>175000</v>
      </c>
      <c r="S752" s="304">
        <f>IF(O752&lt;=IF($O752=0,0,SUMIFS(Disbursements!$W:$W,Disbursements!$B:$B,'Live Collections'!D1198,Disbursements!$D:$D,'Live Collections'!F1198)),O752,IF($O752=0,0,SUMIFS(Disbursements!$W:$W,Disbursements!$B:$B,'Live Collections'!D1198,Disbursements!$D:$D,'Live Collections'!F1198)))</f>
        <v>60000</v>
      </c>
      <c r="T752" s="304">
        <f t="shared" si="36"/>
        <v>0</v>
      </c>
      <c r="U752" s="52"/>
      <c r="V752" s="34"/>
      <c r="W752" s="408"/>
    </row>
    <row r="753" spans="1:23" ht="12.75" customHeight="1" x14ac:dyDescent="0.2">
      <c r="A753" s="257">
        <v>747</v>
      </c>
      <c r="B753" s="44">
        <v>44438</v>
      </c>
      <c r="C753" s="44">
        <f t="shared" si="34"/>
        <v>44438</v>
      </c>
      <c r="D753" s="374">
        <v>103</v>
      </c>
      <c r="E753" s="291" t="str">
        <f>IFERROR(VLOOKUP($D753,'Clients-Live'!$A:$C,3,0),"")</f>
        <v>CHANDIRU ZABIB</v>
      </c>
      <c r="F753" s="291">
        <f>IFERROR(INDEX(Disbursements!$D:$D,MATCH('Live Collections'!G753,Disbursements!$C:$C,0)),"")</f>
        <v>1</v>
      </c>
      <c r="G753" s="34">
        <v>88</v>
      </c>
      <c r="H753" s="34"/>
      <c r="I753" s="34" t="s">
        <v>1358</v>
      </c>
      <c r="J753" s="48"/>
      <c r="K753" s="48"/>
      <c r="L753" s="48"/>
      <c r="M753" s="48"/>
      <c r="N753" s="59"/>
      <c r="O753" s="59">
        <v>110000</v>
      </c>
      <c r="P753" s="59"/>
      <c r="Q753" s="268">
        <f t="shared" si="35"/>
        <v>110000</v>
      </c>
      <c r="R753" s="61">
        <f>IF(O753=0,0,SUMIFS(Disbursements!$T:$T,Disbursements!$B:$B,'Live Collections'!D753,Disbursements!$D:$D,'Live Collections'!F753))</f>
        <v>120000</v>
      </c>
      <c r="S753" s="304">
        <f>IF(O753&lt;=IF($O753=0,0,SUMIFS(Disbursements!$W:$W,Disbursements!$B:$B,'Live Collections'!D1323,Disbursements!$D:$D,'Live Collections'!F1323)),O753,IF($O753=0,0,SUMIFS(Disbursements!$W:$W,Disbursements!$B:$B,'Live Collections'!D1323,Disbursements!$D:$D,'Live Collections'!F1323)))</f>
        <v>0</v>
      </c>
      <c r="T753" s="304">
        <f t="shared" si="36"/>
        <v>110000</v>
      </c>
      <c r="U753" s="52"/>
      <c r="V753" s="34"/>
      <c r="W753" s="408"/>
    </row>
    <row r="754" spans="1:23" ht="12.75" customHeight="1" x14ac:dyDescent="0.2">
      <c r="A754" s="132">
        <v>755</v>
      </c>
      <c r="B754" s="44">
        <v>44438</v>
      </c>
      <c r="C754" s="44">
        <f t="shared" si="34"/>
        <v>44438</v>
      </c>
      <c r="D754" s="374">
        <v>104</v>
      </c>
      <c r="E754" s="291" t="str">
        <f>IFERROR(VLOOKUP($D754,'Clients-Live'!$A:$C,3,0),"")</f>
        <v>IDIRA ALIMA</v>
      </c>
      <c r="F754" s="291">
        <f>IFERROR(INDEX(Disbursements!$D:$D,MATCH('Live Collections'!G754,Disbursements!$C:$C,0)),"")</f>
        <v>1</v>
      </c>
      <c r="G754" s="34">
        <v>86</v>
      </c>
      <c r="H754" s="34"/>
      <c r="I754" s="34" t="s">
        <v>1359</v>
      </c>
      <c r="J754" s="48"/>
      <c r="K754" s="48"/>
      <c r="L754" s="48"/>
      <c r="M754" s="48"/>
      <c r="N754" s="59"/>
      <c r="O754" s="59">
        <v>130000</v>
      </c>
      <c r="P754" s="59"/>
      <c r="Q754" s="268">
        <f t="shared" si="35"/>
        <v>130000</v>
      </c>
      <c r="R754" s="61">
        <f>IF(O754=0,0,SUMIFS(Disbursements!$T:$T,Disbursements!$B:$B,'Live Collections'!D754,Disbursements!$D:$D,'Live Collections'!F754))</f>
        <v>150000</v>
      </c>
      <c r="S754" s="304">
        <f>IF(O754&lt;=IF($O754=0,0,SUMIFS(Disbursements!$W:$W,Disbursements!$B:$B,'Live Collections'!D1340,Disbursements!$D:$D,'Live Collections'!F1340)),O754,IF($O754=0,0,SUMIFS(Disbursements!$W:$W,Disbursements!$B:$B,'Live Collections'!D1340,Disbursements!$D:$D,'Live Collections'!F1340)))</f>
        <v>0</v>
      </c>
      <c r="T754" s="304">
        <f t="shared" si="36"/>
        <v>130000</v>
      </c>
      <c r="U754" s="52"/>
      <c r="V754" s="34"/>
      <c r="W754" s="408"/>
    </row>
    <row r="755" spans="1:23" ht="12.75" customHeight="1" x14ac:dyDescent="0.2">
      <c r="A755" s="257">
        <v>756</v>
      </c>
      <c r="B755" s="44">
        <v>44438</v>
      </c>
      <c r="C755" s="44">
        <f t="shared" si="34"/>
        <v>44438</v>
      </c>
      <c r="D755" s="374">
        <v>105</v>
      </c>
      <c r="E755" s="291" t="str">
        <f>IFERROR(VLOOKUP($D755,'Clients-Live'!$A:$C,3,0),"")</f>
        <v>NUKA ROSE</v>
      </c>
      <c r="F755" s="291">
        <f>IFERROR(INDEX(Disbursements!$D:$D,MATCH('Live Collections'!G755,Disbursements!$C:$C,0)),"")</f>
        <v>1</v>
      </c>
      <c r="G755" s="34">
        <v>85</v>
      </c>
      <c r="H755" s="34"/>
      <c r="I755" s="34" t="s">
        <v>1359</v>
      </c>
      <c r="J755" s="48"/>
      <c r="K755" s="48"/>
      <c r="L755" s="48"/>
      <c r="M755" s="48"/>
      <c r="N755" s="59"/>
      <c r="O755" s="59">
        <v>90000</v>
      </c>
      <c r="P755" s="59"/>
      <c r="Q755" s="268">
        <f t="shared" si="35"/>
        <v>90000</v>
      </c>
      <c r="R755" s="61">
        <f>IF(O755=0,0,SUMIFS(Disbursements!$T:$T,Disbursements!$B:$B,'Live Collections'!D755,Disbursements!$D:$D,'Live Collections'!F755))</f>
        <v>90000</v>
      </c>
      <c r="S755" s="64">
        <v>15000</v>
      </c>
      <c r="T755" s="304">
        <f t="shared" si="36"/>
        <v>75000</v>
      </c>
      <c r="U755" s="52"/>
      <c r="V755" s="34"/>
      <c r="W755" s="408"/>
    </row>
    <row r="756" spans="1:23" ht="12.75" customHeight="1" x14ac:dyDescent="0.2">
      <c r="A756" s="132">
        <v>746</v>
      </c>
      <c r="B756" s="44">
        <v>44438</v>
      </c>
      <c r="C756" s="44">
        <f t="shared" si="34"/>
        <v>44438</v>
      </c>
      <c r="D756" s="374">
        <v>109</v>
      </c>
      <c r="E756" s="291" t="str">
        <f>IFERROR(VLOOKUP($D756,'Clients-Live'!$A:$C,3,0),"")</f>
        <v>TABU KISA</v>
      </c>
      <c r="F756" s="291">
        <f>IFERROR(INDEX(Disbursements!$D:$D,MATCH('Live Collections'!G756,Disbursements!$C:$C,0)),"")</f>
        <v>1</v>
      </c>
      <c r="G756" s="34">
        <v>93</v>
      </c>
      <c r="H756" s="34"/>
      <c r="I756" s="34" t="s">
        <v>1357</v>
      </c>
      <c r="J756" s="48"/>
      <c r="K756" s="48"/>
      <c r="L756" s="48"/>
      <c r="M756" s="48"/>
      <c r="N756" s="59"/>
      <c r="O756" s="59">
        <v>15000</v>
      </c>
      <c r="P756" s="59"/>
      <c r="Q756" s="268">
        <f t="shared" si="35"/>
        <v>15000</v>
      </c>
      <c r="R756" s="61">
        <f>IF(O756=0,0,SUMIFS(Disbursements!$T:$T,Disbursements!$B:$B,'Live Collections'!D756,Disbursements!$D:$D,'Live Collections'!F756))</f>
        <v>315000</v>
      </c>
      <c r="S756" s="304">
        <f>IF(O756&lt;=IF($O756=0,0,SUMIFS(Disbursements!$W:$W,Disbursements!$B:$B,'Live Collections'!D1400,Disbursements!$D:$D,'Live Collections'!F1400)),O756,IF($O756=0,0,SUMIFS(Disbursements!$W:$W,Disbursements!$B:$B,'Live Collections'!D1400,Disbursements!$D:$D,'Live Collections'!F1400)))</f>
        <v>0</v>
      </c>
      <c r="T756" s="304">
        <f t="shared" si="36"/>
        <v>15000</v>
      </c>
      <c r="U756" s="52"/>
      <c r="V756" s="34"/>
      <c r="W756" s="408"/>
    </row>
    <row r="757" spans="1:23" ht="12.75" customHeight="1" x14ac:dyDescent="0.2">
      <c r="A757" s="257">
        <v>745</v>
      </c>
      <c r="B757" s="44">
        <v>44438</v>
      </c>
      <c r="C757" s="44">
        <f t="shared" si="34"/>
        <v>44438</v>
      </c>
      <c r="D757" s="374">
        <v>116</v>
      </c>
      <c r="E757" s="291" t="str">
        <f>IFERROR(VLOOKUP($D757,'Clients-Live'!$A:$C,3,0),"")</f>
        <v>ONZIA LUCY</v>
      </c>
      <c r="F757" s="291">
        <f>IFERROR(INDEX(Disbursements!$D:$D,MATCH('Live Collections'!G757,Disbursements!$C:$C,0)),"")</f>
        <v>1</v>
      </c>
      <c r="G757" s="34">
        <v>95</v>
      </c>
      <c r="H757" s="34"/>
      <c r="I757" s="34" t="s">
        <v>1357</v>
      </c>
      <c r="J757" s="48"/>
      <c r="K757" s="48"/>
      <c r="L757" s="48"/>
      <c r="M757" s="48"/>
      <c r="N757" s="59"/>
      <c r="O757" s="59">
        <v>20000</v>
      </c>
      <c r="P757" s="59"/>
      <c r="Q757" s="268">
        <f t="shared" si="35"/>
        <v>20000</v>
      </c>
      <c r="R757" s="61">
        <f>IF(O757=0,0,SUMIFS(Disbursements!$T:$T,Disbursements!$B:$B,'Live Collections'!D757,Disbursements!$D:$D,'Live Collections'!F757))</f>
        <v>20000</v>
      </c>
      <c r="S757" s="304"/>
      <c r="T757" s="304">
        <f t="shared" si="36"/>
        <v>20000</v>
      </c>
      <c r="U757" s="52"/>
      <c r="V757" s="34"/>
      <c r="W757" s="408"/>
    </row>
    <row r="758" spans="1:23" ht="12.75" customHeight="1" x14ac:dyDescent="0.2">
      <c r="A758" s="132">
        <v>743</v>
      </c>
      <c r="B758" s="44">
        <v>44438</v>
      </c>
      <c r="C758" s="44">
        <f t="shared" si="34"/>
        <v>44438</v>
      </c>
      <c r="D758" s="374">
        <v>126</v>
      </c>
      <c r="E758" s="291" t="str">
        <f>IFERROR(VLOOKUP($D758,'Clients-Live'!$A:$C,3,0),"")</f>
        <v>OGWAL STEPHEN GERALD</v>
      </c>
      <c r="F758" s="291">
        <f>IFERROR(INDEX(Disbursements!$D:$D,MATCH('Live Collections'!G758,Disbursements!$C:$C,0)),"")</f>
        <v>2</v>
      </c>
      <c r="G758" s="34">
        <v>137</v>
      </c>
      <c r="H758" s="34"/>
      <c r="I758" s="34" t="s">
        <v>1359</v>
      </c>
      <c r="J758" s="48"/>
      <c r="K758" s="48"/>
      <c r="L758" s="48"/>
      <c r="M758" s="48"/>
      <c r="N758" s="59"/>
      <c r="O758" s="59">
        <v>612500</v>
      </c>
      <c r="P758" s="59"/>
      <c r="Q758" s="268">
        <f t="shared" si="35"/>
        <v>612500</v>
      </c>
      <c r="R758" s="61">
        <f>IF(O758=0,0,SUMIFS(Disbursements!$T:$T,Disbursements!$B:$B,'Live Collections'!D758,Disbursements!$D:$D,'Live Collections'!F758))</f>
        <v>613000</v>
      </c>
      <c r="S758" s="304">
        <f>IF(O758&lt;=IF($O758=0,0,SUMIFS(Disbursements!$W:$W,Disbursements!$B:$B,'Live Collections'!D1599,Disbursements!$D:$D,'Live Collections'!F1599)),O758,IF($O758=0,0,SUMIFS(Disbursements!$W:$W,Disbursements!$B:$B,'Live Collections'!D1599,Disbursements!$D:$D,'Live Collections'!F1599)))</f>
        <v>50000</v>
      </c>
      <c r="T758" s="304">
        <f t="shared" si="36"/>
        <v>562500</v>
      </c>
      <c r="U758" s="52"/>
      <c r="V758" s="34"/>
      <c r="W758" s="408"/>
    </row>
    <row r="759" spans="1:23" ht="12.75" customHeight="1" x14ac:dyDescent="0.2">
      <c r="A759" s="257">
        <v>759</v>
      </c>
      <c r="B759" s="44">
        <v>44438</v>
      </c>
      <c r="C759" s="44">
        <f t="shared" si="34"/>
        <v>44438</v>
      </c>
      <c r="D759" s="374">
        <v>146</v>
      </c>
      <c r="E759" s="291" t="str">
        <f>IFERROR(VLOOKUP($D759,'Clients-Live'!$A:$C,3,0),"")</f>
        <v>IMBIRA AISHA</v>
      </c>
      <c r="F759" s="291">
        <f>IFERROR(INDEX(Disbursements!$D:$D,MATCH('Live Collections'!G759,Disbursements!$C:$C,0)),"")</f>
        <v>1</v>
      </c>
      <c r="G759" s="34">
        <v>133</v>
      </c>
      <c r="H759" s="34">
        <v>1193</v>
      </c>
      <c r="I759" s="34" t="s">
        <v>1357</v>
      </c>
      <c r="J759" s="48"/>
      <c r="K759" s="48"/>
      <c r="L759" s="48"/>
      <c r="M759" s="48"/>
      <c r="N759" s="59"/>
      <c r="O759" s="59">
        <v>40000</v>
      </c>
      <c r="P759" s="59"/>
      <c r="Q759" s="268">
        <f t="shared" si="35"/>
        <v>40000</v>
      </c>
      <c r="R759" s="61">
        <f>IF(O759=0,0,SUMIFS(Disbursements!$T:$T,Disbursements!$B:$B,'Live Collections'!D759,Disbursements!$D:$D,'Live Collections'!F759))</f>
        <v>120000</v>
      </c>
      <c r="S759" s="304">
        <f>IF(O759&lt;=IF($O759=0,0,SUMIFS(Disbursements!$W:$W,Disbursements!$B:$B,'Live Collections'!D1842,Disbursements!$D:$D,'Live Collections'!F1842)),O759,IF($O759=0,0,SUMIFS(Disbursements!$W:$W,Disbursements!$B:$B,'Live Collections'!D1842,Disbursements!$D:$D,'Live Collections'!F1842)))</f>
        <v>35000</v>
      </c>
      <c r="T759" s="304">
        <f t="shared" si="36"/>
        <v>5000</v>
      </c>
      <c r="U759" s="52"/>
      <c r="V759" s="34"/>
      <c r="W759" s="408"/>
    </row>
    <row r="760" spans="1:23" ht="12.75" customHeight="1" x14ac:dyDescent="0.2">
      <c r="A760" s="132">
        <v>758</v>
      </c>
      <c r="B760" s="44">
        <v>44438</v>
      </c>
      <c r="C760" s="44">
        <f t="shared" si="34"/>
        <v>44438</v>
      </c>
      <c r="D760" s="374">
        <v>147</v>
      </c>
      <c r="E760" s="291" t="str">
        <f>IFERROR(VLOOKUP($D760,'Clients-Live'!$A:$C,3,0),"")</f>
        <v>DRICIRU MARGRET</v>
      </c>
      <c r="F760" s="291">
        <f>IFERROR(INDEX(Disbursements!$D:$D,MATCH('Live Collections'!G760,Disbursements!$C:$C,0)),"")</f>
        <v>1</v>
      </c>
      <c r="G760" s="34">
        <v>130</v>
      </c>
      <c r="H760" s="34"/>
      <c r="I760" s="34" t="s">
        <v>1359</v>
      </c>
      <c r="J760" s="48"/>
      <c r="K760" s="48"/>
      <c r="L760" s="48"/>
      <c r="M760" s="48"/>
      <c r="N760" s="59"/>
      <c r="O760" s="59">
        <v>460000</v>
      </c>
      <c r="P760" s="59"/>
      <c r="Q760" s="268">
        <f t="shared" si="35"/>
        <v>460000</v>
      </c>
      <c r="R760" s="61">
        <f>IF(O760=0,0,SUMIFS(Disbursements!$T:$T,Disbursements!$B:$B,'Live Collections'!D760,Disbursements!$D:$D,'Live Collections'!F760))</f>
        <v>230000</v>
      </c>
      <c r="S760" s="304">
        <v>75000</v>
      </c>
      <c r="T760" s="304">
        <f t="shared" si="36"/>
        <v>385000</v>
      </c>
      <c r="U760" s="52"/>
      <c r="V760" s="34"/>
      <c r="W760" s="408"/>
    </row>
    <row r="761" spans="1:23" ht="12.75" customHeight="1" x14ac:dyDescent="0.2">
      <c r="A761" s="257">
        <v>744</v>
      </c>
      <c r="B761" s="44">
        <v>44438</v>
      </c>
      <c r="C761" s="44">
        <f t="shared" si="34"/>
        <v>44438</v>
      </c>
      <c r="D761" s="374">
        <v>149</v>
      </c>
      <c r="E761" s="291" t="str">
        <f>IFERROR(VLOOKUP($D761,'Clients-Live'!$A:$C,3,0),"")</f>
        <v>SIKA AMIDRA</v>
      </c>
      <c r="F761" s="291">
        <f>IFERROR(INDEX(Disbursements!$D:$D,MATCH('Live Collections'!G761,Disbursements!$C:$C,0)),"")</f>
        <v>1</v>
      </c>
      <c r="G761" s="34">
        <v>141</v>
      </c>
      <c r="H761" s="34"/>
      <c r="I761" s="34" t="s">
        <v>1358</v>
      </c>
      <c r="J761" s="48"/>
      <c r="K761" s="48"/>
      <c r="L761" s="48"/>
      <c r="M761" s="48"/>
      <c r="N761" s="59"/>
      <c r="O761" s="59">
        <v>50000</v>
      </c>
      <c r="P761" s="59"/>
      <c r="Q761" s="268">
        <f t="shared" si="35"/>
        <v>50000</v>
      </c>
      <c r="R761" s="61">
        <f>IF(O761=0,0,SUMIFS(Disbursements!$T:$T,Disbursements!$B:$B,'Live Collections'!D761,Disbursements!$D:$D,'Live Collections'!F761))</f>
        <v>30000</v>
      </c>
      <c r="S761" s="304">
        <f>IF(O761&lt;=IF($O761=0,0,SUMIFS(Disbursements!$W:$W,Disbursements!$B:$B,'Live Collections'!D1884,Disbursements!$D:$D,'Live Collections'!F1884)),O761,IF($O761=0,0,SUMIFS(Disbursements!$W:$W,Disbursements!$B:$B,'Live Collections'!D1884,Disbursements!$D:$D,'Live Collections'!F1884)))</f>
        <v>50000</v>
      </c>
      <c r="T761" s="304">
        <f t="shared" si="36"/>
        <v>0</v>
      </c>
      <c r="U761" s="52"/>
      <c r="V761" s="34"/>
      <c r="W761" s="408"/>
    </row>
    <row r="762" spans="1:23" ht="12.75" customHeight="1" x14ac:dyDescent="0.2">
      <c r="A762" s="132">
        <v>736</v>
      </c>
      <c r="B762" s="44">
        <v>44438</v>
      </c>
      <c r="C762" s="44">
        <f t="shared" si="34"/>
        <v>44438</v>
      </c>
      <c r="D762" s="374">
        <v>151</v>
      </c>
      <c r="E762" s="291" t="str">
        <f>IFERROR(VLOOKUP($D762,'Clients-Live'!$A:$C,3,0),"")</f>
        <v>MORRO HASSAN</v>
      </c>
      <c r="F762" s="291">
        <f>IFERROR(INDEX(Disbursements!$D:$D,MATCH('Live Collections'!G762,Disbursements!$C:$C,0)),"")</f>
        <v>2</v>
      </c>
      <c r="G762" s="34">
        <v>193</v>
      </c>
      <c r="H762" s="34"/>
      <c r="I762" s="34" t="s">
        <v>862</v>
      </c>
      <c r="J762" s="48"/>
      <c r="K762" s="48"/>
      <c r="L762" s="48">
        <v>20000</v>
      </c>
      <c r="M762" s="48">
        <v>5000</v>
      </c>
      <c r="N762" s="59"/>
      <c r="O762" s="59"/>
      <c r="P762" s="59">
        <v>200000</v>
      </c>
      <c r="Q762" s="268">
        <f t="shared" si="35"/>
        <v>225000</v>
      </c>
      <c r="R762" s="61">
        <f>IF(O762=0,0,SUMIFS(Disbursements!$T:$T,Disbursements!$B:$B,'Live Collections'!D762,Disbursements!$D:$D,'Live Collections'!F762))</f>
        <v>0</v>
      </c>
      <c r="S762" s="304">
        <f>IF(O762&lt;=IF($O762=0,0,SUMIFS(Disbursements!$W:$W,Disbursements!$B:$B,'Live Collections'!D1896,Disbursements!$D:$D,'Live Collections'!F1896)),O762,IF($O762=0,0,SUMIFS(Disbursements!$W:$W,Disbursements!$B:$B,'Live Collections'!D1896,Disbursements!$D:$D,'Live Collections'!F1896)))</f>
        <v>0</v>
      </c>
      <c r="T762" s="304">
        <f t="shared" si="36"/>
        <v>0</v>
      </c>
      <c r="U762" s="52"/>
      <c r="V762" s="34"/>
      <c r="W762" s="408"/>
    </row>
    <row r="763" spans="1:23" ht="12.75" customHeight="1" x14ac:dyDescent="0.2">
      <c r="A763" s="257">
        <v>750</v>
      </c>
      <c r="B763" s="44">
        <v>44438</v>
      </c>
      <c r="C763" s="44">
        <f t="shared" si="34"/>
        <v>44438</v>
      </c>
      <c r="D763" s="374">
        <v>151</v>
      </c>
      <c r="E763" s="291" t="str">
        <f>IFERROR(VLOOKUP($D763,'Clients-Live'!$A:$C,3,0),"")</f>
        <v>MORRO HASSAN</v>
      </c>
      <c r="F763" s="291">
        <f>IFERROR(INDEX(Disbursements!$D:$D,MATCH('Live Collections'!G763,Disbursements!$C:$C,0)),"")</f>
        <v>1</v>
      </c>
      <c r="G763" s="34">
        <v>138</v>
      </c>
      <c r="H763" s="34"/>
      <c r="I763" s="34" t="s">
        <v>1359</v>
      </c>
      <c r="J763" s="48"/>
      <c r="K763" s="48"/>
      <c r="L763" s="48"/>
      <c r="M763" s="48"/>
      <c r="N763" s="59"/>
      <c r="O763" s="59">
        <v>1050000</v>
      </c>
      <c r="P763" s="59"/>
      <c r="Q763" s="268">
        <f t="shared" si="35"/>
        <v>1050000</v>
      </c>
      <c r="R763" s="61">
        <f>IF(O763=0,0,SUMIFS(Disbursements!$T:$T,Disbursements!$B:$B,'Live Collections'!D763,Disbursements!$D:$D,'Live Collections'!F763))</f>
        <v>1050000</v>
      </c>
      <c r="S763" s="64">
        <v>50000</v>
      </c>
      <c r="T763" s="304">
        <f t="shared" si="36"/>
        <v>1000000</v>
      </c>
      <c r="U763" s="52"/>
      <c r="V763" s="34"/>
      <c r="W763" s="408"/>
    </row>
    <row r="764" spans="1:23" ht="12.75" customHeight="1" x14ac:dyDescent="0.2">
      <c r="A764" s="132">
        <v>751</v>
      </c>
      <c r="B764" s="44">
        <v>44438</v>
      </c>
      <c r="C764" s="44">
        <f t="shared" si="34"/>
        <v>44438</v>
      </c>
      <c r="D764" s="374">
        <v>152</v>
      </c>
      <c r="E764" s="291" t="str">
        <f>IFERROR(VLOOKUP($D764,'Clients-Live'!$A:$C,3,0),"")</f>
        <v>ASE ZAINABU</v>
      </c>
      <c r="F764" s="291">
        <f>IFERROR(INDEX(Disbursements!$D:$D,MATCH('Live Collections'!G764,Disbursements!$C:$C,0)),"")</f>
        <v>1</v>
      </c>
      <c r="G764" s="34">
        <v>136</v>
      </c>
      <c r="H764" s="34">
        <v>1188</v>
      </c>
      <c r="I764" s="34" t="s">
        <v>1358</v>
      </c>
      <c r="J764" s="48"/>
      <c r="K764" s="48"/>
      <c r="L764" s="48"/>
      <c r="M764" s="48"/>
      <c r="N764" s="59"/>
      <c r="O764" s="59">
        <v>100000</v>
      </c>
      <c r="P764" s="59"/>
      <c r="Q764" s="268">
        <f t="shared" si="35"/>
        <v>100000</v>
      </c>
      <c r="R764" s="61">
        <f>IF(O764=0,0,SUMIFS(Disbursements!$T:$T,Disbursements!$B:$B,'Live Collections'!D764,Disbursements!$D:$D,'Live Collections'!F764))</f>
        <v>175000</v>
      </c>
      <c r="S764" s="304">
        <f>IF(O764&lt;=IF($O764=0,0,SUMIFS(Disbursements!$W:$W,Disbursements!$B:$B,'Live Collections'!D1909,Disbursements!$D:$D,'Live Collections'!F1909)),O764,IF($O764=0,0,SUMIFS(Disbursements!$W:$W,Disbursements!$B:$B,'Live Collections'!D1909,Disbursements!$D:$D,'Live Collections'!F1909)))</f>
        <v>50000</v>
      </c>
      <c r="T764" s="304">
        <f t="shared" si="36"/>
        <v>50000</v>
      </c>
      <c r="U764" s="52"/>
      <c r="V764" s="34"/>
      <c r="W764" s="408"/>
    </row>
    <row r="765" spans="1:23" ht="12.75" customHeight="1" x14ac:dyDescent="0.2">
      <c r="A765" s="257">
        <v>741</v>
      </c>
      <c r="B765" s="44">
        <v>44438</v>
      </c>
      <c r="C765" s="44">
        <f t="shared" si="34"/>
        <v>44438</v>
      </c>
      <c r="D765" s="374">
        <v>169</v>
      </c>
      <c r="E765" s="291" t="str">
        <f>IFERROR(VLOOKUP($D765,'Clients-Live'!$A:$C,3,0),"")</f>
        <v>KATO KENNEDY</v>
      </c>
      <c r="F765" s="291">
        <f>IFERROR(INDEX(Disbursements!$D:$D,MATCH('Live Collections'!G765,Disbursements!$C:$C,0)),"")</f>
        <v>1</v>
      </c>
      <c r="G765" s="34">
        <v>176</v>
      </c>
      <c r="H765" s="34">
        <v>1202</v>
      </c>
      <c r="I765" s="34" t="s">
        <v>1357</v>
      </c>
      <c r="J765" s="48"/>
      <c r="K765" s="48"/>
      <c r="L765" s="48"/>
      <c r="M765" s="48"/>
      <c r="N765" s="59"/>
      <c r="O765" s="59">
        <v>120000</v>
      </c>
      <c r="P765" s="59"/>
      <c r="Q765" s="268">
        <f t="shared" si="35"/>
        <v>120000</v>
      </c>
      <c r="R765" s="61">
        <f>IF(O765=0,0,SUMIFS(Disbursements!$T:$T,Disbursements!$B:$B,'Live Collections'!D765,Disbursements!$D:$D,'Live Collections'!F765))</f>
        <v>109000</v>
      </c>
      <c r="S765" s="304">
        <f>IF(O765&lt;=IF($O765=0,0,SUMIFS(Disbursements!$W:$W,Disbursements!$B:$B,'Live Collections'!D2079,Disbursements!$D:$D,'Live Collections'!F2079)),O765,IF($O765=0,0,SUMIFS(Disbursements!$W:$W,Disbursements!$B:$B,'Live Collections'!D2079,Disbursements!$D:$D,'Live Collections'!F2079)))</f>
        <v>35000</v>
      </c>
      <c r="T765" s="304">
        <f t="shared" si="36"/>
        <v>85000</v>
      </c>
      <c r="U765" s="52"/>
      <c r="V765" s="34"/>
      <c r="W765" s="408"/>
    </row>
    <row r="766" spans="1:23" ht="12.75" customHeight="1" x14ac:dyDescent="0.2">
      <c r="A766" s="132">
        <v>754</v>
      </c>
      <c r="B766" s="44">
        <v>44438</v>
      </c>
      <c r="C766" s="44">
        <f t="shared" si="34"/>
        <v>44438</v>
      </c>
      <c r="D766" s="374">
        <v>171</v>
      </c>
      <c r="E766" s="291" t="str">
        <f>IFERROR(VLOOKUP($D766,'Clients-Live'!$A:$C,3,0),"")</f>
        <v>BADAKA GIFT JOEL</v>
      </c>
      <c r="F766" s="291">
        <f>IFERROR(INDEX(Disbursements!$D:$D,MATCH('Live Collections'!G766,Disbursements!$C:$C,0)),"")</f>
        <v>1</v>
      </c>
      <c r="G766" s="34">
        <v>158</v>
      </c>
      <c r="H766" s="34"/>
      <c r="I766" s="34" t="s">
        <v>1357</v>
      </c>
      <c r="J766" s="48"/>
      <c r="K766" s="48"/>
      <c r="L766" s="48"/>
      <c r="M766" s="48"/>
      <c r="N766" s="59"/>
      <c r="O766" s="59">
        <v>322500</v>
      </c>
      <c r="P766" s="59"/>
      <c r="Q766" s="268">
        <f t="shared" si="35"/>
        <v>322500</v>
      </c>
      <c r="R766" s="61">
        <f>IF(O766=0,0,SUMIFS(Disbursements!$T:$T,Disbursements!$B:$B,'Live Collections'!D766,Disbursements!$D:$D,'Live Collections'!F766))</f>
        <v>323000</v>
      </c>
      <c r="S766" s="304">
        <v>23000</v>
      </c>
      <c r="T766" s="304">
        <f t="shared" si="36"/>
        <v>299500</v>
      </c>
      <c r="U766" s="52"/>
      <c r="V766" s="34"/>
      <c r="W766" s="408"/>
    </row>
    <row r="767" spans="1:23" ht="12.75" customHeight="1" x14ac:dyDescent="0.2">
      <c r="A767" s="257">
        <v>740</v>
      </c>
      <c r="B767" s="44">
        <v>44438</v>
      </c>
      <c r="C767" s="44">
        <f t="shared" si="34"/>
        <v>44438</v>
      </c>
      <c r="D767" s="374">
        <v>177</v>
      </c>
      <c r="E767" s="291" t="str">
        <f>IFERROR(VLOOKUP($D767,'Clients-Live'!$A:$C,3,0),"")</f>
        <v>EFIT GIFT</v>
      </c>
      <c r="F767" s="291">
        <f>IFERROR(INDEX(Disbursements!$D:$D,MATCH('Live Collections'!G767,Disbursements!$C:$C,0)),"")</f>
        <v>1</v>
      </c>
      <c r="G767" s="34">
        <v>183</v>
      </c>
      <c r="H767" s="34"/>
      <c r="I767" s="34" t="s">
        <v>1358</v>
      </c>
      <c r="J767" s="48"/>
      <c r="K767" s="48"/>
      <c r="L767" s="48"/>
      <c r="M767" s="48"/>
      <c r="N767" s="59"/>
      <c r="O767" s="59">
        <v>110000</v>
      </c>
      <c r="P767" s="59"/>
      <c r="Q767" s="268">
        <f t="shared" si="35"/>
        <v>110000</v>
      </c>
      <c r="R767" s="61">
        <f>IF(O767=0,0,SUMIFS(Disbursements!$T:$T,Disbursements!$B:$B,'Live Collections'!D767,Disbursements!$D:$D,'Live Collections'!F767))</f>
        <v>109000</v>
      </c>
      <c r="S767" s="304">
        <f>IF(O767&lt;=IF($O767=0,0,SUMIFS(Disbursements!$W:$W,Disbursements!$B:$B,'Live Collections'!D2164,Disbursements!$D:$D,'Live Collections'!F2164)),O767,IF($O767=0,0,SUMIFS(Disbursements!$W:$W,Disbursements!$B:$B,'Live Collections'!D2164,Disbursements!$D:$D,'Live Collections'!F2164)))</f>
        <v>25000</v>
      </c>
      <c r="T767" s="304">
        <f t="shared" si="36"/>
        <v>85000</v>
      </c>
      <c r="U767" s="52"/>
      <c r="V767" s="34"/>
      <c r="W767" s="408"/>
    </row>
    <row r="768" spans="1:23" ht="12.75" customHeight="1" x14ac:dyDescent="0.2">
      <c r="A768" s="132">
        <v>737</v>
      </c>
      <c r="B768" s="44">
        <v>44438</v>
      </c>
      <c r="C768" s="44">
        <f t="shared" si="34"/>
        <v>44438</v>
      </c>
      <c r="D768" s="374">
        <v>197</v>
      </c>
      <c r="E768" s="291" t="str">
        <f>IFERROR(VLOOKUP($D768,'Clients-Live'!$A:$C,3,0),"")</f>
        <v>SIYESA JAMILA</v>
      </c>
      <c r="F768" s="291">
        <f>IFERROR(INDEX(Disbursements!$D:$D,MATCH('Live Collections'!G768,Disbursements!$C:$C,0)),"")</f>
        <v>1</v>
      </c>
      <c r="G768" s="34">
        <v>192</v>
      </c>
      <c r="H768" s="34"/>
      <c r="I768" s="34" t="s">
        <v>863</v>
      </c>
      <c r="J768" s="48"/>
      <c r="K768" s="48"/>
      <c r="L768" s="48">
        <v>10000</v>
      </c>
      <c r="M768" s="48">
        <v>5000</v>
      </c>
      <c r="N768" s="59"/>
      <c r="O768" s="59"/>
      <c r="P768" s="59">
        <v>40000</v>
      </c>
      <c r="Q768" s="268">
        <f t="shared" si="35"/>
        <v>55000</v>
      </c>
      <c r="R768" s="61">
        <f>IF(O768=0,0,SUMIFS(Disbursements!$T:$T,Disbursements!$B:$B,'Live Collections'!D768,Disbursements!$D:$D,'Live Collections'!F768))</f>
        <v>0</v>
      </c>
      <c r="S768" s="304">
        <f>IF(O768&lt;=IF($O768=0,0,SUMIFS(Disbursements!$W:$W,Disbursements!$B:$B,'Live Collections'!D2361,Disbursements!$D:$D,'Live Collections'!F2361)),O768,IF($O768=0,0,SUMIFS(Disbursements!$W:$W,Disbursements!$B:$B,'Live Collections'!D2361,Disbursements!$D:$D,'Live Collections'!F2361)))</f>
        <v>0</v>
      </c>
      <c r="T768" s="304">
        <f t="shared" si="36"/>
        <v>0</v>
      </c>
      <c r="U768" s="52"/>
      <c r="V768" s="34"/>
      <c r="W768" s="408"/>
    </row>
    <row r="769" spans="1:23" ht="12.75" customHeight="1" x14ac:dyDescent="0.2">
      <c r="A769" s="257">
        <v>738</v>
      </c>
      <c r="B769" s="44">
        <v>44438</v>
      </c>
      <c r="C769" s="44">
        <f t="shared" si="34"/>
        <v>44438</v>
      </c>
      <c r="D769" s="374">
        <v>198</v>
      </c>
      <c r="E769" s="291" t="str">
        <f>IFERROR(VLOOKUP($D769,'Clients-Live'!$A:$C,3,0),"")</f>
        <v>ETOLE BIAJO</v>
      </c>
      <c r="F769" s="291">
        <f>IFERROR(INDEX(Disbursements!$D:$D,MATCH('Live Collections'!G769,Disbursements!$C:$C,0)),"")</f>
        <v>1</v>
      </c>
      <c r="G769" s="34">
        <v>191</v>
      </c>
      <c r="H769" s="34"/>
      <c r="I769" s="34" t="s">
        <v>863</v>
      </c>
      <c r="J769" s="48"/>
      <c r="K769" s="48"/>
      <c r="L769" s="48">
        <v>10000</v>
      </c>
      <c r="M769" s="48">
        <v>5000</v>
      </c>
      <c r="N769" s="59"/>
      <c r="O769" s="59"/>
      <c r="P769" s="59">
        <v>50000</v>
      </c>
      <c r="Q769" s="268">
        <f t="shared" si="35"/>
        <v>65000</v>
      </c>
      <c r="R769" s="61">
        <f>IF(O769=0,0,SUMIFS(Disbursements!$T:$T,Disbursements!$B:$B,'Live Collections'!D769,Disbursements!$D:$D,'Live Collections'!F769))</f>
        <v>0</v>
      </c>
      <c r="S769" s="304">
        <f>IF(O769&lt;=IF($O769=0,0,SUMIFS(Disbursements!$W:$W,Disbursements!$B:$B,'Live Collections'!D2371,Disbursements!$D:$D,'Live Collections'!F2371)),O769,IF($O769=0,0,SUMIFS(Disbursements!$W:$W,Disbursements!$B:$B,'Live Collections'!D2371,Disbursements!$D:$D,'Live Collections'!F2371)))</f>
        <v>0</v>
      </c>
      <c r="T769" s="304">
        <f t="shared" si="36"/>
        <v>0</v>
      </c>
      <c r="U769" s="52"/>
      <c r="V769" s="34"/>
      <c r="W769" s="408"/>
    </row>
    <row r="770" spans="1:23" ht="12.75" customHeight="1" x14ac:dyDescent="0.2">
      <c r="A770" s="132">
        <v>735</v>
      </c>
      <c r="B770" s="44">
        <v>44438</v>
      </c>
      <c r="C770" s="44">
        <f t="shared" si="34"/>
        <v>44438</v>
      </c>
      <c r="D770" s="374">
        <v>201</v>
      </c>
      <c r="E770" s="291" t="str">
        <f>IFERROR(VLOOKUP($D770,'Clients-Live'!$A:$C,3,0),"")</f>
        <v>DALILI HASSAN</v>
      </c>
      <c r="F770" s="291" t="str">
        <f>IFERROR(INDEX(Disbursements!$D:$D,MATCH('Live Collections'!G770,Disbursements!$C:$C,0)),"")</f>
        <v/>
      </c>
      <c r="G770" s="34"/>
      <c r="H770" s="34"/>
      <c r="I770" s="34" t="s">
        <v>1814</v>
      </c>
      <c r="J770" s="48">
        <v>15000</v>
      </c>
      <c r="K770" s="48">
        <v>5000</v>
      </c>
      <c r="L770" s="48"/>
      <c r="M770" s="48"/>
      <c r="N770" s="59"/>
      <c r="O770" s="59"/>
      <c r="P770" s="59"/>
      <c r="Q770" s="268">
        <f t="shared" si="35"/>
        <v>20000</v>
      </c>
      <c r="R770" s="61">
        <f>IF(O770=0,0,SUMIFS(Disbursements!$T:$T,Disbursements!$B:$B,'Live Collections'!D770,Disbursements!$D:$D,'Live Collections'!F770))</f>
        <v>0</v>
      </c>
      <c r="S770" s="304">
        <f>IF(O770&lt;=IF($O770=0,0,SUMIFS(Disbursements!$W:$W,Disbursements!$B:$B,'Live Collections'!D2394,Disbursements!$D:$D,'Live Collections'!F2394)),O770,IF($O770=0,0,SUMIFS(Disbursements!$W:$W,Disbursements!$B:$B,'Live Collections'!D2394,Disbursements!$D:$D,'Live Collections'!F2394)))</f>
        <v>0</v>
      </c>
      <c r="T770" s="304">
        <f t="shared" si="36"/>
        <v>0</v>
      </c>
      <c r="U770" s="52">
        <v>776209362</v>
      </c>
      <c r="V770" s="34"/>
      <c r="W770" s="408" t="s">
        <v>1257</v>
      </c>
    </row>
    <row r="771" spans="1:23" ht="12.75" customHeight="1" x14ac:dyDescent="0.2">
      <c r="A771" s="257">
        <v>773</v>
      </c>
      <c r="B771" s="44">
        <v>44439</v>
      </c>
      <c r="C771" s="44">
        <f t="shared" si="34"/>
        <v>44439</v>
      </c>
      <c r="D771" s="374">
        <v>17</v>
      </c>
      <c r="E771" s="291" t="str">
        <f>IFERROR(VLOOKUP($D771,'Clients-Live'!$A:$C,3,0),"")</f>
        <v>MAMBU BAYI</v>
      </c>
      <c r="F771" s="291">
        <f>IFERROR(INDEX(Disbursements!$D:$D,MATCH('Live Collections'!G771,Disbursements!$C:$C,0)),"")</f>
        <v>1</v>
      </c>
      <c r="G771" s="34">
        <v>7</v>
      </c>
      <c r="H771" s="34"/>
      <c r="I771" s="34" t="s">
        <v>1357</v>
      </c>
      <c r="J771" s="48"/>
      <c r="K771" s="48"/>
      <c r="L771" s="48"/>
      <c r="M771" s="48"/>
      <c r="N771" s="59"/>
      <c r="O771" s="59">
        <v>200000</v>
      </c>
      <c r="P771" s="59"/>
      <c r="Q771" s="268">
        <f t="shared" si="35"/>
        <v>200000</v>
      </c>
      <c r="R771" s="61">
        <f>IF(O771=0,0,SUMIFS(Disbursements!$T:$T,Disbursements!$B:$B,'Live Collections'!D771,Disbursements!$D:$D,'Live Collections'!F771))</f>
        <v>325000</v>
      </c>
      <c r="S771" s="304">
        <f>IF(O771&lt;=IF($O771=0,0,SUMIFS(Disbursements!$W:$W,Disbursements!$B:$B,'Live Collections'!D914,Disbursements!$D:$D,'Live Collections'!F914)),O771,IF($O771=0,0,SUMIFS(Disbursements!$W:$W,Disbursements!$B:$B,'Live Collections'!D914,Disbursements!$D:$D,'Live Collections'!F914)))</f>
        <v>35000</v>
      </c>
      <c r="T771" s="304">
        <f t="shared" si="36"/>
        <v>165000</v>
      </c>
      <c r="U771" s="52"/>
      <c r="V771" s="34"/>
      <c r="W771" s="408"/>
    </row>
    <row r="772" spans="1:23" ht="12.75" customHeight="1" x14ac:dyDescent="0.2">
      <c r="A772" s="132">
        <v>764</v>
      </c>
      <c r="B772" s="44">
        <v>44439</v>
      </c>
      <c r="C772" s="44">
        <f t="shared" si="34"/>
        <v>44439</v>
      </c>
      <c r="D772" s="374">
        <v>20</v>
      </c>
      <c r="E772" s="291" t="str">
        <f>IFERROR(VLOOKUP($D772,'Clients-Live'!$A:$C,3,0),"")</f>
        <v>ANDEZO KEVIN</v>
      </c>
      <c r="F772" s="291" t="str">
        <f>IFERROR(INDEX(Disbursements!$D:$D,MATCH('Live Collections'!G772,Disbursements!$C:$C,0)),"")</f>
        <v/>
      </c>
      <c r="G772" s="34"/>
      <c r="H772" s="34"/>
      <c r="I772" s="34" t="s">
        <v>863</v>
      </c>
      <c r="J772" s="48"/>
      <c r="K772" s="48"/>
      <c r="L772" s="48">
        <v>15000</v>
      </c>
      <c r="M772" s="48">
        <v>5000</v>
      </c>
      <c r="N772" s="59"/>
      <c r="O772" s="59"/>
      <c r="P772" s="59"/>
      <c r="Q772" s="268">
        <f t="shared" si="35"/>
        <v>20000</v>
      </c>
      <c r="R772" s="61">
        <f>IF(O772=0,0,SUMIFS(Disbursements!$T:$T,Disbursements!$B:$B,'Live Collections'!D772,Disbursements!$D:$D,'Live Collections'!F772))</f>
        <v>0</v>
      </c>
      <c r="S772" s="304">
        <f>IF(O772&lt;=IF($O772=0,0,SUMIFS(Disbursements!$W:$W,Disbursements!$B:$B,'Live Collections'!D250,Disbursements!$D:$D,'Live Collections'!F250)),O772,IF($O772=0,0,SUMIFS(Disbursements!$W:$W,Disbursements!$B:$B,'Live Collections'!D250,Disbursements!$D:$D,'Live Collections'!F250)))</f>
        <v>0</v>
      </c>
      <c r="T772" s="304">
        <f t="shared" si="36"/>
        <v>0</v>
      </c>
      <c r="U772" s="52"/>
      <c r="V772" s="34"/>
      <c r="W772" s="408"/>
    </row>
    <row r="773" spans="1:23" ht="12.75" customHeight="1" x14ac:dyDescent="0.2">
      <c r="A773" s="257">
        <v>771</v>
      </c>
      <c r="B773" s="44">
        <v>44439</v>
      </c>
      <c r="C773" s="44">
        <f t="shared" si="34"/>
        <v>44439</v>
      </c>
      <c r="D773" s="374">
        <v>30</v>
      </c>
      <c r="E773" s="291" t="str">
        <f>IFERROR(VLOOKUP($D773,'Clients-Live'!$A:$C,3,0),"")</f>
        <v>SITARAYA PATRICIA IDERU</v>
      </c>
      <c r="F773" s="291">
        <f>IFERROR(INDEX(Disbursements!$D:$D,MATCH('Live Collections'!G773,Disbursements!$C:$C,0)),"")</f>
        <v>1</v>
      </c>
      <c r="G773" s="34">
        <v>18</v>
      </c>
      <c r="H773" s="34"/>
      <c r="I773" s="34" t="s">
        <v>1358</v>
      </c>
      <c r="J773" s="48"/>
      <c r="K773" s="48"/>
      <c r="L773" s="48"/>
      <c r="M773" s="48"/>
      <c r="N773" s="59"/>
      <c r="O773" s="59">
        <v>50000</v>
      </c>
      <c r="P773" s="59"/>
      <c r="Q773" s="268">
        <f t="shared" si="35"/>
        <v>50000</v>
      </c>
      <c r="R773" s="61">
        <f>IF(O773=0,0,SUMIFS(Disbursements!$T:$T,Disbursements!$B:$B,'Live Collections'!D773,Disbursements!$D:$D,'Live Collections'!F773))</f>
        <v>120000</v>
      </c>
      <c r="S773" s="304">
        <f>IF(O773&lt;=IF($O773=0,0,SUMIFS(Disbursements!$W:$W,Disbursements!$B:$B,'Live Collections'!D342,Disbursements!$D:$D,'Live Collections'!F342)),O773,IF($O773=0,0,SUMIFS(Disbursements!$W:$W,Disbursements!$B:$B,'Live Collections'!D342,Disbursements!$D:$D,'Live Collections'!F342)))</f>
        <v>0</v>
      </c>
      <c r="T773" s="304">
        <f t="shared" si="36"/>
        <v>50000</v>
      </c>
      <c r="U773" s="52"/>
      <c r="V773" s="34"/>
      <c r="W773" s="408"/>
    </row>
    <row r="774" spans="1:23" ht="12.75" customHeight="1" x14ac:dyDescent="0.2">
      <c r="A774" s="132">
        <v>774</v>
      </c>
      <c r="B774" s="44">
        <v>44439</v>
      </c>
      <c r="C774" s="44">
        <f t="shared" si="34"/>
        <v>44439</v>
      </c>
      <c r="D774" s="374">
        <v>37</v>
      </c>
      <c r="E774" s="291" t="str">
        <f>IFERROR(VLOOKUP($D774,'Clients-Live'!$A:$C,3,0),"")</f>
        <v>WANDWALI AMISI</v>
      </c>
      <c r="F774" s="291">
        <f>IFERROR(INDEX(Disbursements!$D:$D,MATCH('Live Collections'!G774,Disbursements!$C:$C,0)),"")</f>
        <v>1</v>
      </c>
      <c r="G774" s="34">
        <v>21</v>
      </c>
      <c r="H774" s="34"/>
      <c r="I774" s="34" t="s">
        <v>1357</v>
      </c>
      <c r="J774" s="48"/>
      <c r="K774" s="48"/>
      <c r="L774" s="48"/>
      <c r="M774" s="48"/>
      <c r="N774" s="59"/>
      <c r="O774" s="59">
        <v>25000</v>
      </c>
      <c r="P774" s="59"/>
      <c r="Q774" s="268">
        <f t="shared" si="35"/>
        <v>25000</v>
      </c>
      <c r="R774" s="61">
        <f>IF(O774=0,0,SUMIFS(Disbursements!$T:$T,Disbursements!$B:$B,'Live Collections'!D774,Disbursements!$D:$D,'Live Collections'!F774))</f>
        <v>1075000</v>
      </c>
      <c r="S774" s="304"/>
      <c r="T774" s="304">
        <f t="shared" si="36"/>
        <v>25000</v>
      </c>
      <c r="U774" s="52"/>
      <c r="V774" s="34"/>
      <c r="W774" s="408"/>
    </row>
    <row r="775" spans="1:23" ht="12.75" customHeight="1" x14ac:dyDescent="0.2">
      <c r="A775" s="257">
        <v>772</v>
      </c>
      <c r="B775" s="44">
        <v>44439</v>
      </c>
      <c r="C775" s="44">
        <f t="shared" si="34"/>
        <v>44439</v>
      </c>
      <c r="D775" s="374">
        <v>49</v>
      </c>
      <c r="E775" s="291" t="str">
        <f>IFERROR(VLOOKUP($D775,'Clients-Live'!$A:$C,3,0),"")</f>
        <v>MAWUZU SARAH</v>
      </c>
      <c r="F775" s="291">
        <f>IFERROR(INDEX(Disbursements!$D:$D,MATCH('Live Collections'!G775,Disbursements!$C:$C,0)),"")</f>
        <v>1</v>
      </c>
      <c r="G775" s="34">
        <v>33</v>
      </c>
      <c r="H775" s="34"/>
      <c r="I775" s="34" t="s">
        <v>1358</v>
      </c>
      <c r="J775" s="48"/>
      <c r="K775" s="48"/>
      <c r="L775" s="48"/>
      <c r="M775" s="48"/>
      <c r="N775" s="59"/>
      <c r="O775" s="59">
        <v>40000</v>
      </c>
      <c r="P775" s="59"/>
      <c r="Q775" s="268">
        <f t="shared" si="35"/>
        <v>40000</v>
      </c>
      <c r="R775" s="61">
        <f>IF(O775=0,0,SUMIFS(Disbursements!$T:$T,Disbursements!$B:$B,'Live Collections'!D775,Disbursements!$D:$D,'Live Collections'!F775))</f>
        <v>150000</v>
      </c>
      <c r="S775" s="304">
        <f>IF(O775&lt;=IF($O775=0,0,SUMIFS(Disbursements!$W:$W,Disbursements!$B:$B,'Live Collections'!D563,Disbursements!$D:$D,'Live Collections'!F563)),O775,IF($O775=0,0,SUMIFS(Disbursements!$W:$W,Disbursements!$B:$B,'Live Collections'!D563,Disbursements!$D:$D,'Live Collections'!F563)))</f>
        <v>25000</v>
      </c>
      <c r="T775" s="304">
        <f t="shared" si="36"/>
        <v>15000</v>
      </c>
      <c r="U775" s="52"/>
      <c r="V775" s="34"/>
      <c r="W775" s="408"/>
    </row>
    <row r="776" spans="1:23" ht="12.75" customHeight="1" x14ac:dyDescent="0.2">
      <c r="A776" s="132">
        <v>765</v>
      </c>
      <c r="B776" s="44">
        <v>44439</v>
      </c>
      <c r="C776" s="44">
        <f t="shared" ref="C776:C840" si="37">B776</f>
        <v>44439</v>
      </c>
      <c r="D776" s="374">
        <v>54</v>
      </c>
      <c r="E776" s="291" t="str">
        <f>IFERROR(VLOOKUP($D776,'Clients-Live'!$A:$C,3,0),"")</f>
        <v>MANENO ANIFA</v>
      </c>
      <c r="F776" s="291">
        <f>IFERROR(INDEX(Disbursements!$D:$D,MATCH('Live Collections'!G776,Disbursements!$C:$C,0)),"")</f>
        <v>2</v>
      </c>
      <c r="G776" s="34">
        <v>195</v>
      </c>
      <c r="H776" s="34"/>
      <c r="I776" s="34" t="s">
        <v>864</v>
      </c>
      <c r="J776" s="48"/>
      <c r="K776" s="48"/>
      <c r="L776" s="48">
        <v>15000</v>
      </c>
      <c r="M776" s="48">
        <v>5000</v>
      </c>
      <c r="N776" s="59"/>
      <c r="O776" s="59"/>
      <c r="P776" s="59">
        <v>80000</v>
      </c>
      <c r="Q776" s="268">
        <f t="shared" ref="Q776:Q840" si="38">SUM(J776:P776)</f>
        <v>100000</v>
      </c>
      <c r="R776" s="61">
        <f>IF(O776=0,0,SUMIFS(Disbursements!$T:$T,Disbursements!$B:$B,'Live Collections'!D776,Disbursements!$D:$D,'Live Collections'!F776))</f>
        <v>0</v>
      </c>
      <c r="S776" s="304">
        <f>IF(O776&lt;=IF($O776=0,0,SUMIFS(Disbursements!$W:$W,Disbursements!$B:$B,'Live Collections'!D636,Disbursements!$D:$D,'Live Collections'!F636)),O776,IF($O776=0,0,SUMIFS(Disbursements!$W:$W,Disbursements!$B:$B,'Live Collections'!D636,Disbursements!$D:$D,'Live Collections'!F636)))</f>
        <v>0</v>
      </c>
      <c r="T776" s="304">
        <f t="shared" ref="T776:T840" si="39">IF(O776=0,0,O776-S776)</f>
        <v>0</v>
      </c>
      <c r="U776" s="52"/>
      <c r="V776" s="34"/>
      <c r="W776" s="408"/>
    </row>
    <row r="777" spans="1:23" ht="12.75" customHeight="1" x14ac:dyDescent="0.2">
      <c r="A777" s="257">
        <v>769</v>
      </c>
      <c r="B777" s="44">
        <v>44439</v>
      </c>
      <c r="C777" s="44">
        <f t="shared" si="37"/>
        <v>44439</v>
      </c>
      <c r="D777" s="374">
        <v>66</v>
      </c>
      <c r="E777" s="291" t="str">
        <f>IFERROR(VLOOKUP($D777,'Clients-Live'!$A:$C,3,0),"")</f>
        <v>DENAYA NYAMAZA</v>
      </c>
      <c r="F777" s="291">
        <f>IFERROR(INDEX(Disbursements!$D:$D,MATCH('Live Collections'!G777,Disbursements!$C:$C,0)),"")</f>
        <v>1</v>
      </c>
      <c r="G777" s="34">
        <v>53</v>
      </c>
      <c r="H777" s="34"/>
      <c r="I777" s="34" t="s">
        <v>1357</v>
      </c>
      <c r="J777" s="48"/>
      <c r="K777" s="48"/>
      <c r="L777" s="48"/>
      <c r="M777" s="48"/>
      <c r="N777" s="59"/>
      <c r="O777" s="59">
        <v>100000</v>
      </c>
      <c r="P777" s="59"/>
      <c r="Q777" s="268">
        <f t="shared" si="38"/>
        <v>100000</v>
      </c>
      <c r="R777" s="61">
        <f>IF(O777=0,0,SUMIFS(Disbursements!$T:$T,Disbursements!$B:$B,'Live Collections'!D777,Disbursements!$D:$D,'Live Collections'!F777))</f>
        <v>109000</v>
      </c>
      <c r="S777" s="304">
        <f>IF(O777&lt;=IF($O777=0,0,SUMIFS(Disbursements!$W:$W,Disbursements!$B:$B,'Live Collections'!D1345,Disbursements!$D:$D,'Live Collections'!F1345)),O777,IF($O777=0,0,SUMIFS(Disbursements!$W:$W,Disbursements!$B:$B,'Live Collections'!D1345,Disbursements!$D:$D,'Live Collections'!F1345)))</f>
        <v>0</v>
      </c>
      <c r="T777" s="304">
        <f t="shared" si="39"/>
        <v>100000</v>
      </c>
      <c r="U777" s="52"/>
      <c r="V777" s="34"/>
      <c r="W777" s="408"/>
    </row>
    <row r="778" spans="1:23" ht="12.75" customHeight="1" x14ac:dyDescent="0.2">
      <c r="A778" s="132">
        <v>768</v>
      </c>
      <c r="B778" s="44">
        <v>44439</v>
      </c>
      <c r="C778" s="44">
        <f t="shared" si="37"/>
        <v>44439</v>
      </c>
      <c r="D778" s="374">
        <v>79</v>
      </c>
      <c r="E778" s="291" t="str">
        <f>IFERROR(VLOOKUP($D778,'Clients-Live'!$A:$C,3,0),"")</f>
        <v>PASI SENYA</v>
      </c>
      <c r="F778" s="291">
        <f>IFERROR(INDEX(Disbursements!$D:$D,MATCH('Live Collections'!G778,Disbursements!$C:$C,0)),"")</f>
        <v>1</v>
      </c>
      <c r="G778" s="34">
        <v>64</v>
      </c>
      <c r="H778" s="34"/>
      <c r="I778" s="34" t="s">
        <v>1358</v>
      </c>
      <c r="J778" s="48"/>
      <c r="K778" s="48"/>
      <c r="L778" s="48"/>
      <c r="M778" s="48"/>
      <c r="N778" s="59"/>
      <c r="O778" s="59">
        <v>62500</v>
      </c>
      <c r="P778" s="59"/>
      <c r="Q778" s="268">
        <f t="shared" si="38"/>
        <v>62500</v>
      </c>
      <c r="R778" s="61">
        <f>IF(O778=0,0,SUMIFS(Disbursements!$T:$T,Disbursements!$B:$B,'Live Collections'!D778,Disbursements!$D:$D,'Live Collections'!F778))</f>
        <v>63000</v>
      </c>
      <c r="S778" s="304">
        <f>IF(O778&lt;=IF($O778=0,0,SUMIFS(Disbursements!$W:$W,Disbursements!$B:$B,'Live Collections'!D1021,Disbursements!$D:$D,'Live Collections'!F1021)),O778,IF($O778=0,0,SUMIFS(Disbursements!$W:$W,Disbursements!$B:$B,'Live Collections'!D1021,Disbursements!$D:$D,'Live Collections'!F1021)))</f>
        <v>8000</v>
      </c>
      <c r="T778" s="304">
        <f t="shared" si="39"/>
        <v>54500</v>
      </c>
      <c r="U778" s="52"/>
      <c r="V778" s="34"/>
      <c r="W778" s="408"/>
    </row>
    <row r="779" spans="1:23" ht="12.75" customHeight="1" x14ac:dyDescent="0.2">
      <c r="A779" s="257">
        <v>770</v>
      </c>
      <c r="B779" s="44">
        <v>44439</v>
      </c>
      <c r="C779" s="44">
        <f t="shared" si="37"/>
        <v>44439</v>
      </c>
      <c r="D779" s="374">
        <v>96</v>
      </c>
      <c r="E779" s="291" t="str">
        <f>IFERROR(VLOOKUP($D779,'Clients-Live'!$A:$C,3,0),"")</f>
        <v>AKANDU NIGHT YONGORO</v>
      </c>
      <c r="F779" s="291">
        <f>IFERROR(INDEX(Disbursements!$D:$D,MATCH('Live Collections'!G779,Disbursements!$C:$C,0)),"")</f>
        <v>1</v>
      </c>
      <c r="G779" s="34">
        <v>87</v>
      </c>
      <c r="H779" s="34"/>
      <c r="I779" s="34" t="s">
        <v>1358</v>
      </c>
      <c r="J779" s="48"/>
      <c r="K779" s="48"/>
      <c r="L779" s="48"/>
      <c r="M779" s="48"/>
      <c r="N779" s="59"/>
      <c r="O779" s="59">
        <v>180000</v>
      </c>
      <c r="P779" s="59"/>
      <c r="Q779" s="268">
        <f t="shared" si="38"/>
        <v>180000</v>
      </c>
      <c r="R779" s="61">
        <f>IF(O779=0,0,SUMIFS(Disbursements!$T:$T,Disbursements!$B:$B,'Live Collections'!D779,Disbursements!$D:$D,'Live Collections'!F779))</f>
        <v>180000</v>
      </c>
      <c r="S779" s="304">
        <f>IF(O779&lt;=IF($O779=0,0,SUMIFS(Disbursements!$W:$W,Disbursements!$B:$B,'Live Collections'!D1232,Disbursements!$D:$D,'Live Collections'!F1232)),O779,IF($O779=0,0,SUMIFS(Disbursements!$W:$W,Disbursements!$B:$B,'Live Collections'!D1232,Disbursements!$D:$D,'Live Collections'!F1232)))</f>
        <v>55000</v>
      </c>
      <c r="T779" s="304">
        <f t="shared" si="39"/>
        <v>125000</v>
      </c>
      <c r="U779" s="52"/>
      <c r="V779" s="34"/>
      <c r="W779" s="408"/>
    </row>
    <row r="780" spans="1:23" ht="12.75" customHeight="1" x14ac:dyDescent="0.2">
      <c r="A780" s="132">
        <v>766</v>
      </c>
      <c r="B780" s="44">
        <v>44439</v>
      </c>
      <c r="C780" s="44">
        <f t="shared" si="37"/>
        <v>44439</v>
      </c>
      <c r="D780" s="374">
        <v>97</v>
      </c>
      <c r="E780" s="291" t="str">
        <f>IFERROR(VLOOKUP($D780,'Clients-Live'!$A:$C,3,0),"")</f>
        <v>DRANDUA JOB CHRISPUS</v>
      </c>
      <c r="F780" s="291">
        <f>IFERROR(INDEX(Disbursements!$D:$D,MATCH('Live Collections'!G780,Disbursements!$C:$C,0)),"")</f>
        <v>2</v>
      </c>
      <c r="G780" s="34">
        <v>142</v>
      </c>
      <c r="H780" s="34">
        <v>1215</v>
      </c>
      <c r="I780" s="34" t="s">
        <v>1359</v>
      </c>
      <c r="J780" s="48"/>
      <c r="K780" s="48"/>
      <c r="L780" s="48"/>
      <c r="M780" s="48"/>
      <c r="N780" s="59"/>
      <c r="O780" s="59">
        <v>2100000</v>
      </c>
      <c r="P780" s="59"/>
      <c r="Q780" s="268">
        <f t="shared" si="38"/>
        <v>2100000</v>
      </c>
      <c r="R780" s="61">
        <f>IF(O780=0,0,SUMIFS(Disbursements!$T:$T,Disbursements!$B:$B,'Live Collections'!D780,Disbursements!$D:$D,'Live Collections'!F780))</f>
        <v>2100000</v>
      </c>
      <c r="S780" s="304">
        <v>100000</v>
      </c>
      <c r="T780" s="304">
        <f t="shared" si="39"/>
        <v>2000000</v>
      </c>
      <c r="U780" s="52"/>
      <c r="V780" s="34"/>
      <c r="W780" s="408"/>
    </row>
    <row r="781" spans="1:23" ht="12.75" customHeight="1" x14ac:dyDescent="0.2">
      <c r="A781" s="257">
        <v>762</v>
      </c>
      <c r="B781" s="44">
        <v>44439</v>
      </c>
      <c r="C781" s="44">
        <f t="shared" si="37"/>
        <v>44439</v>
      </c>
      <c r="D781" s="374">
        <v>114</v>
      </c>
      <c r="E781" s="291" t="str">
        <f>IFERROR(VLOOKUP($D781,'Clients-Live'!$A:$C,3,0),"")</f>
        <v>ONZIA EMMILY</v>
      </c>
      <c r="F781" s="291">
        <f>IFERROR(INDEX(Disbursements!$D:$D,MATCH('Live Collections'!G781,Disbursements!$C:$C,0)),"")</f>
        <v>2</v>
      </c>
      <c r="G781" s="34">
        <v>161</v>
      </c>
      <c r="H781" s="34"/>
      <c r="I781" s="34" t="s">
        <v>1358</v>
      </c>
      <c r="J781" s="48"/>
      <c r="K781" s="48"/>
      <c r="L781" s="48"/>
      <c r="M781" s="48"/>
      <c r="N781" s="59"/>
      <c r="O781" s="59">
        <f>555000-345000</f>
        <v>210000</v>
      </c>
      <c r="P781" s="59"/>
      <c r="Q781" s="268">
        <f t="shared" si="38"/>
        <v>210000</v>
      </c>
      <c r="R781" s="61">
        <f>IF(O781=0,0,SUMIFS(Disbursements!$T:$T,Disbursements!$B:$B,'Live Collections'!D781,Disbursements!$D:$D,'Live Collections'!F781))</f>
        <v>58000</v>
      </c>
      <c r="S781" s="304">
        <f>IF(O781&lt;=IF($O781=0,0,SUMIFS(Disbursements!$W:$W,Disbursements!$B:$B,'Live Collections'!#REF!,Disbursements!$D:$D,'Live Collections'!#REF!)),O781,IF($O781=0,0,SUMIFS(Disbursements!$W:$W,Disbursements!$B:$B,'Live Collections'!#REF!,Disbursements!$D:$D,'Live Collections'!#REF!)))</f>
        <v>0</v>
      </c>
      <c r="T781" s="304">
        <f t="shared" si="39"/>
        <v>210000</v>
      </c>
      <c r="U781" s="52"/>
      <c r="V781" s="34"/>
      <c r="W781" s="408"/>
    </row>
    <row r="782" spans="1:23" ht="12.75" customHeight="1" x14ac:dyDescent="0.2">
      <c r="A782" s="257"/>
      <c r="B782" s="44">
        <v>44413</v>
      </c>
      <c r="C782" s="44">
        <f t="shared" si="37"/>
        <v>44413</v>
      </c>
      <c r="D782" s="374">
        <v>114</v>
      </c>
      <c r="E782" s="291" t="str">
        <f>IFERROR(VLOOKUP($D782,'Clients-Live'!$A:$C,3,0),"")</f>
        <v>ONZIA EMMILY</v>
      </c>
      <c r="F782" s="291">
        <f>IFERROR(INDEX(Disbursements!$D:$D,MATCH('Live Collections'!G782,Disbursements!$C:$C,0)),"")</f>
        <v>1</v>
      </c>
      <c r="G782" s="34">
        <v>97</v>
      </c>
      <c r="H782" s="34"/>
      <c r="I782" s="34" t="s">
        <v>1358</v>
      </c>
      <c r="J782" s="48"/>
      <c r="K782" s="48"/>
      <c r="L782" s="48"/>
      <c r="M782" s="48"/>
      <c r="N782" s="59"/>
      <c r="O782" s="59">
        <v>3000</v>
      </c>
      <c r="P782" s="59"/>
      <c r="Q782" s="268">
        <f t="shared" si="38"/>
        <v>3000</v>
      </c>
      <c r="R782" s="61">
        <f>IF(O782=0,0,SUMIFS(Disbursements!$T:$T,Disbursements!$B:$B,'Live Collections'!D782,Disbursements!$D:$D,'Live Collections'!F782))</f>
        <v>29000</v>
      </c>
      <c r="S782" s="304"/>
      <c r="T782" s="304">
        <f t="shared" si="39"/>
        <v>3000</v>
      </c>
      <c r="U782" s="52"/>
      <c r="V782" s="34"/>
      <c r="W782" s="408"/>
    </row>
    <row r="783" spans="1:23" ht="12.75" customHeight="1" x14ac:dyDescent="0.2">
      <c r="A783" s="132">
        <v>775</v>
      </c>
      <c r="B783" s="44">
        <v>44439</v>
      </c>
      <c r="C783" s="44">
        <f t="shared" si="37"/>
        <v>44439</v>
      </c>
      <c r="D783" s="374">
        <v>114</v>
      </c>
      <c r="E783" s="291" t="str">
        <f>IFERROR(VLOOKUP($D783,'Clients-Live'!$A:$C,3,0),"")</f>
        <v>ONZIA EMMILY</v>
      </c>
      <c r="F783" s="291">
        <f>IFERROR(INDEX(Disbursements!$D:$D,MATCH('Live Collections'!G783,Disbursements!$C:$C,0)),"")</f>
        <v>1</v>
      </c>
      <c r="G783" s="34">
        <v>97</v>
      </c>
      <c r="H783" s="34"/>
      <c r="I783" s="34" t="s">
        <v>1358</v>
      </c>
      <c r="J783" s="48"/>
      <c r="K783" s="48"/>
      <c r="L783" s="48"/>
      <c r="M783" s="48"/>
      <c r="N783" s="59"/>
      <c r="O783" s="59">
        <f>240000-210000</f>
        <v>30000</v>
      </c>
      <c r="P783" s="59"/>
      <c r="Q783" s="268">
        <f t="shared" si="38"/>
        <v>30000</v>
      </c>
      <c r="R783" s="61">
        <f>IF(O783=0,0,SUMIFS(Disbursements!$T:$T,Disbursements!$B:$B,'Live Collections'!D783,Disbursements!$D:$D,'Live Collections'!F783))</f>
        <v>29000</v>
      </c>
      <c r="S783" s="64">
        <v>-27000</v>
      </c>
      <c r="T783" s="304">
        <f t="shared" si="39"/>
        <v>57000</v>
      </c>
      <c r="U783" s="52"/>
      <c r="V783" s="34"/>
      <c r="W783" s="408"/>
    </row>
    <row r="784" spans="1:23" ht="12.75" customHeight="1" x14ac:dyDescent="0.2">
      <c r="A784" s="257">
        <v>767</v>
      </c>
      <c r="B784" s="44">
        <v>44439</v>
      </c>
      <c r="C784" s="44">
        <f t="shared" si="37"/>
        <v>44439</v>
      </c>
      <c r="D784" s="374">
        <v>158</v>
      </c>
      <c r="E784" s="291" t="str">
        <f>IFERROR(VLOOKUP($D784,'Clients-Live'!$A:$C,3,0),"")</f>
        <v>METALORO STEPHEN</v>
      </c>
      <c r="F784" s="291">
        <f>IFERROR(INDEX(Disbursements!$D:$D,MATCH('Live Collections'!G784,Disbursements!$C:$C,0)),"")</f>
        <v>1</v>
      </c>
      <c r="G784" s="34">
        <v>144</v>
      </c>
      <c r="H784" s="34"/>
      <c r="I784" s="34" t="s">
        <v>1358</v>
      </c>
      <c r="J784" s="48"/>
      <c r="K784" s="48"/>
      <c r="L784" s="48"/>
      <c r="M784" s="48"/>
      <c r="N784" s="59"/>
      <c r="O784" s="59">
        <v>220000</v>
      </c>
      <c r="P784" s="59"/>
      <c r="Q784" s="268">
        <f t="shared" si="38"/>
        <v>220000</v>
      </c>
      <c r="R784" s="61">
        <f>IF(O784=0,0,SUMIFS(Disbursements!$T:$T,Disbursements!$B:$B,'Live Collections'!D784,Disbursements!$D:$D,'Live Collections'!F784))</f>
        <v>220000</v>
      </c>
      <c r="S784" s="304">
        <v>40000</v>
      </c>
      <c r="T784" s="304">
        <f t="shared" si="39"/>
        <v>180000</v>
      </c>
      <c r="U784" s="52"/>
      <c r="V784" s="34"/>
      <c r="W784" s="408"/>
    </row>
    <row r="785" spans="1:23" ht="12.75" customHeight="1" x14ac:dyDescent="0.2">
      <c r="A785" s="132">
        <v>763</v>
      </c>
      <c r="B785" s="44">
        <v>44439</v>
      </c>
      <c r="C785" s="44">
        <f t="shared" si="37"/>
        <v>44439</v>
      </c>
      <c r="D785" s="374">
        <v>202</v>
      </c>
      <c r="E785" s="291" t="str">
        <f>IFERROR(VLOOKUP($D785,'Clients-Live'!$A:$C,3,0),"")</f>
        <v>MUSEMA SWAIBU</v>
      </c>
      <c r="F785" s="291" t="str">
        <f>IFERROR(INDEX(Disbursements!$D:$D,MATCH('Live Collections'!G785,Disbursements!$C:$C,0)),"")</f>
        <v/>
      </c>
      <c r="G785" s="34"/>
      <c r="H785" s="34"/>
      <c r="I785" s="34" t="s">
        <v>1814</v>
      </c>
      <c r="J785" s="48">
        <v>15000</v>
      </c>
      <c r="K785" s="48">
        <v>5000</v>
      </c>
      <c r="L785" s="48"/>
      <c r="M785" s="48"/>
      <c r="N785" s="59"/>
      <c r="O785" s="59"/>
      <c r="P785" s="59"/>
      <c r="Q785" s="268">
        <f t="shared" si="38"/>
        <v>20000</v>
      </c>
      <c r="R785" s="61">
        <f>IF(O785=0,0,SUMIFS(Disbursements!$T:$T,Disbursements!$B:$B,'Live Collections'!D785,Disbursements!$D:$D,'Live Collections'!F785))</f>
        <v>0</v>
      </c>
      <c r="S785" s="304">
        <f>IF(O785&lt;=IF($O785=0,0,SUMIFS(Disbursements!$W:$W,Disbursements!$B:$B,'Live Collections'!D2399,Disbursements!$D:$D,'Live Collections'!F2399)),O785,IF($O785=0,0,SUMIFS(Disbursements!$W:$W,Disbursements!$B:$B,'Live Collections'!D2399,Disbursements!$D:$D,'Live Collections'!F2399)))</f>
        <v>0</v>
      </c>
      <c r="T785" s="304">
        <f t="shared" si="39"/>
        <v>0</v>
      </c>
      <c r="U785" s="52">
        <v>771218762</v>
      </c>
      <c r="V785" s="34"/>
      <c r="W785" s="408" t="s">
        <v>1254</v>
      </c>
    </row>
    <row r="786" spans="1:23" ht="12.75" customHeight="1" x14ac:dyDescent="0.2">
      <c r="A786" s="257">
        <v>787</v>
      </c>
      <c r="B786" s="44">
        <v>44440</v>
      </c>
      <c r="C786" s="44">
        <f t="shared" si="37"/>
        <v>44440</v>
      </c>
      <c r="D786" s="374">
        <v>40</v>
      </c>
      <c r="E786" s="291" t="str">
        <f>IFERROR(VLOOKUP($D786,'Clients-Live'!$A:$C,3,0),"")</f>
        <v>TABU JANE</v>
      </c>
      <c r="F786" s="291">
        <f>IFERROR(INDEX(Disbursements!$D:$D,MATCH('Live Collections'!G786,Disbursements!$C:$C,0)),"")</f>
        <v>1</v>
      </c>
      <c r="G786" s="34">
        <v>24</v>
      </c>
      <c r="H786" s="34"/>
      <c r="I786" s="34" t="s">
        <v>1358</v>
      </c>
      <c r="J786" s="48"/>
      <c r="K786" s="48"/>
      <c r="L786" s="48"/>
      <c r="M786" s="48"/>
      <c r="N786" s="59"/>
      <c r="O786" s="59">
        <v>150000</v>
      </c>
      <c r="P786" s="59"/>
      <c r="Q786" s="268">
        <f t="shared" si="38"/>
        <v>150000</v>
      </c>
      <c r="R786" s="61">
        <f>IF(O786=0,0,SUMIFS(Disbursements!$T:$T,Disbursements!$B:$B,'Live Collections'!D786,Disbursements!$D:$D,'Live Collections'!F786))</f>
        <v>150000</v>
      </c>
      <c r="S786" s="304">
        <f>IF(O786&lt;=IF($O786=0,0,SUMIFS(Disbursements!$W:$W,Disbursements!$B:$B,'Live Collections'!D434,Disbursements!$D:$D,'Live Collections'!F434)),O786,IF($O786=0,0,SUMIFS(Disbursements!$W:$W,Disbursements!$B:$B,'Live Collections'!D434,Disbursements!$D:$D,'Live Collections'!F434)))</f>
        <v>8000</v>
      </c>
      <c r="T786" s="304">
        <f t="shared" si="39"/>
        <v>142000</v>
      </c>
      <c r="U786" s="52"/>
      <c r="V786" s="34"/>
      <c r="W786" s="408"/>
    </row>
    <row r="787" spans="1:23" ht="12.75" customHeight="1" x14ac:dyDescent="0.2">
      <c r="A787" s="132">
        <v>786</v>
      </c>
      <c r="B787" s="44">
        <v>44440</v>
      </c>
      <c r="C787" s="44">
        <f t="shared" si="37"/>
        <v>44440</v>
      </c>
      <c r="D787" s="374">
        <v>48</v>
      </c>
      <c r="E787" s="291" t="str">
        <f>IFERROR(VLOOKUP($D787,'Clients-Live'!$A:$C,3,0),"")</f>
        <v>BAKO KASIA</v>
      </c>
      <c r="F787" s="291">
        <f>IFERROR(INDEX(Disbursements!$D:$D,MATCH('Live Collections'!G787,Disbursements!$C:$C,0)),"")</f>
        <v>1</v>
      </c>
      <c r="G787" s="34">
        <v>32</v>
      </c>
      <c r="H787" s="34"/>
      <c r="I787" s="34" t="s">
        <v>1358</v>
      </c>
      <c r="J787" s="48"/>
      <c r="K787" s="48"/>
      <c r="L787" s="48"/>
      <c r="M787" s="48"/>
      <c r="N787" s="59"/>
      <c r="O787" s="59">
        <v>20000</v>
      </c>
      <c r="P787" s="59"/>
      <c r="Q787" s="268">
        <f t="shared" si="38"/>
        <v>20000</v>
      </c>
      <c r="R787" s="61">
        <f>IF(O787=0,0,SUMIFS(Disbursements!$T:$T,Disbursements!$B:$B,'Live Collections'!D787,Disbursements!$D:$D,'Live Collections'!F787))</f>
        <v>150000</v>
      </c>
      <c r="S787" s="304">
        <f>IF(O787&lt;=IF($O787=0,0,SUMIFS(Disbursements!$W:$W,Disbursements!$B:$B,'Live Collections'!D553,Disbursements!$D:$D,'Live Collections'!F553)),O787,IF($O787=0,0,SUMIFS(Disbursements!$W:$W,Disbursements!$B:$B,'Live Collections'!D553,Disbursements!$D:$D,'Live Collections'!F553)))</f>
        <v>20000</v>
      </c>
      <c r="T787" s="304">
        <f t="shared" si="39"/>
        <v>0</v>
      </c>
      <c r="U787" s="52"/>
      <c r="V787" s="34"/>
      <c r="W787" s="408"/>
    </row>
    <row r="788" spans="1:23" ht="12.75" customHeight="1" x14ac:dyDescent="0.2">
      <c r="A788" s="257">
        <v>789</v>
      </c>
      <c r="B788" s="44">
        <v>44440</v>
      </c>
      <c r="C788" s="44">
        <f t="shared" si="37"/>
        <v>44440</v>
      </c>
      <c r="D788" s="374">
        <v>52</v>
      </c>
      <c r="E788" s="291" t="str">
        <f>IFERROR(VLOOKUP($D788,'Clients-Live'!$A:$C,3,0),"")</f>
        <v>EDEZU PEACE IRENE</v>
      </c>
      <c r="F788" s="291">
        <f>IFERROR(INDEX(Disbursements!$D:$D,MATCH('Live Collections'!G788,Disbursements!$C:$C,0)),"")</f>
        <v>1</v>
      </c>
      <c r="G788" s="34">
        <v>38</v>
      </c>
      <c r="H788" s="34"/>
      <c r="I788" s="34" t="s">
        <v>1357</v>
      </c>
      <c r="J788" s="48"/>
      <c r="K788" s="48"/>
      <c r="L788" s="48"/>
      <c r="M788" s="48"/>
      <c r="N788" s="59"/>
      <c r="O788" s="59">
        <v>40000</v>
      </c>
      <c r="P788" s="59"/>
      <c r="Q788" s="268">
        <f t="shared" si="38"/>
        <v>40000</v>
      </c>
      <c r="R788" s="61">
        <f>IF(O788=0,0,SUMIFS(Disbursements!$T:$T,Disbursements!$B:$B,'Live Collections'!D788,Disbursements!$D:$D,'Live Collections'!F788))</f>
        <v>150000</v>
      </c>
      <c r="S788" s="64">
        <v>-38000</v>
      </c>
      <c r="T788" s="304">
        <f t="shared" si="39"/>
        <v>78000</v>
      </c>
      <c r="U788" s="52"/>
      <c r="V788" s="34"/>
      <c r="W788" s="408" t="s">
        <v>2086</v>
      </c>
    </row>
    <row r="789" spans="1:23" ht="12.75" customHeight="1" x14ac:dyDescent="0.2">
      <c r="A789" s="132">
        <v>790</v>
      </c>
      <c r="B789" s="44">
        <v>44440</v>
      </c>
      <c r="C789" s="44">
        <f t="shared" si="37"/>
        <v>44440</v>
      </c>
      <c r="D789" s="374">
        <v>98</v>
      </c>
      <c r="E789" s="291" t="str">
        <f>IFERROR(VLOOKUP($D789,'Clients-Live'!$A:$C,3,0),"")</f>
        <v>AMANIYO CLARA</v>
      </c>
      <c r="F789" s="291">
        <f>IFERROR(INDEX(Disbursements!$D:$D,MATCH('Live Collections'!G789,Disbursements!$C:$C,0)),"")</f>
        <v>1</v>
      </c>
      <c r="G789" s="34">
        <v>81</v>
      </c>
      <c r="H789" s="34"/>
      <c r="I789" s="34" t="s">
        <v>1357</v>
      </c>
      <c r="J789" s="48"/>
      <c r="K789" s="48"/>
      <c r="L789" s="48"/>
      <c r="M789" s="48"/>
      <c r="N789" s="59"/>
      <c r="O789" s="59">
        <v>100000</v>
      </c>
      <c r="P789" s="59"/>
      <c r="Q789" s="268">
        <f t="shared" si="38"/>
        <v>100000</v>
      </c>
      <c r="R789" s="61">
        <f>IF(O789=0,0,SUMIFS(Disbursements!$T:$T,Disbursements!$B:$B,'Live Collections'!D789,Disbursements!$D:$D,'Live Collections'!F789))</f>
        <v>150000</v>
      </c>
      <c r="S789" s="64">
        <v>100000</v>
      </c>
      <c r="T789" s="304">
        <f t="shared" si="39"/>
        <v>0</v>
      </c>
      <c r="U789" s="52"/>
      <c r="V789" s="34"/>
      <c r="W789" s="408" t="s">
        <v>2086</v>
      </c>
    </row>
    <row r="790" spans="1:23" ht="12.75" customHeight="1" x14ac:dyDescent="0.2">
      <c r="A790" s="257">
        <v>785</v>
      </c>
      <c r="B790" s="44">
        <v>44440</v>
      </c>
      <c r="C790" s="44">
        <f t="shared" si="37"/>
        <v>44440</v>
      </c>
      <c r="D790" s="374">
        <v>103</v>
      </c>
      <c r="E790" s="291" t="str">
        <f>IFERROR(VLOOKUP($D790,'Clients-Live'!$A:$C,3,0),"")</f>
        <v>CHANDIRU ZABIB</v>
      </c>
      <c r="F790" s="291">
        <f>IFERROR(INDEX(Disbursements!$D:$D,MATCH('Live Collections'!G790,Disbursements!$C:$C,0)),"")</f>
        <v>1</v>
      </c>
      <c r="G790" s="34">
        <v>88</v>
      </c>
      <c r="H790" s="34"/>
      <c r="I790" s="34" t="s">
        <v>1358</v>
      </c>
      <c r="J790" s="48"/>
      <c r="K790" s="48"/>
      <c r="L790" s="48"/>
      <c r="M790" s="48"/>
      <c r="N790" s="59"/>
      <c r="O790" s="59">
        <v>10000</v>
      </c>
      <c r="P790" s="59"/>
      <c r="Q790" s="268">
        <f t="shared" si="38"/>
        <v>10000</v>
      </c>
      <c r="R790" s="61">
        <f>IF(O790=0,0,SUMIFS(Disbursements!$T:$T,Disbursements!$B:$B,'Live Collections'!D790,Disbursements!$D:$D,'Live Collections'!F790))</f>
        <v>120000</v>
      </c>
      <c r="S790" s="304">
        <f>IF(O790&lt;=IF($O790=0,0,SUMIFS(Disbursements!$W:$W,Disbursements!$B:$B,'Live Collections'!D1324,Disbursements!$D:$D,'Live Collections'!F1324)),O790,IF($O790=0,0,SUMIFS(Disbursements!$W:$W,Disbursements!$B:$B,'Live Collections'!D1324,Disbursements!$D:$D,'Live Collections'!F1324)))</f>
        <v>10000</v>
      </c>
      <c r="T790" s="304">
        <f t="shared" si="39"/>
        <v>0</v>
      </c>
      <c r="U790" s="52"/>
      <c r="V790" s="34"/>
      <c r="W790" s="408"/>
    </row>
    <row r="791" spans="1:23" ht="12.75" customHeight="1" x14ac:dyDescent="0.2">
      <c r="A791" s="132">
        <v>788</v>
      </c>
      <c r="B791" s="44">
        <v>44440</v>
      </c>
      <c r="C791" s="44">
        <f t="shared" si="37"/>
        <v>44440</v>
      </c>
      <c r="D791" s="374">
        <v>113</v>
      </c>
      <c r="E791" s="291" t="str">
        <f>IFERROR(VLOOKUP($D791,'Clients-Live'!$A:$C,3,0),"")</f>
        <v>ATIKU AMULE ISAAC</v>
      </c>
      <c r="F791" s="291">
        <f>IFERROR(INDEX(Disbursements!$D:$D,MATCH('Live Collections'!G791,Disbursements!$C:$C,0)),"")</f>
        <v>1</v>
      </c>
      <c r="G791" s="34">
        <v>92</v>
      </c>
      <c r="H791" s="34"/>
      <c r="I791" s="34" t="s">
        <v>1358</v>
      </c>
      <c r="J791" s="48"/>
      <c r="K791" s="48"/>
      <c r="L791" s="48"/>
      <c r="M791" s="48"/>
      <c r="N791" s="59"/>
      <c r="O791" s="59">
        <v>150000</v>
      </c>
      <c r="P791" s="59"/>
      <c r="Q791" s="268">
        <f t="shared" si="38"/>
        <v>150000</v>
      </c>
      <c r="R791" s="61">
        <f>IF(O791=0,0,SUMIFS(Disbursements!$T:$T,Disbursements!$B:$B,'Live Collections'!D791,Disbursements!$D:$D,'Live Collections'!F791))</f>
        <v>150000</v>
      </c>
      <c r="S791" s="304">
        <f>IF(O791&lt;=IF($O791=0,0,SUMIFS(Disbursements!$W:$W,Disbursements!$B:$B,'Live Collections'!D1441,Disbursements!$D:$D,'Live Collections'!F1441)),O791,IF($O791=0,0,SUMIFS(Disbursements!$W:$W,Disbursements!$B:$B,'Live Collections'!D1441,Disbursements!$D:$D,'Live Collections'!F1441)))</f>
        <v>15000</v>
      </c>
      <c r="T791" s="304">
        <f t="shared" si="39"/>
        <v>135000</v>
      </c>
      <c r="U791" s="52"/>
      <c r="V791" s="34"/>
      <c r="W791" s="408"/>
    </row>
    <row r="792" spans="1:23" ht="12.75" customHeight="1" x14ac:dyDescent="0.2">
      <c r="A792" s="257">
        <v>784</v>
      </c>
      <c r="B792" s="44">
        <v>44440</v>
      </c>
      <c r="C792" s="44">
        <f t="shared" si="37"/>
        <v>44440</v>
      </c>
      <c r="D792" s="374">
        <v>152</v>
      </c>
      <c r="E792" s="291" t="str">
        <f>IFERROR(VLOOKUP($D792,'Clients-Live'!$A:$C,3,0),"")</f>
        <v>ASE ZAINABU</v>
      </c>
      <c r="F792" s="291">
        <f>IFERROR(INDEX(Disbursements!$D:$D,MATCH('Live Collections'!G792,Disbursements!$C:$C,0)),"")</f>
        <v>1</v>
      </c>
      <c r="G792" s="34">
        <v>136</v>
      </c>
      <c r="H792" s="34">
        <v>1241</v>
      </c>
      <c r="I792" s="34" t="s">
        <v>1358</v>
      </c>
      <c r="J792" s="48"/>
      <c r="K792" s="48"/>
      <c r="L792" s="48"/>
      <c r="M792" s="48"/>
      <c r="N792" s="59"/>
      <c r="O792" s="59">
        <v>75000</v>
      </c>
      <c r="P792" s="59"/>
      <c r="Q792" s="268">
        <f t="shared" si="38"/>
        <v>75000</v>
      </c>
      <c r="R792" s="61">
        <f>IF(O792=0,0,SUMIFS(Disbursements!$T:$T,Disbursements!$B:$B,'Live Collections'!D792,Disbursements!$D:$D,'Live Collections'!F792))</f>
        <v>175000</v>
      </c>
      <c r="S792" s="304">
        <f>IF(O792&lt;=IF($O792=0,0,SUMIFS(Disbursements!$W:$W,Disbursements!$B:$B,'Live Collections'!D1910,Disbursements!$D:$D,'Live Collections'!F1910)),O792,IF($O792=0,0,SUMIFS(Disbursements!$W:$W,Disbursements!$B:$B,'Live Collections'!D1910,Disbursements!$D:$D,'Live Collections'!F1910)))</f>
        <v>50000</v>
      </c>
      <c r="T792" s="304">
        <f t="shared" si="39"/>
        <v>25000</v>
      </c>
      <c r="U792" s="52"/>
      <c r="V792" s="34"/>
      <c r="W792" s="408"/>
    </row>
    <row r="793" spans="1:23" ht="12.75" customHeight="1" x14ac:dyDescent="0.2">
      <c r="A793" s="132">
        <v>791</v>
      </c>
      <c r="B793" s="44">
        <v>44440</v>
      </c>
      <c r="C793" s="44">
        <f t="shared" si="37"/>
        <v>44440</v>
      </c>
      <c r="D793" s="374">
        <v>157</v>
      </c>
      <c r="E793" s="291" t="str">
        <f>IFERROR(VLOOKUP($D793,'Clients-Live'!$A:$C,3,0),"")</f>
        <v>AYITE MARGERT</v>
      </c>
      <c r="F793" s="291">
        <f>IFERROR(INDEX(Disbursements!$D:$D,MATCH('Live Collections'!G793,Disbursements!$C:$C,0)),"")</f>
        <v>1</v>
      </c>
      <c r="G793" s="34">
        <v>148</v>
      </c>
      <c r="H793" s="34"/>
      <c r="I793" s="34" t="s">
        <v>1358</v>
      </c>
      <c r="J793" s="48"/>
      <c r="K793" s="48"/>
      <c r="L793" s="48"/>
      <c r="M793" s="48"/>
      <c r="N793" s="59"/>
      <c r="O793" s="59">
        <v>150000</v>
      </c>
      <c r="P793" s="59"/>
      <c r="Q793" s="268">
        <f t="shared" si="38"/>
        <v>150000</v>
      </c>
      <c r="R793" s="61">
        <f>IF(O793=0,0,SUMIFS(Disbursements!$T:$T,Disbursements!$B:$B,'Live Collections'!D793,Disbursements!$D:$D,'Live Collections'!F793))</f>
        <v>150000</v>
      </c>
      <c r="S793" s="304">
        <f>IF(O793&lt;=IF($O793=0,0,SUMIFS(Disbursements!$W:$W,Disbursements!$B:$B,'Live Collections'!D1965,Disbursements!$D:$D,'Live Collections'!F1965)),O793,IF($O793=0,0,SUMIFS(Disbursements!$W:$W,Disbursements!$B:$B,'Live Collections'!D1965,Disbursements!$D:$D,'Live Collections'!F1965)))</f>
        <v>0</v>
      </c>
      <c r="T793" s="304">
        <f t="shared" si="39"/>
        <v>150000</v>
      </c>
      <c r="U793" s="52"/>
      <c r="V793" s="34"/>
      <c r="W793" s="408"/>
    </row>
    <row r="794" spans="1:23" ht="12.75" customHeight="1" x14ac:dyDescent="0.2">
      <c r="A794" s="257">
        <v>782</v>
      </c>
      <c r="B794" s="44">
        <v>44440</v>
      </c>
      <c r="C794" s="44">
        <f t="shared" si="37"/>
        <v>44440</v>
      </c>
      <c r="D794" s="374">
        <v>199</v>
      </c>
      <c r="E794" s="291" t="str">
        <f>IFERROR(VLOOKUP($D794,'Clients-Live'!$A:$C,3,0),"")</f>
        <v>OTHIM JIMMY</v>
      </c>
      <c r="F794" s="291">
        <f>IFERROR(INDEX(Disbursements!$D:$D,MATCH('Live Collections'!G794,Disbursements!$C:$C,0)),"")</f>
        <v>1</v>
      </c>
      <c r="G794" s="34">
        <v>196</v>
      </c>
      <c r="H794" s="34"/>
      <c r="I794" s="34" t="s">
        <v>862</v>
      </c>
      <c r="J794" s="48"/>
      <c r="K794" s="48"/>
      <c r="L794" s="48">
        <v>15000</v>
      </c>
      <c r="M794" s="48">
        <v>5000</v>
      </c>
      <c r="N794" s="59"/>
      <c r="O794" s="59"/>
      <c r="P794" s="59">
        <v>70000</v>
      </c>
      <c r="Q794" s="268">
        <f t="shared" si="38"/>
        <v>90000</v>
      </c>
      <c r="R794" s="61">
        <f>IF(O794=0,0,SUMIFS(Disbursements!$T:$T,Disbursements!$B:$B,'Live Collections'!D794,Disbursements!$D:$D,'Live Collections'!F794))</f>
        <v>0</v>
      </c>
      <c r="S794" s="304">
        <f>IF(O794&lt;=IF($O794=0,0,SUMIFS(Disbursements!$W:$W,Disbursements!$B:$B,'Live Collections'!D2376,Disbursements!$D:$D,'Live Collections'!F2376)),O794,IF($O794=0,0,SUMIFS(Disbursements!$W:$W,Disbursements!$B:$B,'Live Collections'!D2376,Disbursements!$D:$D,'Live Collections'!F2376)))</f>
        <v>0</v>
      </c>
      <c r="T794" s="304">
        <f t="shared" si="39"/>
        <v>0</v>
      </c>
      <c r="U794" s="52"/>
      <c r="V794" s="34"/>
      <c r="W794" s="408"/>
    </row>
    <row r="795" spans="1:23" ht="12.75" customHeight="1" x14ac:dyDescent="0.2">
      <c r="A795" s="132">
        <v>783</v>
      </c>
      <c r="B795" s="44">
        <v>44440</v>
      </c>
      <c r="C795" s="44">
        <f t="shared" si="37"/>
        <v>44440</v>
      </c>
      <c r="D795" s="374">
        <v>202</v>
      </c>
      <c r="E795" s="291" t="str">
        <f>IFERROR(VLOOKUP($D795,'Clients-Live'!$A:$C,3,0),"")</f>
        <v>MUSEMA SWAIBU</v>
      </c>
      <c r="F795" s="291">
        <f>IFERROR(INDEX(Disbursements!$D:$D,MATCH('Live Collections'!G795,Disbursements!$C:$C,0)),"")</f>
        <v>1</v>
      </c>
      <c r="G795" s="34">
        <v>197</v>
      </c>
      <c r="H795" s="34"/>
      <c r="I795" s="34" t="s">
        <v>863</v>
      </c>
      <c r="J795" s="48"/>
      <c r="K795" s="48"/>
      <c r="L795" s="48">
        <v>20000</v>
      </c>
      <c r="M795" s="48">
        <v>5000</v>
      </c>
      <c r="N795" s="59"/>
      <c r="O795" s="59"/>
      <c r="P795" s="59">
        <v>150000</v>
      </c>
      <c r="Q795" s="268">
        <f t="shared" si="38"/>
        <v>175000</v>
      </c>
      <c r="R795" s="61">
        <f>IF(O795=0,0,SUMIFS(Disbursements!$T:$T,Disbursements!$B:$B,'Live Collections'!D795,Disbursements!$D:$D,'Live Collections'!F795))</f>
        <v>0</v>
      </c>
      <c r="S795" s="304">
        <f>IF(O795&lt;=IF($O795=0,0,SUMIFS(Disbursements!$W:$W,Disbursements!$B:$B,'Live Collections'!D2400,Disbursements!$D:$D,'Live Collections'!F2400)),O795,IF($O795=0,0,SUMIFS(Disbursements!$W:$W,Disbursements!$B:$B,'Live Collections'!D2400,Disbursements!$D:$D,'Live Collections'!F2400)))</f>
        <v>0</v>
      </c>
      <c r="T795" s="304">
        <f t="shared" si="39"/>
        <v>0</v>
      </c>
      <c r="U795" s="52"/>
      <c r="V795" s="34"/>
      <c r="W795" s="408"/>
    </row>
    <row r="796" spans="1:23" ht="12.75" customHeight="1" x14ac:dyDescent="0.2">
      <c r="A796" s="257">
        <v>776</v>
      </c>
      <c r="B796" s="44">
        <v>44440</v>
      </c>
      <c r="C796" s="44">
        <f t="shared" si="37"/>
        <v>44440</v>
      </c>
      <c r="D796" s="374">
        <v>203</v>
      </c>
      <c r="E796" s="291" t="str">
        <f>IFERROR(VLOOKUP($D796,'Clients-Live'!$A:$C,3,0),"")</f>
        <v>AMANDU JUSTUS</v>
      </c>
      <c r="F796" s="291" t="str">
        <f>IFERROR(INDEX(Disbursements!$D:$D,MATCH('Live Collections'!G796,Disbursements!$C:$C,0)),"")</f>
        <v/>
      </c>
      <c r="G796" s="34"/>
      <c r="H796" s="34"/>
      <c r="I796" s="34" t="s">
        <v>1814</v>
      </c>
      <c r="J796" s="48">
        <v>15000</v>
      </c>
      <c r="K796" s="48">
        <v>5000</v>
      </c>
      <c r="L796" s="48"/>
      <c r="M796" s="48"/>
      <c r="N796" s="59"/>
      <c r="O796" s="59"/>
      <c r="P796" s="59"/>
      <c r="Q796" s="268">
        <f t="shared" si="38"/>
        <v>20000</v>
      </c>
      <c r="R796" s="61">
        <f>IF(O796=0,0,SUMIFS(Disbursements!$T:$T,Disbursements!$B:$B,'Live Collections'!D796,Disbursements!$D:$D,'Live Collections'!F796))</f>
        <v>0</v>
      </c>
      <c r="S796" s="304">
        <f>IF(O796&lt;=IF($O796=0,0,SUMIFS(Disbursements!$W:$W,Disbursements!$B:$B,'Live Collections'!D2413,Disbursements!$D:$D,'Live Collections'!F2413)),O796,IF($O796=0,0,SUMIFS(Disbursements!$W:$W,Disbursements!$B:$B,'Live Collections'!D2413,Disbursements!$D:$D,'Live Collections'!F2413)))</f>
        <v>0</v>
      </c>
      <c r="T796" s="304">
        <f t="shared" si="39"/>
        <v>0</v>
      </c>
      <c r="U796" s="52">
        <v>771366069</v>
      </c>
      <c r="V796" s="34">
        <v>788445708</v>
      </c>
      <c r="W796" s="408"/>
    </row>
    <row r="797" spans="1:23" ht="12.75" customHeight="1" x14ac:dyDescent="0.2">
      <c r="A797" s="132">
        <v>777</v>
      </c>
      <c r="B797" s="44">
        <v>44440</v>
      </c>
      <c r="C797" s="44">
        <f t="shared" si="37"/>
        <v>44440</v>
      </c>
      <c r="D797" s="374">
        <v>204</v>
      </c>
      <c r="E797" s="291" t="str">
        <f>IFERROR(VLOOKUP($D797,'Clients-Live'!$A:$C,3,0),"")</f>
        <v>DRAMADRI AHUMED OKUNI</v>
      </c>
      <c r="F797" s="291" t="str">
        <f>IFERROR(INDEX(Disbursements!$D:$D,MATCH('Live Collections'!G797,Disbursements!$C:$C,0)),"")</f>
        <v/>
      </c>
      <c r="G797" s="34"/>
      <c r="H797" s="34"/>
      <c r="I797" s="34" t="s">
        <v>1814</v>
      </c>
      <c r="J797" s="48">
        <v>15000</v>
      </c>
      <c r="K797" s="48">
        <v>5000</v>
      </c>
      <c r="L797" s="48"/>
      <c r="M797" s="48"/>
      <c r="N797" s="59"/>
      <c r="O797" s="59"/>
      <c r="P797" s="59"/>
      <c r="Q797" s="268">
        <f t="shared" si="38"/>
        <v>20000</v>
      </c>
      <c r="R797" s="61">
        <f>IF(O797=0,0,SUMIFS(Disbursements!$T:$T,Disbursements!$B:$B,'Live Collections'!D797,Disbursements!$D:$D,'Live Collections'!F797))</f>
        <v>0</v>
      </c>
      <c r="S797" s="304">
        <f>IF(O797&lt;=IF($O797=0,0,SUMIFS(Disbursements!$W:$W,Disbursements!$B:$B,'Live Collections'!D2414,Disbursements!$D:$D,'Live Collections'!F2414)),O797,IF($O797=0,0,SUMIFS(Disbursements!$W:$W,Disbursements!$B:$B,'Live Collections'!D2414,Disbursements!$D:$D,'Live Collections'!F2414)))</f>
        <v>0</v>
      </c>
      <c r="T797" s="304">
        <f t="shared" si="39"/>
        <v>0</v>
      </c>
      <c r="U797" s="52">
        <v>773301020</v>
      </c>
      <c r="V797" s="34">
        <v>782907654</v>
      </c>
      <c r="W797" s="408"/>
    </row>
    <row r="798" spans="1:23" ht="12.75" customHeight="1" x14ac:dyDescent="0.2">
      <c r="A798" s="257">
        <v>778</v>
      </c>
      <c r="B798" s="44">
        <v>44440</v>
      </c>
      <c r="C798" s="44">
        <f t="shared" si="37"/>
        <v>44440</v>
      </c>
      <c r="D798" s="374">
        <v>205</v>
      </c>
      <c r="E798" s="291" t="str">
        <f>IFERROR(VLOOKUP($D798,'Clients-Live'!$A:$C,3,0),"")</f>
        <v>OPIRU ALICE</v>
      </c>
      <c r="F798" s="291" t="str">
        <f>IFERROR(INDEX(Disbursements!$D:$D,MATCH('Live Collections'!G798,Disbursements!$C:$C,0)),"")</f>
        <v/>
      </c>
      <c r="G798" s="34"/>
      <c r="H798" s="34"/>
      <c r="I798" s="34" t="s">
        <v>1814</v>
      </c>
      <c r="J798" s="48">
        <v>15000</v>
      </c>
      <c r="K798" s="48">
        <v>5000</v>
      </c>
      <c r="L798" s="48"/>
      <c r="M798" s="48"/>
      <c r="N798" s="59"/>
      <c r="O798" s="59"/>
      <c r="P798" s="59"/>
      <c r="Q798" s="268">
        <f t="shared" si="38"/>
        <v>20000</v>
      </c>
      <c r="R798" s="61">
        <f>IF(O798=0,0,SUMIFS(Disbursements!$T:$T,Disbursements!$B:$B,'Live Collections'!D798,Disbursements!$D:$D,'Live Collections'!F798))</f>
        <v>0</v>
      </c>
      <c r="S798" s="304">
        <f>IF(O798&lt;=IF($O798=0,0,SUMIFS(Disbursements!$W:$W,Disbursements!$B:$B,'Live Collections'!D2418,Disbursements!$D:$D,'Live Collections'!F2418)),O798,IF($O798=0,0,SUMIFS(Disbursements!$W:$W,Disbursements!$B:$B,'Live Collections'!D2418,Disbursements!$D:$D,'Live Collections'!F2418)))</f>
        <v>0</v>
      </c>
      <c r="T798" s="304">
        <f t="shared" si="39"/>
        <v>0</v>
      </c>
      <c r="U798" s="52"/>
      <c r="V798" s="34"/>
      <c r="W798" s="408"/>
    </row>
    <row r="799" spans="1:23" ht="12.75" customHeight="1" x14ac:dyDescent="0.2">
      <c r="A799" s="132">
        <v>779</v>
      </c>
      <c r="B799" s="44">
        <v>44440</v>
      </c>
      <c r="C799" s="44">
        <f t="shared" si="37"/>
        <v>44440</v>
      </c>
      <c r="D799" s="374">
        <v>206</v>
      </c>
      <c r="E799" s="291" t="str">
        <f>IFERROR(VLOOKUP($D799,'Clients-Live'!$A:$C,3,0),"")</f>
        <v>AMILE AISHA</v>
      </c>
      <c r="F799" s="291" t="str">
        <f>IFERROR(INDEX(Disbursements!$D:$D,MATCH('Live Collections'!G799,Disbursements!$C:$C,0)),"")</f>
        <v/>
      </c>
      <c r="G799" s="34"/>
      <c r="H799" s="34">
        <v>1248</v>
      </c>
      <c r="I799" s="34" t="s">
        <v>1814</v>
      </c>
      <c r="J799" s="48">
        <v>15000</v>
      </c>
      <c r="K799" s="48">
        <v>5000</v>
      </c>
      <c r="L799" s="48"/>
      <c r="M799" s="48"/>
      <c r="N799" s="59"/>
      <c r="O799" s="59"/>
      <c r="P799" s="59"/>
      <c r="Q799" s="268">
        <f t="shared" si="38"/>
        <v>20000</v>
      </c>
      <c r="R799" s="61">
        <f>IF(O799=0,0,SUMIFS(Disbursements!$T:$T,Disbursements!$B:$B,'Live Collections'!D799,Disbursements!$D:$D,'Live Collections'!F799))</f>
        <v>0</v>
      </c>
      <c r="S799" s="304">
        <f>IF(O799&lt;=IF($O799=0,0,SUMIFS(Disbursements!$W:$W,Disbursements!$B:$B,'Live Collections'!D2434,Disbursements!$D:$D,'Live Collections'!F2434)),O799,IF($O799=0,0,SUMIFS(Disbursements!$W:$W,Disbursements!$B:$B,'Live Collections'!D2434,Disbursements!$D:$D,'Live Collections'!F2434)))</f>
        <v>0</v>
      </c>
      <c r="T799" s="304">
        <f t="shared" si="39"/>
        <v>0</v>
      </c>
      <c r="U799" s="52"/>
      <c r="V799" s="34"/>
      <c r="W799" s="408"/>
    </row>
    <row r="800" spans="1:23" ht="12.75" customHeight="1" x14ac:dyDescent="0.2">
      <c r="A800" s="257">
        <v>780</v>
      </c>
      <c r="B800" s="44">
        <v>44440</v>
      </c>
      <c r="C800" s="44">
        <f t="shared" si="37"/>
        <v>44440</v>
      </c>
      <c r="D800" s="374">
        <v>207</v>
      </c>
      <c r="E800" s="291" t="str">
        <f>IFERROR(VLOOKUP($D800,'Clients-Live'!$A:$C,3,0),"")</f>
        <v>DRARU IRENE</v>
      </c>
      <c r="F800" s="291" t="str">
        <f>IFERROR(INDEX(Disbursements!$D:$D,MATCH('Live Collections'!G800,Disbursements!$C:$C,0)),"")</f>
        <v/>
      </c>
      <c r="G800" s="34"/>
      <c r="H800" s="34"/>
      <c r="I800" s="34" t="s">
        <v>1814</v>
      </c>
      <c r="J800" s="48">
        <v>15000</v>
      </c>
      <c r="K800" s="48">
        <v>5000</v>
      </c>
      <c r="L800" s="48"/>
      <c r="M800" s="48"/>
      <c r="N800" s="59"/>
      <c r="O800" s="59"/>
      <c r="P800" s="59"/>
      <c r="Q800" s="268">
        <f t="shared" si="38"/>
        <v>20000</v>
      </c>
      <c r="R800" s="61">
        <f>IF(O800=0,0,SUMIFS(Disbursements!$T:$T,Disbursements!$B:$B,'Live Collections'!D800,Disbursements!$D:$D,'Live Collections'!F800))</f>
        <v>0</v>
      </c>
      <c r="S800" s="304">
        <f>IF(O800&lt;=IF($O800=0,0,SUMIFS(Disbursements!$W:$W,Disbursements!$B:$B,'Live Collections'!D2447,Disbursements!$D:$D,'Live Collections'!F2447)),O800,IF($O800=0,0,SUMIFS(Disbursements!$W:$W,Disbursements!$B:$B,'Live Collections'!D2447,Disbursements!$D:$D,'Live Collections'!F2447)))</f>
        <v>0</v>
      </c>
      <c r="T800" s="304">
        <f t="shared" si="39"/>
        <v>0</v>
      </c>
      <c r="U800" s="52">
        <v>778119975</v>
      </c>
      <c r="V800" s="34"/>
      <c r="W800" s="408"/>
    </row>
    <row r="801" spans="1:23" ht="12.75" customHeight="1" x14ac:dyDescent="0.2">
      <c r="A801" s="132">
        <v>781</v>
      </c>
      <c r="B801" s="44">
        <v>44440</v>
      </c>
      <c r="C801" s="44">
        <f t="shared" si="37"/>
        <v>44440</v>
      </c>
      <c r="D801" s="374">
        <v>208</v>
      </c>
      <c r="E801" s="291" t="str">
        <f>IFERROR(VLOOKUP($D801,'Clients-Live'!$A:$C,3,0),"")</f>
        <v>TIKO RAIMA</v>
      </c>
      <c r="F801" s="291" t="str">
        <f>IFERROR(INDEX(Disbursements!$D:$D,MATCH('Live Collections'!G801,Disbursements!$C:$C,0)),"")</f>
        <v/>
      </c>
      <c r="G801" s="34"/>
      <c r="H801" s="34"/>
      <c r="I801" s="34" t="s">
        <v>1814</v>
      </c>
      <c r="J801" s="48">
        <v>15000</v>
      </c>
      <c r="K801" s="48">
        <v>5000</v>
      </c>
      <c r="L801" s="48"/>
      <c r="M801" s="48"/>
      <c r="N801" s="59"/>
      <c r="O801" s="59"/>
      <c r="P801" s="59"/>
      <c r="Q801" s="268">
        <f t="shared" si="38"/>
        <v>20000</v>
      </c>
      <c r="R801" s="61">
        <f>IF(O801=0,0,SUMIFS(Disbursements!$T:$T,Disbursements!$B:$B,'Live Collections'!D801,Disbursements!$D:$D,'Live Collections'!F801))</f>
        <v>0</v>
      </c>
      <c r="S801" s="304">
        <f>IF(O801&lt;=IF($O801=0,0,SUMIFS(Disbursements!$W:$W,Disbursements!$B:$B,'Live Collections'!D2455,Disbursements!$D:$D,'Live Collections'!F2455)),O801,IF($O801=0,0,SUMIFS(Disbursements!$W:$W,Disbursements!$B:$B,'Live Collections'!D2455,Disbursements!$D:$D,'Live Collections'!F2455)))</f>
        <v>0</v>
      </c>
      <c r="T801" s="304">
        <f t="shared" si="39"/>
        <v>0</v>
      </c>
      <c r="U801" s="52">
        <v>778622393</v>
      </c>
      <c r="V801" s="34"/>
      <c r="W801" s="408"/>
    </row>
    <row r="802" spans="1:23" ht="12.75" customHeight="1" x14ac:dyDescent="0.2">
      <c r="A802" s="257">
        <v>799</v>
      </c>
      <c r="B802" s="44">
        <v>44441</v>
      </c>
      <c r="C802" s="44">
        <f t="shared" si="37"/>
        <v>44441</v>
      </c>
      <c r="D802" s="374">
        <v>108</v>
      </c>
      <c r="E802" s="291" t="str">
        <f>IFERROR(VLOOKUP($D802,'Clients-Live'!$A:$C,3,0),"")</f>
        <v>DUDU JOICE</v>
      </c>
      <c r="F802" s="291">
        <f>IFERROR(INDEX(Disbursements!$D:$D,MATCH('Live Collections'!G802,Disbursements!$C:$C,0)),"")</f>
        <v>1</v>
      </c>
      <c r="G802" s="34">
        <v>91</v>
      </c>
      <c r="H802" s="34"/>
      <c r="I802" s="34" t="s">
        <v>1359</v>
      </c>
      <c r="J802" s="48"/>
      <c r="K802" s="48"/>
      <c r="L802" s="48"/>
      <c r="M802" s="48"/>
      <c r="N802" s="59"/>
      <c r="O802" s="59">
        <v>160000</v>
      </c>
      <c r="P802" s="59"/>
      <c r="Q802" s="268">
        <f t="shared" si="38"/>
        <v>160000</v>
      </c>
      <c r="R802" s="61">
        <f>IF(O802=0,0,SUMIFS(Disbursements!$T:$T,Disbursements!$B:$B,'Live Collections'!D802,Disbursements!$D:$D,'Live Collections'!F802))</f>
        <v>180000</v>
      </c>
      <c r="S802" s="304">
        <f>IF(O802&lt;=IF($O802=0,0,SUMIFS(Disbursements!$W:$W,Disbursements!$B:$B,'Live Collections'!D1386,Disbursements!$D:$D,'Live Collections'!F1386)),O802,IF($O802=0,0,SUMIFS(Disbursements!$W:$W,Disbursements!$B:$B,'Live Collections'!D1386,Disbursements!$D:$D,'Live Collections'!F1386)))</f>
        <v>0</v>
      </c>
      <c r="T802" s="304">
        <f t="shared" si="39"/>
        <v>160000</v>
      </c>
      <c r="U802" s="52"/>
      <c r="V802" s="34"/>
      <c r="W802" s="408"/>
    </row>
    <row r="803" spans="1:23" ht="12.75" customHeight="1" x14ac:dyDescent="0.2">
      <c r="A803" s="132">
        <v>797</v>
      </c>
      <c r="B803" s="44">
        <v>44441</v>
      </c>
      <c r="C803" s="44">
        <f t="shared" si="37"/>
        <v>44441</v>
      </c>
      <c r="D803" s="374">
        <v>141</v>
      </c>
      <c r="E803" s="291" t="str">
        <f>IFERROR(VLOOKUP($D803,'Clients-Live'!$A:$C,3,0),"")</f>
        <v>DRAMANI WILFRED</v>
      </c>
      <c r="F803" s="291">
        <v>1</v>
      </c>
      <c r="G803" s="34">
        <v>124</v>
      </c>
      <c r="H803" s="34"/>
      <c r="I803" s="34" t="s">
        <v>1359</v>
      </c>
      <c r="J803" s="48"/>
      <c r="K803" s="48"/>
      <c r="L803" s="48"/>
      <c r="M803" s="48"/>
      <c r="N803" s="59"/>
      <c r="O803" s="59">
        <v>307000</v>
      </c>
      <c r="P803" s="59"/>
      <c r="Q803" s="268">
        <f t="shared" si="38"/>
        <v>307000</v>
      </c>
      <c r="R803" s="61">
        <f>IF(O803=0,0,SUMIFS(Disbursements!$T:$T,Disbursements!$B:$B,'Live Collections'!D803,Disbursements!$D:$D,'Live Collections'!F803))</f>
        <v>154000</v>
      </c>
      <c r="S803" s="304"/>
      <c r="T803" s="304">
        <f t="shared" si="39"/>
        <v>307000</v>
      </c>
      <c r="U803" s="52"/>
      <c r="V803" s="34"/>
      <c r="W803" s="408"/>
    </row>
    <row r="804" spans="1:23" ht="12.75" customHeight="1" x14ac:dyDescent="0.2">
      <c r="A804" s="257">
        <v>798</v>
      </c>
      <c r="B804" s="44">
        <v>44441</v>
      </c>
      <c r="C804" s="44">
        <f t="shared" si="37"/>
        <v>44441</v>
      </c>
      <c r="D804" s="374">
        <v>164</v>
      </c>
      <c r="E804" s="291" t="str">
        <f>IFERROR(VLOOKUP($D804,'Clients-Live'!$A:$C,3,0),"")</f>
        <v>ARIKE SWAIB</v>
      </c>
      <c r="F804" s="291">
        <f>IFERROR(INDEX(Disbursements!$D:$D,MATCH('Live Collections'!G804,Disbursements!$C:$C,0)),"")</f>
        <v>1</v>
      </c>
      <c r="G804" s="34">
        <v>154</v>
      </c>
      <c r="H804" s="34"/>
      <c r="I804" s="34" t="s">
        <v>1357</v>
      </c>
      <c r="J804" s="48"/>
      <c r="K804" s="48"/>
      <c r="L804" s="48"/>
      <c r="M804" s="48"/>
      <c r="N804" s="59"/>
      <c r="O804" s="59">
        <v>111000</v>
      </c>
      <c r="P804" s="59"/>
      <c r="Q804" s="268">
        <f t="shared" si="38"/>
        <v>111000</v>
      </c>
      <c r="R804" s="61">
        <f>IF(O804=0,0,SUMIFS(Disbursements!$T:$T,Disbursements!$B:$B,'Live Collections'!D804,Disbursements!$D:$D,'Live Collections'!F804))</f>
        <v>109000</v>
      </c>
      <c r="S804" s="304">
        <f>IF(O804&lt;=IF($O804=0,0,SUMIFS(Disbursements!$W:$W,Disbursements!$B:$B,'Live Collections'!D2027,Disbursements!$D:$D,'Live Collections'!F2027)),O804,IF($O804=0,0,SUMIFS(Disbursements!$W:$W,Disbursements!$B:$B,'Live Collections'!D2027,Disbursements!$D:$D,'Live Collections'!F2027)))</f>
        <v>35000</v>
      </c>
      <c r="T804" s="304">
        <f t="shared" si="39"/>
        <v>76000</v>
      </c>
      <c r="U804" s="52"/>
      <c r="V804" s="34"/>
      <c r="W804" s="408"/>
    </row>
    <row r="805" spans="1:23" ht="12.75" customHeight="1" x14ac:dyDescent="0.2">
      <c r="A805" s="132">
        <v>796</v>
      </c>
      <c r="B805" s="44">
        <v>44441</v>
      </c>
      <c r="C805" s="44">
        <f t="shared" si="37"/>
        <v>44441</v>
      </c>
      <c r="D805" s="374">
        <v>204</v>
      </c>
      <c r="E805" s="291" t="str">
        <f>IFERROR(VLOOKUP($D805,'Clients-Live'!$A:$C,3,0),"")</f>
        <v>DRAMADRI AHUMED OKUNI</v>
      </c>
      <c r="F805" s="291">
        <f>IFERROR(INDEX(Disbursements!$D:$D,MATCH('Live Collections'!G805,Disbursements!$C:$C,0)),"")</f>
        <v>1</v>
      </c>
      <c r="G805" s="34">
        <v>198</v>
      </c>
      <c r="H805" s="34"/>
      <c r="I805" s="34" t="s">
        <v>864</v>
      </c>
      <c r="J805" s="48"/>
      <c r="K805" s="48"/>
      <c r="L805" s="48">
        <v>15000</v>
      </c>
      <c r="M805" s="48">
        <v>5000</v>
      </c>
      <c r="N805" s="59"/>
      <c r="O805" s="59"/>
      <c r="P805" s="59">
        <v>100000</v>
      </c>
      <c r="Q805" s="268">
        <f t="shared" si="38"/>
        <v>120000</v>
      </c>
      <c r="R805" s="61">
        <f>IF(O805=0,0,SUMIFS(Disbursements!$T:$T,Disbursements!$B:$B,'Live Collections'!D805,Disbursements!$D:$D,'Live Collections'!F805))</f>
        <v>0</v>
      </c>
      <c r="S805" s="304">
        <f>IF(O805&lt;=IF($O805=0,0,SUMIFS(Disbursements!$W:$W,Disbursements!$B:$B,'Live Collections'!D2415,Disbursements!$D:$D,'Live Collections'!F2415)),O805,IF($O805=0,0,SUMIFS(Disbursements!$W:$W,Disbursements!$B:$B,'Live Collections'!D2415,Disbursements!$D:$D,'Live Collections'!F2415)))</f>
        <v>0</v>
      </c>
      <c r="T805" s="304">
        <f t="shared" si="39"/>
        <v>0</v>
      </c>
      <c r="U805" s="52"/>
      <c r="V805" s="34"/>
      <c r="W805" s="408"/>
    </row>
    <row r="806" spans="1:23" ht="12.75" customHeight="1" x14ac:dyDescent="0.2">
      <c r="A806" s="257">
        <v>792</v>
      </c>
      <c r="B806" s="44">
        <v>44441</v>
      </c>
      <c r="C806" s="44">
        <f t="shared" si="37"/>
        <v>44441</v>
      </c>
      <c r="D806" s="374">
        <v>209</v>
      </c>
      <c r="E806" s="291" t="str">
        <f>IFERROR(VLOOKUP($D806,'Clients-Live'!$A:$C,3,0),"")</f>
        <v>ADUI ISMAIL</v>
      </c>
      <c r="F806" s="291" t="str">
        <f>IFERROR(INDEX(Disbursements!$D:$D,MATCH('Live Collections'!G806,Disbursements!$C:$C,0)),"")</f>
        <v/>
      </c>
      <c r="G806" s="34"/>
      <c r="H806" s="34"/>
      <c r="I806" s="34" t="s">
        <v>1814</v>
      </c>
      <c r="J806" s="48">
        <v>15000</v>
      </c>
      <c r="K806" s="48">
        <v>5000</v>
      </c>
      <c r="L806" s="48"/>
      <c r="M806" s="48"/>
      <c r="N806" s="59"/>
      <c r="O806" s="59"/>
      <c r="P806" s="59"/>
      <c r="Q806" s="268">
        <f t="shared" si="38"/>
        <v>20000</v>
      </c>
      <c r="R806" s="61">
        <f>IF(O806=0,0,SUMIFS(Disbursements!$T:$T,Disbursements!$B:$B,'Live Collections'!D806,Disbursements!$D:$D,'Live Collections'!F806))</f>
        <v>0</v>
      </c>
      <c r="S806" s="304">
        <f>IF(O806&lt;=IF($O806=0,0,SUMIFS(Disbursements!$W:$W,Disbursements!$B:$B,'Live Collections'!D2466,Disbursements!$D:$D,'Live Collections'!F2466)),O806,IF($O806=0,0,SUMIFS(Disbursements!$W:$W,Disbursements!$B:$B,'Live Collections'!D2466,Disbursements!$D:$D,'Live Collections'!F2466)))</f>
        <v>0</v>
      </c>
      <c r="T806" s="304">
        <f t="shared" si="39"/>
        <v>0</v>
      </c>
      <c r="U806" s="52">
        <v>770339216</v>
      </c>
      <c r="V806" s="34"/>
      <c r="W806" s="408"/>
    </row>
    <row r="807" spans="1:23" ht="12.75" customHeight="1" x14ac:dyDescent="0.2">
      <c r="A807" s="132">
        <v>793</v>
      </c>
      <c r="B807" s="44">
        <v>44441</v>
      </c>
      <c r="C807" s="44">
        <f t="shared" si="37"/>
        <v>44441</v>
      </c>
      <c r="D807" s="374">
        <v>210</v>
      </c>
      <c r="E807" s="291" t="str">
        <f>IFERROR(VLOOKUP($D807,'Clients-Live'!$A:$C,3,0),"")</f>
        <v>ADRILI ZAHARA</v>
      </c>
      <c r="F807" s="291" t="str">
        <f>IFERROR(INDEX(Disbursements!$D:$D,MATCH('Live Collections'!G807,Disbursements!$C:$C,0)),"")</f>
        <v/>
      </c>
      <c r="G807" s="34"/>
      <c r="H807" s="34"/>
      <c r="I807" s="34" t="s">
        <v>1814</v>
      </c>
      <c r="J807" s="48">
        <v>15000</v>
      </c>
      <c r="K807" s="48">
        <v>5000</v>
      </c>
      <c r="L807" s="48"/>
      <c r="M807" s="48"/>
      <c r="N807" s="59"/>
      <c r="O807" s="59"/>
      <c r="P807" s="59"/>
      <c r="Q807" s="268">
        <f t="shared" si="38"/>
        <v>20000</v>
      </c>
      <c r="R807" s="61">
        <f>IF(O807=0,0,SUMIFS(Disbursements!$T:$T,Disbursements!$B:$B,'Live Collections'!D807,Disbursements!$D:$D,'Live Collections'!F807))</f>
        <v>0</v>
      </c>
      <c r="S807" s="304">
        <f>IF(O807&lt;=IF($O807=0,0,SUMIFS(Disbursements!$W:$W,Disbursements!$B:$B,'Live Collections'!D2476,Disbursements!$D:$D,'Live Collections'!F2476)),O807,IF($O807=0,0,SUMIFS(Disbursements!$W:$W,Disbursements!$B:$B,'Live Collections'!D2476,Disbursements!$D:$D,'Live Collections'!F2476)))</f>
        <v>0</v>
      </c>
      <c r="T807" s="304">
        <f t="shared" si="39"/>
        <v>0</v>
      </c>
      <c r="U807" s="52">
        <v>772233537</v>
      </c>
      <c r="V807" s="34"/>
      <c r="W807" s="408"/>
    </row>
    <row r="808" spans="1:23" ht="12.75" customHeight="1" x14ac:dyDescent="0.2">
      <c r="A808" s="257">
        <v>794</v>
      </c>
      <c r="B808" s="44">
        <v>44441</v>
      </c>
      <c r="C808" s="44">
        <f t="shared" si="37"/>
        <v>44441</v>
      </c>
      <c r="D808" s="374">
        <v>211</v>
      </c>
      <c r="E808" s="291" t="str">
        <f>IFERROR(VLOOKUP($D808,'Clients-Live'!$A:$C,3,0),"")</f>
        <v>WILARU JOYCE</v>
      </c>
      <c r="F808" s="291" t="str">
        <f>IFERROR(INDEX(Disbursements!$D:$D,MATCH('Live Collections'!G808,Disbursements!$C:$C,0)),"")</f>
        <v/>
      </c>
      <c r="G808" s="34"/>
      <c r="H808" s="34"/>
      <c r="I808" s="34" t="s">
        <v>1814</v>
      </c>
      <c r="J808" s="48">
        <v>15000</v>
      </c>
      <c r="K808" s="48">
        <v>5000</v>
      </c>
      <c r="L808" s="48"/>
      <c r="M808" s="48"/>
      <c r="N808" s="59"/>
      <c r="O808" s="59"/>
      <c r="P808" s="59"/>
      <c r="Q808" s="268">
        <f t="shared" si="38"/>
        <v>20000</v>
      </c>
      <c r="R808" s="61">
        <f>IF(O808=0,0,SUMIFS(Disbursements!$T:$T,Disbursements!$B:$B,'Live Collections'!D808,Disbursements!$D:$D,'Live Collections'!F808))</f>
        <v>0</v>
      </c>
      <c r="S808" s="304">
        <f>IF(O808&lt;=IF($O808=0,0,SUMIFS(Disbursements!$W:$W,Disbursements!$B:$B,'Live Collections'!D2484,Disbursements!$D:$D,'Live Collections'!F2484)),O808,IF($O808=0,0,SUMIFS(Disbursements!$W:$W,Disbursements!$B:$B,'Live Collections'!D2484,Disbursements!$D:$D,'Live Collections'!F2484)))</f>
        <v>0</v>
      </c>
      <c r="T808" s="304">
        <f t="shared" si="39"/>
        <v>0</v>
      </c>
      <c r="U808" s="52">
        <v>788922998</v>
      </c>
      <c r="V808" s="34"/>
      <c r="W808" s="408"/>
    </row>
    <row r="809" spans="1:23" ht="12.75" customHeight="1" x14ac:dyDescent="0.2">
      <c r="A809" s="132">
        <v>795</v>
      </c>
      <c r="B809" s="44">
        <v>44441</v>
      </c>
      <c r="C809" s="44">
        <f t="shared" si="37"/>
        <v>44441</v>
      </c>
      <c r="D809" s="374">
        <v>212</v>
      </c>
      <c r="E809" s="291" t="str">
        <f>IFERROR(VLOOKUP($D809,'Clients-Live'!$A:$C,3,0),"")</f>
        <v>ACIDRI WILLIAM</v>
      </c>
      <c r="F809" s="291" t="str">
        <f>IFERROR(INDEX(Disbursements!$D:$D,MATCH('Live Collections'!G809,Disbursements!$C:$C,0)),"")</f>
        <v/>
      </c>
      <c r="G809" s="34"/>
      <c r="H809" s="34"/>
      <c r="I809" s="34" t="s">
        <v>1814</v>
      </c>
      <c r="J809" s="48">
        <v>15000</v>
      </c>
      <c r="K809" s="48">
        <v>5000</v>
      </c>
      <c r="L809" s="48"/>
      <c r="M809" s="48"/>
      <c r="N809" s="59"/>
      <c r="O809" s="59"/>
      <c r="P809" s="59"/>
      <c r="Q809" s="268">
        <f t="shared" si="38"/>
        <v>20000</v>
      </c>
      <c r="R809" s="61">
        <f>IF(O809=0,0,SUMIFS(Disbursements!$T:$T,Disbursements!$B:$B,'Live Collections'!D809,Disbursements!$D:$D,'Live Collections'!F809))</f>
        <v>0</v>
      </c>
      <c r="S809" s="304">
        <f>IF(O809&lt;=IF($O809=0,0,SUMIFS(Disbursements!$W:$W,Disbursements!$B:$B,'Live Collections'!D2498,Disbursements!$D:$D,'Live Collections'!F2498)),O809,IF($O809=0,0,SUMIFS(Disbursements!$W:$W,Disbursements!$B:$B,'Live Collections'!D2498,Disbursements!$D:$D,'Live Collections'!F2498)))</f>
        <v>0</v>
      </c>
      <c r="T809" s="304">
        <f t="shared" si="39"/>
        <v>0</v>
      </c>
      <c r="U809" s="52">
        <v>789192628</v>
      </c>
      <c r="V809" s="34"/>
      <c r="W809" s="408"/>
    </row>
    <row r="810" spans="1:23" ht="12.75" customHeight="1" x14ac:dyDescent="0.2">
      <c r="A810" s="257">
        <v>809</v>
      </c>
      <c r="B810" s="44">
        <v>44442</v>
      </c>
      <c r="C810" s="44">
        <f t="shared" si="37"/>
        <v>44442</v>
      </c>
      <c r="D810" s="374">
        <v>18</v>
      </c>
      <c r="E810" s="291" t="str">
        <f>IFERROR(VLOOKUP($D810,'Clients-Live'!$A:$C,3,0),"")</f>
        <v>ARIYE PEACE</v>
      </c>
      <c r="F810" s="291">
        <f>IFERROR(INDEX(Disbursements!$D:$D,MATCH('Live Collections'!G810,Disbursements!$C:$C,0)),"")</f>
        <v>1</v>
      </c>
      <c r="G810" s="34">
        <v>9</v>
      </c>
      <c r="H810" s="34"/>
      <c r="I810" s="34" t="s">
        <v>1357</v>
      </c>
      <c r="J810" s="48"/>
      <c r="K810" s="48"/>
      <c r="L810" s="48"/>
      <c r="M810" s="48"/>
      <c r="N810" s="59"/>
      <c r="O810" s="59">
        <v>113000</v>
      </c>
      <c r="P810" s="59"/>
      <c r="Q810" s="268">
        <f t="shared" si="38"/>
        <v>113000</v>
      </c>
      <c r="R810" s="61">
        <f>IF(O810=0,0,SUMIFS(Disbursements!$T:$T,Disbursements!$B:$B,'Live Collections'!D810,Disbursements!$D:$D,'Live Collections'!F810))</f>
        <v>109000</v>
      </c>
      <c r="S810" s="304">
        <f>IF(O810&lt;=IF($O810=0,0,SUMIFS(Disbursements!$W:$W,Disbursements!$B:$B,'Live Collections'!D203,Disbursements!$D:$D,'Live Collections'!F203)),O810,IF($O810=0,0,SUMIFS(Disbursements!$W:$W,Disbursements!$B:$B,'Live Collections'!D203,Disbursements!$D:$D,'Live Collections'!F203)))</f>
        <v>25000</v>
      </c>
      <c r="T810" s="304">
        <f t="shared" si="39"/>
        <v>88000</v>
      </c>
      <c r="U810" s="52"/>
      <c r="V810" s="34"/>
      <c r="W810" s="408"/>
    </row>
    <row r="811" spans="1:23" ht="12.75" customHeight="1" x14ac:dyDescent="0.2">
      <c r="A811" s="132">
        <v>806</v>
      </c>
      <c r="B811" s="44">
        <v>44442</v>
      </c>
      <c r="C811" s="44">
        <f t="shared" si="37"/>
        <v>44442</v>
      </c>
      <c r="D811" s="374">
        <v>34</v>
      </c>
      <c r="E811" s="291" t="str">
        <f>IFERROR(VLOOKUP($D811,'Clients-Live'!$A:$C,3,0),"")</f>
        <v>APEKURU FLORENCE</v>
      </c>
      <c r="F811" s="291">
        <f>IFERROR(INDEX(Disbursements!$D:$D,MATCH('Live Collections'!G811,Disbursements!$C:$C,0)),"")</f>
        <v>1</v>
      </c>
      <c r="G811" s="34">
        <v>19</v>
      </c>
      <c r="H811" s="34"/>
      <c r="I811" s="34" t="s">
        <v>1359</v>
      </c>
      <c r="J811" s="48"/>
      <c r="K811" s="48"/>
      <c r="L811" s="48"/>
      <c r="M811" s="48"/>
      <c r="N811" s="59"/>
      <c r="O811" s="59"/>
      <c r="P811" s="59"/>
      <c r="Q811" s="268">
        <f t="shared" si="38"/>
        <v>0</v>
      </c>
      <c r="R811" s="61">
        <f>IF(O811=0,0,SUMIFS(Disbursements!$T:$T,Disbursements!$B:$B,'Live Collections'!D811,Disbursements!$D:$D,'Live Collections'!F811))</f>
        <v>0</v>
      </c>
      <c r="S811" s="304">
        <f>IF(O811&lt;=IF($O811=0,0,SUMIFS(Disbursements!$W:$W,Disbursements!$B:$B,'Live Collections'!D395,Disbursements!$D:$D,'Live Collections'!F395)),O811,IF($O811=0,0,SUMIFS(Disbursements!$W:$W,Disbursements!$B:$B,'Live Collections'!D395,Disbursements!$D:$D,'Live Collections'!F395)))</f>
        <v>0</v>
      </c>
      <c r="T811" s="304">
        <f t="shared" si="39"/>
        <v>0</v>
      </c>
      <c r="U811" s="52"/>
      <c r="V811" s="34"/>
      <c r="W811" s="408"/>
    </row>
    <row r="812" spans="1:23" ht="12.75" customHeight="1" x14ac:dyDescent="0.2">
      <c r="A812" s="257">
        <v>807</v>
      </c>
      <c r="B812" s="44">
        <v>44442</v>
      </c>
      <c r="C812" s="44">
        <f t="shared" si="37"/>
        <v>44442</v>
      </c>
      <c r="D812" s="374">
        <v>34</v>
      </c>
      <c r="E812" s="291" t="str">
        <f>IFERROR(VLOOKUP($D812,'Clients-Live'!$A:$C,3,0),"")</f>
        <v>APEKURU FLORENCE</v>
      </c>
      <c r="F812" s="291">
        <f>IFERROR(INDEX(Disbursements!$D:$D,MATCH('Live Collections'!G812,Disbursements!$C:$C,0)),"")</f>
        <v>1</v>
      </c>
      <c r="G812" s="34">
        <v>19</v>
      </c>
      <c r="H812" s="34"/>
      <c r="I812" s="34" t="s">
        <v>1359</v>
      </c>
      <c r="J812" s="48"/>
      <c r="K812" s="48"/>
      <c r="L812" s="48"/>
      <c r="M812" s="48"/>
      <c r="N812" s="59"/>
      <c r="O812" s="59">
        <v>383000</v>
      </c>
      <c r="P812" s="59"/>
      <c r="Q812" s="268">
        <f t="shared" si="38"/>
        <v>383000</v>
      </c>
      <c r="R812" s="61">
        <f>IF(O812=0,0,SUMIFS(Disbursements!$T:$T,Disbursements!$B:$B,'Live Collections'!D812,Disbursements!$D:$D,'Live Collections'!F812))</f>
        <v>384000</v>
      </c>
      <c r="S812" s="64">
        <v>2000.0000000000582</v>
      </c>
      <c r="T812" s="304">
        <f>IF(O812=0,0,O812-S812)+1800</f>
        <v>382799.99999999994</v>
      </c>
      <c r="U812" s="52"/>
      <c r="V812" s="34"/>
      <c r="W812" s="408" t="s">
        <v>2086</v>
      </c>
    </row>
    <row r="813" spans="1:23" ht="12.75" customHeight="1" x14ac:dyDescent="0.2">
      <c r="A813" s="132">
        <v>800</v>
      </c>
      <c r="B813" s="44">
        <v>44442</v>
      </c>
      <c r="C813" s="44">
        <f t="shared" si="37"/>
        <v>44442</v>
      </c>
      <c r="D813" s="374">
        <v>60</v>
      </c>
      <c r="E813" s="291" t="str">
        <f>IFERROR(VLOOKUP($D813,'Clients-Live'!$A:$C,3,0),"")</f>
        <v>MATURU ALICE</v>
      </c>
      <c r="F813" s="291">
        <f>IFERROR(INDEX(Disbursements!$D:$D,MATCH('Live Collections'!G813,Disbursements!$C:$C,0)),"")</f>
        <v>2</v>
      </c>
      <c r="G813" s="34">
        <v>200</v>
      </c>
      <c r="H813" s="34"/>
      <c r="I813" s="34" t="s">
        <v>862</v>
      </c>
      <c r="J813" s="48"/>
      <c r="K813" s="48"/>
      <c r="L813" s="48">
        <v>15000</v>
      </c>
      <c r="M813" s="48">
        <v>5000</v>
      </c>
      <c r="N813" s="59"/>
      <c r="O813" s="59"/>
      <c r="P813" s="59">
        <v>60000</v>
      </c>
      <c r="Q813" s="268">
        <f t="shared" si="38"/>
        <v>80000</v>
      </c>
      <c r="R813" s="61">
        <f>IF(O813=0,0,SUMIFS(Disbursements!$T:$T,Disbursements!$B:$B,'Live Collections'!D813,Disbursements!$D:$D,'Live Collections'!F813))</f>
        <v>0</v>
      </c>
      <c r="S813" s="304">
        <f>IF(O813&lt;=IF($O813=0,0,SUMIFS(Disbursements!$W:$W,Disbursements!$B:$B,'Live Collections'!D717,Disbursements!$D:$D,'Live Collections'!F717)),O813,IF($O813=0,0,SUMIFS(Disbursements!$W:$W,Disbursements!$B:$B,'Live Collections'!D717,Disbursements!$D:$D,'Live Collections'!F717)))</f>
        <v>0</v>
      </c>
      <c r="T813" s="304">
        <f t="shared" si="39"/>
        <v>0</v>
      </c>
      <c r="U813" s="52"/>
      <c r="V813" s="34"/>
      <c r="W813" s="408"/>
    </row>
    <row r="814" spans="1:23" ht="12.75" customHeight="1" x14ac:dyDescent="0.2">
      <c r="A814" s="257">
        <v>811</v>
      </c>
      <c r="B814" s="44">
        <v>44442</v>
      </c>
      <c r="C814" s="44">
        <f t="shared" si="37"/>
        <v>44442</v>
      </c>
      <c r="D814" s="374">
        <v>66</v>
      </c>
      <c r="E814" s="291" t="str">
        <f>IFERROR(VLOOKUP($D814,'Clients-Live'!$A:$C,3,0),"")</f>
        <v>DENAYA NYAMAZA</v>
      </c>
      <c r="F814" s="291">
        <f>IFERROR(INDEX(Disbursements!$D:$D,MATCH('Live Collections'!G814,Disbursements!$C:$C,0)),"")</f>
        <v>1</v>
      </c>
      <c r="G814" s="34">
        <v>53</v>
      </c>
      <c r="H814" s="34"/>
      <c r="I814" s="34" t="s">
        <v>1357</v>
      </c>
      <c r="J814" s="48"/>
      <c r="K814" s="48"/>
      <c r="L814" s="48"/>
      <c r="M814" s="48"/>
      <c r="N814" s="59"/>
      <c r="O814" s="59">
        <v>100000</v>
      </c>
      <c r="P814" s="59"/>
      <c r="Q814" s="268">
        <f t="shared" si="38"/>
        <v>100000</v>
      </c>
      <c r="R814" s="61">
        <f>IF(O814=0,0,SUMIFS(Disbursements!$T:$T,Disbursements!$B:$B,'Live Collections'!D814,Disbursements!$D:$D,'Live Collections'!F814))</f>
        <v>109000</v>
      </c>
      <c r="S814" s="304">
        <f>IF(O814&lt;=IF($O814=0,0,SUMIFS(Disbursements!$W:$W,Disbursements!$B:$B,'Live Collections'!D1382,Disbursements!$D:$D,'Live Collections'!F1382)),O814,IF($O814=0,0,SUMIFS(Disbursements!$W:$W,Disbursements!$B:$B,'Live Collections'!D1382,Disbursements!$D:$D,'Live Collections'!F1382)))</f>
        <v>0</v>
      </c>
      <c r="T814" s="304">
        <f t="shared" si="39"/>
        <v>100000</v>
      </c>
      <c r="U814" s="52"/>
      <c r="V814" s="34"/>
      <c r="W814" s="408"/>
    </row>
    <row r="815" spans="1:23" ht="12.75" customHeight="1" x14ac:dyDescent="0.2">
      <c r="A815" s="132">
        <v>801</v>
      </c>
      <c r="B815" s="44">
        <v>44442</v>
      </c>
      <c r="C815" s="44">
        <f t="shared" si="37"/>
        <v>44442</v>
      </c>
      <c r="D815" s="374">
        <v>97</v>
      </c>
      <c r="E815" s="291" t="str">
        <f>IFERROR(VLOOKUP($D815,'Clients-Live'!$A:$C,3,0),"")</f>
        <v>DRANDUA JOB CHRISPUS</v>
      </c>
      <c r="F815" s="291">
        <f>IFERROR(INDEX(Disbursements!$D:$D,MATCH('Live Collections'!G815,Disbursements!$C:$C,0)),"")</f>
        <v>3</v>
      </c>
      <c r="G815" s="34">
        <v>202</v>
      </c>
      <c r="H815" s="34">
        <v>1280</v>
      </c>
      <c r="I815" s="34" t="s">
        <v>862</v>
      </c>
      <c r="J815" s="48"/>
      <c r="K815" s="48"/>
      <c r="L815" s="48">
        <v>25000</v>
      </c>
      <c r="M815" s="48">
        <v>5000</v>
      </c>
      <c r="N815" s="59"/>
      <c r="O815" s="59"/>
      <c r="P815" s="59">
        <v>800000</v>
      </c>
      <c r="Q815" s="268">
        <f t="shared" si="38"/>
        <v>830000</v>
      </c>
      <c r="R815" s="61">
        <f>IF(O815=0,0,SUMIFS(Disbursements!$T:$T,Disbursements!$B:$B,'Live Collections'!D815,Disbursements!$D:$D,'Live Collections'!F815))</f>
        <v>0</v>
      </c>
      <c r="S815" s="304">
        <f>IF(O815&lt;=IF($O815=0,0,SUMIFS(Disbursements!$W:$W,Disbursements!$B:$B,'Live Collections'!D1250,Disbursements!$D:$D,'Live Collections'!F1250)),O815,IF($O815=0,0,SUMIFS(Disbursements!$W:$W,Disbursements!$B:$B,'Live Collections'!D1250,Disbursements!$D:$D,'Live Collections'!F1250)))</f>
        <v>0</v>
      </c>
      <c r="T815" s="304">
        <f t="shared" si="39"/>
        <v>0</v>
      </c>
      <c r="U815" s="52"/>
      <c r="V815" s="34"/>
      <c r="W815" s="408"/>
    </row>
    <row r="816" spans="1:23" ht="12.75" customHeight="1" x14ac:dyDescent="0.2">
      <c r="A816" s="257">
        <v>808</v>
      </c>
      <c r="B816" s="44">
        <v>44442</v>
      </c>
      <c r="C816" s="44">
        <f t="shared" si="37"/>
        <v>44442</v>
      </c>
      <c r="D816" s="374">
        <v>107</v>
      </c>
      <c r="E816" s="291" t="str">
        <f>IFERROR(VLOOKUP($D816,'Clients-Live'!$A:$C,3,0),"")</f>
        <v>LAKONY PETER</v>
      </c>
      <c r="F816" s="291">
        <f>IFERROR(INDEX(Disbursements!$D:$D,MATCH('Live Collections'!G816,Disbursements!$C:$C,0)),"")</f>
        <v>1</v>
      </c>
      <c r="G816" s="34">
        <v>96</v>
      </c>
      <c r="H816" s="34"/>
      <c r="I816" s="34" t="s">
        <v>1357</v>
      </c>
      <c r="J816" s="48"/>
      <c r="K816" s="48"/>
      <c r="L816" s="48"/>
      <c r="M816" s="48"/>
      <c r="N816" s="59"/>
      <c r="O816" s="59">
        <v>60000</v>
      </c>
      <c r="P816" s="59"/>
      <c r="Q816" s="268">
        <f t="shared" si="38"/>
        <v>60000</v>
      </c>
      <c r="R816" s="61">
        <f>IF(O816=0,0,SUMIFS(Disbursements!$T:$T,Disbursements!$B:$B,'Live Collections'!D816,Disbursements!$D:$D,'Live Collections'!F816))</f>
        <v>82000</v>
      </c>
      <c r="S816" s="304">
        <f>IF(O816&lt;=IF($O816=0,0,SUMIFS(Disbursements!$W:$W,Disbursements!$B:$B,'Live Collections'!D1380,Disbursements!$D:$D,'Live Collections'!F1380)),O816,IF($O816=0,0,SUMIFS(Disbursements!$W:$W,Disbursements!$B:$B,'Live Collections'!D1380,Disbursements!$D:$D,'Live Collections'!F1380)))</f>
        <v>0</v>
      </c>
      <c r="T816" s="304">
        <f t="shared" si="39"/>
        <v>60000</v>
      </c>
      <c r="U816" s="52"/>
      <c r="V816" s="34"/>
      <c r="W816" s="408"/>
    </row>
    <row r="817" spans="1:23" ht="12.75" customHeight="1" x14ac:dyDescent="0.2">
      <c r="A817" s="132">
        <v>802</v>
      </c>
      <c r="B817" s="44">
        <v>44442</v>
      </c>
      <c r="C817" s="44">
        <f t="shared" si="37"/>
        <v>44442</v>
      </c>
      <c r="D817" s="374">
        <v>147</v>
      </c>
      <c r="E817" s="291" t="str">
        <f>IFERROR(VLOOKUP($D817,'Clients-Live'!$A:$C,3,0),"")</f>
        <v>DRICIRU MARGRET</v>
      </c>
      <c r="F817" s="291">
        <f>IFERROR(INDEX(Disbursements!$D:$D,MATCH('Live Collections'!G817,Disbursements!$C:$C,0)),"")</f>
        <v>2</v>
      </c>
      <c r="G817" s="34">
        <v>203</v>
      </c>
      <c r="H817" s="34">
        <v>1276</v>
      </c>
      <c r="I817" s="34" t="s">
        <v>1359</v>
      </c>
      <c r="J817" s="48"/>
      <c r="K817" s="48"/>
      <c r="L817" s="48">
        <v>20000</v>
      </c>
      <c r="M817" s="48">
        <v>5000</v>
      </c>
      <c r="N817" s="59"/>
      <c r="O817" s="59"/>
      <c r="P817" s="59">
        <v>60000</v>
      </c>
      <c r="Q817" s="268">
        <f t="shared" si="38"/>
        <v>85000</v>
      </c>
      <c r="R817" s="61">
        <f>IF(O817=0,0,SUMIFS(Disbursements!$T:$T,Disbursements!$B:$B,'Live Collections'!D817,Disbursements!$D:$D,'Live Collections'!F817))</f>
        <v>0</v>
      </c>
      <c r="S817" s="304">
        <f>IF(O817&lt;=IF($O817=0,0,SUMIFS(Disbursements!$W:$W,Disbursements!$B:$B,'Live Collections'!D1856,Disbursements!$D:$D,'Live Collections'!F1856)),O817,IF($O817=0,0,SUMIFS(Disbursements!$W:$W,Disbursements!$B:$B,'Live Collections'!D1856,Disbursements!$D:$D,'Live Collections'!F1856)))</f>
        <v>0</v>
      </c>
      <c r="T817" s="304">
        <f t="shared" si="39"/>
        <v>0</v>
      </c>
      <c r="U817" s="52"/>
      <c r="V817" s="34"/>
      <c r="W817" s="408"/>
    </row>
    <row r="818" spans="1:23" ht="12.75" customHeight="1" x14ac:dyDescent="0.2">
      <c r="A818" s="257">
        <v>812</v>
      </c>
      <c r="B818" s="44">
        <v>44442</v>
      </c>
      <c r="C818" s="44">
        <f t="shared" si="37"/>
        <v>44442</v>
      </c>
      <c r="D818" s="374">
        <v>156</v>
      </c>
      <c r="E818" s="291" t="str">
        <f>IFERROR(VLOOKUP($D818,'Clients-Live'!$A:$C,3,0),"")</f>
        <v xml:space="preserve">ONIBA AISHA </v>
      </c>
      <c r="F818" s="291">
        <f>IFERROR(INDEX(Disbursements!$D:$D,MATCH('Live Collections'!G818,Disbursements!$C:$C,0)),"")</f>
        <v>1</v>
      </c>
      <c r="G818" s="34">
        <v>149</v>
      </c>
      <c r="H818" s="34"/>
      <c r="I818" s="34" t="s">
        <v>1358</v>
      </c>
      <c r="J818" s="48"/>
      <c r="K818" s="48"/>
      <c r="L818" s="48"/>
      <c r="M818" s="48"/>
      <c r="N818" s="59"/>
      <c r="O818" s="59">
        <v>150000</v>
      </c>
      <c r="P818" s="59"/>
      <c r="Q818" s="268">
        <f t="shared" si="38"/>
        <v>150000</v>
      </c>
      <c r="R818" s="61">
        <f>IF(O818=0,0,SUMIFS(Disbursements!$T:$T,Disbursements!$B:$B,'Live Collections'!D818,Disbursements!$D:$D,'Live Collections'!F818))</f>
        <v>154000</v>
      </c>
      <c r="S818" s="64">
        <v>61999.999999999971</v>
      </c>
      <c r="T818" s="304">
        <f t="shared" si="39"/>
        <v>88000.000000000029</v>
      </c>
      <c r="U818" s="52"/>
      <c r="V818" s="34"/>
      <c r="W818" s="408"/>
    </row>
    <row r="819" spans="1:23" ht="12.75" customHeight="1" x14ac:dyDescent="0.2">
      <c r="A819" s="132">
        <v>810</v>
      </c>
      <c r="B819" s="44">
        <v>44442</v>
      </c>
      <c r="C819" s="44">
        <f t="shared" si="37"/>
        <v>44442</v>
      </c>
      <c r="D819" s="374">
        <v>160</v>
      </c>
      <c r="E819" s="291" t="str">
        <f>IFERROR(VLOOKUP($D819,'Clients-Live'!$A:$C,3,0),"")</f>
        <v>CHANDI ZANABU</v>
      </c>
      <c r="F819" s="291">
        <f>IFERROR(INDEX(Disbursements!$D:$D,MATCH('Live Collections'!G819,Disbursements!$C:$C,0)),"")</f>
        <v>1</v>
      </c>
      <c r="G819" s="34">
        <v>151</v>
      </c>
      <c r="H819" s="34"/>
      <c r="I819" s="34" t="s">
        <v>1358</v>
      </c>
      <c r="J819" s="48"/>
      <c r="K819" s="48"/>
      <c r="L819" s="48"/>
      <c r="M819" s="48"/>
      <c r="N819" s="59"/>
      <c r="O819" s="59">
        <v>115000</v>
      </c>
      <c r="P819" s="59"/>
      <c r="Q819" s="268">
        <f t="shared" si="38"/>
        <v>115000</v>
      </c>
      <c r="R819" s="61">
        <f>IF(O819=0,0,SUMIFS(Disbursements!$T:$T,Disbursements!$B:$B,'Live Collections'!D819,Disbursements!$D:$D,'Live Collections'!F819))</f>
        <v>115000</v>
      </c>
      <c r="S819" s="304">
        <f>IF(O819&lt;=IF($O819=0,0,SUMIFS(Disbursements!$W:$W,Disbursements!$B:$B,'Live Collections'!D1991,Disbursements!$D:$D,'Live Collections'!F1991)),O819,IF($O819=0,0,SUMIFS(Disbursements!$W:$W,Disbursements!$B:$B,'Live Collections'!D1991,Disbursements!$D:$D,'Live Collections'!F1991)))</f>
        <v>35000</v>
      </c>
      <c r="T819" s="304">
        <f t="shared" si="39"/>
        <v>80000</v>
      </c>
      <c r="U819" s="52"/>
      <c r="V819" s="34"/>
      <c r="W819" s="408"/>
    </row>
    <row r="820" spans="1:23" ht="12.75" customHeight="1" x14ac:dyDescent="0.2">
      <c r="A820" s="257">
        <v>803</v>
      </c>
      <c r="B820" s="44">
        <v>44442</v>
      </c>
      <c r="C820" s="44">
        <f t="shared" si="37"/>
        <v>44442</v>
      </c>
      <c r="D820" s="374">
        <v>207</v>
      </c>
      <c r="E820" s="291" t="str">
        <f>IFERROR(VLOOKUP($D820,'Clients-Live'!$A:$C,3,0),"")</f>
        <v>DRARU IRENE</v>
      </c>
      <c r="F820" s="291">
        <f>IFERROR(INDEX(Disbursements!$D:$D,MATCH('Live Collections'!G820,Disbursements!$C:$C,0)),"")</f>
        <v>1</v>
      </c>
      <c r="G820" s="34">
        <v>205</v>
      </c>
      <c r="H820" s="34"/>
      <c r="I820" s="34" t="s">
        <v>863</v>
      </c>
      <c r="J820" s="48"/>
      <c r="K820" s="48"/>
      <c r="L820" s="48">
        <v>10000</v>
      </c>
      <c r="M820" s="48">
        <v>5000</v>
      </c>
      <c r="N820" s="59"/>
      <c r="O820" s="59"/>
      <c r="P820" s="59">
        <v>40000</v>
      </c>
      <c r="Q820" s="268">
        <f t="shared" si="38"/>
        <v>55000</v>
      </c>
      <c r="R820" s="61">
        <f>IF(O820=0,0,SUMIFS(Disbursements!$T:$T,Disbursements!$B:$B,'Live Collections'!D820,Disbursements!$D:$D,'Live Collections'!F820))</f>
        <v>0</v>
      </c>
      <c r="S820" s="304">
        <f>IF(O820&lt;=IF($O820=0,0,SUMIFS(Disbursements!$W:$W,Disbursements!$B:$B,'Live Collections'!D2448,Disbursements!$D:$D,'Live Collections'!F2448)),O820,IF($O820=0,0,SUMIFS(Disbursements!$W:$W,Disbursements!$B:$B,'Live Collections'!D2448,Disbursements!$D:$D,'Live Collections'!F2448)))</f>
        <v>0</v>
      </c>
      <c r="T820" s="304">
        <f t="shared" si="39"/>
        <v>0</v>
      </c>
      <c r="U820" s="52"/>
      <c r="V820" s="34"/>
      <c r="W820" s="408"/>
    </row>
    <row r="821" spans="1:23" ht="12.75" customHeight="1" x14ac:dyDescent="0.2">
      <c r="A821" s="132">
        <v>804</v>
      </c>
      <c r="B821" s="44">
        <v>44442</v>
      </c>
      <c r="C821" s="44">
        <f t="shared" si="37"/>
        <v>44442</v>
      </c>
      <c r="D821" s="374">
        <v>208</v>
      </c>
      <c r="E821" s="291" t="str">
        <f>IFERROR(VLOOKUP($D821,'Clients-Live'!$A:$C,3,0),"")</f>
        <v>TIKO RAIMA</v>
      </c>
      <c r="F821" s="291">
        <f>IFERROR(INDEX(Disbursements!$D:$D,MATCH('Live Collections'!G821,Disbursements!$C:$C,0)),"")</f>
        <v>1</v>
      </c>
      <c r="G821" s="34">
        <v>204</v>
      </c>
      <c r="H821" s="34"/>
      <c r="I821" s="34" t="s">
        <v>863</v>
      </c>
      <c r="J821" s="48"/>
      <c r="K821" s="48"/>
      <c r="L821" s="48">
        <v>10000</v>
      </c>
      <c r="M821" s="48">
        <v>5000</v>
      </c>
      <c r="N821" s="59"/>
      <c r="O821" s="59"/>
      <c r="P821" s="59">
        <v>20000</v>
      </c>
      <c r="Q821" s="268">
        <f t="shared" si="38"/>
        <v>35000</v>
      </c>
      <c r="R821" s="61">
        <f>IF(O821=0,0,SUMIFS(Disbursements!$T:$T,Disbursements!$B:$B,'Live Collections'!D821,Disbursements!$D:$D,'Live Collections'!F821))</f>
        <v>0</v>
      </c>
      <c r="S821" s="304">
        <f>IF(O821&lt;=IF($O821=0,0,SUMIFS(Disbursements!$W:$W,Disbursements!$B:$B,'Live Collections'!D2456,Disbursements!$D:$D,'Live Collections'!F2456)),O821,IF($O821=0,0,SUMIFS(Disbursements!$W:$W,Disbursements!$B:$B,'Live Collections'!D2456,Disbursements!$D:$D,'Live Collections'!F2456)))</f>
        <v>0</v>
      </c>
      <c r="T821" s="304">
        <f t="shared" si="39"/>
        <v>0</v>
      </c>
      <c r="U821" s="52"/>
      <c r="V821" s="34"/>
      <c r="W821" s="408"/>
    </row>
    <row r="822" spans="1:23" ht="12.75" customHeight="1" x14ac:dyDescent="0.2">
      <c r="A822" s="257">
        <v>805</v>
      </c>
      <c r="B822" s="44">
        <v>44442</v>
      </c>
      <c r="C822" s="44">
        <f t="shared" si="37"/>
        <v>44442</v>
      </c>
      <c r="D822" s="374">
        <v>212</v>
      </c>
      <c r="E822" s="291" t="str">
        <f>IFERROR(VLOOKUP($D822,'Clients-Live'!$A:$C,3,0),"")</f>
        <v>ACIDRI WILLIAM</v>
      </c>
      <c r="F822" s="291">
        <f>IFERROR(INDEX(Disbursements!$D:$D,MATCH('Live Collections'!G822,Disbursements!$C:$C,0)),"")</f>
        <v>1</v>
      </c>
      <c r="G822" s="34">
        <v>206</v>
      </c>
      <c r="H822" s="34"/>
      <c r="I822" s="34" t="s">
        <v>863</v>
      </c>
      <c r="J822" s="48"/>
      <c r="K822" s="48"/>
      <c r="L822" s="48">
        <v>15000</v>
      </c>
      <c r="M822" s="48">
        <v>5000</v>
      </c>
      <c r="N822" s="59"/>
      <c r="O822" s="59"/>
      <c r="P822" s="59">
        <v>65000</v>
      </c>
      <c r="Q822" s="268">
        <f t="shared" si="38"/>
        <v>85000</v>
      </c>
      <c r="R822" s="61">
        <f>IF(O822=0,0,SUMIFS(Disbursements!$T:$T,Disbursements!$B:$B,'Live Collections'!D822,Disbursements!$D:$D,'Live Collections'!F822))</f>
        <v>0</v>
      </c>
      <c r="S822" s="304">
        <f>IF(O822&lt;=IF($O822=0,0,SUMIFS(Disbursements!$W:$W,Disbursements!$B:$B,'Live Collections'!D2499,Disbursements!$D:$D,'Live Collections'!F2499)),O822,IF($O822=0,0,SUMIFS(Disbursements!$W:$W,Disbursements!$B:$B,'Live Collections'!D2499,Disbursements!$D:$D,'Live Collections'!F2499)))</f>
        <v>0</v>
      </c>
      <c r="T822" s="304">
        <f t="shared" si="39"/>
        <v>0</v>
      </c>
      <c r="U822" s="52"/>
      <c r="V822" s="34"/>
      <c r="W822" s="408"/>
    </row>
    <row r="823" spans="1:23" ht="12.75" customHeight="1" x14ac:dyDescent="0.2">
      <c r="A823" s="132">
        <v>1626</v>
      </c>
      <c r="B823" s="44">
        <v>44442</v>
      </c>
      <c r="C823" s="44">
        <f t="shared" si="37"/>
        <v>44442</v>
      </c>
      <c r="D823" s="374">
        <v>214</v>
      </c>
      <c r="E823" s="291" t="str">
        <f>IFERROR(VLOOKUP($D823,'Clients-Live'!$A:$C,3,0),"")</f>
        <v>APAYI LILLY</v>
      </c>
      <c r="F823" s="291" t="str">
        <f>IFERROR(INDEX(Disbursements!$D:$D,MATCH('Live Collections'!G823,Disbursements!$C:$C,0)),"")</f>
        <v/>
      </c>
      <c r="G823" s="34"/>
      <c r="H823" s="34">
        <v>1277</v>
      </c>
      <c r="I823" s="34" t="s">
        <v>1358</v>
      </c>
      <c r="J823" s="48">
        <v>15000</v>
      </c>
      <c r="K823" s="48">
        <v>5000</v>
      </c>
      <c r="L823" s="48">
        <v>15000</v>
      </c>
      <c r="M823" s="48">
        <v>5000</v>
      </c>
      <c r="N823" s="59"/>
      <c r="O823" s="59"/>
      <c r="P823" s="59"/>
      <c r="Q823" s="268">
        <f t="shared" si="38"/>
        <v>40000</v>
      </c>
      <c r="R823" s="61">
        <f>IF(O823=0,0,SUMIFS(Disbursements!$T:$T,Disbursements!$B:$B,'Live Collections'!D823,Disbursements!$D:$D,'Live Collections'!F823))</f>
        <v>0</v>
      </c>
      <c r="S823" s="304">
        <f>IF(O823&lt;=IF($O823=0,0,SUMIFS(Disbursements!$W:$W,Disbursements!$B:$B,'Live Collections'!D2525,Disbursements!$D:$D,'Live Collections'!F2525)),O823,IF($O823=0,0,SUMIFS(Disbursements!$W:$W,Disbursements!$B:$B,'Live Collections'!D2525,Disbursements!$D:$D,'Live Collections'!F2525)))</f>
        <v>0</v>
      </c>
      <c r="T823" s="304">
        <f t="shared" si="39"/>
        <v>0</v>
      </c>
      <c r="U823" s="52"/>
      <c r="V823" s="34"/>
      <c r="W823" s="408"/>
    </row>
    <row r="824" spans="1:23" ht="12.75" customHeight="1" x14ac:dyDescent="0.2">
      <c r="A824" s="257">
        <v>1627</v>
      </c>
      <c r="B824" s="44">
        <v>44442</v>
      </c>
      <c r="C824" s="44">
        <f t="shared" si="37"/>
        <v>44442</v>
      </c>
      <c r="D824" s="374">
        <v>215</v>
      </c>
      <c r="E824" s="291" t="str">
        <f>IFERROR(VLOOKUP($D824,'Clients-Live'!$A:$C,3,0),"")</f>
        <v>BRANI MUSA</v>
      </c>
      <c r="F824" s="291" t="str">
        <f>IFERROR(INDEX(Disbursements!$D:$D,MATCH('Live Collections'!G824,Disbursements!$C:$C,0)),"")</f>
        <v/>
      </c>
      <c r="G824" s="34"/>
      <c r="H824" s="34">
        <v>1304</v>
      </c>
      <c r="I824" s="34" t="s">
        <v>1357</v>
      </c>
      <c r="J824" s="48">
        <v>15000</v>
      </c>
      <c r="K824" s="48">
        <v>5000</v>
      </c>
      <c r="L824" s="48">
        <v>15000</v>
      </c>
      <c r="M824" s="48">
        <v>5000</v>
      </c>
      <c r="N824" s="59"/>
      <c r="O824" s="59"/>
      <c r="P824" s="59"/>
      <c r="Q824" s="268">
        <f t="shared" si="38"/>
        <v>40000</v>
      </c>
      <c r="R824" s="61">
        <f>IF(O824=0,0,SUMIFS(Disbursements!$T:$T,Disbursements!$B:$B,'Live Collections'!D824,Disbursements!$D:$D,'Live Collections'!F824))</f>
        <v>0</v>
      </c>
      <c r="S824" s="304">
        <f>IF(O824&lt;=IF($O824=0,0,SUMIFS(Disbursements!$W:$W,Disbursements!$B:$B,'Live Collections'!D2526,Disbursements!$D:$D,'Live Collections'!F2526)),O824,IF($O824=0,0,SUMIFS(Disbursements!$W:$W,Disbursements!$B:$B,'Live Collections'!D2526,Disbursements!$D:$D,'Live Collections'!F2526)))</f>
        <v>0</v>
      </c>
      <c r="T824" s="304">
        <f t="shared" si="39"/>
        <v>0</v>
      </c>
      <c r="U824" s="52"/>
      <c r="V824" s="34"/>
      <c r="W824" s="408"/>
    </row>
    <row r="825" spans="1:23" ht="12.75" customHeight="1" x14ac:dyDescent="0.2">
      <c r="A825" s="132">
        <v>1628</v>
      </c>
      <c r="B825" s="44">
        <v>44442</v>
      </c>
      <c r="C825" s="44">
        <f t="shared" si="37"/>
        <v>44442</v>
      </c>
      <c r="D825" s="374">
        <v>216</v>
      </c>
      <c r="E825" s="291" t="str">
        <f>IFERROR(VLOOKUP($D825,'Clients-Live'!$A:$C,3,0),"")</f>
        <v>ALIGA ASHIRAF</v>
      </c>
      <c r="F825" s="291" t="str">
        <f>IFERROR(INDEX(Disbursements!$D:$D,MATCH('Live Collections'!G825,Disbursements!$C:$C,0)),"")</f>
        <v/>
      </c>
      <c r="G825" s="34"/>
      <c r="H825" s="34">
        <v>1307</v>
      </c>
      <c r="I825" s="34" t="s">
        <v>1359</v>
      </c>
      <c r="J825" s="48">
        <v>15000</v>
      </c>
      <c r="K825" s="48">
        <v>5000</v>
      </c>
      <c r="L825" s="48">
        <v>20000</v>
      </c>
      <c r="M825" s="48">
        <v>5000</v>
      </c>
      <c r="N825" s="59"/>
      <c r="O825" s="59"/>
      <c r="P825" s="59"/>
      <c r="Q825" s="268">
        <f t="shared" si="38"/>
        <v>45000</v>
      </c>
      <c r="R825" s="61">
        <f>IF(O825=0,0,SUMIFS(Disbursements!$T:$T,Disbursements!$B:$B,'Live Collections'!D825,Disbursements!$D:$D,'Live Collections'!F825))</f>
        <v>0</v>
      </c>
      <c r="S825" s="304">
        <f>IF(O825&lt;=IF($O825=0,0,SUMIFS(Disbursements!$W:$W,Disbursements!$B:$B,'Live Collections'!D2544,Disbursements!$D:$D,'Live Collections'!F2544)),O825,IF($O825=0,0,SUMIFS(Disbursements!$W:$W,Disbursements!$B:$B,'Live Collections'!D2544,Disbursements!$D:$D,'Live Collections'!F2544)))</f>
        <v>0</v>
      </c>
      <c r="T825" s="304">
        <f t="shared" si="39"/>
        <v>0</v>
      </c>
      <c r="U825" s="52"/>
      <c r="V825" s="34"/>
      <c r="W825" s="408"/>
    </row>
    <row r="826" spans="1:23" ht="12.75" customHeight="1" x14ac:dyDescent="0.2">
      <c r="A826" s="257">
        <v>1629</v>
      </c>
      <c r="B826" s="44">
        <v>44442</v>
      </c>
      <c r="C826" s="44">
        <f t="shared" si="37"/>
        <v>44442</v>
      </c>
      <c r="D826" s="374">
        <v>217</v>
      </c>
      <c r="E826" s="291" t="str">
        <f>IFERROR(VLOOKUP($D826,'Clients-Live'!$A:$C,3,0),"")</f>
        <v>JAMBA MOSES</v>
      </c>
      <c r="F826" s="291" t="str">
        <f>IFERROR(INDEX(Disbursements!$D:$D,MATCH('Live Collections'!G826,Disbursements!$C:$C,0)),"")</f>
        <v/>
      </c>
      <c r="G826" s="34"/>
      <c r="H826" s="34">
        <v>1320</v>
      </c>
      <c r="I826" s="34" t="s">
        <v>1358</v>
      </c>
      <c r="J826" s="48">
        <v>15000</v>
      </c>
      <c r="K826" s="48">
        <v>5000</v>
      </c>
      <c r="L826" s="48"/>
      <c r="M826" s="48"/>
      <c r="N826" s="59"/>
      <c r="O826" s="59"/>
      <c r="P826" s="59"/>
      <c r="Q826" s="268">
        <f t="shared" si="38"/>
        <v>20000</v>
      </c>
      <c r="R826" s="61">
        <f>IF(O826=0,0,SUMIFS(Disbursements!$T:$T,Disbursements!$B:$B,'Live Collections'!D826,Disbursements!$D:$D,'Live Collections'!F826))</f>
        <v>0</v>
      </c>
      <c r="S826" s="304">
        <f>IF(O826&lt;=IF($O826=0,0,SUMIFS(Disbursements!$W:$W,Disbursements!$B:$B,'Live Collections'!D2550,Disbursements!$D:$D,'Live Collections'!F2550)),O826,IF($O826=0,0,SUMIFS(Disbursements!$W:$W,Disbursements!$B:$B,'Live Collections'!D2550,Disbursements!$D:$D,'Live Collections'!F2550)))</f>
        <v>0</v>
      </c>
      <c r="T826" s="304">
        <f t="shared" si="39"/>
        <v>0</v>
      </c>
      <c r="U826" s="52"/>
      <c r="V826" s="34"/>
      <c r="W826" s="408"/>
    </row>
    <row r="827" spans="1:23" ht="12.75" customHeight="1" x14ac:dyDescent="0.2">
      <c r="A827" s="132">
        <v>813</v>
      </c>
      <c r="B827" s="44">
        <v>44443</v>
      </c>
      <c r="C827" s="44">
        <f t="shared" si="37"/>
        <v>44443</v>
      </c>
      <c r="D827" s="374">
        <v>87</v>
      </c>
      <c r="E827" s="291" t="str">
        <f>IFERROR(VLOOKUP($D827,'Clients-Live'!$A:$C,3,0),"")</f>
        <v>FAIDA ZUBEDA</v>
      </c>
      <c r="F827" s="291">
        <f>IFERROR(INDEX(Disbursements!$D:$D,MATCH('Live Collections'!G827,Disbursements!$C:$C,0)),"")</f>
        <v>1</v>
      </c>
      <c r="G827" s="34">
        <v>70</v>
      </c>
      <c r="H827" s="34"/>
      <c r="I827" s="34" t="s">
        <v>1358</v>
      </c>
      <c r="J827" s="48"/>
      <c r="K827" s="48"/>
      <c r="L827" s="48"/>
      <c r="M827" s="48"/>
      <c r="N827" s="59"/>
      <c r="O827" s="59">
        <v>120000</v>
      </c>
      <c r="P827" s="59"/>
      <c r="Q827" s="268">
        <f t="shared" si="38"/>
        <v>120000</v>
      </c>
      <c r="R827" s="61">
        <f>IF(O827=0,0,SUMIFS(Disbursements!$T:$T,Disbursements!$B:$B,'Live Collections'!D827,Disbursements!$D:$D,'Live Collections'!F827))</f>
        <v>175000</v>
      </c>
      <c r="S827" s="304">
        <f>IF(O827&lt;=IF($O827=0,0,SUMIFS(Disbursements!$W:$W,Disbursements!$B:$B,'Live Collections'!D1127,Disbursements!$D:$D,'Live Collections'!F1127)),O827,IF($O827=0,0,SUMIFS(Disbursements!$W:$W,Disbursements!$B:$B,'Live Collections'!D1127,Disbursements!$D:$D,'Live Collections'!F1127)))</f>
        <v>0</v>
      </c>
      <c r="T827" s="304">
        <f t="shared" si="39"/>
        <v>120000</v>
      </c>
      <c r="U827" s="52"/>
      <c r="V827" s="34"/>
      <c r="W827" s="408"/>
    </row>
    <row r="828" spans="1:23" ht="12.75" customHeight="1" x14ac:dyDescent="0.2">
      <c r="A828" s="257">
        <v>824</v>
      </c>
      <c r="B828" s="44">
        <v>44445</v>
      </c>
      <c r="C828" s="44">
        <f t="shared" si="37"/>
        <v>44445</v>
      </c>
      <c r="D828" s="374">
        <v>19</v>
      </c>
      <c r="E828" s="291" t="str">
        <f>IFERROR(VLOOKUP($D828,'Clients-Live'!$A:$C,3,0),"")</f>
        <v>ANGUPARU MOLLY</v>
      </c>
      <c r="F828" s="291">
        <f>IFERROR(INDEX(Disbursements!$D:$D,MATCH('Live Collections'!G828,Disbursements!$C:$C,0)),"")</f>
        <v>2</v>
      </c>
      <c r="G828" s="34">
        <v>152</v>
      </c>
      <c r="H828" s="34">
        <v>1297</v>
      </c>
      <c r="I828" s="34" t="s">
        <v>1358</v>
      </c>
      <c r="J828" s="48"/>
      <c r="K828" s="48"/>
      <c r="L828" s="48"/>
      <c r="M828" s="48"/>
      <c r="N828" s="59"/>
      <c r="O828" s="59">
        <v>100000</v>
      </c>
      <c r="P828" s="59"/>
      <c r="Q828" s="268">
        <f t="shared" si="38"/>
        <v>100000</v>
      </c>
      <c r="R828" s="61">
        <f>IF(O828=0,0,SUMIFS(Disbursements!$T:$T,Disbursements!$B:$B,'Live Collections'!D828,Disbursements!$D:$D,'Live Collections'!F828))</f>
        <v>210000</v>
      </c>
      <c r="S828" s="304">
        <f>IF(O828&lt;=IF($O828=0,0,SUMIFS(Disbursements!$W:$W,Disbursements!$B:$B,'Live Collections'!D237,Disbursements!$D:$D,'Live Collections'!F237)),O828,IF($O828=0,0,SUMIFS(Disbursements!$W:$W,Disbursements!$B:$B,'Live Collections'!D237,Disbursements!$D:$D,'Live Collections'!F237)))</f>
        <v>38000</v>
      </c>
      <c r="T828" s="304">
        <f t="shared" si="39"/>
        <v>62000</v>
      </c>
      <c r="U828" s="52"/>
      <c r="V828" s="34"/>
      <c r="W828" s="408"/>
    </row>
    <row r="829" spans="1:23" ht="12.75" customHeight="1" x14ac:dyDescent="0.2">
      <c r="A829" s="132">
        <v>829</v>
      </c>
      <c r="B829" s="44">
        <v>44445</v>
      </c>
      <c r="C829" s="44">
        <f t="shared" si="37"/>
        <v>44445</v>
      </c>
      <c r="D829" s="374">
        <v>22</v>
      </c>
      <c r="E829" s="291" t="str">
        <f>IFERROR(VLOOKUP($D829,'Clients-Live'!$A:$C,3,0),"")</f>
        <v>DATA ISMAIL FATARI</v>
      </c>
      <c r="F829" s="291">
        <f>IFERROR(INDEX(Disbursements!$D:$D,MATCH('Live Collections'!G829,Disbursements!$C:$C,0)),"")</f>
        <v>1</v>
      </c>
      <c r="G829" s="34">
        <v>13</v>
      </c>
      <c r="H829" s="34"/>
      <c r="I829" s="34" t="s">
        <v>1359</v>
      </c>
      <c r="J829" s="48"/>
      <c r="K829" s="48"/>
      <c r="L829" s="48"/>
      <c r="M829" s="48"/>
      <c r="N829" s="59"/>
      <c r="O829" s="59">
        <v>30000</v>
      </c>
      <c r="P829" s="59"/>
      <c r="Q829" s="268">
        <f t="shared" si="38"/>
        <v>30000</v>
      </c>
      <c r="R829" s="61">
        <f>IF(O829=0,0,SUMIFS(Disbursements!$T:$T,Disbursements!$B:$B,'Live Collections'!D829,Disbursements!$D:$D,'Live Collections'!F829))</f>
        <v>217000</v>
      </c>
      <c r="S829" s="304">
        <f>IF(O829&lt;=IF($O829=0,0,SUMIFS(Disbursements!$W:$W,Disbursements!$B:$B,'Live Collections'!D284,Disbursements!$D:$D,'Live Collections'!F284)),O829,IF($O829=0,0,SUMIFS(Disbursements!$W:$W,Disbursements!$B:$B,'Live Collections'!D284,Disbursements!$D:$D,'Live Collections'!F284)))</f>
        <v>25666.666666666672</v>
      </c>
      <c r="T829" s="304">
        <f t="shared" si="39"/>
        <v>4333.3333333333285</v>
      </c>
      <c r="U829" s="52"/>
      <c r="V829" s="34"/>
      <c r="W829" s="408"/>
    </row>
    <row r="830" spans="1:23" ht="12.75" customHeight="1" x14ac:dyDescent="0.2">
      <c r="A830" s="430">
        <v>823</v>
      </c>
      <c r="B830" s="422">
        <v>44445</v>
      </c>
      <c r="C830" s="422">
        <f t="shared" si="37"/>
        <v>44445</v>
      </c>
      <c r="D830" s="423">
        <v>35</v>
      </c>
      <c r="E830" s="291" t="str">
        <f>IFERROR(VLOOKUP($D830,'Clients-Live'!$A:$C,3,0),"")</f>
        <v>ALEZUYO DOCUS</v>
      </c>
      <c r="F830" s="291">
        <f>IFERROR(INDEX(Disbursements!$D:$D,MATCH('Live Collections'!G830,Disbursements!$C:$C,0)),"")</f>
        <v>2</v>
      </c>
      <c r="G830" s="424">
        <v>155</v>
      </c>
      <c r="H830" s="424"/>
      <c r="I830" s="424" t="s">
        <v>1357</v>
      </c>
      <c r="J830" s="425"/>
      <c r="K830" s="425"/>
      <c r="L830" s="425"/>
      <c r="M830" s="425"/>
      <c r="N830" s="175"/>
      <c r="O830" s="175">
        <f>200000</f>
        <v>200000</v>
      </c>
      <c r="P830" s="175"/>
      <c r="Q830" s="426">
        <f t="shared" si="38"/>
        <v>200000</v>
      </c>
      <c r="R830" s="61">
        <f>IF(O830=0,0,SUMIFS(Disbursements!$T:$T,Disbursements!$B:$B,'Live Collections'!D830,Disbursements!$D:$D,'Live Collections'!F830))</f>
        <v>250000</v>
      </c>
      <c r="S830" s="427">
        <f>IF(O830&lt;=IF($O830=0,0,SUMIFS(Disbursements!$W:$W,Disbursements!$B:$B,'Live Collections'!D409,Disbursements!$D:$D,'Live Collections'!F409)),O830,IF($O830=0,0,SUMIFS(Disbursements!$W:$W,Disbursements!$B:$B,'Live Collections'!D409,Disbursements!$D:$D,'Live Collections'!F409)))</f>
        <v>25000</v>
      </c>
      <c r="T830" s="427">
        <f t="shared" si="39"/>
        <v>175000</v>
      </c>
      <c r="U830" s="428"/>
      <c r="V830" s="424"/>
      <c r="W830" s="429"/>
    </row>
    <row r="831" spans="1:23" ht="12.75" customHeight="1" x14ac:dyDescent="0.2">
      <c r="A831" s="441">
        <v>827</v>
      </c>
      <c r="B831" s="442">
        <v>44445</v>
      </c>
      <c r="C831" s="442">
        <f t="shared" si="37"/>
        <v>44445</v>
      </c>
      <c r="D831" s="443">
        <v>51</v>
      </c>
      <c r="E831" s="291" t="str">
        <f>IFERROR(VLOOKUP($D831,'Clients-Live'!$A:$C,3,0),"")</f>
        <v>AYILE STEPHEN</v>
      </c>
      <c r="F831" s="291">
        <f>IFERROR(INDEX(Disbursements!$D:$D,MATCH('Live Collections'!G831,Disbursements!$C:$C,0)),"")</f>
        <v>1</v>
      </c>
      <c r="G831" s="404">
        <v>34</v>
      </c>
      <c r="H831" s="404">
        <v>1327</v>
      </c>
      <c r="I831" s="404" t="s">
        <v>1359</v>
      </c>
      <c r="J831" s="444"/>
      <c r="K831" s="444"/>
      <c r="L831" s="444"/>
      <c r="M831" s="444"/>
      <c r="N831" s="444"/>
      <c r="O831" s="444">
        <v>330000</v>
      </c>
      <c r="P831" s="444"/>
      <c r="Q831" s="445">
        <f t="shared" si="38"/>
        <v>330000</v>
      </c>
      <c r="R831" s="61">
        <f>IF(O831=0,0,SUMIFS(Disbursements!$T:$T,Disbursements!$B:$B,'Live Collections'!D831,Disbursements!$D:$D,'Live Collections'!F831))</f>
        <v>325000</v>
      </c>
      <c r="S831" s="446">
        <f>IF(O831&lt;=IF($O831=0,0,SUMIFS(Disbursements!$W:$W,Disbursements!$B:$B,'Live Collections'!D591,Disbursements!$D:$D,'Live Collections'!F591)),O831,IF($O831=0,0,SUMIFS(Disbursements!$W:$W,Disbursements!$B:$B,'Live Collections'!D591,Disbursements!$D:$D,'Live Collections'!F591)))</f>
        <v>20666.666666666657</v>
      </c>
      <c r="T831" s="446">
        <f t="shared" si="39"/>
        <v>309333.33333333337</v>
      </c>
      <c r="U831" s="447"/>
      <c r="V831" s="404"/>
      <c r="W831" s="448"/>
    </row>
    <row r="832" spans="1:23" ht="12.75" customHeight="1" x14ac:dyDescent="0.2">
      <c r="A832" s="257">
        <v>822</v>
      </c>
      <c r="B832" s="44">
        <v>44445</v>
      </c>
      <c r="C832" s="44">
        <f t="shared" si="37"/>
        <v>44445</v>
      </c>
      <c r="D832" s="431">
        <v>106</v>
      </c>
      <c r="E832" s="291" t="str">
        <f>IFERROR(VLOOKUP($D832,'Clients-Live'!$A:$C,3,0),"")</f>
        <v>ORODRIYO  NUSURA</v>
      </c>
      <c r="F832" s="291">
        <f>IFERROR(INDEX(Disbursements!$D:$D,MATCH('Live Collections'!G832,Disbursements!$C:$C,0)),"")</f>
        <v>1</v>
      </c>
      <c r="G832" s="35">
        <v>89</v>
      </c>
      <c r="H832" s="35"/>
      <c r="I832" s="35" t="s">
        <v>1357</v>
      </c>
      <c r="J832" s="59"/>
      <c r="K832" s="59"/>
      <c r="L832" s="59"/>
      <c r="M832" s="59"/>
      <c r="N832" s="59"/>
      <c r="O832" s="59">
        <v>100000</v>
      </c>
      <c r="P832" s="59"/>
      <c r="Q832" s="268">
        <f t="shared" si="38"/>
        <v>100000</v>
      </c>
      <c r="R832" s="61">
        <f>IF(O832=0,0,SUMIFS(Disbursements!$T:$T,Disbursements!$B:$B,'Live Collections'!D832,Disbursements!$D:$D,'Live Collections'!F832))</f>
        <v>20000</v>
      </c>
      <c r="S832" s="304">
        <f>IF(O832&lt;=IF($O832=0,0,SUMIFS(Disbursements!$W:$W,Disbursements!$B:$B,'Live Collections'!D1965,Disbursements!$D:$D,'Live Collections'!F1965)),O832,IF($O832=0,0,SUMIFS(Disbursements!$W:$W,Disbursements!$B:$B,'Live Collections'!D1965,Disbursements!$D:$D,'Live Collections'!F1965)))</f>
        <v>0</v>
      </c>
      <c r="T832" s="432">
        <f t="shared" si="39"/>
        <v>100000</v>
      </c>
      <c r="U832" s="51"/>
      <c r="V832" s="35"/>
      <c r="W832" s="433"/>
    </row>
    <row r="833" spans="1:23" ht="12.75" customHeight="1" x14ac:dyDescent="0.2">
      <c r="A833" s="132">
        <v>818</v>
      </c>
      <c r="B833" s="44">
        <v>44445</v>
      </c>
      <c r="C833" s="44">
        <f t="shared" si="37"/>
        <v>44445</v>
      </c>
      <c r="D833" s="374">
        <v>107</v>
      </c>
      <c r="E833" s="291" t="str">
        <f>IFERROR(VLOOKUP($D833,'Clients-Live'!$A:$C,3,0),"")</f>
        <v>LAKONY PETER</v>
      </c>
      <c r="F833" s="291">
        <f>IFERROR(INDEX(Disbursements!$D:$D,MATCH('Live Collections'!G833,Disbursements!$C:$C,0)),"")</f>
        <v>1</v>
      </c>
      <c r="G833" s="34">
        <v>96</v>
      </c>
      <c r="H833" s="34"/>
      <c r="I833" s="34" t="s">
        <v>1357</v>
      </c>
      <c r="J833" s="48"/>
      <c r="K833" s="48"/>
      <c r="L833" s="48"/>
      <c r="M833" s="48"/>
      <c r="N833" s="59"/>
      <c r="O833" s="59">
        <v>28000</v>
      </c>
      <c r="P833" s="59"/>
      <c r="Q833" s="268">
        <f t="shared" si="38"/>
        <v>28000</v>
      </c>
      <c r="R833" s="61">
        <f>IF(O833=0,0,SUMIFS(Disbursements!$T:$T,Disbursements!$B:$B,'Live Collections'!D833,Disbursements!$D:$D,'Live Collections'!F833))</f>
        <v>82000</v>
      </c>
      <c r="S833" s="304">
        <f>IF(O833&lt;=IF($O833=0,0,SUMIFS(Disbursements!$W:$W,Disbursements!$B:$B,'Live Collections'!D1381,Disbursements!$D:$D,'Live Collections'!F1381)),O833,IF($O833=0,0,SUMIFS(Disbursements!$W:$W,Disbursements!$B:$B,'Live Collections'!D1381,Disbursements!$D:$D,'Live Collections'!F1381)))</f>
        <v>20000</v>
      </c>
      <c r="T833" s="304">
        <f t="shared" si="39"/>
        <v>8000</v>
      </c>
      <c r="U833" s="52"/>
      <c r="V833" s="34"/>
      <c r="W833" s="408"/>
    </row>
    <row r="834" spans="1:23" ht="12.75" customHeight="1" x14ac:dyDescent="0.2">
      <c r="A834" s="257">
        <v>828</v>
      </c>
      <c r="B834" s="44">
        <v>44445</v>
      </c>
      <c r="C834" s="44">
        <f t="shared" si="37"/>
        <v>44445</v>
      </c>
      <c r="D834" s="374">
        <v>112</v>
      </c>
      <c r="E834" s="291" t="str">
        <f>IFERROR(VLOOKUP($D834,'Clients-Live'!$A:$C,3,0),"")</f>
        <v>NURA JOYCE</v>
      </c>
      <c r="F834" s="291">
        <f>IFERROR(INDEX(Disbursements!$D:$D,MATCH('Live Collections'!G834,Disbursements!$C:$C,0)),"")</f>
        <v>1</v>
      </c>
      <c r="G834" s="34">
        <v>101</v>
      </c>
      <c r="H834" s="34"/>
      <c r="I834" s="34" t="s">
        <v>1359</v>
      </c>
      <c r="J834" s="48"/>
      <c r="K834" s="48"/>
      <c r="L834" s="48"/>
      <c r="M834" s="48"/>
      <c r="N834" s="59"/>
      <c r="O834" s="59">
        <v>150000</v>
      </c>
      <c r="P834" s="59"/>
      <c r="Q834" s="268">
        <f t="shared" si="38"/>
        <v>150000</v>
      </c>
      <c r="R834" s="61">
        <f>IF(O834=0,0,SUMIFS(Disbursements!$T:$T,Disbursements!$B:$B,'Live Collections'!D834,Disbursements!$D:$D,'Live Collections'!F834))</f>
        <v>150000</v>
      </c>
      <c r="S834" s="304">
        <f>IF(O834&lt;=IF($O834=0,0,SUMIFS(Disbursements!$W:$W,Disbursements!$B:$B,'Live Collections'!D1426,Disbursements!$D:$D,'Live Collections'!F1426)),O834,IF($O834=0,0,SUMIFS(Disbursements!$W:$W,Disbursements!$B:$B,'Live Collections'!D1426,Disbursements!$D:$D,'Live Collections'!F1426)))</f>
        <v>20000</v>
      </c>
      <c r="T834" s="304">
        <f t="shared" si="39"/>
        <v>130000</v>
      </c>
      <c r="U834" s="52"/>
      <c r="V834" s="34"/>
      <c r="W834" s="408"/>
    </row>
    <row r="835" spans="1:23" ht="12.75" customHeight="1" x14ac:dyDescent="0.2">
      <c r="A835" s="132">
        <v>814</v>
      </c>
      <c r="B835" s="44">
        <v>44445</v>
      </c>
      <c r="C835" s="44">
        <f t="shared" si="37"/>
        <v>44445</v>
      </c>
      <c r="D835" s="374">
        <v>141</v>
      </c>
      <c r="E835" s="291" t="str">
        <f>IFERROR(VLOOKUP($D835,'Clients-Live'!$A:$C,3,0),"")</f>
        <v>DRAMANI WILFRED</v>
      </c>
      <c r="F835" s="291">
        <f>IFERROR(INDEX(Disbursements!$D:$D,MATCH('Live Collections'!G835,Disbursements!$C:$C,0)),"")</f>
        <v>2</v>
      </c>
      <c r="G835" s="34">
        <v>207</v>
      </c>
      <c r="H835" s="34"/>
      <c r="I835" s="34" t="s">
        <v>862</v>
      </c>
      <c r="J835" s="48"/>
      <c r="K835" s="48"/>
      <c r="L835" s="48">
        <v>15000</v>
      </c>
      <c r="M835" s="48">
        <v>5000</v>
      </c>
      <c r="N835" s="59"/>
      <c r="O835" s="59"/>
      <c r="P835" s="59">
        <v>70000</v>
      </c>
      <c r="Q835" s="268">
        <f t="shared" si="38"/>
        <v>90000</v>
      </c>
      <c r="R835" s="61">
        <f>IF(O835=0,0,SUMIFS(Disbursements!$T:$T,Disbursements!$B:$B,'Live Collections'!D835,Disbursements!$D:$D,'Live Collections'!F835))</f>
        <v>0</v>
      </c>
      <c r="S835" s="304">
        <f>IF(O835&lt;=IF($O835=0,0,SUMIFS(Disbursements!$W:$W,Disbursements!$B:$B,'Live Collections'!D1782,Disbursements!$D:$D,'Live Collections'!F1782)),O835,IF($O835=0,0,SUMIFS(Disbursements!$W:$W,Disbursements!$B:$B,'Live Collections'!D1782,Disbursements!$D:$D,'Live Collections'!F1782)))</f>
        <v>0</v>
      </c>
      <c r="T835" s="304">
        <f t="shared" si="39"/>
        <v>0</v>
      </c>
      <c r="U835" s="52"/>
      <c r="V835" s="34"/>
      <c r="W835" s="408"/>
    </row>
    <row r="836" spans="1:23" ht="12.75" customHeight="1" x14ac:dyDescent="0.2">
      <c r="A836" s="257">
        <v>825</v>
      </c>
      <c r="B836" s="44">
        <v>44445</v>
      </c>
      <c r="C836" s="44">
        <f t="shared" si="37"/>
        <v>44445</v>
      </c>
      <c r="D836" s="374">
        <v>159</v>
      </c>
      <c r="E836" s="291" t="str">
        <f>IFERROR(VLOOKUP($D836,'Clients-Live'!$A:$C,3,0),"")</f>
        <v>ALICE AMINA</v>
      </c>
      <c r="F836" s="291">
        <f>IFERROR(INDEX(Disbursements!$D:$D,MATCH('Live Collections'!G836,Disbursements!$C:$C,0)),"")</f>
        <v>1</v>
      </c>
      <c r="G836" s="34">
        <v>150</v>
      </c>
      <c r="H836" s="34"/>
      <c r="I836" s="34" t="s">
        <v>1358</v>
      </c>
      <c r="J836" s="48"/>
      <c r="K836" s="48"/>
      <c r="L836" s="48"/>
      <c r="M836" s="48"/>
      <c r="N836" s="59"/>
      <c r="O836" s="59">
        <v>150000</v>
      </c>
      <c r="P836" s="59"/>
      <c r="Q836" s="268">
        <f t="shared" si="38"/>
        <v>150000</v>
      </c>
      <c r="R836" s="61">
        <f>IF(O836=0,0,SUMIFS(Disbursements!$T:$T,Disbursements!$B:$B,'Live Collections'!D836,Disbursements!$D:$D,'Live Collections'!F836))</f>
        <v>150000</v>
      </c>
      <c r="S836" s="304">
        <f>IF(O836&lt;=IF($O836=0,0,SUMIFS(Disbursements!$W:$W,Disbursements!$B:$B,'Live Collections'!D1982,Disbursements!$D:$D,'Live Collections'!F1982)),O836,IF($O836=0,0,SUMIFS(Disbursements!$W:$W,Disbursements!$B:$B,'Live Collections'!D1982,Disbursements!$D:$D,'Live Collections'!F1982)))</f>
        <v>0</v>
      </c>
      <c r="T836" s="304">
        <f t="shared" si="39"/>
        <v>150000</v>
      </c>
      <c r="U836" s="52"/>
      <c r="V836" s="34"/>
      <c r="W836" s="408"/>
    </row>
    <row r="837" spans="1:23" ht="12.75" customHeight="1" x14ac:dyDescent="0.2">
      <c r="A837" s="132">
        <v>830</v>
      </c>
      <c r="B837" s="44">
        <v>44445</v>
      </c>
      <c r="C837" s="44">
        <f t="shared" si="37"/>
        <v>44445</v>
      </c>
      <c r="D837" s="374">
        <v>163</v>
      </c>
      <c r="E837" s="291" t="str">
        <f>IFERROR(VLOOKUP($D837,'Clients-Live'!$A:$C,3,0),"")</f>
        <v>CHANDIRU RAMULA</v>
      </c>
      <c r="F837" s="291">
        <f>IFERROR(INDEX(Disbursements!$D:$D,MATCH('Live Collections'!G837,Disbursements!$C:$C,0)),"")</f>
        <v>1</v>
      </c>
      <c r="G837" s="34">
        <v>156</v>
      </c>
      <c r="H837" s="34"/>
      <c r="I837" s="34" t="s">
        <v>1358</v>
      </c>
      <c r="J837" s="48"/>
      <c r="K837" s="48"/>
      <c r="L837" s="48"/>
      <c r="M837" s="48"/>
      <c r="N837" s="59"/>
      <c r="O837" s="59">
        <v>115000</v>
      </c>
      <c r="P837" s="59"/>
      <c r="Q837" s="268">
        <f t="shared" si="38"/>
        <v>115000</v>
      </c>
      <c r="R837" s="61">
        <f>IF(O837=0,0,SUMIFS(Disbursements!$T:$T,Disbursements!$B:$B,'Live Collections'!D837,Disbursements!$D:$D,'Live Collections'!F837))</f>
        <v>115000</v>
      </c>
      <c r="S837" s="304">
        <f>IF(O837&lt;=IF($O837=0,0,SUMIFS(Disbursements!$W:$W,Disbursements!$B:$B,'Live Collections'!D2014,Disbursements!$D:$D,'Live Collections'!F2014)),O837,IF($O837=0,0,SUMIFS(Disbursements!$W:$W,Disbursements!$B:$B,'Live Collections'!D2014,Disbursements!$D:$D,'Live Collections'!F2014)))</f>
        <v>35000</v>
      </c>
      <c r="T837" s="304">
        <f t="shared" si="39"/>
        <v>80000</v>
      </c>
      <c r="U837" s="52"/>
      <c r="V837" s="34"/>
      <c r="W837" s="408"/>
    </row>
    <row r="838" spans="1:23" ht="12.75" customHeight="1" x14ac:dyDescent="0.2">
      <c r="A838" s="257">
        <v>819</v>
      </c>
      <c r="B838" s="44">
        <v>44445</v>
      </c>
      <c r="C838" s="44">
        <f t="shared" si="37"/>
        <v>44445</v>
      </c>
      <c r="D838" s="374">
        <v>167</v>
      </c>
      <c r="E838" s="291" t="str">
        <f>IFERROR(VLOOKUP($D838,'Clients-Live'!$A:$C,3,0),"")</f>
        <v>DRICHA KADIJA</v>
      </c>
      <c r="F838" s="291">
        <f>IFERROR(INDEX(Disbursements!$D:$D,MATCH('Live Collections'!G838,Disbursements!$C:$C,0)),"")</f>
        <v>1</v>
      </c>
      <c r="G838" s="34">
        <v>157</v>
      </c>
      <c r="H838" s="34"/>
      <c r="I838" s="34" t="s">
        <v>1358</v>
      </c>
      <c r="J838" s="48"/>
      <c r="K838" s="48"/>
      <c r="L838" s="48"/>
      <c r="M838" s="48"/>
      <c r="N838" s="59"/>
      <c r="O838" s="59">
        <v>216700</v>
      </c>
      <c r="P838" s="59"/>
      <c r="Q838" s="268">
        <f t="shared" si="38"/>
        <v>216700</v>
      </c>
      <c r="R838" s="61">
        <f>IF(O838=0,0,SUMIFS(Disbursements!$T:$T,Disbursements!$B:$B,'Live Collections'!D838,Disbursements!$D:$D,'Live Collections'!F838))</f>
        <v>217000</v>
      </c>
      <c r="S838" s="304">
        <f>IF(O838&lt;=IF($O838=0,0,SUMIFS(Disbursements!$W:$W,Disbursements!$B:$B,'Live Collections'!D2388,Disbursements!$D:$D,'Live Collections'!F2388)),O838,IF($O838=0,0,SUMIFS(Disbursements!$W:$W,Disbursements!$B:$B,'Live Collections'!D2388,Disbursements!$D:$D,'Live Collections'!F2388)))</f>
        <v>30000</v>
      </c>
      <c r="T838" s="304">
        <f t="shared" si="39"/>
        <v>186700</v>
      </c>
      <c r="U838" s="52"/>
      <c r="V838" s="34"/>
      <c r="W838" s="408"/>
    </row>
    <row r="839" spans="1:23" ht="12.75" customHeight="1" x14ac:dyDescent="0.2">
      <c r="A839" s="132">
        <v>826</v>
      </c>
      <c r="B839" s="44">
        <v>44445</v>
      </c>
      <c r="C839" s="44">
        <f t="shared" si="37"/>
        <v>44445</v>
      </c>
      <c r="D839" s="374">
        <v>168</v>
      </c>
      <c r="E839" s="291" t="str">
        <f>IFERROR(VLOOKUP($D839,'Clients-Live'!$A:$C,3,0),"")</f>
        <v>ALORO FREDERICK</v>
      </c>
      <c r="F839" s="291">
        <f>IFERROR(INDEX(Disbursements!$D:$D,MATCH('Live Collections'!G839,Disbursements!$C:$C,0)),"")</f>
        <v>1</v>
      </c>
      <c r="G839" s="34">
        <v>159</v>
      </c>
      <c r="H839" s="34"/>
      <c r="I839" s="34" t="s">
        <v>1357</v>
      </c>
      <c r="J839" s="48"/>
      <c r="K839" s="48"/>
      <c r="L839" s="48"/>
      <c r="M839" s="48"/>
      <c r="N839" s="59"/>
      <c r="O839" s="59">
        <v>1250000</v>
      </c>
      <c r="P839" s="59"/>
      <c r="Q839" s="268">
        <f t="shared" si="38"/>
        <v>1250000</v>
      </c>
      <c r="R839" s="61">
        <f>IF(O839=0,0,SUMIFS(Disbursements!$T:$T,Disbursements!$B:$B,'Live Collections'!D839,Disbursements!$D:$D,'Live Collections'!F839))</f>
        <v>1250000</v>
      </c>
      <c r="S839" s="304">
        <f>IF(O839&lt;=IF($O839=0,0,SUMIFS(Disbursements!$W:$W,Disbursements!$B:$B,'Live Collections'!D2063,Disbursements!$D:$D,'Live Collections'!F2063)),O839,IF($O839=0,0,SUMIFS(Disbursements!$W:$W,Disbursements!$B:$B,'Live Collections'!D2063,Disbursements!$D:$D,'Live Collections'!F2063)))</f>
        <v>20666.666666666657</v>
      </c>
      <c r="T839" s="304">
        <f t="shared" si="39"/>
        <v>1229333.3333333333</v>
      </c>
      <c r="U839" s="52"/>
      <c r="V839" s="34"/>
      <c r="W839" s="408"/>
    </row>
    <row r="840" spans="1:23" ht="12.75" customHeight="1" x14ac:dyDescent="0.2">
      <c r="A840" s="257">
        <v>820</v>
      </c>
      <c r="B840" s="44">
        <v>44445</v>
      </c>
      <c r="C840" s="44">
        <f t="shared" si="37"/>
        <v>44445</v>
      </c>
      <c r="D840" s="374">
        <v>169</v>
      </c>
      <c r="E840" s="291" t="str">
        <f>IFERROR(VLOOKUP($D840,'Clients-Live'!$A:$C,3,0),"")</f>
        <v>KATO KENNEDY</v>
      </c>
      <c r="F840" s="291">
        <f>IFERROR(INDEX(Disbursements!$D:$D,MATCH('Live Collections'!G840,Disbursements!$C:$C,0)),"")</f>
        <v>1</v>
      </c>
      <c r="G840" s="34">
        <v>176</v>
      </c>
      <c r="H840" s="34">
        <v>1301</v>
      </c>
      <c r="I840" s="34" t="s">
        <v>1357</v>
      </c>
      <c r="J840" s="48"/>
      <c r="K840" s="48"/>
      <c r="L840" s="48"/>
      <c r="M840" s="48"/>
      <c r="N840" s="59"/>
      <c r="O840" s="59">
        <v>109000</v>
      </c>
      <c r="P840" s="59"/>
      <c r="Q840" s="268">
        <f t="shared" si="38"/>
        <v>109000</v>
      </c>
      <c r="R840" s="61">
        <f>IF(O840=0,0,SUMIFS(Disbursements!$T:$T,Disbursements!$B:$B,'Live Collections'!D840,Disbursements!$D:$D,'Live Collections'!F840))</f>
        <v>109000</v>
      </c>
      <c r="S840" s="304">
        <f>IF(O840&lt;=IF($O840=0,0,SUMIFS(Disbursements!$W:$W,Disbursements!$B:$B,'Live Collections'!D2080,Disbursements!$D:$D,'Live Collections'!F2080)),O840,IF($O840=0,0,SUMIFS(Disbursements!$W:$W,Disbursements!$B:$B,'Live Collections'!D2080,Disbursements!$D:$D,'Live Collections'!F2080)))</f>
        <v>35000</v>
      </c>
      <c r="T840" s="304">
        <f t="shared" si="39"/>
        <v>74000</v>
      </c>
      <c r="U840" s="52"/>
      <c r="V840" s="34"/>
      <c r="W840" s="408"/>
    </row>
    <row r="841" spans="1:23" ht="12.75" customHeight="1" x14ac:dyDescent="0.2">
      <c r="A841" s="132">
        <v>821</v>
      </c>
      <c r="B841" s="44">
        <v>44445</v>
      </c>
      <c r="C841" s="44">
        <f t="shared" ref="C841:C904" si="40">B841</f>
        <v>44445</v>
      </c>
      <c r="D841" s="374">
        <v>177</v>
      </c>
      <c r="E841" s="291" t="str">
        <f>IFERROR(VLOOKUP($D841,'Clients-Live'!$A:$C,3,0),"")</f>
        <v>EFIT GIFT</v>
      </c>
      <c r="F841" s="291">
        <f>IFERROR(INDEX(Disbursements!$D:$D,MATCH('Live Collections'!G841,Disbursements!$C:$C,0)),"")</f>
        <v>1</v>
      </c>
      <c r="G841" s="34">
        <v>183</v>
      </c>
      <c r="H841" s="34"/>
      <c r="I841" s="34" t="s">
        <v>1358</v>
      </c>
      <c r="J841" s="48"/>
      <c r="K841" s="48"/>
      <c r="L841" s="48"/>
      <c r="M841" s="48"/>
      <c r="N841" s="59"/>
      <c r="O841" s="59">
        <v>110000</v>
      </c>
      <c r="P841" s="59"/>
      <c r="Q841" s="268">
        <f t="shared" ref="Q841:Q904" si="41">SUM(J841:P841)</f>
        <v>110000</v>
      </c>
      <c r="R841" s="61">
        <f>IF(O841=0,0,SUMIFS(Disbursements!$T:$T,Disbursements!$B:$B,'Live Collections'!D841,Disbursements!$D:$D,'Live Collections'!F841))</f>
        <v>109000</v>
      </c>
      <c r="S841" s="304">
        <f>IF(O841&lt;=IF($O841=0,0,SUMIFS(Disbursements!$W:$W,Disbursements!$B:$B,'Live Collections'!D2165,Disbursements!$D:$D,'Live Collections'!F2165)),O841,IF($O841=0,0,SUMIFS(Disbursements!$W:$W,Disbursements!$B:$B,'Live Collections'!D2165,Disbursements!$D:$D,'Live Collections'!F2165)))</f>
        <v>40000</v>
      </c>
      <c r="T841" s="304">
        <f t="shared" ref="T841:T904" si="42">IF(O841=0,0,O841-S841)</f>
        <v>70000</v>
      </c>
      <c r="U841" s="52"/>
      <c r="V841" s="34"/>
      <c r="W841" s="408"/>
    </row>
    <row r="842" spans="1:23" ht="12.75" customHeight="1" x14ac:dyDescent="0.2">
      <c r="A842" s="257">
        <v>815</v>
      </c>
      <c r="B842" s="44">
        <v>44445</v>
      </c>
      <c r="C842" s="44">
        <f t="shared" si="40"/>
        <v>44445</v>
      </c>
      <c r="D842" s="374">
        <v>191</v>
      </c>
      <c r="E842" s="291" t="str">
        <f>IFERROR(VLOOKUP($D842,'Clients-Live'!$A:$C,3,0),"")</f>
        <v>AYOZU JESCA TAIBO</v>
      </c>
      <c r="F842" s="291">
        <f>IFERROR(INDEX(Disbursements!$D:$D,MATCH('Live Collections'!G842,Disbursements!$C:$C,0)),"")</f>
        <v>1</v>
      </c>
      <c r="G842" s="34">
        <v>210</v>
      </c>
      <c r="H842" s="34"/>
      <c r="I842" s="34" t="s">
        <v>864</v>
      </c>
      <c r="J842" s="48"/>
      <c r="K842" s="48"/>
      <c r="L842" s="48">
        <v>10000</v>
      </c>
      <c r="M842" s="48">
        <v>5000</v>
      </c>
      <c r="N842" s="59"/>
      <c r="O842" s="59"/>
      <c r="P842" s="59">
        <v>40000</v>
      </c>
      <c r="Q842" s="268">
        <f t="shared" si="41"/>
        <v>55000</v>
      </c>
      <c r="R842" s="61">
        <f>IF(O842=0,0,SUMIFS(Disbursements!$T:$T,Disbursements!$B:$B,'Live Collections'!D842,Disbursements!$D:$D,'Live Collections'!F842))</f>
        <v>0</v>
      </c>
      <c r="S842" s="304">
        <f>IF(O842&lt;=IF($O842=0,0,SUMIFS(Disbursements!$W:$W,Disbursements!$B:$B,'Live Collections'!D2319,Disbursements!$D:$D,'Live Collections'!F2319)),O842,IF($O842=0,0,SUMIFS(Disbursements!$W:$W,Disbursements!$B:$B,'Live Collections'!D2319,Disbursements!$D:$D,'Live Collections'!F2319)))</f>
        <v>0</v>
      </c>
      <c r="T842" s="304">
        <f t="shared" si="42"/>
        <v>0</v>
      </c>
      <c r="U842" s="52"/>
      <c r="V842" s="34"/>
      <c r="W842" s="408"/>
    </row>
    <row r="843" spans="1:23" ht="12.75" customHeight="1" x14ac:dyDescent="0.2">
      <c r="A843" s="132">
        <v>816</v>
      </c>
      <c r="B843" s="44">
        <v>44445</v>
      </c>
      <c r="C843" s="44">
        <f t="shared" si="40"/>
        <v>44445</v>
      </c>
      <c r="D843" s="374">
        <v>209</v>
      </c>
      <c r="E843" s="291" t="str">
        <f>IFERROR(VLOOKUP($D843,'Clients-Live'!$A:$C,3,0),"")</f>
        <v>ADUI ISMAIL</v>
      </c>
      <c r="F843" s="291">
        <f>IFERROR(INDEX(Disbursements!$D:$D,MATCH('Live Collections'!G843,Disbursements!$C:$C,0)),"")</f>
        <v>1</v>
      </c>
      <c r="G843" s="34">
        <v>209</v>
      </c>
      <c r="H843" s="34"/>
      <c r="I843" s="34" t="s">
        <v>864</v>
      </c>
      <c r="J843" s="48"/>
      <c r="K843" s="48"/>
      <c r="L843" s="48">
        <v>15000</v>
      </c>
      <c r="M843" s="48">
        <v>5000</v>
      </c>
      <c r="N843" s="59"/>
      <c r="O843" s="59"/>
      <c r="P843" s="59">
        <v>60000</v>
      </c>
      <c r="Q843" s="268">
        <f t="shared" si="41"/>
        <v>80000</v>
      </c>
      <c r="R843" s="61">
        <f>IF(O843=0,0,SUMIFS(Disbursements!$T:$T,Disbursements!$B:$B,'Live Collections'!D843,Disbursements!$D:$D,'Live Collections'!F843))</f>
        <v>0</v>
      </c>
      <c r="S843" s="304">
        <f>IF(O843&lt;=IF($O843=0,0,SUMIFS(Disbursements!$W:$W,Disbursements!$B:$B,'Live Collections'!D2467,Disbursements!$D:$D,'Live Collections'!F2467)),O843,IF($O843=0,0,SUMIFS(Disbursements!$W:$W,Disbursements!$B:$B,'Live Collections'!D2467,Disbursements!$D:$D,'Live Collections'!F2467)))</f>
        <v>0</v>
      </c>
      <c r="T843" s="304">
        <f t="shared" si="42"/>
        <v>0</v>
      </c>
      <c r="U843" s="52"/>
      <c r="V843" s="34"/>
      <c r="W843" s="408"/>
    </row>
    <row r="844" spans="1:23" ht="12.75" customHeight="1" x14ac:dyDescent="0.2">
      <c r="A844" s="257">
        <v>817</v>
      </c>
      <c r="B844" s="44">
        <v>44445</v>
      </c>
      <c r="C844" s="44">
        <f t="shared" si="40"/>
        <v>44445</v>
      </c>
      <c r="D844" s="374">
        <v>213</v>
      </c>
      <c r="E844" s="291" t="str">
        <f>IFERROR(VLOOKUP($D844,'Clients-Live'!$A:$C,3,0),"")</f>
        <v>ATIKURU NADIA</v>
      </c>
      <c r="F844" s="291">
        <f>IFERROR(INDEX(Disbursements!$D:$D,MATCH('Live Collections'!G844,Disbursements!$C:$C,0)),"")</f>
        <v>1</v>
      </c>
      <c r="G844" s="34">
        <v>208</v>
      </c>
      <c r="H844" s="34"/>
      <c r="I844" s="34" t="s">
        <v>863</v>
      </c>
      <c r="J844" s="48"/>
      <c r="K844" s="48"/>
      <c r="L844" s="48">
        <v>10000</v>
      </c>
      <c r="M844" s="48">
        <v>5000</v>
      </c>
      <c r="N844" s="59"/>
      <c r="O844" s="59"/>
      <c r="P844" s="59">
        <v>50000</v>
      </c>
      <c r="Q844" s="268">
        <f t="shared" si="41"/>
        <v>65000</v>
      </c>
      <c r="R844" s="61">
        <f>IF(O844=0,0,SUMIFS(Disbursements!$T:$T,Disbursements!$B:$B,'Live Collections'!D844,Disbursements!$D:$D,'Live Collections'!F844))</f>
        <v>0</v>
      </c>
      <c r="S844" s="304">
        <f>IF(O844&lt;=IF($O844=0,0,SUMIFS(Disbursements!$W:$W,Disbursements!$B:$B,'Live Collections'!D2510,Disbursements!$D:$D,'Live Collections'!F2510)),O844,IF($O844=0,0,SUMIFS(Disbursements!$W:$W,Disbursements!$B:$B,'Live Collections'!D2510,Disbursements!$D:$D,'Live Collections'!F2510)))</f>
        <v>0</v>
      </c>
      <c r="T844" s="304">
        <f t="shared" si="42"/>
        <v>0</v>
      </c>
      <c r="U844" s="52"/>
      <c r="V844" s="34"/>
      <c r="W844" s="408"/>
    </row>
    <row r="845" spans="1:23" ht="12.75" customHeight="1" x14ac:dyDescent="0.2">
      <c r="A845" s="132">
        <v>841</v>
      </c>
      <c r="B845" s="44">
        <v>44446</v>
      </c>
      <c r="C845" s="44">
        <f t="shared" si="40"/>
        <v>44446</v>
      </c>
      <c r="D845" s="374">
        <v>17</v>
      </c>
      <c r="E845" s="291" t="str">
        <f>IFERROR(VLOOKUP($D845,'Clients-Live'!$A:$C,3,0),"")</f>
        <v>MAMBU BAYI</v>
      </c>
      <c r="F845" s="291">
        <f>IFERROR(INDEX(Disbursements!$D:$D,MATCH('Live Collections'!G845,Disbursements!$C:$C,0)),"")</f>
        <v>1</v>
      </c>
      <c r="G845" s="34">
        <v>7</v>
      </c>
      <c r="H845" s="34"/>
      <c r="I845" s="34" t="s">
        <v>1357</v>
      </c>
      <c r="J845" s="48"/>
      <c r="K845" s="48"/>
      <c r="L845" s="48"/>
      <c r="M845" s="48"/>
      <c r="N845" s="59"/>
      <c r="O845" s="59">
        <v>100000</v>
      </c>
      <c r="P845" s="59"/>
      <c r="Q845" s="268">
        <f t="shared" si="41"/>
        <v>100000</v>
      </c>
      <c r="R845" s="61">
        <f>IF(O845=0,0,SUMIFS(Disbursements!$T:$T,Disbursements!$B:$B,'Live Collections'!D845,Disbursements!$D:$D,'Live Collections'!F845))</f>
        <v>325000</v>
      </c>
      <c r="S845" s="304">
        <f>IF(O845&lt;=IF($O845=0,0,SUMIFS(Disbursements!$W:$W,Disbursements!$B:$B,'Live Collections'!D988,Disbursements!$D:$D,'Live Collections'!F988)),O845,IF($O845=0,0,SUMIFS(Disbursements!$W:$W,Disbursements!$B:$B,'Live Collections'!D988,Disbursements!$D:$D,'Live Collections'!F988)))</f>
        <v>50000</v>
      </c>
      <c r="T845" s="304">
        <f t="shared" si="42"/>
        <v>50000</v>
      </c>
      <c r="U845" s="52"/>
      <c r="V845" s="34"/>
      <c r="W845" s="408"/>
    </row>
    <row r="846" spans="1:23" ht="12.75" customHeight="1" x14ac:dyDescent="0.2">
      <c r="A846" s="257">
        <v>836</v>
      </c>
      <c r="B846" s="44">
        <v>44446</v>
      </c>
      <c r="C846" s="44">
        <f t="shared" si="40"/>
        <v>44446</v>
      </c>
      <c r="D846" s="374">
        <v>19</v>
      </c>
      <c r="E846" s="291" t="str">
        <f>IFERROR(VLOOKUP($D846,'Clients-Live'!$A:$C,3,0),"")</f>
        <v>ANGUPARU MOLLY</v>
      </c>
      <c r="F846" s="291">
        <f>IFERROR(INDEX(Disbursements!$D:$D,MATCH('Live Collections'!G846,Disbursements!$C:$C,0)),"")</f>
        <v>2</v>
      </c>
      <c r="G846" s="34">
        <v>152</v>
      </c>
      <c r="H846" s="34">
        <v>1333</v>
      </c>
      <c r="I846" s="34" t="s">
        <v>1358</v>
      </c>
      <c r="J846" s="48"/>
      <c r="K846" s="48"/>
      <c r="L846" s="48"/>
      <c r="M846" s="48"/>
      <c r="N846" s="59"/>
      <c r="O846" s="59">
        <v>110000</v>
      </c>
      <c r="P846" s="59"/>
      <c r="Q846" s="268">
        <f t="shared" si="41"/>
        <v>110000</v>
      </c>
      <c r="R846" s="61">
        <f>IF(O846=0,0,SUMIFS(Disbursements!$T:$T,Disbursements!$B:$B,'Live Collections'!D846,Disbursements!$D:$D,'Live Collections'!F846))</f>
        <v>210000</v>
      </c>
      <c r="S846" s="304">
        <f>IF(O846&lt;=IF($O846=0,0,SUMIFS(Disbursements!$W:$W,Disbursements!$B:$B,'Live Collections'!D238,Disbursements!$D:$D,'Live Collections'!F238)),O846,IF($O846=0,0,SUMIFS(Disbursements!$W:$W,Disbursements!$B:$B,'Live Collections'!D238,Disbursements!$D:$D,'Live Collections'!F238)))</f>
        <v>38000</v>
      </c>
      <c r="T846" s="304">
        <f t="shared" si="42"/>
        <v>72000</v>
      </c>
      <c r="U846" s="52"/>
      <c r="V846" s="34"/>
      <c r="W846" s="408"/>
    </row>
    <row r="847" spans="1:23" ht="12.75" customHeight="1" x14ac:dyDescent="0.2">
      <c r="A847" s="132">
        <v>838</v>
      </c>
      <c r="B847" s="44">
        <v>44446</v>
      </c>
      <c r="C847" s="44">
        <f t="shared" si="40"/>
        <v>44446</v>
      </c>
      <c r="D847" s="374">
        <v>64</v>
      </c>
      <c r="E847" s="291" t="str">
        <f>IFERROR(VLOOKUP($D847,'Clients-Live'!$A:$C,3,0),"")</f>
        <v>AKINO JUDITH</v>
      </c>
      <c r="F847" s="291">
        <f>IFERROR(INDEX(Disbursements!$D:$D,MATCH('Live Collections'!G847,Disbursements!$C:$C,0)),"")</f>
        <v>1</v>
      </c>
      <c r="G847" s="34">
        <v>40</v>
      </c>
      <c r="H847" s="34"/>
      <c r="I847" s="34" t="s">
        <v>1358</v>
      </c>
      <c r="J847" s="48"/>
      <c r="K847" s="48"/>
      <c r="L847" s="48">
        <v>15000</v>
      </c>
      <c r="M847" s="48">
        <v>5000</v>
      </c>
      <c r="N847" s="59"/>
      <c r="O847" s="59">
        <v>300000</v>
      </c>
      <c r="P847" s="59"/>
      <c r="Q847" s="268">
        <f t="shared" si="41"/>
        <v>320000</v>
      </c>
      <c r="R847" s="61">
        <f>IF(O847=0,0,SUMIFS(Disbursements!$T:$T,Disbursements!$B:$B,'Live Collections'!D847,Disbursements!$D:$D,'Live Collections'!F847))</f>
        <v>150000</v>
      </c>
      <c r="S847" s="304">
        <f>IF(O847&lt;=IF($O847=0,0,SUMIFS(Disbursements!$W:$W,Disbursements!$B:$B,'Live Collections'!D771,Disbursements!$D:$D,'Live Collections'!F771)),O847,IF($O847=0,0,SUMIFS(Disbursements!$W:$W,Disbursements!$B:$B,'Live Collections'!D771,Disbursements!$D:$D,'Live Collections'!F771)))</f>
        <v>75000</v>
      </c>
      <c r="T847" s="304">
        <f t="shared" si="42"/>
        <v>225000</v>
      </c>
      <c r="U847" s="52"/>
      <c r="V847" s="34"/>
      <c r="W847" s="408"/>
    </row>
    <row r="848" spans="1:23" ht="12.75" customHeight="1" x14ac:dyDescent="0.2">
      <c r="A848" s="257">
        <v>840</v>
      </c>
      <c r="B848" s="44">
        <v>44446</v>
      </c>
      <c r="C848" s="44">
        <f t="shared" si="40"/>
        <v>44446</v>
      </c>
      <c r="D848" s="374">
        <v>69</v>
      </c>
      <c r="E848" s="291" t="str">
        <f>IFERROR(VLOOKUP($D848,'Clients-Live'!$A:$C,3,0),"")</f>
        <v>SADIA JOYCE</v>
      </c>
      <c r="F848" s="291">
        <f>IFERROR(INDEX(Disbursements!$D:$D,MATCH('Live Collections'!G848,Disbursements!$C:$C,0)),"")</f>
        <v>1</v>
      </c>
      <c r="G848" s="34">
        <v>106</v>
      </c>
      <c r="H848" s="34"/>
      <c r="I848" s="34" t="s">
        <v>1359</v>
      </c>
      <c r="J848" s="48"/>
      <c r="K848" s="48"/>
      <c r="L848" s="48"/>
      <c r="M848" s="48"/>
      <c r="N848" s="59"/>
      <c r="O848" s="59">
        <v>90000</v>
      </c>
      <c r="P848" s="59"/>
      <c r="Q848" s="268">
        <f t="shared" si="41"/>
        <v>90000</v>
      </c>
      <c r="R848" s="61">
        <f>IF(O848=0,0,SUMIFS(Disbursements!$T:$T,Disbursements!$B:$B,'Live Collections'!D848,Disbursements!$D:$D,'Live Collections'!F848))</f>
        <v>90000</v>
      </c>
      <c r="S848" s="304">
        <f>IF(O848&lt;=IF($O848=0,0,SUMIFS(Disbursements!$W:$W,Disbursements!$B:$B,'Live Collections'!D1420,Disbursements!$D:$D,'Live Collections'!F1420)),O848,IF($O848=0,0,SUMIFS(Disbursements!$W:$W,Disbursements!$B:$B,'Live Collections'!D1420,Disbursements!$D:$D,'Live Collections'!F1420)))</f>
        <v>0</v>
      </c>
      <c r="T848" s="304">
        <f t="shared" si="42"/>
        <v>90000</v>
      </c>
      <c r="U848" s="52"/>
      <c r="V848" s="34"/>
      <c r="W848" s="408"/>
    </row>
    <row r="849" spans="1:23" ht="12.75" customHeight="1" x14ac:dyDescent="0.2">
      <c r="A849" s="132">
        <v>843</v>
      </c>
      <c r="B849" s="44">
        <v>44446</v>
      </c>
      <c r="C849" s="44">
        <f t="shared" si="40"/>
        <v>44446</v>
      </c>
      <c r="D849" s="374">
        <v>106</v>
      </c>
      <c r="E849" s="291" t="str">
        <f>IFERROR(VLOOKUP($D849,'Clients-Live'!$A:$C,3,0),"")</f>
        <v>ORODRIYO  NUSURA</v>
      </c>
      <c r="F849" s="291">
        <f>IFERROR(INDEX(Disbursements!$D:$D,MATCH('Live Collections'!G849,Disbursements!$C:$C,0)),"")</f>
        <v>2</v>
      </c>
      <c r="G849" s="34">
        <v>104</v>
      </c>
      <c r="H849" s="34"/>
      <c r="I849" s="34" t="s">
        <v>1357</v>
      </c>
      <c r="J849" s="48"/>
      <c r="K849" s="48"/>
      <c r="L849" s="48">
        <v>10000</v>
      </c>
      <c r="M849" s="48">
        <v>5000</v>
      </c>
      <c r="N849" s="59"/>
      <c r="O849" s="59"/>
      <c r="P849" s="59">
        <v>30000</v>
      </c>
      <c r="Q849" s="268">
        <f t="shared" si="41"/>
        <v>45000</v>
      </c>
      <c r="R849" s="61">
        <f>IF(O849=0,0,SUMIFS(Disbursements!$T:$T,Disbursements!$B:$B,'Live Collections'!D849,Disbursements!$D:$D,'Live Collections'!F849))</f>
        <v>0</v>
      </c>
      <c r="S849" s="304">
        <f>IF(O849&lt;=IF($O849=0,0,SUMIFS(Disbursements!$W:$W,Disbursements!$B:$B,'Live Collections'!D1368,Disbursements!$D:$D,'Live Collections'!F1368)),O849,IF($O849=0,0,SUMIFS(Disbursements!$W:$W,Disbursements!$B:$B,'Live Collections'!D1368,Disbursements!$D:$D,'Live Collections'!F1368)))</f>
        <v>0</v>
      </c>
      <c r="T849" s="304">
        <f t="shared" si="42"/>
        <v>0</v>
      </c>
      <c r="U849" s="52"/>
      <c r="V849" s="34"/>
      <c r="W849" s="408"/>
    </row>
    <row r="850" spans="1:23" ht="12.75" customHeight="1" x14ac:dyDescent="0.2">
      <c r="A850" s="257">
        <v>839</v>
      </c>
      <c r="B850" s="44">
        <v>44446</v>
      </c>
      <c r="C850" s="44">
        <f t="shared" si="40"/>
        <v>44446</v>
      </c>
      <c r="D850" s="374">
        <v>115</v>
      </c>
      <c r="E850" s="291" t="str">
        <f>IFERROR(VLOOKUP($D850,'Clients-Live'!$A:$C,3,0),"")</f>
        <v>AYIKE SAUDA</v>
      </c>
      <c r="F850" s="291">
        <f>IFERROR(INDEX(Disbursements!$D:$D,MATCH('Live Collections'!G850,Disbursements!$C:$C,0)),"")</f>
        <v>1</v>
      </c>
      <c r="G850" s="34">
        <v>98</v>
      </c>
      <c r="H850" s="34"/>
      <c r="I850" s="34" t="s">
        <v>1357</v>
      </c>
      <c r="J850" s="48"/>
      <c r="K850" s="48"/>
      <c r="L850" s="48"/>
      <c r="M850" s="48"/>
      <c r="N850" s="59"/>
      <c r="O850" s="59">
        <v>150000</v>
      </c>
      <c r="P850" s="59"/>
      <c r="Q850" s="268">
        <f t="shared" si="41"/>
        <v>150000</v>
      </c>
      <c r="R850" s="61">
        <f>IF(O850=0,0,SUMIFS(Disbursements!$T:$T,Disbursements!$B:$B,'Live Collections'!D850,Disbursements!$D:$D,'Live Collections'!F850))</f>
        <v>217000</v>
      </c>
      <c r="S850" s="304">
        <f>IF(O850&lt;=IF($O850=0,0,SUMIFS(Disbursements!$W:$W,Disbursements!$B:$B,'Live Collections'!D1478,Disbursements!$D:$D,'Live Collections'!F1478)),O850,IF($O850=0,0,SUMIFS(Disbursements!$W:$W,Disbursements!$B:$B,'Live Collections'!D1478,Disbursements!$D:$D,'Live Collections'!F1478)))</f>
        <v>15000</v>
      </c>
      <c r="T850" s="304">
        <f t="shared" si="42"/>
        <v>135000</v>
      </c>
      <c r="U850" s="52"/>
      <c r="V850" s="34"/>
      <c r="W850" s="408"/>
    </row>
    <row r="851" spans="1:23" ht="12.75" customHeight="1" x14ac:dyDescent="0.2">
      <c r="A851" s="132">
        <v>835</v>
      </c>
      <c r="B851" s="44">
        <v>44446</v>
      </c>
      <c r="C851" s="44">
        <f t="shared" si="40"/>
        <v>44446</v>
      </c>
      <c r="D851" s="374">
        <v>119</v>
      </c>
      <c r="E851" s="291" t="str">
        <f>IFERROR(VLOOKUP($D851,'Clients-Live'!$A:$C,3,0),"")</f>
        <v>STELLA KONGAI</v>
      </c>
      <c r="F851" s="291">
        <f>IFERROR(INDEX(Disbursements!$D:$D,MATCH('Live Collections'!G851,Disbursements!$C:$C,0)),"")</f>
        <v>1</v>
      </c>
      <c r="G851" s="34">
        <v>103</v>
      </c>
      <c r="H851" s="34"/>
      <c r="I851" s="34" t="s">
        <v>1359</v>
      </c>
      <c r="J851" s="48"/>
      <c r="K851" s="48"/>
      <c r="L851" s="48"/>
      <c r="M851" s="48"/>
      <c r="N851" s="59"/>
      <c r="O851" s="59">
        <v>817100</v>
      </c>
      <c r="P851" s="59"/>
      <c r="Q851" s="268">
        <f t="shared" si="41"/>
        <v>817100</v>
      </c>
      <c r="R851" s="61">
        <f>IF(O851=0,0,SUMIFS(Disbursements!$T:$T,Disbursements!$B:$B,'Live Collections'!D851,Disbursements!$D:$D,'Live Collections'!F851))</f>
        <v>817000</v>
      </c>
      <c r="S851" s="304">
        <f>IF(O851&lt;=IF($O851=0,0,SUMIFS(Disbursements!$W:$W,Disbursements!$B:$B,'Live Collections'!D1846,Disbursements!$D:$D,'Live Collections'!F1846)),O851,IF($O851=0,0,SUMIFS(Disbursements!$W:$W,Disbursements!$B:$B,'Live Collections'!D1846,Disbursements!$D:$D,'Live Collections'!F1846)))</f>
        <v>15000</v>
      </c>
      <c r="T851" s="304">
        <f t="shared" si="42"/>
        <v>802100</v>
      </c>
      <c r="U851" s="52"/>
      <c r="V851" s="34"/>
      <c r="W851" s="408"/>
    </row>
    <row r="852" spans="1:23" ht="12.75" customHeight="1" x14ac:dyDescent="0.2">
      <c r="A852" s="257">
        <v>837</v>
      </c>
      <c r="B852" s="44">
        <v>44446</v>
      </c>
      <c r="C852" s="44">
        <f t="shared" si="40"/>
        <v>44446</v>
      </c>
      <c r="D852" s="374">
        <v>166</v>
      </c>
      <c r="E852" s="291" t="str">
        <f>IFERROR(VLOOKUP($D852,'Clients-Live'!$A:$C,3,0),"")</f>
        <v>INJIKURU ROSE</v>
      </c>
      <c r="F852" s="291">
        <f>IFERROR(INDEX(Disbursements!$D:$D,MATCH('Live Collections'!G852,Disbursements!$C:$C,0)),"")</f>
        <v>1</v>
      </c>
      <c r="G852" s="34">
        <v>153</v>
      </c>
      <c r="H852" s="34"/>
      <c r="I852" s="34" t="s">
        <v>1357</v>
      </c>
      <c r="J852" s="48"/>
      <c r="K852" s="48"/>
      <c r="L852" s="48"/>
      <c r="M852" s="48"/>
      <c r="N852" s="59"/>
      <c r="O852" s="59">
        <v>57000</v>
      </c>
      <c r="P852" s="59"/>
      <c r="Q852" s="268">
        <f t="shared" si="41"/>
        <v>57000</v>
      </c>
      <c r="R852" s="61">
        <f>IF(O852=0,0,SUMIFS(Disbursements!$T:$T,Disbursements!$B:$B,'Live Collections'!D852,Disbursements!$D:$D,'Live Collections'!F852))</f>
        <v>77000</v>
      </c>
      <c r="S852" s="304">
        <f>IF(O852&lt;=IF($O852=0,0,SUMIFS(Disbursements!$W:$W,Disbursements!$B:$B,'Live Collections'!D2051,Disbursements!$D:$D,'Live Collections'!F2051)),O852,IF($O852=0,0,SUMIFS(Disbursements!$W:$W,Disbursements!$B:$B,'Live Collections'!D2051,Disbursements!$D:$D,'Live Collections'!F2051)))</f>
        <v>4000</v>
      </c>
      <c r="T852" s="304">
        <f t="shared" si="42"/>
        <v>53000</v>
      </c>
      <c r="U852" s="52"/>
      <c r="V852" s="34"/>
      <c r="W852" s="408"/>
    </row>
    <row r="853" spans="1:23" ht="12.75" customHeight="1" x14ac:dyDescent="0.2">
      <c r="A853" s="132">
        <v>831</v>
      </c>
      <c r="B853" s="44">
        <v>44446</v>
      </c>
      <c r="C853" s="44">
        <f t="shared" si="40"/>
        <v>44446</v>
      </c>
      <c r="D853" s="374">
        <v>205</v>
      </c>
      <c r="E853" s="291" t="str">
        <f>IFERROR(VLOOKUP($D853,'Clients-Live'!$A:$C,3,0),"")</f>
        <v>OPIRU ALICE</v>
      </c>
      <c r="F853" s="291">
        <f>IFERROR(INDEX(Disbursements!$D:$D,MATCH('Live Collections'!G853,Disbursements!$C:$C,0)),"")</f>
        <v>1</v>
      </c>
      <c r="G853" s="34">
        <v>212</v>
      </c>
      <c r="H853" s="34"/>
      <c r="I853" s="34" t="s">
        <v>862</v>
      </c>
      <c r="J853" s="48"/>
      <c r="K853" s="48"/>
      <c r="L853" s="48">
        <v>10000</v>
      </c>
      <c r="M853" s="48">
        <v>5000</v>
      </c>
      <c r="N853" s="59"/>
      <c r="O853" s="59"/>
      <c r="P853" s="59">
        <v>0</v>
      </c>
      <c r="Q853" s="268">
        <f t="shared" si="41"/>
        <v>15000</v>
      </c>
      <c r="R853" s="61">
        <f>IF(O853=0,0,SUMIFS(Disbursements!$T:$T,Disbursements!$B:$B,'Live Collections'!D853,Disbursements!$D:$D,'Live Collections'!F853))</f>
        <v>0</v>
      </c>
      <c r="S853" s="304">
        <f>IF(O853&lt;=IF($O853=0,0,SUMIFS(Disbursements!$W:$W,Disbursements!$B:$B,'Live Collections'!D2419,Disbursements!$D:$D,'Live Collections'!F2419)),O853,IF($O853=0,0,SUMIFS(Disbursements!$W:$W,Disbursements!$B:$B,'Live Collections'!D2419,Disbursements!$D:$D,'Live Collections'!F2419)))</f>
        <v>0</v>
      </c>
      <c r="T853" s="304">
        <f t="shared" si="42"/>
        <v>0</v>
      </c>
      <c r="U853" s="52"/>
      <c r="V853" s="34"/>
      <c r="W853" s="408"/>
    </row>
    <row r="854" spans="1:23" ht="12.75" customHeight="1" x14ac:dyDescent="0.2">
      <c r="A854" s="257">
        <v>842</v>
      </c>
      <c r="B854" s="44">
        <v>44446</v>
      </c>
      <c r="C854" s="44">
        <f t="shared" si="40"/>
        <v>44446</v>
      </c>
      <c r="D854" s="374">
        <v>205</v>
      </c>
      <c r="E854" s="291" t="str">
        <f>IFERROR(VLOOKUP($D854,'Clients-Live'!$A:$C,3,0),"")</f>
        <v>OPIRU ALICE</v>
      </c>
      <c r="F854" s="291">
        <f>IFERROR(INDEX(Disbursements!$D:$D,MATCH('Live Collections'!G854,Disbursements!$C:$C,0)),"")</f>
        <v>1</v>
      </c>
      <c r="G854" s="34">
        <v>212</v>
      </c>
      <c r="H854" s="34">
        <v>1311</v>
      </c>
      <c r="I854" s="34" t="s">
        <v>1359</v>
      </c>
      <c r="J854" s="48"/>
      <c r="K854" s="48"/>
      <c r="L854" s="48"/>
      <c r="M854" s="48"/>
      <c r="N854" s="59"/>
      <c r="O854" s="59"/>
      <c r="P854" s="59">
        <v>40000</v>
      </c>
      <c r="Q854" s="268">
        <f t="shared" si="41"/>
        <v>40000</v>
      </c>
      <c r="R854" s="61">
        <f>IF(O854=0,0,SUMIFS(Disbursements!$T:$T,Disbursements!$B:$B,'Live Collections'!D854,Disbursements!$D:$D,'Live Collections'!F854))</f>
        <v>0</v>
      </c>
      <c r="S854" s="304">
        <f>IF(O854&lt;=IF($O854=0,0,SUMIFS(Disbursements!$W:$W,Disbursements!$B:$B,'Live Collections'!D2420,Disbursements!$D:$D,'Live Collections'!F2420)),O854,IF($O854=0,0,SUMIFS(Disbursements!$W:$W,Disbursements!$B:$B,'Live Collections'!D2420,Disbursements!$D:$D,'Live Collections'!F2420)))</f>
        <v>0</v>
      </c>
      <c r="T854" s="304">
        <f t="shared" si="42"/>
        <v>0</v>
      </c>
      <c r="U854" s="52"/>
      <c r="V854" s="34"/>
      <c r="W854" s="408"/>
    </row>
    <row r="855" spans="1:23" ht="12.75" customHeight="1" x14ac:dyDescent="0.2">
      <c r="A855" s="132">
        <v>832</v>
      </c>
      <c r="B855" s="44">
        <v>44446</v>
      </c>
      <c r="C855" s="44">
        <f t="shared" si="40"/>
        <v>44446</v>
      </c>
      <c r="D855" s="374">
        <v>206</v>
      </c>
      <c r="E855" s="291" t="str">
        <f>IFERROR(VLOOKUP($D855,'Clients-Live'!$A:$C,3,0),"")</f>
        <v>AMILE AISHA</v>
      </c>
      <c r="F855" s="291">
        <f>IFERROR(INDEX(Disbursements!$D:$D,MATCH('Live Collections'!G855,Disbursements!$C:$C,0)),"")</f>
        <v>1</v>
      </c>
      <c r="G855" s="34">
        <v>214</v>
      </c>
      <c r="H855" s="34">
        <v>1326</v>
      </c>
      <c r="I855" s="34" t="s">
        <v>864</v>
      </c>
      <c r="J855" s="48"/>
      <c r="K855" s="48"/>
      <c r="L855" s="48">
        <v>10000</v>
      </c>
      <c r="M855" s="48">
        <v>5000</v>
      </c>
      <c r="N855" s="59"/>
      <c r="O855" s="59"/>
      <c r="P855" s="59">
        <v>50000</v>
      </c>
      <c r="Q855" s="268">
        <f t="shared" si="41"/>
        <v>65000</v>
      </c>
      <c r="R855" s="61">
        <f>IF(O855=0,0,SUMIFS(Disbursements!$T:$T,Disbursements!$B:$B,'Live Collections'!D855,Disbursements!$D:$D,'Live Collections'!F855))</f>
        <v>0</v>
      </c>
      <c r="S855" s="304">
        <f>IF(O855&lt;=IF($O855=0,0,SUMIFS(Disbursements!$W:$W,Disbursements!$B:$B,'Live Collections'!D2435,Disbursements!$D:$D,'Live Collections'!F2435)),O855,IF($O855=0,0,SUMIFS(Disbursements!$W:$W,Disbursements!$B:$B,'Live Collections'!D2435,Disbursements!$D:$D,'Live Collections'!F2435)))</f>
        <v>0</v>
      </c>
      <c r="T855" s="304">
        <f t="shared" si="42"/>
        <v>0</v>
      </c>
      <c r="U855" s="52"/>
      <c r="V855" s="34"/>
      <c r="W855" s="408"/>
    </row>
    <row r="856" spans="1:23" ht="12.75" customHeight="1" x14ac:dyDescent="0.2">
      <c r="A856" s="257">
        <v>833</v>
      </c>
      <c r="B856" s="44">
        <v>44446</v>
      </c>
      <c r="C856" s="44">
        <f t="shared" si="40"/>
        <v>44446</v>
      </c>
      <c r="D856" s="374">
        <v>210</v>
      </c>
      <c r="E856" s="291" t="str">
        <f>IFERROR(VLOOKUP($D856,'Clients-Live'!$A:$C,3,0),"")</f>
        <v>ADRILI ZAHARA</v>
      </c>
      <c r="F856" s="291">
        <f>IFERROR(INDEX(Disbursements!$D:$D,MATCH('Live Collections'!G856,Disbursements!$C:$C,0)),"")</f>
        <v>1</v>
      </c>
      <c r="G856" s="34">
        <v>213</v>
      </c>
      <c r="H856" s="34"/>
      <c r="I856" s="34" t="s">
        <v>864</v>
      </c>
      <c r="J856" s="48"/>
      <c r="K856" s="48"/>
      <c r="L856" s="48">
        <v>10000</v>
      </c>
      <c r="M856" s="48">
        <v>5000</v>
      </c>
      <c r="N856" s="59"/>
      <c r="O856" s="59"/>
      <c r="P856" s="59">
        <v>50000</v>
      </c>
      <c r="Q856" s="268">
        <f t="shared" si="41"/>
        <v>65000</v>
      </c>
      <c r="R856" s="61">
        <f>IF(O856=0,0,SUMIFS(Disbursements!$T:$T,Disbursements!$B:$B,'Live Collections'!D856,Disbursements!$D:$D,'Live Collections'!F856))</f>
        <v>0</v>
      </c>
      <c r="S856" s="304">
        <f>IF(O856&lt;=IF($O856=0,0,SUMIFS(Disbursements!$W:$W,Disbursements!$B:$B,'Live Collections'!D2477,Disbursements!$D:$D,'Live Collections'!F2477)),O856,IF($O856=0,0,SUMIFS(Disbursements!$W:$W,Disbursements!$B:$B,'Live Collections'!D2477,Disbursements!$D:$D,'Live Collections'!F2477)))</f>
        <v>0</v>
      </c>
      <c r="T856" s="304">
        <f t="shared" si="42"/>
        <v>0</v>
      </c>
      <c r="U856" s="52"/>
      <c r="V856" s="34"/>
      <c r="W856" s="408"/>
    </row>
    <row r="857" spans="1:23" ht="12.75" customHeight="1" x14ac:dyDescent="0.2">
      <c r="A857" s="132">
        <v>834</v>
      </c>
      <c r="B857" s="44">
        <v>44446</v>
      </c>
      <c r="C857" s="44">
        <f t="shared" si="40"/>
        <v>44446</v>
      </c>
      <c r="D857" s="374">
        <v>211</v>
      </c>
      <c r="E857" s="291" t="str">
        <f>IFERROR(VLOOKUP($D857,'Clients-Live'!$A:$C,3,0),"")</f>
        <v>WILARU JOYCE</v>
      </c>
      <c r="F857" s="291">
        <f>IFERROR(INDEX(Disbursements!$D:$D,MATCH('Live Collections'!G857,Disbursements!$C:$C,0)),"")</f>
        <v>1</v>
      </c>
      <c r="G857" s="34">
        <v>211</v>
      </c>
      <c r="H857" s="34"/>
      <c r="I857" s="34" t="s">
        <v>863</v>
      </c>
      <c r="J857" s="48"/>
      <c r="K857" s="48"/>
      <c r="L857" s="48">
        <v>15000</v>
      </c>
      <c r="M857" s="48">
        <v>5000</v>
      </c>
      <c r="N857" s="59"/>
      <c r="O857" s="59"/>
      <c r="P857" s="59">
        <v>80000</v>
      </c>
      <c r="Q857" s="268">
        <f t="shared" si="41"/>
        <v>100000</v>
      </c>
      <c r="R857" s="61">
        <f>IF(O857=0,0,SUMIFS(Disbursements!$T:$T,Disbursements!$B:$B,'Live Collections'!D857,Disbursements!$D:$D,'Live Collections'!F857))</f>
        <v>0</v>
      </c>
      <c r="S857" s="304">
        <f>IF(O857&lt;=IF($O857=0,0,SUMIFS(Disbursements!$W:$W,Disbursements!$B:$B,'Live Collections'!D2485,Disbursements!$D:$D,'Live Collections'!F2485)),O857,IF($O857=0,0,SUMIFS(Disbursements!$W:$W,Disbursements!$B:$B,'Live Collections'!D2485,Disbursements!$D:$D,'Live Collections'!F2485)))</f>
        <v>0</v>
      </c>
      <c r="T857" s="304">
        <f t="shared" si="42"/>
        <v>0</v>
      </c>
      <c r="U857" s="52"/>
      <c r="V857" s="34"/>
      <c r="W857" s="408"/>
    </row>
    <row r="858" spans="1:23" ht="12.75" customHeight="1" x14ac:dyDescent="0.2">
      <c r="A858" s="257">
        <v>844</v>
      </c>
      <c r="B858" s="44">
        <v>44447</v>
      </c>
      <c r="C858" s="44">
        <f t="shared" si="40"/>
        <v>44447</v>
      </c>
      <c r="D858" s="374">
        <v>62</v>
      </c>
      <c r="E858" s="291" t="str">
        <f>IFERROR(VLOOKUP($D858,'Clients-Live'!$A:$C,3,0),"")</f>
        <v>DUDU ARIKE</v>
      </c>
      <c r="F858" s="291">
        <f>IFERROR(INDEX(Disbursements!$D:$D,MATCH('Live Collections'!G858,Disbursements!$C:$C,0)),"")</f>
        <v>1</v>
      </c>
      <c r="G858" s="34">
        <v>44</v>
      </c>
      <c r="H858" s="34">
        <v>1318</v>
      </c>
      <c r="I858" s="34" t="s">
        <v>1357</v>
      </c>
      <c r="J858" s="48"/>
      <c r="K858" s="48"/>
      <c r="L858" s="48"/>
      <c r="M858" s="48"/>
      <c r="N858" s="59"/>
      <c r="O858" s="59">
        <v>220000</v>
      </c>
      <c r="P858" s="59"/>
      <c r="Q858" s="268">
        <f t="shared" si="41"/>
        <v>220000</v>
      </c>
      <c r="R858" s="61">
        <f>IF(O858=0,0,SUMIFS(Disbursements!$T:$T,Disbursements!$B:$B,'Live Collections'!D858,Disbursements!$D:$D,'Live Collections'!F858))</f>
        <v>217000</v>
      </c>
      <c r="S858" s="64">
        <v>96666.666666666715</v>
      </c>
      <c r="T858" s="304">
        <f t="shared" si="42"/>
        <v>123333.33333333328</v>
      </c>
      <c r="U858" s="52"/>
      <c r="V858" s="34"/>
      <c r="W858" s="408" t="s">
        <v>2086</v>
      </c>
    </row>
    <row r="859" spans="1:23" ht="12.75" customHeight="1" x14ac:dyDescent="0.2">
      <c r="A859" s="132">
        <v>846</v>
      </c>
      <c r="B859" s="44">
        <v>44447</v>
      </c>
      <c r="C859" s="44">
        <f t="shared" si="40"/>
        <v>44447</v>
      </c>
      <c r="D859" s="374">
        <v>81</v>
      </c>
      <c r="E859" s="291" t="str">
        <f>IFERROR(VLOOKUP($D859,'Clients-Live'!$A:$C,3,0),"")</f>
        <v>ADAM ZAITUN</v>
      </c>
      <c r="F859" s="291">
        <f>IFERROR(INDEX(Disbursements!$D:$D,MATCH('Live Collections'!G859,Disbursements!$C:$C,0)),"")</f>
        <v>1</v>
      </c>
      <c r="G859" s="34">
        <v>65</v>
      </c>
      <c r="H859" s="34"/>
      <c r="I859" s="34" t="s">
        <v>1358</v>
      </c>
      <c r="J859" s="48"/>
      <c r="K859" s="48"/>
      <c r="L859" s="48"/>
      <c r="M859" s="48"/>
      <c r="N859" s="59"/>
      <c r="O859" s="59">
        <v>100000</v>
      </c>
      <c r="P859" s="59"/>
      <c r="Q859" s="268">
        <f t="shared" si="41"/>
        <v>100000</v>
      </c>
      <c r="R859" s="61">
        <f>IF(O859=0,0,SUMIFS(Disbursements!$T:$T,Disbursements!$B:$B,'Live Collections'!D859,Disbursements!$D:$D,'Live Collections'!F859))</f>
        <v>217000</v>
      </c>
      <c r="S859" s="304">
        <f>IF(O859&lt;=IF($O859=0,0,SUMIFS(Disbursements!$W:$W,Disbursements!$B:$B,'Live Collections'!D1048,Disbursements!$D:$D,'Live Collections'!F1048)),O859,IF($O859=0,0,SUMIFS(Disbursements!$W:$W,Disbursements!$B:$B,'Live Collections'!D1048,Disbursements!$D:$D,'Live Collections'!F1048)))</f>
        <v>60000</v>
      </c>
      <c r="T859" s="304">
        <f t="shared" si="42"/>
        <v>40000</v>
      </c>
      <c r="U859" s="52"/>
      <c r="V859" s="34"/>
      <c r="W859" s="408"/>
    </row>
    <row r="860" spans="1:23" ht="12.75" customHeight="1" x14ac:dyDescent="0.2">
      <c r="A860" s="257">
        <v>845</v>
      </c>
      <c r="B860" s="44">
        <v>44447</v>
      </c>
      <c r="C860" s="44">
        <f t="shared" si="40"/>
        <v>44447</v>
      </c>
      <c r="D860" s="374">
        <v>111</v>
      </c>
      <c r="E860" s="291" t="str">
        <f>IFERROR(VLOOKUP($D860,'Clients-Live'!$A:$C,3,0),"")</f>
        <v>ANDAKU CHARLES JULIAN</v>
      </c>
      <c r="F860" s="291">
        <f>IFERROR(INDEX(Disbursements!$D:$D,MATCH('Live Collections'!G860,Disbursements!$C:$C,0)),"")</f>
        <v>1</v>
      </c>
      <c r="G860" s="34">
        <v>94</v>
      </c>
      <c r="H860" s="34"/>
      <c r="I860" s="34" t="s">
        <v>1357</v>
      </c>
      <c r="J860" s="48"/>
      <c r="K860" s="48"/>
      <c r="L860" s="48"/>
      <c r="M860" s="48"/>
      <c r="N860" s="59"/>
      <c r="O860" s="59">
        <v>155000</v>
      </c>
      <c r="P860" s="59"/>
      <c r="Q860" s="268">
        <f t="shared" si="41"/>
        <v>155000</v>
      </c>
      <c r="R860" s="61">
        <f>IF(O860=0,0,SUMIFS(Disbursements!$T:$T,Disbursements!$B:$B,'Live Collections'!D860,Disbursements!$D:$D,'Live Collections'!F860))</f>
        <v>164000</v>
      </c>
      <c r="S860" s="304">
        <f>IF(O860&lt;=IF($O860=0,0,SUMIFS(Disbursements!$W:$W,Disbursements!$B:$B,'Live Collections'!D1415,Disbursements!$D:$D,'Live Collections'!F1415)),O860,IF($O860=0,0,SUMIFS(Disbursements!$W:$W,Disbursements!$B:$B,'Live Collections'!D1415,Disbursements!$D:$D,'Live Collections'!F1415)))</f>
        <v>20000</v>
      </c>
      <c r="T860" s="304">
        <f t="shared" si="42"/>
        <v>135000</v>
      </c>
      <c r="U860" s="52"/>
      <c r="V860" s="34"/>
      <c r="W860" s="408"/>
    </row>
    <row r="861" spans="1:23" ht="12.75" customHeight="1" x14ac:dyDescent="0.2">
      <c r="A861" s="132">
        <v>848</v>
      </c>
      <c r="B861" s="44">
        <v>44447</v>
      </c>
      <c r="C861" s="44">
        <f t="shared" si="40"/>
        <v>44447</v>
      </c>
      <c r="D861" s="374">
        <v>117</v>
      </c>
      <c r="E861" s="291" t="str">
        <f>IFERROR(VLOOKUP($D861,'Clients-Live'!$A:$C,3,0),"")</f>
        <v>MAWA JACKSON</v>
      </c>
      <c r="F861" s="291">
        <f>IFERROR(INDEX(Disbursements!$D:$D,MATCH('Live Collections'!G861,Disbursements!$C:$C,0)),"")</f>
        <v>1</v>
      </c>
      <c r="G861" s="34">
        <v>99</v>
      </c>
      <c r="H861" s="34"/>
      <c r="I861" s="34" t="s">
        <v>1358</v>
      </c>
      <c r="J861" s="48"/>
      <c r="K861" s="48"/>
      <c r="L861" s="48"/>
      <c r="M861" s="48"/>
      <c r="N861" s="59"/>
      <c r="O861" s="59">
        <v>100000</v>
      </c>
      <c r="P861" s="59"/>
      <c r="Q861" s="268">
        <f t="shared" si="41"/>
        <v>100000</v>
      </c>
      <c r="R861" s="61">
        <f>IF(O861=0,0,SUMIFS(Disbursements!$T:$T,Disbursements!$B:$B,'Live Collections'!D861,Disbursements!$D:$D,'Live Collections'!F861))</f>
        <v>152000</v>
      </c>
      <c r="S861" s="304">
        <f>IF(O861&lt;=IF($O861=0,0,SUMIFS(Disbursements!$W:$W,Disbursements!$B:$B,'Live Collections'!D1520,Disbursements!$D:$D,'Live Collections'!F1520)),O861,IF($O861=0,0,SUMIFS(Disbursements!$W:$W,Disbursements!$B:$B,'Live Collections'!D1520,Disbursements!$D:$D,'Live Collections'!F1520)))</f>
        <v>10000</v>
      </c>
      <c r="T861" s="304">
        <f t="shared" si="42"/>
        <v>90000</v>
      </c>
      <c r="U861" s="52"/>
      <c r="V861" s="34"/>
      <c r="W861" s="408"/>
    </row>
    <row r="862" spans="1:23" ht="12.75" customHeight="1" x14ac:dyDescent="0.2">
      <c r="A862" s="257">
        <v>849</v>
      </c>
      <c r="B862" s="44">
        <v>44447</v>
      </c>
      <c r="C862" s="44">
        <f t="shared" si="40"/>
        <v>44447</v>
      </c>
      <c r="D862" s="374">
        <v>156</v>
      </c>
      <c r="E862" s="291" t="str">
        <f>IFERROR(VLOOKUP($D862,'Clients-Live'!$A:$C,3,0),"")</f>
        <v xml:space="preserve">ONIBA AISHA </v>
      </c>
      <c r="F862" s="291">
        <f>IFERROR(INDEX(Disbursements!$D:$D,MATCH('Live Collections'!G862,Disbursements!$C:$C,0)),"")</f>
        <v>1</v>
      </c>
      <c r="G862" s="34">
        <v>149</v>
      </c>
      <c r="H862" s="34"/>
      <c r="I862" s="34" t="s">
        <v>1358</v>
      </c>
      <c r="J862" s="48"/>
      <c r="K862" s="48"/>
      <c r="L862" s="48"/>
      <c r="M862" s="48"/>
      <c r="N862" s="59"/>
      <c r="O862" s="59">
        <v>310000</v>
      </c>
      <c r="P862" s="59"/>
      <c r="Q862" s="268">
        <f t="shared" si="41"/>
        <v>310000</v>
      </c>
      <c r="R862" s="61">
        <f>IF(O862=0,0,SUMIFS(Disbursements!$T:$T,Disbursements!$B:$B,'Live Collections'!D862,Disbursements!$D:$D,'Live Collections'!F862))</f>
        <v>154000</v>
      </c>
      <c r="S862" s="304"/>
      <c r="T862" s="304">
        <f t="shared" si="42"/>
        <v>310000</v>
      </c>
      <c r="U862" s="52"/>
      <c r="V862" s="34"/>
      <c r="W862" s="408"/>
    </row>
    <row r="863" spans="1:23" ht="12.75" customHeight="1" x14ac:dyDescent="0.2">
      <c r="A863" s="132">
        <v>851</v>
      </c>
      <c r="B863" s="44">
        <v>44447</v>
      </c>
      <c r="C863" s="44">
        <f t="shared" si="40"/>
        <v>44447</v>
      </c>
      <c r="D863" s="374">
        <v>156</v>
      </c>
      <c r="E863" s="291" t="str">
        <f>IFERROR(VLOOKUP($D863,'Clients-Live'!$A:$C,3,0),"")</f>
        <v xml:space="preserve">ONIBA AISHA </v>
      </c>
      <c r="F863" s="291" t="str">
        <f>IFERROR(INDEX(Disbursements!$D:$D,MATCH('Live Collections'!G863,Disbursements!$C:$C,0)),"")</f>
        <v/>
      </c>
      <c r="G863" s="34"/>
      <c r="H863" s="34"/>
      <c r="I863" s="34" t="s">
        <v>1815</v>
      </c>
      <c r="J863" s="48"/>
      <c r="K863" s="48"/>
      <c r="L863" s="48">
        <v>15000</v>
      </c>
      <c r="M863" s="48">
        <v>5000</v>
      </c>
      <c r="N863" s="59"/>
      <c r="O863" s="59"/>
      <c r="P863" s="59">
        <v>20000</v>
      </c>
      <c r="Q863" s="268">
        <f t="shared" si="41"/>
        <v>40000</v>
      </c>
      <c r="R863" s="61">
        <f>IF(O863=0,0,SUMIFS(Disbursements!$T:$T,Disbursements!$B:$B,'Live Collections'!D863,Disbursements!$D:$D,'Live Collections'!F863))</f>
        <v>0</v>
      </c>
      <c r="S863" s="304">
        <f>IF(O863&lt;=IF($O863=0,0,SUMIFS(Disbursements!$W:$W,Disbursements!$B:$B,'Live Collections'!D1947,Disbursements!$D:$D,'Live Collections'!F1947)),O863,IF($O863=0,0,SUMIFS(Disbursements!$W:$W,Disbursements!$B:$B,'Live Collections'!D1947,Disbursements!$D:$D,'Live Collections'!F1947)))</f>
        <v>0</v>
      </c>
      <c r="T863" s="304">
        <f t="shared" si="42"/>
        <v>0</v>
      </c>
      <c r="U863" s="52"/>
      <c r="V863" s="34"/>
      <c r="W863" s="408"/>
    </row>
    <row r="864" spans="1:23" ht="12.75" customHeight="1" x14ac:dyDescent="0.2">
      <c r="A864" s="257">
        <v>847</v>
      </c>
      <c r="B864" s="44">
        <v>44447</v>
      </c>
      <c r="C864" s="44">
        <f t="shared" si="40"/>
        <v>44447</v>
      </c>
      <c r="D864" s="374">
        <v>175</v>
      </c>
      <c r="E864" s="291" t="str">
        <f>IFERROR(VLOOKUP($D864,'Clients-Live'!$A:$C,3,0),"")</f>
        <v>ZUBEDA WAIGA</v>
      </c>
      <c r="F864" s="291">
        <f>IFERROR(INDEX(Disbursements!$D:$D,MATCH('Live Collections'!G864,Disbursements!$C:$C,0)),"")</f>
        <v>1</v>
      </c>
      <c r="G864" s="34">
        <v>166</v>
      </c>
      <c r="H864" s="34">
        <v>1339</v>
      </c>
      <c r="I864" s="34" t="s">
        <v>1358</v>
      </c>
      <c r="J864" s="48"/>
      <c r="K864" s="48"/>
      <c r="L864" s="48"/>
      <c r="M864" s="48"/>
      <c r="N864" s="59"/>
      <c r="O864" s="59">
        <v>115000</v>
      </c>
      <c r="P864" s="59"/>
      <c r="Q864" s="268">
        <f t="shared" si="41"/>
        <v>115000</v>
      </c>
      <c r="R864" s="61">
        <f>IF(O864=0,0,SUMIFS(Disbursements!$T:$T,Disbursements!$B:$B,'Live Collections'!D864,Disbursements!$D:$D,'Live Collections'!F864))</f>
        <v>29000</v>
      </c>
      <c r="S864" s="304">
        <f>IF(O864&lt;=IF($O864=0,0,SUMIFS(Disbursements!$W:$W,Disbursements!$B:$B,'Live Collections'!D2141,Disbursements!$D:$D,'Live Collections'!F2141)),O864,IF($O864=0,0,SUMIFS(Disbursements!$W:$W,Disbursements!$B:$B,'Live Collections'!D2141,Disbursements!$D:$D,'Live Collections'!F2141)))</f>
        <v>25666.666666666672</v>
      </c>
      <c r="T864" s="304">
        <f t="shared" si="42"/>
        <v>89333.333333333328</v>
      </c>
      <c r="U864" s="52"/>
      <c r="V864" s="34"/>
      <c r="W864" s="408"/>
    </row>
    <row r="865" spans="1:23" ht="12.75" customHeight="1" x14ac:dyDescent="0.2">
      <c r="A865" s="132">
        <v>850</v>
      </c>
      <c r="B865" s="44">
        <v>44447</v>
      </c>
      <c r="C865" s="44">
        <f t="shared" si="40"/>
        <v>44447</v>
      </c>
      <c r="D865" s="374">
        <v>213</v>
      </c>
      <c r="E865" s="291" t="str">
        <f>IFERROR(VLOOKUP($D865,'Clients-Live'!$A:$C,3,0),"")</f>
        <v>ATIKURU NADIA</v>
      </c>
      <c r="F865" s="291" t="str">
        <f>IFERROR(INDEX(Disbursements!$D:$D,MATCH('Live Collections'!G865,Disbursements!$C:$C,0)),"")</f>
        <v/>
      </c>
      <c r="G865" s="34"/>
      <c r="H865" s="34"/>
      <c r="I865" s="34" t="s">
        <v>1815</v>
      </c>
      <c r="J865" s="48">
        <v>15000</v>
      </c>
      <c r="K865" s="48">
        <v>5000</v>
      </c>
      <c r="L865" s="48"/>
      <c r="M865" s="48"/>
      <c r="N865" s="59"/>
      <c r="O865" s="59"/>
      <c r="P865" s="59"/>
      <c r="Q865" s="268">
        <f t="shared" si="41"/>
        <v>20000</v>
      </c>
      <c r="R865" s="61">
        <f>IF(O865=0,0,SUMIFS(Disbursements!$T:$T,Disbursements!$B:$B,'Live Collections'!D865,Disbursements!$D:$D,'Live Collections'!F865))</f>
        <v>0</v>
      </c>
      <c r="S865" s="304">
        <f>IF(O865&lt;=IF($O865=0,0,SUMIFS(Disbursements!$W:$W,Disbursements!$B:$B,'Live Collections'!D2511,Disbursements!$D:$D,'Live Collections'!F2511)),O865,IF($O865=0,0,SUMIFS(Disbursements!$W:$W,Disbursements!$B:$B,'Live Collections'!D2511,Disbursements!$D:$D,'Live Collections'!F2511)))</f>
        <v>0</v>
      </c>
      <c r="T865" s="304">
        <f t="shared" si="42"/>
        <v>0</v>
      </c>
      <c r="U865" s="52"/>
      <c r="V865" s="34"/>
      <c r="W865" s="408"/>
    </row>
    <row r="866" spans="1:23" ht="12.75" customHeight="1" x14ac:dyDescent="0.2">
      <c r="A866" s="257">
        <v>852</v>
      </c>
      <c r="B866" s="44">
        <v>44447</v>
      </c>
      <c r="C866" s="44">
        <f t="shared" si="40"/>
        <v>44447</v>
      </c>
      <c r="D866" s="374">
        <v>218</v>
      </c>
      <c r="E866" s="291" t="str">
        <f>IFERROR(VLOOKUP($D866,'Clients-Live'!$A:$C,3,0),"")</f>
        <v>BUSURA OMAR</v>
      </c>
      <c r="F866" s="291" t="str">
        <f>IFERROR(INDEX(Disbursements!$D:$D,MATCH('Live Collections'!G866,Disbursements!$C:$C,0)),"")</f>
        <v/>
      </c>
      <c r="G866" s="34"/>
      <c r="H866" s="34"/>
      <c r="I866" s="34" t="s">
        <v>1815</v>
      </c>
      <c r="J866" s="48">
        <v>15000</v>
      </c>
      <c r="K866" s="48">
        <v>5000</v>
      </c>
      <c r="L866" s="48">
        <v>20000</v>
      </c>
      <c r="M866" s="48">
        <v>5000</v>
      </c>
      <c r="N866" s="59"/>
      <c r="O866" s="59"/>
      <c r="P866" s="59"/>
      <c r="Q866" s="268">
        <f t="shared" si="41"/>
        <v>45000</v>
      </c>
      <c r="R866" s="61">
        <f>IF(O866=0,0,SUMIFS(Disbursements!$T:$T,Disbursements!$B:$B,'Live Collections'!D866,Disbursements!$D:$D,'Live Collections'!F866))</f>
        <v>0</v>
      </c>
      <c r="S866" s="304">
        <f>IF(O866&lt;=IF($O866=0,0,SUMIFS(Disbursements!$W:$W,Disbursements!$B:$B,'Live Collections'!D2568,Disbursements!$D:$D,'Live Collections'!F2568)),O866,IF($O866=0,0,SUMIFS(Disbursements!$W:$W,Disbursements!$B:$B,'Live Collections'!D2568,Disbursements!$D:$D,'Live Collections'!F2568)))</f>
        <v>0</v>
      </c>
      <c r="T866" s="304">
        <f t="shared" si="42"/>
        <v>0</v>
      </c>
      <c r="U866" s="52"/>
      <c r="V866" s="34"/>
      <c r="W866" s="408"/>
    </row>
    <row r="867" spans="1:23" ht="12.75" customHeight="1" x14ac:dyDescent="0.2">
      <c r="A867" s="132">
        <v>856</v>
      </c>
      <c r="B867" s="44">
        <v>44448</v>
      </c>
      <c r="C867" s="44">
        <f t="shared" si="40"/>
        <v>44448</v>
      </c>
      <c r="D867" s="374">
        <v>52</v>
      </c>
      <c r="E867" s="291" t="str">
        <f>IFERROR(VLOOKUP($D867,'Clients-Live'!$A:$C,3,0),"")</f>
        <v>EDEZU PEACE IRENE</v>
      </c>
      <c r="F867" s="291">
        <f>IFERROR(INDEX(Disbursements!$D:$D,MATCH('Live Collections'!G867,Disbursements!$C:$C,0)),"")</f>
        <v>1</v>
      </c>
      <c r="G867" s="34">
        <v>38</v>
      </c>
      <c r="H867" s="34"/>
      <c r="I867" s="34" t="s">
        <v>1357</v>
      </c>
      <c r="J867" s="48"/>
      <c r="K867" s="48"/>
      <c r="L867" s="48"/>
      <c r="M867" s="48"/>
      <c r="N867" s="59"/>
      <c r="O867" s="59">
        <v>60000</v>
      </c>
      <c r="P867" s="59"/>
      <c r="Q867" s="268">
        <f t="shared" si="41"/>
        <v>60000</v>
      </c>
      <c r="R867" s="61">
        <f>IF(O867=0,0,SUMIFS(Disbursements!$T:$T,Disbursements!$B:$B,'Live Collections'!D867,Disbursements!$D:$D,'Live Collections'!F867))</f>
        <v>150000</v>
      </c>
      <c r="S867" s="304"/>
      <c r="T867" s="304">
        <f t="shared" si="42"/>
        <v>60000</v>
      </c>
      <c r="U867" s="52"/>
      <c r="V867" s="34"/>
      <c r="W867" s="408"/>
    </row>
    <row r="868" spans="1:23" ht="12.75" customHeight="1" x14ac:dyDescent="0.2">
      <c r="A868" s="257">
        <v>859</v>
      </c>
      <c r="B868" s="44">
        <v>44417</v>
      </c>
      <c r="C868" s="44">
        <f t="shared" si="40"/>
        <v>44417</v>
      </c>
      <c r="D868" s="374">
        <v>53</v>
      </c>
      <c r="E868" s="291" t="str">
        <f>IFERROR(VLOOKUP($D868,'Clients-Live'!$A:$C,3,0),"")</f>
        <v>KALSUMU INNOCENT</v>
      </c>
      <c r="F868" s="291">
        <f>IFERROR(INDEX(Disbursements!$D:$D,MATCH('Live Collections'!G868,Disbursements!$C:$C,0)),"")</f>
        <v>1</v>
      </c>
      <c r="G868" s="34">
        <v>36</v>
      </c>
      <c r="H868" s="34">
        <v>937</v>
      </c>
      <c r="I868" s="34" t="s">
        <v>1358</v>
      </c>
      <c r="J868" s="48"/>
      <c r="K868" s="48"/>
      <c r="L868" s="48"/>
      <c r="M868" s="48"/>
      <c r="N868" s="59"/>
      <c r="O868" s="59">
        <v>210000</v>
      </c>
      <c r="P868" s="59"/>
      <c r="Q868" s="268">
        <f t="shared" si="41"/>
        <v>210000</v>
      </c>
      <c r="R868" s="61">
        <f>IF(O868=0,0,SUMIFS(Disbursements!$T:$T,Disbursements!$B:$B,'Live Collections'!D868,Disbursements!$D:$D,'Live Collections'!F868))</f>
        <v>200000</v>
      </c>
      <c r="S868" s="304">
        <f>IF(O868&lt;=IF($O868=0,0,SUMIFS(Disbursements!$W:$W,Disbursements!$B:$B,'Live Collections'!D619,Disbursements!$D:$D,'Live Collections'!F619)),O868,IF($O868=0,0,SUMIFS(Disbursements!$W:$W,Disbursements!$B:$B,'Live Collections'!D619,Disbursements!$D:$D,'Live Collections'!F619)))</f>
        <v>0</v>
      </c>
      <c r="T868" s="304">
        <f t="shared" si="42"/>
        <v>210000</v>
      </c>
      <c r="U868" s="52"/>
      <c r="V868" s="34"/>
      <c r="W868" s="408"/>
    </row>
    <row r="869" spans="1:23" ht="12.75" customHeight="1" x14ac:dyDescent="0.2">
      <c r="A869" s="132">
        <v>860</v>
      </c>
      <c r="B869" s="44">
        <v>44448</v>
      </c>
      <c r="C869" s="44">
        <f t="shared" si="40"/>
        <v>44448</v>
      </c>
      <c r="D869" s="374">
        <v>53</v>
      </c>
      <c r="E869" s="291" t="str">
        <f>IFERROR(VLOOKUP($D869,'Clients-Live'!$A:$C,3,0),"")</f>
        <v>KALSUMU INNOCENT</v>
      </c>
      <c r="F869" s="291">
        <f>IFERROR(INDEX(Disbursements!$D:$D,MATCH('Live Collections'!G869,Disbursements!$C:$C,0)),"")</f>
        <v>1</v>
      </c>
      <c r="G869" s="34">
        <v>36</v>
      </c>
      <c r="H869" s="34">
        <v>1350</v>
      </c>
      <c r="I869" s="34" t="s">
        <v>1358</v>
      </c>
      <c r="J869" s="48"/>
      <c r="K869" s="48"/>
      <c r="L869" s="48"/>
      <c r="M869" s="48"/>
      <c r="N869" s="59"/>
      <c r="O869" s="59">
        <v>180000</v>
      </c>
      <c r="P869" s="59"/>
      <c r="Q869" s="268">
        <f t="shared" si="41"/>
        <v>180000</v>
      </c>
      <c r="R869" s="61">
        <f>IF(O869=0,0,SUMIFS(Disbursements!$T:$T,Disbursements!$B:$B,'Live Collections'!D869,Disbursements!$D:$D,'Live Collections'!F869))</f>
        <v>200000</v>
      </c>
      <c r="S869" s="304">
        <f>IF(O869&lt;=IF($O869=0,0,SUMIFS(Disbursements!$W:$W,Disbursements!$B:$B,'Live Collections'!D620,Disbursements!$D:$D,'Live Collections'!F620)),O869,IF($O869=0,0,SUMIFS(Disbursements!$W:$W,Disbursements!$B:$B,'Live Collections'!D620,Disbursements!$D:$D,'Live Collections'!F620)))</f>
        <v>53000</v>
      </c>
      <c r="T869" s="304">
        <f t="shared" si="42"/>
        <v>127000</v>
      </c>
      <c r="U869" s="52"/>
      <c r="V869" s="34"/>
      <c r="W869" s="408"/>
    </row>
    <row r="870" spans="1:23" ht="12.75" customHeight="1" x14ac:dyDescent="0.2">
      <c r="A870" s="257">
        <v>855</v>
      </c>
      <c r="B870" s="44">
        <v>44448</v>
      </c>
      <c r="C870" s="44">
        <f t="shared" si="40"/>
        <v>44448</v>
      </c>
      <c r="D870" s="374">
        <v>66</v>
      </c>
      <c r="E870" s="291" t="str">
        <f>IFERROR(VLOOKUP($D870,'Clients-Live'!$A:$C,3,0),"")</f>
        <v>DENAYA NYAMAZA</v>
      </c>
      <c r="F870" s="291">
        <f>IFERROR(INDEX(Disbursements!$D:$D,MATCH('Live Collections'!G870,Disbursements!$C:$C,0)),"")</f>
        <v>1</v>
      </c>
      <c r="G870" s="34">
        <v>53</v>
      </c>
      <c r="H870" s="34"/>
      <c r="I870" s="34" t="s">
        <v>1357</v>
      </c>
      <c r="J870" s="48"/>
      <c r="K870" s="48"/>
      <c r="L870" s="48"/>
      <c r="M870" s="48"/>
      <c r="N870" s="59"/>
      <c r="O870" s="59">
        <v>100000</v>
      </c>
      <c r="P870" s="59"/>
      <c r="Q870" s="268">
        <f t="shared" si="41"/>
        <v>100000</v>
      </c>
      <c r="R870" s="61">
        <f>IF(O870=0,0,SUMIFS(Disbursements!$T:$T,Disbursements!$B:$B,'Live Collections'!D870,Disbursements!$D:$D,'Live Collections'!F870))</f>
        <v>109000</v>
      </c>
      <c r="S870" s="304">
        <f>IF(O870&lt;=IF($O870=0,0,SUMIFS(Disbursements!$W:$W,Disbursements!$B:$B,'Live Collections'!D1438,Disbursements!$D:$D,'Live Collections'!F1438)),O870,IF($O870=0,0,SUMIFS(Disbursements!$W:$W,Disbursements!$B:$B,'Live Collections'!D1438,Disbursements!$D:$D,'Live Collections'!F1438)))</f>
        <v>50333.333333333343</v>
      </c>
      <c r="T870" s="304">
        <f t="shared" si="42"/>
        <v>49666.666666666657</v>
      </c>
      <c r="U870" s="52"/>
      <c r="V870" s="34"/>
      <c r="W870" s="408"/>
    </row>
    <row r="871" spans="1:23" ht="12.75" customHeight="1" x14ac:dyDescent="0.2">
      <c r="A871" s="132">
        <v>853</v>
      </c>
      <c r="B871" s="44">
        <v>44448</v>
      </c>
      <c r="C871" s="44">
        <f t="shared" si="40"/>
        <v>44448</v>
      </c>
      <c r="D871" s="374">
        <v>115</v>
      </c>
      <c r="E871" s="291" t="str">
        <f>IFERROR(VLOOKUP($D871,'Clients-Live'!$A:$C,3,0),"")</f>
        <v>AYIKE SAUDA</v>
      </c>
      <c r="F871" s="291">
        <f>IFERROR(INDEX(Disbursements!$D:$D,MATCH('Live Collections'!G871,Disbursements!$C:$C,0)),"")</f>
        <v>1</v>
      </c>
      <c r="G871" s="34">
        <v>98</v>
      </c>
      <c r="H871" s="34"/>
      <c r="I871" s="34" t="s">
        <v>1357</v>
      </c>
      <c r="J871" s="48"/>
      <c r="K871" s="48"/>
      <c r="L871" s="48"/>
      <c r="M871" s="48"/>
      <c r="N871" s="59"/>
      <c r="O871" s="59">
        <v>70000</v>
      </c>
      <c r="P871" s="59"/>
      <c r="Q871" s="268">
        <f t="shared" si="41"/>
        <v>70000</v>
      </c>
      <c r="R871" s="61">
        <f>IF(O871=0,0,SUMIFS(Disbursements!$T:$T,Disbursements!$B:$B,'Live Collections'!D871,Disbursements!$D:$D,'Live Collections'!F871))</f>
        <v>217000</v>
      </c>
      <c r="S871" s="304">
        <f>IF(O871&lt;=IF($O871=0,0,SUMIFS(Disbursements!$W:$W,Disbursements!$B:$B,'Live Collections'!D1479,Disbursements!$D:$D,'Live Collections'!F1479)),O871,IF($O871=0,0,SUMIFS(Disbursements!$W:$W,Disbursements!$B:$B,'Live Collections'!D1479,Disbursements!$D:$D,'Live Collections'!F1479)))</f>
        <v>15000</v>
      </c>
      <c r="T871" s="304">
        <f t="shared" si="42"/>
        <v>55000</v>
      </c>
      <c r="U871" s="52"/>
      <c r="V871" s="34"/>
      <c r="W871" s="408"/>
    </row>
    <row r="872" spans="1:23" ht="12.75" customHeight="1" x14ac:dyDescent="0.2">
      <c r="A872" s="257">
        <v>854</v>
      </c>
      <c r="B872" s="44">
        <v>44448</v>
      </c>
      <c r="C872" s="44">
        <f t="shared" si="40"/>
        <v>44448</v>
      </c>
      <c r="D872" s="374">
        <v>124</v>
      </c>
      <c r="E872" s="291" t="str">
        <f>IFERROR(VLOOKUP($D872,'Clients-Live'!$A:$C,3,0),"")</f>
        <v>TIKO ZABIBU</v>
      </c>
      <c r="F872" s="291">
        <f>IFERROR(INDEX(Disbursements!$D:$D,MATCH('Live Collections'!G872,Disbursements!$C:$C,0)),"")</f>
        <v>1</v>
      </c>
      <c r="G872" s="34">
        <v>199</v>
      </c>
      <c r="H872" s="34">
        <v>1345</v>
      </c>
      <c r="I872" s="34" t="s">
        <v>1358</v>
      </c>
      <c r="J872" s="48"/>
      <c r="K872" s="48"/>
      <c r="L872" s="48"/>
      <c r="M872" s="48"/>
      <c r="N872" s="59"/>
      <c r="O872" s="59">
        <v>150000</v>
      </c>
      <c r="P872" s="59"/>
      <c r="Q872" s="268">
        <f t="shared" si="41"/>
        <v>150000</v>
      </c>
      <c r="R872" s="61">
        <f>IF(O872=0,0,SUMIFS(Disbursements!$T:$T,Disbursements!$B:$B,'Live Collections'!D872,Disbursements!$D:$D,'Live Collections'!F872))</f>
        <v>180000</v>
      </c>
      <c r="S872" s="304">
        <f>IF(O872&lt;=IF($O872=0,0,SUMIFS(Disbursements!$W:$W,Disbursements!$B:$B,'Live Collections'!D1571,Disbursements!$D:$D,'Live Collections'!F1571)),O872,IF($O872=0,0,SUMIFS(Disbursements!$W:$W,Disbursements!$B:$B,'Live Collections'!D1571,Disbursements!$D:$D,'Live Collections'!F1571)))</f>
        <v>30000</v>
      </c>
      <c r="T872" s="304">
        <f t="shared" si="42"/>
        <v>120000</v>
      </c>
      <c r="U872" s="52"/>
      <c r="V872" s="34"/>
      <c r="W872" s="408"/>
    </row>
    <row r="873" spans="1:23" ht="12.75" customHeight="1" x14ac:dyDescent="0.2">
      <c r="A873" s="132">
        <v>863</v>
      </c>
      <c r="B873" s="44">
        <v>44448</v>
      </c>
      <c r="C873" s="44">
        <f t="shared" si="40"/>
        <v>44448</v>
      </c>
      <c r="D873" s="374">
        <v>156</v>
      </c>
      <c r="E873" s="291" t="str">
        <f>IFERROR(VLOOKUP($D873,'Clients-Live'!$A:$C,3,0),"")</f>
        <v xml:space="preserve">ONIBA AISHA </v>
      </c>
      <c r="F873" s="291" t="str">
        <f>IFERROR(INDEX(Disbursements!$D:$D,MATCH('Live Collections'!G873,Disbursements!$C:$C,0)),"")</f>
        <v/>
      </c>
      <c r="G873" s="34"/>
      <c r="H873" s="34"/>
      <c r="I873" s="34" t="s">
        <v>1358</v>
      </c>
      <c r="J873" s="48"/>
      <c r="K873" s="48"/>
      <c r="L873" s="48"/>
      <c r="M873" s="48"/>
      <c r="N873" s="59"/>
      <c r="O873" s="59"/>
      <c r="P873" s="59">
        <v>10000</v>
      </c>
      <c r="Q873" s="268">
        <f t="shared" si="41"/>
        <v>10000</v>
      </c>
      <c r="R873" s="61">
        <f>IF(O873=0,0,SUMIFS(Disbursements!$T:$T,Disbursements!$B:$B,'Live Collections'!D873,Disbursements!$D:$D,'Live Collections'!F873))</f>
        <v>0</v>
      </c>
      <c r="S873" s="304">
        <f>IF(O873&lt;=IF($O873=0,0,SUMIFS(Disbursements!$W:$W,Disbursements!$B:$B,'Live Collections'!D1948,Disbursements!$D:$D,'Live Collections'!F1948)),O873,IF($O873=0,0,SUMIFS(Disbursements!$W:$W,Disbursements!$B:$B,'Live Collections'!D1948,Disbursements!$D:$D,'Live Collections'!F1948)))</f>
        <v>0</v>
      </c>
      <c r="T873" s="304">
        <f t="shared" si="42"/>
        <v>0</v>
      </c>
      <c r="U873" s="52"/>
      <c r="V873" s="34"/>
      <c r="W873" s="408"/>
    </row>
    <row r="874" spans="1:23" ht="12.75" customHeight="1" x14ac:dyDescent="0.2">
      <c r="A874" s="257">
        <v>857</v>
      </c>
      <c r="B874" s="44">
        <v>44448</v>
      </c>
      <c r="C874" s="44">
        <f t="shared" si="40"/>
        <v>44448</v>
      </c>
      <c r="D874" s="374">
        <v>164</v>
      </c>
      <c r="E874" s="291" t="str">
        <f>IFERROR(VLOOKUP($D874,'Clients-Live'!$A:$C,3,0),"")</f>
        <v>ARIKE SWAIB</v>
      </c>
      <c r="F874" s="291">
        <f>IFERROR(INDEX(Disbursements!$D:$D,MATCH('Live Collections'!G874,Disbursements!$C:$C,0)),"")</f>
        <v>1</v>
      </c>
      <c r="G874" s="34">
        <v>154</v>
      </c>
      <c r="H874" s="34"/>
      <c r="I874" s="34" t="s">
        <v>1357</v>
      </c>
      <c r="J874" s="48"/>
      <c r="K874" s="48"/>
      <c r="L874" s="48"/>
      <c r="M874" s="48"/>
      <c r="N874" s="59"/>
      <c r="O874" s="59">
        <v>127000</v>
      </c>
      <c r="P874" s="59"/>
      <c r="Q874" s="268">
        <f t="shared" si="41"/>
        <v>127000</v>
      </c>
      <c r="R874" s="61">
        <f>IF(O874=0,0,SUMIFS(Disbursements!$T:$T,Disbursements!$B:$B,'Live Collections'!D874,Disbursements!$D:$D,'Live Collections'!F874))</f>
        <v>109000</v>
      </c>
      <c r="S874" s="304">
        <f>IF(O874&lt;=IF($O874=0,0,SUMIFS(Disbursements!$W:$W,Disbursements!$B:$B,'Live Collections'!D2028,Disbursements!$D:$D,'Live Collections'!F2028)),O874,IF($O874=0,0,SUMIFS(Disbursements!$W:$W,Disbursements!$B:$B,'Live Collections'!D2028,Disbursements!$D:$D,'Live Collections'!F2028)))</f>
        <v>25000</v>
      </c>
      <c r="T874" s="304">
        <f t="shared" si="42"/>
        <v>102000</v>
      </c>
      <c r="U874" s="52"/>
      <c r="V874" s="34"/>
      <c r="W874" s="408"/>
    </row>
    <row r="875" spans="1:23" ht="12.75" customHeight="1" x14ac:dyDescent="0.2">
      <c r="A875" s="132">
        <v>858</v>
      </c>
      <c r="B875" s="44">
        <v>44448</v>
      </c>
      <c r="C875" s="44">
        <f t="shared" si="40"/>
        <v>44448</v>
      </c>
      <c r="D875" s="374">
        <v>202</v>
      </c>
      <c r="E875" s="291" t="str">
        <f>IFERROR(VLOOKUP($D875,'Clients-Live'!$A:$C,3,0),"")</f>
        <v>MUSEMA SWAIBU</v>
      </c>
      <c r="F875" s="291">
        <f>IFERROR(INDEX(Disbursements!$D:$D,MATCH('Live Collections'!G875,Disbursements!$C:$C,0)),"")</f>
        <v>1</v>
      </c>
      <c r="G875" s="34">
        <v>197</v>
      </c>
      <c r="H875" s="34"/>
      <c r="I875" s="34" t="s">
        <v>1358</v>
      </c>
      <c r="J875" s="48"/>
      <c r="K875" s="48"/>
      <c r="L875" s="48"/>
      <c r="M875" s="48"/>
      <c r="N875" s="59"/>
      <c r="O875" s="59">
        <v>150000</v>
      </c>
      <c r="P875" s="59"/>
      <c r="Q875" s="268">
        <f t="shared" si="41"/>
        <v>150000</v>
      </c>
      <c r="R875" s="61">
        <f>IF(O875=0,0,SUMIFS(Disbursements!$T:$T,Disbursements!$B:$B,'Live Collections'!D875,Disbursements!$D:$D,'Live Collections'!F875))</f>
        <v>144000</v>
      </c>
      <c r="S875" s="304">
        <f>IF(O875&lt;=IF($O875=0,0,SUMIFS(Disbursements!$W:$W,Disbursements!$B:$B,'Live Collections'!D2401,Disbursements!$D:$D,'Live Collections'!F2401)),O875,IF($O875=0,0,SUMIFS(Disbursements!$W:$W,Disbursements!$B:$B,'Live Collections'!D2401,Disbursements!$D:$D,'Live Collections'!F2401)))</f>
        <v>113000</v>
      </c>
      <c r="T875" s="304">
        <f t="shared" si="42"/>
        <v>37000</v>
      </c>
      <c r="U875" s="52"/>
      <c r="V875" s="34"/>
      <c r="W875" s="408"/>
    </row>
    <row r="876" spans="1:23" ht="12.75" customHeight="1" x14ac:dyDescent="0.2">
      <c r="A876" s="257">
        <v>861</v>
      </c>
      <c r="B876" s="44">
        <v>44448</v>
      </c>
      <c r="C876" s="44">
        <f t="shared" si="40"/>
        <v>44448</v>
      </c>
      <c r="D876" s="374">
        <v>216</v>
      </c>
      <c r="E876" s="291" t="str">
        <f>IFERROR(VLOOKUP($D876,'Clients-Live'!$A:$C,3,0),"")</f>
        <v>ALIGA ASHIRAF</v>
      </c>
      <c r="F876" s="291">
        <f>IFERROR(INDEX(Disbursements!$D:$D,MATCH('Live Collections'!G876,Disbursements!$C:$C,0)),"")</f>
        <v>1</v>
      </c>
      <c r="G876" s="34">
        <v>215</v>
      </c>
      <c r="H876" s="34">
        <v>1346</v>
      </c>
      <c r="I876" s="34" t="s">
        <v>1359</v>
      </c>
      <c r="J876" s="48"/>
      <c r="K876" s="48"/>
      <c r="L876" s="48"/>
      <c r="M876" s="48"/>
      <c r="N876" s="59"/>
      <c r="O876" s="59"/>
      <c r="P876" s="59">
        <v>200000</v>
      </c>
      <c r="Q876" s="268">
        <f t="shared" si="41"/>
        <v>200000</v>
      </c>
      <c r="R876" s="61">
        <f>IF(O876=0,0,SUMIFS(Disbursements!$T:$T,Disbursements!$B:$B,'Live Collections'!D876,Disbursements!$D:$D,'Live Collections'!F876))</f>
        <v>0</v>
      </c>
      <c r="S876" s="304">
        <f>IF(O876&lt;=IF($O876=0,0,SUMIFS(Disbursements!$W:$W,Disbursements!$B:$B,'Live Collections'!D2545,Disbursements!$D:$D,'Live Collections'!F2545)),O876,IF($O876=0,0,SUMIFS(Disbursements!$W:$W,Disbursements!$B:$B,'Live Collections'!D2545,Disbursements!$D:$D,'Live Collections'!F2545)))</f>
        <v>0</v>
      </c>
      <c r="T876" s="304">
        <f t="shared" si="42"/>
        <v>0</v>
      </c>
      <c r="U876" s="52"/>
      <c r="V876" s="34"/>
      <c r="W876" s="408"/>
    </row>
    <row r="877" spans="1:23" ht="12.75" customHeight="1" x14ac:dyDescent="0.2">
      <c r="A877" s="132">
        <v>865</v>
      </c>
      <c r="B877" s="44">
        <v>44448</v>
      </c>
      <c r="C877" s="44">
        <f t="shared" si="40"/>
        <v>44448</v>
      </c>
      <c r="D877" s="374">
        <v>217</v>
      </c>
      <c r="E877" s="291" t="str">
        <f>IFERROR(VLOOKUP($D877,'Clients-Live'!$A:$C,3,0),"")</f>
        <v>JAMBA MOSES</v>
      </c>
      <c r="F877" s="291" t="str">
        <f>IFERROR(INDEX(Disbursements!$D:$D,MATCH('Live Collections'!G877,Disbursements!$C:$C,0)),"")</f>
        <v/>
      </c>
      <c r="G877" s="34"/>
      <c r="H877" s="34"/>
      <c r="I877" s="34" t="s">
        <v>864</v>
      </c>
      <c r="J877" s="48"/>
      <c r="K877" s="48"/>
      <c r="L877" s="48">
        <v>10000</v>
      </c>
      <c r="M877" s="48">
        <v>5000</v>
      </c>
      <c r="N877" s="59"/>
      <c r="O877" s="59"/>
      <c r="P877" s="59"/>
      <c r="Q877" s="268">
        <f t="shared" si="41"/>
        <v>15000</v>
      </c>
      <c r="R877" s="61">
        <f>IF(O877=0,0,SUMIFS(Disbursements!$T:$T,Disbursements!$B:$B,'Live Collections'!D877,Disbursements!$D:$D,'Live Collections'!F877))</f>
        <v>0</v>
      </c>
      <c r="S877" s="304">
        <f>IF(O877&lt;=IF($O877=0,0,SUMIFS(Disbursements!$W:$W,Disbursements!$B:$B,'Live Collections'!D2551,Disbursements!$D:$D,'Live Collections'!F2551)),O877,IF($O877=0,0,SUMIFS(Disbursements!$W:$W,Disbursements!$B:$B,'Live Collections'!D2551,Disbursements!$D:$D,'Live Collections'!F2551)))</f>
        <v>0</v>
      </c>
      <c r="T877" s="304">
        <f t="shared" si="42"/>
        <v>0</v>
      </c>
      <c r="U877" s="52"/>
      <c r="V877" s="34"/>
      <c r="W877" s="408"/>
    </row>
    <row r="878" spans="1:23" ht="12.75" customHeight="1" x14ac:dyDescent="0.2">
      <c r="A878" s="257">
        <v>862</v>
      </c>
      <c r="B878" s="44">
        <v>44448</v>
      </c>
      <c r="C878" s="44">
        <f t="shared" si="40"/>
        <v>44448</v>
      </c>
      <c r="D878" s="374">
        <v>218</v>
      </c>
      <c r="E878" s="291" t="str">
        <f>IFERROR(VLOOKUP($D878,'Clients-Live'!$A:$C,3,0),"")</f>
        <v>BUSURA OMAR</v>
      </c>
      <c r="F878" s="291" t="str">
        <f>IFERROR(INDEX(Disbursements!$D:$D,MATCH('Live Collections'!G878,Disbursements!$C:$C,0)),"")</f>
        <v/>
      </c>
      <c r="G878" s="34"/>
      <c r="H878" s="34"/>
      <c r="I878" s="34" t="s">
        <v>864</v>
      </c>
      <c r="J878" s="48"/>
      <c r="K878" s="48"/>
      <c r="L878" s="48"/>
      <c r="M878" s="48"/>
      <c r="N878" s="59"/>
      <c r="O878" s="59"/>
      <c r="P878" s="59">
        <v>150000</v>
      </c>
      <c r="Q878" s="268">
        <f t="shared" si="41"/>
        <v>150000</v>
      </c>
      <c r="R878" s="61">
        <f>IF(O878=0,0,SUMIFS(Disbursements!$T:$T,Disbursements!$B:$B,'Live Collections'!D878,Disbursements!$D:$D,'Live Collections'!F878))</f>
        <v>0</v>
      </c>
      <c r="S878" s="304">
        <f>IF(O878&lt;=IF($O878=0,0,SUMIFS(Disbursements!$W:$W,Disbursements!$B:$B,'Live Collections'!D2569,Disbursements!$D:$D,'Live Collections'!F2569)),O878,IF($O878=0,0,SUMIFS(Disbursements!$W:$W,Disbursements!$B:$B,'Live Collections'!D2569,Disbursements!$D:$D,'Live Collections'!F2569)))</f>
        <v>0</v>
      </c>
      <c r="T878" s="304">
        <f t="shared" si="42"/>
        <v>0</v>
      </c>
      <c r="U878" s="52"/>
      <c r="V878" s="34"/>
      <c r="W878" s="408"/>
    </row>
    <row r="879" spans="1:23" ht="12.75" customHeight="1" x14ac:dyDescent="0.2">
      <c r="A879" s="132">
        <v>864</v>
      </c>
      <c r="B879" s="44">
        <v>44448</v>
      </c>
      <c r="C879" s="44">
        <f t="shared" si="40"/>
        <v>44448</v>
      </c>
      <c r="D879" s="374">
        <v>219</v>
      </c>
      <c r="E879" s="291" t="str">
        <f>IFERROR(VLOOKUP($D879,'Clients-Live'!$A:$C,3,0),"")</f>
        <v>MALIKO JAMILA</v>
      </c>
      <c r="F879" s="291" t="str">
        <f>IFERROR(INDEX(Disbursements!$D:$D,MATCH('Live Collections'!G879,Disbursements!$C:$C,0)),"")</f>
        <v/>
      </c>
      <c r="G879" s="34"/>
      <c r="H879" s="34"/>
      <c r="I879" s="34" t="s">
        <v>1815</v>
      </c>
      <c r="J879" s="48">
        <v>15000</v>
      </c>
      <c r="K879" s="48">
        <v>5000</v>
      </c>
      <c r="L879" s="48">
        <v>10000</v>
      </c>
      <c r="M879" s="48">
        <v>5000</v>
      </c>
      <c r="N879" s="59"/>
      <c r="O879" s="59"/>
      <c r="P879" s="59"/>
      <c r="Q879" s="268">
        <f t="shared" si="41"/>
        <v>35000</v>
      </c>
      <c r="R879" s="61">
        <f>IF(O879=0,0,SUMIFS(Disbursements!$T:$T,Disbursements!$B:$B,'Live Collections'!D879,Disbursements!$D:$D,'Live Collections'!F879))</f>
        <v>0</v>
      </c>
      <c r="S879" s="304">
        <f>IF(O879&lt;=IF($O879=0,0,SUMIFS(Disbursements!$W:$W,Disbursements!$B:$B,'Live Collections'!D2581,Disbursements!$D:$D,'Live Collections'!F2581)),O879,IF($O879=0,0,SUMIFS(Disbursements!$W:$W,Disbursements!$B:$B,'Live Collections'!D2581,Disbursements!$D:$D,'Live Collections'!F2581)))</f>
        <v>0</v>
      </c>
      <c r="T879" s="304">
        <f t="shared" si="42"/>
        <v>0</v>
      </c>
      <c r="U879" s="52"/>
      <c r="V879" s="34"/>
      <c r="W879" s="408"/>
    </row>
    <row r="880" spans="1:23" ht="12.75" customHeight="1" x14ac:dyDescent="0.2">
      <c r="A880" s="257">
        <v>867</v>
      </c>
      <c r="B880" s="44">
        <v>44449</v>
      </c>
      <c r="C880" s="44">
        <f t="shared" si="40"/>
        <v>44449</v>
      </c>
      <c r="D880" s="374">
        <v>18</v>
      </c>
      <c r="E880" s="291" t="str">
        <f>IFERROR(VLOOKUP($D880,'Clients-Live'!$A:$C,3,0),"")</f>
        <v>ARIYE PEACE</v>
      </c>
      <c r="F880" s="291">
        <f>IFERROR(INDEX(Disbursements!$D:$D,MATCH('Live Collections'!G880,Disbursements!$C:$C,0)),"")</f>
        <v>1</v>
      </c>
      <c r="G880" s="34">
        <v>9</v>
      </c>
      <c r="H880" s="34"/>
      <c r="I880" s="34" t="s">
        <v>1357</v>
      </c>
      <c r="J880" s="48"/>
      <c r="K880" s="48"/>
      <c r="L880" s="48"/>
      <c r="M880" s="48"/>
      <c r="N880" s="59"/>
      <c r="O880" s="59">
        <v>110000</v>
      </c>
      <c r="P880" s="59"/>
      <c r="Q880" s="268">
        <f t="shared" si="41"/>
        <v>110000</v>
      </c>
      <c r="R880" s="61">
        <f>IF(O880=0,0,SUMIFS(Disbursements!$T:$T,Disbursements!$B:$B,'Live Collections'!D880,Disbursements!$D:$D,'Live Collections'!F880))</f>
        <v>109000</v>
      </c>
      <c r="S880" s="304">
        <f>IF(O880&lt;=IF($O880=0,0,SUMIFS(Disbursements!$W:$W,Disbursements!$B:$B,'Live Collections'!D204,Disbursements!$D:$D,'Live Collections'!F204)),O880,IF($O880=0,0,SUMIFS(Disbursements!$W:$W,Disbursements!$B:$B,'Live Collections'!D204,Disbursements!$D:$D,'Live Collections'!F204)))</f>
        <v>25000</v>
      </c>
      <c r="T880" s="304">
        <f t="shared" si="42"/>
        <v>85000</v>
      </c>
      <c r="U880" s="52"/>
      <c r="V880" s="34"/>
      <c r="W880" s="408"/>
    </row>
    <row r="881" spans="1:23" ht="12.75" customHeight="1" x14ac:dyDescent="0.2">
      <c r="A881" s="132">
        <v>866</v>
      </c>
      <c r="B881" s="44">
        <v>44449</v>
      </c>
      <c r="C881" s="44">
        <f t="shared" si="40"/>
        <v>44449</v>
      </c>
      <c r="D881" s="374">
        <v>170</v>
      </c>
      <c r="E881" s="291" t="str">
        <f>IFERROR(VLOOKUP($D881,'Clients-Live'!$A:$C,3,0),"")</f>
        <v xml:space="preserve">KABEBI RAIMA </v>
      </c>
      <c r="F881" s="291">
        <f>IFERROR(INDEX(Disbursements!$D:$D,MATCH('Live Collections'!G881,Disbursements!$C:$C,0)),"")</f>
        <v>1</v>
      </c>
      <c r="G881" s="34">
        <v>164</v>
      </c>
      <c r="H881" s="34"/>
      <c r="I881" s="34" t="s">
        <v>1359</v>
      </c>
      <c r="J881" s="48"/>
      <c r="K881" s="48"/>
      <c r="L881" s="48"/>
      <c r="M881" s="48"/>
      <c r="N881" s="59"/>
      <c r="O881" s="59">
        <v>154000</v>
      </c>
      <c r="P881" s="59"/>
      <c r="Q881" s="268">
        <f t="shared" si="41"/>
        <v>154000</v>
      </c>
      <c r="R881" s="61">
        <f>IF(O881=0,0,SUMIFS(Disbursements!$T:$T,Disbursements!$B:$B,'Live Collections'!D881,Disbursements!$D:$D,'Live Collections'!F881))</f>
        <v>154000</v>
      </c>
      <c r="S881" s="304">
        <f>IF(O881&lt;=IF($O881=0,0,SUMIFS(Disbursements!$W:$W,Disbursements!$B:$B,'Live Collections'!D2110,Disbursements!$D:$D,'Live Collections'!F2110)),O881,IF($O881=0,0,SUMIFS(Disbursements!$W:$W,Disbursements!$B:$B,'Live Collections'!D2110,Disbursements!$D:$D,'Live Collections'!F2110)))</f>
        <v>60000</v>
      </c>
      <c r="T881" s="304">
        <f t="shared" si="42"/>
        <v>94000</v>
      </c>
      <c r="U881" s="52"/>
      <c r="V881" s="34"/>
      <c r="W881" s="408"/>
    </row>
    <row r="882" spans="1:23" ht="12.75" customHeight="1" x14ac:dyDescent="0.2">
      <c r="A882" s="257">
        <v>868</v>
      </c>
      <c r="B882" s="44">
        <v>44449</v>
      </c>
      <c r="C882" s="44">
        <f t="shared" si="40"/>
        <v>44449</v>
      </c>
      <c r="D882" s="374">
        <v>217</v>
      </c>
      <c r="E882" s="291" t="str">
        <f>IFERROR(VLOOKUP($D882,'Clients-Live'!$A:$C,3,0),"")</f>
        <v>JAMBA MOSES</v>
      </c>
      <c r="F882" s="291" t="str">
        <f>IFERROR(INDEX(Disbursements!$D:$D,MATCH('Live Collections'!G882,Disbursements!$C:$C,0)),"")</f>
        <v/>
      </c>
      <c r="G882" s="34"/>
      <c r="H882" s="34"/>
      <c r="I882" s="34" t="s">
        <v>1357</v>
      </c>
      <c r="J882" s="48"/>
      <c r="K882" s="48"/>
      <c r="L882" s="48"/>
      <c r="M882" s="48"/>
      <c r="N882" s="59"/>
      <c r="O882" s="59"/>
      <c r="P882" s="59">
        <v>26000</v>
      </c>
      <c r="Q882" s="268">
        <f t="shared" si="41"/>
        <v>26000</v>
      </c>
      <c r="R882" s="61">
        <f>IF(O882=0,0,SUMIFS(Disbursements!$T:$T,Disbursements!$B:$B,'Live Collections'!D882,Disbursements!$D:$D,'Live Collections'!F882))</f>
        <v>0</v>
      </c>
      <c r="S882" s="304">
        <f>IF(O882&lt;=IF($O882=0,0,SUMIFS(Disbursements!$W:$W,Disbursements!$B:$B,'Live Collections'!D2552,Disbursements!$D:$D,'Live Collections'!F2552)),O882,IF($O882=0,0,SUMIFS(Disbursements!$W:$W,Disbursements!$B:$B,'Live Collections'!D2552,Disbursements!$D:$D,'Live Collections'!F2552)))</f>
        <v>0</v>
      </c>
      <c r="T882" s="304">
        <f t="shared" si="42"/>
        <v>0</v>
      </c>
      <c r="U882" s="52"/>
      <c r="V882" s="34"/>
      <c r="W882" s="408"/>
    </row>
    <row r="883" spans="1:23" ht="12.75" customHeight="1" x14ac:dyDescent="0.2">
      <c r="A883" s="132">
        <v>873</v>
      </c>
      <c r="B883" s="44">
        <v>44450</v>
      </c>
      <c r="C883" s="44">
        <f t="shared" si="40"/>
        <v>44450</v>
      </c>
      <c r="D883" s="374">
        <v>6</v>
      </c>
      <c r="E883" s="291" t="str">
        <f>IFERROR(VLOOKUP($D883,'Clients-Live'!$A:$C,3,0),"")</f>
        <v>AMUTE BASHIR</v>
      </c>
      <c r="F883" s="291">
        <f>IFERROR(INDEX(Disbursements!$D:$D,MATCH('Live Collections'!G883,Disbursements!$C:$C,0)),"")</f>
        <v>2</v>
      </c>
      <c r="G883" s="34">
        <v>100</v>
      </c>
      <c r="H883" s="34"/>
      <c r="I883" s="34" t="s">
        <v>1358</v>
      </c>
      <c r="J883" s="48"/>
      <c r="K883" s="48"/>
      <c r="L883" s="48"/>
      <c r="M883" s="48"/>
      <c r="N883" s="59"/>
      <c r="O883" s="59">
        <v>150000</v>
      </c>
      <c r="P883" s="59"/>
      <c r="Q883" s="268">
        <f t="shared" si="41"/>
        <v>150000</v>
      </c>
      <c r="R883" s="61">
        <f>IF(O883=0,0,SUMIFS(Disbursements!$T:$T,Disbursements!$B:$B,'Live Collections'!D883,Disbursements!$D:$D,'Live Collections'!F883))</f>
        <v>1300000</v>
      </c>
      <c r="S883" s="304">
        <f>IF(O883&lt;=IF($O883=0,0,SUMIFS(Disbursements!$W:$W,Disbursements!$B:$B,'Live Collections'!D50,Disbursements!$D:$D,'Live Collections'!F50)),O883,IF($O883=0,0,SUMIFS(Disbursements!$W:$W,Disbursements!$B:$B,'Live Collections'!D50,Disbursements!$D:$D,'Live Collections'!F50)))</f>
        <v>25000</v>
      </c>
      <c r="T883" s="304">
        <f t="shared" si="42"/>
        <v>125000</v>
      </c>
      <c r="U883" s="52"/>
      <c r="V883" s="34"/>
      <c r="W883" s="408"/>
    </row>
    <row r="884" spans="1:23" ht="12.75" customHeight="1" x14ac:dyDescent="0.2">
      <c r="A884" s="257">
        <v>872</v>
      </c>
      <c r="B884" s="44">
        <v>44450</v>
      </c>
      <c r="C884" s="44">
        <f t="shared" si="40"/>
        <v>44450</v>
      </c>
      <c r="D884" s="374">
        <v>8</v>
      </c>
      <c r="E884" s="291" t="str">
        <f>IFERROR(VLOOKUP($D884,'Clients-Live'!$A:$C,3,0),"")</f>
        <v>ALEMI THOMAS</v>
      </c>
      <c r="F884" s="291">
        <f>IFERROR(INDEX(Disbursements!$D:$D,MATCH('Live Collections'!G884,Disbursements!$C:$C,0)),"")</f>
        <v>1</v>
      </c>
      <c r="G884" s="34">
        <v>1</v>
      </c>
      <c r="H884" s="34"/>
      <c r="I884" s="34" t="s">
        <v>1359</v>
      </c>
      <c r="J884" s="48"/>
      <c r="K884" s="48"/>
      <c r="L884" s="48"/>
      <c r="M884" s="48"/>
      <c r="N884" s="59"/>
      <c r="O884" s="59">
        <v>65000</v>
      </c>
      <c r="P884" s="59"/>
      <c r="Q884" s="268">
        <f t="shared" si="41"/>
        <v>65000</v>
      </c>
      <c r="R884" s="61">
        <f>IF(O884=0,0,SUMIFS(Disbursements!$T:$T,Disbursements!$B:$B,'Live Collections'!D884,Disbursements!$D:$D,'Live Collections'!F884))</f>
        <v>65000</v>
      </c>
      <c r="S884" s="304">
        <f>IF(O884&lt;=IF($O884=0,0,SUMIFS(Disbursements!$W:$W,Disbursements!$B:$B,'Live Collections'!D72,Disbursements!$D:$D,'Live Collections'!F72)),O884,IF($O884=0,0,SUMIFS(Disbursements!$W:$W,Disbursements!$B:$B,'Live Collections'!D72,Disbursements!$D:$D,'Live Collections'!F72)))</f>
        <v>0</v>
      </c>
      <c r="T884" s="304">
        <f t="shared" si="42"/>
        <v>65000</v>
      </c>
      <c r="U884" s="52"/>
      <c r="V884" s="34"/>
      <c r="W884" s="408"/>
    </row>
    <row r="885" spans="1:23" ht="12.75" customHeight="1" x14ac:dyDescent="0.2">
      <c r="A885" s="132">
        <v>874</v>
      </c>
      <c r="B885" s="44">
        <v>44450</v>
      </c>
      <c r="C885" s="44">
        <f t="shared" si="40"/>
        <v>44450</v>
      </c>
      <c r="D885" s="374">
        <v>21</v>
      </c>
      <c r="E885" s="291" t="str">
        <f>IFERROR(VLOOKUP($D885,'Clients-Live'!$A:$C,3,0),"")</f>
        <v>ESABORU EUNICE</v>
      </c>
      <c r="F885" s="291">
        <f>IFERROR(INDEX(Disbursements!$D:$D,MATCH('Live Collections'!G885,Disbursements!$C:$C,0)),"")</f>
        <v>1</v>
      </c>
      <c r="G885" s="34">
        <v>17</v>
      </c>
      <c r="H885" s="34"/>
      <c r="I885" s="34" t="s">
        <v>1358</v>
      </c>
      <c r="J885" s="48"/>
      <c r="K885" s="48"/>
      <c r="L885" s="48"/>
      <c r="M885" s="48"/>
      <c r="N885" s="59"/>
      <c r="O885" s="59">
        <v>25000</v>
      </c>
      <c r="P885" s="59"/>
      <c r="Q885" s="268">
        <f t="shared" si="41"/>
        <v>25000</v>
      </c>
      <c r="R885" s="61">
        <f>IF(O885=0,0,SUMIFS(Disbursements!$T:$T,Disbursements!$B:$B,'Live Collections'!D885,Disbursements!$D:$D,'Live Collections'!F885))</f>
        <v>90000</v>
      </c>
      <c r="S885" s="304">
        <f>IF(O885&lt;=IF($O885=0,0,SUMIFS(Disbursements!$W:$W,Disbursements!$B:$B,'Live Collections'!D270,Disbursements!$D:$D,'Live Collections'!F270)),O885,IF($O885=0,0,SUMIFS(Disbursements!$W:$W,Disbursements!$B:$B,'Live Collections'!D270,Disbursements!$D:$D,'Live Collections'!F270)))</f>
        <v>0</v>
      </c>
      <c r="T885" s="304">
        <f t="shared" si="42"/>
        <v>25000</v>
      </c>
      <c r="U885" s="52"/>
      <c r="V885" s="34"/>
      <c r="W885" s="408"/>
    </row>
    <row r="886" spans="1:23" ht="12.75" customHeight="1" x14ac:dyDescent="0.2">
      <c r="A886" s="257">
        <v>870</v>
      </c>
      <c r="B886" s="44">
        <v>44450</v>
      </c>
      <c r="C886" s="44">
        <f t="shared" si="40"/>
        <v>44450</v>
      </c>
      <c r="D886" s="374">
        <v>35</v>
      </c>
      <c r="E886" s="291" t="str">
        <f>IFERROR(VLOOKUP($D886,'Clients-Live'!$A:$C,3,0),"")</f>
        <v>ALEZUYO DOCUS</v>
      </c>
      <c r="F886" s="291">
        <f>IFERROR(INDEX(Disbursements!$D:$D,MATCH('Live Collections'!G886,Disbursements!$C:$C,0)),"")</f>
        <v>2</v>
      </c>
      <c r="G886" s="34">
        <v>155</v>
      </c>
      <c r="H886" s="34"/>
      <c r="I886" s="34" t="s">
        <v>1357</v>
      </c>
      <c r="J886" s="48"/>
      <c r="K886" s="48"/>
      <c r="L886" s="48"/>
      <c r="M886" s="48"/>
      <c r="N886" s="59"/>
      <c r="O886" s="59">
        <v>50000</v>
      </c>
      <c r="P886" s="59"/>
      <c r="Q886" s="268">
        <f t="shared" si="41"/>
        <v>50000</v>
      </c>
      <c r="R886" s="61">
        <f>IF(O886=0,0,SUMIFS(Disbursements!$T:$T,Disbursements!$B:$B,'Live Collections'!D886,Disbursements!$D:$D,'Live Collections'!F886))</f>
        <v>250000</v>
      </c>
      <c r="S886" s="304">
        <f>IF(O886&lt;=IF($O886=0,0,SUMIFS(Disbursements!$W:$W,Disbursements!$B:$B,'Live Collections'!D410,Disbursements!$D:$D,'Live Collections'!F410)),O886,IF($O886=0,0,SUMIFS(Disbursements!$W:$W,Disbursements!$B:$B,'Live Collections'!D410,Disbursements!$D:$D,'Live Collections'!F410)))</f>
        <v>40666.666666666657</v>
      </c>
      <c r="T886" s="304">
        <f t="shared" si="42"/>
        <v>9333.333333333343</v>
      </c>
      <c r="U886" s="52"/>
      <c r="V886" s="34"/>
      <c r="W886" s="408"/>
    </row>
    <row r="887" spans="1:23" ht="12.75" customHeight="1" x14ac:dyDescent="0.2">
      <c r="A887" s="132">
        <v>871</v>
      </c>
      <c r="B887" s="44">
        <v>44450</v>
      </c>
      <c r="C887" s="44">
        <f t="shared" si="40"/>
        <v>44450</v>
      </c>
      <c r="D887" s="374">
        <v>43</v>
      </c>
      <c r="E887" s="291" t="str">
        <f>IFERROR(VLOOKUP($D887,'Clients-Live'!$A:$C,3,0),"")</f>
        <v>APUNIKI LOICE</v>
      </c>
      <c r="F887" s="291">
        <f>IFERROR(INDEX(Disbursements!$D:$D,MATCH('Live Collections'!G887,Disbursements!$C:$C,0)),"")</f>
        <v>2</v>
      </c>
      <c r="G887" s="34">
        <v>160</v>
      </c>
      <c r="H887" s="34"/>
      <c r="I887" s="34" t="s">
        <v>1357</v>
      </c>
      <c r="J887" s="48"/>
      <c r="K887" s="48"/>
      <c r="L887" s="48"/>
      <c r="M887" s="48"/>
      <c r="N887" s="59"/>
      <c r="O887" s="59">
        <v>150000</v>
      </c>
      <c r="P887" s="59"/>
      <c r="Q887" s="268">
        <f t="shared" si="41"/>
        <v>150000</v>
      </c>
      <c r="R887" s="61">
        <f>IF(O887=0,0,SUMIFS(Disbursements!$T:$T,Disbursements!$B:$B,'Live Collections'!D887,Disbursements!$D:$D,'Live Collections'!F887))</f>
        <v>150000</v>
      </c>
      <c r="S887" s="64">
        <v>100000</v>
      </c>
      <c r="T887" s="304">
        <f t="shared" si="42"/>
        <v>50000</v>
      </c>
      <c r="U887" s="52"/>
      <c r="V887" s="34"/>
      <c r="W887" s="408" t="s">
        <v>2093</v>
      </c>
    </row>
    <row r="888" spans="1:23" ht="12.75" customHeight="1" x14ac:dyDescent="0.2">
      <c r="A888" s="257">
        <v>875</v>
      </c>
      <c r="B888" s="44">
        <v>44450</v>
      </c>
      <c r="C888" s="44">
        <f t="shared" si="40"/>
        <v>44450</v>
      </c>
      <c r="D888" s="374">
        <v>79</v>
      </c>
      <c r="E888" s="291" t="str">
        <f>IFERROR(VLOOKUP($D888,'Clients-Live'!$A:$C,3,0),"")</f>
        <v>PASI SENYA</v>
      </c>
      <c r="F888" s="291">
        <f>IFERROR(INDEX(Disbursements!$D:$D,MATCH('Live Collections'!G888,Disbursements!$C:$C,0)),"")</f>
        <v>1</v>
      </c>
      <c r="G888" s="34">
        <v>64</v>
      </c>
      <c r="H888" s="34"/>
      <c r="I888" s="34" t="s">
        <v>1358</v>
      </c>
      <c r="J888" s="48"/>
      <c r="K888" s="48"/>
      <c r="L888" s="48"/>
      <c r="M888" s="48"/>
      <c r="N888" s="59"/>
      <c r="O888" s="59">
        <v>50000</v>
      </c>
      <c r="P888" s="59"/>
      <c r="Q888" s="268">
        <f t="shared" si="41"/>
        <v>50000</v>
      </c>
      <c r="R888" s="61">
        <f>IF(O888=0,0,SUMIFS(Disbursements!$T:$T,Disbursements!$B:$B,'Live Collections'!D888,Disbursements!$D:$D,'Live Collections'!F888))</f>
        <v>63000</v>
      </c>
      <c r="S888" s="304">
        <f>IF(O888&lt;=IF($O888=0,0,SUMIFS(Disbursements!$W:$W,Disbursements!$B:$B,'Live Collections'!D1022,Disbursements!$D:$D,'Live Collections'!F1022)),O888,IF($O888=0,0,SUMIFS(Disbursements!$W:$W,Disbursements!$B:$B,'Live Collections'!D1022,Disbursements!$D:$D,'Live Collections'!F1022)))</f>
        <v>15000</v>
      </c>
      <c r="T888" s="304">
        <f t="shared" si="42"/>
        <v>35000</v>
      </c>
      <c r="U888" s="52"/>
      <c r="V888" s="34"/>
      <c r="W888" s="408"/>
    </row>
    <row r="889" spans="1:23" ht="12.75" customHeight="1" x14ac:dyDescent="0.2">
      <c r="A889" s="132">
        <v>869</v>
      </c>
      <c r="B889" s="44">
        <v>44450</v>
      </c>
      <c r="C889" s="44">
        <f t="shared" si="40"/>
        <v>44450</v>
      </c>
      <c r="D889" s="374">
        <v>179</v>
      </c>
      <c r="E889" s="291" t="str">
        <f>IFERROR(VLOOKUP($D889,'Clients-Live'!$A:$C,3,0),"")</f>
        <v>GERIA VIOLA</v>
      </c>
      <c r="F889" s="291">
        <f>IFERROR(INDEX(Disbursements!$D:$D,MATCH('Live Collections'!G889,Disbursements!$C:$C,0)),"")</f>
        <v>1</v>
      </c>
      <c r="G889" s="34">
        <v>167</v>
      </c>
      <c r="H889" s="34"/>
      <c r="I889" s="34" t="s">
        <v>1359</v>
      </c>
      <c r="J889" s="48"/>
      <c r="K889" s="48"/>
      <c r="L889" s="48"/>
      <c r="M889" s="48"/>
      <c r="N889" s="59"/>
      <c r="O889" s="59">
        <v>60000</v>
      </c>
      <c r="P889" s="59"/>
      <c r="Q889" s="268">
        <f t="shared" si="41"/>
        <v>60000</v>
      </c>
      <c r="R889" s="61">
        <f>IF(O889=0,0,SUMIFS(Disbursements!$T:$T,Disbursements!$B:$B,'Live Collections'!D889,Disbursements!$D:$D,'Live Collections'!F889))</f>
        <v>115000</v>
      </c>
      <c r="S889" s="304">
        <f>IF(O889&lt;=IF($O889=0,0,SUMIFS(Disbursements!$W:$W,Disbursements!$B:$B,'Live Collections'!D2186,Disbursements!$D:$D,'Live Collections'!F2186)),O889,IF($O889=0,0,SUMIFS(Disbursements!$W:$W,Disbursements!$B:$B,'Live Collections'!D2186,Disbursements!$D:$D,'Live Collections'!F2186)))</f>
        <v>25666.666666666672</v>
      </c>
      <c r="T889" s="304">
        <f t="shared" si="42"/>
        <v>34333.333333333328</v>
      </c>
      <c r="U889" s="52"/>
      <c r="V889" s="34"/>
      <c r="W889" s="408"/>
    </row>
    <row r="890" spans="1:23" ht="12.75" customHeight="1" x14ac:dyDescent="0.2">
      <c r="A890" s="257">
        <v>885</v>
      </c>
      <c r="B890" s="44">
        <v>44452</v>
      </c>
      <c r="C890" s="44">
        <f t="shared" si="40"/>
        <v>44452</v>
      </c>
      <c r="D890" s="374">
        <v>9</v>
      </c>
      <c r="E890" s="291" t="str">
        <f>IFERROR(VLOOKUP($D890,'Clients-Live'!$A:$C,3,0),"")</f>
        <v>TABAN DAVID YAYA</v>
      </c>
      <c r="F890" s="291">
        <f>IFERROR(INDEX(Disbursements!$D:$D,MATCH('Live Collections'!G890,Disbursements!$C:$C,0)),"")</f>
        <v>2</v>
      </c>
      <c r="G890" s="34">
        <v>221</v>
      </c>
      <c r="H890" s="34">
        <v>1372</v>
      </c>
      <c r="I890" s="34" t="s">
        <v>1357</v>
      </c>
      <c r="J890" s="48"/>
      <c r="K890" s="48"/>
      <c r="L890" s="48">
        <v>20000</v>
      </c>
      <c r="M890" s="48">
        <v>5000</v>
      </c>
      <c r="N890" s="59"/>
      <c r="O890" s="59"/>
      <c r="P890" s="59">
        <v>60000</v>
      </c>
      <c r="Q890" s="268">
        <f t="shared" si="41"/>
        <v>85000</v>
      </c>
      <c r="R890" s="61">
        <f>IF(O890=0,0,SUMIFS(Disbursements!$T:$T,Disbursements!$B:$B,'Live Collections'!D890,Disbursements!$D:$D,'Live Collections'!F890))</f>
        <v>0</v>
      </c>
      <c r="S890" s="304">
        <f>IF(O890&lt;=IF($O890=0,0,SUMIFS(Disbursements!$W:$W,Disbursements!$B:$B,'Live Collections'!D84,Disbursements!$D:$D,'Live Collections'!F84)),O890,IF($O890=0,0,SUMIFS(Disbursements!$W:$W,Disbursements!$B:$B,'Live Collections'!D84,Disbursements!$D:$D,'Live Collections'!F84)))</f>
        <v>0</v>
      </c>
      <c r="T890" s="304">
        <f t="shared" si="42"/>
        <v>0</v>
      </c>
      <c r="U890" s="52"/>
      <c r="V890" s="34"/>
      <c r="W890" s="408"/>
    </row>
    <row r="891" spans="1:23" ht="12.75" customHeight="1" x14ac:dyDescent="0.2">
      <c r="A891" s="132">
        <v>878</v>
      </c>
      <c r="B891" s="44">
        <v>44452</v>
      </c>
      <c r="C891" s="44">
        <f t="shared" si="40"/>
        <v>44452</v>
      </c>
      <c r="D891" s="374">
        <v>40</v>
      </c>
      <c r="E891" s="291" t="str">
        <f>IFERROR(VLOOKUP($D891,'Clients-Live'!$A:$C,3,0),"")</f>
        <v>TABU JANE</v>
      </c>
      <c r="F891" s="291">
        <f>IFERROR(INDEX(Disbursements!$D:$D,MATCH('Live Collections'!G891,Disbursements!$C:$C,0)),"")</f>
        <v>1</v>
      </c>
      <c r="G891" s="34">
        <v>24</v>
      </c>
      <c r="H891" s="34"/>
      <c r="I891" s="34" t="s">
        <v>1358</v>
      </c>
      <c r="J891" s="48"/>
      <c r="K891" s="48"/>
      <c r="L891" s="48"/>
      <c r="M891" s="48"/>
      <c r="N891" s="59"/>
      <c r="O891" s="59">
        <v>155000</v>
      </c>
      <c r="P891" s="59"/>
      <c r="Q891" s="268">
        <f t="shared" si="41"/>
        <v>155000</v>
      </c>
      <c r="R891" s="61">
        <f>IF(O891=0,0,SUMIFS(Disbursements!$T:$T,Disbursements!$B:$B,'Live Collections'!D891,Disbursements!$D:$D,'Live Collections'!F891))</f>
        <v>150000</v>
      </c>
      <c r="S891" s="64">
        <v>26666.666666666657</v>
      </c>
      <c r="T891" s="304">
        <f t="shared" si="42"/>
        <v>128333.33333333334</v>
      </c>
      <c r="U891" s="52"/>
      <c r="V891" s="34"/>
      <c r="W891" s="408" t="s">
        <v>2086</v>
      </c>
    </row>
    <row r="892" spans="1:23" ht="12.75" customHeight="1" x14ac:dyDescent="0.2">
      <c r="A892" s="257">
        <v>887</v>
      </c>
      <c r="B892" s="44">
        <v>44452</v>
      </c>
      <c r="C892" s="44">
        <f t="shared" si="40"/>
        <v>44452</v>
      </c>
      <c r="D892" s="374">
        <v>40</v>
      </c>
      <c r="E892" s="291" t="str">
        <f>IFERROR(VLOOKUP($D892,'Clients-Live'!$A:$C,3,0),"")</f>
        <v>TABU JANE</v>
      </c>
      <c r="F892" s="291" t="str">
        <f>IFERROR(INDEX(Disbursements!$D:$D,MATCH('Live Collections'!G892,Disbursements!$C:$C,0)),"")</f>
        <v/>
      </c>
      <c r="G892" s="34"/>
      <c r="H892" s="34"/>
      <c r="I892" s="34" t="s">
        <v>1358</v>
      </c>
      <c r="J892" s="48"/>
      <c r="K892" s="48"/>
      <c r="L892" s="48">
        <v>20000</v>
      </c>
      <c r="M892" s="48">
        <v>5000</v>
      </c>
      <c r="N892" s="59"/>
      <c r="O892" s="59"/>
      <c r="P892" s="59"/>
      <c r="Q892" s="268">
        <f t="shared" si="41"/>
        <v>25000</v>
      </c>
      <c r="R892" s="61">
        <f>IF(O892=0,0,SUMIFS(Disbursements!$T:$T,Disbursements!$B:$B,'Live Collections'!D892,Disbursements!$D:$D,'Live Collections'!F892))</f>
        <v>0</v>
      </c>
      <c r="S892" s="304">
        <f>IF(O892&lt;=IF($O892=0,0,SUMIFS(Disbursements!$W:$W,Disbursements!$B:$B,'Live Collections'!D436,Disbursements!$D:$D,'Live Collections'!F436)),O892,IF($O892=0,0,SUMIFS(Disbursements!$W:$W,Disbursements!$B:$B,'Live Collections'!D436,Disbursements!$D:$D,'Live Collections'!F436)))</f>
        <v>0</v>
      </c>
      <c r="T892" s="304">
        <f t="shared" si="42"/>
        <v>0</v>
      </c>
      <c r="U892" s="52"/>
      <c r="V892" s="34"/>
      <c r="W892" s="408"/>
    </row>
    <row r="893" spans="1:23" ht="12.75" customHeight="1" x14ac:dyDescent="0.2">
      <c r="A893" s="132">
        <v>876</v>
      </c>
      <c r="B893" s="44">
        <v>44452</v>
      </c>
      <c r="C893" s="44">
        <f t="shared" si="40"/>
        <v>44452</v>
      </c>
      <c r="D893" s="374">
        <v>58</v>
      </c>
      <c r="E893" s="291" t="str">
        <f>IFERROR(VLOOKUP($D893,'Clients-Live'!$A:$C,3,0),"")</f>
        <v xml:space="preserve">ALIRU AMINA </v>
      </c>
      <c r="F893" s="291">
        <f>IFERROR(INDEX(Disbursements!$D:$D,MATCH('Live Collections'!G893,Disbursements!$C:$C,0)),"")</f>
        <v>1</v>
      </c>
      <c r="G893" s="34">
        <v>46</v>
      </c>
      <c r="H893" s="34"/>
      <c r="I893" s="34" t="s">
        <v>1358</v>
      </c>
      <c r="J893" s="48"/>
      <c r="K893" s="48"/>
      <c r="L893" s="48"/>
      <c r="M893" s="48"/>
      <c r="N893" s="59"/>
      <c r="O893" s="59">
        <v>60000</v>
      </c>
      <c r="P893" s="59"/>
      <c r="Q893" s="268">
        <f t="shared" si="41"/>
        <v>60000</v>
      </c>
      <c r="R893" s="61">
        <f>IF(O893=0,0,SUMIFS(Disbursements!$T:$T,Disbursements!$B:$B,'Live Collections'!D893,Disbursements!$D:$D,'Live Collections'!F893))</f>
        <v>180000</v>
      </c>
      <c r="S893" s="304">
        <f>IF(O893&lt;=IF($O893=0,0,SUMIFS(Disbursements!$W:$W,Disbursements!$B:$B,'Live Collections'!D693,Disbursements!$D:$D,'Live Collections'!F693)),O893,IF($O893=0,0,SUMIFS(Disbursements!$W:$W,Disbursements!$B:$B,'Live Collections'!D693,Disbursements!$D:$D,'Live Collections'!F693)))</f>
        <v>35333.333333333328</v>
      </c>
      <c r="T893" s="304">
        <f t="shared" si="42"/>
        <v>24666.666666666672</v>
      </c>
      <c r="U893" s="52"/>
      <c r="V893" s="34"/>
      <c r="W893" s="408"/>
    </row>
    <row r="894" spans="1:23" ht="12.75" customHeight="1" x14ac:dyDescent="0.2">
      <c r="A894" s="257">
        <v>877</v>
      </c>
      <c r="B894" s="44">
        <v>44452</v>
      </c>
      <c r="C894" s="44">
        <f t="shared" si="40"/>
        <v>44452</v>
      </c>
      <c r="D894" s="374">
        <v>61</v>
      </c>
      <c r="E894" s="291" t="str">
        <f>IFERROR(VLOOKUP($D894,'Clients-Live'!$A:$C,3,0),"")</f>
        <v>AREDU RUKIA</v>
      </c>
      <c r="F894" s="291">
        <f>IFERROR(INDEX(Disbursements!$D:$D,MATCH('Live Collections'!G894,Disbursements!$C:$C,0)),"")</f>
        <v>1</v>
      </c>
      <c r="G894" s="34">
        <v>42</v>
      </c>
      <c r="H894" s="34"/>
      <c r="I894" s="34" t="s">
        <v>1359</v>
      </c>
      <c r="J894" s="48"/>
      <c r="K894" s="48"/>
      <c r="L894" s="48"/>
      <c r="M894" s="48"/>
      <c r="N894" s="59"/>
      <c r="O894" s="59">
        <v>90000</v>
      </c>
      <c r="P894" s="59"/>
      <c r="Q894" s="268">
        <f t="shared" si="41"/>
        <v>90000</v>
      </c>
      <c r="R894" s="61">
        <f>IF(O894=0,0,SUMIFS(Disbursements!$T:$T,Disbursements!$B:$B,'Live Collections'!D894,Disbursements!$D:$D,'Live Collections'!F894))</f>
        <v>90000</v>
      </c>
      <c r="S894" s="304"/>
      <c r="T894" s="304">
        <f t="shared" si="42"/>
        <v>90000</v>
      </c>
      <c r="U894" s="52"/>
      <c r="V894" s="34"/>
      <c r="W894" s="408"/>
    </row>
    <row r="895" spans="1:23" ht="12.75" customHeight="1" x14ac:dyDescent="0.2">
      <c r="A895" s="132">
        <v>886</v>
      </c>
      <c r="B895" s="44">
        <v>44452</v>
      </c>
      <c r="C895" s="44">
        <f t="shared" si="40"/>
        <v>44452</v>
      </c>
      <c r="D895" s="374">
        <v>64</v>
      </c>
      <c r="E895" s="291" t="str">
        <f>IFERROR(VLOOKUP($D895,'Clients-Live'!$A:$C,3,0),"")</f>
        <v>AKINO JUDITH</v>
      </c>
      <c r="F895" s="291" t="str">
        <f>IFERROR(INDEX(Disbursements!$D:$D,MATCH('Live Collections'!G895,Disbursements!$C:$C,0)),"")</f>
        <v/>
      </c>
      <c r="G895" s="34"/>
      <c r="H895" s="34"/>
      <c r="I895" s="34" t="s">
        <v>1358</v>
      </c>
      <c r="J895" s="48"/>
      <c r="K895" s="48"/>
      <c r="L895" s="48"/>
      <c r="M895" s="48"/>
      <c r="N895" s="59"/>
      <c r="O895" s="59"/>
      <c r="P895" s="59">
        <v>70000</v>
      </c>
      <c r="Q895" s="268">
        <f t="shared" si="41"/>
        <v>70000</v>
      </c>
      <c r="R895" s="61">
        <f>IF(O895=0,0,SUMIFS(Disbursements!$T:$T,Disbursements!$B:$B,'Live Collections'!D895,Disbursements!$D:$D,'Live Collections'!F895))</f>
        <v>0</v>
      </c>
      <c r="S895" s="304">
        <f>IF(O895&lt;=IF($O895=0,0,SUMIFS(Disbursements!$W:$W,Disbursements!$B:$B,'Live Collections'!D772,Disbursements!$D:$D,'Live Collections'!F772)),O895,IF($O895=0,0,SUMIFS(Disbursements!$W:$W,Disbursements!$B:$B,'Live Collections'!D772,Disbursements!$D:$D,'Live Collections'!F772)))</f>
        <v>0</v>
      </c>
      <c r="T895" s="304">
        <f t="shared" si="42"/>
        <v>0</v>
      </c>
      <c r="U895" s="52"/>
      <c r="V895" s="34"/>
      <c r="W895" s="408"/>
    </row>
    <row r="896" spans="1:23" ht="12.75" customHeight="1" x14ac:dyDescent="0.2">
      <c r="A896" s="257">
        <v>879</v>
      </c>
      <c r="B896" s="44">
        <v>44452</v>
      </c>
      <c r="C896" s="44">
        <f t="shared" si="40"/>
        <v>44452</v>
      </c>
      <c r="D896" s="374">
        <v>88</v>
      </c>
      <c r="E896" s="291" t="str">
        <f>IFERROR(VLOOKUP($D896,'Clients-Live'!$A:$C,3,0),"")</f>
        <v>FAIDA HARRIET</v>
      </c>
      <c r="F896" s="291">
        <f>IFERROR(INDEX(Disbursements!$D:$D,MATCH('Live Collections'!G896,Disbursements!$C:$C,0)),"")</f>
        <v>1</v>
      </c>
      <c r="G896" s="34">
        <v>69</v>
      </c>
      <c r="H896" s="34"/>
      <c r="I896" s="34" t="s">
        <v>1357</v>
      </c>
      <c r="J896" s="48"/>
      <c r="K896" s="48"/>
      <c r="L896" s="48"/>
      <c r="M896" s="48"/>
      <c r="N896" s="59"/>
      <c r="O896" s="59">
        <v>1000</v>
      </c>
      <c r="P896" s="59"/>
      <c r="Q896" s="268">
        <f t="shared" si="41"/>
        <v>1000</v>
      </c>
      <c r="R896" s="61">
        <f>IF(O896=0,0,SUMIFS(Disbursements!$T:$T,Disbursements!$B:$B,'Live Collections'!D896,Disbursements!$D:$D,'Live Collections'!F896))</f>
        <v>77000</v>
      </c>
      <c r="S896" s="304"/>
      <c r="T896" s="304">
        <f t="shared" si="42"/>
        <v>1000</v>
      </c>
      <c r="U896" s="52"/>
      <c r="V896" s="34"/>
      <c r="W896" s="408"/>
    </row>
    <row r="897" spans="1:23" ht="12.75" customHeight="1" x14ac:dyDescent="0.2">
      <c r="A897" s="132">
        <v>879</v>
      </c>
      <c r="B897" s="44">
        <v>44452</v>
      </c>
      <c r="C897" s="44">
        <f t="shared" si="40"/>
        <v>44452</v>
      </c>
      <c r="D897" s="374">
        <v>88</v>
      </c>
      <c r="E897" s="291" t="str">
        <f>IFERROR(VLOOKUP($D897,'Clients-Live'!$A:$C,3,0),"")</f>
        <v>FAIDA HARRIET</v>
      </c>
      <c r="F897" s="291">
        <f>IFERROR(INDEX(Disbursements!$D:$D,MATCH('Live Collections'!G897,Disbursements!$C:$C,0)),"")</f>
        <v>2</v>
      </c>
      <c r="G897" s="34">
        <v>169</v>
      </c>
      <c r="H897" s="34"/>
      <c r="I897" s="34" t="s">
        <v>1357</v>
      </c>
      <c r="J897" s="48"/>
      <c r="K897" s="48"/>
      <c r="L897" s="48"/>
      <c r="M897" s="48"/>
      <c r="N897" s="59"/>
      <c r="O897" s="59">
        <f>75000-1000</f>
        <v>74000</v>
      </c>
      <c r="P897" s="59"/>
      <c r="Q897" s="268">
        <f t="shared" si="41"/>
        <v>74000</v>
      </c>
      <c r="R897" s="61">
        <f>IF(O897=0,0,SUMIFS(Disbursements!$T:$T,Disbursements!$B:$B,'Live Collections'!D897,Disbursements!$D:$D,'Live Collections'!F897))</f>
        <v>90000</v>
      </c>
      <c r="S897" s="304">
        <f>IF(O897&lt;=IF($O897=0,0,SUMIFS(Disbursements!$W:$W,Disbursements!$B:$B,'Live Collections'!D1140,Disbursements!$D:$D,'Live Collections'!F1140)),O897,IF($O897=0,0,SUMIFS(Disbursements!$W:$W,Disbursements!$B:$B,'Live Collections'!D1140,Disbursements!$D:$D,'Live Collections'!F1140)))</f>
        <v>25000</v>
      </c>
      <c r="T897" s="304">
        <f t="shared" si="42"/>
        <v>49000</v>
      </c>
      <c r="U897" s="52"/>
      <c r="V897" s="34"/>
      <c r="W897" s="408"/>
    </row>
    <row r="898" spans="1:23" ht="12.75" customHeight="1" x14ac:dyDescent="0.2">
      <c r="A898" s="257">
        <v>880</v>
      </c>
      <c r="B898" s="44">
        <v>44452</v>
      </c>
      <c r="C898" s="44">
        <f t="shared" si="40"/>
        <v>44452</v>
      </c>
      <c r="D898" s="374">
        <v>109</v>
      </c>
      <c r="E898" s="291" t="str">
        <f>IFERROR(VLOOKUP($D898,'Clients-Live'!$A:$C,3,0),"")</f>
        <v>TABU KISA</v>
      </c>
      <c r="F898" s="291">
        <f>IFERROR(INDEX(Disbursements!$D:$D,MATCH('Live Collections'!G898,Disbursements!$C:$C,0)),"")</f>
        <v>1</v>
      </c>
      <c r="G898" s="34">
        <v>93</v>
      </c>
      <c r="H898" s="34"/>
      <c r="I898" s="34" t="s">
        <v>1357</v>
      </c>
      <c r="J898" s="48"/>
      <c r="K898" s="48"/>
      <c r="L898" s="48"/>
      <c r="M898" s="48"/>
      <c r="N898" s="59"/>
      <c r="O898" s="59">
        <v>50000</v>
      </c>
      <c r="P898" s="59"/>
      <c r="Q898" s="268">
        <f t="shared" si="41"/>
        <v>50000</v>
      </c>
      <c r="R898" s="61">
        <f>IF(O898=0,0,SUMIFS(Disbursements!$T:$T,Disbursements!$B:$B,'Live Collections'!D898,Disbursements!$D:$D,'Live Collections'!F898))</f>
        <v>315000</v>
      </c>
      <c r="S898" s="304"/>
      <c r="T898" s="304">
        <f t="shared" si="42"/>
        <v>50000</v>
      </c>
      <c r="U898" s="52"/>
      <c r="V898" s="34"/>
      <c r="W898" s="408"/>
    </row>
    <row r="899" spans="1:23" ht="12.75" customHeight="1" x14ac:dyDescent="0.2">
      <c r="A899" s="132">
        <v>881</v>
      </c>
      <c r="B899" s="44">
        <v>44452</v>
      </c>
      <c r="C899" s="44">
        <f t="shared" si="40"/>
        <v>44452</v>
      </c>
      <c r="D899" s="374">
        <v>177</v>
      </c>
      <c r="E899" s="291" t="str">
        <f>IFERROR(VLOOKUP($D899,'Clients-Live'!$A:$C,3,0),"")</f>
        <v>EFIT GIFT</v>
      </c>
      <c r="F899" s="291">
        <f>IFERROR(INDEX(Disbursements!$D:$D,MATCH('Live Collections'!G899,Disbursements!$C:$C,0)),"")</f>
        <v>1</v>
      </c>
      <c r="G899" s="34">
        <v>183</v>
      </c>
      <c r="H899" s="34"/>
      <c r="I899" s="34" t="s">
        <v>1358</v>
      </c>
      <c r="J899" s="48"/>
      <c r="K899" s="48"/>
      <c r="L899" s="48"/>
      <c r="M899" s="48"/>
      <c r="N899" s="59"/>
      <c r="O899" s="59">
        <v>110000</v>
      </c>
      <c r="P899" s="59"/>
      <c r="Q899" s="268">
        <f t="shared" si="41"/>
        <v>110000</v>
      </c>
      <c r="R899" s="61">
        <f>IF(O899=0,0,SUMIFS(Disbursements!$T:$T,Disbursements!$B:$B,'Live Collections'!D899,Disbursements!$D:$D,'Live Collections'!F899))</f>
        <v>109000</v>
      </c>
      <c r="S899" s="304">
        <f>IF(O899&lt;=IF($O899=0,0,SUMIFS(Disbursements!$W:$W,Disbursements!$B:$B,'Live Collections'!D2166,Disbursements!$D:$D,'Live Collections'!F2166)),O899,IF($O899=0,0,SUMIFS(Disbursements!$W:$W,Disbursements!$B:$B,'Live Collections'!D2166,Disbursements!$D:$D,'Live Collections'!F2166)))</f>
        <v>30000</v>
      </c>
      <c r="T899" s="304">
        <f t="shared" si="42"/>
        <v>80000</v>
      </c>
      <c r="U899" s="52"/>
      <c r="V899" s="34"/>
      <c r="W899" s="408"/>
    </row>
    <row r="900" spans="1:23" ht="12.75" customHeight="1" x14ac:dyDescent="0.2">
      <c r="A900" s="257">
        <v>882</v>
      </c>
      <c r="B900" s="44">
        <v>44452</v>
      </c>
      <c r="C900" s="44">
        <f t="shared" si="40"/>
        <v>44452</v>
      </c>
      <c r="D900" s="374">
        <v>181</v>
      </c>
      <c r="E900" s="291" t="str">
        <f>IFERROR(VLOOKUP($D900,'Clients-Live'!$A:$C,3,0),"")</f>
        <v>LEKURU CHRISTINE</v>
      </c>
      <c r="F900" s="291">
        <f>IFERROR(INDEX(Disbursements!$D:$D,MATCH('Live Collections'!G900,Disbursements!$C:$C,0)),"")</f>
        <v>1</v>
      </c>
      <c r="G900" s="34">
        <v>168</v>
      </c>
      <c r="H900" s="34"/>
      <c r="I900" s="34" t="s">
        <v>1358</v>
      </c>
      <c r="J900" s="48"/>
      <c r="K900" s="48"/>
      <c r="L900" s="48"/>
      <c r="M900" s="48"/>
      <c r="N900" s="59"/>
      <c r="O900" s="59">
        <v>20000</v>
      </c>
      <c r="P900" s="59"/>
      <c r="Q900" s="268">
        <f t="shared" si="41"/>
        <v>20000</v>
      </c>
      <c r="R900" s="61">
        <f>IF(O900=0,0,SUMIFS(Disbursements!$T:$T,Disbursements!$B:$B,'Live Collections'!D900,Disbursements!$D:$D,'Live Collections'!F900))</f>
        <v>115000</v>
      </c>
      <c r="S900" s="304">
        <f>IF(O900&lt;=IF($O900=0,0,SUMIFS(Disbursements!$W:$W,Disbursements!$B:$B,'Live Collections'!D2209,Disbursements!$D:$D,'Live Collections'!F2209)),O900,IF($O900=0,0,SUMIFS(Disbursements!$W:$W,Disbursements!$B:$B,'Live Collections'!D2209,Disbursements!$D:$D,'Live Collections'!F2209)))</f>
        <v>0</v>
      </c>
      <c r="T900" s="304">
        <f t="shared" si="42"/>
        <v>20000</v>
      </c>
      <c r="U900" s="52"/>
      <c r="V900" s="34"/>
      <c r="W900" s="408"/>
    </row>
    <row r="901" spans="1:23" ht="12.75" customHeight="1" x14ac:dyDescent="0.2">
      <c r="A901" s="132">
        <v>888</v>
      </c>
      <c r="B901" s="44">
        <v>44452</v>
      </c>
      <c r="C901" s="44">
        <f t="shared" si="40"/>
        <v>44452</v>
      </c>
      <c r="D901" s="374">
        <v>217</v>
      </c>
      <c r="E901" s="291" t="str">
        <f>IFERROR(VLOOKUP($D901,'Clients-Live'!$A:$C,3,0),"")</f>
        <v>JAMBA MOSES</v>
      </c>
      <c r="F901" s="291" t="str">
        <f>IFERROR(INDEX(Disbursements!$D:$D,MATCH('Live Collections'!G901,Disbursements!$C:$C,0)),"")</f>
        <v/>
      </c>
      <c r="G901" s="34"/>
      <c r="H901" s="34"/>
      <c r="I901" s="34" t="s">
        <v>1357</v>
      </c>
      <c r="J901" s="48"/>
      <c r="K901" s="48"/>
      <c r="L901" s="48"/>
      <c r="M901" s="48"/>
      <c r="N901" s="59"/>
      <c r="O901" s="59"/>
      <c r="P901" s="59">
        <v>4000</v>
      </c>
      <c r="Q901" s="268">
        <f t="shared" si="41"/>
        <v>4000</v>
      </c>
      <c r="R901" s="61">
        <f>IF(O901=0,0,SUMIFS(Disbursements!$T:$T,Disbursements!$B:$B,'Live Collections'!D901,Disbursements!$D:$D,'Live Collections'!F901))</f>
        <v>0</v>
      </c>
      <c r="S901" s="304">
        <f>IF(O901&lt;=IF($O901=0,0,SUMIFS(Disbursements!$W:$W,Disbursements!$B:$B,'Live Collections'!D2553,Disbursements!$D:$D,'Live Collections'!F2553)),O901,IF($O901=0,0,SUMIFS(Disbursements!$W:$W,Disbursements!$B:$B,'Live Collections'!D2553,Disbursements!$D:$D,'Live Collections'!F2553)))</f>
        <v>0</v>
      </c>
      <c r="T901" s="304">
        <f t="shared" si="42"/>
        <v>0</v>
      </c>
      <c r="U901" s="52"/>
      <c r="V901" s="34"/>
      <c r="W901" s="408"/>
    </row>
    <row r="902" spans="1:23" ht="12.75" customHeight="1" x14ac:dyDescent="0.2">
      <c r="A902" s="257">
        <v>883</v>
      </c>
      <c r="B902" s="44">
        <v>44452</v>
      </c>
      <c r="C902" s="44">
        <f t="shared" si="40"/>
        <v>44452</v>
      </c>
      <c r="D902" s="374">
        <v>220</v>
      </c>
      <c r="E902" s="291" t="str">
        <f>IFERROR(VLOOKUP($D902,'Clients-Live'!$A:$C,3,0),"")</f>
        <v>DRAGUMA SIRAJI</v>
      </c>
      <c r="F902" s="291" t="str">
        <f>IFERROR(INDEX(Disbursements!$D:$D,MATCH('Live Collections'!G902,Disbursements!$C:$C,0)),"")</f>
        <v/>
      </c>
      <c r="G902" s="34"/>
      <c r="H902" s="34"/>
      <c r="I902" s="34" t="s">
        <v>863</v>
      </c>
      <c r="J902" s="48"/>
      <c r="K902" s="48"/>
      <c r="L902" s="48"/>
      <c r="M902" s="48"/>
      <c r="N902" s="59"/>
      <c r="O902" s="59"/>
      <c r="P902" s="59">
        <v>350000</v>
      </c>
      <c r="Q902" s="268">
        <f t="shared" si="41"/>
        <v>350000</v>
      </c>
      <c r="R902" s="61">
        <f>IF(O902=0,0,SUMIFS(Disbursements!$T:$T,Disbursements!$B:$B,'Live Collections'!D902,Disbursements!$D:$D,'Live Collections'!F902))</f>
        <v>0</v>
      </c>
      <c r="S902" s="304">
        <f>IF(O902&lt;=IF($O902=0,0,SUMIFS(Disbursements!$W:$W,Disbursements!$B:$B,'Live Collections'!D2593,Disbursements!$D:$D,'Live Collections'!F2593)),O902,IF($O902=0,0,SUMIFS(Disbursements!$W:$W,Disbursements!$B:$B,'Live Collections'!D2593,Disbursements!$D:$D,'Live Collections'!F2593)))</f>
        <v>0</v>
      </c>
      <c r="T902" s="304">
        <f t="shared" si="42"/>
        <v>0</v>
      </c>
      <c r="U902" s="52"/>
      <c r="V902" s="34"/>
      <c r="W902" s="408"/>
    </row>
    <row r="903" spans="1:23" ht="12.75" customHeight="1" x14ac:dyDescent="0.2">
      <c r="A903" s="132">
        <v>884</v>
      </c>
      <c r="B903" s="44">
        <v>44452</v>
      </c>
      <c r="C903" s="44">
        <f t="shared" si="40"/>
        <v>44452</v>
      </c>
      <c r="D903" s="374">
        <v>220</v>
      </c>
      <c r="E903" s="291" t="str">
        <f>IFERROR(VLOOKUP($D903,'Clients-Live'!$A:$C,3,0),"")</f>
        <v>DRAGUMA SIRAJI</v>
      </c>
      <c r="F903" s="291" t="str">
        <f>IFERROR(INDEX(Disbursements!$D:$D,MATCH('Live Collections'!G903,Disbursements!$C:$C,0)),"")</f>
        <v/>
      </c>
      <c r="G903" s="34"/>
      <c r="H903" s="34"/>
      <c r="I903" s="34" t="s">
        <v>1815</v>
      </c>
      <c r="J903" s="48">
        <v>15000</v>
      </c>
      <c r="K903" s="48">
        <v>5000</v>
      </c>
      <c r="L903" s="48">
        <v>25000</v>
      </c>
      <c r="M903" s="48">
        <v>5000</v>
      </c>
      <c r="N903" s="59"/>
      <c r="O903" s="59"/>
      <c r="P903" s="59"/>
      <c r="Q903" s="268">
        <f t="shared" si="41"/>
        <v>50000</v>
      </c>
      <c r="R903" s="61">
        <f>IF(O903=0,0,SUMIFS(Disbursements!$T:$T,Disbursements!$B:$B,'Live Collections'!D903,Disbursements!$D:$D,'Live Collections'!F903))</f>
        <v>0</v>
      </c>
      <c r="S903" s="304">
        <f>IF(O903&lt;=IF($O903=0,0,SUMIFS(Disbursements!$W:$W,Disbursements!$B:$B,'Live Collections'!D2594,Disbursements!$D:$D,'Live Collections'!F2594)),O903,IF($O903=0,0,SUMIFS(Disbursements!$W:$W,Disbursements!$B:$B,'Live Collections'!D2594,Disbursements!$D:$D,'Live Collections'!F2594)))</f>
        <v>0</v>
      </c>
      <c r="T903" s="304">
        <f t="shared" si="42"/>
        <v>0</v>
      </c>
      <c r="U903" s="52"/>
      <c r="V903" s="34"/>
      <c r="W903" s="408"/>
    </row>
    <row r="904" spans="1:23" ht="12.75" customHeight="1" x14ac:dyDescent="0.2">
      <c r="A904" s="257">
        <v>894</v>
      </c>
      <c r="B904" s="44">
        <v>44453</v>
      </c>
      <c r="C904" s="44">
        <f t="shared" si="40"/>
        <v>44453</v>
      </c>
      <c r="D904" s="374">
        <v>2</v>
      </c>
      <c r="E904" s="291" t="str">
        <f>IFERROR(VLOOKUP($D904,'Clients-Live'!$A:$C,3,0),"")</f>
        <v>LEYA ROSE</v>
      </c>
      <c r="F904" s="291">
        <f>IFERROR(INDEX(Disbursements!$D:$D,MATCH('Live Collections'!G904,Disbursements!$C:$C,0)),"")</f>
        <v>1</v>
      </c>
      <c r="G904" s="34">
        <v>4</v>
      </c>
      <c r="H904" s="34"/>
      <c r="I904" s="34" t="s">
        <v>1358</v>
      </c>
      <c r="J904" s="48"/>
      <c r="K904" s="48"/>
      <c r="L904" s="48"/>
      <c r="M904" s="48"/>
      <c r="N904" s="59"/>
      <c r="O904" s="59">
        <v>200000</v>
      </c>
      <c r="P904" s="59"/>
      <c r="Q904" s="268">
        <f t="shared" si="41"/>
        <v>200000</v>
      </c>
      <c r="R904" s="61">
        <f>IF(O904=0,0,SUMIFS(Disbursements!$T:$T,Disbursements!$B:$B,'Live Collections'!D904,Disbursements!$D:$D,'Live Collections'!F904))</f>
        <v>217000</v>
      </c>
      <c r="S904" s="304">
        <f>IF(O904&lt;=IF($O904=0,0,SUMIFS(Disbursements!$W:$W,Disbursements!$B:$B,'Live Collections'!D16,Disbursements!$D:$D,'Live Collections'!F16)),O904,IF($O904=0,0,SUMIFS(Disbursements!$W:$W,Disbursements!$B:$B,'Live Collections'!D16,Disbursements!$D:$D,'Live Collections'!F16)))</f>
        <v>0</v>
      </c>
      <c r="T904" s="304">
        <f t="shared" si="42"/>
        <v>200000</v>
      </c>
      <c r="U904" s="52"/>
      <c r="V904" s="34"/>
      <c r="W904" s="408"/>
    </row>
    <row r="905" spans="1:23" ht="12.75" customHeight="1" x14ac:dyDescent="0.2">
      <c r="A905" s="132">
        <v>895</v>
      </c>
      <c r="B905" s="44">
        <v>44453</v>
      </c>
      <c r="C905" s="44">
        <f t="shared" ref="C905:C968" si="43">B905</f>
        <v>44453</v>
      </c>
      <c r="D905" s="374">
        <v>12</v>
      </c>
      <c r="E905" s="291" t="str">
        <f>IFERROR(VLOOKUP($D905,'Clients-Live'!$A:$C,3,0),"")</f>
        <v>DRELIA SIMON DEADSON</v>
      </c>
      <c r="F905" s="291">
        <f>IFERROR(INDEX(Disbursements!$D:$D,MATCH('Live Collections'!G905,Disbursements!$C:$C,0)),"")</f>
        <v>2</v>
      </c>
      <c r="G905" s="34">
        <v>113</v>
      </c>
      <c r="H905" s="34"/>
      <c r="I905" s="34" t="s">
        <v>1357</v>
      </c>
      <c r="J905" s="48"/>
      <c r="K905" s="48"/>
      <c r="L905" s="48"/>
      <c r="M905" s="48"/>
      <c r="N905" s="59"/>
      <c r="O905" s="59">
        <v>50000</v>
      </c>
      <c r="P905" s="59"/>
      <c r="Q905" s="268">
        <f t="shared" ref="Q905:Q968" si="44">SUM(J905:P905)</f>
        <v>50000</v>
      </c>
      <c r="R905" s="61">
        <f>IF(O905=0,0,SUMIFS(Disbursements!$T:$T,Disbursements!$B:$B,'Live Collections'!D905,Disbursements!$D:$D,'Live Collections'!F905))</f>
        <v>269000</v>
      </c>
      <c r="S905" s="304">
        <f>IF(O905&lt;=IF($O905=0,0,SUMIFS(Disbursements!$W:$W,Disbursements!$B:$B,'Live Collections'!D128,Disbursements!$D:$D,'Live Collections'!F128)),O905,IF($O905=0,0,SUMIFS(Disbursements!$W:$W,Disbursements!$B:$B,'Live Collections'!D128,Disbursements!$D:$D,'Live Collections'!F128)))</f>
        <v>15000</v>
      </c>
      <c r="T905" s="304">
        <f t="shared" ref="T905:T968" si="45">IF(O905=0,0,O905-S905)</f>
        <v>35000</v>
      </c>
      <c r="U905" s="52"/>
      <c r="V905" s="34"/>
      <c r="W905" s="408"/>
    </row>
    <row r="906" spans="1:23" ht="12.75" customHeight="1" x14ac:dyDescent="0.2">
      <c r="A906" s="257">
        <v>897</v>
      </c>
      <c r="B906" s="44">
        <v>44453</v>
      </c>
      <c r="C906" s="44">
        <f t="shared" si="43"/>
        <v>44453</v>
      </c>
      <c r="D906" s="374">
        <v>46</v>
      </c>
      <c r="E906" s="291" t="str">
        <f>IFERROR(VLOOKUP($D906,'Clients-Live'!$A:$C,3,0),"")</f>
        <v>ALIO YUDA</v>
      </c>
      <c r="F906" s="291">
        <f>IFERROR(INDEX(Disbursements!$D:$D,MATCH('Live Collections'!G906,Disbursements!$C:$C,0)),"")</f>
        <v>1</v>
      </c>
      <c r="G906" s="34">
        <v>35</v>
      </c>
      <c r="H906" s="34"/>
      <c r="I906" s="34" t="s">
        <v>1357</v>
      </c>
      <c r="J906" s="48"/>
      <c r="K906" s="48"/>
      <c r="L906" s="48"/>
      <c r="M906" s="48"/>
      <c r="N906" s="59"/>
      <c r="O906" s="59">
        <v>150000</v>
      </c>
      <c r="P906" s="59"/>
      <c r="Q906" s="268">
        <f t="shared" si="44"/>
        <v>150000</v>
      </c>
      <c r="R906" s="61">
        <f>IF(O906=0,0,SUMIFS(Disbursements!$T:$T,Disbursements!$B:$B,'Live Collections'!D906,Disbursements!$D:$D,'Live Collections'!F906))</f>
        <v>325000</v>
      </c>
      <c r="S906" s="304">
        <f>IF(O906&lt;=IF($O906=0,0,SUMIFS(Disbursements!$W:$W,Disbursements!$B:$B,'Live Collections'!D518,Disbursements!$D:$D,'Live Collections'!F518)),O906,IF($O906=0,0,SUMIFS(Disbursements!$W:$W,Disbursements!$B:$B,'Live Collections'!D518,Disbursements!$D:$D,'Live Collections'!F518)))</f>
        <v>55000</v>
      </c>
      <c r="T906" s="304">
        <f t="shared" si="45"/>
        <v>95000</v>
      </c>
      <c r="U906" s="52"/>
      <c r="V906" s="34"/>
      <c r="W906" s="408"/>
    </row>
    <row r="907" spans="1:23" ht="12.75" customHeight="1" x14ac:dyDescent="0.2">
      <c r="A907" s="132">
        <v>900</v>
      </c>
      <c r="B907" s="44">
        <v>44453</v>
      </c>
      <c r="C907" s="44">
        <f t="shared" si="43"/>
        <v>44453</v>
      </c>
      <c r="D907" s="374">
        <v>52</v>
      </c>
      <c r="E907" s="291" t="str">
        <f>IFERROR(VLOOKUP($D907,'Clients-Live'!$A:$C,3,0),"")</f>
        <v>EDEZU PEACE IRENE</v>
      </c>
      <c r="F907" s="291">
        <f>IFERROR(INDEX(Disbursements!$D:$D,MATCH('Live Collections'!G907,Disbursements!$C:$C,0)),"")</f>
        <v>1</v>
      </c>
      <c r="G907" s="34">
        <v>38</v>
      </c>
      <c r="H907" s="34"/>
      <c r="I907" s="34" t="s">
        <v>1357</v>
      </c>
      <c r="J907" s="48"/>
      <c r="K907" s="48"/>
      <c r="L907" s="48"/>
      <c r="M907" s="48"/>
      <c r="N907" s="59"/>
      <c r="O907" s="59">
        <v>80000</v>
      </c>
      <c r="P907" s="59"/>
      <c r="Q907" s="268">
        <f t="shared" si="44"/>
        <v>80000</v>
      </c>
      <c r="R907" s="61">
        <f>IF(O907=0,0,SUMIFS(Disbursements!$T:$T,Disbursements!$B:$B,'Live Collections'!D907,Disbursements!$D:$D,'Live Collections'!F907))</f>
        <v>150000</v>
      </c>
      <c r="S907" s="304"/>
      <c r="T907" s="304">
        <f t="shared" si="45"/>
        <v>80000</v>
      </c>
      <c r="U907" s="52"/>
      <c r="V907" s="34"/>
      <c r="W907" s="408"/>
    </row>
    <row r="908" spans="1:23" ht="12.75" customHeight="1" x14ac:dyDescent="0.2">
      <c r="A908" s="257">
        <v>899</v>
      </c>
      <c r="B908" s="44">
        <v>44453</v>
      </c>
      <c r="C908" s="44">
        <f t="shared" si="43"/>
        <v>44453</v>
      </c>
      <c r="D908" s="374">
        <v>55</v>
      </c>
      <c r="E908" s="291" t="str">
        <f>IFERROR(VLOOKUP($D908,'Clients-Live'!$A:$C,3,0),"")</f>
        <v>SOKOLA SHARON</v>
      </c>
      <c r="F908" s="291">
        <f>IFERROR(INDEX(Disbursements!$D:$D,MATCH('Live Collections'!G908,Disbursements!$C:$C,0)),"")</f>
        <v>1</v>
      </c>
      <c r="G908" s="34">
        <v>48</v>
      </c>
      <c r="H908" s="34"/>
      <c r="I908" s="34" t="s">
        <v>1359</v>
      </c>
      <c r="J908" s="48"/>
      <c r="K908" s="48"/>
      <c r="L908" s="48"/>
      <c r="M908" s="48"/>
      <c r="N908" s="59"/>
      <c r="O908" s="59">
        <v>90000</v>
      </c>
      <c r="P908" s="59"/>
      <c r="Q908" s="268">
        <f t="shared" si="44"/>
        <v>90000</v>
      </c>
      <c r="R908" s="61">
        <f>IF(O908=0,0,SUMIFS(Disbursements!$T:$T,Disbursements!$B:$B,'Live Collections'!D908,Disbursements!$D:$D,'Live Collections'!F908))</f>
        <v>90000</v>
      </c>
      <c r="S908" s="304"/>
      <c r="T908" s="304">
        <f t="shared" si="45"/>
        <v>90000</v>
      </c>
      <c r="U908" s="52"/>
      <c r="V908" s="34"/>
      <c r="W908" s="408"/>
    </row>
    <row r="909" spans="1:23" ht="12.75" customHeight="1" x14ac:dyDescent="0.2">
      <c r="A909" s="132">
        <v>891</v>
      </c>
      <c r="B909" s="44">
        <v>44453</v>
      </c>
      <c r="C909" s="44">
        <f t="shared" si="43"/>
        <v>44453</v>
      </c>
      <c r="D909" s="374">
        <v>87</v>
      </c>
      <c r="E909" s="291" t="str">
        <f>IFERROR(VLOOKUP($D909,'Clients-Live'!$A:$C,3,0),"")</f>
        <v>FAIDA ZUBEDA</v>
      </c>
      <c r="F909" s="291">
        <f>IFERROR(INDEX(Disbursements!$D:$D,MATCH('Live Collections'!G909,Disbursements!$C:$C,0)),"")</f>
        <v>1</v>
      </c>
      <c r="G909" s="34">
        <v>70</v>
      </c>
      <c r="H909" s="34"/>
      <c r="I909" s="34" t="s">
        <v>1358</v>
      </c>
      <c r="J909" s="48"/>
      <c r="K909" s="48"/>
      <c r="L909" s="48"/>
      <c r="M909" s="48"/>
      <c r="N909" s="59"/>
      <c r="O909" s="59">
        <v>30000</v>
      </c>
      <c r="P909" s="59"/>
      <c r="Q909" s="268">
        <f t="shared" si="44"/>
        <v>30000</v>
      </c>
      <c r="R909" s="61">
        <f>IF(O909=0,0,SUMIFS(Disbursements!$T:$T,Disbursements!$B:$B,'Live Collections'!D909,Disbursements!$D:$D,'Live Collections'!F909))</f>
        <v>175000</v>
      </c>
      <c r="S909" s="304">
        <f>IF(O909&lt;=IF($O909=0,0,SUMIFS(Disbursements!$W:$W,Disbursements!$B:$B,'Live Collections'!D1128,Disbursements!$D:$D,'Live Collections'!F1128)),O909,IF($O909=0,0,SUMIFS(Disbursements!$W:$W,Disbursements!$B:$B,'Live Collections'!D1128,Disbursements!$D:$D,'Live Collections'!F1128)))</f>
        <v>30000</v>
      </c>
      <c r="T909" s="304">
        <f t="shared" si="45"/>
        <v>0</v>
      </c>
      <c r="U909" s="52"/>
      <c r="V909" s="34"/>
      <c r="W909" s="408"/>
    </row>
    <row r="910" spans="1:23" ht="12.75" customHeight="1" x14ac:dyDescent="0.2">
      <c r="A910" s="257">
        <v>892</v>
      </c>
      <c r="B910" s="44">
        <v>44453</v>
      </c>
      <c r="C910" s="44">
        <f t="shared" si="43"/>
        <v>44453</v>
      </c>
      <c r="D910" s="374">
        <v>98</v>
      </c>
      <c r="E910" s="291" t="str">
        <f>IFERROR(VLOOKUP($D910,'Clients-Live'!$A:$C,3,0),"")</f>
        <v>AMANIYO CLARA</v>
      </c>
      <c r="F910" s="291">
        <f>IFERROR(INDEX(Disbursements!$D:$D,MATCH('Live Collections'!G910,Disbursements!$C:$C,0)),"")</f>
        <v>1</v>
      </c>
      <c r="G910" s="34">
        <v>81</v>
      </c>
      <c r="H910" s="34"/>
      <c r="I910" s="34" t="s">
        <v>1357</v>
      </c>
      <c r="J910" s="48"/>
      <c r="K910" s="48"/>
      <c r="L910" s="48"/>
      <c r="M910" s="48"/>
      <c r="N910" s="59"/>
      <c r="O910" s="59">
        <v>50000</v>
      </c>
      <c r="P910" s="59"/>
      <c r="Q910" s="268">
        <f t="shared" si="44"/>
        <v>50000</v>
      </c>
      <c r="R910" s="61">
        <f>IF(O910=0,0,SUMIFS(Disbursements!$T:$T,Disbursements!$B:$B,'Live Collections'!D910,Disbursements!$D:$D,'Live Collections'!F910))</f>
        <v>150000</v>
      </c>
      <c r="S910" s="304">
        <f>IF(O910&lt;=IF($O910=0,0,SUMIFS(Disbursements!$W:$W,Disbursements!$B:$B,'Live Collections'!D1266,Disbursements!$D:$D,'Live Collections'!F1266)),O910,IF($O910=0,0,SUMIFS(Disbursements!$W:$W,Disbursements!$B:$B,'Live Collections'!D1266,Disbursements!$D:$D,'Live Collections'!F1266)))</f>
        <v>0</v>
      </c>
      <c r="T910" s="304">
        <f t="shared" si="45"/>
        <v>50000</v>
      </c>
      <c r="U910" s="52"/>
      <c r="V910" s="34"/>
      <c r="W910" s="408"/>
    </row>
    <row r="911" spans="1:23" ht="12.75" customHeight="1" x14ac:dyDescent="0.2">
      <c r="A911" s="132">
        <v>893</v>
      </c>
      <c r="B911" s="44">
        <v>44453</v>
      </c>
      <c r="C911" s="44">
        <f t="shared" si="43"/>
        <v>44453</v>
      </c>
      <c r="D911" s="374">
        <v>102</v>
      </c>
      <c r="E911" s="291" t="str">
        <f>IFERROR(VLOOKUP($D911,'Clients-Live'!$A:$C,3,0),"")</f>
        <v>BATALI GODFREY JOHN</v>
      </c>
      <c r="F911" s="291">
        <f>IFERROR(INDEX(Disbursements!$D:$D,MATCH('Live Collections'!G911,Disbursements!$C:$C,0)),"")</f>
        <v>1</v>
      </c>
      <c r="G911" s="34">
        <v>102</v>
      </c>
      <c r="H911" s="34"/>
      <c r="I911" s="34" t="s">
        <v>1357</v>
      </c>
      <c r="J911" s="48"/>
      <c r="K911" s="48"/>
      <c r="L911" s="48"/>
      <c r="M911" s="48"/>
      <c r="N911" s="59"/>
      <c r="O911" s="59">
        <v>60000</v>
      </c>
      <c r="P911" s="59"/>
      <c r="Q911" s="268">
        <f t="shared" si="44"/>
        <v>60000</v>
      </c>
      <c r="R911" s="61">
        <f>IF(O911=0,0,SUMIFS(Disbursements!$T:$T,Disbursements!$B:$B,'Live Collections'!D911,Disbursements!$D:$D,'Live Collections'!F911))</f>
        <v>77000</v>
      </c>
      <c r="S911" s="304">
        <f>IF(O911&lt;=IF($O911=0,0,SUMIFS(Disbursements!$W:$W,Disbursements!$B:$B,'Live Collections'!D1710,Disbursements!$D:$D,'Live Collections'!F1710)),O911,IF($O911=0,0,SUMIFS(Disbursements!$W:$W,Disbursements!$B:$B,'Live Collections'!D1710,Disbursements!$D:$D,'Live Collections'!F1710)))</f>
        <v>0</v>
      </c>
      <c r="T911" s="304">
        <f t="shared" si="45"/>
        <v>60000</v>
      </c>
      <c r="U911" s="52"/>
      <c r="V911" s="34"/>
      <c r="W911" s="408"/>
    </row>
    <row r="912" spans="1:23" ht="12.75" customHeight="1" x14ac:dyDescent="0.2">
      <c r="A912" s="257">
        <v>898</v>
      </c>
      <c r="B912" s="44">
        <v>44453</v>
      </c>
      <c r="C912" s="44">
        <f t="shared" si="43"/>
        <v>44453</v>
      </c>
      <c r="D912" s="374">
        <v>123</v>
      </c>
      <c r="E912" s="291" t="str">
        <f>IFERROR(VLOOKUP($D912,'Clients-Live'!$A:$C,3,0),"")</f>
        <v>INZIKURU JANET</v>
      </c>
      <c r="F912" s="291">
        <f>IFERROR(INDEX(Disbursements!$D:$D,MATCH('Live Collections'!G912,Disbursements!$C:$C,0)),"")</f>
        <v>1</v>
      </c>
      <c r="G912" s="34">
        <v>107</v>
      </c>
      <c r="H912" s="34"/>
      <c r="I912" s="34" t="s">
        <v>1358</v>
      </c>
      <c r="J912" s="48"/>
      <c r="K912" s="48"/>
      <c r="L912" s="48"/>
      <c r="M912" s="48"/>
      <c r="N912" s="59"/>
      <c r="O912" s="59">
        <v>100000</v>
      </c>
      <c r="P912" s="59"/>
      <c r="Q912" s="268">
        <f t="shared" si="44"/>
        <v>100000</v>
      </c>
      <c r="R912" s="61">
        <f>IF(O912=0,0,SUMIFS(Disbursements!$T:$T,Disbursements!$B:$B,'Live Collections'!D912,Disbursements!$D:$D,'Live Collections'!F912))</f>
        <v>150000</v>
      </c>
      <c r="S912" s="304">
        <f>IF(O912&lt;=IF($O912=0,0,SUMIFS(Disbursements!$W:$W,Disbursements!$B:$B,'Live Collections'!D1564,Disbursements!$D:$D,'Live Collections'!F1564)),O912,IF($O912=0,0,SUMIFS(Disbursements!$W:$W,Disbursements!$B:$B,'Live Collections'!D1564,Disbursements!$D:$D,'Live Collections'!F1564)))</f>
        <v>0</v>
      </c>
      <c r="T912" s="304">
        <f t="shared" si="45"/>
        <v>100000</v>
      </c>
      <c r="U912" s="52"/>
      <c r="V912" s="34"/>
      <c r="W912" s="408"/>
    </row>
    <row r="913" spans="1:23" ht="12.75" customHeight="1" x14ac:dyDescent="0.2">
      <c r="A913" s="132">
        <v>890</v>
      </c>
      <c r="B913" s="44">
        <v>44453</v>
      </c>
      <c r="C913" s="44">
        <f t="shared" si="43"/>
        <v>44453</v>
      </c>
      <c r="D913" s="374">
        <v>140</v>
      </c>
      <c r="E913" s="291" t="str">
        <f>IFERROR(VLOOKUP($D913,'Clients-Live'!$A:$C,3,0),"")</f>
        <v>AYIKORU MARIAM</v>
      </c>
      <c r="F913" s="291">
        <f>IFERROR(INDEX(Disbursements!$D:$D,MATCH('Live Collections'!G913,Disbursements!$C:$C,0)),"")</f>
        <v>1</v>
      </c>
      <c r="G913" s="34">
        <v>125</v>
      </c>
      <c r="H913" s="34"/>
      <c r="I913" s="34" t="s">
        <v>1358</v>
      </c>
      <c r="J913" s="48"/>
      <c r="K913" s="48"/>
      <c r="L913" s="48"/>
      <c r="M913" s="48"/>
      <c r="N913" s="59"/>
      <c r="O913" s="59">
        <v>30000</v>
      </c>
      <c r="P913" s="59"/>
      <c r="Q913" s="268">
        <f t="shared" si="44"/>
        <v>30000</v>
      </c>
      <c r="R913" s="61">
        <f>IF(O913=0,0,SUMIFS(Disbursements!$T:$T,Disbursements!$B:$B,'Live Collections'!D913,Disbursements!$D:$D,'Live Collections'!F913))</f>
        <v>192000</v>
      </c>
      <c r="S913" s="304">
        <f>IF(O913&lt;=IF($O913=0,0,SUMIFS(Disbursements!$W:$W,Disbursements!$B:$B,'Live Collections'!D1768,Disbursements!$D:$D,'Live Collections'!F1768)),O913,IF($O913=0,0,SUMIFS(Disbursements!$W:$W,Disbursements!$B:$B,'Live Collections'!D1768,Disbursements!$D:$D,'Live Collections'!F1768)))</f>
        <v>25666.666666666672</v>
      </c>
      <c r="T913" s="304">
        <f t="shared" si="45"/>
        <v>4333.3333333333285</v>
      </c>
      <c r="U913" s="52"/>
      <c r="V913" s="34"/>
      <c r="W913" s="408"/>
    </row>
    <row r="914" spans="1:23" ht="12.75" customHeight="1" x14ac:dyDescent="0.2">
      <c r="A914" s="257">
        <v>896</v>
      </c>
      <c r="B914" s="44">
        <v>44453</v>
      </c>
      <c r="C914" s="44">
        <f t="shared" si="43"/>
        <v>44453</v>
      </c>
      <c r="D914" s="374">
        <v>165</v>
      </c>
      <c r="E914" s="291" t="str">
        <f>IFERROR(VLOOKUP($D914,'Clients-Live'!$A:$C,3,0),"")</f>
        <v>BOBOYA BRAN</v>
      </c>
      <c r="F914" s="291">
        <f>IFERROR(INDEX(Disbursements!$D:$D,MATCH('Live Collections'!G914,Disbursements!$C:$C,0)),"")</f>
        <v>1</v>
      </c>
      <c r="G914" s="34">
        <v>163</v>
      </c>
      <c r="H914" s="34"/>
      <c r="I914" s="34" t="s">
        <v>1357</v>
      </c>
      <c r="J914" s="48"/>
      <c r="K914" s="48"/>
      <c r="L914" s="48"/>
      <c r="M914" s="48"/>
      <c r="N914" s="59"/>
      <c r="O914" s="59">
        <v>100000</v>
      </c>
      <c r="P914" s="59"/>
      <c r="Q914" s="268">
        <f t="shared" si="44"/>
        <v>100000</v>
      </c>
      <c r="R914" s="61">
        <f>IF(O914=0,0,SUMIFS(Disbursements!$T:$T,Disbursements!$B:$B,'Live Collections'!D914,Disbursements!$D:$D,'Live Collections'!F914))</f>
        <v>210000</v>
      </c>
      <c r="S914" s="304">
        <f>IF(O914&lt;=IF($O914=0,0,SUMIFS(Disbursements!$W:$W,Disbursements!$B:$B,'Live Collections'!D2045,Disbursements!$D:$D,'Live Collections'!F2045)),O914,IF($O914=0,0,SUMIFS(Disbursements!$W:$W,Disbursements!$B:$B,'Live Collections'!D2045,Disbursements!$D:$D,'Live Collections'!F2045)))</f>
        <v>100000</v>
      </c>
      <c r="T914" s="304">
        <f t="shared" si="45"/>
        <v>0</v>
      </c>
      <c r="U914" s="52"/>
      <c r="V914" s="34"/>
      <c r="W914" s="408"/>
    </row>
    <row r="915" spans="1:23" ht="12.75" customHeight="1" x14ac:dyDescent="0.2">
      <c r="A915" s="132">
        <v>889</v>
      </c>
      <c r="B915" s="44">
        <v>44453</v>
      </c>
      <c r="C915" s="44">
        <f t="shared" si="43"/>
        <v>44453</v>
      </c>
      <c r="D915" s="374">
        <v>169</v>
      </c>
      <c r="E915" s="291" t="str">
        <f>IFERROR(VLOOKUP($D915,'Clients-Live'!$A:$C,3,0),"")</f>
        <v>KATO KENNEDY</v>
      </c>
      <c r="F915" s="291">
        <f>IFERROR(INDEX(Disbursements!$D:$D,MATCH('Live Collections'!G915,Disbursements!$C:$C,0)),"")</f>
        <v>1</v>
      </c>
      <c r="G915" s="34">
        <v>176</v>
      </c>
      <c r="H915" s="34">
        <v>1389</v>
      </c>
      <c r="I915" s="34" t="s">
        <v>1357</v>
      </c>
      <c r="J915" s="48"/>
      <c r="K915" s="48"/>
      <c r="L915" s="48"/>
      <c r="M915" s="48"/>
      <c r="N915" s="59"/>
      <c r="O915" s="59">
        <v>120000</v>
      </c>
      <c r="P915" s="59"/>
      <c r="Q915" s="268">
        <f t="shared" si="44"/>
        <v>120000</v>
      </c>
      <c r="R915" s="61">
        <f>IF(O915=0,0,SUMIFS(Disbursements!$T:$T,Disbursements!$B:$B,'Live Collections'!D915,Disbursements!$D:$D,'Live Collections'!F915))</f>
        <v>109000</v>
      </c>
      <c r="S915" s="304">
        <f>IF(O915&lt;=IF($O915=0,0,SUMIFS(Disbursements!$W:$W,Disbursements!$B:$B,'Live Collections'!D2081,Disbursements!$D:$D,'Live Collections'!F2081)),O915,IF($O915=0,0,SUMIFS(Disbursements!$W:$W,Disbursements!$B:$B,'Live Collections'!D2081,Disbursements!$D:$D,'Live Collections'!F2081)))</f>
        <v>10333.333333333328</v>
      </c>
      <c r="T915" s="304">
        <f t="shared" si="45"/>
        <v>109666.66666666667</v>
      </c>
      <c r="U915" s="52"/>
      <c r="V915" s="34"/>
      <c r="W915" s="408"/>
    </row>
    <row r="916" spans="1:23" ht="12.75" customHeight="1" x14ac:dyDescent="0.2">
      <c r="A916" s="257">
        <v>901</v>
      </c>
      <c r="B916" s="44">
        <v>44453</v>
      </c>
      <c r="C916" s="44">
        <f t="shared" si="43"/>
        <v>44453</v>
      </c>
      <c r="D916" s="374">
        <v>174</v>
      </c>
      <c r="E916" s="291" t="str">
        <f>IFERROR(VLOOKUP($D916,'Clients-Live'!$A:$C,3,0),"")</f>
        <v>METALORO   MOSES</v>
      </c>
      <c r="F916" s="291">
        <f>IFERROR(INDEX(Disbursements!$D:$D,MATCH('Live Collections'!G916,Disbursements!$C:$C,0)),"")</f>
        <v>1</v>
      </c>
      <c r="G916" s="34">
        <v>162</v>
      </c>
      <c r="H916" s="34"/>
      <c r="I916" s="34" t="s">
        <v>1358</v>
      </c>
      <c r="J916" s="48"/>
      <c r="K916" s="48"/>
      <c r="L916" s="48"/>
      <c r="M916" s="48"/>
      <c r="N916" s="59"/>
      <c r="O916" s="59">
        <v>137500</v>
      </c>
      <c r="P916" s="59"/>
      <c r="Q916" s="268">
        <f t="shared" si="44"/>
        <v>137500</v>
      </c>
      <c r="R916" s="61">
        <f>IF(O916=0,0,SUMIFS(Disbursements!$T:$T,Disbursements!$B:$B,'Live Collections'!D916,Disbursements!$D:$D,'Live Collections'!F916))</f>
        <v>138000</v>
      </c>
      <c r="S916" s="304">
        <f>IF(O916&lt;=IF($O916=0,0,SUMIFS(Disbursements!$W:$W,Disbursements!$B:$B,'Live Collections'!D2136,Disbursements!$D:$D,'Live Collections'!F2136)),O916,IF($O916=0,0,SUMIFS(Disbursements!$W:$W,Disbursements!$B:$B,'Live Collections'!D2136,Disbursements!$D:$D,'Live Collections'!F2136)))</f>
        <v>25000</v>
      </c>
      <c r="T916" s="304">
        <f t="shared" si="45"/>
        <v>112500</v>
      </c>
      <c r="U916" s="52"/>
      <c r="V916" s="34"/>
      <c r="W916" s="408"/>
    </row>
    <row r="917" spans="1:23" ht="12.75" customHeight="1" x14ac:dyDescent="0.2">
      <c r="A917" s="132">
        <v>902</v>
      </c>
      <c r="B917" s="44">
        <v>44453</v>
      </c>
      <c r="C917" s="44">
        <f t="shared" si="43"/>
        <v>44453</v>
      </c>
      <c r="D917" s="374">
        <v>179</v>
      </c>
      <c r="E917" s="291" t="str">
        <f>IFERROR(VLOOKUP($D917,'Clients-Live'!$A:$C,3,0),"")</f>
        <v>GERIA VIOLA</v>
      </c>
      <c r="F917" s="291">
        <f>IFERROR(INDEX(Disbursements!$D:$D,MATCH('Live Collections'!G917,Disbursements!$C:$C,0)),"")</f>
        <v>1</v>
      </c>
      <c r="G917" s="34">
        <v>167</v>
      </c>
      <c r="H917" s="34"/>
      <c r="I917" s="34" t="s">
        <v>1359</v>
      </c>
      <c r="J917" s="48"/>
      <c r="K917" s="48"/>
      <c r="L917" s="48"/>
      <c r="M917" s="48"/>
      <c r="N917" s="59"/>
      <c r="O917" s="59">
        <v>55000</v>
      </c>
      <c r="P917" s="59"/>
      <c r="Q917" s="268">
        <f t="shared" si="44"/>
        <v>55000</v>
      </c>
      <c r="R917" s="61">
        <f>IF(O917=0,0,SUMIFS(Disbursements!$T:$T,Disbursements!$B:$B,'Live Collections'!D917,Disbursements!$D:$D,'Live Collections'!F917))</f>
        <v>115000</v>
      </c>
      <c r="S917" s="304">
        <f>IF(O917&lt;=IF($O917=0,0,SUMIFS(Disbursements!$W:$W,Disbursements!$B:$B,'Live Collections'!D2187,Disbursements!$D:$D,'Live Collections'!F2187)),O917,IF($O917=0,0,SUMIFS(Disbursements!$W:$W,Disbursements!$B:$B,'Live Collections'!D2187,Disbursements!$D:$D,'Live Collections'!F2187)))</f>
        <v>15000</v>
      </c>
      <c r="T917" s="304">
        <f t="shared" si="45"/>
        <v>40000</v>
      </c>
      <c r="U917" s="52"/>
      <c r="V917" s="34"/>
      <c r="W917" s="408"/>
    </row>
    <row r="918" spans="1:23" ht="12.75" customHeight="1" x14ac:dyDescent="0.2">
      <c r="A918" s="257">
        <v>903</v>
      </c>
      <c r="B918" s="44">
        <v>44453</v>
      </c>
      <c r="C918" s="44">
        <f t="shared" si="43"/>
        <v>44453</v>
      </c>
      <c r="D918" s="374">
        <v>215</v>
      </c>
      <c r="E918" s="291" t="str">
        <f>IFERROR(VLOOKUP($D918,'Clients-Live'!$A:$C,3,0),"")</f>
        <v>BRANI MUSA</v>
      </c>
      <c r="F918" s="291" t="str">
        <f>IFERROR(INDEX(Disbursements!$D:$D,MATCH('Live Collections'!G918,Disbursements!$C:$C,0)),"")</f>
        <v/>
      </c>
      <c r="G918" s="34"/>
      <c r="H918" s="34"/>
      <c r="I918" s="34" t="s">
        <v>1357</v>
      </c>
      <c r="J918" s="48"/>
      <c r="K918" s="48"/>
      <c r="L918" s="48"/>
      <c r="M918" s="48"/>
      <c r="N918" s="59"/>
      <c r="O918" s="59"/>
      <c r="P918" s="59">
        <v>90000</v>
      </c>
      <c r="Q918" s="268">
        <f t="shared" si="44"/>
        <v>90000</v>
      </c>
      <c r="R918" s="61">
        <f>IF(O918=0,0,SUMIFS(Disbursements!$T:$T,Disbursements!$B:$B,'Live Collections'!D918,Disbursements!$D:$D,'Live Collections'!F918))</f>
        <v>0</v>
      </c>
      <c r="S918" s="304">
        <f>IF(O918&lt;=IF($O918=0,0,SUMIFS(Disbursements!$W:$W,Disbursements!$B:$B,'Live Collections'!D2527,Disbursements!$D:$D,'Live Collections'!F2527)),O918,IF($O918=0,0,SUMIFS(Disbursements!$W:$W,Disbursements!$B:$B,'Live Collections'!D2527,Disbursements!$D:$D,'Live Collections'!F2527)))</f>
        <v>0</v>
      </c>
      <c r="T918" s="304">
        <f t="shared" si="45"/>
        <v>0</v>
      </c>
      <c r="U918" s="52"/>
      <c r="V918" s="34"/>
      <c r="W918" s="408"/>
    </row>
    <row r="919" spans="1:23" ht="12.75" customHeight="1" x14ac:dyDescent="0.2">
      <c r="A919" s="132">
        <v>920</v>
      </c>
      <c r="B919" s="44">
        <v>44454</v>
      </c>
      <c r="C919" s="44">
        <f t="shared" si="43"/>
        <v>44454</v>
      </c>
      <c r="D919" s="374">
        <v>30</v>
      </c>
      <c r="E919" s="291" t="str">
        <f>IFERROR(VLOOKUP($D919,'Clients-Live'!$A:$C,3,0),"")</f>
        <v>SITARAYA PATRICIA IDERU</v>
      </c>
      <c r="F919" s="291">
        <f>IFERROR(INDEX(Disbursements!$D:$D,MATCH('Live Collections'!G919,Disbursements!$C:$C,0)),"")</f>
        <v>1</v>
      </c>
      <c r="G919" s="34">
        <v>18</v>
      </c>
      <c r="H919" s="34"/>
      <c r="I919" s="34" t="s">
        <v>1358</v>
      </c>
      <c r="J919" s="48"/>
      <c r="K919" s="48"/>
      <c r="L919" s="48"/>
      <c r="M919" s="48"/>
      <c r="N919" s="59"/>
      <c r="O919" s="59">
        <v>20000</v>
      </c>
      <c r="P919" s="59"/>
      <c r="Q919" s="268">
        <f t="shared" si="44"/>
        <v>20000</v>
      </c>
      <c r="R919" s="61">
        <f>IF(O919=0,0,SUMIFS(Disbursements!$T:$T,Disbursements!$B:$B,'Live Collections'!D919,Disbursements!$D:$D,'Live Collections'!F919))</f>
        <v>120000</v>
      </c>
      <c r="S919" s="304"/>
      <c r="T919" s="304">
        <f t="shared" si="45"/>
        <v>20000</v>
      </c>
      <c r="U919" s="52"/>
      <c r="V919" s="34"/>
      <c r="W919" s="408"/>
    </row>
    <row r="920" spans="1:23" ht="12.75" customHeight="1" x14ac:dyDescent="0.2">
      <c r="A920" s="257">
        <v>921</v>
      </c>
      <c r="B920" s="44">
        <v>44454</v>
      </c>
      <c r="C920" s="44">
        <f t="shared" si="43"/>
        <v>44454</v>
      </c>
      <c r="D920" s="374">
        <v>50</v>
      </c>
      <c r="E920" s="291" t="str">
        <f>IFERROR(VLOOKUP($D920,'Clients-Live'!$A:$C,3,0),"")</f>
        <v>WACHEKE HARRIET</v>
      </c>
      <c r="F920" s="291">
        <f>IFERROR(INDEX(Disbursements!$D:$D,MATCH('Live Collections'!G920,Disbursements!$C:$C,0)),"")</f>
        <v>2</v>
      </c>
      <c r="G920" s="34">
        <v>220</v>
      </c>
      <c r="H920" s="34"/>
      <c r="I920" s="34" t="s">
        <v>1359</v>
      </c>
      <c r="J920" s="48"/>
      <c r="K920" s="48"/>
      <c r="L920" s="48">
        <v>10000</v>
      </c>
      <c r="M920" s="48">
        <v>5000</v>
      </c>
      <c r="N920" s="59"/>
      <c r="O920" s="59"/>
      <c r="P920" s="59">
        <v>40000</v>
      </c>
      <c r="Q920" s="268">
        <f t="shared" si="44"/>
        <v>55000</v>
      </c>
      <c r="R920" s="61">
        <f>IF(O920=0,0,SUMIFS(Disbursements!$T:$T,Disbursements!$B:$B,'Live Collections'!D920,Disbursements!$D:$D,'Live Collections'!F920))</f>
        <v>0</v>
      </c>
      <c r="S920" s="304">
        <f>IF(O920&lt;=IF($O920=0,0,SUMIFS(Disbursements!$W:$W,Disbursements!$B:$B,'Live Collections'!D573,Disbursements!$D:$D,'Live Collections'!F573)),O920,IF($O920=0,0,SUMIFS(Disbursements!$W:$W,Disbursements!$B:$B,'Live Collections'!D573,Disbursements!$D:$D,'Live Collections'!F573)))</f>
        <v>0</v>
      </c>
      <c r="T920" s="304">
        <f t="shared" si="45"/>
        <v>0</v>
      </c>
      <c r="U920" s="52"/>
      <c r="V920" s="34"/>
      <c r="W920" s="408"/>
    </row>
    <row r="921" spans="1:23" ht="12.75" customHeight="1" x14ac:dyDescent="0.2">
      <c r="A921" s="132">
        <v>907</v>
      </c>
      <c r="B921" s="44">
        <v>44454</v>
      </c>
      <c r="C921" s="44">
        <f t="shared" si="43"/>
        <v>44454</v>
      </c>
      <c r="D921" s="374">
        <v>65</v>
      </c>
      <c r="E921" s="291" t="str">
        <f>IFERROR(VLOOKUP($D921,'Clients-Live'!$A:$C,3,0),"")</f>
        <v>NDAWULA GERALD</v>
      </c>
      <c r="F921" s="291">
        <f>IFERROR(INDEX(Disbursements!$D:$D,MATCH('Live Collections'!G921,Disbursements!$C:$C,0)),"")</f>
        <v>1</v>
      </c>
      <c r="G921" s="34">
        <v>47</v>
      </c>
      <c r="H921" s="34"/>
      <c r="I921" s="34" t="s">
        <v>1359</v>
      </c>
      <c r="J921" s="48"/>
      <c r="K921" s="48"/>
      <c r="L921" s="48"/>
      <c r="M921" s="48"/>
      <c r="N921" s="59"/>
      <c r="O921" s="59">
        <v>140000</v>
      </c>
      <c r="P921" s="59"/>
      <c r="Q921" s="268">
        <f t="shared" si="44"/>
        <v>140000</v>
      </c>
      <c r="R921" s="61">
        <f>IF(O921=0,0,SUMIFS(Disbursements!$T:$T,Disbursements!$B:$B,'Live Collections'!D921,Disbursements!$D:$D,'Live Collections'!F921))</f>
        <v>217000</v>
      </c>
      <c r="S921" s="304">
        <f>IF(O921&lt;=IF($O921=0,0,SUMIFS(Disbursements!$W:$W,Disbursements!$B:$B,'Live Collections'!D778,Disbursements!$D:$D,'Live Collections'!F778)),O921,IF($O921=0,0,SUMIFS(Disbursements!$W:$W,Disbursements!$B:$B,'Live Collections'!D778,Disbursements!$D:$D,'Live Collections'!F778)))</f>
        <v>13000</v>
      </c>
      <c r="T921" s="304">
        <f t="shared" si="45"/>
        <v>127000</v>
      </c>
      <c r="U921" s="52"/>
      <c r="V921" s="34"/>
      <c r="W921" s="408"/>
    </row>
    <row r="922" spans="1:23" ht="12.75" customHeight="1" x14ac:dyDescent="0.2">
      <c r="A922" s="257">
        <v>908</v>
      </c>
      <c r="B922" s="44">
        <v>44454</v>
      </c>
      <c r="C922" s="44">
        <f t="shared" si="43"/>
        <v>44454</v>
      </c>
      <c r="D922" s="374">
        <v>66</v>
      </c>
      <c r="E922" s="291" t="str">
        <f>IFERROR(VLOOKUP($D922,'Clients-Live'!$A:$C,3,0),"")</f>
        <v>DENAYA NYAMAZA</v>
      </c>
      <c r="F922" s="291">
        <f>IFERROR(INDEX(Disbursements!$D:$D,MATCH('Live Collections'!G922,Disbursements!$C:$C,0)),"")</f>
        <v>1</v>
      </c>
      <c r="G922" s="34">
        <v>53</v>
      </c>
      <c r="H922" s="34"/>
      <c r="I922" s="34" t="s">
        <v>1357</v>
      </c>
      <c r="J922" s="48"/>
      <c r="K922" s="48"/>
      <c r="L922" s="48"/>
      <c r="M922" s="48"/>
      <c r="N922" s="59"/>
      <c r="O922" s="59">
        <v>120000</v>
      </c>
      <c r="P922" s="59"/>
      <c r="Q922" s="268">
        <f t="shared" si="44"/>
        <v>120000</v>
      </c>
      <c r="R922" s="61">
        <f>IF(O922=0,0,SUMIFS(Disbursements!$T:$T,Disbursements!$B:$B,'Live Collections'!D922,Disbursements!$D:$D,'Live Collections'!F922))</f>
        <v>109000</v>
      </c>
      <c r="S922" s="304">
        <f>IF(O922&lt;=IF($O922=0,0,SUMIFS(Disbursements!$W:$W,Disbursements!$B:$B,'Live Collections'!D1489,Disbursements!$D:$D,'Live Collections'!F1489)),O922,IF($O922=0,0,SUMIFS(Disbursements!$W:$W,Disbursements!$B:$B,'Live Collections'!D1489,Disbursements!$D:$D,'Live Collections'!F1489)))</f>
        <v>120000</v>
      </c>
      <c r="T922" s="304">
        <f t="shared" si="45"/>
        <v>0</v>
      </c>
      <c r="U922" s="52"/>
      <c r="V922" s="34"/>
      <c r="W922" s="408"/>
    </row>
    <row r="923" spans="1:23" ht="12.75" customHeight="1" x14ac:dyDescent="0.2">
      <c r="A923" s="132">
        <v>914</v>
      </c>
      <c r="B923" s="44">
        <v>44454</v>
      </c>
      <c r="C923" s="44">
        <f t="shared" si="43"/>
        <v>44454</v>
      </c>
      <c r="D923" s="374">
        <v>70</v>
      </c>
      <c r="E923" s="291" t="str">
        <f>IFERROR(VLOOKUP($D923,'Clients-Live'!$A:$C,3,0),"")</f>
        <v>BUGA ALIKIA PHILLIP</v>
      </c>
      <c r="F923" s="291">
        <f>IFERROR(INDEX(Disbursements!$D:$D,MATCH('Live Collections'!G923,Disbursements!$C:$C,0)),"")</f>
        <v>1</v>
      </c>
      <c r="G923" s="34">
        <v>52</v>
      </c>
      <c r="H923" s="34"/>
      <c r="I923" s="34" t="s">
        <v>1358</v>
      </c>
      <c r="J923" s="48"/>
      <c r="K923" s="48"/>
      <c r="L923" s="48"/>
      <c r="M923" s="48"/>
      <c r="N923" s="59"/>
      <c r="O923" s="59">
        <v>160000</v>
      </c>
      <c r="P923" s="59"/>
      <c r="Q923" s="268">
        <f t="shared" si="44"/>
        <v>160000</v>
      </c>
      <c r="R923" s="61">
        <f>IF(O923=0,0,SUMIFS(Disbursements!$T:$T,Disbursements!$B:$B,'Live Collections'!D923,Disbursements!$D:$D,'Live Collections'!F923))</f>
        <v>174000</v>
      </c>
      <c r="S923" s="304">
        <f>IF(O923&lt;=IF($O923=0,0,SUMIFS(Disbursements!$W:$W,Disbursements!$B:$B,'Live Collections'!D872,Disbursements!$D:$D,'Live Collections'!F872)),O923,IF($O923=0,0,SUMIFS(Disbursements!$W:$W,Disbursements!$B:$B,'Live Collections'!D872,Disbursements!$D:$D,'Live Collections'!F872)))</f>
        <v>30000</v>
      </c>
      <c r="T923" s="304">
        <f t="shared" si="45"/>
        <v>130000</v>
      </c>
      <c r="U923" s="52"/>
      <c r="V923" s="34"/>
      <c r="W923" s="408"/>
    </row>
    <row r="924" spans="1:23" ht="12.75" customHeight="1" x14ac:dyDescent="0.2">
      <c r="A924" s="257">
        <v>913</v>
      </c>
      <c r="B924" s="44">
        <v>44454</v>
      </c>
      <c r="C924" s="44">
        <f t="shared" si="43"/>
        <v>44454</v>
      </c>
      <c r="D924" s="374">
        <v>71</v>
      </c>
      <c r="E924" s="291" t="str">
        <f>IFERROR(VLOOKUP($D924,'Clients-Live'!$A:$C,3,0),"")</f>
        <v>AYIKORU HARIET BAUDI</v>
      </c>
      <c r="F924" s="291">
        <f>IFERROR(INDEX(Disbursements!$D:$D,MATCH('Live Collections'!G924,Disbursements!$C:$C,0)),"")</f>
        <v>1</v>
      </c>
      <c r="G924" s="34">
        <v>56</v>
      </c>
      <c r="H924" s="34"/>
      <c r="I924" s="34" t="s">
        <v>1359</v>
      </c>
      <c r="J924" s="48"/>
      <c r="K924" s="48"/>
      <c r="L924" s="48"/>
      <c r="M924" s="48"/>
      <c r="N924" s="59"/>
      <c r="O924" s="59">
        <v>325000</v>
      </c>
      <c r="P924" s="59"/>
      <c r="Q924" s="268">
        <f t="shared" si="44"/>
        <v>325000</v>
      </c>
      <c r="R924" s="61">
        <f>IF(O924=0,0,SUMIFS(Disbursements!$T:$T,Disbursements!$B:$B,'Live Collections'!D924,Disbursements!$D:$D,'Live Collections'!F924))</f>
        <v>325000</v>
      </c>
      <c r="S924" s="304">
        <f>IF(O924&lt;=IF($O924=0,0,SUMIFS(Disbursements!$W:$W,Disbursements!$B:$B,'Live Collections'!D889,Disbursements!$D:$D,'Live Collections'!F889)),O924,IF($O924=0,0,SUMIFS(Disbursements!$W:$W,Disbursements!$B:$B,'Live Collections'!D889,Disbursements!$D:$D,'Live Collections'!F889)))</f>
        <v>15000</v>
      </c>
      <c r="T924" s="304">
        <f t="shared" si="45"/>
        <v>310000</v>
      </c>
      <c r="U924" s="52"/>
      <c r="V924" s="34"/>
      <c r="W924" s="408"/>
    </row>
    <row r="925" spans="1:23" ht="12.75" customHeight="1" x14ac:dyDescent="0.2">
      <c r="A925" s="132">
        <v>910</v>
      </c>
      <c r="B925" s="44">
        <v>44454</v>
      </c>
      <c r="C925" s="44">
        <f t="shared" si="43"/>
        <v>44454</v>
      </c>
      <c r="D925" s="374">
        <v>72</v>
      </c>
      <c r="E925" s="291" t="str">
        <f>IFERROR(VLOOKUP($D925,'Clients-Live'!$A:$C,3,0),"")</f>
        <v>MUNDURU MERCY</v>
      </c>
      <c r="F925" s="291">
        <f>IFERROR(INDEX(Disbursements!$D:$D,MATCH('Live Collections'!G925,Disbursements!$C:$C,0)),"")</f>
        <v>1</v>
      </c>
      <c r="G925" s="34">
        <v>57</v>
      </c>
      <c r="H925" s="34"/>
      <c r="I925" s="34" t="s">
        <v>1358</v>
      </c>
      <c r="J925" s="48"/>
      <c r="K925" s="48"/>
      <c r="L925" s="48"/>
      <c r="M925" s="48"/>
      <c r="N925" s="59"/>
      <c r="O925" s="59">
        <v>216700</v>
      </c>
      <c r="P925" s="59"/>
      <c r="Q925" s="268">
        <f t="shared" si="44"/>
        <v>216700</v>
      </c>
      <c r="R925" s="61">
        <f>IF(O925=0,0,SUMIFS(Disbursements!$T:$T,Disbursements!$B:$B,'Live Collections'!D925,Disbursements!$D:$D,'Live Collections'!F925))</f>
        <v>217000</v>
      </c>
      <c r="S925" s="304">
        <f>IF(O925&lt;=IF($O925=0,0,SUMIFS(Disbursements!$W:$W,Disbursements!$B:$B,'Live Collections'!D907,Disbursements!$D:$D,'Live Collections'!F907)),O925,IF($O925=0,0,SUMIFS(Disbursements!$W:$W,Disbursements!$B:$B,'Live Collections'!D907,Disbursements!$D:$D,'Live Collections'!F907)))</f>
        <v>25000</v>
      </c>
      <c r="T925" s="304">
        <f t="shared" si="45"/>
        <v>191700</v>
      </c>
      <c r="U925" s="52"/>
      <c r="V925" s="34"/>
      <c r="W925" s="408"/>
    </row>
    <row r="926" spans="1:23" ht="12.75" customHeight="1" x14ac:dyDescent="0.2">
      <c r="A926" s="257">
        <v>904</v>
      </c>
      <c r="B926" s="44">
        <v>44454</v>
      </c>
      <c r="C926" s="44">
        <f t="shared" si="43"/>
        <v>44454</v>
      </c>
      <c r="D926" s="374">
        <v>73</v>
      </c>
      <c r="E926" s="291" t="str">
        <f>IFERROR(VLOOKUP($D926,'Clients-Live'!$A:$C,3,0),"")</f>
        <v>AJONYE DEBORA</v>
      </c>
      <c r="F926" s="291">
        <f>IFERROR(INDEX(Disbursements!$D:$D,MATCH('Live Collections'!G926,Disbursements!$C:$C,0)),"")</f>
        <v>1</v>
      </c>
      <c r="G926" s="34">
        <v>54</v>
      </c>
      <c r="H926" s="34"/>
      <c r="I926" s="34" t="s">
        <v>1357</v>
      </c>
      <c r="J926" s="48"/>
      <c r="K926" s="48"/>
      <c r="L926" s="48"/>
      <c r="M926" s="48"/>
      <c r="N926" s="59"/>
      <c r="O926" s="59">
        <v>150000</v>
      </c>
      <c r="P926" s="59"/>
      <c r="Q926" s="268">
        <f t="shared" si="44"/>
        <v>150000</v>
      </c>
      <c r="R926" s="61">
        <f>IF(O926=0,0,SUMIFS(Disbursements!$T:$T,Disbursements!$B:$B,'Live Collections'!D926,Disbursements!$D:$D,'Live Collections'!F926))</f>
        <v>150000</v>
      </c>
      <c r="S926" s="304">
        <f>IF(O926&lt;=IF($O926=0,0,SUMIFS(Disbursements!$W:$W,Disbursements!$B:$B,'Live Collections'!D921,Disbursements!$D:$D,'Live Collections'!F921)),O926,IF($O926=0,0,SUMIFS(Disbursements!$W:$W,Disbursements!$B:$B,'Live Collections'!D921,Disbursements!$D:$D,'Live Collections'!F921)))</f>
        <v>50333.333333333343</v>
      </c>
      <c r="T926" s="304">
        <f t="shared" si="45"/>
        <v>99666.666666666657</v>
      </c>
      <c r="U926" s="52"/>
      <c r="V926" s="34"/>
      <c r="W926" s="408"/>
    </row>
    <row r="927" spans="1:23" ht="12.75" customHeight="1" x14ac:dyDescent="0.2">
      <c r="A927" s="132">
        <v>912</v>
      </c>
      <c r="B927" s="44">
        <v>44454</v>
      </c>
      <c r="C927" s="44">
        <f t="shared" si="43"/>
        <v>44454</v>
      </c>
      <c r="D927" s="374">
        <v>74</v>
      </c>
      <c r="E927" s="291" t="str">
        <f>IFERROR(VLOOKUP($D927,'Clients-Live'!$A:$C,3,0),"")</f>
        <v>YUKUWE AISHA</v>
      </c>
      <c r="F927" s="291">
        <f>IFERROR(INDEX(Disbursements!$D:$D,MATCH('Live Collections'!G927,Disbursements!$C:$C,0)),"")</f>
        <v>1</v>
      </c>
      <c r="G927" s="34">
        <v>59</v>
      </c>
      <c r="H927" s="34">
        <v>1414</v>
      </c>
      <c r="I927" s="34" t="s">
        <v>1358</v>
      </c>
      <c r="J927" s="48"/>
      <c r="K927" s="48"/>
      <c r="L927" s="48"/>
      <c r="M927" s="48"/>
      <c r="N927" s="59"/>
      <c r="O927" s="59">
        <v>90000</v>
      </c>
      <c r="P927" s="59"/>
      <c r="Q927" s="268">
        <f t="shared" si="44"/>
        <v>90000</v>
      </c>
      <c r="R927" s="61">
        <f>IF(O927=0,0,SUMIFS(Disbursements!$T:$T,Disbursements!$B:$B,'Live Collections'!D927,Disbursements!$D:$D,'Live Collections'!F927))</f>
        <v>90000</v>
      </c>
      <c r="S927" s="304"/>
      <c r="T927" s="304">
        <f t="shared" si="45"/>
        <v>90000</v>
      </c>
      <c r="U927" s="52"/>
      <c r="V927" s="34"/>
      <c r="W927" s="408"/>
    </row>
    <row r="928" spans="1:23" ht="12.75" customHeight="1" x14ac:dyDescent="0.2">
      <c r="A928" s="257">
        <v>917</v>
      </c>
      <c r="B928" s="44">
        <v>44454</v>
      </c>
      <c r="C928" s="44">
        <f t="shared" si="43"/>
        <v>44454</v>
      </c>
      <c r="D928" s="374">
        <v>92</v>
      </c>
      <c r="E928" s="291" t="str">
        <f>IFERROR(VLOOKUP($D928,'Clients-Live'!$A:$C,3,0),"")</f>
        <v>FAIDA ZAKIYA</v>
      </c>
      <c r="F928" s="291">
        <f>IFERROR(INDEX(Disbursements!$D:$D,MATCH('Live Collections'!G928,Disbursements!$C:$C,0)),"")</f>
        <v>1</v>
      </c>
      <c r="G928" s="34">
        <v>74</v>
      </c>
      <c r="H928" s="34"/>
      <c r="I928" s="34" t="s">
        <v>1358</v>
      </c>
      <c r="J928" s="48"/>
      <c r="K928" s="48"/>
      <c r="L928" s="48"/>
      <c r="M928" s="48"/>
      <c r="N928" s="59"/>
      <c r="O928" s="59">
        <v>40000</v>
      </c>
      <c r="P928" s="59"/>
      <c r="Q928" s="268">
        <f t="shared" si="44"/>
        <v>40000</v>
      </c>
      <c r="R928" s="61">
        <f>IF(O928=0,0,SUMIFS(Disbursements!$T:$T,Disbursements!$B:$B,'Live Collections'!D928,Disbursements!$D:$D,'Live Collections'!F928))</f>
        <v>175000</v>
      </c>
      <c r="S928" s="304">
        <f>IF(O928&lt;=IF($O928=0,0,SUMIFS(Disbursements!$W:$W,Disbursements!$B:$B,'Live Collections'!D1199,Disbursements!$D:$D,'Live Collections'!F1199)),O928,IF($O928=0,0,SUMIFS(Disbursements!$W:$W,Disbursements!$B:$B,'Live Collections'!D1199,Disbursements!$D:$D,'Live Collections'!F1199)))</f>
        <v>0</v>
      </c>
      <c r="T928" s="304">
        <f t="shared" si="45"/>
        <v>40000</v>
      </c>
      <c r="U928" s="52"/>
      <c r="V928" s="34"/>
      <c r="W928" s="408"/>
    </row>
    <row r="929" spans="1:23" ht="12.75" customHeight="1" x14ac:dyDescent="0.2">
      <c r="A929" s="132">
        <v>909</v>
      </c>
      <c r="B929" s="44">
        <v>44454</v>
      </c>
      <c r="C929" s="44">
        <f t="shared" si="43"/>
        <v>44454</v>
      </c>
      <c r="D929" s="374">
        <v>95</v>
      </c>
      <c r="E929" s="291" t="str">
        <f>IFERROR(VLOOKUP($D929,'Clients-Live'!$A:$C,3,0),"")</f>
        <v>MUNDURU SIFA</v>
      </c>
      <c r="F929" s="291">
        <f>IFERROR(INDEX(Disbursements!$D:$D,MATCH('Live Collections'!G929,Disbursements!$C:$C,0)),"")</f>
        <v>1</v>
      </c>
      <c r="G929" s="34">
        <v>76</v>
      </c>
      <c r="H929" s="34"/>
      <c r="I929" s="34" t="s">
        <v>1357</v>
      </c>
      <c r="J929" s="48"/>
      <c r="K929" s="48"/>
      <c r="L929" s="48"/>
      <c r="M929" s="48"/>
      <c r="N929" s="59"/>
      <c r="O929" s="59">
        <v>30000</v>
      </c>
      <c r="P929" s="59"/>
      <c r="Q929" s="268">
        <f t="shared" si="44"/>
        <v>30000</v>
      </c>
      <c r="R929" s="61">
        <f>IF(O929=0,0,SUMIFS(Disbursements!$T:$T,Disbursements!$B:$B,'Live Collections'!D929,Disbursements!$D:$D,'Live Collections'!F929))</f>
        <v>175000</v>
      </c>
      <c r="S929" s="304">
        <f>IF(O929&lt;=IF($O929=0,0,SUMIFS(Disbursements!$W:$W,Disbursements!$B:$B,'Live Collections'!D1226,Disbursements!$D:$D,'Live Collections'!F1226)),O929,IF($O929=0,0,SUMIFS(Disbursements!$W:$W,Disbursements!$B:$B,'Live Collections'!D1226,Disbursements!$D:$D,'Live Collections'!F1226)))</f>
        <v>0</v>
      </c>
      <c r="T929" s="304">
        <f t="shared" si="45"/>
        <v>30000</v>
      </c>
      <c r="U929" s="52"/>
      <c r="V929" s="34"/>
      <c r="W929" s="408"/>
    </row>
    <row r="930" spans="1:23" ht="12.75" customHeight="1" x14ac:dyDescent="0.2">
      <c r="A930" s="257">
        <v>905</v>
      </c>
      <c r="B930" s="44">
        <v>44454</v>
      </c>
      <c r="C930" s="44">
        <f t="shared" si="43"/>
        <v>44454</v>
      </c>
      <c r="D930" s="374">
        <v>116</v>
      </c>
      <c r="E930" s="291" t="str">
        <f>IFERROR(VLOOKUP($D930,'Clients-Live'!$A:$C,3,0),"")</f>
        <v>ONZIA LUCY</v>
      </c>
      <c r="F930" s="291">
        <f>IFERROR(INDEX(Disbursements!$D:$D,MATCH('Live Collections'!G930,Disbursements!$C:$C,0)),"")</f>
        <v>1</v>
      </c>
      <c r="G930" s="34">
        <v>95</v>
      </c>
      <c r="H930" s="34"/>
      <c r="I930" s="34" t="s">
        <v>1357</v>
      </c>
      <c r="J930" s="48"/>
      <c r="K930" s="48"/>
      <c r="L930" s="48"/>
      <c r="M930" s="48"/>
      <c r="N930" s="59"/>
      <c r="O930" s="59">
        <v>43000</v>
      </c>
      <c r="P930" s="59"/>
      <c r="Q930" s="268">
        <f t="shared" si="44"/>
        <v>43000</v>
      </c>
      <c r="R930" s="61">
        <f>IF(O930=0,0,SUMIFS(Disbursements!$T:$T,Disbursements!$B:$B,'Live Collections'!D930,Disbursements!$D:$D,'Live Collections'!F930))</f>
        <v>20000</v>
      </c>
      <c r="S930" s="304"/>
      <c r="T930" s="304">
        <f t="shared" si="45"/>
        <v>43000</v>
      </c>
      <c r="U930" s="52"/>
      <c r="V930" s="34"/>
      <c r="W930" s="408"/>
    </row>
    <row r="931" spans="1:23" ht="12.75" customHeight="1" x14ac:dyDescent="0.2">
      <c r="A931" s="132">
        <v>915</v>
      </c>
      <c r="B931" s="44">
        <v>44454</v>
      </c>
      <c r="C931" s="44">
        <f t="shared" si="43"/>
        <v>44454</v>
      </c>
      <c r="D931" s="374">
        <v>116</v>
      </c>
      <c r="E931" s="291" t="str">
        <f>IFERROR(VLOOKUP($D931,'Clients-Live'!$A:$C,3,0),"")</f>
        <v>ONZIA LUCY</v>
      </c>
      <c r="F931" s="291">
        <f>IFERROR(INDEX(Disbursements!$D:$D,MATCH('Live Collections'!G931,Disbursements!$C:$C,0)),"")</f>
        <v>1</v>
      </c>
      <c r="G931" s="34">
        <v>95</v>
      </c>
      <c r="H931" s="34"/>
      <c r="I931" s="34" t="s">
        <v>1357</v>
      </c>
      <c r="J931" s="48"/>
      <c r="K931" s="48"/>
      <c r="L931" s="48"/>
      <c r="M931" s="48"/>
      <c r="N931" s="59"/>
      <c r="O931" s="59">
        <v>29000</v>
      </c>
      <c r="P931" s="59"/>
      <c r="Q931" s="268">
        <f t="shared" si="44"/>
        <v>29000</v>
      </c>
      <c r="R931" s="61">
        <f>IF(O931=0,0,SUMIFS(Disbursements!$T:$T,Disbursements!$B:$B,'Live Collections'!D931,Disbursements!$D:$D,'Live Collections'!F931))</f>
        <v>20000</v>
      </c>
      <c r="S931" s="304"/>
      <c r="T931" s="304">
        <f t="shared" si="45"/>
        <v>29000</v>
      </c>
      <c r="U931" s="52"/>
      <c r="V931" s="34"/>
      <c r="W931" s="408"/>
    </row>
    <row r="932" spans="1:23" ht="12.75" customHeight="1" x14ac:dyDescent="0.2">
      <c r="A932" s="257">
        <v>922</v>
      </c>
      <c r="B932" s="44">
        <v>44454</v>
      </c>
      <c r="C932" s="44">
        <f t="shared" si="43"/>
        <v>44454</v>
      </c>
      <c r="D932" s="374">
        <v>116</v>
      </c>
      <c r="E932" s="291" t="str">
        <f>IFERROR(VLOOKUP($D932,'Clients-Live'!$A:$C,3,0),"")</f>
        <v>ONZIA LUCY</v>
      </c>
      <c r="F932" s="291" t="str">
        <f>IFERROR(INDEX(Disbursements!$D:$D,MATCH('Live Collections'!G932,Disbursements!$C:$C,0)),"")</f>
        <v/>
      </c>
      <c r="G932" s="34"/>
      <c r="H932" s="34"/>
      <c r="I932" s="34" t="s">
        <v>1357</v>
      </c>
      <c r="J932" s="48"/>
      <c r="K932" s="48"/>
      <c r="L932" s="48">
        <v>10000</v>
      </c>
      <c r="M932" s="48">
        <v>5000</v>
      </c>
      <c r="N932" s="59"/>
      <c r="O932" s="59"/>
      <c r="P932" s="59"/>
      <c r="Q932" s="268">
        <f t="shared" si="44"/>
        <v>15000</v>
      </c>
      <c r="R932" s="61">
        <f>IF(O932=0,0,SUMIFS(Disbursements!$T:$T,Disbursements!$B:$B,'Live Collections'!D932,Disbursements!$D:$D,'Live Collections'!F932))</f>
        <v>0</v>
      </c>
      <c r="S932" s="304">
        <f>IF(O932&lt;=IF($O932=0,0,SUMIFS(Disbursements!$W:$W,Disbursements!$B:$B,'Live Collections'!D1497,Disbursements!$D:$D,'Live Collections'!F1497)),O932,IF($O932=0,0,SUMIFS(Disbursements!$W:$W,Disbursements!$B:$B,'Live Collections'!D1497,Disbursements!$D:$D,'Live Collections'!F1497)))</f>
        <v>0</v>
      </c>
      <c r="T932" s="304">
        <f t="shared" si="45"/>
        <v>0</v>
      </c>
      <c r="U932" s="52"/>
      <c r="V932" s="34"/>
      <c r="W932" s="408"/>
    </row>
    <row r="933" spans="1:23" ht="12.75" customHeight="1" x14ac:dyDescent="0.2">
      <c r="A933" s="132">
        <v>906</v>
      </c>
      <c r="B933" s="44">
        <v>44454</v>
      </c>
      <c r="C933" s="44">
        <f t="shared" si="43"/>
        <v>44454</v>
      </c>
      <c r="D933" s="374">
        <v>117</v>
      </c>
      <c r="E933" s="291" t="str">
        <f>IFERROR(VLOOKUP($D933,'Clients-Live'!$A:$C,3,0),"")</f>
        <v>MAWA JACKSON</v>
      </c>
      <c r="F933" s="291">
        <f>IFERROR(INDEX(Disbursements!$D:$D,MATCH('Live Collections'!G933,Disbursements!$C:$C,0)),"")</f>
        <v>1</v>
      </c>
      <c r="G933" s="34">
        <v>99</v>
      </c>
      <c r="H933" s="34"/>
      <c r="I933" s="34" t="s">
        <v>1358</v>
      </c>
      <c r="J933" s="48"/>
      <c r="K933" s="48"/>
      <c r="L933" s="48"/>
      <c r="M933" s="48"/>
      <c r="N933" s="59"/>
      <c r="O933" s="59">
        <v>140000</v>
      </c>
      <c r="P933" s="59"/>
      <c r="Q933" s="268">
        <f t="shared" si="44"/>
        <v>140000</v>
      </c>
      <c r="R933" s="61">
        <f>IF(O933=0,0,SUMIFS(Disbursements!$T:$T,Disbursements!$B:$B,'Live Collections'!D933,Disbursements!$D:$D,'Live Collections'!F933))</f>
        <v>152000</v>
      </c>
      <c r="S933" s="304">
        <f>IF(O933&lt;=IF($O933=0,0,SUMIFS(Disbursements!$W:$W,Disbursements!$B:$B,'Live Collections'!D1521,Disbursements!$D:$D,'Live Collections'!F1521)),O933,IF($O933=0,0,SUMIFS(Disbursements!$W:$W,Disbursements!$B:$B,'Live Collections'!D1521,Disbursements!$D:$D,'Live Collections'!F1521)))</f>
        <v>0</v>
      </c>
      <c r="T933" s="304">
        <f t="shared" si="45"/>
        <v>140000</v>
      </c>
      <c r="U933" s="52"/>
      <c r="V933" s="34"/>
      <c r="W933" s="408"/>
    </row>
    <row r="934" spans="1:23" ht="12.75" customHeight="1" x14ac:dyDescent="0.2">
      <c r="A934" s="257">
        <v>916</v>
      </c>
      <c r="B934" s="44">
        <v>44454</v>
      </c>
      <c r="C934" s="44">
        <f t="shared" si="43"/>
        <v>44454</v>
      </c>
      <c r="D934" s="374">
        <v>124</v>
      </c>
      <c r="E934" s="291" t="str">
        <f>IFERROR(VLOOKUP($D934,'Clients-Live'!$A:$C,3,0),"")</f>
        <v>TIKO ZABIBU</v>
      </c>
      <c r="F934" s="291">
        <f>IFERROR(INDEX(Disbursements!$D:$D,MATCH('Live Collections'!G934,Disbursements!$C:$C,0)),"")</f>
        <v>1</v>
      </c>
      <c r="G934" s="34">
        <v>199</v>
      </c>
      <c r="H934" s="34">
        <v>1018</v>
      </c>
      <c r="I934" s="34" t="s">
        <v>1358</v>
      </c>
      <c r="J934" s="48"/>
      <c r="K934" s="48"/>
      <c r="L934" s="48"/>
      <c r="M934" s="48"/>
      <c r="N934" s="59"/>
      <c r="O934" s="59">
        <v>30000</v>
      </c>
      <c r="P934" s="59"/>
      <c r="Q934" s="268">
        <f t="shared" si="44"/>
        <v>30000</v>
      </c>
      <c r="R934" s="61">
        <f>IF(O934=0,0,SUMIFS(Disbursements!$T:$T,Disbursements!$B:$B,'Live Collections'!D934,Disbursements!$D:$D,'Live Collections'!F934))</f>
        <v>180000</v>
      </c>
      <c r="S934" s="304">
        <f>IF(O934&lt;=IF($O934=0,0,SUMIFS(Disbursements!$W:$W,Disbursements!$B:$B,'Live Collections'!D1572,Disbursements!$D:$D,'Live Collections'!F1572)),O934,IF($O934=0,0,SUMIFS(Disbursements!$W:$W,Disbursements!$B:$B,'Live Collections'!D1572,Disbursements!$D:$D,'Live Collections'!F1572)))</f>
        <v>30000</v>
      </c>
      <c r="T934" s="304">
        <f t="shared" si="45"/>
        <v>0</v>
      </c>
      <c r="U934" s="52"/>
      <c r="V934" s="34"/>
      <c r="W934" s="408"/>
    </row>
    <row r="935" spans="1:23" ht="12.75" customHeight="1" x14ac:dyDescent="0.2">
      <c r="A935" s="132">
        <v>919</v>
      </c>
      <c r="B935" s="44">
        <v>44454</v>
      </c>
      <c r="C935" s="44">
        <f t="shared" si="43"/>
        <v>44454</v>
      </c>
      <c r="D935" s="374">
        <v>150</v>
      </c>
      <c r="E935" s="291" t="str">
        <f>IFERROR(VLOOKUP($D935,'Clients-Live'!$A:$C,3,0),"")</f>
        <v>ALOKE KENNEDY</v>
      </c>
      <c r="F935" s="291">
        <f>IFERROR(INDEX(Disbursements!$D:$D,MATCH('Live Collections'!G935,Disbursements!$C:$C,0)),"")</f>
        <v>1</v>
      </c>
      <c r="G935" s="34">
        <v>145</v>
      </c>
      <c r="H935" s="34"/>
      <c r="I935" s="34" t="s">
        <v>1359</v>
      </c>
      <c r="J935" s="48"/>
      <c r="K935" s="48"/>
      <c r="L935" s="48"/>
      <c r="M935" s="48"/>
      <c r="N935" s="59"/>
      <c r="O935" s="59">
        <v>300000</v>
      </c>
      <c r="P935" s="59"/>
      <c r="Q935" s="268">
        <f t="shared" si="44"/>
        <v>300000</v>
      </c>
      <c r="R935" s="61">
        <f>IF(O935=0,0,SUMIFS(Disbursements!$T:$T,Disbursements!$B:$B,'Live Collections'!D935,Disbursements!$D:$D,'Live Collections'!F935))</f>
        <v>304000</v>
      </c>
      <c r="S935" s="304">
        <f>IF(O935&lt;=IF($O935=0,0,SUMIFS(Disbursements!$W:$W,Disbursements!$B:$B,'Live Collections'!D1893,Disbursements!$D:$D,'Live Collections'!F1893)),O935,IF($O935=0,0,SUMIFS(Disbursements!$W:$W,Disbursements!$B:$B,'Live Collections'!D1893,Disbursements!$D:$D,'Live Collections'!F1893)))</f>
        <v>150000</v>
      </c>
      <c r="T935" s="304">
        <f t="shared" si="45"/>
        <v>150000</v>
      </c>
      <c r="U935" s="52"/>
      <c r="V935" s="34"/>
      <c r="W935" s="408"/>
    </row>
    <row r="936" spans="1:23" ht="12.75" customHeight="1" x14ac:dyDescent="0.2">
      <c r="A936" s="257">
        <v>911</v>
      </c>
      <c r="B936" s="44">
        <v>44454</v>
      </c>
      <c r="C936" s="44">
        <f t="shared" si="43"/>
        <v>44454</v>
      </c>
      <c r="D936" s="374">
        <v>199</v>
      </c>
      <c r="E936" s="291" t="str">
        <f>IFERROR(VLOOKUP($D936,'Clients-Live'!$A:$C,3,0),"")</f>
        <v>OTHIM JIMMY</v>
      </c>
      <c r="F936" s="291">
        <f>IFERROR(INDEX(Disbursements!$D:$D,MATCH('Live Collections'!G936,Disbursements!$C:$C,0)),"")</f>
        <v>1</v>
      </c>
      <c r="G936" s="34">
        <v>196</v>
      </c>
      <c r="H936" s="34"/>
      <c r="I936" s="34" t="s">
        <v>1359</v>
      </c>
      <c r="J936" s="48"/>
      <c r="K936" s="48"/>
      <c r="L936" s="48"/>
      <c r="M936" s="48"/>
      <c r="N936" s="59"/>
      <c r="O936" s="59">
        <v>250000</v>
      </c>
      <c r="P936" s="59"/>
      <c r="Q936" s="268">
        <f t="shared" si="44"/>
        <v>250000</v>
      </c>
      <c r="R936" s="61">
        <f>IF(O936=0,0,SUMIFS(Disbursements!$T:$T,Disbursements!$B:$B,'Live Collections'!D936,Disbursements!$D:$D,'Live Collections'!F936))</f>
        <v>753000</v>
      </c>
      <c r="S936" s="304">
        <f>IF(O936&lt;=IF($O936=0,0,SUMIFS(Disbursements!$W:$W,Disbursements!$B:$B,'Live Collections'!D2377,Disbursements!$D:$D,'Live Collections'!F2377)),O936,IF($O936=0,0,SUMIFS(Disbursements!$W:$W,Disbursements!$B:$B,'Live Collections'!D2377,Disbursements!$D:$D,'Live Collections'!F2377)))</f>
        <v>30000</v>
      </c>
      <c r="T936" s="304">
        <f t="shared" si="45"/>
        <v>220000</v>
      </c>
      <c r="U936" s="52"/>
      <c r="V936" s="34"/>
      <c r="W936" s="408"/>
    </row>
    <row r="937" spans="1:23" ht="12.75" customHeight="1" x14ac:dyDescent="0.2">
      <c r="A937" s="132">
        <v>918</v>
      </c>
      <c r="B937" s="44">
        <v>44454</v>
      </c>
      <c r="C937" s="44">
        <f t="shared" si="43"/>
        <v>44454</v>
      </c>
      <c r="D937" s="374">
        <v>202</v>
      </c>
      <c r="E937" s="291" t="str">
        <f>IFERROR(VLOOKUP($D937,'Clients-Live'!$A:$C,3,0),"")</f>
        <v>MUSEMA SWAIBU</v>
      </c>
      <c r="F937" s="291">
        <f>IFERROR(INDEX(Disbursements!$D:$D,MATCH('Live Collections'!G937,Disbursements!$C:$C,0)),"")</f>
        <v>1</v>
      </c>
      <c r="G937" s="34">
        <v>197</v>
      </c>
      <c r="H937" s="34"/>
      <c r="I937" s="34" t="s">
        <v>1358</v>
      </c>
      <c r="J937" s="48"/>
      <c r="K937" s="48"/>
      <c r="L937" s="48"/>
      <c r="M937" s="48"/>
      <c r="N937" s="59"/>
      <c r="O937" s="59">
        <v>150000</v>
      </c>
      <c r="P937" s="59"/>
      <c r="Q937" s="268">
        <f t="shared" si="44"/>
        <v>150000</v>
      </c>
      <c r="R937" s="61">
        <f>IF(O937=0,0,SUMIFS(Disbursements!$T:$T,Disbursements!$B:$B,'Live Collections'!D937,Disbursements!$D:$D,'Live Collections'!F937))</f>
        <v>144000</v>
      </c>
      <c r="S937" s="304">
        <f>IF(O937&lt;=IF($O937=0,0,SUMIFS(Disbursements!$W:$W,Disbursements!$B:$B,'Live Collections'!D2402,Disbursements!$D:$D,'Live Collections'!F2402)),O937,IF($O937=0,0,SUMIFS(Disbursements!$W:$W,Disbursements!$B:$B,'Live Collections'!D2402,Disbursements!$D:$D,'Live Collections'!F2402)))</f>
        <v>20000</v>
      </c>
      <c r="T937" s="304">
        <f t="shared" si="45"/>
        <v>130000</v>
      </c>
      <c r="U937" s="52"/>
      <c r="V937" s="34"/>
      <c r="W937" s="408"/>
    </row>
    <row r="938" spans="1:23" ht="12.75" customHeight="1" x14ac:dyDescent="0.2">
      <c r="A938" s="257">
        <v>928</v>
      </c>
      <c r="B938" s="44">
        <v>44455</v>
      </c>
      <c r="C938" s="44">
        <f t="shared" si="43"/>
        <v>44455</v>
      </c>
      <c r="D938" s="374">
        <v>6</v>
      </c>
      <c r="E938" s="291" t="str">
        <f>IFERROR(VLOOKUP($D938,'Clients-Live'!$A:$C,3,0),"")</f>
        <v>AMUTE BASHIR</v>
      </c>
      <c r="F938" s="291">
        <f>IFERROR(INDEX(Disbursements!$D:$D,MATCH('Live Collections'!G938,Disbursements!$C:$C,0)),"")</f>
        <v>2</v>
      </c>
      <c r="G938" s="34">
        <v>100</v>
      </c>
      <c r="H938" s="34"/>
      <c r="I938" s="34" t="s">
        <v>1358</v>
      </c>
      <c r="J938" s="48"/>
      <c r="K938" s="48"/>
      <c r="L938" s="48"/>
      <c r="M938" s="48"/>
      <c r="N938" s="59"/>
      <c r="O938" s="59">
        <v>100000</v>
      </c>
      <c r="P938" s="59"/>
      <c r="Q938" s="268">
        <f t="shared" si="44"/>
        <v>100000</v>
      </c>
      <c r="R938" s="61">
        <f>IF(O938=0,0,SUMIFS(Disbursements!$T:$T,Disbursements!$B:$B,'Live Collections'!D938,Disbursements!$D:$D,'Live Collections'!F938))</f>
        <v>1300000</v>
      </c>
      <c r="S938" s="304">
        <f>IF(O938&lt;=IF($O938=0,0,SUMIFS(Disbursements!$W:$W,Disbursements!$B:$B,'Live Collections'!D51,Disbursements!$D:$D,'Live Collections'!F51)),O938,IF($O938=0,0,SUMIFS(Disbursements!$W:$W,Disbursements!$B:$B,'Live Collections'!D51,Disbursements!$D:$D,'Live Collections'!F51)))</f>
        <v>0</v>
      </c>
      <c r="T938" s="304">
        <f t="shared" si="45"/>
        <v>100000</v>
      </c>
      <c r="U938" s="52"/>
      <c r="V938" s="34"/>
      <c r="W938" s="408"/>
    </row>
    <row r="939" spans="1:23" ht="12.75" customHeight="1" x14ac:dyDescent="0.2">
      <c r="A939" s="132">
        <v>937</v>
      </c>
      <c r="B939" s="44">
        <v>44455</v>
      </c>
      <c r="C939" s="44">
        <f t="shared" si="43"/>
        <v>44455</v>
      </c>
      <c r="D939" s="374">
        <v>40</v>
      </c>
      <c r="E939" s="291" t="str">
        <f>IFERROR(VLOOKUP($D939,'Clients-Live'!$A:$C,3,0),"")</f>
        <v>TABU JANE</v>
      </c>
      <c r="F939" s="291">
        <f>IFERROR(INDEX(Disbursements!$D:$D,MATCH('Live Collections'!G939,Disbursements!$C:$C,0)),"")</f>
        <v>2</v>
      </c>
      <c r="G939" s="34">
        <v>230</v>
      </c>
      <c r="H939" s="34"/>
      <c r="I939" s="34" t="s">
        <v>1358</v>
      </c>
      <c r="J939" s="48"/>
      <c r="K939" s="48"/>
      <c r="L939" s="48"/>
      <c r="M939" s="48"/>
      <c r="N939" s="59"/>
      <c r="O939" s="59"/>
      <c r="P939" s="59">
        <v>50000</v>
      </c>
      <c r="Q939" s="268">
        <f t="shared" si="44"/>
        <v>50000</v>
      </c>
      <c r="R939" s="61">
        <f>IF(O939=0,0,SUMIFS(Disbursements!$T:$T,Disbursements!$B:$B,'Live Collections'!D939,Disbursements!$D:$D,'Live Collections'!F939))</f>
        <v>0</v>
      </c>
      <c r="S939" s="304">
        <f>IF(O939&lt;=IF($O939=0,0,SUMIFS(Disbursements!$W:$W,Disbursements!$B:$B,'Live Collections'!D437,Disbursements!$D:$D,'Live Collections'!F437)),O939,IF($O939=0,0,SUMIFS(Disbursements!$W:$W,Disbursements!$B:$B,'Live Collections'!D437,Disbursements!$D:$D,'Live Collections'!F437)))</f>
        <v>0</v>
      </c>
      <c r="T939" s="304">
        <f t="shared" si="45"/>
        <v>0</v>
      </c>
      <c r="U939" s="52"/>
      <c r="V939" s="34"/>
      <c r="W939" s="408"/>
    </row>
    <row r="940" spans="1:23" ht="12.75" customHeight="1" x14ac:dyDescent="0.2">
      <c r="A940" s="257">
        <v>925</v>
      </c>
      <c r="B940" s="44">
        <v>44455</v>
      </c>
      <c r="C940" s="44">
        <f t="shared" si="43"/>
        <v>44455</v>
      </c>
      <c r="D940" s="374">
        <v>56</v>
      </c>
      <c r="E940" s="291" t="str">
        <f>IFERROR(VLOOKUP($D940,'Clients-Live'!$A:$C,3,0),"")</f>
        <v>ALOMO ZABIBU</v>
      </c>
      <c r="F940" s="291">
        <f>IFERROR(INDEX(Disbursements!$D:$D,MATCH('Live Collections'!G940,Disbursements!$C:$C,0)),"")</f>
        <v>1</v>
      </c>
      <c r="G940" s="34">
        <v>43</v>
      </c>
      <c r="H940" s="34">
        <v>1431</v>
      </c>
      <c r="I940" s="34" t="s">
        <v>1357</v>
      </c>
      <c r="J940" s="48"/>
      <c r="K940" s="48"/>
      <c r="L940" s="48"/>
      <c r="M940" s="48"/>
      <c r="N940" s="59"/>
      <c r="O940" s="59">
        <v>50000</v>
      </c>
      <c r="P940" s="59"/>
      <c r="Q940" s="268">
        <f t="shared" si="44"/>
        <v>50000</v>
      </c>
      <c r="R940" s="61">
        <f>IF(O940=0,0,SUMIFS(Disbursements!$T:$T,Disbursements!$B:$B,'Live Collections'!D940,Disbursements!$D:$D,'Live Collections'!F940))</f>
        <v>60000</v>
      </c>
      <c r="S940" s="304"/>
      <c r="T940" s="304">
        <f t="shared" si="45"/>
        <v>50000</v>
      </c>
      <c r="U940" s="52"/>
      <c r="V940" s="34"/>
      <c r="W940" s="408"/>
    </row>
    <row r="941" spans="1:23" ht="12.75" customHeight="1" x14ac:dyDescent="0.2">
      <c r="A941" s="132">
        <v>936</v>
      </c>
      <c r="B941" s="44">
        <v>44455</v>
      </c>
      <c r="C941" s="44">
        <f t="shared" si="43"/>
        <v>44455</v>
      </c>
      <c r="D941" s="374">
        <v>56</v>
      </c>
      <c r="E941" s="291" t="str">
        <f>IFERROR(VLOOKUP($D941,'Clients-Live'!$A:$C,3,0),"")</f>
        <v>ALOMO ZABIBU</v>
      </c>
      <c r="F941" s="291">
        <f>IFERROR(INDEX(Disbursements!$D:$D,MATCH('Live Collections'!G941,Disbursements!$C:$C,0)),"")</f>
        <v>1</v>
      </c>
      <c r="G941" s="34">
        <v>43</v>
      </c>
      <c r="H941" s="34">
        <v>1447</v>
      </c>
      <c r="I941" s="34" t="s">
        <v>1357</v>
      </c>
      <c r="J941" s="48"/>
      <c r="K941" s="48"/>
      <c r="L941" s="48"/>
      <c r="M941" s="48"/>
      <c r="N941" s="59"/>
      <c r="O941" s="59">
        <v>70000</v>
      </c>
      <c r="P941" s="59"/>
      <c r="Q941" s="268">
        <f t="shared" si="44"/>
        <v>70000</v>
      </c>
      <c r="R941" s="61">
        <f>IF(O941=0,0,SUMIFS(Disbursements!$T:$T,Disbursements!$B:$B,'Live Collections'!D941,Disbursements!$D:$D,'Live Collections'!F941))</f>
        <v>60000</v>
      </c>
      <c r="S941" s="304"/>
      <c r="T941" s="304">
        <f t="shared" si="45"/>
        <v>70000</v>
      </c>
      <c r="U941" s="52"/>
      <c r="V941" s="34"/>
      <c r="W941" s="408"/>
    </row>
    <row r="942" spans="1:23" ht="12.75" customHeight="1" x14ac:dyDescent="0.2">
      <c r="A942" s="257">
        <v>930</v>
      </c>
      <c r="B942" s="44">
        <v>44455</v>
      </c>
      <c r="C942" s="44">
        <f t="shared" si="43"/>
        <v>44455</v>
      </c>
      <c r="D942" s="374">
        <v>67</v>
      </c>
      <c r="E942" s="291" t="str">
        <f>IFERROR(VLOOKUP($D942,'Clients-Live'!$A:$C,3,0),"")</f>
        <v>KEBITA SAUDA</v>
      </c>
      <c r="F942" s="291">
        <f>IFERROR(INDEX(Disbursements!$D:$D,MATCH('Live Collections'!G942,Disbursements!$C:$C,0)),"")</f>
        <v>1</v>
      </c>
      <c r="G942" s="34">
        <v>49</v>
      </c>
      <c r="H942" s="34"/>
      <c r="I942" s="34" t="s">
        <v>1358</v>
      </c>
      <c r="J942" s="48"/>
      <c r="K942" s="48"/>
      <c r="L942" s="48"/>
      <c r="M942" s="48"/>
      <c r="N942" s="59"/>
      <c r="O942" s="59">
        <v>150000</v>
      </c>
      <c r="P942" s="59"/>
      <c r="Q942" s="268">
        <f t="shared" si="44"/>
        <v>150000</v>
      </c>
      <c r="R942" s="61">
        <f>IF(O942=0,0,SUMIFS(Disbursements!$T:$T,Disbursements!$B:$B,'Live Collections'!D942,Disbursements!$D:$D,'Live Collections'!F942))</f>
        <v>150000</v>
      </c>
      <c r="S942" s="64">
        <v>30000</v>
      </c>
      <c r="T942" s="304">
        <f t="shared" si="45"/>
        <v>120000</v>
      </c>
      <c r="U942" s="52"/>
      <c r="V942" s="34"/>
      <c r="W942" s="408" t="s">
        <v>2084</v>
      </c>
    </row>
    <row r="943" spans="1:23" ht="12.75" customHeight="1" x14ac:dyDescent="0.2">
      <c r="A943" s="132">
        <v>934</v>
      </c>
      <c r="B943" s="44">
        <v>44455</v>
      </c>
      <c r="C943" s="44">
        <f t="shared" si="43"/>
        <v>44455</v>
      </c>
      <c r="D943" s="374">
        <v>70</v>
      </c>
      <c r="E943" s="291" t="str">
        <f>IFERROR(VLOOKUP($D943,'Clients-Live'!$A:$C,3,0),"")</f>
        <v>BUGA ALIKIA PHILLIP</v>
      </c>
      <c r="F943" s="291">
        <f>IFERROR(INDEX(Disbursements!$D:$D,MATCH('Live Collections'!G943,Disbursements!$C:$C,0)),"")</f>
        <v>1</v>
      </c>
      <c r="G943" s="34">
        <v>52</v>
      </c>
      <c r="H943" s="34"/>
      <c r="I943" s="34" t="s">
        <v>1358</v>
      </c>
      <c r="J943" s="48"/>
      <c r="K943" s="48"/>
      <c r="L943" s="48"/>
      <c r="M943" s="48"/>
      <c r="N943" s="59"/>
      <c r="O943" s="59">
        <v>13400</v>
      </c>
      <c r="P943" s="59"/>
      <c r="Q943" s="268">
        <f t="shared" si="44"/>
        <v>13400</v>
      </c>
      <c r="R943" s="61">
        <f>IF(O943=0,0,SUMIFS(Disbursements!$T:$T,Disbursements!$B:$B,'Live Collections'!D943,Disbursements!$D:$D,'Live Collections'!F943))</f>
        <v>174000</v>
      </c>
      <c r="S943" s="64">
        <v>-3600</v>
      </c>
      <c r="T943" s="304">
        <f t="shared" si="45"/>
        <v>17000</v>
      </c>
      <c r="U943" s="52"/>
      <c r="V943" s="34"/>
      <c r="W943" s="408" t="s">
        <v>2086</v>
      </c>
    </row>
    <row r="944" spans="1:23" ht="12.75" customHeight="1" x14ac:dyDescent="0.2">
      <c r="A944" s="257">
        <v>926</v>
      </c>
      <c r="B944" s="44">
        <v>44455</v>
      </c>
      <c r="C944" s="44">
        <f t="shared" si="43"/>
        <v>44455</v>
      </c>
      <c r="D944" s="374">
        <v>77</v>
      </c>
      <c r="E944" s="291" t="str">
        <f>IFERROR(VLOOKUP($D944,'Clients-Live'!$A:$C,3,0),"")</f>
        <v>CACA FATUMA</v>
      </c>
      <c r="F944" s="291">
        <f>IFERROR(INDEX(Disbursements!$D:$D,MATCH('Live Collections'!G944,Disbursements!$C:$C,0)),"")</f>
        <v>1</v>
      </c>
      <c r="G944" s="34">
        <v>61</v>
      </c>
      <c r="H944" s="34"/>
      <c r="I944" s="34" t="s">
        <v>1357</v>
      </c>
      <c r="J944" s="48"/>
      <c r="K944" s="48"/>
      <c r="L944" s="48"/>
      <c r="M944" s="48"/>
      <c r="N944" s="59"/>
      <c r="O944" s="59">
        <v>225000</v>
      </c>
      <c r="P944" s="59"/>
      <c r="Q944" s="268">
        <f t="shared" si="44"/>
        <v>225000</v>
      </c>
      <c r="R944" s="61">
        <f>IF(O944=0,0,SUMIFS(Disbursements!$T:$T,Disbursements!$B:$B,'Live Collections'!D944,Disbursements!$D:$D,'Live Collections'!F944))</f>
        <v>217000</v>
      </c>
      <c r="S944" s="304">
        <f>IF(O944&lt;=IF($O944=0,0,SUMIFS(Disbursements!$W:$W,Disbursements!$B:$B,'Live Collections'!D985,Disbursements!$D:$D,'Live Collections'!F985)),O944,IF($O944=0,0,SUMIFS(Disbursements!$W:$W,Disbursements!$B:$B,'Live Collections'!D985,Disbursements!$D:$D,'Live Collections'!F985)))</f>
        <v>53000</v>
      </c>
      <c r="T944" s="304">
        <f t="shared" si="45"/>
        <v>172000</v>
      </c>
      <c r="U944" s="52"/>
      <c r="V944" s="34"/>
      <c r="W944" s="408"/>
    </row>
    <row r="945" spans="1:23" ht="12.75" customHeight="1" x14ac:dyDescent="0.2">
      <c r="A945" s="132">
        <v>927</v>
      </c>
      <c r="B945" s="44">
        <v>44455</v>
      </c>
      <c r="C945" s="44">
        <f t="shared" si="43"/>
        <v>44455</v>
      </c>
      <c r="D945" s="374">
        <v>79</v>
      </c>
      <c r="E945" s="291" t="str">
        <f>IFERROR(VLOOKUP($D945,'Clients-Live'!$A:$C,3,0),"")</f>
        <v>PASI SENYA</v>
      </c>
      <c r="F945" s="291">
        <f>IFERROR(INDEX(Disbursements!$D:$D,MATCH('Live Collections'!G945,Disbursements!$C:$C,0)),"")</f>
        <v>1</v>
      </c>
      <c r="G945" s="34">
        <v>64</v>
      </c>
      <c r="H945" s="34"/>
      <c r="I945" s="34" t="s">
        <v>1358</v>
      </c>
      <c r="J945" s="48"/>
      <c r="K945" s="48"/>
      <c r="L945" s="48"/>
      <c r="M945" s="48"/>
      <c r="N945" s="59"/>
      <c r="O945" s="59">
        <v>73000</v>
      </c>
      <c r="P945" s="59"/>
      <c r="Q945" s="268">
        <f t="shared" si="44"/>
        <v>73000</v>
      </c>
      <c r="R945" s="61">
        <f>IF(O945=0,0,SUMIFS(Disbursements!$T:$T,Disbursements!$B:$B,'Live Collections'!D945,Disbursements!$D:$D,'Live Collections'!F945))</f>
        <v>63000</v>
      </c>
      <c r="S945" s="64">
        <v>16000</v>
      </c>
      <c r="T945" s="304">
        <f t="shared" si="45"/>
        <v>57000</v>
      </c>
      <c r="U945" s="52"/>
      <c r="V945" s="34"/>
      <c r="W945" s="408"/>
    </row>
    <row r="946" spans="1:23" ht="12.75" customHeight="1" x14ac:dyDescent="0.2">
      <c r="A946" s="257">
        <v>938</v>
      </c>
      <c r="B946" s="44">
        <v>44455</v>
      </c>
      <c r="C946" s="44">
        <f t="shared" si="43"/>
        <v>44455</v>
      </c>
      <c r="D946" s="374">
        <v>116</v>
      </c>
      <c r="E946" s="291" t="str">
        <f>IFERROR(VLOOKUP($D946,'Clients-Live'!$A:$C,3,0),"")</f>
        <v>ONZIA LUCY</v>
      </c>
      <c r="F946" s="291" t="str">
        <f>IFERROR(INDEX(Disbursements!$D:$D,MATCH('Live Collections'!G946,Disbursements!$C:$C,0)),"")</f>
        <v/>
      </c>
      <c r="G946" s="34"/>
      <c r="H946" s="34"/>
      <c r="I946" s="34" t="s">
        <v>1357</v>
      </c>
      <c r="J946" s="48"/>
      <c r="K946" s="48"/>
      <c r="L946" s="48"/>
      <c r="M946" s="48"/>
      <c r="N946" s="59"/>
      <c r="O946" s="59"/>
      <c r="P946" s="59">
        <v>30000</v>
      </c>
      <c r="Q946" s="268">
        <f t="shared" si="44"/>
        <v>30000</v>
      </c>
      <c r="R946" s="61">
        <f>IF(O946=0,0,SUMIFS(Disbursements!$T:$T,Disbursements!$B:$B,'Live Collections'!D946,Disbursements!$D:$D,'Live Collections'!F946))</f>
        <v>0</v>
      </c>
      <c r="S946" s="304">
        <f>IF(O946&lt;=IF($O946=0,0,SUMIFS(Disbursements!$W:$W,Disbursements!$B:$B,'Live Collections'!D1498,Disbursements!$D:$D,'Live Collections'!F1498)),O946,IF($O946=0,0,SUMIFS(Disbursements!$W:$W,Disbursements!$B:$B,'Live Collections'!D1498,Disbursements!$D:$D,'Live Collections'!F1498)))</f>
        <v>0</v>
      </c>
      <c r="T946" s="304">
        <f t="shared" si="45"/>
        <v>0</v>
      </c>
      <c r="U946" s="52"/>
      <c r="V946" s="34"/>
      <c r="W946" s="408"/>
    </row>
    <row r="947" spans="1:23" ht="12.75" customHeight="1" x14ac:dyDescent="0.2">
      <c r="A947" s="132">
        <v>923</v>
      </c>
      <c r="B947" s="44">
        <v>44455</v>
      </c>
      <c r="C947" s="44">
        <f t="shared" si="43"/>
        <v>44455</v>
      </c>
      <c r="D947" s="374">
        <v>125</v>
      </c>
      <c r="E947" s="291" t="str">
        <f>IFERROR(VLOOKUP($D947,'Clients-Live'!$A:$C,3,0),"")</f>
        <v>SUNDAY SCOVIA</v>
      </c>
      <c r="F947" s="291">
        <f>IFERROR(INDEX(Disbursements!$D:$D,MATCH('Live Collections'!G947,Disbursements!$C:$C,0)),"")</f>
        <v>1</v>
      </c>
      <c r="G947" s="34">
        <v>111</v>
      </c>
      <c r="H947" s="34"/>
      <c r="I947" s="34" t="s">
        <v>1358</v>
      </c>
      <c r="J947" s="48"/>
      <c r="K947" s="48"/>
      <c r="L947" s="48"/>
      <c r="M947" s="48"/>
      <c r="N947" s="59"/>
      <c r="O947" s="59">
        <v>60000</v>
      </c>
      <c r="P947" s="59"/>
      <c r="Q947" s="268">
        <f t="shared" si="44"/>
        <v>60000</v>
      </c>
      <c r="R947" s="61">
        <f>IF(O947=0,0,SUMIFS(Disbursements!$T:$T,Disbursements!$B:$B,'Live Collections'!D947,Disbursements!$D:$D,'Live Collections'!F947))</f>
        <v>120000</v>
      </c>
      <c r="S947" s="304">
        <f>IF(O947&lt;=IF($O947=0,0,SUMIFS(Disbursements!$W:$W,Disbursements!$B:$B,'Live Collections'!D1589,Disbursements!$D:$D,'Live Collections'!F1589)),O947,IF($O947=0,0,SUMIFS(Disbursements!$W:$W,Disbursements!$B:$B,'Live Collections'!D1589,Disbursements!$D:$D,'Live Collections'!F1589)))</f>
        <v>60000</v>
      </c>
      <c r="T947" s="304">
        <f t="shared" si="45"/>
        <v>0</v>
      </c>
      <c r="U947" s="52"/>
      <c r="V947" s="34"/>
      <c r="W947" s="408"/>
    </row>
    <row r="948" spans="1:23" ht="12.75" customHeight="1" x14ac:dyDescent="0.2">
      <c r="A948" s="257">
        <v>931</v>
      </c>
      <c r="B948" s="44">
        <v>44455</v>
      </c>
      <c r="C948" s="44">
        <f t="shared" si="43"/>
        <v>44455</v>
      </c>
      <c r="D948" s="374">
        <v>128</v>
      </c>
      <c r="E948" s="291" t="str">
        <f>IFERROR(VLOOKUP($D948,'Clients-Live'!$A:$C,3,0),"")</f>
        <v>AJONYE BETTY</v>
      </c>
      <c r="F948" s="291">
        <f>IFERROR(INDEX(Disbursements!$D:$D,MATCH('Live Collections'!G948,Disbursements!$C:$C,0)),"")</f>
        <v>1</v>
      </c>
      <c r="G948" s="34">
        <v>112</v>
      </c>
      <c r="H948" s="34"/>
      <c r="I948" s="34" t="s">
        <v>1359</v>
      </c>
      <c r="J948" s="48"/>
      <c r="K948" s="48"/>
      <c r="L948" s="48"/>
      <c r="M948" s="48"/>
      <c r="N948" s="59"/>
      <c r="O948" s="59">
        <v>80000</v>
      </c>
      <c r="P948" s="59"/>
      <c r="Q948" s="268">
        <f t="shared" si="44"/>
        <v>80000</v>
      </c>
      <c r="R948" s="61">
        <f>IF(O948=0,0,SUMIFS(Disbursements!$T:$T,Disbursements!$B:$B,'Live Collections'!D948,Disbursements!$D:$D,'Live Collections'!F948))</f>
        <v>90000</v>
      </c>
      <c r="S948" s="304">
        <f>IF(O948&lt;=IF($O948=0,0,SUMIFS(Disbursements!$W:$W,Disbursements!$B:$B,'Live Collections'!D1620,Disbursements!$D:$D,'Live Collections'!F1620)),O948,IF($O948=0,0,SUMIFS(Disbursements!$W:$W,Disbursements!$B:$B,'Live Collections'!D1620,Disbursements!$D:$D,'Live Collections'!F1620)))</f>
        <v>0</v>
      </c>
      <c r="T948" s="304">
        <f t="shared" si="45"/>
        <v>80000</v>
      </c>
      <c r="U948" s="52"/>
      <c r="V948" s="34"/>
      <c r="W948" s="408"/>
    </row>
    <row r="949" spans="1:23" ht="12.75" customHeight="1" x14ac:dyDescent="0.2">
      <c r="A949" s="132">
        <v>924</v>
      </c>
      <c r="B949" s="44">
        <v>44455</v>
      </c>
      <c r="C949" s="44">
        <f t="shared" si="43"/>
        <v>44455</v>
      </c>
      <c r="D949" s="374">
        <v>136</v>
      </c>
      <c r="E949" s="291" t="str">
        <f>IFERROR(VLOOKUP($D949,'Clients-Live'!$A:$C,3,0),"")</f>
        <v>LEMERIGA GODWILL JOSEPH</v>
      </c>
      <c r="F949" s="291">
        <f>IFERROR(INDEX(Disbursements!$D:$D,MATCH('Live Collections'!G949,Disbursements!$C:$C,0)),"")</f>
        <v>1</v>
      </c>
      <c r="G949" s="34">
        <v>122</v>
      </c>
      <c r="H949" s="34"/>
      <c r="I949" s="34" t="s">
        <v>1357</v>
      </c>
      <c r="J949" s="48"/>
      <c r="K949" s="48"/>
      <c r="L949" s="48"/>
      <c r="M949" s="48"/>
      <c r="N949" s="59"/>
      <c r="O949" s="59">
        <v>120000</v>
      </c>
      <c r="P949" s="59"/>
      <c r="Q949" s="268">
        <f t="shared" si="44"/>
        <v>120000</v>
      </c>
      <c r="R949" s="61">
        <f>IF(O949=0,0,SUMIFS(Disbursements!$T:$T,Disbursements!$B:$B,'Live Collections'!D949,Disbursements!$D:$D,'Live Collections'!F949))</f>
        <v>120000</v>
      </c>
      <c r="S949" s="304">
        <f>IF(O949&lt;=IF($O949=0,0,SUMIFS(Disbursements!$W:$W,Disbursements!$B:$B,'Live Collections'!D1716,Disbursements!$D:$D,'Live Collections'!F1716)),O949,IF($O949=0,0,SUMIFS(Disbursements!$W:$W,Disbursements!$B:$B,'Live Collections'!D1716,Disbursements!$D:$D,'Live Collections'!F1716)))</f>
        <v>0</v>
      </c>
      <c r="T949" s="304">
        <f t="shared" si="45"/>
        <v>120000</v>
      </c>
      <c r="U949" s="52"/>
      <c r="V949" s="34"/>
      <c r="W949" s="408"/>
    </row>
    <row r="950" spans="1:23" ht="12.75" customHeight="1" x14ac:dyDescent="0.2">
      <c r="A950" s="257">
        <v>935</v>
      </c>
      <c r="B950" s="44">
        <v>44455</v>
      </c>
      <c r="C950" s="44">
        <f t="shared" si="43"/>
        <v>44455</v>
      </c>
      <c r="D950" s="374">
        <v>140</v>
      </c>
      <c r="E950" s="291" t="str">
        <f>IFERROR(VLOOKUP($D950,'Clients-Live'!$A:$C,3,0),"")</f>
        <v>AYIKORU MARIAM</v>
      </c>
      <c r="F950" s="291">
        <f>IFERROR(INDEX(Disbursements!$D:$D,MATCH('Live Collections'!G950,Disbursements!$C:$C,0)),"")</f>
        <v>1</v>
      </c>
      <c r="G950" s="34">
        <v>125</v>
      </c>
      <c r="H950" s="34"/>
      <c r="I950" s="34" t="s">
        <v>1358</v>
      </c>
      <c r="J950" s="48"/>
      <c r="K950" s="48"/>
      <c r="L950" s="48"/>
      <c r="M950" s="48"/>
      <c r="N950" s="59"/>
      <c r="O950" s="59">
        <v>60000</v>
      </c>
      <c r="P950" s="59"/>
      <c r="Q950" s="268">
        <f t="shared" si="44"/>
        <v>60000</v>
      </c>
      <c r="R950" s="61">
        <f>IF(O950=0,0,SUMIFS(Disbursements!$T:$T,Disbursements!$B:$B,'Live Collections'!D950,Disbursements!$D:$D,'Live Collections'!F950))</f>
        <v>192000</v>
      </c>
      <c r="S950" s="304">
        <f>IF(O950&lt;=IF($O950=0,0,SUMIFS(Disbursements!$W:$W,Disbursements!$B:$B,'Live Collections'!D1769,Disbursements!$D:$D,'Live Collections'!F1769)),O950,IF($O950=0,0,SUMIFS(Disbursements!$W:$W,Disbursements!$B:$B,'Live Collections'!D1769,Disbursements!$D:$D,'Live Collections'!F1769)))</f>
        <v>0</v>
      </c>
      <c r="T950" s="304">
        <f t="shared" si="45"/>
        <v>60000</v>
      </c>
      <c r="U950" s="52"/>
      <c r="V950" s="34"/>
      <c r="W950" s="408"/>
    </row>
    <row r="951" spans="1:23" ht="12.75" customHeight="1" x14ac:dyDescent="0.2">
      <c r="A951" s="132">
        <v>932</v>
      </c>
      <c r="B951" s="44">
        <v>44455</v>
      </c>
      <c r="C951" s="44">
        <f t="shared" si="43"/>
        <v>44455</v>
      </c>
      <c r="D951" s="374">
        <v>145</v>
      </c>
      <c r="E951" s="291" t="str">
        <f>IFERROR(VLOOKUP($D951,'Clients-Live'!$A:$C,3,0),"")</f>
        <v>NIGHT ASARA</v>
      </c>
      <c r="F951" s="291">
        <f>IFERROR(INDEX(Disbursements!$D:$D,MATCH('Live Collections'!G951,Disbursements!$C:$C,0)),"")</f>
        <v>1</v>
      </c>
      <c r="G951" s="34">
        <v>132</v>
      </c>
      <c r="H951" s="34"/>
      <c r="I951" s="34" t="s">
        <v>1357</v>
      </c>
      <c r="J951" s="48"/>
      <c r="K951" s="48"/>
      <c r="L951" s="48"/>
      <c r="M951" s="48"/>
      <c r="N951" s="59"/>
      <c r="O951" s="59">
        <v>30000</v>
      </c>
      <c r="P951" s="59"/>
      <c r="Q951" s="268">
        <f t="shared" si="44"/>
        <v>30000</v>
      </c>
      <c r="R951" s="61">
        <f>IF(O951=0,0,SUMIFS(Disbursements!$T:$T,Disbursements!$B:$B,'Live Collections'!D951,Disbursements!$D:$D,'Live Collections'!F951))</f>
        <v>120000</v>
      </c>
      <c r="S951" s="304">
        <f>IF(O951&lt;=IF($O951=0,0,SUMIFS(Disbursements!$W:$W,Disbursements!$B:$B,'Live Collections'!D1828,Disbursements!$D:$D,'Live Collections'!F1828)),O951,IF($O951=0,0,SUMIFS(Disbursements!$W:$W,Disbursements!$B:$B,'Live Collections'!D1828,Disbursements!$D:$D,'Live Collections'!F1828)))</f>
        <v>25000</v>
      </c>
      <c r="T951" s="304">
        <f t="shared" si="45"/>
        <v>5000</v>
      </c>
      <c r="U951" s="52"/>
      <c r="V951" s="34"/>
      <c r="W951" s="408"/>
    </row>
    <row r="952" spans="1:23" ht="12.75" customHeight="1" x14ac:dyDescent="0.2">
      <c r="A952" s="257">
        <v>933</v>
      </c>
      <c r="B952" s="44">
        <v>44455</v>
      </c>
      <c r="C952" s="44">
        <f t="shared" si="43"/>
        <v>44455</v>
      </c>
      <c r="D952" s="374">
        <v>146</v>
      </c>
      <c r="E952" s="291" t="str">
        <f>IFERROR(VLOOKUP($D952,'Clients-Live'!$A:$C,3,0),"")</f>
        <v>IMBIRA AISHA</v>
      </c>
      <c r="F952" s="291">
        <f>IFERROR(INDEX(Disbursements!$D:$D,MATCH('Live Collections'!G952,Disbursements!$C:$C,0)),"")</f>
        <v>1</v>
      </c>
      <c r="G952" s="34">
        <v>133</v>
      </c>
      <c r="H952" s="34">
        <v>1441</v>
      </c>
      <c r="I952" s="34" t="s">
        <v>1357</v>
      </c>
      <c r="J952" s="48"/>
      <c r="K952" s="48"/>
      <c r="L952" s="48"/>
      <c r="M952" s="48"/>
      <c r="N952" s="59"/>
      <c r="O952" s="59">
        <v>20000</v>
      </c>
      <c r="P952" s="59"/>
      <c r="Q952" s="268">
        <f t="shared" si="44"/>
        <v>20000</v>
      </c>
      <c r="R952" s="61">
        <f>IF(O952=0,0,SUMIFS(Disbursements!$T:$T,Disbursements!$B:$B,'Live Collections'!D952,Disbursements!$D:$D,'Live Collections'!F952))</f>
        <v>120000</v>
      </c>
      <c r="S952" s="304">
        <f>IF(O952&lt;=IF($O952=0,0,SUMIFS(Disbursements!$W:$W,Disbursements!$B:$B,'Live Collections'!D1843,Disbursements!$D:$D,'Live Collections'!F1843)),O952,IF($O952=0,0,SUMIFS(Disbursements!$W:$W,Disbursements!$B:$B,'Live Collections'!D1843,Disbursements!$D:$D,'Live Collections'!F1843)))</f>
        <v>20000</v>
      </c>
      <c r="T952" s="304">
        <f t="shared" si="45"/>
        <v>0</v>
      </c>
      <c r="U952" s="52"/>
      <c r="V952" s="34"/>
      <c r="W952" s="408"/>
    </row>
    <row r="953" spans="1:23" ht="12.75" customHeight="1" x14ac:dyDescent="0.2">
      <c r="A953" s="132">
        <v>929</v>
      </c>
      <c r="B953" s="44">
        <v>44455</v>
      </c>
      <c r="C953" s="44">
        <f t="shared" si="43"/>
        <v>44455</v>
      </c>
      <c r="D953" s="374">
        <v>164</v>
      </c>
      <c r="E953" s="291" t="str">
        <f>IFERROR(VLOOKUP($D953,'Clients-Live'!$A:$C,3,0),"")</f>
        <v>ARIKE SWAIB</v>
      </c>
      <c r="F953" s="291">
        <f>IFERROR(INDEX(Disbursements!$D:$D,MATCH('Live Collections'!G953,Disbursements!$C:$C,0)),"")</f>
        <v>1</v>
      </c>
      <c r="G953" s="34">
        <v>154</v>
      </c>
      <c r="H953" s="34"/>
      <c r="I953" s="34" t="s">
        <v>1357</v>
      </c>
      <c r="J953" s="48"/>
      <c r="K953" s="48"/>
      <c r="L953" s="48"/>
      <c r="M953" s="48"/>
      <c r="N953" s="59"/>
      <c r="O953" s="59">
        <v>110000</v>
      </c>
      <c r="P953" s="59"/>
      <c r="Q953" s="268">
        <f t="shared" si="44"/>
        <v>110000</v>
      </c>
      <c r="R953" s="61">
        <f>IF(O953=0,0,SUMIFS(Disbursements!$T:$T,Disbursements!$B:$B,'Live Collections'!D953,Disbursements!$D:$D,'Live Collections'!F953))</f>
        <v>109000</v>
      </c>
      <c r="S953" s="304">
        <f>IF(O953&lt;=IF($O953=0,0,SUMIFS(Disbursements!$W:$W,Disbursements!$B:$B,'Live Collections'!D2029,Disbursements!$D:$D,'Live Collections'!F2029)),O953,IF($O953=0,0,SUMIFS(Disbursements!$W:$W,Disbursements!$B:$B,'Live Collections'!D2029,Disbursements!$D:$D,'Live Collections'!F2029)))</f>
        <v>25000</v>
      </c>
      <c r="T953" s="304">
        <f t="shared" si="45"/>
        <v>85000</v>
      </c>
      <c r="U953" s="52"/>
      <c r="V953" s="34"/>
      <c r="W953" s="408"/>
    </row>
    <row r="954" spans="1:23" ht="12.75" customHeight="1" x14ac:dyDescent="0.2">
      <c r="A954" s="257">
        <v>1941</v>
      </c>
      <c r="B954" s="44">
        <v>44455</v>
      </c>
      <c r="C954" s="44">
        <f t="shared" si="43"/>
        <v>44455</v>
      </c>
      <c r="D954" s="374">
        <v>216</v>
      </c>
      <c r="E954" s="291" t="str">
        <f>IFERROR(VLOOKUP($D954,'Clients-Live'!$A:$C,3,0),"")</f>
        <v>ALIGA ASHIRAF</v>
      </c>
      <c r="F954" s="291">
        <f>IFERROR(INDEX(Disbursements!$D:$D,MATCH('Live Collections'!G954,Disbursements!$C:$C,0)),"")</f>
        <v>1</v>
      </c>
      <c r="G954" s="34">
        <v>215</v>
      </c>
      <c r="H954" s="34">
        <v>1446</v>
      </c>
      <c r="I954" s="34" t="s">
        <v>1359</v>
      </c>
      <c r="J954" s="48"/>
      <c r="K954" s="48"/>
      <c r="L954" s="48"/>
      <c r="M954" s="48"/>
      <c r="N954" s="59"/>
      <c r="O954" s="59">
        <v>110000</v>
      </c>
      <c r="P954" s="59"/>
      <c r="Q954" s="268">
        <f t="shared" si="44"/>
        <v>110000</v>
      </c>
      <c r="R954" s="61">
        <f>IF(O954=0,0,SUMIFS(Disbursements!$T:$T,Disbursements!$B:$B,'Live Collections'!D954,Disbursements!$D:$D,'Live Collections'!F954))</f>
        <v>109000</v>
      </c>
      <c r="S954" s="304">
        <f>IF(O954&lt;=IF($O954=0,0,SUMIFS(Disbursements!$W:$W,Disbursements!$B:$B,'Live Collections'!D2546,Disbursements!$D:$D,'Live Collections'!F2546)),O954,IF($O954=0,0,SUMIFS(Disbursements!$W:$W,Disbursements!$B:$B,'Live Collections'!D2546,Disbursements!$D:$D,'Live Collections'!F2546)))</f>
        <v>75000</v>
      </c>
      <c r="T954" s="304">
        <f t="shared" si="45"/>
        <v>35000</v>
      </c>
      <c r="U954" s="52"/>
      <c r="V954" s="34"/>
      <c r="W954" s="408"/>
    </row>
    <row r="955" spans="1:23" ht="12.75" customHeight="1" x14ac:dyDescent="0.2">
      <c r="A955" s="132">
        <v>945</v>
      </c>
      <c r="B955" s="44">
        <v>44456</v>
      </c>
      <c r="C955" s="44">
        <f t="shared" si="43"/>
        <v>44456</v>
      </c>
      <c r="D955" s="374">
        <v>21</v>
      </c>
      <c r="E955" s="291" t="str">
        <f>IFERROR(VLOOKUP($D955,'Clients-Live'!$A:$C,3,0),"")</f>
        <v>ESABORU EUNICE</v>
      </c>
      <c r="F955" s="291">
        <f>IFERROR(INDEX(Disbursements!$D:$D,MATCH('Live Collections'!G955,Disbursements!$C:$C,0)),"")</f>
        <v>1</v>
      </c>
      <c r="G955" s="34">
        <v>17</v>
      </c>
      <c r="H955" s="34">
        <v>1450</v>
      </c>
      <c r="I955" s="34" t="s">
        <v>1358</v>
      </c>
      <c r="J955" s="48"/>
      <c r="K955" s="48"/>
      <c r="L955" s="48"/>
      <c r="M955" s="48"/>
      <c r="N955" s="59"/>
      <c r="O955" s="59">
        <v>20000</v>
      </c>
      <c r="P955" s="59"/>
      <c r="Q955" s="268">
        <f t="shared" si="44"/>
        <v>20000</v>
      </c>
      <c r="R955" s="61">
        <f>IF(O955=0,0,SUMIFS(Disbursements!$T:$T,Disbursements!$B:$B,'Live Collections'!D955,Disbursements!$D:$D,'Live Collections'!F955))</f>
        <v>90000</v>
      </c>
      <c r="S955" s="304"/>
      <c r="T955" s="304">
        <f t="shared" si="45"/>
        <v>20000</v>
      </c>
      <c r="U955" s="52"/>
      <c r="V955" s="34"/>
      <c r="W955" s="408"/>
    </row>
    <row r="956" spans="1:23" ht="12.75" customHeight="1" x14ac:dyDescent="0.2">
      <c r="A956" s="257">
        <v>940</v>
      </c>
      <c r="B956" s="44">
        <v>44456</v>
      </c>
      <c r="C956" s="44">
        <f t="shared" si="43"/>
        <v>44456</v>
      </c>
      <c r="D956" s="374">
        <v>47</v>
      </c>
      <c r="E956" s="291" t="str">
        <f>IFERROR(VLOOKUP($D956,'Clients-Live'!$A:$C,3,0),"")</f>
        <v>DAWA AMINA</v>
      </c>
      <c r="F956" s="291">
        <f>IFERROR(INDEX(Disbursements!$D:$D,MATCH('Live Collections'!G956,Disbursements!$C:$C,0)),"")</f>
        <v>1</v>
      </c>
      <c r="G956" s="34">
        <v>29</v>
      </c>
      <c r="H956" s="34"/>
      <c r="I956" s="34" t="s">
        <v>1357</v>
      </c>
      <c r="J956" s="48"/>
      <c r="K956" s="48"/>
      <c r="L956" s="48"/>
      <c r="M956" s="48"/>
      <c r="N956" s="59"/>
      <c r="O956" s="59">
        <v>30000</v>
      </c>
      <c r="P956" s="59"/>
      <c r="Q956" s="268">
        <f t="shared" si="44"/>
        <v>30000</v>
      </c>
      <c r="R956" s="61">
        <f>IF(O956=0,0,SUMIFS(Disbursements!$T:$T,Disbursements!$B:$B,'Live Collections'!D956,Disbursements!$D:$D,'Live Collections'!F956))</f>
        <v>0</v>
      </c>
      <c r="S956" s="304">
        <f>IF(O956&lt;=IF($O956=0,0,SUMIFS(Disbursements!$W:$W,Disbursements!$B:$B,'Live Collections'!D541,Disbursements!$D:$D,'Live Collections'!F541)),O956,IF($O956=0,0,SUMIFS(Disbursements!$W:$W,Disbursements!$B:$B,'Live Collections'!D541,Disbursements!$D:$D,'Live Collections'!F541)))</f>
        <v>0</v>
      </c>
      <c r="T956" s="304">
        <f t="shared" si="45"/>
        <v>30000</v>
      </c>
      <c r="U956" s="52"/>
      <c r="V956" s="34"/>
      <c r="W956" s="408"/>
    </row>
    <row r="957" spans="1:23" ht="12.75" customHeight="1" x14ac:dyDescent="0.2">
      <c r="A957" s="132">
        <v>948</v>
      </c>
      <c r="B957" s="44">
        <v>44456</v>
      </c>
      <c r="C957" s="44">
        <f t="shared" si="43"/>
        <v>44456</v>
      </c>
      <c r="D957" s="374">
        <v>56</v>
      </c>
      <c r="E957" s="291" t="str">
        <f>IFERROR(VLOOKUP($D957,'Clients-Live'!$A:$C,3,0),"")</f>
        <v>ALOMO ZABIBU</v>
      </c>
      <c r="F957" s="291" t="str">
        <f>IFERROR(INDEX(Disbursements!$D:$D,MATCH('Live Collections'!G957,Disbursements!$C:$C,0)),"")</f>
        <v/>
      </c>
      <c r="G957" s="34"/>
      <c r="H957" s="34"/>
      <c r="I957" s="34" t="s">
        <v>1357</v>
      </c>
      <c r="J957" s="48"/>
      <c r="K957" s="48"/>
      <c r="L957" s="48">
        <v>10000</v>
      </c>
      <c r="M957" s="48">
        <v>5000</v>
      </c>
      <c r="N957" s="59"/>
      <c r="O957" s="59"/>
      <c r="P957" s="59"/>
      <c r="Q957" s="268">
        <f t="shared" si="44"/>
        <v>15000</v>
      </c>
      <c r="R957" s="61">
        <f>IF(O957=0,0,SUMIFS(Disbursements!$T:$T,Disbursements!$B:$B,'Live Collections'!D957,Disbursements!$D:$D,'Live Collections'!F957))</f>
        <v>0</v>
      </c>
      <c r="S957" s="304">
        <f>IF(O957&lt;=IF($O957=0,0,SUMIFS(Disbursements!$W:$W,Disbursements!$B:$B,'Live Collections'!D666,Disbursements!$D:$D,'Live Collections'!F666)),O957,IF($O957=0,0,SUMIFS(Disbursements!$W:$W,Disbursements!$B:$B,'Live Collections'!D666,Disbursements!$D:$D,'Live Collections'!F666)))</f>
        <v>0</v>
      </c>
      <c r="T957" s="304">
        <f t="shared" si="45"/>
        <v>0</v>
      </c>
      <c r="U957" s="52"/>
      <c r="V957" s="34"/>
      <c r="W957" s="408"/>
    </row>
    <row r="958" spans="1:23" ht="12.75" customHeight="1" x14ac:dyDescent="0.2">
      <c r="A958" s="257">
        <v>943</v>
      </c>
      <c r="B958" s="44">
        <v>44456</v>
      </c>
      <c r="C958" s="44">
        <f t="shared" si="43"/>
        <v>44456</v>
      </c>
      <c r="D958" s="374">
        <v>59</v>
      </c>
      <c r="E958" s="291" t="str">
        <f>IFERROR(VLOOKUP($D958,'Clients-Live'!$A:$C,3,0),"")</f>
        <v>ONZIA AGNES</v>
      </c>
      <c r="F958" s="291">
        <f>IFERROR(INDEX(Disbursements!$D:$D,MATCH('Live Collections'!G958,Disbursements!$C:$C,0)),"")</f>
        <v>1</v>
      </c>
      <c r="G958" s="34">
        <v>39</v>
      </c>
      <c r="H958" s="34">
        <v>1424</v>
      </c>
      <c r="I958" s="34" t="s">
        <v>1358</v>
      </c>
      <c r="J958" s="48"/>
      <c r="K958" s="48"/>
      <c r="L958" s="48"/>
      <c r="M958" s="48"/>
      <c r="N958" s="59"/>
      <c r="O958" s="59">
        <v>150000</v>
      </c>
      <c r="P958" s="59"/>
      <c r="Q958" s="268">
        <f t="shared" si="44"/>
        <v>150000</v>
      </c>
      <c r="R958" s="61">
        <f>IF(O958=0,0,SUMIFS(Disbursements!$T:$T,Disbursements!$B:$B,'Live Collections'!D958,Disbursements!$D:$D,'Live Collections'!F958))</f>
        <v>150000</v>
      </c>
      <c r="S958" s="304">
        <f>IF(O958&lt;=IF($O958=0,0,SUMIFS(Disbursements!$W:$W,Disbursements!$B:$B,'Live Collections'!D703,Disbursements!$D:$D,'Live Collections'!F703)),O958,IF($O958=0,0,SUMIFS(Disbursements!$W:$W,Disbursements!$B:$B,'Live Collections'!D703,Disbursements!$D:$D,'Live Collections'!F703)))</f>
        <v>20000</v>
      </c>
      <c r="T958" s="304">
        <f t="shared" si="45"/>
        <v>130000</v>
      </c>
      <c r="U958" s="52"/>
      <c r="V958" s="34"/>
      <c r="W958" s="408"/>
    </row>
    <row r="959" spans="1:23" ht="12.75" customHeight="1" x14ac:dyDescent="0.2">
      <c r="A959" s="132">
        <v>944</v>
      </c>
      <c r="B959" s="44">
        <v>44456</v>
      </c>
      <c r="C959" s="44">
        <f t="shared" si="43"/>
        <v>44456</v>
      </c>
      <c r="D959" s="374">
        <v>68</v>
      </c>
      <c r="E959" s="291" t="str">
        <f>IFERROR(VLOOKUP($D959,'Clients-Live'!$A:$C,3,0),"")</f>
        <v>CHANDIA  RAHIMA</v>
      </c>
      <c r="F959" s="291">
        <f>IFERROR(INDEX(Disbursements!$D:$D,MATCH('Live Collections'!G959,Disbursements!$C:$C,0)),"")</f>
        <v>1</v>
      </c>
      <c r="G959" s="34">
        <v>51</v>
      </c>
      <c r="H959" s="34">
        <v>1453</v>
      </c>
      <c r="I959" s="34" t="s">
        <v>1357</v>
      </c>
      <c r="J959" s="48"/>
      <c r="K959" s="48"/>
      <c r="L959" s="48"/>
      <c r="M959" s="48"/>
      <c r="N959" s="59"/>
      <c r="O959" s="59">
        <v>78000</v>
      </c>
      <c r="P959" s="59"/>
      <c r="Q959" s="268">
        <f t="shared" si="44"/>
        <v>78000</v>
      </c>
      <c r="R959" s="61">
        <f>IF(O959=0,0,SUMIFS(Disbursements!$T:$T,Disbursements!$B:$B,'Live Collections'!D959,Disbursements!$D:$D,'Live Collections'!F959))</f>
        <v>152000</v>
      </c>
      <c r="S959" s="304">
        <f>IF(O959&lt;=IF($O959=0,0,SUMIFS(Disbursements!$W:$W,Disbursements!$B:$B,'Live Collections'!D843,Disbursements!$D:$D,'Live Collections'!F843)),O959,IF($O959=0,0,SUMIFS(Disbursements!$W:$W,Disbursements!$B:$B,'Live Collections'!D843,Disbursements!$D:$D,'Live Collections'!F843)))</f>
        <v>30000</v>
      </c>
      <c r="T959" s="304">
        <f t="shared" si="45"/>
        <v>48000</v>
      </c>
      <c r="U959" s="52"/>
      <c r="V959" s="34"/>
      <c r="W959" s="408"/>
    </row>
    <row r="960" spans="1:23" ht="12.75" customHeight="1" x14ac:dyDescent="0.2">
      <c r="A960" s="257">
        <v>947</v>
      </c>
      <c r="B960" s="44">
        <v>44456</v>
      </c>
      <c r="C960" s="44">
        <f t="shared" si="43"/>
        <v>44456</v>
      </c>
      <c r="D960" s="374">
        <v>78</v>
      </c>
      <c r="E960" s="291" t="str">
        <f>IFERROR(VLOOKUP($D960,'Clients-Live'!$A:$C,3,0),"")</f>
        <v>DIPIYO BEATRICE JOHN</v>
      </c>
      <c r="F960" s="291">
        <f>IFERROR(INDEX(Disbursements!$D:$D,MATCH('Live Collections'!G960,Disbursements!$C:$C,0)),"")</f>
        <v>1</v>
      </c>
      <c r="G960" s="34">
        <v>62</v>
      </c>
      <c r="H960" s="34"/>
      <c r="I960" s="34" t="s">
        <v>1359</v>
      </c>
      <c r="J960" s="48"/>
      <c r="K960" s="48"/>
      <c r="L960" s="48"/>
      <c r="M960" s="48"/>
      <c r="N960" s="59"/>
      <c r="O960" s="59">
        <v>175000</v>
      </c>
      <c r="P960" s="59"/>
      <c r="Q960" s="268">
        <f t="shared" si="44"/>
        <v>175000</v>
      </c>
      <c r="R960" s="61">
        <f>IF(O960=0,0,SUMIFS(Disbursements!$T:$T,Disbursements!$B:$B,'Live Collections'!D960,Disbursements!$D:$D,'Live Collections'!F960))</f>
        <v>175000</v>
      </c>
      <c r="S960" s="304">
        <f>IF(O960&lt;=IF($O960=0,0,SUMIFS(Disbursements!$W:$W,Disbursements!$B:$B,'Live Collections'!D1000,Disbursements!$D:$D,'Live Collections'!F1000)),O960,IF($O960=0,0,SUMIFS(Disbursements!$W:$W,Disbursements!$B:$B,'Live Collections'!D1000,Disbursements!$D:$D,'Live Collections'!F1000)))</f>
        <v>20000</v>
      </c>
      <c r="T960" s="304">
        <f t="shared" si="45"/>
        <v>155000</v>
      </c>
      <c r="U960" s="52"/>
      <c r="V960" s="34"/>
      <c r="W960" s="408"/>
    </row>
    <row r="961" spans="1:23" ht="12.75" customHeight="1" x14ac:dyDescent="0.2">
      <c r="A961" s="132">
        <v>939</v>
      </c>
      <c r="B961" s="44">
        <v>44456</v>
      </c>
      <c r="C961" s="44">
        <f t="shared" si="43"/>
        <v>44456</v>
      </c>
      <c r="D961" s="374">
        <v>129</v>
      </c>
      <c r="E961" s="291" t="str">
        <f>IFERROR(VLOOKUP($D961,'Clients-Live'!$A:$C,3,0),"")</f>
        <v>BAKO ASINA</v>
      </c>
      <c r="F961" s="291">
        <f>IFERROR(INDEX(Disbursements!$D:$D,MATCH('Live Collections'!G961,Disbursements!$C:$C,0)),"")</f>
        <v>1</v>
      </c>
      <c r="G961" s="34">
        <v>118</v>
      </c>
      <c r="H961" s="34"/>
      <c r="I961" s="34" t="s">
        <v>1358</v>
      </c>
      <c r="J961" s="48"/>
      <c r="K961" s="48"/>
      <c r="L961" s="48"/>
      <c r="M961" s="48"/>
      <c r="N961" s="59"/>
      <c r="O961" s="59">
        <v>390000</v>
      </c>
      <c r="P961" s="59"/>
      <c r="Q961" s="268">
        <f t="shared" si="44"/>
        <v>390000</v>
      </c>
      <c r="R961" s="61">
        <f>IF(O961=0,0,SUMIFS(Disbursements!$T:$T,Disbursements!$B:$B,'Live Collections'!D961,Disbursements!$D:$D,'Live Collections'!F961))</f>
        <v>575000</v>
      </c>
      <c r="S961" s="304">
        <f>IF(O961&lt;=IF($O961=0,0,SUMIFS(Disbursements!$W:$W,Disbursements!$B:$B,'Live Collections'!D1633,Disbursements!$D:$D,'Live Collections'!F1633)),O961,IF($O961=0,0,SUMIFS(Disbursements!$W:$W,Disbursements!$B:$B,'Live Collections'!D1633,Disbursements!$D:$D,'Live Collections'!F1633)))</f>
        <v>25000</v>
      </c>
      <c r="T961" s="304">
        <f t="shared" si="45"/>
        <v>365000</v>
      </c>
      <c r="U961" s="52"/>
      <c r="V961" s="34"/>
      <c r="W961" s="408"/>
    </row>
    <row r="962" spans="1:23" ht="12.75" customHeight="1" x14ac:dyDescent="0.2">
      <c r="A962" s="257">
        <v>941</v>
      </c>
      <c r="B962" s="44">
        <v>44456</v>
      </c>
      <c r="C962" s="44">
        <f t="shared" si="43"/>
        <v>44456</v>
      </c>
      <c r="D962" s="374">
        <v>161</v>
      </c>
      <c r="E962" s="291" t="str">
        <f>IFERROR(VLOOKUP($D962,'Clients-Live'!$A:$C,3,0),"")</f>
        <v>OKUYO BERNARD</v>
      </c>
      <c r="F962" s="291">
        <f>IFERROR(INDEX(Disbursements!$D:$D,MATCH('Live Collections'!G962,Disbursements!$C:$C,0)),"")</f>
        <v>1</v>
      </c>
      <c r="G962" s="34">
        <v>146</v>
      </c>
      <c r="H962" s="34"/>
      <c r="I962" s="34" t="s">
        <v>1357</v>
      </c>
      <c r="J962" s="48"/>
      <c r="K962" s="48"/>
      <c r="L962" s="48"/>
      <c r="M962" s="48"/>
      <c r="N962" s="59"/>
      <c r="O962" s="59">
        <v>4875000</v>
      </c>
      <c r="P962" s="59"/>
      <c r="Q962" s="268">
        <f t="shared" si="44"/>
        <v>4875000</v>
      </c>
      <c r="R962" s="61">
        <f>IF(O962=0,0,SUMIFS(Disbursements!$T:$T,Disbursements!$B:$B,'Live Collections'!D962,Disbursements!$D:$D,'Live Collections'!F962))</f>
        <v>5375000</v>
      </c>
      <c r="S962" s="304">
        <f>IF(O962&lt;=IF($O962=0,0,SUMIFS(Disbursements!$W:$W,Disbursements!$B:$B,'Live Collections'!D2005,Disbursements!$D:$D,'Live Collections'!F2005)),O962,IF($O962=0,0,SUMIFS(Disbursements!$W:$W,Disbursements!$B:$B,'Live Collections'!D2005,Disbursements!$D:$D,'Live Collections'!F2005)))</f>
        <v>38000</v>
      </c>
      <c r="T962" s="304">
        <f t="shared" si="45"/>
        <v>4837000</v>
      </c>
      <c r="U962" s="52"/>
      <c r="V962" s="34"/>
      <c r="W962" s="408"/>
    </row>
    <row r="963" spans="1:23" ht="12.75" customHeight="1" x14ac:dyDescent="0.2">
      <c r="A963" s="132">
        <v>946</v>
      </c>
      <c r="B963" s="44">
        <v>44456</v>
      </c>
      <c r="C963" s="44">
        <f t="shared" si="43"/>
        <v>44456</v>
      </c>
      <c r="D963" s="374">
        <v>184</v>
      </c>
      <c r="E963" s="291" t="str">
        <f>IFERROR(VLOOKUP($D963,'Clients-Live'!$A:$C,3,0),"")</f>
        <v>OCOKORU GLORIA</v>
      </c>
      <c r="F963" s="291">
        <f>IFERROR(INDEX(Disbursements!$D:$D,MATCH('Live Collections'!G963,Disbursements!$C:$C,0)),"")</f>
        <v>1</v>
      </c>
      <c r="G963" s="34">
        <v>170</v>
      </c>
      <c r="H963" s="34"/>
      <c r="I963" s="34" t="s">
        <v>1358</v>
      </c>
      <c r="J963" s="48"/>
      <c r="K963" s="48"/>
      <c r="L963" s="48"/>
      <c r="M963" s="48"/>
      <c r="N963" s="59"/>
      <c r="O963" s="59">
        <v>200000</v>
      </c>
      <c r="P963" s="59"/>
      <c r="Q963" s="268">
        <f t="shared" si="44"/>
        <v>200000</v>
      </c>
      <c r="R963" s="61">
        <f>IF(O963=0,0,SUMIFS(Disbursements!$T:$T,Disbursements!$B:$B,'Live Collections'!D963,Disbursements!$D:$D,'Live Collections'!F963))</f>
        <v>240000</v>
      </c>
      <c r="S963" s="304">
        <f>IF(O963&lt;=IF($O963=0,0,SUMIFS(Disbursements!$W:$W,Disbursements!$B:$B,'Live Collections'!D2239,Disbursements!$D:$D,'Live Collections'!F2239)),O963,IF($O963=0,0,SUMIFS(Disbursements!$W:$W,Disbursements!$B:$B,'Live Collections'!D2239,Disbursements!$D:$D,'Live Collections'!F2239)))</f>
        <v>15000</v>
      </c>
      <c r="T963" s="304">
        <f t="shared" si="45"/>
        <v>185000</v>
      </c>
      <c r="U963" s="52"/>
      <c r="V963" s="34"/>
      <c r="W963" s="408"/>
    </row>
    <row r="964" spans="1:23" ht="12.75" customHeight="1" x14ac:dyDescent="0.2">
      <c r="A964" s="257">
        <v>942</v>
      </c>
      <c r="B964" s="44">
        <v>44456</v>
      </c>
      <c r="C964" s="44">
        <f t="shared" si="43"/>
        <v>44456</v>
      </c>
      <c r="D964" s="374">
        <v>206</v>
      </c>
      <c r="E964" s="291" t="str">
        <f>IFERROR(VLOOKUP($D964,'Clients-Live'!$A:$C,3,0),"")</f>
        <v>AMILE AISHA</v>
      </c>
      <c r="F964" s="291">
        <f>IFERROR(INDEX(Disbursements!$D:$D,MATCH('Live Collections'!G964,Disbursements!$C:$C,0)),"")</f>
        <v>1</v>
      </c>
      <c r="G964" s="34">
        <v>214</v>
      </c>
      <c r="H964" s="34">
        <v>1451</v>
      </c>
      <c r="I964" s="34" t="s">
        <v>1357</v>
      </c>
      <c r="J964" s="48"/>
      <c r="K964" s="48"/>
      <c r="L964" s="48"/>
      <c r="M964" s="48"/>
      <c r="N964" s="59"/>
      <c r="O964" s="59">
        <v>60000</v>
      </c>
      <c r="P964" s="59"/>
      <c r="Q964" s="268">
        <f t="shared" si="44"/>
        <v>60000</v>
      </c>
      <c r="R964" s="61">
        <f>IF(O964=0,0,SUMIFS(Disbursements!$T:$T,Disbursements!$B:$B,'Live Collections'!D964,Disbursements!$D:$D,'Live Collections'!F964))</f>
        <v>120000</v>
      </c>
      <c r="S964" s="304">
        <f>IF(O964&lt;=IF($O964=0,0,SUMIFS(Disbursements!$W:$W,Disbursements!$B:$B,'Live Collections'!D2436,Disbursements!$D:$D,'Live Collections'!F2436)),O964,IF($O964=0,0,SUMIFS(Disbursements!$W:$W,Disbursements!$B:$B,'Live Collections'!D2436,Disbursements!$D:$D,'Live Collections'!F2436)))</f>
        <v>35000</v>
      </c>
      <c r="T964" s="304">
        <f t="shared" si="45"/>
        <v>25000</v>
      </c>
      <c r="U964" s="52"/>
      <c r="V964" s="34"/>
      <c r="W964" s="408"/>
    </row>
    <row r="965" spans="1:23" ht="12.75" customHeight="1" x14ac:dyDescent="0.2">
      <c r="A965" s="132">
        <v>953</v>
      </c>
      <c r="B965" s="44">
        <v>44457</v>
      </c>
      <c r="C965" s="44">
        <f t="shared" si="43"/>
        <v>44457</v>
      </c>
      <c r="D965" s="374">
        <v>18</v>
      </c>
      <c r="E965" s="291" t="str">
        <f>IFERROR(VLOOKUP($D965,'Clients-Live'!$A:$C,3,0),"")</f>
        <v>ARIYE PEACE</v>
      </c>
      <c r="F965" s="291">
        <f>IFERROR(INDEX(Disbursements!$D:$D,MATCH('Live Collections'!G965,Disbursements!$C:$C,0)),"")</f>
        <v>1</v>
      </c>
      <c r="G965" s="34">
        <v>9</v>
      </c>
      <c r="H965" s="34"/>
      <c r="I965" s="34" t="s">
        <v>1357</v>
      </c>
      <c r="J965" s="48"/>
      <c r="K965" s="48"/>
      <c r="L965" s="48"/>
      <c r="M965" s="48"/>
      <c r="N965" s="59"/>
      <c r="O965" s="59">
        <v>108000</v>
      </c>
      <c r="P965" s="59"/>
      <c r="Q965" s="268">
        <f t="shared" si="44"/>
        <v>108000</v>
      </c>
      <c r="R965" s="61">
        <f>IF(O965=0,0,SUMIFS(Disbursements!$T:$T,Disbursements!$B:$B,'Live Collections'!D965,Disbursements!$D:$D,'Live Collections'!F965))</f>
        <v>109000</v>
      </c>
      <c r="S965" s="304">
        <f>IF(O965&lt;=IF($O965=0,0,SUMIFS(Disbursements!$W:$W,Disbursements!$B:$B,'Live Collections'!D205,Disbursements!$D:$D,'Live Collections'!F205)),O965,IF($O965=0,0,SUMIFS(Disbursements!$W:$W,Disbursements!$B:$B,'Live Collections'!D205,Disbursements!$D:$D,'Live Collections'!F205)))</f>
        <v>50666.666666666686</v>
      </c>
      <c r="T965" s="304">
        <f t="shared" si="45"/>
        <v>57333.333333333314</v>
      </c>
      <c r="U965" s="52"/>
      <c r="V965" s="34"/>
      <c r="W965" s="408"/>
    </row>
    <row r="966" spans="1:23" ht="12.75" customHeight="1" x14ac:dyDescent="0.2">
      <c r="A966" s="257">
        <v>951</v>
      </c>
      <c r="B966" s="44">
        <v>44457</v>
      </c>
      <c r="C966" s="44">
        <f t="shared" si="43"/>
        <v>44457</v>
      </c>
      <c r="D966" s="374">
        <v>75</v>
      </c>
      <c r="E966" s="291" t="str">
        <f>IFERROR(VLOOKUP($D966,'Clients-Live'!$A:$C,3,0),"")</f>
        <v>MUKULIA JAMES</v>
      </c>
      <c r="F966" s="291">
        <f>IFERROR(INDEX(Disbursements!$D:$D,MATCH('Live Collections'!G966,Disbursements!$C:$C,0)),"")</f>
        <v>2</v>
      </c>
      <c r="G966" s="34">
        <v>174</v>
      </c>
      <c r="H966" s="34"/>
      <c r="I966" s="34" t="s">
        <v>1359</v>
      </c>
      <c r="J966" s="48"/>
      <c r="K966" s="48"/>
      <c r="L966" s="48"/>
      <c r="M966" s="48"/>
      <c r="N966" s="59"/>
      <c r="O966" s="59">
        <f>40000-2000</f>
        <v>38000</v>
      </c>
      <c r="P966" s="59"/>
      <c r="Q966" s="268">
        <f t="shared" si="44"/>
        <v>38000</v>
      </c>
      <c r="R966" s="61">
        <f>IF(O966=0,0,SUMIFS(Disbursements!$T:$T,Disbursements!$B:$B,'Live Collections'!D966,Disbursements!$D:$D,'Live Collections'!F966))</f>
        <v>175000</v>
      </c>
      <c r="S966" s="304">
        <f>IF(O966&lt;=IF($O966=0,0,SUMIFS(Disbursements!$W:$W,Disbursements!$B:$B,'Live Collections'!D954,Disbursements!$D:$D,'Live Collections'!F954)),O966,IF($O966=0,0,SUMIFS(Disbursements!$W:$W,Disbursements!$B:$B,'Live Collections'!D954,Disbursements!$D:$D,'Live Collections'!F954)))</f>
        <v>25666.666666666672</v>
      </c>
      <c r="T966" s="304">
        <f t="shared" si="45"/>
        <v>12333.333333333328</v>
      </c>
      <c r="U966" s="52"/>
      <c r="V966" s="34"/>
      <c r="W966" s="408"/>
    </row>
    <row r="967" spans="1:23" ht="12.75" customHeight="1" x14ac:dyDescent="0.2">
      <c r="A967" s="132">
        <v>951</v>
      </c>
      <c r="B967" s="44">
        <v>44457</v>
      </c>
      <c r="C967" s="44">
        <f t="shared" si="43"/>
        <v>44457</v>
      </c>
      <c r="D967" s="374">
        <v>75</v>
      </c>
      <c r="E967" s="291" t="str">
        <f>IFERROR(VLOOKUP($D967,'Clients-Live'!$A:$C,3,0),"")</f>
        <v>MUKULIA JAMES</v>
      </c>
      <c r="F967" s="291">
        <f>IFERROR(INDEX(Disbursements!$D:$D,MATCH('Live Collections'!G967,Disbursements!$C:$C,0)),"")</f>
        <v>1</v>
      </c>
      <c r="G967" s="34">
        <v>55</v>
      </c>
      <c r="H967" s="34"/>
      <c r="I967" s="34" t="s">
        <v>1359</v>
      </c>
      <c r="J967" s="48"/>
      <c r="K967" s="48"/>
      <c r="L967" s="48"/>
      <c r="M967" s="48"/>
      <c r="N967" s="59"/>
      <c r="O967" s="59">
        <v>2000</v>
      </c>
      <c r="P967" s="59"/>
      <c r="Q967" s="268">
        <f t="shared" si="44"/>
        <v>2000</v>
      </c>
      <c r="R967" s="61">
        <f>IF(O967=0,0,SUMIFS(Disbursements!$T:$T,Disbursements!$B:$B,'Live Collections'!D967,Disbursements!$D:$D,'Live Collections'!F967))</f>
        <v>154000</v>
      </c>
      <c r="S967" s="64">
        <v>21999.999999999971</v>
      </c>
      <c r="T967" s="304">
        <f t="shared" si="45"/>
        <v>-19999.999999999971</v>
      </c>
      <c r="U967" s="52"/>
      <c r="V967" s="34"/>
      <c r="W967" s="408"/>
    </row>
    <row r="968" spans="1:23" ht="12.75" customHeight="1" x14ac:dyDescent="0.2">
      <c r="A968" s="257">
        <v>949</v>
      </c>
      <c r="B968" s="44">
        <v>44457</v>
      </c>
      <c r="C968" s="44">
        <f t="shared" si="43"/>
        <v>44457</v>
      </c>
      <c r="D968" s="374">
        <v>129</v>
      </c>
      <c r="E968" s="291" t="str">
        <f>IFERROR(VLOOKUP($D968,'Clients-Live'!$A:$C,3,0),"")</f>
        <v>BAKO ASINA</v>
      </c>
      <c r="F968" s="291">
        <f>IFERROR(INDEX(Disbursements!$D:$D,MATCH('Live Collections'!G968,Disbursements!$C:$C,0)),"")</f>
        <v>1</v>
      </c>
      <c r="G968" s="34">
        <v>118</v>
      </c>
      <c r="H968" s="34"/>
      <c r="I968" s="34" t="s">
        <v>1358</v>
      </c>
      <c r="J968" s="48"/>
      <c r="K968" s="48"/>
      <c r="L968" s="48"/>
      <c r="M968" s="48"/>
      <c r="N968" s="59"/>
      <c r="O968" s="59">
        <v>185000</v>
      </c>
      <c r="P968" s="59"/>
      <c r="Q968" s="268">
        <f t="shared" si="44"/>
        <v>185000</v>
      </c>
      <c r="R968" s="61">
        <f>IF(O968=0,0,SUMIFS(Disbursements!$T:$T,Disbursements!$B:$B,'Live Collections'!D968,Disbursements!$D:$D,'Live Collections'!F968))</f>
        <v>575000</v>
      </c>
      <c r="S968" s="304">
        <f>IF(O968&lt;=IF($O968=0,0,SUMIFS(Disbursements!$W:$W,Disbursements!$B:$B,'Live Collections'!D1634,Disbursements!$D:$D,'Live Collections'!F1634)),O968,IF($O968=0,0,SUMIFS(Disbursements!$W:$W,Disbursements!$B:$B,'Live Collections'!D1634,Disbursements!$D:$D,'Live Collections'!F1634)))</f>
        <v>25000</v>
      </c>
      <c r="T968" s="304">
        <f t="shared" si="45"/>
        <v>160000</v>
      </c>
      <c r="U968" s="52"/>
      <c r="V968" s="34"/>
      <c r="W968" s="408"/>
    </row>
    <row r="969" spans="1:23" ht="12.75" customHeight="1" x14ac:dyDescent="0.2">
      <c r="A969" s="132">
        <v>950</v>
      </c>
      <c r="B969" s="44">
        <v>44457</v>
      </c>
      <c r="C969" s="44">
        <f t="shared" ref="C969:C1032" si="46">B969</f>
        <v>44457</v>
      </c>
      <c r="D969" s="374">
        <v>134</v>
      </c>
      <c r="E969" s="291" t="str">
        <f>IFERROR(VLOOKUP($D969,'Clients-Live'!$A:$C,3,0),"")</f>
        <v>TABU NATALIYA</v>
      </c>
      <c r="F969" s="291">
        <f>IFERROR(INDEX(Disbursements!$D:$D,MATCH('Live Collections'!G969,Disbursements!$C:$C,0)),"")</f>
        <v>1</v>
      </c>
      <c r="G969" s="34">
        <v>117</v>
      </c>
      <c r="H969" s="34"/>
      <c r="I969" s="34" t="s">
        <v>1359</v>
      </c>
      <c r="J969" s="48"/>
      <c r="K969" s="48"/>
      <c r="L969" s="48"/>
      <c r="M969" s="48"/>
      <c r="N969" s="59"/>
      <c r="O969" s="59">
        <v>80000</v>
      </c>
      <c r="P969" s="59"/>
      <c r="Q969" s="268">
        <f t="shared" ref="Q969:Q1032" si="47">SUM(J969:P969)</f>
        <v>80000</v>
      </c>
      <c r="R969" s="61">
        <f>IF(O969=0,0,SUMIFS(Disbursements!$T:$T,Disbursements!$B:$B,'Live Collections'!D969,Disbursements!$D:$D,'Live Collections'!F969))</f>
        <v>120000</v>
      </c>
      <c r="S969" s="304">
        <f>IF(O969&lt;=IF($O969=0,0,SUMIFS(Disbursements!$W:$W,Disbursements!$B:$B,'Live Collections'!D2307,Disbursements!$D:$D,'Live Collections'!F2307)),O969,IF($O969=0,0,SUMIFS(Disbursements!$W:$W,Disbursements!$B:$B,'Live Collections'!D2307,Disbursements!$D:$D,'Live Collections'!F2307)))</f>
        <v>25000</v>
      </c>
      <c r="T969" s="304">
        <f t="shared" ref="T969:T1032" si="48">IF(O969=0,0,O969-S969)</f>
        <v>55000</v>
      </c>
      <c r="U969" s="52"/>
      <c r="V969" s="34"/>
      <c r="W969" s="408"/>
    </row>
    <row r="970" spans="1:23" ht="12.75" customHeight="1" x14ac:dyDescent="0.2">
      <c r="A970" s="257">
        <v>952</v>
      </c>
      <c r="B970" s="44">
        <v>44457</v>
      </c>
      <c r="C970" s="44">
        <f t="shared" si="46"/>
        <v>44457</v>
      </c>
      <c r="D970" s="374">
        <v>212</v>
      </c>
      <c r="E970" s="291" t="str">
        <f>IFERROR(VLOOKUP($D970,'Clients-Live'!$A:$C,3,0),"")</f>
        <v>ACIDRI WILLIAM</v>
      </c>
      <c r="F970" s="291">
        <f>IFERROR(INDEX(Disbursements!$D:$D,MATCH('Live Collections'!G970,Disbursements!$C:$C,0)),"")</f>
        <v>1</v>
      </c>
      <c r="G970" s="34">
        <v>206</v>
      </c>
      <c r="H970" s="34"/>
      <c r="I970" s="34" t="s">
        <v>1358</v>
      </c>
      <c r="J970" s="48"/>
      <c r="K970" s="48"/>
      <c r="L970" s="48"/>
      <c r="M970" s="48"/>
      <c r="N970" s="59"/>
      <c r="O970" s="59">
        <v>80000</v>
      </c>
      <c r="P970" s="59"/>
      <c r="Q970" s="268">
        <f t="shared" si="47"/>
        <v>80000</v>
      </c>
      <c r="R970" s="61">
        <f>IF(O970=0,0,SUMIFS(Disbursements!$T:$T,Disbursements!$B:$B,'Live Collections'!D970,Disbursements!$D:$D,'Live Collections'!F970))</f>
        <v>266000</v>
      </c>
      <c r="S970" s="304">
        <f>IF(O970&lt;=IF($O970=0,0,SUMIFS(Disbursements!$W:$W,Disbursements!$B:$B,'Live Collections'!D2500,Disbursements!$D:$D,'Live Collections'!F2500)),O970,IF($O970=0,0,SUMIFS(Disbursements!$W:$W,Disbursements!$B:$B,'Live Collections'!D2500,Disbursements!$D:$D,'Live Collections'!F2500)))</f>
        <v>75000</v>
      </c>
      <c r="T970" s="304">
        <f t="shared" si="48"/>
        <v>5000</v>
      </c>
      <c r="U970" s="52"/>
      <c r="V970" s="34"/>
      <c r="W970" s="408"/>
    </row>
    <row r="971" spans="1:23" ht="12.75" customHeight="1" x14ac:dyDescent="0.2">
      <c r="A971" s="132">
        <v>970</v>
      </c>
      <c r="B971" s="44">
        <v>44459</v>
      </c>
      <c r="C971" s="44">
        <f t="shared" si="46"/>
        <v>44459</v>
      </c>
      <c r="D971" s="374">
        <v>3</v>
      </c>
      <c r="E971" s="291" t="str">
        <f>IFERROR(VLOOKUP($D971,'Clients-Live'!$A:$C,3,0),"")</f>
        <v>YEKA ARIJABU</v>
      </c>
      <c r="F971" s="291" t="str">
        <f>IFERROR(INDEX(Disbursements!$D:$D,MATCH('Live Collections'!G971,Disbursements!$C:$C,0)),"")</f>
        <v/>
      </c>
      <c r="G971" s="34"/>
      <c r="H971" s="34">
        <v>1478</v>
      </c>
      <c r="I971" s="34" t="s">
        <v>1358</v>
      </c>
      <c r="J971" s="48">
        <v>15000</v>
      </c>
      <c r="K971" s="48">
        <v>5000</v>
      </c>
      <c r="L971" s="48">
        <v>20000</v>
      </c>
      <c r="M971" s="48">
        <v>5000</v>
      </c>
      <c r="N971" s="59"/>
      <c r="O971" s="59"/>
      <c r="P971" s="59">
        <v>200000</v>
      </c>
      <c r="Q971" s="268">
        <f t="shared" si="47"/>
        <v>245000</v>
      </c>
      <c r="R971" s="61">
        <f>IF(O971=0,0,SUMIFS(Disbursements!$T:$T,Disbursements!$B:$B,'Live Collections'!D971,Disbursements!$D:$D,'Live Collections'!F971))</f>
        <v>0</v>
      </c>
      <c r="S971" s="304">
        <f>IF(O971&lt;=IF($O971=0,0,SUMIFS(Disbursements!$W:$W,Disbursements!$B:$B,'Live Collections'!D23,Disbursements!$D:$D,'Live Collections'!F23)),O971,IF($O971=0,0,SUMIFS(Disbursements!$W:$W,Disbursements!$B:$B,'Live Collections'!D23,Disbursements!$D:$D,'Live Collections'!F23)))</f>
        <v>0</v>
      </c>
      <c r="T971" s="304">
        <f t="shared" si="48"/>
        <v>0</v>
      </c>
      <c r="U971" s="52"/>
      <c r="V971" s="34"/>
      <c r="W971" s="408"/>
    </row>
    <row r="972" spans="1:23" ht="12.75" customHeight="1" x14ac:dyDescent="0.2">
      <c r="A972" s="257">
        <v>956</v>
      </c>
      <c r="B972" s="44">
        <v>44459</v>
      </c>
      <c r="C972" s="44">
        <f t="shared" si="46"/>
        <v>44459</v>
      </c>
      <c r="D972" s="374">
        <v>15</v>
      </c>
      <c r="E972" s="291" t="str">
        <f>IFERROR(VLOOKUP($D972,'Clients-Live'!$A:$C,3,0),"")</f>
        <v>NATOSHA LUCY</v>
      </c>
      <c r="F972" s="291">
        <f>IFERROR(INDEX(Disbursements!$D:$D,MATCH('Live Collections'!G972,Disbursements!$C:$C,0)),"")</f>
        <v>1</v>
      </c>
      <c r="G972" s="34">
        <v>8</v>
      </c>
      <c r="H972" s="34"/>
      <c r="I972" s="34" t="s">
        <v>1358</v>
      </c>
      <c r="J972" s="48"/>
      <c r="K972" s="48"/>
      <c r="L972" s="48"/>
      <c r="M972" s="48"/>
      <c r="N972" s="59"/>
      <c r="O972" s="59">
        <v>100000</v>
      </c>
      <c r="P972" s="59"/>
      <c r="Q972" s="268">
        <f t="shared" si="47"/>
        <v>100000</v>
      </c>
      <c r="R972" s="61">
        <f>IF(O972=0,0,SUMIFS(Disbursements!$T:$T,Disbursements!$B:$B,'Live Collections'!D972,Disbursements!$D:$D,'Live Collections'!F972))</f>
        <v>434000</v>
      </c>
      <c r="S972" s="304">
        <f>IF(O972&lt;=IF($O972=0,0,SUMIFS(Disbursements!$W:$W,Disbursements!$B:$B,'Live Collections'!D158,Disbursements!$D:$D,'Live Collections'!F158)),O972,IF($O972=0,0,SUMIFS(Disbursements!$W:$W,Disbursements!$B:$B,'Live Collections'!D158,Disbursements!$D:$D,'Live Collections'!F158)))</f>
        <v>50000</v>
      </c>
      <c r="T972" s="304"/>
      <c r="U972" s="52"/>
      <c r="V972" s="34"/>
      <c r="W972" s="408"/>
    </row>
    <row r="973" spans="1:23" ht="12.75" customHeight="1" x14ac:dyDescent="0.2">
      <c r="A973" s="132">
        <v>955</v>
      </c>
      <c r="B973" s="44">
        <v>44459</v>
      </c>
      <c r="C973" s="44">
        <f t="shared" si="46"/>
        <v>44459</v>
      </c>
      <c r="D973" s="374">
        <v>46</v>
      </c>
      <c r="E973" s="291" t="str">
        <f>IFERROR(VLOOKUP($D973,'Clients-Live'!$A:$C,3,0),"")</f>
        <v>ALIO YUDA</v>
      </c>
      <c r="F973" s="291">
        <f>IFERROR(INDEX(Disbursements!$D:$D,MATCH('Live Collections'!G973,Disbursements!$C:$C,0)),"")</f>
        <v>1</v>
      </c>
      <c r="G973" s="34">
        <v>35</v>
      </c>
      <c r="H973" s="34"/>
      <c r="I973" s="34" t="s">
        <v>1357</v>
      </c>
      <c r="J973" s="48"/>
      <c r="K973" s="48"/>
      <c r="L973" s="48"/>
      <c r="M973" s="48"/>
      <c r="N973" s="59"/>
      <c r="O973" s="59">
        <v>130000</v>
      </c>
      <c r="P973" s="59"/>
      <c r="Q973" s="268">
        <f t="shared" si="47"/>
        <v>130000</v>
      </c>
      <c r="R973" s="61">
        <f>IF(O973=0,0,SUMIFS(Disbursements!$T:$T,Disbursements!$B:$B,'Live Collections'!D973,Disbursements!$D:$D,'Live Collections'!F973))</f>
        <v>325000</v>
      </c>
      <c r="S973" s="304">
        <f>IF(O973&lt;=IF($O973=0,0,SUMIFS(Disbursements!$W:$W,Disbursements!$B:$B,'Live Collections'!D519,Disbursements!$D:$D,'Live Collections'!F519)),O973,IF($O973=0,0,SUMIFS(Disbursements!$W:$W,Disbursements!$B:$B,'Live Collections'!D519,Disbursements!$D:$D,'Live Collections'!F519)))</f>
        <v>35000</v>
      </c>
      <c r="T973" s="304">
        <f t="shared" si="48"/>
        <v>95000</v>
      </c>
      <c r="U973" s="52"/>
      <c r="V973" s="34"/>
      <c r="W973" s="408"/>
    </row>
    <row r="974" spans="1:23" ht="12.75" customHeight="1" x14ac:dyDescent="0.2">
      <c r="A974" s="257">
        <v>972</v>
      </c>
      <c r="B974" s="44">
        <v>44459</v>
      </c>
      <c r="C974" s="44">
        <f t="shared" si="46"/>
        <v>44459</v>
      </c>
      <c r="D974" s="374">
        <v>56</v>
      </c>
      <c r="E974" s="291" t="str">
        <f>IFERROR(VLOOKUP($D974,'Clients-Live'!$A:$C,3,0),"")</f>
        <v>ALOMO ZABIBU</v>
      </c>
      <c r="F974" s="291">
        <f>IFERROR(INDEX(Disbursements!$D:$D,MATCH('Live Collections'!G974,Disbursements!$C:$C,0)),"")</f>
        <v>2</v>
      </c>
      <c r="G974" s="34">
        <v>226</v>
      </c>
      <c r="H974" s="34">
        <v>1486</v>
      </c>
      <c r="I974" s="34" t="s">
        <v>1357</v>
      </c>
      <c r="J974" s="48"/>
      <c r="K974" s="48"/>
      <c r="L974" s="48"/>
      <c r="M974" s="48"/>
      <c r="N974" s="59"/>
      <c r="O974" s="59"/>
      <c r="P974" s="59">
        <v>30000</v>
      </c>
      <c r="Q974" s="268">
        <f t="shared" si="47"/>
        <v>30000</v>
      </c>
      <c r="R974" s="61">
        <f>IF(O974=0,0,SUMIFS(Disbursements!$T:$T,Disbursements!$B:$B,'Live Collections'!D974,Disbursements!$D:$D,'Live Collections'!F974))</f>
        <v>0</v>
      </c>
      <c r="S974" s="304">
        <f>IF(O974&lt;=IF($O974=0,0,SUMIFS(Disbursements!$W:$W,Disbursements!$B:$B,'Live Collections'!D667,Disbursements!$D:$D,'Live Collections'!F667)),O974,IF($O974=0,0,SUMIFS(Disbursements!$W:$W,Disbursements!$B:$B,'Live Collections'!D667,Disbursements!$D:$D,'Live Collections'!F667)))</f>
        <v>0</v>
      </c>
      <c r="T974" s="304">
        <f t="shared" si="48"/>
        <v>0</v>
      </c>
      <c r="U974" s="52"/>
      <c r="V974" s="34"/>
      <c r="W974" s="408"/>
    </row>
    <row r="975" spans="1:23" ht="12.75" customHeight="1" x14ac:dyDescent="0.2">
      <c r="A975" s="132">
        <v>961</v>
      </c>
      <c r="B975" s="44">
        <v>44459</v>
      </c>
      <c r="C975" s="44">
        <f t="shared" si="46"/>
        <v>44459</v>
      </c>
      <c r="D975" s="374">
        <v>63</v>
      </c>
      <c r="E975" s="291" t="str">
        <f>IFERROR(VLOOKUP($D975,'Clients-Live'!$A:$C,3,0),"")</f>
        <v>AWURU KADARA</v>
      </c>
      <c r="F975" s="291">
        <f>IFERROR(INDEX(Disbursements!$D:$D,MATCH('Live Collections'!G975,Disbursements!$C:$C,0)),"")</f>
        <v>2</v>
      </c>
      <c r="G975" s="34">
        <v>173</v>
      </c>
      <c r="H975" s="34"/>
      <c r="I975" s="34" t="s">
        <v>1357</v>
      </c>
      <c r="J975" s="48"/>
      <c r="K975" s="48"/>
      <c r="L975" s="48"/>
      <c r="M975" s="48"/>
      <c r="N975" s="59"/>
      <c r="O975" s="59">
        <v>110000</v>
      </c>
      <c r="P975" s="59"/>
      <c r="Q975" s="268">
        <f t="shared" si="47"/>
        <v>110000</v>
      </c>
      <c r="R975" s="61">
        <f>IF(O975=0,0,SUMIFS(Disbursements!$T:$T,Disbursements!$B:$B,'Live Collections'!D975,Disbursements!$D:$D,'Live Collections'!F975))</f>
        <v>175000</v>
      </c>
      <c r="S975" s="304">
        <f>IF(O975&lt;=IF($O975=0,0,SUMIFS(Disbursements!$W:$W,Disbursements!$B:$B,'Live Collections'!D755,Disbursements!$D:$D,'Live Collections'!F755)),O975,IF($O975=0,0,SUMIFS(Disbursements!$W:$W,Disbursements!$B:$B,'Live Collections'!D755,Disbursements!$D:$D,'Live Collections'!F755)))</f>
        <v>15000</v>
      </c>
      <c r="T975" s="304">
        <f t="shared" si="48"/>
        <v>95000</v>
      </c>
      <c r="U975" s="52"/>
      <c r="V975" s="34"/>
      <c r="W975" s="408"/>
    </row>
    <row r="976" spans="1:23" ht="12.75" customHeight="1" x14ac:dyDescent="0.2">
      <c r="A976" s="257">
        <v>964</v>
      </c>
      <c r="B976" s="44">
        <v>44459</v>
      </c>
      <c r="C976" s="44">
        <f t="shared" si="46"/>
        <v>44459</v>
      </c>
      <c r="D976" s="374">
        <v>80</v>
      </c>
      <c r="E976" s="291" t="str">
        <f>IFERROR(VLOOKUP($D976,'Clients-Live'!$A:$C,3,0),"")</f>
        <v>ARIYE AISHA</v>
      </c>
      <c r="F976" s="291">
        <f>IFERROR(INDEX(Disbursements!$D:$D,MATCH('Live Collections'!G976,Disbursements!$C:$C,0)),"")</f>
        <v>1</v>
      </c>
      <c r="G976" s="34">
        <v>63</v>
      </c>
      <c r="H976" s="34"/>
      <c r="I976" s="34" t="s">
        <v>1357</v>
      </c>
      <c r="J976" s="48"/>
      <c r="K976" s="48"/>
      <c r="L976" s="48"/>
      <c r="M976" s="48"/>
      <c r="N976" s="59"/>
      <c r="O976" s="59">
        <v>250000</v>
      </c>
      <c r="P976" s="59"/>
      <c r="Q976" s="268">
        <f t="shared" si="47"/>
        <v>250000</v>
      </c>
      <c r="R976" s="61">
        <f>IF(O976=0,0,SUMIFS(Disbursements!$T:$T,Disbursements!$B:$B,'Live Collections'!D976,Disbursements!$D:$D,'Live Collections'!F976))</f>
        <v>250000</v>
      </c>
      <c r="S976" s="304">
        <f>IF(O976&lt;=IF($O976=0,0,SUMIFS(Disbursements!$W:$W,Disbursements!$B:$B,'Live Collections'!D1038,Disbursements!$D:$D,'Live Collections'!F1038)),O976,IF($O976=0,0,SUMIFS(Disbursements!$W:$W,Disbursements!$B:$B,'Live Collections'!D1038,Disbursements!$D:$D,'Live Collections'!F1038)))</f>
        <v>75000</v>
      </c>
      <c r="T976" s="304">
        <f t="shared" si="48"/>
        <v>175000</v>
      </c>
      <c r="U976" s="52"/>
      <c r="V976" s="34"/>
      <c r="W976" s="408"/>
    </row>
    <row r="977" spans="1:23" ht="12.75" customHeight="1" x14ac:dyDescent="0.2">
      <c r="A977" s="132">
        <v>967</v>
      </c>
      <c r="B977" s="44">
        <v>44459</v>
      </c>
      <c r="C977" s="44">
        <f t="shared" si="46"/>
        <v>44459</v>
      </c>
      <c r="D977" s="374">
        <v>118</v>
      </c>
      <c r="E977" s="291" t="str">
        <f>IFERROR(VLOOKUP($D977,'Clients-Live'!$A:$C,3,0),"")</f>
        <v>ONYANGO CHARLES JOGOO</v>
      </c>
      <c r="F977" s="291">
        <f>IFERROR(INDEX(Disbursements!$D:$D,MATCH('Live Collections'!G977,Disbursements!$C:$C,0)),"")</f>
        <v>1</v>
      </c>
      <c r="G977" s="34">
        <v>109</v>
      </c>
      <c r="H977" s="34"/>
      <c r="I977" s="34" t="s">
        <v>1358</v>
      </c>
      <c r="J977" s="48"/>
      <c r="K977" s="48"/>
      <c r="L977" s="48"/>
      <c r="M977" s="48"/>
      <c r="N977" s="59"/>
      <c r="O977" s="59">
        <v>216700</v>
      </c>
      <c r="P977" s="59"/>
      <c r="Q977" s="268">
        <f t="shared" si="47"/>
        <v>216700</v>
      </c>
      <c r="R977" s="61">
        <f>IF(O977=0,0,SUMIFS(Disbursements!$T:$T,Disbursements!$B:$B,'Live Collections'!D977,Disbursements!$D:$D,'Live Collections'!F977))</f>
        <v>217000</v>
      </c>
      <c r="S977" s="304">
        <f>IF(O977&lt;=IF($O977=0,0,SUMIFS(Disbursements!$W:$W,Disbursements!$B:$B,'Live Collections'!D1529,Disbursements!$D:$D,'Live Collections'!F1529)),O977,IF($O977=0,0,SUMIFS(Disbursements!$W:$W,Disbursements!$B:$B,'Live Collections'!D1529,Disbursements!$D:$D,'Live Collections'!F1529)))</f>
        <v>0</v>
      </c>
      <c r="T977" s="304">
        <f t="shared" si="48"/>
        <v>216700</v>
      </c>
      <c r="U977" s="52"/>
      <c r="V977" s="34"/>
      <c r="W977" s="408"/>
    </row>
    <row r="978" spans="1:23" ht="12.75" customHeight="1" x14ac:dyDescent="0.2">
      <c r="A978" s="257">
        <v>957</v>
      </c>
      <c r="B978" s="44">
        <v>44459</v>
      </c>
      <c r="C978" s="44">
        <f t="shared" si="46"/>
        <v>44459</v>
      </c>
      <c r="D978" s="374">
        <v>133</v>
      </c>
      <c r="E978" s="291" t="str">
        <f>IFERROR(VLOOKUP($D978,'Clients-Live'!$A:$C,3,0),"")</f>
        <v>JABE MARY</v>
      </c>
      <c r="F978" s="291">
        <f>IFERROR(INDEX(Disbursements!$D:$D,MATCH('Live Collections'!G978,Disbursements!$C:$C,0)),"")</f>
        <v>1</v>
      </c>
      <c r="G978" s="34">
        <v>116</v>
      </c>
      <c r="H978" s="34"/>
      <c r="I978" s="34" t="s">
        <v>1359</v>
      </c>
      <c r="J978" s="48"/>
      <c r="K978" s="48"/>
      <c r="L978" s="48"/>
      <c r="M978" s="48"/>
      <c r="N978" s="59"/>
      <c r="O978" s="59">
        <v>80000</v>
      </c>
      <c r="P978" s="59"/>
      <c r="Q978" s="268">
        <f t="shared" si="47"/>
        <v>80000</v>
      </c>
      <c r="R978" s="61">
        <f>IF(O978=0,0,SUMIFS(Disbursements!$T:$T,Disbursements!$B:$B,'Live Collections'!D978,Disbursements!$D:$D,'Live Collections'!F978))</f>
        <v>125000</v>
      </c>
      <c r="S978" s="304">
        <f>IF(O978&lt;=IF($O978=0,0,SUMIFS(Disbursements!$W:$W,Disbursements!$B:$B,'Live Collections'!D1676,Disbursements!$D:$D,'Live Collections'!F1676)),O978,IF($O978=0,0,SUMIFS(Disbursements!$W:$W,Disbursements!$B:$B,'Live Collections'!D1676,Disbursements!$D:$D,'Live Collections'!F1676)))</f>
        <v>75000</v>
      </c>
      <c r="T978" s="304">
        <f t="shared" si="48"/>
        <v>5000</v>
      </c>
      <c r="U978" s="52"/>
      <c r="V978" s="34"/>
      <c r="W978" s="408"/>
    </row>
    <row r="979" spans="1:23" ht="12.75" customHeight="1" x14ac:dyDescent="0.2">
      <c r="A979" s="132">
        <v>965</v>
      </c>
      <c r="B979" s="44">
        <v>44459</v>
      </c>
      <c r="C979" s="44">
        <f t="shared" si="46"/>
        <v>44459</v>
      </c>
      <c r="D979" s="374">
        <v>136</v>
      </c>
      <c r="E979" s="291" t="str">
        <f>IFERROR(VLOOKUP($D979,'Clients-Live'!$A:$C,3,0),"")</f>
        <v>LEMERIGA GODWILL JOSEPH</v>
      </c>
      <c r="F979" s="291">
        <f>IFERROR(INDEX(Disbursements!$D:$D,MATCH('Live Collections'!G979,Disbursements!$C:$C,0)),"")</f>
        <v>1</v>
      </c>
      <c r="G979" s="34">
        <v>122</v>
      </c>
      <c r="H979" s="34"/>
      <c r="I979" s="34" t="s">
        <v>1357</v>
      </c>
      <c r="J979" s="48"/>
      <c r="K979" s="48"/>
      <c r="L979" s="48"/>
      <c r="M979" s="48"/>
      <c r="N979" s="59"/>
      <c r="O979" s="59">
        <v>120000</v>
      </c>
      <c r="P979" s="59"/>
      <c r="Q979" s="268">
        <f t="shared" si="47"/>
        <v>120000</v>
      </c>
      <c r="R979" s="61">
        <f>IF(O979=0,0,SUMIFS(Disbursements!$T:$T,Disbursements!$B:$B,'Live Collections'!D979,Disbursements!$D:$D,'Live Collections'!F979))</f>
        <v>120000</v>
      </c>
      <c r="S979" s="304">
        <f>IF(O979&lt;=IF($O979=0,0,SUMIFS(Disbursements!$W:$W,Disbursements!$B:$B,'Live Collections'!D1717,Disbursements!$D:$D,'Live Collections'!F1717)),O979,IF($O979=0,0,SUMIFS(Disbursements!$W:$W,Disbursements!$B:$B,'Live Collections'!D1717,Disbursements!$D:$D,'Live Collections'!F1717)))</f>
        <v>20000</v>
      </c>
      <c r="T979" s="304">
        <f t="shared" si="48"/>
        <v>100000</v>
      </c>
      <c r="U979" s="52"/>
      <c r="V979" s="34"/>
      <c r="W979" s="408"/>
    </row>
    <row r="980" spans="1:23" ht="12.75" customHeight="1" x14ac:dyDescent="0.2">
      <c r="A980" s="257">
        <v>960</v>
      </c>
      <c r="B980" s="44">
        <v>44459</v>
      </c>
      <c r="C980" s="44">
        <f t="shared" si="46"/>
        <v>44459</v>
      </c>
      <c r="D980" s="374">
        <v>169</v>
      </c>
      <c r="E980" s="291" t="str">
        <f>IFERROR(VLOOKUP($D980,'Clients-Live'!$A:$C,3,0),"")</f>
        <v>KATO KENNEDY</v>
      </c>
      <c r="F980" s="291">
        <f>IFERROR(INDEX(Disbursements!$D:$D,MATCH('Live Collections'!G980,Disbursements!$C:$C,0)),"")</f>
        <v>1</v>
      </c>
      <c r="G980" s="34">
        <v>176</v>
      </c>
      <c r="H980" s="34">
        <v>1476</v>
      </c>
      <c r="I980" s="34" t="s">
        <v>1357</v>
      </c>
      <c r="J980" s="48"/>
      <c r="K980" s="48"/>
      <c r="L980" s="48"/>
      <c r="M980" s="48"/>
      <c r="N980" s="59"/>
      <c r="O980" s="59">
        <v>110000</v>
      </c>
      <c r="P980" s="59"/>
      <c r="Q980" s="268">
        <f t="shared" si="47"/>
        <v>110000</v>
      </c>
      <c r="R980" s="61">
        <f>IF(O980=0,0,SUMIFS(Disbursements!$T:$T,Disbursements!$B:$B,'Live Collections'!D980,Disbursements!$D:$D,'Live Collections'!F980))</f>
        <v>109000</v>
      </c>
      <c r="S980" s="304">
        <f>IF(O980&lt;=IF($O980=0,0,SUMIFS(Disbursements!$W:$W,Disbursements!$B:$B,'Live Collections'!D2082,Disbursements!$D:$D,'Live Collections'!F2082)),O980,IF($O980=0,0,SUMIFS(Disbursements!$W:$W,Disbursements!$B:$B,'Live Collections'!D2082,Disbursements!$D:$D,'Live Collections'!F2082)))</f>
        <v>25666.666666666672</v>
      </c>
      <c r="T980" s="304">
        <f t="shared" si="48"/>
        <v>84333.333333333328</v>
      </c>
      <c r="U980" s="52"/>
      <c r="V980" s="34"/>
      <c r="W980" s="408"/>
    </row>
    <row r="981" spans="1:23" ht="12.75" customHeight="1" x14ac:dyDescent="0.2">
      <c r="A981" s="132">
        <v>963</v>
      </c>
      <c r="B981" s="44">
        <v>44459</v>
      </c>
      <c r="C981" s="44">
        <f t="shared" si="46"/>
        <v>44459</v>
      </c>
      <c r="D981" s="374">
        <v>176</v>
      </c>
      <c r="E981" s="291" t="str">
        <f>IFERROR(VLOOKUP($D981,'Clients-Live'!$A:$C,3,0),"")</f>
        <v>AJONYE JANE SINANDUGU</v>
      </c>
      <c r="F981" s="291">
        <f>IFERROR(INDEX(Disbursements!$D:$D,MATCH('Live Collections'!G981,Disbursements!$C:$C,0)),"")</f>
        <v>1</v>
      </c>
      <c r="G981" s="34">
        <v>201</v>
      </c>
      <c r="H981" s="34"/>
      <c r="I981" s="34" t="s">
        <v>1358</v>
      </c>
      <c r="J981" s="48"/>
      <c r="K981" s="48"/>
      <c r="L981" s="48"/>
      <c r="M981" s="48"/>
      <c r="N981" s="59"/>
      <c r="O981" s="59">
        <v>360000</v>
      </c>
      <c r="P981" s="59"/>
      <c r="Q981" s="268">
        <f t="shared" si="47"/>
        <v>360000</v>
      </c>
      <c r="R981" s="61">
        <f>IF(O981=0,0,SUMIFS(Disbursements!$T:$T,Disbursements!$B:$B,'Live Collections'!D981,Disbursements!$D:$D,'Live Collections'!F981))</f>
        <v>360000</v>
      </c>
      <c r="S981" s="304">
        <f>IF(O981&lt;=IF($O981=0,0,SUMIFS(Disbursements!$W:$W,Disbursements!$B:$B,'Live Collections'!D2152,Disbursements!$D:$D,'Live Collections'!F2152)),O981,IF($O981=0,0,SUMIFS(Disbursements!$W:$W,Disbursements!$B:$B,'Live Collections'!D2152,Disbursements!$D:$D,'Live Collections'!F2152)))</f>
        <v>20000</v>
      </c>
      <c r="T981" s="304">
        <f t="shared" si="48"/>
        <v>340000</v>
      </c>
      <c r="U981" s="52"/>
      <c r="V981" s="34"/>
      <c r="W981" s="408"/>
    </row>
    <row r="982" spans="1:23" ht="12.75" customHeight="1" x14ac:dyDescent="0.2">
      <c r="A982" s="257">
        <v>962</v>
      </c>
      <c r="B982" s="44">
        <v>44459</v>
      </c>
      <c r="C982" s="44">
        <f t="shared" si="46"/>
        <v>44459</v>
      </c>
      <c r="D982" s="374">
        <v>177</v>
      </c>
      <c r="E982" s="291" t="str">
        <f>IFERROR(VLOOKUP($D982,'Clients-Live'!$A:$C,3,0),"")</f>
        <v>EFIT GIFT</v>
      </c>
      <c r="F982" s="291">
        <f>IFERROR(INDEX(Disbursements!$D:$D,MATCH('Live Collections'!G982,Disbursements!$C:$C,0)),"")</f>
        <v>1</v>
      </c>
      <c r="G982" s="34">
        <v>183</v>
      </c>
      <c r="H982" s="34"/>
      <c r="I982" s="34" t="s">
        <v>1358</v>
      </c>
      <c r="J982" s="48"/>
      <c r="K982" s="48"/>
      <c r="L982" s="48"/>
      <c r="M982" s="48"/>
      <c r="N982" s="59"/>
      <c r="O982" s="59">
        <v>110000</v>
      </c>
      <c r="P982" s="59"/>
      <c r="Q982" s="268">
        <f t="shared" si="47"/>
        <v>110000</v>
      </c>
      <c r="R982" s="61">
        <f>IF(O982=0,0,SUMIFS(Disbursements!$T:$T,Disbursements!$B:$B,'Live Collections'!D982,Disbursements!$D:$D,'Live Collections'!F982))</f>
        <v>109000</v>
      </c>
      <c r="S982" s="304">
        <f>IF(O982&lt;=IF($O982=0,0,SUMIFS(Disbursements!$W:$W,Disbursements!$B:$B,'Live Collections'!D2167,Disbursements!$D:$D,'Live Collections'!F2167)),O982,IF($O982=0,0,SUMIFS(Disbursements!$W:$W,Disbursements!$B:$B,'Live Collections'!D2167,Disbursements!$D:$D,'Live Collections'!F2167)))</f>
        <v>49333.333333333343</v>
      </c>
      <c r="T982" s="304">
        <f t="shared" si="48"/>
        <v>60666.666666666657</v>
      </c>
      <c r="U982" s="52"/>
      <c r="V982" s="34"/>
      <c r="W982" s="408"/>
    </row>
    <row r="983" spans="1:23" ht="12.75" customHeight="1" x14ac:dyDescent="0.2">
      <c r="A983" s="132">
        <v>958</v>
      </c>
      <c r="B983" s="44">
        <v>44459</v>
      </c>
      <c r="C983" s="44">
        <f t="shared" si="46"/>
        <v>44459</v>
      </c>
      <c r="D983" s="374">
        <v>182</v>
      </c>
      <c r="E983" s="291" t="str">
        <f>IFERROR(VLOOKUP($D983,'Clients-Live'!$A:$C,3,0),"")</f>
        <v>ANITE ZAM</v>
      </c>
      <c r="F983" s="291">
        <f>IFERROR(INDEX(Disbursements!$D:$D,MATCH('Live Collections'!G983,Disbursements!$C:$C,0)),"")</f>
        <v>1</v>
      </c>
      <c r="G983" s="34">
        <v>175</v>
      </c>
      <c r="H983" s="34"/>
      <c r="I983" s="34" t="s">
        <v>1358</v>
      </c>
      <c r="J983" s="48"/>
      <c r="K983" s="48"/>
      <c r="L983" s="48"/>
      <c r="M983" s="48"/>
      <c r="N983" s="59"/>
      <c r="O983" s="59">
        <v>60000</v>
      </c>
      <c r="P983" s="59"/>
      <c r="Q983" s="268">
        <f t="shared" si="47"/>
        <v>60000</v>
      </c>
      <c r="R983" s="61">
        <f>IF(O983=0,0,SUMIFS(Disbursements!$T:$T,Disbursements!$B:$B,'Live Collections'!D983,Disbursements!$D:$D,'Live Collections'!F983))</f>
        <v>115000</v>
      </c>
      <c r="S983" s="304">
        <f>IF(O983&lt;=IF($O983=0,0,SUMIFS(Disbursements!$W:$W,Disbursements!$B:$B,'Live Collections'!D2220,Disbursements!$D:$D,'Live Collections'!F2220)),O983,IF($O983=0,0,SUMIFS(Disbursements!$W:$W,Disbursements!$B:$B,'Live Collections'!D2220,Disbursements!$D:$D,'Live Collections'!F2220)))</f>
        <v>60000</v>
      </c>
      <c r="T983" s="304">
        <f t="shared" si="48"/>
        <v>0</v>
      </c>
      <c r="U983" s="52"/>
      <c r="V983" s="34"/>
      <c r="W983" s="408"/>
    </row>
    <row r="984" spans="1:23" ht="12.75" customHeight="1" x14ac:dyDescent="0.2">
      <c r="A984" s="257">
        <v>954</v>
      </c>
      <c r="B984" s="44">
        <v>44459</v>
      </c>
      <c r="C984" s="44">
        <f t="shared" si="46"/>
        <v>44459</v>
      </c>
      <c r="D984" s="374">
        <v>183</v>
      </c>
      <c r="E984" s="291" t="str">
        <f>IFERROR(VLOOKUP($D984,'Clients-Live'!$A:$C,3,0),"")</f>
        <v>NIGHT AMINA HUSSEIN</v>
      </c>
      <c r="F984" s="291">
        <f>IFERROR(INDEX(Disbursements!$D:$D,MATCH('Live Collections'!G984,Disbursements!$C:$C,0)),"")</f>
        <v>1</v>
      </c>
      <c r="G984" s="34">
        <v>171</v>
      </c>
      <c r="H984" s="34"/>
      <c r="I984" s="34" t="s">
        <v>1359</v>
      </c>
      <c r="J984" s="48"/>
      <c r="K984" s="48"/>
      <c r="L984" s="48"/>
      <c r="M984" s="48"/>
      <c r="N984" s="59"/>
      <c r="O984" s="59">
        <v>180000</v>
      </c>
      <c r="P984" s="59"/>
      <c r="Q984" s="268">
        <f t="shared" si="47"/>
        <v>180000</v>
      </c>
      <c r="R984" s="61">
        <f>IF(O984=0,0,SUMIFS(Disbursements!$T:$T,Disbursements!$B:$B,'Live Collections'!D984,Disbursements!$D:$D,'Live Collections'!F984))</f>
        <v>180000</v>
      </c>
      <c r="S984" s="304">
        <f>IF(O984&lt;=IF($O984=0,0,SUMIFS(Disbursements!$W:$W,Disbursements!$B:$B,'Live Collections'!D2231,Disbursements!$D:$D,'Live Collections'!F2231)),O984,IF($O984=0,0,SUMIFS(Disbursements!$W:$W,Disbursements!$B:$B,'Live Collections'!D2231,Disbursements!$D:$D,'Live Collections'!F2231)))</f>
        <v>0</v>
      </c>
      <c r="T984" s="304">
        <f t="shared" si="48"/>
        <v>180000</v>
      </c>
      <c r="U984" s="52"/>
      <c r="V984" s="34"/>
      <c r="W984" s="408"/>
    </row>
    <row r="985" spans="1:23" ht="12.75" customHeight="1" x14ac:dyDescent="0.2">
      <c r="A985" s="132">
        <v>966</v>
      </c>
      <c r="B985" s="44">
        <v>44459</v>
      </c>
      <c r="C985" s="44">
        <f t="shared" si="46"/>
        <v>44459</v>
      </c>
      <c r="D985" s="374">
        <v>186</v>
      </c>
      <c r="E985" s="291" t="str">
        <f>IFERROR(VLOOKUP($D985,'Clients-Live'!$A:$C,3,0),"")</f>
        <v>GIFT JAMES</v>
      </c>
      <c r="F985" s="291">
        <f>IFERROR(INDEX(Disbursements!$D:$D,MATCH('Live Collections'!G985,Disbursements!$C:$C,0)),"")</f>
        <v>1</v>
      </c>
      <c r="G985" s="34">
        <v>172</v>
      </c>
      <c r="H985" s="34">
        <v>1488</v>
      </c>
      <c r="I985" s="34" t="s">
        <v>1359</v>
      </c>
      <c r="J985" s="48"/>
      <c r="K985" s="48"/>
      <c r="L985" s="48"/>
      <c r="M985" s="48"/>
      <c r="N985" s="59"/>
      <c r="O985" s="59">
        <v>645000</v>
      </c>
      <c r="P985" s="59"/>
      <c r="Q985" s="268">
        <f t="shared" si="47"/>
        <v>645000</v>
      </c>
      <c r="R985" s="61">
        <f>IF(O985=0,0,SUMIFS(Disbursements!$T:$T,Disbursements!$B:$B,'Live Collections'!D985,Disbursements!$D:$D,'Live Collections'!F985))</f>
        <v>753000</v>
      </c>
      <c r="S985" s="304">
        <f>IF(O985&lt;=IF($O985=0,0,SUMIFS(Disbursements!$W:$W,Disbursements!$B:$B,'Live Collections'!D2259,Disbursements!$D:$D,'Live Collections'!F2259)),O985,IF($O985=0,0,SUMIFS(Disbursements!$W:$W,Disbursements!$B:$B,'Live Collections'!D2259,Disbursements!$D:$D,'Live Collections'!F2259)))</f>
        <v>40000</v>
      </c>
      <c r="T985" s="304">
        <v>643000</v>
      </c>
      <c r="U985" s="52"/>
      <c r="V985" s="34"/>
      <c r="W985" s="408"/>
    </row>
    <row r="986" spans="1:23" ht="12.75" customHeight="1" x14ac:dyDescent="0.2">
      <c r="A986" s="257">
        <v>959</v>
      </c>
      <c r="B986" s="44">
        <v>44459</v>
      </c>
      <c r="C986" s="44">
        <f t="shared" si="46"/>
        <v>44459</v>
      </c>
      <c r="D986" s="374">
        <v>190</v>
      </c>
      <c r="E986" s="291" t="str">
        <f>IFERROR(VLOOKUP($D986,'Clients-Live'!$A:$C,3,0),"")</f>
        <v>TAISA AMINA</v>
      </c>
      <c r="F986" s="291">
        <f>IFERROR(INDEX(Disbursements!$D:$D,MATCH('Live Collections'!G986,Disbursements!$C:$C,0)),"")</f>
        <v>1</v>
      </c>
      <c r="G986" s="34">
        <v>177</v>
      </c>
      <c r="H986" s="34">
        <v>1477</v>
      </c>
      <c r="I986" s="34" t="s">
        <v>1357</v>
      </c>
      <c r="J986" s="48"/>
      <c r="K986" s="48"/>
      <c r="L986" s="48"/>
      <c r="M986" s="48"/>
      <c r="N986" s="59"/>
      <c r="O986" s="59">
        <v>120000</v>
      </c>
      <c r="P986" s="59"/>
      <c r="Q986" s="268">
        <f t="shared" si="47"/>
        <v>120000</v>
      </c>
      <c r="R986" s="61">
        <f>IF(O986=0,0,SUMIFS(Disbursements!$T:$T,Disbursements!$B:$B,'Live Collections'!D986,Disbursements!$D:$D,'Live Collections'!F986))</f>
        <v>120000</v>
      </c>
      <c r="S986" s="304">
        <f>IF(O986&lt;=IF($O986=0,0,SUMIFS(Disbursements!$W:$W,Disbursements!$B:$B,'Live Collections'!D2312,Disbursements!$D:$D,'Live Collections'!F2312)),O986,IF($O986=0,0,SUMIFS(Disbursements!$W:$W,Disbursements!$B:$B,'Live Collections'!D2312,Disbursements!$D:$D,'Live Collections'!F2312)))</f>
        <v>30000</v>
      </c>
      <c r="T986" s="304">
        <f t="shared" si="48"/>
        <v>90000</v>
      </c>
      <c r="U986" s="52"/>
      <c r="V986" s="34"/>
      <c r="W986" s="408"/>
    </row>
    <row r="987" spans="1:23" ht="12.75" customHeight="1" x14ac:dyDescent="0.2">
      <c r="A987" s="132">
        <v>969</v>
      </c>
      <c r="B987" s="44">
        <v>44459</v>
      </c>
      <c r="C987" s="44">
        <f t="shared" si="46"/>
        <v>44459</v>
      </c>
      <c r="D987" s="374">
        <v>219</v>
      </c>
      <c r="E987" s="291" t="str">
        <f>IFERROR(VLOOKUP($D987,'Clients-Live'!$A:$C,3,0),"")</f>
        <v>MALIKO JAMILA</v>
      </c>
      <c r="F987" s="291" t="str">
        <f>IFERROR(INDEX(Disbursements!$D:$D,MATCH('Live Collections'!G987,Disbursements!$C:$C,0)),"")</f>
        <v/>
      </c>
      <c r="G987" s="34"/>
      <c r="H987" s="34"/>
      <c r="I987" s="34" t="s">
        <v>1359</v>
      </c>
      <c r="J987" s="48"/>
      <c r="K987" s="48"/>
      <c r="L987" s="48"/>
      <c r="M987" s="48"/>
      <c r="N987" s="59"/>
      <c r="O987" s="59"/>
      <c r="P987" s="59">
        <v>30000</v>
      </c>
      <c r="Q987" s="268">
        <f t="shared" si="47"/>
        <v>30000</v>
      </c>
      <c r="R987" s="61">
        <f>IF(O987=0,0,SUMIFS(Disbursements!$T:$T,Disbursements!$B:$B,'Live Collections'!D987,Disbursements!$D:$D,'Live Collections'!F987))</f>
        <v>0</v>
      </c>
      <c r="S987" s="304">
        <f>IF(O987&lt;=IF($O987=0,0,SUMIFS(Disbursements!$W:$W,Disbursements!$B:$B,'Live Collections'!D2582,Disbursements!$D:$D,'Live Collections'!F2582)),O987,IF($O987=0,0,SUMIFS(Disbursements!$W:$W,Disbursements!$B:$B,'Live Collections'!D2582,Disbursements!$D:$D,'Live Collections'!F2582)))</f>
        <v>0</v>
      </c>
      <c r="T987" s="304">
        <f t="shared" si="48"/>
        <v>0</v>
      </c>
      <c r="U987" s="52"/>
      <c r="V987" s="34"/>
      <c r="W987" s="408"/>
    </row>
    <row r="988" spans="1:23" ht="12.75" customHeight="1" x14ac:dyDescent="0.2">
      <c r="A988" s="257">
        <v>968</v>
      </c>
      <c r="B988" s="44">
        <v>44459</v>
      </c>
      <c r="C988" s="44">
        <f t="shared" si="46"/>
        <v>44459</v>
      </c>
      <c r="D988" s="374">
        <v>221</v>
      </c>
      <c r="E988" s="291" t="str">
        <f>IFERROR(VLOOKUP($D988,'Clients-Live'!$A:$C,3,0),"")</f>
        <v>NAMUDDU MARY</v>
      </c>
      <c r="F988" s="291">
        <f>IFERROR(INDEX(Disbursements!$D:$D,MATCH('Live Collections'!G988,Disbursements!$C:$C,0)),"")</f>
        <v>1</v>
      </c>
      <c r="G988" s="34">
        <v>225</v>
      </c>
      <c r="H988" s="34"/>
      <c r="I988" s="34" t="s">
        <v>1359</v>
      </c>
      <c r="J988" s="48">
        <v>15000</v>
      </c>
      <c r="K988" s="48">
        <v>5000</v>
      </c>
      <c r="L988" s="48">
        <v>15000</v>
      </c>
      <c r="M988" s="48">
        <v>5000</v>
      </c>
      <c r="N988" s="59"/>
      <c r="O988" s="59"/>
      <c r="P988" s="59">
        <v>60000</v>
      </c>
      <c r="Q988" s="268">
        <f t="shared" si="47"/>
        <v>100000</v>
      </c>
      <c r="R988" s="61">
        <f>IF(O988=0,0,SUMIFS(Disbursements!$T:$T,Disbursements!$B:$B,'Live Collections'!D988,Disbursements!$D:$D,'Live Collections'!F988))</f>
        <v>0</v>
      </c>
      <c r="S988" s="304">
        <f>IF(O988&lt;=IF($O988=0,0,SUMIFS(Disbursements!$W:$W,Disbursements!$B:$B,'Live Collections'!D2597,Disbursements!$D:$D,'Live Collections'!F2597)),O988,IF($O988=0,0,SUMIFS(Disbursements!$W:$W,Disbursements!$B:$B,'Live Collections'!D2597,Disbursements!$D:$D,'Live Collections'!F2597)))</f>
        <v>0</v>
      </c>
      <c r="T988" s="304">
        <f t="shared" si="48"/>
        <v>0</v>
      </c>
      <c r="U988" s="52"/>
      <c r="V988" s="34"/>
      <c r="W988" s="408"/>
    </row>
    <row r="989" spans="1:23" ht="12.75" customHeight="1" x14ac:dyDescent="0.2">
      <c r="A989" s="132">
        <v>971</v>
      </c>
      <c r="B989" s="44">
        <v>44459</v>
      </c>
      <c r="C989" s="44">
        <f t="shared" si="46"/>
        <v>44459</v>
      </c>
      <c r="D989" s="374">
        <v>221</v>
      </c>
      <c r="E989" s="291" t="str">
        <f>IFERROR(VLOOKUP($D989,'Clients-Live'!$A:$C,3,0),"")</f>
        <v>NAMUDDU MARY</v>
      </c>
      <c r="F989" s="291">
        <f>IFERROR(INDEX(Disbursements!$D:$D,MATCH('Live Collections'!G989,Disbursements!$C:$C,0)),"")</f>
        <v>1</v>
      </c>
      <c r="G989" s="34">
        <v>225</v>
      </c>
      <c r="H989" s="34"/>
      <c r="I989" s="34" t="s">
        <v>1359</v>
      </c>
      <c r="J989" s="48"/>
      <c r="K989" s="48"/>
      <c r="L989" s="48"/>
      <c r="M989" s="48"/>
      <c r="N989" s="59"/>
      <c r="O989" s="59"/>
      <c r="P989" s="59">
        <v>40000</v>
      </c>
      <c r="Q989" s="268">
        <f t="shared" si="47"/>
        <v>40000</v>
      </c>
      <c r="R989" s="61">
        <f>IF(O989=0,0,SUMIFS(Disbursements!$T:$T,Disbursements!$B:$B,'Live Collections'!D989,Disbursements!$D:$D,'Live Collections'!F989))</f>
        <v>0</v>
      </c>
      <c r="S989" s="304">
        <f>IF(O989&lt;=IF($O989=0,0,SUMIFS(Disbursements!$W:$W,Disbursements!$B:$B,'Live Collections'!D2598,Disbursements!$D:$D,'Live Collections'!F2598)),O989,IF($O989=0,0,SUMIFS(Disbursements!$W:$W,Disbursements!$B:$B,'Live Collections'!D2598,Disbursements!$D:$D,'Live Collections'!F2598)))</f>
        <v>0</v>
      </c>
      <c r="T989" s="304">
        <f t="shared" si="48"/>
        <v>0</v>
      </c>
      <c r="U989" s="52"/>
      <c r="V989" s="34"/>
      <c r="W989" s="408"/>
    </row>
    <row r="990" spans="1:23" ht="12.75" customHeight="1" x14ac:dyDescent="0.2">
      <c r="A990" s="257">
        <v>983</v>
      </c>
      <c r="B990" s="44">
        <v>44460</v>
      </c>
      <c r="C990" s="44">
        <f t="shared" si="46"/>
        <v>44460</v>
      </c>
      <c r="D990" s="374">
        <v>13</v>
      </c>
      <c r="E990" s="291" t="str">
        <f>IFERROR(VLOOKUP($D990,'Clients-Live'!$A:$C,3,0),"")</f>
        <v>ALLONE AMOS DAMAI</v>
      </c>
      <c r="F990" s="291">
        <f>IFERROR(INDEX(Disbursements!$D:$D,MATCH('Live Collections'!G990,Disbursements!$C:$C,0)),"")</f>
        <v>1</v>
      </c>
      <c r="G990" s="34">
        <v>67</v>
      </c>
      <c r="H990" s="34">
        <v>2505</v>
      </c>
      <c r="I990" s="34" t="s">
        <v>1359</v>
      </c>
      <c r="J990" s="48"/>
      <c r="K990" s="48"/>
      <c r="L990" s="48"/>
      <c r="M990" s="48"/>
      <c r="N990" s="59"/>
      <c r="O990" s="59">
        <v>140000</v>
      </c>
      <c r="P990" s="59"/>
      <c r="Q990" s="268">
        <f t="shared" si="47"/>
        <v>140000</v>
      </c>
      <c r="R990" s="61">
        <f>IF(O990=0,0,SUMIFS(Disbursements!$T:$T,Disbursements!$B:$B,'Live Collections'!D990,Disbursements!$D:$D,'Live Collections'!F990))</f>
        <v>217000</v>
      </c>
      <c r="S990" s="304">
        <f>IF(O990&lt;=IF($O990=0,0,SUMIFS(Disbursements!$W:$W,Disbursements!$B:$B,'Live Collections'!D137,Disbursements!$D:$D,'Live Collections'!F137)),O990,IF($O990=0,0,SUMIFS(Disbursements!$W:$W,Disbursements!$B:$B,'Live Collections'!D137,Disbursements!$D:$D,'Live Collections'!F137)))</f>
        <v>0</v>
      </c>
      <c r="T990" s="304">
        <f t="shared" si="48"/>
        <v>140000</v>
      </c>
      <c r="U990" s="52"/>
      <c r="V990" s="34"/>
      <c r="W990" s="408"/>
    </row>
    <row r="991" spans="1:23" ht="12.75" customHeight="1" x14ac:dyDescent="0.2">
      <c r="A991" s="132">
        <v>974</v>
      </c>
      <c r="B991" s="44">
        <v>44460</v>
      </c>
      <c r="C991" s="44">
        <f t="shared" si="46"/>
        <v>44460</v>
      </c>
      <c r="D991" s="374">
        <v>16</v>
      </c>
      <c r="E991" s="291" t="str">
        <f>IFERROR(VLOOKUP($D991,'Clients-Live'!$A:$C,3,0),"")</f>
        <v>OKELLO ACTION</v>
      </c>
      <c r="F991" s="291">
        <f>IFERROR(INDEX(Disbursements!$D:$D,MATCH('Live Collections'!G991,Disbursements!$C:$C,0)),"")</f>
        <v>1</v>
      </c>
      <c r="G991" s="34">
        <v>6</v>
      </c>
      <c r="H991" s="34"/>
      <c r="I991" s="34" t="s">
        <v>1359</v>
      </c>
      <c r="J991" s="48"/>
      <c r="K991" s="48"/>
      <c r="L991" s="48"/>
      <c r="M991" s="48"/>
      <c r="N991" s="59"/>
      <c r="O991" s="59">
        <v>50000</v>
      </c>
      <c r="P991" s="59"/>
      <c r="Q991" s="268">
        <f t="shared" si="47"/>
        <v>50000</v>
      </c>
      <c r="R991" s="61">
        <f>IF(O991=0,0,SUMIFS(Disbursements!$T:$T,Disbursements!$B:$B,'Live Collections'!D991,Disbursements!$D:$D,'Live Collections'!F991))</f>
        <v>245000</v>
      </c>
      <c r="S991" s="304">
        <f>IF(O991&lt;=IF($O991=0,0,SUMIFS(Disbursements!$W:$W,Disbursements!$B:$B,'Live Collections'!D173,Disbursements!$D:$D,'Live Collections'!F173)),O991,IF($O991=0,0,SUMIFS(Disbursements!$W:$W,Disbursements!$B:$B,'Live Collections'!D173,Disbursements!$D:$D,'Live Collections'!F173)))</f>
        <v>50000</v>
      </c>
      <c r="T991" s="304">
        <f t="shared" si="48"/>
        <v>0</v>
      </c>
      <c r="U991" s="52"/>
      <c r="V991" s="34"/>
      <c r="W991" s="408"/>
    </row>
    <row r="992" spans="1:23" ht="12.75" customHeight="1" x14ac:dyDescent="0.2">
      <c r="A992" s="257">
        <v>982</v>
      </c>
      <c r="B992" s="44">
        <v>44460</v>
      </c>
      <c r="C992" s="44">
        <f t="shared" si="46"/>
        <v>44460</v>
      </c>
      <c r="D992" s="374">
        <v>22</v>
      </c>
      <c r="E992" s="291" t="str">
        <f>IFERROR(VLOOKUP($D992,'Clients-Live'!$A:$C,3,0),"")</f>
        <v>DATA ISMAIL FATARI</v>
      </c>
      <c r="F992" s="291">
        <f>IFERROR(INDEX(Disbursements!$D:$D,MATCH('Live Collections'!G992,Disbursements!$C:$C,0)),"")</f>
        <v>1</v>
      </c>
      <c r="G992" s="34">
        <v>13</v>
      </c>
      <c r="H992" s="34"/>
      <c r="I992" s="34" t="s">
        <v>1359</v>
      </c>
      <c r="J992" s="48"/>
      <c r="K992" s="48"/>
      <c r="L992" s="48"/>
      <c r="M992" s="48"/>
      <c r="N992" s="59"/>
      <c r="O992" s="59">
        <v>40000</v>
      </c>
      <c r="P992" s="59"/>
      <c r="Q992" s="268">
        <f t="shared" si="47"/>
        <v>40000</v>
      </c>
      <c r="R992" s="61">
        <f>IF(O992=0,0,SUMIFS(Disbursements!$T:$T,Disbursements!$B:$B,'Live Collections'!D992,Disbursements!$D:$D,'Live Collections'!F992))</f>
        <v>217000</v>
      </c>
      <c r="S992" s="304">
        <f>IF(O992&lt;=IF($O992=0,0,SUMIFS(Disbursements!$W:$W,Disbursements!$B:$B,'Live Collections'!D285,Disbursements!$D:$D,'Live Collections'!F285)),O992,IF($O992=0,0,SUMIFS(Disbursements!$W:$W,Disbursements!$B:$B,'Live Collections'!D285,Disbursements!$D:$D,'Live Collections'!F285)))</f>
        <v>30000</v>
      </c>
      <c r="T992" s="304">
        <f t="shared" si="48"/>
        <v>10000</v>
      </c>
      <c r="U992" s="52"/>
      <c r="V992" s="34"/>
      <c r="W992" s="408"/>
    </row>
    <row r="993" spans="1:23" ht="12.75" customHeight="1" x14ac:dyDescent="0.2">
      <c r="A993" s="132">
        <v>979</v>
      </c>
      <c r="B993" s="44">
        <v>44460</v>
      </c>
      <c r="C993" s="44">
        <f t="shared" si="46"/>
        <v>44460</v>
      </c>
      <c r="D993" s="374">
        <v>47</v>
      </c>
      <c r="E993" s="291" t="str">
        <f>IFERROR(VLOOKUP($D993,'Clients-Live'!$A:$C,3,0),"")</f>
        <v>DAWA AMINA</v>
      </c>
      <c r="F993" s="291">
        <f>IFERROR(INDEX(Disbursements!$D:$D,MATCH('Live Collections'!G993,Disbursements!$C:$C,0)),"")</f>
        <v>1</v>
      </c>
      <c r="G993" s="34">
        <v>29</v>
      </c>
      <c r="H993" s="34"/>
      <c r="I993" s="34" t="s">
        <v>1357</v>
      </c>
      <c r="J993" s="48"/>
      <c r="K993" s="48"/>
      <c r="L993" s="48"/>
      <c r="M993" s="48"/>
      <c r="N993" s="59"/>
      <c r="O993" s="59">
        <v>80000</v>
      </c>
      <c r="P993" s="59"/>
      <c r="Q993" s="268">
        <f t="shared" si="47"/>
        <v>80000</v>
      </c>
      <c r="R993" s="61">
        <f>IF(O993=0,0,SUMIFS(Disbursements!$T:$T,Disbursements!$B:$B,'Live Collections'!D993,Disbursements!$D:$D,'Live Collections'!F993))</f>
        <v>0</v>
      </c>
      <c r="S993" s="304">
        <f>IF(O993&lt;=IF($O993=0,0,SUMIFS(Disbursements!$W:$W,Disbursements!$B:$B,'Live Collections'!D542,Disbursements!$D:$D,'Live Collections'!F542)),O993,IF($O993=0,0,SUMIFS(Disbursements!$W:$W,Disbursements!$B:$B,'Live Collections'!D542,Disbursements!$D:$D,'Live Collections'!F542)))</f>
        <v>25666.666666666672</v>
      </c>
      <c r="T993" s="304">
        <f t="shared" si="48"/>
        <v>54333.333333333328</v>
      </c>
      <c r="U993" s="52"/>
      <c r="V993" s="34"/>
      <c r="W993" s="408"/>
    </row>
    <row r="994" spans="1:23" ht="12.75" customHeight="1" x14ac:dyDescent="0.2">
      <c r="A994" s="257">
        <v>981</v>
      </c>
      <c r="B994" s="44">
        <v>44460</v>
      </c>
      <c r="C994" s="44">
        <f t="shared" si="46"/>
        <v>44460</v>
      </c>
      <c r="D994" s="374">
        <v>85</v>
      </c>
      <c r="E994" s="291" t="str">
        <f>IFERROR(VLOOKUP($D994,'Clients-Live'!$A:$C,3,0),"")</f>
        <v>CEASER SWALEH</v>
      </c>
      <c r="F994" s="291">
        <f>IFERROR(INDEX(Disbursements!$D:$D,MATCH('Live Collections'!G994,Disbursements!$C:$C,0)),"")</f>
        <v>2</v>
      </c>
      <c r="G994" s="34">
        <v>119</v>
      </c>
      <c r="H994" s="34"/>
      <c r="I994" s="34" t="s">
        <v>1357</v>
      </c>
      <c r="J994" s="48"/>
      <c r="K994" s="48"/>
      <c r="L994" s="48"/>
      <c r="M994" s="48"/>
      <c r="N994" s="59"/>
      <c r="O994" s="59">
        <v>250000</v>
      </c>
      <c r="P994" s="59"/>
      <c r="Q994" s="268">
        <f t="shared" si="47"/>
        <v>250000</v>
      </c>
      <c r="R994" s="61">
        <f>IF(O994=0,0,SUMIFS(Disbursements!$T:$T,Disbursements!$B:$B,'Live Collections'!D994,Disbursements!$D:$D,'Live Collections'!F994))</f>
        <v>434000</v>
      </c>
      <c r="S994" s="304">
        <f>IF(O994&lt;=IF($O994=0,0,SUMIFS(Disbursements!$W:$W,Disbursements!$B:$B,'Live Collections'!D1087,Disbursements!$D:$D,'Live Collections'!F1087)),O994,IF($O994=0,0,SUMIFS(Disbursements!$W:$W,Disbursements!$B:$B,'Live Collections'!D1087,Disbursements!$D:$D,'Live Collections'!F1087)))</f>
        <v>20000</v>
      </c>
      <c r="T994" s="304">
        <f t="shared" si="48"/>
        <v>230000</v>
      </c>
      <c r="U994" s="52"/>
      <c r="V994" s="34"/>
      <c r="W994" s="408"/>
    </row>
    <row r="995" spans="1:23" ht="12.75" customHeight="1" x14ac:dyDescent="0.2">
      <c r="A995" s="132">
        <v>978</v>
      </c>
      <c r="B995" s="44">
        <v>44460</v>
      </c>
      <c r="C995" s="44">
        <f t="shared" si="46"/>
        <v>44460</v>
      </c>
      <c r="D995" s="374">
        <v>86</v>
      </c>
      <c r="E995" s="291" t="str">
        <f>IFERROR(VLOOKUP($D995,'Clients-Live'!$A:$C,3,0),"")</f>
        <v>AMANIYO JOYCE</v>
      </c>
      <c r="F995" s="291">
        <f>IFERROR(INDEX(Disbursements!$D:$D,MATCH('Live Collections'!G995,Disbursements!$C:$C,0)),"")</f>
        <v>1</v>
      </c>
      <c r="G995" s="34">
        <v>73</v>
      </c>
      <c r="H995" s="34"/>
      <c r="I995" s="34" t="s">
        <v>1358</v>
      </c>
      <c r="J995" s="48"/>
      <c r="K995" s="48"/>
      <c r="L995" s="48"/>
      <c r="M995" s="48"/>
      <c r="N995" s="59"/>
      <c r="O995" s="59">
        <v>300000</v>
      </c>
      <c r="P995" s="59"/>
      <c r="Q995" s="268">
        <f t="shared" si="47"/>
        <v>300000</v>
      </c>
      <c r="R995" s="61">
        <f>IF(O995=0,0,SUMIFS(Disbursements!$T:$T,Disbursements!$B:$B,'Live Collections'!D995,Disbursements!$D:$D,'Live Collections'!F995))</f>
        <v>150000</v>
      </c>
      <c r="S995" s="64">
        <v>4666.666666666657</v>
      </c>
      <c r="T995" s="304">
        <f t="shared" si="48"/>
        <v>295333.33333333337</v>
      </c>
      <c r="U995" s="52"/>
      <c r="V995" s="34"/>
      <c r="W995" s="408" t="s">
        <v>2086</v>
      </c>
    </row>
    <row r="996" spans="1:23" ht="12.75" customHeight="1" x14ac:dyDescent="0.2">
      <c r="A996" s="257">
        <v>987</v>
      </c>
      <c r="B996" s="44">
        <v>44460</v>
      </c>
      <c r="C996" s="44">
        <f t="shared" si="46"/>
        <v>44460</v>
      </c>
      <c r="D996" s="374">
        <v>86</v>
      </c>
      <c r="E996" s="291" t="str">
        <f>IFERROR(VLOOKUP($D996,'Clients-Live'!$A:$C,3,0),"")</f>
        <v>AMANIYO JOYCE</v>
      </c>
      <c r="F996" s="291">
        <f>IFERROR(INDEX(Disbursements!$D:$D,MATCH('Live Collections'!G996,Disbursements!$C:$C,0)),"")</f>
        <v>2</v>
      </c>
      <c r="G996" s="34">
        <v>231</v>
      </c>
      <c r="H996" s="34"/>
      <c r="I996" s="34" t="s">
        <v>1358</v>
      </c>
      <c r="J996" s="48"/>
      <c r="K996" s="48"/>
      <c r="L996" s="48">
        <v>15000</v>
      </c>
      <c r="M996" s="48">
        <v>5000</v>
      </c>
      <c r="N996" s="59"/>
      <c r="O996" s="59"/>
      <c r="P996" s="59">
        <v>50000</v>
      </c>
      <c r="Q996" s="268">
        <f t="shared" si="47"/>
        <v>70000</v>
      </c>
      <c r="R996" s="61">
        <f>IF(O996=0,0,SUMIFS(Disbursements!$T:$T,Disbursements!$B:$B,'Live Collections'!D996,Disbursements!$D:$D,'Live Collections'!F996))</f>
        <v>0</v>
      </c>
      <c r="S996" s="304">
        <f>IF(O996&lt;=IF($O996=0,0,SUMIFS(Disbursements!$W:$W,Disbursements!$B:$B,'Live Collections'!D1113,Disbursements!$D:$D,'Live Collections'!F1113)),O996,IF($O996=0,0,SUMIFS(Disbursements!$W:$W,Disbursements!$B:$B,'Live Collections'!D1113,Disbursements!$D:$D,'Live Collections'!F1113)))</f>
        <v>0</v>
      </c>
      <c r="T996" s="304">
        <f t="shared" si="48"/>
        <v>0</v>
      </c>
      <c r="U996" s="52"/>
      <c r="V996" s="34"/>
      <c r="W996" s="408"/>
    </row>
    <row r="997" spans="1:23" ht="12.75" customHeight="1" x14ac:dyDescent="0.2">
      <c r="A997" s="132">
        <v>980</v>
      </c>
      <c r="B997" s="44">
        <v>44460</v>
      </c>
      <c r="C997" s="44">
        <f t="shared" si="46"/>
        <v>44460</v>
      </c>
      <c r="D997" s="374">
        <v>87</v>
      </c>
      <c r="E997" s="291" t="str">
        <f>IFERROR(VLOOKUP($D997,'Clients-Live'!$A:$C,3,0),"")</f>
        <v>FAIDA ZUBEDA</v>
      </c>
      <c r="F997" s="291">
        <f>IFERROR(INDEX(Disbursements!$D:$D,MATCH('Live Collections'!G997,Disbursements!$C:$C,0)),"")</f>
        <v>1</v>
      </c>
      <c r="G997" s="34">
        <v>70</v>
      </c>
      <c r="H997" s="34"/>
      <c r="I997" s="34" t="s">
        <v>1358</v>
      </c>
      <c r="J997" s="48"/>
      <c r="K997" s="48"/>
      <c r="L997" s="48"/>
      <c r="M997" s="48"/>
      <c r="N997" s="59"/>
      <c r="O997" s="59">
        <v>100000</v>
      </c>
      <c r="P997" s="59"/>
      <c r="Q997" s="268">
        <f t="shared" si="47"/>
        <v>100000</v>
      </c>
      <c r="R997" s="61">
        <f>IF(O997=0,0,SUMIFS(Disbursements!$T:$T,Disbursements!$B:$B,'Live Collections'!D997,Disbursements!$D:$D,'Live Collections'!F997))</f>
        <v>175000</v>
      </c>
      <c r="S997" s="304">
        <f>IF(O997&lt;=IF($O997=0,0,SUMIFS(Disbursements!$W:$W,Disbursements!$B:$B,'Live Collections'!D1129,Disbursements!$D:$D,'Live Collections'!F1129)),O997,IF($O997=0,0,SUMIFS(Disbursements!$W:$W,Disbursements!$B:$B,'Live Collections'!D1129,Disbursements!$D:$D,'Live Collections'!F1129)))</f>
        <v>13000</v>
      </c>
      <c r="T997" s="304">
        <f t="shared" si="48"/>
        <v>87000</v>
      </c>
      <c r="U997" s="52"/>
      <c r="V997" s="34"/>
      <c r="W997" s="408"/>
    </row>
    <row r="998" spans="1:23" ht="12.75" customHeight="1" x14ac:dyDescent="0.2">
      <c r="A998" s="257">
        <v>976</v>
      </c>
      <c r="B998" s="44">
        <v>44460</v>
      </c>
      <c r="C998" s="44">
        <f t="shared" si="46"/>
        <v>44460</v>
      </c>
      <c r="D998" s="374">
        <v>98</v>
      </c>
      <c r="E998" s="291" t="str">
        <f>IFERROR(VLOOKUP($D998,'Clients-Live'!$A:$C,3,0),"")</f>
        <v>AMANIYO CLARA</v>
      </c>
      <c r="F998" s="291">
        <f>IFERROR(INDEX(Disbursements!$D:$D,MATCH('Live Collections'!G998,Disbursements!$C:$C,0)),"")</f>
        <v>1</v>
      </c>
      <c r="G998" s="34">
        <v>81</v>
      </c>
      <c r="H998" s="34"/>
      <c r="I998" s="34" t="s">
        <v>1357</v>
      </c>
      <c r="J998" s="48"/>
      <c r="K998" s="48"/>
      <c r="L998" s="48"/>
      <c r="M998" s="48"/>
      <c r="N998" s="59"/>
      <c r="O998" s="59">
        <v>300000</v>
      </c>
      <c r="P998" s="59"/>
      <c r="Q998" s="268">
        <f t="shared" si="47"/>
        <v>300000</v>
      </c>
      <c r="R998" s="61">
        <f>IF(O998=0,0,SUMIFS(Disbursements!$T:$T,Disbursements!$B:$B,'Live Collections'!D998,Disbursements!$D:$D,'Live Collections'!F998))</f>
        <v>150000</v>
      </c>
      <c r="S998" s="304">
        <f>IF(O998&lt;=IF($O998=0,0,SUMIFS(Disbursements!$W:$W,Disbursements!$B:$B,'Live Collections'!D1267,Disbursements!$D:$D,'Live Collections'!F1267)),O998,IF($O998=0,0,SUMIFS(Disbursements!$W:$W,Disbursements!$B:$B,'Live Collections'!D1267,Disbursements!$D:$D,'Live Collections'!F1267)))</f>
        <v>0</v>
      </c>
      <c r="T998" s="304">
        <f t="shared" si="48"/>
        <v>300000</v>
      </c>
      <c r="U998" s="52"/>
      <c r="V998" s="34"/>
      <c r="W998" s="408"/>
    </row>
    <row r="999" spans="1:23" ht="12.75" customHeight="1" x14ac:dyDescent="0.2">
      <c r="A999" s="132">
        <v>986</v>
      </c>
      <c r="B999" s="44">
        <v>44460</v>
      </c>
      <c r="C999" s="44">
        <f t="shared" si="46"/>
        <v>44460</v>
      </c>
      <c r="D999" s="374">
        <v>98</v>
      </c>
      <c r="E999" s="291" t="str">
        <f>IFERROR(VLOOKUP($D999,'Clients-Live'!$A:$C,3,0),"")</f>
        <v>AMANIYO CLARA</v>
      </c>
      <c r="F999" s="291" t="str">
        <f>IFERROR(INDEX(Disbursements!$D:$D,MATCH('Live Collections'!G999,Disbursements!$C:$C,0)),"")</f>
        <v/>
      </c>
      <c r="G999" s="34"/>
      <c r="H999" s="34"/>
      <c r="I999" s="34" t="s">
        <v>1358</v>
      </c>
      <c r="J999" s="48"/>
      <c r="K999" s="48"/>
      <c r="L999" s="48">
        <v>15000</v>
      </c>
      <c r="M999" s="48">
        <v>5000</v>
      </c>
      <c r="N999" s="59"/>
      <c r="O999" s="59"/>
      <c r="P999" s="59">
        <v>20000</v>
      </c>
      <c r="Q999" s="268">
        <f t="shared" si="47"/>
        <v>40000</v>
      </c>
      <c r="R999" s="61">
        <f>IF(O999=0,0,SUMIFS(Disbursements!$T:$T,Disbursements!$B:$B,'Live Collections'!D999,Disbursements!$D:$D,'Live Collections'!F999))</f>
        <v>0</v>
      </c>
      <c r="S999" s="304">
        <f>IF(O999&lt;=IF($O999=0,0,SUMIFS(Disbursements!$W:$W,Disbursements!$B:$B,'Live Collections'!D1268,Disbursements!$D:$D,'Live Collections'!F1268)),O999,IF($O999=0,0,SUMIFS(Disbursements!$W:$W,Disbursements!$B:$B,'Live Collections'!D1268,Disbursements!$D:$D,'Live Collections'!F1268)))</f>
        <v>0</v>
      </c>
      <c r="T999" s="304">
        <f t="shared" si="48"/>
        <v>0</v>
      </c>
      <c r="U999" s="52"/>
      <c r="V999" s="34"/>
      <c r="W999" s="408"/>
    </row>
    <row r="1000" spans="1:23" ht="12.75" customHeight="1" x14ac:dyDescent="0.2">
      <c r="A1000" s="257">
        <v>975</v>
      </c>
      <c r="B1000" s="44">
        <v>44460</v>
      </c>
      <c r="C1000" s="44">
        <f t="shared" si="46"/>
        <v>44460</v>
      </c>
      <c r="D1000" s="374">
        <v>125</v>
      </c>
      <c r="E1000" s="291" t="str">
        <f>IFERROR(VLOOKUP($D1000,'Clients-Live'!$A:$C,3,0),"")</f>
        <v>SUNDAY SCOVIA</v>
      </c>
      <c r="F1000" s="291">
        <f>IFERROR(INDEX(Disbursements!$D:$D,MATCH('Live Collections'!G1000,Disbursements!$C:$C,0)),"")</f>
        <v>1</v>
      </c>
      <c r="G1000" s="34">
        <v>111</v>
      </c>
      <c r="H1000" s="34"/>
      <c r="I1000" s="34" t="s">
        <v>1358</v>
      </c>
      <c r="J1000" s="48"/>
      <c r="K1000" s="48"/>
      <c r="L1000" s="48"/>
      <c r="M1000" s="48"/>
      <c r="N1000" s="59"/>
      <c r="O1000" s="59">
        <v>60000</v>
      </c>
      <c r="P1000" s="59"/>
      <c r="Q1000" s="268">
        <f t="shared" si="47"/>
        <v>60000</v>
      </c>
      <c r="R1000" s="61">
        <f>IF(O1000=0,0,SUMIFS(Disbursements!$T:$T,Disbursements!$B:$B,'Live Collections'!D1000,Disbursements!$D:$D,'Live Collections'!F1000))</f>
        <v>120000</v>
      </c>
      <c r="S1000" s="64">
        <v>-40000</v>
      </c>
      <c r="T1000" s="304">
        <f t="shared" si="48"/>
        <v>100000</v>
      </c>
      <c r="U1000" s="52"/>
      <c r="V1000" s="34"/>
      <c r="W1000" s="408"/>
    </row>
    <row r="1001" spans="1:23" ht="12.75" customHeight="1" x14ac:dyDescent="0.2">
      <c r="A1001" s="132">
        <v>973</v>
      </c>
      <c r="B1001" s="44">
        <v>44460</v>
      </c>
      <c r="C1001" s="44">
        <f t="shared" si="46"/>
        <v>44460</v>
      </c>
      <c r="D1001" s="374">
        <v>149</v>
      </c>
      <c r="E1001" s="291" t="str">
        <f>IFERROR(VLOOKUP($D1001,'Clients-Live'!$A:$C,3,0),"")</f>
        <v>SIKA AMIDRA</v>
      </c>
      <c r="F1001" s="291">
        <f>IFERROR(INDEX(Disbursements!$D:$D,MATCH('Live Collections'!G1001,Disbursements!$C:$C,0)),"")</f>
        <v>1</v>
      </c>
      <c r="G1001" s="34">
        <v>141</v>
      </c>
      <c r="H1001" s="34"/>
      <c r="I1001" s="34" t="s">
        <v>1358</v>
      </c>
      <c r="J1001" s="48"/>
      <c r="K1001" s="48"/>
      <c r="L1001" s="48"/>
      <c r="M1001" s="48"/>
      <c r="N1001" s="59"/>
      <c r="O1001" s="59">
        <v>50000</v>
      </c>
      <c r="P1001" s="59"/>
      <c r="Q1001" s="268">
        <f t="shared" si="47"/>
        <v>50000</v>
      </c>
      <c r="R1001" s="61">
        <f>IF(O1001=0,0,SUMIFS(Disbursements!$T:$T,Disbursements!$B:$B,'Live Collections'!D1001,Disbursements!$D:$D,'Live Collections'!F1001))</f>
        <v>30000</v>
      </c>
      <c r="S1001" s="64">
        <v>10000</v>
      </c>
      <c r="T1001" s="304">
        <f t="shared" si="48"/>
        <v>40000</v>
      </c>
      <c r="U1001" s="52"/>
      <c r="V1001" s="34"/>
      <c r="W1001" s="408"/>
    </row>
    <row r="1002" spans="1:23" ht="12.75" customHeight="1" x14ac:dyDescent="0.2">
      <c r="A1002" s="257">
        <v>985</v>
      </c>
      <c r="B1002" s="44">
        <v>44460</v>
      </c>
      <c r="C1002" s="44">
        <f t="shared" si="46"/>
        <v>44460</v>
      </c>
      <c r="D1002" s="374">
        <v>187</v>
      </c>
      <c r="E1002" s="291" t="str">
        <f>IFERROR(VLOOKUP($D1002,'Clients-Live'!$A:$C,3,0),"")</f>
        <v xml:space="preserve">AJIO HARRIET </v>
      </c>
      <c r="F1002" s="291">
        <f>IFERROR(INDEX(Disbursements!$D:$D,MATCH('Live Collections'!G1002,Disbursements!$C:$C,0)),"")</f>
        <v>1</v>
      </c>
      <c r="G1002" s="34">
        <v>179</v>
      </c>
      <c r="H1002" s="34">
        <v>2514</v>
      </c>
      <c r="I1002" s="34" t="s">
        <v>1358</v>
      </c>
      <c r="J1002" s="48"/>
      <c r="K1002" s="48"/>
      <c r="L1002" s="48"/>
      <c r="M1002" s="48"/>
      <c r="N1002" s="59"/>
      <c r="O1002" s="59">
        <v>120000</v>
      </c>
      <c r="P1002" s="59"/>
      <c r="Q1002" s="268">
        <f t="shared" si="47"/>
        <v>120000</v>
      </c>
      <c r="R1002" s="61">
        <f>IF(O1002=0,0,SUMIFS(Disbursements!$T:$T,Disbursements!$B:$B,'Live Collections'!D1002,Disbursements!$D:$D,'Live Collections'!F1002))</f>
        <v>120000</v>
      </c>
      <c r="S1002" s="304">
        <f>IF(O1002&lt;=IF($O1002=0,0,SUMIFS(Disbursements!$W:$W,Disbursements!$B:$B,'Live Collections'!D2275,Disbursements!$D:$D,'Live Collections'!F2275)),O1002,IF($O1002=0,0,SUMIFS(Disbursements!$W:$W,Disbursements!$B:$B,'Live Collections'!D2275,Disbursements!$D:$D,'Live Collections'!F2275)))</f>
        <v>25666.666666666672</v>
      </c>
      <c r="T1002" s="304">
        <f t="shared" si="48"/>
        <v>94333.333333333328</v>
      </c>
      <c r="U1002" s="52"/>
      <c r="V1002" s="34"/>
      <c r="W1002" s="408"/>
    </row>
    <row r="1003" spans="1:23" ht="12.75" customHeight="1" x14ac:dyDescent="0.2">
      <c r="A1003" s="132">
        <v>977</v>
      </c>
      <c r="B1003" s="44">
        <v>44460</v>
      </c>
      <c r="C1003" s="44">
        <f t="shared" si="46"/>
        <v>44460</v>
      </c>
      <c r="D1003" s="374">
        <v>189</v>
      </c>
      <c r="E1003" s="291" t="str">
        <f>IFERROR(VLOOKUP($D1003,'Clients-Live'!$A:$C,3,0),"")</f>
        <v>AYIDA SELUWA</v>
      </c>
      <c r="F1003" s="291">
        <f>IFERROR(INDEX(Disbursements!$D:$D,MATCH('Live Collections'!G1003,Disbursements!$C:$C,0)),"")</f>
        <v>1</v>
      </c>
      <c r="G1003" s="34">
        <v>178</v>
      </c>
      <c r="H1003" s="34"/>
      <c r="I1003" s="34" t="s">
        <v>1359</v>
      </c>
      <c r="J1003" s="48"/>
      <c r="K1003" s="48"/>
      <c r="L1003" s="48"/>
      <c r="M1003" s="48"/>
      <c r="N1003" s="59"/>
      <c r="O1003" s="59">
        <v>120000</v>
      </c>
      <c r="P1003" s="59"/>
      <c r="Q1003" s="268">
        <f t="shared" si="47"/>
        <v>120000</v>
      </c>
      <c r="R1003" s="61">
        <f>IF(O1003=0,0,SUMIFS(Disbursements!$T:$T,Disbursements!$B:$B,'Live Collections'!D1003,Disbursements!$D:$D,'Live Collections'!F1003))</f>
        <v>120000</v>
      </c>
      <c r="S1003" s="64">
        <v>80000</v>
      </c>
      <c r="T1003" s="304">
        <f t="shared" si="48"/>
        <v>40000</v>
      </c>
      <c r="U1003" s="52"/>
      <c r="V1003" s="34"/>
      <c r="W1003" s="408"/>
    </row>
    <row r="1004" spans="1:23" ht="12.75" customHeight="1" x14ac:dyDescent="0.2">
      <c r="A1004" s="257">
        <v>984</v>
      </c>
      <c r="B1004" s="44">
        <v>44460</v>
      </c>
      <c r="C1004" s="44">
        <f t="shared" si="46"/>
        <v>44460</v>
      </c>
      <c r="D1004" s="374">
        <v>205</v>
      </c>
      <c r="E1004" s="291" t="str">
        <f>IFERROR(VLOOKUP($D1004,'Clients-Live'!$A:$C,3,0),"")</f>
        <v>OPIRU ALICE</v>
      </c>
      <c r="F1004" s="291">
        <f>IFERROR(INDEX(Disbursements!$D:$D,MATCH('Live Collections'!G1004,Disbursements!$C:$C,0)),"")</f>
        <v>1</v>
      </c>
      <c r="G1004" s="34">
        <v>212</v>
      </c>
      <c r="H1004" s="34">
        <v>2508</v>
      </c>
      <c r="I1004" s="34" t="s">
        <v>1359</v>
      </c>
      <c r="J1004" s="48"/>
      <c r="K1004" s="48"/>
      <c r="L1004" s="48"/>
      <c r="M1004" s="48"/>
      <c r="N1004" s="59"/>
      <c r="O1004" s="59">
        <v>60000</v>
      </c>
      <c r="P1004" s="59"/>
      <c r="Q1004" s="268">
        <f t="shared" si="47"/>
        <v>60000</v>
      </c>
      <c r="R1004" s="61">
        <f>IF(O1004=0,0,SUMIFS(Disbursements!$T:$T,Disbursements!$B:$B,'Live Collections'!D1004,Disbursements!$D:$D,'Live Collections'!F1004))</f>
        <v>30000</v>
      </c>
      <c r="S1004" s="304">
        <f>IF(O1004&lt;=IF($O1004=0,0,SUMIFS(Disbursements!$W:$W,Disbursements!$B:$B,'Live Collections'!D2421,Disbursements!$D:$D,'Live Collections'!F2421)),O1004,IF($O1004=0,0,SUMIFS(Disbursements!$W:$W,Disbursements!$B:$B,'Live Collections'!D2421,Disbursements!$D:$D,'Live Collections'!F2421)))</f>
        <v>30000</v>
      </c>
      <c r="T1004" s="304">
        <f t="shared" si="48"/>
        <v>30000</v>
      </c>
      <c r="U1004" s="52"/>
      <c r="V1004" s="34"/>
      <c r="W1004" s="408"/>
    </row>
    <row r="1005" spans="1:23" ht="12.75" customHeight="1" x14ac:dyDescent="0.2">
      <c r="A1005" s="132">
        <v>988</v>
      </c>
      <c r="B1005" s="44">
        <v>44460</v>
      </c>
      <c r="C1005" s="44">
        <f t="shared" si="46"/>
        <v>44460</v>
      </c>
      <c r="D1005" s="374">
        <v>222</v>
      </c>
      <c r="E1005" s="291" t="str">
        <f>IFERROR(VLOOKUP($D1005,'Clients-Live'!$A:$C,3,0),"")</f>
        <v>ITITU ZAIDA</v>
      </c>
      <c r="F1005" s="291" t="str">
        <f>IFERROR(INDEX(Disbursements!$D:$D,MATCH('Live Collections'!G1005,Disbursements!$C:$C,0)),"")</f>
        <v/>
      </c>
      <c r="G1005" s="34"/>
      <c r="H1005" s="34">
        <v>2517</v>
      </c>
      <c r="I1005" s="34" t="s">
        <v>1815</v>
      </c>
      <c r="J1005" s="48">
        <v>15000</v>
      </c>
      <c r="K1005" s="48">
        <v>5000</v>
      </c>
      <c r="L1005" s="48"/>
      <c r="M1005" s="48"/>
      <c r="N1005" s="59"/>
      <c r="O1005" s="59"/>
      <c r="P1005" s="59"/>
      <c r="Q1005" s="268">
        <f t="shared" si="47"/>
        <v>20000</v>
      </c>
      <c r="R1005" s="61">
        <f>IF(O1005=0,0,SUMIFS(Disbursements!$T:$T,Disbursements!$B:$B,'Live Collections'!D1005,Disbursements!$D:$D,'Live Collections'!F1005))</f>
        <v>0</v>
      </c>
      <c r="S1005" s="304">
        <f>IF(O1005&lt;=IF($O1005=0,0,SUMIFS(Disbursements!$W:$W,Disbursements!$B:$B,'Live Collections'!D2610,Disbursements!$D:$D,'Live Collections'!F2610)),O1005,IF($O1005=0,0,SUMIFS(Disbursements!$W:$W,Disbursements!$B:$B,'Live Collections'!D2610,Disbursements!$D:$D,'Live Collections'!F2610)))</f>
        <v>0</v>
      </c>
      <c r="T1005" s="304">
        <f t="shared" si="48"/>
        <v>0</v>
      </c>
      <c r="U1005" s="52"/>
      <c r="V1005" s="34"/>
      <c r="W1005" s="408"/>
    </row>
    <row r="1006" spans="1:23" ht="12.75" customHeight="1" x14ac:dyDescent="0.2">
      <c r="A1006" s="257">
        <v>993</v>
      </c>
      <c r="B1006" s="44">
        <v>44461</v>
      </c>
      <c r="C1006" s="44">
        <f t="shared" si="46"/>
        <v>44461</v>
      </c>
      <c r="D1006" s="374">
        <v>66</v>
      </c>
      <c r="E1006" s="291" t="str">
        <f>IFERROR(VLOOKUP($D1006,'Clients-Live'!$A:$C,3,0),"")</f>
        <v>DENAYA NYAMAZA</v>
      </c>
      <c r="F1006" s="291">
        <f>IFERROR(INDEX(Disbursements!$D:$D,MATCH('Live Collections'!G1006,Disbursements!$C:$C,0)),"")</f>
        <v>1</v>
      </c>
      <c r="G1006" s="34">
        <v>53</v>
      </c>
      <c r="H1006" s="34"/>
      <c r="I1006" s="34" t="s">
        <v>1357</v>
      </c>
      <c r="J1006" s="48"/>
      <c r="K1006" s="48"/>
      <c r="L1006" s="48"/>
      <c r="M1006" s="48"/>
      <c r="N1006" s="59"/>
      <c r="O1006" s="59">
        <v>110000</v>
      </c>
      <c r="P1006" s="59"/>
      <c r="Q1006" s="268">
        <f t="shared" si="47"/>
        <v>110000</v>
      </c>
      <c r="R1006" s="61">
        <f>IF(O1006=0,0,SUMIFS(Disbursements!$T:$T,Disbursements!$B:$B,'Live Collections'!D1006,Disbursements!$D:$D,'Live Collections'!F1006))</f>
        <v>109000</v>
      </c>
      <c r="S1006" s="304">
        <f>IF(O1006&lt;=IF($O1006=0,0,SUMIFS(Disbursements!$W:$W,Disbursements!$B:$B,'Live Collections'!D1573,Disbursements!$D:$D,'Live Collections'!F1573)),O1006,IF($O1006=0,0,SUMIFS(Disbursements!$W:$W,Disbursements!$B:$B,'Live Collections'!D1573,Disbursements!$D:$D,'Live Collections'!F1573)))</f>
        <v>75000</v>
      </c>
      <c r="T1006" s="304">
        <f t="shared" si="48"/>
        <v>35000</v>
      </c>
      <c r="U1006" s="52"/>
      <c r="V1006" s="34"/>
      <c r="W1006" s="408"/>
    </row>
    <row r="1007" spans="1:23" ht="12.75" customHeight="1" x14ac:dyDescent="0.2">
      <c r="A1007" s="132">
        <v>989</v>
      </c>
      <c r="B1007" s="44">
        <v>44461</v>
      </c>
      <c r="C1007" s="44">
        <f t="shared" si="46"/>
        <v>44461</v>
      </c>
      <c r="D1007" s="374">
        <v>79</v>
      </c>
      <c r="E1007" s="291" t="str">
        <f>IFERROR(VLOOKUP($D1007,'Clients-Live'!$A:$C,3,0),"")</f>
        <v>PASI SENYA</v>
      </c>
      <c r="F1007" s="291">
        <f>IFERROR(INDEX(Disbursements!$D:$D,MATCH('Live Collections'!G1007,Disbursements!$C:$C,0)),"")</f>
        <v>1</v>
      </c>
      <c r="G1007" s="34">
        <v>64</v>
      </c>
      <c r="H1007" s="34"/>
      <c r="I1007" s="34" t="s">
        <v>1358</v>
      </c>
      <c r="J1007" s="48"/>
      <c r="K1007" s="48"/>
      <c r="L1007" s="48"/>
      <c r="M1007" s="48"/>
      <c r="N1007" s="59"/>
      <c r="O1007" s="59">
        <v>64000</v>
      </c>
      <c r="P1007" s="59"/>
      <c r="Q1007" s="268">
        <f t="shared" si="47"/>
        <v>64000</v>
      </c>
      <c r="R1007" s="61">
        <f>IF(O1007=0,0,SUMIFS(Disbursements!$T:$T,Disbursements!$B:$B,'Live Collections'!D1007,Disbursements!$D:$D,'Live Collections'!F1007))</f>
        <v>63000</v>
      </c>
      <c r="S1007" s="304"/>
      <c r="T1007" s="304">
        <f t="shared" si="48"/>
        <v>64000</v>
      </c>
      <c r="U1007" s="52"/>
      <c r="V1007" s="34"/>
      <c r="W1007" s="408"/>
    </row>
    <row r="1008" spans="1:23" ht="12.75" customHeight="1" x14ac:dyDescent="0.2">
      <c r="A1008" s="132">
        <v>991</v>
      </c>
      <c r="B1008" s="44">
        <v>44461</v>
      </c>
      <c r="C1008" s="44">
        <f t="shared" si="46"/>
        <v>44461</v>
      </c>
      <c r="D1008" s="374">
        <v>131</v>
      </c>
      <c r="E1008" s="291" t="str">
        <f>IFERROR(VLOOKUP($D1008,'Clients-Live'!$A:$C,3,0),"")</f>
        <v>CANDIRU ZAKIA</v>
      </c>
      <c r="F1008" s="291">
        <f>IFERROR(INDEX(Disbursements!$D:$D,MATCH('Live Collections'!G1008,Disbursements!$C:$C,0)),"")</f>
        <v>1</v>
      </c>
      <c r="G1008" s="34">
        <v>115</v>
      </c>
      <c r="H1008" s="34"/>
      <c r="I1008" s="34" t="s">
        <v>1357</v>
      </c>
      <c r="J1008" s="48"/>
      <c r="K1008" s="48"/>
      <c r="L1008" s="48"/>
      <c r="M1008" s="48"/>
      <c r="N1008" s="59"/>
      <c r="O1008" s="59">
        <v>38000</v>
      </c>
      <c r="P1008" s="59"/>
      <c r="Q1008" s="268">
        <f t="shared" si="47"/>
        <v>38000</v>
      </c>
      <c r="R1008" s="61">
        <f>IF(O1008=0,0,SUMIFS(Disbursements!$T:$T,Disbursements!$B:$B,'Live Collections'!D1008,Disbursements!$D:$D,'Live Collections'!F1008))</f>
        <v>77000</v>
      </c>
      <c r="S1008" s="304">
        <f>IF(O1008&lt;=IF($O1008=0,0,SUMIFS(Disbursements!$W:$W,Disbursements!$B:$B,'Live Collections'!D1656,Disbursements!$D:$D,'Live Collections'!F1656)),O1008,IF($O1008=0,0,SUMIFS(Disbursements!$W:$W,Disbursements!$B:$B,'Live Collections'!D1656,Disbursements!$D:$D,'Live Collections'!F1656)))</f>
        <v>10000</v>
      </c>
      <c r="T1008" s="304">
        <f t="shared" si="48"/>
        <v>28000</v>
      </c>
      <c r="U1008" s="52"/>
      <c r="V1008" s="34"/>
      <c r="W1008" s="408"/>
    </row>
    <row r="1009" spans="1:23" ht="12.75" customHeight="1" x14ac:dyDescent="0.2">
      <c r="A1009" s="257">
        <v>990</v>
      </c>
      <c r="B1009" s="44">
        <v>44461</v>
      </c>
      <c r="C1009" s="44">
        <f t="shared" si="46"/>
        <v>44461</v>
      </c>
      <c r="D1009" s="374">
        <v>138</v>
      </c>
      <c r="E1009" s="291" t="str">
        <f>IFERROR(VLOOKUP($D1009,'Clients-Live'!$A:$C,3,0),"")</f>
        <v>BEATRICE AMANDRU</v>
      </c>
      <c r="F1009" s="291">
        <f>IFERROR(INDEX(Disbursements!$D:$D,MATCH('Live Collections'!G1009,Disbursements!$C:$C,0)),"")</f>
        <v>1</v>
      </c>
      <c r="G1009" s="34">
        <v>126</v>
      </c>
      <c r="H1009" s="34"/>
      <c r="I1009" s="34" t="s">
        <v>1357</v>
      </c>
      <c r="J1009" s="48"/>
      <c r="K1009" s="48"/>
      <c r="L1009" s="48"/>
      <c r="M1009" s="48"/>
      <c r="N1009" s="59"/>
      <c r="O1009" s="59">
        <v>400000</v>
      </c>
      <c r="P1009" s="59"/>
      <c r="Q1009" s="268">
        <f t="shared" si="47"/>
        <v>400000</v>
      </c>
      <c r="R1009" s="61">
        <f>IF(O1009=0,0,SUMIFS(Disbursements!$T:$T,Disbursements!$B:$B,'Live Collections'!D1009,Disbursements!$D:$D,'Live Collections'!F1009))</f>
        <v>230000</v>
      </c>
      <c r="S1009" s="304">
        <f>IF(O1009&lt;=IF($O1009=0,0,SUMIFS(Disbursements!$W:$W,Disbursements!$B:$B,'Live Collections'!D1742,Disbursements!$D:$D,'Live Collections'!F1742)),O1009,IF($O1009=0,0,SUMIFS(Disbursements!$W:$W,Disbursements!$B:$B,'Live Collections'!D1742,Disbursements!$D:$D,'Live Collections'!F1742)))</f>
        <v>0</v>
      </c>
      <c r="T1009" s="304">
        <f t="shared" si="48"/>
        <v>400000</v>
      </c>
      <c r="U1009" s="52"/>
      <c r="V1009" s="34"/>
      <c r="W1009" s="408"/>
    </row>
    <row r="1010" spans="1:23" ht="12.75" customHeight="1" x14ac:dyDescent="0.2">
      <c r="A1010" s="132">
        <v>992</v>
      </c>
      <c r="B1010" s="44">
        <v>44461</v>
      </c>
      <c r="C1010" s="44">
        <f t="shared" si="46"/>
        <v>44461</v>
      </c>
      <c r="D1010" s="374">
        <v>192</v>
      </c>
      <c r="E1010" s="291" t="str">
        <f>IFERROR(VLOOKUP($D1010,'Clients-Live'!$A:$C,3,0),"")</f>
        <v>MAZARAU AISHA</v>
      </c>
      <c r="F1010" s="291">
        <f>IFERROR(INDEX(Disbursements!$D:$D,MATCH('Live Collections'!G1010,Disbursements!$C:$C,0)),"")</f>
        <v>1</v>
      </c>
      <c r="G1010" s="34">
        <v>181</v>
      </c>
      <c r="H1010" s="34"/>
      <c r="I1010" s="34" t="s">
        <v>1357</v>
      </c>
      <c r="J1010" s="48"/>
      <c r="K1010" s="48"/>
      <c r="L1010" s="48"/>
      <c r="M1010" s="48"/>
      <c r="N1010" s="59"/>
      <c r="O1010" s="59">
        <v>120000</v>
      </c>
      <c r="P1010" s="59"/>
      <c r="Q1010" s="268">
        <f t="shared" si="47"/>
        <v>120000</v>
      </c>
      <c r="R1010" s="61">
        <f>IF(O1010=0,0,SUMIFS(Disbursements!$T:$T,Disbursements!$B:$B,'Live Collections'!D1010,Disbursements!$D:$D,'Live Collections'!F1010))</f>
        <v>115000</v>
      </c>
      <c r="S1010" s="304">
        <f>IF(O1010&lt;=IF($O1010=0,0,SUMIFS(Disbursements!$W:$W,Disbursements!$B:$B,'Live Collections'!D2648,Disbursements!$D:$D,'Live Collections'!F2648)),O1010,IF($O1010=0,0,SUMIFS(Disbursements!$W:$W,Disbursements!$B:$B,'Live Collections'!D2648,Disbursements!$D:$D,'Live Collections'!F2648)))</f>
        <v>6125</v>
      </c>
      <c r="T1010" s="304">
        <f t="shared" si="48"/>
        <v>113875</v>
      </c>
      <c r="U1010" s="52"/>
      <c r="V1010" s="34"/>
      <c r="W1010" s="408"/>
    </row>
    <row r="1011" spans="1:23" ht="12.75" customHeight="1" x14ac:dyDescent="0.2">
      <c r="A1011" s="257">
        <v>994</v>
      </c>
      <c r="B1011" s="44">
        <v>44461</v>
      </c>
      <c r="C1011" s="44">
        <f t="shared" si="46"/>
        <v>44461</v>
      </c>
      <c r="D1011" s="374">
        <v>202</v>
      </c>
      <c r="E1011" s="291" t="str">
        <f>IFERROR(VLOOKUP($D1011,'Clients-Live'!$A:$C,3,0),"")</f>
        <v>MUSEMA SWAIBU</v>
      </c>
      <c r="F1011" s="291">
        <f>IFERROR(INDEX(Disbursements!$D:$D,MATCH('Live Collections'!G1011,Disbursements!$C:$C,0)),"")</f>
        <v>1</v>
      </c>
      <c r="G1011" s="34">
        <v>197</v>
      </c>
      <c r="H1011" s="34"/>
      <c r="I1011" s="34" t="s">
        <v>1358</v>
      </c>
      <c r="J1011" s="48"/>
      <c r="K1011" s="48"/>
      <c r="L1011" s="48"/>
      <c r="M1011" s="48"/>
      <c r="N1011" s="59"/>
      <c r="O1011" s="59">
        <v>150000</v>
      </c>
      <c r="P1011" s="59"/>
      <c r="Q1011" s="268">
        <f t="shared" si="47"/>
        <v>150000</v>
      </c>
      <c r="R1011" s="61">
        <f>IF(O1011=0,0,SUMIFS(Disbursements!$T:$T,Disbursements!$B:$B,'Live Collections'!D1011,Disbursements!$D:$D,'Live Collections'!F1011))</f>
        <v>144000</v>
      </c>
      <c r="S1011" s="304">
        <f>IF(O1011&lt;=IF($O1011=0,0,SUMIFS(Disbursements!$W:$W,Disbursements!$B:$B,'Live Collections'!D2403,Disbursements!$D:$D,'Live Collections'!F2403)),O1011,IF($O1011=0,0,SUMIFS(Disbursements!$W:$W,Disbursements!$B:$B,'Live Collections'!D2403,Disbursements!$D:$D,'Live Collections'!F2403)))</f>
        <v>75000</v>
      </c>
      <c r="T1011" s="304">
        <f t="shared" si="48"/>
        <v>75000</v>
      </c>
      <c r="U1011" s="52"/>
      <c r="V1011" s="34"/>
      <c r="W1011" s="408"/>
    </row>
    <row r="1012" spans="1:23" ht="12.75" customHeight="1" x14ac:dyDescent="0.2">
      <c r="A1012" s="132">
        <v>995</v>
      </c>
      <c r="B1012" s="44">
        <v>44461</v>
      </c>
      <c r="C1012" s="44">
        <f t="shared" si="46"/>
        <v>44461</v>
      </c>
      <c r="D1012" s="374">
        <v>223</v>
      </c>
      <c r="E1012" s="291" t="str">
        <f>IFERROR(VLOOKUP($D1012,'Clients-Live'!$A:$C,3,0),"")</f>
        <v>ANYOLE JOEL</v>
      </c>
      <c r="F1012" s="291" t="str">
        <f>IFERROR(INDEX(Disbursements!$D:$D,MATCH('Live Collections'!G1012,Disbursements!$C:$C,0)),"")</f>
        <v/>
      </c>
      <c r="G1012" s="34"/>
      <c r="H1012" s="34"/>
      <c r="I1012" s="34" t="s">
        <v>1815</v>
      </c>
      <c r="J1012" s="48">
        <v>15000</v>
      </c>
      <c r="K1012" s="48">
        <v>5000</v>
      </c>
      <c r="L1012" s="48"/>
      <c r="M1012" s="48"/>
      <c r="N1012" s="59"/>
      <c r="O1012" s="59"/>
      <c r="P1012" s="59"/>
      <c r="Q1012" s="268">
        <f t="shared" si="47"/>
        <v>20000</v>
      </c>
      <c r="R1012" s="61">
        <f>IF(O1012=0,0,SUMIFS(Disbursements!$T:$T,Disbursements!$B:$B,'Live Collections'!D1012,Disbursements!$D:$D,'Live Collections'!F1012))</f>
        <v>0</v>
      </c>
      <c r="S1012" s="304">
        <f>IF(O1012&lt;=IF($O1012=0,0,SUMIFS(Disbursements!$W:$W,Disbursements!$B:$B,'Live Collections'!D2621,Disbursements!$D:$D,'Live Collections'!F2621)),O1012,IF($O1012=0,0,SUMIFS(Disbursements!$W:$W,Disbursements!$B:$B,'Live Collections'!D2621,Disbursements!$D:$D,'Live Collections'!F2621)))</f>
        <v>0</v>
      </c>
      <c r="T1012" s="304">
        <f t="shared" si="48"/>
        <v>0</v>
      </c>
      <c r="U1012" s="52"/>
      <c r="V1012" s="34"/>
      <c r="W1012" s="408"/>
    </row>
    <row r="1013" spans="1:23" ht="12.75" customHeight="1" x14ac:dyDescent="0.2">
      <c r="A1013" s="257">
        <v>1001</v>
      </c>
      <c r="B1013" s="44">
        <v>44462</v>
      </c>
      <c r="C1013" s="44">
        <f t="shared" si="46"/>
        <v>44462</v>
      </c>
      <c r="D1013" s="374">
        <v>52</v>
      </c>
      <c r="E1013" s="291" t="str">
        <f>IFERROR(VLOOKUP($D1013,'Clients-Live'!$A:$C,3,0),"")</f>
        <v>EDEZU PEACE IRENE</v>
      </c>
      <c r="F1013" s="291">
        <f>IFERROR(INDEX(Disbursements!$D:$D,MATCH('Live Collections'!G1013,Disbursements!$C:$C,0)),"")</f>
        <v>1</v>
      </c>
      <c r="G1013" s="34">
        <v>38</v>
      </c>
      <c r="H1013" s="34"/>
      <c r="I1013" s="34" t="s">
        <v>1357</v>
      </c>
      <c r="J1013" s="48"/>
      <c r="K1013" s="48"/>
      <c r="L1013" s="48"/>
      <c r="M1013" s="48"/>
      <c r="N1013" s="59"/>
      <c r="O1013" s="59">
        <v>20000</v>
      </c>
      <c r="P1013" s="59"/>
      <c r="Q1013" s="268">
        <f t="shared" si="47"/>
        <v>20000</v>
      </c>
      <c r="R1013" s="61">
        <f>IF(O1013=0,0,SUMIFS(Disbursements!$T:$T,Disbursements!$B:$B,'Live Collections'!D1013,Disbursements!$D:$D,'Live Collections'!F1013))</f>
        <v>150000</v>
      </c>
      <c r="S1013" s="304"/>
      <c r="T1013" s="304">
        <f t="shared" si="48"/>
        <v>20000</v>
      </c>
      <c r="U1013" s="52"/>
      <c r="V1013" s="34"/>
      <c r="W1013" s="408"/>
    </row>
    <row r="1014" spans="1:23" ht="12.75" customHeight="1" x14ac:dyDescent="0.2">
      <c r="A1014" s="132">
        <v>1007</v>
      </c>
      <c r="B1014" s="44">
        <v>44462</v>
      </c>
      <c r="C1014" s="44">
        <f t="shared" si="46"/>
        <v>44462</v>
      </c>
      <c r="D1014" s="374">
        <v>63</v>
      </c>
      <c r="E1014" s="291" t="str">
        <f>IFERROR(VLOOKUP($D1014,'Clients-Live'!$A:$C,3,0),"")</f>
        <v>AWURU KADARA</v>
      </c>
      <c r="F1014" s="291">
        <f>IFERROR(INDEX(Disbursements!$D:$D,MATCH('Live Collections'!G1014,Disbursements!$C:$C,0)),"")</f>
        <v>2</v>
      </c>
      <c r="G1014" s="34">
        <v>173</v>
      </c>
      <c r="H1014" s="34"/>
      <c r="I1014" s="34" t="s">
        <v>1357</v>
      </c>
      <c r="J1014" s="48"/>
      <c r="K1014" s="48"/>
      <c r="L1014" s="48"/>
      <c r="M1014" s="48"/>
      <c r="N1014" s="59"/>
      <c r="O1014" s="59">
        <v>65000</v>
      </c>
      <c r="P1014" s="59"/>
      <c r="Q1014" s="268">
        <f t="shared" si="47"/>
        <v>65000</v>
      </c>
      <c r="R1014" s="61">
        <f>IF(O1014=0,0,SUMIFS(Disbursements!$T:$T,Disbursements!$B:$B,'Live Collections'!D1014,Disbursements!$D:$D,'Live Collections'!F1014))</f>
        <v>175000</v>
      </c>
      <c r="S1014" s="304">
        <f>IF(O1014&lt;=IF($O1014=0,0,SUMIFS(Disbursements!$W:$W,Disbursements!$B:$B,'Live Collections'!D756,Disbursements!$D:$D,'Live Collections'!F756)),O1014,IF($O1014=0,0,SUMIFS(Disbursements!$W:$W,Disbursements!$B:$B,'Live Collections'!D756,Disbursements!$D:$D,'Live Collections'!F756)))</f>
        <v>15000</v>
      </c>
      <c r="T1014" s="304">
        <f t="shared" si="48"/>
        <v>50000</v>
      </c>
      <c r="U1014" s="52"/>
      <c r="V1014" s="34"/>
      <c r="W1014" s="408"/>
    </row>
    <row r="1015" spans="1:23" ht="12.75" customHeight="1" x14ac:dyDescent="0.2">
      <c r="A1015" s="257">
        <v>1006</v>
      </c>
      <c r="B1015" s="44">
        <v>44462</v>
      </c>
      <c r="C1015" s="44">
        <f t="shared" si="46"/>
        <v>44462</v>
      </c>
      <c r="D1015" s="374">
        <v>68</v>
      </c>
      <c r="E1015" s="291" t="str">
        <f>IFERROR(VLOOKUP($D1015,'Clients-Live'!$A:$C,3,0),"")</f>
        <v>CHANDIA  RAHIMA</v>
      </c>
      <c r="F1015" s="291">
        <f>IFERROR(INDEX(Disbursements!$D:$D,MATCH('Live Collections'!G1015,Disbursements!$C:$C,0)),"")</f>
        <v>1</v>
      </c>
      <c r="G1015" s="34">
        <v>51</v>
      </c>
      <c r="H1015" s="34">
        <v>2535</v>
      </c>
      <c r="I1015" s="34" t="s">
        <v>1357</v>
      </c>
      <c r="J1015" s="48"/>
      <c r="K1015" s="48"/>
      <c r="L1015" s="48"/>
      <c r="M1015" s="48"/>
      <c r="N1015" s="59"/>
      <c r="O1015" s="59">
        <v>75000</v>
      </c>
      <c r="P1015" s="59"/>
      <c r="Q1015" s="268">
        <f t="shared" si="47"/>
        <v>75000</v>
      </c>
      <c r="R1015" s="61">
        <f>IF(O1015=0,0,SUMIFS(Disbursements!$T:$T,Disbursements!$B:$B,'Live Collections'!D1015,Disbursements!$D:$D,'Live Collections'!F1015))</f>
        <v>152000</v>
      </c>
      <c r="S1015" s="304">
        <f>IF(O1015&lt;=IF($O1015=0,0,SUMIFS(Disbursements!$W:$W,Disbursements!$B:$B,'Live Collections'!D844,Disbursements!$D:$D,'Live Collections'!F844)),O1015,IF($O1015=0,0,SUMIFS(Disbursements!$W:$W,Disbursements!$B:$B,'Live Collections'!D844,Disbursements!$D:$D,'Live Collections'!F844)))</f>
        <v>25000</v>
      </c>
      <c r="T1015" s="304">
        <f t="shared" si="48"/>
        <v>50000</v>
      </c>
      <c r="U1015" s="52"/>
      <c r="V1015" s="34"/>
      <c r="W1015" s="408"/>
    </row>
    <row r="1016" spans="1:23" ht="12.75" customHeight="1" x14ac:dyDescent="0.2">
      <c r="A1016" s="132">
        <v>997</v>
      </c>
      <c r="B1016" s="44">
        <v>44462</v>
      </c>
      <c r="C1016" s="44">
        <f t="shared" si="46"/>
        <v>44462</v>
      </c>
      <c r="D1016" s="374">
        <v>81</v>
      </c>
      <c r="E1016" s="291" t="str">
        <f>IFERROR(VLOOKUP($D1016,'Clients-Live'!$A:$C,3,0),"")</f>
        <v>ADAM ZAITUN</v>
      </c>
      <c r="F1016" s="291">
        <f>IFERROR(INDEX(Disbursements!$D:$D,MATCH('Live Collections'!G1016,Disbursements!$C:$C,0)),"")</f>
        <v>1</v>
      </c>
      <c r="G1016" s="34">
        <v>65</v>
      </c>
      <c r="H1016" s="34"/>
      <c r="I1016" s="34" t="s">
        <v>1358</v>
      </c>
      <c r="J1016" s="48"/>
      <c r="K1016" s="48"/>
      <c r="L1016" s="48"/>
      <c r="M1016" s="48"/>
      <c r="N1016" s="59"/>
      <c r="O1016" s="59">
        <v>80000</v>
      </c>
      <c r="P1016" s="59"/>
      <c r="Q1016" s="268">
        <f t="shared" si="47"/>
        <v>80000</v>
      </c>
      <c r="R1016" s="61">
        <f>IF(O1016=0,0,SUMIFS(Disbursements!$T:$T,Disbursements!$B:$B,'Live Collections'!D1016,Disbursements!$D:$D,'Live Collections'!F1016))</f>
        <v>217000</v>
      </c>
      <c r="S1016" s="304">
        <f>IF(O1016&lt;=IF($O1016=0,0,SUMIFS(Disbursements!$W:$W,Disbursements!$B:$B,'Live Collections'!D1049,Disbursements!$D:$D,'Live Collections'!F1049)),O1016,IF($O1016=0,0,SUMIFS(Disbursements!$W:$W,Disbursements!$B:$B,'Live Collections'!D1049,Disbursements!$D:$D,'Live Collections'!F1049)))</f>
        <v>60000</v>
      </c>
      <c r="T1016" s="304">
        <f t="shared" si="48"/>
        <v>20000</v>
      </c>
      <c r="U1016" s="52"/>
      <c r="V1016" s="34"/>
      <c r="W1016" s="408"/>
    </row>
    <row r="1017" spans="1:23" ht="12.75" customHeight="1" x14ac:dyDescent="0.2">
      <c r="A1017" s="257">
        <v>1004</v>
      </c>
      <c r="B1017" s="44">
        <v>44462</v>
      </c>
      <c r="C1017" s="44">
        <f t="shared" si="46"/>
        <v>44462</v>
      </c>
      <c r="D1017" s="374">
        <v>82</v>
      </c>
      <c r="E1017" s="291" t="str">
        <f>IFERROR(VLOOKUP($D1017,'Clients-Live'!$A:$C,3,0),"")</f>
        <v>ADUNA MANENO</v>
      </c>
      <c r="F1017" s="291">
        <f>IFERROR(INDEX(Disbursements!$D:$D,MATCH('Live Collections'!G1017,Disbursements!$C:$C,0)),"")</f>
        <v>1</v>
      </c>
      <c r="G1017" s="34">
        <v>71</v>
      </c>
      <c r="H1017" s="34"/>
      <c r="I1017" s="34" t="s">
        <v>1357</v>
      </c>
      <c r="J1017" s="48"/>
      <c r="K1017" s="48"/>
      <c r="L1017" s="48"/>
      <c r="M1017" s="48"/>
      <c r="N1017" s="59"/>
      <c r="O1017" s="59">
        <v>30000</v>
      </c>
      <c r="P1017" s="59"/>
      <c r="Q1017" s="268">
        <f t="shared" si="47"/>
        <v>30000</v>
      </c>
      <c r="R1017" s="61">
        <f>IF(O1017=0,0,SUMIFS(Disbursements!$T:$T,Disbursements!$B:$B,'Live Collections'!D1017,Disbursements!$D:$D,'Live Collections'!F1017))</f>
        <v>90000</v>
      </c>
      <c r="S1017" s="304"/>
      <c r="T1017" s="304">
        <f t="shared" si="48"/>
        <v>30000</v>
      </c>
      <c r="U1017" s="52"/>
      <c r="V1017" s="34"/>
      <c r="W1017" s="408"/>
    </row>
    <row r="1018" spans="1:23" ht="12.75" customHeight="1" x14ac:dyDescent="0.2">
      <c r="A1018" s="132">
        <v>1000</v>
      </c>
      <c r="B1018" s="44">
        <v>44462</v>
      </c>
      <c r="C1018" s="44">
        <f t="shared" si="46"/>
        <v>44462</v>
      </c>
      <c r="D1018" s="374">
        <v>88</v>
      </c>
      <c r="E1018" s="291" t="str">
        <f>IFERROR(VLOOKUP($D1018,'Clients-Live'!$A:$C,3,0),"")</f>
        <v>FAIDA HARRIET</v>
      </c>
      <c r="F1018" s="291">
        <f>IFERROR(INDEX(Disbursements!$D:$D,MATCH('Live Collections'!G1018,Disbursements!$C:$C,0)),"")</f>
        <v>2</v>
      </c>
      <c r="G1018" s="34">
        <v>169</v>
      </c>
      <c r="H1018" s="34"/>
      <c r="I1018" s="34" t="s">
        <v>1358</v>
      </c>
      <c r="J1018" s="48"/>
      <c r="K1018" s="48"/>
      <c r="L1018" s="48"/>
      <c r="M1018" s="48"/>
      <c r="N1018" s="59"/>
      <c r="O1018" s="59">
        <v>15000</v>
      </c>
      <c r="P1018" s="59"/>
      <c r="Q1018" s="268">
        <f t="shared" si="47"/>
        <v>15000</v>
      </c>
      <c r="R1018" s="61">
        <f>IF(O1018=0,0,SUMIFS(Disbursements!$T:$T,Disbursements!$B:$B,'Live Collections'!D1018,Disbursements!$D:$D,'Live Collections'!F1018))</f>
        <v>90000</v>
      </c>
      <c r="S1018" s="304">
        <f>IF(O1018&lt;=IF($O1018=0,0,SUMIFS(Disbursements!$W:$W,Disbursements!$B:$B,'Live Collections'!D1141,Disbursements!$D:$D,'Live Collections'!F1141)),O1018,IF($O1018=0,0,SUMIFS(Disbursements!$W:$W,Disbursements!$B:$B,'Live Collections'!D1141,Disbursements!$D:$D,'Live Collections'!F1141)))</f>
        <v>15000</v>
      </c>
      <c r="T1018" s="304">
        <f t="shared" si="48"/>
        <v>0</v>
      </c>
      <c r="U1018" s="52"/>
      <c r="V1018" s="34"/>
      <c r="W1018" s="408"/>
    </row>
    <row r="1019" spans="1:23" ht="12.75" customHeight="1" x14ac:dyDescent="0.2">
      <c r="A1019" s="257">
        <v>999</v>
      </c>
      <c r="B1019" s="44">
        <v>44462</v>
      </c>
      <c r="C1019" s="44">
        <f t="shared" si="46"/>
        <v>44462</v>
      </c>
      <c r="D1019" s="374">
        <v>95</v>
      </c>
      <c r="E1019" s="291" t="str">
        <f>IFERROR(VLOOKUP($D1019,'Clients-Live'!$A:$C,3,0),"")</f>
        <v>MUNDURU SIFA</v>
      </c>
      <c r="F1019" s="291">
        <f>IFERROR(INDEX(Disbursements!$D:$D,MATCH('Live Collections'!G1019,Disbursements!$C:$C,0)),"")</f>
        <v>1</v>
      </c>
      <c r="G1019" s="34">
        <v>76</v>
      </c>
      <c r="H1019" s="34"/>
      <c r="I1019" s="34" t="s">
        <v>1357</v>
      </c>
      <c r="J1019" s="48"/>
      <c r="K1019" s="48"/>
      <c r="L1019" s="48"/>
      <c r="M1019" s="48"/>
      <c r="N1019" s="59"/>
      <c r="O1019" s="59">
        <v>100000</v>
      </c>
      <c r="P1019" s="59"/>
      <c r="Q1019" s="268">
        <f t="shared" si="47"/>
        <v>100000</v>
      </c>
      <c r="R1019" s="61">
        <f>IF(O1019=0,0,SUMIFS(Disbursements!$T:$T,Disbursements!$B:$B,'Live Collections'!D1019,Disbursements!$D:$D,'Live Collections'!F1019))</f>
        <v>175000</v>
      </c>
      <c r="S1019" s="304">
        <f>IF(O1019&lt;=IF($O1019=0,0,SUMIFS(Disbursements!$W:$W,Disbursements!$B:$B,'Live Collections'!D1227,Disbursements!$D:$D,'Live Collections'!F1227)),O1019,IF($O1019=0,0,SUMIFS(Disbursements!$W:$W,Disbursements!$B:$B,'Live Collections'!D1227,Disbursements!$D:$D,'Live Collections'!F1227)))</f>
        <v>0</v>
      </c>
      <c r="T1019" s="304">
        <f t="shared" si="48"/>
        <v>100000</v>
      </c>
      <c r="U1019" s="52"/>
      <c r="V1019" s="34"/>
      <c r="W1019" s="408"/>
    </row>
    <row r="1020" spans="1:23" ht="12.75" customHeight="1" x14ac:dyDescent="0.2">
      <c r="A1020" s="132">
        <v>1008</v>
      </c>
      <c r="B1020" s="44">
        <v>44462</v>
      </c>
      <c r="C1020" s="44">
        <f t="shared" si="46"/>
        <v>44462</v>
      </c>
      <c r="D1020" s="374">
        <v>102</v>
      </c>
      <c r="E1020" s="291" t="str">
        <f>IFERROR(VLOOKUP($D1020,'Clients-Live'!$A:$C,3,0),"")</f>
        <v>BATALI GODFREY JOHN</v>
      </c>
      <c r="F1020" s="291">
        <f>IFERROR(INDEX(Disbursements!$D:$D,MATCH('Live Collections'!G1020,Disbursements!$C:$C,0)),"")</f>
        <v>1</v>
      </c>
      <c r="G1020" s="34">
        <v>102</v>
      </c>
      <c r="H1020" s="34"/>
      <c r="I1020" s="34" t="s">
        <v>1357</v>
      </c>
      <c r="J1020" s="48"/>
      <c r="K1020" s="48"/>
      <c r="L1020" s="48"/>
      <c r="M1020" s="48"/>
      <c r="N1020" s="59"/>
      <c r="O1020" s="59">
        <v>16000</v>
      </c>
      <c r="P1020" s="59"/>
      <c r="Q1020" s="268">
        <f t="shared" si="47"/>
        <v>16000</v>
      </c>
      <c r="R1020" s="61">
        <f>IF(O1020=0,0,SUMIFS(Disbursements!$T:$T,Disbursements!$B:$B,'Live Collections'!D1020,Disbursements!$D:$D,'Live Collections'!F1020))</f>
        <v>77000</v>
      </c>
      <c r="S1020" s="304">
        <f>IF(O1020&lt;=IF($O1020=0,0,SUMIFS(Disbursements!$W:$W,Disbursements!$B:$B,'Live Collections'!D1818,Disbursements!$D:$D,'Live Collections'!F1818)),O1020,IF($O1020=0,0,SUMIFS(Disbursements!$W:$W,Disbursements!$B:$B,'Live Collections'!D1818,Disbursements!$D:$D,'Live Collections'!F1818)))</f>
        <v>16000</v>
      </c>
      <c r="T1020" s="304">
        <f t="shared" si="48"/>
        <v>0</v>
      </c>
      <c r="U1020" s="52"/>
      <c r="V1020" s="34"/>
      <c r="W1020" s="408"/>
    </row>
    <row r="1021" spans="1:23" ht="12.75" customHeight="1" x14ac:dyDescent="0.2">
      <c r="A1021" s="257">
        <v>996</v>
      </c>
      <c r="B1021" s="44">
        <v>44462</v>
      </c>
      <c r="C1021" s="44">
        <f t="shared" si="46"/>
        <v>44462</v>
      </c>
      <c r="D1021" s="374">
        <v>114</v>
      </c>
      <c r="E1021" s="291" t="str">
        <f>IFERROR(VLOOKUP($D1021,'Clients-Live'!$A:$C,3,0),"")</f>
        <v>ONZIA EMMILY</v>
      </c>
      <c r="F1021" s="291">
        <f>IFERROR(INDEX(Disbursements!$D:$D,MATCH('Live Collections'!G1021,Disbursements!$C:$C,0)),"")</f>
        <v>2</v>
      </c>
      <c r="G1021" s="34">
        <v>161</v>
      </c>
      <c r="H1021" s="34"/>
      <c r="I1021" s="34" t="s">
        <v>1358</v>
      </c>
      <c r="J1021" s="48"/>
      <c r="K1021" s="48"/>
      <c r="L1021" s="48"/>
      <c r="M1021" s="48"/>
      <c r="N1021" s="59"/>
      <c r="O1021" s="59">
        <v>80000</v>
      </c>
      <c r="P1021" s="59"/>
      <c r="Q1021" s="268">
        <f t="shared" si="47"/>
        <v>80000</v>
      </c>
      <c r="R1021" s="61">
        <f>IF(O1021=0,0,SUMIFS(Disbursements!$T:$T,Disbursements!$B:$B,'Live Collections'!D1021,Disbursements!$D:$D,'Live Collections'!F1021))</f>
        <v>58000</v>
      </c>
      <c r="S1021" s="304">
        <f>IF(O1021&lt;=IF($O1021=0,0,SUMIFS(Disbursements!$W:$W,Disbursements!$B:$B,'Live Collections'!D1458,Disbursements!$D:$D,'Live Collections'!F1458)),O1021,IF($O1021=0,0,SUMIFS(Disbursements!$W:$W,Disbursements!$B:$B,'Live Collections'!D1458,Disbursements!$D:$D,'Live Collections'!F1458)))</f>
        <v>0</v>
      </c>
      <c r="T1021" s="304">
        <f t="shared" si="48"/>
        <v>80000</v>
      </c>
      <c r="U1021" s="52"/>
      <c r="V1021" s="34"/>
      <c r="W1021" s="408"/>
    </row>
    <row r="1022" spans="1:23" ht="12.75" customHeight="1" x14ac:dyDescent="0.2">
      <c r="A1022" s="132">
        <v>1009</v>
      </c>
      <c r="B1022" s="44">
        <v>44462</v>
      </c>
      <c r="C1022" s="44">
        <f t="shared" si="46"/>
        <v>44462</v>
      </c>
      <c r="D1022" s="374">
        <v>139</v>
      </c>
      <c r="E1022" s="291" t="str">
        <f>IFERROR(VLOOKUP($D1022,'Clients-Live'!$A:$C,3,0),"")</f>
        <v xml:space="preserve">DRICHIRU MAIMUNA </v>
      </c>
      <c r="F1022" s="291">
        <f>IFERROR(INDEX(Disbursements!$D:$D,MATCH('Live Collections'!G1022,Disbursements!$C:$C,0)),"")</f>
        <v>1</v>
      </c>
      <c r="G1022" s="34">
        <v>123</v>
      </c>
      <c r="H1022" s="34">
        <v>2542</v>
      </c>
      <c r="I1022" s="34" t="s">
        <v>1359</v>
      </c>
      <c r="J1022" s="48"/>
      <c r="K1022" s="48"/>
      <c r="L1022" s="48"/>
      <c r="M1022" s="48"/>
      <c r="N1022" s="59"/>
      <c r="O1022" s="59">
        <v>115000</v>
      </c>
      <c r="P1022" s="59"/>
      <c r="Q1022" s="268">
        <f t="shared" si="47"/>
        <v>115000</v>
      </c>
      <c r="R1022" s="61">
        <f>IF(O1022=0,0,SUMIFS(Disbursements!$T:$T,Disbursements!$B:$B,'Live Collections'!D1022,Disbursements!$D:$D,'Live Collections'!F1022))</f>
        <v>115000</v>
      </c>
      <c r="S1022" s="304">
        <f>IF(O1022&lt;=IF($O1022=0,0,SUMIFS(Disbursements!$W:$W,Disbursements!$B:$B,'Live Collections'!D1759,Disbursements!$D:$D,'Live Collections'!F1759)),O1022,IF($O1022=0,0,SUMIFS(Disbursements!$W:$W,Disbursements!$B:$B,'Live Collections'!D1759,Disbursements!$D:$D,'Live Collections'!F1759)))</f>
        <v>0</v>
      </c>
      <c r="T1022" s="304">
        <f t="shared" si="48"/>
        <v>115000</v>
      </c>
      <c r="U1022" s="52"/>
      <c r="V1022" s="34"/>
      <c r="W1022" s="408"/>
    </row>
    <row r="1023" spans="1:23" ht="12.75" customHeight="1" x14ac:dyDescent="0.2">
      <c r="A1023" s="257">
        <v>1003</v>
      </c>
      <c r="B1023" s="44">
        <v>44462</v>
      </c>
      <c r="C1023" s="44">
        <f t="shared" si="46"/>
        <v>44462</v>
      </c>
      <c r="D1023" s="374">
        <v>140</v>
      </c>
      <c r="E1023" s="291" t="str">
        <f>IFERROR(VLOOKUP($D1023,'Clients-Live'!$A:$C,3,0),"")</f>
        <v>AYIKORU MARIAM</v>
      </c>
      <c r="F1023" s="291">
        <f>IFERROR(INDEX(Disbursements!$D:$D,MATCH('Live Collections'!G1023,Disbursements!$C:$C,0)),"")</f>
        <v>1</v>
      </c>
      <c r="G1023" s="34">
        <v>125</v>
      </c>
      <c r="H1023" s="34"/>
      <c r="I1023" s="34" t="s">
        <v>1358</v>
      </c>
      <c r="J1023" s="48"/>
      <c r="K1023" s="48"/>
      <c r="L1023" s="48"/>
      <c r="M1023" s="48"/>
      <c r="N1023" s="59"/>
      <c r="O1023" s="59">
        <v>60000</v>
      </c>
      <c r="P1023" s="59"/>
      <c r="Q1023" s="268">
        <f t="shared" si="47"/>
        <v>60000</v>
      </c>
      <c r="R1023" s="61">
        <f>IF(O1023=0,0,SUMIFS(Disbursements!$T:$T,Disbursements!$B:$B,'Live Collections'!D1023,Disbursements!$D:$D,'Live Collections'!F1023))</f>
        <v>192000</v>
      </c>
      <c r="S1023" s="304"/>
      <c r="T1023" s="304">
        <f t="shared" si="48"/>
        <v>60000</v>
      </c>
      <c r="U1023" s="52"/>
      <c r="V1023" s="34"/>
      <c r="W1023" s="408"/>
    </row>
    <row r="1024" spans="1:23" ht="12.75" customHeight="1" x14ac:dyDescent="0.2">
      <c r="A1024" s="132">
        <v>998</v>
      </c>
      <c r="B1024" s="44">
        <v>44462</v>
      </c>
      <c r="C1024" s="44">
        <f t="shared" si="46"/>
        <v>44462</v>
      </c>
      <c r="D1024" s="374">
        <v>143</v>
      </c>
      <c r="E1024" s="291" t="str">
        <f>IFERROR(VLOOKUP($D1024,'Clients-Live'!$A:$C,3,0),"")</f>
        <v>MORO HAKIM</v>
      </c>
      <c r="F1024" s="291">
        <f>IFERROR(INDEX(Disbursements!$D:$D,MATCH('Live Collections'!G1024,Disbursements!$C:$C,0)),"")</f>
        <v>1</v>
      </c>
      <c r="G1024" s="34">
        <v>127</v>
      </c>
      <c r="H1024" s="34"/>
      <c r="I1024" s="34" t="s">
        <v>1357</v>
      </c>
      <c r="J1024" s="48"/>
      <c r="K1024" s="48"/>
      <c r="L1024" s="48"/>
      <c r="M1024" s="48"/>
      <c r="N1024" s="59"/>
      <c r="O1024" s="59">
        <v>1150000</v>
      </c>
      <c r="P1024" s="59"/>
      <c r="Q1024" s="268">
        <f t="shared" si="47"/>
        <v>1150000</v>
      </c>
      <c r="R1024" s="61">
        <f>IF(O1024=0,0,SUMIFS(Disbursements!$T:$T,Disbursements!$B:$B,'Live Collections'!D1024,Disbursements!$D:$D,'Live Collections'!F1024))</f>
        <v>1150000</v>
      </c>
      <c r="S1024" s="304">
        <f>IF(O1024&lt;=IF($O1024=0,0,SUMIFS(Disbursements!$W:$W,Disbursements!$B:$B,'Live Collections'!D1807,Disbursements!$D:$D,'Live Collections'!F1807)),O1024,IF($O1024=0,0,SUMIFS(Disbursements!$W:$W,Disbursements!$B:$B,'Live Collections'!D1807,Disbursements!$D:$D,'Live Collections'!F1807)))</f>
        <v>0</v>
      </c>
      <c r="T1024" s="304">
        <f t="shared" si="48"/>
        <v>1150000</v>
      </c>
      <c r="U1024" s="52"/>
      <c r="V1024" s="34"/>
      <c r="W1024" s="408"/>
    </row>
    <row r="1025" spans="1:23" ht="12.75" customHeight="1" x14ac:dyDescent="0.2">
      <c r="A1025" s="257">
        <v>1005</v>
      </c>
      <c r="B1025" s="44">
        <v>44462</v>
      </c>
      <c r="C1025" s="44">
        <f t="shared" si="46"/>
        <v>44462</v>
      </c>
      <c r="D1025" s="374">
        <v>164</v>
      </c>
      <c r="E1025" s="291" t="str">
        <f>IFERROR(VLOOKUP($D1025,'Clients-Live'!$A:$C,3,0),"")</f>
        <v>ARIKE SWAIB</v>
      </c>
      <c r="F1025" s="291">
        <f>IFERROR(INDEX(Disbursements!$D:$D,MATCH('Live Collections'!G1025,Disbursements!$C:$C,0)),"")</f>
        <v>1</v>
      </c>
      <c r="G1025" s="34">
        <v>154</v>
      </c>
      <c r="H1025" s="34"/>
      <c r="I1025" s="34" t="s">
        <v>1357</v>
      </c>
      <c r="J1025" s="48"/>
      <c r="K1025" s="48"/>
      <c r="L1025" s="48"/>
      <c r="M1025" s="48"/>
      <c r="N1025" s="59"/>
      <c r="O1025" s="59">
        <v>120000</v>
      </c>
      <c r="P1025" s="59"/>
      <c r="Q1025" s="268">
        <f t="shared" si="47"/>
        <v>120000</v>
      </c>
      <c r="R1025" s="61">
        <f>IF(O1025=0,0,SUMIFS(Disbursements!$T:$T,Disbursements!$B:$B,'Live Collections'!D1025,Disbursements!$D:$D,'Live Collections'!F1025))</f>
        <v>109000</v>
      </c>
      <c r="S1025" s="304">
        <f>IF(O1025&lt;=IF($O1025=0,0,SUMIFS(Disbursements!$W:$W,Disbursements!$B:$B,'Live Collections'!D2030,Disbursements!$D:$D,'Live Collections'!F2030)),O1025,IF($O1025=0,0,SUMIFS(Disbursements!$W:$W,Disbursements!$B:$B,'Live Collections'!D2030,Disbursements!$D:$D,'Live Collections'!F2030)))</f>
        <v>20000</v>
      </c>
      <c r="T1025" s="304">
        <f t="shared" si="48"/>
        <v>100000</v>
      </c>
      <c r="U1025" s="52"/>
      <c r="V1025" s="34"/>
      <c r="W1025" s="408"/>
    </row>
    <row r="1026" spans="1:23" ht="12.75" customHeight="1" x14ac:dyDescent="0.2">
      <c r="A1026" s="132">
        <v>1002</v>
      </c>
      <c r="B1026" s="44">
        <v>44462</v>
      </c>
      <c r="C1026" s="44">
        <f t="shared" si="46"/>
        <v>44462</v>
      </c>
      <c r="D1026" s="374">
        <v>185</v>
      </c>
      <c r="E1026" s="291" t="str">
        <f>IFERROR(VLOOKUP($D1026,'Clients-Live'!$A:$C,3,0),"")</f>
        <v>APAYI HARRIET</v>
      </c>
      <c r="F1026" s="291">
        <f>IFERROR(INDEX(Disbursements!$D:$D,MATCH('Live Collections'!G1026,Disbursements!$C:$C,0)),"")</f>
        <v>1</v>
      </c>
      <c r="G1026" s="34">
        <v>182</v>
      </c>
      <c r="H1026" s="34"/>
      <c r="I1026" s="34" t="s">
        <v>1357</v>
      </c>
      <c r="J1026" s="48"/>
      <c r="K1026" s="48"/>
      <c r="L1026" s="48"/>
      <c r="M1026" s="48"/>
      <c r="N1026" s="59"/>
      <c r="O1026" s="59">
        <v>300000</v>
      </c>
      <c r="P1026" s="59"/>
      <c r="Q1026" s="268">
        <f t="shared" si="47"/>
        <v>300000</v>
      </c>
      <c r="R1026" s="61">
        <f>IF(O1026=0,0,SUMIFS(Disbursements!$T:$T,Disbursements!$B:$B,'Live Collections'!D1026,Disbursements!$D:$D,'Live Collections'!F1026))</f>
        <v>300000</v>
      </c>
      <c r="S1026" s="304">
        <f>IF(O1026&lt;=IF($O1026=0,0,SUMIFS(Disbursements!$W:$W,Disbursements!$B:$B,'Live Collections'!D2246,Disbursements!$D:$D,'Live Collections'!F2246)),O1026,IF($O1026=0,0,SUMIFS(Disbursements!$W:$W,Disbursements!$B:$B,'Live Collections'!D2246,Disbursements!$D:$D,'Live Collections'!F2246)))</f>
        <v>25000</v>
      </c>
      <c r="T1026" s="304">
        <f t="shared" si="48"/>
        <v>275000</v>
      </c>
      <c r="U1026" s="52"/>
      <c r="V1026" s="34"/>
      <c r="W1026" s="408"/>
    </row>
    <row r="1027" spans="1:23" ht="12.75" customHeight="1" x14ac:dyDescent="0.2">
      <c r="A1027" s="257">
        <v>1012</v>
      </c>
      <c r="B1027" s="44">
        <v>44462</v>
      </c>
      <c r="C1027" s="44">
        <f t="shared" si="46"/>
        <v>44462</v>
      </c>
      <c r="D1027" s="374">
        <v>224</v>
      </c>
      <c r="E1027" s="291" t="str">
        <f>IFERROR(VLOOKUP($D1027,'Clients-Live'!$A:$C,3,0),"")</f>
        <v>MALIAMUNGU ROBERT</v>
      </c>
      <c r="F1027" s="291" t="str">
        <f>IFERROR(INDEX(Disbursements!$D:$D,MATCH('Live Collections'!G1027,Disbursements!$C:$C,0)),"")</f>
        <v/>
      </c>
      <c r="G1027" s="34"/>
      <c r="H1027" s="34"/>
      <c r="I1027" s="34" t="s">
        <v>1357</v>
      </c>
      <c r="J1027" s="48">
        <v>15000</v>
      </c>
      <c r="K1027" s="48">
        <v>5000</v>
      </c>
      <c r="L1027" s="48">
        <v>25000</v>
      </c>
      <c r="M1027" s="48">
        <v>5000</v>
      </c>
      <c r="N1027" s="59"/>
      <c r="O1027" s="59"/>
      <c r="P1027" s="59"/>
      <c r="Q1027" s="268">
        <f t="shared" si="47"/>
        <v>50000</v>
      </c>
      <c r="R1027" s="61">
        <f>IF(O1027=0,0,SUMIFS(Disbursements!$T:$T,Disbursements!$B:$B,'Live Collections'!D1027,Disbursements!$D:$D,'Live Collections'!F1027))</f>
        <v>0</v>
      </c>
      <c r="S1027" s="304">
        <f>IF(O1027&lt;=IF($O1027=0,0,SUMIFS(Disbursements!$W:$W,Disbursements!$B:$B,'Live Collections'!D2622,Disbursements!$D:$D,'Live Collections'!F2622)),O1027,IF($O1027=0,0,SUMIFS(Disbursements!$W:$W,Disbursements!$B:$B,'Live Collections'!D2622,Disbursements!$D:$D,'Live Collections'!F2622)))</f>
        <v>0</v>
      </c>
      <c r="T1027" s="304">
        <f t="shared" si="48"/>
        <v>0</v>
      </c>
      <c r="U1027" s="52"/>
      <c r="V1027" s="34"/>
      <c r="W1027" s="408"/>
    </row>
    <row r="1028" spans="1:23" ht="12.75" customHeight="1" x14ac:dyDescent="0.2">
      <c r="A1028" s="132">
        <v>1011</v>
      </c>
      <c r="B1028" s="44">
        <v>44462</v>
      </c>
      <c r="C1028" s="44">
        <f t="shared" si="46"/>
        <v>44462</v>
      </c>
      <c r="D1028" s="374">
        <v>225</v>
      </c>
      <c r="E1028" s="291" t="str">
        <f>IFERROR(VLOOKUP($D1028,'Clients-Live'!$A:$C,3,0),"")</f>
        <v>ABUJERE KASIMU</v>
      </c>
      <c r="F1028" s="291" t="str">
        <f>IFERROR(INDEX(Disbursements!$D:$D,MATCH('Live Collections'!G1028,Disbursements!$C:$C,0)),"")</f>
        <v/>
      </c>
      <c r="G1028" s="34"/>
      <c r="H1028" s="34"/>
      <c r="I1028" s="34" t="s">
        <v>1815</v>
      </c>
      <c r="J1028" s="48">
        <v>15000</v>
      </c>
      <c r="K1028" s="48">
        <v>5000</v>
      </c>
      <c r="L1028" s="48"/>
      <c r="M1028" s="48"/>
      <c r="N1028" s="59"/>
      <c r="O1028" s="59"/>
      <c r="P1028" s="59"/>
      <c r="Q1028" s="268">
        <f t="shared" si="47"/>
        <v>20000</v>
      </c>
      <c r="R1028" s="61">
        <f>IF(O1028=0,0,SUMIFS(Disbursements!$T:$T,Disbursements!$B:$B,'Live Collections'!D1028,Disbursements!$D:$D,'Live Collections'!F1028))</f>
        <v>0</v>
      </c>
      <c r="S1028" s="304">
        <f>IF(O1028&lt;=IF($O1028=0,0,SUMIFS(Disbursements!$W:$W,Disbursements!$B:$B,'Live Collections'!D2625,Disbursements!$D:$D,'Live Collections'!F2625)),O1028,IF($O1028=0,0,SUMIFS(Disbursements!$W:$W,Disbursements!$B:$B,'Live Collections'!D2625,Disbursements!$D:$D,'Live Collections'!F2625)))</f>
        <v>0</v>
      </c>
      <c r="T1028" s="304">
        <f t="shared" si="48"/>
        <v>0</v>
      </c>
      <c r="U1028" s="52"/>
      <c r="V1028" s="34"/>
      <c r="W1028" s="408"/>
    </row>
    <row r="1029" spans="1:23" ht="12.75" customHeight="1" x14ac:dyDescent="0.2">
      <c r="A1029" s="257">
        <v>1010</v>
      </c>
      <c r="B1029" s="44">
        <v>44462</v>
      </c>
      <c r="C1029" s="44">
        <f t="shared" si="46"/>
        <v>44462</v>
      </c>
      <c r="D1029" s="374">
        <v>226</v>
      </c>
      <c r="E1029" s="291" t="str">
        <f>IFERROR(VLOOKUP($D1029,'Clients-Live'!$A:$C,3,0),"")</f>
        <v>MATURU NEEMA</v>
      </c>
      <c r="F1029" s="291" t="str">
        <f>IFERROR(INDEX(Disbursements!$D:$D,MATCH('Live Collections'!G1029,Disbursements!$C:$C,0)),"")</f>
        <v/>
      </c>
      <c r="G1029" s="34"/>
      <c r="H1029" s="34"/>
      <c r="I1029" s="34" t="s">
        <v>1359</v>
      </c>
      <c r="J1029" s="48">
        <v>15000</v>
      </c>
      <c r="K1029" s="48">
        <v>5000</v>
      </c>
      <c r="L1029" s="48">
        <v>20000</v>
      </c>
      <c r="M1029" s="48">
        <v>5000</v>
      </c>
      <c r="N1029" s="59"/>
      <c r="O1029" s="59"/>
      <c r="P1029" s="59"/>
      <c r="Q1029" s="268">
        <f t="shared" si="47"/>
        <v>45000</v>
      </c>
      <c r="R1029" s="61">
        <f>IF(O1029=0,0,SUMIFS(Disbursements!$T:$T,Disbursements!$B:$B,'Live Collections'!D1029,Disbursements!$D:$D,'Live Collections'!F1029))</f>
        <v>0</v>
      </c>
      <c r="S1029" s="304">
        <f>IF(O1029&lt;=IF($O1029=0,0,SUMIFS(Disbursements!$W:$W,Disbursements!$B:$B,'Live Collections'!D2627,Disbursements!$D:$D,'Live Collections'!F2627)),O1029,IF($O1029=0,0,SUMIFS(Disbursements!$W:$W,Disbursements!$B:$B,'Live Collections'!D2627,Disbursements!$D:$D,'Live Collections'!F2627)))</f>
        <v>0</v>
      </c>
      <c r="T1029" s="304">
        <f t="shared" si="48"/>
        <v>0</v>
      </c>
      <c r="U1029" s="52"/>
      <c r="V1029" s="34"/>
      <c r="W1029" s="408"/>
    </row>
    <row r="1030" spans="1:23" ht="12.75" customHeight="1" x14ac:dyDescent="0.2">
      <c r="A1030" s="132">
        <v>1016</v>
      </c>
      <c r="B1030" s="44">
        <v>44463</v>
      </c>
      <c r="C1030" s="44">
        <f t="shared" si="46"/>
        <v>44463</v>
      </c>
      <c r="D1030" s="374">
        <v>6</v>
      </c>
      <c r="E1030" s="291" t="str">
        <f>IFERROR(VLOOKUP($D1030,'Clients-Live'!$A:$C,3,0),"")</f>
        <v>AMUTE BASHIR</v>
      </c>
      <c r="F1030" s="291">
        <f>IFERROR(INDEX(Disbursements!$D:$D,MATCH('Live Collections'!G1030,Disbursements!$C:$C,0)),"")</f>
        <v>2</v>
      </c>
      <c r="G1030" s="34">
        <v>100</v>
      </c>
      <c r="H1030" s="34"/>
      <c r="I1030" s="34" t="s">
        <v>1358</v>
      </c>
      <c r="J1030" s="48"/>
      <c r="K1030" s="48"/>
      <c r="L1030" s="48"/>
      <c r="M1030" s="48"/>
      <c r="N1030" s="59"/>
      <c r="O1030" s="59">
        <v>400000</v>
      </c>
      <c r="P1030" s="59"/>
      <c r="Q1030" s="268">
        <f t="shared" si="47"/>
        <v>400000</v>
      </c>
      <c r="R1030" s="61">
        <f>IF(O1030=0,0,SUMIFS(Disbursements!$T:$T,Disbursements!$B:$B,'Live Collections'!D1030,Disbursements!$D:$D,'Live Collections'!F1030))</f>
        <v>1300000</v>
      </c>
      <c r="S1030" s="304">
        <f>IF(O1030&lt;=IF($O1030=0,0,SUMIFS(Disbursements!$W:$W,Disbursements!$B:$B,'Live Collections'!D52,Disbursements!$D:$D,'Live Collections'!F52)),O1030,IF($O1030=0,0,SUMIFS(Disbursements!$W:$W,Disbursements!$B:$B,'Live Collections'!D52,Disbursements!$D:$D,'Live Collections'!F52)))</f>
        <v>0</v>
      </c>
      <c r="T1030" s="304">
        <f t="shared" si="48"/>
        <v>400000</v>
      </c>
      <c r="U1030" s="52"/>
      <c r="V1030" s="34"/>
      <c r="W1030" s="408"/>
    </row>
    <row r="1031" spans="1:23" ht="12.75" customHeight="1" x14ac:dyDescent="0.2">
      <c r="A1031" s="257">
        <v>1020</v>
      </c>
      <c r="B1031" s="44">
        <v>44463</v>
      </c>
      <c r="C1031" s="44">
        <f t="shared" si="46"/>
        <v>44463</v>
      </c>
      <c r="D1031" s="374">
        <v>44</v>
      </c>
      <c r="E1031" s="291" t="str">
        <f>IFERROR(VLOOKUP($D1031,'Clients-Live'!$A:$C,3,0),"")</f>
        <v>CANDIRU HELLEN</v>
      </c>
      <c r="F1031" s="291">
        <f>IFERROR(INDEX(Disbursements!$D:$D,MATCH('Live Collections'!G1031,Disbursements!$C:$C,0)),"")</f>
        <v>2</v>
      </c>
      <c r="G1031" s="34">
        <v>129</v>
      </c>
      <c r="H1031" s="34"/>
      <c r="I1031" s="34" t="s">
        <v>1358</v>
      </c>
      <c r="J1031" s="48"/>
      <c r="K1031" s="48"/>
      <c r="L1031" s="48"/>
      <c r="M1031" s="48"/>
      <c r="N1031" s="59"/>
      <c r="O1031" s="59">
        <v>216700</v>
      </c>
      <c r="P1031" s="59"/>
      <c r="Q1031" s="268">
        <f t="shared" si="47"/>
        <v>216700</v>
      </c>
      <c r="R1031" s="61">
        <f>IF(O1031=0,0,SUMIFS(Disbursements!$T:$T,Disbursements!$B:$B,'Live Collections'!D1031,Disbursements!$D:$D,'Live Collections'!F1031))</f>
        <v>217000</v>
      </c>
      <c r="S1031" s="304">
        <f>IF(O1031&lt;=IF($O1031=0,0,SUMIFS(Disbursements!$W:$W,Disbursements!$B:$B,'Live Collections'!D489,Disbursements!$D:$D,'Live Collections'!F489)),O1031,IF($O1031=0,0,SUMIFS(Disbursements!$W:$W,Disbursements!$B:$B,'Live Collections'!D489,Disbursements!$D:$D,'Live Collections'!F489)))</f>
        <v>0</v>
      </c>
      <c r="T1031" s="304">
        <f t="shared" si="48"/>
        <v>216700</v>
      </c>
      <c r="U1031" s="52"/>
      <c r="V1031" s="34"/>
      <c r="W1031" s="408"/>
    </row>
    <row r="1032" spans="1:23" ht="12.75" customHeight="1" x14ac:dyDescent="0.2">
      <c r="A1032" s="132">
        <v>1018</v>
      </c>
      <c r="B1032" s="44">
        <v>44463</v>
      </c>
      <c r="C1032" s="44">
        <f t="shared" si="46"/>
        <v>44463</v>
      </c>
      <c r="D1032" s="374">
        <v>66</v>
      </c>
      <c r="E1032" s="291" t="str">
        <f>IFERROR(VLOOKUP($D1032,'Clients-Live'!$A:$C,3,0),"")</f>
        <v>DENAYA NYAMAZA</v>
      </c>
      <c r="F1032" s="291">
        <f>IFERROR(INDEX(Disbursements!$D:$D,MATCH('Live Collections'!G1032,Disbursements!$C:$C,0)),"")</f>
        <v>1</v>
      </c>
      <c r="G1032" s="34">
        <v>53</v>
      </c>
      <c r="H1032" s="34"/>
      <c r="I1032" s="34" t="s">
        <v>1357</v>
      </c>
      <c r="J1032" s="48"/>
      <c r="K1032" s="48"/>
      <c r="L1032" s="48"/>
      <c r="M1032" s="48"/>
      <c r="N1032" s="59"/>
      <c r="O1032" s="59">
        <v>70000</v>
      </c>
      <c r="P1032" s="59"/>
      <c r="Q1032" s="268">
        <f t="shared" si="47"/>
        <v>70000</v>
      </c>
      <c r="R1032" s="61">
        <f>IF(O1032=0,0,SUMIFS(Disbursements!$T:$T,Disbursements!$B:$B,'Live Collections'!D1032,Disbursements!$D:$D,'Live Collections'!F1032))</f>
        <v>109000</v>
      </c>
      <c r="S1032" s="304">
        <f>IF(O1032&lt;=IF($O1032=0,0,SUMIFS(Disbursements!$W:$W,Disbursements!$B:$B,'Live Collections'!D1599,Disbursements!$D:$D,'Live Collections'!F1599)),O1032,IF($O1032=0,0,SUMIFS(Disbursements!$W:$W,Disbursements!$B:$B,'Live Collections'!D1599,Disbursements!$D:$D,'Live Collections'!F1599)))</f>
        <v>50000</v>
      </c>
      <c r="T1032" s="304">
        <f t="shared" si="48"/>
        <v>20000</v>
      </c>
      <c r="U1032" s="52"/>
      <c r="V1032" s="34"/>
      <c r="W1032" s="408"/>
    </row>
    <row r="1033" spans="1:23" ht="12.75" customHeight="1" x14ac:dyDescent="0.2">
      <c r="A1033" s="257">
        <v>1013</v>
      </c>
      <c r="B1033" s="44">
        <v>44463</v>
      </c>
      <c r="C1033" s="44">
        <f t="shared" ref="C1033:C1096" si="49">B1033</f>
        <v>44463</v>
      </c>
      <c r="D1033" s="374">
        <v>90</v>
      </c>
      <c r="E1033" s="291" t="str">
        <f>IFERROR(VLOOKUP($D1033,'Clients-Live'!$A:$C,3,0),"")</f>
        <v>ZABIBU RAJAB SAIDI</v>
      </c>
      <c r="F1033" s="291">
        <f>IFERROR(INDEX(Disbursements!$D:$D,MATCH('Live Collections'!G1033,Disbursements!$C:$C,0)),"")</f>
        <v>1</v>
      </c>
      <c r="G1033" s="34">
        <v>77</v>
      </c>
      <c r="H1033" s="34"/>
      <c r="I1033" s="34" t="s">
        <v>1358</v>
      </c>
      <c r="J1033" s="48"/>
      <c r="K1033" s="48"/>
      <c r="L1033" s="48"/>
      <c r="M1033" s="48"/>
      <c r="N1033" s="59"/>
      <c r="O1033" s="59">
        <v>173300</v>
      </c>
      <c r="P1033" s="59"/>
      <c r="Q1033" s="268">
        <f t="shared" ref="Q1033:Q1096" si="50">SUM(J1033:P1033)</f>
        <v>173300</v>
      </c>
      <c r="R1033" s="61">
        <f>IF(O1033=0,0,SUMIFS(Disbursements!$T:$T,Disbursements!$B:$B,'Live Collections'!D1033,Disbursements!$D:$D,'Live Collections'!F1033))</f>
        <v>174000</v>
      </c>
      <c r="S1033" s="304">
        <f>IF(O1033&lt;=IF($O1033=0,0,SUMIFS(Disbursements!$W:$W,Disbursements!$B:$B,'Live Collections'!D1173,Disbursements!$D:$D,'Live Collections'!F1173)),O1033,IF($O1033=0,0,SUMIFS(Disbursements!$W:$W,Disbursements!$B:$B,'Live Collections'!D1173,Disbursements!$D:$D,'Live Collections'!F1173)))</f>
        <v>25666.666666666672</v>
      </c>
      <c r="T1033" s="304">
        <f t="shared" ref="T1033:T1096" si="51">IF(O1033=0,0,O1033-S1033)</f>
        <v>147633.33333333331</v>
      </c>
      <c r="U1033" s="52"/>
      <c r="V1033" s="34"/>
      <c r="W1033" s="408"/>
    </row>
    <row r="1034" spans="1:23" ht="12.75" customHeight="1" x14ac:dyDescent="0.2">
      <c r="A1034" s="132">
        <v>1014</v>
      </c>
      <c r="B1034" s="44">
        <v>44463</v>
      </c>
      <c r="C1034" s="44">
        <f t="shared" si="49"/>
        <v>44463</v>
      </c>
      <c r="D1034" s="374">
        <v>123</v>
      </c>
      <c r="E1034" s="291" t="str">
        <f>IFERROR(VLOOKUP($D1034,'Clients-Live'!$A:$C,3,0),"")</f>
        <v>INZIKURU JANET</v>
      </c>
      <c r="F1034" s="291">
        <f>IFERROR(INDEX(Disbursements!$D:$D,MATCH('Live Collections'!G1034,Disbursements!$C:$C,0)),"")</f>
        <v>1</v>
      </c>
      <c r="G1034" s="34">
        <v>107</v>
      </c>
      <c r="H1034" s="34"/>
      <c r="I1034" s="34" t="s">
        <v>1358</v>
      </c>
      <c r="J1034" s="48"/>
      <c r="K1034" s="48"/>
      <c r="L1034" s="48"/>
      <c r="M1034" s="48"/>
      <c r="N1034" s="59"/>
      <c r="O1034" s="59">
        <v>50000</v>
      </c>
      <c r="P1034" s="59"/>
      <c r="Q1034" s="268">
        <f t="shared" si="50"/>
        <v>50000</v>
      </c>
      <c r="R1034" s="61">
        <f>IF(O1034=0,0,SUMIFS(Disbursements!$T:$T,Disbursements!$B:$B,'Live Collections'!D1034,Disbursements!$D:$D,'Live Collections'!F1034))</f>
        <v>150000</v>
      </c>
      <c r="S1034" s="304">
        <f>IF(O1034&lt;=IF($O1034=0,0,SUMIFS(Disbursements!$W:$W,Disbursements!$B:$B,'Live Collections'!D1565,Disbursements!$D:$D,'Live Collections'!F1565)),O1034,IF($O1034=0,0,SUMIFS(Disbursements!$W:$W,Disbursements!$B:$B,'Live Collections'!D1565,Disbursements!$D:$D,'Live Collections'!F1565)))</f>
        <v>40000</v>
      </c>
      <c r="T1034" s="304">
        <f t="shared" si="51"/>
        <v>10000</v>
      </c>
      <c r="U1034" s="52"/>
      <c r="V1034" s="34"/>
      <c r="W1034" s="408"/>
    </row>
    <row r="1035" spans="1:23" ht="12.75" customHeight="1" x14ac:dyDescent="0.2">
      <c r="A1035" s="257">
        <v>1021</v>
      </c>
      <c r="B1035" s="44">
        <v>44463</v>
      </c>
      <c r="C1035" s="44">
        <f t="shared" si="49"/>
        <v>44463</v>
      </c>
      <c r="D1035" s="374">
        <v>136</v>
      </c>
      <c r="E1035" s="291" t="str">
        <f>IFERROR(VLOOKUP($D1035,'Clients-Live'!$A:$C,3,0),"")</f>
        <v>LEMERIGA GODWILL JOSEPH</v>
      </c>
      <c r="F1035" s="291">
        <f>IFERROR(INDEX(Disbursements!$D:$D,MATCH('Live Collections'!G1035,Disbursements!$C:$C,0)),"")</f>
        <v>1</v>
      </c>
      <c r="G1035" s="34">
        <v>122</v>
      </c>
      <c r="H1035" s="34"/>
      <c r="I1035" s="34" t="s">
        <v>1357</v>
      </c>
      <c r="J1035" s="48"/>
      <c r="K1035" s="48"/>
      <c r="L1035" s="48"/>
      <c r="M1035" s="48"/>
      <c r="N1035" s="59"/>
      <c r="O1035" s="59">
        <v>120000</v>
      </c>
      <c r="P1035" s="59"/>
      <c r="Q1035" s="268">
        <f t="shared" si="50"/>
        <v>120000</v>
      </c>
      <c r="R1035" s="61">
        <f>IF(O1035=0,0,SUMIFS(Disbursements!$T:$T,Disbursements!$B:$B,'Live Collections'!D1035,Disbursements!$D:$D,'Live Collections'!F1035))</f>
        <v>120000</v>
      </c>
      <c r="S1035" s="64">
        <v>10000</v>
      </c>
      <c r="T1035" s="304">
        <f t="shared" si="51"/>
        <v>110000</v>
      </c>
      <c r="U1035" s="52"/>
      <c r="V1035" s="34"/>
      <c r="W1035" s="408"/>
    </row>
    <row r="1036" spans="1:23" ht="12.75" customHeight="1" x14ac:dyDescent="0.2">
      <c r="A1036" s="132">
        <v>1015</v>
      </c>
      <c r="B1036" s="44">
        <v>44463</v>
      </c>
      <c r="C1036" s="44">
        <f t="shared" si="49"/>
        <v>44463</v>
      </c>
      <c r="D1036" s="374">
        <v>142</v>
      </c>
      <c r="E1036" s="291" t="str">
        <f>IFERROR(VLOOKUP($D1036,'Clients-Live'!$A:$C,3,0),"")</f>
        <v>TABU MARY</v>
      </c>
      <c r="F1036" s="291">
        <f>IFERROR(INDEX(Disbursements!$D:$D,MATCH('Live Collections'!G1036,Disbursements!$C:$C,0)),"")</f>
        <v>1</v>
      </c>
      <c r="G1036" s="34">
        <v>128</v>
      </c>
      <c r="H1036" s="34"/>
      <c r="I1036" s="34" t="s">
        <v>1357</v>
      </c>
      <c r="J1036" s="48"/>
      <c r="K1036" s="48"/>
      <c r="L1036" s="48"/>
      <c r="M1036" s="48"/>
      <c r="N1036" s="59"/>
      <c r="O1036" s="59">
        <v>216700</v>
      </c>
      <c r="P1036" s="59"/>
      <c r="Q1036" s="268">
        <f t="shared" si="50"/>
        <v>216700</v>
      </c>
      <c r="R1036" s="61">
        <f>IF(O1036=0,0,SUMIFS(Disbursements!$T:$T,Disbursements!$B:$B,'Live Collections'!D1036,Disbursements!$D:$D,'Live Collections'!F1036))</f>
        <v>217000</v>
      </c>
      <c r="S1036" s="304">
        <f>IF(O1036&lt;=IF($O1036=0,0,SUMIFS(Disbursements!$W:$W,Disbursements!$B:$B,'Live Collections'!D1794,Disbursements!$D:$D,'Live Collections'!F1794)),O1036,IF($O1036=0,0,SUMIFS(Disbursements!$W:$W,Disbursements!$B:$B,'Live Collections'!D1794,Disbursements!$D:$D,'Live Collections'!F1794)))</f>
        <v>20666.666666666657</v>
      </c>
      <c r="T1036" s="304">
        <f t="shared" si="51"/>
        <v>196033.33333333334</v>
      </c>
      <c r="U1036" s="52"/>
      <c r="V1036" s="34"/>
      <c r="W1036" s="408"/>
    </row>
    <row r="1037" spans="1:23" ht="12.75" customHeight="1" x14ac:dyDescent="0.2">
      <c r="A1037" s="257">
        <v>1017</v>
      </c>
      <c r="B1037" s="44">
        <v>44463</v>
      </c>
      <c r="C1037" s="44">
        <f t="shared" si="49"/>
        <v>44463</v>
      </c>
      <c r="D1037" s="374">
        <v>188</v>
      </c>
      <c r="E1037" s="291" t="str">
        <f>IFERROR(VLOOKUP($D1037,'Clients-Live'!$A:$C,3,0),"")</f>
        <v>ADIRU HELLEN</v>
      </c>
      <c r="F1037" s="291">
        <f>IFERROR(INDEX(Disbursements!$D:$D,MATCH('Live Collections'!G1037,Disbursements!$C:$C,0)),"")</f>
        <v>1</v>
      </c>
      <c r="G1037" s="34">
        <v>180</v>
      </c>
      <c r="H1037" s="34"/>
      <c r="I1037" s="34" t="s">
        <v>1358</v>
      </c>
      <c r="J1037" s="48"/>
      <c r="K1037" s="48"/>
      <c r="L1037" s="48"/>
      <c r="M1037" s="48"/>
      <c r="N1037" s="59"/>
      <c r="O1037" s="59">
        <v>80000</v>
      </c>
      <c r="P1037" s="59"/>
      <c r="Q1037" s="268">
        <f t="shared" si="50"/>
        <v>80000</v>
      </c>
      <c r="R1037" s="61">
        <f>IF(O1037=0,0,SUMIFS(Disbursements!$T:$T,Disbursements!$B:$B,'Live Collections'!D1037,Disbursements!$D:$D,'Live Collections'!F1037))</f>
        <v>154000</v>
      </c>
      <c r="S1037" s="304">
        <f>IF(O1037&lt;=IF($O1037=0,0,SUMIFS(Disbursements!$W:$W,Disbursements!$B:$B,'Live Collections'!D2283,Disbursements!$D:$D,'Live Collections'!F2283)),O1037,IF($O1037=0,0,SUMIFS(Disbursements!$W:$W,Disbursements!$B:$B,'Live Collections'!D2283,Disbursements!$D:$D,'Live Collections'!F2283)))</f>
        <v>5000</v>
      </c>
      <c r="T1037" s="304">
        <f t="shared" si="51"/>
        <v>75000</v>
      </c>
      <c r="U1037" s="52"/>
      <c r="V1037" s="34"/>
      <c r="W1037" s="408"/>
    </row>
    <row r="1038" spans="1:23" ht="12.75" customHeight="1" x14ac:dyDescent="0.2">
      <c r="A1038" s="132">
        <v>1019</v>
      </c>
      <c r="B1038" s="44">
        <v>44463</v>
      </c>
      <c r="C1038" s="44">
        <f t="shared" si="49"/>
        <v>44463</v>
      </c>
      <c r="D1038" s="374">
        <v>218</v>
      </c>
      <c r="E1038" s="291" t="str">
        <f>IFERROR(VLOOKUP($D1038,'Clients-Live'!$A:$C,3,0),"")</f>
        <v>BUSURA OMAR</v>
      </c>
      <c r="F1038" s="291">
        <f>IFERROR(INDEX(Disbursements!$D:$D,MATCH('Live Collections'!G1038,Disbursements!$C:$C,0)),"")</f>
        <v>1</v>
      </c>
      <c r="G1038" s="34">
        <v>223</v>
      </c>
      <c r="H1038" s="34"/>
      <c r="I1038" s="34" t="s">
        <v>1357</v>
      </c>
      <c r="J1038" s="48"/>
      <c r="K1038" s="48"/>
      <c r="L1038" s="48"/>
      <c r="M1038" s="48"/>
      <c r="N1038" s="59"/>
      <c r="O1038" s="59">
        <v>90000</v>
      </c>
      <c r="P1038" s="59"/>
      <c r="Q1038" s="268">
        <f t="shared" si="50"/>
        <v>90000</v>
      </c>
      <c r="R1038" s="61">
        <f>IF(O1038=0,0,SUMIFS(Disbursements!$T:$T,Disbursements!$B:$B,'Live Collections'!D1038,Disbursements!$D:$D,'Live Collections'!F1038))</f>
        <v>325000</v>
      </c>
      <c r="S1038" s="304">
        <f>IF(O1038&lt;=IF($O1038=0,0,SUMIFS(Disbursements!$W:$W,Disbursements!$B:$B,'Live Collections'!D2570,Disbursements!$D:$D,'Live Collections'!F2570)),O1038,IF($O1038=0,0,SUMIFS(Disbursements!$W:$W,Disbursements!$B:$B,'Live Collections'!D2570,Disbursements!$D:$D,'Live Collections'!F2570)))</f>
        <v>30000</v>
      </c>
      <c r="T1038" s="304">
        <f t="shared" si="51"/>
        <v>60000</v>
      </c>
      <c r="U1038" s="52"/>
      <c r="V1038" s="34"/>
      <c r="W1038" s="408"/>
    </row>
    <row r="1039" spans="1:23" ht="12.75" customHeight="1" x14ac:dyDescent="0.2">
      <c r="A1039" s="257">
        <v>1022</v>
      </c>
      <c r="B1039" s="44">
        <v>44463</v>
      </c>
      <c r="C1039" s="44">
        <f t="shared" si="49"/>
        <v>44463</v>
      </c>
      <c r="D1039" s="374">
        <v>225</v>
      </c>
      <c r="E1039" s="291" t="str">
        <f>IFERROR(VLOOKUP($D1039,'Clients-Live'!$A:$C,3,0),"")</f>
        <v>ABUJERE KASIMU</v>
      </c>
      <c r="F1039" s="291" t="str">
        <f>IFERROR(INDEX(Disbursements!$D:$D,MATCH('Live Collections'!G1039,Disbursements!$C:$C,0)),"")</f>
        <v/>
      </c>
      <c r="G1039" s="34"/>
      <c r="H1039" s="34"/>
      <c r="I1039" s="34" t="s">
        <v>1359</v>
      </c>
      <c r="J1039" s="48"/>
      <c r="K1039" s="48"/>
      <c r="L1039" s="48">
        <v>15000</v>
      </c>
      <c r="M1039" s="48">
        <v>5000</v>
      </c>
      <c r="N1039" s="59"/>
      <c r="O1039" s="59"/>
      <c r="P1039" s="59"/>
      <c r="Q1039" s="268">
        <f t="shared" si="50"/>
        <v>20000</v>
      </c>
      <c r="R1039" s="61">
        <f>IF(O1039=0,0,SUMIFS(Disbursements!$T:$T,Disbursements!$B:$B,'Live Collections'!D1039,Disbursements!$D:$D,'Live Collections'!F1039))</f>
        <v>0</v>
      </c>
      <c r="S1039" s="304">
        <f>IF(O1039&lt;=IF($O1039=0,0,SUMIFS(Disbursements!$W:$W,Disbursements!$B:$B,'Live Collections'!D2626,Disbursements!$D:$D,'Live Collections'!F2626)),O1039,IF($O1039=0,0,SUMIFS(Disbursements!$W:$W,Disbursements!$B:$B,'Live Collections'!D2626,Disbursements!$D:$D,'Live Collections'!F2626)))</f>
        <v>0</v>
      </c>
      <c r="T1039" s="304">
        <f t="shared" si="51"/>
        <v>0</v>
      </c>
      <c r="U1039" s="52"/>
      <c r="V1039" s="34"/>
      <c r="W1039" s="408"/>
    </row>
    <row r="1040" spans="1:23" ht="12.75" customHeight="1" x14ac:dyDescent="0.2">
      <c r="A1040" s="132">
        <v>1023</v>
      </c>
      <c r="B1040" s="44">
        <v>44463</v>
      </c>
      <c r="C1040" s="44">
        <f t="shared" si="49"/>
        <v>44463</v>
      </c>
      <c r="D1040" s="374">
        <v>227</v>
      </c>
      <c r="E1040" s="291" t="str">
        <f>IFERROR(VLOOKUP($D1040,'Clients-Live'!$A:$C,3,0),"")</f>
        <v>MUZEE OBEN SAM</v>
      </c>
      <c r="F1040" s="291" t="str">
        <f>IFERROR(INDEX(Disbursements!$D:$D,MATCH('Live Collections'!G1040,Disbursements!$C:$C,0)),"")</f>
        <v/>
      </c>
      <c r="G1040" s="34"/>
      <c r="H1040" s="34"/>
      <c r="I1040" s="34" t="s">
        <v>1815</v>
      </c>
      <c r="J1040" s="48">
        <v>15000</v>
      </c>
      <c r="K1040" s="48">
        <v>5000</v>
      </c>
      <c r="L1040" s="48"/>
      <c r="M1040" s="48"/>
      <c r="N1040" s="59"/>
      <c r="O1040" s="59"/>
      <c r="P1040" s="59"/>
      <c r="Q1040" s="268">
        <f t="shared" si="50"/>
        <v>20000</v>
      </c>
      <c r="R1040" s="61">
        <f>IF(O1040=0,0,SUMIFS(Disbursements!$T:$T,Disbursements!$B:$B,'Live Collections'!D1040,Disbursements!$D:$D,'Live Collections'!F1040))</f>
        <v>0</v>
      </c>
      <c r="S1040" s="304">
        <f>IF(O1040&lt;=IF($O1040=0,0,SUMIFS(Disbursements!$W:$W,Disbursements!$B:$B,'Live Collections'!D2633,Disbursements!$D:$D,'Live Collections'!F2633)),O1040,IF($O1040=0,0,SUMIFS(Disbursements!$W:$W,Disbursements!$B:$B,'Live Collections'!D2633,Disbursements!$D:$D,'Live Collections'!F2633)))</f>
        <v>0</v>
      </c>
      <c r="T1040" s="304">
        <f t="shared" si="51"/>
        <v>0</v>
      </c>
      <c r="U1040" s="52"/>
      <c r="V1040" s="34"/>
      <c r="W1040" s="408"/>
    </row>
    <row r="1041" spans="1:23" ht="12.75" customHeight="1" x14ac:dyDescent="0.2">
      <c r="A1041" s="257">
        <v>1029</v>
      </c>
      <c r="B1041" s="44">
        <v>44464</v>
      </c>
      <c r="C1041" s="44">
        <f t="shared" si="49"/>
        <v>44464</v>
      </c>
      <c r="D1041" s="374">
        <v>11</v>
      </c>
      <c r="E1041" s="291" t="str">
        <f>IFERROR(VLOOKUP($D1041,'Clients-Live'!$A:$C,3,0),"")</f>
        <v>ARIME JUMA</v>
      </c>
      <c r="F1041" s="291">
        <f>IFERROR(INDEX(Disbursements!$D:$D,MATCH('Live Collections'!G1041,Disbursements!$C:$C,0)),"")</f>
        <v>1</v>
      </c>
      <c r="G1041" s="34">
        <v>10</v>
      </c>
      <c r="H1041" s="34"/>
      <c r="I1041" s="34" t="s">
        <v>1359</v>
      </c>
      <c r="J1041" s="48"/>
      <c r="K1041" s="48"/>
      <c r="L1041" s="48"/>
      <c r="M1041" s="48"/>
      <c r="N1041" s="59"/>
      <c r="O1041" s="59">
        <v>108000</v>
      </c>
      <c r="P1041" s="59"/>
      <c r="Q1041" s="268">
        <f t="shared" si="50"/>
        <v>108000</v>
      </c>
      <c r="R1041" s="61">
        <f>IF(O1041=0,0,SUMIFS(Disbursements!$T:$T,Disbursements!$B:$B,'Live Collections'!D1041,Disbursements!$D:$D,'Live Collections'!F1041))</f>
        <v>109000</v>
      </c>
      <c r="S1041" s="304">
        <f>IF(O1041&lt;=IF($O1041=0,0,SUMIFS(Disbursements!$W:$W,Disbursements!$B:$B,'Live Collections'!D111,Disbursements!$D:$D,'Live Collections'!F111)),O1041,IF($O1041=0,0,SUMIFS(Disbursements!$W:$W,Disbursements!$B:$B,'Live Collections'!D111,Disbursements!$D:$D,'Live Collections'!F111)))</f>
        <v>25000</v>
      </c>
      <c r="T1041" s="304">
        <f t="shared" si="51"/>
        <v>83000</v>
      </c>
      <c r="U1041" s="52"/>
      <c r="V1041" s="34"/>
      <c r="W1041" s="408"/>
    </row>
    <row r="1042" spans="1:23" ht="12.75" customHeight="1" x14ac:dyDescent="0.2">
      <c r="A1042" s="132">
        <v>1030</v>
      </c>
      <c r="B1042" s="44">
        <v>44464</v>
      </c>
      <c r="C1042" s="44">
        <f t="shared" si="49"/>
        <v>44464</v>
      </c>
      <c r="D1042" s="374">
        <v>18</v>
      </c>
      <c r="E1042" s="291" t="str">
        <f>IFERROR(VLOOKUP($D1042,'Clients-Live'!$A:$C,3,0),"")</f>
        <v>ARIYE PEACE</v>
      </c>
      <c r="F1042" s="291">
        <f>IFERROR(INDEX(Disbursements!$D:$D,MATCH('Live Collections'!G1042,Disbursements!$C:$C,0)),"")</f>
        <v>1</v>
      </c>
      <c r="G1042" s="34">
        <v>9</v>
      </c>
      <c r="H1042" s="34"/>
      <c r="I1042" s="34" t="s">
        <v>1357</v>
      </c>
      <c r="J1042" s="48"/>
      <c r="K1042" s="48"/>
      <c r="L1042" s="48"/>
      <c r="M1042" s="48"/>
      <c r="N1042" s="59"/>
      <c r="O1042" s="59">
        <v>108500</v>
      </c>
      <c r="P1042" s="59"/>
      <c r="Q1042" s="268">
        <f t="shared" si="50"/>
        <v>108500</v>
      </c>
      <c r="R1042" s="61">
        <f>IF(O1042=0,0,SUMIFS(Disbursements!$T:$T,Disbursements!$B:$B,'Live Collections'!D1042,Disbursements!$D:$D,'Live Collections'!F1042))</f>
        <v>109000</v>
      </c>
      <c r="S1042" s="304">
        <f>IF(O1042&lt;=IF($O1042=0,0,SUMIFS(Disbursements!$W:$W,Disbursements!$B:$B,'Live Collections'!D206,Disbursements!$D:$D,'Live Collections'!F206)),O1042,IF($O1042=0,0,SUMIFS(Disbursements!$W:$W,Disbursements!$B:$B,'Live Collections'!D206,Disbursements!$D:$D,'Live Collections'!F206)))</f>
        <v>13000</v>
      </c>
      <c r="T1042" s="304">
        <f t="shared" si="51"/>
        <v>95500</v>
      </c>
      <c r="U1042" s="52"/>
      <c r="V1042" s="34"/>
      <c r="W1042" s="408"/>
    </row>
    <row r="1043" spans="1:23" ht="12.75" customHeight="1" x14ac:dyDescent="0.2">
      <c r="A1043" s="257">
        <v>1024</v>
      </c>
      <c r="B1043" s="44">
        <v>44464</v>
      </c>
      <c r="C1043" s="44">
        <f t="shared" si="49"/>
        <v>44464</v>
      </c>
      <c r="D1043" s="374">
        <v>66</v>
      </c>
      <c r="E1043" s="291" t="str">
        <f>IFERROR(VLOOKUP($D1043,'Clients-Live'!$A:$C,3,0),"")</f>
        <v>DENAYA NYAMAZA</v>
      </c>
      <c r="F1043" s="291">
        <f>IFERROR(INDEX(Disbursements!$D:$D,MATCH('Live Collections'!G1043,Disbursements!$C:$C,0)),"")</f>
        <v>1</v>
      </c>
      <c r="G1043" s="34">
        <v>53</v>
      </c>
      <c r="H1043" s="34"/>
      <c r="I1043" s="34" t="s">
        <v>1357</v>
      </c>
      <c r="J1043" s="48"/>
      <c r="K1043" s="48"/>
      <c r="L1043" s="48"/>
      <c r="M1043" s="48"/>
      <c r="N1043" s="59"/>
      <c r="O1043" s="59">
        <v>50000</v>
      </c>
      <c r="P1043" s="59"/>
      <c r="Q1043" s="268">
        <f t="shared" si="50"/>
        <v>50000</v>
      </c>
      <c r="R1043" s="61">
        <f>IF(O1043=0,0,SUMIFS(Disbursements!$T:$T,Disbursements!$B:$B,'Live Collections'!D1043,Disbursements!$D:$D,'Live Collections'!F1043))</f>
        <v>109000</v>
      </c>
      <c r="S1043" s="304">
        <f>IF(O1043&lt;=IF($O1043=0,0,SUMIFS(Disbursements!$W:$W,Disbursements!$B:$B,'Live Collections'!D1610,Disbursements!$D:$D,'Live Collections'!F1610)),O1043,IF($O1043=0,0,SUMIFS(Disbursements!$W:$W,Disbursements!$B:$B,'Live Collections'!D1610,Disbursements!$D:$D,'Live Collections'!F1610)))</f>
        <v>30000</v>
      </c>
      <c r="T1043" s="304">
        <f t="shared" si="51"/>
        <v>20000</v>
      </c>
      <c r="U1043" s="52"/>
      <c r="V1043" s="34"/>
      <c r="W1043" s="408"/>
    </row>
    <row r="1044" spans="1:23" ht="12.75" customHeight="1" x14ac:dyDescent="0.2">
      <c r="A1044" s="132">
        <v>1025</v>
      </c>
      <c r="B1044" s="44">
        <v>44464</v>
      </c>
      <c r="C1044" s="44">
        <f t="shared" si="49"/>
        <v>44464</v>
      </c>
      <c r="D1044" s="374">
        <v>91</v>
      </c>
      <c r="E1044" s="291" t="str">
        <f>IFERROR(VLOOKUP($D1044,'Clients-Live'!$A:$C,3,0),"")</f>
        <v>CHANDIRU SALILA</v>
      </c>
      <c r="F1044" s="291">
        <f>IFERROR(INDEX(Disbursements!$D:$D,MATCH('Live Collections'!G1044,Disbursements!$C:$C,0)),"")</f>
        <v>1</v>
      </c>
      <c r="G1044" s="34">
        <v>75</v>
      </c>
      <c r="H1044" s="34"/>
      <c r="I1044" s="34" t="s">
        <v>1359</v>
      </c>
      <c r="J1044" s="48"/>
      <c r="K1044" s="48"/>
      <c r="L1044" s="48"/>
      <c r="M1044" s="48"/>
      <c r="N1044" s="59"/>
      <c r="O1044" s="59">
        <v>60000</v>
      </c>
      <c r="P1044" s="59"/>
      <c r="Q1044" s="268">
        <f t="shared" si="50"/>
        <v>60000</v>
      </c>
      <c r="R1044" s="61">
        <f>IF(O1044=0,0,SUMIFS(Disbursements!$T:$T,Disbursements!$B:$B,'Live Collections'!D1044,Disbursements!$D:$D,'Live Collections'!F1044))</f>
        <v>60000</v>
      </c>
      <c r="S1044" s="304">
        <f>IF(O1044&lt;=IF($O1044=0,0,SUMIFS(Disbursements!$W:$W,Disbursements!$B:$B,'Live Collections'!D1184,Disbursements!$D:$D,'Live Collections'!F1184)),O1044,IF($O1044=0,0,SUMIFS(Disbursements!$W:$W,Disbursements!$B:$B,'Live Collections'!D1184,Disbursements!$D:$D,'Live Collections'!F1184)))</f>
        <v>20000</v>
      </c>
      <c r="T1044" s="304">
        <f t="shared" si="51"/>
        <v>40000</v>
      </c>
      <c r="U1044" s="52"/>
      <c r="V1044" s="34"/>
      <c r="W1044" s="408"/>
    </row>
    <row r="1045" spans="1:23" ht="12.75" customHeight="1" x14ac:dyDescent="0.2">
      <c r="A1045" s="257">
        <v>1027</v>
      </c>
      <c r="B1045" s="44">
        <v>44464</v>
      </c>
      <c r="C1045" s="44">
        <f t="shared" si="49"/>
        <v>44464</v>
      </c>
      <c r="D1045" s="374">
        <v>109</v>
      </c>
      <c r="E1045" s="291" t="str">
        <f>IFERROR(VLOOKUP($D1045,'Clients-Live'!$A:$C,3,0),"")</f>
        <v>TABU KISA</v>
      </c>
      <c r="F1045" s="291">
        <f>IFERROR(INDEX(Disbursements!$D:$D,MATCH('Live Collections'!G1045,Disbursements!$C:$C,0)),"")</f>
        <v>1</v>
      </c>
      <c r="G1045" s="34">
        <v>93</v>
      </c>
      <c r="H1045" s="34"/>
      <c r="I1045" s="34" t="s">
        <v>1357</v>
      </c>
      <c r="J1045" s="48"/>
      <c r="K1045" s="48"/>
      <c r="L1045" s="48"/>
      <c r="M1045" s="48"/>
      <c r="N1045" s="59"/>
      <c r="O1045" s="59">
        <v>94000</v>
      </c>
      <c r="P1045" s="59"/>
      <c r="Q1045" s="268">
        <f t="shared" si="50"/>
        <v>94000</v>
      </c>
      <c r="R1045" s="61">
        <f>IF(O1045=0,0,SUMIFS(Disbursements!$T:$T,Disbursements!$B:$B,'Live Collections'!D1045,Disbursements!$D:$D,'Live Collections'!F1045))</f>
        <v>315000</v>
      </c>
      <c r="S1045" s="304"/>
      <c r="T1045" s="304">
        <f t="shared" si="51"/>
        <v>94000</v>
      </c>
      <c r="U1045" s="52"/>
      <c r="V1045" s="34"/>
      <c r="W1045" s="408"/>
    </row>
    <row r="1046" spans="1:23" ht="12.75" customHeight="1" x14ac:dyDescent="0.2">
      <c r="A1046" s="132">
        <v>1026</v>
      </c>
      <c r="B1046" s="44">
        <v>44464</v>
      </c>
      <c r="C1046" s="44">
        <f t="shared" si="49"/>
        <v>44464</v>
      </c>
      <c r="D1046" s="374">
        <v>135</v>
      </c>
      <c r="E1046" s="291" t="str">
        <f>IFERROR(VLOOKUP($D1046,'Clients-Live'!$A:$C,3,0),"")</f>
        <v>SARIF SAIDI</v>
      </c>
      <c r="F1046" s="291">
        <f>IFERROR(INDEX(Disbursements!$D:$D,MATCH('Live Collections'!G1046,Disbursements!$C:$C,0)),"")</f>
        <v>1</v>
      </c>
      <c r="G1046" s="34">
        <v>120</v>
      </c>
      <c r="H1046" s="34"/>
      <c r="I1046" s="34" t="s">
        <v>1357</v>
      </c>
      <c r="J1046" s="48"/>
      <c r="K1046" s="48"/>
      <c r="L1046" s="48"/>
      <c r="M1046" s="48"/>
      <c r="N1046" s="59"/>
      <c r="O1046" s="59">
        <v>175000</v>
      </c>
      <c r="P1046" s="59"/>
      <c r="Q1046" s="268">
        <f t="shared" si="50"/>
        <v>175000</v>
      </c>
      <c r="R1046" s="61">
        <f>IF(O1046=0,0,SUMIFS(Disbursements!$T:$T,Disbursements!$B:$B,'Live Collections'!D1046,Disbursements!$D:$D,'Live Collections'!F1046))</f>
        <v>175000</v>
      </c>
      <c r="S1046" s="304">
        <f>IF(O1046&lt;=IF($O1046=0,0,SUMIFS(Disbursements!$W:$W,Disbursements!$B:$B,'Live Collections'!D1702,Disbursements!$D:$D,'Live Collections'!F1702)),O1046,IF($O1046=0,0,SUMIFS(Disbursements!$W:$W,Disbursements!$B:$B,'Live Collections'!D1702,Disbursements!$D:$D,'Live Collections'!F1702)))</f>
        <v>26333.333333333328</v>
      </c>
      <c r="T1046" s="304">
        <f t="shared" si="51"/>
        <v>148666.66666666669</v>
      </c>
      <c r="U1046" s="52"/>
      <c r="V1046" s="34"/>
      <c r="W1046" s="408"/>
    </row>
    <row r="1047" spans="1:23" ht="12.75" customHeight="1" x14ac:dyDescent="0.2">
      <c r="A1047" s="257">
        <v>1028</v>
      </c>
      <c r="B1047" s="44">
        <v>44464</v>
      </c>
      <c r="C1047" s="44">
        <f t="shared" si="49"/>
        <v>44464</v>
      </c>
      <c r="D1047" s="374">
        <v>188</v>
      </c>
      <c r="E1047" s="291" t="str">
        <f>IFERROR(VLOOKUP($D1047,'Clients-Live'!$A:$C,3,0),"")</f>
        <v>ADIRU HELLEN</v>
      </c>
      <c r="F1047" s="291">
        <f>IFERROR(INDEX(Disbursements!$D:$D,MATCH('Live Collections'!G1047,Disbursements!$C:$C,0)),"")</f>
        <v>1</v>
      </c>
      <c r="G1047" s="34">
        <v>180</v>
      </c>
      <c r="H1047" s="34"/>
      <c r="I1047" s="34" t="s">
        <v>1358</v>
      </c>
      <c r="J1047" s="48"/>
      <c r="K1047" s="48"/>
      <c r="L1047" s="48"/>
      <c r="M1047" s="48"/>
      <c r="N1047" s="59"/>
      <c r="O1047" s="59">
        <v>80000</v>
      </c>
      <c r="P1047" s="59"/>
      <c r="Q1047" s="268">
        <f t="shared" si="50"/>
        <v>80000</v>
      </c>
      <c r="R1047" s="61">
        <f>IF(O1047=0,0,SUMIFS(Disbursements!$T:$T,Disbursements!$B:$B,'Live Collections'!D1047,Disbursements!$D:$D,'Live Collections'!F1047))</f>
        <v>154000</v>
      </c>
      <c r="S1047" s="304">
        <f>IF(O1047&lt;=IF($O1047=0,0,SUMIFS(Disbursements!$W:$W,Disbursements!$B:$B,'Live Collections'!D2284,Disbursements!$D:$D,'Live Collections'!F2284)),O1047,IF($O1047=0,0,SUMIFS(Disbursements!$W:$W,Disbursements!$B:$B,'Live Collections'!D2284,Disbursements!$D:$D,'Live Collections'!F2284)))</f>
        <v>5000</v>
      </c>
      <c r="T1047" s="304">
        <f t="shared" si="51"/>
        <v>75000</v>
      </c>
      <c r="U1047" s="52"/>
      <c r="V1047" s="34"/>
      <c r="W1047" s="408"/>
    </row>
    <row r="1048" spans="1:23" ht="12.75" customHeight="1" x14ac:dyDescent="0.2">
      <c r="A1048" s="132">
        <v>1047</v>
      </c>
      <c r="B1048" s="44">
        <v>44466</v>
      </c>
      <c r="C1048" s="44">
        <f t="shared" si="49"/>
        <v>44466</v>
      </c>
      <c r="D1048" s="374">
        <v>9</v>
      </c>
      <c r="E1048" s="291" t="str">
        <f>IFERROR(VLOOKUP($D1048,'Clients-Live'!$A:$C,3,0),"")</f>
        <v>TABAN DAVID YAYA</v>
      </c>
      <c r="F1048" s="291">
        <f>IFERROR(INDEX(Disbursements!$D:$D,MATCH('Live Collections'!G1048,Disbursements!$C:$C,0)),"")</f>
        <v>2</v>
      </c>
      <c r="G1048" s="34">
        <v>221</v>
      </c>
      <c r="H1048" s="34">
        <v>2573</v>
      </c>
      <c r="I1048" s="34" t="s">
        <v>1357</v>
      </c>
      <c r="J1048" s="48"/>
      <c r="K1048" s="48"/>
      <c r="L1048" s="48"/>
      <c r="M1048" s="48"/>
      <c r="N1048" s="59"/>
      <c r="O1048" s="59">
        <v>200000</v>
      </c>
      <c r="P1048" s="59"/>
      <c r="Q1048" s="268">
        <f t="shared" si="50"/>
        <v>200000</v>
      </c>
      <c r="R1048" s="61">
        <f>IF(O1048=0,0,SUMIFS(Disbursements!$T:$T,Disbursements!$B:$B,'Live Collections'!D1048,Disbursements!$D:$D,'Live Collections'!F1048))</f>
        <v>360000</v>
      </c>
      <c r="S1048" s="304">
        <f>IF(O1048&lt;=IF($O1048=0,0,SUMIFS(Disbursements!$W:$W,Disbursements!$B:$B,'Live Collections'!D85,Disbursements!$D:$D,'Live Collections'!F85)),O1048,IF($O1048=0,0,SUMIFS(Disbursements!$W:$W,Disbursements!$B:$B,'Live Collections'!D85,Disbursements!$D:$D,'Live Collections'!F85)))</f>
        <v>0</v>
      </c>
      <c r="T1048" s="304">
        <f t="shared" si="51"/>
        <v>200000</v>
      </c>
      <c r="U1048" s="52"/>
      <c r="V1048" s="34"/>
      <c r="W1048" s="408"/>
    </row>
    <row r="1049" spans="1:23" ht="12.75" customHeight="1" x14ac:dyDescent="0.2">
      <c r="A1049" s="132">
        <v>1049</v>
      </c>
      <c r="B1049" s="44">
        <v>44466</v>
      </c>
      <c r="C1049" s="44">
        <f t="shared" si="49"/>
        <v>44466</v>
      </c>
      <c r="D1049" s="374">
        <v>9</v>
      </c>
      <c r="E1049" s="291" t="str">
        <f>IFERROR(VLOOKUP($D1049,'Clients-Live'!$A:$C,3,0),"")</f>
        <v>TABAN DAVID YAYA</v>
      </c>
      <c r="F1049" s="291">
        <f>IFERROR(INDEX(Disbursements!$D:$D,MATCH('Live Collections'!G1049,Disbursements!$C:$C,0)),"")</f>
        <v>2</v>
      </c>
      <c r="G1049" s="34">
        <v>221</v>
      </c>
      <c r="H1049" s="34">
        <v>2568</v>
      </c>
      <c r="I1049" s="34" t="s">
        <v>1357</v>
      </c>
      <c r="J1049" s="48"/>
      <c r="K1049" s="48"/>
      <c r="L1049" s="48"/>
      <c r="M1049" s="48"/>
      <c r="N1049" s="59"/>
      <c r="O1049" s="59">
        <v>150000</v>
      </c>
      <c r="P1049" s="59"/>
      <c r="Q1049" s="268">
        <f t="shared" si="50"/>
        <v>150000</v>
      </c>
      <c r="R1049" s="61">
        <f>IF(O1049=0,0,SUMIFS(Disbursements!$T:$T,Disbursements!$B:$B,'Live Collections'!D1049,Disbursements!$D:$D,'Live Collections'!F1049))</f>
        <v>360000</v>
      </c>
      <c r="S1049" s="304">
        <f>IF(O1049&lt;=IF($O1049=0,0,SUMIFS(Disbursements!$W:$W,Disbursements!$B:$B,'Live Collections'!D86,Disbursements!$D:$D,'Live Collections'!F86)),O1049,IF($O1049=0,0,SUMIFS(Disbursements!$W:$W,Disbursements!$B:$B,'Live Collections'!D86,Disbursements!$D:$D,'Live Collections'!F86)))</f>
        <v>50666.666666666686</v>
      </c>
      <c r="T1049" s="304">
        <f t="shared" si="51"/>
        <v>99333.333333333314</v>
      </c>
      <c r="U1049" s="52"/>
      <c r="V1049" s="34"/>
      <c r="W1049" s="408"/>
    </row>
    <row r="1050" spans="1:23" ht="12.75" customHeight="1" x14ac:dyDescent="0.2">
      <c r="A1050" s="257">
        <v>1032</v>
      </c>
      <c r="B1050" s="44">
        <v>44466</v>
      </c>
      <c r="C1050" s="44">
        <f t="shared" si="49"/>
        <v>44466</v>
      </c>
      <c r="D1050" s="374">
        <v>13</v>
      </c>
      <c r="E1050" s="291" t="str">
        <f>IFERROR(VLOOKUP($D1050,'Clients-Live'!$A:$C,3,0),"")</f>
        <v>ALLONE AMOS DAMAI</v>
      </c>
      <c r="F1050" s="291">
        <f>IFERROR(INDEX(Disbursements!$D:$D,MATCH('Live Collections'!G1050,Disbursements!$C:$C,0)),"")</f>
        <v>1</v>
      </c>
      <c r="G1050" s="34">
        <v>67</v>
      </c>
      <c r="H1050" s="34">
        <v>2652</v>
      </c>
      <c r="I1050" s="34" t="s">
        <v>1359</v>
      </c>
      <c r="J1050" s="48"/>
      <c r="K1050" s="48"/>
      <c r="L1050" s="48"/>
      <c r="M1050" s="48"/>
      <c r="N1050" s="59"/>
      <c r="O1050" s="59">
        <v>76000</v>
      </c>
      <c r="P1050" s="59"/>
      <c r="Q1050" s="268">
        <f t="shared" si="50"/>
        <v>76000</v>
      </c>
      <c r="R1050" s="61">
        <f>IF(O1050=0,0,SUMIFS(Disbursements!$T:$T,Disbursements!$B:$B,'Live Collections'!D1050,Disbursements!$D:$D,'Live Collections'!F1050))</f>
        <v>217000</v>
      </c>
      <c r="S1050" s="304">
        <f>IF(O1050&lt;=IF($O1050=0,0,SUMIFS(Disbursements!$W:$W,Disbursements!$B:$B,'Live Collections'!D138,Disbursements!$D:$D,'Live Collections'!F138)),O1050,IF($O1050=0,0,SUMIFS(Disbursements!$W:$W,Disbursements!$B:$B,'Live Collections'!D138,Disbursements!$D:$D,'Live Collections'!F138)))</f>
        <v>0</v>
      </c>
      <c r="T1050" s="304">
        <f t="shared" si="51"/>
        <v>76000</v>
      </c>
      <c r="U1050" s="52"/>
      <c r="V1050" s="34"/>
      <c r="W1050" s="408"/>
    </row>
    <row r="1051" spans="1:23" ht="12.75" customHeight="1" x14ac:dyDescent="0.2">
      <c r="A1051" s="132">
        <v>1042</v>
      </c>
      <c r="B1051" s="44">
        <v>44466</v>
      </c>
      <c r="C1051" s="44">
        <f t="shared" si="49"/>
        <v>44466</v>
      </c>
      <c r="D1051" s="374">
        <v>32</v>
      </c>
      <c r="E1051" s="291" t="str">
        <f>IFERROR(VLOOKUP($D1051,'Clients-Live'!$A:$C,3,0),"")</f>
        <v>BAKO LINA ESERU</v>
      </c>
      <c r="F1051" s="291">
        <f>IFERROR(INDEX(Disbursements!$D:$D,MATCH('Live Collections'!G1051,Disbursements!$C:$C,0)),"")</f>
        <v>1</v>
      </c>
      <c r="G1051" s="34">
        <v>15</v>
      </c>
      <c r="H1051" s="34"/>
      <c r="I1051" s="34" t="s">
        <v>1359</v>
      </c>
      <c r="J1051" s="48"/>
      <c r="K1051" s="48"/>
      <c r="L1051" s="48"/>
      <c r="M1051" s="48"/>
      <c r="N1051" s="59"/>
      <c r="O1051" s="59">
        <v>125000</v>
      </c>
      <c r="P1051" s="59"/>
      <c r="Q1051" s="268">
        <f t="shared" si="50"/>
        <v>125000</v>
      </c>
      <c r="R1051" s="61">
        <f>IF(O1051=0,0,SUMIFS(Disbursements!$T:$T,Disbursements!$B:$B,'Live Collections'!D1051,Disbursements!$D:$D,'Live Collections'!F1051))</f>
        <v>125000</v>
      </c>
      <c r="S1051" s="304"/>
      <c r="T1051" s="304">
        <f t="shared" si="51"/>
        <v>125000</v>
      </c>
      <c r="U1051" s="52"/>
      <c r="V1051" s="34"/>
      <c r="W1051" s="408"/>
    </row>
    <row r="1052" spans="1:23" ht="12.75" customHeight="1" x14ac:dyDescent="0.2">
      <c r="A1052" s="257">
        <v>1050</v>
      </c>
      <c r="B1052" s="44">
        <v>44466</v>
      </c>
      <c r="C1052" s="44">
        <f t="shared" si="49"/>
        <v>44466</v>
      </c>
      <c r="D1052" s="374">
        <v>46</v>
      </c>
      <c r="E1052" s="291" t="str">
        <f>IFERROR(VLOOKUP($D1052,'Clients-Live'!$A:$C,3,0),"")</f>
        <v>ALIO YUDA</v>
      </c>
      <c r="F1052" s="291">
        <f>IFERROR(INDEX(Disbursements!$D:$D,MATCH('Live Collections'!G1052,Disbursements!$C:$C,0)),"")</f>
        <v>1</v>
      </c>
      <c r="G1052" s="34">
        <v>35</v>
      </c>
      <c r="H1052" s="34"/>
      <c r="I1052" s="34" t="s">
        <v>1357</v>
      </c>
      <c r="J1052" s="48"/>
      <c r="K1052" s="48"/>
      <c r="L1052" s="48"/>
      <c r="M1052" s="48"/>
      <c r="N1052" s="59"/>
      <c r="O1052" s="59">
        <v>90000</v>
      </c>
      <c r="P1052" s="59"/>
      <c r="Q1052" s="268">
        <f t="shared" si="50"/>
        <v>90000</v>
      </c>
      <c r="R1052" s="61">
        <f>IF(O1052=0,0,SUMIFS(Disbursements!$T:$T,Disbursements!$B:$B,'Live Collections'!D1052,Disbursements!$D:$D,'Live Collections'!F1052))</f>
        <v>325000</v>
      </c>
      <c r="S1052" s="304">
        <f>IF(O1052&lt;=IF($O1052=0,0,SUMIFS(Disbursements!$W:$W,Disbursements!$B:$B,'Live Collections'!D520,Disbursements!$D:$D,'Live Collections'!F520)),O1052,IF($O1052=0,0,SUMIFS(Disbursements!$W:$W,Disbursements!$B:$B,'Live Collections'!D520,Disbursements!$D:$D,'Live Collections'!F520)))</f>
        <v>15333.333333333328</v>
      </c>
      <c r="T1052" s="304">
        <f t="shared" si="51"/>
        <v>74666.666666666672</v>
      </c>
      <c r="U1052" s="52"/>
      <c r="V1052" s="34"/>
      <c r="W1052" s="408"/>
    </row>
    <row r="1053" spans="1:23" ht="12.75" customHeight="1" x14ac:dyDescent="0.2">
      <c r="A1053" s="132">
        <v>1038</v>
      </c>
      <c r="B1053" s="44">
        <v>44466</v>
      </c>
      <c r="C1053" s="44">
        <f t="shared" si="49"/>
        <v>44466</v>
      </c>
      <c r="D1053" s="374">
        <v>73</v>
      </c>
      <c r="E1053" s="291" t="str">
        <f>IFERROR(VLOOKUP($D1053,'Clients-Live'!$A:$C,3,0),"")</f>
        <v>AJONYE DEBORA</v>
      </c>
      <c r="F1053" s="291">
        <f>IFERROR(INDEX(Disbursements!$D:$D,MATCH('Live Collections'!G1053,Disbursements!$C:$C,0)),"")</f>
        <v>1</v>
      </c>
      <c r="G1053" s="34">
        <v>54</v>
      </c>
      <c r="H1053" s="34"/>
      <c r="I1053" s="34" t="s">
        <v>1357</v>
      </c>
      <c r="J1053" s="48"/>
      <c r="K1053" s="48"/>
      <c r="L1053" s="48"/>
      <c r="M1053" s="48"/>
      <c r="N1053" s="59"/>
      <c r="O1053" s="59">
        <v>150000</v>
      </c>
      <c r="P1053" s="59"/>
      <c r="Q1053" s="268">
        <f t="shared" si="50"/>
        <v>150000</v>
      </c>
      <c r="R1053" s="61">
        <f>IF(O1053=0,0,SUMIFS(Disbursements!$T:$T,Disbursements!$B:$B,'Live Collections'!D1053,Disbursements!$D:$D,'Live Collections'!F1053))</f>
        <v>150000</v>
      </c>
      <c r="S1053" s="64">
        <v>9000</v>
      </c>
      <c r="T1053" s="304">
        <f t="shared" si="51"/>
        <v>141000</v>
      </c>
      <c r="U1053" s="52"/>
      <c r="V1053" s="34"/>
      <c r="W1053" s="408" t="s">
        <v>2086</v>
      </c>
    </row>
    <row r="1054" spans="1:23" ht="12.75" customHeight="1" x14ac:dyDescent="0.2">
      <c r="A1054" s="257">
        <v>1059</v>
      </c>
      <c r="B1054" s="44">
        <v>44466</v>
      </c>
      <c r="C1054" s="44">
        <f t="shared" si="49"/>
        <v>44466</v>
      </c>
      <c r="D1054" s="374">
        <v>73</v>
      </c>
      <c r="E1054" s="291" t="str">
        <f>IFERROR(VLOOKUP($D1054,'Clients-Live'!$A:$C,3,0),"")</f>
        <v>AJONYE DEBORA</v>
      </c>
      <c r="F1054" s="291">
        <f>IFERROR(INDEX(Disbursements!$D:$D,MATCH('Live Collections'!G1054,Disbursements!$C:$C,0)),"")</f>
        <v>2</v>
      </c>
      <c r="G1054" s="34">
        <v>240</v>
      </c>
      <c r="H1054" s="34"/>
      <c r="I1054" s="34" t="s">
        <v>1357</v>
      </c>
      <c r="J1054" s="48"/>
      <c r="K1054" s="48"/>
      <c r="L1054" s="48">
        <v>15000</v>
      </c>
      <c r="M1054" s="48">
        <v>5000</v>
      </c>
      <c r="N1054" s="59"/>
      <c r="O1054" s="59"/>
      <c r="P1054" s="59">
        <v>10000</v>
      </c>
      <c r="Q1054" s="268">
        <f t="shared" si="50"/>
        <v>30000</v>
      </c>
      <c r="R1054" s="61">
        <f>IF(O1054=0,0,SUMIFS(Disbursements!$T:$T,Disbursements!$B:$B,'Live Collections'!D1054,Disbursements!$D:$D,'Live Collections'!F1054))</f>
        <v>0</v>
      </c>
      <c r="S1054" s="304">
        <f>IF(O1054&lt;=IF($O1054=0,0,SUMIFS(Disbursements!$W:$W,Disbursements!$B:$B,'Live Collections'!D923,Disbursements!$D:$D,'Live Collections'!F923)),O1054,IF($O1054=0,0,SUMIFS(Disbursements!$W:$W,Disbursements!$B:$B,'Live Collections'!D923,Disbursements!$D:$D,'Live Collections'!F923)))</f>
        <v>0</v>
      </c>
      <c r="T1054" s="304">
        <f t="shared" si="51"/>
        <v>0</v>
      </c>
      <c r="U1054" s="52"/>
      <c r="V1054" s="34"/>
      <c r="W1054" s="408"/>
    </row>
    <row r="1055" spans="1:23" ht="12.75" customHeight="1" x14ac:dyDescent="0.2">
      <c r="A1055" s="132">
        <v>1040</v>
      </c>
      <c r="B1055" s="44">
        <v>44466</v>
      </c>
      <c r="C1055" s="44">
        <f t="shared" si="49"/>
        <v>44466</v>
      </c>
      <c r="D1055" s="374">
        <v>75</v>
      </c>
      <c r="E1055" s="291" t="str">
        <f>IFERROR(VLOOKUP($D1055,'Clients-Live'!$A:$C,3,0),"")</f>
        <v>MUKULIA JAMES</v>
      </c>
      <c r="F1055" s="291">
        <f>IFERROR(INDEX(Disbursements!$D:$D,MATCH('Live Collections'!G1055,Disbursements!$C:$C,0)),"")</f>
        <v>2</v>
      </c>
      <c r="G1055" s="34">
        <v>174</v>
      </c>
      <c r="H1055" s="34"/>
      <c r="I1055" s="34" t="s">
        <v>1359</v>
      </c>
      <c r="J1055" s="48"/>
      <c r="K1055" s="48"/>
      <c r="L1055" s="48"/>
      <c r="M1055" s="48"/>
      <c r="N1055" s="59"/>
      <c r="O1055" s="59">
        <v>135000</v>
      </c>
      <c r="P1055" s="59"/>
      <c r="Q1055" s="268">
        <f t="shared" si="50"/>
        <v>135000</v>
      </c>
      <c r="R1055" s="61">
        <f>IF(O1055=0,0,SUMIFS(Disbursements!$T:$T,Disbursements!$B:$B,'Live Collections'!D1055,Disbursements!$D:$D,'Live Collections'!F1055))</f>
        <v>175000</v>
      </c>
      <c r="S1055" s="304">
        <f>IF(O1055&lt;=IF($O1055=0,0,SUMIFS(Disbursements!$W:$W,Disbursements!$B:$B,'Live Collections'!D956,Disbursements!$D:$D,'Live Collections'!F956)),O1055,IF($O1055=0,0,SUMIFS(Disbursements!$W:$W,Disbursements!$B:$B,'Live Collections'!D956,Disbursements!$D:$D,'Live Collections'!F956)))</f>
        <v>0</v>
      </c>
      <c r="T1055" s="304">
        <f t="shared" si="51"/>
        <v>135000</v>
      </c>
      <c r="U1055" s="52"/>
      <c r="V1055" s="34"/>
      <c r="W1055" s="408"/>
    </row>
    <row r="1056" spans="1:23" ht="12.75" customHeight="1" x14ac:dyDescent="0.2">
      <c r="A1056" s="257">
        <v>1052</v>
      </c>
      <c r="B1056" s="44">
        <v>44466</v>
      </c>
      <c r="C1056" s="44">
        <f t="shared" si="49"/>
        <v>44466</v>
      </c>
      <c r="D1056" s="374">
        <v>82</v>
      </c>
      <c r="E1056" s="291" t="str">
        <f>IFERROR(VLOOKUP($D1056,'Clients-Live'!$A:$C,3,0),"")</f>
        <v>ADUNA MANENO</v>
      </c>
      <c r="F1056" s="291">
        <f>IFERROR(INDEX(Disbursements!$D:$D,MATCH('Live Collections'!G1056,Disbursements!$C:$C,0)),"")</f>
        <v>1</v>
      </c>
      <c r="G1056" s="34">
        <v>71</v>
      </c>
      <c r="H1056" s="34"/>
      <c r="I1056" s="34" t="s">
        <v>1357</v>
      </c>
      <c r="J1056" s="48"/>
      <c r="K1056" s="48"/>
      <c r="L1056" s="48"/>
      <c r="M1056" s="48"/>
      <c r="N1056" s="59"/>
      <c r="O1056" s="59">
        <v>55000</v>
      </c>
      <c r="P1056" s="59"/>
      <c r="Q1056" s="268">
        <f t="shared" si="50"/>
        <v>55000</v>
      </c>
      <c r="R1056" s="61">
        <f>IF(O1056=0,0,SUMIFS(Disbursements!$T:$T,Disbursements!$B:$B,'Live Collections'!D1056,Disbursements!$D:$D,'Live Collections'!F1056))</f>
        <v>90000</v>
      </c>
      <c r="S1056" s="304"/>
      <c r="T1056" s="304">
        <f t="shared" si="51"/>
        <v>55000</v>
      </c>
      <c r="U1056" s="52"/>
      <c r="V1056" s="34"/>
      <c r="W1056" s="408"/>
    </row>
    <row r="1057" spans="1:23" ht="12.75" customHeight="1" x14ac:dyDescent="0.2">
      <c r="A1057" s="132">
        <v>1043</v>
      </c>
      <c r="B1057" s="44">
        <v>44466</v>
      </c>
      <c r="C1057" s="44">
        <f t="shared" si="49"/>
        <v>44466</v>
      </c>
      <c r="D1057" s="374">
        <v>85</v>
      </c>
      <c r="E1057" s="291" t="str">
        <f>IFERROR(VLOOKUP($D1057,'Clients-Live'!$A:$C,3,0),"")</f>
        <v>CEASER SWALEH</v>
      </c>
      <c r="F1057" s="291">
        <f>IFERROR(INDEX(Disbursements!$D:$D,MATCH('Live Collections'!G1057,Disbursements!$C:$C,0)),"")</f>
        <v>2</v>
      </c>
      <c r="G1057" s="34">
        <v>119</v>
      </c>
      <c r="H1057" s="34"/>
      <c r="I1057" s="34" t="s">
        <v>1357</v>
      </c>
      <c r="J1057" s="48"/>
      <c r="K1057" s="48"/>
      <c r="L1057" s="48"/>
      <c r="M1057" s="48"/>
      <c r="N1057" s="59"/>
      <c r="O1057" s="59">
        <v>70000</v>
      </c>
      <c r="P1057" s="59"/>
      <c r="Q1057" s="268">
        <f t="shared" si="50"/>
        <v>70000</v>
      </c>
      <c r="R1057" s="61">
        <f>IF(O1057=0,0,SUMIFS(Disbursements!$T:$T,Disbursements!$B:$B,'Live Collections'!D1057,Disbursements!$D:$D,'Live Collections'!F1057))</f>
        <v>434000</v>
      </c>
      <c r="S1057" s="304">
        <f>IF(O1057&lt;=IF($O1057=0,0,SUMIFS(Disbursements!$W:$W,Disbursements!$B:$B,'Live Collections'!D1088,Disbursements!$D:$D,'Live Collections'!F1088)),O1057,IF($O1057=0,0,SUMIFS(Disbursements!$W:$W,Disbursements!$B:$B,'Live Collections'!D1088,Disbursements!$D:$D,'Live Collections'!F1088)))</f>
        <v>20000</v>
      </c>
      <c r="T1057" s="304">
        <f t="shared" si="51"/>
        <v>50000</v>
      </c>
      <c r="U1057" s="52"/>
      <c r="V1057" s="34"/>
      <c r="W1057" s="408"/>
    </row>
    <row r="1058" spans="1:23" ht="12.75" customHeight="1" x14ac:dyDescent="0.2">
      <c r="A1058" s="257">
        <v>1037</v>
      </c>
      <c r="B1058" s="44">
        <v>44466</v>
      </c>
      <c r="C1058" s="44">
        <f t="shared" si="49"/>
        <v>44466</v>
      </c>
      <c r="D1058" s="374">
        <v>87</v>
      </c>
      <c r="E1058" s="291" t="str">
        <f>IFERROR(VLOOKUP($D1058,'Clients-Live'!$A:$C,3,0),"")</f>
        <v>FAIDA ZUBEDA</v>
      </c>
      <c r="F1058" s="291">
        <f>IFERROR(INDEX(Disbursements!$D:$D,MATCH('Live Collections'!G1058,Disbursements!$C:$C,0)),"")</f>
        <v>1</v>
      </c>
      <c r="G1058" s="34">
        <v>70</v>
      </c>
      <c r="H1058" s="34"/>
      <c r="I1058" s="34" t="s">
        <v>1358</v>
      </c>
      <c r="J1058" s="48"/>
      <c r="K1058" s="48"/>
      <c r="L1058" s="48"/>
      <c r="M1058" s="48"/>
      <c r="N1058" s="59"/>
      <c r="O1058" s="59">
        <v>100000</v>
      </c>
      <c r="P1058" s="59"/>
      <c r="Q1058" s="268">
        <f t="shared" si="50"/>
        <v>100000</v>
      </c>
      <c r="R1058" s="61">
        <f>IF(O1058=0,0,SUMIFS(Disbursements!$T:$T,Disbursements!$B:$B,'Live Collections'!D1058,Disbursements!$D:$D,'Live Collections'!F1058))</f>
        <v>175000</v>
      </c>
      <c r="S1058" s="304">
        <f>IF(O1058&lt;=IF($O1058=0,0,SUMIFS(Disbursements!$W:$W,Disbursements!$B:$B,'Live Collections'!D1130,Disbursements!$D:$D,'Live Collections'!F1130)),O1058,IF($O1058=0,0,SUMIFS(Disbursements!$W:$W,Disbursements!$B:$B,'Live Collections'!D1130,Disbursements!$D:$D,'Live Collections'!F1130)))</f>
        <v>30000</v>
      </c>
      <c r="T1058" s="304">
        <f t="shared" si="51"/>
        <v>70000</v>
      </c>
      <c r="U1058" s="52"/>
      <c r="V1058" s="34"/>
      <c r="W1058" s="408"/>
    </row>
    <row r="1059" spans="1:23" ht="12.75" customHeight="1" x14ac:dyDescent="0.2">
      <c r="A1059" s="132">
        <v>1031</v>
      </c>
      <c r="B1059" s="44">
        <v>44466</v>
      </c>
      <c r="C1059" s="44">
        <f t="shared" si="49"/>
        <v>44466</v>
      </c>
      <c r="D1059" s="374">
        <v>92</v>
      </c>
      <c r="E1059" s="291" t="str">
        <f>IFERROR(VLOOKUP($D1059,'Clients-Live'!$A:$C,3,0),"")</f>
        <v>FAIDA ZAKIYA</v>
      </c>
      <c r="F1059" s="291">
        <f>IFERROR(INDEX(Disbursements!$D:$D,MATCH('Live Collections'!G1059,Disbursements!$C:$C,0)),"")</f>
        <v>1</v>
      </c>
      <c r="G1059" s="34">
        <v>74</v>
      </c>
      <c r="H1059" s="34"/>
      <c r="I1059" s="34" t="s">
        <v>1358</v>
      </c>
      <c r="J1059" s="48"/>
      <c r="K1059" s="48"/>
      <c r="L1059" s="48"/>
      <c r="M1059" s="48"/>
      <c r="N1059" s="59"/>
      <c r="O1059" s="59">
        <v>100000</v>
      </c>
      <c r="P1059" s="59"/>
      <c r="Q1059" s="268">
        <f t="shared" si="50"/>
        <v>100000</v>
      </c>
      <c r="R1059" s="61">
        <f>IF(O1059=0,0,SUMIFS(Disbursements!$T:$T,Disbursements!$B:$B,'Live Collections'!D1059,Disbursements!$D:$D,'Live Collections'!F1059))</f>
        <v>175000</v>
      </c>
      <c r="S1059" s="304">
        <f>IF(O1059&lt;=IF($O1059=0,0,SUMIFS(Disbursements!$W:$W,Disbursements!$B:$B,'Live Collections'!D1200,Disbursements!$D:$D,'Live Collections'!F1200)),O1059,IF($O1059=0,0,SUMIFS(Disbursements!$W:$W,Disbursements!$B:$B,'Live Collections'!D1200,Disbursements!$D:$D,'Live Collections'!F1200)))</f>
        <v>20000</v>
      </c>
      <c r="T1059" s="304">
        <f t="shared" si="51"/>
        <v>80000</v>
      </c>
      <c r="U1059" s="52"/>
      <c r="V1059" s="34"/>
      <c r="W1059" s="408"/>
    </row>
    <row r="1060" spans="1:23" ht="12.75" customHeight="1" x14ac:dyDescent="0.2">
      <c r="A1060" s="257">
        <v>1046</v>
      </c>
      <c r="B1060" s="44">
        <v>44466</v>
      </c>
      <c r="C1060" s="44">
        <f t="shared" si="49"/>
        <v>44466</v>
      </c>
      <c r="D1060" s="374">
        <v>100</v>
      </c>
      <c r="E1060" s="291" t="str">
        <f>IFERROR(VLOOKUP($D1060,'Clients-Live'!$A:$C,3,0),"")</f>
        <v>LETAYO DORCUS</v>
      </c>
      <c r="F1060" s="291">
        <f>IFERROR(INDEX(Disbursements!$D:$D,MATCH('Live Collections'!G1060,Disbursements!$C:$C,0)),"")</f>
        <v>2</v>
      </c>
      <c r="G1060" s="34">
        <v>184</v>
      </c>
      <c r="H1060" s="34"/>
      <c r="I1060" s="34" t="s">
        <v>1357</v>
      </c>
      <c r="J1060" s="48"/>
      <c r="K1060" s="48"/>
      <c r="L1060" s="48"/>
      <c r="M1060" s="48"/>
      <c r="N1060" s="59"/>
      <c r="O1060" s="59">
        <v>50000</v>
      </c>
      <c r="P1060" s="59"/>
      <c r="Q1060" s="268">
        <f t="shared" si="50"/>
        <v>50000</v>
      </c>
      <c r="R1060" s="61">
        <f>IF(O1060=0,0,SUMIFS(Disbursements!$T:$T,Disbursements!$B:$B,'Live Collections'!D1060,Disbursements!$D:$D,'Live Collections'!F1060))</f>
        <v>150000</v>
      </c>
      <c r="S1060" s="304">
        <f>IF(O1060&lt;=IF($O1060=0,0,SUMIFS(Disbursements!$W:$W,Disbursements!$B:$B,'Live Collections'!D1294,Disbursements!$D:$D,'Live Collections'!F1294)),O1060,IF($O1060=0,0,SUMIFS(Disbursements!$W:$W,Disbursements!$B:$B,'Live Collections'!D1294,Disbursements!$D:$D,'Live Collections'!F1294)))</f>
        <v>25666.666666666672</v>
      </c>
      <c r="T1060" s="304">
        <f t="shared" si="51"/>
        <v>24333.333333333328</v>
      </c>
      <c r="U1060" s="52"/>
      <c r="V1060" s="34"/>
      <c r="W1060" s="408"/>
    </row>
    <row r="1061" spans="1:23" ht="12.75" customHeight="1" x14ac:dyDescent="0.2">
      <c r="A1061" s="132">
        <v>1044</v>
      </c>
      <c r="B1061" s="44">
        <v>44466</v>
      </c>
      <c r="C1061" s="44">
        <f t="shared" si="49"/>
        <v>44466</v>
      </c>
      <c r="D1061" s="374">
        <v>109</v>
      </c>
      <c r="E1061" s="291" t="str">
        <f>IFERROR(VLOOKUP($D1061,'Clients-Live'!$A:$C,3,0),"")</f>
        <v>TABU KISA</v>
      </c>
      <c r="F1061" s="291">
        <f>IFERROR(INDEX(Disbursements!$D:$D,MATCH('Live Collections'!G1061,Disbursements!$C:$C,0)),"")</f>
        <v>1</v>
      </c>
      <c r="G1061" s="34">
        <v>93</v>
      </c>
      <c r="H1061" s="34"/>
      <c r="I1061" s="34" t="s">
        <v>1357</v>
      </c>
      <c r="J1061" s="48"/>
      <c r="K1061" s="48"/>
      <c r="L1061" s="48"/>
      <c r="M1061" s="48"/>
      <c r="N1061" s="59"/>
      <c r="O1061" s="59">
        <v>86000</v>
      </c>
      <c r="P1061" s="59"/>
      <c r="Q1061" s="268">
        <f t="shared" si="50"/>
        <v>86000</v>
      </c>
      <c r="R1061" s="61">
        <f>IF(O1061=0,0,SUMIFS(Disbursements!$T:$T,Disbursements!$B:$B,'Live Collections'!D1061,Disbursements!$D:$D,'Live Collections'!F1061))</f>
        <v>315000</v>
      </c>
      <c r="S1061" s="304"/>
      <c r="T1061" s="304">
        <v>56000</v>
      </c>
      <c r="U1061" s="52"/>
      <c r="V1061" s="34"/>
      <c r="W1061" s="408"/>
    </row>
    <row r="1062" spans="1:23" ht="12.75" customHeight="1" x14ac:dyDescent="0.2">
      <c r="A1062" s="257">
        <v>1058</v>
      </c>
      <c r="B1062" s="44">
        <v>44466</v>
      </c>
      <c r="C1062" s="44">
        <f t="shared" si="49"/>
        <v>44466</v>
      </c>
      <c r="D1062" s="374">
        <v>109</v>
      </c>
      <c r="E1062" s="291" t="str">
        <f>IFERROR(VLOOKUP($D1062,'Clients-Live'!$A:$C,3,0),"")</f>
        <v>TABU KISA</v>
      </c>
      <c r="F1062" s="291" t="str">
        <f>IFERROR(INDEX(Disbursements!$D:$D,MATCH('Live Collections'!G1062,Disbursements!$C:$C,0)),"")</f>
        <v/>
      </c>
      <c r="G1062" s="34"/>
      <c r="H1062" s="34"/>
      <c r="I1062" s="34" t="s">
        <v>1357</v>
      </c>
      <c r="J1062" s="48"/>
      <c r="K1062" s="48"/>
      <c r="L1062" s="48">
        <v>15000</v>
      </c>
      <c r="M1062" s="48">
        <v>5000</v>
      </c>
      <c r="N1062" s="59"/>
      <c r="O1062" s="59"/>
      <c r="P1062" s="59"/>
      <c r="Q1062" s="268">
        <f t="shared" si="50"/>
        <v>20000</v>
      </c>
      <c r="R1062" s="61">
        <f>IF(O1062=0,0,SUMIFS(Disbursements!$T:$T,Disbursements!$B:$B,'Live Collections'!D1062,Disbursements!$D:$D,'Live Collections'!F1062))</f>
        <v>0</v>
      </c>
      <c r="S1062" s="304">
        <f>IF(O1062&lt;=IF($O1062=0,0,SUMIFS(Disbursements!$W:$W,Disbursements!$B:$B,'Live Collections'!D1404,Disbursements!$D:$D,'Live Collections'!F1404)),O1062,IF($O1062=0,0,SUMIFS(Disbursements!$W:$W,Disbursements!$B:$B,'Live Collections'!D1404,Disbursements!$D:$D,'Live Collections'!F1404)))</f>
        <v>0</v>
      </c>
      <c r="T1062" s="304">
        <f t="shared" si="51"/>
        <v>0</v>
      </c>
      <c r="U1062" s="52"/>
      <c r="V1062" s="34"/>
      <c r="W1062" s="408"/>
    </row>
    <row r="1063" spans="1:23" ht="12.75" customHeight="1" x14ac:dyDescent="0.2">
      <c r="A1063" s="132">
        <v>1045</v>
      </c>
      <c r="B1063" s="44">
        <v>44466</v>
      </c>
      <c r="C1063" s="44">
        <f t="shared" si="49"/>
        <v>44466</v>
      </c>
      <c r="D1063" s="374">
        <v>111</v>
      </c>
      <c r="E1063" s="291" t="str">
        <f>IFERROR(VLOOKUP($D1063,'Clients-Live'!$A:$C,3,0),"")</f>
        <v>ANDAKU CHARLES JULIAN</v>
      </c>
      <c r="F1063" s="291">
        <f>IFERROR(INDEX(Disbursements!$D:$D,MATCH('Live Collections'!G1063,Disbursements!$C:$C,0)),"")</f>
        <v>1</v>
      </c>
      <c r="G1063" s="34">
        <v>94</v>
      </c>
      <c r="H1063" s="34"/>
      <c r="I1063" s="34" t="s">
        <v>1357</v>
      </c>
      <c r="J1063" s="48"/>
      <c r="K1063" s="48"/>
      <c r="L1063" s="48"/>
      <c r="M1063" s="48"/>
      <c r="N1063" s="59"/>
      <c r="O1063" s="59">
        <v>171000</v>
      </c>
      <c r="P1063" s="59"/>
      <c r="Q1063" s="268">
        <f t="shared" si="50"/>
        <v>171000</v>
      </c>
      <c r="R1063" s="61">
        <f>IF(O1063=0,0,SUMIFS(Disbursements!$T:$T,Disbursements!$B:$B,'Live Collections'!D1063,Disbursements!$D:$D,'Live Collections'!F1063))</f>
        <v>164000</v>
      </c>
      <c r="S1063" s="64">
        <v>30666.666666666657</v>
      </c>
      <c r="T1063" s="304">
        <f t="shared" si="51"/>
        <v>140333.33333333334</v>
      </c>
      <c r="U1063" s="52"/>
      <c r="V1063" s="34"/>
      <c r="W1063" s="408"/>
    </row>
    <row r="1064" spans="1:23" ht="12.75" customHeight="1" x14ac:dyDescent="0.2">
      <c r="A1064" s="257">
        <v>1057</v>
      </c>
      <c r="B1064" s="44">
        <v>44466</v>
      </c>
      <c r="C1064" s="44">
        <f t="shared" si="49"/>
        <v>44466</v>
      </c>
      <c r="D1064" s="374">
        <v>111</v>
      </c>
      <c r="E1064" s="291" t="str">
        <f>IFERROR(VLOOKUP($D1064,'Clients-Live'!$A:$C,3,0),"")</f>
        <v>ANDAKU CHARLES JULIAN</v>
      </c>
      <c r="F1064" s="291">
        <f>IFERROR(INDEX(Disbursements!$D:$D,MATCH('Live Collections'!G1064,Disbursements!$C:$C,0)),"")</f>
        <v>2</v>
      </c>
      <c r="G1064" s="34">
        <v>236</v>
      </c>
      <c r="H1064" s="34">
        <v>2589</v>
      </c>
      <c r="I1064" s="34" t="s">
        <v>1357</v>
      </c>
      <c r="J1064" s="48"/>
      <c r="K1064" s="48"/>
      <c r="L1064" s="48">
        <v>15000</v>
      </c>
      <c r="M1064" s="48">
        <v>5000</v>
      </c>
      <c r="N1064" s="59"/>
      <c r="O1064" s="59"/>
      <c r="P1064" s="59">
        <v>55000</v>
      </c>
      <c r="Q1064" s="268">
        <f t="shared" si="50"/>
        <v>75000</v>
      </c>
      <c r="R1064" s="61">
        <f>IF(O1064=0,0,SUMIFS(Disbursements!$T:$T,Disbursements!$B:$B,'Live Collections'!D1064,Disbursements!$D:$D,'Live Collections'!F1064))</f>
        <v>0</v>
      </c>
      <c r="S1064" s="304">
        <f>IF(O1064&lt;=IF($O1064=0,0,SUMIFS(Disbursements!$W:$W,Disbursements!$B:$B,'Live Collections'!D1417,Disbursements!$D:$D,'Live Collections'!F1417)),O1064,IF($O1064=0,0,SUMIFS(Disbursements!$W:$W,Disbursements!$B:$B,'Live Collections'!D1417,Disbursements!$D:$D,'Live Collections'!F1417)))</f>
        <v>0</v>
      </c>
      <c r="T1064" s="304">
        <f t="shared" si="51"/>
        <v>0</v>
      </c>
      <c r="U1064" s="52"/>
      <c r="V1064" s="34"/>
      <c r="W1064" s="408"/>
    </row>
    <row r="1065" spans="1:23" ht="12.75" customHeight="1" x14ac:dyDescent="0.2">
      <c r="A1065" s="132">
        <v>1051</v>
      </c>
      <c r="B1065" s="44">
        <v>44466</v>
      </c>
      <c r="C1065" s="44">
        <f t="shared" si="49"/>
        <v>44466</v>
      </c>
      <c r="D1065" s="374">
        <v>121</v>
      </c>
      <c r="E1065" s="291" t="str">
        <f>IFERROR(VLOOKUP($D1065,'Clients-Live'!$A:$C,3,0),"")</f>
        <v>AMAYO CHARLES</v>
      </c>
      <c r="F1065" s="291">
        <f>IFERROR(INDEX(Disbursements!$D:$D,MATCH('Live Collections'!G1065,Disbursements!$C:$C,0)),"")</f>
        <v>1</v>
      </c>
      <c r="G1065" s="34">
        <v>105</v>
      </c>
      <c r="H1065" s="34"/>
      <c r="I1065" s="34" t="s">
        <v>1358</v>
      </c>
      <c r="J1065" s="48"/>
      <c r="K1065" s="48"/>
      <c r="L1065" s="48"/>
      <c r="M1065" s="48"/>
      <c r="N1065" s="59"/>
      <c r="O1065" s="59">
        <v>100000</v>
      </c>
      <c r="P1065" s="59"/>
      <c r="Q1065" s="268">
        <f t="shared" si="50"/>
        <v>100000</v>
      </c>
      <c r="R1065" s="61">
        <f>IF(O1065=0,0,SUMIFS(Disbursements!$T:$T,Disbursements!$B:$B,'Live Collections'!D1065,Disbursements!$D:$D,'Live Collections'!F1065))</f>
        <v>240000</v>
      </c>
      <c r="S1065" s="304">
        <f>IF(O1065&lt;=IF($O1065=0,0,SUMIFS(Disbursements!$W:$W,Disbursements!$B:$B,'Live Collections'!D1555,Disbursements!$D:$D,'Live Collections'!F1555)),O1065,IF($O1065=0,0,SUMIFS(Disbursements!$W:$W,Disbursements!$B:$B,'Live Collections'!D1555,Disbursements!$D:$D,'Live Collections'!F1555)))</f>
        <v>30000</v>
      </c>
      <c r="T1065" s="304">
        <f t="shared" si="51"/>
        <v>70000</v>
      </c>
      <c r="U1065" s="52"/>
      <c r="V1065" s="34"/>
      <c r="W1065" s="408"/>
    </row>
    <row r="1066" spans="1:23" ht="12.75" customHeight="1" x14ac:dyDescent="0.2">
      <c r="A1066" s="257">
        <v>1036</v>
      </c>
      <c r="B1066" s="44">
        <v>44466</v>
      </c>
      <c r="C1066" s="44">
        <f t="shared" si="49"/>
        <v>44466</v>
      </c>
      <c r="D1066" s="374">
        <v>127</v>
      </c>
      <c r="E1066" s="291" t="str">
        <f>IFERROR(VLOOKUP($D1066,'Clients-Live'!$A:$C,3,0),"")</f>
        <v>TIKO RUKIA</v>
      </c>
      <c r="F1066" s="291">
        <f>IFERROR(INDEX(Disbursements!$D:$D,MATCH('Live Collections'!G1066,Disbursements!$C:$C,0)),"")</f>
        <v>1</v>
      </c>
      <c r="G1066" s="34">
        <v>110</v>
      </c>
      <c r="H1066" s="34"/>
      <c r="I1066" s="34" t="s">
        <v>1358</v>
      </c>
      <c r="J1066" s="48"/>
      <c r="K1066" s="48"/>
      <c r="L1066" s="48"/>
      <c r="M1066" s="48"/>
      <c r="N1066" s="59"/>
      <c r="O1066" s="59">
        <v>100000</v>
      </c>
      <c r="P1066" s="59"/>
      <c r="Q1066" s="268">
        <f t="shared" si="50"/>
        <v>100000</v>
      </c>
      <c r="R1066" s="61">
        <f>IF(O1066=0,0,SUMIFS(Disbursements!$T:$T,Disbursements!$B:$B,'Live Collections'!D1066,Disbursements!$D:$D,'Live Collections'!F1066))</f>
        <v>154000</v>
      </c>
      <c r="S1066" s="304"/>
      <c r="T1066" s="304">
        <f t="shared" si="51"/>
        <v>100000</v>
      </c>
      <c r="U1066" s="52"/>
      <c r="V1066" s="34"/>
      <c r="W1066" s="408"/>
    </row>
    <row r="1067" spans="1:23" ht="12.75" customHeight="1" x14ac:dyDescent="0.2">
      <c r="A1067" s="132">
        <v>1034</v>
      </c>
      <c r="B1067" s="44">
        <v>44466</v>
      </c>
      <c r="C1067" s="44">
        <f t="shared" si="49"/>
        <v>44466</v>
      </c>
      <c r="D1067" s="374">
        <v>133</v>
      </c>
      <c r="E1067" s="291" t="str">
        <f>IFERROR(VLOOKUP($D1067,'Clients-Live'!$A:$C,3,0),"")</f>
        <v>JABE MARY</v>
      </c>
      <c r="F1067" s="291">
        <f>IFERROR(INDEX(Disbursements!$D:$D,MATCH('Live Collections'!G1067,Disbursements!$C:$C,0)),"")</f>
        <v>1</v>
      </c>
      <c r="G1067" s="34">
        <v>116</v>
      </c>
      <c r="H1067" s="34"/>
      <c r="I1067" s="34" t="s">
        <v>1359</v>
      </c>
      <c r="J1067" s="48"/>
      <c r="K1067" s="48"/>
      <c r="L1067" s="48"/>
      <c r="M1067" s="48"/>
      <c r="N1067" s="59"/>
      <c r="O1067" s="59">
        <v>45000</v>
      </c>
      <c r="P1067" s="59"/>
      <c r="Q1067" s="268">
        <f t="shared" si="50"/>
        <v>45000</v>
      </c>
      <c r="R1067" s="61">
        <f>IF(O1067=0,0,SUMIFS(Disbursements!$T:$T,Disbursements!$B:$B,'Live Collections'!D1067,Disbursements!$D:$D,'Live Collections'!F1067))</f>
        <v>125000</v>
      </c>
      <c r="S1067" s="304">
        <f>IF(O1067&lt;=IF($O1067=0,0,SUMIFS(Disbursements!$W:$W,Disbursements!$B:$B,'Live Collections'!D1677,Disbursements!$D:$D,'Live Collections'!F1677)),O1067,IF($O1067=0,0,SUMIFS(Disbursements!$W:$W,Disbursements!$B:$B,'Live Collections'!D1677,Disbursements!$D:$D,'Live Collections'!F1677)))</f>
        <v>0</v>
      </c>
      <c r="T1067" s="304">
        <f t="shared" si="51"/>
        <v>45000</v>
      </c>
      <c r="U1067" s="52"/>
      <c r="V1067" s="34"/>
      <c r="W1067" s="408"/>
    </row>
    <row r="1068" spans="1:23" ht="12.75" customHeight="1" x14ac:dyDescent="0.2">
      <c r="A1068" s="257">
        <v>1039</v>
      </c>
      <c r="B1068" s="44">
        <v>44466</v>
      </c>
      <c r="C1068" s="44">
        <f t="shared" si="49"/>
        <v>44466</v>
      </c>
      <c r="D1068" s="374">
        <v>134</v>
      </c>
      <c r="E1068" s="291" t="str">
        <f>IFERROR(VLOOKUP($D1068,'Clients-Live'!$A:$C,3,0),"")</f>
        <v>TABU NATALIYA</v>
      </c>
      <c r="F1068" s="291">
        <f>IFERROR(INDEX(Disbursements!$D:$D,MATCH('Live Collections'!G1068,Disbursements!$C:$C,0)),"")</f>
        <v>1</v>
      </c>
      <c r="G1068" s="34">
        <v>117</v>
      </c>
      <c r="H1068" s="34"/>
      <c r="I1068" s="34" t="s">
        <v>1359</v>
      </c>
      <c r="J1068" s="48"/>
      <c r="K1068" s="48"/>
      <c r="L1068" s="48"/>
      <c r="M1068" s="48"/>
      <c r="N1068" s="59"/>
      <c r="O1068" s="59">
        <v>40000</v>
      </c>
      <c r="P1068" s="59"/>
      <c r="Q1068" s="268">
        <f t="shared" si="50"/>
        <v>40000</v>
      </c>
      <c r="R1068" s="61">
        <f>IF(O1068=0,0,SUMIFS(Disbursements!$T:$T,Disbursements!$B:$B,'Live Collections'!D1068,Disbursements!$D:$D,'Live Collections'!F1068))</f>
        <v>120000</v>
      </c>
      <c r="S1068" s="304">
        <f>IF(O1068&lt;=IF($O1068=0,0,SUMIFS(Disbursements!$W:$W,Disbursements!$B:$B,'Live Collections'!D2406,Disbursements!$D:$D,'Live Collections'!F2406)),O1068,IF($O1068=0,0,SUMIFS(Disbursements!$W:$W,Disbursements!$B:$B,'Live Collections'!D2406,Disbursements!$D:$D,'Live Collections'!F2406)))</f>
        <v>15000</v>
      </c>
      <c r="T1068" s="304">
        <f t="shared" si="51"/>
        <v>25000</v>
      </c>
      <c r="U1068" s="52"/>
      <c r="V1068" s="34"/>
      <c r="W1068" s="408"/>
    </row>
    <row r="1069" spans="1:23" ht="12.75" customHeight="1" x14ac:dyDescent="0.2">
      <c r="A1069" s="132">
        <v>1060</v>
      </c>
      <c r="B1069" s="44">
        <v>44466</v>
      </c>
      <c r="C1069" s="44">
        <f t="shared" si="49"/>
        <v>44466</v>
      </c>
      <c r="D1069" s="374">
        <v>136</v>
      </c>
      <c r="E1069" s="291" t="str">
        <f>IFERROR(VLOOKUP($D1069,'Clients-Live'!$A:$C,3,0),"")</f>
        <v>LEMERIGA GODWILL JOSEPH</v>
      </c>
      <c r="F1069" s="291" t="str">
        <f>IFERROR(INDEX(Disbursements!$D:$D,MATCH('Live Collections'!G1069,Disbursements!$C:$C,0)),"")</f>
        <v/>
      </c>
      <c r="G1069" s="34"/>
      <c r="H1069" s="34"/>
      <c r="I1069" s="34" t="s">
        <v>1357</v>
      </c>
      <c r="J1069" s="48"/>
      <c r="K1069" s="48"/>
      <c r="L1069" s="48"/>
      <c r="M1069" s="48"/>
      <c r="N1069" s="59"/>
      <c r="O1069" s="59"/>
      <c r="P1069" s="59">
        <v>15000</v>
      </c>
      <c r="Q1069" s="268">
        <f t="shared" si="50"/>
        <v>15000</v>
      </c>
      <c r="R1069" s="61">
        <f>IF(O1069=0,0,SUMIFS(Disbursements!$T:$T,Disbursements!$B:$B,'Live Collections'!D1069,Disbursements!$D:$D,'Live Collections'!F1069))</f>
        <v>0</v>
      </c>
      <c r="S1069" s="304">
        <f>IF(O1069&lt;=IF($O1069=0,0,SUMIFS(Disbursements!$W:$W,Disbursements!$B:$B,'Live Collections'!D1719,Disbursements!$D:$D,'Live Collections'!F1719)),O1069,IF($O1069=0,0,SUMIFS(Disbursements!$W:$W,Disbursements!$B:$B,'Live Collections'!D1719,Disbursements!$D:$D,'Live Collections'!F1719)))</f>
        <v>0</v>
      </c>
      <c r="T1069" s="304">
        <f t="shared" si="51"/>
        <v>0</v>
      </c>
      <c r="U1069" s="52"/>
      <c r="V1069" s="34"/>
      <c r="W1069" s="408"/>
    </row>
    <row r="1070" spans="1:23" ht="12.75" customHeight="1" x14ac:dyDescent="0.2">
      <c r="A1070" s="257">
        <v>1035</v>
      </c>
      <c r="B1070" s="44">
        <v>44466</v>
      </c>
      <c r="C1070" s="44">
        <f t="shared" si="49"/>
        <v>44466</v>
      </c>
      <c r="D1070" s="374">
        <v>138</v>
      </c>
      <c r="E1070" s="291" t="str">
        <f>IFERROR(VLOOKUP($D1070,'Clients-Live'!$A:$C,3,0),"")</f>
        <v>BEATRICE AMANDRU</v>
      </c>
      <c r="F1070" s="291">
        <f>IFERROR(INDEX(Disbursements!$D:$D,MATCH('Live Collections'!G1070,Disbursements!$C:$C,0)),"")</f>
        <v>1</v>
      </c>
      <c r="G1070" s="34">
        <v>126</v>
      </c>
      <c r="H1070" s="34"/>
      <c r="I1070" s="34" t="s">
        <v>1357</v>
      </c>
      <c r="J1070" s="48"/>
      <c r="K1070" s="48"/>
      <c r="L1070" s="48"/>
      <c r="M1070" s="48"/>
      <c r="N1070" s="59"/>
      <c r="O1070" s="59">
        <v>60000</v>
      </c>
      <c r="P1070" s="59"/>
      <c r="Q1070" s="268">
        <f t="shared" si="50"/>
        <v>60000</v>
      </c>
      <c r="R1070" s="61">
        <f>IF(O1070=0,0,SUMIFS(Disbursements!$T:$T,Disbursements!$B:$B,'Live Collections'!D1070,Disbursements!$D:$D,'Live Collections'!F1070))</f>
        <v>230000</v>
      </c>
      <c r="S1070" s="304"/>
      <c r="T1070" s="304">
        <f t="shared" si="51"/>
        <v>60000</v>
      </c>
      <c r="U1070" s="52"/>
      <c r="V1070" s="34"/>
      <c r="W1070" s="408"/>
    </row>
    <row r="1071" spans="1:23" ht="12.75" customHeight="1" x14ac:dyDescent="0.2">
      <c r="A1071" s="132">
        <v>1054</v>
      </c>
      <c r="B1071" s="44">
        <v>44466</v>
      </c>
      <c r="C1071" s="44">
        <f t="shared" si="49"/>
        <v>44466</v>
      </c>
      <c r="D1071" s="374">
        <v>138</v>
      </c>
      <c r="E1071" s="291" t="str">
        <f>IFERROR(VLOOKUP($D1071,'Clients-Live'!$A:$C,3,0),"")</f>
        <v>BEATRICE AMANDRU</v>
      </c>
      <c r="F1071" s="291" t="str">
        <f>IFERROR(INDEX(Disbursements!$D:$D,MATCH('Live Collections'!G1071,Disbursements!$C:$C,0)),"")</f>
        <v/>
      </c>
      <c r="G1071" s="34"/>
      <c r="H1071" s="34"/>
      <c r="I1071" s="34" t="s">
        <v>1357</v>
      </c>
      <c r="J1071" s="48"/>
      <c r="K1071" s="48"/>
      <c r="L1071" s="48">
        <v>15000</v>
      </c>
      <c r="M1071" s="48">
        <v>5000</v>
      </c>
      <c r="N1071" s="59"/>
      <c r="O1071" s="59"/>
      <c r="P1071" s="59"/>
      <c r="Q1071" s="268">
        <f t="shared" si="50"/>
        <v>20000</v>
      </c>
      <c r="R1071" s="61">
        <f>IF(O1071=0,0,SUMIFS(Disbursements!$T:$T,Disbursements!$B:$B,'Live Collections'!D1071,Disbursements!$D:$D,'Live Collections'!F1071))</f>
        <v>0</v>
      </c>
      <c r="S1071" s="304">
        <f>IF(O1071&lt;=IF($O1071=0,0,SUMIFS(Disbursements!$W:$W,Disbursements!$B:$B,'Live Collections'!D1744,Disbursements!$D:$D,'Live Collections'!F1744)),O1071,IF($O1071=0,0,SUMIFS(Disbursements!$W:$W,Disbursements!$B:$B,'Live Collections'!D1744,Disbursements!$D:$D,'Live Collections'!F1744)))</f>
        <v>0</v>
      </c>
      <c r="T1071" s="304">
        <f t="shared" si="51"/>
        <v>0</v>
      </c>
      <c r="U1071" s="52"/>
      <c r="V1071" s="34"/>
      <c r="W1071" s="408"/>
    </row>
    <row r="1072" spans="1:23" ht="12.75" customHeight="1" x14ac:dyDescent="0.2">
      <c r="A1072" s="257">
        <v>1041</v>
      </c>
      <c r="B1072" s="44">
        <v>44466</v>
      </c>
      <c r="C1072" s="44">
        <f t="shared" si="49"/>
        <v>44466</v>
      </c>
      <c r="D1072" s="374">
        <v>169</v>
      </c>
      <c r="E1072" s="291" t="str">
        <f>IFERROR(VLOOKUP($D1072,'Clients-Live'!$A:$C,3,0),"")</f>
        <v>KATO KENNEDY</v>
      </c>
      <c r="F1072" s="291">
        <f>IFERROR(INDEX(Disbursements!$D:$D,MATCH('Live Collections'!G1072,Disbursements!$C:$C,0)),"")</f>
        <v>1</v>
      </c>
      <c r="G1072" s="34">
        <v>176</v>
      </c>
      <c r="H1072" s="34">
        <v>2581</v>
      </c>
      <c r="I1072" s="34" t="s">
        <v>1357</v>
      </c>
      <c r="J1072" s="48"/>
      <c r="K1072" s="48"/>
      <c r="L1072" s="48"/>
      <c r="M1072" s="48"/>
      <c r="N1072" s="59"/>
      <c r="O1072" s="59">
        <v>100000</v>
      </c>
      <c r="P1072" s="59"/>
      <c r="Q1072" s="268">
        <f t="shared" si="50"/>
        <v>100000</v>
      </c>
      <c r="R1072" s="61">
        <f>IF(O1072=0,0,SUMIFS(Disbursements!$T:$T,Disbursements!$B:$B,'Live Collections'!D1072,Disbursements!$D:$D,'Live Collections'!F1072))</f>
        <v>109000</v>
      </c>
      <c r="S1072" s="304">
        <f>IF(O1072&lt;=IF($O1072=0,0,SUMIFS(Disbursements!$W:$W,Disbursements!$B:$B,'Live Collections'!D2083,Disbursements!$D:$D,'Live Collections'!F2083)),O1072,IF($O1072=0,0,SUMIFS(Disbursements!$W:$W,Disbursements!$B:$B,'Live Collections'!D2083,Disbursements!$D:$D,'Live Collections'!F2083)))</f>
        <v>25666.666666666672</v>
      </c>
      <c r="T1072" s="304">
        <f t="shared" si="51"/>
        <v>74333.333333333328</v>
      </c>
      <c r="U1072" s="52"/>
      <c r="V1072" s="34"/>
      <c r="W1072" s="408"/>
    </row>
    <row r="1073" spans="1:23" ht="12.75" customHeight="1" x14ac:dyDescent="0.2">
      <c r="A1073" s="132">
        <v>1033</v>
      </c>
      <c r="B1073" s="44">
        <v>44466</v>
      </c>
      <c r="C1073" s="44">
        <f t="shared" si="49"/>
        <v>44466</v>
      </c>
      <c r="D1073" s="374">
        <v>181</v>
      </c>
      <c r="E1073" s="291" t="str">
        <f>IFERROR(VLOOKUP($D1073,'Clients-Live'!$A:$C,3,0),"")</f>
        <v>LEKURU CHRISTINE</v>
      </c>
      <c r="F1073" s="291">
        <f>IFERROR(INDEX(Disbursements!$D:$D,MATCH('Live Collections'!G1073,Disbursements!$C:$C,0)),"")</f>
        <v>1</v>
      </c>
      <c r="G1073" s="34">
        <v>168</v>
      </c>
      <c r="H1073" s="34"/>
      <c r="I1073" s="34" t="s">
        <v>1358</v>
      </c>
      <c r="J1073" s="48"/>
      <c r="K1073" s="48"/>
      <c r="L1073" s="48"/>
      <c r="M1073" s="48"/>
      <c r="N1073" s="59"/>
      <c r="O1073" s="59">
        <v>100000</v>
      </c>
      <c r="P1073" s="59"/>
      <c r="Q1073" s="268">
        <f t="shared" si="50"/>
        <v>100000</v>
      </c>
      <c r="R1073" s="61">
        <f>IF(O1073=0,0,SUMIFS(Disbursements!$T:$T,Disbursements!$B:$B,'Live Collections'!D1073,Disbursements!$D:$D,'Live Collections'!F1073))</f>
        <v>115000</v>
      </c>
      <c r="S1073" s="304">
        <f>IF(O1073&lt;=IF($O1073=0,0,SUMIFS(Disbursements!$W:$W,Disbursements!$B:$B,'Live Collections'!D2210,Disbursements!$D:$D,'Live Collections'!F2210)),O1073,IF($O1073=0,0,SUMIFS(Disbursements!$W:$W,Disbursements!$B:$B,'Live Collections'!D2210,Disbursements!$D:$D,'Live Collections'!F2210)))</f>
        <v>50333.333333333343</v>
      </c>
      <c r="T1073" s="304">
        <f t="shared" si="51"/>
        <v>49666.666666666657</v>
      </c>
      <c r="U1073" s="52"/>
      <c r="V1073" s="34"/>
      <c r="W1073" s="408"/>
    </row>
    <row r="1074" spans="1:23" ht="12.75" customHeight="1" x14ac:dyDescent="0.2">
      <c r="A1074" s="257">
        <v>1048</v>
      </c>
      <c r="B1074" s="44">
        <v>44466</v>
      </c>
      <c r="C1074" s="44">
        <f t="shared" si="49"/>
        <v>44466</v>
      </c>
      <c r="D1074" s="374">
        <v>194</v>
      </c>
      <c r="E1074" s="291" t="str">
        <f>IFERROR(VLOOKUP($D1074,'Clients-Live'!$A:$C,3,0),"")</f>
        <v>NYOLA SHERIFA AHMED</v>
      </c>
      <c r="F1074" s="291">
        <f>IFERROR(INDEX(Disbursements!$D:$D,MATCH('Live Collections'!G1074,Disbursements!$C:$C,0)),"")</f>
        <v>1</v>
      </c>
      <c r="G1074" s="34">
        <v>186</v>
      </c>
      <c r="H1074" s="34">
        <v>2572</v>
      </c>
      <c r="I1074" s="34" t="s">
        <v>1358</v>
      </c>
      <c r="J1074" s="48"/>
      <c r="K1074" s="48"/>
      <c r="L1074" s="48"/>
      <c r="M1074" s="48"/>
      <c r="N1074" s="59"/>
      <c r="O1074" s="59">
        <v>150000</v>
      </c>
      <c r="P1074" s="59"/>
      <c r="Q1074" s="268">
        <f t="shared" si="50"/>
        <v>150000</v>
      </c>
      <c r="R1074" s="61">
        <f>IF(O1074=0,0,SUMIFS(Disbursements!$T:$T,Disbursements!$B:$B,'Live Collections'!D1074,Disbursements!$D:$D,'Live Collections'!F1074))</f>
        <v>150000</v>
      </c>
      <c r="S1074" s="304">
        <f>IF(O1074&lt;=IF($O1074=0,0,SUMIFS(Disbursements!$W:$W,Disbursements!$B:$B,'Live Collections'!D2717,Disbursements!$D:$D,'Live Collections'!F2717)),O1074,IF($O1074=0,0,SUMIFS(Disbursements!$W:$W,Disbursements!$B:$B,'Live Collections'!D2717,Disbursements!$D:$D,'Live Collections'!F2717)))</f>
        <v>8750</v>
      </c>
      <c r="T1074" s="304">
        <f t="shared" si="51"/>
        <v>141250</v>
      </c>
      <c r="U1074" s="52"/>
      <c r="V1074" s="34"/>
      <c r="W1074" s="408"/>
    </row>
    <row r="1075" spans="1:23" ht="12.75" customHeight="1" x14ac:dyDescent="0.2">
      <c r="A1075" s="132">
        <v>1055</v>
      </c>
      <c r="B1075" s="44">
        <v>44466</v>
      </c>
      <c r="C1075" s="44">
        <f t="shared" si="49"/>
        <v>44466</v>
      </c>
      <c r="D1075" s="374">
        <v>227</v>
      </c>
      <c r="E1075" s="291" t="str">
        <f>IFERROR(VLOOKUP($D1075,'Clients-Live'!$A:$C,3,0),"")</f>
        <v>MUZEE OBEN SAM</v>
      </c>
      <c r="F1075" s="291" t="str">
        <f>IFERROR(INDEX(Disbursements!$D:$D,MATCH('Live Collections'!G1075,Disbursements!$C:$C,0)),"")</f>
        <v/>
      </c>
      <c r="G1075" s="34"/>
      <c r="H1075" s="34"/>
      <c r="I1075" s="34" t="s">
        <v>1359</v>
      </c>
      <c r="J1075" s="48"/>
      <c r="K1075" s="48"/>
      <c r="L1075" s="48"/>
      <c r="M1075" s="48"/>
      <c r="N1075" s="59"/>
      <c r="O1075" s="59"/>
      <c r="P1075" s="59">
        <v>80000</v>
      </c>
      <c r="Q1075" s="268">
        <f t="shared" si="50"/>
        <v>80000</v>
      </c>
      <c r="R1075" s="61">
        <f>IF(O1075=0,0,SUMIFS(Disbursements!$T:$T,Disbursements!$B:$B,'Live Collections'!D1075,Disbursements!$D:$D,'Live Collections'!F1075))</f>
        <v>0</v>
      </c>
      <c r="S1075" s="304">
        <f>IF(O1075&lt;=IF($O1075=0,0,SUMIFS(Disbursements!$W:$W,Disbursements!$B:$B,'Live Collections'!D2634,Disbursements!$D:$D,'Live Collections'!F2634)),O1075,IF($O1075=0,0,SUMIFS(Disbursements!$W:$W,Disbursements!$B:$B,'Live Collections'!D2634,Disbursements!$D:$D,'Live Collections'!F2634)))</f>
        <v>0</v>
      </c>
      <c r="T1075" s="304">
        <f t="shared" si="51"/>
        <v>0</v>
      </c>
      <c r="U1075" s="52"/>
      <c r="V1075" s="34"/>
      <c r="W1075" s="408"/>
    </row>
    <row r="1076" spans="1:23" ht="12.75" customHeight="1" x14ac:dyDescent="0.2">
      <c r="A1076" s="257">
        <v>1056</v>
      </c>
      <c r="B1076" s="44">
        <v>44466</v>
      </c>
      <c r="C1076" s="44">
        <f t="shared" si="49"/>
        <v>44466</v>
      </c>
      <c r="D1076" s="374">
        <v>227</v>
      </c>
      <c r="E1076" s="291" t="str">
        <f>IFERROR(VLOOKUP($D1076,'Clients-Live'!$A:$C,3,0),"")</f>
        <v>MUZEE OBEN SAM</v>
      </c>
      <c r="F1076" s="291" t="str">
        <f>IFERROR(INDEX(Disbursements!$D:$D,MATCH('Live Collections'!G1076,Disbursements!$C:$C,0)),"")</f>
        <v/>
      </c>
      <c r="G1076" s="34"/>
      <c r="H1076" s="34"/>
      <c r="I1076" s="34" t="s">
        <v>1359</v>
      </c>
      <c r="J1076" s="48"/>
      <c r="K1076" s="48"/>
      <c r="L1076" s="48">
        <v>15000</v>
      </c>
      <c r="M1076" s="48">
        <v>5000</v>
      </c>
      <c r="N1076" s="59"/>
      <c r="O1076" s="59"/>
      <c r="P1076" s="59"/>
      <c r="Q1076" s="268">
        <f t="shared" si="50"/>
        <v>20000</v>
      </c>
      <c r="R1076" s="61">
        <f>IF(O1076=0,0,SUMIFS(Disbursements!$T:$T,Disbursements!$B:$B,'Live Collections'!D1076,Disbursements!$D:$D,'Live Collections'!F1076))</f>
        <v>0</v>
      </c>
      <c r="S1076" s="304">
        <f>IF(O1076&lt;=IF($O1076=0,0,SUMIFS(Disbursements!$W:$W,Disbursements!$B:$B,'Live Collections'!D2635,Disbursements!$D:$D,'Live Collections'!F2635)),O1076,IF($O1076=0,0,SUMIFS(Disbursements!$W:$W,Disbursements!$B:$B,'Live Collections'!D2635,Disbursements!$D:$D,'Live Collections'!F2635)))</f>
        <v>0</v>
      </c>
      <c r="T1076" s="304">
        <f t="shared" si="51"/>
        <v>0</v>
      </c>
      <c r="U1076" s="52"/>
      <c r="V1076" s="34"/>
      <c r="W1076" s="408"/>
    </row>
    <row r="1077" spans="1:23" ht="12.75" customHeight="1" x14ac:dyDescent="0.2">
      <c r="A1077" s="132">
        <v>1053</v>
      </c>
      <c r="B1077" s="44">
        <v>44466</v>
      </c>
      <c r="C1077" s="44">
        <f t="shared" si="49"/>
        <v>44466</v>
      </c>
      <c r="D1077" s="374">
        <v>228</v>
      </c>
      <c r="E1077" s="291" t="str">
        <f>IFERROR(VLOOKUP($D1077,'Clients-Live'!$A:$C,3,0),"")</f>
        <v>DADA ISAAC</v>
      </c>
      <c r="F1077" s="291" t="str">
        <f>IFERROR(INDEX(Disbursements!$D:$D,MATCH('Live Collections'!G1077,Disbursements!$C:$C,0)),"")</f>
        <v/>
      </c>
      <c r="G1077" s="34"/>
      <c r="H1077" s="34"/>
      <c r="I1077" s="34" t="s">
        <v>1358</v>
      </c>
      <c r="J1077" s="48">
        <v>15000</v>
      </c>
      <c r="K1077" s="48">
        <v>5000</v>
      </c>
      <c r="L1077" s="48">
        <v>20000</v>
      </c>
      <c r="M1077" s="48">
        <v>5000</v>
      </c>
      <c r="N1077" s="59"/>
      <c r="O1077" s="59"/>
      <c r="P1077" s="59">
        <v>200000</v>
      </c>
      <c r="Q1077" s="268">
        <f t="shared" si="50"/>
        <v>245000</v>
      </c>
      <c r="R1077" s="61">
        <f>IF(O1077=0,0,SUMIFS(Disbursements!$T:$T,Disbursements!$B:$B,'Live Collections'!D1077,Disbursements!$D:$D,'Live Collections'!F1077))</f>
        <v>0</v>
      </c>
      <c r="S1077" s="304">
        <f>IF(O1077&lt;=IF($O1077=0,0,SUMIFS(Disbursements!$W:$W,Disbursements!$B:$B,'Live Collections'!D2640,Disbursements!$D:$D,'Live Collections'!F2640)),O1077,IF($O1077=0,0,SUMIFS(Disbursements!$W:$W,Disbursements!$B:$B,'Live Collections'!D2640,Disbursements!$D:$D,'Live Collections'!F2640)))</f>
        <v>0</v>
      </c>
      <c r="T1077" s="304">
        <f t="shared" si="51"/>
        <v>0</v>
      </c>
      <c r="U1077" s="52"/>
      <c r="V1077" s="34"/>
      <c r="W1077" s="408"/>
    </row>
    <row r="1078" spans="1:23" ht="12.75" customHeight="1" x14ac:dyDescent="0.2">
      <c r="A1078" s="257">
        <v>1074</v>
      </c>
      <c r="B1078" s="44">
        <v>44467</v>
      </c>
      <c r="C1078" s="44">
        <f t="shared" si="49"/>
        <v>44467</v>
      </c>
      <c r="D1078" s="374">
        <v>23</v>
      </c>
      <c r="E1078" s="291" t="str">
        <f>IFERROR(VLOOKUP($D1078,'Clients-Live'!$A:$C,3,0),"")</f>
        <v>BADARU KEVIN ATELIONGA</v>
      </c>
      <c r="F1078" s="291">
        <f>IFERROR(INDEX(Disbursements!$D:$D,MATCH('Live Collections'!G1078,Disbursements!$C:$C,0)),"")</f>
        <v>2</v>
      </c>
      <c r="G1078" s="34">
        <v>190</v>
      </c>
      <c r="H1078" s="34"/>
      <c r="I1078" s="34" t="s">
        <v>1357</v>
      </c>
      <c r="J1078" s="48"/>
      <c r="K1078" s="48"/>
      <c r="L1078" s="48"/>
      <c r="M1078" s="48"/>
      <c r="N1078" s="59"/>
      <c r="O1078" s="59">
        <v>180000</v>
      </c>
      <c r="P1078" s="59"/>
      <c r="Q1078" s="268">
        <f t="shared" si="50"/>
        <v>180000</v>
      </c>
      <c r="R1078" s="61">
        <f>IF(O1078=0,0,SUMIFS(Disbursements!$T:$T,Disbursements!$B:$B,'Live Collections'!D1078,Disbursements!$D:$D,'Live Collections'!F1078))</f>
        <v>175000</v>
      </c>
      <c r="S1078" s="304">
        <f>IF(O1078&lt;=IF($O1078=0,0,SUMIFS(Disbursements!$W:$W,Disbursements!$B:$B,'Live Collections'!D316,Disbursements!$D:$D,'Live Collections'!F316)),O1078,IF($O1078=0,0,SUMIFS(Disbursements!$W:$W,Disbursements!$B:$B,'Live Collections'!D316,Disbursements!$D:$D,'Live Collections'!F316)))</f>
        <v>6000</v>
      </c>
      <c r="T1078" s="304">
        <f t="shared" si="51"/>
        <v>174000</v>
      </c>
      <c r="U1078" s="52"/>
      <c r="V1078" s="34"/>
      <c r="W1078" s="408"/>
    </row>
    <row r="1079" spans="1:23" ht="12.75" customHeight="1" x14ac:dyDescent="0.2">
      <c r="A1079" s="132">
        <v>1073</v>
      </c>
      <c r="B1079" s="44">
        <v>44467</v>
      </c>
      <c r="C1079" s="44">
        <f t="shared" si="49"/>
        <v>44467</v>
      </c>
      <c r="D1079" s="374">
        <v>76</v>
      </c>
      <c r="E1079" s="291" t="str">
        <f>IFERROR(VLOOKUP($D1079,'Clients-Live'!$A:$C,3,0),"")</f>
        <v>DAWA AISHA</v>
      </c>
      <c r="F1079" s="291">
        <f>IFERROR(INDEX(Disbursements!$D:$D,MATCH('Live Collections'!G1079,Disbursements!$C:$C,0)),"")</f>
        <v>2</v>
      </c>
      <c r="G1079" s="34">
        <v>187</v>
      </c>
      <c r="H1079" s="34"/>
      <c r="I1079" s="34" t="s">
        <v>1358</v>
      </c>
      <c r="J1079" s="48"/>
      <c r="K1079" s="48"/>
      <c r="L1079" s="48"/>
      <c r="M1079" s="48"/>
      <c r="N1079" s="59"/>
      <c r="O1079" s="59">
        <v>60000</v>
      </c>
      <c r="P1079" s="59"/>
      <c r="Q1079" s="268">
        <f t="shared" si="50"/>
        <v>60000</v>
      </c>
      <c r="R1079" s="61">
        <f>IF(O1079=0,0,SUMIFS(Disbursements!$T:$T,Disbursements!$B:$B,'Live Collections'!D1079,Disbursements!$D:$D,'Live Collections'!F1079))</f>
        <v>180000</v>
      </c>
      <c r="S1079" s="304">
        <f>IF(O1079&lt;=IF($O1079=0,0,SUMIFS(Disbursements!$W:$W,Disbursements!$B:$B,'Live Collections'!D975,Disbursements!$D:$D,'Live Collections'!F975)),O1079,IF($O1079=0,0,SUMIFS(Disbursements!$W:$W,Disbursements!$B:$B,'Live Collections'!D975,Disbursements!$D:$D,'Live Collections'!F975)))</f>
        <v>35000</v>
      </c>
      <c r="T1079" s="304">
        <f t="shared" si="51"/>
        <v>25000</v>
      </c>
      <c r="U1079" s="52"/>
      <c r="V1079" s="34"/>
      <c r="W1079" s="408"/>
    </row>
    <row r="1080" spans="1:23" ht="12.75" customHeight="1" x14ac:dyDescent="0.2">
      <c r="A1080" s="257">
        <v>1067</v>
      </c>
      <c r="B1080" s="44">
        <v>44467</v>
      </c>
      <c r="C1080" s="44">
        <f t="shared" si="49"/>
        <v>44467</v>
      </c>
      <c r="D1080" s="374">
        <v>83</v>
      </c>
      <c r="E1080" s="291" t="str">
        <f>IFERROR(VLOOKUP($D1080,'Clients-Live'!$A:$C,3,0),"")</f>
        <v>NEVER ZULAIKA</v>
      </c>
      <c r="F1080" s="291">
        <f>IFERROR(INDEX(Disbursements!$D:$D,MATCH('Live Collections'!G1080,Disbursements!$C:$C,0)),"")</f>
        <v>1</v>
      </c>
      <c r="G1080" s="34">
        <v>72</v>
      </c>
      <c r="H1080" s="34"/>
      <c r="I1080" s="34" t="s">
        <v>1358</v>
      </c>
      <c r="J1080" s="48"/>
      <c r="K1080" s="48"/>
      <c r="L1080" s="48"/>
      <c r="M1080" s="48"/>
      <c r="N1080" s="59"/>
      <c r="O1080" s="59">
        <v>120000</v>
      </c>
      <c r="P1080" s="59"/>
      <c r="Q1080" s="268">
        <f t="shared" si="50"/>
        <v>120000</v>
      </c>
      <c r="R1080" s="61">
        <f>IF(O1080=0,0,SUMIFS(Disbursements!$T:$T,Disbursements!$B:$B,'Live Collections'!D1080,Disbursements!$D:$D,'Live Collections'!F1080))</f>
        <v>120000</v>
      </c>
      <c r="S1080" s="304">
        <f>IF(O1080&lt;=IF($O1080=0,0,SUMIFS(Disbursements!$W:$W,Disbursements!$B:$B,'Live Collections'!D1069,Disbursements!$D:$D,'Live Collections'!F1069)),O1080,IF($O1080=0,0,SUMIFS(Disbursements!$W:$W,Disbursements!$B:$B,'Live Collections'!D1069,Disbursements!$D:$D,'Live Collections'!F1069)))</f>
        <v>0</v>
      </c>
      <c r="T1080" s="304">
        <f t="shared" si="51"/>
        <v>120000</v>
      </c>
      <c r="U1080" s="52"/>
      <c r="V1080" s="34"/>
      <c r="W1080" s="408"/>
    </row>
    <row r="1081" spans="1:23" ht="12.75" customHeight="1" x14ac:dyDescent="0.2">
      <c r="A1081" s="132">
        <v>1075</v>
      </c>
      <c r="B1081" s="44">
        <v>44467</v>
      </c>
      <c r="C1081" s="44">
        <f t="shared" si="49"/>
        <v>44467</v>
      </c>
      <c r="D1081" s="374">
        <v>94</v>
      </c>
      <c r="E1081" s="291" t="str">
        <f>IFERROR(VLOOKUP($D1081,'Clients-Live'!$A:$C,3,0),"")</f>
        <v>NGINYA RICHARD</v>
      </c>
      <c r="F1081" s="291">
        <f>IFERROR(INDEX(Disbursements!$D:$D,MATCH('Live Collections'!G1081,Disbursements!$C:$C,0)),"")</f>
        <v>1</v>
      </c>
      <c r="G1081" s="34">
        <v>84</v>
      </c>
      <c r="H1081" s="34"/>
      <c r="I1081" s="34" t="s">
        <v>1357</v>
      </c>
      <c r="J1081" s="48"/>
      <c r="K1081" s="48"/>
      <c r="L1081" s="48"/>
      <c r="M1081" s="48"/>
      <c r="N1081" s="59"/>
      <c r="O1081" s="59">
        <v>120000</v>
      </c>
      <c r="P1081" s="59"/>
      <c r="Q1081" s="268">
        <f t="shared" si="50"/>
        <v>120000</v>
      </c>
      <c r="R1081" s="61">
        <f>IF(O1081=0,0,SUMIFS(Disbursements!$T:$T,Disbursements!$B:$B,'Live Collections'!D1081,Disbursements!$D:$D,'Live Collections'!F1081))</f>
        <v>120000</v>
      </c>
      <c r="S1081" s="64">
        <v>4666.666666666657</v>
      </c>
      <c r="T1081" s="304">
        <f t="shared" si="51"/>
        <v>115333.33333333334</v>
      </c>
      <c r="U1081" s="52"/>
      <c r="V1081" s="34"/>
      <c r="W1081" s="408"/>
    </row>
    <row r="1082" spans="1:23" ht="12.75" customHeight="1" x14ac:dyDescent="0.2">
      <c r="A1082" s="257">
        <v>1064</v>
      </c>
      <c r="B1082" s="44">
        <v>44467</v>
      </c>
      <c r="C1082" s="44">
        <f t="shared" si="49"/>
        <v>44467</v>
      </c>
      <c r="D1082" s="374">
        <v>99</v>
      </c>
      <c r="E1082" s="291" t="str">
        <f>IFERROR(VLOOKUP($D1082,'Clients-Live'!$A:$C,3,0),"")</f>
        <v>SIJALI ASINA SIS</v>
      </c>
      <c r="F1082" s="291">
        <f>IFERROR(INDEX(Disbursements!$D:$D,MATCH('Live Collections'!G1082,Disbursements!$C:$C,0)),"")</f>
        <v>1</v>
      </c>
      <c r="G1082" s="34">
        <v>83</v>
      </c>
      <c r="H1082" s="34"/>
      <c r="I1082" s="34" t="s">
        <v>1358</v>
      </c>
      <c r="J1082" s="48"/>
      <c r="K1082" s="48"/>
      <c r="L1082" s="48"/>
      <c r="M1082" s="48"/>
      <c r="N1082" s="59"/>
      <c r="O1082" s="59">
        <v>150000</v>
      </c>
      <c r="P1082" s="59"/>
      <c r="Q1082" s="268">
        <f t="shared" si="50"/>
        <v>150000</v>
      </c>
      <c r="R1082" s="61">
        <f>IF(O1082=0,0,SUMIFS(Disbursements!$T:$T,Disbursements!$B:$B,'Live Collections'!D1082,Disbursements!$D:$D,'Live Collections'!F1082))</f>
        <v>150000</v>
      </c>
      <c r="S1082" s="304">
        <f>IF(O1082&lt;=IF($O1082=0,0,SUMIFS(Disbursements!$W:$W,Disbursements!$B:$B,'Live Collections'!D1279,Disbursements!$D:$D,'Live Collections'!F1279)),O1082,IF($O1082=0,0,SUMIFS(Disbursements!$W:$W,Disbursements!$B:$B,'Live Collections'!D1279,Disbursements!$D:$D,'Live Collections'!F1279)))</f>
        <v>4000</v>
      </c>
      <c r="T1082" s="304">
        <f t="shared" si="51"/>
        <v>146000</v>
      </c>
      <c r="U1082" s="52"/>
      <c r="V1082" s="34"/>
      <c r="W1082" s="408"/>
    </row>
    <row r="1083" spans="1:23" ht="12.75" customHeight="1" x14ac:dyDescent="0.2">
      <c r="A1083" s="132">
        <v>1062</v>
      </c>
      <c r="B1083" s="44">
        <v>44467</v>
      </c>
      <c r="C1083" s="44">
        <f t="shared" si="49"/>
        <v>44467</v>
      </c>
      <c r="D1083" s="374">
        <v>109</v>
      </c>
      <c r="E1083" s="291" t="str">
        <f>IFERROR(VLOOKUP($D1083,'Clients-Live'!$A:$C,3,0),"")</f>
        <v>TABU KISA</v>
      </c>
      <c r="F1083" s="291" t="str">
        <f>IFERROR(INDEX(Disbursements!$D:$D,MATCH('Live Collections'!G1083,Disbursements!$C:$C,0)),"")</f>
        <v/>
      </c>
      <c r="G1083" s="34"/>
      <c r="H1083" s="34"/>
      <c r="I1083" s="34" t="s">
        <v>1357</v>
      </c>
      <c r="J1083" s="48"/>
      <c r="K1083" s="48"/>
      <c r="L1083" s="48"/>
      <c r="M1083" s="48"/>
      <c r="N1083" s="59"/>
      <c r="O1083" s="59"/>
      <c r="P1083" s="59">
        <v>30000</v>
      </c>
      <c r="Q1083" s="268">
        <f t="shared" si="50"/>
        <v>30000</v>
      </c>
      <c r="R1083" s="61">
        <f>IF(O1083=0,0,SUMIFS(Disbursements!$T:$T,Disbursements!$B:$B,'Live Collections'!D1083,Disbursements!$D:$D,'Live Collections'!F1083))</f>
        <v>0</v>
      </c>
      <c r="S1083" s="304">
        <f>IF(O1083&lt;=IF($O1083=0,0,SUMIFS(Disbursements!$W:$W,Disbursements!$B:$B,'Live Collections'!D1405,Disbursements!$D:$D,'Live Collections'!F1405)),O1083,IF($O1083=0,0,SUMIFS(Disbursements!$W:$W,Disbursements!$B:$B,'Live Collections'!D1405,Disbursements!$D:$D,'Live Collections'!F1405)))</f>
        <v>0</v>
      </c>
      <c r="T1083" s="304">
        <f t="shared" si="51"/>
        <v>0</v>
      </c>
      <c r="U1083" s="52"/>
      <c r="V1083" s="34"/>
      <c r="W1083" s="408"/>
    </row>
    <row r="1084" spans="1:23" ht="12.75" customHeight="1" x14ac:dyDescent="0.2">
      <c r="A1084" s="257">
        <v>1070</v>
      </c>
      <c r="B1084" s="44">
        <v>44467</v>
      </c>
      <c r="C1084" s="44">
        <f t="shared" si="49"/>
        <v>44467</v>
      </c>
      <c r="D1084" s="374">
        <v>132</v>
      </c>
      <c r="E1084" s="291" t="str">
        <f>IFERROR(VLOOKUP($D1084,'Clients-Live'!$A:$C,3,0),"")</f>
        <v>MANIYO JOICE</v>
      </c>
      <c r="F1084" s="291">
        <f>IFERROR(INDEX(Disbursements!$D:$D,MATCH('Live Collections'!G1084,Disbursements!$C:$C,0)),"")</f>
        <v>1</v>
      </c>
      <c r="G1084" s="34">
        <v>134</v>
      </c>
      <c r="H1084" s="34"/>
      <c r="I1084" s="34" t="s">
        <v>1358</v>
      </c>
      <c r="J1084" s="48"/>
      <c r="K1084" s="48"/>
      <c r="L1084" s="48"/>
      <c r="M1084" s="48"/>
      <c r="N1084" s="59"/>
      <c r="O1084" s="59">
        <v>40000</v>
      </c>
      <c r="P1084" s="59"/>
      <c r="Q1084" s="268">
        <f t="shared" si="50"/>
        <v>40000</v>
      </c>
      <c r="R1084" s="61">
        <f>IF(O1084=0,0,SUMIFS(Disbursements!$T:$T,Disbursements!$B:$B,'Live Collections'!D1084,Disbursements!$D:$D,'Live Collections'!F1084))</f>
        <v>115000</v>
      </c>
      <c r="S1084" s="64">
        <v>-10000</v>
      </c>
      <c r="T1084" s="304">
        <f t="shared" si="51"/>
        <v>50000</v>
      </c>
      <c r="U1084" s="52"/>
      <c r="V1084" s="34"/>
      <c r="W1084" s="408"/>
    </row>
    <row r="1085" spans="1:23" ht="12.75" customHeight="1" x14ac:dyDescent="0.2">
      <c r="A1085" s="132">
        <v>1063</v>
      </c>
      <c r="B1085" s="44">
        <v>44467</v>
      </c>
      <c r="C1085" s="44">
        <f t="shared" si="49"/>
        <v>44467</v>
      </c>
      <c r="D1085" s="374">
        <v>140</v>
      </c>
      <c r="E1085" s="291" t="str">
        <f>IFERROR(VLOOKUP($D1085,'Clients-Live'!$A:$C,3,0),"")</f>
        <v>AYIKORU MARIAM</v>
      </c>
      <c r="F1085" s="291">
        <f>IFERROR(INDEX(Disbursements!$D:$D,MATCH('Live Collections'!G1085,Disbursements!$C:$C,0)),"")</f>
        <v>1</v>
      </c>
      <c r="G1085" s="34">
        <v>125</v>
      </c>
      <c r="H1085" s="34"/>
      <c r="I1085" s="34" t="s">
        <v>1358</v>
      </c>
      <c r="J1085" s="48"/>
      <c r="K1085" s="48"/>
      <c r="L1085" s="48"/>
      <c r="M1085" s="48"/>
      <c r="N1085" s="59"/>
      <c r="O1085" s="59">
        <v>50000</v>
      </c>
      <c r="P1085" s="59"/>
      <c r="Q1085" s="268">
        <f t="shared" si="50"/>
        <v>50000</v>
      </c>
      <c r="R1085" s="61">
        <f>IF(O1085=0,0,SUMIFS(Disbursements!$T:$T,Disbursements!$B:$B,'Live Collections'!D1085,Disbursements!$D:$D,'Live Collections'!F1085))</f>
        <v>192000</v>
      </c>
      <c r="S1085" s="304">
        <v>10333.333333333358</v>
      </c>
      <c r="T1085" s="304">
        <f t="shared" si="51"/>
        <v>39666.666666666642</v>
      </c>
      <c r="U1085" s="52"/>
      <c r="V1085" s="34"/>
      <c r="W1085" s="408"/>
    </row>
    <row r="1086" spans="1:23" ht="12.75" customHeight="1" x14ac:dyDescent="0.2">
      <c r="A1086" s="257">
        <v>1078</v>
      </c>
      <c r="B1086" s="44">
        <v>44467</v>
      </c>
      <c r="C1086" s="44">
        <f t="shared" si="49"/>
        <v>44467</v>
      </c>
      <c r="D1086" s="374">
        <v>144</v>
      </c>
      <c r="E1086" s="291" t="str">
        <f>IFERROR(VLOOKUP($D1086,'Clients-Live'!$A:$C,3,0),"")</f>
        <v>GBENINGA RUKIA</v>
      </c>
      <c r="F1086" s="291">
        <f>IFERROR(INDEX(Disbursements!$D:$D,MATCH('Live Collections'!G1086,Disbursements!$C:$C,0)),"")</f>
        <v>1</v>
      </c>
      <c r="G1086" s="34">
        <v>131</v>
      </c>
      <c r="H1086" s="34"/>
      <c r="I1086" s="34" t="s">
        <v>1359</v>
      </c>
      <c r="J1086" s="48"/>
      <c r="K1086" s="48"/>
      <c r="L1086" s="48"/>
      <c r="M1086" s="48"/>
      <c r="N1086" s="59"/>
      <c r="O1086" s="59">
        <v>60000</v>
      </c>
      <c r="P1086" s="59"/>
      <c r="Q1086" s="268">
        <f t="shared" si="50"/>
        <v>60000</v>
      </c>
      <c r="R1086" s="61">
        <f>IF(O1086=0,0,SUMIFS(Disbursements!$T:$T,Disbursements!$B:$B,'Live Collections'!D1086,Disbursements!$D:$D,'Live Collections'!F1086))</f>
        <v>125000</v>
      </c>
      <c r="S1086" s="304">
        <f>IF(O1086&lt;=IF($O1086=0,0,SUMIFS(Disbursements!$W:$W,Disbursements!$B:$B,'Live Collections'!D1819,Disbursements!$D:$D,'Live Collections'!F1819)),O1086,IF($O1086=0,0,SUMIFS(Disbursements!$W:$W,Disbursements!$B:$B,'Live Collections'!D1819,Disbursements!$D:$D,'Live Collections'!F1819)))</f>
        <v>60000</v>
      </c>
      <c r="T1086" s="304">
        <f t="shared" si="51"/>
        <v>0</v>
      </c>
      <c r="U1086" s="52"/>
      <c r="V1086" s="34"/>
      <c r="W1086" s="408"/>
    </row>
    <row r="1087" spans="1:23" ht="12.75" customHeight="1" x14ac:dyDescent="0.2">
      <c r="A1087" s="132">
        <v>1077</v>
      </c>
      <c r="B1087" s="44">
        <v>44467</v>
      </c>
      <c r="C1087" s="44">
        <f t="shared" si="49"/>
        <v>44467</v>
      </c>
      <c r="D1087" s="374">
        <v>145</v>
      </c>
      <c r="E1087" s="291" t="str">
        <f>IFERROR(VLOOKUP($D1087,'Clients-Live'!$A:$C,3,0),"")</f>
        <v>NIGHT ASARA</v>
      </c>
      <c r="F1087" s="291">
        <f>IFERROR(INDEX(Disbursements!$D:$D,MATCH('Live Collections'!G1087,Disbursements!$C:$C,0)),"")</f>
        <v>1</v>
      </c>
      <c r="G1087" s="34">
        <v>132</v>
      </c>
      <c r="H1087" s="34"/>
      <c r="I1087" s="34" t="s">
        <v>1357</v>
      </c>
      <c r="J1087" s="48"/>
      <c r="K1087" s="48"/>
      <c r="L1087" s="48"/>
      <c r="M1087" s="48"/>
      <c r="N1087" s="59"/>
      <c r="O1087" s="59">
        <v>50000</v>
      </c>
      <c r="P1087" s="59"/>
      <c r="Q1087" s="268">
        <f t="shared" si="50"/>
        <v>50000</v>
      </c>
      <c r="R1087" s="61">
        <f>IF(O1087=0,0,SUMIFS(Disbursements!$T:$T,Disbursements!$B:$B,'Live Collections'!D1087,Disbursements!$D:$D,'Live Collections'!F1087))</f>
        <v>120000</v>
      </c>
      <c r="S1087" s="304">
        <f>IF(O1087&lt;=IF($O1087=0,0,SUMIFS(Disbursements!$W:$W,Disbursements!$B:$B,'Live Collections'!D1829,Disbursements!$D:$D,'Live Collections'!F1829)),O1087,IF($O1087=0,0,SUMIFS(Disbursements!$W:$W,Disbursements!$B:$B,'Live Collections'!D1829,Disbursements!$D:$D,'Live Collections'!F1829)))</f>
        <v>15000</v>
      </c>
      <c r="T1087" s="304">
        <f t="shared" si="51"/>
        <v>35000</v>
      </c>
      <c r="U1087" s="52"/>
      <c r="V1087" s="34"/>
      <c r="W1087" s="408"/>
    </row>
    <row r="1088" spans="1:23" ht="12.75" customHeight="1" x14ac:dyDescent="0.2">
      <c r="A1088" s="257">
        <v>1068</v>
      </c>
      <c r="B1088" s="44">
        <v>44467</v>
      </c>
      <c r="C1088" s="44">
        <f t="shared" si="49"/>
        <v>44467</v>
      </c>
      <c r="D1088" s="374">
        <v>148</v>
      </c>
      <c r="E1088" s="291" t="str">
        <f>IFERROR(VLOOKUP($D1088,'Clients-Live'!$A:$C,3,0),"")</f>
        <v>GBOKA ZAIDA</v>
      </c>
      <c r="F1088" s="291">
        <f>IFERROR(INDEX(Disbursements!$D:$D,MATCH('Live Collections'!G1088,Disbursements!$C:$C,0)),"")</f>
        <v>1</v>
      </c>
      <c r="G1088" s="34">
        <v>135</v>
      </c>
      <c r="H1088" s="34"/>
      <c r="I1088" s="34" t="s">
        <v>1359</v>
      </c>
      <c r="J1088" s="48"/>
      <c r="K1088" s="48"/>
      <c r="L1088" s="48"/>
      <c r="M1088" s="48"/>
      <c r="N1088" s="59"/>
      <c r="O1088" s="59">
        <v>120000</v>
      </c>
      <c r="P1088" s="59"/>
      <c r="Q1088" s="268">
        <f t="shared" si="50"/>
        <v>120000</v>
      </c>
      <c r="R1088" s="61">
        <f>IF(O1088=0,0,SUMIFS(Disbursements!$T:$T,Disbursements!$B:$B,'Live Collections'!D1088,Disbursements!$D:$D,'Live Collections'!F1088))</f>
        <v>120000</v>
      </c>
      <c r="S1088" s="304">
        <f>IF(O1088&lt;=IF($O1088=0,0,SUMIFS(Disbursements!$W:$W,Disbursements!$B:$B,'Live Collections'!D1869,Disbursements!$D:$D,'Live Collections'!F1869)),O1088,IF($O1088=0,0,SUMIFS(Disbursements!$W:$W,Disbursements!$B:$B,'Live Collections'!D1869,Disbursements!$D:$D,'Live Collections'!F1869)))</f>
        <v>60000</v>
      </c>
      <c r="T1088" s="304">
        <f t="shared" si="51"/>
        <v>60000</v>
      </c>
      <c r="U1088" s="52"/>
      <c r="V1088" s="34"/>
      <c r="W1088" s="408"/>
    </row>
    <row r="1089" spans="1:23" ht="12.75" customHeight="1" x14ac:dyDescent="0.2">
      <c r="A1089" s="132">
        <v>1066</v>
      </c>
      <c r="B1089" s="44">
        <v>44467</v>
      </c>
      <c r="C1089" s="44">
        <f t="shared" si="49"/>
        <v>44467</v>
      </c>
      <c r="D1089" s="374">
        <v>177</v>
      </c>
      <c r="E1089" s="291" t="str">
        <f>IFERROR(VLOOKUP($D1089,'Clients-Live'!$A:$C,3,0),"")</f>
        <v>EFIT GIFT</v>
      </c>
      <c r="F1089" s="291">
        <f>IFERROR(INDEX(Disbursements!$D:$D,MATCH('Live Collections'!G1089,Disbursements!$C:$C,0)),"")</f>
        <v>1</v>
      </c>
      <c r="G1089" s="34">
        <v>183</v>
      </c>
      <c r="H1089" s="34"/>
      <c r="I1089" s="34" t="s">
        <v>1358</v>
      </c>
      <c r="J1089" s="48"/>
      <c r="K1089" s="48"/>
      <c r="L1089" s="48"/>
      <c r="M1089" s="48"/>
      <c r="N1089" s="59"/>
      <c r="O1089" s="59">
        <v>50000</v>
      </c>
      <c r="P1089" s="59"/>
      <c r="Q1089" s="268">
        <f t="shared" si="50"/>
        <v>50000</v>
      </c>
      <c r="R1089" s="61">
        <f>IF(O1089=0,0,SUMIFS(Disbursements!$T:$T,Disbursements!$B:$B,'Live Collections'!D1089,Disbursements!$D:$D,'Live Collections'!F1089))</f>
        <v>109000</v>
      </c>
      <c r="S1089" s="304">
        <f>IF(O1089&lt;=IF($O1089=0,0,SUMIFS(Disbursements!$W:$W,Disbursements!$B:$B,'Live Collections'!D2168,Disbursements!$D:$D,'Live Collections'!F2168)),O1089,IF($O1089=0,0,SUMIFS(Disbursements!$W:$W,Disbursements!$B:$B,'Live Collections'!D2168,Disbursements!$D:$D,'Live Collections'!F2168)))</f>
        <v>49333.333333333343</v>
      </c>
      <c r="T1089" s="304">
        <f t="shared" si="51"/>
        <v>666.66666666665697</v>
      </c>
      <c r="U1089" s="52"/>
      <c r="V1089" s="34"/>
      <c r="W1089" s="408"/>
    </row>
    <row r="1090" spans="1:23" ht="12.75" customHeight="1" x14ac:dyDescent="0.2">
      <c r="A1090" s="257">
        <v>1065</v>
      </c>
      <c r="B1090" s="44">
        <v>44467</v>
      </c>
      <c r="C1090" s="44">
        <f t="shared" si="49"/>
        <v>44467</v>
      </c>
      <c r="D1090" s="374">
        <v>180</v>
      </c>
      <c r="E1090" s="291" t="str">
        <f>IFERROR(VLOOKUP($D1090,'Clients-Live'!$A:$C,3,0),"")</f>
        <v>IJOSIGA ISMAIL</v>
      </c>
      <c r="F1090" s="291">
        <f>IFERROR(INDEX(Disbursements!$D:$D,MATCH('Live Collections'!G1090,Disbursements!$C:$C,0)),"")</f>
        <v>1</v>
      </c>
      <c r="G1090" s="34">
        <v>185</v>
      </c>
      <c r="H1090" s="34">
        <v>2653</v>
      </c>
      <c r="I1090" s="34" t="s">
        <v>1359</v>
      </c>
      <c r="J1090" s="48"/>
      <c r="K1090" s="48"/>
      <c r="L1090" s="48"/>
      <c r="M1090" s="48"/>
      <c r="N1090" s="59"/>
      <c r="O1090" s="59">
        <v>170000</v>
      </c>
      <c r="P1090" s="59"/>
      <c r="Q1090" s="268">
        <f t="shared" si="50"/>
        <v>170000</v>
      </c>
      <c r="R1090" s="61">
        <f>IF(O1090=0,0,SUMIFS(Disbursements!$T:$T,Disbursements!$B:$B,'Live Collections'!D1090,Disbursements!$D:$D,'Live Collections'!F1090))</f>
        <v>286000</v>
      </c>
      <c r="S1090" s="304">
        <f>IF(O1090&lt;=IF($O1090=0,0,SUMIFS(Disbursements!$W:$W,Disbursements!$B:$B,'Live Collections'!D2201,Disbursements!$D:$D,'Live Collections'!F2201)),O1090,IF($O1090=0,0,SUMIFS(Disbursements!$W:$W,Disbursements!$B:$B,'Live Collections'!D2201,Disbursements!$D:$D,'Live Collections'!F2201)))</f>
        <v>100666.66666666669</v>
      </c>
      <c r="T1090" s="304">
        <f t="shared" si="51"/>
        <v>69333.333333333314</v>
      </c>
      <c r="U1090" s="52"/>
      <c r="V1090" s="34"/>
      <c r="W1090" s="408"/>
    </row>
    <row r="1091" spans="1:23" ht="12.75" customHeight="1" x14ac:dyDescent="0.2">
      <c r="A1091" s="132">
        <v>1069</v>
      </c>
      <c r="B1091" s="44">
        <v>44467</v>
      </c>
      <c r="C1091" s="44">
        <f t="shared" si="49"/>
        <v>44467</v>
      </c>
      <c r="D1091" s="374">
        <v>196</v>
      </c>
      <c r="E1091" s="291" t="str">
        <f>IFERROR(VLOOKUP($D1091,'Clients-Live'!$A:$C,3,0),"")</f>
        <v>AKISU JOICE</v>
      </c>
      <c r="F1091" s="291">
        <f>IFERROR(INDEX(Disbursements!$D:$D,MATCH('Live Collections'!G1091,Disbursements!$C:$C,0)),"")</f>
        <v>1</v>
      </c>
      <c r="G1091" s="34">
        <v>189</v>
      </c>
      <c r="H1091" s="34"/>
      <c r="I1091" s="34" t="s">
        <v>1359</v>
      </c>
      <c r="J1091" s="48"/>
      <c r="K1091" s="48"/>
      <c r="L1091" s="48"/>
      <c r="M1091" s="48"/>
      <c r="N1091" s="59"/>
      <c r="O1091" s="59">
        <v>180000</v>
      </c>
      <c r="P1091" s="59"/>
      <c r="Q1091" s="268">
        <f t="shared" si="50"/>
        <v>180000</v>
      </c>
      <c r="R1091" s="61">
        <f>IF(O1091=0,0,SUMIFS(Disbursements!$T:$T,Disbursements!$B:$B,'Live Collections'!D1091,Disbursements!$D:$D,'Live Collections'!F1091))</f>
        <v>180000</v>
      </c>
      <c r="S1091" s="304">
        <v>120000</v>
      </c>
      <c r="T1091" s="304">
        <f t="shared" si="51"/>
        <v>60000</v>
      </c>
      <c r="U1091" s="52"/>
      <c r="V1091" s="34"/>
      <c r="W1091" s="408"/>
    </row>
    <row r="1092" spans="1:23" ht="12.75" customHeight="1" x14ac:dyDescent="0.2">
      <c r="A1092" s="257">
        <v>1079</v>
      </c>
      <c r="B1092" s="44">
        <v>44467</v>
      </c>
      <c r="C1092" s="44">
        <f t="shared" si="49"/>
        <v>44467</v>
      </c>
      <c r="D1092" s="374">
        <v>205</v>
      </c>
      <c r="E1092" s="291" t="str">
        <f>IFERROR(VLOOKUP($D1092,'Clients-Live'!$A:$C,3,0),"")</f>
        <v>OPIRU ALICE</v>
      </c>
      <c r="F1092" s="291">
        <f>IFERROR(INDEX(Disbursements!$D:$D,MATCH('Live Collections'!G1092,Disbursements!$C:$C,0)),"")</f>
        <v>1</v>
      </c>
      <c r="G1092" s="34">
        <v>212</v>
      </c>
      <c r="H1092" s="34">
        <v>2658</v>
      </c>
      <c r="I1092" s="34" t="s">
        <v>1359</v>
      </c>
      <c r="J1092" s="48"/>
      <c r="K1092" s="48"/>
      <c r="L1092" s="48"/>
      <c r="M1092" s="48"/>
      <c r="N1092" s="59"/>
      <c r="O1092" s="59">
        <v>30000</v>
      </c>
      <c r="P1092" s="59"/>
      <c r="Q1092" s="268">
        <f t="shared" si="50"/>
        <v>30000</v>
      </c>
      <c r="R1092" s="61">
        <f>IF(O1092=0,0,SUMIFS(Disbursements!$T:$T,Disbursements!$B:$B,'Live Collections'!D1092,Disbursements!$D:$D,'Live Collections'!F1092))</f>
        <v>30000</v>
      </c>
      <c r="S1092" s="304">
        <f>IF(O1092&lt;=IF($O1092=0,0,SUMIFS(Disbursements!$W:$W,Disbursements!$B:$B,'Live Collections'!D2422,Disbursements!$D:$D,'Live Collections'!F2422)),O1092,IF($O1092=0,0,SUMIFS(Disbursements!$W:$W,Disbursements!$B:$B,'Live Collections'!D2422,Disbursements!$D:$D,'Live Collections'!F2422)))</f>
        <v>30000</v>
      </c>
      <c r="T1092" s="304">
        <f t="shared" si="51"/>
        <v>0</v>
      </c>
      <c r="U1092" s="52"/>
      <c r="V1092" s="34"/>
      <c r="W1092" s="408"/>
    </row>
    <row r="1093" spans="1:23" ht="12.75" customHeight="1" x14ac:dyDescent="0.2">
      <c r="A1093" s="132">
        <v>1076</v>
      </c>
      <c r="B1093" s="44">
        <v>44467</v>
      </c>
      <c r="C1093" s="44">
        <f t="shared" si="49"/>
        <v>44467</v>
      </c>
      <c r="D1093" s="374">
        <v>217</v>
      </c>
      <c r="E1093" s="291" t="str">
        <f>IFERROR(VLOOKUP($D1093,'Clients-Live'!$A:$C,3,0),"")</f>
        <v>JAMBA MOSES</v>
      </c>
      <c r="F1093" s="291">
        <f>IFERROR(INDEX(Disbursements!$D:$D,MATCH('Live Collections'!G1093,Disbursements!$C:$C,0)),"")</f>
        <v>1</v>
      </c>
      <c r="G1093" s="34">
        <v>217</v>
      </c>
      <c r="H1093" s="34"/>
      <c r="I1093" s="34" t="s">
        <v>1357</v>
      </c>
      <c r="J1093" s="48"/>
      <c r="K1093" s="48"/>
      <c r="L1093" s="48"/>
      <c r="M1093" s="48"/>
      <c r="N1093" s="59"/>
      <c r="O1093" s="59">
        <v>82500</v>
      </c>
      <c r="P1093" s="59"/>
      <c r="Q1093" s="268">
        <f t="shared" si="50"/>
        <v>82500</v>
      </c>
      <c r="R1093" s="61">
        <f>IF(O1093=0,0,SUMIFS(Disbursements!$T:$T,Disbursements!$B:$B,'Live Collections'!D1093,Disbursements!$D:$D,'Live Collections'!F1093))</f>
        <v>165000</v>
      </c>
      <c r="S1093" s="304">
        <f>IF(O1093&lt;=IF($O1093=0,0,SUMIFS(Disbursements!$W:$W,Disbursements!$B:$B,'Live Collections'!D2554,Disbursements!$D:$D,'Live Collections'!F2554)),O1093,IF($O1093=0,0,SUMIFS(Disbursements!$W:$W,Disbursements!$B:$B,'Live Collections'!D2554,Disbursements!$D:$D,'Live Collections'!F2554)))</f>
        <v>35000</v>
      </c>
      <c r="T1093" s="304">
        <f t="shared" si="51"/>
        <v>47500</v>
      </c>
      <c r="U1093" s="52"/>
      <c r="V1093" s="34"/>
      <c r="W1093" s="408"/>
    </row>
    <row r="1094" spans="1:23" ht="12.75" customHeight="1" x14ac:dyDescent="0.2">
      <c r="A1094" s="257">
        <v>1072</v>
      </c>
      <c r="B1094" s="44">
        <v>44467</v>
      </c>
      <c r="C1094" s="44">
        <f t="shared" si="49"/>
        <v>44467</v>
      </c>
      <c r="D1094" s="374">
        <v>219</v>
      </c>
      <c r="E1094" s="291" t="str">
        <f>IFERROR(VLOOKUP($D1094,'Clients-Live'!$A:$C,3,0),"")</f>
        <v>MALIKO JAMILA</v>
      </c>
      <c r="F1094" s="291">
        <f>IFERROR(INDEX(Disbursements!$D:$D,MATCH('Live Collections'!G1094,Disbursements!$C:$C,0)),"")</f>
        <v>1</v>
      </c>
      <c r="G1094" s="34">
        <v>228</v>
      </c>
      <c r="H1094" s="34"/>
      <c r="I1094" s="34" t="s">
        <v>1358</v>
      </c>
      <c r="J1094" s="48"/>
      <c r="K1094" s="48"/>
      <c r="L1094" s="48"/>
      <c r="M1094" s="48"/>
      <c r="N1094" s="59"/>
      <c r="O1094" s="59">
        <v>20000</v>
      </c>
      <c r="P1094" s="59"/>
      <c r="Q1094" s="268">
        <f t="shared" si="50"/>
        <v>20000</v>
      </c>
      <c r="R1094" s="61">
        <f>IF(O1094=0,0,SUMIFS(Disbursements!$T:$T,Disbursements!$B:$B,'Live Collections'!D1094,Disbursements!$D:$D,'Live Collections'!F1094))</f>
        <v>77000</v>
      </c>
      <c r="S1094" s="304">
        <f>IF(O1094&lt;=IF($O1094=0,0,SUMIFS(Disbursements!$W:$W,Disbursements!$B:$B,'Live Collections'!D2583,Disbursements!$D:$D,'Live Collections'!F2583)),O1094,IF($O1094=0,0,SUMIFS(Disbursements!$W:$W,Disbursements!$B:$B,'Live Collections'!D2583,Disbursements!$D:$D,'Live Collections'!F2583)))</f>
        <v>20000</v>
      </c>
      <c r="T1094" s="304">
        <f t="shared" si="51"/>
        <v>0</v>
      </c>
      <c r="U1094" s="52"/>
      <c r="V1094" s="34"/>
      <c r="W1094" s="408"/>
    </row>
    <row r="1095" spans="1:23" ht="12.75" customHeight="1" x14ac:dyDescent="0.2">
      <c r="A1095" s="132">
        <v>1061</v>
      </c>
      <c r="B1095" s="44">
        <v>44467</v>
      </c>
      <c r="C1095" s="44">
        <f t="shared" si="49"/>
        <v>44467</v>
      </c>
      <c r="D1095" s="374">
        <v>222</v>
      </c>
      <c r="E1095" s="291" t="str">
        <f>IFERROR(VLOOKUP($D1095,'Clients-Live'!$A:$C,3,0),"")</f>
        <v>ITITU ZAIDA</v>
      </c>
      <c r="F1095" s="291" t="str">
        <f>IFERROR(INDEX(Disbursements!$D:$D,MATCH('Live Collections'!G1095,Disbursements!$C:$C,0)),"")</f>
        <v/>
      </c>
      <c r="G1095" s="34"/>
      <c r="H1095" s="34">
        <v>2670</v>
      </c>
      <c r="I1095" s="34" t="s">
        <v>1358</v>
      </c>
      <c r="J1095" s="48"/>
      <c r="K1095" s="48"/>
      <c r="L1095" s="48">
        <v>15000</v>
      </c>
      <c r="M1095" s="48">
        <v>5000</v>
      </c>
      <c r="N1095" s="59"/>
      <c r="O1095" s="59"/>
      <c r="P1095" s="59"/>
      <c r="Q1095" s="268">
        <f t="shared" si="50"/>
        <v>20000</v>
      </c>
      <c r="R1095" s="61">
        <f>IF(O1095=0,0,SUMIFS(Disbursements!$T:$T,Disbursements!$B:$B,'Live Collections'!D1095,Disbursements!$D:$D,'Live Collections'!F1095))</f>
        <v>0</v>
      </c>
      <c r="S1095" s="304">
        <f>IF(O1095&lt;=IF($O1095=0,0,SUMIFS(Disbursements!$W:$W,Disbursements!$B:$B,'Live Collections'!D2611,Disbursements!$D:$D,'Live Collections'!F2611)),O1095,IF($O1095=0,0,SUMIFS(Disbursements!$W:$W,Disbursements!$B:$B,'Live Collections'!D2611,Disbursements!$D:$D,'Live Collections'!F2611)))</f>
        <v>0</v>
      </c>
      <c r="T1095" s="304">
        <f t="shared" si="51"/>
        <v>0</v>
      </c>
      <c r="U1095" s="52"/>
      <c r="V1095" s="34"/>
      <c r="W1095" s="408"/>
    </row>
    <row r="1096" spans="1:23" ht="12.75" customHeight="1" x14ac:dyDescent="0.2">
      <c r="A1096" s="257">
        <v>1071</v>
      </c>
      <c r="B1096" s="44">
        <v>44467</v>
      </c>
      <c r="C1096" s="44">
        <f t="shared" si="49"/>
        <v>44467</v>
      </c>
      <c r="D1096" s="374">
        <v>229</v>
      </c>
      <c r="E1096" s="291" t="str">
        <f>IFERROR(VLOOKUP($D1096,'Clients-Live'!$A:$C,3,0),"")</f>
        <v>DAWA ANNET</v>
      </c>
      <c r="F1096" s="291" t="str">
        <f>IFERROR(INDEX(Disbursements!$D:$D,MATCH('Live Collections'!G1096,Disbursements!$C:$C,0)),"")</f>
        <v/>
      </c>
      <c r="G1096" s="34"/>
      <c r="H1096" s="34"/>
      <c r="I1096" s="34" t="s">
        <v>1357</v>
      </c>
      <c r="J1096" s="48">
        <v>15000</v>
      </c>
      <c r="K1096" s="48">
        <v>5000</v>
      </c>
      <c r="L1096" s="48">
        <v>15000</v>
      </c>
      <c r="M1096" s="48">
        <v>5000</v>
      </c>
      <c r="N1096" s="59"/>
      <c r="O1096" s="59"/>
      <c r="P1096" s="59">
        <v>100000</v>
      </c>
      <c r="Q1096" s="268">
        <f t="shared" si="50"/>
        <v>140000</v>
      </c>
      <c r="R1096" s="61">
        <f>IF(O1096=0,0,SUMIFS(Disbursements!$T:$T,Disbursements!$B:$B,'Live Collections'!D1096,Disbursements!$D:$D,'Live Collections'!F1096))</f>
        <v>0</v>
      </c>
      <c r="S1096" s="304">
        <f>IF(O1096&lt;=IF($O1096=0,0,SUMIFS(Disbursements!$W:$W,Disbursements!$B:$B,'Live Collections'!D2668,Disbursements!$D:$D,'Live Collections'!F2668)),O1096,IF($O1096=0,0,SUMIFS(Disbursements!$W:$W,Disbursements!$B:$B,'Live Collections'!D2668,Disbursements!$D:$D,'Live Collections'!F2668)))</f>
        <v>0</v>
      </c>
      <c r="T1096" s="304">
        <f t="shared" si="51"/>
        <v>0</v>
      </c>
      <c r="U1096" s="52"/>
      <c r="V1096" s="34"/>
      <c r="W1096" s="408"/>
    </row>
    <row r="1097" spans="1:23" ht="12.75" customHeight="1" x14ac:dyDescent="0.2">
      <c r="A1097" s="132">
        <v>1090</v>
      </c>
      <c r="B1097" s="44">
        <v>44468</v>
      </c>
      <c r="C1097" s="44">
        <f t="shared" ref="C1097:C1160" si="52">B1097</f>
        <v>44468</v>
      </c>
      <c r="D1097" s="374">
        <v>49</v>
      </c>
      <c r="E1097" s="291" t="str">
        <f>IFERROR(VLOOKUP($D1097,'Clients-Live'!$A:$C,3,0),"")</f>
        <v>MAWUZU SARAH</v>
      </c>
      <c r="F1097" s="291">
        <f>IFERROR(INDEX(Disbursements!$D:$D,MATCH('Live Collections'!G1097,Disbursements!$C:$C,0)),"")</f>
        <v>1</v>
      </c>
      <c r="G1097" s="34">
        <v>33</v>
      </c>
      <c r="H1097" s="34"/>
      <c r="I1097" s="34" t="s">
        <v>1358</v>
      </c>
      <c r="J1097" s="48"/>
      <c r="K1097" s="48"/>
      <c r="L1097" s="48"/>
      <c r="M1097" s="48"/>
      <c r="N1097" s="59"/>
      <c r="O1097" s="59">
        <v>50000</v>
      </c>
      <c r="P1097" s="59"/>
      <c r="Q1097" s="268">
        <f t="shared" ref="Q1097:Q1160" si="53">SUM(J1097:P1097)</f>
        <v>50000</v>
      </c>
      <c r="R1097" s="61">
        <f>IF(O1097=0,0,SUMIFS(Disbursements!$T:$T,Disbursements!$B:$B,'Live Collections'!D1097,Disbursements!$D:$D,'Live Collections'!F1097))</f>
        <v>150000</v>
      </c>
      <c r="S1097" s="304">
        <f>IF(O1097&lt;=IF($O1097=0,0,SUMIFS(Disbursements!$W:$W,Disbursements!$B:$B,'Live Collections'!D564,Disbursements!$D:$D,'Live Collections'!F564)),O1097,IF($O1097=0,0,SUMIFS(Disbursements!$W:$W,Disbursements!$B:$B,'Live Collections'!D564,Disbursements!$D:$D,'Live Collections'!F564)))</f>
        <v>25000</v>
      </c>
      <c r="T1097" s="304">
        <f t="shared" ref="T1097:T1160" si="54">IF(O1097=0,0,O1097-S1097)</f>
        <v>25000</v>
      </c>
      <c r="U1097" s="52"/>
      <c r="V1097" s="34"/>
      <c r="W1097" s="408"/>
    </row>
    <row r="1098" spans="1:23" ht="12.75" customHeight="1" x14ac:dyDescent="0.2">
      <c r="A1098" s="257">
        <v>1086</v>
      </c>
      <c r="B1098" s="44">
        <v>44468</v>
      </c>
      <c r="C1098" s="44">
        <f t="shared" si="52"/>
        <v>44468</v>
      </c>
      <c r="D1098" s="374">
        <v>89</v>
      </c>
      <c r="E1098" s="291" t="str">
        <f>IFERROR(VLOOKUP($D1098,'Clients-Live'!$A:$C,3,0),"")</f>
        <v>ANDA FLORENCE</v>
      </c>
      <c r="F1098" s="291">
        <f>IFERROR(INDEX(Disbursements!$D:$D,MATCH('Live Collections'!G1098,Disbursements!$C:$C,0)),"")</f>
        <v>1</v>
      </c>
      <c r="G1098" s="34">
        <v>78</v>
      </c>
      <c r="H1098" s="34">
        <v>2664</v>
      </c>
      <c r="I1098" s="34" t="s">
        <v>1359</v>
      </c>
      <c r="J1098" s="48"/>
      <c r="K1098" s="48"/>
      <c r="L1098" s="48"/>
      <c r="M1098" s="48"/>
      <c r="N1098" s="59"/>
      <c r="O1098" s="59">
        <v>152000</v>
      </c>
      <c r="P1098" s="59"/>
      <c r="Q1098" s="268">
        <f t="shared" si="53"/>
        <v>152000</v>
      </c>
      <c r="R1098" s="61">
        <f>IF(O1098=0,0,SUMIFS(Disbursements!$T:$T,Disbursements!$B:$B,'Live Collections'!D1098,Disbursements!$D:$D,'Live Collections'!F1098))</f>
        <v>152000</v>
      </c>
      <c r="S1098" s="304">
        <f>IF(O1098&lt;=IF($O1098=0,0,SUMIFS(Disbursements!$W:$W,Disbursements!$B:$B,'Live Collections'!D1158,Disbursements!$D:$D,'Live Collections'!F1158)),O1098,IF($O1098=0,0,SUMIFS(Disbursements!$W:$W,Disbursements!$B:$B,'Live Collections'!D1158,Disbursements!$D:$D,'Live Collections'!F1158)))</f>
        <v>0</v>
      </c>
      <c r="T1098" s="304">
        <f t="shared" si="54"/>
        <v>152000</v>
      </c>
      <c r="U1098" s="52"/>
      <c r="V1098" s="34"/>
      <c r="W1098" s="408"/>
    </row>
    <row r="1099" spans="1:23" ht="12.75" customHeight="1" x14ac:dyDescent="0.2">
      <c r="A1099" s="132">
        <v>1087</v>
      </c>
      <c r="B1099" s="44">
        <v>44468</v>
      </c>
      <c r="C1099" s="44">
        <f t="shared" si="52"/>
        <v>44468</v>
      </c>
      <c r="D1099" s="374">
        <v>96</v>
      </c>
      <c r="E1099" s="291" t="str">
        <f>IFERROR(VLOOKUP($D1099,'Clients-Live'!$A:$C,3,0),"")</f>
        <v>AKANDU NIGHT YONGORO</v>
      </c>
      <c r="F1099" s="291">
        <f>IFERROR(INDEX(Disbursements!$D:$D,MATCH('Live Collections'!G1099,Disbursements!$C:$C,0)),"")</f>
        <v>1</v>
      </c>
      <c r="G1099" s="34">
        <v>87</v>
      </c>
      <c r="H1099" s="34"/>
      <c r="I1099" s="34" t="s">
        <v>1358</v>
      </c>
      <c r="J1099" s="48"/>
      <c r="K1099" s="48"/>
      <c r="L1099" s="48"/>
      <c r="M1099" s="48"/>
      <c r="N1099" s="59"/>
      <c r="O1099" s="59">
        <v>180000</v>
      </c>
      <c r="P1099" s="59"/>
      <c r="Q1099" s="268">
        <f t="shared" si="53"/>
        <v>180000</v>
      </c>
      <c r="R1099" s="61">
        <f>IF(O1099=0,0,SUMIFS(Disbursements!$T:$T,Disbursements!$B:$B,'Live Collections'!D1099,Disbursements!$D:$D,'Live Collections'!F1099))</f>
        <v>180000</v>
      </c>
      <c r="S1099" s="304">
        <f>IF(O1099&lt;=IF($O1099=0,0,SUMIFS(Disbursements!$W:$W,Disbursements!$B:$B,'Live Collections'!D1233,Disbursements!$D:$D,'Live Collections'!F1233)),O1099,IF($O1099=0,0,SUMIFS(Disbursements!$W:$W,Disbursements!$B:$B,'Live Collections'!D1233,Disbursements!$D:$D,'Live Collections'!F1233)))</f>
        <v>100666.66666666669</v>
      </c>
      <c r="T1099" s="304">
        <f t="shared" si="54"/>
        <v>79333.333333333314</v>
      </c>
      <c r="U1099" s="52"/>
      <c r="V1099" s="34"/>
      <c r="W1099" s="408"/>
    </row>
    <row r="1100" spans="1:23" ht="12.75" customHeight="1" x14ac:dyDescent="0.2">
      <c r="A1100" s="257">
        <v>1084</v>
      </c>
      <c r="B1100" s="44">
        <v>44468</v>
      </c>
      <c r="C1100" s="44">
        <f t="shared" si="52"/>
        <v>44468</v>
      </c>
      <c r="D1100" s="374">
        <v>103</v>
      </c>
      <c r="E1100" s="291" t="str">
        <f>IFERROR(VLOOKUP($D1100,'Clients-Live'!$A:$C,3,0),"")</f>
        <v>CHANDIRU ZABIB</v>
      </c>
      <c r="F1100" s="291">
        <f>IFERROR(INDEX(Disbursements!$D:$D,MATCH('Live Collections'!G1100,Disbursements!$C:$C,0)),"")</f>
        <v>1</v>
      </c>
      <c r="G1100" s="34">
        <v>88</v>
      </c>
      <c r="H1100" s="34"/>
      <c r="I1100" s="34" t="s">
        <v>1358</v>
      </c>
      <c r="J1100" s="48"/>
      <c r="K1100" s="48"/>
      <c r="L1100" s="48"/>
      <c r="M1100" s="48"/>
      <c r="N1100" s="59"/>
      <c r="O1100" s="59">
        <v>60000</v>
      </c>
      <c r="P1100" s="59"/>
      <c r="Q1100" s="268">
        <f t="shared" si="53"/>
        <v>60000</v>
      </c>
      <c r="R1100" s="61">
        <f>IF(O1100=0,0,SUMIFS(Disbursements!$T:$T,Disbursements!$B:$B,'Live Collections'!D1100,Disbursements!$D:$D,'Live Collections'!F1100))</f>
        <v>120000</v>
      </c>
      <c r="S1100" s="304">
        <f>IF(O1100&lt;=IF($O1100=0,0,SUMIFS(Disbursements!$W:$W,Disbursements!$B:$B,'Live Collections'!D1325,Disbursements!$D:$D,'Live Collections'!F1325)),O1100,IF($O1100=0,0,SUMIFS(Disbursements!$W:$W,Disbursements!$B:$B,'Live Collections'!D1325,Disbursements!$D:$D,'Live Collections'!F1325)))</f>
        <v>25666.666666666672</v>
      </c>
      <c r="T1100" s="304">
        <f t="shared" si="54"/>
        <v>34333.333333333328</v>
      </c>
      <c r="U1100" s="52"/>
      <c r="V1100" s="34"/>
      <c r="W1100" s="408"/>
    </row>
    <row r="1101" spans="1:23" ht="12.75" customHeight="1" x14ac:dyDescent="0.2">
      <c r="A1101" s="132">
        <v>1080</v>
      </c>
      <c r="B1101" s="44">
        <v>44468</v>
      </c>
      <c r="C1101" s="44">
        <f t="shared" si="52"/>
        <v>44468</v>
      </c>
      <c r="D1101" s="374">
        <v>106</v>
      </c>
      <c r="E1101" s="291" t="str">
        <f>IFERROR(VLOOKUP($D1101,'Clients-Live'!$A:$C,3,0),"")</f>
        <v>ORODRIYO  NUSURA</v>
      </c>
      <c r="F1101" s="291">
        <f>IFERROR(INDEX(Disbursements!$D:$D,MATCH('Live Collections'!G1101,Disbursements!$C:$C,0)),"")</f>
        <v>2</v>
      </c>
      <c r="G1101" s="34">
        <v>104</v>
      </c>
      <c r="H1101" s="34">
        <v>2690</v>
      </c>
      <c r="I1101" s="34" t="s">
        <v>1357</v>
      </c>
      <c r="J1101" s="48"/>
      <c r="K1101" s="48"/>
      <c r="L1101" s="48"/>
      <c r="M1101" s="48"/>
      <c r="N1101" s="59"/>
      <c r="O1101" s="59">
        <v>60000</v>
      </c>
      <c r="P1101" s="59"/>
      <c r="Q1101" s="268">
        <f t="shared" si="53"/>
        <v>60000</v>
      </c>
      <c r="R1101" s="61">
        <f>IF(O1101=0,0,SUMIFS(Disbursements!$T:$T,Disbursements!$B:$B,'Live Collections'!D1101,Disbursements!$D:$D,'Live Collections'!F1101))</f>
        <v>120000</v>
      </c>
      <c r="S1101" s="304">
        <f>IF(O1101&lt;=IF($O1101=0,0,SUMIFS(Disbursements!$W:$W,Disbursements!$B:$B,'Live Collections'!D1620,Disbursements!$D:$D,'Live Collections'!F1620)),O1101,IF($O1101=0,0,SUMIFS(Disbursements!$W:$W,Disbursements!$B:$B,'Live Collections'!D1620,Disbursements!$D:$D,'Live Collections'!F1620)))</f>
        <v>0</v>
      </c>
      <c r="T1101" s="304">
        <f t="shared" si="54"/>
        <v>60000</v>
      </c>
      <c r="U1101" s="52"/>
      <c r="V1101" s="34"/>
      <c r="W1101" s="408"/>
    </row>
    <row r="1102" spans="1:23" ht="12.75" customHeight="1" x14ac:dyDescent="0.2">
      <c r="A1102" s="257">
        <v>1085</v>
      </c>
      <c r="B1102" s="44">
        <v>44468</v>
      </c>
      <c r="C1102" s="44">
        <f t="shared" si="52"/>
        <v>44468</v>
      </c>
      <c r="D1102" s="374">
        <v>126</v>
      </c>
      <c r="E1102" s="291" t="str">
        <f>IFERROR(VLOOKUP($D1102,'Clients-Live'!$A:$C,3,0),"")</f>
        <v>OGWAL STEPHEN GERALD</v>
      </c>
      <c r="F1102" s="291">
        <f>IFERROR(INDEX(Disbursements!$D:$D,MATCH('Live Collections'!G1102,Disbursements!$C:$C,0)),"")</f>
        <v>2</v>
      </c>
      <c r="G1102" s="34">
        <v>137</v>
      </c>
      <c r="H1102" s="34"/>
      <c r="I1102" s="34" t="s">
        <v>1359</v>
      </c>
      <c r="J1102" s="48"/>
      <c r="K1102" s="48"/>
      <c r="L1102" s="48"/>
      <c r="M1102" s="48"/>
      <c r="N1102" s="59"/>
      <c r="O1102" s="59">
        <v>612500</v>
      </c>
      <c r="P1102" s="59"/>
      <c r="Q1102" s="268">
        <f t="shared" si="53"/>
        <v>612500</v>
      </c>
      <c r="R1102" s="61">
        <f>IF(O1102=0,0,SUMIFS(Disbursements!$T:$T,Disbursements!$B:$B,'Live Collections'!D1102,Disbursements!$D:$D,'Live Collections'!F1102))</f>
        <v>613000</v>
      </c>
      <c r="S1102" s="304">
        <f>IF(O1102&lt;=IF($O1102=0,0,SUMIFS(Disbursements!$W:$W,Disbursements!$B:$B,'Live Collections'!D1940,Disbursements!$D:$D,'Live Collections'!F1940)),O1102,IF($O1102=0,0,SUMIFS(Disbursements!$W:$W,Disbursements!$B:$B,'Live Collections'!D1940,Disbursements!$D:$D,'Live Collections'!F1940)))</f>
        <v>30000</v>
      </c>
      <c r="T1102" s="304">
        <f t="shared" si="54"/>
        <v>582500</v>
      </c>
      <c r="U1102" s="52"/>
      <c r="V1102" s="34"/>
      <c r="W1102" s="408"/>
    </row>
    <row r="1103" spans="1:23" ht="12.75" customHeight="1" x14ac:dyDescent="0.2">
      <c r="A1103" s="132">
        <v>1082</v>
      </c>
      <c r="B1103" s="44">
        <v>44468</v>
      </c>
      <c r="C1103" s="44">
        <f t="shared" si="52"/>
        <v>44468</v>
      </c>
      <c r="D1103" s="374">
        <v>137</v>
      </c>
      <c r="E1103" s="291" t="str">
        <f>IFERROR(VLOOKUP($D1103,'Clients-Live'!$A:$C,3,0),"")</f>
        <v>YAKANI CHARLES</v>
      </c>
      <c r="F1103" s="291">
        <f>IFERROR(INDEX(Disbursements!$D:$D,MATCH('Live Collections'!G1103,Disbursements!$C:$C,0)),"")</f>
        <v>2</v>
      </c>
      <c r="G1103" s="34">
        <v>139</v>
      </c>
      <c r="H1103" s="34"/>
      <c r="I1103" s="34" t="s">
        <v>1359</v>
      </c>
      <c r="J1103" s="48"/>
      <c r="K1103" s="48"/>
      <c r="L1103" s="48"/>
      <c r="M1103" s="48"/>
      <c r="N1103" s="59"/>
      <c r="O1103" s="59">
        <v>360000</v>
      </c>
      <c r="P1103" s="59"/>
      <c r="Q1103" s="268">
        <f t="shared" si="53"/>
        <v>360000</v>
      </c>
      <c r="R1103" s="61">
        <f>IF(O1103=0,0,SUMIFS(Disbursements!$T:$T,Disbursements!$B:$B,'Live Collections'!D1103,Disbursements!$D:$D,'Live Collections'!F1103))</f>
        <v>360000</v>
      </c>
      <c r="S1103" s="304">
        <f>IF(O1103&lt;=IF($O1103=0,0,SUMIFS(Disbursements!$W:$W,Disbursements!$B:$B,'Live Collections'!D1729,Disbursements!$D:$D,'Live Collections'!F1729)),O1103,IF($O1103=0,0,SUMIFS(Disbursements!$W:$W,Disbursements!$B:$B,'Live Collections'!D1729,Disbursements!$D:$D,'Live Collections'!F1729)))</f>
        <v>40000</v>
      </c>
      <c r="T1103" s="304">
        <f t="shared" si="54"/>
        <v>320000</v>
      </c>
      <c r="U1103" s="52"/>
      <c r="V1103" s="34"/>
      <c r="W1103" s="408"/>
    </row>
    <row r="1104" spans="1:23" ht="12.75" customHeight="1" x14ac:dyDescent="0.2">
      <c r="A1104" s="257">
        <v>1088</v>
      </c>
      <c r="B1104" s="44">
        <v>44468</v>
      </c>
      <c r="C1104" s="44">
        <f t="shared" si="52"/>
        <v>44468</v>
      </c>
      <c r="D1104" s="374">
        <v>152</v>
      </c>
      <c r="E1104" s="291" t="str">
        <f>IFERROR(VLOOKUP($D1104,'Clients-Live'!$A:$C,3,0),"")</f>
        <v>ASE ZAINABU</v>
      </c>
      <c r="F1104" s="291">
        <f>IFERROR(INDEX(Disbursements!$D:$D,MATCH('Live Collections'!G1104,Disbursements!$C:$C,0)),"")</f>
        <v>1</v>
      </c>
      <c r="G1104" s="34">
        <v>136</v>
      </c>
      <c r="H1104" s="34">
        <v>2665</v>
      </c>
      <c r="I1104" s="34" t="s">
        <v>1358</v>
      </c>
      <c r="J1104" s="48"/>
      <c r="K1104" s="48"/>
      <c r="L1104" s="48"/>
      <c r="M1104" s="48"/>
      <c r="N1104" s="59"/>
      <c r="O1104" s="59">
        <v>100000</v>
      </c>
      <c r="P1104" s="59"/>
      <c r="Q1104" s="268">
        <f t="shared" si="53"/>
        <v>100000</v>
      </c>
      <c r="R1104" s="61">
        <f>IF(O1104=0,0,SUMIFS(Disbursements!$T:$T,Disbursements!$B:$B,'Live Collections'!D1104,Disbursements!$D:$D,'Live Collections'!F1104))</f>
        <v>175000</v>
      </c>
      <c r="S1104" s="304">
        <f>IF(O1104&lt;=IF($O1104=0,0,SUMIFS(Disbursements!$W:$W,Disbursements!$B:$B,'Live Collections'!D1911,Disbursements!$D:$D,'Live Collections'!F1911)),O1104,IF($O1104=0,0,SUMIFS(Disbursements!$W:$W,Disbursements!$B:$B,'Live Collections'!D1911,Disbursements!$D:$D,'Live Collections'!F1911)))</f>
        <v>100000</v>
      </c>
      <c r="T1104" s="304">
        <f t="shared" si="54"/>
        <v>0</v>
      </c>
      <c r="U1104" s="52"/>
      <c r="V1104" s="34"/>
      <c r="W1104" s="408"/>
    </row>
    <row r="1105" spans="1:23" ht="12.75" customHeight="1" x14ac:dyDescent="0.2">
      <c r="A1105" s="132">
        <v>1089</v>
      </c>
      <c r="B1105" s="44">
        <v>44468</v>
      </c>
      <c r="C1105" s="44">
        <f t="shared" si="52"/>
        <v>44468</v>
      </c>
      <c r="D1105" s="374">
        <v>158</v>
      </c>
      <c r="E1105" s="291" t="str">
        <f>IFERROR(VLOOKUP($D1105,'Clients-Live'!$A:$C,3,0),"")</f>
        <v>METALORO STEPHEN</v>
      </c>
      <c r="F1105" s="291">
        <f>IFERROR(INDEX(Disbursements!$D:$D,MATCH('Live Collections'!G1105,Disbursements!$C:$C,0)),"")</f>
        <v>1</v>
      </c>
      <c r="G1105" s="34">
        <v>144</v>
      </c>
      <c r="H1105" s="34"/>
      <c r="I1105" s="34" t="s">
        <v>1358</v>
      </c>
      <c r="J1105" s="48"/>
      <c r="K1105" s="48"/>
      <c r="L1105" s="48"/>
      <c r="M1105" s="48"/>
      <c r="N1105" s="59"/>
      <c r="O1105" s="59">
        <v>220000</v>
      </c>
      <c r="P1105" s="59"/>
      <c r="Q1105" s="268">
        <f t="shared" si="53"/>
        <v>220000</v>
      </c>
      <c r="R1105" s="61">
        <f>IF(O1105=0,0,SUMIFS(Disbursements!$T:$T,Disbursements!$B:$B,'Live Collections'!D1105,Disbursements!$D:$D,'Live Collections'!F1105))</f>
        <v>220000</v>
      </c>
      <c r="S1105" s="304"/>
      <c r="T1105" s="304">
        <f t="shared" si="54"/>
        <v>220000</v>
      </c>
      <c r="U1105" s="52"/>
      <c r="V1105" s="34"/>
      <c r="W1105" s="408"/>
    </row>
    <row r="1106" spans="1:23" ht="12.75" customHeight="1" x14ac:dyDescent="0.2">
      <c r="A1106" s="257">
        <v>1081</v>
      </c>
      <c r="B1106" s="44">
        <v>44468</v>
      </c>
      <c r="C1106" s="44">
        <f t="shared" si="52"/>
        <v>44468</v>
      </c>
      <c r="D1106" s="374">
        <v>180</v>
      </c>
      <c r="E1106" s="291" t="str">
        <f>IFERROR(VLOOKUP($D1106,'Clients-Live'!$A:$C,3,0),"")</f>
        <v>IJOSIGA ISMAIL</v>
      </c>
      <c r="F1106" s="291">
        <f>IFERROR(INDEX(Disbursements!$D:$D,MATCH('Live Collections'!G1106,Disbursements!$C:$C,0)),"")</f>
        <v>1</v>
      </c>
      <c r="G1106" s="34">
        <v>185</v>
      </c>
      <c r="H1106" s="34">
        <v>2689</v>
      </c>
      <c r="I1106" s="34" t="s">
        <v>1359</v>
      </c>
      <c r="J1106" s="48"/>
      <c r="K1106" s="48"/>
      <c r="L1106" s="48"/>
      <c r="M1106" s="48"/>
      <c r="N1106" s="59"/>
      <c r="O1106" s="59">
        <v>70000</v>
      </c>
      <c r="P1106" s="59"/>
      <c r="Q1106" s="268">
        <f t="shared" si="53"/>
        <v>70000</v>
      </c>
      <c r="R1106" s="61">
        <f>IF(O1106=0,0,SUMIFS(Disbursements!$T:$T,Disbursements!$B:$B,'Live Collections'!D1106,Disbursements!$D:$D,'Live Collections'!F1106))</f>
        <v>286000</v>
      </c>
      <c r="S1106" s="64">
        <v>57333.333333333285</v>
      </c>
      <c r="T1106" s="304">
        <f t="shared" si="54"/>
        <v>12666.666666666715</v>
      </c>
      <c r="U1106" s="52"/>
      <c r="V1106" s="34"/>
      <c r="W1106" s="408"/>
    </row>
    <row r="1107" spans="1:23" ht="12.75" customHeight="1" x14ac:dyDescent="0.2">
      <c r="A1107" s="132">
        <v>1083</v>
      </c>
      <c r="B1107" s="44">
        <v>44468</v>
      </c>
      <c r="C1107" s="44">
        <f t="shared" si="52"/>
        <v>44468</v>
      </c>
      <c r="D1107" s="374">
        <v>202</v>
      </c>
      <c r="E1107" s="291" t="str">
        <f>IFERROR(VLOOKUP($D1107,'Clients-Live'!$A:$C,3,0),"")</f>
        <v>MUSEMA SWAIBU</v>
      </c>
      <c r="F1107" s="291">
        <f>IFERROR(INDEX(Disbursements!$D:$D,MATCH('Live Collections'!G1107,Disbursements!$C:$C,0)),"")</f>
        <v>1</v>
      </c>
      <c r="G1107" s="34">
        <v>197</v>
      </c>
      <c r="H1107" s="34"/>
      <c r="I1107" s="34" t="s">
        <v>1358</v>
      </c>
      <c r="J1107" s="48"/>
      <c r="K1107" s="48"/>
      <c r="L1107" s="48"/>
      <c r="M1107" s="48"/>
      <c r="N1107" s="59"/>
      <c r="O1107" s="59">
        <v>150000</v>
      </c>
      <c r="P1107" s="59"/>
      <c r="Q1107" s="268">
        <f t="shared" si="53"/>
        <v>150000</v>
      </c>
      <c r="R1107" s="61">
        <f>IF(O1107=0,0,SUMIFS(Disbursements!$T:$T,Disbursements!$B:$B,'Live Collections'!D1107,Disbursements!$D:$D,'Live Collections'!F1107))</f>
        <v>144000</v>
      </c>
      <c r="S1107" s="304">
        <v>20000</v>
      </c>
      <c r="T1107" s="304">
        <f t="shared" si="54"/>
        <v>130000</v>
      </c>
      <c r="U1107" s="52"/>
      <c r="V1107" s="34"/>
      <c r="W1107" s="408"/>
    </row>
    <row r="1108" spans="1:23" ht="12.75" customHeight="1" x14ac:dyDescent="0.2">
      <c r="A1108" s="257">
        <v>1092</v>
      </c>
      <c r="B1108" s="44">
        <v>44468</v>
      </c>
      <c r="C1108" s="44">
        <f t="shared" si="52"/>
        <v>44468</v>
      </c>
      <c r="D1108" s="374">
        <v>230</v>
      </c>
      <c r="E1108" s="291" t="str">
        <f>IFERROR(VLOOKUP($D1108,'Clients-Live'!$A:$C,3,0),"")</f>
        <v>ANGAIKA SALFA</v>
      </c>
      <c r="F1108" s="291" t="str">
        <f>IFERROR(INDEX(Disbursements!$D:$D,MATCH('Live Collections'!G1108,Disbursements!$C:$C,0)),"")</f>
        <v/>
      </c>
      <c r="G1108" s="34"/>
      <c r="H1108" s="34"/>
      <c r="I1108" s="34" t="s">
        <v>1357</v>
      </c>
      <c r="J1108" s="48">
        <v>15000</v>
      </c>
      <c r="K1108" s="48">
        <v>5000</v>
      </c>
      <c r="L1108" s="48">
        <v>15000</v>
      </c>
      <c r="M1108" s="48">
        <v>5000</v>
      </c>
      <c r="N1108" s="59"/>
      <c r="O1108" s="59"/>
      <c r="P1108" s="59">
        <v>65000</v>
      </c>
      <c r="Q1108" s="268">
        <f t="shared" si="53"/>
        <v>105000</v>
      </c>
      <c r="R1108" s="61">
        <f>IF(O1108=0,0,SUMIFS(Disbursements!$T:$T,Disbursements!$B:$B,'Live Collections'!D1108,Disbursements!$D:$D,'Live Collections'!F1108))</f>
        <v>0</v>
      </c>
      <c r="S1108" s="304">
        <f>IF(O1108&lt;=IF($O1108=0,0,SUMIFS(Disbursements!$W:$W,Disbursements!$B:$B,'Live Collections'!D2675,Disbursements!$D:$D,'Live Collections'!F2675)),O1108,IF($O1108=0,0,SUMIFS(Disbursements!$W:$W,Disbursements!$B:$B,'Live Collections'!D2675,Disbursements!$D:$D,'Live Collections'!F2675)))</f>
        <v>0</v>
      </c>
      <c r="T1108" s="304">
        <f t="shared" si="54"/>
        <v>0</v>
      </c>
      <c r="U1108" s="52"/>
      <c r="V1108" s="34"/>
      <c r="W1108" s="408"/>
    </row>
    <row r="1109" spans="1:23" ht="12.75" customHeight="1" x14ac:dyDescent="0.2">
      <c r="A1109" s="132">
        <v>1091</v>
      </c>
      <c r="B1109" s="44">
        <v>44468</v>
      </c>
      <c r="C1109" s="44">
        <f t="shared" si="52"/>
        <v>44468</v>
      </c>
      <c r="D1109" s="374">
        <v>231</v>
      </c>
      <c r="E1109" s="291" t="str">
        <f>IFERROR(VLOOKUP($D1109,'Clients-Live'!$A:$C,3,0),"")</f>
        <v>AWILO JONATHAN</v>
      </c>
      <c r="F1109" s="291" t="str">
        <f>IFERROR(INDEX(Disbursements!$D:$D,MATCH('Live Collections'!G1109,Disbursements!$C:$C,0)),"")</f>
        <v/>
      </c>
      <c r="G1109" s="34"/>
      <c r="H1109" s="34"/>
      <c r="I1109" s="34" t="s">
        <v>1358</v>
      </c>
      <c r="J1109" s="48">
        <v>15000</v>
      </c>
      <c r="K1109" s="48">
        <v>5000</v>
      </c>
      <c r="L1109" s="48">
        <v>15000</v>
      </c>
      <c r="M1109" s="48">
        <v>5000</v>
      </c>
      <c r="N1109" s="59"/>
      <c r="O1109" s="59"/>
      <c r="P1109" s="59"/>
      <c r="Q1109" s="268">
        <f t="shared" si="53"/>
        <v>40000</v>
      </c>
      <c r="R1109" s="61">
        <f>IF(O1109=0,0,SUMIFS(Disbursements!$T:$T,Disbursements!$B:$B,'Live Collections'!D1109,Disbursements!$D:$D,'Live Collections'!F1109))</f>
        <v>0</v>
      </c>
      <c r="S1109" s="304">
        <f>IF(O1109&lt;=IF($O1109=0,0,SUMIFS(Disbursements!$W:$W,Disbursements!$B:$B,'Live Collections'!D2682,Disbursements!$D:$D,'Live Collections'!F2682)),O1109,IF($O1109=0,0,SUMIFS(Disbursements!$W:$W,Disbursements!$B:$B,'Live Collections'!D2682,Disbursements!$D:$D,'Live Collections'!F2682)))</f>
        <v>0</v>
      </c>
      <c r="T1109" s="304">
        <f t="shared" si="54"/>
        <v>0</v>
      </c>
      <c r="U1109" s="52"/>
      <c r="V1109" s="34"/>
      <c r="W1109" s="408"/>
    </row>
    <row r="1110" spans="1:23" ht="12.75" customHeight="1" x14ac:dyDescent="0.2">
      <c r="A1110" s="257">
        <v>1098</v>
      </c>
      <c r="B1110" s="44">
        <v>44469</v>
      </c>
      <c r="C1110" s="44">
        <f t="shared" si="52"/>
        <v>44469</v>
      </c>
      <c r="D1110" s="374">
        <v>47</v>
      </c>
      <c r="E1110" s="291" t="str">
        <f>IFERROR(VLOOKUP($D1110,'Clients-Live'!$A:$C,3,0),"")</f>
        <v>DAWA AMINA</v>
      </c>
      <c r="F1110" s="291">
        <f>IFERROR(INDEX(Disbursements!$D:$D,MATCH('Live Collections'!G1110,Disbursements!$C:$C,0)),"")</f>
        <v>1</v>
      </c>
      <c r="G1110" s="34">
        <v>29</v>
      </c>
      <c r="H1110" s="34"/>
      <c r="I1110" s="34" t="s">
        <v>1357</v>
      </c>
      <c r="J1110" s="48"/>
      <c r="K1110" s="48"/>
      <c r="L1110" s="48"/>
      <c r="M1110" s="48"/>
      <c r="N1110" s="59"/>
      <c r="O1110" s="59">
        <v>100000</v>
      </c>
      <c r="P1110" s="59"/>
      <c r="Q1110" s="268">
        <f t="shared" si="53"/>
        <v>100000</v>
      </c>
      <c r="R1110" s="61">
        <f>IF(O1110=0,0,SUMIFS(Disbursements!$T:$T,Disbursements!$B:$B,'Live Collections'!D1110,Disbursements!$D:$D,'Live Collections'!F1110))</f>
        <v>0</v>
      </c>
      <c r="S1110" s="304">
        <f>IF(O1110&lt;=IF($O1110=0,0,SUMIFS(Disbursements!$W:$W,Disbursements!$B:$B,'Live Collections'!D543,Disbursements!$D:$D,'Live Collections'!F543)),O1110,IF($O1110=0,0,SUMIFS(Disbursements!$W:$W,Disbursements!$B:$B,'Live Collections'!D543,Disbursements!$D:$D,'Live Collections'!F543)))</f>
        <v>25000</v>
      </c>
      <c r="T1110" s="304">
        <f t="shared" si="54"/>
        <v>75000</v>
      </c>
      <c r="U1110" s="52"/>
      <c r="V1110" s="34"/>
      <c r="W1110" s="408"/>
    </row>
    <row r="1111" spans="1:23" ht="12.75" customHeight="1" x14ac:dyDescent="0.2">
      <c r="A1111" s="132">
        <v>1097</v>
      </c>
      <c r="B1111" s="44">
        <v>44469</v>
      </c>
      <c r="C1111" s="44">
        <f t="shared" si="52"/>
        <v>44469</v>
      </c>
      <c r="D1111" s="374">
        <v>48</v>
      </c>
      <c r="E1111" s="291" t="str">
        <f>IFERROR(VLOOKUP($D1111,'Clients-Live'!$A:$C,3,0),"")</f>
        <v>BAKO KASIA</v>
      </c>
      <c r="F1111" s="291">
        <f>IFERROR(INDEX(Disbursements!$D:$D,MATCH('Live Collections'!G1111,Disbursements!$C:$C,0)),"")</f>
        <v>1</v>
      </c>
      <c r="G1111" s="34">
        <v>32</v>
      </c>
      <c r="H1111" s="34"/>
      <c r="I1111" s="34" t="s">
        <v>1358</v>
      </c>
      <c r="J1111" s="48"/>
      <c r="K1111" s="48"/>
      <c r="L1111" s="48"/>
      <c r="M1111" s="48"/>
      <c r="N1111" s="59"/>
      <c r="O1111" s="59">
        <v>30000</v>
      </c>
      <c r="P1111" s="59"/>
      <c r="Q1111" s="268">
        <f t="shared" si="53"/>
        <v>30000</v>
      </c>
      <c r="R1111" s="61">
        <f>IF(O1111=0,0,SUMIFS(Disbursements!$T:$T,Disbursements!$B:$B,'Live Collections'!D1111,Disbursements!$D:$D,'Live Collections'!F1111))</f>
        <v>150000</v>
      </c>
      <c r="S1111" s="304"/>
      <c r="T1111" s="304">
        <f t="shared" si="54"/>
        <v>30000</v>
      </c>
      <c r="U1111" s="52"/>
      <c r="V1111" s="34"/>
      <c r="W1111" s="408"/>
    </row>
    <row r="1112" spans="1:23" ht="12.75" customHeight="1" x14ac:dyDescent="0.2">
      <c r="A1112" s="257">
        <v>1103</v>
      </c>
      <c r="B1112" s="44">
        <v>44469</v>
      </c>
      <c r="C1112" s="44">
        <f t="shared" si="52"/>
        <v>44469</v>
      </c>
      <c r="D1112" s="374">
        <v>131</v>
      </c>
      <c r="E1112" s="291" t="str">
        <f>IFERROR(VLOOKUP($D1112,'Clients-Live'!$A:$C,3,0),"")</f>
        <v>CANDIRU ZAKIA</v>
      </c>
      <c r="F1112" s="291">
        <f>IFERROR(INDEX(Disbursements!$D:$D,MATCH('Live Collections'!G1112,Disbursements!$C:$C,0)),"")</f>
        <v>1</v>
      </c>
      <c r="G1112" s="34">
        <v>115</v>
      </c>
      <c r="H1112" s="34"/>
      <c r="I1112" s="34" t="s">
        <v>1357</v>
      </c>
      <c r="J1112" s="48"/>
      <c r="K1112" s="48"/>
      <c r="L1112" s="48"/>
      <c r="M1112" s="48"/>
      <c r="N1112" s="59"/>
      <c r="O1112" s="59">
        <v>39000</v>
      </c>
      <c r="P1112" s="59"/>
      <c r="Q1112" s="268">
        <f t="shared" si="53"/>
        <v>39000</v>
      </c>
      <c r="R1112" s="61">
        <f>IF(O1112=0,0,SUMIFS(Disbursements!$T:$T,Disbursements!$B:$B,'Live Collections'!D1112,Disbursements!$D:$D,'Live Collections'!F1112))</f>
        <v>77000</v>
      </c>
      <c r="S1112" s="304">
        <f>IF(O1112&lt;=IF($O1112=0,0,SUMIFS(Disbursements!$W:$W,Disbursements!$B:$B,'Live Collections'!D1657,Disbursements!$D:$D,'Live Collections'!F1657)),O1112,IF($O1112=0,0,SUMIFS(Disbursements!$W:$W,Disbursements!$B:$B,'Live Collections'!D1657,Disbursements!$D:$D,'Live Collections'!F1657)))</f>
        <v>0</v>
      </c>
      <c r="T1112" s="304">
        <f t="shared" si="54"/>
        <v>39000</v>
      </c>
      <c r="U1112" s="52"/>
      <c r="V1112" s="34"/>
      <c r="W1112" s="408"/>
    </row>
    <row r="1113" spans="1:23" ht="12.75" customHeight="1" x14ac:dyDescent="0.2">
      <c r="A1113" s="132">
        <v>1106</v>
      </c>
      <c r="B1113" s="44">
        <v>44469</v>
      </c>
      <c r="C1113" s="44">
        <f t="shared" si="52"/>
        <v>44469</v>
      </c>
      <c r="D1113" s="374">
        <v>155</v>
      </c>
      <c r="E1113" s="291" t="str">
        <f>IFERROR(VLOOKUP($D1113,'Clients-Live'!$A:$C,3,0),"")</f>
        <v>AROMBORAC SIAMA</v>
      </c>
      <c r="F1113" s="291">
        <f>IFERROR(INDEX(Disbursements!$D:$D,MATCH('Live Collections'!G1113,Disbursements!$C:$C,0)),"")</f>
        <v>1</v>
      </c>
      <c r="G1113" s="34">
        <v>143</v>
      </c>
      <c r="H1113" s="34"/>
      <c r="I1113" s="34" t="s">
        <v>1358</v>
      </c>
      <c r="J1113" s="48"/>
      <c r="K1113" s="48"/>
      <c r="L1113" s="48"/>
      <c r="M1113" s="48"/>
      <c r="N1113" s="59"/>
      <c r="O1113" s="59">
        <v>90000</v>
      </c>
      <c r="P1113" s="59"/>
      <c r="Q1113" s="268">
        <f t="shared" si="53"/>
        <v>90000</v>
      </c>
      <c r="R1113" s="61">
        <f>IF(O1113=0,0,SUMIFS(Disbursements!$T:$T,Disbursements!$B:$B,'Live Collections'!D1113,Disbursements!$D:$D,'Live Collections'!F1113))</f>
        <v>90000</v>
      </c>
      <c r="S1113" s="304"/>
      <c r="T1113" s="304">
        <f t="shared" si="54"/>
        <v>90000</v>
      </c>
      <c r="U1113" s="52"/>
      <c r="V1113" s="34"/>
      <c r="W1113" s="408"/>
    </row>
    <row r="1114" spans="1:23" ht="12.75" customHeight="1" x14ac:dyDescent="0.2">
      <c r="A1114" s="257">
        <v>1104</v>
      </c>
      <c r="B1114" s="44">
        <v>44469</v>
      </c>
      <c r="C1114" s="44">
        <f t="shared" si="52"/>
        <v>44469</v>
      </c>
      <c r="D1114" s="374">
        <v>164</v>
      </c>
      <c r="E1114" s="291" t="str">
        <f>IFERROR(VLOOKUP($D1114,'Clients-Live'!$A:$C,3,0),"")</f>
        <v>ARIKE SWAIB</v>
      </c>
      <c r="F1114" s="291">
        <f>IFERROR(INDEX(Disbursements!$D:$D,MATCH('Live Collections'!G1114,Disbursements!$C:$C,0)),"")</f>
        <v>1</v>
      </c>
      <c r="G1114" s="34">
        <v>154</v>
      </c>
      <c r="H1114" s="34"/>
      <c r="I1114" s="34" t="s">
        <v>1357</v>
      </c>
      <c r="J1114" s="48"/>
      <c r="K1114" s="48"/>
      <c r="L1114" s="48"/>
      <c r="M1114" s="48"/>
      <c r="N1114" s="59"/>
      <c r="O1114" s="59">
        <v>120000</v>
      </c>
      <c r="P1114" s="59"/>
      <c r="Q1114" s="268">
        <f t="shared" si="53"/>
        <v>120000</v>
      </c>
      <c r="R1114" s="61">
        <f>IF(O1114=0,0,SUMIFS(Disbursements!$T:$T,Disbursements!$B:$B,'Live Collections'!D1114,Disbursements!$D:$D,'Live Collections'!F1114))</f>
        <v>109000</v>
      </c>
      <c r="S1114" s="304">
        <f>IF(O1114&lt;=IF($O1114=0,0,SUMIFS(Disbursements!$W:$W,Disbursements!$B:$B,'Live Collections'!D2031,Disbursements!$D:$D,'Live Collections'!F2031)),O1114,IF($O1114=0,0,SUMIFS(Disbursements!$W:$W,Disbursements!$B:$B,'Live Collections'!D2031,Disbursements!$D:$D,'Live Collections'!F2031)))</f>
        <v>53000</v>
      </c>
      <c r="T1114" s="304">
        <f t="shared" si="54"/>
        <v>67000</v>
      </c>
      <c r="U1114" s="52"/>
      <c r="V1114" s="34"/>
      <c r="W1114" s="408"/>
    </row>
    <row r="1115" spans="1:23" ht="12.75" customHeight="1" x14ac:dyDescent="0.2">
      <c r="A1115" s="132">
        <v>1100</v>
      </c>
      <c r="B1115" s="44">
        <v>44469</v>
      </c>
      <c r="C1115" s="44">
        <f t="shared" si="52"/>
        <v>44469</v>
      </c>
      <c r="D1115" s="374">
        <v>182</v>
      </c>
      <c r="E1115" s="291" t="str">
        <f>IFERROR(VLOOKUP($D1115,'Clients-Live'!$A:$C,3,0),"")</f>
        <v>ANITE ZAM</v>
      </c>
      <c r="F1115" s="291">
        <f>IFERROR(INDEX(Disbursements!$D:$D,MATCH('Live Collections'!G1115,Disbursements!$C:$C,0)),"")</f>
        <v>1</v>
      </c>
      <c r="G1115" s="34">
        <v>175</v>
      </c>
      <c r="H1115" s="34"/>
      <c r="I1115" s="34" t="s">
        <v>1358</v>
      </c>
      <c r="J1115" s="48"/>
      <c r="K1115" s="48"/>
      <c r="L1115" s="48"/>
      <c r="M1115" s="48"/>
      <c r="N1115" s="59"/>
      <c r="O1115" s="59">
        <v>30000</v>
      </c>
      <c r="P1115" s="59"/>
      <c r="Q1115" s="268">
        <f t="shared" si="53"/>
        <v>30000</v>
      </c>
      <c r="R1115" s="61">
        <f>IF(O1115=0,0,SUMIFS(Disbursements!$T:$T,Disbursements!$B:$B,'Live Collections'!D1115,Disbursements!$D:$D,'Live Collections'!F1115))</f>
        <v>115000</v>
      </c>
      <c r="S1115" s="64">
        <v>-15000</v>
      </c>
      <c r="T1115" s="304">
        <f t="shared" si="54"/>
        <v>45000</v>
      </c>
      <c r="U1115" s="52"/>
      <c r="V1115" s="34"/>
      <c r="W1115" s="408"/>
    </row>
    <row r="1116" spans="1:23" ht="12.75" customHeight="1" x14ac:dyDescent="0.2">
      <c r="A1116" s="257">
        <v>1105</v>
      </c>
      <c r="B1116" s="44">
        <v>44469</v>
      </c>
      <c r="C1116" s="44">
        <f t="shared" si="52"/>
        <v>44469</v>
      </c>
      <c r="D1116" s="374">
        <v>197</v>
      </c>
      <c r="E1116" s="291" t="str">
        <f>IFERROR(VLOOKUP($D1116,'Clients-Live'!$A:$C,3,0),"")</f>
        <v>SIYESA JAMILA</v>
      </c>
      <c r="F1116" s="291">
        <f>IFERROR(INDEX(Disbursements!$D:$D,MATCH('Live Collections'!G1116,Disbursements!$C:$C,0)),"")</f>
        <v>1</v>
      </c>
      <c r="G1116" s="34">
        <v>167</v>
      </c>
      <c r="H1116" s="34"/>
      <c r="I1116" s="34" t="s">
        <v>1359</v>
      </c>
      <c r="J1116" s="48"/>
      <c r="K1116" s="48"/>
      <c r="L1116" s="48"/>
      <c r="M1116" s="48"/>
      <c r="N1116" s="59"/>
      <c r="O1116" s="59">
        <v>80000</v>
      </c>
      <c r="P1116" s="59"/>
      <c r="Q1116" s="268">
        <f t="shared" si="53"/>
        <v>80000</v>
      </c>
      <c r="R1116" s="61">
        <f>IF(O1116=0,0,SUMIFS(Disbursements!$T:$T,Disbursements!$B:$B,'Live Collections'!D1116,Disbursements!$D:$D,'Live Collections'!F1116))</f>
        <v>120000</v>
      </c>
      <c r="S1116" s="304">
        <f>IF(O1116&lt;=IF($O1116=0,0,SUMIFS(Disbursements!$W:$W,Disbursements!$B:$B,'Live Collections'!D2362,Disbursements!$D:$D,'Live Collections'!F2362)),O1116,IF($O1116=0,0,SUMIFS(Disbursements!$W:$W,Disbursements!$B:$B,'Live Collections'!D2362,Disbursements!$D:$D,'Live Collections'!F2362)))</f>
        <v>20000</v>
      </c>
      <c r="T1116" s="304">
        <f t="shared" si="54"/>
        <v>60000</v>
      </c>
      <c r="U1116" s="52"/>
      <c r="V1116" s="34"/>
      <c r="W1116" s="408"/>
    </row>
    <row r="1117" spans="1:23" ht="12.75" customHeight="1" x14ac:dyDescent="0.2">
      <c r="A1117" s="132">
        <v>1099</v>
      </c>
      <c r="B1117" s="44">
        <v>44469</v>
      </c>
      <c r="C1117" s="44">
        <f t="shared" si="52"/>
        <v>44469</v>
      </c>
      <c r="D1117" s="374">
        <v>198</v>
      </c>
      <c r="E1117" s="291" t="str">
        <f>IFERROR(VLOOKUP($D1117,'Clients-Live'!$A:$C,3,0),"")</f>
        <v>ETOLE BIAJO</v>
      </c>
      <c r="F1117" s="291">
        <f>IFERROR(INDEX(Disbursements!$D:$D,MATCH('Live Collections'!G1117,Disbursements!$C:$C,0)),"")</f>
        <v>1</v>
      </c>
      <c r="G1117" s="34">
        <v>191</v>
      </c>
      <c r="H1117" s="34"/>
      <c r="I1117" s="34" t="s">
        <v>1358</v>
      </c>
      <c r="J1117" s="48"/>
      <c r="K1117" s="48"/>
      <c r="L1117" s="48"/>
      <c r="M1117" s="48"/>
      <c r="N1117" s="59"/>
      <c r="O1117" s="59">
        <v>75000</v>
      </c>
      <c r="P1117" s="59"/>
      <c r="Q1117" s="268">
        <f t="shared" si="53"/>
        <v>75000</v>
      </c>
      <c r="R1117" s="61">
        <f>IF(O1117=0,0,SUMIFS(Disbursements!$T:$T,Disbursements!$B:$B,'Live Collections'!D1117,Disbursements!$D:$D,'Live Collections'!F1117))</f>
        <v>150000</v>
      </c>
      <c r="S1117" s="304">
        <f>IF(O1117&lt;=IF($O1117=0,0,SUMIFS(Disbursements!$W:$W,Disbursements!$B:$B,'Live Collections'!D2372,Disbursements!$D:$D,'Live Collections'!F2372)),O1117,IF($O1117=0,0,SUMIFS(Disbursements!$W:$W,Disbursements!$B:$B,'Live Collections'!D2372,Disbursements!$D:$D,'Live Collections'!F2372)))</f>
        <v>25000</v>
      </c>
      <c r="T1117" s="304">
        <f t="shared" si="54"/>
        <v>50000</v>
      </c>
      <c r="U1117" s="52"/>
      <c r="V1117" s="34"/>
      <c r="W1117" s="408"/>
    </row>
    <row r="1118" spans="1:23" ht="12.75" customHeight="1" x14ac:dyDescent="0.2">
      <c r="A1118" s="257">
        <v>1101</v>
      </c>
      <c r="B1118" s="44">
        <v>44469</v>
      </c>
      <c r="C1118" s="44">
        <f t="shared" si="52"/>
        <v>44469</v>
      </c>
      <c r="D1118" s="374">
        <v>204</v>
      </c>
      <c r="E1118" s="291" t="str">
        <f>IFERROR(VLOOKUP($D1118,'Clients-Live'!$A:$C,3,0),"")</f>
        <v>DRAMADRI AHUMED OKUNI</v>
      </c>
      <c r="F1118" s="291">
        <f>IFERROR(INDEX(Disbursements!$D:$D,MATCH('Live Collections'!G1118,Disbursements!$C:$C,0)),"")</f>
        <v>1</v>
      </c>
      <c r="G1118" s="34">
        <v>198</v>
      </c>
      <c r="H1118" s="34"/>
      <c r="I1118" s="34" t="s">
        <v>1357</v>
      </c>
      <c r="J1118" s="48"/>
      <c r="K1118" s="48"/>
      <c r="L1118" s="48"/>
      <c r="M1118" s="48"/>
      <c r="N1118" s="59"/>
      <c r="O1118" s="59">
        <v>1075000</v>
      </c>
      <c r="P1118" s="59"/>
      <c r="Q1118" s="268">
        <f t="shared" si="53"/>
        <v>1075000</v>
      </c>
      <c r="R1118" s="61">
        <f>IF(O1118=0,0,SUMIFS(Disbursements!$T:$T,Disbursements!$B:$B,'Live Collections'!D1118,Disbursements!$D:$D,'Live Collections'!F1118))</f>
        <v>1075000</v>
      </c>
      <c r="S1118" s="64">
        <v>75000</v>
      </c>
      <c r="T1118" s="304">
        <f t="shared" si="54"/>
        <v>1000000</v>
      </c>
      <c r="U1118" s="52"/>
      <c r="V1118" s="34"/>
      <c r="W1118" s="408"/>
    </row>
    <row r="1119" spans="1:23" ht="12.75" customHeight="1" x14ac:dyDescent="0.2">
      <c r="A1119" s="132">
        <v>1102</v>
      </c>
      <c r="B1119" s="44">
        <v>44469</v>
      </c>
      <c r="C1119" s="44">
        <f t="shared" si="52"/>
        <v>44469</v>
      </c>
      <c r="D1119" s="374">
        <v>216</v>
      </c>
      <c r="E1119" s="291" t="str">
        <f>IFERROR(VLOOKUP($D1119,'Clients-Live'!$A:$C,3,0),"")</f>
        <v>ALIGA ASHIRAF</v>
      </c>
      <c r="F1119" s="291">
        <f>IFERROR(INDEX(Disbursements!$D:$D,MATCH('Live Collections'!G1119,Disbursements!$C:$C,0)),"")</f>
        <v>1</v>
      </c>
      <c r="G1119" s="34">
        <v>215</v>
      </c>
      <c r="H1119" s="34">
        <v>2604</v>
      </c>
      <c r="I1119" s="34" t="s">
        <v>1359</v>
      </c>
      <c r="J1119" s="48"/>
      <c r="K1119" s="48"/>
      <c r="L1119" s="48"/>
      <c r="M1119" s="48"/>
      <c r="N1119" s="59"/>
      <c r="O1119" s="59">
        <v>100000</v>
      </c>
      <c r="P1119" s="59"/>
      <c r="Q1119" s="268">
        <f t="shared" si="53"/>
        <v>100000</v>
      </c>
      <c r="R1119" s="61">
        <f>IF(O1119=0,0,SUMIFS(Disbursements!$T:$T,Disbursements!$B:$B,'Live Collections'!D1119,Disbursements!$D:$D,'Live Collections'!F1119))</f>
        <v>109000</v>
      </c>
      <c r="S1119" s="304">
        <f>IF(O1119&lt;=IF($O1119=0,0,SUMIFS(Disbursements!$W:$W,Disbursements!$B:$B,'Live Collections'!D2547,Disbursements!$D:$D,'Live Collections'!F2547)),O1119,IF($O1119=0,0,SUMIFS(Disbursements!$W:$W,Disbursements!$B:$B,'Live Collections'!D2547,Disbursements!$D:$D,'Live Collections'!F2547)))</f>
        <v>0</v>
      </c>
      <c r="T1119" s="304">
        <f t="shared" si="54"/>
        <v>100000</v>
      </c>
      <c r="U1119" s="52"/>
      <c r="V1119" s="34"/>
      <c r="W1119" s="408"/>
    </row>
    <row r="1120" spans="1:23" ht="12.75" customHeight="1" x14ac:dyDescent="0.2">
      <c r="A1120" s="257">
        <v>1096</v>
      </c>
      <c r="B1120" s="44">
        <v>44469</v>
      </c>
      <c r="C1120" s="44">
        <f t="shared" si="52"/>
        <v>44469</v>
      </c>
      <c r="D1120" s="374">
        <v>222</v>
      </c>
      <c r="E1120" s="291" t="str">
        <f>IFERROR(VLOOKUP($D1120,'Clients-Live'!$A:$C,3,0),"")</f>
        <v>ITITU ZAIDA</v>
      </c>
      <c r="F1120" s="291">
        <f>IFERROR(INDEX(Disbursements!$D:$D,MATCH('Live Collections'!G1120,Disbursements!$C:$C,0)),"")</f>
        <v>1</v>
      </c>
      <c r="G1120" s="34">
        <v>249</v>
      </c>
      <c r="H1120" s="34">
        <v>2610</v>
      </c>
      <c r="I1120" s="34" t="s">
        <v>1358</v>
      </c>
      <c r="J1120" s="48"/>
      <c r="K1120" s="48"/>
      <c r="L1120" s="48"/>
      <c r="M1120" s="48"/>
      <c r="N1120" s="59"/>
      <c r="O1120" s="59"/>
      <c r="P1120" s="59">
        <v>100000</v>
      </c>
      <c r="Q1120" s="268">
        <f t="shared" si="53"/>
        <v>100000</v>
      </c>
      <c r="R1120" s="61">
        <f>IF(O1120=0,0,SUMIFS(Disbursements!$T:$T,Disbursements!$B:$B,'Live Collections'!D1120,Disbursements!$D:$D,'Live Collections'!F1120))</f>
        <v>0</v>
      </c>
      <c r="S1120" s="304">
        <f>IF(O1120&lt;=IF($O1120=0,0,SUMIFS(Disbursements!$W:$W,Disbursements!$B:$B,'Live Collections'!D2612,Disbursements!$D:$D,'Live Collections'!F2612)),O1120,IF($O1120=0,0,SUMIFS(Disbursements!$W:$W,Disbursements!$B:$B,'Live Collections'!D2612,Disbursements!$D:$D,'Live Collections'!F2612)))</f>
        <v>0</v>
      </c>
      <c r="T1120" s="304">
        <f t="shared" si="54"/>
        <v>0</v>
      </c>
      <c r="U1120" s="52"/>
      <c r="V1120" s="34"/>
      <c r="W1120" s="408"/>
    </row>
    <row r="1121" spans="1:23" ht="12.75" customHeight="1" x14ac:dyDescent="0.2">
      <c r="A1121" s="132">
        <v>1093</v>
      </c>
      <c r="B1121" s="44">
        <v>44469</v>
      </c>
      <c r="C1121" s="44">
        <f t="shared" si="52"/>
        <v>44469</v>
      </c>
      <c r="D1121" s="374">
        <v>232</v>
      </c>
      <c r="E1121" s="291" t="str">
        <f>IFERROR(VLOOKUP($D1121,'Clients-Live'!$A:$C,3,0),"")</f>
        <v>LEMERIGA GEOFFREY</v>
      </c>
      <c r="F1121" s="291" t="str">
        <f>IFERROR(INDEX(Disbursements!$D:$D,MATCH('Live Collections'!G1121,Disbursements!$C:$C,0)),"")</f>
        <v/>
      </c>
      <c r="G1121" s="34"/>
      <c r="H1121" s="34"/>
      <c r="I1121" s="34" t="s">
        <v>1815</v>
      </c>
      <c r="J1121" s="48">
        <v>15000</v>
      </c>
      <c r="K1121" s="48">
        <v>5000</v>
      </c>
      <c r="L1121" s="48"/>
      <c r="M1121" s="48"/>
      <c r="N1121" s="59"/>
      <c r="O1121" s="59"/>
      <c r="P1121" s="59"/>
      <c r="Q1121" s="268">
        <f t="shared" si="53"/>
        <v>20000</v>
      </c>
      <c r="R1121" s="61">
        <f>IF(O1121=0,0,SUMIFS(Disbursements!$T:$T,Disbursements!$B:$B,'Live Collections'!D1121,Disbursements!$D:$D,'Live Collections'!F1121))</f>
        <v>0</v>
      </c>
      <c r="S1121" s="304">
        <f>IF(O1121&lt;=IF($O1121=0,0,SUMIFS(Disbursements!$W:$W,Disbursements!$B:$B,'Live Collections'!D2683,Disbursements!$D:$D,'Live Collections'!F2683)),O1121,IF($O1121=0,0,SUMIFS(Disbursements!$W:$W,Disbursements!$B:$B,'Live Collections'!D2683,Disbursements!$D:$D,'Live Collections'!F2683)))</f>
        <v>0</v>
      </c>
      <c r="T1121" s="304">
        <f t="shared" si="54"/>
        <v>0</v>
      </c>
      <c r="U1121" s="52"/>
      <c r="V1121" s="34"/>
      <c r="W1121" s="408"/>
    </row>
    <row r="1122" spans="1:23" ht="12.75" customHeight="1" x14ac:dyDescent="0.2">
      <c r="A1122" s="257">
        <v>2005</v>
      </c>
      <c r="B1122" s="44">
        <v>44469</v>
      </c>
      <c r="C1122" s="44">
        <f t="shared" si="52"/>
        <v>44469</v>
      </c>
      <c r="D1122" s="374">
        <v>232</v>
      </c>
      <c r="E1122" s="291" t="str">
        <f>IFERROR(VLOOKUP($D1122,'Clients-Live'!$A:$C,3,0),"")</f>
        <v>LEMERIGA GEOFFREY</v>
      </c>
      <c r="F1122" s="291">
        <f>IFERROR(INDEX(Disbursements!$D:$D,MATCH('Live Collections'!G1122,Disbursements!$C:$C,0)),"")</f>
        <v>1</v>
      </c>
      <c r="G1122" s="34">
        <v>250</v>
      </c>
      <c r="H1122" s="34">
        <v>2700</v>
      </c>
      <c r="I1122" s="34" t="s">
        <v>1358</v>
      </c>
      <c r="J1122" s="48"/>
      <c r="K1122" s="48"/>
      <c r="L1122" s="48"/>
      <c r="M1122" s="48"/>
      <c r="N1122" s="59"/>
      <c r="O1122" s="59"/>
      <c r="P1122" s="59">
        <v>100000</v>
      </c>
      <c r="Q1122" s="268">
        <f t="shared" si="53"/>
        <v>100000</v>
      </c>
      <c r="R1122" s="61">
        <f>IF(O1122=0,0,SUMIFS(Disbursements!$T:$T,Disbursements!$B:$B,'Live Collections'!D1122,Disbursements!$D:$D,'Live Collections'!F1122))</f>
        <v>0</v>
      </c>
      <c r="S1122" s="304">
        <f>IF(O1122&lt;=IF($O1122=0,0,SUMIFS(Disbursements!$W:$W,Disbursements!$B:$B,'Live Collections'!D2684,Disbursements!$D:$D,'Live Collections'!F2684)),O1122,IF($O1122=0,0,SUMIFS(Disbursements!$W:$W,Disbursements!$B:$B,'Live Collections'!D2684,Disbursements!$D:$D,'Live Collections'!F2684)))</f>
        <v>0</v>
      </c>
      <c r="T1122" s="304">
        <f t="shared" si="54"/>
        <v>0</v>
      </c>
      <c r="U1122" s="52"/>
      <c r="V1122" s="34"/>
      <c r="W1122" s="408"/>
    </row>
    <row r="1123" spans="1:23" ht="12.75" customHeight="1" x14ac:dyDescent="0.2">
      <c r="A1123" s="132">
        <v>1094</v>
      </c>
      <c r="B1123" s="44">
        <v>44469</v>
      </c>
      <c r="C1123" s="44">
        <f t="shared" si="52"/>
        <v>44469</v>
      </c>
      <c r="D1123" s="374">
        <v>233</v>
      </c>
      <c r="E1123" s="291" t="str">
        <f>IFERROR(VLOOKUP($D1123,'Clients-Live'!$A:$C,3,0),"")</f>
        <v>KAMOYO HARRIET</v>
      </c>
      <c r="F1123" s="291" t="str">
        <f>IFERROR(INDEX(Disbursements!$D:$D,MATCH('Live Collections'!G1123,Disbursements!$C:$C,0)),"")</f>
        <v/>
      </c>
      <c r="G1123" s="34"/>
      <c r="H1123" s="34"/>
      <c r="I1123" s="34" t="s">
        <v>1358</v>
      </c>
      <c r="J1123" s="48">
        <v>15000</v>
      </c>
      <c r="K1123" s="48">
        <v>5000</v>
      </c>
      <c r="L1123" s="48">
        <v>10000</v>
      </c>
      <c r="M1123" s="48">
        <v>5000</v>
      </c>
      <c r="N1123" s="59"/>
      <c r="O1123" s="59"/>
      <c r="P1123" s="59"/>
      <c r="Q1123" s="268">
        <f t="shared" si="53"/>
        <v>35000</v>
      </c>
      <c r="R1123" s="61">
        <f>IF(O1123=0,0,SUMIFS(Disbursements!$T:$T,Disbursements!$B:$B,'Live Collections'!D1123,Disbursements!$D:$D,'Live Collections'!F1123))</f>
        <v>0</v>
      </c>
      <c r="S1123" s="304">
        <f>IF(O1123&lt;=IF($O1123=0,0,SUMIFS(Disbursements!$W:$W,Disbursements!$B:$B,'Live Collections'!D2691,Disbursements!$D:$D,'Live Collections'!F2691)),O1123,IF($O1123=0,0,SUMIFS(Disbursements!$W:$W,Disbursements!$B:$B,'Live Collections'!D2691,Disbursements!$D:$D,'Live Collections'!F2691)))</f>
        <v>0</v>
      </c>
      <c r="T1123" s="304">
        <f t="shared" si="54"/>
        <v>0</v>
      </c>
      <c r="U1123" s="52"/>
      <c r="V1123" s="34"/>
      <c r="W1123" s="408"/>
    </row>
    <row r="1124" spans="1:23" ht="12.75" customHeight="1" x14ac:dyDescent="0.2">
      <c r="A1124" s="257">
        <v>1095</v>
      </c>
      <c r="B1124" s="44">
        <v>44469</v>
      </c>
      <c r="C1124" s="44">
        <f t="shared" si="52"/>
        <v>44469</v>
      </c>
      <c r="D1124" s="374">
        <v>234</v>
      </c>
      <c r="E1124" s="291" t="str">
        <f>IFERROR(VLOOKUP($D1124,'Clients-Live'!$A:$C,3,0),"")</f>
        <v>SUDI YASIR</v>
      </c>
      <c r="F1124" s="291" t="str">
        <f>IFERROR(INDEX(Disbursements!$D:$D,MATCH('Live Collections'!G1124,Disbursements!$C:$C,0)),"")</f>
        <v/>
      </c>
      <c r="G1124" s="34"/>
      <c r="H1124" s="34"/>
      <c r="I1124" s="34" t="s">
        <v>1815</v>
      </c>
      <c r="J1124" s="48">
        <v>15000</v>
      </c>
      <c r="K1124" s="48">
        <v>5000</v>
      </c>
      <c r="L1124" s="48"/>
      <c r="M1124" s="48"/>
      <c r="N1124" s="59"/>
      <c r="O1124" s="59"/>
      <c r="P1124" s="59"/>
      <c r="Q1124" s="268">
        <f t="shared" si="53"/>
        <v>20000</v>
      </c>
      <c r="R1124" s="61">
        <f>IF(O1124=0,0,SUMIFS(Disbursements!$T:$T,Disbursements!$B:$B,'Live Collections'!D1124,Disbursements!$D:$D,'Live Collections'!F1124))</f>
        <v>0</v>
      </c>
      <c r="S1124" s="304">
        <f>IF(O1124&lt;=IF($O1124=0,0,SUMIFS(Disbursements!$W:$W,Disbursements!$B:$B,'Live Collections'!D2700,Disbursements!$D:$D,'Live Collections'!F2700)),O1124,IF($O1124=0,0,SUMIFS(Disbursements!$W:$W,Disbursements!$B:$B,'Live Collections'!D2700,Disbursements!$D:$D,'Live Collections'!F2700)))</f>
        <v>0</v>
      </c>
      <c r="T1124" s="304">
        <f t="shared" si="54"/>
        <v>0</v>
      </c>
      <c r="U1124" s="52"/>
      <c r="V1124" s="34"/>
      <c r="W1124" s="408"/>
    </row>
    <row r="1125" spans="1:23" ht="12.75" customHeight="1" x14ac:dyDescent="0.2">
      <c r="A1125" s="132">
        <v>1114</v>
      </c>
      <c r="B1125" s="44">
        <v>44470</v>
      </c>
      <c r="C1125" s="44">
        <f t="shared" si="52"/>
        <v>44470</v>
      </c>
      <c r="D1125" s="374">
        <v>6</v>
      </c>
      <c r="E1125" s="291" t="str">
        <f>IFERROR(VLOOKUP($D1125,'Clients-Live'!$A:$C,3,0),"")</f>
        <v>AMUTE BASHIR</v>
      </c>
      <c r="F1125" s="291">
        <f>IFERROR(INDEX(Disbursements!$D:$D,MATCH('Live Collections'!G1125,Disbursements!$C:$C,0)),"")</f>
        <v>2</v>
      </c>
      <c r="G1125" s="34">
        <v>100</v>
      </c>
      <c r="H1125" s="34">
        <v>2632</v>
      </c>
      <c r="I1125" s="34" t="s">
        <v>1358</v>
      </c>
      <c r="J1125" s="48"/>
      <c r="K1125" s="48"/>
      <c r="L1125" s="48"/>
      <c r="M1125" s="48"/>
      <c r="N1125" s="59"/>
      <c r="O1125" s="59">
        <v>250000</v>
      </c>
      <c r="P1125" s="59"/>
      <c r="Q1125" s="268">
        <f t="shared" si="53"/>
        <v>250000</v>
      </c>
      <c r="R1125" s="61">
        <f>IF(O1125=0,0,SUMIFS(Disbursements!$T:$T,Disbursements!$B:$B,'Live Collections'!D1125,Disbursements!$D:$D,'Live Collections'!F1125))</f>
        <v>1300000</v>
      </c>
      <c r="S1125" s="304">
        <f>IF(O1125&lt;=IF($O1125=0,0,SUMIFS(Disbursements!$W:$W,Disbursements!$B:$B,'Live Collections'!D53,Disbursements!$D:$D,'Live Collections'!F53)),O1125,IF($O1125=0,0,SUMIFS(Disbursements!$W:$W,Disbursements!$B:$B,'Live Collections'!D53,Disbursements!$D:$D,'Live Collections'!F53)))</f>
        <v>0</v>
      </c>
      <c r="T1125" s="304">
        <f t="shared" si="54"/>
        <v>250000</v>
      </c>
      <c r="U1125" s="52"/>
      <c r="V1125" s="34"/>
      <c r="W1125" s="408"/>
    </row>
    <row r="1126" spans="1:23" ht="12.75" customHeight="1" x14ac:dyDescent="0.2">
      <c r="A1126" s="257">
        <v>1116</v>
      </c>
      <c r="B1126" s="44">
        <v>44470</v>
      </c>
      <c r="C1126" s="44">
        <f t="shared" si="52"/>
        <v>44470</v>
      </c>
      <c r="D1126" s="374">
        <v>31</v>
      </c>
      <c r="E1126" s="291" t="str">
        <f>IFERROR(VLOOKUP($D1126,'Clients-Live'!$A:$C,3,0),"")</f>
        <v>MUNDURU HARRIET</v>
      </c>
      <c r="F1126" s="291">
        <f>IFERROR(INDEX(Disbursements!$D:$D,MATCH('Live Collections'!G1126,Disbursements!$C:$C,0)),"")</f>
        <v>1</v>
      </c>
      <c r="G1126" s="34">
        <v>16</v>
      </c>
      <c r="H1126" s="34"/>
      <c r="I1126" s="34" t="s">
        <v>1357</v>
      </c>
      <c r="J1126" s="48"/>
      <c r="K1126" s="48"/>
      <c r="L1126" s="48"/>
      <c r="M1126" s="48"/>
      <c r="N1126" s="59"/>
      <c r="O1126" s="59">
        <v>125000</v>
      </c>
      <c r="P1126" s="59"/>
      <c r="Q1126" s="268">
        <f t="shared" si="53"/>
        <v>125000</v>
      </c>
      <c r="R1126" s="61">
        <f>IF(O1126=0,0,SUMIFS(Disbursements!$T:$T,Disbursements!$B:$B,'Live Collections'!D1126,Disbursements!$D:$D,'Live Collections'!F1126))</f>
        <v>125000</v>
      </c>
      <c r="S1126" s="304">
        <f>IF(O1126&lt;=IF($O1126=0,0,SUMIFS(Disbursements!$W:$W,Disbursements!$B:$B,'Live Collections'!D354,Disbursements!$D:$D,'Live Collections'!F354)),O1126,IF($O1126=0,0,SUMIFS(Disbursements!$W:$W,Disbursements!$B:$B,'Live Collections'!D354,Disbursements!$D:$D,'Live Collections'!F354)))</f>
        <v>35000</v>
      </c>
      <c r="T1126" s="304">
        <f t="shared" si="54"/>
        <v>90000</v>
      </c>
      <c r="U1126" s="52"/>
      <c r="V1126" s="34"/>
      <c r="W1126" s="408"/>
    </row>
    <row r="1127" spans="1:23" ht="12.75" customHeight="1" x14ac:dyDescent="0.2">
      <c r="A1127" s="132">
        <v>1108</v>
      </c>
      <c r="B1127" s="44">
        <v>44470</v>
      </c>
      <c r="C1127" s="44">
        <f t="shared" si="52"/>
        <v>44470</v>
      </c>
      <c r="D1127" s="374">
        <v>41</v>
      </c>
      <c r="E1127" s="291" t="str">
        <f>IFERROR(VLOOKUP($D1127,'Clients-Live'!$A:$C,3,0),"")</f>
        <v>ANGUYO RONALD</v>
      </c>
      <c r="F1127" s="291" t="str">
        <f>IFERROR(INDEX(Disbursements!$D:$D,MATCH('Live Collections'!G1127,Disbursements!$C:$C,0)),"")</f>
        <v/>
      </c>
      <c r="G1127" s="34"/>
      <c r="H1127" s="34"/>
      <c r="I1127" s="34" t="s">
        <v>1358</v>
      </c>
      <c r="J1127" s="48"/>
      <c r="K1127" s="48"/>
      <c r="L1127" s="48">
        <v>15000</v>
      </c>
      <c r="M1127" s="48">
        <v>5000</v>
      </c>
      <c r="N1127" s="59"/>
      <c r="O1127" s="59"/>
      <c r="P1127" s="59"/>
      <c r="Q1127" s="268">
        <f t="shared" si="53"/>
        <v>20000</v>
      </c>
      <c r="R1127" s="61">
        <f>IF(O1127=0,0,SUMIFS(Disbursements!$T:$T,Disbursements!$B:$B,'Live Collections'!D1127,Disbursements!$D:$D,'Live Collections'!F1127))</f>
        <v>0</v>
      </c>
      <c r="S1127" s="304">
        <f>IF(O1127&lt;=IF($O1127=0,0,SUMIFS(Disbursements!$W:$W,Disbursements!$B:$B,'Live Collections'!D451,Disbursements!$D:$D,'Live Collections'!F451)),O1127,IF($O1127=0,0,SUMIFS(Disbursements!$W:$W,Disbursements!$B:$B,'Live Collections'!D451,Disbursements!$D:$D,'Live Collections'!F451)))</f>
        <v>0</v>
      </c>
      <c r="T1127" s="304">
        <f t="shared" si="54"/>
        <v>0</v>
      </c>
      <c r="U1127" s="52"/>
      <c r="V1127" s="34"/>
      <c r="W1127" s="408"/>
    </row>
    <row r="1128" spans="1:23" ht="12.75" customHeight="1" x14ac:dyDescent="0.2">
      <c r="A1128" s="257">
        <v>1112</v>
      </c>
      <c r="B1128" s="44">
        <v>44470</v>
      </c>
      <c r="C1128" s="44">
        <f t="shared" si="52"/>
        <v>44470</v>
      </c>
      <c r="D1128" s="374">
        <v>41</v>
      </c>
      <c r="E1128" s="291" t="str">
        <f>IFERROR(VLOOKUP($D1128,'Clients-Live'!$A:$C,3,0),"")</f>
        <v>ANGUYO RONALD</v>
      </c>
      <c r="F1128" s="291">
        <f>IFERROR(INDEX(Disbursements!$D:$D,MATCH('Live Collections'!G1128,Disbursements!$C:$C,0)),"")</f>
        <v>4</v>
      </c>
      <c r="G1128" s="34">
        <v>188</v>
      </c>
      <c r="H1128" s="34"/>
      <c r="I1128" s="34" t="s">
        <v>1358</v>
      </c>
      <c r="J1128" s="48"/>
      <c r="K1128" s="48"/>
      <c r="L1128" s="48"/>
      <c r="M1128" s="48"/>
      <c r="N1128" s="59"/>
      <c r="O1128" s="59">
        <v>1075000</v>
      </c>
      <c r="P1128" s="59"/>
      <c r="Q1128" s="268">
        <f t="shared" si="53"/>
        <v>1075000</v>
      </c>
      <c r="R1128" s="61">
        <f>IF(O1128=0,0,SUMIFS(Disbursements!$T:$T,Disbursements!$B:$B,'Live Collections'!D1128,Disbursements!$D:$D,'Live Collections'!F1128))</f>
        <v>1075000</v>
      </c>
      <c r="S1128" s="64">
        <v>75000</v>
      </c>
      <c r="T1128" s="304">
        <f t="shared" si="54"/>
        <v>1000000</v>
      </c>
      <c r="U1128" s="52"/>
      <c r="V1128" s="34"/>
      <c r="W1128" s="408" t="s">
        <v>2093</v>
      </c>
    </row>
    <row r="1129" spans="1:23" ht="12.75" customHeight="1" x14ac:dyDescent="0.2">
      <c r="A1129" s="132">
        <v>1113</v>
      </c>
      <c r="B1129" s="44">
        <v>44470</v>
      </c>
      <c r="C1129" s="44">
        <f t="shared" si="52"/>
        <v>44470</v>
      </c>
      <c r="D1129" s="374">
        <v>79</v>
      </c>
      <c r="E1129" s="291" t="str">
        <f>IFERROR(VLOOKUP($D1129,'Clients-Live'!$A:$C,3,0),"")</f>
        <v>PASI SENYA</v>
      </c>
      <c r="F1129" s="291">
        <f>IFERROR(INDEX(Disbursements!$D:$D,MATCH('Live Collections'!G1129,Disbursements!$C:$C,0)),"")</f>
        <v>1</v>
      </c>
      <c r="G1129" s="34">
        <v>64</v>
      </c>
      <c r="H1129" s="34"/>
      <c r="I1129" s="34" t="s">
        <v>1358</v>
      </c>
      <c r="J1129" s="48"/>
      <c r="K1129" s="48"/>
      <c r="L1129" s="48"/>
      <c r="M1129" s="48"/>
      <c r="N1129" s="59"/>
      <c r="O1129" s="59">
        <v>61000</v>
      </c>
      <c r="P1129" s="59"/>
      <c r="Q1129" s="268">
        <f t="shared" si="53"/>
        <v>61000</v>
      </c>
      <c r="R1129" s="61">
        <f>IF(O1129=0,0,SUMIFS(Disbursements!$T:$T,Disbursements!$B:$B,'Live Collections'!D1129,Disbursements!$D:$D,'Live Collections'!F1129))</f>
        <v>63000</v>
      </c>
      <c r="S1129" s="304"/>
      <c r="T1129" s="304">
        <f t="shared" si="54"/>
        <v>61000</v>
      </c>
      <c r="U1129" s="52"/>
      <c r="V1129" s="34"/>
      <c r="W1129" s="408"/>
    </row>
    <row r="1130" spans="1:23" ht="12.75" customHeight="1" x14ac:dyDescent="0.2">
      <c r="A1130" s="257">
        <v>1115</v>
      </c>
      <c r="B1130" s="44">
        <v>44470</v>
      </c>
      <c r="C1130" s="44">
        <f t="shared" si="52"/>
        <v>44470</v>
      </c>
      <c r="D1130" s="374">
        <v>108</v>
      </c>
      <c r="E1130" s="291" t="str">
        <f>IFERROR(VLOOKUP($D1130,'Clients-Live'!$A:$C,3,0),"")</f>
        <v>DUDU JOICE</v>
      </c>
      <c r="F1130" s="291">
        <f>IFERROR(INDEX(Disbursements!$D:$D,MATCH('Live Collections'!G1130,Disbursements!$C:$C,0)),"")</f>
        <v>1</v>
      </c>
      <c r="G1130" s="34">
        <v>91</v>
      </c>
      <c r="H1130" s="34"/>
      <c r="I1130" s="34" t="s">
        <v>1359</v>
      </c>
      <c r="J1130" s="48"/>
      <c r="K1130" s="48"/>
      <c r="L1130" s="48"/>
      <c r="M1130" s="48"/>
      <c r="N1130" s="59"/>
      <c r="O1130" s="59">
        <v>210000</v>
      </c>
      <c r="P1130" s="59"/>
      <c r="Q1130" s="268">
        <f t="shared" si="53"/>
        <v>210000</v>
      </c>
      <c r="R1130" s="61">
        <f>IF(O1130=0,0,SUMIFS(Disbursements!$T:$T,Disbursements!$B:$B,'Live Collections'!D1130,Disbursements!$D:$D,'Live Collections'!F1130))</f>
        <v>180000</v>
      </c>
      <c r="S1130" s="304">
        <f>IF(O1130&lt;=IF($O1130=0,0,SUMIFS(Disbursements!$W:$W,Disbursements!$B:$B,'Live Collections'!D1387,Disbursements!$D:$D,'Live Collections'!F1387)),O1130,IF($O1130=0,0,SUMIFS(Disbursements!$W:$W,Disbursements!$B:$B,'Live Collections'!D1387,Disbursements!$D:$D,'Live Collections'!F1387)))</f>
        <v>0</v>
      </c>
      <c r="T1130" s="304">
        <f t="shared" si="54"/>
        <v>210000</v>
      </c>
      <c r="U1130" s="52"/>
      <c r="V1130" s="34"/>
      <c r="W1130" s="408"/>
    </row>
    <row r="1131" spans="1:23" ht="12.75" customHeight="1" x14ac:dyDescent="0.2">
      <c r="A1131" s="132">
        <v>1117</v>
      </c>
      <c r="B1131" s="44">
        <v>44470</v>
      </c>
      <c r="C1131" s="44">
        <f t="shared" si="52"/>
        <v>44470</v>
      </c>
      <c r="D1131" s="374">
        <v>226</v>
      </c>
      <c r="E1131" s="291" t="str">
        <f>IFERROR(VLOOKUP($D1131,'Clients-Live'!$A:$C,3,0),"")</f>
        <v>MATURU NEEMA</v>
      </c>
      <c r="F1131" s="291" t="str">
        <f>IFERROR(INDEX(Disbursements!$D:$D,MATCH('Live Collections'!G1131,Disbursements!$C:$C,0)),"")</f>
        <v/>
      </c>
      <c r="G1131" s="34"/>
      <c r="H1131" s="34"/>
      <c r="I1131" s="34" t="s">
        <v>1359</v>
      </c>
      <c r="J1131" s="48"/>
      <c r="K1131" s="48"/>
      <c r="L1131" s="48">
        <v>10000</v>
      </c>
      <c r="M1131" s="48">
        <v>5000</v>
      </c>
      <c r="N1131" s="59"/>
      <c r="O1131" s="59"/>
      <c r="P1131" s="59"/>
      <c r="Q1131" s="268">
        <f t="shared" si="53"/>
        <v>15000</v>
      </c>
      <c r="R1131" s="61">
        <f>IF(O1131=0,0,SUMIFS(Disbursements!$T:$T,Disbursements!$B:$B,'Live Collections'!D1131,Disbursements!$D:$D,'Live Collections'!F1131))</f>
        <v>0</v>
      </c>
      <c r="S1131" s="304">
        <f>IF(O1131&lt;=IF($O1131=0,0,SUMIFS(Disbursements!$W:$W,Disbursements!$B:$B,'Live Collections'!D2729,Disbursements!$D:$D,'Live Collections'!F2729)),O1131,IF($O1131=0,0,SUMIFS(Disbursements!$W:$W,Disbursements!$B:$B,'Live Collections'!D2729,Disbursements!$D:$D,'Live Collections'!F2729)))</f>
        <v>0</v>
      </c>
      <c r="T1131" s="304">
        <f t="shared" si="54"/>
        <v>0</v>
      </c>
      <c r="U1131" s="52"/>
      <c r="V1131" s="34"/>
      <c r="W1131" s="408"/>
    </row>
    <row r="1132" spans="1:23" ht="12.75" customHeight="1" x14ac:dyDescent="0.2">
      <c r="A1132" s="257">
        <v>1107</v>
      </c>
      <c r="B1132" s="44">
        <v>44470</v>
      </c>
      <c r="C1132" s="44">
        <f t="shared" si="52"/>
        <v>44470</v>
      </c>
      <c r="D1132" s="374">
        <v>233</v>
      </c>
      <c r="E1132" s="291" t="str">
        <f>IFERROR(VLOOKUP($D1132,'Clients-Live'!$A:$C,3,0),"")</f>
        <v>KAMOYO HARRIET</v>
      </c>
      <c r="F1132" s="291" t="str">
        <f>IFERROR(INDEX(Disbursements!$D:$D,MATCH('Live Collections'!G1132,Disbursements!$C:$C,0)),"")</f>
        <v/>
      </c>
      <c r="G1132" s="34"/>
      <c r="H1132" s="34"/>
      <c r="I1132" s="34" t="s">
        <v>1358</v>
      </c>
      <c r="J1132" s="48">
        <v>15000</v>
      </c>
      <c r="K1132" s="48">
        <v>5000</v>
      </c>
      <c r="L1132" s="48">
        <v>15000</v>
      </c>
      <c r="M1132" s="48">
        <v>5000</v>
      </c>
      <c r="N1132" s="59"/>
      <c r="O1132" s="59"/>
      <c r="P1132" s="59">
        <v>0</v>
      </c>
      <c r="Q1132" s="268">
        <f t="shared" si="53"/>
        <v>40000</v>
      </c>
      <c r="R1132" s="61">
        <f>IF(O1132=0,0,SUMIFS(Disbursements!$T:$T,Disbursements!$B:$B,'Live Collections'!D1132,Disbursements!$D:$D,'Live Collections'!F1132))</f>
        <v>0</v>
      </c>
      <c r="S1132" s="304">
        <f>IF(O1132&lt;=IF($O1132=0,0,SUMIFS(Disbursements!$W:$W,Disbursements!$B:$B,'Live Collections'!D2692,Disbursements!$D:$D,'Live Collections'!F2692)),O1132,IF($O1132=0,0,SUMIFS(Disbursements!$W:$W,Disbursements!$B:$B,'Live Collections'!D2692,Disbursements!$D:$D,'Live Collections'!F2692)))</f>
        <v>0</v>
      </c>
      <c r="T1132" s="304">
        <f t="shared" si="54"/>
        <v>0</v>
      </c>
      <c r="U1132" s="52"/>
      <c r="V1132" s="34"/>
      <c r="W1132" s="408"/>
    </row>
    <row r="1133" spans="1:23" ht="12.75" customHeight="1" x14ac:dyDescent="0.2">
      <c r="A1133" s="132">
        <v>1111</v>
      </c>
      <c r="B1133" s="44">
        <v>44470</v>
      </c>
      <c r="C1133" s="44">
        <f t="shared" si="52"/>
        <v>44470</v>
      </c>
      <c r="D1133" s="374">
        <v>233</v>
      </c>
      <c r="E1133" s="291" t="str">
        <f>IFERROR(VLOOKUP($D1133,'Clients-Live'!$A:$C,3,0),"")</f>
        <v>KAMOYO HARRIET</v>
      </c>
      <c r="F1133" s="291">
        <f>IFERROR(INDEX(Disbursements!$D:$D,MATCH('Live Collections'!G1133,Disbursements!$C:$C,0)),"")</f>
        <v>1</v>
      </c>
      <c r="G1133" s="34">
        <v>246</v>
      </c>
      <c r="H1133" s="34">
        <v>2615</v>
      </c>
      <c r="I1133" s="34" t="s">
        <v>1358</v>
      </c>
      <c r="J1133" s="48"/>
      <c r="K1133" s="48"/>
      <c r="L1133" s="48"/>
      <c r="M1133" s="48"/>
      <c r="N1133" s="59"/>
      <c r="O1133" s="59"/>
      <c r="P1133" s="59">
        <v>50000</v>
      </c>
      <c r="Q1133" s="268">
        <f t="shared" si="53"/>
        <v>50000</v>
      </c>
      <c r="R1133" s="61">
        <f>IF(O1133=0,0,SUMIFS(Disbursements!$T:$T,Disbursements!$B:$B,'Live Collections'!D1133,Disbursements!$D:$D,'Live Collections'!F1133))</f>
        <v>0</v>
      </c>
      <c r="S1133" s="304">
        <f>IF(O1133&lt;=IF($O1133=0,0,SUMIFS(Disbursements!$W:$W,Disbursements!$B:$B,'Live Collections'!D2693,Disbursements!$D:$D,'Live Collections'!F2693)),O1133,IF($O1133=0,0,SUMIFS(Disbursements!$W:$W,Disbursements!$B:$B,'Live Collections'!D2693,Disbursements!$D:$D,'Live Collections'!F2693)))</f>
        <v>0</v>
      </c>
      <c r="T1133" s="304">
        <f t="shared" si="54"/>
        <v>0</v>
      </c>
      <c r="U1133" s="52"/>
      <c r="V1133" s="34"/>
      <c r="W1133" s="408"/>
    </row>
    <row r="1134" spans="1:23" ht="12.75" customHeight="1" x14ac:dyDescent="0.2">
      <c r="A1134" s="257">
        <v>1109</v>
      </c>
      <c r="B1134" s="44">
        <v>44470</v>
      </c>
      <c r="C1134" s="44">
        <f t="shared" si="52"/>
        <v>44470</v>
      </c>
      <c r="D1134" s="374">
        <v>236</v>
      </c>
      <c r="E1134" s="291" t="str">
        <f>IFERROR(VLOOKUP($D1134,'Clients-Live'!$A:$C,3,0),"")</f>
        <v>AMIJI LUCY</v>
      </c>
      <c r="F1134" s="291" t="str">
        <f>IFERROR(INDEX(Disbursements!$D:$D,MATCH('Live Collections'!G1134,Disbursements!$C:$C,0)),"")</f>
        <v/>
      </c>
      <c r="G1134" s="34"/>
      <c r="H1134" s="34"/>
      <c r="I1134" s="34" t="s">
        <v>1357</v>
      </c>
      <c r="J1134" s="48">
        <v>15000</v>
      </c>
      <c r="K1134" s="48">
        <v>5000</v>
      </c>
      <c r="L1134" s="48">
        <v>15000</v>
      </c>
      <c r="M1134" s="48">
        <v>5000</v>
      </c>
      <c r="N1134" s="59"/>
      <c r="O1134" s="59"/>
      <c r="P1134" s="59"/>
      <c r="Q1134" s="268">
        <f t="shared" si="53"/>
        <v>40000</v>
      </c>
      <c r="R1134" s="61">
        <f>IF(O1134=0,0,SUMIFS(Disbursements!$T:$T,Disbursements!$B:$B,'Live Collections'!D1134,Disbursements!$D:$D,'Live Collections'!F1134))</f>
        <v>0</v>
      </c>
      <c r="S1134" s="304">
        <f>IF(O1134&lt;=IF($O1134=0,0,SUMIFS(Disbursements!$W:$W,Disbursements!$B:$B,'Live Collections'!D2712,Disbursements!$D:$D,'Live Collections'!F2712)),O1134,IF($O1134=0,0,SUMIFS(Disbursements!$W:$W,Disbursements!$B:$B,'Live Collections'!D2712,Disbursements!$D:$D,'Live Collections'!F2712)))</f>
        <v>0</v>
      </c>
      <c r="T1134" s="304">
        <f t="shared" si="54"/>
        <v>0</v>
      </c>
      <c r="U1134" s="52"/>
      <c r="V1134" s="34"/>
      <c r="W1134" s="408"/>
    </row>
    <row r="1135" spans="1:23" ht="12.75" customHeight="1" x14ac:dyDescent="0.2">
      <c r="A1135" s="132">
        <v>1110</v>
      </c>
      <c r="B1135" s="44">
        <v>44470</v>
      </c>
      <c r="C1135" s="44">
        <f t="shared" si="52"/>
        <v>44470</v>
      </c>
      <c r="D1135" s="374">
        <v>237</v>
      </c>
      <c r="E1135" s="291" t="str">
        <f>IFERROR(VLOOKUP($D1135,'Clients-Live'!$A:$C,3,0),"")</f>
        <v>EZRA INNOCENT</v>
      </c>
      <c r="F1135" s="291" t="str">
        <f>IFERROR(INDEX(Disbursements!$D:$D,MATCH('Live Collections'!G1135,Disbursements!$C:$C,0)),"")</f>
        <v/>
      </c>
      <c r="G1135" s="34"/>
      <c r="H1135" s="34"/>
      <c r="I1135" s="34" t="s">
        <v>1357</v>
      </c>
      <c r="J1135" s="48">
        <v>15000</v>
      </c>
      <c r="K1135" s="48">
        <v>5000</v>
      </c>
      <c r="L1135" s="48">
        <v>10000</v>
      </c>
      <c r="M1135" s="48">
        <v>5000</v>
      </c>
      <c r="N1135" s="59"/>
      <c r="O1135" s="59"/>
      <c r="P1135" s="59">
        <v>50000</v>
      </c>
      <c r="Q1135" s="268">
        <f t="shared" si="53"/>
        <v>85000</v>
      </c>
      <c r="R1135" s="61">
        <f>IF(O1135=0,0,SUMIFS(Disbursements!$T:$T,Disbursements!$B:$B,'Live Collections'!D1135,Disbursements!$D:$D,'Live Collections'!F1135))</f>
        <v>0</v>
      </c>
      <c r="S1135" s="304">
        <f>IF(O1135&lt;=IF($O1135=0,0,SUMIFS(Disbursements!$W:$W,Disbursements!$B:$B,'Live Collections'!D2722,Disbursements!$D:$D,'Live Collections'!F2722)),O1135,IF($O1135=0,0,SUMIFS(Disbursements!$W:$W,Disbursements!$B:$B,'Live Collections'!D2722,Disbursements!$D:$D,'Live Collections'!F2722)))</f>
        <v>0</v>
      </c>
      <c r="T1135" s="304">
        <f t="shared" si="54"/>
        <v>0</v>
      </c>
      <c r="U1135" s="52"/>
      <c r="V1135" s="34"/>
      <c r="W1135" s="408"/>
    </row>
    <row r="1136" spans="1:23" ht="12.75" customHeight="1" x14ac:dyDescent="0.2">
      <c r="A1136" s="257">
        <v>1127</v>
      </c>
      <c r="B1136" s="44">
        <v>44471</v>
      </c>
      <c r="C1136" s="44">
        <f t="shared" si="52"/>
        <v>44471</v>
      </c>
      <c r="D1136" s="374">
        <v>18</v>
      </c>
      <c r="E1136" s="291" t="str">
        <f>IFERROR(VLOOKUP($D1136,'Clients-Live'!$A:$C,3,0),"")</f>
        <v>ARIYE PEACE</v>
      </c>
      <c r="F1136" s="291">
        <f>IFERROR(INDEX(Disbursements!$D:$D,MATCH('Live Collections'!G1136,Disbursements!$C:$C,0)),"")</f>
        <v>1</v>
      </c>
      <c r="G1136" s="34">
        <v>9</v>
      </c>
      <c r="H1136" s="34"/>
      <c r="I1136" s="34" t="s">
        <v>1357</v>
      </c>
      <c r="J1136" s="48"/>
      <c r="K1136" s="48"/>
      <c r="L1136" s="48"/>
      <c r="M1136" s="48"/>
      <c r="N1136" s="59"/>
      <c r="O1136" s="59">
        <v>60000</v>
      </c>
      <c r="P1136" s="59"/>
      <c r="Q1136" s="268">
        <f t="shared" si="53"/>
        <v>60000</v>
      </c>
      <c r="R1136" s="61">
        <f>IF(O1136=0,0,SUMIFS(Disbursements!$T:$T,Disbursements!$B:$B,'Live Collections'!D1136,Disbursements!$D:$D,'Live Collections'!F1136))</f>
        <v>109000</v>
      </c>
      <c r="S1136" s="304">
        <f>IF(O1136&lt;=IF($O1136=0,0,SUMIFS(Disbursements!$W:$W,Disbursements!$B:$B,'Live Collections'!D207,Disbursements!$D:$D,'Live Collections'!F207)),O1136,IF($O1136=0,0,SUMIFS(Disbursements!$W:$W,Disbursements!$B:$B,'Live Collections'!D207,Disbursements!$D:$D,'Live Collections'!F207)))</f>
        <v>0</v>
      </c>
      <c r="T1136" s="304">
        <f t="shared" si="54"/>
        <v>60000</v>
      </c>
      <c r="U1136" s="52"/>
      <c r="V1136" s="34"/>
      <c r="W1136" s="408"/>
    </row>
    <row r="1137" spans="1:23" ht="12.75" customHeight="1" x14ac:dyDescent="0.2">
      <c r="A1137" s="132">
        <v>1125</v>
      </c>
      <c r="B1137" s="44">
        <v>44471</v>
      </c>
      <c r="C1137" s="44">
        <f t="shared" si="52"/>
        <v>44471</v>
      </c>
      <c r="D1137" s="374">
        <v>76</v>
      </c>
      <c r="E1137" s="291" t="str">
        <f>IFERROR(VLOOKUP($D1137,'Clients-Live'!$A:$C,3,0),"")</f>
        <v>DAWA AISHA</v>
      </c>
      <c r="F1137" s="291">
        <f>IFERROR(INDEX(Disbursements!$D:$D,MATCH('Live Collections'!G1137,Disbursements!$C:$C,0)),"")</f>
        <v>2</v>
      </c>
      <c r="G1137" s="34">
        <v>187</v>
      </c>
      <c r="H1137" s="34"/>
      <c r="I1137" s="34" t="s">
        <v>1358</v>
      </c>
      <c r="J1137" s="48"/>
      <c r="K1137" s="48"/>
      <c r="L1137" s="48"/>
      <c r="M1137" s="48"/>
      <c r="N1137" s="59"/>
      <c r="O1137" s="59">
        <v>120000</v>
      </c>
      <c r="P1137" s="59"/>
      <c r="Q1137" s="268">
        <f t="shared" si="53"/>
        <v>120000</v>
      </c>
      <c r="R1137" s="61">
        <f>IF(O1137=0,0,SUMIFS(Disbursements!$T:$T,Disbursements!$B:$B,'Live Collections'!D1137,Disbursements!$D:$D,'Live Collections'!F1137))</f>
        <v>180000</v>
      </c>
      <c r="S1137" s="304">
        <f>IF(O1137&lt;=IF($O1137=0,0,SUMIFS(Disbursements!$W:$W,Disbursements!$B:$B,'Live Collections'!D976,Disbursements!$D:$D,'Live Collections'!F976)),O1137,IF($O1137=0,0,SUMIFS(Disbursements!$W:$W,Disbursements!$B:$B,'Live Collections'!D976,Disbursements!$D:$D,'Live Collections'!F976)))</f>
        <v>50000</v>
      </c>
      <c r="T1137" s="304">
        <f t="shared" si="54"/>
        <v>70000</v>
      </c>
      <c r="U1137" s="52"/>
      <c r="V1137" s="34"/>
      <c r="W1137" s="408"/>
    </row>
    <row r="1138" spans="1:23" ht="12.75" customHeight="1" x14ac:dyDescent="0.2">
      <c r="A1138" s="257">
        <v>1118</v>
      </c>
      <c r="B1138" s="44">
        <v>44471</v>
      </c>
      <c r="C1138" s="44">
        <f t="shared" si="52"/>
        <v>44471</v>
      </c>
      <c r="D1138" s="374">
        <v>96</v>
      </c>
      <c r="E1138" s="291" t="str">
        <f>IFERROR(VLOOKUP($D1138,'Clients-Live'!$A:$C,3,0),"")</f>
        <v>AKANDU NIGHT YONGORO</v>
      </c>
      <c r="F1138" s="291" t="str">
        <f>IFERROR(INDEX(Disbursements!$D:$D,MATCH('Live Collections'!G1138,Disbursements!$C:$C,0)),"")</f>
        <v/>
      </c>
      <c r="G1138" s="34"/>
      <c r="H1138" s="34"/>
      <c r="I1138" s="34" t="s">
        <v>1358</v>
      </c>
      <c r="J1138" s="48"/>
      <c r="K1138" s="48"/>
      <c r="L1138" s="48">
        <v>15000</v>
      </c>
      <c r="M1138" s="48">
        <v>5000</v>
      </c>
      <c r="N1138" s="59"/>
      <c r="O1138" s="59"/>
      <c r="P1138" s="59">
        <v>10000</v>
      </c>
      <c r="Q1138" s="268">
        <f t="shared" si="53"/>
        <v>30000</v>
      </c>
      <c r="R1138" s="61">
        <f>IF(O1138=0,0,SUMIFS(Disbursements!$T:$T,Disbursements!$B:$B,'Live Collections'!D1138,Disbursements!$D:$D,'Live Collections'!F1138))</f>
        <v>0</v>
      </c>
      <c r="S1138" s="304">
        <f>IF(O1138&lt;=IF($O1138=0,0,SUMIFS(Disbursements!$W:$W,Disbursements!$B:$B,'Live Collections'!D1234,Disbursements!$D:$D,'Live Collections'!F1234)),O1138,IF($O1138=0,0,SUMIFS(Disbursements!$W:$W,Disbursements!$B:$B,'Live Collections'!D1234,Disbursements!$D:$D,'Live Collections'!F1234)))</f>
        <v>0</v>
      </c>
      <c r="T1138" s="304">
        <f t="shared" si="54"/>
        <v>0</v>
      </c>
      <c r="U1138" s="52"/>
      <c r="V1138" s="34"/>
      <c r="W1138" s="408"/>
    </row>
    <row r="1139" spans="1:23" ht="12.75" customHeight="1" x14ac:dyDescent="0.2">
      <c r="A1139" s="132">
        <v>1126</v>
      </c>
      <c r="B1139" s="44">
        <v>44471</v>
      </c>
      <c r="C1139" s="44">
        <f t="shared" si="52"/>
        <v>44471</v>
      </c>
      <c r="D1139" s="374">
        <v>96</v>
      </c>
      <c r="E1139" s="291" t="str">
        <f>IFERROR(VLOOKUP($D1139,'Clients-Live'!$A:$C,3,0),"")</f>
        <v>AKANDU NIGHT YONGORO</v>
      </c>
      <c r="F1139" s="291">
        <f>IFERROR(INDEX(Disbursements!$D:$D,MATCH('Live Collections'!G1139,Disbursements!$C:$C,0)),"")</f>
        <v>1</v>
      </c>
      <c r="G1139" s="34">
        <v>87</v>
      </c>
      <c r="H1139" s="34"/>
      <c r="I1139" s="34" t="s">
        <v>1358</v>
      </c>
      <c r="J1139" s="48"/>
      <c r="K1139" s="48"/>
      <c r="L1139" s="48"/>
      <c r="M1139" s="48"/>
      <c r="N1139" s="59"/>
      <c r="O1139" s="59">
        <v>180000</v>
      </c>
      <c r="P1139" s="59"/>
      <c r="Q1139" s="268">
        <f t="shared" si="53"/>
        <v>180000</v>
      </c>
      <c r="R1139" s="61">
        <f>IF(O1139=0,0,SUMIFS(Disbursements!$T:$T,Disbursements!$B:$B,'Live Collections'!D1139,Disbursements!$D:$D,'Live Collections'!F1139))</f>
        <v>180000</v>
      </c>
      <c r="S1139" s="64">
        <v>-86000.000000000029</v>
      </c>
      <c r="T1139" s="304">
        <f t="shared" si="54"/>
        <v>266000</v>
      </c>
      <c r="U1139" s="52"/>
      <c r="V1139" s="34"/>
      <c r="W1139" s="408" t="s">
        <v>2084</v>
      </c>
    </row>
    <row r="1140" spans="1:23" ht="12.75" customHeight="1" x14ac:dyDescent="0.2">
      <c r="A1140" s="257">
        <v>1128</v>
      </c>
      <c r="B1140" s="44">
        <v>44471</v>
      </c>
      <c r="C1140" s="44">
        <f t="shared" si="52"/>
        <v>44471</v>
      </c>
      <c r="D1140" s="374">
        <v>104</v>
      </c>
      <c r="E1140" s="291" t="str">
        <f>IFERROR(VLOOKUP($D1140,'Clients-Live'!$A:$C,3,0),"")</f>
        <v>IDIRA ALIMA</v>
      </c>
      <c r="F1140" s="291">
        <f>IFERROR(INDEX(Disbursements!$D:$D,MATCH('Live Collections'!G1140,Disbursements!$C:$C,0)),"")</f>
        <v>1</v>
      </c>
      <c r="G1140" s="34">
        <v>86</v>
      </c>
      <c r="H1140" s="34"/>
      <c r="I1140" s="34" t="s">
        <v>1359</v>
      </c>
      <c r="J1140" s="48"/>
      <c r="K1140" s="48"/>
      <c r="L1140" s="48"/>
      <c r="M1140" s="48"/>
      <c r="N1140" s="59"/>
      <c r="O1140" s="59">
        <v>320000</v>
      </c>
      <c r="P1140" s="59"/>
      <c r="Q1140" s="268">
        <f t="shared" si="53"/>
        <v>320000</v>
      </c>
      <c r="R1140" s="61">
        <f>IF(O1140=0,0,SUMIFS(Disbursements!$T:$T,Disbursements!$B:$B,'Live Collections'!D1140,Disbursements!$D:$D,'Live Collections'!F1140))</f>
        <v>150000</v>
      </c>
      <c r="S1140" s="304">
        <f>IF(O1140&lt;=IF($O1140=0,0,SUMIFS(Disbursements!$W:$W,Disbursements!$B:$B,'Live Collections'!D1341,Disbursements!$D:$D,'Live Collections'!F1341)),O1140,IF($O1140=0,0,SUMIFS(Disbursements!$W:$W,Disbursements!$B:$B,'Live Collections'!D1341,Disbursements!$D:$D,'Live Collections'!F1341)))</f>
        <v>0</v>
      </c>
      <c r="T1140" s="304">
        <f t="shared" si="54"/>
        <v>320000</v>
      </c>
      <c r="U1140" s="52"/>
      <c r="V1140" s="34"/>
      <c r="W1140" s="408"/>
    </row>
    <row r="1141" spans="1:23" ht="12.75" customHeight="1" x14ac:dyDescent="0.2">
      <c r="A1141" s="132">
        <v>1129</v>
      </c>
      <c r="B1141" s="44">
        <v>44471</v>
      </c>
      <c r="C1141" s="44">
        <f t="shared" si="52"/>
        <v>44471</v>
      </c>
      <c r="D1141" s="374">
        <v>105</v>
      </c>
      <c r="E1141" s="291" t="str">
        <f>IFERROR(VLOOKUP($D1141,'Clients-Live'!$A:$C,3,0),"")</f>
        <v>NUKA ROSE</v>
      </c>
      <c r="F1141" s="291">
        <f>IFERROR(INDEX(Disbursements!$D:$D,MATCH('Live Collections'!G1141,Disbursements!$C:$C,0)),"")</f>
        <v>1</v>
      </c>
      <c r="G1141" s="34">
        <v>85</v>
      </c>
      <c r="H1141" s="34"/>
      <c r="I1141" s="34" t="s">
        <v>1359</v>
      </c>
      <c r="J1141" s="48"/>
      <c r="K1141" s="48"/>
      <c r="L1141" s="48"/>
      <c r="M1141" s="48"/>
      <c r="N1141" s="59"/>
      <c r="O1141" s="59">
        <v>180000</v>
      </c>
      <c r="P1141" s="59"/>
      <c r="Q1141" s="268">
        <f t="shared" si="53"/>
        <v>180000</v>
      </c>
      <c r="R1141" s="61">
        <f>IF(O1141=0,0,SUMIFS(Disbursements!$T:$T,Disbursements!$B:$B,'Live Collections'!D1141,Disbursements!$D:$D,'Live Collections'!F1141))</f>
        <v>90000</v>
      </c>
      <c r="S1141" s="304"/>
      <c r="T1141" s="304">
        <f t="shared" si="54"/>
        <v>180000</v>
      </c>
      <c r="U1141" s="52"/>
      <c r="V1141" s="34"/>
      <c r="W1141" s="408"/>
    </row>
    <row r="1142" spans="1:23" ht="12.75" customHeight="1" x14ac:dyDescent="0.2">
      <c r="A1142" s="257">
        <v>1122</v>
      </c>
      <c r="B1142" s="44">
        <v>44471</v>
      </c>
      <c r="C1142" s="44">
        <f t="shared" si="52"/>
        <v>44471</v>
      </c>
      <c r="D1142" s="374">
        <v>114</v>
      </c>
      <c r="E1142" s="291" t="str">
        <f>IFERROR(VLOOKUP($D1142,'Clients-Live'!$A:$C,3,0),"")</f>
        <v>ONZIA EMMILY</v>
      </c>
      <c r="F1142" s="291">
        <f>IFERROR(INDEX(Disbursements!$D:$D,MATCH('Live Collections'!G1142,Disbursements!$C:$C,0)),"")</f>
        <v>2</v>
      </c>
      <c r="G1142" s="34">
        <v>161</v>
      </c>
      <c r="H1142" s="34"/>
      <c r="I1142" s="34" t="s">
        <v>1358</v>
      </c>
      <c r="J1142" s="48"/>
      <c r="K1142" s="48"/>
      <c r="L1142" s="48"/>
      <c r="M1142" s="48"/>
      <c r="N1142" s="59"/>
      <c r="O1142" s="59">
        <v>100000</v>
      </c>
      <c r="P1142" s="59"/>
      <c r="Q1142" s="268">
        <f t="shared" si="53"/>
        <v>100000</v>
      </c>
      <c r="R1142" s="61">
        <f>IF(O1142=0,0,SUMIFS(Disbursements!$T:$T,Disbursements!$B:$B,'Live Collections'!D1142,Disbursements!$D:$D,'Live Collections'!F1142))</f>
        <v>58000</v>
      </c>
      <c r="S1142" s="304">
        <f>IF(O1142&lt;=IF($O1142=0,0,SUMIFS(Disbursements!$W:$W,Disbursements!$B:$B,'Live Collections'!D1459,Disbursements!$D:$D,'Live Collections'!F1459)),O1142,IF($O1142=0,0,SUMIFS(Disbursements!$W:$W,Disbursements!$B:$B,'Live Collections'!D1459,Disbursements!$D:$D,'Live Collections'!F1459)))</f>
        <v>15000</v>
      </c>
      <c r="T1142" s="304">
        <f t="shared" si="54"/>
        <v>85000</v>
      </c>
      <c r="U1142" s="52"/>
      <c r="V1142" s="34"/>
      <c r="W1142" s="408"/>
    </row>
    <row r="1143" spans="1:23" ht="12.75" customHeight="1" x14ac:dyDescent="0.2">
      <c r="A1143" s="132">
        <v>1131</v>
      </c>
      <c r="B1143" s="44">
        <v>44471</v>
      </c>
      <c r="C1143" s="44">
        <f t="shared" si="52"/>
        <v>44471</v>
      </c>
      <c r="D1143" s="374">
        <v>116</v>
      </c>
      <c r="E1143" s="291" t="str">
        <f>IFERROR(VLOOKUP($D1143,'Clients-Live'!$A:$C,3,0),"")</f>
        <v>ONZIA LUCY</v>
      </c>
      <c r="F1143" s="291">
        <f>IFERROR(INDEX(Disbursements!$D:$D,MATCH('Live Collections'!G1143,Disbursements!$C:$C,0)),"")</f>
        <v>2</v>
      </c>
      <c r="G1143" s="34">
        <v>229</v>
      </c>
      <c r="H1143" s="34"/>
      <c r="I1143" s="34" t="s">
        <v>1357</v>
      </c>
      <c r="J1143" s="48"/>
      <c r="K1143" s="48"/>
      <c r="L1143" s="48"/>
      <c r="M1143" s="48"/>
      <c r="N1143" s="59"/>
      <c r="O1143" s="59">
        <v>50000</v>
      </c>
      <c r="P1143" s="59"/>
      <c r="Q1143" s="268">
        <f t="shared" si="53"/>
        <v>50000</v>
      </c>
      <c r="R1143" s="61">
        <f>IF(O1143=0,0,SUMIFS(Disbursements!$T:$T,Disbursements!$B:$B,'Live Collections'!D1143,Disbursements!$D:$D,'Live Collections'!F1143))</f>
        <v>29000</v>
      </c>
      <c r="S1143" s="304">
        <f>IF(O1143&lt;=IF($O1143=0,0,SUMIFS(Disbursements!$W:$W,Disbursements!$B:$B,'Live Collections'!D1499,Disbursements!$D:$D,'Live Collections'!F1499)),O1143,IF($O1143=0,0,SUMIFS(Disbursements!$W:$W,Disbursements!$B:$B,'Live Collections'!D1499,Disbursements!$D:$D,'Live Collections'!F1499)))</f>
        <v>20666.666666666657</v>
      </c>
      <c r="T1143" s="304">
        <f t="shared" si="54"/>
        <v>29333.333333333343</v>
      </c>
      <c r="U1143" s="52"/>
      <c r="V1143" s="34"/>
      <c r="W1143" s="408"/>
    </row>
    <row r="1144" spans="1:23" ht="12.75" customHeight="1" x14ac:dyDescent="0.2">
      <c r="A1144" s="257">
        <v>1132</v>
      </c>
      <c r="B1144" s="44">
        <v>44471</v>
      </c>
      <c r="C1144" s="44">
        <f t="shared" si="52"/>
        <v>44471</v>
      </c>
      <c r="D1144" s="374">
        <v>116</v>
      </c>
      <c r="E1144" s="291" t="str">
        <f>IFERROR(VLOOKUP($D1144,'Clients-Live'!$A:$C,3,0),"")</f>
        <v>ONZIA LUCY</v>
      </c>
      <c r="F1144" s="291">
        <f>IFERROR(INDEX(Disbursements!$D:$D,MATCH('Live Collections'!G1144,Disbursements!$C:$C,0)),"")</f>
        <v>2</v>
      </c>
      <c r="G1144" s="34">
        <v>229</v>
      </c>
      <c r="H1144" s="34"/>
      <c r="I1144" s="34" t="s">
        <v>1357</v>
      </c>
      <c r="J1144" s="48"/>
      <c r="K1144" s="48"/>
      <c r="L1144" s="48"/>
      <c r="M1144" s="48"/>
      <c r="N1144" s="59"/>
      <c r="O1144" s="59">
        <v>7500</v>
      </c>
      <c r="P1144" s="59"/>
      <c r="Q1144" s="268">
        <f t="shared" si="53"/>
        <v>7500</v>
      </c>
      <c r="R1144" s="61">
        <f>IF(O1144=0,0,SUMIFS(Disbursements!$T:$T,Disbursements!$B:$B,'Live Collections'!D1144,Disbursements!$D:$D,'Live Collections'!F1144))</f>
        <v>29000</v>
      </c>
      <c r="S1144" s="304">
        <f>IF(O1144&lt;=IF($O1144=0,0,SUMIFS(Disbursements!$W:$W,Disbursements!$B:$B,'Live Collections'!D1500,Disbursements!$D:$D,'Live Collections'!F1500)),O1144,IF($O1144=0,0,SUMIFS(Disbursements!$W:$W,Disbursements!$B:$B,'Live Collections'!D1500,Disbursements!$D:$D,'Live Collections'!F1500)))</f>
        <v>7500</v>
      </c>
      <c r="T1144" s="304">
        <f t="shared" si="54"/>
        <v>0</v>
      </c>
      <c r="U1144" s="52"/>
      <c r="V1144" s="34"/>
      <c r="W1144" s="408"/>
    </row>
    <row r="1145" spans="1:23" ht="12.75" customHeight="1" x14ac:dyDescent="0.2">
      <c r="A1145" s="132">
        <v>1133</v>
      </c>
      <c r="B1145" s="44">
        <v>44471</v>
      </c>
      <c r="C1145" s="44">
        <f t="shared" si="52"/>
        <v>44471</v>
      </c>
      <c r="D1145" s="374">
        <v>157</v>
      </c>
      <c r="E1145" s="291" t="str">
        <f>IFERROR(VLOOKUP($D1145,'Clients-Live'!$A:$C,3,0),"")</f>
        <v>AYITE MARGERT</v>
      </c>
      <c r="F1145" s="291">
        <f>IFERROR(INDEX(Disbursements!$D:$D,MATCH('Live Collections'!G1145,Disbursements!$C:$C,0)),"")</f>
        <v>1</v>
      </c>
      <c r="G1145" s="34">
        <v>148</v>
      </c>
      <c r="H1145" s="34"/>
      <c r="I1145" s="34" t="s">
        <v>1358</v>
      </c>
      <c r="J1145" s="48"/>
      <c r="K1145" s="48"/>
      <c r="L1145" s="48"/>
      <c r="M1145" s="48"/>
      <c r="N1145" s="59"/>
      <c r="O1145" s="59">
        <v>150000</v>
      </c>
      <c r="P1145" s="59"/>
      <c r="Q1145" s="268">
        <f t="shared" si="53"/>
        <v>150000</v>
      </c>
      <c r="R1145" s="61">
        <f>IF(O1145=0,0,SUMIFS(Disbursements!$T:$T,Disbursements!$B:$B,'Live Collections'!D1145,Disbursements!$D:$D,'Live Collections'!F1145))</f>
        <v>150000</v>
      </c>
      <c r="S1145" s="304">
        <f>IF(O1145&lt;=IF($O1145=0,0,SUMIFS(Disbursements!$W:$W,Disbursements!$B:$B,'Live Collections'!D1966,Disbursements!$D:$D,'Live Collections'!F1966)),O1145,IF($O1145=0,0,SUMIFS(Disbursements!$W:$W,Disbursements!$B:$B,'Live Collections'!D1966,Disbursements!$D:$D,'Live Collections'!F1966)))</f>
        <v>35000</v>
      </c>
      <c r="T1145" s="304">
        <f t="shared" si="54"/>
        <v>115000</v>
      </c>
      <c r="U1145" s="52"/>
      <c r="V1145" s="34"/>
      <c r="W1145" s="408"/>
    </row>
    <row r="1146" spans="1:23" ht="12.75" customHeight="1" x14ac:dyDescent="0.2">
      <c r="A1146" s="257">
        <v>1124</v>
      </c>
      <c r="B1146" s="44">
        <v>44471</v>
      </c>
      <c r="C1146" s="44">
        <f t="shared" si="52"/>
        <v>44471</v>
      </c>
      <c r="D1146" s="374">
        <v>180</v>
      </c>
      <c r="E1146" s="291" t="str">
        <f>IFERROR(VLOOKUP($D1146,'Clients-Live'!$A:$C,3,0),"")</f>
        <v>IJOSIGA ISMAIL</v>
      </c>
      <c r="F1146" s="291">
        <f>IFERROR(INDEX(Disbursements!$D:$D,MATCH('Live Collections'!G1146,Disbursements!$C:$C,0)),"")</f>
        <v>1</v>
      </c>
      <c r="G1146" s="34">
        <v>185</v>
      </c>
      <c r="H1146" s="34">
        <v>2634</v>
      </c>
      <c r="I1146" s="34" t="s">
        <v>1359</v>
      </c>
      <c r="J1146" s="48"/>
      <c r="K1146" s="48"/>
      <c r="L1146" s="48"/>
      <c r="M1146" s="48"/>
      <c r="N1146" s="59"/>
      <c r="O1146" s="59">
        <v>45000</v>
      </c>
      <c r="P1146" s="59"/>
      <c r="Q1146" s="268">
        <f t="shared" si="53"/>
        <v>45000</v>
      </c>
      <c r="R1146" s="61">
        <f>IF(O1146=0,0,SUMIFS(Disbursements!$T:$T,Disbursements!$B:$B,'Live Collections'!D1146,Disbursements!$D:$D,'Live Collections'!F1146))</f>
        <v>286000</v>
      </c>
      <c r="S1146" s="304"/>
      <c r="T1146" s="304">
        <f t="shared" si="54"/>
        <v>45000</v>
      </c>
      <c r="U1146" s="52"/>
      <c r="V1146" s="34"/>
      <c r="W1146" s="408"/>
    </row>
    <row r="1147" spans="1:23" ht="12.75" customHeight="1" x14ac:dyDescent="0.2">
      <c r="A1147" s="421">
        <v>1130</v>
      </c>
      <c r="B1147" s="422">
        <v>44471</v>
      </c>
      <c r="C1147" s="422">
        <f t="shared" si="52"/>
        <v>44471</v>
      </c>
      <c r="D1147" s="423">
        <v>184</v>
      </c>
      <c r="E1147" s="291" t="str">
        <f>IFERROR(VLOOKUP($D1147,'Clients-Live'!$A:$C,3,0),"")</f>
        <v>OCOKORU GLORIA</v>
      </c>
      <c r="F1147" s="291">
        <f>IFERROR(INDEX(Disbursements!$D:$D,MATCH('Live Collections'!G1147,Disbursements!$C:$C,0)),"")</f>
        <v>1</v>
      </c>
      <c r="G1147" s="424">
        <v>170</v>
      </c>
      <c r="H1147" s="424"/>
      <c r="I1147" s="424" t="s">
        <v>1358</v>
      </c>
      <c r="J1147" s="425"/>
      <c r="K1147" s="425"/>
      <c r="L1147" s="425"/>
      <c r="M1147" s="425"/>
      <c r="N1147" s="175"/>
      <c r="O1147" s="175">
        <v>20000</v>
      </c>
      <c r="P1147" s="175"/>
      <c r="Q1147" s="426">
        <f t="shared" si="53"/>
        <v>20000</v>
      </c>
      <c r="R1147" s="61">
        <f>IF(O1147=0,0,SUMIFS(Disbursements!$T:$T,Disbursements!$B:$B,'Live Collections'!D1147,Disbursements!$D:$D,'Live Collections'!F1147))</f>
        <v>240000</v>
      </c>
      <c r="S1147" s="427">
        <f>IF(O1147&lt;=IF($O1147=0,0,SUMIFS(Disbursements!$W:$W,Disbursements!$B:$B,'Live Collections'!D2240,Disbursements!$D:$D,'Live Collections'!F2240)),O1147,IF($O1147=0,0,SUMIFS(Disbursements!$W:$W,Disbursements!$B:$B,'Live Collections'!D2240,Disbursements!$D:$D,'Live Collections'!F2240)))</f>
        <v>15000</v>
      </c>
      <c r="T1147" s="304">
        <f t="shared" si="54"/>
        <v>5000</v>
      </c>
      <c r="U1147" s="428"/>
      <c r="V1147" s="424"/>
      <c r="W1147" s="429"/>
    </row>
    <row r="1148" spans="1:23" ht="12.75" customHeight="1" x14ac:dyDescent="0.2">
      <c r="A1148" s="441">
        <v>1123</v>
      </c>
      <c r="B1148" s="442">
        <v>44471</v>
      </c>
      <c r="C1148" s="442">
        <f t="shared" si="52"/>
        <v>44471</v>
      </c>
      <c r="D1148" s="443">
        <v>208</v>
      </c>
      <c r="E1148" s="291" t="str">
        <f>IFERROR(VLOOKUP($D1148,'Clients-Live'!$A:$C,3,0),"")</f>
        <v>TIKO RAIMA</v>
      </c>
      <c r="F1148" s="291">
        <f>IFERROR(INDEX(Disbursements!$D:$D,MATCH('Live Collections'!G1148,Disbursements!$C:$C,0)),"")</f>
        <v>1</v>
      </c>
      <c r="G1148" s="404">
        <v>204</v>
      </c>
      <c r="H1148" s="404"/>
      <c r="I1148" s="404" t="s">
        <v>1358</v>
      </c>
      <c r="J1148" s="444"/>
      <c r="K1148" s="444"/>
      <c r="L1148" s="444"/>
      <c r="M1148" s="444"/>
      <c r="N1148" s="444"/>
      <c r="O1148" s="444">
        <v>105000</v>
      </c>
      <c r="P1148" s="444"/>
      <c r="Q1148" s="445">
        <f t="shared" si="53"/>
        <v>105000</v>
      </c>
      <c r="R1148" s="61">
        <f>IF(O1148=0,0,SUMIFS(Disbursements!$T:$T,Disbursements!$B:$B,'Live Collections'!D1148,Disbursements!$D:$D,'Live Collections'!F1148))</f>
        <v>110000</v>
      </c>
      <c r="S1148" s="471">
        <v>20000</v>
      </c>
      <c r="T1148" s="446">
        <f t="shared" si="54"/>
        <v>85000</v>
      </c>
      <c r="U1148" s="447"/>
      <c r="V1148" s="404"/>
      <c r="W1148" s="448"/>
    </row>
    <row r="1149" spans="1:23" ht="12.75" customHeight="1" x14ac:dyDescent="0.2">
      <c r="A1149" s="257">
        <v>1121</v>
      </c>
      <c r="B1149" s="44">
        <v>44471</v>
      </c>
      <c r="C1149" s="44">
        <f t="shared" si="52"/>
        <v>44471</v>
      </c>
      <c r="D1149" s="431">
        <v>226</v>
      </c>
      <c r="E1149" s="291" t="str">
        <f>IFERROR(VLOOKUP($D1149,'Clients-Live'!$A:$C,3,0),"")</f>
        <v>MATURU NEEMA</v>
      </c>
      <c r="F1149" s="291" t="str">
        <f>IFERROR(INDEX(Disbursements!$D:$D,MATCH('Live Collections'!G1149,Disbursements!$C:$C,0)),"")</f>
        <v/>
      </c>
      <c r="G1149" s="35"/>
      <c r="H1149" s="35"/>
      <c r="I1149" s="35" t="s">
        <v>1359</v>
      </c>
      <c r="J1149" s="59"/>
      <c r="K1149" s="59"/>
      <c r="L1149" s="59"/>
      <c r="M1149" s="59"/>
      <c r="N1149" s="59"/>
      <c r="O1149" s="59"/>
      <c r="P1149" s="59">
        <v>20000</v>
      </c>
      <c r="Q1149" s="268">
        <f t="shared" si="53"/>
        <v>20000</v>
      </c>
      <c r="R1149" s="61">
        <f>IF(O1149=0,0,SUMIFS(Disbursements!$T:$T,Disbursements!$B:$B,'Live Collections'!D1149,Disbursements!$D:$D,'Live Collections'!F1149))</f>
        <v>0</v>
      </c>
      <c r="S1149" s="304">
        <f>IF(O1149&lt;=IF($O1149=0,0,SUMIFS(Disbursements!$W:$W,Disbursements!$B:$B,'Live Collections'!D2747,Disbursements!$D:$D,'Live Collections'!F2747)),O1149,IF($O1149=0,0,SUMIFS(Disbursements!$W:$W,Disbursements!$B:$B,'Live Collections'!D2747,Disbursements!$D:$D,'Live Collections'!F2747)))</f>
        <v>0</v>
      </c>
      <c r="T1149" s="432">
        <f t="shared" si="54"/>
        <v>0</v>
      </c>
      <c r="U1149" s="51"/>
      <c r="V1149" s="35"/>
      <c r="W1149" s="433"/>
    </row>
    <row r="1150" spans="1:23" ht="12.75" customHeight="1" x14ac:dyDescent="0.2">
      <c r="A1150" s="257">
        <v>1120</v>
      </c>
      <c r="B1150" s="44">
        <v>44471</v>
      </c>
      <c r="C1150" s="44">
        <f t="shared" si="52"/>
        <v>44471</v>
      </c>
      <c r="D1150" s="374">
        <v>236</v>
      </c>
      <c r="E1150" s="291" t="str">
        <f>IFERROR(VLOOKUP($D1150,'Clients-Live'!$A:$C,3,0),"")</f>
        <v>AMIJI LUCY</v>
      </c>
      <c r="F1150" s="291">
        <f>IFERROR(INDEX(Disbursements!$D:$D,MATCH('Live Collections'!G1150,Disbursements!$C:$C,0)),"")</f>
        <v>1</v>
      </c>
      <c r="G1150" s="34">
        <v>247</v>
      </c>
      <c r="H1150" s="34"/>
      <c r="I1150" s="34" t="s">
        <v>1357</v>
      </c>
      <c r="J1150" s="48"/>
      <c r="K1150" s="48"/>
      <c r="L1150" s="48"/>
      <c r="M1150" s="48"/>
      <c r="N1150" s="59"/>
      <c r="O1150" s="59"/>
      <c r="P1150" s="59">
        <v>100000</v>
      </c>
      <c r="Q1150" s="268">
        <f t="shared" si="53"/>
        <v>100000</v>
      </c>
      <c r="R1150" s="61">
        <f>IF(O1150=0,0,SUMIFS(Disbursements!$T:$T,Disbursements!$B:$B,'Live Collections'!D1150,Disbursements!$D:$D,'Live Collections'!F1150))</f>
        <v>0</v>
      </c>
      <c r="S1150" s="304">
        <f>IF(O1150&lt;=IF($O1150=0,0,SUMIFS(Disbursements!$W:$W,Disbursements!$B:$B,'Live Collections'!D2713,Disbursements!$D:$D,'Live Collections'!F2713)),O1150,IF($O1150=0,0,SUMIFS(Disbursements!$W:$W,Disbursements!$B:$B,'Live Collections'!D2713,Disbursements!$D:$D,'Live Collections'!F2713)))</f>
        <v>0</v>
      </c>
      <c r="T1150" s="304">
        <f t="shared" si="54"/>
        <v>0</v>
      </c>
      <c r="U1150" s="52"/>
      <c r="V1150" s="34"/>
      <c r="W1150" s="408"/>
    </row>
    <row r="1151" spans="1:23" ht="12.75" customHeight="1" x14ac:dyDescent="0.2">
      <c r="A1151" s="132">
        <v>1119</v>
      </c>
      <c r="B1151" s="44">
        <v>44471</v>
      </c>
      <c r="C1151" s="44">
        <f t="shared" si="52"/>
        <v>44471</v>
      </c>
      <c r="D1151" s="374">
        <v>238</v>
      </c>
      <c r="E1151" s="291" t="str">
        <f>IFERROR(VLOOKUP($D1151,'Clients-Live'!$A:$C,3,0),"")</f>
        <v>ANGAIKA SAID</v>
      </c>
      <c r="F1151" s="291" t="str">
        <f>IFERROR(INDEX(Disbursements!$D:$D,MATCH('Live Collections'!G1151,Disbursements!$C:$C,0)),"")</f>
        <v/>
      </c>
      <c r="G1151" s="34"/>
      <c r="H1151" s="34"/>
      <c r="I1151" s="34" t="s">
        <v>1359</v>
      </c>
      <c r="J1151" s="48">
        <v>15000</v>
      </c>
      <c r="K1151" s="48">
        <v>5000</v>
      </c>
      <c r="L1151" s="48">
        <v>10000</v>
      </c>
      <c r="M1151" s="48">
        <v>5000</v>
      </c>
      <c r="N1151" s="59"/>
      <c r="O1151" s="59"/>
      <c r="P1151" s="59"/>
      <c r="Q1151" s="268">
        <f t="shared" si="53"/>
        <v>35000</v>
      </c>
      <c r="R1151" s="61">
        <f>IF(O1151=0,0,SUMIFS(Disbursements!$T:$T,Disbursements!$B:$B,'Live Collections'!D1151,Disbursements!$D:$D,'Live Collections'!F1151))</f>
        <v>0</v>
      </c>
      <c r="S1151" s="304">
        <f>IF(O1151&lt;=IF($O1151=0,0,SUMIFS(Disbursements!$W:$W,Disbursements!$B:$B,'Live Collections'!D2732,Disbursements!$D:$D,'Live Collections'!F2732)),O1151,IF($O1151=0,0,SUMIFS(Disbursements!$W:$W,Disbursements!$B:$B,'Live Collections'!D2732,Disbursements!$D:$D,'Live Collections'!F2732)))</f>
        <v>0</v>
      </c>
      <c r="T1151" s="304">
        <f t="shared" si="54"/>
        <v>0</v>
      </c>
      <c r="U1151" s="52"/>
      <c r="V1151" s="34"/>
      <c r="W1151" s="408"/>
    </row>
    <row r="1152" spans="1:23" ht="12.75" customHeight="1" x14ac:dyDescent="0.2">
      <c r="A1152" s="257">
        <v>1140</v>
      </c>
      <c r="B1152" s="44">
        <v>44473</v>
      </c>
      <c r="C1152" s="44">
        <f t="shared" si="52"/>
        <v>44473</v>
      </c>
      <c r="D1152" s="374">
        <v>18</v>
      </c>
      <c r="E1152" s="291" t="str">
        <f>IFERROR(VLOOKUP($D1152,'Clients-Live'!$A:$C,3,0),"")</f>
        <v>ARIYE PEACE</v>
      </c>
      <c r="F1152" s="291">
        <f>IFERROR(INDEX(Disbursements!$D:$D,MATCH('Live Collections'!G1152,Disbursements!$C:$C,0)),"")</f>
        <v>1</v>
      </c>
      <c r="G1152" s="34">
        <v>9</v>
      </c>
      <c r="H1152" s="34"/>
      <c r="I1152" s="34" t="s">
        <v>1357</v>
      </c>
      <c r="J1152" s="48"/>
      <c r="K1152" s="48"/>
      <c r="L1152" s="48"/>
      <c r="M1152" s="48"/>
      <c r="N1152" s="59"/>
      <c r="O1152" s="59">
        <v>41000</v>
      </c>
      <c r="P1152" s="59"/>
      <c r="Q1152" s="268">
        <f t="shared" si="53"/>
        <v>41000</v>
      </c>
      <c r="R1152" s="61">
        <f>IF(O1152=0,0,SUMIFS(Disbursements!$T:$T,Disbursements!$B:$B,'Live Collections'!D1152,Disbursements!$D:$D,'Live Collections'!F1152))</f>
        <v>109000</v>
      </c>
      <c r="S1152" s="304">
        <f>IF(O1152&lt;=IF($O1152=0,0,SUMIFS(Disbursements!$W:$W,Disbursements!$B:$B,'Live Collections'!D208,Disbursements!$D:$D,'Live Collections'!F208)),O1152,IF($O1152=0,0,SUMIFS(Disbursements!$W:$W,Disbursements!$B:$B,'Live Collections'!D208,Disbursements!$D:$D,'Live Collections'!F208)))</f>
        <v>41000</v>
      </c>
      <c r="T1152" s="304">
        <f t="shared" si="54"/>
        <v>0</v>
      </c>
      <c r="U1152" s="52"/>
      <c r="V1152" s="34"/>
      <c r="W1152" s="408"/>
    </row>
    <row r="1153" spans="1:23" ht="12.75" customHeight="1" x14ac:dyDescent="0.2">
      <c r="A1153" s="132">
        <v>1139</v>
      </c>
      <c r="B1153" s="44">
        <v>44473</v>
      </c>
      <c r="C1153" s="44">
        <f t="shared" si="52"/>
        <v>44473</v>
      </c>
      <c r="D1153" s="374">
        <v>20</v>
      </c>
      <c r="E1153" s="291" t="str">
        <f>IFERROR(VLOOKUP($D1153,'Clients-Live'!$A:$C,3,0),"")</f>
        <v>ANDEZO KEVIN</v>
      </c>
      <c r="F1153" s="291">
        <f>IFERROR(INDEX(Disbursements!$D:$D,MATCH('Live Collections'!G1153,Disbursements!$C:$C,0)),"")</f>
        <v>2</v>
      </c>
      <c r="G1153" s="34">
        <v>194</v>
      </c>
      <c r="H1153" s="34">
        <v>2784</v>
      </c>
      <c r="I1153" s="34" t="s">
        <v>1358</v>
      </c>
      <c r="J1153" s="48"/>
      <c r="K1153" s="48"/>
      <c r="L1153" s="48"/>
      <c r="M1153" s="48"/>
      <c r="N1153" s="59"/>
      <c r="O1153" s="59">
        <v>120000</v>
      </c>
      <c r="P1153" s="59"/>
      <c r="Q1153" s="268">
        <f t="shared" si="53"/>
        <v>120000</v>
      </c>
      <c r="R1153" s="61">
        <f>IF(O1153=0,0,SUMIFS(Disbursements!$T:$T,Disbursements!$B:$B,'Live Collections'!D1153,Disbursements!$D:$D,'Live Collections'!F1153))</f>
        <v>200000</v>
      </c>
      <c r="S1153" s="304">
        <f>IF(O1153&lt;=IF($O1153=0,0,SUMIFS(Disbursements!$W:$W,Disbursements!$B:$B,'Live Collections'!D251,Disbursements!$D:$D,'Live Collections'!F251)),O1153,IF($O1153=0,0,SUMIFS(Disbursements!$W:$W,Disbursements!$B:$B,'Live Collections'!D251,Disbursements!$D:$D,'Live Collections'!F251)))</f>
        <v>120000</v>
      </c>
      <c r="T1153" s="304">
        <f t="shared" si="54"/>
        <v>0</v>
      </c>
      <c r="U1153" s="52"/>
      <c r="V1153" s="34"/>
      <c r="W1153" s="408"/>
    </row>
    <row r="1154" spans="1:23" ht="12.75" customHeight="1" x14ac:dyDescent="0.2">
      <c r="A1154" s="257">
        <v>1137</v>
      </c>
      <c r="B1154" s="44">
        <v>44473</v>
      </c>
      <c r="C1154" s="44">
        <f t="shared" si="52"/>
        <v>44473</v>
      </c>
      <c r="D1154" s="374">
        <v>32</v>
      </c>
      <c r="E1154" s="291" t="str">
        <f>IFERROR(VLOOKUP($D1154,'Clients-Live'!$A:$C,3,0),"")</f>
        <v>BAKO LINA ESERU</v>
      </c>
      <c r="F1154" s="291">
        <f>IFERROR(INDEX(Disbursements!$D:$D,MATCH('Live Collections'!G1154,Disbursements!$C:$C,0)),"")</f>
        <v>1</v>
      </c>
      <c r="G1154" s="34">
        <v>15</v>
      </c>
      <c r="H1154" s="34"/>
      <c r="I1154" s="34" t="s">
        <v>1359</v>
      </c>
      <c r="J1154" s="48"/>
      <c r="K1154" s="48"/>
      <c r="L1154" s="48"/>
      <c r="M1154" s="48"/>
      <c r="N1154" s="59"/>
      <c r="O1154" s="59">
        <v>125000</v>
      </c>
      <c r="P1154" s="59"/>
      <c r="Q1154" s="268">
        <f t="shared" si="53"/>
        <v>125000</v>
      </c>
      <c r="R1154" s="61">
        <f>IF(O1154=0,0,SUMIFS(Disbursements!$T:$T,Disbursements!$B:$B,'Live Collections'!D1154,Disbursements!$D:$D,'Live Collections'!F1154))</f>
        <v>125000</v>
      </c>
      <c r="S1154" s="64">
        <v>3999.9999999999854</v>
      </c>
      <c r="T1154" s="304">
        <f t="shared" si="54"/>
        <v>121000.00000000001</v>
      </c>
      <c r="U1154" s="52"/>
      <c r="V1154" s="34"/>
      <c r="W1154" s="408" t="s">
        <v>2086</v>
      </c>
    </row>
    <row r="1155" spans="1:23" ht="12.75" customHeight="1" x14ac:dyDescent="0.2">
      <c r="A1155" s="132">
        <v>1153</v>
      </c>
      <c r="B1155" s="44">
        <v>44473</v>
      </c>
      <c r="C1155" s="44">
        <f t="shared" si="52"/>
        <v>44473</v>
      </c>
      <c r="D1155" s="374">
        <v>32</v>
      </c>
      <c r="E1155" s="291" t="str">
        <f>IFERROR(VLOOKUP($D1155,'Clients-Live'!$A:$C,3,0),"")</f>
        <v>BAKO LINA ESERU</v>
      </c>
      <c r="F1155" s="291" t="str">
        <f>IFERROR(INDEX(Disbursements!$D:$D,MATCH('Live Collections'!G1155,Disbursements!$C:$C,0)),"")</f>
        <v/>
      </c>
      <c r="G1155" s="34"/>
      <c r="H1155" s="34"/>
      <c r="I1155" s="34" t="s">
        <v>1359</v>
      </c>
      <c r="J1155" s="48"/>
      <c r="K1155" s="48"/>
      <c r="L1155" s="48"/>
      <c r="M1155" s="48"/>
      <c r="N1155" s="59"/>
      <c r="O1155" s="59"/>
      <c r="P1155" s="59">
        <v>10000</v>
      </c>
      <c r="Q1155" s="268">
        <f t="shared" si="53"/>
        <v>10000</v>
      </c>
      <c r="R1155" s="61">
        <f>IF(O1155=0,0,SUMIFS(Disbursements!$T:$T,Disbursements!$B:$B,'Live Collections'!D1155,Disbursements!$D:$D,'Live Collections'!F1155))</f>
        <v>0</v>
      </c>
      <c r="S1155" s="304">
        <f>IF(O1155&lt;=IF($O1155=0,0,SUMIFS(Disbursements!$W:$W,Disbursements!$B:$B,'Live Collections'!D369,Disbursements!$D:$D,'Live Collections'!F369)),O1155,IF($O1155=0,0,SUMIFS(Disbursements!$W:$W,Disbursements!$B:$B,'Live Collections'!D369,Disbursements!$D:$D,'Live Collections'!F369)))</f>
        <v>0</v>
      </c>
      <c r="T1155" s="304">
        <f t="shared" si="54"/>
        <v>0</v>
      </c>
      <c r="U1155" s="52"/>
      <c r="V1155" s="34"/>
      <c r="W1155" s="408"/>
    </row>
    <row r="1156" spans="1:23" ht="12.75" customHeight="1" x14ac:dyDescent="0.2">
      <c r="A1156" s="257">
        <v>1160</v>
      </c>
      <c r="B1156" s="44">
        <v>44473</v>
      </c>
      <c r="C1156" s="44">
        <f t="shared" si="52"/>
        <v>44473</v>
      </c>
      <c r="D1156" s="374">
        <v>32</v>
      </c>
      <c r="E1156" s="291" t="str">
        <f>IFERROR(VLOOKUP($D1156,'Clients-Live'!$A:$C,3,0),"")</f>
        <v>BAKO LINA ESERU</v>
      </c>
      <c r="F1156" s="291" t="str">
        <f>IFERROR(INDEX(Disbursements!$D:$D,MATCH('Live Collections'!G1156,Disbursements!$C:$C,0)),"")</f>
        <v/>
      </c>
      <c r="G1156" s="34"/>
      <c r="H1156" s="34"/>
      <c r="I1156" s="34" t="s">
        <v>1359</v>
      </c>
      <c r="J1156" s="48"/>
      <c r="K1156" s="48"/>
      <c r="L1156" s="48">
        <v>15000</v>
      </c>
      <c r="M1156" s="48">
        <v>5000</v>
      </c>
      <c r="N1156" s="59"/>
      <c r="O1156" s="59"/>
      <c r="P1156" s="59"/>
      <c r="Q1156" s="268">
        <f t="shared" si="53"/>
        <v>20000</v>
      </c>
      <c r="R1156" s="61">
        <f>IF(O1156=0,0,SUMIFS(Disbursements!$T:$T,Disbursements!$B:$B,'Live Collections'!D1156,Disbursements!$D:$D,'Live Collections'!F1156))</f>
        <v>0</v>
      </c>
      <c r="S1156" s="304">
        <f>IF(O1156&lt;=IF($O1156=0,0,SUMIFS(Disbursements!$W:$W,Disbursements!$B:$B,'Live Collections'!D370,Disbursements!$D:$D,'Live Collections'!F370)),O1156,IF($O1156=0,0,SUMIFS(Disbursements!$W:$W,Disbursements!$B:$B,'Live Collections'!D370,Disbursements!$D:$D,'Live Collections'!F370)))</f>
        <v>0</v>
      </c>
      <c r="T1156" s="304">
        <f t="shared" si="54"/>
        <v>0</v>
      </c>
      <c r="U1156" s="52"/>
      <c r="V1156" s="34"/>
      <c r="W1156" s="408"/>
    </row>
    <row r="1157" spans="1:23" ht="12.75" customHeight="1" x14ac:dyDescent="0.2">
      <c r="A1157" s="132">
        <v>1152</v>
      </c>
      <c r="B1157" s="44">
        <v>44473</v>
      </c>
      <c r="C1157" s="44">
        <f t="shared" si="52"/>
        <v>44473</v>
      </c>
      <c r="D1157" s="374">
        <v>42</v>
      </c>
      <c r="E1157" s="291" t="str">
        <f>IFERROR(VLOOKUP($D1157,'Clients-Live'!$A:$C,3,0),"")</f>
        <v>ABAU   NOLA</v>
      </c>
      <c r="F1157" s="291">
        <f>IFERROR(INDEX(Disbursements!$D:$D,MATCH('Live Collections'!G1157,Disbursements!$C:$C,0)),"")</f>
        <v>2</v>
      </c>
      <c r="G1157" s="34">
        <v>251</v>
      </c>
      <c r="H1157" s="34"/>
      <c r="I1157" s="34" t="s">
        <v>1357</v>
      </c>
      <c r="J1157" s="48"/>
      <c r="K1157" s="48"/>
      <c r="L1157" s="48"/>
      <c r="M1157" s="48"/>
      <c r="N1157" s="59"/>
      <c r="O1157" s="59"/>
      <c r="P1157" s="59">
        <v>18000</v>
      </c>
      <c r="Q1157" s="268">
        <f t="shared" si="53"/>
        <v>18000</v>
      </c>
      <c r="R1157" s="61">
        <f>IF(O1157=0,0,SUMIFS(Disbursements!$T:$T,Disbursements!$B:$B,'Live Collections'!D1157,Disbursements!$D:$D,'Live Collections'!F1157))</f>
        <v>0</v>
      </c>
      <c r="S1157" s="304">
        <f>IF(O1157&lt;=IF($O1157=0,0,SUMIFS(Disbursements!$W:$W,Disbursements!$B:$B,'Live Collections'!D461,Disbursements!$D:$D,'Live Collections'!F461)),O1157,IF($O1157=0,0,SUMIFS(Disbursements!$W:$W,Disbursements!$B:$B,'Live Collections'!D461,Disbursements!$D:$D,'Live Collections'!F461)))</f>
        <v>0</v>
      </c>
      <c r="T1157" s="304">
        <f t="shared" si="54"/>
        <v>0</v>
      </c>
      <c r="U1157" s="52"/>
      <c r="V1157" s="34"/>
      <c r="W1157" s="408"/>
    </row>
    <row r="1158" spans="1:23" ht="12.75" customHeight="1" x14ac:dyDescent="0.2">
      <c r="A1158" s="257">
        <v>1155</v>
      </c>
      <c r="B1158" s="44">
        <v>44473</v>
      </c>
      <c r="C1158" s="44">
        <f t="shared" si="52"/>
        <v>44473</v>
      </c>
      <c r="D1158" s="374">
        <v>42</v>
      </c>
      <c r="E1158" s="291" t="str">
        <f>IFERROR(VLOOKUP($D1158,'Clients-Live'!$A:$C,3,0),"")</f>
        <v>ABAU   NOLA</v>
      </c>
      <c r="F1158" s="291" t="str">
        <f>IFERROR(INDEX(Disbursements!$D:$D,MATCH('Live Collections'!G1158,Disbursements!$C:$C,0)),"")</f>
        <v/>
      </c>
      <c r="G1158" s="34"/>
      <c r="H1158" s="34"/>
      <c r="I1158" s="34" t="s">
        <v>1357</v>
      </c>
      <c r="J1158" s="48"/>
      <c r="K1158" s="48"/>
      <c r="L1158" s="48">
        <v>10000</v>
      </c>
      <c r="M1158" s="48">
        <v>5000</v>
      </c>
      <c r="N1158" s="59"/>
      <c r="O1158" s="59"/>
      <c r="P1158" s="59"/>
      <c r="Q1158" s="268">
        <f t="shared" si="53"/>
        <v>15000</v>
      </c>
      <c r="R1158" s="61">
        <f>IF(O1158=0,0,SUMIFS(Disbursements!$T:$T,Disbursements!$B:$B,'Live Collections'!D1158,Disbursements!$D:$D,'Live Collections'!F1158))</f>
        <v>0</v>
      </c>
      <c r="S1158" s="304">
        <f>IF(O1158&lt;=IF($O1158=0,0,SUMIFS(Disbursements!$W:$W,Disbursements!$B:$B,'Live Collections'!D462,Disbursements!$D:$D,'Live Collections'!F462)),O1158,IF($O1158=0,0,SUMIFS(Disbursements!$W:$W,Disbursements!$B:$B,'Live Collections'!D462,Disbursements!$D:$D,'Live Collections'!F462)))</f>
        <v>0</v>
      </c>
      <c r="T1158" s="304">
        <f t="shared" si="54"/>
        <v>0</v>
      </c>
      <c r="U1158" s="52"/>
      <c r="V1158" s="34"/>
      <c r="W1158" s="408"/>
    </row>
    <row r="1159" spans="1:23" ht="12.75" customHeight="1" x14ac:dyDescent="0.2">
      <c r="A1159" s="132">
        <v>1148</v>
      </c>
      <c r="B1159" s="44">
        <v>44473</v>
      </c>
      <c r="C1159" s="44">
        <f t="shared" si="52"/>
        <v>44473</v>
      </c>
      <c r="D1159" s="374">
        <v>48</v>
      </c>
      <c r="E1159" s="291" t="str">
        <f>IFERROR(VLOOKUP($D1159,'Clients-Live'!$A:$C,3,0),"")</f>
        <v>BAKO KASIA</v>
      </c>
      <c r="F1159" s="291">
        <f>IFERROR(INDEX(Disbursements!$D:$D,MATCH('Live Collections'!G1159,Disbursements!$C:$C,0)),"")</f>
        <v>1</v>
      </c>
      <c r="G1159" s="34">
        <v>32</v>
      </c>
      <c r="H1159" s="34"/>
      <c r="I1159" s="34" t="s">
        <v>1358</v>
      </c>
      <c r="J1159" s="48"/>
      <c r="K1159" s="48"/>
      <c r="L1159" s="48"/>
      <c r="M1159" s="48"/>
      <c r="N1159" s="59"/>
      <c r="O1159" s="59">
        <v>150000</v>
      </c>
      <c r="P1159" s="59"/>
      <c r="Q1159" s="268">
        <f t="shared" si="53"/>
        <v>150000</v>
      </c>
      <c r="R1159" s="61">
        <f>IF(O1159=0,0,SUMIFS(Disbursements!$T:$T,Disbursements!$B:$B,'Live Collections'!D1159,Disbursements!$D:$D,'Live Collections'!F1159))</f>
        <v>150000</v>
      </c>
      <c r="S1159" s="64">
        <v>-73000</v>
      </c>
      <c r="T1159" s="304">
        <f t="shared" si="54"/>
        <v>223000</v>
      </c>
      <c r="U1159" s="52"/>
      <c r="V1159" s="34"/>
      <c r="W1159" s="408" t="s">
        <v>2086</v>
      </c>
    </row>
    <row r="1160" spans="1:23" ht="12.75" customHeight="1" x14ac:dyDescent="0.2">
      <c r="A1160" s="257">
        <v>1146</v>
      </c>
      <c r="B1160" s="44">
        <v>44473</v>
      </c>
      <c r="C1160" s="44">
        <f t="shared" si="52"/>
        <v>44473</v>
      </c>
      <c r="D1160" s="374">
        <v>54</v>
      </c>
      <c r="E1160" s="291" t="str">
        <f>IFERROR(VLOOKUP($D1160,'Clients-Live'!$A:$C,3,0),"")</f>
        <v>MANENO ANIFA</v>
      </c>
      <c r="F1160" s="291">
        <f>IFERROR(INDEX(Disbursements!$D:$D,MATCH('Live Collections'!G1160,Disbursements!$C:$C,0)),"")</f>
        <v>2</v>
      </c>
      <c r="G1160" s="34">
        <v>195</v>
      </c>
      <c r="H1160" s="34"/>
      <c r="I1160" s="34" t="s">
        <v>1357</v>
      </c>
      <c r="J1160" s="48"/>
      <c r="K1160" s="48"/>
      <c r="L1160" s="48"/>
      <c r="M1160" s="48"/>
      <c r="N1160" s="59"/>
      <c r="O1160" s="59">
        <v>80000</v>
      </c>
      <c r="P1160" s="59"/>
      <c r="Q1160" s="268">
        <f t="shared" si="53"/>
        <v>80000</v>
      </c>
      <c r="R1160" s="61">
        <f>IF(O1160=0,0,SUMIFS(Disbursements!$T:$T,Disbursements!$B:$B,'Live Collections'!D1160,Disbursements!$D:$D,'Live Collections'!F1160))</f>
        <v>200000</v>
      </c>
      <c r="S1160" s="304">
        <f>IF(O1160&lt;=IF($O1160=0,0,SUMIFS(Disbursements!$W:$W,Disbursements!$B:$B,'Live Collections'!D637,Disbursements!$D:$D,'Live Collections'!F637)),O1160,IF($O1160=0,0,SUMIFS(Disbursements!$W:$W,Disbursements!$B:$B,'Live Collections'!D637,Disbursements!$D:$D,'Live Collections'!F637)))</f>
        <v>35000</v>
      </c>
      <c r="T1160" s="304">
        <f t="shared" si="54"/>
        <v>45000</v>
      </c>
      <c r="U1160" s="52"/>
      <c r="V1160" s="34"/>
      <c r="W1160" s="408"/>
    </row>
    <row r="1161" spans="1:23" ht="12.75" customHeight="1" x14ac:dyDescent="0.2">
      <c r="A1161" s="132">
        <v>1147</v>
      </c>
      <c r="B1161" s="44">
        <v>44473</v>
      </c>
      <c r="C1161" s="44">
        <f t="shared" ref="C1161:C1224" si="55">B1161</f>
        <v>44473</v>
      </c>
      <c r="D1161" s="374">
        <v>57</v>
      </c>
      <c r="E1161" s="291" t="str">
        <f>IFERROR(VLOOKUP($D1161,'Clients-Live'!$A:$C,3,0),"")</f>
        <v>ASERU SCOVIA</v>
      </c>
      <c r="F1161" s="291">
        <f>IFERROR(INDEX(Disbursements!$D:$D,MATCH('Live Collections'!G1161,Disbursements!$C:$C,0)),"")</f>
        <v>1</v>
      </c>
      <c r="G1161" s="34">
        <v>41</v>
      </c>
      <c r="H1161" s="34"/>
      <c r="I1161" s="34" t="s">
        <v>1359</v>
      </c>
      <c r="J1161" s="48"/>
      <c r="K1161" s="48"/>
      <c r="L1161" s="48"/>
      <c r="M1161" s="48"/>
      <c r="N1161" s="59"/>
      <c r="O1161" s="59">
        <v>35000</v>
      </c>
      <c r="P1161" s="59"/>
      <c r="Q1161" s="268">
        <f t="shared" ref="Q1161:Q1224" si="56">SUM(J1161:P1161)</f>
        <v>35000</v>
      </c>
      <c r="R1161" s="61">
        <f>IF(O1161=0,0,SUMIFS(Disbursements!$T:$T,Disbursements!$B:$B,'Live Collections'!D1161,Disbursements!$D:$D,'Live Collections'!F1161))</f>
        <v>60000</v>
      </c>
      <c r="S1161" s="304">
        <v>6666.6666666666715</v>
      </c>
      <c r="T1161" s="304">
        <f t="shared" ref="T1161:T1224" si="57">IF(O1161=0,0,O1161-S1161)</f>
        <v>28333.333333333328</v>
      </c>
      <c r="U1161" s="52"/>
      <c r="V1161" s="34"/>
      <c r="W1161" s="408"/>
    </row>
    <row r="1162" spans="1:23" ht="12.75" customHeight="1" x14ac:dyDescent="0.2">
      <c r="A1162" s="257">
        <v>1150</v>
      </c>
      <c r="B1162" s="44">
        <v>44473</v>
      </c>
      <c r="C1162" s="44">
        <f t="shared" si="55"/>
        <v>44473</v>
      </c>
      <c r="D1162" s="374">
        <v>65</v>
      </c>
      <c r="E1162" s="291" t="str">
        <f>IFERROR(VLOOKUP($D1162,'Clients-Live'!$A:$C,3,0),"")</f>
        <v>NDAWULA GERALD</v>
      </c>
      <c r="F1162" s="291">
        <f>IFERROR(INDEX(Disbursements!$D:$D,MATCH('Live Collections'!G1162,Disbursements!$C:$C,0)),"")</f>
        <v>1</v>
      </c>
      <c r="G1162" s="34">
        <v>47</v>
      </c>
      <c r="H1162" s="34"/>
      <c r="I1162" s="34" t="s">
        <v>1359</v>
      </c>
      <c r="J1162" s="48"/>
      <c r="K1162" s="48"/>
      <c r="L1162" s="48"/>
      <c r="M1162" s="48"/>
      <c r="N1162" s="59"/>
      <c r="O1162" s="59">
        <v>20000</v>
      </c>
      <c r="P1162" s="59"/>
      <c r="Q1162" s="268">
        <f t="shared" si="56"/>
        <v>20000</v>
      </c>
      <c r="R1162" s="61">
        <f>IF(O1162=0,0,SUMIFS(Disbursements!$T:$T,Disbursements!$B:$B,'Live Collections'!D1162,Disbursements!$D:$D,'Live Collections'!F1162))</f>
        <v>217000</v>
      </c>
      <c r="S1162" s="304">
        <f>IF(O1162&lt;=IF($O1162=0,0,SUMIFS(Disbursements!$W:$W,Disbursements!$B:$B,'Live Collections'!D779,Disbursements!$D:$D,'Live Collections'!F779)),O1162,IF($O1162=0,0,SUMIFS(Disbursements!$W:$W,Disbursements!$B:$B,'Live Collections'!D779,Disbursements!$D:$D,'Live Collections'!F779)))</f>
        <v>20000</v>
      </c>
      <c r="T1162" s="304">
        <f t="shared" si="57"/>
        <v>0</v>
      </c>
      <c r="U1162" s="52"/>
      <c r="V1162" s="34"/>
      <c r="W1162" s="408"/>
    </row>
    <row r="1163" spans="1:23" ht="12.75" customHeight="1" x14ac:dyDescent="0.2">
      <c r="A1163" s="132">
        <v>1154</v>
      </c>
      <c r="B1163" s="44">
        <v>44473</v>
      </c>
      <c r="C1163" s="44">
        <f t="shared" si="55"/>
        <v>44473</v>
      </c>
      <c r="D1163" s="374">
        <v>104</v>
      </c>
      <c r="E1163" s="291" t="str">
        <f>IFERROR(VLOOKUP($D1163,'Clients-Live'!$A:$C,3,0),"")</f>
        <v>IDIRA ALIMA</v>
      </c>
      <c r="F1163" s="291" t="str">
        <f>IFERROR(INDEX(Disbursements!$D:$D,MATCH('Live Collections'!G1163,Disbursements!$C:$C,0)),"")</f>
        <v/>
      </c>
      <c r="G1163" s="34"/>
      <c r="H1163" s="34"/>
      <c r="I1163" s="34" t="s">
        <v>1359</v>
      </c>
      <c r="J1163" s="48"/>
      <c r="K1163" s="48"/>
      <c r="L1163" s="48"/>
      <c r="M1163" s="48"/>
      <c r="N1163" s="59"/>
      <c r="O1163" s="59"/>
      <c r="P1163" s="59">
        <v>20000</v>
      </c>
      <c r="Q1163" s="268">
        <f t="shared" si="56"/>
        <v>20000</v>
      </c>
      <c r="R1163" s="61">
        <f>IF(O1163=0,0,SUMIFS(Disbursements!$T:$T,Disbursements!$B:$B,'Live Collections'!D1163,Disbursements!$D:$D,'Live Collections'!F1163))</f>
        <v>0</v>
      </c>
      <c r="S1163" s="304">
        <f>IF(O1163&lt;=IF($O1163=0,0,SUMIFS(Disbursements!$W:$W,Disbursements!$B:$B,'Live Collections'!D1342,Disbursements!$D:$D,'Live Collections'!F1342)),O1163,IF($O1163=0,0,SUMIFS(Disbursements!$W:$W,Disbursements!$B:$B,'Live Collections'!D1342,Disbursements!$D:$D,'Live Collections'!F1342)))</f>
        <v>0</v>
      </c>
      <c r="T1163" s="304">
        <f t="shared" si="57"/>
        <v>0</v>
      </c>
      <c r="U1163" s="52"/>
      <c r="V1163" s="34"/>
      <c r="W1163" s="408"/>
    </row>
    <row r="1164" spans="1:23" ht="12.75" customHeight="1" x14ac:dyDescent="0.2">
      <c r="A1164" s="257">
        <v>1157</v>
      </c>
      <c r="B1164" s="44">
        <v>44473</v>
      </c>
      <c r="C1164" s="44">
        <f t="shared" si="55"/>
        <v>44473</v>
      </c>
      <c r="D1164" s="374">
        <v>104</v>
      </c>
      <c r="E1164" s="291" t="str">
        <f>IFERROR(VLOOKUP($D1164,'Clients-Live'!$A:$C,3,0),"")</f>
        <v>IDIRA ALIMA</v>
      </c>
      <c r="F1164" s="291" t="str">
        <f>IFERROR(INDEX(Disbursements!$D:$D,MATCH('Live Collections'!G1164,Disbursements!$C:$C,0)),"")</f>
        <v/>
      </c>
      <c r="G1164" s="34"/>
      <c r="H1164" s="34"/>
      <c r="I1164" s="34" t="s">
        <v>1359</v>
      </c>
      <c r="J1164" s="48"/>
      <c r="K1164" s="48"/>
      <c r="L1164" s="48">
        <v>15000</v>
      </c>
      <c r="M1164" s="48">
        <v>5000</v>
      </c>
      <c r="N1164" s="59"/>
      <c r="O1164" s="59"/>
      <c r="P1164" s="59"/>
      <c r="Q1164" s="268">
        <f t="shared" si="56"/>
        <v>20000</v>
      </c>
      <c r="R1164" s="61">
        <f>IF(O1164=0,0,SUMIFS(Disbursements!$T:$T,Disbursements!$B:$B,'Live Collections'!D1164,Disbursements!$D:$D,'Live Collections'!F1164))</f>
        <v>0</v>
      </c>
      <c r="S1164" s="304">
        <f>IF(O1164&lt;=IF($O1164=0,0,SUMIFS(Disbursements!$W:$W,Disbursements!$B:$B,'Live Collections'!D1343,Disbursements!$D:$D,'Live Collections'!F1343)),O1164,IF($O1164=0,0,SUMIFS(Disbursements!$W:$W,Disbursements!$B:$B,'Live Collections'!D1343,Disbursements!$D:$D,'Live Collections'!F1343)))</f>
        <v>0</v>
      </c>
      <c r="T1164" s="304">
        <f t="shared" si="57"/>
        <v>0</v>
      </c>
      <c r="U1164" s="52"/>
      <c r="V1164" s="34"/>
      <c r="W1164" s="408"/>
    </row>
    <row r="1165" spans="1:23" ht="12.75" customHeight="1" x14ac:dyDescent="0.2">
      <c r="A1165" s="132">
        <v>1158</v>
      </c>
      <c r="B1165" s="44">
        <v>44473</v>
      </c>
      <c r="C1165" s="44">
        <f t="shared" si="55"/>
        <v>44473</v>
      </c>
      <c r="D1165" s="374">
        <v>105</v>
      </c>
      <c r="E1165" s="291" t="str">
        <f>IFERROR(VLOOKUP($D1165,'Clients-Live'!$A:$C,3,0),"")</f>
        <v>NUKA ROSE</v>
      </c>
      <c r="F1165" s="291" t="str">
        <f>IFERROR(INDEX(Disbursements!$D:$D,MATCH('Live Collections'!G1165,Disbursements!$C:$C,0)),"")</f>
        <v/>
      </c>
      <c r="G1165" s="34"/>
      <c r="H1165" s="34"/>
      <c r="I1165" s="34" t="s">
        <v>1359</v>
      </c>
      <c r="J1165" s="48"/>
      <c r="K1165" s="48"/>
      <c r="L1165" s="48">
        <v>10000</v>
      </c>
      <c r="M1165" s="48">
        <v>5000</v>
      </c>
      <c r="N1165" s="59"/>
      <c r="O1165" s="59"/>
      <c r="P1165" s="59"/>
      <c r="Q1165" s="268">
        <f t="shared" si="56"/>
        <v>15000</v>
      </c>
      <c r="R1165" s="61">
        <f>IF(O1165=0,0,SUMIFS(Disbursements!$T:$T,Disbursements!$B:$B,'Live Collections'!D1165,Disbursements!$D:$D,'Live Collections'!F1165))</f>
        <v>0</v>
      </c>
      <c r="S1165" s="304">
        <f>IF(O1165&lt;=IF($O1165=0,0,SUMIFS(Disbursements!$W:$W,Disbursements!$B:$B,'Live Collections'!D1354,Disbursements!$D:$D,'Live Collections'!F1354)),O1165,IF($O1165=0,0,SUMIFS(Disbursements!$W:$W,Disbursements!$B:$B,'Live Collections'!D1354,Disbursements!$D:$D,'Live Collections'!F1354)))</f>
        <v>0</v>
      </c>
      <c r="T1165" s="304">
        <f t="shared" si="57"/>
        <v>0</v>
      </c>
      <c r="U1165" s="52"/>
      <c r="V1165" s="34"/>
      <c r="W1165" s="408"/>
    </row>
    <row r="1166" spans="1:23" ht="12.75" customHeight="1" x14ac:dyDescent="0.2">
      <c r="A1166" s="257">
        <v>1151</v>
      </c>
      <c r="B1166" s="44">
        <v>44473</v>
      </c>
      <c r="C1166" s="44">
        <f t="shared" si="55"/>
        <v>44473</v>
      </c>
      <c r="D1166" s="374">
        <v>113</v>
      </c>
      <c r="E1166" s="291" t="str">
        <f>IFERROR(VLOOKUP($D1166,'Clients-Live'!$A:$C,3,0),"")</f>
        <v>ATIKU AMULE ISAAC</v>
      </c>
      <c r="F1166" s="291">
        <f>IFERROR(INDEX(Disbursements!$D:$D,MATCH('Live Collections'!G1166,Disbursements!$C:$C,0)),"")</f>
        <v>1</v>
      </c>
      <c r="G1166" s="34">
        <v>92</v>
      </c>
      <c r="H1166" s="34"/>
      <c r="I1166" s="34" t="s">
        <v>1358</v>
      </c>
      <c r="J1166" s="48"/>
      <c r="K1166" s="48"/>
      <c r="L1166" s="48"/>
      <c r="M1166" s="48"/>
      <c r="N1166" s="59"/>
      <c r="O1166" s="59">
        <v>150000</v>
      </c>
      <c r="P1166" s="59"/>
      <c r="Q1166" s="268">
        <f t="shared" si="56"/>
        <v>150000</v>
      </c>
      <c r="R1166" s="61">
        <f>IF(O1166=0,0,SUMIFS(Disbursements!$T:$T,Disbursements!$B:$B,'Live Collections'!D1166,Disbursements!$D:$D,'Live Collections'!F1166))</f>
        <v>150000</v>
      </c>
      <c r="S1166" s="304">
        <f>IF(O1166&lt;=IF($O1166=0,0,SUMIFS(Disbursements!$W:$W,Disbursements!$B:$B,'Live Collections'!D1442,Disbursements!$D:$D,'Live Collections'!F1442)),O1166,IF($O1166=0,0,SUMIFS(Disbursements!$W:$W,Disbursements!$B:$B,'Live Collections'!D1442,Disbursements!$D:$D,'Live Collections'!F1442)))</f>
        <v>50333.333333333343</v>
      </c>
      <c r="T1166" s="304">
        <f t="shared" si="57"/>
        <v>99666.666666666657</v>
      </c>
      <c r="U1166" s="52"/>
      <c r="V1166" s="34"/>
      <c r="W1166" s="408"/>
    </row>
    <row r="1167" spans="1:23" ht="12.75" customHeight="1" x14ac:dyDescent="0.2">
      <c r="A1167" s="132">
        <v>1135</v>
      </c>
      <c r="B1167" s="44">
        <v>44473</v>
      </c>
      <c r="C1167" s="44">
        <f t="shared" si="55"/>
        <v>44473</v>
      </c>
      <c r="D1167" s="374">
        <v>114</v>
      </c>
      <c r="E1167" s="291" t="str">
        <f>IFERROR(VLOOKUP($D1167,'Clients-Live'!$A:$C,3,0),"")</f>
        <v>ONZIA EMMILY</v>
      </c>
      <c r="F1167" s="291">
        <f>IFERROR(INDEX(Disbursements!$D:$D,MATCH('Live Collections'!G1167,Disbursements!$C:$C,0)),"")</f>
        <v>2</v>
      </c>
      <c r="G1167" s="34">
        <v>161</v>
      </c>
      <c r="H1167" s="34"/>
      <c r="I1167" s="34" t="s">
        <v>1358</v>
      </c>
      <c r="J1167" s="48"/>
      <c r="K1167" s="48"/>
      <c r="L1167" s="48"/>
      <c r="M1167" s="48"/>
      <c r="N1167" s="59"/>
      <c r="O1167" s="59">
        <v>60000</v>
      </c>
      <c r="P1167" s="59"/>
      <c r="Q1167" s="268">
        <f t="shared" si="56"/>
        <v>60000</v>
      </c>
      <c r="R1167" s="61">
        <f>IF(O1167=0,0,SUMIFS(Disbursements!$T:$T,Disbursements!$B:$B,'Live Collections'!D1167,Disbursements!$D:$D,'Live Collections'!F1167))</f>
        <v>58000</v>
      </c>
      <c r="S1167" s="304">
        <f>IF(O1167&lt;=IF($O1167=0,0,SUMIFS(Disbursements!$W:$W,Disbursements!$B:$B,'Live Collections'!D1460,Disbursements!$D:$D,'Live Collections'!F1460)),O1167,IF($O1167=0,0,SUMIFS(Disbursements!$W:$W,Disbursements!$B:$B,'Live Collections'!D1460,Disbursements!$D:$D,'Live Collections'!F1460)))</f>
        <v>60000</v>
      </c>
      <c r="T1167" s="304">
        <f t="shared" si="57"/>
        <v>0</v>
      </c>
      <c r="U1167" s="52"/>
      <c r="V1167" s="34"/>
      <c r="W1167" s="408"/>
    </row>
    <row r="1168" spans="1:23" ht="12.75" customHeight="1" x14ac:dyDescent="0.2">
      <c r="A1168" s="257">
        <v>1141</v>
      </c>
      <c r="B1168" s="44">
        <v>44473</v>
      </c>
      <c r="C1168" s="44">
        <f t="shared" si="55"/>
        <v>44473</v>
      </c>
      <c r="D1168" s="374">
        <v>114</v>
      </c>
      <c r="E1168" s="291" t="str">
        <f>IFERROR(VLOOKUP($D1168,'Clients-Live'!$A:$C,3,0),"")</f>
        <v>ONZIA EMMILY</v>
      </c>
      <c r="F1168" s="291">
        <f>IFERROR(INDEX(Disbursements!$D:$D,MATCH('Live Collections'!G1168,Disbursements!$C:$C,0)),"")</f>
        <v>2</v>
      </c>
      <c r="G1168" s="34">
        <v>161</v>
      </c>
      <c r="H1168" s="34"/>
      <c r="I1168" s="34" t="s">
        <v>1358</v>
      </c>
      <c r="J1168" s="48"/>
      <c r="K1168" s="48"/>
      <c r="L1168" s="48"/>
      <c r="M1168" s="48"/>
      <c r="N1168" s="59"/>
      <c r="O1168" s="59">
        <v>246000</v>
      </c>
      <c r="P1168" s="59"/>
      <c r="Q1168" s="268">
        <f t="shared" si="56"/>
        <v>246000</v>
      </c>
      <c r="R1168" s="61">
        <f>IF(O1168=0,0,SUMIFS(Disbursements!$T:$T,Disbursements!$B:$B,'Live Collections'!D1168,Disbursements!$D:$D,'Live Collections'!F1168))</f>
        <v>58000</v>
      </c>
      <c r="S1168" s="64">
        <v>21000</v>
      </c>
      <c r="T1168" s="304">
        <f t="shared" si="57"/>
        <v>225000</v>
      </c>
      <c r="U1168" s="52"/>
      <c r="V1168" s="34"/>
      <c r="W1168" s="408"/>
    </row>
    <row r="1169" spans="1:23" ht="12.75" customHeight="1" x14ac:dyDescent="0.2">
      <c r="A1169" s="132">
        <v>1142</v>
      </c>
      <c r="B1169" s="44">
        <v>44473</v>
      </c>
      <c r="C1169" s="44">
        <f t="shared" si="55"/>
        <v>44473</v>
      </c>
      <c r="D1169" s="374">
        <v>119</v>
      </c>
      <c r="E1169" s="291" t="str">
        <f>IFERROR(VLOOKUP($D1169,'Clients-Live'!$A:$C,3,0),"")</f>
        <v>STELLA KONGAI</v>
      </c>
      <c r="F1169" s="291">
        <f>IFERROR(INDEX(Disbursements!$D:$D,MATCH('Live Collections'!G1169,Disbursements!$C:$C,0)),"")</f>
        <v>1</v>
      </c>
      <c r="G1169" s="34">
        <v>103</v>
      </c>
      <c r="H1169" s="34"/>
      <c r="I1169" s="34" t="s">
        <v>1359</v>
      </c>
      <c r="J1169" s="48"/>
      <c r="K1169" s="48"/>
      <c r="L1169" s="48"/>
      <c r="M1169" s="48"/>
      <c r="N1169" s="59"/>
      <c r="O1169" s="59">
        <v>815200</v>
      </c>
      <c r="P1169" s="59"/>
      <c r="Q1169" s="268">
        <f t="shared" si="56"/>
        <v>815200</v>
      </c>
      <c r="R1169" s="61">
        <f>IF(O1169=0,0,SUMIFS(Disbursements!$T:$T,Disbursements!$B:$B,'Live Collections'!D1169,Disbursements!$D:$D,'Live Collections'!F1169))</f>
        <v>817000</v>
      </c>
      <c r="S1169" s="64">
        <v>425666.6666666668</v>
      </c>
      <c r="T1169" s="304">
        <f t="shared" si="57"/>
        <v>389533.3333333332</v>
      </c>
      <c r="U1169" s="52"/>
      <c r="V1169" s="34"/>
      <c r="W1169" s="408"/>
    </row>
    <row r="1170" spans="1:23" ht="12.75" customHeight="1" x14ac:dyDescent="0.2">
      <c r="A1170" s="257">
        <v>1156</v>
      </c>
      <c r="B1170" s="44">
        <v>44473</v>
      </c>
      <c r="C1170" s="44">
        <f t="shared" si="55"/>
        <v>44473</v>
      </c>
      <c r="D1170" s="374">
        <v>119</v>
      </c>
      <c r="E1170" s="291" t="str">
        <f>IFERROR(VLOOKUP($D1170,'Clients-Live'!$A:$C,3,0),"")</f>
        <v>STELLA KONGAI</v>
      </c>
      <c r="F1170" s="291" t="str">
        <f>IFERROR(INDEX(Disbursements!$D:$D,MATCH('Live Collections'!G1170,Disbursements!$C:$C,0)),"")</f>
        <v/>
      </c>
      <c r="G1170" s="34"/>
      <c r="H1170" s="34"/>
      <c r="I1170" s="34" t="s">
        <v>1359</v>
      </c>
      <c r="J1170" s="48"/>
      <c r="K1170" s="48"/>
      <c r="L1170" s="48">
        <v>20000</v>
      </c>
      <c r="M1170" s="48">
        <v>5000</v>
      </c>
      <c r="N1170" s="59"/>
      <c r="O1170" s="59"/>
      <c r="P1170" s="59"/>
      <c r="Q1170" s="268">
        <f t="shared" si="56"/>
        <v>25000</v>
      </c>
      <c r="R1170" s="61">
        <f>IF(O1170=0,0,SUMIFS(Disbursements!$T:$T,Disbursements!$B:$B,'Live Collections'!D1170,Disbursements!$D:$D,'Live Collections'!F1170))</f>
        <v>0</v>
      </c>
      <c r="S1170" s="304">
        <f>IF(O1170&lt;=IF($O1170=0,0,SUMIFS(Disbursements!$W:$W,Disbursements!$B:$B,'Live Collections'!D2163,Disbursements!$D:$D,'Live Collections'!F2163)),O1170,IF($O1170=0,0,SUMIFS(Disbursements!$W:$W,Disbursements!$B:$B,'Live Collections'!D2163,Disbursements!$D:$D,'Live Collections'!F2163)))</f>
        <v>0</v>
      </c>
      <c r="T1170" s="304">
        <f t="shared" si="57"/>
        <v>0</v>
      </c>
      <c r="U1170" s="52"/>
      <c r="V1170" s="34"/>
      <c r="W1170" s="408"/>
    </row>
    <row r="1171" spans="1:23" ht="12.75" customHeight="1" x14ac:dyDescent="0.2">
      <c r="A1171" s="132">
        <v>1136</v>
      </c>
      <c r="B1171" s="44">
        <v>44473</v>
      </c>
      <c r="C1171" s="44">
        <f t="shared" si="55"/>
        <v>44473</v>
      </c>
      <c r="D1171" s="374">
        <v>160</v>
      </c>
      <c r="E1171" s="291" t="str">
        <f>IFERROR(VLOOKUP($D1171,'Clients-Live'!$A:$C,3,0),"")</f>
        <v>CHANDI ZANABU</v>
      </c>
      <c r="F1171" s="291">
        <f>IFERROR(INDEX(Disbursements!$D:$D,MATCH('Live Collections'!G1171,Disbursements!$C:$C,0)),"")</f>
        <v>1</v>
      </c>
      <c r="G1171" s="34">
        <v>151</v>
      </c>
      <c r="H1171" s="34"/>
      <c r="I1171" s="34" t="s">
        <v>1358</v>
      </c>
      <c r="J1171" s="48"/>
      <c r="K1171" s="48"/>
      <c r="L1171" s="48"/>
      <c r="M1171" s="48"/>
      <c r="N1171" s="59"/>
      <c r="O1171" s="59">
        <v>100000</v>
      </c>
      <c r="P1171" s="59"/>
      <c r="Q1171" s="268">
        <f t="shared" si="56"/>
        <v>100000</v>
      </c>
      <c r="R1171" s="61">
        <f>IF(O1171=0,0,SUMIFS(Disbursements!$T:$T,Disbursements!$B:$B,'Live Collections'!D1171,Disbursements!$D:$D,'Live Collections'!F1171))</f>
        <v>115000</v>
      </c>
      <c r="S1171" s="64">
        <v>10000</v>
      </c>
      <c r="T1171" s="304">
        <f t="shared" si="57"/>
        <v>90000</v>
      </c>
      <c r="U1171" s="52"/>
      <c r="V1171" s="34"/>
      <c r="W1171" s="408"/>
    </row>
    <row r="1172" spans="1:23" ht="12.75" customHeight="1" x14ac:dyDescent="0.2">
      <c r="A1172" s="257">
        <v>1138</v>
      </c>
      <c r="B1172" s="44">
        <v>44473</v>
      </c>
      <c r="C1172" s="44">
        <f t="shared" si="55"/>
        <v>44473</v>
      </c>
      <c r="D1172" s="374">
        <v>168</v>
      </c>
      <c r="E1172" s="291" t="str">
        <f>IFERROR(VLOOKUP($D1172,'Clients-Live'!$A:$C,3,0),"")</f>
        <v>ALORO FREDERICK</v>
      </c>
      <c r="F1172" s="291">
        <f>IFERROR(INDEX(Disbursements!$D:$D,MATCH('Live Collections'!G1172,Disbursements!$C:$C,0)),"")</f>
        <v>1</v>
      </c>
      <c r="G1172" s="34">
        <v>159</v>
      </c>
      <c r="H1172" s="34"/>
      <c r="I1172" s="34" t="s">
        <v>1357</v>
      </c>
      <c r="J1172" s="48"/>
      <c r="K1172" s="48"/>
      <c r="L1172" s="48"/>
      <c r="M1172" s="48"/>
      <c r="N1172" s="59"/>
      <c r="O1172" s="59">
        <v>1250000</v>
      </c>
      <c r="P1172" s="59"/>
      <c r="Q1172" s="268">
        <f t="shared" si="56"/>
        <v>1250000</v>
      </c>
      <c r="R1172" s="61">
        <f>IF(O1172=0,0,SUMIFS(Disbursements!$T:$T,Disbursements!$B:$B,'Live Collections'!D1172,Disbursements!$D:$D,'Live Collections'!F1172))</f>
        <v>1250000</v>
      </c>
      <c r="S1172" s="304">
        <f>IF(O1172&lt;=IF($O1172=0,0,SUMIFS(Disbursements!$W:$W,Disbursements!$B:$B,'Live Collections'!D2064,Disbursements!$D:$D,'Live Collections'!F2064)),O1172,IF($O1172=0,0,SUMIFS(Disbursements!$W:$W,Disbursements!$B:$B,'Live Collections'!D2064,Disbursements!$D:$D,'Live Collections'!F2064)))</f>
        <v>20666.666666666657</v>
      </c>
      <c r="T1172" s="304">
        <f t="shared" si="57"/>
        <v>1229333.3333333333</v>
      </c>
      <c r="U1172" s="52"/>
      <c r="V1172" s="34"/>
      <c r="W1172" s="408"/>
    </row>
    <row r="1173" spans="1:23" ht="12.75" customHeight="1" x14ac:dyDescent="0.2">
      <c r="A1173" s="132">
        <v>1145</v>
      </c>
      <c r="B1173" s="44">
        <v>44473</v>
      </c>
      <c r="C1173" s="44">
        <f t="shared" si="55"/>
        <v>44473</v>
      </c>
      <c r="D1173" s="374">
        <v>169</v>
      </c>
      <c r="E1173" s="291" t="str">
        <f>IFERROR(VLOOKUP($D1173,'Clients-Live'!$A:$C,3,0),"")</f>
        <v>KATO KENNEDY</v>
      </c>
      <c r="F1173" s="291">
        <f>IFERROR(INDEX(Disbursements!$D:$D,MATCH('Live Collections'!G1173,Disbursements!$C:$C,0)),"")</f>
        <v>1</v>
      </c>
      <c r="G1173" s="34">
        <v>176</v>
      </c>
      <c r="H1173" s="34">
        <v>2777</v>
      </c>
      <c r="I1173" s="34" t="s">
        <v>1357</v>
      </c>
      <c r="J1173" s="48"/>
      <c r="K1173" s="48"/>
      <c r="L1173" s="48"/>
      <c r="M1173" s="48"/>
      <c r="N1173" s="59"/>
      <c r="O1173" s="59">
        <v>120000</v>
      </c>
      <c r="P1173" s="59"/>
      <c r="Q1173" s="268">
        <f t="shared" si="56"/>
        <v>120000</v>
      </c>
      <c r="R1173" s="61">
        <f>IF(O1173=0,0,SUMIFS(Disbursements!$T:$T,Disbursements!$B:$B,'Live Collections'!D1173,Disbursements!$D:$D,'Live Collections'!F1173))</f>
        <v>109000</v>
      </c>
      <c r="S1173" s="304">
        <f>IF(O1173&lt;=IF($O1173=0,0,SUMIFS(Disbursements!$W:$W,Disbursements!$B:$B,'Live Collections'!D2084,Disbursements!$D:$D,'Live Collections'!F2084)),O1173,IF($O1173=0,0,SUMIFS(Disbursements!$W:$W,Disbursements!$B:$B,'Live Collections'!D2084,Disbursements!$D:$D,'Live Collections'!F2084)))</f>
        <v>23000</v>
      </c>
      <c r="T1173" s="304">
        <f t="shared" si="57"/>
        <v>97000</v>
      </c>
      <c r="U1173" s="52"/>
      <c r="V1173" s="34"/>
      <c r="W1173" s="408"/>
    </row>
    <row r="1174" spans="1:23" ht="12.75" customHeight="1" x14ac:dyDescent="0.2">
      <c r="A1174" s="257">
        <v>1143</v>
      </c>
      <c r="B1174" s="44">
        <v>44473</v>
      </c>
      <c r="C1174" s="44">
        <f t="shared" si="55"/>
        <v>44473</v>
      </c>
      <c r="D1174" s="374">
        <v>197</v>
      </c>
      <c r="E1174" s="291" t="str">
        <f>IFERROR(VLOOKUP($D1174,'Clients-Live'!$A:$C,3,0),"")</f>
        <v>SIYESA JAMILA</v>
      </c>
      <c r="F1174" s="291">
        <f>IFERROR(INDEX(Disbursements!$D:$D,MATCH('Live Collections'!G1174,Disbursements!$C:$C,0)),"")</f>
        <v>1</v>
      </c>
      <c r="G1174" s="34">
        <v>192</v>
      </c>
      <c r="H1174" s="34">
        <v>2618</v>
      </c>
      <c r="I1174" s="34" t="s">
        <v>1358</v>
      </c>
      <c r="J1174" s="48"/>
      <c r="K1174" s="48"/>
      <c r="L1174" s="48"/>
      <c r="M1174" s="48"/>
      <c r="N1174" s="59"/>
      <c r="O1174" s="59">
        <v>30000</v>
      </c>
      <c r="P1174" s="59"/>
      <c r="Q1174" s="268">
        <f t="shared" si="56"/>
        <v>30000</v>
      </c>
      <c r="R1174" s="61">
        <f>IF(O1174=0,0,SUMIFS(Disbursements!$T:$T,Disbursements!$B:$B,'Live Collections'!D1174,Disbursements!$D:$D,'Live Collections'!F1174))</f>
        <v>120000</v>
      </c>
      <c r="S1174" s="304">
        <f>IF(O1174&lt;=IF($O1174=0,0,SUMIFS(Disbursements!$W:$W,Disbursements!$B:$B,'Live Collections'!D2363,Disbursements!$D:$D,'Live Collections'!F2363)),O1174,IF($O1174=0,0,SUMIFS(Disbursements!$W:$W,Disbursements!$B:$B,'Live Collections'!D2363,Disbursements!$D:$D,'Live Collections'!F2363)))</f>
        <v>20000</v>
      </c>
      <c r="T1174" s="304">
        <f t="shared" si="57"/>
        <v>10000</v>
      </c>
      <c r="U1174" s="52"/>
      <c r="V1174" s="34"/>
      <c r="W1174" s="408"/>
    </row>
    <row r="1175" spans="1:23" ht="12.75" customHeight="1" x14ac:dyDescent="0.2">
      <c r="A1175" s="132">
        <v>1149</v>
      </c>
      <c r="B1175" s="44">
        <v>44473</v>
      </c>
      <c r="C1175" s="44">
        <f t="shared" si="55"/>
        <v>44473</v>
      </c>
      <c r="D1175" s="374">
        <v>198</v>
      </c>
      <c r="E1175" s="291" t="str">
        <f>IFERROR(VLOOKUP($D1175,'Clients-Live'!$A:$C,3,0),"")</f>
        <v>ETOLE BIAJO</v>
      </c>
      <c r="F1175" s="291">
        <f>IFERROR(INDEX(Disbursements!$D:$D,MATCH('Live Collections'!G1175,Disbursements!$C:$C,0)),"")</f>
        <v>1</v>
      </c>
      <c r="G1175" s="34">
        <v>191</v>
      </c>
      <c r="H1175" s="34"/>
      <c r="I1175" s="34" t="s">
        <v>1358</v>
      </c>
      <c r="J1175" s="48"/>
      <c r="K1175" s="48"/>
      <c r="L1175" s="48"/>
      <c r="M1175" s="48"/>
      <c r="N1175" s="59"/>
      <c r="O1175" s="59">
        <v>75000</v>
      </c>
      <c r="P1175" s="59"/>
      <c r="Q1175" s="268">
        <f t="shared" si="56"/>
        <v>75000</v>
      </c>
      <c r="R1175" s="61">
        <f>IF(O1175=0,0,SUMIFS(Disbursements!$T:$T,Disbursements!$B:$B,'Live Collections'!D1175,Disbursements!$D:$D,'Live Collections'!F1175))</f>
        <v>150000</v>
      </c>
      <c r="S1175" s="304">
        <f>IF(O1175&lt;=IF($O1175=0,0,SUMIFS(Disbursements!$W:$W,Disbursements!$B:$B,'Live Collections'!D2373,Disbursements!$D:$D,'Live Collections'!F2373)),O1175,IF($O1175=0,0,SUMIFS(Disbursements!$W:$W,Disbursements!$B:$B,'Live Collections'!D2373,Disbursements!$D:$D,'Live Collections'!F2373)))</f>
        <v>20000</v>
      </c>
      <c r="T1175" s="304">
        <f t="shared" si="57"/>
        <v>55000</v>
      </c>
      <c r="U1175" s="52"/>
      <c r="V1175" s="34"/>
      <c r="W1175" s="408"/>
    </row>
    <row r="1176" spans="1:23" ht="12.75" customHeight="1" x14ac:dyDescent="0.2">
      <c r="A1176" s="257">
        <v>1144</v>
      </c>
      <c r="B1176" s="44">
        <v>44473</v>
      </c>
      <c r="C1176" s="44">
        <f t="shared" si="55"/>
        <v>44473</v>
      </c>
      <c r="D1176" s="374">
        <v>212</v>
      </c>
      <c r="E1176" s="291" t="str">
        <f>IFERROR(VLOOKUP($D1176,'Clients-Live'!$A:$C,3,0),"")</f>
        <v>ACIDRI WILLIAM</v>
      </c>
      <c r="F1176" s="291">
        <f>IFERROR(INDEX(Disbursements!$D:$D,MATCH('Live Collections'!G1176,Disbursements!$C:$C,0)),"")</f>
        <v>1</v>
      </c>
      <c r="G1176" s="34">
        <v>206</v>
      </c>
      <c r="H1176" s="34"/>
      <c r="I1176" s="34" t="s">
        <v>1358</v>
      </c>
      <c r="J1176" s="48"/>
      <c r="K1176" s="48"/>
      <c r="L1176" s="48"/>
      <c r="M1176" s="48"/>
      <c r="N1176" s="59"/>
      <c r="O1176" s="59">
        <v>185000</v>
      </c>
      <c r="P1176" s="59"/>
      <c r="Q1176" s="268">
        <f t="shared" si="56"/>
        <v>185000</v>
      </c>
      <c r="R1176" s="61">
        <f>IF(O1176=0,0,SUMIFS(Disbursements!$T:$T,Disbursements!$B:$B,'Live Collections'!D1176,Disbursements!$D:$D,'Live Collections'!F1176))</f>
        <v>266000</v>
      </c>
      <c r="S1176" s="304">
        <f>IF(O1176&lt;=IF($O1176=0,0,SUMIFS(Disbursements!$W:$W,Disbursements!$B:$B,'Live Collections'!D2501,Disbursements!$D:$D,'Live Collections'!F2501)),O1176,IF($O1176=0,0,SUMIFS(Disbursements!$W:$W,Disbursements!$B:$B,'Live Collections'!D2501,Disbursements!$D:$D,'Live Collections'!F2501)))</f>
        <v>40000</v>
      </c>
      <c r="T1176" s="304">
        <f t="shared" si="57"/>
        <v>145000</v>
      </c>
      <c r="U1176" s="52"/>
      <c r="V1176" s="34"/>
      <c r="W1176" s="408"/>
    </row>
    <row r="1177" spans="1:23" ht="12.75" customHeight="1" x14ac:dyDescent="0.2">
      <c r="A1177" s="132">
        <v>1134</v>
      </c>
      <c r="B1177" s="44">
        <v>44473</v>
      </c>
      <c r="C1177" s="44">
        <f t="shared" si="55"/>
        <v>44473</v>
      </c>
      <c r="D1177" s="374">
        <v>218</v>
      </c>
      <c r="E1177" s="291" t="str">
        <f>IFERROR(VLOOKUP($D1177,'Clients-Live'!$A:$C,3,0),"")</f>
        <v>BUSURA OMAR</v>
      </c>
      <c r="F1177" s="291">
        <f>IFERROR(INDEX(Disbursements!$D:$D,MATCH('Live Collections'!G1177,Disbursements!$C:$C,0)),"")</f>
        <v>1</v>
      </c>
      <c r="G1177" s="34">
        <v>223</v>
      </c>
      <c r="H1177" s="34"/>
      <c r="I1177" s="34" t="s">
        <v>1357</v>
      </c>
      <c r="J1177" s="48"/>
      <c r="K1177" s="48"/>
      <c r="L1177" s="48"/>
      <c r="M1177" s="48"/>
      <c r="N1177" s="59"/>
      <c r="O1177" s="59">
        <v>90000</v>
      </c>
      <c r="P1177" s="59"/>
      <c r="Q1177" s="268">
        <f t="shared" si="56"/>
        <v>90000</v>
      </c>
      <c r="R1177" s="61">
        <f>IF(O1177=0,0,SUMIFS(Disbursements!$T:$T,Disbursements!$B:$B,'Live Collections'!D1177,Disbursements!$D:$D,'Live Collections'!F1177))</f>
        <v>325000</v>
      </c>
      <c r="S1177" s="304">
        <f>IF(O1177&lt;=IF($O1177=0,0,SUMIFS(Disbursements!$W:$W,Disbursements!$B:$B,'Live Collections'!D2571,Disbursements!$D:$D,'Live Collections'!F2571)),O1177,IF($O1177=0,0,SUMIFS(Disbursements!$W:$W,Disbursements!$B:$B,'Live Collections'!D2571,Disbursements!$D:$D,'Live Collections'!F2571)))</f>
        <v>38000</v>
      </c>
      <c r="T1177" s="304">
        <f t="shared" si="57"/>
        <v>52000</v>
      </c>
      <c r="U1177" s="52"/>
      <c r="V1177" s="34"/>
      <c r="W1177" s="408"/>
    </row>
    <row r="1178" spans="1:23" ht="12.75" customHeight="1" x14ac:dyDescent="0.2">
      <c r="A1178" s="257">
        <v>1159</v>
      </c>
      <c r="B1178" s="44">
        <v>44473</v>
      </c>
      <c r="C1178" s="44">
        <f t="shared" si="55"/>
        <v>44473</v>
      </c>
      <c r="D1178" s="374">
        <v>237</v>
      </c>
      <c r="E1178" s="291" t="str">
        <f>IFERROR(VLOOKUP($D1178,'Clients-Live'!$A:$C,3,0),"")</f>
        <v>EZRA INNOCENT</v>
      </c>
      <c r="F1178" s="291" t="str">
        <f>IFERROR(INDEX(Disbursements!$D:$D,MATCH('Live Collections'!G1178,Disbursements!$C:$C,0)),"")</f>
        <v/>
      </c>
      <c r="G1178" s="34"/>
      <c r="H1178" s="34"/>
      <c r="I1178" s="34" t="s">
        <v>1357</v>
      </c>
      <c r="J1178" s="48"/>
      <c r="K1178" s="48"/>
      <c r="L1178" s="48">
        <v>15000</v>
      </c>
      <c r="M1178" s="48">
        <v>5000</v>
      </c>
      <c r="N1178" s="59"/>
      <c r="O1178" s="59"/>
      <c r="P1178" s="59"/>
      <c r="Q1178" s="268">
        <f t="shared" si="56"/>
        <v>20000</v>
      </c>
      <c r="R1178" s="61">
        <f>IF(O1178=0,0,SUMIFS(Disbursements!$T:$T,Disbursements!$B:$B,'Live Collections'!D1178,Disbursements!$D:$D,'Live Collections'!F1178))</f>
        <v>0</v>
      </c>
      <c r="S1178" s="304">
        <f>IF(O1178&lt;=IF($O1178=0,0,SUMIFS(Disbursements!$W:$W,Disbursements!$B:$B,'Live Collections'!D2723,Disbursements!$D:$D,'Live Collections'!F2723)),O1178,IF($O1178=0,0,SUMIFS(Disbursements!$W:$W,Disbursements!$B:$B,'Live Collections'!D2723,Disbursements!$D:$D,'Live Collections'!F2723)))</f>
        <v>0</v>
      </c>
      <c r="T1178" s="304">
        <f t="shared" si="57"/>
        <v>0</v>
      </c>
      <c r="U1178" s="52"/>
      <c r="V1178" s="34"/>
      <c r="W1178" s="408"/>
    </row>
    <row r="1179" spans="1:23" ht="12.75" customHeight="1" x14ac:dyDescent="0.2">
      <c r="A1179" s="132">
        <v>1161</v>
      </c>
      <c r="B1179" s="44">
        <v>44474</v>
      </c>
      <c r="C1179" s="44">
        <f t="shared" si="55"/>
        <v>44474</v>
      </c>
      <c r="D1179" s="374">
        <v>6</v>
      </c>
      <c r="E1179" s="291" t="str">
        <f>IFERROR(VLOOKUP($D1179,'Clients-Live'!$A:$C,3,0),"")</f>
        <v>AMUTE BASHIR</v>
      </c>
      <c r="F1179" s="291">
        <f>IFERROR(INDEX(Disbursements!$D:$D,MATCH('Live Collections'!G1179,Disbursements!$C:$C,0)),"")</f>
        <v>2</v>
      </c>
      <c r="G1179" s="34">
        <v>100</v>
      </c>
      <c r="H1179" s="34">
        <v>2769</v>
      </c>
      <c r="I1179" s="34" t="s">
        <v>1358</v>
      </c>
      <c r="J1179" s="48"/>
      <c r="K1179" s="48"/>
      <c r="L1179" s="48"/>
      <c r="M1179" s="48"/>
      <c r="N1179" s="59"/>
      <c r="O1179" s="59">
        <v>265000</v>
      </c>
      <c r="P1179" s="59"/>
      <c r="Q1179" s="268">
        <f t="shared" si="56"/>
        <v>265000</v>
      </c>
      <c r="R1179" s="61">
        <f>IF(O1179=0,0,SUMIFS(Disbursements!$T:$T,Disbursements!$B:$B,'Live Collections'!D1179,Disbursements!$D:$D,'Live Collections'!F1179))</f>
        <v>1300000</v>
      </c>
      <c r="S1179" s="304">
        <f>IF(O1179&lt;=IF($O1179=0,0,SUMIFS(Disbursements!$W:$W,Disbursements!$B:$B,'Live Collections'!D54,Disbursements!$D:$D,'Live Collections'!F54)),O1179,IF($O1179=0,0,SUMIFS(Disbursements!$W:$W,Disbursements!$B:$B,'Live Collections'!D54,Disbursements!$D:$D,'Live Collections'!F54)))</f>
        <v>0</v>
      </c>
      <c r="T1179" s="304">
        <f t="shared" si="57"/>
        <v>265000</v>
      </c>
      <c r="U1179" s="52"/>
      <c r="V1179" s="34"/>
      <c r="W1179" s="408"/>
    </row>
    <row r="1180" spans="1:23" ht="12.75" customHeight="1" x14ac:dyDescent="0.2">
      <c r="A1180" s="257">
        <v>1164</v>
      </c>
      <c r="B1180" s="44">
        <v>44474</v>
      </c>
      <c r="C1180" s="44">
        <f t="shared" si="55"/>
        <v>44474</v>
      </c>
      <c r="D1180" s="374">
        <v>31</v>
      </c>
      <c r="E1180" s="291" t="str">
        <f>IFERROR(VLOOKUP($D1180,'Clients-Live'!$A:$C,3,0),"")</f>
        <v>MUNDURU HARRIET</v>
      </c>
      <c r="F1180" s="291">
        <f>IFERROR(INDEX(Disbursements!$D:$D,MATCH('Live Collections'!G1180,Disbursements!$C:$C,0)),"")</f>
        <v>1</v>
      </c>
      <c r="G1180" s="34">
        <v>16</v>
      </c>
      <c r="H1180" s="34"/>
      <c r="I1180" s="34" t="s">
        <v>1357</v>
      </c>
      <c r="J1180" s="48"/>
      <c r="K1180" s="48"/>
      <c r="L1180" s="48"/>
      <c r="M1180" s="48"/>
      <c r="N1180" s="59"/>
      <c r="O1180" s="59">
        <v>125000</v>
      </c>
      <c r="P1180" s="59"/>
      <c r="Q1180" s="268">
        <f t="shared" si="56"/>
        <v>125000</v>
      </c>
      <c r="R1180" s="61">
        <f>IF(O1180=0,0,SUMIFS(Disbursements!$T:$T,Disbursements!$B:$B,'Live Collections'!D1180,Disbursements!$D:$D,'Live Collections'!F1180))</f>
        <v>125000</v>
      </c>
      <c r="S1180" s="64">
        <v>54333.333333333328</v>
      </c>
      <c r="T1180" s="304">
        <f t="shared" si="57"/>
        <v>70666.666666666672</v>
      </c>
      <c r="U1180" s="52"/>
      <c r="V1180" s="34"/>
      <c r="W1180" s="408" t="s">
        <v>2089</v>
      </c>
    </row>
    <row r="1181" spans="1:23" ht="12.75" customHeight="1" x14ac:dyDescent="0.2">
      <c r="A1181" s="132">
        <v>1163</v>
      </c>
      <c r="B1181" s="44">
        <v>44474</v>
      </c>
      <c r="C1181" s="44">
        <f t="shared" si="55"/>
        <v>44474</v>
      </c>
      <c r="D1181" s="374">
        <v>51</v>
      </c>
      <c r="E1181" s="291" t="str">
        <f>IFERROR(VLOOKUP($D1181,'Clients-Live'!$A:$C,3,0),"")</f>
        <v>AYILE STEPHEN</v>
      </c>
      <c r="F1181" s="291">
        <f>IFERROR(INDEX(Disbursements!$D:$D,MATCH('Live Collections'!G1181,Disbursements!$C:$C,0)),"")</f>
        <v>1</v>
      </c>
      <c r="G1181" s="34">
        <v>34</v>
      </c>
      <c r="H1181" s="34">
        <v>2761</v>
      </c>
      <c r="I1181" s="34" t="s">
        <v>1359</v>
      </c>
      <c r="J1181" s="48"/>
      <c r="K1181" s="48"/>
      <c r="L1181" s="48"/>
      <c r="M1181" s="48"/>
      <c r="N1181" s="59"/>
      <c r="O1181" s="59">
        <v>200000</v>
      </c>
      <c r="P1181" s="59"/>
      <c r="Q1181" s="268">
        <f t="shared" si="56"/>
        <v>200000</v>
      </c>
      <c r="R1181" s="61">
        <f>IF(O1181=0,0,SUMIFS(Disbursements!$T:$T,Disbursements!$B:$B,'Live Collections'!D1181,Disbursements!$D:$D,'Live Collections'!F1181))</f>
        <v>325000</v>
      </c>
      <c r="S1181" s="304"/>
      <c r="T1181" s="304">
        <f t="shared" si="57"/>
        <v>200000</v>
      </c>
      <c r="U1181" s="52"/>
      <c r="V1181" s="34"/>
      <c r="W1181" s="408"/>
    </row>
    <row r="1182" spans="1:23" ht="12.75" customHeight="1" x14ac:dyDescent="0.2">
      <c r="A1182" s="257">
        <v>1162</v>
      </c>
      <c r="B1182" s="44">
        <v>44474</v>
      </c>
      <c r="C1182" s="44">
        <f t="shared" si="55"/>
        <v>44474</v>
      </c>
      <c r="D1182" s="374">
        <v>79</v>
      </c>
      <c r="E1182" s="291" t="str">
        <f>IFERROR(VLOOKUP($D1182,'Clients-Live'!$A:$C,3,0),"")</f>
        <v>PASI SENYA</v>
      </c>
      <c r="F1182" s="291">
        <f>IFERROR(INDEX(Disbursements!$D:$D,MATCH('Live Collections'!G1182,Disbursements!$C:$C,0)),"")</f>
        <v>1</v>
      </c>
      <c r="G1182" s="34">
        <v>64</v>
      </c>
      <c r="H1182" s="34"/>
      <c r="I1182" s="34" t="s">
        <v>1358</v>
      </c>
      <c r="J1182" s="48"/>
      <c r="K1182" s="48"/>
      <c r="L1182" s="48"/>
      <c r="M1182" s="48"/>
      <c r="N1182" s="59"/>
      <c r="O1182" s="59">
        <v>63000</v>
      </c>
      <c r="P1182" s="59"/>
      <c r="Q1182" s="268">
        <f t="shared" si="56"/>
        <v>63000</v>
      </c>
      <c r="R1182" s="61">
        <f>IF(O1182=0,0,SUMIFS(Disbursements!$T:$T,Disbursements!$B:$B,'Live Collections'!D1182,Disbursements!$D:$D,'Live Collections'!F1182))</f>
        <v>63000</v>
      </c>
      <c r="S1182" s="304"/>
      <c r="T1182" s="304">
        <f t="shared" si="57"/>
        <v>63000</v>
      </c>
      <c r="U1182" s="52"/>
      <c r="V1182" s="34"/>
      <c r="W1182" s="408"/>
    </row>
    <row r="1183" spans="1:23" ht="12.75" customHeight="1" x14ac:dyDescent="0.2">
      <c r="A1183" s="132">
        <v>1173</v>
      </c>
      <c r="B1183" s="44">
        <v>44474</v>
      </c>
      <c r="C1183" s="44">
        <f t="shared" si="55"/>
        <v>44474</v>
      </c>
      <c r="D1183" s="374">
        <v>100</v>
      </c>
      <c r="E1183" s="291" t="str">
        <f>IFERROR(VLOOKUP($D1183,'Clients-Live'!$A:$C,3,0),"")</f>
        <v>LETAYO DORCUS</v>
      </c>
      <c r="F1183" s="291">
        <f>IFERROR(INDEX(Disbursements!$D:$D,MATCH('Live Collections'!G1183,Disbursements!$C:$C,0)),"")</f>
        <v>2</v>
      </c>
      <c r="G1183" s="34">
        <v>184</v>
      </c>
      <c r="H1183" s="34"/>
      <c r="I1183" s="34" t="s">
        <v>1357</v>
      </c>
      <c r="J1183" s="48"/>
      <c r="K1183" s="48"/>
      <c r="L1183" s="48"/>
      <c r="M1183" s="48"/>
      <c r="N1183" s="59"/>
      <c r="O1183" s="59">
        <v>50000</v>
      </c>
      <c r="P1183" s="59"/>
      <c r="Q1183" s="268">
        <f t="shared" si="56"/>
        <v>50000</v>
      </c>
      <c r="R1183" s="61">
        <f>IF(O1183=0,0,SUMIFS(Disbursements!$T:$T,Disbursements!$B:$B,'Live Collections'!D1183,Disbursements!$D:$D,'Live Collections'!F1183))</f>
        <v>150000</v>
      </c>
      <c r="S1183" s="304">
        <f>IF(O1183&lt;=IF($O1183=0,0,SUMIFS(Disbursements!$W:$W,Disbursements!$B:$B,'Live Collections'!D1295,Disbursements!$D:$D,'Live Collections'!F1295)),O1183,IF($O1183=0,0,SUMIFS(Disbursements!$W:$W,Disbursements!$B:$B,'Live Collections'!D1295,Disbursements!$D:$D,'Live Collections'!F1295)))</f>
        <v>50000</v>
      </c>
      <c r="T1183" s="304">
        <f t="shared" si="57"/>
        <v>0</v>
      </c>
      <c r="U1183" s="52"/>
      <c r="V1183" s="34"/>
      <c r="W1183" s="408"/>
    </row>
    <row r="1184" spans="1:23" ht="12.75" customHeight="1" x14ac:dyDescent="0.2">
      <c r="A1184" s="257">
        <v>1171</v>
      </c>
      <c r="B1184" s="44">
        <v>44474</v>
      </c>
      <c r="C1184" s="44">
        <f t="shared" si="55"/>
        <v>44474</v>
      </c>
      <c r="D1184" s="374">
        <v>103</v>
      </c>
      <c r="E1184" s="291" t="str">
        <f>IFERROR(VLOOKUP($D1184,'Clients-Live'!$A:$C,3,0),"")</f>
        <v>CHANDIRU ZABIB</v>
      </c>
      <c r="F1184" s="291">
        <f>IFERROR(INDEX(Disbursements!$D:$D,MATCH('Live Collections'!G1184,Disbursements!$C:$C,0)),"")</f>
        <v>1</v>
      </c>
      <c r="G1184" s="34">
        <v>88</v>
      </c>
      <c r="H1184" s="34"/>
      <c r="I1184" s="34" t="s">
        <v>1358</v>
      </c>
      <c r="J1184" s="48"/>
      <c r="K1184" s="48"/>
      <c r="L1184" s="48"/>
      <c r="M1184" s="48"/>
      <c r="N1184" s="59"/>
      <c r="O1184" s="59">
        <v>60000</v>
      </c>
      <c r="P1184" s="59"/>
      <c r="Q1184" s="268">
        <f t="shared" si="56"/>
        <v>60000</v>
      </c>
      <c r="R1184" s="61">
        <f>IF(O1184=0,0,SUMIFS(Disbursements!$T:$T,Disbursements!$B:$B,'Live Collections'!D1184,Disbursements!$D:$D,'Live Collections'!F1184))</f>
        <v>120000</v>
      </c>
      <c r="S1184" s="304">
        <f>IF(O1184&lt;=IF($O1184=0,0,SUMIFS(Disbursements!$W:$W,Disbursements!$B:$B,'Live Collections'!D1326,Disbursements!$D:$D,'Live Collections'!F1326)),O1184,IF($O1184=0,0,SUMIFS(Disbursements!$W:$W,Disbursements!$B:$B,'Live Collections'!D1326,Disbursements!$D:$D,'Live Collections'!F1326)))</f>
        <v>35333.333333333328</v>
      </c>
      <c r="T1184" s="304">
        <f t="shared" si="57"/>
        <v>24666.666666666672</v>
      </c>
      <c r="U1184" s="52"/>
      <c r="V1184" s="34"/>
      <c r="W1184" s="408"/>
    </row>
    <row r="1185" spans="1:23" ht="12.75" customHeight="1" x14ac:dyDescent="0.2">
      <c r="A1185" s="132">
        <v>1169</v>
      </c>
      <c r="B1185" s="44">
        <v>44474</v>
      </c>
      <c r="C1185" s="44">
        <f t="shared" si="55"/>
        <v>44474</v>
      </c>
      <c r="D1185" s="374">
        <v>140</v>
      </c>
      <c r="E1185" s="291" t="str">
        <f>IFERROR(VLOOKUP($D1185,'Clients-Live'!$A:$C,3,0),"")</f>
        <v>AYIKORU MARIAM</v>
      </c>
      <c r="F1185" s="291">
        <f>IFERROR(INDEX(Disbursements!$D:$D,MATCH('Live Collections'!G1185,Disbursements!$C:$C,0)),"")</f>
        <v>1</v>
      </c>
      <c r="G1185" s="34">
        <v>125</v>
      </c>
      <c r="H1185" s="34"/>
      <c r="I1185" s="34" t="s">
        <v>1358</v>
      </c>
      <c r="J1185" s="48"/>
      <c r="K1185" s="48"/>
      <c r="L1185" s="48"/>
      <c r="M1185" s="48"/>
      <c r="N1185" s="59"/>
      <c r="O1185" s="59">
        <v>24000</v>
      </c>
      <c r="P1185" s="59"/>
      <c r="Q1185" s="268">
        <f t="shared" si="56"/>
        <v>24000</v>
      </c>
      <c r="R1185" s="61">
        <f>IF(O1185=0,0,SUMIFS(Disbursements!$T:$T,Disbursements!$B:$B,'Live Collections'!D1185,Disbursements!$D:$D,'Live Collections'!F1185))</f>
        <v>192000</v>
      </c>
      <c r="S1185" s="304"/>
      <c r="T1185" s="304">
        <f t="shared" si="57"/>
        <v>24000</v>
      </c>
      <c r="U1185" s="52"/>
      <c r="V1185" s="34"/>
      <c r="W1185" s="408"/>
    </row>
    <row r="1186" spans="1:23" ht="12.75" customHeight="1" x14ac:dyDescent="0.2">
      <c r="A1186" s="257">
        <v>1172</v>
      </c>
      <c r="B1186" s="44">
        <v>44474</v>
      </c>
      <c r="C1186" s="44">
        <f t="shared" si="55"/>
        <v>44474</v>
      </c>
      <c r="D1186" s="374">
        <v>145</v>
      </c>
      <c r="E1186" s="291" t="str">
        <f>IFERROR(VLOOKUP($D1186,'Clients-Live'!$A:$C,3,0),"")</f>
        <v>NIGHT ASARA</v>
      </c>
      <c r="F1186" s="291">
        <f>IFERROR(INDEX(Disbursements!$D:$D,MATCH('Live Collections'!G1186,Disbursements!$C:$C,0)),"")</f>
        <v>1</v>
      </c>
      <c r="G1186" s="34">
        <v>132</v>
      </c>
      <c r="H1186" s="34"/>
      <c r="I1186" s="34" t="s">
        <v>1357</v>
      </c>
      <c r="J1186" s="48"/>
      <c r="K1186" s="48"/>
      <c r="L1186" s="48"/>
      <c r="M1186" s="48"/>
      <c r="N1186" s="59"/>
      <c r="O1186" s="59">
        <v>40000</v>
      </c>
      <c r="P1186" s="59"/>
      <c r="Q1186" s="268">
        <f t="shared" si="56"/>
        <v>40000</v>
      </c>
      <c r="R1186" s="61">
        <f>IF(O1186=0,0,SUMIFS(Disbursements!$T:$T,Disbursements!$B:$B,'Live Collections'!D1186,Disbursements!$D:$D,'Live Collections'!F1186))</f>
        <v>120000</v>
      </c>
      <c r="S1186" s="304">
        <f>IF(O1186&lt;=IF($O1186=0,0,SUMIFS(Disbursements!$W:$W,Disbursements!$B:$B,'Live Collections'!D1830,Disbursements!$D:$D,'Live Collections'!F1830)),O1186,IF($O1186=0,0,SUMIFS(Disbursements!$W:$W,Disbursements!$B:$B,'Live Collections'!D1830,Disbursements!$D:$D,'Live Collections'!F1830)))</f>
        <v>0</v>
      </c>
      <c r="T1186" s="304">
        <f t="shared" si="57"/>
        <v>40000</v>
      </c>
      <c r="U1186" s="52"/>
      <c r="V1186" s="34"/>
      <c r="W1186" s="408"/>
    </row>
    <row r="1187" spans="1:23" ht="12.75" customHeight="1" x14ac:dyDescent="0.2">
      <c r="A1187" s="132">
        <v>1168</v>
      </c>
      <c r="B1187" s="44">
        <v>44474</v>
      </c>
      <c r="C1187" s="44">
        <f t="shared" si="55"/>
        <v>44474</v>
      </c>
      <c r="D1187" s="374">
        <v>147</v>
      </c>
      <c r="E1187" s="291" t="str">
        <f>IFERROR(VLOOKUP($D1187,'Clients-Live'!$A:$C,3,0),"")</f>
        <v>DRICIRU MARGRET</v>
      </c>
      <c r="F1187" s="291">
        <f>IFERROR(INDEX(Disbursements!$D:$D,MATCH('Live Collections'!G1187,Disbursements!$C:$C,0)),"")</f>
        <v>2</v>
      </c>
      <c r="G1187" s="34">
        <v>203</v>
      </c>
      <c r="H1187" s="34">
        <v>2798</v>
      </c>
      <c r="I1187" s="34" t="s">
        <v>1359</v>
      </c>
      <c r="J1187" s="48"/>
      <c r="K1187" s="48"/>
      <c r="L1187" s="48"/>
      <c r="M1187" s="48"/>
      <c r="N1187" s="59"/>
      <c r="O1187" s="59">
        <v>300000</v>
      </c>
      <c r="P1187" s="59"/>
      <c r="Q1187" s="268">
        <f t="shared" si="56"/>
        <v>300000</v>
      </c>
      <c r="R1187" s="61">
        <f>IF(O1187=0,0,SUMIFS(Disbursements!$T:$T,Disbursements!$B:$B,'Live Collections'!D1187,Disbursements!$D:$D,'Live Collections'!F1187))</f>
        <v>300000</v>
      </c>
      <c r="S1187" s="304">
        <f>IF(O1187&lt;=IF($O1187=0,0,SUMIFS(Disbursements!$W:$W,Disbursements!$B:$B,'Live Collections'!D1857,Disbursements!$D:$D,'Live Collections'!F1857)),O1187,IF($O1187=0,0,SUMIFS(Disbursements!$W:$W,Disbursements!$B:$B,'Live Collections'!D1857,Disbursements!$D:$D,'Live Collections'!F1857)))</f>
        <v>20000</v>
      </c>
      <c r="T1187" s="304">
        <f t="shared" si="57"/>
        <v>280000</v>
      </c>
      <c r="U1187" s="52"/>
      <c r="V1187" s="34"/>
      <c r="W1187" s="408"/>
    </row>
    <row r="1188" spans="1:23" ht="12.75" customHeight="1" x14ac:dyDescent="0.2">
      <c r="A1188" s="257">
        <v>1170</v>
      </c>
      <c r="B1188" s="44">
        <v>44474</v>
      </c>
      <c r="C1188" s="44">
        <f t="shared" si="55"/>
        <v>44474</v>
      </c>
      <c r="D1188" s="374">
        <v>167</v>
      </c>
      <c r="E1188" s="291" t="str">
        <f>IFERROR(VLOOKUP($D1188,'Clients-Live'!$A:$C,3,0),"")</f>
        <v>DRICHA KADIJA</v>
      </c>
      <c r="F1188" s="291">
        <f>IFERROR(INDEX(Disbursements!$D:$D,MATCH('Live Collections'!G1188,Disbursements!$C:$C,0)),"")</f>
        <v>1</v>
      </c>
      <c r="G1188" s="34">
        <v>157</v>
      </c>
      <c r="H1188" s="34"/>
      <c r="I1188" s="34" t="s">
        <v>1358</v>
      </c>
      <c r="J1188" s="48"/>
      <c r="K1188" s="48"/>
      <c r="L1188" s="48"/>
      <c r="M1188" s="48"/>
      <c r="N1188" s="59"/>
      <c r="O1188" s="59">
        <v>216700</v>
      </c>
      <c r="P1188" s="59"/>
      <c r="Q1188" s="268">
        <f t="shared" si="56"/>
        <v>216700</v>
      </c>
      <c r="R1188" s="61">
        <f>IF(O1188=0,0,SUMIFS(Disbursements!$T:$T,Disbursements!$B:$B,'Live Collections'!D1188,Disbursements!$D:$D,'Live Collections'!F1188))</f>
        <v>217000</v>
      </c>
      <c r="S1188" s="304">
        <f>IF(O1188&lt;=IF($O1188=0,0,SUMIFS(Disbursements!$W:$W,Disbursements!$B:$B,'Live Collections'!D2738,Disbursements!$D:$D,'Live Collections'!F2738)),O1188,IF($O1188=0,0,SUMIFS(Disbursements!$W:$W,Disbursements!$B:$B,'Live Collections'!D2738,Disbursements!$D:$D,'Live Collections'!F2738)))</f>
        <v>0</v>
      </c>
      <c r="T1188" s="304">
        <f t="shared" si="57"/>
        <v>216700</v>
      </c>
      <c r="U1188" s="52"/>
      <c r="V1188" s="34"/>
      <c r="W1188" s="408"/>
    </row>
    <row r="1189" spans="1:23" ht="12.75" customHeight="1" x14ac:dyDescent="0.2">
      <c r="A1189" s="132">
        <v>1167</v>
      </c>
      <c r="B1189" s="44">
        <v>44474</v>
      </c>
      <c r="C1189" s="44">
        <f t="shared" si="55"/>
        <v>44474</v>
      </c>
      <c r="D1189" s="374">
        <v>174</v>
      </c>
      <c r="E1189" s="291" t="str">
        <f>IFERROR(VLOOKUP($D1189,'Clients-Live'!$A:$C,3,0),"")</f>
        <v>METALORO   MOSES</v>
      </c>
      <c r="F1189" s="291">
        <f>IFERROR(INDEX(Disbursements!$D:$D,MATCH('Live Collections'!G1189,Disbursements!$C:$C,0)),"")</f>
        <v>1</v>
      </c>
      <c r="G1189" s="34">
        <v>162</v>
      </c>
      <c r="H1189" s="34"/>
      <c r="I1189" s="34" t="s">
        <v>1358</v>
      </c>
      <c r="J1189" s="48"/>
      <c r="K1189" s="48"/>
      <c r="L1189" s="48"/>
      <c r="M1189" s="48"/>
      <c r="N1189" s="59"/>
      <c r="O1189" s="59">
        <v>137500</v>
      </c>
      <c r="P1189" s="59"/>
      <c r="Q1189" s="268">
        <f t="shared" si="56"/>
        <v>137500</v>
      </c>
      <c r="R1189" s="61">
        <f>IF(O1189=0,0,SUMIFS(Disbursements!$T:$T,Disbursements!$B:$B,'Live Collections'!D1189,Disbursements!$D:$D,'Live Collections'!F1189))</f>
        <v>138000</v>
      </c>
      <c r="S1189" s="304">
        <f>IF(O1189&lt;=IF($O1189=0,0,SUMIFS(Disbursements!$W:$W,Disbursements!$B:$B,'Live Collections'!D2137,Disbursements!$D:$D,'Live Collections'!F2137)),O1189,IF($O1189=0,0,SUMIFS(Disbursements!$W:$W,Disbursements!$B:$B,'Live Collections'!D2137,Disbursements!$D:$D,'Live Collections'!F2137)))</f>
        <v>0</v>
      </c>
      <c r="T1189" s="304">
        <f t="shared" si="57"/>
        <v>137500</v>
      </c>
      <c r="U1189" s="52"/>
      <c r="V1189" s="34"/>
      <c r="W1189" s="408"/>
    </row>
    <row r="1190" spans="1:23" ht="12.75" customHeight="1" x14ac:dyDescent="0.2">
      <c r="A1190" s="257">
        <v>1166</v>
      </c>
      <c r="B1190" s="44">
        <v>44474</v>
      </c>
      <c r="C1190" s="44">
        <f t="shared" si="55"/>
        <v>44474</v>
      </c>
      <c r="D1190" s="374">
        <v>177</v>
      </c>
      <c r="E1190" s="291" t="str">
        <f>IFERROR(VLOOKUP($D1190,'Clients-Live'!$A:$C,3,0),"")</f>
        <v>EFIT GIFT</v>
      </c>
      <c r="F1190" s="291">
        <f>IFERROR(INDEX(Disbursements!$D:$D,MATCH('Live Collections'!G1190,Disbursements!$C:$C,0)),"")</f>
        <v>1</v>
      </c>
      <c r="G1190" s="34">
        <v>183</v>
      </c>
      <c r="H1190" s="34"/>
      <c r="I1190" s="34" t="s">
        <v>1358</v>
      </c>
      <c r="J1190" s="48"/>
      <c r="K1190" s="48"/>
      <c r="L1190" s="48"/>
      <c r="M1190" s="48"/>
      <c r="N1190" s="59"/>
      <c r="O1190" s="59">
        <v>110000</v>
      </c>
      <c r="P1190" s="59"/>
      <c r="Q1190" s="268">
        <f t="shared" si="56"/>
        <v>110000</v>
      </c>
      <c r="R1190" s="61">
        <f>IF(O1190=0,0,SUMIFS(Disbursements!$T:$T,Disbursements!$B:$B,'Live Collections'!D1190,Disbursements!$D:$D,'Live Collections'!F1190))</f>
        <v>109000</v>
      </c>
      <c r="S1190" s="304">
        <f>IF(O1190&lt;=IF($O1190=0,0,SUMIFS(Disbursements!$W:$W,Disbursements!$B:$B,'Live Collections'!D2169,Disbursements!$D:$D,'Live Collections'!F2169)),O1190,IF($O1190=0,0,SUMIFS(Disbursements!$W:$W,Disbursements!$B:$B,'Live Collections'!D2169,Disbursements!$D:$D,'Live Collections'!F2169)))</f>
        <v>49333.333333333343</v>
      </c>
      <c r="T1190" s="304">
        <f t="shared" si="57"/>
        <v>60666.666666666657</v>
      </c>
      <c r="U1190" s="52"/>
      <c r="V1190" s="34"/>
      <c r="W1190" s="408"/>
    </row>
    <row r="1191" spans="1:23" ht="12.75" customHeight="1" x14ac:dyDescent="0.2">
      <c r="A1191" s="132">
        <v>1165</v>
      </c>
      <c r="B1191" s="44">
        <v>44474</v>
      </c>
      <c r="C1191" s="44">
        <f t="shared" si="55"/>
        <v>44474</v>
      </c>
      <c r="D1191" s="374">
        <v>210</v>
      </c>
      <c r="E1191" s="291" t="str">
        <f>IFERROR(VLOOKUP($D1191,'Clients-Live'!$A:$C,3,0),"")</f>
        <v>ADRILI ZAHARA</v>
      </c>
      <c r="F1191" s="291">
        <f>IFERROR(INDEX(Disbursements!$D:$D,MATCH('Live Collections'!G1191,Disbursements!$C:$C,0)),"")</f>
        <v>1</v>
      </c>
      <c r="G1191" s="34">
        <v>213</v>
      </c>
      <c r="H1191" s="34"/>
      <c r="I1191" s="34" t="s">
        <v>1357</v>
      </c>
      <c r="J1191" s="48"/>
      <c r="K1191" s="48"/>
      <c r="L1191" s="48"/>
      <c r="M1191" s="48"/>
      <c r="N1191" s="59"/>
      <c r="O1191" s="59">
        <v>140000</v>
      </c>
      <c r="P1191" s="59"/>
      <c r="Q1191" s="268">
        <f t="shared" si="56"/>
        <v>140000</v>
      </c>
      <c r="R1191" s="61">
        <f>IF(O1191=0,0,SUMIFS(Disbursements!$T:$T,Disbursements!$B:$B,'Live Collections'!D1191,Disbursements!$D:$D,'Live Collections'!F1191))</f>
        <v>150000</v>
      </c>
      <c r="S1191" s="304">
        <f>IF(O1191&lt;=IF($O1191=0,0,SUMIFS(Disbursements!$W:$W,Disbursements!$B:$B,'Live Collections'!D2478,Disbursements!$D:$D,'Live Collections'!F2478)),O1191,IF($O1191=0,0,SUMIFS(Disbursements!$W:$W,Disbursements!$B:$B,'Live Collections'!D2478,Disbursements!$D:$D,'Live Collections'!F2478)))</f>
        <v>35000</v>
      </c>
      <c r="T1191" s="304">
        <f t="shared" si="57"/>
        <v>105000</v>
      </c>
      <c r="U1191" s="52"/>
      <c r="V1191" s="34"/>
      <c r="W1191" s="408"/>
    </row>
    <row r="1192" spans="1:23" ht="12.75" customHeight="1" x14ac:dyDescent="0.2">
      <c r="A1192" s="257">
        <v>1174</v>
      </c>
      <c r="B1192" s="44">
        <v>44474</v>
      </c>
      <c r="C1192" s="44">
        <f t="shared" si="55"/>
        <v>44474</v>
      </c>
      <c r="D1192" s="374">
        <v>239</v>
      </c>
      <c r="E1192" s="291" t="str">
        <f>IFERROR(VLOOKUP($D1192,'Clients-Live'!$A:$C,3,0),"")</f>
        <v>HABIBU ABOYI ALLI</v>
      </c>
      <c r="F1192" s="291" t="str">
        <f>IFERROR(INDEX(Disbursements!$D:$D,MATCH('Live Collections'!G1192,Disbursements!$C:$C,0)),"")</f>
        <v/>
      </c>
      <c r="G1192" s="34"/>
      <c r="H1192" s="34"/>
      <c r="I1192" s="34" t="s">
        <v>1815</v>
      </c>
      <c r="J1192" s="48">
        <v>15000</v>
      </c>
      <c r="K1192" s="48">
        <v>5000</v>
      </c>
      <c r="L1192" s="48"/>
      <c r="M1192" s="48"/>
      <c r="N1192" s="59"/>
      <c r="O1192" s="59"/>
      <c r="P1192" s="59"/>
      <c r="Q1192" s="268">
        <f t="shared" si="56"/>
        <v>20000</v>
      </c>
      <c r="R1192" s="61">
        <f>IF(O1192=0,0,SUMIFS(Disbursements!$T:$T,Disbursements!$B:$B,'Live Collections'!D1192,Disbursements!$D:$D,'Live Collections'!F1192))</f>
        <v>0</v>
      </c>
      <c r="S1192" s="304">
        <f>IF(O1192&lt;=IF($O1192=0,0,SUMIFS(Disbursements!$W:$W,Disbursements!$B:$B,'Live Collections'!D2738,Disbursements!$D:$D,'Live Collections'!F2738)),O1192,IF($O1192=0,0,SUMIFS(Disbursements!$W:$W,Disbursements!$B:$B,'Live Collections'!D2738,Disbursements!$D:$D,'Live Collections'!F2738)))</f>
        <v>0</v>
      </c>
      <c r="T1192" s="304">
        <f t="shared" si="57"/>
        <v>0</v>
      </c>
      <c r="U1192" s="52"/>
      <c r="V1192" s="34"/>
      <c r="W1192" s="408"/>
    </row>
    <row r="1193" spans="1:23" ht="12.75" customHeight="1" x14ac:dyDescent="0.2">
      <c r="A1193" s="132">
        <v>1189</v>
      </c>
      <c r="B1193" s="44">
        <v>44475</v>
      </c>
      <c r="C1193" s="44">
        <f t="shared" si="55"/>
        <v>44475</v>
      </c>
      <c r="D1193" s="374">
        <v>22</v>
      </c>
      <c r="E1193" s="291" t="str">
        <f>IFERROR(VLOOKUP($D1193,'Clients-Live'!$A:$C,3,0),"")</f>
        <v>DATA ISMAIL FATARI</v>
      </c>
      <c r="F1193" s="291">
        <f>IFERROR(INDEX(Disbursements!$D:$D,MATCH('Live Collections'!G1193,Disbursements!$C:$C,0)),"")</f>
        <v>1</v>
      </c>
      <c r="G1193" s="34">
        <v>13</v>
      </c>
      <c r="H1193" s="34"/>
      <c r="I1193" s="34" t="s">
        <v>1359</v>
      </c>
      <c r="J1193" s="48"/>
      <c r="K1193" s="48"/>
      <c r="L1193" s="48"/>
      <c r="M1193" s="48"/>
      <c r="N1193" s="59"/>
      <c r="O1193" s="59">
        <v>30000</v>
      </c>
      <c r="P1193" s="59"/>
      <c r="Q1193" s="268">
        <f t="shared" si="56"/>
        <v>30000</v>
      </c>
      <c r="R1193" s="61">
        <f>IF(O1193=0,0,SUMIFS(Disbursements!$T:$T,Disbursements!$B:$B,'Live Collections'!D1193,Disbursements!$D:$D,'Live Collections'!F1193))</f>
        <v>217000</v>
      </c>
      <c r="S1193" s="304">
        <f>IF(O1193&lt;=IF($O1193=0,0,SUMIFS(Disbursements!$W:$W,Disbursements!$B:$B,'Live Collections'!D286,Disbursements!$D:$D,'Live Collections'!F286)),O1193,IF($O1193=0,0,SUMIFS(Disbursements!$W:$W,Disbursements!$B:$B,'Live Collections'!D286,Disbursements!$D:$D,'Live Collections'!F286)))</f>
        <v>30000</v>
      </c>
      <c r="T1193" s="304">
        <f t="shared" si="57"/>
        <v>0</v>
      </c>
      <c r="U1193" s="52"/>
      <c r="V1193" s="34"/>
      <c r="W1193" s="408"/>
    </row>
    <row r="1194" spans="1:23" ht="12.75" customHeight="1" x14ac:dyDescent="0.2">
      <c r="A1194" s="257">
        <v>1188</v>
      </c>
      <c r="B1194" s="44">
        <v>44475</v>
      </c>
      <c r="C1194" s="44">
        <f t="shared" si="55"/>
        <v>44475</v>
      </c>
      <c r="D1194" s="374">
        <v>49</v>
      </c>
      <c r="E1194" s="291" t="str">
        <f>IFERROR(VLOOKUP($D1194,'Clients-Live'!$A:$C,3,0),"")</f>
        <v>MAWUZU SARAH</v>
      </c>
      <c r="F1194" s="291">
        <f>IFERROR(INDEX(Disbursements!$D:$D,MATCH('Live Collections'!G1194,Disbursements!$C:$C,0)),"")</f>
        <v>1</v>
      </c>
      <c r="G1194" s="34">
        <v>33</v>
      </c>
      <c r="H1194" s="34"/>
      <c r="I1194" s="34" t="s">
        <v>1358</v>
      </c>
      <c r="J1194" s="48"/>
      <c r="K1194" s="48"/>
      <c r="L1194" s="48"/>
      <c r="M1194" s="48"/>
      <c r="N1194" s="59"/>
      <c r="O1194" s="59">
        <v>40000</v>
      </c>
      <c r="P1194" s="59"/>
      <c r="Q1194" s="268">
        <f t="shared" si="56"/>
        <v>40000</v>
      </c>
      <c r="R1194" s="61">
        <f>IF(O1194=0,0,SUMIFS(Disbursements!$T:$T,Disbursements!$B:$B,'Live Collections'!D1194,Disbursements!$D:$D,'Live Collections'!F1194))</f>
        <v>150000</v>
      </c>
      <c r="S1194" s="304"/>
      <c r="T1194" s="304">
        <f t="shared" si="57"/>
        <v>40000</v>
      </c>
      <c r="U1194" s="52"/>
      <c r="V1194" s="34"/>
      <c r="W1194" s="408"/>
    </row>
    <row r="1195" spans="1:23" ht="12.75" customHeight="1" x14ac:dyDescent="0.2">
      <c r="A1195" s="132">
        <v>1187</v>
      </c>
      <c r="B1195" s="44">
        <v>44475</v>
      </c>
      <c r="C1195" s="44">
        <f t="shared" si="55"/>
        <v>44475</v>
      </c>
      <c r="D1195" s="374">
        <v>60</v>
      </c>
      <c r="E1195" s="291" t="str">
        <f>IFERROR(VLOOKUP($D1195,'Clients-Live'!$A:$C,3,0),"")</f>
        <v>MATURU ALICE</v>
      </c>
      <c r="F1195" s="291">
        <f>IFERROR(INDEX(Disbursements!$D:$D,MATCH('Live Collections'!G1195,Disbursements!$C:$C,0)),"")</f>
        <v>2</v>
      </c>
      <c r="G1195" s="34">
        <v>200</v>
      </c>
      <c r="H1195" s="34"/>
      <c r="I1195" s="34" t="s">
        <v>1359</v>
      </c>
      <c r="J1195" s="48"/>
      <c r="K1195" s="48"/>
      <c r="L1195" s="48"/>
      <c r="M1195" s="48"/>
      <c r="N1195" s="59"/>
      <c r="O1195" s="59">
        <v>100000</v>
      </c>
      <c r="P1195" s="59"/>
      <c r="Q1195" s="268">
        <f t="shared" si="56"/>
        <v>100000</v>
      </c>
      <c r="R1195" s="61">
        <f>IF(O1195=0,0,SUMIFS(Disbursements!$T:$T,Disbursements!$B:$B,'Live Collections'!D1195,Disbursements!$D:$D,'Live Collections'!F1195))</f>
        <v>180000</v>
      </c>
      <c r="S1195" s="304">
        <f>IF(O1195&lt;=IF($O1195=0,0,SUMIFS(Disbursements!$W:$W,Disbursements!$B:$B,'Live Collections'!D718,Disbursements!$D:$D,'Live Collections'!F718)),O1195,IF($O1195=0,0,SUMIFS(Disbursements!$W:$W,Disbursements!$B:$B,'Live Collections'!D718,Disbursements!$D:$D,'Live Collections'!F718)))</f>
        <v>6000</v>
      </c>
      <c r="T1195" s="304">
        <f t="shared" si="57"/>
        <v>94000</v>
      </c>
      <c r="U1195" s="52"/>
      <c r="V1195" s="34"/>
      <c r="W1195" s="408"/>
    </row>
    <row r="1196" spans="1:23" ht="12.75" customHeight="1" x14ac:dyDescent="0.2">
      <c r="A1196" s="257">
        <v>1183</v>
      </c>
      <c r="B1196" s="44">
        <v>44475</v>
      </c>
      <c r="C1196" s="44">
        <f t="shared" si="55"/>
        <v>44475</v>
      </c>
      <c r="D1196" s="374">
        <v>61</v>
      </c>
      <c r="E1196" s="291" t="str">
        <f>IFERROR(VLOOKUP($D1196,'Clients-Live'!$A:$C,3,0),"")</f>
        <v>AREDU RUKIA</v>
      </c>
      <c r="F1196" s="291">
        <f>IFERROR(INDEX(Disbursements!$D:$D,MATCH('Live Collections'!G1196,Disbursements!$C:$C,0)),"")</f>
        <v>1</v>
      </c>
      <c r="G1196" s="34">
        <v>42</v>
      </c>
      <c r="H1196" s="34"/>
      <c r="I1196" s="34" t="s">
        <v>1359</v>
      </c>
      <c r="J1196" s="48"/>
      <c r="K1196" s="48"/>
      <c r="L1196" s="48"/>
      <c r="M1196" s="48"/>
      <c r="N1196" s="59"/>
      <c r="O1196" s="59">
        <v>90000</v>
      </c>
      <c r="P1196" s="59"/>
      <c r="Q1196" s="268">
        <f t="shared" si="56"/>
        <v>90000</v>
      </c>
      <c r="R1196" s="61">
        <f>IF(O1196=0,0,SUMIFS(Disbursements!$T:$T,Disbursements!$B:$B,'Live Collections'!D1196,Disbursements!$D:$D,'Live Collections'!F1196))</f>
        <v>90000</v>
      </c>
      <c r="S1196" s="64">
        <v>25000</v>
      </c>
      <c r="T1196" s="304">
        <f t="shared" si="57"/>
        <v>65000</v>
      </c>
      <c r="U1196" s="52"/>
      <c r="V1196" s="34"/>
      <c r="W1196" s="408" t="s">
        <v>2086</v>
      </c>
    </row>
    <row r="1197" spans="1:23" ht="12.75" customHeight="1" x14ac:dyDescent="0.2">
      <c r="A1197" s="132">
        <v>1185</v>
      </c>
      <c r="B1197" s="44">
        <v>44475</v>
      </c>
      <c r="C1197" s="44">
        <f t="shared" si="55"/>
        <v>44475</v>
      </c>
      <c r="D1197" s="374">
        <v>62</v>
      </c>
      <c r="E1197" s="291" t="str">
        <f>IFERROR(VLOOKUP($D1197,'Clients-Live'!$A:$C,3,0),"")</f>
        <v>DUDU ARIKE</v>
      </c>
      <c r="F1197" s="291">
        <f>IFERROR(INDEX(Disbursements!$D:$D,MATCH('Live Collections'!G1197,Disbursements!$C:$C,0)),"")</f>
        <v>1</v>
      </c>
      <c r="G1197" s="34">
        <v>44</v>
      </c>
      <c r="H1197" s="34">
        <v>2714</v>
      </c>
      <c r="I1197" s="34" t="s">
        <v>1357</v>
      </c>
      <c r="J1197" s="48"/>
      <c r="K1197" s="48"/>
      <c r="L1197" s="48"/>
      <c r="M1197" s="48"/>
      <c r="N1197" s="59"/>
      <c r="O1197" s="59">
        <v>220000</v>
      </c>
      <c r="P1197" s="59"/>
      <c r="Q1197" s="268">
        <f t="shared" si="56"/>
        <v>220000</v>
      </c>
      <c r="R1197" s="61">
        <f>IF(O1197=0,0,SUMIFS(Disbursements!$T:$T,Disbursements!$B:$B,'Live Collections'!D1197,Disbursements!$D:$D,'Live Collections'!F1197))</f>
        <v>217000</v>
      </c>
      <c r="S1197" s="304">
        <f>IF(O1197&lt;=IF($O1197=0,0,SUMIFS(Disbursements!$W:$W,Disbursements!$B:$B,'Live Collections'!D744,Disbursements!$D:$D,'Live Collections'!F744)),O1197,IF($O1197=0,0,SUMIFS(Disbursements!$W:$W,Disbursements!$B:$B,'Live Collections'!D744,Disbursements!$D:$D,'Live Collections'!F744)))</f>
        <v>30000</v>
      </c>
      <c r="T1197" s="304">
        <f t="shared" si="57"/>
        <v>190000</v>
      </c>
      <c r="U1197" s="52"/>
      <c r="V1197" s="34"/>
      <c r="W1197" s="408"/>
    </row>
    <row r="1198" spans="1:23" ht="12.75" customHeight="1" x14ac:dyDescent="0.2">
      <c r="A1198" s="257">
        <v>1184</v>
      </c>
      <c r="B1198" s="44">
        <v>44475</v>
      </c>
      <c r="C1198" s="44">
        <f t="shared" si="55"/>
        <v>44475</v>
      </c>
      <c r="D1198" s="374">
        <v>97</v>
      </c>
      <c r="E1198" s="291" t="str">
        <f>IFERROR(VLOOKUP($D1198,'Clients-Live'!$A:$C,3,0),"")</f>
        <v>DRANDUA JOB CHRISPUS</v>
      </c>
      <c r="F1198" s="291">
        <f>IFERROR(INDEX(Disbursements!$D:$D,MATCH('Live Collections'!G1198,Disbursements!$C:$C,0)),"")</f>
        <v>3</v>
      </c>
      <c r="G1198" s="34">
        <v>202</v>
      </c>
      <c r="H1198" s="34">
        <v>2713</v>
      </c>
      <c r="I1198" s="34" t="s">
        <v>1359</v>
      </c>
      <c r="J1198" s="48"/>
      <c r="K1198" s="48"/>
      <c r="L1198" s="48"/>
      <c r="M1198" s="48"/>
      <c r="N1198" s="59"/>
      <c r="O1198" s="59">
        <v>3850000</v>
      </c>
      <c r="P1198" s="59"/>
      <c r="Q1198" s="268">
        <f t="shared" si="56"/>
        <v>3850000</v>
      </c>
      <c r="R1198" s="61">
        <f>IF(O1198=0,0,SUMIFS(Disbursements!$T:$T,Disbursements!$B:$B,'Live Collections'!D1198,Disbursements!$D:$D,'Live Collections'!F1198))</f>
        <v>3834000</v>
      </c>
      <c r="S1198" s="304">
        <f>IF(O1198&lt;=IF($O1198=0,0,SUMIFS(Disbursements!$W:$W,Disbursements!$B:$B,'Live Collections'!D1251,Disbursements!$D:$D,'Live Collections'!F1251)),O1198,IF($O1198=0,0,SUMIFS(Disbursements!$W:$W,Disbursements!$B:$B,'Live Collections'!D1251,Disbursements!$D:$D,'Live Collections'!F1251)))</f>
        <v>35333.333333333328</v>
      </c>
      <c r="T1198" s="304">
        <f t="shared" si="57"/>
        <v>3814666.6666666665</v>
      </c>
      <c r="U1198" s="52"/>
      <c r="V1198" s="34"/>
      <c r="W1198" s="408"/>
    </row>
    <row r="1199" spans="1:23" ht="12.75" customHeight="1" x14ac:dyDescent="0.2">
      <c r="A1199" s="132">
        <v>1180</v>
      </c>
      <c r="B1199" s="44">
        <v>44475</v>
      </c>
      <c r="C1199" s="44">
        <f t="shared" si="55"/>
        <v>44475</v>
      </c>
      <c r="D1199" s="374">
        <v>103</v>
      </c>
      <c r="E1199" s="291" t="str">
        <f>IFERROR(VLOOKUP($D1199,'Clients-Live'!$A:$C,3,0),"")</f>
        <v>CHANDIRU ZABIB</v>
      </c>
      <c r="F1199" s="291" t="str">
        <f>IFERROR(INDEX(Disbursements!$D:$D,MATCH('Live Collections'!G1199,Disbursements!$C:$C,0)),"")</f>
        <v/>
      </c>
      <c r="G1199" s="34"/>
      <c r="H1199" s="34"/>
      <c r="I1199" s="34" t="s">
        <v>1358</v>
      </c>
      <c r="J1199" s="48"/>
      <c r="K1199" s="48"/>
      <c r="L1199" s="48">
        <v>10000</v>
      </c>
      <c r="M1199" s="48">
        <v>5000</v>
      </c>
      <c r="N1199" s="59"/>
      <c r="O1199" s="59"/>
      <c r="P1199" s="59"/>
      <c r="Q1199" s="268">
        <f t="shared" si="56"/>
        <v>15000</v>
      </c>
      <c r="R1199" s="61">
        <f>IF(O1199=0,0,SUMIFS(Disbursements!$T:$T,Disbursements!$B:$B,'Live Collections'!D1199,Disbursements!$D:$D,'Live Collections'!F1199))</f>
        <v>0</v>
      </c>
      <c r="S1199" s="304">
        <f>IF(O1199&lt;=IF($O1199=0,0,SUMIFS(Disbursements!$W:$W,Disbursements!$B:$B,'Live Collections'!D1327,Disbursements!$D:$D,'Live Collections'!F1327)),O1199,IF($O1199=0,0,SUMIFS(Disbursements!$W:$W,Disbursements!$B:$B,'Live Collections'!D1327,Disbursements!$D:$D,'Live Collections'!F1327)))</f>
        <v>0</v>
      </c>
      <c r="T1199" s="304">
        <f t="shared" si="57"/>
        <v>0</v>
      </c>
      <c r="U1199" s="52"/>
      <c r="V1199" s="34"/>
      <c r="W1199" s="408"/>
    </row>
    <row r="1200" spans="1:23" ht="12.75" customHeight="1" x14ac:dyDescent="0.2">
      <c r="A1200" s="257">
        <v>1191</v>
      </c>
      <c r="B1200" s="44">
        <v>44475</v>
      </c>
      <c r="C1200" s="44">
        <f t="shared" si="55"/>
        <v>44475</v>
      </c>
      <c r="D1200" s="374">
        <v>103</v>
      </c>
      <c r="E1200" s="291" t="str">
        <f>IFERROR(VLOOKUP($D1200,'Clients-Live'!$A:$C,3,0),"")</f>
        <v>CHANDIRU ZABIB</v>
      </c>
      <c r="F1200" s="291">
        <f>IFERROR(INDEX(Disbursements!$D:$D,MATCH('Live Collections'!G1200,Disbursements!$C:$C,0)),"")</f>
        <v>1</v>
      </c>
      <c r="G1200" s="34">
        <v>88</v>
      </c>
      <c r="H1200" s="34"/>
      <c r="I1200" s="34" t="s">
        <v>1358</v>
      </c>
      <c r="J1200" s="48"/>
      <c r="K1200" s="48"/>
      <c r="L1200" s="48"/>
      <c r="M1200" s="48"/>
      <c r="N1200" s="59"/>
      <c r="O1200" s="59">
        <v>120000</v>
      </c>
      <c r="P1200" s="59"/>
      <c r="Q1200" s="268">
        <f t="shared" si="56"/>
        <v>120000</v>
      </c>
      <c r="R1200" s="61">
        <f>IF(O1200=0,0,SUMIFS(Disbursements!$T:$T,Disbursements!$B:$B,'Live Collections'!D1200,Disbursements!$D:$D,'Live Collections'!F1200))</f>
        <v>120000</v>
      </c>
      <c r="S1200" s="64">
        <v>9000</v>
      </c>
      <c r="T1200" s="304">
        <f t="shared" si="57"/>
        <v>111000</v>
      </c>
      <c r="U1200" s="52"/>
      <c r="V1200" s="34"/>
      <c r="W1200" s="408"/>
    </row>
    <row r="1201" spans="1:23" ht="12.75" customHeight="1" x14ac:dyDescent="0.2">
      <c r="A1201" s="132">
        <v>1178</v>
      </c>
      <c r="B1201" s="44">
        <v>44475</v>
      </c>
      <c r="C1201" s="44">
        <f t="shared" si="55"/>
        <v>44475</v>
      </c>
      <c r="D1201" s="374">
        <v>105</v>
      </c>
      <c r="E1201" s="291" t="str">
        <f>IFERROR(VLOOKUP($D1201,'Clients-Live'!$A:$C,3,0),"")</f>
        <v>NUKA ROSE</v>
      </c>
      <c r="F1201" s="291" t="str">
        <f>IFERROR(INDEX(Disbursements!$D:$D,MATCH('Live Collections'!G1201,Disbursements!$C:$C,0)),"")</f>
        <v/>
      </c>
      <c r="G1201" s="34"/>
      <c r="H1201" s="34"/>
      <c r="I1201" s="34" t="s">
        <v>1359</v>
      </c>
      <c r="J1201" s="48"/>
      <c r="K1201" s="48"/>
      <c r="L1201" s="48"/>
      <c r="M1201" s="48"/>
      <c r="N1201" s="59"/>
      <c r="O1201" s="59"/>
      <c r="P1201" s="59">
        <v>10000</v>
      </c>
      <c r="Q1201" s="268">
        <f t="shared" si="56"/>
        <v>10000</v>
      </c>
      <c r="R1201" s="61">
        <f>IF(O1201=0,0,SUMIFS(Disbursements!$T:$T,Disbursements!$B:$B,'Live Collections'!D1201,Disbursements!$D:$D,'Live Collections'!F1201))</f>
        <v>0</v>
      </c>
      <c r="S1201" s="304">
        <f>IF(O1201&lt;=IF($O1201=0,0,SUMIFS(Disbursements!$W:$W,Disbursements!$B:$B,'Live Collections'!D1355,Disbursements!$D:$D,'Live Collections'!F1355)),O1201,IF($O1201=0,0,SUMIFS(Disbursements!$W:$W,Disbursements!$B:$B,'Live Collections'!D1355,Disbursements!$D:$D,'Live Collections'!F1355)))</f>
        <v>0</v>
      </c>
      <c r="T1201" s="304">
        <f t="shared" si="57"/>
        <v>0</v>
      </c>
      <c r="U1201" s="52"/>
      <c r="V1201" s="34"/>
      <c r="W1201" s="408"/>
    </row>
    <row r="1202" spans="1:23" ht="12.75" customHeight="1" x14ac:dyDescent="0.2">
      <c r="A1202" s="257">
        <v>1186</v>
      </c>
      <c r="B1202" s="44">
        <v>44475</v>
      </c>
      <c r="C1202" s="44">
        <f t="shared" si="55"/>
        <v>44475</v>
      </c>
      <c r="D1202" s="374">
        <v>115</v>
      </c>
      <c r="E1202" s="291" t="str">
        <f>IFERROR(VLOOKUP($D1202,'Clients-Live'!$A:$C,3,0),"")</f>
        <v>AYIKE SAUDA</v>
      </c>
      <c r="F1202" s="291">
        <f>IFERROR(INDEX(Disbursements!$D:$D,MATCH('Live Collections'!G1202,Disbursements!$C:$C,0)),"")</f>
        <v>1</v>
      </c>
      <c r="G1202" s="34">
        <v>98</v>
      </c>
      <c r="H1202" s="34"/>
      <c r="I1202" s="34" t="s">
        <v>1357</v>
      </c>
      <c r="J1202" s="48"/>
      <c r="K1202" s="48"/>
      <c r="L1202" s="48"/>
      <c r="M1202" s="48"/>
      <c r="N1202" s="59"/>
      <c r="O1202" s="59">
        <v>216000</v>
      </c>
      <c r="P1202" s="59"/>
      <c r="Q1202" s="268">
        <f t="shared" si="56"/>
        <v>216000</v>
      </c>
      <c r="R1202" s="61">
        <f>IF(O1202=0,0,SUMIFS(Disbursements!$T:$T,Disbursements!$B:$B,'Live Collections'!D1202,Disbursements!$D:$D,'Live Collections'!F1202))</f>
        <v>217000</v>
      </c>
      <c r="S1202" s="304">
        <f>IF(O1202&lt;=IF($O1202=0,0,SUMIFS(Disbursements!$W:$W,Disbursements!$B:$B,'Live Collections'!D1480,Disbursements!$D:$D,'Live Collections'!F1480)),O1202,IF($O1202=0,0,SUMIFS(Disbursements!$W:$W,Disbursements!$B:$B,'Live Collections'!D1480,Disbursements!$D:$D,'Live Collections'!F1480)))</f>
        <v>15000</v>
      </c>
      <c r="T1202" s="304">
        <f t="shared" si="57"/>
        <v>201000</v>
      </c>
      <c r="U1202" s="52"/>
      <c r="V1202" s="34"/>
      <c r="W1202" s="408"/>
    </row>
    <row r="1203" spans="1:23" ht="12.75" customHeight="1" x14ac:dyDescent="0.2">
      <c r="A1203" s="132">
        <v>1176</v>
      </c>
      <c r="B1203" s="44">
        <v>44475</v>
      </c>
      <c r="C1203" s="44">
        <f t="shared" si="55"/>
        <v>44475</v>
      </c>
      <c r="D1203" s="374">
        <v>119</v>
      </c>
      <c r="E1203" s="291" t="str">
        <f>IFERROR(VLOOKUP($D1203,'Clients-Live'!$A:$C,3,0),"")</f>
        <v>STELLA KONGAI</v>
      </c>
      <c r="F1203" s="291" t="str">
        <f>IFERROR(INDEX(Disbursements!$D:$D,MATCH('Live Collections'!G1203,Disbursements!$C:$C,0)),"")</f>
        <v/>
      </c>
      <c r="G1203" s="34"/>
      <c r="H1203" s="34"/>
      <c r="I1203" s="34" t="s">
        <v>1359</v>
      </c>
      <c r="J1203" s="48"/>
      <c r="K1203" s="48">
        <v>5000</v>
      </c>
      <c r="L1203" s="48"/>
      <c r="M1203" s="48"/>
      <c r="N1203" s="59"/>
      <c r="O1203" s="59"/>
      <c r="P1203" s="59"/>
      <c r="Q1203" s="268">
        <f t="shared" si="56"/>
        <v>5000</v>
      </c>
      <c r="R1203" s="61">
        <f>IF(O1203=0,0,SUMIFS(Disbursements!$T:$T,Disbursements!$B:$B,'Live Collections'!D1203,Disbursements!$D:$D,'Live Collections'!F1203))</f>
        <v>0</v>
      </c>
      <c r="S1203" s="304">
        <f>IF(O1203&lt;=IF($O1203=0,0,SUMIFS(Disbursements!$W:$W,Disbursements!$B:$B,'Live Collections'!D2196,Disbursements!$D:$D,'Live Collections'!F2196)),O1203,IF($O1203=0,0,SUMIFS(Disbursements!$W:$W,Disbursements!$B:$B,'Live Collections'!D2196,Disbursements!$D:$D,'Live Collections'!F2196)))</f>
        <v>0</v>
      </c>
      <c r="T1203" s="304">
        <f t="shared" si="57"/>
        <v>0</v>
      </c>
      <c r="U1203" s="52"/>
      <c r="V1203" s="34"/>
      <c r="W1203" s="408"/>
    </row>
    <row r="1204" spans="1:23" ht="12.75" customHeight="1" x14ac:dyDescent="0.2">
      <c r="A1204" s="257">
        <v>1182</v>
      </c>
      <c r="B1204" s="44">
        <v>44475</v>
      </c>
      <c r="C1204" s="44">
        <f t="shared" si="55"/>
        <v>44475</v>
      </c>
      <c r="D1204" s="374">
        <v>140</v>
      </c>
      <c r="E1204" s="291" t="str">
        <f>IFERROR(VLOOKUP($D1204,'Clients-Live'!$A:$C,3,0),"")</f>
        <v>AYIKORU MARIAM</v>
      </c>
      <c r="F1204" s="291">
        <f>IFERROR(INDEX(Disbursements!$D:$D,MATCH('Live Collections'!G1204,Disbursements!$C:$C,0)),"")</f>
        <v>1</v>
      </c>
      <c r="G1204" s="34">
        <v>125</v>
      </c>
      <c r="H1204" s="34"/>
      <c r="I1204" s="34" t="s">
        <v>1358</v>
      </c>
      <c r="J1204" s="48"/>
      <c r="K1204" s="48"/>
      <c r="L1204" s="48"/>
      <c r="M1204" s="48"/>
      <c r="N1204" s="59"/>
      <c r="O1204" s="59">
        <v>25000</v>
      </c>
      <c r="P1204" s="59"/>
      <c r="Q1204" s="268">
        <f t="shared" si="56"/>
        <v>25000</v>
      </c>
      <c r="R1204" s="61">
        <f>IF(O1204=0,0,SUMIFS(Disbursements!$T:$T,Disbursements!$B:$B,'Live Collections'!D1204,Disbursements!$D:$D,'Live Collections'!F1204))</f>
        <v>192000</v>
      </c>
      <c r="S1204" s="304"/>
      <c r="T1204" s="304">
        <f t="shared" si="57"/>
        <v>25000</v>
      </c>
      <c r="U1204" s="52"/>
      <c r="V1204" s="34"/>
      <c r="W1204" s="408"/>
    </row>
    <row r="1205" spans="1:23" ht="12.75" customHeight="1" x14ac:dyDescent="0.2">
      <c r="A1205" s="132">
        <v>1179</v>
      </c>
      <c r="B1205" s="44">
        <v>44475</v>
      </c>
      <c r="C1205" s="44">
        <f t="shared" si="55"/>
        <v>44475</v>
      </c>
      <c r="D1205" s="374">
        <v>160</v>
      </c>
      <c r="E1205" s="291" t="str">
        <f>IFERROR(VLOOKUP($D1205,'Clients-Live'!$A:$C,3,0),"")</f>
        <v>CHANDI ZANABU</v>
      </c>
      <c r="F1205" s="291" t="str">
        <f>IFERROR(INDEX(Disbursements!$D:$D,MATCH('Live Collections'!G1205,Disbursements!$C:$C,0)),"")</f>
        <v/>
      </c>
      <c r="G1205" s="34"/>
      <c r="H1205" s="34"/>
      <c r="I1205" s="34" t="s">
        <v>1358</v>
      </c>
      <c r="J1205" s="48"/>
      <c r="K1205" s="48"/>
      <c r="L1205" s="48">
        <v>15000</v>
      </c>
      <c r="M1205" s="48">
        <v>5000</v>
      </c>
      <c r="N1205" s="59"/>
      <c r="O1205" s="59"/>
      <c r="P1205" s="59"/>
      <c r="Q1205" s="268">
        <f t="shared" si="56"/>
        <v>20000</v>
      </c>
      <c r="R1205" s="61">
        <f>IF(O1205=0,0,SUMIFS(Disbursements!$T:$T,Disbursements!$B:$B,'Live Collections'!D1205,Disbursements!$D:$D,'Live Collections'!F1205))</f>
        <v>0</v>
      </c>
      <c r="S1205" s="304">
        <f>IF(O1205&lt;=IF($O1205=0,0,SUMIFS(Disbursements!$W:$W,Disbursements!$B:$B,'Live Collections'!D1993,Disbursements!$D:$D,'Live Collections'!F1993)),O1205,IF($O1205=0,0,SUMIFS(Disbursements!$W:$W,Disbursements!$B:$B,'Live Collections'!D1993,Disbursements!$D:$D,'Live Collections'!F1993)))</f>
        <v>0</v>
      </c>
      <c r="T1205" s="304">
        <f t="shared" si="57"/>
        <v>0</v>
      </c>
      <c r="U1205" s="52"/>
      <c r="V1205" s="34"/>
      <c r="W1205" s="408"/>
    </row>
    <row r="1206" spans="1:23" ht="12.75" customHeight="1" x14ac:dyDescent="0.2">
      <c r="A1206" s="257">
        <v>1181</v>
      </c>
      <c r="B1206" s="44">
        <v>44475</v>
      </c>
      <c r="C1206" s="44">
        <f t="shared" si="55"/>
        <v>44475</v>
      </c>
      <c r="D1206" s="374">
        <v>160</v>
      </c>
      <c r="E1206" s="291" t="str">
        <f>IFERROR(VLOOKUP($D1206,'Clients-Live'!$A:$C,3,0),"")</f>
        <v>CHANDI ZANABU</v>
      </c>
      <c r="F1206" s="291">
        <f>IFERROR(INDEX(Disbursements!$D:$D,MATCH('Live Collections'!G1206,Disbursements!$C:$C,0)),"")</f>
        <v>1</v>
      </c>
      <c r="G1206" s="34">
        <v>151</v>
      </c>
      <c r="H1206" s="34"/>
      <c r="I1206" s="34" t="s">
        <v>1358</v>
      </c>
      <c r="J1206" s="48"/>
      <c r="K1206" s="48"/>
      <c r="L1206" s="48"/>
      <c r="M1206" s="48"/>
      <c r="N1206" s="59"/>
      <c r="O1206" s="59">
        <v>130000</v>
      </c>
      <c r="P1206" s="59"/>
      <c r="Q1206" s="268">
        <f t="shared" si="56"/>
        <v>130000</v>
      </c>
      <c r="R1206" s="61">
        <f>IF(O1206=0,0,SUMIFS(Disbursements!$T:$T,Disbursements!$B:$B,'Live Collections'!D1206,Disbursements!$D:$D,'Live Collections'!F1206))</f>
        <v>115000</v>
      </c>
      <c r="S1206" s="304"/>
      <c r="T1206" s="304">
        <f t="shared" si="57"/>
        <v>130000</v>
      </c>
      <c r="U1206" s="52"/>
      <c r="V1206" s="34"/>
      <c r="W1206" s="408"/>
    </row>
    <row r="1207" spans="1:23" ht="12.75" customHeight="1" x14ac:dyDescent="0.2">
      <c r="A1207" s="132">
        <v>1177</v>
      </c>
      <c r="B1207" s="44">
        <v>44475</v>
      </c>
      <c r="C1207" s="44">
        <f t="shared" si="55"/>
        <v>44475</v>
      </c>
      <c r="D1207" s="374">
        <v>186</v>
      </c>
      <c r="E1207" s="291" t="str">
        <f>IFERROR(VLOOKUP($D1207,'Clients-Live'!$A:$C,3,0),"")</f>
        <v>GIFT JAMES</v>
      </c>
      <c r="F1207" s="291">
        <f>IFERROR(INDEX(Disbursements!$D:$D,MATCH('Live Collections'!G1207,Disbursements!$C:$C,0)),"")</f>
        <v>2</v>
      </c>
      <c r="G1207" s="34">
        <v>255</v>
      </c>
      <c r="H1207" s="34">
        <v>2706</v>
      </c>
      <c r="I1207" s="34" t="s">
        <v>1359</v>
      </c>
      <c r="J1207" s="48"/>
      <c r="K1207" s="48"/>
      <c r="L1207" s="48">
        <v>15000</v>
      </c>
      <c r="M1207" s="48">
        <v>5000</v>
      </c>
      <c r="N1207" s="59"/>
      <c r="O1207" s="59"/>
      <c r="P1207" s="59"/>
      <c r="Q1207" s="268">
        <f t="shared" si="56"/>
        <v>20000</v>
      </c>
      <c r="R1207" s="61">
        <f>IF(O1207=0,0,SUMIFS(Disbursements!$T:$T,Disbursements!$B:$B,'Live Collections'!D1207,Disbursements!$D:$D,'Live Collections'!F1207))</f>
        <v>0</v>
      </c>
      <c r="S1207" s="304">
        <f>IF(O1207&lt;=IF($O1207=0,0,SUMIFS(Disbursements!$W:$W,Disbursements!$B:$B,'Live Collections'!D2260,Disbursements!$D:$D,'Live Collections'!F2260)),O1207,IF($O1207=0,0,SUMIFS(Disbursements!$W:$W,Disbursements!$B:$B,'Live Collections'!D2260,Disbursements!$D:$D,'Live Collections'!F2260)))</f>
        <v>0</v>
      </c>
      <c r="T1207" s="304">
        <f t="shared" si="57"/>
        <v>0</v>
      </c>
      <c r="U1207" s="52"/>
      <c r="V1207" s="34"/>
      <c r="W1207" s="408"/>
    </row>
    <row r="1208" spans="1:23" ht="12.75" customHeight="1" x14ac:dyDescent="0.2">
      <c r="A1208" s="257">
        <v>2004</v>
      </c>
      <c r="B1208" s="44">
        <v>44475</v>
      </c>
      <c r="C1208" s="44">
        <f t="shared" si="55"/>
        <v>44475</v>
      </c>
      <c r="D1208" s="374">
        <v>186</v>
      </c>
      <c r="E1208" s="291" t="str">
        <f>IFERROR(VLOOKUP($D1208,'Clients-Live'!$A:$C,3,0),"")</f>
        <v>GIFT JAMES</v>
      </c>
      <c r="F1208" s="291">
        <f>IFERROR(INDEX(Disbursements!$D:$D,MATCH('Live Collections'!G1208,Disbursements!$C:$C,0)),"")</f>
        <v>2</v>
      </c>
      <c r="G1208" s="34">
        <v>255</v>
      </c>
      <c r="H1208" s="34">
        <v>2707</v>
      </c>
      <c r="I1208" s="34" t="s">
        <v>1359</v>
      </c>
      <c r="J1208" s="48"/>
      <c r="K1208" s="48"/>
      <c r="L1208" s="48"/>
      <c r="M1208" s="48"/>
      <c r="N1208" s="59"/>
      <c r="O1208" s="59"/>
      <c r="P1208" s="59">
        <v>60000</v>
      </c>
      <c r="Q1208" s="268">
        <f t="shared" si="56"/>
        <v>60000</v>
      </c>
      <c r="R1208" s="61">
        <f>IF(O1208=0,0,SUMIFS(Disbursements!$T:$T,Disbursements!$B:$B,'Live Collections'!D1208,Disbursements!$D:$D,'Live Collections'!F1208))</f>
        <v>0</v>
      </c>
      <c r="S1208" s="304">
        <f>IF(O1208&lt;=IF($O1208=0,0,SUMIFS(Disbursements!$W:$W,Disbursements!$B:$B,'Live Collections'!D2261,Disbursements!$D:$D,'Live Collections'!F2261)),O1208,IF($O1208=0,0,SUMIFS(Disbursements!$W:$W,Disbursements!$B:$B,'Live Collections'!D2261,Disbursements!$D:$D,'Live Collections'!F2261)))</f>
        <v>0</v>
      </c>
      <c r="T1208" s="304">
        <f t="shared" si="57"/>
        <v>0</v>
      </c>
      <c r="U1208" s="52"/>
      <c r="V1208" s="34"/>
      <c r="W1208" s="408"/>
    </row>
    <row r="1209" spans="1:23" ht="12.75" customHeight="1" x14ac:dyDescent="0.2">
      <c r="A1209" s="132">
        <v>1190</v>
      </c>
      <c r="B1209" s="44">
        <v>44475</v>
      </c>
      <c r="C1209" s="44">
        <f t="shared" si="55"/>
        <v>44475</v>
      </c>
      <c r="D1209" s="374">
        <v>219</v>
      </c>
      <c r="E1209" s="291" t="str">
        <f>IFERROR(VLOOKUP($D1209,'Clients-Live'!$A:$C,3,0),"")</f>
        <v>MALIKO JAMILA</v>
      </c>
      <c r="F1209" s="291">
        <f>IFERROR(INDEX(Disbursements!$D:$D,MATCH('Live Collections'!G1209,Disbursements!$C:$C,0)),"")</f>
        <v>1</v>
      </c>
      <c r="G1209" s="34">
        <v>228</v>
      </c>
      <c r="H1209" s="34"/>
      <c r="I1209" s="34" t="s">
        <v>1358</v>
      </c>
      <c r="J1209" s="48"/>
      <c r="K1209" s="48"/>
      <c r="L1209" s="48"/>
      <c r="M1209" s="48"/>
      <c r="N1209" s="59"/>
      <c r="O1209" s="59">
        <v>20000</v>
      </c>
      <c r="P1209" s="59"/>
      <c r="Q1209" s="268">
        <f t="shared" si="56"/>
        <v>20000</v>
      </c>
      <c r="R1209" s="61">
        <f>IF(O1209=0,0,SUMIFS(Disbursements!$T:$T,Disbursements!$B:$B,'Live Collections'!D1209,Disbursements!$D:$D,'Live Collections'!F1209))</f>
        <v>77000</v>
      </c>
      <c r="S1209" s="64">
        <v>10999.999999999985</v>
      </c>
      <c r="T1209" s="304">
        <f t="shared" si="57"/>
        <v>9000.0000000000146</v>
      </c>
      <c r="U1209" s="52"/>
      <c r="V1209" s="34"/>
      <c r="W1209" s="408"/>
    </row>
    <row r="1210" spans="1:23" ht="12.75" customHeight="1" x14ac:dyDescent="0.2">
      <c r="A1210" s="257">
        <v>1175</v>
      </c>
      <c r="B1210" s="44">
        <v>44475</v>
      </c>
      <c r="C1210" s="44">
        <f t="shared" si="55"/>
        <v>44475</v>
      </c>
      <c r="D1210" s="374">
        <v>238</v>
      </c>
      <c r="E1210" s="291" t="str">
        <f>IFERROR(VLOOKUP($D1210,'Clients-Live'!$A:$C,3,0),"")</f>
        <v>ANGAIKA SAID</v>
      </c>
      <c r="F1210" s="291">
        <v>1</v>
      </c>
      <c r="G1210" s="34">
        <v>257</v>
      </c>
      <c r="H1210" s="34">
        <v>2725</v>
      </c>
      <c r="I1210" s="34" t="s">
        <v>1359</v>
      </c>
      <c r="J1210" s="48"/>
      <c r="K1210" s="48"/>
      <c r="L1210" s="48"/>
      <c r="M1210" s="48"/>
      <c r="N1210" s="59"/>
      <c r="O1210" s="59"/>
      <c r="P1210" s="59">
        <v>50000</v>
      </c>
      <c r="Q1210" s="268">
        <f t="shared" si="56"/>
        <v>50000</v>
      </c>
      <c r="R1210" s="61">
        <f>IF(O1210=0,0,SUMIFS(Disbursements!$T:$T,Disbursements!$B:$B,'Live Collections'!D1210,Disbursements!$D:$D,'Live Collections'!F1210))</f>
        <v>0</v>
      </c>
      <c r="S1210" s="304">
        <f>IF(O1210&lt;=IF($O1210=0,0,SUMIFS(Disbursements!$W:$W,Disbursements!$B:$B,'Live Collections'!D2733,Disbursements!$D:$D,'Live Collections'!F2733)),O1210,IF($O1210=0,0,SUMIFS(Disbursements!$W:$W,Disbursements!$B:$B,'Live Collections'!D2733,Disbursements!$D:$D,'Live Collections'!F2733)))</f>
        <v>0</v>
      </c>
      <c r="T1210" s="304">
        <f t="shared" si="57"/>
        <v>0</v>
      </c>
      <c r="U1210" s="52"/>
      <c r="V1210" s="34"/>
      <c r="W1210" s="408"/>
    </row>
    <row r="1211" spans="1:23" ht="12.75" customHeight="1" x14ac:dyDescent="0.2">
      <c r="A1211" s="132">
        <v>1206</v>
      </c>
      <c r="B1211" s="44">
        <v>44476</v>
      </c>
      <c r="C1211" s="44">
        <f t="shared" si="55"/>
        <v>44476</v>
      </c>
      <c r="D1211" s="374">
        <v>22</v>
      </c>
      <c r="E1211" s="291" t="str">
        <f>IFERROR(VLOOKUP($D1211,'Clients-Live'!$A:$C,3,0),"")</f>
        <v>DATA ISMAIL FATARI</v>
      </c>
      <c r="F1211" s="291">
        <f>IFERROR(INDEX(Disbursements!$D:$D,MATCH('Live Collections'!G1211,Disbursements!$C:$C,0)),"")</f>
        <v>1</v>
      </c>
      <c r="G1211" s="34">
        <v>13</v>
      </c>
      <c r="H1211" s="34"/>
      <c r="I1211" s="34" t="s">
        <v>1359</v>
      </c>
      <c r="J1211" s="48"/>
      <c r="K1211" s="48"/>
      <c r="L1211" s="48"/>
      <c r="M1211" s="48"/>
      <c r="N1211" s="59"/>
      <c r="O1211" s="59">
        <v>150000</v>
      </c>
      <c r="P1211" s="59"/>
      <c r="Q1211" s="268">
        <f t="shared" si="56"/>
        <v>150000</v>
      </c>
      <c r="R1211" s="61">
        <f>IF(O1211=0,0,SUMIFS(Disbursements!$T:$T,Disbursements!$B:$B,'Live Collections'!D1211,Disbursements!$D:$D,'Live Collections'!F1211))</f>
        <v>217000</v>
      </c>
      <c r="S1211" s="304">
        <f>IF(O1211&lt;=IF($O1211=0,0,SUMIFS(Disbursements!$W:$W,Disbursements!$B:$B,'Live Collections'!D287,Disbursements!$D:$D,'Live Collections'!F287)),O1211,IF($O1211=0,0,SUMIFS(Disbursements!$W:$W,Disbursements!$B:$B,'Live Collections'!D287,Disbursements!$D:$D,'Live Collections'!F287)))</f>
        <v>30000</v>
      </c>
      <c r="T1211" s="304">
        <f t="shared" si="57"/>
        <v>120000</v>
      </c>
      <c r="U1211" s="52"/>
      <c r="V1211" s="34"/>
      <c r="W1211" s="408"/>
    </row>
    <row r="1212" spans="1:23" ht="12.75" customHeight="1" x14ac:dyDescent="0.2">
      <c r="A1212" s="257">
        <v>1201</v>
      </c>
      <c r="B1212" s="44">
        <v>44476</v>
      </c>
      <c r="C1212" s="44">
        <f t="shared" si="55"/>
        <v>44476</v>
      </c>
      <c r="D1212" s="374">
        <v>52</v>
      </c>
      <c r="E1212" s="291" t="str">
        <f>IFERROR(VLOOKUP($D1212,'Clients-Live'!$A:$C,3,0),"")</f>
        <v>EDEZU PEACE IRENE</v>
      </c>
      <c r="F1212" s="291">
        <f>IFERROR(INDEX(Disbursements!$D:$D,MATCH('Live Collections'!G1212,Disbursements!$C:$C,0)),"")</f>
        <v>1</v>
      </c>
      <c r="G1212" s="34">
        <v>38</v>
      </c>
      <c r="H1212" s="34"/>
      <c r="I1212" s="34" t="s">
        <v>1357</v>
      </c>
      <c r="J1212" s="48"/>
      <c r="K1212" s="48"/>
      <c r="L1212" s="48"/>
      <c r="M1212" s="48"/>
      <c r="N1212" s="59"/>
      <c r="O1212" s="59">
        <v>150000</v>
      </c>
      <c r="P1212" s="59"/>
      <c r="Q1212" s="268">
        <f t="shared" si="56"/>
        <v>150000</v>
      </c>
      <c r="R1212" s="61">
        <f>IF(O1212=0,0,SUMIFS(Disbursements!$T:$T,Disbursements!$B:$B,'Live Collections'!D1212,Disbursements!$D:$D,'Live Collections'!F1212))</f>
        <v>150000</v>
      </c>
      <c r="S1212" s="304"/>
      <c r="T1212" s="304">
        <f t="shared" si="57"/>
        <v>150000</v>
      </c>
      <c r="U1212" s="52"/>
      <c r="V1212" s="34"/>
      <c r="W1212" s="408"/>
    </row>
    <row r="1213" spans="1:23" ht="12.75" customHeight="1" x14ac:dyDescent="0.2">
      <c r="A1213" s="132">
        <v>1199</v>
      </c>
      <c r="B1213" s="44">
        <v>44476</v>
      </c>
      <c r="C1213" s="44">
        <f t="shared" si="55"/>
        <v>44476</v>
      </c>
      <c r="D1213" s="374">
        <v>114</v>
      </c>
      <c r="E1213" s="291" t="str">
        <f>IFERROR(VLOOKUP($D1213,'Clients-Live'!$A:$C,3,0),"")</f>
        <v>ONZIA EMMILY</v>
      </c>
      <c r="F1213" s="291" t="str">
        <f>IFERROR(INDEX(Disbursements!$D:$D,MATCH('Live Collections'!G1213,Disbursements!$C:$C,0)),"")</f>
        <v/>
      </c>
      <c r="G1213" s="34"/>
      <c r="H1213" s="34"/>
      <c r="I1213" s="34" t="s">
        <v>1358</v>
      </c>
      <c r="J1213" s="48"/>
      <c r="K1213" s="48"/>
      <c r="L1213" s="48">
        <v>15000</v>
      </c>
      <c r="M1213" s="48">
        <v>5000</v>
      </c>
      <c r="N1213" s="59"/>
      <c r="O1213" s="59"/>
      <c r="P1213" s="59"/>
      <c r="Q1213" s="268">
        <f t="shared" si="56"/>
        <v>20000</v>
      </c>
      <c r="R1213" s="61">
        <f>IF(O1213=0,0,SUMIFS(Disbursements!$T:$T,Disbursements!$B:$B,'Live Collections'!D1213,Disbursements!$D:$D,'Live Collections'!F1213))</f>
        <v>0</v>
      </c>
      <c r="S1213" s="304">
        <f>IF(O1213&lt;=IF($O1213=0,0,SUMIFS(Disbursements!$W:$W,Disbursements!$B:$B,'Live Collections'!D1462,Disbursements!$D:$D,'Live Collections'!F1462)),O1213,IF($O1213=0,0,SUMIFS(Disbursements!$W:$W,Disbursements!$B:$B,'Live Collections'!D1462,Disbursements!$D:$D,'Live Collections'!F1462)))</f>
        <v>0</v>
      </c>
      <c r="T1213" s="304">
        <f t="shared" si="57"/>
        <v>0</v>
      </c>
      <c r="U1213" s="52"/>
      <c r="V1213" s="34"/>
      <c r="W1213" s="408"/>
    </row>
    <row r="1214" spans="1:23" ht="12.75" customHeight="1" x14ac:dyDescent="0.2">
      <c r="A1214" s="257">
        <v>1200</v>
      </c>
      <c r="B1214" s="44">
        <v>44476</v>
      </c>
      <c r="C1214" s="44">
        <f t="shared" si="55"/>
        <v>44476</v>
      </c>
      <c r="D1214" s="374">
        <v>114</v>
      </c>
      <c r="E1214" s="291" t="str">
        <f>IFERROR(VLOOKUP($D1214,'Clients-Live'!$A:$C,3,0),"")</f>
        <v>ONZIA EMMILY</v>
      </c>
      <c r="F1214" s="291">
        <f>IFERROR(INDEX(Disbursements!$D:$D,MATCH('Live Collections'!G1214,Disbursements!$C:$C,0)),"")</f>
        <v>3</v>
      </c>
      <c r="G1214" s="34">
        <v>262</v>
      </c>
      <c r="H1214" s="34">
        <v>2720</v>
      </c>
      <c r="I1214" s="34" t="s">
        <v>1358</v>
      </c>
      <c r="J1214" s="48"/>
      <c r="K1214" s="48"/>
      <c r="L1214" s="48"/>
      <c r="M1214" s="48"/>
      <c r="N1214" s="59"/>
      <c r="O1214" s="59"/>
      <c r="P1214" s="59">
        <v>60000</v>
      </c>
      <c r="Q1214" s="268">
        <f t="shared" si="56"/>
        <v>60000</v>
      </c>
      <c r="R1214" s="61">
        <f>IF(O1214=0,0,SUMIFS(Disbursements!$T:$T,Disbursements!$B:$B,'Live Collections'!D1214,Disbursements!$D:$D,'Live Collections'!F1214))</f>
        <v>0</v>
      </c>
      <c r="S1214" s="304">
        <f>IF(O1214&lt;=IF($O1214=0,0,SUMIFS(Disbursements!$W:$W,Disbursements!$B:$B,'Live Collections'!D1463,Disbursements!$D:$D,'Live Collections'!F1463)),O1214,IF($O1214=0,0,SUMIFS(Disbursements!$W:$W,Disbursements!$B:$B,'Live Collections'!D1463,Disbursements!$D:$D,'Live Collections'!F1463)))</f>
        <v>0</v>
      </c>
      <c r="T1214" s="304">
        <f t="shared" si="57"/>
        <v>0</v>
      </c>
      <c r="U1214" s="52"/>
      <c r="V1214" s="34"/>
      <c r="W1214" s="408"/>
    </row>
    <row r="1215" spans="1:23" ht="12.75" customHeight="1" x14ac:dyDescent="0.2">
      <c r="A1215" s="132">
        <v>1205</v>
      </c>
      <c r="B1215" s="44">
        <v>44476</v>
      </c>
      <c r="C1215" s="44">
        <f t="shared" si="55"/>
        <v>44476</v>
      </c>
      <c r="D1215" s="374">
        <v>131</v>
      </c>
      <c r="E1215" s="291" t="str">
        <f>IFERROR(VLOOKUP($D1215,'Clients-Live'!$A:$C,3,0),"")</f>
        <v>CANDIRU ZAKIA</v>
      </c>
      <c r="F1215" s="291">
        <f>IFERROR(INDEX(Disbursements!$D:$D,MATCH('Live Collections'!G1215,Disbursements!$C:$C,0)),"")</f>
        <v>1</v>
      </c>
      <c r="G1215" s="34">
        <v>115</v>
      </c>
      <c r="H1215" s="34"/>
      <c r="I1215" s="34" t="s">
        <v>1357</v>
      </c>
      <c r="J1215" s="48"/>
      <c r="K1215" s="48"/>
      <c r="L1215" s="48"/>
      <c r="M1215" s="48"/>
      <c r="N1215" s="59"/>
      <c r="O1215" s="59">
        <v>76300</v>
      </c>
      <c r="P1215" s="59"/>
      <c r="Q1215" s="268">
        <f t="shared" si="56"/>
        <v>76300</v>
      </c>
      <c r="R1215" s="61">
        <f>IF(O1215=0,0,SUMIFS(Disbursements!$T:$T,Disbursements!$B:$B,'Live Collections'!D1215,Disbursements!$D:$D,'Live Collections'!F1215))</f>
        <v>77000</v>
      </c>
      <c r="S1215" s="64">
        <v>20999.999999999985</v>
      </c>
      <c r="T1215" s="304">
        <v>56300</v>
      </c>
      <c r="U1215" s="52"/>
      <c r="V1215" s="34"/>
      <c r="W1215" s="408"/>
    </row>
    <row r="1216" spans="1:23" ht="12.75" customHeight="1" x14ac:dyDescent="0.2">
      <c r="A1216" s="257">
        <v>1210</v>
      </c>
      <c r="B1216" s="44">
        <v>44476</v>
      </c>
      <c r="C1216" s="44">
        <f t="shared" si="55"/>
        <v>44476</v>
      </c>
      <c r="D1216" s="374">
        <v>146</v>
      </c>
      <c r="E1216" s="291" t="str">
        <f>IFERROR(VLOOKUP($D1216,'Clients-Live'!$A:$C,3,0),"")</f>
        <v>IMBIRA AISHA</v>
      </c>
      <c r="F1216" s="291">
        <f>IFERROR(INDEX(Disbursements!$D:$D,MATCH('Live Collections'!G1216,Disbursements!$C:$C,0)),"")</f>
        <v>1</v>
      </c>
      <c r="G1216" s="34">
        <v>133</v>
      </c>
      <c r="H1216" s="34">
        <v>1541</v>
      </c>
      <c r="I1216" s="34" t="s">
        <v>1357</v>
      </c>
      <c r="J1216" s="48"/>
      <c r="K1216" s="48"/>
      <c r="L1216" s="48"/>
      <c r="M1216" s="48"/>
      <c r="N1216" s="59"/>
      <c r="O1216" s="59">
        <v>30000</v>
      </c>
      <c r="P1216" s="59"/>
      <c r="Q1216" s="268">
        <f t="shared" si="56"/>
        <v>30000</v>
      </c>
      <c r="R1216" s="61">
        <f>IF(O1216=0,0,SUMIFS(Disbursements!$T:$T,Disbursements!$B:$B,'Live Collections'!D1216,Disbursements!$D:$D,'Live Collections'!F1216))</f>
        <v>120000</v>
      </c>
      <c r="S1216" s="304">
        <f>IF(O1216&lt;=IF($O1216=0,0,SUMIFS(Disbursements!$W:$W,Disbursements!$B:$B,'Live Collections'!D1844,Disbursements!$D:$D,'Live Collections'!F1844)),O1216,IF($O1216=0,0,SUMIFS(Disbursements!$W:$W,Disbursements!$B:$B,'Live Collections'!D1844,Disbursements!$D:$D,'Live Collections'!F1844)))</f>
        <v>0</v>
      </c>
      <c r="T1216" s="304">
        <f t="shared" si="57"/>
        <v>30000</v>
      </c>
      <c r="U1216" s="52"/>
      <c r="V1216" s="34"/>
      <c r="W1216" s="408"/>
    </row>
    <row r="1217" spans="1:23" ht="12.75" customHeight="1" x14ac:dyDescent="0.2">
      <c r="A1217" s="132">
        <v>1202</v>
      </c>
      <c r="B1217" s="44">
        <v>44476</v>
      </c>
      <c r="C1217" s="44">
        <f t="shared" si="55"/>
        <v>44476</v>
      </c>
      <c r="D1217" s="374">
        <v>149</v>
      </c>
      <c r="E1217" s="291" t="str">
        <f>IFERROR(VLOOKUP($D1217,'Clients-Live'!$A:$C,3,0),"")</f>
        <v>SIKA AMIDRA</v>
      </c>
      <c r="F1217" s="291">
        <f>IFERROR(INDEX(Disbursements!$D:$D,MATCH('Live Collections'!G1217,Disbursements!$C:$C,0)),"")</f>
        <v>1</v>
      </c>
      <c r="G1217" s="34">
        <v>141</v>
      </c>
      <c r="H1217" s="34"/>
      <c r="I1217" s="34" t="s">
        <v>1358</v>
      </c>
      <c r="J1217" s="48"/>
      <c r="K1217" s="48"/>
      <c r="L1217" s="48"/>
      <c r="M1217" s="48"/>
      <c r="N1217" s="59"/>
      <c r="O1217" s="59">
        <v>30000</v>
      </c>
      <c r="P1217" s="59"/>
      <c r="Q1217" s="268">
        <f t="shared" si="56"/>
        <v>30000</v>
      </c>
      <c r="R1217" s="61">
        <f>IF(O1217=0,0,SUMIFS(Disbursements!$T:$T,Disbursements!$B:$B,'Live Collections'!D1217,Disbursements!$D:$D,'Live Collections'!F1217))</f>
        <v>30000</v>
      </c>
      <c r="S1217" s="304"/>
      <c r="T1217" s="304">
        <f t="shared" si="57"/>
        <v>30000</v>
      </c>
      <c r="U1217" s="52"/>
      <c r="V1217" s="34"/>
      <c r="W1217" s="408"/>
    </row>
    <row r="1218" spans="1:23" ht="12.75" customHeight="1" x14ac:dyDescent="0.2">
      <c r="A1218" s="257">
        <v>1197</v>
      </c>
      <c r="B1218" s="44">
        <v>44476</v>
      </c>
      <c r="C1218" s="44">
        <f t="shared" si="55"/>
        <v>44476</v>
      </c>
      <c r="D1218" s="374">
        <v>161</v>
      </c>
      <c r="E1218" s="291" t="str">
        <f>IFERROR(VLOOKUP($D1218,'Clients-Live'!$A:$C,3,0),"")</f>
        <v>OKUYO BERNARD</v>
      </c>
      <c r="F1218" s="291">
        <f>IFERROR(INDEX(Disbursements!$D:$D,MATCH('Live Collections'!G1218,Disbursements!$C:$C,0)),"")</f>
        <v>2</v>
      </c>
      <c r="G1218" s="34">
        <v>261</v>
      </c>
      <c r="H1218" s="34">
        <v>2750</v>
      </c>
      <c r="I1218" s="34" t="s">
        <v>1359</v>
      </c>
      <c r="J1218" s="48"/>
      <c r="K1218" s="48"/>
      <c r="L1218" s="48"/>
      <c r="M1218" s="48"/>
      <c r="N1218" s="59"/>
      <c r="O1218" s="59"/>
      <c r="P1218" s="59">
        <v>200000</v>
      </c>
      <c r="Q1218" s="268">
        <f t="shared" si="56"/>
        <v>200000</v>
      </c>
      <c r="R1218" s="61">
        <f>IF(O1218=0,0,SUMIFS(Disbursements!$T:$T,Disbursements!$B:$B,'Live Collections'!D1218,Disbursements!$D:$D,'Live Collections'!F1218))</f>
        <v>0</v>
      </c>
      <c r="S1218" s="304">
        <f>IF(O1218&lt;=IF($O1218=0,0,SUMIFS(Disbursements!$W:$W,Disbursements!$B:$B,'Live Collections'!D2006,Disbursements!$D:$D,'Live Collections'!F2006)),O1218,IF($O1218=0,0,SUMIFS(Disbursements!$W:$W,Disbursements!$B:$B,'Live Collections'!D2006,Disbursements!$D:$D,'Live Collections'!F2006)))</f>
        <v>0</v>
      </c>
      <c r="T1218" s="304">
        <f t="shared" si="57"/>
        <v>0</v>
      </c>
      <c r="U1218" s="52"/>
      <c r="V1218" s="34"/>
      <c r="W1218" s="408"/>
    </row>
    <row r="1219" spans="1:23" ht="12.75" customHeight="1" x14ac:dyDescent="0.2">
      <c r="A1219" s="132">
        <v>1198</v>
      </c>
      <c r="B1219" s="44">
        <v>44476</v>
      </c>
      <c r="C1219" s="44">
        <f t="shared" si="55"/>
        <v>44476</v>
      </c>
      <c r="D1219" s="374">
        <v>161</v>
      </c>
      <c r="E1219" s="291" t="str">
        <f>IFERROR(VLOOKUP($D1219,'Clients-Live'!$A:$C,3,0),"")</f>
        <v>OKUYO BERNARD</v>
      </c>
      <c r="F1219" s="291">
        <f>IFERROR(INDEX(Disbursements!$D:$D,MATCH('Live Collections'!G1219,Disbursements!$C:$C,0)),"")</f>
        <v>2</v>
      </c>
      <c r="G1219" s="34">
        <v>261</v>
      </c>
      <c r="H1219" s="34">
        <v>2721</v>
      </c>
      <c r="I1219" s="34" t="s">
        <v>1359</v>
      </c>
      <c r="J1219" s="48"/>
      <c r="K1219" s="48"/>
      <c r="L1219" s="48">
        <v>20000</v>
      </c>
      <c r="M1219" s="48">
        <v>5000</v>
      </c>
      <c r="N1219" s="59"/>
      <c r="O1219" s="59"/>
      <c r="P1219" s="59"/>
      <c r="Q1219" s="268">
        <f t="shared" si="56"/>
        <v>25000</v>
      </c>
      <c r="R1219" s="61">
        <f>IF(O1219=0,0,SUMIFS(Disbursements!$T:$T,Disbursements!$B:$B,'Live Collections'!D1219,Disbursements!$D:$D,'Live Collections'!F1219))</f>
        <v>0</v>
      </c>
      <c r="S1219" s="304">
        <f>IF(O1219&lt;=IF($O1219=0,0,SUMIFS(Disbursements!$W:$W,Disbursements!$B:$B,'Live Collections'!D2007,Disbursements!$D:$D,'Live Collections'!F2007)),O1219,IF($O1219=0,0,SUMIFS(Disbursements!$W:$W,Disbursements!$B:$B,'Live Collections'!D2007,Disbursements!$D:$D,'Live Collections'!F2007)))</f>
        <v>0</v>
      </c>
      <c r="T1219" s="304">
        <f t="shared" si="57"/>
        <v>0</v>
      </c>
      <c r="U1219" s="52"/>
      <c r="V1219" s="34"/>
      <c r="W1219" s="408"/>
    </row>
    <row r="1220" spans="1:23" ht="12.75" customHeight="1" x14ac:dyDescent="0.2">
      <c r="A1220" s="257">
        <v>1209</v>
      </c>
      <c r="B1220" s="44">
        <v>44476</v>
      </c>
      <c r="C1220" s="44">
        <f t="shared" si="55"/>
        <v>44476</v>
      </c>
      <c r="D1220" s="374">
        <v>164</v>
      </c>
      <c r="E1220" s="291" t="str">
        <f>IFERROR(VLOOKUP($D1220,'Clients-Live'!$A:$C,3,0),"")</f>
        <v>ARIKE SWAIB</v>
      </c>
      <c r="F1220" s="291">
        <f>IFERROR(INDEX(Disbursements!$D:$D,MATCH('Live Collections'!G1220,Disbursements!$C:$C,0)),"")</f>
        <v>1</v>
      </c>
      <c r="G1220" s="34">
        <v>154</v>
      </c>
      <c r="H1220" s="34"/>
      <c r="I1220" s="34" t="s">
        <v>1357</v>
      </c>
      <c r="J1220" s="48"/>
      <c r="K1220" s="48"/>
      <c r="L1220" s="48"/>
      <c r="M1220" s="48"/>
      <c r="N1220" s="59"/>
      <c r="O1220" s="59">
        <v>115000</v>
      </c>
      <c r="P1220" s="59"/>
      <c r="Q1220" s="268">
        <f t="shared" si="56"/>
        <v>115000</v>
      </c>
      <c r="R1220" s="61">
        <f>IF(O1220=0,0,SUMIFS(Disbursements!$T:$T,Disbursements!$B:$B,'Live Collections'!D1220,Disbursements!$D:$D,'Live Collections'!F1220))</f>
        <v>109000</v>
      </c>
      <c r="S1220" s="304">
        <f>IF(O1220&lt;=IF($O1220=0,0,SUMIFS(Disbursements!$W:$W,Disbursements!$B:$B,'Live Collections'!D2032,Disbursements!$D:$D,'Live Collections'!F2032)),O1220,IF($O1220=0,0,SUMIFS(Disbursements!$W:$W,Disbursements!$B:$B,'Live Collections'!D2032,Disbursements!$D:$D,'Live Collections'!F2032)))</f>
        <v>53000</v>
      </c>
      <c r="T1220" s="304">
        <f t="shared" si="57"/>
        <v>62000</v>
      </c>
      <c r="U1220" s="52"/>
      <c r="V1220" s="34"/>
      <c r="W1220" s="408"/>
    </row>
    <row r="1221" spans="1:23" ht="12.75" customHeight="1" x14ac:dyDescent="0.2">
      <c r="A1221" s="132">
        <v>1203</v>
      </c>
      <c r="B1221" s="44">
        <v>44476</v>
      </c>
      <c r="C1221" s="44">
        <f t="shared" si="55"/>
        <v>44476</v>
      </c>
      <c r="D1221" s="374">
        <v>197</v>
      </c>
      <c r="E1221" s="291" t="str">
        <f>IFERROR(VLOOKUP($D1221,'Clients-Live'!$A:$C,3,0),"")</f>
        <v>SIYESA JAMILA</v>
      </c>
      <c r="F1221" s="291">
        <f>IFERROR(INDEX(Disbursements!$D:$D,MATCH('Live Collections'!G1221,Disbursements!$C:$C,0)),"")</f>
        <v>1</v>
      </c>
      <c r="G1221" s="34">
        <v>192</v>
      </c>
      <c r="H1221" s="34">
        <v>2734</v>
      </c>
      <c r="I1221" s="34" t="s">
        <v>1358</v>
      </c>
      <c r="J1221" s="48"/>
      <c r="K1221" s="48"/>
      <c r="L1221" s="48"/>
      <c r="M1221" s="48"/>
      <c r="N1221" s="59"/>
      <c r="O1221" s="59">
        <v>10000</v>
      </c>
      <c r="P1221" s="59"/>
      <c r="Q1221" s="268">
        <f t="shared" si="56"/>
        <v>10000</v>
      </c>
      <c r="R1221" s="61">
        <f>IF(O1221=0,0,SUMIFS(Disbursements!$T:$T,Disbursements!$B:$B,'Live Collections'!D1221,Disbursements!$D:$D,'Live Collections'!F1221))</f>
        <v>120000</v>
      </c>
      <c r="S1221" s="304">
        <f>IF(O1221&lt;=IF($O1221=0,0,SUMIFS(Disbursements!$W:$W,Disbursements!$B:$B,'Live Collections'!D2364,Disbursements!$D:$D,'Live Collections'!F2364)),O1221,IF($O1221=0,0,SUMIFS(Disbursements!$W:$W,Disbursements!$B:$B,'Live Collections'!D2364,Disbursements!$D:$D,'Live Collections'!F2364)))</f>
        <v>10000</v>
      </c>
      <c r="T1221" s="304">
        <f t="shared" si="57"/>
        <v>0</v>
      </c>
      <c r="U1221" s="52"/>
      <c r="V1221" s="34"/>
      <c r="W1221" s="408"/>
    </row>
    <row r="1222" spans="1:23" ht="12.75" customHeight="1" x14ac:dyDescent="0.2">
      <c r="A1222" s="257">
        <v>1211</v>
      </c>
      <c r="B1222" s="44">
        <v>44476</v>
      </c>
      <c r="C1222" s="44">
        <f t="shared" si="55"/>
        <v>44476</v>
      </c>
      <c r="D1222" s="374">
        <v>206</v>
      </c>
      <c r="E1222" s="291" t="str">
        <f>IFERROR(VLOOKUP($D1222,'Clients-Live'!$A:$C,3,0),"")</f>
        <v>AMILE AISHA</v>
      </c>
      <c r="F1222" s="291">
        <f>IFERROR(INDEX(Disbursements!$D:$D,MATCH('Live Collections'!G1222,Disbursements!$C:$C,0)),"")</f>
        <v>1</v>
      </c>
      <c r="G1222" s="34">
        <v>214</v>
      </c>
      <c r="H1222" s="34">
        <v>3</v>
      </c>
      <c r="I1222" s="34" t="s">
        <v>1357</v>
      </c>
      <c r="J1222" s="48"/>
      <c r="K1222" s="48"/>
      <c r="L1222" s="48"/>
      <c r="M1222" s="48"/>
      <c r="N1222" s="59"/>
      <c r="O1222" s="59">
        <v>60000</v>
      </c>
      <c r="P1222" s="59"/>
      <c r="Q1222" s="268">
        <f t="shared" si="56"/>
        <v>60000</v>
      </c>
      <c r="R1222" s="61">
        <f>IF(O1222=0,0,SUMIFS(Disbursements!$T:$T,Disbursements!$B:$B,'Live Collections'!D1222,Disbursements!$D:$D,'Live Collections'!F1222))</f>
        <v>120000</v>
      </c>
      <c r="S1222" s="304">
        <f>IF(O1222&lt;=IF($O1222=0,0,SUMIFS(Disbursements!$W:$W,Disbursements!$B:$B,'Live Collections'!D2437,Disbursements!$D:$D,'Live Collections'!F2437)),O1222,IF($O1222=0,0,SUMIFS(Disbursements!$W:$W,Disbursements!$B:$B,'Live Collections'!D2437,Disbursements!$D:$D,'Live Collections'!F2437)))</f>
        <v>25000</v>
      </c>
      <c r="T1222" s="304">
        <f t="shared" si="57"/>
        <v>35000</v>
      </c>
      <c r="U1222" s="52"/>
      <c r="V1222" s="34"/>
      <c r="W1222" s="408"/>
    </row>
    <row r="1223" spans="1:23" ht="12.75" customHeight="1" x14ac:dyDescent="0.2">
      <c r="A1223" s="132">
        <v>1204</v>
      </c>
      <c r="B1223" s="44">
        <v>44476</v>
      </c>
      <c r="C1223" s="44">
        <f t="shared" si="55"/>
        <v>44476</v>
      </c>
      <c r="D1223" s="374">
        <v>207</v>
      </c>
      <c r="E1223" s="291" t="str">
        <f>IFERROR(VLOOKUP($D1223,'Clients-Live'!$A:$C,3,0),"")</f>
        <v>DRARU IRENE</v>
      </c>
      <c r="F1223" s="291">
        <f>IFERROR(INDEX(Disbursements!$D:$D,MATCH('Live Collections'!G1223,Disbursements!$C:$C,0)),"")</f>
        <v>1</v>
      </c>
      <c r="G1223" s="34">
        <v>205</v>
      </c>
      <c r="H1223" s="34"/>
      <c r="I1223" s="34" t="s">
        <v>1358</v>
      </c>
      <c r="J1223" s="48"/>
      <c r="K1223" s="48"/>
      <c r="L1223" s="48"/>
      <c r="M1223" s="48"/>
      <c r="N1223" s="59"/>
      <c r="O1223" s="59">
        <v>153400</v>
      </c>
      <c r="P1223" s="59"/>
      <c r="Q1223" s="268">
        <f t="shared" si="56"/>
        <v>153400</v>
      </c>
      <c r="R1223" s="61">
        <f>IF(O1223=0,0,SUMIFS(Disbursements!$T:$T,Disbursements!$B:$B,'Live Collections'!D1223,Disbursements!$D:$D,'Live Collections'!F1223))</f>
        <v>154000</v>
      </c>
      <c r="S1223" s="64">
        <v>61999.999999999971</v>
      </c>
      <c r="T1223" s="304">
        <f t="shared" si="57"/>
        <v>91400.000000000029</v>
      </c>
      <c r="U1223" s="52"/>
      <c r="V1223" s="34"/>
      <c r="W1223" s="408"/>
    </row>
    <row r="1224" spans="1:23" ht="12.75" customHeight="1" x14ac:dyDescent="0.2">
      <c r="A1224" s="257">
        <v>1208</v>
      </c>
      <c r="B1224" s="44">
        <v>44476</v>
      </c>
      <c r="C1224" s="44">
        <f t="shared" si="55"/>
        <v>44476</v>
      </c>
      <c r="D1224" s="374">
        <v>209</v>
      </c>
      <c r="E1224" s="291" t="str">
        <f>IFERROR(VLOOKUP($D1224,'Clients-Live'!$A:$C,3,0),"")</f>
        <v>ADUI ISMAIL</v>
      </c>
      <c r="F1224" s="291">
        <f>IFERROR(INDEX(Disbursements!$D:$D,MATCH('Live Collections'!G1224,Disbursements!$C:$C,0)),"")</f>
        <v>1</v>
      </c>
      <c r="G1224" s="34">
        <v>209</v>
      </c>
      <c r="H1224" s="34"/>
      <c r="I1224" s="34" t="s">
        <v>1357</v>
      </c>
      <c r="J1224" s="48"/>
      <c r="K1224" s="48"/>
      <c r="L1224" s="48"/>
      <c r="M1224" s="48"/>
      <c r="N1224" s="59"/>
      <c r="O1224" s="59">
        <v>100000</v>
      </c>
      <c r="P1224" s="59"/>
      <c r="Q1224" s="268">
        <f t="shared" si="56"/>
        <v>100000</v>
      </c>
      <c r="R1224" s="61">
        <f>IF(O1224=0,0,SUMIFS(Disbursements!$T:$T,Disbursements!$B:$B,'Live Collections'!D1224,Disbursements!$D:$D,'Live Collections'!F1224))</f>
        <v>180000</v>
      </c>
      <c r="S1224" s="304">
        <f>IF(O1224&lt;=IF($O1224=0,0,SUMIFS(Disbursements!$W:$W,Disbursements!$B:$B,'Live Collections'!D2468,Disbursements!$D:$D,'Live Collections'!F2468)),O1224,IF($O1224=0,0,SUMIFS(Disbursements!$W:$W,Disbursements!$B:$B,'Live Collections'!D2468,Disbursements!$D:$D,'Live Collections'!F2468)))</f>
        <v>60000</v>
      </c>
      <c r="T1224" s="304">
        <f t="shared" si="57"/>
        <v>40000</v>
      </c>
      <c r="U1224" s="52"/>
      <c r="V1224" s="34"/>
      <c r="W1224" s="408"/>
    </row>
    <row r="1225" spans="1:23" ht="12.75" customHeight="1" x14ac:dyDescent="0.2">
      <c r="A1225" s="132">
        <v>1207</v>
      </c>
      <c r="B1225" s="44">
        <v>44476</v>
      </c>
      <c r="C1225" s="44">
        <f t="shared" ref="C1225:C1288" si="58">B1225</f>
        <v>44476</v>
      </c>
      <c r="D1225" s="374">
        <v>211</v>
      </c>
      <c r="E1225" s="291" t="str">
        <f>IFERROR(VLOOKUP($D1225,'Clients-Live'!$A:$C,3,0),"")</f>
        <v>WILARU JOYCE</v>
      </c>
      <c r="F1225" s="291">
        <f>IFERROR(INDEX(Disbursements!$D:$D,MATCH('Live Collections'!G1225,Disbursements!$C:$C,0)),"")</f>
        <v>1</v>
      </c>
      <c r="G1225" s="34">
        <v>211</v>
      </c>
      <c r="H1225" s="34"/>
      <c r="I1225" s="34" t="s">
        <v>1358</v>
      </c>
      <c r="J1225" s="48"/>
      <c r="K1225" s="48"/>
      <c r="L1225" s="48"/>
      <c r="M1225" s="48"/>
      <c r="N1225" s="59"/>
      <c r="O1225" s="59">
        <v>200000</v>
      </c>
      <c r="P1225" s="59"/>
      <c r="Q1225" s="268">
        <f t="shared" ref="Q1225:Q1288" si="59">SUM(J1225:P1225)</f>
        <v>200000</v>
      </c>
      <c r="R1225" s="61">
        <f>IF(O1225=0,0,SUMIFS(Disbursements!$T:$T,Disbursements!$B:$B,'Live Collections'!D1225,Disbursements!$D:$D,'Live Collections'!F1225))</f>
        <v>200000</v>
      </c>
      <c r="S1225" s="304">
        <f>IF(O1225&lt;=IF($O1225=0,0,SUMIFS(Disbursements!$W:$W,Disbursements!$B:$B,'Live Collections'!D2486,Disbursements!$D:$D,'Live Collections'!F2486)),O1225,IF($O1225=0,0,SUMIFS(Disbursements!$W:$W,Disbursements!$B:$B,'Live Collections'!D2486,Disbursements!$D:$D,'Live Collections'!F2486)))</f>
        <v>150000</v>
      </c>
      <c r="T1225" s="304">
        <f t="shared" ref="T1225:T1288" si="60">IF(O1225=0,0,O1225-S1225)</f>
        <v>50000</v>
      </c>
      <c r="U1225" s="52"/>
      <c r="V1225" s="34"/>
      <c r="W1225" s="408"/>
    </row>
    <row r="1226" spans="1:23" ht="12.75" customHeight="1" x14ac:dyDescent="0.2">
      <c r="A1226" s="257">
        <v>1196</v>
      </c>
      <c r="B1226" s="44">
        <v>44476</v>
      </c>
      <c r="C1226" s="44">
        <f t="shared" si="58"/>
        <v>44476</v>
      </c>
      <c r="D1226" s="374">
        <v>234</v>
      </c>
      <c r="E1226" s="291" t="str">
        <f>IFERROR(VLOOKUP($D1226,'Clients-Live'!$A:$C,3,0),"")</f>
        <v>SUDI YASIR</v>
      </c>
      <c r="F1226" s="291" t="str">
        <f>IFERROR(INDEX(Disbursements!$D:$D,MATCH('Live Collections'!G1226,Disbursements!$C:$C,0)),"")</f>
        <v/>
      </c>
      <c r="G1226" s="34"/>
      <c r="H1226" s="34"/>
      <c r="I1226" s="34" t="s">
        <v>1815</v>
      </c>
      <c r="J1226" s="48">
        <v>15000</v>
      </c>
      <c r="K1226" s="48">
        <v>5000</v>
      </c>
      <c r="L1226" s="48"/>
      <c r="M1226" s="48"/>
      <c r="N1226" s="59"/>
      <c r="O1226" s="59"/>
      <c r="P1226" s="59"/>
      <c r="Q1226" s="268">
        <f t="shared" si="59"/>
        <v>20000</v>
      </c>
      <c r="R1226" s="61">
        <f>IF(O1226=0,0,SUMIFS(Disbursements!$T:$T,Disbursements!$B:$B,'Live Collections'!D1226,Disbursements!$D:$D,'Live Collections'!F1226))</f>
        <v>0</v>
      </c>
      <c r="S1226" s="304">
        <f>IF(O1226&lt;=IF($O1226=0,0,SUMIFS(Disbursements!$W:$W,Disbursements!$B:$B,'Live Collections'!D2701,Disbursements!$D:$D,'Live Collections'!F2701)),O1226,IF($O1226=0,0,SUMIFS(Disbursements!$W:$W,Disbursements!$B:$B,'Live Collections'!D2701,Disbursements!$D:$D,'Live Collections'!F2701)))</f>
        <v>0</v>
      </c>
      <c r="T1226" s="304">
        <f t="shared" si="60"/>
        <v>0</v>
      </c>
      <c r="U1226" s="52"/>
      <c r="V1226" s="34"/>
      <c r="W1226" s="408"/>
    </row>
    <row r="1227" spans="1:23" ht="12.75" customHeight="1" x14ac:dyDescent="0.2">
      <c r="A1227" s="132">
        <v>1192</v>
      </c>
      <c r="B1227" s="44">
        <v>44476</v>
      </c>
      <c r="C1227" s="44">
        <f t="shared" si="58"/>
        <v>44476</v>
      </c>
      <c r="D1227" s="374">
        <v>240</v>
      </c>
      <c r="E1227" s="291" t="str">
        <f>IFERROR(VLOOKUP($D1227,'Clients-Live'!$A:$C,3,0),"")</f>
        <v>AYIKORU WINNIE</v>
      </c>
      <c r="F1227" s="291" t="str">
        <f>IFERROR(INDEX(Disbursements!$D:$D,MATCH('Live Collections'!G1227,Disbursements!$C:$C,0)),"")</f>
        <v/>
      </c>
      <c r="G1227" s="34"/>
      <c r="H1227" s="34"/>
      <c r="I1227" s="34" t="s">
        <v>1358</v>
      </c>
      <c r="J1227" s="48">
        <v>15000</v>
      </c>
      <c r="K1227" s="48">
        <v>5000</v>
      </c>
      <c r="L1227" s="48">
        <v>15000</v>
      </c>
      <c r="M1227" s="48">
        <v>5000</v>
      </c>
      <c r="N1227" s="59"/>
      <c r="O1227" s="59"/>
      <c r="P1227" s="59">
        <v>60000</v>
      </c>
      <c r="Q1227" s="268">
        <f t="shared" si="59"/>
        <v>100000</v>
      </c>
      <c r="R1227" s="61">
        <f>IF(O1227=0,0,SUMIFS(Disbursements!$T:$T,Disbursements!$B:$B,'Live Collections'!D1227,Disbursements!$D:$D,'Live Collections'!F1227))</f>
        <v>0</v>
      </c>
      <c r="S1227" s="304">
        <f>IF(O1227&lt;=IF($O1227=0,0,SUMIFS(Disbursements!$W:$W,Disbursements!$B:$B,'Live Collections'!D2743,Disbursements!$D:$D,'Live Collections'!F2743)),O1227,IF($O1227=0,0,SUMIFS(Disbursements!$W:$W,Disbursements!$B:$B,'Live Collections'!D2743,Disbursements!$D:$D,'Live Collections'!F2743)))</f>
        <v>0</v>
      </c>
      <c r="T1227" s="304">
        <f t="shared" si="60"/>
        <v>0</v>
      </c>
      <c r="U1227" s="52"/>
      <c r="V1227" s="34"/>
      <c r="W1227" s="408"/>
    </row>
    <row r="1228" spans="1:23" ht="12.75" customHeight="1" x14ac:dyDescent="0.2">
      <c r="A1228" s="257">
        <v>1195</v>
      </c>
      <c r="B1228" s="44">
        <v>44476</v>
      </c>
      <c r="C1228" s="44">
        <f t="shared" si="58"/>
        <v>44476</v>
      </c>
      <c r="D1228" s="374">
        <v>240</v>
      </c>
      <c r="E1228" s="291" t="str">
        <f>IFERROR(VLOOKUP($D1228,'Clients-Live'!$A:$C,3,0),"")</f>
        <v>AYIKORU WINNIE</v>
      </c>
      <c r="F1228" s="291" t="str">
        <f>IFERROR(INDEX(Disbursements!$D:$D,MATCH('Live Collections'!G1228,Disbursements!$C:$C,0)),"")</f>
        <v/>
      </c>
      <c r="G1228" s="34"/>
      <c r="H1228" s="34"/>
      <c r="I1228" s="34" t="s">
        <v>1358</v>
      </c>
      <c r="J1228" s="48"/>
      <c r="K1228" s="48"/>
      <c r="L1228" s="48"/>
      <c r="M1228" s="48"/>
      <c r="N1228" s="59"/>
      <c r="O1228" s="59"/>
      <c r="P1228" s="59">
        <v>90000</v>
      </c>
      <c r="Q1228" s="268">
        <f t="shared" si="59"/>
        <v>90000</v>
      </c>
      <c r="R1228" s="61">
        <f>IF(O1228=0,0,SUMIFS(Disbursements!$T:$T,Disbursements!$B:$B,'Live Collections'!D1228,Disbursements!$D:$D,'Live Collections'!F1228))</f>
        <v>0</v>
      </c>
      <c r="S1228" s="304">
        <f>IF(O1228&lt;=IF($O1228=0,0,SUMIFS(Disbursements!$W:$W,Disbursements!$B:$B,'Live Collections'!D2744,Disbursements!$D:$D,'Live Collections'!F2744)),O1228,IF($O1228=0,0,SUMIFS(Disbursements!$W:$W,Disbursements!$B:$B,'Live Collections'!D2744,Disbursements!$D:$D,'Live Collections'!F2744)))</f>
        <v>0</v>
      </c>
      <c r="T1228" s="304">
        <f t="shared" si="60"/>
        <v>0</v>
      </c>
      <c r="U1228" s="52"/>
      <c r="V1228" s="34"/>
      <c r="W1228" s="408"/>
    </row>
    <row r="1229" spans="1:23" ht="12.75" customHeight="1" x14ac:dyDescent="0.2">
      <c r="A1229" s="132">
        <v>1194</v>
      </c>
      <c r="B1229" s="44">
        <v>44476</v>
      </c>
      <c r="C1229" s="44">
        <f t="shared" si="58"/>
        <v>44476</v>
      </c>
      <c r="D1229" s="374">
        <v>241</v>
      </c>
      <c r="E1229" s="291" t="str">
        <f>IFERROR(VLOOKUP($D1229,'Clients-Live'!$A:$C,3,0),"")</f>
        <v>SIRIKA FARIDA</v>
      </c>
      <c r="F1229" s="291" t="str">
        <f>IFERROR(INDEX(Disbursements!$D:$D,MATCH('Live Collections'!G1229,Disbursements!$C:$C,0)),"")</f>
        <v/>
      </c>
      <c r="G1229" s="34"/>
      <c r="H1229" s="34"/>
      <c r="I1229" s="34" t="s">
        <v>1815</v>
      </c>
      <c r="J1229" s="48">
        <v>15000</v>
      </c>
      <c r="K1229" s="48">
        <v>5000</v>
      </c>
      <c r="L1229" s="48"/>
      <c r="M1229" s="48"/>
      <c r="N1229" s="59"/>
      <c r="O1229" s="59"/>
      <c r="P1229" s="59"/>
      <c r="Q1229" s="268">
        <f t="shared" si="59"/>
        <v>20000</v>
      </c>
      <c r="R1229" s="61">
        <f>IF(O1229=0,0,SUMIFS(Disbursements!$T:$T,Disbursements!$B:$B,'Live Collections'!D1229,Disbursements!$D:$D,'Live Collections'!F1229))</f>
        <v>0</v>
      </c>
      <c r="S1229" s="304">
        <f>IF(O1229&lt;=IF($O1229=0,0,SUMIFS(Disbursements!$W:$W,Disbursements!$B:$B,'Live Collections'!D2755,Disbursements!$D:$D,'Live Collections'!F2755)),O1229,IF($O1229=0,0,SUMIFS(Disbursements!$W:$W,Disbursements!$B:$B,'Live Collections'!D2755,Disbursements!$D:$D,'Live Collections'!F2755)))</f>
        <v>0</v>
      </c>
      <c r="T1229" s="304">
        <f t="shared" si="60"/>
        <v>0</v>
      </c>
      <c r="U1229" s="52"/>
      <c r="V1229" s="34"/>
      <c r="W1229" s="408"/>
    </row>
    <row r="1230" spans="1:23" ht="12.75" customHeight="1" x14ac:dyDescent="0.2">
      <c r="A1230" s="257">
        <v>1193</v>
      </c>
      <c r="B1230" s="44">
        <v>44476</v>
      </c>
      <c r="C1230" s="44">
        <f t="shared" si="58"/>
        <v>44476</v>
      </c>
      <c r="D1230" s="374">
        <v>242</v>
      </c>
      <c r="E1230" s="291" t="str">
        <f>IFERROR(VLOOKUP($D1230,'Clients-Live'!$A:$C,3,0),"")</f>
        <v>BAKOKO FLAVIA</v>
      </c>
      <c r="F1230" s="291" t="str">
        <f>IFERROR(INDEX(Disbursements!$D:$D,MATCH('Live Collections'!G1230,Disbursements!$C:$C,0)),"")</f>
        <v/>
      </c>
      <c r="G1230" s="34"/>
      <c r="H1230" s="34"/>
      <c r="I1230" s="34" t="s">
        <v>1815</v>
      </c>
      <c r="J1230" s="48">
        <v>15000</v>
      </c>
      <c r="K1230" s="48">
        <v>5000</v>
      </c>
      <c r="L1230" s="48"/>
      <c r="M1230" s="48"/>
      <c r="N1230" s="59"/>
      <c r="O1230" s="59"/>
      <c r="P1230" s="59"/>
      <c r="Q1230" s="268">
        <f t="shared" si="59"/>
        <v>20000</v>
      </c>
      <c r="R1230" s="61">
        <f>IF(O1230=0,0,SUMIFS(Disbursements!$T:$T,Disbursements!$B:$B,'Live Collections'!D1230,Disbursements!$D:$D,'Live Collections'!F1230))</f>
        <v>0</v>
      </c>
      <c r="S1230" s="304">
        <f>IF(O1230&lt;=IF($O1230=0,0,SUMIFS(Disbursements!$W:$W,Disbursements!$B:$B,'Live Collections'!D2761,Disbursements!$D:$D,'Live Collections'!F2761)),O1230,IF($O1230=0,0,SUMIFS(Disbursements!$W:$W,Disbursements!$B:$B,'Live Collections'!D2761,Disbursements!$D:$D,'Live Collections'!F2761)))</f>
        <v>0</v>
      </c>
      <c r="T1230" s="304">
        <f t="shared" si="60"/>
        <v>0</v>
      </c>
      <c r="U1230" s="52"/>
      <c r="V1230" s="34"/>
      <c r="W1230" s="408"/>
    </row>
    <row r="1231" spans="1:23" ht="12.75" customHeight="1" x14ac:dyDescent="0.2">
      <c r="A1231" s="132">
        <v>1214</v>
      </c>
      <c r="B1231" s="44">
        <v>44477</v>
      </c>
      <c r="C1231" s="44">
        <f t="shared" si="58"/>
        <v>44477</v>
      </c>
      <c r="D1231" s="374">
        <v>14</v>
      </c>
      <c r="E1231" s="291" t="str">
        <f>IFERROR(VLOOKUP($D1231,'Clients-Live'!$A:$C,3,0),"")</f>
        <v>ASIKU ROMANO ADEBUA</v>
      </c>
      <c r="F1231" s="291">
        <f>IFERROR(INDEX(Disbursements!$D:$D,MATCH('Live Collections'!G1231,Disbursements!$C:$C,0)),"")</f>
        <v>1</v>
      </c>
      <c r="G1231" s="34">
        <v>5</v>
      </c>
      <c r="H1231" s="34"/>
      <c r="I1231" s="34" t="s">
        <v>1357</v>
      </c>
      <c r="J1231" s="48"/>
      <c r="K1231" s="48"/>
      <c r="L1231" s="48"/>
      <c r="M1231" s="48"/>
      <c r="N1231" s="59"/>
      <c r="O1231" s="59">
        <v>60000</v>
      </c>
      <c r="P1231" s="59"/>
      <c r="Q1231" s="268">
        <f t="shared" si="59"/>
        <v>60000</v>
      </c>
      <c r="R1231" s="61">
        <f>IF(O1231=0,0,SUMIFS(Disbursements!$T:$T,Disbursements!$B:$B,'Live Collections'!D1231,Disbursements!$D:$D,'Live Collections'!F1231))</f>
        <v>217000</v>
      </c>
      <c r="S1231" s="304">
        <f>IF(O1231&lt;=IF($O1231=0,0,SUMIFS(Disbursements!$W:$W,Disbursements!$B:$B,'Live Collections'!D151,Disbursements!$D:$D,'Live Collections'!F151)),O1231,IF($O1231=0,0,SUMIFS(Disbursements!$W:$W,Disbursements!$B:$B,'Live Collections'!D151,Disbursements!$D:$D,'Live Collections'!F151)))</f>
        <v>20000</v>
      </c>
      <c r="T1231" s="304">
        <f t="shared" si="60"/>
        <v>40000</v>
      </c>
      <c r="U1231" s="52"/>
      <c r="V1231" s="34"/>
      <c r="W1231" s="408"/>
    </row>
    <row r="1232" spans="1:23" ht="12.75" customHeight="1" x14ac:dyDescent="0.2">
      <c r="A1232" s="257">
        <v>1215</v>
      </c>
      <c r="B1232" s="44">
        <v>44477</v>
      </c>
      <c r="C1232" s="44">
        <f t="shared" si="58"/>
        <v>44477</v>
      </c>
      <c r="D1232" s="374">
        <v>45</v>
      </c>
      <c r="E1232" s="291" t="str">
        <f>IFERROR(VLOOKUP($D1232,'Clients-Live'!$A:$C,3,0),"")</f>
        <v>SANYA DONALD</v>
      </c>
      <c r="F1232" s="291">
        <f>IFERROR(INDEX(Disbursements!$D:$D,MATCH('Live Collections'!G1232,Disbursements!$C:$C,0)),"")</f>
        <v>1</v>
      </c>
      <c r="G1232" s="34">
        <v>25</v>
      </c>
      <c r="H1232" s="34"/>
      <c r="I1232" s="34" t="s">
        <v>1359</v>
      </c>
      <c r="J1232" s="48"/>
      <c r="K1232" s="48"/>
      <c r="L1232" s="48"/>
      <c r="M1232" s="48"/>
      <c r="N1232" s="59"/>
      <c r="O1232" s="59">
        <v>700000</v>
      </c>
      <c r="P1232" s="59"/>
      <c r="Q1232" s="268">
        <f t="shared" si="59"/>
        <v>700000</v>
      </c>
      <c r="R1232" s="61">
        <f>IF(O1232=0,0,SUMIFS(Disbursements!$T:$T,Disbursements!$B:$B,'Live Collections'!D1232,Disbursements!$D:$D,'Live Collections'!F1232))</f>
        <v>605000</v>
      </c>
      <c r="S1232" s="304">
        <f>IF(O1232&lt;=IF($O1232=0,0,SUMIFS(Disbursements!$W:$W,Disbursements!$B:$B,'Live Collections'!D507,Disbursements!$D:$D,'Live Collections'!F507)),O1232,IF($O1232=0,0,SUMIFS(Disbursements!$W:$W,Disbursements!$B:$B,'Live Collections'!D507,Disbursements!$D:$D,'Live Collections'!F507)))</f>
        <v>15000</v>
      </c>
      <c r="T1232" s="304">
        <f t="shared" si="60"/>
        <v>685000</v>
      </c>
      <c r="U1232" s="52"/>
      <c r="V1232" s="34"/>
      <c r="W1232" s="408"/>
    </row>
    <row r="1233" spans="1:23" ht="12.75" customHeight="1" x14ac:dyDescent="0.2">
      <c r="A1233" s="132">
        <v>1216</v>
      </c>
      <c r="B1233" s="44">
        <v>44477</v>
      </c>
      <c r="C1233" s="44">
        <f t="shared" si="58"/>
        <v>44477</v>
      </c>
      <c r="D1233" s="374">
        <v>84</v>
      </c>
      <c r="E1233" s="291" t="str">
        <f>IFERROR(VLOOKUP($D1233,'Clients-Live'!$A:$C,3,0),"")</f>
        <v>OMEGA  CHARLES</v>
      </c>
      <c r="F1233" s="291">
        <f>IFERROR(INDEX(Disbursements!$D:$D,MATCH('Live Collections'!G1233,Disbursements!$C:$C,0)),"")</f>
        <v>1</v>
      </c>
      <c r="G1233" s="34">
        <v>66</v>
      </c>
      <c r="H1233" s="34"/>
      <c r="I1233" s="34" t="s">
        <v>1359</v>
      </c>
      <c r="J1233" s="48"/>
      <c r="K1233" s="48"/>
      <c r="L1233" s="48"/>
      <c r="M1233" s="48"/>
      <c r="N1233" s="59"/>
      <c r="O1233" s="59">
        <v>440000</v>
      </c>
      <c r="P1233" s="59"/>
      <c r="Q1233" s="268">
        <f t="shared" si="59"/>
        <v>440000</v>
      </c>
      <c r="R1233" s="61">
        <f>IF(O1233=0,0,SUMIFS(Disbursements!$T:$T,Disbursements!$B:$B,'Live Collections'!D1233,Disbursements!$D:$D,'Live Collections'!F1233))</f>
        <v>434000</v>
      </c>
      <c r="S1233" s="473">
        <v>478333.33333333343</v>
      </c>
      <c r="T1233" s="304">
        <f t="shared" si="60"/>
        <v>-38333.33333333343</v>
      </c>
      <c r="U1233" s="52"/>
      <c r="V1233" s="34"/>
      <c r="W1233" s="408" t="s">
        <v>2086</v>
      </c>
    </row>
    <row r="1234" spans="1:23" ht="12.75" customHeight="1" x14ac:dyDescent="0.2">
      <c r="A1234" s="257">
        <v>1212</v>
      </c>
      <c r="B1234" s="44">
        <v>44477</v>
      </c>
      <c r="C1234" s="44">
        <f t="shared" si="58"/>
        <v>44477</v>
      </c>
      <c r="D1234" s="374">
        <v>85</v>
      </c>
      <c r="E1234" s="291" t="str">
        <f>IFERROR(VLOOKUP($D1234,'Clients-Live'!$A:$C,3,0),"")</f>
        <v>CEASER SWALEH</v>
      </c>
      <c r="F1234" s="291">
        <f>IFERROR(INDEX(Disbursements!$D:$D,MATCH('Live Collections'!G1234,Disbursements!$C:$C,0)),"")</f>
        <v>2</v>
      </c>
      <c r="G1234" s="34">
        <v>119</v>
      </c>
      <c r="H1234" s="34"/>
      <c r="I1234" s="34" t="s">
        <v>1357</v>
      </c>
      <c r="J1234" s="48"/>
      <c r="K1234" s="48"/>
      <c r="L1234" s="48"/>
      <c r="M1234" s="48"/>
      <c r="N1234" s="59"/>
      <c r="O1234" s="59">
        <v>75000</v>
      </c>
      <c r="P1234" s="59"/>
      <c r="Q1234" s="268">
        <f t="shared" si="59"/>
        <v>75000</v>
      </c>
      <c r="R1234" s="61">
        <f>IF(O1234=0,0,SUMIFS(Disbursements!$T:$T,Disbursements!$B:$B,'Live Collections'!D1234,Disbursements!$D:$D,'Live Collections'!F1234))</f>
        <v>434000</v>
      </c>
      <c r="S1234" s="304">
        <f>IF(O1234&lt;=IF($O1234=0,0,SUMIFS(Disbursements!$W:$W,Disbursements!$B:$B,'Live Collections'!D1089,Disbursements!$D:$D,'Live Collections'!F1089)),O1234,IF($O1234=0,0,SUMIFS(Disbursements!$W:$W,Disbursements!$B:$B,'Live Collections'!D1089,Disbursements!$D:$D,'Live Collections'!F1089)))</f>
        <v>25666.666666666672</v>
      </c>
      <c r="T1234" s="304">
        <f t="shared" si="60"/>
        <v>49333.333333333328</v>
      </c>
      <c r="U1234" s="52"/>
      <c r="V1234" s="34"/>
      <c r="W1234" s="408"/>
    </row>
    <row r="1235" spans="1:23" ht="12.75" customHeight="1" x14ac:dyDescent="0.2">
      <c r="A1235" s="132">
        <v>1217</v>
      </c>
      <c r="B1235" s="44">
        <v>44477</v>
      </c>
      <c r="C1235" s="44">
        <f t="shared" si="58"/>
        <v>44477</v>
      </c>
      <c r="D1235" s="374">
        <v>124</v>
      </c>
      <c r="E1235" s="291" t="str">
        <f>IFERROR(VLOOKUP($D1235,'Clients-Live'!$A:$C,3,0),"")</f>
        <v>TIKO ZABIBU</v>
      </c>
      <c r="F1235" s="291">
        <f>IFERROR(INDEX(Disbursements!$D:$D,MATCH('Live Collections'!G1235,Disbursements!$C:$C,0)),"")</f>
        <v>1</v>
      </c>
      <c r="G1235" s="34">
        <v>199</v>
      </c>
      <c r="H1235" s="34">
        <v>1093</v>
      </c>
      <c r="I1235" s="34" t="s">
        <v>1358</v>
      </c>
      <c r="J1235" s="48"/>
      <c r="K1235" s="48"/>
      <c r="L1235" s="48"/>
      <c r="M1235" s="48"/>
      <c r="N1235" s="59"/>
      <c r="O1235" s="59">
        <v>80000</v>
      </c>
      <c r="P1235" s="59"/>
      <c r="Q1235" s="268">
        <f t="shared" si="59"/>
        <v>80000</v>
      </c>
      <c r="R1235" s="61">
        <f>IF(O1235=0,0,SUMIFS(Disbursements!$T:$T,Disbursements!$B:$B,'Live Collections'!D1235,Disbursements!$D:$D,'Live Collections'!F1235))</f>
        <v>180000</v>
      </c>
      <c r="S1235" s="304">
        <v>41000</v>
      </c>
      <c r="T1235" s="304">
        <f t="shared" si="60"/>
        <v>39000</v>
      </c>
      <c r="U1235" s="52"/>
      <c r="V1235" s="34"/>
      <c r="W1235" s="408" t="s">
        <v>2089</v>
      </c>
    </row>
    <row r="1236" spans="1:23" ht="12.75" customHeight="1" x14ac:dyDescent="0.2">
      <c r="A1236" s="257">
        <v>1218</v>
      </c>
      <c r="B1236" s="44">
        <v>44477</v>
      </c>
      <c r="C1236" s="44">
        <f t="shared" si="58"/>
        <v>44477</v>
      </c>
      <c r="D1236" s="374">
        <v>151</v>
      </c>
      <c r="E1236" s="291" t="str">
        <f>IFERROR(VLOOKUP($D1236,'Clients-Live'!$A:$C,3,0),"")</f>
        <v>MORRO HASSAN</v>
      </c>
      <c r="F1236" s="291">
        <f>IFERROR(INDEX(Disbursements!$D:$D,MATCH('Live Collections'!G1236,Disbursements!$C:$C,0)),"")</f>
        <v>2</v>
      </c>
      <c r="G1236" s="34">
        <v>193</v>
      </c>
      <c r="H1236" s="34"/>
      <c r="I1236" s="34" t="s">
        <v>1359</v>
      </c>
      <c r="J1236" s="48"/>
      <c r="K1236" s="48"/>
      <c r="L1236" s="48"/>
      <c r="M1236" s="48"/>
      <c r="N1236" s="59"/>
      <c r="O1236" s="59">
        <v>1000000</v>
      </c>
      <c r="P1236" s="59"/>
      <c r="Q1236" s="268">
        <f t="shared" si="59"/>
        <v>1000000</v>
      </c>
      <c r="R1236" s="61">
        <f>IF(O1236=0,0,SUMIFS(Disbursements!$T:$T,Disbursements!$B:$B,'Live Collections'!D1236,Disbursements!$D:$D,'Live Collections'!F1236))</f>
        <v>1100000</v>
      </c>
      <c r="S1236" s="304">
        <f>IF(O1236&lt;=IF($O1236=0,0,SUMIFS(Disbursements!$W:$W,Disbursements!$B:$B,'Live Collections'!D1898,Disbursements!$D:$D,'Live Collections'!F1898)),O1236,IF($O1236=0,0,SUMIFS(Disbursements!$W:$W,Disbursements!$B:$B,'Live Collections'!D1898,Disbursements!$D:$D,'Live Collections'!F1898)))</f>
        <v>20000</v>
      </c>
      <c r="T1236" s="304">
        <f t="shared" si="60"/>
        <v>980000</v>
      </c>
      <c r="U1236" s="52"/>
      <c r="V1236" s="34"/>
      <c r="W1236" s="408"/>
    </row>
    <row r="1237" spans="1:23" ht="12.75" customHeight="1" x14ac:dyDescent="0.2">
      <c r="A1237" s="132">
        <v>1219</v>
      </c>
      <c r="B1237" s="44">
        <v>44477</v>
      </c>
      <c r="C1237" s="44">
        <f t="shared" si="58"/>
        <v>44477</v>
      </c>
      <c r="D1237" s="374">
        <v>202</v>
      </c>
      <c r="E1237" s="291" t="str">
        <f>IFERROR(VLOOKUP($D1237,'Clients-Live'!$A:$C,3,0),"")</f>
        <v>MUSEMA SWAIBU</v>
      </c>
      <c r="F1237" s="291">
        <f>IFERROR(INDEX(Disbursements!$D:$D,MATCH('Live Collections'!G1237,Disbursements!$C:$C,0)),"")</f>
        <v>1</v>
      </c>
      <c r="G1237" s="34">
        <v>197</v>
      </c>
      <c r="H1237" s="34"/>
      <c r="I1237" s="34" t="s">
        <v>1358</v>
      </c>
      <c r="J1237" s="48"/>
      <c r="K1237" s="48"/>
      <c r="L1237" s="48"/>
      <c r="M1237" s="48"/>
      <c r="N1237" s="59"/>
      <c r="O1237" s="59">
        <v>150000</v>
      </c>
      <c r="P1237" s="59"/>
      <c r="Q1237" s="268">
        <f t="shared" si="59"/>
        <v>150000</v>
      </c>
      <c r="R1237" s="61">
        <f>IF(O1237=0,0,SUMIFS(Disbursements!$T:$T,Disbursements!$B:$B,'Live Collections'!D1237,Disbursements!$D:$D,'Live Collections'!F1237))</f>
        <v>144000</v>
      </c>
      <c r="S1237" s="304"/>
      <c r="T1237" s="304">
        <f t="shared" si="60"/>
        <v>150000</v>
      </c>
      <c r="U1237" s="52"/>
      <c r="V1237" s="34"/>
      <c r="W1237" s="408"/>
    </row>
    <row r="1238" spans="1:23" ht="12.75" customHeight="1" x14ac:dyDescent="0.2">
      <c r="A1238" s="257">
        <v>1213</v>
      </c>
      <c r="B1238" s="44">
        <v>44477</v>
      </c>
      <c r="C1238" s="44">
        <f t="shared" si="58"/>
        <v>44477</v>
      </c>
      <c r="D1238" s="374">
        <v>218</v>
      </c>
      <c r="E1238" s="291" t="str">
        <f>IFERROR(VLOOKUP($D1238,'Clients-Live'!$A:$C,3,0),"")</f>
        <v>BUSURA OMAR</v>
      </c>
      <c r="F1238" s="291">
        <f>IFERROR(INDEX(Disbursements!$D:$D,MATCH('Live Collections'!G1238,Disbursements!$C:$C,0)),"")</f>
        <v>1</v>
      </c>
      <c r="G1238" s="34">
        <v>223</v>
      </c>
      <c r="H1238" s="34"/>
      <c r="I1238" s="34" t="s">
        <v>1357</v>
      </c>
      <c r="J1238" s="48"/>
      <c r="K1238" s="48"/>
      <c r="L1238" s="48"/>
      <c r="M1238" s="48"/>
      <c r="N1238" s="59"/>
      <c r="O1238" s="59">
        <v>90000</v>
      </c>
      <c r="P1238" s="59"/>
      <c r="Q1238" s="268">
        <f t="shared" si="59"/>
        <v>90000</v>
      </c>
      <c r="R1238" s="61">
        <f>IF(O1238=0,0,SUMIFS(Disbursements!$T:$T,Disbursements!$B:$B,'Live Collections'!D1238,Disbursements!$D:$D,'Live Collections'!F1238))</f>
        <v>325000</v>
      </c>
      <c r="S1238" s="304">
        <f>IF(O1238&lt;=IF($O1238=0,0,SUMIFS(Disbursements!$W:$W,Disbursements!$B:$B,'Live Collections'!D2572,Disbursements!$D:$D,'Live Collections'!F2572)),O1238,IF($O1238=0,0,SUMIFS(Disbursements!$W:$W,Disbursements!$B:$B,'Live Collections'!D2572,Disbursements!$D:$D,'Live Collections'!F2572)))</f>
        <v>0</v>
      </c>
      <c r="T1238" s="304">
        <f t="shared" si="60"/>
        <v>90000</v>
      </c>
      <c r="U1238" s="52"/>
      <c r="V1238" s="34"/>
      <c r="W1238" s="408"/>
    </row>
    <row r="1239" spans="1:23" ht="12.75" customHeight="1" x14ac:dyDescent="0.2">
      <c r="A1239" s="132">
        <v>1221</v>
      </c>
      <c r="B1239" s="44">
        <v>44477</v>
      </c>
      <c r="C1239" s="44">
        <f t="shared" si="58"/>
        <v>44477</v>
      </c>
      <c r="D1239" s="374">
        <v>241</v>
      </c>
      <c r="E1239" s="291" t="str">
        <f>IFERROR(VLOOKUP($D1239,'Clients-Live'!$A:$C,3,0),"")</f>
        <v>SIRIKA FARIDA</v>
      </c>
      <c r="F1239" s="291" t="str">
        <f>IFERROR(INDEX(Disbursements!$D:$D,MATCH('Live Collections'!G1239,Disbursements!$C:$C,0)),"")</f>
        <v/>
      </c>
      <c r="G1239" s="34"/>
      <c r="H1239" s="34"/>
      <c r="I1239" s="34" t="s">
        <v>1359</v>
      </c>
      <c r="J1239" s="48"/>
      <c r="K1239" s="48"/>
      <c r="L1239" s="48">
        <v>10000</v>
      </c>
      <c r="M1239" s="48">
        <v>5000</v>
      </c>
      <c r="N1239" s="59"/>
      <c r="O1239" s="59"/>
      <c r="P1239" s="59"/>
      <c r="Q1239" s="268">
        <f t="shared" si="59"/>
        <v>15000</v>
      </c>
      <c r="R1239" s="61">
        <f>IF(O1239=0,0,SUMIFS(Disbursements!$T:$T,Disbursements!$B:$B,'Live Collections'!D1239,Disbursements!$D:$D,'Live Collections'!F1239))</f>
        <v>0</v>
      </c>
      <c r="S1239" s="304">
        <f>IF(O1239&lt;=IF($O1239=0,0,SUMIFS(Disbursements!$W:$W,Disbursements!$B:$B,'Live Collections'!D2765,Disbursements!$D:$D,'Live Collections'!F2765)),O1239,IF($O1239=0,0,SUMIFS(Disbursements!$W:$W,Disbursements!$B:$B,'Live Collections'!D2765,Disbursements!$D:$D,'Live Collections'!F2765)))</f>
        <v>0</v>
      </c>
      <c r="T1239" s="304">
        <f t="shared" si="60"/>
        <v>0</v>
      </c>
      <c r="U1239" s="52"/>
      <c r="V1239" s="34"/>
      <c r="W1239" s="408"/>
    </row>
    <row r="1240" spans="1:23" ht="12.75" customHeight="1" x14ac:dyDescent="0.2">
      <c r="A1240" s="257">
        <v>1220</v>
      </c>
      <c r="B1240" s="44">
        <v>44477</v>
      </c>
      <c r="C1240" s="44">
        <f t="shared" si="58"/>
        <v>44477</v>
      </c>
      <c r="D1240" s="374">
        <v>242</v>
      </c>
      <c r="E1240" s="291" t="str">
        <f>IFERROR(VLOOKUP($D1240,'Clients-Live'!$A:$C,3,0),"")</f>
        <v>BAKOKO FLAVIA</v>
      </c>
      <c r="F1240" s="291" t="str">
        <f>IFERROR(INDEX(Disbursements!$D:$D,MATCH('Live Collections'!G1240,Disbursements!$C:$C,0)),"")</f>
        <v/>
      </c>
      <c r="G1240" s="34"/>
      <c r="H1240" s="34"/>
      <c r="I1240" s="34" t="s">
        <v>1358</v>
      </c>
      <c r="J1240" s="48"/>
      <c r="K1240" s="48"/>
      <c r="L1240" s="48">
        <v>20000</v>
      </c>
      <c r="M1240" s="48">
        <v>5000</v>
      </c>
      <c r="N1240" s="59"/>
      <c r="O1240" s="59"/>
      <c r="P1240" s="59"/>
      <c r="Q1240" s="268">
        <f t="shared" si="59"/>
        <v>25000</v>
      </c>
      <c r="R1240" s="61">
        <f>IF(O1240=0,0,SUMIFS(Disbursements!$T:$T,Disbursements!$B:$B,'Live Collections'!D1240,Disbursements!$D:$D,'Live Collections'!F1240))</f>
        <v>0</v>
      </c>
      <c r="S1240" s="304">
        <f>IF(O1240&lt;=IF($O1240=0,0,SUMIFS(Disbursements!$W:$W,Disbursements!$B:$B,'Live Collections'!D2762,Disbursements!$D:$D,'Live Collections'!F2762)),O1240,IF($O1240=0,0,SUMIFS(Disbursements!$W:$W,Disbursements!$B:$B,'Live Collections'!D2762,Disbursements!$D:$D,'Live Collections'!F2762)))</f>
        <v>0</v>
      </c>
      <c r="T1240" s="304">
        <f t="shared" si="60"/>
        <v>0</v>
      </c>
      <c r="U1240" s="52"/>
      <c r="V1240" s="34"/>
      <c r="W1240" s="408"/>
    </row>
    <row r="1241" spans="1:23" ht="12.75" customHeight="1" x14ac:dyDescent="0.2">
      <c r="A1241" s="132">
        <v>1232</v>
      </c>
      <c r="B1241" s="44">
        <v>44480</v>
      </c>
      <c r="C1241" s="44">
        <f t="shared" si="58"/>
        <v>44480</v>
      </c>
      <c r="D1241" s="374">
        <v>15</v>
      </c>
      <c r="E1241" s="291" t="str">
        <f>IFERROR(VLOOKUP($D1241,'Clients-Live'!$A:$C,3,0),"")</f>
        <v>NATOSHA LUCY</v>
      </c>
      <c r="F1241" s="291">
        <f>IFERROR(INDEX(Disbursements!$D:$D,MATCH('Live Collections'!G1241,Disbursements!$C:$C,0)),"")</f>
        <v>1</v>
      </c>
      <c r="G1241" s="34">
        <v>8</v>
      </c>
      <c r="H1241" s="34"/>
      <c r="I1241" s="34" t="s">
        <v>1358</v>
      </c>
      <c r="J1241" s="48"/>
      <c r="K1241" s="48"/>
      <c r="L1241" s="48"/>
      <c r="M1241" s="48"/>
      <c r="N1241" s="59"/>
      <c r="O1241" s="59">
        <v>90000</v>
      </c>
      <c r="P1241" s="59"/>
      <c r="Q1241" s="268">
        <f t="shared" si="59"/>
        <v>90000</v>
      </c>
      <c r="R1241" s="61">
        <f>IF(O1241=0,0,SUMIFS(Disbursements!$T:$T,Disbursements!$B:$B,'Live Collections'!D1241,Disbursements!$D:$D,'Live Collections'!F1241))</f>
        <v>434000</v>
      </c>
      <c r="S1241" s="304">
        <f>IF(O1241&lt;=IF($O1241=0,0,SUMIFS(Disbursements!$W:$W,Disbursements!$B:$B,'Live Collections'!D159,Disbursements!$D:$D,'Live Collections'!F159)),O1241,IF($O1241=0,0,SUMIFS(Disbursements!$W:$W,Disbursements!$B:$B,'Live Collections'!D159,Disbursements!$D:$D,'Live Collections'!F159)))</f>
        <v>0</v>
      </c>
      <c r="T1241" s="304">
        <f t="shared" si="60"/>
        <v>90000</v>
      </c>
      <c r="U1241" s="52"/>
      <c r="V1241" s="34"/>
      <c r="W1241" s="408"/>
    </row>
    <row r="1242" spans="1:23" ht="12.75" customHeight="1" x14ac:dyDescent="0.2">
      <c r="A1242" s="257">
        <v>2842</v>
      </c>
      <c r="B1242" s="44">
        <v>44480</v>
      </c>
      <c r="C1242" s="44">
        <f t="shared" si="58"/>
        <v>44480</v>
      </c>
      <c r="D1242" s="374">
        <v>19</v>
      </c>
      <c r="E1242" s="291" t="str">
        <f>IFERROR(VLOOKUP($D1242,'Clients-Live'!$A:$C,3,0),"")</f>
        <v>ANGUPARU MOLLY</v>
      </c>
      <c r="F1242" s="291">
        <f>IFERROR(INDEX(Disbursements!$D:$D,MATCH('Live Collections'!G1242,Disbursements!$C:$C,0)),"")</f>
        <v>2</v>
      </c>
      <c r="G1242" s="34">
        <v>152</v>
      </c>
      <c r="H1242" s="34">
        <v>29</v>
      </c>
      <c r="I1242" s="34" t="s">
        <v>1358</v>
      </c>
      <c r="J1242" s="48"/>
      <c r="K1242" s="48"/>
      <c r="L1242" s="48"/>
      <c r="M1242" s="48"/>
      <c r="N1242" s="59"/>
      <c r="O1242" s="59">
        <v>100000</v>
      </c>
      <c r="P1242" s="59"/>
      <c r="Q1242" s="268">
        <f t="shared" si="59"/>
        <v>100000</v>
      </c>
      <c r="R1242" s="61">
        <f>IF(O1242=0,0,SUMIFS(Disbursements!$T:$T,Disbursements!$B:$B,'Live Collections'!D1242,Disbursements!$D:$D,'Live Collections'!F1242))</f>
        <v>210000</v>
      </c>
      <c r="S1242" s="304">
        <f>IF(O1242&lt;=IF($O1242=0,0,SUMIFS(Disbursements!$W:$W,Disbursements!$B:$B,'Live Collections'!D239,Disbursements!$D:$D,'Live Collections'!F239)),O1242,IF($O1242=0,0,SUMIFS(Disbursements!$W:$W,Disbursements!$B:$B,'Live Collections'!D239,Disbursements!$D:$D,'Live Collections'!F239)))</f>
        <v>30000</v>
      </c>
      <c r="T1242" s="304">
        <f t="shared" si="60"/>
        <v>70000</v>
      </c>
      <c r="U1242" s="52"/>
      <c r="V1242" s="34"/>
      <c r="W1242" s="408"/>
    </row>
    <row r="1243" spans="1:23" ht="12.75" customHeight="1" x14ac:dyDescent="0.2">
      <c r="A1243" s="132">
        <v>1235</v>
      </c>
      <c r="B1243" s="44">
        <v>44480</v>
      </c>
      <c r="C1243" s="44">
        <f t="shared" si="58"/>
        <v>44480</v>
      </c>
      <c r="D1243" s="374">
        <v>21</v>
      </c>
      <c r="E1243" s="291" t="str">
        <f>IFERROR(VLOOKUP($D1243,'Clients-Live'!$A:$C,3,0),"")</f>
        <v>ESABORU EUNICE</v>
      </c>
      <c r="F1243" s="291">
        <f>IFERROR(INDEX(Disbursements!$D:$D,MATCH('Live Collections'!G1243,Disbursements!$C:$C,0)),"")</f>
        <v>1</v>
      </c>
      <c r="G1243" s="34">
        <v>17</v>
      </c>
      <c r="H1243" s="34">
        <v>57</v>
      </c>
      <c r="I1243" s="34" t="s">
        <v>1358</v>
      </c>
      <c r="J1243" s="48"/>
      <c r="K1243" s="48"/>
      <c r="L1243" s="48"/>
      <c r="M1243" s="48"/>
      <c r="N1243" s="59"/>
      <c r="O1243" s="59">
        <v>20000</v>
      </c>
      <c r="P1243" s="59"/>
      <c r="Q1243" s="268">
        <f t="shared" si="59"/>
        <v>20000</v>
      </c>
      <c r="R1243" s="61">
        <f>IF(O1243=0,0,SUMIFS(Disbursements!$T:$T,Disbursements!$B:$B,'Live Collections'!D1243,Disbursements!$D:$D,'Live Collections'!F1243))</f>
        <v>90000</v>
      </c>
      <c r="S1243" s="304"/>
      <c r="T1243" s="304">
        <f t="shared" si="60"/>
        <v>20000</v>
      </c>
      <c r="U1243" s="52"/>
      <c r="V1243" s="34"/>
      <c r="W1243" s="408"/>
    </row>
    <row r="1244" spans="1:23" ht="12.75" customHeight="1" x14ac:dyDescent="0.2">
      <c r="A1244" s="257">
        <v>1248</v>
      </c>
      <c r="B1244" s="44">
        <v>44480</v>
      </c>
      <c r="C1244" s="44">
        <f t="shared" si="58"/>
        <v>44480</v>
      </c>
      <c r="D1244" s="374">
        <v>52</v>
      </c>
      <c r="E1244" s="291" t="str">
        <f>IFERROR(VLOOKUP($D1244,'Clients-Live'!$A:$C,3,0),"")</f>
        <v>EDEZU PEACE IRENE</v>
      </c>
      <c r="F1244" s="291" t="str">
        <f>IFERROR(INDEX(Disbursements!$D:$D,MATCH('Live Collections'!G1244,Disbursements!$C:$C,0)),"")</f>
        <v/>
      </c>
      <c r="G1244" s="34"/>
      <c r="H1244" s="34"/>
      <c r="I1244" s="34" t="s">
        <v>1357</v>
      </c>
      <c r="J1244" s="48"/>
      <c r="K1244" s="48"/>
      <c r="L1244" s="48">
        <v>10000</v>
      </c>
      <c r="M1244" s="48">
        <v>5000</v>
      </c>
      <c r="N1244" s="59"/>
      <c r="O1244" s="59"/>
      <c r="P1244" s="59"/>
      <c r="Q1244" s="268">
        <f t="shared" si="59"/>
        <v>15000</v>
      </c>
      <c r="R1244" s="61">
        <f>IF(O1244=0,0,SUMIFS(Disbursements!$T:$T,Disbursements!$B:$B,'Live Collections'!D1244,Disbursements!$D:$D,'Live Collections'!F1244))</f>
        <v>0</v>
      </c>
      <c r="S1244" s="304">
        <f>IF(O1244&lt;=IF($O1244=0,0,SUMIFS(Disbursements!$W:$W,Disbursements!$B:$B,'Live Collections'!D608,Disbursements!$D:$D,'Live Collections'!F608)),O1244,IF($O1244=0,0,SUMIFS(Disbursements!$W:$W,Disbursements!$B:$B,'Live Collections'!D608,Disbursements!$D:$D,'Live Collections'!F608)))</f>
        <v>0</v>
      </c>
      <c r="T1244" s="304">
        <f t="shared" si="60"/>
        <v>0</v>
      </c>
      <c r="U1244" s="52"/>
      <c r="V1244" s="34"/>
      <c r="W1244" s="408"/>
    </row>
    <row r="1245" spans="1:23" ht="12.75" customHeight="1" x14ac:dyDescent="0.2">
      <c r="A1245" s="132">
        <v>1222</v>
      </c>
      <c r="B1245" s="44">
        <v>44480</v>
      </c>
      <c r="C1245" s="44">
        <f t="shared" si="58"/>
        <v>44480</v>
      </c>
      <c r="D1245" s="374">
        <v>66</v>
      </c>
      <c r="E1245" s="291" t="str">
        <f>IFERROR(VLOOKUP($D1245,'Clients-Live'!$A:$C,3,0),"")</f>
        <v>DENAYA NYAMAZA</v>
      </c>
      <c r="F1245" s="291">
        <f>IFERROR(INDEX(Disbursements!$D:$D,MATCH('Live Collections'!G1245,Disbursements!$C:$C,0)),"")</f>
        <v>1</v>
      </c>
      <c r="G1245" s="34">
        <v>53</v>
      </c>
      <c r="H1245" s="34"/>
      <c r="I1245" s="34" t="s">
        <v>1357</v>
      </c>
      <c r="J1245" s="48"/>
      <c r="K1245" s="48"/>
      <c r="L1245" s="48"/>
      <c r="M1245" s="48"/>
      <c r="N1245" s="59"/>
      <c r="O1245" s="59">
        <v>50000</v>
      </c>
      <c r="P1245" s="59"/>
      <c r="Q1245" s="268">
        <f t="shared" si="59"/>
        <v>50000</v>
      </c>
      <c r="R1245" s="61">
        <f>IF(O1245=0,0,SUMIFS(Disbursements!$T:$T,Disbursements!$B:$B,'Live Collections'!D1245,Disbursements!$D:$D,'Live Collections'!F1245))</f>
        <v>109000</v>
      </c>
      <c r="S1245" s="304">
        <f>IF(O1245&lt;=IF($O1245=0,0,SUMIFS(Disbursements!$W:$W,Disbursements!$B:$B,'Live Collections'!D1811,Disbursements!$D:$D,'Live Collections'!F1811)),O1245,IF($O1245=0,0,SUMIFS(Disbursements!$W:$W,Disbursements!$B:$B,'Live Collections'!D1811,Disbursements!$D:$D,'Live Collections'!F1811)))</f>
        <v>15000</v>
      </c>
      <c r="T1245" s="304">
        <f t="shared" si="60"/>
        <v>35000</v>
      </c>
      <c r="U1245" s="52"/>
      <c r="V1245" s="34"/>
      <c r="W1245" s="408"/>
    </row>
    <row r="1246" spans="1:23" ht="12.75" customHeight="1" x14ac:dyDescent="0.2">
      <c r="A1246" s="257">
        <v>1226</v>
      </c>
      <c r="B1246" s="44">
        <v>44480</v>
      </c>
      <c r="C1246" s="44">
        <f t="shared" si="58"/>
        <v>44480</v>
      </c>
      <c r="D1246" s="374">
        <v>79</v>
      </c>
      <c r="E1246" s="291" t="str">
        <f>IFERROR(VLOOKUP($D1246,'Clients-Live'!$A:$C,3,0),"")</f>
        <v>PASI SENYA</v>
      </c>
      <c r="F1246" s="291">
        <f>IFERROR(INDEX(Disbursements!$D:$D,MATCH('Live Collections'!G1246,Disbursements!$C:$C,0)),"")</f>
        <v>1</v>
      </c>
      <c r="G1246" s="34">
        <v>64</v>
      </c>
      <c r="H1246" s="34"/>
      <c r="I1246" s="34" t="s">
        <v>1358</v>
      </c>
      <c r="J1246" s="48"/>
      <c r="K1246" s="48"/>
      <c r="L1246" s="48"/>
      <c r="M1246" s="48"/>
      <c r="N1246" s="59"/>
      <c r="O1246" s="59">
        <v>62500</v>
      </c>
      <c r="P1246" s="59"/>
      <c r="Q1246" s="268">
        <f t="shared" si="59"/>
        <v>62500</v>
      </c>
      <c r="R1246" s="61">
        <f>IF(O1246=0,0,SUMIFS(Disbursements!$T:$T,Disbursements!$B:$B,'Live Collections'!D1246,Disbursements!$D:$D,'Live Collections'!F1246))</f>
        <v>63000</v>
      </c>
      <c r="S1246" s="304">
        <f>IF(O1246&lt;=IF($O1246=0,0,SUMIFS(Disbursements!$W:$W,Disbursements!$B:$B,'Live Collections'!D1027,Disbursements!$D:$D,'Live Collections'!F1027)),O1246,IF($O1246=0,0,SUMIFS(Disbursements!$W:$W,Disbursements!$B:$B,'Live Collections'!D1027,Disbursements!$D:$D,'Live Collections'!F1027)))</f>
        <v>0</v>
      </c>
      <c r="T1246" s="304">
        <f t="shared" si="60"/>
        <v>62500</v>
      </c>
      <c r="U1246" s="52"/>
      <c r="V1246" s="34"/>
      <c r="W1246" s="408"/>
    </row>
    <row r="1247" spans="1:23" ht="12.75" customHeight="1" x14ac:dyDescent="0.2">
      <c r="A1247" s="132">
        <v>1234</v>
      </c>
      <c r="B1247" s="44">
        <v>44480</v>
      </c>
      <c r="C1247" s="44">
        <f t="shared" si="58"/>
        <v>44480</v>
      </c>
      <c r="D1247" s="374">
        <v>92</v>
      </c>
      <c r="E1247" s="291" t="str">
        <f>IFERROR(VLOOKUP($D1247,'Clients-Live'!$A:$C,3,0),"")</f>
        <v>FAIDA ZAKIYA</v>
      </c>
      <c r="F1247" s="291">
        <f>IFERROR(INDEX(Disbursements!$D:$D,MATCH('Live Collections'!G1247,Disbursements!$C:$C,0)),"")</f>
        <v>1</v>
      </c>
      <c r="G1247" s="34">
        <v>74</v>
      </c>
      <c r="H1247" s="34"/>
      <c r="I1247" s="34" t="s">
        <v>1358</v>
      </c>
      <c r="J1247" s="48"/>
      <c r="K1247" s="48"/>
      <c r="L1247" s="48"/>
      <c r="M1247" s="48"/>
      <c r="N1247" s="59"/>
      <c r="O1247" s="59">
        <v>20000</v>
      </c>
      <c r="P1247" s="59"/>
      <c r="Q1247" s="268">
        <f t="shared" si="59"/>
        <v>20000</v>
      </c>
      <c r="R1247" s="61">
        <f>IF(O1247=0,0,SUMIFS(Disbursements!$T:$T,Disbursements!$B:$B,'Live Collections'!D1247,Disbursements!$D:$D,'Live Collections'!F1247))</f>
        <v>175000</v>
      </c>
      <c r="S1247" s="64">
        <v>10000</v>
      </c>
      <c r="T1247" s="304">
        <f t="shared" si="60"/>
        <v>10000</v>
      </c>
      <c r="U1247" s="52"/>
      <c r="V1247" s="34"/>
      <c r="W1247" s="408"/>
    </row>
    <row r="1248" spans="1:23" ht="12.75" customHeight="1" x14ac:dyDescent="0.2">
      <c r="A1248" s="257">
        <v>1228</v>
      </c>
      <c r="B1248" s="44">
        <v>44480</v>
      </c>
      <c r="C1248" s="44">
        <f t="shared" si="58"/>
        <v>44480</v>
      </c>
      <c r="D1248" s="374">
        <v>102</v>
      </c>
      <c r="E1248" s="291" t="str">
        <f>IFERROR(VLOOKUP($D1248,'Clients-Live'!$A:$C,3,0),"")</f>
        <v>BATALI GODFREY JOHN</v>
      </c>
      <c r="F1248" s="291">
        <f>IFERROR(INDEX(Disbursements!$D:$D,MATCH('Live Collections'!G1248,Disbursements!$C:$C,0)),"")</f>
        <v>1</v>
      </c>
      <c r="G1248" s="34">
        <v>102</v>
      </c>
      <c r="H1248" s="34"/>
      <c r="I1248" s="34" t="s">
        <v>1357</v>
      </c>
      <c r="J1248" s="48"/>
      <c r="K1248" s="48"/>
      <c r="L1248" s="48"/>
      <c r="M1248" s="48"/>
      <c r="N1248" s="59"/>
      <c r="O1248" s="59">
        <v>84000</v>
      </c>
      <c r="P1248" s="59"/>
      <c r="Q1248" s="268">
        <f t="shared" si="59"/>
        <v>84000</v>
      </c>
      <c r="R1248" s="61">
        <f>IF(O1248=0,0,SUMIFS(Disbursements!$T:$T,Disbursements!$B:$B,'Live Collections'!D1248,Disbursements!$D:$D,'Live Collections'!F1248))</f>
        <v>77000</v>
      </c>
      <c r="S1248" s="64">
        <v>14999.999999999985</v>
      </c>
      <c r="T1248" s="304">
        <f t="shared" si="60"/>
        <v>69000.000000000015</v>
      </c>
      <c r="U1248" s="52"/>
      <c r="V1248" s="34"/>
      <c r="W1248" s="408"/>
    </row>
    <row r="1249" spans="1:23" ht="12.75" customHeight="1" x14ac:dyDescent="0.2">
      <c r="A1249" s="132">
        <v>1240</v>
      </c>
      <c r="B1249" s="44">
        <v>44480</v>
      </c>
      <c r="C1249" s="44">
        <f t="shared" si="58"/>
        <v>44480</v>
      </c>
      <c r="D1249" s="374">
        <v>103</v>
      </c>
      <c r="E1249" s="291" t="str">
        <f>IFERROR(VLOOKUP($D1249,'Clients-Live'!$A:$C,3,0),"")</f>
        <v>CHANDIRU ZABIB</v>
      </c>
      <c r="F1249" s="291" t="str">
        <f>IFERROR(INDEX(Disbursements!$D:$D,MATCH('Live Collections'!G1249,Disbursements!$C:$C,0)),"")</f>
        <v/>
      </c>
      <c r="G1249" s="34"/>
      <c r="H1249" s="34"/>
      <c r="I1249" s="34" t="s">
        <v>1358</v>
      </c>
      <c r="J1249" s="48"/>
      <c r="K1249" s="48"/>
      <c r="L1249" s="48"/>
      <c r="M1249" s="48"/>
      <c r="N1249" s="59"/>
      <c r="O1249" s="59"/>
      <c r="P1249" s="59">
        <v>10000</v>
      </c>
      <c r="Q1249" s="268">
        <f t="shared" si="59"/>
        <v>10000</v>
      </c>
      <c r="R1249" s="61">
        <f>IF(O1249=0,0,SUMIFS(Disbursements!$T:$T,Disbursements!$B:$B,'Live Collections'!D1249,Disbursements!$D:$D,'Live Collections'!F1249))</f>
        <v>0</v>
      </c>
      <c r="S1249" s="304">
        <f>IF(O1249&lt;=IF($O1249=0,0,SUMIFS(Disbursements!$W:$W,Disbursements!$B:$B,'Live Collections'!D1329,Disbursements!$D:$D,'Live Collections'!F1329)),O1249,IF($O1249=0,0,SUMIFS(Disbursements!$W:$W,Disbursements!$B:$B,'Live Collections'!D1329,Disbursements!$D:$D,'Live Collections'!F1329)))</f>
        <v>0</v>
      </c>
      <c r="T1249" s="304">
        <f t="shared" si="60"/>
        <v>0</v>
      </c>
      <c r="U1249" s="52"/>
      <c r="V1249" s="34"/>
      <c r="W1249" s="408"/>
    </row>
    <row r="1250" spans="1:23" ht="12.75" customHeight="1" x14ac:dyDescent="0.2">
      <c r="A1250" s="257">
        <v>1231</v>
      </c>
      <c r="B1250" s="44">
        <v>44480</v>
      </c>
      <c r="C1250" s="44">
        <f t="shared" si="58"/>
        <v>44480</v>
      </c>
      <c r="D1250" s="374">
        <v>113</v>
      </c>
      <c r="E1250" s="291" t="str">
        <f>IFERROR(VLOOKUP($D1250,'Clients-Live'!$A:$C,3,0),"")</f>
        <v>ATIKU AMULE ISAAC</v>
      </c>
      <c r="F1250" s="291">
        <f>IFERROR(INDEX(Disbursements!$D:$D,MATCH('Live Collections'!G1250,Disbursements!$C:$C,0)),"")</f>
        <v>1</v>
      </c>
      <c r="G1250" s="34">
        <v>92</v>
      </c>
      <c r="H1250" s="34"/>
      <c r="I1250" s="34" t="s">
        <v>1358</v>
      </c>
      <c r="J1250" s="48"/>
      <c r="K1250" s="48"/>
      <c r="L1250" s="48"/>
      <c r="M1250" s="48"/>
      <c r="N1250" s="59"/>
      <c r="O1250" s="59">
        <v>100000</v>
      </c>
      <c r="P1250" s="59"/>
      <c r="Q1250" s="268">
        <f t="shared" si="59"/>
        <v>100000</v>
      </c>
      <c r="R1250" s="61">
        <f>IF(O1250=0,0,SUMIFS(Disbursements!$T:$T,Disbursements!$B:$B,'Live Collections'!D1250,Disbursements!$D:$D,'Live Collections'!F1250))</f>
        <v>150000</v>
      </c>
      <c r="S1250" s="64">
        <v>14666.666666666657</v>
      </c>
      <c r="T1250" s="304">
        <f t="shared" si="60"/>
        <v>85333.333333333343</v>
      </c>
      <c r="U1250" s="52"/>
      <c r="V1250" s="34"/>
      <c r="W1250" s="408"/>
    </row>
    <row r="1251" spans="1:23" ht="12.75" customHeight="1" x14ac:dyDescent="0.2">
      <c r="A1251" s="132">
        <v>1245</v>
      </c>
      <c r="B1251" s="44">
        <v>44480</v>
      </c>
      <c r="C1251" s="44">
        <f t="shared" si="58"/>
        <v>44480</v>
      </c>
      <c r="D1251" s="374">
        <v>113</v>
      </c>
      <c r="E1251" s="291" t="str">
        <f>IFERROR(VLOOKUP($D1251,'Clients-Live'!$A:$C,3,0),"")</f>
        <v>ATIKU AMULE ISAAC</v>
      </c>
      <c r="F1251" s="291">
        <f>IFERROR(INDEX(Disbursements!$D:$D,MATCH('Live Collections'!G1251,Disbursements!$C:$C,0)),"")</f>
        <v>2</v>
      </c>
      <c r="G1251" s="34">
        <v>263</v>
      </c>
      <c r="H1251" s="34"/>
      <c r="I1251" s="34" t="s">
        <v>1358</v>
      </c>
      <c r="J1251" s="48"/>
      <c r="K1251" s="48"/>
      <c r="L1251" s="48"/>
      <c r="M1251" s="48"/>
      <c r="N1251" s="59"/>
      <c r="O1251" s="59"/>
      <c r="P1251" s="59">
        <v>40000</v>
      </c>
      <c r="Q1251" s="268">
        <f t="shared" si="59"/>
        <v>40000</v>
      </c>
      <c r="R1251" s="61">
        <f>IF(O1251=0,0,SUMIFS(Disbursements!$T:$T,Disbursements!$B:$B,'Live Collections'!D1251,Disbursements!$D:$D,'Live Collections'!F1251))</f>
        <v>0</v>
      </c>
      <c r="S1251" s="304">
        <f>IF(O1251&lt;=IF($O1251=0,0,SUMIFS(Disbursements!$W:$W,Disbursements!$B:$B,'Live Collections'!D1444,Disbursements!$D:$D,'Live Collections'!F1444)),O1251,IF($O1251=0,0,SUMIFS(Disbursements!$W:$W,Disbursements!$B:$B,'Live Collections'!D1444,Disbursements!$D:$D,'Live Collections'!F1444)))</f>
        <v>0</v>
      </c>
      <c r="T1251" s="304">
        <f t="shared" si="60"/>
        <v>0</v>
      </c>
      <c r="U1251" s="52"/>
      <c r="V1251" s="34"/>
      <c r="W1251" s="408"/>
    </row>
    <row r="1252" spans="1:23" ht="12.75" customHeight="1" x14ac:dyDescent="0.2">
      <c r="A1252" s="257">
        <v>1247</v>
      </c>
      <c r="B1252" s="44">
        <v>44480</v>
      </c>
      <c r="C1252" s="44">
        <f t="shared" si="58"/>
        <v>44480</v>
      </c>
      <c r="D1252" s="374">
        <v>113</v>
      </c>
      <c r="E1252" s="291" t="str">
        <f>IFERROR(VLOOKUP($D1252,'Clients-Live'!$A:$C,3,0),"")</f>
        <v>ATIKU AMULE ISAAC</v>
      </c>
      <c r="F1252" s="291">
        <f>IFERROR(INDEX(Disbursements!$D:$D,MATCH('Live Collections'!G1252,Disbursements!$C:$C,0)),"")</f>
        <v>2</v>
      </c>
      <c r="G1252" s="34">
        <v>263</v>
      </c>
      <c r="H1252" s="34"/>
      <c r="I1252" s="34" t="s">
        <v>1358</v>
      </c>
      <c r="J1252" s="48"/>
      <c r="K1252" s="48"/>
      <c r="L1252" s="48">
        <v>15000</v>
      </c>
      <c r="M1252" s="48">
        <v>5000</v>
      </c>
      <c r="N1252" s="59"/>
      <c r="O1252" s="59"/>
      <c r="P1252" s="59">
        <v>30000</v>
      </c>
      <c r="Q1252" s="268">
        <f t="shared" si="59"/>
        <v>50000</v>
      </c>
      <c r="R1252" s="61">
        <f>IF(O1252=0,0,SUMIFS(Disbursements!$T:$T,Disbursements!$B:$B,'Live Collections'!D1252,Disbursements!$D:$D,'Live Collections'!F1252))</f>
        <v>0</v>
      </c>
      <c r="S1252" s="304">
        <f>IF(O1252&lt;=IF($O1252=0,0,SUMIFS(Disbursements!$W:$W,Disbursements!$B:$B,'Live Collections'!D1445,Disbursements!$D:$D,'Live Collections'!F1445)),O1252,IF($O1252=0,0,SUMIFS(Disbursements!$W:$W,Disbursements!$B:$B,'Live Collections'!D1445,Disbursements!$D:$D,'Live Collections'!F1445)))</f>
        <v>0</v>
      </c>
      <c r="T1252" s="304">
        <f t="shared" si="60"/>
        <v>0</v>
      </c>
      <c r="U1252" s="52"/>
      <c r="V1252" s="34"/>
      <c r="W1252" s="408"/>
    </row>
    <row r="1253" spans="1:23" ht="12.75" customHeight="1" x14ac:dyDescent="0.2">
      <c r="A1253" s="132">
        <v>1237</v>
      </c>
      <c r="B1253" s="44">
        <v>44480</v>
      </c>
      <c r="C1253" s="44">
        <f t="shared" si="58"/>
        <v>44480</v>
      </c>
      <c r="D1253" s="374">
        <v>117</v>
      </c>
      <c r="E1253" s="291" t="str">
        <f>IFERROR(VLOOKUP($D1253,'Clients-Live'!$A:$C,3,0),"")</f>
        <v>MAWA JACKSON</v>
      </c>
      <c r="F1253" s="291">
        <f>IFERROR(INDEX(Disbursements!$D:$D,MATCH('Live Collections'!G1253,Disbursements!$C:$C,0)),"")</f>
        <v>1</v>
      </c>
      <c r="G1253" s="34">
        <v>99</v>
      </c>
      <c r="H1253" s="34"/>
      <c r="I1253" s="34" t="s">
        <v>1358</v>
      </c>
      <c r="J1253" s="48"/>
      <c r="K1253" s="48"/>
      <c r="L1253" s="48"/>
      <c r="M1253" s="48"/>
      <c r="N1253" s="59"/>
      <c r="O1253" s="59">
        <v>153000</v>
      </c>
      <c r="P1253" s="59"/>
      <c r="Q1253" s="268">
        <f t="shared" si="59"/>
        <v>153000</v>
      </c>
      <c r="R1253" s="61">
        <f>IF(O1253=0,0,SUMIFS(Disbursements!$T:$T,Disbursements!$B:$B,'Live Collections'!D1253,Disbursements!$D:$D,'Live Collections'!F1253))</f>
        <v>152000</v>
      </c>
      <c r="S1253" s="304">
        <f>IF(O1253&lt;=IF($O1253=0,0,SUMIFS(Disbursements!$W:$W,Disbursements!$B:$B,'Live Collections'!D1522,Disbursements!$D:$D,'Live Collections'!F1522)),O1253,IF($O1253=0,0,SUMIFS(Disbursements!$W:$W,Disbursements!$B:$B,'Live Collections'!D1522,Disbursements!$D:$D,'Live Collections'!F1522)))</f>
        <v>20000</v>
      </c>
      <c r="T1253" s="304">
        <f t="shared" si="60"/>
        <v>133000</v>
      </c>
      <c r="U1253" s="52"/>
      <c r="V1253" s="34"/>
      <c r="W1253" s="408"/>
    </row>
    <row r="1254" spans="1:23" ht="12.75" customHeight="1" x14ac:dyDescent="0.2">
      <c r="A1254" s="257">
        <v>1229</v>
      </c>
      <c r="B1254" s="44">
        <v>44480</v>
      </c>
      <c r="C1254" s="44">
        <f t="shared" si="58"/>
        <v>44480</v>
      </c>
      <c r="D1254" s="374">
        <v>130</v>
      </c>
      <c r="E1254" s="291" t="str">
        <f>IFERROR(VLOOKUP($D1254,'Clients-Live'!$A:$C,3,0),"")</f>
        <v>AYILE JOHN MAX</v>
      </c>
      <c r="F1254" s="291">
        <f>IFERROR(INDEX(Disbursements!$D:$D,MATCH('Live Collections'!G1254,Disbursements!$C:$C,0)),"")</f>
        <v>1</v>
      </c>
      <c r="G1254" s="34">
        <v>114</v>
      </c>
      <c r="H1254" s="34"/>
      <c r="I1254" s="34" t="s">
        <v>1357</v>
      </c>
      <c r="J1254" s="48"/>
      <c r="K1254" s="48"/>
      <c r="L1254" s="48"/>
      <c r="M1254" s="48"/>
      <c r="N1254" s="59"/>
      <c r="O1254" s="59">
        <v>200000</v>
      </c>
      <c r="P1254" s="59"/>
      <c r="Q1254" s="268">
        <f t="shared" si="59"/>
        <v>200000</v>
      </c>
      <c r="R1254" s="61">
        <f>IF(O1254=0,0,SUMIFS(Disbursements!$T:$T,Disbursements!$B:$B,'Live Collections'!D1254,Disbursements!$D:$D,'Live Collections'!F1254))</f>
        <v>805000</v>
      </c>
      <c r="S1254" s="304">
        <f>IF(O1254&lt;=IF($O1254=0,0,SUMIFS(Disbursements!$W:$W,Disbursements!$B:$B,'Live Collections'!D1648,Disbursements!$D:$D,'Live Collections'!F1648)),O1254,IF($O1254=0,0,SUMIFS(Disbursements!$W:$W,Disbursements!$B:$B,'Live Collections'!D1648,Disbursements!$D:$D,'Live Collections'!F1648)))</f>
        <v>15000</v>
      </c>
      <c r="T1254" s="304">
        <f t="shared" si="60"/>
        <v>185000</v>
      </c>
      <c r="U1254" s="52"/>
      <c r="V1254" s="34"/>
      <c r="W1254" s="408"/>
    </row>
    <row r="1255" spans="1:23" ht="12.75" customHeight="1" x14ac:dyDescent="0.2">
      <c r="A1255" s="132">
        <v>1239</v>
      </c>
      <c r="B1255" s="44">
        <v>44480</v>
      </c>
      <c r="C1255" s="44">
        <f t="shared" si="58"/>
        <v>44480</v>
      </c>
      <c r="D1255" s="374">
        <v>130</v>
      </c>
      <c r="E1255" s="291" t="str">
        <f>IFERROR(VLOOKUP($D1255,'Clients-Live'!$A:$C,3,0),"")</f>
        <v>AYILE JOHN MAX</v>
      </c>
      <c r="F1255" s="291">
        <f>IFERROR(INDEX(Disbursements!$D:$D,MATCH('Live Collections'!G1255,Disbursements!$C:$C,0)),"")</f>
        <v>1</v>
      </c>
      <c r="G1255" s="34">
        <v>114</v>
      </c>
      <c r="H1255" s="34"/>
      <c r="I1255" s="34" t="s">
        <v>1357</v>
      </c>
      <c r="J1255" s="48"/>
      <c r="K1255" s="48"/>
      <c r="L1255" s="48"/>
      <c r="M1255" s="48"/>
      <c r="N1255" s="59"/>
      <c r="O1255" s="59">
        <v>350000</v>
      </c>
      <c r="P1255" s="59"/>
      <c r="Q1255" s="268">
        <f t="shared" si="59"/>
        <v>350000</v>
      </c>
      <c r="R1255" s="61">
        <f>IF(O1255=0,0,SUMIFS(Disbursements!$T:$T,Disbursements!$B:$B,'Live Collections'!D1255,Disbursements!$D:$D,'Live Collections'!F1255))</f>
        <v>805000</v>
      </c>
      <c r="S1255" s="304">
        <f>IF(O1255&lt;=IF($O1255=0,0,SUMIFS(Disbursements!$W:$W,Disbursements!$B:$B,'Live Collections'!D1649,Disbursements!$D:$D,'Live Collections'!F1649)),O1255,IF($O1255=0,0,SUMIFS(Disbursements!$W:$W,Disbursements!$B:$B,'Live Collections'!D1649,Disbursements!$D:$D,'Live Collections'!F1649)))</f>
        <v>15000</v>
      </c>
      <c r="T1255" s="304">
        <f t="shared" si="60"/>
        <v>335000</v>
      </c>
      <c r="U1255" s="52"/>
      <c r="V1255" s="34"/>
      <c r="W1255" s="408"/>
    </row>
    <row r="1256" spans="1:23" ht="12.75" customHeight="1" x14ac:dyDescent="0.2">
      <c r="A1256" s="257">
        <v>1233</v>
      </c>
      <c r="B1256" s="44">
        <v>44480</v>
      </c>
      <c r="C1256" s="44">
        <f t="shared" si="58"/>
        <v>44480</v>
      </c>
      <c r="D1256" s="374">
        <v>152</v>
      </c>
      <c r="E1256" s="291" t="str">
        <f>IFERROR(VLOOKUP($D1256,'Clients-Live'!$A:$C,3,0),"")</f>
        <v>ASE ZAINABU</v>
      </c>
      <c r="F1256" s="291">
        <f>IFERROR(INDEX(Disbursements!$D:$D,MATCH('Live Collections'!G1256,Disbursements!$C:$C,0)),"")</f>
        <v>1</v>
      </c>
      <c r="G1256" s="34">
        <v>136</v>
      </c>
      <c r="H1256" s="34">
        <v>61</v>
      </c>
      <c r="I1256" s="34" t="s">
        <v>1358</v>
      </c>
      <c r="J1256" s="48"/>
      <c r="K1256" s="48"/>
      <c r="L1256" s="48"/>
      <c r="M1256" s="48"/>
      <c r="N1256" s="59"/>
      <c r="O1256" s="59">
        <v>50000</v>
      </c>
      <c r="P1256" s="59"/>
      <c r="Q1256" s="268">
        <f t="shared" si="59"/>
        <v>50000</v>
      </c>
      <c r="R1256" s="61">
        <f>IF(O1256=0,0,SUMIFS(Disbursements!$T:$T,Disbursements!$B:$B,'Live Collections'!D1256,Disbursements!$D:$D,'Live Collections'!F1256))</f>
        <v>175000</v>
      </c>
      <c r="S1256" s="304">
        <f>IF(O1256&lt;=IF($O1256=0,0,SUMIFS(Disbursements!$W:$W,Disbursements!$B:$B,'Live Collections'!D1912,Disbursements!$D:$D,'Live Collections'!F1912)),O1256,IF($O1256=0,0,SUMIFS(Disbursements!$W:$W,Disbursements!$B:$B,'Live Collections'!D1912,Disbursements!$D:$D,'Live Collections'!F1912)))</f>
        <v>35000</v>
      </c>
      <c r="T1256" s="304">
        <f t="shared" si="60"/>
        <v>15000</v>
      </c>
      <c r="U1256" s="52"/>
      <c r="V1256" s="34"/>
      <c r="W1256" s="408"/>
    </row>
    <row r="1257" spans="1:23" ht="12.75" customHeight="1" x14ac:dyDescent="0.2">
      <c r="A1257" s="132">
        <v>1224</v>
      </c>
      <c r="B1257" s="44">
        <v>44480</v>
      </c>
      <c r="C1257" s="44">
        <f t="shared" si="58"/>
        <v>44480</v>
      </c>
      <c r="D1257" s="374">
        <v>156</v>
      </c>
      <c r="E1257" s="291" t="str">
        <f>IFERROR(VLOOKUP($D1257,'Clients-Live'!$A:$C,3,0),"")</f>
        <v xml:space="preserve">ONIBA AISHA </v>
      </c>
      <c r="F1257" s="291">
        <f>IFERROR(INDEX(Disbursements!$D:$D,MATCH('Live Collections'!G1257,Disbursements!$C:$C,0)),"")</f>
        <v>2</v>
      </c>
      <c r="G1257" s="34">
        <v>216</v>
      </c>
      <c r="H1257" s="34">
        <v>18</v>
      </c>
      <c r="I1257" s="34" t="s">
        <v>1358</v>
      </c>
      <c r="J1257" s="48"/>
      <c r="K1257" s="48"/>
      <c r="L1257" s="48"/>
      <c r="M1257" s="48"/>
      <c r="N1257" s="59"/>
      <c r="O1257" s="59">
        <v>200000</v>
      </c>
      <c r="P1257" s="59"/>
      <c r="Q1257" s="268">
        <f t="shared" si="59"/>
        <v>200000</v>
      </c>
      <c r="R1257" s="61">
        <f>IF(O1257=0,0,SUMIFS(Disbursements!$T:$T,Disbursements!$B:$B,'Live Collections'!D1257,Disbursements!$D:$D,'Live Collections'!F1257))</f>
        <v>200000</v>
      </c>
      <c r="S1257" s="304">
        <f>IF(O1257&lt;=IF($O1257=0,0,SUMIFS(Disbursements!$W:$W,Disbursements!$B:$B,'Live Collections'!D1949,Disbursements!$D:$D,'Live Collections'!F1949)),O1257,IF($O1257=0,0,SUMIFS(Disbursements!$W:$W,Disbursements!$B:$B,'Live Collections'!D1949,Disbursements!$D:$D,'Live Collections'!F1949)))</f>
        <v>15000</v>
      </c>
      <c r="T1257" s="304">
        <f t="shared" si="60"/>
        <v>185000</v>
      </c>
      <c r="U1257" s="52"/>
      <c r="V1257" s="34"/>
      <c r="W1257" s="408"/>
    </row>
    <row r="1258" spans="1:23" ht="12.75" customHeight="1" x14ac:dyDescent="0.2">
      <c r="A1258" s="257">
        <v>1227</v>
      </c>
      <c r="B1258" s="44">
        <v>44480</v>
      </c>
      <c r="C1258" s="44">
        <f t="shared" si="58"/>
        <v>44480</v>
      </c>
      <c r="D1258" s="374">
        <v>169</v>
      </c>
      <c r="E1258" s="291" t="str">
        <f>IFERROR(VLOOKUP($D1258,'Clients-Live'!$A:$C,3,0),"")</f>
        <v>KATO KENNEDY</v>
      </c>
      <c r="F1258" s="291">
        <f>IFERROR(INDEX(Disbursements!$D:$D,MATCH('Live Collections'!G1258,Disbursements!$C:$C,0)),"")</f>
        <v>1</v>
      </c>
      <c r="G1258" s="34">
        <v>176</v>
      </c>
      <c r="H1258" s="34"/>
      <c r="I1258" s="34" t="s">
        <v>1357</v>
      </c>
      <c r="J1258" s="48"/>
      <c r="K1258" s="48"/>
      <c r="L1258" s="48"/>
      <c r="M1258" s="48"/>
      <c r="N1258" s="59"/>
      <c r="O1258" s="59">
        <v>110000</v>
      </c>
      <c r="P1258" s="59"/>
      <c r="Q1258" s="268">
        <f t="shared" si="59"/>
        <v>110000</v>
      </c>
      <c r="R1258" s="61">
        <f>IF(O1258=0,0,SUMIFS(Disbursements!$T:$T,Disbursements!$B:$B,'Live Collections'!D1258,Disbursements!$D:$D,'Live Collections'!F1258))</f>
        <v>109000</v>
      </c>
      <c r="S1258" s="304">
        <f>IF(O1258&lt;=IF($O1258=0,0,SUMIFS(Disbursements!$W:$W,Disbursements!$B:$B,'Live Collections'!D2085,Disbursements!$D:$D,'Live Collections'!F2085)),O1258,IF($O1258=0,0,SUMIFS(Disbursements!$W:$W,Disbursements!$B:$B,'Live Collections'!D2085,Disbursements!$D:$D,'Live Collections'!F2085)))</f>
        <v>23000</v>
      </c>
      <c r="T1258" s="304">
        <f t="shared" si="60"/>
        <v>87000</v>
      </c>
      <c r="U1258" s="52"/>
      <c r="V1258" s="34"/>
      <c r="W1258" s="408"/>
    </row>
    <row r="1259" spans="1:23" ht="12.75" customHeight="1" x14ac:dyDescent="0.2">
      <c r="A1259" s="132">
        <v>1225</v>
      </c>
      <c r="B1259" s="44">
        <v>44480</v>
      </c>
      <c r="C1259" s="44">
        <f t="shared" si="58"/>
        <v>44480</v>
      </c>
      <c r="D1259" s="374">
        <v>179</v>
      </c>
      <c r="E1259" s="291" t="str">
        <f>IFERROR(VLOOKUP($D1259,'Clients-Live'!$A:$C,3,0),"")</f>
        <v>GERIA VIOLA</v>
      </c>
      <c r="F1259" s="291">
        <f>IFERROR(INDEX(Disbursements!$D:$D,MATCH('Live Collections'!G1259,Disbursements!$C:$C,0)),"")</f>
        <v>1</v>
      </c>
      <c r="G1259" s="34">
        <v>167</v>
      </c>
      <c r="H1259" s="34"/>
      <c r="I1259" s="34" t="s">
        <v>1359</v>
      </c>
      <c r="J1259" s="48"/>
      <c r="K1259" s="48"/>
      <c r="L1259" s="48"/>
      <c r="M1259" s="48"/>
      <c r="N1259" s="59"/>
      <c r="O1259" s="59">
        <v>90000</v>
      </c>
      <c r="P1259" s="59"/>
      <c r="Q1259" s="268">
        <f t="shared" si="59"/>
        <v>90000</v>
      </c>
      <c r="R1259" s="61">
        <f>IF(O1259=0,0,SUMIFS(Disbursements!$T:$T,Disbursements!$B:$B,'Live Collections'!D1259,Disbursements!$D:$D,'Live Collections'!F1259))</f>
        <v>115000</v>
      </c>
      <c r="S1259" s="64">
        <v>4333.3333333333285</v>
      </c>
      <c r="T1259" s="304">
        <f t="shared" si="60"/>
        <v>85666.666666666672</v>
      </c>
      <c r="U1259" s="52"/>
      <c r="V1259" s="34"/>
      <c r="W1259" s="408"/>
    </row>
    <row r="1260" spans="1:23" ht="12.75" customHeight="1" x14ac:dyDescent="0.2">
      <c r="A1260" s="257">
        <v>1230</v>
      </c>
      <c r="B1260" s="44">
        <v>44480</v>
      </c>
      <c r="C1260" s="44">
        <f t="shared" si="58"/>
        <v>44480</v>
      </c>
      <c r="D1260" s="374">
        <v>191</v>
      </c>
      <c r="E1260" s="291" t="str">
        <f>IFERROR(VLOOKUP($D1260,'Clients-Live'!$A:$C,3,0),"")</f>
        <v>AYOZU JESCA TAIBO</v>
      </c>
      <c r="F1260" s="291">
        <f>IFERROR(INDEX(Disbursements!$D:$D,MATCH('Live Collections'!G1260,Disbursements!$C:$C,0)),"")</f>
        <v>1</v>
      </c>
      <c r="G1260" s="34">
        <v>210</v>
      </c>
      <c r="H1260" s="34"/>
      <c r="I1260" s="34" t="s">
        <v>1357</v>
      </c>
      <c r="J1260" s="48"/>
      <c r="K1260" s="48"/>
      <c r="L1260" s="48"/>
      <c r="M1260" s="48"/>
      <c r="N1260" s="59"/>
      <c r="O1260" s="59">
        <v>153000</v>
      </c>
      <c r="P1260" s="59"/>
      <c r="Q1260" s="268">
        <f t="shared" si="59"/>
        <v>153000</v>
      </c>
      <c r="R1260" s="61">
        <f>IF(O1260=0,0,SUMIFS(Disbursements!$T:$T,Disbursements!$B:$B,'Live Collections'!D1260,Disbursements!$D:$D,'Live Collections'!F1260))</f>
        <v>154000</v>
      </c>
      <c r="S1260" s="304">
        <f>IF(O1260&lt;=IF($O1260=0,0,SUMIFS(Disbursements!$W:$W,Disbursements!$B:$B,'Live Collections'!D2320,Disbursements!$D:$D,'Live Collections'!F2320)),O1260,IF($O1260=0,0,SUMIFS(Disbursements!$W:$W,Disbursements!$B:$B,'Live Collections'!D2320,Disbursements!$D:$D,'Live Collections'!F2320)))</f>
        <v>50000</v>
      </c>
      <c r="T1260" s="304">
        <f t="shared" si="60"/>
        <v>103000</v>
      </c>
      <c r="U1260" s="52"/>
      <c r="V1260" s="34"/>
      <c r="W1260" s="408"/>
    </row>
    <row r="1261" spans="1:23" ht="12.75" customHeight="1" x14ac:dyDescent="0.2">
      <c r="A1261" s="132">
        <v>1223</v>
      </c>
      <c r="B1261" s="44">
        <v>44480</v>
      </c>
      <c r="C1261" s="44">
        <f t="shared" si="58"/>
        <v>44480</v>
      </c>
      <c r="D1261" s="374">
        <v>209</v>
      </c>
      <c r="E1261" s="291" t="str">
        <f>IFERROR(VLOOKUP($D1261,'Clients-Live'!$A:$C,3,0),"")</f>
        <v>ADUI ISMAIL</v>
      </c>
      <c r="F1261" s="291">
        <f>IFERROR(INDEX(Disbursements!$D:$D,MATCH('Live Collections'!G1261,Disbursements!$C:$C,0)),"")</f>
        <v>1</v>
      </c>
      <c r="G1261" s="34">
        <v>209</v>
      </c>
      <c r="H1261" s="34"/>
      <c r="I1261" s="34" t="s">
        <v>1357</v>
      </c>
      <c r="J1261" s="48"/>
      <c r="K1261" s="48"/>
      <c r="L1261" s="48"/>
      <c r="M1261" s="48"/>
      <c r="N1261" s="59"/>
      <c r="O1261" s="59">
        <v>80000</v>
      </c>
      <c r="P1261" s="59"/>
      <c r="Q1261" s="268">
        <f t="shared" si="59"/>
        <v>80000</v>
      </c>
      <c r="R1261" s="61">
        <f>IF(O1261=0,0,SUMIFS(Disbursements!$T:$T,Disbursements!$B:$B,'Live Collections'!D1261,Disbursements!$D:$D,'Live Collections'!F1261))</f>
        <v>180000</v>
      </c>
      <c r="S1261" s="304">
        <f>IF(O1261&lt;=IF($O1261=0,0,SUMIFS(Disbursements!$W:$W,Disbursements!$B:$B,'Live Collections'!D2469,Disbursements!$D:$D,'Live Collections'!F2469)),O1261,IF($O1261=0,0,SUMIFS(Disbursements!$W:$W,Disbursements!$B:$B,'Live Collections'!D2469,Disbursements!$D:$D,'Live Collections'!F2469)))</f>
        <v>30000</v>
      </c>
      <c r="T1261" s="304">
        <f t="shared" si="60"/>
        <v>50000</v>
      </c>
      <c r="U1261" s="52"/>
      <c r="V1261" s="34"/>
      <c r="W1261" s="408"/>
    </row>
    <row r="1262" spans="1:23" ht="12.75" customHeight="1" x14ac:dyDescent="0.2">
      <c r="A1262" s="257">
        <v>1236</v>
      </c>
      <c r="B1262" s="44">
        <v>44480</v>
      </c>
      <c r="C1262" s="44">
        <f t="shared" si="58"/>
        <v>44480</v>
      </c>
      <c r="D1262" s="374">
        <v>213</v>
      </c>
      <c r="E1262" s="291" t="str">
        <f>IFERROR(VLOOKUP($D1262,'Clients-Live'!$A:$C,3,0),"")</f>
        <v>ATIKURU NADIA</v>
      </c>
      <c r="F1262" s="291">
        <f>IFERROR(INDEX(Disbursements!$D:$D,MATCH('Live Collections'!G1262,Disbursements!$C:$C,0)),"")</f>
        <v>1</v>
      </c>
      <c r="G1262" s="34">
        <v>208</v>
      </c>
      <c r="H1262" s="34"/>
      <c r="I1262" s="34" t="s">
        <v>1358</v>
      </c>
      <c r="J1262" s="48"/>
      <c r="K1262" s="48"/>
      <c r="L1262" s="48"/>
      <c r="M1262" s="48"/>
      <c r="N1262" s="59"/>
      <c r="O1262" s="59">
        <v>130000</v>
      </c>
      <c r="P1262" s="59"/>
      <c r="Q1262" s="268">
        <f t="shared" si="59"/>
        <v>130000</v>
      </c>
      <c r="R1262" s="61">
        <f>IF(O1262=0,0,SUMIFS(Disbursements!$T:$T,Disbursements!$B:$B,'Live Collections'!D1262,Disbursements!$D:$D,'Live Collections'!F1262))</f>
        <v>150000</v>
      </c>
      <c r="S1262" s="304">
        <f>IF(O1262&lt;=IF($O1262=0,0,SUMIFS(Disbursements!$W:$W,Disbursements!$B:$B,'Live Collections'!D2512,Disbursements!$D:$D,'Live Collections'!F2512)),O1262,IF($O1262=0,0,SUMIFS(Disbursements!$W:$W,Disbursements!$B:$B,'Live Collections'!D2512,Disbursements!$D:$D,'Live Collections'!F2512)))</f>
        <v>75000</v>
      </c>
      <c r="T1262" s="304">
        <f t="shared" si="60"/>
        <v>55000</v>
      </c>
      <c r="U1262" s="52"/>
      <c r="V1262" s="34"/>
      <c r="W1262" s="408"/>
    </row>
    <row r="1263" spans="1:23" ht="12.75" customHeight="1" x14ac:dyDescent="0.2">
      <c r="A1263" s="132">
        <v>1238</v>
      </c>
      <c r="B1263" s="44">
        <v>44480</v>
      </c>
      <c r="C1263" s="44">
        <f t="shared" si="58"/>
        <v>44480</v>
      </c>
      <c r="D1263" s="374">
        <v>215</v>
      </c>
      <c r="E1263" s="291" t="str">
        <f>IFERROR(VLOOKUP($D1263,'Clients-Live'!$A:$C,3,0),"")</f>
        <v>BRANI MUSA</v>
      </c>
      <c r="F1263" s="291">
        <f>IFERROR(INDEX(Disbursements!$D:$D,MATCH('Live Collections'!G1263,Disbursements!$C:$C,0)),"")</f>
        <v>1</v>
      </c>
      <c r="G1263" s="34">
        <v>219</v>
      </c>
      <c r="H1263" s="34"/>
      <c r="I1263" s="34" t="s">
        <v>1357</v>
      </c>
      <c r="J1263" s="48"/>
      <c r="K1263" s="48"/>
      <c r="L1263" s="48"/>
      <c r="M1263" s="48"/>
      <c r="N1263" s="59"/>
      <c r="O1263" s="59">
        <v>110000</v>
      </c>
      <c r="P1263" s="59"/>
      <c r="Q1263" s="268">
        <f t="shared" si="59"/>
        <v>110000</v>
      </c>
      <c r="R1263" s="61">
        <f>IF(O1263=0,0,SUMIFS(Disbursements!$T:$T,Disbursements!$B:$B,'Live Collections'!D1263,Disbursements!$D:$D,'Live Collections'!F1263))</f>
        <v>368000</v>
      </c>
      <c r="S1263" s="304">
        <f>IF(O1263&lt;=IF($O1263=0,0,SUMIFS(Disbursements!$W:$W,Disbursements!$B:$B,'Live Collections'!D2528,Disbursements!$D:$D,'Live Collections'!F2528)),O1263,IF($O1263=0,0,SUMIFS(Disbursements!$W:$W,Disbursements!$B:$B,'Live Collections'!D2528,Disbursements!$D:$D,'Live Collections'!F2528)))</f>
        <v>9000</v>
      </c>
      <c r="T1263" s="304">
        <f t="shared" si="60"/>
        <v>101000</v>
      </c>
      <c r="U1263" s="52"/>
      <c r="V1263" s="34"/>
      <c r="W1263" s="408"/>
    </row>
    <row r="1264" spans="1:23" ht="12.75" customHeight="1" x14ac:dyDescent="0.2">
      <c r="A1264" s="257">
        <v>1246</v>
      </c>
      <c r="B1264" s="44">
        <v>44480</v>
      </c>
      <c r="C1264" s="44">
        <f t="shared" si="58"/>
        <v>44480</v>
      </c>
      <c r="D1264" s="374">
        <v>244</v>
      </c>
      <c r="E1264" s="291" t="str">
        <f>IFERROR(VLOOKUP($D1264,'Clients-Live'!$A:$C,3,0),"")</f>
        <v>GISMA HAMID ALI</v>
      </c>
      <c r="F1264" s="291" t="str">
        <f>IFERROR(INDEX(Disbursements!$D:$D,MATCH('Live Collections'!G1264,Disbursements!$C:$C,0)),"")</f>
        <v/>
      </c>
      <c r="G1264" s="34"/>
      <c r="H1264" s="34"/>
      <c r="I1264" s="34" t="s">
        <v>1357</v>
      </c>
      <c r="J1264" s="48">
        <v>15000</v>
      </c>
      <c r="K1264" s="48">
        <v>5000</v>
      </c>
      <c r="L1264" s="48">
        <v>10000</v>
      </c>
      <c r="M1264" s="48">
        <v>5000</v>
      </c>
      <c r="N1264" s="59"/>
      <c r="O1264" s="59"/>
      <c r="P1264" s="59"/>
      <c r="Q1264" s="268">
        <f t="shared" si="59"/>
        <v>35000</v>
      </c>
      <c r="R1264" s="61">
        <f>IF(O1264=0,0,SUMIFS(Disbursements!$T:$T,Disbursements!$B:$B,'Live Collections'!D1264,Disbursements!$D:$D,'Live Collections'!F1264))</f>
        <v>0</v>
      </c>
      <c r="S1264" s="304">
        <f>IF(O1264&lt;=IF($O1264=0,0,SUMIFS(Disbursements!$W:$W,Disbursements!$B:$B,'Live Collections'!D2772,Disbursements!$D:$D,'Live Collections'!F2772)),O1264,IF($O1264=0,0,SUMIFS(Disbursements!$W:$W,Disbursements!$B:$B,'Live Collections'!D2772,Disbursements!$D:$D,'Live Collections'!F2772)))</f>
        <v>0</v>
      </c>
      <c r="T1264" s="304">
        <f t="shared" si="60"/>
        <v>0</v>
      </c>
      <c r="U1264" s="52"/>
      <c r="V1264" s="34"/>
      <c r="W1264" s="408"/>
    </row>
    <row r="1265" spans="1:23" ht="12.75" customHeight="1" x14ac:dyDescent="0.2">
      <c r="A1265" s="132">
        <v>1243</v>
      </c>
      <c r="B1265" s="44">
        <v>44480</v>
      </c>
      <c r="C1265" s="44">
        <f t="shared" si="58"/>
        <v>44480</v>
      </c>
      <c r="D1265" s="374">
        <v>245</v>
      </c>
      <c r="E1265" s="291" t="str">
        <f>IFERROR(VLOOKUP($D1265,'Clients-Live'!$A:$C,3,0),"")</f>
        <v>ONJIMA BASHIR</v>
      </c>
      <c r="F1265" s="291" t="str">
        <f>IFERROR(INDEX(Disbursements!$D:$D,MATCH('Live Collections'!G1265,Disbursements!$C:$C,0)),"")</f>
        <v/>
      </c>
      <c r="G1265" s="34"/>
      <c r="H1265" s="34"/>
      <c r="I1265" s="34" t="s">
        <v>1358</v>
      </c>
      <c r="J1265" s="48"/>
      <c r="K1265" s="48"/>
      <c r="L1265" s="48"/>
      <c r="M1265" s="48"/>
      <c r="N1265" s="59"/>
      <c r="O1265" s="59"/>
      <c r="P1265" s="59">
        <v>130000</v>
      </c>
      <c r="Q1265" s="268">
        <f t="shared" si="59"/>
        <v>130000</v>
      </c>
      <c r="R1265" s="61">
        <f>IF(O1265=0,0,SUMIFS(Disbursements!$T:$T,Disbursements!$B:$B,'Live Collections'!D1265,Disbursements!$D:$D,'Live Collections'!F1265))</f>
        <v>0</v>
      </c>
      <c r="S1265" s="304">
        <f>IF(O1265&lt;=IF($O1265=0,0,SUMIFS(Disbursements!$W:$W,Disbursements!$B:$B,'Live Collections'!D2778,Disbursements!$D:$D,'Live Collections'!F2778)),O1265,IF($O1265=0,0,SUMIFS(Disbursements!$W:$W,Disbursements!$B:$B,'Live Collections'!D2778,Disbursements!$D:$D,'Live Collections'!F2778)))</f>
        <v>0</v>
      </c>
      <c r="T1265" s="304">
        <f t="shared" si="60"/>
        <v>0</v>
      </c>
      <c r="U1265" s="52"/>
      <c r="V1265" s="34"/>
      <c r="W1265" s="408"/>
    </row>
    <row r="1266" spans="1:23" ht="12.75" customHeight="1" x14ac:dyDescent="0.2">
      <c r="A1266" s="257">
        <v>1244</v>
      </c>
      <c r="B1266" s="44">
        <v>44480</v>
      </c>
      <c r="C1266" s="44">
        <f t="shared" si="58"/>
        <v>44480</v>
      </c>
      <c r="D1266" s="374">
        <v>245</v>
      </c>
      <c r="E1266" s="291" t="str">
        <f>IFERROR(VLOOKUP($D1266,'Clients-Live'!$A:$C,3,0),"")</f>
        <v>ONJIMA BASHIR</v>
      </c>
      <c r="F1266" s="291" t="str">
        <f>IFERROR(INDEX(Disbursements!$D:$D,MATCH('Live Collections'!G1266,Disbursements!$C:$C,0)),"")</f>
        <v/>
      </c>
      <c r="G1266" s="34"/>
      <c r="H1266" s="34"/>
      <c r="I1266" s="34" t="s">
        <v>1358</v>
      </c>
      <c r="J1266" s="48">
        <v>15000</v>
      </c>
      <c r="K1266" s="48">
        <v>5000</v>
      </c>
      <c r="L1266" s="48">
        <v>20000</v>
      </c>
      <c r="M1266" s="48">
        <v>5000</v>
      </c>
      <c r="N1266" s="59"/>
      <c r="O1266" s="59"/>
      <c r="P1266" s="59"/>
      <c r="Q1266" s="268">
        <f t="shared" si="59"/>
        <v>45000</v>
      </c>
      <c r="R1266" s="61">
        <f>IF(O1266=0,0,SUMIFS(Disbursements!$T:$T,Disbursements!$B:$B,'Live Collections'!D1266,Disbursements!$D:$D,'Live Collections'!F1266))</f>
        <v>0</v>
      </c>
      <c r="S1266" s="304">
        <f>IF(O1266&lt;=IF($O1266=0,0,SUMIFS(Disbursements!$W:$W,Disbursements!$B:$B,'Live Collections'!D2779,Disbursements!$D:$D,'Live Collections'!F2779)),O1266,IF($O1266=0,0,SUMIFS(Disbursements!$W:$W,Disbursements!$B:$B,'Live Collections'!D2779,Disbursements!$D:$D,'Live Collections'!F2779)))</f>
        <v>0</v>
      </c>
      <c r="T1266" s="304">
        <f t="shared" si="60"/>
        <v>0</v>
      </c>
      <c r="U1266" s="52"/>
      <c r="V1266" s="34"/>
      <c r="W1266" s="408"/>
    </row>
    <row r="1267" spans="1:23" ht="12.75" customHeight="1" x14ac:dyDescent="0.2">
      <c r="A1267" s="132">
        <v>1241</v>
      </c>
      <c r="B1267" s="44">
        <v>44480</v>
      </c>
      <c r="C1267" s="44">
        <f t="shared" si="58"/>
        <v>44480</v>
      </c>
      <c r="D1267" s="374">
        <v>246</v>
      </c>
      <c r="E1267" s="291" t="str">
        <f>IFERROR(VLOOKUP($D1267,'Clients-Live'!$A:$C,3,0),"")</f>
        <v>ALOMO ZAIDA</v>
      </c>
      <c r="F1267" s="291" t="str">
        <f>IFERROR(INDEX(Disbursements!$D:$D,MATCH('Live Collections'!G1267,Disbursements!$C:$C,0)),"")</f>
        <v/>
      </c>
      <c r="G1267" s="34"/>
      <c r="H1267" s="34"/>
      <c r="I1267" s="34" t="s">
        <v>1357</v>
      </c>
      <c r="J1267" s="48"/>
      <c r="K1267" s="48"/>
      <c r="L1267" s="48"/>
      <c r="M1267" s="48"/>
      <c r="N1267" s="59"/>
      <c r="O1267" s="59"/>
      <c r="P1267" s="59">
        <v>40000</v>
      </c>
      <c r="Q1267" s="268">
        <f t="shared" si="59"/>
        <v>40000</v>
      </c>
      <c r="R1267" s="61">
        <f>IF(O1267=0,0,SUMIFS(Disbursements!$T:$T,Disbursements!$B:$B,'Live Collections'!D1267,Disbursements!$D:$D,'Live Collections'!F1267))</f>
        <v>0</v>
      </c>
      <c r="S1267" s="304">
        <f>IF(O1267&lt;=IF($O1267=0,0,SUMIFS(Disbursements!$W:$W,Disbursements!$B:$B,'Live Collections'!D2785,Disbursements!$D:$D,'Live Collections'!F2785)),O1267,IF($O1267=0,0,SUMIFS(Disbursements!$W:$W,Disbursements!$B:$B,'Live Collections'!D2785,Disbursements!$D:$D,'Live Collections'!F2785)))</f>
        <v>0</v>
      </c>
      <c r="T1267" s="304">
        <f t="shared" si="60"/>
        <v>0</v>
      </c>
      <c r="U1267" s="52"/>
      <c r="V1267" s="34"/>
      <c r="W1267" s="408"/>
    </row>
    <row r="1268" spans="1:23" ht="12.75" customHeight="1" x14ac:dyDescent="0.2">
      <c r="A1268" s="257">
        <v>1242</v>
      </c>
      <c r="B1268" s="44">
        <v>44480</v>
      </c>
      <c r="C1268" s="44">
        <f t="shared" si="58"/>
        <v>44480</v>
      </c>
      <c r="D1268" s="374">
        <v>246</v>
      </c>
      <c r="E1268" s="291" t="str">
        <f>IFERROR(VLOOKUP($D1268,'Clients-Live'!$A:$C,3,0),"")</f>
        <v>ALOMO ZAIDA</v>
      </c>
      <c r="F1268" s="291" t="str">
        <f>IFERROR(INDEX(Disbursements!$D:$D,MATCH('Live Collections'!G1268,Disbursements!$C:$C,0)),"")</f>
        <v/>
      </c>
      <c r="G1268" s="34"/>
      <c r="H1268" s="34"/>
      <c r="I1268" s="34" t="s">
        <v>1357</v>
      </c>
      <c r="J1268" s="48">
        <v>15000</v>
      </c>
      <c r="K1268" s="48">
        <v>5000</v>
      </c>
      <c r="L1268" s="48">
        <v>10000</v>
      </c>
      <c r="M1268" s="48">
        <v>5000</v>
      </c>
      <c r="N1268" s="59"/>
      <c r="O1268" s="59"/>
      <c r="P1268" s="59"/>
      <c r="Q1268" s="268">
        <f t="shared" si="59"/>
        <v>35000</v>
      </c>
      <c r="R1268" s="61">
        <f>IF(O1268=0,0,SUMIFS(Disbursements!$T:$T,Disbursements!$B:$B,'Live Collections'!D1268,Disbursements!$D:$D,'Live Collections'!F1268))</f>
        <v>0</v>
      </c>
      <c r="S1268" s="304">
        <f>IF(O1268&lt;=IF($O1268=0,0,SUMIFS(Disbursements!$W:$W,Disbursements!$B:$B,'Live Collections'!D2786,Disbursements!$D:$D,'Live Collections'!F2786)),O1268,IF($O1268=0,0,SUMIFS(Disbursements!$W:$W,Disbursements!$B:$B,'Live Collections'!D2786,Disbursements!$D:$D,'Live Collections'!F2786)))</f>
        <v>0</v>
      </c>
      <c r="T1268" s="304">
        <f t="shared" si="60"/>
        <v>0</v>
      </c>
      <c r="U1268" s="52"/>
      <c r="V1268" s="34"/>
      <c r="W1268" s="408"/>
    </row>
    <row r="1269" spans="1:23" ht="12.75" customHeight="1" x14ac:dyDescent="0.2">
      <c r="A1269" s="132">
        <v>1259</v>
      </c>
      <c r="B1269" s="44">
        <v>44481</v>
      </c>
      <c r="C1269" s="44">
        <f t="shared" si="58"/>
        <v>44481</v>
      </c>
      <c r="D1269" s="374">
        <v>8</v>
      </c>
      <c r="E1269" s="291" t="str">
        <f>IFERROR(VLOOKUP($D1269,'Clients-Live'!$A:$C,3,0),"")</f>
        <v>ALEMI THOMAS</v>
      </c>
      <c r="F1269" s="291">
        <f>IFERROR(INDEX(Disbursements!$D:$D,MATCH('Live Collections'!G1269,Disbursements!$C:$C,0)),"")</f>
        <v>1</v>
      </c>
      <c r="G1269" s="34">
        <v>1</v>
      </c>
      <c r="H1269" s="34"/>
      <c r="I1269" s="34" t="s">
        <v>1359</v>
      </c>
      <c r="J1269" s="48"/>
      <c r="K1269" s="48"/>
      <c r="L1269" s="48"/>
      <c r="M1269" s="48"/>
      <c r="N1269" s="59"/>
      <c r="O1269" s="59">
        <v>65000</v>
      </c>
      <c r="P1269" s="59"/>
      <c r="Q1269" s="268">
        <f t="shared" si="59"/>
        <v>65000</v>
      </c>
      <c r="R1269" s="61">
        <f>IF(O1269=0,0,SUMIFS(Disbursements!$T:$T,Disbursements!$B:$B,'Live Collections'!D1269,Disbursements!$D:$D,'Live Collections'!F1269))</f>
        <v>65000</v>
      </c>
      <c r="S1269" s="304">
        <f>IF(O1269&lt;=IF($O1269=0,0,SUMIFS(Disbursements!$W:$W,Disbursements!$B:$B,'Live Collections'!D73,Disbursements!$D:$D,'Live Collections'!F73)),O1269,IF($O1269=0,0,SUMIFS(Disbursements!$W:$W,Disbursements!$B:$B,'Live Collections'!D73,Disbursements!$D:$D,'Live Collections'!F73)))</f>
        <v>0</v>
      </c>
      <c r="T1269" s="304">
        <f t="shared" si="60"/>
        <v>65000</v>
      </c>
      <c r="U1269" s="52"/>
      <c r="V1269" s="34"/>
      <c r="W1269" s="408"/>
    </row>
    <row r="1270" spans="1:23" ht="12.75" customHeight="1" x14ac:dyDescent="0.2">
      <c r="A1270" s="257">
        <v>1257</v>
      </c>
      <c r="B1270" s="44">
        <v>44481</v>
      </c>
      <c r="C1270" s="44">
        <f t="shared" si="58"/>
        <v>44481</v>
      </c>
      <c r="D1270" s="374">
        <v>19</v>
      </c>
      <c r="E1270" s="291" t="str">
        <f>IFERROR(VLOOKUP($D1270,'Clients-Live'!$A:$C,3,0),"")</f>
        <v>ANGUPARU MOLLY</v>
      </c>
      <c r="F1270" s="291">
        <f>IFERROR(INDEX(Disbursements!$D:$D,MATCH('Live Collections'!G1270,Disbursements!$C:$C,0)),"")</f>
        <v>2</v>
      </c>
      <c r="G1270" s="34">
        <v>152</v>
      </c>
      <c r="H1270" s="34"/>
      <c r="I1270" s="34" t="s">
        <v>1358</v>
      </c>
      <c r="J1270" s="48"/>
      <c r="K1270" s="48"/>
      <c r="L1270" s="48"/>
      <c r="M1270" s="48"/>
      <c r="N1270" s="59"/>
      <c r="O1270" s="59">
        <v>100000</v>
      </c>
      <c r="P1270" s="59"/>
      <c r="Q1270" s="268">
        <f t="shared" si="59"/>
        <v>100000</v>
      </c>
      <c r="R1270" s="61">
        <f>IF(O1270=0,0,SUMIFS(Disbursements!$T:$T,Disbursements!$B:$B,'Live Collections'!D1270,Disbursements!$D:$D,'Live Collections'!F1270))</f>
        <v>210000</v>
      </c>
      <c r="S1270" s="304">
        <f>IF(O1270&lt;=IF($O1270=0,0,SUMIFS(Disbursements!$W:$W,Disbursements!$B:$B,'Live Collections'!D240,Disbursements!$D:$D,'Live Collections'!F240)),O1270,IF($O1270=0,0,SUMIFS(Disbursements!$W:$W,Disbursements!$B:$B,'Live Collections'!D240,Disbursements!$D:$D,'Live Collections'!F240)))</f>
        <v>0</v>
      </c>
      <c r="T1270" s="304">
        <f t="shared" si="60"/>
        <v>100000</v>
      </c>
      <c r="U1270" s="52"/>
      <c r="V1270" s="34"/>
      <c r="W1270" s="408"/>
    </row>
    <row r="1271" spans="1:23" ht="12.75" customHeight="1" x14ac:dyDescent="0.2">
      <c r="A1271" s="132">
        <v>1258</v>
      </c>
      <c r="B1271" s="44">
        <v>44481</v>
      </c>
      <c r="C1271" s="44">
        <f t="shared" si="58"/>
        <v>44481</v>
      </c>
      <c r="D1271" s="374">
        <v>20</v>
      </c>
      <c r="E1271" s="291" t="str">
        <f>IFERROR(VLOOKUP($D1271,'Clients-Live'!$A:$C,3,0),"")</f>
        <v>ANDEZO KEVIN</v>
      </c>
      <c r="F1271" s="291">
        <f>IFERROR(INDEX(Disbursements!$D:$D,MATCH('Live Collections'!G1271,Disbursements!$C:$C,0)),"")</f>
        <v>2</v>
      </c>
      <c r="G1271" s="34">
        <v>194</v>
      </c>
      <c r="H1271" s="34">
        <v>28</v>
      </c>
      <c r="I1271" s="34" t="s">
        <v>1358</v>
      </c>
      <c r="J1271" s="48"/>
      <c r="K1271" s="48"/>
      <c r="L1271" s="48"/>
      <c r="M1271" s="48"/>
      <c r="N1271" s="59"/>
      <c r="O1271" s="59">
        <v>80000</v>
      </c>
      <c r="P1271" s="59"/>
      <c r="Q1271" s="268">
        <f t="shared" si="59"/>
        <v>80000</v>
      </c>
      <c r="R1271" s="61">
        <f>IF(O1271=0,0,SUMIFS(Disbursements!$T:$T,Disbursements!$B:$B,'Live Collections'!D1271,Disbursements!$D:$D,'Live Collections'!F1271))</f>
        <v>200000</v>
      </c>
      <c r="S1271" s="304">
        <f>IF(O1271&lt;=IF($O1271=0,0,SUMIFS(Disbursements!$W:$W,Disbursements!$B:$B,'Live Collections'!D252,Disbursements!$D:$D,'Live Collections'!F252)),O1271,IF($O1271=0,0,SUMIFS(Disbursements!$W:$W,Disbursements!$B:$B,'Live Collections'!D252,Disbursements!$D:$D,'Live Collections'!F252)))</f>
        <v>80000</v>
      </c>
      <c r="T1271" s="304">
        <f t="shared" si="60"/>
        <v>0</v>
      </c>
      <c r="U1271" s="52"/>
      <c r="V1271" s="34"/>
      <c r="W1271" s="408"/>
    </row>
    <row r="1272" spans="1:23" ht="12.75" customHeight="1" x14ac:dyDescent="0.2">
      <c r="A1272" s="257">
        <v>1267</v>
      </c>
      <c r="B1272" s="44">
        <v>44481</v>
      </c>
      <c r="C1272" s="44">
        <f t="shared" si="58"/>
        <v>44481</v>
      </c>
      <c r="D1272" s="374">
        <v>52</v>
      </c>
      <c r="E1272" s="291" t="str">
        <f>IFERROR(VLOOKUP($D1272,'Clients-Live'!$A:$C,3,0),"")</f>
        <v>EDEZU PEACE IRENE</v>
      </c>
      <c r="F1272" s="291">
        <f>IFERROR(INDEX(Disbursements!$D:$D,MATCH('Live Collections'!G1272,Disbursements!$C:$C,0)),"")</f>
        <v>2</v>
      </c>
      <c r="G1272" s="34">
        <v>275</v>
      </c>
      <c r="H1272" s="34"/>
      <c r="I1272" s="34" t="s">
        <v>1357</v>
      </c>
      <c r="J1272" s="48"/>
      <c r="K1272" s="48"/>
      <c r="L1272" s="48"/>
      <c r="M1272" s="48"/>
      <c r="N1272" s="59"/>
      <c r="O1272" s="59"/>
      <c r="P1272" s="59">
        <v>50000</v>
      </c>
      <c r="Q1272" s="268">
        <f t="shared" si="59"/>
        <v>50000</v>
      </c>
      <c r="R1272" s="61">
        <f>IF(O1272=0,0,SUMIFS(Disbursements!$T:$T,Disbursements!$B:$B,'Live Collections'!D1272,Disbursements!$D:$D,'Live Collections'!F1272))</f>
        <v>0</v>
      </c>
      <c r="S1272" s="304">
        <f>IF(O1272&lt;=IF($O1272=0,0,SUMIFS(Disbursements!$W:$W,Disbursements!$B:$B,'Live Collections'!D609,Disbursements!$D:$D,'Live Collections'!F609)),O1272,IF($O1272=0,0,SUMIFS(Disbursements!$W:$W,Disbursements!$B:$B,'Live Collections'!D609,Disbursements!$D:$D,'Live Collections'!F609)))</f>
        <v>0</v>
      </c>
      <c r="T1272" s="304">
        <f t="shared" si="60"/>
        <v>0</v>
      </c>
      <c r="U1272" s="52"/>
      <c r="V1272" s="34"/>
      <c r="W1272" s="408"/>
    </row>
    <row r="1273" spans="1:23" ht="12.75" customHeight="1" x14ac:dyDescent="0.2">
      <c r="A1273" s="132">
        <v>1252</v>
      </c>
      <c r="B1273" s="44">
        <v>44481</v>
      </c>
      <c r="C1273" s="44">
        <f t="shared" si="58"/>
        <v>44481</v>
      </c>
      <c r="D1273" s="374">
        <v>53</v>
      </c>
      <c r="E1273" s="291" t="str">
        <f>IFERROR(VLOOKUP($D1273,'Clients-Live'!$A:$C,3,0),"")</f>
        <v>KALSUMU INNOCENT</v>
      </c>
      <c r="F1273" s="291">
        <f>IFERROR(INDEX(Disbursements!$D:$D,MATCH('Live Collections'!G1273,Disbursements!$C:$C,0)),"")</f>
        <v>1</v>
      </c>
      <c r="G1273" s="34">
        <v>36</v>
      </c>
      <c r="H1273" s="34">
        <v>948</v>
      </c>
      <c r="I1273" s="34" t="s">
        <v>1358</v>
      </c>
      <c r="J1273" s="48"/>
      <c r="K1273" s="48"/>
      <c r="L1273" s="48"/>
      <c r="M1273" s="48"/>
      <c r="N1273" s="59"/>
      <c r="O1273" s="59">
        <v>200000</v>
      </c>
      <c r="P1273" s="59"/>
      <c r="Q1273" s="268">
        <f t="shared" si="59"/>
        <v>200000</v>
      </c>
      <c r="R1273" s="61">
        <f>IF(O1273=0,0,SUMIFS(Disbursements!$T:$T,Disbursements!$B:$B,'Live Collections'!D1273,Disbursements!$D:$D,'Live Collections'!F1273))</f>
        <v>200000</v>
      </c>
      <c r="S1273" s="64">
        <v>147000</v>
      </c>
      <c r="T1273" s="304">
        <f t="shared" si="60"/>
        <v>53000</v>
      </c>
      <c r="U1273" s="52"/>
      <c r="V1273" s="34"/>
      <c r="W1273" s="408"/>
    </row>
    <row r="1274" spans="1:23" ht="12.75" customHeight="1" x14ac:dyDescent="0.2">
      <c r="A1274" s="257">
        <v>1262</v>
      </c>
      <c r="B1274" s="44">
        <v>44481</v>
      </c>
      <c r="C1274" s="44">
        <f t="shared" si="58"/>
        <v>44481</v>
      </c>
      <c r="D1274" s="374">
        <v>54</v>
      </c>
      <c r="E1274" s="291" t="str">
        <f>IFERROR(VLOOKUP($D1274,'Clients-Live'!$A:$C,3,0),"")</f>
        <v>MANENO ANIFA</v>
      </c>
      <c r="F1274" s="291">
        <f>IFERROR(INDEX(Disbursements!$D:$D,MATCH('Live Collections'!G1274,Disbursements!$C:$C,0)),"")</f>
        <v>2</v>
      </c>
      <c r="G1274" s="34">
        <v>195</v>
      </c>
      <c r="H1274" s="34"/>
      <c r="I1274" s="34" t="s">
        <v>1357</v>
      </c>
      <c r="J1274" s="48"/>
      <c r="K1274" s="48"/>
      <c r="L1274" s="48"/>
      <c r="M1274" s="48"/>
      <c r="N1274" s="59"/>
      <c r="O1274" s="59">
        <v>40000</v>
      </c>
      <c r="P1274" s="59"/>
      <c r="Q1274" s="268">
        <f t="shared" si="59"/>
        <v>40000</v>
      </c>
      <c r="R1274" s="61">
        <f>IF(O1274=0,0,SUMIFS(Disbursements!$T:$T,Disbursements!$B:$B,'Live Collections'!D1274,Disbursements!$D:$D,'Live Collections'!F1274))</f>
        <v>200000</v>
      </c>
      <c r="S1274" s="304">
        <f>IF(O1274&lt;=IF($O1274=0,0,SUMIFS(Disbursements!$W:$W,Disbursements!$B:$B,'Live Collections'!D638,Disbursements!$D:$D,'Live Collections'!F638)),O1274,IF($O1274=0,0,SUMIFS(Disbursements!$W:$W,Disbursements!$B:$B,'Live Collections'!D638,Disbursements!$D:$D,'Live Collections'!F638)))</f>
        <v>40000</v>
      </c>
      <c r="T1274" s="304">
        <f t="shared" si="60"/>
        <v>0</v>
      </c>
      <c r="U1274" s="52"/>
      <c r="V1274" s="34"/>
      <c r="W1274" s="408"/>
    </row>
    <row r="1275" spans="1:23" ht="12.75" customHeight="1" x14ac:dyDescent="0.2">
      <c r="A1275" s="132">
        <v>1249</v>
      </c>
      <c r="B1275" s="44">
        <v>44481</v>
      </c>
      <c r="C1275" s="44">
        <f t="shared" si="58"/>
        <v>44481</v>
      </c>
      <c r="D1275" s="374">
        <v>67</v>
      </c>
      <c r="E1275" s="291" t="str">
        <f>IFERROR(VLOOKUP($D1275,'Clients-Live'!$A:$C,3,0),"")</f>
        <v>KEBITA SAUDA</v>
      </c>
      <c r="F1275" s="291">
        <f>IFERROR(INDEX(Disbursements!$D:$D,MATCH('Live Collections'!G1275,Disbursements!$C:$C,0)),"")</f>
        <v>1</v>
      </c>
      <c r="G1275" s="34">
        <v>49</v>
      </c>
      <c r="H1275" s="34"/>
      <c r="I1275" s="34" t="s">
        <v>1358</v>
      </c>
      <c r="J1275" s="48"/>
      <c r="K1275" s="48"/>
      <c r="L1275" s="48"/>
      <c r="M1275" s="48"/>
      <c r="N1275" s="59"/>
      <c r="O1275" s="59">
        <v>150000</v>
      </c>
      <c r="P1275" s="59"/>
      <c r="Q1275" s="268">
        <f t="shared" si="59"/>
        <v>150000</v>
      </c>
      <c r="R1275" s="61">
        <f>IF(O1275=0,0,SUMIFS(Disbursements!$T:$T,Disbursements!$B:$B,'Live Collections'!D1275,Disbursements!$D:$D,'Live Collections'!F1275))</f>
        <v>150000</v>
      </c>
      <c r="S1275" s="304"/>
      <c r="T1275" s="304">
        <f t="shared" si="60"/>
        <v>150000</v>
      </c>
      <c r="U1275" s="52"/>
      <c r="V1275" s="34"/>
      <c r="W1275" s="408"/>
    </row>
    <row r="1276" spans="1:23" ht="12.75" customHeight="1" x14ac:dyDescent="0.2">
      <c r="A1276" s="257">
        <v>1254</v>
      </c>
      <c r="B1276" s="44">
        <v>44481</v>
      </c>
      <c r="C1276" s="44">
        <f t="shared" si="58"/>
        <v>44481</v>
      </c>
      <c r="D1276" s="374">
        <v>67</v>
      </c>
      <c r="E1276" s="291" t="str">
        <f>IFERROR(VLOOKUP($D1276,'Clients-Live'!$A:$C,3,0),"")</f>
        <v>KEBITA SAUDA</v>
      </c>
      <c r="F1276" s="291" t="str">
        <f>IFERROR(INDEX(Disbursements!$D:$D,MATCH('Live Collections'!G1276,Disbursements!$C:$C,0)),"")</f>
        <v/>
      </c>
      <c r="G1276" s="34"/>
      <c r="H1276" s="34">
        <v>45</v>
      </c>
      <c r="I1276" s="34" t="s">
        <v>1358</v>
      </c>
      <c r="J1276" s="48"/>
      <c r="K1276" s="48"/>
      <c r="L1276" s="48">
        <v>15000</v>
      </c>
      <c r="M1276" s="48">
        <v>5000</v>
      </c>
      <c r="N1276" s="59"/>
      <c r="O1276" s="59">
        <v>30000</v>
      </c>
      <c r="P1276" s="59">
        <v>10000</v>
      </c>
      <c r="Q1276" s="268">
        <f t="shared" si="59"/>
        <v>60000</v>
      </c>
      <c r="R1276" s="61">
        <f>IF(O1276=0,0,SUMIFS(Disbursements!$T:$T,Disbursements!$B:$B,'Live Collections'!D1276,Disbursements!$D:$D,'Live Collections'!F1276))</f>
        <v>0</v>
      </c>
      <c r="S1276" s="304">
        <f>IF(O1276&lt;=IF($O1276=0,0,SUMIFS(Disbursements!$W:$W,Disbursements!$B:$B,'Live Collections'!D831,Disbursements!$D:$D,'Live Collections'!F831)),O1276,IF($O1276=0,0,SUMIFS(Disbursements!$W:$W,Disbursements!$B:$B,'Live Collections'!D831,Disbursements!$D:$D,'Live Collections'!F831)))</f>
        <v>30000</v>
      </c>
      <c r="T1276" s="304">
        <f t="shared" si="60"/>
        <v>0</v>
      </c>
      <c r="U1276" s="52"/>
      <c r="V1276" s="34"/>
      <c r="W1276" s="408"/>
    </row>
    <row r="1277" spans="1:23" ht="12.75" customHeight="1" x14ac:dyDescent="0.2">
      <c r="A1277" s="132">
        <v>1255</v>
      </c>
      <c r="B1277" s="44">
        <v>44481</v>
      </c>
      <c r="C1277" s="44">
        <f t="shared" si="58"/>
        <v>44481</v>
      </c>
      <c r="D1277" s="374">
        <v>67</v>
      </c>
      <c r="E1277" s="291" t="str">
        <f>IFERROR(VLOOKUP($D1277,'Clients-Live'!$A:$C,3,0),"")</f>
        <v>KEBITA SAUDA</v>
      </c>
      <c r="F1277" s="291">
        <f>IFERROR(INDEX(Disbursements!$D:$D,MATCH('Live Collections'!G1277,Disbursements!$C:$C,0)),"")</f>
        <v>1</v>
      </c>
      <c r="G1277" s="34">
        <v>49</v>
      </c>
      <c r="H1277" s="34"/>
      <c r="I1277" s="34" t="s">
        <v>1358</v>
      </c>
      <c r="J1277" s="48"/>
      <c r="K1277" s="48"/>
      <c r="L1277" s="48"/>
      <c r="M1277" s="48"/>
      <c r="N1277" s="59"/>
      <c r="O1277" s="59">
        <v>0</v>
      </c>
      <c r="P1277" s="59"/>
      <c r="Q1277" s="268">
        <f t="shared" si="59"/>
        <v>0</v>
      </c>
      <c r="R1277" s="61">
        <f>IF(O1277=0,0,SUMIFS(Disbursements!$T:$T,Disbursements!$B:$B,'Live Collections'!D1277,Disbursements!$D:$D,'Live Collections'!F1277))</f>
        <v>0</v>
      </c>
      <c r="S1277" s="304">
        <f>IF(O1277&lt;=IF($O1277=0,0,SUMIFS(Disbursements!$W:$W,Disbursements!$B:$B,'Live Collections'!D832,Disbursements!$D:$D,'Live Collections'!F832)),O1277,IF($O1277=0,0,SUMIFS(Disbursements!$W:$W,Disbursements!$B:$B,'Live Collections'!D832,Disbursements!$D:$D,'Live Collections'!F832)))</f>
        <v>0</v>
      </c>
      <c r="T1277" s="304">
        <f t="shared" si="60"/>
        <v>0</v>
      </c>
      <c r="U1277" s="52"/>
      <c r="V1277" s="34"/>
      <c r="W1277" s="408"/>
    </row>
    <row r="1278" spans="1:23" ht="12.75" customHeight="1" x14ac:dyDescent="0.2">
      <c r="A1278" s="257">
        <v>1261</v>
      </c>
      <c r="B1278" s="44">
        <v>44481</v>
      </c>
      <c r="C1278" s="44">
        <f t="shared" si="58"/>
        <v>44481</v>
      </c>
      <c r="D1278" s="374">
        <v>100</v>
      </c>
      <c r="E1278" s="291" t="str">
        <f>IFERROR(VLOOKUP($D1278,'Clients-Live'!$A:$C,3,0),"")</f>
        <v>LETAYO DORCUS</v>
      </c>
      <c r="F1278" s="291">
        <f>IFERROR(INDEX(Disbursements!$D:$D,MATCH('Live Collections'!G1278,Disbursements!$C:$C,0)),"")</f>
        <v>2</v>
      </c>
      <c r="G1278" s="34">
        <v>184</v>
      </c>
      <c r="H1278" s="34"/>
      <c r="I1278" s="34" t="s">
        <v>1357</v>
      </c>
      <c r="J1278" s="48"/>
      <c r="K1278" s="48"/>
      <c r="L1278" s="48"/>
      <c r="M1278" s="48"/>
      <c r="N1278" s="59"/>
      <c r="O1278" s="59">
        <v>50000</v>
      </c>
      <c r="P1278" s="59"/>
      <c r="Q1278" s="268">
        <f t="shared" si="59"/>
        <v>50000</v>
      </c>
      <c r="R1278" s="61">
        <f>IF(O1278=0,0,SUMIFS(Disbursements!$T:$T,Disbursements!$B:$B,'Live Collections'!D1278,Disbursements!$D:$D,'Live Collections'!F1278))</f>
        <v>150000</v>
      </c>
      <c r="S1278" s="304">
        <f>IF(O1278&lt;=IF($O1278=0,0,SUMIFS(Disbursements!$W:$W,Disbursements!$B:$B,'Live Collections'!D1296,Disbursements!$D:$D,'Live Collections'!F1296)),O1278,IF($O1278=0,0,SUMIFS(Disbursements!$W:$W,Disbursements!$B:$B,'Live Collections'!D1296,Disbursements!$D:$D,'Live Collections'!F1296)))</f>
        <v>15000</v>
      </c>
      <c r="T1278" s="304">
        <f t="shared" si="60"/>
        <v>35000</v>
      </c>
      <c r="U1278" s="52"/>
      <c r="V1278" s="34"/>
      <c r="W1278" s="408"/>
    </row>
    <row r="1279" spans="1:23" ht="12.75" customHeight="1" x14ac:dyDescent="0.2">
      <c r="A1279" s="132">
        <v>1250</v>
      </c>
      <c r="B1279" s="44">
        <v>44481</v>
      </c>
      <c r="C1279" s="44">
        <f t="shared" si="58"/>
        <v>44481</v>
      </c>
      <c r="D1279" s="374">
        <v>116</v>
      </c>
      <c r="E1279" s="291" t="str">
        <f>IFERROR(VLOOKUP($D1279,'Clients-Live'!$A:$C,3,0),"")</f>
        <v>ONZIA LUCY</v>
      </c>
      <c r="F1279" s="291">
        <f>IFERROR(INDEX(Disbursements!$D:$D,MATCH('Live Collections'!G1279,Disbursements!$C:$C,0)),"")</f>
        <v>2</v>
      </c>
      <c r="G1279" s="34">
        <v>229</v>
      </c>
      <c r="H1279" s="34"/>
      <c r="I1279" s="34" t="s">
        <v>1357</v>
      </c>
      <c r="J1279" s="48"/>
      <c r="K1279" s="48"/>
      <c r="L1279" s="48"/>
      <c r="M1279" s="48"/>
      <c r="N1279" s="59"/>
      <c r="O1279" s="59">
        <v>28800</v>
      </c>
      <c r="P1279" s="59"/>
      <c r="Q1279" s="268">
        <f t="shared" si="59"/>
        <v>28800</v>
      </c>
      <c r="R1279" s="61">
        <f>IF(O1279=0,0,SUMIFS(Disbursements!$T:$T,Disbursements!$B:$B,'Live Collections'!D1279,Disbursements!$D:$D,'Live Collections'!F1279))</f>
        <v>29000</v>
      </c>
      <c r="S1279" s="304">
        <f>IF(O1279&lt;=IF($O1279=0,0,SUMIFS(Disbursements!$W:$W,Disbursements!$B:$B,'Live Collections'!D1501,Disbursements!$D:$D,'Live Collections'!F1501)),O1279,IF($O1279=0,0,SUMIFS(Disbursements!$W:$W,Disbursements!$B:$B,'Live Collections'!D1501,Disbursements!$D:$D,'Live Collections'!F1501)))</f>
        <v>19000</v>
      </c>
      <c r="T1279" s="304">
        <f t="shared" si="60"/>
        <v>9800</v>
      </c>
      <c r="U1279" s="52"/>
      <c r="V1279" s="34"/>
      <c r="W1279" s="408"/>
    </row>
    <row r="1280" spans="1:23" ht="12.75" customHeight="1" x14ac:dyDescent="0.2">
      <c r="A1280" s="257">
        <v>1256</v>
      </c>
      <c r="B1280" s="44">
        <v>44481</v>
      </c>
      <c r="C1280" s="44">
        <f t="shared" si="58"/>
        <v>44481</v>
      </c>
      <c r="D1280" s="374">
        <v>159</v>
      </c>
      <c r="E1280" s="291" t="str">
        <f>IFERROR(VLOOKUP($D1280,'Clients-Live'!$A:$C,3,0),"")</f>
        <v>ALICE AMINA</v>
      </c>
      <c r="F1280" s="291">
        <f>IFERROR(INDEX(Disbursements!$D:$D,MATCH('Live Collections'!G1280,Disbursements!$C:$C,0)),"")</f>
        <v>1</v>
      </c>
      <c r="G1280" s="34">
        <v>150</v>
      </c>
      <c r="H1280" s="34"/>
      <c r="I1280" s="34" t="s">
        <v>1358</v>
      </c>
      <c r="J1280" s="48"/>
      <c r="K1280" s="48"/>
      <c r="L1280" s="48"/>
      <c r="M1280" s="48"/>
      <c r="N1280" s="59"/>
      <c r="O1280" s="59">
        <v>100000</v>
      </c>
      <c r="P1280" s="59"/>
      <c r="Q1280" s="268">
        <f t="shared" si="59"/>
        <v>100000</v>
      </c>
      <c r="R1280" s="61">
        <f>IF(O1280=0,0,SUMIFS(Disbursements!$T:$T,Disbursements!$B:$B,'Live Collections'!D1280,Disbursements!$D:$D,'Live Collections'!F1280))</f>
        <v>150000</v>
      </c>
      <c r="S1280" s="304">
        <f>IF(O1280&lt;=IF($O1280=0,0,SUMIFS(Disbursements!$W:$W,Disbursements!$B:$B,'Live Collections'!D1983,Disbursements!$D:$D,'Live Collections'!F1983)),O1280,IF($O1280=0,0,SUMIFS(Disbursements!$W:$W,Disbursements!$B:$B,'Live Collections'!D1983,Disbursements!$D:$D,'Live Collections'!F1983)))</f>
        <v>0</v>
      </c>
      <c r="T1280" s="304">
        <f t="shared" si="60"/>
        <v>100000</v>
      </c>
      <c r="U1280" s="52"/>
      <c r="V1280" s="34"/>
      <c r="W1280" s="408"/>
    </row>
    <row r="1281" spans="1:23" ht="12.75" customHeight="1" x14ac:dyDescent="0.2">
      <c r="A1281" s="132">
        <v>1268</v>
      </c>
      <c r="B1281" s="44">
        <v>44481</v>
      </c>
      <c r="C1281" s="44">
        <f t="shared" si="58"/>
        <v>44481</v>
      </c>
      <c r="D1281" s="374">
        <v>160</v>
      </c>
      <c r="E1281" s="291" t="str">
        <f>IFERROR(VLOOKUP($D1281,'Clients-Live'!$A:$C,3,0),"")</f>
        <v>CHANDI ZANABU</v>
      </c>
      <c r="F1281" s="291">
        <f>IFERROR(INDEX(Disbursements!$D:$D,MATCH('Live Collections'!G1281,Disbursements!$C:$C,0)),"")</f>
        <v>2</v>
      </c>
      <c r="G1281" s="34">
        <v>267</v>
      </c>
      <c r="H1281" s="34"/>
      <c r="I1281" s="34" t="s">
        <v>1358</v>
      </c>
      <c r="J1281" s="48"/>
      <c r="K1281" s="48"/>
      <c r="L1281" s="48"/>
      <c r="M1281" s="48"/>
      <c r="N1281" s="59"/>
      <c r="O1281" s="59"/>
      <c r="P1281" s="59">
        <v>20000</v>
      </c>
      <c r="Q1281" s="268">
        <f t="shared" si="59"/>
        <v>20000</v>
      </c>
      <c r="R1281" s="61">
        <f>IF(O1281=0,0,SUMIFS(Disbursements!$T:$T,Disbursements!$B:$B,'Live Collections'!D1281,Disbursements!$D:$D,'Live Collections'!F1281))</f>
        <v>0</v>
      </c>
      <c r="S1281" s="304">
        <f>IF(O1281&lt;=IF($O1281=0,0,SUMIFS(Disbursements!$W:$W,Disbursements!$B:$B,'Live Collections'!D1995,Disbursements!$D:$D,'Live Collections'!F1995)),O1281,IF($O1281=0,0,SUMIFS(Disbursements!$W:$W,Disbursements!$B:$B,'Live Collections'!D1995,Disbursements!$D:$D,'Live Collections'!F1995)))</f>
        <v>0</v>
      </c>
      <c r="T1281" s="304">
        <f t="shared" si="60"/>
        <v>0</v>
      </c>
      <c r="U1281" s="52"/>
      <c r="V1281" s="34"/>
      <c r="W1281" s="408"/>
    </row>
    <row r="1282" spans="1:23" ht="12.75" customHeight="1" x14ac:dyDescent="0.2">
      <c r="A1282" s="257">
        <v>1260</v>
      </c>
      <c r="B1282" s="44">
        <v>44481</v>
      </c>
      <c r="C1282" s="44">
        <f t="shared" si="58"/>
        <v>44481</v>
      </c>
      <c r="D1282" s="374">
        <v>165</v>
      </c>
      <c r="E1282" s="291" t="str">
        <f>IFERROR(VLOOKUP($D1282,'Clients-Live'!$A:$C,3,0),"")</f>
        <v>BOBOYA BRAN</v>
      </c>
      <c r="F1282" s="291">
        <f>IFERROR(INDEX(Disbursements!$D:$D,MATCH('Live Collections'!G1282,Disbursements!$C:$C,0)),"")</f>
        <v>1</v>
      </c>
      <c r="G1282" s="34">
        <v>163</v>
      </c>
      <c r="H1282" s="34"/>
      <c r="I1282" s="34" t="s">
        <v>1357</v>
      </c>
      <c r="J1282" s="48"/>
      <c r="K1282" s="48"/>
      <c r="L1282" s="48"/>
      <c r="M1282" s="48"/>
      <c r="N1282" s="59"/>
      <c r="O1282" s="59">
        <v>70000</v>
      </c>
      <c r="P1282" s="59"/>
      <c r="Q1282" s="268">
        <f t="shared" si="59"/>
        <v>70000</v>
      </c>
      <c r="R1282" s="61">
        <f>IF(O1282=0,0,SUMIFS(Disbursements!$T:$T,Disbursements!$B:$B,'Live Collections'!D1282,Disbursements!$D:$D,'Live Collections'!F1282))</f>
        <v>210000</v>
      </c>
      <c r="S1282" s="64">
        <v>40000</v>
      </c>
      <c r="T1282" s="304">
        <f t="shared" si="60"/>
        <v>30000</v>
      </c>
      <c r="U1282" s="52"/>
      <c r="V1282" s="34"/>
      <c r="W1282" s="408"/>
    </row>
    <row r="1283" spans="1:23" ht="12.75" customHeight="1" x14ac:dyDescent="0.2">
      <c r="A1283" s="132">
        <v>1265</v>
      </c>
      <c r="B1283" s="44">
        <v>44481</v>
      </c>
      <c r="C1283" s="44">
        <f t="shared" si="58"/>
        <v>44481</v>
      </c>
      <c r="D1283" s="374">
        <v>175</v>
      </c>
      <c r="E1283" s="291" t="str">
        <f>IFERROR(VLOOKUP($D1283,'Clients-Live'!$A:$C,3,0),"")</f>
        <v>ZUBEDA WAIGA</v>
      </c>
      <c r="F1283" s="291">
        <f>IFERROR(INDEX(Disbursements!$D:$D,MATCH('Live Collections'!G1283,Disbursements!$C:$C,0)),"")</f>
        <v>1</v>
      </c>
      <c r="G1283" s="34">
        <v>166</v>
      </c>
      <c r="H1283" s="34">
        <v>43</v>
      </c>
      <c r="I1283" s="34" t="s">
        <v>1358</v>
      </c>
      <c r="J1283" s="48"/>
      <c r="K1283" s="48"/>
      <c r="L1283" s="48"/>
      <c r="M1283" s="48"/>
      <c r="N1283" s="59"/>
      <c r="O1283" s="59">
        <v>50000</v>
      </c>
      <c r="P1283" s="59"/>
      <c r="Q1283" s="268">
        <f t="shared" si="59"/>
        <v>50000</v>
      </c>
      <c r="R1283" s="61">
        <f>IF(O1283=0,0,SUMIFS(Disbursements!$T:$T,Disbursements!$B:$B,'Live Collections'!D1283,Disbursements!$D:$D,'Live Collections'!F1283))</f>
        <v>29000</v>
      </c>
      <c r="S1283" s="64">
        <v>22333.333333333328</v>
      </c>
      <c r="T1283" s="304">
        <f t="shared" si="60"/>
        <v>27666.666666666672</v>
      </c>
      <c r="U1283" s="52"/>
      <c r="V1283" s="34"/>
      <c r="W1283" s="408"/>
    </row>
    <row r="1284" spans="1:23" ht="12.75" customHeight="1" x14ac:dyDescent="0.2">
      <c r="A1284" s="257">
        <v>1253</v>
      </c>
      <c r="B1284" s="44">
        <v>44481</v>
      </c>
      <c r="C1284" s="44">
        <f t="shared" si="58"/>
        <v>44481</v>
      </c>
      <c r="D1284" s="374">
        <v>181</v>
      </c>
      <c r="E1284" s="291" t="str">
        <f>IFERROR(VLOOKUP($D1284,'Clients-Live'!$A:$C,3,0),"")</f>
        <v>LEKURU CHRISTINE</v>
      </c>
      <c r="F1284" s="291">
        <f>IFERROR(INDEX(Disbursements!$D:$D,MATCH('Live Collections'!G1284,Disbursements!$C:$C,0)),"")</f>
        <v>1</v>
      </c>
      <c r="G1284" s="34">
        <v>168</v>
      </c>
      <c r="H1284" s="34"/>
      <c r="I1284" s="34" t="s">
        <v>1358</v>
      </c>
      <c r="J1284" s="48"/>
      <c r="K1284" s="48"/>
      <c r="L1284" s="48"/>
      <c r="M1284" s="48"/>
      <c r="N1284" s="59"/>
      <c r="O1284" s="59">
        <v>70000</v>
      </c>
      <c r="P1284" s="59"/>
      <c r="Q1284" s="268">
        <f t="shared" si="59"/>
        <v>70000</v>
      </c>
      <c r="R1284" s="61">
        <f>IF(O1284=0,0,SUMIFS(Disbursements!$T:$T,Disbursements!$B:$B,'Live Collections'!D1284,Disbursements!$D:$D,'Live Collections'!F1284))</f>
        <v>115000</v>
      </c>
      <c r="S1284" s="64">
        <v>-5333.333333333343</v>
      </c>
      <c r="T1284" s="304">
        <f t="shared" si="60"/>
        <v>75333.333333333343</v>
      </c>
      <c r="U1284" s="52"/>
      <c r="V1284" s="34"/>
      <c r="W1284" s="408"/>
    </row>
    <row r="1285" spans="1:23" ht="12.75" customHeight="1" x14ac:dyDescent="0.2">
      <c r="A1285" s="132">
        <v>1251</v>
      </c>
      <c r="B1285" s="44">
        <v>44481</v>
      </c>
      <c r="C1285" s="44">
        <f t="shared" si="58"/>
        <v>44481</v>
      </c>
      <c r="D1285" s="374">
        <v>205</v>
      </c>
      <c r="E1285" s="291" t="str">
        <f>IFERROR(VLOOKUP($D1285,'Clients-Live'!$A:$C,3,0),"")</f>
        <v>OPIRU ALICE</v>
      </c>
      <c r="F1285" s="291">
        <f>IFERROR(INDEX(Disbursements!$D:$D,MATCH('Live Collections'!G1285,Disbursements!$C:$C,0)),"")</f>
        <v>1</v>
      </c>
      <c r="G1285" s="34">
        <v>212</v>
      </c>
      <c r="H1285" s="34">
        <v>50</v>
      </c>
      <c r="I1285" s="34" t="s">
        <v>1359</v>
      </c>
      <c r="J1285" s="48"/>
      <c r="K1285" s="48"/>
      <c r="L1285" s="48"/>
      <c r="M1285" s="48"/>
      <c r="N1285" s="59"/>
      <c r="O1285" s="59">
        <v>30000</v>
      </c>
      <c r="P1285" s="59"/>
      <c r="Q1285" s="268">
        <f t="shared" si="59"/>
        <v>30000</v>
      </c>
      <c r="R1285" s="61">
        <f>IF(O1285=0,0,SUMIFS(Disbursements!$T:$T,Disbursements!$B:$B,'Live Collections'!D1285,Disbursements!$D:$D,'Live Collections'!F1285))</f>
        <v>30000</v>
      </c>
      <c r="S1285" s="64">
        <v>20000</v>
      </c>
      <c r="T1285" s="304">
        <f t="shared" si="60"/>
        <v>10000</v>
      </c>
      <c r="U1285" s="52"/>
      <c r="V1285" s="34"/>
      <c r="W1285" s="408"/>
    </row>
    <row r="1286" spans="1:23" ht="12.75" customHeight="1" x14ac:dyDescent="0.2">
      <c r="A1286" s="257">
        <v>1263</v>
      </c>
      <c r="B1286" s="44">
        <v>44481</v>
      </c>
      <c r="C1286" s="44">
        <f t="shared" si="58"/>
        <v>44481</v>
      </c>
      <c r="D1286" s="374">
        <v>217</v>
      </c>
      <c r="E1286" s="291" t="str">
        <f>IFERROR(VLOOKUP($D1286,'Clients-Live'!$A:$C,3,0),"")</f>
        <v>JAMBA MOSES</v>
      </c>
      <c r="F1286" s="291">
        <f>IFERROR(INDEX(Disbursements!$D:$D,MATCH('Live Collections'!G1286,Disbursements!$C:$C,0)),"")</f>
        <v>1</v>
      </c>
      <c r="G1286" s="34">
        <v>217</v>
      </c>
      <c r="H1286" s="34"/>
      <c r="I1286" s="34" t="s">
        <v>1357</v>
      </c>
      <c r="J1286" s="48"/>
      <c r="K1286" s="48"/>
      <c r="L1286" s="48"/>
      <c r="M1286" s="48"/>
      <c r="N1286" s="59"/>
      <c r="O1286" s="59">
        <v>82500</v>
      </c>
      <c r="P1286" s="59"/>
      <c r="Q1286" s="268">
        <f t="shared" si="59"/>
        <v>82500</v>
      </c>
      <c r="R1286" s="61">
        <f>IF(O1286=0,0,SUMIFS(Disbursements!$T:$T,Disbursements!$B:$B,'Live Collections'!D1286,Disbursements!$D:$D,'Live Collections'!F1286))</f>
        <v>165000</v>
      </c>
      <c r="S1286" s="64">
        <v>-5000</v>
      </c>
      <c r="T1286" s="304">
        <f t="shared" si="60"/>
        <v>87500</v>
      </c>
      <c r="U1286" s="52"/>
      <c r="V1286" s="34"/>
      <c r="W1286" s="408"/>
    </row>
    <row r="1287" spans="1:23" ht="12.75" customHeight="1" x14ac:dyDescent="0.2">
      <c r="A1287" s="132">
        <v>1273</v>
      </c>
      <c r="B1287" s="44">
        <v>44481</v>
      </c>
      <c r="C1287" s="44">
        <f t="shared" si="58"/>
        <v>44481</v>
      </c>
      <c r="D1287" s="374">
        <v>234</v>
      </c>
      <c r="E1287" s="291" t="str">
        <f>IFERROR(VLOOKUP($D1287,'Clients-Live'!$A:$C,3,0),"")</f>
        <v>SUDI YASIR</v>
      </c>
      <c r="F1287" s="291">
        <f>IFERROR(INDEX(Disbursements!$D:$D,MATCH('Live Collections'!G1287,Disbursements!$C:$C,0)),"")</f>
        <v>1</v>
      </c>
      <c r="G1287" s="34">
        <v>276</v>
      </c>
      <c r="H1287" s="34"/>
      <c r="I1287" s="34" t="s">
        <v>1358</v>
      </c>
      <c r="J1287" s="48"/>
      <c r="K1287" s="48"/>
      <c r="L1287" s="48"/>
      <c r="M1287" s="48"/>
      <c r="N1287" s="59"/>
      <c r="O1287" s="59"/>
      <c r="P1287" s="59">
        <v>100000</v>
      </c>
      <c r="Q1287" s="268">
        <f t="shared" si="59"/>
        <v>100000</v>
      </c>
      <c r="R1287" s="61">
        <f>IF(O1287=0,0,SUMIFS(Disbursements!$T:$T,Disbursements!$B:$B,'Live Collections'!D1287,Disbursements!$D:$D,'Live Collections'!F1287))</f>
        <v>0</v>
      </c>
      <c r="S1287" s="304">
        <f>IF(O1287&lt;=IF($O1287=0,0,SUMIFS(Disbursements!$W:$W,Disbursements!$B:$B,'Live Collections'!D2702,Disbursements!$D:$D,'Live Collections'!F2702)),O1287,IF($O1287=0,0,SUMIFS(Disbursements!$W:$W,Disbursements!$B:$B,'Live Collections'!D2702,Disbursements!$D:$D,'Live Collections'!F2702)))</f>
        <v>0</v>
      </c>
      <c r="T1287" s="304">
        <f t="shared" si="60"/>
        <v>0</v>
      </c>
      <c r="U1287" s="52"/>
      <c r="V1287" s="34"/>
      <c r="W1287" s="408"/>
    </row>
    <row r="1288" spans="1:23" ht="12.75" customHeight="1" x14ac:dyDescent="0.2">
      <c r="A1288" s="257">
        <v>1271</v>
      </c>
      <c r="B1288" s="44">
        <v>44481</v>
      </c>
      <c r="C1288" s="44">
        <f t="shared" si="58"/>
        <v>44481</v>
      </c>
      <c r="D1288" s="374">
        <v>239</v>
      </c>
      <c r="E1288" s="291" t="str">
        <f>IFERROR(VLOOKUP($D1288,'Clients-Live'!$A:$C,3,0),"")</f>
        <v>HABIBU ABOYI ALLI</v>
      </c>
      <c r="F1288" s="291" t="str">
        <f>IFERROR(INDEX(Disbursements!$D:$D,MATCH('Live Collections'!G1288,Disbursements!$C:$C,0)),"")</f>
        <v/>
      </c>
      <c r="G1288" s="34"/>
      <c r="H1288" s="34"/>
      <c r="I1288" s="34" t="s">
        <v>1358</v>
      </c>
      <c r="J1288" s="48"/>
      <c r="K1288" s="48"/>
      <c r="L1288" s="48"/>
      <c r="M1288" s="48"/>
      <c r="N1288" s="59"/>
      <c r="O1288" s="59"/>
      <c r="P1288" s="59">
        <v>60000</v>
      </c>
      <c r="Q1288" s="268">
        <f t="shared" si="59"/>
        <v>60000</v>
      </c>
      <c r="R1288" s="61">
        <f>IF(O1288=0,0,SUMIFS(Disbursements!$T:$T,Disbursements!$B:$B,'Live Collections'!D1288,Disbursements!$D:$D,'Live Collections'!F1288))</f>
        <v>0</v>
      </c>
      <c r="S1288" s="304">
        <f>IF(O1288&lt;=IF($O1288=0,0,SUMIFS(Disbursements!$W:$W,Disbursements!$B:$B,'Live Collections'!D2739,Disbursements!$D:$D,'Live Collections'!F2739)),O1288,IF($O1288=0,0,SUMIFS(Disbursements!$W:$W,Disbursements!$B:$B,'Live Collections'!D2739,Disbursements!$D:$D,'Live Collections'!F2739)))</f>
        <v>0</v>
      </c>
      <c r="T1288" s="304">
        <f t="shared" si="60"/>
        <v>0</v>
      </c>
      <c r="U1288" s="52"/>
      <c r="V1288" s="34"/>
      <c r="W1288" s="408"/>
    </row>
    <row r="1289" spans="1:23" ht="12.75" customHeight="1" x14ac:dyDescent="0.2">
      <c r="A1289" s="132">
        <v>1264</v>
      </c>
      <c r="B1289" s="44">
        <v>44481</v>
      </c>
      <c r="C1289" s="44">
        <f t="shared" ref="C1289:C1351" si="61">B1289</f>
        <v>44481</v>
      </c>
      <c r="D1289" s="374">
        <v>240</v>
      </c>
      <c r="E1289" s="291" t="str">
        <f>IFERROR(VLOOKUP($D1289,'Clients-Live'!$A:$C,3,0),"")</f>
        <v>AYIKORU WINNIE</v>
      </c>
      <c r="F1289" s="291">
        <f>IFERROR(INDEX(Disbursements!$D:$D,MATCH('Live Collections'!G1289,Disbursements!$C:$C,0)),"")</f>
        <v>1</v>
      </c>
      <c r="G1289" s="34">
        <v>256</v>
      </c>
      <c r="H1289" s="34"/>
      <c r="I1289" s="34" t="s">
        <v>1358</v>
      </c>
      <c r="J1289" s="48"/>
      <c r="K1289" s="48"/>
      <c r="L1289" s="48"/>
      <c r="M1289" s="48"/>
      <c r="N1289" s="59"/>
      <c r="O1289" s="59">
        <v>1200000</v>
      </c>
      <c r="P1289" s="59"/>
      <c r="Q1289" s="268">
        <f t="shared" ref="Q1289:Q1351" si="62">SUM(J1289:P1289)</f>
        <v>1200000</v>
      </c>
      <c r="R1289" s="61">
        <f>IF(O1289=0,0,SUMIFS(Disbursements!$T:$T,Disbursements!$B:$B,'Live Collections'!D1289,Disbursements!$D:$D,'Live Collections'!F1289))</f>
        <v>1613000</v>
      </c>
      <c r="S1289" s="304">
        <f>IF(O1289&lt;=IF($O1289=0,0,SUMIFS(Disbursements!$W:$W,Disbursements!$B:$B,'Live Collections'!D2745,Disbursements!$D:$D,'Live Collections'!F2745)),O1289,IF($O1289=0,0,SUMIFS(Disbursements!$W:$W,Disbursements!$B:$B,'Live Collections'!D2745,Disbursements!$D:$D,'Live Collections'!F2745)))</f>
        <v>100000</v>
      </c>
      <c r="T1289" s="304">
        <f t="shared" ref="T1289:T1351" si="63">IF(O1289=0,0,O1289-S1289)</f>
        <v>1100000</v>
      </c>
      <c r="U1289" s="52"/>
      <c r="V1289" s="34"/>
      <c r="W1289" s="408"/>
    </row>
    <row r="1290" spans="1:23" ht="12.75" customHeight="1" x14ac:dyDescent="0.2">
      <c r="A1290" s="257">
        <v>1266</v>
      </c>
      <c r="B1290" s="44">
        <v>44481</v>
      </c>
      <c r="C1290" s="44">
        <f t="shared" si="61"/>
        <v>44481</v>
      </c>
      <c r="D1290" s="374">
        <v>243</v>
      </c>
      <c r="E1290" s="291" t="str">
        <f>IFERROR(VLOOKUP($D1290,'Clients-Live'!$A:$C,3,0),"")</f>
        <v>AMANIYO FARIDA</v>
      </c>
      <c r="F1290" s="291" t="str">
        <f>IFERROR(INDEX(Disbursements!$D:$D,MATCH('Live Collections'!G1290,Disbursements!$C:$C,0)),"")</f>
        <v/>
      </c>
      <c r="G1290" s="34"/>
      <c r="H1290" s="34"/>
      <c r="I1290" s="34" t="s">
        <v>1358</v>
      </c>
      <c r="J1290" s="48">
        <v>15000</v>
      </c>
      <c r="K1290" s="48">
        <v>5000</v>
      </c>
      <c r="L1290" s="48">
        <v>10000</v>
      </c>
      <c r="M1290" s="48">
        <v>5000</v>
      </c>
      <c r="N1290" s="59"/>
      <c r="O1290" s="59"/>
      <c r="P1290" s="59"/>
      <c r="Q1290" s="268">
        <f t="shared" si="62"/>
        <v>35000</v>
      </c>
      <c r="R1290" s="61">
        <f>IF(O1290=0,0,SUMIFS(Disbursements!$T:$T,Disbursements!$B:$B,'Live Collections'!D1290,Disbursements!$D:$D,'Live Collections'!F1290))</f>
        <v>0</v>
      </c>
      <c r="S1290" s="304">
        <f>IF(O1290&lt;=IF($O1290=0,0,SUMIFS(Disbursements!$W:$W,Disbursements!$B:$B,'Live Collections'!D2767,Disbursements!$D:$D,'Live Collections'!F2767)),O1290,IF($O1290=0,0,SUMIFS(Disbursements!$W:$W,Disbursements!$B:$B,'Live Collections'!D2767,Disbursements!$D:$D,'Live Collections'!F2767)))</f>
        <v>0</v>
      </c>
      <c r="T1290" s="304">
        <f t="shared" si="63"/>
        <v>0</v>
      </c>
      <c r="U1290" s="52"/>
      <c r="V1290" s="34"/>
      <c r="W1290" s="408"/>
    </row>
    <row r="1291" spans="1:23" ht="12.75" customHeight="1" x14ac:dyDescent="0.2">
      <c r="A1291" s="132">
        <v>1269</v>
      </c>
      <c r="B1291" s="44">
        <v>44481</v>
      </c>
      <c r="C1291" s="44">
        <f t="shared" si="61"/>
        <v>44481</v>
      </c>
      <c r="D1291" s="374">
        <v>247</v>
      </c>
      <c r="E1291" s="291" t="str">
        <f>IFERROR(VLOOKUP($D1291,'Clients-Live'!$A:$C,3,0),"")</f>
        <v>CHANDIRU SCHOLAR</v>
      </c>
      <c r="F1291" s="291" t="str">
        <f>IFERROR(INDEX(Disbursements!$D:$D,MATCH('Live Collections'!G1291,Disbursements!$C:$C,0)),"")</f>
        <v/>
      </c>
      <c r="G1291" s="34"/>
      <c r="H1291" s="34"/>
      <c r="I1291" s="34" t="s">
        <v>1359</v>
      </c>
      <c r="J1291" s="48">
        <v>15000</v>
      </c>
      <c r="K1291" s="48">
        <v>5000</v>
      </c>
      <c r="L1291" s="48">
        <v>15000</v>
      </c>
      <c r="M1291" s="48">
        <v>5000</v>
      </c>
      <c r="N1291" s="59"/>
      <c r="O1291" s="59"/>
      <c r="P1291" s="59"/>
      <c r="Q1291" s="268">
        <f t="shared" si="62"/>
        <v>40000</v>
      </c>
      <c r="R1291" s="61">
        <f>IF(O1291=0,0,SUMIFS(Disbursements!$T:$T,Disbursements!$B:$B,'Live Collections'!D1291,Disbursements!$D:$D,'Live Collections'!F1291))</f>
        <v>0</v>
      </c>
      <c r="S1291" s="304">
        <f>IF(O1291&lt;=IF($O1291=0,0,SUMIFS(Disbursements!$W:$W,Disbursements!$B:$B,'Live Collections'!D2796,Disbursements!$D:$D,'Live Collections'!F2796)),O1291,IF($O1291=0,0,SUMIFS(Disbursements!$W:$W,Disbursements!$B:$B,'Live Collections'!D2796,Disbursements!$D:$D,'Live Collections'!F2796)))</f>
        <v>0</v>
      </c>
      <c r="T1291" s="304">
        <f t="shared" si="63"/>
        <v>0</v>
      </c>
      <c r="U1291" s="52"/>
      <c r="V1291" s="34"/>
      <c r="W1291" s="408"/>
    </row>
    <row r="1292" spans="1:23" ht="12.75" customHeight="1" x14ac:dyDescent="0.2">
      <c r="A1292" s="257">
        <v>1270</v>
      </c>
      <c r="B1292" s="44">
        <v>44481</v>
      </c>
      <c r="C1292" s="44">
        <f t="shared" si="61"/>
        <v>44481</v>
      </c>
      <c r="D1292" s="374">
        <v>247</v>
      </c>
      <c r="E1292" s="291" t="str">
        <f>IFERROR(VLOOKUP($D1292,'Clients-Live'!$A:$C,3,0),"")</f>
        <v>CHANDIRU SCHOLAR</v>
      </c>
      <c r="F1292" s="291" t="str">
        <f>IFERROR(INDEX(Disbursements!$D:$D,MATCH('Live Collections'!G1292,Disbursements!$C:$C,0)),"")</f>
        <v/>
      </c>
      <c r="G1292" s="34"/>
      <c r="H1292" s="34"/>
      <c r="I1292" s="34" t="s">
        <v>1359</v>
      </c>
      <c r="J1292" s="48"/>
      <c r="K1292" s="48"/>
      <c r="L1292" s="48"/>
      <c r="M1292" s="48"/>
      <c r="N1292" s="59"/>
      <c r="O1292" s="59"/>
      <c r="P1292" s="59">
        <v>90000</v>
      </c>
      <c r="Q1292" s="268">
        <f t="shared" si="62"/>
        <v>90000</v>
      </c>
      <c r="R1292" s="61">
        <f>IF(O1292=0,0,SUMIFS(Disbursements!$T:$T,Disbursements!$B:$B,'Live Collections'!D1292,Disbursements!$D:$D,'Live Collections'!F1292))</f>
        <v>0</v>
      </c>
      <c r="S1292" s="304">
        <f>IF(O1292&lt;=IF($O1292=0,0,SUMIFS(Disbursements!$W:$W,Disbursements!$B:$B,'Live Collections'!D2797,Disbursements!$D:$D,'Live Collections'!F2797)),O1292,IF($O1292=0,0,SUMIFS(Disbursements!$W:$W,Disbursements!$B:$B,'Live Collections'!D2797,Disbursements!$D:$D,'Live Collections'!F2797)))</f>
        <v>0</v>
      </c>
      <c r="T1292" s="304">
        <f t="shared" si="63"/>
        <v>0</v>
      </c>
      <c r="U1292" s="52"/>
      <c r="V1292" s="34"/>
      <c r="W1292" s="408"/>
    </row>
    <row r="1293" spans="1:23" ht="12.75" customHeight="1" x14ac:dyDescent="0.2">
      <c r="A1293" s="132">
        <v>1272</v>
      </c>
      <c r="B1293" s="44">
        <v>44481</v>
      </c>
      <c r="C1293" s="44">
        <f t="shared" si="61"/>
        <v>44481</v>
      </c>
      <c r="D1293" s="374">
        <v>248</v>
      </c>
      <c r="E1293" s="291" t="str">
        <f>IFERROR(VLOOKUP($D1293,'Clients-Live'!$A:$C,3,0),"")</f>
        <v>LETARU GLORIA</v>
      </c>
      <c r="F1293" s="291">
        <f>IFERROR(INDEX(Disbursements!$D:$D,MATCH('Live Collections'!G1293,Disbursements!$C:$C,0)),"")</f>
        <v>1</v>
      </c>
      <c r="G1293" s="34">
        <v>268</v>
      </c>
      <c r="H1293" s="34">
        <v>2952</v>
      </c>
      <c r="I1293" s="34" t="s">
        <v>1359</v>
      </c>
      <c r="J1293" s="48">
        <v>15000</v>
      </c>
      <c r="K1293" s="48">
        <v>5000</v>
      </c>
      <c r="L1293" s="48">
        <v>25000</v>
      </c>
      <c r="M1293" s="48">
        <v>5000</v>
      </c>
      <c r="N1293" s="59"/>
      <c r="O1293" s="59"/>
      <c r="P1293" s="59">
        <v>300000</v>
      </c>
      <c r="Q1293" s="268">
        <f t="shared" si="62"/>
        <v>350000</v>
      </c>
      <c r="R1293" s="61">
        <f>IF(O1293=0,0,SUMIFS(Disbursements!$T:$T,Disbursements!$B:$B,'Live Collections'!D1293,Disbursements!$D:$D,'Live Collections'!F1293))</f>
        <v>0</v>
      </c>
      <c r="S1293" s="304">
        <f>IF(O1293&lt;=IF($O1293=0,0,SUMIFS(Disbursements!$W:$W,Disbursements!$B:$B,'Live Collections'!D2799,Disbursements!$D:$D,'Live Collections'!F2799)),O1293,IF($O1293=0,0,SUMIFS(Disbursements!$W:$W,Disbursements!$B:$B,'Live Collections'!D2799,Disbursements!$D:$D,'Live Collections'!F2799)))</f>
        <v>0</v>
      </c>
      <c r="T1293" s="304">
        <f t="shared" si="63"/>
        <v>0</v>
      </c>
      <c r="U1293" s="52"/>
      <c r="V1293" s="34"/>
      <c r="W1293" s="408"/>
    </row>
    <row r="1294" spans="1:23" ht="12.75" customHeight="1" x14ac:dyDescent="0.2">
      <c r="A1294" s="257">
        <v>1276</v>
      </c>
      <c r="B1294" s="44">
        <v>44482</v>
      </c>
      <c r="C1294" s="44">
        <f t="shared" si="61"/>
        <v>44482</v>
      </c>
      <c r="D1294" s="374">
        <v>18</v>
      </c>
      <c r="E1294" s="291" t="str">
        <f>IFERROR(VLOOKUP($D1294,'Clients-Live'!$A:$C,3,0),"")</f>
        <v>ARIYE PEACE</v>
      </c>
      <c r="F1294" s="291">
        <f>IFERROR(INDEX(Disbursements!$D:$D,MATCH('Live Collections'!G1294,Disbursements!$C:$C,0)),"")</f>
        <v>1</v>
      </c>
      <c r="G1294" s="34">
        <v>9</v>
      </c>
      <c r="H1294" s="34"/>
      <c r="I1294" s="34" t="s">
        <v>1357</v>
      </c>
      <c r="J1294" s="48"/>
      <c r="K1294" s="48"/>
      <c r="L1294" s="48"/>
      <c r="M1294" s="48"/>
      <c r="N1294" s="59"/>
      <c r="O1294" s="59">
        <v>108400</v>
      </c>
      <c r="P1294" s="59"/>
      <c r="Q1294" s="268">
        <f t="shared" si="62"/>
        <v>108400</v>
      </c>
      <c r="R1294" s="61">
        <f>IF(O1294=0,0,SUMIFS(Disbursements!$T:$T,Disbursements!$B:$B,'Live Collections'!D1294,Disbursements!$D:$D,'Live Collections'!F1294))</f>
        <v>109000</v>
      </c>
      <c r="S1294" s="304">
        <f>IF(O1294&lt;=IF($O1294=0,0,SUMIFS(Disbursements!$W:$W,Disbursements!$B:$B,'Live Collections'!D209,Disbursements!$D:$D,'Live Collections'!F209)),O1294,IF($O1294=0,0,SUMIFS(Disbursements!$W:$W,Disbursements!$B:$B,'Live Collections'!D209,Disbursements!$D:$D,'Live Collections'!F209)))</f>
        <v>0</v>
      </c>
      <c r="T1294" s="304">
        <f t="shared" si="63"/>
        <v>108400</v>
      </c>
      <c r="U1294" s="52"/>
      <c r="V1294" s="34"/>
      <c r="W1294" s="408"/>
    </row>
    <row r="1295" spans="1:23" ht="12.75" customHeight="1" x14ac:dyDescent="0.2">
      <c r="A1295" s="132">
        <v>1284</v>
      </c>
      <c r="B1295" s="44">
        <v>44482</v>
      </c>
      <c r="C1295" s="44">
        <f t="shared" si="61"/>
        <v>44482</v>
      </c>
      <c r="D1295" s="374">
        <v>46</v>
      </c>
      <c r="E1295" s="291" t="str">
        <f>IFERROR(VLOOKUP($D1295,'Clients-Live'!$A:$C,3,0),"")</f>
        <v>ALIO YUDA</v>
      </c>
      <c r="F1295" s="291">
        <f>IFERROR(INDEX(Disbursements!$D:$D,MATCH('Live Collections'!G1295,Disbursements!$C:$C,0)),"")</f>
        <v>1</v>
      </c>
      <c r="G1295" s="34">
        <v>35</v>
      </c>
      <c r="H1295" s="34"/>
      <c r="I1295" s="34" t="s">
        <v>1357</v>
      </c>
      <c r="J1295" s="48"/>
      <c r="K1295" s="48"/>
      <c r="L1295" s="48"/>
      <c r="M1295" s="48"/>
      <c r="N1295" s="59"/>
      <c r="O1295" s="59">
        <v>60000</v>
      </c>
      <c r="P1295" s="59"/>
      <c r="Q1295" s="268">
        <f t="shared" si="62"/>
        <v>60000</v>
      </c>
      <c r="R1295" s="61">
        <f>IF(O1295=0,0,SUMIFS(Disbursements!$T:$T,Disbursements!$B:$B,'Live Collections'!D1295,Disbursements!$D:$D,'Live Collections'!F1295))</f>
        <v>325000</v>
      </c>
      <c r="S1295" s="304">
        <f>IF(O1295&lt;=IF($O1295=0,0,SUMIFS(Disbursements!$W:$W,Disbursements!$B:$B,'Live Collections'!D521,Disbursements!$D:$D,'Live Collections'!F521)),O1295,IF($O1295=0,0,SUMIFS(Disbursements!$W:$W,Disbursements!$B:$B,'Live Collections'!D521,Disbursements!$D:$D,'Live Collections'!F521)))</f>
        <v>4000</v>
      </c>
      <c r="T1295" s="304">
        <f t="shared" si="63"/>
        <v>56000</v>
      </c>
      <c r="U1295" s="52"/>
      <c r="V1295" s="34"/>
      <c r="W1295" s="408"/>
    </row>
    <row r="1296" spans="1:23" ht="12.75" customHeight="1" x14ac:dyDescent="0.2">
      <c r="A1296" s="257">
        <v>1275</v>
      </c>
      <c r="B1296" s="44">
        <v>44482</v>
      </c>
      <c r="C1296" s="44">
        <f t="shared" si="61"/>
        <v>44482</v>
      </c>
      <c r="D1296" s="374">
        <v>55</v>
      </c>
      <c r="E1296" s="291" t="str">
        <f>IFERROR(VLOOKUP($D1296,'Clients-Live'!$A:$C,3,0),"")</f>
        <v>SOKOLA SHARON</v>
      </c>
      <c r="F1296" s="291">
        <f>IFERROR(INDEX(Disbursements!$D:$D,MATCH('Live Collections'!G1296,Disbursements!$C:$C,0)),"")</f>
        <v>1</v>
      </c>
      <c r="G1296" s="34">
        <v>48</v>
      </c>
      <c r="H1296" s="34"/>
      <c r="I1296" s="34" t="s">
        <v>1359</v>
      </c>
      <c r="J1296" s="48"/>
      <c r="K1296" s="48"/>
      <c r="L1296" s="48"/>
      <c r="M1296" s="48"/>
      <c r="N1296" s="59"/>
      <c r="O1296" s="59">
        <v>30000</v>
      </c>
      <c r="P1296" s="59"/>
      <c r="Q1296" s="268">
        <f t="shared" si="62"/>
        <v>30000</v>
      </c>
      <c r="R1296" s="61">
        <f>IF(O1296=0,0,SUMIFS(Disbursements!$T:$T,Disbursements!$B:$B,'Live Collections'!D1296,Disbursements!$D:$D,'Live Collections'!F1296))</f>
        <v>90000</v>
      </c>
      <c r="S1296" s="304">
        <f>IF(O1296&lt;=IF($O1296=0,0,SUMIFS(Disbursements!$W:$W,Disbursements!$B:$B,'Live Collections'!D651,Disbursements!$D:$D,'Live Collections'!F651)),O1296,IF($O1296=0,0,SUMIFS(Disbursements!$W:$W,Disbursements!$B:$B,'Live Collections'!D651,Disbursements!$D:$D,'Live Collections'!F651)))</f>
        <v>20000</v>
      </c>
      <c r="T1296" s="304">
        <f t="shared" si="63"/>
        <v>10000</v>
      </c>
      <c r="U1296" s="52"/>
      <c r="V1296" s="34"/>
      <c r="W1296" s="408"/>
    </row>
    <row r="1297" spans="1:23" ht="12.75" customHeight="1" x14ac:dyDescent="0.2">
      <c r="A1297" s="132">
        <v>1282</v>
      </c>
      <c r="B1297" s="44">
        <v>44482</v>
      </c>
      <c r="C1297" s="44">
        <f t="shared" si="61"/>
        <v>44482</v>
      </c>
      <c r="D1297" s="374">
        <v>55</v>
      </c>
      <c r="E1297" s="291" t="str">
        <f>IFERROR(VLOOKUP($D1297,'Clients-Live'!$A:$C,3,0),"")</f>
        <v>SOKOLA SHARON</v>
      </c>
      <c r="F1297" s="291">
        <f>IFERROR(INDEX(Disbursements!$D:$D,MATCH('Live Collections'!G1297,Disbursements!$C:$C,0)),"")</f>
        <v>1</v>
      </c>
      <c r="G1297" s="34">
        <v>48</v>
      </c>
      <c r="H1297" s="34"/>
      <c r="I1297" s="34" t="s">
        <v>1359</v>
      </c>
      <c r="J1297" s="48"/>
      <c r="K1297" s="48"/>
      <c r="L1297" s="48"/>
      <c r="M1297" s="48"/>
      <c r="N1297" s="59"/>
      <c r="O1297" s="59">
        <v>60000</v>
      </c>
      <c r="P1297" s="59"/>
      <c r="Q1297" s="268">
        <f t="shared" si="62"/>
        <v>60000</v>
      </c>
      <c r="R1297" s="61">
        <f>IF(O1297=0,0,SUMIFS(Disbursements!$T:$T,Disbursements!$B:$B,'Live Collections'!D1297,Disbursements!$D:$D,'Live Collections'!F1297))</f>
        <v>90000</v>
      </c>
      <c r="S1297" s="64">
        <v>-10333.333333333328</v>
      </c>
      <c r="T1297" s="304">
        <f t="shared" si="63"/>
        <v>70333.333333333328</v>
      </c>
      <c r="U1297" s="52"/>
      <c r="V1297" s="34"/>
      <c r="W1297" s="408" t="s">
        <v>2086</v>
      </c>
    </row>
    <row r="1298" spans="1:23" ht="12.75" customHeight="1" x14ac:dyDescent="0.2">
      <c r="A1298" s="257">
        <v>1283</v>
      </c>
      <c r="B1298" s="44">
        <v>44482</v>
      </c>
      <c r="C1298" s="44">
        <f t="shared" si="61"/>
        <v>44482</v>
      </c>
      <c r="D1298" s="374">
        <v>55</v>
      </c>
      <c r="E1298" s="291" t="str">
        <f>IFERROR(VLOOKUP($D1298,'Clients-Live'!$A:$C,3,0),"")</f>
        <v>SOKOLA SHARON</v>
      </c>
      <c r="F1298" s="291">
        <v>2</v>
      </c>
      <c r="G1298" s="34">
        <v>288</v>
      </c>
      <c r="H1298" s="34"/>
      <c r="I1298" s="34" t="s">
        <v>1359</v>
      </c>
      <c r="J1298" s="48"/>
      <c r="K1298" s="48"/>
      <c r="L1298" s="48"/>
      <c r="M1298" s="48"/>
      <c r="N1298" s="59"/>
      <c r="O1298" s="59">
        <v>30000</v>
      </c>
      <c r="P1298" s="59"/>
      <c r="Q1298" s="268">
        <f t="shared" si="62"/>
        <v>30000</v>
      </c>
      <c r="R1298" s="61">
        <f>IF(O1298=0,0,SUMIFS(Disbursements!$T:$T,Disbursements!$B:$B,'Live Collections'!D1298,Disbursements!$D:$D,'Live Collections'!F1298))</f>
        <v>210000</v>
      </c>
      <c r="S1298" s="304">
        <f>IF(O1298&lt;=IF($O1298=0,0,SUMIFS(Disbursements!$W:$W,Disbursements!$B:$B,'Live Collections'!D653,Disbursements!$D:$D,'Live Collections'!F653)),O1298,IF($O1298=0,0,SUMIFS(Disbursements!$W:$W,Disbursements!$B:$B,'Live Collections'!D653,Disbursements!$D:$D,'Live Collections'!F653)))</f>
        <v>20000</v>
      </c>
      <c r="T1298" s="304">
        <f t="shared" si="63"/>
        <v>10000</v>
      </c>
      <c r="U1298" s="52"/>
      <c r="V1298" s="34"/>
      <c r="W1298" s="408"/>
    </row>
    <row r="1299" spans="1:23" ht="12.75" customHeight="1" x14ac:dyDescent="0.2">
      <c r="A1299" s="132">
        <v>1289</v>
      </c>
      <c r="B1299" s="44">
        <v>44482</v>
      </c>
      <c r="C1299" s="44">
        <f t="shared" si="61"/>
        <v>44482</v>
      </c>
      <c r="D1299" s="374">
        <v>55</v>
      </c>
      <c r="E1299" s="291" t="str">
        <f>IFERROR(VLOOKUP($D1299,'Clients-Live'!$A:$C,3,0),"")</f>
        <v>SOKOLA SHARON</v>
      </c>
      <c r="F1299" s="291" t="str">
        <f>IFERROR(INDEX(Disbursements!$D:$D,MATCH('Live Collections'!G1299,Disbursements!$C:$C,0)),"")</f>
        <v/>
      </c>
      <c r="G1299" s="34"/>
      <c r="H1299" s="34"/>
      <c r="I1299" s="34" t="s">
        <v>1359</v>
      </c>
      <c r="J1299" s="48"/>
      <c r="K1299" s="48"/>
      <c r="L1299" s="48">
        <v>15000</v>
      </c>
      <c r="M1299" s="48">
        <v>5000</v>
      </c>
      <c r="N1299" s="59"/>
      <c r="O1299" s="59"/>
      <c r="P1299" s="59"/>
      <c r="Q1299" s="268">
        <f t="shared" si="62"/>
        <v>20000</v>
      </c>
      <c r="R1299" s="61">
        <f>IF(O1299=0,0,SUMIFS(Disbursements!$T:$T,Disbursements!$B:$B,'Live Collections'!D1299,Disbursements!$D:$D,'Live Collections'!F1299))</f>
        <v>0</v>
      </c>
      <c r="S1299" s="304">
        <f>IF(O1299&lt;=IF($O1299=0,0,SUMIFS(Disbursements!$W:$W,Disbursements!$B:$B,'Live Collections'!D654,Disbursements!$D:$D,'Live Collections'!F654)),O1299,IF($O1299=0,0,SUMIFS(Disbursements!$W:$W,Disbursements!$B:$B,'Live Collections'!D654,Disbursements!$D:$D,'Live Collections'!F654)))</f>
        <v>0</v>
      </c>
      <c r="T1299" s="304">
        <f t="shared" si="63"/>
        <v>0</v>
      </c>
      <c r="U1299" s="52"/>
      <c r="V1299" s="34"/>
      <c r="W1299" s="408"/>
    </row>
    <row r="1300" spans="1:23" ht="12.75" customHeight="1" x14ac:dyDescent="0.2">
      <c r="A1300" s="132">
        <v>1280</v>
      </c>
      <c r="B1300" s="44">
        <v>44482</v>
      </c>
      <c r="C1300" s="44">
        <f t="shared" si="61"/>
        <v>44482</v>
      </c>
      <c r="D1300" s="374">
        <v>74</v>
      </c>
      <c r="E1300" s="291" t="str">
        <f>IFERROR(VLOOKUP($D1300,'Clients-Live'!$A:$C,3,0),"")</f>
        <v>YUKUWE AISHA</v>
      </c>
      <c r="F1300" s="291">
        <f>IFERROR(INDEX(Disbursements!$D:$D,MATCH('Live Collections'!G1300,Disbursements!$C:$C,0)),"")</f>
        <v>1</v>
      </c>
      <c r="G1300" s="34">
        <v>59</v>
      </c>
      <c r="H1300" s="34"/>
      <c r="I1300" s="34" t="s">
        <v>1358</v>
      </c>
      <c r="J1300" s="48"/>
      <c r="K1300" s="48"/>
      <c r="L1300" s="48"/>
      <c r="M1300" s="48"/>
      <c r="N1300" s="59"/>
      <c r="O1300" s="59">
        <v>60000</v>
      </c>
      <c r="P1300" s="59"/>
      <c r="Q1300" s="268">
        <f t="shared" si="62"/>
        <v>60000</v>
      </c>
      <c r="R1300" s="61">
        <f>IF(O1300=0,0,SUMIFS(Disbursements!$T:$T,Disbursements!$B:$B,'Live Collections'!D1300,Disbursements!$D:$D,'Live Collections'!F1300))</f>
        <v>90000</v>
      </c>
      <c r="S1300" s="304"/>
      <c r="T1300" s="304">
        <f t="shared" si="63"/>
        <v>60000</v>
      </c>
      <c r="U1300" s="52"/>
      <c r="V1300" s="34"/>
      <c r="W1300" s="408"/>
    </row>
    <row r="1301" spans="1:23" ht="12.75" customHeight="1" x14ac:dyDescent="0.2">
      <c r="A1301" s="257">
        <v>1281</v>
      </c>
      <c r="B1301" s="44">
        <v>44482</v>
      </c>
      <c r="C1301" s="44">
        <f t="shared" si="61"/>
        <v>44482</v>
      </c>
      <c r="D1301" s="374">
        <v>74</v>
      </c>
      <c r="E1301" s="291" t="str">
        <f>IFERROR(VLOOKUP($D1301,'Clients-Live'!$A:$C,3,0),"")</f>
        <v>YUKUWE AISHA</v>
      </c>
      <c r="F1301" s="291">
        <f>IFERROR(INDEX(Disbursements!$D:$D,MATCH('Live Collections'!G1301,Disbursements!$C:$C,0)),"")</f>
        <v>1</v>
      </c>
      <c r="G1301" s="34">
        <v>59</v>
      </c>
      <c r="H1301" s="34"/>
      <c r="I1301" s="34" t="s">
        <v>1358</v>
      </c>
      <c r="J1301" s="48"/>
      <c r="K1301" s="48"/>
      <c r="L1301" s="48"/>
      <c r="M1301" s="48"/>
      <c r="N1301" s="59"/>
      <c r="O1301" s="59">
        <v>30000</v>
      </c>
      <c r="P1301" s="59"/>
      <c r="Q1301" s="268">
        <f t="shared" si="62"/>
        <v>30000</v>
      </c>
      <c r="R1301" s="61">
        <f>IF(O1301=0,0,SUMIFS(Disbursements!$T:$T,Disbursements!$B:$B,'Live Collections'!D1301,Disbursements!$D:$D,'Live Collections'!F1301))</f>
        <v>90000</v>
      </c>
      <c r="S1301" s="304"/>
      <c r="T1301" s="304">
        <f t="shared" si="63"/>
        <v>30000</v>
      </c>
      <c r="U1301" s="52"/>
      <c r="V1301" s="34"/>
      <c r="W1301" s="408"/>
    </row>
    <row r="1302" spans="1:23" ht="12.75" customHeight="1" x14ac:dyDescent="0.2">
      <c r="A1302" s="132">
        <v>1279</v>
      </c>
      <c r="B1302" s="44">
        <v>44482</v>
      </c>
      <c r="C1302" s="44">
        <f t="shared" si="61"/>
        <v>44482</v>
      </c>
      <c r="D1302" s="374">
        <v>75</v>
      </c>
      <c r="E1302" s="291" t="str">
        <f>IFERROR(VLOOKUP($D1302,'Clients-Live'!$A:$C,3,0),"")</f>
        <v>MUKULIA JAMES</v>
      </c>
      <c r="F1302" s="291">
        <f>IFERROR(INDEX(Disbursements!$D:$D,MATCH('Live Collections'!G1302,Disbursements!$C:$C,0)),"")</f>
        <v>2</v>
      </c>
      <c r="G1302" s="34">
        <v>174</v>
      </c>
      <c r="H1302" s="34"/>
      <c r="I1302" s="34" t="s">
        <v>1359</v>
      </c>
      <c r="J1302" s="48"/>
      <c r="K1302" s="48"/>
      <c r="L1302" s="48"/>
      <c r="M1302" s="48"/>
      <c r="N1302" s="59"/>
      <c r="O1302" s="59">
        <v>80000</v>
      </c>
      <c r="P1302" s="59"/>
      <c r="Q1302" s="268">
        <f t="shared" si="62"/>
        <v>80000</v>
      </c>
      <c r="R1302" s="61">
        <f>IF(O1302=0,0,SUMIFS(Disbursements!$T:$T,Disbursements!$B:$B,'Live Collections'!D1302,Disbursements!$D:$D,'Live Collections'!F1302))</f>
        <v>175000</v>
      </c>
      <c r="S1302" s="304">
        <f>IF(O1302&lt;=IF($O1302=0,0,SUMIFS(Disbursements!$W:$W,Disbursements!$B:$B,'Live Collections'!D957,Disbursements!$D:$D,'Live Collections'!F957)),O1302,IF($O1302=0,0,SUMIFS(Disbursements!$W:$W,Disbursements!$B:$B,'Live Collections'!D957,Disbursements!$D:$D,'Live Collections'!F957)))</f>
        <v>0</v>
      </c>
      <c r="T1302" s="304">
        <f t="shared" si="63"/>
        <v>80000</v>
      </c>
      <c r="U1302" s="52"/>
      <c r="V1302" s="34"/>
      <c r="W1302" s="408"/>
    </row>
    <row r="1303" spans="1:23" ht="12.75" customHeight="1" x14ac:dyDescent="0.2">
      <c r="A1303" s="257">
        <v>1287</v>
      </c>
      <c r="B1303" s="44">
        <v>44482</v>
      </c>
      <c r="C1303" s="44">
        <f t="shared" si="61"/>
        <v>44482</v>
      </c>
      <c r="D1303" s="374">
        <v>128</v>
      </c>
      <c r="E1303" s="291" t="str">
        <f>IFERROR(VLOOKUP($D1303,'Clients-Live'!$A:$C,3,0),"")</f>
        <v>AJONYE BETTY</v>
      </c>
      <c r="F1303" s="291">
        <f>IFERROR(INDEX(Disbursements!$D:$D,MATCH('Live Collections'!G1303,Disbursements!$C:$C,0)),"")</f>
        <v>1</v>
      </c>
      <c r="G1303" s="34">
        <v>112</v>
      </c>
      <c r="H1303" s="34"/>
      <c r="I1303" s="34" t="s">
        <v>1359</v>
      </c>
      <c r="J1303" s="48"/>
      <c r="K1303" s="48"/>
      <c r="L1303" s="48"/>
      <c r="M1303" s="48"/>
      <c r="N1303" s="59"/>
      <c r="O1303" s="59">
        <v>180000</v>
      </c>
      <c r="P1303" s="59"/>
      <c r="Q1303" s="268">
        <f t="shared" si="62"/>
        <v>180000</v>
      </c>
      <c r="R1303" s="61">
        <f>IF(O1303=0,0,SUMIFS(Disbursements!$T:$T,Disbursements!$B:$B,'Live Collections'!D1303,Disbursements!$D:$D,'Live Collections'!F1303))</f>
        <v>90000</v>
      </c>
      <c r="S1303" s="304">
        <f>IF(O1303&lt;=IF($O1303=0,0,SUMIFS(Disbursements!$W:$W,Disbursements!$B:$B,'Live Collections'!D1621,Disbursements!$D:$D,'Live Collections'!F1621)),O1303,IF($O1303=0,0,SUMIFS(Disbursements!$W:$W,Disbursements!$B:$B,'Live Collections'!D1621,Disbursements!$D:$D,'Live Collections'!F1621)))</f>
        <v>0</v>
      </c>
      <c r="T1303" s="304">
        <f t="shared" si="63"/>
        <v>180000</v>
      </c>
      <c r="U1303" s="52"/>
      <c r="V1303" s="34"/>
      <c r="W1303" s="408"/>
    </row>
    <row r="1304" spans="1:23" ht="12.75" customHeight="1" x14ac:dyDescent="0.2">
      <c r="A1304" s="132">
        <v>1278</v>
      </c>
      <c r="B1304" s="44">
        <v>44482</v>
      </c>
      <c r="C1304" s="44">
        <f t="shared" si="61"/>
        <v>44482</v>
      </c>
      <c r="D1304" s="374">
        <v>134</v>
      </c>
      <c r="E1304" s="291" t="str">
        <f>IFERROR(VLOOKUP($D1304,'Clients-Live'!$A:$C,3,0),"")</f>
        <v>TABU NATALIYA</v>
      </c>
      <c r="F1304" s="291">
        <f>IFERROR(INDEX(Disbursements!$D:$D,MATCH('Live Collections'!G1304,Disbursements!$C:$C,0)),"")</f>
        <v>1</v>
      </c>
      <c r="G1304" s="34">
        <v>117</v>
      </c>
      <c r="H1304" s="34"/>
      <c r="I1304" s="34" t="s">
        <v>1359</v>
      </c>
      <c r="J1304" s="48"/>
      <c r="K1304" s="48"/>
      <c r="L1304" s="48"/>
      <c r="M1304" s="48"/>
      <c r="N1304" s="59"/>
      <c r="O1304" s="59">
        <v>70000</v>
      </c>
      <c r="P1304" s="59"/>
      <c r="Q1304" s="268">
        <f t="shared" si="62"/>
        <v>70000</v>
      </c>
      <c r="R1304" s="61">
        <f>IF(O1304=0,0,SUMIFS(Disbursements!$T:$T,Disbursements!$B:$B,'Live Collections'!D1304,Disbursements!$D:$D,'Live Collections'!F1304))</f>
        <v>120000</v>
      </c>
      <c r="S1304" s="304">
        <f>IF(O1304&lt;=IF($O1304=0,0,SUMIFS(Disbursements!$W:$W,Disbursements!$B:$B,'Live Collections'!D2642,Disbursements!$D:$D,'Live Collections'!F2642)),O1304,IF($O1304=0,0,SUMIFS(Disbursements!$W:$W,Disbursements!$B:$B,'Live Collections'!D2642,Disbursements!$D:$D,'Live Collections'!F2642)))</f>
        <v>70000</v>
      </c>
      <c r="T1304" s="304">
        <f t="shared" si="63"/>
        <v>0</v>
      </c>
      <c r="U1304" s="52"/>
      <c r="V1304" s="34"/>
      <c r="W1304" s="408"/>
    </row>
    <row r="1305" spans="1:23" ht="12.75" customHeight="1" x14ac:dyDescent="0.2">
      <c r="A1305" s="257">
        <v>1285</v>
      </c>
      <c r="B1305" s="44">
        <v>44482</v>
      </c>
      <c r="C1305" s="44">
        <f t="shared" si="61"/>
        <v>44482</v>
      </c>
      <c r="D1305" s="374">
        <v>140</v>
      </c>
      <c r="E1305" s="291" t="str">
        <f>IFERROR(VLOOKUP($D1305,'Clients-Live'!$A:$C,3,0),"")</f>
        <v>AYIKORU MARIAM</v>
      </c>
      <c r="F1305" s="291">
        <f>IFERROR(INDEX(Disbursements!$D:$D,MATCH('Live Collections'!G1305,Disbursements!$C:$C,0)),"")</f>
        <v>1</v>
      </c>
      <c r="G1305" s="34">
        <v>125</v>
      </c>
      <c r="H1305" s="34"/>
      <c r="I1305" s="34" t="s">
        <v>1358</v>
      </c>
      <c r="J1305" s="48"/>
      <c r="K1305" s="48"/>
      <c r="L1305" s="48"/>
      <c r="M1305" s="48"/>
      <c r="N1305" s="59"/>
      <c r="O1305" s="59">
        <v>32000</v>
      </c>
      <c r="P1305" s="59"/>
      <c r="Q1305" s="268">
        <f t="shared" si="62"/>
        <v>32000</v>
      </c>
      <c r="R1305" s="61">
        <f>IF(O1305=0,0,SUMIFS(Disbursements!$T:$T,Disbursements!$B:$B,'Live Collections'!D1305,Disbursements!$D:$D,'Live Collections'!F1305))</f>
        <v>192000</v>
      </c>
      <c r="S1305" s="304"/>
      <c r="T1305" s="304">
        <f t="shared" si="63"/>
        <v>32000</v>
      </c>
      <c r="U1305" s="52"/>
      <c r="V1305" s="34"/>
      <c r="W1305" s="408"/>
    </row>
    <row r="1306" spans="1:23" ht="12.75" customHeight="1" x14ac:dyDescent="0.2">
      <c r="A1306" s="132">
        <v>1277</v>
      </c>
      <c r="B1306" s="44">
        <v>44482</v>
      </c>
      <c r="C1306" s="44">
        <f t="shared" si="61"/>
        <v>44482</v>
      </c>
      <c r="D1306" s="374">
        <v>163</v>
      </c>
      <c r="E1306" s="291" t="str">
        <f>IFERROR(VLOOKUP($D1306,'Clients-Live'!$A:$C,3,0),"")</f>
        <v>CHANDIRU RAMULA</v>
      </c>
      <c r="F1306" s="291">
        <f>IFERROR(INDEX(Disbursements!$D:$D,MATCH('Live Collections'!G1306,Disbursements!$C:$C,0)),"")</f>
        <v>1</v>
      </c>
      <c r="G1306" s="34">
        <v>156</v>
      </c>
      <c r="H1306" s="34"/>
      <c r="I1306" s="34" t="s">
        <v>1358</v>
      </c>
      <c r="J1306" s="48"/>
      <c r="K1306" s="48"/>
      <c r="L1306" s="48"/>
      <c r="M1306" s="48"/>
      <c r="N1306" s="59"/>
      <c r="O1306" s="59">
        <v>115000</v>
      </c>
      <c r="P1306" s="59"/>
      <c r="Q1306" s="268">
        <f t="shared" si="62"/>
        <v>115000</v>
      </c>
      <c r="R1306" s="61">
        <f>IF(O1306=0,0,SUMIFS(Disbursements!$T:$T,Disbursements!$B:$B,'Live Collections'!D1306,Disbursements!$D:$D,'Live Collections'!F1306))</f>
        <v>115000</v>
      </c>
      <c r="S1306" s="64">
        <v>10000</v>
      </c>
      <c r="T1306" s="304">
        <f t="shared" si="63"/>
        <v>105000</v>
      </c>
      <c r="U1306" s="52"/>
      <c r="V1306" s="34"/>
      <c r="W1306" s="408"/>
    </row>
    <row r="1307" spans="1:23" ht="12.75" customHeight="1" x14ac:dyDescent="0.2">
      <c r="A1307" s="257">
        <v>1286</v>
      </c>
      <c r="B1307" s="44">
        <v>44482</v>
      </c>
      <c r="C1307" s="44">
        <f t="shared" si="61"/>
        <v>44482</v>
      </c>
      <c r="D1307" s="374">
        <v>179</v>
      </c>
      <c r="E1307" s="291" t="str">
        <f>IFERROR(VLOOKUP($D1307,'Clients-Live'!$A:$C,3,0),"")</f>
        <v>GERIA VIOLA</v>
      </c>
      <c r="F1307" s="291">
        <f>IFERROR(INDEX(Disbursements!$D:$D,MATCH('Live Collections'!G1307,Disbursements!$C:$C,0)),"")</f>
        <v>1</v>
      </c>
      <c r="G1307" s="34">
        <v>167</v>
      </c>
      <c r="H1307" s="34"/>
      <c r="I1307" s="34" t="s">
        <v>1359</v>
      </c>
      <c r="J1307" s="48"/>
      <c r="K1307" s="48"/>
      <c r="L1307" s="48"/>
      <c r="M1307" s="48"/>
      <c r="N1307" s="59"/>
      <c r="O1307" s="59">
        <v>25000</v>
      </c>
      <c r="P1307" s="59"/>
      <c r="Q1307" s="268">
        <f t="shared" si="62"/>
        <v>25000</v>
      </c>
      <c r="R1307" s="61">
        <f>IF(O1307=0,0,SUMIFS(Disbursements!$T:$T,Disbursements!$B:$B,'Live Collections'!D1307,Disbursements!$D:$D,'Live Collections'!F1307))</f>
        <v>115000</v>
      </c>
      <c r="S1307" s="304"/>
      <c r="T1307" s="304">
        <f t="shared" si="63"/>
        <v>25000</v>
      </c>
      <c r="U1307" s="52"/>
      <c r="V1307" s="34"/>
      <c r="W1307" s="408"/>
    </row>
    <row r="1308" spans="1:23" ht="12.75" customHeight="1" x14ac:dyDescent="0.2">
      <c r="A1308" s="132">
        <v>1288</v>
      </c>
      <c r="B1308" s="44">
        <v>44482</v>
      </c>
      <c r="C1308" s="44">
        <f t="shared" si="61"/>
        <v>44482</v>
      </c>
      <c r="D1308" s="374">
        <v>243</v>
      </c>
      <c r="E1308" s="291" t="str">
        <f>IFERROR(VLOOKUP($D1308,'Clients-Live'!$A:$C,3,0),"")</f>
        <v>AMANIYO FARIDA</v>
      </c>
      <c r="F1308" s="291" t="str">
        <f>IFERROR(INDEX(Disbursements!$D:$D,MATCH('Live Collections'!G1308,Disbursements!$C:$C,0)),"")</f>
        <v/>
      </c>
      <c r="G1308" s="34"/>
      <c r="H1308" s="34"/>
      <c r="I1308" s="34" t="s">
        <v>1357</v>
      </c>
      <c r="J1308" s="48"/>
      <c r="K1308" s="48"/>
      <c r="L1308" s="48"/>
      <c r="M1308" s="48"/>
      <c r="N1308" s="59"/>
      <c r="O1308" s="59"/>
      <c r="P1308" s="59">
        <v>50000</v>
      </c>
      <c r="Q1308" s="268">
        <f t="shared" si="62"/>
        <v>50000</v>
      </c>
      <c r="R1308" s="61">
        <f>IF(O1308=0,0,SUMIFS(Disbursements!$T:$T,Disbursements!$B:$B,'Live Collections'!D1308,Disbursements!$D:$D,'Live Collections'!F1308))</f>
        <v>0</v>
      </c>
      <c r="S1308" s="304">
        <f>IF(O1308&lt;=IF($O1308=0,0,SUMIFS(Disbursements!$W:$W,Disbursements!$B:$B,'Live Collections'!D2768,Disbursements!$D:$D,'Live Collections'!F2768)),O1308,IF($O1308=0,0,SUMIFS(Disbursements!$W:$W,Disbursements!$B:$B,'Live Collections'!D2768,Disbursements!$D:$D,'Live Collections'!F2768)))</f>
        <v>0</v>
      </c>
      <c r="T1308" s="304">
        <f t="shared" si="63"/>
        <v>0</v>
      </c>
      <c r="U1308" s="52"/>
      <c r="V1308" s="34"/>
      <c r="W1308" s="408"/>
    </row>
    <row r="1309" spans="1:23" ht="12.75" customHeight="1" x14ac:dyDescent="0.2">
      <c r="A1309" s="257">
        <v>1290</v>
      </c>
      <c r="B1309" s="44">
        <v>44482</v>
      </c>
      <c r="C1309" s="44">
        <f t="shared" si="61"/>
        <v>44482</v>
      </c>
      <c r="D1309" s="374">
        <v>249</v>
      </c>
      <c r="E1309" s="291" t="str">
        <f>IFERROR(VLOOKUP($D1309,'Clients-Live'!$A:$C,3,0),"")</f>
        <v>ATIKU SIRAJI</v>
      </c>
      <c r="F1309" s="291" t="str">
        <f>IFERROR(INDEX(Disbursements!$D:$D,MATCH('Live Collections'!G1309,Disbursements!$C:$C,0)),"")</f>
        <v/>
      </c>
      <c r="G1309" s="34"/>
      <c r="H1309" s="34"/>
      <c r="I1309" s="34" t="s">
        <v>1716</v>
      </c>
      <c r="J1309" s="48">
        <v>15000</v>
      </c>
      <c r="K1309" s="48">
        <v>5000</v>
      </c>
      <c r="L1309" s="48"/>
      <c r="M1309" s="48"/>
      <c r="N1309" s="59"/>
      <c r="O1309" s="59"/>
      <c r="P1309" s="59"/>
      <c r="Q1309" s="268">
        <f t="shared" si="62"/>
        <v>20000</v>
      </c>
      <c r="R1309" s="61">
        <f>IF(O1309=0,0,SUMIFS(Disbursements!$T:$T,Disbursements!$B:$B,'Live Collections'!D1309,Disbursements!$D:$D,'Live Collections'!F1309))</f>
        <v>0</v>
      </c>
      <c r="S1309" s="304">
        <f>IF(O1309&lt;=IF($O1309=0,0,SUMIFS(Disbursements!$W:$W,Disbursements!$B:$B,'Live Collections'!D2809,Disbursements!$D:$D,'Live Collections'!F2809)),O1309,IF($O1309=0,0,SUMIFS(Disbursements!$W:$W,Disbursements!$B:$B,'Live Collections'!D2809,Disbursements!$D:$D,'Live Collections'!F2809)))</f>
        <v>0</v>
      </c>
      <c r="T1309" s="304">
        <f t="shared" si="63"/>
        <v>0</v>
      </c>
      <c r="U1309" s="52"/>
      <c r="V1309" s="34"/>
      <c r="W1309" s="408"/>
    </row>
    <row r="1310" spans="1:23" ht="12.75" customHeight="1" x14ac:dyDescent="0.2">
      <c r="A1310" s="132">
        <v>1292</v>
      </c>
      <c r="B1310" s="44">
        <v>44482</v>
      </c>
      <c r="C1310" s="44">
        <f t="shared" si="61"/>
        <v>44482</v>
      </c>
      <c r="D1310" s="374">
        <v>250</v>
      </c>
      <c r="E1310" s="291" t="str">
        <f>IFERROR(VLOOKUP($D1310,'Clients-Live'!$A:$C,3,0),"")</f>
        <v>SAKAYA AMINA</v>
      </c>
      <c r="F1310" s="291" t="str">
        <f>IFERROR(INDEX(Disbursements!$D:$D,MATCH('Live Collections'!G1310,Disbursements!$C:$C,0)),"")</f>
        <v/>
      </c>
      <c r="G1310" s="34"/>
      <c r="H1310" s="34"/>
      <c r="I1310" s="34" t="s">
        <v>1716</v>
      </c>
      <c r="J1310" s="48">
        <v>15000</v>
      </c>
      <c r="K1310" s="48">
        <v>5000</v>
      </c>
      <c r="L1310" s="48">
        <v>10000</v>
      </c>
      <c r="M1310" s="48">
        <v>5000</v>
      </c>
      <c r="N1310" s="59"/>
      <c r="O1310" s="59"/>
      <c r="P1310" s="59"/>
      <c r="Q1310" s="268">
        <f t="shared" si="62"/>
        <v>35000</v>
      </c>
      <c r="R1310" s="61">
        <f>IF(O1310=0,0,SUMIFS(Disbursements!$T:$T,Disbursements!$B:$B,'Live Collections'!D1310,Disbursements!$D:$D,'Live Collections'!F1310))</f>
        <v>0</v>
      </c>
      <c r="S1310" s="304">
        <f>IF(O1310&lt;=IF($O1310=0,0,SUMIFS(Disbursements!$W:$W,Disbursements!$B:$B,'Live Collections'!D2810,Disbursements!$D:$D,'Live Collections'!F2810)),O1310,IF($O1310=0,0,SUMIFS(Disbursements!$W:$W,Disbursements!$B:$B,'Live Collections'!D2810,Disbursements!$D:$D,'Live Collections'!F2810)))</f>
        <v>0</v>
      </c>
      <c r="T1310" s="304">
        <f t="shared" si="63"/>
        <v>0</v>
      </c>
      <c r="U1310" s="52"/>
      <c r="V1310" s="34"/>
      <c r="W1310" s="408"/>
    </row>
    <row r="1311" spans="1:23" ht="12.75" customHeight="1" x14ac:dyDescent="0.2">
      <c r="A1311" s="257">
        <v>1291</v>
      </c>
      <c r="B1311" s="44">
        <v>44482</v>
      </c>
      <c r="C1311" s="44">
        <f t="shared" si="61"/>
        <v>44482</v>
      </c>
      <c r="D1311" s="374">
        <v>251</v>
      </c>
      <c r="E1311" s="291" t="str">
        <f>IFERROR(VLOOKUP($D1311,'Clients-Live'!$A:$C,3,0),"")</f>
        <v>SIDA ZAINABU</v>
      </c>
      <c r="F1311" s="291" t="str">
        <f>IFERROR(INDEX(Disbursements!$D:$D,MATCH('Live Collections'!G1311,Disbursements!$C:$C,0)),"")</f>
        <v/>
      </c>
      <c r="G1311" s="34"/>
      <c r="H1311" s="34"/>
      <c r="I1311" s="34" t="s">
        <v>1359</v>
      </c>
      <c r="J1311" s="48">
        <v>15000</v>
      </c>
      <c r="K1311" s="48">
        <v>5000</v>
      </c>
      <c r="L1311" s="48">
        <v>10000</v>
      </c>
      <c r="M1311" s="48">
        <v>5000</v>
      </c>
      <c r="N1311" s="59"/>
      <c r="O1311" s="59"/>
      <c r="P1311" s="59"/>
      <c r="Q1311" s="268">
        <f t="shared" si="62"/>
        <v>35000</v>
      </c>
      <c r="R1311" s="61">
        <f>IF(O1311=0,0,SUMIFS(Disbursements!$T:$T,Disbursements!$B:$B,'Live Collections'!D1311,Disbursements!$D:$D,'Live Collections'!F1311))</f>
        <v>0</v>
      </c>
      <c r="S1311" s="304">
        <f>IF(O1311&lt;=IF($O1311=0,0,SUMIFS(Disbursements!$W:$W,Disbursements!$B:$B,'Live Collections'!D2820,Disbursements!$D:$D,'Live Collections'!F2820)),O1311,IF($O1311=0,0,SUMIFS(Disbursements!$W:$W,Disbursements!$B:$B,'Live Collections'!D2820,Disbursements!$D:$D,'Live Collections'!F2820)))</f>
        <v>0</v>
      </c>
      <c r="T1311" s="304">
        <f t="shared" si="63"/>
        <v>0</v>
      </c>
      <c r="U1311" s="52"/>
      <c r="V1311" s="34"/>
      <c r="W1311" s="408"/>
    </row>
    <row r="1312" spans="1:23" ht="12.75" customHeight="1" x14ac:dyDescent="0.2">
      <c r="A1312" s="132">
        <v>1298</v>
      </c>
      <c r="B1312" s="44">
        <v>44483</v>
      </c>
      <c r="C1312" s="44">
        <f t="shared" si="61"/>
        <v>44483</v>
      </c>
      <c r="D1312" s="374">
        <v>2</v>
      </c>
      <c r="E1312" s="291" t="str">
        <f>IFERROR(VLOOKUP($D1312,'Clients-Live'!$A:$C,3,0),"")</f>
        <v>LEYA ROSE</v>
      </c>
      <c r="F1312" s="291">
        <f>IFERROR(INDEX(Disbursements!$D:$D,MATCH('Live Collections'!G1312,Disbursements!$C:$C,0)),"")</f>
        <v>1</v>
      </c>
      <c r="G1312" s="34">
        <v>4</v>
      </c>
      <c r="H1312" s="34"/>
      <c r="I1312" s="34" t="s">
        <v>1358</v>
      </c>
      <c r="J1312" s="48"/>
      <c r="K1312" s="48"/>
      <c r="L1312" s="48"/>
      <c r="M1312" s="48"/>
      <c r="N1312" s="59"/>
      <c r="O1312" s="59">
        <v>200000</v>
      </c>
      <c r="P1312" s="59"/>
      <c r="Q1312" s="268">
        <f t="shared" si="62"/>
        <v>200000</v>
      </c>
      <c r="R1312" s="61">
        <f>IF(O1312=0,0,SUMIFS(Disbursements!$T:$T,Disbursements!$B:$B,'Live Collections'!D1312,Disbursements!$D:$D,'Live Collections'!F1312))</f>
        <v>217000</v>
      </c>
      <c r="S1312" s="64">
        <v>280666.66666666674</v>
      </c>
      <c r="T1312" s="304">
        <f t="shared" si="63"/>
        <v>-80666.666666666744</v>
      </c>
      <c r="U1312" s="52"/>
      <c r="V1312" s="34"/>
      <c r="W1312" s="408"/>
    </row>
    <row r="1313" spans="1:23" ht="12.75" customHeight="1" x14ac:dyDescent="0.2">
      <c r="A1313" s="257">
        <v>1295</v>
      </c>
      <c r="B1313" s="44">
        <v>44483</v>
      </c>
      <c r="C1313" s="44">
        <f t="shared" si="61"/>
        <v>44483</v>
      </c>
      <c r="D1313" s="374">
        <v>35</v>
      </c>
      <c r="E1313" s="291" t="str">
        <f>IFERROR(VLOOKUP($D1313,'Clients-Live'!$A:$C,3,0),"")</f>
        <v>ALEZUYO DOCUS</v>
      </c>
      <c r="F1313" s="291">
        <f>IFERROR(INDEX(Disbursements!$D:$D,MATCH('Live Collections'!G1313,Disbursements!$C:$C,0)),"")</f>
        <v>2</v>
      </c>
      <c r="G1313" s="34">
        <v>155</v>
      </c>
      <c r="H1313" s="34"/>
      <c r="I1313" s="34" t="s">
        <v>1359</v>
      </c>
      <c r="J1313" s="48"/>
      <c r="K1313" s="48"/>
      <c r="L1313" s="48"/>
      <c r="M1313" s="48"/>
      <c r="N1313" s="59"/>
      <c r="O1313" s="59">
        <v>100000</v>
      </c>
      <c r="P1313" s="59"/>
      <c r="Q1313" s="268">
        <f t="shared" si="62"/>
        <v>100000</v>
      </c>
      <c r="R1313" s="61">
        <f>IF(O1313=0,0,SUMIFS(Disbursements!$T:$T,Disbursements!$B:$B,'Live Collections'!D1313,Disbursements!$D:$D,'Live Collections'!F1313))</f>
        <v>250000</v>
      </c>
      <c r="S1313" s="304">
        <f>IF(O1313&lt;=IF($O1313=0,0,SUMIFS(Disbursements!$W:$W,Disbursements!$B:$B,'Live Collections'!D411,Disbursements!$D:$D,'Live Collections'!F411)),O1313,IF($O1313=0,0,SUMIFS(Disbursements!$W:$W,Disbursements!$B:$B,'Live Collections'!D411,Disbursements!$D:$D,'Live Collections'!F411)))</f>
        <v>10000</v>
      </c>
      <c r="T1313" s="304">
        <f t="shared" si="63"/>
        <v>90000</v>
      </c>
      <c r="U1313" s="52"/>
      <c r="V1313" s="34"/>
      <c r="W1313" s="408"/>
    </row>
    <row r="1314" spans="1:23" ht="12.75" customHeight="1" x14ac:dyDescent="0.2">
      <c r="A1314" s="132">
        <v>1299</v>
      </c>
      <c r="B1314" s="44">
        <v>44483</v>
      </c>
      <c r="C1314" s="44">
        <f t="shared" si="61"/>
        <v>44483</v>
      </c>
      <c r="D1314" s="374">
        <v>59</v>
      </c>
      <c r="E1314" s="291" t="str">
        <f>IFERROR(VLOOKUP($D1314,'Clients-Live'!$A:$C,3,0),"")</f>
        <v>ONZIA AGNES</v>
      </c>
      <c r="F1314" s="291">
        <f>IFERROR(INDEX(Disbursements!$D:$D,MATCH('Live Collections'!G1314,Disbursements!$C:$C,0)),"")</f>
        <v>1</v>
      </c>
      <c r="G1314" s="34">
        <v>39</v>
      </c>
      <c r="H1314" s="34">
        <v>2964</v>
      </c>
      <c r="I1314" s="34" t="s">
        <v>1358</v>
      </c>
      <c r="J1314" s="48"/>
      <c r="K1314" s="48"/>
      <c r="L1314" s="48"/>
      <c r="M1314" s="48"/>
      <c r="N1314" s="59"/>
      <c r="O1314" s="59">
        <v>100000</v>
      </c>
      <c r="P1314" s="59"/>
      <c r="Q1314" s="268">
        <f t="shared" si="62"/>
        <v>100000</v>
      </c>
      <c r="R1314" s="61">
        <f>IF(O1314=0,0,SUMIFS(Disbursements!$T:$T,Disbursements!$B:$B,'Live Collections'!D1314,Disbursements!$D:$D,'Live Collections'!F1314))</f>
        <v>150000</v>
      </c>
      <c r="S1314" s="304">
        <v>24000</v>
      </c>
      <c r="T1314" s="304">
        <f t="shared" si="63"/>
        <v>76000</v>
      </c>
      <c r="U1314" s="52"/>
      <c r="V1314" s="34"/>
      <c r="W1314" s="408"/>
    </row>
    <row r="1315" spans="1:23" ht="12.75" customHeight="1" x14ac:dyDescent="0.2">
      <c r="A1315" s="257">
        <v>1296</v>
      </c>
      <c r="B1315" s="44">
        <v>44483</v>
      </c>
      <c r="C1315" s="44">
        <f t="shared" si="61"/>
        <v>44483</v>
      </c>
      <c r="D1315" s="374">
        <v>128</v>
      </c>
      <c r="E1315" s="291" t="str">
        <f>IFERROR(VLOOKUP($D1315,'Clients-Live'!$A:$C,3,0),"")</f>
        <v>AJONYE BETTY</v>
      </c>
      <c r="F1315" s="291">
        <f>IFERROR(INDEX(Disbursements!$D:$D,MATCH('Live Collections'!G1315,Disbursements!$C:$C,0)),"")</f>
        <v>1</v>
      </c>
      <c r="G1315" s="34">
        <v>112</v>
      </c>
      <c r="H1315" s="34"/>
      <c r="I1315" s="34" t="s">
        <v>1359</v>
      </c>
      <c r="J1315" s="48"/>
      <c r="K1315" s="48"/>
      <c r="L1315" s="48"/>
      <c r="M1315" s="48"/>
      <c r="N1315" s="59"/>
      <c r="O1315" s="59">
        <v>10000</v>
      </c>
      <c r="P1315" s="59"/>
      <c r="Q1315" s="268">
        <f t="shared" si="62"/>
        <v>10000</v>
      </c>
      <c r="R1315" s="61">
        <f>IF(O1315=0,0,SUMIFS(Disbursements!$T:$T,Disbursements!$B:$B,'Live Collections'!D1315,Disbursements!$D:$D,'Live Collections'!F1315))</f>
        <v>90000</v>
      </c>
      <c r="S1315" s="304">
        <f>IF(O1315&lt;=IF($O1315=0,0,SUMIFS(Disbursements!$W:$W,Disbursements!$B:$B,'Live Collections'!D1622,Disbursements!$D:$D,'Live Collections'!F1622)),O1315,IF($O1315=0,0,SUMIFS(Disbursements!$W:$W,Disbursements!$B:$B,'Live Collections'!D1622,Disbursements!$D:$D,'Live Collections'!F1622)))</f>
        <v>0</v>
      </c>
      <c r="T1315" s="304">
        <f t="shared" si="63"/>
        <v>10000</v>
      </c>
      <c r="U1315" s="52"/>
      <c r="V1315" s="34"/>
      <c r="W1315" s="408"/>
    </row>
    <row r="1316" spans="1:23" ht="12.75" customHeight="1" x14ac:dyDescent="0.2">
      <c r="A1316" s="132">
        <v>1300</v>
      </c>
      <c r="B1316" s="44">
        <v>44483</v>
      </c>
      <c r="C1316" s="44">
        <f t="shared" si="61"/>
        <v>44483</v>
      </c>
      <c r="D1316" s="374">
        <v>144</v>
      </c>
      <c r="E1316" s="291" t="str">
        <f>IFERROR(VLOOKUP($D1316,'Clients-Live'!$A:$C,3,0),"")</f>
        <v>GBENINGA RUKIA</v>
      </c>
      <c r="F1316" s="291">
        <f>IFERROR(INDEX(Disbursements!$D:$D,MATCH('Live Collections'!G1316,Disbursements!$C:$C,0)),"")</f>
        <v>1</v>
      </c>
      <c r="G1316" s="34">
        <v>131</v>
      </c>
      <c r="H1316" s="34"/>
      <c r="I1316" s="34" t="s">
        <v>1359</v>
      </c>
      <c r="J1316" s="48"/>
      <c r="K1316" s="48"/>
      <c r="L1316" s="48"/>
      <c r="M1316" s="48"/>
      <c r="N1316" s="59"/>
      <c r="O1316" s="59">
        <v>65000</v>
      </c>
      <c r="P1316" s="59"/>
      <c r="Q1316" s="268">
        <f t="shared" si="62"/>
        <v>65000</v>
      </c>
      <c r="R1316" s="61">
        <f>IF(O1316=0,0,SUMIFS(Disbursements!$T:$T,Disbursements!$B:$B,'Live Collections'!D1316,Disbursements!$D:$D,'Live Collections'!F1316))</f>
        <v>125000</v>
      </c>
      <c r="S1316" s="304">
        <v>14666.666666666657</v>
      </c>
      <c r="T1316" s="304">
        <f t="shared" si="63"/>
        <v>50333.333333333343</v>
      </c>
      <c r="U1316" s="52"/>
      <c r="V1316" s="34"/>
      <c r="W1316" s="408"/>
    </row>
    <row r="1317" spans="1:23" ht="12.75" customHeight="1" x14ac:dyDescent="0.2">
      <c r="A1317" s="257">
        <v>1294</v>
      </c>
      <c r="B1317" s="44">
        <v>44483</v>
      </c>
      <c r="C1317" s="44">
        <f t="shared" si="61"/>
        <v>44483</v>
      </c>
      <c r="D1317" s="374">
        <v>199</v>
      </c>
      <c r="E1317" s="291" t="str">
        <f>IFERROR(VLOOKUP($D1317,'Clients-Live'!$A:$C,3,0),"")</f>
        <v>OTHIM JIMMY</v>
      </c>
      <c r="F1317" s="291">
        <f>IFERROR(INDEX(Disbursements!$D:$D,MATCH('Live Collections'!G1317,Disbursements!$C:$C,0)),"")</f>
        <v>1</v>
      </c>
      <c r="G1317" s="34">
        <v>196</v>
      </c>
      <c r="H1317" s="34"/>
      <c r="I1317" s="34" t="s">
        <v>1359</v>
      </c>
      <c r="J1317" s="48"/>
      <c r="K1317" s="48"/>
      <c r="L1317" s="48"/>
      <c r="M1317" s="48"/>
      <c r="N1317" s="59"/>
      <c r="O1317" s="59">
        <v>432500</v>
      </c>
      <c r="P1317" s="59"/>
      <c r="Q1317" s="268">
        <f t="shared" si="62"/>
        <v>432500</v>
      </c>
      <c r="R1317" s="61">
        <f>IF(O1317=0,0,SUMIFS(Disbursements!$T:$T,Disbursements!$B:$B,'Live Collections'!D1317,Disbursements!$D:$D,'Live Collections'!F1317))</f>
        <v>753000</v>
      </c>
      <c r="S1317" s="304">
        <f>IF(O1317&lt;=IF($O1317=0,0,SUMIFS(Disbursements!$W:$W,Disbursements!$B:$B,'Live Collections'!D2378,Disbursements!$D:$D,'Live Collections'!F2378)),O1317,IF($O1317=0,0,SUMIFS(Disbursements!$W:$W,Disbursements!$B:$B,'Live Collections'!D2378,Disbursements!$D:$D,'Live Collections'!F2378)))</f>
        <v>20000</v>
      </c>
      <c r="T1317" s="304">
        <f t="shared" si="63"/>
        <v>412500</v>
      </c>
      <c r="U1317" s="52"/>
      <c r="V1317" s="34"/>
      <c r="W1317" s="408"/>
    </row>
    <row r="1318" spans="1:23" ht="12.75" customHeight="1" x14ac:dyDescent="0.2">
      <c r="A1318" s="132">
        <v>1301</v>
      </c>
      <c r="B1318" s="44">
        <v>44483</v>
      </c>
      <c r="C1318" s="44">
        <f t="shared" si="61"/>
        <v>44483</v>
      </c>
      <c r="D1318" s="374">
        <v>199</v>
      </c>
      <c r="E1318" s="291" t="str">
        <f>IFERROR(VLOOKUP($D1318,'Clients-Live'!$A:$C,3,0),"")</f>
        <v>OTHIM JIMMY</v>
      </c>
      <c r="F1318" s="291" t="str">
        <f>IFERROR(INDEX(Disbursements!$D:$D,MATCH('Live Collections'!G1318,Disbursements!$C:$C,0)),"")</f>
        <v/>
      </c>
      <c r="G1318" s="34"/>
      <c r="H1318" s="34"/>
      <c r="I1318" s="34" t="s">
        <v>1359</v>
      </c>
      <c r="J1318" s="48"/>
      <c r="K1318" s="48"/>
      <c r="L1318" s="48">
        <v>10000</v>
      </c>
      <c r="M1318" s="48">
        <v>5000</v>
      </c>
      <c r="N1318" s="59"/>
      <c r="O1318" s="59"/>
      <c r="P1318" s="59">
        <v>30000</v>
      </c>
      <c r="Q1318" s="268">
        <f t="shared" si="62"/>
        <v>45000</v>
      </c>
      <c r="R1318" s="61">
        <f>IF(O1318=0,0,SUMIFS(Disbursements!$T:$T,Disbursements!$B:$B,'Live Collections'!D1318,Disbursements!$D:$D,'Live Collections'!F1318))</f>
        <v>0</v>
      </c>
      <c r="S1318" s="304">
        <f>IF(O1318&lt;=IF($O1318=0,0,SUMIFS(Disbursements!$W:$W,Disbursements!$B:$B,'Live Collections'!D2379,Disbursements!$D:$D,'Live Collections'!F2379)),O1318,IF($O1318=0,0,SUMIFS(Disbursements!$W:$W,Disbursements!$B:$B,'Live Collections'!D2379,Disbursements!$D:$D,'Live Collections'!F2379)))</f>
        <v>0</v>
      </c>
      <c r="T1318" s="304">
        <f t="shared" si="63"/>
        <v>0</v>
      </c>
      <c r="U1318" s="52"/>
      <c r="V1318" s="34"/>
      <c r="W1318" s="408"/>
    </row>
    <row r="1319" spans="1:23" ht="12.75" customHeight="1" x14ac:dyDescent="0.2">
      <c r="A1319" s="257">
        <v>1297</v>
      </c>
      <c r="B1319" s="44">
        <v>44483</v>
      </c>
      <c r="C1319" s="44">
        <f t="shared" si="61"/>
        <v>44483</v>
      </c>
      <c r="D1319" s="374">
        <v>219</v>
      </c>
      <c r="E1319" s="291" t="str">
        <f>IFERROR(VLOOKUP($D1319,'Clients-Live'!$A:$C,3,0),"")</f>
        <v>MALIKO JAMILA</v>
      </c>
      <c r="F1319" s="291">
        <f>IFERROR(INDEX(Disbursements!$D:$D,MATCH('Live Collections'!G1319,Disbursements!$C:$C,0)),"")</f>
        <v>1</v>
      </c>
      <c r="G1319" s="34">
        <v>228</v>
      </c>
      <c r="H1319" s="34"/>
      <c r="I1319" s="34" t="s">
        <v>1358</v>
      </c>
      <c r="J1319" s="48"/>
      <c r="K1319" s="48"/>
      <c r="L1319" s="48"/>
      <c r="M1319" s="48"/>
      <c r="N1319" s="59"/>
      <c r="O1319" s="59">
        <v>20000</v>
      </c>
      <c r="P1319" s="59"/>
      <c r="Q1319" s="268">
        <f t="shared" si="62"/>
        <v>20000</v>
      </c>
      <c r="R1319" s="61">
        <f>IF(O1319=0,0,SUMIFS(Disbursements!$T:$T,Disbursements!$B:$B,'Live Collections'!D1319,Disbursements!$D:$D,'Live Collections'!F1319))</f>
        <v>77000</v>
      </c>
      <c r="S1319" s="304"/>
      <c r="T1319" s="304">
        <f t="shared" si="63"/>
        <v>20000</v>
      </c>
      <c r="U1319" s="52"/>
      <c r="V1319" s="34"/>
      <c r="W1319" s="408"/>
    </row>
    <row r="1320" spans="1:23" ht="12.75" customHeight="1" x14ac:dyDescent="0.2">
      <c r="A1320" s="132">
        <v>1303</v>
      </c>
      <c r="B1320" s="44">
        <v>44483</v>
      </c>
      <c r="C1320" s="44">
        <f t="shared" si="61"/>
        <v>44483</v>
      </c>
      <c r="D1320" s="374">
        <v>244</v>
      </c>
      <c r="E1320" s="291" t="str">
        <f>IFERROR(VLOOKUP($D1320,'Clients-Live'!$A:$C,3,0),"")</f>
        <v>GISMA HAMID ALI</v>
      </c>
      <c r="F1320" s="291">
        <v>1</v>
      </c>
      <c r="G1320" s="34">
        <v>269</v>
      </c>
      <c r="H1320" s="34"/>
      <c r="I1320" s="34" t="s">
        <v>1357</v>
      </c>
      <c r="J1320" s="48"/>
      <c r="K1320" s="48"/>
      <c r="L1320" s="48"/>
      <c r="M1320" s="48"/>
      <c r="N1320" s="59"/>
      <c r="O1320" s="59"/>
      <c r="P1320" s="59">
        <v>50000</v>
      </c>
      <c r="Q1320" s="268">
        <f t="shared" si="62"/>
        <v>50000</v>
      </c>
      <c r="R1320" s="61">
        <f>IF(O1320=0,0,SUMIFS(Disbursements!$T:$T,Disbursements!$B:$B,'Live Collections'!D1320,Disbursements!$D:$D,'Live Collections'!F1320))</f>
        <v>0</v>
      </c>
      <c r="S1320" s="304">
        <f>IF(O1320&lt;=IF($O1320=0,0,SUMIFS(Disbursements!$W:$W,Disbursements!$B:$B,'Live Collections'!D2773,Disbursements!$D:$D,'Live Collections'!F2773)),O1320,IF($O1320=0,0,SUMIFS(Disbursements!$W:$W,Disbursements!$B:$B,'Live Collections'!D2773,Disbursements!$D:$D,'Live Collections'!F2773)))</f>
        <v>0</v>
      </c>
      <c r="T1320" s="304">
        <f t="shared" si="63"/>
        <v>0</v>
      </c>
      <c r="U1320" s="52"/>
      <c r="V1320" s="34"/>
      <c r="W1320" s="408"/>
    </row>
    <row r="1321" spans="1:23" ht="12.75" customHeight="1" x14ac:dyDescent="0.2">
      <c r="A1321" s="257">
        <v>1293</v>
      </c>
      <c r="B1321" s="44">
        <v>44483</v>
      </c>
      <c r="C1321" s="44">
        <f t="shared" si="61"/>
        <v>44483</v>
      </c>
      <c r="D1321" s="374">
        <v>252</v>
      </c>
      <c r="E1321" s="291" t="str">
        <f>IFERROR(VLOOKUP($D1321,'Clients-Live'!$A:$C,3,0),"")</f>
        <v>ANGUCIA JESCA</v>
      </c>
      <c r="F1321" s="291" t="str">
        <f>IFERROR(INDEX(Disbursements!$D:$D,MATCH('Live Collections'!G1321,Disbursements!$C:$C,0)),"")</f>
        <v/>
      </c>
      <c r="G1321" s="34"/>
      <c r="H1321" s="34"/>
      <c r="I1321" s="34" t="s">
        <v>1359</v>
      </c>
      <c r="J1321" s="48">
        <v>15000</v>
      </c>
      <c r="K1321" s="48">
        <v>5000</v>
      </c>
      <c r="L1321" s="48">
        <v>10000</v>
      </c>
      <c r="M1321" s="48">
        <v>5000</v>
      </c>
      <c r="N1321" s="59"/>
      <c r="O1321" s="59"/>
      <c r="P1321" s="59"/>
      <c r="Q1321" s="268">
        <f t="shared" si="62"/>
        <v>35000</v>
      </c>
      <c r="R1321" s="61">
        <f>IF(O1321=0,0,SUMIFS(Disbursements!$T:$T,Disbursements!$B:$B,'Live Collections'!D1321,Disbursements!$D:$D,'Live Collections'!F1321))</f>
        <v>0</v>
      </c>
      <c r="S1321" s="304">
        <f>IF(O1321&lt;=IF($O1321=0,0,SUMIFS(Disbursements!$W:$W,Disbursements!$B:$B,'Live Collections'!D2831,Disbursements!$D:$D,'Live Collections'!F2831)),O1321,IF($O1321=0,0,SUMIFS(Disbursements!$W:$W,Disbursements!$B:$B,'Live Collections'!D2831,Disbursements!$D:$D,'Live Collections'!F2831)))</f>
        <v>0</v>
      </c>
      <c r="T1321" s="304">
        <f t="shared" si="63"/>
        <v>0</v>
      </c>
      <c r="U1321" s="52"/>
      <c r="V1321" s="34"/>
      <c r="W1321" s="408"/>
    </row>
    <row r="1322" spans="1:23" ht="12.75" customHeight="1" x14ac:dyDescent="0.2">
      <c r="A1322" s="132">
        <v>1302</v>
      </c>
      <c r="B1322" s="44">
        <v>44483</v>
      </c>
      <c r="C1322" s="44">
        <f t="shared" si="61"/>
        <v>44483</v>
      </c>
      <c r="D1322" s="374">
        <v>254</v>
      </c>
      <c r="E1322" s="291" t="str">
        <f>IFERROR(VLOOKUP($D1322,'Clients-Live'!$A:$C,3,0),"")</f>
        <v>ANITE AGNES</v>
      </c>
      <c r="F1322" s="291" t="str">
        <f>IFERROR(INDEX(Disbursements!$D:$D,MATCH('Live Collections'!G1322,Disbursements!$C:$C,0)),"")</f>
        <v/>
      </c>
      <c r="G1322" s="34"/>
      <c r="H1322" s="34"/>
      <c r="I1322" s="34" t="s">
        <v>1357</v>
      </c>
      <c r="J1322" s="48">
        <v>15000</v>
      </c>
      <c r="K1322" s="48">
        <v>5000</v>
      </c>
      <c r="L1322" s="48">
        <v>10000</v>
      </c>
      <c r="M1322" s="48">
        <v>5000</v>
      </c>
      <c r="N1322" s="59"/>
      <c r="O1322" s="59"/>
      <c r="P1322" s="59"/>
      <c r="Q1322" s="268">
        <f t="shared" si="62"/>
        <v>35000</v>
      </c>
      <c r="R1322" s="61">
        <f>IF(O1322=0,0,SUMIFS(Disbursements!$T:$T,Disbursements!$B:$B,'Live Collections'!D1322,Disbursements!$D:$D,'Live Collections'!F1322))</f>
        <v>0</v>
      </c>
      <c r="S1322" s="304">
        <f>IF(O1322&lt;=IF($O1322=0,0,SUMIFS(Disbursements!$W:$W,Disbursements!$B:$B,'Live Collections'!D2849,Disbursements!$D:$D,'Live Collections'!F2849)),O1322,IF($O1322=0,0,SUMIFS(Disbursements!$W:$W,Disbursements!$B:$B,'Live Collections'!D2849,Disbursements!$D:$D,'Live Collections'!F2849)))</f>
        <v>0</v>
      </c>
      <c r="T1322" s="304">
        <f t="shared" si="63"/>
        <v>0</v>
      </c>
      <c r="U1322" s="52"/>
      <c r="V1322" s="34"/>
      <c r="W1322" s="408"/>
    </row>
    <row r="1323" spans="1:23" ht="12.75" customHeight="1" x14ac:dyDescent="0.2">
      <c r="A1323" s="257">
        <v>1314</v>
      </c>
      <c r="B1323" s="44">
        <v>44484</v>
      </c>
      <c r="C1323" s="44">
        <f t="shared" si="61"/>
        <v>44484</v>
      </c>
      <c r="D1323" s="374">
        <v>59</v>
      </c>
      <c r="E1323" s="291" t="str">
        <f>IFERROR(VLOOKUP($D1323,'Clients-Live'!$A:$C,3,0),"")</f>
        <v>ONZIA AGNES</v>
      </c>
      <c r="F1323" s="291" t="str">
        <f>IFERROR(INDEX(Disbursements!$D:$D,MATCH('Live Collections'!G1323,Disbursements!$C:$C,0)),"")</f>
        <v/>
      </c>
      <c r="G1323" s="34"/>
      <c r="H1323" s="34"/>
      <c r="I1323" s="34" t="s">
        <v>1358</v>
      </c>
      <c r="J1323" s="48"/>
      <c r="K1323" s="48"/>
      <c r="L1323" s="48">
        <v>15000</v>
      </c>
      <c r="M1323" s="48">
        <v>5000</v>
      </c>
      <c r="N1323" s="59"/>
      <c r="O1323" s="59"/>
      <c r="P1323" s="59">
        <v>60000</v>
      </c>
      <c r="Q1323" s="268">
        <f t="shared" si="62"/>
        <v>80000</v>
      </c>
      <c r="R1323" s="61">
        <f>IF(O1323=0,0,SUMIFS(Disbursements!$T:$T,Disbursements!$B:$B,'Live Collections'!D1323,Disbursements!$D:$D,'Live Collections'!F1323))</f>
        <v>0</v>
      </c>
      <c r="S1323" s="304">
        <f>IF(O1323&lt;=IF($O1323=0,0,SUMIFS(Disbursements!$W:$W,Disbursements!$B:$B,'Live Collections'!D705,Disbursements!$D:$D,'Live Collections'!F705)),O1323,IF($O1323=0,0,SUMIFS(Disbursements!$W:$W,Disbursements!$B:$B,'Live Collections'!D705,Disbursements!$D:$D,'Live Collections'!F705)))</f>
        <v>0</v>
      </c>
      <c r="T1323" s="304">
        <f t="shared" si="63"/>
        <v>0</v>
      </c>
      <c r="U1323" s="52"/>
      <c r="V1323" s="34"/>
      <c r="W1323" s="408"/>
    </row>
    <row r="1324" spans="1:23" ht="12.75" customHeight="1" x14ac:dyDescent="0.2">
      <c r="A1324" s="132">
        <v>1313</v>
      </c>
      <c r="B1324" s="44">
        <v>44484</v>
      </c>
      <c r="C1324" s="44">
        <f t="shared" si="61"/>
        <v>44484</v>
      </c>
      <c r="D1324" s="374">
        <v>61</v>
      </c>
      <c r="E1324" s="291" t="str">
        <f>IFERROR(VLOOKUP($D1324,'Clients-Live'!$A:$C,3,0),"")</f>
        <v>AREDU RUKIA</v>
      </c>
      <c r="F1324" s="291">
        <v>2</v>
      </c>
      <c r="G1324" s="34">
        <v>290</v>
      </c>
      <c r="H1324" s="34"/>
      <c r="I1324" s="34" t="s">
        <v>1359</v>
      </c>
      <c r="J1324" s="48"/>
      <c r="K1324" s="48"/>
      <c r="L1324" s="48"/>
      <c r="M1324" s="48"/>
      <c r="N1324" s="59"/>
      <c r="O1324" s="59">
        <v>15000</v>
      </c>
      <c r="P1324" s="59"/>
      <c r="Q1324" s="268">
        <f t="shared" si="62"/>
        <v>15000</v>
      </c>
      <c r="R1324" s="61">
        <f>IF(O1324=0,0,SUMIFS(Disbursements!$T:$T,Disbursements!$B:$B,'Live Collections'!D1324,Disbursements!$D:$D,'Live Collections'!F1324))</f>
        <v>90000</v>
      </c>
      <c r="S1324" s="304">
        <v>20000</v>
      </c>
      <c r="T1324" s="304">
        <f t="shared" si="63"/>
        <v>-5000</v>
      </c>
      <c r="U1324" s="52"/>
      <c r="V1324" s="34"/>
      <c r="W1324" s="408"/>
    </row>
    <row r="1325" spans="1:23" ht="12.75" customHeight="1" x14ac:dyDescent="0.2">
      <c r="A1325" s="257">
        <v>1308</v>
      </c>
      <c r="B1325" s="44">
        <v>44484</v>
      </c>
      <c r="C1325" s="44">
        <f t="shared" si="61"/>
        <v>44484</v>
      </c>
      <c r="D1325" s="374">
        <v>66</v>
      </c>
      <c r="E1325" s="291" t="str">
        <f>IFERROR(VLOOKUP($D1325,'Clients-Live'!$A:$C,3,0),"")</f>
        <v>DENAYA NYAMAZA</v>
      </c>
      <c r="F1325" s="291">
        <f>IFERROR(INDEX(Disbursements!$D:$D,MATCH('Live Collections'!G1325,Disbursements!$C:$C,0)),"")</f>
        <v>1</v>
      </c>
      <c r="G1325" s="34">
        <v>53</v>
      </c>
      <c r="H1325" s="34"/>
      <c r="I1325" s="34" t="s">
        <v>1357</v>
      </c>
      <c r="J1325" s="48"/>
      <c r="K1325" s="48"/>
      <c r="L1325" s="48"/>
      <c r="M1325" s="48"/>
      <c r="N1325" s="59"/>
      <c r="O1325" s="59">
        <v>50000</v>
      </c>
      <c r="P1325" s="59"/>
      <c r="Q1325" s="268">
        <f t="shared" si="62"/>
        <v>50000</v>
      </c>
      <c r="R1325" s="61">
        <f>IF(O1325=0,0,SUMIFS(Disbursements!$T:$T,Disbursements!$B:$B,'Live Collections'!D1325,Disbursements!$D:$D,'Live Collections'!F1325))</f>
        <v>109000</v>
      </c>
      <c r="S1325" s="304">
        <f>IF(O1325&lt;=IF($O1325=0,0,SUMIFS(Disbursements!$W:$W,Disbursements!$B:$B,'Live Collections'!D1891,Disbursements!$D:$D,'Live Collections'!F1891)),O1325,IF($O1325=0,0,SUMIFS(Disbursements!$W:$W,Disbursements!$B:$B,'Live Collections'!D1891,Disbursements!$D:$D,'Live Collections'!F1891)))</f>
        <v>4250</v>
      </c>
      <c r="T1325" s="304">
        <f t="shared" si="63"/>
        <v>45750</v>
      </c>
      <c r="U1325" s="52"/>
      <c r="V1325" s="34"/>
      <c r="W1325" s="408"/>
    </row>
    <row r="1326" spans="1:23" ht="12.75" customHeight="1" x14ac:dyDescent="0.2">
      <c r="A1326" s="132">
        <v>1307</v>
      </c>
      <c r="B1326" s="44">
        <v>44484</v>
      </c>
      <c r="C1326" s="44">
        <f t="shared" si="61"/>
        <v>44484</v>
      </c>
      <c r="D1326" s="374">
        <v>68</v>
      </c>
      <c r="E1326" s="291" t="str">
        <f>IFERROR(VLOOKUP($D1326,'Clients-Live'!$A:$C,3,0),"")</f>
        <v>CHANDIA  RAHIMA</v>
      </c>
      <c r="F1326" s="291">
        <f>IFERROR(INDEX(Disbursements!$D:$D,MATCH('Live Collections'!G1326,Disbursements!$C:$C,0)),"")</f>
        <v>1</v>
      </c>
      <c r="G1326" s="34">
        <v>51</v>
      </c>
      <c r="H1326" s="34">
        <v>2995</v>
      </c>
      <c r="I1326" s="34" t="s">
        <v>1357</v>
      </c>
      <c r="J1326" s="48"/>
      <c r="K1326" s="48"/>
      <c r="L1326" s="48"/>
      <c r="M1326" s="48"/>
      <c r="N1326" s="59"/>
      <c r="O1326" s="59">
        <v>50000</v>
      </c>
      <c r="P1326" s="59"/>
      <c r="Q1326" s="268">
        <f t="shared" si="62"/>
        <v>50000</v>
      </c>
      <c r="R1326" s="61">
        <f>IF(O1326=0,0,SUMIFS(Disbursements!$T:$T,Disbursements!$B:$B,'Live Collections'!D1326,Disbursements!$D:$D,'Live Collections'!F1326))</f>
        <v>152000</v>
      </c>
      <c r="S1326" s="304">
        <f>IF(O1326&lt;=IF($O1326=0,0,SUMIFS(Disbursements!$W:$W,Disbursements!$B:$B,'Live Collections'!D845,Disbursements!$D:$D,'Live Collections'!F845)),O1326,IF($O1326=0,0,SUMIFS(Disbursements!$W:$W,Disbursements!$B:$B,'Live Collections'!D845,Disbursements!$D:$D,'Live Collections'!F845)))</f>
        <v>50000</v>
      </c>
      <c r="T1326" s="304">
        <f t="shared" si="63"/>
        <v>0</v>
      </c>
      <c r="U1326" s="52"/>
      <c r="V1326" s="34"/>
      <c r="W1326" s="408"/>
    </row>
    <row r="1327" spans="1:23" ht="12.75" customHeight="1" x14ac:dyDescent="0.2">
      <c r="A1327" s="257">
        <v>1318</v>
      </c>
      <c r="B1327" s="44">
        <v>44484</v>
      </c>
      <c r="C1327" s="44">
        <f t="shared" si="61"/>
        <v>44484</v>
      </c>
      <c r="D1327" s="374">
        <v>70</v>
      </c>
      <c r="E1327" s="291" t="str">
        <f>IFERROR(VLOOKUP($D1327,'Clients-Live'!$A:$C,3,0),"")</f>
        <v>BUGA ALIKIA PHILLIP</v>
      </c>
      <c r="F1327" s="291">
        <f>IFERROR(INDEX(Disbursements!$D:$D,MATCH('Live Collections'!G1327,Disbursements!$C:$C,0)),"")</f>
        <v>1</v>
      </c>
      <c r="G1327" s="34">
        <v>52</v>
      </c>
      <c r="H1327" s="34"/>
      <c r="I1327" s="34" t="s">
        <v>1358</v>
      </c>
      <c r="J1327" s="48"/>
      <c r="K1327" s="48"/>
      <c r="L1327" s="48"/>
      <c r="M1327" s="48"/>
      <c r="N1327" s="59"/>
      <c r="O1327" s="59">
        <v>173400</v>
      </c>
      <c r="P1327" s="59"/>
      <c r="Q1327" s="268">
        <f t="shared" si="62"/>
        <v>173400</v>
      </c>
      <c r="R1327" s="61">
        <f>IF(O1327=0,0,SUMIFS(Disbursements!$T:$T,Disbursements!$B:$B,'Live Collections'!D1327,Disbursements!$D:$D,'Live Collections'!F1327))</f>
        <v>174000</v>
      </c>
      <c r="S1327" s="304">
        <f>IF(O1327&lt;=IF($O1327=0,0,SUMIFS(Disbursements!$W:$W,Disbursements!$B:$B,'Live Collections'!D874,Disbursements!$D:$D,'Live Collections'!F874)),O1327,IF($O1327=0,0,SUMIFS(Disbursements!$W:$W,Disbursements!$B:$B,'Live Collections'!D874,Disbursements!$D:$D,'Live Collections'!F874)))</f>
        <v>25666.666666666672</v>
      </c>
      <c r="T1327" s="304">
        <f t="shared" si="63"/>
        <v>147733.33333333331</v>
      </c>
      <c r="U1327" s="52"/>
      <c r="V1327" s="34"/>
      <c r="W1327" s="408"/>
    </row>
    <row r="1328" spans="1:23" ht="12.75" customHeight="1" x14ac:dyDescent="0.2">
      <c r="A1328" s="132">
        <v>1317</v>
      </c>
      <c r="B1328" s="44">
        <v>44484</v>
      </c>
      <c r="C1328" s="44">
        <f t="shared" si="61"/>
        <v>44484</v>
      </c>
      <c r="D1328" s="374">
        <v>74</v>
      </c>
      <c r="E1328" s="291" t="str">
        <f>IFERROR(VLOOKUP($D1328,'Clients-Live'!$A:$C,3,0),"")</f>
        <v>YUKUWE AISHA</v>
      </c>
      <c r="F1328" s="291" t="str">
        <f>IFERROR(INDEX(Disbursements!$D:$D,MATCH('Live Collections'!G1328,Disbursements!$C:$C,0)),"")</f>
        <v/>
      </c>
      <c r="G1328" s="34"/>
      <c r="H1328" s="34"/>
      <c r="I1328" s="34" t="s">
        <v>1358</v>
      </c>
      <c r="J1328" s="48"/>
      <c r="K1328" s="48"/>
      <c r="L1328" s="48">
        <v>10000</v>
      </c>
      <c r="M1328" s="48">
        <v>5000</v>
      </c>
      <c r="N1328" s="59"/>
      <c r="O1328" s="59"/>
      <c r="P1328" s="59">
        <v>30000</v>
      </c>
      <c r="Q1328" s="268">
        <f t="shared" si="62"/>
        <v>45000</v>
      </c>
      <c r="R1328" s="61">
        <f>IF(O1328=0,0,SUMIFS(Disbursements!$T:$T,Disbursements!$B:$B,'Live Collections'!D1328,Disbursements!$D:$D,'Live Collections'!F1328))</f>
        <v>0</v>
      </c>
      <c r="S1328" s="304">
        <f>IF(O1328&lt;=IF($O1328=0,0,SUMIFS(Disbursements!$W:$W,Disbursements!$B:$B,'Live Collections'!D942,Disbursements!$D:$D,'Live Collections'!F942)),O1328,IF($O1328=0,0,SUMIFS(Disbursements!$W:$W,Disbursements!$B:$B,'Live Collections'!D942,Disbursements!$D:$D,'Live Collections'!F942)))</f>
        <v>0</v>
      </c>
      <c r="T1328" s="304">
        <f t="shared" si="63"/>
        <v>0</v>
      </c>
      <c r="U1328" s="52"/>
      <c r="V1328" s="34"/>
      <c r="W1328" s="408"/>
    </row>
    <row r="1329" spans="1:23" ht="12.75" customHeight="1" x14ac:dyDescent="0.2">
      <c r="A1329" s="257">
        <v>1319</v>
      </c>
      <c r="B1329" s="44">
        <v>44484</v>
      </c>
      <c r="C1329" s="44">
        <f t="shared" si="61"/>
        <v>44484</v>
      </c>
      <c r="D1329" s="374">
        <v>99</v>
      </c>
      <c r="E1329" s="291" t="str">
        <f>IFERROR(VLOOKUP($D1329,'Clients-Live'!$A:$C,3,0),"")</f>
        <v>SIJALI ASINA SIS</v>
      </c>
      <c r="F1329" s="291">
        <f>IFERROR(INDEX(Disbursements!$D:$D,MATCH('Live Collections'!G1329,Disbursements!$C:$C,0)),"")</f>
        <v>1</v>
      </c>
      <c r="G1329" s="34">
        <v>83</v>
      </c>
      <c r="H1329" s="34"/>
      <c r="I1329" s="34" t="s">
        <v>1358</v>
      </c>
      <c r="J1329" s="48"/>
      <c r="K1329" s="48"/>
      <c r="L1329" s="48"/>
      <c r="M1329" s="48"/>
      <c r="N1329" s="59"/>
      <c r="O1329" s="59">
        <v>240000</v>
      </c>
      <c r="P1329" s="59"/>
      <c r="Q1329" s="268">
        <f t="shared" si="62"/>
        <v>240000</v>
      </c>
      <c r="R1329" s="61">
        <f>IF(O1329=0,0,SUMIFS(Disbursements!$T:$T,Disbursements!$B:$B,'Live Collections'!D1329,Disbursements!$D:$D,'Live Collections'!F1329))</f>
        <v>150000</v>
      </c>
      <c r="S1329" s="64">
        <v>96000</v>
      </c>
      <c r="T1329" s="304">
        <f t="shared" si="63"/>
        <v>144000</v>
      </c>
      <c r="U1329" s="52"/>
      <c r="V1329" s="34"/>
      <c r="W1329" s="408"/>
    </row>
    <row r="1330" spans="1:23" ht="12.75" customHeight="1" x14ac:dyDescent="0.2">
      <c r="A1330" s="132">
        <v>1311</v>
      </c>
      <c r="B1330" s="44">
        <v>44484</v>
      </c>
      <c r="C1330" s="44">
        <f t="shared" si="61"/>
        <v>44484</v>
      </c>
      <c r="D1330" s="374">
        <v>124</v>
      </c>
      <c r="E1330" s="291" t="str">
        <f>IFERROR(VLOOKUP($D1330,'Clients-Live'!$A:$C,3,0),"")</f>
        <v>TIKO ZABIBU</v>
      </c>
      <c r="F1330" s="291">
        <f>IFERROR(INDEX(Disbursements!$D:$D,MATCH('Live Collections'!G1330,Disbursements!$C:$C,0)),"")</f>
        <v>1</v>
      </c>
      <c r="G1330" s="34">
        <v>199</v>
      </c>
      <c r="H1330" s="34">
        <v>2992</v>
      </c>
      <c r="I1330" s="34" t="s">
        <v>1358</v>
      </c>
      <c r="J1330" s="48"/>
      <c r="K1330" s="48"/>
      <c r="L1330" s="48"/>
      <c r="M1330" s="48"/>
      <c r="N1330" s="59"/>
      <c r="O1330" s="59">
        <v>60000</v>
      </c>
      <c r="P1330" s="59"/>
      <c r="Q1330" s="268">
        <f t="shared" si="62"/>
        <v>60000</v>
      </c>
      <c r="R1330" s="61">
        <f>IF(O1330=0,0,SUMIFS(Disbursements!$T:$T,Disbursements!$B:$B,'Live Collections'!D1330,Disbursements!$D:$D,'Live Collections'!F1330))</f>
        <v>180000</v>
      </c>
      <c r="S1330" s="304"/>
      <c r="T1330" s="304">
        <f t="shared" si="63"/>
        <v>60000</v>
      </c>
      <c r="U1330" s="52"/>
      <c r="V1330" s="34"/>
      <c r="W1330" s="408"/>
    </row>
    <row r="1331" spans="1:23" ht="12.75" customHeight="1" x14ac:dyDescent="0.2">
      <c r="A1331" s="257">
        <v>1315</v>
      </c>
      <c r="B1331" s="44">
        <v>44484</v>
      </c>
      <c r="C1331" s="44">
        <f t="shared" si="61"/>
        <v>44484</v>
      </c>
      <c r="D1331" s="374">
        <v>125</v>
      </c>
      <c r="E1331" s="291" t="str">
        <f>IFERROR(VLOOKUP($D1331,'Clients-Live'!$A:$C,3,0),"")</f>
        <v>SUNDAY SCOVIA</v>
      </c>
      <c r="F1331" s="291">
        <f>IFERROR(INDEX(Disbursements!$D:$D,MATCH('Live Collections'!G1331,Disbursements!$C:$C,0)),"")</f>
        <v>1</v>
      </c>
      <c r="G1331" s="34">
        <v>111</v>
      </c>
      <c r="H1331" s="34"/>
      <c r="I1331" s="34" t="s">
        <v>1358</v>
      </c>
      <c r="J1331" s="48"/>
      <c r="K1331" s="48"/>
      <c r="L1331" s="48"/>
      <c r="M1331" s="48"/>
      <c r="N1331" s="59"/>
      <c r="O1331" s="59">
        <v>60000</v>
      </c>
      <c r="P1331" s="59"/>
      <c r="Q1331" s="268">
        <f t="shared" si="62"/>
        <v>60000</v>
      </c>
      <c r="R1331" s="61">
        <f>IF(O1331=0,0,SUMIFS(Disbursements!$T:$T,Disbursements!$B:$B,'Live Collections'!D1331,Disbursements!$D:$D,'Live Collections'!F1331))</f>
        <v>120000</v>
      </c>
      <c r="S1331" s="304"/>
      <c r="T1331" s="304">
        <f t="shared" si="63"/>
        <v>60000</v>
      </c>
      <c r="U1331" s="52"/>
      <c r="V1331" s="34"/>
      <c r="W1331" s="408"/>
    </row>
    <row r="1332" spans="1:23" ht="12.75" customHeight="1" x14ac:dyDescent="0.2">
      <c r="A1332" s="132">
        <v>1316</v>
      </c>
      <c r="B1332" s="44">
        <v>44484</v>
      </c>
      <c r="C1332" s="44">
        <f t="shared" si="61"/>
        <v>44484</v>
      </c>
      <c r="D1332" s="374">
        <v>130</v>
      </c>
      <c r="E1332" s="291" t="str">
        <f>IFERROR(VLOOKUP($D1332,'Clients-Live'!$A:$C,3,0),"")</f>
        <v>AYILE JOHN MAX</v>
      </c>
      <c r="F1332" s="291">
        <f>IFERROR(INDEX(Disbursements!$D:$D,MATCH('Live Collections'!G1332,Disbursements!$C:$C,0)),"")</f>
        <v>1</v>
      </c>
      <c r="G1332" s="34">
        <v>114</v>
      </c>
      <c r="H1332" s="34"/>
      <c r="I1332" s="34" t="s">
        <v>1357</v>
      </c>
      <c r="J1332" s="48"/>
      <c r="K1332" s="48"/>
      <c r="L1332" s="48"/>
      <c r="M1332" s="48"/>
      <c r="N1332" s="59"/>
      <c r="O1332" s="59"/>
      <c r="P1332" s="59">
        <v>185000</v>
      </c>
      <c r="Q1332" s="268">
        <f t="shared" si="62"/>
        <v>185000</v>
      </c>
      <c r="R1332" s="61">
        <f>IF(O1332=0,0,SUMIFS(Disbursements!$T:$T,Disbursements!$B:$B,'Live Collections'!D1332,Disbursements!$D:$D,'Live Collections'!F1332))</f>
        <v>0</v>
      </c>
      <c r="S1332" s="304">
        <f>IF(O1332&lt;=IF($O1332=0,0,SUMIFS(Disbursements!$W:$W,Disbursements!$B:$B,'Live Collections'!D1650,Disbursements!$D:$D,'Live Collections'!F1650)),O1332,IF($O1332=0,0,SUMIFS(Disbursements!$W:$W,Disbursements!$B:$B,'Live Collections'!D1650,Disbursements!$D:$D,'Live Collections'!F1650)))</f>
        <v>0</v>
      </c>
      <c r="T1332" s="304">
        <f t="shared" si="63"/>
        <v>0</v>
      </c>
      <c r="U1332" s="52"/>
      <c r="V1332" s="34"/>
      <c r="W1332" s="408"/>
    </row>
    <row r="1333" spans="1:23" ht="12.75" customHeight="1" x14ac:dyDescent="0.2">
      <c r="A1333" s="257">
        <v>1304</v>
      </c>
      <c r="B1333" s="44">
        <v>44484</v>
      </c>
      <c r="C1333" s="44">
        <f t="shared" si="61"/>
        <v>44484</v>
      </c>
      <c r="D1333" s="374">
        <v>164</v>
      </c>
      <c r="E1333" s="291" t="str">
        <f>IFERROR(VLOOKUP($D1333,'Clients-Live'!$A:$C,3,0),"")</f>
        <v>ARIKE SWAIB</v>
      </c>
      <c r="F1333" s="291">
        <f>IFERROR(INDEX(Disbursements!$D:$D,MATCH('Live Collections'!G1333,Disbursements!$C:$C,0)),"")</f>
        <v>1</v>
      </c>
      <c r="G1333" s="34">
        <v>154</v>
      </c>
      <c r="H1333" s="34"/>
      <c r="I1333" s="34" t="s">
        <v>1357</v>
      </c>
      <c r="J1333" s="48"/>
      <c r="K1333" s="48"/>
      <c r="L1333" s="48"/>
      <c r="M1333" s="48"/>
      <c r="N1333" s="59"/>
      <c r="O1333" s="59">
        <v>130000</v>
      </c>
      <c r="P1333" s="59"/>
      <c r="Q1333" s="268">
        <f t="shared" si="62"/>
        <v>130000</v>
      </c>
      <c r="R1333" s="61">
        <f>IF(O1333=0,0,SUMIFS(Disbursements!$T:$T,Disbursements!$B:$B,'Live Collections'!D1333,Disbursements!$D:$D,'Live Collections'!F1333))</f>
        <v>109000</v>
      </c>
      <c r="S1333" s="304">
        <f>IF(O1333&lt;=IF($O1333=0,0,SUMIFS(Disbursements!$W:$W,Disbursements!$B:$B,'Live Collections'!D2033,Disbursements!$D:$D,'Live Collections'!F2033)),O1333,IF($O1333=0,0,SUMIFS(Disbursements!$W:$W,Disbursements!$B:$B,'Live Collections'!D2033,Disbursements!$D:$D,'Live Collections'!F2033)))</f>
        <v>45000</v>
      </c>
      <c r="T1333" s="304">
        <f t="shared" si="63"/>
        <v>85000</v>
      </c>
      <c r="U1333" s="52"/>
      <c r="V1333" s="34"/>
      <c r="W1333" s="408"/>
    </row>
    <row r="1334" spans="1:23" ht="12.75" customHeight="1" x14ac:dyDescent="0.2">
      <c r="A1334" s="132">
        <v>1310</v>
      </c>
      <c r="B1334" s="44">
        <v>44484</v>
      </c>
      <c r="C1334" s="44">
        <f t="shared" si="61"/>
        <v>44484</v>
      </c>
      <c r="D1334" s="374">
        <v>170</v>
      </c>
      <c r="E1334" s="291" t="str">
        <f>IFERROR(VLOOKUP($D1334,'Clients-Live'!$A:$C,3,0),"")</f>
        <v xml:space="preserve">KABEBI RAIMA </v>
      </c>
      <c r="F1334" s="291">
        <f>IFERROR(INDEX(Disbursements!$D:$D,MATCH('Live Collections'!G1334,Disbursements!$C:$C,0)),"")</f>
        <v>1</v>
      </c>
      <c r="G1334" s="34">
        <v>164</v>
      </c>
      <c r="H1334" s="34"/>
      <c r="I1334" s="34" t="s">
        <v>1359</v>
      </c>
      <c r="J1334" s="48"/>
      <c r="K1334" s="48"/>
      <c r="L1334" s="48"/>
      <c r="M1334" s="48"/>
      <c r="N1334" s="59"/>
      <c r="O1334" s="59">
        <v>154000</v>
      </c>
      <c r="P1334" s="59"/>
      <c r="Q1334" s="268">
        <f t="shared" si="62"/>
        <v>154000</v>
      </c>
      <c r="R1334" s="61">
        <f>IF(O1334=0,0,SUMIFS(Disbursements!$T:$T,Disbursements!$B:$B,'Live Collections'!D1334,Disbursements!$D:$D,'Live Collections'!F1334))</f>
        <v>154000</v>
      </c>
      <c r="S1334" s="64">
        <v>1999.9999999999709</v>
      </c>
      <c r="T1334" s="304">
        <f t="shared" si="63"/>
        <v>152000.00000000003</v>
      </c>
      <c r="U1334" s="52"/>
      <c r="V1334" s="34"/>
      <c r="W1334" s="408"/>
    </row>
    <row r="1335" spans="1:23" ht="12.75" customHeight="1" x14ac:dyDescent="0.2">
      <c r="A1335" s="257">
        <v>1312</v>
      </c>
      <c r="B1335" s="44">
        <v>44484</v>
      </c>
      <c r="C1335" s="44">
        <f t="shared" si="61"/>
        <v>44484</v>
      </c>
      <c r="D1335" s="374">
        <v>240</v>
      </c>
      <c r="E1335" s="291" t="str">
        <f>IFERROR(VLOOKUP($D1335,'Clients-Live'!$A:$C,3,0),"")</f>
        <v>AYIKORU WINNIE</v>
      </c>
      <c r="F1335" s="291">
        <f>IFERROR(INDEX(Disbursements!$D:$D,MATCH('Live Collections'!G1335,Disbursements!$C:$C,0)),"")</f>
        <v>1</v>
      </c>
      <c r="G1335" s="34">
        <v>256</v>
      </c>
      <c r="H1335" s="34"/>
      <c r="I1335" s="34" t="s">
        <v>1358</v>
      </c>
      <c r="J1335" s="48"/>
      <c r="K1335" s="48"/>
      <c r="L1335" s="48"/>
      <c r="M1335" s="48"/>
      <c r="N1335" s="59"/>
      <c r="O1335" s="59">
        <v>200000</v>
      </c>
      <c r="P1335" s="59"/>
      <c r="Q1335" s="268">
        <f t="shared" si="62"/>
        <v>200000</v>
      </c>
      <c r="R1335" s="61">
        <f>IF(O1335=0,0,SUMIFS(Disbursements!$T:$T,Disbursements!$B:$B,'Live Collections'!D1335,Disbursements!$D:$D,'Live Collections'!F1335))</f>
        <v>1613000</v>
      </c>
      <c r="S1335" s="64">
        <v>13000</v>
      </c>
      <c r="T1335" s="304">
        <f t="shared" si="63"/>
        <v>187000</v>
      </c>
      <c r="U1335" s="52"/>
      <c r="V1335" s="34"/>
      <c r="W1335" s="408"/>
    </row>
    <row r="1336" spans="1:23" ht="12.75" customHeight="1" x14ac:dyDescent="0.2">
      <c r="A1336" s="132">
        <v>1309</v>
      </c>
      <c r="B1336" s="44">
        <v>44484</v>
      </c>
      <c r="C1336" s="44">
        <f t="shared" si="61"/>
        <v>44484</v>
      </c>
      <c r="D1336" s="374">
        <v>250</v>
      </c>
      <c r="E1336" s="291" t="str">
        <f>IFERROR(VLOOKUP($D1336,'Clients-Live'!$A:$C,3,0),"")</f>
        <v>SAKAYA AMINA</v>
      </c>
      <c r="F1336" s="291" t="str">
        <f>IFERROR(INDEX(Disbursements!$D:$D,MATCH('Live Collections'!G1336,Disbursements!$C:$C,0)),"")</f>
        <v/>
      </c>
      <c r="G1336" s="34"/>
      <c r="H1336" s="34">
        <v>2994</v>
      </c>
      <c r="I1336" s="34" t="s">
        <v>1357</v>
      </c>
      <c r="J1336" s="48"/>
      <c r="K1336" s="48"/>
      <c r="L1336" s="48"/>
      <c r="M1336" s="48"/>
      <c r="N1336" s="59"/>
      <c r="O1336" s="59"/>
      <c r="P1336" s="59">
        <v>40000</v>
      </c>
      <c r="Q1336" s="268">
        <f t="shared" si="62"/>
        <v>40000</v>
      </c>
      <c r="R1336" s="61">
        <f>IF(O1336=0,0,SUMIFS(Disbursements!$T:$T,Disbursements!$B:$B,'Live Collections'!D1336,Disbursements!$D:$D,'Live Collections'!F1336))</f>
        <v>0</v>
      </c>
      <c r="S1336" s="304">
        <f>IF(O1336&lt;=IF($O1336=0,0,SUMIFS(Disbursements!$W:$W,Disbursements!$B:$B,'Live Collections'!D2811,Disbursements!$D:$D,'Live Collections'!F2811)),O1336,IF($O1336=0,0,SUMIFS(Disbursements!$W:$W,Disbursements!$B:$B,'Live Collections'!D2811,Disbursements!$D:$D,'Live Collections'!F2811)))</f>
        <v>0</v>
      </c>
      <c r="T1336" s="304">
        <f t="shared" si="63"/>
        <v>0</v>
      </c>
      <c r="U1336" s="52"/>
      <c r="V1336" s="34"/>
      <c r="W1336" s="408"/>
    </row>
    <row r="1337" spans="1:23" ht="12.75" customHeight="1" x14ac:dyDescent="0.2">
      <c r="A1337" s="257">
        <v>1305</v>
      </c>
      <c r="B1337" s="44">
        <v>44484</v>
      </c>
      <c r="C1337" s="44">
        <f t="shared" si="61"/>
        <v>44484</v>
      </c>
      <c r="D1337" s="374">
        <v>253</v>
      </c>
      <c r="E1337" s="291" t="str">
        <f>IFERROR(VLOOKUP($D1337,'Clients-Live'!$A:$C,3,0),"")</f>
        <v>JAKUMA VINCENT</v>
      </c>
      <c r="F1337" s="291" t="str">
        <f>IFERROR(INDEX(Disbursements!$D:$D,MATCH('Live Collections'!G1337,Disbursements!$C:$C,0)),"")</f>
        <v/>
      </c>
      <c r="G1337" s="34"/>
      <c r="H1337" s="34"/>
      <c r="I1337" s="34" t="s">
        <v>1359</v>
      </c>
      <c r="J1337" s="48"/>
      <c r="K1337" s="48"/>
      <c r="L1337" s="48"/>
      <c r="M1337" s="48"/>
      <c r="N1337" s="59"/>
      <c r="O1337" s="59"/>
      <c r="P1337" s="59">
        <v>150000</v>
      </c>
      <c r="Q1337" s="268">
        <f t="shared" si="62"/>
        <v>150000</v>
      </c>
      <c r="R1337" s="61">
        <f>IF(O1337=0,0,SUMIFS(Disbursements!$T:$T,Disbursements!$B:$B,'Live Collections'!D1337,Disbursements!$D:$D,'Live Collections'!F1337))</f>
        <v>0</v>
      </c>
      <c r="S1337" s="304">
        <f>IF(O1337&lt;=IF($O1337=0,0,SUMIFS(Disbursements!$W:$W,Disbursements!$B:$B,'Live Collections'!D2837,Disbursements!$D:$D,'Live Collections'!F2837)),O1337,IF($O1337=0,0,SUMIFS(Disbursements!$W:$W,Disbursements!$B:$B,'Live Collections'!D2837,Disbursements!$D:$D,'Live Collections'!F2837)))</f>
        <v>0</v>
      </c>
      <c r="T1337" s="304">
        <f t="shared" si="63"/>
        <v>0</v>
      </c>
      <c r="U1337" s="52"/>
      <c r="V1337" s="34"/>
      <c r="W1337" s="408"/>
    </row>
    <row r="1338" spans="1:23" ht="12.75" customHeight="1" x14ac:dyDescent="0.2">
      <c r="A1338" s="132">
        <v>1306</v>
      </c>
      <c r="B1338" s="44">
        <v>44484</v>
      </c>
      <c r="C1338" s="44">
        <f t="shared" si="61"/>
        <v>44484</v>
      </c>
      <c r="D1338" s="374">
        <v>253</v>
      </c>
      <c r="E1338" s="291" t="str">
        <f>IFERROR(VLOOKUP($D1338,'Clients-Live'!$A:$C,3,0),"")</f>
        <v>JAKUMA VINCENT</v>
      </c>
      <c r="F1338" s="291" t="str">
        <f>IFERROR(INDEX(Disbursements!$D:$D,MATCH('Live Collections'!G1338,Disbursements!$C:$C,0)),"")</f>
        <v/>
      </c>
      <c r="G1338" s="34"/>
      <c r="H1338" s="34"/>
      <c r="I1338" s="34" t="s">
        <v>1359</v>
      </c>
      <c r="J1338" s="48">
        <v>15000</v>
      </c>
      <c r="K1338" s="48">
        <v>5000</v>
      </c>
      <c r="L1338" s="48">
        <v>20000</v>
      </c>
      <c r="M1338" s="48">
        <v>5000</v>
      </c>
      <c r="N1338" s="59"/>
      <c r="O1338" s="59"/>
      <c r="P1338" s="59"/>
      <c r="Q1338" s="268">
        <f t="shared" si="62"/>
        <v>45000</v>
      </c>
      <c r="R1338" s="61">
        <f>IF(O1338=0,0,SUMIFS(Disbursements!$T:$T,Disbursements!$B:$B,'Live Collections'!D1338,Disbursements!$D:$D,'Live Collections'!F1338))</f>
        <v>0</v>
      </c>
      <c r="S1338" s="304">
        <f>IF(O1338&lt;=IF($O1338=0,0,SUMIFS(Disbursements!$W:$W,Disbursements!$B:$B,'Live Collections'!D2838,Disbursements!$D:$D,'Live Collections'!F2838)),O1338,IF($O1338=0,0,SUMIFS(Disbursements!$W:$W,Disbursements!$B:$B,'Live Collections'!D2838,Disbursements!$D:$D,'Live Collections'!F2838)))</f>
        <v>0</v>
      </c>
      <c r="T1338" s="304">
        <f t="shared" si="63"/>
        <v>0</v>
      </c>
      <c r="U1338" s="52"/>
      <c r="V1338" s="34"/>
      <c r="W1338" s="408"/>
    </row>
    <row r="1339" spans="1:23" ht="12.75" customHeight="1" x14ac:dyDescent="0.2">
      <c r="A1339" s="257">
        <v>1321</v>
      </c>
      <c r="B1339" s="44">
        <v>44484</v>
      </c>
      <c r="C1339" s="44">
        <f t="shared" si="61"/>
        <v>44484</v>
      </c>
      <c r="D1339" s="374">
        <v>255</v>
      </c>
      <c r="E1339" s="291" t="str">
        <f>IFERROR(VLOOKUP($D1339,'Clients-Live'!$A:$C,3,0),"")</f>
        <v>YOBUTA JOHN</v>
      </c>
      <c r="F1339" s="291" t="str">
        <f>IFERROR(INDEX(Disbursements!$D:$D,MATCH('Live Collections'!G1339,Disbursements!$C:$C,0)),"")</f>
        <v/>
      </c>
      <c r="G1339" s="34"/>
      <c r="H1339" s="34"/>
      <c r="I1339" s="34" t="s">
        <v>1359</v>
      </c>
      <c r="J1339" s="48">
        <v>15000</v>
      </c>
      <c r="K1339" s="48">
        <v>5000</v>
      </c>
      <c r="L1339" s="48">
        <v>15000</v>
      </c>
      <c r="M1339" s="48">
        <v>5000</v>
      </c>
      <c r="N1339" s="59"/>
      <c r="O1339" s="59"/>
      <c r="P1339" s="59">
        <v>100000</v>
      </c>
      <c r="Q1339" s="268">
        <f t="shared" si="62"/>
        <v>140000</v>
      </c>
      <c r="R1339" s="61">
        <f>IF(O1339=0,0,SUMIFS(Disbursements!$T:$T,Disbursements!$B:$B,'Live Collections'!D1339,Disbursements!$D:$D,'Live Collections'!F1339))</f>
        <v>0</v>
      </c>
      <c r="S1339" s="304">
        <f>IF(O1339&lt;=IF($O1339=0,0,SUMIFS(Disbursements!$W:$W,Disbursements!$B:$B,'Live Collections'!D2857,Disbursements!$D:$D,'Live Collections'!F2857)),O1339,IF($O1339=0,0,SUMIFS(Disbursements!$W:$W,Disbursements!$B:$B,'Live Collections'!D2857,Disbursements!$D:$D,'Live Collections'!F2857)))</f>
        <v>0</v>
      </c>
      <c r="T1339" s="304">
        <f t="shared" si="63"/>
        <v>0</v>
      </c>
      <c r="U1339" s="52"/>
      <c r="V1339" s="34"/>
      <c r="W1339" s="408"/>
    </row>
    <row r="1340" spans="1:23" ht="12.75" customHeight="1" x14ac:dyDescent="0.2">
      <c r="A1340" s="132">
        <v>1320</v>
      </c>
      <c r="B1340" s="44">
        <v>44484</v>
      </c>
      <c r="C1340" s="44">
        <f t="shared" si="61"/>
        <v>44484</v>
      </c>
      <c r="D1340" s="374">
        <v>256</v>
      </c>
      <c r="E1340" s="291" t="str">
        <f>IFERROR(VLOOKUP($D1340,'Clients-Live'!$A:$C,3,0),"")</f>
        <v>MUNDUGA SONGA</v>
      </c>
      <c r="F1340" s="291" t="str">
        <f>IFERROR(INDEX(Disbursements!$D:$D,MATCH('Live Collections'!G1340,Disbursements!$C:$C,0)),"")</f>
        <v/>
      </c>
      <c r="G1340" s="34"/>
      <c r="H1340" s="34"/>
      <c r="I1340" s="34" t="s">
        <v>1357</v>
      </c>
      <c r="J1340" s="48">
        <v>15000</v>
      </c>
      <c r="K1340" s="48">
        <v>5000</v>
      </c>
      <c r="L1340" s="48"/>
      <c r="M1340" s="48"/>
      <c r="N1340" s="59"/>
      <c r="O1340" s="59"/>
      <c r="P1340" s="59"/>
      <c r="Q1340" s="268">
        <f t="shared" si="62"/>
        <v>20000</v>
      </c>
      <c r="R1340" s="61">
        <f>IF(O1340=0,0,SUMIFS(Disbursements!$T:$T,Disbursements!$B:$B,'Live Collections'!D1340,Disbursements!$D:$D,'Live Collections'!F1340))</f>
        <v>0</v>
      </c>
      <c r="S1340" s="304">
        <f>IF(O1340&lt;=IF($O1340=0,0,SUMIFS(Disbursements!$W:$W,Disbursements!$B:$B,'Live Collections'!D2862,Disbursements!$D:$D,'Live Collections'!F2862)),O1340,IF($O1340=0,0,SUMIFS(Disbursements!$W:$W,Disbursements!$B:$B,'Live Collections'!D2862,Disbursements!$D:$D,'Live Collections'!F2862)))</f>
        <v>0</v>
      </c>
      <c r="T1340" s="304">
        <f t="shared" si="63"/>
        <v>0</v>
      </c>
      <c r="U1340" s="52"/>
      <c r="V1340" s="34"/>
      <c r="W1340" s="408"/>
    </row>
    <row r="1341" spans="1:23" ht="12.75" customHeight="1" x14ac:dyDescent="0.2">
      <c r="A1341" s="257">
        <v>1322</v>
      </c>
      <c r="B1341" s="44">
        <v>44484</v>
      </c>
      <c r="C1341" s="44">
        <f t="shared" si="61"/>
        <v>44484</v>
      </c>
      <c r="D1341" s="374">
        <v>257</v>
      </c>
      <c r="E1341" s="291" t="str">
        <f>IFERROR(VLOOKUP($D1341,'Clients-Live'!$A:$C,3,0),"")</f>
        <v>CHANDIGA CYRUS</v>
      </c>
      <c r="F1341" s="291" t="str">
        <f>IFERROR(INDEX(Disbursements!$D:$D,MATCH('Live Collections'!G1341,Disbursements!$C:$C,0)),"")</f>
        <v/>
      </c>
      <c r="G1341" s="34"/>
      <c r="H1341" s="34"/>
      <c r="I1341" s="34" t="s">
        <v>1716</v>
      </c>
      <c r="J1341" s="48">
        <v>15000</v>
      </c>
      <c r="K1341" s="48">
        <v>5000</v>
      </c>
      <c r="L1341" s="48">
        <v>20000</v>
      </c>
      <c r="M1341" s="48">
        <v>5000</v>
      </c>
      <c r="N1341" s="59"/>
      <c r="O1341" s="59"/>
      <c r="P1341" s="59"/>
      <c r="Q1341" s="268">
        <f t="shared" si="62"/>
        <v>45000</v>
      </c>
      <c r="R1341" s="61">
        <f>IF(O1341=0,0,SUMIFS(Disbursements!$T:$T,Disbursements!$B:$B,'Live Collections'!D1341,Disbursements!$D:$D,'Live Collections'!F1341))</f>
        <v>0</v>
      </c>
      <c r="S1341" s="304">
        <f>IF(O1341&lt;=IF($O1341=0,0,SUMIFS(Disbursements!$W:$W,Disbursements!$B:$B,'Live Collections'!D2864,Disbursements!$D:$D,'Live Collections'!F2864)),O1341,IF($O1341=0,0,SUMIFS(Disbursements!$W:$W,Disbursements!$B:$B,'Live Collections'!D2864,Disbursements!$D:$D,'Live Collections'!F2864)))</f>
        <v>0</v>
      </c>
      <c r="T1341" s="304">
        <f t="shared" si="63"/>
        <v>0</v>
      </c>
      <c r="U1341" s="52"/>
      <c r="V1341" s="34"/>
      <c r="W1341" s="408"/>
    </row>
    <row r="1342" spans="1:23" ht="12.75" customHeight="1" x14ac:dyDescent="0.2">
      <c r="A1342" s="132">
        <v>1325</v>
      </c>
      <c r="B1342" s="44">
        <v>44485</v>
      </c>
      <c r="C1342" s="44">
        <f t="shared" si="61"/>
        <v>44485</v>
      </c>
      <c r="D1342" s="374">
        <v>34</v>
      </c>
      <c r="E1342" s="291" t="str">
        <f>IFERROR(VLOOKUP($D1342,'Clients-Live'!$A:$C,3,0),"")</f>
        <v>APEKURU FLORENCE</v>
      </c>
      <c r="F1342" s="291">
        <f>IFERROR(INDEX(Disbursements!$D:$D,MATCH('Live Collections'!G1342,Disbursements!$C:$C,0)),"")</f>
        <v>2</v>
      </c>
      <c r="G1342" s="34">
        <v>283</v>
      </c>
      <c r="H1342" s="34"/>
      <c r="I1342" s="34" t="s">
        <v>1359</v>
      </c>
      <c r="J1342" s="48"/>
      <c r="K1342" s="48"/>
      <c r="L1342" s="48">
        <v>10000</v>
      </c>
      <c r="M1342" s="48">
        <v>5000</v>
      </c>
      <c r="N1342" s="59"/>
      <c r="O1342" s="59"/>
      <c r="P1342" s="59">
        <v>20000</v>
      </c>
      <c r="Q1342" s="268">
        <f t="shared" si="62"/>
        <v>35000</v>
      </c>
      <c r="R1342" s="61">
        <f>IF(O1342=0,0,SUMIFS(Disbursements!$T:$T,Disbursements!$B:$B,'Live Collections'!D1342,Disbursements!$D:$D,'Live Collections'!F1342))</f>
        <v>0</v>
      </c>
      <c r="S1342" s="304">
        <f>IF(O1342&lt;=IF($O1342=0,0,SUMIFS(Disbursements!$W:$W,Disbursements!$B:$B,'Live Collections'!D397,Disbursements!$D:$D,'Live Collections'!F397)),O1342,IF($O1342=0,0,SUMIFS(Disbursements!$W:$W,Disbursements!$B:$B,'Live Collections'!D397,Disbursements!$D:$D,'Live Collections'!F397)))</f>
        <v>0</v>
      </c>
      <c r="T1342" s="304">
        <f t="shared" si="63"/>
        <v>0</v>
      </c>
      <c r="U1342" s="52"/>
      <c r="V1342" s="34"/>
      <c r="W1342" s="408"/>
    </row>
    <row r="1343" spans="1:23" ht="12.75" customHeight="1" x14ac:dyDescent="0.2">
      <c r="A1343" s="257">
        <v>1326</v>
      </c>
      <c r="B1343" s="44">
        <v>44485</v>
      </c>
      <c r="C1343" s="44">
        <f t="shared" si="61"/>
        <v>44485</v>
      </c>
      <c r="D1343" s="374">
        <v>50</v>
      </c>
      <c r="E1343" s="291" t="str">
        <f>IFERROR(VLOOKUP($D1343,'Clients-Live'!$A:$C,3,0),"")</f>
        <v>WACHEKE HARRIET</v>
      </c>
      <c r="F1343" s="291">
        <f>IFERROR(INDEX(Disbursements!$D:$D,MATCH('Live Collections'!G1343,Disbursements!$C:$C,0)),"")</f>
        <v>2</v>
      </c>
      <c r="G1343" s="34">
        <v>220</v>
      </c>
      <c r="H1343" s="34"/>
      <c r="I1343" s="34" t="s">
        <v>1359</v>
      </c>
      <c r="J1343" s="48"/>
      <c r="K1343" s="48"/>
      <c r="L1343" s="48"/>
      <c r="M1343" s="48"/>
      <c r="N1343" s="59"/>
      <c r="O1343" s="59">
        <v>155000</v>
      </c>
      <c r="P1343" s="59"/>
      <c r="Q1343" s="268">
        <f t="shared" si="62"/>
        <v>155000</v>
      </c>
      <c r="R1343" s="61">
        <f>IF(O1343=0,0,SUMIFS(Disbursements!$T:$T,Disbursements!$B:$B,'Live Collections'!D1343,Disbursements!$D:$D,'Live Collections'!F1343))</f>
        <v>154000</v>
      </c>
      <c r="S1343" s="304">
        <f>IF(O1343&lt;=IF($O1343=0,0,SUMIFS(Disbursements!$W:$W,Disbursements!$B:$B,'Live Collections'!D574,Disbursements!$D:$D,'Live Collections'!F574)),O1343,IF($O1343=0,0,SUMIFS(Disbursements!$W:$W,Disbursements!$B:$B,'Live Collections'!D574,Disbursements!$D:$D,'Live Collections'!F574)))</f>
        <v>50333.333333333343</v>
      </c>
      <c r="T1343" s="304">
        <f t="shared" si="63"/>
        <v>104666.66666666666</v>
      </c>
      <c r="U1343" s="52"/>
      <c r="V1343" s="34"/>
      <c r="W1343" s="408"/>
    </row>
    <row r="1344" spans="1:23" ht="12.75" customHeight="1" x14ac:dyDescent="0.2">
      <c r="A1344" s="132">
        <v>1330</v>
      </c>
      <c r="B1344" s="44">
        <v>44485</v>
      </c>
      <c r="C1344" s="44">
        <f t="shared" si="61"/>
        <v>44485</v>
      </c>
      <c r="D1344" s="374">
        <v>54</v>
      </c>
      <c r="E1344" s="291" t="str">
        <f>IFERROR(VLOOKUP($D1344,'Clients-Live'!$A:$C,3,0),"")</f>
        <v>MANENO ANIFA</v>
      </c>
      <c r="F1344" s="291">
        <f>IFERROR(INDEX(Disbursements!$D:$D,MATCH('Live Collections'!G1344,Disbursements!$C:$C,0)),"")</f>
        <v>2</v>
      </c>
      <c r="G1344" s="34">
        <v>195</v>
      </c>
      <c r="H1344" s="34"/>
      <c r="I1344" s="34" t="s">
        <v>1358</v>
      </c>
      <c r="J1344" s="48"/>
      <c r="K1344" s="48"/>
      <c r="L1344" s="48"/>
      <c r="M1344" s="48"/>
      <c r="N1344" s="59"/>
      <c r="O1344" s="59">
        <v>80000</v>
      </c>
      <c r="P1344" s="59"/>
      <c r="Q1344" s="268">
        <f t="shared" si="62"/>
        <v>80000</v>
      </c>
      <c r="R1344" s="61">
        <f>IF(O1344=0,0,SUMIFS(Disbursements!$T:$T,Disbursements!$B:$B,'Live Collections'!D1344,Disbursements!$D:$D,'Live Collections'!F1344))</f>
        <v>200000</v>
      </c>
      <c r="S1344" s="304">
        <f>IF(O1344&lt;=IF($O1344=0,0,SUMIFS(Disbursements!$W:$W,Disbursements!$B:$B,'Live Collections'!D639,Disbursements!$D:$D,'Live Collections'!F639)),O1344,IF($O1344=0,0,SUMIFS(Disbursements!$W:$W,Disbursements!$B:$B,'Live Collections'!D639,Disbursements!$D:$D,'Live Collections'!F639)))</f>
        <v>20000</v>
      </c>
      <c r="T1344" s="304">
        <f t="shared" si="63"/>
        <v>60000</v>
      </c>
      <c r="U1344" s="52"/>
      <c r="V1344" s="34"/>
      <c r="W1344" s="408"/>
    </row>
    <row r="1345" spans="1:23" ht="12.75" customHeight="1" x14ac:dyDescent="0.2">
      <c r="A1345" s="257">
        <v>1328</v>
      </c>
      <c r="B1345" s="44">
        <v>44485</v>
      </c>
      <c r="C1345" s="44">
        <f t="shared" si="61"/>
        <v>44485</v>
      </c>
      <c r="D1345" s="374">
        <v>58</v>
      </c>
      <c r="E1345" s="291" t="str">
        <f>IFERROR(VLOOKUP($D1345,'Clients-Live'!$A:$C,3,0),"")</f>
        <v xml:space="preserve">ALIRU AMINA </v>
      </c>
      <c r="F1345" s="291" t="str">
        <f>IFERROR(INDEX(Disbursements!$D:$D,MATCH('Live Collections'!G1345,Disbursements!$C:$C,0)),"")</f>
        <v/>
      </c>
      <c r="G1345" s="34"/>
      <c r="H1345" s="34"/>
      <c r="I1345" s="34" t="s">
        <v>1358</v>
      </c>
      <c r="J1345" s="48"/>
      <c r="K1345" s="48"/>
      <c r="L1345" s="48"/>
      <c r="M1345" s="48"/>
      <c r="N1345" s="59">
        <v>100000</v>
      </c>
      <c r="O1345" s="59"/>
      <c r="P1345" s="59"/>
      <c r="Q1345" s="268">
        <f t="shared" si="62"/>
        <v>100000</v>
      </c>
      <c r="R1345" s="61">
        <f>IF(O1345=0,0,SUMIFS(Disbursements!$T:$T,Disbursements!$B:$B,'Live Collections'!D1345,Disbursements!$D:$D,'Live Collections'!F1345))</f>
        <v>0</v>
      </c>
      <c r="S1345" s="304">
        <f>IF(O1345&lt;=IF($O1345=0,0,SUMIFS(Disbursements!$W:$W,Disbursements!$B:$B,'Live Collections'!D694,Disbursements!$D:$D,'Live Collections'!F694)),O1345,IF($O1345=0,0,SUMIFS(Disbursements!$W:$W,Disbursements!$B:$B,'Live Collections'!D694,Disbursements!$D:$D,'Live Collections'!F694)))</f>
        <v>0</v>
      </c>
      <c r="T1345" s="304">
        <f t="shared" si="63"/>
        <v>0</v>
      </c>
      <c r="U1345" s="52"/>
      <c r="V1345" s="34"/>
      <c r="W1345" s="408"/>
    </row>
    <row r="1346" spans="1:23" ht="12.75" customHeight="1" x14ac:dyDescent="0.2">
      <c r="A1346" s="132">
        <v>1332</v>
      </c>
      <c r="B1346" s="44">
        <v>44485</v>
      </c>
      <c r="C1346" s="44">
        <f t="shared" si="61"/>
        <v>44485</v>
      </c>
      <c r="D1346" s="374">
        <v>71</v>
      </c>
      <c r="E1346" s="291" t="str">
        <f>IFERROR(VLOOKUP($D1346,'Clients-Live'!$A:$C,3,0),"")</f>
        <v>AYIKORU HARIET BAUDI</v>
      </c>
      <c r="F1346" s="291">
        <f>IFERROR(INDEX(Disbursements!$D:$D,MATCH('Live Collections'!G1346,Disbursements!$C:$C,0)),"")</f>
        <v>1</v>
      </c>
      <c r="G1346" s="34">
        <v>56</v>
      </c>
      <c r="H1346" s="34"/>
      <c r="I1346" s="34" t="s">
        <v>1359</v>
      </c>
      <c r="J1346" s="48"/>
      <c r="K1346" s="48"/>
      <c r="L1346" s="48"/>
      <c r="M1346" s="48"/>
      <c r="N1346" s="59"/>
      <c r="O1346" s="59">
        <v>345000</v>
      </c>
      <c r="P1346" s="59"/>
      <c r="Q1346" s="268">
        <f t="shared" si="62"/>
        <v>345000</v>
      </c>
      <c r="R1346" s="61">
        <f>IF(O1346=0,0,SUMIFS(Disbursements!$T:$T,Disbursements!$B:$B,'Live Collections'!D1346,Disbursements!$D:$D,'Live Collections'!F1346))</f>
        <v>325000</v>
      </c>
      <c r="S1346" s="304"/>
      <c r="T1346" s="304">
        <f t="shared" si="63"/>
        <v>345000</v>
      </c>
      <c r="U1346" s="52"/>
      <c r="V1346" s="34"/>
      <c r="W1346" s="408"/>
    </row>
    <row r="1347" spans="1:23" ht="12.75" customHeight="1" x14ac:dyDescent="0.2">
      <c r="A1347" s="257">
        <v>1334</v>
      </c>
      <c r="B1347" s="44">
        <v>44485</v>
      </c>
      <c r="C1347" s="44">
        <f t="shared" si="61"/>
        <v>44485</v>
      </c>
      <c r="D1347" s="374">
        <v>99</v>
      </c>
      <c r="E1347" s="291" t="str">
        <f>IFERROR(VLOOKUP($D1347,'Clients-Live'!$A:$C,3,0),"")</f>
        <v>SIJALI ASINA SIS</v>
      </c>
      <c r="F1347" s="291" t="str">
        <f>IFERROR(INDEX(Disbursements!$D:$D,MATCH('Live Collections'!G1347,Disbursements!$C:$C,0)),"")</f>
        <v/>
      </c>
      <c r="G1347" s="34"/>
      <c r="H1347" s="34"/>
      <c r="I1347" s="34" t="s">
        <v>1358</v>
      </c>
      <c r="J1347" s="48"/>
      <c r="K1347" s="48"/>
      <c r="L1347" s="48">
        <v>15000</v>
      </c>
      <c r="M1347" s="48">
        <v>5000</v>
      </c>
      <c r="N1347" s="59"/>
      <c r="O1347" s="59"/>
      <c r="P1347" s="59">
        <v>80000</v>
      </c>
      <c r="Q1347" s="268">
        <f t="shared" si="62"/>
        <v>100000</v>
      </c>
      <c r="R1347" s="61">
        <f>IF(O1347=0,0,SUMIFS(Disbursements!$T:$T,Disbursements!$B:$B,'Live Collections'!D1347,Disbursements!$D:$D,'Live Collections'!F1347))</f>
        <v>0</v>
      </c>
      <c r="S1347" s="304">
        <f>IF(O1347&lt;=IF($O1347=0,0,SUMIFS(Disbursements!$W:$W,Disbursements!$B:$B,'Live Collections'!D1281,Disbursements!$D:$D,'Live Collections'!F1281)),O1347,IF($O1347=0,0,SUMIFS(Disbursements!$W:$W,Disbursements!$B:$B,'Live Collections'!D1281,Disbursements!$D:$D,'Live Collections'!F1281)))</f>
        <v>0</v>
      </c>
      <c r="T1347" s="304">
        <f t="shared" si="63"/>
        <v>0</v>
      </c>
      <c r="U1347" s="52"/>
      <c r="V1347" s="34"/>
      <c r="W1347" s="408"/>
    </row>
    <row r="1348" spans="1:23" ht="12.75" customHeight="1" x14ac:dyDescent="0.2">
      <c r="A1348" s="132">
        <v>1329</v>
      </c>
      <c r="B1348" s="44">
        <v>44485</v>
      </c>
      <c r="C1348" s="44">
        <f t="shared" si="61"/>
        <v>44485</v>
      </c>
      <c r="D1348" s="374">
        <v>106</v>
      </c>
      <c r="E1348" s="291" t="str">
        <f>IFERROR(VLOOKUP($D1348,'Clients-Live'!$A:$C,3,0),"")</f>
        <v>ORODRIYO  NUSURA</v>
      </c>
      <c r="F1348" s="291">
        <f>IFERROR(INDEX(Disbursements!$D:$D,MATCH('Live Collections'!G1348,Disbursements!$C:$C,0)),"")</f>
        <v>2</v>
      </c>
      <c r="G1348" s="34">
        <v>104</v>
      </c>
      <c r="H1348" s="34">
        <v>2925</v>
      </c>
      <c r="I1348" s="34" t="s">
        <v>1357</v>
      </c>
      <c r="J1348" s="48"/>
      <c r="K1348" s="48"/>
      <c r="L1348" s="48"/>
      <c r="M1348" s="48"/>
      <c r="N1348" s="59"/>
      <c r="O1348" s="59">
        <v>60000</v>
      </c>
      <c r="P1348" s="59"/>
      <c r="Q1348" s="268">
        <f t="shared" si="62"/>
        <v>60000</v>
      </c>
      <c r="R1348" s="61">
        <f>IF(O1348=0,0,SUMIFS(Disbursements!$T:$T,Disbursements!$B:$B,'Live Collections'!D1348,Disbursements!$D:$D,'Live Collections'!F1348))</f>
        <v>120000</v>
      </c>
      <c r="S1348" s="304">
        <f>IF(O1348&lt;=IF($O1348=0,0,SUMIFS(Disbursements!$W:$W,Disbursements!$B:$B,'Live Collections'!D1867,Disbursements!$D:$D,'Live Collections'!F1867)),O1348,IF($O1348=0,0,SUMIFS(Disbursements!$W:$W,Disbursements!$B:$B,'Live Collections'!D1867,Disbursements!$D:$D,'Live Collections'!F1867)))</f>
        <v>0</v>
      </c>
      <c r="T1348" s="304">
        <f t="shared" si="63"/>
        <v>60000</v>
      </c>
      <c r="U1348" s="52"/>
      <c r="V1348" s="34"/>
      <c r="W1348" s="408"/>
    </row>
    <row r="1349" spans="1:23" ht="12.75" customHeight="1" x14ac:dyDescent="0.2">
      <c r="A1349" s="257">
        <v>1327</v>
      </c>
      <c r="B1349" s="44">
        <v>44485</v>
      </c>
      <c r="C1349" s="44">
        <f t="shared" si="61"/>
        <v>44485</v>
      </c>
      <c r="D1349" s="374">
        <v>128</v>
      </c>
      <c r="E1349" s="291" t="str">
        <f>IFERROR(VLOOKUP($D1349,'Clients-Live'!$A:$C,3,0),"")</f>
        <v>AJONYE BETTY</v>
      </c>
      <c r="F1349" s="291" t="str">
        <f>IFERROR(INDEX(Disbursements!$D:$D,MATCH('Live Collections'!G1349,Disbursements!$C:$C,0)),"")</f>
        <v/>
      </c>
      <c r="G1349" s="34"/>
      <c r="H1349" s="34"/>
      <c r="I1349" s="34" t="s">
        <v>1359</v>
      </c>
      <c r="J1349" s="48"/>
      <c r="K1349" s="48"/>
      <c r="L1349" s="48">
        <v>15000</v>
      </c>
      <c r="M1349" s="48">
        <v>5000</v>
      </c>
      <c r="N1349" s="59"/>
      <c r="O1349" s="59"/>
      <c r="P1349" s="59"/>
      <c r="Q1349" s="268">
        <f t="shared" si="62"/>
        <v>20000</v>
      </c>
      <c r="R1349" s="61">
        <f>IF(O1349=0,0,SUMIFS(Disbursements!$T:$T,Disbursements!$B:$B,'Live Collections'!D1349,Disbursements!$D:$D,'Live Collections'!F1349))</f>
        <v>0</v>
      </c>
      <c r="S1349" s="304">
        <f>IF(O1349&lt;=IF($O1349=0,0,SUMIFS(Disbursements!$W:$W,Disbursements!$B:$B,'Live Collections'!D1623,Disbursements!$D:$D,'Live Collections'!F1623)),O1349,IF($O1349=0,0,SUMIFS(Disbursements!$W:$W,Disbursements!$B:$B,'Live Collections'!D1623,Disbursements!$D:$D,'Live Collections'!F1623)))</f>
        <v>0</v>
      </c>
      <c r="T1349" s="304">
        <f t="shared" si="63"/>
        <v>0</v>
      </c>
      <c r="U1349" s="52"/>
      <c r="V1349" s="34"/>
      <c r="W1349" s="408"/>
    </row>
    <row r="1350" spans="1:23" ht="12.75" customHeight="1" x14ac:dyDescent="0.2">
      <c r="A1350" s="132">
        <v>1323</v>
      </c>
      <c r="B1350" s="44">
        <v>44485</v>
      </c>
      <c r="C1350" s="44">
        <f t="shared" si="61"/>
        <v>44485</v>
      </c>
      <c r="D1350" s="374">
        <v>152</v>
      </c>
      <c r="E1350" s="291" t="str">
        <f>IFERROR(VLOOKUP($D1350,'Clients-Live'!$A:$C,3,0),"")</f>
        <v>ASE ZAINABU</v>
      </c>
      <c r="F1350" s="291">
        <f>IFERROR(INDEX(Disbursements!$D:$D,MATCH('Live Collections'!G1350,Disbursements!$C:$C,0)),"")</f>
        <v>1</v>
      </c>
      <c r="G1350" s="34">
        <v>136</v>
      </c>
      <c r="H1350" s="34">
        <v>2929</v>
      </c>
      <c r="I1350" s="34" t="s">
        <v>1358</v>
      </c>
      <c r="J1350" s="48"/>
      <c r="K1350" s="48"/>
      <c r="L1350" s="48"/>
      <c r="M1350" s="48"/>
      <c r="N1350" s="59"/>
      <c r="O1350" s="59">
        <v>75000</v>
      </c>
      <c r="P1350" s="59"/>
      <c r="Q1350" s="268">
        <f t="shared" si="62"/>
        <v>75000</v>
      </c>
      <c r="R1350" s="61">
        <f>IF(O1350=0,0,SUMIFS(Disbursements!$T:$T,Disbursements!$B:$B,'Live Collections'!D1350,Disbursements!$D:$D,'Live Collections'!F1350))</f>
        <v>175000</v>
      </c>
      <c r="S1350" s="304">
        <f>IF(O1350&lt;=IF($O1350=0,0,SUMIFS(Disbursements!$W:$W,Disbursements!$B:$B,'Live Collections'!D1913,Disbursements!$D:$D,'Live Collections'!F1913)),O1350,IF($O1350=0,0,SUMIFS(Disbursements!$W:$W,Disbursements!$B:$B,'Live Collections'!D1913,Disbursements!$D:$D,'Live Collections'!F1913)))</f>
        <v>15000</v>
      </c>
      <c r="T1350" s="304">
        <f t="shared" si="63"/>
        <v>60000</v>
      </c>
      <c r="U1350" s="52"/>
      <c r="V1350" s="34"/>
      <c r="W1350" s="408"/>
    </row>
    <row r="1351" spans="1:23" ht="12.75" customHeight="1" x14ac:dyDescent="0.2">
      <c r="A1351" s="257">
        <v>1333</v>
      </c>
      <c r="B1351" s="44">
        <v>44485</v>
      </c>
      <c r="C1351" s="44">
        <f t="shared" si="61"/>
        <v>44485</v>
      </c>
      <c r="D1351" s="374">
        <v>202</v>
      </c>
      <c r="E1351" s="291" t="str">
        <f>IFERROR(VLOOKUP($D1351,'Clients-Live'!$A:$C,3,0),"")</f>
        <v>MUSEMA SWAIBU</v>
      </c>
      <c r="F1351" s="291">
        <f>IFERROR(INDEX(Disbursements!$D:$D,MATCH('Live Collections'!G1351,Disbursements!$C:$C,0)),"")</f>
        <v>1</v>
      </c>
      <c r="G1351" s="34">
        <v>197</v>
      </c>
      <c r="H1351" s="34"/>
      <c r="I1351" s="34" t="s">
        <v>1358</v>
      </c>
      <c r="J1351" s="48"/>
      <c r="K1351" s="48"/>
      <c r="L1351" s="48"/>
      <c r="M1351" s="48"/>
      <c r="N1351" s="59"/>
      <c r="O1351" s="59">
        <v>150000</v>
      </c>
      <c r="P1351" s="59"/>
      <c r="Q1351" s="268">
        <f t="shared" si="62"/>
        <v>150000</v>
      </c>
      <c r="R1351" s="61">
        <f>IF(O1351=0,0,SUMIFS(Disbursements!$T:$T,Disbursements!$B:$B,'Live Collections'!D1351,Disbursements!$D:$D,'Live Collections'!F1351))</f>
        <v>144000</v>
      </c>
      <c r="S1351" s="304"/>
      <c r="T1351" s="304">
        <f t="shared" si="63"/>
        <v>150000</v>
      </c>
      <c r="U1351" s="52"/>
      <c r="V1351" s="34"/>
      <c r="W1351" s="408"/>
    </row>
    <row r="1352" spans="1:23" ht="12.75" customHeight="1" x14ac:dyDescent="0.2">
      <c r="A1352" s="132">
        <v>1331</v>
      </c>
      <c r="B1352" s="44">
        <v>44485</v>
      </c>
      <c r="C1352" s="44">
        <f t="shared" ref="C1352:C1415" si="64">B1352</f>
        <v>44485</v>
      </c>
      <c r="D1352" s="374">
        <v>215</v>
      </c>
      <c r="E1352" s="291" t="str">
        <f>IFERROR(VLOOKUP($D1352,'Clients-Live'!$A:$C,3,0),"")</f>
        <v>BRANI MUSA</v>
      </c>
      <c r="F1352" s="291">
        <f>IFERROR(INDEX(Disbursements!$D:$D,MATCH('Live Collections'!G1352,Disbursements!$C:$C,0)),"")</f>
        <v>1</v>
      </c>
      <c r="G1352" s="34">
        <v>219</v>
      </c>
      <c r="H1352" s="34"/>
      <c r="I1352" s="34" t="s">
        <v>1357</v>
      </c>
      <c r="J1352" s="48"/>
      <c r="K1352" s="48"/>
      <c r="L1352" s="48"/>
      <c r="M1352" s="48"/>
      <c r="N1352" s="59"/>
      <c r="O1352" s="59">
        <v>150000</v>
      </c>
      <c r="P1352" s="59"/>
      <c r="Q1352" s="268">
        <f t="shared" ref="Q1352:Q1415" si="65">SUM(J1352:P1352)</f>
        <v>150000</v>
      </c>
      <c r="R1352" s="61">
        <f>IF(O1352=0,0,SUMIFS(Disbursements!$T:$T,Disbursements!$B:$B,'Live Collections'!D1352,Disbursements!$D:$D,'Live Collections'!F1352))</f>
        <v>368000</v>
      </c>
      <c r="S1352" s="304">
        <f>IF(O1352&lt;=IF($O1352=0,0,SUMIFS(Disbursements!$W:$W,Disbursements!$B:$B,'Live Collections'!D2529,Disbursements!$D:$D,'Live Collections'!F2529)),O1352,IF($O1352=0,0,SUMIFS(Disbursements!$W:$W,Disbursements!$B:$B,'Live Collections'!D2529,Disbursements!$D:$D,'Live Collections'!F2529)))</f>
        <v>90000</v>
      </c>
      <c r="T1352" s="304">
        <f t="shared" ref="T1352:T1415" si="66">IF(O1352=0,0,O1352-S1352)</f>
        <v>60000</v>
      </c>
      <c r="U1352" s="52"/>
      <c r="V1352" s="34"/>
      <c r="W1352" s="408"/>
    </row>
    <row r="1353" spans="1:23" ht="12.75" customHeight="1" x14ac:dyDescent="0.2">
      <c r="A1353" s="257">
        <v>1324</v>
      </c>
      <c r="B1353" s="44">
        <v>44485</v>
      </c>
      <c r="C1353" s="44">
        <f t="shared" si="64"/>
        <v>44485</v>
      </c>
      <c r="D1353" s="374">
        <v>218</v>
      </c>
      <c r="E1353" s="291" t="str">
        <f>IFERROR(VLOOKUP($D1353,'Clients-Live'!$A:$C,3,0),"")</f>
        <v>BUSURA OMAR</v>
      </c>
      <c r="F1353" s="291">
        <f>IFERROR(INDEX(Disbursements!$D:$D,MATCH('Live Collections'!G1353,Disbursements!$C:$C,0)),"")</f>
        <v>1</v>
      </c>
      <c r="G1353" s="34">
        <v>223</v>
      </c>
      <c r="H1353" s="34"/>
      <c r="I1353" s="34" t="s">
        <v>1357</v>
      </c>
      <c r="J1353" s="48"/>
      <c r="K1353" s="48"/>
      <c r="L1353" s="48"/>
      <c r="M1353" s="48"/>
      <c r="N1353" s="59"/>
      <c r="O1353" s="59">
        <v>90000</v>
      </c>
      <c r="P1353" s="59"/>
      <c r="Q1353" s="268">
        <f t="shared" si="65"/>
        <v>90000</v>
      </c>
      <c r="R1353" s="61">
        <f>IF(O1353=0,0,SUMIFS(Disbursements!$T:$T,Disbursements!$B:$B,'Live Collections'!D1353,Disbursements!$D:$D,'Live Collections'!F1353))</f>
        <v>325000</v>
      </c>
      <c r="S1353" s="304">
        <f>IF(O1353&lt;=IF($O1353=0,0,SUMIFS(Disbursements!$W:$W,Disbursements!$B:$B,'Live Collections'!D2573,Disbursements!$D:$D,'Live Collections'!F2573)),O1353,IF($O1353=0,0,SUMIFS(Disbursements!$W:$W,Disbursements!$B:$B,'Live Collections'!D2573,Disbursements!$D:$D,'Live Collections'!F2573)))</f>
        <v>0</v>
      </c>
      <c r="T1353" s="304">
        <f t="shared" si="66"/>
        <v>90000</v>
      </c>
      <c r="U1353" s="52"/>
      <c r="V1353" s="34"/>
      <c r="W1353" s="408"/>
    </row>
    <row r="1354" spans="1:23" ht="12.75" customHeight="1" x14ac:dyDescent="0.2">
      <c r="A1354" s="132">
        <v>1337</v>
      </c>
      <c r="B1354" s="44">
        <v>44487</v>
      </c>
      <c r="C1354" s="44">
        <f t="shared" si="64"/>
        <v>44487</v>
      </c>
      <c r="D1354" s="374">
        <v>18</v>
      </c>
      <c r="E1354" s="291" t="str">
        <f>IFERROR(VLOOKUP($D1354,'Clients-Live'!$A:$C,3,0),"")</f>
        <v>ARIYE PEACE</v>
      </c>
      <c r="F1354" s="291">
        <f>IFERROR(INDEX(Disbursements!$D:$D,MATCH('Live Collections'!G1354,Disbursements!$C:$C,0)),"")</f>
        <v>1</v>
      </c>
      <c r="G1354" s="34">
        <v>9</v>
      </c>
      <c r="H1354" s="34"/>
      <c r="I1354" s="34" t="s">
        <v>1357</v>
      </c>
      <c r="J1354" s="48"/>
      <c r="K1354" s="48"/>
      <c r="L1354" s="48"/>
      <c r="M1354" s="48"/>
      <c r="N1354" s="59"/>
      <c r="O1354" s="59">
        <v>108400</v>
      </c>
      <c r="P1354" s="59"/>
      <c r="Q1354" s="268">
        <f t="shared" si="65"/>
        <v>108400</v>
      </c>
      <c r="R1354" s="61">
        <f>IF(O1354=0,0,SUMIFS(Disbursements!$T:$T,Disbursements!$B:$B,'Live Collections'!D1354,Disbursements!$D:$D,'Live Collections'!F1354))</f>
        <v>109000</v>
      </c>
      <c r="S1354" s="304">
        <f>IF(O1354&lt;=IF($O1354=0,0,SUMIFS(Disbursements!$W:$W,Disbursements!$B:$B,'Live Collections'!D210,Disbursements!$D:$D,'Live Collections'!F210)),O1354,IF($O1354=0,0,SUMIFS(Disbursements!$W:$W,Disbursements!$B:$B,'Live Collections'!D210,Disbursements!$D:$D,'Live Collections'!F210)))</f>
        <v>108400</v>
      </c>
      <c r="T1354" s="304">
        <f t="shared" si="66"/>
        <v>0</v>
      </c>
      <c r="U1354" s="52"/>
      <c r="V1354" s="34"/>
      <c r="W1354" s="408"/>
    </row>
    <row r="1355" spans="1:23" ht="12.75" customHeight="1" x14ac:dyDescent="0.2">
      <c r="A1355" s="257">
        <v>1352</v>
      </c>
      <c r="B1355" s="44">
        <v>44487</v>
      </c>
      <c r="C1355" s="44">
        <f t="shared" si="64"/>
        <v>44487</v>
      </c>
      <c r="D1355" s="374">
        <v>19</v>
      </c>
      <c r="E1355" s="291" t="str">
        <f>IFERROR(VLOOKUP($D1355,'Clients-Live'!$A:$C,3,0),"")</f>
        <v>ANGUPARU MOLLY</v>
      </c>
      <c r="F1355" s="291">
        <f>IFERROR(INDEX(Disbursements!$D:$D,MATCH('Live Collections'!G1355,Disbursements!$C:$C,0)),"")</f>
        <v>2</v>
      </c>
      <c r="G1355" s="34">
        <v>152</v>
      </c>
      <c r="H1355" s="34">
        <v>2859</v>
      </c>
      <c r="I1355" s="34" t="s">
        <v>1358</v>
      </c>
      <c r="J1355" s="48"/>
      <c r="K1355" s="48"/>
      <c r="L1355" s="48"/>
      <c r="M1355" s="48"/>
      <c r="N1355" s="59"/>
      <c r="O1355" s="59">
        <v>110000</v>
      </c>
      <c r="P1355" s="59"/>
      <c r="Q1355" s="268">
        <f t="shared" si="65"/>
        <v>110000</v>
      </c>
      <c r="R1355" s="61">
        <f>IF(O1355=0,0,SUMIFS(Disbursements!$T:$T,Disbursements!$B:$B,'Live Collections'!D1355,Disbursements!$D:$D,'Live Collections'!F1355))</f>
        <v>210000</v>
      </c>
      <c r="S1355" s="304">
        <f>IF(O1355&lt;=IF($O1355=0,0,SUMIFS(Disbursements!$W:$W,Disbursements!$B:$B,'Live Collections'!D241,Disbursements!$D:$D,'Live Collections'!F241)),O1355,IF($O1355=0,0,SUMIFS(Disbursements!$W:$W,Disbursements!$B:$B,'Live Collections'!D241,Disbursements!$D:$D,'Live Collections'!F241)))</f>
        <v>0</v>
      </c>
      <c r="T1355" s="304">
        <f t="shared" si="66"/>
        <v>110000</v>
      </c>
      <c r="U1355" s="52"/>
      <c r="V1355" s="34"/>
      <c r="W1355" s="408"/>
    </row>
    <row r="1356" spans="1:23" ht="12.75" customHeight="1" x14ac:dyDescent="0.2">
      <c r="A1356" s="132">
        <v>1341</v>
      </c>
      <c r="B1356" s="44">
        <v>44487</v>
      </c>
      <c r="C1356" s="44">
        <f t="shared" si="64"/>
        <v>44487</v>
      </c>
      <c r="D1356" s="374">
        <v>63</v>
      </c>
      <c r="E1356" s="291" t="str">
        <f>IFERROR(VLOOKUP($D1356,'Clients-Live'!$A:$C,3,0),"")</f>
        <v>AWURU KADARA</v>
      </c>
      <c r="F1356" s="291">
        <f>IFERROR(INDEX(Disbursements!$D:$D,MATCH('Live Collections'!G1356,Disbursements!$C:$C,0)),"")</f>
        <v>2</v>
      </c>
      <c r="G1356" s="34">
        <v>173</v>
      </c>
      <c r="H1356" s="34"/>
      <c r="I1356" s="34" t="s">
        <v>1357</v>
      </c>
      <c r="J1356" s="48"/>
      <c r="K1356" s="48"/>
      <c r="L1356" s="48"/>
      <c r="M1356" s="48"/>
      <c r="N1356" s="59"/>
      <c r="O1356" s="59">
        <v>100000</v>
      </c>
      <c r="P1356" s="59"/>
      <c r="Q1356" s="268">
        <f t="shared" si="65"/>
        <v>100000</v>
      </c>
      <c r="R1356" s="61">
        <f>IF(O1356=0,0,SUMIFS(Disbursements!$T:$T,Disbursements!$B:$B,'Live Collections'!D1356,Disbursements!$D:$D,'Live Collections'!F1356))</f>
        <v>175000</v>
      </c>
      <c r="S1356" s="304">
        <f>IF(O1356&lt;=IF($O1356=0,0,SUMIFS(Disbursements!$W:$W,Disbursements!$B:$B,'Live Collections'!D757,Disbursements!$D:$D,'Live Collections'!F757)),O1356,IF($O1356=0,0,SUMIFS(Disbursements!$W:$W,Disbursements!$B:$B,'Live Collections'!D757,Disbursements!$D:$D,'Live Collections'!F757)))</f>
        <v>3333.3333333333321</v>
      </c>
      <c r="T1356" s="304">
        <f t="shared" si="66"/>
        <v>96666.666666666672</v>
      </c>
      <c r="U1356" s="52"/>
      <c r="V1356" s="34"/>
      <c r="W1356" s="408"/>
    </row>
    <row r="1357" spans="1:23" ht="12.75" customHeight="1" x14ac:dyDescent="0.2">
      <c r="A1357" s="257">
        <v>1350</v>
      </c>
      <c r="B1357" s="44">
        <v>44487</v>
      </c>
      <c r="C1357" s="44">
        <f t="shared" si="64"/>
        <v>44487</v>
      </c>
      <c r="D1357" s="374">
        <v>72</v>
      </c>
      <c r="E1357" s="291" t="str">
        <f>IFERROR(VLOOKUP($D1357,'Clients-Live'!$A:$C,3,0),"")</f>
        <v>MUNDURU MERCY</v>
      </c>
      <c r="F1357" s="291">
        <f>IFERROR(INDEX(Disbursements!$D:$D,MATCH('Live Collections'!G1357,Disbursements!$C:$C,0)),"")</f>
        <v>1</v>
      </c>
      <c r="G1357" s="34">
        <v>57</v>
      </c>
      <c r="H1357" s="34"/>
      <c r="I1357" s="34" t="s">
        <v>1359</v>
      </c>
      <c r="J1357" s="48"/>
      <c r="K1357" s="48"/>
      <c r="L1357" s="48"/>
      <c r="M1357" s="48"/>
      <c r="N1357" s="59"/>
      <c r="O1357" s="59">
        <v>216700</v>
      </c>
      <c r="P1357" s="59"/>
      <c r="Q1357" s="268">
        <f t="shared" si="65"/>
        <v>216700</v>
      </c>
      <c r="R1357" s="61">
        <f>IF(O1357=0,0,SUMIFS(Disbursements!$T:$T,Disbursements!$B:$B,'Live Collections'!D1357,Disbursements!$D:$D,'Live Collections'!F1357))</f>
        <v>217000</v>
      </c>
      <c r="S1357" s="304">
        <f>IF(O1357&lt;=IF($O1357=0,0,SUMIFS(Disbursements!$W:$W,Disbursements!$B:$B,'Live Collections'!D908,Disbursements!$D:$D,'Live Collections'!F908)),O1357,IF($O1357=0,0,SUMIFS(Disbursements!$W:$W,Disbursements!$B:$B,'Live Collections'!D908,Disbursements!$D:$D,'Live Collections'!F908)))</f>
        <v>15000</v>
      </c>
      <c r="T1357" s="304">
        <f t="shared" si="66"/>
        <v>201700</v>
      </c>
      <c r="U1357" s="52"/>
      <c r="V1357" s="34"/>
      <c r="W1357" s="408"/>
    </row>
    <row r="1358" spans="1:23" ht="12.75" customHeight="1" x14ac:dyDescent="0.2">
      <c r="A1358" s="132">
        <v>1342</v>
      </c>
      <c r="B1358" s="44">
        <v>44487</v>
      </c>
      <c r="C1358" s="44">
        <f t="shared" si="64"/>
        <v>44487</v>
      </c>
      <c r="D1358" s="374">
        <v>75</v>
      </c>
      <c r="E1358" s="291" t="str">
        <f>IFERROR(VLOOKUP($D1358,'Clients-Live'!$A:$C,3,0),"")</f>
        <v>MUKULIA JAMES</v>
      </c>
      <c r="F1358" s="291">
        <f>IFERROR(INDEX(Disbursements!$D:$D,MATCH('Live Collections'!G1358,Disbursements!$C:$C,0)),"")</f>
        <v>2</v>
      </c>
      <c r="G1358" s="34">
        <v>174</v>
      </c>
      <c r="H1358" s="34"/>
      <c r="I1358" s="34" t="s">
        <v>1359</v>
      </c>
      <c r="J1358" s="48"/>
      <c r="K1358" s="48"/>
      <c r="L1358" s="48"/>
      <c r="M1358" s="48"/>
      <c r="N1358" s="59"/>
      <c r="O1358" s="59">
        <v>95000</v>
      </c>
      <c r="P1358" s="59"/>
      <c r="Q1358" s="268">
        <f t="shared" si="65"/>
        <v>95000</v>
      </c>
      <c r="R1358" s="61">
        <f>IF(O1358=0,0,SUMIFS(Disbursements!$T:$T,Disbursements!$B:$B,'Live Collections'!D1358,Disbursements!$D:$D,'Live Collections'!F1358))</f>
        <v>175000</v>
      </c>
      <c r="S1358" s="304">
        <f>IF(O1358&lt;=IF($O1358=0,0,SUMIFS(Disbursements!$W:$W,Disbursements!$B:$B,'Live Collections'!D958,Disbursements!$D:$D,'Live Collections'!F958)),O1358,IF($O1358=0,0,SUMIFS(Disbursements!$W:$W,Disbursements!$B:$B,'Live Collections'!D958,Disbursements!$D:$D,'Live Collections'!F958)))</f>
        <v>25000</v>
      </c>
      <c r="T1358" s="304">
        <f t="shared" si="66"/>
        <v>70000</v>
      </c>
      <c r="U1358" s="52"/>
      <c r="V1358" s="34"/>
      <c r="W1358" s="408"/>
    </row>
    <row r="1359" spans="1:23" ht="12.75" customHeight="1" x14ac:dyDescent="0.2">
      <c r="A1359" s="257">
        <v>1346</v>
      </c>
      <c r="B1359" s="44">
        <v>44487</v>
      </c>
      <c r="C1359" s="44">
        <f t="shared" si="64"/>
        <v>44487</v>
      </c>
      <c r="D1359" s="374">
        <v>78</v>
      </c>
      <c r="E1359" s="291" t="str">
        <f>IFERROR(VLOOKUP($D1359,'Clients-Live'!$A:$C,3,0),"")</f>
        <v>DIPIYO BEATRICE JOHN</v>
      </c>
      <c r="F1359" s="291">
        <f>IFERROR(INDEX(Disbursements!$D:$D,MATCH('Live Collections'!G1359,Disbursements!$C:$C,0)),"")</f>
        <v>1</v>
      </c>
      <c r="G1359" s="34">
        <v>62</v>
      </c>
      <c r="H1359" s="34"/>
      <c r="I1359" s="34" t="s">
        <v>1359</v>
      </c>
      <c r="J1359" s="48"/>
      <c r="K1359" s="48"/>
      <c r="L1359" s="48"/>
      <c r="M1359" s="48"/>
      <c r="N1359" s="59"/>
      <c r="O1359" s="59">
        <v>175000</v>
      </c>
      <c r="P1359" s="59"/>
      <c r="Q1359" s="268">
        <f t="shared" si="65"/>
        <v>175000</v>
      </c>
      <c r="R1359" s="61">
        <f>IF(O1359=0,0,SUMIFS(Disbursements!$T:$T,Disbursements!$B:$B,'Live Collections'!D1359,Disbursements!$D:$D,'Live Collections'!F1359))</f>
        <v>175000</v>
      </c>
      <c r="S1359" s="304">
        <f>IF(O1359&lt;=IF($O1359=0,0,SUMIFS(Disbursements!$W:$W,Disbursements!$B:$B,'Live Collections'!D1001,Disbursements!$D:$D,'Live Collections'!F1001)),O1359,IF($O1359=0,0,SUMIFS(Disbursements!$W:$W,Disbursements!$B:$B,'Live Collections'!D1001,Disbursements!$D:$D,'Live Collections'!F1001)))</f>
        <v>5000</v>
      </c>
      <c r="T1359" s="304">
        <f t="shared" si="66"/>
        <v>170000</v>
      </c>
      <c r="U1359" s="52"/>
      <c r="V1359" s="34"/>
      <c r="W1359" s="408"/>
    </row>
    <row r="1360" spans="1:23" ht="12.75" customHeight="1" x14ac:dyDescent="0.2">
      <c r="A1360" s="132">
        <v>1348</v>
      </c>
      <c r="B1360" s="44">
        <v>44487</v>
      </c>
      <c r="C1360" s="44">
        <f t="shared" si="64"/>
        <v>44487</v>
      </c>
      <c r="D1360" s="374">
        <v>85</v>
      </c>
      <c r="E1360" s="291" t="str">
        <f>IFERROR(VLOOKUP($D1360,'Clients-Live'!$A:$C,3,0),"")</f>
        <v>CEASER SWALEH</v>
      </c>
      <c r="F1360" s="291">
        <f>IFERROR(INDEX(Disbursements!$D:$D,MATCH('Live Collections'!G1360,Disbursements!$C:$C,0)),"")</f>
        <v>2</v>
      </c>
      <c r="G1360" s="34">
        <v>119</v>
      </c>
      <c r="H1360" s="34"/>
      <c r="I1360" s="34" t="s">
        <v>1357</v>
      </c>
      <c r="J1360" s="48"/>
      <c r="K1360" s="48"/>
      <c r="L1360" s="48"/>
      <c r="M1360" s="48"/>
      <c r="N1360" s="59"/>
      <c r="O1360" s="59">
        <v>100000</v>
      </c>
      <c r="P1360" s="59"/>
      <c r="Q1360" s="268">
        <f t="shared" si="65"/>
        <v>100000</v>
      </c>
      <c r="R1360" s="61">
        <f>IF(O1360=0,0,SUMIFS(Disbursements!$T:$T,Disbursements!$B:$B,'Live Collections'!D1360,Disbursements!$D:$D,'Live Collections'!F1360))</f>
        <v>434000</v>
      </c>
      <c r="S1360" s="304">
        <f>IF(O1360&lt;=IF($O1360=0,0,SUMIFS(Disbursements!$W:$W,Disbursements!$B:$B,'Live Collections'!D1090,Disbursements!$D:$D,'Live Collections'!F1090)),O1360,IF($O1360=0,0,SUMIFS(Disbursements!$W:$W,Disbursements!$B:$B,'Live Collections'!D1090,Disbursements!$D:$D,'Live Collections'!F1090)))</f>
        <v>52666.666666666657</v>
      </c>
      <c r="T1360" s="304">
        <f t="shared" si="66"/>
        <v>47333.333333333343</v>
      </c>
      <c r="U1360" s="52"/>
      <c r="V1360" s="34"/>
      <c r="W1360" s="408"/>
    </row>
    <row r="1361" spans="1:23" ht="12.75" customHeight="1" x14ac:dyDescent="0.2">
      <c r="A1361" s="257">
        <v>1335</v>
      </c>
      <c r="B1361" s="44">
        <v>44487</v>
      </c>
      <c r="C1361" s="44">
        <f t="shared" si="64"/>
        <v>44487</v>
      </c>
      <c r="D1361" s="374">
        <v>129</v>
      </c>
      <c r="E1361" s="291" t="str">
        <f>IFERROR(VLOOKUP($D1361,'Clients-Live'!$A:$C,3,0),"")</f>
        <v>BAKO ASINA</v>
      </c>
      <c r="F1361" s="291">
        <f>IFERROR(INDEX(Disbursements!$D:$D,MATCH('Live Collections'!G1361,Disbursements!$C:$C,0)),"")</f>
        <v>1</v>
      </c>
      <c r="G1361" s="34">
        <v>118</v>
      </c>
      <c r="H1361" s="34"/>
      <c r="I1361" s="34" t="s">
        <v>1358</v>
      </c>
      <c r="J1361" s="48"/>
      <c r="K1361" s="48"/>
      <c r="L1361" s="48"/>
      <c r="M1361" s="48"/>
      <c r="N1361" s="59"/>
      <c r="O1361" s="59">
        <v>575000</v>
      </c>
      <c r="P1361" s="59"/>
      <c r="Q1361" s="268">
        <f t="shared" si="65"/>
        <v>575000</v>
      </c>
      <c r="R1361" s="61">
        <f>IF(O1361=0,0,SUMIFS(Disbursements!$T:$T,Disbursements!$B:$B,'Live Collections'!D1361,Disbursements!$D:$D,'Live Collections'!F1361))</f>
        <v>575000</v>
      </c>
      <c r="S1361" s="64">
        <v>115000</v>
      </c>
      <c r="T1361" s="304">
        <f t="shared" si="66"/>
        <v>460000</v>
      </c>
      <c r="U1361" s="52"/>
      <c r="V1361" s="34"/>
      <c r="W1361" s="408"/>
    </row>
    <row r="1362" spans="1:23" ht="12.75" customHeight="1" x14ac:dyDescent="0.2">
      <c r="A1362" s="132">
        <v>1344</v>
      </c>
      <c r="B1362" s="44">
        <v>44487</v>
      </c>
      <c r="C1362" s="44">
        <f t="shared" si="64"/>
        <v>44487</v>
      </c>
      <c r="D1362" s="374">
        <v>134</v>
      </c>
      <c r="E1362" s="291" t="str">
        <f>IFERROR(VLOOKUP($D1362,'Clients-Live'!$A:$C,3,0),"")</f>
        <v>TABU NATALIYA</v>
      </c>
      <c r="F1362" s="291">
        <f>IFERROR(INDEX(Disbursements!$D:$D,MATCH('Live Collections'!G1362,Disbursements!$C:$C,0)),"")</f>
        <v>1</v>
      </c>
      <c r="G1362" s="34">
        <v>117</v>
      </c>
      <c r="H1362" s="34"/>
      <c r="I1362" s="34" t="s">
        <v>1359</v>
      </c>
      <c r="J1362" s="48"/>
      <c r="K1362" s="48"/>
      <c r="L1362" s="48"/>
      <c r="M1362" s="48"/>
      <c r="N1362" s="59"/>
      <c r="O1362" s="59">
        <v>50000</v>
      </c>
      <c r="P1362" s="59"/>
      <c r="Q1362" s="268">
        <f t="shared" si="65"/>
        <v>50000</v>
      </c>
      <c r="R1362" s="61">
        <f>IF(O1362=0,0,SUMIFS(Disbursements!$T:$T,Disbursements!$B:$B,'Live Collections'!D1362,Disbursements!$D:$D,'Live Collections'!F1362))</f>
        <v>120000</v>
      </c>
      <c r="S1362" s="304"/>
      <c r="T1362" s="304">
        <f t="shared" si="66"/>
        <v>50000</v>
      </c>
      <c r="U1362" s="52"/>
      <c r="V1362" s="34"/>
      <c r="W1362" s="408"/>
    </row>
    <row r="1363" spans="1:23" ht="12.75" customHeight="1" x14ac:dyDescent="0.2">
      <c r="A1363" s="257">
        <v>1336</v>
      </c>
      <c r="B1363" s="44">
        <v>44487</v>
      </c>
      <c r="C1363" s="44">
        <f t="shared" si="64"/>
        <v>44487</v>
      </c>
      <c r="D1363" s="374">
        <v>141</v>
      </c>
      <c r="E1363" s="291" t="str">
        <f>IFERROR(VLOOKUP($D1363,'Clients-Live'!$A:$C,3,0),"")</f>
        <v>DRAMANI WILFRED</v>
      </c>
      <c r="F1363" s="291">
        <f>IFERROR(INDEX(Disbursements!$D:$D,MATCH('Live Collections'!G1363,Disbursements!$C:$C,0)),"")</f>
        <v>2</v>
      </c>
      <c r="G1363" s="34">
        <v>207</v>
      </c>
      <c r="H1363" s="34"/>
      <c r="I1363" s="34" t="s">
        <v>1359</v>
      </c>
      <c r="J1363" s="48"/>
      <c r="K1363" s="48"/>
      <c r="L1363" s="48"/>
      <c r="M1363" s="48"/>
      <c r="N1363" s="59"/>
      <c r="O1363" s="59">
        <v>80000</v>
      </c>
      <c r="P1363" s="59"/>
      <c r="Q1363" s="268">
        <f t="shared" si="65"/>
        <v>80000</v>
      </c>
      <c r="R1363" s="61">
        <f>IF(O1363=0,0,SUMIFS(Disbursements!$T:$T,Disbursements!$B:$B,'Live Collections'!D1363,Disbursements!$D:$D,'Live Collections'!F1363))</f>
        <v>175000</v>
      </c>
      <c r="S1363" s="304">
        <f>IF(O1363&lt;=IF($O1363=0,0,SUMIFS(Disbursements!$W:$W,Disbursements!$B:$B,'Live Collections'!D2310,Disbursements!$D:$D,'Live Collections'!F2310)),O1363,IF($O1363=0,0,SUMIFS(Disbursements!$W:$W,Disbursements!$B:$B,'Live Collections'!D2310,Disbursements!$D:$D,'Live Collections'!F2310)))</f>
        <v>80000</v>
      </c>
      <c r="T1363" s="304">
        <f t="shared" si="66"/>
        <v>0</v>
      </c>
      <c r="U1363" s="52"/>
      <c r="V1363" s="34"/>
      <c r="W1363" s="408"/>
    </row>
    <row r="1364" spans="1:23" ht="12.75" customHeight="1" x14ac:dyDescent="0.2">
      <c r="A1364" s="132">
        <v>1339</v>
      </c>
      <c r="B1364" s="44">
        <v>44487</v>
      </c>
      <c r="C1364" s="44">
        <f t="shared" si="64"/>
        <v>44487</v>
      </c>
      <c r="D1364" s="374">
        <v>154</v>
      </c>
      <c r="E1364" s="291" t="str">
        <f>IFERROR(VLOOKUP($D1364,'Clients-Live'!$A:$C,3,0),"")</f>
        <v>ERIMU SAMSON</v>
      </c>
      <c r="F1364" s="291">
        <f>IFERROR(INDEX(Disbursements!$D:$D,MATCH('Live Collections'!G1364,Disbursements!$C:$C,0)),"")</f>
        <v>1</v>
      </c>
      <c r="G1364" s="34">
        <v>140</v>
      </c>
      <c r="H1364" s="34"/>
      <c r="I1364" s="34" t="s">
        <v>1357</v>
      </c>
      <c r="J1364" s="48"/>
      <c r="K1364" s="48"/>
      <c r="L1364" s="48"/>
      <c r="M1364" s="48"/>
      <c r="N1364" s="59"/>
      <c r="O1364" s="59">
        <v>400000</v>
      </c>
      <c r="P1364" s="59"/>
      <c r="Q1364" s="268">
        <f t="shared" si="65"/>
        <v>400000</v>
      </c>
      <c r="R1364" s="61">
        <f>IF(O1364=0,0,SUMIFS(Disbursements!$T:$T,Disbursements!$B:$B,'Live Collections'!D1364,Disbursements!$D:$D,'Live Collections'!F1364))</f>
        <v>390000</v>
      </c>
      <c r="S1364" s="304">
        <f>IF(O1364&lt;=IF($O1364=0,0,SUMIFS(Disbursements!$W:$W,Disbursements!$B:$B,'Live Collections'!D1928,Disbursements!$D:$D,'Live Collections'!F1928)),O1364,IF($O1364=0,0,SUMIFS(Disbursements!$W:$W,Disbursements!$B:$B,'Live Collections'!D1928,Disbursements!$D:$D,'Live Collections'!F1928)))</f>
        <v>50000</v>
      </c>
      <c r="T1364" s="304">
        <f t="shared" si="66"/>
        <v>350000</v>
      </c>
      <c r="U1364" s="52"/>
      <c r="V1364" s="34"/>
      <c r="W1364" s="408"/>
    </row>
    <row r="1365" spans="1:23" ht="12.75" customHeight="1" x14ac:dyDescent="0.2">
      <c r="A1365" s="257">
        <v>1353</v>
      </c>
      <c r="B1365" s="44">
        <v>44487</v>
      </c>
      <c r="C1365" s="44">
        <f t="shared" si="64"/>
        <v>44487</v>
      </c>
      <c r="D1365" s="374">
        <v>166</v>
      </c>
      <c r="E1365" s="291" t="str">
        <f>IFERROR(VLOOKUP($D1365,'Clients-Live'!$A:$C,3,0),"")</f>
        <v>INJIKURU ROSE</v>
      </c>
      <c r="F1365" s="291">
        <f>IFERROR(INDEX(Disbursements!$D:$D,MATCH('Live Collections'!G1365,Disbursements!$C:$C,0)),"")</f>
        <v>1</v>
      </c>
      <c r="G1365" s="34">
        <v>153</v>
      </c>
      <c r="H1365" s="34"/>
      <c r="I1365" s="34" t="s">
        <v>1357</v>
      </c>
      <c r="J1365" s="48"/>
      <c r="K1365" s="48"/>
      <c r="L1365" s="48"/>
      <c r="M1365" s="48"/>
      <c r="N1365" s="59"/>
      <c r="O1365" s="59">
        <v>50000</v>
      </c>
      <c r="P1365" s="59"/>
      <c r="Q1365" s="268">
        <f t="shared" si="65"/>
        <v>50000</v>
      </c>
      <c r="R1365" s="61">
        <f>IF(O1365=0,0,SUMIFS(Disbursements!$T:$T,Disbursements!$B:$B,'Live Collections'!D1365,Disbursements!$D:$D,'Live Collections'!F1365))</f>
        <v>77000</v>
      </c>
      <c r="S1365" s="64">
        <v>26999.999999999985</v>
      </c>
      <c r="T1365" s="304">
        <f t="shared" si="66"/>
        <v>23000.000000000015</v>
      </c>
      <c r="U1365" s="52"/>
      <c r="V1365" s="34"/>
      <c r="W1365" s="408"/>
    </row>
    <row r="1366" spans="1:23" ht="12.75" customHeight="1" x14ac:dyDescent="0.2">
      <c r="A1366" s="132">
        <v>1343</v>
      </c>
      <c r="B1366" s="44">
        <v>44487</v>
      </c>
      <c r="C1366" s="44">
        <f t="shared" si="64"/>
        <v>44487</v>
      </c>
      <c r="D1366" s="374">
        <v>169</v>
      </c>
      <c r="E1366" s="291" t="str">
        <f>IFERROR(VLOOKUP($D1366,'Clients-Live'!$A:$C,3,0),"")</f>
        <v>KATO KENNEDY</v>
      </c>
      <c r="F1366" s="291">
        <f>IFERROR(INDEX(Disbursements!$D:$D,MATCH('Live Collections'!G1366,Disbursements!$C:$C,0)),"")</f>
        <v>1</v>
      </c>
      <c r="G1366" s="34">
        <v>176</v>
      </c>
      <c r="H1366" s="34">
        <v>2938</v>
      </c>
      <c r="I1366" s="34" t="s">
        <v>1357</v>
      </c>
      <c r="J1366" s="48"/>
      <c r="K1366" s="48"/>
      <c r="L1366" s="48"/>
      <c r="M1366" s="48"/>
      <c r="N1366" s="59"/>
      <c r="O1366" s="59">
        <v>120000</v>
      </c>
      <c r="P1366" s="59"/>
      <c r="Q1366" s="268">
        <f t="shared" si="65"/>
        <v>120000</v>
      </c>
      <c r="R1366" s="61">
        <f>IF(O1366=0,0,SUMIFS(Disbursements!$T:$T,Disbursements!$B:$B,'Live Collections'!D1366,Disbursements!$D:$D,'Live Collections'!F1366))</f>
        <v>109000</v>
      </c>
      <c r="S1366" s="304">
        <f>IF(O1366&lt;=IF($O1366=0,0,SUMIFS(Disbursements!$W:$W,Disbursements!$B:$B,'Live Collections'!D2086,Disbursements!$D:$D,'Live Collections'!F2086)),O1366,IF($O1366=0,0,SUMIFS(Disbursements!$W:$W,Disbursements!$B:$B,'Live Collections'!D2086,Disbursements!$D:$D,'Live Collections'!F2086)))</f>
        <v>23000</v>
      </c>
      <c r="T1366" s="304">
        <f t="shared" si="66"/>
        <v>97000</v>
      </c>
      <c r="U1366" s="52"/>
      <c r="V1366" s="34"/>
      <c r="W1366" s="408"/>
    </row>
    <row r="1367" spans="1:23" ht="12.75" customHeight="1" x14ac:dyDescent="0.2">
      <c r="A1367" s="257">
        <v>1345</v>
      </c>
      <c r="B1367" s="44">
        <v>44487</v>
      </c>
      <c r="C1367" s="44">
        <f t="shared" si="64"/>
        <v>44487</v>
      </c>
      <c r="D1367" s="374">
        <v>175</v>
      </c>
      <c r="E1367" s="291" t="str">
        <f>IFERROR(VLOOKUP($D1367,'Clients-Live'!$A:$C,3,0),"")</f>
        <v>ZUBEDA WAIGA</v>
      </c>
      <c r="F1367" s="291">
        <f>IFERROR(INDEX(Disbursements!$D:$D,MATCH('Live Collections'!G1367,Disbursements!$C:$C,0)),"")</f>
        <v>1</v>
      </c>
      <c r="G1367" s="34">
        <v>166</v>
      </c>
      <c r="H1367" s="34">
        <v>2941</v>
      </c>
      <c r="I1367" s="34" t="s">
        <v>1358</v>
      </c>
      <c r="J1367" s="48"/>
      <c r="K1367" s="48"/>
      <c r="L1367" s="48"/>
      <c r="M1367" s="48"/>
      <c r="N1367" s="59"/>
      <c r="O1367" s="59">
        <v>65000</v>
      </c>
      <c r="P1367" s="59"/>
      <c r="Q1367" s="268">
        <f t="shared" si="65"/>
        <v>65000</v>
      </c>
      <c r="R1367" s="61">
        <f>IF(O1367=0,0,SUMIFS(Disbursements!$T:$T,Disbursements!$B:$B,'Live Collections'!D1367,Disbursements!$D:$D,'Live Collections'!F1367))</f>
        <v>29000</v>
      </c>
      <c r="S1367" s="304"/>
      <c r="T1367" s="304">
        <f t="shared" si="66"/>
        <v>65000</v>
      </c>
      <c r="U1367" s="52"/>
      <c r="V1367" s="34"/>
      <c r="W1367" s="408"/>
    </row>
    <row r="1368" spans="1:23" ht="12.75" customHeight="1" x14ac:dyDescent="0.2">
      <c r="A1368" s="132">
        <v>1349</v>
      </c>
      <c r="B1368" s="44">
        <v>44487</v>
      </c>
      <c r="C1368" s="44">
        <f t="shared" si="64"/>
        <v>44487</v>
      </c>
      <c r="D1368" s="374">
        <v>177</v>
      </c>
      <c r="E1368" s="291" t="str">
        <f>IFERROR(VLOOKUP($D1368,'Clients-Live'!$A:$C,3,0),"")</f>
        <v>EFIT GIFT</v>
      </c>
      <c r="F1368" s="291">
        <f>IFERROR(INDEX(Disbursements!$D:$D,MATCH('Live Collections'!G1368,Disbursements!$C:$C,0)),"")</f>
        <v>1</v>
      </c>
      <c r="G1368" s="34">
        <v>183</v>
      </c>
      <c r="H1368" s="34"/>
      <c r="I1368" s="34" t="s">
        <v>1358</v>
      </c>
      <c r="J1368" s="48"/>
      <c r="K1368" s="48"/>
      <c r="L1368" s="48"/>
      <c r="M1368" s="48"/>
      <c r="N1368" s="59"/>
      <c r="O1368" s="59">
        <v>110000</v>
      </c>
      <c r="P1368" s="59"/>
      <c r="Q1368" s="268">
        <f t="shared" si="65"/>
        <v>110000</v>
      </c>
      <c r="R1368" s="61">
        <f>IF(O1368=0,0,SUMIFS(Disbursements!$T:$T,Disbursements!$B:$B,'Live Collections'!D1368,Disbursements!$D:$D,'Live Collections'!F1368))</f>
        <v>109000</v>
      </c>
      <c r="S1368" s="304">
        <f>IF(O1368&lt;=IF($O1368=0,0,SUMIFS(Disbursements!$W:$W,Disbursements!$B:$B,'Live Collections'!D2170,Disbursements!$D:$D,'Live Collections'!F2170)),O1368,IF($O1368=0,0,SUMIFS(Disbursements!$W:$W,Disbursements!$B:$B,'Live Collections'!D2170,Disbursements!$D:$D,'Live Collections'!F2170)))</f>
        <v>30000</v>
      </c>
      <c r="T1368" s="304">
        <f t="shared" si="66"/>
        <v>80000</v>
      </c>
      <c r="U1368" s="52"/>
      <c r="V1368" s="34"/>
      <c r="W1368" s="408"/>
    </row>
    <row r="1369" spans="1:23" ht="12.75" customHeight="1" x14ac:dyDescent="0.2">
      <c r="A1369" s="257">
        <v>1338</v>
      </c>
      <c r="B1369" s="44">
        <v>44487</v>
      </c>
      <c r="C1369" s="44">
        <f t="shared" si="64"/>
        <v>44487</v>
      </c>
      <c r="D1369" s="374">
        <v>200</v>
      </c>
      <c r="E1369" s="291" t="str">
        <f>IFERROR(VLOOKUP($D1369,'Clients-Live'!$A:$C,3,0),"")</f>
        <v>SERIYA FLORENCE</v>
      </c>
      <c r="F1369" s="291">
        <f>IFERROR(INDEX(Disbursements!$D:$D,MATCH('Live Collections'!G1369,Disbursements!$C:$C,0)),"")</f>
        <v>1</v>
      </c>
      <c r="G1369" s="34">
        <v>222</v>
      </c>
      <c r="H1369" s="34"/>
      <c r="I1369" s="34" t="s">
        <v>1359</v>
      </c>
      <c r="J1369" s="48"/>
      <c r="K1369" s="48"/>
      <c r="L1369" s="48"/>
      <c r="M1369" s="48"/>
      <c r="N1369" s="59"/>
      <c r="O1369" s="59">
        <v>115000</v>
      </c>
      <c r="P1369" s="59"/>
      <c r="Q1369" s="268">
        <f t="shared" si="65"/>
        <v>115000</v>
      </c>
      <c r="R1369" s="61">
        <f>IF(O1369=0,0,SUMIFS(Disbursements!$T:$T,Disbursements!$B:$B,'Live Collections'!D1369,Disbursements!$D:$D,'Live Collections'!F1369))</f>
        <v>115000</v>
      </c>
      <c r="S1369" s="64">
        <v>45000</v>
      </c>
      <c r="T1369" s="304">
        <f t="shared" si="66"/>
        <v>70000</v>
      </c>
      <c r="U1369" s="52"/>
      <c r="V1369" s="34"/>
      <c r="W1369" s="408"/>
    </row>
    <row r="1370" spans="1:23" ht="12.75" customHeight="1" x14ac:dyDescent="0.2">
      <c r="A1370" s="132">
        <v>1340</v>
      </c>
      <c r="B1370" s="44">
        <v>44487</v>
      </c>
      <c r="C1370" s="44">
        <f t="shared" si="64"/>
        <v>44487</v>
      </c>
      <c r="D1370" s="374">
        <v>213</v>
      </c>
      <c r="E1370" s="291" t="str">
        <f>IFERROR(VLOOKUP($D1370,'Clients-Live'!$A:$C,3,0),"")</f>
        <v>ATIKURU NADIA</v>
      </c>
      <c r="F1370" s="291">
        <f>IFERROR(INDEX(Disbursements!$D:$D,MATCH('Live Collections'!G1370,Disbursements!$C:$C,0)),"")</f>
        <v>1</v>
      </c>
      <c r="G1370" s="34">
        <v>208</v>
      </c>
      <c r="H1370" s="34"/>
      <c r="I1370" s="34" t="s">
        <v>1357</v>
      </c>
      <c r="J1370" s="48"/>
      <c r="K1370" s="48"/>
      <c r="L1370" s="48"/>
      <c r="M1370" s="48"/>
      <c r="N1370" s="59"/>
      <c r="O1370" s="59">
        <v>20000</v>
      </c>
      <c r="P1370" s="59"/>
      <c r="Q1370" s="268">
        <f t="shared" si="65"/>
        <v>20000</v>
      </c>
      <c r="R1370" s="61">
        <f>IF(O1370=0,0,SUMIFS(Disbursements!$T:$T,Disbursements!$B:$B,'Live Collections'!D1370,Disbursements!$D:$D,'Live Collections'!F1370))</f>
        <v>150000</v>
      </c>
      <c r="S1370" s="304">
        <v>25000</v>
      </c>
      <c r="T1370" s="304">
        <f t="shared" si="66"/>
        <v>-5000</v>
      </c>
      <c r="U1370" s="52"/>
      <c r="V1370" s="34"/>
      <c r="W1370" s="408"/>
    </row>
    <row r="1371" spans="1:23" ht="12.75" customHeight="1" x14ac:dyDescent="0.2">
      <c r="A1371" s="257">
        <v>1351</v>
      </c>
      <c r="B1371" s="44">
        <v>44487</v>
      </c>
      <c r="C1371" s="44">
        <f t="shared" si="64"/>
        <v>44487</v>
      </c>
      <c r="D1371" s="374">
        <v>215</v>
      </c>
      <c r="E1371" s="291" t="str">
        <f>IFERROR(VLOOKUP($D1371,'Clients-Live'!$A:$C,3,0),"")</f>
        <v>BRANI MUSA</v>
      </c>
      <c r="F1371" s="291">
        <f>IFERROR(INDEX(Disbursements!$D:$D,MATCH('Live Collections'!G1371,Disbursements!$C:$C,0)),"")</f>
        <v>1</v>
      </c>
      <c r="G1371" s="34">
        <v>219</v>
      </c>
      <c r="H1371" s="34"/>
      <c r="I1371" s="34" t="s">
        <v>1357</v>
      </c>
      <c r="J1371" s="48"/>
      <c r="K1371" s="48"/>
      <c r="L1371" s="48"/>
      <c r="M1371" s="48"/>
      <c r="N1371" s="59"/>
      <c r="O1371" s="59">
        <v>40000</v>
      </c>
      <c r="P1371" s="59"/>
      <c r="Q1371" s="268">
        <f t="shared" si="65"/>
        <v>40000</v>
      </c>
      <c r="R1371" s="61">
        <f>IF(O1371=0,0,SUMIFS(Disbursements!$T:$T,Disbursements!$B:$B,'Live Collections'!D1371,Disbursements!$D:$D,'Live Collections'!F1371))</f>
        <v>368000</v>
      </c>
      <c r="S1371" s="304">
        <f>IF(O1371&lt;=IF($O1371=0,0,SUMIFS(Disbursements!$W:$W,Disbursements!$B:$B,'Live Collections'!D2530,Disbursements!$D:$D,'Live Collections'!F2530)),O1371,IF($O1371=0,0,SUMIFS(Disbursements!$W:$W,Disbursements!$B:$B,'Live Collections'!D2530,Disbursements!$D:$D,'Live Collections'!F2530)))</f>
        <v>25000</v>
      </c>
      <c r="T1371" s="304">
        <f t="shared" si="66"/>
        <v>15000</v>
      </c>
      <c r="U1371" s="52"/>
      <c r="V1371" s="34"/>
      <c r="W1371" s="408"/>
    </row>
    <row r="1372" spans="1:23" ht="12.75" customHeight="1" x14ac:dyDescent="0.2">
      <c r="A1372" s="132">
        <v>1347</v>
      </c>
      <c r="B1372" s="44">
        <v>44487</v>
      </c>
      <c r="C1372" s="44">
        <f t="shared" si="64"/>
        <v>44487</v>
      </c>
      <c r="D1372" s="374">
        <v>220</v>
      </c>
      <c r="E1372" s="291" t="str">
        <f>IFERROR(VLOOKUP($D1372,'Clients-Live'!$A:$C,3,0),"")</f>
        <v>DRAGUMA SIRAJI</v>
      </c>
      <c r="F1372" s="291">
        <f>IFERROR(INDEX(Disbursements!$D:$D,MATCH('Live Collections'!G1372,Disbursements!$C:$C,0)),"")</f>
        <v>1</v>
      </c>
      <c r="G1372" s="34">
        <v>224</v>
      </c>
      <c r="H1372" s="34"/>
      <c r="I1372" s="34" t="s">
        <v>1359</v>
      </c>
      <c r="J1372" s="48"/>
      <c r="K1372" s="48"/>
      <c r="L1372" s="48"/>
      <c r="M1372" s="48"/>
      <c r="N1372" s="59"/>
      <c r="O1372" s="59">
        <v>541700</v>
      </c>
      <c r="P1372" s="59"/>
      <c r="Q1372" s="268">
        <f t="shared" si="65"/>
        <v>541700</v>
      </c>
      <c r="R1372" s="61">
        <f>IF(O1372=0,0,SUMIFS(Disbursements!$T:$T,Disbursements!$B:$B,'Live Collections'!D1372,Disbursements!$D:$D,'Live Collections'!F1372))</f>
        <v>542000</v>
      </c>
      <c r="S1372" s="304"/>
      <c r="T1372" s="304">
        <f t="shared" si="66"/>
        <v>541700</v>
      </c>
      <c r="U1372" s="52"/>
      <c r="V1372" s="34"/>
      <c r="W1372" s="408"/>
    </row>
    <row r="1373" spans="1:23" ht="12.75" customHeight="1" x14ac:dyDescent="0.2">
      <c r="A1373" s="257">
        <v>1354</v>
      </c>
      <c r="B1373" s="44">
        <v>44487</v>
      </c>
      <c r="C1373" s="44">
        <f t="shared" si="64"/>
        <v>44487</v>
      </c>
      <c r="D1373" s="374">
        <v>224</v>
      </c>
      <c r="E1373" s="291" t="str">
        <f>IFERROR(VLOOKUP($D1373,'Clients-Live'!$A:$C,3,0),"")</f>
        <v>MALIAMUNGU ROBERT</v>
      </c>
      <c r="F1373" s="291" t="str">
        <f>IFERROR(INDEX(Disbursements!$D:$D,MATCH('Live Collections'!G1373,Disbursements!$C:$C,0)),"")</f>
        <v/>
      </c>
      <c r="G1373" s="34"/>
      <c r="H1373" s="34"/>
      <c r="I1373" s="34" t="s">
        <v>1357</v>
      </c>
      <c r="J1373" s="48"/>
      <c r="K1373" s="48"/>
      <c r="L1373" s="48"/>
      <c r="M1373" s="48"/>
      <c r="N1373" s="59"/>
      <c r="O1373" s="59"/>
      <c r="P1373" s="59">
        <v>250000</v>
      </c>
      <c r="Q1373" s="268">
        <f t="shared" si="65"/>
        <v>250000</v>
      </c>
      <c r="R1373" s="61">
        <f>IF(O1373=0,0,SUMIFS(Disbursements!$T:$T,Disbursements!$B:$B,'Live Collections'!D1373,Disbursements!$D:$D,'Live Collections'!F1373))</f>
        <v>0</v>
      </c>
      <c r="S1373" s="304">
        <f>IF(O1373&lt;=IF($O1373=0,0,SUMIFS(Disbursements!$W:$W,Disbursements!$B:$B,'Live Collections'!D2623,Disbursements!$D:$D,'Live Collections'!F2623)),O1373,IF($O1373=0,0,SUMIFS(Disbursements!$W:$W,Disbursements!$B:$B,'Live Collections'!D2623,Disbursements!$D:$D,'Live Collections'!F2623)))</f>
        <v>0</v>
      </c>
      <c r="T1373" s="304">
        <f t="shared" si="66"/>
        <v>0</v>
      </c>
      <c r="U1373" s="52"/>
      <c r="V1373" s="34"/>
      <c r="W1373" s="408"/>
    </row>
    <row r="1374" spans="1:23" ht="12.75" customHeight="1" x14ac:dyDescent="0.2">
      <c r="A1374" s="132">
        <v>1355</v>
      </c>
      <c r="B1374" s="44">
        <v>44487</v>
      </c>
      <c r="C1374" s="44">
        <f t="shared" si="64"/>
        <v>44487</v>
      </c>
      <c r="D1374" s="374">
        <v>259</v>
      </c>
      <c r="E1374" s="291" t="str">
        <f>IFERROR(VLOOKUP($D1374,'Clients-Live'!$A:$C,3,0),"")</f>
        <v>SALAMA GIFT</v>
      </c>
      <c r="F1374" s="291" t="str">
        <f>IFERROR(INDEX(Disbursements!$D:$D,MATCH('Live Collections'!G1374,Disbursements!$C:$C,0)),"")</f>
        <v/>
      </c>
      <c r="G1374" s="34"/>
      <c r="H1374" s="34"/>
      <c r="I1374" s="34" t="s">
        <v>1716</v>
      </c>
      <c r="J1374" s="48">
        <v>15000</v>
      </c>
      <c r="K1374" s="48">
        <v>5000</v>
      </c>
      <c r="L1374" s="48">
        <v>10000</v>
      </c>
      <c r="M1374" s="48">
        <v>5000</v>
      </c>
      <c r="N1374" s="59"/>
      <c r="O1374" s="59"/>
      <c r="P1374" s="59"/>
      <c r="Q1374" s="268">
        <f t="shared" si="65"/>
        <v>35000</v>
      </c>
      <c r="R1374" s="61">
        <f>IF(O1374=0,0,SUMIFS(Disbursements!$T:$T,Disbursements!$B:$B,'Live Collections'!D1374,Disbursements!$D:$D,'Live Collections'!F1374))</f>
        <v>0</v>
      </c>
      <c r="S1374" s="304">
        <f>IF(O1374&lt;=IF($O1374=0,0,SUMIFS(Disbursements!$W:$W,Disbursements!$B:$B,'Live Collections'!D2868,Disbursements!$D:$D,'Live Collections'!F2868)),O1374,IF($O1374=0,0,SUMIFS(Disbursements!$W:$W,Disbursements!$B:$B,'Live Collections'!D2868,Disbursements!$D:$D,'Live Collections'!F2868)))</f>
        <v>0</v>
      </c>
      <c r="T1374" s="304">
        <f t="shared" si="66"/>
        <v>0</v>
      </c>
      <c r="U1374" s="52"/>
      <c r="V1374" s="34"/>
      <c r="W1374" s="408"/>
    </row>
    <row r="1375" spans="1:23" ht="12.75" customHeight="1" x14ac:dyDescent="0.2">
      <c r="A1375" s="257">
        <v>1357</v>
      </c>
      <c r="B1375" s="44">
        <v>44487</v>
      </c>
      <c r="C1375" s="44">
        <f t="shared" si="64"/>
        <v>44487</v>
      </c>
      <c r="D1375" s="374">
        <v>261</v>
      </c>
      <c r="E1375" s="291" t="str">
        <f>IFERROR(VLOOKUP($D1375,'Clients-Live'!$A:$C,3,0),"")</f>
        <v>AMANIYO STELLA</v>
      </c>
      <c r="F1375" s="291" t="str">
        <f>IFERROR(INDEX(Disbursements!$D:$D,MATCH('Live Collections'!G1375,Disbursements!$C:$C,0)),"")</f>
        <v/>
      </c>
      <c r="G1375" s="34"/>
      <c r="H1375" s="34"/>
      <c r="I1375" s="34" t="s">
        <v>1357</v>
      </c>
      <c r="J1375" s="48">
        <v>15000</v>
      </c>
      <c r="K1375" s="48">
        <v>5000</v>
      </c>
      <c r="L1375" s="48">
        <v>10000</v>
      </c>
      <c r="M1375" s="48">
        <v>5000</v>
      </c>
      <c r="N1375" s="59"/>
      <c r="O1375" s="59"/>
      <c r="P1375" s="59"/>
      <c r="Q1375" s="268">
        <f t="shared" si="65"/>
        <v>35000</v>
      </c>
      <c r="R1375" s="61">
        <f>IF(O1375=0,0,SUMIFS(Disbursements!$T:$T,Disbursements!$B:$B,'Live Collections'!D1375,Disbursements!$D:$D,'Live Collections'!F1375))</f>
        <v>0</v>
      </c>
      <c r="S1375" s="304">
        <f>IF(O1375&lt;=IF($O1375=0,0,SUMIFS(Disbursements!$W:$W,Disbursements!$B:$B,'Live Collections'!D2883,Disbursements!$D:$D,'Live Collections'!F2883)),O1375,IF($O1375=0,0,SUMIFS(Disbursements!$W:$W,Disbursements!$B:$B,'Live Collections'!D2883,Disbursements!$D:$D,'Live Collections'!F2883)))</f>
        <v>0</v>
      </c>
      <c r="T1375" s="304">
        <f t="shared" si="66"/>
        <v>0</v>
      </c>
      <c r="U1375" s="52"/>
      <c r="V1375" s="34"/>
      <c r="W1375" s="408"/>
    </row>
    <row r="1376" spans="1:23" ht="12.75" customHeight="1" x14ac:dyDescent="0.2">
      <c r="A1376" s="257">
        <v>1356</v>
      </c>
      <c r="B1376" s="44">
        <v>44487</v>
      </c>
      <c r="C1376" s="44">
        <f t="shared" si="64"/>
        <v>44487</v>
      </c>
      <c r="D1376" s="374">
        <v>262</v>
      </c>
      <c r="E1376" s="291" t="str">
        <f>IFERROR(VLOOKUP($D1376,'Clients-Live'!$A:$C,3,0),"")</f>
        <v>ALONE ZAITUN</v>
      </c>
      <c r="F1376" s="291" t="str">
        <f>IFERROR(INDEX(Disbursements!$D:$D,MATCH('Live Collections'!G1376,Disbursements!$C:$C,0)),"")</f>
        <v/>
      </c>
      <c r="G1376" s="34"/>
      <c r="H1376" s="34"/>
      <c r="I1376" s="34" t="s">
        <v>1716</v>
      </c>
      <c r="J1376" s="48">
        <v>15000</v>
      </c>
      <c r="K1376" s="48">
        <v>5000</v>
      </c>
      <c r="L1376" s="48">
        <v>10000</v>
      </c>
      <c r="M1376" s="48">
        <v>5000</v>
      </c>
      <c r="N1376" s="59"/>
      <c r="O1376" s="59"/>
      <c r="P1376" s="59"/>
      <c r="Q1376" s="268">
        <f t="shared" si="65"/>
        <v>35000</v>
      </c>
      <c r="R1376" s="61">
        <f>IF(O1376=0,0,SUMIFS(Disbursements!$T:$T,Disbursements!$B:$B,'Live Collections'!D1376,Disbursements!$D:$D,'Live Collections'!F1376))</f>
        <v>0</v>
      </c>
      <c r="S1376" s="304">
        <f>IF(O1376&lt;=IF($O1376=0,0,SUMIFS(Disbursements!$W:$W,Disbursements!$B:$B,'Live Collections'!D2893,Disbursements!$D:$D,'Live Collections'!F2893)),O1376,IF($O1376=0,0,SUMIFS(Disbursements!$W:$W,Disbursements!$B:$B,'Live Collections'!D2893,Disbursements!$D:$D,'Live Collections'!F2893)))</f>
        <v>0</v>
      </c>
      <c r="T1376" s="304">
        <f t="shared" si="66"/>
        <v>0</v>
      </c>
      <c r="U1376" s="52"/>
      <c r="V1376" s="34"/>
      <c r="W1376" s="408"/>
    </row>
    <row r="1377" spans="1:23" ht="12.75" customHeight="1" x14ac:dyDescent="0.2">
      <c r="A1377" s="257">
        <v>1360</v>
      </c>
      <c r="B1377" s="44">
        <v>44488</v>
      </c>
      <c r="C1377" s="44">
        <f t="shared" si="64"/>
        <v>44488</v>
      </c>
      <c r="D1377" s="374">
        <v>46</v>
      </c>
      <c r="E1377" s="291" t="str">
        <f>IFERROR(VLOOKUP($D1377,'Clients-Live'!$A:$C,3,0),"")</f>
        <v>ALIO YUDA</v>
      </c>
      <c r="F1377" s="291">
        <f>IFERROR(INDEX(Disbursements!$D:$D,MATCH('Live Collections'!G1377,Disbursements!$C:$C,0)),"")</f>
        <v>1</v>
      </c>
      <c r="G1377" s="34">
        <v>35</v>
      </c>
      <c r="H1377" s="34"/>
      <c r="I1377" s="34" t="s">
        <v>1357</v>
      </c>
      <c r="J1377" s="48"/>
      <c r="K1377" s="48"/>
      <c r="L1377" s="48"/>
      <c r="M1377" s="48"/>
      <c r="N1377" s="59"/>
      <c r="O1377" s="59">
        <v>50000</v>
      </c>
      <c r="P1377" s="59"/>
      <c r="Q1377" s="268">
        <f t="shared" si="65"/>
        <v>50000</v>
      </c>
      <c r="R1377" s="61">
        <f>IF(O1377=0,0,SUMIFS(Disbursements!$T:$T,Disbursements!$B:$B,'Live Collections'!D1377,Disbursements!$D:$D,'Live Collections'!F1377))</f>
        <v>325000</v>
      </c>
      <c r="S1377" s="304">
        <f>IF(O1377&lt;=IF($O1377=0,0,SUMIFS(Disbursements!$W:$W,Disbursements!$B:$B,'Live Collections'!D522,Disbursements!$D:$D,'Live Collections'!F522)),O1377,IF($O1377=0,0,SUMIFS(Disbursements!$W:$W,Disbursements!$B:$B,'Live Collections'!D522,Disbursements!$D:$D,'Live Collections'!F522)))</f>
        <v>50000</v>
      </c>
      <c r="T1377" s="304">
        <f t="shared" si="66"/>
        <v>0</v>
      </c>
      <c r="U1377" s="52"/>
      <c r="V1377" s="34"/>
      <c r="W1377" s="408"/>
    </row>
    <row r="1378" spans="1:23" ht="12.75" customHeight="1" x14ac:dyDescent="0.2">
      <c r="A1378" s="257">
        <v>1358</v>
      </c>
      <c r="B1378" s="44">
        <v>44488</v>
      </c>
      <c r="C1378" s="44">
        <f t="shared" si="64"/>
        <v>44488</v>
      </c>
      <c r="D1378" s="374">
        <v>58</v>
      </c>
      <c r="E1378" s="291" t="str">
        <f>IFERROR(VLOOKUP($D1378,'Clients-Live'!$A:$C,3,0),"")</f>
        <v xml:space="preserve">ALIRU AMINA </v>
      </c>
      <c r="F1378" s="291" t="str">
        <f>IFERROR(INDEX(Disbursements!$D:$D,MATCH('Live Collections'!G1378,Disbursements!$C:$C,0)),"")</f>
        <v/>
      </c>
      <c r="G1378" s="34"/>
      <c r="H1378" s="34"/>
      <c r="I1378" s="34" t="s">
        <v>1358</v>
      </c>
      <c r="J1378" s="48"/>
      <c r="K1378" s="48"/>
      <c r="L1378" s="48"/>
      <c r="M1378" s="48"/>
      <c r="N1378" s="59">
        <v>50000</v>
      </c>
      <c r="O1378" s="59"/>
      <c r="P1378" s="59"/>
      <c r="Q1378" s="268">
        <f t="shared" si="65"/>
        <v>50000</v>
      </c>
      <c r="R1378" s="61">
        <f>IF(O1378=0,0,SUMIFS(Disbursements!$T:$T,Disbursements!$B:$B,'Live Collections'!D1378,Disbursements!$D:$D,'Live Collections'!F1378))</f>
        <v>0</v>
      </c>
      <c r="S1378" s="304">
        <f>IF(O1378&lt;=IF($O1378=0,0,SUMIFS(Disbursements!$W:$W,Disbursements!$B:$B,'Live Collections'!D695,Disbursements!$D:$D,'Live Collections'!F695)),O1378,IF($O1378=0,0,SUMIFS(Disbursements!$W:$W,Disbursements!$B:$B,'Live Collections'!D695,Disbursements!$D:$D,'Live Collections'!F695)))</f>
        <v>0</v>
      </c>
      <c r="T1378" s="304">
        <f t="shared" si="66"/>
        <v>0</v>
      </c>
      <c r="U1378" s="52"/>
      <c r="V1378" s="34"/>
      <c r="W1378" s="408"/>
    </row>
    <row r="1379" spans="1:23" ht="12.75" customHeight="1" x14ac:dyDescent="0.2">
      <c r="A1379" s="257">
        <v>1361</v>
      </c>
      <c r="B1379" s="44">
        <v>44488</v>
      </c>
      <c r="C1379" s="44">
        <f t="shared" si="64"/>
        <v>44488</v>
      </c>
      <c r="D1379" s="374">
        <v>116</v>
      </c>
      <c r="E1379" s="291" t="str">
        <f>IFERROR(VLOOKUP($D1379,'Clients-Live'!$A:$C,3,0),"")</f>
        <v>ONZIA LUCY</v>
      </c>
      <c r="F1379" s="291">
        <f>IFERROR(INDEX(Disbursements!$D:$D,MATCH('Live Collections'!G1379,Disbursements!$C:$C,0)),"")</f>
        <v>2</v>
      </c>
      <c r="G1379" s="34">
        <v>229</v>
      </c>
      <c r="H1379" s="34"/>
      <c r="I1379" s="34" t="s">
        <v>1357</v>
      </c>
      <c r="J1379" s="48"/>
      <c r="K1379" s="48"/>
      <c r="L1379" s="48"/>
      <c r="M1379" s="48"/>
      <c r="N1379" s="59"/>
      <c r="O1379" s="59">
        <v>30000</v>
      </c>
      <c r="P1379" s="59"/>
      <c r="Q1379" s="268">
        <f t="shared" si="65"/>
        <v>30000</v>
      </c>
      <c r="R1379" s="61">
        <f>IF(O1379=0,0,SUMIFS(Disbursements!$T:$T,Disbursements!$B:$B,'Live Collections'!D1379,Disbursements!$D:$D,'Live Collections'!F1379))</f>
        <v>29000</v>
      </c>
      <c r="S1379" s="304">
        <f>IF(O1379&lt;=IF($O1379=0,0,SUMIFS(Disbursements!$W:$W,Disbursements!$B:$B,'Live Collections'!D1502,Disbursements!$D:$D,'Live Collections'!F1502)),O1379,IF($O1379=0,0,SUMIFS(Disbursements!$W:$W,Disbursements!$B:$B,'Live Collections'!D1502,Disbursements!$D:$D,'Live Collections'!F1502)))</f>
        <v>25666.666666666672</v>
      </c>
      <c r="T1379" s="304">
        <f t="shared" si="66"/>
        <v>4333.3333333333285</v>
      </c>
      <c r="U1379" s="52"/>
      <c r="V1379" s="34"/>
      <c r="W1379" s="408"/>
    </row>
    <row r="1380" spans="1:23" ht="12.75" customHeight="1" x14ac:dyDescent="0.2">
      <c r="A1380" s="257">
        <v>1362</v>
      </c>
      <c r="B1380" s="44">
        <v>44488</v>
      </c>
      <c r="C1380" s="44">
        <f t="shared" si="64"/>
        <v>44488</v>
      </c>
      <c r="D1380" s="374">
        <v>131</v>
      </c>
      <c r="E1380" s="291" t="str">
        <f>IFERROR(VLOOKUP($D1380,'Clients-Live'!$A:$C,3,0),"")</f>
        <v>CANDIRU ZAKIA</v>
      </c>
      <c r="F1380" s="291" t="str">
        <f>IFERROR(INDEX(Disbursements!$D:$D,MATCH('Live Collections'!G1380,Disbursements!$C:$C,0)),"")</f>
        <v/>
      </c>
      <c r="G1380" s="34"/>
      <c r="H1380" s="34"/>
      <c r="I1380" s="34" t="s">
        <v>1357</v>
      </c>
      <c r="J1380" s="48"/>
      <c r="K1380" s="48"/>
      <c r="L1380" s="48">
        <v>10000</v>
      </c>
      <c r="M1380" s="48">
        <v>5000</v>
      </c>
      <c r="N1380" s="59"/>
      <c r="O1380" s="59"/>
      <c r="P1380" s="59"/>
      <c r="Q1380" s="268">
        <f t="shared" si="65"/>
        <v>15000</v>
      </c>
      <c r="R1380" s="61">
        <f>IF(O1380=0,0,SUMIFS(Disbursements!$T:$T,Disbursements!$B:$B,'Live Collections'!D1380,Disbursements!$D:$D,'Live Collections'!F1380))</f>
        <v>0</v>
      </c>
      <c r="S1380" s="304">
        <f>IF(O1380&lt;=IF($O1380=0,0,SUMIFS(Disbursements!$W:$W,Disbursements!$B:$B,'Live Collections'!D1659,Disbursements!$D:$D,'Live Collections'!F1659)),O1380,IF($O1380=0,0,SUMIFS(Disbursements!$W:$W,Disbursements!$B:$B,'Live Collections'!D1659,Disbursements!$D:$D,'Live Collections'!F1659)))</f>
        <v>0</v>
      </c>
      <c r="T1380" s="304">
        <f t="shared" si="66"/>
        <v>0</v>
      </c>
      <c r="U1380" s="52"/>
      <c r="V1380" s="34"/>
      <c r="W1380" s="408"/>
    </row>
    <row r="1381" spans="1:23" ht="12.75" customHeight="1" x14ac:dyDescent="0.2">
      <c r="A1381" s="257">
        <v>1359</v>
      </c>
      <c r="B1381" s="44">
        <v>44488</v>
      </c>
      <c r="C1381" s="44">
        <f t="shared" si="64"/>
        <v>44488</v>
      </c>
      <c r="D1381" s="374">
        <v>190</v>
      </c>
      <c r="E1381" s="291" t="str">
        <f>IFERROR(VLOOKUP($D1381,'Clients-Live'!$A:$C,3,0),"")</f>
        <v>TAISA AMINA</v>
      </c>
      <c r="F1381" s="291">
        <f>IFERROR(INDEX(Disbursements!$D:$D,MATCH('Live Collections'!G1381,Disbursements!$C:$C,0)),"")</f>
        <v>1</v>
      </c>
      <c r="G1381" s="34">
        <v>177</v>
      </c>
      <c r="H1381" s="34">
        <v>2805</v>
      </c>
      <c r="I1381" s="34" t="s">
        <v>1357</v>
      </c>
      <c r="J1381" s="48"/>
      <c r="K1381" s="48"/>
      <c r="L1381" s="48"/>
      <c r="M1381" s="48"/>
      <c r="N1381" s="59"/>
      <c r="O1381" s="59">
        <v>120000</v>
      </c>
      <c r="P1381" s="59"/>
      <c r="Q1381" s="268">
        <f t="shared" si="65"/>
        <v>120000</v>
      </c>
      <c r="R1381" s="61">
        <f>IF(O1381=0,0,SUMIFS(Disbursements!$T:$T,Disbursements!$B:$B,'Live Collections'!D1381,Disbursements!$D:$D,'Live Collections'!F1381))</f>
        <v>120000</v>
      </c>
      <c r="S1381" s="304">
        <f>IF(O1381&lt;=IF($O1381=0,0,SUMIFS(Disbursements!$W:$W,Disbursements!$B:$B,'Live Collections'!D2313,Disbursements!$D:$D,'Live Collections'!F2313)),O1381,IF($O1381=0,0,SUMIFS(Disbursements!$W:$W,Disbursements!$B:$B,'Live Collections'!D2313,Disbursements!$D:$D,'Live Collections'!F2313)))</f>
        <v>35000</v>
      </c>
      <c r="T1381" s="304">
        <f t="shared" si="66"/>
        <v>85000</v>
      </c>
      <c r="U1381" s="52"/>
      <c r="V1381" s="34"/>
      <c r="W1381" s="408"/>
    </row>
    <row r="1382" spans="1:23" ht="12.75" customHeight="1" x14ac:dyDescent="0.2">
      <c r="A1382" s="257">
        <v>1366</v>
      </c>
      <c r="B1382" s="44">
        <v>44488</v>
      </c>
      <c r="C1382" s="44">
        <f t="shared" si="64"/>
        <v>44488</v>
      </c>
      <c r="D1382" s="374">
        <v>241</v>
      </c>
      <c r="E1382" s="291" t="str">
        <f>IFERROR(VLOOKUP($D1382,'Clients-Live'!$A:$C,3,0),"")</f>
        <v>SIRIKA FARIDA</v>
      </c>
      <c r="F1382" s="291" t="str">
        <f>IFERROR(INDEX(Disbursements!$D:$D,MATCH('Live Collections'!G1382,Disbursements!$C:$C,0)),"")</f>
        <v/>
      </c>
      <c r="G1382" s="34"/>
      <c r="H1382" s="34"/>
      <c r="I1382" s="34" t="s">
        <v>1359</v>
      </c>
      <c r="J1382" s="48"/>
      <c r="K1382" s="48"/>
      <c r="L1382" s="48"/>
      <c r="M1382" s="48"/>
      <c r="N1382" s="59"/>
      <c r="O1382" s="59"/>
      <c r="P1382" s="59">
        <v>50000</v>
      </c>
      <c r="Q1382" s="268">
        <f t="shared" si="65"/>
        <v>50000</v>
      </c>
      <c r="R1382" s="61">
        <f>IF(O1382=0,0,SUMIFS(Disbursements!$T:$T,Disbursements!$B:$B,'Live Collections'!D1382,Disbursements!$D:$D,'Live Collections'!F1382))</f>
        <v>0</v>
      </c>
      <c r="S1382" s="304">
        <f>IF(O1382&lt;=IF($O1382=0,0,SUMIFS(Disbursements!$W:$W,Disbursements!$B:$B,'Live Collections'!D2908,Disbursements!$D:$D,'Live Collections'!F2908)),O1382,IF($O1382=0,0,SUMIFS(Disbursements!$W:$W,Disbursements!$B:$B,'Live Collections'!D2908,Disbursements!$D:$D,'Live Collections'!F2908)))</f>
        <v>0</v>
      </c>
      <c r="T1382" s="304">
        <f t="shared" si="66"/>
        <v>0</v>
      </c>
      <c r="U1382" s="52"/>
      <c r="V1382" s="34"/>
      <c r="W1382" s="408"/>
    </row>
    <row r="1383" spans="1:23" ht="12.75" customHeight="1" x14ac:dyDescent="0.2">
      <c r="A1383" s="257">
        <v>1364</v>
      </c>
      <c r="B1383" s="44">
        <v>44488</v>
      </c>
      <c r="C1383" s="44">
        <f t="shared" si="64"/>
        <v>44488</v>
      </c>
      <c r="D1383" s="374">
        <v>242</v>
      </c>
      <c r="E1383" s="291" t="str">
        <f>IFERROR(VLOOKUP($D1383,'Clients-Live'!$A:$C,3,0),"")</f>
        <v>BAKOKO FLAVIA</v>
      </c>
      <c r="F1383" s="291" t="str">
        <f>IFERROR(INDEX(Disbursements!$D:$D,MATCH('Live Collections'!G1383,Disbursements!$C:$C,0)),"")</f>
        <v/>
      </c>
      <c r="G1383" s="34"/>
      <c r="H1383" s="34"/>
      <c r="I1383" s="34" t="s">
        <v>1357</v>
      </c>
      <c r="J1383" s="48"/>
      <c r="K1383" s="48"/>
      <c r="L1383" s="48"/>
      <c r="M1383" s="48"/>
      <c r="N1383" s="59"/>
      <c r="O1383" s="59"/>
      <c r="P1383" s="59">
        <v>100000</v>
      </c>
      <c r="Q1383" s="268">
        <f t="shared" si="65"/>
        <v>100000</v>
      </c>
      <c r="R1383" s="61">
        <f>IF(O1383=0,0,SUMIFS(Disbursements!$T:$T,Disbursements!$B:$B,'Live Collections'!D1383,Disbursements!$D:$D,'Live Collections'!F1383))</f>
        <v>0</v>
      </c>
      <c r="S1383" s="304">
        <f>IF(O1383&lt;=IF($O1383=0,0,SUMIFS(Disbursements!$W:$W,Disbursements!$B:$B,'Live Collections'!D2763,Disbursements!$D:$D,'Live Collections'!F2763)),O1383,IF($O1383=0,0,SUMIFS(Disbursements!$W:$W,Disbursements!$B:$B,'Live Collections'!D2763,Disbursements!$D:$D,'Live Collections'!F2763)))</f>
        <v>0</v>
      </c>
      <c r="T1383" s="304">
        <f t="shared" si="66"/>
        <v>0</v>
      </c>
      <c r="U1383" s="52"/>
      <c r="V1383" s="34"/>
      <c r="W1383" s="408"/>
    </row>
    <row r="1384" spans="1:23" ht="12.75" customHeight="1" x14ac:dyDescent="0.2">
      <c r="A1384" s="257">
        <v>1368</v>
      </c>
      <c r="B1384" s="44">
        <v>44488</v>
      </c>
      <c r="C1384" s="44">
        <f t="shared" si="64"/>
        <v>44488</v>
      </c>
      <c r="D1384" s="374">
        <v>254</v>
      </c>
      <c r="E1384" s="291" t="str">
        <f>IFERROR(VLOOKUP($D1384,'Clients-Live'!$A:$C,3,0),"")</f>
        <v>ANITE AGNES</v>
      </c>
      <c r="F1384" s="291">
        <f>IFERROR(INDEX(Disbursements!$D:$D,MATCH('Live Collections'!G1384,Disbursements!$C:$C,0)),"")</f>
        <v>1</v>
      </c>
      <c r="G1384" s="34">
        <v>279</v>
      </c>
      <c r="H1384" s="34">
        <v>2819</v>
      </c>
      <c r="I1384" s="34" t="s">
        <v>1357</v>
      </c>
      <c r="J1384" s="48"/>
      <c r="K1384" s="48"/>
      <c r="L1384" s="48"/>
      <c r="M1384" s="48"/>
      <c r="N1384" s="59"/>
      <c r="O1384" s="59"/>
      <c r="P1384" s="59">
        <v>40000</v>
      </c>
      <c r="Q1384" s="268">
        <f t="shared" si="65"/>
        <v>40000</v>
      </c>
      <c r="R1384" s="61">
        <f>IF(O1384=0,0,SUMIFS(Disbursements!$T:$T,Disbursements!$B:$B,'Live Collections'!D1384,Disbursements!$D:$D,'Live Collections'!F1384))</f>
        <v>0</v>
      </c>
      <c r="S1384" s="304">
        <f>IF(O1384&lt;=IF($O1384=0,0,SUMIFS(Disbursements!$W:$W,Disbursements!$B:$B,'Live Collections'!D2850,Disbursements!$D:$D,'Live Collections'!F2850)),O1384,IF($O1384=0,0,SUMIFS(Disbursements!$W:$W,Disbursements!$B:$B,'Live Collections'!D2850,Disbursements!$D:$D,'Live Collections'!F2850)))</f>
        <v>0</v>
      </c>
      <c r="T1384" s="304">
        <f t="shared" si="66"/>
        <v>0</v>
      </c>
      <c r="U1384" s="52"/>
      <c r="V1384" s="34"/>
      <c r="W1384" s="408"/>
    </row>
    <row r="1385" spans="1:23" ht="12.75" customHeight="1" x14ac:dyDescent="0.2">
      <c r="A1385" s="257">
        <v>1363</v>
      </c>
      <c r="B1385" s="44">
        <v>44488</v>
      </c>
      <c r="C1385" s="44">
        <f t="shared" si="64"/>
        <v>44488</v>
      </c>
      <c r="D1385" s="374">
        <v>258</v>
      </c>
      <c r="E1385" s="291" t="str">
        <f>IFERROR(VLOOKUP($D1385,'Clients-Live'!$A:$C,3,0),"")</f>
        <v>KOLETA  JESCA</v>
      </c>
      <c r="F1385" s="291" t="str">
        <f>IFERROR(INDEX(Disbursements!$D:$D,MATCH('Live Collections'!G1385,Disbursements!$C:$C,0)),"")</f>
        <v/>
      </c>
      <c r="G1385" s="34"/>
      <c r="H1385" s="34"/>
      <c r="I1385" s="34" t="s">
        <v>1716</v>
      </c>
      <c r="J1385" s="48">
        <v>15000</v>
      </c>
      <c r="K1385" s="48">
        <v>5000</v>
      </c>
      <c r="L1385" s="48">
        <v>20000</v>
      </c>
      <c r="M1385" s="48">
        <v>5000</v>
      </c>
      <c r="N1385" s="59"/>
      <c r="O1385" s="59"/>
      <c r="P1385" s="59"/>
      <c r="Q1385" s="268">
        <f t="shared" si="65"/>
        <v>45000</v>
      </c>
      <c r="R1385" s="61">
        <f>IF(O1385=0,0,SUMIFS(Disbursements!$T:$T,Disbursements!$B:$B,'Live Collections'!D1385,Disbursements!$D:$D,'Live Collections'!F1385))</f>
        <v>0</v>
      </c>
      <c r="S1385" s="304">
        <f>IF(O1385&lt;=IF($O1385=0,0,SUMIFS(Disbursements!$W:$W,Disbursements!$B:$B,'Live Collections'!D2867,Disbursements!$D:$D,'Live Collections'!F2867)),O1385,IF($O1385=0,0,SUMIFS(Disbursements!$W:$W,Disbursements!$B:$B,'Live Collections'!D2867,Disbursements!$D:$D,'Live Collections'!F2867)))</f>
        <v>0</v>
      </c>
      <c r="T1385" s="304">
        <f t="shared" si="66"/>
        <v>0</v>
      </c>
      <c r="U1385" s="52"/>
      <c r="V1385" s="34"/>
      <c r="W1385" s="408"/>
    </row>
    <row r="1386" spans="1:23" ht="12.75" customHeight="1" x14ac:dyDescent="0.2">
      <c r="A1386" s="257">
        <v>1365</v>
      </c>
      <c r="B1386" s="44">
        <v>44488</v>
      </c>
      <c r="C1386" s="44">
        <f t="shared" si="64"/>
        <v>44488</v>
      </c>
      <c r="D1386" s="374">
        <v>263</v>
      </c>
      <c r="E1386" s="291" t="str">
        <f>IFERROR(VLOOKUP($D1386,'Clients-Live'!$A:$C,3,0),"")</f>
        <v>DATA SAFI DUIKI</v>
      </c>
      <c r="F1386" s="291" t="str">
        <f>IFERROR(INDEX(Disbursements!$D:$D,MATCH('Live Collections'!G1386,Disbursements!$C:$C,0)),"")</f>
        <v/>
      </c>
      <c r="G1386" s="34"/>
      <c r="H1386" s="34"/>
      <c r="I1386" s="34" t="s">
        <v>1716</v>
      </c>
      <c r="J1386" s="48">
        <v>15000</v>
      </c>
      <c r="K1386" s="48">
        <v>5000</v>
      </c>
      <c r="L1386" s="48">
        <v>20000</v>
      </c>
      <c r="M1386" s="48">
        <v>5000</v>
      </c>
      <c r="N1386" s="59"/>
      <c r="O1386" s="59"/>
      <c r="P1386" s="59"/>
      <c r="Q1386" s="268">
        <f t="shared" si="65"/>
        <v>45000</v>
      </c>
      <c r="R1386" s="61">
        <f>IF(O1386=0,0,SUMIFS(Disbursements!$T:$T,Disbursements!$B:$B,'Live Collections'!D1386,Disbursements!$D:$D,'Live Collections'!F1386))</f>
        <v>0</v>
      </c>
      <c r="S1386" s="304">
        <f>IF(O1386&lt;=IF($O1386=0,0,SUMIFS(Disbursements!$W:$W,Disbursements!$B:$B,'Live Collections'!D2900,Disbursements!$D:$D,'Live Collections'!F2900)),O1386,IF($O1386=0,0,SUMIFS(Disbursements!$W:$W,Disbursements!$B:$B,'Live Collections'!D2900,Disbursements!$D:$D,'Live Collections'!F2900)))</f>
        <v>0</v>
      </c>
      <c r="T1386" s="304">
        <f t="shared" si="66"/>
        <v>0</v>
      </c>
      <c r="U1386" s="52"/>
      <c r="V1386" s="34"/>
      <c r="W1386" s="408"/>
    </row>
    <row r="1387" spans="1:23" ht="12.75" customHeight="1" x14ac:dyDescent="0.2">
      <c r="A1387" s="257">
        <v>1367</v>
      </c>
      <c r="B1387" s="44">
        <v>44488</v>
      </c>
      <c r="C1387" s="44">
        <f t="shared" si="64"/>
        <v>44488</v>
      </c>
      <c r="D1387" s="374">
        <v>264</v>
      </c>
      <c r="E1387" s="291" t="str">
        <f>IFERROR(VLOOKUP($D1387,'Clients-Live'!$A:$C,3,0),"")</f>
        <v>AMORI JOHN BAPTIST</v>
      </c>
      <c r="F1387" s="291" t="str">
        <f>IFERROR(INDEX(Disbursements!$D:$D,MATCH('Live Collections'!G1387,Disbursements!$C:$C,0)),"")</f>
        <v/>
      </c>
      <c r="G1387" s="34"/>
      <c r="H1387" s="34"/>
      <c r="I1387" s="34" t="s">
        <v>1359</v>
      </c>
      <c r="J1387" s="48">
        <v>15000</v>
      </c>
      <c r="K1387" s="48">
        <v>5000</v>
      </c>
      <c r="L1387" s="48">
        <v>25000</v>
      </c>
      <c r="M1387" s="48">
        <v>5000</v>
      </c>
      <c r="N1387" s="59"/>
      <c r="O1387" s="59"/>
      <c r="P1387" s="59"/>
      <c r="Q1387" s="268">
        <f t="shared" si="65"/>
        <v>50000</v>
      </c>
      <c r="R1387" s="61">
        <f>IF(O1387=0,0,SUMIFS(Disbursements!$T:$T,Disbursements!$B:$B,'Live Collections'!D1387,Disbursements!$D:$D,'Live Collections'!F1387))</f>
        <v>0</v>
      </c>
      <c r="S1387" s="304">
        <f>IF(O1387&lt;=IF($O1387=0,0,SUMIFS(Disbursements!$W:$W,Disbursements!$B:$B,'Live Collections'!D2908,Disbursements!$D:$D,'Live Collections'!F2908)),O1387,IF($O1387=0,0,SUMIFS(Disbursements!$W:$W,Disbursements!$B:$B,'Live Collections'!D2908,Disbursements!$D:$D,'Live Collections'!F2908)))</f>
        <v>0</v>
      </c>
      <c r="T1387" s="304">
        <f t="shared" si="66"/>
        <v>0</v>
      </c>
      <c r="U1387" s="52"/>
      <c r="V1387" s="34"/>
      <c r="W1387" s="408"/>
    </row>
    <row r="1388" spans="1:23" ht="12.75" customHeight="1" x14ac:dyDescent="0.2">
      <c r="A1388" s="257">
        <v>1375</v>
      </c>
      <c r="B1388" s="44">
        <v>44489</v>
      </c>
      <c r="C1388" s="44">
        <f t="shared" si="64"/>
        <v>44489</v>
      </c>
      <c r="D1388" s="374">
        <v>15</v>
      </c>
      <c r="E1388" s="291" t="str">
        <f>IFERROR(VLOOKUP($D1388,'Clients-Live'!$A:$C,3,0),"")</f>
        <v>NATOSHA LUCY</v>
      </c>
      <c r="F1388" s="291">
        <f>IFERROR(INDEX(Disbursements!$D:$D,MATCH('Live Collections'!G1388,Disbursements!$C:$C,0)),"")</f>
        <v>1</v>
      </c>
      <c r="G1388" s="34">
        <v>8</v>
      </c>
      <c r="H1388" s="34"/>
      <c r="I1388" s="34" t="s">
        <v>1358</v>
      </c>
      <c r="J1388" s="48"/>
      <c r="K1388" s="48"/>
      <c r="L1388" s="48"/>
      <c r="M1388" s="48"/>
      <c r="N1388" s="59"/>
      <c r="O1388" s="59">
        <v>90000</v>
      </c>
      <c r="P1388" s="59"/>
      <c r="Q1388" s="268">
        <f t="shared" si="65"/>
        <v>90000</v>
      </c>
      <c r="R1388" s="61">
        <f>IF(O1388=0,0,SUMIFS(Disbursements!$T:$T,Disbursements!$B:$B,'Live Collections'!D1388,Disbursements!$D:$D,'Live Collections'!F1388))</f>
        <v>434000</v>
      </c>
      <c r="S1388" s="304">
        <f>IF(O1388&lt;=IF($O1388=0,0,SUMIFS(Disbursements!$W:$W,Disbursements!$B:$B,'Live Collections'!D160,Disbursements!$D:$D,'Live Collections'!F160)),O1388,IF($O1388=0,0,SUMIFS(Disbursements!$W:$W,Disbursements!$B:$B,'Live Collections'!D160,Disbursements!$D:$D,'Live Collections'!F160)))</f>
        <v>0</v>
      </c>
      <c r="T1388" s="304">
        <f t="shared" si="66"/>
        <v>90000</v>
      </c>
      <c r="U1388" s="52"/>
      <c r="V1388" s="34"/>
      <c r="W1388" s="408"/>
    </row>
    <row r="1389" spans="1:23" ht="12.75" customHeight="1" x14ac:dyDescent="0.2">
      <c r="A1389" s="257">
        <v>1378</v>
      </c>
      <c r="B1389" s="44">
        <v>44489</v>
      </c>
      <c r="C1389" s="44">
        <f t="shared" si="64"/>
        <v>44489</v>
      </c>
      <c r="D1389" s="374">
        <v>35</v>
      </c>
      <c r="E1389" s="291" t="str">
        <f>IFERROR(VLOOKUP($D1389,'Clients-Live'!$A:$C,3,0),"")</f>
        <v>ALEZUYO DOCUS</v>
      </c>
      <c r="F1389" s="291">
        <f>IFERROR(INDEX(Disbursements!$D:$D,MATCH('Live Collections'!G1389,Disbursements!$C:$C,0)),"")</f>
        <v>2</v>
      </c>
      <c r="G1389" s="34">
        <v>155</v>
      </c>
      <c r="H1389" s="34"/>
      <c r="I1389" s="34" t="s">
        <v>1359</v>
      </c>
      <c r="J1389" s="48"/>
      <c r="K1389" s="48"/>
      <c r="L1389" s="48"/>
      <c r="M1389" s="48"/>
      <c r="N1389" s="59"/>
      <c r="O1389" s="59">
        <v>100000</v>
      </c>
      <c r="P1389" s="59"/>
      <c r="Q1389" s="268">
        <f t="shared" si="65"/>
        <v>100000</v>
      </c>
      <c r="R1389" s="61">
        <f>IF(O1389=0,0,SUMIFS(Disbursements!$T:$T,Disbursements!$B:$B,'Live Collections'!D1389,Disbursements!$D:$D,'Live Collections'!F1389))</f>
        <v>250000</v>
      </c>
      <c r="S1389" s="304">
        <f>IF(O1389&lt;=IF($O1389=0,0,SUMIFS(Disbursements!$W:$W,Disbursements!$B:$B,'Live Collections'!D412,Disbursements!$D:$D,'Live Collections'!F412)),O1389,IF($O1389=0,0,SUMIFS(Disbursements!$W:$W,Disbursements!$B:$B,'Live Collections'!D412,Disbursements!$D:$D,'Live Collections'!F412)))</f>
        <v>35000</v>
      </c>
      <c r="T1389" s="304">
        <f t="shared" si="66"/>
        <v>65000</v>
      </c>
      <c r="U1389" s="52"/>
      <c r="V1389" s="34"/>
      <c r="W1389" s="408"/>
    </row>
    <row r="1390" spans="1:23" ht="12.75" customHeight="1" x14ac:dyDescent="0.2">
      <c r="A1390" s="257">
        <v>1376</v>
      </c>
      <c r="B1390" s="44">
        <v>44489</v>
      </c>
      <c r="C1390" s="44">
        <f t="shared" si="64"/>
        <v>44489</v>
      </c>
      <c r="D1390" s="374">
        <v>60</v>
      </c>
      <c r="E1390" s="291" t="str">
        <f>IFERROR(VLOOKUP($D1390,'Clients-Live'!$A:$C,3,0),"")</f>
        <v>MATURU ALICE</v>
      </c>
      <c r="F1390" s="291">
        <f>IFERROR(INDEX(Disbursements!$D:$D,MATCH('Live Collections'!G1390,Disbursements!$C:$C,0)),"")</f>
        <v>2</v>
      </c>
      <c r="G1390" s="34">
        <v>200</v>
      </c>
      <c r="H1390" s="34"/>
      <c r="I1390" s="34" t="s">
        <v>1359</v>
      </c>
      <c r="J1390" s="48"/>
      <c r="K1390" s="48"/>
      <c r="L1390" s="48"/>
      <c r="M1390" s="48"/>
      <c r="N1390" s="59"/>
      <c r="O1390" s="59">
        <v>80000</v>
      </c>
      <c r="P1390" s="59"/>
      <c r="Q1390" s="268">
        <f t="shared" si="65"/>
        <v>80000</v>
      </c>
      <c r="R1390" s="61">
        <f>IF(O1390=0,0,SUMIFS(Disbursements!$T:$T,Disbursements!$B:$B,'Live Collections'!D1390,Disbursements!$D:$D,'Live Collections'!F1390))</f>
        <v>180000</v>
      </c>
      <c r="S1390" s="304">
        <f>IF(O1390&lt;=IF($O1390=0,0,SUMIFS(Disbursements!$W:$W,Disbursements!$B:$B,'Live Collections'!D719,Disbursements!$D:$D,'Live Collections'!F719)),O1390,IF($O1390=0,0,SUMIFS(Disbursements!$W:$W,Disbursements!$B:$B,'Live Collections'!D719,Disbursements!$D:$D,'Live Collections'!F719)))</f>
        <v>19000</v>
      </c>
      <c r="T1390" s="304">
        <f t="shared" si="66"/>
        <v>61000</v>
      </c>
      <c r="U1390" s="52"/>
      <c r="V1390" s="34"/>
      <c r="W1390" s="408"/>
    </row>
    <row r="1391" spans="1:23" ht="12.75" customHeight="1" x14ac:dyDescent="0.2">
      <c r="A1391" s="257">
        <v>1373</v>
      </c>
      <c r="B1391" s="44">
        <v>44489</v>
      </c>
      <c r="C1391" s="44">
        <f t="shared" si="64"/>
        <v>44489</v>
      </c>
      <c r="D1391" s="374">
        <v>85</v>
      </c>
      <c r="E1391" s="291" t="str">
        <f>IFERROR(VLOOKUP($D1391,'Clients-Live'!$A:$C,3,0),"")</f>
        <v>CEASER SWALEH</v>
      </c>
      <c r="F1391" s="291">
        <f>IFERROR(INDEX(Disbursements!$D:$D,MATCH('Live Collections'!G1391,Disbursements!$C:$C,0)),"")</f>
        <v>2</v>
      </c>
      <c r="G1391" s="34">
        <v>119</v>
      </c>
      <c r="H1391" s="34"/>
      <c r="I1391" s="34" t="s">
        <v>1357</v>
      </c>
      <c r="J1391" s="48"/>
      <c r="K1391" s="48"/>
      <c r="L1391" s="48"/>
      <c r="M1391" s="48"/>
      <c r="N1391" s="59"/>
      <c r="O1391" s="59">
        <v>200000</v>
      </c>
      <c r="P1391" s="59"/>
      <c r="Q1391" s="268">
        <f t="shared" si="65"/>
        <v>200000</v>
      </c>
      <c r="R1391" s="61">
        <f>IF(O1391=0,0,SUMIFS(Disbursements!$T:$T,Disbursements!$B:$B,'Live Collections'!D1391,Disbursements!$D:$D,'Live Collections'!F1391))</f>
        <v>434000</v>
      </c>
      <c r="S1391" s="304">
        <f>IF(O1391&lt;=IF($O1391=0,0,SUMIFS(Disbursements!$W:$W,Disbursements!$B:$B,'Live Collections'!D1091,Disbursements!$D:$D,'Live Collections'!F1091)),O1391,IF($O1391=0,0,SUMIFS(Disbursements!$W:$W,Disbursements!$B:$B,'Live Collections'!D1091,Disbursements!$D:$D,'Live Collections'!F1091)))</f>
        <v>30000</v>
      </c>
      <c r="T1391" s="304">
        <f t="shared" si="66"/>
        <v>170000</v>
      </c>
      <c r="U1391" s="52"/>
      <c r="V1391" s="34"/>
      <c r="W1391" s="408"/>
    </row>
    <row r="1392" spans="1:23" ht="12.75" customHeight="1" x14ac:dyDescent="0.2">
      <c r="A1392" s="257">
        <v>1370</v>
      </c>
      <c r="B1392" s="44">
        <v>44489</v>
      </c>
      <c r="C1392" s="44">
        <f t="shared" si="64"/>
        <v>44489</v>
      </c>
      <c r="D1392" s="374">
        <v>112</v>
      </c>
      <c r="E1392" s="291" t="str">
        <f>IFERROR(VLOOKUP($D1392,'Clients-Live'!$A:$C,3,0),"")</f>
        <v>NURA JOYCE</v>
      </c>
      <c r="F1392" s="291">
        <f>IFERROR(INDEX(Disbursements!$D:$D,MATCH('Live Collections'!G1392,Disbursements!$C:$C,0)),"")</f>
        <v>1</v>
      </c>
      <c r="G1392" s="34">
        <v>101</v>
      </c>
      <c r="H1392" s="34"/>
      <c r="I1392" s="34" t="s">
        <v>1359</v>
      </c>
      <c r="J1392" s="48"/>
      <c r="K1392" s="48"/>
      <c r="L1392" s="48"/>
      <c r="M1392" s="48"/>
      <c r="N1392" s="59"/>
      <c r="O1392" s="59">
        <v>150000</v>
      </c>
      <c r="P1392" s="59"/>
      <c r="Q1392" s="268">
        <f t="shared" si="65"/>
        <v>150000</v>
      </c>
      <c r="R1392" s="61">
        <f>IF(O1392=0,0,SUMIFS(Disbursements!$T:$T,Disbursements!$B:$B,'Live Collections'!D1392,Disbursements!$D:$D,'Live Collections'!F1392))</f>
        <v>150000</v>
      </c>
      <c r="S1392" s="304">
        <f>IF(O1392&lt;=IF($O1392=0,0,SUMIFS(Disbursements!$W:$W,Disbursements!$B:$B,'Live Collections'!D1427,Disbursements!$D:$D,'Live Collections'!F1427)),O1392,IF($O1392=0,0,SUMIFS(Disbursements!$W:$W,Disbursements!$B:$B,'Live Collections'!D1427,Disbursements!$D:$D,'Live Collections'!F1427)))</f>
        <v>35000</v>
      </c>
      <c r="T1392" s="304">
        <f t="shared" si="66"/>
        <v>115000</v>
      </c>
      <c r="U1392" s="52"/>
      <c r="V1392" s="34"/>
      <c r="W1392" s="408"/>
    </row>
    <row r="1393" spans="1:23" ht="12.75" customHeight="1" x14ac:dyDescent="0.2">
      <c r="A1393" s="257">
        <v>1379</v>
      </c>
      <c r="B1393" s="44">
        <v>44489</v>
      </c>
      <c r="C1393" s="44">
        <f t="shared" si="64"/>
        <v>44489</v>
      </c>
      <c r="D1393" s="374">
        <v>133</v>
      </c>
      <c r="E1393" s="291" t="str">
        <f>IFERROR(VLOOKUP($D1393,'Clients-Live'!$A:$C,3,0),"")</f>
        <v>JABE MARY</v>
      </c>
      <c r="F1393" s="291">
        <f>IFERROR(INDEX(Disbursements!$D:$D,MATCH('Live Collections'!G1393,Disbursements!$C:$C,0)),"")</f>
        <v>1</v>
      </c>
      <c r="G1393" s="34">
        <v>116</v>
      </c>
      <c r="H1393" s="34"/>
      <c r="I1393" s="34" t="s">
        <v>1359</v>
      </c>
      <c r="J1393" s="48"/>
      <c r="K1393" s="48"/>
      <c r="L1393" s="48"/>
      <c r="M1393" s="48"/>
      <c r="N1393" s="59"/>
      <c r="O1393" s="59">
        <v>105000</v>
      </c>
      <c r="P1393" s="59"/>
      <c r="Q1393" s="268">
        <f t="shared" si="65"/>
        <v>105000</v>
      </c>
      <c r="R1393" s="61">
        <f>IF(O1393=0,0,SUMIFS(Disbursements!$T:$T,Disbursements!$B:$B,'Live Collections'!D1393,Disbursements!$D:$D,'Live Collections'!F1393))</f>
        <v>125000</v>
      </c>
      <c r="S1393" s="64">
        <v>50000</v>
      </c>
      <c r="T1393" s="304">
        <f t="shared" si="66"/>
        <v>55000</v>
      </c>
      <c r="U1393" s="52"/>
      <c r="V1393" s="34"/>
      <c r="W1393" s="408"/>
    </row>
    <row r="1394" spans="1:23" ht="12.75" customHeight="1" x14ac:dyDescent="0.2">
      <c r="A1394" s="257">
        <v>1377</v>
      </c>
      <c r="B1394" s="44">
        <v>44489</v>
      </c>
      <c r="C1394" s="44">
        <f t="shared" si="64"/>
        <v>44489</v>
      </c>
      <c r="D1394" s="374">
        <v>149</v>
      </c>
      <c r="E1394" s="291" t="str">
        <f>IFERROR(VLOOKUP($D1394,'Clients-Live'!$A:$C,3,0),"")</f>
        <v>SIKA AMIDRA</v>
      </c>
      <c r="F1394" s="291">
        <f>IFERROR(INDEX(Disbursements!$D:$D,MATCH('Live Collections'!G1394,Disbursements!$C:$C,0)),"")</f>
        <v>1</v>
      </c>
      <c r="G1394" s="34">
        <v>141</v>
      </c>
      <c r="H1394" s="34"/>
      <c r="I1394" s="34" t="s">
        <v>1358</v>
      </c>
      <c r="J1394" s="48"/>
      <c r="K1394" s="48"/>
      <c r="L1394" s="48"/>
      <c r="M1394" s="48"/>
      <c r="N1394" s="59"/>
      <c r="O1394" s="59">
        <v>200000</v>
      </c>
      <c r="P1394" s="59"/>
      <c r="Q1394" s="268">
        <f t="shared" si="65"/>
        <v>200000</v>
      </c>
      <c r="R1394" s="61">
        <f>IF(O1394=0,0,SUMIFS(Disbursements!$T:$T,Disbursements!$B:$B,'Live Collections'!D1394,Disbursements!$D:$D,'Live Collections'!F1394))</f>
        <v>30000</v>
      </c>
      <c r="S1394" s="304"/>
      <c r="T1394" s="304">
        <f t="shared" si="66"/>
        <v>200000</v>
      </c>
      <c r="U1394" s="52"/>
      <c r="V1394" s="34"/>
      <c r="W1394" s="408"/>
    </row>
    <row r="1395" spans="1:23" ht="12.75" customHeight="1" x14ac:dyDescent="0.2">
      <c r="A1395" s="257">
        <v>1374</v>
      </c>
      <c r="B1395" s="44">
        <v>44489</v>
      </c>
      <c r="C1395" s="44">
        <f t="shared" si="64"/>
        <v>44489</v>
      </c>
      <c r="D1395" s="374">
        <v>176</v>
      </c>
      <c r="E1395" s="291" t="str">
        <f>IFERROR(VLOOKUP($D1395,'Clients-Live'!$A:$C,3,0),"")</f>
        <v>AJONYE JANE SINANDUGU</v>
      </c>
      <c r="F1395" s="291">
        <f>IFERROR(INDEX(Disbursements!$D:$D,MATCH('Live Collections'!G1395,Disbursements!$C:$C,0)),"")</f>
        <v>1</v>
      </c>
      <c r="G1395" s="34">
        <v>201</v>
      </c>
      <c r="H1395" s="34"/>
      <c r="I1395" s="34" t="s">
        <v>1358</v>
      </c>
      <c r="J1395" s="48"/>
      <c r="K1395" s="48"/>
      <c r="L1395" s="48"/>
      <c r="M1395" s="48"/>
      <c r="N1395" s="59"/>
      <c r="O1395" s="59">
        <v>360000</v>
      </c>
      <c r="P1395" s="59"/>
      <c r="Q1395" s="268">
        <f t="shared" si="65"/>
        <v>360000</v>
      </c>
      <c r="R1395" s="61">
        <f>IF(O1395=0,0,SUMIFS(Disbursements!$T:$T,Disbursements!$B:$B,'Live Collections'!D1395,Disbursements!$D:$D,'Live Collections'!F1395))</f>
        <v>360000</v>
      </c>
      <c r="S1395" s="304">
        <f>IF(O1395&lt;=IF($O1395=0,0,SUMIFS(Disbursements!$W:$W,Disbursements!$B:$B,'Live Collections'!D2153,Disbursements!$D:$D,'Live Collections'!F2153)),O1395,IF($O1395=0,0,SUMIFS(Disbursements!$W:$W,Disbursements!$B:$B,'Live Collections'!D2153,Disbursements!$D:$D,'Live Collections'!F2153)))</f>
        <v>20000</v>
      </c>
      <c r="T1395" s="304">
        <f t="shared" si="66"/>
        <v>340000</v>
      </c>
      <c r="U1395" s="52"/>
      <c r="V1395" s="34"/>
      <c r="W1395" s="408"/>
    </row>
    <row r="1396" spans="1:23" ht="12.75" customHeight="1" x14ac:dyDescent="0.2">
      <c r="A1396" s="257">
        <v>1371</v>
      </c>
      <c r="B1396" s="44">
        <v>44489</v>
      </c>
      <c r="C1396" s="44">
        <f t="shared" si="64"/>
        <v>44489</v>
      </c>
      <c r="D1396" s="374">
        <v>181</v>
      </c>
      <c r="E1396" s="291" t="str">
        <f>IFERROR(VLOOKUP($D1396,'Clients-Live'!$A:$C,3,0),"")</f>
        <v>LEKURU CHRISTINE</v>
      </c>
      <c r="F1396" s="291">
        <f>IFERROR(INDEX(Disbursements!$D:$D,MATCH('Live Collections'!G1396,Disbursements!$C:$C,0)),"")</f>
        <v>1</v>
      </c>
      <c r="G1396" s="34">
        <v>168</v>
      </c>
      <c r="H1396" s="34"/>
      <c r="I1396" s="34" t="s">
        <v>1358</v>
      </c>
      <c r="J1396" s="48"/>
      <c r="K1396" s="48"/>
      <c r="L1396" s="48"/>
      <c r="M1396" s="48"/>
      <c r="N1396" s="59"/>
      <c r="O1396" s="59">
        <v>20000</v>
      </c>
      <c r="P1396" s="59"/>
      <c r="Q1396" s="268">
        <f t="shared" si="65"/>
        <v>20000</v>
      </c>
      <c r="R1396" s="61">
        <f>IF(O1396=0,0,SUMIFS(Disbursements!$T:$T,Disbursements!$B:$B,'Live Collections'!D1396,Disbursements!$D:$D,'Live Collections'!F1396))</f>
        <v>115000</v>
      </c>
      <c r="S1396" s="304"/>
      <c r="T1396" s="304">
        <f t="shared" si="66"/>
        <v>20000</v>
      </c>
      <c r="U1396" s="52"/>
      <c r="V1396" s="34"/>
      <c r="W1396" s="408"/>
    </row>
    <row r="1397" spans="1:23" ht="12.75" customHeight="1" x14ac:dyDescent="0.2">
      <c r="A1397" s="257">
        <v>1372</v>
      </c>
      <c r="B1397" s="44">
        <v>44489</v>
      </c>
      <c r="C1397" s="44">
        <f t="shared" si="64"/>
        <v>44489</v>
      </c>
      <c r="D1397" s="374">
        <v>188</v>
      </c>
      <c r="E1397" s="291" t="str">
        <f>IFERROR(VLOOKUP($D1397,'Clients-Live'!$A:$C,3,0),"")</f>
        <v>ADIRU HELLEN</v>
      </c>
      <c r="F1397" s="291">
        <f>IFERROR(INDEX(Disbursements!$D:$D,MATCH('Live Collections'!G1397,Disbursements!$C:$C,0)),"")</f>
        <v>1</v>
      </c>
      <c r="G1397" s="34">
        <v>180</v>
      </c>
      <c r="H1397" s="34"/>
      <c r="I1397" s="34" t="s">
        <v>1358</v>
      </c>
      <c r="J1397" s="48"/>
      <c r="K1397" s="48"/>
      <c r="L1397" s="48"/>
      <c r="M1397" s="48"/>
      <c r="N1397" s="59"/>
      <c r="O1397" s="59">
        <v>100000</v>
      </c>
      <c r="P1397" s="59"/>
      <c r="Q1397" s="268">
        <f t="shared" si="65"/>
        <v>100000</v>
      </c>
      <c r="R1397" s="61">
        <f>IF(O1397=0,0,SUMIFS(Disbursements!$T:$T,Disbursements!$B:$B,'Live Collections'!D1397,Disbursements!$D:$D,'Live Collections'!F1397))</f>
        <v>154000</v>
      </c>
      <c r="S1397" s="304">
        <f>IF(O1397&lt;=IF($O1397=0,0,SUMIFS(Disbursements!$W:$W,Disbursements!$B:$B,'Live Collections'!D2285,Disbursements!$D:$D,'Live Collections'!F2285)),O1397,IF($O1397=0,0,SUMIFS(Disbursements!$W:$W,Disbursements!$B:$B,'Live Collections'!D2285,Disbursements!$D:$D,'Live Collections'!F2285)))</f>
        <v>0</v>
      </c>
      <c r="T1397" s="304">
        <f t="shared" si="66"/>
        <v>100000</v>
      </c>
      <c r="U1397" s="52"/>
      <c r="V1397" s="34"/>
      <c r="W1397" s="408"/>
    </row>
    <row r="1398" spans="1:23" ht="12.75" customHeight="1" x14ac:dyDescent="0.2">
      <c r="A1398" s="257">
        <v>1369</v>
      </c>
      <c r="B1398" s="44">
        <v>44489</v>
      </c>
      <c r="C1398" s="44">
        <f t="shared" si="64"/>
        <v>44489</v>
      </c>
      <c r="D1398" s="374">
        <v>219</v>
      </c>
      <c r="E1398" s="291" t="str">
        <f>IFERROR(VLOOKUP($D1398,'Clients-Live'!$A:$C,3,0),"")</f>
        <v>MALIKO JAMILA</v>
      </c>
      <c r="F1398" s="291">
        <f>IFERROR(INDEX(Disbursements!$D:$D,MATCH('Live Collections'!G1398,Disbursements!$C:$C,0)),"")</f>
        <v>1</v>
      </c>
      <c r="G1398" s="34">
        <v>228</v>
      </c>
      <c r="H1398" s="34"/>
      <c r="I1398" s="34" t="s">
        <v>1358</v>
      </c>
      <c r="J1398" s="48"/>
      <c r="K1398" s="48"/>
      <c r="L1398" s="48"/>
      <c r="M1398" s="48"/>
      <c r="N1398" s="59"/>
      <c r="O1398" s="59">
        <v>19000</v>
      </c>
      <c r="P1398" s="59"/>
      <c r="Q1398" s="268">
        <f t="shared" si="65"/>
        <v>19000</v>
      </c>
      <c r="R1398" s="61">
        <f>IF(O1398=0,0,SUMIFS(Disbursements!$T:$T,Disbursements!$B:$B,'Live Collections'!D1398,Disbursements!$D:$D,'Live Collections'!F1398))</f>
        <v>77000</v>
      </c>
      <c r="S1398" s="304"/>
      <c r="T1398" s="304">
        <f t="shared" si="66"/>
        <v>19000</v>
      </c>
      <c r="U1398" s="52"/>
      <c r="V1398" s="34"/>
      <c r="W1398" s="408"/>
    </row>
    <row r="1399" spans="1:23" ht="12.75" customHeight="1" x14ac:dyDescent="0.2">
      <c r="A1399" s="257">
        <v>1380</v>
      </c>
      <c r="B1399" s="44">
        <v>44489</v>
      </c>
      <c r="C1399" s="44">
        <f t="shared" si="64"/>
        <v>44489</v>
      </c>
      <c r="D1399" s="374">
        <v>265</v>
      </c>
      <c r="E1399" s="291" t="str">
        <f>IFERROR(VLOOKUP($D1399,'Clients-Live'!$A:$C,3,0),"")</f>
        <v>OCATRE CHARLES</v>
      </c>
      <c r="F1399" s="291" t="str">
        <f>IFERROR(INDEX(Disbursements!$D:$D,MATCH('Live Collections'!G1399,Disbursements!$C:$C,0)),"")</f>
        <v/>
      </c>
      <c r="G1399" s="34"/>
      <c r="H1399" s="34"/>
      <c r="I1399" s="34" t="s">
        <v>1716</v>
      </c>
      <c r="J1399" s="48">
        <v>15000</v>
      </c>
      <c r="K1399" s="48">
        <v>5000</v>
      </c>
      <c r="L1399" s="48"/>
      <c r="M1399" s="48"/>
      <c r="N1399" s="59"/>
      <c r="O1399" s="59"/>
      <c r="P1399" s="59"/>
      <c r="Q1399" s="268">
        <f t="shared" si="65"/>
        <v>20000</v>
      </c>
      <c r="R1399" s="61">
        <f>IF(O1399=0,0,SUMIFS(Disbursements!$T:$T,Disbursements!$B:$B,'Live Collections'!D1399,Disbursements!$D:$D,'Live Collections'!F1399))</f>
        <v>0</v>
      </c>
      <c r="S1399" s="304">
        <f>IF(O1399&lt;=IF($O1399=0,0,SUMIFS(Disbursements!$W:$W,Disbursements!$B:$B,'Live Collections'!D2916,Disbursements!$D:$D,'Live Collections'!F2916)),O1399,IF($O1399=0,0,SUMIFS(Disbursements!$W:$W,Disbursements!$B:$B,'Live Collections'!D2916,Disbursements!$D:$D,'Live Collections'!F2916)))</f>
        <v>0</v>
      </c>
      <c r="T1399" s="304">
        <f t="shared" si="66"/>
        <v>0</v>
      </c>
      <c r="U1399" s="52"/>
      <c r="V1399" s="34"/>
      <c r="W1399" s="408"/>
    </row>
    <row r="1400" spans="1:23" ht="12.75" customHeight="1" x14ac:dyDescent="0.2">
      <c r="A1400" s="257">
        <v>1381</v>
      </c>
      <c r="B1400" s="44">
        <v>44489</v>
      </c>
      <c r="C1400" s="44">
        <f t="shared" si="64"/>
        <v>44489</v>
      </c>
      <c r="D1400" s="374">
        <v>266</v>
      </c>
      <c r="E1400" s="291" t="str">
        <f>IFERROR(VLOOKUP($D1400,'Clients-Live'!$A:$C,3,0),"")</f>
        <v>TAIBO AMANA</v>
      </c>
      <c r="F1400" s="291" t="str">
        <f>IFERROR(INDEX(Disbursements!$D:$D,MATCH('Live Collections'!G1400,Disbursements!$C:$C,0)),"")</f>
        <v/>
      </c>
      <c r="G1400" s="34"/>
      <c r="H1400" s="34"/>
      <c r="I1400" s="34" t="s">
        <v>1716</v>
      </c>
      <c r="J1400" s="48">
        <v>15000</v>
      </c>
      <c r="K1400" s="48">
        <v>5000</v>
      </c>
      <c r="L1400" s="48">
        <v>15000</v>
      </c>
      <c r="M1400" s="48">
        <v>5000</v>
      </c>
      <c r="N1400" s="59"/>
      <c r="O1400" s="59"/>
      <c r="P1400" s="59"/>
      <c r="Q1400" s="268">
        <f t="shared" si="65"/>
        <v>40000</v>
      </c>
      <c r="R1400" s="61">
        <f>IF(O1400=0,0,SUMIFS(Disbursements!$T:$T,Disbursements!$B:$B,'Live Collections'!D1400,Disbursements!$D:$D,'Live Collections'!F1400))</f>
        <v>0</v>
      </c>
      <c r="S1400" s="304">
        <f>IF(O1400&lt;=IF($O1400=0,0,SUMIFS(Disbursements!$W:$W,Disbursements!$B:$B,'Live Collections'!D2930,Disbursements!$D:$D,'Live Collections'!F2930)),O1400,IF($O1400=0,0,SUMIFS(Disbursements!$W:$W,Disbursements!$B:$B,'Live Collections'!D2930,Disbursements!$D:$D,'Live Collections'!F2930)))</f>
        <v>0</v>
      </c>
      <c r="T1400" s="304">
        <f t="shared" si="66"/>
        <v>0</v>
      </c>
      <c r="U1400" s="52"/>
      <c r="V1400" s="34"/>
      <c r="W1400" s="408"/>
    </row>
    <row r="1401" spans="1:23" ht="12.75" customHeight="1" x14ac:dyDescent="0.2">
      <c r="A1401" s="257">
        <v>1397</v>
      </c>
      <c r="B1401" s="44">
        <v>44490</v>
      </c>
      <c r="C1401" s="44">
        <f t="shared" si="64"/>
        <v>44490</v>
      </c>
      <c r="D1401" s="374">
        <v>3</v>
      </c>
      <c r="E1401" s="291" t="str">
        <f>IFERROR(VLOOKUP($D1401,'Clients-Live'!$A:$C,3,0),"")</f>
        <v>YEKA ARIJABU</v>
      </c>
      <c r="F1401" s="291">
        <f>IFERROR(INDEX(Disbursements!$D:$D,MATCH('Live Collections'!G1401,Disbursements!$C:$C,0)),"")</f>
        <v>1</v>
      </c>
      <c r="G1401" s="34">
        <v>227</v>
      </c>
      <c r="H1401" s="34">
        <v>2912</v>
      </c>
      <c r="I1401" s="34" t="s">
        <v>1357</v>
      </c>
      <c r="J1401" s="48"/>
      <c r="K1401" s="48"/>
      <c r="L1401" s="48"/>
      <c r="M1401" s="48"/>
      <c r="N1401" s="59"/>
      <c r="O1401" s="59">
        <v>325000</v>
      </c>
      <c r="P1401" s="59"/>
      <c r="Q1401" s="268">
        <f t="shared" si="65"/>
        <v>325000</v>
      </c>
      <c r="R1401" s="61">
        <f>IF(O1401=0,0,SUMIFS(Disbursements!$T:$T,Disbursements!$B:$B,'Live Collections'!D1401,Disbursements!$D:$D,'Live Collections'!F1401))</f>
        <v>325000</v>
      </c>
      <c r="S1401" s="304">
        <f>IF(O1401&lt;=IF($O1401=0,0,SUMIFS(Disbursements!$W:$W,Disbursements!$B:$B,'Live Collections'!D24,Disbursements!$D:$D,'Live Collections'!F24)),O1401,IF($O1401=0,0,SUMIFS(Disbursements!$W:$W,Disbursements!$B:$B,'Live Collections'!D24,Disbursements!$D:$D,'Live Collections'!F24)))</f>
        <v>0</v>
      </c>
      <c r="T1401" s="304">
        <f t="shared" si="66"/>
        <v>325000</v>
      </c>
      <c r="U1401" s="52"/>
      <c r="V1401" s="34"/>
      <c r="W1401" s="408"/>
    </row>
    <row r="1402" spans="1:23" ht="12.75" customHeight="1" x14ac:dyDescent="0.2">
      <c r="A1402" s="257">
        <v>1395</v>
      </c>
      <c r="B1402" s="44">
        <v>44490</v>
      </c>
      <c r="C1402" s="44">
        <f t="shared" si="64"/>
        <v>44490</v>
      </c>
      <c r="D1402" s="374">
        <v>13</v>
      </c>
      <c r="E1402" s="291" t="str">
        <f>IFERROR(VLOOKUP($D1402,'Clients-Live'!$A:$C,3,0),"")</f>
        <v>ALLONE AMOS DAMAI</v>
      </c>
      <c r="F1402" s="291">
        <f>IFERROR(INDEX(Disbursements!$D:$D,MATCH('Live Collections'!G1402,Disbursements!$C:$C,0)),"")</f>
        <v>1</v>
      </c>
      <c r="G1402" s="34">
        <v>67</v>
      </c>
      <c r="H1402" s="34">
        <v>2915</v>
      </c>
      <c r="I1402" s="34" t="s">
        <v>1359</v>
      </c>
      <c r="J1402" s="48"/>
      <c r="K1402" s="48"/>
      <c r="L1402" s="48"/>
      <c r="M1402" s="48"/>
      <c r="N1402" s="59"/>
      <c r="O1402" s="59">
        <v>90000</v>
      </c>
      <c r="P1402" s="59"/>
      <c r="Q1402" s="268">
        <f t="shared" si="65"/>
        <v>90000</v>
      </c>
      <c r="R1402" s="61">
        <f>IF(O1402=0,0,SUMIFS(Disbursements!$T:$T,Disbursements!$B:$B,'Live Collections'!D1402,Disbursements!$D:$D,'Live Collections'!F1402))</f>
        <v>217000</v>
      </c>
      <c r="S1402" s="304">
        <f>IF(O1402&lt;=IF($O1402=0,0,SUMIFS(Disbursements!$W:$W,Disbursements!$B:$B,'Live Collections'!D139,Disbursements!$D:$D,'Live Collections'!F139)),O1402,IF($O1402=0,0,SUMIFS(Disbursements!$W:$W,Disbursements!$B:$B,'Live Collections'!D139,Disbursements!$D:$D,'Live Collections'!F139)))</f>
        <v>0</v>
      </c>
      <c r="T1402" s="304">
        <f t="shared" si="66"/>
        <v>90000</v>
      </c>
      <c r="U1402" s="52"/>
      <c r="V1402" s="34"/>
      <c r="W1402" s="408"/>
    </row>
    <row r="1403" spans="1:23" ht="12.75" customHeight="1" x14ac:dyDescent="0.2">
      <c r="A1403" s="257">
        <v>1402</v>
      </c>
      <c r="B1403" s="44">
        <v>44490</v>
      </c>
      <c r="C1403" s="44">
        <f t="shared" si="64"/>
        <v>44490</v>
      </c>
      <c r="D1403" s="374">
        <v>18</v>
      </c>
      <c r="E1403" s="291" t="str">
        <f>IFERROR(VLOOKUP($D1403,'Clients-Live'!$A:$C,3,0),"")</f>
        <v>ARIYE PEACE</v>
      </c>
      <c r="F1403" s="291">
        <f>IFERROR(INDEX(Disbursements!$D:$D,MATCH('Live Collections'!G1403,Disbursements!$C:$C,0)),"")</f>
        <v>1</v>
      </c>
      <c r="G1403" s="34">
        <v>9</v>
      </c>
      <c r="H1403" s="34">
        <v>2837</v>
      </c>
      <c r="I1403" s="34" t="s">
        <v>1357</v>
      </c>
      <c r="J1403" s="48"/>
      <c r="K1403" s="48"/>
      <c r="L1403" s="48"/>
      <c r="M1403" s="48"/>
      <c r="N1403" s="59"/>
      <c r="O1403" s="59">
        <v>138700</v>
      </c>
      <c r="P1403" s="59"/>
      <c r="Q1403" s="268">
        <f t="shared" si="65"/>
        <v>138700</v>
      </c>
      <c r="R1403" s="61">
        <f>IF(O1403=0,0,SUMIFS(Disbursements!$T:$T,Disbursements!$B:$B,'Live Collections'!D1403,Disbursements!$D:$D,'Live Collections'!F1403))</f>
        <v>109000</v>
      </c>
      <c r="S1403" s="304">
        <f>IF(O1403&lt;=IF($O1403=0,0,SUMIFS(Disbursements!$W:$W,Disbursements!$B:$B,'Live Collections'!D211,Disbursements!$D:$D,'Live Collections'!F211)),O1403,IF($O1403=0,0,SUMIFS(Disbursements!$W:$W,Disbursements!$B:$B,'Live Collections'!D211,Disbursements!$D:$D,'Live Collections'!F211)))</f>
        <v>20000</v>
      </c>
      <c r="T1403" s="304">
        <f t="shared" si="66"/>
        <v>118700</v>
      </c>
      <c r="U1403" s="52"/>
      <c r="V1403" s="34"/>
      <c r="W1403" s="408"/>
    </row>
    <row r="1404" spans="1:23" ht="12.75" customHeight="1" x14ac:dyDescent="0.2">
      <c r="A1404" s="257">
        <v>1403</v>
      </c>
      <c r="B1404" s="44">
        <v>44490</v>
      </c>
      <c r="C1404" s="44">
        <f t="shared" si="64"/>
        <v>44490</v>
      </c>
      <c r="D1404" s="374">
        <v>18</v>
      </c>
      <c r="E1404" s="291" t="str">
        <f>IFERROR(VLOOKUP($D1404,'Clients-Live'!$A:$C,3,0),"")</f>
        <v>ARIYE PEACE</v>
      </c>
      <c r="F1404" s="291" t="str">
        <f>IFERROR(INDEX(Disbursements!$D:$D,MATCH('Live Collections'!G1404,Disbursements!$C:$C,0)),"")</f>
        <v/>
      </c>
      <c r="G1404" s="34"/>
      <c r="H1404" s="34">
        <v>2838</v>
      </c>
      <c r="I1404" s="34" t="s">
        <v>1736</v>
      </c>
      <c r="J1404" s="48"/>
      <c r="K1404" s="48">
        <v>5000</v>
      </c>
      <c r="L1404" s="48"/>
      <c r="M1404" s="48"/>
      <c r="N1404" s="59"/>
      <c r="O1404" s="59"/>
      <c r="P1404" s="59"/>
      <c r="Q1404" s="268">
        <f t="shared" si="65"/>
        <v>5000</v>
      </c>
      <c r="R1404" s="61">
        <f>IF(O1404=0,0,SUMIFS(Disbursements!$T:$T,Disbursements!$B:$B,'Live Collections'!D1404,Disbursements!$D:$D,'Live Collections'!F1404))</f>
        <v>0</v>
      </c>
      <c r="S1404" s="304">
        <f>IF(O1404&lt;=IF($O1404=0,0,SUMIFS(Disbursements!$W:$W,Disbursements!$B:$B,'Live Collections'!D212,Disbursements!$D:$D,'Live Collections'!F212)),O1404,IF($O1404=0,0,SUMIFS(Disbursements!$W:$W,Disbursements!$B:$B,'Live Collections'!D212,Disbursements!$D:$D,'Live Collections'!F212)))</f>
        <v>0</v>
      </c>
      <c r="T1404" s="304">
        <f t="shared" si="66"/>
        <v>0</v>
      </c>
      <c r="U1404" s="52"/>
      <c r="V1404" s="34"/>
      <c r="W1404" s="408"/>
    </row>
    <row r="1405" spans="1:23" ht="12.75" customHeight="1" x14ac:dyDescent="0.2">
      <c r="A1405" s="257">
        <v>1384</v>
      </c>
      <c r="B1405" s="44">
        <v>44490</v>
      </c>
      <c r="C1405" s="44">
        <f t="shared" si="64"/>
        <v>44490</v>
      </c>
      <c r="D1405" s="374">
        <v>55</v>
      </c>
      <c r="E1405" s="291" t="str">
        <f>IFERROR(VLOOKUP($D1405,'Clients-Live'!$A:$C,3,0),"")</f>
        <v>SOKOLA SHARON</v>
      </c>
      <c r="F1405" s="291">
        <v>2</v>
      </c>
      <c r="G1405" s="34">
        <v>288</v>
      </c>
      <c r="H1405" s="34">
        <v>2845</v>
      </c>
      <c r="I1405" s="34" t="s">
        <v>1736</v>
      </c>
      <c r="J1405" s="48"/>
      <c r="K1405" s="48"/>
      <c r="L1405" s="48"/>
      <c r="M1405" s="48"/>
      <c r="N1405" s="59"/>
      <c r="O1405" s="59"/>
      <c r="P1405" s="59">
        <v>70000</v>
      </c>
      <c r="Q1405" s="268">
        <f t="shared" si="65"/>
        <v>70000</v>
      </c>
      <c r="R1405" s="61">
        <f>IF(O1405=0,0,SUMIFS(Disbursements!$T:$T,Disbursements!$B:$B,'Live Collections'!D1405,Disbursements!$D:$D,'Live Collections'!F1405))</f>
        <v>0</v>
      </c>
      <c r="S1405" s="304">
        <f>IF(O1405&lt;=IF($O1405=0,0,SUMIFS(Disbursements!$W:$W,Disbursements!$B:$B,'Live Collections'!D655,Disbursements!$D:$D,'Live Collections'!F655)),O1405,IF($O1405=0,0,SUMIFS(Disbursements!$W:$W,Disbursements!$B:$B,'Live Collections'!D655,Disbursements!$D:$D,'Live Collections'!F655)))</f>
        <v>0</v>
      </c>
      <c r="T1405" s="304">
        <f t="shared" si="66"/>
        <v>0</v>
      </c>
      <c r="U1405" s="52"/>
      <c r="V1405" s="34"/>
      <c r="W1405" s="408"/>
    </row>
    <row r="1406" spans="1:23" ht="12.75" customHeight="1" x14ac:dyDescent="0.2">
      <c r="A1406" s="257">
        <v>1389</v>
      </c>
      <c r="B1406" s="44">
        <v>44490</v>
      </c>
      <c r="C1406" s="44">
        <f t="shared" si="64"/>
        <v>44490</v>
      </c>
      <c r="D1406" s="374">
        <v>70</v>
      </c>
      <c r="E1406" s="291" t="str">
        <f>IFERROR(VLOOKUP($D1406,'Clients-Live'!$A:$C,3,0),"")</f>
        <v>BUGA ALIKIA PHILLIP</v>
      </c>
      <c r="F1406" s="291" t="str">
        <f>IFERROR(INDEX(Disbursements!$D:$D,MATCH('Live Collections'!G1406,Disbursements!$C:$C,0)),"")</f>
        <v/>
      </c>
      <c r="G1406" s="34"/>
      <c r="H1406" s="34">
        <v>2869</v>
      </c>
      <c r="I1406" s="34" t="s">
        <v>1736</v>
      </c>
      <c r="J1406" s="48"/>
      <c r="K1406" s="48"/>
      <c r="L1406" s="48">
        <v>20000</v>
      </c>
      <c r="M1406" s="48">
        <v>5000</v>
      </c>
      <c r="N1406" s="59"/>
      <c r="O1406" s="59"/>
      <c r="P1406" s="59"/>
      <c r="Q1406" s="268">
        <f t="shared" si="65"/>
        <v>25000</v>
      </c>
      <c r="R1406" s="61">
        <f>IF(O1406=0,0,SUMIFS(Disbursements!$T:$T,Disbursements!$B:$B,'Live Collections'!D1406,Disbursements!$D:$D,'Live Collections'!F1406))</f>
        <v>0</v>
      </c>
      <c r="S1406" s="304">
        <f>IF(O1406&lt;=IF($O1406=0,0,SUMIFS(Disbursements!$W:$W,Disbursements!$B:$B,'Live Collections'!D875,Disbursements!$D:$D,'Live Collections'!F875)),O1406,IF($O1406=0,0,SUMIFS(Disbursements!$W:$W,Disbursements!$B:$B,'Live Collections'!D875,Disbursements!$D:$D,'Live Collections'!F875)))</f>
        <v>0</v>
      </c>
      <c r="T1406" s="304">
        <f t="shared" si="66"/>
        <v>0</v>
      </c>
      <c r="U1406" s="52"/>
      <c r="V1406" s="34"/>
      <c r="W1406" s="408"/>
    </row>
    <row r="1407" spans="1:23" ht="12.75" customHeight="1" x14ac:dyDescent="0.2">
      <c r="A1407" s="257">
        <v>1391</v>
      </c>
      <c r="B1407" s="44">
        <v>44490</v>
      </c>
      <c r="C1407" s="44">
        <f t="shared" si="64"/>
        <v>44490</v>
      </c>
      <c r="D1407" s="374">
        <v>70</v>
      </c>
      <c r="E1407" s="291" t="str">
        <f>IFERROR(VLOOKUP($D1407,'Clients-Live'!$A:$C,3,0),"")</f>
        <v>BUGA ALIKIA PHILLIP</v>
      </c>
      <c r="F1407" s="291">
        <f>IFERROR(INDEX(Disbursements!$D:$D,MATCH('Live Collections'!G1407,Disbursements!$C:$C,0)),"")</f>
        <v>1</v>
      </c>
      <c r="G1407" s="34">
        <v>52</v>
      </c>
      <c r="H1407" s="34">
        <v>2846</v>
      </c>
      <c r="I1407" s="34" t="s">
        <v>1358</v>
      </c>
      <c r="J1407" s="48"/>
      <c r="K1407" s="48"/>
      <c r="L1407" s="48"/>
      <c r="M1407" s="48"/>
      <c r="N1407" s="59"/>
      <c r="O1407" s="59">
        <v>80000</v>
      </c>
      <c r="P1407" s="59"/>
      <c r="Q1407" s="268">
        <f t="shared" si="65"/>
        <v>80000</v>
      </c>
      <c r="R1407" s="61">
        <f>IF(O1407=0,0,SUMIFS(Disbursements!$T:$T,Disbursements!$B:$B,'Live Collections'!D1407,Disbursements!$D:$D,'Live Collections'!F1407))</f>
        <v>174000</v>
      </c>
      <c r="S1407" s="304">
        <f>IF(O1407&lt;=IF($O1407=0,0,SUMIFS(Disbursements!$W:$W,Disbursements!$B:$B,'Live Collections'!D876,Disbursements!$D:$D,'Live Collections'!F876)),O1407,IF($O1407=0,0,SUMIFS(Disbursements!$W:$W,Disbursements!$B:$B,'Live Collections'!D876,Disbursements!$D:$D,'Live Collections'!F876)))</f>
        <v>25666.666666666672</v>
      </c>
      <c r="T1407" s="304">
        <f t="shared" si="66"/>
        <v>54333.333333333328</v>
      </c>
      <c r="U1407" s="52"/>
      <c r="V1407" s="34"/>
      <c r="W1407" s="408"/>
    </row>
    <row r="1408" spans="1:23" ht="12.75" customHeight="1" x14ac:dyDescent="0.2">
      <c r="A1408" s="257">
        <v>1396</v>
      </c>
      <c r="B1408" s="44">
        <v>44490</v>
      </c>
      <c r="C1408" s="44">
        <f t="shared" si="64"/>
        <v>44490</v>
      </c>
      <c r="D1408" s="374">
        <v>70</v>
      </c>
      <c r="E1408" s="291" t="str">
        <f>IFERROR(VLOOKUP($D1408,'Clients-Live'!$A:$C,3,0),"")</f>
        <v>BUGA ALIKIA PHILLIP</v>
      </c>
      <c r="F1408" s="291">
        <f>IFERROR(INDEX(Disbursements!$D:$D,MATCH('Live Collections'!G1408,Disbursements!$C:$C,0)),"")</f>
        <v>1</v>
      </c>
      <c r="G1408" s="34">
        <v>52</v>
      </c>
      <c r="H1408" s="34">
        <v>2913</v>
      </c>
      <c r="I1408" s="34" t="s">
        <v>1357</v>
      </c>
      <c r="J1408" s="48"/>
      <c r="K1408" s="48"/>
      <c r="L1408" s="48"/>
      <c r="M1408" s="48"/>
      <c r="N1408" s="59"/>
      <c r="O1408" s="59">
        <v>266800</v>
      </c>
      <c r="P1408" s="59"/>
      <c r="Q1408" s="268">
        <f t="shared" si="65"/>
        <v>266800</v>
      </c>
      <c r="R1408" s="61">
        <f>IF(O1408=0,0,SUMIFS(Disbursements!$T:$T,Disbursements!$B:$B,'Live Collections'!D1408,Disbursements!$D:$D,'Live Collections'!F1408))</f>
        <v>174000</v>
      </c>
      <c r="S1408" s="304">
        <v>86666.66666666657</v>
      </c>
      <c r="T1408" s="304">
        <f t="shared" si="66"/>
        <v>180133.33333333343</v>
      </c>
      <c r="U1408" s="52"/>
      <c r="V1408" s="34"/>
      <c r="W1408" s="408"/>
    </row>
    <row r="1409" spans="1:23" ht="12.75" customHeight="1" x14ac:dyDescent="0.2">
      <c r="A1409" s="257">
        <v>1388</v>
      </c>
      <c r="B1409" s="44">
        <v>44490</v>
      </c>
      <c r="C1409" s="44">
        <f t="shared" si="64"/>
        <v>44490</v>
      </c>
      <c r="D1409" s="374">
        <v>80</v>
      </c>
      <c r="E1409" s="291" t="str">
        <f>IFERROR(VLOOKUP($D1409,'Clients-Live'!$A:$C,3,0),"")</f>
        <v>ARIYE AISHA</v>
      </c>
      <c r="F1409" s="291">
        <f>IFERROR(INDEX(Disbursements!$D:$D,MATCH('Live Collections'!G1409,Disbursements!$C:$C,0)),"")</f>
        <v>1</v>
      </c>
      <c r="G1409" s="34">
        <v>63</v>
      </c>
      <c r="H1409" s="34">
        <v>2847</v>
      </c>
      <c r="I1409" s="34" t="s">
        <v>1357</v>
      </c>
      <c r="J1409" s="48"/>
      <c r="K1409" s="48"/>
      <c r="L1409" s="48"/>
      <c r="M1409" s="48"/>
      <c r="N1409" s="59"/>
      <c r="O1409" s="59">
        <v>100000</v>
      </c>
      <c r="P1409" s="59"/>
      <c r="Q1409" s="268">
        <f t="shared" si="65"/>
        <v>100000</v>
      </c>
      <c r="R1409" s="61">
        <f>IF(O1409=0,0,SUMIFS(Disbursements!$T:$T,Disbursements!$B:$B,'Live Collections'!D1409,Disbursements!$D:$D,'Live Collections'!F1409))</f>
        <v>250000</v>
      </c>
      <c r="S1409" s="304">
        <f>IF(O1409&lt;=IF($O1409=0,0,SUMIFS(Disbursements!$W:$W,Disbursements!$B:$B,'Live Collections'!D1039,Disbursements!$D:$D,'Live Collections'!F1039)),O1409,IF($O1409=0,0,SUMIFS(Disbursements!$W:$W,Disbursements!$B:$B,'Live Collections'!D1039,Disbursements!$D:$D,'Live Collections'!F1039)))</f>
        <v>0</v>
      </c>
      <c r="T1409" s="304">
        <f t="shared" si="66"/>
        <v>100000</v>
      </c>
      <c r="U1409" s="52"/>
      <c r="V1409" s="34"/>
      <c r="W1409" s="408"/>
    </row>
    <row r="1410" spans="1:23" ht="12.75" customHeight="1" x14ac:dyDescent="0.2">
      <c r="A1410" s="257">
        <v>1400</v>
      </c>
      <c r="B1410" s="44">
        <v>44490</v>
      </c>
      <c r="C1410" s="44">
        <f t="shared" si="64"/>
        <v>44490</v>
      </c>
      <c r="D1410" s="374">
        <v>129</v>
      </c>
      <c r="E1410" s="291" t="str">
        <f>IFERROR(VLOOKUP($D1410,'Clients-Live'!$A:$C,3,0),"")</f>
        <v>BAKO ASINA</v>
      </c>
      <c r="F1410" s="291" t="str">
        <f>IFERROR(INDEX(Disbursements!$D:$D,MATCH('Live Collections'!G1410,Disbursements!$C:$C,0)),"")</f>
        <v/>
      </c>
      <c r="G1410" s="34"/>
      <c r="H1410" s="34">
        <v>2840</v>
      </c>
      <c r="I1410" s="34" t="s">
        <v>1736</v>
      </c>
      <c r="J1410" s="48"/>
      <c r="K1410" s="48"/>
      <c r="L1410" s="48">
        <v>20000</v>
      </c>
      <c r="M1410" s="48">
        <v>5000</v>
      </c>
      <c r="N1410" s="59"/>
      <c r="O1410" s="59"/>
      <c r="P1410" s="59"/>
      <c r="Q1410" s="268">
        <f t="shared" si="65"/>
        <v>25000</v>
      </c>
      <c r="R1410" s="61">
        <f>IF(O1410=0,0,SUMIFS(Disbursements!$T:$T,Disbursements!$B:$B,'Live Collections'!D1410,Disbursements!$D:$D,'Live Collections'!F1410))</f>
        <v>0</v>
      </c>
      <c r="S1410" s="304">
        <f>IF(O1410&lt;=IF($O1410=0,0,SUMIFS(Disbursements!$W:$W,Disbursements!$B:$B,'Live Collections'!D1636,Disbursements!$D:$D,'Live Collections'!F1636)),O1410,IF($O1410=0,0,SUMIFS(Disbursements!$W:$W,Disbursements!$B:$B,'Live Collections'!D1636,Disbursements!$D:$D,'Live Collections'!F1636)))</f>
        <v>0</v>
      </c>
      <c r="T1410" s="304">
        <f t="shared" si="66"/>
        <v>0</v>
      </c>
      <c r="U1410" s="52"/>
      <c r="V1410" s="34"/>
      <c r="W1410" s="408"/>
    </row>
    <row r="1411" spans="1:23" ht="12.75" customHeight="1" x14ac:dyDescent="0.2">
      <c r="A1411" s="257">
        <v>1394</v>
      </c>
      <c r="B1411" s="44">
        <v>44490</v>
      </c>
      <c r="C1411" s="44">
        <f t="shared" si="64"/>
        <v>44490</v>
      </c>
      <c r="D1411" s="374">
        <v>164</v>
      </c>
      <c r="E1411" s="291" t="str">
        <f>IFERROR(VLOOKUP($D1411,'Clients-Live'!$A:$C,3,0),"")</f>
        <v>ARIKE SWAIB</v>
      </c>
      <c r="F1411" s="291">
        <f>IFERROR(INDEX(Disbursements!$D:$D,MATCH('Live Collections'!G1411,Disbursements!$C:$C,0)),"")</f>
        <v>1</v>
      </c>
      <c r="G1411" s="34">
        <v>154</v>
      </c>
      <c r="H1411" s="34">
        <v>2868</v>
      </c>
      <c r="I1411" s="34" t="s">
        <v>1357</v>
      </c>
      <c r="J1411" s="48"/>
      <c r="K1411" s="48"/>
      <c r="L1411" s="48"/>
      <c r="M1411" s="48"/>
      <c r="N1411" s="59"/>
      <c r="O1411" s="59">
        <v>112000</v>
      </c>
      <c r="P1411" s="59"/>
      <c r="Q1411" s="268">
        <f t="shared" si="65"/>
        <v>112000</v>
      </c>
      <c r="R1411" s="61">
        <f>IF(O1411=0,0,SUMIFS(Disbursements!$T:$T,Disbursements!$B:$B,'Live Collections'!D1411,Disbursements!$D:$D,'Live Collections'!F1411))</f>
        <v>109000</v>
      </c>
      <c r="S1411" s="304">
        <f>IF(O1411&lt;=IF($O1411=0,0,SUMIFS(Disbursements!$W:$W,Disbursements!$B:$B,'Live Collections'!D2034,Disbursements!$D:$D,'Live Collections'!F2034)),O1411,IF($O1411=0,0,SUMIFS(Disbursements!$W:$W,Disbursements!$B:$B,'Live Collections'!D2034,Disbursements!$D:$D,'Live Collections'!F2034)))</f>
        <v>45000</v>
      </c>
      <c r="T1411" s="304">
        <f t="shared" si="66"/>
        <v>67000</v>
      </c>
      <c r="U1411" s="52"/>
      <c r="V1411" s="34"/>
      <c r="W1411" s="408"/>
    </row>
    <row r="1412" spans="1:23" ht="12.75" customHeight="1" x14ac:dyDescent="0.2">
      <c r="A1412" s="257">
        <v>1383</v>
      </c>
      <c r="B1412" s="44">
        <v>44490</v>
      </c>
      <c r="C1412" s="44">
        <f t="shared" si="64"/>
        <v>44490</v>
      </c>
      <c r="D1412" s="374">
        <v>170</v>
      </c>
      <c r="E1412" s="291" t="str">
        <f>IFERROR(VLOOKUP($D1412,'Clients-Live'!$A:$C,3,0),"")</f>
        <v xml:space="preserve">KABEBI RAIMA </v>
      </c>
      <c r="F1412" s="291" t="str">
        <f>IFERROR(INDEX(Disbursements!$D:$D,MATCH('Live Collections'!G1412,Disbursements!$C:$C,0)),"")</f>
        <v/>
      </c>
      <c r="G1412" s="34"/>
      <c r="H1412" s="34">
        <v>2850</v>
      </c>
      <c r="I1412" s="34" t="s">
        <v>1736</v>
      </c>
      <c r="J1412" s="48"/>
      <c r="K1412" s="48"/>
      <c r="L1412" s="48">
        <v>15000</v>
      </c>
      <c r="M1412" s="48">
        <v>5000</v>
      </c>
      <c r="N1412" s="59"/>
      <c r="O1412" s="59"/>
      <c r="P1412" s="59"/>
      <c r="Q1412" s="268">
        <f t="shared" si="65"/>
        <v>20000</v>
      </c>
      <c r="R1412" s="61">
        <f>IF(O1412=0,0,SUMIFS(Disbursements!$T:$T,Disbursements!$B:$B,'Live Collections'!D1412,Disbursements!$D:$D,'Live Collections'!F1412))</f>
        <v>0</v>
      </c>
      <c r="S1412" s="304">
        <f>IF(O1412&lt;=IF($O1412=0,0,SUMIFS(Disbursements!$W:$W,Disbursements!$B:$B,'Live Collections'!D2112,Disbursements!$D:$D,'Live Collections'!F2112)),O1412,IF($O1412=0,0,SUMIFS(Disbursements!$W:$W,Disbursements!$B:$B,'Live Collections'!D2112,Disbursements!$D:$D,'Live Collections'!F2112)))</f>
        <v>0</v>
      </c>
      <c r="T1412" s="304">
        <f t="shared" si="66"/>
        <v>0</v>
      </c>
      <c r="U1412" s="52"/>
      <c r="V1412" s="34"/>
      <c r="W1412" s="408"/>
    </row>
    <row r="1413" spans="1:23" ht="12.75" customHeight="1" x14ac:dyDescent="0.2">
      <c r="A1413" s="257">
        <v>1385</v>
      </c>
      <c r="B1413" s="44">
        <v>44490</v>
      </c>
      <c r="C1413" s="44">
        <f t="shared" si="64"/>
        <v>44490</v>
      </c>
      <c r="D1413" s="374">
        <v>170</v>
      </c>
      <c r="E1413" s="291" t="str">
        <f>IFERROR(VLOOKUP($D1413,'Clients-Live'!$A:$C,3,0),"")</f>
        <v xml:space="preserve">KABEBI RAIMA </v>
      </c>
      <c r="F1413" s="291">
        <f>IFERROR(INDEX(Disbursements!$D:$D,MATCH('Live Collections'!G1413,Disbursements!$C:$C,0)),"")</f>
        <v>1</v>
      </c>
      <c r="G1413" s="34">
        <v>164</v>
      </c>
      <c r="H1413" s="34">
        <v>2870</v>
      </c>
      <c r="I1413" s="34" t="s">
        <v>1359</v>
      </c>
      <c r="J1413" s="48"/>
      <c r="K1413" s="48"/>
      <c r="L1413" s="48"/>
      <c r="M1413" s="48"/>
      <c r="N1413" s="59"/>
      <c r="O1413" s="59">
        <v>40000</v>
      </c>
      <c r="P1413" s="59"/>
      <c r="Q1413" s="268">
        <f t="shared" si="65"/>
        <v>40000</v>
      </c>
      <c r="R1413" s="61">
        <f>IF(O1413=0,0,SUMIFS(Disbursements!$T:$T,Disbursements!$B:$B,'Live Collections'!D1413,Disbursements!$D:$D,'Live Collections'!F1413))</f>
        <v>154000</v>
      </c>
      <c r="S1413" s="304"/>
      <c r="T1413" s="304">
        <f t="shared" si="66"/>
        <v>40000</v>
      </c>
      <c r="U1413" s="52"/>
      <c r="V1413" s="34"/>
      <c r="W1413" s="408"/>
    </row>
    <row r="1414" spans="1:23" ht="12.75" customHeight="1" x14ac:dyDescent="0.2">
      <c r="A1414" s="257">
        <v>1386</v>
      </c>
      <c r="B1414" s="44">
        <v>44490</v>
      </c>
      <c r="C1414" s="44">
        <f t="shared" si="64"/>
        <v>44490</v>
      </c>
      <c r="D1414" s="374">
        <v>170</v>
      </c>
      <c r="E1414" s="291" t="str">
        <f>IFERROR(VLOOKUP($D1414,'Clients-Live'!$A:$C,3,0),"")</f>
        <v xml:space="preserve">KABEBI RAIMA </v>
      </c>
      <c r="F1414" s="291">
        <f>IFERROR(INDEX(Disbursements!$D:$D,MATCH('Live Collections'!G1414,Disbursements!$C:$C,0)),"")</f>
        <v>1</v>
      </c>
      <c r="G1414" s="34">
        <v>164</v>
      </c>
      <c r="H1414" s="34">
        <v>2920</v>
      </c>
      <c r="I1414" s="34" t="s">
        <v>1359</v>
      </c>
      <c r="J1414" s="48"/>
      <c r="K1414" s="48"/>
      <c r="L1414" s="48"/>
      <c r="M1414" s="48"/>
      <c r="N1414" s="59"/>
      <c r="O1414" s="59">
        <v>112000</v>
      </c>
      <c r="P1414" s="59"/>
      <c r="Q1414" s="268">
        <f t="shared" si="65"/>
        <v>112000</v>
      </c>
      <c r="R1414" s="61">
        <f>IF(O1414=0,0,SUMIFS(Disbursements!$T:$T,Disbursements!$B:$B,'Live Collections'!D1414,Disbursements!$D:$D,'Live Collections'!F1414))</f>
        <v>154000</v>
      </c>
      <c r="S1414" s="304"/>
      <c r="T1414" s="304">
        <f t="shared" si="66"/>
        <v>112000</v>
      </c>
      <c r="U1414" s="52"/>
      <c r="V1414" s="34"/>
      <c r="W1414" s="408"/>
    </row>
    <row r="1415" spans="1:23" ht="12.75" customHeight="1" x14ac:dyDescent="0.2">
      <c r="A1415" s="257">
        <v>1387</v>
      </c>
      <c r="B1415" s="44">
        <v>44490</v>
      </c>
      <c r="C1415" s="44">
        <f t="shared" si="64"/>
        <v>44490</v>
      </c>
      <c r="D1415" s="374">
        <v>189</v>
      </c>
      <c r="E1415" s="291" t="str">
        <f>IFERROR(VLOOKUP($D1415,'Clients-Live'!$A:$C,3,0),"")</f>
        <v>AYIDA SELUWA</v>
      </c>
      <c r="F1415" s="291">
        <f>IFERROR(INDEX(Disbursements!$D:$D,MATCH('Live Collections'!G1415,Disbursements!$C:$C,0)),"")</f>
        <v>1</v>
      </c>
      <c r="G1415" s="34">
        <v>178</v>
      </c>
      <c r="H1415" s="34">
        <v>2848</v>
      </c>
      <c r="I1415" s="34" t="s">
        <v>1359</v>
      </c>
      <c r="J1415" s="48"/>
      <c r="K1415" s="48"/>
      <c r="L1415" s="48"/>
      <c r="M1415" s="48"/>
      <c r="N1415" s="59"/>
      <c r="O1415" s="59">
        <v>110000</v>
      </c>
      <c r="P1415" s="59"/>
      <c r="Q1415" s="268">
        <f t="shared" si="65"/>
        <v>110000</v>
      </c>
      <c r="R1415" s="61">
        <f>IF(O1415=0,0,SUMIFS(Disbursements!$T:$T,Disbursements!$B:$B,'Live Collections'!D1415,Disbursements!$D:$D,'Live Collections'!F1415))</f>
        <v>120000</v>
      </c>
      <c r="S1415" s="304"/>
      <c r="T1415" s="304">
        <f t="shared" si="66"/>
        <v>110000</v>
      </c>
      <c r="U1415" s="52"/>
      <c r="V1415" s="34"/>
      <c r="W1415" s="408"/>
    </row>
    <row r="1416" spans="1:23" ht="12.75" customHeight="1" x14ac:dyDescent="0.2">
      <c r="A1416" s="257">
        <v>1401</v>
      </c>
      <c r="B1416" s="44">
        <v>44490</v>
      </c>
      <c r="C1416" s="44">
        <f t="shared" ref="C1416:C1478" si="67">B1416</f>
        <v>44490</v>
      </c>
      <c r="D1416" s="374">
        <v>221</v>
      </c>
      <c r="E1416" s="291" t="str">
        <f>IFERROR(VLOOKUP($D1416,'Clients-Live'!$A:$C,3,0),"")</f>
        <v>NAMUDDU MARY</v>
      </c>
      <c r="F1416" s="291">
        <f>IFERROR(INDEX(Disbursements!$D:$D,MATCH('Live Collections'!G1416,Disbursements!$C:$C,0)),"")</f>
        <v>1</v>
      </c>
      <c r="G1416" s="34">
        <v>225</v>
      </c>
      <c r="H1416" s="34">
        <v>2839</v>
      </c>
      <c r="I1416" s="34" t="s">
        <v>1359</v>
      </c>
      <c r="J1416" s="48"/>
      <c r="K1416" s="48"/>
      <c r="L1416" s="48"/>
      <c r="M1416" s="48"/>
      <c r="N1416" s="59"/>
      <c r="O1416" s="59">
        <v>300000</v>
      </c>
      <c r="P1416" s="59"/>
      <c r="Q1416" s="268">
        <f t="shared" ref="Q1416:Q1478" si="68">SUM(J1416:P1416)</f>
        <v>300000</v>
      </c>
      <c r="R1416" s="61">
        <f>IF(O1416=0,0,SUMIFS(Disbursements!$T:$T,Disbursements!$B:$B,'Live Collections'!D1416,Disbursements!$D:$D,'Live Collections'!F1416))</f>
        <v>300000</v>
      </c>
      <c r="S1416" s="304">
        <f>IF(O1416&lt;=IF($O1416=0,0,SUMIFS(Disbursements!$W:$W,Disbursements!$B:$B,'Live Collections'!D2599,Disbursements!$D:$D,'Live Collections'!F2599)),O1416,IF($O1416=0,0,SUMIFS(Disbursements!$W:$W,Disbursements!$B:$B,'Live Collections'!D2599,Disbursements!$D:$D,'Live Collections'!F2599)))</f>
        <v>0</v>
      </c>
      <c r="T1416" s="304">
        <f t="shared" ref="T1416:T1478" si="69">IF(O1416=0,0,O1416-S1416)</f>
        <v>300000</v>
      </c>
      <c r="U1416" s="52"/>
      <c r="V1416" s="34"/>
      <c r="W1416" s="408"/>
    </row>
    <row r="1417" spans="1:23" ht="12.75" customHeight="1" x14ac:dyDescent="0.2">
      <c r="A1417" s="257">
        <v>1390</v>
      </c>
      <c r="B1417" s="44">
        <v>44490</v>
      </c>
      <c r="C1417" s="44">
        <f t="shared" si="67"/>
        <v>44490</v>
      </c>
      <c r="D1417" s="374">
        <v>252</v>
      </c>
      <c r="E1417" s="291" t="str">
        <f>IFERROR(VLOOKUP($D1417,'Clients-Live'!$A:$C,3,0),"")</f>
        <v>ANGUCIA JESCA</v>
      </c>
      <c r="F1417" s="291" t="str">
        <f>IFERROR(INDEX(Disbursements!$D:$D,MATCH('Live Collections'!G1417,Disbursements!$C:$C,0)),"")</f>
        <v/>
      </c>
      <c r="G1417" s="34"/>
      <c r="H1417" s="34">
        <v>2918</v>
      </c>
      <c r="I1417" s="34" t="s">
        <v>1736</v>
      </c>
      <c r="J1417" s="48"/>
      <c r="K1417" s="48"/>
      <c r="L1417" s="48"/>
      <c r="M1417" s="48"/>
      <c r="N1417" s="59"/>
      <c r="O1417" s="59"/>
      <c r="P1417" s="59">
        <v>40000</v>
      </c>
      <c r="Q1417" s="268">
        <f t="shared" si="68"/>
        <v>40000</v>
      </c>
      <c r="R1417" s="61">
        <f>IF(O1417=0,0,SUMIFS(Disbursements!$T:$T,Disbursements!$B:$B,'Live Collections'!D1417,Disbursements!$D:$D,'Live Collections'!F1417))</f>
        <v>0</v>
      </c>
      <c r="S1417" s="304">
        <f>IF(O1417&lt;=IF($O1417=0,0,SUMIFS(Disbursements!$W:$W,Disbursements!$B:$B,'Live Collections'!D2832,Disbursements!$D:$D,'Live Collections'!F2832)),O1417,IF($O1417=0,0,SUMIFS(Disbursements!$W:$W,Disbursements!$B:$B,'Live Collections'!D2832,Disbursements!$D:$D,'Live Collections'!F2832)))</f>
        <v>0</v>
      </c>
      <c r="T1417" s="304">
        <f t="shared" si="69"/>
        <v>0</v>
      </c>
      <c r="U1417" s="52"/>
      <c r="V1417" s="34"/>
      <c r="W1417" s="408"/>
    </row>
    <row r="1418" spans="1:23" ht="12.75" customHeight="1" x14ac:dyDescent="0.2">
      <c r="A1418" s="257">
        <v>1393</v>
      </c>
      <c r="B1418" s="44">
        <v>44490</v>
      </c>
      <c r="C1418" s="44">
        <f t="shared" si="67"/>
        <v>44490</v>
      </c>
      <c r="D1418" s="374">
        <v>260</v>
      </c>
      <c r="E1418" s="291" t="str">
        <f>IFERROR(VLOOKUP($D1418,'Clients-Live'!$A:$C,3,0),"")</f>
        <v>ATAYI GRACE</v>
      </c>
      <c r="F1418" s="291" t="str">
        <f>IFERROR(INDEX(Disbursements!$D:$D,MATCH('Live Collections'!G1418,Disbursements!$C:$C,0)),"")</f>
        <v/>
      </c>
      <c r="G1418" s="34"/>
      <c r="H1418" s="34">
        <v>2843</v>
      </c>
      <c r="I1418" s="34" t="s">
        <v>1736</v>
      </c>
      <c r="J1418" s="48">
        <v>15000</v>
      </c>
      <c r="K1418" s="48">
        <v>5000</v>
      </c>
      <c r="L1418" s="48">
        <v>10000</v>
      </c>
      <c r="M1418" s="48">
        <v>5000</v>
      </c>
      <c r="N1418" s="59"/>
      <c r="O1418" s="59"/>
      <c r="P1418" s="59"/>
      <c r="Q1418" s="268">
        <f t="shared" si="68"/>
        <v>35000</v>
      </c>
      <c r="R1418" s="61">
        <f>IF(O1418=0,0,SUMIFS(Disbursements!$T:$T,Disbursements!$B:$B,'Live Collections'!D1418,Disbursements!$D:$D,'Live Collections'!F1418))</f>
        <v>0</v>
      </c>
      <c r="S1418" s="304">
        <f>IF(O1418&lt;=IF($O1418=0,0,SUMIFS(Disbursements!$W:$W,Disbursements!$B:$B,'Live Collections'!D2875,Disbursements!$D:$D,'Live Collections'!F2875)),O1418,IF($O1418=0,0,SUMIFS(Disbursements!$W:$W,Disbursements!$B:$B,'Live Collections'!D2875,Disbursements!$D:$D,'Live Collections'!F2875)))</f>
        <v>0</v>
      </c>
      <c r="T1418" s="304">
        <f t="shared" si="69"/>
        <v>0</v>
      </c>
      <c r="U1418" s="52"/>
      <c r="V1418" s="34"/>
      <c r="W1418" s="408"/>
    </row>
    <row r="1419" spans="1:23" ht="12.75" customHeight="1" x14ac:dyDescent="0.2">
      <c r="A1419" s="257">
        <v>1398</v>
      </c>
      <c r="B1419" s="44">
        <v>44490</v>
      </c>
      <c r="C1419" s="44">
        <f t="shared" si="67"/>
        <v>44490</v>
      </c>
      <c r="D1419" s="374">
        <v>265</v>
      </c>
      <c r="E1419" s="291" t="str">
        <f>IFERROR(VLOOKUP($D1419,'Clients-Live'!$A:$C,3,0),"")</f>
        <v>OCATRE CHARLES</v>
      </c>
      <c r="F1419" s="291" t="str">
        <f>IFERROR(INDEX(Disbursements!$D:$D,MATCH('Live Collections'!G1419,Disbursements!$C:$C,0)),"")</f>
        <v/>
      </c>
      <c r="G1419" s="34"/>
      <c r="H1419" s="34">
        <v>2834</v>
      </c>
      <c r="I1419" s="34" t="s">
        <v>1736</v>
      </c>
      <c r="J1419" s="48"/>
      <c r="K1419" s="48"/>
      <c r="L1419" s="48"/>
      <c r="M1419" s="48"/>
      <c r="N1419" s="59"/>
      <c r="O1419" s="59"/>
      <c r="P1419" s="59">
        <v>100000</v>
      </c>
      <c r="Q1419" s="268">
        <f t="shared" si="68"/>
        <v>100000</v>
      </c>
      <c r="R1419" s="61">
        <f>IF(O1419=0,0,SUMIFS(Disbursements!$T:$T,Disbursements!$B:$B,'Live Collections'!D1419,Disbursements!$D:$D,'Live Collections'!F1419))</f>
        <v>0</v>
      </c>
      <c r="S1419" s="304">
        <f>IF(O1419&lt;=IF($O1419=0,0,SUMIFS(Disbursements!$W:$W,Disbursements!$B:$B,'Live Collections'!D2917,Disbursements!$D:$D,'Live Collections'!F2917)),O1419,IF($O1419=0,0,SUMIFS(Disbursements!$W:$W,Disbursements!$B:$B,'Live Collections'!D2917,Disbursements!$D:$D,'Live Collections'!F2917)))</f>
        <v>0</v>
      </c>
      <c r="T1419" s="304">
        <f t="shared" si="69"/>
        <v>0</v>
      </c>
      <c r="U1419" s="52"/>
      <c r="V1419" s="34"/>
      <c r="W1419" s="408"/>
    </row>
    <row r="1420" spans="1:23" ht="12.75" customHeight="1" x14ac:dyDescent="0.2">
      <c r="A1420" s="257">
        <v>1399</v>
      </c>
      <c r="B1420" s="44">
        <v>44490</v>
      </c>
      <c r="C1420" s="44">
        <f t="shared" si="67"/>
        <v>44490</v>
      </c>
      <c r="D1420" s="374">
        <v>265</v>
      </c>
      <c r="E1420" s="291" t="str">
        <f>IFERROR(VLOOKUP($D1420,'Clients-Live'!$A:$C,3,0),"")</f>
        <v>OCATRE CHARLES</v>
      </c>
      <c r="F1420" s="291" t="str">
        <f>IFERROR(INDEX(Disbursements!$D:$D,MATCH('Live Collections'!G1420,Disbursements!$C:$C,0)),"")</f>
        <v/>
      </c>
      <c r="G1420" s="34"/>
      <c r="H1420" s="34">
        <v>2835</v>
      </c>
      <c r="I1420" s="34" t="s">
        <v>1736</v>
      </c>
      <c r="J1420" s="48"/>
      <c r="K1420" s="48"/>
      <c r="L1420" s="48">
        <v>15000</v>
      </c>
      <c r="M1420" s="48">
        <v>5000</v>
      </c>
      <c r="N1420" s="59"/>
      <c r="O1420" s="59"/>
      <c r="P1420" s="59"/>
      <c r="Q1420" s="268">
        <f t="shared" si="68"/>
        <v>20000</v>
      </c>
      <c r="R1420" s="61">
        <f>IF(O1420=0,0,SUMIFS(Disbursements!$T:$T,Disbursements!$B:$B,'Live Collections'!D1420,Disbursements!$D:$D,'Live Collections'!F1420))</f>
        <v>0</v>
      </c>
      <c r="S1420" s="304">
        <f>IF(O1420&lt;=IF($O1420=0,0,SUMIFS(Disbursements!$W:$W,Disbursements!$B:$B,'Live Collections'!D2918,Disbursements!$D:$D,'Live Collections'!F2918)),O1420,IF($O1420=0,0,SUMIFS(Disbursements!$W:$W,Disbursements!$B:$B,'Live Collections'!D2918,Disbursements!$D:$D,'Live Collections'!F2918)))</f>
        <v>0</v>
      </c>
      <c r="T1420" s="304">
        <f t="shared" si="69"/>
        <v>0</v>
      </c>
      <c r="U1420" s="52"/>
      <c r="V1420" s="34"/>
      <c r="W1420" s="408"/>
    </row>
    <row r="1421" spans="1:23" ht="12.75" customHeight="1" x14ac:dyDescent="0.2">
      <c r="A1421" s="257">
        <v>1392</v>
      </c>
      <c r="B1421" s="44">
        <v>44490</v>
      </c>
      <c r="C1421" s="44">
        <f t="shared" si="67"/>
        <v>44490</v>
      </c>
      <c r="D1421" s="374">
        <v>267</v>
      </c>
      <c r="E1421" s="291" t="str">
        <f>IFERROR(VLOOKUP($D1421,'Clients-Live'!$A:$C,3,0),"")</f>
        <v>KAMUSIRI JULIUS</v>
      </c>
      <c r="F1421" s="291" t="str">
        <f>IFERROR(INDEX(Disbursements!$D:$D,MATCH('Live Collections'!G1421,Disbursements!$C:$C,0)),"")</f>
        <v/>
      </c>
      <c r="G1421" s="34"/>
      <c r="H1421" s="34">
        <v>2844</v>
      </c>
      <c r="I1421" s="34" t="s">
        <v>1736</v>
      </c>
      <c r="J1421" s="48">
        <v>15000</v>
      </c>
      <c r="K1421" s="48">
        <v>5000</v>
      </c>
      <c r="L1421" s="48">
        <v>15000</v>
      </c>
      <c r="M1421" s="48">
        <v>5000</v>
      </c>
      <c r="N1421" s="59"/>
      <c r="O1421" s="59"/>
      <c r="P1421" s="59"/>
      <c r="Q1421" s="268">
        <f t="shared" si="68"/>
        <v>40000</v>
      </c>
      <c r="R1421" s="61">
        <f>IF(O1421=0,0,SUMIFS(Disbursements!$T:$T,Disbursements!$B:$B,'Live Collections'!D1421,Disbursements!$D:$D,'Live Collections'!F1421))</f>
        <v>0</v>
      </c>
      <c r="S1421" s="304">
        <f>IF(O1421&lt;=IF($O1421=0,0,SUMIFS(Disbursements!$W:$W,Disbursements!$B:$B,'Live Collections'!D2936,Disbursements!$D:$D,'Live Collections'!F2936)),O1421,IF($O1421=0,0,SUMIFS(Disbursements!$W:$W,Disbursements!$B:$B,'Live Collections'!D2936,Disbursements!$D:$D,'Live Collections'!F2936)))</f>
        <v>0</v>
      </c>
      <c r="T1421" s="304">
        <f t="shared" si="69"/>
        <v>0</v>
      </c>
      <c r="U1421" s="52"/>
      <c r="V1421" s="34"/>
      <c r="W1421" s="408"/>
    </row>
    <row r="1422" spans="1:23" ht="12.75" customHeight="1" x14ac:dyDescent="0.2">
      <c r="A1422" s="257">
        <v>1404</v>
      </c>
      <c r="B1422" s="44">
        <v>44491</v>
      </c>
      <c r="C1422" s="44">
        <f t="shared" si="67"/>
        <v>44491</v>
      </c>
      <c r="D1422" s="374">
        <v>18</v>
      </c>
      <c r="E1422" s="291" t="str">
        <f>IFERROR(VLOOKUP($D1422,'Clients-Live'!$A:$C,3,0),"")</f>
        <v>ARIYE PEACE</v>
      </c>
      <c r="F1422" s="291" t="str">
        <f>IFERROR(INDEX(Disbursements!$D:$D,MATCH('Live Collections'!G1422,Disbursements!$C:$C,0)),"")</f>
        <v/>
      </c>
      <c r="G1422" s="34"/>
      <c r="H1422" s="34">
        <v>2878</v>
      </c>
      <c r="I1422" s="34" t="s">
        <v>1736</v>
      </c>
      <c r="J1422" s="48"/>
      <c r="K1422" s="48"/>
      <c r="L1422" s="48">
        <v>25000</v>
      </c>
      <c r="M1422" s="48">
        <v>5000</v>
      </c>
      <c r="N1422" s="59"/>
      <c r="O1422" s="59"/>
      <c r="P1422" s="59"/>
      <c r="Q1422" s="268">
        <f t="shared" si="68"/>
        <v>30000</v>
      </c>
      <c r="R1422" s="61">
        <f>IF(O1422=0,0,SUMIFS(Disbursements!$T:$T,Disbursements!$B:$B,'Live Collections'!D1422,Disbursements!$D:$D,'Live Collections'!F1422))</f>
        <v>0</v>
      </c>
      <c r="S1422" s="304">
        <f>IF(O1422&lt;=IF($O1422=0,0,SUMIFS(Disbursements!$W:$W,Disbursements!$B:$B,'Live Collections'!D213,Disbursements!$D:$D,'Live Collections'!F213)),O1422,IF($O1422=0,0,SUMIFS(Disbursements!$W:$W,Disbursements!$B:$B,'Live Collections'!D213,Disbursements!$D:$D,'Live Collections'!F213)))</f>
        <v>0</v>
      </c>
      <c r="T1422" s="304">
        <f t="shared" si="69"/>
        <v>0</v>
      </c>
      <c r="U1422" s="52"/>
      <c r="V1422" s="34"/>
      <c r="W1422" s="408"/>
    </row>
    <row r="1423" spans="1:23" ht="12.75" customHeight="1" x14ac:dyDescent="0.2">
      <c r="A1423" s="257">
        <v>1405</v>
      </c>
      <c r="B1423" s="44">
        <v>44491</v>
      </c>
      <c r="C1423" s="44">
        <f t="shared" si="67"/>
        <v>44491</v>
      </c>
      <c r="D1423" s="374">
        <v>18</v>
      </c>
      <c r="E1423" s="291" t="str">
        <f>IFERROR(VLOOKUP($D1423,'Clients-Live'!$A:$C,3,0),"")</f>
        <v>ARIYE PEACE</v>
      </c>
      <c r="F1423" s="291">
        <f>IFERROR(INDEX(Disbursements!$D:$D,MATCH('Live Collections'!G1423,Disbursements!$C:$C,0)),"")</f>
        <v>1</v>
      </c>
      <c r="G1423" s="34">
        <v>9</v>
      </c>
      <c r="H1423" s="34">
        <v>2877</v>
      </c>
      <c r="I1423" s="34" t="s">
        <v>1357</v>
      </c>
      <c r="J1423" s="48"/>
      <c r="K1423" s="48"/>
      <c r="L1423" s="48"/>
      <c r="M1423" s="48"/>
      <c r="N1423" s="59"/>
      <c r="O1423" s="59">
        <v>200000</v>
      </c>
      <c r="P1423" s="59"/>
      <c r="Q1423" s="268">
        <f t="shared" si="68"/>
        <v>200000</v>
      </c>
      <c r="R1423" s="61">
        <f>IF(O1423=0,0,SUMIFS(Disbursements!$T:$T,Disbursements!$B:$B,'Live Collections'!D1423,Disbursements!$D:$D,'Live Collections'!F1423))</f>
        <v>109000</v>
      </c>
      <c r="S1423" s="304">
        <f>IF(O1423&lt;=IF($O1423=0,0,SUMIFS(Disbursements!$W:$W,Disbursements!$B:$B,'Live Collections'!D214,Disbursements!$D:$D,'Live Collections'!F214)),O1423,IF($O1423=0,0,SUMIFS(Disbursements!$W:$W,Disbursements!$B:$B,'Live Collections'!D214,Disbursements!$D:$D,'Live Collections'!F214)))</f>
        <v>30000</v>
      </c>
      <c r="T1423" s="304">
        <f t="shared" si="69"/>
        <v>170000</v>
      </c>
      <c r="U1423" s="52"/>
      <c r="V1423" s="34"/>
      <c r="W1423" s="408"/>
    </row>
    <row r="1424" spans="1:23" ht="12.75" customHeight="1" x14ac:dyDescent="0.2">
      <c r="A1424" s="257">
        <v>1406</v>
      </c>
      <c r="B1424" s="44">
        <v>44491</v>
      </c>
      <c r="C1424" s="44">
        <f t="shared" si="67"/>
        <v>44491</v>
      </c>
      <c r="D1424" s="374">
        <v>18</v>
      </c>
      <c r="E1424" s="291" t="str">
        <f>IFERROR(VLOOKUP($D1424,'Clients-Live'!$A:$C,3,0),"")</f>
        <v>ARIYE PEACE</v>
      </c>
      <c r="F1424" s="291">
        <f>IFERROR(INDEX(Disbursements!$D:$D,MATCH('Live Collections'!G1424,Disbursements!$C:$C,0)),"")</f>
        <v>1</v>
      </c>
      <c r="G1424" s="34">
        <v>9</v>
      </c>
      <c r="H1424" s="34">
        <v>1331</v>
      </c>
      <c r="I1424" s="34" t="s">
        <v>1357</v>
      </c>
      <c r="J1424" s="48"/>
      <c r="K1424" s="48"/>
      <c r="L1424" s="48"/>
      <c r="M1424" s="48"/>
      <c r="N1424" s="59"/>
      <c r="O1424" s="59"/>
      <c r="P1424" s="59">
        <v>-200000</v>
      </c>
      <c r="Q1424" s="268">
        <f t="shared" si="68"/>
        <v>-200000</v>
      </c>
      <c r="R1424" s="61">
        <f>IF(O1424=0,0,SUMIFS(Disbursements!$T:$T,Disbursements!$B:$B,'Live Collections'!D1424,Disbursements!$D:$D,'Live Collections'!F1424))</f>
        <v>0</v>
      </c>
      <c r="S1424" s="304">
        <f>IF(O1424&lt;=IF($O1424=0,0,SUMIFS(Disbursements!$W:$W,Disbursements!$B:$B,'Live Collections'!D215,Disbursements!$D:$D,'Live Collections'!F215)),O1424,IF($O1424=0,0,SUMIFS(Disbursements!$W:$W,Disbursements!$B:$B,'Live Collections'!D215,Disbursements!$D:$D,'Live Collections'!F215)))</f>
        <v>0</v>
      </c>
      <c r="T1424" s="304">
        <f t="shared" si="69"/>
        <v>0</v>
      </c>
      <c r="U1424" s="52"/>
      <c r="V1424" s="34"/>
      <c r="W1424" s="408"/>
    </row>
    <row r="1425" spans="1:23" ht="12.75" customHeight="1" x14ac:dyDescent="0.2">
      <c r="A1425" s="257">
        <v>1410</v>
      </c>
      <c r="B1425" s="44">
        <v>44491</v>
      </c>
      <c r="C1425" s="44">
        <f t="shared" si="67"/>
        <v>44491</v>
      </c>
      <c r="D1425" s="374">
        <v>40</v>
      </c>
      <c r="E1425" s="291" t="str">
        <f>IFERROR(VLOOKUP($D1425,'Clients-Live'!$A:$C,3,0),"")</f>
        <v>TABU JANE</v>
      </c>
      <c r="F1425" s="291">
        <f>IFERROR(INDEX(Disbursements!$D:$D,MATCH('Live Collections'!G1425,Disbursements!$C:$C,0)),"")</f>
        <v>2</v>
      </c>
      <c r="G1425" s="34">
        <v>230</v>
      </c>
      <c r="H1425" s="34">
        <v>2873</v>
      </c>
      <c r="I1425" s="34" t="s">
        <v>1358</v>
      </c>
      <c r="J1425" s="48"/>
      <c r="K1425" s="48"/>
      <c r="L1425" s="48"/>
      <c r="M1425" s="48"/>
      <c r="N1425" s="59"/>
      <c r="O1425" s="59">
        <v>200000</v>
      </c>
      <c r="P1425" s="59"/>
      <c r="Q1425" s="268">
        <f t="shared" si="68"/>
        <v>200000</v>
      </c>
      <c r="R1425" s="61">
        <f>IF(O1425=0,0,SUMIFS(Disbursements!$T:$T,Disbursements!$B:$B,'Live Collections'!D1425,Disbursements!$D:$D,'Live Collections'!F1425))</f>
        <v>217000</v>
      </c>
      <c r="S1425" s="304">
        <f>IF(O1425&lt;=IF($O1425=0,0,SUMIFS(Disbursements!$W:$W,Disbursements!$B:$B,'Live Collections'!D438,Disbursements!$D:$D,'Live Collections'!F438)),O1425,IF($O1425=0,0,SUMIFS(Disbursements!$W:$W,Disbursements!$B:$B,'Live Collections'!D438,Disbursements!$D:$D,'Live Collections'!F438)))</f>
        <v>113000</v>
      </c>
      <c r="T1425" s="304">
        <f t="shared" si="69"/>
        <v>87000</v>
      </c>
      <c r="U1425" s="52"/>
      <c r="V1425" s="34"/>
      <c r="W1425" s="408"/>
    </row>
    <row r="1426" spans="1:23" ht="12.75" customHeight="1" x14ac:dyDescent="0.2">
      <c r="A1426" s="257">
        <v>1407</v>
      </c>
      <c r="B1426" s="44">
        <v>44491</v>
      </c>
      <c r="C1426" s="44">
        <f t="shared" si="67"/>
        <v>44491</v>
      </c>
      <c r="D1426" s="374">
        <v>56</v>
      </c>
      <c r="E1426" s="291" t="str">
        <f>IFERROR(VLOOKUP($D1426,'Clients-Live'!$A:$C,3,0),"")</f>
        <v>ALOMO ZABIBU</v>
      </c>
      <c r="F1426" s="291">
        <f>IFERROR(INDEX(Disbursements!$D:$D,MATCH('Live Collections'!G1426,Disbursements!$C:$C,0)),"")</f>
        <v>2</v>
      </c>
      <c r="G1426" s="34">
        <v>226</v>
      </c>
      <c r="H1426" s="34">
        <v>2879</v>
      </c>
      <c r="I1426" s="34" t="s">
        <v>1357</v>
      </c>
      <c r="J1426" s="48"/>
      <c r="K1426" s="48"/>
      <c r="L1426" s="48"/>
      <c r="M1426" s="48"/>
      <c r="N1426" s="59"/>
      <c r="O1426" s="59">
        <v>120000</v>
      </c>
      <c r="P1426" s="59"/>
      <c r="Q1426" s="268">
        <f t="shared" si="68"/>
        <v>120000</v>
      </c>
      <c r="R1426" s="61">
        <f>IF(O1426=0,0,SUMIFS(Disbursements!$T:$T,Disbursements!$B:$B,'Live Collections'!D1426,Disbursements!$D:$D,'Live Collections'!F1426))</f>
        <v>120000</v>
      </c>
      <c r="S1426" s="304">
        <f>IF(O1426&lt;=IF($O1426=0,0,SUMIFS(Disbursements!$W:$W,Disbursements!$B:$B,'Live Collections'!D668,Disbursements!$D:$D,'Live Collections'!F668)),O1426,IF($O1426=0,0,SUMIFS(Disbursements!$W:$W,Disbursements!$B:$B,'Live Collections'!D668,Disbursements!$D:$D,'Live Collections'!F668)))</f>
        <v>25666.666666666672</v>
      </c>
      <c r="T1426" s="304">
        <f t="shared" si="69"/>
        <v>94333.333333333328</v>
      </c>
      <c r="U1426" s="52"/>
      <c r="V1426" s="34"/>
      <c r="W1426" s="408"/>
    </row>
    <row r="1427" spans="1:23" ht="12.75" customHeight="1" x14ac:dyDescent="0.2">
      <c r="A1427" s="257">
        <v>1412</v>
      </c>
      <c r="B1427" s="44">
        <v>44491</v>
      </c>
      <c r="C1427" s="44">
        <f t="shared" si="67"/>
        <v>44491</v>
      </c>
      <c r="D1427" s="374">
        <v>64</v>
      </c>
      <c r="E1427" s="291" t="str">
        <f>IFERROR(VLOOKUP($D1427,'Clients-Live'!$A:$C,3,0),"")</f>
        <v>AKINO JUDITH</v>
      </c>
      <c r="F1427" s="291">
        <f>IFERROR(INDEX(Disbursements!$D:$D,MATCH('Live Collections'!G1427,Disbursements!$C:$C,0)),"")</f>
        <v>2</v>
      </c>
      <c r="G1427" s="34">
        <v>218</v>
      </c>
      <c r="H1427" s="34">
        <v>2881</v>
      </c>
      <c r="I1427" s="34" t="s">
        <v>1358</v>
      </c>
      <c r="J1427" s="48"/>
      <c r="K1427" s="48"/>
      <c r="L1427" s="48"/>
      <c r="M1427" s="48"/>
      <c r="N1427" s="59"/>
      <c r="O1427" s="59">
        <v>175000</v>
      </c>
      <c r="P1427" s="59"/>
      <c r="Q1427" s="268">
        <f t="shared" si="68"/>
        <v>175000</v>
      </c>
      <c r="R1427" s="61">
        <f>IF(O1427=0,0,SUMIFS(Disbursements!$T:$T,Disbursements!$B:$B,'Live Collections'!D1427,Disbursements!$D:$D,'Live Collections'!F1427))</f>
        <v>175000</v>
      </c>
      <c r="S1427" s="304">
        <f>IF(O1427&lt;=IF($O1427=0,0,SUMIFS(Disbursements!$W:$W,Disbursements!$B:$B,'Live Collections'!D773,Disbursements!$D:$D,'Live Collections'!F773)),O1427,IF($O1427=0,0,SUMIFS(Disbursements!$W:$W,Disbursements!$B:$B,'Live Collections'!D773,Disbursements!$D:$D,'Live Collections'!F773)))</f>
        <v>20000</v>
      </c>
      <c r="T1427" s="304">
        <f t="shared" si="69"/>
        <v>155000</v>
      </c>
      <c r="U1427" s="52"/>
      <c r="V1427" s="34"/>
      <c r="W1427" s="408"/>
    </row>
    <row r="1428" spans="1:23" ht="12.75" customHeight="1" x14ac:dyDescent="0.2">
      <c r="A1428" s="257">
        <v>1408</v>
      </c>
      <c r="B1428" s="44">
        <v>44491</v>
      </c>
      <c r="C1428" s="44">
        <f t="shared" si="67"/>
        <v>44491</v>
      </c>
      <c r="D1428" s="374">
        <v>68</v>
      </c>
      <c r="E1428" s="291" t="str">
        <f>IFERROR(VLOOKUP($D1428,'Clients-Live'!$A:$C,3,0),"")</f>
        <v>CHANDIA  RAHIMA</v>
      </c>
      <c r="F1428" s="291">
        <f>IFERROR(INDEX(Disbursements!$D:$D,MATCH('Live Collections'!G1428,Disbursements!$C:$C,0)),"")</f>
        <v>1</v>
      </c>
      <c r="G1428" s="34">
        <v>51</v>
      </c>
      <c r="H1428" s="34">
        <v>2876</v>
      </c>
      <c r="I1428" s="34" t="s">
        <v>1357</v>
      </c>
      <c r="J1428" s="48"/>
      <c r="K1428" s="48"/>
      <c r="L1428" s="48"/>
      <c r="M1428" s="48"/>
      <c r="N1428" s="59"/>
      <c r="O1428" s="59">
        <v>102000</v>
      </c>
      <c r="P1428" s="59"/>
      <c r="Q1428" s="268">
        <f t="shared" si="68"/>
        <v>102000</v>
      </c>
      <c r="R1428" s="61">
        <f>IF(O1428=0,0,SUMIFS(Disbursements!$T:$T,Disbursements!$B:$B,'Live Collections'!D1428,Disbursements!$D:$D,'Live Collections'!F1428))</f>
        <v>152000</v>
      </c>
      <c r="S1428" s="304">
        <f>IF(O1428&lt;=IF($O1428=0,0,SUMIFS(Disbursements!$W:$W,Disbursements!$B:$B,'Live Collections'!D846,Disbursements!$D:$D,'Live Collections'!F846)),O1428,IF($O1428=0,0,SUMIFS(Disbursements!$W:$W,Disbursements!$B:$B,'Live Collections'!D846,Disbursements!$D:$D,'Live Collections'!F846)))</f>
        <v>35000</v>
      </c>
      <c r="T1428" s="304">
        <f t="shared" si="69"/>
        <v>67000</v>
      </c>
      <c r="U1428" s="52"/>
      <c r="V1428" s="34"/>
      <c r="W1428" s="408"/>
    </row>
    <row r="1429" spans="1:23" ht="12.75" customHeight="1" x14ac:dyDescent="0.2">
      <c r="A1429" s="257">
        <v>1411</v>
      </c>
      <c r="B1429" s="44">
        <v>44491</v>
      </c>
      <c r="C1429" s="44">
        <f t="shared" si="67"/>
        <v>44491</v>
      </c>
      <c r="D1429" s="374">
        <v>80</v>
      </c>
      <c r="E1429" s="291" t="str">
        <f>IFERROR(VLOOKUP($D1429,'Clients-Live'!$A:$C,3,0),"")</f>
        <v>ARIYE AISHA</v>
      </c>
      <c r="F1429" s="291">
        <f>IFERROR(INDEX(Disbursements!$D:$D,MATCH('Live Collections'!G1429,Disbursements!$C:$C,0)),"")</f>
        <v>1</v>
      </c>
      <c r="G1429" s="34">
        <v>63</v>
      </c>
      <c r="H1429" s="34">
        <v>2872</v>
      </c>
      <c r="I1429" s="34" t="s">
        <v>1357</v>
      </c>
      <c r="J1429" s="48"/>
      <c r="K1429" s="48"/>
      <c r="L1429" s="48"/>
      <c r="M1429" s="48"/>
      <c r="N1429" s="59"/>
      <c r="O1429" s="59">
        <v>100000</v>
      </c>
      <c r="P1429" s="59"/>
      <c r="Q1429" s="268">
        <f t="shared" si="68"/>
        <v>100000</v>
      </c>
      <c r="R1429" s="61">
        <f>IF(O1429=0,0,SUMIFS(Disbursements!$T:$T,Disbursements!$B:$B,'Live Collections'!D1429,Disbursements!$D:$D,'Live Collections'!F1429))</f>
        <v>250000</v>
      </c>
      <c r="S1429" s="304">
        <f>IF(O1429&lt;=IF($O1429=0,0,SUMIFS(Disbursements!$W:$W,Disbursements!$B:$B,'Live Collections'!D1040,Disbursements!$D:$D,'Live Collections'!F1040)),O1429,IF($O1429=0,0,SUMIFS(Disbursements!$W:$W,Disbursements!$B:$B,'Live Collections'!D1040,Disbursements!$D:$D,'Live Collections'!F1040)))</f>
        <v>0</v>
      </c>
      <c r="T1429" s="304">
        <f t="shared" si="69"/>
        <v>100000</v>
      </c>
      <c r="U1429" s="52"/>
      <c r="V1429" s="34"/>
      <c r="W1429" s="408"/>
    </row>
    <row r="1430" spans="1:23" ht="12.75" customHeight="1" x14ac:dyDescent="0.2">
      <c r="A1430" s="257">
        <v>1409</v>
      </c>
      <c r="B1430" s="44">
        <v>44491</v>
      </c>
      <c r="C1430" s="44">
        <f t="shared" si="67"/>
        <v>44491</v>
      </c>
      <c r="D1430" s="374">
        <v>128</v>
      </c>
      <c r="E1430" s="291" t="str">
        <f>IFERROR(VLOOKUP($D1430,'Clients-Live'!$A:$C,3,0),"")</f>
        <v>AJONYE BETTY</v>
      </c>
      <c r="F1430" s="291" t="str">
        <f>IFERROR(INDEX(Disbursements!$D:$D,MATCH('Live Collections'!G1430,Disbursements!$C:$C,0)),"")</f>
        <v/>
      </c>
      <c r="G1430" s="34"/>
      <c r="H1430" s="34">
        <v>2871</v>
      </c>
      <c r="I1430" s="34" t="s">
        <v>1359</v>
      </c>
      <c r="J1430" s="48"/>
      <c r="K1430" s="48"/>
      <c r="L1430" s="48"/>
      <c r="M1430" s="48"/>
      <c r="N1430" s="59"/>
      <c r="O1430" s="59"/>
      <c r="P1430" s="59">
        <v>40000</v>
      </c>
      <c r="Q1430" s="268">
        <f t="shared" si="68"/>
        <v>40000</v>
      </c>
      <c r="R1430" s="61">
        <f>IF(O1430=0,0,SUMIFS(Disbursements!$T:$T,Disbursements!$B:$B,'Live Collections'!D1430,Disbursements!$D:$D,'Live Collections'!F1430))</f>
        <v>0</v>
      </c>
      <c r="S1430" s="304">
        <f>IF(O1430&lt;=IF($O1430=0,0,SUMIFS(Disbursements!$W:$W,Disbursements!$B:$B,'Live Collections'!D1624,Disbursements!$D:$D,'Live Collections'!F1624)),O1430,IF($O1430=0,0,SUMIFS(Disbursements!$W:$W,Disbursements!$B:$B,'Live Collections'!D1624,Disbursements!$D:$D,'Live Collections'!F1624)))</f>
        <v>0</v>
      </c>
      <c r="T1430" s="304">
        <f t="shared" si="69"/>
        <v>0</v>
      </c>
      <c r="U1430" s="52"/>
      <c r="V1430" s="34"/>
      <c r="W1430" s="408"/>
    </row>
    <row r="1431" spans="1:23" ht="12.75" customHeight="1" x14ac:dyDescent="0.2">
      <c r="A1431" s="257">
        <v>1413</v>
      </c>
      <c r="B1431" s="44">
        <v>44492</v>
      </c>
      <c r="C1431" s="44">
        <f t="shared" si="67"/>
        <v>44492</v>
      </c>
      <c r="D1431" s="374">
        <v>43</v>
      </c>
      <c r="E1431" s="291" t="str">
        <f>IFERROR(VLOOKUP($D1431,'Clients-Live'!$A:$C,3,0),"")</f>
        <v>APUNIKI LOICE</v>
      </c>
      <c r="F1431" s="291">
        <f>IFERROR(INDEX(Disbursements!$D:$D,MATCH('Live Collections'!G1431,Disbursements!$C:$C,0)),"")</f>
        <v>2</v>
      </c>
      <c r="G1431" s="34">
        <v>160</v>
      </c>
      <c r="H1431" s="34">
        <v>2886</v>
      </c>
      <c r="I1431" s="34" t="s">
        <v>1357</v>
      </c>
      <c r="J1431" s="48"/>
      <c r="K1431" s="48"/>
      <c r="L1431" s="48"/>
      <c r="M1431" s="48"/>
      <c r="N1431" s="59">
        <v>9000</v>
      </c>
      <c r="O1431" s="59">
        <v>400000</v>
      </c>
      <c r="P1431" s="59"/>
      <c r="Q1431" s="268">
        <f t="shared" si="68"/>
        <v>409000</v>
      </c>
      <c r="R1431" s="61">
        <f>IF(O1431=0,0,SUMIFS(Disbursements!$T:$T,Disbursements!$B:$B,'Live Collections'!D1431,Disbursements!$D:$D,'Live Collections'!F1431))</f>
        <v>150000</v>
      </c>
      <c r="S1431" s="304"/>
      <c r="T1431" s="304">
        <f t="shared" si="69"/>
        <v>400000</v>
      </c>
      <c r="U1431" s="52"/>
      <c r="V1431" s="34"/>
      <c r="W1431" s="408"/>
    </row>
    <row r="1432" spans="1:23" ht="12.75" customHeight="1" x14ac:dyDescent="0.2">
      <c r="A1432" s="257">
        <v>1414</v>
      </c>
      <c r="B1432" s="44">
        <v>44492</v>
      </c>
      <c r="C1432" s="44">
        <f t="shared" si="67"/>
        <v>44492</v>
      </c>
      <c r="D1432" s="374">
        <v>43</v>
      </c>
      <c r="E1432" s="291" t="str">
        <f>IFERROR(VLOOKUP($D1432,'Clients-Live'!$A:$C,3,0),"")</f>
        <v>APUNIKI LOICE</v>
      </c>
      <c r="F1432" s="291">
        <f>IFERROR(INDEX(Disbursements!$D:$D,MATCH('Live Collections'!G1432,Disbursements!$C:$C,0)),"")</f>
        <v>2</v>
      </c>
      <c r="G1432" s="34">
        <v>160</v>
      </c>
      <c r="H1432" s="34">
        <v>2887</v>
      </c>
      <c r="I1432" s="34" t="s">
        <v>1357</v>
      </c>
      <c r="J1432" s="48"/>
      <c r="K1432" s="48"/>
      <c r="L1432" s="48"/>
      <c r="M1432" s="48"/>
      <c r="N1432" s="59"/>
      <c r="O1432" s="59">
        <v>50000</v>
      </c>
      <c r="P1432" s="59">
        <v>-50000</v>
      </c>
      <c r="Q1432" s="268">
        <f t="shared" si="68"/>
        <v>0</v>
      </c>
      <c r="R1432" s="61">
        <f>IF(O1432=0,0,SUMIFS(Disbursements!$T:$T,Disbursements!$B:$B,'Live Collections'!D1432,Disbursements!$D:$D,'Live Collections'!F1432))</f>
        <v>150000</v>
      </c>
      <c r="S1432" s="304"/>
      <c r="T1432" s="304">
        <f t="shared" si="69"/>
        <v>50000</v>
      </c>
      <c r="U1432" s="52"/>
      <c r="V1432" s="34"/>
      <c r="W1432" s="408"/>
    </row>
    <row r="1433" spans="1:23" ht="12.75" customHeight="1" x14ac:dyDescent="0.2">
      <c r="A1433" s="257">
        <v>1419</v>
      </c>
      <c r="B1433" s="44">
        <v>44492</v>
      </c>
      <c r="C1433" s="44">
        <f t="shared" si="67"/>
        <v>44492</v>
      </c>
      <c r="D1433" s="374">
        <v>58</v>
      </c>
      <c r="E1433" s="291" t="str">
        <f>IFERROR(VLOOKUP($D1433,'Clients-Live'!$A:$C,3,0),"")</f>
        <v xml:space="preserve">ALIRU AMINA </v>
      </c>
      <c r="F1433" s="291">
        <f>IFERROR(INDEX(Disbursements!$D:$D,MATCH('Live Collections'!G1433,Disbursements!$C:$C,0)),"")</f>
        <v>1</v>
      </c>
      <c r="G1433" s="34">
        <v>46</v>
      </c>
      <c r="H1433" s="34">
        <v>2889</v>
      </c>
      <c r="I1433" s="34" t="s">
        <v>1358</v>
      </c>
      <c r="J1433" s="48"/>
      <c r="K1433" s="48"/>
      <c r="L1433" s="48"/>
      <c r="M1433" s="48"/>
      <c r="N1433" s="59"/>
      <c r="O1433" s="59">
        <v>60000</v>
      </c>
      <c r="P1433" s="59"/>
      <c r="Q1433" s="268">
        <f t="shared" si="68"/>
        <v>60000</v>
      </c>
      <c r="R1433" s="61">
        <f>IF(O1433=0,0,SUMIFS(Disbursements!$T:$T,Disbursements!$B:$B,'Live Collections'!D1433,Disbursements!$D:$D,'Live Collections'!F1433))</f>
        <v>180000</v>
      </c>
      <c r="S1433" s="304"/>
      <c r="T1433" s="304">
        <f t="shared" si="69"/>
        <v>60000</v>
      </c>
      <c r="U1433" s="52"/>
      <c r="V1433" s="34"/>
      <c r="W1433" s="408"/>
    </row>
    <row r="1434" spans="1:23" ht="12.75" customHeight="1" x14ac:dyDescent="0.2">
      <c r="A1434" s="257">
        <v>1422</v>
      </c>
      <c r="B1434" s="44">
        <v>44492</v>
      </c>
      <c r="C1434" s="44">
        <f t="shared" si="67"/>
        <v>44492</v>
      </c>
      <c r="D1434" s="374">
        <v>58</v>
      </c>
      <c r="E1434" s="291" t="str">
        <f>IFERROR(VLOOKUP($D1434,'Clients-Live'!$A:$C,3,0),"")</f>
        <v xml:space="preserve">ALIRU AMINA </v>
      </c>
      <c r="F1434" s="291">
        <f>IFERROR(INDEX(Disbursements!$D:$D,MATCH('Live Collections'!G1434,Disbursements!$C:$C,0)),"")</f>
        <v>1</v>
      </c>
      <c r="G1434" s="34">
        <v>46</v>
      </c>
      <c r="H1434" s="34">
        <v>2891</v>
      </c>
      <c r="I1434" s="34" t="s">
        <v>1358</v>
      </c>
      <c r="J1434" s="48"/>
      <c r="K1434" s="48"/>
      <c r="L1434" s="48"/>
      <c r="M1434" s="48"/>
      <c r="N1434" s="59"/>
      <c r="O1434" s="59">
        <v>60000</v>
      </c>
      <c r="P1434" s="59">
        <v>-60000</v>
      </c>
      <c r="Q1434" s="268">
        <f t="shared" si="68"/>
        <v>0</v>
      </c>
      <c r="R1434" s="61">
        <f>IF(O1434=0,0,SUMIFS(Disbursements!$T:$T,Disbursements!$B:$B,'Live Collections'!D1434,Disbursements!$D:$D,'Live Collections'!F1434))</f>
        <v>180000</v>
      </c>
      <c r="S1434" s="304"/>
      <c r="T1434" s="304">
        <f t="shared" si="69"/>
        <v>60000</v>
      </c>
      <c r="U1434" s="52"/>
      <c r="V1434" s="34"/>
      <c r="W1434" s="408" t="s">
        <v>2098</v>
      </c>
    </row>
    <row r="1435" spans="1:23" ht="12.75" customHeight="1" x14ac:dyDescent="0.2">
      <c r="A1435" s="257">
        <v>1421</v>
      </c>
      <c r="B1435" s="44">
        <v>44492</v>
      </c>
      <c r="C1435" s="44">
        <f t="shared" si="67"/>
        <v>44492</v>
      </c>
      <c r="D1435" s="374">
        <v>86</v>
      </c>
      <c r="E1435" s="291" t="str">
        <f>IFERROR(VLOOKUP($D1435,'Clients-Live'!$A:$C,3,0),"")</f>
        <v>AMANIYO JOYCE</v>
      </c>
      <c r="F1435" s="291">
        <f>IFERROR(INDEX(Disbursements!$D:$D,MATCH('Live Collections'!G1435,Disbursements!$C:$C,0)),"")</f>
        <v>2</v>
      </c>
      <c r="G1435" s="34">
        <v>231</v>
      </c>
      <c r="H1435" s="34">
        <v>2893</v>
      </c>
      <c r="I1435" s="34" t="s">
        <v>1358</v>
      </c>
      <c r="J1435" s="48"/>
      <c r="K1435" s="48"/>
      <c r="L1435" s="48"/>
      <c r="M1435" s="48"/>
      <c r="N1435" s="59"/>
      <c r="O1435" s="59">
        <v>150000</v>
      </c>
      <c r="P1435" s="59"/>
      <c r="Q1435" s="268">
        <f t="shared" si="68"/>
        <v>150000</v>
      </c>
      <c r="R1435" s="61">
        <f>IF(O1435=0,0,SUMIFS(Disbursements!$T:$T,Disbursements!$B:$B,'Live Collections'!D1435,Disbursements!$D:$D,'Live Collections'!F1435))</f>
        <v>217000</v>
      </c>
      <c r="S1435" s="304">
        <f>IF(O1435&lt;=IF($O1435=0,0,SUMIFS(Disbursements!$W:$W,Disbursements!$B:$B,'Live Collections'!D1114,Disbursements!$D:$D,'Live Collections'!F1114)),O1435,IF($O1435=0,0,SUMIFS(Disbursements!$W:$W,Disbursements!$B:$B,'Live Collections'!D1114,Disbursements!$D:$D,'Live Collections'!F1114)))</f>
        <v>25666.666666666672</v>
      </c>
      <c r="T1435" s="304">
        <f t="shared" si="69"/>
        <v>124333.33333333333</v>
      </c>
      <c r="U1435" s="52"/>
      <c r="V1435" s="34"/>
      <c r="W1435" s="408"/>
    </row>
    <row r="1436" spans="1:23" ht="12.75" customHeight="1" x14ac:dyDescent="0.2">
      <c r="A1436" s="257">
        <v>1416</v>
      </c>
      <c r="B1436" s="44">
        <v>44492</v>
      </c>
      <c r="C1436" s="44">
        <f t="shared" si="67"/>
        <v>44492</v>
      </c>
      <c r="D1436" s="374">
        <v>88</v>
      </c>
      <c r="E1436" s="291" t="str">
        <f>IFERROR(VLOOKUP($D1436,'Clients-Live'!$A:$C,3,0),"")</f>
        <v>FAIDA HARRIET</v>
      </c>
      <c r="F1436" s="291">
        <f>IFERROR(INDEX(Disbursements!$D:$D,MATCH('Live Collections'!G1436,Disbursements!$C:$C,0)),"")</f>
        <v>2</v>
      </c>
      <c r="G1436" s="34">
        <v>169</v>
      </c>
      <c r="H1436" s="34">
        <v>2888</v>
      </c>
      <c r="I1436" s="34" t="s">
        <v>1358</v>
      </c>
      <c r="J1436" s="48"/>
      <c r="K1436" s="48"/>
      <c r="L1436" s="48"/>
      <c r="M1436" s="48"/>
      <c r="N1436" s="59"/>
      <c r="O1436" s="59">
        <v>70000</v>
      </c>
      <c r="P1436" s="59"/>
      <c r="Q1436" s="268">
        <f t="shared" si="68"/>
        <v>70000</v>
      </c>
      <c r="R1436" s="61">
        <f>IF(O1436=0,0,SUMIFS(Disbursements!$T:$T,Disbursements!$B:$B,'Live Collections'!D1436,Disbursements!$D:$D,'Live Collections'!F1436))</f>
        <v>90000</v>
      </c>
      <c r="S1436" s="304">
        <f>IF(O1436&lt;=IF($O1436=0,0,SUMIFS(Disbursements!$W:$W,Disbursements!$B:$B,'Live Collections'!D1142,Disbursements!$D:$D,'Live Collections'!F1142)),O1436,IF($O1436=0,0,SUMIFS(Disbursements!$W:$W,Disbursements!$B:$B,'Live Collections'!D1142,Disbursements!$D:$D,'Live Collections'!F1142)))</f>
        <v>8000</v>
      </c>
      <c r="T1436" s="304">
        <f t="shared" si="69"/>
        <v>62000</v>
      </c>
      <c r="U1436" s="52"/>
      <c r="V1436" s="34"/>
      <c r="W1436" s="408"/>
    </row>
    <row r="1437" spans="1:23" ht="12.75" customHeight="1" x14ac:dyDescent="0.2">
      <c r="A1437" s="257">
        <v>1418</v>
      </c>
      <c r="B1437" s="44">
        <v>44492</v>
      </c>
      <c r="C1437" s="44">
        <f t="shared" si="67"/>
        <v>44492</v>
      </c>
      <c r="D1437" s="374">
        <v>118</v>
      </c>
      <c r="E1437" s="291" t="str">
        <f>IFERROR(VLOOKUP($D1437,'Clients-Live'!$A:$C,3,0),"")</f>
        <v>ONYANGO CHARLES JOGOO</v>
      </c>
      <c r="F1437" s="291">
        <f>IFERROR(INDEX(Disbursements!$D:$D,MATCH('Live Collections'!G1437,Disbursements!$C:$C,0)),"")</f>
        <v>1</v>
      </c>
      <c r="G1437" s="34">
        <v>109</v>
      </c>
      <c r="H1437" s="34">
        <v>2884</v>
      </c>
      <c r="I1437" s="34" t="s">
        <v>1358</v>
      </c>
      <c r="J1437" s="48"/>
      <c r="K1437" s="48"/>
      <c r="L1437" s="48"/>
      <c r="M1437" s="48"/>
      <c r="N1437" s="59"/>
      <c r="O1437" s="59">
        <v>200000</v>
      </c>
      <c r="P1437" s="59"/>
      <c r="Q1437" s="268">
        <f t="shared" si="68"/>
        <v>200000</v>
      </c>
      <c r="R1437" s="61">
        <f>IF(O1437=0,0,SUMIFS(Disbursements!$T:$T,Disbursements!$B:$B,'Live Collections'!D1437,Disbursements!$D:$D,'Live Collections'!F1437))</f>
        <v>217000</v>
      </c>
      <c r="S1437" s="304">
        <f>IF(O1437&lt;=IF($O1437=0,0,SUMIFS(Disbursements!$W:$W,Disbursements!$B:$B,'Live Collections'!D1530,Disbursements!$D:$D,'Live Collections'!F1530)),O1437,IF($O1437=0,0,SUMIFS(Disbursements!$W:$W,Disbursements!$B:$B,'Live Collections'!D1530,Disbursements!$D:$D,'Live Collections'!F1530)))</f>
        <v>113000</v>
      </c>
      <c r="T1437" s="304">
        <f t="shared" si="69"/>
        <v>87000</v>
      </c>
      <c r="U1437" s="52"/>
      <c r="V1437" s="34"/>
      <c r="W1437" s="408"/>
    </row>
    <row r="1438" spans="1:23" ht="12.75" customHeight="1" x14ac:dyDescent="0.2">
      <c r="A1438" s="257">
        <v>1417</v>
      </c>
      <c r="B1438" s="44">
        <v>44492</v>
      </c>
      <c r="C1438" s="44">
        <f t="shared" si="67"/>
        <v>44492</v>
      </c>
      <c r="D1438" s="374">
        <v>142</v>
      </c>
      <c r="E1438" s="291" t="str">
        <f>IFERROR(VLOOKUP($D1438,'Clients-Live'!$A:$C,3,0),"")</f>
        <v>TABU MARY</v>
      </c>
      <c r="F1438" s="291">
        <f>IFERROR(INDEX(Disbursements!$D:$D,MATCH('Live Collections'!G1438,Disbursements!$C:$C,0)),"")</f>
        <v>1</v>
      </c>
      <c r="G1438" s="34">
        <v>128</v>
      </c>
      <c r="H1438" s="34">
        <v>2890</v>
      </c>
      <c r="I1438" s="34" t="s">
        <v>1357</v>
      </c>
      <c r="J1438" s="48"/>
      <c r="K1438" s="48"/>
      <c r="L1438" s="48"/>
      <c r="M1438" s="48"/>
      <c r="N1438" s="59"/>
      <c r="O1438" s="59">
        <v>216700</v>
      </c>
      <c r="P1438" s="59"/>
      <c r="Q1438" s="268">
        <f t="shared" si="68"/>
        <v>216700</v>
      </c>
      <c r="R1438" s="61">
        <f>IF(O1438=0,0,SUMIFS(Disbursements!$T:$T,Disbursements!$B:$B,'Live Collections'!D1438,Disbursements!$D:$D,'Live Collections'!F1438))</f>
        <v>217000</v>
      </c>
      <c r="S1438" s="304">
        <f>IF(O1438&lt;=IF($O1438=0,0,SUMIFS(Disbursements!$W:$W,Disbursements!$B:$B,'Live Collections'!D1795,Disbursements!$D:$D,'Live Collections'!F1795)),O1438,IF($O1438=0,0,SUMIFS(Disbursements!$W:$W,Disbursements!$B:$B,'Live Collections'!D1795,Disbursements!$D:$D,'Live Collections'!F1795)))</f>
        <v>49333.333333333343</v>
      </c>
      <c r="T1438" s="304">
        <f t="shared" si="69"/>
        <v>167366.66666666666</v>
      </c>
      <c r="U1438" s="52"/>
      <c r="V1438" s="34"/>
      <c r="W1438" s="408"/>
    </row>
    <row r="1439" spans="1:23" ht="12.75" customHeight="1" x14ac:dyDescent="0.2">
      <c r="A1439" s="257">
        <v>1415</v>
      </c>
      <c r="B1439" s="44">
        <v>44492</v>
      </c>
      <c r="C1439" s="44">
        <f t="shared" si="67"/>
        <v>44492</v>
      </c>
      <c r="D1439" s="374">
        <v>184</v>
      </c>
      <c r="E1439" s="291" t="str">
        <f>IFERROR(VLOOKUP($D1439,'Clients-Live'!$A:$C,3,0),"")</f>
        <v>OCOKORU GLORIA</v>
      </c>
      <c r="F1439" s="291">
        <f>IFERROR(INDEX(Disbursements!$D:$D,MATCH('Live Collections'!G1439,Disbursements!$C:$C,0)),"")</f>
        <v>1</v>
      </c>
      <c r="G1439" s="34">
        <v>170</v>
      </c>
      <c r="H1439" s="34">
        <v>2883</v>
      </c>
      <c r="I1439" s="34" t="s">
        <v>1358</v>
      </c>
      <c r="J1439" s="48"/>
      <c r="K1439" s="48"/>
      <c r="L1439" s="48"/>
      <c r="M1439" s="48"/>
      <c r="N1439" s="59"/>
      <c r="O1439" s="59">
        <v>250000</v>
      </c>
      <c r="P1439" s="59"/>
      <c r="Q1439" s="268">
        <f t="shared" si="68"/>
        <v>250000</v>
      </c>
      <c r="R1439" s="61">
        <f>IF(O1439=0,0,SUMIFS(Disbursements!$T:$T,Disbursements!$B:$B,'Live Collections'!D1439,Disbursements!$D:$D,'Live Collections'!F1439))</f>
        <v>240000</v>
      </c>
      <c r="S1439" s="304">
        <f>IF(O1439&lt;=IF($O1439=0,0,SUMIFS(Disbursements!$W:$W,Disbursements!$B:$B,'Live Collections'!D2241,Disbursements!$D:$D,'Live Collections'!F2241)),O1439,IF($O1439=0,0,SUMIFS(Disbursements!$W:$W,Disbursements!$B:$B,'Live Collections'!D2241,Disbursements!$D:$D,'Live Collections'!F2241)))</f>
        <v>20000</v>
      </c>
      <c r="T1439" s="304">
        <f t="shared" si="69"/>
        <v>230000</v>
      </c>
      <c r="U1439" s="52"/>
      <c r="V1439" s="34"/>
      <c r="W1439" s="408"/>
    </row>
    <row r="1440" spans="1:23" ht="12.75" customHeight="1" x14ac:dyDescent="0.2">
      <c r="A1440" s="257">
        <v>1420</v>
      </c>
      <c r="B1440" s="44">
        <v>44492</v>
      </c>
      <c r="C1440" s="44">
        <f t="shared" si="67"/>
        <v>44492</v>
      </c>
      <c r="D1440" s="374">
        <v>246</v>
      </c>
      <c r="E1440" s="291" t="str">
        <f>IFERROR(VLOOKUP($D1440,'Clients-Live'!$A:$C,3,0),"")</f>
        <v>ALOMO ZAIDA</v>
      </c>
      <c r="F1440" s="291">
        <f>IFERROR(INDEX(Disbursements!$D:$D,MATCH('Live Collections'!G1440,Disbursements!$C:$C,0)),"")</f>
        <v>1</v>
      </c>
      <c r="G1440" s="34">
        <v>271</v>
      </c>
      <c r="H1440" s="34">
        <v>2894</v>
      </c>
      <c r="I1440" s="34" t="s">
        <v>1357</v>
      </c>
      <c r="J1440" s="48"/>
      <c r="K1440" s="48"/>
      <c r="L1440" s="48"/>
      <c r="M1440" s="48"/>
      <c r="N1440" s="59"/>
      <c r="O1440" s="59">
        <v>30000</v>
      </c>
      <c r="P1440" s="59"/>
      <c r="Q1440" s="268">
        <f t="shared" si="68"/>
        <v>30000</v>
      </c>
      <c r="R1440" s="61">
        <f>IF(O1440=0,0,SUMIFS(Disbursements!$T:$T,Disbursements!$B:$B,'Live Collections'!D1440,Disbursements!$D:$D,'Live Collections'!F1440))</f>
        <v>120000</v>
      </c>
      <c r="S1440" s="304">
        <f>IF(O1440&lt;=IF($O1440=0,0,SUMIFS(Disbursements!$W:$W,Disbursements!$B:$B,'Live Collections'!D2787,Disbursements!$D:$D,'Live Collections'!F2787)),O1440,IF($O1440=0,0,SUMIFS(Disbursements!$W:$W,Disbursements!$B:$B,'Live Collections'!D2787,Disbursements!$D:$D,'Live Collections'!F2787)))</f>
        <v>30000</v>
      </c>
      <c r="T1440" s="304">
        <f t="shared" si="69"/>
        <v>0</v>
      </c>
      <c r="U1440" s="52"/>
      <c r="V1440" s="34"/>
      <c r="W1440" s="408"/>
    </row>
    <row r="1441" spans="1:23" ht="12.75" customHeight="1" x14ac:dyDescent="0.2">
      <c r="A1441" s="257">
        <v>1423</v>
      </c>
      <c r="B1441" s="44">
        <v>44492</v>
      </c>
      <c r="C1441" s="44">
        <f t="shared" si="67"/>
        <v>44492</v>
      </c>
      <c r="D1441" s="374">
        <v>261</v>
      </c>
      <c r="E1441" s="291" t="str">
        <f>IFERROR(VLOOKUP($D1441,'Clients-Live'!$A:$C,3,0),"")</f>
        <v>AMANIYO STELLA</v>
      </c>
      <c r="F1441" s="291">
        <f>IFERROR(INDEX(Disbursements!$D:$D,MATCH('Live Collections'!G1441,Disbursements!$C:$C,0)),"")</f>
        <v>1</v>
      </c>
      <c r="G1441" s="34">
        <v>292</v>
      </c>
      <c r="H1441" s="34">
        <v>2896</v>
      </c>
      <c r="I1441" s="34" t="s">
        <v>1716</v>
      </c>
      <c r="J1441" s="48"/>
      <c r="K1441" s="48"/>
      <c r="L1441" s="48"/>
      <c r="M1441" s="48"/>
      <c r="N1441" s="59"/>
      <c r="O1441" s="59"/>
      <c r="P1441" s="59">
        <v>30000</v>
      </c>
      <c r="Q1441" s="268">
        <f t="shared" si="68"/>
        <v>30000</v>
      </c>
      <c r="R1441" s="61">
        <f>IF(O1441=0,0,SUMIFS(Disbursements!$T:$T,Disbursements!$B:$B,'Live Collections'!D1441,Disbursements!$D:$D,'Live Collections'!F1441))</f>
        <v>0</v>
      </c>
      <c r="S1441" s="304">
        <f>IF(O1441&lt;=IF($O1441=0,0,SUMIFS(Disbursements!$W:$W,Disbursements!$B:$B,'Live Collections'!D2884,Disbursements!$D:$D,'Live Collections'!F2884)),O1441,IF($O1441=0,0,SUMIFS(Disbursements!$W:$W,Disbursements!$B:$B,'Live Collections'!D2884,Disbursements!$D:$D,'Live Collections'!F2884)))</f>
        <v>0</v>
      </c>
      <c r="T1441" s="304">
        <f t="shared" si="69"/>
        <v>0</v>
      </c>
      <c r="U1441" s="52"/>
      <c r="V1441" s="34"/>
      <c r="W1441" s="408"/>
    </row>
    <row r="1442" spans="1:23" ht="12.75" customHeight="1" x14ac:dyDescent="0.2">
      <c r="A1442" s="257">
        <v>1449</v>
      </c>
      <c r="B1442" s="44">
        <v>44494</v>
      </c>
      <c r="C1442" s="44">
        <f t="shared" si="67"/>
        <v>44494</v>
      </c>
      <c r="D1442" s="374">
        <v>2</v>
      </c>
      <c r="E1442" s="291" t="str">
        <f>IFERROR(VLOOKUP($D1442,'Clients-Live'!$A:$C,3,0),"")</f>
        <v>LEYA ROSE</v>
      </c>
      <c r="F1442" s="291">
        <f>IFERROR(INDEX(Disbursements!$D:$D,MATCH('Live Collections'!G1442,Disbursements!$C:$C,0)),"")</f>
        <v>1</v>
      </c>
      <c r="G1442" s="34">
        <v>4</v>
      </c>
      <c r="H1442" s="34">
        <v>612</v>
      </c>
      <c r="I1442" s="34" t="s">
        <v>1358</v>
      </c>
      <c r="J1442" s="48"/>
      <c r="K1442" s="48"/>
      <c r="L1442" s="48"/>
      <c r="M1442" s="48"/>
      <c r="N1442" s="59"/>
      <c r="O1442" s="59">
        <v>216700</v>
      </c>
      <c r="P1442" s="59"/>
      <c r="Q1442" s="268">
        <f t="shared" si="68"/>
        <v>216700</v>
      </c>
      <c r="R1442" s="61">
        <f>IF(O1442=0,0,SUMIFS(Disbursements!$T:$T,Disbursements!$B:$B,'Live Collections'!D1442,Disbursements!$D:$D,'Live Collections'!F1442))</f>
        <v>217000</v>
      </c>
      <c r="S1442" s="304">
        <f>IF(O1442&lt;=IF($O1442=0,0,SUMIFS(Disbursements!$W:$W,Disbursements!$B:$B,'Live Collections'!D18,Disbursements!$D:$D,'Live Collections'!F18)),O1442,IF($O1442=0,0,SUMIFS(Disbursements!$W:$W,Disbursements!$B:$B,'Live Collections'!D18,Disbursements!$D:$D,'Live Collections'!F18)))</f>
        <v>15000</v>
      </c>
      <c r="T1442" s="304">
        <f t="shared" si="69"/>
        <v>201700</v>
      </c>
      <c r="U1442" s="52"/>
      <c r="V1442" s="34"/>
      <c r="W1442" s="408"/>
    </row>
    <row r="1443" spans="1:23" ht="12.75" customHeight="1" x14ac:dyDescent="0.2">
      <c r="A1443" s="257">
        <v>1433</v>
      </c>
      <c r="B1443" s="44">
        <v>44494</v>
      </c>
      <c r="C1443" s="44">
        <f t="shared" si="67"/>
        <v>44494</v>
      </c>
      <c r="D1443" s="374">
        <v>21</v>
      </c>
      <c r="E1443" s="291" t="str">
        <f>IFERROR(VLOOKUP($D1443,'Clients-Live'!$A:$C,3,0),"")</f>
        <v>ESABORU EUNICE</v>
      </c>
      <c r="F1443" s="291">
        <f>IFERROR(INDEX(Disbursements!$D:$D,MATCH('Live Collections'!G1443,Disbursements!$C:$C,0)),"")</f>
        <v>1</v>
      </c>
      <c r="G1443" s="34">
        <v>17</v>
      </c>
      <c r="H1443" s="34"/>
      <c r="I1443" s="34" t="s">
        <v>1358</v>
      </c>
      <c r="J1443" s="48"/>
      <c r="K1443" s="48"/>
      <c r="L1443" s="48"/>
      <c r="M1443" s="48"/>
      <c r="N1443" s="59"/>
      <c r="O1443" s="59"/>
      <c r="P1443" s="59">
        <v>-30000</v>
      </c>
      <c r="Q1443" s="268">
        <f t="shared" si="68"/>
        <v>-30000</v>
      </c>
      <c r="R1443" s="61">
        <f>IF(O1443=0,0,SUMIFS(Disbursements!$T:$T,Disbursements!$B:$B,'Live Collections'!D1443,Disbursements!$D:$D,'Live Collections'!F1443))</f>
        <v>0</v>
      </c>
      <c r="S1443" s="304">
        <f>IF(O1443&lt;=IF($O1443=0,0,SUMIFS(Disbursements!$W:$W,Disbursements!$B:$B,'Live Collections'!D829,Disbursements!$D:$D,'Live Collections'!F829)),O1443,IF($O1443=0,0,SUMIFS(Disbursements!$W:$W,Disbursements!$B:$B,'Live Collections'!D829,Disbursements!$D:$D,'Live Collections'!F829)))</f>
        <v>0</v>
      </c>
      <c r="T1443" s="304">
        <f t="shared" si="69"/>
        <v>0</v>
      </c>
      <c r="U1443" s="52"/>
      <c r="V1443" s="34"/>
      <c r="W1443" s="408"/>
    </row>
    <row r="1444" spans="1:23" ht="12.75" customHeight="1" x14ac:dyDescent="0.2">
      <c r="A1444" s="257">
        <v>1434</v>
      </c>
      <c r="B1444" s="44">
        <v>44494</v>
      </c>
      <c r="C1444" s="44">
        <f t="shared" si="67"/>
        <v>44494</v>
      </c>
      <c r="D1444" s="374">
        <v>21</v>
      </c>
      <c r="E1444" s="291" t="str">
        <f>IFERROR(VLOOKUP($D1444,'Clients-Live'!$A:$C,3,0),"")</f>
        <v>ESABORU EUNICE</v>
      </c>
      <c r="F1444" s="291">
        <f>IFERROR(INDEX(Disbursements!$D:$D,MATCH('Live Collections'!G1444,Disbursements!$C:$C,0)),"")</f>
        <v>1</v>
      </c>
      <c r="G1444" s="34">
        <v>17</v>
      </c>
      <c r="H1444" s="34"/>
      <c r="I1444" s="34" t="s">
        <v>1358</v>
      </c>
      <c r="J1444" s="48"/>
      <c r="K1444" s="48"/>
      <c r="L1444" s="48"/>
      <c r="M1444" s="48"/>
      <c r="N1444" s="59"/>
      <c r="O1444" s="59">
        <v>30000</v>
      </c>
      <c r="P1444" s="59"/>
      <c r="Q1444" s="268">
        <f t="shared" si="68"/>
        <v>30000</v>
      </c>
      <c r="R1444" s="61">
        <f>IF(O1444=0,0,SUMIFS(Disbursements!$T:$T,Disbursements!$B:$B,'Live Collections'!D1444,Disbursements!$D:$D,'Live Collections'!F1444))</f>
        <v>90000</v>
      </c>
      <c r="S1444" s="304"/>
      <c r="T1444" s="304">
        <f t="shared" si="69"/>
        <v>30000</v>
      </c>
      <c r="U1444" s="52"/>
      <c r="V1444" s="34"/>
      <c r="W1444" s="408"/>
    </row>
    <row r="1445" spans="1:23" ht="12.75" customHeight="1" x14ac:dyDescent="0.2">
      <c r="A1445" s="257">
        <v>1430</v>
      </c>
      <c r="B1445" s="44">
        <v>44494</v>
      </c>
      <c r="C1445" s="44">
        <f t="shared" si="67"/>
        <v>44494</v>
      </c>
      <c r="D1445" s="374">
        <v>50</v>
      </c>
      <c r="E1445" s="291" t="str">
        <f>IFERROR(VLOOKUP($D1445,'Clients-Live'!$A:$C,3,0),"")</f>
        <v>WACHEKE HARRIET</v>
      </c>
      <c r="F1445" s="291">
        <v>1</v>
      </c>
      <c r="G1445" s="34">
        <v>30</v>
      </c>
      <c r="H1445" s="34"/>
      <c r="I1445" s="34" t="s">
        <v>1359</v>
      </c>
      <c r="J1445" s="48"/>
      <c r="K1445" s="48"/>
      <c r="L1445" s="48"/>
      <c r="M1445" s="48"/>
      <c r="N1445" s="59"/>
      <c r="O1445" s="59"/>
      <c r="P1445" s="59">
        <v>-100000</v>
      </c>
      <c r="Q1445" s="268">
        <f t="shared" si="68"/>
        <v>-100000</v>
      </c>
      <c r="R1445" s="61">
        <f>IF(O1445=0,0,SUMIFS(Disbursements!$T:$T,Disbursements!$B:$B,'Live Collections'!D1445,Disbursements!$D:$D,'Live Collections'!F1445))</f>
        <v>0</v>
      </c>
      <c r="S1445" s="304">
        <f>IF(O1445&lt;=IF($O1445=0,0,SUMIFS(Disbursements!$W:$W,Disbursements!$B:$B,'Live Collections'!D575,Disbursements!$D:$D,'Live Collections'!F575)),O1445,IF($O1445=0,0,SUMIFS(Disbursements!$W:$W,Disbursements!$B:$B,'Live Collections'!D575,Disbursements!$D:$D,'Live Collections'!F575)))</f>
        <v>0</v>
      </c>
      <c r="T1445" s="304">
        <f t="shared" si="69"/>
        <v>0</v>
      </c>
      <c r="U1445" s="52"/>
      <c r="V1445" s="34"/>
      <c r="W1445" s="408" t="s">
        <v>2088</v>
      </c>
    </row>
    <row r="1446" spans="1:23" ht="12.75" customHeight="1" x14ac:dyDescent="0.2">
      <c r="A1446" s="257">
        <v>1429</v>
      </c>
      <c r="B1446" s="44">
        <v>44494</v>
      </c>
      <c r="C1446" s="44">
        <f t="shared" si="67"/>
        <v>44494</v>
      </c>
      <c r="D1446" s="374">
        <v>52</v>
      </c>
      <c r="E1446" s="291" t="str">
        <f>IFERROR(VLOOKUP($D1446,'Clients-Live'!$A:$C,3,0),"")</f>
        <v>EDEZU PEACE IRENE</v>
      </c>
      <c r="F1446" s="291" t="str">
        <f>IFERROR(INDEX(Disbursements!$D:$D,MATCH('Live Collections'!G1446,Disbursements!$C:$C,0)),"")</f>
        <v/>
      </c>
      <c r="G1446" s="34"/>
      <c r="H1446" s="34"/>
      <c r="I1446" s="34" t="s">
        <v>1357</v>
      </c>
      <c r="J1446" s="48"/>
      <c r="K1446" s="48"/>
      <c r="L1446" s="48"/>
      <c r="M1446" s="48"/>
      <c r="N1446" s="59"/>
      <c r="O1446" s="59"/>
      <c r="P1446" s="59"/>
      <c r="Q1446" s="268">
        <f t="shared" si="68"/>
        <v>0</v>
      </c>
      <c r="R1446" s="61">
        <f>IF(O1446=0,0,SUMIFS(Disbursements!$T:$T,Disbursements!$B:$B,'Live Collections'!D1446,Disbursements!$D:$D,'Live Collections'!F1446))</f>
        <v>0</v>
      </c>
      <c r="S1446" s="304">
        <f>IF(O1446&lt;=IF($O1446=0,0,SUMIFS(Disbursements!$W:$W,Disbursements!$B:$B,'Live Collections'!D610,Disbursements!$D:$D,'Live Collections'!F610)),O1446,IF($O1446=0,0,SUMIFS(Disbursements!$W:$W,Disbursements!$B:$B,'Live Collections'!D610,Disbursements!$D:$D,'Live Collections'!F610)))</f>
        <v>0</v>
      </c>
      <c r="T1446" s="304">
        <f t="shared" si="69"/>
        <v>0</v>
      </c>
      <c r="U1446" s="52"/>
      <c r="V1446" s="34"/>
      <c r="W1446" s="408"/>
    </row>
    <row r="1447" spans="1:23" ht="12.75" customHeight="1" x14ac:dyDescent="0.2">
      <c r="A1447" s="257">
        <v>1435</v>
      </c>
      <c r="B1447" s="44">
        <v>44494</v>
      </c>
      <c r="C1447" s="44">
        <f t="shared" si="67"/>
        <v>44494</v>
      </c>
      <c r="D1447" s="374">
        <v>55</v>
      </c>
      <c r="E1447" s="291" t="str">
        <f>IFERROR(VLOOKUP($D1447,'Clients-Live'!$A:$C,3,0),"")</f>
        <v>SOKOLA SHARON</v>
      </c>
      <c r="F1447" s="291">
        <f>IFERROR(INDEX(Disbursements!$D:$D,MATCH('Live Collections'!G1447,Disbursements!$C:$C,0)),"")</f>
        <v>1</v>
      </c>
      <c r="G1447" s="34">
        <v>48</v>
      </c>
      <c r="H1447" s="34"/>
      <c r="I1447" s="34" t="s">
        <v>1359</v>
      </c>
      <c r="J1447" s="48"/>
      <c r="K1447" s="48"/>
      <c r="L1447" s="48"/>
      <c r="M1447" s="48"/>
      <c r="N1447" s="59"/>
      <c r="O1447" s="59"/>
      <c r="P1447" s="59">
        <v>-30000</v>
      </c>
      <c r="Q1447" s="268">
        <f t="shared" si="68"/>
        <v>-30000</v>
      </c>
      <c r="R1447" s="61">
        <f>IF(O1447=0,0,SUMIFS(Disbursements!$T:$T,Disbursements!$B:$B,'Live Collections'!D1447,Disbursements!$D:$D,'Live Collections'!F1447))</f>
        <v>0</v>
      </c>
      <c r="S1447" s="304">
        <f>IF(O1447&lt;=IF($O1447=0,0,SUMIFS(Disbursements!$W:$W,Disbursements!$B:$B,'Live Collections'!D656,Disbursements!$D:$D,'Live Collections'!F656)),O1447,IF($O1447=0,0,SUMIFS(Disbursements!$W:$W,Disbursements!$B:$B,'Live Collections'!D656,Disbursements!$D:$D,'Live Collections'!F656)))</f>
        <v>0</v>
      </c>
      <c r="T1447" s="304">
        <f t="shared" si="69"/>
        <v>0</v>
      </c>
      <c r="U1447" s="52"/>
      <c r="V1447" s="34"/>
      <c r="W1447" s="408" t="s">
        <v>2097</v>
      </c>
    </row>
    <row r="1448" spans="1:23" ht="12.75" customHeight="1" x14ac:dyDescent="0.2">
      <c r="A1448" s="257">
        <v>1440</v>
      </c>
      <c r="B1448" s="44">
        <v>44494</v>
      </c>
      <c r="C1448" s="44">
        <f t="shared" si="67"/>
        <v>44494</v>
      </c>
      <c r="D1448" s="374">
        <v>59</v>
      </c>
      <c r="E1448" s="291" t="str">
        <f>IFERROR(VLOOKUP($D1448,'Clients-Live'!$A:$C,3,0),"")</f>
        <v>ONZIA AGNES</v>
      </c>
      <c r="F1448" s="291">
        <f>IFERROR(INDEX(Disbursements!$D:$D,MATCH('Live Collections'!G1448,Disbursements!$C:$C,0)),"")</f>
        <v>1</v>
      </c>
      <c r="G1448" s="34">
        <v>39</v>
      </c>
      <c r="H1448" s="34">
        <v>1102</v>
      </c>
      <c r="I1448" s="34" t="s">
        <v>1358</v>
      </c>
      <c r="J1448" s="48"/>
      <c r="K1448" s="48"/>
      <c r="L1448" s="48"/>
      <c r="M1448" s="48"/>
      <c r="N1448" s="59"/>
      <c r="O1448" s="59">
        <v>50000</v>
      </c>
      <c r="P1448" s="59">
        <v>-50000</v>
      </c>
      <c r="Q1448" s="268">
        <f t="shared" si="68"/>
        <v>0</v>
      </c>
      <c r="R1448" s="61">
        <f>IF(O1448=0,0,SUMIFS(Disbursements!$T:$T,Disbursements!$B:$B,'Live Collections'!D1448,Disbursements!$D:$D,'Live Collections'!F1448))</f>
        <v>150000</v>
      </c>
      <c r="S1448" s="304"/>
      <c r="T1448" s="304">
        <f t="shared" si="69"/>
        <v>50000</v>
      </c>
      <c r="U1448" s="52"/>
      <c r="V1448" s="34"/>
      <c r="W1448" s="408" t="s">
        <v>2145</v>
      </c>
    </row>
    <row r="1449" spans="1:23" ht="12.75" customHeight="1" x14ac:dyDescent="0.2">
      <c r="A1449" s="257">
        <v>1436</v>
      </c>
      <c r="B1449" s="44">
        <v>44494</v>
      </c>
      <c r="C1449" s="44">
        <f t="shared" si="67"/>
        <v>44494</v>
      </c>
      <c r="D1449" s="374">
        <v>74</v>
      </c>
      <c r="E1449" s="291" t="str">
        <f>IFERROR(VLOOKUP($D1449,'Clients-Live'!$A:$C,3,0),"")</f>
        <v>YUKUWE AISHA</v>
      </c>
      <c r="F1449" s="291">
        <f>IFERROR(INDEX(Disbursements!$D:$D,MATCH('Live Collections'!G1449,Disbursements!$C:$C,0)),"")</f>
        <v>1</v>
      </c>
      <c r="G1449" s="34">
        <v>59</v>
      </c>
      <c r="H1449" s="34"/>
      <c r="I1449" s="34" t="s">
        <v>1358</v>
      </c>
      <c r="J1449" s="48"/>
      <c r="K1449" s="48"/>
      <c r="L1449" s="48"/>
      <c r="M1449" s="48"/>
      <c r="N1449" s="59"/>
      <c r="O1449" s="59"/>
      <c r="P1449" s="59">
        <v>-30000</v>
      </c>
      <c r="Q1449" s="268">
        <f t="shared" si="68"/>
        <v>-30000</v>
      </c>
      <c r="R1449" s="61">
        <f>IF(O1449=0,0,SUMIFS(Disbursements!$T:$T,Disbursements!$B:$B,'Live Collections'!D1449,Disbursements!$D:$D,'Live Collections'!F1449))</f>
        <v>0</v>
      </c>
      <c r="S1449" s="304">
        <f>IF(O1449&lt;=IF($O1449=0,0,SUMIFS(Disbursements!$W:$W,Disbursements!$B:$B,'Live Collections'!D943,Disbursements!$D:$D,'Live Collections'!F943)),O1449,IF($O1449=0,0,SUMIFS(Disbursements!$W:$W,Disbursements!$B:$B,'Live Collections'!D943,Disbursements!$D:$D,'Live Collections'!F943)))</f>
        <v>0</v>
      </c>
      <c r="T1449" s="304">
        <f t="shared" si="69"/>
        <v>0</v>
      </c>
      <c r="U1449" s="52"/>
      <c r="V1449" s="34"/>
      <c r="W1449" s="408"/>
    </row>
    <row r="1450" spans="1:23" ht="12.75" customHeight="1" x14ac:dyDescent="0.2">
      <c r="A1450" s="257">
        <v>1437</v>
      </c>
      <c r="B1450" s="44">
        <v>44494</v>
      </c>
      <c r="C1450" s="44">
        <f t="shared" si="67"/>
        <v>44494</v>
      </c>
      <c r="D1450" s="374">
        <v>74</v>
      </c>
      <c r="E1450" s="291" t="str">
        <f>IFERROR(VLOOKUP($D1450,'Clients-Live'!$A:$C,3,0),"")</f>
        <v>YUKUWE AISHA</v>
      </c>
      <c r="F1450" s="291">
        <f>IFERROR(INDEX(Disbursements!$D:$D,MATCH('Live Collections'!G1450,Disbursements!$C:$C,0)),"")</f>
        <v>2</v>
      </c>
      <c r="G1450" s="34">
        <v>287</v>
      </c>
      <c r="H1450" s="34"/>
      <c r="I1450" s="34" t="s">
        <v>1358</v>
      </c>
      <c r="J1450" s="48"/>
      <c r="K1450" s="48"/>
      <c r="L1450" s="48"/>
      <c r="M1450" s="48"/>
      <c r="N1450" s="59"/>
      <c r="O1450" s="59">
        <v>30000</v>
      </c>
      <c r="P1450" s="59"/>
      <c r="Q1450" s="268">
        <f t="shared" si="68"/>
        <v>30000</v>
      </c>
      <c r="R1450" s="61">
        <f>IF(O1450=0,0,SUMIFS(Disbursements!$T:$T,Disbursements!$B:$B,'Live Collections'!D1450,Disbursements!$D:$D,'Live Collections'!F1450))</f>
        <v>90000</v>
      </c>
      <c r="S1450" s="304"/>
      <c r="T1450" s="304">
        <f t="shared" si="69"/>
        <v>30000</v>
      </c>
      <c r="U1450" s="52"/>
      <c r="V1450" s="34"/>
      <c r="W1450" s="408"/>
    </row>
    <row r="1451" spans="1:23" ht="12.75" customHeight="1" x14ac:dyDescent="0.2">
      <c r="A1451" s="257">
        <v>1424</v>
      </c>
      <c r="B1451" s="44">
        <v>44494</v>
      </c>
      <c r="C1451" s="44">
        <f t="shared" si="67"/>
        <v>44494</v>
      </c>
      <c r="D1451" s="374">
        <v>77</v>
      </c>
      <c r="E1451" s="291" t="str">
        <f>IFERROR(VLOOKUP($D1451,'Clients-Live'!$A:$C,3,0),"")</f>
        <v>CACA FATUMA</v>
      </c>
      <c r="F1451" s="291">
        <f>IFERROR(INDEX(Disbursements!$D:$D,MATCH('Live Collections'!G1451,Disbursements!$C:$C,0)),"")</f>
        <v>1</v>
      </c>
      <c r="G1451" s="34">
        <v>61</v>
      </c>
      <c r="H1451" s="34">
        <v>2898</v>
      </c>
      <c r="I1451" s="34" t="s">
        <v>1357</v>
      </c>
      <c r="J1451" s="48"/>
      <c r="K1451" s="48"/>
      <c r="L1451" s="48"/>
      <c r="M1451" s="48"/>
      <c r="N1451" s="59"/>
      <c r="O1451" s="59">
        <v>100000</v>
      </c>
      <c r="P1451" s="59"/>
      <c r="Q1451" s="268">
        <f t="shared" si="68"/>
        <v>100000</v>
      </c>
      <c r="R1451" s="61">
        <f>IF(O1451=0,0,SUMIFS(Disbursements!$T:$T,Disbursements!$B:$B,'Live Collections'!D1451,Disbursements!$D:$D,'Live Collections'!F1451))</f>
        <v>217000</v>
      </c>
      <c r="S1451" s="304">
        <f>IF(O1451&lt;=IF($O1451=0,0,SUMIFS(Disbursements!$W:$W,Disbursements!$B:$B,'Live Collections'!D986,Disbursements!$D:$D,'Live Collections'!F986)),O1451,IF($O1451=0,0,SUMIFS(Disbursements!$W:$W,Disbursements!$B:$B,'Live Collections'!D986,Disbursements!$D:$D,'Live Collections'!F986)))</f>
        <v>20000</v>
      </c>
      <c r="T1451" s="304">
        <f t="shared" si="69"/>
        <v>80000</v>
      </c>
      <c r="U1451" s="52"/>
      <c r="V1451" s="34"/>
      <c r="W1451" s="408"/>
    </row>
    <row r="1452" spans="1:23" ht="12.75" customHeight="1" x14ac:dyDescent="0.2">
      <c r="A1452" s="257">
        <v>1425</v>
      </c>
      <c r="B1452" s="44">
        <v>44494</v>
      </c>
      <c r="C1452" s="44">
        <f t="shared" si="67"/>
        <v>44494</v>
      </c>
      <c r="D1452" s="374">
        <v>77</v>
      </c>
      <c r="E1452" s="291" t="str">
        <f>IFERROR(VLOOKUP($D1452,'Clients-Live'!$A:$C,3,0),"")</f>
        <v>CACA FATUMA</v>
      </c>
      <c r="F1452" s="291">
        <f>IFERROR(INDEX(Disbursements!$D:$D,MATCH('Live Collections'!G1452,Disbursements!$C:$C,0)),"")</f>
        <v>1</v>
      </c>
      <c r="G1452" s="34">
        <v>61</v>
      </c>
      <c r="H1452" s="34">
        <v>2897</v>
      </c>
      <c r="I1452" s="34" t="s">
        <v>1357</v>
      </c>
      <c r="J1452" s="48"/>
      <c r="K1452" s="48"/>
      <c r="L1452" s="48"/>
      <c r="M1452" s="48"/>
      <c r="N1452" s="59"/>
      <c r="O1452" s="59">
        <v>543000</v>
      </c>
      <c r="P1452" s="59"/>
      <c r="Q1452" s="268">
        <f t="shared" si="68"/>
        <v>543000</v>
      </c>
      <c r="R1452" s="61">
        <f>IF(O1452=0,0,SUMIFS(Disbursements!$T:$T,Disbursements!$B:$B,'Live Collections'!D1452,Disbursements!$D:$D,'Live Collections'!F1452))</f>
        <v>217000</v>
      </c>
      <c r="S1452" s="64">
        <v>184000.00000000006</v>
      </c>
      <c r="T1452" s="304">
        <f t="shared" si="69"/>
        <v>358999.99999999994</v>
      </c>
      <c r="U1452" s="52"/>
      <c r="V1452" s="34"/>
      <c r="W1452" s="408"/>
    </row>
    <row r="1453" spans="1:23" ht="12.75" customHeight="1" x14ac:dyDescent="0.2">
      <c r="A1453" s="257">
        <v>1447</v>
      </c>
      <c r="B1453" s="44">
        <v>44494</v>
      </c>
      <c r="C1453" s="44">
        <f t="shared" si="67"/>
        <v>44494</v>
      </c>
      <c r="D1453" s="374">
        <v>82</v>
      </c>
      <c r="E1453" s="291" t="str">
        <f>IFERROR(VLOOKUP($D1453,'Clients-Live'!$A:$C,3,0),"")</f>
        <v>ADUNA MANENO</v>
      </c>
      <c r="F1453" s="291">
        <f>IFERROR(INDEX(Disbursements!$D:$D,MATCH('Live Collections'!G1453,Disbursements!$C:$C,0)),"")</f>
        <v>1</v>
      </c>
      <c r="G1453" s="34">
        <v>71</v>
      </c>
      <c r="H1453" s="34"/>
      <c r="I1453" s="34" t="s">
        <v>1357</v>
      </c>
      <c r="J1453" s="48"/>
      <c r="K1453" s="48"/>
      <c r="L1453" s="48"/>
      <c r="M1453" s="48"/>
      <c r="N1453" s="59"/>
      <c r="O1453" s="59"/>
      <c r="P1453" s="59">
        <v>-30000</v>
      </c>
      <c r="Q1453" s="268">
        <f t="shared" si="68"/>
        <v>-30000</v>
      </c>
      <c r="R1453" s="61">
        <f>IF(O1453=0,0,SUMIFS(Disbursements!$T:$T,Disbursements!$B:$B,'Live Collections'!D1453,Disbursements!$D:$D,'Live Collections'!F1453))</f>
        <v>0</v>
      </c>
      <c r="S1453" s="304">
        <f>IF(O1453&lt;=IF($O1453=0,0,SUMIFS(Disbursements!$W:$W,Disbursements!$B:$B,'Live Collections'!D1060,Disbursements!$D:$D,'Live Collections'!F1060)),O1453,IF($O1453=0,0,SUMIFS(Disbursements!$W:$W,Disbursements!$B:$B,'Live Collections'!D1060,Disbursements!$D:$D,'Live Collections'!F1060)))</f>
        <v>0</v>
      </c>
      <c r="T1453" s="304">
        <f t="shared" si="69"/>
        <v>0</v>
      </c>
      <c r="U1453" s="52"/>
      <c r="V1453" s="34"/>
      <c r="W1453" s="408"/>
    </row>
    <row r="1454" spans="1:23" ht="12.75" customHeight="1" x14ac:dyDescent="0.2">
      <c r="A1454" s="257">
        <v>1448</v>
      </c>
      <c r="B1454" s="44">
        <v>44494</v>
      </c>
      <c r="C1454" s="44">
        <f t="shared" si="67"/>
        <v>44494</v>
      </c>
      <c r="D1454" s="374">
        <v>82</v>
      </c>
      <c r="E1454" s="291" t="str">
        <f>IFERROR(VLOOKUP($D1454,'Clients-Live'!$A:$C,3,0),"")</f>
        <v>ADUNA MANENO</v>
      </c>
      <c r="F1454" s="291">
        <f>IFERROR(INDEX(Disbursements!$D:$D,MATCH('Live Collections'!G1454,Disbursements!$C:$C,0)),"")</f>
        <v>1</v>
      </c>
      <c r="G1454" s="34">
        <v>71</v>
      </c>
      <c r="H1454" s="34"/>
      <c r="I1454" s="34" t="s">
        <v>1357</v>
      </c>
      <c r="J1454" s="48"/>
      <c r="K1454" s="48"/>
      <c r="L1454" s="48"/>
      <c r="M1454" s="48"/>
      <c r="N1454" s="59"/>
      <c r="O1454" s="59">
        <v>30000</v>
      </c>
      <c r="P1454" s="59"/>
      <c r="Q1454" s="268">
        <f t="shared" si="68"/>
        <v>30000</v>
      </c>
      <c r="R1454" s="61">
        <f>IF(O1454=0,0,SUMIFS(Disbursements!$T:$T,Disbursements!$B:$B,'Live Collections'!D1454,Disbursements!$D:$D,'Live Collections'!F1454))</f>
        <v>90000</v>
      </c>
      <c r="S1454" s="304"/>
      <c r="T1454" s="304">
        <f t="shared" si="69"/>
        <v>30000</v>
      </c>
      <c r="U1454" s="52"/>
      <c r="V1454" s="34"/>
      <c r="W1454" s="408" t="s">
        <v>2098</v>
      </c>
    </row>
    <row r="1455" spans="1:23" ht="12.75" customHeight="1" x14ac:dyDescent="0.2">
      <c r="A1455" s="257">
        <v>1443</v>
      </c>
      <c r="B1455" s="44">
        <v>44494</v>
      </c>
      <c r="C1455" s="44">
        <f t="shared" si="67"/>
        <v>44494</v>
      </c>
      <c r="D1455" s="374">
        <v>99</v>
      </c>
      <c r="E1455" s="291" t="str">
        <f>IFERROR(VLOOKUP($D1455,'Clients-Live'!$A:$C,3,0),"")</f>
        <v>SIJALI ASINA SIS</v>
      </c>
      <c r="F1455" s="291">
        <f>IFERROR(INDEX(Disbursements!$D:$D,MATCH('Live Collections'!G1455,Disbursements!$C:$C,0)),"")</f>
        <v>1</v>
      </c>
      <c r="G1455" s="34">
        <v>83</v>
      </c>
      <c r="H1455" s="34"/>
      <c r="I1455" s="34" t="s">
        <v>1358</v>
      </c>
      <c r="J1455" s="48"/>
      <c r="K1455" s="48"/>
      <c r="L1455" s="48"/>
      <c r="M1455" s="48"/>
      <c r="N1455" s="59"/>
      <c r="O1455" s="59"/>
      <c r="P1455" s="59">
        <v>-60000</v>
      </c>
      <c r="Q1455" s="268">
        <f t="shared" si="68"/>
        <v>-60000</v>
      </c>
      <c r="R1455" s="61">
        <f>IF(O1455=0,0,SUMIFS(Disbursements!$T:$T,Disbursements!$B:$B,'Live Collections'!D1455,Disbursements!$D:$D,'Live Collections'!F1455))</f>
        <v>0</v>
      </c>
      <c r="S1455" s="304">
        <f>IF(O1455&lt;=IF($O1455=0,0,SUMIFS(Disbursements!$W:$W,Disbursements!$B:$B,'Live Collections'!D1282,Disbursements!$D:$D,'Live Collections'!F1282)),O1455,IF($O1455=0,0,SUMIFS(Disbursements!$W:$W,Disbursements!$B:$B,'Live Collections'!D1282,Disbursements!$D:$D,'Live Collections'!F1282)))</f>
        <v>0</v>
      </c>
      <c r="T1455" s="304">
        <f t="shared" si="69"/>
        <v>0</v>
      </c>
      <c r="U1455" s="52"/>
      <c r="V1455" s="34"/>
      <c r="W1455" s="408" t="s">
        <v>2098</v>
      </c>
    </row>
    <row r="1456" spans="1:23" ht="12.75" customHeight="1" x14ac:dyDescent="0.2">
      <c r="A1456" s="257">
        <v>1444</v>
      </c>
      <c r="B1456" s="44">
        <v>44494</v>
      </c>
      <c r="C1456" s="44">
        <f t="shared" si="67"/>
        <v>44494</v>
      </c>
      <c r="D1456" s="374">
        <v>99</v>
      </c>
      <c r="E1456" s="291" t="str">
        <f>IFERROR(VLOOKUP($D1456,'Clients-Live'!$A:$C,3,0),"")</f>
        <v>SIJALI ASINA SIS</v>
      </c>
      <c r="F1456" s="291">
        <f>IFERROR(INDEX(Disbursements!$D:$D,MATCH('Live Collections'!G1456,Disbursements!$C:$C,0)),"")</f>
        <v>1</v>
      </c>
      <c r="G1456" s="34">
        <v>83</v>
      </c>
      <c r="H1456" s="34"/>
      <c r="I1456" s="34" t="s">
        <v>1358</v>
      </c>
      <c r="J1456" s="48"/>
      <c r="K1456" s="48"/>
      <c r="L1456" s="48"/>
      <c r="M1456" s="48"/>
      <c r="N1456" s="59"/>
      <c r="O1456" s="59">
        <v>60000</v>
      </c>
      <c r="P1456" s="59"/>
      <c r="Q1456" s="268">
        <f t="shared" si="68"/>
        <v>60000</v>
      </c>
      <c r="R1456" s="61">
        <f>IF(O1456=0,0,SUMIFS(Disbursements!$T:$T,Disbursements!$B:$B,'Live Collections'!D1456,Disbursements!$D:$D,'Live Collections'!F1456))</f>
        <v>150000</v>
      </c>
      <c r="S1456" s="304"/>
      <c r="T1456" s="304">
        <f t="shared" si="69"/>
        <v>60000</v>
      </c>
      <c r="U1456" s="52"/>
      <c r="V1456" s="34"/>
      <c r="W1456" s="408" t="s">
        <v>2093</v>
      </c>
    </row>
    <row r="1457" spans="1:23" ht="12.75" customHeight="1" x14ac:dyDescent="0.2">
      <c r="A1457" s="257">
        <v>1431</v>
      </c>
      <c r="B1457" s="44">
        <v>44494</v>
      </c>
      <c r="C1457" s="44">
        <f t="shared" si="67"/>
        <v>44494</v>
      </c>
      <c r="D1457" s="374">
        <v>113</v>
      </c>
      <c r="E1457" s="291" t="str">
        <f>IFERROR(VLOOKUP($D1457,'Clients-Live'!$A:$C,3,0),"")</f>
        <v>ATIKU AMULE ISAAC</v>
      </c>
      <c r="F1457" s="291">
        <f>IFERROR(INDEX(Disbursements!$D:$D,MATCH('Live Collections'!G1457,Disbursements!$C:$C,0)),"")</f>
        <v>1</v>
      </c>
      <c r="G1457" s="34">
        <v>92</v>
      </c>
      <c r="H1457" s="34"/>
      <c r="I1457" s="34" t="s">
        <v>1357</v>
      </c>
      <c r="J1457" s="48"/>
      <c r="K1457" s="48"/>
      <c r="L1457" s="48"/>
      <c r="M1457" s="48"/>
      <c r="N1457" s="59"/>
      <c r="O1457" s="59">
        <v>50000</v>
      </c>
      <c r="P1457" s="59">
        <v>-50000</v>
      </c>
      <c r="Q1457" s="268">
        <f t="shared" si="68"/>
        <v>0</v>
      </c>
      <c r="R1457" s="61">
        <f>IF(O1457=0,0,SUMIFS(Disbursements!$T:$T,Disbursements!$B:$B,'Live Collections'!D1457,Disbursements!$D:$D,'Live Collections'!F1457))</f>
        <v>150000</v>
      </c>
      <c r="S1457" s="304"/>
      <c r="T1457" s="304">
        <f t="shared" si="69"/>
        <v>50000</v>
      </c>
      <c r="U1457" s="52"/>
      <c r="V1457" s="34"/>
      <c r="W1457" s="408" t="s">
        <v>2108</v>
      </c>
    </row>
    <row r="1458" spans="1:23" ht="12.75" customHeight="1" x14ac:dyDescent="0.2">
      <c r="A1458" s="257">
        <v>1426</v>
      </c>
      <c r="B1458" s="44">
        <v>44494</v>
      </c>
      <c r="C1458" s="44">
        <f t="shared" si="67"/>
        <v>44494</v>
      </c>
      <c r="D1458" s="374">
        <v>114</v>
      </c>
      <c r="E1458" s="291" t="str">
        <f>IFERROR(VLOOKUP($D1458,'Clients-Live'!$A:$C,3,0),"")</f>
        <v>ONZIA EMMILY</v>
      </c>
      <c r="F1458" s="291" t="str">
        <f>IFERROR(INDEX(Disbursements!$D:$D,MATCH('Live Collections'!G1458,Disbursements!$C:$C,0)),"")</f>
        <v/>
      </c>
      <c r="G1458" s="34"/>
      <c r="H1458" s="34"/>
      <c r="I1458" s="34" t="s">
        <v>1358</v>
      </c>
      <c r="J1458" s="48"/>
      <c r="K1458" s="48"/>
      <c r="L1458" s="48"/>
      <c r="M1458" s="48"/>
      <c r="N1458" s="59"/>
      <c r="O1458" s="59"/>
      <c r="P1458" s="59"/>
      <c r="Q1458" s="268">
        <f t="shared" si="68"/>
        <v>0</v>
      </c>
      <c r="R1458" s="61">
        <f>IF(O1458=0,0,SUMIFS(Disbursements!$T:$T,Disbursements!$B:$B,'Live Collections'!D1458,Disbursements!$D:$D,'Live Collections'!F1458))</f>
        <v>0</v>
      </c>
      <c r="S1458" s="304">
        <f>IF(O1458&lt;=IF($O1458=0,0,SUMIFS(Disbursements!$W:$W,Disbursements!$B:$B,'Live Collections'!D1464,Disbursements!$D:$D,'Live Collections'!F1464)),O1458,IF($O1458=0,0,SUMIFS(Disbursements!$W:$W,Disbursements!$B:$B,'Live Collections'!D1464,Disbursements!$D:$D,'Live Collections'!F1464)))</f>
        <v>0</v>
      </c>
      <c r="T1458" s="304">
        <f t="shared" si="69"/>
        <v>0</v>
      </c>
      <c r="U1458" s="52"/>
      <c r="V1458" s="34"/>
      <c r="W1458" s="408"/>
    </row>
    <row r="1459" spans="1:23" ht="12.75" customHeight="1" x14ac:dyDescent="0.2">
      <c r="A1459" s="257">
        <v>1439</v>
      </c>
      <c r="B1459" s="44">
        <v>44494</v>
      </c>
      <c r="C1459" s="44">
        <f t="shared" si="67"/>
        <v>44494</v>
      </c>
      <c r="D1459" s="374">
        <v>128</v>
      </c>
      <c r="E1459" s="291" t="str">
        <f>IFERROR(VLOOKUP($D1459,'Clients-Live'!$A:$C,3,0),"")</f>
        <v>AJONYE BETTY</v>
      </c>
      <c r="F1459" s="291">
        <f>IFERROR(INDEX(Disbursements!$D:$D,MATCH('Live Collections'!G1459,Disbursements!$C:$C,0)),"")</f>
        <v>1</v>
      </c>
      <c r="G1459" s="34">
        <v>112</v>
      </c>
      <c r="H1459" s="34"/>
      <c r="I1459" s="34" t="s">
        <v>1359</v>
      </c>
      <c r="J1459" s="48"/>
      <c r="K1459" s="48"/>
      <c r="L1459" s="48"/>
      <c r="M1459" s="48"/>
      <c r="N1459" s="59"/>
      <c r="O1459" s="59"/>
      <c r="P1459" s="59">
        <v>-30000</v>
      </c>
      <c r="Q1459" s="268">
        <f t="shared" si="68"/>
        <v>-30000</v>
      </c>
      <c r="R1459" s="61">
        <f>IF(O1459=0,0,SUMIFS(Disbursements!$T:$T,Disbursements!$B:$B,'Live Collections'!D1459,Disbursements!$D:$D,'Live Collections'!F1459))</f>
        <v>0</v>
      </c>
      <c r="S1459" s="304">
        <f>IF(O1459&lt;=IF($O1459=0,0,SUMIFS(Disbursements!$W:$W,Disbursements!$B:$B,'Live Collections'!D1625,Disbursements!$D:$D,'Live Collections'!F1625)),O1459,IF($O1459=0,0,SUMIFS(Disbursements!$W:$W,Disbursements!$B:$B,'Live Collections'!D1625,Disbursements!$D:$D,'Live Collections'!F1625)))</f>
        <v>0</v>
      </c>
      <c r="T1459" s="304">
        <f t="shared" si="69"/>
        <v>0</v>
      </c>
      <c r="U1459" s="52"/>
      <c r="V1459" s="34"/>
      <c r="W1459" s="408"/>
    </row>
    <row r="1460" spans="1:23" ht="12.75" customHeight="1" x14ac:dyDescent="0.2">
      <c r="A1460" s="257">
        <v>1441</v>
      </c>
      <c r="B1460" s="44">
        <v>44494</v>
      </c>
      <c r="C1460" s="44">
        <f t="shared" si="67"/>
        <v>44494</v>
      </c>
      <c r="D1460" s="374">
        <v>130</v>
      </c>
      <c r="E1460" s="291" t="str">
        <f>IFERROR(VLOOKUP($D1460,'Clients-Live'!$A:$C,3,0),"")</f>
        <v>AYILE JOHN MAX</v>
      </c>
      <c r="F1460" s="291">
        <f>IFERROR(INDEX(Disbursements!$D:$D,MATCH('Live Collections'!G1460,Disbursements!$C:$C,0)),"")</f>
        <v>1</v>
      </c>
      <c r="G1460" s="34">
        <v>114</v>
      </c>
      <c r="H1460" s="34"/>
      <c r="I1460" s="34" t="s">
        <v>1357</v>
      </c>
      <c r="J1460" s="48"/>
      <c r="K1460" s="48"/>
      <c r="L1460" s="48"/>
      <c r="M1460" s="48"/>
      <c r="N1460" s="59"/>
      <c r="O1460" s="59"/>
      <c r="P1460" s="59">
        <v>-70000</v>
      </c>
      <c r="Q1460" s="268">
        <f t="shared" si="68"/>
        <v>-70000</v>
      </c>
      <c r="R1460" s="61">
        <f>IF(O1460=0,0,SUMIFS(Disbursements!$T:$T,Disbursements!$B:$B,'Live Collections'!D1460,Disbursements!$D:$D,'Live Collections'!F1460))</f>
        <v>0</v>
      </c>
      <c r="S1460" s="304">
        <f>IF(O1460&lt;=IF($O1460=0,0,SUMIFS(Disbursements!$W:$W,Disbursements!$B:$B,'Live Collections'!D1651,Disbursements!$D:$D,'Live Collections'!F1651)),O1460,IF($O1460=0,0,SUMIFS(Disbursements!$W:$W,Disbursements!$B:$B,'Live Collections'!D1651,Disbursements!$D:$D,'Live Collections'!F1651)))</f>
        <v>0</v>
      </c>
      <c r="T1460" s="304">
        <f t="shared" si="69"/>
        <v>0</v>
      </c>
      <c r="U1460" s="52"/>
      <c r="V1460" s="34"/>
      <c r="W1460" s="408"/>
    </row>
    <row r="1461" spans="1:23" ht="12.75" customHeight="1" x14ac:dyDescent="0.2">
      <c r="A1461" s="257">
        <v>1442</v>
      </c>
      <c r="B1461" s="44">
        <v>44494</v>
      </c>
      <c r="C1461" s="44">
        <f t="shared" si="67"/>
        <v>44494</v>
      </c>
      <c r="D1461" s="374">
        <v>130</v>
      </c>
      <c r="E1461" s="291" t="str">
        <f>IFERROR(VLOOKUP($D1461,'Clients-Live'!$A:$C,3,0),"")</f>
        <v>AYILE JOHN MAX</v>
      </c>
      <c r="F1461" s="291">
        <f>IFERROR(INDEX(Disbursements!$D:$D,MATCH('Live Collections'!G1461,Disbursements!$C:$C,0)),"")</f>
        <v>1</v>
      </c>
      <c r="G1461" s="34">
        <v>114</v>
      </c>
      <c r="H1461" s="34"/>
      <c r="I1461" s="34" t="s">
        <v>1357</v>
      </c>
      <c r="J1461" s="48"/>
      <c r="K1461" s="48"/>
      <c r="L1461" s="48"/>
      <c r="M1461" s="48"/>
      <c r="N1461" s="59"/>
      <c r="O1461" s="59">
        <v>70000</v>
      </c>
      <c r="P1461" s="59"/>
      <c r="Q1461" s="268">
        <f t="shared" si="68"/>
        <v>70000</v>
      </c>
      <c r="R1461" s="61">
        <f>IF(O1461=0,0,SUMIFS(Disbursements!$T:$T,Disbursements!$B:$B,'Live Collections'!D1461,Disbursements!$D:$D,'Live Collections'!F1461))</f>
        <v>805000</v>
      </c>
      <c r="S1461" s="304">
        <f>IF(O1461&lt;=IF($O1461=0,0,SUMIFS(Disbursements!$W:$W,Disbursements!$B:$B,'Live Collections'!D1652,Disbursements!$D:$D,'Live Collections'!F1652)),O1461,IF($O1461=0,0,SUMIFS(Disbursements!$W:$W,Disbursements!$B:$B,'Live Collections'!D1652,Disbursements!$D:$D,'Live Collections'!F1652)))</f>
        <v>15000</v>
      </c>
      <c r="T1461" s="304">
        <f t="shared" si="69"/>
        <v>55000</v>
      </c>
      <c r="U1461" s="52"/>
      <c r="V1461" s="34"/>
      <c r="W1461" s="408"/>
    </row>
    <row r="1462" spans="1:23" ht="12.75" customHeight="1" x14ac:dyDescent="0.2">
      <c r="A1462" s="257">
        <v>1445</v>
      </c>
      <c r="B1462" s="44">
        <v>44494</v>
      </c>
      <c r="C1462" s="44">
        <f t="shared" si="67"/>
        <v>44494</v>
      </c>
      <c r="D1462" s="374">
        <v>170</v>
      </c>
      <c r="E1462" s="291" t="str">
        <f>IFERROR(VLOOKUP($D1462,'Clients-Live'!$A:$C,3,0),"")</f>
        <v xml:space="preserve">KABEBI RAIMA </v>
      </c>
      <c r="F1462" s="291">
        <f>IFERROR(INDEX(Disbursements!$D:$D,MATCH('Live Collections'!G1462,Disbursements!$C:$C,0)),"")</f>
        <v>1</v>
      </c>
      <c r="G1462" s="34">
        <v>164</v>
      </c>
      <c r="H1462" s="34"/>
      <c r="I1462" s="34" t="s">
        <v>1359</v>
      </c>
      <c r="J1462" s="48"/>
      <c r="K1462" s="48"/>
      <c r="L1462" s="48"/>
      <c r="M1462" s="48"/>
      <c r="N1462" s="59"/>
      <c r="O1462" s="59">
        <v>2000</v>
      </c>
      <c r="P1462" s="59">
        <v>-2000</v>
      </c>
      <c r="Q1462" s="268">
        <f t="shared" si="68"/>
        <v>0</v>
      </c>
      <c r="R1462" s="61">
        <f>IF(O1462=0,0,SUMIFS(Disbursements!$T:$T,Disbursements!$B:$B,'Live Collections'!D1462,Disbursements!$D:$D,'Live Collections'!F1462))</f>
        <v>154000</v>
      </c>
      <c r="S1462" s="304"/>
      <c r="T1462" s="304">
        <f t="shared" si="69"/>
        <v>2000</v>
      </c>
      <c r="U1462" s="52"/>
      <c r="V1462" s="34"/>
      <c r="W1462" s="408"/>
    </row>
    <row r="1463" spans="1:23" ht="12.75" customHeight="1" x14ac:dyDescent="0.2">
      <c r="A1463" s="257">
        <v>1446</v>
      </c>
      <c r="B1463" s="44">
        <v>44494</v>
      </c>
      <c r="C1463" s="44">
        <f t="shared" si="67"/>
        <v>44494</v>
      </c>
      <c r="D1463" s="374">
        <v>170</v>
      </c>
      <c r="E1463" s="291" t="str">
        <f>IFERROR(VLOOKUP($D1463,'Clients-Live'!$A:$C,3,0),"")</f>
        <v xml:space="preserve">KABEBI RAIMA </v>
      </c>
      <c r="F1463" s="291">
        <f>IFERROR(INDEX(Disbursements!$D:$D,MATCH('Live Collections'!G1463,Disbursements!$C:$C,0)),"")</f>
        <v>1</v>
      </c>
      <c r="G1463" s="34">
        <v>164</v>
      </c>
      <c r="H1463" s="34"/>
      <c r="I1463" s="34" t="s">
        <v>1359</v>
      </c>
      <c r="J1463" s="48"/>
      <c r="K1463" s="48"/>
      <c r="L1463" s="48"/>
      <c r="M1463" s="48"/>
      <c r="N1463" s="59"/>
      <c r="O1463" s="59"/>
      <c r="P1463" s="59"/>
      <c r="Q1463" s="268">
        <f t="shared" si="68"/>
        <v>0</v>
      </c>
      <c r="R1463" s="61">
        <f>IF(O1463=0,0,SUMIFS(Disbursements!$T:$T,Disbursements!$B:$B,'Live Collections'!D1463,Disbursements!$D:$D,'Live Collections'!F1463))</f>
        <v>0</v>
      </c>
      <c r="S1463" s="304">
        <f>IF(O1463&lt;=IF($O1463=0,0,SUMIFS(Disbursements!$W:$W,Disbursements!$B:$B,'Live Collections'!D2116,Disbursements!$D:$D,'Live Collections'!F2116)),O1463,IF($O1463=0,0,SUMIFS(Disbursements!$W:$W,Disbursements!$B:$B,'Live Collections'!D2116,Disbursements!$D:$D,'Live Collections'!F2116)))</f>
        <v>0</v>
      </c>
      <c r="T1463" s="304">
        <f t="shared" si="69"/>
        <v>0</v>
      </c>
      <c r="U1463" s="52"/>
      <c r="V1463" s="34"/>
      <c r="W1463" s="408"/>
    </row>
    <row r="1464" spans="1:23" ht="12.75" customHeight="1" x14ac:dyDescent="0.2">
      <c r="A1464" s="257">
        <v>1428</v>
      </c>
      <c r="B1464" s="44">
        <v>44494</v>
      </c>
      <c r="C1464" s="44">
        <f t="shared" si="67"/>
        <v>44494</v>
      </c>
      <c r="D1464" s="374">
        <v>174</v>
      </c>
      <c r="E1464" s="291" t="str">
        <f>IFERROR(VLOOKUP($D1464,'Clients-Live'!$A:$C,3,0),"")</f>
        <v>METALORO   MOSES</v>
      </c>
      <c r="F1464" s="291">
        <f>IFERROR(INDEX(Disbursements!$D:$D,MATCH('Live Collections'!G1464,Disbursements!$C:$C,0)),"")</f>
        <v>1</v>
      </c>
      <c r="G1464" s="34">
        <v>162</v>
      </c>
      <c r="H1464" s="34"/>
      <c r="I1464" s="34" t="s">
        <v>1358</v>
      </c>
      <c r="J1464" s="48"/>
      <c r="K1464" s="48"/>
      <c r="L1464" s="48"/>
      <c r="M1464" s="48"/>
      <c r="N1464" s="59"/>
      <c r="O1464" s="59"/>
      <c r="P1464" s="59">
        <v>-25000</v>
      </c>
      <c r="Q1464" s="268">
        <f t="shared" si="68"/>
        <v>-25000</v>
      </c>
      <c r="R1464" s="61">
        <f>IF(O1464=0,0,SUMIFS(Disbursements!$T:$T,Disbursements!$B:$B,'Live Collections'!D1464,Disbursements!$D:$D,'Live Collections'!F1464))</f>
        <v>0</v>
      </c>
      <c r="S1464" s="304">
        <f>IF(O1464&lt;=IF($O1464=0,0,SUMIFS(Disbursements!$W:$W,Disbursements!$B:$B,'Live Collections'!D2138,Disbursements!$D:$D,'Live Collections'!F2138)),O1464,IF($O1464=0,0,SUMIFS(Disbursements!$W:$W,Disbursements!$B:$B,'Live Collections'!D2138,Disbursements!$D:$D,'Live Collections'!F2138)))</f>
        <v>0</v>
      </c>
      <c r="T1464" s="304">
        <f t="shared" si="69"/>
        <v>0</v>
      </c>
      <c r="U1464" s="52"/>
      <c r="V1464" s="34"/>
      <c r="W1464" s="408"/>
    </row>
    <row r="1465" spans="1:23" ht="12.75" customHeight="1" x14ac:dyDescent="0.2">
      <c r="A1465" s="257">
        <v>1438</v>
      </c>
      <c r="B1465" s="44">
        <v>44494</v>
      </c>
      <c r="C1465" s="44">
        <f t="shared" si="67"/>
        <v>44494</v>
      </c>
      <c r="D1465" s="374">
        <v>199</v>
      </c>
      <c r="E1465" s="291" t="str">
        <f>IFERROR(VLOOKUP($D1465,'Clients-Live'!$A:$C,3,0),"")</f>
        <v>OTHIM JIMMY</v>
      </c>
      <c r="F1465" s="291">
        <f>IFERROR(INDEX(Disbursements!$D:$D,MATCH('Live Collections'!G1465,Disbursements!$C:$C,0)),"")</f>
        <v>1</v>
      </c>
      <c r="G1465" s="34">
        <v>196</v>
      </c>
      <c r="H1465" s="34"/>
      <c r="I1465" s="34" t="s">
        <v>1359</v>
      </c>
      <c r="J1465" s="48"/>
      <c r="K1465" s="48"/>
      <c r="L1465" s="48"/>
      <c r="M1465" s="48"/>
      <c r="N1465" s="59"/>
      <c r="O1465" s="59"/>
      <c r="P1465" s="59">
        <v>-70000</v>
      </c>
      <c r="Q1465" s="268">
        <f t="shared" si="68"/>
        <v>-70000</v>
      </c>
      <c r="R1465" s="61">
        <f>IF(O1465=0,0,SUMIFS(Disbursements!$T:$T,Disbursements!$B:$B,'Live Collections'!D1465,Disbursements!$D:$D,'Live Collections'!F1465))</f>
        <v>0</v>
      </c>
      <c r="S1465" s="304">
        <f>IF(O1465&lt;=IF($O1465=0,0,SUMIFS(Disbursements!$W:$W,Disbursements!$B:$B,'Live Collections'!D2380,Disbursements!$D:$D,'Live Collections'!F2380)),O1465,IF($O1465=0,0,SUMIFS(Disbursements!$W:$W,Disbursements!$B:$B,'Live Collections'!D2380,Disbursements!$D:$D,'Live Collections'!F2380)))</f>
        <v>0</v>
      </c>
      <c r="T1465" s="304">
        <f t="shared" si="69"/>
        <v>0</v>
      </c>
      <c r="U1465" s="52"/>
      <c r="V1465" s="34"/>
      <c r="W1465" s="408"/>
    </row>
    <row r="1466" spans="1:23" ht="12.75" customHeight="1" x14ac:dyDescent="0.2">
      <c r="A1466" s="257">
        <v>1427</v>
      </c>
      <c r="B1466" s="44">
        <v>44494</v>
      </c>
      <c r="C1466" s="44">
        <f t="shared" si="67"/>
        <v>44494</v>
      </c>
      <c r="D1466" s="374">
        <v>204</v>
      </c>
      <c r="E1466" s="291" t="str">
        <f>IFERROR(VLOOKUP($D1466,'Clients-Live'!$A:$C,3,0),"")</f>
        <v>DRAMADRI AHUMED OKUNI</v>
      </c>
      <c r="F1466" s="291">
        <f>IFERROR(INDEX(Disbursements!$D:$D,MATCH('Live Collections'!G1466,Disbursements!$C:$C,0)),"")</f>
        <v>1</v>
      </c>
      <c r="G1466" s="34">
        <v>198</v>
      </c>
      <c r="H1466" s="34"/>
      <c r="I1466" s="34" t="s">
        <v>1357</v>
      </c>
      <c r="J1466" s="48"/>
      <c r="K1466" s="48"/>
      <c r="L1466" s="48"/>
      <c r="M1466" s="48"/>
      <c r="N1466" s="59"/>
      <c r="O1466" s="59"/>
      <c r="P1466" s="59">
        <v>-100000</v>
      </c>
      <c r="Q1466" s="268">
        <f t="shared" si="68"/>
        <v>-100000</v>
      </c>
      <c r="R1466" s="61">
        <f>IF(O1466=0,0,SUMIFS(Disbursements!$T:$T,Disbursements!$B:$B,'Live Collections'!D1466,Disbursements!$D:$D,'Live Collections'!F1466))</f>
        <v>0</v>
      </c>
      <c r="S1466" s="304">
        <f>IF(O1466&lt;=IF($O1466=0,0,SUMIFS(Disbursements!$W:$W,Disbursements!$B:$B,'Live Collections'!D2417,Disbursements!$D:$D,'Live Collections'!F2417)),O1466,IF($O1466=0,0,SUMIFS(Disbursements!$W:$W,Disbursements!$B:$B,'Live Collections'!D2417,Disbursements!$D:$D,'Live Collections'!F2417)))</f>
        <v>0</v>
      </c>
      <c r="T1466" s="304">
        <f t="shared" si="69"/>
        <v>0</v>
      </c>
      <c r="U1466" s="52"/>
      <c r="V1466" s="34"/>
      <c r="W1466" s="408"/>
    </row>
    <row r="1467" spans="1:23" ht="12.75" customHeight="1" x14ac:dyDescent="0.2">
      <c r="A1467" s="257">
        <v>2209</v>
      </c>
      <c r="B1467" s="44">
        <v>44495</v>
      </c>
      <c r="C1467" s="44">
        <f t="shared" si="67"/>
        <v>44495</v>
      </c>
      <c r="D1467" s="374">
        <v>11</v>
      </c>
      <c r="E1467" s="291" t="str">
        <f>IFERROR(VLOOKUP($D1467,'Clients-Live'!$A:$C,3,0),"")</f>
        <v>ARIME JUMA</v>
      </c>
      <c r="F1467" s="291">
        <f>IFERROR(INDEX(Disbursements!$D:$D,MATCH('Live Collections'!G1467,Disbursements!$C:$C,0)),"")</f>
        <v>1</v>
      </c>
      <c r="G1467" s="34">
        <v>10</v>
      </c>
      <c r="H1467" s="34"/>
      <c r="I1467" s="34" t="s">
        <v>1359</v>
      </c>
      <c r="J1467" s="48"/>
      <c r="K1467" s="48"/>
      <c r="L1467" s="48"/>
      <c r="M1467" s="48"/>
      <c r="N1467" s="59"/>
      <c r="O1467" s="59">
        <v>108000</v>
      </c>
      <c r="P1467" s="59"/>
      <c r="Q1467" s="268">
        <f t="shared" si="68"/>
        <v>108000</v>
      </c>
      <c r="R1467" s="61">
        <f>IF(O1467=0,0,SUMIFS(Disbursements!$T:$T,Disbursements!$B:$B,'Live Collections'!D1467,Disbursements!$D:$D,'Live Collections'!F1467))</f>
        <v>109000</v>
      </c>
      <c r="S1467" s="304">
        <f>IF(O1467&lt;=IF($O1467=0,0,SUMIFS(Disbursements!$W:$W,Disbursements!$B:$B,'Live Collections'!D112,Disbursements!$D:$D,'Live Collections'!F112)),O1467,IF($O1467=0,0,SUMIFS(Disbursements!$W:$W,Disbursements!$B:$B,'Live Collections'!D112,Disbursements!$D:$D,'Live Collections'!F112)))</f>
        <v>0</v>
      </c>
      <c r="T1467" s="304">
        <f t="shared" si="69"/>
        <v>108000</v>
      </c>
      <c r="U1467" s="52"/>
      <c r="V1467" s="34"/>
      <c r="W1467" s="408"/>
    </row>
    <row r="1468" spans="1:23" ht="12.75" customHeight="1" x14ac:dyDescent="0.2">
      <c r="A1468" s="257">
        <v>1475</v>
      </c>
      <c r="B1468" s="44">
        <v>44495</v>
      </c>
      <c r="C1468" s="44">
        <f t="shared" si="67"/>
        <v>44495</v>
      </c>
      <c r="D1468" s="374">
        <v>22</v>
      </c>
      <c r="E1468" s="291" t="str">
        <f>IFERROR(VLOOKUP($D1468,'Clients-Live'!$A:$C,3,0),"")</f>
        <v>DATA ISMAIL FATARI</v>
      </c>
      <c r="F1468" s="291">
        <f>IFERROR(INDEX(Disbursements!$D:$D,MATCH('Live Collections'!G1468,Disbursements!$C:$C,0)),"")</f>
        <v>1</v>
      </c>
      <c r="G1468" s="34">
        <v>13</v>
      </c>
      <c r="H1468" s="34">
        <v>3029</v>
      </c>
      <c r="I1468" s="34" t="s">
        <v>1359</v>
      </c>
      <c r="J1468" s="48"/>
      <c r="K1468" s="48"/>
      <c r="L1468" s="48"/>
      <c r="M1468" s="48"/>
      <c r="N1468" s="59"/>
      <c r="O1468" s="59">
        <v>15000</v>
      </c>
      <c r="P1468" s="59"/>
      <c r="Q1468" s="268">
        <f t="shared" si="68"/>
        <v>15000</v>
      </c>
      <c r="R1468" s="61">
        <f>IF(O1468=0,0,SUMIFS(Disbursements!$T:$T,Disbursements!$B:$B,'Live Collections'!D1468,Disbursements!$D:$D,'Live Collections'!F1468))</f>
        <v>217000</v>
      </c>
      <c r="S1468" s="304">
        <f>IF(O1468&lt;=IF($O1468=0,0,SUMIFS(Disbursements!$W:$W,Disbursements!$B:$B,'Live Collections'!D288,Disbursements!$D:$D,'Live Collections'!F288)),O1468,IF($O1468=0,0,SUMIFS(Disbursements!$W:$W,Disbursements!$B:$B,'Live Collections'!D288,Disbursements!$D:$D,'Live Collections'!F288)))</f>
        <v>0</v>
      </c>
      <c r="T1468" s="304">
        <f t="shared" si="69"/>
        <v>15000</v>
      </c>
      <c r="U1468" s="52"/>
      <c r="V1468" s="34"/>
      <c r="W1468" s="408"/>
    </row>
    <row r="1469" spans="1:23" ht="12.75" customHeight="1" x14ac:dyDescent="0.2">
      <c r="A1469" s="257">
        <v>1478</v>
      </c>
      <c r="B1469" s="44">
        <v>44495</v>
      </c>
      <c r="C1469" s="44">
        <f t="shared" si="67"/>
        <v>44495</v>
      </c>
      <c r="D1469" s="374">
        <v>44</v>
      </c>
      <c r="E1469" s="291" t="str">
        <f>IFERROR(VLOOKUP($D1469,'Clients-Live'!$A:$C,3,0),"")</f>
        <v>CANDIRU HELLEN</v>
      </c>
      <c r="F1469" s="291">
        <f>IFERROR(INDEX(Disbursements!$D:$D,MATCH('Live Collections'!G1469,Disbursements!$C:$C,0)),"")</f>
        <v>2</v>
      </c>
      <c r="G1469" s="34">
        <v>129</v>
      </c>
      <c r="H1469" s="34">
        <v>3011</v>
      </c>
      <c r="I1469" s="34" t="s">
        <v>1358</v>
      </c>
      <c r="J1469" s="48"/>
      <c r="K1469" s="48"/>
      <c r="L1469" s="48"/>
      <c r="M1469" s="48"/>
      <c r="N1469" s="59"/>
      <c r="O1469" s="59">
        <v>110700</v>
      </c>
      <c r="P1469" s="59"/>
      <c r="Q1469" s="268">
        <f t="shared" si="68"/>
        <v>110700</v>
      </c>
      <c r="R1469" s="61">
        <f>IF(O1469=0,0,SUMIFS(Disbursements!$T:$T,Disbursements!$B:$B,'Live Collections'!D1469,Disbursements!$D:$D,'Live Collections'!F1469))</f>
        <v>217000</v>
      </c>
      <c r="S1469" s="304">
        <f>IF(O1469&lt;=IF($O1469=0,0,SUMIFS(Disbursements!$W:$W,Disbursements!$B:$B,'Live Collections'!D490,Disbursements!$D:$D,'Live Collections'!F490)),O1469,IF($O1469=0,0,SUMIFS(Disbursements!$W:$W,Disbursements!$B:$B,'Live Collections'!D490,Disbursements!$D:$D,'Live Collections'!F490)))</f>
        <v>110700</v>
      </c>
      <c r="T1469" s="304">
        <f t="shared" si="69"/>
        <v>0</v>
      </c>
      <c r="U1469" s="52"/>
      <c r="V1469" s="34"/>
      <c r="W1469" s="408"/>
    </row>
    <row r="1470" spans="1:23" ht="12.75" customHeight="1" x14ac:dyDescent="0.2">
      <c r="A1470" s="257">
        <v>1481</v>
      </c>
      <c r="B1470" s="44">
        <v>44495</v>
      </c>
      <c r="C1470" s="44">
        <f t="shared" si="67"/>
        <v>44495</v>
      </c>
      <c r="D1470" s="374">
        <v>58</v>
      </c>
      <c r="E1470" s="291" t="str">
        <f>IFERROR(VLOOKUP($D1470,'Clients-Live'!$A:$C,3,0),"")</f>
        <v xml:space="preserve">ALIRU AMINA </v>
      </c>
      <c r="F1470" s="291" t="str">
        <f>IFERROR(INDEX(Disbursements!$D:$D,MATCH('Live Collections'!G1470,Disbursements!$C:$C,0)),"")</f>
        <v/>
      </c>
      <c r="G1470" s="34"/>
      <c r="H1470" s="34">
        <v>3015</v>
      </c>
      <c r="I1470" s="34" t="s">
        <v>1357</v>
      </c>
      <c r="J1470" s="48"/>
      <c r="K1470" s="48"/>
      <c r="L1470" s="48">
        <v>10000</v>
      </c>
      <c r="M1470" s="48">
        <v>5000</v>
      </c>
      <c r="N1470" s="59"/>
      <c r="O1470" s="59"/>
      <c r="P1470" s="59"/>
      <c r="Q1470" s="268">
        <f t="shared" si="68"/>
        <v>15000</v>
      </c>
      <c r="R1470" s="61">
        <f>IF(O1470=0,0,SUMIFS(Disbursements!$T:$T,Disbursements!$B:$B,'Live Collections'!D1470,Disbursements!$D:$D,'Live Collections'!F1470))</f>
        <v>0</v>
      </c>
      <c r="S1470" s="304">
        <f>IF(O1470&lt;=IF($O1470=0,0,SUMIFS(Disbursements!$W:$W,Disbursements!$B:$B,'Live Collections'!D698,Disbursements!$D:$D,'Live Collections'!F698)),O1470,IF($O1470=0,0,SUMIFS(Disbursements!$W:$W,Disbursements!$B:$B,'Live Collections'!D698,Disbursements!$D:$D,'Live Collections'!F698)))</f>
        <v>0</v>
      </c>
      <c r="T1470" s="304">
        <f t="shared" si="69"/>
        <v>0</v>
      </c>
      <c r="U1470" s="52"/>
      <c r="V1470" s="34"/>
      <c r="W1470" s="408"/>
    </row>
    <row r="1471" spans="1:23" ht="12.75" customHeight="1" x14ac:dyDescent="0.2">
      <c r="A1471" s="257">
        <v>1491</v>
      </c>
      <c r="B1471" s="44">
        <v>44495</v>
      </c>
      <c r="C1471" s="44">
        <f t="shared" si="67"/>
        <v>44495</v>
      </c>
      <c r="D1471" s="374">
        <v>63</v>
      </c>
      <c r="E1471" s="291" t="str">
        <f>IFERROR(VLOOKUP($D1471,'Clients-Live'!$A:$C,3,0),"")</f>
        <v>AWURU KADARA</v>
      </c>
      <c r="F1471" s="291">
        <f>IFERROR(INDEX(Disbursements!$D:$D,MATCH('Live Collections'!G1471,Disbursements!$C:$C,0)),"")</f>
        <v>2</v>
      </c>
      <c r="G1471" s="34">
        <v>173</v>
      </c>
      <c r="H1471" s="34">
        <v>3038</v>
      </c>
      <c r="I1471" s="34" t="s">
        <v>1358</v>
      </c>
      <c r="J1471" s="48"/>
      <c r="K1471" s="48"/>
      <c r="L1471" s="48"/>
      <c r="M1471" s="48"/>
      <c r="N1471" s="59"/>
      <c r="O1471" s="59">
        <v>75000</v>
      </c>
      <c r="P1471" s="59"/>
      <c r="Q1471" s="268">
        <f t="shared" si="68"/>
        <v>75000</v>
      </c>
      <c r="R1471" s="61">
        <f>IF(O1471=0,0,SUMIFS(Disbursements!$T:$T,Disbursements!$B:$B,'Live Collections'!D1471,Disbursements!$D:$D,'Live Collections'!F1471))</f>
        <v>175000</v>
      </c>
      <c r="S1471" s="304">
        <f>IF(O1471&lt;=IF($O1471=0,0,SUMIFS(Disbursements!$W:$W,Disbursements!$B:$B,'Live Collections'!D758,Disbursements!$D:$D,'Live Collections'!F758)),O1471,IF($O1471=0,0,SUMIFS(Disbursements!$W:$W,Disbursements!$B:$B,'Live Collections'!D758,Disbursements!$D:$D,'Live Collections'!F758)))</f>
        <v>75000</v>
      </c>
      <c r="T1471" s="304">
        <f t="shared" si="69"/>
        <v>0</v>
      </c>
      <c r="U1471" s="52"/>
      <c r="V1471" s="34"/>
      <c r="W1471" s="408"/>
    </row>
    <row r="1472" spans="1:23" ht="12.75" customHeight="1" x14ac:dyDescent="0.2">
      <c r="A1472" s="257">
        <v>1471</v>
      </c>
      <c r="B1472" s="44">
        <v>44495</v>
      </c>
      <c r="C1472" s="44">
        <f t="shared" si="67"/>
        <v>44495</v>
      </c>
      <c r="D1472" s="374">
        <v>66</v>
      </c>
      <c r="E1472" s="291" t="str">
        <f>IFERROR(VLOOKUP($D1472,'Clients-Live'!$A:$C,3,0),"")</f>
        <v>DENAYA NYAMAZA</v>
      </c>
      <c r="F1472" s="291">
        <f>IFERROR(INDEX(Disbursements!$D:$D,MATCH('Live Collections'!G1472,Disbursements!$C:$C,0)),"")</f>
        <v>1</v>
      </c>
      <c r="G1472" s="34">
        <v>53</v>
      </c>
      <c r="H1472" s="34">
        <v>324</v>
      </c>
      <c r="I1472" s="34" t="s">
        <v>1357</v>
      </c>
      <c r="J1472" s="48"/>
      <c r="K1472" s="48"/>
      <c r="L1472" s="48"/>
      <c r="M1472" s="48"/>
      <c r="N1472" s="59"/>
      <c r="O1472" s="59"/>
      <c r="P1472" s="59">
        <v>-200000</v>
      </c>
      <c r="Q1472" s="268">
        <f t="shared" si="68"/>
        <v>-200000</v>
      </c>
      <c r="R1472" s="61">
        <f>IF(O1472=0,0,SUMIFS(Disbursements!$T:$T,Disbursements!$B:$B,'Live Collections'!D1472,Disbursements!$D:$D,'Live Collections'!F1472))</f>
        <v>0</v>
      </c>
      <c r="S1472" s="304">
        <f>IF(O1472&lt;=IF($O1472=0,0,SUMIFS(Disbursements!$W:$W,Disbursements!$B:$B,'Live Collections'!D2039,Disbursements!$D:$D,'Live Collections'!F2039)),O1472,IF($O1472=0,0,SUMIFS(Disbursements!$W:$W,Disbursements!$B:$B,'Live Collections'!D2039,Disbursements!$D:$D,'Live Collections'!F2039)))</f>
        <v>0</v>
      </c>
      <c r="T1472" s="304">
        <f t="shared" si="69"/>
        <v>0</v>
      </c>
      <c r="U1472" s="52"/>
      <c r="V1472" s="34"/>
      <c r="W1472" s="408"/>
    </row>
    <row r="1473" spans="1:23" ht="12.75" customHeight="1" x14ac:dyDescent="0.2">
      <c r="A1473" s="257">
        <v>1472</v>
      </c>
      <c r="B1473" s="44">
        <v>44495</v>
      </c>
      <c r="C1473" s="44">
        <f t="shared" si="67"/>
        <v>44495</v>
      </c>
      <c r="D1473" s="374">
        <v>66</v>
      </c>
      <c r="E1473" s="291" t="str">
        <f>IFERROR(VLOOKUP($D1473,'Clients-Live'!$A:$C,3,0),"")</f>
        <v>DENAYA NYAMAZA</v>
      </c>
      <c r="F1473" s="291">
        <f>IFERROR(INDEX(Disbursements!$D:$D,MATCH('Live Collections'!G1473,Disbursements!$C:$C,0)),"")</f>
        <v>1</v>
      </c>
      <c r="G1473" s="34">
        <v>53</v>
      </c>
      <c r="H1473" s="34">
        <v>3032</v>
      </c>
      <c r="I1473" s="34" t="s">
        <v>1357</v>
      </c>
      <c r="J1473" s="48"/>
      <c r="K1473" s="48"/>
      <c r="L1473" s="48"/>
      <c r="M1473" s="48"/>
      <c r="N1473" s="59"/>
      <c r="O1473" s="59">
        <v>200000</v>
      </c>
      <c r="P1473" s="59"/>
      <c r="Q1473" s="268">
        <f t="shared" si="68"/>
        <v>200000</v>
      </c>
      <c r="R1473" s="61">
        <f>IF(O1473=0,0,SUMIFS(Disbursements!$T:$T,Disbursements!$B:$B,'Live Collections'!D1473,Disbursements!$D:$D,'Live Collections'!F1473))</f>
        <v>109000</v>
      </c>
      <c r="S1473" s="304">
        <f>IF(O1473&lt;=IF($O1473=0,0,SUMIFS(Disbursements!$W:$W,Disbursements!$B:$B,'Live Collections'!D2040,Disbursements!$D:$D,'Live Collections'!F2040)),O1473,IF($O1473=0,0,SUMIFS(Disbursements!$W:$W,Disbursements!$B:$B,'Live Collections'!D2040,Disbursements!$D:$D,'Live Collections'!F2040)))</f>
        <v>60000</v>
      </c>
      <c r="T1473" s="304">
        <f t="shared" si="69"/>
        <v>140000</v>
      </c>
      <c r="U1473" s="52"/>
      <c r="V1473" s="34"/>
      <c r="W1473" s="408"/>
    </row>
    <row r="1474" spans="1:23" ht="12.75" customHeight="1" x14ac:dyDescent="0.2">
      <c r="A1474" s="257">
        <v>1482</v>
      </c>
      <c r="B1474" s="44">
        <v>44495</v>
      </c>
      <c r="C1474" s="44">
        <f t="shared" si="67"/>
        <v>44495</v>
      </c>
      <c r="D1474" s="374">
        <v>66</v>
      </c>
      <c r="E1474" s="291" t="str">
        <f>IFERROR(VLOOKUP($D1474,'Clients-Live'!$A:$C,3,0),"")</f>
        <v>DENAYA NYAMAZA</v>
      </c>
      <c r="F1474" s="291" t="str">
        <f>IFERROR(INDEX(Disbursements!$D:$D,MATCH('Live Collections'!G1474,Disbursements!$C:$C,0)),"")</f>
        <v/>
      </c>
      <c r="G1474" s="34"/>
      <c r="H1474" s="34">
        <v>3014</v>
      </c>
      <c r="I1474" s="34" t="s">
        <v>1357</v>
      </c>
      <c r="J1474" s="48"/>
      <c r="K1474" s="48"/>
      <c r="L1474" s="48">
        <v>20000</v>
      </c>
      <c r="M1474" s="48">
        <v>5000</v>
      </c>
      <c r="N1474" s="59"/>
      <c r="O1474" s="59"/>
      <c r="P1474" s="59"/>
      <c r="Q1474" s="268">
        <f t="shared" si="68"/>
        <v>25000</v>
      </c>
      <c r="R1474" s="61">
        <f>IF(O1474=0,0,SUMIFS(Disbursements!$T:$T,Disbursements!$B:$B,'Live Collections'!D1474,Disbursements!$D:$D,'Live Collections'!F1474))</f>
        <v>0</v>
      </c>
      <c r="S1474" s="304">
        <f>IF(O1474&lt;=IF($O1474=0,0,SUMIFS(Disbursements!$W:$W,Disbursements!$B:$B,'Live Collections'!D808,Disbursements!$D:$D,'Live Collections'!F808)),O1474,IF($O1474=0,0,SUMIFS(Disbursements!$W:$W,Disbursements!$B:$B,'Live Collections'!D808,Disbursements!$D:$D,'Live Collections'!F808)))</f>
        <v>0</v>
      </c>
      <c r="T1474" s="304">
        <f t="shared" si="69"/>
        <v>0</v>
      </c>
      <c r="U1474" s="52"/>
      <c r="V1474" s="34"/>
      <c r="W1474" s="408"/>
    </row>
    <row r="1475" spans="1:23" ht="12.75" customHeight="1" x14ac:dyDescent="0.2">
      <c r="A1475" s="257">
        <v>1494</v>
      </c>
      <c r="B1475" s="44">
        <v>44495</v>
      </c>
      <c r="C1475" s="44">
        <f t="shared" si="67"/>
        <v>44495</v>
      </c>
      <c r="D1475" s="374">
        <v>66</v>
      </c>
      <c r="E1475" s="291" t="str">
        <f>IFERROR(VLOOKUP($D1475,'Clients-Live'!$A:$C,3,0),"")</f>
        <v>DENAYA NYAMAZA</v>
      </c>
      <c r="F1475" s="291">
        <f>IFERROR(INDEX(Disbursements!$D:$D,MATCH('Live Collections'!G1475,Disbursements!$C:$C,0)),"")</f>
        <v>1</v>
      </c>
      <c r="G1475" s="34">
        <v>53</v>
      </c>
      <c r="H1475" s="34">
        <v>3033</v>
      </c>
      <c r="I1475" s="34" t="s">
        <v>1357</v>
      </c>
      <c r="J1475" s="48"/>
      <c r="K1475" s="48"/>
      <c r="L1475" s="48"/>
      <c r="M1475" s="48"/>
      <c r="N1475" s="59"/>
      <c r="O1475" s="59">
        <v>750000</v>
      </c>
      <c r="P1475" s="59"/>
      <c r="Q1475" s="268">
        <f t="shared" si="68"/>
        <v>750000</v>
      </c>
      <c r="R1475" s="61">
        <f>IF(O1475=0,0,SUMIFS(Disbursements!$T:$T,Disbursements!$B:$B,'Live Collections'!D1475,Disbursements!$D:$D,'Live Collections'!F1475))</f>
        <v>109000</v>
      </c>
      <c r="S1475" s="304">
        <f>IF(O1475&lt;=IF($O1475=0,0,SUMIFS(Disbursements!$W:$W,Disbursements!$B:$B,'Live Collections'!D2042,Disbursements!$D:$D,'Live Collections'!F2042)),O1475,IF($O1475=0,0,SUMIFS(Disbursements!$W:$W,Disbursements!$B:$B,'Live Collections'!D2042,Disbursements!$D:$D,'Live Collections'!F2042)))</f>
        <v>35333.333333333328</v>
      </c>
      <c r="T1475" s="304">
        <f t="shared" si="69"/>
        <v>714666.66666666663</v>
      </c>
      <c r="U1475" s="52"/>
      <c r="V1475" s="34"/>
      <c r="W1475" s="408" t="s">
        <v>2086</v>
      </c>
    </row>
    <row r="1476" spans="1:23" ht="12.75" customHeight="1" x14ac:dyDescent="0.2">
      <c r="A1476" s="257">
        <v>1456</v>
      </c>
      <c r="B1476" s="44">
        <v>44495</v>
      </c>
      <c r="C1476" s="44">
        <f t="shared" si="67"/>
        <v>44495</v>
      </c>
      <c r="D1476" s="374">
        <v>77</v>
      </c>
      <c r="E1476" s="291" t="str">
        <f>IFERROR(VLOOKUP($D1476,'Clients-Live'!$A:$C,3,0),"")</f>
        <v>CACA FATUMA</v>
      </c>
      <c r="F1476" s="291" t="str">
        <f>IFERROR(INDEX(Disbursements!$D:$D,MATCH('Live Collections'!G1476,Disbursements!$C:$C,0)),"")</f>
        <v/>
      </c>
      <c r="G1476" s="34"/>
      <c r="H1476" s="34">
        <v>2899</v>
      </c>
      <c r="I1476" s="34" t="s">
        <v>1357</v>
      </c>
      <c r="J1476" s="48"/>
      <c r="K1476" s="48"/>
      <c r="L1476" s="48">
        <v>20000</v>
      </c>
      <c r="M1476" s="48"/>
      <c r="N1476" s="59"/>
      <c r="O1476" s="59"/>
      <c r="P1476" s="59"/>
      <c r="Q1476" s="268">
        <f t="shared" si="68"/>
        <v>20000</v>
      </c>
      <c r="R1476" s="61">
        <f>IF(O1476=0,0,SUMIFS(Disbursements!$T:$T,Disbursements!$B:$B,'Live Collections'!D1476,Disbursements!$D:$D,'Live Collections'!F1476))</f>
        <v>0</v>
      </c>
      <c r="S1476" s="304">
        <f>IF(O1476&lt;=IF($O1476=0,0,SUMIFS(Disbursements!$W:$W,Disbursements!$B:$B,'Live Collections'!D988,Disbursements!$D:$D,'Live Collections'!F988)),O1476,IF($O1476=0,0,SUMIFS(Disbursements!$W:$W,Disbursements!$B:$B,'Live Collections'!D988,Disbursements!$D:$D,'Live Collections'!F988)))</f>
        <v>0</v>
      </c>
      <c r="T1476" s="304">
        <f t="shared" si="69"/>
        <v>0</v>
      </c>
      <c r="U1476" s="52"/>
      <c r="V1476" s="34"/>
      <c r="W1476" s="408"/>
    </row>
    <row r="1477" spans="1:23" ht="12.75" customHeight="1" x14ac:dyDescent="0.2">
      <c r="A1477" s="257">
        <v>1457</v>
      </c>
      <c r="B1477" s="44">
        <v>44495</v>
      </c>
      <c r="C1477" s="44">
        <f t="shared" si="67"/>
        <v>44495</v>
      </c>
      <c r="D1477" s="374">
        <v>77</v>
      </c>
      <c r="E1477" s="291" t="str">
        <f>IFERROR(VLOOKUP($D1477,'Clients-Live'!$A:$C,3,0),"")</f>
        <v>CACA FATUMA</v>
      </c>
      <c r="F1477" s="291">
        <f>IFERROR(INDEX(Disbursements!$D:$D,MATCH('Live Collections'!G1477,Disbursements!$C:$C,0)),"")</f>
        <v>1</v>
      </c>
      <c r="G1477" s="34">
        <v>61</v>
      </c>
      <c r="H1477" s="34">
        <v>1339</v>
      </c>
      <c r="I1477" s="34" t="s">
        <v>1357</v>
      </c>
      <c r="J1477" s="48"/>
      <c r="K1477" s="48"/>
      <c r="L1477" s="48"/>
      <c r="M1477" s="48"/>
      <c r="N1477" s="59"/>
      <c r="O1477" s="59"/>
      <c r="P1477" s="59">
        <v>-100000</v>
      </c>
      <c r="Q1477" s="268">
        <f t="shared" si="68"/>
        <v>-100000</v>
      </c>
      <c r="R1477" s="61">
        <f>IF(O1477=0,0,SUMIFS(Disbursements!$T:$T,Disbursements!$B:$B,'Live Collections'!D1477,Disbursements!$D:$D,'Live Collections'!F1477))</f>
        <v>0</v>
      </c>
      <c r="S1477" s="304">
        <f>IF(O1477&lt;=IF($O1477=0,0,SUMIFS(Disbursements!$W:$W,Disbursements!$B:$B,'Live Collections'!D989,Disbursements!$D:$D,'Live Collections'!F989)),O1477,IF($O1477=0,0,SUMIFS(Disbursements!$W:$W,Disbursements!$B:$B,'Live Collections'!D989,Disbursements!$D:$D,'Live Collections'!F989)))</f>
        <v>0</v>
      </c>
      <c r="T1477" s="304">
        <f t="shared" si="69"/>
        <v>0</v>
      </c>
      <c r="U1477" s="52"/>
      <c r="V1477" s="34"/>
      <c r="W1477" s="408"/>
    </row>
    <row r="1478" spans="1:23" ht="12.75" customHeight="1" x14ac:dyDescent="0.2">
      <c r="A1478" s="257">
        <v>1466</v>
      </c>
      <c r="B1478" s="44">
        <v>44495</v>
      </c>
      <c r="C1478" s="44">
        <f t="shared" si="67"/>
        <v>44495</v>
      </c>
      <c r="D1478" s="374">
        <v>82</v>
      </c>
      <c r="E1478" s="291" t="str">
        <f>IFERROR(VLOOKUP($D1478,'Clients-Live'!$A:$C,3,0),"")</f>
        <v>ADUNA MANENO</v>
      </c>
      <c r="F1478" s="291">
        <f>IFERROR(INDEX(Disbursements!$D:$D,MATCH('Live Collections'!G1478,Disbursements!$C:$C,0)),"")</f>
        <v>1</v>
      </c>
      <c r="G1478" s="34">
        <v>71</v>
      </c>
      <c r="H1478" s="34">
        <v>3002</v>
      </c>
      <c r="I1478" s="34" t="s">
        <v>1357</v>
      </c>
      <c r="J1478" s="48"/>
      <c r="K1478" s="48"/>
      <c r="L1478" s="48"/>
      <c r="M1478" s="48"/>
      <c r="N1478" s="59"/>
      <c r="O1478" s="59">
        <v>65000</v>
      </c>
      <c r="P1478" s="59"/>
      <c r="Q1478" s="268">
        <f t="shared" si="68"/>
        <v>65000</v>
      </c>
      <c r="R1478" s="61">
        <f>IF(O1478=0,0,SUMIFS(Disbursements!$T:$T,Disbursements!$B:$B,'Live Collections'!D1478,Disbursements!$D:$D,'Live Collections'!F1478))</f>
        <v>90000</v>
      </c>
      <c r="S1478" s="304"/>
      <c r="T1478" s="304">
        <f t="shared" si="69"/>
        <v>65000</v>
      </c>
      <c r="U1478" s="52"/>
      <c r="V1478" s="34"/>
      <c r="W1478" s="408"/>
    </row>
    <row r="1479" spans="1:23" ht="12.75" customHeight="1" x14ac:dyDescent="0.2">
      <c r="A1479" s="257">
        <v>1469</v>
      </c>
      <c r="B1479" s="44">
        <v>44495</v>
      </c>
      <c r="C1479" s="44">
        <f t="shared" ref="C1479:C1542" si="70">B1479</f>
        <v>44495</v>
      </c>
      <c r="D1479" s="374">
        <v>82</v>
      </c>
      <c r="E1479" s="291" t="str">
        <f>IFERROR(VLOOKUP($D1479,'Clients-Live'!$A:$C,3,0),"")</f>
        <v>ADUNA MANENO</v>
      </c>
      <c r="F1479" s="291">
        <f>IFERROR(INDEX(Disbursements!$D:$D,MATCH('Live Collections'!G1479,Disbursements!$C:$C,0)),"")</f>
        <v>1</v>
      </c>
      <c r="G1479" s="34">
        <v>71</v>
      </c>
      <c r="H1479" s="34">
        <v>1340</v>
      </c>
      <c r="I1479" s="34" t="s">
        <v>1357</v>
      </c>
      <c r="J1479" s="48"/>
      <c r="K1479" s="48"/>
      <c r="L1479" s="48"/>
      <c r="M1479" s="48"/>
      <c r="N1479" s="59"/>
      <c r="O1479" s="59"/>
      <c r="P1479" s="59"/>
      <c r="Q1479" s="268">
        <f t="shared" ref="Q1479:Q1542" si="71">SUM(J1479:P1479)</f>
        <v>0</v>
      </c>
      <c r="R1479" s="61">
        <f>IF(O1479=0,0,SUMIFS(Disbursements!$T:$T,Disbursements!$B:$B,'Live Collections'!D1479,Disbursements!$D:$D,'Live Collections'!F1479))</f>
        <v>0</v>
      </c>
      <c r="S1479" s="304">
        <f>IF(O1479&lt;=IF($O1479=0,0,SUMIFS(Disbursements!$W:$W,Disbursements!$B:$B,'Live Collections'!D1063,Disbursements!$D:$D,'Live Collections'!F1063)),O1479,IF($O1479=0,0,SUMIFS(Disbursements!$W:$W,Disbursements!$B:$B,'Live Collections'!D1063,Disbursements!$D:$D,'Live Collections'!F1063)))</f>
        <v>0</v>
      </c>
      <c r="T1479" s="304">
        <f t="shared" ref="T1479:T1542" si="72">IF(O1479=0,0,O1479-S1479)</f>
        <v>0</v>
      </c>
      <c r="U1479" s="52"/>
      <c r="V1479" s="34"/>
      <c r="W1479" s="408"/>
    </row>
    <row r="1480" spans="1:23" ht="12.75" customHeight="1" x14ac:dyDescent="0.2">
      <c r="A1480" s="257">
        <v>1470</v>
      </c>
      <c r="B1480" s="44">
        <v>44495</v>
      </c>
      <c r="C1480" s="44">
        <f t="shared" si="70"/>
        <v>44495</v>
      </c>
      <c r="D1480" s="374">
        <v>82</v>
      </c>
      <c r="E1480" s="291" t="str">
        <f>IFERROR(VLOOKUP($D1480,'Clients-Live'!$A:$C,3,0),"")</f>
        <v>ADUNA MANENO</v>
      </c>
      <c r="F1480" s="291">
        <f>IFERROR(INDEX(Disbursements!$D:$D,MATCH('Live Collections'!G1480,Disbursements!$C:$C,0)),"")</f>
        <v>1</v>
      </c>
      <c r="G1480" s="34">
        <v>71</v>
      </c>
      <c r="H1480" s="34">
        <v>3003</v>
      </c>
      <c r="I1480" s="34" t="s">
        <v>1357</v>
      </c>
      <c r="J1480" s="48"/>
      <c r="K1480" s="48"/>
      <c r="L1480" s="48"/>
      <c r="M1480" s="48"/>
      <c r="N1480" s="59"/>
      <c r="O1480" s="59"/>
      <c r="P1480" s="59"/>
      <c r="Q1480" s="268">
        <f t="shared" si="71"/>
        <v>0</v>
      </c>
      <c r="R1480" s="61">
        <f>IF(O1480=0,0,SUMIFS(Disbursements!$T:$T,Disbursements!$B:$B,'Live Collections'!D1480,Disbursements!$D:$D,'Live Collections'!F1480))</f>
        <v>0</v>
      </c>
      <c r="S1480" s="304">
        <f>IF(O1480&lt;=IF($O1480=0,0,SUMIFS(Disbursements!$W:$W,Disbursements!$B:$B,'Live Collections'!D1064,Disbursements!$D:$D,'Live Collections'!F1064)),O1480,IF($O1480=0,0,SUMIFS(Disbursements!$W:$W,Disbursements!$B:$B,'Live Collections'!D1064,Disbursements!$D:$D,'Live Collections'!F1064)))</f>
        <v>0</v>
      </c>
      <c r="T1480" s="304">
        <f t="shared" si="72"/>
        <v>0</v>
      </c>
      <c r="U1480" s="52"/>
      <c r="V1480" s="34"/>
      <c r="W1480" s="408"/>
    </row>
    <row r="1481" spans="1:23" ht="12.75" customHeight="1" x14ac:dyDescent="0.2">
      <c r="A1481" s="257">
        <v>1486</v>
      </c>
      <c r="B1481" s="44">
        <v>44495</v>
      </c>
      <c r="C1481" s="44">
        <f t="shared" si="70"/>
        <v>44495</v>
      </c>
      <c r="D1481" s="374">
        <v>90</v>
      </c>
      <c r="E1481" s="291" t="str">
        <f>IFERROR(VLOOKUP($D1481,'Clients-Live'!$A:$C,3,0),"")</f>
        <v>ZABIBU RAJAB SAIDI</v>
      </c>
      <c r="F1481" s="291">
        <f>IFERROR(INDEX(Disbursements!$D:$D,MATCH('Live Collections'!G1481,Disbursements!$C:$C,0)),"")</f>
        <v>1</v>
      </c>
      <c r="G1481" s="34">
        <v>77</v>
      </c>
      <c r="H1481" s="34">
        <v>3019</v>
      </c>
      <c r="I1481" s="34" t="s">
        <v>1358</v>
      </c>
      <c r="J1481" s="48"/>
      <c r="K1481" s="48"/>
      <c r="L1481" s="48"/>
      <c r="M1481" s="48"/>
      <c r="N1481" s="59"/>
      <c r="O1481" s="59">
        <v>520000</v>
      </c>
      <c r="P1481" s="59"/>
      <c r="Q1481" s="268">
        <f t="shared" si="71"/>
        <v>520000</v>
      </c>
      <c r="R1481" s="61">
        <f>IF(O1481=0,0,SUMIFS(Disbursements!$T:$T,Disbursements!$B:$B,'Live Collections'!D1481,Disbursements!$D:$D,'Live Collections'!F1481))</f>
        <v>174000</v>
      </c>
      <c r="S1481" s="64">
        <v>30033.333333333256</v>
      </c>
      <c r="T1481" s="304">
        <f t="shared" si="72"/>
        <v>489966.66666666674</v>
      </c>
      <c r="U1481" s="52"/>
      <c r="V1481" s="34"/>
      <c r="W1481" s="408"/>
    </row>
    <row r="1482" spans="1:23" ht="12.75" customHeight="1" x14ac:dyDescent="0.2">
      <c r="A1482" s="257">
        <v>1488</v>
      </c>
      <c r="B1482" s="44">
        <v>44495</v>
      </c>
      <c r="C1482" s="44">
        <f t="shared" si="70"/>
        <v>44495</v>
      </c>
      <c r="D1482" s="374">
        <v>91</v>
      </c>
      <c r="E1482" s="291" t="str">
        <f>IFERROR(VLOOKUP($D1482,'Clients-Live'!$A:$C,3,0),"")</f>
        <v>CHANDIRU SALILA</v>
      </c>
      <c r="F1482" s="291">
        <f>IFERROR(INDEX(Disbursements!$D:$D,MATCH('Live Collections'!G1482,Disbursements!$C:$C,0)),"")</f>
        <v>1</v>
      </c>
      <c r="G1482" s="34">
        <v>75</v>
      </c>
      <c r="H1482" s="34">
        <v>3055</v>
      </c>
      <c r="I1482" s="34" t="s">
        <v>1359</v>
      </c>
      <c r="J1482" s="48"/>
      <c r="K1482" s="48"/>
      <c r="L1482" s="48"/>
      <c r="M1482" s="48"/>
      <c r="N1482" s="59"/>
      <c r="O1482" s="59">
        <v>40000</v>
      </c>
      <c r="P1482" s="59"/>
      <c r="Q1482" s="268">
        <f t="shared" si="71"/>
        <v>40000</v>
      </c>
      <c r="R1482" s="61">
        <f>IF(O1482=0,0,SUMIFS(Disbursements!$T:$T,Disbursements!$B:$B,'Live Collections'!D1482,Disbursements!$D:$D,'Live Collections'!F1482))</f>
        <v>60000</v>
      </c>
      <c r="S1482" s="64">
        <v>-18000</v>
      </c>
      <c r="T1482" s="304">
        <f t="shared" si="72"/>
        <v>58000</v>
      </c>
      <c r="U1482" s="52"/>
      <c r="V1482" s="34"/>
      <c r="W1482" s="408"/>
    </row>
    <row r="1483" spans="1:23" ht="12.75" customHeight="1" x14ac:dyDescent="0.2">
      <c r="A1483" s="257">
        <v>1489</v>
      </c>
      <c r="B1483" s="44">
        <v>44495</v>
      </c>
      <c r="C1483" s="44">
        <f t="shared" si="70"/>
        <v>44495</v>
      </c>
      <c r="D1483" s="374">
        <v>92</v>
      </c>
      <c r="E1483" s="291" t="str">
        <f>IFERROR(VLOOKUP($D1483,'Clients-Live'!$A:$C,3,0),"")</f>
        <v>FAIDA ZAKIYA</v>
      </c>
      <c r="F1483" s="291">
        <f>IFERROR(INDEX(Disbursements!$D:$D,MATCH('Live Collections'!G1483,Disbursements!$C:$C,0)),"")</f>
        <v>1</v>
      </c>
      <c r="G1483" s="34">
        <v>74</v>
      </c>
      <c r="H1483" s="34">
        <v>3017</v>
      </c>
      <c r="I1483" s="34" t="s">
        <v>1358</v>
      </c>
      <c r="J1483" s="48"/>
      <c r="K1483" s="48"/>
      <c r="L1483" s="48"/>
      <c r="M1483" s="48"/>
      <c r="N1483" s="59"/>
      <c r="O1483" s="59">
        <v>40000</v>
      </c>
      <c r="P1483" s="59"/>
      <c r="Q1483" s="268">
        <f t="shared" si="71"/>
        <v>40000</v>
      </c>
      <c r="R1483" s="61">
        <f>IF(O1483=0,0,SUMIFS(Disbursements!$T:$T,Disbursements!$B:$B,'Live Collections'!D1483,Disbursements!$D:$D,'Live Collections'!F1483))</f>
        <v>175000</v>
      </c>
      <c r="S1483" s="304"/>
      <c r="T1483" s="304">
        <f t="shared" si="72"/>
        <v>40000</v>
      </c>
      <c r="U1483" s="52"/>
      <c r="V1483" s="34"/>
      <c r="W1483" s="408"/>
    </row>
    <row r="1484" spans="1:23" ht="12.75" customHeight="1" x14ac:dyDescent="0.2">
      <c r="A1484" s="257">
        <v>1465</v>
      </c>
      <c r="B1484" s="44">
        <v>44495</v>
      </c>
      <c r="C1484" s="44">
        <f t="shared" si="70"/>
        <v>44495</v>
      </c>
      <c r="D1484" s="374">
        <v>95</v>
      </c>
      <c r="E1484" s="291" t="str">
        <f>IFERROR(VLOOKUP($D1484,'Clients-Live'!$A:$C,3,0),"")</f>
        <v>MUNDURU SIFA</v>
      </c>
      <c r="F1484" s="291">
        <f>IFERROR(INDEX(Disbursements!$D:$D,MATCH('Live Collections'!G1484,Disbursements!$C:$C,0)),"")</f>
        <v>1</v>
      </c>
      <c r="G1484" s="34">
        <v>76</v>
      </c>
      <c r="H1484" s="34">
        <v>3005</v>
      </c>
      <c r="I1484" s="34" t="s">
        <v>1357</v>
      </c>
      <c r="J1484" s="48"/>
      <c r="K1484" s="48"/>
      <c r="L1484" s="48"/>
      <c r="M1484" s="48"/>
      <c r="N1484" s="59"/>
      <c r="O1484" s="59">
        <v>70000</v>
      </c>
      <c r="P1484" s="59"/>
      <c r="Q1484" s="268">
        <f t="shared" si="71"/>
        <v>70000</v>
      </c>
      <c r="R1484" s="61">
        <f>IF(O1484=0,0,SUMIFS(Disbursements!$T:$T,Disbursements!$B:$B,'Live Collections'!D1484,Disbursements!$D:$D,'Live Collections'!F1484))</f>
        <v>175000</v>
      </c>
      <c r="S1484" s="304">
        <f>IF(O1484&lt;=IF($O1484=0,0,SUMIFS(Disbursements!$W:$W,Disbursements!$B:$B,'Live Collections'!D1228,Disbursements!$D:$D,'Live Collections'!F1228)),O1484,IF($O1484=0,0,SUMIFS(Disbursements!$W:$W,Disbursements!$B:$B,'Live Collections'!D1228,Disbursements!$D:$D,'Live Collections'!F1228)))</f>
        <v>0</v>
      </c>
      <c r="T1484" s="304">
        <f t="shared" si="72"/>
        <v>70000</v>
      </c>
      <c r="U1484" s="52"/>
      <c r="V1484" s="34"/>
      <c r="W1484" s="408"/>
    </row>
    <row r="1485" spans="1:23" ht="12.75" customHeight="1" x14ac:dyDescent="0.2">
      <c r="A1485" s="257">
        <v>1492</v>
      </c>
      <c r="B1485" s="44">
        <v>44495</v>
      </c>
      <c r="C1485" s="44">
        <f t="shared" si="70"/>
        <v>44495</v>
      </c>
      <c r="D1485" s="374">
        <v>113</v>
      </c>
      <c r="E1485" s="291" t="str">
        <f>IFERROR(VLOOKUP($D1485,'Clients-Live'!$A:$C,3,0),"")</f>
        <v>ATIKU AMULE ISAAC</v>
      </c>
      <c r="F1485" s="291">
        <f>IFERROR(INDEX(Disbursements!$D:$D,MATCH('Live Collections'!G1485,Disbursements!$C:$C,0)),"")</f>
        <v>2</v>
      </c>
      <c r="G1485" s="34">
        <v>263</v>
      </c>
      <c r="H1485" s="34">
        <v>3034</v>
      </c>
      <c r="I1485" s="34" t="s">
        <v>1358</v>
      </c>
      <c r="J1485" s="48"/>
      <c r="K1485" s="48"/>
      <c r="L1485" s="48"/>
      <c r="M1485" s="48"/>
      <c r="N1485" s="59"/>
      <c r="O1485" s="59">
        <v>150000</v>
      </c>
      <c r="P1485" s="59"/>
      <c r="Q1485" s="268">
        <f t="shared" si="71"/>
        <v>150000</v>
      </c>
      <c r="R1485" s="61">
        <f>IF(O1485=0,0,SUMIFS(Disbursements!$T:$T,Disbursements!$B:$B,'Live Collections'!D1485,Disbursements!$D:$D,'Live Collections'!F1485))</f>
        <v>152000</v>
      </c>
      <c r="S1485" s="304">
        <f>IF(O1485&lt;=IF($O1485=0,0,SUMIFS(Disbursements!$W:$W,Disbursements!$B:$B,'Live Collections'!D1678,Disbursements!$D:$D,'Live Collections'!F1678)),O1485,IF($O1485=0,0,SUMIFS(Disbursements!$W:$W,Disbursements!$B:$B,'Live Collections'!D1678,Disbursements!$D:$D,'Live Collections'!F1678)))</f>
        <v>75000</v>
      </c>
      <c r="T1485" s="304">
        <f t="shared" si="72"/>
        <v>75000</v>
      </c>
      <c r="U1485" s="52"/>
      <c r="V1485" s="34"/>
      <c r="W1485" s="408"/>
    </row>
    <row r="1486" spans="1:23" ht="12.75" customHeight="1" x14ac:dyDescent="0.2">
      <c r="A1486" s="257">
        <v>1463</v>
      </c>
      <c r="B1486" s="44">
        <v>44495</v>
      </c>
      <c r="C1486" s="44">
        <f t="shared" si="70"/>
        <v>44495</v>
      </c>
      <c r="D1486" s="374">
        <v>132</v>
      </c>
      <c r="E1486" s="291" t="str">
        <f>IFERROR(VLOOKUP($D1486,'Clients-Live'!$A:$C,3,0),"")</f>
        <v>MANIYO JOICE</v>
      </c>
      <c r="F1486" s="291">
        <f>IFERROR(INDEX(Disbursements!$D:$D,MATCH('Live Collections'!G1486,Disbursements!$C:$C,0)),"")</f>
        <v>1</v>
      </c>
      <c r="G1486" s="34">
        <v>134</v>
      </c>
      <c r="H1486" s="34">
        <v>3025</v>
      </c>
      <c r="I1486" s="34" t="s">
        <v>1358</v>
      </c>
      <c r="J1486" s="48"/>
      <c r="K1486" s="48"/>
      <c r="L1486" s="48"/>
      <c r="M1486" s="48"/>
      <c r="N1486" s="59"/>
      <c r="O1486" s="59">
        <v>40000</v>
      </c>
      <c r="P1486" s="59"/>
      <c r="Q1486" s="268">
        <f t="shared" si="71"/>
        <v>40000</v>
      </c>
      <c r="R1486" s="61">
        <f>IF(O1486=0,0,SUMIFS(Disbursements!$T:$T,Disbursements!$B:$B,'Live Collections'!D1486,Disbursements!$D:$D,'Live Collections'!F1486))</f>
        <v>115000</v>
      </c>
      <c r="S1486" s="304"/>
      <c r="T1486" s="304">
        <f t="shared" si="72"/>
        <v>40000</v>
      </c>
      <c r="U1486" s="52"/>
      <c r="V1486" s="34"/>
      <c r="W1486" s="408"/>
    </row>
    <row r="1487" spans="1:23" ht="12.75" customHeight="1" x14ac:dyDescent="0.2">
      <c r="A1487" s="257">
        <v>1473</v>
      </c>
      <c r="B1487" s="44">
        <v>44495</v>
      </c>
      <c r="C1487" s="44">
        <f t="shared" si="70"/>
        <v>44495</v>
      </c>
      <c r="D1487" s="374">
        <v>135</v>
      </c>
      <c r="E1487" s="291" t="str">
        <f>IFERROR(VLOOKUP($D1487,'Clients-Live'!$A:$C,3,0),"")</f>
        <v>SARIF SAIDI</v>
      </c>
      <c r="F1487" s="291">
        <f>IFERROR(INDEX(Disbursements!$D:$D,MATCH('Live Collections'!G1487,Disbursements!$C:$C,0)),"")</f>
        <v>1</v>
      </c>
      <c r="G1487" s="34">
        <v>120</v>
      </c>
      <c r="H1487" s="34">
        <v>3031</v>
      </c>
      <c r="I1487" s="34" t="s">
        <v>1357</v>
      </c>
      <c r="J1487" s="48"/>
      <c r="K1487" s="48"/>
      <c r="L1487" s="48"/>
      <c r="M1487" s="48"/>
      <c r="N1487" s="59"/>
      <c r="O1487" s="59">
        <v>175000</v>
      </c>
      <c r="P1487" s="59"/>
      <c r="Q1487" s="268">
        <f t="shared" si="71"/>
        <v>175000</v>
      </c>
      <c r="R1487" s="61">
        <f>IF(O1487=0,0,SUMIFS(Disbursements!$T:$T,Disbursements!$B:$B,'Live Collections'!D1487,Disbursements!$D:$D,'Live Collections'!F1487))</f>
        <v>175000</v>
      </c>
      <c r="S1487" s="304">
        <f>IF(O1487&lt;=IF($O1487=0,0,SUMIFS(Disbursements!$W:$W,Disbursements!$B:$B,'Live Collections'!D1703,Disbursements!$D:$D,'Live Collections'!F1703)),O1487,IF($O1487=0,0,SUMIFS(Disbursements!$W:$W,Disbursements!$B:$B,'Live Collections'!D1703,Disbursements!$D:$D,'Live Collections'!F1703)))</f>
        <v>0</v>
      </c>
      <c r="T1487" s="304">
        <f t="shared" si="72"/>
        <v>175000</v>
      </c>
      <c r="U1487" s="52"/>
      <c r="V1487" s="34"/>
      <c r="W1487" s="408"/>
    </row>
    <row r="1488" spans="1:23" ht="12.75" customHeight="1" x14ac:dyDescent="0.2">
      <c r="A1488" s="257">
        <v>1452</v>
      </c>
      <c r="B1488" s="44">
        <v>44495</v>
      </c>
      <c r="C1488" s="44">
        <f t="shared" si="70"/>
        <v>44495</v>
      </c>
      <c r="D1488" s="374">
        <v>143</v>
      </c>
      <c r="E1488" s="291" t="str">
        <f>IFERROR(VLOOKUP($D1488,'Clients-Live'!$A:$C,3,0),"")</f>
        <v>MORO HAKIM</v>
      </c>
      <c r="F1488" s="291" t="str">
        <f>IFERROR(INDEX(Disbursements!$D:$D,MATCH('Live Collections'!G1488,Disbursements!$C:$C,0)),"")</f>
        <v/>
      </c>
      <c r="G1488" s="34"/>
      <c r="H1488" s="34">
        <v>3009</v>
      </c>
      <c r="I1488" s="34" t="s">
        <v>1357</v>
      </c>
      <c r="J1488" s="48"/>
      <c r="K1488" s="48"/>
      <c r="L1488" s="48">
        <v>25000</v>
      </c>
      <c r="M1488" s="48">
        <v>5000</v>
      </c>
      <c r="N1488" s="59"/>
      <c r="O1488" s="59"/>
      <c r="P1488" s="59"/>
      <c r="Q1488" s="268">
        <f t="shared" si="71"/>
        <v>30000</v>
      </c>
      <c r="R1488" s="61">
        <f>IF(O1488=0,0,SUMIFS(Disbursements!$T:$T,Disbursements!$B:$B,'Live Collections'!D1488,Disbursements!$D:$D,'Live Collections'!F1488))</f>
        <v>0</v>
      </c>
      <c r="S1488" s="304">
        <f>IF(O1488&lt;=IF($O1488=0,0,SUMIFS(Disbursements!$W:$W,Disbursements!$B:$B,'Live Collections'!D1808,Disbursements!$D:$D,'Live Collections'!F1808)),O1488,IF($O1488=0,0,SUMIFS(Disbursements!$W:$W,Disbursements!$B:$B,'Live Collections'!D1808,Disbursements!$D:$D,'Live Collections'!F1808)))</f>
        <v>0</v>
      </c>
      <c r="T1488" s="304">
        <f t="shared" si="72"/>
        <v>0</v>
      </c>
      <c r="U1488" s="52"/>
      <c r="V1488" s="34"/>
      <c r="W1488" s="408"/>
    </row>
    <row r="1489" spans="1:23" ht="12.75" customHeight="1" x14ac:dyDescent="0.2">
      <c r="A1489" s="257">
        <v>1460</v>
      </c>
      <c r="B1489" s="44">
        <v>44495</v>
      </c>
      <c r="C1489" s="44">
        <f t="shared" si="70"/>
        <v>44495</v>
      </c>
      <c r="D1489" s="374">
        <v>143</v>
      </c>
      <c r="E1489" s="291" t="str">
        <f>IFERROR(VLOOKUP($D1489,'Clients-Live'!$A:$C,3,0),"")</f>
        <v>MORO HAKIM</v>
      </c>
      <c r="F1489" s="291">
        <f>IFERROR(INDEX(Disbursements!$D:$D,MATCH('Live Collections'!G1489,Disbursements!$C:$C,0)),"")</f>
        <v>1</v>
      </c>
      <c r="G1489" s="34">
        <v>127</v>
      </c>
      <c r="H1489" s="34">
        <v>1351</v>
      </c>
      <c r="I1489" s="34" t="s">
        <v>1357</v>
      </c>
      <c r="J1489" s="48"/>
      <c r="K1489" s="48"/>
      <c r="L1489" s="48"/>
      <c r="M1489" s="48"/>
      <c r="N1489" s="59"/>
      <c r="O1489" s="59"/>
      <c r="P1489" s="59">
        <v>-300000</v>
      </c>
      <c r="Q1489" s="268">
        <f t="shared" si="71"/>
        <v>-300000</v>
      </c>
      <c r="R1489" s="61">
        <f>IF(O1489=0,0,SUMIFS(Disbursements!$T:$T,Disbursements!$B:$B,'Live Collections'!D1489,Disbursements!$D:$D,'Live Collections'!F1489))</f>
        <v>0</v>
      </c>
      <c r="S1489" s="304">
        <f>IF(O1489&lt;=IF($O1489=0,0,SUMIFS(Disbursements!$W:$W,Disbursements!$B:$B,'Live Collections'!D1809,Disbursements!$D:$D,'Live Collections'!F1809)),O1489,IF($O1489=0,0,SUMIFS(Disbursements!$W:$W,Disbursements!$B:$B,'Live Collections'!D1809,Disbursements!$D:$D,'Live Collections'!F1809)))</f>
        <v>0</v>
      </c>
      <c r="T1489" s="304">
        <f t="shared" si="72"/>
        <v>0</v>
      </c>
      <c r="U1489" s="52"/>
      <c r="V1489" s="34"/>
      <c r="W1489" s="408" t="s">
        <v>2108</v>
      </c>
    </row>
    <row r="1490" spans="1:23" ht="12.75" customHeight="1" x14ac:dyDescent="0.2">
      <c r="A1490" s="257">
        <v>1461</v>
      </c>
      <c r="B1490" s="44">
        <v>44495</v>
      </c>
      <c r="C1490" s="44">
        <f t="shared" si="70"/>
        <v>44495</v>
      </c>
      <c r="D1490" s="374">
        <v>143</v>
      </c>
      <c r="E1490" s="291" t="str">
        <f>IFERROR(VLOOKUP($D1490,'Clients-Live'!$A:$C,3,0),"")</f>
        <v>MORO HAKIM</v>
      </c>
      <c r="F1490" s="291">
        <f>IFERROR(INDEX(Disbursements!$D:$D,MATCH('Live Collections'!G1490,Disbursements!$C:$C,0)),"")</f>
        <v>1</v>
      </c>
      <c r="G1490" s="34">
        <v>127</v>
      </c>
      <c r="H1490" s="34">
        <v>3007</v>
      </c>
      <c r="I1490" s="34" t="s">
        <v>1357</v>
      </c>
      <c r="J1490" s="48"/>
      <c r="K1490" s="48"/>
      <c r="L1490" s="48"/>
      <c r="M1490" s="48"/>
      <c r="N1490" s="59"/>
      <c r="O1490" s="59">
        <v>300000</v>
      </c>
      <c r="P1490" s="59"/>
      <c r="Q1490" s="268">
        <f t="shared" si="71"/>
        <v>300000</v>
      </c>
      <c r="R1490" s="61">
        <f>IF(O1490=0,0,SUMIFS(Disbursements!$T:$T,Disbursements!$B:$B,'Live Collections'!D1490,Disbursements!$D:$D,'Live Collections'!F1490))</f>
        <v>1150000</v>
      </c>
      <c r="S1490" s="304">
        <f>IF(O1490&lt;=IF($O1490=0,0,SUMIFS(Disbursements!$W:$W,Disbursements!$B:$B,'Live Collections'!D1810,Disbursements!$D:$D,'Live Collections'!F1810)),O1490,IF($O1490=0,0,SUMIFS(Disbursements!$W:$W,Disbursements!$B:$B,'Live Collections'!D1810,Disbursements!$D:$D,'Live Collections'!F1810)))</f>
        <v>25000</v>
      </c>
      <c r="T1490" s="304">
        <f t="shared" si="72"/>
        <v>275000</v>
      </c>
      <c r="U1490" s="52"/>
      <c r="V1490" s="34"/>
    </row>
    <row r="1491" spans="1:23" ht="12.75" customHeight="1" x14ac:dyDescent="0.2">
      <c r="A1491" s="257">
        <v>1462</v>
      </c>
      <c r="B1491" s="44">
        <v>44495</v>
      </c>
      <c r="C1491" s="44">
        <f t="shared" si="70"/>
        <v>44495</v>
      </c>
      <c r="D1491" s="374">
        <v>143</v>
      </c>
      <c r="E1491" s="291" t="str">
        <f>IFERROR(VLOOKUP($D1491,'Clients-Live'!$A:$C,3,0),"")</f>
        <v>MORO HAKIM</v>
      </c>
      <c r="F1491" s="291">
        <f>IFERROR(INDEX(Disbursements!$D:$D,MATCH('Live Collections'!G1491,Disbursements!$C:$C,0)),"")</f>
        <v>1</v>
      </c>
      <c r="G1491" s="34">
        <v>127</v>
      </c>
      <c r="H1491" s="34">
        <v>3008</v>
      </c>
      <c r="I1491" s="34" t="s">
        <v>1357</v>
      </c>
      <c r="J1491" s="48"/>
      <c r="K1491" s="48"/>
      <c r="L1491" s="48"/>
      <c r="M1491" s="48"/>
      <c r="N1491" s="59"/>
      <c r="O1491" s="59">
        <v>850000</v>
      </c>
      <c r="P1491" s="59"/>
      <c r="Q1491" s="268">
        <f t="shared" si="71"/>
        <v>850000</v>
      </c>
      <c r="R1491" s="61">
        <f>IF(O1491=0,0,SUMIFS(Disbursements!$T:$T,Disbursements!$B:$B,'Live Collections'!D1491,Disbursements!$D:$D,'Live Collections'!F1491))</f>
        <v>1150000</v>
      </c>
      <c r="S1491" s="64">
        <v>399333.33333333331</v>
      </c>
      <c r="T1491" s="304">
        <f t="shared" si="72"/>
        <v>450666.66666666669</v>
      </c>
      <c r="U1491" s="52"/>
      <c r="V1491" s="34"/>
      <c r="W1491" s="408"/>
    </row>
    <row r="1492" spans="1:23" ht="12.75" customHeight="1" x14ac:dyDescent="0.2">
      <c r="A1492" s="257">
        <v>1487</v>
      </c>
      <c r="B1492" s="44">
        <v>44495</v>
      </c>
      <c r="C1492" s="44">
        <f t="shared" si="70"/>
        <v>44495</v>
      </c>
      <c r="D1492" s="374">
        <v>145</v>
      </c>
      <c r="E1492" s="291" t="str">
        <f>IFERROR(VLOOKUP($D1492,'Clients-Live'!$A:$C,3,0),"")</f>
        <v>NIGHT ASARA</v>
      </c>
      <c r="F1492" s="291">
        <f>IFERROR(INDEX(Disbursements!$D:$D,MATCH('Live Collections'!G1492,Disbursements!$C:$C,0)),"")</f>
        <v>1</v>
      </c>
      <c r="G1492" s="34">
        <v>132</v>
      </c>
      <c r="H1492" s="34">
        <v>3018</v>
      </c>
      <c r="I1492" s="34" t="s">
        <v>1357</v>
      </c>
      <c r="J1492" s="48"/>
      <c r="K1492" s="48"/>
      <c r="L1492" s="48"/>
      <c r="M1492" s="48"/>
      <c r="N1492" s="59"/>
      <c r="O1492" s="59">
        <v>30000</v>
      </c>
      <c r="P1492" s="59"/>
      <c r="Q1492" s="268">
        <f t="shared" si="71"/>
        <v>30000</v>
      </c>
      <c r="R1492" s="61">
        <f>IF(O1492=0,0,SUMIFS(Disbursements!$T:$T,Disbursements!$B:$B,'Live Collections'!D1492,Disbursements!$D:$D,'Live Collections'!F1492))</f>
        <v>120000</v>
      </c>
      <c r="S1492" s="304">
        <f>IF(O1492&lt;=IF($O1492=0,0,SUMIFS(Disbursements!$W:$W,Disbursements!$B:$B,'Live Collections'!D1831,Disbursements!$D:$D,'Live Collections'!F1831)),O1492,IF($O1492=0,0,SUMIFS(Disbursements!$W:$W,Disbursements!$B:$B,'Live Collections'!D1831,Disbursements!$D:$D,'Live Collections'!F1831)))</f>
        <v>15000</v>
      </c>
      <c r="T1492" s="304">
        <f t="shared" si="72"/>
        <v>15000</v>
      </c>
      <c r="U1492" s="52"/>
      <c r="V1492" s="34"/>
      <c r="W1492" s="408"/>
    </row>
    <row r="1493" spans="1:23" ht="12.75" customHeight="1" x14ac:dyDescent="0.2">
      <c r="A1493" s="257">
        <v>1493</v>
      </c>
      <c r="B1493" s="44">
        <v>44495</v>
      </c>
      <c r="C1493" s="44">
        <f t="shared" si="70"/>
        <v>44495</v>
      </c>
      <c r="D1493" s="374">
        <v>177</v>
      </c>
      <c r="E1493" s="291" t="str">
        <f>IFERROR(VLOOKUP($D1493,'Clients-Live'!$A:$C,3,0),"")</f>
        <v>EFIT GIFT</v>
      </c>
      <c r="F1493" s="291">
        <f>IFERROR(INDEX(Disbursements!$D:$D,MATCH('Live Collections'!G1493,Disbursements!$C:$C,0)),"")</f>
        <v>1</v>
      </c>
      <c r="G1493" s="34">
        <v>183</v>
      </c>
      <c r="H1493" s="34">
        <v>3013</v>
      </c>
      <c r="I1493" s="34" t="s">
        <v>1358</v>
      </c>
      <c r="J1493" s="48"/>
      <c r="K1493" s="48"/>
      <c r="L1493" s="48"/>
      <c r="M1493" s="48"/>
      <c r="N1493" s="59"/>
      <c r="O1493" s="59">
        <v>110000</v>
      </c>
      <c r="P1493" s="59"/>
      <c r="Q1493" s="268">
        <f t="shared" si="71"/>
        <v>110000</v>
      </c>
      <c r="R1493" s="61">
        <f>IF(O1493=0,0,SUMIFS(Disbursements!$T:$T,Disbursements!$B:$B,'Live Collections'!D1493,Disbursements!$D:$D,'Live Collections'!F1493))</f>
        <v>109000</v>
      </c>
      <c r="S1493" s="304">
        <f>IF(O1493&lt;=IF($O1493=0,0,SUMIFS(Disbursements!$W:$W,Disbursements!$B:$B,'Live Collections'!D2171,Disbursements!$D:$D,'Live Collections'!F2171)),O1493,IF($O1493=0,0,SUMIFS(Disbursements!$W:$W,Disbursements!$B:$B,'Live Collections'!D2171,Disbursements!$D:$D,'Live Collections'!F2171)))</f>
        <v>25000</v>
      </c>
      <c r="T1493" s="304">
        <f t="shared" si="72"/>
        <v>85000</v>
      </c>
      <c r="U1493" s="52"/>
      <c r="V1493" s="34"/>
      <c r="W1493" s="408"/>
    </row>
    <row r="1494" spans="1:23" ht="12.75" customHeight="1" x14ac:dyDescent="0.2">
      <c r="A1494" s="257">
        <v>1468</v>
      </c>
      <c r="B1494" s="44">
        <v>44495</v>
      </c>
      <c r="C1494" s="44">
        <f t="shared" si="70"/>
        <v>44495</v>
      </c>
      <c r="D1494" s="374">
        <v>180</v>
      </c>
      <c r="E1494" s="291" t="str">
        <f>IFERROR(VLOOKUP($D1494,'Clients-Live'!$A:$C,3,0),"")</f>
        <v>IJOSIGA ISMAIL</v>
      </c>
      <c r="F1494" s="291">
        <f>IFERROR(INDEX(Disbursements!$D:$D,MATCH('Live Collections'!G1494,Disbursements!$C:$C,0)),"")</f>
        <v>1</v>
      </c>
      <c r="G1494" s="34">
        <v>185</v>
      </c>
      <c r="H1494" s="34">
        <v>2900</v>
      </c>
      <c r="I1494" s="34" t="s">
        <v>1359</v>
      </c>
      <c r="J1494" s="48"/>
      <c r="K1494" s="48"/>
      <c r="L1494" s="48"/>
      <c r="M1494" s="48"/>
      <c r="N1494" s="59"/>
      <c r="O1494" s="59">
        <v>100000</v>
      </c>
      <c r="P1494" s="59"/>
      <c r="Q1494" s="268">
        <f t="shared" si="71"/>
        <v>100000</v>
      </c>
      <c r="R1494" s="61">
        <f>IF(O1494=0,0,SUMIFS(Disbursements!$T:$T,Disbursements!$B:$B,'Live Collections'!D1494,Disbursements!$D:$D,'Live Collections'!F1494))</f>
        <v>286000</v>
      </c>
      <c r="S1494" s="304"/>
      <c r="T1494" s="304">
        <f t="shared" si="72"/>
        <v>100000</v>
      </c>
      <c r="U1494" s="52"/>
      <c r="V1494" s="34"/>
      <c r="W1494" s="408"/>
    </row>
    <row r="1495" spans="1:23" ht="12.75" customHeight="1" x14ac:dyDescent="0.2">
      <c r="A1495" s="257">
        <v>1490</v>
      </c>
      <c r="B1495" s="44">
        <v>44495</v>
      </c>
      <c r="C1495" s="44">
        <f t="shared" si="70"/>
        <v>44495</v>
      </c>
      <c r="D1495" s="374">
        <v>181</v>
      </c>
      <c r="E1495" s="291" t="str">
        <f>IFERROR(VLOOKUP($D1495,'Clients-Live'!$A:$C,3,0),"")</f>
        <v>LEKURU CHRISTINE</v>
      </c>
      <c r="F1495" s="291">
        <f>IFERROR(INDEX(Disbursements!$D:$D,MATCH('Live Collections'!G1495,Disbursements!$C:$C,0)),"")</f>
        <v>1</v>
      </c>
      <c r="G1495" s="34">
        <v>168</v>
      </c>
      <c r="H1495" s="34">
        <v>3016</v>
      </c>
      <c r="I1495" s="34" t="s">
        <v>1358</v>
      </c>
      <c r="J1495" s="48"/>
      <c r="K1495" s="48"/>
      <c r="L1495" s="48"/>
      <c r="M1495" s="48"/>
      <c r="N1495" s="59"/>
      <c r="O1495" s="59">
        <v>20000</v>
      </c>
      <c r="P1495" s="59"/>
      <c r="Q1495" s="268">
        <f t="shared" si="71"/>
        <v>20000</v>
      </c>
      <c r="R1495" s="61">
        <f>IF(O1495=0,0,SUMIFS(Disbursements!$T:$T,Disbursements!$B:$B,'Live Collections'!D1495,Disbursements!$D:$D,'Live Collections'!F1495))</f>
        <v>115000</v>
      </c>
      <c r="S1495" s="304"/>
      <c r="T1495" s="304">
        <f t="shared" si="72"/>
        <v>20000</v>
      </c>
      <c r="U1495" s="52"/>
      <c r="V1495" s="34"/>
      <c r="W1495" s="408"/>
    </row>
    <row r="1496" spans="1:23" ht="12.75" customHeight="1" x14ac:dyDescent="0.2">
      <c r="A1496" s="257">
        <v>1459</v>
      </c>
      <c r="B1496" s="44">
        <v>44495</v>
      </c>
      <c r="C1496" s="44">
        <f t="shared" si="70"/>
        <v>44495</v>
      </c>
      <c r="D1496" s="374">
        <v>182</v>
      </c>
      <c r="E1496" s="291" t="str">
        <f>IFERROR(VLOOKUP($D1496,'Clients-Live'!$A:$C,3,0),"")</f>
        <v>ANITE ZAM</v>
      </c>
      <c r="F1496" s="291">
        <f>IFERROR(INDEX(Disbursements!$D:$D,MATCH('Live Collections'!G1496,Disbursements!$C:$C,0)),"")</f>
        <v>1</v>
      </c>
      <c r="G1496" s="34">
        <v>175</v>
      </c>
      <c r="H1496" s="34">
        <v>3027</v>
      </c>
      <c r="I1496" s="34" t="s">
        <v>1358</v>
      </c>
      <c r="J1496" s="48"/>
      <c r="K1496" s="48"/>
      <c r="L1496" s="48"/>
      <c r="M1496" s="48"/>
      <c r="N1496" s="59"/>
      <c r="O1496" s="59">
        <v>85000</v>
      </c>
      <c r="P1496" s="59"/>
      <c r="Q1496" s="268">
        <f t="shared" si="71"/>
        <v>85000</v>
      </c>
      <c r="R1496" s="61">
        <f>IF(O1496=0,0,SUMIFS(Disbursements!$T:$T,Disbursements!$B:$B,'Live Collections'!D1496,Disbursements!$D:$D,'Live Collections'!F1496))</f>
        <v>115000</v>
      </c>
      <c r="S1496" s="304"/>
      <c r="T1496" s="304">
        <f t="shared" si="72"/>
        <v>85000</v>
      </c>
      <c r="U1496" s="52"/>
      <c r="V1496" s="34"/>
      <c r="W1496" s="408"/>
    </row>
    <row r="1497" spans="1:23" ht="12.75" customHeight="1" x14ac:dyDescent="0.2">
      <c r="A1497" s="257">
        <v>1464</v>
      </c>
      <c r="B1497" s="44">
        <v>44495</v>
      </c>
      <c r="C1497" s="44">
        <f t="shared" si="70"/>
        <v>44495</v>
      </c>
      <c r="D1497" s="374">
        <v>185</v>
      </c>
      <c r="E1497" s="291" t="str">
        <f>IFERROR(VLOOKUP($D1497,'Clients-Live'!$A:$C,3,0),"")</f>
        <v>APAYI HARRIET</v>
      </c>
      <c r="F1497" s="291">
        <f>IFERROR(INDEX(Disbursements!$D:$D,MATCH('Live Collections'!G1497,Disbursements!$C:$C,0)),"")</f>
        <v>1</v>
      </c>
      <c r="G1497" s="34">
        <v>182</v>
      </c>
      <c r="H1497" s="34">
        <v>3006</v>
      </c>
      <c r="I1497" s="34" t="s">
        <v>1357</v>
      </c>
      <c r="J1497" s="48"/>
      <c r="K1497" s="48"/>
      <c r="L1497" s="48"/>
      <c r="M1497" s="48"/>
      <c r="N1497" s="59"/>
      <c r="O1497" s="59">
        <v>300000</v>
      </c>
      <c r="P1497" s="59"/>
      <c r="Q1497" s="268">
        <f t="shared" si="71"/>
        <v>300000</v>
      </c>
      <c r="R1497" s="61">
        <f>IF(O1497=0,0,SUMIFS(Disbursements!$T:$T,Disbursements!$B:$B,'Live Collections'!D1497,Disbursements!$D:$D,'Live Collections'!F1497))</f>
        <v>300000</v>
      </c>
      <c r="S1497" s="64">
        <v>175000</v>
      </c>
      <c r="T1497" s="304">
        <f t="shared" si="72"/>
        <v>125000</v>
      </c>
      <c r="U1497" s="52"/>
      <c r="V1497" s="34"/>
      <c r="W1497" s="408"/>
    </row>
    <row r="1498" spans="1:23" ht="12.75" customHeight="1" x14ac:dyDescent="0.2">
      <c r="A1498" s="257">
        <v>1458</v>
      </c>
      <c r="B1498" s="44">
        <v>44495</v>
      </c>
      <c r="C1498" s="44">
        <f t="shared" si="70"/>
        <v>44495</v>
      </c>
      <c r="D1498" s="374">
        <v>187</v>
      </c>
      <c r="E1498" s="291" t="str">
        <f>IFERROR(VLOOKUP($D1498,'Clients-Live'!$A:$C,3,0),"")</f>
        <v xml:space="preserve">AJIO HARRIET </v>
      </c>
      <c r="F1498" s="291">
        <f>IFERROR(INDEX(Disbursements!$D:$D,MATCH('Live Collections'!G1498,Disbursements!$C:$C,0)),"")</f>
        <v>1</v>
      </c>
      <c r="G1498" s="34">
        <v>179</v>
      </c>
      <c r="H1498" s="34">
        <v>3010</v>
      </c>
      <c r="I1498" s="34" t="s">
        <v>1358</v>
      </c>
      <c r="J1498" s="48"/>
      <c r="K1498" s="48"/>
      <c r="L1498" s="48"/>
      <c r="M1498" s="48"/>
      <c r="N1498" s="59"/>
      <c r="O1498" s="59">
        <v>120000</v>
      </c>
      <c r="P1498" s="59"/>
      <c r="Q1498" s="268">
        <f t="shared" si="71"/>
        <v>120000</v>
      </c>
      <c r="R1498" s="61">
        <f>IF(O1498=0,0,SUMIFS(Disbursements!$T:$T,Disbursements!$B:$B,'Live Collections'!D1498,Disbursements!$D:$D,'Live Collections'!F1498))</f>
        <v>120000</v>
      </c>
      <c r="S1498" s="304">
        <f>IF(O1498&lt;=IF($O1498=0,0,SUMIFS(Disbursements!$W:$W,Disbursements!$B:$B,'Live Collections'!D2276,Disbursements!$D:$D,'Live Collections'!F2276)),O1498,IF($O1498=0,0,SUMIFS(Disbursements!$W:$W,Disbursements!$B:$B,'Live Collections'!D2276,Disbursements!$D:$D,'Live Collections'!F2276)))</f>
        <v>35000</v>
      </c>
      <c r="T1498" s="304">
        <f t="shared" si="72"/>
        <v>85000</v>
      </c>
      <c r="U1498" s="52"/>
      <c r="V1498" s="34"/>
      <c r="W1498" s="408"/>
    </row>
    <row r="1499" spans="1:23" ht="12.75" customHeight="1" x14ac:dyDescent="0.2">
      <c r="A1499" s="257">
        <v>1476</v>
      </c>
      <c r="B1499" s="44">
        <v>44495</v>
      </c>
      <c r="C1499" s="44">
        <f t="shared" si="70"/>
        <v>44495</v>
      </c>
      <c r="D1499" s="374">
        <v>188</v>
      </c>
      <c r="E1499" s="291" t="str">
        <f>IFERROR(VLOOKUP($D1499,'Clients-Live'!$A:$C,3,0),"")</f>
        <v>ADIRU HELLEN</v>
      </c>
      <c r="F1499" s="291">
        <f>IFERROR(INDEX(Disbursements!$D:$D,MATCH('Live Collections'!G1499,Disbursements!$C:$C,0)),"")</f>
        <v>1</v>
      </c>
      <c r="G1499" s="34">
        <v>180</v>
      </c>
      <c r="H1499" s="34">
        <v>3012</v>
      </c>
      <c r="I1499" s="34" t="s">
        <v>1358</v>
      </c>
      <c r="J1499" s="48"/>
      <c r="K1499" s="48"/>
      <c r="L1499" s="48"/>
      <c r="M1499" s="48"/>
      <c r="N1499" s="59"/>
      <c r="O1499" s="59">
        <v>130000</v>
      </c>
      <c r="P1499" s="59"/>
      <c r="Q1499" s="268">
        <f t="shared" si="71"/>
        <v>130000</v>
      </c>
      <c r="R1499" s="61">
        <f>IF(O1499=0,0,SUMIFS(Disbursements!$T:$T,Disbursements!$B:$B,'Live Collections'!D1499,Disbursements!$D:$D,'Live Collections'!F1499))</f>
        <v>154000</v>
      </c>
      <c r="S1499" s="304">
        <f>IF(O1499&lt;=IF($O1499=0,0,SUMIFS(Disbursements!$W:$W,Disbursements!$B:$B,'Live Collections'!D2286,Disbursements!$D:$D,'Live Collections'!F2286)),O1499,IF($O1499=0,0,SUMIFS(Disbursements!$W:$W,Disbursements!$B:$B,'Live Collections'!D2286,Disbursements!$D:$D,'Live Collections'!F2286)))</f>
        <v>30000</v>
      </c>
      <c r="T1499" s="304">
        <f t="shared" si="72"/>
        <v>100000</v>
      </c>
      <c r="U1499" s="52"/>
      <c r="V1499" s="34"/>
      <c r="W1499" s="408"/>
    </row>
    <row r="1500" spans="1:23" ht="12.75" customHeight="1" x14ac:dyDescent="0.2">
      <c r="A1500" s="257">
        <v>1484</v>
      </c>
      <c r="B1500" s="44">
        <v>44495</v>
      </c>
      <c r="C1500" s="44">
        <f t="shared" si="70"/>
        <v>44495</v>
      </c>
      <c r="D1500" s="374">
        <v>192</v>
      </c>
      <c r="E1500" s="291" t="str">
        <f>IFERROR(VLOOKUP($D1500,'Clients-Live'!$A:$C,3,0),"")</f>
        <v>MAZARAU AISHA</v>
      </c>
      <c r="F1500" s="291">
        <f>IFERROR(INDEX(Disbursements!$D:$D,MATCH('Live Collections'!G1500,Disbursements!$C:$C,0)),"")</f>
        <v>1</v>
      </c>
      <c r="G1500" s="34">
        <v>181</v>
      </c>
      <c r="H1500" s="34">
        <v>3021</v>
      </c>
      <c r="I1500" s="34" t="s">
        <v>1357</v>
      </c>
      <c r="J1500" s="48"/>
      <c r="K1500" s="48"/>
      <c r="L1500" s="48"/>
      <c r="M1500" s="48"/>
      <c r="N1500" s="59"/>
      <c r="O1500" s="59">
        <v>60000</v>
      </c>
      <c r="P1500" s="59"/>
      <c r="Q1500" s="268">
        <f t="shared" si="71"/>
        <v>60000</v>
      </c>
      <c r="R1500" s="61">
        <f>IF(O1500=0,0,SUMIFS(Disbursements!$T:$T,Disbursements!$B:$B,'Live Collections'!D1500,Disbursements!$D:$D,'Live Collections'!F1500))</f>
        <v>115000</v>
      </c>
      <c r="S1500" s="64">
        <v>38875</v>
      </c>
      <c r="T1500" s="304">
        <f t="shared" si="72"/>
        <v>21125</v>
      </c>
      <c r="U1500" s="52"/>
      <c r="V1500" s="34"/>
      <c r="W1500" s="408"/>
    </row>
    <row r="1501" spans="1:23" ht="12.75" customHeight="1" x14ac:dyDescent="0.2">
      <c r="A1501" s="257">
        <v>1467</v>
      </c>
      <c r="B1501" s="44">
        <v>44495</v>
      </c>
      <c r="C1501" s="44">
        <f t="shared" si="70"/>
        <v>44495</v>
      </c>
      <c r="D1501" s="374">
        <v>202</v>
      </c>
      <c r="E1501" s="291" t="str">
        <f>IFERROR(VLOOKUP($D1501,'Clients-Live'!$A:$C,3,0),"")</f>
        <v>MUSEMA SWAIBU</v>
      </c>
      <c r="F1501" s="291">
        <f>IFERROR(INDEX(Disbursements!$D:$D,MATCH('Live Collections'!G1501,Disbursements!$C:$C,0)),"")</f>
        <v>1</v>
      </c>
      <c r="G1501" s="34">
        <v>197</v>
      </c>
      <c r="H1501" s="34">
        <v>3001</v>
      </c>
      <c r="I1501" s="34" t="s">
        <v>1358</v>
      </c>
      <c r="J1501" s="48"/>
      <c r="K1501" s="48"/>
      <c r="L1501" s="48"/>
      <c r="M1501" s="48"/>
      <c r="N1501" s="59"/>
      <c r="O1501" s="59">
        <v>150000</v>
      </c>
      <c r="P1501" s="59"/>
      <c r="Q1501" s="268">
        <f t="shared" si="71"/>
        <v>150000</v>
      </c>
      <c r="R1501" s="61">
        <f>IF(O1501=0,0,SUMIFS(Disbursements!$T:$T,Disbursements!$B:$B,'Live Collections'!D1501,Disbursements!$D:$D,'Live Collections'!F1501))</f>
        <v>144000</v>
      </c>
      <c r="S1501" s="304">
        <f>IF(O1501&lt;=IF($O1501=0,0,SUMIFS(Disbursements!$W:$W,Disbursements!$B:$B,'Live Collections'!D2556,Disbursements!$D:$D,'Live Collections'!F2556)),O1501,IF($O1501=0,0,SUMIFS(Disbursements!$W:$W,Disbursements!$B:$B,'Live Collections'!D2556,Disbursements!$D:$D,'Live Collections'!F2556)))</f>
        <v>0</v>
      </c>
      <c r="T1501" s="304">
        <f t="shared" si="72"/>
        <v>150000</v>
      </c>
      <c r="U1501" s="52"/>
      <c r="V1501" s="34"/>
      <c r="W1501" s="408"/>
    </row>
    <row r="1502" spans="1:23" ht="12.75" customHeight="1" x14ac:dyDescent="0.2">
      <c r="A1502" s="257">
        <v>1485</v>
      </c>
      <c r="B1502" s="44">
        <v>44495</v>
      </c>
      <c r="C1502" s="44">
        <f t="shared" si="70"/>
        <v>44495</v>
      </c>
      <c r="D1502" s="374">
        <v>216</v>
      </c>
      <c r="E1502" s="291" t="str">
        <f>IFERROR(VLOOKUP($D1502,'Clients-Live'!$A:$C,3,0),"")</f>
        <v>ALIGA ASHIRAF</v>
      </c>
      <c r="F1502" s="291">
        <f>IFERROR(INDEX(Disbursements!$D:$D,MATCH('Live Collections'!G1502,Disbursements!$C:$C,0)),"")</f>
        <v>1</v>
      </c>
      <c r="G1502" s="34">
        <v>215</v>
      </c>
      <c r="H1502" s="34">
        <v>2921</v>
      </c>
      <c r="I1502" s="34" t="s">
        <v>1359</v>
      </c>
      <c r="J1502" s="48"/>
      <c r="K1502" s="48"/>
      <c r="L1502" s="48"/>
      <c r="M1502" s="48"/>
      <c r="N1502" s="59"/>
      <c r="O1502" s="59">
        <v>100000</v>
      </c>
      <c r="P1502" s="59"/>
      <c r="Q1502" s="268">
        <f t="shared" si="71"/>
        <v>100000</v>
      </c>
      <c r="R1502" s="61">
        <f>IF(O1502=0,0,SUMIFS(Disbursements!$T:$T,Disbursements!$B:$B,'Live Collections'!D1502,Disbursements!$D:$D,'Live Collections'!F1502))</f>
        <v>109000</v>
      </c>
      <c r="S1502" s="304">
        <f>IF(O1502&lt;=IF($O1502=0,0,SUMIFS(Disbursements!$W:$W,Disbursements!$B:$B,'Live Collections'!D2548,Disbursements!$D:$D,'Live Collections'!F2548)),O1502,IF($O1502=0,0,SUMIFS(Disbursements!$W:$W,Disbursements!$B:$B,'Live Collections'!D2548,Disbursements!$D:$D,'Live Collections'!F2548)))</f>
        <v>0</v>
      </c>
      <c r="T1502" s="304">
        <f t="shared" si="72"/>
        <v>100000</v>
      </c>
      <c r="U1502" s="52"/>
      <c r="V1502" s="34"/>
      <c r="W1502" s="408"/>
    </row>
    <row r="1503" spans="1:23" ht="12.75" customHeight="1" x14ac:dyDescent="0.2">
      <c r="A1503" s="257">
        <v>1477</v>
      </c>
      <c r="B1503" s="44">
        <v>44495</v>
      </c>
      <c r="C1503" s="44">
        <f t="shared" si="70"/>
        <v>44495</v>
      </c>
      <c r="D1503" s="374">
        <v>218</v>
      </c>
      <c r="E1503" s="291" t="str">
        <f>IFERROR(VLOOKUP($D1503,'Clients-Live'!$A:$C,3,0),"")</f>
        <v>BUSURA OMAR</v>
      </c>
      <c r="F1503" s="291">
        <f>IFERROR(INDEX(Disbursements!$D:$D,MATCH('Live Collections'!G1503,Disbursements!$C:$C,0)),"")</f>
        <v>1</v>
      </c>
      <c r="G1503" s="34">
        <v>223</v>
      </c>
      <c r="H1503" s="34">
        <v>3028</v>
      </c>
      <c r="I1503" s="34" t="s">
        <v>1357</v>
      </c>
      <c r="J1503" s="48"/>
      <c r="K1503" s="48"/>
      <c r="L1503" s="48"/>
      <c r="M1503" s="48"/>
      <c r="N1503" s="59"/>
      <c r="O1503" s="59">
        <v>90000</v>
      </c>
      <c r="P1503" s="59"/>
      <c r="Q1503" s="268">
        <f t="shared" si="71"/>
        <v>90000</v>
      </c>
      <c r="R1503" s="61">
        <f>IF(O1503=0,0,SUMIFS(Disbursements!$T:$T,Disbursements!$B:$B,'Live Collections'!D1503,Disbursements!$D:$D,'Live Collections'!F1503))</f>
        <v>325000</v>
      </c>
      <c r="S1503" s="304">
        <f>IF(O1503&lt;=IF($O1503=0,0,SUMIFS(Disbursements!$W:$W,Disbursements!$B:$B,'Live Collections'!D2574,Disbursements!$D:$D,'Live Collections'!F2574)),O1503,IF($O1503=0,0,SUMIFS(Disbursements!$W:$W,Disbursements!$B:$B,'Live Collections'!D2574,Disbursements!$D:$D,'Live Collections'!F2574)))</f>
        <v>35000</v>
      </c>
      <c r="T1503" s="304">
        <f t="shared" si="72"/>
        <v>55000</v>
      </c>
      <c r="U1503" s="52"/>
      <c r="V1503" s="34"/>
      <c r="W1503" s="408"/>
    </row>
    <row r="1504" spans="1:23" ht="12.75" customHeight="1" x14ac:dyDescent="0.2">
      <c r="A1504" s="257">
        <v>1474</v>
      </c>
      <c r="B1504" s="44">
        <v>44495</v>
      </c>
      <c r="C1504" s="44">
        <f t="shared" si="70"/>
        <v>44495</v>
      </c>
      <c r="D1504" s="374">
        <v>237</v>
      </c>
      <c r="E1504" s="291" t="str">
        <f>IFERROR(VLOOKUP($D1504,'Clients-Live'!$A:$C,3,0),"")</f>
        <v>EZRA INNOCENT</v>
      </c>
      <c r="F1504" s="291">
        <f>IFERROR(INDEX(Disbursements!$D:$D,MATCH('Live Collections'!G1504,Disbursements!$C:$C,0)),"")</f>
        <v>1</v>
      </c>
      <c r="G1504" s="34">
        <v>244</v>
      </c>
      <c r="H1504" s="34">
        <v>3030</v>
      </c>
      <c r="I1504" s="34" t="s">
        <v>1357</v>
      </c>
      <c r="J1504" s="48"/>
      <c r="K1504" s="48"/>
      <c r="L1504" s="48"/>
      <c r="M1504" s="48"/>
      <c r="N1504" s="59"/>
      <c r="O1504" s="59">
        <v>150000</v>
      </c>
      <c r="P1504" s="59"/>
      <c r="Q1504" s="268">
        <f t="shared" si="71"/>
        <v>150000</v>
      </c>
      <c r="R1504" s="61">
        <f>IF(O1504=0,0,SUMIFS(Disbursements!$T:$T,Disbursements!$B:$B,'Live Collections'!D1504,Disbursements!$D:$D,'Live Collections'!F1504))</f>
        <v>150000</v>
      </c>
      <c r="S1504" s="64">
        <v>100000</v>
      </c>
      <c r="T1504" s="304">
        <f t="shared" si="72"/>
        <v>50000</v>
      </c>
      <c r="U1504" s="52"/>
      <c r="V1504" s="34"/>
      <c r="W1504" s="408"/>
    </row>
    <row r="1505" spans="1:23" ht="12.75" customHeight="1" x14ac:dyDescent="0.2">
      <c r="A1505" s="257">
        <v>1455</v>
      </c>
      <c r="B1505" s="44">
        <v>44495</v>
      </c>
      <c r="C1505" s="44">
        <f t="shared" si="70"/>
        <v>44495</v>
      </c>
      <c r="D1505" s="374">
        <v>240</v>
      </c>
      <c r="E1505" s="291" t="str">
        <f>IFERROR(VLOOKUP($D1505,'Clients-Live'!$A:$C,3,0),"")</f>
        <v>AYIKORU WINNIE</v>
      </c>
      <c r="F1505" s="291" t="str">
        <f>IFERROR(INDEX(Disbursements!$D:$D,MATCH('Live Collections'!G1505,Disbursements!$C:$C,0)),"")</f>
        <v/>
      </c>
      <c r="G1505" s="34"/>
      <c r="H1505" s="34">
        <v>3004</v>
      </c>
      <c r="I1505" s="34" t="s">
        <v>1358</v>
      </c>
      <c r="J1505" s="48"/>
      <c r="K1505" s="48"/>
      <c r="L1505" s="48">
        <v>15000</v>
      </c>
      <c r="M1505" s="48">
        <v>5000</v>
      </c>
      <c r="N1505" s="59"/>
      <c r="O1505" s="59"/>
      <c r="P1505" s="59"/>
      <c r="Q1505" s="268">
        <f t="shared" si="71"/>
        <v>20000</v>
      </c>
      <c r="R1505" s="61">
        <f>IF(O1505=0,0,SUMIFS(Disbursements!$T:$T,Disbursements!$B:$B,'Live Collections'!D1505,Disbursements!$D:$D,'Live Collections'!F1505))</f>
        <v>0</v>
      </c>
      <c r="S1505" s="304">
        <f>IF(O1505&lt;=IF($O1505=0,0,SUMIFS(Disbursements!$W:$W,Disbursements!$B:$B,'Live Collections'!D2747,Disbursements!$D:$D,'Live Collections'!F2747)),O1505,IF($O1505=0,0,SUMIFS(Disbursements!$W:$W,Disbursements!$B:$B,'Live Collections'!D2747,Disbursements!$D:$D,'Live Collections'!F2747)))</f>
        <v>0</v>
      </c>
      <c r="T1505" s="304">
        <f t="shared" si="72"/>
        <v>0</v>
      </c>
      <c r="U1505" s="52"/>
      <c r="V1505" s="34"/>
      <c r="W1505" s="408"/>
    </row>
    <row r="1506" spans="1:23" ht="12.75" customHeight="1" x14ac:dyDescent="0.2">
      <c r="A1506" s="257">
        <v>1479</v>
      </c>
      <c r="B1506" s="44">
        <v>44495</v>
      </c>
      <c r="C1506" s="44">
        <f t="shared" si="70"/>
        <v>44495</v>
      </c>
      <c r="D1506" s="374">
        <v>240</v>
      </c>
      <c r="E1506" s="291" t="str">
        <f>IFERROR(VLOOKUP($D1506,'Clients-Live'!$A:$C,3,0),"")</f>
        <v>AYIKORU WINNIE</v>
      </c>
      <c r="F1506" s="291" t="str">
        <f>IFERROR(INDEX(Disbursements!$D:$D,MATCH('Live Collections'!G1506,Disbursements!$C:$C,0)),"")</f>
        <v/>
      </c>
      <c r="G1506" s="34"/>
      <c r="H1506" s="34">
        <v>3041</v>
      </c>
      <c r="I1506" s="34" t="s">
        <v>1358</v>
      </c>
      <c r="J1506" s="48"/>
      <c r="K1506" s="48"/>
      <c r="L1506" s="48"/>
      <c r="M1506" s="48"/>
      <c r="N1506" s="59"/>
      <c r="O1506" s="59"/>
      <c r="P1506" s="59">
        <v>60000</v>
      </c>
      <c r="Q1506" s="268">
        <f t="shared" si="71"/>
        <v>60000</v>
      </c>
      <c r="R1506" s="61">
        <f>IF(O1506=0,0,SUMIFS(Disbursements!$T:$T,Disbursements!$B:$B,'Live Collections'!D1506,Disbursements!$D:$D,'Live Collections'!F1506))</f>
        <v>0</v>
      </c>
      <c r="S1506" s="304">
        <f>IF(O1506&lt;=IF($O1506=0,0,SUMIFS(Disbursements!$W:$W,Disbursements!$B:$B,'Live Collections'!D2748,Disbursements!$D:$D,'Live Collections'!F2748)),O1506,IF($O1506=0,0,SUMIFS(Disbursements!$W:$W,Disbursements!$B:$B,'Live Collections'!D2748,Disbursements!$D:$D,'Live Collections'!F2748)))</f>
        <v>0</v>
      </c>
      <c r="T1506" s="304">
        <f t="shared" si="72"/>
        <v>0</v>
      </c>
      <c r="U1506" s="52"/>
      <c r="V1506" s="34"/>
      <c r="W1506" s="408"/>
    </row>
    <row r="1507" spans="1:23" ht="12.75" customHeight="1" x14ac:dyDescent="0.2">
      <c r="A1507" s="257">
        <v>1495</v>
      </c>
      <c r="B1507" s="44">
        <v>44495</v>
      </c>
      <c r="C1507" s="44">
        <f t="shared" si="70"/>
        <v>44495</v>
      </c>
      <c r="D1507" s="374">
        <v>240</v>
      </c>
      <c r="E1507" s="291" t="str">
        <f>IFERROR(VLOOKUP($D1507,'Clients-Live'!$A:$C,3,0),"")</f>
        <v>AYIKORU WINNIE</v>
      </c>
      <c r="F1507" s="291">
        <f>IFERROR(INDEX(Disbursements!$D:$D,MATCH('Live Collections'!G1507,Disbursements!$C:$C,0)),"")</f>
        <v>1</v>
      </c>
      <c r="G1507" s="34">
        <v>256</v>
      </c>
      <c r="H1507" s="34">
        <v>3040</v>
      </c>
      <c r="I1507" s="34" t="s">
        <v>1358</v>
      </c>
      <c r="J1507" s="48"/>
      <c r="K1507" s="48"/>
      <c r="L1507" s="48"/>
      <c r="M1507" s="48"/>
      <c r="N1507" s="59"/>
      <c r="O1507" s="59">
        <v>62500</v>
      </c>
      <c r="P1507" s="59"/>
      <c r="Q1507" s="268">
        <f t="shared" si="71"/>
        <v>62500</v>
      </c>
      <c r="R1507" s="61">
        <f>IF(O1507=0,0,SUMIFS(Disbursements!$T:$T,Disbursements!$B:$B,'Live Collections'!D1507,Disbursements!$D:$D,'Live Collections'!F1507))</f>
        <v>1613000</v>
      </c>
      <c r="S1507" s="304"/>
      <c r="T1507" s="304">
        <f t="shared" si="72"/>
        <v>62500</v>
      </c>
      <c r="U1507" s="52"/>
      <c r="V1507" s="34"/>
      <c r="W1507" s="408"/>
    </row>
    <row r="1508" spans="1:23" ht="12.75" customHeight="1" x14ac:dyDescent="0.2">
      <c r="A1508" s="257">
        <v>1496</v>
      </c>
      <c r="B1508" s="44">
        <v>44495</v>
      </c>
      <c r="C1508" s="44">
        <f t="shared" si="70"/>
        <v>44495</v>
      </c>
      <c r="D1508" s="374">
        <v>240</v>
      </c>
      <c r="E1508" s="291" t="str">
        <f>IFERROR(VLOOKUP($D1508,'Clients-Live'!$A:$C,3,0),"")</f>
        <v>AYIKORU WINNIE</v>
      </c>
      <c r="F1508" s="291" t="str">
        <f>IFERROR(INDEX(Disbursements!$D:$D,MATCH('Live Collections'!G1508,Disbursements!$C:$C,0)),"")</f>
        <v/>
      </c>
      <c r="G1508" s="34"/>
      <c r="H1508" s="34">
        <v>328</v>
      </c>
      <c r="I1508" s="34" t="s">
        <v>1358</v>
      </c>
      <c r="J1508" s="48"/>
      <c r="K1508" s="48"/>
      <c r="L1508" s="48"/>
      <c r="M1508" s="48"/>
      <c r="N1508" s="59"/>
      <c r="O1508" s="59"/>
      <c r="P1508" s="59">
        <v>-150000</v>
      </c>
      <c r="Q1508" s="268">
        <f t="shared" si="71"/>
        <v>-150000</v>
      </c>
      <c r="R1508" s="61">
        <f>IF(O1508=0,0,SUMIFS(Disbursements!$T:$T,Disbursements!$B:$B,'Live Collections'!D1508,Disbursements!$D:$D,'Live Collections'!F1508))</f>
        <v>0</v>
      </c>
      <c r="S1508" s="304">
        <f>IF(O1508&lt;=IF($O1508=0,0,SUMIFS(Disbursements!$W:$W,Disbursements!$B:$B,'Live Collections'!D2750,Disbursements!$D:$D,'Live Collections'!F2750)),O1508,IF($O1508=0,0,SUMIFS(Disbursements!$W:$W,Disbursements!$B:$B,'Live Collections'!D2750,Disbursements!$D:$D,'Live Collections'!F2750)))</f>
        <v>0</v>
      </c>
      <c r="T1508" s="304">
        <f t="shared" si="72"/>
        <v>0</v>
      </c>
      <c r="U1508" s="52"/>
      <c r="V1508" s="34"/>
      <c r="W1508" s="408"/>
    </row>
    <row r="1509" spans="1:23" ht="12.75" customHeight="1" x14ac:dyDescent="0.2">
      <c r="A1509" s="257">
        <v>1497</v>
      </c>
      <c r="B1509" s="44">
        <v>44495</v>
      </c>
      <c r="C1509" s="44">
        <f t="shared" si="70"/>
        <v>44495</v>
      </c>
      <c r="D1509" s="374">
        <v>240</v>
      </c>
      <c r="E1509" s="291" t="str">
        <f>IFERROR(VLOOKUP($D1509,'Clients-Live'!$A:$C,3,0),"")</f>
        <v>AYIKORU WINNIE</v>
      </c>
      <c r="F1509" s="291">
        <f>IFERROR(INDEX(Disbursements!$D:$D,MATCH('Live Collections'!G1509,Disbursements!$C:$C,0)),"")</f>
        <v>1</v>
      </c>
      <c r="G1509" s="34">
        <v>256</v>
      </c>
      <c r="H1509" s="34">
        <v>3020</v>
      </c>
      <c r="I1509" s="34" t="s">
        <v>1358</v>
      </c>
      <c r="J1509" s="48"/>
      <c r="K1509" s="48"/>
      <c r="L1509" s="48"/>
      <c r="M1509" s="48"/>
      <c r="N1509" s="59"/>
      <c r="O1509" s="59">
        <v>150000</v>
      </c>
      <c r="P1509" s="59"/>
      <c r="Q1509" s="268">
        <f t="shared" si="71"/>
        <v>150000</v>
      </c>
      <c r="R1509" s="61">
        <f>IF(O1509=0,0,SUMIFS(Disbursements!$T:$T,Disbursements!$B:$B,'Live Collections'!D1509,Disbursements!$D:$D,'Live Collections'!F1509))</f>
        <v>1613000</v>
      </c>
      <c r="S1509" s="304"/>
      <c r="T1509" s="304">
        <f t="shared" si="72"/>
        <v>150000</v>
      </c>
      <c r="U1509" s="52"/>
      <c r="V1509" s="34"/>
      <c r="W1509" s="408"/>
    </row>
    <row r="1510" spans="1:23" ht="12.75" customHeight="1" x14ac:dyDescent="0.2">
      <c r="A1510" s="257">
        <v>1454</v>
      </c>
      <c r="B1510" s="44">
        <v>44495</v>
      </c>
      <c r="C1510" s="44">
        <f t="shared" si="70"/>
        <v>44495</v>
      </c>
      <c r="D1510" s="374">
        <v>256</v>
      </c>
      <c r="E1510" s="291" t="str">
        <f>IFERROR(VLOOKUP($D1510,'Clients-Live'!$A:$C,3,0),"")</f>
        <v>MUNDUGA SONGA</v>
      </c>
      <c r="F1510" s="291" t="str">
        <f>IFERROR(INDEX(Disbursements!$D:$D,MATCH('Live Collections'!G1510,Disbursements!$C:$C,0)),"")</f>
        <v/>
      </c>
      <c r="G1510" s="34"/>
      <c r="H1510" s="34">
        <v>3024</v>
      </c>
      <c r="I1510" s="34" t="s">
        <v>1357</v>
      </c>
      <c r="J1510" s="48"/>
      <c r="K1510" s="48"/>
      <c r="L1510" s="48">
        <v>20000</v>
      </c>
      <c r="M1510" s="48">
        <v>5000</v>
      </c>
      <c r="N1510" s="59"/>
      <c r="O1510" s="59"/>
      <c r="P1510" s="59"/>
      <c r="Q1510" s="268">
        <f t="shared" si="71"/>
        <v>25000</v>
      </c>
      <c r="R1510" s="61">
        <f>IF(O1510=0,0,SUMIFS(Disbursements!$T:$T,Disbursements!$B:$B,'Live Collections'!D1510,Disbursements!$D:$D,'Live Collections'!F1510))</f>
        <v>0</v>
      </c>
      <c r="S1510" s="304">
        <f>IF(O1510&lt;=IF($O1510=0,0,SUMIFS(Disbursements!$W:$W,Disbursements!$B:$B,'Live Collections'!D2863,Disbursements!$D:$D,'Live Collections'!F2863)),O1510,IF($O1510=0,0,SUMIFS(Disbursements!$W:$W,Disbursements!$B:$B,'Live Collections'!D2863,Disbursements!$D:$D,'Live Collections'!F2863)))</f>
        <v>0</v>
      </c>
      <c r="T1510" s="304">
        <f t="shared" si="72"/>
        <v>0</v>
      </c>
      <c r="U1510" s="52"/>
      <c r="V1510" s="34"/>
      <c r="W1510" s="408"/>
    </row>
    <row r="1511" spans="1:23" ht="12.75" customHeight="1" x14ac:dyDescent="0.2">
      <c r="A1511" s="257">
        <v>1453</v>
      </c>
      <c r="B1511" s="44">
        <v>44495</v>
      </c>
      <c r="C1511" s="44">
        <f t="shared" si="70"/>
        <v>44495</v>
      </c>
      <c r="D1511" s="374">
        <v>268</v>
      </c>
      <c r="E1511" s="291" t="str">
        <f>IFERROR(VLOOKUP($D1511,'Clients-Live'!$A:$C,3,0),"")</f>
        <v>BATRE SAVIOUR</v>
      </c>
      <c r="F1511" s="291" t="str">
        <f>IFERROR(INDEX(Disbursements!$D:$D,MATCH('Live Collections'!G1511,Disbursements!$C:$C,0)),"")</f>
        <v/>
      </c>
      <c r="G1511" s="34"/>
      <c r="H1511" s="34">
        <v>3051</v>
      </c>
      <c r="I1511" s="34" t="s">
        <v>1760</v>
      </c>
      <c r="J1511" s="48">
        <v>15000</v>
      </c>
      <c r="K1511" s="48">
        <v>5000</v>
      </c>
      <c r="L1511" s="48">
        <v>15000</v>
      </c>
      <c r="M1511" s="48">
        <v>5000</v>
      </c>
      <c r="N1511" s="59"/>
      <c r="O1511" s="59"/>
      <c r="P1511" s="59"/>
      <c r="Q1511" s="268">
        <f t="shared" si="71"/>
        <v>40000</v>
      </c>
      <c r="R1511" s="61">
        <f>IF(O1511=0,0,SUMIFS(Disbursements!$T:$T,Disbursements!$B:$B,'Live Collections'!D1511,Disbursements!$D:$D,'Live Collections'!F1511))</f>
        <v>0</v>
      </c>
      <c r="S1511" s="304">
        <f>IF(O1511&lt;=IF($O1511=0,0,SUMIFS(Disbursements!$W:$W,Disbursements!$B:$B,'Live Collections'!D2942,Disbursements!$D:$D,'Live Collections'!F2942)),O1511,IF($O1511=0,0,SUMIFS(Disbursements!$W:$W,Disbursements!$B:$B,'Live Collections'!D2942,Disbursements!$D:$D,'Live Collections'!F2942)))</f>
        <v>0</v>
      </c>
      <c r="T1511" s="304">
        <f t="shared" si="72"/>
        <v>0</v>
      </c>
      <c r="U1511" s="52"/>
      <c r="V1511" s="34"/>
      <c r="W1511" s="408"/>
    </row>
    <row r="1512" spans="1:23" ht="12.75" customHeight="1" x14ac:dyDescent="0.2">
      <c r="A1512" s="257">
        <v>1450</v>
      </c>
      <c r="B1512" s="44">
        <v>44495</v>
      </c>
      <c r="C1512" s="44">
        <f t="shared" si="70"/>
        <v>44495</v>
      </c>
      <c r="D1512" s="374">
        <v>269</v>
      </c>
      <c r="E1512" s="291" t="str">
        <f>IFERROR(VLOOKUP($D1512,'Clients-Live'!$A:$C,3,0),"")</f>
        <v>YANYA ROBINA</v>
      </c>
      <c r="F1512" s="291" t="str">
        <f>IFERROR(INDEX(Disbursements!$D:$D,MATCH('Live Collections'!G1512,Disbursements!$C:$C,0)),"")</f>
        <v/>
      </c>
      <c r="G1512" s="34"/>
      <c r="H1512" s="34">
        <v>3053</v>
      </c>
      <c r="I1512" s="34" t="s">
        <v>1760</v>
      </c>
      <c r="J1512" s="48">
        <v>15000</v>
      </c>
      <c r="K1512" s="48">
        <v>5000</v>
      </c>
      <c r="L1512" s="48"/>
      <c r="M1512" s="48"/>
      <c r="N1512" s="59"/>
      <c r="O1512" s="59"/>
      <c r="P1512" s="59"/>
      <c r="Q1512" s="268">
        <f t="shared" si="71"/>
        <v>20000</v>
      </c>
      <c r="R1512" s="61">
        <f>IF(O1512=0,0,SUMIFS(Disbursements!$T:$T,Disbursements!$B:$B,'Live Collections'!D1512,Disbursements!$D:$D,'Live Collections'!F1512))</f>
        <v>0</v>
      </c>
      <c r="S1512" s="304">
        <f>IF(O1512&lt;=IF($O1512=0,0,SUMIFS(Disbursements!$W:$W,Disbursements!$B:$B,'Live Collections'!D2943,Disbursements!$D:$D,'Live Collections'!F2943)),O1512,IF($O1512=0,0,SUMIFS(Disbursements!$W:$W,Disbursements!$B:$B,'Live Collections'!D2943,Disbursements!$D:$D,'Live Collections'!F2943)))</f>
        <v>0</v>
      </c>
      <c r="T1512" s="304">
        <f t="shared" si="72"/>
        <v>0</v>
      </c>
      <c r="U1512" s="52"/>
      <c r="V1512" s="34"/>
      <c r="W1512" s="408"/>
    </row>
    <row r="1513" spans="1:23" ht="12.75" customHeight="1" x14ac:dyDescent="0.2">
      <c r="A1513" s="257">
        <v>1451</v>
      </c>
      <c r="B1513" s="44">
        <v>44495</v>
      </c>
      <c r="C1513" s="44">
        <f t="shared" si="70"/>
        <v>44495</v>
      </c>
      <c r="D1513" s="374">
        <v>269</v>
      </c>
      <c r="E1513" s="291" t="str">
        <f>IFERROR(VLOOKUP($D1513,'Clients-Live'!$A:$C,3,0),"")</f>
        <v>YANYA ROBINA</v>
      </c>
      <c r="F1513" s="291" t="str">
        <f>IFERROR(INDEX(Disbursements!$D:$D,MATCH('Live Collections'!G1513,Disbursements!$C:$C,0)),"")</f>
        <v/>
      </c>
      <c r="G1513" s="34"/>
      <c r="H1513" s="34">
        <v>3052</v>
      </c>
      <c r="I1513" s="34" t="s">
        <v>1357</v>
      </c>
      <c r="J1513" s="48"/>
      <c r="K1513" s="48"/>
      <c r="L1513" s="48">
        <v>10000</v>
      </c>
      <c r="M1513" s="48">
        <v>5000</v>
      </c>
      <c r="N1513" s="59"/>
      <c r="O1513" s="59"/>
      <c r="P1513" s="59"/>
      <c r="Q1513" s="268">
        <f t="shared" si="71"/>
        <v>15000</v>
      </c>
      <c r="R1513" s="61">
        <f>IF(O1513=0,0,SUMIFS(Disbursements!$T:$T,Disbursements!$B:$B,'Live Collections'!D1513,Disbursements!$D:$D,'Live Collections'!F1513))</f>
        <v>0</v>
      </c>
      <c r="S1513" s="304">
        <f>IF(O1513&lt;=IF($O1513=0,0,SUMIFS(Disbursements!$W:$W,Disbursements!$B:$B,'Live Collections'!D2944,Disbursements!$D:$D,'Live Collections'!F2944)),O1513,IF($O1513=0,0,SUMIFS(Disbursements!$W:$W,Disbursements!$B:$B,'Live Collections'!D2944,Disbursements!$D:$D,'Live Collections'!F2944)))</f>
        <v>0</v>
      </c>
      <c r="T1513" s="304">
        <f t="shared" si="72"/>
        <v>0</v>
      </c>
      <c r="U1513" s="52"/>
      <c r="V1513" s="34"/>
      <c r="W1513" s="408"/>
    </row>
    <row r="1514" spans="1:23" ht="12.75" customHeight="1" x14ac:dyDescent="0.2">
      <c r="A1514" s="257">
        <v>1480</v>
      </c>
      <c r="B1514" s="44">
        <v>44495</v>
      </c>
      <c r="C1514" s="44">
        <f t="shared" si="70"/>
        <v>44495</v>
      </c>
      <c r="D1514" s="374">
        <v>269</v>
      </c>
      <c r="E1514" s="291" t="str">
        <f>IFERROR(VLOOKUP($D1514,'Clients-Live'!$A:$C,3,0),"")</f>
        <v>YANYA ROBINA</v>
      </c>
      <c r="F1514" s="291">
        <f>IFERROR(INDEX(Disbursements!$D:$D,MATCH('Live Collections'!G1514,Disbursements!$C:$C,0)),"")</f>
        <v>1</v>
      </c>
      <c r="G1514" s="34">
        <v>294</v>
      </c>
      <c r="H1514" s="34">
        <v>3037</v>
      </c>
      <c r="I1514" s="34" t="s">
        <v>1357</v>
      </c>
      <c r="J1514" s="48"/>
      <c r="K1514" s="48"/>
      <c r="L1514" s="48"/>
      <c r="M1514" s="48"/>
      <c r="N1514" s="59"/>
      <c r="O1514" s="59"/>
      <c r="P1514" s="59">
        <v>50000</v>
      </c>
      <c r="Q1514" s="268">
        <f t="shared" si="71"/>
        <v>50000</v>
      </c>
      <c r="R1514" s="61">
        <f>IF(O1514=0,0,SUMIFS(Disbursements!$T:$T,Disbursements!$B:$B,'Live Collections'!D1514,Disbursements!$D:$D,'Live Collections'!F1514))</f>
        <v>0</v>
      </c>
      <c r="S1514" s="304">
        <f>IF(O1514&lt;=IF($O1514=0,0,SUMIFS(Disbursements!$W:$W,Disbursements!$B:$B,'Live Collections'!D2945,Disbursements!$D:$D,'Live Collections'!F2945)),O1514,IF($O1514=0,0,SUMIFS(Disbursements!$W:$W,Disbursements!$B:$B,'Live Collections'!D2945,Disbursements!$D:$D,'Live Collections'!F2945)))</f>
        <v>0</v>
      </c>
      <c r="T1514" s="304">
        <f t="shared" si="72"/>
        <v>0</v>
      </c>
      <c r="U1514" s="52"/>
      <c r="V1514" s="34"/>
      <c r="W1514" s="408"/>
    </row>
    <row r="1515" spans="1:23" ht="12.75" customHeight="1" x14ac:dyDescent="0.2">
      <c r="A1515" s="257">
        <v>1483</v>
      </c>
      <c r="B1515" s="44">
        <v>44495</v>
      </c>
      <c r="C1515" s="44">
        <f t="shared" si="70"/>
        <v>44495</v>
      </c>
      <c r="D1515" s="374">
        <v>270</v>
      </c>
      <c r="E1515" s="291" t="str">
        <f>IFERROR(VLOOKUP($D1515,'Clients-Live'!$A:$C,3,0),"")</f>
        <v>AJOBE SAMUEL</v>
      </c>
      <c r="F1515" s="291" t="str">
        <f>IFERROR(INDEX(Disbursements!$D:$D,MATCH('Live Collections'!G1515,Disbursements!$C:$C,0)),"")</f>
        <v/>
      </c>
      <c r="G1515" s="34"/>
      <c r="H1515" s="34">
        <v>3054</v>
      </c>
      <c r="I1515" s="34" t="s">
        <v>1760</v>
      </c>
      <c r="J1515" s="48">
        <v>15000</v>
      </c>
      <c r="K1515" s="48">
        <v>5000</v>
      </c>
      <c r="L1515" s="48">
        <v>10000</v>
      </c>
      <c r="M1515" s="48">
        <v>5000</v>
      </c>
      <c r="N1515" s="59"/>
      <c r="O1515" s="59"/>
      <c r="P1515" s="59"/>
      <c r="Q1515" s="268">
        <f t="shared" si="71"/>
        <v>35000</v>
      </c>
      <c r="R1515" s="61">
        <f>IF(O1515=0,0,SUMIFS(Disbursements!$T:$T,Disbursements!$B:$B,'Live Collections'!D1515,Disbursements!$D:$D,'Live Collections'!F1515))</f>
        <v>0</v>
      </c>
      <c r="S1515" s="304">
        <f>IF(O1515&lt;=IF($O1515=0,0,SUMIFS(Disbursements!$W:$W,Disbursements!$B:$B,'Live Collections'!D2957,Disbursements!$D:$D,'Live Collections'!F2957)),O1515,IF($O1515=0,0,SUMIFS(Disbursements!$W:$W,Disbursements!$B:$B,'Live Collections'!D2957,Disbursements!$D:$D,'Live Collections'!F2957)))</f>
        <v>0</v>
      </c>
      <c r="T1515" s="304">
        <f t="shared" si="72"/>
        <v>0</v>
      </c>
      <c r="U1515" s="52"/>
      <c r="V1515" s="34"/>
      <c r="W1515" s="408"/>
    </row>
    <row r="1516" spans="1:23" ht="12.75" customHeight="1" x14ac:dyDescent="0.2">
      <c r="A1516" s="257">
        <v>1518</v>
      </c>
      <c r="B1516" s="44">
        <v>44496</v>
      </c>
      <c r="C1516" s="44">
        <f t="shared" si="70"/>
        <v>44496</v>
      </c>
      <c r="D1516" s="374">
        <v>65</v>
      </c>
      <c r="E1516" s="291" t="str">
        <f>IFERROR(VLOOKUP($D1516,'Clients-Live'!$A:$C,3,0),"")</f>
        <v>NDAWULA GERALD</v>
      </c>
      <c r="F1516" s="291">
        <f>IFERROR(INDEX(Disbursements!$D:$D,MATCH('Live Collections'!G1516,Disbursements!$C:$C,0)),"")</f>
        <v>1</v>
      </c>
      <c r="G1516" s="34">
        <v>47</v>
      </c>
      <c r="H1516" s="34">
        <v>3065</v>
      </c>
      <c r="I1516" s="34" t="s">
        <v>1359</v>
      </c>
      <c r="J1516" s="48"/>
      <c r="K1516" s="48"/>
      <c r="L1516" s="48"/>
      <c r="M1516" s="48"/>
      <c r="N1516" s="59"/>
      <c r="O1516" s="59">
        <v>20000</v>
      </c>
      <c r="P1516" s="59"/>
      <c r="Q1516" s="268">
        <f t="shared" si="71"/>
        <v>20000</v>
      </c>
      <c r="R1516" s="61">
        <f>IF(O1516=0,0,SUMIFS(Disbursements!$T:$T,Disbursements!$B:$B,'Live Collections'!D1516,Disbursements!$D:$D,'Live Collections'!F1516))</f>
        <v>217000</v>
      </c>
      <c r="S1516" s="304">
        <f>IF(O1516&lt;=IF($O1516=0,0,SUMIFS(Disbursements!$W:$W,Disbursements!$B:$B,'Live Collections'!D780,Disbursements!$D:$D,'Live Collections'!F780)),O1516,IF($O1516=0,0,SUMIFS(Disbursements!$W:$W,Disbursements!$B:$B,'Live Collections'!D780,Disbursements!$D:$D,'Live Collections'!F780)))</f>
        <v>20000</v>
      </c>
      <c r="T1516" s="304">
        <f t="shared" si="72"/>
        <v>0</v>
      </c>
      <c r="U1516" s="52"/>
      <c r="V1516" s="34"/>
      <c r="W1516" s="408"/>
    </row>
    <row r="1517" spans="1:23" ht="12.75" customHeight="1" x14ac:dyDescent="0.2">
      <c r="A1517" s="257">
        <v>1508</v>
      </c>
      <c r="B1517" s="44">
        <v>44496</v>
      </c>
      <c r="C1517" s="44">
        <f t="shared" si="70"/>
        <v>44496</v>
      </c>
      <c r="D1517" s="374">
        <v>89</v>
      </c>
      <c r="E1517" s="291" t="str">
        <f>IFERROR(VLOOKUP($D1517,'Clients-Live'!$A:$C,3,0),"")</f>
        <v>ANDA FLORENCE</v>
      </c>
      <c r="F1517" s="291">
        <f>IFERROR(INDEX(Disbursements!$D:$D,MATCH('Live Collections'!G1517,Disbursements!$C:$C,0)),"")</f>
        <v>1</v>
      </c>
      <c r="G1517" s="34">
        <v>78</v>
      </c>
      <c r="H1517" s="34">
        <v>3060</v>
      </c>
      <c r="I1517" s="34" t="s">
        <v>1359</v>
      </c>
      <c r="J1517" s="48"/>
      <c r="K1517" s="48"/>
      <c r="L1517" s="48"/>
      <c r="M1517" s="48"/>
      <c r="N1517" s="59"/>
      <c r="O1517" s="59">
        <v>150000</v>
      </c>
      <c r="P1517" s="59"/>
      <c r="Q1517" s="268">
        <f t="shared" si="71"/>
        <v>150000</v>
      </c>
      <c r="R1517" s="61">
        <f>IF(O1517=0,0,SUMIFS(Disbursements!$T:$T,Disbursements!$B:$B,'Live Collections'!D1517,Disbursements!$D:$D,'Live Collections'!F1517))</f>
        <v>152000</v>
      </c>
      <c r="S1517" s="304">
        <f>IF(O1517&lt;=IF($O1517=0,0,SUMIFS(Disbursements!$W:$W,Disbursements!$B:$B,'Live Collections'!D1159,Disbursements!$D:$D,'Live Collections'!F1159)),O1517,IF($O1517=0,0,SUMIFS(Disbursements!$W:$W,Disbursements!$B:$B,'Live Collections'!D1159,Disbursements!$D:$D,'Live Collections'!F1159)))</f>
        <v>25000</v>
      </c>
      <c r="T1517" s="304">
        <f t="shared" si="72"/>
        <v>125000</v>
      </c>
      <c r="U1517" s="52"/>
      <c r="V1517" s="34"/>
      <c r="W1517" s="408"/>
    </row>
    <row r="1518" spans="1:23" ht="12.75" customHeight="1" x14ac:dyDescent="0.2">
      <c r="A1518" s="257">
        <v>1509</v>
      </c>
      <c r="B1518" s="44">
        <v>44496</v>
      </c>
      <c r="C1518" s="44">
        <f t="shared" si="70"/>
        <v>44496</v>
      </c>
      <c r="D1518" s="374">
        <v>90</v>
      </c>
      <c r="E1518" s="291" t="str">
        <f>IFERROR(VLOOKUP($D1518,'Clients-Live'!$A:$C,3,0),"")</f>
        <v>ZABIBU RAJAB SAIDI</v>
      </c>
      <c r="F1518" s="291" t="str">
        <f>IFERROR(INDEX(Disbursements!$D:$D,MATCH('Live Collections'!G1518,Disbursements!$C:$C,0)),"")</f>
        <v/>
      </c>
      <c r="G1518" s="34"/>
      <c r="H1518" s="34">
        <v>3059</v>
      </c>
      <c r="I1518" s="34" t="s">
        <v>1358</v>
      </c>
      <c r="J1518" s="48"/>
      <c r="K1518" s="48"/>
      <c r="L1518" s="48">
        <v>15000</v>
      </c>
      <c r="M1518" s="48">
        <v>5000</v>
      </c>
      <c r="N1518" s="59"/>
      <c r="O1518" s="59"/>
      <c r="P1518" s="59"/>
      <c r="Q1518" s="268">
        <f t="shared" si="71"/>
        <v>20000</v>
      </c>
      <c r="R1518" s="61">
        <f>IF(O1518=0,0,SUMIFS(Disbursements!$T:$T,Disbursements!$B:$B,'Live Collections'!D1518,Disbursements!$D:$D,'Live Collections'!F1518))</f>
        <v>0</v>
      </c>
      <c r="S1518" s="304">
        <f>IF(O1518&lt;=IF($O1518=0,0,SUMIFS(Disbursements!$W:$W,Disbursements!$B:$B,'Live Collections'!D1175,Disbursements!$D:$D,'Live Collections'!F1175)),O1518,IF($O1518=0,0,SUMIFS(Disbursements!$W:$W,Disbursements!$B:$B,'Live Collections'!D1175,Disbursements!$D:$D,'Live Collections'!F1175)))</f>
        <v>0</v>
      </c>
      <c r="T1518" s="304">
        <f t="shared" si="72"/>
        <v>0</v>
      </c>
      <c r="U1518" s="52"/>
      <c r="V1518" s="34"/>
      <c r="W1518" s="408"/>
    </row>
    <row r="1519" spans="1:23" ht="12.75" customHeight="1" x14ac:dyDescent="0.2">
      <c r="A1519" s="257">
        <v>1502</v>
      </c>
      <c r="B1519" s="44">
        <v>44496</v>
      </c>
      <c r="C1519" s="44">
        <f t="shared" si="70"/>
        <v>44496</v>
      </c>
      <c r="D1519" s="374">
        <v>91</v>
      </c>
      <c r="E1519" s="291" t="str">
        <f>IFERROR(VLOOKUP($D1519,'Clients-Live'!$A:$C,3,0),"")</f>
        <v>CHANDIRU SALILA</v>
      </c>
      <c r="F1519" s="291">
        <v>1</v>
      </c>
      <c r="G1519" s="34">
        <v>75</v>
      </c>
      <c r="H1519" s="34">
        <v>327</v>
      </c>
      <c r="I1519" s="34" t="s">
        <v>1359</v>
      </c>
      <c r="J1519" s="48"/>
      <c r="K1519" s="48"/>
      <c r="L1519" s="48"/>
      <c r="M1519" s="48"/>
      <c r="N1519" s="59"/>
      <c r="O1519" s="59"/>
      <c r="P1519" s="59">
        <v>-20000</v>
      </c>
      <c r="Q1519" s="268">
        <f t="shared" si="71"/>
        <v>-20000</v>
      </c>
      <c r="R1519" s="61">
        <f>IF(O1519=0,0,SUMIFS(Disbursements!$T:$T,Disbursements!$B:$B,'Live Collections'!D1519,Disbursements!$D:$D,'Live Collections'!F1519))</f>
        <v>0</v>
      </c>
      <c r="S1519" s="304">
        <f>IF(O1519&lt;=IF($O1519=0,0,SUMIFS(Disbursements!$W:$W,Disbursements!$B:$B,'Live Collections'!D1186,Disbursements!$D:$D,'Live Collections'!F1186)),O1519,IF($O1519=0,0,SUMIFS(Disbursements!$W:$W,Disbursements!$B:$B,'Live Collections'!D1186,Disbursements!$D:$D,'Live Collections'!F1186)))</f>
        <v>0</v>
      </c>
      <c r="T1519" s="304">
        <f t="shared" si="72"/>
        <v>0</v>
      </c>
      <c r="U1519" s="52"/>
      <c r="V1519" s="34"/>
      <c r="W1519" s="408"/>
    </row>
    <row r="1520" spans="1:23" ht="12.75" customHeight="1" x14ac:dyDescent="0.2">
      <c r="A1520" s="257">
        <v>1503</v>
      </c>
      <c r="B1520" s="44">
        <v>44496</v>
      </c>
      <c r="C1520" s="44">
        <f t="shared" si="70"/>
        <v>44496</v>
      </c>
      <c r="D1520" s="374">
        <v>91</v>
      </c>
      <c r="E1520" s="291" t="str">
        <f>IFERROR(VLOOKUP($D1520,'Clients-Live'!$A:$C,3,0),"")</f>
        <v>CHANDIRU SALILA</v>
      </c>
      <c r="F1520" s="291">
        <f>IFERROR(INDEX(Disbursements!$D:$D,MATCH('Live Collections'!G1520,Disbursements!$C:$C,0)),"")</f>
        <v>1</v>
      </c>
      <c r="G1520" s="34">
        <v>75</v>
      </c>
      <c r="H1520" s="34">
        <v>3049</v>
      </c>
      <c r="I1520" s="34" t="s">
        <v>1359</v>
      </c>
      <c r="J1520" s="48"/>
      <c r="K1520" s="48"/>
      <c r="L1520" s="48"/>
      <c r="M1520" s="48"/>
      <c r="N1520" s="59"/>
      <c r="O1520" s="59">
        <v>20000</v>
      </c>
      <c r="P1520" s="59"/>
      <c r="Q1520" s="268">
        <f t="shared" si="71"/>
        <v>20000</v>
      </c>
      <c r="R1520" s="61">
        <f>IF(O1520=0,0,SUMIFS(Disbursements!$T:$T,Disbursements!$B:$B,'Live Collections'!D1520,Disbursements!$D:$D,'Live Collections'!F1520))</f>
        <v>60000</v>
      </c>
      <c r="S1520" s="304"/>
      <c r="T1520" s="304">
        <f t="shared" si="72"/>
        <v>20000</v>
      </c>
      <c r="U1520" s="52"/>
      <c r="V1520" s="34"/>
      <c r="W1520" s="408"/>
    </row>
    <row r="1521" spans="1:23" ht="12.75" customHeight="1" x14ac:dyDescent="0.2">
      <c r="A1521" s="257">
        <v>1504</v>
      </c>
      <c r="B1521" s="44">
        <v>44496</v>
      </c>
      <c r="C1521" s="44">
        <f t="shared" si="70"/>
        <v>44496</v>
      </c>
      <c r="D1521" s="374">
        <v>94</v>
      </c>
      <c r="E1521" s="291" t="str">
        <f>IFERROR(VLOOKUP($D1521,'Clients-Live'!$A:$C,3,0),"")</f>
        <v>NGINYA RICHARD</v>
      </c>
      <c r="F1521" s="291" t="str">
        <f>IFERROR(INDEX(Disbursements!$D:$D,MATCH('Live Collections'!G1521,Disbursements!$C:$C,0)),"")</f>
        <v/>
      </c>
      <c r="G1521" s="34"/>
      <c r="H1521" s="34">
        <v>334</v>
      </c>
      <c r="I1521" s="34" t="s">
        <v>1357</v>
      </c>
      <c r="J1521" s="48"/>
      <c r="K1521" s="48"/>
      <c r="L1521" s="48"/>
      <c r="M1521" s="48"/>
      <c r="N1521" s="59"/>
      <c r="O1521" s="59"/>
      <c r="P1521" s="59">
        <v>-40000</v>
      </c>
      <c r="Q1521" s="268">
        <f t="shared" si="71"/>
        <v>-40000</v>
      </c>
      <c r="R1521" s="61">
        <f>IF(O1521=0,0,SUMIFS(Disbursements!$T:$T,Disbursements!$B:$B,'Live Collections'!D1521,Disbursements!$D:$D,'Live Collections'!F1521))</f>
        <v>0</v>
      </c>
      <c r="S1521" s="304">
        <f>IF(O1521&lt;=IF($O1521=0,0,SUMIFS(Disbursements!$W:$W,Disbursements!$B:$B,'Live Collections'!D1214,Disbursements!$D:$D,'Live Collections'!F1214)),O1521,IF($O1521=0,0,SUMIFS(Disbursements!$W:$W,Disbursements!$B:$B,'Live Collections'!D1214,Disbursements!$D:$D,'Live Collections'!F1214)))</f>
        <v>0</v>
      </c>
      <c r="T1521" s="304">
        <f t="shared" si="72"/>
        <v>0</v>
      </c>
      <c r="U1521" s="52"/>
      <c r="V1521" s="34"/>
      <c r="W1521" s="408"/>
    </row>
    <row r="1522" spans="1:23" ht="12.75" customHeight="1" x14ac:dyDescent="0.2">
      <c r="A1522" s="257">
        <v>1505</v>
      </c>
      <c r="B1522" s="44">
        <v>44496</v>
      </c>
      <c r="C1522" s="44">
        <f t="shared" si="70"/>
        <v>44496</v>
      </c>
      <c r="D1522" s="374">
        <v>94</v>
      </c>
      <c r="E1522" s="291" t="str">
        <f>IFERROR(VLOOKUP($D1522,'Clients-Live'!$A:$C,3,0),"")</f>
        <v>NGINYA RICHARD</v>
      </c>
      <c r="F1522" s="291">
        <f>IFERROR(INDEX(Disbursements!$D:$D,MATCH('Live Collections'!G1522,Disbursements!$C:$C,0)),"")</f>
        <v>1</v>
      </c>
      <c r="G1522" s="34">
        <v>84</v>
      </c>
      <c r="H1522" s="34">
        <v>3047</v>
      </c>
      <c r="I1522" s="34" t="s">
        <v>1357</v>
      </c>
      <c r="J1522" s="48"/>
      <c r="K1522" s="48"/>
      <c r="L1522" s="48"/>
      <c r="M1522" s="48"/>
      <c r="N1522" s="59"/>
      <c r="O1522" s="59">
        <v>40000</v>
      </c>
      <c r="P1522" s="59"/>
      <c r="Q1522" s="268">
        <f t="shared" si="71"/>
        <v>40000</v>
      </c>
      <c r="R1522" s="61">
        <f>IF(O1522=0,0,SUMIFS(Disbursements!$T:$T,Disbursements!$B:$B,'Live Collections'!D1522,Disbursements!$D:$D,'Live Collections'!F1522))</f>
        <v>120000</v>
      </c>
      <c r="S1522" s="304"/>
      <c r="T1522" s="304">
        <f t="shared" si="72"/>
        <v>40000</v>
      </c>
      <c r="U1522" s="52"/>
      <c r="V1522" s="34"/>
      <c r="W1522" s="408"/>
    </row>
    <row r="1523" spans="1:23" ht="12.75" customHeight="1" x14ac:dyDescent="0.2">
      <c r="A1523" s="257">
        <v>1510</v>
      </c>
      <c r="B1523" s="44">
        <v>44496</v>
      </c>
      <c r="C1523" s="44">
        <f t="shared" si="70"/>
        <v>44496</v>
      </c>
      <c r="D1523" s="374">
        <v>94</v>
      </c>
      <c r="E1523" s="291" t="str">
        <f>IFERROR(VLOOKUP($D1523,'Clients-Live'!$A:$C,3,0),"")</f>
        <v>NGINYA RICHARD</v>
      </c>
      <c r="F1523" s="291">
        <f>IFERROR(INDEX(Disbursements!$D:$D,MATCH('Live Collections'!G1523,Disbursements!$C:$C,0)),"")</f>
        <v>1</v>
      </c>
      <c r="G1523" s="34">
        <v>84</v>
      </c>
      <c r="H1523" s="34">
        <v>3048</v>
      </c>
      <c r="I1523" s="34" t="s">
        <v>1357</v>
      </c>
      <c r="J1523" s="48"/>
      <c r="K1523" s="48"/>
      <c r="L1523" s="48"/>
      <c r="M1523" s="48"/>
      <c r="N1523" s="59"/>
      <c r="O1523" s="59">
        <v>80000</v>
      </c>
      <c r="P1523" s="59"/>
      <c r="Q1523" s="268">
        <f t="shared" si="71"/>
        <v>80000</v>
      </c>
      <c r="R1523" s="61">
        <f>IF(O1523=0,0,SUMIFS(Disbursements!$T:$T,Disbursements!$B:$B,'Live Collections'!D1523,Disbursements!$D:$D,'Live Collections'!F1523))</f>
        <v>120000</v>
      </c>
      <c r="S1523" s="304"/>
      <c r="T1523" s="304">
        <f t="shared" si="72"/>
        <v>80000</v>
      </c>
      <c r="U1523" s="52"/>
      <c r="V1523" s="34"/>
      <c r="W1523" s="408"/>
    </row>
    <row r="1524" spans="1:23" ht="12.75" customHeight="1" x14ac:dyDescent="0.2">
      <c r="A1524" s="257">
        <v>1514</v>
      </c>
      <c r="B1524" s="44">
        <v>44496</v>
      </c>
      <c r="C1524" s="44">
        <f t="shared" si="70"/>
        <v>44496</v>
      </c>
      <c r="D1524" s="374">
        <v>121</v>
      </c>
      <c r="E1524" s="291" t="str">
        <f>IFERROR(VLOOKUP($D1524,'Clients-Live'!$A:$C,3,0),"")</f>
        <v>AMAYO CHARLES</v>
      </c>
      <c r="F1524" s="291">
        <f>IFERROR(INDEX(Disbursements!$D:$D,MATCH('Live Collections'!G1524,Disbursements!$C:$C,0)),"")</f>
        <v>1</v>
      </c>
      <c r="G1524" s="34">
        <v>105</v>
      </c>
      <c r="H1524" s="34">
        <v>3023</v>
      </c>
      <c r="I1524" s="34" t="s">
        <v>1358</v>
      </c>
      <c r="J1524" s="48"/>
      <c r="K1524" s="48"/>
      <c r="L1524" s="48"/>
      <c r="M1524" s="48"/>
      <c r="N1524" s="59"/>
      <c r="O1524" s="59">
        <v>80000</v>
      </c>
      <c r="P1524" s="59"/>
      <c r="Q1524" s="268">
        <f t="shared" si="71"/>
        <v>80000</v>
      </c>
      <c r="R1524" s="61">
        <f>IF(O1524=0,0,SUMIFS(Disbursements!$T:$T,Disbursements!$B:$B,'Live Collections'!D1524,Disbursements!$D:$D,'Live Collections'!F1524))</f>
        <v>240000</v>
      </c>
      <c r="S1524" s="304">
        <v>4666.666666666657</v>
      </c>
      <c r="T1524" s="304">
        <f t="shared" si="72"/>
        <v>75333.333333333343</v>
      </c>
      <c r="U1524" s="52"/>
      <c r="V1524" s="34"/>
      <c r="W1524" s="408"/>
    </row>
    <row r="1525" spans="1:23" ht="12.75" customHeight="1" x14ac:dyDescent="0.2">
      <c r="A1525" s="257">
        <v>1515</v>
      </c>
      <c r="B1525" s="44">
        <v>44496</v>
      </c>
      <c r="C1525" s="44">
        <f t="shared" si="70"/>
        <v>44496</v>
      </c>
      <c r="D1525" s="374">
        <v>124</v>
      </c>
      <c r="E1525" s="291" t="str">
        <f>IFERROR(VLOOKUP($D1525,'Clients-Live'!$A:$C,3,0),"")</f>
        <v>TIKO ZABIBU</v>
      </c>
      <c r="F1525" s="291">
        <f>IFERROR(INDEX(Disbursements!$D:$D,MATCH('Live Collections'!G1525,Disbursements!$C:$C,0)),"")</f>
        <v>1</v>
      </c>
      <c r="G1525" s="34">
        <v>199</v>
      </c>
      <c r="H1525" s="34">
        <v>3022</v>
      </c>
      <c r="I1525" s="34" t="s">
        <v>1358</v>
      </c>
      <c r="J1525" s="48"/>
      <c r="K1525" s="48"/>
      <c r="L1525" s="48"/>
      <c r="M1525" s="48"/>
      <c r="N1525" s="59"/>
      <c r="O1525" s="59">
        <v>40000</v>
      </c>
      <c r="P1525" s="59"/>
      <c r="Q1525" s="268">
        <f t="shared" si="71"/>
        <v>40000</v>
      </c>
      <c r="R1525" s="61">
        <f>IF(O1525=0,0,SUMIFS(Disbursements!$T:$T,Disbursements!$B:$B,'Live Collections'!D1525,Disbursements!$D:$D,'Live Collections'!F1525))</f>
        <v>180000</v>
      </c>
      <c r="S1525" s="304"/>
      <c r="T1525" s="304">
        <f t="shared" si="72"/>
        <v>40000</v>
      </c>
      <c r="U1525" s="52"/>
      <c r="V1525" s="34"/>
      <c r="W1525" s="408"/>
    </row>
    <row r="1526" spans="1:23" ht="12.75" customHeight="1" x14ac:dyDescent="0.2">
      <c r="A1526" s="257">
        <v>1513</v>
      </c>
      <c r="B1526" s="44">
        <v>44496</v>
      </c>
      <c r="C1526" s="44">
        <f t="shared" si="70"/>
        <v>44496</v>
      </c>
      <c r="D1526" s="374">
        <v>125</v>
      </c>
      <c r="E1526" s="291" t="str">
        <f>IFERROR(VLOOKUP($D1526,'Clients-Live'!$A:$C,3,0),"")</f>
        <v>SUNDAY SCOVIA</v>
      </c>
      <c r="F1526" s="291">
        <f>IFERROR(INDEX(Disbursements!$D:$D,MATCH('Live Collections'!G1526,Disbursements!$C:$C,0)),"")</f>
        <v>1</v>
      </c>
      <c r="G1526" s="34">
        <v>111</v>
      </c>
      <c r="H1526" s="34">
        <v>3042</v>
      </c>
      <c r="I1526" s="34" t="s">
        <v>1358</v>
      </c>
      <c r="J1526" s="48"/>
      <c r="K1526" s="48"/>
      <c r="L1526" s="48"/>
      <c r="M1526" s="48"/>
      <c r="N1526" s="59"/>
      <c r="O1526" s="59">
        <v>40000</v>
      </c>
      <c r="P1526" s="59"/>
      <c r="Q1526" s="268">
        <f t="shared" si="71"/>
        <v>40000</v>
      </c>
      <c r="R1526" s="61">
        <f>IF(O1526=0,0,SUMIFS(Disbursements!$T:$T,Disbursements!$B:$B,'Live Collections'!D1526,Disbursements!$D:$D,'Live Collections'!F1526))</f>
        <v>120000</v>
      </c>
      <c r="S1526" s="304"/>
      <c r="T1526" s="304">
        <f t="shared" si="72"/>
        <v>40000</v>
      </c>
      <c r="U1526" s="52"/>
      <c r="V1526" s="34"/>
      <c r="W1526" s="408"/>
    </row>
    <row r="1527" spans="1:23" ht="12.75" customHeight="1" x14ac:dyDescent="0.2">
      <c r="A1527" s="257">
        <v>1498</v>
      </c>
      <c r="B1527" s="44">
        <v>44496</v>
      </c>
      <c r="C1527" s="44">
        <f t="shared" si="70"/>
        <v>44496</v>
      </c>
      <c r="D1527" s="374">
        <v>126</v>
      </c>
      <c r="E1527" s="291" t="str">
        <f>IFERROR(VLOOKUP($D1527,'Clients-Live'!$A:$C,3,0),"")</f>
        <v>OGWAL STEPHEN GERALD</v>
      </c>
      <c r="F1527" s="291" t="str">
        <f>IFERROR(INDEX(Disbursements!$D:$D,MATCH('Live Collections'!G1527,Disbursements!$C:$C,0)),"")</f>
        <v/>
      </c>
      <c r="G1527" s="34"/>
      <c r="H1527" s="34">
        <v>333</v>
      </c>
      <c r="I1527" s="34" t="s">
        <v>1359</v>
      </c>
      <c r="J1527" s="48"/>
      <c r="K1527" s="48"/>
      <c r="L1527" s="48"/>
      <c r="M1527" s="48"/>
      <c r="N1527" s="59"/>
      <c r="O1527" s="59"/>
      <c r="P1527" s="59">
        <v>-150000</v>
      </c>
      <c r="Q1527" s="268">
        <f t="shared" si="71"/>
        <v>-150000</v>
      </c>
      <c r="R1527" s="61">
        <f>IF(O1527=0,0,SUMIFS(Disbursements!$T:$T,Disbursements!$B:$B,'Live Collections'!D1527,Disbursements!$D:$D,'Live Collections'!F1527))</f>
        <v>0</v>
      </c>
      <c r="S1527" s="304">
        <f>IF(O1527&lt;=IF($O1527=0,0,SUMIFS(Disbursements!$W:$W,Disbursements!$B:$B,'Live Collections'!D1601,Disbursements!$D:$D,'Live Collections'!F1601)),O1527,IF($O1527=0,0,SUMIFS(Disbursements!$W:$W,Disbursements!$B:$B,'Live Collections'!D1601,Disbursements!$D:$D,'Live Collections'!F1601)))</f>
        <v>0</v>
      </c>
      <c r="T1527" s="304">
        <f t="shared" si="72"/>
        <v>0</v>
      </c>
      <c r="U1527" s="52"/>
      <c r="V1527" s="34"/>
      <c r="W1527" s="408"/>
    </row>
    <row r="1528" spans="1:23" ht="12.75" customHeight="1" x14ac:dyDescent="0.2">
      <c r="A1528" s="257">
        <v>1499</v>
      </c>
      <c r="B1528" s="44">
        <v>44496</v>
      </c>
      <c r="C1528" s="44">
        <f t="shared" si="70"/>
        <v>44496</v>
      </c>
      <c r="D1528" s="374">
        <v>126</v>
      </c>
      <c r="E1528" s="291" t="str">
        <f>IFERROR(VLOOKUP($D1528,'Clients-Live'!$A:$C,3,0),"")</f>
        <v>OGWAL STEPHEN GERALD</v>
      </c>
      <c r="F1528" s="291">
        <f>IFERROR(INDEX(Disbursements!$D:$D,MATCH('Live Collections'!G1528,Disbursements!$C:$C,0)),"")</f>
        <v>2</v>
      </c>
      <c r="G1528" s="34">
        <v>137</v>
      </c>
      <c r="H1528" s="34">
        <v>3045</v>
      </c>
      <c r="I1528" s="34" t="s">
        <v>1359</v>
      </c>
      <c r="J1528" s="48"/>
      <c r="K1528" s="48"/>
      <c r="L1528" s="48"/>
      <c r="M1528" s="48"/>
      <c r="N1528" s="59"/>
      <c r="O1528" s="59"/>
      <c r="P1528" s="59">
        <v>150000</v>
      </c>
      <c r="Q1528" s="268">
        <f t="shared" si="71"/>
        <v>150000</v>
      </c>
      <c r="R1528" s="61">
        <f>IF(O1528=0,0,SUMIFS(Disbursements!$T:$T,Disbursements!$B:$B,'Live Collections'!D1528,Disbursements!$D:$D,'Live Collections'!F1528))</f>
        <v>0</v>
      </c>
      <c r="S1528" s="304">
        <f>IF(O1528&lt;=IF($O1528=0,0,SUMIFS(Disbursements!$W:$W,Disbursements!$B:$B,'Live Collections'!D2365,Disbursements!$D:$D,'Live Collections'!F2365)),O1528,IF($O1528=0,0,SUMIFS(Disbursements!$W:$W,Disbursements!$B:$B,'Live Collections'!D2365,Disbursements!$D:$D,'Live Collections'!F2365)))</f>
        <v>0</v>
      </c>
      <c r="T1528" s="304">
        <f t="shared" si="72"/>
        <v>0</v>
      </c>
      <c r="U1528" s="52"/>
      <c r="V1528" s="34"/>
      <c r="W1528" s="408"/>
    </row>
    <row r="1529" spans="1:23" ht="12.75" customHeight="1" x14ac:dyDescent="0.2">
      <c r="A1529" s="257">
        <v>1511</v>
      </c>
      <c r="B1529" s="44">
        <v>44496</v>
      </c>
      <c r="C1529" s="44">
        <f t="shared" si="70"/>
        <v>44496</v>
      </c>
      <c r="D1529" s="374">
        <v>126</v>
      </c>
      <c r="E1529" s="291" t="str">
        <f>IFERROR(VLOOKUP($D1529,'Clients-Live'!$A:$C,3,0),"")</f>
        <v>OGWAL STEPHEN GERALD</v>
      </c>
      <c r="F1529" s="291" t="str">
        <f>IFERROR(INDEX(Disbursements!$D:$D,MATCH('Live Collections'!G1529,Disbursements!$C:$C,0)),"")</f>
        <v/>
      </c>
      <c r="G1529" s="34"/>
      <c r="H1529" s="34">
        <v>2924</v>
      </c>
      <c r="I1529" s="34" t="s">
        <v>1359</v>
      </c>
      <c r="J1529" s="48"/>
      <c r="K1529" s="48"/>
      <c r="L1529" s="48">
        <v>20000</v>
      </c>
      <c r="M1529" s="48">
        <v>5000</v>
      </c>
      <c r="N1529" s="59"/>
      <c r="O1529" s="59"/>
      <c r="P1529" s="59"/>
      <c r="Q1529" s="268">
        <f t="shared" si="71"/>
        <v>25000</v>
      </c>
      <c r="R1529" s="61">
        <f>IF(O1529=0,0,SUMIFS(Disbursements!$T:$T,Disbursements!$B:$B,'Live Collections'!D1529,Disbursements!$D:$D,'Live Collections'!F1529))</f>
        <v>0</v>
      </c>
      <c r="S1529" s="304">
        <f>IF(O1529&lt;=IF($O1529=0,0,SUMIFS(Disbursements!$W:$W,Disbursements!$B:$B,'Live Collections'!D1603,Disbursements!$D:$D,'Live Collections'!F1603)),O1529,IF($O1529=0,0,SUMIFS(Disbursements!$W:$W,Disbursements!$B:$B,'Live Collections'!D1603,Disbursements!$D:$D,'Live Collections'!F1603)))</f>
        <v>0</v>
      </c>
      <c r="T1529" s="304">
        <f t="shared" si="72"/>
        <v>0</v>
      </c>
      <c r="U1529" s="52"/>
      <c r="V1529" s="34"/>
      <c r="W1529" s="408"/>
    </row>
    <row r="1530" spans="1:23" ht="12.75" customHeight="1" x14ac:dyDescent="0.2">
      <c r="A1530" s="257">
        <v>1512</v>
      </c>
      <c r="B1530" s="44">
        <v>44496</v>
      </c>
      <c r="C1530" s="44">
        <f t="shared" si="70"/>
        <v>44496</v>
      </c>
      <c r="D1530" s="374">
        <v>126</v>
      </c>
      <c r="E1530" s="291" t="str">
        <f>IFERROR(VLOOKUP($D1530,'Clients-Live'!$A:$C,3,0),"")</f>
        <v>OGWAL STEPHEN GERALD</v>
      </c>
      <c r="F1530" s="291">
        <f>IFERROR(INDEX(Disbursements!$D:$D,MATCH('Live Collections'!G1530,Disbursements!$C:$C,0)),"")</f>
        <v>2</v>
      </c>
      <c r="G1530" s="34">
        <v>137</v>
      </c>
      <c r="H1530" s="34">
        <v>2922</v>
      </c>
      <c r="I1530" s="34" t="s">
        <v>1359</v>
      </c>
      <c r="J1530" s="48"/>
      <c r="K1530" s="48"/>
      <c r="L1530" s="48"/>
      <c r="M1530" s="48"/>
      <c r="N1530" s="59"/>
      <c r="O1530" s="59">
        <v>612500</v>
      </c>
      <c r="P1530" s="59"/>
      <c r="Q1530" s="268">
        <f t="shared" si="71"/>
        <v>612500</v>
      </c>
      <c r="R1530" s="61">
        <f>IF(O1530=0,0,SUMIFS(Disbursements!$T:$T,Disbursements!$B:$B,'Live Collections'!D1530,Disbursements!$D:$D,'Live Collections'!F1530))</f>
        <v>613000</v>
      </c>
      <c r="S1530" s="64">
        <v>259000</v>
      </c>
      <c r="T1530" s="304">
        <f>IF(O1530=0,0,O1530-S1530)+1500</f>
        <v>355000</v>
      </c>
      <c r="U1530" s="52"/>
      <c r="V1530" s="34"/>
      <c r="W1530" s="408"/>
    </row>
    <row r="1531" spans="1:23" ht="12.75" customHeight="1" x14ac:dyDescent="0.2">
      <c r="A1531" s="257">
        <v>1500</v>
      </c>
      <c r="B1531" s="44">
        <v>44496</v>
      </c>
      <c r="C1531" s="44">
        <f t="shared" si="70"/>
        <v>44496</v>
      </c>
      <c r="D1531" s="374">
        <v>188</v>
      </c>
      <c r="E1531" s="291" t="str">
        <f>IFERROR(VLOOKUP($D1531,'Clients-Live'!$A:$C,3,0),"")</f>
        <v>ADIRU HELLEN</v>
      </c>
      <c r="F1531" s="291" t="str">
        <f>IFERROR(INDEX(Disbursements!$D:$D,MATCH('Live Collections'!G1531,Disbursements!$C:$C,0)),"")</f>
        <v/>
      </c>
      <c r="G1531" s="34"/>
      <c r="H1531" s="34">
        <v>337</v>
      </c>
      <c r="I1531" s="34" t="s">
        <v>1358</v>
      </c>
      <c r="J1531" s="48"/>
      <c r="K1531" s="48"/>
      <c r="L1531" s="48"/>
      <c r="M1531" s="48"/>
      <c r="N1531" s="59"/>
      <c r="O1531" s="59"/>
      <c r="P1531" s="59">
        <v>-40000</v>
      </c>
      <c r="Q1531" s="268">
        <f t="shared" si="71"/>
        <v>-40000</v>
      </c>
      <c r="R1531" s="61">
        <f>IF(O1531=0,0,SUMIFS(Disbursements!$T:$T,Disbursements!$B:$B,'Live Collections'!D1531,Disbursements!$D:$D,'Live Collections'!F1531))</f>
        <v>0</v>
      </c>
      <c r="S1531" s="304">
        <f>IF(O1531&lt;=IF($O1531=0,0,SUMIFS(Disbursements!$W:$W,Disbursements!$B:$B,'Live Collections'!D2287,Disbursements!$D:$D,'Live Collections'!F2287)),O1531,IF($O1531=0,0,SUMIFS(Disbursements!$W:$W,Disbursements!$B:$B,'Live Collections'!D2287,Disbursements!$D:$D,'Live Collections'!F2287)))</f>
        <v>0</v>
      </c>
      <c r="T1531" s="304">
        <f t="shared" si="72"/>
        <v>0</v>
      </c>
      <c r="U1531" s="52"/>
      <c r="V1531" s="34"/>
      <c r="W1531" s="408"/>
    </row>
    <row r="1532" spans="1:23" ht="12.75" customHeight="1" x14ac:dyDescent="0.2">
      <c r="A1532" s="257">
        <v>1501</v>
      </c>
      <c r="B1532" s="44">
        <v>44496</v>
      </c>
      <c r="C1532" s="44">
        <f t="shared" si="70"/>
        <v>44496</v>
      </c>
      <c r="D1532" s="374">
        <v>188</v>
      </c>
      <c r="E1532" s="291" t="str">
        <f>IFERROR(VLOOKUP($D1532,'Clients-Live'!$A:$C,3,0),"")</f>
        <v>ADIRU HELLEN</v>
      </c>
      <c r="F1532" s="291">
        <f>IFERROR(INDEX(Disbursements!$D:$D,MATCH('Live Collections'!G1532,Disbursements!$C:$C,0)),"")</f>
        <v>1</v>
      </c>
      <c r="G1532" s="34">
        <v>180</v>
      </c>
      <c r="H1532" s="34">
        <v>3063</v>
      </c>
      <c r="I1532" s="34" t="s">
        <v>1358</v>
      </c>
      <c r="J1532" s="48"/>
      <c r="K1532" s="48"/>
      <c r="L1532" s="48"/>
      <c r="M1532" s="48"/>
      <c r="N1532" s="59"/>
      <c r="O1532" s="59">
        <v>40000</v>
      </c>
      <c r="P1532" s="59"/>
      <c r="Q1532" s="268">
        <f t="shared" si="71"/>
        <v>40000</v>
      </c>
      <c r="R1532" s="61">
        <f>IF(O1532=0,0,SUMIFS(Disbursements!$T:$T,Disbursements!$B:$B,'Live Collections'!D1532,Disbursements!$D:$D,'Live Collections'!F1532))</f>
        <v>154000</v>
      </c>
      <c r="S1532" s="64">
        <v>21999.999999999971</v>
      </c>
      <c r="T1532" s="304">
        <f t="shared" si="72"/>
        <v>18000.000000000029</v>
      </c>
      <c r="U1532" s="52"/>
      <c r="V1532" s="34"/>
      <c r="W1532" s="408"/>
    </row>
    <row r="1533" spans="1:23" ht="12.75" customHeight="1" x14ac:dyDescent="0.2">
      <c r="A1533" s="257">
        <v>1506</v>
      </c>
      <c r="B1533" s="44">
        <v>44496</v>
      </c>
      <c r="C1533" s="44">
        <f t="shared" si="70"/>
        <v>44496</v>
      </c>
      <c r="D1533" s="374">
        <v>188</v>
      </c>
      <c r="E1533" s="291" t="str">
        <f>IFERROR(VLOOKUP($D1533,'Clients-Live'!$A:$C,3,0),"")</f>
        <v>ADIRU HELLEN</v>
      </c>
      <c r="F1533" s="291">
        <f>IFERROR(INDEX(Disbursements!$D:$D,MATCH('Live Collections'!G1533,Disbursements!$C:$C,0)),"")</f>
        <v>1</v>
      </c>
      <c r="G1533" s="34">
        <v>180</v>
      </c>
      <c r="H1533" s="34">
        <v>3062</v>
      </c>
      <c r="I1533" s="34" t="s">
        <v>1358</v>
      </c>
      <c r="J1533" s="48"/>
      <c r="K1533" s="48"/>
      <c r="L1533" s="48"/>
      <c r="M1533" s="48"/>
      <c r="N1533" s="59"/>
      <c r="O1533" s="59">
        <v>30000</v>
      </c>
      <c r="P1533" s="59"/>
      <c r="Q1533" s="268">
        <f t="shared" si="71"/>
        <v>30000</v>
      </c>
      <c r="R1533" s="61">
        <f>IF(O1533=0,0,SUMIFS(Disbursements!$T:$T,Disbursements!$B:$B,'Live Collections'!D1533,Disbursements!$D:$D,'Live Collections'!F1533))</f>
        <v>154000</v>
      </c>
      <c r="S1533" s="304"/>
      <c r="T1533" s="304">
        <f t="shared" si="72"/>
        <v>30000</v>
      </c>
      <c r="U1533" s="52"/>
      <c r="V1533" s="34"/>
      <c r="W1533" s="408"/>
    </row>
    <row r="1534" spans="1:23" ht="12.75" customHeight="1" x14ac:dyDescent="0.2">
      <c r="A1534" s="257">
        <v>1519</v>
      </c>
      <c r="B1534" s="44">
        <v>44496</v>
      </c>
      <c r="C1534" s="44">
        <f t="shared" si="70"/>
        <v>44496</v>
      </c>
      <c r="D1534" s="374">
        <v>188</v>
      </c>
      <c r="E1534" s="291" t="str">
        <f>IFERROR(VLOOKUP($D1534,'Clients-Live'!$A:$C,3,0),"")</f>
        <v>ADIRU HELLEN</v>
      </c>
      <c r="F1534" s="291" t="str">
        <f>IFERROR(INDEX(Disbursements!$D:$D,MATCH('Live Collections'!G1534,Disbursements!$C:$C,0)),"")</f>
        <v/>
      </c>
      <c r="G1534" s="34"/>
      <c r="H1534" s="34">
        <v>3064</v>
      </c>
      <c r="I1534" s="34" t="s">
        <v>1358</v>
      </c>
      <c r="J1534" s="48"/>
      <c r="K1534" s="48"/>
      <c r="L1534" s="48">
        <v>15000</v>
      </c>
      <c r="M1534" s="48">
        <v>5000</v>
      </c>
      <c r="N1534" s="59"/>
      <c r="O1534" s="59"/>
      <c r="P1534" s="59"/>
      <c r="Q1534" s="268">
        <f t="shared" si="71"/>
        <v>20000</v>
      </c>
      <c r="R1534" s="61">
        <f>IF(O1534=0,0,SUMIFS(Disbursements!$T:$T,Disbursements!$B:$B,'Live Collections'!D1534,Disbursements!$D:$D,'Live Collections'!F1534))</f>
        <v>0</v>
      </c>
      <c r="S1534" s="304">
        <f>IF(O1534&lt;=IF($O1534=0,0,SUMIFS(Disbursements!$W:$W,Disbursements!$B:$B,'Live Collections'!D2290,Disbursements!$D:$D,'Live Collections'!F2290)),O1534,IF($O1534=0,0,SUMIFS(Disbursements!$W:$W,Disbursements!$B:$B,'Live Collections'!D2290,Disbursements!$D:$D,'Live Collections'!F2290)))</f>
        <v>0</v>
      </c>
      <c r="T1534" s="304">
        <f t="shared" si="72"/>
        <v>0</v>
      </c>
      <c r="U1534" s="52"/>
      <c r="V1534" s="34"/>
      <c r="W1534" s="408"/>
    </row>
    <row r="1535" spans="1:23" ht="12.75" customHeight="1" x14ac:dyDescent="0.2">
      <c r="A1535" s="257">
        <v>1516</v>
      </c>
      <c r="B1535" s="44">
        <v>44496</v>
      </c>
      <c r="C1535" s="44">
        <f t="shared" si="70"/>
        <v>44496</v>
      </c>
      <c r="D1535" s="374">
        <v>228</v>
      </c>
      <c r="E1535" s="291" t="str">
        <f>IFERROR(VLOOKUP($D1535,'Clients-Live'!$A:$C,3,0),"")</f>
        <v>DADA ISAAC</v>
      </c>
      <c r="F1535" s="291">
        <f>IFERROR(INDEX(Disbursements!$D:$D,MATCH('Live Collections'!G1535,Disbursements!$C:$C,0)),"")</f>
        <v>1</v>
      </c>
      <c r="G1535" s="34">
        <v>239</v>
      </c>
      <c r="H1535" s="34">
        <v>3043</v>
      </c>
      <c r="I1535" s="34" t="s">
        <v>1358</v>
      </c>
      <c r="J1535" s="48"/>
      <c r="K1535" s="48"/>
      <c r="L1535" s="48"/>
      <c r="M1535" s="48"/>
      <c r="N1535" s="59"/>
      <c r="O1535" s="59">
        <v>767000</v>
      </c>
      <c r="P1535" s="59"/>
      <c r="Q1535" s="268">
        <f t="shared" si="71"/>
        <v>767000</v>
      </c>
      <c r="R1535" s="61">
        <f>IF(O1535=0,0,SUMIFS(Disbursements!$T:$T,Disbursements!$B:$B,'Live Collections'!D1535,Disbursements!$D:$D,'Live Collections'!F1535))</f>
        <v>767000</v>
      </c>
      <c r="S1535" s="304">
        <f>IF(O1535&lt;=IF($O1535=0,0,SUMIFS(Disbursements!$W:$W,Disbursements!$B:$B,'Live Collections'!D2641,Disbursements!$D:$D,'Live Collections'!F2641)),O1535,IF($O1535=0,0,SUMIFS(Disbursements!$W:$W,Disbursements!$B:$B,'Live Collections'!D2641,Disbursements!$D:$D,'Live Collections'!F2641)))</f>
        <v>25666.666666666672</v>
      </c>
      <c r="T1535" s="304">
        <f t="shared" si="72"/>
        <v>741333.33333333337</v>
      </c>
      <c r="U1535" s="52"/>
      <c r="V1535" s="34"/>
      <c r="W1535" s="408"/>
    </row>
    <row r="1536" spans="1:23" ht="12.75" customHeight="1" x14ac:dyDescent="0.2">
      <c r="A1536" s="257">
        <v>1517</v>
      </c>
      <c r="B1536" s="44">
        <v>44496</v>
      </c>
      <c r="C1536" s="44">
        <f t="shared" si="70"/>
        <v>44496</v>
      </c>
      <c r="D1536" s="374">
        <v>262</v>
      </c>
      <c r="E1536" s="291" t="str">
        <f>IFERROR(VLOOKUP($D1536,'Clients-Live'!$A:$C,3,0),"")</f>
        <v>ALONE ZAITUN</v>
      </c>
      <c r="F1536" s="291">
        <f>IFERROR(INDEX(Disbursements!$D:$D,MATCH('Live Collections'!G1536,Disbursements!$C:$C,0)),"")</f>
        <v>1</v>
      </c>
      <c r="G1536" s="34">
        <v>297</v>
      </c>
      <c r="H1536" s="34">
        <v>3066</v>
      </c>
      <c r="I1536" s="34" t="s">
        <v>1357</v>
      </c>
      <c r="J1536" s="48"/>
      <c r="K1536" s="48"/>
      <c r="L1536" s="48"/>
      <c r="M1536" s="48"/>
      <c r="N1536" s="59"/>
      <c r="O1536" s="59"/>
      <c r="P1536" s="59">
        <v>20000</v>
      </c>
      <c r="Q1536" s="268">
        <f t="shared" si="71"/>
        <v>20000</v>
      </c>
      <c r="R1536" s="61">
        <f>IF(O1536=0,0,SUMIFS(Disbursements!$T:$T,Disbursements!$B:$B,'Live Collections'!D1536,Disbursements!$D:$D,'Live Collections'!F1536))</f>
        <v>0</v>
      </c>
      <c r="S1536" s="304">
        <f>IF(O1536&lt;=IF($O1536=0,0,SUMIFS(Disbursements!$W:$W,Disbursements!$B:$B,'Live Collections'!D2894,Disbursements!$D:$D,'Live Collections'!F2894)),O1536,IF($O1536=0,0,SUMIFS(Disbursements!$W:$W,Disbursements!$B:$B,'Live Collections'!D2894,Disbursements!$D:$D,'Live Collections'!F2894)))</f>
        <v>0</v>
      </c>
      <c r="T1536" s="304">
        <f t="shared" si="72"/>
        <v>0</v>
      </c>
      <c r="U1536" s="52"/>
      <c r="V1536" s="34"/>
      <c r="W1536" s="408"/>
    </row>
    <row r="1537" spans="1:23" ht="12.75" customHeight="1" x14ac:dyDescent="0.2">
      <c r="A1537" s="257">
        <v>1507</v>
      </c>
      <c r="B1537" s="44">
        <v>44496</v>
      </c>
      <c r="C1537" s="44">
        <f t="shared" si="70"/>
        <v>44496</v>
      </c>
      <c r="D1537" s="374">
        <v>264</v>
      </c>
      <c r="E1537" s="291" t="str">
        <f>IFERROR(VLOOKUP($D1537,'Clients-Live'!$A:$C,3,0),"")</f>
        <v>AMORI JOHN BAPTIST</v>
      </c>
      <c r="F1537" s="291" t="str">
        <f>IFERROR(INDEX(Disbursements!$D:$D,MATCH('Live Collections'!G1537,Disbursements!$C:$C,0)),"")</f>
        <v/>
      </c>
      <c r="G1537" s="34"/>
      <c r="H1537" s="34">
        <v>3059</v>
      </c>
      <c r="I1537" s="34" t="s">
        <v>1359</v>
      </c>
      <c r="J1537" s="48"/>
      <c r="K1537" s="48"/>
      <c r="L1537" s="48"/>
      <c r="M1537" s="48"/>
      <c r="N1537" s="59"/>
      <c r="O1537" s="59"/>
      <c r="P1537" s="59">
        <v>500000</v>
      </c>
      <c r="Q1537" s="268">
        <f t="shared" si="71"/>
        <v>500000</v>
      </c>
      <c r="R1537" s="61">
        <f>IF(O1537=0,0,SUMIFS(Disbursements!$T:$T,Disbursements!$B:$B,'Live Collections'!D1537,Disbursements!$D:$D,'Live Collections'!F1537))</f>
        <v>0</v>
      </c>
      <c r="S1537" s="304">
        <f>IF(O1537&lt;=IF($O1537=0,0,SUMIFS(Disbursements!$W:$W,Disbursements!$B:$B,'Live Collections'!D2909,Disbursements!$D:$D,'Live Collections'!F2909)),O1537,IF($O1537=0,0,SUMIFS(Disbursements!$W:$W,Disbursements!$B:$B,'Live Collections'!D2909,Disbursements!$D:$D,'Live Collections'!F2909)))</f>
        <v>0</v>
      </c>
      <c r="T1537" s="304">
        <f t="shared" si="72"/>
        <v>0</v>
      </c>
      <c r="U1537" s="52"/>
      <c r="V1537" s="34"/>
      <c r="W1537" s="408"/>
    </row>
    <row r="1538" spans="1:23" ht="12.75" customHeight="1" x14ac:dyDescent="0.2">
      <c r="A1538" s="257">
        <v>1530</v>
      </c>
      <c r="B1538" s="44">
        <v>44497</v>
      </c>
      <c r="C1538" s="44">
        <f t="shared" si="70"/>
        <v>44497</v>
      </c>
      <c r="D1538" s="374">
        <v>79</v>
      </c>
      <c r="E1538" s="291" t="str">
        <f>IFERROR(VLOOKUP($D1538,'Clients-Live'!$A:$C,3,0),"")</f>
        <v>PASI SENYA</v>
      </c>
      <c r="F1538" s="291">
        <f>IFERROR(INDEX(Disbursements!$D:$D,MATCH('Live Collections'!G1538,Disbursements!$C:$C,0)),"")</f>
        <v>1</v>
      </c>
      <c r="G1538" s="34">
        <v>64</v>
      </c>
      <c r="H1538" s="34">
        <v>3075</v>
      </c>
      <c r="I1538" s="34" t="s">
        <v>1358</v>
      </c>
      <c r="J1538" s="48"/>
      <c r="K1538" s="48"/>
      <c r="L1538" s="48"/>
      <c r="M1538" s="48"/>
      <c r="N1538" s="59"/>
      <c r="O1538" s="59">
        <v>125000</v>
      </c>
      <c r="P1538" s="59"/>
      <c r="Q1538" s="268">
        <f t="shared" si="71"/>
        <v>125000</v>
      </c>
      <c r="R1538" s="61">
        <f>IF(O1538=0,0,SUMIFS(Disbursements!$T:$T,Disbursements!$B:$B,'Live Collections'!D1538,Disbursements!$D:$D,'Live Collections'!F1538))</f>
        <v>63000</v>
      </c>
      <c r="S1538" s="304">
        <f>IF(O1538&lt;=IF($O1538=0,0,SUMIFS(Disbursements!$W:$W,Disbursements!$B:$B,'Live Collections'!D1028,Disbursements!$D:$D,'Live Collections'!F1028)),O1538,IF($O1538=0,0,SUMIFS(Disbursements!$W:$W,Disbursements!$B:$B,'Live Collections'!D1028,Disbursements!$D:$D,'Live Collections'!F1028)))</f>
        <v>0</v>
      </c>
      <c r="T1538" s="304">
        <f t="shared" si="72"/>
        <v>125000</v>
      </c>
      <c r="U1538" s="52"/>
      <c r="V1538" s="34"/>
      <c r="W1538" s="408"/>
    </row>
    <row r="1539" spans="1:23" ht="12.75" customHeight="1" x14ac:dyDescent="0.2">
      <c r="A1539" s="257">
        <v>1532</v>
      </c>
      <c r="B1539" s="44">
        <v>44497</v>
      </c>
      <c r="C1539" s="44">
        <f t="shared" si="70"/>
        <v>44497</v>
      </c>
      <c r="D1539" s="374">
        <v>94</v>
      </c>
      <c r="E1539" s="291" t="str">
        <f>IFERROR(VLOOKUP($D1539,'Clients-Live'!$A:$C,3,0),"")</f>
        <v>NGINYA RICHARD</v>
      </c>
      <c r="F1539" s="291" t="str">
        <f>IFERROR(INDEX(Disbursements!$D:$D,MATCH('Live Collections'!G1539,Disbursements!$C:$C,0)),"")</f>
        <v/>
      </c>
      <c r="G1539" s="34"/>
      <c r="H1539" s="34">
        <v>3069</v>
      </c>
      <c r="I1539" s="34" t="s">
        <v>1357</v>
      </c>
      <c r="J1539" s="48"/>
      <c r="K1539" s="48"/>
      <c r="L1539" s="48">
        <v>10000</v>
      </c>
      <c r="M1539" s="48">
        <v>5000</v>
      </c>
      <c r="N1539" s="59"/>
      <c r="O1539" s="59"/>
      <c r="P1539" s="59"/>
      <c r="Q1539" s="268">
        <f t="shared" si="71"/>
        <v>15000</v>
      </c>
      <c r="R1539" s="61">
        <f>IF(O1539=0,0,SUMIFS(Disbursements!$T:$T,Disbursements!$B:$B,'Live Collections'!D1539,Disbursements!$D:$D,'Live Collections'!F1539))</f>
        <v>0</v>
      </c>
      <c r="S1539" s="304">
        <f>IF(O1539&lt;=IF($O1539=0,0,SUMIFS(Disbursements!$W:$W,Disbursements!$B:$B,'Live Collections'!D1217,Disbursements!$D:$D,'Live Collections'!F1217)),O1539,IF($O1539=0,0,SUMIFS(Disbursements!$W:$W,Disbursements!$B:$B,'Live Collections'!D1217,Disbursements!$D:$D,'Live Collections'!F1217)))</f>
        <v>0</v>
      </c>
      <c r="T1539" s="304">
        <f t="shared" si="72"/>
        <v>0</v>
      </c>
      <c r="U1539" s="52"/>
      <c r="V1539" s="34"/>
      <c r="W1539" s="408"/>
    </row>
    <row r="1540" spans="1:23" ht="12.75" customHeight="1" x14ac:dyDescent="0.2">
      <c r="A1540" s="257">
        <v>1528</v>
      </c>
      <c r="B1540" s="44">
        <v>44497</v>
      </c>
      <c r="C1540" s="44">
        <f t="shared" si="70"/>
        <v>44497</v>
      </c>
      <c r="D1540" s="374">
        <v>127</v>
      </c>
      <c r="E1540" s="291" t="str">
        <f>IFERROR(VLOOKUP($D1540,'Clients-Live'!$A:$C,3,0),"")</f>
        <v>TIKO RUKIA</v>
      </c>
      <c r="F1540" s="291">
        <f>IFERROR(INDEX(Disbursements!$D:$D,MATCH('Live Collections'!G1540,Disbursements!$C:$C,0)),"")</f>
        <v>1</v>
      </c>
      <c r="G1540" s="34">
        <v>110</v>
      </c>
      <c r="H1540" s="34">
        <v>3072</v>
      </c>
      <c r="I1540" s="34" t="s">
        <v>1358</v>
      </c>
      <c r="J1540" s="48"/>
      <c r="K1540" s="48"/>
      <c r="L1540" s="48"/>
      <c r="M1540" s="48"/>
      <c r="N1540" s="59"/>
      <c r="O1540" s="59">
        <v>50000</v>
      </c>
      <c r="P1540" s="59"/>
      <c r="Q1540" s="268">
        <f t="shared" si="71"/>
        <v>50000</v>
      </c>
      <c r="R1540" s="61">
        <f>IF(O1540=0,0,SUMIFS(Disbursements!$T:$T,Disbursements!$B:$B,'Live Collections'!D1540,Disbursements!$D:$D,'Live Collections'!F1540))</f>
        <v>154000</v>
      </c>
      <c r="S1540" s="304">
        <f>IF(O1540&lt;=IF($O1540=0,0,SUMIFS(Disbursements!$W:$W,Disbursements!$B:$B,'Live Collections'!D1614,Disbursements!$D:$D,'Live Collections'!F1614)),O1540,IF($O1540=0,0,SUMIFS(Disbursements!$W:$W,Disbursements!$B:$B,'Live Collections'!D1614,Disbursements!$D:$D,'Live Collections'!F1614)))</f>
        <v>0</v>
      </c>
      <c r="T1540" s="304">
        <f t="shared" si="72"/>
        <v>50000</v>
      </c>
      <c r="U1540" s="52"/>
      <c r="V1540" s="34"/>
      <c r="W1540" s="408"/>
    </row>
    <row r="1541" spans="1:23" ht="12.75" customHeight="1" x14ac:dyDescent="0.2">
      <c r="A1541" s="257">
        <v>1531</v>
      </c>
      <c r="B1541" s="44">
        <v>44497</v>
      </c>
      <c r="C1541" s="44">
        <f t="shared" si="70"/>
        <v>44497</v>
      </c>
      <c r="D1541" s="374">
        <v>132</v>
      </c>
      <c r="E1541" s="291" t="str">
        <f>IFERROR(VLOOKUP($D1541,'Clients-Live'!$A:$C,3,0),"")</f>
        <v>MANIYO JOICE</v>
      </c>
      <c r="F1541" s="291">
        <f>IFERROR(INDEX(Disbursements!$D:$D,MATCH('Live Collections'!G1541,Disbursements!$C:$C,0)),"")</f>
        <v>1</v>
      </c>
      <c r="G1541" s="34">
        <v>134</v>
      </c>
      <c r="H1541" s="34">
        <v>3074</v>
      </c>
      <c r="I1541" s="34" t="s">
        <v>1358</v>
      </c>
      <c r="J1541" s="48"/>
      <c r="K1541" s="48"/>
      <c r="L1541" s="48"/>
      <c r="M1541" s="48"/>
      <c r="N1541" s="59"/>
      <c r="O1541" s="59">
        <v>60000</v>
      </c>
      <c r="P1541" s="59"/>
      <c r="Q1541" s="268">
        <f t="shared" si="71"/>
        <v>60000</v>
      </c>
      <c r="R1541" s="61">
        <f>IF(O1541=0,0,SUMIFS(Disbursements!$T:$T,Disbursements!$B:$B,'Live Collections'!D1541,Disbursements!$D:$D,'Live Collections'!F1541))</f>
        <v>115000</v>
      </c>
      <c r="S1541" s="304">
        <f>IF(O1541&lt;=IF($O1541=0,0,SUMIFS(Disbursements!$W:$W,Disbursements!$B:$B,'Live Collections'!D1666,Disbursements!$D:$D,'Live Collections'!F1666)),O1541,IF($O1541=0,0,SUMIFS(Disbursements!$W:$W,Disbursements!$B:$B,'Live Collections'!D1666,Disbursements!$D:$D,'Live Collections'!F1666)))</f>
        <v>0</v>
      </c>
      <c r="T1541" s="304">
        <f t="shared" si="72"/>
        <v>60000</v>
      </c>
      <c r="U1541" s="52"/>
      <c r="V1541" s="34"/>
      <c r="W1541" s="408"/>
    </row>
    <row r="1542" spans="1:23" ht="12.75" customHeight="1" x14ac:dyDescent="0.2">
      <c r="A1542" s="257">
        <v>1520</v>
      </c>
      <c r="B1542" s="44">
        <v>44497</v>
      </c>
      <c r="C1542" s="44">
        <f t="shared" si="70"/>
        <v>44497</v>
      </c>
      <c r="D1542" s="374">
        <v>140</v>
      </c>
      <c r="E1542" s="291" t="str">
        <f>IFERROR(VLOOKUP($D1542,'Clients-Live'!$A:$C,3,0),"")</f>
        <v>AYIKORU MARIAM</v>
      </c>
      <c r="F1542" s="291">
        <v>1</v>
      </c>
      <c r="G1542" s="34">
        <v>125</v>
      </c>
      <c r="H1542" s="34">
        <v>340</v>
      </c>
      <c r="I1542" s="34" t="s">
        <v>1358</v>
      </c>
      <c r="J1542" s="48"/>
      <c r="K1542" s="48"/>
      <c r="L1542" s="48"/>
      <c r="M1542" s="48"/>
      <c r="N1542" s="59"/>
      <c r="O1542" s="59"/>
      <c r="P1542" s="59">
        <v>-50000</v>
      </c>
      <c r="Q1542" s="268">
        <f t="shared" si="71"/>
        <v>-50000</v>
      </c>
      <c r="R1542" s="61">
        <f>IF(O1542=0,0,SUMIFS(Disbursements!$T:$T,Disbursements!$B:$B,'Live Collections'!D1542,Disbursements!$D:$D,'Live Collections'!F1542))</f>
        <v>0</v>
      </c>
      <c r="S1542" s="304">
        <f>IF(O1542&lt;=IF($O1542=0,0,SUMIFS(Disbursements!$W:$W,Disbursements!$B:$B,'Live Collections'!D1775,Disbursements!$D:$D,'Live Collections'!F1775)),O1542,IF($O1542=0,0,SUMIFS(Disbursements!$W:$W,Disbursements!$B:$B,'Live Collections'!D1775,Disbursements!$D:$D,'Live Collections'!F1775)))</f>
        <v>0</v>
      </c>
      <c r="T1542" s="304">
        <f t="shared" si="72"/>
        <v>0</v>
      </c>
      <c r="U1542" s="52"/>
      <c r="V1542" s="34"/>
      <c r="W1542" s="408"/>
    </row>
    <row r="1543" spans="1:23" ht="12.75" customHeight="1" x14ac:dyDescent="0.2">
      <c r="A1543" s="257">
        <v>1521</v>
      </c>
      <c r="B1543" s="44">
        <v>44497</v>
      </c>
      <c r="C1543" s="44">
        <f t="shared" ref="C1543:C1606" si="73">B1543</f>
        <v>44497</v>
      </c>
      <c r="D1543" s="374">
        <v>140</v>
      </c>
      <c r="E1543" s="291" t="str">
        <f>IFERROR(VLOOKUP($D1543,'Clients-Live'!$A:$C,3,0),"")</f>
        <v>AYIKORU MARIAM</v>
      </c>
      <c r="F1543" s="291">
        <f>IFERROR(INDEX(Disbursements!$D:$D,MATCH('Live Collections'!G1543,Disbursements!$C:$C,0)),"")</f>
        <v>1</v>
      </c>
      <c r="G1543" s="34">
        <v>125</v>
      </c>
      <c r="H1543" s="34">
        <v>3077</v>
      </c>
      <c r="I1543" s="34" t="s">
        <v>1358</v>
      </c>
      <c r="J1543" s="48"/>
      <c r="K1543" s="48"/>
      <c r="L1543" s="48"/>
      <c r="M1543" s="48"/>
      <c r="N1543" s="59"/>
      <c r="O1543" s="59">
        <v>50000</v>
      </c>
      <c r="P1543" s="59"/>
      <c r="Q1543" s="268">
        <f t="shared" ref="Q1543:Q1606" si="74">SUM(J1543:P1543)</f>
        <v>50000</v>
      </c>
      <c r="R1543" s="61">
        <f>IF(O1543=0,0,SUMIFS(Disbursements!$T:$T,Disbursements!$B:$B,'Live Collections'!D1543,Disbursements!$D:$D,'Live Collections'!F1543))</f>
        <v>192000</v>
      </c>
      <c r="S1543" s="304">
        <f>IF(O1543&lt;=IF($O1543=0,0,SUMIFS(Disbursements!$W:$W,Disbursements!$B:$B,'Live Collections'!D1776,Disbursements!$D:$D,'Live Collections'!F1776)),O1543,IF($O1543=0,0,SUMIFS(Disbursements!$W:$W,Disbursements!$B:$B,'Live Collections'!D1776,Disbursements!$D:$D,'Live Collections'!F1776)))</f>
        <v>0</v>
      </c>
      <c r="T1543" s="304">
        <f t="shared" ref="T1543:T1606" si="75">IF(O1543=0,0,O1543-S1543)</f>
        <v>50000</v>
      </c>
      <c r="U1543" s="52"/>
      <c r="V1543" s="34"/>
      <c r="W1543" s="408"/>
    </row>
    <row r="1544" spans="1:23" ht="12.75" customHeight="1" x14ac:dyDescent="0.2">
      <c r="A1544" s="257">
        <v>1527</v>
      </c>
      <c r="B1544" s="44">
        <v>44497</v>
      </c>
      <c r="C1544" s="44">
        <f t="shared" si="73"/>
        <v>44497</v>
      </c>
      <c r="D1544" s="374">
        <v>140</v>
      </c>
      <c r="E1544" s="291" t="str">
        <f>IFERROR(VLOOKUP($D1544,'Clients-Live'!$A:$C,3,0),"")</f>
        <v>AYIKORU MARIAM</v>
      </c>
      <c r="F1544" s="291">
        <f>IFERROR(INDEX(Disbursements!$D:$D,MATCH('Live Collections'!G1544,Disbursements!$C:$C,0)),"")</f>
        <v>1</v>
      </c>
      <c r="G1544" s="34">
        <v>125</v>
      </c>
      <c r="H1544" s="34">
        <v>3073</v>
      </c>
      <c r="I1544" s="34" t="s">
        <v>1358</v>
      </c>
      <c r="J1544" s="48"/>
      <c r="K1544" s="48"/>
      <c r="L1544" s="48"/>
      <c r="M1544" s="48"/>
      <c r="N1544" s="59"/>
      <c r="O1544" s="59">
        <v>142000</v>
      </c>
      <c r="P1544" s="59"/>
      <c r="Q1544" s="268">
        <f t="shared" si="74"/>
        <v>142000</v>
      </c>
      <c r="R1544" s="61">
        <f>IF(O1544=0,0,SUMIFS(Disbursements!$T:$T,Disbursements!$B:$B,'Live Collections'!D1544,Disbursements!$D:$D,'Live Collections'!F1544))</f>
        <v>192000</v>
      </c>
      <c r="S1544" s="304">
        <f>IF(O1544&lt;=IF($O1544=0,0,SUMIFS(Disbursements!$W:$W,Disbursements!$B:$B,'Live Collections'!D1777,Disbursements!$D:$D,'Live Collections'!F1777)),O1544,IF($O1544=0,0,SUMIFS(Disbursements!$W:$W,Disbursements!$B:$B,'Live Collections'!D1777,Disbursements!$D:$D,'Live Collections'!F1777)))</f>
        <v>0</v>
      </c>
      <c r="T1544" s="304">
        <f t="shared" si="75"/>
        <v>142000</v>
      </c>
      <c r="U1544" s="52"/>
      <c r="V1544" s="34"/>
      <c r="W1544" s="408"/>
    </row>
    <row r="1545" spans="1:23" ht="12.75" customHeight="1" x14ac:dyDescent="0.2">
      <c r="A1545" s="257">
        <v>1522</v>
      </c>
      <c r="B1545" s="44">
        <v>44497</v>
      </c>
      <c r="C1545" s="44">
        <f t="shared" si="73"/>
        <v>44497</v>
      </c>
      <c r="D1545" s="374">
        <v>148</v>
      </c>
      <c r="E1545" s="291" t="str">
        <f>IFERROR(VLOOKUP($D1545,'Clients-Live'!$A:$C,3,0),"")</f>
        <v>GBOKA ZAIDA</v>
      </c>
      <c r="F1545" s="291">
        <f>IFERROR(INDEX(Disbursements!$D:$D,MATCH('Live Collections'!G1545,Disbursements!$C:$C,0)),"")</f>
        <v>1</v>
      </c>
      <c r="G1545" s="34">
        <v>135</v>
      </c>
      <c r="H1545" s="34">
        <v>3085</v>
      </c>
      <c r="I1545" s="34" t="s">
        <v>1359</v>
      </c>
      <c r="J1545" s="48"/>
      <c r="K1545" s="48"/>
      <c r="L1545" s="48"/>
      <c r="M1545" s="48"/>
      <c r="N1545" s="59"/>
      <c r="O1545" s="59">
        <v>120000</v>
      </c>
      <c r="P1545" s="59"/>
      <c r="Q1545" s="268">
        <f t="shared" si="74"/>
        <v>120000</v>
      </c>
      <c r="R1545" s="61">
        <f>IF(O1545=0,0,SUMIFS(Disbursements!$T:$T,Disbursements!$B:$B,'Live Collections'!D1545,Disbursements!$D:$D,'Live Collections'!F1545))</f>
        <v>120000</v>
      </c>
      <c r="S1545" s="64">
        <v>20000</v>
      </c>
      <c r="T1545" s="304">
        <f t="shared" si="75"/>
        <v>100000</v>
      </c>
      <c r="U1545" s="52"/>
      <c r="V1545" s="34"/>
      <c r="W1545" s="408"/>
    </row>
    <row r="1546" spans="1:23" ht="12.75" customHeight="1" x14ac:dyDescent="0.2">
      <c r="A1546" s="257">
        <v>1525</v>
      </c>
      <c r="B1546" s="44">
        <v>44497</v>
      </c>
      <c r="C1546" s="44">
        <f t="shared" si="73"/>
        <v>44497</v>
      </c>
      <c r="D1546" s="374">
        <v>155</v>
      </c>
      <c r="E1546" s="291" t="str">
        <f>IFERROR(VLOOKUP($D1546,'Clients-Live'!$A:$C,3,0),"")</f>
        <v>AROMBORAC SIAMA</v>
      </c>
      <c r="F1546" s="291">
        <f>IFERROR(INDEX(Disbursements!$D:$D,MATCH('Live Collections'!G1546,Disbursements!$C:$C,0)),"")</f>
        <v>1</v>
      </c>
      <c r="G1546" s="34">
        <v>143</v>
      </c>
      <c r="H1546" s="34">
        <v>3082</v>
      </c>
      <c r="I1546" s="34" t="s">
        <v>1358</v>
      </c>
      <c r="J1546" s="48"/>
      <c r="K1546" s="48"/>
      <c r="L1546" s="48"/>
      <c r="M1546" s="48"/>
      <c r="N1546" s="59"/>
      <c r="O1546" s="59">
        <v>50000</v>
      </c>
      <c r="P1546" s="59"/>
      <c r="Q1546" s="268">
        <f t="shared" si="74"/>
        <v>50000</v>
      </c>
      <c r="R1546" s="61">
        <f>IF(O1546=0,0,SUMIFS(Disbursements!$T:$T,Disbursements!$B:$B,'Live Collections'!D1546,Disbursements!$D:$D,'Live Collections'!F1546))</f>
        <v>90000</v>
      </c>
      <c r="S1546" s="304">
        <f>IF(O1546&lt;=IF($O1546=0,0,SUMIFS(Disbursements!$W:$W,Disbursements!$B:$B,'Live Collections'!D1934,Disbursements!$D:$D,'Live Collections'!F1934)),O1546,IF($O1546=0,0,SUMIFS(Disbursements!$W:$W,Disbursements!$B:$B,'Live Collections'!D1934,Disbursements!$D:$D,'Live Collections'!F1934)))</f>
        <v>0</v>
      </c>
      <c r="T1546" s="304">
        <f t="shared" si="75"/>
        <v>50000</v>
      </c>
      <c r="U1546" s="52"/>
      <c r="V1546" s="34"/>
      <c r="W1546" s="408"/>
    </row>
    <row r="1547" spans="1:23" ht="12.75" customHeight="1" x14ac:dyDescent="0.2">
      <c r="A1547" s="257">
        <v>1529</v>
      </c>
      <c r="B1547" s="44">
        <v>44497</v>
      </c>
      <c r="C1547" s="44">
        <f t="shared" si="73"/>
        <v>44497</v>
      </c>
      <c r="D1547" s="374">
        <v>164</v>
      </c>
      <c r="E1547" s="291" t="str">
        <f>IFERROR(VLOOKUP($D1547,'Clients-Live'!$A:$C,3,0),"")</f>
        <v>ARIKE SWAIB</v>
      </c>
      <c r="F1547" s="291">
        <f>IFERROR(INDEX(Disbursements!$D:$D,MATCH('Live Collections'!G1547,Disbursements!$C:$C,0)),"")</f>
        <v>1</v>
      </c>
      <c r="G1547" s="34">
        <v>154</v>
      </c>
      <c r="H1547" s="34">
        <v>3071</v>
      </c>
      <c r="I1547" s="34" t="s">
        <v>1357</v>
      </c>
      <c r="J1547" s="48"/>
      <c r="K1547" s="48"/>
      <c r="L1547" s="48"/>
      <c r="M1547" s="48"/>
      <c r="N1547" s="59"/>
      <c r="O1547" s="59">
        <v>602000</v>
      </c>
      <c r="P1547" s="59"/>
      <c r="Q1547" s="268">
        <f t="shared" si="74"/>
        <v>602000</v>
      </c>
      <c r="R1547" s="61">
        <f>IF(O1547=0,0,SUMIFS(Disbursements!$T:$T,Disbursements!$B:$B,'Live Collections'!D1547,Disbursements!$D:$D,'Live Collections'!F1547))</f>
        <v>109000</v>
      </c>
      <c r="S1547" s="304">
        <f>IF(O1547&lt;=IF($O1547=0,0,SUMIFS(Disbursements!$W:$W,Disbursements!$B:$B,'Live Collections'!D2035,Disbursements!$D:$D,'Live Collections'!F2035)),O1547,IF($O1547=0,0,SUMIFS(Disbursements!$W:$W,Disbursements!$B:$B,'Live Collections'!D2035,Disbursements!$D:$D,'Live Collections'!F2035)))</f>
        <v>45000</v>
      </c>
      <c r="T1547" s="304">
        <f t="shared" si="75"/>
        <v>557000</v>
      </c>
      <c r="U1547" s="52"/>
      <c r="V1547" s="34"/>
      <c r="W1547" s="408"/>
    </row>
    <row r="1548" spans="1:23" ht="12.75" customHeight="1" x14ac:dyDescent="0.2">
      <c r="A1548" s="257">
        <v>1524</v>
      </c>
      <c r="B1548" s="44">
        <v>44497</v>
      </c>
      <c r="C1548" s="44">
        <f t="shared" si="73"/>
        <v>44497</v>
      </c>
      <c r="D1548" s="374">
        <v>169</v>
      </c>
      <c r="E1548" s="291" t="str">
        <f>IFERROR(VLOOKUP($D1548,'Clients-Live'!$A:$C,3,0),"")</f>
        <v>KATO KENNEDY</v>
      </c>
      <c r="F1548" s="291">
        <f>IFERROR(INDEX(Disbursements!$D:$D,MATCH('Live Collections'!G1548,Disbursements!$C:$C,0)),"")</f>
        <v>1</v>
      </c>
      <c r="G1548" s="34">
        <v>176</v>
      </c>
      <c r="H1548" s="34">
        <v>3083</v>
      </c>
      <c r="I1548" s="34" t="s">
        <v>1357</v>
      </c>
      <c r="J1548" s="48"/>
      <c r="K1548" s="48"/>
      <c r="L1548" s="48"/>
      <c r="M1548" s="48"/>
      <c r="N1548" s="59"/>
      <c r="O1548" s="59">
        <v>100000</v>
      </c>
      <c r="P1548" s="59"/>
      <c r="Q1548" s="268">
        <f t="shared" si="74"/>
        <v>100000</v>
      </c>
      <c r="R1548" s="61">
        <f>IF(O1548=0,0,SUMIFS(Disbursements!$T:$T,Disbursements!$B:$B,'Live Collections'!D1548,Disbursements!$D:$D,'Live Collections'!F1548))</f>
        <v>109000</v>
      </c>
      <c r="S1548" s="304">
        <f>IF(O1548&lt;=IF($O1548=0,0,SUMIFS(Disbursements!$W:$W,Disbursements!$B:$B,'Live Collections'!D2087,Disbursements!$D:$D,'Live Collections'!F2087)),O1548,IF($O1548=0,0,SUMIFS(Disbursements!$W:$W,Disbursements!$B:$B,'Live Collections'!D2087,Disbursements!$D:$D,'Live Collections'!F2087)))</f>
        <v>40333.333333333314</v>
      </c>
      <c r="T1548" s="304">
        <f t="shared" si="75"/>
        <v>59666.666666666686</v>
      </c>
      <c r="U1548" s="52"/>
      <c r="V1548" s="34"/>
      <c r="W1548" s="408"/>
    </row>
    <row r="1549" spans="1:23" ht="12.75" customHeight="1" x14ac:dyDescent="0.2">
      <c r="A1549" s="257">
        <v>1526</v>
      </c>
      <c r="B1549" s="44">
        <v>44497</v>
      </c>
      <c r="C1549" s="44">
        <f t="shared" si="73"/>
        <v>44497</v>
      </c>
      <c r="D1549" s="374">
        <v>183</v>
      </c>
      <c r="E1549" s="291" t="str">
        <f>IFERROR(VLOOKUP($D1549,'Clients-Live'!$A:$C,3,0),"")</f>
        <v>NIGHT AMINA HUSSEIN</v>
      </c>
      <c r="F1549" s="291">
        <f>IFERROR(INDEX(Disbursements!$D:$D,MATCH('Live Collections'!G1549,Disbursements!$C:$C,0)),"")</f>
        <v>1</v>
      </c>
      <c r="G1549" s="34">
        <v>171</v>
      </c>
      <c r="H1549" s="34">
        <v>3078</v>
      </c>
      <c r="I1549" s="34" t="s">
        <v>1359</v>
      </c>
      <c r="J1549" s="48"/>
      <c r="K1549" s="48"/>
      <c r="L1549" s="48"/>
      <c r="M1549" s="48"/>
      <c r="N1549" s="59"/>
      <c r="O1549" s="59">
        <v>185000</v>
      </c>
      <c r="P1549" s="59"/>
      <c r="Q1549" s="268">
        <f t="shared" si="74"/>
        <v>185000</v>
      </c>
      <c r="R1549" s="61">
        <f>IF(O1549=0,0,SUMIFS(Disbursements!$T:$T,Disbursements!$B:$B,'Live Collections'!D1549,Disbursements!$D:$D,'Live Collections'!F1549))</f>
        <v>180000</v>
      </c>
      <c r="S1549" s="304">
        <f>IF(O1549&lt;=IF($O1549=0,0,SUMIFS(Disbursements!$W:$W,Disbursements!$B:$B,'Live Collections'!D2232,Disbursements!$D:$D,'Live Collections'!F2232)),O1549,IF($O1549=0,0,SUMIFS(Disbursements!$W:$W,Disbursements!$B:$B,'Live Collections'!D2232,Disbursements!$D:$D,'Live Collections'!F2232)))</f>
        <v>20000</v>
      </c>
      <c r="T1549" s="304">
        <f t="shared" si="75"/>
        <v>165000</v>
      </c>
      <c r="U1549" s="52"/>
      <c r="V1549" s="34"/>
      <c r="W1549" s="408"/>
    </row>
    <row r="1550" spans="1:23" ht="12.75" customHeight="1" x14ac:dyDescent="0.2">
      <c r="A1550" s="257">
        <v>1523</v>
      </c>
      <c r="B1550" s="44">
        <v>44497</v>
      </c>
      <c r="C1550" s="44">
        <f t="shared" si="73"/>
        <v>44497</v>
      </c>
      <c r="D1550" s="374">
        <v>219</v>
      </c>
      <c r="E1550" s="291" t="str">
        <f>IFERROR(VLOOKUP($D1550,'Clients-Live'!$A:$C,3,0),"")</f>
        <v>MALIKO JAMILA</v>
      </c>
      <c r="F1550" s="291">
        <f>IFERROR(INDEX(Disbursements!$D:$D,MATCH('Live Collections'!G1550,Disbursements!$C:$C,0)),"")</f>
        <v>1</v>
      </c>
      <c r="G1550" s="34">
        <v>228</v>
      </c>
      <c r="H1550" s="34">
        <v>3084</v>
      </c>
      <c r="I1550" s="34" t="s">
        <v>1358</v>
      </c>
      <c r="J1550" s="48"/>
      <c r="K1550" s="48"/>
      <c r="L1550" s="48"/>
      <c r="M1550" s="48"/>
      <c r="N1550" s="59"/>
      <c r="O1550" s="59">
        <v>20000</v>
      </c>
      <c r="P1550" s="59"/>
      <c r="Q1550" s="268">
        <f t="shared" si="74"/>
        <v>20000</v>
      </c>
      <c r="R1550" s="61">
        <f>IF(O1550=0,0,SUMIFS(Disbursements!$T:$T,Disbursements!$B:$B,'Live Collections'!D1550,Disbursements!$D:$D,'Live Collections'!F1550))</f>
        <v>77000</v>
      </c>
      <c r="S1550" s="304"/>
      <c r="T1550" s="304">
        <f t="shared" si="75"/>
        <v>20000</v>
      </c>
      <c r="U1550" s="52"/>
      <c r="V1550" s="34"/>
      <c r="W1550" s="408"/>
    </row>
    <row r="1551" spans="1:23" ht="12.75" customHeight="1" x14ac:dyDescent="0.2">
      <c r="A1551" s="257">
        <v>1533</v>
      </c>
      <c r="B1551" s="44">
        <v>44497</v>
      </c>
      <c r="C1551" s="44">
        <f t="shared" si="73"/>
        <v>44497</v>
      </c>
      <c r="D1551" s="374">
        <v>271</v>
      </c>
      <c r="E1551" s="291" t="str">
        <f>IFERROR(VLOOKUP($D1551,'Clients-Live'!$A:$C,3,0),"")</f>
        <v>ALORO SAIDI</v>
      </c>
      <c r="F1551" s="291" t="str">
        <f>IFERROR(INDEX(Disbursements!$D:$D,MATCH('Live Collections'!G1551,Disbursements!$C:$C,0)),"")</f>
        <v/>
      </c>
      <c r="G1551" s="34"/>
      <c r="H1551" s="34">
        <v>3080</v>
      </c>
      <c r="I1551" s="34" t="s">
        <v>1760</v>
      </c>
      <c r="J1551" s="48"/>
      <c r="K1551" s="48"/>
      <c r="L1551" s="48">
        <v>10000</v>
      </c>
      <c r="M1551" s="48">
        <v>5000</v>
      </c>
      <c r="N1551" s="59"/>
      <c r="O1551" s="59"/>
      <c r="P1551" s="59"/>
      <c r="Q1551" s="268">
        <f t="shared" si="74"/>
        <v>15000</v>
      </c>
      <c r="R1551" s="61">
        <f>IF(O1551=0,0,SUMIFS(Disbursements!$T:$T,Disbursements!$B:$B,'Live Collections'!D1551,Disbursements!$D:$D,'Live Collections'!F1551))</f>
        <v>0</v>
      </c>
      <c r="S1551" s="304">
        <f>IF(O1551&lt;=IF($O1551=0,0,SUMIFS(Disbursements!$W:$W,Disbursements!$B:$B,'Live Collections'!D2967,Disbursements!$D:$D,'Live Collections'!F2967)),O1551,IF($O1551=0,0,SUMIFS(Disbursements!$W:$W,Disbursements!$B:$B,'Live Collections'!D2967,Disbursements!$D:$D,'Live Collections'!F2967)))</f>
        <v>0</v>
      </c>
      <c r="T1551" s="304">
        <f t="shared" si="75"/>
        <v>0</v>
      </c>
      <c r="U1551" s="52"/>
      <c r="V1551" s="34"/>
      <c r="W1551" s="408"/>
    </row>
    <row r="1552" spans="1:23" ht="12.75" customHeight="1" x14ac:dyDescent="0.2">
      <c r="A1552" s="257">
        <v>1534</v>
      </c>
      <c r="B1552" s="44">
        <v>44497</v>
      </c>
      <c r="C1552" s="44">
        <f t="shared" si="73"/>
        <v>44497</v>
      </c>
      <c r="D1552" s="374">
        <v>271</v>
      </c>
      <c r="E1552" s="291" t="str">
        <f>IFERROR(VLOOKUP($D1552,'Clients-Live'!$A:$C,3,0),"")</f>
        <v>ALORO SAIDI</v>
      </c>
      <c r="F1552" s="291" t="str">
        <f>IFERROR(INDEX(Disbursements!$D:$D,MATCH('Live Collections'!G1552,Disbursements!$C:$C,0)),"")</f>
        <v/>
      </c>
      <c r="G1552" s="34"/>
      <c r="H1552" s="34">
        <v>3081</v>
      </c>
      <c r="I1552" s="34" t="s">
        <v>1760</v>
      </c>
      <c r="J1552" s="48">
        <v>15000</v>
      </c>
      <c r="K1552" s="48">
        <v>5000</v>
      </c>
      <c r="L1552" s="48"/>
      <c r="M1552" s="48"/>
      <c r="N1552" s="59"/>
      <c r="O1552" s="59"/>
      <c r="P1552" s="59"/>
      <c r="Q1552" s="268">
        <f t="shared" si="74"/>
        <v>20000</v>
      </c>
      <c r="R1552" s="61">
        <f>IF(O1552=0,0,SUMIFS(Disbursements!$T:$T,Disbursements!$B:$B,'Live Collections'!D1552,Disbursements!$D:$D,'Live Collections'!F1552))</f>
        <v>0</v>
      </c>
      <c r="S1552" s="304">
        <f>IF(O1552&lt;=IF($O1552=0,0,SUMIFS(Disbursements!$W:$W,Disbursements!$B:$B,'Live Collections'!D2968,Disbursements!$D:$D,'Live Collections'!F2968)),O1552,IF($O1552=0,0,SUMIFS(Disbursements!$W:$W,Disbursements!$B:$B,'Live Collections'!D2968,Disbursements!$D:$D,'Live Collections'!F2968)))</f>
        <v>0</v>
      </c>
      <c r="T1552" s="304">
        <f t="shared" si="75"/>
        <v>0</v>
      </c>
      <c r="U1552" s="52"/>
      <c r="V1552" s="34"/>
      <c r="W1552" s="408"/>
    </row>
    <row r="1553" spans="1:23" ht="12.75" customHeight="1" x14ac:dyDescent="0.2">
      <c r="A1553" s="257">
        <v>1539</v>
      </c>
      <c r="B1553" s="44">
        <v>44498</v>
      </c>
      <c r="C1553" s="44">
        <f t="shared" si="73"/>
        <v>44498</v>
      </c>
      <c r="D1553" s="374">
        <v>22</v>
      </c>
      <c r="E1553" s="291" t="str">
        <f>IFERROR(VLOOKUP($D1553,'Clients-Live'!$A:$C,3,0),"")</f>
        <v>DATA ISMAIL FATARI</v>
      </c>
      <c r="F1553" s="291">
        <f>IFERROR(INDEX(Disbursements!$D:$D,MATCH('Live Collections'!G1553,Disbursements!$C:$C,0)),"")</f>
        <v>1</v>
      </c>
      <c r="G1553" s="34">
        <v>13</v>
      </c>
      <c r="H1553" s="34">
        <v>3089</v>
      </c>
      <c r="I1553" s="34" t="s">
        <v>1359</v>
      </c>
      <c r="J1553" s="48"/>
      <c r="K1553" s="48"/>
      <c r="L1553" s="48"/>
      <c r="M1553" s="48"/>
      <c r="N1553" s="59"/>
      <c r="O1553" s="59">
        <v>100000</v>
      </c>
      <c r="P1553" s="59"/>
      <c r="Q1553" s="268">
        <f t="shared" si="74"/>
        <v>100000</v>
      </c>
      <c r="R1553" s="61">
        <f>IF(O1553=0,0,SUMIFS(Disbursements!$T:$T,Disbursements!$B:$B,'Live Collections'!D1553,Disbursements!$D:$D,'Live Collections'!F1553))</f>
        <v>217000</v>
      </c>
      <c r="S1553" s="304">
        <f>IF(O1553&lt;=IF($O1553=0,0,SUMIFS(Disbursements!$W:$W,Disbursements!$B:$B,'Live Collections'!D289,Disbursements!$D:$D,'Live Collections'!F289)),O1553,IF($O1553=0,0,SUMIFS(Disbursements!$W:$W,Disbursements!$B:$B,'Live Collections'!D289,Disbursements!$D:$D,'Live Collections'!F289)))</f>
        <v>0</v>
      </c>
      <c r="T1553" s="304">
        <f t="shared" si="75"/>
        <v>100000</v>
      </c>
      <c r="U1553" s="52"/>
      <c r="V1553" s="34"/>
      <c r="W1553" s="408"/>
    </row>
    <row r="1554" spans="1:23" ht="12.75" customHeight="1" x14ac:dyDescent="0.2">
      <c r="A1554" s="257">
        <v>1536</v>
      </c>
      <c r="B1554" s="44">
        <v>44498</v>
      </c>
      <c r="C1554" s="44">
        <f t="shared" si="73"/>
        <v>44498</v>
      </c>
      <c r="D1554" s="374">
        <v>46</v>
      </c>
      <c r="E1554" s="291" t="str">
        <f>IFERROR(VLOOKUP($D1554,'Clients-Live'!$A:$C,3,0),"")</f>
        <v>ALIO YUDA</v>
      </c>
      <c r="F1554" s="291">
        <f>IFERROR(INDEX(Disbursements!$D:$D,MATCH('Live Collections'!G1554,Disbursements!$C:$C,0)),"")</f>
        <v>1</v>
      </c>
      <c r="G1554" s="34">
        <v>35</v>
      </c>
      <c r="H1554" s="34">
        <v>3094</v>
      </c>
      <c r="I1554" s="34" t="s">
        <v>1357</v>
      </c>
      <c r="J1554" s="48"/>
      <c r="K1554" s="48"/>
      <c r="L1554" s="48"/>
      <c r="M1554" s="48"/>
      <c r="N1554" s="59"/>
      <c r="O1554" s="59">
        <v>130000</v>
      </c>
      <c r="P1554" s="59"/>
      <c r="Q1554" s="268">
        <f t="shared" si="74"/>
        <v>130000</v>
      </c>
      <c r="R1554" s="61">
        <f>IF(O1554=0,0,SUMIFS(Disbursements!$T:$T,Disbursements!$B:$B,'Live Collections'!D1554,Disbursements!$D:$D,'Live Collections'!F1554))</f>
        <v>325000</v>
      </c>
      <c r="S1554" s="304">
        <f>IF(O1554&lt;=IF($O1554=0,0,SUMIFS(Disbursements!$W:$W,Disbursements!$B:$B,'Live Collections'!D523,Disbursements!$D:$D,'Live Collections'!F523)),O1554,IF($O1554=0,0,SUMIFS(Disbursements!$W:$W,Disbursements!$B:$B,'Live Collections'!D523,Disbursements!$D:$D,'Live Collections'!F523)))</f>
        <v>15000</v>
      </c>
      <c r="T1554" s="304">
        <f t="shared" si="75"/>
        <v>115000</v>
      </c>
      <c r="U1554" s="52"/>
      <c r="V1554" s="34"/>
      <c r="W1554" s="408"/>
    </row>
    <row r="1555" spans="1:23" ht="12.75" customHeight="1" x14ac:dyDescent="0.2">
      <c r="A1555" s="257">
        <v>1537</v>
      </c>
      <c r="B1555" s="44">
        <v>44498</v>
      </c>
      <c r="C1555" s="44">
        <f t="shared" si="73"/>
        <v>44498</v>
      </c>
      <c r="D1555" s="374">
        <v>73</v>
      </c>
      <c r="E1555" s="291" t="str">
        <f>IFERROR(VLOOKUP($D1555,'Clients-Live'!$A:$C,3,0),"")</f>
        <v>AJONYE DEBORA</v>
      </c>
      <c r="F1555" s="291">
        <f>IFERROR(INDEX(Disbursements!$D:$D,MATCH('Live Collections'!G1555,Disbursements!$C:$C,0)),"")</f>
        <v>2</v>
      </c>
      <c r="G1555" s="34">
        <v>240</v>
      </c>
      <c r="H1555" s="34">
        <v>3091</v>
      </c>
      <c r="I1555" s="34" t="s">
        <v>1357</v>
      </c>
      <c r="J1555" s="48"/>
      <c r="K1555" s="48"/>
      <c r="L1555" s="48"/>
      <c r="M1555" s="48"/>
      <c r="N1555" s="59"/>
      <c r="O1555" s="59">
        <v>150000</v>
      </c>
      <c r="P1555" s="59"/>
      <c r="Q1555" s="268">
        <f t="shared" si="74"/>
        <v>150000</v>
      </c>
      <c r="R1555" s="61">
        <f>IF(O1555=0,0,SUMIFS(Disbursements!$T:$T,Disbursements!$B:$B,'Live Collections'!D1555,Disbursements!$D:$D,'Live Collections'!F1555))</f>
        <v>150000</v>
      </c>
      <c r="S1555" s="304">
        <f>IF(O1555&lt;=IF($O1555=0,0,SUMIFS(Disbursements!$W:$W,Disbursements!$B:$B,'Live Collections'!D924,Disbursements!$D:$D,'Live Collections'!F924)),O1555,IF($O1555=0,0,SUMIFS(Disbursements!$W:$W,Disbursements!$B:$B,'Live Collections'!D924,Disbursements!$D:$D,'Live Collections'!F924)))</f>
        <v>75000</v>
      </c>
      <c r="T1555" s="304">
        <f t="shared" si="75"/>
        <v>75000</v>
      </c>
      <c r="U1555" s="52"/>
      <c r="V1555" s="34"/>
      <c r="W1555" s="408"/>
    </row>
    <row r="1556" spans="1:23" ht="12.75" customHeight="1" x14ac:dyDescent="0.2">
      <c r="A1556" s="257">
        <v>1545</v>
      </c>
      <c r="B1556" s="44">
        <v>44498</v>
      </c>
      <c r="C1556" s="44">
        <f t="shared" si="73"/>
        <v>44498</v>
      </c>
      <c r="D1556" s="374">
        <v>83</v>
      </c>
      <c r="E1556" s="291" t="str">
        <f>IFERROR(VLOOKUP($D1556,'Clients-Live'!$A:$C,3,0),"")</f>
        <v>NEVER ZULAIKA</v>
      </c>
      <c r="F1556" s="291" t="str">
        <f>IFERROR(INDEX(Disbursements!$D:$D,MATCH('Live Collections'!G1556,Disbursements!$C:$C,0)),"")</f>
        <v/>
      </c>
      <c r="G1556" s="34"/>
      <c r="H1556" s="34">
        <v>277</v>
      </c>
      <c r="I1556" s="34" t="s">
        <v>1357</v>
      </c>
      <c r="J1556" s="48"/>
      <c r="K1556" s="48"/>
      <c r="L1556" s="48"/>
      <c r="M1556" s="48"/>
      <c r="N1556" s="59"/>
      <c r="O1556" s="59"/>
      <c r="P1556" s="59">
        <v>-40000</v>
      </c>
      <c r="Q1556" s="268">
        <f t="shared" si="74"/>
        <v>-40000</v>
      </c>
      <c r="R1556" s="61">
        <f>IF(O1556=0,0,SUMIFS(Disbursements!$T:$T,Disbursements!$B:$B,'Live Collections'!D1556,Disbursements!$D:$D,'Live Collections'!F1556))</f>
        <v>0</v>
      </c>
      <c r="S1556" s="304">
        <f>IF(O1556&lt;=IF($O1556=0,0,SUMIFS(Disbursements!$W:$W,Disbursements!$B:$B,'Live Collections'!D1070,Disbursements!$D:$D,'Live Collections'!F1070)),O1556,IF($O1556=0,0,SUMIFS(Disbursements!$W:$W,Disbursements!$B:$B,'Live Collections'!D1070,Disbursements!$D:$D,'Live Collections'!F1070)))</f>
        <v>0</v>
      </c>
      <c r="T1556" s="304">
        <f t="shared" si="75"/>
        <v>0</v>
      </c>
      <c r="U1556" s="52"/>
      <c r="V1556" s="34"/>
      <c r="W1556" s="408"/>
    </row>
    <row r="1557" spans="1:23" ht="12.75" customHeight="1" x14ac:dyDescent="0.2">
      <c r="A1557" s="257">
        <v>1546</v>
      </c>
      <c r="B1557" s="44">
        <v>44498</v>
      </c>
      <c r="C1557" s="44">
        <f t="shared" si="73"/>
        <v>44498</v>
      </c>
      <c r="D1557" s="374">
        <v>83</v>
      </c>
      <c r="E1557" s="291" t="str">
        <f>IFERROR(VLOOKUP($D1557,'Clients-Live'!$A:$C,3,0),"")</f>
        <v>NEVER ZULAIKA</v>
      </c>
      <c r="F1557" s="291">
        <f>IFERROR(INDEX(Disbursements!$D:$D,MATCH('Live Collections'!G1557,Disbursements!$C:$C,0)),"")</f>
        <v>1</v>
      </c>
      <c r="G1557" s="34">
        <v>72</v>
      </c>
      <c r="H1557" s="34">
        <v>3098</v>
      </c>
      <c r="I1557" s="34" t="s">
        <v>1357</v>
      </c>
      <c r="J1557" s="48"/>
      <c r="K1557" s="48"/>
      <c r="L1557" s="48"/>
      <c r="M1557" s="48"/>
      <c r="N1557" s="59"/>
      <c r="O1557" s="59">
        <v>40000</v>
      </c>
      <c r="P1557" s="59"/>
      <c r="Q1557" s="268">
        <f t="shared" si="74"/>
        <v>40000</v>
      </c>
      <c r="R1557" s="61">
        <f>IF(O1557=0,0,SUMIFS(Disbursements!$T:$T,Disbursements!$B:$B,'Live Collections'!D1557,Disbursements!$D:$D,'Live Collections'!F1557))</f>
        <v>120000</v>
      </c>
      <c r="S1557" s="304">
        <f>IF(O1557&lt;=IF($O1557=0,0,SUMIFS(Disbursements!$W:$W,Disbursements!$B:$B,'Live Collections'!D1071,Disbursements!$D:$D,'Live Collections'!F1071)),O1557,IF($O1557=0,0,SUMIFS(Disbursements!$W:$W,Disbursements!$B:$B,'Live Collections'!D1071,Disbursements!$D:$D,'Live Collections'!F1071)))</f>
        <v>0</v>
      </c>
      <c r="T1557" s="304">
        <f t="shared" si="75"/>
        <v>40000</v>
      </c>
      <c r="U1557" s="52"/>
      <c r="V1557" s="34"/>
      <c r="W1557" s="408"/>
    </row>
    <row r="1558" spans="1:23" ht="12.75" customHeight="1" x14ac:dyDescent="0.2">
      <c r="A1558" s="257">
        <v>1535</v>
      </c>
      <c r="B1558" s="44">
        <v>44498</v>
      </c>
      <c r="C1558" s="44">
        <f t="shared" si="73"/>
        <v>44498</v>
      </c>
      <c r="D1558" s="374">
        <v>86</v>
      </c>
      <c r="E1558" s="291" t="str">
        <f>IFERROR(VLOOKUP($D1558,'Clients-Live'!$A:$C,3,0),"")</f>
        <v>AMANIYO JOYCE</v>
      </c>
      <c r="F1558" s="291">
        <f>IFERROR(INDEX(Disbursements!$D:$D,MATCH('Live Collections'!G1558,Disbursements!$C:$C,0)),"")</f>
        <v>2</v>
      </c>
      <c r="G1558" s="34">
        <v>231</v>
      </c>
      <c r="H1558" s="34">
        <v>3095</v>
      </c>
      <c r="I1558" s="34" t="s">
        <v>1358</v>
      </c>
      <c r="J1558" s="48"/>
      <c r="K1558" s="48"/>
      <c r="L1558" s="48"/>
      <c r="M1558" s="48"/>
      <c r="N1558" s="59"/>
      <c r="O1558" s="59">
        <v>66700</v>
      </c>
      <c r="P1558" s="59"/>
      <c r="Q1558" s="268">
        <f t="shared" si="74"/>
        <v>66700</v>
      </c>
      <c r="R1558" s="61">
        <f>IF(O1558=0,0,SUMIFS(Disbursements!$T:$T,Disbursements!$B:$B,'Live Collections'!D1558,Disbursements!$D:$D,'Live Collections'!F1558))</f>
        <v>217000</v>
      </c>
      <c r="S1558" s="304">
        <f>IF(O1558&lt;=IF($O1558=0,0,SUMIFS(Disbursements!$W:$W,Disbursements!$B:$B,'Live Collections'!D1115,Disbursements!$D:$D,'Live Collections'!F1115)),O1558,IF($O1558=0,0,SUMIFS(Disbursements!$W:$W,Disbursements!$B:$B,'Live Collections'!D1115,Disbursements!$D:$D,'Live Collections'!F1115)))</f>
        <v>15000</v>
      </c>
      <c r="T1558" s="304">
        <f t="shared" si="75"/>
        <v>51700</v>
      </c>
      <c r="U1558" s="52"/>
      <c r="V1558" s="34"/>
      <c r="W1558" s="408"/>
    </row>
    <row r="1559" spans="1:23" ht="12.75" customHeight="1" x14ac:dyDescent="0.2">
      <c r="A1559" s="257">
        <v>1540</v>
      </c>
      <c r="B1559" s="44">
        <v>44498</v>
      </c>
      <c r="C1559" s="44">
        <f t="shared" si="73"/>
        <v>44498</v>
      </c>
      <c r="D1559" s="374">
        <v>123</v>
      </c>
      <c r="E1559" s="291" t="str">
        <f>IFERROR(VLOOKUP($D1559,'Clients-Live'!$A:$C,3,0),"")</f>
        <v>INZIKURU JANET</v>
      </c>
      <c r="F1559" s="291">
        <f>IFERROR(INDEX(Disbursements!$D:$D,MATCH('Live Collections'!G1559,Disbursements!$C:$C,0)),"")</f>
        <v>1</v>
      </c>
      <c r="G1559" s="34">
        <v>107</v>
      </c>
      <c r="H1559" s="34">
        <v>3088</v>
      </c>
      <c r="I1559" s="34" t="s">
        <v>1358</v>
      </c>
      <c r="J1559" s="48"/>
      <c r="K1559" s="48"/>
      <c r="L1559" s="48"/>
      <c r="M1559" s="48"/>
      <c r="N1559" s="59"/>
      <c r="O1559" s="59">
        <v>40000</v>
      </c>
      <c r="P1559" s="59"/>
      <c r="Q1559" s="268">
        <f t="shared" si="74"/>
        <v>40000</v>
      </c>
      <c r="R1559" s="61">
        <f>IF(O1559=0,0,SUMIFS(Disbursements!$T:$T,Disbursements!$B:$B,'Live Collections'!D1559,Disbursements!$D:$D,'Live Collections'!F1559))</f>
        <v>150000</v>
      </c>
      <c r="S1559" s="304">
        <f>IF(O1559&lt;=IF($O1559=0,0,SUMIFS(Disbursements!$W:$W,Disbursements!$B:$B,'Live Collections'!D1566,Disbursements!$D:$D,'Live Collections'!F1566)),O1559,IF($O1559=0,0,SUMIFS(Disbursements!$W:$W,Disbursements!$B:$B,'Live Collections'!D1566,Disbursements!$D:$D,'Live Collections'!F1566)))</f>
        <v>0</v>
      </c>
      <c r="T1559" s="304">
        <f t="shared" si="75"/>
        <v>40000</v>
      </c>
      <c r="U1559" s="52"/>
      <c r="V1559" s="34"/>
      <c r="W1559" s="408"/>
    </row>
    <row r="1560" spans="1:23" ht="12.75" customHeight="1" x14ac:dyDescent="0.2">
      <c r="A1560" s="257">
        <v>1538</v>
      </c>
      <c r="B1560" s="44">
        <v>44498</v>
      </c>
      <c r="C1560" s="44">
        <f t="shared" si="73"/>
        <v>44498</v>
      </c>
      <c r="D1560" s="374">
        <v>138</v>
      </c>
      <c r="E1560" s="291" t="str">
        <f>IFERROR(VLOOKUP($D1560,'Clients-Live'!$A:$C,3,0),"")</f>
        <v>BEATRICE AMANDRU</v>
      </c>
      <c r="F1560" s="291">
        <f>IFERROR(INDEX(Disbursements!$D:$D,MATCH('Live Collections'!G1560,Disbursements!$C:$C,0)),"")</f>
        <v>2</v>
      </c>
      <c r="G1560" s="34">
        <v>235</v>
      </c>
      <c r="H1560" s="34">
        <v>3090</v>
      </c>
      <c r="I1560" s="34" t="s">
        <v>1357</v>
      </c>
      <c r="J1560" s="48"/>
      <c r="K1560" s="48"/>
      <c r="L1560" s="48"/>
      <c r="M1560" s="48"/>
      <c r="N1560" s="59"/>
      <c r="O1560" s="59">
        <v>330000</v>
      </c>
      <c r="P1560" s="59"/>
      <c r="Q1560" s="268">
        <f t="shared" si="74"/>
        <v>330000</v>
      </c>
      <c r="R1560" s="61">
        <f>IF(O1560=0,0,SUMIFS(Disbursements!$T:$T,Disbursements!$B:$B,'Live Collections'!D1560,Disbursements!$D:$D,'Live Collections'!F1560))</f>
        <v>330000</v>
      </c>
      <c r="S1560" s="64">
        <v>60000</v>
      </c>
      <c r="T1560" s="304">
        <f t="shared" si="75"/>
        <v>270000</v>
      </c>
      <c r="U1560" s="52"/>
      <c r="V1560" s="34"/>
      <c r="W1560" s="408"/>
    </row>
    <row r="1561" spans="1:23" ht="12.75" customHeight="1" x14ac:dyDescent="0.2">
      <c r="A1561" s="257">
        <v>1541</v>
      </c>
      <c r="B1561" s="44">
        <v>44498</v>
      </c>
      <c r="C1561" s="44">
        <f t="shared" si="73"/>
        <v>44498</v>
      </c>
      <c r="D1561" s="374">
        <v>146</v>
      </c>
      <c r="E1561" s="291" t="str">
        <f>IFERROR(VLOOKUP($D1561,'Clients-Live'!$A:$C,3,0),"")</f>
        <v>IMBIRA AISHA</v>
      </c>
      <c r="F1561" s="291">
        <f>IFERROR(INDEX(Disbursements!$D:$D,MATCH('Live Collections'!G1561,Disbursements!$C:$C,0)),"")</f>
        <v>1</v>
      </c>
      <c r="G1561" s="34">
        <v>133</v>
      </c>
      <c r="H1561" s="34">
        <v>3087</v>
      </c>
      <c r="I1561" s="34" t="s">
        <v>1357</v>
      </c>
      <c r="J1561" s="48"/>
      <c r="K1561" s="48"/>
      <c r="L1561" s="48"/>
      <c r="M1561" s="48"/>
      <c r="N1561" s="59"/>
      <c r="O1561" s="59">
        <v>90000</v>
      </c>
      <c r="P1561" s="59"/>
      <c r="Q1561" s="268">
        <f t="shared" si="74"/>
        <v>90000</v>
      </c>
      <c r="R1561" s="61">
        <f>IF(O1561=0,0,SUMIFS(Disbursements!$T:$T,Disbursements!$B:$B,'Live Collections'!D1561,Disbursements!$D:$D,'Live Collections'!F1561))</f>
        <v>120000</v>
      </c>
      <c r="S1561" s="304"/>
      <c r="T1561" s="304">
        <f t="shared" si="75"/>
        <v>90000</v>
      </c>
      <c r="U1561" s="52"/>
      <c r="V1561" s="34"/>
      <c r="W1561" s="408"/>
    </row>
    <row r="1562" spans="1:23" ht="12.75" customHeight="1" x14ac:dyDescent="0.2">
      <c r="A1562" s="257">
        <v>1544</v>
      </c>
      <c r="B1562" s="44">
        <v>44498</v>
      </c>
      <c r="C1562" s="44">
        <f t="shared" si="73"/>
        <v>44498</v>
      </c>
      <c r="D1562" s="374">
        <v>230</v>
      </c>
      <c r="E1562" s="291" t="str">
        <f>IFERROR(VLOOKUP($D1562,'Clients-Live'!$A:$C,3,0),"")</f>
        <v>ANGAIKA SALFA</v>
      </c>
      <c r="F1562" s="291">
        <f>IFERROR(INDEX(Disbursements!$D:$D,MATCH('Live Collections'!G1562,Disbursements!$C:$C,0)),"")</f>
        <v>1</v>
      </c>
      <c r="G1562" s="34">
        <v>241</v>
      </c>
      <c r="H1562" s="34">
        <v>3096</v>
      </c>
      <c r="I1562" s="34" t="s">
        <v>1357</v>
      </c>
      <c r="J1562" s="48"/>
      <c r="K1562" s="48"/>
      <c r="L1562" s="48"/>
      <c r="M1562" s="48"/>
      <c r="N1562" s="59"/>
      <c r="O1562" s="59">
        <v>200000</v>
      </c>
      <c r="P1562" s="59"/>
      <c r="Q1562" s="268">
        <f t="shared" si="74"/>
        <v>200000</v>
      </c>
      <c r="R1562" s="61">
        <f>IF(O1562=0,0,SUMIFS(Disbursements!$T:$T,Disbursements!$B:$B,'Live Collections'!D1562,Disbursements!$D:$D,'Live Collections'!F1562))</f>
        <v>330000</v>
      </c>
      <c r="S1562" s="304">
        <f>IF(O1562&lt;=IF($O1562=0,0,SUMIFS(Disbursements!$W:$W,Disbursements!$B:$B,'Live Collections'!D2676,Disbursements!$D:$D,'Live Collections'!F2676)),O1562,IF($O1562=0,0,SUMIFS(Disbursements!$W:$W,Disbursements!$B:$B,'Live Collections'!D2676,Disbursements!$D:$D,'Live Collections'!F2676)))</f>
        <v>20000</v>
      </c>
      <c r="T1562" s="304">
        <f t="shared" si="75"/>
        <v>180000</v>
      </c>
      <c r="U1562" s="52"/>
      <c r="V1562" s="34"/>
      <c r="W1562" s="408"/>
    </row>
    <row r="1563" spans="1:23" ht="12.75" customHeight="1" x14ac:dyDescent="0.2">
      <c r="A1563" s="257">
        <v>1542</v>
      </c>
      <c r="B1563" s="44">
        <v>44498</v>
      </c>
      <c r="C1563" s="44">
        <f t="shared" si="73"/>
        <v>44498</v>
      </c>
      <c r="D1563" s="374">
        <v>272</v>
      </c>
      <c r="E1563" s="291" t="str">
        <f>IFERROR(VLOOKUP($D1563,'Clients-Live'!$A:$C,3,0),"")</f>
        <v>AFEKU EMMANUEL</v>
      </c>
      <c r="F1563" s="291" t="str">
        <f>IFERROR(INDEX(Disbursements!$D:$D,MATCH('Live Collections'!G1563,Disbursements!$C:$C,0)),"")</f>
        <v/>
      </c>
      <c r="G1563" s="34"/>
      <c r="H1563" s="34">
        <v>3092</v>
      </c>
      <c r="I1563" s="34" t="s">
        <v>1760</v>
      </c>
      <c r="J1563" s="48">
        <v>15000</v>
      </c>
      <c r="K1563" s="48">
        <v>5000</v>
      </c>
      <c r="L1563" s="48"/>
      <c r="M1563" s="48"/>
      <c r="N1563" s="59"/>
      <c r="O1563" s="59"/>
      <c r="P1563" s="59"/>
      <c r="Q1563" s="268">
        <f t="shared" si="74"/>
        <v>20000</v>
      </c>
      <c r="R1563" s="61">
        <f>IF(O1563=0,0,SUMIFS(Disbursements!$T:$T,Disbursements!$B:$B,'Live Collections'!D1563,Disbursements!$D:$D,'Live Collections'!F1563))</f>
        <v>0</v>
      </c>
      <c r="S1563" s="304">
        <f>IF(O1563&lt;=IF($O1563=0,0,SUMIFS(Disbursements!$W:$W,Disbursements!$B:$B,'Live Collections'!D2974,Disbursements!$D:$D,'Live Collections'!F2974)),O1563,IF($O1563=0,0,SUMIFS(Disbursements!$W:$W,Disbursements!$B:$B,'Live Collections'!D2974,Disbursements!$D:$D,'Live Collections'!F2974)))</f>
        <v>0</v>
      </c>
      <c r="T1563" s="304">
        <f t="shared" si="75"/>
        <v>0</v>
      </c>
      <c r="U1563" s="52"/>
      <c r="V1563" s="34"/>
      <c r="W1563" s="408"/>
    </row>
    <row r="1564" spans="1:23" ht="12.75" customHeight="1" x14ac:dyDescent="0.2">
      <c r="A1564" s="257">
        <v>1543</v>
      </c>
      <c r="B1564" s="44">
        <v>44498</v>
      </c>
      <c r="C1564" s="44">
        <f t="shared" si="73"/>
        <v>44498</v>
      </c>
      <c r="D1564" s="374">
        <v>272</v>
      </c>
      <c r="E1564" s="291" t="str">
        <f>IFERROR(VLOOKUP($D1564,'Clients-Live'!$A:$C,3,0),"")</f>
        <v>AFEKU EMMANUEL</v>
      </c>
      <c r="F1564" s="291" t="str">
        <f>IFERROR(INDEX(Disbursements!$D:$D,MATCH('Live Collections'!G1564,Disbursements!$C:$C,0)),"")</f>
        <v/>
      </c>
      <c r="G1564" s="34"/>
      <c r="H1564" s="34">
        <v>3093</v>
      </c>
      <c r="I1564" s="34" t="s">
        <v>1359</v>
      </c>
      <c r="J1564" s="48"/>
      <c r="K1564" s="48"/>
      <c r="L1564" s="48">
        <v>10000</v>
      </c>
      <c r="M1564" s="48">
        <v>5000</v>
      </c>
      <c r="N1564" s="59"/>
      <c r="O1564" s="59"/>
      <c r="P1564" s="59"/>
      <c r="Q1564" s="268">
        <f t="shared" si="74"/>
        <v>15000</v>
      </c>
      <c r="R1564" s="61">
        <f>IF(O1564=0,0,SUMIFS(Disbursements!$T:$T,Disbursements!$B:$B,'Live Collections'!D1564,Disbursements!$D:$D,'Live Collections'!F1564))</f>
        <v>0</v>
      </c>
      <c r="S1564" s="304">
        <f>IF(O1564&lt;=IF($O1564=0,0,SUMIFS(Disbursements!$W:$W,Disbursements!$B:$B,'Live Collections'!D2975,Disbursements!$D:$D,'Live Collections'!F2975)),O1564,IF($O1564=0,0,SUMIFS(Disbursements!$W:$W,Disbursements!$B:$B,'Live Collections'!D2975,Disbursements!$D:$D,'Live Collections'!F2975)))</f>
        <v>0</v>
      </c>
      <c r="T1564" s="304">
        <f t="shared" si="75"/>
        <v>0</v>
      </c>
      <c r="U1564" s="52"/>
      <c r="V1564" s="34"/>
      <c r="W1564" s="408"/>
    </row>
    <row r="1565" spans="1:23" ht="12.75" customHeight="1" x14ac:dyDescent="0.2">
      <c r="A1565" s="257">
        <v>1549</v>
      </c>
      <c r="B1565" s="44">
        <v>44499</v>
      </c>
      <c r="C1565" s="44">
        <f t="shared" si="73"/>
        <v>44499</v>
      </c>
      <c r="D1565" s="374">
        <v>20</v>
      </c>
      <c r="E1565" s="291" t="str">
        <f>IFERROR(VLOOKUP($D1565,'Clients-Live'!$A:$C,3,0),"")</f>
        <v>ANDEZO KEVIN</v>
      </c>
      <c r="F1565" s="291">
        <f>IFERROR(INDEX(Disbursements!$D:$D,MATCH('Live Collections'!G1565,Disbursements!$C:$C,0)),"")</f>
        <v>2</v>
      </c>
      <c r="G1565" s="34">
        <v>194</v>
      </c>
      <c r="H1565" s="34">
        <v>3202</v>
      </c>
      <c r="I1565" s="34" t="s">
        <v>1358</v>
      </c>
      <c r="J1565" s="48"/>
      <c r="K1565" s="48"/>
      <c r="L1565" s="48"/>
      <c r="M1565" s="48"/>
      <c r="N1565" s="59"/>
      <c r="O1565" s="59">
        <v>200000</v>
      </c>
      <c r="P1565" s="59"/>
      <c r="Q1565" s="268">
        <f t="shared" si="74"/>
        <v>200000</v>
      </c>
      <c r="R1565" s="61">
        <f>IF(O1565=0,0,SUMIFS(Disbursements!$T:$T,Disbursements!$B:$B,'Live Collections'!D1565,Disbursements!$D:$D,'Live Collections'!F1565))</f>
        <v>200000</v>
      </c>
      <c r="S1565" s="304">
        <f>IF(O1565&lt;=IF($O1565=0,0,SUMIFS(Disbursements!$W:$W,Disbursements!$B:$B,'Live Collections'!D253,Disbursements!$D:$D,'Live Collections'!F253)),O1565,IF($O1565=0,0,SUMIFS(Disbursements!$W:$W,Disbursements!$B:$B,'Live Collections'!D253,Disbursements!$D:$D,'Live Collections'!F253)))</f>
        <v>135666.66666666669</v>
      </c>
      <c r="T1565" s="304">
        <f t="shared" si="75"/>
        <v>64333.333333333314</v>
      </c>
      <c r="U1565" s="52"/>
      <c r="V1565" s="34"/>
      <c r="W1565" s="408"/>
    </row>
    <row r="1566" spans="1:23" ht="12.75" customHeight="1" x14ac:dyDescent="0.2">
      <c r="A1566" s="257">
        <v>1553</v>
      </c>
      <c r="B1566" s="44">
        <v>44499</v>
      </c>
      <c r="C1566" s="44">
        <f t="shared" si="73"/>
        <v>44499</v>
      </c>
      <c r="D1566" s="374">
        <v>70</v>
      </c>
      <c r="E1566" s="291" t="str">
        <f>IFERROR(VLOOKUP($D1566,'Clients-Live'!$A:$C,3,0),"")</f>
        <v>BUGA ALIKIA PHILLIP</v>
      </c>
      <c r="F1566" s="291" t="str">
        <f>IFERROR(INDEX(Disbursements!$D:$D,MATCH('Live Collections'!G1566,Disbursements!$C:$C,0)),"")</f>
        <v/>
      </c>
      <c r="G1566" s="34"/>
      <c r="H1566" s="34">
        <v>3251</v>
      </c>
      <c r="I1566" s="34" t="s">
        <v>1358</v>
      </c>
      <c r="J1566" s="48"/>
      <c r="K1566" s="48"/>
      <c r="L1566" s="48"/>
      <c r="M1566" s="48"/>
      <c r="N1566" s="59"/>
      <c r="O1566" s="59"/>
      <c r="P1566" s="59">
        <v>120000</v>
      </c>
      <c r="Q1566" s="268">
        <f t="shared" si="74"/>
        <v>120000</v>
      </c>
      <c r="R1566" s="61">
        <f>IF(O1566=0,0,SUMIFS(Disbursements!$T:$T,Disbursements!$B:$B,'Live Collections'!D1566,Disbursements!$D:$D,'Live Collections'!F1566))</f>
        <v>0</v>
      </c>
      <c r="S1566" s="304">
        <f>IF(O1566&lt;=IF($O1566=0,0,SUMIFS(Disbursements!$W:$W,Disbursements!$B:$B,'Live Collections'!D878,Disbursements!$D:$D,'Live Collections'!F878)),O1566,IF($O1566=0,0,SUMIFS(Disbursements!$W:$W,Disbursements!$B:$B,'Live Collections'!D878,Disbursements!$D:$D,'Live Collections'!F878)))</f>
        <v>0</v>
      </c>
      <c r="T1566" s="304">
        <f t="shared" si="75"/>
        <v>0</v>
      </c>
      <c r="U1566" s="52"/>
      <c r="V1566" s="34"/>
      <c r="W1566" s="408"/>
    </row>
    <row r="1567" spans="1:23" ht="12.75" customHeight="1" x14ac:dyDescent="0.2">
      <c r="A1567" s="257">
        <v>1552</v>
      </c>
      <c r="B1567" s="44">
        <v>44499</v>
      </c>
      <c r="C1567" s="44">
        <f t="shared" si="73"/>
        <v>44499</v>
      </c>
      <c r="D1567" s="374">
        <v>98</v>
      </c>
      <c r="E1567" s="291" t="str">
        <f>IFERROR(VLOOKUP($D1567,'Clients-Live'!$A:$C,3,0),"")</f>
        <v>AMANIYO CLARA</v>
      </c>
      <c r="F1567" s="291">
        <f>IFERROR(INDEX(Disbursements!$D:$D,MATCH('Live Collections'!G1567,Disbursements!$C:$C,0)),"")</f>
        <v>2</v>
      </c>
      <c r="G1567" s="34">
        <v>232</v>
      </c>
      <c r="H1567" s="34">
        <v>3255</v>
      </c>
      <c r="I1567" s="34" t="s">
        <v>1358</v>
      </c>
      <c r="J1567" s="48"/>
      <c r="K1567" s="48"/>
      <c r="L1567" s="48"/>
      <c r="M1567" s="48"/>
      <c r="N1567" s="59"/>
      <c r="O1567" s="59">
        <v>100000</v>
      </c>
      <c r="P1567" s="59"/>
      <c r="Q1567" s="268">
        <f t="shared" si="74"/>
        <v>100000</v>
      </c>
      <c r="R1567" s="61">
        <f>IF(O1567=0,0,SUMIFS(Disbursements!$T:$T,Disbursements!$B:$B,'Live Collections'!D1567,Disbursements!$D:$D,'Live Collections'!F1567))</f>
        <v>175000</v>
      </c>
      <c r="S1567" s="304">
        <f>IF(O1567&lt;=IF($O1567=0,0,SUMIFS(Disbursements!$W:$W,Disbursements!$B:$B,'Live Collections'!D1269,Disbursements!$D:$D,'Live Collections'!F1269)),O1567,IF($O1567=0,0,SUMIFS(Disbursements!$W:$W,Disbursements!$B:$B,'Live Collections'!D1269,Disbursements!$D:$D,'Live Collections'!F1269)))</f>
        <v>15000</v>
      </c>
      <c r="T1567" s="304">
        <f t="shared" si="75"/>
        <v>85000</v>
      </c>
      <c r="U1567" s="52"/>
      <c r="V1567" s="34"/>
      <c r="W1567" s="408"/>
    </row>
    <row r="1568" spans="1:23" ht="12.75" customHeight="1" x14ac:dyDescent="0.2">
      <c r="A1568" s="257">
        <v>1551</v>
      </c>
      <c r="B1568" s="44">
        <v>44499</v>
      </c>
      <c r="C1568" s="44">
        <f t="shared" si="73"/>
        <v>44499</v>
      </c>
      <c r="D1568" s="374">
        <v>109</v>
      </c>
      <c r="E1568" s="291" t="str">
        <f>IFERROR(VLOOKUP($D1568,'Clients-Live'!$A:$C,3,0),"")</f>
        <v>TABU KISA</v>
      </c>
      <c r="F1568" s="291">
        <f>IFERROR(INDEX(Disbursements!$D:$D,MATCH('Live Collections'!G1568,Disbursements!$C:$C,0)),"")</f>
        <v>2</v>
      </c>
      <c r="G1568" s="34">
        <v>237</v>
      </c>
      <c r="H1568" s="34">
        <v>3256</v>
      </c>
      <c r="I1568" s="34" t="s">
        <v>1357</v>
      </c>
      <c r="J1568" s="48"/>
      <c r="K1568" s="48"/>
      <c r="L1568" s="48"/>
      <c r="M1568" s="48"/>
      <c r="N1568" s="59"/>
      <c r="O1568" s="59">
        <v>75000</v>
      </c>
      <c r="P1568" s="59"/>
      <c r="Q1568" s="268">
        <f t="shared" si="74"/>
        <v>75000</v>
      </c>
      <c r="R1568" s="61">
        <f>IF(O1568=0,0,SUMIFS(Disbursements!$T:$T,Disbursements!$B:$B,'Live Collections'!D1568,Disbursements!$D:$D,'Live Collections'!F1568))</f>
        <v>275000</v>
      </c>
      <c r="S1568" s="304">
        <f>IF(O1568&lt;=IF($O1568=0,0,SUMIFS(Disbursements!$W:$W,Disbursements!$B:$B,'Live Collections'!D1406,Disbursements!$D:$D,'Live Collections'!F1406)),O1568,IF($O1568=0,0,SUMIFS(Disbursements!$W:$W,Disbursements!$B:$B,'Live Collections'!D1406,Disbursements!$D:$D,'Live Collections'!F1406)))</f>
        <v>0</v>
      </c>
      <c r="T1568" s="304">
        <f t="shared" si="75"/>
        <v>75000</v>
      </c>
      <c r="U1568" s="52"/>
      <c r="V1568" s="34"/>
      <c r="W1568" s="408"/>
    </row>
    <row r="1569" spans="1:23" ht="12.75" customHeight="1" x14ac:dyDescent="0.2">
      <c r="A1569" s="257">
        <v>1550</v>
      </c>
      <c r="B1569" s="44">
        <v>44499</v>
      </c>
      <c r="C1569" s="44">
        <f t="shared" si="73"/>
        <v>44499</v>
      </c>
      <c r="D1569" s="374">
        <v>116</v>
      </c>
      <c r="E1569" s="291" t="str">
        <f>IFERROR(VLOOKUP($D1569,'Clients-Live'!$A:$C,3,0),"")</f>
        <v>ONZIA LUCY</v>
      </c>
      <c r="F1569" s="291">
        <f>IFERROR(INDEX(Disbursements!$D:$D,MATCH('Live Collections'!G1569,Disbursements!$C:$C,0)),"")</f>
        <v>2</v>
      </c>
      <c r="G1569" s="34">
        <v>229</v>
      </c>
      <c r="H1569" s="34">
        <v>3201</v>
      </c>
      <c r="I1569" s="34" t="s">
        <v>1357</v>
      </c>
      <c r="J1569" s="48"/>
      <c r="K1569" s="48"/>
      <c r="L1569" s="48"/>
      <c r="M1569" s="48"/>
      <c r="N1569" s="59"/>
      <c r="O1569" s="59">
        <v>35000</v>
      </c>
      <c r="P1569" s="59"/>
      <c r="Q1569" s="268">
        <f t="shared" si="74"/>
        <v>35000</v>
      </c>
      <c r="R1569" s="61">
        <f>IF(O1569=0,0,SUMIFS(Disbursements!$T:$T,Disbursements!$B:$B,'Live Collections'!D1569,Disbursements!$D:$D,'Live Collections'!F1569))</f>
        <v>29000</v>
      </c>
      <c r="S1569" s="64">
        <v>-24833.333333333328</v>
      </c>
      <c r="T1569" s="304">
        <f t="shared" si="75"/>
        <v>59833.333333333328</v>
      </c>
      <c r="U1569" s="52"/>
      <c r="V1569" s="34"/>
      <c r="W1569" s="408"/>
    </row>
    <row r="1570" spans="1:23" ht="12.75" customHeight="1" x14ac:dyDescent="0.2">
      <c r="A1570" s="257">
        <v>1548</v>
      </c>
      <c r="B1570" s="44">
        <v>44499</v>
      </c>
      <c r="C1570" s="44">
        <f t="shared" si="73"/>
        <v>44499</v>
      </c>
      <c r="D1570" s="374">
        <v>132</v>
      </c>
      <c r="E1570" s="291" t="str">
        <f>IFERROR(VLOOKUP($D1570,'Clients-Live'!$A:$C,3,0),"")</f>
        <v>MANIYO JOICE</v>
      </c>
      <c r="F1570" s="291">
        <f>IFERROR(INDEX(Disbursements!$D:$D,MATCH('Live Collections'!G1570,Disbursements!$C:$C,0)),"")</f>
        <v>1</v>
      </c>
      <c r="G1570" s="34">
        <v>134</v>
      </c>
      <c r="H1570" s="34">
        <v>3203</v>
      </c>
      <c r="I1570" s="34" t="s">
        <v>1358</v>
      </c>
      <c r="J1570" s="48"/>
      <c r="K1570" s="48"/>
      <c r="L1570" s="48"/>
      <c r="M1570" s="48"/>
      <c r="N1570" s="59"/>
      <c r="O1570" s="59">
        <v>20000</v>
      </c>
      <c r="P1570" s="59"/>
      <c r="Q1570" s="268">
        <f t="shared" si="74"/>
        <v>20000</v>
      </c>
      <c r="R1570" s="61">
        <f>IF(O1570=0,0,SUMIFS(Disbursements!$T:$T,Disbursements!$B:$B,'Live Collections'!D1570,Disbursements!$D:$D,'Live Collections'!F1570))</f>
        <v>115000</v>
      </c>
      <c r="S1570" s="304"/>
      <c r="T1570" s="304">
        <f t="shared" si="75"/>
        <v>20000</v>
      </c>
      <c r="U1570" s="52"/>
      <c r="V1570" s="34"/>
      <c r="W1570" s="408"/>
    </row>
    <row r="1571" spans="1:23" ht="12.75" customHeight="1" x14ac:dyDescent="0.2">
      <c r="A1571" s="257">
        <v>1555</v>
      </c>
      <c r="B1571" s="44">
        <v>44499</v>
      </c>
      <c r="C1571" s="44">
        <f t="shared" si="73"/>
        <v>44499</v>
      </c>
      <c r="D1571" s="374">
        <v>136</v>
      </c>
      <c r="E1571" s="291" t="str">
        <f>IFERROR(VLOOKUP($D1571,'Clients-Live'!$A:$C,3,0),"")</f>
        <v>LEMERIGA GODWILL JOSEPH</v>
      </c>
      <c r="F1571" s="291">
        <f>IFERROR(INDEX(Disbursements!$D:$D,MATCH('Live Collections'!G1571,Disbursements!$C:$C,0)),"")</f>
        <v>2</v>
      </c>
      <c r="G1571" s="34">
        <v>234</v>
      </c>
      <c r="H1571" s="34">
        <v>3100</v>
      </c>
      <c r="I1571" s="34" t="s">
        <v>1357</v>
      </c>
      <c r="J1571" s="48"/>
      <c r="K1571" s="48"/>
      <c r="L1571" s="48"/>
      <c r="M1571" s="48"/>
      <c r="N1571" s="59"/>
      <c r="O1571" s="59">
        <v>150000</v>
      </c>
      <c r="P1571" s="59"/>
      <c r="Q1571" s="268">
        <f t="shared" si="74"/>
        <v>150000</v>
      </c>
      <c r="R1571" s="61">
        <f>IF(O1571=0,0,SUMIFS(Disbursements!$T:$T,Disbursements!$B:$B,'Live Collections'!D1571,Disbursements!$D:$D,'Live Collections'!F1571))</f>
        <v>150000</v>
      </c>
      <c r="S1571" s="304">
        <f>IF(O1571&lt;=IF($O1571=0,0,SUMIFS(Disbursements!$W:$W,Disbursements!$B:$B,'Live Collections'!#REF!,Disbursements!$D:$D,'Live Collections'!#REF!)),O1571,IF($O1571=0,0,SUMIFS(Disbursements!$W:$W,Disbursements!$B:$B,'Live Collections'!#REF!,Disbursements!$D:$D,'Live Collections'!#REF!)))</f>
        <v>0</v>
      </c>
      <c r="T1571" s="304">
        <f t="shared" si="75"/>
        <v>150000</v>
      </c>
      <c r="U1571" s="52"/>
      <c r="V1571" s="34"/>
      <c r="W1571" s="408"/>
    </row>
    <row r="1572" spans="1:23" ht="12.75" customHeight="1" x14ac:dyDescent="0.2">
      <c r="A1572" s="257">
        <v>1554</v>
      </c>
      <c r="B1572" s="44">
        <v>44499</v>
      </c>
      <c r="C1572" s="44">
        <f t="shared" si="73"/>
        <v>44499</v>
      </c>
      <c r="D1572" s="374">
        <v>227</v>
      </c>
      <c r="E1572" s="291" t="str">
        <f>IFERROR(VLOOKUP($D1572,'Clients-Live'!$A:$C,3,0),"")</f>
        <v>MUZEE OBEN SAM</v>
      </c>
      <c r="F1572" s="291">
        <f>IFERROR(INDEX(Disbursements!$D:$D,MATCH('Live Collections'!G1572,Disbursements!$C:$C,0)),"")</f>
        <v>1</v>
      </c>
      <c r="G1572" s="34">
        <v>238</v>
      </c>
      <c r="H1572" s="34">
        <v>3254</v>
      </c>
      <c r="I1572" s="34" t="s">
        <v>1359</v>
      </c>
      <c r="J1572" s="48"/>
      <c r="K1572" s="48"/>
      <c r="L1572" s="48"/>
      <c r="M1572" s="48"/>
      <c r="N1572" s="59"/>
      <c r="O1572" s="59">
        <v>450000</v>
      </c>
      <c r="P1572" s="59"/>
      <c r="Q1572" s="268">
        <f t="shared" si="74"/>
        <v>450000</v>
      </c>
      <c r="R1572" s="61">
        <f>IF(O1572=0,0,SUMIFS(Disbursements!$T:$T,Disbursements!$B:$B,'Live Collections'!D1572,Disbursements!$D:$D,'Live Collections'!F1572))</f>
        <v>307000</v>
      </c>
      <c r="S1572" s="304">
        <f>IF(O1572&lt;=IF($O1572=0,0,SUMIFS(Disbursements!$W:$W,Disbursements!$B:$B,'Live Collections'!D2636,Disbursements!$D:$D,'Live Collections'!F2636)),O1572,IF($O1572=0,0,SUMIFS(Disbursements!$W:$W,Disbursements!$B:$B,'Live Collections'!D2636,Disbursements!$D:$D,'Live Collections'!F2636)))</f>
        <v>22000</v>
      </c>
      <c r="T1572" s="304">
        <f t="shared" si="75"/>
        <v>428000</v>
      </c>
      <c r="U1572" s="52"/>
      <c r="V1572" s="34"/>
      <c r="W1572" s="408"/>
    </row>
    <row r="1573" spans="1:23" ht="12.75" customHeight="1" x14ac:dyDescent="0.2">
      <c r="A1573" s="257">
        <v>1547</v>
      </c>
      <c r="B1573" s="44">
        <v>44499</v>
      </c>
      <c r="C1573" s="44">
        <f t="shared" si="73"/>
        <v>44499</v>
      </c>
      <c r="D1573" s="374">
        <v>235</v>
      </c>
      <c r="E1573" s="291" t="str">
        <f>IFERROR(VLOOKUP($D1573,'Clients-Live'!$A:$C,3,0),"")</f>
        <v>AMULE ISAAC</v>
      </c>
      <c r="F1573" s="291">
        <f>IFERROR(INDEX(Disbursements!$D:$D,MATCH('Live Collections'!G1573,Disbursements!$C:$C,0)),"")</f>
        <v>1</v>
      </c>
      <c r="G1573" s="34">
        <v>243</v>
      </c>
      <c r="H1573" s="34">
        <v>3204</v>
      </c>
      <c r="I1573" s="34" t="s">
        <v>1359</v>
      </c>
      <c r="J1573" s="48"/>
      <c r="K1573" s="48"/>
      <c r="L1573" s="48"/>
      <c r="M1573" s="48"/>
      <c r="N1573" s="59"/>
      <c r="O1573" s="59">
        <v>1075000</v>
      </c>
      <c r="P1573" s="59"/>
      <c r="Q1573" s="268">
        <f t="shared" si="74"/>
        <v>1075000</v>
      </c>
      <c r="R1573" s="61">
        <f>IF(O1573=0,0,SUMIFS(Disbursements!$T:$T,Disbursements!$B:$B,'Live Collections'!D1573,Disbursements!$D:$D,'Live Collections'!F1573))</f>
        <v>1075000</v>
      </c>
      <c r="S1573" s="64">
        <v>75000</v>
      </c>
      <c r="T1573" s="304">
        <f t="shared" si="75"/>
        <v>1000000</v>
      </c>
      <c r="U1573" s="52"/>
      <c r="V1573" s="34"/>
      <c r="W1573" s="408"/>
    </row>
    <row r="1574" spans="1:23" ht="12.75" customHeight="1" x14ac:dyDescent="0.2">
      <c r="A1574" s="257">
        <v>1565</v>
      </c>
      <c r="B1574" s="44">
        <v>44501</v>
      </c>
      <c r="C1574" s="44">
        <f t="shared" si="73"/>
        <v>44501</v>
      </c>
      <c r="D1574" s="374">
        <v>57</v>
      </c>
      <c r="E1574" s="291" t="str">
        <f>IFERROR(VLOOKUP($D1574,'Clients-Live'!$A:$C,3,0),"")</f>
        <v>ASERU SCOVIA</v>
      </c>
      <c r="F1574" s="291">
        <f>IFERROR(INDEX(Disbursements!$D:$D,MATCH('Live Collections'!G1574,Disbursements!$C:$C,0)),"")</f>
        <v>1</v>
      </c>
      <c r="G1574" s="34">
        <v>41</v>
      </c>
      <c r="H1574" s="34">
        <v>3210</v>
      </c>
      <c r="I1574" s="34" t="s">
        <v>1359</v>
      </c>
      <c r="J1574" s="48"/>
      <c r="K1574" s="48"/>
      <c r="L1574" s="48"/>
      <c r="M1574" s="48"/>
      <c r="N1574" s="59"/>
      <c r="O1574" s="59">
        <v>20000</v>
      </c>
      <c r="P1574" s="59"/>
      <c r="Q1574" s="268">
        <f t="shared" si="74"/>
        <v>20000</v>
      </c>
      <c r="R1574" s="61">
        <f>IF(O1574=0,0,SUMIFS(Disbursements!$T:$T,Disbursements!$B:$B,'Live Collections'!D1574,Disbursements!$D:$D,'Live Collections'!F1574))</f>
        <v>60000</v>
      </c>
      <c r="S1574" s="304"/>
      <c r="T1574" s="304">
        <f t="shared" si="75"/>
        <v>20000</v>
      </c>
      <c r="U1574" s="52"/>
      <c r="V1574" s="34"/>
      <c r="W1574" s="408"/>
    </row>
    <row r="1575" spans="1:23" ht="12.75" customHeight="1" x14ac:dyDescent="0.2">
      <c r="A1575" s="257">
        <v>1571</v>
      </c>
      <c r="B1575" s="44">
        <v>44501</v>
      </c>
      <c r="C1575" s="44">
        <f t="shared" si="73"/>
        <v>44501</v>
      </c>
      <c r="D1575" s="374">
        <v>104</v>
      </c>
      <c r="E1575" s="291" t="str">
        <f>IFERROR(VLOOKUP($D1575,'Clients-Live'!$A:$C,3,0),"")</f>
        <v>IDIRA ALIMA</v>
      </c>
      <c r="F1575" s="291">
        <f>IFERROR(INDEX(Disbursements!$D:$D,MATCH('Live Collections'!G1575,Disbursements!$C:$C,0)),"")</f>
        <v>2</v>
      </c>
      <c r="G1575" s="34">
        <v>252</v>
      </c>
      <c r="H1575" s="34">
        <v>3209</v>
      </c>
      <c r="I1575" s="34" t="s">
        <v>1359</v>
      </c>
      <c r="J1575" s="48"/>
      <c r="K1575" s="48"/>
      <c r="L1575" s="48"/>
      <c r="M1575" s="48"/>
      <c r="N1575" s="59"/>
      <c r="O1575" s="59">
        <v>160000</v>
      </c>
      <c r="P1575" s="59"/>
      <c r="Q1575" s="268">
        <f t="shared" si="74"/>
        <v>160000</v>
      </c>
      <c r="R1575" s="61">
        <f>IF(O1575=0,0,SUMIFS(Disbursements!$T:$T,Disbursements!$B:$B,'Live Collections'!D1575,Disbursements!$D:$D,'Live Collections'!F1575))</f>
        <v>175000</v>
      </c>
      <c r="S1575" s="304">
        <f>IF(O1575&lt;=IF($O1575=0,0,SUMIFS(Disbursements!$W:$W,Disbursements!$B:$B,'Live Collections'!D1344,Disbursements!$D:$D,'Live Collections'!F1344)),O1575,IF($O1575=0,0,SUMIFS(Disbursements!$W:$W,Disbursements!$B:$B,'Live Collections'!D1344,Disbursements!$D:$D,'Live Collections'!F1344)))</f>
        <v>40000</v>
      </c>
      <c r="T1575" s="304">
        <f t="shared" si="75"/>
        <v>120000</v>
      </c>
      <c r="U1575" s="52"/>
      <c r="V1575" s="34"/>
      <c r="W1575" s="408"/>
    </row>
    <row r="1576" spans="1:23" ht="12.75" customHeight="1" x14ac:dyDescent="0.2">
      <c r="A1576" s="257">
        <v>1560</v>
      </c>
      <c r="B1576" s="44">
        <v>44501</v>
      </c>
      <c r="C1576" s="44">
        <f t="shared" si="73"/>
        <v>44501</v>
      </c>
      <c r="D1576" s="374">
        <v>148</v>
      </c>
      <c r="E1576" s="291" t="str">
        <f>IFERROR(VLOOKUP($D1576,'Clients-Live'!$A:$C,3,0),"")</f>
        <v>GBOKA ZAIDA</v>
      </c>
      <c r="F1576" s="291" t="str">
        <f>IFERROR(INDEX(Disbursements!$D:$D,MATCH('Live Collections'!G1576,Disbursements!$C:$C,0)),"")</f>
        <v/>
      </c>
      <c r="G1576" s="34"/>
      <c r="H1576" s="34">
        <v>283</v>
      </c>
      <c r="I1576" s="34" t="s">
        <v>1359</v>
      </c>
      <c r="J1576" s="48"/>
      <c r="K1576" s="48"/>
      <c r="L1576" s="48"/>
      <c r="M1576" s="48"/>
      <c r="N1576" s="59"/>
      <c r="O1576" s="59"/>
      <c r="P1576" s="59">
        <v>-40000</v>
      </c>
      <c r="Q1576" s="268">
        <f t="shared" si="74"/>
        <v>-40000</v>
      </c>
      <c r="R1576" s="61">
        <f>IF(O1576=0,0,SUMIFS(Disbursements!$T:$T,Disbursements!$B:$B,'Live Collections'!D1576,Disbursements!$D:$D,'Live Collections'!F1576))</f>
        <v>0</v>
      </c>
      <c r="S1576" s="304">
        <f>IF(O1576&lt;=IF($O1576=0,0,SUMIFS(Disbursements!$W:$W,Disbursements!$B:$B,'Live Collections'!D1871,Disbursements!$D:$D,'Live Collections'!F1871)),O1576,IF($O1576=0,0,SUMIFS(Disbursements!$W:$W,Disbursements!$B:$B,'Live Collections'!D1871,Disbursements!$D:$D,'Live Collections'!F1871)))</f>
        <v>0</v>
      </c>
      <c r="T1576" s="304">
        <f t="shared" si="75"/>
        <v>0</v>
      </c>
      <c r="U1576" s="52"/>
      <c r="V1576" s="34"/>
      <c r="W1576" s="408"/>
    </row>
    <row r="1577" spans="1:23" ht="12.75" customHeight="1" x14ac:dyDescent="0.2">
      <c r="A1577" s="257">
        <v>1561</v>
      </c>
      <c r="B1577" s="44">
        <v>44501</v>
      </c>
      <c r="C1577" s="44">
        <f t="shared" si="73"/>
        <v>44501</v>
      </c>
      <c r="D1577" s="374">
        <v>148</v>
      </c>
      <c r="E1577" s="291" t="str">
        <f>IFERROR(VLOOKUP($D1577,'Clients-Live'!$A:$C,3,0),"")</f>
        <v>GBOKA ZAIDA</v>
      </c>
      <c r="F1577" s="291">
        <f>IFERROR(INDEX(Disbursements!$D:$D,MATCH('Live Collections'!G1577,Disbursements!$C:$C,0)),"")</f>
        <v>1</v>
      </c>
      <c r="G1577" s="34">
        <v>135</v>
      </c>
      <c r="H1577" s="34">
        <v>3222</v>
      </c>
      <c r="I1577" s="34" t="s">
        <v>1359</v>
      </c>
      <c r="J1577" s="48"/>
      <c r="K1577" s="48"/>
      <c r="L1577" s="48"/>
      <c r="M1577" s="48"/>
      <c r="N1577" s="59"/>
      <c r="O1577" s="59">
        <v>40000</v>
      </c>
      <c r="P1577" s="59"/>
      <c r="Q1577" s="268">
        <f t="shared" si="74"/>
        <v>40000</v>
      </c>
      <c r="R1577" s="61">
        <f>IF(O1577=0,0,SUMIFS(Disbursements!$T:$T,Disbursements!$B:$B,'Live Collections'!D1577,Disbursements!$D:$D,'Live Collections'!F1577))</f>
        <v>120000</v>
      </c>
      <c r="S1577" s="304"/>
      <c r="T1577" s="304">
        <f t="shared" si="75"/>
        <v>40000</v>
      </c>
      <c r="U1577" s="52"/>
      <c r="V1577" s="34"/>
      <c r="W1577" s="408"/>
    </row>
    <row r="1578" spans="1:23" ht="12.75" customHeight="1" x14ac:dyDescent="0.2">
      <c r="A1578" s="257">
        <v>1562</v>
      </c>
      <c r="B1578" s="44">
        <v>44501</v>
      </c>
      <c r="C1578" s="44">
        <f t="shared" si="73"/>
        <v>44501</v>
      </c>
      <c r="D1578" s="374">
        <v>148</v>
      </c>
      <c r="E1578" s="291" t="str">
        <f>IFERROR(VLOOKUP($D1578,'Clients-Live'!$A:$C,3,0),"")</f>
        <v>GBOKA ZAIDA</v>
      </c>
      <c r="F1578" s="291" t="str">
        <f>IFERROR(INDEX(Disbursements!$D:$D,MATCH('Live Collections'!G1578,Disbursements!$C:$C,0)),"")</f>
        <v/>
      </c>
      <c r="G1578" s="34"/>
      <c r="H1578" s="34">
        <v>3223</v>
      </c>
      <c r="I1578" s="34" t="s">
        <v>1359</v>
      </c>
      <c r="J1578" s="48"/>
      <c r="K1578" s="48"/>
      <c r="L1578" s="48">
        <v>15000</v>
      </c>
      <c r="M1578" s="48">
        <v>5000</v>
      </c>
      <c r="N1578" s="59"/>
      <c r="O1578" s="59"/>
      <c r="P1578" s="59"/>
      <c r="Q1578" s="268">
        <f t="shared" si="74"/>
        <v>20000</v>
      </c>
      <c r="R1578" s="61">
        <f>IF(O1578=0,0,SUMIFS(Disbursements!$T:$T,Disbursements!$B:$B,'Live Collections'!D1578,Disbursements!$D:$D,'Live Collections'!F1578))</f>
        <v>0</v>
      </c>
      <c r="S1578" s="304">
        <f>IF(O1578&lt;=IF($O1578=0,0,SUMIFS(Disbursements!$W:$W,Disbursements!$B:$B,'Live Collections'!D1873,Disbursements!$D:$D,'Live Collections'!F1873)),O1578,IF($O1578=0,0,SUMIFS(Disbursements!$W:$W,Disbursements!$B:$B,'Live Collections'!D1873,Disbursements!$D:$D,'Live Collections'!F1873)))</f>
        <v>0</v>
      </c>
      <c r="T1578" s="304">
        <f t="shared" si="75"/>
        <v>0</v>
      </c>
      <c r="U1578" s="52"/>
      <c r="V1578" s="34"/>
      <c r="W1578" s="408"/>
    </row>
    <row r="1579" spans="1:23" ht="12.75" customHeight="1" x14ac:dyDescent="0.2">
      <c r="A1579" s="257">
        <v>1563</v>
      </c>
      <c r="B1579" s="44">
        <v>44501</v>
      </c>
      <c r="C1579" s="44">
        <f t="shared" si="73"/>
        <v>44501</v>
      </c>
      <c r="D1579" s="374">
        <v>148</v>
      </c>
      <c r="E1579" s="291" t="str">
        <f>IFERROR(VLOOKUP($D1579,'Clients-Live'!$A:$C,3,0),"")</f>
        <v>GBOKA ZAIDA</v>
      </c>
      <c r="F1579" s="291">
        <f>IFERROR(INDEX(Disbursements!$D:$D,MATCH('Live Collections'!G1579,Disbursements!$C:$C,0)),"")</f>
        <v>1</v>
      </c>
      <c r="G1579" s="34">
        <v>135</v>
      </c>
      <c r="H1579" s="34">
        <v>3221</v>
      </c>
      <c r="I1579" s="34" t="s">
        <v>1359</v>
      </c>
      <c r="J1579" s="48"/>
      <c r="K1579" s="48"/>
      <c r="L1579" s="48"/>
      <c r="M1579" s="48"/>
      <c r="N1579" s="59"/>
      <c r="O1579" s="59">
        <v>80000</v>
      </c>
      <c r="P1579" s="59"/>
      <c r="Q1579" s="268">
        <f t="shared" si="74"/>
        <v>80000</v>
      </c>
      <c r="R1579" s="61">
        <f>IF(O1579=0,0,SUMIFS(Disbursements!$T:$T,Disbursements!$B:$B,'Live Collections'!D1579,Disbursements!$D:$D,'Live Collections'!F1579))</f>
        <v>120000</v>
      </c>
      <c r="S1579" s="304"/>
      <c r="T1579" s="304">
        <f t="shared" si="75"/>
        <v>80000</v>
      </c>
      <c r="U1579" s="52"/>
      <c r="V1579" s="34"/>
      <c r="W1579" s="408"/>
    </row>
    <row r="1580" spans="1:23" ht="12.75" customHeight="1" x14ac:dyDescent="0.2">
      <c r="A1580" s="257">
        <v>1556</v>
      </c>
      <c r="B1580" s="44">
        <v>44501</v>
      </c>
      <c r="C1580" s="44">
        <f t="shared" si="73"/>
        <v>44501</v>
      </c>
      <c r="D1580" s="374">
        <v>151</v>
      </c>
      <c r="E1580" s="291" t="str">
        <f>IFERROR(VLOOKUP($D1580,'Clients-Live'!$A:$C,3,0),"")</f>
        <v>MORRO HASSAN</v>
      </c>
      <c r="F1580" s="291" t="str">
        <f>IFERROR(INDEX(Disbursements!$D:$D,MATCH('Live Collections'!G1580,Disbursements!$C:$C,0)),"")</f>
        <v/>
      </c>
      <c r="G1580" s="34"/>
      <c r="H1580" s="34">
        <v>280</v>
      </c>
      <c r="I1580" s="34" t="s">
        <v>1359</v>
      </c>
      <c r="J1580" s="48"/>
      <c r="K1580" s="48"/>
      <c r="L1580" s="48"/>
      <c r="M1580" s="48"/>
      <c r="N1580" s="59"/>
      <c r="O1580" s="59"/>
      <c r="P1580" s="59">
        <v>-200000</v>
      </c>
      <c r="Q1580" s="268">
        <f t="shared" si="74"/>
        <v>-200000</v>
      </c>
      <c r="R1580" s="61">
        <f>IF(O1580=0,0,SUMIFS(Disbursements!$T:$T,Disbursements!$B:$B,'Live Collections'!D1580,Disbursements!$D:$D,'Live Collections'!F1580))</f>
        <v>0</v>
      </c>
      <c r="S1580" s="304">
        <f>IF(O1580&lt;=IF($O1580=0,0,SUMIFS(Disbursements!$W:$W,Disbursements!$B:$B,'Live Collections'!D1899,Disbursements!$D:$D,'Live Collections'!F1899)),O1580,IF($O1580=0,0,SUMIFS(Disbursements!$W:$W,Disbursements!$B:$B,'Live Collections'!D1899,Disbursements!$D:$D,'Live Collections'!F1899)))</f>
        <v>0</v>
      </c>
      <c r="T1580" s="304">
        <f t="shared" si="75"/>
        <v>0</v>
      </c>
      <c r="U1580" s="52"/>
      <c r="V1580" s="34"/>
      <c r="W1580" s="408"/>
    </row>
    <row r="1581" spans="1:23" ht="12.75" customHeight="1" x14ac:dyDescent="0.2">
      <c r="A1581" s="257">
        <v>1557</v>
      </c>
      <c r="B1581" s="44">
        <v>44501</v>
      </c>
      <c r="C1581" s="44">
        <f t="shared" si="73"/>
        <v>44501</v>
      </c>
      <c r="D1581" s="374">
        <v>151</v>
      </c>
      <c r="E1581" s="291" t="str">
        <f>IFERROR(VLOOKUP($D1581,'Clients-Live'!$A:$C,3,0),"")</f>
        <v>MORRO HASSAN</v>
      </c>
      <c r="F1581" s="291">
        <f>IFERROR(INDEX(Disbursements!$D:$D,MATCH('Live Collections'!G1581,Disbursements!$C:$C,0)),"")</f>
        <v>2</v>
      </c>
      <c r="G1581" s="34">
        <v>193</v>
      </c>
      <c r="H1581" s="34">
        <v>3216</v>
      </c>
      <c r="I1581" s="34" t="s">
        <v>1359</v>
      </c>
      <c r="J1581" s="48"/>
      <c r="K1581" s="48"/>
      <c r="L1581" s="48"/>
      <c r="M1581" s="48"/>
      <c r="N1581" s="59"/>
      <c r="O1581" s="59">
        <v>200000</v>
      </c>
      <c r="P1581" s="59"/>
      <c r="Q1581" s="268">
        <f t="shared" si="74"/>
        <v>200000</v>
      </c>
      <c r="R1581" s="61">
        <f>IF(O1581=0,0,SUMIFS(Disbursements!$T:$T,Disbursements!$B:$B,'Live Collections'!D1581,Disbursements!$D:$D,'Live Collections'!F1581))</f>
        <v>1100000</v>
      </c>
      <c r="S1581" s="304">
        <f>IF(O1581&lt;=IF($O1581=0,0,SUMIFS(Disbursements!$W:$W,Disbursements!$B:$B,'Live Collections'!D1900,Disbursements!$D:$D,'Live Collections'!F1900)),O1581,IF($O1581=0,0,SUMIFS(Disbursements!$W:$W,Disbursements!$B:$B,'Live Collections'!D1900,Disbursements!$D:$D,'Live Collections'!F1900)))</f>
        <v>15000</v>
      </c>
      <c r="T1581" s="304">
        <f t="shared" si="75"/>
        <v>185000</v>
      </c>
      <c r="U1581" s="52"/>
      <c r="V1581" s="34"/>
      <c r="W1581" s="408"/>
    </row>
    <row r="1582" spans="1:23" ht="12.75" customHeight="1" x14ac:dyDescent="0.2">
      <c r="A1582" s="257">
        <v>1568</v>
      </c>
      <c r="B1582" s="44">
        <v>44501</v>
      </c>
      <c r="C1582" s="44">
        <f t="shared" si="73"/>
        <v>44501</v>
      </c>
      <c r="D1582" s="374">
        <v>151</v>
      </c>
      <c r="E1582" s="291" t="str">
        <f>IFERROR(VLOOKUP($D1582,'Clients-Live'!$A:$C,3,0),"")</f>
        <v>MORRO HASSAN</v>
      </c>
      <c r="F1582" s="291" t="str">
        <f>IFERROR(INDEX(Disbursements!$D:$D,MATCH('Live Collections'!G1582,Disbursements!$C:$C,0)),"")</f>
        <v/>
      </c>
      <c r="G1582" s="34"/>
      <c r="H1582" s="34">
        <v>3217</v>
      </c>
      <c r="I1582" s="34" t="s">
        <v>1359</v>
      </c>
      <c r="J1582" s="48"/>
      <c r="K1582" s="48"/>
      <c r="L1582" s="48">
        <v>20000</v>
      </c>
      <c r="M1582" s="48">
        <v>5000</v>
      </c>
      <c r="N1582" s="59"/>
      <c r="O1582" s="59"/>
      <c r="P1582" s="59"/>
      <c r="Q1582" s="268">
        <f t="shared" si="74"/>
        <v>25000</v>
      </c>
      <c r="R1582" s="61">
        <f>IF(O1582=0,0,SUMIFS(Disbursements!$T:$T,Disbursements!$B:$B,'Live Collections'!D1582,Disbursements!$D:$D,'Live Collections'!F1582))</f>
        <v>0</v>
      </c>
      <c r="S1582" s="304">
        <f>IF(O1582&lt;=IF($O1582=0,0,SUMIFS(Disbursements!$W:$W,Disbursements!$B:$B,'Live Collections'!D1901,Disbursements!$D:$D,'Live Collections'!F1901)),O1582,IF($O1582=0,0,SUMIFS(Disbursements!$W:$W,Disbursements!$B:$B,'Live Collections'!D1901,Disbursements!$D:$D,'Live Collections'!F1901)))</f>
        <v>0</v>
      </c>
      <c r="T1582" s="304">
        <f t="shared" si="75"/>
        <v>0</v>
      </c>
      <c r="U1582" s="52"/>
      <c r="V1582" s="34"/>
      <c r="W1582" s="408"/>
    </row>
    <row r="1583" spans="1:23" ht="12.75" customHeight="1" x14ac:dyDescent="0.2">
      <c r="A1583" s="257">
        <v>1569</v>
      </c>
      <c r="B1583" s="44">
        <v>44501</v>
      </c>
      <c r="C1583" s="44">
        <f t="shared" si="73"/>
        <v>44501</v>
      </c>
      <c r="D1583" s="374">
        <v>151</v>
      </c>
      <c r="E1583" s="291" t="str">
        <f>IFERROR(VLOOKUP($D1583,'Clients-Live'!$A:$C,3,0),"")</f>
        <v>MORRO HASSAN</v>
      </c>
      <c r="F1583" s="291">
        <f>IFERROR(INDEX(Disbursements!$D:$D,MATCH('Live Collections'!G1583,Disbursements!$C:$C,0)),"")</f>
        <v>2</v>
      </c>
      <c r="G1583" s="34">
        <v>193</v>
      </c>
      <c r="H1583" s="34">
        <v>3215</v>
      </c>
      <c r="I1583" s="34" t="s">
        <v>1359</v>
      </c>
      <c r="J1583" s="48"/>
      <c r="K1583" s="48"/>
      <c r="L1583" s="48"/>
      <c r="M1583" s="48"/>
      <c r="N1583" s="59"/>
      <c r="O1583" s="59">
        <v>1000000</v>
      </c>
      <c r="P1583" s="59"/>
      <c r="Q1583" s="268">
        <f t="shared" si="74"/>
        <v>1000000</v>
      </c>
      <c r="R1583" s="61">
        <f>IF(O1583=0,0,SUMIFS(Disbursements!$T:$T,Disbursements!$B:$B,'Live Collections'!D1583,Disbursements!$D:$D,'Live Collections'!F1583))</f>
        <v>1100000</v>
      </c>
      <c r="S1583" s="64">
        <v>165000</v>
      </c>
      <c r="T1583" s="304">
        <f t="shared" si="75"/>
        <v>835000</v>
      </c>
      <c r="U1583" s="52"/>
      <c r="V1583" s="34"/>
      <c r="W1583" s="408"/>
    </row>
    <row r="1584" spans="1:23" ht="12.75" customHeight="1" x14ac:dyDescent="0.2">
      <c r="A1584" s="257">
        <v>1572</v>
      </c>
      <c r="B1584" s="44">
        <v>44501</v>
      </c>
      <c r="C1584" s="44">
        <f t="shared" si="73"/>
        <v>44501</v>
      </c>
      <c r="D1584" s="374">
        <v>152</v>
      </c>
      <c r="E1584" s="291" t="str">
        <f>IFERROR(VLOOKUP($D1584,'Clients-Live'!$A:$C,3,0),"")</f>
        <v>ASE ZAINABU</v>
      </c>
      <c r="F1584" s="291">
        <f>IFERROR(INDEX(Disbursements!$D:$D,MATCH('Live Collections'!G1584,Disbursements!$C:$C,0)),"")</f>
        <v>1</v>
      </c>
      <c r="G1584" s="34">
        <v>136</v>
      </c>
      <c r="H1584" s="34">
        <v>3208</v>
      </c>
      <c r="I1584" s="34" t="s">
        <v>1358</v>
      </c>
      <c r="J1584" s="48"/>
      <c r="K1584" s="48"/>
      <c r="L1584" s="48"/>
      <c r="M1584" s="48"/>
      <c r="N1584" s="59"/>
      <c r="O1584" s="59">
        <v>100000</v>
      </c>
      <c r="P1584" s="59"/>
      <c r="Q1584" s="268">
        <f t="shared" si="74"/>
        <v>100000</v>
      </c>
      <c r="R1584" s="61">
        <f>IF(O1584=0,0,SUMIFS(Disbursements!$T:$T,Disbursements!$B:$B,'Live Collections'!D1584,Disbursements!$D:$D,'Live Collections'!F1584))</f>
        <v>175000</v>
      </c>
      <c r="S1584" s="64">
        <v>-75000</v>
      </c>
      <c r="T1584" s="304">
        <f t="shared" si="75"/>
        <v>175000</v>
      </c>
      <c r="U1584" s="52"/>
      <c r="V1584" s="34"/>
      <c r="W1584" s="408"/>
    </row>
    <row r="1585" spans="1:23" ht="12.75" customHeight="1" x14ac:dyDescent="0.2">
      <c r="A1585" s="257">
        <v>1564</v>
      </c>
      <c r="B1585" s="44">
        <v>44501</v>
      </c>
      <c r="C1585" s="44">
        <f t="shared" si="73"/>
        <v>44501</v>
      </c>
      <c r="D1585" s="374">
        <v>169</v>
      </c>
      <c r="E1585" s="291" t="str">
        <f>IFERROR(VLOOKUP($D1585,'Clients-Live'!$A:$C,3,0),"")</f>
        <v>KATO KENNEDY</v>
      </c>
      <c r="F1585" s="291">
        <f>IFERROR(INDEX(Disbursements!$D:$D,MATCH('Live Collections'!G1585,Disbursements!$C:$C,0)),"")</f>
        <v>1</v>
      </c>
      <c r="G1585" s="34">
        <v>176</v>
      </c>
      <c r="H1585" s="34">
        <v>3218</v>
      </c>
      <c r="I1585" s="34" t="s">
        <v>1357</v>
      </c>
      <c r="J1585" s="48"/>
      <c r="K1585" s="48"/>
      <c r="L1585" s="48"/>
      <c r="M1585" s="48"/>
      <c r="N1585" s="59"/>
      <c r="O1585" s="59">
        <v>115000</v>
      </c>
      <c r="P1585" s="59"/>
      <c r="Q1585" s="268">
        <f t="shared" si="74"/>
        <v>115000</v>
      </c>
      <c r="R1585" s="61">
        <f>IF(O1585=0,0,SUMIFS(Disbursements!$T:$T,Disbursements!$B:$B,'Live Collections'!D1585,Disbursements!$D:$D,'Live Collections'!F1585))</f>
        <v>109000</v>
      </c>
      <c r="S1585" s="304">
        <f>IF(O1585&lt;=IF($O1585=0,0,SUMIFS(Disbursements!$W:$W,Disbursements!$B:$B,'Live Collections'!D2088,Disbursements!$D:$D,'Live Collections'!F2088)),O1585,IF($O1585=0,0,SUMIFS(Disbursements!$W:$W,Disbursements!$B:$B,'Live Collections'!D2088,Disbursements!$D:$D,'Live Collections'!F2088)))</f>
        <v>40333.333333333314</v>
      </c>
      <c r="T1585" s="304">
        <f t="shared" si="75"/>
        <v>74666.666666666686</v>
      </c>
      <c r="U1585" s="52"/>
      <c r="V1585" s="34"/>
      <c r="W1585" s="408"/>
    </row>
    <row r="1586" spans="1:23" ht="12.75" customHeight="1" x14ac:dyDescent="0.2">
      <c r="A1586" s="257">
        <v>1558</v>
      </c>
      <c r="B1586" s="44">
        <v>44501</v>
      </c>
      <c r="C1586" s="44">
        <f t="shared" si="73"/>
        <v>44501</v>
      </c>
      <c r="D1586" s="374">
        <v>176</v>
      </c>
      <c r="E1586" s="291" t="str">
        <f>IFERROR(VLOOKUP($D1586,'Clients-Live'!$A:$C,3,0),"")</f>
        <v>AJONYE JANE SINANDUGU</v>
      </c>
      <c r="F1586" s="291" t="str">
        <f>IFERROR(INDEX(Disbursements!$D:$D,MATCH('Live Collections'!G1586,Disbursements!$C:$C,0)),"")</f>
        <v/>
      </c>
      <c r="G1586" s="34"/>
      <c r="H1586" s="34">
        <v>282</v>
      </c>
      <c r="I1586" s="34" t="s">
        <v>1358</v>
      </c>
      <c r="J1586" s="48"/>
      <c r="K1586" s="48"/>
      <c r="L1586" s="48"/>
      <c r="M1586" s="48"/>
      <c r="N1586" s="59"/>
      <c r="O1586" s="59"/>
      <c r="P1586" s="59">
        <v>-120000</v>
      </c>
      <c r="Q1586" s="268">
        <f t="shared" si="74"/>
        <v>-120000</v>
      </c>
      <c r="R1586" s="61">
        <f>IF(O1586=0,0,SUMIFS(Disbursements!$T:$T,Disbursements!$B:$B,'Live Collections'!D1586,Disbursements!$D:$D,'Live Collections'!F1586))</f>
        <v>0</v>
      </c>
      <c r="S1586" s="304">
        <f>IF(O1586&lt;=IF($O1586=0,0,SUMIFS(Disbursements!$W:$W,Disbursements!$B:$B,'Live Collections'!D2154,Disbursements!$D:$D,'Live Collections'!F2154)),O1586,IF($O1586=0,0,SUMIFS(Disbursements!$W:$W,Disbursements!$B:$B,'Live Collections'!D2154,Disbursements!$D:$D,'Live Collections'!F2154)))</f>
        <v>0</v>
      </c>
      <c r="T1586" s="304">
        <f t="shared" si="75"/>
        <v>0</v>
      </c>
      <c r="U1586" s="52"/>
      <c r="V1586" s="34"/>
      <c r="W1586" s="408"/>
    </row>
    <row r="1587" spans="1:23" ht="12.75" customHeight="1" x14ac:dyDescent="0.2">
      <c r="A1587" s="257">
        <v>1559</v>
      </c>
      <c r="B1587" s="44">
        <v>44501</v>
      </c>
      <c r="C1587" s="44">
        <f t="shared" si="73"/>
        <v>44501</v>
      </c>
      <c r="D1587" s="374">
        <v>176</v>
      </c>
      <c r="E1587" s="291" t="str">
        <f>IFERROR(VLOOKUP($D1587,'Clients-Live'!$A:$C,3,0),"")</f>
        <v>AJONYE JANE SINANDUGU</v>
      </c>
      <c r="F1587" s="291">
        <f>IFERROR(INDEX(Disbursements!$D:$D,MATCH('Live Collections'!G1587,Disbursements!$C:$C,0)),"")</f>
        <v>1</v>
      </c>
      <c r="G1587" s="34">
        <v>201</v>
      </c>
      <c r="H1587" s="34">
        <v>3212</v>
      </c>
      <c r="I1587" s="34" t="s">
        <v>1358</v>
      </c>
      <c r="J1587" s="48"/>
      <c r="K1587" s="48"/>
      <c r="L1587" s="48"/>
      <c r="M1587" s="48"/>
      <c r="N1587" s="59"/>
      <c r="O1587" s="59">
        <v>120000</v>
      </c>
      <c r="P1587" s="59"/>
      <c r="Q1587" s="268">
        <f t="shared" si="74"/>
        <v>120000</v>
      </c>
      <c r="R1587" s="61">
        <f>IF(O1587=0,0,SUMIFS(Disbursements!$T:$T,Disbursements!$B:$B,'Live Collections'!D1587,Disbursements!$D:$D,'Live Collections'!F1587))</f>
        <v>360000</v>
      </c>
      <c r="S1587" s="304">
        <f>IF(O1587&lt;=IF($O1587=0,0,SUMIFS(Disbursements!$W:$W,Disbursements!$B:$B,'Live Collections'!D2155,Disbursements!$D:$D,'Live Collections'!F2155)),O1587,IF($O1587=0,0,SUMIFS(Disbursements!$W:$W,Disbursements!$B:$B,'Live Collections'!D2155,Disbursements!$D:$D,'Live Collections'!F2155)))</f>
        <v>35000</v>
      </c>
      <c r="T1587" s="304">
        <f t="shared" si="75"/>
        <v>85000</v>
      </c>
      <c r="U1587" s="52"/>
      <c r="V1587" s="34"/>
      <c r="W1587" s="408"/>
    </row>
    <row r="1588" spans="1:23" ht="12.75" customHeight="1" x14ac:dyDescent="0.2">
      <c r="A1588" s="257">
        <v>1566</v>
      </c>
      <c r="B1588" s="44">
        <v>44501</v>
      </c>
      <c r="C1588" s="44">
        <f t="shared" si="73"/>
        <v>44501</v>
      </c>
      <c r="D1588" s="374">
        <v>176</v>
      </c>
      <c r="E1588" s="291" t="str">
        <f>IFERROR(VLOOKUP($D1588,'Clients-Live'!$A:$C,3,0),"")</f>
        <v>AJONYE JANE SINANDUGU</v>
      </c>
      <c r="F1588" s="291" t="str">
        <f>IFERROR(INDEX(Disbursements!$D:$D,MATCH('Live Collections'!G1588,Disbursements!$C:$C,0)),"")</f>
        <v/>
      </c>
      <c r="G1588" s="34"/>
      <c r="H1588" s="34">
        <v>3213</v>
      </c>
      <c r="I1588" s="34" t="s">
        <v>1358</v>
      </c>
      <c r="J1588" s="48"/>
      <c r="K1588" s="48"/>
      <c r="L1588" s="48">
        <v>25000</v>
      </c>
      <c r="M1588" s="48">
        <v>5000</v>
      </c>
      <c r="N1588" s="59"/>
      <c r="O1588" s="59"/>
      <c r="P1588" s="59"/>
      <c r="Q1588" s="268">
        <f t="shared" si="74"/>
        <v>30000</v>
      </c>
      <c r="R1588" s="61">
        <f>IF(O1588=0,0,SUMIFS(Disbursements!$T:$T,Disbursements!$B:$B,'Live Collections'!D1588,Disbursements!$D:$D,'Live Collections'!F1588))</f>
        <v>0</v>
      </c>
      <c r="S1588" s="304">
        <f>IF(O1588&lt;=IF($O1588=0,0,SUMIFS(Disbursements!$W:$W,Disbursements!$B:$B,'Live Collections'!D2156,Disbursements!$D:$D,'Live Collections'!F2156)),O1588,IF($O1588=0,0,SUMIFS(Disbursements!$W:$W,Disbursements!$B:$B,'Live Collections'!D2156,Disbursements!$D:$D,'Live Collections'!F2156)))</f>
        <v>0</v>
      </c>
      <c r="T1588" s="304">
        <f t="shared" si="75"/>
        <v>0</v>
      </c>
      <c r="U1588" s="52"/>
      <c r="V1588" s="34"/>
      <c r="W1588" s="408"/>
    </row>
    <row r="1589" spans="1:23" ht="12.75" customHeight="1" x14ac:dyDescent="0.2">
      <c r="A1589" s="257">
        <v>1567</v>
      </c>
      <c r="B1589" s="44">
        <v>44501</v>
      </c>
      <c r="C1589" s="44">
        <f t="shared" si="73"/>
        <v>44501</v>
      </c>
      <c r="D1589" s="374">
        <v>176</v>
      </c>
      <c r="E1589" s="291" t="str">
        <f>IFERROR(VLOOKUP($D1589,'Clients-Live'!$A:$C,3,0),"")</f>
        <v>AJONYE JANE SINANDUGU</v>
      </c>
      <c r="F1589" s="291">
        <f>IFERROR(INDEX(Disbursements!$D:$D,MATCH('Live Collections'!G1589,Disbursements!$C:$C,0)),"")</f>
        <v>1</v>
      </c>
      <c r="G1589" s="34">
        <v>201</v>
      </c>
      <c r="H1589" s="34">
        <v>3211</v>
      </c>
      <c r="I1589" s="34" t="s">
        <v>1358</v>
      </c>
      <c r="J1589" s="48"/>
      <c r="K1589" s="48"/>
      <c r="L1589" s="48"/>
      <c r="M1589" s="48"/>
      <c r="N1589" s="59"/>
      <c r="O1589" s="59">
        <v>600000</v>
      </c>
      <c r="P1589" s="59"/>
      <c r="Q1589" s="268">
        <f t="shared" si="74"/>
        <v>600000</v>
      </c>
      <c r="R1589" s="61">
        <f>IF(O1589=0,0,SUMIFS(Disbursements!$T:$T,Disbursements!$B:$B,'Live Collections'!D1589,Disbursements!$D:$D,'Live Collections'!F1589))</f>
        <v>360000</v>
      </c>
      <c r="S1589" s="64">
        <v>165000</v>
      </c>
      <c r="T1589" s="304">
        <f t="shared" si="75"/>
        <v>435000</v>
      </c>
      <c r="U1589" s="52"/>
      <c r="V1589" s="34"/>
      <c r="W1589" s="408"/>
    </row>
    <row r="1590" spans="1:23" ht="12.75" customHeight="1" x14ac:dyDescent="0.2">
      <c r="A1590" s="257">
        <v>1573</v>
      </c>
      <c r="B1590" s="44">
        <v>44501</v>
      </c>
      <c r="C1590" s="44">
        <f t="shared" si="73"/>
        <v>44501</v>
      </c>
      <c r="D1590" s="374">
        <v>202</v>
      </c>
      <c r="E1590" s="291" t="str">
        <f>IFERROR(VLOOKUP($D1590,'Clients-Live'!$A:$C,3,0),"")</f>
        <v>MUSEMA SWAIBU</v>
      </c>
      <c r="F1590" s="291">
        <f>IFERROR(INDEX(Disbursements!$D:$D,MATCH('Live Collections'!G1590,Disbursements!$C:$C,0)),"")</f>
        <v>1</v>
      </c>
      <c r="G1590" s="34">
        <v>197</v>
      </c>
      <c r="H1590" s="34">
        <v>3206</v>
      </c>
      <c r="I1590" s="34" t="s">
        <v>1358</v>
      </c>
      <c r="J1590" s="48"/>
      <c r="K1590" s="48"/>
      <c r="L1590" s="48"/>
      <c r="M1590" s="48"/>
      <c r="N1590" s="59"/>
      <c r="O1590" s="59">
        <v>150000</v>
      </c>
      <c r="P1590" s="59"/>
      <c r="Q1590" s="268">
        <f t="shared" si="74"/>
        <v>150000</v>
      </c>
      <c r="R1590" s="61">
        <f>IF(O1590=0,0,SUMIFS(Disbursements!$T:$T,Disbursements!$B:$B,'Live Collections'!D1590,Disbursements!$D:$D,'Live Collections'!F1590))</f>
        <v>144000</v>
      </c>
      <c r="S1590" s="304"/>
      <c r="T1590" s="304">
        <f t="shared" si="75"/>
        <v>150000</v>
      </c>
      <c r="U1590" s="52"/>
      <c r="V1590" s="34"/>
      <c r="W1590" s="408"/>
    </row>
    <row r="1591" spans="1:23" ht="12.75" customHeight="1" x14ac:dyDescent="0.2">
      <c r="A1591" s="257">
        <v>1574</v>
      </c>
      <c r="B1591" s="44">
        <v>44501</v>
      </c>
      <c r="C1591" s="44">
        <f t="shared" si="73"/>
        <v>44501</v>
      </c>
      <c r="D1591" s="374">
        <v>218</v>
      </c>
      <c r="E1591" s="291" t="str">
        <f>IFERROR(VLOOKUP($D1591,'Clients-Live'!$A:$C,3,0),"")</f>
        <v>BUSURA OMAR</v>
      </c>
      <c r="F1591" s="291">
        <f>IFERROR(INDEX(Disbursements!$D:$D,MATCH('Live Collections'!G1591,Disbursements!$C:$C,0)),"")</f>
        <v>1</v>
      </c>
      <c r="G1591" s="34">
        <v>223</v>
      </c>
      <c r="H1591" s="34">
        <v>3205</v>
      </c>
      <c r="I1591" s="34" t="s">
        <v>1357</v>
      </c>
      <c r="J1591" s="48"/>
      <c r="K1591" s="48"/>
      <c r="L1591" s="48"/>
      <c r="M1591" s="48"/>
      <c r="N1591" s="59"/>
      <c r="O1591" s="59">
        <v>85000</v>
      </c>
      <c r="P1591" s="59"/>
      <c r="Q1591" s="268">
        <f t="shared" si="74"/>
        <v>85000</v>
      </c>
      <c r="R1591" s="61">
        <f>IF(O1591=0,0,SUMIFS(Disbursements!$T:$T,Disbursements!$B:$B,'Live Collections'!D1591,Disbursements!$D:$D,'Live Collections'!F1591))</f>
        <v>325000</v>
      </c>
      <c r="S1591" s="304">
        <f>IF(O1591&lt;=IF($O1591=0,0,SUMIFS(Disbursements!$W:$W,Disbursements!$B:$B,'Live Collections'!D2575,Disbursements!$D:$D,'Live Collections'!F2575)),O1591,IF($O1591=0,0,SUMIFS(Disbursements!$W:$W,Disbursements!$B:$B,'Live Collections'!D2575,Disbursements!$D:$D,'Live Collections'!F2575)))</f>
        <v>25666.666666666672</v>
      </c>
      <c r="T1591" s="304">
        <f t="shared" si="75"/>
        <v>59333.333333333328</v>
      </c>
      <c r="U1591" s="52"/>
      <c r="V1591" s="34"/>
      <c r="W1591" s="408"/>
    </row>
    <row r="1592" spans="1:23" ht="12.75" customHeight="1" x14ac:dyDescent="0.2">
      <c r="A1592" s="257">
        <v>1570</v>
      </c>
      <c r="B1592" s="44">
        <v>44501</v>
      </c>
      <c r="C1592" s="44">
        <f t="shared" si="73"/>
        <v>44501</v>
      </c>
      <c r="D1592" s="374">
        <v>246</v>
      </c>
      <c r="E1592" s="291" t="str">
        <f>IFERROR(VLOOKUP($D1592,'Clients-Live'!$A:$C,3,0),"")</f>
        <v>ALOMO ZAIDA</v>
      </c>
      <c r="F1592" s="291">
        <f>IFERROR(INDEX(Disbursements!$D:$D,MATCH('Live Collections'!G1592,Disbursements!$C:$C,0)),"")</f>
        <v>1</v>
      </c>
      <c r="G1592" s="34">
        <v>271</v>
      </c>
      <c r="H1592" s="34">
        <v>3214</v>
      </c>
      <c r="I1592" s="34" t="s">
        <v>1357</v>
      </c>
      <c r="J1592" s="48"/>
      <c r="K1592" s="48"/>
      <c r="L1592" s="48"/>
      <c r="M1592" s="48"/>
      <c r="N1592" s="59"/>
      <c r="O1592" s="59">
        <v>30000</v>
      </c>
      <c r="P1592" s="59"/>
      <c r="Q1592" s="268">
        <f t="shared" si="74"/>
        <v>30000</v>
      </c>
      <c r="R1592" s="61">
        <f>IF(O1592=0,0,SUMIFS(Disbursements!$T:$T,Disbursements!$B:$B,'Live Collections'!D1592,Disbursements!$D:$D,'Live Collections'!F1592))</f>
        <v>120000</v>
      </c>
      <c r="S1592" s="304">
        <f>IF(O1592&lt;=IF($O1592=0,0,SUMIFS(Disbursements!$W:$W,Disbursements!$B:$B,'Live Collections'!D2788,Disbursements!$D:$D,'Live Collections'!F2788)),O1592,IF($O1592=0,0,SUMIFS(Disbursements!$W:$W,Disbursements!$B:$B,'Live Collections'!D2788,Disbursements!$D:$D,'Live Collections'!F2788)))</f>
        <v>30000</v>
      </c>
      <c r="T1592" s="304">
        <f t="shared" si="75"/>
        <v>0</v>
      </c>
      <c r="U1592" s="52"/>
      <c r="V1592" s="34"/>
      <c r="W1592" s="408"/>
    </row>
    <row r="1593" spans="1:23" ht="12.75" customHeight="1" x14ac:dyDescent="0.2">
      <c r="A1593" s="257">
        <v>1575</v>
      </c>
      <c r="B1593" s="44">
        <v>44501</v>
      </c>
      <c r="C1593" s="44">
        <f t="shared" si="73"/>
        <v>44501</v>
      </c>
      <c r="D1593" s="374">
        <v>273</v>
      </c>
      <c r="E1593" s="291" t="str">
        <f>IFERROR(VLOOKUP($D1593,'Clients-Live'!$A:$C,3,0),"")</f>
        <v>TABAN PETER</v>
      </c>
      <c r="F1593" s="291" t="str">
        <f>IFERROR(INDEX(Disbursements!$D:$D,MATCH('Live Collections'!G1593,Disbursements!$C:$C,0)),"")</f>
        <v/>
      </c>
      <c r="G1593" s="34"/>
      <c r="H1593" s="34">
        <v>3219</v>
      </c>
      <c r="I1593" s="34" t="s">
        <v>1716</v>
      </c>
      <c r="J1593" s="48">
        <v>15000</v>
      </c>
      <c r="K1593" s="48">
        <v>5000</v>
      </c>
      <c r="L1593" s="48"/>
      <c r="M1593" s="48"/>
      <c r="N1593" s="59"/>
      <c r="O1593" s="59"/>
      <c r="P1593" s="59"/>
      <c r="Q1593" s="268">
        <f t="shared" si="74"/>
        <v>20000</v>
      </c>
      <c r="R1593" s="61">
        <f>IF(O1593=0,0,SUMIFS(Disbursements!$T:$T,Disbursements!$B:$B,'Live Collections'!D1593,Disbursements!$D:$D,'Live Collections'!F1593))</f>
        <v>0</v>
      </c>
      <c r="S1593" s="304">
        <f>IF(O1593&lt;=IF($O1593=0,0,SUMIFS(Disbursements!$W:$W,Disbursements!$B:$B,'Live Collections'!D2980,Disbursements!$D:$D,'Live Collections'!F2980)),O1593,IF($O1593=0,0,SUMIFS(Disbursements!$W:$W,Disbursements!$B:$B,'Live Collections'!D2980,Disbursements!$D:$D,'Live Collections'!F2980)))</f>
        <v>0</v>
      </c>
      <c r="T1593" s="304">
        <f t="shared" si="75"/>
        <v>0</v>
      </c>
      <c r="U1593" s="52"/>
      <c r="V1593" s="34"/>
      <c r="W1593" s="408"/>
    </row>
    <row r="1594" spans="1:23" ht="12.75" customHeight="1" x14ac:dyDescent="0.2">
      <c r="A1594" s="257">
        <v>1581</v>
      </c>
      <c r="B1594" s="44">
        <v>44502</v>
      </c>
      <c r="C1594" s="44">
        <f t="shared" si="73"/>
        <v>44502</v>
      </c>
      <c r="D1594" s="374">
        <v>23</v>
      </c>
      <c r="E1594" s="291" t="str">
        <f>IFERROR(VLOOKUP($D1594,'Clients-Live'!$A:$C,3,0),"")</f>
        <v>BADARU KEVIN ATELIONGA</v>
      </c>
      <c r="F1594" s="291">
        <f>IFERROR(INDEX(Disbursements!$D:$D,MATCH('Live Collections'!G1594,Disbursements!$C:$C,0)),"")</f>
        <v>2</v>
      </c>
      <c r="G1594" s="34">
        <v>190</v>
      </c>
      <c r="H1594" s="34">
        <v>3225</v>
      </c>
      <c r="I1594" s="34" t="s">
        <v>1357</v>
      </c>
      <c r="J1594" s="48"/>
      <c r="K1594" s="48"/>
      <c r="L1594" s="48"/>
      <c r="M1594" s="48"/>
      <c r="N1594" s="59"/>
      <c r="O1594" s="59">
        <v>170000</v>
      </c>
      <c r="P1594" s="59"/>
      <c r="Q1594" s="268">
        <f t="shared" si="74"/>
        <v>170000</v>
      </c>
      <c r="R1594" s="61">
        <f>IF(O1594=0,0,SUMIFS(Disbursements!$T:$T,Disbursements!$B:$B,'Live Collections'!D1594,Disbursements!$D:$D,'Live Collections'!F1594))</f>
        <v>175000</v>
      </c>
      <c r="S1594" s="304">
        <f>IF(O1594&lt;=IF($O1594=0,0,SUMIFS(Disbursements!$W:$W,Disbursements!$B:$B,'Live Collections'!D317,Disbursements!$D:$D,'Live Collections'!F317)),O1594,IF($O1594=0,0,SUMIFS(Disbursements!$W:$W,Disbursements!$B:$B,'Live Collections'!D317,Disbursements!$D:$D,'Live Collections'!F317)))</f>
        <v>19000</v>
      </c>
      <c r="T1594" s="304">
        <f t="shared" si="75"/>
        <v>151000</v>
      </c>
      <c r="U1594" s="52"/>
      <c r="V1594" s="34"/>
      <c r="W1594" s="408"/>
    </row>
    <row r="1595" spans="1:23" ht="12.75" customHeight="1" x14ac:dyDescent="0.2">
      <c r="A1595" s="257">
        <v>1580</v>
      </c>
      <c r="B1595" s="44">
        <v>44502</v>
      </c>
      <c r="C1595" s="44">
        <f t="shared" si="73"/>
        <v>44502</v>
      </c>
      <c r="D1595" s="374">
        <v>49</v>
      </c>
      <c r="E1595" s="291" t="str">
        <f>IFERROR(VLOOKUP($D1595,'Clients-Live'!$A:$C,3,0),"")</f>
        <v>MAWUZU SARAH</v>
      </c>
      <c r="F1595" s="291">
        <f>IFERROR(INDEX(Disbursements!$D:$D,MATCH('Live Collections'!G1595,Disbursements!$C:$C,0)),"")</f>
        <v>1</v>
      </c>
      <c r="G1595" s="34">
        <v>33</v>
      </c>
      <c r="H1595" s="34">
        <v>3259</v>
      </c>
      <c r="I1595" s="34" t="s">
        <v>1358</v>
      </c>
      <c r="J1595" s="48"/>
      <c r="K1595" s="48"/>
      <c r="L1595" s="48"/>
      <c r="M1595" s="48"/>
      <c r="N1595" s="59"/>
      <c r="O1595" s="59">
        <v>100000</v>
      </c>
      <c r="P1595" s="59"/>
      <c r="Q1595" s="268">
        <f t="shared" si="74"/>
        <v>100000</v>
      </c>
      <c r="R1595" s="61">
        <f>IF(O1595=0,0,SUMIFS(Disbursements!$T:$T,Disbursements!$B:$B,'Live Collections'!D1595,Disbursements!$D:$D,'Live Collections'!F1595))</f>
        <v>150000</v>
      </c>
      <c r="S1595" s="304"/>
      <c r="T1595" s="304">
        <f t="shared" si="75"/>
        <v>100000</v>
      </c>
      <c r="U1595" s="52"/>
      <c r="V1595" s="34"/>
      <c r="W1595" s="408"/>
    </row>
    <row r="1596" spans="1:23" ht="12.75" customHeight="1" x14ac:dyDescent="0.2">
      <c r="A1596" s="257">
        <v>1585</v>
      </c>
      <c r="B1596" s="44">
        <v>44502</v>
      </c>
      <c r="C1596" s="44">
        <f t="shared" si="73"/>
        <v>44502</v>
      </c>
      <c r="D1596" s="374">
        <v>65</v>
      </c>
      <c r="E1596" s="291" t="str">
        <f>IFERROR(VLOOKUP($D1596,'Clients-Live'!$A:$C,3,0),"")</f>
        <v>NDAWULA GERALD</v>
      </c>
      <c r="F1596" s="291">
        <f>IFERROR(INDEX(Disbursements!$D:$D,MATCH('Live Collections'!G1596,Disbursements!$C:$C,0)),"")</f>
        <v>1</v>
      </c>
      <c r="G1596" s="34">
        <v>47</v>
      </c>
      <c r="H1596" s="34">
        <v>3229</v>
      </c>
      <c r="I1596" s="34" t="s">
        <v>1359</v>
      </c>
      <c r="J1596" s="48"/>
      <c r="K1596" s="48"/>
      <c r="L1596" s="48"/>
      <c r="M1596" s="48"/>
      <c r="N1596" s="59"/>
      <c r="O1596" s="59">
        <v>100000</v>
      </c>
      <c r="P1596" s="59"/>
      <c r="Q1596" s="268">
        <f t="shared" si="74"/>
        <v>100000</v>
      </c>
      <c r="R1596" s="61">
        <f>IF(O1596=0,0,SUMIFS(Disbursements!$T:$T,Disbursements!$B:$B,'Live Collections'!D1596,Disbursements!$D:$D,'Live Collections'!F1596))</f>
        <v>217000</v>
      </c>
      <c r="S1596" s="304">
        <f>IF(O1596&lt;=IF($O1596=0,0,SUMIFS(Disbursements!$W:$W,Disbursements!$B:$B,'Live Collections'!D781,Disbursements!$D:$D,'Live Collections'!F781)),O1596,IF($O1596=0,0,SUMIFS(Disbursements!$W:$W,Disbursements!$B:$B,'Live Collections'!D781,Disbursements!$D:$D,'Live Collections'!F781)))</f>
        <v>8000</v>
      </c>
      <c r="T1596" s="304">
        <f t="shared" si="75"/>
        <v>92000</v>
      </c>
      <c r="U1596" s="52"/>
      <c r="V1596" s="34"/>
      <c r="W1596" s="408"/>
    </row>
    <row r="1597" spans="1:23" ht="12.75" customHeight="1" x14ac:dyDescent="0.2">
      <c r="A1597" s="257">
        <v>1582</v>
      </c>
      <c r="B1597" s="44">
        <v>44502</v>
      </c>
      <c r="C1597" s="44">
        <f t="shared" si="73"/>
        <v>44502</v>
      </c>
      <c r="D1597" s="374">
        <v>177</v>
      </c>
      <c r="E1597" s="291" t="str">
        <f>IFERROR(VLOOKUP($D1597,'Clients-Live'!$A:$C,3,0),"")</f>
        <v>EFIT GIFT</v>
      </c>
      <c r="F1597" s="291">
        <f>IFERROR(INDEX(Disbursements!$D:$D,MATCH('Live Collections'!G1597,Disbursements!$C:$C,0)),"")</f>
        <v>1</v>
      </c>
      <c r="G1597" s="34">
        <v>183</v>
      </c>
      <c r="H1597" s="34">
        <v>3257</v>
      </c>
      <c r="I1597" s="34" t="s">
        <v>1358</v>
      </c>
      <c r="J1597" s="48"/>
      <c r="K1597" s="48"/>
      <c r="L1597" s="48"/>
      <c r="M1597" s="48"/>
      <c r="N1597" s="59"/>
      <c r="O1597" s="59">
        <v>110000</v>
      </c>
      <c r="P1597" s="59"/>
      <c r="Q1597" s="268">
        <f t="shared" si="74"/>
        <v>110000</v>
      </c>
      <c r="R1597" s="61">
        <f>IF(O1597=0,0,SUMIFS(Disbursements!$T:$T,Disbursements!$B:$B,'Live Collections'!D1597,Disbursements!$D:$D,'Live Collections'!F1597))</f>
        <v>109000</v>
      </c>
      <c r="S1597" s="304">
        <f>IF(O1597&lt;=IF($O1597=0,0,SUMIFS(Disbursements!$W:$W,Disbursements!$B:$B,'Live Collections'!D2172,Disbursements!$D:$D,'Live Collections'!F2172)),O1597,IF($O1597=0,0,SUMIFS(Disbursements!$W:$W,Disbursements!$B:$B,'Live Collections'!D2172,Disbursements!$D:$D,'Live Collections'!F2172)))</f>
        <v>50666.666666666686</v>
      </c>
      <c r="T1597" s="304">
        <f t="shared" si="75"/>
        <v>59333.333333333314</v>
      </c>
      <c r="U1597" s="52"/>
      <c r="V1597" s="34"/>
      <c r="W1597" s="408"/>
    </row>
    <row r="1598" spans="1:23" ht="12.75" customHeight="1" x14ac:dyDescent="0.2">
      <c r="A1598" s="257">
        <v>1579</v>
      </c>
      <c r="B1598" s="44">
        <v>44502</v>
      </c>
      <c r="C1598" s="44">
        <f t="shared" si="73"/>
        <v>44502</v>
      </c>
      <c r="D1598" s="374">
        <v>197</v>
      </c>
      <c r="E1598" s="291" t="str">
        <f>IFERROR(VLOOKUP($D1598,'Clients-Live'!$A:$C,3,0),"")</f>
        <v>SIYESA JAMILA</v>
      </c>
      <c r="F1598" s="291">
        <f>IFERROR(INDEX(Disbursements!$D:$D,MATCH('Live Collections'!G1598,Disbursements!$C:$C,0)),"")</f>
        <v>1</v>
      </c>
      <c r="G1598" s="34">
        <v>192</v>
      </c>
      <c r="H1598" s="34">
        <v>3263</v>
      </c>
      <c r="I1598" s="34" t="s">
        <v>1358</v>
      </c>
      <c r="J1598" s="48"/>
      <c r="K1598" s="48"/>
      <c r="L1598" s="48"/>
      <c r="M1598" s="48"/>
      <c r="N1598" s="59"/>
      <c r="O1598" s="59">
        <v>60000</v>
      </c>
      <c r="P1598" s="59"/>
      <c r="Q1598" s="268">
        <f t="shared" si="74"/>
        <v>60000</v>
      </c>
      <c r="R1598" s="61">
        <f>IF(O1598=0,0,SUMIFS(Disbursements!$T:$T,Disbursements!$B:$B,'Live Collections'!D1598,Disbursements!$D:$D,'Live Collections'!F1598))</f>
        <v>120000</v>
      </c>
      <c r="S1598" s="304">
        <f>IF(O1598&lt;=IF($O1598=0,0,SUMIFS(Disbursements!$W:$W,Disbursements!$B:$B,'Live Collections'!D2365,Disbursements!$D:$D,'Live Collections'!F2365)),O1598,IF($O1598=0,0,SUMIFS(Disbursements!$W:$W,Disbursements!$B:$B,'Live Collections'!D2365,Disbursements!$D:$D,'Live Collections'!F2365)))</f>
        <v>20000</v>
      </c>
      <c r="T1598" s="304">
        <f t="shared" si="75"/>
        <v>40000</v>
      </c>
      <c r="U1598" s="52"/>
      <c r="V1598" s="34"/>
      <c r="W1598" s="408"/>
    </row>
    <row r="1599" spans="1:23" ht="12.75" customHeight="1" x14ac:dyDescent="0.2">
      <c r="A1599" s="257">
        <v>1583</v>
      </c>
      <c r="B1599" s="44">
        <v>44502</v>
      </c>
      <c r="C1599" s="44">
        <f t="shared" si="73"/>
        <v>44502</v>
      </c>
      <c r="D1599" s="374">
        <v>229</v>
      </c>
      <c r="E1599" s="291" t="str">
        <f>IFERROR(VLOOKUP($D1599,'Clients-Live'!$A:$C,3,0),"")</f>
        <v>DAWA ANNET</v>
      </c>
      <c r="F1599" s="291">
        <f>IFERROR(INDEX(Disbursements!$D:$D,MATCH('Live Collections'!G1599,Disbursements!$C:$C,0)),"")</f>
        <v>1</v>
      </c>
      <c r="G1599" s="34">
        <v>254</v>
      </c>
      <c r="H1599" s="34">
        <v>3224</v>
      </c>
      <c r="I1599" s="34" t="s">
        <v>1357</v>
      </c>
      <c r="J1599" s="48"/>
      <c r="K1599" s="48"/>
      <c r="L1599" s="48"/>
      <c r="M1599" s="48"/>
      <c r="N1599" s="59"/>
      <c r="O1599" s="59">
        <v>300000</v>
      </c>
      <c r="P1599" s="59"/>
      <c r="Q1599" s="268">
        <f t="shared" si="74"/>
        <v>300000</v>
      </c>
      <c r="R1599" s="61">
        <f>IF(O1599=0,0,SUMIFS(Disbursements!$T:$T,Disbursements!$B:$B,'Live Collections'!D1599,Disbursements!$D:$D,'Live Collections'!F1599))</f>
        <v>300000</v>
      </c>
      <c r="S1599" s="304">
        <f>IF(O1599&lt;=IF($O1599=0,0,SUMIFS(Disbursements!$W:$W,Disbursements!$B:$B,'Live Collections'!D2669,Disbursements!$D:$D,'Live Collections'!F2669)),O1599,IF($O1599=0,0,SUMIFS(Disbursements!$W:$W,Disbursements!$B:$B,'Live Collections'!D2669,Disbursements!$D:$D,'Live Collections'!F2669)))</f>
        <v>35000</v>
      </c>
      <c r="T1599" s="304">
        <f t="shared" si="75"/>
        <v>265000</v>
      </c>
      <c r="U1599" s="52"/>
      <c r="V1599" s="34"/>
      <c r="W1599" s="408"/>
    </row>
    <row r="1600" spans="1:23" ht="12.75" customHeight="1" x14ac:dyDescent="0.2">
      <c r="A1600" s="257">
        <v>1576</v>
      </c>
      <c r="B1600" s="44">
        <v>44502</v>
      </c>
      <c r="C1600" s="44">
        <f t="shared" si="73"/>
        <v>44502</v>
      </c>
      <c r="D1600" s="374">
        <v>240</v>
      </c>
      <c r="E1600" s="291" t="str">
        <f>IFERROR(VLOOKUP($D1600,'Clients-Live'!$A:$C,3,0),"")</f>
        <v>AYIKORU WINNIE</v>
      </c>
      <c r="F1600" s="291" t="str">
        <f>IFERROR(INDEX(Disbursements!$D:$D,MATCH('Live Collections'!G1600,Disbursements!$C:$C,0)),"")</f>
        <v/>
      </c>
      <c r="G1600" s="34"/>
      <c r="H1600" s="34">
        <v>284</v>
      </c>
      <c r="I1600" s="34" t="s">
        <v>1358</v>
      </c>
      <c r="J1600" s="48"/>
      <c r="K1600" s="48"/>
      <c r="L1600" s="48"/>
      <c r="M1600" s="48"/>
      <c r="N1600" s="59"/>
      <c r="O1600" s="59"/>
      <c r="P1600" s="59">
        <v>-60000</v>
      </c>
      <c r="Q1600" s="268">
        <f t="shared" si="74"/>
        <v>-60000</v>
      </c>
      <c r="R1600" s="61">
        <f>IF(O1600=0,0,SUMIFS(Disbursements!$T:$T,Disbursements!$B:$B,'Live Collections'!D1600,Disbursements!$D:$D,'Live Collections'!F1600))</f>
        <v>0</v>
      </c>
      <c r="S1600" s="304">
        <f>IF(O1600&lt;=IF($O1600=0,0,SUMIFS(Disbursements!$W:$W,Disbursements!$B:$B,'Live Collections'!D2752,Disbursements!$D:$D,'Live Collections'!F2752)),O1600,IF($O1600=0,0,SUMIFS(Disbursements!$W:$W,Disbursements!$B:$B,'Live Collections'!D2752,Disbursements!$D:$D,'Live Collections'!F2752)))</f>
        <v>0</v>
      </c>
      <c r="T1600" s="304">
        <f t="shared" si="75"/>
        <v>0</v>
      </c>
      <c r="U1600" s="52"/>
      <c r="V1600" s="34"/>
      <c r="W1600" s="408"/>
    </row>
    <row r="1601" spans="1:23" ht="12.75" customHeight="1" x14ac:dyDescent="0.2">
      <c r="A1601" s="257">
        <v>1577</v>
      </c>
      <c r="B1601" s="44">
        <v>44502</v>
      </c>
      <c r="C1601" s="44">
        <f t="shared" si="73"/>
        <v>44502</v>
      </c>
      <c r="D1601" s="374">
        <v>240</v>
      </c>
      <c r="E1601" s="291" t="str">
        <f>IFERROR(VLOOKUP($D1601,'Clients-Live'!$A:$C,3,0),"")</f>
        <v>AYIKORU WINNIE</v>
      </c>
      <c r="F1601" s="291">
        <f>IFERROR(INDEX(Disbursements!$D:$D,MATCH('Live Collections'!G1601,Disbursements!$C:$C,0)),"")</f>
        <v>2</v>
      </c>
      <c r="G1601" s="34">
        <v>295</v>
      </c>
      <c r="H1601" s="34">
        <v>3262</v>
      </c>
      <c r="I1601" s="34" t="s">
        <v>1358</v>
      </c>
      <c r="J1601" s="48"/>
      <c r="K1601" s="48"/>
      <c r="L1601" s="48"/>
      <c r="M1601" s="48"/>
      <c r="N1601" s="59"/>
      <c r="O1601" s="59">
        <v>60000</v>
      </c>
      <c r="P1601" s="59"/>
      <c r="Q1601" s="268">
        <f t="shared" si="74"/>
        <v>60000</v>
      </c>
      <c r="R1601" s="61">
        <f>IF(O1601=0,0,SUMIFS(Disbursements!$T:$T,Disbursements!$B:$B,'Live Collections'!D1601,Disbursements!$D:$D,'Live Collections'!F1601))</f>
        <v>162000</v>
      </c>
      <c r="S1601" s="304">
        <f>IF(O1601&lt;=IF($O1601=0,0,SUMIFS(Disbursements!$W:$W,Disbursements!$B:$B,'Live Collections'!D2753,Disbursements!$D:$D,'Live Collections'!F2753)),O1601,IF($O1601=0,0,SUMIFS(Disbursements!$W:$W,Disbursements!$B:$B,'Live Collections'!D2753,Disbursements!$D:$D,'Live Collections'!F2753)))</f>
        <v>15000</v>
      </c>
      <c r="T1601" s="304">
        <f t="shared" si="75"/>
        <v>45000</v>
      </c>
      <c r="U1601" s="52"/>
      <c r="V1601" s="34"/>
      <c r="W1601" s="408"/>
    </row>
    <row r="1602" spans="1:23" ht="12.75" customHeight="1" x14ac:dyDescent="0.2">
      <c r="A1602" s="257">
        <v>1578</v>
      </c>
      <c r="B1602" s="44">
        <v>44502</v>
      </c>
      <c r="C1602" s="44">
        <f t="shared" si="73"/>
        <v>44502</v>
      </c>
      <c r="D1602" s="374">
        <v>240</v>
      </c>
      <c r="E1602" s="291" t="str">
        <f>IFERROR(VLOOKUP($D1602,'Clients-Live'!$A:$C,3,0),"")</f>
        <v>AYIKORU WINNIE</v>
      </c>
      <c r="F1602" s="291">
        <f>IFERROR(INDEX(Disbursements!$D:$D,MATCH('Live Collections'!G1602,Disbursements!$C:$C,0)),"")</f>
        <v>2</v>
      </c>
      <c r="G1602" s="34">
        <v>295</v>
      </c>
      <c r="H1602" s="34">
        <v>3228</v>
      </c>
      <c r="I1602" s="34" t="s">
        <v>1358</v>
      </c>
      <c r="J1602" s="48"/>
      <c r="K1602" s="48"/>
      <c r="L1602" s="48"/>
      <c r="M1602" s="48"/>
      <c r="N1602" s="59"/>
      <c r="O1602" s="59">
        <v>585000</v>
      </c>
      <c r="P1602" s="59"/>
      <c r="Q1602" s="268">
        <f t="shared" si="74"/>
        <v>585000</v>
      </c>
      <c r="R1602" s="61">
        <f>IF(O1602=0,0,SUMIFS(Disbursements!$T:$T,Disbursements!$B:$B,'Live Collections'!D1602,Disbursements!$D:$D,'Live Collections'!F1602))</f>
        <v>162000</v>
      </c>
      <c r="S1602" s="304">
        <v>33000</v>
      </c>
      <c r="T1602" s="304">
        <f t="shared" si="75"/>
        <v>552000</v>
      </c>
      <c r="U1602" s="52"/>
      <c r="V1602" s="34"/>
      <c r="W1602" s="408"/>
    </row>
    <row r="1603" spans="1:23" ht="12.75" customHeight="1" x14ac:dyDescent="0.2">
      <c r="A1603" s="257">
        <v>1584</v>
      </c>
      <c r="B1603" s="44">
        <v>44502</v>
      </c>
      <c r="C1603" s="44">
        <f t="shared" si="73"/>
        <v>44502</v>
      </c>
      <c r="D1603" s="374">
        <v>274</v>
      </c>
      <c r="E1603" s="291" t="str">
        <f>IFERROR(VLOOKUP($D1603,'Clients-Live'!$A:$C,3,0),"")</f>
        <v>APANGU MUZAMIL</v>
      </c>
      <c r="F1603" s="291" t="str">
        <f>IFERROR(INDEX(Disbursements!$D:$D,MATCH('Live Collections'!G1603,Disbursements!$C:$C,0)),"")</f>
        <v/>
      </c>
      <c r="G1603" s="34"/>
      <c r="H1603" s="34">
        <v>3226</v>
      </c>
      <c r="I1603" s="34" t="s">
        <v>1716</v>
      </c>
      <c r="J1603" s="48">
        <v>15000</v>
      </c>
      <c r="K1603" s="48">
        <v>5000</v>
      </c>
      <c r="L1603" s="48"/>
      <c r="M1603" s="48"/>
      <c r="N1603" s="59"/>
      <c r="O1603" s="59"/>
      <c r="P1603" s="59"/>
      <c r="Q1603" s="268">
        <f t="shared" si="74"/>
        <v>20000</v>
      </c>
      <c r="R1603" s="61">
        <f>IF(O1603=0,0,SUMIFS(Disbursements!$T:$T,Disbursements!$B:$B,'Live Collections'!D1603,Disbursements!$D:$D,'Live Collections'!F1603))</f>
        <v>0</v>
      </c>
      <c r="S1603" s="304">
        <f>IF(O1603&lt;=IF($O1603=0,0,SUMIFS(Disbursements!$W:$W,Disbursements!$B:$B,'Live Collections'!D2981,Disbursements!$D:$D,'Live Collections'!F2981)),O1603,IF($O1603=0,0,SUMIFS(Disbursements!$W:$W,Disbursements!$B:$B,'Live Collections'!D2981,Disbursements!$D:$D,'Live Collections'!F2981)))</f>
        <v>0</v>
      </c>
      <c r="T1603" s="304">
        <f t="shared" si="75"/>
        <v>0</v>
      </c>
      <c r="U1603" s="52"/>
      <c r="V1603" s="34"/>
      <c r="W1603" s="408"/>
    </row>
    <row r="1604" spans="1:23" ht="12.75" customHeight="1" x14ac:dyDescent="0.2">
      <c r="A1604" s="257">
        <v>1590</v>
      </c>
      <c r="B1604" s="44">
        <v>44503</v>
      </c>
      <c r="C1604" s="44">
        <f t="shared" si="73"/>
        <v>44503</v>
      </c>
      <c r="D1604" s="374">
        <v>9</v>
      </c>
      <c r="E1604" s="291" t="str">
        <f>IFERROR(VLOOKUP($D1604,'Clients-Live'!$A:$C,3,0),"")</f>
        <v>TABAN DAVID YAYA</v>
      </c>
      <c r="F1604" s="291">
        <f>IFERROR(INDEX(Disbursements!$D:$D,MATCH('Live Collections'!G1604,Disbursements!$C:$C,0)),"")</f>
        <v>2</v>
      </c>
      <c r="G1604" s="34">
        <v>221</v>
      </c>
      <c r="H1604" s="34">
        <v>3240</v>
      </c>
      <c r="I1604" s="34" t="s">
        <v>1357</v>
      </c>
      <c r="J1604" s="48"/>
      <c r="K1604" s="48"/>
      <c r="L1604" s="48"/>
      <c r="M1604" s="48"/>
      <c r="N1604" s="59"/>
      <c r="O1604" s="59">
        <v>30000</v>
      </c>
      <c r="P1604" s="59"/>
      <c r="Q1604" s="268">
        <f t="shared" si="74"/>
        <v>30000</v>
      </c>
      <c r="R1604" s="61">
        <f>IF(O1604=0,0,SUMIFS(Disbursements!$T:$T,Disbursements!$B:$B,'Live Collections'!D1604,Disbursements!$D:$D,'Live Collections'!F1604))</f>
        <v>360000</v>
      </c>
      <c r="S1604" s="304">
        <f>IF(O1604&lt;=IF($O1604=0,0,SUMIFS(Disbursements!$W:$W,Disbursements!$B:$B,'Live Collections'!D87,Disbursements!$D:$D,'Live Collections'!F87)),O1604,IF($O1604=0,0,SUMIFS(Disbursements!$W:$W,Disbursements!$B:$B,'Live Collections'!D87,Disbursements!$D:$D,'Live Collections'!F87)))</f>
        <v>0</v>
      </c>
      <c r="T1604" s="304">
        <f t="shared" si="75"/>
        <v>30000</v>
      </c>
      <c r="U1604" s="52"/>
      <c r="V1604" s="34"/>
      <c r="W1604" s="408"/>
    </row>
    <row r="1605" spans="1:23" ht="12.75" customHeight="1" x14ac:dyDescent="0.2">
      <c r="A1605" s="257">
        <v>1601</v>
      </c>
      <c r="B1605" s="44">
        <v>44503</v>
      </c>
      <c r="C1605" s="44">
        <f t="shared" si="73"/>
        <v>44503</v>
      </c>
      <c r="D1605" s="374">
        <v>66</v>
      </c>
      <c r="E1605" s="291" t="str">
        <f>IFERROR(VLOOKUP($D1605,'Clients-Live'!$A:$C,3,0),"")</f>
        <v>DENAYA NYAMAZA</v>
      </c>
      <c r="F1605" s="291">
        <v>1</v>
      </c>
      <c r="G1605" s="34">
        <v>53</v>
      </c>
      <c r="H1605" s="34">
        <v>3271</v>
      </c>
      <c r="I1605" s="34" t="s">
        <v>1357</v>
      </c>
      <c r="J1605" s="48"/>
      <c r="K1605" s="48"/>
      <c r="L1605" s="48"/>
      <c r="M1605" s="48"/>
      <c r="N1605" s="59"/>
      <c r="O1605" s="201">
        <v>16000</v>
      </c>
      <c r="P1605" s="59"/>
      <c r="Q1605" s="268">
        <f t="shared" si="74"/>
        <v>16000</v>
      </c>
      <c r="R1605" s="61">
        <f>IF(O1605=0,0,SUMIFS(Disbursements!$T:$T,Disbursements!$B:$B,'Live Collections'!D1605,Disbursements!$D:$D,'Live Collections'!F1605))</f>
        <v>109000</v>
      </c>
      <c r="S1605" s="64">
        <v>12416.666666666744</v>
      </c>
      <c r="T1605" s="304">
        <f t="shared" si="75"/>
        <v>3583.3333333332557</v>
      </c>
      <c r="U1605" s="52"/>
      <c r="V1605" s="34"/>
      <c r="W1605" s="408" t="s">
        <v>2105</v>
      </c>
    </row>
    <row r="1606" spans="1:23" ht="12.75" customHeight="1" x14ac:dyDescent="0.2">
      <c r="A1606" s="257">
        <v>1604</v>
      </c>
      <c r="B1606" s="44">
        <v>44503</v>
      </c>
      <c r="C1606" s="44">
        <f t="shared" si="73"/>
        <v>44503</v>
      </c>
      <c r="D1606" s="374">
        <v>90</v>
      </c>
      <c r="E1606" s="291" t="str">
        <f>IFERROR(VLOOKUP($D1606,'Clients-Live'!$A:$C,3,0),"")</f>
        <v>ZABIBU RAJAB SAIDI</v>
      </c>
      <c r="F1606" s="291" t="str">
        <f>IFERROR(INDEX(Disbursements!$D:$D,MATCH('Live Collections'!G1606,Disbursements!$C:$C,0)),"")</f>
        <v/>
      </c>
      <c r="G1606" s="34"/>
      <c r="H1606" s="34">
        <v>3247</v>
      </c>
      <c r="I1606" s="34" t="s">
        <v>1358</v>
      </c>
      <c r="J1606" s="48"/>
      <c r="K1606" s="48"/>
      <c r="L1606" s="48"/>
      <c r="M1606" s="48"/>
      <c r="N1606" s="59"/>
      <c r="O1606" s="59"/>
      <c r="P1606" s="59">
        <v>20000</v>
      </c>
      <c r="Q1606" s="268">
        <f t="shared" si="74"/>
        <v>20000</v>
      </c>
      <c r="R1606" s="61">
        <f>IF(O1606=0,0,SUMIFS(Disbursements!$T:$T,Disbursements!$B:$B,'Live Collections'!D1606,Disbursements!$D:$D,'Live Collections'!F1606))</f>
        <v>0</v>
      </c>
      <c r="S1606" s="304">
        <f>IF(O1606&lt;=IF($O1606=0,0,SUMIFS(Disbursements!$W:$W,Disbursements!$B:$B,'Live Collections'!D1176,Disbursements!$D:$D,'Live Collections'!F1176)),O1606,IF($O1606=0,0,SUMIFS(Disbursements!$W:$W,Disbursements!$B:$B,'Live Collections'!D1176,Disbursements!$D:$D,'Live Collections'!F1176)))</f>
        <v>0</v>
      </c>
      <c r="T1606" s="304">
        <f t="shared" si="75"/>
        <v>0</v>
      </c>
      <c r="U1606" s="52"/>
      <c r="V1606" s="34"/>
      <c r="W1606" s="408"/>
    </row>
    <row r="1607" spans="1:23" ht="12.75" customHeight="1" x14ac:dyDescent="0.2">
      <c r="A1607" s="257">
        <v>1605</v>
      </c>
      <c r="B1607" s="44">
        <v>44503</v>
      </c>
      <c r="C1607" s="44">
        <f t="shared" ref="C1607:C1670" si="76">B1607</f>
        <v>44503</v>
      </c>
      <c r="D1607" s="374">
        <v>94</v>
      </c>
      <c r="E1607" s="291" t="str">
        <f>IFERROR(VLOOKUP($D1607,'Clients-Live'!$A:$C,3,0),"")</f>
        <v>NGINYA RICHARD</v>
      </c>
      <c r="F1607" s="291">
        <f>IFERROR(INDEX(Disbursements!$D:$D,MATCH('Live Collections'!G1607,Disbursements!$C:$C,0)),"")</f>
        <v>2</v>
      </c>
      <c r="G1607" s="34">
        <v>305</v>
      </c>
      <c r="H1607" s="34">
        <v>3277</v>
      </c>
      <c r="I1607" s="34" t="s">
        <v>1357</v>
      </c>
      <c r="J1607" s="48"/>
      <c r="K1607" s="48"/>
      <c r="L1607" s="48"/>
      <c r="M1607" s="48"/>
      <c r="N1607" s="59"/>
      <c r="O1607" s="59"/>
      <c r="P1607" s="59">
        <v>30000</v>
      </c>
      <c r="Q1607" s="268">
        <f t="shared" ref="Q1607:Q1670" si="77">SUM(J1607:P1607)</f>
        <v>30000</v>
      </c>
      <c r="R1607" s="61">
        <f>IF(O1607=0,0,SUMIFS(Disbursements!$T:$T,Disbursements!$B:$B,'Live Collections'!D1607,Disbursements!$D:$D,'Live Collections'!F1607))</f>
        <v>0</v>
      </c>
      <c r="S1607" s="304">
        <f>IF(O1607&lt;=IF($O1607=0,0,SUMIFS(Disbursements!$W:$W,Disbursements!$B:$B,'Live Collections'!D1218,Disbursements!$D:$D,'Live Collections'!F1218)),O1607,IF($O1607=0,0,SUMIFS(Disbursements!$W:$W,Disbursements!$B:$B,'Live Collections'!D1218,Disbursements!$D:$D,'Live Collections'!F1218)))</f>
        <v>0</v>
      </c>
      <c r="T1607" s="304">
        <f t="shared" ref="T1607:T1670" si="78">IF(O1607=0,0,O1607-S1607)</f>
        <v>0</v>
      </c>
      <c r="U1607" s="52"/>
      <c r="V1607" s="34"/>
      <c r="W1607" s="408"/>
    </row>
    <row r="1608" spans="1:23" ht="12.75" customHeight="1" x14ac:dyDescent="0.2">
      <c r="A1608" s="257">
        <v>1588</v>
      </c>
      <c r="B1608" s="44">
        <v>44503</v>
      </c>
      <c r="C1608" s="44">
        <f t="shared" si="76"/>
        <v>44503</v>
      </c>
      <c r="D1608" s="374">
        <v>108</v>
      </c>
      <c r="E1608" s="291" t="str">
        <f>IFERROR(VLOOKUP($D1608,'Clients-Live'!$A:$C,3,0),"")</f>
        <v>DUDU JOICE</v>
      </c>
      <c r="F1608" s="291">
        <f>IFERROR(INDEX(Disbursements!$D:$D,MATCH('Live Collections'!G1608,Disbursements!$C:$C,0)),"")</f>
        <v>1</v>
      </c>
      <c r="G1608" s="34">
        <v>91</v>
      </c>
      <c r="H1608" s="34">
        <v>3234</v>
      </c>
      <c r="I1608" s="34" t="s">
        <v>1359</v>
      </c>
      <c r="J1608" s="48"/>
      <c r="K1608" s="48"/>
      <c r="L1608" s="48"/>
      <c r="M1608" s="48"/>
      <c r="N1608" s="59"/>
      <c r="O1608" s="59">
        <v>110000</v>
      </c>
      <c r="P1608" s="59"/>
      <c r="Q1608" s="268">
        <f t="shared" si="77"/>
        <v>110000</v>
      </c>
      <c r="R1608" s="61">
        <f>IF(O1608=0,0,SUMIFS(Disbursements!$T:$T,Disbursements!$B:$B,'Live Collections'!D1608,Disbursements!$D:$D,'Live Collections'!F1608))</f>
        <v>180000</v>
      </c>
      <c r="S1608" s="304">
        <f>IF(O1608&lt;=IF($O1608=0,0,SUMIFS(Disbursements!$W:$W,Disbursements!$B:$B,'Live Collections'!D1388,Disbursements!$D:$D,'Live Collections'!F1388)),O1608,IF($O1608=0,0,SUMIFS(Disbursements!$W:$W,Disbursements!$B:$B,'Live Collections'!D1388,Disbursements!$D:$D,'Live Collections'!F1388)))</f>
        <v>100666.66666666669</v>
      </c>
      <c r="T1608" s="304">
        <f t="shared" si="78"/>
        <v>9333.3333333333139</v>
      </c>
      <c r="U1608" s="52"/>
      <c r="V1608" s="34"/>
      <c r="W1608" s="408"/>
    </row>
    <row r="1609" spans="1:23" ht="12.75" customHeight="1" x14ac:dyDescent="0.2">
      <c r="A1609" s="257">
        <v>1591</v>
      </c>
      <c r="B1609" s="44">
        <v>44503</v>
      </c>
      <c r="C1609" s="44">
        <f t="shared" si="76"/>
        <v>44503</v>
      </c>
      <c r="D1609" s="374">
        <v>108</v>
      </c>
      <c r="E1609" s="291" t="str">
        <f>IFERROR(VLOOKUP($D1609,'Clients-Live'!$A:$C,3,0),"")</f>
        <v>DUDU JOICE</v>
      </c>
      <c r="F1609" s="291" t="str">
        <f>IFERROR(INDEX(Disbursements!$D:$D,MATCH('Live Collections'!G1609,Disbursements!$C:$C,0)),"")</f>
        <v/>
      </c>
      <c r="G1609" s="34"/>
      <c r="H1609" s="34">
        <v>285</v>
      </c>
      <c r="I1609" s="34" t="s">
        <v>1359</v>
      </c>
      <c r="J1609" s="48"/>
      <c r="K1609" s="48"/>
      <c r="L1609" s="48"/>
      <c r="M1609" s="48"/>
      <c r="N1609" s="59"/>
      <c r="O1609" s="59"/>
      <c r="P1609" s="59">
        <v>-60000</v>
      </c>
      <c r="Q1609" s="268">
        <f t="shared" si="77"/>
        <v>-60000</v>
      </c>
      <c r="R1609" s="61">
        <f>IF(O1609=0,0,SUMIFS(Disbursements!$T:$T,Disbursements!$B:$B,'Live Collections'!D1609,Disbursements!$D:$D,'Live Collections'!F1609))</f>
        <v>0</v>
      </c>
      <c r="S1609" s="304">
        <f>IF(O1609&lt;=IF($O1609=0,0,SUMIFS(Disbursements!$W:$W,Disbursements!$B:$B,'Live Collections'!D1389,Disbursements!$D:$D,'Live Collections'!F1389)),O1609,IF($O1609=0,0,SUMIFS(Disbursements!$W:$W,Disbursements!$B:$B,'Live Collections'!D1389,Disbursements!$D:$D,'Live Collections'!F1389)))</f>
        <v>0</v>
      </c>
      <c r="T1609" s="304">
        <f t="shared" si="78"/>
        <v>0</v>
      </c>
      <c r="U1609" s="52"/>
      <c r="V1609" s="34"/>
      <c r="W1609" s="408"/>
    </row>
    <row r="1610" spans="1:23" ht="12.75" customHeight="1" x14ac:dyDescent="0.2">
      <c r="A1610" s="257">
        <v>1592</v>
      </c>
      <c r="B1610" s="44">
        <v>44503</v>
      </c>
      <c r="C1610" s="44">
        <f t="shared" si="76"/>
        <v>44503</v>
      </c>
      <c r="D1610" s="374">
        <v>108</v>
      </c>
      <c r="E1610" s="291" t="str">
        <f>IFERROR(VLOOKUP($D1610,'Clients-Live'!$A:$C,3,0),"")</f>
        <v>DUDU JOICE</v>
      </c>
      <c r="F1610" s="291">
        <f>IFERROR(INDEX(Disbursements!$D:$D,MATCH('Live Collections'!G1610,Disbursements!$C:$C,0)),"")</f>
        <v>1</v>
      </c>
      <c r="G1610" s="34">
        <v>91</v>
      </c>
      <c r="H1610" s="34">
        <v>3237</v>
      </c>
      <c r="I1610" s="34" t="s">
        <v>1359</v>
      </c>
      <c r="J1610" s="48"/>
      <c r="K1610" s="48"/>
      <c r="L1610" s="48"/>
      <c r="M1610" s="48"/>
      <c r="N1610" s="59"/>
      <c r="O1610" s="59">
        <v>60000</v>
      </c>
      <c r="P1610" s="59"/>
      <c r="Q1610" s="268">
        <f t="shared" si="77"/>
        <v>60000</v>
      </c>
      <c r="R1610" s="61">
        <f>IF(O1610=0,0,SUMIFS(Disbursements!$T:$T,Disbursements!$B:$B,'Live Collections'!D1610,Disbursements!$D:$D,'Live Collections'!F1610))</f>
        <v>180000</v>
      </c>
      <c r="S1610" s="64">
        <v>19333.333333333314</v>
      </c>
      <c r="T1610" s="304">
        <f t="shared" si="78"/>
        <v>40666.666666666686</v>
      </c>
      <c r="U1610" s="52"/>
      <c r="V1610" s="34"/>
      <c r="W1610" s="408"/>
    </row>
    <row r="1611" spans="1:23" ht="12.75" customHeight="1" x14ac:dyDescent="0.2">
      <c r="A1611" s="257">
        <v>1598</v>
      </c>
      <c r="B1611" s="44">
        <v>44503</v>
      </c>
      <c r="C1611" s="44">
        <f t="shared" si="76"/>
        <v>44503</v>
      </c>
      <c r="D1611" s="374">
        <v>108</v>
      </c>
      <c r="E1611" s="291" t="str">
        <f>IFERROR(VLOOKUP($D1611,'Clients-Live'!$A:$C,3,0),"")</f>
        <v>DUDU JOICE</v>
      </c>
      <c r="F1611" s="291" t="str">
        <f>IFERROR(INDEX(Disbursements!$D:$D,MATCH('Live Collections'!G1611,Disbursements!$C:$C,0)),"")</f>
        <v/>
      </c>
      <c r="G1611" s="34"/>
      <c r="H1611" s="34">
        <v>3239</v>
      </c>
      <c r="I1611" s="34" t="s">
        <v>1357</v>
      </c>
      <c r="J1611" s="48"/>
      <c r="K1611" s="48"/>
      <c r="L1611" s="48">
        <v>15000</v>
      </c>
      <c r="M1611" s="48">
        <v>5000</v>
      </c>
      <c r="N1611" s="59"/>
      <c r="O1611" s="59"/>
      <c r="P1611" s="59"/>
      <c r="Q1611" s="268">
        <f t="shared" si="77"/>
        <v>20000</v>
      </c>
      <c r="R1611" s="61">
        <f>IF(O1611=0,0,SUMIFS(Disbursements!$T:$T,Disbursements!$B:$B,'Live Collections'!D1611,Disbursements!$D:$D,'Live Collections'!F1611))</f>
        <v>0</v>
      </c>
      <c r="S1611" s="304">
        <f>IF(O1611&lt;=IF($O1611=0,0,SUMIFS(Disbursements!$W:$W,Disbursements!$B:$B,'Live Collections'!D1391,Disbursements!$D:$D,'Live Collections'!F1391)),O1611,IF($O1611=0,0,SUMIFS(Disbursements!$W:$W,Disbursements!$B:$B,'Live Collections'!D1391,Disbursements!$D:$D,'Live Collections'!F1391)))</f>
        <v>0</v>
      </c>
      <c r="T1611" s="304">
        <f t="shared" si="78"/>
        <v>0</v>
      </c>
      <c r="U1611" s="52"/>
      <c r="V1611" s="34"/>
      <c r="W1611" s="408"/>
    </row>
    <row r="1612" spans="1:23" ht="12.75" customHeight="1" x14ac:dyDescent="0.2">
      <c r="A1612" s="257">
        <v>1607</v>
      </c>
      <c r="B1612" s="44">
        <v>44503</v>
      </c>
      <c r="C1612" s="44">
        <f t="shared" si="76"/>
        <v>44503</v>
      </c>
      <c r="D1612" s="374">
        <v>148</v>
      </c>
      <c r="E1612" s="291" t="str">
        <f>IFERROR(VLOOKUP($D1612,'Clients-Live'!$A:$C,3,0),"")</f>
        <v>GBOKA ZAIDA</v>
      </c>
      <c r="F1612" s="291" t="str">
        <f>IFERROR(INDEX(Disbursements!$D:$D,MATCH('Live Collections'!G1612,Disbursements!$C:$C,0)),"")</f>
        <v/>
      </c>
      <c r="G1612" s="34"/>
      <c r="H1612" s="34">
        <v>3275</v>
      </c>
      <c r="I1612" s="34" t="s">
        <v>1359</v>
      </c>
      <c r="J1612" s="48"/>
      <c r="K1612" s="48"/>
      <c r="L1612" s="48"/>
      <c r="M1612" s="48"/>
      <c r="N1612" s="59"/>
      <c r="O1612" s="59"/>
      <c r="P1612" s="59">
        <v>50000</v>
      </c>
      <c r="Q1612" s="268">
        <f t="shared" si="77"/>
        <v>50000</v>
      </c>
      <c r="R1612" s="61">
        <f>IF(O1612=0,0,SUMIFS(Disbursements!$T:$T,Disbursements!$B:$B,'Live Collections'!D1612,Disbursements!$D:$D,'Live Collections'!F1612))</f>
        <v>0</v>
      </c>
      <c r="S1612" s="304">
        <f>IF(O1612&lt;=IF($O1612=0,0,SUMIFS(Disbursements!$W:$W,Disbursements!$B:$B,'Live Collections'!D1875,Disbursements!$D:$D,'Live Collections'!F1875)),O1612,IF($O1612=0,0,SUMIFS(Disbursements!$W:$W,Disbursements!$B:$B,'Live Collections'!D1875,Disbursements!$D:$D,'Live Collections'!F1875)))</f>
        <v>0</v>
      </c>
      <c r="T1612" s="304">
        <f t="shared" si="78"/>
        <v>0</v>
      </c>
      <c r="U1612" s="52"/>
      <c r="V1612" s="34"/>
      <c r="W1612" s="408"/>
    </row>
    <row r="1613" spans="1:23" ht="12.75" customHeight="1" x14ac:dyDescent="0.2">
      <c r="A1613" s="257">
        <v>1586</v>
      </c>
      <c r="B1613" s="44">
        <v>44503</v>
      </c>
      <c r="C1613" s="44">
        <f t="shared" si="76"/>
        <v>44503</v>
      </c>
      <c r="D1613" s="374">
        <v>168</v>
      </c>
      <c r="E1613" s="291" t="str">
        <f>IFERROR(VLOOKUP($D1613,'Clients-Live'!$A:$C,3,0),"")</f>
        <v>ALORO FREDERICK</v>
      </c>
      <c r="F1613" s="291">
        <f>IFERROR(INDEX(Disbursements!$D:$D,MATCH('Live Collections'!G1613,Disbursements!$C:$C,0)),"")</f>
        <v>1</v>
      </c>
      <c r="G1613" s="34">
        <v>159</v>
      </c>
      <c r="H1613" s="34">
        <v>3230</v>
      </c>
      <c r="I1613" s="34" t="s">
        <v>1357</v>
      </c>
      <c r="J1613" s="48"/>
      <c r="K1613" s="48"/>
      <c r="L1613" s="48"/>
      <c r="M1613" s="48"/>
      <c r="N1613" s="59"/>
      <c r="O1613" s="59">
        <v>1250000</v>
      </c>
      <c r="P1613" s="59"/>
      <c r="Q1613" s="268">
        <f t="shared" si="77"/>
        <v>1250000</v>
      </c>
      <c r="R1613" s="61">
        <f>IF(O1613=0,0,SUMIFS(Disbursements!$T:$T,Disbursements!$B:$B,'Live Collections'!D1613,Disbursements!$D:$D,'Live Collections'!F1613))</f>
        <v>1250000</v>
      </c>
      <c r="S1613" s="304">
        <f>IF(O1613&lt;=IF($O1613=0,0,SUMIFS(Disbursements!$W:$W,Disbursements!$B:$B,'Live Collections'!D2065,Disbursements!$D:$D,'Live Collections'!F2065)),O1613,IF($O1613=0,0,SUMIFS(Disbursements!$W:$W,Disbursements!$B:$B,'Live Collections'!D2065,Disbursements!$D:$D,'Live Collections'!F2065)))</f>
        <v>0</v>
      </c>
      <c r="T1613" s="304">
        <f t="shared" si="78"/>
        <v>1250000</v>
      </c>
      <c r="U1613" s="52"/>
      <c r="V1613" s="34"/>
      <c r="W1613" s="408"/>
    </row>
    <row r="1614" spans="1:23" ht="12.75" customHeight="1" x14ac:dyDescent="0.2">
      <c r="A1614" s="257">
        <v>1602</v>
      </c>
      <c r="B1614" s="44">
        <v>44503</v>
      </c>
      <c r="C1614" s="44">
        <f t="shared" si="76"/>
        <v>44503</v>
      </c>
      <c r="D1614" s="374">
        <v>170</v>
      </c>
      <c r="E1614" s="291" t="str">
        <f>IFERROR(VLOOKUP($D1614,'Clients-Live'!$A:$C,3,0),"")</f>
        <v xml:space="preserve">KABEBI RAIMA </v>
      </c>
      <c r="F1614" s="291" t="str">
        <f>IFERROR(INDEX(Disbursements!$D:$D,MATCH('Live Collections'!G1614,Disbursements!$C:$C,0)),"")</f>
        <v/>
      </c>
      <c r="G1614" s="34"/>
      <c r="H1614" s="34">
        <v>3272</v>
      </c>
      <c r="I1614" s="34" t="s">
        <v>1357</v>
      </c>
      <c r="J1614" s="48"/>
      <c r="K1614" s="48"/>
      <c r="L1614" s="48"/>
      <c r="M1614" s="48"/>
      <c r="N1614" s="59"/>
      <c r="O1614" s="59"/>
      <c r="P1614" s="59">
        <v>50000</v>
      </c>
      <c r="Q1614" s="268">
        <f t="shared" si="77"/>
        <v>50000</v>
      </c>
      <c r="R1614" s="61">
        <f>IF(O1614=0,0,SUMIFS(Disbursements!$T:$T,Disbursements!$B:$B,'Live Collections'!D1614,Disbursements!$D:$D,'Live Collections'!F1614))</f>
        <v>0</v>
      </c>
      <c r="S1614" s="304">
        <f>IF(O1614&lt;=IF($O1614=0,0,SUMIFS(Disbursements!$W:$W,Disbursements!$B:$B,'Live Collections'!D2117,Disbursements!$D:$D,'Live Collections'!F2117)),O1614,IF($O1614=0,0,SUMIFS(Disbursements!$W:$W,Disbursements!$B:$B,'Live Collections'!D2117,Disbursements!$D:$D,'Live Collections'!F2117)))</f>
        <v>0</v>
      </c>
      <c r="T1614" s="304">
        <f t="shared" si="78"/>
        <v>0</v>
      </c>
      <c r="U1614" s="52"/>
      <c r="V1614" s="34"/>
      <c r="W1614" s="408"/>
    </row>
    <row r="1615" spans="1:23" ht="12.75" customHeight="1" x14ac:dyDescent="0.2">
      <c r="A1615" s="257">
        <v>1600</v>
      </c>
      <c r="B1615" s="44">
        <v>44503</v>
      </c>
      <c r="C1615" s="44">
        <f t="shared" si="76"/>
        <v>44503</v>
      </c>
      <c r="D1615" s="374">
        <v>176</v>
      </c>
      <c r="E1615" s="291" t="str">
        <f>IFERROR(VLOOKUP($D1615,'Clients-Live'!$A:$C,3,0),"")</f>
        <v>AJONYE JANE SINANDUGU</v>
      </c>
      <c r="F1615" s="291" t="str">
        <f>IFERROR(INDEX(Disbursements!$D:$D,MATCH('Live Collections'!G1615,Disbursements!$C:$C,0)),"")</f>
        <v/>
      </c>
      <c r="G1615" s="34"/>
      <c r="H1615" s="34">
        <v>3245</v>
      </c>
      <c r="I1615" s="34" t="s">
        <v>1358</v>
      </c>
      <c r="J1615" s="48"/>
      <c r="K1615" s="48"/>
      <c r="L1615" s="48"/>
      <c r="M1615" s="48"/>
      <c r="N1615" s="59"/>
      <c r="O1615" s="59"/>
      <c r="P1615" s="59">
        <v>300000</v>
      </c>
      <c r="Q1615" s="268">
        <f t="shared" si="77"/>
        <v>300000</v>
      </c>
      <c r="R1615" s="61">
        <f>IF(O1615=0,0,SUMIFS(Disbursements!$T:$T,Disbursements!$B:$B,'Live Collections'!D1615,Disbursements!$D:$D,'Live Collections'!F1615))</f>
        <v>0</v>
      </c>
      <c r="S1615" s="304">
        <f>IF(O1615&lt;=IF($O1615=0,0,SUMIFS(Disbursements!$W:$W,Disbursements!$B:$B,'Live Collections'!D2158,Disbursements!$D:$D,'Live Collections'!F2158)),O1615,IF($O1615=0,0,SUMIFS(Disbursements!$W:$W,Disbursements!$B:$B,'Live Collections'!D2158,Disbursements!$D:$D,'Live Collections'!F2158)))</f>
        <v>0</v>
      </c>
      <c r="T1615" s="304">
        <f t="shared" si="78"/>
        <v>0</v>
      </c>
      <c r="U1615" s="52"/>
      <c r="V1615" s="34"/>
      <c r="W1615" s="408"/>
    </row>
    <row r="1616" spans="1:23" ht="12.75" customHeight="1" x14ac:dyDescent="0.2">
      <c r="A1616" s="257">
        <v>1589</v>
      </c>
      <c r="B1616" s="44">
        <v>44503</v>
      </c>
      <c r="C1616" s="44">
        <f t="shared" si="76"/>
        <v>44503</v>
      </c>
      <c r="D1616" s="374">
        <v>205</v>
      </c>
      <c r="E1616" s="291" t="str">
        <f>IFERROR(VLOOKUP($D1616,'Clients-Live'!$A:$C,3,0),"")</f>
        <v>OPIRU ALICE</v>
      </c>
      <c r="F1616" s="291">
        <f>IFERROR(INDEX(Disbursements!$D:$D,MATCH('Live Collections'!G1616,Disbursements!$C:$C,0)),"")</f>
        <v>1</v>
      </c>
      <c r="G1616" s="34">
        <v>212</v>
      </c>
      <c r="H1616" s="34">
        <v>3241</v>
      </c>
      <c r="I1616" s="34" t="s">
        <v>1359</v>
      </c>
      <c r="J1616" s="48"/>
      <c r="K1616" s="48"/>
      <c r="L1616" s="48"/>
      <c r="M1616" s="48"/>
      <c r="N1616" s="59"/>
      <c r="O1616" s="59">
        <v>60000</v>
      </c>
      <c r="P1616" s="59"/>
      <c r="Q1616" s="268">
        <f t="shared" si="77"/>
        <v>60000</v>
      </c>
      <c r="R1616" s="61">
        <f>IF(O1616=0,0,SUMIFS(Disbursements!$T:$T,Disbursements!$B:$B,'Live Collections'!D1616,Disbursements!$D:$D,'Live Collections'!F1616))</f>
        <v>30000</v>
      </c>
      <c r="S1616" s="304"/>
      <c r="T1616" s="304">
        <f t="shared" si="78"/>
        <v>60000</v>
      </c>
      <c r="U1616" s="52"/>
      <c r="V1616" s="34"/>
      <c r="W1616" s="408"/>
    </row>
    <row r="1617" spans="1:23" ht="12.75" customHeight="1" x14ac:dyDescent="0.2">
      <c r="A1617" s="257">
        <v>1587</v>
      </c>
      <c r="B1617" s="44">
        <v>44503</v>
      </c>
      <c r="C1617" s="44">
        <f t="shared" si="76"/>
        <v>44503</v>
      </c>
      <c r="D1617" s="374">
        <v>217</v>
      </c>
      <c r="E1617" s="291" t="str">
        <f>IFERROR(VLOOKUP($D1617,'Clients-Live'!$A:$C,3,0),"")</f>
        <v>JAMBA MOSES</v>
      </c>
      <c r="F1617" s="291">
        <f>IFERROR(INDEX(Disbursements!$D:$D,MATCH('Live Collections'!G1617,Disbursements!$C:$C,0)),"")</f>
        <v>1</v>
      </c>
      <c r="G1617" s="34">
        <v>217</v>
      </c>
      <c r="H1617" s="34">
        <v>3264</v>
      </c>
      <c r="I1617" s="34" t="s">
        <v>1357</v>
      </c>
      <c r="J1617" s="48"/>
      <c r="K1617" s="48"/>
      <c r="L1617" s="48"/>
      <c r="M1617" s="48"/>
      <c r="N1617" s="59"/>
      <c r="O1617" s="59">
        <v>82500</v>
      </c>
      <c r="P1617" s="59"/>
      <c r="Q1617" s="268">
        <f t="shared" si="77"/>
        <v>82500</v>
      </c>
      <c r="R1617" s="61">
        <f>IF(O1617=0,0,SUMIFS(Disbursements!$T:$T,Disbursements!$B:$B,'Live Collections'!D1617,Disbursements!$D:$D,'Live Collections'!F1617))</f>
        <v>165000</v>
      </c>
      <c r="S1617" s="304">
        <f>IF(O1617&lt;=IF($O1617=0,0,SUMIFS(Disbursements!$W:$W,Disbursements!$B:$B,'Live Collections'!D2556,Disbursements!$D:$D,'Live Collections'!F2556)),O1617,IF($O1617=0,0,SUMIFS(Disbursements!$W:$W,Disbursements!$B:$B,'Live Collections'!D2556,Disbursements!$D:$D,'Live Collections'!F2556)))</f>
        <v>0</v>
      </c>
      <c r="T1617" s="304">
        <f t="shared" si="78"/>
        <v>82500</v>
      </c>
      <c r="U1617" s="52"/>
      <c r="V1617" s="34"/>
      <c r="W1617" s="408"/>
    </row>
    <row r="1618" spans="1:23" ht="12.75" customHeight="1" x14ac:dyDescent="0.2">
      <c r="A1618" s="257">
        <v>1608</v>
      </c>
      <c r="B1618" s="44">
        <v>44503</v>
      </c>
      <c r="C1618" s="44">
        <f t="shared" si="76"/>
        <v>44503</v>
      </c>
      <c r="D1618" s="374">
        <v>251</v>
      </c>
      <c r="E1618" s="291" t="str">
        <f>IFERROR(VLOOKUP($D1618,'Clients-Live'!$A:$C,3,0),"")</f>
        <v>SIDA ZAINABU</v>
      </c>
      <c r="F1618" s="291">
        <f>IFERROR(INDEX(Disbursements!$D:$D,MATCH('Live Collections'!G1618,Disbursements!$C:$C,0)),"")</f>
        <v>1</v>
      </c>
      <c r="G1618" s="34">
        <v>306</v>
      </c>
      <c r="H1618" s="34">
        <v>3279</v>
      </c>
      <c r="I1618" s="34" t="s">
        <v>1359</v>
      </c>
      <c r="J1618" s="48"/>
      <c r="K1618" s="48"/>
      <c r="L1618" s="48"/>
      <c r="M1618" s="48"/>
      <c r="N1618" s="59"/>
      <c r="O1618" s="59"/>
      <c r="P1618" s="59">
        <v>40000</v>
      </c>
      <c r="Q1618" s="268">
        <f t="shared" si="77"/>
        <v>40000</v>
      </c>
      <c r="R1618" s="61">
        <f>IF(O1618=0,0,SUMIFS(Disbursements!$T:$T,Disbursements!$B:$B,'Live Collections'!D1618,Disbursements!$D:$D,'Live Collections'!F1618))</f>
        <v>0</v>
      </c>
      <c r="S1618" s="304">
        <f>IF(O1618&lt;=IF($O1618=0,0,SUMIFS(Disbursements!$W:$W,Disbursements!$B:$B,'Live Collections'!D2821,Disbursements!$D:$D,'Live Collections'!F2821)),O1618,IF($O1618=0,0,SUMIFS(Disbursements!$W:$W,Disbursements!$B:$B,'Live Collections'!D2821,Disbursements!$D:$D,'Live Collections'!F2821)))</f>
        <v>0</v>
      </c>
      <c r="T1618" s="304">
        <f t="shared" si="78"/>
        <v>0</v>
      </c>
      <c r="U1618" s="52"/>
      <c r="V1618" s="34"/>
      <c r="W1618" s="408"/>
    </row>
    <row r="1619" spans="1:23" ht="12.75" customHeight="1" x14ac:dyDescent="0.2">
      <c r="A1619" s="257">
        <v>1599</v>
      </c>
      <c r="B1619" s="44">
        <v>44503</v>
      </c>
      <c r="C1619" s="44">
        <f t="shared" si="76"/>
        <v>44503</v>
      </c>
      <c r="D1619" s="374">
        <v>260</v>
      </c>
      <c r="E1619" s="291" t="str">
        <f>IFERROR(VLOOKUP($D1619,'Clients-Live'!$A:$C,3,0),"")</f>
        <v>ATAYI GRACE</v>
      </c>
      <c r="F1619" s="291" t="str">
        <f>IFERROR(INDEX(Disbursements!$D:$D,MATCH('Live Collections'!G1619,Disbursements!$C:$C,0)),"")</f>
        <v/>
      </c>
      <c r="G1619" s="34"/>
      <c r="H1619" s="34">
        <v>3265</v>
      </c>
      <c r="I1619" s="34" t="s">
        <v>1357</v>
      </c>
      <c r="J1619" s="48"/>
      <c r="K1619" s="48"/>
      <c r="L1619" s="48"/>
      <c r="M1619" s="48"/>
      <c r="N1619" s="59"/>
      <c r="O1619" s="59"/>
      <c r="P1619" s="59">
        <v>30000</v>
      </c>
      <c r="Q1619" s="268">
        <f t="shared" si="77"/>
        <v>30000</v>
      </c>
      <c r="R1619" s="61">
        <f>IF(O1619=0,0,SUMIFS(Disbursements!$T:$T,Disbursements!$B:$B,'Live Collections'!D1619,Disbursements!$D:$D,'Live Collections'!F1619))</f>
        <v>0</v>
      </c>
      <c r="S1619" s="304">
        <f>IF(O1619&lt;=IF($O1619=0,0,SUMIFS(Disbursements!$W:$W,Disbursements!$B:$B,'Live Collections'!D2876,Disbursements!$D:$D,'Live Collections'!F2876)),O1619,IF($O1619=0,0,SUMIFS(Disbursements!$W:$W,Disbursements!$B:$B,'Live Collections'!D2876,Disbursements!$D:$D,'Live Collections'!F2876)))</f>
        <v>0</v>
      </c>
      <c r="T1619" s="304">
        <f t="shared" si="78"/>
        <v>0</v>
      </c>
      <c r="U1619" s="52"/>
      <c r="V1619" s="34"/>
      <c r="W1619" s="408"/>
    </row>
    <row r="1620" spans="1:23" ht="12.75" customHeight="1" x14ac:dyDescent="0.2">
      <c r="A1620" s="257">
        <v>1603</v>
      </c>
      <c r="B1620" s="44">
        <v>44503</v>
      </c>
      <c r="C1620" s="44">
        <f t="shared" si="76"/>
        <v>44503</v>
      </c>
      <c r="D1620" s="374">
        <v>263</v>
      </c>
      <c r="E1620" s="291" t="str">
        <f>IFERROR(VLOOKUP($D1620,'Clients-Live'!$A:$C,3,0),"")</f>
        <v>DATA SAFI DUIKI</v>
      </c>
      <c r="F1620" s="291" t="str">
        <f>IFERROR(INDEX(Disbursements!$D:$D,MATCH('Live Collections'!G1620,Disbursements!$C:$C,0)),"")</f>
        <v/>
      </c>
      <c r="G1620" s="34"/>
      <c r="H1620" s="34">
        <v>3273</v>
      </c>
      <c r="I1620" s="34" t="s">
        <v>1357</v>
      </c>
      <c r="J1620" s="48"/>
      <c r="K1620" s="48"/>
      <c r="L1620" s="48"/>
      <c r="M1620" s="48"/>
      <c r="N1620" s="59"/>
      <c r="O1620" s="59"/>
      <c r="P1620" s="59">
        <v>150000</v>
      </c>
      <c r="Q1620" s="268">
        <f t="shared" si="77"/>
        <v>150000</v>
      </c>
      <c r="R1620" s="61">
        <f>IF(O1620=0,0,SUMIFS(Disbursements!$T:$T,Disbursements!$B:$B,'Live Collections'!D1620,Disbursements!$D:$D,'Live Collections'!F1620))</f>
        <v>0</v>
      </c>
      <c r="S1620" s="304">
        <f>IF(O1620&lt;=IF($O1620=0,0,SUMIFS(Disbursements!$W:$W,Disbursements!$B:$B,'Live Collections'!D2901,Disbursements!$D:$D,'Live Collections'!F2901)),O1620,IF($O1620=0,0,SUMIFS(Disbursements!$W:$W,Disbursements!$B:$B,'Live Collections'!D2901,Disbursements!$D:$D,'Live Collections'!F2901)))</f>
        <v>0</v>
      </c>
      <c r="T1620" s="304">
        <f t="shared" si="78"/>
        <v>0</v>
      </c>
      <c r="U1620" s="52"/>
      <c r="V1620" s="34"/>
      <c r="W1620" s="408"/>
    </row>
    <row r="1621" spans="1:23" ht="12.75" customHeight="1" x14ac:dyDescent="0.2">
      <c r="A1621" s="257">
        <v>1595</v>
      </c>
      <c r="B1621" s="44">
        <v>44503</v>
      </c>
      <c r="C1621" s="44">
        <f t="shared" si="76"/>
        <v>44503</v>
      </c>
      <c r="D1621" s="374">
        <v>275</v>
      </c>
      <c r="E1621" s="291" t="str">
        <f>IFERROR(VLOOKUP($D1621,'Clients-Live'!$A:$C,3,0),"")</f>
        <v>AMILE RUKIA</v>
      </c>
      <c r="F1621" s="291" t="str">
        <f>IFERROR(INDEX(Disbursements!$D:$D,MATCH('Live Collections'!G1621,Disbursements!$C:$C,0)),"")</f>
        <v/>
      </c>
      <c r="G1621" s="34"/>
      <c r="H1621" s="34">
        <v>3231</v>
      </c>
      <c r="I1621" s="34" t="s">
        <v>1716</v>
      </c>
      <c r="J1621" s="48">
        <v>15000</v>
      </c>
      <c r="K1621" s="48">
        <v>5000</v>
      </c>
      <c r="L1621" s="48"/>
      <c r="M1621" s="48"/>
      <c r="N1621" s="59"/>
      <c r="O1621" s="59"/>
      <c r="P1621" s="59"/>
      <c r="Q1621" s="268">
        <f t="shared" si="77"/>
        <v>20000</v>
      </c>
      <c r="R1621" s="61">
        <f>IF(O1621=0,0,SUMIFS(Disbursements!$T:$T,Disbursements!$B:$B,'Live Collections'!D1621,Disbursements!$D:$D,'Live Collections'!F1621))</f>
        <v>0</v>
      </c>
      <c r="S1621" s="304">
        <f>IF(O1621&lt;=IF($O1621=0,0,SUMIFS(Disbursements!$W:$W,Disbursements!$B:$B,'Live Collections'!D2982,Disbursements!$D:$D,'Live Collections'!F2982)),O1621,IF($O1621=0,0,SUMIFS(Disbursements!$W:$W,Disbursements!$B:$B,'Live Collections'!D2982,Disbursements!$D:$D,'Live Collections'!F2982)))</f>
        <v>0</v>
      </c>
      <c r="T1621" s="304">
        <f t="shared" si="78"/>
        <v>0</v>
      </c>
      <c r="U1621" s="52"/>
      <c r="V1621" s="34"/>
      <c r="W1621" s="408"/>
    </row>
    <row r="1622" spans="1:23" ht="12.75" customHeight="1" x14ac:dyDescent="0.2">
      <c r="A1622" s="257">
        <v>1606</v>
      </c>
      <c r="B1622" s="44">
        <v>44503</v>
      </c>
      <c r="C1622" s="44">
        <f t="shared" si="76"/>
        <v>44503</v>
      </c>
      <c r="D1622" s="374">
        <v>275</v>
      </c>
      <c r="E1622" s="291" t="str">
        <f>IFERROR(VLOOKUP($D1622,'Clients-Live'!$A:$C,3,0),"")</f>
        <v>AMILE RUKIA</v>
      </c>
      <c r="F1622" s="291" t="str">
        <f>IFERROR(INDEX(Disbursements!$D:$D,MATCH('Live Collections'!G1622,Disbursements!$C:$C,0)),"")</f>
        <v/>
      </c>
      <c r="G1622" s="34"/>
      <c r="H1622" s="34">
        <v>3248</v>
      </c>
      <c r="I1622" s="34" t="s">
        <v>1716</v>
      </c>
      <c r="J1622" s="48"/>
      <c r="K1622" s="48"/>
      <c r="L1622" s="48">
        <v>10000</v>
      </c>
      <c r="M1622" s="48">
        <v>5000</v>
      </c>
      <c r="N1622" s="59"/>
      <c r="O1622" s="59"/>
      <c r="P1622" s="59"/>
      <c r="Q1622" s="268">
        <f t="shared" si="77"/>
        <v>15000</v>
      </c>
      <c r="R1622" s="61">
        <f>IF(O1622=0,0,SUMIFS(Disbursements!$T:$T,Disbursements!$B:$B,'Live Collections'!D1622,Disbursements!$D:$D,'Live Collections'!F1622))</f>
        <v>0</v>
      </c>
      <c r="S1622" s="304">
        <f>IF(O1622&lt;=IF($O1622=0,0,SUMIFS(Disbursements!$W:$W,Disbursements!$B:$B,'Live Collections'!D2983,Disbursements!$D:$D,'Live Collections'!F2983)),O1622,IF($O1622=0,0,SUMIFS(Disbursements!$W:$W,Disbursements!$B:$B,'Live Collections'!D2983,Disbursements!$D:$D,'Live Collections'!F2983)))</f>
        <v>0</v>
      </c>
      <c r="T1622" s="304">
        <f t="shared" si="78"/>
        <v>0</v>
      </c>
      <c r="U1622" s="52"/>
      <c r="V1622" s="34"/>
      <c r="W1622" s="408"/>
    </row>
    <row r="1623" spans="1:23" ht="12.75" customHeight="1" x14ac:dyDescent="0.2">
      <c r="A1623" s="257">
        <v>1596</v>
      </c>
      <c r="B1623" s="44">
        <v>44503</v>
      </c>
      <c r="C1623" s="44">
        <f t="shared" si="76"/>
        <v>44503</v>
      </c>
      <c r="D1623" s="374">
        <v>276</v>
      </c>
      <c r="E1623" s="291" t="str">
        <f>IFERROR(VLOOKUP($D1623,'Clients-Live'!$A:$C,3,0),"")</f>
        <v>MANDELA SWAIBU</v>
      </c>
      <c r="F1623" s="291" t="str">
        <f>IFERROR(INDEX(Disbursements!$D:$D,MATCH('Live Collections'!G1623,Disbursements!$C:$C,0)),"")</f>
        <v/>
      </c>
      <c r="G1623" s="34"/>
      <c r="H1623" s="34">
        <v>3232</v>
      </c>
      <c r="I1623" s="34" t="s">
        <v>1736</v>
      </c>
      <c r="J1623" s="48">
        <v>15000</v>
      </c>
      <c r="K1623" s="48">
        <v>5000</v>
      </c>
      <c r="L1623" s="48"/>
      <c r="M1623" s="48"/>
      <c r="N1623" s="59"/>
      <c r="O1623" s="59"/>
      <c r="P1623" s="59"/>
      <c r="Q1623" s="268">
        <f t="shared" si="77"/>
        <v>20000</v>
      </c>
      <c r="R1623" s="61">
        <f>IF(O1623=0,0,SUMIFS(Disbursements!$T:$T,Disbursements!$B:$B,'Live Collections'!D1623,Disbursements!$D:$D,'Live Collections'!F1623))</f>
        <v>0</v>
      </c>
      <c r="S1623" s="304">
        <f>IF(O1623&lt;=IF($O1623=0,0,SUMIFS(Disbursements!$W:$W,Disbursements!$B:$B,'Live Collections'!D2984,Disbursements!$D:$D,'Live Collections'!F2984)),O1623,IF($O1623=0,0,SUMIFS(Disbursements!$W:$W,Disbursements!$B:$B,'Live Collections'!D2984,Disbursements!$D:$D,'Live Collections'!F2984)))</f>
        <v>0</v>
      </c>
      <c r="T1623" s="304">
        <f t="shared" si="78"/>
        <v>0</v>
      </c>
      <c r="U1623" s="52"/>
      <c r="V1623" s="34"/>
      <c r="W1623" s="408"/>
    </row>
    <row r="1624" spans="1:23" ht="12.75" customHeight="1" x14ac:dyDescent="0.2">
      <c r="A1624" s="257">
        <v>1597</v>
      </c>
      <c r="B1624" s="44">
        <v>44503</v>
      </c>
      <c r="C1624" s="44">
        <f t="shared" si="76"/>
        <v>44503</v>
      </c>
      <c r="D1624" s="374">
        <v>276</v>
      </c>
      <c r="E1624" s="291" t="str">
        <f>IFERROR(VLOOKUP($D1624,'Clients-Live'!$A:$C,3,0),"")</f>
        <v>MANDELA SWAIBU</v>
      </c>
      <c r="F1624" s="291" t="str">
        <f>IFERROR(INDEX(Disbursements!$D:$D,MATCH('Live Collections'!G1624,Disbursements!$C:$C,0)),"")</f>
        <v/>
      </c>
      <c r="G1624" s="34"/>
      <c r="H1624" s="34">
        <v>3238</v>
      </c>
      <c r="I1624" s="34" t="s">
        <v>1716</v>
      </c>
      <c r="J1624" s="48"/>
      <c r="K1624" s="48"/>
      <c r="L1624" s="48">
        <v>20000</v>
      </c>
      <c r="M1624" s="48">
        <v>5000</v>
      </c>
      <c r="N1624" s="59"/>
      <c r="O1624" s="59"/>
      <c r="P1624" s="59"/>
      <c r="Q1624" s="268">
        <f t="shared" si="77"/>
        <v>25000</v>
      </c>
      <c r="R1624" s="61">
        <f>IF(O1624=0,0,SUMIFS(Disbursements!$T:$T,Disbursements!$B:$B,'Live Collections'!D1624,Disbursements!$D:$D,'Live Collections'!F1624))</f>
        <v>0</v>
      </c>
      <c r="S1624" s="304">
        <f>IF(O1624&lt;=IF($O1624=0,0,SUMIFS(Disbursements!$W:$W,Disbursements!$B:$B,'Live Collections'!D2985,Disbursements!$D:$D,'Live Collections'!F2985)),O1624,IF($O1624=0,0,SUMIFS(Disbursements!$W:$W,Disbursements!$B:$B,'Live Collections'!D2985,Disbursements!$D:$D,'Live Collections'!F2985)))</f>
        <v>0</v>
      </c>
      <c r="T1624" s="304">
        <f t="shared" si="78"/>
        <v>0</v>
      </c>
      <c r="U1624" s="52"/>
      <c r="V1624" s="34"/>
      <c r="W1624" s="408"/>
    </row>
    <row r="1625" spans="1:23" ht="12.75" customHeight="1" x14ac:dyDescent="0.2">
      <c r="A1625" s="257">
        <v>1593</v>
      </c>
      <c r="B1625" s="44">
        <v>44503</v>
      </c>
      <c r="C1625" s="44">
        <f t="shared" si="76"/>
        <v>44503</v>
      </c>
      <c r="D1625" s="374">
        <v>278</v>
      </c>
      <c r="E1625" s="291" t="str">
        <f>IFERROR(VLOOKUP($D1625,'Clients-Live'!$A:$C,3,0),"")</f>
        <v>AATE SUZAN</v>
      </c>
      <c r="F1625" s="291" t="str">
        <f>IFERROR(INDEX(Disbursements!$D:$D,MATCH('Live Collections'!G1625,Disbursements!$C:$C,0)),"")</f>
        <v/>
      </c>
      <c r="G1625" s="34"/>
      <c r="H1625" s="34">
        <v>3236</v>
      </c>
      <c r="I1625" s="34" t="s">
        <v>1736</v>
      </c>
      <c r="J1625" s="48">
        <v>15000</v>
      </c>
      <c r="K1625" s="48">
        <v>5000</v>
      </c>
      <c r="L1625" s="48"/>
      <c r="M1625" s="48"/>
      <c r="N1625" s="59"/>
      <c r="O1625" s="59"/>
      <c r="P1625" s="59"/>
      <c r="Q1625" s="268">
        <f t="shared" si="77"/>
        <v>20000</v>
      </c>
      <c r="R1625" s="61">
        <f>IF(O1625=0,0,SUMIFS(Disbursements!$T:$T,Disbursements!$B:$B,'Live Collections'!D1625,Disbursements!$D:$D,'Live Collections'!F1625))</f>
        <v>0</v>
      </c>
      <c r="S1625" s="304">
        <f>IF(O1625&lt;=IF($O1625=0,0,SUMIFS(Disbursements!$W:$W,Disbursements!$B:$B,'Live Collections'!D2998,Disbursements!$D:$D,'Live Collections'!F2998)),O1625,IF($O1625=0,0,SUMIFS(Disbursements!$W:$W,Disbursements!$B:$B,'Live Collections'!D2998,Disbursements!$D:$D,'Live Collections'!F2998)))</f>
        <v>0</v>
      </c>
      <c r="T1625" s="304">
        <f t="shared" si="78"/>
        <v>0</v>
      </c>
      <c r="U1625" s="52"/>
      <c r="V1625" s="34"/>
      <c r="W1625" s="408"/>
    </row>
    <row r="1626" spans="1:23" ht="12.75" customHeight="1" x14ac:dyDescent="0.2">
      <c r="A1626" s="257">
        <v>1594</v>
      </c>
      <c r="B1626" s="44">
        <v>44503</v>
      </c>
      <c r="C1626" s="44">
        <f t="shared" si="76"/>
        <v>44503</v>
      </c>
      <c r="D1626" s="374">
        <v>278</v>
      </c>
      <c r="E1626" s="291" t="str">
        <f>IFERROR(VLOOKUP($D1626,'Clients-Live'!$A:$C,3,0),"")</f>
        <v>AATE SUZAN</v>
      </c>
      <c r="F1626" s="291" t="str">
        <f>IFERROR(INDEX(Disbursements!$D:$D,MATCH('Live Collections'!G1626,Disbursements!$C:$C,0)),"")</f>
        <v/>
      </c>
      <c r="G1626" s="34"/>
      <c r="H1626" s="34">
        <v>3235</v>
      </c>
      <c r="I1626" s="34" t="s">
        <v>1736</v>
      </c>
      <c r="J1626" s="48"/>
      <c r="K1626" s="48"/>
      <c r="L1626" s="48">
        <v>10000</v>
      </c>
      <c r="M1626" s="48">
        <v>5000</v>
      </c>
      <c r="N1626" s="59"/>
      <c r="O1626" s="59"/>
      <c r="P1626" s="59"/>
      <c r="Q1626" s="268">
        <f t="shared" si="77"/>
        <v>15000</v>
      </c>
      <c r="R1626" s="61">
        <f>IF(O1626=0,0,SUMIFS(Disbursements!$T:$T,Disbursements!$B:$B,'Live Collections'!D1626,Disbursements!$D:$D,'Live Collections'!F1626))</f>
        <v>0</v>
      </c>
      <c r="S1626" s="304">
        <f>IF(O1626&lt;=IF($O1626=0,0,SUMIFS(Disbursements!$W:$W,Disbursements!$B:$B,'Live Collections'!D2999,Disbursements!$D:$D,'Live Collections'!F2999)),O1626,IF($O1626=0,0,SUMIFS(Disbursements!$W:$W,Disbursements!$B:$B,'Live Collections'!D2999,Disbursements!$D:$D,'Live Collections'!F2999)))</f>
        <v>0</v>
      </c>
      <c r="T1626" s="304">
        <f t="shared" si="78"/>
        <v>0</v>
      </c>
      <c r="U1626" s="52"/>
      <c r="V1626" s="34"/>
      <c r="W1626" s="408"/>
    </row>
    <row r="1627" spans="1:23" ht="12.75" customHeight="1" x14ac:dyDescent="0.2">
      <c r="A1627" s="257">
        <v>1620</v>
      </c>
      <c r="B1627" s="44">
        <v>44504</v>
      </c>
      <c r="C1627" s="44">
        <f t="shared" si="76"/>
        <v>44504</v>
      </c>
      <c r="D1627" s="374">
        <v>13</v>
      </c>
      <c r="E1627" s="291" t="str">
        <f>IFERROR(VLOOKUP($D1627,'Clients-Live'!$A:$C,3,0),"")</f>
        <v>ALLONE AMOS DAMAI</v>
      </c>
      <c r="F1627" s="291">
        <f>IFERROR(INDEX(Disbursements!$D:$D,MATCH('Live Collections'!G1627,Disbursements!$C:$C,0)),"")</f>
        <v>1</v>
      </c>
      <c r="G1627" s="34">
        <v>67</v>
      </c>
      <c r="H1627" s="34">
        <v>3288</v>
      </c>
      <c r="I1627" s="34" t="s">
        <v>1359</v>
      </c>
      <c r="J1627" s="48"/>
      <c r="K1627" s="48"/>
      <c r="L1627" s="48"/>
      <c r="M1627" s="48"/>
      <c r="N1627" s="59"/>
      <c r="O1627" s="59">
        <v>116000</v>
      </c>
      <c r="P1627" s="59"/>
      <c r="Q1627" s="268">
        <f t="shared" si="77"/>
        <v>116000</v>
      </c>
      <c r="R1627" s="61">
        <f>IF(O1627=0,0,SUMIFS(Disbursements!$T:$T,Disbursements!$B:$B,'Live Collections'!D1627,Disbursements!$D:$D,'Live Collections'!F1627))</f>
        <v>217000</v>
      </c>
      <c r="S1627" s="304">
        <f>IF(O1627&lt;=IF($O1627=0,0,SUMIFS(Disbursements!$W:$W,Disbursements!$B:$B,'Live Collections'!D140,Disbursements!$D:$D,'Live Collections'!F140)),O1627,IF($O1627=0,0,SUMIFS(Disbursements!$W:$W,Disbursements!$B:$B,'Live Collections'!D140,Disbursements!$D:$D,'Live Collections'!F140)))</f>
        <v>0</v>
      </c>
      <c r="T1627" s="304">
        <f t="shared" si="78"/>
        <v>116000</v>
      </c>
      <c r="U1627" s="52"/>
      <c r="V1627" s="34"/>
      <c r="W1627" s="408"/>
    </row>
    <row r="1628" spans="1:23" ht="12.75" customHeight="1" x14ac:dyDescent="0.2">
      <c r="A1628" s="257">
        <v>1617</v>
      </c>
      <c r="B1628" s="44">
        <v>44504</v>
      </c>
      <c r="C1628" s="44">
        <f t="shared" si="76"/>
        <v>44504</v>
      </c>
      <c r="D1628" s="374">
        <v>42</v>
      </c>
      <c r="E1628" s="291" t="str">
        <f>IFERROR(VLOOKUP($D1628,'Clients-Live'!$A:$C,3,0),"")</f>
        <v>ABAU   NOLA</v>
      </c>
      <c r="F1628" s="291">
        <f>IFERROR(INDEX(Disbursements!$D:$D,MATCH('Live Collections'!G1628,Disbursements!$C:$C,0)),"")</f>
        <v>2</v>
      </c>
      <c r="G1628" s="34">
        <v>251</v>
      </c>
      <c r="H1628" s="34">
        <v>3035</v>
      </c>
      <c r="I1628" s="34" t="s">
        <v>1359</v>
      </c>
      <c r="J1628" s="48"/>
      <c r="K1628" s="48"/>
      <c r="L1628" s="48"/>
      <c r="M1628" s="48"/>
      <c r="N1628" s="59"/>
      <c r="O1628" s="59">
        <v>69000</v>
      </c>
      <c r="P1628" s="59"/>
      <c r="Q1628" s="268">
        <f t="shared" si="77"/>
        <v>69000</v>
      </c>
      <c r="R1628" s="61">
        <f>IF(O1628=0,0,SUMIFS(Disbursements!$T:$T,Disbursements!$B:$B,'Live Collections'!D1628,Disbursements!$D:$D,'Live Collections'!F1628))</f>
        <v>69000</v>
      </c>
      <c r="S1628" s="64">
        <v>27000</v>
      </c>
      <c r="T1628" s="304">
        <f t="shared" si="78"/>
        <v>42000</v>
      </c>
      <c r="U1628" s="52"/>
      <c r="V1628" s="34"/>
      <c r="W1628" s="408" t="s">
        <v>2086</v>
      </c>
    </row>
    <row r="1629" spans="1:23" ht="12.75" customHeight="1" x14ac:dyDescent="0.2">
      <c r="A1629" s="257">
        <v>1610</v>
      </c>
      <c r="B1629" s="44">
        <v>44504</v>
      </c>
      <c r="C1629" s="44">
        <f t="shared" si="76"/>
        <v>44504</v>
      </c>
      <c r="D1629" s="374">
        <v>44</v>
      </c>
      <c r="E1629" s="291" t="str">
        <f>IFERROR(VLOOKUP($D1629,'Clients-Live'!$A:$C,3,0),"")</f>
        <v>CANDIRU HELLEN</v>
      </c>
      <c r="F1629" s="291">
        <f>IFERROR(INDEX(Disbursements!$D:$D,MATCH('Live Collections'!G1629,Disbursements!$C:$C,0)),"")</f>
        <v>2</v>
      </c>
      <c r="G1629" s="34">
        <v>129</v>
      </c>
      <c r="H1629" s="34">
        <v>3157</v>
      </c>
      <c r="I1629" s="34" t="s">
        <v>1358</v>
      </c>
      <c r="J1629" s="48"/>
      <c r="K1629" s="48"/>
      <c r="L1629" s="48"/>
      <c r="M1629" s="48"/>
      <c r="N1629" s="59"/>
      <c r="O1629" s="59">
        <v>50000</v>
      </c>
      <c r="P1629" s="59"/>
      <c r="Q1629" s="268">
        <f t="shared" si="77"/>
        <v>50000</v>
      </c>
      <c r="R1629" s="61">
        <f>IF(O1629=0,0,SUMIFS(Disbursements!$T:$T,Disbursements!$B:$B,'Live Collections'!D1629,Disbursements!$D:$D,'Live Collections'!F1629))</f>
        <v>217000</v>
      </c>
      <c r="S1629" s="304">
        <f>IF(O1629&lt;=IF($O1629=0,0,SUMIFS(Disbursements!$W:$W,Disbursements!$B:$B,'Live Collections'!D491,Disbursements!$D:$D,'Live Collections'!F491)),O1629,IF($O1629=0,0,SUMIFS(Disbursements!$W:$W,Disbursements!$B:$B,'Live Collections'!D491,Disbursements!$D:$D,'Live Collections'!F491)))</f>
        <v>0</v>
      </c>
      <c r="T1629" s="304">
        <f t="shared" si="78"/>
        <v>50000</v>
      </c>
      <c r="U1629" s="52"/>
      <c r="V1629" s="34"/>
      <c r="W1629" s="408"/>
    </row>
    <row r="1630" spans="1:23" ht="12.75" customHeight="1" x14ac:dyDescent="0.2">
      <c r="A1630" s="257">
        <v>1618</v>
      </c>
      <c r="B1630" s="44">
        <v>44504</v>
      </c>
      <c r="C1630" s="44">
        <f t="shared" si="76"/>
        <v>44504</v>
      </c>
      <c r="D1630" s="374">
        <v>97</v>
      </c>
      <c r="E1630" s="291" t="str">
        <f>IFERROR(VLOOKUP($D1630,'Clients-Live'!$A:$C,3,0),"")</f>
        <v>DRANDUA JOB CHRISPUS</v>
      </c>
      <c r="F1630" s="291">
        <f>IFERROR(INDEX(Disbursements!$D:$D,MATCH('Live Collections'!G1630,Disbursements!$C:$C,0)),"")</f>
        <v>3</v>
      </c>
      <c r="G1630" s="34">
        <v>202</v>
      </c>
      <c r="H1630" s="34">
        <v>3289</v>
      </c>
      <c r="I1630" s="34" t="s">
        <v>1359</v>
      </c>
      <c r="J1630" s="48"/>
      <c r="K1630" s="48"/>
      <c r="L1630" s="48"/>
      <c r="M1630" s="48"/>
      <c r="N1630" s="59"/>
      <c r="O1630" s="59">
        <v>2000000</v>
      </c>
      <c r="P1630" s="59"/>
      <c r="Q1630" s="268">
        <f t="shared" si="77"/>
        <v>2000000</v>
      </c>
      <c r="R1630" s="61">
        <f>IF(O1630=0,0,SUMIFS(Disbursements!$T:$T,Disbursements!$B:$B,'Live Collections'!D1630,Disbursements!$D:$D,'Live Collections'!F1630))</f>
        <v>3834000</v>
      </c>
      <c r="S1630" s="304">
        <f>IF(O1630&lt;=IF($O1630=0,0,SUMIFS(Disbursements!$W:$W,Disbursements!$B:$B,'Live Collections'!D1683,Disbursements!$D:$D,'Live Collections'!F1683)),O1630,IF($O1630=0,0,SUMIFS(Disbursements!$W:$W,Disbursements!$B:$B,'Live Collections'!D1683,Disbursements!$D:$D,'Live Collections'!F1683)))</f>
        <v>150000</v>
      </c>
      <c r="T1630" s="304">
        <f t="shared" si="78"/>
        <v>1850000</v>
      </c>
      <c r="U1630" s="52"/>
      <c r="V1630" s="34"/>
      <c r="W1630" s="408"/>
    </row>
    <row r="1631" spans="1:23" ht="12.75" customHeight="1" x14ac:dyDescent="0.2">
      <c r="A1631" s="257">
        <v>1613</v>
      </c>
      <c r="B1631" s="44">
        <v>44504</v>
      </c>
      <c r="C1631" s="44">
        <f t="shared" si="76"/>
        <v>44504</v>
      </c>
      <c r="D1631" s="374">
        <v>107</v>
      </c>
      <c r="E1631" s="291" t="str">
        <f>IFERROR(VLOOKUP($D1631,'Clients-Live'!$A:$C,3,0),"")</f>
        <v>LAKONY PETER</v>
      </c>
      <c r="F1631" s="291">
        <f>IFERROR(INDEX(Disbursements!$D:$D,MATCH('Live Collections'!G1631,Disbursements!$C:$C,0)),"")</f>
        <v>1</v>
      </c>
      <c r="G1631" s="34">
        <v>96</v>
      </c>
      <c r="H1631" s="34">
        <v>3250</v>
      </c>
      <c r="I1631" s="34" t="s">
        <v>1357</v>
      </c>
      <c r="J1631" s="48"/>
      <c r="K1631" s="48"/>
      <c r="L1631" s="48"/>
      <c r="M1631" s="48"/>
      <c r="N1631" s="59"/>
      <c r="O1631" s="59">
        <v>50000</v>
      </c>
      <c r="P1631" s="59"/>
      <c r="Q1631" s="268">
        <f t="shared" si="77"/>
        <v>50000</v>
      </c>
      <c r="R1631" s="61">
        <f>IF(O1631=0,0,SUMIFS(Disbursements!$T:$T,Disbursements!$B:$B,'Live Collections'!D1631,Disbursements!$D:$D,'Live Collections'!F1631))</f>
        <v>82000</v>
      </c>
      <c r="S1631" s="304">
        <f>IF(O1631&lt;=IF($O1631=0,0,SUMIFS(Disbursements!$W:$W,Disbursements!$B:$B,'Live Collections'!D1382,Disbursements!$D:$D,'Live Collections'!F1382)),O1631,IF($O1631=0,0,SUMIFS(Disbursements!$W:$W,Disbursements!$B:$B,'Live Collections'!D1382,Disbursements!$D:$D,'Live Collections'!F1382)))</f>
        <v>0</v>
      </c>
      <c r="T1631" s="304">
        <f t="shared" si="78"/>
        <v>50000</v>
      </c>
      <c r="U1631" s="52"/>
      <c r="V1631" s="34"/>
      <c r="W1631" s="408"/>
    </row>
    <row r="1632" spans="1:23" ht="12.75" customHeight="1" x14ac:dyDescent="0.2">
      <c r="A1632" s="257">
        <v>1622</v>
      </c>
      <c r="B1632" s="44">
        <v>44504</v>
      </c>
      <c r="C1632" s="44">
        <f t="shared" si="76"/>
        <v>44504</v>
      </c>
      <c r="D1632" s="374">
        <v>147</v>
      </c>
      <c r="E1632" s="291" t="str">
        <f>IFERROR(VLOOKUP($D1632,'Clients-Live'!$A:$C,3,0),"")</f>
        <v>DRICIRU MARGRET</v>
      </c>
      <c r="F1632" s="291">
        <f>IFERROR(INDEX(Disbursements!$D:$D,MATCH('Live Collections'!G1632,Disbursements!$C:$C,0)),"")</f>
        <v>2</v>
      </c>
      <c r="G1632" s="34">
        <v>203</v>
      </c>
      <c r="H1632" s="34">
        <v>3286</v>
      </c>
      <c r="I1632" s="34" t="s">
        <v>1359</v>
      </c>
      <c r="J1632" s="48"/>
      <c r="K1632" s="48"/>
      <c r="L1632" s="48"/>
      <c r="M1632" s="48"/>
      <c r="N1632" s="59"/>
      <c r="O1632" s="59">
        <v>300000</v>
      </c>
      <c r="P1632" s="59"/>
      <c r="Q1632" s="268">
        <f t="shared" si="77"/>
        <v>300000</v>
      </c>
      <c r="R1632" s="61">
        <f>IF(O1632=0,0,SUMIFS(Disbursements!$T:$T,Disbursements!$B:$B,'Live Collections'!D1632,Disbursements!$D:$D,'Live Collections'!F1632))</f>
        <v>300000</v>
      </c>
      <c r="S1632" s="304">
        <f>IF(O1632&lt;=IF($O1632=0,0,SUMIFS(Disbursements!$W:$W,Disbursements!$B:$B,'Live Collections'!D1858,Disbursements!$D:$D,'Live Collections'!F1858)),O1632,IF($O1632=0,0,SUMIFS(Disbursements!$W:$W,Disbursements!$B:$B,'Live Collections'!D1858,Disbursements!$D:$D,'Live Collections'!F1858)))</f>
        <v>50333.333333333343</v>
      </c>
      <c r="T1632" s="304">
        <f t="shared" si="78"/>
        <v>249666.66666666666</v>
      </c>
      <c r="U1632" s="52"/>
      <c r="V1632" s="34"/>
      <c r="W1632" s="408"/>
    </row>
    <row r="1633" spans="1:23" ht="12.75" customHeight="1" x14ac:dyDescent="0.2">
      <c r="A1633" s="257">
        <v>1614</v>
      </c>
      <c r="B1633" s="44">
        <v>44504</v>
      </c>
      <c r="C1633" s="44">
        <f t="shared" si="76"/>
        <v>44504</v>
      </c>
      <c r="D1633" s="374">
        <v>157</v>
      </c>
      <c r="E1633" s="291" t="str">
        <f>IFERROR(VLOOKUP($D1633,'Clients-Live'!$A:$C,3,0),"")</f>
        <v>AYITE MARGERT</v>
      </c>
      <c r="F1633" s="291">
        <f>IFERROR(INDEX(Disbursements!$D:$D,MATCH('Live Collections'!G1633,Disbursements!$C:$C,0)),"")</f>
        <v>1</v>
      </c>
      <c r="G1633" s="34">
        <v>148</v>
      </c>
      <c r="H1633" s="34">
        <v>3154</v>
      </c>
      <c r="I1633" s="34" t="s">
        <v>1358</v>
      </c>
      <c r="J1633" s="48"/>
      <c r="K1633" s="48"/>
      <c r="L1633" s="48"/>
      <c r="M1633" s="48"/>
      <c r="N1633" s="59"/>
      <c r="O1633" s="59">
        <v>150000</v>
      </c>
      <c r="P1633" s="59"/>
      <c r="Q1633" s="268">
        <f t="shared" si="77"/>
        <v>150000</v>
      </c>
      <c r="R1633" s="61">
        <f>IF(O1633=0,0,SUMIFS(Disbursements!$T:$T,Disbursements!$B:$B,'Live Collections'!D1633,Disbursements!$D:$D,'Live Collections'!F1633))</f>
        <v>150000</v>
      </c>
      <c r="S1633" s="304">
        <f>IF(O1633&lt;=IF($O1633=0,0,SUMIFS(Disbursements!$W:$W,Disbursements!$B:$B,'Live Collections'!D1967,Disbursements!$D:$D,'Live Collections'!F1967)),O1633,IF($O1633=0,0,SUMIFS(Disbursements!$W:$W,Disbursements!$B:$B,'Live Collections'!D1967,Disbursements!$D:$D,'Live Collections'!F1967)))</f>
        <v>50000</v>
      </c>
      <c r="T1633" s="304">
        <f t="shared" si="78"/>
        <v>100000</v>
      </c>
      <c r="U1633" s="52"/>
      <c r="V1633" s="34"/>
      <c r="W1633" s="408"/>
    </row>
    <row r="1634" spans="1:23" ht="12.75" customHeight="1" x14ac:dyDescent="0.2">
      <c r="A1634" s="257">
        <v>1625</v>
      </c>
      <c r="B1634" s="44">
        <v>44504</v>
      </c>
      <c r="C1634" s="44">
        <f t="shared" si="76"/>
        <v>44504</v>
      </c>
      <c r="D1634" s="374">
        <v>159</v>
      </c>
      <c r="E1634" s="291" t="str">
        <f>IFERROR(VLOOKUP($D1634,'Clients-Live'!$A:$C,3,0),"")</f>
        <v>ALICE AMINA</v>
      </c>
      <c r="F1634" s="291">
        <f>IFERROR(INDEX(Disbursements!$D:$D,MATCH('Live Collections'!G1634,Disbursements!$C:$C,0)),"")</f>
        <v>1</v>
      </c>
      <c r="G1634" s="34">
        <v>150</v>
      </c>
      <c r="H1634" s="34">
        <v>3282</v>
      </c>
      <c r="I1634" s="34" t="s">
        <v>1358</v>
      </c>
      <c r="J1634" s="48"/>
      <c r="K1634" s="48"/>
      <c r="L1634" s="48"/>
      <c r="M1634" s="48"/>
      <c r="N1634" s="59"/>
      <c r="O1634" s="59">
        <v>50000</v>
      </c>
      <c r="P1634" s="59"/>
      <c r="Q1634" s="268">
        <f t="shared" si="77"/>
        <v>50000</v>
      </c>
      <c r="R1634" s="61">
        <f>IF(O1634=0,0,SUMIFS(Disbursements!$T:$T,Disbursements!$B:$B,'Live Collections'!D1634,Disbursements!$D:$D,'Live Collections'!F1634))</f>
        <v>150000</v>
      </c>
      <c r="S1634" s="304">
        <f>IF(O1634&lt;=IF($O1634=0,0,SUMIFS(Disbursements!$W:$W,Disbursements!$B:$B,'Live Collections'!D1984,Disbursements!$D:$D,'Live Collections'!F1984)),O1634,IF($O1634=0,0,SUMIFS(Disbursements!$W:$W,Disbursements!$B:$B,'Live Collections'!D1984,Disbursements!$D:$D,'Live Collections'!F1984)))</f>
        <v>0</v>
      </c>
      <c r="T1634" s="304">
        <f t="shared" si="78"/>
        <v>50000</v>
      </c>
      <c r="U1634" s="52"/>
      <c r="V1634" s="34"/>
      <c r="W1634" s="408"/>
    </row>
    <row r="1635" spans="1:23" ht="12.75" customHeight="1" x14ac:dyDescent="0.2">
      <c r="A1635" s="257">
        <v>1616</v>
      </c>
      <c r="B1635" s="44">
        <v>44504</v>
      </c>
      <c r="C1635" s="44">
        <f t="shared" si="76"/>
        <v>44504</v>
      </c>
      <c r="D1635" s="374">
        <v>164</v>
      </c>
      <c r="E1635" s="291" t="str">
        <f>IFERROR(VLOOKUP($D1635,'Clients-Live'!$A:$C,3,0),"")</f>
        <v>ARIKE SWAIB</v>
      </c>
      <c r="F1635" s="291">
        <f>IFERROR(INDEX(Disbursements!$D:$D,MATCH('Live Collections'!G1635,Disbursements!$C:$C,0)),"")</f>
        <v>1</v>
      </c>
      <c r="G1635" s="34">
        <v>154</v>
      </c>
      <c r="H1635" s="34">
        <v>3152</v>
      </c>
      <c r="I1635" s="34" t="s">
        <v>1357</v>
      </c>
      <c r="J1635" s="48"/>
      <c r="K1635" s="48"/>
      <c r="L1635" s="48"/>
      <c r="M1635" s="48"/>
      <c r="N1635" s="59"/>
      <c r="O1635" s="59">
        <v>110000</v>
      </c>
      <c r="P1635" s="59"/>
      <c r="Q1635" s="268">
        <f t="shared" si="77"/>
        <v>110000</v>
      </c>
      <c r="R1635" s="61">
        <f>IF(O1635=0,0,SUMIFS(Disbursements!$T:$T,Disbursements!$B:$B,'Live Collections'!D1635,Disbursements!$D:$D,'Live Collections'!F1635))</f>
        <v>109000</v>
      </c>
      <c r="S1635" s="304">
        <f>IF(O1635&lt;=IF($O1635=0,0,SUMIFS(Disbursements!$W:$W,Disbursements!$B:$B,'Live Collections'!D2036,Disbursements!$D:$D,'Live Collections'!F2036)),O1635,IF($O1635=0,0,SUMIFS(Disbursements!$W:$W,Disbursements!$B:$B,'Live Collections'!D2036,Disbursements!$D:$D,'Live Collections'!F2036)))</f>
        <v>50000</v>
      </c>
      <c r="T1635" s="304">
        <f t="shared" si="78"/>
        <v>60000</v>
      </c>
      <c r="U1635" s="52"/>
      <c r="V1635" s="34"/>
      <c r="W1635" s="408"/>
    </row>
    <row r="1636" spans="1:23" ht="12.75" customHeight="1" x14ac:dyDescent="0.2">
      <c r="A1636" s="257">
        <v>1609</v>
      </c>
      <c r="B1636" s="44">
        <v>44504</v>
      </c>
      <c r="C1636" s="44">
        <f t="shared" si="76"/>
        <v>44504</v>
      </c>
      <c r="D1636" s="374">
        <v>188</v>
      </c>
      <c r="E1636" s="291" t="str">
        <f>IFERROR(VLOOKUP($D1636,'Clients-Live'!$A:$C,3,0),"")</f>
        <v>ADIRU HELLEN</v>
      </c>
      <c r="F1636" s="291" t="str">
        <f>IFERROR(INDEX(Disbursements!$D:$D,MATCH('Live Collections'!G1636,Disbursements!$C:$C,0)),"")</f>
        <v/>
      </c>
      <c r="G1636" s="34"/>
      <c r="H1636" s="34">
        <v>3292</v>
      </c>
      <c r="I1636" s="34" t="s">
        <v>1358</v>
      </c>
      <c r="J1636" s="48"/>
      <c r="K1636" s="48"/>
      <c r="L1636" s="48"/>
      <c r="M1636" s="48"/>
      <c r="N1636" s="59"/>
      <c r="O1636" s="59"/>
      <c r="P1636" s="59">
        <v>60000</v>
      </c>
      <c r="Q1636" s="268">
        <f t="shared" si="77"/>
        <v>60000</v>
      </c>
      <c r="R1636" s="61">
        <f>IF(O1636=0,0,SUMIFS(Disbursements!$T:$T,Disbursements!$B:$B,'Live Collections'!D1636,Disbursements!$D:$D,'Live Collections'!F1636))</f>
        <v>0</v>
      </c>
      <c r="S1636" s="304">
        <f>IF(O1636&lt;=IF($O1636=0,0,SUMIFS(Disbursements!$W:$W,Disbursements!$B:$B,'Live Collections'!D2291,Disbursements!$D:$D,'Live Collections'!F2291)),O1636,IF($O1636=0,0,SUMIFS(Disbursements!$W:$W,Disbursements!$B:$B,'Live Collections'!D2291,Disbursements!$D:$D,'Live Collections'!F2291)))</f>
        <v>0</v>
      </c>
      <c r="T1636" s="304">
        <f t="shared" si="78"/>
        <v>0</v>
      </c>
      <c r="U1636" s="52"/>
      <c r="V1636" s="34"/>
      <c r="W1636" s="408"/>
    </row>
    <row r="1637" spans="1:23" ht="12.75" customHeight="1" x14ac:dyDescent="0.2">
      <c r="A1637" s="257">
        <v>1612</v>
      </c>
      <c r="B1637" s="44">
        <v>44504</v>
      </c>
      <c r="C1637" s="44">
        <f t="shared" si="76"/>
        <v>44504</v>
      </c>
      <c r="D1637" s="374">
        <v>192</v>
      </c>
      <c r="E1637" s="291" t="str">
        <f>IFERROR(VLOOKUP($D1637,'Clients-Live'!$A:$C,3,0),"")</f>
        <v>MAZARAU AISHA</v>
      </c>
      <c r="F1637" s="291">
        <f>IFERROR(INDEX(Disbursements!$D:$D,MATCH('Live Collections'!G1637,Disbursements!$C:$C,0)),"")</f>
        <v>2</v>
      </c>
      <c r="G1637" s="34">
        <v>354</v>
      </c>
      <c r="H1637" s="34">
        <v>3156</v>
      </c>
      <c r="I1637" s="34" t="s">
        <v>1357</v>
      </c>
      <c r="J1637" s="48"/>
      <c r="K1637" s="48"/>
      <c r="L1637" s="48"/>
      <c r="M1637" s="48"/>
      <c r="N1637" s="59"/>
      <c r="O1637" s="59">
        <v>30000</v>
      </c>
      <c r="P1637" s="59"/>
      <c r="Q1637" s="268">
        <f t="shared" si="77"/>
        <v>30000</v>
      </c>
      <c r="R1637" s="61">
        <f>IF(O1637=0,0,SUMIFS(Disbursements!$T:$T,Disbursements!$B:$B,'Live Collections'!D1637,Disbursements!$D:$D,'Live Collections'!F1637))</f>
        <v>120000</v>
      </c>
      <c r="S1637" s="304">
        <f>IF(O1637&lt;=IF($O1637=0,0,SUMIFS(Disbursements!$W:$W,Disbursements!$B:$B,'Live Collections'!D3275,Disbursements!$D:$D,'Live Collections'!F3275)),O1637,IF($O1637=0,0,SUMIFS(Disbursements!$W:$W,Disbursements!$B:$B,'Live Collections'!D3275,Disbursements!$D:$D,'Live Collections'!F3275)))</f>
        <v>8000</v>
      </c>
      <c r="T1637" s="304">
        <f t="shared" si="78"/>
        <v>22000</v>
      </c>
      <c r="U1637" s="52"/>
      <c r="V1637" s="34"/>
      <c r="W1637" s="408"/>
    </row>
    <row r="1638" spans="1:23" ht="12.75" customHeight="1" x14ac:dyDescent="0.2">
      <c r="A1638" s="257">
        <v>1611</v>
      </c>
      <c r="B1638" s="44">
        <v>44504</v>
      </c>
      <c r="C1638" s="44">
        <f t="shared" si="76"/>
        <v>44504</v>
      </c>
      <c r="D1638" s="374">
        <v>226</v>
      </c>
      <c r="E1638" s="291" t="str">
        <f>IFERROR(VLOOKUP($D1638,'Clients-Live'!$A:$C,3,0),"")</f>
        <v>MATURU NEEMA</v>
      </c>
      <c r="F1638" s="291">
        <f>IFERROR(INDEX(Disbursements!$D:$D,MATCH('Live Collections'!G1638,Disbursements!$C:$C,0)),"")</f>
        <v>1</v>
      </c>
      <c r="G1638" s="34">
        <v>233</v>
      </c>
      <c r="H1638" s="34">
        <v>3290</v>
      </c>
      <c r="I1638" s="34" t="s">
        <v>1359</v>
      </c>
      <c r="J1638" s="48"/>
      <c r="K1638" s="48"/>
      <c r="L1638" s="48"/>
      <c r="M1638" s="48"/>
      <c r="N1638" s="59"/>
      <c r="O1638" s="59">
        <v>90000</v>
      </c>
      <c r="P1638" s="59"/>
      <c r="Q1638" s="268">
        <f t="shared" si="77"/>
        <v>90000</v>
      </c>
      <c r="R1638" s="61">
        <f>IF(O1638=0,0,SUMIFS(Disbursements!$T:$T,Disbursements!$B:$B,'Live Collections'!D1638,Disbursements!$D:$D,'Live Collections'!F1638))</f>
        <v>1075000</v>
      </c>
      <c r="S1638" s="304">
        <f>IF(O1638&lt;=IF($O1638=0,0,SUMIFS(Disbursements!$W:$W,Disbursements!$B:$B,'Live Collections'!D3235,Disbursements!$D:$D,'Live Collections'!F3235)),O1638,IF($O1638=0,0,SUMIFS(Disbursements!$W:$W,Disbursements!$B:$B,'Live Collections'!D3235,Disbursements!$D:$D,'Live Collections'!F3235)))</f>
        <v>21833.333333333336</v>
      </c>
      <c r="T1638" s="304">
        <f t="shared" si="78"/>
        <v>68166.666666666657</v>
      </c>
      <c r="U1638" s="52"/>
      <c r="V1638" s="34"/>
      <c r="W1638" s="408"/>
    </row>
    <row r="1639" spans="1:23" ht="12.75" customHeight="1" x14ac:dyDescent="0.2">
      <c r="A1639" s="257">
        <v>1615</v>
      </c>
      <c r="B1639" s="44">
        <v>44504</v>
      </c>
      <c r="C1639" s="44">
        <f t="shared" si="76"/>
        <v>44504</v>
      </c>
      <c r="D1639" s="374">
        <v>233</v>
      </c>
      <c r="E1639" s="291" t="str">
        <f>IFERROR(VLOOKUP($D1639,'Clients-Live'!$A:$C,3,0),"")</f>
        <v>KAMOYO HARRIET</v>
      </c>
      <c r="F1639" s="291">
        <f>IFERROR(INDEX(Disbursements!$D:$D,MATCH('Live Collections'!G1639,Disbursements!$C:$C,0)),"")</f>
        <v>1</v>
      </c>
      <c r="G1639" s="34">
        <v>246</v>
      </c>
      <c r="H1639" s="34">
        <v>3153</v>
      </c>
      <c r="I1639" s="34" t="s">
        <v>1358</v>
      </c>
      <c r="J1639" s="48"/>
      <c r="K1639" s="48"/>
      <c r="L1639" s="48"/>
      <c r="M1639" s="48"/>
      <c r="N1639" s="59"/>
      <c r="O1639" s="59">
        <v>150000</v>
      </c>
      <c r="P1639" s="59"/>
      <c r="Q1639" s="268">
        <f t="shared" si="77"/>
        <v>150000</v>
      </c>
      <c r="R1639" s="61">
        <f>IF(O1639=0,0,SUMIFS(Disbursements!$T:$T,Disbursements!$B:$B,'Live Collections'!D1639,Disbursements!$D:$D,'Live Collections'!F1639))</f>
        <v>150000</v>
      </c>
      <c r="S1639" s="304">
        <f>IF(O1639&lt;=IF($O1639=0,0,SUMIFS(Disbursements!$W:$W,Disbursements!$B:$B,'Live Collections'!D2694,Disbursements!$D:$D,'Live Collections'!F2694)),O1639,IF($O1639=0,0,SUMIFS(Disbursements!$W:$W,Disbursements!$B:$B,'Live Collections'!D2694,Disbursements!$D:$D,'Live Collections'!F2694)))</f>
        <v>0</v>
      </c>
      <c r="T1639" s="304">
        <f t="shared" si="78"/>
        <v>150000</v>
      </c>
      <c r="U1639" s="52"/>
      <c r="V1639" s="34"/>
      <c r="W1639" s="408"/>
    </row>
    <row r="1640" spans="1:23" ht="12.75" customHeight="1" x14ac:dyDescent="0.2">
      <c r="A1640" s="257">
        <v>1623</v>
      </c>
      <c r="B1640" s="44">
        <v>44504</v>
      </c>
      <c r="C1640" s="44">
        <f t="shared" si="76"/>
        <v>44504</v>
      </c>
      <c r="D1640" s="374">
        <v>277</v>
      </c>
      <c r="E1640" s="291" t="str">
        <f>IFERROR(VLOOKUP($D1640,'Clients-Live'!$A:$C,3,0),"")</f>
        <v>WAYI DAVID</v>
      </c>
      <c r="F1640" s="291" t="str">
        <f>IFERROR(INDEX(Disbursements!$D:$D,MATCH('Live Collections'!G1640,Disbursements!$C:$C,0)),"")</f>
        <v/>
      </c>
      <c r="G1640" s="34"/>
      <c r="H1640" s="34">
        <v>3249</v>
      </c>
      <c r="I1640" s="34" t="s">
        <v>1358</v>
      </c>
      <c r="J1640" s="48"/>
      <c r="K1640" s="48"/>
      <c r="L1640" s="48">
        <v>25000</v>
      </c>
      <c r="M1640" s="48">
        <v>5000</v>
      </c>
      <c r="N1640" s="59"/>
      <c r="O1640" s="59"/>
      <c r="P1640" s="59"/>
      <c r="Q1640" s="268">
        <f t="shared" si="77"/>
        <v>30000</v>
      </c>
      <c r="R1640" s="61">
        <f>IF(O1640=0,0,SUMIFS(Disbursements!$T:$T,Disbursements!$B:$B,'Live Collections'!D1640,Disbursements!$D:$D,'Live Collections'!F1640))</f>
        <v>0</v>
      </c>
      <c r="S1640" s="304">
        <f>IF(O1640&lt;=IF($O1640=0,0,SUMIFS(Disbursements!$W:$W,Disbursements!$B:$B,'Live Collections'!D2990,Disbursements!$D:$D,'Live Collections'!F2990)),O1640,IF($O1640=0,0,SUMIFS(Disbursements!$W:$W,Disbursements!$B:$B,'Live Collections'!D2990,Disbursements!$D:$D,'Live Collections'!F2990)))</f>
        <v>0</v>
      </c>
      <c r="T1640" s="304">
        <f t="shared" si="78"/>
        <v>0</v>
      </c>
      <c r="U1640" s="52"/>
      <c r="V1640" s="34"/>
      <c r="W1640" s="408"/>
    </row>
    <row r="1641" spans="1:23" ht="12.75" customHeight="1" x14ac:dyDescent="0.2">
      <c r="A1641" s="257">
        <v>1624</v>
      </c>
      <c r="B1641" s="44">
        <v>44504</v>
      </c>
      <c r="C1641" s="44">
        <f t="shared" si="76"/>
        <v>44504</v>
      </c>
      <c r="D1641" s="374">
        <v>277</v>
      </c>
      <c r="E1641" s="291" t="str">
        <f>IFERROR(VLOOKUP($D1641,'Clients-Live'!$A:$C,3,0),"")</f>
        <v>WAYI DAVID</v>
      </c>
      <c r="F1641" s="291" t="str">
        <f>IFERROR(INDEX(Disbursements!$D:$D,MATCH('Live Collections'!G1641,Disbursements!$C:$C,0)),"")</f>
        <v/>
      </c>
      <c r="G1641" s="34"/>
      <c r="H1641" s="34">
        <v>3233</v>
      </c>
      <c r="I1641" s="34" t="s">
        <v>1358</v>
      </c>
      <c r="J1641" s="48">
        <v>15000</v>
      </c>
      <c r="K1641" s="48">
        <v>5000</v>
      </c>
      <c r="L1641" s="48"/>
      <c r="M1641" s="48"/>
      <c r="N1641" s="59"/>
      <c r="O1641" s="59"/>
      <c r="P1641" s="59"/>
      <c r="Q1641" s="268">
        <f t="shared" si="77"/>
        <v>20000</v>
      </c>
      <c r="R1641" s="61">
        <f>IF(O1641=0,0,SUMIFS(Disbursements!$T:$T,Disbursements!$B:$B,'Live Collections'!D1641,Disbursements!$D:$D,'Live Collections'!F1641))</f>
        <v>0</v>
      </c>
      <c r="S1641" s="304">
        <f>IF(O1641&lt;=IF($O1641=0,0,SUMIFS(Disbursements!$W:$W,Disbursements!$B:$B,'Live Collections'!D2991,Disbursements!$D:$D,'Live Collections'!F2991)),O1641,IF($O1641=0,0,SUMIFS(Disbursements!$W:$W,Disbursements!$B:$B,'Live Collections'!D2991,Disbursements!$D:$D,'Live Collections'!F2991)))</f>
        <v>0</v>
      </c>
      <c r="T1641" s="304">
        <f t="shared" si="78"/>
        <v>0</v>
      </c>
      <c r="U1641" s="52"/>
      <c r="V1641" s="34"/>
      <c r="W1641" s="408"/>
    </row>
    <row r="1642" spans="1:23" ht="12.75" customHeight="1" x14ac:dyDescent="0.2">
      <c r="A1642" s="257">
        <v>1621</v>
      </c>
      <c r="B1642" s="44">
        <v>44504</v>
      </c>
      <c r="C1642" s="44">
        <f t="shared" si="76"/>
        <v>44504</v>
      </c>
      <c r="D1642" s="374">
        <v>278</v>
      </c>
      <c r="E1642" s="291" t="str">
        <f>IFERROR(VLOOKUP($D1642,'Clients-Live'!$A:$C,3,0),"")</f>
        <v>AATE SUZAN</v>
      </c>
      <c r="F1642" s="291" t="str">
        <f>IFERROR(INDEX(Disbursements!$D:$D,MATCH('Live Collections'!G1642,Disbursements!$C:$C,0)),"")</f>
        <v/>
      </c>
      <c r="G1642" s="34"/>
      <c r="H1642" s="34">
        <v>3284</v>
      </c>
      <c r="I1642" s="34" t="s">
        <v>1359</v>
      </c>
      <c r="J1642" s="48"/>
      <c r="K1642" s="48"/>
      <c r="L1642" s="48"/>
      <c r="M1642" s="48"/>
      <c r="N1642" s="59"/>
      <c r="O1642" s="59"/>
      <c r="P1642" s="59">
        <v>20000</v>
      </c>
      <c r="Q1642" s="268">
        <f t="shared" si="77"/>
        <v>20000</v>
      </c>
      <c r="R1642" s="61">
        <f>IF(O1642=0,0,SUMIFS(Disbursements!$T:$T,Disbursements!$B:$B,'Live Collections'!D1642,Disbursements!$D:$D,'Live Collections'!F1642))</f>
        <v>0</v>
      </c>
      <c r="S1642" s="304">
        <f>IF(O1642&lt;=IF($O1642=0,0,SUMIFS(Disbursements!$W:$W,Disbursements!$B:$B,'Live Collections'!D3000,Disbursements!$D:$D,'Live Collections'!F3000)),O1642,IF($O1642=0,0,SUMIFS(Disbursements!$W:$W,Disbursements!$B:$B,'Live Collections'!D3000,Disbursements!$D:$D,'Live Collections'!F3000)))</f>
        <v>0</v>
      </c>
      <c r="T1642" s="304">
        <f t="shared" si="78"/>
        <v>0</v>
      </c>
      <c r="U1642" s="52"/>
      <c r="V1642" s="34"/>
      <c r="W1642" s="408"/>
    </row>
    <row r="1643" spans="1:23" ht="12.75" customHeight="1" x14ac:dyDescent="0.2">
      <c r="A1643" s="257">
        <v>1619</v>
      </c>
      <c r="B1643" s="44">
        <v>44504</v>
      </c>
      <c r="C1643" s="44">
        <f t="shared" si="76"/>
        <v>44504</v>
      </c>
      <c r="D1643" s="374">
        <v>279</v>
      </c>
      <c r="E1643" s="291" t="str">
        <f>IFERROR(VLOOKUP($D1643,'Clients-Live'!$A:$C,3,0),"")</f>
        <v>CHANDIGA PETER</v>
      </c>
      <c r="F1643" s="291" t="str">
        <f>IFERROR(INDEX(Disbursements!$D:$D,MATCH('Live Collections'!G1643,Disbursements!$C:$C,0)),"")</f>
        <v/>
      </c>
      <c r="G1643" s="34"/>
      <c r="H1643" s="34">
        <v>3151</v>
      </c>
      <c r="I1643" s="34" t="s">
        <v>1716</v>
      </c>
      <c r="J1643" s="48">
        <v>15000</v>
      </c>
      <c r="K1643" s="48">
        <v>5000</v>
      </c>
      <c r="L1643" s="48">
        <v>20000</v>
      </c>
      <c r="M1643" s="48">
        <v>5000</v>
      </c>
      <c r="N1643" s="59"/>
      <c r="O1643" s="59"/>
      <c r="P1643" s="59"/>
      <c r="Q1643" s="268">
        <f t="shared" si="77"/>
        <v>45000</v>
      </c>
      <c r="R1643" s="61">
        <f>IF(O1643=0,0,SUMIFS(Disbursements!$T:$T,Disbursements!$B:$B,'Live Collections'!D1643,Disbursements!$D:$D,'Live Collections'!F1643))</f>
        <v>0</v>
      </c>
      <c r="S1643" s="304">
        <f>IF(O1643&lt;=IF($O1643=0,0,SUMIFS(Disbursements!$W:$W,Disbursements!$B:$B,'Live Collections'!D3004,Disbursements!$D:$D,'Live Collections'!F3004)),O1643,IF($O1643=0,0,SUMIFS(Disbursements!$W:$W,Disbursements!$B:$B,'Live Collections'!D3004,Disbursements!$D:$D,'Live Collections'!F3004)))</f>
        <v>0</v>
      </c>
      <c r="T1643" s="304">
        <f t="shared" si="78"/>
        <v>0</v>
      </c>
      <c r="U1643" s="52"/>
      <c r="V1643" s="34"/>
      <c r="W1643" s="408"/>
    </row>
    <row r="1644" spans="1:23" ht="12.75" customHeight="1" x14ac:dyDescent="0.2">
      <c r="A1644" s="257">
        <v>1640</v>
      </c>
      <c r="B1644" s="44">
        <v>44505</v>
      </c>
      <c r="C1644" s="44">
        <f t="shared" si="76"/>
        <v>44505</v>
      </c>
      <c r="D1644" s="374">
        <v>9</v>
      </c>
      <c r="E1644" s="291" t="str">
        <f>IFERROR(VLOOKUP($D1644,'Clients-Live'!$A:$C,3,0),"")</f>
        <v>TABAN DAVID YAYA</v>
      </c>
      <c r="F1644" s="291">
        <f>IFERROR(INDEX(Disbursements!$D:$D,MATCH('Live Collections'!G1644,Disbursements!$C:$C,0)),"")</f>
        <v>2</v>
      </c>
      <c r="G1644" s="34">
        <v>221</v>
      </c>
      <c r="H1644" s="34">
        <v>3297</v>
      </c>
      <c r="I1644" s="34" t="s">
        <v>1357</v>
      </c>
      <c r="J1644" s="48"/>
      <c r="K1644" s="48"/>
      <c r="L1644" s="48"/>
      <c r="M1644" s="48"/>
      <c r="N1644" s="59"/>
      <c r="O1644" s="59">
        <v>80000</v>
      </c>
      <c r="P1644" s="59"/>
      <c r="Q1644" s="268">
        <f t="shared" si="77"/>
        <v>80000</v>
      </c>
      <c r="R1644" s="61">
        <f>IF(O1644=0,0,SUMIFS(Disbursements!$T:$T,Disbursements!$B:$B,'Live Collections'!D1644,Disbursements!$D:$D,'Live Collections'!F1644))</f>
        <v>360000</v>
      </c>
      <c r="S1644" s="304">
        <f>IF(O1644&lt;=IF($O1644=0,0,SUMIFS(Disbursements!$W:$W,Disbursements!$B:$B,'Live Collections'!D88,Disbursements!$D:$D,'Live Collections'!F88)),O1644,IF($O1644=0,0,SUMIFS(Disbursements!$W:$W,Disbursements!$B:$B,'Live Collections'!D88,Disbursements!$D:$D,'Live Collections'!F88)))</f>
        <v>75000</v>
      </c>
      <c r="T1644" s="304">
        <f t="shared" si="78"/>
        <v>5000</v>
      </c>
      <c r="U1644" s="52"/>
      <c r="V1644" s="34"/>
      <c r="W1644" s="408"/>
    </row>
    <row r="1645" spans="1:23" ht="12.75" customHeight="1" x14ac:dyDescent="0.2">
      <c r="A1645" s="257">
        <v>1635</v>
      </c>
      <c r="B1645" s="44">
        <v>44505</v>
      </c>
      <c r="C1645" s="44">
        <f t="shared" si="76"/>
        <v>44505</v>
      </c>
      <c r="D1645" s="374">
        <v>44</v>
      </c>
      <c r="E1645" s="291" t="str">
        <f>IFERROR(VLOOKUP($D1645,'Clients-Live'!$A:$C,3,0),"")</f>
        <v>CANDIRU HELLEN</v>
      </c>
      <c r="F1645" s="291">
        <f>IFERROR(INDEX(Disbursements!$D:$D,MATCH('Live Collections'!G1645,Disbursements!$C:$C,0)),"")</f>
        <v>2</v>
      </c>
      <c r="G1645" s="34">
        <v>129</v>
      </c>
      <c r="H1645" s="34">
        <v>3300</v>
      </c>
      <c r="I1645" s="34" t="s">
        <v>1358</v>
      </c>
      <c r="J1645" s="48"/>
      <c r="K1645" s="48"/>
      <c r="L1645" s="48"/>
      <c r="M1645" s="48"/>
      <c r="N1645" s="59"/>
      <c r="O1645" s="59">
        <v>56000</v>
      </c>
      <c r="P1645" s="59"/>
      <c r="Q1645" s="268">
        <f t="shared" si="77"/>
        <v>56000</v>
      </c>
      <c r="R1645" s="61">
        <f>IF(O1645=0,0,SUMIFS(Disbursements!$T:$T,Disbursements!$B:$B,'Live Collections'!D1645,Disbursements!$D:$D,'Live Collections'!F1645))</f>
        <v>217000</v>
      </c>
      <c r="S1645" s="304">
        <f>IF(O1645&lt;=IF($O1645=0,0,SUMIFS(Disbursements!$W:$W,Disbursements!$B:$B,'Live Collections'!D492,Disbursements!$D:$D,'Live Collections'!F492)),O1645,IF($O1645=0,0,SUMIFS(Disbursements!$W:$W,Disbursements!$B:$B,'Live Collections'!D492,Disbursements!$D:$D,'Live Collections'!F492)))</f>
        <v>0</v>
      </c>
      <c r="T1645" s="304">
        <f t="shared" si="78"/>
        <v>56000</v>
      </c>
      <c r="U1645" s="52"/>
      <c r="V1645" s="34"/>
      <c r="W1645" s="408"/>
    </row>
    <row r="1646" spans="1:23" ht="12.75" customHeight="1" x14ac:dyDescent="0.2">
      <c r="A1646" s="257">
        <v>1646</v>
      </c>
      <c r="B1646" s="44">
        <v>44505</v>
      </c>
      <c r="C1646" s="44">
        <f t="shared" si="76"/>
        <v>44505</v>
      </c>
      <c r="D1646" s="374">
        <v>49</v>
      </c>
      <c r="E1646" s="291" t="str">
        <f>IFERROR(VLOOKUP($D1646,'Clients-Live'!$A:$C,3,0),"")</f>
        <v>MAWUZU SARAH</v>
      </c>
      <c r="F1646" s="291">
        <f>IFERROR(INDEX(Disbursements!$D:$D,MATCH('Live Collections'!G1646,Disbursements!$C:$C,0)),"")</f>
        <v>1</v>
      </c>
      <c r="G1646" s="34">
        <v>33</v>
      </c>
      <c r="H1646" s="34">
        <v>3168</v>
      </c>
      <c r="I1646" s="34" t="s">
        <v>1358</v>
      </c>
      <c r="J1646" s="48"/>
      <c r="K1646" s="48"/>
      <c r="L1646" s="48"/>
      <c r="M1646" s="48"/>
      <c r="N1646" s="59"/>
      <c r="O1646" s="59">
        <v>90000</v>
      </c>
      <c r="P1646" s="59"/>
      <c r="Q1646" s="268">
        <f t="shared" si="77"/>
        <v>90000</v>
      </c>
      <c r="R1646" s="61">
        <f>IF(O1646=0,0,SUMIFS(Disbursements!$T:$T,Disbursements!$B:$B,'Live Collections'!D1646,Disbursements!$D:$D,'Live Collections'!F1646))</f>
        <v>150000</v>
      </c>
      <c r="S1646" s="64">
        <v>-10000</v>
      </c>
      <c r="T1646" s="304">
        <f t="shared" si="78"/>
        <v>100000</v>
      </c>
      <c r="U1646" s="52"/>
      <c r="V1646" s="34"/>
      <c r="W1646" s="408"/>
    </row>
    <row r="1647" spans="1:23" ht="12.75" customHeight="1" x14ac:dyDescent="0.2">
      <c r="A1647" s="257">
        <v>1637</v>
      </c>
      <c r="B1647" s="44">
        <v>44505</v>
      </c>
      <c r="C1647" s="44">
        <f t="shared" si="76"/>
        <v>44505</v>
      </c>
      <c r="D1647" s="374">
        <v>54</v>
      </c>
      <c r="E1647" s="291" t="str">
        <f>IFERROR(VLOOKUP($D1647,'Clients-Live'!$A:$C,3,0),"")</f>
        <v>MANENO ANIFA</v>
      </c>
      <c r="F1647" s="291">
        <f>IFERROR(INDEX(Disbursements!$D:$D,MATCH('Live Collections'!G1647,Disbursements!$C:$C,0)),"")</f>
        <v>2</v>
      </c>
      <c r="G1647" s="34">
        <v>195</v>
      </c>
      <c r="H1647" s="34">
        <v>3163</v>
      </c>
      <c r="I1647" s="34" t="s">
        <v>1357</v>
      </c>
      <c r="J1647" s="48"/>
      <c r="K1647" s="48"/>
      <c r="L1647" s="48"/>
      <c r="M1647" s="48"/>
      <c r="N1647" s="59"/>
      <c r="O1647" s="59">
        <v>80000</v>
      </c>
      <c r="P1647" s="59"/>
      <c r="Q1647" s="268">
        <f t="shared" si="77"/>
        <v>80000</v>
      </c>
      <c r="R1647" s="61">
        <f>IF(O1647=0,0,SUMIFS(Disbursements!$T:$T,Disbursements!$B:$B,'Live Collections'!D1647,Disbursements!$D:$D,'Live Collections'!F1647))</f>
        <v>200000</v>
      </c>
      <c r="S1647" s="304">
        <f>IF(O1647&lt;=IF($O1647=0,0,SUMIFS(Disbursements!$W:$W,Disbursements!$B:$B,'Live Collections'!D640,Disbursements!$D:$D,'Live Collections'!F640)),O1647,IF($O1647=0,0,SUMIFS(Disbursements!$W:$W,Disbursements!$B:$B,'Live Collections'!D640,Disbursements!$D:$D,'Live Collections'!F640)))</f>
        <v>0</v>
      </c>
      <c r="T1647" s="304">
        <f t="shared" si="78"/>
        <v>80000</v>
      </c>
      <c r="U1647" s="52"/>
      <c r="V1647" s="34"/>
      <c r="W1647" s="408"/>
    </row>
    <row r="1648" spans="1:23" ht="12.75" customHeight="1" x14ac:dyDescent="0.2">
      <c r="A1648" s="257">
        <v>1632</v>
      </c>
      <c r="B1648" s="44">
        <v>44505</v>
      </c>
      <c r="C1648" s="44">
        <f t="shared" si="76"/>
        <v>44505</v>
      </c>
      <c r="D1648" s="374">
        <v>69</v>
      </c>
      <c r="E1648" s="291" t="str">
        <f>IFERROR(VLOOKUP($D1648,'Clients-Live'!$A:$C,3,0),"")</f>
        <v>SADIA JOYCE</v>
      </c>
      <c r="F1648" s="291">
        <f>IFERROR(INDEX(Disbursements!$D:$D,MATCH('Live Collections'!G1648,Disbursements!$C:$C,0)),"")</f>
        <v>1</v>
      </c>
      <c r="G1648" s="34">
        <v>106</v>
      </c>
      <c r="H1648" s="34">
        <v>354</v>
      </c>
      <c r="I1648" s="34" t="s">
        <v>1359</v>
      </c>
      <c r="J1648" s="48"/>
      <c r="K1648" s="48"/>
      <c r="L1648" s="48"/>
      <c r="M1648" s="48"/>
      <c r="N1648" s="59"/>
      <c r="O1648" s="59"/>
      <c r="P1648" s="59">
        <v>-30000</v>
      </c>
      <c r="Q1648" s="268">
        <f t="shared" si="77"/>
        <v>-30000</v>
      </c>
      <c r="R1648" s="61">
        <f>IF(O1648=0,0,SUMIFS(Disbursements!$T:$T,Disbursements!$B:$B,'Live Collections'!D1648,Disbursements!$D:$D,'Live Collections'!F1648))</f>
        <v>0</v>
      </c>
      <c r="S1648" s="304">
        <f>IF(O1648&lt;=IF($O1648=0,0,SUMIFS(Disbursements!$W:$W,Disbursements!$B:$B,'Live Collections'!D2219,Disbursements!$D:$D,'Live Collections'!F2219)),O1648,IF($O1648=0,0,SUMIFS(Disbursements!$W:$W,Disbursements!$B:$B,'Live Collections'!D2219,Disbursements!$D:$D,'Live Collections'!F2219)))</f>
        <v>0</v>
      </c>
      <c r="T1648" s="304">
        <f t="shared" si="78"/>
        <v>0</v>
      </c>
      <c r="U1648" s="52"/>
      <c r="V1648" s="34"/>
      <c r="W1648" s="408"/>
    </row>
    <row r="1649" spans="1:23" ht="12.75" customHeight="1" x14ac:dyDescent="0.2">
      <c r="A1649" s="257">
        <v>1633</v>
      </c>
      <c r="B1649" s="44">
        <v>44505</v>
      </c>
      <c r="C1649" s="44">
        <f t="shared" si="76"/>
        <v>44505</v>
      </c>
      <c r="D1649" s="374">
        <v>69</v>
      </c>
      <c r="E1649" s="291" t="str">
        <f>IFERROR(VLOOKUP($D1649,'Clients-Live'!$A:$C,3,0),"")</f>
        <v>SADIA JOYCE</v>
      </c>
      <c r="F1649" s="291">
        <f>IFERROR(INDEX(Disbursements!$D:$D,MATCH('Live Collections'!G1649,Disbursements!$C:$C,0)),"")</f>
        <v>1</v>
      </c>
      <c r="G1649" s="34">
        <v>106</v>
      </c>
      <c r="H1649" s="34">
        <v>3298</v>
      </c>
      <c r="I1649" s="34" t="s">
        <v>1359</v>
      </c>
      <c r="J1649" s="48"/>
      <c r="K1649" s="48"/>
      <c r="L1649" s="48"/>
      <c r="M1649" s="48"/>
      <c r="N1649" s="59"/>
      <c r="O1649" s="59">
        <v>30000</v>
      </c>
      <c r="P1649" s="59"/>
      <c r="Q1649" s="268">
        <f t="shared" si="77"/>
        <v>30000</v>
      </c>
      <c r="R1649" s="61">
        <f>IF(O1649=0,0,SUMIFS(Disbursements!$T:$T,Disbursements!$B:$B,'Live Collections'!D1649,Disbursements!$D:$D,'Live Collections'!F1649))</f>
        <v>90000</v>
      </c>
      <c r="S1649" s="304"/>
      <c r="T1649" s="304">
        <f t="shared" si="78"/>
        <v>30000</v>
      </c>
      <c r="U1649" s="52"/>
      <c r="V1649" s="34"/>
      <c r="W1649" s="408"/>
    </row>
    <row r="1650" spans="1:23" ht="12.75" customHeight="1" x14ac:dyDescent="0.2">
      <c r="A1650" s="257">
        <v>1634</v>
      </c>
      <c r="B1650" s="44">
        <v>44505</v>
      </c>
      <c r="C1650" s="44">
        <f t="shared" si="76"/>
        <v>44505</v>
      </c>
      <c r="D1650" s="374">
        <v>69</v>
      </c>
      <c r="E1650" s="291" t="str">
        <f>IFERROR(VLOOKUP($D1650,'Clients-Live'!$A:$C,3,0),"")</f>
        <v>SADIA JOYCE</v>
      </c>
      <c r="F1650" s="291">
        <f>IFERROR(INDEX(Disbursements!$D:$D,MATCH('Live Collections'!G1650,Disbursements!$C:$C,0)),"")</f>
        <v>2</v>
      </c>
      <c r="G1650" s="34">
        <v>311</v>
      </c>
      <c r="H1650" s="34">
        <v>3164</v>
      </c>
      <c r="I1650" s="34" t="s">
        <v>1359</v>
      </c>
      <c r="J1650" s="48"/>
      <c r="K1650" s="48"/>
      <c r="L1650" s="48"/>
      <c r="M1650" s="48"/>
      <c r="N1650" s="59"/>
      <c r="O1650" s="59"/>
      <c r="P1650" s="59">
        <v>40000</v>
      </c>
      <c r="Q1650" s="268">
        <f t="shared" si="77"/>
        <v>40000</v>
      </c>
      <c r="R1650" s="61">
        <f>IF(O1650=0,0,SUMIFS(Disbursements!$T:$T,Disbursements!$B:$B,'Live Collections'!D1650,Disbursements!$D:$D,'Live Collections'!F1650))</f>
        <v>0</v>
      </c>
      <c r="S1650" s="304">
        <f>IF(O1650&lt;=IF($O1650=0,0,SUMIFS(Disbursements!$W:$W,Disbursements!$B:$B,'Live Collections'!D857,Disbursements!$D:$D,'Live Collections'!F857)),O1650,IF($O1650=0,0,SUMIFS(Disbursements!$W:$W,Disbursements!$B:$B,'Live Collections'!D857,Disbursements!$D:$D,'Live Collections'!F857)))</f>
        <v>0</v>
      </c>
      <c r="T1650" s="304">
        <f t="shared" si="78"/>
        <v>0</v>
      </c>
      <c r="U1650" s="52"/>
      <c r="V1650" s="34"/>
      <c r="W1650" s="408"/>
    </row>
    <row r="1651" spans="1:23" ht="12.75" customHeight="1" x14ac:dyDescent="0.2">
      <c r="A1651" s="257">
        <v>1638</v>
      </c>
      <c r="B1651" s="44">
        <v>44505</v>
      </c>
      <c r="C1651" s="44">
        <f t="shared" si="76"/>
        <v>44505</v>
      </c>
      <c r="D1651" s="374">
        <v>69</v>
      </c>
      <c r="E1651" s="291" t="str">
        <f>IFERROR(VLOOKUP($D1651,'Clients-Live'!$A:$C,3,0),"")</f>
        <v>SADIA JOYCE</v>
      </c>
      <c r="F1651" s="291" t="str">
        <f>IFERROR(INDEX(Disbursements!$D:$D,MATCH('Live Collections'!G1651,Disbursements!$C:$C,0)),"")</f>
        <v/>
      </c>
      <c r="G1651" s="34"/>
      <c r="H1651" s="34">
        <v>3299</v>
      </c>
      <c r="I1651" s="34" t="s">
        <v>1359</v>
      </c>
      <c r="J1651" s="48"/>
      <c r="K1651" s="48"/>
      <c r="L1651" s="48">
        <v>10000</v>
      </c>
      <c r="M1651" s="48">
        <v>5000</v>
      </c>
      <c r="N1651" s="59"/>
      <c r="O1651" s="59"/>
      <c r="P1651" s="59"/>
      <c r="Q1651" s="268">
        <f t="shared" si="77"/>
        <v>15000</v>
      </c>
      <c r="R1651" s="61">
        <f>IF(O1651=0,0,SUMIFS(Disbursements!$T:$T,Disbursements!$B:$B,'Live Collections'!D1651,Disbursements!$D:$D,'Live Collections'!F1651))</f>
        <v>0</v>
      </c>
      <c r="S1651" s="304">
        <f>IF(O1651&lt;=IF($O1651=0,0,SUMIFS(Disbursements!$W:$W,Disbursements!$B:$B,'Live Collections'!D858,Disbursements!$D:$D,'Live Collections'!F858)),O1651,IF($O1651=0,0,SUMIFS(Disbursements!$W:$W,Disbursements!$B:$B,'Live Collections'!D858,Disbursements!$D:$D,'Live Collections'!F858)))</f>
        <v>0</v>
      </c>
      <c r="T1651" s="304">
        <f t="shared" si="78"/>
        <v>0</v>
      </c>
      <c r="U1651" s="52"/>
      <c r="V1651" s="34"/>
      <c r="W1651" s="408"/>
    </row>
    <row r="1652" spans="1:23" ht="12.75" customHeight="1" x14ac:dyDescent="0.2">
      <c r="A1652" s="257">
        <v>1639</v>
      </c>
      <c r="B1652" s="44">
        <v>44505</v>
      </c>
      <c r="C1652" s="44">
        <f t="shared" si="76"/>
        <v>44505</v>
      </c>
      <c r="D1652" s="374">
        <v>69</v>
      </c>
      <c r="E1652" s="291" t="str">
        <f>IFERROR(VLOOKUP($D1652,'Clients-Live'!$A:$C,3,0),"")</f>
        <v>SADIA JOYCE</v>
      </c>
      <c r="F1652" s="291">
        <f>IFERROR(INDEX(Disbursements!$D:$D,MATCH('Live Collections'!G1652,Disbursements!$C:$C,0)),"")</f>
        <v>1</v>
      </c>
      <c r="G1652" s="34">
        <v>106</v>
      </c>
      <c r="H1652" s="34">
        <v>3296</v>
      </c>
      <c r="I1652" s="34" t="s">
        <v>1359</v>
      </c>
      <c r="J1652" s="48"/>
      <c r="K1652" s="48"/>
      <c r="L1652" s="48"/>
      <c r="M1652" s="48"/>
      <c r="N1652" s="59"/>
      <c r="O1652" s="59">
        <v>150000</v>
      </c>
      <c r="P1652" s="59"/>
      <c r="Q1652" s="268">
        <f t="shared" si="77"/>
        <v>150000</v>
      </c>
      <c r="R1652" s="61">
        <f>IF(O1652=0,0,SUMIFS(Disbursements!$T:$T,Disbursements!$B:$B,'Live Collections'!D1652,Disbursements!$D:$D,'Live Collections'!F1652))</f>
        <v>90000</v>
      </c>
      <c r="S1652" s="304">
        <v>40000</v>
      </c>
      <c r="T1652" s="304">
        <f t="shared" si="78"/>
        <v>110000</v>
      </c>
      <c r="U1652" s="52"/>
      <c r="V1652" s="34"/>
      <c r="W1652" s="408"/>
    </row>
    <row r="1653" spans="1:23" ht="12.75" customHeight="1" x14ac:dyDescent="0.2">
      <c r="A1653" s="257">
        <v>1645</v>
      </c>
      <c r="B1653" s="44">
        <v>44505</v>
      </c>
      <c r="C1653" s="44">
        <f t="shared" si="76"/>
        <v>44505</v>
      </c>
      <c r="D1653" s="374">
        <v>96</v>
      </c>
      <c r="E1653" s="291" t="str">
        <f>IFERROR(VLOOKUP($D1653,'Clients-Live'!$A:$C,3,0),"")</f>
        <v>AKANDU NIGHT YONGORO</v>
      </c>
      <c r="F1653" s="291">
        <f>IFERROR(INDEX(Disbursements!$D:$D,MATCH('Live Collections'!G1653,Disbursements!$C:$C,0)),"")</f>
        <v>2</v>
      </c>
      <c r="G1653" s="34">
        <v>248</v>
      </c>
      <c r="H1653" s="34">
        <v>3167</v>
      </c>
      <c r="I1653" s="34" t="s">
        <v>1358</v>
      </c>
      <c r="J1653" s="48"/>
      <c r="K1653" s="48"/>
      <c r="L1653" s="48"/>
      <c r="M1653" s="48"/>
      <c r="N1653" s="59"/>
      <c r="O1653" s="59">
        <v>210000</v>
      </c>
      <c r="P1653" s="59"/>
      <c r="Q1653" s="268">
        <f t="shared" si="77"/>
        <v>210000</v>
      </c>
      <c r="R1653" s="61">
        <f>IF(O1653=0,0,SUMIFS(Disbursements!$T:$T,Disbursements!$B:$B,'Live Collections'!D1653,Disbursements!$D:$D,'Live Collections'!F1653))</f>
        <v>210000</v>
      </c>
      <c r="S1653" s="304">
        <f>IF(O1653&lt;=IF($O1653=0,0,SUMIFS(Disbursements!$W:$W,Disbursements!$B:$B,'Live Collections'!D1236,Disbursements!$D:$D,'Live Collections'!F1236)),O1653,IF($O1653=0,0,SUMIFS(Disbursements!$W:$W,Disbursements!$B:$B,'Live Collections'!D1236,Disbursements!$D:$D,'Live Collections'!F1236)))</f>
        <v>100000</v>
      </c>
      <c r="T1653" s="304">
        <f t="shared" si="78"/>
        <v>110000</v>
      </c>
      <c r="U1653" s="52"/>
      <c r="V1653" s="34"/>
      <c r="W1653" s="408"/>
    </row>
    <row r="1654" spans="1:23" ht="12.75" customHeight="1" x14ac:dyDescent="0.2">
      <c r="A1654" s="257">
        <v>1644</v>
      </c>
      <c r="B1654" s="44">
        <v>44505</v>
      </c>
      <c r="C1654" s="44">
        <f t="shared" si="76"/>
        <v>44505</v>
      </c>
      <c r="D1654" s="374">
        <v>167</v>
      </c>
      <c r="E1654" s="291" t="str">
        <f>IFERROR(VLOOKUP($D1654,'Clients-Live'!$A:$C,3,0),"")</f>
        <v>DRICHA KADIJA</v>
      </c>
      <c r="F1654" s="291">
        <f>IFERROR(INDEX(Disbursements!$D:$D,MATCH('Live Collections'!G1654,Disbursements!$C:$C,0)),"")</f>
        <v>1</v>
      </c>
      <c r="G1654" s="34">
        <v>157</v>
      </c>
      <c r="H1654" s="34">
        <v>3293</v>
      </c>
      <c r="I1654" s="34" t="s">
        <v>1358</v>
      </c>
      <c r="J1654" s="48"/>
      <c r="K1654" s="48"/>
      <c r="L1654" s="48"/>
      <c r="M1654" s="48"/>
      <c r="N1654" s="59"/>
      <c r="O1654" s="59">
        <v>217600</v>
      </c>
      <c r="P1654" s="59"/>
      <c r="Q1654" s="268">
        <f t="shared" si="77"/>
        <v>217600</v>
      </c>
      <c r="R1654" s="61">
        <f>IF(O1654=0,0,SUMIFS(Disbursements!$T:$T,Disbursements!$B:$B,'Live Collections'!D1654,Disbursements!$D:$D,'Live Collections'!F1654))</f>
        <v>217000</v>
      </c>
      <c r="S1654" s="304">
        <f>IF(O1654&lt;=IF($O1654=0,0,SUMIFS(Disbursements!$W:$W,Disbursements!$B:$B,'Live Collections'!D3203,Disbursements!$D:$D,'Live Collections'!F3203)),O1654,IF($O1654=0,0,SUMIFS(Disbursements!$W:$W,Disbursements!$B:$B,'Live Collections'!D3203,Disbursements!$D:$D,'Live Collections'!F3203)))</f>
        <v>65000</v>
      </c>
      <c r="T1654" s="304">
        <f t="shared" si="78"/>
        <v>152600</v>
      </c>
      <c r="U1654" s="52"/>
      <c r="V1654" s="34"/>
      <c r="W1654" s="408"/>
    </row>
    <row r="1655" spans="1:23" ht="12.75" customHeight="1" x14ac:dyDescent="0.2">
      <c r="A1655" s="257">
        <v>1630</v>
      </c>
      <c r="B1655" s="44">
        <v>44505</v>
      </c>
      <c r="C1655" s="44">
        <f t="shared" si="76"/>
        <v>44505</v>
      </c>
      <c r="D1655" s="374">
        <v>208</v>
      </c>
      <c r="E1655" s="291" t="str">
        <f>IFERROR(VLOOKUP($D1655,'Clients-Live'!$A:$C,3,0),"")</f>
        <v>TIKO RAIMA</v>
      </c>
      <c r="F1655" s="291" t="str">
        <f>IFERROR(INDEX(Disbursements!$D:$D,MATCH('Live Collections'!G1655,Disbursements!$C:$C,0)),"")</f>
        <v/>
      </c>
      <c r="G1655" s="34"/>
      <c r="H1655" s="34">
        <v>353</v>
      </c>
      <c r="I1655" s="34" t="s">
        <v>1357</v>
      </c>
      <c r="J1655" s="48"/>
      <c r="K1655" s="48"/>
      <c r="L1655" s="48"/>
      <c r="M1655" s="48"/>
      <c r="N1655" s="59"/>
      <c r="O1655" s="59"/>
      <c r="P1655" s="59">
        <v>-20000</v>
      </c>
      <c r="Q1655" s="268">
        <f t="shared" si="77"/>
        <v>-20000</v>
      </c>
      <c r="R1655" s="61">
        <f>IF(O1655=0,0,SUMIFS(Disbursements!$T:$T,Disbursements!$B:$B,'Live Collections'!D1655,Disbursements!$D:$D,'Live Collections'!F1655))</f>
        <v>0</v>
      </c>
      <c r="S1655" s="304">
        <f>IF(O1655&lt;=IF($O1655=0,0,SUMIFS(Disbursements!$W:$W,Disbursements!$B:$B,'Live Collections'!D2458,Disbursements!$D:$D,'Live Collections'!F2458)),O1655,IF($O1655=0,0,SUMIFS(Disbursements!$W:$W,Disbursements!$B:$B,'Live Collections'!D2458,Disbursements!$D:$D,'Live Collections'!F2458)))</f>
        <v>0</v>
      </c>
      <c r="T1655" s="304">
        <f t="shared" si="78"/>
        <v>0</v>
      </c>
      <c r="U1655" s="52"/>
      <c r="V1655" s="34"/>
      <c r="W1655" s="408"/>
    </row>
    <row r="1656" spans="1:23" ht="12.75" customHeight="1" x14ac:dyDescent="0.2">
      <c r="A1656" s="257">
        <v>1631</v>
      </c>
      <c r="B1656" s="44">
        <v>44505</v>
      </c>
      <c r="C1656" s="44">
        <f t="shared" si="76"/>
        <v>44505</v>
      </c>
      <c r="D1656" s="374">
        <v>208</v>
      </c>
      <c r="E1656" s="291" t="str">
        <f>IFERROR(VLOOKUP($D1656,'Clients-Live'!$A:$C,3,0),"")</f>
        <v>TIKO RAIMA</v>
      </c>
      <c r="F1656" s="291">
        <f>IFERROR(INDEX(Disbursements!$D:$D,MATCH('Live Collections'!G1656,Disbursements!$C:$C,0)),"")</f>
        <v>1</v>
      </c>
      <c r="G1656" s="34">
        <v>204</v>
      </c>
      <c r="H1656" s="34">
        <v>3160</v>
      </c>
      <c r="I1656" s="34" t="s">
        <v>1357</v>
      </c>
      <c r="J1656" s="48"/>
      <c r="K1656" s="48"/>
      <c r="L1656" s="48"/>
      <c r="M1656" s="48"/>
      <c r="N1656" s="59"/>
      <c r="O1656" s="59">
        <v>20000</v>
      </c>
      <c r="P1656" s="59"/>
      <c r="Q1656" s="268">
        <f t="shared" si="77"/>
        <v>20000</v>
      </c>
      <c r="R1656" s="61">
        <f>IF(O1656=0,0,SUMIFS(Disbursements!$T:$T,Disbursements!$B:$B,'Live Collections'!D1656,Disbursements!$D:$D,'Live Collections'!F1656))</f>
        <v>110000</v>
      </c>
      <c r="S1656" s="304"/>
      <c r="T1656" s="304">
        <f t="shared" si="78"/>
        <v>20000</v>
      </c>
      <c r="U1656" s="52"/>
      <c r="V1656" s="34"/>
      <c r="W1656" s="408"/>
    </row>
    <row r="1657" spans="1:23" ht="12.75" customHeight="1" x14ac:dyDescent="0.2">
      <c r="A1657" s="257">
        <v>1641</v>
      </c>
      <c r="B1657" s="44">
        <v>44505</v>
      </c>
      <c r="C1657" s="44">
        <f t="shared" si="76"/>
        <v>44505</v>
      </c>
      <c r="D1657" s="374">
        <v>208</v>
      </c>
      <c r="E1657" s="291" t="str">
        <f>IFERROR(VLOOKUP($D1657,'Clients-Live'!$A:$C,3,0),"")</f>
        <v>TIKO RAIMA</v>
      </c>
      <c r="F1657" s="291" t="str">
        <f>IFERROR(INDEX(Disbursements!$D:$D,MATCH('Live Collections'!G1657,Disbursements!$C:$C,0)),"")</f>
        <v/>
      </c>
      <c r="G1657" s="34"/>
      <c r="H1657" s="34">
        <v>3159</v>
      </c>
      <c r="I1657" s="34" t="s">
        <v>1357</v>
      </c>
      <c r="J1657" s="48">
        <v>15000</v>
      </c>
      <c r="K1657" s="48">
        <v>5000</v>
      </c>
      <c r="L1657" s="48"/>
      <c r="M1657" s="48"/>
      <c r="N1657" s="59"/>
      <c r="O1657" s="59"/>
      <c r="P1657" s="59"/>
      <c r="Q1657" s="268">
        <f t="shared" si="77"/>
        <v>20000</v>
      </c>
      <c r="R1657" s="61">
        <f>IF(O1657=0,0,SUMIFS(Disbursements!$T:$T,Disbursements!$B:$B,'Live Collections'!D1657,Disbursements!$D:$D,'Live Collections'!F1657))</f>
        <v>0</v>
      </c>
      <c r="S1657" s="304">
        <f>IF(O1657&lt;=IF($O1657=0,0,SUMIFS(Disbursements!$W:$W,Disbursements!$B:$B,'Live Collections'!D2460,Disbursements!$D:$D,'Live Collections'!F2460)),O1657,IF($O1657=0,0,SUMIFS(Disbursements!$W:$W,Disbursements!$B:$B,'Live Collections'!D2460,Disbursements!$D:$D,'Live Collections'!F2460)))</f>
        <v>0</v>
      </c>
      <c r="T1657" s="304">
        <f t="shared" si="78"/>
        <v>0</v>
      </c>
      <c r="U1657" s="52"/>
      <c r="V1657" s="34"/>
      <c r="W1657" s="408"/>
    </row>
    <row r="1658" spans="1:23" ht="12.75" customHeight="1" x14ac:dyDescent="0.2">
      <c r="A1658" s="257">
        <v>1642</v>
      </c>
      <c r="B1658" s="44">
        <v>44505</v>
      </c>
      <c r="C1658" s="44">
        <f t="shared" si="76"/>
        <v>44505</v>
      </c>
      <c r="D1658" s="374">
        <v>208</v>
      </c>
      <c r="E1658" s="291" t="str">
        <f>IFERROR(VLOOKUP($D1658,'Clients-Live'!$A:$C,3,0),"")</f>
        <v>TIKO RAIMA</v>
      </c>
      <c r="F1658" s="291">
        <f>IFERROR(INDEX(Disbursements!$D:$D,MATCH('Live Collections'!G1658,Disbursements!$C:$C,0)),"")</f>
        <v>1</v>
      </c>
      <c r="G1658" s="34">
        <v>204</v>
      </c>
      <c r="H1658" s="34">
        <v>3158</v>
      </c>
      <c r="I1658" s="34" t="s">
        <v>1357</v>
      </c>
      <c r="J1658" s="48"/>
      <c r="K1658" s="48"/>
      <c r="L1658" s="48"/>
      <c r="M1658" s="48"/>
      <c r="N1658" s="59"/>
      <c r="O1658" s="59">
        <v>95000</v>
      </c>
      <c r="P1658" s="59"/>
      <c r="Q1658" s="268">
        <f t="shared" si="77"/>
        <v>95000</v>
      </c>
      <c r="R1658" s="61">
        <f>IF(O1658=0,0,SUMIFS(Disbursements!$T:$T,Disbursements!$B:$B,'Live Collections'!D1658,Disbursements!$D:$D,'Live Collections'!F1658))</f>
        <v>110000</v>
      </c>
      <c r="S1658" s="304"/>
      <c r="T1658" s="304">
        <f t="shared" si="78"/>
        <v>95000</v>
      </c>
      <c r="U1658" s="52"/>
      <c r="V1658" s="34"/>
      <c r="W1658" s="408"/>
    </row>
    <row r="1659" spans="1:23" ht="12.75" customHeight="1" x14ac:dyDescent="0.2">
      <c r="A1659" s="257">
        <v>1636</v>
      </c>
      <c r="B1659" s="44">
        <v>44505</v>
      </c>
      <c r="C1659" s="44">
        <f t="shared" si="76"/>
        <v>44505</v>
      </c>
      <c r="D1659" s="374">
        <v>259</v>
      </c>
      <c r="E1659" s="291" t="str">
        <f>IFERROR(VLOOKUP($D1659,'Clients-Live'!$A:$C,3,0),"")</f>
        <v>SALAMA GIFT</v>
      </c>
      <c r="F1659" s="291">
        <f>IFERROR(INDEX(Disbursements!$D:$D,MATCH('Live Collections'!G1659,Disbursements!$C:$C,0)),"")</f>
        <v>1</v>
      </c>
      <c r="G1659" s="34">
        <v>310</v>
      </c>
      <c r="H1659" s="34">
        <v>3162</v>
      </c>
      <c r="I1659" s="34" t="s">
        <v>1357</v>
      </c>
      <c r="J1659" s="48"/>
      <c r="K1659" s="48"/>
      <c r="L1659" s="48"/>
      <c r="M1659" s="48"/>
      <c r="N1659" s="59"/>
      <c r="O1659" s="59"/>
      <c r="P1659" s="59">
        <v>20000</v>
      </c>
      <c r="Q1659" s="268">
        <f t="shared" si="77"/>
        <v>20000</v>
      </c>
      <c r="R1659" s="61">
        <f>IF(O1659=0,0,SUMIFS(Disbursements!$T:$T,Disbursements!$B:$B,'Live Collections'!D1659,Disbursements!$D:$D,'Live Collections'!F1659))</f>
        <v>0</v>
      </c>
      <c r="S1659" s="304">
        <f>IF(O1659&lt;=IF($O1659=0,0,SUMIFS(Disbursements!$W:$W,Disbursements!$B:$B,'Live Collections'!D2869,Disbursements!$D:$D,'Live Collections'!F2869)),O1659,IF($O1659=0,0,SUMIFS(Disbursements!$W:$W,Disbursements!$B:$B,'Live Collections'!D2869,Disbursements!$D:$D,'Live Collections'!F2869)))</f>
        <v>0</v>
      </c>
      <c r="T1659" s="304">
        <f t="shared" si="78"/>
        <v>0</v>
      </c>
      <c r="U1659" s="52"/>
      <c r="V1659" s="34"/>
      <c r="W1659" s="408"/>
    </row>
    <row r="1660" spans="1:23" ht="12.75" customHeight="1" x14ac:dyDescent="0.2">
      <c r="A1660" s="257">
        <v>1643</v>
      </c>
      <c r="B1660" s="44">
        <v>44505</v>
      </c>
      <c r="C1660" s="44">
        <f t="shared" si="76"/>
        <v>44505</v>
      </c>
      <c r="D1660" s="374">
        <v>277</v>
      </c>
      <c r="E1660" s="291" t="str">
        <f>IFERROR(VLOOKUP($D1660,'Clients-Live'!$A:$C,3,0),"")</f>
        <v>WAYI DAVID</v>
      </c>
      <c r="F1660" s="291">
        <f>IFERROR(INDEX(Disbursements!$D:$D,MATCH('Live Collections'!G1660,Disbursements!$C:$C,0)),"")</f>
        <v>1</v>
      </c>
      <c r="G1660" s="34">
        <v>309</v>
      </c>
      <c r="H1660" s="34">
        <v>3294</v>
      </c>
      <c r="I1660" s="34" t="s">
        <v>1358</v>
      </c>
      <c r="J1660" s="48"/>
      <c r="K1660" s="48"/>
      <c r="L1660" s="48"/>
      <c r="M1660" s="48"/>
      <c r="N1660" s="59"/>
      <c r="O1660" s="59"/>
      <c r="P1660" s="59">
        <v>250000</v>
      </c>
      <c r="Q1660" s="268">
        <f t="shared" si="77"/>
        <v>250000</v>
      </c>
      <c r="R1660" s="61">
        <f>IF(O1660=0,0,SUMIFS(Disbursements!$T:$T,Disbursements!$B:$B,'Live Collections'!D1660,Disbursements!$D:$D,'Live Collections'!F1660))</f>
        <v>0</v>
      </c>
      <c r="S1660" s="304">
        <f>IF(O1660&lt;=IF($O1660=0,0,SUMIFS(Disbursements!$W:$W,Disbursements!$B:$B,'Live Collections'!D2992,Disbursements!$D:$D,'Live Collections'!F2992)),O1660,IF($O1660=0,0,SUMIFS(Disbursements!$W:$W,Disbursements!$B:$B,'Live Collections'!D2992,Disbursements!$D:$D,'Live Collections'!F2992)))</f>
        <v>0</v>
      </c>
      <c r="T1660" s="304">
        <f t="shared" si="78"/>
        <v>0</v>
      </c>
      <c r="U1660" s="52"/>
      <c r="V1660" s="34"/>
      <c r="W1660" s="408"/>
    </row>
    <row r="1661" spans="1:23" ht="12.75" customHeight="1" x14ac:dyDescent="0.2">
      <c r="A1661" s="257">
        <v>1647</v>
      </c>
      <c r="B1661" s="44">
        <v>44506</v>
      </c>
      <c r="C1661" s="44">
        <f t="shared" si="76"/>
        <v>44506</v>
      </c>
      <c r="D1661" s="374">
        <v>9</v>
      </c>
      <c r="E1661" s="291" t="str">
        <f>IFERROR(VLOOKUP($D1661,'Clients-Live'!$A:$C,3,0),"")</f>
        <v>TABAN DAVID YAYA</v>
      </c>
      <c r="F1661" s="291">
        <f>IFERROR(INDEX(Disbursements!$D:$D,MATCH('Live Collections'!G1661,Disbursements!$C:$C,0)),"")</f>
        <v>2</v>
      </c>
      <c r="G1661" s="34">
        <v>221</v>
      </c>
      <c r="H1661" s="34">
        <v>3171</v>
      </c>
      <c r="I1661" s="34" t="s">
        <v>1357</v>
      </c>
      <c r="J1661" s="48"/>
      <c r="K1661" s="48"/>
      <c r="L1661" s="48"/>
      <c r="M1661" s="48"/>
      <c r="N1661" s="59"/>
      <c r="O1661" s="59">
        <v>100000</v>
      </c>
      <c r="P1661" s="59"/>
      <c r="Q1661" s="268">
        <f t="shared" si="77"/>
        <v>100000</v>
      </c>
      <c r="R1661" s="61">
        <f>IF(O1661=0,0,SUMIFS(Disbursements!$T:$T,Disbursements!$B:$B,'Live Collections'!D1661,Disbursements!$D:$D,'Live Collections'!F1661))</f>
        <v>360000</v>
      </c>
      <c r="S1661" s="304">
        <f>IF(O1661&lt;=IF($O1661=0,0,SUMIFS(Disbursements!$W:$W,Disbursements!$B:$B,'Live Collections'!D89,Disbursements!$D:$D,'Live Collections'!F89)),O1661,IF($O1661=0,0,SUMIFS(Disbursements!$W:$W,Disbursements!$B:$B,'Live Collections'!D89,Disbursements!$D:$D,'Live Collections'!F89)))</f>
        <v>75000</v>
      </c>
      <c r="T1661" s="304">
        <f t="shared" si="78"/>
        <v>25000</v>
      </c>
      <c r="U1661" s="52"/>
      <c r="V1661" s="34"/>
      <c r="W1661" s="408"/>
    </row>
    <row r="1662" spans="1:23" ht="12.75" customHeight="1" x14ac:dyDescent="0.2">
      <c r="A1662" s="257">
        <v>1652</v>
      </c>
      <c r="B1662" s="44">
        <v>44506</v>
      </c>
      <c r="C1662" s="44">
        <f t="shared" si="76"/>
        <v>44506</v>
      </c>
      <c r="D1662" s="374">
        <v>32</v>
      </c>
      <c r="E1662" s="291" t="str">
        <f>IFERROR(VLOOKUP($D1662,'Clients-Live'!$A:$C,3,0),"")</f>
        <v>BAKO LINA ESERU</v>
      </c>
      <c r="F1662" s="291">
        <f>IFERROR(INDEX(Disbursements!$D:$D,MATCH('Live Collections'!G1662,Disbursements!$C:$C,0)),"")</f>
        <v>2</v>
      </c>
      <c r="G1662" s="34">
        <v>258</v>
      </c>
      <c r="H1662" s="34">
        <v>3176</v>
      </c>
      <c r="I1662" s="34" t="s">
        <v>1359</v>
      </c>
      <c r="J1662" s="48"/>
      <c r="K1662" s="48"/>
      <c r="L1662" s="48"/>
      <c r="M1662" s="48"/>
      <c r="N1662" s="59"/>
      <c r="O1662" s="59">
        <v>150000</v>
      </c>
      <c r="P1662" s="59"/>
      <c r="Q1662" s="268">
        <f t="shared" si="77"/>
        <v>150000</v>
      </c>
      <c r="R1662" s="61">
        <f>IF(O1662=0,0,SUMIFS(Disbursements!$T:$T,Disbursements!$B:$B,'Live Collections'!D1662,Disbursements!$D:$D,'Live Collections'!F1662))</f>
        <v>150000</v>
      </c>
      <c r="S1662" s="304">
        <f>IF(O1662&lt;=IF($O1662=0,0,SUMIFS(Disbursements!$W:$W,Disbursements!$B:$B,'Live Collections'!D371,Disbursements!$D:$D,'Live Collections'!F371)),O1662,IF($O1662=0,0,SUMIFS(Disbursements!$W:$W,Disbursements!$B:$B,'Live Collections'!D371,Disbursements!$D:$D,'Live Collections'!F371)))</f>
        <v>0</v>
      </c>
      <c r="T1662" s="304">
        <f t="shared" si="78"/>
        <v>150000</v>
      </c>
      <c r="U1662" s="52"/>
      <c r="V1662" s="34"/>
      <c r="W1662" s="408"/>
    </row>
    <row r="1663" spans="1:23" ht="12.75" customHeight="1" x14ac:dyDescent="0.2">
      <c r="A1663" s="257">
        <v>1649</v>
      </c>
      <c r="B1663" s="44">
        <v>44506</v>
      </c>
      <c r="C1663" s="44">
        <f t="shared" si="76"/>
        <v>44506</v>
      </c>
      <c r="D1663" s="374">
        <v>45</v>
      </c>
      <c r="E1663" s="291" t="str">
        <f>IFERROR(VLOOKUP($D1663,'Clients-Live'!$A:$C,3,0),"")</f>
        <v>SANYA DONALD</v>
      </c>
      <c r="F1663" s="291">
        <f>IFERROR(INDEX(Disbursements!$D:$D,MATCH('Live Collections'!G1663,Disbursements!$C:$C,0)),"")</f>
        <v>1</v>
      </c>
      <c r="G1663" s="34">
        <v>25</v>
      </c>
      <c r="H1663" s="34">
        <v>3172</v>
      </c>
      <c r="I1663" s="34" t="s">
        <v>1359</v>
      </c>
      <c r="J1663" s="48"/>
      <c r="K1663" s="48"/>
      <c r="L1663" s="48"/>
      <c r="M1663" s="48"/>
      <c r="N1663" s="59">
        <v>50000</v>
      </c>
      <c r="O1663" s="59">
        <v>270000</v>
      </c>
      <c r="P1663" s="59"/>
      <c r="Q1663" s="268">
        <f t="shared" si="77"/>
        <v>320000</v>
      </c>
      <c r="R1663" s="61">
        <f>IF(O1663=0,0,SUMIFS(Disbursements!$T:$T,Disbursements!$B:$B,'Live Collections'!D1663,Disbursements!$D:$D,'Live Collections'!F1663))</f>
        <v>605000</v>
      </c>
      <c r="S1663" s="304">
        <f>IF(O1663&lt;=IF($O1663=0,0,SUMIFS(Disbursements!$W:$W,Disbursements!$B:$B,'Live Collections'!D508,Disbursements!$D:$D,'Live Collections'!F508)),O1663,IF($O1663=0,0,SUMIFS(Disbursements!$W:$W,Disbursements!$B:$B,'Live Collections'!D508,Disbursements!$D:$D,'Live Collections'!F508)))</f>
        <v>25666.666666666672</v>
      </c>
      <c r="T1663" s="304">
        <f t="shared" si="78"/>
        <v>244333.33333333331</v>
      </c>
      <c r="U1663" s="52"/>
      <c r="V1663" s="34"/>
      <c r="W1663" s="408"/>
    </row>
    <row r="1664" spans="1:23" ht="12.75" customHeight="1" x14ac:dyDescent="0.2">
      <c r="A1664" s="257">
        <v>1650</v>
      </c>
      <c r="B1664" s="44">
        <v>44506</v>
      </c>
      <c r="C1664" s="44">
        <f t="shared" si="76"/>
        <v>44506</v>
      </c>
      <c r="D1664" s="374">
        <v>87</v>
      </c>
      <c r="E1664" s="291" t="str">
        <f>IFERROR(VLOOKUP($D1664,'Clients-Live'!$A:$C,3,0),"")</f>
        <v>FAIDA ZUBEDA</v>
      </c>
      <c r="F1664" s="291">
        <f>IFERROR(INDEX(Disbursements!$D:$D,MATCH('Live Collections'!G1664,Disbursements!$C:$C,0)),"")</f>
        <v>1</v>
      </c>
      <c r="G1664" s="34">
        <v>70</v>
      </c>
      <c r="H1664" s="34">
        <v>3173</v>
      </c>
      <c r="I1664" s="34" t="s">
        <v>1358</v>
      </c>
      <c r="J1664" s="48"/>
      <c r="K1664" s="48"/>
      <c r="L1664" s="48"/>
      <c r="M1664" s="48"/>
      <c r="N1664" s="59"/>
      <c r="O1664" s="59">
        <v>150000</v>
      </c>
      <c r="P1664" s="59"/>
      <c r="Q1664" s="268">
        <f t="shared" si="77"/>
        <v>150000</v>
      </c>
      <c r="R1664" s="61">
        <f>IF(O1664=0,0,SUMIFS(Disbursements!$T:$T,Disbursements!$B:$B,'Live Collections'!D1664,Disbursements!$D:$D,'Live Collections'!F1664))</f>
        <v>175000</v>
      </c>
      <c r="S1664" s="304">
        <v>-3000</v>
      </c>
      <c r="T1664" s="304">
        <f t="shared" si="78"/>
        <v>153000</v>
      </c>
      <c r="U1664" s="52"/>
      <c r="V1664" s="34"/>
      <c r="W1664" s="408"/>
    </row>
    <row r="1665" spans="1:23" ht="12.75" customHeight="1" x14ac:dyDescent="0.2">
      <c r="A1665" s="257">
        <v>1653</v>
      </c>
      <c r="B1665" s="44">
        <v>44506</v>
      </c>
      <c r="C1665" s="44">
        <f t="shared" si="76"/>
        <v>44506</v>
      </c>
      <c r="D1665" s="374">
        <v>146</v>
      </c>
      <c r="E1665" s="291" t="str">
        <f>IFERROR(VLOOKUP($D1665,'Clients-Live'!$A:$C,3,0),"")</f>
        <v>IMBIRA AISHA</v>
      </c>
      <c r="F1665" s="291">
        <f>IFERROR(INDEX(Disbursements!$D:$D,MATCH('Live Collections'!G1665,Disbursements!$C:$C,0)),"")</f>
        <v>1</v>
      </c>
      <c r="G1665" s="34">
        <v>133</v>
      </c>
      <c r="H1665" s="34">
        <v>3168</v>
      </c>
      <c r="I1665" s="34" t="s">
        <v>1357</v>
      </c>
      <c r="J1665" s="48"/>
      <c r="K1665" s="48"/>
      <c r="L1665" s="48"/>
      <c r="M1665" s="48"/>
      <c r="N1665" s="59"/>
      <c r="O1665" s="59">
        <v>30000</v>
      </c>
      <c r="P1665" s="59"/>
      <c r="Q1665" s="268">
        <f t="shared" si="77"/>
        <v>30000</v>
      </c>
      <c r="R1665" s="61">
        <f>IF(O1665=0,0,SUMIFS(Disbursements!$T:$T,Disbursements!$B:$B,'Live Collections'!D1665,Disbursements!$D:$D,'Live Collections'!F1665))</f>
        <v>120000</v>
      </c>
      <c r="S1665" s="304"/>
      <c r="T1665" s="304">
        <f t="shared" si="78"/>
        <v>30000</v>
      </c>
      <c r="U1665" s="52"/>
      <c r="V1665" s="34"/>
      <c r="W1665" s="408"/>
    </row>
    <row r="1666" spans="1:23" ht="12.75" customHeight="1" x14ac:dyDescent="0.2">
      <c r="A1666" s="257">
        <v>1651</v>
      </c>
      <c r="B1666" s="44">
        <v>44506</v>
      </c>
      <c r="C1666" s="44">
        <f t="shared" si="76"/>
        <v>44506</v>
      </c>
      <c r="D1666" s="374">
        <v>151</v>
      </c>
      <c r="E1666" s="291" t="str">
        <f>IFERROR(VLOOKUP($D1666,'Clients-Live'!$A:$C,3,0),"")</f>
        <v>MORRO HASSAN</v>
      </c>
      <c r="F1666" s="291" t="str">
        <f>IFERROR(INDEX(Disbursements!$D:$D,MATCH('Live Collections'!G1666,Disbursements!$C:$C,0)),"")</f>
        <v/>
      </c>
      <c r="G1666" s="34"/>
      <c r="H1666" s="34">
        <v>3174</v>
      </c>
      <c r="I1666" s="34" t="s">
        <v>1359</v>
      </c>
      <c r="J1666" s="48"/>
      <c r="K1666" s="48"/>
      <c r="L1666" s="48"/>
      <c r="M1666" s="48"/>
      <c r="N1666" s="59"/>
      <c r="O1666" s="59">
        <v>200000</v>
      </c>
      <c r="P1666" s="59"/>
      <c r="Q1666" s="268">
        <f t="shared" si="77"/>
        <v>200000</v>
      </c>
      <c r="R1666" s="61">
        <f>IF(O1666=0,0,SUMIFS(Disbursements!$T:$T,Disbursements!$B:$B,'Live Collections'!D1666,Disbursements!$D:$D,'Live Collections'!F1666))</f>
        <v>0</v>
      </c>
      <c r="S1666" s="304">
        <f>IF(O1666&lt;=IF($O1666=0,0,SUMIFS(Disbursements!$W:$W,Disbursements!$B:$B,'Live Collections'!D1903,Disbursements!$D:$D,'Live Collections'!F1903)),O1666,IF($O1666=0,0,SUMIFS(Disbursements!$W:$W,Disbursements!$B:$B,'Live Collections'!D1903,Disbursements!$D:$D,'Live Collections'!F1903)))</f>
        <v>75000</v>
      </c>
      <c r="T1666" s="304">
        <f t="shared" si="78"/>
        <v>125000</v>
      </c>
      <c r="U1666" s="52"/>
      <c r="V1666" s="34"/>
      <c r="W1666" s="408"/>
    </row>
    <row r="1667" spans="1:23" ht="12.75" customHeight="1" x14ac:dyDescent="0.2">
      <c r="A1667" s="257">
        <v>1648</v>
      </c>
      <c r="B1667" s="44">
        <v>44506</v>
      </c>
      <c r="C1667" s="44">
        <f t="shared" si="76"/>
        <v>44506</v>
      </c>
      <c r="D1667" s="374">
        <v>236</v>
      </c>
      <c r="E1667" s="291" t="str">
        <f>IFERROR(VLOOKUP($D1667,'Clients-Live'!$A:$C,3,0),"")</f>
        <v>AMIJI LUCY</v>
      </c>
      <c r="F1667" s="291">
        <f>IFERROR(INDEX(Disbursements!$D:$D,MATCH('Live Collections'!G1667,Disbursements!$C:$C,0)),"")</f>
        <v>1</v>
      </c>
      <c r="G1667" s="34">
        <v>247</v>
      </c>
      <c r="H1667" s="34">
        <v>3170</v>
      </c>
      <c r="I1667" s="34" t="s">
        <v>1357</v>
      </c>
      <c r="J1667" s="48"/>
      <c r="K1667" s="48"/>
      <c r="L1667" s="48"/>
      <c r="M1667" s="48"/>
      <c r="N1667" s="59"/>
      <c r="O1667" s="59">
        <v>250000</v>
      </c>
      <c r="P1667" s="59"/>
      <c r="Q1667" s="268">
        <f t="shared" si="77"/>
        <v>250000</v>
      </c>
      <c r="R1667" s="61">
        <f>IF(O1667=0,0,SUMIFS(Disbursements!$T:$T,Disbursements!$B:$B,'Live Collections'!D1667,Disbursements!$D:$D,'Live Collections'!F1667))</f>
        <v>384000</v>
      </c>
      <c r="S1667" s="304">
        <f>IF(O1667&lt;=IF($O1667=0,0,SUMIFS(Disbursements!$W:$W,Disbursements!$B:$B,'Live Collections'!D2714,Disbursements!$D:$D,'Live Collections'!F2714)),O1667,IF($O1667=0,0,SUMIFS(Disbursements!$W:$W,Disbursements!$B:$B,'Live Collections'!D2714,Disbursements!$D:$D,'Live Collections'!F2714)))</f>
        <v>16333.333333333336</v>
      </c>
      <c r="T1667" s="304">
        <f t="shared" si="78"/>
        <v>233666.66666666666</v>
      </c>
      <c r="U1667" s="52"/>
      <c r="V1667" s="34"/>
      <c r="W1667" s="408"/>
    </row>
    <row r="1668" spans="1:23" ht="12.75" customHeight="1" x14ac:dyDescent="0.2">
      <c r="A1668" s="257">
        <v>1666</v>
      </c>
      <c r="B1668" s="44">
        <v>44508</v>
      </c>
      <c r="C1668" s="44">
        <f t="shared" si="76"/>
        <v>44508</v>
      </c>
      <c r="D1668" s="374">
        <v>31</v>
      </c>
      <c r="E1668" s="291" t="str">
        <f>IFERROR(VLOOKUP($D1668,'Clients-Live'!$A:$C,3,0),"")</f>
        <v>MUNDURU HARRIET</v>
      </c>
      <c r="F1668" s="291">
        <f>IFERROR(INDEX(Disbursements!$D:$D,MATCH('Live Collections'!G1668,Disbursements!$C:$C,0)),"")</f>
        <v>2</v>
      </c>
      <c r="G1668" s="34">
        <v>260</v>
      </c>
      <c r="H1668" s="34">
        <v>3191</v>
      </c>
      <c r="I1668" s="34" t="s">
        <v>1357</v>
      </c>
      <c r="J1668" s="48"/>
      <c r="K1668" s="48"/>
      <c r="L1668" s="48"/>
      <c r="M1668" s="48"/>
      <c r="N1668" s="59"/>
      <c r="O1668" s="59">
        <v>150000</v>
      </c>
      <c r="P1668" s="59"/>
      <c r="Q1668" s="268">
        <f t="shared" si="77"/>
        <v>150000</v>
      </c>
      <c r="R1668" s="61">
        <f>IF(O1668=0,0,SUMIFS(Disbursements!$T:$T,Disbursements!$B:$B,'Live Collections'!D1668,Disbursements!$D:$D,'Live Collections'!F1668))</f>
        <v>150000</v>
      </c>
      <c r="S1668" s="304">
        <f>IF(O1668&lt;=IF($O1668=0,0,SUMIFS(Disbursements!$W:$W,Disbursements!$B:$B,'Live Collections'!D356,Disbursements!$D:$D,'Live Collections'!F356)),O1668,IF($O1668=0,0,SUMIFS(Disbursements!$W:$W,Disbursements!$B:$B,'Live Collections'!D356,Disbursements!$D:$D,'Live Collections'!F356)))</f>
        <v>25000</v>
      </c>
      <c r="T1668" s="304">
        <f t="shared" si="78"/>
        <v>125000</v>
      </c>
      <c r="U1668" s="52"/>
      <c r="V1668" s="34"/>
      <c r="W1668" s="408"/>
    </row>
    <row r="1669" spans="1:23" ht="12.75" customHeight="1" x14ac:dyDescent="0.2">
      <c r="A1669" s="257">
        <v>1656</v>
      </c>
      <c r="B1669" s="44">
        <v>44508</v>
      </c>
      <c r="C1669" s="44">
        <f t="shared" si="76"/>
        <v>44508</v>
      </c>
      <c r="D1669" s="374">
        <v>45</v>
      </c>
      <c r="E1669" s="291" t="str">
        <f>IFERROR(VLOOKUP($D1669,'Clients-Live'!$A:$C,3,0),"")</f>
        <v>SANYA DONALD</v>
      </c>
      <c r="F1669" s="291" t="str">
        <f>IFERROR(INDEX(Disbursements!$D:$D,MATCH('Live Collections'!G1669,Disbursements!$C:$C,0)),"")</f>
        <v/>
      </c>
      <c r="G1669" s="34"/>
      <c r="H1669" s="34">
        <v>361</v>
      </c>
      <c r="I1669" s="34" t="s">
        <v>1359</v>
      </c>
      <c r="J1669" s="48"/>
      <c r="K1669" s="48"/>
      <c r="L1669" s="48"/>
      <c r="M1669" s="48"/>
      <c r="N1669" s="59"/>
      <c r="O1669" s="59"/>
      <c r="P1669" s="59">
        <v>-110000</v>
      </c>
      <c r="Q1669" s="268">
        <f t="shared" si="77"/>
        <v>-110000</v>
      </c>
      <c r="R1669" s="61">
        <f>IF(O1669=0,0,SUMIFS(Disbursements!$T:$T,Disbursements!$B:$B,'Live Collections'!D1669,Disbursements!$D:$D,'Live Collections'!F1669))</f>
        <v>0</v>
      </c>
      <c r="S1669" s="304">
        <f>IF(O1669&lt;=IF($O1669=0,0,SUMIFS(Disbursements!$W:$W,Disbursements!$B:$B,'Live Collections'!D509,Disbursements!$D:$D,'Live Collections'!F509)),O1669,IF($O1669=0,0,SUMIFS(Disbursements!$W:$W,Disbursements!$B:$B,'Live Collections'!D509,Disbursements!$D:$D,'Live Collections'!F509)))</f>
        <v>0</v>
      </c>
      <c r="T1669" s="304">
        <f t="shared" si="78"/>
        <v>0</v>
      </c>
      <c r="U1669" s="52"/>
      <c r="V1669" s="34"/>
      <c r="W1669" s="408" t="s">
        <v>2063</v>
      </c>
    </row>
    <row r="1670" spans="1:23" ht="12.75" customHeight="1" x14ac:dyDescent="0.2">
      <c r="A1670" s="257">
        <v>1657</v>
      </c>
      <c r="B1670" s="44">
        <v>44508</v>
      </c>
      <c r="C1670" s="44">
        <f t="shared" si="76"/>
        <v>44508</v>
      </c>
      <c r="D1670" s="374">
        <v>45</v>
      </c>
      <c r="E1670" s="291" t="str">
        <f>IFERROR(VLOOKUP($D1670,'Clients-Live'!$A:$C,3,0),"")</f>
        <v>SANYA DONALD</v>
      </c>
      <c r="F1670" s="291">
        <f>IFERROR(INDEX(Disbursements!$D:$D,MATCH('Live Collections'!G1670,Disbursements!$C:$C,0)),"")</f>
        <v>1</v>
      </c>
      <c r="G1670" s="34">
        <v>25</v>
      </c>
      <c r="H1670" s="34">
        <v>3188</v>
      </c>
      <c r="I1670" s="34" t="s">
        <v>1359</v>
      </c>
      <c r="J1670" s="48"/>
      <c r="K1670" s="48"/>
      <c r="L1670" s="48"/>
      <c r="M1670" s="48"/>
      <c r="N1670" s="59"/>
      <c r="O1670" s="59">
        <v>110000</v>
      </c>
      <c r="P1670" s="59"/>
      <c r="Q1670" s="268">
        <f t="shared" si="77"/>
        <v>110000</v>
      </c>
      <c r="R1670" s="61">
        <f>IF(O1670=0,0,SUMIFS(Disbursements!$T:$T,Disbursements!$B:$B,'Live Collections'!D1670,Disbursements!$D:$D,'Live Collections'!F1670))</f>
        <v>605000</v>
      </c>
      <c r="S1670" s="64">
        <v>29333.333333333328</v>
      </c>
      <c r="T1670" s="304">
        <f t="shared" si="78"/>
        <v>80666.666666666672</v>
      </c>
      <c r="U1670" s="52"/>
      <c r="V1670" s="34"/>
      <c r="W1670" s="408" t="s">
        <v>2086</v>
      </c>
    </row>
    <row r="1671" spans="1:23" ht="12.75" customHeight="1" x14ac:dyDescent="0.2">
      <c r="A1671" s="257"/>
      <c r="B1671" s="44"/>
      <c r="C1671" s="44"/>
      <c r="D1671" s="374"/>
      <c r="E1671" s="291"/>
      <c r="F1671" s="291"/>
      <c r="G1671" s="34"/>
      <c r="H1671" s="34"/>
      <c r="I1671" s="34"/>
      <c r="J1671" s="48"/>
      <c r="K1671" s="48"/>
      <c r="L1671" s="48"/>
      <c r="M1671" s="48"/>
      <c r="N1671" s="59"/>
      <c r="O1671" s="59"/>
      <c r="P1671" s="59"/>
      <c r="Q1671" s="268"/>
      <c r="R1671" s="61"/>
      <c r="S1671" s="304"/>
      <c r="T1671" s="304"/>
      <c r="U1671" s="52"/>
      <c r="V1671" s="34"/>
      <c r="W1671" s="408"/>
    </row>
    <row r="1672" spans="1:23" ht="12.75" customHeight="1" x14ac:dyDescent="0.2">
      <c r="A1672" s="257"/>
      <c r="B1672" s="44"/>
      <c r="C1672" s="44"/>
      <c r="D1672" s="374"/>
      <c r="E1672" s="291"/>
      <c r="F1672" s="291"/>
      <c r="G1672" s="34"/>
      <c r="H1672" s="34"/>
      <c r="I1672" s="34"/>
      <c r="J1672" s="48"/>
      <c r="K1672" s="48"/>
      <c r="L1672" s="48"/>
      <c r="M1672" s="48"/>
      <c r="N1672" s="59"/>
      <c r="O1672" s="59"/>
      <c r="P1672" s="59"/>
      <c r="Q1672" s="268"/>
      <c r="R1672" s="61"/>
      <c r="S1672" s="304"/>
      <c r="T1672" s="304"/>
      <c r="U1672" s="52"/>
      <c r="V1672" s="34"/>
      <c r="W1672" s="408"/>
    </row>
    <row r="1673" spans="1:23" ht="12.75" customHeight="1" x14ac:dyDescent="0.2">
      <c r="A1673" s="257">
        <v>1658</v>
      </c>
      <c r="B1673" s="44">
        <v>44508</v>
      </c>
      <c r="C1673" s="44">
        <f t="shared" ref="C1673:C1731" si="79">B1673</f>
        <v>44508</v>
      </c>
      <c r="D1673" s="374">
        <v>51</v>
      </c>
      <c r="E1673" s="291" t="str">
        <f>IFERROR(VLOOKUP($D1673,'Clients-Live'!$A:$C,3,0),"")</f>
        <v>AYILE STEPHEN</v>
      </c>
      <c r="F1673" s="291">
        <f>IFERROR(INDEX(Disbursements!$D:$D,MATCH('Live Collections'!G1673,Disbursements!$C:$C,0)),"")</f>
        <v>1</v>
      </c>
      <c r="G1673" s="34">
        <v>34</v>
      </c>
      <c r="H1673" s="34">
        <v>3104</v>
      </c>
      <c r="I1673" s="34" t="s">
        <v>1359</v>
      </c>
      <c r="J1673" s="48"/>
      <c r="K1673" s="48"/>
      <c r="L1673" s="48"/>
      <c r="M1673" s="48"/>
      <c r="N1673" s="59"/>
      <c r="O1673" s="59">
        <v>440000</v>
      </c>
      <c r="P1673" s="59"/>
      <c r="Q1673" s="268">
        <f t="shared" ref="Q1673:Q1731" si="80">SUM(J1673:P1673)</f>
        <v>440000</v>
      </c>
      <c r="R1673" s="61">
        <f>IF(O1673=0,0,SUMIFS(Disbursements!$T:$T,Disbursements!$B:$B,'Live Collections'!D1673,Disbursements!$D:$D,'Live Collections'!F1673))</f>
        <v>325000</v>
      </c>
      <c r="S1673" s="64">
        <v>369333.33333333337</v>
      </c>
      <c r="T1673" s="304">
        <f t="shared" ref="T1673:T1731" si="81">IF(O1673=0,0,O1673-S1673)</f>
        <v>70666.666666666628</v>
      </c>
      <c r="U1673" s="52"/>
      <c r="V1673" s="34"/>
      <c r="W1673" s="408" t="s">
        <v>2086</v>
      </c>
    </row>
    <row r="1674" spans="1:23" ht="12.75" customHeight="1" x14ac:dyDescent="0.2">
      <c r="A1674" s="257">
        <v>1659</v>
      </c>
      <c r="B1674" s="44">
        <v>44508</v>
      </c>
      <c r="C1674" s="44">
        <f t="shared" si="79"/>
        <v>44508</v>
      </c>
      <c r="D1674" s="374">
        <v>71</v>
      </c>
      <c r="E1674" s="291" t="str">
        <f>IFERROR(VLOOKUP($D1674,'Clients-Live'!$A:$C,3,0),"")</f>
        <v>AYIKORU HARIET BAUDI</v>
      </c>
      <c r="F1674" s="291" t="str">
        <f>IFERROR(INDEX(Disbursements!$D:$D,MATCH('Live Collections'!G1674,Disbursements!$C:$C,0)),"")</f>
        <v/>
      </c>
      <c r="G1674" s="34"/>
      <c r="H1674" s="34">
        <v>3198</v>
      </c>
      <c r="I1674" s="34" t="s">
        <v>1357</v>
      </c>
      <c r="J1674" s="48"/>
      <c r="K1674" s="48"/>
      <c r="L1674" s="48">
        <v>20000</v>
      </c>
      <c r="M1674" s="48">
        <v>5000</v>
      </c>
      <c r="N1674" s="59"/>
      <c r="O1674" s="59"/>
      <c r="P1674" s="59"/>
      <c r="Q1674" s="268">
        <f t="shared" si="80"/>
        <v>25000</v>
      </c>
      <c r="R1674" s="61">
        <f>IF(O1674=0,0,SUMIFS(Disbursements!$T:$T,Disbursements!$B:$B,'Live Collections'!D1674,Disbursements!$D:$D,'Live Collections'!F1674))</f>
        <v>0</v>
      </c>
      <c r="S1674" s="304">
        <f>IF(O1674&lt;=IF($O1674=0,0,SUMIFS(Disbursements!$W:$W,Disbursements!$B:$B,'Live Collections'!D891,Disbursements!$D:$D,'Live Collections'!F891)),O1674,IF($O1674=0,0,SUMIFS(Disbursements!$W:$W,Disbursements!$B:$B,'Live Collections'!D891,Disbursements!$D:$D,'Live Collections'!F891)))</f>
        <v>0</v>
      </c>
      <c r="T1674" s="304">
        <f t="shared" si="81"/>
        <v>0</v>
      </c>
      <c r="U1674" s="52"/>
      <c r="V1674" s="34"/>
      <c r="W1674" s="408"/>
    </row>
    <row r="1675" spans="1:23" ht="12.75" customHeight="1" x14ac:dyDescent="0.2">
      <c r="A1675" s="257">
        <v>1660</v>
      </c>
      <c r="B1675" s="44">
        <v>44508</v>
      </c>
      <c r="C1675" s="44">
        <f t="shared" si="79"/>
        <v>44508</v>
      </c>
      <c r="D1675" s="374">
        <v>71</v>
      </c>
      <c r="E1675" s="291" t="str">
        <f>IFERROR(VLOOKUP($D1675,'Clients-Live'!$A:$C,3,0),"")</f>
        <v>AYIKORU HARIET BAUDI</v>
      </c>
      <c r="F1675" s="291" t="str">
        <f>IFERROR(INDEX(Disbursements!$D:$D,MATCH('Live Collections'!G1675,Disbursements!$C:$C,0)),"")</f>
        <v/>
      </c>
      <c r="G1675" s="34"/>
      <c r="H1675" s="34">
        <v>3195</v>
      </c>
      <c r="I1675" s="34" t="s">
        <v>1736</v>
      </c>
      <c r="J1675" s="48"/>
      <c r="K1675" s="48">
        <v>5000</v>
      </c>
      <c r="L1675" s="48"/>
      <c r="M1675" s="48"/>
      <c r="N1675" s="59"/>
      <c r="O1675" s="59"/>
      <c r="P1675" s="59"/>
      <c r="Q1675" s="268">
        <f t="shared" si="80"/>
        <v>5000</v>
      </c>
      <c r="R1675" s="61">
        <f>IF(O1675=0,0,SUMIFS(Disbursements!$T:$T,Disbursements!$B:$B,'Live Collections'!D1675,Disbursements!$D:$D,'Live Collections'!F1675))</f>
        <v>0</v>
      </c>
      <c r="S1675" s="304">
        <f>IF(O1675&lt;=IF($O1675=0,0,SUMIFS(Disbursements!$W:$W,Disbursements!$B:$B,'Live Collections'!D892,Disbursements!$D:$D,'Live Collections'!F892)),O1675,IF($O1675=0,0,SUMIFS(Disbursements!$W:$W,Disbursements!$B:$B,'Live Collections'!D892,Disbursements!$D:$D,'Live Collections'!F892)))</f>
        <v>0</v>
      </c>
      <c r="T1675" s="304">
        <f t="shared" si="81"/>
        <v>0</v>
      </c>
      <c r="U1675" s="52"/>
      <c r="V1675" s="34"/>
      <c r="W1675" s="408"/>
    </row>
    <row r="1676" spans="1:23" ht="12.75" customHeight="1" x14ac:dyDescent="0.2">
      <c r="A1676" s="257">
        <v>1661</v>
      </c>
      <c r="B1676" s="44">
        <v>44508</v>
      </c>
      <c r="C1676" s="44">
        <f t="shared" si="79"/>
        <v>44508</v>
      </c>
      <c r="D1676" s="374">
        <v>71</v>
      </c>
      <c r="E1676" s="291" t="str">
        <f>IFERROR(VLOOKUP($D1676,'Clients-Live'!$A:$C,3,0),"")</f>
        <v>AYIKORU HARIET BAUDI</v>
      </c>
      <c r="F1676" s="291">
        <f>IFERROR(INDEX(Disbursements!$D:$D,MATCH('Live Collections'!G1676,Disbursements!$C:$C,0)),"")</f>
        <v>1</v>
      </c>
      <c r="G1676" s="34">
        <v>56</v>
      </c>
      <c r="H1676" s="34">
        <v>3102</v>
      </c>
      <c r="I1676" s="34" t="s">
        <v>1359</v>
      </c>
      <c r="J1676" s="48"/>
      <c r="K1676" s="48"/>
      <c r="L1676" s="48"/>
      <c r="M1676" s="48"/>
      <c r="N1676" s="59"/>
      <c r="O1676" s="59">
        <v>130000</v>
      </c>
      <c r="P1676" s="59"/>
      <c r="Q1676" s="268">
        <f t="shared" si="80"/>
        <v>130000</v>
      </c>
      <c r="R1676" s="61">
        <f>IF(O1676=0,0,SUMIFS(Disbursements!$T:$T,Disbursements!$B:$B,'Live Collections'!D1676,Disbursements!$D:$D,'Live Collections'!F1676))</f>
        <v>325000</v>
      </c>
      <c r="S1676" s="304"/>
      <c r="T1676" s="304">
        <f t="shared" si="81"/>
        <v>130000</v>
      </c>
      <c r="U1676" s="52"/>
      <c r="V1676" s="34"/>
      <c r="W1676" s="408"/>
    </row>
    <row r="1677" spans="1:23" ht="12.75" customHeight="1" x14ac:dyDescent="0.2">
      <c r="A1677" s="257">
        <v>1662</v>
      </c>
      <c r="B1677" s="44">
        <v>44508</v>
      </c>
      <c r="C1677" s="44">
        <f t="shared" si="79"/>
        <v>44508</v>
      </c>
      <c r="D1677" s="374">
        <v>71</v>
      </c>
      <c r="E1677" s="291" t="str">
        <f>IFERROR(VLOOKUP($D1677,'Clients-Live'!$A:$C,3,0),"")</f>
        <v>AYIKORU HARIET BAUDI</v>
      </c>
      <c r="F1677" s="291" t="str">
        <f>IFERROR(INDEX(Disbursements!$D:$D,MATCH('Live Collections'!G1677,Disbursements!$C:$C,0)),"")</f>
        <v/>
      </c>
      <c r="G1677" s="34"/>
      <c r="H1677" s="34">
        <v>364</v>
      </c>
      <c r="I1677" s="34" t="s">
        <v>1359</v>
      </c>
      <c r="J1677" s="48"/>
      <c r="K1677" s="48"/>
      <c r="L1677" s="48"/>
      <c r="M1677" s="48"/>
      <c r="N1677" s="59"/>
      <c r="O1677" s="59"/>
      <c r="P1677" s="59">
        <v>-150000</v>
      </c>
      <c r="Q1677" s="268">
        <f t="shared" si="80"/>
        <v>-150000</v>
      </c>
      <c r="R1677" s="61">
        <f>IF(O1677=0,0,SUMIFS(Disbursements!$T:$T,Disbursements!$B:$B,'Live Collections'!D1677,Disbursements!$D:$D,'Live Collections'!F1677))</f>
        <v>0</v>
      </c>
      <c r="S1677" s="304">
        <f>IF(O1677&lt;=IF($O1677=0,0,SUMIFS(Disbursements!$W:$W,Disbursements!$B:$B,'Live Collections'!D894,Disbursements!$D:$D,'Live Collections'!F894)),O1677,IF($O1677=0,0,SUMIFS(Disbursements!$W:$W,Disbursements!$B:$B,'Live Collections'!D894,Disbursements!$D:$D,'Live Collections'!F894)))</f>
        <v>0</v>
      </c>
      <c r="T1677" s="304">
        <f t="shared" si="81"/>
        <v>0</v>
      </c>
      <c r="U1677" s="52"/>
      <c r="V1677" s="34"/>
      <c r="W1677" s="408"/>
    </row>
    <row r="1678" spans="1:23" ht="12.75" customHeight="1" x14ac:dyDescent="0.2">
      <c r="A1678" s="257">
        <v>1663</v>
      </c>
      <c r="B1678" s="44">
        <v>44508</v>
      </c>
      <c r="C1678" s="44">
        <f t="shared" si="79"/>
        <v>44508</v>
      </c>
      <c r="D1678" s="374">
        <v>71</v>
      </c>
      <c r="E1678" s="291" t="str">
        <f>IFERROR(VLOOKUP($D1678,'Clients-Live'!$A:$C,3,0),"")</f>
        <v>AYIKORU HARIET BAUDI</v>
      </c>
      <c r="F1678" s="291">
        <f>IFERROR(INDEX(Disbursements!$D:$D,MATCH('Live Collections'!G1678,Disbursements!$C:$C,0)),"")</f>
        <v>1</v>
      </c>
      <c r="G1678" s="34">
        <v>56</v>
      </c>
      <c r="H1678" s="34">
        <v>3197</v>
      </c>
      <c r="I1678" s="34" t="s">
        <v>1359</v>
      </c>
      <c r="J1678" s="48"/>
      <c r="K1678" s="48"/>
      <c r="L1678" s="48"/>
      <c r="M1678" s="48"/>
      <c r="N1678" s="59"/>
      <c r="O1678" s="59">
        <v>500000</v>
      </c>
      <c r="P1678" s="59"/>
      <c r="Q1678" s="268">
        <f t="shared" si="80"/>
        <v>500000</v>
      </c>
      <c r="R1678" s="61">
        <f>IF(O1678=0,0,SUMIFS(Disbursements!$T:$T,Disbursements!$B:$B,'Live Collections'!D1678,Disbursements!$D:$D,'Live Collections'!F1678))</f>
        <v>325000</v>
      </c>
      <c r="S1678" s="64">
        <v>397000</v>
      </c>
      <c r="T1678" s="304">
        <f t="shared" si="81"/>
        <v>103000</v>
      </c>
      <c r="U1678" s="52"/>
      <c r="V1678" s="34"/>
      <c r="W1678" s="408" t="s">
        <v>2086</v>
      </c>
    </row>
    <row r="1679" spans="1:23" ht="12.75" customHeight="1" x14ac:dyDescent="0.2">
      <c r="A1679" s="257">
        <v>1671</v>
      </c>
      <c r="B1679" s="44">
        <v>44508</v>
      </c>
      <c r="C1679" s="44">
        <f t="shared" si="79"/>
        <v>44508</v>
      </c>
      <c r="D1679" s="374">
        <v>91</v>
      </c>
      <c r="E1679" s="291" t="str">
        <f>IFERROR(VLOOKUP($D1679,'Clients-Live'!$A:$C,3,0),"")</f>
        <v>CHANDIRU SALILA</v>
      </c>
      <c r="F1679" s="291" t="str">
        <f>IFERROR(INDEX(Disbursements!$D:$D,MATCH('Live Collections'!G1679,Disbursements!$C:$C,0)),"")</f>
        <v/>
      </c>
      <c r="G1679" s="34"/>
      <c r="H1679" s="34">
        <v>3050</v>
      </c>
      <c r="I1679" s="34" t="s">
        <v>1359</v>
      </c>
      <c r="J1679" s="48"/>
      <c r="K1679" s="48"/>
      <c r="L1679" s="48">
        <v>10000</v>
      </c>
      <c r="M1679" s="48">
        <v>5000</v>
      </c>
      <c r="N1679" s="59"/>
      <c r="O1679" s="59"/>
      <c r="P1679" s="59"/>
      <c r="Q1679" s="268">
        <f t="shared" si="80"/>
        <v>15000</v>
      </c>
      <c r="R1679" s="61">
        <f>IF(O1679=0,0,SUMIFS(Disbursements!$T:$T,Disbursements!$B:$B,'Live Collections'!D1679,Disbursements!$D:$D,'Live Collections'!F1679))</f>
        <v>0</v>
      </c>
      <c r="S1679" s="304">
        <f>IF(O1679&lt;=IF($O1679=0,0,SUMIFS(Disbursements!$W:$W,Disbursements!$B:$B,'Live Collections'!D1188,Disbursements!$D:$D,'Live Collections'!F1188)),O1679,IF($O1679=0,0,SUMIFS(Disbursements!$W:$W,Disbursements!$B:$B,'Live Collections'!D1188,Disbursements!$D:$D,'Live Collections'!F1188)))</f>
        <v>0</v>
      </c>
      <c r="T1679" s="304">
        <f t="shared" si="81"/>
        <v>0</v>
      </c>
      <c r="U1679" s="52"/>
      <c r="V1679" s="34"/>
      <c r="W1679" s="408"/>
    </row>
    <row r="1680" spans="1:23" ht="12.75" customHeight="1" x14ac:dyDescent="0.2">
      <c r="A1680" s="257">
        <v>1667</v>
      </c>
      <c r="B1680" s="44">
        <v>44508</v>
      </c>
      <c r="C1680" s="44">
        <f t="shared" si="79"/>
        <v>44508</v>
      </c>
      <c r="D1680" s="374">
        <v>100</v>
      </c>
      <c r="E1680" s="291" t="str">
        <f>IFERROR(VLOOKUP($D1680,'Clients-Live'!$A:$C,3,0),"")</f>
        <v>LETAYO DORCUS</v>
      </c>
      <c r="F1680" s="291">
        <f>IFERROR(INDEX(Disbursements!$D:$D,MATCH('Live Collections'!G1680,Disbursements!$C:$C,0)),"")</f>
        <v>2</v>
      </c>
      <c r="G1680" s="34">
        <v>184</v>
      </c>
      <c r="H1680" s="34">
        <v>3190</v>
      </c>
      <c r="I1680" s="34" t="s">
        <v>1357</v>
      </c>
      <c r="J1680" s="48"/>
      <c r="K1680" s="48"/>
      <c r="L1680" s="48"/>
      <c r="M1680" s="48"/>
      <c r="N1680" s="59"/>
      <c r="O1680" s="59">
        <v>50000</v>
      </c>
      <c r="P1680" s="59"/>
      <c r="Q1680" s="268">
        <f t="shared" si="80"/>
        <v>50000</v>
      </c>
      <c r="R1680" s="61">
        <f>IF(O1680=0,0,SUMIFS(Disbursements!$T:$T,Disbursements!$B:$B,'Live Collections'!D1680,Disbursements!$D:$D,'Live Collections'!F1680))</f>
        <v>150000</v>
      </c>
      <c r="S1680" s="304">
        <f>IF(O1680&lt;=IF($O1680=0,0,SUMIFS(Disbursements!$W:$W,Disbursements!$B:$B,'Live Collections'!D1297,Disbursements!$D:$D,'Live Collections'!F1297)),O1680,IF($O1680=0,0,SUMIFS(Disbursements!$W:$W,Disbursements!$B:$B,'Live Collections'!D1297,Disbursements!$D:$D,'Live Collections'!F1297)))</f>
        <v>15000</v>
      </c>
      <c r="T1680" s="304">
        <f t="shared" si="81"/>
        <v>35000</v>
      </c>
      <c r="U1680" s="52"/>
      <c r="V1680" s="34"/>
      <c r="W1680" s="408"/>
    </row>
    <row r="1681" spans="1:23" ht="12.75" customHeight="1" x14ac:dyDescent="0.2">
      <c r="A1681" s="257">
        <v>1685</v>
      </c>
      <c r="B1681" s="44">
        <v>44508</v>
      </c>
      <c r="C1681" s="44">
        <f t="shared" si="79"/>
        <v>44508</v>
      </c>
      <c r="D1681" s="374">
        <v>101</v>
      </c>
      <c r="E1681" s="291" t="str">
        <f>IFERROR(VLOOKUP($D1681,'Clients-Live'!$A:$C,3,0),"")</f>
        <v>AYIKO STEPHEN</v>
      </c>
      <c r="F1681" s="291">
        <f>IFERROR(INDEX(Disbursements!$D:$D,MATCH('Live Collections'!G1681,Disbursements!$C:$C,0)),"")</f>
        <v>1</v>
      </c>
      <c r="G1681" s="34">
        <v>80</v>
      </c>
      <c r="H1681" s="34">
        <v>365</v>
      </c>
      <c r="I1681" s="34" t="s">
        <v>1359</v>
      </c>
      <c r="J1681" s="48"/>
      <c r="K1681" s="48"/>
      <c r="L1681" s="48"/>
      <c r="M1681" s="48"/>
      <c r="N1681" s="59"/>
      <c r="O1681" s="59"/>
      <c r="P1681" s="59">
        <v>-200000</v>
      </c>
      <c r="Q1681" s="268">
        <f t="shared" si="80"/>
        <v>-200000</v>
      </c>
      <c r="R1681" s="61">
        <f>IF(O1681=0,0,SUMIFS(Disbursements!$T:$T,Disbursements!$B:$B,'Live Collections'!D1681,Disbursements!$D:$D,'Live Collections'!F1681))</f>
        <v>0</v>
      </c>
      <c r="S1681" s="304">
        <f>IF(O1681&lt;=IF($O1681=0,0,SUMIFS(Disbursements!$W:$W,Disbursements!$B:$B,'Live Collections'!D1305,Disbursements!$D:$D,'Live Collections'!F1305)),O1681,IF($O1681=0,0,SUMIFS(Disbursements!$W:$W,Disbursements!$B:$B,'Live Collections'!D1305,Disbursements!$D:$D,'Live Collections'!F1305)))</f>
        <v>0</v>
      </c>
      <c r="T1681" s="304">
        <f t="shared" si="81"/>
        <v>0</v>
      </c>
      <c r="U1681" s="52"/>
      <c r="V1681" s="34"/>
      <c r="W1681" s="408" t="s">
        <v>2108</v>
      </c>
    </row>
    <row r="1682" spans="1:23" ht="12.75" customHeight="1" x14ac:dyDescent="0.2">
      <c r="A1682" s="257">
        <v>1686</v>
      </c>
      <c r="B1682" s="44">
        <v>44508</v>
      </c>
      <c r="C1682" s="44">
        <f t="shared" si="79"/>
        <v>44508</v>
      </c>
      <c r="D1682" s="374">
        <v>101</v>
      </c>
      <c r="E1682" s="291" t="str">
        <f>IFERROR(VLOOKUP($D1682,'Clients-Live'!$A:$C,3,0),"")</f>
        <v>AYIKO STEPHEN</v>
      </c>
      <c r="F1682" s="291">
        <f>IFERROR(INDEX(Disbursements!$D:$D,MATCH('Live Collections'!G1682,Disbursements!$C:$C,0)),"")</f>
        <v>1</v>
      </c>
      <c r="G1682" s="34">
        <v>80</v>
      </c>
      <c r="H1682" s="34">
        <v>3110</v>
      </c>
      <c r="I1682" s="34" t="s">
        <v>1357</v>
      </c>
      <c r="J1682" s="48"/>
      <c r="K1682" s="48"/>
      <c r="L1682" s="48"/>
      <c r="M1682" s="48"/>
      <c r="N1682" s="59"/>
      <c r="O1682" s="59">
        <v>410000</v>
      </c>
      <c r="P1682" s="59"/>
      <c r="Q1682" s="268">
        <f t="shared" si="80"/>
        <v>410000</v>
      </c>
      <c r="R1682" s="61">
        <f>IF(O1682=0,0,SUMIFS(Disbursements!$T:$T,Disbursements!$B:$B,'Live Collections'!D1682,Disbursements!$D:$D,'Live Collections'!F1682))</f>
        <v>2150000</v>
      </c>
      <c r="S1682" s="304">
        <f>IF(O1682&lt;=IF($O1682=0,0,SUMIFS(Disbursements!$W:$W,Disbursements!$B:$B,'Live Collections'!D1306,Disbursements!$D:$D,'Live Collections'!F1306)),O1682,IF($O1682=0,0,SUMIFS(Disbursements!$W:$W,Disbursements!$B:$B,'Live Collections'!D1306,Disbursements!$D:$D,'Live Collections'!F1306)))</f>
        <v>15000</v>
      </c>
      <c r="T1682" s="304">
        <f t="shared" si="81"/>
        <v>395000</v>
      </c>
      <c r="U1682" s="52"/>
      <c r="V1682" s="34"/>
      <c r="W1682" s="408"/>
    </row>
    <row r="1683" spans="1:23" ht="12.75" customHeight="1" x14ac:dyDescent="0.2">
      <c r="A1683" s="257">
        <v>1688</v>
      </c>
      <c r="B1683" s="44">
        <v>44508</v>
      </c>
      <c r="C1683" s="44">
        <f t="shared" si="79"/>
        <v>44508</v>
      </c>
      <c r="D1683" s="374">
        <v>101</v>
      </c>
      <c r="E1683" s="291" t="str">
        <f>IFERROR(VLOOKUP($D1683,'Clients-Live'!$A:$C,3,0),"")</f>
        <v>AYIKO STEPHEN</v>
      </c>
      <c r="F1683" s="291">
        <f>IFERROR(INDEX(Disbursements!$D:$D,MATCH('Live Collections'!G1683,Disbursements!$C:$C,0)),"")</f>
        <v>1</v>
      </c>
      <c r="G1683" s="34">
        <v>80</v>
      </c>
      <c r="H1683" s="34">
        <v>3111</v>
      </c>
      <c r="I1683" s="34" t="s">
        <v>1357</v>
      </c>
      <c r="J1683" s="48"/>
      <c r="K1683" s="48"/>
      <c r="L1683" s="48"/>
      <c r="M1683" s="48"/>
      <c r="N1683" s="59"/>
      <c r="O1683" s="59">
        <v>200000</v>
      </c>
      <c r="P1683" s="59"/>
      <c r="Q1683" s="268">
        <f t="shared" si="80"/>
        <v>200000</v>
      </c>
      <c r="R1683" s="61">
        <f>IF(O1683=0,0,SUMIFS(Disbursements!$T:$T,Disbursements!$B:$B,'Live Collections'!D1683,Disbursements!$D:$D,'Live Collections'!F1683))</f>
        <v>2150000</v>
      </c>
      <c r="S1683" s="64">
        <v>65000</v>
      </c>
      <c r="T1683" s="304">
        <f t="shared" si="81"/>
        <v>135000</v>
      </c>
      <c r="U1683" s="52"/>
      <c r="V1683" s="34"/>
      <c r="W1683" s="408"/>
    </row>
    <row r="1684" spans="1:23" ht="12.75" customHeight="1" x14ac:dyDescent="0.2">
      <c r="A1684" s="257">
        <v>1654</v>
      </c>
      <c r="B1684" s="44">
        <v>44508</v>
      </c>
      <c r="C1684" s="44">
        <f t="shared" si="79"/>
        <v>44508</v>
      </c>
      <c r="D1684" s="374">
        <v>112</v>
      </c>
      <c r="E1684" s="291" t="str">
        <f>IFERROR(VLOOKUP($D1684,'Clients-Live'!$A:$C,3,0),"")</f>
        <v>NURA JOYCE</v>
      </c>
      <c r="F1684" s="291" t="str">
        <f>IFERROR(INDEX(Disbursements!$D:$D,MATCH('Live Collections'!G1684,Disbursements!$C:$C,0)),"")</f>
        <v/>
      </c>
      <c r="G1684" s="34"/>
      <c r="H1684" s="34">
        <v>359</v>
      </c>
      <c r="I1684" s="34" t="s">
        <v>1359</v>
      </c>
      <c r="J1684" s="48"/>
      <c r="K1684" s="48"/>
      <c r="L1684" s="48"/>
      <c r="M1684" s="48"/>
      <c r="N1684" s="59"/>
      <c r="O1684" s="59"/>
      <c r="P1684" s="59">
        <v>-50000</v>
      </c>
      <c r="Q1684" s="268">
        <f t="shared" si="80"/>
        <v>-50000</v>
      </c>
      <c r="R1684" s="61">
        <f>IF(O1684=0,0,SUMIFS(Disbursements!$T:$T,Disbursements!$B:$B,'Live Collections'!D1684,Disbursements!$D:$D,'Live Collections'!F1684))</f>
        <v>0</v>
      </c>
      <c r="S1684" s="304">
        <f>IF(O1684&lt;=IF($O1684=0,0,SUMIFS(Disbursements!$W:$W,Disbursements!$B:$B,'Live Collections'!D1428,Disbursements!$D:$D,'Live Collections'!F1428)),O1684,IF($O1684=0,0,SUMIFS(Disbursements!$W:$W,Disbursements!$B:$B,'Live Collections'!D1428,Disbursements!$D:$D,'Live Collections'!F1428)))</f>
        <v>0</v>
      </c>
      <c r="T1684" s="304">
        <f t="shared" si="81"/>
        <v>0</v>
      </c>
      <c r="U1684" s="52"/>
      <c r="V1684" s="34"/>
      <c r="W1684" s="408"/>
    </row>
    <row r="1685" spans="1:23" ht="12.75" customHeight="1" x14ac:dyDescent="0.2">
      <c r="A1685" s="257">
        <v>1655</v>
      </c>
      <c r="B1685" s="44">
        <v>44508</v>
      </c>
      <c r="C1685" s="44">
        <f t="shared" si="79"/>
        <v>44508</v>
      </c>
      <c r="D1685" s="374">
        <v>112</v>
      </c>
      <c r="E1685" s="291" t="str">
        <f>IFERROR(VLOOKUP($D1685,'Clients-Live'!$A:$C,3,0),"")</f>
        <v>NURA JOYCE</v>
      </c>
      <c r="F1685" s="291">
        <f>IFERROR(INDEX(Disbursements!$D:$D,MATCH('Live Collections'!G1685,Disbursements!$C:$C,0)),"")</f>
        <v>1</v>
      </c>
      <c r="G1685" s="34">
        <v>101</v>
      </c>
      <c r="H1685" s="34">
        <v>3185</v>
      </c>
      <c r="I1685" s="34" t="s">
        <v>1359</v>
      </c>
      <c r="J1685" s="48"/>
      <c r="K1685" s="48"/>
      <c r="L1685" s="48"/>
      <c r="M1685" s="48"/>
      <c r="N1685" s="59"/>
      <c r="O1685" s="59">
        <v>50000</v>
      </c>
      <c r="P1685" s="59"/>
      <c r="Q1685" s="268">
        <f t="shared" si="80"/>
        <v>50000</v>
      </c>
      <c r="R1685" s="61">
        <f>IF(O1685=0,0,SUMIFS(Disbursements!$T:$T,Disbursements!$B:$B,'Live Collections'!D1685,Disbursements!$D:$D,'Live Collections'!F1685))</f>
        <v>150000</v>
      </c>
      <c r="S1685" s="64">
        <v>-5333.333333333343</v>
      </c>
      <c r="T1685" s="304">
        <f t="shared" si="81"/>
        <v>55333.333333333343</v>
      </c>
      <c r="U1685" s="52"/>
      <c r="V1685" s="34"/>
      <c r="W1685" s="408"/>
    </row>
    <row r="1686" spans="1:23" ht="12.75" customHeight="1" x14ac:dyDescent="0.2">
      <c r="A1686" s="257">
        <v>1676</v>
      </c>
      <c r="B1686" s="44">
        <v>44508</v>
      </c>
      <c r="C1686" s="44">
        <f t="shared" si="79"/>
        <v>44508</v>
      </c>
      <c r="D1686" s="374">
        <v>112</v>
      </c>
      <c r="E1686" s="291" t="str">
        <f>IFERROR(VLOOKUP($D1686,'Clients-Live'!$A:$C,3,0),"")</f>
        <v>NURA JOYCE</v>
      </c>
      <c r="F1686" s="291" t="str">
        <f>IFERROR(INDEX(Disbursements!$D:$D,MATCH('Live Collections'!G1686,Disbursements!$C:$C,0)),"")</f>
        <v/>
      </c>
      <c r="G1686" s="34"/>
      <c r="H1686" s="34">
        <v>359</v>
      </c>
      <c r="I1686" s="34" t="s">
        <v>1359</v>
      </c>
      <c r="J1686" s="48"/>
      <c r="K1686" s="48"/>
      <c r="L1686" s="48"/>
      <c r="M1686" s="48"/>
      <c r="N1686" s="59"/>
      <c r="O1686" s="59"/>
      <c r="P1686" s="59">
        <v>-50000</v>
      </c>
      <c r="Q1686" s="268">
        <f t="shared" si="80"/>
        <v>-50000</v>
      </c>
      <c r="R1686" s="61">
        <f>IF(O1686=0,0,SUMIFS(Disbursements!$T:$T,Disbursements!$B:$B,'Live Collections'!D1686,Disbursements!$D:$D,'Live Collections'!F1686))</f>
        <v>0</v>
      </c>
      <c r="S1686" s="304">
        <f>IF(O1686&lt;=IF($O1686=0,0,SUMIFS(Disbursements!$W:$W,Disbursements!$B:$B,'Live Collections'!D1431,Disbursements!$D:$D,'Live Collections'!F1431)),O1686,IF($O1686=0,0,SUMIFS(Disbursements!$W:$W,Disbursements!$B:$B,'Live Collections'!D1431,Disbursements!$D:$D,'Live Collections'!F1431)))</f>
        <v>0</v>
      </c>
      <c r="T1686" s="304">
        <f t="shared" si="81"/>
        <v>0</v>
      </c>
      <c r="U1686" s="52"/>
      <c r="V1686" s="34"/>
      <c r="W1686" s="408"/>
    </row>
    <row r="1687" spans="1:23" ht="12.75" customHeight="1" x14ac:dyDescent="0.2">
      <c r="A1687" s="257">
        <v>1677</v>
      </c>
      <c r="B1687" s="44">
        <v>44508</v>
      </c>
      <c r="C1687" s="44">
        <f t="shared" si="79"/>
        <v>44508</v>
      </c>
      <c r="D1687" s="374">
        <v>112</v>
      </c>
      <c r="E1687" s="291" t="str">
        <f>IFERROR(VLOOKUP($D1687,'Clients-Live'!$A:$C,3,0),"")</f>
        <v>NURA JOYCE</v>
      </c>
      <c r="F1687" s="291">
        <f>IFERROR(INDEX(Disbursements!$D:$D,MATCH('Live Collections'!G1687,Disbursements!$C:$C,0)),"")</f>
        <v>1</v>
      </c>
      <c r="G1687" s="34">
        <v>101</v>
      </c>
      <c r="H1687" s="34">
        <v>3184</v>
      </c>
      <c r="I1687" s="34" t="s">
        <v>1359</v>
      </c>
      <c r="J1687" s="48"/>
      <c r="K1687" s="48"/>
      <c r="L1687" s="48"/>
      <c r="M1687" s="48"/>
      <c r="N1687" s="59"/>
      <c r="O1687" s="59">
        <v>100000</v>
      </c>
      <c r="P1687" s="59"/>
      <c r="Q1687" s="268">
        <f t="shared" si="80"/>
        <v>100000</v>
      </c>
      <c r="R1687" s="61">
        <f>IF(O1687=0,0,SUMIFS(Disbursements!$T:$T,Disbursements!$B:$B,'Live Collections'!D1687,Disbursements!$D:$D,'Live Collections'!F1687))</f>
        <v>150000</v>
      </c>
      <c r="S1687" s="304"/>
      <c r="T1687" s="304">
        <f t="shared" si="81"/>
        <v>100000</v>
      </c>
      <c r="U1687" s="52"/>
      <c r="V1687" s="34"/>
      <c r="W1687" s="408"/>
    </row>
    <row r="1688" spans="1:23" ht="12.75" customHeight="1" x14ac:dyDescent="0.2">
      <c r="A1688" s="257">
        <v>1668</v>
      </c>
      <c r="B1688" s="44">
        <v>44508</v>
      </c>
      <c r="C1688" s="44">
        <f t="shared" si="79"/>
        <v>44508</v>
      </c>
      <c r="D1688" s="374">
        <v>115</v>
      </c>
      <c r="E1688" s="291" t="str">
        <f>IFERROR(VLOOKUP($D1688,'Clients-Live'!$A:$C,3,0),"")</f>
        <v>AYIKE SAUDA</v>
      </c>
      <c r="F1688" s="291">
        <f>IFERROR(INDEX(Disbursements!$D:$D,MATCH('Live Collections'!G1688,Disbursements!$C:$C,0)),"")</f>
        <v>1</v>
      </c>
      <c r="G1688" s="34">
        <v>98</v>
      </c>
      <c r="H1688" s="34">
        <v>3192</v>
      </c>
      <c r="I1688" s="34" t="s">
        <v>1357</v>
      </c>
      <c r="J1688" s="48"/>
      <c r="K1688" s="48"/>
      <c r="L1688" s="48"/>
      <c r="M1688" s="48"/>
      <c r="N1688" s="59"/>
      <c r="O1688" s="59">
        <v>220000</v>
      </c>
      <c r="P1688" s="59"/>
      <c r="Q1688" s="268">
        <f t="shared" si="80"/>
        <v>220000</v>
      </c>
      <c r="R1688" s="61">
        <f>IF(O1688=0,0,SUMIFS(Disbursements!$T:$T,Disbursements!$B:$B,'Live Collections'!D1688,Disbursements!$D:$D,'Live Collections'!F1688))</f>
        <v>217000</v>
      </c>
      <c r="S1688" s="304">
        <f>IF(O1688&lt;=IF($O1688=0,0,SUMIFS(Disbursements!$W:$W,Disbursements!$B:$B,'Live Collections'!D1481,Disbursements!$D:$D,'Live Collections'!F1481)),O1688,IF($O1688=0,0,SUMIFS(Disbursements!$W:$W,Disbursements!$B:$B,'Live Collections'!D1481,Disbursements!$D:$D,'Live Collections'!F1481)))</f>
        <v>40666.666666666657</v>
      </c>
      <c r="T1688" s="304">
        <f t="shared" si="81"/>
        <v>179333.33333333334</v>
      </c>
      <c r="U1688" s="52"/>
      <c r="V1688" s="34"/>
      <c r="W1688" s="408"/>
    </row>
    <row r="1689" spans="1:23" ht="12.75" customHeight="1" x14ac:dyDescent="0.2">
      <c r="A1689" s="257">
        <v>1683</v>
      </c>
      <c r="B1689" s="44">
        <v>44508</v>
      </c>
      <c r="C1689" s="44">
        <f t="shared" si="79"/>
        <v>44508</v>
      </c>
      <c r="D1689" s="374">
        <v>119</v>
      </c>
      <c r="E1689" s="291" t="str">
        <f>IFERROR(VLOOKUP($D1689,'Clients-Live'!$A:$C,3,0),"")</f>
        <v>STELLA KONGAI</v>
      </c>
      <c r="F1689" s="291">
        <f>IFERROR(INDEX(Disbursements!$D:$D,MATCH('Live Collections'!G1689,Disbursements!$C:$C,0)),"")</f>
        <v>2</v>
      </c>
      <c r="G1689" s="34">
        <v>253</v>
      </c>
      <c r="H1689" s="34">
        <v>3107</v>
      </c>
      <c r="I1689" s="34" t="s">
        <v>1359</v>
      </c>
      <c r="J1689" s="48"/>
      <c r="K1689" s="48"/>
      <c r="L1689" s="48"/>
      <c r="M1689" s="48"/>
      <c r="N1689" s="59"/>
      <c r="O1689" s="59">
        <v>820000</v>
      </c>
      <c r="P1689" s="59"/>
      <c r="Q1689" s="268">
        <f t="shared" si="80"/>
        <v>820000</v>
      </c>
      <c r="R1689" s="61">
        <f>IF(O1689=0,0,SUMIFS(Disbursements!$T:$T,Disbursements!$B:$B,'Live Collections'!D1689,Disbursements!$D:$D,'Live Collections'!F1689))</f>
        <v>817000</v>
      </c>
      <c r="S1689" s="304">
        <f>IF(O1689&lt;=IF($O1689=0,0,SUMIFS(Disbursements!$W:$W,Disbursements!$B:$B,'Live Collections'!D2680,Disbursements!$D:$D,'Live Collections'!F2680)),O1689,IF($O1689=0,0,SUMIFS(Disbursements!$W:$W,Disbursements!$B:$B,'Live Collections'!D2680,Disbursements!$D:$D,'Live Collections'!F2680)))</f>
        <v>20000</v>
      </c>
      <c r="T1689" s="304">
        <f t="shared" si="81"/>
        <v>800000</v>
      </c>
      <c r="U1689" s="52"/>
      <c r="V1689" s="34"/>
      <c r="W1689" s="408"/>
    </row>
    <row r="1690" spans="1:23" ht="12.75" customHeight="1" x14ac:dyDescent="0.2">
      <c r="A1690" s="257">
        <v>1682</v>
      </c>
      <c r="B1690" s="44">
        <v>44508</v>
      </c>
      <c r="C1690" s="44">
        <f t="shared" si="79"/>
        <v>44508</v>
      </c>
      <c r="D1690" s="374">
        <v>152</v>
      </c>
      <c r="E1690" s="291" t="str">
        <f>IFERROR(VLOOKUP($D1690,'Clients-Live'!$A:$C,3,0),"")</f>
        <v>ASE ZAINABU</v>
      </c>
      <c r="F1690" s="291">
        <f>IFERROR(INDEX(Disbursements!$D:$D,MATCH('Live Collections'!G1690,Disbursements!$C:$C,0)),"")</f>
        <v>1</v>
      </c>
      <c r="G1690" s="34">
        <v>136</v>
      </c>
      <c r="H1690" s="34">
        <v>3178</v>
      </c>
      <c r="I1690" s="34" t="s">
        <v>1358</v>
      </c>
      <c r="J1690" s="48"/>
      <c r="K1690" s="48"/>
      <c r="L1690" s="48"/>
      <c r="M1690" s="48"/>
      <c r="N1690" s="59"/>
      <c r="O1690" s="59">
        <v>77500</v>
      </c>
      <c r="P1690" s="59"/>
      <c r="Q1690" s="268">
        <f t="shared" si="80"/>
        <v>77500</v>
      </c>
      <c r="R1690" s="61">
        <f>IF(O1690=0,0,SUMIFS(Disbursements!$T:$T,Disbursements!$B:$B,'Live Collections'!D1690,Disbursements!$D:$D,'Live Collections'!F1690))</f>
        <v>175000</v>
      </c>
      <c r="S1690" s="304"/>
      <c r="T1690" s="304">
        <f t="shared" si="81"/>
        <v>77500</v>
      </c>
      <c r="U1690" s="52"/>
      <c r="V1690" s="34"/>
      <c r="W1690" s="408"/>
    </row>
    <row r="1691" spans="1:23" ht="12.75" customHeight="1" x14ac:dyDescent="0.2">
      <c r="A1691" s="257">
        <v>1680</v>
      </c>
      <c r="B1691" s="44">
        <v>44508</v>
      </c>
      <c r="C1691" s="44">
        <f t="shared" si="79"/>
        <v>44508</v>
      </c>
      <c r="D1691" s="374">
        <v>155</v>
      </c>
      <c r="E1691" s="291" t="str">
        <f>IFERROR(VLOOKUP($D1691,'Clients-Live'!$A:$C,3,0),"")</f>
        <v>AROMBORAC SIAMA</v>
      </c>
      <c r="F1691" s="291">
        <f>IFERROR(INDEX(Disbursements!$D:$D,MATCH('Live Collections'!G1691,Disbursements!$C:$C,0)),"")</f>
        <v>1</v>
      </c>
      <c r="G1691" s="34">
        <v>98</v>
      </c>
      <c r="H1691" s="34">
        <v>3177</v>
      </c>
      <c r="I1691" s="34" t="s">
        <v>1357</v>
      </c>
      <c r="J1691" s="48"/>
      <c r="K1691" s="48"/>
      <c r="L1691" s="48"/>
      <c r="M1691" s="48"/>
      <c r="N1691" s="59"/>
      <c r="O1691" s="59">
        <v>40000</v>
      </c>
      <c r="P1691" s="59"/>
      <c r="Q1691" s="268">
        <f t="shared" si="80"/>
        <v>40000</v>
      </c>
      <c r="R1691" s="61">
        <f>IF(O1691=0,0,SUMIFS(Disbursements!$T:$T,Disbursements!$B:$B,'Live Collections'!D1691,Disbursements!$D:$D,'Live Collections'!F1691))</f>
        <v>90000</v>
      </c>
      <c r="S1691" s="304">
        <f>IF(O1691&lt;=IF($O1691=0,0,SUMIFS(Disbursements!$W:$W,Disbursements!$B:$B,'Live Collections'!D1935,Disbursements!$D:$D,'Live Collections'!F1935)),O1691,IF($O1691=0,0,SUMIFS(Disbursements!$W:$W,Disbursements!$B:$B,'Live Collections'!D1935,Disbursements!$D:$D,'Live Collections'!F1935)))</f>
        <v>0</v>
      </c>
      <c r="T1691" s="304">
        <f t="shared" si="81"/>
        <v>40000</v>
      </c>
      <c r="U1691" s="52"/>
      <c r="V1691" s="34"/>
      <c r="W1691" s="408"/>
    </row>
    <row r="1692" spans="1:23" ht="12.75" customHeight="1" x14ac:dyDescent="0.2">
      <c r="A1692" s="257">
        <v>1669</v>
      </c>
      <c r="B1692" s="44">
        <v>44508</v>
      </c>
      <c r="C1692" s="44">
        <f t="shared" si="79"/>
        <v>44508</v>
      </c>
      <c r="D1692" s="374">
        <v>169</v>
      </c>
      <c r="E1692" s="291" t="str">
        <f>IFERROR(VLOOKUP($D1692,'Clients-Live'!$A:$C,3,0),"")</f>
        <v>KATO KENNEDY</v>
      </c>
      <c r="F1692" s="291">
        <f>IFERROR(INDEX(Disbursements!$D:$D,MATCH('Live Collections'!G1692,Disbursements!$C:$C,0)),"")</f>
        <v>1</v>
      </c>
      <c r="G1692" s="34">
        <v>176</v>
      </c>
      <c r="H1692" s="34">
        <v>3189</v>
      </c>
      <c r="I1692" s="34" t="s">
        <v>1357</v>
      </c>
      <c r="J1692" s="48"/>
      <c r="K1692" s="48"/>
      <c r="L1692" s="48"/>
      <c r="M1692" s="48"/>
      <c r="N1692" s="59"/>
      <c r="O1692" s="59">
        <v>120000</v>
      </c>
      <c r="P1692" s="59"/>
      <c r="Q1692" s="268">
        <f t="shared" si="80"/>
        <v>120000</v>
      </c>
      <c r="R1692" s="61">
        <f>IF(O1692=0,0,SUMIFS(Disbursements!$T:$T,Disbursements!$B:$B,'Live Collections'!D1692,Disbursements!$D:$D,'Live Collections'!F1692))</f>
        <v>109000</v>
      </c>
      <c r="S1692" s="304">
        <f>IF(O1692&lt;=IF($O1692=0,0,SUMIFS(Disbursements!$W:$W,Disbursements!$B:$B,'Live Collections'!D2089,Disbursements!$D:$D,'Live Collections'!F2089)),O1692,IF($O1692=0,0,SUMIFS(Disbursements!$W:$W,Disbursements!$B:$B,'Live Collections'!D2089,Disbursements!$D:$D,'Live Collections'!F2089)))</f>
        <v>40333.333333333314</v>
      </c>
      <c r="T1692" s="304">
        <f t="shared" si="81"/>
        <v>79666.666666666686</v>
      </c>
      <c r="U1692" s="52"/>
      <c r="V1692" s="34"/>
      <c r="W1692" s="408"/>
    </row>
    <row r="1693" spans="1:23" ht="12.75" customHeight="1" x14ac:dyDescent="0.2">
      <c r="A1693" s="257">
        <v>1665</v>
      </c>
      <c r="B1693" s="44">
        <v>44508</v>
      </c>
      <c r="C1693" s="44">
        <f t="shared" si="79"/>
        <v>44508</v>
      </c>
      <c r="D1693" s="374">
        <v>202</v>
      </c>
      <c r="E1693" s="291" t="str">
        <f>IFERROR(VLOOKUP($D1693,'Clients-Live'!$A:$C,3,0),"")</f>
        <v>MUSEMA SWAIBU</v>
      </c>
      <c r="F1693" s="291">
        <f>IFERROR(INDEX(Disbursements!$D:$D,MATCH('Live Collections'!G1693,Disbursements!$C:$C,0)),"")</f>
        <v>1</v>
      </c>
      <c r="G1693" s="34">
        <v>197</v>
      </c>
      <c r="H1693" s="34">
        <v>3194</v>
      </c>
      <c r="I1693" s="34" t="s">
        <v>1358</v>
      </c>
      <c r="J1693" s="48"/>
      <c r="K1693" s="48"/>
      <c r="L1693" s="48"/>
      <c r="M1693" s="48"/>
      <c r="N1693" s="59"/>
      <c r="O1693" s="59">
        <v>150000</v>
      </c>
      <c r="P1693" s="59"/>
      <c r="Q1693" s="268">
        <f t="shared" si="80"/>
        <v>150000</v>
      </c>
      <c r="R1693" s="61">
        <f>IF(O1693=0,0,SUMIFS(Disbursements!$T:$T,Disbursements!$B:$B,'Live Collections'!D1693,Disbursements!$D:$D,'Live Collections'!F1693))</f>
        <v>144000</v>
      </c>
      <c r="S1693" s="304"/>
      <c r="T1693" s="304">
        <f t="shared" si="81"/>
        <v>150000</v>
      </c>
      <c r="U1693" s="52"/>
      <c r="V1693" s="34"/>
      <c r="W1693" s="408"/>
    </row>
    <row r="1694" spans="1:23" ht="12.75" customHeight="1" x14ac:dyDescent="0.2">
      <c r="A1694" s="257">
        <v>1684</v>
      </c>
      <c r="B1694" s="44">
        <v>44508</v>
      </c>
      <c r="C1694" s="44">
        <f t="shared" si="79"/>
        <v>44508</v>
      </c>
      <c r="D1694" s="374">
        <v>206</v>
      </c>
      <c r="E1694" s="291" t="str">
        <f>IFERROR(VLOOKUP($D1694,'Clients-Live'!$A:$C,3,0),"")</f>
        <v>AMILE AISHA</v>
      </c>
      <c r="F1694" s="291">
        <f>IFERROR(INDEX(Disbursements!$D:$D,MATCH('Live Collections'!G1694,Disbursements!$C:$C,0)),"")</f>
        <v>1</v>
      </c>
      <c r="G1694" s="34">
        <v>214</v>
      </c>
      <c r="H1694" s="34">
        <v>3112</v>
      </c>
      <c r="I1694" s="34" t="s">
        <v>1357</v>
      </c>
      <c r="J1694" s="48"/>
      <c r="K1694" s="48"/>
      <c r="L1694" s="48"/>
      <c r="M1694" s="48"/>
      <c r="N1694" s="59"/>
      <c r="O1694" s="59">
        <v>120000</v>
      </c>
      <c r="P1694" s="59"/>
      <c r="Q1694" s="268">
        <f t="shared" si="80"/>
        <v>120000</v>
      </c>
      <c r="R1694" s="61">
        <f>IF(O1694=0,0,SUMIFS(Disbursements!$T:$T,Disbursements!$B:$B,'Live Collections'!D1694,Disbursements!$D:$D,'Live Collections'!F1694))</f>
        <v>120000</v>
      </c>
      <c r="S1694" s="304"/>
      <c r="T1694" s="304">
        <f t="shared" si="81"/>
        <v>120000</v>
      </c>
      <c r="U1694" s="52"/>
      <c r="V1694" s="34"/>
      <c r="W1694" s="408"/>
    </row>
    <row r="1695" spans="1:23" ht="12.75" customHeight="1" x14ac:dyDescent="0.2">
      <c r="A1695" s="257">
        <v>1687</v>
      </c>
      <c r="B1695" s="44">
        <v>44508</v>
      </c>
      <c r="C1695" s="44">
        <f t="shared" si="79"/>
        <v>44508</v>
      </c>
      <c r="D1695" s="374">
        <v>209</v>
      </c>
      <c r="E1695" s="291" t="str">
        <f>IFERROR(VLOOKUP($D1695,'Clients-Live'!$A:$C,3,0),"")</f>
        <v>ADUI ISMAIL</v>
      </c>
      <c r="F1695" s="291">
        <f>IFERROR(INDEX(Disbursements!$D:$D,MATCH('Live Collections'!G1695,Disbursements!$C:$C,0)),"")</f>
        <v>1</v>
      </c>
      <c r="G1695" s="34">
        <v>209</v>
      </c>
      <c r="H1695" s="34">
        <v>3109</v>
      </c>
      <c r="I1695" s="34" t="s">
        <v>1357</v>
      </c>
      <c r="J1695" s="48"/>
      <c r="K1695" s="48"/>
      <c r="L1695" s="48"/>
      <c r="M1695" s="48"/>
      <c r="N1695" s="59"/>
      <c r="O1695" s="59">
        <v>172000</v>
      </c>
      <c r="P1695" s="59"/>
      <c r="Q1695" s="268">
        <f t="shared" si="80"/>
        <v>172000</v>
      </c>
      <c r="R1695" s="61">
        <f>IF(O1695=0,0,SUMIFS(Disbursements!$T:$T,Disbursements!$B:$B,'Live Collections'!D1695,Disbursements!$D:$D,'Live Collections'!F1695))</f>
        <v>180000</v>
      </c>
      <c r="S1695" s="304">
        <f>IF(O1695&lt;=IF($O1695=0,0,SUMIFS(Disbursements!$W:$W,Disbursements!$B:$B,'Live Collections'!D2470,Disbursements!$D:$D,'Live Collections'!F2470)),O1695,IF($O1695=0,0,SUMIFS(Disbursements!$W:$W,Disbursements!$B:$B,'Live Collections'!D2470,Disbursements!$D:$D,'Live Collections'!F2470)))</f>
        <v>15000</v>
      </c>
      <c r="T1695" s="304">
        <f t="shared" si="81"/>
        <v>157000</v>
      </c>
      <c r="U1695" s="52"/>
      <c r="V1695" s="34"/>
      <c r="W1695" s="408"/>
    </row>
    <row r="1696" spans="1:23" ht="12.75" customHeight="1" x14ac:dyDescent="0.2">
      <c r="A1696" s="257">
        <v>1664</v>
      </c>
      <c r="B1696" s="44">
        <v>44508</v>
      </c>
      <c r="C1696" s="44">
        <f t="shared" si="79"/>
        <v>44508</v>
      </c>
      <c r="D1696" s="374">
        <v>211</v>
      </c>
      <c r="E1696" s="291" t="str">
        <f>IFERROR(VLOOKUP($D1696,'Clients-Live'!$A:$C,3,0),"")</f>
        <v>WILARU JOYCE</v>
      </c>
      <c r="F1696" s="291">
        <f>IFERROR(INDEX(Disbursements!$D:$D,MATCH('Live Collections'!G1696,Disbursements!$C:$C,0)),"")</f>
        <v>1</v>
      </c>
      <c r="G1696" s="34">
        <v>211</v>
      </c>
      <c r="H1696" s="34">
        <v>3101</v>
      </c>
      <c r="I1696" s="34" t="s">
        <v>1358</v>
      </c>
      <c r="J1696" s="48"/>
      <c r="K1696" s="48"/>
      <c r="L1696" s="48"/>
      <c r="M1696" s="48"/>
      <c r="N1696" s="59"/>
      <c r="O1696" s="59">
        <v>200000</v>
      </c>
      <c r="P1696" s="59"/>
      <c r="Q1696" s="268">
        <f t="shared" si="80"/>
        <v>200000</v>
      </c>
      <c r="R1696" s="61">
        <f>IF(O1696=0,0,SUMIFS(Disbursements!$T:$T,Disbursements!$B:$B,'Live Collections'!D1696,Disbursements!$D:$D,'Live Collections'!F1696))</f>
        <v>200000</v>
      </c>
      <c r="S1696" s="304">
        <f>IF(O1696&lt;=IF($O1696=0,0,SUMIFS(Disbursements!$W:$W,Disbursements!$B:$B,'Live Collections'!D2487,Disbursements!$D:$D,'Live Collections'!F2487)),O1696,IF($O1696=0,0,SUMIFS(Disbursements!$W:$W,Disbursements!$B:$B,'Live Collections'!D2487,Disbursements!$D:$D,'Live Collections'!F2487)))</f>
        <v>25666.666666666672</v>
      </c>
      <c r="T1696" s="304">
        <f t="shared" si="81"/>
        <v>174333.33333333331</v>
      </c>
      <c r="U1696" s="52"/>
      <c r="V1696" s="34"/>
      <c r="W1696" s="408"/>
    </row>
    <row r="1697" spans="1:23" ht="12.75" customHeight="1" x14ac:dyDescent="0.2">
      <c r="A1697" s="257">
        <v>1679</v>
      </c>
      <c r="B1697" s="44">
        <v>44508</v>
      </c>
      <c r="C1697" s="44">
        <f t="shared" si="79"/>
        <v>44508</v>
      </c>
      <c r="D1697" s="374">
        <v>215</v>
      </c>
      <c r="E1697" s="291" t="str">
        <f>IFERROR(VLOOKUP($D1697,'Clients-Live'!$A:$C,3,0),"")</f>
        <v>BRANI MUSA</v>
      </c>
      <c r="F1697" s="291">
        <f>IFERROR(INDEX(Disbursements!$D:$D,MATCH('Live Collections'!G1697,Disbursements!$C:$C,0)),"")</f>
        <v>1</v>
      </c>
      <c r="G1697" s="34">
        <v>219</v>
      </c>
      <c r="H1697" s="34">
        <v>3180</v>
      </c>
      <c r="I1697" s="34" t="s">
        <v>1357</v>
      </c>
      <c r="J1697" s="48"/>
      <c r="K1697" s="48"/>
      <c r="L1697" s="48"/>
      <c r="M1697" s="48"/>
      <c r="N1697" s="59"/>
      <c r="O1697" s="59">
        <v>120000</v>
      </c>
      <c r="P1697" s="59"/>
      <c r="Q1697" s="268">
        <f t="shared" si="80"/>
        <v>120000</v>
      </c>
      <c r="R1697" s="61">
        <f>IF(O1697=0,0,SUMIFS(Disbursements!$T:$T,Disbursements!$B:$B,'Live Collections'!D1697,Disbursements!$D:$D,'Live Collections'!F1697))</f>
        <v>368000</v>
      </c>
      <c r="S1697" s="304">
        <f>IF(O1697&lt;=IF($O1697=0,0,SUMIFS(Disbursements!$W:$W,Disbursements!$B:$B,'Live Collections'!D2531,Disbursements!$D:$D,'Live Collections'!F2531)),O1697,IF($O1697=0,0,SUMIFS(Disbursements!$W:$W,Disbursements!$B:$B,'Live Collections'!D2531,Disbursements!$D:$D,'Live Collections'!F2531)))</f>
        <v>30000</v>
      </c>
      <c r="T1697" s="304">
        <f t="shared" si="81"/>
        <v>90000</v>
      </c>
      <c r="U1697" s="52"/>
      <c r="V1697" s="34"/>
      <c r="W1697" s="408"/>
    </row>
    <row r="1698" spans="1:23" ht="12.75" customHeight="1" x14ac:dyDescent="0.2">
      <c r="A1698" s="257">
        <v>1674</v>
      </c>
      <c r="B1698" s="44">
        <v>44508</v>
      </c>
      <c r="C1698" s="44">
        <f t="shared" si="79"/>
        <v>44508</v>
      </c>
      <c r="D1698" s="374">
        <v>218</v>
      </c>
      <c r="E1698" s="291" t="str">
        <f>IFERROR(VLOOKUP($D1698,'Clients-Live'!$A:$C,3,0),"")</f>
        <v>BUSURA OMAR</v>
      </c>
      <c r="F1698" s="291">
        <f>IFERROR(INDEX(Disbursements!$D:$D,MATCH('Live Collections'!G1698,Disbursements!$C:$C,0)),"")</f>
        <v>1</v>
      </c>
      <c r="G1698" s="34">
        <v>223</v>
      </c>
      <c r="H1698" s="34">
        <v>3187</v>
      </c>
      <c r="I1698" s="34" t="s">
        <v>1357</v>
      </c>
      <c r="J1698" s="48"/>
      <c r="K1698" s="48"/>
      <c r="L1698" s="48"/>
      <c r="M1698" s="48"/>
      <c r="N1698" s="59"/>
      <c r="O1698" s="59">
        <v>85000</v>
      </c>
      <c r="P1698" s="59"/>
      <c r="Q1698" s="268">
        <f t="shared" si="80"/>
        <v>85000</v>
      </c>
      <c r="R1698" s="61">
        <f>IF(O1698=0,0,SUMIFS(Disbursements!$T:$T,Disbursements!$B:$B,'Live Collections'!D1698,Disbursements!$D:$D,'Live Collections'!F1698))</f>
        <v>325000</v>
      </c>
      <c r="S1698" s="304">
        <f>IF(O1698&lt;=IF($O1698=0,0,SUMIFS(Disbursements!$W:$W,Disbursements!$B:$B,'Live Collections'!D2576,Disbursements!$D:$D,'Live Collections'!F2576)),O1698,IF($O1698=0,0,SUMIFS(Disbursements!$W:$W,Disbursements!$B:$B,'Live Collections'!D2576,Disbursements!$D:$D,'Live Collections'!F2576)))</f>
        <v>25666.666666666672</v>
      </c>
      <c r="T1698" s="304">
        <f t="shared" si="81"/>
        <v>59333.333333333328</v>
      </c>
      <c r="U1698" s="52"/>
      <c r="V1698" s="34"/>
      <c r="W1698" s="408"/>
    </row>
    <row r="1699" spans="1:23" ht="12.75" customHeight="1" x14ac:dyDescent="0.2">
      <c r="A1699" s="257">
        <v>1681</v>
      </c>
      <c r="B1699" s="44">
        <v>44508</v>
      </c>
      <c r="C1699" s="44">
        <f t="shared" si="79"/>
        <v>44508</v>
      </c>
      <c r="D1699" s="374">
        <v>222</v>
      </c>
      <c r="E1699" s="291" t="str">
        <f>IFERROR(VLOOKUP($D1699,'Clients-Live'!$A:$C,3,0),"")</f>
        <v>ITITU ZAIDA</v>
      </c>
      <c r="F1699" s="291">
        <f>IFERROR(INDEX(Disbursements!$D:$D,MATCH('Live Collections'!G1699,Disbursements!$C:$C,0)),"")</f>
        <v>1</v>
      </c>
      <c r="G1699" s="34">
        <v>249</v>
      </c>
      <c r="H1699" s="34">
        <v>3179</v>
      </c>
      <c r="I1699" s="34" t="s">
        <v>1358</v>
      </c>
      <c r="J1699" s="48"/>
      <c r="K1699" s="48"/>
      <c r="L1699" s="48"/>
      <c r="M1699" s="48"/>
      <c r="N1699" s="59"/>
      <c r="O1699" s="59">
        <v>180000</v>
      </c>
      <c r="P1699" s="59"/>
      <c r="Q1699" s="268">
        <f t="shared" si="80"/>
        <v>180000</v>
      </c>
      <c r="R1699" s="61">
        <f>IF(O1699=0,0,SUMIFS(Disbursements!$T:$T,Disbursements!$B:$B,'Live Collections'!D1699,Disbursements!$D:$D,'Live Collections'!F1699))</f>
        <v>180000</v>
      </c>
      <c r="S1699" s="304">
        <f>IF(O1699&lt;=IF($O1699=0,0,SUMIFS(Disbursements!$W:$W,Disbursements!$B:$B,'Live Collections'!D2613,Disbursements!$D:$D,'Live Collections'!F2613)),O1699,IF($O1699=0,0,SUMIFS(Disbursements!$W:$W,Disbursements!$B:$B,'Live Collections'!D2613,Disbursements!$D:$D,'Live Collections'!F2613)))</f>
        <v>16333.333333333336</v>
      </c>
      <c r="T1699" s="304">
        <f t="shared" si="81"/>
        <v>163666.66666666666</v>
      </c>
      <c r="U1699" s="52"/>
      <c r="V1699" s="34"/>
      <c r="W1699" s="408"/>
    </row>
    <row r="1700" spans="1:23" ht="12.75" customHeight="1" x14ac:dyDescent="0.2">
      <c r="A1700" s="257">
        <v>1670</v>
      </c>
      <c r="B1700" s="44">
        <v>44508</v>
      </c>
      <c r="C1700" s="44">
        <f t="shared" si="79"/>
        <v>44508</v>
      </c>
      <c r="D1700" s="374">
        <v>238</v>
      </c>
      <c r="E1700" s="291" t="str">
        <f>IFERROR(VLOOKUP($D1700,'Clients-Live'!$A:$C,3,0),"")</f>
        <v>ANGAIKA SAID</v>
      </c>
      <c r="F1700" s="291">
        <f>IFERROR(INDEX(Disbursements!$D:$D,MATCH('Live Collections'!G1700,Disbursements!$C:$C,0)),"")</f>
        <v>1</v>
      </c>
      <c r="G1700" s="34">
        <v>257</v>
      </c>
      <c r="H1700" s="34">
        <v>3193</v>
      </c>
      <c r="I1700" s="34" t="s">
        <v>1359</v>
      </c>
      <c r="J1700" s="48"/>
      <c r="K1700" s="48"/>
      <c r="L1700" s="48"/>
      <c r="M1700" s="48"/>
      <c r="N1700" s="59"/>
      <c r="O1700" s="59">
        <v>125000</v>
      </c>
      <c r="P1700" s="59"/>
      <c r="Q1700" s="268">
        <f t="shared" si="80"/>
        <v>125000</v>
      </c>
      <c r="R1700" s="61">
        <f>IF(O1700=0,0,SUMIFS(Disbursements!$T:$T,Disbursements!$B:$B,'Live Collections'!D1700,Disbursements!$D:$D,'Live Collections'!F1700))</f>
        <v>125000</v>
      </c>
      <c r="S1700" s="304">
        <f>IF(O1700&lt;=IF($O1700=0,0,SUMIFS(Disbursements!$W:$W,Disbursements!$B:$B,'Live Collections'!D2734,Disbursements!$D:$D,'Live Collections'!F2734)),O1700,IF($O1700=0,0,SUMIFS(Disbursements!$W:$W,Disbursements!$B:$B,'Live Collections'!D2734,Disbursements!$D:$D,'Live Collections'!F2734)))</f>
        <v>113000</v>
      </c>
      <c r="T1700" s="304">
        <f t="shared" si="81"/>
        <v>12000</v>
      </c>
      <c r="U1700" s="52"/>
      <c r="V1700" s="34"/>
      <c r="W1700" s="408"/>
    </row>
    <row r="1701" spans="1:23" ht="12.75" customHeight="1" x14ac:dyDescent="0.2">
      <c r="A1701" s="257">
        <v>1678</v>
      </c>
      <c r="B1701" s="44">
        <v>44508</v>
      </c>
      <c r="C1701" s="44">
        <f t="shared" si="79"/>
        <v>44508</v>
      </c>
      <c r="D1701" s="374">
        <v>246</v>
      </c>
      <c r="E1701" s="291" t="str">
        <f>IFERROR(VLOOKUP($D1701,'Clients-Live'!$A:$C,3,0),"")</f>
        <v>ALOMO ZAIDA</v>
      </c>
      <c r="F1701" s="291">
        <f>IFERROR(INDEX(Disbursements!$D:$D,MATCH('Live Collections'!G1701,Disbursements!$C:$C,0)),"")</f>
        <v>1</v>
      </c>
      <c r="G1701" s="34">
        <v>271</v>
      </c>
      <c r="H1701" s="34">
        <v>3182</v>
      </c>
      <c r="I1701" s="34" t="s">
        <v>1357</v>
      </c>
      <c r="J1701" s="48"/>
      <c r="K1701" s="48"/>
      <c r="L1701" s="48"/>
      <c r="M1701" s="48"/>
      <c r="N1701" s="59"/>
      <c r="O1701" s="59">
        <v>30000</v>
      </c>
      <c r="P1701" s="59"/>
      <c r="Q1701" s="268">
        <f t="shared" si="80"/>
        <v>30000</v>
      </c>
      <c r="R1701" s="61">
        <f>IF(O1701=0,0,SUMIFS(Disbursements!$T:$T,Disbursements!$B:$B,'Live Collections'!D1701,Disbursements!$D:$D,'Live Collections'!F1701))</f>
        <v>120000</v>
      </c>
      <c r="S1701" s="64">
        <v>20000</v>
      </c>
      <c r="T1701" s="304">
        <f t="shared" si="81"/>
        <v>10000</v>
      </c>
      <c r="U1701" s="52"/>
      <c r="V1701" s="34"/>
      <c r="W1701" s="408"/>
    </row>
    <row r="1702" spans="1:23" ht="12.75" customHeight="1" x14ac:dyDescent="0.2">
      <c r="A1702" s="257">
        <v>1689</v>
      </c>
      <c r="B1702" s="44">
        <v>44508</v>
      </c>
      <c r="C1702" s="44">
        <f t="shared" si="79"/>
        <v>44508</v>
      </c>
      <c r="D1702" s="374">
        <v>270</v>
      </c>
      <c r="E1702" s="291" t="str">
        <f>IFERROR(VLOOKUP($D1702,'Clients-Live'!$A:$C,3,0),"")</f>
        <v>AJOBE SAMUEL</v>
      </c>
      <c r="F1702" s="291">
        <f>IFERROR(INDEX(Disbursements!$D:$D,MATCH('Live Collections'!G1702,Disbursements!$C:$C,0)),"")</f>
        <v>1</v>
      </c>
      <c r="G1702" s="34">
        <v>313</v>
      </c>
      <c r="H1702" s="34">
        <v>3105</v>
      </c>
      <c r="I1702" s="34" t="s">
        <v>1359</v>
      </c>
      <c r="J1702" s="48"/>
      <c r="K1702" s="48"/>
      <c r="L1702" s="48"/>
      <c r="M1702" s="48"/>
      <c r="N1702" s="59"/>
      <c r="O1702" s="59"/>
      <c r="P1702" s="59">
        <v>35000</v>
      </c>
      <c r="Q1702" s="268">
        <f t="shared" si="80"/>
        <v>35000</v>
      </c>
      <c r="R1702" s="61">
        <f>IF(O1702=0,0,SUMIFS(Disbursements!$T:$T,Disbursements!$B:$B,'Live Collections'!D1702,Disbursements!$D:$D,'Live Collections'!F1702))</f>
        <v>0</v>
      </c>
      <c r="S1702" s="304">
        <f>IF(O1702&lt;=IF($O1702=0,0,SUMIFS(Disbursements!$W:$W,Disbursements!$B:$B,'Live Collections'!#REF!,Disbursements!$D:$D,'Live Collections'!#REF!)),O1702,IF($O1702=0,0,SUMIFS(Disbursements!$W:$W,Disbursements!$B:$B,'Live Collections'!#REF!,Disbursements!$D:$D,'Live Collections'!#REF!)))</f>
        <v>0</v>
      </c>
      <c r="T1702" s="304">
        <f t="shared" si="81"/>
        <v>0</v>
      </c>
      <c r="U1702" s="52"/>
      <c r="V1702" s="34"/>
      <c r="W1702" s="408"/>
    </row>
    <row r="1703" spans="1:23" ht="12.75" customHeight="1" x14ac:dyDescent="0.2">
      <c r="A1703" s="257">
        <v>1690</v>
      </c>
      <c r="B1703" s="44">
        <v>44508</v>
      </c>
      <c r="C1703" s="44">
        <f t="shared" si="79"/>
        <v>44508</v>
      </c>
      <c r="D1703" s="374">
        <v>280</v>
      </c>
      <c r="E1703" s="291" t="str">
        <f>IFERROR(VLOOKUP($D1703,'Clients-Live'!$A:$C,3,0),"")</f>
        <v>ANYULE JAMALI</v>
      </c>
      <c r="F1703" s="291" t="str">
        <f>IFERROR(INDEX(Disbursements!$D:$D,MATCH('Live Collections'!G1703,Disbursements!$C:$C,0)),"")</f>
        <v/>
      </c>
      <c r="G1703" s="34"/>
      <c r="H1703" s="34">
        <v>3186</v>
      </c>
      <c r="I1703" s="34" t="s">
        <v>1716</v>
      </c>
      <c r="J1703" s="48">
        <v>15000</v>
      </c>
      <c r="K1703" s="48">
        <v>5000</v>
      </c>
      <c r="L1703" s="48">
        <v>15000</v>
      </c>
      <c r="M1703" s="48">
        <v>5000</v>
      </c>
      <c r="N1703" s="59"/>
      <c r="O1703" s="59"/>
      <c r="P1703" s="59"/>
      <c r="Q1703" s="268">
        <f t="shared" si="80"/>
        <v>40000</v>
      </c>
      <c r="R1703" s="61">
        <f>IF(O1703=0,0,SUMIFS(Disbursements!$T:$T,Disbursements!$B:$B,'Live Collections'!D1703,Disbursements!$D:$D,'Live Collections'!F1703))</f>
        <v>0</v>
      </c>
      <c r="S1703" s="304">
        <f>IF(O1703&lt;=IF($O1703=0,0,SUMIFS(Disbursements!$W:$W,Disbursements!$B:$B,'Live Collections'!D3005,Disbursements!$D:$D,'Live Collections'!F3005)),O1703,IF($O1703=0,0,SUMIFS(Disbursements!$W:$W,Disbursements!$B:$B,'Live Collections'!D3005,Disbursements!$D:$D,'Live Collections'!F3005)))</f>
        <v>0</v>
      </c>
      <c r="T1703" s="304">
        <f t="shared" si="81"/>
        <v>0</v>
      </c>
      <c r="U1703" s="52"/>
      <c r="V1703" s="34"/>
      <c r="W1703" s="408"/>
    </row>
    <row r="1704" spans="1:23" ht="12.75" customHeight="1" x14ac:dyDescent="0.2">
      <c r="A1704" s="257">
        <v>1705</v>
      </c>
      <c r="B1704" s="44">
        <v>44509</v>
      </c>
      <c r="C1704" s="44">
        <f t="shared" si="79"/>
        <v>44509</v>
      </c>
      <c r="D1704" s="374">
        <v>18</v>
      </c>
      <c r="E1704" s="291" t="str">
        <f>IFERROR(VLOOKUP($D1704,'Clients-Live'!$A:$C,3,0),"")</f>
        <v>ARIYE PEACE</v>
      </c>
      <c r="F1704" s="291" t="str">
        <f>IFERROR(INDEX(Disbursements!$D:$D,MATCH('Live Collections'!G1704,Disbursements!$C:$C,0)),"")</f>
        <v/>
      </c>
      <c r="G1704" s="34"/>
      <c r="H1704" s="34">
        <v>3126</v>
      </c>
      <c r="I1704" s="34" t="s">
        <v>1357</v>
      </c>
      <c r="J1704" s="48"/>
      <c r="K1704" s="48"/>
      <c r="L1704" s="48"/>
      <c r="M1704" s="48"/>
      <c r="N1704" s="59"/>
      <c r="O1704" s="59"/>
      <c r="P1704" s="59">
        <v>300000</v>
      </c>
      <c r="Q1704" s="268">
        <f t="shared" si="80"/>
        <v>300000</v>
      </c>
      <c r="R1704" s="61">
        <f>IF(O1704=0,0,SUMIFS(Disbursements!$T:$T,Disbursements!$B:$B,'Live Collections'!D1704,Disbursements!$D:$D,'Live Collections'!F1704))</f>
        <v>0</v>
      </c>
      <c r="S1704" s="304">
        <f>IF(O1704&lt;=IF($O1704=0,0,SUMIFS(Disbursements!$W:$W,Disbursements!$B:$B,'Live Collections'!D216,Disbursements!$D:$D,'Live Collections'!F216)),O1704,IF($O1704=0,0,SUMIFS(Disbursements!$W:$W,Disbursements!$B:$B,'Live Collections'!D216,Disbursements!$D:$D,'Live Collections'!F216)))</f>
        <v>0</v>
      </c>
      <c r="T1704" s="304">
        <f t="shared" si="81"/>
        <v>0</v>
      </c>
      <c r="U1704" s="52"/>
      <c r="V1704" s="34"/>
      <c r="W1704" s="408"/>
    </row>
    <row r="1705" spans="1:23" ht="12.75" customHeight="1" x14ac:dyDescent="0.2">
      <c r="A1705" s="257">
        <v>1709</v>
      </c>
      <c r="B1705" s="44">
        <v>44509</v>
      </c>
      <c r="C1705" s="44">
        <f t="shared" si="79"/>
        <v>44509</v>
      </c>
      <c r="D1705" s="374">
        <v>46</v>
      </c>
      <c r="E1705" s="291" t="str">
        <f>IFERROR(VLOOKUP($D1705,'Clients-Live'!$A:$C,3,0),"")</f>
        <v>ALIO YUDA</v>
      </c>
      <c r="F1705" s="291">
        <f>IFERROR(INDEX(Disbursements!$D:$D,MATCH('Live Collections'!G1705,Disbursements!$C:$C,0)),"")</f>
        <v>1</v>
      </c>
      <c r="G1705" s="34">
        <v>35</v>
      </c>
      <c r="H1705" s="34">
        <v>3120</v>
      </c>
      <c r="I1705" s="34" t="s">
        <v>1357</v>
      </c>
      <c r="J1705" s="48"/>
      <c r="K1705" s="48"/>
      <c r="L1705" s="48"/>
      <c r="M1705" s="48"/>
      <c r="N1705" s="59"/>
      <c r="O1705" s="59">
        <v>90000</v>
      </c>
      <c r="P1705" s="59"/>
      <c r="Q1705" s="268">
        <f t="shared" si="80"/>
        <v>90000</v>
      </c>
      <c r="R1705" s="61">
        <f>IF(O1705=0,0,SUMIFS(Disbursements!$T:$T,Disbursements!$B:$B,'Live Collections'!D1705,Disbursements!$D:$D,'Live Collections'!F1705))</f>
        <v>325000</v>
      </c>
      <c r="S1705" s="304"/>
      <c r="T1705" s="304">
        <f t="shared" si="81"/>
        <v>90000</v>
      </c>
      <c r="U1705" s="52"/>
      <c r="V1705" s="34"/>
      <c r="W1705" s="408"/>
    </row>
    <row r="1706" spans="1:23" ht="12.75" customHeight="1" x14ac:dyDescent="0.2">
      <c r="A1706" s="257">
        <v>1711</v>
      </c>
      <c r="B1706" s="44">
        <v>44509</v>
      </c>
      <c r="C1706" s="44">
        <f t="shared" si="79"/>
        <v>44509</v>
      </c>
      <c r="D1706" s="374">
        <v>60</v>
      </c>
      <c r="E1706" s="291" t="str">
        <f>IFERROR(VLOOKUP($D1706,'Clients-Live'!$A:$C,3,0),"")</f>
        <v>MATURU ALICE</v>
      </c>
      <c r="F1706" s="291">
        <f>IFERROR(INDEX(Disbursements!$D:$D,MATCH('Live Collections'!G1706,Disbursements!$C:$C,0)),"")</f>
        <v>2</v>
      </c>
      <c r="G1706" s="34">
        <v>200</v>
      </c>
      <c r="H1706" s="34">
        <v>3108</v>
      </c>
      <c r="I1706" s="34" t="s">
        <v>1358</v>
      </c>
      <c r="J1706" s="48"/>
      <c r="K1706" s="48"/>
      <c r="L1706" s="48"/>
      <c r="M1706" s="48"/>
      <c r="N1706" s="59"/>
      <c r="O1706" s="59">
        <v>80000</v>
      </c>
      <c r="P1706" s="59"/>
      <c r="Q1706" s="268">
        <f t="shared" si="80"/>
        <v>80000</v>
      </c>
      <c r="R1706" s="61">
        <f>IF(O1706=0,0,SUMIFS(Disbursements!$T:$T,Disbursements!$B:$B,'Live Collections'!D1706,Disbursements!$D:$D,'Live Collections'!F1706))</f>
        <v>180000</v>
      </c>
      <c r="S1706" s="304">
        <f>IF(O1706&lt;=IF($O1706=0,0,SUMIFS(Disbursements!$W:$W,Disbursements!$B:$B,'Live Collections'!D720,Disbursements!$D:$D,'Live Collections'!F720)),O1706,IF($O1706=0,0,SUMIFS(Disbursements!$W:$W,Disbursements!$B:$B,'Live Collections'!D720,Disbursements!$D:$D,'Live Collections'!F720)))</f>
        <v>25666.666666666672</v>
      </c>
      <c r="T1706" s="304">
        <f t="shared" si="81"/>
        <v>54333.333333333328</v>
      </c>
      <c r="U1706" s="52"/>
      <c r="V1706" s="34"/>
      <c r="W1706" s="408"/>
    </row>
    <row r="1707" spans="1:23" ht="12.75" customHeight="1" x14ac:dyDescent="0.2">
      <c r="A1707" s="257">
        <v>1695</v>
      </c>
      <c r="B1707" s="44">
        <v>44509</v>
      </c>
      <c r="C1707" s="44">
        <f t="shared" si="79"/>
        <v>44509</v>
      </c>
      <c r="D1707" s="374">
        <v>77</v>
      </c>
      <c r="E1707" s="291" t="str">
        <f>IFERROR(VLOOKUP($D1707,'Clients-Live'!$A:$C,3,0),"")</f>
        <v>CACA FATUMA</v>
      </c>
      <c r="F1707" s="291">
        <v>2</v>
      </c>
      <c r="G1707" s="34">
        <v>315</v>
      </c>
      <c r="H1707" s="34">
        <v>3354</v>
      </c>
      <c r="I1707" s="34" t="s">
        <v>1357</v>
      </c>
      <c r="J1707" s="48"/>
      <c r="K1707" s="48"/>
      <c r="L1707" s="48"/>
      <c r="M1707" s="48"/>
      <c r="N1707" s="59"/>
      <c r="O1707" s="59"/>
      <c r="P1707" s="59">
        <v>150000</v>
      </c>
      <c r="Q1707" s="268">
        <f t="shared" si="80"/>
        <v>150000</v>
      </c>
      <c r="R1707" s="61">
        <f>IF(O1707=0,0,SUMIFS(Disbursements!$T:$T,Disbursements!$B:$B,'Live Collections'!D1707,Disbursements!$D:$D,'Live Collections'!F1707))</f>
        <v>0</v>
      </c>
      <c r="S1707" s="304">
        <f>IF(O1707&lt;=IF($O1707=0,0,SUMIFS(Disbursements!$W:$W,Disbursements!$B:$B,'Live Collections'!D990,Disbursements!$D:$D,'Live Collections'!F990)),O1707,IF($O1707=0,0,SUMIFS(Disbursements!$W:$W,Disbursements!$B:$B,'Live Collections'!D990,Disbursements!$D:$D,'Live Collections'!F990)))</f>
        <v>0</v>
      </c>
      <c r="T1707" s="304">
        <f t="shared" si="81"/>
        <v>0</v>
      </c>
      <c r="U1707" s="52"/>
      <c r="V1707" s="34"/>
      <c r="W1707" s="408"/>
    </row>
    <row r="1708" spans="1:23" ht="12.75" customHeight="1" x14ac:dyDescent="0.2">
      <c r="A1708" s="257">
        <v>1704</v>
      </c>
      <c r="B1708" s="44">
        <v>44509</v>
      </c>
      <c r="C1708" s="44">
        <f t="shared" si="79"/>
        <v>44509</v>
      </c>
      <c r="D1708" s="374">
        <v>84</v>
      </c>
      <c r="E1708" s="291" t="str">
        <f>IFERROR(VLOOKUP($D1708,'Clients-Live'!$A:$C,3,0),"")</f>
        <v>OMEGA  CHARLES</v>
      </c>
      <c r="F1708" s="291">
        <f>IFERROR(INDEX(Disbursements!$D:$D,MATCH('Live Collections'!G1708,Disbursements!$C:$C,0)),"")</f>
        <v>1</v>
      </c>
      <c r="G1708" s="34">
        <v>66</v>
      </c>
      <c r="H1708" s="34">
        <v>3122</v>
      </c>
      <c r="I1708" s="34" t="s">
        <v>1359</v>
      </c>
      <c r="J1708" s="48"/>
      <c r="K1708" s="48"/>
      <c r="L1708" s="48"/>
      <c r="M1708" s="48"/>
      <c r="N1708" s="59"/>
      <c r="O1708" s="59">
        <v>250000</v>
      </c>
      <c r="P1708" s="59"/>
      <c r="Q1708" s="268">
        <f t="shared" si="80"/>
        <v>250000</v>
      </c>
      <c r="R1708" s="61">
        <f>IF(O1708=0,0,SUMIFS(Disbursements!$T:$T,Disbursements!$B:$B,'Live Collections'!D1708,Disbursements!$D:$D,'Live Collections'!F1708))</f>
        <v>434000</v>
      </c>
      <c r="S1708" s="304">
        <f>IF(O1708&lt;=IF($O1708=0,0,SUMIFS(Disbursements!$W:$W,Disbursements!$B:$B,'Live Collections'!D1077,Disbursements!$D:$D,'Live Collections'!F1077)),O1708,IF($O1708=0,0,SUMIFS(Disbursements!$W:$W,Disbursements!$B:$B,'Live Collections'!D1077,Disbursements!$D:$D,'Live Collections'!F1077)))</f>
        <v>0</v>
      </c>
      <c r="T1708" s="304">
        <f t="shared" si="81"/>
        <v>250000</v>
      </c>
      <c r="U1708" s="52"/>
      <c r="V1708" s="34"/>
      <c r="W1708" s="408"/>
    </row>
    <row r="1709" spans="1:23" ht="12.75" customHeight="1" x14ac:dyDescent="0.2">
      <c r="A1709" s="257">
        <v>1694</v>
      </c>
      <c r="B1709" s="44">
        <v>44509</v>
      </c>
      <c r="C1709" s="44">
        <f t="shared" si="79"/>
        <v>44509</v>
      </c>
      <c r="D1709" s="374">
        <v>105</v>
      </c>
      <c r="E1709" s="291" t="str">
        <f>IFERROR(VLOOKUP($D1709,'Clients-Live'!$A:$C,3,0),"")</f>
        <v>NUKA ROSE</v>
      </c>
      <c r="F1709" s="291">
        <f>IFERROR(INDEX(Disbursements!$D:$D,MATCH('Live Collections'!G1709,Disbursements!$C:$C,0)),"")</f>
        <v>2</v>
      </c>
      <c r="G1709" s="34">
        <v>259</v>
      </c>
      <c r="H1709" s="34">
        <v>3402</v>
      </c>
      <c r="I1709" s="34" t="s">
        <v>1359</v>
      </c>
      <c r="J1709" s="48"/>
      <c r="K1709" s="48"/>
      <c r="L1709" s="48"/>
      <c r="M1709" s="48"/>
      <c r="N1709" s="59"/>
      <c r="O1709" s="59">
        <v>100000</v>
      </c>
      <c r="P1709" s="59"/>
      <c r="Q1709" s="268">
        <f t="shared" si="80"/>
        <v>100000</v>
      </c>
      <c r="R1709" s="61">
        <f>IF(O1709=0,0,SUMIFS(Disbursements!$T:$T,Disbursements!$B:$B,'Live Collections'!D1709,Disbursements!$D:$D,'Live Collections'!F1709))</f>
        <v>100000</v>
      </c>
      <c r="S1709" s="304">
        <f>IF(O1709&lt;=IF($O1709=0,0,SUMIFS(Disbursements!$W:$W,Disbursements!$B:$B,'Live Collections'!D1356,Disbursements!$D:$D,'Live Collections'!F1356)),O1709,IF($O1709=0,0,SUMIFS(Disbursements!$W:$W,Disbursements!$B:$B,'Live Collections'!D1356,Disbursements!$D:$D,'Live Collections'!F1356)))</f>
        <v>35000</v>
      </c>
      <c r="T1709" s="304">
        <f t="shared" si="81"/>
        <v>65000</v>
      </c>
      <c r="U1709" s="52"/>
      <c r="V1709" s="34"/>
      <c r="W1709" s="408"/>
    </row>
    <row r="1710" spans="1:23" ht="12.75" customHeight="1" x14ac:dyDescent="0.2">
      <c r="A1710" s="257">
        <v>1696</v>
      </c>
      <c r="B1710" s="44">
        <v>44509</v>
      </c>
      <c r="C1710" s="44">
        <f t="shared" si="79"/>
        <v>44509</v>
      </c>
      <c r="D1710" s="374">
        <v>108</v>
      </c>
      <c r="E1710" s="291" t="str">
        <f>IFERROR(VLOOKUP($D1710,'Clients-Live'!$A:$C,3,0),"")</f>
        <v>DUDU JOICE</v>
      </c>
      <c r="F1710" s="291" t="str">
        <f>IFERROR(INDEX(Disbursements!$D:$D,MATCH('Live Collections'!G1710,Disbursements!$C:$C,0)),"")</f>
        <v/>
      </c>
      <c r="G1710" s="34"/>
      <c r="H1710" s="34">
        <v>3351</v>
      </c>
      <c r="I1710" s="34" t="s">
        <v>1359</v>
      </c>
      <c r="J1710" s="48"/>
      <c r="K1710" s="48"/>
      <c r="L1710" s="48"/>
      <c r="M1710" s="48"/>
      <c r="N1710" s="59"/>
      <c r="O1710" s="59"/>
      <c r="P1710" s="59">
        <v>100000</v>
      </c>
      <c r="Q1710" s="268">
        <f t="shared" si="80"/>
        <v>100000</v>
      </c>
      <c r="R1710" s="61">
        <f>IF(O1710=0,0,SUMIFS(Disbursements!$T:$T,Disbursements!$B:$B,'Live Collections'!D1710,Disbursements!$D:$D,'Live Collections'!F1710))</f>
        <v>0</v>
      </c>
      <c r="S1710" s="304">
        <f>IF(O1710&lt;=IF($O1710=0,0,SUMIFS(Disbursements!$W:$W,Disbursements!$B:$B,'Live Collections'!D1392,Disbursements!$D:$D,'Live Collections'!F1392)),O1710,IF($O1710=0,0,SUMIFS(Disbursements!$W:$W,Disbursements!$B:$B,'Live Collections'!D1392,Disbursements!$D:$D,'Live Collections'!F1392)))</f>
        <v>0</v>
      </c>
      <c r="T1710" s="304">
        <f t="shared" si="81"/>
        <v>0</v>
      </c>
      <c r="U1710" s="52"/>
      <c r="V1710" s="34"/>
      <c r="W1710" s="408"/>
    </row>
    <row r="1711" spans="1:23" ht="12.75" customHeight="1" x14ac:dyDescent="0.2">
      <c r="A1711" s="257">
        <v>1697</v>
      </c>
      <c r="B1711" s="44">
        <v>44509</v>
      </c>
      <c r="C1711" s="44">
        <f t="shared" si="79"/>
        <v>44509</v>
      </c>
      <c r="D1711" s="374">
        <v>109</v>
      </c>
      <c r="E1711" s="291" t="str">
        <f>IFERROR(VLOOKUP($D1711,'Clients-Live'!$A:$C,3,0),"")</f>
        <v>TABU KISA</v>
      </c>
      <c r="F1711" s="291">
        <f>IFERROR(INDEX(Disbursements!$D:$D,MATCH('Live Collections'!G1711,Disbursements!$C:$C,0)),"")</f>
        <v>2</v>
      </c>
      <c r="G1711" s="34">
        <v>237</v>
      </c>
      <c r="H1711" s="34">
        <v>3401</v>
      </c>
      <c r="I1711" s="34" t="s">
        <v>1357</v>
      </c>
      <c r="J1711" s="48"/>
      <c r="K1711" s="48"/>
      <c r="L1711" s="48"/>
      <c r="M1711" s="48"/>
      <c r="N1711" s="59"/>
      <c r="O1711" s="59">
        <v>40100</v>
      </c>
      <c r="P1711" s="59"/>
      <c r="Q1711" s="268">
        <f t="shared" si="80"/>
        <v>40100</v>
      </c>
      <c r="R1711" s="61">
        <f>IF(O1711=0,0,SUMIFS(Disbursements!$T:$T,Disbursements!$B:$B,'Live Collections'!D1711,Disbursements!$D:$D,'Live Collections'!F1711))</f>
        <v>275000</v>
      </c>
      <c r="S1711" s="304">
        <f>IF(O1711&lt;=IF($O1711=0,0,SUMIFS(Disbursements!$W:$W,Disbursements!$B:$B,'Live Collections'!D1407,Disbursements!$D:$D,'Live Collections'!F1407)),O1711,IF($O1711=0,0,SUMIFS(Disbursements!$W:$W,Disbursements!$B:$B,'Live Collections'!D1407,Disbursements!$D:$D,'Live Collections'!F1407)))</f>
        <v>40100</v>
      </c>
      <c r="T1711" s="304">
        <f t="shared" si="81"/>
        <v>0</v>
      </c>
      <c r="U1711" s="52"/>
      <c r="V1711" s="34"/>
      <c r="W1711" s="408"/>
    </row>
    <row r="1712" spans="1:23" ht="12.75" customHeight="1" x14ac:dyDescent="0.2">
      <c r="A1712" s="257">
        <v>1703</v>
      </c>
      <c r="B1712" s="44">
        <v>44509</v>
      </c>
      <c r="C1712" s="44">
        <f t="shared" si="79"/>
        <v>44509</v>
      </c>
      <c r="D1712" s="374">
        <v>116</v>
      </c>
      <c r="E1712" s="291" t="str">
        <f>IFERROR(VLOOKUP($D1712,'Clients-Live'!$A:$C,3,0),"")</f>
        <v>ONZIA LUCY</v>
      </c>
      <c r="F1712" s="291">
        <f>IFERROR(INDEX(Disbursements!$D:$D,MATCH('Live Collections'!G1712,Disbursements!$C:$C,0)),"")</f>
        <v>2</v>
      </c>
      <c r="G1712" s="34">
        <v>229</v>
      </c>
      <c r="H1712" s="34">
        <v>3125</v>
      </c>
      <c r="I1712" s="34" t="s">
        <v>1357</v>
      </c>
      <c r="J1712" s="48"/>
      <c r="K1712" s="48"/>
      <c r="L1712" s="48"/>
      <c r="M1712" s="48"/>
      <c r="N1712" s="59"/>
      <c r="O1712" s="59">
        <v>35000</v>
      </c>
      <c r="P1712" s="59"/>
      <c r="Q1712" s="268">
        <f t="shared" si="80"/>
        <v>35000</v>
      </c>
      <c r="R1712" s="61">
        <f>IF(O1712=0,0,SUMIFS(Disbursements!$T:$T,Disbursements!$B:$B,'Live Collections'!D1712,Disbursements!$D:$D,'Live Collections'!F1712))</f>
        <v>29000</v>
      </c>
      <c r="S1712" s="304"/>
      <c r="T1712" s="304">
        <f t="shared" si="81"/>
        <v>35000</v>
      </c>
      <c r="U1712" s="52"/>
      <c r="V1712" s="34"/>
      <c r="W1712" s="408"/>
    </row>
    <row r="1713" spans="1:23" ht="12.75" customHeight="1" x14ac:dyDescent="0.2">
      <c r="A1713" s="257">
        <v>1715</v>
      </c>
      <c r="B1713" s="44">
        <v>44509</v>
      </c>
      <c r="C1713" s="44">
        <f t="shared" si="79"/>
        <v>44509</v>
      </c>
      <c r="D1713" s="374">
        <v>124</v>
      </c>
      <c r="E1713" s="291" t="str">
        <f>IFERROR(VLOOKUP($D1713,'Clients-Live'!$A:$C,3,0),"")</f>
        <v>TIKO ZABIBU</v>
      </c>
      <c r="F1713" s="291">
        <f>IFERROR(INDEX(Disbursements!$D:$D,MATCH('Live Collections'!G1713,Disbursements!$C:$C,0)),"")</f>
        <v>1</v>
      </c>
      <c r="G1713" s="34">
        <v>199</v>
      </c>
      <c r="H1713" s="34">
        <v>3116</v>
      </c>
      <c r="I1713" s="34" t="s">
        <v>1358</v>
      </c>
      <c r="J1713" s="48"/>
      <c r="K1713" s="48"/>
      <c r="L1713" s="48"/>
      <c r="M1713" s="48"/>
      <c r="N1713" s="59"/>
      <c r="O1713" s="59">
        <v>100000</v>
      </c>
      <c r="P1713" s="59"/>
      <c r="Q1713" s="268">
        <f t="shared" si="80"/>
        <v>100000</v>
      </c>
      <c r="R1713" s="61">
        <f>IF(O1713=0,0,SUMIFS(Disbursements!$T:$T,Disbursements!$B:$B,'Live Collections'!D1713,Disbursements!$D:$D,'Live Collections'!F1713))</f>
        <v>180000</v>
      </c>
      <c r="S1713" s="304"/>
      <c r="T1713" s="304">
        <f t="shared" si="81"/>
        <v>100000</v>
      </c>
      <c r="U1713" s="52"/>
      <c r="V1713" s="34"/>
      <c r="W1713" s="408"/>
    </row>
    <row r="1714" spans="1:23" ht="12.75" customHeight="1" x14ac:dyDescent="0.2">
      <c r="A1714" s="257">
        <v>1699</v>
      </c>
      <c r="B1714" s="44">
        <v>44509</v>
      </c>
      <c r="C1714" s="44">
        <f t="shared" si="79"/>
        <v>44509</v>
      </c>
      <c r="D1714" s="374">
        <v>134</v>
      </c>
      <c r="E1714" s="291" t="str">
        <f>IFERROR(VLOOKUP($D1714,'Clients-Live'!$A:$C,3,0),"")</f>
        <v>TABU NATALIYA</v>
      </c>
      <c r="F1714" s="291" t="str">
        <f>IFERROR(INDEX(Disbursements!$D:$D,MATCH('Live Collections'!G1714,Disbursements!$C:$C,0)),"")</f>
        <v/>
      </c>
      <c r="G1714" s="34"/>
      <c r="H1714" s="34">
        <v>3306</v>
      </c>
      <c r="I1714" s="34" t="s">
        <v>1359</v>
      </c>
      <c r="J1714" s="48"/>
      <c r="K1714" s="48"/>
      <c r="L1714" s="48">
        <v>10000</v>
      </c>
      <c r="M1714" s="48">
        <v>5000</v>
      </c>
      <c r="N1714" s="59"/>
      <c r="O1714" s="59"/>
      <c r="P1714" s="59"/>
      <c r="Q1714" s="268">
        <f t="shared" si="80"/>
        <v>15000</v>
      </c>
      <c r="R1714" s="61">
        <f>IF(O1714=0,0,SUMIFS(Disbursements!$T:$T,Disbursements!$B:$B,'Live Collections'!D1714,Disbursements!$D:$D,'Live Collections'!F1714))</f>
        <v>0</v>
      </c>
      <c r="S1714" s="304">
        <f>IF(O1714&lt;=IF($O1714=0,0,SUMIFS(Disbursements!$W:$W,Disbursements!$B:$B,'Live Collections'!D1690,Disbursements!$D:$D,'Live Collections'!F1690)),O1714,IF($O1714=0,0,SUMIFS(Disbursements!$W:$W,Disbursements!$B:$B,'Live Collections'!D1690,Disbursements!$D:$D,'Live Collections'!F1690)))</f>
        <v>0</v>
      </c>
      <c r="T1714" s="304">
        <f t="shared" si="81"/>
        <v>0</v>
      </c>
      <c r="U1714" s="52"/>
      <c r="V1714" s="34"/>
      <c r="W1714" s="408"/>
    </row>
    <row r="1715" spans="1:23" ht="12.75" customHeight="1" x14ac:dyDescent="0.2">
      <c r="A1715" s="257">
        <v>1700</v>
      </c>
      <c r="B1715" s="44">
        <v>44509</v>
      </c>
      <c r="C1715" s="44">
        <f t="shared" si="79"/>
        <v>44509</v>
      </c>
      <c r="D1715" s="374">
        <v>134</v>
      </c>
      <c r="E1715" s="291" t="str">
        <f>IFERROR(VLOOKUP($D1715,'Clients-Live'!$A:$C,3,0),"")</f>
        <v>TABU NATALIYA</v>
      </c>
      <c r="F1715" s="291">
        <f>IFERROR(INDEX(Disbursements!$D:$D,MATCH('Live Collections'!G1715,Disbursements!$C:$C,0)),"")</f>
        <v>1</v>
      </c>
      <c r="G1715" s="34">
        <v>117</v>
      </c>
      <c r="H1715" s="34">
        <v>3305</v>
      </c>
      <c r="I1715" s="34" t="s">
        <v>1359</v>
      </c>
      <c r="J1715" s="48"/>
      <c r="K1715" s="48"/>
      <c r="L1715" s="48"/>
      <c r="M1715" s="48"/>
      <c r="N1715" s="59"/>
      <c r="O1715" s="59">
        <v>40000</v>
      </c>
      <c r="P1715" s="59"/>
      <c r="Q1715" s="268">
        <f t="shared" si="80"/>
        <v>40000</v>
      </c>
      <c r="R1715" s="61">
        <f>IF(O1715=0,0,SUMIFS(Disbursements!$T:$T,Disbursements!$B:$B,'Live Collections'!D1715,Disbursements!$D:$D,'Live Collections'!F1715))</f>
        <v>120000</v>
      </c>
      <c r="S1715" s="304">
        <f>IF(O1715&lt;=IF($O1715=0,0,SUMIFS(Disbursements!$W:$W,Disbursements!$B:$B,'Live Collections'!D3053,Disbursements!$D:$D,'Live Collections'!F3053)),O1715,IF($O1715=0,0,SUMIFS(Disbursements!$W:$W,Disbursements!$B:$B,'Live Collections'!D3053,Disbursements!$D:$D,'Live Collections'!F3053)))</f>
        <v>0</v>
      </c>
      <c r="T1715" s="304">
        <f t="shared" si="81"/>
        <v>40000</v>
      </c>
      <c r="U1715" s="52"/>
      <c r="V1715" s="34"/>
      <c r="W1715" s="408"/>
    </row>
    <row r="1716" spans="1:23" ht="12.75" customHeight="1" x14ac:dyDescent="0.2">
      <c r="A1716" s="257">
        <v>1701</v>
      </c>
      <c r="B1716" s="44">
        <v>44509</v>
      </c>
      <c r="C1716" s="44">
        <f t="shared" si="79"/>
        <v>44509</v>
      </c>
      <c r="D1716" s="374">
        <v>134</v>
      </c>
      <c r="E1716" s="291" t="str">
        <f>IFERROR(VLOOKUP($D1716,'Clients-Live'!$A:$C,3,0),"")</f>
        <v>TABU NATALIYA</v>
      </c>
      <c r="F1716" s="291" t="str">
        <f>IFERROR(INDEX(Disbursements!$D:$D,MATCH('Live Collections'!G1716,Disbursements!$C:$C,0)),"")</f>
        <v/>
      </c>
      <c r="G1716" s="34"/>
      <c r="H1716" s="34">
        <v>369</v>
      </c>
      <c r="I1716" s="34" t="s">
        <v>1359</v>
      </c>
      <c r="J1716" s="48"/>
      <c r="K1716" s="48"/>
      <c r="L1716" s="48"/>
      <c r="M1716" s="48"/>
      <c r="N1716" s="59"/>
      <c r="O1716" s="59"/>
      <c r="P1716" s="59">
        <v>-40000</v>
      </c>
      <c r="Q1716" s="268">
        <f t="shared" si="80"/>
        <v>-40000</v>
      </c>
      <c r="R1716" s="61">
        <f>IF(O1716=0,0,SUMIFS(Disbursements!$T:$T,Disbursements!$B:$B,'Live Collections'!D1716,Disbursements!$D:$D,'Live Collections'!F1716))</f>
        <v>0</v>
      </c>
      <c r="S1716" s="304">
        <f>IF(O1716&lt;=IF($O1716=0,0,SUMIFS(Disbursements!$W:$W,Disbursements!$B:$B,'Live Collections'!D1692,Disbursements!$D:$D,'Live Collections'!F1692)),O1716,IF($O1716=0,0,SUMIFS(Disbursements!$W:$W,Disbursements!$B:$B,'Live Collections'!D1692,Disbursements!$D:$D,'Live Collections'!F1692)))</f>
        <v>0</v>
      </c>
      <c r="T1716" s="304">
        <f t="shared" si="81"/>
        <v>0</v>
      </c>
      <c r="U1716" s="52"/>
      <c r="V1716" s="34"/>
      <c r="W1716" s="408"/>
    </row>
    <row r="1717" spans="1:23" ht="12.75" customHeight="1" x14ac:dyDescent="0.2">
      <c r="A1717" s="257">
        <v>1702</v>
      </c>
      <c r="B1717" s="44">
        <v>44509</v>
      </c>
      <c r="C1717" s="44">
        <f t="shared" si="79"/>
        <v>44509</v>
      </c>
      <c r="D1717" s="374">
        <v>134</v>
      </c>
      <c r="E1717" s="291" t="str">
        <f>IFERROR(VLOOKUP($D1717,'Clients-Live'!$A:$C,3,0),"")</f>
        <v>TABU NATALIYA</v>
      </c>
      <c r="F1717" s="291">
        <f>IFERROR(INDEX(Disbursements!$D:$D,MATCH('Live Collections'!G1717,Disbursements!$C:$C,0)),"")</f>
        <v>1</v>
      </c>
      <c r="G1717" s="34">
        <v>117</v>
      </c>
      <c r="H1717" s="34">
        <v>3303</v>
      </c>
      <c r="I1717" s="34" t="s">
        <v>1359</v>
      </c>
      <c r="J1717" s="48"/>
      <c r="K1717" s="48"/>
      <c r="L1717" s="48"/>
      <c r="M1717" s="48"/>
      <c r="N1717" s="59"/>
      <c r="O1717" s="59">
        <v>80000</v>
      </c>
      <c r="P1717" s="59"/>
      <c r="Q1717" s="268">
        <f t="shared" si="80"/>
        <v>80000</v>
      </c>
      <c r="R1717" s="61">
        <f>IF(O1717=0,0,SUMIFS(Disbursements!$T:$T,Disbursements!$B:$B,'Live Collections'!D1717,Disbursements!$D:$D,'Live Collections'!F1717))</f>
        <v>120000</v>
      </c>
      <c r="S1717" s="64">
        <v>-60000</v>
      </c>
      <c r="T1717" s="304"/>
      <c r="U1717" s="52"/>
      <c r="V1717" s="34"/>
      <c r="W1717" s="408"/>
    </row>
    <row r="1718" spans="1:23" ht="12.75" customHeight="1" x14ac:dyDescent="0.2">
      <c r="A1718" s="257">
        <v>1698</v>
      </c>
      <c r="B1718" s="44">
        <v>44509</v>
      </c>
      <c r="C1718" s="44">
        <f t="shared" si="79"/>
        <v>44509</v>
      </c>
      <c r="D1718" s="374">
        <v>135</v>
      </c>
      <c r="E1718" s="291" t="str">
        <f>IFERROR(VLOOKUP($D1718,'Clients-Live'!$A:$C,3,0),"")</f>
        <v>SARIF SAIDI</v>
      </c>
      <c r="F1718" s="291" t="str">
        <f>IFERROR(INDEX(Disbursements!$D:$D,MATCH('Live Collections'!G1718,Disbursements!$C:$C,0)),"")</f>
        <v/>
      </c>
      <c r="G1718" s="34"/>
      <c r="H1718" s="34">
        <v>3304</v>
      </c>
      <c r="I1718" s="34" t="s">
        <v>1716</v>
      </c>
      <c r="J1718" s="48"/>
      <c r="K1718" s="48"/>
      <c r="L1718" s="48">
        <v>15000</v>
      </c>
      <c r="M1718" s="48">
        <v>5000</v>
      </c>
      <c r="N1718" s="59"/>
      <c r="O1718" s="59"/>
      <c r="P1718" s="59"/>
      <c r="Q1718" s="268">
        <f t="shared" si="80"/>
        <v>20000</v>
      </c>
      <c r="R1718" s="61">
        <f>IF(O1718=0,0,SUMIFS(Disbursements!$T:$T,Disbursements!$B:$B,'Live Collections'!D1718,Disbursements!$D:$D,'Live Collections'!F1718))</f>
        <v>0</v>
      </c>
      <c r="S1718" s="304">
        <f>IF(O1718&lt;=IF($O1718=0,0,SUMIFS(Disbursements!$W:$W,Disbursements!$B:$B,'Live Collections'!D1704,Disbursements!$D:$D,'Live Collections'!F1704)),O1718,IF($O1718=0,0,SUMIFS(Disbursements!$W:$W,Disbursements!$B:$B,'Live Collections'!D1704,Disbursements!$D:$D,'Live Collections'!F1704)))</f>
        <v>0</v>
      </c>
      <c r="T1718" s="304">
        <f t="shared" si="81"/>
        <v>0</v>
      </c>
      <c r="U1718" s="52"/>
      <c r="V1718" s="34"/>
      <c r="W1718" s="408"/>
    </row>
    <row r="1719" spans="1:23" ht="12.75" customHeight="1" x14ac:dyDescent="0.2">
      <c r="A1719" s="257">
        <v>1707</v>
      </c>
      <c r="B1719" s="44">
        <v>44509</v>
      </c>
      <c r="C1719" s="44">
        <f t="shared" si="79"/>
        <v>44509</v>
      </c>
      <c r="D1719" s="374">
        <v>145</v>
      </c>
      <c r="E1719" s="291" t="str">
        <f>IFERROR(VLOOKUP($D1719,'Clients-Live'!$A:$C,3,0),"")</f>
        <v>NIGHT ASARA</v>
      </c>
      <c r="F1719" s="291">
        <f>IFERROR(INDEX(Disbursements!$D:$D,MATCH('Live Collections'!G1719,Disbursements!$C:$C,0)),"")</f>
        <v>1</v>
      </c>
      <c r="G1719" s="34">
        <v>132</v>
      </c>
      <c r="H1719" s="34">
        <v>3123</v>
      </c>
      <c r="I1719" s="34" t="s">
        <v>1357</v>
      </c>
      <c r="J1719" s="48"/>
      <c r="K1719" s="48"/>
      <c r="L1719" s="48"/>
      <c r="M1719" s="48"/>
      <c r="N1719" s="59"/>
      <c r="O1719" s="59">
        <v>40000</v>
      </c>
      <c r="P1719" s="59"/>
      <c r="Q1719" s="268">
        <f t="shared" si="80"/>
        <v>40000</v>
      </c>
      <c r="R1719" s="61">
        <f>IF(O1719=0,0,SUMIFS(Disbursements!$T:$T,Disbursements!$B:$B,'Live Collections'!D1719,Disbursements!$D:$D,'Live Collections'!F1719))</f>
        <v>120000</v>
      </c>
      <c r="S1719" s="304">
        <f>IF(O1719&lt;=IF($O1719=0,0,SUMIFS(Disbursements!$W:$W,Disbursements!$B:$B,'Live Collections'!D1832,Disbursements!$D:$D,'Live Collections'!F1832)),O1719,IF($O1719=0,0,SUMIFS(Disbursements!$W:$W,Disbursements!$B:$B,'Live Collections'!D1832,Disbursements!$D:$D,'Live Collections'!F1832)))</f>
        <v>15000</v>
      </c>
      <c r="T1719" s="304">
        <f t="shared" si="81"/>
        <v>25000</v>
      </c>
      <c r="U1719" s="52"/>
      <c r="V1719" s="34"/>
      <c r="W1719" s="408"/>
    </row>
    <row r="1720" spans="1:23" ht="12.75" customHeight="1" x14ac:dyDescent="0.2">
      <c r="A1720" s="257">
        <v>1712</v>
      </c>
      <c r="B1720" s="44">
        <v>44509</v>
      </c>
      <c r="C1720" s="44">
        <f t="shared" si="79"/>
        <v>44509</v>
      </c>
      <c r="D1720" s="374">
        <v>163</v>
      </c>
      <c r="E1720" s="291" t="str">
        <f>IFERROR(VLOOKUP($D1720,'Clients-Live'!$A:$C,3,0),"")</f>
        <v>CHANDIRU RAMULA</v>
      </c>
      <c r="F1720" s="291">
        <f>IFERROR(INDEX(Disbursements!$D:$D,MATCH('Live Collections'!G1720,Disbursements!$C:$C,0)),"")</f>
        <v>1</v>
      </c>
      <c r="G1720" s="34">
        <v>156</v>
      </c>
      <c r="H1720" s="34">
        <v>3117</v>
      </c>
      <c r="I1720" s="34" t="s">
        <v>1358</v>
      </c>
      <c r="J1720" s="48"/>
      <c r="K1720" s="48"/>
      <c r="L1720" s="48"/>
      <c r="M1720" s="48"/>
      <c r="N1720" s="59"/>
      <c r="O1720" s="59">
        <v>30000</v>
      </c>
      <c r="P1720" s="59"/>
      <c r="Q1720" s="268">
        <f t="shared" si="80"/>
        <v>30000</v>
      </c>
      <c r="R1720" s="61">
        <f>IF(O1720=0,0,SUMIFS(Disbursements!$T:$T,Disbursements!$B:$B,'Live Collections'!D1720,Disbursements!$D:$D,'Live Collections'!F1720))</f>
        <v>115000</v>
      </c>
      <c r="S1720" s="304"/>
      <c r="T1720" s="304">
        <f t="shared" si="81"/>
        <v>30000</v>
      </c>
      <c r="U1720" s="52"/>
      <c r="V1720" s="34"/>
      <c r="W1720" s="408"/>
    </row>
    <row r="1721" spans="1:23" ht="12.75" customHeight="1" x14ac:dyDescent="0.2">
      <c r="A1721" s="257">
        <v>1713</v>
      </c>
      <c r="B1721" s="44">
        <v>44509</v>
      </c>
      <c r="C1721" s="44">
        <f t="shared" si="79"/>
        <v>44509</v>
      </c>
      <c r="D1721" s="374">
        <v>163</v>
      </c>
      <c r="E1721" s="291" t="str">
        <f>IFERROR(VLOOKUP($D1721,'Clients-Live'!$A:$C,3,0),"")</f>
        <v>CHANDIRU RAMULA</v>
      </c>
      <c r="F1721" s="291" t="str">
        <f>IFERROR(INDEX(Disbursements!$D:$D,MATCH('Live Collections'!G1721,Disbursements!$C:$C,0)),"")</f>
        <v/>
      </c>
      <c r="G1721" s="34"/>
      <c r="H1721" s="34">
        <v>366</v>
      </c>
      <c r="I1721" s="34" t="s">
        <v>1358</v>
      </c>
      <c r="J1721" s="48"/>
      <c r="K1721" s="48"/>
      <c r="L1721" s="48"/>
      <c r="M1721" s="48"/>
      <c r="N1721" s="59"/>
      <c r="O1721" s="59"/>
      <c r="P1721" s="59">
        <v>-30000</v>
      </c>
      <c r="Q1721" s="268">
        <f t="shared" si="80"/>
        <v>-30000</v>
      </c>
      <c r="R1721" s="61">
        <f>IF(O1721=0,0,SUMIFS(Disbursements!$T:$T,Disbursements!$B:$B,'Live Collections'!D1721,Disbursements!$D:$D,'Live Collections'!F1721))</f>
        <v>0</v>
      </c>
      <c r="S1721" s="304">
        <f>IF(O1721&lt;=IF($O1721=0,0,SUMIFS(Disbursements!$W:$W,Disbursements!$B:$B,'Live Collections'!D2019,Disbursements!$D:$D,'Live Collections'!F2019)),O1721,IF($O1721=0,0,SUMIFS(Disbursements!$W:$W,Disbursements!$B:$B,'Live Collections'!D2019,Disbursements!$D:$D,'Live Collections'!F2019)))</f>
        <v>0</v>
      </c>
      <c r="T1721" s="304">
        <f t="shared" si="81"/>
        <v>0</v>
      </c>
      <c r="U1721" s="52"/>
      <c r="V1721" s="34"/>
      <c r="W1721" s="408"/>
    </row>
    <row r="1722" spans="1:23" ht="12.75" customHeight="1" x14ac:dyDescent="0.2">
      <c r="A1722" s="257">
        <v>1714</v>
      </c>
      <c r="B1722" s="44">
        <v>44509</v>
      </c>
      <c r="C1722" s="44">
        <f t="shared" si="79"/>
        <v>44509</v>
      </c>
      <c r="D1722" s="374">
        <v>163</v>
      </c>
      <c r="E1722" s="291" t="str">
        <f>IFERROR(VLOOKUP($D1722,'Clients-Live'!$A:$C,3,0),"")</f>
        <v>CHANDIRU RAMULA</v>
      </c>
      <c r="F1722" s="291">
        <f>IFERROR(INDEX(Disbursements!$D:$D,MATCH('Live Collections'!G1722,Disbursements!$C:$C,0)),"")</f>
        <v>1</v>
      </c>
      <c r="G1722" s="34">
        <v>156</v>
      </c>
      <c r="H1722" s="34">
        <v>3115</v>
      </c>
      <c r="I1722" s="34" t="s">
        <v>1358</v>
      </c>
      <c r="J1722" s="48"/>
      <c r="K1722" s="48"/>
      <c r="L1722" s="48"/>
      <c r="M1722" s="48"/>
      <c r="N1722" s="59"/>
      <c r="O1722" s="59">
        <v>85000</v>
      </c>
      <c r="P1722" s="59"/>
      <c r="Q1722" s="268">
        <f t="shared" si="80"/>
        <v>85000</v>
      </c>
      <c r="R1722" s="61">
        <f>IF(O1722=0,0,SUMIFS(Disbursements!$T:$T,Disbursements!$B:$B,'Live Collections'!D1722,Disbursements!$D:$D,'Live Collections'!F1722))</f>
        <v>115000</v>
      </c>
      <c r="S1722" s="304">
        <f>IF(O1722&lt;=IF($O1722=0,0,SUMIFS(Disbursements!$W:$W,Disbursements!$B:$B,'Live Collections'!D2020,Disbursements!$D:$D,'Live Collections'!F2020)),O1722,IF($O1722=0,0,SUMIFS(Disbursements!$W:$W,Disbursements!$B:$B,'Live Collections'!D2020,Disbursements!$D:$D,'Live Collections'!F2020)))</f>
        <v>0</v>
      </c>
      <c r="T1722" s="304">
        <f t="shared" si="81"/>
        <v>85000</v>
      </c>
      <c r="U1722" s="52"/>
      <c r="V1722" s="34"/>
      <c r="W1722" s="408"/>
    </row>
    <row r="1723" spans="1:23" ht="12.75" customHeight="1" x14ac:dyDescent="0.2">
      <c r="A1723" s="257">
        <v>1716</v>
      </c>
      <c r="B1723" s="44">
        <v>44509</v>
      </c>
      <c r="C1723" s="44">
        <f t="shared" si="79"/>
        <v>44509</v>
      </c>
      <c r="D1723" s="374">
        <v>177</v>
      </c>
      <c r="E1723" s="291" t="str">
        <f>IFERROR(VLOOKUP($D1723,'Clients-Live'!$A:$C,3,0),"")</f>
        <v>EFIT GIFT</v>
      </c>
      <c r="F1723" s="291">
        <f>IFERROR(INDEX(Disbursements!$D:$D,MATCH('Live Collections'!G1723,Disbursements!$C:$C,0)),"")</f>
        <v>1</v>
      </c>
      <c r="G1723" s="34">
        <v>183</v>
      </c>
      <c r="H1723" s="34">
        <v>3114</v>
      </c>
      <c r="I1723" s="34" t="s">
        <v>1358</v>
      </c>
      <c r="J1723" s="48"/>
      <c r="K1723" s="48"/>
      <c r="L1723" s="48"/>
      <c r="M1723" s="48"/>
      <c r="N1723" s="59"/>
      <c r="O1723" s="59">
        <v>110000</v>
      </c>
      <c r="P1723" s="59"/>
      <c r="Q1723" s="268">
        <f t="shared" si="80"/>
        <v>110000</v>
      </c>
      <c r="R1723" s="61">
        <f>IF(O1723=0,0,SUMIFS(Disbursements!$T:$T,Disbursements!$B:$B,'Live Collections'!D1723,Disbursements!$D:$D,'Live Collections'!F1723))</f>
        <v>109000</v>
      </c>
      <c r="S1723" s="304">
        <f>IF(O1723&lt;=IF($O1723=0,0,SUMIFS(Disbursements!$W:$W,Disbursements!$B:$B,'Live Collections'!D2173,Disbursements!$D:$D,'Live Collections'!F2173)),O1723,IF($O1723=0,0,SUMIFS(Disbursements!$W:$W,Disbursements!$B:$B,'Live Collections'!D2173,Disbursements!$D:$D,'Live Collections'!F2173)))</f>
        <v>20000</v>
      </c>
      <c r="T1723" s="304">
        <f t="shared" si="81"/>
        <v>90000</v>
      </c>
      <c r="U1723" s="52"/>
      <c r="V1723" s="34"/>
      <c r="W1723" s="408"/>
    </row>
    <row r="1724" spans="1:23" ht="12.75" customHeight="1" x14ac:dyDescent="0.2">
      <c r="A1724" s="257">
        <v>1708</v>
      </c>
      <c r="B1724" s="44">
        <v>44509</v>
      </c>
      <c r="C1724" s="44">
        <f t="shared" si="79"/>
        <v>44509</v>
      </c>
      <c r="D1724" s="374">
        <v>186</v>
      </c>
      <c r="E1724" s="291" t="str">
        <f>IFERROR(VLOOKUP($D1724,'Clients-Live'!$A:$C,3,0),"")</f>
        <v>GIFT JAMES</v>
      </c>
      <c r="F1724" s="291">
        <f>IFERROR(INDEX(Disbursements!$D:$D,MATCH('Live Collections'!G1724,Disbursements!$C:$C,0)),"")</f>
        <v>2</v>
      </c>
      <c r="G1724" s="34">
        <v>255</v>
      </c>
      <c r="H1724" s="34">
        <v>3121</v>
      </c>
      <c r="I1724" s="34" t="s">
        <v>1359</v>
      </c>
      <c r="J1724" s="48"/>
      <c r="K1724" s="48"/>
      <c r="L1724" s="48"/>
      <c r="M1724" s="48"/>
      <c r="N1724" s="59"/>
      <c r="O1724" s="59">
        <v>345000</v>
      </c>
      <c r="P1724" s="59"/>
      <c r="Q1724" s="268">
        <f t="shared" si="80"/>
        <v>345000</v>
      </c>
      <c r="R1724" s="61">
        <f>IF(O1724=0,0,SUMIFS(Disbursements!$T:$T,Disbursements!$B:$B,'Live Collections'!D1724,Disbursements!$D:$D,'Live Collections'!F1724))</f>
        <v>345000</v>
      </c>
      <c r="S1724" s="304">
        <f>IF(O1724&lt;=IF($O1724=0,0,SUMIFS(Disbursements!$W:$W,Disbursements!$B:$B,'Live Collections'!D2262,Disbursements!$D:$D,'Live Collections'!F2262)),O1724,IF($O1724=0,0,SUMIFS(Disbursements!$W:$W,Disbursements!$B:$B,'Live Collections'!D2262,Disbursements!$D:$D,'Live Collections'!F2262)))</f>
        <v>20000</v>
      </c>
      <c r="T1724" s="304">
        <f t="shared" si="81"/>
        <v>325000</v>
      </c>
      <c r="U1724" s="52"/>
      <c r="V1724" s="34"/>
      <c r="W1724" s="408"/>
    </row>
    <row r="1725" spans="1:23" ht="12.75" customHeight="1" x14ac:dyDescent="0.2">
      <c r="A1725" s="257">
        <v>1706</v>
      </c>
      <c r="B1725" s="44">
        <v>44509</v>
      </c>
      <c r="C1725" s="44">
        <f t="shared" si="79"/>
        <v>44509</v>
      </c>
      <c r="D1725" s="374">
        <v>210</v>
      </c>
      <c r="E1725" s="291" t="str">
        <f>IFERROR(VLOOKUP($D1725,'Clients-Live'!$A:$C,3,0),"")</f>
        <v>ADRILI ZAHARA</v>
      </c>
      <c r="F1725" s="291">
        <f>IFERROR(INDEX(Disbursements!$D:$D,MATCH('Live Collections'!G1725,Disbursements!$C:$C,0)),"")</f>
        <v>1</v>
      </c>
      <c r="G1725" s="34">
        <v>213</v>
      </c>
      <c r="H1725" s="34">
        <v>3124</v>
      </c>
      <c r="I1725" s="34" t="s">
        <v>1357</v>
      </c>
      <c r="J1725" s="48"/>
      <c r="K1725" s="48"/>
      <c r="L1725" s="48"/>
      <c r="M1725" s="48"/>
      <c r="N1725" s="59"/>
      <c r="O1725" s="59">
        <v>160000</v>
      </c>
      <c r="P1725" s="59"/>
      <c r="Q1725" s="268">
        <f t="shared" si="80"/>
        <v>160000</v>
      </c>
      <c r="R1725" s="61">
        <f>IF(O1725=0,0,SUMIFS(Disbursements!$T:$T,Disbursements!$B:$B,'Live Collections'!D1725,Disbursements!$D:$D,'Live Collections'!F1725))</f>
        <v>150000</v>
      </c>
      <c r="S1725" s="304">
        <f>IF(O1725&lt;=IF($O1725=0,0,SUMIFS(Disbursements!$W:$W,Disbursements!$B:$B,'Live Collections'!D2479,Disbursements!$D:$D,'Live Collections'!F2479)),O1725,IF($O1725=0,0,SUMIFS(Disbursements!$W:$W,Disbursements!$B:$B,'Live Collections'!D2479,Disbursements!$D:$D,'Live Collections'!F2479)))</f>
        <v>10333.333333333328</v>
      </c>
      <c r="T1725" s="304">
        <f t="shared" si="81"/>
        <v>149666.66666666669</v>
      </c>
      <c r="U1725" s="52"/>
      <c r="V1725" s="34"/>
      <c r="W1725" s="408"/>
    </row>
    <row r="1726" spans="1:23" ht="12.75" customHeight="1" x14ac:dyDescent="0.2">
      <c r="A1726" s="257">
        <v>1693</v>
      </c>
      <c r="B1726" s="44">
        <v>44509</v>
      </c>
      <c r="C1726" s="44">
        <f t="shared" si="79"/>
        <v>44509</v>
      </c>
      <c r="D1726" s="374">
        <v>230</v>
      </c>
      <c r="E1726" s="291" t="str">
        <f>IFERROR(VLOOKUP($D1726,'Clients-Live'!$A:$C,3,0),"")</f>
        <v>ANGAIKA SALFA</v>
      </c>
      <c r="F1726" s="291">
        <f>IFERROR(INDEX(Disbursements!$D:$D,MATCH('Live Collections'!G1726,Disbursements!$C:$C,0)),"")</f>
        <v>1</v>
      </c>
      <c r="G1726" s="34">
        <v>241</v>
      </c>
      <c r="H1726" s="34">
        <v>3356</v>
      </c>
      <c r="I1726" s="34" t="s">
        <v>1357</v>
      </c>
      <c r="J1726" s="48"/>
      <c r="K1726" s="48"/>
      <c r="L1726" s="48"/>
      <c r="M1726" s="48"/>
      <c r="N1726" s="59"/>
      <c r="O1726" s="59">
        <v>130000</v>
      </c>
      <c r="P1726" s="59"/>
      <c r="Q1726" s="268">
        <f t="shared" si="80"/>
        <v>130000</v>
      </c>
      <c r="R1726" s="61">
        <f>IF(O1726=0,0,SUMIFS(Disbursements!$T:$T,Disbursements!$B:$B,'Live Collections'!D1726,Disbursements!$D:$D,'Live Collections'!F1726))</f>
        <v>330000</v>
      </c>
      <c r="S1726" s="64">
        <v>40000</v>
      </c>
      <c r="T1726" s="304">
        <f t="shared" si="81"/>
        <v>90000</v>
      </c>
      <c r="U1726" s="52"/>
      <c r="V1726" s="34"/>
      <c r="W1726" s="408"/>
    </row>
    <row r="1727" spans="1:23" ht="12.75" customHeight="1" x14ac:dyDescent="0.2">
      <c r="A1727" s="257">
        <v>1710</v>
      </c>
      <c r="B1727" s="44">
        <v>44509</v>
      </c>
      <c r="C1727" s="44">
        <f t="shared" si="79"/>
        <v>44509</v>
      </c>
      <c r="D1727" s="374">
        <v>236</v>
      </c>
      <c r="E1727" s="291" t="str">
        <f>IFERROR(VLOOKUP($D1727,'Clients-Live'!$A:$C,3,0),"")</f>
        <v>AMIJI LUCY</v>
      </c>
      <c r="F1727" s="291">
        <f>IFERROR(INDEX(Disbursements!$D:$D,MATCH('Live Collections'!G1727,Disbursements!$C:$C,0)),"")</f>
        <v>1</v>
      </c>
      <c r="G1727" s="34">
        <v>247</v>
      </c>
      <c r="H1727" s="34">
        <v>3118</v>
      </c>
      <c r="I1727" s="34" t="s">
        <v>1357</v>
      </c>
      <c r="J1727" s="48"/>
      <c r="K1727" s="48"/>
      <c r="L1727" s="48"/>
      <c r="M1727" s="48"/>
      <c r="N1727" s="59"/>
      <c r="O1727" s="59">
        <v>133400</v>
      </c>
      <c r="P1727" s="59"/>
      <c r="Q1727" s="268">
        <f t="shared" si="80"/>
        <v>133400</v>
      </c>
      <c r="R1727" s="61">
        <f>IF(O1727=0,0,SUMIFS(Disbursements!$T:$T,Disbursements!$B:$B,'Live Collections'!D1727,Disbursements!$D:$D,'Live Collections'!F1727))</f>
        <v>384000</v>
      </c>
      <c r="S1727" s="304">
        <f>IF(O1727&lt;=IF($O1727=0,0,SUMIFS(Disbursements!$W:$W,Disbursements!$B:$B,'Live Collections'!D2715,Disbursements!$D:$D,'Live Collections'!F2715)),O1727,IF($O1727=0,0,SUMIFS(Disbursements!$W:$W,Disbursements!$B:$B,'Live Collections'!D2715,Disbursements!$D:$D,'Live Collections'!F2715)))</f>
        <v>25666.666666666672</v>
      </c>
      <c r="T1727" s="304">
        <f t="shared" si="81"/>
        <v>107733.33333333333</v>
      </c>
      <c r="U1727" s="52"/>
      <c r="V1727" s="34"/>
      <c r="W1727" s="408"/>
    </row>
    <row r="1728" spans="1:23" ht="12.75" customHeight="1" x14ac:dyDescent="0.2">
      <c r="A1728" s="257">
        <v>1740</v>
      </c>
      <c r="B1728" s="44">
        <v>44510</v>
      </c>
      <c r="C1728" s="44">
        <f t="shared" si="79"/>
        <v>44510</v>
      </c>
      <c r="D1728" s="374">
        <v>10</v>
      </c>
      <c r="E1728" s="291" t="str">
        <f>IFERROR(VLOOKUP($D1728,'Clients-Live'!$A:$C,3,0),"")</f>
        <v>WARU ARIEYE VALENTINA CHARLES</v>
      </c>
      <c r="F1728" s="291" t="str">
        <f>IFERROR(INDEX(Disbursements!$D:$D,MATCH('Live Collections'!G1728,Disbursements!$C:$C,0)),"")</f>
        <v/>
      </c>
      <c r="G1728" s="34"/>
      <c r="H1728" s="34">
        <v>3359</v>
      </c>
      <c r="I1728" s="34" t="s">
        <v>1357</v>
      </c>
      <c r="J1728" s="48"/>
      <c r="K1728" s="48"/>
      <c r="L1728" s="48">
        <v>10000</v>
      </c>
      <c r="M1728" s="48">
        <v>5000</v>
      </c>
      <c r="N1728" s="59"/>
      <c r="O1728" s="59"/>
      <c r="P1728" s="59"/>
      <c r="Q1728" s="268">
        <f t="shared" si="80"/>
        <v>15000</v>
      </c>
      <c r="R1728" s="61">
        <f>IF(O1728=0,0,SUMIFS(Disbursements!$T:$T,Disbursements!$B:$B,'Live Collections'!D1728,Disbursements!$D:$D,'Live Collections'!F1728))</f>
        <v>0</v>
      </c>
      <c r="S1728" s="304">
        <f>IF(O1728&lt;=IF($O1728=0,0,SUMIFS(Disbursements!$W:$W,Disbursements!$B:$B,'Live Collections'!D101,Disbursements!$D:$D,'Live Collections'!F101)),O1728,IF($O1728=0,0,SUMIFS(Disbursements!$W:$W,Disbursements!$B:$B,'Live Collections'!D101,Disbursements!$D:$D,'Live Collections'!F101)))</f>
        <v>0</v>
      </c>
      <c r="T1728" s="304">
        <f t="shared" si="81"/>
        <v>0</v>
      </c>
      <c r="U1728" s="52"/>
      <c r="V1728" s="34"/>
      <c r="W1728" s="408"/>
    </row>
    <row r="1729" spans="1:23" ht="12.75" customHeight="1" x14ac:dyDescent="0.2">
      <c r="A1729" s="257">
        <v>1717</v>
      </c>
      <c r="B1729" s="44">
        <v>44510</v>
      </c>
      <c r="C1729" s="44">
        <f t="shared" si="79"/>
        <v>44510</v>
      </c>
      <c r="D1729" s="374">
        <v>53</v>
      </c>
      <c r="E1729" s="291" t="str">
        <f>IFERROR(VLOOKUP($D1729,'Clients-Live'!$A:$C,3,0),"")</f>
        <v>KALSUMU INNOCENT</v>
      </c>
      <c r="F1729" s="291">
        <f>IFERROR(INDEX(Disbursements!$D:$D,MATCH('Live Collections'!G1729,Disbursements!$C:$C,0)),"")</f>
        <v>1</v>
      </c>
      <c r="G1729" s="34">
        <v>36</v>
      </c>
      <c r="H1729" s="34">
        <v>3308</v>
      </c>
      <c r="I1729" s="34" t="s">
        <v>1358</v>
      </c>
      <c r="J1729" s="48"/>
      <c r="K1729" s="48"/>
      <c r="L1729" s="48"/>
      <c r="M1729" s="48"/>
      <c r="N1729" s="59"/>
      <c r="O1729" s="59">
        <v>100000</v>
      </c>
      <c r="P1729" s="59"/>
      <c r="Q1729" s="268">
        <f t="shared" si="80"/>
        <v>100000</v>
      </c>
      <c r="R1729" s="61">
        <f>IF(O1729=0,0,SUMIFS(Disbursements!$T:$T,Disbursements!$B:$B,'Live Collections'!D1729,Disbursements!$D:$D,'Live Collections'!F1729))</f>
        <v>200000</v>
      </c>
      <c r="S1729" s="304"/>
      <c r="T1729" s="304">
        <f t="shared" si="81"/>
        <v>100000</v>
      </c>
      <c r="U1729" s="52"/>
      <c r="V1729" s="34"/>
      <c r="W1729" s="408"/>
    </row>
    <row r="1730" spans="1:23" ht="12.75" customHeight="1" x14ac:dyDescent="0.2">
      <c r="A1730" s="257">
        <v>1718</v>
      </c>
      <c r="B1730" s="44">
        <v>44510</v>
      </c>
      <c r="C1730" s="44">
        <f t="shared" si="79"/>
        <v>44510</v>
      </c>
      <c r="D1730" s="374">
        <v>53</v>
      </c>
      <c r="E1730" s="291" t="str">
        <f>IFERROR(VLOOKUP($D1730,'Clients-Live'!$A:$C,3,0),"")</f>
        <v>KALSUMU INNOCENT</v>
      </c>
      <c r="F1730" s="291">
        <v>1</v>
      </c>
      <c r="G1730" s="34">
        <v>36</v>
      </c>
      <c r="H1730" s="34">
        <v>371</v>
      </c>
      <c r="I1730" s="34" t="s">
        <v>1358</v>
      </c>
      <c r="J1730" s="48"/>
      <c r="K1730" s="48"/>
      <c r="L1730" s="48"/>
      <c r="M1730" s="48"/>
      <c r="N1730" s="59"/>
      <c r="O1730" s="59"/>
      <c r="P1730" s="59">
        <v>-100000</v>
      </c>
      <c r="Q1730" s="268">
        <f t="shared" si="80"/>
        <v>-100000</v>
      </c>
      <c r="R1730" s="61">
        <f>IF(O1730=0,0,SUMIFS(Disbursements!$T:$T,Disbursements!$B:$B,'Live Collections'!D1730,Disbursements!$D:$D,'Live Collections'!F1730))</f>
        <v>0</v>
      </c>
      <c r="S1730" s="304">
        <f>IF(O1730&lt;=IF($O1730=0,0,SUMIFS(Disbursements!$W:$W,Disbursements!$B:$B,'Live Collections'!D623,Disbursements!$D:$D,'Live Collections'!F623)),O1730,IF($O1730=0,0,SUMIFS(Disbursements!$W:$W,Disbursements!$B:$B,'Live Collections'!D623,Disbursements!$D:$D,'Live Collections'!F623)))</f>
        <v>0</v>
      </c>
      <c r="T1730" s="304">
        <f t="shared" si="81"/>
        <v>0</v>
      </c>
      <c r="U1730" s="52"/>
      <c r="V1730" s="34"/>
      <c r="W1730" s="408"/>
    </row>
    <row r="1731" spans="1:23" ht="12.75" customHeight="1" x14ac:dyDescent="0.2">
      <c r="A1731" s="257">
        <v>1723</v>
      </c>
      <c r="B1731" s="44">
        <v>44510</v>
      </c>
      <c r="C1731" s="44">
        <f t="shared" si="79"/>
        <v>44510</v>
      </c>
      <c r="D1731" s="374">
        <v>53</v>
      </c>
      <c r="E1731" s="291" t="str">
        <f>IFERROR(VLOOKUP($D1731,'Clients-Live'!$A:$C,3,0),"")</f>
        <v>KALSUMU INNOCENT</v>
      </c>
      <c r="F1731" s="291" t="str">
        <f>IFERROR(INDEX(Disbursements!$D:$D,MATCH('Live Collections'!G1731,Disbursements!$C:$C,0)),"")</f>
        <v/>
      </c>
      <c r="G1731" s="34"/>
      <c r="H1731" s="34">
        <v>3372</v>
      </c>
      <c r="I1731" s="34" t="s">
        <v>1358</v>
      </c>
      <c r="J1731" s="48"/>
      <c r="K1731" s="48"/>
      <c r="L1731" s="48">
        <v>15000</v>
      </c>
      <c r="M1731" s="48">
        <v>5000</v>
      </c>
      <c r="N1731" s="59"/>
      <c r="O1731" s="59"/>
      <c r="P1731" s="59"/>
      <c r="Q1731" s="268">
        <f t="shared" si="80"/>
        <v>20000</v>
      </c>
      <c r="R1731" s="61">
        <f>IF(O1731=0,0,SUMIFS(Disbursements!$T:$T,Disbursements!$B:$B,'Live Collections'!D1731,Disbursements!$D:$D,'Live Collections'!F1731))</f>
        <v>0</v>
      </c>
      <c r="S1731" s="304">
        <f>IF(O1731&lt;=IF($O1731=0,0,SUMIFS(Disbursements!$W:$W,Disbursements!$B:$B,'Live Collections'!D624,Disbursements!$D:$D,'Live Collections'!F624)),O1731,IF($O1731=0,0,SUMIFS(Disbursements!$W:$W,Disbursements!$B:$B,'Live Collections'!D624,Disbursements!$D:$D,'Live Collections'!F624)))</f>
        <v>0</v>
      </c>
      <c r="T1731" s="304">
        <f t="shared" si="81"/>
        <v>0</v>
      </c>
      <c r="U1731" s="52"/>
      <c r="V1731" s="34"/>
      <c r="W1731" s="408"/>
    </row>
    <row r="1732" spans="1:23" ht="12.75" customHeight="1" x14ac:dyDescent="0.2">
      <c r="A1732" s="257">
        <v>1724</v>
      </c>
      <c r="B1732" s="44">
        <v>44510</v>
      </c>
      <c r="C1732" s="44">
        <f t="shared" ref="C1732:C1794" si="82">B1732</f>
        <v>44510</v>
      </c>
      <c r="D1732" s="374">
        <v>66</v>
      </c>
      <c r="E1732" s="291" t="str">
        <f>IFERROR(VLOOKUP($D1732,'Clients-Live'!$A:$C,3,0),"")</f>
        <v>DENAYA NYAMAZA</v>
      </c>
      <c r="F1732" s="291"/>
      <c r="G1732" s="34"/>
      <c r="H1732" s="34"/>
      <c r="I1732" s="34" t="s">
        <v>1357</v>
      </c>
      <c r="J1732" s="48"/>
      <c r="K1732" s="48"/>
      <c r="L1732" s="48"/>
      <c r="M1732" s="48"/>
      <c r="N1732" s="59"/>
      <c r="O1732" s="59"/>
      <c r="P1732" s="59"/>
      <c r="Q1732" s="268">
        <f t="shared" ref="Q1732:Q1794" si="83">SUM(J1732:P1732)</f>
        <v>0</v>
      </c>
      <c r="R1732" s="61">
        <f>IF(O1732=0,0,SUMIFS(Disbursements!$T:$T,Disbursements!$B:$B,'Live Collections'!D1732,Disbursements!$D:$D,'Live Collections'!F1732))</f>
        <v>0</v>
      </c>
      <c r="S1732" s="304">
        <f>IF(O1732&lt;=IF($O1732=0,0,SUMIFS(Disbursements!$W:$W,Disbursements!$B:$B,'Live Collections'!D1836,Disbursements!$D:$D,'Live Collections'!F1836)),O1732,IF($O1732=0,0,SUMIFS(Disbursements!$W:$W,Disbursements!$B:$B,'Live Collections'!D1836,Disbursements!$D:$D,'Live Collections'!F1836)))</f>
        <v>0</v>
      </c>
      <c r="T1732" s="304">
        <f t="shared" ref="T1732:T1794" si="84">IF(O1732=0,0,O1732-S1732)</f>
        <v>0</v>
      </c>
      <c r="U1732" s="52"/>
      <c r="V1732" s="34"/>
      <c r="W1732" s="408"/>
    </row>
    <row r="1733" spans="1:23" ht="12.75" customHeight="1" x14ac:dyDescent="0.2">
      <c r="A1733" s="257">
        <v>1725</v>
      </c>
      <c r="B1733" s="44">
        <v>44510</v>
      </c>
      <c r="C1733" s="44">
        <f t="shared" si="82"/>
        <v>44510</v>
      </c>
      <c r="D1733" s="374">
        <v>66</v>
      </c>
      <c r="E1733" s="291" t="str">
        <f>IFERROR(VLOOKUP($D1733,'Clients-Live'!$A:$C,3,0),"")</f>
        <v>DENAYA NYAMAZA</v>
      </c>
      <c r="F1733" s="291">
        <f>IFERROR(INDEX(Disbursements!$D:$D,MATCH('Live Collections'!G1733,Disbursements!$C:$C,0)),"")</f>
        <v>2</v>
      </c>
      <c r="G1733" s="34">
        <v>300</v>
      </c>
      <c r="H1733" s="34">
        <v>3374</v>
      </c>
      <c r="I1733" s="34" t="s">
        <v>1357</v>
      </c>
      <c r="J1733" s="48"/>
      <c r="K1733" s="48"/>
      <c r="L1733" s="48"/>
      <c r="M1733" s="48"/>
      <c r="N1733" s="59"/>
      <c r="O1733" s="59">
        <v>110000</v>
      </c>
      <c r="P1733" s="59"/>
      <c r="Q1733" s="268">
        <f t="shared" si="83"/>
        <v>110000</v>
      </c>
      <c r="R1733" s="61">
        <f>IF(O1733=0,0,SUMIFS(Disbursements!$T:$T,Disbursements!$B:$B,'Live Collections'!D1733,Disbursements!$D:$D,'Live Collections'!F1733))</f>
        <v>109000</v>
      </c>
      <c r="S1733" s="304">
        <f>IF(O1733&lt;=IF($O1733=0,0,SUMIFS(Disbursements!$W:$W,Disbursements!$B:$B,'Live Collections'!D812,Disbursements!$D:$D,'Live Collections'!F812)),O1733,IF($O1733=0,0,SUMIFS(Disbursements!$W:$W,Disbursements!$B:$B,'Live Collections'!D812,Disbursements!$D:$D,'Live Collections'!F812)))</f>
        <v>50666.666666666686</v>
      </c>
      <c r="T1733" s="304">
        <f t="shared" si="84"/>
        <v>59333.333333333314</v>
      </c>
      <c r="U1733" s="52"/>
      <c r="V1733" s="34"/>
      <c r="W1733" s="408"/>
    </row>
    <row r="1734" spans="1:23" ht="12.75" customHeight="1" x14ac:dyDescent="0.2">
      <c r="A1734" s="257">
        <v>1730</v>
      </c>
      <c r="B1734" s="44">
        <v>44510</v>
      </c>
      <c r="C1734" s="44">
        <f t="shared" si="82"/>
        <v>44510</v>
      </c>
      <c r="D1734" s="374">
        <v>97</v>
      </c>
      <c r="E1734" s="291" t="str">
        <f>IFERROR(VLOOKUP($D1734,'Clients-Live'!$A:$C,3,0),"")</f>
        <v>DRANDUA JOB CHRISPUS</v>
      </c>
      <c r="F1734" s="291">
        <f>IFERROR(INDEX(Disbursements!$D:$D,MATCH('Live Collections'!G1734,Disbursements!$C:$C,0)),"")</f>
        <v>3</v>
      </c>
      <c r="G1734" s="34">
        <v>202</v>
      </c>
      <c r="H1734" s="34">
        <v>3363</v>
      </c>
      <c r="I1734" s="34" t="s">
        <v>1359</v>
      </c>
      <c r="J1734" s="48"/>
      <c r="K1734" s="48"/>
      <c r="L1734" s="48"/>
      <c r="M1734" s="48"/>
      <c r="N1734" s="59"/>
      <c r="O1734" s="59">
        <v>1000000</v>
      </c>
      <c r="P1734" s="59"/>
      <c r="Q1734" s="268">
        <f t="shared" si="83"/>
        <v>1000000</v>
      </c>
      <c r="R1734" s="61">
        <f>IF(O1734=0,0,SUMIFS(Disbursements!$T:$T,Disbursements!$B:$B,'Live Collections'!D1734,Disbursements!$D:$D,'Live Collections'!F1734))</f>
        <v>3834000</v>
      </c>
      <c r="S1734" s="304">
        <f>IF(O1734&lt;=IF($O1734=0,0,SUMIFS(Disbursements!$W:$W,Disbursements!$B:$B,'Live Collections'!D1786,Disbursements!$D:$D,'Live Collections'!F1786)),O1734,IF($O1734=0,0,SUMIFS(Disbursements!$W:$W,Disbursements!$B:$B,'Live Collections'!D1786,Disbursements!$D:$D,'Live Collections'!F1786)))</f>
        <v>25000</v>
      </c>
      <c r="T1734" s="304">
        <f t="shared" si="84"/>
        <v>975000</v>
      </c>
      <c r="U1734" s="52"/>
      <c r="V1734" s="34"/>
    </row>
    <row r="1735" spans="1:23" ht="12.75" customHeight="1" x14ac:dyDescent="0.2">
      <c r="A1735" s="257">
        <v>1734</v>
      </c>
      <c r="B1735" s="44">
        <v>44510</v>
      </c>
      <c r="C1735" s="44">
        <f t="shared" si="82"/>
        <v>44510</v>
      </c>
      <c r="D1735" s="374">
        <v>114</v>
      </c>
      <c r="E1735" s="291" t="str">
        <f>IFERROR(VLOOKUP($D1735,'Clients-Live'!$A:$C,3,0),"")</f>
        <v>ONZIA EMMILY</v>
      </c>
      <c r="F1735" s="291">
        <f>IFERROR(INDEX(Disbursements!$D:$D,MATCH('Live Collections'!G1735,Disbursements!$C:$C,0)),"")</f>
        <v>3</v>
      </c>
      <c r="G1735" s="34">
        <v>262</v>
      </c>
      <c r="H1735" s="34">
        <v>3309</v>
      </c>
      <c r="I1735" s="34" t="s">
        <v>1358</v>
      </c>
      <c r="J1735" s="48"/>
      <c r="K1735" s="48"/>
      <c r="L1735" s="48"/>
      <c r="M1735" s="48"/>
      <c r="N1735" s="59"/>
      <c r="O1735" s="59">
        <v>200000</v>
      </c>
      <c r="P1735" s="59"/>
      <c r="Q1735" s="268">
        <f t="shared" si="83"/>
        <v>200000</v>
      </c>
      <c r="R1735" s="61">
        <f>IF(O1735=0,0,SUMIFS(Disbursements!$T:$T,Disbursements!$B:$B,'Live Collections'!D1735,Disbursements!$D:$D,'Live Collections'!F1735))</f>
        <v>360000</v>
      </c>
      <c r="S1735" s="304">
        <f>IF(O1735&lt;=IF($O1735=0,0,SUMIFS(Disbursements!$W:$W,Disbursements!$B:$B,'Live Collections'!D1465,Disbursements!$D:$D,'Live Collections'!F1465)),O1735,IF($O1735=0,0,SUMIFS(Disbursements!$W:$W,Disbursements!$B:$B,'Live Collections'!D1465,Disbursements!$D:$D,'Live Collections'!F1465)))</f>
        <v>53000</v>
      </c>
      <c r="T1735" s="304">
        <f t="shared" si="84"/>
        <v>147000</v>
      </c>
      <c r="U1735" s="52"/>
      <c r="V1735" s="34"/>
      <c r="W1735" s="408"/>
    </row>
    <row r="1736" spans="1:23" ht="12.75" customHeight="1" x14ac:dyDescent="0.2">
      <c r="A1736" s="257">
        <v>1727</v>
      </c>
      <c r="B1736" s="44">
        <v>44510</v>
      </c>
      <c r="C1736" s="44">
        <f t="shared" si="82"/>
        <v>44510</v>
      </c>
      <c r="D1736" s="374">
        <v>143</v>
      </c>
      <c r="E1736" s="291" t="str">
        <f>IFERROR(VLOOKUP($D1736,'Clients-Live'!$A:$C,3,0),"")</f>
        <v>MORO HAKIM</v>
      </c>
      <c r="F1736" s="291" t="str">
        <f>IFERROR(INDEX(Disbursements!$D:$D,MATCH('Live Collections'!G1736,Disbursements!$C:$C,0)),"")</f>
        <v/>
      </c>
      <c r="G1736" s="34"/>
      <c r="H1736" s="34">
        <v>3130</v>
      </c>
      <c r="I1736" s="34" t="s">
        <v>1357</v>
      </c>
      <c r="J1736" s="48"/>
      <c r="K1736" s="48"/>
      <c r="L1736" s="48"/>
      <c r="M1736" s="48"/>
      <c r="N1736" s="59"/>
      <c r="O1736" s="59"/>
      <c r="P1736" s="59">
        <v>400000</v>
      </c>
      <c r="Q1736" s="268">
        <f t="shared" si="83"/>
        <v>400000</v>
      </c>
      <c r="R1736" s="61">
        <f>IF(O1736=0,0,SUMIFS(Disbursements!$T:$T,Disbursements!$B:$B,'Live Collections'!D1736,Disbursements!$D:$D,'Live Collections'!F1736))</f>
        <v>0</v>
      </c>
      <c r="S1736" s="304">
        <f>IF(O1736&lt;=IF($O1736=0,0,SUMIFS(Disbursements!$W:$W,Disbursements!$B:$B,'Live Collections'!D1812,Disbursements!$D:$D,'Live Collections'!F1812)),O1736,IF($O1736=0,0,SUMIFS(Disbursements!$W:$W,Disbursements!$B:$B,'Live Collections'!D1812,Disbursements!$D:$D,'Live Collections'!F1812)))</f>
        <v>0</v>
      </c>
      <c r="T1736" s="304">
        <f t="shared" si="84"/>
        <v>0</v>
      </c>
      <c r="U1736" s="52"/>
      <c r="V1736" s="34"/>
      <c r="W1736" s="408"/>
    </row>
    <row r="1737" spans="1:23" ht="12.75" customHeight="1" x14ac:dyDescent="0.2">
      <c r="A1737" s="257">
        <v>1726</v>
      </c>
      <c r="B1737" s="44">
        <v>44510</v>
      </c>
      <c r="C1737" s="44">
        <f t="shared" si="82"/>
        <v>44510</v>
      </c>
      <c r="D1737" s="374">
        <v>194</v>
      </c>
      <c r="E1737" s="291" t="str">
        <f>IFERROR(VLOOKUP($D1737,'Clients-Live'!$A:$C,3,0),"")</f>
        <v>NYOLA SHERIFA AHMED</v>
      </c>
      <c r="F1737" s="291">
        <f>IFERROR(INDEX(Disbursements!$D:$D,MATCH('Live Collections'!G1737,Disbursements!$C:$C,0)),"")</f>
        <v>1</v>
      </c>
      <c r="G1737" s="34">
        <v>186</v>
      </c>
      <c r="H1737" s="34">
        <v>3368</v>
      </c>
      <c r="I1737" s="34" t="s">
        <v>1358</v>
      </c>
      <c r="J1737" s="48"/>
      <c r="K1737" s="48"/>
      <c r="L1737" s="48"/>
      <c r="M1737" s="48"/>
      <c r="N1737" s="59"/>
      <c r="O1737" s="59">
        <v>60000</v>
      </c>
      <c r="P1737" s="59"/>
      <c r="Q1737" s="268">
        <f t="shared" si="83"/>
        <v>60000</v>
      </c>
      <c r="R1737" s="61">
        <f>IF(O1737=0,0,SUMIFS(Disbursements!$T:$T,Disbursements!$B:$B,'Live Collections'!D1737,Disbursements!$D:$D,'Live Collections'!F1737))</f>
        <v>150000</v>
      </c>
      <c r="S1737" s="304">
        <f>IF(O1737&lt;=IF($O1737=0,0,SUMIFS(Disbursements!$W:$W,Disbursements!$B:$B,'Live Collections'!D3379,Disbursements!$D:$D,'Live Collections'!F3379)),O1737,IF($O1737=0,0,SUMIFS(Disbursements!$W:$W,Disbursements!$B:$B,'Live Collections'!D3379,Disbursements!$D:$D,'Live Collections'!F3379)))</f>
        <v>0</v>
      </c>
      <c r="T1737" s="304">
        <f t="shared" si="84"/>
        <v>60000</v>
      </c>
      <c r="U1737" s="52"/>
      <c r="V1737" s="34"/>
      <c r="W1737" s="408"/>
    </row>
    <row r="1738" spans="1:23" ht="12.75" customHeight="1" x14ac:dyDescent="0.2">
      <c r="A1738" s="257">
        <v>1731</v>
      </c>
      <c r="B1738" s="44">
        <v>44510</v>
      </c>
      <c r="C1738" s="44">
        <f t="shared" si="82"/>
        <v>44510</v>
      </c>
      <c r="D1738" s="374">
        <v>207</v>
      </c>
      <c r="E1738" s="291" t="str">
        <f>IFERROR(VLOOKUP($D1738,'Clients-Live'!$A:$C,3,0),"")</f>
        <v>DRARU IRENE</v>
      </c>
      <c r="F1738" s="291">
        <f>IFERROR(INDEX(Disbursements!$D:$D,MATCH('Live Collections'!G1738,Disbursements!$C:$C,0)),"")</f>
        <v>1</v>
      </c>
      <c r="G1738" s="34">
        <v>205</v>
      </c>
      <c r="H1738" s="34">
        <v>3311</v>
      </c>
      <c r="I1738" s="34" t="s">
        <v>1358</v>
      </c>
      <c r="J1738" s="48"/>
      <c r="K1738" s="48"/>
      <c r="L1738" s="48"/>
      <c r="M1738" s="48"/>
      <c r="N1738" s="59"/>
      <c r="O1738" s="59">
        <v>153400</v>
      </c>
      <c r="P1738" s="59"/>
      <c r="Q1738" s="268">
        <f t="shared" si="83"/>
        <v>153400</v>
      </c>
      <c r="R1738" s="61">
        <f>IF(O1738=0,0,SUMIFS(Disbursements!$T:$T,Disbursements!$B:$B,'Live Collections'!D1738,Disbursements!$D:$D,'Live Collections'!F1738))</f>
        <v>154000</v>
      </c>
      <c r="S1738" s="304"/>
      <c r="T1738" s="304">
        <f t="shared" si="84"/>
        <v>153400</v>
      </c>
      <c r="U1738" s="52"/>
      <c r="V1738" s="34"/>
      <c r="W1738" s="408"/>
    </row>
    <row r="1739" spans="1:23" ht="12.75" customHeight="1" x14ac:dyDescent="0.2">
      <c r="A1739" s="257">
        <v>1733</v>
      </c>
      <c r="B1739" s="44">
        <v>44510</v>
      </c>
      <c r="C1739" s="44">
        <f t="shared" si="82"/>
        <v>44510</v>
      </c>
      <c r="D1739" s="374">
        <v>213</v>
      </c>
      <c r="E1739" s="291" t="str">
        <f>IFERROR(VLOOKUP($D1739,'Clients-Live'!$A:$C,3,0),"")</f>
        <v>ATIKURU NADIA</v>
      </c>
      <c r="F1739" s="291">
        <f>IFERROR(INDEX(Disbursements!$D:$D,MATCH('Live Collections'!G1739,Disbursements!$C:$C,0)),"")</f>
        <v>1</v>
      </c>
      <c r="G1739" s="34">
        <v>208</v>
      </c>
      <c r="H1739" s="34">
        <v>3310</v>
      </c>
      <c r="I1739" s="34" t="s">
        <v>1358</v>
      </c>
      <c r="J1739" s="48"/>
      <c r="K1739" s="48"/>
      <c r="L1739" s="48"/>
      <c r="M1739" s="48"/>
      <c r="N1739" s="59"/>
      <c r="O1739" s="59">
        <v>60000</v>
      </c>
      <c r="P1739" s="59"/>
      <c r="Q1739" s="268">
        <f t="shared" si="83"/>
        <v>60000</v>
      </c>
      <c r="R1739" s="61">
        <f>IF(O1739=0,0,SUMIFS(Disbursements!$T:$T,Disbursements!$B:$B,'Live Collections'!D1739,Disbursements!$D:$D,'Live Collections'!F1739))</f>
        <v>150000</v>
      </c>
      <c r="S1739" s="304"/>
      <c r="T1739" s="304">
        <f t="shared" si="84"/>
        <v>60000</v>
      </c>
      <c r="U1739" s="52"/>
      <c r="V1739" s="34"/>
      <c r="W1739" s="408"/>
    </row>
    <row r="1740" spans="1:23" ht="12.75" customHeight="1" x14ac:dyDescent="0.2">
      <c r="A1740" s="257">
        <v>1721</v>
      </c>
      <c r="B1740" s="44">
        <v>44510</v>
      </c>
      <c r="C1740" s="44">
        <f t="shared" si="82"/>
        <v>44510</v>
      </c>
      <c r="D1740" s="374">
        <v>228</v>
      </c>
      <c r="E1740" s="291" t="str">
        <f>IFERROR(VLOOKUP($D1740,'Clients-Live'!$A:$C,3,0),"")</f>
        <v>DADA ISAAC</v>
      </c>
      <c r="F1740" s="291" t="str">
        <f>IFERROR(INDEX(Disbursements!$D:$D,MATCH('Live Collections'!G1740,Disbursements!$C:$C,0)),"")</f>
        <v/>
      </c>
      <c r="G1740" s="34"/>
      <c r="H1740" s="34">
        <v>373</v>
      </c>
      <c r="I1740" s="34" t="s">
        <v>1358</v>
      </c>
      <c r="J1740" s="48"/>
      <c r="K1740" s="48"/>
      <c r="L1740" s="48"/>
      <c r="M1740" s="48"/>
      <c r="N1740" s="59"/>
      <c r="O1740" s="59"/>
      <c r="P1740" s="59">
        <v>-200000</v>
      </c>
      <c r="Q1740" s="268">
        <f t="shared" si="83"/>
        <v>-200000</v>
      </c>
      <c r="R1740" s="61">
        <f>IF(O1740=0,0,SUMIFS(Disbursements!$T:$T,Disbursements!$B:$B,'Live Collections'!D1740,Disbursements!$D:$D,'Live Collections'!F1740))</f>
        <v>0</v>
      </c>
      <c r="S1740" s="304">
        <f>IF(O1740&lt;=IF($O1740=0,0,SUMIFS(Disbursements!$W:$W,Disbursements!$B:$B,'Live Collections'!D2642,Disbursements!$D:$D,'Live Collections'!F2642)),O1740,IF($O1740=0,0,SUMIFS(Disbursements!$W:$W,Disbursements!$B:$B,'Live Collections'!D2642,Disbursements!$D:$D,'Live Collections'!F2642)))</f>
        <v>0</v>
      </c>
      <c r="T1740" s="304">
        <f t="shared" si="84"/>
        <v>0</v>
      </c>
      <c r="U1740" s="52"/>
      <c r="V1740" s="34"/>
      <c r="W1740" s="408"/>
    </row>
    <row r="1741" spans="1:23" ht="12.75" customHeight="1" x14ac:dyDescent="0.2">
      <c r="A1741" s="257">
        <v>1722</v>
      </c>
      <c r="B1741" s="44">
        <v>44510</v>
      </c>
      <c r="C1741" s="44">
        <f t="shared" si="82"/>
        <v>44510</v>
      </c>
      <c r="D1741" s="374">
        <v>228</v>
      </c>
      <c r="E1741" s="291" t="str">
        <f>IFERROR(VLOOKUP($D1741,'Clients-Live'!$A:$C,3,0),"")</f>
        <v>DADA ISAAC</v>
      </c>
      <c r="F1741" s="291">
        <f>IFERROR(INDEX(Disbursements!$D:$D,MATCH('Live Collections'!G1741,Disbursements!$C:$C,0)),"")</f>
        <v>1</v>
      </c>
      <c r="G1741" s="34">
        <v>239</v>
      </c>
      <c r="H1741" s="34">
        <v>3361</v>
      </c>
      <c r="I1741" s="34" t="s">
        <v>1358</v>
      </c>
      <c r="J1741" s="48"/>
      <c r="K1741" s="48"/>
      <c r="L1741" s="48"/>
      <c r="M1741" s="48"/>
      <c r="N1741" s="59"/>
      <c r="O1741" s="59">
        <v>200000</v>
      </c>
      <c r="P1741" s="59"/>
      <c r="Q1741" s="268">
        <f t="shared" si="83"/>
        <v>200000</v>
      </c>
      <c r="R1741" s="61">
        <f>IF(O1741=0,0,SUMIFS(Disbursements!$T:$T,Disbursements!$B:$B,'Live Collections'!D1741,Disbursements!$D:$D,'Live Collections'!F1741))</f>
        <v>767000</v>
      </c>
      <c r="S1741" s="304">
        <f>IF(O1741&lt;=IF($O1741=0,0,SUMIFS(Disbursements!$W:$W,Disbursements!$B:$B,'Live Collections'!D2849,Disbursements!$D:$D,'Live Collections'!F2849)),O1741,IF($O1741=0,0,SUMIFS(Disbursements!$W:$W,Disbursements!$B:$B,'Live Collections'!D2849,Disbursements!$D:$D,'Live Collections'!F2849)))</f>
        <v>60333.333333333314</v>
      </c>
      <c r="T1741" s="304">
        <f t="shared" si="84"/>
        <v>139666.66666666669</v>
      </c>
      <c r="U1741" s="52"/>
      <c r="V1741" s="34"/>
      <c r="W1741" s="408"/>
    </row>
    <row r="1742" spans="1:23" ht="12.75" customHeight="1" x14ac:dyDescent="0.2">
      <c r="A1742" s="257">
        <v>1735</v>
      </c>
      <c r="B1742" s="44">
        <v>44510</v>
      </c>
      <c r="C1742" s="44">
        <f t="shared" si="82"/>
        <v>44510</v>
      </c>
      <c r="D1742" s="374">
        <v>228</v>
      </c>
      <c r="E1742" s="291" t="str">
        <f>IFERROR(VLOOKUP($D1742,'Clients-Live'!$A:$C,3,0),"")</f>
        <v>DADA ISAAC</v>
      </c>
      <c r="F1742" s="291" t="str">
        <f>IFERROR(INDEX(Disbursements!$D:$D,MATCH('Live Collections'!G1742,Disbursements!$C:$C,0)),"")</f>
        <v/>
      </c>
      <c r="G1742" s="34"/>
      <c r="H1742" s="34">
        <v>3371</v>
      </c>
      <c r="I1742" s="34" t="s">
        <v>1358</v>
      </c>
      <c r="J1742" s="48"/>
      <c r="K1742" s="48"/>
      <c r="L1742" s="48">
        <v>10000</v>
      </c>
      <c r="M1742" s="48">
        <v>5000</v>
      </c>
      <c r="N1742" s="59"/>
      <c r="O1742" s="59"/>
      <c r="P1742" s="59"/>
      <c r="Q1742" s="268">
        <f t="shared" si="83"/>
        <v>15000</v>
      </c>
      <c r="R1742" s="61">
        <f>IF(O1742=0,0,SUMIFS(Disbursements!$T:$T,Disbursements!$B:$B,'Live Collections'!D1742,Disbursements!$D:$D,'Live Collections'!F1742))</f>
        <v>0</v>
      </c>
      <c r="S1742" s="304">
        <f>IF(O1742&lt;=IF($O1742=0,0,SUMIFS(Disbursements!$W:$W,Disbursements!$B:$B,'Live Collections'!D2644,Disbursements!$D:$D,'Live Collections'!F2644)),O1742,IF($O1742=0,0,SUMIFS(Disbursements!$W:$W,Disbursements!$B:$B,'Live Collections'!D2644,Disbursements!$D:$D,'Live Collections'!F2644)))</f>
        <v>0</v>
      </c>
      <c r="T1742" s="304">
        <f t="shared" si="84"/>
        <v>0</v>
      </c>
      <c r="U1742" s="52"/>
      <c r="V1742" s="34"/>
      <c r="W1742" s="408"/>
    </row>
    <row r="1743" spans="1:23" ht="12.75" customHeight="1" x14ac:dyDescent="0.2">
      <c r="A1743" s="257">
        <v>1736</v>
      </c>
      <c r="B1743" s="44">
        <v>44510</v>
      </c>
      <c r="C1743" s="44">
        <f t="shared" si="82"/>
        <v>44510</v>
      </c>
      <c r="D1743" s="374">
        <v>228</v>
      </c>
      <c r="E1743" s="291" t="str">
        <f>IFERROR(VLOOKUP($D1743,'Clients-Live'!$A:$C,3,0),"")</f>
        <v>DADA ISAAC</v>
      </c>
      <c r="F1743" s="291">
        <f>IFERROR(INDEX(Disbursements!$D:$D,MATCH('Live Collections'!G1743,Disbursements!$C:$C,0)),"")</f>
        <v>1</v>
      </c>
      <c r="G1743" s="34">
        <v>239</v>
      </c>
      <c r="H1743" s="34">
        <v>3370</v>
      </c>
      <c r="I1743" s="34" t="s">
        <v>1358</v>
      </c>
      <c r="J1743" s="48"/>
      <c r="K1743" s="48"/>
      <c r="L1743" s="48"/>
      <c r="M1743" s="48"/>
      <c r="N1743" s="59"/>
      <c r="O1743" s="59">
        <v>1333000</v>
      </c>
      <c r="P1743" s="59"/>
      <c r="Q1743" s="268">
        <f t="shared" si="83"/>
        <v>1333000</v>
      </c>
      <c r="R1743" s="61">
        <f>IF(O1743=0,0,SUMIFS(Disbursements!$T:$T,Disbursements!$B:$B,'Live Collections'!D1743,Disbursements!$D:$D,'Live Collections'!F1743))</f>
        <v>767000</v>
      </c>
      <c r="S1743" s="64">
        <v>215000.00000000012</v>
      </c>
      <c r="T1743" s="304">
        <f t="shared" si="84"/>
        <v>1118000</v>
      </c>
      <c r="U1743" s="52"/>
      <c r="V1743" s="34"/>
      <c r="W1743" s="408" t="s">
        <v>2086</v>
      </c>
    </row>
    <row r="1744" spans="1:23" ht="12.75" customHeight="1" x14ac:dyDescent="0.2">
      <c r="A1744" s="257">
        <v>1719</v>
      </c>
      <c r="B1744" s="44">
        <v>44510</v>
      </c>
      <c r="C1744" s="44">
        <f t="shared" si="82"/>
        <v>44510</v>
      </c>
      <c r="D1744" s="374">
        <v>245</v>
      </c>
      <c r="E1744" s="291" t="str">
        <f>IFERROR(VLOOKUP($D1744,'Clients-Live'!$A:$C,3,0),"")</f>
        <v>ONJIMA BASHIR</v>
      </c>
      <c r="F1744" s="291" t="str">
        <f>IFERROR(INDEX(Disbursements!$D:$D,MATCH('Live Collections'!G1744,Disbursements!$C:$C,0)),"")</f>
        <v/>
      </c>
      <c r="G1744" s="34"/>
      <c r="H1744" s="34">
        <v>372</v>
      </c>
      <c r="I1744" s="34" t="s">
        <v>1358</v>
      </c>
      <c r="J1744" s="48"/>
      <c r="K1744" s="48"/>
      <c r="L1744" s="48"/>
      <c r="M1744" s="48"/>
      <c r="N1744" s="59"/>
      <c r="O1744" s="59"/>
      <c r="P1744" s="59">
        <v>-130000</v>
      </c>
      <c r="Q1744" s="268">
        <f t="shared" si="83"/>
        <v>-130000</v>
      </c>
      <c r="R1744" s="61">
        <f>IF(O1744=0,0,SUMIFS(Disbursements!$T:$T,Disbursements!$B:$B,'Live Collections'!D1744,Disbursements!$D:$D,'Live Collections'!F1744))</f>
        <v>0</v>
      </c>
      <c r="S1744" s="304">
        <f>IF(O1744&lt;=IF($O1744=0,0,SUMIFS(Disbursements!$W:$W,Disbursements!$B:$B,'Live Collections'!D2780,Disbursements!$D:$D,'Live Collections'!F2780)),O1744,IF($O1744=0,0,SUMIFS(Disbursements!$W:$W,Disbursements!$B:$B,'Live Collections'!D2780,Disbursements!$D:$D,'Live Collections'!F2780)))</f>
        <v>0</v>
      </c>
      <c r="T1744" s="304">
        <f t="shared" si="84"/>
        <v>0</v>
      </c>
      <c r="U1744" s="52"/>
      <c r="V1744" s="34"/>
      <c r="W1744" s="408"/>
    </row>
    <row r="1745" spans="1:23" ht="12.75" customHeight="1" x14ac:dyDescent="0.2">
      <c r="A1745" s="257">
        <v>1720</v>
      </c>
      <c r="B1745" s="44">
        <v>44510</v>
      </c>
      <c r="C1745" s="44">
        <f t="shared" si="82"/>
        <v>44510</v>
      </c>
      <c r="D1745" s="374">
        <v>245</v>
      </c>
      <c r="E1745" s="291" t="str">
        <f>IFERROR(VLOOKUP($D1745,'Clients-Live'!$A:$C,3,0),"")</f>
        <v>ONJIMA BASHIR</v>
      </c>
      <c r="F1745" s="291">
        <f>IFERROR(INDEX(Disbursements!$D:$D,MATCH('Live Collections'!G1745,Disbursements!$C:$C,0)),"")</f>
        <v>1</v>
      </c>
      <c r="G1745" s="34">
        <v>264</v>
      </c>
      <c r="H1745" s="34">
        <v>3128</v>
      </c>
      <c r="I1745" s="34" t="s">
        <v>1358</v>
      </c>
      <c r="J1745" s="48"/>
      <c r="K1745" s="48"/>
      <c r="L1745" s="48"/>
      <c r="M1745" s="48"/>
      <c r="N1745" s="59"/>
      <c r="O1745" s="59">
        <v>130000</v>
      </c>
      <c r="P1745" s="59"/>
      <c r="Q1745" s="268">
        <f t="shared" si="83"/>
        <v>130000</v>
      </c>
      <c r="R1745" s="61">
        <f>IF(O1745=0,0,SUMIFS(Disbursements!$T:$T,Disbursements!$B:$B,'Live Collections'!D1745,Disbursements!$D:$D,'Live Collections'!F1745))</f>
        <v>1398000</v>
      </c>
      <c r="S1745" s="304">
        <f>IF(O1745&lt;=IF($O1745=0,0,SUMIFS(Disbursements!$W:$W,Disbursements!$B:$B,'Live Collections'!D2781,Disbursements!$D:$D,'Live Collections'!F2781)),O1745,IF($O1745=0,0,SUMIFS(Disbursements!$W:$W,Disbursements!$B:$B,'Live Collections'!D2781,Disbursements!$D:$D,'Live Collections'!F2781)))</f>
        <v>20000</v>
      </c>
      <c r="T1745" s="304">
        <f t="shared" si="84"/>
        <v>110000</v>
      </c>
      <c r="U1745" s="52"/>
      <c r="V1745" s="34"/>
      <c r="W1745" s="408"/>
    </row>
    <row r="1746" spans="1:23" ht="12.75" customHeight="1" x14ac:dyDescent="0.2">
      <c r="A1746" s="257">
        <v>1738</v>
      </c>
      <c r="B1746" s="44">
        <v>44510</v>
      </c>
      <c r="C1746" s="44">
        <f t="shared" si="82"/>
        <v>44510</v>
      </c>
      <c r="D1746" s="374">
        <v>245</v>
      </c>
      <c r="E1746" s="291" t="str">
        <f>IFERROR(VLOOKUP($D1746,'Clients-Live'!$A:$C,3,0),"")</f>
        <v>ONJIMA BASHIR</v>
      </c>
      <c r="F1746" s="291" t="str">
        <f>IFERROR(INDEX(Disbursements!$D:$D,MATCH('Live Collections'!G1746,Disbursements!$C:$C,0)),"")</f>
        <v/>
      </c>
      <c r="G1746" s="34"/>
      <c r="H1746" s="34">
        <v>372</v>
      </c>
      <c r="I1746" s="34" t="s">
        <v>1358</v>
      </c>
      <c r="J1746" s="48"/>
      <c r="K1746" s="48"/>
      <c r="L1746" s="48"/>
      <c r="M1746" s="48"/>
      <c r="N1746" s="59"/>
      <c r="O1746" s="59"/>
      <c r="P1746" s="59">
        <v>-130000</v>
      </c>
      <c r="Q1746" s="268">
        <f t="shared" si="83"/>
        <v>-130000</v>
      </c>
      <c r="R1746" s="61">
        <f>IF(O1746=0,0,SUMIFS(Disbursements!$T:$T,Disbursements!$B:$B,'Live Collections'!D1746,Disbursements!$D:$D,'Live Collections'!F1746))</f>
        <v>0</v>
      </c>
      <c r="S1746" s="304">
        <f>IF(O1746&lt;=IF($O1746=0,0,SUMIFS(Disbursements!$W:$W,Disbursements!$B:$B,'Live Collections'!D2783,Disbursements!$D:$D,'Live Collections'!F2783)),O1746,IF($O1746=0,0,SUMIFS(Disbursements!$W:$W,Disbursements!$B:$B,'Live Collections'!D2783,Disbursements!$D:$D,'Live Collections'!F2783)))</f>
        <v>0</v>
      </c>
      <c r="T1746" s="304">
        <f t="shared" si="84"/>
        <v>0</v>
      </c>
      <c r="U1746" s="52"/>
      <c r="V1746" s="34"/>
      <c r="W1746" s="408"/>
    </row>
    <row r="1747" spans="1:23" ht="12.75" customHeight="1" x14ac:dyDescent="0.2">
      <c r="A1747" s="257">
        <v>1739</v>
      </c>
      <c r="B1747" s="44">
        <v>44510</v>
      </c>
      <c r="C1747" s="44">
        <f t="shared" si="82"/>
        <v>44510</v>
      </c>
      <c r="D1747" s="374">
        <v>245</v>
      </c>
      <c r="E1747" s="291" t="str">
        <f>IFERROR(VLOOKUP($D1747,'Clients-Live'!$A:$C,3,0),"")</f>
        <v>ONJIMA BASHIR</v>
      </c>
      <c r="F1747" s="291">
        <f>IFERROR(INDEX(Disbursements!$D:$D,MATCH('Live Collections'!G1747,Disbursements!$C:$C,0)),"")</f>
        <v>1</v>
      </c>
      <c r="G1747" s="34">
        <v>264</v>
      </c>
      <c r="H1747" s="34">
        <v>3127</v>
      </c>
      <c r="I1747" s="34" t="s">
        <v>1358</v>
      </c>
      <c r="J1747" s="48"/>
      <c r="K1747" s="48"/>
      <c r="L1747" s="48"/>
      <c r="M1747" s="48"/>
      <c r="N1747" s="59"/>
      <c r="O1747" s="59">
        <v>1267500</v>
      </c>
      <c r="P1747" s="59"/>
      <c r="Q1747" s="268">
        <f t="shared" si="83"/>
        <v>1267500</v>
      </c>
      <c r="R1747" s="61">
        <f>IF(O1747=0,0,SUMIFS(Disbursements!$T:$T,Disbursements!$B:$B,'Live Collections'!D1747,Disbursements!$D:$D,'Live Collections'!F1747))</f>
        <v>1398000</v>
      </c>
      <c r="S1747" s="64">
        <v>78000</v>
      </c>
      <c r="T1747" s="304">
        <f t="shared" si="84"/>
        <v>1189500</v>
      </c>
      <c r="U1747" s="52"/>
      <c r="V1747" s="34"/>
      <c r="W1747" s="408"/>
    </row>
    <row r="1748" spans="1:23" ht="12.75" customHeight="1" x14ac:dyDescent="0.2">
      <c r="A1748" s="257">
        <v>1732</v>
      </c>
      <c r="B1748" s="44">
        <v>44510</v>
      </c>
      <c r="C1748" s="44">
        <f t="shared" si="82"/>
        <v>44510</v>
      </c>
      <c r="D1748" s="374">
        <v>260</v>
      </c>
      <c r="E1748" s="291" t="str">
        <f>IFERROR(VLOOKUP($D1748,'Clients-Live'!$A:$C,3,0),"")</f>
        <v>ATAYI GRACE</v>
      </c>
      <c r="F1748" s="291">
        <f>IFERROR(INDEX(Disbursements!$D:$D,MATCH('Live Collections'!G1748,Disbursements!$C:$C,0)),"")</f>
        <v>1</v>
      </c>
      <c r="G1748" s="34">
        <v>303</v>
      </c>
      <c r="H1748" s="34">
        <v>3199</v>
      </c>
      <c r="I1748" s="34" t="s">
        <v>1359</v>
      </c>
      <c r="J1748" s="48"/>
      <c r="K1748" s="48"/>
      <c r="L1748" s="48"/>
      <c r="M1748" s="48"/>
      <c r="N1748" s="59"/>
      <c r="O1748" s="59">
        <v>25000</v>
      </c>
      <c r="P1748" s="59"/>
      <c r="Q1748" s="268">
        <f t="shared" si="83"/>
        <v>25000</v>
      </c>
      <c r="R1748" s="61">
        <f>IF(O1748=0,0,SUMIFS(Disbursements!$T:$T,Disbursements!$B:$B,'Live Collections'!D1748,Disbursements!$D:$D,'Live Collections'!F1748))</f>
        <v>23000</v>
      </c>
      <c r="S1748" s="304">
        <f>IF(O1748&lt;=IF($O1748=0,0,SUMIFS(Disbursements!$W:$W,Disbursements!$B:$B,'Live Collections'!D2877,Disbursements!$D:$D,'Live Collections'!F2877)),O1748,IF($O1748=0,0,SUMIFS(Disbursements!$W:$W,Disbursements!$B:$B,'Live Collections'!D2877,Disbursements!$D:$D,'Live Collections'!F2877)))</f>
        <v>25000</v>
      </c>
      <c r="T1748" s="304">
        <f t="shared" si="84"/>
        <v>0</v>
      </c>
      <c r="U1748" s="52"/>
      <c r="V1748" s="34"/>
      <c r="W1748" s="408"/>
    </row>
    <row r="1749" spans="1:23" ht="12.75" customHeight="1" x14ac:dyDescent="0.2">
      <c r="A1749" s="257">
        <v>1728</v>
      </c>
      <c r="B1749" s="44">
        <v>44510</v>
      </c>
      <c r="C1749" s="44">
        <f t="shared" si="82"/>
        <v>44510</v>
      </c>
      <c r="D1749" s="374">
        <v>265</v>
      </c>
      <c r="E1749" s="291" t="str">
        <f>IFERROR(VLOOKUP($D1749,'Clients-Live'!$A:$C,3,0),"")</f>
        <v>OCATRE CHARLES</v>
      </c>
      <c r="F1749" s="291">
        <f>IFERROR(INDEX(Disbursements!$D:$D,MATCH('Live Collections'!G1749,Disbursements!$C:$C,0)),"")</f>
        <v>1</v>
      </c>
      <c r="G1749" s="34">
        <v>285</v>
      </c>
      <c r="H1749" s="34">
        <v>3365</v>
      </c>
      <c r="I1749" s="34" t="s">
        <v>1357</v>
      </c>
      <c r="J1749" s="48"/>
      <c r="K1749" s="48"/>
      <c r="L1749" s="48"/>
      <c r="M1749" s="48"/>
      <c r="N1749" s="59"/>
      <c r="O1749" s="59">
        <v>600000</v>
      </c>
      <c r="P1749" s="59"/>
      <c r="Q1749" s="268">
        <f t="shared" si="83"/>
        <v>600000</v>
      </c>
      <c r="R1749" s="61">
        <f>IF(O1749=0,0,SUMIFS(Disbursements!$T:$T,Disbursements!$B:$B,'Live Collections'!D1749,Disbursements!$D:$D,'Live Collections'!F1749))</f>
        <v>1075000</v>
      </c>
      <c r="S1749" s="304">
        <f>IF(O1749&lt;=IF($O1749=0,0,SUMIFS(Disbursements!$W:$W,Disbursements!$B:$B,'Live Collections'!D2919,Disbursements!$D:$D,'Live Collections'!F2919)),O1749,IF($O1749=0,0,SUMIFS(Disbursements!$W:$W,Disbursements!$B:$B,'Live Collections'!D2919,Disbursements!$D:$D,'Live Collections'!F2919)))</f>
        <v>49000</v>
      </c>
      <c r="T1749" s="304">
        <f t="shared" si="84"/>
        <v>551000</v>
      </c>
      <c r="U1749" s="52"/>
      <c r="V1749" s="34"/>
      <c r="W1749" s="408"/>
    </row>
    <row r="1750" spans="1:23" ht="12.75" customHeight="1" x14ac:dyDescent="0.2">
      <c r="A1750" s="257">
        <v>1729</v>
      </c>
      <c r="B1750" s="44">
        <v>44510</v>
      </c>
      <c r="C1750" s="44">
        <f t="shared" si="82"/>
        <v>44510</v>
      </c>
      <c r="D1750" s="374">
        <v>271</v>
      </c>
      <c r="E1750" s="291" t="str">
        <f>IFERROR(VLOOKUP($D1750,'Clients-Live'!$A:$C,3,0),"")</f>
        <v>ALORO SAIDI</v>
      </c>
      <c r="F1750" s="291" t="str">
        <f>IFERROR(INDEX(Disbursements!$D:$D,MATCH('Live Collections'!G1750,Disbursements!$C:$C,0)),"")</f>
        <v/>
      </c>
      <c r="G1750" s="34"/>
      <c r="H1750" s="34">
        <v>3129</v>
      </c>
      <c r="I1750" s="34" t="s">
        <v>1357</v>
      </c>
      <c r="J1750" s="48"/>
      <c r="K1750" s="48"/>
      <c r="L1750" s="48"/>
      <c r="M1750" s="48"/>
      <c r="N1750" s="59"/>
      <c r="O1750" s="59"/>
      <c r="P1750" s="59">
        <v>40000</v>
      </c>
      <c r="Q1750" s="268">
        <f t="shared" si="83"/>
        <v>40000</v>
      </c>
      <c r="R1750" s="61">
        <f>IF(O1750=0,0,SUMIFS(Disbursements!$T:$T,Disbursements!$B:$B,'Live Collections'!D1750,Disbursements!$D:$D,'Live Collections'!F1750))</f>
        <v>0</v>
      </c>
      <c r="S1750" s="304">
        <f>IF(O1750&lt;=IF($O1750=0,0,SUMIFS(Disbursements!$W:$W,Disbursements!$B:$B,'Live Collections'!D2969,Disbursements!$D:$D,'Live Collections'!F2969)),O1750,IF($O1750=0,0,SUMIFS(Disbursements!$W:$W,Disbursements!$B:$B,'Live Collections'!D2969,Disbursements!$D:$D,'Live Collections'!F2969)))</f>
        <v>0</v>
      </c>
      <c r="T1750" s="304">
        <f t="shared" si="84"/>
        <v>0</v>
      </c>
      <c r="U1750" s="52"/>
      <c r="V1750" s="34"/>
      <c r="W1750" s="408"/>
    </row>
    <row r="1751" spans="1:23" ht="12.75" customHeight="1" x14ac:dyDescent="0.2">
      <c r="A1751" s="257">
        <v>1756</v>
      </c>
      <c r="B1751" s="44">
        <v>44511</v>
      </c>
      <c r="C1751" s="44">
        <f t="shared" si="82"/>
        <v>44511</v>
      </c>
      <c r="D1751" s="374">
        <v>50</v>
      </c>
      <c r="E1751" s="291" t="str">
        <f>IFERROR(VLOOKUP($D1751,'Clients-Live'!$A:$C,3,0),"")</f>
        <v>WACHEKE HARRIET</v>
      </c>
      <c r="F1751" s="291">
        <f>IFERROR(INDEX(Disbursements!$D:$D,MATCH('Live Collections'!G1751,Disbursements!$C:$C,0)),"")</f>
        <v>2</v>
      </c>
      <c r="G1751" s="34">
        <v>220</v>
      </c>
      <c r="H1751" s="34">
        <v>3135</v>
      </c>
      <c r="I1751" s="34" t="s">
        <v>1359</v>
      </c>
      <c r="J1751" s="48"/>
      <c r="K1751" s="48"/>
      <c r="L1751" s="48"/>
      <c r="M1751" s="48"/>
      <c r="N1751" s="59"/>
      <c r="O1751" s="59">
        <v>155000</v>
      </c>
      <c r="P1751" s="59"/>
      <c r="Q1751" s="268">
        <f t="shared" si="83"/>
        <v>155000</v>
      </c>
      <c r="R1751" s="61">
        <f>IF(O1751=0,0,SUMIFS(Disbursements!$T:$T,Disbursements!$B:$B,'Live Collections'!D1751,Disbursements!$D:$D,'Live Collections'!F1751))</f>
        <v>154000</v>
      </c>
      <c r="S1751" s="304">
        <f>IF(O1751&lt;=IF($O1751=0,0,SUMIFS(Disbursements!$W:$W,Disbursements!$B:$B,'Live Collections'!D576,Disbursements!$D:$D,'Live Collections'!F576)),O1751,IF($O1751=0,0,SUMIFS(Disbursements!$W:$W,Disbursements!$B:$B,'Live Collections'!D576,Disbursements!$D:$D,'Live Collections'!F576)))</f>
        <v>10000</v>
      </c>
      <c r="T1751" s="304">
        <f t="shared" si="84"/>
        <v>145000</v>
      </c>
      <c r="U1751" s="52"/>
      <c r="V1751" s="34"/>
      <c r="W1751" s="408"/>
    </row>
    <row r="1752" spans="1:23" ht="12.75" customHeight="1" x14ac:dyDescent="0.2">
      <c r="A1752" s="257">
        <v>1757</v>
      </c>
      <c r="B1752" s="44">
        <v>44511</v>
      </c>
      <c r="C1752" s="44">
        <f t="shared" si="82"/>
        <v>44511</v>
      </c>
      <c r="D1752" s="374">
        <v>50</v>
      </c>
      <c r="E1752" s="291" t="str">
        <f>IFERROR(VLOOKUP($D1752,'Clients-Live'!$A:$C,3,0),"")</f>
        <v>WACHEKE HARRIET</v>
      </c>
      <c r="F1752" s="291">
        <f>IFERROR(INDEX(Disbursements!$D:$D,MATCH('Live Collections'!G1752,Disbursements!$C:$C,0)),"")</f>
        <v>3</v>
      </c>
      <c r="G1752" s="34">
        <v>321</v>
      </c>
      <c r="H1752" s="34">
        <v>3321</v>
      </c>
      <c r="I1752" s="34" t="s">
        <v>1359</v>
      </c>
      <c r="J1752" s="48"/>
      <c r="K1752" s="48"/>
      <c r="L1752" s="48"/>
      <c r="M1752" s="48"/>
      <c r="N1752" s="59"/>
      <c r="O1752" s="59"/>
      <c r="P1752" s="59">
        <v>100000</v>
      </c>
      <c r="Q1752" s="268">
        <f t="shared" si="83"/>
        <v>100000</v>
      </c>
      <c r="R1752" s="61">
        <f>IF(O1752=0,0,SUMIFS(Disbursements!$T:$T,Disbursements!$B:$B,'Live Collections'!D1752,Disbursements!$D:$D,'Live Collections'!F1752))</f>
        <v>0</v>
      </c>
      <c r="S1752" s="304">
        <f>IF(O1752&lt;=IF($O1752=0,0,SUMIFS(Disbursements!$W:$W,Disbursements!$B:$B,'Live Collections'!D577,Disbursements!$D:$D,'Live Collections'!F577)),O1752,IF($O1752=0,0,SUMIFS(Disbursements!$W:$W,Disbursements!$B:$B,'Live Collections'!D577,Disbursements!$D:$D,'Live Collections'!F577)))</f>
        <v>0</v>
      </c>
      <c r="T1752" s="304">
        <f t="shared" si="84"/>
        <v>0</v>
      </c>
      <c r="U1752" s="52"/>
      <c r="V1752" s="34"/>
      <c r="W1752" s="408"/>
    </row>
    <row r="1753" spans="1:23" ht="12.75" customHeight="1" x14ac:dyDescent="0.2">
      <c r="A1753" s="257">
        <v>1758</v>
      </c>
      <c r="B1753" s="44">
        <v>44511</v>
      </c>
      <c r="C1753" s="44">
        <f t="shared" si="82"/>
        <v>44511</v>
      </c>
      <c r="D1753" s="374">
        <v>50</v>
      </c>
      <c r="E1753" s="291" t="str">
        <f>IFERROR(VLOOKUP($D1753,'Clients-Live'!$A:$C,3,0),"")</f>
        <v>WACHEKE HARRIET</v>
      </c>
      <c r="F1753" s="291" t="str">
        <f>IFERROR(INDEX(Disbursements!$D:$D,MATCH('Live Collections'!G1753,Disbursements!$C:$C,0)),"")</f>
        <v/>
      </c>
      <c r="G1753" s="34"/>
      <c r="H1753" s="34">
        <v>3322</v>
      </c>
      <c r="I1753" s="34" t="s">
        <v>1359</v>
      </c>
      <c r="J1753" s="48"/>
      <c r="K1753" s="48"/>
      <c r="L1753" s="48">
        <v>15000</v>
      </c>
      <c r="M1753" s="48">
        <v>5000</v>
      </c>
      <c r="N1753" s="59"/>
      <c r="O1753" s="59"/>
      <c r="P1753" s="59"/>
      <c r="Q1753" s="268">
        <f t="shared" si="83"/>
        <v>20000</v>
      </c>
      <c r="R1753" s="61">
        <f>IF(O1753=0,0,SUMIFS(Disbursements!$T:$T,Disbursements!$B:$B,'Live Collections'!D1753,Disbursements!$D:$D,'Live Collections'!F1753))</f>
        <v>0</v>
      </c>
      <c r="S1753" s="304">
        <f>IF(O1753&lt;=IF($O1753=0,0,SUMIFS(Disbursements!$W:$W,Disbursements!$B:$B,'Live Collections'!D578,Disbursements!$D:$D,'Live Collections'!F578)),O1753,IF($O1753=0,0,SUMIFS(Disbursements!$W:$W,Disbursements!$B:$B,'Live Collections'!D578,Disbursements!$D:$D,'Live Collections'!F578)))</f>
        <v>0</v>
      </c>
      <c r="T1753" s="304">
        <f t="shared" si="84"/>
        <v>0</v>
      </c>
      <c r="U1753" s="52"/>
      <c r="V1753" s="34"/>
      <c r="W1753" s="408"/>
    </row>
    <row r="1754" spans="1:23" ht="12.75" customHeight="1" x14ac:dyDescent="0.2">
      <c r="A1754" s="257">
        <v>3155</v>
      </c>
      <c r="B1754" s="44">
        <v>44511</v>
      </c>
      <c r="C1754" s="44">
        <f t="shared" si="82"/>
        <v>44511</v>
      </c>
      <c r="D1754" s="374">
        <v>50</v>
      </c>
      <c r="E1754" s="291" t="str">
        <f>IFERROR(VLOOKUP($D1754,'Clients-Live'!$A:$C,3,0),"")</f>
        <v>WACHEKE HARRIET</v>
      </c>
      <c r="F1754" s="291">
        <f>IFERROR(INDEX(Disbursements!$D:$D,MATCH('Live Collections'!G1754,Disbursements!$C:$C,0)),"")</f>
        <v>2</v>
      </c>
      <c r="G1754" s="34">
        <v>220</v>
      </c>
      <c r="H1754" s="34"/>
      <c r="I1754" s="34" t="s">
        <v>1359</v>
      </c>
      <c r="J1754" s="48"/>
      <c r="K1754" s="48"/>
      <c r="L1754" s="48"/>
      <c r="M1754" s="48"/>
      <c r="N1754" s="59"/>
      <c r="O1754" s="59">
        <v>112000</v>
      </c>
      <c r="P1754" s="59"/>
      <c r="Q1754" s="268">
        <f t="shared" si="83"/>
        <v>112000</v>
      </c>
      <c r="R1754" s="61">
        <f>IF(O1754=0,0,SUMIFS(Disbursements!$T:$T,Disbursements!$B:$B,'Live Collections'!D1754,Disbursements!$D:$D,'Live Collections'!F1754))</f>
        <v>154000</v>
      </c>
      <c r="S1754" s="64">
        <v>1666.6666666666279</v>
      </c>
      <c r="T1754" s="304">
        <f t="shared" si="84"/>
        <v>110333.33333333337</v>
      </c>
      <c r="U1754" s="52"/>
      <c r="V1754" s="34"/>
      <c r="W1754" s="408" t="s">
        <v>2086</v>
      </c>
    </row>
    <row r="1755" spans="1:23" ht="12.75" customHeight="1" x14ac:dyDescent="0.2">
      <c r="A1755" s="257">
        <v>1769</v>
      </c>
      <c r="B1755" s="44">
        <v>44511</v>
      </c>
      <c r="C1755" s="44">
        <f t="shared" si="82"/>
        <v>44511</v>
      </c>
      <c r="D1755" s="374">
        <v>53</v>
      </c>
      <c r="E1755" s="291" t="str">
        <f>IFERROR(VLOOKUP($D1755,'Clients-Live'!$A:$C,3,0),"")</f>
        <v>KALSUMU INNOCENT</v>
      </c>
      <c r="F1755" s="291">
        <f>IFERROR(INDEX(Disbursements!$D:$D,MATCH('Live Collections'!G1755,Disbursements!$C:$C,0)),"")</f>
        <v>2</v>
      </c>
      <c r="G1755" s="34">
        <v>329</v>
      </c>
      <c r="H1755" s="34">
        <v>3328</v>
      </c>
      <c r="I1755" s="34" t="s">
        <v>1358</v>
      </c>
      <c r="J1755" s="48"/>
      <c r="K1755" s="48"/>
      <c r="L1755" s="48"/>
      <c r="M1755" s="48"/>
      <c r="N1755" s="59"/>
      <c r="O1755" s="59"/>
      <c r="P1755" s="59">
        <v>90000</v>
      </c>
      <c r="Q1755" s="268">
        <f t="shared" si="83"/>
        <v>90000</v>
      </c>
      <c r="R1755" s="61">
        <f>IF(O1755=0,0,SUMIFS(Disbursements!$T:$T,Disbursements!$B:$B,'Live Collections'!D1755,Disbursements!$D:$D,'Live Collections'!F1755))</f>
        <v>0</v>
      </c>
      <c r="S1755" s="304">
        <f>IF(O1755&lt;=IF($O1755=0,0,SUMIFS(Disbursements!$W:$W,Disbursements!$B:$B,'Live Collections'!D625,Disbursements!$D:$D,'Live Collections'!F625)),O1755,IF($O1755=0,0,SUMIFS(Disbursements!$W:$W,Disbursements!$B:$B,'Live Collections'!D625,Disbursements!$D:$D,'Live Collections'!F625)))</f>
        <v>0</v>
      </c>
      <c r="T1755" s="304">
        <f t="shared" si="84"/>
        <v>0</v>
      </c>
      <c r="U1755" s="52"/>
      <c r="V1755" s="34"/>
      <c r="W1755" s="408"/>
    </row>
    <row r="1756" spans="1:23" ht="12.75" customHeight="1" x14ac:dyDescent="0.2">
      <c r="A1756" s="257">
        <v>1760</v>
      </c>
      <c r="B1756" s="44">
        <v>44511</v>
      </c>
      <c r="C1756" s="44">
        <f t="shared" si="82"/>
        <v>44511</v>
      </c>
      <c r="D1756" s="374">
        <v>76</v>
      </c>
      <c r="E1756" s="291" t="str">
        <f>IFERROR(VLOOKUP($D1756,'Clients-Live'!$A:$C,3,0),"")</f>
        <v>DAWA AISHA</v>
      </c>
      <c r="F1756" s="291">
        <f>IFERROR(INDEX(Disbursements!$D:$D,MATCH('Live Collections'!G1756,Disbursements!$C:$C,0)),"")</f>
        <v>2</v>
      </c>
      <c r="G1756" s="34">
        <v>187</v>
      </c>
      <c r="H1756" s="34">
        <v>3320</v>
      </c>
      <c r="I1756" s="34" t="s">
        <v>1358</v>
      </c>
      <c r="J1756" s="48"/>
      <c r="K1756" s="48"/>
      <c r="L1756" s="48"/>
      <c r="M1756" s="48"/>
      <c r="N1756" s="59"/>
      <c r="O1756" s="59">
        <v>50000</v>
      </c>
      <c r="P1756" s="59"/>
      <c r="Q1756" s="268">
        <f t="shared" si="83"/>
        <v>50000</v>
      </c>
      <c r="R1756" s="61">
        <f>IF(O1756=0,0,SUMIFS(Disbursements!$T:$T,Disbursements!$B:$B,'Live Collections'!D1756,Disbursements!$D:$D,'Live Collections'!F1756))</f>
        <v>180000</v>
      </c>
      <c r="S1756" s="304">
        <v>35000</v>
      </c>
      <c r="T1756" s="304">
        <f t="shared" si="84"/>
        <v>15000</v>
      </c>
      <c r="U1756" s="52"/>
      <c r="V1756" s="34"/>
      <c r="W1756" s="408"/>
    </row>
    <row r="1757" spans="1:23" ht="12.75" customHeight="1" x14ac:dyDescent="0.2">
      <c r="A1757" s="257">
        <v>1771</v>
      </c>
      <c r="B1757" s="44">
        <v>44511</v>
      </c>
      <c r="C1757" s="44">
        <f t="shared" si="82"/>
        <v>44511</v>
      </c>
      <c r="D1757" s="374">
        <v>112</v>
      </c>
      <c r="E1757" s="291" t="str">
        <f>IFERROR(VLOOKUP($D1757,'Clients-Live'!$A:$C,3,0),"")</f>
        <v>NURA JOYCE</v>
      </c>
      <c r="F1757" s="291" t="str">
        <f>IFERROR(INDEX(Disbursements!$D:$D,MATCH('Live Collections'!G1757,Disbursements!$C:$C,0)),"")</f>
        <v/>
      </c>
      <c r="G1757" s="34"/>
      <c r="H1757" s="34">
        <v>3138</v>
      </c>
      <c r="I1757" s="34" t="s">
        <v>1359</v>
      </c>
      <c r="J1757" s="48"/>
      <c r="K1757" s="48">
        <v>5000</v>
      </c>
      <c r="L1757" s="48"/>
      <c r="M1757" s="48"/>
      <c r="N1757" s="59"/>
      <c r="O1757" s="59"/>
      <c r="P1757" s="59"/>
      <c r="Q1757" s="268">
        <f t="shared" si="83"/>
        <v>5000</v>
      </c>
      <c r="R1757" s="61">
        <f>IF(O1757=0,0,SUMIFS(Disbursements!$T:$T,Disbursements!$B:$B,'Live Collections'!D1757,Disbursements!$D:$D,'Live Collections'!F1757))</f>
        <v>0</v>
      </c>
      <c r="S1757" s="304">
        <f>IF(O1757&lt;=IF($O1757=0,0,SUMIFS(Disbursements!$W:$W,Disbursements!$B:$B,'Live Collections'!D1433,Disbursements!$D:$D,'Live Collections'!F1433)),O1757,IF($O1757=0,0,SUMIFS(Disbursements!$W:$W,Disbursements!$B:$B,'Live Collections'!D1433,Disbursements!$D:$D,'Live Collections'!F1433)))</f>
        <v>0</v>
      </c>
      <c r="T1757" s="304">
        <f t="shared" si="84"/>
        <v>0</v>
      </c>
      <c r="U1757" s="52"/>
      <c r="V1757" s="34"/>
      <c r="W1757" s="408"/>
    </row>
    <row r="1758" spans="1:23" ht="12.75" customHeight="1" x14ac:dyDescent="0.2">
      <c r="A1758" s="257">
        <v>1772</v>
      </c>
      <c r="B1758" s="44">
        <v>44511</v>
      </c>
      <c r="C1758" s="44">
        <f t="shared" si="82"/>
        <v>44511</v>
      </c>
      <c r="D1758" s="374">
        <v>112</v>
      </c>
      <c r="E1758" s="291" t="str">
        <f>IFERROR(VLOOKUP($D1758,'Clients-Live'!$A:$C,3,0),"")</f>
        <v>NURA JOYCE</v>
      </c>
      <c r="F1758" s="291" t="str">
        <f>IFERROR(INDEX(Disbursements!$D:$D,MATCH('Live Collections'!G1758,Disbursements!$C:$C,0)),"")</f>
        <v/>
      </c>
      <c r="G1758" s="34"/>
      <c r="H1758" s="34">
        <v>3137</v>
      </c>
      <c r="I1758" s="34" t="s">
        <v>1359</v>
      </c>
      <c r="J1758" s="48"/>
      <c r="K1758" s="48"/>
      <c r="L1758" s="48">
        <v>15000</v>
      </c>
      <c r="M1758" s="48">
        <v>5000</v>
      </c>
      <c r="N1758" s="59"/>
      <c r="O1758" s="59"/>
      <c r="P1758" s="59"/>
      <c r="Q1758" s="268">
        <f t="shared" si="83"/>
        <v>20000</v>
      </c>
      <c r="R1758" s="61">
        <f>IF(O1758=0,0,SUMIFS(Disbursements!$T:$T,Disbursements!$B:$B,'Live Collections'!D1758,Disbursements!$D:$D,'Live Collections'!F1758))</f>
        <v>0</v>
      </c>
      <c r="S1758" s="304">
        <f>IF(O1758&lt;=IF($O1758=0,0,SUMIFS(Disbursements!$W:$W,Disbursements!$B:$B,'Live Collections'!D1434,Disbursements!$D:$D,'Live Collections'!F1434)),O1758,IF($O1758=0,0,SUMIFS(Disbursements!$W:$W,Disbursements!$B:$B,'Live Collections'!D1434,Disbursements!$D:$D,'Live Collections'!F1434)))</f>
        <v>0</v>
      </c>
      <c r="T1758" s="304">
        <f t="shared" si="84"/>
        <v>0</v>
      </c>
      <c r="U1758" s="52"/>
      <c r="V1758" s="34"/>
      <c r="W1758" s="408"/>
    </row>
    <row r="1759" spans="1:23" ht="12.75" customHeight="1" x14ac:dyDescent="0.2">
      <c r="A1759" s="257">
        <v>1748</v>
      </c>
      <c r="B1759" s="44">
        <v>44511</v>
      </c>
      <c r="C1759" s="44">
        <f t="shared" si="82"/>
        <v>44511</v>
      </c>
      <c r="D1759" s="374">
        <v>129</v>
      </c>
      <c r="E1759" s="291" t="str">
        <f>IFERROR(VLOOKUP($D1759,'Clients-Live'!$A:$C,3,0),"")</f>
        <v>BAKO ASINA</v>
      </c>
      <c r="F1759" s="291" t="str">
        <f>IFERROR(INDEX(Disbursements!$D:$D,MATCH('Live Collections'!G1759,Disbursements!$C:$C,0)),"")</f>
        <v/>
      </c>
      <c r="G1759" s="34"/>
      <c r="H1759" s="34">
        <v>385</v>
      </c>
      <c r="I1759" s="34" t="s">
        <v>1357</v>
      </c>
      <c r="J1759" s="48"/>
      <c r="K1759" s="48"/>
      <c r="L1759" s="48"/>
      <c r="M1759" s="48"/>
      <c r="N1759" s="59"/>
      <c r="O1759" s="59"/>
      <c r="P1759" s="59">
        <v>-150000</v>
      </c>
      <c r="Q1759" s="268">
        <f t="shared" si="83"/>
        <v>-150000</v>
      </c>
      <c r="R1759" s="61">
        <f>IF(O1759=0,0,SUMIFS(Disbursements!$T:$T,Disbursements!$B:$B,'Live Collections'!D1759,Disbursements!$D:$D,'Live Collections'!F1759))</f>
        <v>0</v>
      </c>
      <c r="S1759" s="304">
        <f>IF(O1759&lt;=IF($O1759=0,0,SUMIFS(Disbursements!$W:$W,Disbursements!$B:$B,'Live Collections'!D1637,Disbursements!$D:$D,'Live Collections'!F1637)),O1759,IF($O1759=0,0,SUMIFS(Disbursements!$W:$W,Disbursements!$B:$B,'Live Collections'!D1637,Disbursements!$D:$D,'Live Collections'!F1637)))</f>
        <v>0</v>
      </c>
      <c r="T1759" s="304">
        <f t="shared" si="84"/>
        <v>0</v>
      </c>
      <c r="U1759" s="52"/>
      <c r="V1759" s="34"/>
      <c r="W1759" s="408"/>
    </row>
    <row r="1760" spans="1:23" ht="12.75" customHeight="1" x14ac:dyDescent="0.2">
      <c r="A1760" s="257">
        <v>1766</v>
      </c>
      <c r="B1760" s="44">
        <v>44511</v>
      </c>
      <c r="C1760" s="44">
        <f t="shared" si="82"/>
        <v>44511</v>
      </c>
      <c r="D1760" s="374">
        <v>132</v>
      </c>
      <c r="E1760" s="291" t="str">
        <f>IFERROR(VLOOKUP($D1760,'Clients-Live'!$A:$C,3,0),"")</f>
        <v>MANIYO JOICE</v>
      </c>
      <c r="F1760" s="291">
        <f>IFERROR(INDEX(Disbursements!$D:$D,MATCH('Live Collections'!G1760,Disbursements!$C:$C,0)),"")</f>
        <v>1</v>
      </c>
      <c r="G1760" s="34">
        <v>134</v>
      </c>
      <c r="H1760" s="34">
        <v>3312</v>
      </c>
      <c r="I1760" s="34" t="s">
        <v>1358</v>
      </c>
      <c r="J1760" s="48"/>
      <c r="K1760" s="48"/>
      <c r="L1760" s="48"/>
      <c r="M1760" s="48"/>
      <c r="N1760" s="59"/>
      <c r="O1760" s="59">
        <v>20000</v>
      </c>
      <c r="P1760" s="59"/>
      <c r="Q1760" s="268">
        <f t="shared" si="83"/>
        <v>20000</v>
      </c>
      <c r="R1760" s="61">
        <f>IF(O1760=0,0,SUMIFS(Disbursements!$T:$T,Disbursements!$B:$B,'Live Collections'!D1760,Disbursements!$D:$D,'Live Collections'!F1760))</f>
        <v>115000</v>
      </c>
      <c r="S1760" s="304"/>
      <c r="T1760" s="304">
        <f t="shared" si="84"/>
        <v>20000</v>
      </c>
      <c r="U1760" s="52"/>
      <c r="V1760" s="34"/>
      <c r="W1760" s="408"/>
    </row>
    <row r="1761" spans="1:23" ht="12.75" customHeight="1" x14ac:dyDescent="0.2">
      <c r="A1761" s="257">
        <v>1750</v>
      </c>
      <c r="B1761" s="44">
        <v>44511</v>
      </c>
      <c r="C1761" s="44">
        <f t="shared" si="82"/>
        <v>44511</v>
      </c>
      <c r="D1761" s="374">
        <v>134</v>
      </c>
      <c r="E1761" s="291" t="str">
        <f>IFERROR(VLOOKUP($D1761,'Clients-Live'!$A:$C,3,0),"")</f>
        <v>TABU NATALIYA</v>
      </c>
      <c r="F1761" s="291" t="str">
        <f>IFERROR(INDEX(Disbursements!$D:$D,MATCH('Live Collections'!G1761,Disbursements!$C:$C,0)),"")</f>
        <v/>
      </c>
      <c r="G1761" s="34"/>
      <c r="H1761" s="34">
        <v>3380</v>
      </c>
      <c r="I1761" s="34" t="s">
        <v>1359</v>
      </c>
      <c r="J1761" s="48"/>
      <c r="K1761" s="48"/>
      <c r="L1761" s="48"/>
      <c r="M1761" s="48"/>
      <c r="N1761" s="59"/>
      <c r="O1761" s="59"/>
      <c r="P1761" s="59">
        <v>40000</v>
      </c>
      <c r="Q1761" s="268">
        <f t="shared" si="83"/>
        <v>40000</v>
      </c>
      <c r="R1761" s="61">
        <f>IF(O1761=0,0,SUMIFS(Disbursements!$T:$T,Disbursements!$B:$B,'Live Collections'!D1761,Disbursements!$D:$D,'Live Collections'!F1761))</f>
        <v>0</v>
      </c>
      <c r="S1761" s="304">
        <f>IF(O1761&lt;=IF($O1761=0,0,SUMIFS(Disbursements!$W:$W,Disbursements!$B:$B,'Live Collections'!D1694,Disbursements!$D:$D,'Live Collections'!F1694)),O1761,IF($O1761=0,0,SUMIFS(Disbursements!$W:$W,Disbursements!$B:$B,'Live Collections'!D1694,Disbursements!$D:$D,'Live Collections'!F1694)))</f>
        <v>0</v>
      </c>
      <c r="T1761" s="304">
        <f t="shared" si="84"/>
        <v>0</v>
      </c>
      <c r="U1761" s="52"/>
      <c r="V1761" s="34"/>
      <c r="W1761" s="408"/>
    </row>
    <row r="1762" spans="1:23" ht="12.75" customHeight="1" x14ac:dyDescent="0.2">
      <c r="A1762" s="257">
        <v>1751</v>
      </c>
      <c r="B1762" s="44">
        <v>44511</v>
      </c>
      <c r="C1762" s="44">
        <f t="shared" si="82"/>
        <v>44511</v>
      </c>
      <c r="D1762" s="374">
        <v>135</v>
      </c>
      <c r="E1762" s="291" t="str">
        <f>IFERROR(VLOOKUP($D1762,'Clients-Live'!$A:$C,3,0),"")</f>
        <v>SARIF SAIDI</v>
      </c>
      <c r="F1762" s="291" t="str">
        <f>IFERROR(INDEX(Disbursements!$D:$D,MATCH('Live Collections'!G1762,Disbursements!$C:$C,0)),"")</f>
        <v/>
      </c>
      <c r="G1762" s="34"/>
      <c r="H1762" s="34">
        <v>3378</v>
      </c>
      <c r="I1762" s="34" t="s">
        <v>1357</v>
      </c>
      <c r="J1762" s="48"/>
      <c r="K1762" s="48"/>
      <c r="L1762" s="48"/>
      <c r="M1762" s="48"/>
      <c r="N1762" s="59"/>
      <c r="O1762" s="59"/>
      <c r="P1762" s="59">
        <v>120000</v>
      </c>
      <c r="Q1762" s="268">
        <f t="shared" si="83"/>
        <v>120000</v>
      </c>
      <c r="R1762" s="61">
        <f>IF(O1762=0,0,SUMIFS(Disbursements!$T:$T,Disbursements!$B:$B,'Live Collections'!D1762,Disbursements!$D:$D,'Live Collections'!F1762))</f>
        <v>0</v>
      </c>
      <c r="S1762" s="304">
        <f>IF(O1762&lt;=IF($O1762=0,0,SUMIFS(Disbursements!$W:$W,Disbursements!$B:$B,'Live Collections'!D1705,Disbursements!$D:$D,'Live Collections'!F1705)),O1762,IF($O1762=0,0,SUMIFS(Disbursements!$W:$W,Disbursements!$B:$B,'Live Collections'!D1705,Disbursements!$D:$D,'Live Collections'!F1705)))</f>
        <v>0</v>
      </c>
      <c r="T1762" s="304">
        <f t="shared" si="84"/>
        <v>0</v>
      </c>
      <c r="U1762" s="52"/>
      <c r="V1762" s="34"/>
      <c r="W1762" s="408"/>
    </row>
    <row r="1763" spans="1:23" ht="12.75" customHeight="1" x14ac:dyDescent="0.2">
      <c r="A1763" s="257">
        <v>1752</v>
      </c>
      <c r="B1763" s="44">
        <v>44511</v>
      </c>
      <c r="C1763" s="44">
        <f t="shared" si="82"/>
        <v>44511</v>
      </c>
      <c r="D1763" s="374">
        <v>135</v>
      </c>
      <c r="E1763" s="291" t="str">
        <f>IFERROR(VLOOKUP($D1763,'Clients-Live'!$A:$C,3,0),"")</f>
        <v>SARIF SAIDI</v>
      </c>
      <c r="F1763" s="291">
        <f>IFERROR(INDEX(Disbursements!$D:$D,MATCH('Live Collections'!G1763,Disbursements!$C:$C,0)),"")</f>
        <v>2</v>
      </c>
      <c r="G1763" s="34">
        <v>323</v>
      </c>
      <c r="H1763" s="34">
        <v>3376</v>
      </c>
      <c r="I1763" s="34" t="s">
        <v>1357</v>
      </c>
      <c r="J1763" s="48"/>
      <c r="K1763" s="48"/>
      <c r="L1763" s="48"/>
      <c r="M1763" s="48"/>
      <c r="N1763" s="59"/>
      <c r="O1763" s="59">
        <v>70000</v>
      </c>
      <c r="P1763" s="59"/>
      <c r="Q1763" s="268">
        <f t="shared" si="83"/>
        <v>70000</v>
      </c>
      <c r="R1763" s="61">
        <f>IF(O1763=0,0,SUMIFS(Disbursements!$T:$T,Disbursements!$B:$B,'Live Collections'!D1763,Disbursements!$D:$D,'Live Collections'!F1763))</f>
        <v>260000</v>
      </c>
      <c r="S1763" s="304">
        <f>IF(O1763&lt;=IF($O1763=0,0,SUMIFS(Disbursements!$W:$W,Disbursements!$B:$B,'Live Collections'!D1706,Disbursements!$D:$D,'Live Collections'!F1706)),O1763,IF($O1763=0,0,SUMIFS(Disbursements!$W:$W,Disbursements!$B:$B,'Live Collections'!D1706,Disbursements!$D:$D,'Live Collections'!F1706)))</f>
        <v>30000</v>
      </c>
      <c r="T1763" s="304">
        <f t="shared" si="84"/>
        <v>40000</v>
      </c>
      <c r="U1763" s="52"/>
      <c r="V1763" s="34"/>
      <c r="W1763" s="408"/>
    </row>
    <row r="1764" spans="1:23" ht="12.75" customHeight="1" x14ac:dyDescent="0.2">
      <c r="A1764" s="257">
        <v>1753</v>
      </c>
      <c r="B1764" s="44">
        <v>44511</v>
      </c>
      <c r="C1764" s="44">
        <f t="shared" si="82"/>
        <v>44511</v>
      </c>
      <c r="D1764" s="374">
        <v>135</v>
      </c>
      <c r="E1764" s="291" t="str">
        <f>IFERROR(VLOOKUP($D1764,'Clients-Live'!$A:$C,3,0),"")</f>
        <v>SARIF SAIDI</v>
      </c>
      <c r="F1764" s="291" t="str">
        <f>IFERROR(INDEX(Disbursements!$D:$D,MATCH('Live Collections'!G1764,Disbursements!$C:$C,0)),"")</f>
        <v/>
      </c>
      <c r="G1764" s="34"/>
      <c r="H1764" s="34">
        <v>379</v>
      </c>
      <c r="I1764" s="34" t="s">
        <v>1357</v>
      </c>
      <c r="J1764" s="48"/>
      <c r="K1764" s="48"/>
      <c r="L1764" s="48"/>
      <c r="M1764" s="48"/>
      <c r="N1764" s="59"/>
      <c r="O1764" s="59"/>
      <c r="P1764" s="59">
        <v>-70000</v>
      </c>
      <c r="Q1764" s="268">
        <f t="shared" si="83"/>
        <v>-70000</v>
      </c>
      <c r="R1764" s="61">
        <f>IF(O1764=0,0,SUMIFS(Disbursements!$T:$T,Disbursements!$B:$B,'Live Collections'!D1764,Disbursements!$D:$D,'Live Collections'!F1764))</f>
        <v>0</v>
      </c>
      <c r="S1764" s="304">
        <f>IF(O1764&lt;=IF($O1764=0,0,SUMIFS(Disbursements!$W:$W,Disbursements!$B:$B,'Live Collections'!D1707,Disbursements!$D:$D,'Live Collections'!F1707)),O1764,IF($O1764=0,0,SUMIFS(Disbursements!$W:$W,Disbursements!$B:$B,'Live Collections'!D1707,Disbursements!$D:$D,'Live Collections'!F1707)))</f>
        <v>0</v>
      </c>
      <c r="T1764" s="304">
        <f t="shared" si="84"/>
        <v>0</v>
      </c>
      <c r="U1764" s="52"/>
      <c r="V1764" s="34"/>
      <c r="W1764" s="408"/>
    </row>
    <row r="1765" spans="1:23" ht="12.75" customHeight="1" x14ac:dyDescent="0.2">
      <c r="A1765" s="257">
        <v>1754</v>
      </c>
      <c r="B1765" s="44">
        <v>44511</v>
      </c>
      <c r="C1765" s="44">
        <f t="shared" si="82"/>
        <v>44511</v>
      </c>
      <c r="D1765" s="374">
        <v>135</v>
      </c>
      <c r="E1765" s="291" t="str">
        <f>IFERROR(VLOOKUP($D1765,'Clients-Live'!$A:$C,3,0),"")</f>
        <v>SARIF SAIDI</v>
      </c>
      <c r="F1765" s="291">
        <f>IFERROR(INDEX(Disbursements!$D:$D,MATCH('Live Collections'!G1765,Disbursements!$C:$C,0)),"")</f>
        <v>2</v>
      </c>
      <c r="G1765" s="34">
        <v>323</v>
      </c>
      <c r="H1765" s="34">
        <v>3375</v>
      </c>
      <c r="I1765" s="34" t="s">
        <v>1357</v>
      </c>
      <c r="J1765" s="48"/>
      <c r="K1765" s="48"/>
      <c r="L1765" s="48"/>
      <c r="M1765" s="48"/>
      <c r="N1765" s="59"/>
      <c r="O1765" s="59">
        <v>180000</v>
      </c>
      <c r="P1765" s="59"/>
      <c r="Q1765" s="268">
        <f t="shared" si="83"/>
        <v>180000</v>
      </c>
      <c r="R1765" s="61">
        <f>IF(O1765=0,0,SUMIFS(Disbursements!$T:$T,Disbursements!$B:$B,'Live Collections'!D1765,Disbursements!$D:$D,'Live Collections'!F1765))</f>
        <v>260000</v>
      </c>
      <c r="S1765" s="304">
        <f>IF(O1765&lt;=IF($O1765=0,0,SUMIFS(Disbursements!$W:$W,Disbursements!$B:$B,'Live Collections'!D1708,Disbursements!$D:$D,'Live Collections'!F1708)),O1765,IF($O1765=0,0,SUMIFS(Disbursements!$W:$W,Disbursements!$B:$B,'Live Collections'!D1708,Disbursements!$D:$D,'Live Collections'!F1708)))</f>
        <v>100666.66666666669</v>
      </c>
      <c r="T1765" s="304">
        <f t="shared" si="84"/>
        <v>79333.333333333314</v>
      </c>
      <c r="U1765" s="52"/>
      <c r="V1765" s="34"/>
      <c r="W1765" s="408"/>
    </row>
    <row r="1766" spans="1:23" ht="12.75" customHeight="1" x14ac:dyDescent="0.2">
      <c r="A1766" s="257">
        <v>1741</v>
      </c>
      <c r="B1766" s="44">
        <v>44511</v>
      </c>
      <c r="C1766" s="44">
        <f t="shared" si="82"/>
        <v>44511</v>
      </c>
      <c r="D1766" s="374">
        <v>137</v>
      </c>
      <c r="E1766" s="291" t="str">
        <f>IFERROR(VLOOKUP($D1766,'Clients-Live'!$A:$C,3,0),"")</f>
        <v>YAKANI CHARLES</v>
      </c>
      <c r="F1766" s="291">
        <f>IFERROR(INDEX(Disbursements!$D:$D,MATCH('Live Collections'!G1766,Disbursements!$C:$C,0)),"")</f>
        <v>2</v>
      </c>
      <c r="G1766" s="34">
        <v>139</v>
      </c>
      <c r="H1766" s="34">
        <v>3358</v>
      </c>
      <c r="I1766" s="34" t="s">
        <v>1359</v>
      </c>
      <c r="J1766" s="48"/>
      <c r="K1766" s="48"/>
      <c r="L1766" s="48"/>
      <c r="M1766" s="48"/>
      <c r="N1766" s="59"/>
      <c r="O1766" s="59">
        <v>360000</v>
      </c>
      <c r="P1766" s="59"/>
      <c r="Q1766" s="268">
        <f t="shared" si="83"/>
        <v>360000</v>
      </c>
      <c r="R1766" s="61">
        <f>IF(O1766=0,0,SUMIFS(Disbursements!$T:$T,Disbursements!$B:$B,'Live Collections'!D1766,Disbursements!$D:$D,'Live Collections'!F1766))</f>
        <v>360000</v>
      </c>
      <c r="S1766" s="304">
        <f>IF(O1766&lt;=IF($O1766=0,0,SUMIFS(Disbursements!$W:$W,Disbursements!$B:$B,'Live Collections'!D1730,Disbursements!$D:$D,'Live Collections'!F1730)),O1766,IF($O1766=0,0,SUMIFS(Disbursements!$W:$W,Disbursements!$B:$B,'Live Collections'!D1730,Disbursements!$D:$D,'Live Collections'!F1730)))</f>
        <v>40000</v>
      </c>
      <c r="T1766" s="304">
        <f t="shared" si="84"/>
        <v>320000</v>
      </c>
      <c r="U1766" s="52"/>
      <c r="V1766" s="34"/>
      <c r="W1766" s="408"/>
    </row>
    <row r="1767" spans="1:23" ht="12.75" customHeight="1" x14ac:dyDescent="0.2">
      <c r="A1767" s="257">
        <v>1770</v>
      </c>
      <c r="B1767" s="44">
        <v>44511</v>
      </c>
      <c r="C1767" s="44">
        <f t="shared" si="82"/>
        <v>44511</v>
      </c>
      <c r="D1767" s="374">
        <v>156</v>
      </c>
      <c r="E1767" s="291" t="str">
        <f>IFERROR(VLOOKUP($D1767,'Clients-Live'!$A:$C,3,0),"")</f>
        <v xml:space="preserve">ONIBA AISHA </v>
      </c>
      <c r="F1767" s="291">
        <f>IFERROR(INDEX(Disbursements!$D:$D,MATCH('Live Collections'!G1767,Disbursements!$C:$C,0)),"")</f>
        <v>2</v>
      </c>
      <c r="G1767" s="34">
        <v>216</v>
      </c>
      <c r="H1767" s="34">
        <v>3327</v>
      </c>
      <c r="I1767" s="34" t="s">
        <v>1358</v>
      </c>
      <c r="J1767" s="48"/>
      <c r="K1767" s="48"/>
      <c r="L1767" s="48"/>
      <c r="M1767" s="48"/>
      <c r="N1767" s="59"/>
      <c r="O1767" s="59">
        <v>400000</v>
      </c>
      <c r="P1767" s="59"/>
      <c r="Q1767" s="268">
        <f t="shared" si="83"/>
        <v>400000</v>
      </c>
      <c r="R1767" s="61">
        <f>IF(O1767=0,0,SUMIFS(Disbursements!$T:$T,Disbursements!$B:$B,'Live Collections'!D1767,Disbursements!$D:$D,'Live Collections'!F1767))</f>
        <v>200000</v>
      </c>
      <c r="S1767" s="304">
        <f>IF(O1767&lt;=IF($O1767=0,0,SUMIFS(Disbursements!$W:$W,Disbursements!$B:$B,'Live Collections'!D1950,Disbursements!$D:$D,'Live Collections'!F1950)),O1767,IF($O1767=0,0,SUMIFS(Disbursements!$W:$W,Disbursements!$B:$B,'Live Collections'!D1950,Disbursements!$D:$D,'Live Collections'!F1950)))</f>
        <v>0</v>
      </c>
      <c r="T1767" s="304">
        <f t="shared" si="84"/>
        <v>400000</v>
      </c>
      <c r="U1767" s="52"/>
      <c r="V1767" s="34"/>
      <c r="W1767" s="408"/>
    </row>
    <row r="1768" spans="1:23" ht="12.75" customHeight="1" x14ac:dyDescent="0.2">
      <c r="A1768" s="257">
        <v>1768</v>
      </c>
      <c r="B1768" s="44">
        <v>44511</v>
      </c>
      <c r="C1768" s="44">
        <f t="shared" si="82"/>
        <v>44511</v>
      </c>
      <c r="D1768" s="374">
        <v>164</v>
      </c>
      <c r="E1768" s="291" t="str">
        <f>IFERROR(VLOOKUP($D1768,'Clients-Live'!$A:$C,3,0),"")</f>
        <v>ARIKE SWAIB</v>
      </c>
      <c r="F1768" s="291">
        <f>IFERROR(INDEX(Disbursements!$D:$D,MATCH('Live Collections'!G1768,Disbursements!$C:$C,0)),"")</f>
        <v>1</v>
      </c>
      <c r="G1768" s="34">
        <v>154</v>
      </c>
      <c r="H1768" s="34">
        <v>3377</v>
      </c>
      <c r="I1768" s="34" t="s">
        <v>1357</v>
      </c>
      <c r="J1768" s="48"/>
      <c r="K1768" s="48"/>
      <c r="L1768" s="48"/>
      <c r="M1768" s="48"/>
      <c r="N1768" s="59"/>
      <c r="O1768" s="59">
        <v>130000</v>
      </c>
      <c r="P1768" s="59"/>
      <c r="Q1768" s="268">
        <f t="shared" si="83"/>
        <v>130000</v>
      </c>
      <c r="R1768" s="61">
        <f>IF(O1768=0,0,SUMIFS(Disbursements!$T:$T,Disbursements!$B:$B,'Live Collections'!D1768,Disbursements!$D:$D,'Live Collections'!F1768))</f>
        <v>109000</v>
      </c>
      <c r="S1768" s="304">
        <f>IF(O1768&lt;=IF($O1768=0,0,SUMIFS(Disbursements!$W:$W,Disbursements!$B:$B,'Live Collections'!D2037,Disbursements!$D:$D,'Live Collections'!F2037)),O1768,IF($O1768=0,0,SUMIFS(Disbursements!$W:$W,Disbursements!$B:$B,'Live Collections'!D2037,Disbursements!$D:$D,'Live Collections'!F2037)))</f>
        <v>50000</v>
      </c>
      <c r="T1768" s="304">
        <f t="shared" si="84"/>
        <v>80000</v>
      </c>
      <c r="U1768" s="52"/>
      <c r="V1768" s="34"/>
      <c r="W1768" s="408"/>
    </row>
    <row r="1769" spans="1:23" ht="12.75" customHeight="1" x14ac:dyDescent="0.2">
      <c r="A1769" s="257">
        <v>1746</v>
      </c>
      <c r="B1769" s="44">
        <v>44511</v>
      </c>
      <c r="C1769" s="44">
        <f t="shared" si="82"/>
        <v>44511</v>
      </c>
      <c r="D1769" s="374">
        <v>179</v>
      </c>
      <c r="E1769" s="291" t="str">
        <f>IFERROR(VLOOKUP($D1769,'Clients-Live'!$A:$C,3,0),"")</f>
        <v>GERIA VIOLA</v>
      </c>
      <c r="F1769" s="291" t="str">
        <f>IFERROR(INDEX(Disbursements!$D:$D,MATCH('Live Collections'!G1769,Disbursements!$C:$C,0)),"")</f>
        <v/>
      </c>
      <c r="G1769" s="34"/>
      <c r="H1769" s="34">
        <v>384</v>
      </c>
      <c r="I1769" s="34" t="s">
        <v>1359</v>
      </c>
      <c r="J1769" s="48"/>
      <c r="K1769" s="48"/>
      <c r="L1769" s="48"/>
      <c r="M1769" s="48"/>
      <c r="N1769" s="59"/>
      <c r="O1769" s="59"/>
      <c r="P1769" s="59">
        <v>-30000</v>
      </c>
      <c r="Q1769" s="268">
        <f t="shared" si="83"/>
        <v>-30000</v>
      </c>
      <c r="R1769" s="61">
        <f>IF(O1769=0,0,SUMIFS(Disbursements!$T:$T,Disbursements!$B:$B,'Live Collections'!D1769,Disbursements!$D:$D,'Live Collections'!F1769))</f>
        <v>0</v>
      </c>
      <c r="S1769" s="304">
        <f>IF(O1769&lt;=IF($O1769=0,0,SUMIFS(Disbursements!$W:$W,Disbursements!$B:$B,'Live Collections'!D2190,Disbursements!$D:$D,'Live Collections'!F2190)),O1769,IF($O1769=0,0,SUMIFS(Disbursements!$W:$W,Disbursements!$B:$B,'Live Collections'!D2190,Disbursements!$D:$D,'Live Collections'!F2190)))</f>
        <v>0</v>
      </c>
      <c r="T1769" s="304">
        <f t="shared" si="84"/>
        <v>0</v>
      </c>
      <c r="U1769" s="52"/>
      <c r="V1769" s="34"/>
      <c r="W1769" s="408"/>
    </row>
    <row r="1770" spans="1:23" ht="12.75" customHeight="1" x14ac:dyDescent="0.2">
      <c r="A1770" s="257">
        <v>1747</v>
      </c>
      <c r="B1770" s="44">
        <v>44511</v>
      </c>
      <c r="C1770" s="44">
        <f t="shared" si="82"/>
        <v>44511</v>
      </c>
      <c r="D1770" s="374">
        <v>179</v>
      </c>
      <c r="E1770" s="291" t="str">
        <f>IFERROR(VLOOKUP($D1770,'Clients-Live'!$A:$C,3,0),"")</f>
        <v>GERIA VIOLA</v>
      </c>
      <c r="F1770" s="291">
        <f>IFERROR(INDEX(Disbursements!$D:$D,MATCH('Live Collections'!G1770,Disbursements!$C:$C,0)),"")</f>
        <v>1</v>
      </c>
      <c r="G1770" s="34">
        <v>167</v>
      </c>
      <c r="H1770" s="34">
        <v>3317</v>
      </c>
      <c r="I1770" s="34" t="s">
        <v>1359</v>
      </c>
      <c r="J1770" s="48"/>
      <c r="K1770" s="48"/>
      <c r="L1770" s="48"/>
      <c r="M1770" s="48"/>
      <c r="N1770" s="59"/>
      <c r="O1770" s="59">
        <v>30000</v>
      </c>
      <c r="P1770" s="59"/>
      <c r="Q1770" s="268">
        <f t="shared" si="83"/>
        <v>30000</v>
      </c>
      <c r="R1770" s="61">
        <f>IF(O1770=0,0,SUMIFS(Disbursements!$T:$T,Disbursements!$B:$B,'Live Collections'!D1770,Disbursements!$D:$D,'Live Collections'!F1770))</f>
        <v>115000</v>
      </c>
      <c r="S1770" s="304"/>
      <c r="T1770" s="304">
        <f t="shared" si="84"/>
        <v>30000</v>
      </c>
      <c r="U1770" s="52"/>
      <c r="V1770" s="34"/>
      <c r="W1770" s="408"/>
    </row>
    <row r="1771" spans="1:23" ht="12.75" customHeight="1" x14ac:dyDescent="0.2">
      <c r="A1771" s="257">
        <v>1762</v>
      </c>
      <c r="B1771" s="44">
        <v>44511</v>
      </c>
      <c r="C1771" s="44">
        <f t="shared" si="82"/>
        <v>44511</v>
      </c>
      <c r="D1771" s="374">
        <v>179</v>
      </c>
      <c r="E1771" s="291" t="str">
        <f>IFERROR(VLOOKUP($D1771,'Clients-Live'!$A:$C,3,0),"")</f>
        <v>GERIA VIOLA</v>
      </c>
      <c r="F1771" s="291" t="str">
        <f>IFERROR(INDEX(Disbursements!$D:$D,MATCH('Live Collections'!G1771,Disbursements!$C:$C,0)),"")</f>
        <v/>
      </c>
      <c r="G1771" s="34"/>
      <c r="H1771" s="34">
        <v>3319</v>
      </c>
      <c r="I1771" s="34" t="s">
        <v>1359</v>
      </c>
      <c r="J1771" s="48"/>
      <c r="K1771" s="48"/>
      <c r="L1771" s="48">
        <v>10000</v>
      </c>
      <c r="M1771" s="48">
        <v>5000</v>
      </c>
      <c r="N1771" s="59"/>
      <c r="O1771" s="59"/>
      <c r="P1771" s="59"/>
      <c r="Q1771" s="268">
        <f t="shared" si="83"/>
        <v>15000</v>
      </c>
      <c r="R1771" s="61">
        <f>IF(O1771=0,0,SUMIFS(Disbursements!$T:$T,Disbursements!$B:$B,'Live Collections'!D1771,Disbursements!$D:$D,'Live Collections'!F1771))</f>
        <v>0</v>
      </c>
      <c r="S1771" s="304">
        <f>IF(O1771&lt;=IF($O1771=0,0,SUMIFS(Disbursements!$W:$W,Disbursements!$B:$B,'Live Collections'!D2192,Disbursements!$D:$D,'Live Collections'!F2192)),O1771,IF($O1771=0,0,SUMIFS(Disbursements!$W:$W,Disbursements!$B:$B,'Live Collections'!D2192,Disbursements!$D:$D,'Live Collections'!F2192)))</f>
        <v>0</v>
      </c>
      <c r="T1771" s="304">
        <f t="shared" si="84"/>
        <v>0</v>
      </c>
      <c r="U1771" s="52"/>
      <c r="V1771" s="34"/>
      <c r="W1771" s="408"/>
    </row>
    <row r="1772" spans="1:23" ht="12.75" customHeight="1" x14ac:dyDescent="0.2">
      <c r="A1772" s="257">
        <v>1764</v>
      </c>
      <c r="B1772" s="44">
        <v>44511</v>
      </c>
      <c r="C1772" s="44">
        <f t="shared" si="82"/>
        <v>44511</v>
      </c>
      <c r="D1772" s="374">
        <v>179</v>
      </c>
      <c r="E1772" s="291" t="str">
        <f>IFERROR(VLOOKUP($D1772,'Clients-Live'!$A:$C,3,0),"")</f>
        <v>GERIA VIOLA</v>
      </c>
      <c r="F1772" s="291">
        <f>IFERROR(INDEX(Disbursements!$D:$D,MATCH('Live Collections'!G1772,Disbursements!$C:$C,0)),"")</f>
        <v>1</v>
      </c>
      <c r="G1772" s="34">
        <v>167</v>
      </c>
      <c r="H1772" s="34">
        <v>3316</v>
      </c>
      <c r="I1772" s="34" t="s">
        <v>1359</v>
      </c>
      <c r="J1772" s="48"/>
      <c r="K1772" s="48"/>
      <c r="L1772" s="48"/>
      <c r="M1772" s="48"/>
      <c r="N1772" s="59"/>
      <c r="O1772" s="59">
        <v>85000</v>
      </c>
      <c r="P1772" s="59"/>
      <c r="Q1772" s="268">
        <f t="shared" si="83"/>
        <v>85000</v>
      </c>
      <c r="R1772" s="61">
        <f>IF(O1772=0,0,SUMIFS(Disbursements!$T:$T,Disbursements!$B:$B,'Live Collections'!D1772,Disbursements!$D:$D,'Live Collections'!F1772))</f>
        <v>115000</v>
      </c>
      <c r="S1772" s="304"/>
      <c r="T1772" s="304">
        <f t="shared" si="84"/>
        <v>85000</v>
      </c>
      <c r="U1772" s="52"/>
      <c r="V1772" s="34"/>
      <c r="W1772" s="408"/>
    </row>
    <row r="1773" spans="1:23" ht="12.75" customHeight="1" x14ac:dyDescent="0.2">
      <c r="A1773" s="257">
        <v>1763</v>
      </c>
      <c r="B1773" s="44">
        <v>44511</v>
      </c>
      <c r="C1773" s="44">
        <f t="shared" si="82"/>
        <v>44511</v>
      </c>
      <c r="D1773" s="374">
        <v>182</v>
      </c>
      <c r="E1773" s="291" t="str">
        <f>IFERROR(VLOOKUP($D1773,'Clients-Live'!$A:$C,3,0),"")</f>
        <v>ANITE ZAM</v>
      </c>
      <c r="F1773" s="291">
        <f>IFERROR(INDEX(Disbursements!$D:$D,MATCH('Live Collections'!G1773,Disbursements!$C:$C,0)),"")</f>
        <v>1</v>
      </c>
      <c r="G1773" s="34">
        <v>175</v>
      </c>
      <c r="H1773" s="34">
        <v>3318</v>
      </c>
      <c r="I1773" s="34" t="s">
        <v>1358</v>
      </c>
      <c r="J1773" s="48"/>
      <c r="K1773" s="48"/>
      <c r="L1773" s="48"/>
      <c r="M1773" s="48"/>
      <c r="N1773" s="59"/>
      <c r="O1773" s="59">
        <v>65000</v>
      </c>
      <c r="P1773" s="59"/>
      <c r="Q1773" s="268">
        <f t="shared" si="83"/>
        <v>65000</v>
      </c>
      <c r="R1773" s="61">
        <f>IF(O1773=0,0,SUMIFS(Disbursements!$T:$T,Disbursements!$B:$B,'Live Collections'!D1773,Disbursements!$D:$D,'Live Collections'!F1773))</f>
        <v>115000</v>
      </c>
      <c r="S1773" s="304"/>
      <c r="T1773" s="304">
        <f t="shared" si="84"/>
        <v>65000</v>
      </c>
      <c r="U1773" s="52"/>
      <c r="V1773" s="34"/>
      <c r="W1773" s="408"/>
    </row>
    <row r="1774" spans="1:23" ht="12.75" customHeight="1" x14ac:dyDescent="0.2">
      <c r="A1774" s="257">
        <v>1761</v>
      </c>
      <c r="B1774" s="44">
        <v>44511</v>
      </c>
      <c r="C1774" s="44">
        <f t="shared" si="82"/>
        <v>44511</v>
      </c>
      <c r="D1774" s="374">
        <v>191</v>
      </c>
      <c r="E1774" s="291" t="str">
        <f>IFERROR(VLOOKUP($D1774,'Clients-Live'!$A:$C,3,0),"")</f>
        <v>AYOZU JESCA TAIBO</v>
      </c>
      <c r="F1774" s="291">
        <f>IFERROR(INDEX(Disbursements!$D:$D,MATCH('Live Collections'!G1774,Disbursements!$C:$C,0)),"")</f>
        <v>1</v>
      </c>
      <c r="G1774" s="34">
        <v>210</v>
      </c>
      <c r="H1774" s="34">
        <v>3134</v>
      </c>
      <c r="I1774" s="34" t="s">
        <v>1357</v>
      </c>
      <c r="J1774" s="48"/>
      <c r="K1774" s="48"/>
      <c r="L1774" s="48"/>
      <c r="M1774" s="48"/>
      <c r="N1774" s="59"/>
      <c r="O1774" s="59">
        <v>160000</v>
      </c>
      <c r="P1774" s="59"/>
      <c r="Q1774" s="268">
        <f t="shared" si="83"/>
        <v>160000</v>
      </c>
      <c r="R1774" s="61">
        <f>IF(O1774=0,0,SUMIFS(Disbursements!$T:$T,Disbursements!$B:$B,'Live Collections'!D1774,Disbursements!$D:$D,'Live Collections'!F1774))</f>
        <v>154000</v>
      </c>
      <c r="S1774" s="64">
        <v>11999.999999999971</v>
      </c>
      <c r="T1774" s="304">
        <f t="shared" si="84"/>
        <v>148000.00000000003</v>
      </c>
      <c r="U1774" s="52"/>
      <c r="V1774" s="34"/>
      <c r="W1774" s="408"/>
    </row>
    <row r="1775" spans="1:23" ht="12.75" customHeight="1" x14ac:dyDescent="0.2">
      <c r="A1775" s="257">
        <v>1773</v>
      </c>
      <c r="B1775" s="44">
        <v>44511</v>
      </c>
      <c r="C1775" s="44">
        <f t="shared" si="82"/>
        <v>44511</v>
      </c>
      <c r="D1775" s="374">
        <v>197</v>
      </c>
      <c r="E1775" s="291" t="str">
        <f>IFERROR(VLOOKUP($D1775,'Clients-Live'!$A:$C,3,0),"")</f>
        <v>SIYESA JAMILA</v>
      </c>
      <c r="F1775" s="291">
        <f>IFERROR(INDEX(Disbursements!$D:$D,MATCH('Live Collections'!G1775,Disbursements!$C:$C,0)),"")</f>
        <v>1</v>
      </c>
      <c r="G1775" s="34">
        <v>192</v>
      </c>
      <c r="H1775" s="34">
        <v>3326</v>
      </c>
      <c r="I1775" s="34" t="s">
        <v>1358</v>
      </c>
      <c r="J1775" s="48"/>
      <c r="K1775" s="48"/>
      <c r="L1775" s="48"/>
      <c r="M1775" s="48"/>
      <c r="N1775" s="59"/>
      <c r="O1775" s="59">
        <v>30000</v>
      </c>
      <c r="P1775" s="59"/>
      <c r="Q1775" s="268">
        <f t="shared" si="83"/>
        <v>30000</v>
      </c>
      <c r="R1775" s="61">
        <f>IF(O1775=0,0,SUMIFS(Disbursements!$T:$T,Disbursements!$B:$B,'Live Collections'!D1775,Disbursements!$D:$D,'Live Collections'!F1775))</f>
        <v>120000</v>
      </c>
      <c r="S1775" s="304">
        <v>10000</v>
      </c>
      <c r="T1775" s="304">
        <f t="shared" si="84"/>
        <v>20000</v>
      </c>
      <c r="U1775" s="52"/>
      <c r="V1775" s="34"/>
      <c r="W1775" s="408"/>
    </row>
    <row r="1776" spans="1:23" ht="12.75" customHeight="1" x14ac:dyDescent="0.2">
      <c r="A1776" s="257">
        <v>1755</v>
      </c>
      <c r="B1776" s="44">
        <v>44511</v>
      </c>
      <c r="C1776" s="44">
        <f t="shared" si="82"/>
        <v>44511</v>
      </c>
      <c r="D1776" s="374">
        <v>208</v>
      </c>
      <c r="E1776" s="291" t="str">
        <f>IFERROR(VLOOKUP($D1776,'Clients-Live'!$A:$C,3,0),"")</f>
        <v>TIKO RAIMA</v>
      </c>
      <c r="F1776" s="291" t="str">
        <f>IFERROR(INDEX(Disbursements!$D:$D,MATCH('Live Collections'!G1776,Disbursements!$C:$C,0)),"")</f>
        <v/>
      </c>
      <c r="G1776" s="34"/>
      <c r="H1776" s="34">
        <v>3136</v>
      </c>
      <c r="I1776" s="34" t="s">
        <v>1357</v>
      </c>
      <c r="J1776" s="48"/>
      <c r="K1776" s="48"/>
      <c r="L1776" s="48"/>
      <c r="M1776" s="48"/>
      <c r="N1776" s="59"/>
      <c r="O1776" s="59"/>
      <c r="P1776" s="59">
        <v>30000</v>
      </c>
      <c r="Q1776" s="268">
        <f t="shared" si="83"/>
        <v>30000</v>
      </c>
      <c r="R1776" s="61">
        <f>IF(O1776=0,0,SUMIFS(Disbursements!$T:$T,Disbursements!$B:$B,'Live Collections'!D1776,Disbursements!$D:$D,'Live Collections'!F1776))</f>
        <v>0</v>
      </c>
      <c r="S1776" s="304">
        <f>IF(O1776&lt;=IF($O1776=0,0,SUMIFS(Disbursements!$W:$W,Disbursements!$B:$B,'Live Collections'!D2462,Disbursements!$D:$D,'Live Collections'!F2462)),O1776,IF($O1776=0,0,SUMIFS(Disbursements!$W:$W,Disbursements!$B:$B,'Live Collections'!D2462,Disbursements!$D:$D,'Live Collections'!F2462)))</f>
        <v>0</v>
      </c>
      <c r="T1776" s="304">
        <f t="shared" si="84"/>
        <v>0</v>
      </c>
      <c r="U1776" s="52"/>
      <c r="V1776" s="34"/>
      <c r="W1776" s="408"/>
    </row>
    <row r="1777" spans="1:23" ht="12.75" customHeight="1" x14ac:dyDescent="0.2">
      <c r="A1777" s="257">
        <v>1745</v>
      </c>
      <c r="B1777" s="44">
        <v>44511</v>
      </c>
      <c r="C1777" s="44">
        <f t="shared" si="82"/>
        <v>44511</v>
      </c>
      <c r="D1777" s="374">
        <v>224</v>
      </c>
      <c r="E1777" s="291" t="str">
        <f>IFERROR(VLOOKUP($D1777,'Clients-Live'!$A:$C,3,0),"")</f>
        <v>MALIAMUNGU ROBERT</v>
      </c>
      <c r="F1777" s="291" t="str">
        <f>IFERROR(INDEX(Disbursements!$D:$D,MATCH('Live Collections'!G1777,Disbursements!$C:$C,0)),"")</f>
        <v/>
      </c>
      <c r="G1777" s="34"/>
      <c r="H1777" s="34">
        <v>383</v>
      </c>
      <c r="I1777" s="34" t="s">
        <v>1357</v>
      </c>
      <c r="J1777" s="48"/>
      <c r="K1777" s="48"/>
      <c r="L1777" s="48"/>
      <c r="M1777" s="48"/>
      <c r="N1777" s="59"/>
      <c r="O1777" s="59"/>
      <c r="P1777" s="59">
        <v>-250000</v>
      </c>
      <c r="Q1777" s="268">
        <f t="shared" si="83"/>
        <v>-250000</v>
      </c>
      <c r="R1777" s="61">
        <f>IF(O1777=0,0,SUMIFS(Disbursements!$T:$T,Disbursements!$B:$B,'Live Collections'!D1777,Disbursements!$D:$D,'Live Collections'!F1777))</f>
        <v>0</v>
      </c>
      <c r="S1777" s="304">
        <f>IF(O1777&lt;=IF($O1777=0,0,SUMIFS(Disbursements!$W:$W,Disbursements!$B:$B,'Live Collections'!D2624,Disbursements!$D:$D,'Live Collections'!F2624)),O1777,IF($O1777=0,0,SUMIFS(Disbursements!$W:$W,Disbursements!$B:$B,'Live Collections'!D2624,Disbursements!$D:$D,'Live Collections'!F2624)))</f>
        <v>0</v>
      </c>
      <c r="T1777" s="304">
        <f t="shared" si="84"/>
        <v>0</v>
      </c>
      <c r="U1777" s="52"/>
      <c r="V1777" s="34"/>
      <c r="W1777" s="408"/>
    </row>
    <row r="1778" spans="1:23" ht="12.75" customHeight="1" x14ac:dyDescent="0.2">
      <c r="A1778" s="257">
        <v>1765</v>
      </c>
      <c r="B1778" s="44">
        <v>44511</v>
      </c>
      <c r="C1778" s="44">
        <f t="shared" si="82"/>
        <v>44511</v>
      </c>
      <c r="D1778" s="374">
        <v>228</v>
      </c>
      <c r="E1778" s="291" t="str">
        <f>IFERROR(VLOOKUP($D1778,'Clients-Live'!$A:$C,3,0),"")</f>
        <v>DADA ISAAC</v>
      </c>
      <c r="F1778" s="291">
        <f>IFERROR(INDEX(Disbursements!$D:$D,MATCH('Live Collections'!G1778,Disbursements!$C:$C,0)),"")</f>
        <v>2</v>
      </c>
      <c r="G1778" s="34">
        <v>320</v>
      </c>
      <c r="H1778" s="34">
        <v>3313</v>
      </c>
      <c r="I1778" s="34" t="s">
        <v>1358</v>
      </c>
      <c r="J1778" s="48"/>
      <c r="K1778" s="48"/>
      <c r="L1778" s="48"/>
      <c r="M1778" s="48"/>
      <c r="N1778" s="59"/>
      <c r="O1778" s="59"/>
      <c r="P1778" s="59">
        <v>40000</v>
      </c>
      <c r="Q1778" s="268">
        <f t="shared" si="83"/>
        <v>40000</v>
      </c>
      <c r="R1778" s="61">
        <f>IF(O1778=0,0,SUMIFS(Disbursements!$T:$T,Disbursements!$B:$B,'Live Collections'!D1778,Disbursements!$D:$D,'Live Collections'!F1778))</f>
        <v>0</v>
      </c>
      <c r="S1778" s="304">
        <f>IF(O1778&lt;=IF($O1778=0,0,SUMIFS(Disbursements!$W:$W,Disbursements!$B:$B,'Live Collections'!D2646,Disbursements!$D:$D,'Live Collections'!F2646)),O1778,IF($O1778=0,0,SUMIFS(Disbursements!$W:$W,Disbursements!$B:$B,'Live Collections'!D2646,Disbursements!$D:$D,'Live Collections'!F2646)))</f>
        <v>0</v>
      </c>
      <c r="T1778" s="304">
        <f t="shared" si="84"/>
        <v>0</v>
      </c>
      <c r="U1778" s="52"/>
      <c r="V1778" s="34"/>
      <c r="W1778" s="408"/>
    </row>
    <row r="1779" spans="1:23" ht="12.75" customHeight="1" x14ac:dyDescent="0.2">
      <c r="A1779" s="257">
        <v>1759</v>
      </c>
      <c r="B1779" s="44">
        <v>44511</v>
      </c>
      <c r="C1779" s="44">
        <f t="shared" si="82"/>
        <v>44511</v>
      </c>
      <c r="D1779" s="374">
        <v>232</v>
      </c>
      <c r="E1779" s="291" t="str">
        <f>IFERROR(VLOOKUP($D1779,'Clients-Live'!$A:$C,3,0),"")</f>
        <v>LEMERIGA GEOFFREY</v>
      </c>
      <c r="F1779" s="291">
        <f>IFERROR(INDEX(Disbursements!$D:$D,MATCH('Live Collections'!G1779,Disbursements!$C:$C,0)),"")</f>
        <v>1</v>
      </c>
      <c r="G1779" s="34">
        <v>250</v>
      </c>
      <c r="H1779" s="34">
        <v>3131</v>
      </c>
      <c r="I1779" s="34" t="s">
        <v>1358</v>
      </c>
      <c r="J1779" s="48"/>
      <c r="K1779" s="48"/>
      <c r="L1779" s="48"/>
      <c r="M1779" s="48"/>
      <c r="N1779" s="59"/>
      <c r="O1779" s="59">
        <v>650000</v>
      </c>
      <c r="P1779" s="59"/>
      <c r="Q1779" s="268">
        <f t="shared" si="83"/>
        <v>650000</v>
      </c>
      <c r="R1779" s="61">
        <f>IF(O1779=0,0,SUMIFS(Disbursements!$T:$T,Disbursements!$B:$B,'Live Collections'!D1779,Disbursements!$D:$D,'Live Collections'!F1779))</f>
        <v>1050000</v>
      </c>
      <c r="S1779" s="304">
        <f>IF(O1779&lt;=IF($O1779=0,0,SUMIFS(Disbursements!$W:$W,Disbursements!$B:$B,'Live Collections'!D2685,Disbursements!$D:$D,'Live Collections'!F2685)),O1779,IF($O1779=0,0,SUMIFS(Disbursements!$W:$W,Disbursements!$B:$B,'Live Collections'!D2685,Disbursements!$D:$D,'Live Collections'!F2685)))</f>
        <v>20000</v>
      </c>
      <c r="T1779" s="304">
        <f t="shared" si="84"/>
        <v>630000</v>
      </c>
      <c r="U1779" s="52"/>
      <c r="V1779" s="34"/>
      <c r="W1779" s="408"/>
    </row>
    <row r="1780" spans="1:23" ht="12.75" customHeight="1" x14ac:dyDescent="0.2">
      <c r="A1780" s="257">
        <v>1749</v>
      </c>
      <c r="B1780" s="44">
        <v>44511</v>
      </c>
      <c r="C1780" s="44">
        <f t="shared" si="82"/>
        <v>44511</v>
      </c>
      <c r="D1780" s="374">
        <v>248</v>
      </c>
      <c r="E1780" s="291" t="str">
        <f>IFERROR(VLOOKUP($D1780,'Clients-Live'!$A:$C,3,0),"")</f>
        <v>LETARU GLORIA</v>
      </c>
      <c r="F1780" s="291">
        <f>IFERROR(INDEX(Disbursements!$D:$D,MATCH('Live Collections'!G1780,Disbursements!$C:$C,0)),"")</f>
        <v>1</v>
      </c>
      <c r="G1780" s="34">
        <v>268</v>
      </c>
      <c r="H1780" s="34">
        <v>3325</v>
      </c>
      <c r="I1780" s="34" t="s">
        <v>1359</v>
      </c>
      <c r="J1780" s="48"/>
      <c r="K1780" s="48"/>
      <c r="L1780" s="48"/>
      <c r="M1780" s="48"/>
      <c r="N1780" s="59"/>
      <c r="O1780" s="59">
        <v>1000000</v>
      </c>
      <c r="P1780" s="59"/>
      <c r="Q1780" s="268">
        <f t="shared" si="83"/>
        <v>1000000</v>
      </c>
      <c r="R1780" s="61">
        <f>IF(O1780=0,0,SUMIFS(Disbursements!$T:$T,Disbursements!$B:$B,'Live Collections'!D1780,Disbursements!$D:$D,'Live Collections'!F1780))</f>
        <v>1225000</v>
      </c>
      <c r="S1780" s="304">
        <f>IF(O1780&lt;=IF($O1780=0,0,SUMIFS(Disbursements!$W:$W,Disbursements!$B:$B,'Live Collections'!D2800,Disbursements!$D:$D,'Live Collections'!F2800)),O1780,IF($O1780=0,0,SUMIFS(Disbursements!$W:$W,Disbursements!$B:$B,'Live Collections'!D2800,Disbursements!$D:$D,'Live Collections'!F2800)))</f>
        <v>0</v>
      </c>
      <c r="T1780" s="304">
        <f t="shared" si="84"/>
        <v>1000000</v>
      </c>
      <c r="U1780" s="52"/>
      <c r="V1780" s="34"/>
      <c r="W1780" s="408"/>
    </row>
    <row r="1781" spans="1:23" ht="12.75" customHeight="1" x14ac:dyDescent="0.2">
      <c r="A1781" s="257">
        <v>1742</v>
      </c>
      <c r="B1781" s="44">
        <v>44511</v>
      </c>
      <c r="C1781" s="44">
        <f t="shared" si="82"/>
        <v>44511</v>
      </c>
      <c r="D1781" s="374">
        <v>265</v>
      </c>
      <c r="E1781" s="291" t="str">
        <f>IFERROR(VLOOKUP($D1781,'Clients-Live'!$A:$C,3,0),"")</f>
        <v>OCATRE CHARLES</v>
      </c>
      <c r="F1781" s="291">
        <f>IFERROR(INDEX(Disbursements!$D:$D,MATCH('Live Collections'!G1781,Disbursements!$C:$C,0)),"")</f>
        <v>1</v>
      </c>
      <c r="G1781" s="34">
        <v>285</v>
      </c>
      <c r="H1781" s="34">
        <v>3133</v>
      </c>
      <c r="I1781" s="34" t="s">
        <v>1357</v>
      </c>
      <c r="J1781" s="48"/>
      <c r="K1781" s="48"/>
      <c r="L1781" s="48"/>
      <c r="M1781" s="48"/>
      <c r="N1781" s="59"/>
      <c r="O1781" s="59">
        <v>375000</v>
      </c>
      <c r="P1781" s="59"/>
      <c r="Q1781" s="268">
        <f t="shared" si="83"/>
        <v>375000</v>
      </c>
      <c r="R1781" s="61">
        <f>IF(O1781=0,0,SUMIFS(Disbursements!$T:$T,Disbursements!$B:$B,'Live Collections'!D1781,Disbursements!$D:$D,'Live Collections'!F1781))</f>
        <v>1075000</v>
      </c>
      <c r="S1781" s="304">
        <f>IF(O1781&lt;=IF($O1781=0,0,SUMIFS(Disbursements!$W:$W,Disbursements!$B:$B,'Live Collections'!D2920,Disbursements!$D:$D,'Live Collections'!F2920)),O1781,IF($O1781=0,0,SUMIFS(Disbursements!$W:$W,Disbursements!$B:$B,'Live Collections'!D2920,Disbursements!$D:$D,'Live Collections'!F2920)))</f>
        <v>8750</v>
      </c>
      <c r="T1781" s="304">
        <f t="shared" si="84"/>
        <v>366250</v>
      </c>
      <c r="U1781" s="52"/>
      <c r="V1781" s="34"/>
      <c r="W1781" s="408"/>
    </row>
    <row r="1782" spans="1:23" ht="12.75" customHeight="1" x14ac:dyDescent="0.2">
      <c r="A1782" s="257">
        <v>1743</v>
      </c>
      <c r="B1782" s="44">
        <v>44511</v>
      </c>
      <c r="C1782" s="44">
        <f t="shared" si="82"/>
        <v>44511</v>
      </c>
      <c r="D1782" s="374">
        <v>265</v>
      </c>
      <c r="E1782" s="291" t="str">
        <f>IFERROR(VLOOKUP($D1782,'Clients-Live'!$A:$C,3,0),"")</f>
        <v>OCATRE CHARLES</v>
      </c>
      <c r="F1782" s="291" t="str">
        <f>IFERROR(INDEX(Disbursements!$D:$D,MATCH('Live Collections'!G1782,Disbursements!$C:$C,0)),"")</f>
        <v/>
      </c>
      <c r="G1782" s="34"/>
      <c r="H1782" s="34">
        <v>380</v>
      </c>
      <c r="I1782" s="34" t="s">
        <v>1357</v>
      </c>
      <c r="J1782" s="48"/>
      <c r="K1782" s="48"/>
      <c r="L1782" s="48"/>
      <c r="M1782" s="48"/>
      <c r="N1782" s="59"/>
      <c r="O1782" s="59"/>
      <c r="P1782" s="59">
        <v>-100000</v>
      </c>
      <c r="Q1782" s="268">
        <f t="shared" si="83"/>
        <v>-100000</v>
      </c>
      <c r="R1782" s="61">
        <f>IF(O1782=0,0,SUMIFS(Disbursements!$T:$T,Disbursements!$B:$B,'Live Collections'!D1782,Disbursements!$D:$D,'Live Collections'!F1782))</f>
        <v>0</v>
      </c>
      <c r="S1782" s="304">
        <f>IF(O1782&lt;=IF($O1782=0,0,SUMIFS(Disbursements!$W:$W,Disbursements!$B:$B,'Live Collections'!D2921,Disbursements!$D:$D,'Live Collections'!F2921)),O1782,IF($O1782=0,0,SUMIFS(Disbursements!$W:$W,Disbursements!$B:$B,'Live Collections'!D2921,Disbursements!$D:$D,'Live Collections'!F2921)))</f>
        <v>0</v>
      </c>
      <c r="T1782" s="304">
        <f t="shared" si="84"/>
        <v>0</v>
      </c>
      <c r="U1782" s="52"/>
      <c r="V1782" s="34"/>
      <c r="W1782" s="408"/>
    </row>
    <row r="1783" spans="1:23" ht="12.75" customHeight="1" x14ac:dyDescent="0.2">
      <c r="A1783" s="257">
        <v>1744</v>
      </c>
      <c r="B1783" s="44">
        <v>44511</v>
      </c>
      <c r="C1783" s="44">
        <f t="shared" si="82"/>
        <v>44511</v>
      </c>
      <c r="D1783" s="374">
        <v>265</v>
      </c>
      <c r="E1783" s="291" t="str">
        <f>IFERROR(VLOOKUP($D1783,'Clients-Live'!$A:$C,3,0),"")</f>
        <v>OCATRE CHARLES</v>
      </c>
      <c r="F1783" s="291">
        <f>IFERROR(INDEX(Disbursements!$D:$D,MATCH('Live Collections'!G1783,Disbursements!$C:$C,0)),"")</f>
        <v>1</v>
      </c>
      <c r="G1783" s="34">
        <v>285</v>
      </c>
      <c r="H1783" s="34">
        <v>3132</v>
      </c>
      <c r="I1783" s="34" t="s">
        <v>1357</v>
      </c>
      <c r="J1783" s="48"/>
      <c r="K1783" s="48"/>
      <c r="L1783" s="48"/>
      <c r="M1783" s="48"/>
      <c r="N1783" s="59"/>
      <c r="O1783" s="59">
        <v>100000</v>
      </c>
      <c r="P1783" s="59"/>
      <c r="Q1783" s="268">
        <f t="shared" si="83"/>
        <v>100000</v>
      </c>
      <c r="R1783" s="61">
        <f>IF(O1783=0,0,SUMIFS(Disbursements!$T:$T,Disbursements!$B:$B,'Live Collections'!D1783,Disbursements!$D:$D,'Live Collections'!F1783))</f>
        <v>1075000</v>
      </c>
      <c r="S1783" s="64">
        <v>17250</v>
      </c>
      <c r="T1783" s="304">
        <f t="shared" si="84"/>
        <v>82750</v>
      </c>
      <c r="U1783" s="52"/>
      <c r="V1783" s="34"/>
      <c r="W1783" s="408"/>
    </row>
    <row r="1784" spans="1:23" ht="12.75" customHeight="1" x14ac:dyDescent="0.2">
      <c r="A1784" s="257">
        <v>1767</v>
      </c>
      <c r="B1784" s="44">
        <v>44511</v>
      </c>
      <c r="C1784" s="44">
        <f t="shared" si="82"/>
        <v>44511</v>
      </c>
      <c r="D1784" s="374">
        <v>265</v>
      </c>
      <c r="E1784" s="291" t="str">
        <f>IFERROR(VLOOKUP($D1784,'Clients-Live'!$A:$C,3,0),"")</f>
        <v>OCATRE CHARLES</v>
      </c>
      <c r="F1784" s="291">
        <f>IFERROR(INDEX(Disbursements!$D:$D,MATCH('Live Collections'!G1784,Disbursements!$C:$C,0)),"")</f>
        <v>2</v>
      </c>
      <c r="G1784" s="34">
        <v>333</v>
      </c>
      <c r="H1784" s="34">
        <v>3132</v>
      </c>
      <c r="I1784" s="34" t="s">
        <v>1357</v>
      </c>
      <c r="J1784" s="48"/>
      <c r="K1784" s="48"/>
      <c r="L1784" s="48"/>
      <c r="M1784" s="48"/>
      <c r="N1784" s="59"/>
      <c r="O1784" s="59">
        <v>100000</v>
      </c>
      <c r="P1784" s="59"/>
      <c r="Q1784" s="268">
        <f t="shared" si="83"/>
        <v>100000</v>
      </c>
      <c r="R1784" s="61">
        <f>IF(O1784=0,0,SUMIFS(Disbursements!$T:$T,Disbursements!$B:$B,'Live Collections'!D1784,Disbursements!$D:$D,'Live Collections'!F1784))</f>
        <v>1150000</v>
      </c>
      <c r="S1784" s="304">
        <f>IF(O1784&lt;=IF($O1784=0,0,SUMIFS(Disbursements!$W:$W,Disbursements!$B:$B,'Live Collections'!D2923,Disbursements!$D:$D,'Live Collections'!F2923)),O1784,IF($O1784=0,0,SUMIFS(Disbursements!$W:$W,Disbursements!$B:$B,'Live Collections'!D2923,Disbursements!$D:$D,'Live Collections'!F2923)))</f>
        <v>41000</v>
      </c>
      <c r="T1784" s="304">
        <f t="shared" si="84"/>
        <v>59000</v>
      </c>
      <c r="U1784" s="52"/>
      <c r="V1784" s="34"/>
      <c r="W1784" s="408"/>
    </row>
    <row r="1785" spans="1:23" ht="12.75" customHeight="1" x14ac:dyDescent="0.2">
      <c r="A1785" s="257">
        <v>1774</v>
      </c>
      <c r="B1785" s="44">
        <v>44512</v>
      </c>
      <c r="C1785" s="44">
        <f t="shared" si="82"/>
        <v>44512</v>
      </c>
      <c r="D1785" s="374">
        <v>71</v>
      </c>
      <c r="E1785" s="291" t="str">
        <f>IFERROR(VLOOKUP($D1785,'Clients-Live'!$A:$C,3,0),"")</f>
        <v>AYIKORU HARIET BAUDI</v>
      </c>
      <c r="F1785" s="291" t="str">
        <f>IFERROR(INDEX(Disbursements!$D:$D,MATCH('Live Collections'!G1785,Disbursements!$C:$C,0)),"")</f>
        <v/>
      </c>
      <c r="G1785" s="34"/>
      <c r="H1785" s="34">
        <v>3340</v>
      </c>
      <c r="I1785" s="34" t="s">
        <v>1359</v>
      </c>
      <c r="J1785" s="48"/>
      <c r="K1785" s="48"/>
      <c r="L1785" s="48"/>
      <c r="M1785" s="48"/>
      <c r="N1785" s="59"/>
      <c r="O1785" s="59"/>
      <c r="P1785" s="59">
        <v>200000</v>
      </c>
      <c r="Q1785" s="268">
        <f t="shared" si="83"/>
        <v>200000</v>
      </c>
      <c r="R1785" s="61">
        <f>IF(O1785=0,0,SUMIFS(Disbursements!$T:$T,Disbursements!$B:$B,'Live Collections'!D1785,Disbursements!$D:$D,'Live Collections'!F1785))</f>
        <v>0</v>
      </c>
      <c r="S1785" s="304">
        <f>IF(O1785&lt;=IF($O1785=0,0,SUMIFS(Disbursements!$W:$W,Disbursements!$B:$B,'Live Collections'!D896,Disbursements!$D:$D,'Live Collections'!F896)),O1785,IF($O1785=0,0,SUMIFS(Disbursements!$W:$W,Disbursements!$B:$B,'Live Collections'!D896,Disbursements!$D:$D,'Live Collections'!F896)))</f>
        <v>0</v>
      </c>
      <c r="T1785" s="304">
        <f t="shared" si="84"/>
        <v>0</v>
      </c>
      <c r="U1785" s="52"/>
      <c r="V1785" s="34"/>
      <c r="W1785" s="408"/>
    </row>
    <row r="1786" spans="1:23" ht="12.75" customHeight="1" x14ac:dyDescent="0.2">
      <c r="A1786" s="257">
        <v>1775</v>
      </c>
      <c r="B1786" s="44">
        <v>44512</v>
      </c>
      <c r="C1786" s="44">
        <f t="shared" si="82"/>
        <v>44512</v>
      </c>
      <c r="D1786" s="374">
        <v>103</v>
      </c>
      <c r="E1786" s="291" t="str">
        <f>IFERROR(VLOOKUP($D1786,'Clients-Live'!$A:$C,3,0),"")</f>
        <v>CHANDIRU ZABIB</v>
      </c>
      <c r="F1786" s="291">
        <f>IFERROR(INDEX(Disbursements!$D:$D,MATCH('Live Collections'!G1786,Disbursements!$C:$C,0)),"")</f>
        <v>2</v>
      </c>
      <c r="G1786" s="34">
        <v>266</v>
      </c>
      <c r="H1786" s="34">
        <v>3337</v>
      </c>
      <c r="I1786" s="34" t="s">
        <v>1358</v>
      </c>
      <c r="J1786" s="48"/>
      <c r="K1786" s="48"/>
      <c r="L1786" s="48"/>
      <c r="M1786" s="48"/>
      <c r="N1786" s="59"/>
      <c r="O1786" s="59">
        <v>50000</v>
      </c>
      <c r="P1786" s="59"/>
      <c r="Q1786" s="268">
        <f t="shared" si="83"/>
        <v>50000</v>
      </c>
      <c r="R1786" s="61">
        <f>IF(O1786=0,0,SUMIFS(Disbursements!$T:$T,Disbursements!$B:$B,'Live Collections'!D1786,Disbursements!$D:$D,'Live Collections'!F1786))</f>
        <v>150000</v>
      </c>
      <c r="S1786" s="304">
        <f>IF(O1786&lt;=IF($O1786=0,0,SUMIFS(Disbursements!$W:$W,Disbursements!$B:$B,'Live Collections'!D1330,Disbursements!$D:$D,'Live Collections'!F1330)),O1786,IF($O1786=0,0,SUMIFS(Disbursements!$W:$W,Disbursements!$B:$B,'Live Collections'!D1330,Disbursements!$D:$D,'Live Collections'!F1330)))</f>
        <v>30000</v>
      </c>
      <c r="T1786" s="304">
        <f t="shared" si="84"/>
        <v>20000</v>
      </c>
      <c r="U1786" s="52"/>
      <c r="V1786" s="34"/>
      <c r="W1786" s="408"/>
    </row>
    <row r="1787" spans="1:23" ht="12.75" customHeight="1" x14ac:dyDescent="0.2">
      <c r="A1787" s="257">
        <v>1777</v>
      </c>
      <c r="B1787" s="44">
        <v>44512</v>
      </c>
      <c r="C1787" s="44">
        <f t="shared" si="82"/>
        <v>44512</v>
      </c>
      <c r="D1787" s="374">
        <v>156</v>
      </c>
      <c r="E1787" s="291" t="str">
        <f>IFERROR(VLOOKUP($D1787,'Clients-Live'!$A:$C,3,0),"")</f>
        <v xml:space="preserve">ONIBA AISHA </v>
      </c>
      <c r="F1787" s="291">
        <f>IFERROR(INDEX(Disbursements!$D:$D,MATCH('Live Collections'!G1787,Disbursements!$C:$C,0)),"")</f>
        <v>3</v>
      </c>
      <c r="G1787" s="34">
        <v>325</v>
      </c>
      <c r="H1787" s="34">
        <v>3335</v>
      </c>
      <c r="I1787" s="34" t="s">
        <v>1358</v>
      </c>
      <c r="J1787" s="48"/>
      <c r="K1787" s="48"/>
      <c r="L1787" s="48"/>
      <c r="M1787" s="48"/>
      <c r="N1787" s="59"/>
      <c r="O1787" s="59"/>
      <c r="P1787" s="59">
        <v>200000</v>
      </c>
      <c r="Q1787" s="268">
        <f t="shared" si="83"/>
        <v>200000</v>
      </c>
      <c r="R1787" s="61">
        <f>IF(O1787=0,0,SUMIFS(Disbursements!$T:$T,Disbursements!$B:$B,'Live Collections'!D1787,Disbursements!$D:$D,'Live Collections'!F1787))</f>
        <v>0</v>
      </c>
      <c r="S1787" s="304">
        <f>IF(O1787&lt;=IF($O1787=0,0,SUMIFS(Disbursements!$W:$W,Disbursements!$B:$B,'Live Collections'!D1951,Disbursements!$D:$D,'Live Collections'!F1951)),O1787,IF($O1787=0,0,SUMIFS(Disbursements!$W:$W,Disbursements!$B:$B,'Live Collections'!D1951,Disbursements!$D:$D,'Live Collections'!F1951)))</f>
        <v>0</v>
      </c>
      <c r="T1787" s="304">
        <f t="shared" si="84"/>
        <v>0</v>
      </c>
      <c r="U1787" s="52"/>
      <c r="V1787" s="34"/>
      <c r="W1787" s="408"/>
    </row>
    <row r="1788" spans="1:23" ht="12.75" customHeight="1" x14ac:dyDescent="0.2">
      <c r="A1788" s="257">
        <v>1779</v>
      </c>
      <c r="B1788" s="44">
        <v>44512</v>
      </c>
      <c r="C1788" s="44">
        <f t="shared" si="82"/>
        <v>44512</v>
      </c>
      <c r="D1788" s="374">
        <v>156</v>
      </c>
      <c r="E1788" s="291" t="str">
        <f>IFERROR(VLOOKUP($D1788,'Clients-Live'!$A:$C,3,0),"")</f>
        <v xml:space="preserve">ONIBA AISHA </v>
      </c>
      <c r="F1788" s="291">
        <f>IFERROR(INDEX(Disbursements!$D:$D,MATCH('Live Collections'!G1788,Disbursements!$C:$C,0)),"")</f>
        <v>2</v>
      </c>
      <c r="G1788" s="34">
        <v>216</v>
      </c>
      <c r="H1788" s="34">
        <v>3332</v>
      </c>
      <c r="I1788" s="34" t="s">
        <v>1358</v>
      </c>
      <c r="J1788" s="48"/>
      <c r="K1788" s="48"/>
      <c r="L1788" s="48"/>
      <c r="M1788" s="48"/>
      <c r="N1788" s="59"/>
      <c r="O1788" s="59">
        <v>80000</v>
      </c>
      <c r="P1788" s="59"/>
      <c r="Q1788" s="268">
        <f t="shared" si="83"/>
        <v>80000</v>
      </c>
      <c r="R1788" s="61">
        <f>IF(O1788=0,0,SUMIFS(Disbursements!$T:$T,Disbursements!$B:$B,'Live Collections'!D1788,Disbursements!$D:$D,'Live Collections'!F1788))</f>
        <v>200000</v>
      </c>
      <c r="S1788" s="304">
        <f>IF(O1788&lt;=IF($O1788=0,0,SUMIFS(Disbursements!$W:$W,Disbursements!$B:$B,'Live Collections'!D1952,Disbursements!$D:$D,'Live Collections'!F1952)),O1788,IF($O1788=0,0,SUMIFS(Disbursements!$W:$W,Disbursements!$B:$B,'Live Collections'!D1952,Disbursements!$D:$D,'Live Collections'!F1952)))</f>
        <v>0</v>
      </c>
      <c r="T1788" s="304">
        <f t="shared" si="84"/>
        <v>80000</v>
      </c>
      <c r="U1788" s="52"/>
      <c r="V1788" s="34"/>
      <c r="W1788" s="408"/>
    </row>
    <row r="1789" spans="1:23" ht="12.75" customHeight="1" x14ac:dyDescent="0.2">
      <c r="A1789" s="257">
        <v>1780</v>
      </c>
      <c r="B1789" s="44">
        <v>44512</v>
      </c>
      <c r="C1789" s="44">
        <f t="shared" si="82"/>
        <v>44512</v>
      </c>
      <c r="D1789" s="374">
        <v>156</v>
      </c>
      <c r="E1789" s="291" t="str">
        <f>IFERROR(VLOOKUP($D1789,'Clients-Live'!$A:$C,3,0),"")</f>
        <v xml:space="preserve">ONIBA AISHA </v>
      </c>
      <c r="F1789" s="291" t="str">
        <f>IFERROR(INDEX(Disbursements!$D:$D,MATCH('Live Collections'!G1789,Disbursements!$C:$C,0)),"")</f>
        <v/>
      </c>
      <c r="G1789" s="34"/>
      <c r="H1789" s="34">
        <v>392</v>
      </c>
      <c r="I1789" s="34" t="s">
        <v>1358</v>
      </c>
      <c r="J1789" s="48"/>
      <c r="K1789" s="48"/>
      <c r="L1789" s="48"/>
      <c r="M1789" s="48"/>
      <c r="N1789" s="59"/>
      <c r="O1789" s="59"/>
      <c r="P1789" s="59">
        <v>-80000</v>
      </c>
      <c r="Q1789" s="268">
        <f t="shared" si="83"/>
        <v>-80000</v>
      </c>
      <c r="R1789" s="61">
        <f>IF(O1789=0,0,SUMIFS(Disbursements!$T:$T,Disbursements!$B:$B,'Live Collections'!D1789,Disbursements!$D:$D,'Live Collections'!F1789))</f>
        <v>0</v>
      </c>
      <c r="S1789" s="304">
        <f>IF(O1789&lt;=IF($O1789=0,0,SUMIFS(Disbursements!$W:$W,Disbursements!$B:$B,'Live Collections'!D1953,Disbursements!$D:$D,'Live Collections'!F1953)),O1789,IF($O1789=0,0,SUMIFS(Disbursements!$W:$W,Disbursements!$B:$B,'Live Collections'!D1953,Disbursements!$D:$D,'Live Collections'!F1953)))</f>
        <v>0</v>
      </c>
      <c r="T1789" s="304">
        <f t="shared" si="84"/>
        <v>0</v>
      </c>
      <c r="U1789" s="52"/>
      <c r="V1789" s="34"/>
      <c r="W1789" s="408"/>
    </row>
    <row r="1790" spans="1:23" ht="12.75" customHeight="1" x14ac:dyDescent="0.2">
      <c r="A1790" s="257">
        <v>1781</v>
      </c>
      <c r="B1790" s="44">
        <v>44512</v>
      </c>
      <c r="C1790" s="44">
        <f t="shared" si="82"/>
        <v>44512</v>
      </c>
      <c r="D1790" s="374">
        <v>156</v>
      </c>
      <c r="E1790" s="291" t="str">
        <f>IFERROR(VLOOKUP($D1790,'Clients-Live'!$A:$C,3,0),"")</f>
        <v xml:space="preserve">ONIBA AISHA </v>
      </c>
      <c r="F1790" s="291" t="str">
        <f>IFERROR(INDEX(Disbursements!$D:$D,MATCH('Live Collections'!G1790,Disbursements!$C:$C,0)),"")</f>
        <v/>
      </c>
      <c r="G1790" s="34"/>
      <c r="H1790" s="34">
        <v>3333</v>
      </c>
      <c r="I1790" s="34" t="s">
        <v>1358</v>
      </c>
      <c r="J1790" s="48"/>
      <c r="K1790" s="48"/>
      <c r="L1790" s="48">
        <v>20000</v>
      </c>
      <c r="M1790" s="48">
        <v>5000</v>
      </c>
      <c r="N1790" s="59"/>
      <c r="O1790" s="59"/>
      <c r="P1790" s="59"/>
      <c r="Q1790" s="268">
        <f t="shared" si="83"/>
        <v>25000</v>
      </c>
      <c r="R1790" s="61">
        <f>IF(O1790=0,0,SUMIFS(Disbursements!$T:$T,Disbursements!$B:$B,'Live Collections'!D1790,Disbursements!$D:$D,'Live Collections'!F1790))</f>
        <v>0</v>
      </c>
      <c r="S1790" s="304">
        <f>IF(O1790&lt;=IF($O1790=0,0,SUMIFS(Disbursements!$W:$W,Disbursements!$B:$B,'Live Collections'!D1954,Disbursements!$D:$D,'Live Collections'!F1954)),O1790,IF($O1790=0,0,SUMIFS(Disbursements!$W:$W,Disbursements!$B:$B,'Live Collections'!D1954,Disbursements!$D:$D,'Live Collections'!F1954)))</f>
        <v>0</v>
      </c>
      <c r="T1790" s="304">
        <f t="shared" si="84"/>
        <v>0</v>
      </c>
      <c r="U1790" s="52"/>
      <c r="V1790" s="34"/>
      <c r="W1790" s="408"/>
    </row>
    <row r="1791" spans="1:23" ht="12.75" customHeight="1" x14ac:dyDescent="0.2">
      <c r="A1791" s="257">
        <v>1782</v>
      </c>
      <c r="B1791" s="44">
        <v>44512</v>
      </c>
      <c r="C1791" s="44">
        <f t="shared" si="82"/>
        <v>44512</v>
      </c>
      <c r="D1791" s="374">
        <v>156</v>
      </c>
      <c r="E1791" s="291" t="str">
        <f>IFERROR(VLOOKUP($D1791,'Clients-Live'!$A:$C,3,0),"")</f>
        <v xml:space="preserve">ONIBA AISHA </v>
      </c>
      <c r="F1791" s="291">
        <f>IFERROR(INDEX(Disbursements!$D:$D,MATCH('Live Collections'!G1791,Disbursements!$C:$C,0)),"")</f>
        <v>2</v>
      </c>
      <c r="G1791" s="34">
        <v>216</v>
      </c>
      <c r="H1791" s="34">
        <v>3331</v>
      </c>
      <c r="I1791" s="34" t="s">
        <v>1358</v>
      </c>
      <c r="J1791" s="48"/>
      <c r="K1791" s="48"/>
      <c r="L1791" s="48"/>
      <c r="M1791" s="48"/>
      <c r="N1791" s="59"/>
      <c r="O1791" s="59">
        <v>320000</v>
      </c>
      <c r="P1791" s="59"/>
      <c r="Q1791" s="268">
        <f t="shared" si="83"/>
        <v>320000</v>
      </c>
      <c r="R1791" s="61">
        <f>IF(O1791=0,0,SUMIFS(Disbursements!$T:$T,Disbursements!$B:$B,'Live Collections'!D1791,Disbursements!$D:$D,'Live Collections'!F1791))</f>
        <v>200000</v>
      </c>
      <c r="S1791" s="64">
        <v>185000</v>
      </c>
      <c r="T1791" s="304">
        <f t="shared" si="84"/>
        <v>135000</v>
      </c>
      <c r="U1791" s="52"/>
      <c r="V1791" s="34"/>
      <c r="W1791" s="408"/>
    </row>
    <row r="1792" spans="1:23" ht="12.75" customHeight="1" x14ac:dyDescent="0.2">
      <c r="A1792" s="257">
        <v>1943</v>
      </c>
      <c r="B1792" s="44">
        <v>44512</v>
      </c>
      <c r="C1792" s="44">
        <f t="shared" si="82"/>
        <v>44512</v>
      </c>
      <c r="D1792" s="374">
        <v>156</v>
      </c>
      <c r="E1792" s="291" t="str">
        <f>IFERROR(VLOOKUP($D1792,'Clients-Live'!$A:$C,3,0),"")</f>
        <v xml:space="preserve">ONIBA AISHA </v>
      </c>
      <c r="F1792" s="291">
        <f>IFERROR(INDEX(Disbursements!$D:$D,MATCH('Live Collections'!G1792,Disbursements!$C:$C,0)),"")</f>
        <v>3</v>
      </c>
      <c r="G1792" s="34">
        <v>325</v>
      </c>
      <c r="H1792" s="34">
        <v>439</v>
      </c>
      <c r="I1792" s="34" t="s">
        <v>1358</v>
      </c>
      <c r="J1792" s="48"/>
      <c r="K1792" s="48"/>
      <c r="L1792" s="48"/>
      <c r="M1792" s="48"/>
      <c r="N1792" s="59"/>
      <c r="O1792" s="59"/>
      <c r="P1792" s="59">
        <v>-200000</v>
      </c>
      <c r="Q1792" s="268">
        <f t="shared" si="83"/>
        <v>-200000</v>
      </c>
      <c r="R1792" s="61">
        <f>IF(O1792=0,0,SUMIFS(Disbursements!$T:$T,Disbursements!$B:$B,'Live Collections'!D1792,Disbursements!$D:$D,'Live Collections'!F1792))</f>
        <v>0</v>
      </c>
      <c r="S1792" s="304">
        <f>IF(O1792&lt;=IF($O1792=0,0,SUMIFS(Disbursements!$W:$W,Disbursements!$B:$B,'Live Collections'!D1956,Disbursements!$D:$D,'Live Collections'!F1956)),O1792,IF($O1792=0,0,SUMIFS(Disbursements!$W:$W,Disbursements!$B:$B,'Live Collections'!D1956,Disbursements!$D:$D,'Live Collections'!F1956)))</f>
        <v>0</v>
      </c>
      <c r="T1792" s="304">
        <f t="shared" si="84"/>
        <v>0</v>
      </c>
      <c r="U1792" s="52"/>
      <c r="V1792" s="34"/>
      <c r="W1792" s="408"/>
    </row>
    <row r="1793" spans="1:23" ht="12.75" customHeight="1" x14ac:dyDescent="0.2">
      <c r="A1793" s="257">
        <v>1776</v>
      </c>
      <c r="B1793" s="44">
        <v>44512</v>
      </c>
      <c r="C1793" s="44">
        <f t="shared" si="82"/>
        <v>44512</v>
      </c>
      <c r="D1793" s="374">
        <v>160</v>
      </c>
      <c r="E1793" s="291" t="str">
        <f>IFERROR(VLOOKUP($D1793,'Clients-Live'!$A:$C,3,0),"")</f>
        <v>CHANDI ZANABU</v>
      </c>
      <c r="F1793" s="291">
        <f>IFERROR(INDEX(Disbursements!$D:$D,MATCH('Live Collections'!G1793,Disbursements!$C:$C,0)),"")</f>
        <v>2</v>
      </c>
      <c r="G1793" s="34">
        <v>267</v>
      </c>
      <c r="H1793" s="34">
        <v>3338</v>
      </c>
      <c r="I1793" s="34" t="s">
        <v>1358</v>
      </c>
      <c r="J1793" s="48"/>
      <c r="K1793" s="48"/>
      <c r="L1793" s="48"/>
      <c r="M1793" s="48"/>
      <c r="N1793" s="59"/>
      <c r="O1793" s="59">
        <v>150000</v>
      </c>
      <c r="P1793" s="59"/>
      <c r="Q1793" s="268">
        <f t="shared" si="83"/>
        <v>150000</v>
      </c>
      <c r="R1793" s="61">
        <f>IF(O1793=0,0,SUMIFS(Disbursements!$T:$T,Disbursements!$B:$B,'Live Collections'!D1793,Disbursements!$D:$D,'Live Collections'!F1793))</f>
        <v>150000</v>
      </c>
      <c r="S1793" s="304">
        <v>100000</v>
      </c>
      <c r="T1793" s="304">
        <f t="shared" si="84"/>
        <v>50000</v>
      </c>
      <c r="U1793" s="52"/>
      <c r="V1793" s="34"/>
      <c r="W1793" s="408" t="s">
        <v>2093</v>
      </c>
    </row>
    <row r="1794" spans="1:23" ht="12.75" customHeight="1" x14ac:dyDescent="0.2">
      <c r="A1794" s="257">
        <v>1783</v>
      </c>
      <c r="B1794" s="44">
        <v>44512</v>
      </c>
      <c r="C1794" s="44">
        <f t="shared" si="82"/>
        <v>44512</v>
      </c>
      <c r="D1794" s="374">
        <v>191</v>
      </c>
      <c r="E1794" s="291" t="str">
        <f>IFERROR(VLOOKUP($D1794,'Clients-Live'!$A:$C,3,0),"")</f>
        <v>AYOZU JESCA TAIBO</v>
      </c>
      <c r="F1794" s="291">
        <f>IFERROR(INDEX(Disbursements!$D:$D,MATCH('Live Collections'!G1794,Disbursements!$C:$C,0)),"")</f>
        <v>1</v>
      </c>
      <c r="G1794" s="34">
        <v>210</v>
      </c>
      <c r="H1794" s="34">
        <v>3139</v>
      </c>
      <c r="I1794" s="34" t="s">
        <v>1357</v>
      </c>
      <c r="J1794" s="48"/>
      <c r="K1794" s="48"/>
      <c r="L1794" s="48"/>
      <c r="M1794" s="48"/>
      <c r="N1794" s="59">
        <v>1000</v>
      </c>
      <c r="O1794" s="59">
        <v>149000</v>
      </c>
      <c r="P1794" s="59"/>
      <c r="Q1794" s="268">
        <f t="shared" si="83"/>
        <v>150000</v>
      </c>
      <c r="R1794" s="61">
        <f>IF(O1794=0,0,SUMIFS(Disbursements!$T:$T,Disbursements!$B:$B,'Live Collections'!D1794,Disbursements!$D:$D,'Live Collections'!F1794))</f>
        <v>154000</v>
      </c>
      <c r="S1794" s="304">
        <f>IF(O1794&lt;=IF($O1794=0,0,SUMIFS(Disbursements!$W:$W,Disbursements!$B:$B,'Live Collections'!D2322,Disbursements!$D:$D,'Live Collections'!F2322)),O1794,IF($O1794=0,0,SUMIFS(Disbursements!$W:$W,Disbursements!$B:$B,'Live Collections'!D2322,Disbursements!$D:$D,'Live Collections'!F2322)))</f>
        <v>0</v>
      </c>
      <c r="T1794" s="304">
        <f t="shared" si="84"/>
        <v>149000</v>
      </c>
      <c r="U1794" s="52"/>
      <c r="V1794" s="34"/>
      <c r="W1794" s="408"/>
    </row>
    <row r="1795" spans="1:23" ht="12.75" customHeight="1" x14ac:dyDescent="0.2">
      <c r="A1795" s="257">
        <v>1778</v>
      </c>
      <c r="B1795" s="44">
        <v>44512</v>
      </c>
      <c r="C1795" s="44">
        <f t="shared" ref="C1795:C1858" si="85">B1795</f>
        <v>44512</v>
      </c>
      <c r="D1795" s="374">
        <v>212</v>
      </c>
      <c r="E1795" s="291" t="str">
        <f>IFERROR(VLOOKUP($D1795,'Clients-Live'!$A:$C,3,0),"")</f>
        <v>ACIDRI WILLIAM</v>
      </c>
      <c r="F1795" s="291">
        <f>IFERROR(INDEX(Disbursements!$D:$D,MATCH('Live Collections'!G1795,Disbursements!$C:$C,0)),"")</f>
        <v>1</v>
      </c>
      <c r="G1795" s="34">
        <v>206</v>
      </c>
      <c r="H1795" s="34">
        <v>3334</v>
      </c>
      <c r="I1795" s="34" t="s">
        <v>1358</v>
      </c>
      <c r="J1795" s="48"/>
      <c r="K1795" s="48"/>
      <c r="L1795" s="48"/>
      <c r="M1795" s="48"/>
      <c r="N1795" s="59"/>
      <c r="O1795" s="59">
        <v>265000</v>
      </c>
      <c r="P1795" s="59"/>
      <c r="Q1795" s="268">
        <f t="shared" ref="Q1795:Q1858" si="86">SUM(J1795:P1795)</f>
        <v>265000</v>
      </c>
      <c r="R1795" s="61">
        <f>IF(O1795=0,0,SUMIFS(Disbursements!$T:$T,Disbursements!$B:$B,'Live Collections'!D1795,Disbursements!$D:$D,'Live Collections'!F1795))</f>
        <v>266000</v>
      </c>
      <c r="S1795" s="64">
        <v>33000.000000000029</v>
      </c>
      <c r="T1795" s="304">
        <f t="shared" ref="T1795:T1858" si="87">IF(O1795=0,0,O1795-S1795)</f>
        <v>231999.99999999997</v>
      </c>
      <c r="U1795" s="52"/>
      <c r="V1795" s="34"/>
      <c r="W1795" s="408"/>
    </row>
    <row r="1796" spans="1:23" ht="12.75" customHeight="1" x14ac:dyDescent="0.2">
      <c r="A1796" s="257">
        <v>1784</v>
      </c>
      <c r="B1796" s="44">
        <v>44513</v>
      </c>
      <c r="C1796" s="44">
        <f t="shared" si="85"/>
        <v>44513</v>
      </c>
      <c r="D1796" s="374">
        <v>124</v>
      </c>
      <c r="E1796" s="291" t="str">
        <f>IFERROR(VLOOKUP($D1796,'Clients-Live'!$A:$C,3,0),"")</f>
        <v>TIKO ZABIBU</v>
      </c>
      <c r="F1796" s="291" t="str">
        <f>IFERROR(INDEX(Disbursements!$D:$D,MATCH('Live Collections'!G1796,Disbursements!$C:$C,0)),"")</f>
        <v/>
      </c>
      <c r="G1796" s="34"/>
      <c r="H1796" s="34">
        <v>397</v>
      </c>
      <c r="I1796" s="34" t="s">
        <v>1358</v>
      </c>
      <c r="J1796" s="48"/>
      <c r="K1796" s="48"/>
      <c r="L1796" s="48"/>
      <c r="M1796" s="48"/>
      <c r="N1796" s="59"/>
      <c r="O1796" s="59"/>
      <c r="P1796" s="59">
        <v>-70000</v>
      </c>
      <c r="Q1796" s="268">
        <f t="shared" si="86"/>
        <v>-70000</v>
      </c>
      <c r="R1796" s="61">
        <f>IF(O1796=0,0,SUMIFS(Disbursements!$T:$T,Disbursements!$B:$B,'Live Collections'!D1796,Disbursements!$D:$D,'Live Collections'!F1796))</f>
        <v>0</v>
      </c>
      <c r="S1796" s="304">
        <f>IF(O1796&lt;=IF($O1796=0,0,SUMIFS(Disbursements!$W:$W,Disbursements!$B:$B,'Live Collections'!D1577,Disbursements!$D:$D,'Live Collections'!F1577)),O1796,IF($O1796=0,0,SUMIFS(Disbursements!$W:$W,Disbursements!$B:$B,'Live Collections'!D1577,Disbursements!$D:$D,'Live Collections'!F1577)))</f>
        <v>0</v>
      </c>
      <c r="T1796" s="304">
        <f t="shared" si="87"/>
        <v>0</v>
      </c>
      <c r="U1796" s="52"/>
      <c r="V1796" s="34"/>
      <c r="W1796" s="408"/>
    </row>
    <row r="1797" spans="1:23" ht="12.75" customHeight="1" x14ac:dyDescent="0.2">
      <c r="A1797" s="257">
        <v>1785</v>
      </c>
      <c r="B1797" s="44">
        <v>44513</v>
      </c>
      <c r="C1797" s="44">
        <f t="shared" si="85"/>
        <v>44513</v>
      </c>
      <c r="D1797" s="374">
        <v>124</v>
      </c>
      <c r="E1797" s="291" t="str">
        <f>IFERROR(VLOOKUP($D1797,'Clients-Live'!$A:$C,3,0),"")</f>
        <v>TIKO ZABIBU</v>
      </c>
      <c r="F1797" s="291">
        <f>IFERROR(INDEX(Disbursements!$D:$D,MATCH('Live Collections'!G1797,Disbursements!$C:$C,0)),"")</f>
        <v>1</v>
      </c>
      <c r="G1797" s="34">
        <v>199</v>
      </c>
      <c r="H1797" s="34">
        <v>3343</v>
      </c>
      <c r="I1797" s="34" t="s">
        <v>1358</v>
      </c>
      <c r="J1797" s="48"/>
      <c r="K1797" s="48"/>
      <c r="L1797" s="48"/>
      <c r="M1797" s="48"/>
      <c r="N1797" s="59"/>
      <c r="O1797" s="59">
        <v>70000</v>
      </c>
      <c r="P1797" s="59"/>
      <c r="Q1797" s="268">
        <f t="shared" si="86"/>
        <v>70000</v>
      </c>
      <c r="R1797" s="61">
        <f>IF(O1797=0,0,SUMIFS(Disbursements!$T:$T,Disbursements!$B:$B,'Live Collections'!D1797,Disbursements!$D:$D,'Live Collections'!F1797))</f>
        <v>180000</v>
      </c>
      <c r="S1797" s="304">
        <f>IF(O1797&lt;=IF($O1797=0,0,SUMIFS(Disbursements!$W:$W,Disbursements!$B:$B,'Live Collections'!D1578,Disbursements!$D:$D,'Live Collections'!F1578)),O1797,IF($O1797=0,0,SUMIFS(Disbursements!$W:$W,Disbursements!$B:$B,'Live Collections'!D1578,Disbursements!$D:$D,'Live Collections'!F1578)))</f>
        <v>0</v>
      </c>
      <c r="T1797" s="304">
        <f t="shared" si="87"/>
        <v>70000</v>
      </c>
      <c r="U1797" s="52"/>
      <c r="V1797" s="34"/>
      <c r="W1797" s="408"/>
    </row>
    <row r="1798" spans="1:23" ht="12.75" customHeight="1" x14ac:dyDescent="0.2">
      <c r="A1798" s="257">
        <v>1787</v>
      </c>
      <c r="B1798" s="44">
        <v>44513</v>
      </c>
      <c r="C1798" s="44">
        <f t="shared" si="85"/>
        <v>44513</v>
      </c>
      <c r="D1798" s="374">
        <v>124</v>
      </c>
      <c r="E1798" s="291" t="str">
        <f>IFERROR(VLOOKUP($D1798,'Clients-Live'!$A:$C,3,0),"")</f>
        <v>TIKO ZABIBU</v>
      </c>
      <c r="F1798" s="291">
        <f>IFERROR(INDEX(Disbursements!$D:$D,MATCH('Live Collections'!G1798,Disbursements!$C:$C,0)),"")</f>
        <v>1</v>
      </c>
      <c r="G1798" s="34">
        <v>199</v>
      </c>
      <c r="H1798" s="34">
        <v>3342</v>
      </c>
      <c r="I1798" s="34" t="s">
        <v>1358</v>
      </c>
      <c r="J1798" s="48"/>
      <c r="K1798" s="48"/>
      <c r="L1798" s="48"/>
      <c r="M1798" s="48"/>
      <c r="N1798" s="59"/>
      <c r="O1798" s="59">
        <v>10000</v>
      </c>
      <c r="P1798" s="59"/>
      <c r="Q1798" s="268">
        <f t="shared" si="86"/>
        <v>10000</v>
      </c>
      <c r="R1798" s="61">
        <f>IF(O1798=0,0,SUMIFS(Disbursements!$T:$T,Disbursements!$B:$B,'Live Collections'!D1798,Disbursements!$D:$D,'Live Collections'!F1798))</f>
        <v>180000</v>
      </c>
      <c r="S1798" s="304"/>
      <c r="T1798" s="304">
        <f t="shared" si="87"/>
        <v>10000</v>
      </c>
      <c r="U1798" s="52"/>
      <c r="V1798" s="34"/>
      <c r="W1798" s="408"/>
    </row>
    <row r="1799" spans="1:23" ht="12.75" customHeight="1" x14ac:dyDescent="0.2">
      <c r="A1799" s="257">
        <v>1786</v>
      </c>
      <c r="B1799" s="44">
        <v>44513</v>
      </c>
      <c r="C1799" s="44">
        <f t="shared" si="85"/>
        <v>44513</v>
      </c>
      <c r="D1799" s="374">
        <v>131</v>
      </c>
      <c r="E1799" s="291" t="str">
        <f>IFERROR(VLOOKUP($D1799,'Clients-Live'!$A:$C,3,0),"")</f>
        <v>CANDIRU ZAKIA</v>
      </c>
      <c r="F1799" s="291" t="str">
        <f>IFERROR(INDEX(Disbursements!$D:$D,MATCH('Live Collections'!G1799,Disbursements!$C:$C,0)),"")</f>
        <v/>
      </c>
      <c r="G1799" s="34"/>
      <c r="H1799" s="34">
        <v>395</v>
      </c>
      <c r="I1799" s="34" t="s">
        <v>1357</v>
      </c>
      <c r="J1799" s="48"/>
      <c r="K1799" s="48"/>
      <c r="L1799" s="48"/>
      <c r="M1799" s="48"/>
      <c r="N1799" s="59"/>
      <c r="O1799" s="59"/>
      <c r="P1799" s="59">
        <v>-20000</v>
      </c>
      <c r="Q1799" s="268">
        <f t="shared" si="86"/>
        <v>-20000</v>
      </c>
      <c r="R1799" s="61">
        <f>IF(O1799=0,0,SUMIFS(Disbursements!$T:$T,Disbursements!$B:$B,'Live Collections'!D1799,Disbursements!$D:$D,'Live Collections'!F1799))</f>
        <v>0</v>
      </c>
      <c r="S1799" s="304">
        <f>IF(O1799&lt;=IF($O1799=0,0,SUMIFS(Disbursements!$W:$W,Disbursements!$B:$B,'Live Collections'!D1660,Disbursements!$D:$D,'Live Collections'!F1660)),O1799,IF($O1799=0,0,SUMIFS(Disbursements!$W:$W,Disbursements!$B:$B,'Live Collections'!D1660,Disbursements!$D:$D,'Live Collections'!F1660)))</f>
        <v>0</v>
      </c>
      <c r="T1799" s="304">
        <f t="shared" si="87"/>
        <v>0</v>
      </c>
      <c r="U1799" s="52"/>
      <c r="V1799" s="34"/>
      <c r="W1799" s="408"/>
    </row>
    <row r="1800" spans="1:23" ht="12.75" customHeight="1" x14ac:dyDescent="0.2">
      <c r="A1800" s="257">
        <v>1788</v>
      </c>
      <c r="B1800" s="44">
        <v>44513</v>
      </c>
      <c r="C1800" s="44">
        <f t="shared" si="85"/>
        <v>44513</v>
      </c>
      <c r="D1800" s="374">
        <v>191</v>
      </c>
      <c r="E1800" s="291" t="str">
        <f>IFERROR(VLOOKUP($D1800,'Clients-Live'!$A:$C,3,0),"")</f>
        <v>AYOZU JESCA TAIBO</v>
      </c>
      <c r="F1800" s="291">
        <f>IFERROR(INDEX(Disbursements!$D:$D,MATCH('Live Collections'!G1800,Disbursements!$C:$C,0)),"")</f>
        <v>1</v>
      </c>
      <c r="G1800" s="34">
        <v>210</v>
      </c>
      <c r="H1800" s="34">
        <v>3341</v>
      </c>
      <c r="I1800" s="34" t="s">
        <v>1357</v>
      </c>
      <c r="J1800" s="48"/>
      <c r="K1800" s="48"/>
      <c r="L1800" s="48">
        <v>10000</v>
      </c>
      <c r="M1800" s="48">
        <v>5000</v>
      </c>
      <c r="N1800" s="59"/>
      <c r="O1800" s="59"/>
      <c r="P1800" s="59"/>
      <c r="Q1800" s="268">
        <f t="shared" si="86"/>
        <v>15000</v>
      </c>
      <c r="R1800" s="61">
        <f>IF(O1800=0,0,SUMIFS(Disbursements!$T:$T,Disbursements!$B:$B,'Live Collections'!D1800,Disbursements!$D:$D,'Live Collections'!F1800))</f>
        <v>0</v>
      </c>
      <c r="S1800" s="304">
        <f>IF(O1800&lt;=IF($O1800=0,0,SUMIFS(Disbursements!$W:$W,Disbursements!$B:$B,'Live Collections'!D2323,Disbursements!$D:$D,'Live Collections'!F2323)),O1800,IF($O1800=0,0,SUMIFS(Disbursements!$W:$W,Disbursements!$B:$B,'Live Collections'!D2323,Disbursements!$D:$D,'Live Collections'!F2323)))</f>
        <v>0</v>
      </c>
      <c r="T1800" s="304">
        <f t="shared" si="87"/>
        <v>0</v>
      </c>
      <c r="U1800" s="52"/>
      <c r="V1800" s="34"/>
      <c r="W1800" s="408"/>
    </row>
    <row r="1801" spans="1:23" ht="12.75" customHeight="1" x14ac:dyDescent="0.2">
      <c r="A1801" s="257">
        <v>1791</v>
      </c>
      <c r="B1801" s="44">
        <v>44515</v>
      </c>
      <c r="C1801" s="44">
        <f t="shared" si="85"/>
        <v>44515</v>
      </c>
      <c r="D1801" s="374">
        <v>79</v>
      </c>
      <c r="E1801" s="291" t="str">
        <f>IFERROR(VLOOKUP($D1801,'Clients-Live'!$A:$C,3,0),"")</f>
        <v>PASI SENYA</v>
      </c>
      <c r="F1801" s="291" t="str">
        <f>IFERROR(INDEX(Disbursements!$D:$D,MATCH('Live Collections'!G1801,Disbursements!$C:$C,0)),"")</f>
        <v/>
      </c>
      <c r="G1801" s="34"/>
      <c r="H1801" s="34">
        <v>405</v>
      </c>
      <c r="I1801" s="34" t="s">
        <v>1358</v>
      </c>
      <c r="J1801" s="48"/>
      <c r="K1801" s="48"/>
      <c r="L1801" s="48"/>
      <c r="M1801" s="48"/>
      <c r="N1801" s="59"/>
      <c r="O1801" s="59"/>
      <c r="P1801" s="59">
        <v>-100000</v>
      </c>
      <c r="Q1801" s="268">
        <f t="shared" si="86"/>
        <v>-100000</v>
      </c>
      <c r="R1801" s="61">
        <f>IF(O1801=0,0,SUMIFS(Disbursements!$T:$T,Disbursements!$B:$B,'Live Collections'!D1801,Disbursements!$D:$D,'Live Collections'!F1801))</f>
        <v>0</v>
      </c>
      <c r="S1801" s="304">
        <f>IF(O1801&lt;=IF($O1801=0,0,SUMIFS(Disbursements!$W:$W,Disbursements!$B:$B,'Live Collections'!D1029,Disbursements!$D:$D,'Live Collections'!F1029)),O1801,IF($O1801=0,0,SUMIFS(Disbursements!$W:$W,Disbursements!$B:$B,'Live Collections'!D1029,Disbursements!$D:$D,'Live Collections'!F1029)))</f>
        <v>0</v>
      </c>
      <c r="T1801" s="304">
        <f t="shared" si="87"/>
        <v>0</v>
      </c>
      <c r="U1801" s="52"/>
      <c r="V1801" s="34"/>
      <c r="W1801" s="408" t="s">
        <v>2108</v>
      </c>
    </row>
    <row r="1802" spans="1:23" ht="12.75" customHeight="1" x14ac:dyDescent="0.2">
      <c r="A1802" s="257">
        <v>1792</v>
      </c>
      <c r="B1802" s="44">
        <v>44515</v>
      </c>
      <c r="C1802" s="44">
        <f t="shared" si="85"/>
        <v>44515</v>
      </c>
      <c r="D1802" s="374">
        <v>79</v>
      </c>
      <c r="E1802" s="291" t="str">
        <f>IFERROR(VLOOKUP($D1802,'Clients-Live'!$A:$C,3,0),"")</f>
        <v>PASI SENYA</v>
      </c>
      <c r="F1802" s="291">
        <f>IFERROR(INDEX(Disbursements!$D:$D,MATCH('Live Collections'!G1802,Disbursements!$C:$C,0)),"")</f>
        <v>1</v>
      </c>
      <c r="G1802" s="34">
        <v>64</v>
      </c>
      <c r="H1802" s="34">
        <v>3144</v>
      </c>
      <c r="I1802" s="34" t="s">
        <v>1358</v>
      </c>
      <c r="J1802" s="48"/>
      <c r="K1802" s="48"/>
      <c r="L1802" s="48"/>
      <c r="M1802" s="48"/>
      <c r="N1802" s="59"/>
      <c r="O1802" s="59">
        <v>100000</v>
      </c>
      <c r="P1802" s="59"/>
      <c r="Q1802" s="268">
        <f t="shared" si="86"/>
        <v>100000</v>
      </c>
      <c r="R1802" s="61">
        <f>IF(O1802=0,0,SUMIFS(Disbursements!$T:$T,Disbursements!$B:$B,'Live Collections'!D1802,Disbursements!$D:$D,'Live Collections'!F1802))</f>
        <v>63000</v>
      </c>
      <c r="S1802" s="304"/>
      <c r="T1802" s="304">
        <f t="shared" si="87"/>
        <v>100000</v>
      </c>
      <c r="U1802" s="52"/>
      <c r="V1802" s="34"/>
      <c r="W1802" s="408"/>
    </row>
    <row r="1803" spans="1:23" ht="12.75" customHeight="1" x14ac:dyDescent="0.2">
      <c r="A1803" s="257">
        <v>1793</v>
      </c>
      <c r="B1803" s="44">
        <v>44515</v>
      </c>
      <c r="C1803" s="44">
        <f t="shared" si="85"/>
        <v>44515</v>
      </c>
      <c r="D1803" s="374">
        <v>91</v>
      </c>
      <c r="E1803" s="291" t="str">
        <f>IFERROR(VLOOKUP($D1803,'Clients-Live'!$A:$C,3,0),"")</f>
        <v>CHANDIRU SALILA</v>
      </c>
      <c r="F1803" s="291">
        <v>2</v>
      </c>
      <c r="G1803" s="34">
        <v>327</v>
      </c>
      <c r="H1803" s="34">
        <v>3141</v>
      </c>
      <c r="I1803" s="34" t="s">
        <v>1359</v>
      </c>
      <c r="J1803" s="48"/>
      <c r="K1803" s="48"/>
      <c r="L1803" s="48"/>
      <c r="M1803" s="48"/>
      <c r="N1803" s="59"/>
      <c r="O1803" s="59"/>
      <c r="P1803" s="59">
        <v>20000</v>
      </c>
      <c r="Q1803" s="268">
        <f t="shared" si="86"/>
        <v>20000</v>
      </c>
      <c r="R1803" s="61">
        <f>IF(O1803=0,0,SUMIFS(Disbursements!$T:$T,Disbursements!$B:$B,'Live Collections'!D1803,Disbursements!$D:$D,'Live Collections'!F1803))</f>
        <v>0</v>
      </c>
      <c r="S1803" s="304">
        <f>IF(O1803&lt;=IF($O1803=0,0,SUMIFS(Disbursements!$W:$W,Disbursements!$B:$B,'Live Collections'!D1189,Disbursements!$D:$D,'Live Collections'!F1189)),O1803,IF($O1803=0,0,SUMIFS(Disbursements!$W:$W,Disbursements!$B:$B,'Live Collections'!D1189,Disbursements!$D:$D,'Live Collections'!F1189)))</f>
        <v>0</v>
      </c>
      <c r="T1803" s="304">
        <f t="shared" si="87"/>
        <v>0</v>
      </c>
      <c r="U1803" s="52"/>
      <c r="V1803" s="34"/>
      <c r="W1803" s="408"/>
    </row>
    <row r="1804" spans="1:23" ht="12.75" customHeight="1" x14ac:dyDescent="0.2">
      <c r="A1804" s="257">
        <v>1796</v>
      </c>
      <c r="B1804" s="44">
        <v>44515</v>
      </c>
      <c r="C1804" s="44">
        <f t="shared" si="85"/>
        <v>44515</v>
      </c>
      <c r="D1804" s="374">
        <v>103</v>
      </c>
      <c r="E1804" s="291" t="str">
        <f>IFERROR(VLOOKUP($D1804,'Clients-Live'!$A:$C,3,0),"")</f>
        <v>CHANDIRU ZABIB</v>
      </c>
      <c r="F1804" s="291">
        <f>IFERROR(INDEX(Disbursements!$D:$D,MATCH('Live Collections'!G1804,Disbursements!$C:$C,0)),"")</f>
        <v>2</v>
      </c>
      <c r="G1804" s="34">
        <v>266</v>
      </c>
      <c r="H1804" s="34">
        <v>3383</v>
      </c>
      <c r="I1804" s="34" t="s">
        <v>1358</v>
      </c>
      <c r="J1804" s="48"/>
      <c r="K1804" s="48"/>
      <c r="L1804" s="48"/>
      <c r="M1804" s="48"/>
      <c r="N1804" s="59"/>
      <c r="O1804" s="59">
        <v>50000</v>
      </c>
      <c r="P1804" s="59"/>
      <c r="Q1804" s="268">
        <f t="shared" si="86"/>
        <v>50000</v>
      </c>
      <c r="R1804" s="61">
        <f>IF(O1804=0,0,SUMIFS(Disbursements!$T:$T,Disbursements!$B:$B,'Live Collections'!D1804,Disbursements!$D:$D,'Live Collections'!F1804))</f>
        <v>150000</v>
      </c>
      <c r="S1804" s="304">
        <f>IF(O1804&lt;=IF($O1804=0,0,SUMIFS(Disbursements!$W:$W,Disbursements!$B:$B,'Live Collections'!D1331,Disbursements!$D:$D,'Live Collections'!F1331)),O1804,IF($O1804=0,0,SUMIFS(Disbursements!$W:$W,Disbursements!$B:$B,'Live Collections'!D1331,Disbursements!$D:$D,'Live Collections'!F1331)))</f>
        <v>20000</v>
      </c>
      <c r="T1804" s="304">
        <f t="shared" si="87"/>
        <v>30000</v>
      </c>
      <c r="U1804" s="52"/>
      <c r="V1804" s="34"/>
      <c r="W1804" s="408"/>
    </row>
    <row r="1805" spans="1:23" ht="12.75" customHeight="1" x14ac:dyDescent="0.2">
      <c r="A1805" s="257">
        <v>1797</v>
      </c>
      <c r="B1805" s="44">
        <v>44515</v>
      </c>
      <c r="C1805" s="44">
        <f t="shared" si="85"/>
        <v>44515</v>
      </c>
      <c r="D1805" s="374">
        <v>116</v>
      </c>
      <c r="E1805" s="291" t="str">
        <f>IFERROR(VLOOKUP($D1805,'Clients-Live'!$A:$C,3,0),"")</f>
        <v>ONZIA LUCY</v>
      </c>
      <c r="F1805" s="291">
        <f>IFERROR(INDEX(Disbursements!$D:$D,MATCH('Live Collections'!G1805,Disbursements!$C:$C,0)),"")</f>
        <v>2</v>
      </c>
      <c r="G1805" s="34">
        <v>229</v>
      </c>
      <c r="H1805" s="34">
        <v>3349</v>
      </c>
      <c r="I1805" s="34" t="s">
        <v>1357</v>
      </c>
      <c r="J1805" s="48"/>
      <c r="K1805" s="48"/>
      <c r="L1805" s="48"/>
      <c r="M1805" s="48"/>
      <c r="N1805" s="59"/>
      <c r="O1805" s="59">
        <v>65000</v>
      </c>
      <c r="P1805" s="59"/>
      <c r="Q1805" s="268">
        <f t="shared" si="86"/>
        <v>65000</v>
      </c>
      <c r="R1805" s="61">
        <f>IF(O1805=0,0,SUMIFS(Disbursements!$T:$T,Disbursements!$B:$B,'Live Collections'!D1805,Disbursements!$D:$D,'Live Collections'!F1805))</f>
        <v>29000</v>
      </c>
      <c r="S1805" s="304">
        <f>IF(O1805&lt;=IF($O1805=0,0,SUMIFS(Disbursements!$W:$W,Disbursements!$B:$B,'Live Collections'!D1505,Disbursements!$D:$D,'Live Collections'!F1505)),O1805,IF($O1805=0,0,SUMIFS(Disbursements!$W:$W,Disbursements!$B:$B,'Live Collections'!D1505,Disbursements!$D:$D,'Live Collections'!F1505)))</f>
        <v>0</v>
      </c>
      <c r="T1805" s="304">
        <f t="shared" si="87"/>
        <v>65000</v>
      </c>
      <c r="U1805" s="52"/>
      <c r="V1805" s="34"/>
      <c r="W1805" s="408"/>
    </row>
    <row r="1806" spans="1:23" ht="12.75" customHeight="1" x14ac:dyDescent="0.2">
      <c r="A1806" s="257">
        <v>1802</v>
      </c>
      <c r="B1806" s="44">
        <v>44515</v>
      </c>
      <c r="C1806" s="44">
        <f t="shared" si="85"/>
        <v>44515</v>
      </c>
      <c r="D1806" s="374">
        <v>169</v>
      </c>
      <c r="E1806" s="291" t="str">
        <f>IFERROR(VLOOKUP($D1806,'Clients-Live'!$A:$C,3,0),"")</f>
        <v>KATO KENNEDY</v>
      </c>
      <c r="F1806" s="291">
        <f>IFERROR(INDEX(Disbursements!$D:$D,MATCH('Live Collections'!G1806,Disbursements!$C:$C,0)),"")</f>
        <v>1</v>
      </c>
      <c r="G1806" s="34">
        <v>176</v>
      </c>
      <c r="H1806" s="34">
        <v>3344</v>
      </c>
      <c r="I1806" s="34" t="s">
        <v>1357</v>
      </c>
      <c r="J1806" s="48"/>
      <c r="K1806" s="48"/>
      <c r="L1806" s="48"/>
      <c r="M1806" s="48"/>
      <c r="N1806" s="59"/>
      <c r="O1806" s="59">
        <v>120000</v>
      </c>
      <c r="P1806" s="59"/>
      <c r="Q1806" s="268">
        <f t="shared" si="86"/>
        <v>120000</v>
      </c>
      <c r="R1806" s="61">
        <f>IF(O1806=0,0,SUMIFS(Disbursements!$T:$T,Disbursements!$B:$B,'Live Collections'!D1806,Disbursements!$D:$D,'Live Collections'!F1806))</f>
        <v>109000</v>
      </c>
      <c r="S1806" s="304">
        <f>IF(O1806&lt;=IF($O1806=0,0,SUMIFS(Disbursements!$W:$W,Disbursements!$B:$B,'Live Collections'!D2090,Disbursements!$D:$D,'Live Collections'!F2090)),O1806,IF($O1806=0,0,SUMIFS(Disbursements!$W:$W,Disbursements!$B:$B,'Live Collections'!D2090,Disbursements!$D:$D,'Live Collections'!F2090)))</f>
        <v>30000</v>
      </c>
      <c r="T1806" s="304">
        <f t="shared" si="87"/>
        <v>90000</v>
      </c>
      <c r="U1806" s="52"/>
      <c r="V1806" s="34"/>
      <c r="W1806" s="408"/>
    </row>
    <row r="1807" spans="1:23" ht="12.75" customHeight="1" x14ac:dyDescent="0.2">
      <c r="A1807" s="257">
        <v>1789</v>
      </c>
      <c r="B1807" s="44">
        <v>44515</v>
      </c>
      <c r="C1807" s="44">
        <f t="shared" si="85"/>
        <v>44515</v>
      </c>
      <c r="D1807" s="374">
        <v>202</v>
      </c>
      <c r="E1807" s="291" t="str">
        <f>IFERROR(VLOOKUP($D1807,'Clients-Live'!$A:$C,3,0),"")</f>
        <v>MUSEMA SWAIBU</v>
      </c>
      <c r="F1807" s="291" t="str">
        <f>IFERROR(INDEX(Disbursements!$D:$D,MATCH('Live Collections'!G1807,Disbursements!$C:$C,0)),"")</f>
        <v/>
      </c>
      <c r="G1807" s="34"/>
      <c r="H1807" s="34">
        <v>403</v>
      </c>
      <c r="I1807" s="34" t="s">
        <v>1358</v>
      </c>
      <c r="J1807" s="48"/>
      <c r="K1807" s="48"/>
      <c r="L1807" s="48"/>
      <c r="M1807" s="48"/>
      <c r="N1807" s="59"/>
      <c r="O1807" s="59"/>
      <c r="P1807" s="59">
        <v>-150000</v>
      </c>
      <c r="Q1807" s="268">
        <f t="shared" si="86"/>
        <v>-150000</v>
      </c>
      <c r="R1807" s="61">
        <f>IF(O1807=0,0,SUMIFS(Disbursements!$T:$T,Disbursements!$B:$B,'Live Collections'!D1807,Disbursements!$D:$D,'Live Collections'!F1807))</f>
        <v>0</v>
      </c>
      <c r="S1807" s="304">
        <f>IF(O1807&lt;=IF($O1807=0,0,SUMIFS(Disbursements!$W:$W,Disbursements!$B:$B,'Live Collections'!D2410,Disbursements!$D:$D,'Live Collections'!F2410)),O1807,IF($O1807=0,0,SUMIFS(Disbursements!$W:$W,Disbursements!$B:$B,'Live Collections'!D2410,Disbursements!$D:$D,'Live Collections'!F2410)))</f>
        <v>0</v>
      </c>
      <c r="T1807" s="304">
        <f t="shared" si="87"/>
        <v>0</v>
      </c>
      <c r="U1807" s="52"/>
      <c r="V1807" s="34"/>
      <c r="W1807" s="408"/>
    </row>
    <row r="1808" spans="1:23" ht="12.75" customHeight="1" x14ac:dyDescent="0.2">
      <c r="A1808" s="257">
        <v>1790</v>
      </c>
      <c r="B1808" s="44">
        <v>44515</v>
      </c>
      <c r="C1808" s="44">
        <f t="shared" si="85"/>
        <v>44515</v>
      </c>
      <c r="D1808" s="374">
        <v>202</v>
      </c>
      <c r="E1808" s="291" t="str">
        <f>IFERROR(VLOOKUP($D1808,'Clients-Live'!$A:$C,3,0),"")</f>
        <v>MUSEMA SWAIBU</v>
      </c>
      <c r="F1808" s="291">
        <f>IFERROR(INDEX(Disbursements!$D:$D,MATCH('Live Collections'!G1808,Disbursements!$C:$C,0)),"")</f>
        <v>1</v>
      </c>
      <c r="G1808" s="34">
        <v>197</v>
      </c>
      <c r="H1808" s="34">
        <v>3386</v>
      </c>
      <c r="I1808" s="34" t="s">
        <v>1358</v>
      </c>
      <c r="J1808" s="48"/>
      <c r="K1808" s="48"/>
      <c r="L1808" s="48"/>
      <c r="M1808" s="48"/>
      <c r="N1808" s="59"/>
      <c r="O1808" s="59">
        <v>150000</v>
      </c>
      <c r="P1808" s="59"/>
      <c r="Q1808" s="268">
        <f t="shared" si="86"/>
        <v>150000</v>
      </c>
      <c r="R1808" s="61">
        <f>IF(O1808=0,0,SUMIFS(Disbursements!$T:$T,Disbursements!$B:$B,'Live Collections'!D1808,Disbursements!$D:$D,'Live Collections'!F1808))</f>
        <v>144000</v>
      </c>
      <c r="S1808" s="304"/>
      <c r="T1808" s="304">
        <f t="shared" si="87"/>
        <v>150000</v>
      </c>
      <c r="U1808" s="52"/>
      <c r="V1808" s="34"/>
      <c r="W1808" s="408"/>
    </row>
    <row r="1809" spans="1:23" ht="12.75" customHeight="1" x14ac:dyDescent="0.2">
      <c r="A1809" s="257">
        <v>1794</v>
      </c>
      <c r="B1809" s="44">
        <v>44515</v>
      </c>
      <c r="C1809" s="44">
        <f t="shared" si="85"/>
        <v>44515</v>
      </c>
      <c r="D1809" s="374">
        <v>202</v>
      </c>
      <c r="E1809" s="291" t="str">
        <f>IFERROR(VLOOKUP($D1809,'Clients-Live'!$A:$C,3,0),"")</f>
        <v>MUSEMA SWAIBU</v>
      </c>
      <c r="F1809" s="291">
        <f>IFERROR(INDEX(Disbursements!$D:$D,MATCH('Live Collections'!G1809,Disbursements!$C:$C,0)),"")</f>
        <v>1</v>
      </c>
      <c r="G1809" s="34">
        <v>197</v>
      </c>
      <c r="H1809" s="34">
        <v>3385</v>
      </c>
      <c r="I1809" s="34" t="s">
        <v>1358</v>
      </c>
      <c r="J1809" s="48"/>
      <c r="K1809" s="48"/>
      <c r="L1809" s="48"/>
      <c r="M1809" s="48"/>
      <c r="N1809" s="59"/>
      <c r="O1809" s="59">
        <v>225000</v>
      </c>
      <c r="P1809" s="59"/>
      <c r="Q1809" s="268">
        <f t="shared" si="86"/>
        <v>225000</v>
      </c>
      <c r="R1809" s="61">
        <f>IF(O1809=0,0,SUMIFS(Disbursements!$T:$T,Disbursements!$B:$B,'Live Collections'!D1809,Disbursements!$D:$D,'Live Collections'!F1809))</f>
        <v>144000</v>
      </c>
      <c r="S1809" s="304"/>
      <c r="T1809" s="304">
        <f t="shared" si="87"/>
        <v>225000</v>
      </c>
      <c r="U1809" s="52"/>
      <c r="V1809" s="34"/>
      <c r="W1809" s="408"/>
    </row>
    <row r="1810" spans="1:23" ht="12.75" customHeight="1" x14ac:dyDescent="0.2">
      <c r="A1810" s="257">
        <v>1795</v>
      </c>
      <c r="B1810" s="44">
        <v>44515</v>
      </c>
      <c r="C1810" s="44">
        <f t="shared" si="85"/>
        <v>44515</v>
      </c>
      <c r="D1810" s="374">
        <v>213</v>
      </c>
      <c r="E1810" s="291" t="str">
        <f>IFERROR(VLOOKUP($D1810,'Clients-Live'!$A:$C,3,0),"")</f>
        <v>ATIKURU NADIA</v>
      </c>
      <c r="F1810" s="291">
        <f>IFERROR(INDEX(Disbursements!$D:$D,MATCH('Live Collections'!G1810,Disbursements!$C:$C,0)),"")</f>
        <v>1</v>
      </c>
      <c r="G1810" s="34">
        <v>208</v>
      </c>
      <c r="H1810" s="34">
        <v>3384</v>
      </c>
      <c r="I1810" s="34" t="s">
        <v>1358</v>
      </c>
      <c r="J1810" s="48"/>
      <c r="K1810" s="48"/>
      <c r="L1810" s="48"/>
      <c r="M1810" s="48"/>
      <c r="N1810" s="59"/>
      <c r="O1810" s="59">
        <v>80000</v>
      </c>
      <c r="P1810" s="59"/>
      <c r="Q1810" s="268">
        <f t="shared" si="86"/>
        <v>80000</v>
      </c>
      <c r="R1810" s="61">
        <f>IF(O1810=0,0,SUMIFS(Disbursements!$T:$T,Disbursements!$B:$B,'Live Collections'!D1810,Disbursements!$D:$D,'Live Collections'!F1810))</f>
        <v>150000</v>
      </c>
      <c r="S1810" s="304"/>
      <c r="T1810" s="304">
        <f t="shared" si="87"/>
        <v>80000</v>
      </c>
      <c r="U1810" s="52"/>
      <c r="V1810" s="34"/>
      <c r="W1810" s="408"/>
    </row>
    <row r="1811" spans="1:23" ht="12.75" customHeight="1" x14ac:dyDescent="0.2">
      <c r="A1811" s="257">
        <v>1798</v>
      </c>
      <c r="B1811" s="44">
        <v>44515</v>
      </c>
      <c r="C1811" s="44">
        <f t="shared" si="85"/>
        <v>44515</v>
      </c>
      <c r="D1811" s="374">
        <v>217</v>
      </c>
      <c r="E1811" s="291" t="str">
        <f>IFERROR(VLOOKUP($D1811,'Clients-Live'!$A:$C,3,0),"")</f>
        <v>JAMBA MOSES</v>
      </c>
      <c r="F1811" s="291">
        <f>IFERROR(INDEX(Disbursements!$D:$D,MATCH('Live Collections'!G1811,Disbursements!$C:$C,0)),"")</f>
        <v>1</v>
      </c>
      <c r="G1811" s="34">
        <v>217</v>
      </c>
      <c r="H1811" s="34">
        <v>3348</v>
      </c>
      <c r="I1811" s="34" t="s">
        <v>1357</v>
      </c>
      <c r="J1811" s="48"/>
      <c r="K1811" s="48"/>
      <c r="L1811" s="48"/>
      <c r="M1811" s="48"/>
      <c r="N1811" s="59"/>
      <c r="O1811" s="59">
        <v>30000</v>
      </c>
      <c r="P1811" s="59"/>
      <c r="Q1811" s="268">
        <f t="shared" si="86"/>
        <v>30000</v>
      </c>
      <c r="R1811" s="61">
        <f>IF(O1811=0,0,SUMIFS(Disbursements!$T:$T,Disbursements!$B:$B,'Live Collections'!D1811,Disbursements!$D:$D,'Live Collections'!F1811))</f>
        <v>165000</v>
      </c>
      <c r="S1811" s="304"/>
      <c r="T1811" s="304">
        <f t="shared" si="87"/>
        <v>30000</v>
      </c>
      <c r="U1811" s="52"/>
      <c r="V1811" s="34"/>
      <c r="W1811" s="408"/>
    </row>
    <row r="1812" spans="1:23" ht="12.75" customHeight="1" x14ac:dyDescent="0.2">
      <c r="A1812" s="257">
        <v>1799</v>
      </c>
      <c r="B1812" s="44">
        <v>44515</v>
      </c>
      <c r="C1812" s="44">
        <f t="shared" si="85"/>
        <v>44515</v>
      </c>
      <c r="D1812" s="374">
        <v>217</v>
      </c>
      <c r="E1812" s="291" t="str">
        <f>IFERROR(VLOOKUP($D1812,'Clients-Live'!$A:$C,3,0),"")</f>
        <v>JAMBA MOSES</v>
      </c>
      <c r="F1812" s="291" t="str">
        <f>IFERROR(INDEX(Disbursements!$D:$D,MATCH('Live Collections'!G1812,Disbursements!$C:$C,0)),"")</f>
        <v/>
      </c>
      <c r="G1812" s="34"/>
      <c r="H1812" s="34">
        <v>402</v>
      </c>
      <c r="I1812" s="34" t="s">
        <v>1357</v>
      </c>
      <c r="J1812" s="48"/>
      <c r="K1812" s="48"/>
      <c r="L1812" s="48"/>
      <c r="M1812" s="48"/>
      <c r="N1812" s="59"/>
      <c r="O1812" s="59"/>
      <c r="P1812" s="59">
        <v>-30000</v>
      </c>
      <c r="Q1812" s="268">
        <f t="shared" si="86"/>
        <v>-30000</v>
      </c>
      <c r="R1812" s="61">
        <f>IF(O1812=0,0,SUMIFS(Disbursements!$T:$T,Disbursements!$B:$B,'Live Collections'!D1812,Disbursements!$D:$D,'Live Collections'!F1812))</f>
        <v>0</v>
      </c>
      <c r="S1812" s="304">
        <f>IF(O1812&lt;=IF($O1812=0,0,SUMIFS(Disbursements!$W:$W,Disbursements!$B:$B,'Live Collections'!D2558,Disbursements!$D:$D,'Live Collections'!F2558)),O1812,IF($O1812=0,0,SUMIFS(Disbursements!$W:$W,Disbursements!$B:$B,'Live Collections'!D2558,Disbursements!$D:$D,'Live Collections'!F2558)))</f>
        <v>0</v>
      </c>
      <c r="T1812" s="304">
        <f t="shared" si="87"/>
        <v>0</v>
      </c>
      <c r="U1812" s="52"/>
      <c r="V1812" s="34"/>
      <c r="W1812" s="408" t="s">
        <v>2137</v>
      </c>
    </row>
    <row r="1813" spans="1:23" ht="12.75" customHeight="1" x14ac:dyDescent="0.2">
      <c r="A1813" s="257">
        <v>1800</v>
      </c>
      <c r="B1813" s="44">
        <v>44515</v>
      </c>
      <c r="C1813" s="44">
        <f t="shared" si="85"/>
        <v>44515</v>
      </c>
      <c r="D1813" s="374">
        <v>217</v>
      </c>
      <c r="E1813" s="291" t="str">
        <f>IFERROR(VLOOKUP($D1813,'Clients-Live'!$A:$C,3,0),"")</f>
        <v>JAMBA MOSES</v>
      </c>
      <c r="F1813" s="291">
        <f>IFERROR(INDEX(Disbursements!$D:$D,MATCH('Live Collections'!G1813,Disbursements!$C:$C,0)),"")</f>
        <v>1</v>
      </c>
      <c r="G1813" s="34">
        <v>217</v>
      </c>
      <c r="H1813" s="34">
        <v>3347</v>
      </c>
      <c r="I1813" s="34" t="s">
        <v>1357</v>
      </c>
      <c r="J1813" s="48"/>
      <c r="K1813" s="48"/>
      <c r="L1813" s="48"/>
      <c r="M1813" s="48"/>
      <c r="N1813" s="59"/>
      <c r="O1813" s="59">
        <v>52500</v>
      </c>
      <c r="P1813" s="59"/>
      <c r="Q1813" s="268">
        <f t="shared" si="86"/>
        <v>52500</v>
      </c>
      <c r="R1813" s="61">
        <f>IF(O1813=0,0,SUMIFS(Disbursements!$T:$T,Disbursements!$B:$B,'Live Collections'!D1813,Disbursements!$D:$D,'Live Collections'!F1813))</f>
        <v>165000</v>
      </c>
      <c r="S1813" s="304"/>
      <c r="T1813" s="304">
        <f t="shared" si="87"/>
        <v>52500</v>
      </c>
      <c r="U1813" s="52"/>
      <c r="V1813" s="34"/>
      <c r="W1813" s="408"/>
    </row>
    <row r="1814" spans="1:23" ht="12.75" customHeight="1" x14ac:dyDescent="0.2">
      <c r="A1814" s="257">
        <v>1801</v>
      </c>
      <c r="B1814" s="44">
        <v>44515</v>
      </c>
      <c r="C1814" s="44">
        <f t="shared" si="85"/>
        <v>44515</v>
      </c>
      <c r="D1814" s="374">
        <v>234</v>
      </c>
      <c r="E1814" s="291" t="str">
        <f>IFERROR(VLOOKUP($D1814,'Clients-Live'!$A:$C,3,0),"")</f>
        <v>SUDI YASIR</v>
      </c>
      <c r="F1814" s="291">
        <f>IFERROR(INDEX(Disbursements!$D:$D,MATCH('Live Collections'!G1814,Disbursements!$C:$C,0)),"")</f>
        <v>1</v>
      </c>
      <c r="G1814" s="34">
        <v>276</v>
      </c>
      <c r="H1814" s="34">
        <v>3345</v>
      </c>
      <c r="I1814" s="34" t="s">
        <v>1358</v>
      </c>
      <c r="J1814" s="48"/>
      <c r="K1814" s="48"/>
      <c r="L1814" s="48"/>
      <c r="M1814" s="48"/>
      <c r="N1814" s="59"/>
      <c r="O1814" s="59">
        <v>90000</v>
      </c>
      <c r="P1814" s="59"/>
      <c r="Q1814" s="268">
        <f t="shared" si="86"/>
        <v>90000</v>
      </c>
      <c r="R1814" s="61">
        <f>IF(O1814=0,0,SUMIFS(Disbursements!$T:$T,Disbursements!$B:$B,'Live Collections'!D1814,Disbursements!$D:$D,'Live Collections'!F1814))</f>
        <v>384000</v>
      </c>
      <c r="S1814" s="304">
        <f>IF(O1814&lt;=IF($O1814=0,0,SUMIFS(Disbursements!$W:$W,Disbursements!$B:$B,'Live Collections'!D2703,Disbursements!$D:$D,'Live Collections'!F2703)),O1814,IF($O1814=0,0,SUMIFS(Disbursements!$W:$W,Disbursements!$B:$B,'Live Collections'!D2703,Disbursements!$D:$D,'Live Collections'!F2703)))</f>
        <v>90000</v>
      </c>
      <c r="T1814" s="304">
        <f t="shared" si="87"/>
        <v>0</v>
      </c>
      <c r="U1814" s="52"/>
      <c r="V1814" s="34"/>
      <c r="W1814" s="408"/>
    </row>
    <row r="1815" spans="1:23" ht="12.75" customHeight="1" x14ac:dyDescent="0.2">
      <c r="A1815" s="257">
        <v>1803</v>
      </c>
      <c r="B1815" s="44">
        <v>44515</v>
      </c>
      <c r="C1815" s="44">
        <f t="shared" si="85"/>
        <v>44515</v>
      </c>
      <c r="D1815" s="374">
        <v>281</v>
      </c>
      <c r="E1815" s="291" t="str">
        <f>IFERROR(VLOOKUP($D1815,'Clients-Live'!$A:$C,3,0),"")</f>
        <v>BAKO ZUBEDA</v>
      </c>
      <c r="F1815" s="291" t="str">
        <f>IFERROR(INDEX(Disbursements!$D:$D,MATCH('Live Collections'!G1815,Disbursements!$C:$C,0)),"")</f>
        <v/>
      </c>
      <c r="G1815" s="34"/>
      <c r="H1815" s="34">
        <v>3140</v>
      </c>
      <c r="I1815" s="34" t="s">
        <v>1716</v>
      </c>
      <c r="J1815" s="48">
        <v>15000</v>
      </c>
      <c r="K1815" s="48">
        <v>5000</v>
      </c>
      <c r="L1815" s="48">
        <v>10000</v>
      </c>
      <c r="M1815" s="48">
        <v>5000</v>
      </c>
      <c r="N1815" s="59"/>
      <c r="O1815" s="59"/>
      <c r="P1815" s="59"/>
      <c r="Q1815" s="268">
        <f t="shared" si="86"/>
        <v>35000</v>
      </c>
      <c r="R1815" s="61">
        <f>IF(O1815=0,0,SUMIFS(Disbursements!$T:$T,Disbursements!$B:$B,'Live Collections'!D1815,Disbursements!$D:$D,'Live Collections'!F1815))</f>
        <v>0</v>
      </c>
      <c r="S1815" s="304">
        <f>IF(O1815&lt;=IF($O1815=0,0,SUMIFS(Disbursements!$W:$W,Disbursements!$B:$B,'Live Collections'!D3006,Disbursements!$D:$D,'Live Collections'!F3006)),O1815,IF($O1815=0,0,SUMIFS(Disbursements!$W:$W,Disbursements!$B:$B,'Live Collections'!D3006,Disbursements!$D:$D,'Live Collections'!F3006)))</f>
        <v>0</v>
      </c>
      <c r="T1815" s="304">
        <f t="shared" si="87"/>
        <v>0</v>
      </c>
      <c r="U1815" s="52"/>
      <c r="V1815" s="34"/>
      <c r="W1815" s="408"/>
    </row>
    <row r="1816" spans="1:23" ht="12.75" customHeight="1" x14ac:dyDescent="0.2">
      <c r="A1816" s="257">
        <v>1823</v>
      </c>
      <c r="B1816" s="44">
        <v>44516</v>
      </c>
      <c r="C1816" s="44">
        <f t="shared" si="85"/>
        <v>44516</v>
      </c>
      <c r="D1816" s="374">
        <v>2</v>
      </c>
      <c r="E1816" s="291" t="str">
        <f>IFERROR(VLOOKUP($D1816,'Clients-Live'!$A:$C,3,0),"")</f>
        <v>LEYA ROSE</v>
      </c>
      <c r="F1816" s="291">
        <f>IFERROR(INDEX(Disbursements!$D:$D,MATCH('Live Collections'!G1816,Disbursements!$C:$C,0)),"")</f>
        <v>2</v>
      </c>
      <c r="G1816" s="34">
        <v>293</v>
      </c>
      <c r="H1816" s="34">
        <v>3389</v>
      </c>
      <c r="I1816" s="34" t="s">
        <v>1358</v>
      </c>
      <c r="J1816" s="48"/>
      <c r="K1816" s="48"/>
      <c r="L1816" s="48"/>
      <c r="M1816" s="48"/>
      <c r="N1816" s="59"/>
      <c r="O1816" s="59">
        <v>210000</v>
      </c>
      <c r="P1816" s="59"/>
      <c r="Q1816" s="268">
        <f t="shared" si="86"/>
        <v>210000</v>
      </c>
      <c r="R1816" s="61">
        <f>IF(O1816=0,0,SUMIFS(Disbursements!$T:$T,Disbursements!$B:$B,'Live Collections'!D1816,Disbursements!$D:$D,'Live Collections'!F1816))</f>
        <v>210000</v>
      </c>
      <c r="S1816" s="304">
        <v>10000</v>
      </c>
      <c r="T1816" s="304">
        <f t="shared" si="87"/>
        <v>200000</v>
      </c>
      <c r="U1816" s="52"/>
      <c r="V1816" s="34"/>
      <c r="W1816" s="408"/>
    </row>
    <row r="1817" spans="1:23" ht="12.75" customHeight="1" x14ac:dyDescent="0.2">
      <c r="A1817" s="257">
        <v>1824</v>
      </c>
      <c r="B1817" s="44">
        <v>44516</v>
      </c>
      <c r="C1817" s="44">
        <f t="shared" si="85"/>
        <v>44516</v>
      </c>
      <c r="D1817" s="374">
        <v>2</v>
      </c>
      <c r="E1817" s="291" t="str">
        <f>IFERROR(VLOOKUP($D1817,'Clients-Live'!$A:$C,3,0),"")</f>
        <v>LEYA ROSE</v>
      </c>
      <c r="F1817" s="291">
        <f>IFERROR(INDEX(Disbursements!$D:$D,MATCH('Live Collections'!G1817,Disbursements!$C:$C,0)),"")</f>
        <v>1</v>
      </c>
      <c r="G1817" s="404">
        <v>4</v>
      </c>
      <c r="H1817" s="34">
        <v>3388</v>
      </c>
      <c r="I1817" s="34" t="s">
        <v>1358</v>
      </c>
      <c r="J1817" s="48"/>
      <c r="K1817" s="48"/>
      <c r="L1817" s="48"/>
      <c r="M1817" s="48"/>
      <c r="N1817" s="59"/>
      <c r="O1817" s="59">
        <f>246600-44000</f>
        <v>202600</v>
      </c>
      <c r="P1817" s="59"/>
      <c r="Q1817" s="268">
        <f t="shared" si="86"/>
        <v>202600</v>
      </c>
      <c r="R1817" s="61">
        <f>IF(O1817=0,0,SUMIFS(Disbursements!$T:$T,Disbursements!$B:$B,'Live Collections'!D1817,Disbursements!$D:$D,'Live Collections'!F1817))</f>
        <v>217000</v>
      </c>
      <c r="S1817" s="64">
        <v>4333.3333333333139</v>
      </c>
      <c r="T1817" s="304">
        <f t="shared" si="87"/>
        <v>198266.66666666669</v>
      </c>
      <c r="U1817" s="52"/>
      <c r="V1817" s="34"/>
      <c r="W1817" s="408"/>
    </row>
    <row r="1818" spans="1:23" ht="12.75" customHeight="1" x14ac:dyDescent="0.2">
      <c r="A1818" s="257">
        <v>1824</v>
      </c>
      <c r="B1818" s="44">
        <v>44516</v>
      </c>
      <c r="C1818" s="44">
        <f t="shared" si="85"/>
        <v>44516</v>
      </c>
      <c r="D1818" s="374">
        <v>2</v>
      </c>
      <c r="E1818" s="291" t="str">
        <f>IFERROR(VLOOKUP($D1818,'Clients-Live'!$A:$C,3,0),"")</f>
        <v>LEYA ROSE</v>
      </c>
      <c r="F1818" s="291">
        <f>IFERROR(INDEX(Disbursements!$D:$D,MATCH('Live Collections'!G1818,Disbursements!$C:$C,0)),"")</f>
        <v>1</v>
      </c>
      <c r="G1818" s="34">
        <v>4</v>
      </c>
      <c r="H1818" s="34">
        <v>3388</v>
      </c>
      <c r="I1818" s="34" t="s">
        <v>1358</v>
      </c>
      <c r="J1818" s="48"/>
      <c r="K1818" s="48"/>
      <c r="L1818" s="48"/>
      <c r="M1818" s="48"/>
      <c r="N1818" s="59"/>
      <c r="O1818" s="59">
        <v>2000</v>
      </c>
      <c r="P1818" s="59">
        <v>42000</v>
      </c>
      <c r="Q1818" s="268">
        <f t="shared" si="86"/>
        <v>44000</v>
      </c>
      <c r="R1818" s="61">
        <f>IF(O1818=0,0,SUMIFS(Disbursements!$T:$T,Disbursements!$B:$B,'Live Collections'!D1818,Disbursements!$D:$D,'Live Collections'!F1818))</f>
        <v>217000</v>
      </c>
      <c r="S1818" s="304">
        <f>IF(O1818&lt;=IF($O1818=0,0,SUMIFS(Disbursements!$W:$W,Disbursements!$B:$B,'Live Collections'!D21,Disbursements!$D:$D,'Live Collections'!F21)),O1818,IF($O1818=0,0,SUMIFS(Disbursements!$W:$W,Disbursements!$B:$B,'Live Collections'!D21,Disbursements!$D:$D,'Live Collections'!F21)))</f>
        <v>2000</v>
      </c>
      <c r="T1818" s="304">
        <f t="shared" si="87"/>
        <v>0</v>
      </c>
      <c r="U1818" s="52"/>
      <c r="V1818" s="34"/>
      <c r="W1818" s="408"/>
    </row>
    <row r="1819" spans="1:23" ht="12.75" customHeight="1" x14ac:dyDescent="0.2">
      <c r="A1819" s="257">
        <v>1820</v>
      </c>
      <c r="B1819" s="44">
        <v>44516</v>
      </c>
      <c r="C1819" s="44">
        <f t="shared" si="85"/>
        <v>44516</v>
      </c>
      <c r="D1819" s="374">
        <v>17</v>
      </c>
      <c r="E1819" s="291" t="str">
        <f>IFERROR(VLOOKUP($D1819,'Clients-Live'!$A:$C,3,0),"")</f>
        <v>MAMBU BAYI</v>
      </c>
      <c r="F1819" s="291">
        <f>IFERROR(INDEX(Disbursements!$D:$D,MATCH('Live Collections'!G1819,Disbursements!$C:$C,0)),"")</f>
        <v>1</v>
      </c>
      <c r="G1819" s="34">
        <v>7</v>
      </c>
      <c r="H1819" s="34">
        <v>3387</v>
      </c>
      <c r="I1819" s="34" t="s">
        <v>1357</v>
      </c>
      <c r="J1819" s="48"/>
      <c r="K1819" s="48"/>
      <c r="L1819" s="48"/>
      <c r="M1819" s="48"/>
      <c r="N1819" s="59"/>
      <c r="O1819" s="59">
        <v>100000</v>
      </c>
      <c r="P1819" s="59"/>
      <c r="Q1819" s="268">
        <f t="shared" si="86"/>
        <v>100000</v>
      </c>
      <c r="R1819" s="61">
        <f>IF(O1819=0,0,SUMIFS(Disbursements!$T:$T,Disbursements!$B:$B,'Live Collections'!D1819,Disbursements!$D:$D,'Live Collections'!F1819))</f>
        <v>325000</v>
      </c>
      <c r="S1819" s="304">
        <f>IF(O1819&lt;=IF($O1819=0,0,SUMIFS(Disbursements!$W:$W,Disbursements!$B:$B,'Live Collections'!D1962,Disbursements!$D:$D,'Live Collections'!F1962)),O1819,IF($O1819=0,0,SUMIFS(Disbursements!$W:$W,Disbursements!$B:$B,'Live Collections'!D1962,Disbursements!$D:$D,'Live Collections'!F1962)))</f>
        <v>50333.333333333343</v>
      </c>
      <c r="T1819" s="304">
        <f t="shared" si="87"/>
        <v>49666.666666666657</v>
      </c>
      <c r="U1819" s="52"/>
      <c r="V1819" s="34"/>
      <c r="W1819" s="408"/>
    </row>
    <row r="1820" spans="1:23" ht="12.75" customHeight="1" x14ac:dyDescent="0.2">
      <c r="A1820" s="257">
        <v>1813</v>
      </c>
      <c r="B1820" s="44">
        <v>44516</v>
      </c>
      <c r="C1820" s="44">
        <f t="shared" si="85"/>
        <v>44516</v>
      </c>
      <c r="D1820" s="374">
        <v>18</v>
      </c>
      <c r="E1820" s="291" t="str">
        <f>IFERROR(VLOOKUP($D1820,'Clients-Live'!$A:$C,3,0),"")</f>
        <v>ARIYE PEACE</v>
      </c>
      <c r="F1820" s="291">
        <f>IFERROR(INDEX(Disbursements!$D:$D,MATCH('Live Collections'!G1820,Disbursements!$C:$C,0)),"")</f>
        <v>2</v>
      </c>
      <c r="G1820" s="34">
        <v>317</v>
      </c>
      <c r="H1820" s="34">
        <v>3394</v>
      </c>
      <c r="I1820" s="34" t="s">
        <v>1357</v>
      </c>
      <c r="J1820" s="48"/>
      <c r="K1820" s="48"/>
      <c r="L1820" s="48"/>
      <c r="M1820" s="48"/>
      <c r="N1820" s="59"/>
      <c r="O1820" s="59">
        <v>162500</v>
      </c>
      <c r="P1820" s="59"/>
      <c r="Q1820" s="268">
        <f t="shared" si="86"/>
        <v>162500</v>
      </c>
      <c r="R1820" s="61">
        <f>IF(O1820=0,0,SUMIFS(Disbursements!$T:$T,Disbursements!$B:$B,'Live Collections'!D1820,Disbursements!$D:$D,'Live Collections'!F1820))</f>
        <v>650000</v>
      </c>
      <c r="S1820" s="304">
        <f>IF(O1820&lt;=IF($O1820=0,0,SUMIFS(Disbursements!$W:$W,Disbursements!$B:$B,'Live Collections'!D217,Disbursements!$D:$D,'Live Collections'!F217)),O1820,IF($O1820=0,0,SUMIFS(Disbursements!$W:$W,Disbursements!$B:$B,'Live Collections'!D217,Disbursements!$D:$D,'Live Collections'!F217)))</f>
        <v>20000</v>
      </c>
      <c r="T1820" s="304">
        <f t="shared" si="87"/>
        <v>142500</v>
      </c>
      <c r="U1820" s="52"/>
      <c r="V1820" s="34"/>
      <c r="W1820" s="408"/>
    </row>
    <row r="1821" spans="1:23" ht="12.75" customHeight="1" x14ac:dyDescent="0.2">
      <c r="A1821" s="257">
        <v>1811</v>
      </c>
      <c r="B1821" s="44">
        <v>44516</v>
      </c>
      <c r="C1821" s="44">
        <f t="shared" si="85"/>
        <v>44516</v>
      </c>
      <c r="D1821" s="374">
        <v>60</v>
      </c>
      <c r="E1821" s="291" t="str">
        <f>IFERROR(VLOOKUP($D1821,'Clients-Live'!$A:$C,3,0),"")</f>
        <v>MATURU ALICE</v>
      </c>
      <c r="F1821" s="291">
        <f>IFERROR(INDEX(Disbursements!$D:$D,MATCH('Live Collections'!G1821,Disbursements!$C:$C,0)),"")</f>
        <v>2</v>
      </c>
      <c r="G1821" s="34">
        <v>200</v>
      </c>
      <c r="H1821" s="34">
        <v>3147</v>
      </c>
      <c r="I1821" s="34" t="s">
        <v>1358</v>
      </c>
      <c r="J1821" s="48"/>
      <c r="K1821" s="48"/>
      <c r="L1821" s="48"/>
      <c r="M1821" s="48"/>
      <c r="N1821" s="59"/>
      <c r="O1821" s="59">
        <v>50000</v>
      </c>
      <c r="P1821" s="59"/>
      <c r="Q1821" s="268">
        <f t="shared" si="86"/>
        <v>50000</v>
      </c>
      <c r="R1821" s="61">
        <f>IF(O1821=0,0,SUMIFS(Disbursements!$T:$T,Disbursements!$B:$B,'Live Collections'!D1821,Disbursements!$D:$D,'Live Collections'!F1821))</f>
        <v>180000</v>
      </c>
      <c r="S1821" s="304">
        <f>IF(O1821&lt;=IF($O1821=0,0,SUMIFS(Disbursements!$W:$W,Disbursements!$B:$B,'Live Collections'!D721,Disbursements!$D:$D,'Live Collections'!F721)),O1821,IF($O1821=0,0,SUMIFS(Disbursements!$W:$W,Disbursements!$B:$B,'Live Collections'!D721,Disbursements!$D:$D,'Live Collections'!F721)))</f>
        <v>20000</v>
      </c>
      <c r="T1821" s="304">
        <f t="shared" si="87"/>
        <v>30000</v>
      </c>
      <c r="U1821" s="52"/>
      <c r="V1821" s="34"/>
      <c r="W1821" s="408"/>
    </row>
    <row r="1822" spans="1:23" ht="12.75" customHeight="1" x14ac:dyDescent="0.2">
      <c r="A1822" s="257">
        <v>1804</v>
      </c>
      <c r="B1822" s="44">
        <v>44516</v>
      </c>
      <c r="C1822" s="44">
        <f t="shared" si="85"/>
        <v>44516</v>
      </c>
      <c r="D1822" s="374">
        <v>72</v>
      </c>
      <c r="E1822" s="291" t="str">
        <f>IFERROR(VLOOKUP($D1822,'Clients-Live'!$A:$C,3,0),"")</f>
        <v>MUNDURU MERCY</v>
      </c>
      <c r="F1822" s="291">
        <f>IFERROR(INDEX(Disbursements!$D:$D,MATCH('Live Collections'!G1822,Disbursements!$C:$C,0)),"")</f>
        <v>1</v>
      </c>
      <c r="G1822" s="34">
        <v>57</v>
      </c>
      <c r="H1822" s="34">
        <v>3396</v>
      </c>
      <c r="I1822" s="34" t="s">
        <v>1358</v>
      </c>
      <c r="J1822" s="48"/>
      <c r="K1822" s="48"/>
      <c r="L1822" s="48"/>
      <c r="M1822" s="48"/>
      <c r="N1822" s="59"/>
      <c r="O1822" s="59">
        <v>216700</v>
      </c>
      <c r="P1822" s="59"/>
      <c r="Q1822" s="268">
        <f t="shared" si="86"/>
        <v>216700</v>
      </c>
      <c r="R1822" s="61">
        <f>IF(O1822=0,0,SUMIFS(Disbursements!$T:$T,Disbursements!$B:$B,'Live Collections'!D1822,Disbursements!$D:$D,'Live Collections'!F1822))</f>
        <v>217000</v>
      </c>
      <c r="S1822" s="64">
        <v>168000.00000000006</v>
      </c>
      <c r="T1822" s="304">
        <f t="shared" si="87"/>
        <v>48699.999999999942</v>
      </c>
      <c r="U1822" s="52"/>
      <c r="V1822" s="34"/>
      <c r="W1822" s="408"/>
    </row>
    <row r="1823" spans="1:23" ht="12.75" customHeight="1" x14ac:dyDescent="0.2">
      <c r="A1823" s="257">
        <v>1814</v>
      </c>
      <c r="B1823" s="44">
        <v>44516</v>
      </c>
      <c r="C1823" s="44">
        <f t="shared" si="85"/>
        <v>44516</v>
      </c>
      <c r="D1823" s="374">
        <v>79</v>
      </c>
      <c r="E1823" s="291" t="str">
        <f>IFERROR(VLOOKUP($D1823,'Clients-Live'!$A:$C,3,0),"")</f>
        <v>PASI SENYA</v>
      </c>
      <c r="F1823" s="291">
        <f>IFERROR(INDEX(Disbursements!$D:$D,MATCH('Live Collections'!G1823,Disbursements!$C:$C,0)),"")</f>
        <v>1</v>
      </c>
      <c r="G1823" s="34">
        <v>64</v>
      </c>
      <c r="H1823" s="34">
        <v>3144</v>
      </c>
      <c r="I1823" s="34" t="s">
        <v>1358</v>
      </c>
      <c r="J1823" s="48"/>
      <c r="K1823" s="48"/>
      <c r="L1823" s="48"/>
      <c r="M1823" s="48"/>
      <c r="N1823" s="59"/>
      <c r="O1823" s="59">
        <v>99000</v>
      </c>
      <c r="P1823" s="59"/>
      <c r="Q1823" s="268">
        <f t="shared" si="86"/>
        <v>99000</v>
      </c>
      <c r="R1823" s="61">
        <f>IF(O1823=0,0,SUMIFS(Disbursements!$T:$T,Disbursements!$B:$B,'Live Collections'!D1823,Disbursements!$D:$D,'Live Collections'!F1823))</f>
        <v>63000</v>
      </c>
      <c r="S1823" s="304"/>
      <c r="T1823" s="304">
        <f t="shared" si="87"/>
        <v>99000</v>
      </c>
      <c r="U1823" s="52"/>
      <c r="V1823" s="34"/>
      <c r="W1823" s="408"/>
    </row>
    <row r="1824" spans="1:23" ht="12.75" customHeight="1" x14ac:dyDescent="0.2">
      <c r="A1824" s="257">
        <v>1815</v>
      </c>
      <c r="B1824" s="44">
        <v>44516</v>
      </c>
      <c r="C1824" s="44">
        <f t="shared" si="85"/>
        <v>44516</v>
      </c>
      <c r="D1824" s="374">
        <v>79</v>
      </c>
      <c r="E1824" s="291" t="str">
        <f>IFERROR(VLOOKUP($D1824,'Clients-Live'!$A:$C,3,0),"")</f>
        <v>PASI SENYA</v>
      </c>
      <c r="F1824" s="291">
        <f>IFERROR(INDEX(Disbursements!$D:$D,MATCH('Live Collections'!G1824,Disbursements!$C:$C,0)),"")</f>
        <v>1</v>
      </c>
      <c r="G1824" s="34">
        <v>64</v>
      </c>
      <c r="H1824" s="34">
        <v>405</v>
      </c>
      <c r="I1824" s="34" t="s">
        <v>1358</v>
      </c>
      <c r="J1824" s="48"/>
      <c r="K1824" s="48"/>
      <c r="L1824" s="48"/>
      <c r="M1824" s="48"/>
      <c r="N1824" s="59"/>
      <c r="O1824" s="59"/>
      <c r="P1824" s="59">
        <v>-990000</v>
      </c>
      <c r="Q1824" s="268">
        <f t="shared" si="86"/>
        <v>-990000</v>
      </c>
      <c r="R1824" s="61">
        <f>IF(O1824=0,0,SUMIFS(Disbursements!$T:$T,Disbursements!$B:$B,'Live Collections'!D1824,Disbursements!$D:$D,'Live Collections'!F1824))</f>
        <v>0</v>
      </c>
      <c r="S1824" s="304">
        <f>IF(O1824&lt;=IF($O1824=0,0,SUMIFS(Disbursements!$W:$W,Disbursements!$B:$B,'Live Collections'!D1032,Disbursements!$D:$D,'Live Collections'!F1032)),O1824,IF($O1824=0,0,SUMIFS(Disbursements!$W:$W,Disbursements!$B:$B,'Live Collections'!D1032,Disbursements!$D:$D,'Live Collections'!F1032)))</f>
        <v>0</v>
      </c>
      <c r="T1824" s="304">
        <f t="shared" si="87"/>
        <v>0</v>
      </c>
      <c r="U1824" s="52"/>
      <c r="V1824" s="34"/>
      <c r="W1824" s="408"/>
    </row>
    <row r="1825" spans="1:23" ht="12.75" customHeight="1" x14ac:dyDescent="0.2">
      <c r="A1825" s="257">
        <v>1816</v>
      </c>
      <c r="B1825" s="44">
        <v>44516</v>
      </c>
      <c r="C1825" s="44">
        <f t="shared" si="85"/>
        <v>44516</v>
      </c>
      <c r="D1825" s="374">
        <v>79</v>
      </c>
      <c r="E1825" s="291" t="str">
        <f>IFERROR(VLOOKUP($D1825,'Clients-Live'!$A:$C,3,0),"")</f>
        <v>PASI SENYA</v>
      </c>
      <c r="F1825" s="291">
        <f>IFERROR(INDEX(Disbursements!$D:$D,MATCH('Live Collections'!G1825,Disbursements!$C:$C,0)),"")</f>
        <v>1</v>
      </c>
      <c r="G1825" s="34">
        <v>64</v>
      </c>
      <c r="H1825" s="34">
        <v>3143</v>
      </c>
      <c r="I1825" s="34" t="s">
        <v>1358</v>
      </c>
      <c r="J1825" s="48"/>
      <c r="K1825" s="48"/>
      <c r="L1825" s="48"/>
      <c r="M1825" s="48"/>
      <c r="N1825" s="59"/>
      <c r="O1825" s="59"/>
      <c r="P1825" s="59"/>
      <c r="Q1825" s="268">
        <f t="shared" si="86"/>
        <v>0</v>
      </c>
      <c r="R1825" s="61">
        <f>IF(O1825=0,0,SUMIFS(Disbursements!$T:$T,Disbursements!$B:$B,'Live Collections'!D1825,Disbursements!$D:$D,'Live Collections'!F1825))</f>
        <v>0</v>
      </c>
      <c r="S1825" s="304"/>
      <c r="T1825" s="304">
        <f t="shared" si="87"/>
        <v>0</v>
      </c>
      <c r="U1825" s="52"/>
      <c r="V1825" s="34"/>
      <c r="W1825" s="408"/>
    </row>
    <row r="1826" spans="1:23" ht="12.75" customHeight="1" x14ac:dyDescent="0.2">
      <c r="A1826" s="257">
        <v>1821</v>
      </c>
      <c r="B1826" s="44">
        <v>44516</v>
      </c>
      <c r="C1826" s="44">
        <f t="shared" si="85"/>
        <v>44516</v>
      </c>
      <c r="D1826" s="374">
        <v>98</v>
      </c>
      <c r="E1826" s="291" t="str">
        <f>IFERROR(VLOOKUP($D1826,'Clients-Live'!$A:$C,3,0),"")</f>
        <v>AMANIYO CLARA</v>
      </c>
      <c r="F1826" s="291">
        <f>IFERROR(INDEX(Disbursements!$D:$D,MATCH('Live Collections'!G1826,Disbursements!$C:$C,0)),"")</f>
        <v>2</v>
      </c>
      <c r="G1826" s="34">
        <v>232</v>
      </c>
      <c r="H1826" s="34">
        <v>3350</v>
      </c>
      <c r="I1826" s="34" t="s">
        <v>1358</v>
      </c>
      <c r="J1826" s="48"/>
      <c r="K1826" s="48"/>
      <c r="L1826" s="48"/>
      <c r="M1826" s="48"/>
      <c r="N1826" s="59"/>
      <c r="O1826" s="59">
        <v>50000</v>
      </c>
      <c r="P1826" s="59"/>
      <c r="Q1826" s="268">
        <f t="shared" si="86"/>
        <v>50000</v>
      </c>
      <c r="R1826" s="61">
        <f>IF(O1826=0,0,SUMIFS(Disbursements!$T:$T,Disbursements!$B:$B,'Live Collections'!D1826,Disbursements!$D:$D,'Live Collections'!F1826))</f>
        <v>175000</v>
      </c>
      <c r="S1826" s="304">
        <f>IF(O1826&lt;=IF($O1826=0,0,SUMIFS(Disbursements!$W:$W,Disbursements!$B:$B,'Live Collections'!D1270,Disbursements!$D:$D,'Live Collections'!F1270)),O1826,IF($O1826=0,0,SUMIFS(Disbursements!$W:$W,Disbursements!$B:$B,'Live Collections'!D1270,Disbursements!$D:$D,'Live Collections'!F1270)))</f>
        <v>35000</v>
      </c>
      <c r="T1826" s="304">
        <f t="shared" si="87"/>
        <v>15000</v>
      </c>
      <c r="U1826" s="52"/>
      <c r="V1826" s="34"/>
      <c r="W1826" s="408"/>
    </row>
    <row r="1827" spans="1:23" ht="12.75" customHeight="1" x14ac:dyDescent="0.2">
      <c r="A1827" s="257">
        <v>1817</v>
      </c>
      <c r="B1827" s="44">
        <v>44516</v>
      </c>
      <c r="C1827" s="44">
        <f t="shared" si="85"/>
        <v>44516</v>
      </c>
      <c r="D1827" s="374">
        <v>157</v>
      </c>
      <c r="E1827" s="291" t="str">
        <f>IFERROR(VLOOKUP($D1827,'Clients-Live'!$A:$C,3,0),"")</f>
        <v>AYITE MARGERT</v>
      </c>
      <c r="F1827" s="291" t="str">
        <f>IFERROR(INDEX(Disbursements!$D:$D,MATCH('Live Collections'!G1827,Disbursements!$C:$C,0)),"")</f>
        <v/>
      </c>
      <c r="G1827" s="34"/>
      <c r="H1827" s="34">
        <v>3393</v>
      </c>
      <c r="I1827" s="34" t="s">
        <v>1357</v>
      </c>
      <c r="J1827" s="48"/>
      <c r="K1827" s="48"/>
      <c r="L1827" s="48">
        <v>15000</v>
      </c>
      <c r="M1827" s="48">
        <v>5000</v>
      </c>
      <c r="N1827" s="59"/>
      <c r="O1827" s="59"/>
      <c r="P1827" s="59"/>
      <c r="Q1827" s="268">
        <f t="shared" si="86"/>
        <v>20000</v>
      </c>
      <c r="R1827" s="61">
        <f>IF(O1827=0,0,SUMIFS(Disbursements!$T:$T,Disbursements!$B:$B,'Live Collections'!D1827,Disbursements!$D:$D,'Live Collections'!F1827))</f>
        <v>0</v>
      </c>
      <c r="S1827" s="304">
        <f>IF(O1827&lt;=IF($O1827=0,0,SUMIFS(Disbursements!$W:$W,Disbursements!$B:$B,'Live Collections'!D1968,Disbursements!$D:$D,'Live Collections'!F1968)),O1827,IF($O1827=0,0,SUMIFS(Disbursements!$W:$W,Disbursements!$B:$B,'Live Collections'!D1968,Disbursements!$D:$D,'Live Collections'!F1968)))</f>
        <v>0</v>
      </c>
      <c r="T1827" s="304">
        <f t="shared" si="87"/>
        <v>0</v>
      </c>
      <c r="U1827" s="52"/>
      <c r="V1827" s="34"/>
      <c r="W1827" s="408"/>
    </row>
    <row r="1828" spans="1:23" ht="12.75" customHeight="1" x14ac:dyDescent="0.2">
      <c r="A1828" s="257">
        <v>1818</v>
      </c>
      <c r="B1828" s="44">
        <v>44516</v>
      </c>
      <c r="C1828" s="44">
        <f t="shared" si="85"/>
        <v>44516</v>
      </c>
      <c r="D1828" s="374">
        <v>157</v>
      </c>
      <c r="E1828" s="291" t="str">
        <f>IFERROR(VLOOKUP($D1828,'Clients-Live'!$A:$C,3,0),"")</f>
        <v>AYITE MARGERT</v>
      </c>
      <c r="F1828" s="291">
        <f>IFERROR(INDEX(Disbursements!$D:$D,MATCH('Live Collections'!G1828,Disbursements!$C:$C,0)),"")</f>
        <v>1</v>
      </c>
      <c r="G1828" s="34">
        <v>148</v>
      </c>
      <c r="H1828" s="34">
        <v>3392</v>
      </c>
      <c r="I1828" s="34" t="s">
        <v>1357</v>
      </c>
      <c r="J1828" s="48"/>
      <c r="K1828" s="48"/>
      <c r="L1828" s="48"/>
      <c r="M1828" s="48"/>
      <c r="N1828" s="59"/>
      <c r="O1828" s="59">
        <v>80000</v>
      </c>
      <c r="P1828" s="59"/>
      <c r="Q1828" s="268">
        <f t="shared" si="86"/>
        <v>80000</v>
      </c>
      <c r="R1828" s="61">
        <f>IF(O1828=0,0,SUMIFS(Disbursements!$T:$T,Disbursements!$B:$B,'Live Collections'!D1828,Disbursements!$D:$D,'Live Collections'!F1828))</f>
        <v>150000</v>
      </c>
      <c r="S1828" s="64">
        <v>15000</v>
      </c>
      <c r="T1828" s="304">
        <f t="shared" si="87"/>
        <v>65000</v>
      </c>
      <c r="U1828" s="52"/>
      <c r="V1828" s="34"/>
      <c r="W1828" s="408"/>
    </row>
    <row r="1829" spans="1:23" ht="12.75" customHeight="1" x14ac:dyDescent="0.2">
      <c r="A1829" s="257">
        <v>1805</v>
      </c>
      <c r="B1829" s="44">
        <v>44516</v>
      </c>
      <c r="C1829" s="44">
        <f t="shared" si="85"/>
        <v>44516</v>
      </c>
      <c r="D1829" s="374">
        <v>181</v>
      </c>
      <c r="E1829" s="291" t="str">
        <f>IFERROR(VLOOKUP($D1829,'Clients-Live'!$A:$C,3,0),"")</f>
        <v>LEKURU CHRISTINE</v>
      </c>
      <c r="F1829" s="291">
        <f>IFERROR(INDEX(Disbursements!$D:$D,MATCH('Live Collections'!G1829,Disbursements!$C:$C,0)),"")</f>
        <v>1</v>
      </c>
      <c r="G1829" s="34">
        <v>168</v>
      </c>
      <c r="H1829" s="34">
        <v>3395</v>
      </c>
      <c r="I1829" s="34" t="s">
        <v>1357</v>
      </c>
      <c r="J1829" s="48"/>
      <c r="K1829" s="48"/>
      <c r="L1829" s="48"/>
      <c r="M1829" s="48"/>
      <c r="N1829" s="59"/>
      <c r="O1829" s="59">
        <v>40000</v>
      </c>
      <c r="P1829" s="59"/>
      <c r="Q1829" s="268">
        <f t="shared" si="86"/>
        <v>40000</v>
      </c>
      <c r="R1829" s="61">
        <f>IF(O1829=0,0,SUMIFS(Disbursements!$T:$T,Disbursements!$B:$B,'Live Collections'!D1829,Disbursements!$D:$D,'Live Collections'!F1829))</f>
        <v>115000</v>
      </c>
      <c r="S1829" s="304"/>
      <c r="T1829" s="304">
        <f t="shared" si="87"/>
        <v>40000</v>
      </c>
      <c r="U1829" s="52"/>
      <c r="V1829" s="34"/>
      <c r="W1829" s="408"/>
    </row>
    <row r="1830" spans="1:23" ht="12.75" customHeight="1" x14ac:dyDescent="0.2">
      <c r="A1830" s="257">
        <v>1806</v>
      </c>
      <c r="B1830" s="44">
        <v>44516</v>
      </c>
      <c r="C1830" s="44">
        <f t="shared" si="85"/>
        <v>44516</v>
      </c>
      <c r="D1830" s="374">
        <v>200</v>
      </c>
      <c r="E1830" s="291" t="str">
        <f>IFERROR(VLOOKUP($D1830,'Clients-Live'!$A:$C,3,0),"")</f>
        <v>SERIYA FLORENCE</v>
      </c>
      <c r="F1830" s="291" t="str">
        <f>IFERROR(INDEX(Disbursements!$D:$D,MATCH('Live Collections'!G1830,Disbursements!$C:$C,0)),"")</f>
        <v/>
      </c>
      <c r="G1830" s="34"/>
      <c r="H1830" s="34">
        <v>3150</v>
      </c>
      <c r="I1830" s="34" t="s">
        <v>1359</v>
      </c>
      <c r="J1830" s="48"/>
      <c r="K1830" s="48"/>
      <c r="L1830" s="48">
        <v>15000</v>
      </c>
      <c r="M1830" s="48">
        <v>5000</v>
      </c>
      <c r="N1830" s="59"/>
      <c r="O1830" s="59"/>
      <c r="P1830" s="59"/>
      <c r="Q1830" s="268">
        <f t="shared" si="86"/>
        <v>20000</v>
      </c>
      <c r="R1830" s="61">
        <f>IF(O1830=0,0,SUMIFS(Disbursements!$T:$T,Disbursements!$B:$B,'Live Collections'!D1830,Disbursements!$D:$D,'Live Collections'!F1830))</f>
        <v>0</v>
      </c>
      <c r="S1830" s="304">
        <f>IF(O1830&lt;=IF($O1830=0,0,SUMIFS(Disbursements!$W:$W,Disbursements!$B:$B,'Live Collections'!D2386,Disbursements!$D:$D,'Live Collections'!F2386)),O1830,IF($O1830=0,0,SUMIFS(Disbursements!$W:$W,Disbursements!$B:$B,'Live Collections'!D2386,Disbursements!$D:$D,'Live Collections'!F2386)))</f>
        <v>0</v>
      </c>
      <c r="T1830" s="304">
        <f t="shared" si="87"/>
        <v>0</v>
      </c>
      <c r="U1830" s="52"/>
      <c r="V1830" s="34"/>
      <c r="W1830" s="408"/>
    </row>
    <row r="1831" spans="1:23" ht="12.75" customHeight="1" x14ac:dyDescent="0.2">
      <c r="A1831" s="257">
        <v>1807</v>
      </c>
      <c r="B1831" s="44">
        <v>44516</v>
      </c>
      <c r="C1831" s="44">
        <f t="shared" si="85"/>
        <v>44516</v>
      </c>
      <c r="D1831" s="374">
        <v>200</v>
      </c>
      <c r="E1831" s="291" t="str">
        <f>IFERROR(VLOOKUP($D1831,'Clients-Live'!$A:$C,3,0),"")</f>
        <v>SERIYA FLORENCE</v>
      </c>
      <c r="F1831" s="291">
        <f>IFERROR(INDEX(Disbursements!$D:$D,MATCH('Live Collections'!G1831,Disbursements!$C:$C,0)),"")</f>
        <v>1</v>
      </c>
      <c r="G1831" s="34">
        <v>222</v>
      </c>
      <c r="H1831" s="34">
        <v>3149</v>
      </c>
      <c r="I1831" s="34" t="s">
        <v>1359</v>
      </c>
      <c r="J1831" s="48"/>
      <c r="K1831" s="48"/>
      <c r="L1831" s="48"/>
      <c r="M1831" s="48"/>
      <c r="N1831" s="59"/>
      <c r="O1831" s="59">
        <v>30000</v>
      </c>
      <c r="P1831" s="59"/>
      <c r="Q1831" s="268">
        <f t="shared" si="86"/>
        <v>30000</v>
      </c>
      <c r="R1831" s="61">
        <f>IF(O1831=0,0,SUMIFS(Disbursements!$T:$T,Disbursements!$B:$B,'Live Collections'!D1831,Disbursements!$D:$D,'Live Collections'!F1831))</f>
        <v>115000</v>
      </c>
      <c r="S1831" s="304"/>
      <c r="T1831" s="304">
        <f t="shared" si="87"/>
        <v>30000</v>
      </c>
      <c r="U1831" s="52"/>
      <c r="V1831" s="34"/>
      <c r="W1831" s="408"/>
    </row>
    <row r="1832" spans="1:23" ht="12.75" customHeight="1" x14ac:dyDescent="0.2">
      <c r="A1832" s="257">
        <v>1808</v>
      </c>
      <c r="B1832" s="44">
        <v>44516</v>
      </c>
      <c r="C1832" s="44">
        <f t="shared" si="85"/>
        <v>44516</v>
      </c>
      <c r="D1832" s="374">
        <v>200</v>
      </c>
      <c r="E1832" s="291" t="str">
        <f>IFERROR(VLOOKUP($D1832,'Clients-Live'!$A:$C,3,0),"")</f>
        <v>SERIYA FLORENCE</v>
      </c>
      <c r="F1832" s="291">
        <f>IFERROR(INDEX(Disbursements!$D:$D,MATCH('Live Collections'!G1832,Disbursements!$C:$C,0)),"")</f>
        <v>1</v>
      </c>
      <c r="G1832" s="34">
        <v>222</v>
      </c>
      <c r="H1832" s="34">
        <v>406</v>
      </c>
      <c r="I1832" s="34" t="s">
        <v>1359</v>
      </c>
      <c r="J1832" s="48"/>
      <c r="K1832" s="48"/>
      <c r="L1832" s="48"/>
      <c r="M1832" s="48"/>
      <c r="N1832" s="59"/>
      <c r="O1832" s="59"/>
      <c r="P1832" s="59">
        <v>-30000</v>
      </c>
      <c r="Q1832" s="268">
        <f t="shared" si="86"/>
        <v>-30000</v>
      </c>
      <c r="R1832" s="61">
        <f>IF(O1832=0,0,SUMIFS(Disbursements!$T:$T,Disbursements!$B:$B,'Live Collections'!D1832,Disbursements!$D:$D,'Live Collections'!F1832))</f>
        <v>0</v>
      </c>
      <c r="S1832" s="304">
        <f>IF(O1832&lt;=IF($O1832=0,0,SUMIFS(Disbursements!$W:$W,Disbursements!$B:$B,'Live Collections'!D2388,Disbursements!$D:$D,'Live Collections'!F2388)),O1832,IF($O1832=0,0,SUMIFS(Disbursements!$W:$W,Disbursements!$B:$B,'Live Collections'!D2388,Disbursements!$D:$D,'Live Collections'!F2388)))</f>
        <v>0</v>
      </c>
      <c r="T1832" s="304">
        <f t="shared" si="87"/>
        <v>0</v>
      </c>
      <c r="U1832" s="52"/>
      <c r="V1832" s="34"/>
      <c r="W1832" s="408"/>
    </row>
    <row r="1833" spans="1:23" ht="12.75" customHeight="1" x14ac:dyDescent="0.2">
      <c r="A1833" s="257">
        <v>1809</v>
      </c>
      <c r="B1833" s="44">
        <v>44516</v>
      </c>
      <c r="C1833" s="44">
        <f t="shared" si="85"/>
        <v>44516</v>
      </c>
      <c r="D1833" s="374">
        <v>200</v>
      </c>
      <c r="E1833" s="291" t="str">
        <f>IFERROR(VLOOKUP($D1833,'Clients-Live'!$A:$C,3,0),"")</f>
        <v>SERIYA FLORENCE</v>
      </c>
      <c r="F1833" s="291">
        <f>IFERROR(INDEX(Disbursements!$D:$D,MATCH('Live Collections'!G1833,Disbursements!$C:$C,0)),"")</f>
        <v>1</v>
      </c>
      <c r="G1833" s="34">
        <v>222</v>
      </c>
      <c r="H1833" s="34">
        <v>3148</v>
      </c>
      <c r="I1833" s="34" t="s">
        <v>1359</v>
      </c>
      <c r="J1833" s="48"/>
      <c r="K1833" s="48"/>
      <c r="L1833" s="48"/>
      <c r="M1833" s="48"/>
      <c r="N1833" s="59"/>
      <c r="O1833" s="59">
        <v>85000</v>
      </c>
      <c r="P1833" s="59"/>
      <c r="Q1833" s="268">
        <f t="shared" si="86"/>
        <v>85000</v>
      </c>
      <c r="R1833" s="61">
        <f>IF(O1833=0,0,SUMIFS(Disbursements!$T:$T,Disbursements!$B:$B,'Live Collections'!D1833,Disbursements!$D:$D,'Live Collections'!F1833))</f>
        <v>115000</v>
      </c>
      <c r="S1833" s="304"/>
      <c r="T1833" s="304">
        <f t="shared" si="87"/>
        <v>85000</v>
      </c>
      <c r="U1833" s="52"/>
      <c r="V1833" s="34"/>
      <c r="W1833" s="408"/>
    </row>
    <row r="1834" spans="1:23" ht="12.75" customHeight="1" x14ac:dyDescent="0.2">
      <c r="A1834" s="257">
        <v>1810</v>
      </c>
      <c r="B1834" s="44">
        <v>44516</v>
      </c>
      <c r="C1834" s="44">
        <f t="shared" si="85"/>
        <v>44516</v>
      </c>
      <c r="D1834" s="374">
        <v>200</v>
      </c>
      <c r="E1834" s="291" t="str">
        <f>IFERROR(VLOOKUP($D1834,'Clients-Live'!$A:$C,3,0),"")</f>
        <v>SERIYA FLORENCE</v>
      </c>
      <c r="F1834" s="291">
        <f>IFERROR(INDEX(Disbursements!$D:$D,MATCH('Live Collections'!G1834,Disbursements!$C:$C,0)),"")</f>
        <v>1</v>
      </c>
      <c r="G1834" s="34">
        <v>222</v>
      </c>
      <c r="H1834" s="34">
        <v>3146</v>
      </c>
      <c r="I1834" s="34" t="s">
        <v>1359</v>
      </c>
      <c r="J1834" s="48"/>
      <c r="K1834" s="48"/>
      <c r="L1834" s="48"/>
      <c r="M1834" s="48"/>
      <c r="N1834" s="59"/>
      <c r="O1834" s="59">
        <v>115000</v>
      </c>
      <c r="P1834" s="59"/>
      <c r="Q1834" s="268">
        <f t="shared" si="86"/>
        <v>115000</v>
      </c>
      <c r="R1834" s="61">
        <f>IF(O1834=0,0,SUMIFS(Disbursements!$T:$T,Disbursements!$B:$B,'Live Collections'!D1834,Disbursements!$D:$D,'Live Collections'!F1834))</f>
        <v>115000</v>
      </c>
      <c r="S1834" s="304"/>
      <c r="T1834" s="304">
        <f t="shared" si="87"/>
        <v>115000</v>
      </c>
      <c r="U1834" s="52"/>
      <c r="V1834" s="34"/>
      <c r="W1834" s="408"/>
    </row>
    <row r="1835" spans="1:23" ht="12.75" customHeight="1" x14ac:dyDescent="0.2">
      <c r="A1835" s="257">
        <v>1822</v>
      </c>
      <c r="B1835" s="44">
        <v>44516</v>
      </c>
      <c r="C1835" s="44">
        <f t="shared" si="85"/>
        <v>44516</v>
      </c>
      <c r="D1835" s="374">
        <v>244</v>
      </c>
      <c r="E1835" s="291" t="str">
        <f>IFERROR(VLOOKUP($D1835,'Clients-Live'!$A:$C,3,0),"")</f>
        <v>GISMA HAMID ALI</v>
      </c>
      <c r="F1835" s="291">
        <f>IFERROR(INDEX(Disbursements!$D:$D,MATCH('Live Collections'!G1835,Disbursements!$C:$C,0)),"")</f>
        <v>1</v>
      </c>
      <c r="G1835" s="34">
        <v>269</v>
      </c>
      <c r="H1835" s="34">
        <v>3390</v>
      </c>
      <c r="I1835" s="34" t="s">
        <v>1357</v>
      </c>
      <c r="J1835" s="48"/>
      <c r="K1835" s="48"/>
      <c r="L1835" s="48"/>
      <c r="M1835" s="48"/>
      <c r="N1835" s="59"/>
      <c r="O1835" s="59">
        <v>125000</v>
      </c>
      <c r="P1835" s="59"/>
      <c r="Q1835" s="268">
        <f t="shared" si="86"/>
        <v>125000</v>
      </c>
      <c r="R1835" s="61">
        <f>IF(O1835=0,0,SUMIFS(Disbursements!$T:$T,Disbursements!$B:$B,'Live Collections'!D1835,Disbursements!$D:$D,'Live Collections'!F1835))</f>
        <v>125000</v>
      </c>
      <c r="S1835" s="304">
        <v>-80000</v>
      </c>
      <c r="T1835" s="304">
        <f t="shared" si="87"/>
        <v>205000</v>
      </c>
      <c r="U1835" s="52"/>
      <c r="V1835" s="34"/>
      <c r="W1835" s="408"/>
    </row>
    <row r="1836" spans="1:23" ht="12.75" customHeight="1" x14ac:dyDescent="0.2">
      <c r="A1836" s="257">
        <v>1812</v>
      </c>
      <c r="B1836" s="44">
        <v>44516</v>
      </c>
      <c r="C1836" s="44">
        <f t="shared" si="85"/>
        <v>44516</v>
      </c>
      <c r="D1836" s="374">
        <v>265</v>
      </c>
      <c r="E1836" s="291" t="str">
        <f>IFERROR(VLOOKUP($D1836,'Clients-Live'!$A:$C,3,0),"")</f>
        <v>OCATRE CHARLES</v>
      </c>
      <c r="F1836" s="291" t="str">
        <f>IFERROR(INDEX(Disbursements!$D:$D,MATCH('Live Collections'!G1836,Disbursements!$C:$C,0)),"")</f>
        <v/>
      </c>
      <c r="G1836" s="34"/>
      <c r="H1836" s="34">
        <v>3145</v>
      </c>
      <c r="I1836" s="34" t="s">
        <v>1357</v>
      </c>
      <c r="J1836" s="48"/>
      <c r="K1836" s="48"/>
      <c r="L1836" s="48">
        <v>20000</v>
      </c>
      <c r="M1836" s="48">
        <v>5000</v>
      </c>
      <c r="N1836" s="59"/>
      <c r="O1836" s="59"/>
      <c r="P1836" s="59"/>
      <c r="Q1836" s="268">
        <f t="shared" si="86"/>
        <v>25000</v>
      </c>
      <c r="R1836" s="61">
        <f>IF(O1836=0,0,SUMIFS(Disbursements!$T:$T,Disbursements!$B:$B,'Live Collections'!D1836,Disbursements!$D:$D,'Live Collections'!F1836))</f>
        <v>0</v>
      </c>
      <c r="S1836" s="304">
        <f>IF(O1836&lt;=IF($O1836=0,0,SUMIFS(Disbursements!$W:$W,Disbursements!$B:$B,'Live Collections'!D2924,Disbursements!$D:$D,'Live Collections'!F2924)),O1836,IF($O1836=0,0,SUMIFS(Disbursements!$W:$W,Disbursements!$B:$B,'Live Collections'!D2924,Disbursements!$D:$D,'Live Collections'!F2924)))</f>
        <v>0</v>
      </c>
      <c r="T1836" s="304">
        <f t="shared" si="87"/>
        <v>0</v>
      </c>
      <c r="U1836" s="52"/>
      <c r="V1836" s="34"/>
      <c r="W1836" s="408"/>
    </row>
    <row r="1837" spans="1:23" ht="12.75" customHeight="1" x14ac:dyDescent="0.2">
      <c r="A1837" s="257">
        <v>1819</v>
      </c>
      <c r="B1837" s="44">
        <v>44516</v>
      </c>
      <c r="C1837" s="44">
        <f t="shared" si="85"/>
        <v>44516</v>
      </c>
      <c r="D1837" s="374">
        <v>282</v>
      </c>
      <c r="E1837" s="291" t="str">
        <f>IFERROR(VLOOKUP($D1837,'Clients-Live'!$A:$C,3,0),"")</f>
        <v>TAYI MODESTO</v>
      </c>
      <c r="F1837" s="291" t="str">
        <f>IFERROR(INDEX(Disbursements!$D:$D,MATCH('Live Collections'!G1837,Disbursements!$C:$C,0)),"")</f>
        <v/>
      </c>
      <c r="G1837" s="34"/>
      <c r="H1837" s="34">
        <v>3391</v>
      </c>
      <c r="I1837" s="34" t="s">
        <v>1357</v>
      </c>
      <c r="J1837" s="48">
        <v>15000</v>
      </c>
      <c r="K1837" s="48">
        <v>5000</v>
      </c>
      <c r="L1837" s="48">
        <v>20000</v>
      </c>
      <c r="M1837" s="48">
        <v>5000</v>
      </c>
      <c r="N1837" s="59"/>
      <c r="O1837" s="59"/>
      <c r="P1837" s="59"/>
      <c r="Q1837" s="268">
        <f t="shared" si="86"/>
        <v>45000</v>
      </c>
      <c r="R1837" s="61">
        <f>IF(O1837=0,0,SUMIFS(Disbursements!$T:$T,Disbursements!$B:$B,'Live Collections'!D1837,Disbursements!$D:$D,'Live Collections'!F1837))</f>
        <v>0</v>
      </c>
      <c r="S1837" s="304">
        <f>IF(O1837&lt;=IF($O1837=0,0,SUMIFS(Disbursements!$W:$W,Disbursements!$B:$B,'Live Collections'!D3011,Disbursements!$D:$D,'Live Collections'!F3011)),O1837,IF($O1837=0,0,SUMIFS(Disbursements!$W:$W,Disbursements!$B:$B,'Live Collections'!D3011,Disbursements!$D:$D,'Live Collections'!F3011)))</f>
        <v>0</v>
      </c>
      <c r="T1837" s="304">
        <f t="shared" si="87"/>
        <v>0</v>
      </c>
      <c r="U1837" s="52"/>
      <c r="V1837" s="34"/>
      <c r="W1837" s="408"/>
    </row>
    <row r="1838" spans="1:23" ht="12.75" customHeight="1" x14ac:dyDescent="0.2">
      <c r="A1838" s="257">
        <v>1825</v>
      </c>
      <c r="B1838" s="44">
        <v>44517</v>
      </c>
      <c r="C1838" s="44">
        <f t="shared" si="85"/>
        <v>44517</v>
      </c>
      <c r="D1838" s="374">
        <v>8</v>
      </c>
      <c r="E1838" s="291" t="str">
        <f>IFERROR(VLOOKUP($D1838,'Clients-Live'!$A:$C,3,0),"")</f>
        <v>ALEMI THOMAS</v>
      </c>
      <c r="F1838" s="291">
        <f>IFERROR(INDEX(Disbursements!$D:$D,MATCH('Live Collections'!G1838,Disbursements!$C:$C,0)),"")</f>
        <v>1</v>
      </c>
      <c r="G1838" s="34">
        <v>1</v>
      </c>
      <c r="H1838" s="34">
        <v>409</v>
      </c>
      <c r="I1838" s="34" t="s">
        <v>1359</v>
      </c>
      <c r="J1838" s="48"/>
      <c r="K1838" s="48"/>
      <c r="L1838" s="48"/>
      <c r="M1838" s="48"/>
      <c r="N1838" s="59"/>
      <c r="O1838" s="59"/>
      <c r="P1838" s="59">
        <v>-30000</v>
      </c>
      <c r="Q1838" s="268">
        <f t="shared" si="86"/>
        <v>-30000</v>
      </c>
      <c r="R1838" s="61">
        <f>IF(O1838=0,0,SUMIFS(Disbursements!$T:$T,Disbursements!$B:$B,'Live Collections'!D1838,Disbursements!$D:$D,'Live Collections'!F1838))</f>
        <v>0</v>
      </c>
      <c r="S1838" s="304">
        <f>IF(O1838&lt;=IF($O1838=0,0,SUMIFS(Disbursements!$W:$W,Disbursements!$B:$B,'Live Collections'!D74,Disbursements!$D:$D,'Live Collections'!F74)),O1838,IF($O1838=0,0,SUMIFS(Disbursements!$W:$W,Disbursements!$B:$B,'Live Collections'!D74,Disbursements!$D:$D,'Live Collections'!F74)))</f>
        <v>0</v>
      </c>
      <c r="T1838" s="304">
        <f t="shared" si="87"/>
        <v>0</v>
      </c>
      <c r="U1838" s="52"/>
      <c r="V1838" s="34"/>
      <c r="W1838" s="408"/>
    </row>
    <row r="1839" spans="1:23" ht="12.75" customHeight="1" x14ac:dyDescent="0.2">
      <c r="A1839" s="257">
        <v>1826</v>
      </c>
      <c r="B1839" s="44">
        <v>44517</v>
      </c>
      <c r="C1839" s="44">
        <f t="shared" si="85"/>
        <v>44517</v>
      </c>
      <c r="D1839" s="374">
        <v>8</v>
      </c>
      <c r="E1839" s="291" t="str">
        <f>IFERROR(VLOOKUP($D1839,'Clients-Live'!$A:$C,3,0),"")</f>
        <v>ALEMI THOMAS</v>
      </c>
      <c r="F1839" s="291">
        <f>IFERROR(INDEX(Disbursements!$D:$D,MATCH('Live Collections'!G1839,Disbursements!$C:$C,0)),"")</f>
        <v>1</v>
      </c>
      <c r="G1839" s="34">
        <v>1</v>
      </c>
      <c r="H1839" s="34">
        <v>3400</v>
      </c>
      <c r="I1839" s="34" t="s">
        <v>1359</v>
      </c>
      <c r="J1839" s="48"/>
      <c r="K1839" s="48"/>
      <c r="L1839" s="48"/>
      <c r="M1839" s="48"/>
      <c r="N1839" s="59"/>
      <c r="O1839" s="59">
        <v>30000</v>
      </c>
      <c r="P1839" s="59"/>
      <c r="Q1839" s="268">
        <f t="shared" si="86"/>
        <v>30000</v>
      </c>
      <c r="R1839" s="61">
        <f>IF(O1839=0,0,SUMIFS(Disbursements!$T:$T,Disbursements!$B:$B,'Live Collections'!D1839,Disbursements!$D:$D,'Live Collections'!F1839))</f>
        <v>65000</v>
      </c>
      <c r="S1839" s="304">
        <f>IF(O1839&lt;=IF($O1839=0,0,SUMIFS(Disbursements!$W:$W,Disbursements!$B:$B,'Live Collections'!D75,Disbursements!$D:$D,'Live Collections'!F75)),O1839,IF($O1839=0,0,SUMIFS(Disbursements!$W:$W,Disbursements!$B:$B,'Live Collections'!D75,Disbursements!$D:$D,'Live Collections'!F75)))</f>
        <v>0</v>
      </c>
      <c r="T1839" s="304">
        <f t="shared" si="87"/>
        <v>30000</v>
      </c>
      <c r="U1839" s="52"/>
      <c r="V1839" s="34"/>
      <c r="W1839" s="408"/>
    </row>
    <row r="1840" spans="1:23" ht="12.75" customHeight="1" x14ac:dyDescent="0.2">
      <c r="A1840" s="257">
        <v>1842</v>
      </c>
      <c r="B1840" s="44">
        <v>44517</v>
      </c>
      <c r="C1840" s="44">
        <f t="shared" si="85"/>
        <v>44517</v>
      </c>
      <c r="D1840" s="374">
        <v>8</v>
      </c>
      <c r="E1840" s="291" t="str">
        <f>IFERROR(VLOOKUP($D1840,'Clients-Live'!$A:$C,3,0),"")</f>
        <v>ALEMI THOMAS</v>
      </c>
      <c r="F1840" s="291">
        <f>IFERROR(INDEX(Disbursements!$D:$D,MATCH('Live Collections'!G1840,Disbursements!$C:$C,0)),"")</f>
        <v>1</v>
      </c>
      <c r="G1840" s="34">
        <v>1</v>
      </c>
      <c r="H1840" s="34">
        <v>3399</v>
      </c>
      <c r="I1840" s="34" t="s">
        <v>1359</v>
      </c>
      <c r="J1840" s="48"/>
      <c r="K1840" s="48"/>
      <c r="L1840" s="48"/>
      <c r="M1840" s="48"/>
      <c r="N1840" s="59"/>
      <c r="O1840" s="59">
        <v>35000</v>
      </c>
      <c r="P1840" s="59"/>
      <c r="Q1840" s="268">
        <f t="shared" si="86"/>
        <v>35000</v>
      </c>
      <c r="R1840" s="61">
        <f>IF(O1840=0,0,SUMIFS(Disbursements!$T:$T,Disbursements!$B:$B,'Live Collections'!D1840,Disbursements!$D:$D,'Live Collections'!F1840))</f>
        <v>65000</v>
      </c>
      <c r="S1840" s="64">
        <v>54333.333333333328</v>
      </c>
      <c r="T1840" s="304">
        <f t="shared" si="87"/>
        <v>-19333.333333333328</v>
      </c>
      <c r="U1840" s="52"/>
      <c r="V1840" s="34"/>
      <c r="W1840" s="408"/>
    </row>
    <row r="1841" spans="1:23" ht="12.75" customHeight="1" x14ac:dyDescent="0.2">
      <c r="A1841" s="257">
        <v>1831</v>
      </c>
      <c r="B1841" s="44">
        <v>44517</v>
      </c>
      <c r="C1841" s="44">
        <f t="shared" si="85"/>
        <v>44517</v>
      </c>
      <c r="D1841" s="374">
        <v>10</v>
      </c>
      <c r="E1841" s="291" t="str">
        <f>IFERROR(VLOOKUP($D1841,'Clients-Live'!$A:$C,3,0),"")</f>
        <v>WARU ARIEYE VALENTINA CHARLES</v>
      </c>
      <c r="F1841" s="291">
        <f>IFERROR(INDEX(Disbursements!$D:$D,MATCH('Live Collections'!G1841,Disbursements!$C:$C,0)),"")</f>
        <v>1</v>
      </c>
      <c r="G1841" s="34">
        <v>334</v>
      </c>
      <c r="H1841" s="34">
        <v>3421</v>
      </c>
      <c r="I1841" s="34" t="s">
        <v>1357</v>
      </c>
      <c r="J1841" s="48"/>
      <c r="K1841" s="48"/>
      <c r="L1841" s="48"/>
      <c r="M1841" s="48"/>
      <c r="N1841" s="59"/>
      <c r="O1841" s="59"/>
      <c r="P1841" s="59">
        <v>50000</v>
      </c>
      <c r="Q1841" s="268">
        <f t="shared" si="86"/>
        <v>50000</v>
      </c>
      <c r="R1841" s="61">
        <f>IF(O1841=0,0,SUMIFS(Disbursements!$T:$T,Disbursements!$B:$B,'Live Collections'!D1841,Disbursements!$D:$D,'Live Collections'!F1841))</f>
        <v>0</v>
      </c>
      <c r="S1841" s="304">
        <f>IF(O1841&lt;=IF($O1841=0,0,SUMIFS(Disbursements!$W:$W,Disbursements!$B:$B,'Live Collections'!D102,Disbursements!$D:$D,'Live Collections'!F102)),O1841,IF($O1841=0,0,SUMIFS(Disbursements!$W:$W,Disbursements!$B:$B,'Live Collections'!D102,Disbursements!$D:$D,'Live Collections'!F102)))</f>
        <v>0</v>
      </c>
      <c r="T1841" s="304">
        <f t="shared" si="87"/>
        <v>0</v>
      </c>
      <c r="U1841" s="52"/>
      <c r="V1841" s="34"/>
      <c r="W1841" s="408"/>
    </row>
    <row r="1842" spans="1:23" ht="12.75" customHeight="1" x14ac:dyDescent="0.2">
      <c r="A1842" s="257">
        <v>1827</v>
      </c>
      <c r="B1842" s="44">
        <v>44517</v>
      </c>
      <c r="C1842" s="44">
        <f t="shared" si="85"/>
        <v>44517</v>
      </c>
      <c r="D1842" s="374">
        <v>78</v>
      </c>
      <c r="E1842" s="291" t="str">
        <f>IFERROR(VLOOKUP($D1842,'Clients-Live'!$A:$C,3,0),"")</f>
        <v>DIPIYO BEATRICE JOHN</v>
      </c>
      <c r="F1842" s="291">
        <f>IFERROR(INDEX(Disbursements!$D:$D,MATCH('Live Collections'!G1842,Disbursements!$C:$C,0)),"")</f>
        <v>1</v>
      </c>
      <c r="G1842" s="34">
        <v>62</v>
      </c>
      <c r="H1842" s="34">
        <v>411</v>
      </c>
      <c r="I1842" s="34" t="s">
        <v>1359</v>
      </c>
      <c r="J1842" s="48"/>
      <c r="K1842" s="48"/>
      <c r="L1842" s="48"/>
      <c r="M1842" s="48"/>
      <c r="N1842" s="59"/>
      <c r="O1842" s="59"/>
      <c r="P1842" s="59">
        <v>-70000</v>
      </c>
      <c r="Q1842" s="268">
        <f t="shared" si="86"/>
        <v>-70000</v>
      </c>
      <c r="R1842" s="61">
        <f>IF(O1842=0,0,SUMIFS(Disbursements!$T:$T,Disbursements!$B:$B,'Live Collections'!D1842,Disbursements!$D:$D,'Live Collections'!F1842))</f>
        <v>0</v>
      </c>
      <c r="S1842" s="304">
        <f>IF(O1842&lt;=IF($O1842=0,0,SUMIFS(Disbursements!$W:$W,Disbursements!$B:$B,'Live Collections'!D1002,Disbursements!$D:$D,'Live Collections'!F1002)),O1842,IF($O1842=0,0,SUMIFS(Disbursements!$W:$W,Disbursements!$B:$B,'Live Collections'!D1002,Disbursements!$D:$D,'Live Collections'!F1002)))</f>
        <v>0</v>
      </c>
      <c r="T1842" s="304">
        <f t="shared" si="87"/>
        <v>0</v>
      </c>
      <c r="U1842" s="52"/>
      <c r="V1842" s="34"/>
      <c r="W1842" s="408" t="s">
        <v>2107</v>
      </c>
    </row>
    <row r="1843" spans="1:23" ht="12.75" customHeight="1" x14ac:dyDescent="0.2">
      <c r="A1843" s="257">
        <v>1828</v>
      </c>
      <c r="B1843" s="44">
        <v>44517</v>
      </c>
      <c r="C1843" s="44">
        <f t="shared" si="85"/>
        <v>44517</v>
      </c>
      <c r="D1843" s="374">
        <v>78</v>
      </c>
      <c r="E1843" s="291" t="str">
        <f>IFERROR(VLOOKUP($D1843,'Clients-Live'!$A:$C,3,0),"")</f>
        <v>DIPIYO BEATRICE JOHN</v>
      </c>
      <c r="F1843" s="291">
        <f>IFERROR(INDEX(Disbursements!$D:$D,MATCH('Live Collections'!G1843,Disbursements!$C:$C,0)),"")</f>
        <v>1</v>
      </c>
      <c r="G1843" s="34">
        <v>62</v>
      </c>
      <c r="H1843" s="34">
        <v>3410</v>
      </c>
      <c r="I1843" s="34" t="s">
        <v>1359</v>
      </c>
      <c r="J1843" s="48"/>
      <c r="K1843" s="48"/>
      <c r="L1843" s="48"/>
      <c r="M1843" s="48"/>
      <c r="N1843" s="59"/>
      <c r="O1843" s="59">
        <v>70000</v>
      </c>
      <c r="P1843" s="59"/>
      <c r="Q1843" s="268">
        <f t="shared" si="86"/>
        <v>70000</v>
      </c>
      <c r="R1843" s="61">
        <f>IF(O1843=0,0,SUMIFS(Disbursements!$T:$T,Disbursements!$B:$B,'Live Collections'!D1843,Disbursements!$D:$D,'Live Collections'!F1843))</f>
        <v>175000</v>
      </c>
      <c r="S1843" s="304">
        <f>IF(O1843&lt;=IF($O1843=0,0,SUMIFS(Disbursements!$W:$W,Disbursements!$B:$B,'Live Collections'!D1003,Disbursements!$D:$D,'Live Collections'!F1003)),O1843,IF($O1843=0,0,SUMIFS(Disbursements!$W:$W,Disbursements!$B:$B,'Live Collections'!D1003,Disbursements!$D:$D,'Live Collections'!F1003)))</f>
        <v>20000</v>
      </c>
      <c r="T1843" s="304">
        <f t="shared" si="87"/>
        <v>50000</v>
      </c>
      <c r="U1843" s="52"/>
      <c r="V1843" s="34"/>
      <c r="W1843" s="408"/>
    </row>
    <row r="1844" spans="1:23" ht="12.75" customHeight="1" x14ac:dyDescent="0.2">
      <c r="A1844" s="257">
        <v>1834</v>
      </c>
      <c r="B1844" s="44">
        <v>44517</v>
      </c>
      <c r="C1844" s="44">
        <f t="shared" si="85"/>
        <v>44517</v>
      </c>
      <c r="D1844" s="374">
        <v>78</v>
      </c>
      <c r="E1844" s="291" t="str">
        <f>IFERROR(VLOOKUP($D1844,'Clients-Live'!$A:$C,3,0),"")</f>
        <v>DIPIYO BEATRICE JOHN</v>
      </c>
      <c r="F1844" s="291" t="str">
        <f>IFERROR(INDEX(Disbursements!$D:$D,MATCH('Live Collections'!G1844,Disbursements!$C:$C,0)),"")</f>
        <v/>
      </c>
      <c r="G1844" s="34"/>
      <c r="H1844" s="34">
        <v>3414</v>
      </c>
      <c r="I1844" s="34" t="s">
        <v>1359</v>
      </c>
      <c r="J1844" s="48"/>
      <c r="K1844" s="48"/>
      <c r="L1844" s="48">
        <v>15000</v>
      </c>
      <c r="M1844" s="48">
        <v>5000</v>
      </c>
      <c r="N1844" s="59"/>
      <c r="O1844" s="59"/>
      <c r="P1844" s="59"/>
      <c r="Q1844" s="268">
        <f t="shared" si="86"/>
        <v>20000</v>
      </c>
      <c r="R1844" s="61">
        <f>IF(O1844=0,0,SUMIFS(Disbursements!$T:$T,Disbursements!$B:$B,'Live Collections'!D1844,Disbursements!$D:$D,'Live Collections'!F1844))</f>
        <v>0</v>
      </c>
      <c r="S1844" s="304">
        <f>IF(O1844&lt;=IF($O1844=0,0,SUMIFS(Disbursements!$W:$W,Disbursements!$B:$B,'Live Collections'!D1004,Disbursements!$D:$D,'Live Collections'!F1004)),O1844,IF($O1844=0,0,SUMIFS(Disbursements!$W:$W,Disbursements!$B:$B,'Live Collections'!D1004,Disbursements!$D:$D,'Live Collections'!F1004)))</f>
        <v>0</v>
      </c>
      <c r="T1844" s="304">
        <f t="shared" si="87"/>
        <v>0</v>
      </c>
      <c r="U1844" s="52"/>
      <c r="V1844" s="34"/>
      <c r="W1844" s="408"/>
    </row>
    <row r="1845" spans="1:23" ht="12.75" customHeight="1" x14ac:dyDescent="0.2">
      <c r="A1845" s="257">
        <v>1835</v>
      </c>
      <c r="B1845" s="44">
        <v>44517</v>
      </c>
      <c r="C1845" s="44">
        <f t="shared" si="85"/>
        <v>44517</v>
      </c>
      <c r="D1845" s="374">
        <v>78</v>
      </c>
      <c r="E1845" s="291" t="str">
        <f>IFERROR(VLOOKUP($D1845,'Clients-Live'!$A:$C,3,0),"")</f>
        <v>DIPIYO BEATRICE JOHN</v>
      </c>
      <c r="F1845" s="291">
        <f>IFERROR(INDEX(Disbursements!$D:$D,MATCH('Live Collections'!G1845,Disbursements!$C:$C,0)),"")</f>
        <v>1</v>
      </c>
      <c r="G1845" s="34">
        <v>62</v>
      </c>
      <c r="H1845" s="34">
        <v>3409</v>
      </c>
      <c r="I1845" s="34" t="s">
        <v>1359</v>
      </c>
      <c r="J1845" s="48"/>
      <c r="K1845" s="48"/>
      <c r="L1845" s="48"/>
      <c r="M1845" s="48"/>
      <c r="N1845" s="59"/>
      <c r="O1845" s="59">
        <v>105000</v>
      </c>
      <c r="P1845" s="59"/>
      <c r="Q1845" s="268">
        <f t="shared" si="86"/>
        <v>105000</v>
      </c>
      <c r="R1845" s="61">
        <f>IF(O1845=0,0,SUMIFS(Disbursements!$T:$T,Disbursements!$B:$B,'Live Collections'!D1845,Disbursements!$D:$D,'Live Collections'!F1845))</f>
        <v>175000</v>
      </c>
      <c r="S1845" s="64">
        <v>105000</v>
      </c>
      <c r="T1845" s="304">
        <f t="shared" si="87"/>
        <v>0</v>
      </c>
      <c r="U1845" s="52"/>
      <c r="V1845" s="34"/>
      <c r="W1845" s="408"/>
    </row>
    <row r="1846" spans="1:23" ht="12.75" customHeight="1" x14ac:dyDescent="0.2">
      <c r="A1846" s="257">
        <v>1840</v>
      </c>
      <c r="B1846" s="44">
        <v>44517</v>
      </c>
      <c r="C1846" s="44">
        <f t="shared" si="85"/>
        <v>44517</v>
      </c>
      <c r="D1846" s="374">
        <v>88</v>
      </c>
      <c r="E1846" s="291" t="str">
        <f>IFERROR(VLOOKUP($D1846,'Clients-Live'!$A:$C,3,0),"")</f>
        <v>FAIDA HARRIET</v>
      </c>
      <c r="F1846" s="291">
        <f>IFERROR(INDEX(Disbursements!$D:$D,MATCH('Live Collections'!G1846,Disbursements!$C:$C,0)),"")</f>
        <v>2</v>
      </c>
      <c r="G1846" s="34">
        <v>169</v>
      </c>
      <c r="H1846" s="34">
        <v>3405</v>
      </c>
      <c r="I1846" s="34" t="s">
        <v>1357</v>
      </c>
      <c r="J1846" s="48"/>
      <c r="K1846" s="48"/>
      <c r="L1846" s="48"/>
      <c r="M1846" s="48"/>
      <c r="N1846" s="59"/>
      <c r="O1846" s="59">
        <v>30000</v>
      </c>
      <c r="P1846" s="59"/>
      <c r="Q1846" s="268">
        <f t="shared" si="86"/>
        <v>30000</v>
      </c>
      <c r="R1846" s="61">
        <f>IF(O1846=0,0,SUMIFS(Disbursements!$T:$T,Disbursements!$B:$B,'Live Collections'!D1846,Disbursements!$D:$D,'Live Collections'!F1846))</f>
        <v>90000</v>
      </c>
      <c r="S1846" s="304">
        <f>IF(O1846&lt;=IF($O1846=0,0,SUMIFS(Disbursements!$W:$W,Disbursements!$B:$B,'Live Collections'!D1143,Disbursements!$D:$D,'Live Collections'!F1143)),O1846,IF($O1846=0,0,SUMIFS(Disbursements!$W:$W,Disbursements!$B:$B,'Live Collections'!D1143,Disbursements!$D:$D,'Live Collections'!F1143)))</f>
        <v>4000</v>
      </c>
      <c r="T1846" s="304">
        <f t="shared" si="87"/>
        <v>26000</v>
      </c>
      <c r="U1846" s="52"/>
      <c r="V1846" s="34"/>
      <c r="W1846" s="408"/>
    </row>
    <row r="1847" spans="1:23" ht="12.75" customHeight="1" x14ac:dyDescent="0.2">
      <c r="A1847" s="257">
        <v>1839</v>
      </c>
      <c r="B1847" s="44">
        <v>44517</v>
      </c>
      <c r="C1847" s="44">
        <f t="shared" si="85"/>
        <v>44517</v>
      </c>
      <c r="D1847" s="374">
        <v>100</v>
      </c>
      <c r="E1847" s="291" t="str">
        <f>IFERROR(VLOOKUP($D1847,'Clients-Live'!$A:$C,3,0),"")</f>
        <v>LETAYO DORCUS</v>
      </c>
      <c r="F1847" s="291">
        <f>IFERROR(INDEX(Disbursements!$D:$D,MATCH('Live Collections'!G1847,Disbursements!$C:$C,0)),"")</f>
        <v>2</v>
      </c>
      <c r="G1847" s="34">
        <v>184</v>
      </c>
      <c r="H1847" s="34">
        <v>3403</v>
      </c>
      <c r="I1847" s="34" t="s">
        <v>1357</v>
      </c>
      <c r="J1847" s="48"/>
      <c r="K1847" s="48"/>
      <c r="L1847" s="48"/>
      <c r="M1847" s="48"/>
      <c r="N1847" s="59"/>
      <c r="O1847" s="59">
        <v>35000</v>
      </c>
      <c r="P1847" s="59"/>
      <c r="Q1847" s="268">
        <f t="shared" si="86"/>
        <v>35000</v>
      </c>
      <c r="R1847" s="61">
        <f>IF(O1847=0,0,SUMIFS(Disbursements!$T:$T,Disbursements!$B:$B,'Live Collections'!D1847,Disbursements!$D:$D,'Live Collections'!F1847))</f>
        <v>150000</v>
      </c>
      <c r="S1847" s="304">
        <v>-5666.6666666666715</v>
      </c>
      <c r="T1847" s="304">
        <f t="shared" si="87"/>
        <v>40666.666666666672</v>
      </c>
      <c r="U1847" s="52"/>
      <c r="V1847" s="34"/>
      <c r="W1847" s="408"/>
    </row>
    <row r="1848" spans="1:23" ht="12.75" customHeight="1" x14ac:dyDescent="0.2">
      <c r="A1848" s="257">
        <v>1843</v>
      </c>
      <c r="B1848" s="44">
        <v>44517</v>
      </c>
      <c r="C1848" s="44">
        <f t="shared" si="85"/>
        <v>44517</v>
      </c>
      <c r="D1848" s="374">
        <v>117</v>
      </c>
      <c r="E1848" s="291" t="str">
        <f>IFERROR(VLOOKUP($D1848,'Clients-Live'!$A:$C,3,0),"")</f>
        <v>MAWA JACKSON</v>
      </c>
      <c r="F1848" s="291">
        <f>IFERROR(INDEX(Disbursements!$D:$D,MATCH('Live Collections'!G1848,Disbursements!$C:$C,0)),"")</f>
        <v>1</v>
      </c>
      <c r="G1848" s="34">
        <v>99</v>
      </c>
      <c r="H1848" s="34">
        <v>3397</v>
      </c>
      <c r="I1848" s="34" t="s">
        <v>1358</v>
      </c>
      <c r="J1848" s="48"/>
      <c r="K1848" s="48"/>
      <c r="L1848" s="48"/>
      <c r="M1848" s="48"/>
      <c r="N1848" s="59"/>
      <c r="O1848" s="59">
        <v>100000</v>
      </c>
      <c r="P1848" s="59"/>
      <c r="Q1848" s="268">
        <f t="shared" si="86"/>
        <v>100000</v>
      </c>
      <c r="R1848" s="61">
        <f>IF(O1848=0,0,SUMIFS(Disbursements!$T:$T,Disbursements!$B:$B,'Live Collections'!D1848,Disbursements!$D:$D,'Live Collections'!F1848))</f>
        <v>152000</v>
      </c>
      <c r="S1848" s="304">
        <f>IF(O1848&lt;=IF($O1848=0,0,SUMIFS(Disbursements!$W:$W,Disbursements!$B:$B,'Live Collections'!D1523,Disbursements!$D:$D,'Live Collections'!F1523)),O1848,IF($O1848=0,0,SUMIFS(Disbursements!$W:$W,Disbursements!$B:$B,'Live Collections'!D1523,Disbursements!$D:$D,'Live Collections'!F1523)))</f>
        <v>20000</v>
      </c>
      <c r="T1848" s="304">
        <f t="shared" si="87"/>
        <v>80000</v>
      </c>
      <c r="U1848" s="52"/>
      <c r="V1848" s="34"/>
      <c r="W1848" s="408"/>
    </row>
    <row r="1849" spans="1:23" ht="12.75" customHeight="1" x14ac:dyDescent="0.2">
      <c r="A1849" s="257">
        <v>1836</v>
      </c>
      <c r="B1849" s="44">
        <v>44517</v>
      </c>
      <c r="C1849" s="44">
        <f t="shared" si="85"/>
        <v>44517</v>
      </c>
      <c r="D1849" s="374">
        <v>124</v>
      </c>
      <c r="E1849" s="291" t="str">
        <f>IFERROR(VLOOKUP($D1849,'Clients-Live'!$A:$C,3,0),"")</f>
        <v>TIKO ZABIBU</v>
      </c>
      <c r="F1849" s="291" t="str">
        <f>IFERROR(INDEX(Disbursements!$D:$D,MATCH('Live Collections'!G1849,Disbursements!$C:$C,0)),"")</f>
        <v/>
      </c>
      <c r="G1849" s="34"/>
      <c r="H1849" s="34">
        <v>3412</v>
      </c>
      <c r="I1849" s="34" t="s">
        <v>1358</v>
      </c>
      <c r="J1849" s="48"/>
      <c r="K1849" s="48"/>
      <c r="L1849" s="48">
        <v>15000</v>
      </c>
      <c r="M1849" s="48">
        <v>5000</v>
      </c>
      <c r="N1849" s="59"/>
      <c r="O1849" s="59"/>
      <c r="P1849" s="59"/>
      <c r="Q1849" s="268">
        <f t="shared" si="86"/>
        <v>20000</v>
      </c>
      <c r="R1849" s="61">
        <f>IF(O1849=0,0,SUMIFS(Disbursements!$T:$T,Disbursements!$B:$B,'Live Collections'!D1849,Disbursements!$D:$D,'Live Collections'!F1849))</f>
        <v>0</v>
      </c>
      <c r="S1849" s="304">
        <f>IF(O1849&lt;=IF($O1849=0,0,SUMIFS(Disbursements!$W:$W,Disbursements!$B:$B,'Live Collections'!D1580,Disbursements!$D:$D,'Live Collections'!F1580)),O1849,IF($O1849=0,0,SUMIFS(Disbursements!$W:$W,Disbursements!$B:$B,'Live Collections'!D1580,Disbursements!$D:$D,'Live Collections'!F1580)))</f>
        <v>0</v>
      </c>
      <c r="T1849" s="304">
        <f t="shared" si="87"/>
        <v>0</v>
      </c>
      <c r="U1849" s="52"/>
      <c r="V1849" s="34"/>
      <c r="W1849" s="408"/>
    </row>
    <row r="1850" spans="1:23" ht="12.75" customHeight="1" x14ac:dyDescent="0.2">
      <c r="A1850" s="257">
        <v>1844</v>
      </c>
      <c r="B1850" s="44">
        <v>44517</v>
      </c>
      <c r="C1850" s="44">
        <f t="shared" si="85"/>
        <v>44517</v>
      </c>
      <c r="D1850" s="374">
        <v>129</v>
      </c>
      <c r="E1850" s="291" t="str">
        <f>IFERROR(VLOOKUP($D1850,'Clients-Live'!$A:$C,3,0),"")</f>
        <v>BAKO ASINA</v>
      </c>
      <c r="F1850" s="291">
        <f>IFERROR(INDEX(Disbursements!$D:$D,MATCH('Live Collections'!G1850,Disbursements!$C:$C,0)),"")</f>
        <v>2</v>
      </c>
      <c r="G1850" s="34">
        <v>332</v>
      </c>
      <c r="H1850" s="34">
        <v>3398</v>
      </c>
      <c r="I1850" s="34" t="s">
        <v>1358</v>
      </c>
      <c r="J1850" s="48"/>
      <c r="K1850" s="48"/>
      <c r="L1850" s="48"/>
      <c r="M1850" s="48"/>
      <c r="N1850" s="59"/>
      <c r="O1850" s="59"/>
      <c r="P1850" s="59">
        <v>200000</v>
      </c>
      <c r="Q1850" s="268">
        <f t="shared" si="86"/>
        <v>200000</v>
      </c>
      <c r="R1850" s="61">
        <f>IF(O1850=0,0,SUMIFS(Disbursements!$T:$T,Disbursements!$B:$B,'Live Collections'!D1850,Disbursements!$D:$D,'Live Collections'!F1850))</f>
        <v>0</v>
      </c>
      <c r="S1850" s="304">
        <f>IF(O1850&lt;=IF($O1850=0,0,SUMIFS(Disbursements!$W:$W,Disbursements!$B:$B,'Live Collections'!D1638,Disbursements!$D:$D,'Live Collections'!F1638)),O1850,IF($O1850=0,0,SUMIFS(Disbursements!$W:$W,Disbursements!$B:$B,'Live Collections'!D1638,Disbursements!$D:$D,'Live Collections'!F1638)))</f>
        <v>0</v>
      </c>
      <c r="T1850" s="304">
        <f t="shared" si="87"/>
        <v>0</v>
      </c>
      <c r="U1850" s="52"/>
      <c r="V1850" s="34"/>
      <c r="W1850" s="408"/>
    </row>
    <row r="1851" spans="1:23" ht="12.75" customHeight="1" x14ac:dyDescent="0.2">
      <c r="A1851" s="257">
        <v>1829</v>
      </c>
      <c r="B1851" s="44">
        <v>44517</v>
      </c>
      <c r="C1851" s="44">
        <f t="shared" si="85"/>
        <v>44517</v>
      </c>
      <c r="D1851" s="374">
        <v>157</v>
      </c>
      <c r="E1851" s="291" t="str">
        <f>IFERROR(VLOOKUP($D1851,'Clients-Live'!$A:$C,3,0),"")</f>
        <v>AYITE MARGERT</v>
      </c>
      <c r="F1851" s="291" t="str">
        <f>IFERROR(INDEX(Disbursements!$D:$D,MATCH('Live Collections'!G1851,Disbursements!$C:$C,0)),"")</f>
        <v/>
      </c>
      <c r="G1851" s="34"/>
      <c r="H1851" s="34">
        <v>404</v>
      </c>
      <c r="I1851" s="34" t="s">
        <v>1357</v>
      </c>
      <c r="J1851" s="48"/>
      <c r="K1851" s="48"/>
      <c r="L1851" s="48"/>
      <c r="M1851" s="48"/>
      <c r="N1851" s="59"/>
      <c r="O1851" s="59"/>
      <c r="P1851" s="59">
        <v>-70000</v>
      </c>
      <c r="Q1851" s="268">
        <f t="shared" si="86"/>
        <v>-70000</v>
      </c>
      <c r="R1851" s="61">
        <f>IF(O1851=0,0,SUMIFS(Disbursements!$T:$T,Disbursements!$B:$B,'Live Collections'!D1851,Disbursements!$D:$D,'Live Collections'!F1851))</f>
        <v>0</v>
      </c>
      <c r="S1851" s="304">
        <f>IF(O1851&lt;=IF($O1851=0,0,SUMIFS(Disbursements!$W:$W,Disbursements!$B:$B,'Live Collections'!D1970,Disbursements!$D:$D,'Live Collections'!F1970)),O1851,IF($O1851=0,0,SUMIFS(Disbursements!$W:$W,Disbursements!$B:$B,'Live Collections'!D1970,Disbursements!$D:$D,'Live Collections'!F1970)))</f>
        <v>0</v>
      </c>
      <c r="T1851" s="304">
        <f t="shared" si="87"/>
        <v>0</v>
      </c>
      <c r="U1851" s="52"/>
      <c r="V1851" s="34"/>
      <c r="W1851" s="408"/>
    </row>
    <row r="1852" spans="1:23" ht="12.75" customHeight="1" x14ac:dyDescent="0.2">
      <c r="A1852" s="257">
        <v>1830</v>
      </c>
      <c r="B1852" s="44">
        <v>44517</v>
      </c>
      <c r="C1852" s="44">
        <f t="shared" si="85"/>
        <v>44517</v>
      </c>
      <c r="D1852" s="374">
        <v>157</v>
      </c>
      <c r="E1852" s="291" t="str">
        <f>IFERROR(VLOOKUP($D1852,'Clients-Live'!$A:$C,3,0),"")</f>
        <v>AYITE MARGERT</v>
      </c>
      <c r="F1852" s="291">
        <f>IFERROR(INDEX(Disbursements!$D:$D,MATCH('Live Collections'!G1852,Disbursements!$C:$C,0)),"")</f>
        <v>1</v>
      </c>
      <c r="G1852" s="34">
        <v>148</v>
      </c>
      <c r="H1852" s="34">
        <v>3420</v>
      </c>
      <c r="I1852" s="34" t="s">
        <v>1357</v>
      </c>
      <c r="J1852" s="48"/>
      <c r="K1852" s="48"/>
      <c r="L1852" s="48"/>
      <c r="M1852" s="48"/>
      <c r="N1852" s="59"/>
      <c r="O1852" s="59">
        <v>70000</v>
      </c>
      <c r="P1852" s="59"/>
      <c r="Q1852" s="268">
        <f t="shared" si="86"/>
        <v>70000</v>
      </c>
      <c r="R1852" s="61">
        <f>IF(O1852=0,0,SUMIFS(Disbursements!$T:$T,Disbursements!$B:$B,'Live Collections'!D1852,Disbursements!$D:$D,'Live Collections'!F1852))</f>
        <v>150000</v>
      </c>
      <c r="S1852" s="304"/>
      <c r="T1852" s="304">
        <f t="shared" si="87"/>
        <v>70000</v>
      </c>
      <c r="U1852" s="52"/>
      <c r="V1852" s="34"/>
      <c r="W1852" s="408" t="s">
        <v>1844</v>
      </c>
    </row>
    <row r="1853" spans="1:23" ht="12.75" customHeight="1" x14ac:dyDescent="0.2">
      <c r="A1853" s="257">
        <v>1838</v>
      </c>
      <c r="B1853" s="44">
        <v>44517</v>
      </c>
      <c r="C1853" s="44">
        <f t="shared" si="85"/>
        <v>44517</v>
      </c>
      <c r="D1853" s="374">
        <v>179</v>
      </c>
      <c r="E1853" s="291" t="str">
        <f>IFERROR(VLOOKUP($D1853,'Clients-Live'!$A:$C,3,0),"")</f>
        <v>GERIA VIOLA</v>
      </c>
      <c r="F1853" s="291">
        <f>IFERROR(INDEX(Disbursements!$D:$D,MATCH('Live Collections'!G1853,Disbursements!$C:$C,0)),"")</f>
        <v>2</v>
      </c>
      <c r="G1853" s="34">
        <v>330</v>
      </c>
      <c r="H1853" s="34">
        <v>3406</v>
      </c>
      <c r="I1853" s="34" t="s">
        <v>1359</v>
      </c>
      <c r="J1853" s="48"/>
      <c r="K1853" s="48"/>
      <c r="L1853" s="48"/>
      <c r="M1853" s="48"/>
      <c r="N1853" s="59"/>
      <c r="O1853" s="59"/>
      <c r="P1853" s="59">
        <v>40000</v>
      </c>
      <c r="Q1853" s="268">
        <f t="shared" si="86"/>
        <v>40000</v>
      </c>
      <c r="R1853" s="61">
        <f>IF(O1853=0,0,SUMIFS(Disbursements!$T:$T,Disbursements!$B:$B,'Live Collections'!D1853,Disbursements!$D:$D,'Live Collections'!F1853))</f>
        <v>0</v>
      </c>
      <c r="S1853" s="304">
        <f>IF(O1853&lt;=IF($O1853=0,0,SUMIFS(Disbursements!$W:$W,Disbursements!$B:$B,'Live Collections'!D2194,Disbursements!$D:$D,'Live Collections'!F2194)),O1853,IF($O1853=0,0,SUMIFS(Disbursements!$W:$W,Disbursements!$B:$B,'Live Collections'!D2194,Disbursements!$D:$D,'Live Collections'!F2194)))</f>
        <v>0</v>
      </c>
      <c r="T1853" s="304">
        <f t="shared" si="87"/>
        <v>0</v>
      </c>
      <c r="U1853" s="52"/>
      <c r="V1853" s="34"/>
      <c r="W1853" s="408"/>
    </row>
    <row r="1854" spans="1:23" ht="12.75" customHeight="1" x14ac:dyDescent="0.2">
      <c r="A1854" s="257">
        <v>1841</v>
      </c>
      <c r="B1854" s="44">
        <v>44517</v>
      </c>
      <c r="C1854" s="44">
        <f t="shared" si="85"/>
        <v>44517</v>
      </c>
      <c r="D1854" s="374">
        <v>192</v>
      </c>
      <c r="E1854" s="291" t="str">
        <f>IFERROR(VLOOKUP($D1854,'Clients-Live'!$A:$C,3,0),"")</f>
        <v>MAZARAU AISHA</v>
      </c>
      <c r="F1854" s="291">
        <f>IFERROR(INDEX(Disbursements!$D:$D,MATCH('Live Collections'!G1854,Disbursements!$C:$C,0)),"")</f>
        <v>1</v>
      </c>
      <c r="G1854" s="34">
        <v>181</v>
      </c>
      <c r="H1854" s="34">
        <v>3404</v>
      </c>
      <c r="I1854" s="34" t="s">
        <v>1357</v>
      </c>
      <c r="J1854" s="48"/>
      <c r="K1854" s="48"/>
      <c r="L1854" s="48"/>
      <c r="M1854" s="48"/>
      <c r="N1854" s="59"/>
      <c r="O1854" s="59">
        <v>20000</v>
      </c>
      <c r="P1854" s="59"/>
      <c r="Q1854" s="268">
        <f t="shared" si="86"/>
        <v>20000</v>
      </c>
      <c r="R1854" s="61">
        <f>IF(O1854=0,0,SUMIFS(Disbursements!$T:$T,Disbursements!$B:$B,'Live Collections'!D1854,Disbursements!$D:$D,'Live Collections'!F1854))</f>
        <v>115000</v>
      </c>
      <c r="S1854" s="304"/>
      <c r="T1854" s="304">
        <f t="shared" si="87"/>
        <v>20000</v>
      </c>
      <c r="U1854" s="52"/>
      <c r="V1854" s="34"/>
      <c r="W1854" s="408"/>
    </row>
    <row r="1855" spans="1:23" ht="12.75" customHeight="1" x14ac:dyDescent="0.2">
      <c r="A1855" s="257">
        <v>1837</v>
      </c>
      <c r="B1855" s="44">
        <v>44517</v>
      </c>
      <c r="C1855" s="44">
        <f t="shared" si="85"/>
        <v>44517</v>
      </c>
      <c r="D1855" s="374">
        <v>217</v>
      </c>
      <c r="E1855" s="291" t="str">
        <f>IFERROR(VLOOKUP($D1855,'Clients-Live'!$A:$C,3,0),"")</f>
        <v>JAMBA MOSES</v>
      </c>
      <c r="F1855" s="291" t="str">
        <f>IFERROR(INDEX(Disbursements!$D:$D,MATCH('Live Collections'!G1855,Disbursements!$C:$C,0)),"")</f>
        <v/>
      </c>
      <c r="G1855" s="34"/>
      <c r="H1855" s="34">
        <v>3413</v>
      </c>
      <c r="I1855" s="34" t="s">
        <v>1357</v>
      </c>
      <c r="J1855" s="48"/>
      <c r="K1855" s="48"/>
      <c r="L1855" s="48">
        <v>10000</v>
      </c>
      <c r="M1855" s="48">
        <v>5000</v>
      </c>
      <c r="N1855" s="59"/>
      <c r="O1855" s="59"/>
      <c r="P1855" s="59"/>
      <c r="Q1855" s="268">
        <f t="shared" si="86"/>
        <v>15000</v>
      </c>
      <c r="R1855" s="61">
        <f>IF(O1855=0,0,SUMIFS(Disbursements!$T:$T,Disbursements!$B:$B,'Live Collections'!D1855,Disbursements!$D:$D,'Live Collections'!F1855))</f>
        <v>0</v>
      </c>
      <c r="S1855" s="304">
        <f>IF(O1855&lt;=IF($O1855=0,0,SUMIFS(Disbursements!$W:$W,Disbursements!$B:$B,'Live Collections'!D2560,Disbursements!$D:$D,'Live Collections'!F2560)),O1855,IF($O1855=0,0,SUMIFS(Disbursements!$W:$W,Disbursements!$B:$B,'Live Collections'!D2560,Disbursements!$D:$D,'Live Collections'!F2560)))</f>
        <v>0</v>
      </c>
      <c r="T1855" s="304">
        <f t="shared" si="87"/>
        <v>0</v>
      </c>
      <c r="U1855" s="52"/>
      <c r="V1855" s="34"/>
      <c r="W1855" s="408"/>
    </row>
    <row r="1856" spans="1:23" ht="12.75" customHeight="1" x14ac:dyDescent="0.2">
      <c r="A1856" s="257">
        <v>1832</v>
      </c>
      <c r="B1856" s="44">
        <v>44517</v>
      </c>
      <c r="C1856" s="44">
        <f t="shared" si="85"/>
        <v>44517</v>
      </c>
      <c r="D1856" s="374">
        <v>265</v>
      </c>
      <c r="E1856" s="291" t="str">
        <f>IFERROR(VLOOKUP($D1856,'Clients-Live'!$A:$C,3,0),"")</f>
        <v>OCATRE CHARLES</v>
      </c>
      <c r="F1856" s="291">
        <f>IFERROR(INDEX(Disbursements!$D:$D,MATCH('Live Collections'!G1856,Disbursements!$C:$C,0)),"")</f>
        <v>2</v>
      </c>
      <c r="G1856" s="34">
        <v>333</v>
      </c>
      <c r="H1856" s="34">
        <v>3419</v>
      </c>
      <c r="I1856" s="34" t="s">
        <v>1357</v>
      </c>
      <c r="J1856" s="48"/>
      <c r="K1856" s="48"/>
      <c r="L1856" s="48"/>
      <c r="M1856" s="48"/>
      <c r="N1856" s="59"/>
      <c r="O1856" s="59"/>
      <c r="P1856" s="59">
        <v>200000</v>
      </c>
      <c r="Q1856" s="268">
        <f t="shared" si="86"/>
        <v>200000</v>
      </c>
      <c r="R1856" s="61">
        <f>IF(O1856=0,0,SUMIFS(Disbursements!$T:$T,Disbursements!$B:$B,'Live Collections'!D1856,Disbursements!$D:$D,'Live Collections'!F1856))</f>
        <v>0</v>
      </c>
      <c r="S1856" s="304">
        <f>IF(O1856&lt;=IF($O1856=0,0,SUMIFS(Disbursements!$W:$W,Disbursements!$B:$B,'Live Collections'!D2925,Disbursements!$D:$D,'Live Collections'!F2925)),O1856,IF($O1856=0,0,SUMIFS(Disbursements!$W:$W,Disbursements!$B:$B,'Live Collections'!D2925,Disbursements!$D:$D,'Live Collections'!F2925)))</f>
        <v>0</v>
      </c>
      <c r="T1856" s="304">
        <f t="shared" si="87"/>
        <v>0</v>
      </c>
      <c r="U1856" s="52"/>
      <c r="V1856" s="34"/>
      <c r="W1856" s="408"/>
    </row>
    <row r="1857" spans="1:23" ht="12.75" customHeight="1" x14ac:dyDescent="0.2">
      <c r="A1857" s="257">
        <v>1833</v>
      </c>
      <c r="B1857" s="44">
        <v>44517</v>
      </c>
      <c r="C1857" s="44">
        <f t="shared" si="85"/>
        <v>44517</v>
      </c>
      <c r="D1857" s="374">
        <v>272</v>
      </c>
      <c r="E1857" s="291" t="str">
        <f>IFERROR(VLOOKUP($D1857,'Clients-Live'!$A:$C,3,0),"")</f>
        <v>AFEKU EMMANUEL</v>
      </c>
      <c r="F1857" s="291">
        <f>IFERROR(INDEX(Disbursements!$D:$D,MATCH('Live Collections'!G1857,Disbursements!$C:$C,0)),"")</f>
        <v>1</v>
      </c>
      <c r="G1857" s="34">
        <v>331</v>
      </c>
      <c r="H1857" s="34">
        <v>3415</v>
      </c>
      <c r="I1857" s="34" t="s">
        <v>1359</v>
      </c>
      <c r="J1857" s="48"/>
      <c r="K1857" s="48"/>
      <c r="L1857" s="48"/>
      <c r="M1857" s="48"/>
      <c r="N1857" s="59"/>
      <c r="O1857" s="59"/>
      <c r="P1857" s="59">
        <v>40000</v>
      </c>
      <c r="Q1857" s="268">
        <f t="shared" si="86"/>
        <v>40000</v>
      </c>
      <c r="R1857" s="61">
        <f>IF(O1857=0,0,SUMIFS(Disbursements!$T:$T,Disbursements!$B:$B,'Live Collections'!D1857,Disbursements!$D:$D,'Live Collections'!F1857))</f>
        <v>0</v>
      </c>
      <c r="S1857" s="304">
        <f>IF(O1857&lt;=IF($O1857=0,0,SUMIFS(Disbursements!$W:$W,Disbursements!$B:$B,'Live Collections'!D2976,Disbursements!$D:$D,'Live Collections'!F2976)),O1857,IF($O1857=0,0,SUMIFS(Disbursements!$W:$W,Disbursements!$B:$B,'Live Collections'!D2976,Disbursements!$D:$D,'Live Collections'!F2976)))</f>
        <v>0</v>
      </c>
      <c r="T1857" s="304">
        <f t="shared" si="87"/>
        <v>0</v>
      </c>
      <c r="U1857" s="52"/>
      <c r="V1857" s="34"/>
      <c r="W1857" s="408"/>
    </row>
    <row r="1858" spans="1:23" ht="12.75" customHeight="1" x14ac:dyDescent="0.2">
      <c r="A1858" s="257">
        <v>1850</v>
      </c>
      <c r="B1858" s="44">
        <v>44518</v>
      </c>
      <c r="C1858" s="44">
        <f t="shared" si="85"/>
        <v>44518</v>
      </c>
      <c r="D1858" s="374">
        <v>62</v>
      </c>
      <c r="E1858" s="291" t="str">
        <f>IFERROR(VLOOKUP($D1858,'Clients-Live'!$A:$C,3,0),"")</f>
        <v>DUDU ARIKE</v>
      </c>
      <c r="F1858" s="291">
        <f>IFERROR(INDEX(Disbursements!$D:$D,MATCH('Live Collections'!G1858,Disbursements!$C:$C,0)),"")</f>
        <v>1</v>
      </c>
      <c r="G1858" s="34">
        <v>44</v>
      </c>
      <c r="H1858" s="34">
        <v>3427</v>
      </c>
      <c r="I1858" s="34" t="s">
        <v>1357</v>
      </c>
      <c r="J1858" s="48"/>
      <c r="K1858" s="48"/>
      <c r="L1858" s="48"/>
      <c r="M1858" s="48"/>
      <c r="N1858" s="59"/>
      <c r="O1858" s="59">
        <v>150000</v>
      </c>
      <c r="P1858" s="59"/>
      <c r="Q1858" s="268">
        <f t="shared" si="86"/>
        <v>150000</v>
      </c>
      <c r="R1858" s="61">
        <f>IF(O1858=0,0,SUMIFS(Disbursements!$T:$T,Disbursements!$B:$B,'Live Collections'!D1858,Disbursements!$D:$D,'Live Collections'!F1858))</f>
        <v>217000</v>
      </c>
      <c r="S1858" s="304">
        <f>IF(O1858&lt;=IF($O1858=0,0,SUMIFS(Disbursements!$W:$W,Disbursements!$B:$B,'Live Collections'!D745,Disbursements!$D:$D,'Live Collections'!F745)),O1858,IF($O1858=0,0,SUMIFS(Disbursements!$W:$W,Disbursements!$B:$B,'Live Collections'!D745,Disbursements!$D:$D,'Live Collections'!F745)))</f>
        <v>50333.333333333343</v>
      </c>
      <c r="T1858" s="304">
        <f t="shared" si="87"/>
        <v>99666.666666666657</v>
      </c>
      <c r="U1858" s="52"/>
      <c r="V1858" s="34"/>
      <c r="W1858" s="408"/>
    </row>
    <row r="1859" spans="1:23" ht="12.75" customHeight="1" x14ac:dyDescent="0.2">
      <c r="A1859" s="257">
        <v>1852</v>
      </c>
      <c r="B1859" s="44">
        <v>44518</v>
      </c>
      <c r="C1859" s="44">
        <f t="shared" ref="C1859:C1922" si="88">B1859</f>
        <v>44518</v>
      </c>
      <c r="D1859" s="374">
        <v>66</v>
      </c>
      <c r="E1859" s="291" t="str">
        <f>IFERROR(VLOOKUP($D1859,'Clients-Live'!$A:$C,3,0),"")</f>
        <v>DENAYA NYAMAZA</v>
      </c>
      <c r="F1859" s="291">
        <f>IFERROR(INDEX(Disbursements!$D:$D,MATCH('Live Collections'!G1859,Disbursements!$C:$C,0)),"")</f>
        <v>2</v>
      </c>
      <c r="G1859" s="34">
        <v>300</v>
      </c>
      <c r="H1859" s="34">
        <v>3423</v>
      </c>
      <c r="I1859" s="34" t="s">
        <v>1357</v>
      </c>
      <c r="J1859" s="48"/>
      <c r="K1859" s="48"/>
      <c r="L1859" s="48"/>
      <c r="M1859" s="48"/>
      <c r="N1859" s="59"/>
      <c r="O1859" s="59">
        <v>100000</v>
      </c>
      <c r="P1859" s="59"/>
      <c r="Q1859" s="268">
        <f t="shared" ref="Q1859:Q1922" si="89">SUM(J1859:P1859)</f>
        <v>100000</v>
      </c>
      <c r="R1859" s="61">
        <f>IF(O1859=0,0,SUMIFS(Disbursements!$T:$T,Disbursements!$B:$B,'Live Collections'!D1859,Disbursements!$D:$D,'Live Collections'!F1859))</f>
        <v>109000</v>
      </c>
      <c r="S1859" s="304">
        <f>IF(O1859&lt;=IF($O1859=0,0,SUMIFS(Disbursements!$W:$W,Disbursements!$B:$B,'Live Collections'!D813,Disbursements!$D:$D,'Live Collections'!F813)),O1859,IF($O1859=0,0,SUMIFS(Disbursements!$W:$W,Disbursements!$B:$B,'Live Collections'!D813,Disbursements!$D:$D,'Live Collections'!F813)))</f>
        <v>30000</v>
      </c>
      <c r="T1859" s="304">
        <f t="shared" ref="T1859:T1922" si="90">IF(O1859=0,0,O1859-S1859)</f>
        <v>70000</v>
      </c>
      <c r="U1859" s="52"/>
      <c r="V1859" s="34"/>
      <c r="W1859" s="408"/>
    </row>
    <row r="1860" spans="1:23" ht="12.75" customHeight="1" x14ac:dyDescent="0.2">
      <c r="A1860" s="257">
        <v>1846</v>
      </c>
      <c r="B1860" s="44">
        <v>44518</v>
      </c>
      <c r="C1860" s="44">
        <f t="shared" si="88"/>
        <v>44518</v>
      </c>
      <c r="D1860" s="374">
        <v>97</v>
      </c>
      <c r="E1860" s="291" t="str">
        <f>IFERROR(VLOOKUP($D1860,'Clients-Live'!$A:$C,3,0),"")</f>
        <v>DRANDUA JOB CHRISPUS</v>
      </c>
      <c r="F1860" s="291">
        <f>IFERROR(INDEX(Disbursements!$D:$D,MATCH('Live Collections'!G1860,Disbursements!$C:$C,0)),"")</f>
        <v>3</v>
      </c>
      <c r="G1860" s="34">
        <v>202</v>
      </c>
      <c r="H1860" s="34">
        <v>3429</v>
      </c>
      <c r="I1860" s="34" t="s">
        <v>1359</v>
      </c>
      <c r="J1860" s="48"/>
      <c r="K1860" s="48"/>
      <c r="L1860" s="48"/>
      <c r="M1860" s="48"/>
      <c r="N1860" s="59"/>
      <c r="O1860" s="59">
        <f>850000+2000</f>
        <v>852000</v>
      </c>
      <c r="P1860" s="59"/>
      <c r="Q1860" s="268">
        <f t="shared" si="89"/>
        <v>852000</v>
      </c>
      <c r="R1860" s="61">
        <f>IF(O1860=0,0,SUMIFS(Disbursements!$T:$T,Disbursements!$B:$B,'Live Collections'!D1860,Disbursements!$D:$D,'Live Collections'!F1860))</f>
        <v>3834000</v>
      </c>
      <c r="S1860" s="304">
        <f>IF(O1860&lt;=IF($O1860=0,0,SUMIFS(Disbursements!$W:$W,Disbursements!$B:$B,'Live Collections'!D1913,Disbursements!$D:$D,'Live Collections'!F1913)),O1860,IF($O1860=0,0,SUMIFS(Disbursements!$W:$W,Disbursements!$B:$B,'Live Collections'!D1913,Disbursements!$D:$D,'Live Collections'!F1913)))</f>
        <v>15000</v>
      </c>
      <c r="T1860" s="304">
        <f t="shared" si="90"/>
        <v>837000</v>
      </c>
      <c r="U1860" s="52"/>
      <c r="V1860" s="34"/>
      <c r="W1860" s="408"/>
    </row>
    <row r="1861" spans="1:23" ht="12.75" customHeight="1" x14ac:dyDescent="0.2">
      <c r="A1861" s="257">
        <v>1845</v>
      </c>
      <c r="B1861" s="44">
        <v>44518</v>
      </c>
      <c r="C1861" s="44">
        <f t="shared" si="88"/>
        <v>44518</v>
      </c>
      <c r="D1861" s="374">
        <v>106</v>
      </c>
      <c r="E1861" s="291" t="str">
        <f>IFERROR(VLOOKUP($D1861,'Clients-Live'!$A:$C,3,0),"")</f>
        <v>ORODRIYO  NUSURA</v>
      </c>
      <c r="F1861" s="291">
        <f>IFERROR(INDEX(Disbursements!$D:$D,MATCH('Live Collections'!G1861,Disbursements!$C:$C,0)),"")</f>
        <v>2</v>
      </c>
      <c r="G1861" s="34">
        <v>104</v>
      </c>
      <c r="H1861" s="34">
        <v>3432</v>
      </c>
      <c r="I1861" s="34" t="s">
        <v>1357</v>
      </c>
      <c r="J1861" s="48"/>
      <c r="K1861" s="48"/>
      <c r="L1861" s="48"/>
      <c r="M1861" s="48"/>
      <c r="N1861" s="59"/>
      <c r="O1861" s="59">
        <v>60000</v>
      </c>
      <c r="P1861" s="59"/>
      <c r="Q1861" s="268">
        <f t="shared" si="89"/>
        <v>60000</v>
      </c>
      <c r="R1861" s="61">
        <f>IF(O1861=0,0,SUMIFS(Disbursements!$T:$T,Disbursements!$B:$B,'Live Collections'!D1861,Disbursements!$D:$D,'Live Collections'!F1861))</f>
        <v>120000</v>
      </c>
      <c r="S1861" s="304">
        <f>IF(O1861&lt;=IF($O1861=0,0,SUMIFS(Disbursements!$W:$W,Disbursements!$B:$B,'Live Collections'!D2380,Disbursements!$D:$D,'Live Collections'!F2380)),O1861,IF($O1861=0,0,SUMIFS(Disbursements!$W:$W,Disbursements!$B:$B,'Live Collections'!D2380,Disbursements!$D:$D,'Live Collections'!F2380)))</f>
        <v>25000</v>
      </c>
      <c r="T1861" s="304">
        <f t="shared" si="90"/>
        <v>35000</v>
      </c>
      <c r="U1861" s="52"/>
      <c r="V1861" s="34"/>
      <c r="W1861" s="408"/>
    </row>
    <row r="1862" spans="1:23" ht="12.75" customHeight="1" x14ac:dyDescent="0.2">
      <c r="A1862" s="257">
        <v>1851</v>
      </c>
      <c r="B1862" s="44">
        <v>44518</v>
      </c>
      <c r="C1862" s="44">
        <f t="shared" si="88"/>
        <v>44518</v>
      </c>
      <c r="D1862" s="374">
        <v>164</v>
      </c>
      <c r="E1862" s="291" t="str">
        <f>IFERROR(VLOOKUP($D1862,'Clients-Live'!$A:$C,3,0),"")</f>
        <v>ARIKE SWAIB</v>
      </c>
      <c r="F1862" s="291">
        <f>IFERROR(INDEX(Disbursements!$D:$D,MATCH('Live Collections'!G1862,Disbursements!$C:$C,0)),"")</f>
        <v>1</v>
      </c>
      <c r="G1862" s="34">
        <v>154</v>
      </c>
      <c r="H1862" s="34">
        <v>3426</v>
      </c>
      <c r="I1862" s="34" t="s">
        <v>1357</v>
      </c>
      <c r="J1862" s="48"/>
      <c r="K1862" s="48"/>
      <c r="L1862" s="48"/>
      <c r="M1862" s="48"/>
      <c r="N1862" s="59"/>
      <c r="O1862" s="59">
        <v>130000</v>
      </c>
      <c r="P1862" s="59"/>
      <c r="Q1862" s="268">
        <f t="shared" si="89"/>
        <v>130000</v>
      </c>
      <c r="R1862" s="61">
        <f>IF(O1862=0,0,SUMIFS(Disbursements!$T:$T,Disbursements!$B:$B,'Live Collections'!D1862,Disbursements!$D:$D,'Live Collections'!F1862))</f>
        <v>109000</v>
      </c>
      <c r="S1862" s="304">
        <f>IF(O1862&lt;=IF($O1862=0,0,SUMIFS(Disbursements!$W:$W,Disbursements!$B:$B,'Live Collections'!D2038,Disbursements!$D:$D,'Live Collections'!F2038)),O1862,IF($O1862=0,0,SUMIFS(Disbursements!$W:$W,Disbursements!$B:$B,'Live Collections'!D2038,Disbursements!$D:$D,'Live Collections'!F2038)))</f>
        <v>50000</v>
      </c>
      <c r="T1862" s="304">
        <f t="shared" si="90"/>
        <v>80000</v>
      </c>
      <c r="U1862" s="52"/>
      <c r="V1862" s="34"/>
      <c r="W1862" s="408"/>
    </row>
    <row r="1863" spans="1:23" ht="12.75" customHeight="1" x14ac:dyDescent="0.2">
      <c r="A1863" s="257">
        <v>1847</v>
      </c>
      <c r="B1863" s="44">
        <v>44518</v>
      </c>
      <c r="C1863" s="44">
        <f t="shared" si="88"/>
        <v>44518</v>
      </c>
      <c r="D1863" s="374">
        <v>205</v>
      </c>
      <c r="E1863" s="291" t="str">
        <f>IFERROR(VLOOKUP($D1863,'Clients-Live'!$A:$C,3,0),"")</f>
        <v>OPIRU ALICE</v>
      </c>
      <c r="F1863" s="291">
        <f>IFERROR(INDEX(Disbursements!$D:$D,MATCH('Live Collections'!G1863,Disbursements!$C:$C,0)),"")</f>
        <v>1</v>
      </c>
      <c r="G1863" s="34">
        <v>212</v>
      </c>
      <c r="H1863" s="34">
        <v>3431</v>
      </c>
      <c r="I1863" s="34" t="s">
        <v>1359</v>
      </c>
      <c r="J1863" s="48"/>
      <c r="K1863" s="48"/>
      <c r="L1863" s="48"/>
      <c r="M1863" s="48"/>
      <c r="N1863" s="59"/>
      <c r="O1863" s="59">
        <v>60000</v>
      </c>
      <c r="P1863" s="59"/>
      <c r="Q1863" s="268">
        <f t="shared" si="89"/>
        <v>60000</v>
      </c>
      <c r="R1863" s="61">
        <f>IF(O1863=0,0,SUMIFS(Disbursements!$T:$T,Disbursements!$B:$B,'Live Collections'!D1863,Disbursements!$D:$D,'Live Collections'!F1863))</f>
        <v>30000</v>
      </c>
      <c r="S1863" s="304"/>
      <c r="T1863" s="304">
        <f t="shared" si="90"/>
        <v>60000</v>
      </c>
      <c r="U1863" s="52"/>
      <c r="V1863" s="34"/>
      <c r="W1863" s="408"/>
    </row>
    <row r="1864" spans="1:23" ht="12.75" customHeight="1" x14ac:dyDescent="0.2">
      <c r="A1864" s="257">
        <v>1853</v>
      </c>
      <c r="B1864" s="44">
        <v>44518</v>
      </c>
      <c r="C1864" s="44">
        <f t="shared" si="88"/>
        <v>44518</v>
      </c>
      <c r="D1864" s="374">
        <v>215</v>
      </c>
      <c r="E1864" s="291" t="str">
        <f>IFERROR(VLOOKUP($D1864,'Clients-Live'!$A:$C,3,0),"")</f>
        <v>BRANI MUSA</v>
      </c>
      <c r="F1864" s="291">
        <f>IFERROR(INDEX(Disbursements!$D:$D,MATCH('Live Collections'!G1864,Disbursements!$C:$C,0)),"")</f>
        <v>1</v>
      </c>
      <c r="G1864" s="34">
        <v>219</v>
      </c>
      <c r="H1864" s="34">
        <v>3422</v>
      </c>
      <c r="I1864" s="34" t="s">
        <v>1357</v>
      </c>
      <c r="J1864" s="48"/>
      <c r="K1864" s="48"/>
      <c r="L1864" s="48"/>
      <c r="M1864" s="48"/>
      <c r="N1864" s="59"/>
      <c r="O1864" s="59">
        <v>600000</v>
      </c>
      <c r="P1864" s="59"/>
      <c r="Q1864" s="268">
        <f t="shared" si="89"/>
        <v>600000</v>
      </c>
      <c r="R1864" s="61">
        <f>IF(O1864=0,0,SUMIFS(Disbursements!$T:$T,Disbursements!$B:$B,'Live Collections'!D1864,Disbursements!$D:$D,'Live Collections'!F1864))</f>
        <v>368000</v>
      </c>
      <c r="S1864" s="64">
        <v>50000</v>
      </c>
      <c r="T1864" s="304">
        <f t="shared" si="90"/>
        <v>550000</v>
      </c>
      <c r="U1864" s="52"/>
      <c r="V1864" s="34"/>
      <c r="W1864" s="408"/>
    </row>
    <row r="1865" spans="1:23" ht="12.75" customHeight="1" x14ac:dyDescent="0.2">
      <c r="A1865" s="257">
        <v>1849</v>
      </c>
      <c r="B1865" s="44">
        <v>44518</v>
      </c>
      <c r="C1865" s="44">
        <f t="shared" si="88"/>
        <v>44518</v>
      </c>
      <c r="D1865" s="374">
        <v>219</v>
      </c>
      <c r="E1865" s="291" t="str">
        <f>IFERROR(VLOOKUP($D1865,'Clients-Live'!$A:$C,3,0),"")</f>
        <v>MALIKO JAMILA</v>
      </c>
      <c r="F1865" s="291">
        <f>IFERROR(INDEX(Disbursements!$D:$D,MATCH('Live Collections'!G1865,Disbursements!$C:$C,0)),"")</f>
        <v>1</v>
      </c>
      <c r="G1865" s="34">
        <v>228</v>
      </c>
      <c r="H1865" s="34">
        <v>3425</v>
      </c>
      <c r="I1865" s="34" t="s">
        <v>1358</v>
      </c>
      <c r="J1865" s="48"/>
      <c r="K1865" s="48"/>
      <c r="L1865" s="48"/>
      <c r="M1865" s="48"/>
      <c r="N1865" s="59"/>
      <c r="O1865" s="59">
        <v>25000</v>
      </c>
      <c r="P1865" s="59"/>
      <c r="Q1865" s="268">
        <f t="shared" si="89"/>
        <v>25000</v>
      </c>
      <c r="R1865" s="61">
        <f>IF(O1865=0,0,SUMIFS(Disbursements!$T:$T,Disbursements!$B:$B,'Live Collections'!D1865,Disbursements!$D:$D,'Live Collections'!F1865))</f>
        <v>77000</v>
      </c>
      <c r="S1865" s="304">
        <f>IF(O1865&lt;=IF($O1865=0,0,SUMIFS(Disbursements!$W:$W,Disbursements!$B:$B,'Live Collections'!D2588,Disbursements!$D:$D,'Live Collections'!F2588)),O1865,IF($O1865=0,0,SUMIFS(Disbursements!$W:$W,Disbursements!$B:$B,'Live Collections'!D2588,Disbursements!$D:$D,'Live Collections'!F2588)))</f>
        <v>0</v>
      </c>
      <c r="T1865" s="304">
        <f t="shared" si="90"/>
        <v>25000</v>
      </c>
      <c r="U1865" s="52"/>
      <c r="V1865" s="34"/>
      <c r="W1865" s="408"/>
    </row>
    <row r="1866" spans="1:23" ht="12.75" customHeight="1" x14ac:dyDescent="0.2">
      <c r="A1866" s="257">
        <v>1848</v>
      </c>
      <c r="B1866" s="44">
        <v>44518</v>
      </c>
      <c r="C1866" s="44">
        <f t="shared" si="88"/>
        <v>44518</v>
      </c>
      <c r="D1866" s="374">
        <v>255</v>
      </c>
      <c r="E1866" s="291" t="str">
        <f>IFERROR(VLOOKUP($D1866,'Clients-Live'!$A:$C,3,0),"")</f>
        <v>YOBUTA JOHN</v>
      </c>
      <c r="F1866" s="291">
        <f>IFERROR(INDEX(Disbursements!$D:$D,MATCH('Live Collections'!G1866,Disbursements!$C:$C,0)),"")</f>
        <v>1</v>
      </c>
      <c r="G1866" s="34">
        <v>280</v>
      </c>
      <c r="H1866" s="34">
        <v>3428</v>
      </c>
      <c r="I1866" s="34" t="s">
        <v>1359</v>
      </c>
      <c r="J1866" s="48"/>
      <c r="K1866" s="48"/>
      <c r="L1866" s="48"/>
      <c r="M1866" s="48"/>
      <c r="N1866" s="59"/>
      <c r="O1866" s="59">
        <v>217000</v>
      </c>
      <c r="P1866" s="59"/>
      <c r="Q1866" s="268">
        <f t="shared" si="89"/>
        <v>217000</v>
      </c>
      <c r="R1866" s="61">
        <f>IF(O1866=0,0,SUMIFS(Disbursements!$T:$T,Disbursements!$B:$B,'Live Collections'!D1866,Disbursements!$D:$D,'Live Collections'!F1866))</f>
        <v>217000</v>
      </c>
      <c r="S1866" s="304">
        <f>IF(O1866&lt;=IF($O1866=0,0,SUMIFS(Disbursements!$W:$W,Disbursements!$B:$B,'Live Collections'!D2858,Disbursements!$D:$D,'Live Collections'!F2858)),O1866,IF($O1866=0,0,SUMIFS(Disbursements!$W:$W,Disbursements!$B:$B,'Live Collections'!D2858,Disbursements!$D:$D,'Live Collections'!F2858)))</f>
        <v>57000</v>
      </c>
      <c r="T1866" s="304">
        <f t="shared" si="90"/>
        <v>160000</v>
      </c>
      <c r="U1866" s="52"/>
      <c r="V1866" s="34"/>
      <c r="W1866" s="408"/>
    </row>
    <row r="1867" spans="1:23" ht="12.75" customHeight="1" x14ac:dyDescent="0.2">
      <c r="A1867" s="257">
        <v>1855</v>
      </c>
      <c r="B1867" s="44">
        <v>44518</v>
      </c>
      <c r="C1867" s="44">
        <f t="shared" si="88"/>
        <v>44518</v>
      </c>
      <c r="D1867" s="374">
        <v>283</v>
      </c>
      <c r="E1867" s="291" t="str">
        <f>IFERROR(VLOOKUP($D1867,'Clients-Live'!$A:$C,3,0),"")</f>
        <v>ASIKI ALEX</v>
      </c>
      <c r="F1867" s="291" t="str">
        <f>IFERROR(INDEX(Disbursements!$D:$D,MATCH('Live Collections'!G1867,Disbursements!$C:$C,0)),"")</f>
        <v/>
      </c>
      <c r="G1867" s="34"/>
      <c r="H1867" s="34">
        <v>3424</v>
      </c>
      <c r="I1867" s="34" t="s">
        <v>1716</v>
      </c>
      <c r="J1867" s="48">
        <v>15000</v>
      </c>
      <c r="K1867" s="48">
        <v>5000</v>
      </c>
      <c r="L1867" s="48"/>
      <c r="M1867" s="48"/>
      <c r="N1867" s="59"/>
      <c r="O1867" s="59"/>
      <c r="P1867" s="59"/>
      <c r="Q1867" s="268">
        <f t="shared" si="89"/>
        <v>20000</v>
      </c>
      <c r="R1867" s="61">
        <f>IF(O1867=0,0,SUMIFS(Disbursements!$T:$T,Disbursements!$B:$B,'Live Collections'!D1867,Disbursements!$D:$D,'Live Collections'!F1867))</f>
        <v>0</v>
      </c>
      <c r="S1867" s="304">
        <f>IF(O1867&lt;=IF($O1867=0,0,SUMIFS(Disbursements!$W:$W,Disbursements!$B:$B,'Live Collections'!D3012,Disbursements!$D:$D,'Live Collections'!F3012)),O1867,IF($O1867=0,0,SUMIFS(Disbursements!$W:$W,Disbursements!$B:$B,'Live Collections'!D3012,Disbursements!$D:$D,'Live Collections'!F3012)))</f>
        <v>0</v>
      </c>
      <c r="T1867" s="304">
        <f t="shared" si="90"/>
        <v>0</v>
      </c>
      <c r="U1867" s="52"/>
      <c r="V1867" s="34"/>
      <c r="W1867" s="408"/>
    </row>
    <row r="1868" spans="1:23" ht="12.75" customHeight="1" x14ac:dyDescent="0.2">
      <c r="A1868" s="257">
        <v>1854</v>
      </c>
      <c r="B1868" s="44">
        <v>44518</v>
      </c>
      <c r="C1868" s="44">
        <f t="shared" si="88"/>
        <v>44518</v>
      </c>
      <c r="D1868" s="374">
        <v>284</v>
      </c>
      <c r="E1868" s="291" t="str">
        <f>IFERROR(VLOOKUP($D1868,'Clients-Live'!$A:$C,3,0),"")</f>
        <v>MALISH WAWASON</v>
      </c>
      <c r="F1868" s="291" t="str">
        <f>IFERROR(INDEX(Disbursements!$D:$D,MATCH('Live Collections'!G1868,Disbursements!$C:$C,0)),"")</f>
        <v/>
      </c>
      <c r="G1868" s="34"/>
      <c r="H1868" s="34">
        <v>3433</v>
      </c>
      <c r="I1868" s="34" t="s">
        <v>1716</v>
      </c>
      <c r="J1868" s="48">
        <v>15000</v>
      </c>
      <c r="K1868" s="48">
        <v>5000</v>
      </c>
      <c r="L1868" s="48">
        <v>25000</v>
      </c>
      <c r="M1868" s="48">
        <v>5000</v>
      </c>
      <c r="N1868" s="59"/>
      <c r="O1868" s="59"/>
      <c r="P1868" s="59"/>
      <c r="Q1868" s="268">
        <f t="shared" si="89"/>
        <v>50000</v>
      </c>
      <c r="R1868" s="61">
        <f>IF(O1868=0,0,SUMIFS(Disbursements!$T:$T,Disbursements!$B:$B,'Live Collections'!D1868,Disbursements!$D:$D,'Live Collections'!F1868))</f>
        <v>0</v>
      </c>
      <c r="S1868" s="304">
        <f>IF(O1868&lt;=IF($O1868=0,0,SUMIFS(Disbursements!$W:$W,Disbursements!$B:$B,'Live Collections'!D3013,Disbursements!$D:$D,'Live Collections'!F3013)),O1868,IF($O1868=0,0,SUMIFS(Disbursements!$W:$W,Disbursements!$B:$B,'Live Collections'!D3013,Disbursements!$D:$D,'Live Collections'!F3013)))</f>
        <v>0</v>
      </c>
      <c r="T1868" s="304">
        <f t="shared" si="90"/>
        <v>0</v>
      </c>
      <c r="U1868" s="52"/>
      <c r="V1868" s="34"/>
      <c r="W1868" s="408"/>
    </row>
    <row r="1869" spans="1:23" ht="12.75" customHeight="1" x14ac:dyDescent="0.2">
      <c r="A1869" s="257">
        <v>1878</v>
      </c>
      <c r="B1869" s="44">
        <v>44519</v>
      </c>
      <c r="C1869" s="44">
        <f t="shared" si="88"/>
        <v>44519</v>
      </c>
      <c r="D1869" s="374">
        <v>9</v>
      </c>
      <c r="E1869" s="291" t="str">
        <f>IFERROR(VLOOKUP($D1869,'Clients-Live'!$A:$C,3,0),"")</f>
        <v>TABAN DAVID YAYA</v>
      </c>
      <c r="F1869" s="291">
        <f>IFERROR(INDEX(Disbursements!$D:$D,MATCH('Live Collections'!G1869,Disbursements!$C:$C,0)),"")</f>
        <v>2</v>
      </c>
      <c r="G1869" s="34">
        <v>221</v>
      </c>
      <c r="H1869" s="34">
        <v>3430</v>
      </c>
      <c r="I1869" s="34" t="s">
        <v>1357</v>
      </c>
      <c r="J1869" s="48"/>
      <c r="K1869" s="48"/>
      <c r="L1869" s="48"/>
      <c r="M1869" s="48"/>
      <c r="N1869" s="59"/>
      <c r="O1869" s="59">
        <v>150000</v>
      </c>
      <c r="P1869" s="59"/>
      <c r="Q1869" s="268">
        <f t="shared" si="89"/>
        <v>150000</v>
      </c>
      <c r="R1869" s="61">
        <f>IF(O1869=0,0,SUMIFS(Disbursements!$T:$T,Disbursements!$B:$B,'Live Collections'!D1869,Disbursements!$D:$D,'Live Collections'!F1869))</f>
        <v>360000</v>
      </c>
      <c r="S1869" s="304">
        <f>IF(O1869&lt;=IF($O1869=0,0,SUMIFS(Disbursements!$W:$W,Disbursements!$B:$B,'Live Collections'!D90,Disbursements!$D:$D,'Live Collections'!F90)),O1869,IF($O1869=0,0,SUMIFS(Disbursements!$W:$W,Disbursements!$B:$B,'Live Collections'!D90,Disbursements!$D:$D,'Live Collections'!F90)))</f>
        <v>0</v>
      </c>
      <c r="T1869" s="304">
        <f t="shared" si="90"/>
        <v>150000</v>
      </c>
      <c r="U1869" s="52"/>
      <c r="V1869" s="34"/>
      <c r="W1869" s="408"/>
    </row>
    <row r="1870" spans="1:23" ht="12.75" customHeight="1" x14ac:dyDescent="0.2">
      <c r="A1870" s="257">
        <v>1879</v>
      </c>
      <c r="B1870" s="44">
        <v>44519</v>
      </c>
      <c r="C1870" s="44">
        <f t="shared" si="88"/>
        <v>44519</v>
      </c>
      <c r="D1870" s="374">
        <v>22</v>
      </c>
      <c r="E1870" s="291" t="str">
        <f>IFERROR(VLOOKUP($D1870,'Clients-Live'!$A:$C,3,0),"")</f>
        <v>DATA ISMAIL FATARI</v>
      </c>
      <c r="F1870" s="291">
        <f>IFERROR(INDEX(Disbursements!$D:$D,MATCH('Live Collections'!G1870,Disbursements!$C:$C,0)),"")</f>
        <v>1</v>
      </c>
      <c r="G1870" s="34">
        <v>13</v>
      </c>
      <c r="H1870" s="34">
        <v>3438</v>
      </c>
      <c r="I1870" s="34" t="s">
        <v>1359</v>
      </c>
      <c r="J1870" s="48"/>
      <c r="K1870" s="48"/>
      <c r="L1870" s="48"/>
      <c r="M1870" s="48"/>
      <c r="N1870" s="59"/>
      <c r="O1870" s="59">
        <v>330000</v>
      </c>
      <c r="P1870" s="59"/>
      <c r="Q1870" s="268">
        <f t="shared" si="89"/>
        <v>330000</v>
      </c>
      <c r="R1870" s="61">
        <f>IF(O1870=0,0,SUMIFS(Disbursements!$T:$T,Disbursements!$B:$B,'Live Collections'!D1870,Disbursements!$D:$D,'Live Collections'!F1870))</f>
        <v>217000</v>
      </c>
      <c r="S1870" s="304">
        <f>IF(O1870&lt;=IF($O1870=0,0,SUMIFS(Disbursements!$W:$W,Disbursements!$B:$B,'Live Collections'!D290,Disbursements!$D:$D,'Live Collections'!F290)),O1870,IF($O1870=0,0,SUMIFS(Disbursements!$W:$W,Disbursements!$B:$B,'Live Collections'!D290,Disbursements!$D:$D,'Live Collections'!F290)))</f>
        <v>50333.333333333343</v>
      </c>
      <c r="T1870" s="304">
        <f t="shared" si="90"/>
        <v>279666.66666666663</v>
      </c>
      <c r="U1870" s="52"/>
      <c r="V1870" s="34"/>
      <c r="W1870" s="408"/>
    </row>
    <row r="1871" spans="1:23" ht="12.75" customHeight="1" x14ac:dyDescent="0.2">
      <c r="A1871" s="257">
        <v>1870</v>
      </c>
      <c r="B1871" s="44">
        <v>44519</v>
      </c>
      <c r="C1871" s="44">
        <f t="shared" si="88"/>
        <v>44519</v>
      </c>
      <c r="D1871" s="374">
        <v>30</v>
      </c>
      <c r="E1871" s="291" t="str">
        <f>IFERROR(VLOOKUP($D1871,'Clients-Live'!$A:$C,3,0),"")</f>
        <v>SITARAYA PATRICIA IDERU</v>
      </c>
      <c r="F1871" s="291">
        <f>IFERROR(INDEX(Disbursements!$D:$D,MATCH('Live Collections'!G1871,Disbursements!$C:$C,0)),"")</f>
        <v>1</v>
      </c>
      <c r="G1871" s="34">
        <v>18</v>
      </c>
      <c r="H1871" s="34">
        <v>3447</v>
      </c>
      <c r="I1871" s="34" t="s">
        <v>1358</v>
      </c>
      <c r="J1871" s="48"/>
      <c r="K1871" s="48"/>
      <c r="L1871" s="48"/>
      <c r="M1871" s="48"/>
      <c r="N1871" s="59"/>
      <c r="O1871" s="59">
        <v>50000</v>
      </c>
      <c r="P1871" s="59"/>
      <c r="Q1871" s="268">
        <f t="shared" si="89"/>
        <v>50000</v>
      </c>
      <c r="R1871" s="61">
        <f>IF(O1871=0,0,SUMIFS(Disbursements!$T:$T,Disbursements!$B:$B,'Live Collections'!D1871,Disbursements!$D:$D,'Live Collections'!F1871))</f>
        <v>120000</v>
      </c>
      <c r="S1871" s="304"/>
      <c r="T1871" s="304">
        <f t="shared" si="90"/>
        <v>50000</v>
      </c>
      <c r="U1871" s="52"/>
      <c r="V1871" s="34"/>
      <c r="W1871" s="408"/>
    </row>
    <row r="1872" spans="1:23" ht="12.75" customHeight="1" x14ac:dyDescent="0.2">
      <c r="A1872" s="257">
        <v>1867</v>
      </c>
      <c r="B1872" s="44">
        <v>44519</v>
      </c>
      <c r="C1872" s="44">
        <f t="shared" si="88"/>
        <v>44519</v>
      </c>
      <c r="D1872" s="374">
        <v>59</v>
      </c>
      <c r="E1872" s="291" t="str">
        <f>IFERROR(VLOOKUP($D1872,'Clients-Live'!$A:$C,3,0),"")</f>
        <v>ONZIA AGNES</v>
      </c>
      <c r="F1872" s="291">
        <f>IFERROR(INDEX(Disbursements!$D:$D,MATCH('Live Collections'!G1872,Disbursements!$C:$C,0)),"")</f>
        <v>2</v>
      </c>
      <c r="G1872" s="34">
        <v>284</v>
      </c>
      <c r="H1872" s="34">
        <v>3451</v>
      </c>
      <c r="I1872" s="34" t="s">
        <v>1358</v>
      </c>
      <c r="J1872" s="48"/>
      <c r="K1872" s="48"/>
      <c r="L1872" s="48"/>
      <c r="M1872" s="48"/>
      <c r="N1872" s="59"/>
      <c r="O1872" s="59">
        <v>180000</v>
      </c>
      <c r="P1872" s="59"/>
      <c r="Q1872" s="268">
        <f t="shared" si="89"/>
        <v>180000</v>
      </c>
      <c r="R1872" s="61">
        <f>IF(O1872=0,0,SUMIFS(Disbursements!$T:$T,Disbursements!$B:$B,'Live Collections'!D1872,Disbursements!$D:$D,'Live Collections'!F1872))</f>
        <v>180000</v>
      </c>
      <c r="S1872" s="304">
        <f>IF(O1872&lt;=IF($O1872=0,0,SUMIFS(Disbursements!$W:$W,Disbursements!$B:$B,'Live Collections'!D707,Disbursements!$D:$D,'Live Collections'!F707)),O1872,IF($O1872=0,0,SUMIFS(Disbursements!$W:$W,Disbursements!$B:$B,'Live Collections'!D707,Disbursements!$D:$D,'Live Collections'!F707)))</f>
        <v>15000</v>
      </c>
      <c r="T1872" s="304">
        <f t="shared" si="90"/>
        <v>165000</v>
      </c>
      <c r="U1872" s="52"/>
      <c r="V1872" s="34"/>
      <c r="W1872" s="408"/>
    </row>
    <row r="1873" spans="1:23" ht="12.75" customHeight="1" x14ac:dyDescent="0.2">
      <c r="A1873" s="257">
        <v>1868</v>
      </c>
      <c r="B1873" s="44">
        <v>44519</v>
      </c>
      <c r="C1873" s="44">
        <f t="shared" si="88"/>
        <v>44519</v>
      </c>
      <c r="D1873" s="374">
        <v>75</v>
      </c>
      <c r="E1873" s="291" t="str">
        <f>IFERROR(VLOOKUP($D1873,'Clients-Live'!$A:$C,3,0),"")</f>
        <v>MUKULIA JAMES</v>
      </c>
      <c r="F1873" s="291">
        <f>IFERROR(INDEX(Disbursements!$D:$D,MATCH('Live Collections'!G1873,Disbursements!$C:$C,0)),"")</f>
        <v>2</v>
      </c>
      <c r="G1873" s="34">
        <v>174</v>
      </c>
      <c r="H1873" s="34">
        <v>3450</v>
      </c>
      <c r="I1873" s="34" t="s">
        <v>1359</v>
      </c>
      <c r="J1873" s="48"/>
      <c r="K1873" s="48"/>
      <c r="L1873" s="48"/>
      <c r="M1873" s="48"/>
      <c r="N1873" s="59"/>
      <c r="O1873" s="59">
        <v>175000</v>
      </c>
      <c r="P1873" s="59"/>
      <c r="Q1873" s="268">
        <f t="shared" si="89"/>
        <v>175000</v>
      </c>
      <c r="R1873" s="61">
        <f>IF(O1873=0,0,SUMIFS(Disbursements!$T:$T,Disbursements!$B:$B,'Live Collections'!D1873,Disbursements!$D:$D,'Live Collections'!F1873))</f>
        <v>175000</v>
      </c>
      <c r="S1873" s="304">
        <f>IF(O1873&lt;=IF($O1873=0,0,SUMIFS(Disbursements!$W:$W,Disbursements!$B:$B,'Live Collections'!D959,Disbursements!$D:$D,'Live Collections'!F959)),O1873,IF($O1873=0,0,SUMIFS(Disbursements!$W:$W,Disbursements!$B:$B,'Live Collections'!D959,Disbursements!$D:$D,'Live Collections'!F959)))</f>
        <v>35333.333333333328</v>
      </c>
      <c r="T1873" s="304">
        <f t="shared" si="90"/>
        <v>139666.66666666669</v>
      </c>
      <c r="U1873" s="52"/>
      <c r="V1873" s="34"/>
      <c r="W1873" s="408"/>
    </row>
    <row r="1874" spans="1:23" ht="12.75" customHeight="1" x14ac:dyDescent="0.2">
      <c r="A1874" s="257">
        <v>1873</v>
      </c>
      <c r="B1874" s="44">
        <v>44519</v>
      </c>
      <c r="C1874" s="44">
        <f t="shared" si="88"/>
        <v>44519</v>
      </c>
      <c r="D1874" s="374">
        <v>99</v>
      </c>
      <c r="E1874" s="291" t="str">
        <f>IFERROR(VLOOKUP($D1874,'Clients-Live'!$A:$C,3,0),"")</f>
        <v>SIJALI ASINA SIS</v>
      </c>
      <c r="F1874" s="291">
        <f>IFERROR(INDEX(Disbursements!$D:$D,MATCH('Live Collections'!G1874,Disbursements!$C:$C,0)),"")</f>
        <v>2</v>
      </c>
      <c r="G1874" s="34">
        <v>278</v>
      </c>
      <c r="H1874" s="34">
        <v>3445</v>
      </c>
      <c r="I1874" s="34" t="s">
        <v>1358</v>
      </c>
      <c r="J1874" s="48"/>
      <c r="K1874" s="48"/>
      <c r="L1874" s="48"/>
      <c r="M1874" s="48"/>
      <c r="N1874" s="59"/>
      <c r="O1874" s="59">
        <v>173400</v>
      </c>
      <c r="P1874" s="59"/>
      <c r="Q1874" s="268">
        <f t="shared" si="89"/>
        <v>173400</v>
      </c>
      <c r="R1874" s="61">
        <f>IF(O1874=0,0,SUMIFS(Disbursements!$T:$T,Disbursements!$B:$B,'Live Collections'!D1874,Disbursements!$D:$D,'Live Collections'!F1874))</f>
        <v>174000</v>
      </c>
      <c r="S1874" s="304">
        <f>IF(O1874&lt;=IF($O1874=0,0,SUMIFS(Disbursements!$W:$W,Disbursements!$B:$B,'Live Collections'!D1284,Disbursements!$D:$D,'Live Collections'!F1284)),O1874,IF($O1874=0,0,SUMIFS(Disbursements!$W:$W,Disbursements!$B:$B,'Live Collections'!D1284,Disbursements!$D:$D,'Live Collections'!F1284)))</f>
        <v>15000</v>
      </c>
      <c r="T1874" s="304">
        <f t="shared" si="90"/>
        <v>158400</v>
      </c>
      <c r="U1874" s="52"/>
      <c r="V1874" s="34"/>
      <c r="W1874" s="408"/>
    </row>
    <row r="1875" spans="1:23" ht="12.75" customHeight="1" x14ac:dyDescent="0.2">
      <c r="A1875" s="257">
        <v>1871</v>
      </c>
      <c r="B1875" s="44">
        <v>44519</v>
      </c>
      <c r="C1875" s="44">
        <f t="shared" si="88"/>
        <v>44519</v>
      </c>
      <c r="D1875" s="374">
        <v>103</v>
      </c>
      <c r="E1875" s="291" t="str">
        <f>IFERROR(VLOOKUP($D1875,'Clients-Live'!$A:$C,3,0),"")</f>
        <v>CHANDIRU ZABIB</v>
      </c>
      <c r="F1875" s="291">
        <f>IFERROR(INDEX(Disbursements!$D:$D,MATCH('Live Collections'!G1875,Disbursements!$C:$C,0)),"")</f>
        <v>2</v>
      </c>
      <c r="G1875" s="34">
        <v>266</v>
      </c>
      <c r="H1875" s="34">
        <v>3448</v>
      </c>
      <c r="I1875" s="34" t="s">
        <v>1358</v>
      </c>
      <c r="J1875" s="48"/>
      <c r="K1875" s="48"/>
      <c r="L1875" s="48"/>
      <c r="M1875" s="48"/>
      <c r="N1875" s="59"/>
      <c r="O1875" s="59">
        <v>50000</v>
      </c>
      <c r="P1875" s="59"/>
      <c r="Q1875" s="268">
        <f t="shared" si="89"/>
        <v>50000</v>
      </c>
      <c r="R1875" s="61">
        <f>IF(O1875=0,0,SUMIFS(Disbursements!$T:$T,Disbursements!$B:$B,'Live Collections'!D1875,Disbursements!$D:$D,'Live Collections'!F1875))</f>
        <v>150000</v>
      </c>
      <c r="S1875" s="304">
        <f>IF(O1875&lt;=IF($O1875=0,0,SUMIFS(Disbursements!$W:$W,Disbursements!$B:$B,'Live Collections'!D1332,Disbursements!$D:$D,'Live Collections'!F1332)),O1875,IF($O1875=0,0,SUMIFS(Disbursements!$W:$W,Disbursements!$B:$B,'Live Collections'!D1332,Disbursements!$D:$D,'Live Collections'!F1332)))</f>
        <v>50000</v>
      </c>
      <c r="T1875" s="304">
        <f t="shared" si="90"/>
        <v>0</v>
      </c>
      <c r="U1875" s="52"/>
      <c r="V1875" s="34"/>
      <c r="W1875" s="408"/>
    </row>
    <row r="1876" spans="1:23" ht="12.75" customHeight="1" x14ac:dyDescent="0.2">
      <c r="A1876" s="257">
        <v>1860</v>
      </c>
      <c r="B1876" s="44">
        <v>44519</v>
      </c>
      <c r="C1876" s="44">
        <f t="shared" si="88"/>
        <v>44519</v>
      </c>
      <c r="D1876" s="374">
        <v>112</v>
      </c>
      <c r="E1876" s="291" t="str">
        <f>IFERROR(VLOOKUP($D1876,'Clients-Live'!$A:$C,3,0),"")</f>
        <v>NURA JOYCE</v>
      </c>
      <c r="F1876" s="291">
        <f>IFERROR(INDEX(Disbursements!$D:$D,MATCH('Live Collections'!G1876,Disbursements!$C:$C,0)),"")</f>
        <v>2</v>
      </c>
      <c r="G1876" s="34">
        <v>337</v>
      </c>
      <c r="H1876" s="34">
        <v>425</v>
      </c>
      <c r="I1876" s="34" t="s">
        <v>1359</v>
      </c>
      <c r="J1876" s="48"/>
      <c r="K1876" s="48"/>
      <c r="L1876" s="48"/>
      <c r="M1876" s="48"/>
      <c r="N1876" s="59"/>
      <c r="O1876" s="59"/>
      <c r="P1876" s="59">
        <v>-60000</v>
      </c>
      <c r="Q1876" s="268">
        <f t="shared" si="89"/>
        <v>-60000</v>
      </c>
      <c r="R1876" s="61">
        <f>IF(O1876=0,0,SUMIFS(Disbursements!$T:$T,Disbursements!$B:$B,'Live Collections'!D1876,Disbursements!$D:$D,'Live Collections'!F1876))</f>
        <v>0</v>
      </c>
      <c r="S1876" s="304">
        <f>IF(O1876&lt;=IF($O1876=0,0,SUMIFS(Disbursements!$W:$W,Disbursements!$B:$B,'Live Collections'!D1435,Disbursements!$D:$D,'Live Collections'!F1435)),O1876,IF($O1876=0,0,SUMIFS(Disbursements!$W:$W,Disbursements!$B:$B,'Live Collections'!D1435,Disbursements!$D:$D,'Live Collections'!F1435)))</f>
        <v>0</v>
      </c>
      <c r="T1876" s="304">
        <f t="shared" si="90"/>
        <v>0</v>
      </c>
      <c r="U1876" s="52"/>
      <c r="V1876" s="34"/>
      <c r="W1876" s="408"/>
    </row>
    <row r="1877" spans="1:23" ht="12.75" customHeight="1" x14ac:dyDescent="0.2">
      <c r="A1877" s="257">
        <v>1861</v>
      </c>
      <c r="B1877" s="44">
        <v>44519</v>
      </c>
      <c r="C1877" s="44">
        <f t="shared" si="88"/>
        <v>44519</v>
      </c>
      <c r="D1877" s="374">
        <v>112</v>
      </c>
      <c r="E1877" s="291" t="str">
        <f>IFERROR(VLOOKUP($D1877,'Clients-Live'!$A:$C,3,0),"")</f>
        <v>NURA JOYCE</v>
      </c>
      <c r="F1877" s="291">
        <f>IFERROR(INDEX(Disbursements!$D:$D,MATCH('Live Collections'!G1877,Disbursements!$C:$C,0)),"")</f>
        <v>2</v>
      </c>
      <c r="G1877" s="34">
        <v>337</v>
      </c>
      <c r="H1877" s="34">
        <v>3459</v>
      </c>
      <c r="I1877" s="34" t="s">
        <v>1359</v>
      </c>
      <c r="J1877" s="48"/>
      <c r="K1877" s="48"/>
      <c r="L1877" s="48"/>
      <c r="M1877" s="48"/>
      <c r="N1877" s="59"/>
      <c r="O1877" s="59">
        <v>60000</v>
      </c>
      <c r="P1877" s="59"/>
      <c r="Q1877" s="268">
        <f t="shared" si="89"/>
        <v>60000</v>
      </c>
      <c r="R1877" s="61">
        <f>IF(O1877=0,0,SUMIFS(Disbursements!$T:$T,Disbursements!$B:$B,'Live Collections'!D1877,Disbursements!$D:$D,'Live Collections'!F1877))</f>
        <v>150000</v>
      </c>
      <c r="S1877" s="304">
        <f>IF(O1877&lt;=IF($O1877=0,0,SUMIFS(Disbursements!$W:$W,Disbursements!$B:$B,'Live Collections'!D1436,Disbursements!$D:$D,'Live Collections'!F1436)),O1877,IF($O1877=0,0,SUMIFS(Disbursements!$W:$W,Disbursements!$B:$B,'Live Collections'!D1436,Disbursements!$D:$D,'Live Collections'!F1436)))</f>
        <v>15000</v>
      </c>
      <c r="T1877" s="304">
        <f t="shared" si="90"/>
        <v>45000</v>
      </c>
      <c r="U1877" s="52"/>
      <c r="V1877" s="34"/>
      <c r="W1877" s="408"/>
    </row>
    <row r="1878" spans="1:23" ht="12.75" customHeight="1" x14ac:dyDescent="0.2">
      <c r="A1878" s="257">
        <v>1858</v>
      </c>
      <c r="B1878" s="44">
        <v>44519</v>
      </c>
      <c r="C1878" s="44">
        <f t="shared" si="88"/>
        <v>44519</v>
      </c>
      <c r="D1878" s="374">
        <v>114</v>
      </c>
      <c r="E1878" s="291" t="str">
        <f>IFERROR(VLOOKUP($D1878,'Clients-Live'!$A:$C,3,0),"")</f>
        <v>ONZIA EMMILY</v>
      </c>
      <c r="F1878" s="291">
        <f>IFERROR(INDEX(Disbursements!$D:$D,MATCH('Live Collections'!G1878,Disbursements!$C:$C,0)),"")</f>
        <v>3</v>
      </c>
      <c r="G1878" s="34">
        <v>262</v>
      </c>
      <c r="H1878" s="34">
        <v>3462</v>
      </c>
      <c r="I1878" s="34" t="s">
        <v>1358</v>
      </c>
      <c r="J1878" s="48"/>
      <c r="K1878" s="48"/>
      <c r="L1878" s="48"/>
      <c r="M1878" s="48"/>
      <c r="N1878" s="59"/>
      <c r="O1878" s="59">
        <v>100000</v>
      </c>
      <c r="P1878" s="59"/>
      <c r="Q1878" s="268">
        <f t="shared" si="89"/>
        <v>100000</v>
      </c>
      <c r="R1878" s="61">
        <f>IF(O1878=0,0,SUMIFS(Disbursements!$T:$T,Disbursements!$B:$B,'Live Collections'!D1878,Disbursements!$D:$D,'Live Collections'!F1878))</f>
        <v>360000</v>
      </c>
      <c r="S1878" s="304">
        <f>IF(O1878&lt;=IF($O1878=0,0,SUMIFS(Disbursements!$W:$W,Disbursements!$B:$B,'Live Collections'!D1466,Disbursements!$D:$D,'Live Collections'!F1466)),O1878,IF($O1878=0,0,SUMIFS(Disbursements!$W:$W,Disbursements!$B:$B,'Live Collections'!D1466,Disbursements!$D:$D,'Live Collections'!F1466)))</f>
        <v>75000</v>
      </c>
      <c r="T1878" s="304">
        <f t="shared" si="90"/>
        <v>25000</v>
      </c>
      <c r="U1878" s="52"/>
      <c r="V1878" s="34"/>
      <c r="W1878" s="408"/>
    </row>
    <row r="1879" spans="1:23" ht="12.75" customHeight="1" x14ac:dyDescent="0.2">
      <c r="A1879" s="257">
        <v>1865</v>
      </c>
      <c r="B1879" s="44">
        <v>44519</v>
      </c>
      <c r="C1879" s="44">
        <f t="shared" si="88"/>
        <v>44519</v>
      </c>
      <c r="D1879" s="374">
        <v>144</v>
      </c>
      <c r="E1879" s="291" t="str">
        <f>IFERROR(VLOOKUP($D1879,'Clients-Live'!$A:$C,3,0),"")</f>
        <v>GBENINGA RUKIA</v>
      </c>
      <c r="F1879" s="291">
        <f>IFERROR(INDEX(Disbursements!$D:$D,MATCH('Live Collections'!G1879,Disbursements!$C:$C,0)),"")</f>
        <v>1</v>
      </c>
      <c r="G1879" s="34">
        <v>131</v>
      </c>
      <c r="H1879" s="34">
        <v>3456</v>
      </c>
      <c r="I1879" s="34" t="s">
        <v>1359</v>
      </c>
      <c r="J1879" s="48"/>
      <c r="K1879" s="48"/>
      <c r="L1879" s="48"/>
      <c r="M1879" s="48"/>
      <c r="N1879" s="59"/>
      <c r="O1879" s="59">
        <v>60000</v>
      </c>
      <c r="P1879" s="59"/>
      <c r="Q1879" s="268">
        <f t="shared" si="89"/>
        <v>60000</v>
      </c>
      <c r="R1879" s="61">
        <f>IF(O1879=0,0,SUMIFS(Disbursements!$T:$T,Disbursements!$B:$B,'Live Collections'!D1879,Disbursements!$D:$D,'Live Collections'!F1879))</f>
        <v>125000</v>
      </c>
      <c r="S1879" s="304"/>
      <c r="T1879" s="304">
        <f t="shared" si="90"/>
        <v>60000</v>
      </c>
      <c r="U1879" s="52"/>
      <c r="V1879" s="34"/>
      <c r="W1879" s="408"/>
    </row>
    <row r="1880" spans="1:23" ht="12.75" customHeight="1" x14ac:dyDescent="0.2">
      <c r="A1880" s="257">
        <v>1862</v>
      </c>
      <c r="B1880" s="44">
        <v>44519</v>
      </c>
      <c r="C1880" s="44">
        <f t="shared" si="88"/>
        <v>44519</v>
      </c>
      <c r="D1880" s="374">
        <v>145</v>
      </c>
      <c r="E1880" s="291" t="str">
        <f>IFERROR(VLOOKUP($D1880,'Clients-Live'!$A:$C,3,0),"")</f>
        <v>NIGHT ASARA</v>
      </c>
      <c r="F1880" s="291">
        <f>IFERROR(INDEX(Disbursements!$D:$D,MATCH('Live Collections'!G1880,Disbursements!$C:$C,0)),"")</f>
        <v>1</v>
      </c>
      <c r="G1880" s="34">
        <v>132</v>
      </c>
      <c r="H1880" s="34">
        <v>3455</v>
      </c>
      <c r="I1880" s="34" t="s">
        <v>1357</v>
      </c>
      <c r="J1880" s="48"/>
      <c r="K1880" s="48"/>
      <c r="L1880" s="48"/>
      <c r="M1880" s="48"/>
      <c r="N1880" s="59"/>
      <c r="O1880" s="59">
        <v>50000</v>
      </c>
      <c r="P1880" s="59"/>
      <c r="Q1880" s="268">
        <f t="shared" si="89"/>
        <v>50000</v>
      </c>
      <c r="R1880" s="61">
        <f>IF(O1880=0,0,SUMIFS(Disbursements!$T:$T,Disbursements!$B:$B,'Live Collections'!D1880,Disbursements!$D:$D,'Live Collections'!F1880))</f>
        <v>120000</v>
      </c>
      <c r="S1880" s="64">
        <v>10000</v>
      </c>
      <c r="T1880" s="304">
        <f t="shared" si="90"/>
        <v>40000</v>
      </c>
      <c r="U1880" s="52"/>
      <c r="V1880" s="34"/>
      <c r="W1880" s="408"/>
    </row>
    <row r="1881" spans="1:23" ht="12.75" customHeight="1" x14ac:dyDescent="0.2">
      <c r="A1881" s="257">
        <v>1863</v>
      </c>
      <c r="B1881" s="44">
        <v>44519</v>
      </c>
      <c r="C1881" s="44">
        <f t="shared" si="88"/>
        <v>44519</v>
      </c>
      <c r="D1881" s="374">
        <v>146</v>
      </c>
      <c r="E1881" s="291" t="str">
        <f>IFERROR(VLOOKUP($D1881,'Clients-Live'!$A:$C,3,0),"")</f>
        <v>IMBIRA AISHA</v>
      </c>
      <c r="F1881" s="291">
        <f>IFERROR(INDEX(Disbursements!$D:$D,MATCH('Live Collections'!G1881,Disbursements!$C:$C,0)),"")</f>
        <v>1</v>
      </c>
      <c r="G1881" s="34">
        <v>133</v>
      </c>
      <c r="H1881" s="34">
        <v>3454</v>
      </c>
      <c r="I1881" s="34" t="s">
        <v>1357</v>
      </c>
      <c r="J1881" s="48"/>
      <c r="K1881" s="48"/>
      <c r="L1881" s="48"/>
      <c r="M1881" s="48"/>
      <c r="N1881" s="59"/>
      <c r="O1881" s="59">
        <v>70000</v>
      </c>
      <c r="P1881" s="59"/>
      <c r="Q1881" s="268">
        <f t="shared" si="89"/>
        <v>70000</v>
      </c>
      <c r="R1881" s="61">
        <f>IF(O1881=0,0,SUMIFS(Disbursements!$T:$T,Disbursements!$B:$B,'Live Collections'!D1881,Disbursements!$D:$D,'Live Collections'!F1881))</f>
        <v>120000</v>
      </c>
      <c r="S1881" s="304"/>
      <c r="T1881" s="304">
        <f t="shared" si="90"/>
        <v>70000</v>
      </c>
      <c r="U1881" s="52"/>
      <c r="V1881" s="34"/>
      <c r="W1881" s="408"/>
    </row>
    <row r="1882" spans="1:23" ht="12.75" customHeight="1" x14ac:dyDescent="0.2">
      <c r="A1882" s="257">
        <v>1859</v>
      </c>
      <c r="B1882" s="44">
        <v>44519</v>
      </c>
      <c r="C1882" s="44">
        <f t="shared" si="88"/>
        <v>44519</v>
      </c>
      <c r="D1882" s="374">
        <v>154</v>
      </c>
      <c r="E1882" s="291" t="str">
        <f>IFERROR(VLOOKUP($D1882,'Clients-Live'!$A:$C,3,0),"")</f>
        <v>ERIMU SAMSON</v>
      </c>
      <c r="F1882" s="291">
        <f>IFERROR(INDEX(Disbursements!$D:$D,MATCH('Live Collections'!G1882,Disbursements!$C:$C,0)),"")</f>
        <v>1</v>
      </c>
      <c r="G1882" s="34">
        <v>140</v>
      </c>
      <c r="H1882" s="34">
        <v>3461</v>
      </c>
      <c r="I1882" s="34" t="s">
        <v>1358</v>
      </c>
      <c r="J1882" s="48"/>
      <c r="K1882" s="48"/>
      <c r="L1882" s="48"/>
      <c r="M1882" s="48"/>
      <c r="N1882" s="59"/>
      <c r="O1882" s="59">
        <v>200000</v>
      </c>
      <c r="P1882" s="59"/>
      <c r="Q1882" s="268">
        <f t="shared" si="89"/>
        <v>200000</v>
      </c>
      <c r="R1882" s="61">
        <f>IF(O1882=0,0,SUMIFS(Disbursements!$T:$T,Disbursements!$B:$B,'Live Collections'!D1882,Disbursements!$D:$D,'Live Collections'!F1882))</f>
        <v>390000</v>
      </c>
      <c r="S1882" s="304">
        <f>IF(O1882&lt;=IF($O1882=0,0,SUMIFS(Disbursements!$W:$W,Disbursements!$B:$B,'Live Collections'!D1929,Disbursements!$D:$D,'Live Collections'!F1929)),O1882,IF($O1882=0,0,SUMIFS(Disbursements!$W:$W,Disbursements!$B:$B,'Live Collections'!D1929,Disbursements!$D:$D,'Live Collections'!F1929)))</f>
        <v>0</v>
      </c>
      <c r="T1882" s="304">
        <f t="shared" si="90"/>
        <v>200000</v>
      </c>
      <c r="U1882" s="52"/>
      <c r="V1882" s="34"/>
      <c r="W1882" s="408"/>
    </row>
    <row r="1883" spans="1:23" ht="12.75" customHeight="1" x14ac:dyDescent="0.2">
      <c r="A1883" s="257">
        <v>1877</v>
      </c>
      <c r="B1883" s="44">
        <v>44519</v>
      </c>
      <c r="C1883" s="44">
        <f t="shared" si="88"/>
        <v>44519</v>
      </c>
      <c r="D1883" s="374">
        <v>190</v>
      </c>
      <c r="E1883" s="291" t="str">
        <f>IFERROR(VLOOKUP($D1883,'Clients-Live'!$A:$C,3,0),"")</f>
        <v>TAISA AMINA</v>
      </c>
      <c r="F1883" s="291">
        <f>IFERROR(INDEX(Disbursements!$D:$D,MATCH('Live Collections'!G1883,Disbursements!$C:$C,0)),"")</f>
        <v>1</v>
      </c>
      <c r="G1883" s="34">
        <v>177</v>
      </c>
      <c r="H1883" s="34">
        <v>3441</v>
      </c>
      <c r="I1883" s="34" t="s">
        <v>1357</v>
      </c>
      <c r="J1883" s="48"/>
      <c r="K1883" s="48"/>
      <c r="L1883" s="48"/>
      <c r="M1883" s="48"/>
      <c r="N1883" s="59"/>
      <c r="O1883" s="59">
        <v>120000</v>
      </c>
      <c r="P1883" s="59"/>
      <c r="Q1883" s="268">
        <f t="shared" si="89"/>
        <v>120000</v>
      </c>
      <c r="R1883" s="61">
        <f>IF(O1883=0,0,SUMIFS(Disbursements!$T:$T,Disbursements!$B:$B,'Live Collections'!D1883,Disbursements!$D:$D,'Live Collections'!F1883))</f>
        <v>120000</v>
      </c>
      <c r="S1883" s="64">
        <v>15000</v>
      </c>
      <c r="T1883" s="304">
        <f t="shared" si="90"/>
        <v>105000</v>
      </c>
      <c r="U1883" s="52"/>
      <c r="V1883" s="34"/>
      <c r="W1883" s="408"/>
    </row>
    <row r="1884" spans="1:23" ht="12.75" customHeight="1" x14ac:dyDescent="0.2">
      <c r="A1884" s="257">
        <v>1856</v>
      </c>
      <c r="B1884" s="44">
        <v>44519</v>
      </c>
      <c r="C1884" s="44">
        <f t="shared" si="88"/>
        <v>44519</v>
      </c>
      <c r="D1884" s="374">
        <v>215</v>
      </c>
      <c r="E1884" s="291" t="str">
        <f>IFERROR(VLOOKUP($D1884,'Clients-Live'!$A:$C,3,0),"")</f>
        <v>BRANI MUSA</v>
      </c>
      <c r="F1884" s="291">
        <f>IFERROR(INDEX(Disbursements!$D:$D,MATCH('Live Collections'!G1884,Disbursements!$C:$C,0)),"")</f>
        <v>1</v>
      </c>
      <c r="G1884" s="34">
        <v>219</v>
      </c>
      <c r="H1884" s="34">
        <v>423</v>
      </c>
      <c r="I1884" s="34" t="s">
        <v>1357</v>
      </c>
      <c r="J1884" s="48"/>
      <c r="K1884" s="48"/>
      <c r="L1884" s="48"/>
      <c r="M1884" s="48"/>
      <c r="N1884" s="59"/>
      <c r="O1884" s="59"/>
      <c r="P1884" s="59">
        <v>-84000</v>
      </c>
      <c r="Q1884" s="268">
        <f t="shared" si="89"/>
        <v>-84000</v>
      </c>
      <c r="R1884" s="61">
        <f>IF(O1884=0,0,SUMIFS(Disbursements!$T:$T,Disbursements!$B:$B,'Live Collections'!D1884,Disbursements!$D:$D,'Live Collections'!F1884))</f>
        <v>0</v>
      </c>
      <c r="S1884" s="304">
        <f>IF(O1884&lt;=IF($O1884=0,0,SUMIFS(Disbursements!$W:$W,Disbursements!$B:$B,'Live Collections'!D2533,Disbursements!$D:$D,'Live Collections'!F2533)),O1884,IF($O1884=0,0,SUMIFS(Disbursements!$W:$W,Disbursements!$B:$B,'Live Collections'!D2533,Disbursements!$D:$D,'Live Collections'!F2533)))</f>
        <v>0</v>
      </c>
      <c r="T1884" s="304">
        <f t="shared" si="90"/>
        <v>0</v>
      </c>
      <c r="U1884" s="52"/>
      <c r="V1884" s="34"/>
      <c r="W1884" s="408"/>
    </row>
    <row r="1885" spans="1:23" ht="12.75" customHeight="1" x14ac:dyDescent="0.2">
      <c r="A1885" s="257">
        <v>1857</v>
      </c>
      <c r="B1885" s="44">
        <v>44519</v>
      </c>
      <c r="C1885" s="44">
        <f t="shared" si="88"/>
        <v>44519</v>
      </c>
      <c r="D1885" s="374">
        <v>215</v>
      </c>
      <c r="E1885" s="291" t="str">
        <f>IFERROR(VLOOKUP($D1885,'Clients-Live'!$A:$C,3,0),"")</f>
        <v>BRANI MUSA</v>
      </c>
      <c r="F1885" s="291">
        <f>IFERROR(INDEX(Disbursements!$D:$D,MATCH('Live Collections'!G1885,Disbursements!$C:$C,0)),"")</f>
        <v>1</v>
      </c>
      <c r="G1885" s="34">
        <v>219</v>
      </c>
      <c r="H1885" s="34">
        <v>3439</v>
      </c>
      <c r="I1885" s="34" t="s">
        <v>1357</v>
      </c>
      <c r="J1885" s="48"/>
      <c r="K1885" s="48"/>
      <c r="L1885" s="48"/>
      <c r="M1885" s="48"/>
      <c r="N1885" s="59"/>
      <c r="O1885" s="59">
        <v>84000</v>
      </c>
      <c r="P1885" s="59"/>
      <c r="Q1885" s="268">
        <f t="shared" si="89"/>
        <v>84000</v>
      </c>
      <c r="R1885" s="61">
        <f>IF(O1885=0,0,SUMIFS(Disbursements!$T:$T,Disbursements!$B:$B,'Live Collections'!D1885,Disbursements!$D:$D,'Live Collections'!F1885))</f>
        <v>368000</v>
      </c>
      <c r="S1885" s="304"/>
      <c r="T1885" s="304">
        <f t="shared" si="90"/>
        <v>84000</v>
      </c>
      <c r="U1885" s="52"/>
      <c r="V1885" s="34"/>
      <c r="W1885" s="408"/>
    </row>
    <row r="1886" spans="1:23" ht="12.75" customHeight="1" x14ac:dyDescent="0.2">
      <c r="A1886" s="257">
        <v>1874</v>
      </c>
      <c r="B1886" s="44">
        <v>44519</v>
      </c>
      <c r="C1886" s="44">
        <f t="shared" si="88"/>
        <v>44519</v>
      </c>
      <c r="D1886" s="374">
        <v>232</v>
      </c>
      <c r="E1886" s="291" t="str">
        <f>IFERROR(VLOOKUP($D1886,'Clients-Live'!$A:$C,3,0),"")</f>
        <v>LEMERIGA GEOFFREY</v>
      </c>
      <c r="F1886" s="291">
        <f>IFERROR(INDEX(Disbursements!$D:$D,MATCH('Live Collections'!G1886,Disbursements!$C:$C,0)),"")</f>
        <v>1</v>
      </c>
      <c r="G1886" s="34">
        <v>250</v>
      </c>
      <c r="H1886" s="34">
        <v>3444</v>
      </c>
      <c r="I1886" s="34" t="s">
        <v>1358</v>
      </c>
      <c r="J1886" s="48"/>
      <c r="K1886" s="48"/>
      <c r="L1886" s="48"/>
      <c r="M1886" s="48"/>
      <c r="N1886" s="59"/>
      <c r="O1886" s="59">
        <v>100000</v>
      </c>
      <c r="P1886" s="59"/>
      <c r="Q1886" s="268">
        <f t="shared" si="89"/>
        <v>100000</v>
      </c>
      <c r="R1886" s="61">
        <f>IF(O1886=0,0,SUMIFS(Disbursements!$T:$T,Disbursements!$B:$B,'Live Collections'!D1886,Disbursements!$D:$D,'Live Collections'!F1886))</f>
        <v>1050000</v>
      </c>
      <c r="S1886" s="304">
        <f>IF(O1886&lt;=IF($O1886=0,0,SUMIFS(Disbursements!$W:$W,Disbursements!$B:$B,'Live Collections'!D2686,Disbursements!$D:$D,'Live Collections'!F2686)),O1886,IF($O1886=0,0,SUMIFS(Disbursements!$W:$W,Disbursements!$B:$B,'Live Collections'!D2686,Disbursements!$D:$D,'Live Collections'!F2686)))</f>
        <v>20000</v>
      </c>
      <c r="T1886" s="304">
        <f t="shared" si="90"/>
        <v>80000</v>
      </c>
      <c r="U1886" s="52"/>
      <c r="V1886" s="34"/>
      <c r="W1886" s="408"/>
    </row>
    <row r="1887" spans="1:23" ht="12.75" customHeight="1" x14ac:dyDescent="0.2">
      <c r="A1887" s="257">
        <v>1876</v>
      </c>
      <c r="B1887" s="44">
        <v>44519</v>
      </c>
      <c r="C1887" s="44">
        <f t="shared" si="88"/>
        <v>44519</v>
      </c>
      <c r="D1887" s="374">
        <v>241</v>
      </c>
      <c r="E1887" s="291" t="str">
        <f>IFERROR(VLOOKUP($D1887,'Clients-Live'!$A:$C,3,0),"")</f>
        <v>SIRIKA FARIDA</v>
      </c>
      <c r="F1887" s="291">
        <f>IFERROR(INDEX(Disbursements!$D:$D,MATCH('Live Collections'!G1887,Disbursements!$C:$C,0)),"")</f>
        <v>1</v>
      </c>
      <c r="G1887" s="34">
        <v>282</v>
      </c>
      <c r="H1887" s="34">
        <v>3442</v>
      </c>
      <c r="I1887" s="34" t="s">
        <v>1359</v>
      </c>
      <c r="J1887" s="48"/>
      <c r="K1887" s="48"/>
      <c r="L1887" s="48"/>
      <c r="M1887" s="48"/>
      <c r="N1887" s="59"/>
      <c r="O1887" s="59">
        <v>125000</v>
      </c>
      <c r="P1887" s="59"/>
      <c r="Q1887" s="268">
        <f t="shared" si="89"/>
        <v>125000</v>
      </c>
      <c r="R1887" s="61">
        <f>IF(O1887=0,0,SUMIFS(Disbursements!$T:$T,Disbursements!$B:$B,'Live Collections'!D1887,Disbursements!$D:$D,'Live Collections'!F1887))</f>
        <v>125000</v>
      </c>
      <c r="S1887" s="304">
        <v>125000</v>
      </c>
      <c r="T1887" s="304">
        <f t="shared" si="90"/>
        <v>0</v>
      </c>
      <c r="U1887" s="52"/>
      <c r="V1887" s="34"/>
      <c r="W1887" s="408"/>
    </row>
    <row r="1888" spans="1:23" ht="12.75" customHeight="1" x14ac:dyDescent="0.2">
      <c r="A1888" s="257">
        <v>1875</v>
      </c>
      <c r="B1888" s="44">
        <v>44519</v>
      </c>
      <c r="C1888" s="44">
        <f t="shared" si="88"/>
        <v>44519</v>
      </c>
      <c r="D1888" s="374">
        <v>242</v>
      </c>
      <c r="E1888" s="291" t="str">
        <f>IFERROR(VLOOKUP($D1888,'Clients-Live'!$A:$C,3,0),"")</f>
        <v>BAKOKO FLAVIA</v>
      </c>
      <c r="F1888" s="291">
        <f>IFERROR(INDEX(Disbursements!$D:$D,MATCH('Live Collections'!G1888,Disbursements!$C:$C,0)),"")</f>
        <v>1</v>
      </c>
      <c r="G1888" s="34">
        <v>277</v>
      </c>
      <c r="H1888" s="34">
        <v>3443</v>
      </c>
      <c r="I1888" s="34" t="s">
        <v>1359</v>
      </c>
      <c r="J1888" s="48"/>
      <c r="K1888" s="48"/>
      <c r="L1888" s="48"/>
      <c r="M1888" s="48"/>
      <c r="N1888" s="59"/>
      <c r="O1888" s="59">
        <v>216700</v>
      </c>
      <c r="P1888" s="59"/>
      <c r="Q1888" s="268">
        <f t="shared" si="89"/>
        <v>216700</v>
      </c>
      <c r="R1888" s="61">
        <f>IF(O1888=0,0,SUMIFS(Disbursements!$T:$T,Disbursements!$B:$B,'Live Collections'!D1888,Disbursements!$D:$D,'Live Collections'!F1888))</f>
        <v>217000</v>
      </c>
      <c r="S1888" s="304">
        <f>IF(O1888&lt;=IF($O1888=0,0,SUMIFS(Disbursements!$W:$W,Disbursements!$B:$B,'Live Collections'!D2764,Disbursements!$D:$D,'Live Collections'!F2764)),O1888,IF($O1888=0,0,SUMIFS(Disbursements!$W:$W,Disbursements!$B:$B,'Live Collections'!D2764,Disbursements!$D:$D,'Live Collections'!F2764)))</f>
        <v>25000</v>
      </c>
      <c r="T1888" s="304">
        <f t="shared" si="90"/>
        <v>191700</v>
      </c>
      <c r="U1888" s="52"/>
      <c r="V1888" s="34"/>
      <c r="W1888" s="408"/>
    </row>
    <row r="1889" spans="1:23" ht="12.75" customHeight="1" x14ac:dyDescent="0.2">
      <c r="A1889" s="257">
        <v>1872</v>
      </c>
      <c r="B1889" s="44">
        <v>44519</v>
      </c>
      <c r="C1889" s="44">
        <f t="shared" si="88"/>
        <v>44519</v>
      </c>
      <c r="D1889" s="374">
        <v>243</v>
      </c>
      <c r="E1889" s="291" t="str">
        <f>IFERROR(VLOOKUP($D1889,'Clients-Live'!$A:$C,3,0),"")</f>
        <v>AMANIYO FARIDA</v>
      </c>
      <c r="F1889" s="291">
        <f>IFERROR(INDEX(Disbursements!$D:$D,MATCH('Live Collections'!G1889,Disbursements!$C:$C,0)),"")</f>
        <v>1</v>
      </c>
      <c r="G1889" s="34">
        <v>274</v>
      </c>
      <c r="H1889" s="34">
        <v>3446</v>
      </c>
      <c r="I1889" s="34" t="s">
        <v>1357</v>
      </c>
      <c r="J1889" s="48"/>
      <c r="K1889" s="48"/>
      <c r="L1889" s="48"/>
      <c r="M1889" s="48"/>
      <c r="N1889" s="59"/>
      <c r="O1889" s="59">
        <v>150000</v>
      </c>
      <c r="P1889" s="59"/>
      <c r="Q1889" s="268">
        <f t="shared" si="89"/>
        <v>150000</v>
      </c>
      <c r="R1889" s="61">
        <f>IF(O1889=0,0,SUMIFS(Disbursements!$T:$T,Disbursements!$B:$B,'Live Collections'!D1889,Disbursements!$D:$D,'Live Collections'!F1889))</f>
        <v>150000</v>
      </c>
      <c r="S1889" s="304"/>
      <c r="T1889" s="304">
        <f t="shared" si="90"/>
        <v>150000</v>
      </c>
      <c r="U1889" s="52"/>
      <c r="V1889" s="34"/>
      <c r="W1889" s="408"/>
    </row>
    <row r="1890" spans="1:23" ht="12.75" customHeight="1" x14ac:dyDescent="0.2">
      <c r="A1890" s="257">
        <v>1864</v>
      </c>
      <c r="B1890" s="44">
        <v>44519</v>
      </c>
      <c r="C1890" s="44">
        <f t="shared" si="88"/>
        <v>44519</v>
      </c>
      <c r="D1890" s="374">
        <v>254</v>
      </c>
      <c r="E1890" s="291" t="str">
        <f>IFERROR(VLOOKUP($D1890,'Clients-Live'!$A:$C,3,0),"")</f>
        <v>ANITE AGNES</v>
      </c>
      <c r="F1890" s="291">
        <f>IFERROR(INDEX(Disbursements!$D:$D,MATCH('Live Collections'!G1890,Disbursements!$C:$C,0)),"")</f>
        <v>1</v>
      </c>
      <c r="G1890" s="34">
        <v>279</v>
      </c>
      <c r="H1890" s="34">
        <v>3453</v>
      </c>
      <c r="I1890" s="34" t="s">
        <v>1357</v>
      </c>
      <c r="J1890" s="48"/>
      <c r="K1890" s="48"/>
      <c r="L1890" s="48"/>
      <c r="M1890" s="48"/>
      <c r="N1890" s="59"/>
      <c r="O1890" s="59">
        <v>120000</v>
      </c>
      <c r="P1890" s="59"/>
      <c r="Q1890" s="268">
        <f t="shared" si="89"/>
        <v>120000</v>
      </c>
      <c r="R1890" s="61">
        <f>IF(O1890=0,0,SUMIFS(Disbursements!$T:$T,Disbursements!$B:$B,'Live Collections'!D1890,Disbursements!$D:$D,'Live Collections'!F1890))</f>
        <v>120000</v>
      </c>
      <c r="S1890" s="304">
        <f>IF(O1890&lt;=IF($O1890=0,0,SUMIFS(Disbursements!$W:$W,Disbursements!$B:$B,'Live Collections'!D2851,Disbursements!$D:$D,'Live Collections'!F2851)),O1890,IF($O1890=0,0,SUMIFS(Disbursements!$W:$W,Disbursements!$B:$B,'Live Collections'!D2851,Disbursements!$D:$D,'Live Collections'!F2851)))</f>
        <v>60333.333333333314</v>
      </c>
      <c r="T1890" s="304">
        <f t="shared" si="90"/>
        <v>59666.666666666686</v>
      </c>
      <c r="U1890" s="52"/>
      <c r="V1890" s="34"/>
      <c r="W1890" s="408"/>
    </row>
    <row r="1891" spans="1:23" ht="12.75" customHeight="1" x14ac:dyDescent="0.2">
      <c r="A1891" s="257">
        <v>1869</v>
      </c>
      <c r="B1891" s="44">
        <v>44519</v>
      </c>
      <c r="C1891" s="44">
        <f t="shared" si="88"/>
        <v>44519</v>
      </c>
      <c r="D1891" s="374">
        <v>260</v>
      </c>
      <c r="E1891" s="291" t="str">
        <f>IFERROR(VLOOKUP($D1891,'Clients-Live'!$A:$C,3,0),"")</f>
        <v>ATAYI GRACE</v>
      </c>
      <c r="F1891" s="291">
        <f>IFERROR(INDEX(Disbursements!$D:$D,MATCH('Live Collections'!G1891,Disbursements!$C:$C,0)),"")</f>
        <v>1</v>
      </c>
      <c r="G1891" s="34">
        <v>303</v>
      </c>
      <c r="H1891" s="34">
        <v>3449</v>
      </c>
      <c r="I1891" s="34" t="s">
        <v>1359</v>
      </c>
      <c r="J1891" s="48"/>
      <c r="K1891" s="48"/>
      <c r="L1891" s="48"/>
      <c r="M1891" s="48"/>
      <c r="N1891" s="59"/>
      <c r="O1891" s="59">
        <v>25000</v>
      </c>
      <c r="P1891" s="59"/>
      <c r="Q1891" s="268">
        <f t="shared" si="89"/>
        <v>25000</v>
      </c>
      <c r="R1891" s="61">
        <f>IF(O1891=0,0,SUMIFS(Disbursements!$T:$T,Disbursements!$B:$B,'Live Collections'!D1891,Disbursements!$D:$D,'Live Collections'!F1891))</f>
        <v>23000</v>
      </c>
      <c r="S1891" s="304">
        <f>IF(O1891&lt;=IF($O1891=0,0,SUMIFS(Disbursements!$W:$W,Disbursements!$B:$B,'Live Collections'!D2878,Disbursements!$D:$D,'Live Collections'!F2878)),O1891,IF($O1891=0,0,SUMIFS(Disbursements!$W:$W,Disbursements!$B:$B,'Live Collections'!D2878,Disbursements!$D:$D,'Live Collections'!F2878)))</f>
        <v>25000</v>
      </c>
      <c r="T1891" s="304">
        <f t="shared" si="90"/>
        <v>0</v>
      </c>
      <c r="U1891" s="52"/>
      <c r="V1891" s="34"/>
      <c r="W1891" s="408"/>
    </row>
    <row r="1892" spans="1:23" ht="12.75" customHeight="1" x14ac:dyDescent="0.2">
      <c r="A1892" s="257">
        <v>1866</v>
      </c>
      <c r="B1892" s="44">
        <v>44519</v>
      </c>
      <c r="C1892" s="44">
        <f t="shared" si="88"/>
        <v>44519</v>
      </c>
      <c r="D1892" s="374">
        <v>284</v>
      </c>
      <c r="E1892" s="291" t="str">
        <f>IFERROR(VLOOKUP($D1892,'Clients-Live'!$A:$C,3,0),"")</f>
        <v>MALISH WAWASON</v>
      </c>
      <c r="F1892" s="291">
        <f>IFERROR(INDEX(Disbursements!$D:$D,MATCH('Live Collections'!G1892,Disbursements!$C:$C,0)),"")</f>
        <v>1</v>
      </c>
      <c r="G1892" s="34">
        <v>338</v>
      </c>
      <c r="H1892" s="34">
        <v>3452</v>
      </c>
      <c r="I1892" s="34" t="s">
        <v>1358</v>
      </c>
      <c r="J1892" s="48"/>
      <c r="K1892" s="48"/>
      <c r="L1892" s="48"/>
      <c r="M1892" s="48"/>
      <c r="N1892" s="59"/>
      <c r="O1892" s="59"/>
      <c r="P1892" s="59">
        <v>250000</v>
      </c>
      <c r="Q1892" s="268">
        <f t="shared" si="89"/>
        <v>250000</v>
      </c>
      <c r="R1892" s="61">
        <f>IF(O1892=0,0,SUMIFS(Disbursements!$T:$T,Disbursements!$B:$B,'Live Collections'!D1892,Disbursements!$D:$D,'Live Collections'!F1892))</f>
        <v>0</v>
      </c>
      <c r="S1892" s="304">
        <f>IF(O1892&lt;=IF($O1892=0,0,SUMIFS(Disbursements!$W:$W,Disbursements!$B:$B,'Live Collections'!D3014,Disbursements!$D:$D,'Live Collections'!F3014)),O1892,IF($O1892=0,0,SUMIFS(Disbursements!$W:$W,Disbursements!$B:$B,'Live Collections'!D3014,Disbursements!$D:$D,'Live Collections'!F3014)))</f>
        <v>0</v>
      </c>
      <c r="T1892" s="304">
        <f t="shared" si="90"/>
        <v>0</v>
      </c>
      <c r="U1892" s="52"/>
      <c r="V1892" s="34"/>
      <c r="W1892" s="408"/>
    </row>
    <row r="1893" spans="1:23" ht="12.75" customHeight="1" x14ac:dyDescent="0.2">
      <c r="A1893" s="257">
        <v>1880</v>
      </c>
      <c r="B1893" s="44">
        <v>44519</v>
      </c>
      <c r="C1893" s="44">
        <f t="shared" si="88"/>
        <v>44519</v>
      </c>
      <c r="D1893" s="374">
        <v>284</v>
      </c>
      <c r="E1893" s="291" t="str">
        <f>IFERROR(VLOOKUP($D1893,'Clients-Live'!$A:$C,3,0),"")</f>
        <v>MALISH WAWASON</v>
      </c>
      <c r="F1893" s="291">
        <f>IFERROR(INDEX(Disbursements!$D:$D,MATCH('Live Collections'!G1893,Disbursements!$C:$C,0)),"")</f>
        <v>1</v>
      </c>
      <c r="G1893" s="34">
        <v>338</v>
      </c>
      <c r="H1893" s="34">
        <v>3463</v>
      </c>
      <c r="I1893" s="34" t="s">
        <v>1358</v>
      </c>
      <c r="J1893" s="48"/>
      <c r="K1893" s="48"/>
      <c r="L1893" s="48"/>
      <c r="M1893" s="48"/>
      <c r="N1893" s="59"/>
      <c r="O1893" s="59"/>
      <c r="P1893" s="59">
        <v>50000</v>
      </c>
      <c r="Q1893" s="268">
        <f t="shared" si="89"/>
        <v>50000</v>
      </c>
      <c r="R1893" s="61">
        <f>IF(O1893=0,0,SUMIFS(Disbursements!$T:$T,Disbursements!$B:$B,'Live Collections'!D1893,Disbursements!$D:$D,'Live Collections'!F1893))</f>
        <v>0</v>
      </c>
      <c r="S1893" s="304">
        <f>IF(O1893&lt;=IF($O1893=0,0,SUMIFS(Disbursements!$W:$W,Disbursements!$B:$B,'Live Collections'!D3015,Disbursements!$D:$D,'Live Collections'!F3015)),O1893,IF($O1893=0,0,SUMIFS(Disbursements!$W:$W,Disbursements!$B:$B,'Live Collections'!D3015,Disbursements!$D:$D,'Live Collections'!F3015)))</f>
        <v>0</v>
      </c>
      <c r="T1893" s="304">
        <f t="shared" si="90"/>
        <v>0</v>
      </c>
      <c r="U1893" s="52"/>
      <c r="V1893" s="34"/>
      <c r="W1893" s="408"/>
    </row>
    <row r="1894" spans="1:23" ht="12.75" customHeight="1" x14ac:dyDescent="0.2">
      <c r="A1894" s="257">
        <v>1881</v>
      </c>
      <c r="B1894" s="44">
        <v>44520</v>
      </c>
      <c r="C1894" s="44">
        <f t="shared" si="88"/>
        <v>44520</v>
      </c>
      <c r="D1894" s="374">
        <v>14</v>
      </c>
      <c r="E1894" s="291" t="str">
        <f>IFERROR(VLOOKUP($D1894,'Clients-Live'!$A:$C,3,0),"")</f>
        <v>ASIKU ROMANO ADEBUA</v>
      </c>
      <c r="F1894" s="291">
        <f>IFERROR(INDEX(Disbursements!$D:$D,MATCH('Live Collections'!G1894,Disbursements!$C:$C,0)),"")</f>
        <v>1</v>
      </c>
      <c r="G1894" s="34">
        <v>5</v>
      </c>
      <c r="H1894" s="34">
        <v>3472</v>
      </c>
      <c r="I1894" s="34" t="s">
        <v>1357</v>
      </c>
      <c r="J1894" s="48"/>
      <c r="K1894" s="48"/>
      <c r="L1894" s="48"/>
      <c r="M1894" s="48"/>
      <c r="N1894" s="59"/>
      <c r="O1894" s="59">
        <v>100000</v>
      </c>
      <c r="P1894" s="59"/>
      <c r="Q1894" s="268">
        <f t="shared" si="89"/>
        <v>100000</v>
      </c>
      <c r="R1894" s="61">
        <f>IF(O1894=0,0,SUMIFS(Disbursements!$T:$T,Disbursements!$B:$B,'Live Collections'!D1894,Disbursements!$D:$D,'Live Collections'!F1894))</f>
        <v>217000</v>
      </c>
      <c r="S1894" s="304">
        <f>IF(O1894&lt;=IF($O1894=0,0,SUMIFS(Disbursements!$W:$W,Disbursements!$B:$B,'Live Collections'!D152,Disbursements!$D:$D,'Live Collections'!F152)),O1894,IF($O1894=0,0,SUMIFS(Disbursements!$W:$W,Disbursements!$B:$B,'Live Collections'!D152,Disbursements!$D:$D,'Live Collections'!F152)))</f>
        <v>50333.333333333343</v>
      </c>
      <c r="T1894" s="304">
        <f t="shared" si="90"/>
        <v>49666.666666666657</v>
      </c>
      <c r="U1894" s="52"/>
      <c r="V1894" s="34"/>
      <c r="W1894" s="408"/>
    </row>
    <row r="1895" spans="1:23" ht="12.75" customHeight="1" x14ac:dyDescent="0.2">
      <c r="A1895" s="257">
        <v>1882</v>
      </c>
      <c r="B1895" s="44">
        <v>44520</v>
      </c>
      <c r="C1895" s="44">
        <f t="shared" si="88"/>
        <v>44520</v>
      </c>
      <c r="D1895" s="374">
        <v>34</v>
      </c>
      <c r="E1895" s="291" t="str">
        <f>IFERROR(VLOOKUP($D1895,'Clients-Live'!$A:$C,3,0),"")</f>
        <v>APEKURU FLORENCE</v>
      </c>
      <c r="F1895" s="291">
        <f>IFERROR(INDEX(Disbursements!$D:$D,MATCH('Live Collections'!G1895,Disbursements!$C:$C,0)),"")</f>
        <v>2</v>
      </c>
      <c r="G1895" s="34">
        <v>283</v>
      </c>
      <c r="H1895" s="34">
        <v>3471</v>
      </c>
      <c r="I1895" s="34" t="s">
        <v>1359</v>
      </c>
      <c r="J1895" s="48"/>
      <c r="K1895" s="48"/>
      <c r="L1895" s="48"/>
      <c r="M1895" s="48"/>
      <c r="N1895" s="59"/>
      <c r="O1895" s="59">
        <v>125000</v>
      </c>
      <c r="P1895" s="59"/>
      <c r="Q1895" s="268">
        <f t="shared" si="89"/>
        <v>125000</v>
      </c>
      <c r="R1895" s="61">
        <f>IF(O1895=0,0,SUMIFS(Disbursements!$T:$T,Disbursements!$B:$B,'Live Collections'!D1895,Disbursements!$D:$D,'Live Collections'!F1895))</f>
        <v>103000</v>
      </c>
      <c r="S1895" s="304">
        <f>IF(O1895&lt;=IF($O1895=0,0,SUMIFS(Disbursements!$W:$W,Disbursements!$B:$B,'Live Collections'!D398,Disbursements!$D:$D,'Live Collections'!F398)),O1895,IF($O1895=0,0,SUMIFS(Disbursements!$W:$W,Disbursements!$B:$B,'Live Collections'!D398,Disbursements!$D:$D,'Live Collections'!F398)))</f>
        <v>35000</v>
      </c>
      <c r="T1895" s="304">
        <f>IF(O1895=0,0,O1895-S1895)+2700</f>
        <v>92700</v>
      </c>
      <c r="U1895" s="52"/>
      <c r="V1895" s="34"/>
      <c r="W1895" s="408"/>
    </row>
    <row r="1896" spans="1:23" ht="12.75" customHeight="1" x14ac:dyDescent="0.2">
      <c r="A1896" s="257">
        <v>1887</v>
      </c>
      <c r="B1896" s="44">
        <v>44520</v>
      </c>
      <c r="C1896" s="44">
        <f t="shared" si="88"/>
        <v>44520</v>
      </c>
      <c r="D1896" s="374">
        <v>63</v>
      </c>
      <c r="E1896" s="291" t="str">
        <f>IFERROR(VLOOKUP($D1896,'Clients-Live'!$A:$C,3,0),"")</f>
        <v>AWURU KADARA</v>
      </c>
      <c r="F1896" s="291">
        <f>IFERROR(INDEX(Disbursements!$D:$D,MATCH('Live Collections'!G1896,Disbursements!$C:$C,0)),"")</f>
        <v>2</v>
      </c>
      <c r="G1896" s="34">
        <v>173</v>
      </c>
      <c r="H1896" s="34">
        <v>3466</v>
      </c>
      <c r="I1896" s="34" t="s">
        <v>1358</v>
      </c>
      <c r="J1896" s="48"/>
      <c r="K1896" s="48"/>
      <c r="L1896" s="48"/>
      <c r="M1896" s="48"/>
      <c r="N1896" s="59"/>
      <c r="O1896" s="59">
        <v>100000</v>
      </c>
      <c r="P1896" s="59"/>
      <c r="Q1896" s="268">
        <f t="shared" si="89"/>
        <v>100000</v>
      </c>
      <c r="R1896" s="61">
        <f>IF(O1896=0,0,SUMIFS(Disbursements!$T:$T,Disbursements!$B:$B,'Live Collections'!D1896,Disbursements!$D:$D,'Live Collections'!F1896))</f>
        <v>175000</v>
      </c>
      <c r="S1896" s="304">
        <f>IF(O1896&lt;=IF($O1896=0,0,SUMIFS(Disbursements!$W:$W,Disbursements!$B:$B,'Live Collections'!D759,Disbursements!$D:$D,'Live Collections'!F759)),O1896,IF($O1896=0,0,SUMIFS(Disbursements!$W:$W,Disbursements!$B:$B,'Live Collections'!D759,Disbursements!$D:$D,'Live Collections'!F759)))</f>
        <v>20000</v>
      </c>
      <c r="T1896" s="304">
        <f t="shared" si="90"/>
        <v>80000</v>
      </c>
      <c r="U1896" s="52"/>
      <c r="V1896" s="34"/>
      <c r="W1896" s="408"/>
    </row>
    <row r="1897" spans="1:23" ht="12.75" customHeight="1" x14ac:dyDescent="0.2">
      <c r="A1897" s="257">
        <v>1885</v>
      </c>
      <c r="B1897" s="44">
        <v>44520</v>
      </c>
      <c r="C1897" s="44">
        <f t="shared" si="88"/>
        <v>44520</v>
      </c>
      <c r="D1897" s="374">
        <v>67</v>
      </c>
      <c r="E1897" s="291" t="str">
        <f>IFERROR(VLOOKUP($D1897,'Clients-Live'!$A:$C,3,0),"")</f>
        <v>KEBITA SAUDA</v>
      </c>
      <c r="F1897" s="291">
        <f>IFERROR(INDEX(Disbursements!$D:$D,MATCH('Live Collections'!G1897,Disbursements!$C:$C,0)),"")</f>
        <v>2</v>
      </c>
      <c r="G1897" s="34">
        <v>272</v>
      </c>
      <c r="H1897" s="34">
        <v>3464</v>
      </c>
      <c r="I1897" s="34" t="s">
        <v>1358</v>
      </c>
      <c r="J1897" s="48"/>
      <c r="K1897" s="48"/>
      <c r="L1897" s="48"/>
      <c r="M1897" s="48"/>
      <c r="N1897" s="59"/>
      <c r="O1897" s="59">
        <v>100000</v>
      </c>
      <c r="P1897" s="59"/>
      <c r="Q1897" s="268">
        <f t="shared" si="89"/>
        <v>100000</v>
      </c>
      <c r="R1897" s="61">
        <f>IF(O1897=0,0,SUMIFS(Disbursements!$T:$T,Disbursements!$B:$B,'Live Collections'!D1897,Disbursements!$D:$D,'Live Collections'!F1897))</f>
        <v>180000</v>
      </c>
      <c r="S1897" s="304">
        <f>IF(O1897&lt;=IF($O1897=0,0,SUMIFS(Disbursements!$W:$W,Disbursements!$B:$B,'Live Collections'!D833,Disbursements!$D:$D,'Live Collections'!F833)),O1897,IF($O1897=0,0,SUMIFS(Disbursements!$W:$W,Disbursements!$B:$B,'Live Collections'!D833,Disbursements!$D:$D,'Live Collections'!F833)))</f>
        <v>15333.333333333328</v>
      </c>
      <c r="T1897" s="304">
        <f t="shared" si="90"/>
        <v>84666.666666666672</v>
      </c>
      <c r="U1897" s="52"/>
      <c r="V1897" s="34"/>
      <c r="W1897" s="408"/>
    </row>
    <row r="1898" spans="1:23" ht="12.75" customHeight="1" x14ac:dyDescent="0.2">
      <c r="A1898" s="257">
        <v>1886</v>
      </c>
      <c r="B1898" s="44">
        <v>44520</v>
      </c>
      <c r="C1898" s="44">
        <f t="shared" si="88"/>
        <v>44520</v>
      </c>
      <c r="D1898" s="374">
        <v>187</v>
      </c>
      <c r="E1898" s="291" t="str">
        <f>IFERROR(VLOOKUP($D1898,'Clients-Live'!$A:$C,3,0),"")</f>
        <v xml:space="preserve">AJIO HARRIET </v>
      </c>
      <c r="F1898" s="291">
        <f>IFERROR(INDEX(Disbursements!$D:$D,MATCH('Live Collections'!G1898,Disbursements!$C:$C,0)),"")</f>
        <v>1</v>
      </c>
      <c r="G1898" s="34">
        <v>179</v>
      </c>
      <c r="H1898" s="34">
        <v>3465</v>
      </c>
      <c r="I1898" s="34" t="s">
        <v>1358</v>
      </c>
      <c r="J1898" s="48"/>
      <c r="K1898" s="48"/>
      <c r="L1898" s="48"/>
      <c r="M1898" s="48"/>
      <c r="N1898" s="59"/>
      <c r="O1898" s="59">
        <v>120000</v>
      </c>
      <c r="P1898" s="59"/>
      <c r="Q1898" s="268">
        <f t="shared" si="89"/>
        <v>120000</v>
      </c>
      <c r="R1898" s="61">
        <f>IF(O1898=0,0,SUMIFS(Disbursements!$T:$T,Disbursements!$B:$B,'Live Collections'!D1898,Disbursements!$D:$D,'Live Collections'!F1898))</f>
        <v>120000</v>
      </c>
      <c r="S1898" s="304">
        <v>19333.333333333328</v>
      </c>
      <c r="T1898" s="304">
        <f t="shared" si="90"/>
        <v>100666.66666666667</v>
      </c>
      <c r="U1898" s="52"/>
      <c r="V1898" s="34"/>
      <c r="W1898" s="408"/>
    </row>
    <row r="1899" spans="1:23" ht="12.75" customHeight="1" x14ac:dyDescent="0.2">
      <c r="A1899" s="257">
        <v>1883</v>
      </c>
      <c r="B1899" s="44">
        <v>44520</v>
      </c>
      <c r="C1899" s="44">
        <f t="shared" si="88"/>
        <v>44520</v>
      </c>
      <c r="D1899" s="374">
        <v>215</v>
      </c>
      <c r="E1899" s="291" t="str">
        <f>IFERROR(VLOOKUP($D1899,'Clients-Live'!$A:$C,3,0),"")</f>
        <v>BRANI MUSA</v>
      </c>
      <c r="F1899" s="291" t="str">
        <f>IFERROR(INDEX(Disbursements!$D:$D,MATCH('Live Collections'!G1899,Disbursements!$C:$C,0)),"")</f>
        <v/>
      </c>
      <c r="G1899" s="34"/>
      <c r="H1899" s="34">
        <v>3470</v>
      </c>
      <c r="I1899" s="34" t="s">
        <v>1357</v>
      </c>
      <c r="J1899" s="48"/>
      <c r="K1899" s="48"/>
      <c r="L1899" s="48">
        <v>20000</v>
      </c>
      <c r="M1899" s="48">
        <v>5000</v>
      </c>
      <c r="N1899" s="59"/>
      <c r="O1899" s="59"/>
      <c r="P1899" s="59"/>
      <c r="Q1899" s="268">
        <f t="shared" si="89"/>
        <v>25000</v>
      </c>
      <c r="R1899" s="61">
        <f>IF(O1899=0,0,SUMIFS(Disbursements!$T:$T,Disbursements!$B:$B,'Live Collections'!D1899,Disbursements!$D:$D,'Live Collections'!F1899))</f>
        <v>0</v>
      </c>
      <c r="S1899" s="304">
        <f>IF(O1899&lt;=IF($O1899=0,0,SUMIFS(Disbursements!$W:$W,Disbursements!$B:$B,'Live Collections'!D2535,Disbursements!$D:$D,'Live Collections'!F2535)),O1899,IF($O1899=0,0,SUMIFS(Disbursements!$W:$W,Disbursements!$B:$B,'Live Collections'!D2535,Disbursements!$D:$D,'Live Collections'!F2535)))</f>
        <v>0</v>
      </c>
      <c r="T1899" s="304">
        <f t="shared" si="90"/>
        <v>0</v>
      </c>
      <c r="U1899" s="52"/>
      <c r="V1899" s="34"/>
      <c r="W1899" s="408"/>
    </row>
    <row r="1900" spans="1:23" ht="12.75" customHeight="1" x14ac:dyDescent="0.2">
      <c r="A1900" s="257">
        <v>1884</v>
      </c>
      <c r="B1900" s="44">
        <v>44520</v>
      </c>
      <c r="C1900" s="44">
        <f t="shared" si="88"/>
        <v>44520</v>
      </c>
      <c r="D1900" s="374">
        <v>250</v>
      </c>
      <c r="E1900" s="291" t="str">
        <f>IFERROR(VLOOKUP($D1900,'Clients-Live'!$A:$C,3,0),"")</f>
        <v>SAKAYA AMINA</v>
      </c>
      <c r="F1900" s="291">
        <f>IFERROR(INDEX(Disbursements!$D:$D,MATCH('Live Collections'!G1900,Disbursements!$C:$C,0)),"")</f>
        <v>1</v>
      </c>
      <c r="G1900" s="34">
        <v>281</v>
      </c>
      <c r="H1900" s="34">
        <v>3467</v>
      </c>
      <c r="I1900" s="34" t="s">
        <v>1357</v>
      </c>
      <c r="J1900" s="48"/>
      <c r="K1900" s="48"/>
      <c r="L1900" s="48"/>
      <c r="M1900" s="48"/>
      <c r="N1900" s="59"/>
      <c r="O1900" s="59">
        <v>115000</v>
      </c>
      <c r="P1900" s="59"/>
      <c r="Q1900" s="268">
        <f t="shared" si="89"/>
        <v>115000</v>
      </c>
      <c r="R1900" s="61">
        <f>IF(O1900=0,0,SUMIFS(Disbursements!$T:$T,Disbursements!$B:$B,'Live Collections'!D1900,Disbursements!$D:$D,'Live Collections'!F1900))</f>
        <v>115000</v>
      </c>
      <c r="S1900" s="304">
        <f>IF(O1900&lt;=IF($O1900=0,0,SUMIFS(Disbursements!$W:$W,Disbursements!$B:$B,'Live Collections'!D2812,Disbursements!$D:$D,'Live Collections'!F2812)),O1900,IF($O1900=0,0,SUMIFS(Disbursements!$W:$W,Disbursements!$B:$B,'Live Collections'!D2812,Disbursements!$D:$D,'Live Collections'!F2812)))</f>
        <v>25666.666666666672</v>
      </c>
      <c r="T1900" s="304">
        <f t="shared" si="90"/>
        <v>89333.333333333328</v>
      </c>
      <c r="U1900" s="52"/>
      <c r="V1900" s="34"/>
      <c r="W1900" s="408"/>
    </row>
    <row r="1901" spans="1:23" ht="12.75" customHeight="1" x14ac:dyDescent="0.2">
      <c r="A1901" s="257">
        <v>1898</v>
      </c>
      <c r="B1901" s="44">
        <v>44522</v>
      </c>
      <c r="C1901" s="44">
        <f t="shared" si="88"/>
        <v>44522</v>
      </c>
      <c r="D1901" s="374">
        <v>3</v>
      </c>
      <c r="E1901" s="291" t="str">
        <f>IFERROR(VLOOKUP($D1901,'Clients-Live'!$A:$C,3,0),"")</f>
        <v>YEKA ARIJABU</v>
      </c>
      <c r="F1901" s="291">
        <f>IFERROR(INDEX(Disbursements!$D:$D,MATCH('Live Collections'!G1901,Disbursements!$C:$C,0)),"")</f>
        <v>1</v>
      </c>
      <c r="G1901" s="34">
        <v>227</v>
      </c>
      <c r="H1901" s="34">
        <v>3491</v>
      </c>
      <c r="I1901" s="34" t="s">
        <v>1357</v>
      </c>
      <c r="J1901" s="48"/>
      <c r="K1901" s="48"/>
      <c r="L1901" s="48"/>
      <c r="M1901" s="48"/>
      <c r="N1901" s="59"/>
      <c r="O1901" s="59">
        <v>115000</v>
      </c>
      <c r="P1901" s="59"/>
      <c r="Q1901" s="268">
        <f t="shared" si="89"/>
        <v>115000</v>
      </c>
      <c r="R1901" s="61">
        <f>IF(O1901=0,0,SUMIFS(Disbursements!$T:$T,Disbursements!$B:$B,'Live Collections'!D1901,Disbursements!$D:$D,'Live Collections'!F1901))</f>
        <v>325000</v>
      </c>
      <c r="S1901" s="304">
        <f>IF(O1901&lt;=IF($O1901=0,0,SUMIFS(Disbursements!$W:$W,Disbursements!$B:$B,'Live Collections'!D528,Disbursements!$D:$D,'Live Collections'!F528)),O1901,IF($O1901=0,0,SUMIFS(Disbursements!$W:$W,Disbursements!$B:$B,'Live Collections'!D528,Disbursements!$D:$D,'Live Collections'!F528)))</f>
        <v>0</v>
      </c>
      <c r="T1901" s="304">
        <f t="shared" si="90"/>
        <v>115000</v>
      </c>
      <c r="U1901" s="52"/>
      <c r="V1901" s="34"/>
      <c r="W1901" s="408"/>
    </row>
    <row r="1902" spans="1:23" ht="12.75" customHeight="1" x14ac:dyDescent="0.2">
      <c r="A1902" s="430">
        <v>1907</v>
      </c>
      <c r="B1902" s="422">
        <v>44522</v>
      </c>
      <c r="C1902" s="422">
        <f t="shared" si="88"/>
        <v>44522</v>
      </c>
      <c r="D1902" s="423">
        <v>6</v>
      </c>
      <c r="E1902" s="291" t="str">
        <f>IFERROR(VLOOKUP($D1902,'Clients-Live'!$A:$C,3,0),"")</f>
        <v>AMUTE BASHIR</v>
      </c>
      <c r="F1902" s="291">
        <f>IFERROR(INDEX(Disbursements!$D:$D,MATCH('Live Collections'!G1902,Disbursements!$C:$C,0)),"")</f>
        <v>2</v>
      </c>
      <c r="G1902" s="424">
        <v>100</v>
      </c>
      <c r="H1902" s="424">
        <v>3477</v>
      </c>
      <c r="I1902" s="424" t="s">
        <v>1358</v>
      </c>
      <c r="J1902" s="425"/>
      <c r="K1902" s="425"/>
      <c r="L1902" s="425"/>
      <c r="M1902" s="425"/>
      <c r="N1902" s="175"/>
      <c r="O1902" s="175">
        <v>500000</v>
      </c>
      <c r="P1902" s="175"/>
      <c r="Q1902" s="426">
        <f t="shared" si="89"/>
        <v>500000</v>
      </c>
      <c r="R1902" s="61">
        <f>IF(O1902=0,0,SUMIFS(Disbursements!$T:$T,Disbursements!$B:$B,'Live Collections'!D1902,Disbursements!$D:$D,'Live Collections'!F1902))</f>
        <v>1300000</v>
      </c>
      <c r="S1902" s="427">
        <f>IF(O1902&lt;=IF($O1902=0,0,SUMIFS(Disbursements!$W:$W,Disbursements!$B:$B,'Live Collections'!D55,Disbursements!$D:$D,'Live Collections'!F55)),O1902,IF($O1902=0,0,SUMIFS(Disbursements!$W:$W,Disbursements!$B:$B,'Live Collections'!D55,Disbursements!$D:$D,'Live Collections'!F55)))</f>
        <v>0</v>
      </c>
      <c r="T1902" s="427">
        <f t="shared" si="90"/>
        <v>500000</v>
      </c>
      <c r="U1902" s="428"/>
      <c r="V1902" s="424"/>
      <c r="W1902" s="429"/>
    </row>
    <row r="1903" spans="1:23" ht="12.75" customHeight="1" x14ac:dyDescent="0.2">
      <c r="A1903" s="441">
        <v>1888</v>
      </c>
      <c r="B1903" s="442">
        <v>44522</v>
      </c>
      <c r="C1903" s="442">
        <f t="shared" si="88"/>
        <v>44522</v>
      </c>
      <c r="D1903" s="443">
        <v>46</v>
      </c>
      <c r="E1903" s="291" t="str">
        <f>IFERROR(VLOOKUP($D1903,'Clients-Live'!$A:$C,3,0),"")</f>
        <v>ALIO YUDA</v>
      </c>
      <c r="F1903" s="291">
        <f>IFERROR(INDEX(Disbursements!$D:$D,MATCH('Live Collections'!G1903,Disbursements!$C:$C,0)),"")</f>
        <v>1</v>
      </c>
      <c r="G1903" s="404">
        <v>35</v>
      </c>
      <c r="H1903" s="404">
        <v>3488</v>
      </c>
      <c r="I1903" s="404" t="s">
        <v>1357</v>
      </c>
      <c r="J1903" s="444"/>
      <c r="K1903" s="444"/>
      <c r="L1903" s="444"/>
      <c r="M1903" s="444"/>
      <c r="N1903" s="444"/>
      <c r="O1903" s="444">
        <v>325000</v>
      </c>
      <c r="P1903" s="444"/>
      <c r="Q1903" s="445">
        <f t="shared" si="89"/>
        <v>325000</v>
      </c>
      <c r="R1903" s="61">
        <f>IF(O1903=0,0,SUMIFS(Disbursements!$T:$T,Disbursements!$B:$B,'Live Collections'!D1903,Disbursements!$D:$D,'Live Collections'!F1903))</f>
        <v>325000</v>
      </c>
      <c r="S1903" s="446"/>
      <c r="T1903" s="446">
        <f t="shared" si="90"/>
        <v>325000</v>
      </c>
      <c r="U1903" s="447"/>
      <c r="V1903" s="404"/>
      <c r="W1903" s="448"/>
    </row>
    <row r="1904" spans="1:23" ht="12.75" customHeight="1" x14ac:dyDescent="0.2">
      <c r="A1904" s="257">
        <v>1919</v>
      </c>
      <c r="B1904" s="44">
        <v>44522</v>
      </c>
      <c r="C1904" s="44">
        <f t="shared" si="88"/>
        <v>44522</v>
      </c>
      <c r="D1904" s="431">
        <v>55</v>
      </c>
      <c r="E1904" s="291" t="str">
        <f>IFERROR(VLOOKUP($D1904,'Clients-Live'!$A:$C,3,0),"")</f>
        <v>SOKOLA SHARON</v>
      </c>
      <c r="F1904" s="291">
        <f>IFERROR(INDEX(Disbursements!$D:$D,MATCH('Live Collections'!G1904,Disbursements!$C:$C,0)),"")</f>
        <v>2</v>
      </c>
      <c r="G1904" s="35">
        <v>288</v>
      </c>
      <c r="H1904" s="35">
        <v>3556</v>
      </c>
      <c r="I1904" s="35" t="s">
        <v>1359</v>
      </c>
      <c r="J1904" s="59"/>
      <c r="K1904" s="59"/>
      <c r="L1904" s="59"/>
      <c r="M1904" s="59"/>
      <c r="N1904" s="59"/>
      <c r="O1904" s="59">
        <v>130000</v>
      </c>
      <c r="P1904" s="59"/>
      <c r="Q1904" s="268">
        <f t="shared" si="89"/>
        <v>130000</v>
      </c>
      <c r="R1904" s="61">
        <f>IF(O1904=0,0,SUMIFS(Disbursements!$T:$T,Disbursements!$B:$B,'Live Collections'!D1904,Disbursements!$D:$D,'Live Collections'!F1904))</f>
        <v>210000</v>
      </c>
      <c r="S1904" s="432">
        <f>IF(O1904&lt;=IF($O1904=0,0,SUMIFS(Disbursements!$W:$W,Disbursements!$B:$B,'Live Collections'!D657,Disbursements!$D:$D,'Live Collections'!F657)),O1904,IF($O1904=0,0,SUMIFS(Disbursements!$W:$W,Disbursements!$B:$B,'Live Collections'!D657,Disbursements!$D:$D,'Live Collections'!F657)))</f>
        <v>20000</v>
      </c>
      <c r="T1904" s="432">
        <f t="shared" si="90"/>
        <v>110000</v>
      </c>
      <c r="U1904" s="51"/>
      <c r="V1904" s="35"/>
      <c r="W1904" s="433"/>
    </row>
    <row r="1905" spans="1:23" ht="12.75" customHeight="1" x14ac:dyDescent="0.2">
      <c r="A1905" s="257">
        <v>1902</v>
      </c>
      <c r="B1905" s="44">
        <v>44522</v>
      </c>
      <c r="C1905" s="44">
        <f t="shared" si="88"/>
        <v>44522</v>
      </c>
      <c r="D1905" s="374">
        <v>61</v>
      </c>
      <c r="E1905" s="291" t="str">
        <f>IFERROR(VLOOKUP($D1905,'Clients-Live'!$A:$C,3,0),"")</f>
        <v>AREDU RUKIA</v>
      </c>
      <c r="F1905" s="291">
        <f>IFERROR(INDEX(Disbursements!$D:$D,MATCH('Live Collections'!G1905,Disbursements!$C:$C,0)),"")</f>
        <v>2</v>
      </c>
      <c r="G1905" s="34">
        <v>290</v>
      </c>
      <c r="H1905" s="34">
        <v>3487</v>
      </c>
      <c r="I1905" s="34" t="s">
        <v>1359</v>
      </c>
      <c r="J1905" s="48"/>
      <c r="K1905" s="48"/>
      <c r="L1905" s="48"/>
      <c r="M1905" s="48"/>
      <c r="N1905" s="59"/>
      <c r="O1905" s="59">
        <v>90000</v>
      </c>
      <c r="P1905" s="59"/>
      <c r="Q1905" s="268">
        <f t="shared" si="89"/>
        <v>90000</v>
      </c>
      <c r="R1905" s="61">
        <f>IF(O1905=0,0,SUMIFS(Disbursements!$T:$T,Disbursements!$B:$B,'Live Collections'!D1905,Disbursements!$D:$D,'Live Collections'!F1905))</f>
        <v>90000</v>
      </c>
      <c r="S1905" s="304">
        <v>20000</v>
      </c>
      <c r="T1905" s="304">
        <f t="shared" si="90"/>
        <v>70000</v>
      </c>
      <c r="U1905" s="52"/>
      <c r="V1905" s="34"/>
      <c r="W1905" s="408"/>
    </row>
    <row r="1906" spans="1:23" ht="12.75" customHeight="1" x14ac:dyDescent="0.2">
      <c r="A1906" s="257">
        <v>1918</v>
      </c>
      <c r="B1906" s="44">
        <v>44522</v>
      </c>
      <c r="C1906" s="44">
        <f t="shared" si="88"/>
        <v>44522</v>
      </c>
      <c r="D1906" s="374">
        <v>65</v>
      </c>
      <c r="E1906" s="291" t="str">
        <f>IFERROR(VLOOKUP($D1906,'Clients-Live'!$A:$C,3,0),"")</f>
        <v>NDAWULA GERALD</v>
      </c>
      <c r="F1906" s="291">
        <f>IFERROR(INDEX(Disbursements!$D:$D,MATCH('Live Collections'!G1906,Disbursements!$C:$C,0)),"")</f>
        <v>1</v>
      </c>
      <c r="G1906" s="34">
        <v>47</v>
      </c>
      <c r="H1906" s="34">
        <v>3557</v>
      </c>
      <c r="I1906" s="34" t="s">
        <v>1359</v>
      </c>
      <c r="J1906" s="48"/>
      <c r="K1906" s="48"/>
      <c r="L1906" s="48"/>
      <c r="M1906" s="48"/>
      <c r="N1906" s="59"/>
      <c r="O1906" s="59">
        <v>100000</v>
      </c>
      <c r="P1906" s="59"/>
      <c r="Q1906" s="268">
        <f t="shared" si="89"/>
        <v>100000</v>
      </c>
      <c r="R1906" s="61">
        <f>IF(O1906=0,0,SUMIFS(Disbursements!$T:$T,Disbursements!$B:$B,'Live Collections'!D1906,Disbursements!$D:$D,'Live Collections'!F1906))</f>
        <v>217000</v>
      </c>
      <c r="S1906" s="304">
        <f>IF(O1906&lt;=IF($O1906=0,0,SUMIFS(Disbursements!$W:$W,Disbursements!$B:$B,'Live Collections'!D783,Disbursements!$D:$D,'Live Collections'!F783)),O1906,IF($O1906=0,0,SUMIFS(Disbursements!$W:$W,Disbursements!$B:$B,'Live Collections'!D783,Disbursements!$D:$D,'Live Collections'!F783)))</f>
        <v>4000</v>
      </c>
      <c r="T1906" s="304">
        <f t="shared" si="90"/>
        <v>96000</v>
      </c>
      <c r="U1906" s="52"/>
      <c r="V1906" s="34"/>
      <c r="W1906" s="408"/>
    </row>
    <row r="1907" spans="1:23" ht="12.75" customHeight="1" x14ac:dyDescent="0.2">
      <c r="A1907" s="257">
        <v>1903</v>
      </c>
      <c r="B1907" s="44">
        <v>44522</v>
      </c>
      <c r="C1907" s="44">
        <f t="shared" si="88"/>
        <v>44522</v>
      </c>
      <c r="D1907" s="374">
        <v>74</v>
      </c>
      <c r="E1907" s="291" t="str">
        <f>IFERROR(VLOOKUP($D1907,'Clients-Live'!$A:$C,3,0),"")</f>
        <v>YUKUWE AISHA</v>
      </c>
      <c r="F1907" s="291">
        <f>IFERROR(INDEX(Disbursements!$D:$D,MATCH('Live Collections'!G1907,Disbursements!$C:$C,0)),"")</f>
        <v>2</v>
      </c>
      <c r="G1907" s="34">
        <v>287</v>
      </c>
      <c r="H1907" s="34">
        <v>3481</v>
      </c>
      <c r="I1907" s="34" t="s">
        <v>1358</v>
      </c>
      <c r="J1907" s="48"/>
      <c r="K1907" s="48"/>
      <c r="L1907" s="48"/>
      <c r="M1907" s="48"/>
      <c r="N1907" s="59"/>
      <c r="O1907" s="59">
        <v>90000</v>
      </c>
      <c r="P1907" s="59"/>
      <c r="Q1907" s="268">
        <f t="shared" si="89"/>
        <v>90000</v>
      </c>
      <c r="R1907" s="61">
        <f>IF(O1907=0,0,SUMIFS(Disbursements!$T:$T,Disbursements!$B:$B,'Live Collections'!D1907,Disbursements!$D:$D,'Live Collections'!F1907))</f>
        <v>90000</v>
      </c>
      <c r="S1907" s="64">
        <v>60000</v>
      </c>
      <c r="T1907" s="304">
        <f t="shared" si="90"/>
        <v>30000</v>
      </c>
      <c r="U1907" s="52"/>
      <c r="V1907" s="34"/>
      <c r="W1907" s="408"/>
    </row>
    <row r="1908" spans="1:23" ht="12.75" customHeight="1" x14ac:dyDescent="0.2">
      <c r="A1908" s="257">
        <v>1908</v>
      </c>
      <c r="B1908" s="44">
        <v>44522</v>
      </c>
      <c r="C1908" s="44">
        <f t="shared" si="88"/>
        <v>44522</v>
      </c>
      <c r="D1908" s="374">
        <v>80</v>
      </c>
      <c r="E1908" s="291" t="str">
        <f>IFERROR(VLOOKUP($D1908,'Clients-Live'!$A:$C,3,0),"")</f>
        <v>ARIYE AISHA</v>
      </c>
      <c r="F1908" s="291">
        <f>IFERROR(INDEX(Disbursements!$D:$D,MATCH('Live Collections'!G1908,Disbursements!$C:$C,0)),"")</f>
        <v>1</v>
      </c>
      <c r="G1908" s="34">
        <v>63</v>
      </c>
      <c r="H1908" s="34">
        <v>3468</v>
      </c>
      <c r="I1908" s="34" t="s">
        <v>1357</v>
      </c>
      <c r="J1908" s="48"/>
      <c r="K1908" s="48"/>
      <c r="L1908" s="48"/>
      <c r="M1908" s="48"/>
      <c r="N1908" s="59"/>
      <c r="O1908" s="59">
        <v>200000</v>
      </c>
      <c r="P1908" s="59"/>
      <c r="Q1908" s="268">
        <f t="shared" si="89"/>
        <v>200000</v>
      </c>
      <c r="R1908" s="61">
        <f>IF(O1908=0,0,SUMIFS(Disbursements!$T:$T,Disbursements!$B:$B,'Live Collections'!D1908,Disbursements!$D:$D,'Live Collections'!F1908))</f>
        <v>250000</v>
      </c>
      <c r="S1908" s="304">
        <f>IF(O1908&lt;=IF($O1908=0,0,SUMIFS(Disbursements!$W:$W,Disbursements!$B:$B,'Live Collections'!D1041,Disbursements!$D:$D,'Live Collections'!F1041)),O1908,IF($O1908=0,0,SUMIFS(Disbursements!$W:$W,Disbursements!$B:$B,'Live Collections'!D1041,Disbursements!$D:$D,'Live Collections'!F1041)))</f>
        <v>25666.666666666672</v>
      </c>
      <c r="T1908" s="304">
        <f t="shared" si="90"/>
        <v>174333.33333333331</v>
      </c>
      <c r="U1908" s="52"/>
      <c r="V1908" s="34"/>
      <c r="W1908" s="408"/>
    </row>
    <row r="1909" spans="1:23" ht="12.75" customHeight="1" x14ac:dyDescent="0.2">
      <c r="A1909" s="257">
        <v>1916</v>
      </c>
      <c r="B1909" s="44">
        <v>44522</v>
      </c>
      <c r="C1909" s="44">
        <f t="shared" si="88"/>
        <v>44522</v>
      </c>
      <c r="D1909" s="374">
        <v>80</v>
      </c>
      <c r="E1909" s="291" t="str">
        <f>IFERROR(VLOOKUP($D1909,'Clients-Live'!$A:$C,3,0),"")</f>
        <v>ARIYE AISHA</v>
      </c>
      <c r="F1909" s="291">
        <f>IFERROR(INDEX(Disbursements!$D:$D,MATCH('Live Collections'!G1909,Disbursements!$C:$C,0)),"")</f>
        <v>1</v>
      </c>
      <c r="G1909" s="34">
        <v>63</v>
      </c>
      <c r="H1909" s="34">
        <v>430</v>
      </c>
      <c r="I1909" s="34" t="s">
        <v>1357</v>
      </c>
      <c r="J1909" s="48"/>
      <c r="K1909" s="48"/>
      <c r="L1909" s="48"/>
      <c r="M1909" s="48"/>
      <c r="N1909" s="59"/>
      <c r="O1909" s="59"/>
      <c r="P1909" s="59">
        <v>-100000</v>
      </c>
      <c r="Q1909" s="268">
        <f t="shared" si="89"/>
        <v>-100000</v>
      </c>
      <c r="R1909" s="61">
        <f>IF(O1909=0,0,SUMIFS(Disbursements!$T:$T,Disbursements!$B:$B,'Live Collections'!D1909,Disbursements!$D:$D,'Live Collections'!F1909))</f>
        <v>0</v>
      </c>
      <c r="S1909" s="304">
        <f>IF(O1909&lt;=IF($O1909=0,0,SUMIFS(Disbursements!$W:$W,Disbursements!$B:$B,'Live Collections'!D1042,Disbursements!$D:$D,'Live Collections'!F1042)),O1909,IF($O1909=0,0,SUMIFS(Disbursements!$W:$W,Disbursements!$B:$B,'Live Collections'!D1042,Disbursements!$D:$D,'Live Collections'!F1042)))</f>
        <v>0</v>
      </c>
      <c r="T1909" s="304">
        <f t="shared" si="90"/>
        <v>0</v>
      </c>
      <c r="U1909" s="52"/>
      <c r="V1909" s="34"/>
      <c r="W1909" s="408" t="s">
        <v>2107</v>
      </c>
    </row>
    <row r="1910" spans="1:23" ht="12.75" customHeight="1" x14ac:dyDescent="0.2">
      <c r="A1910" s="257">
        <v>1917</v>
      </c>
      <c r="B1910" s="44">
        <v>44522</v>
      </c>
      <c r="C1910" s="44">
        <f t="shared" si="88"/>
        <v>44522</v>
      </c>
      <c r="D1910" s="374">
        <v>80</v>
      </c>
      <c r="E1910" s="291" t="str">
        <f>IFERROR(VLOOKUP($D1910,'Clients-Live'!$A:$C,3,0),"")</f>
        <v>ARIYE AISHA</v>
      </c>
      <c r="F1910" s="291">
        <f>IFERROR(INDEX(Disbursements!$D:$D,MATCH('Live Collections'!G1910,Disbursements!$C:$C,0)),"")</f>
        <v>1</v>
      </c>
      <c r="G1910" s="34">
        <v>63</v>
      </c>
      <c r="H1910" s="34">
        <v>3555</v>
      </c>
      <c r="I1910" s="34" t="s">
        <v>1357</v>
      </c>
      <c r="J1910" s="48"/>
      <c r="K1910" s="48"/>
      <c r="L1910" s="48"/>
      <c r="M1910" s="48"/>
      <c r="N1910" s="59"/>
      <c r="O1910" s="59">
        <v>100000</v>
      </c>
      <c r="P1910" s="59"/>
      <c r="Q1910" s="268">
        <f t="shared" si="89"/>
        <v>100000</v>
      </c>
      <c r="R1910" s="61">
        <f>IF(O1910=0,0,SUMIFS(Disbursements!$T:$T,Disbursements!$B:$B,'Live Collections'!D1910,Disbursements!$D:$D,'Live Collections'!F1910))</f>
        <v>250000</v>
      </c>
      <c r="S1910" s="64">
        <v>78333.333333333314</v>
      </c>
      <c r="T1910" s="304">
        <f t="shared" si="90"/>
        <v>21666.666666666686</v>
      </c>
      <c r="U1910" s="52"/>
      <c r="V1910" s="34"/>
      <c r="W1910" s="408"/>
    </row>
    <row r="1911" spans="1:23" ht="12.75" customHeight="1" x14ac:dyDescent="0.2">
      <c r="A1911" s="257">
        <v>1911</v>
      </c>
      <c r="B1911" s="44">
        <v>44522</v>
      </c>
      <c r="C1911" s="44">
        <f t="shared" si="88"/>
        <v>44522</v>
      </c>
      <c r="D1911" s="374">
        <v>85</v>
      </c>
      <c r="E1911" s="291" t="str">
        <f>IFERROR(VLOOKUP($D1911,'Clients-Live'!$A:$C,3,0),"")</f>
        <v>CEASER SWALEH</v>
      </c>
      <c r="F1911" s="291">
        <f>IFERROR(INDEX(Disbursements!$D:$D,MATCH('Live Collections'!G1911,Disbursements!$C:$C,0)),"")</f>
        <v>2</v>
      </c>
      <c r="G1911" s="34">
        <v>119</v>
      </c>
      <c r="H1911" s="34">
        <v>3475</v>
      </c>
      <c r="I1911" s="34" t="s">
        <v>1357</v>
      </c>
      <c r="J1911" s="48"/>
      <c r="K1911" s="48"/>
      <c r="L1911" s="48"/>
      <c r="M1911" s="48"/>
      <c r="N1911" s="59"/>
      <c r="O1911" s="59">
        <v>100000</v>
      </c>
      <c r="P1911" s="59"/>
      <c r="Q1911" s="268">
        <f t="shared" si="89"/>
        <v>100000</v>
      </c>
      <c r="R1911" s="61">
        <f>IF(O1911=0,0,SUMIFS(Disbursements!$T:$T,Disbursements!$B:$B,'Live Collections'!D1911,Disbursements!$D:$D,'Live Collections'!F1911))</f>
        <v>434000</v>
      </c>
      <c r="S1911" s="304">
        <f>IF(O1911&lt;=IF($O1911=0,0,SUMIFS(Disbursements!$W:$W,Disbursements!$B:$B,'Live Collections'!D1092,Disbursements!$D:$D,'Live Collections'!F1092)),O1911,IF($O1911=0,0,SUMIFS(Disbursements!$W:$W,Disbursements!$B:$B,'Live Collections'!D1092,Disbursements!$D:$D,'Live Collections'!F1092)))</f>
        <v>5000</v>
      </c>
      <c r="T1911" s="304">
        <f t="shared" si="90"/>
        <v>95000</v>
      </c>
      <c r="U1911" s="52"/>
      <c r="V1911" s="34"/>
      <c r="W1911" s="408"/>
    </row>
    <row r="1912" spans="1:23" ht="12.75" customHeight="1" x14ac:dyDescent="0.2">
      <c r="A1912" s="257">
        <v>1893</v>
      </c>
      <c r="B1912" s="44">
        <v>44522</v>
      </c>
      <c r="C1912" s="44">
        <f t="shared" si="88"/>
        <v>44522</v>
      </c>
      <c r="D1912" s="374">
        <v>92</v>
      </c>
      <c r="E1912" s="291" t="str">
        <f>IFERROR(VLOOKUP($D1912,'Clients-Live'!$A:$C,3,0),"")</f>
        <v>FAIDA ZAKIYA</v>
      </c>
      <c r="F1912" s="291">
        <f>IFERROR(INDEX(Disbursements!$D:$D,MATCH('Live Collections'!G1912,Disbursements!$C:$C,0)),"")</f>
        <v>1</v>
      </c>
      <c r="G1912" s="34">
        <v>74</v>
      </c>
      <c r="H1912" s="34">
        <v>3495</v>
      </c>
      <c r="I1912" s="34" t="s">
        <v>1358</v>
      </c>
      <c r="J1912" s="48"/>
      <c r="K1912" s="48"/>
      <c r="L1912" s="48"/>
      <c r="M1912" s="48"/>
      <c r="N1912" s="59"/>
      <c r="O1912" s="59">
        <v>98000</v>
      </c>
      <c r="P1912" s="59"/>
      <c r="Q1912" s="268">
        <f t="shared" si="89"/>
        <v>98000</v>
      </c>
      <c r="R1912" s="61">
        <f>IF(O1912=0,0,SUMIFS(Disbursements!$T:$T,Disbursements!$B:$B,'Live Collections'!D1912,Disbursements!$D:$D,'Live Collections'!F1912))</f>
        <v>175000</v>
      </c>
      <c r="S1912" s="304">
        <f>IF(O1912&lt;=IF($O1912=0,0,SUMIFS(Disbursements!$W:$W,Disbursements!$B:$B,'Live Collections'!D1203,Disbursements!$D:$D,'Live Collections'!F1203)),O1912,IF($O1912=0,0,SUMIFS(Disbursements!$W:$W,Disbursements!$B:$B,'Live Collections'!D1203,Disbursements!$D:$D,'Live Collections'!F1203)))</f>
        <v>0</v>
      </c>
      <c r="T1912" s="304">
        <f t="shared" si="90"/>
        <v>98000</v>
      </c>
      <c r="U1912" s="52"/>
      <c r="V1912" s="34"/>
      <c r="W1912" s="408"/>
    </row>
    <row r="1913" spans="1:23" ht="12.75" customHeight="1" x14ac:dyDescent="0.2">
      <c r="A1913" s="257">
        <v>1899</v>
      </c>
      <c r="B1913" s="44">
        <v>44522</v>
      </c>
      <c r="C1913" s="44">
        <f t="shared" si="88"/>
        <v>44522</v>
      </c>
      <c r="D1913" s="374">
        <v>155</v>
      </c>
      <c r="E1913" s="291" t="str">
        <f>IFERROR(VLOOKUP($D1913,'Clients-Live'!$A:$C,3,0),"")</f>
        <v>AROMBORAC SIAMA</v>
      </c>
      <c r="F1913" s="291">
        <f>IFERROR(INDEX(Disbursements!$D:$D,MATCH('Live Collections'!G1913,Disbursements!$C:$C,0)),"")</f>
        <v>1</v>
      </c>
      <c r="G1913" s="34">
        <v>143</v>
      </c>
      <c r="H1913" s="34">
        <v>3486</v>
      </c>
      <c r="I1913" s="34" t="s">
        <v>1358</v>
      </c>
      <c r="J1913" s="48"/>
      <c r="K1913" s="48"/>
      <c r="L1913" s="48"/>
      <c r="M1913" s="48"/>
      <c r="N1913" s="59"/>
      <c r="O1913" s="59">
        <v>30000</v>
      </c>
      <c r="P1913" s="59"/>
      <c r="Q1913" s="268">
        <f t="shared" si="89"/>
        <v>30000</v>
      </c>
      <c r="R1913" s="61">
        <f>IF(O1913=0,0,SUMIFS(Disbursements!$T:$T,Disbursements!$B:$B,'Live Collections'!D1913,Disbursements!$D:$D,'Live Collections'!F1913))</f>
        <v>90000</v>
      </c>
      <c r="S1913" s="304"/>
      <c r="T1913" s="304">
        <f t="shared" si="90"/>
        <v>30000</v>
      </c>
      <c r="U1913" s="52"/>
      <c r="V1913" s="34"/>
      <c r="W1913" s="408"/>
    </row>
    <row r="1914" spans="1:23" ht="12.75" customHeight="1" x14ac:dyDescent="0.2">
      <c r="A1914" s="257">
        <v>1900</v>
      </c>
      <c r="B1914" s="44">
        <v>44522</v>
      </c>
      <c r="C1914" s="44">
        <f t="shared" si="88"/>
        <v>44522</v>
      </c>
      <c r="D1914" s="374">
        <v>155</v>
      </c>
      <c r="E1914" s="291" t="str">
        <f>IFERROR(VLOOKUP($D1914,'Clients-Live'!$A:$C,3,0),"")</f>
        <v>AROMBORAC SIAMA</v>
      </c>
      <c r="F1914" s="291">
        <f>IFERROR(INDEX(Disbursements!$D:$D,MATCH('Live Collections'!G1914,Disbursements!$C:$C,0)),"")</f>
        <v>1</v>
      </c>
      <c r="G1914" s="34">
        <v>143</v>
      </c>
      <c r="H1914" s="34">
        <v>433</v>
      </c>
      <c r="I1914" s="34" t="s">
        <v>1358</v>
      </c>
      <c r="J1914" s="48"/>
      <c r="K1914" s="48"/>
      <c r="L1914" s="48"/>
      <c r="M1914" s="48"/>
      <c r="N1914" s="59"/>
      <c r="O1914" s="59"/>
      <c r="P1914" s="59">
        <v>-30000</v>
      </c>
      <c r="Q1914" s="268">
        <f t="shared" si="89"/>
        <v>-30000</v>
      </c>
      <c r="R1914" s="61">
        <f>IF(O1914=0,0,SUMIFS(Disbursements!$T:$T,Disbursements!$B:$B,'Live Collections'!D1914,Disbursements!$D:$D,'Live Collections'!F1914))</f>
        <v>0</v>
      </c>
      <c r="S1914" s="304">
        <f>IF(O1914&lt;=IF($O1914=0,0,SUMIFS(Disbursements!$W:$W,Disbursements!$B:$B,'Live Collections'!D1937,Disbursements!$D:$D,'Live Collections'!F1937)),O1914,IF($O1914=0,0,SUMIFS(Disbursements!$W:$W,Disbursements!$B:$B,'Live Collections'!D1937,Disbursements!$D:$D,'Live Collections'!F1937)))</f>
        <v>0</v>
      </c>
      <c r="T1914" s="304">
        <f t="shared" si="90"/>
        <v>0</v>
      </c>
      <c r="U1914" s="52"/>
      <c r="V1914" s="34"/>
      <c r="W1914" s="408"/>
    </row>
    <row r="1915" spans="1:23" ht="12.75" customHeight="1" x14ac:dyDescent="0.2">
      <c r="A1915" s="257">
        <v>1901</v>
      </c>
      <c r="B1915" s="44">
        <v>44522</v>
      </c>
      <c r="C1915" s="44">
        <f t="shared" si="88"/>
        <v>44522</v>
      </c>
      <c r="D1915" s="374">
        <v>155</v>
      </c>
      <c r="E1915" s="291" t="str">
        <f>IFERROR(VLOOKUP($D1915,'Clients-Live'!$A:$C,3,0),"")</f>
        <v>AROMBORAC SIAMA</v>
      </c>
      <c r="F1915" s="291">
        <f>IFERROR(INDEX(Disbursements!$D:$D,MATCH('Live Collections'!G1915,Disbursements!$C:$C,0)),"")</f>
        <v>1</v>
      </c>
      <c r="G1915" s="34">
        <v>143</v>
      </c>
      <c r="H1915" s="34">
        <v>3485</v>
      </c>
      <c r="I1915" s="34" t="s">
        <v>1358</v>
      </c>
      <c r="J1915" s="48"/>
      <c r="K1915" s="48"/>
      <c r="L1915" s="48"/>
      <c r="M1915" s="48"/>
      <c r="N1915" s="59"/>
      <c r="O1915" s="59">
        <v>60000</v>
      </c>
      <c r="P1915" s="59"/>
      <c r="Q1915" s="268">
        <f t="shared" si="89"/>
        <v>60000</v>
      </c>
      <c r="R1915" s="61">
        <f>IF(O1915=0,0,SUMIFS(Disbursements!$T:$T,Disbursements!$B:$B,'Live Collections'!D1915,Disbursements!$D:$D,'Live Collections'!F1915))</f>
        <v>90000</v>
      </c>
      <c r="S1915" s="304"/>
      <c r="T1915" s="304">
        <f t="shared" si="90"/>
        <v>60000</v>
      </c>
      <c r="U1915" s="52"/>
      <c r="V1915" s="34"/>
      <c r="W1915" s="408"/>
    </row>
    <row r="1916" spans="1:23" ht="12.75" customHeight="1" x14ac:dyDescent="0.2">
      <c r="A1916" s="257">
        <v>1913</v>
      </c>
      <c r="B1916" s="44">
        <v>44522</v>
      </c>
      <c r="C1916" s="44">
        <f t="shared" si="88"/>
        <v>44522</v>
      </c>
      <c r="D1916" s="374">
        <v>159</v>
      </c>
      <c r="E1916" s="291" t="str">
        <f>IFERROR(VLOOKUP($D1916,'Clients-Live'!$A:$C,3,0),"")</f>
        <v>ALICE AMINA</v>
      </c>
      <c r="F1916" s="291">
        <f>IFERROR(INDEX(Disbursements!$D:$D,MATCH('Live Collections'!G1916,Disbursements!$C:$C,0)),"")</f>
        <v>1</v>
      </c>
      <c r="G1916" s="34">
        <v>150</v>
      </c>
      <c r="H1916" s="34">
        <v>3552</v>
      </c>
      <c r="I1916" s="34" t="s">
        <v>1358</v>
      </c>
      <c r="J1916" s="48"/>
      <c r="K1916" s="48"/>
      <c r="L1916" s="48"/>
      <c r="M1916" s="48"/>
      <c r="N1916" s="59"/>
      <c r="O1916" s="59">
        <v>40000</v>
      </c>
      <c r="P1916" s="59"/>
      <c r="Q1916" s="268">
        <f t="shared" si="89"/>
        <v>40000</v>
      </c>
      <c r="R1916" s="61">
        <f>IF(O1916=0,0,SUMIFS(Disbursements!$T:$T,Disbursements!$B:$B,'Live Collections'!D1916,Disbursements!$D:$D,'Live Collections'!F1916))</f>
        <v>150000</v>
      </c>
      <c r="S1916" s="304">
        <f>IF(O1916&lt;=IF($O1916=0,0,SUMIFS(Disbursements!$W:$W,Disbursements!$B:$B,'Live Collections'!D1985,Disbursements!$D:$D,'Live Collections'!F1985)),O1916,IF($O1916=0,0,SUMIFS(Disbursements!$W:$W,Disbursements!$B:$B,'Live Collections'!D1985,Disbursements!$D:$D,'Live Collections'!F1985)))</f>
        <v>40000</v>
      </c>
      <c r="T1916" s="304">
        <f t="shared" si="90"/>
        <v>0</v>
      </c>
      <c r="U1916" s="52"/>
      <c r="V1916" s="34"/>
      <c r="W1916" s="408"/>
    </row>
    <row r="1917" spans="1:23" ht="12.75" customHeight="1" x14ac:dyDescent="0.2">
      <c r="A1917" s="257">
        <v>1904</v>
      </c>
      <c r="B1917" s="44">
        <v>44522</v>
      </c>
      <c r="C1917" s="44">
        <f t="shared" si="88"/>
        <v>44522</v>
      </c>
      <c r="D1917" s="374">
        <v>169</v>
      </c>
      <c r="E1917" s="291" t="str">
        <f>IFERROR(VLOOKUP($D1917,'Clients-Live'!$A:$C,3,0),"")</f>
        <v>KATO KENNEDY</v>
      </c>
      <c r="F1917" s="291">
        <f>IFERROR(INDEX(Disbursements!$D:$D,MATCH('Live Collections'!G1917,Disbursements!$C:$C,0)),"")</f>
        <v>1</v>
      </c>
      <c r="G1917" s="34">
        <v>176</v>
      </c>
      <c r="H1917" s="34">
        <v>3480</v>
      </c>
      <c r="I1917" s="34" t="s">
        <v>1357</v>
      </c>
      <c r="J1917" s="48"/>
      <c r="K1917" s="48"/>
      <c r="L1917" s="48"/>
      <c r="M1917" s="48"/>
      <c r="N1917" s="59"/>
      <c r="O1917" s="59">
        <v>120000</v>
      </c>
      <c r="P1917" s="59"/>
      <c r="Q1917" s="268">
        <f t="shared" si="89"/>
        <v>120000</v>
      </c>
      <c r="R1917" s="61">
        <f>IF(O1917=0,0,SUMIFS(Disbursements!$T:$T,Disbursements!$B:$B,'Live Collections'!D1917,Disbursements!$D:$D,'Live Collections'!F1917))</f>
        <v>109000</v>
      </c>
      <c r="S1917" s="304">
        <f>IF(O1917&lt;=IF($O1917=0,0,SUMIFS(Disbursements!$W:$W,Disbursements!$B:$B,'Live Collections'!D2091,Disbursements!$D:$D,'Live Collections'!F2091)),O1917,IF($O1917=0,0,SUMIFS(Disbursements!$W:$W,Disbursements!$B:$B,'Live Collections'!D2091,Disbursements!$D:$D,'Live Collections'!F2091)))</f>
        <v>0</v>
      </c>
      <c r="T1917" s="304">
        <f t="shared" si="90"/>
        <v>120000</v>
      </c>
      <c r="U1917" s="52"/>
      <c r="V1917" s="34"/>
      <c r="W1917" s="408"/>
    </row>
    <row r="1918" spans="1:23" ht="12.75" customHeight="1" x14ac:dyDescent="0.2">
      <c r="A1918" s="257">
        <v>1890</v>
      </c>
      <c r="B1918" s="44">
        <v>44522</v>
      </c>
      <c r="C1918" s="44">
        <f t="shared" si="88"/>
        <v>44522</v>
      </c>
      <c r="D1918" s="374">
        <v>175</v>
      </c>
      <c r="E1918" s="291" t="str">
        <f>IFERROR(VLOOKUP($D1918,'Clients-Live'!$A:$C,3,0),"")</f>
        <v>ZUBEDA WAIGA</v>
      </c>
      <c r="F1918" s="291">
        <f>IFERROR(INDEX(Disbursements!$D:$D,MATCH('Live Collections'!G1918,Disbursements!$C:$C,0)),"")</f>
        <v>1</v>
      </c>
      <c r="G1918" s="34">
        <v>166</v>
      </c>
      <c r="H1918" s="34">
        <v>3497</v>
      </c>
      <c r="I1918" s="34" t="s">
        <v>1358</v>
      </c>
      <c r="J1918" s="48"/>
      <c r="K1918" s="48"/>
      <c r="L1918" s="48"/>
      <c r="M1918" s="48"/>
      <c r="N1918" s="59"/>
      <c r="O1918" s="59">
        <v>40000</v>
      </c>
      <c r="P1918" s="59"/>
      <c r="Q1918" s="268">
        <f t="shared" si="89"/>
        <v>40000</v>
      </c>
      <c r="R1918" s="61">
        <f>IF(O1918=0,0,SUMIFS(Disbursements!$T:$T,Disbursements!$B:$B,'Live Collections'!D1918,Disbursements!$D:$D,'Live Collections'!F1918))</f>
        <v>29000</v>
      </c>
      <c r="S1918" s="304"/>
      <c r="T1918" s="304">
        <f t="shared" si="90"/>
        <v>40000</v>
      </c>
      <c r="U1918" s="52"/>
      <c r="V1918" s="34"/>
      <c r="W1918" s="408"/>
    </row>
    <row r="1919" spans="1:23" ht="12.75" customHeight="1" x14ac:dyDescent="0.2">
      <c r="A1919" s="257">
        <v>1920</v>
      </c>
      <c r="B1919" s="44">
        <v>44522</v>
      </c>
      <c r="C1919" s="44">
        <f t="shared" si="88"/>
        <v>44522</v>
      </c>
      <c r="D1919" s="374">
        <v>177</v>
      </c>
      <c r="E1919" s="291" t="str">
        <f>IFERROR(VLOOKUP($D1919,'Clients-Live'!$A:$C,3,0),"")</f>
        <v>EFIT GIFT</v>
      </c>
      <c r="F1919" s="291">
        <f>IFERROR(INDEX(Disbursements!$D:$D,MATCH('Live Collections'!G1919,Disbursements!$C:$C,0)),"")</f>
        <v>1</v>
      </c>
      <c r="G1919" s="34">
        <v>183</v>
      </c>
      <c r="H1919" s="34">
        <v>3554</v>
      </c>
      <c r="I1919" s="34" t="s">
        <v>1358</v>
      </c>
      <c r="J1919" s="48"/>
      <c r="K1919" s="48"/>
      <c r="L1919" s="48"/>
      <c r="M1919" s="48"/>
      <c r="N1919" s="59"/>
      <c r="O1919" s="59">
        <v>50000</v>
      </c>
      <c r="P1919" s="59"/>
      <c r="Q1919" s="268">
        <f t="shared" si="89"/>
        <v>50000</v>
      </c>
      <c r="R1919" s="61">
        <f>IF(O1919=0,0,SUMIFS(Disbursements!$T:$T,Disbursements!$B:$B,'Live Collections'!D1919,Disbursements!$D:$D,'Live Collections'!F1919))</f>
        <v>109000</v>
      </c>
      <c r="S1919" s="304">
        <f>IF(O1919&lt;=IF($O1919=0,0,SUMIFS(Disbursements!$W:$W,Disbursements!$B:$B,'Live Collections'!D2174,Disbursements!$D:$D,'Live Collections'!F2174)),O1919,IF($O1919=0,0,SUMIFS(Disbursements!$W:$W,Disbursements!$B:$B,'Live Collections'!D2174,Disbursements!$D:$D,'Live Collections'!F2174)))</f>
        <v>50000</v>
      </c>
      <c r="T1919" s="304">
        <f t="shared" si="90"/>
        <v>0</v>
      </c>
      <c r="U1919" s="52"/>
      <c r="V1919" s="34"/>
      <c r="W1919" s="408"/>
    </row>
    <row r="1920" spans="1:23" ht="12.75" customHeight="1" x14ac:dyDescent="0.2">
      <c r="A1920" s="257">
        <v>1921</v>
      </c>
      <c r="B1920" s="44">
        <v>44522</v>
      </c>
      <c r="C1920" s="44">
        <f t="shared" si="88"/>
        <v>44522</v>
      </c>
      <c r="D1920" s="374">
        <v>189</v>
      </c>
      <c r="E1920" s="291" t="str">
        <f>IFERROR(VLOOKUP($D1920,'Clients-Live'!$A:$C,3,0),"")</f>
        <v>AYIDA SELUWA</v>
      </c>
      <c r="F1920" s="291">
        <f>IFERROR(INDEX(Disbursements!$D:$D,MATCH('Live Collections'!G1920,Disbursements!$C:$C,0)),"")</f>
        <v>1</v>
      </c>
      <c r="G1920" s="34">
        <v>178</v>
      </c>
      <c r="H1920" s="34">
        <v>3503</v>
      </c>
      <c r="I1920" s="34" t="s">
        <v>1359</v>
      </c>
      <c r="J1920" s="48"/>
      <c r="K1920" s="48"/>
      <c r="L1920" s="48"/>
      <c r="M1920" s="48"/>
      <c r="N1920" s="59"/>
      <c r="O1920" s="59">
        <v>90000</v>
      </c>
      <c r="P1920" s="59"/>
      <c r="Q1920" s="268">
        <f t="shared" si="89"/>
        <v>90000</v>
      </c>
      <c r="R1920" s="61">
        <f>IF(O1920=0,0,SUMIFS(Disbursements!$T:$T,Disbursements!$B:$B,'Live Collections'!D1920,Disbursements!$D:$D,'Live Collections'!F1920))</f>
        <v>120000</v>
      </c>
      <c r="S1920" s="304"/>
      <c r="T1920" s="304">
        <f t="shared" si="90"/>
        <v>90000</v>
      </c>
      <c r="U1920" s="52"/>
      <c r="V1920" s="34"/>
      <c r="W1920" s="408"/>
    </row>
    <row r="1921" spans="1:23" ht="12.75" customHeight="1" x14ac:dyDescent="0.2">
      <c r="A1921" s="257">
        <v>1894</v>
      </c>
      <c r="B1921" s="44">
        <v>44522</v>
      </c>
      <c r="C1921" s="44">
        <f t="shared" si="88"/>
        <v>44522</v>
      </c>
      <c r="D1921" s="374">
        <v>192</v>
      </c>
      <c r="E1921" s="291" t="str">
        <f>IFERROR(VLOOKUP($D1921,'Clients-Live'!$A:$C,3,0),"")</f>
        <v>MAZARAU AISHA</v>
      </c>
      <c r="F1921" s="291" t="str">
        <f>IFERROR(INDEX(Disbursements!$D:$D,MATCH('Live Collections'!G1921,Disbursements!$C:$C,0)),"")</f>
        <v/>
      </c>
      <c r="G1921" s="34"/>
      <c r="H1921" s="34">
        <v>3496</v>
      </c>
      <c r="I1921" s="34" t="s">
        <v>1357</v>
      </c>
      <c r="J1921" s="48"/>
      <c r="K1921" s="48"/>
      <c r="L1921" s="48">
        <v>10000</v>
      </c>
      <c r="M1921" s="48">
        <v>5000</v>
      </c>
      <c r="N1921" s="59"/>
      <c r="O1921" s="59"/>
      <c r="P1921" s="59"/>
      <c r="Q1921" s="268">
        <f t="shared" si="89"/>
        <v>15000</v>
      </c>
      <c r="R1921" s="61">
        <f>IF(O1921=0,0,SUMIFS(Disbursements!$T:$T,Disbursements!$B:$B,'Live Collections'!D1921,Disbursements!$D:$D,'Live Collections'!F1921))</f>
        <v>0</v>
      </c>
      <c r="S1921" s="304">
        <f>IF(O1921&lt;=IF($O1921=0,0,SUMIFS(Disbursements!$W:$W,Disbursements!$B:$B,'Live Collections'!D2331,Disbursements!$D:$D,'Live Collections'!F2331)),O1921,IF($O1921=0,0,SUMIFS(Disbursements!$W:$W,Disbursements!$B:$B,'Live Collections'!D2331,Disbursements!$D:$D,'Live Collections'!F2331)))</f>
        <v>0</v>
      </c>
      <c r="T1921" s="304">
        <f t="shared" si="90"/>
        <v>0</v>
      </c>
      <c r="U1921" s="52"/>
      <c r="V1921" s="34"/>
      <c r="W1921" s="408"/>
    </row>
    <row r="1922" spans="1:23" ht="12.75" customHeight="1" x14ac:dyDescent="0.2">
      <c r="A1922" s="257">
        <v>1895</v>
      </c>
      <c r="B1922" s="44">
        <v>44522</v>
      </c>
      <c r="C1922" s="44">
        <f t="shared" si="88"/>
        <v>44522</v>
      </c>
      <c r="D1922" s="374">
        <v>192</v>
      </c>
      <c r="E1922" s="291" t="str">
        <f>IFERROR(VLOOKUP($D1922,'Clients-Live'!$A:$C,3,0),"")</f>
        <v>MAZARAU AISHA</v>
      </c>
      <c r="F1922" s="291">
        <f>IFERROR(INDEX(Disbursements!$D:$D,MATCH('Live Collections'!G1922,Disbursements!$C:$C,0)),"")</f>
        <v>1</v>
      </c>
      <c r="G1922" s="34">
        <v>181</v>
      </c>
      <c r="H1922" s="34">
        <v>3493</v>
      </c>
      <c r="I1922" s="34" t="s">
        <v>1357</v>
      </c>
      <c r="J1922" s="48"/>
      <c r="K1922" s="48"/>
      <c r="L1922" s="48"/>
      <c r="M1922" s="48"/>
      <c r="N1922" s="59"/>
      <c r="O1922" s="59">
        <v>50000</v>
      </c>
      <c r="P1922" s="59"/>
      <c r="Q1922" s="268">
        <f t="shared" si="89"/>
        <v>50000</v>
      </c>
      <c r="R1922" s="61">
        <f>IF(O1922=0,0,SUMIFS(Disbursements!$T:$T,Disbursements!$B:$B,'Live Collections'!D1922,Disbursements!$D:$D,'Live Collections'!F1922))</f>
        <v>115000</v>
      </c>
      <c r="S1922" s="304"/>
      <c r="T1922" s="304">
        <f t="shared" si="90"/>
        <v>50000</v>
      </c>
      <c r="U1922" s="52"/>
      <c r="V1922" s="34"/>
      <c r="W1922" s="408"/>
    </row>
    <row r="1923" spans="1:23" ht="12.75" customHeight="1" x14ac:dyDescent="0.2">
      <c r="A1923" s="257">
        <v>1896</v>
      </c>
      <c r="B1923" s="44">
        <v>44522</v>
      </c>
      <c r="C1923" s="44">
        <f t="shared" ref="C1923:C1986" si="91">B1923</f>
        <v>44522</v>
      </c>
      <c r="D1923" s="374">
        <v>192</v>
      </c>
      <c r="E1923" s="291" t="str">
        <f>IFERROR(VLOOKUP($D1923,'Clients-Live'!$A:$C,3,0),"")</f>
        <v>MAZARAU AISHA</v>
      </c>
      <c r="F1923" s="291">
        <f>IFERROR(INDEX(Disbursements!$D:$D,MATCH('Live Collections'!G1923,Disbursements!$C:$C,0)),"")</f>
        <v>1</v>
      </c>
      <c r="G1923" s="34">
        <v>181</v>
      </c>
      <c r="H1923" s="34">
        <v>428</v>
      </c>
      <c r="I1923" s="34" t="s">
        <v>1357</v>
      </c>
      <c r="J1923" s="48"/>
      <c r="K1923" s="48"/>
      <c r="L1923" s="48"/>
      <c r="M1923" s="48"/>
      <c r="N1923" s="59"/>
      <c r="O1923" s="59"/>
      <c r="P1923" s="59">
        <v>-50000</v>
      </c>
      <c r="Q1923" s="268">
        <f t="shared" ref="Q1923:Q1986" si="92">SUM(J1923:P1923)</f>
        <v>-50000</v>
      </c>
      <c r="R1923" s="61">
        <f>IF(O1923=0,0,SUMIFS(Disbursements!$T:$T,Disbursements!$B:$B,'Live Collections'!D1923,Disbursements!$D:$D,'Live Collections'!F1923))</f>
        <v>0</v>
      </c>
      <c r="S1923" s="304">
        <f>IF(O1923&lt;=IF($O1923=0,0,SUMIFS(Disbursements!$W:$W,Disbursements!$B:$B,'Live Collections'!D3561,Disbursements!$D:$D,'Live Collections'!F3561)),O1923,IF($O1923=0,0,SUMIFS(Disbursements!$W:$W,Disbursements!$B:$B,'Live Collections'!D3561,Disbursements!$D:$D,'Live Collections'!F3561)))</f>
        <v>0</v>
      </c>
      <c r="T1923" s="304">
        <f t="shared" ref="T1923:T1986" si="93">IF(O1923=0,0,O1923-S1923)</f>
        <v>0</v>
      </c>
      <c r="U1923" s="52"/>
      <c r="V1923" s="34"/>
      <c r="W1923" s="408"/>
    </row>
    <row r="1924" spans="1:23" ht="12.75" customHeight="1" x14ac:dyDescent="0.2">
      <c r="A1924" s="257">
        <v>1897</v>
      </c>
      <c r="B1924" s="44">
        <v>44522</v>
      </c>
      <c r="C1924" s="44">
        <f t="shared" si="91"/>
        <v>44522</v>
      </c>
      <c r="D1924" s="374">
        <v>192</v>
      </c>
      <c r="E1924" s="291" t="str">
        <f>IFERROR(VLOOKUP($D1924,'Clients-Live'!$A:$C,3,0),"")</f>
        <v>MAZARAU AISHA</v>
      </c>
      <c r="F1924" s="291">
        <f>IFERROR(INDEX(Disbursements!$D:$D,MATCH('Live Collections'!G1924,Disbursements!$C:$C,0)),"")</f>
        <v>1</v>
      </c>
      <c r="G1924" s="34">
        <v>181</v>
      </c>
      <c r="H1924" s="34">
        <v>3492</v>
      </c>
      <c r="I1924" s="34" t="s">
        <v>1357</v>
      </c>
      <c r="J1924" s="48"/>
      <c r="K1924" s="48"/>
      <c r="L1924" s="48"/>
      <c r="M1924" s="48"/>
      <c r="N1924" s="59"/>
      <c r="O1924" s="59">
        <v>65000</v>
      </c>
      <c r="P1924" s="59"/>
      <c r="Q1924" s="268">
        <f t="shared" si="92"/>
        <v>65000</v>
      </c>
      <c r="R1924" s="61">
        <f>IF(O1924=0,0,SUMIFS(Disbursements!$T:$T,Disbursements!$B:$B,'Live Collections'!D1924,Disbursements!$D:$D,'Live Collections'!F1924))</f>
        <v>115000</v>
      </c>
      <c r="S1924" s="304">
        <f>IF(O1924&lt;=IF($O1924=0,0,SUMIFS(Disbursements!$W:$W,Disbursements!$B:$B,'Live Collections'!D3562,Disbursements!$D:$D,'Live Collections'!F3562)),O1924,IF($O1924=0,0,SUMIFS(Disbursements!$W:$W,Disbursements!$B:$B,'Live Collections'!D3562,Disbursements!$D:$D,'Live Collections'!F3562)))</f>
        <v>0</v>
      </c>
      <c r="T1924" s="304">
        <f t="shared" si="93"/>
        <v>65000</v>
      </c>
      <c r="U1924" s="52"/>
      <c r="V1924" s="34"/>
      <c r="W1924" s="408"/>
    </row>
    <row r="1925" spans="1:23" ht="12.75" customHeight="1" x14ac:dyDescent="0.2">
      <c r="A1925" s="257">
        <v>1912</v>
      </c>
      <c r="B1925" s="44">
        <v>44522</v>
      </c>
      <c r="C1925" s="44">
        <f t="shared" si="91"/>
        <v>44522</v>
      </c>
      <c r="D1925" s="374">
        <v>217</v>
      </c>
      <c r="E1925" s="291" t="str">
        <f>IFERROR(VLOOKUP($D1925,'Clients-Live'!$A:$C,3,0),"")</f>
        <v>JAMBA MOSES</v>
      </c>
      <c r="F1925" s="291">
        <f>IFERROR(INDEX(Disbursements!$D:$D,MATCH('Live Collections'!G1925,Disbursements!$C:$C,0)),"")</f>
        <v>2</v>
      </c>
      <c r="G1925" s="34">
        <v>341</v>
      </c>
      <c r="H1925" s="34">
        <v>3489</v>
      </c>
      <c r="I1925" s="34" t="s">
        <v>1357</v>
      </c>
      <c r="J1925" s="48"/>
      <c r="K1925" s="48"/>
      <c r="L1925" s="48"/>
      <c r="M1925" s="48"/>
      <c r="N1925" s="59"/>
      <c r="O1925" s="59"/>
      <c r="P1925" s="59">
        <v>40000</v>
      </c>
      <c r="Q1925" s="268">
        <f t="shared" si="92"/>
        <v>40000</v>
      </c>
      <c r="R1925" s="61">
        <f>IF(O1925=0,0,SUMIFS(Disbursements!$T:$T,Disbursements!$B:$B,'Live Collections'!D1925,Disbursements!$D:$D,'Live Collections'!F1925))</f>
        <v>0</v>
      </c>
      <c r="S1925" s="304">
        <f>IF(O1925&lt;=IF($O1925=0,0,SUMIFS(Disbursements!$W:$W,Disbursements!$B:$B,'Live Collections'!D2561,Disbursements!$D:$D,'Live Collections'!F2561)),O1925,IF($O1925=0,0,SUMIFS(Disbursements!$W:$W,Disbursements!$B:$B,'Live Collections'!D2561,Disbursements!$D:$D,'Live Collections'!F2561)))</f>
        <v>0</v>
      </c>
      <c r="T1925" s="304">
        <f t="shared" si="93"/>
        <v>0</v>
      </c>
      <c r="U1925" s="52"/>
      <c r="V1925" s="34"/>
      <c r="W1925" s="408"/>
    </row>
    <row r="1926" spans="1:23" ht="12.75" customHeight="1" x14ac:dyDescent="0.2">
      <c r="A1926" s="257">
        <v>1889</v>
      </c>
      <c r="B1926" s="44">
        <v>44522</v>
      </c>
      <c r="C1926" s="44">
        <f t="shared" si="91"/>
        <v>44522</v>
      </c>
      <c r="D1926" s="374">
        <v>218</v>
      </c>
      <c r="E1926" s="291" t="str">
        <f>IFERROR(VLOOKUP($D1926,'Clients-Live'!$A:$C,3,0),"")</f>
        <v>BUSURA OMAR</v>
      </c>
      <c r="F1926" s="291">
        <f>IFERROR(INDEX(Disbursements!$D:$D,MATCH('Live Collections'!G1926,Disbursements!$C:$C,0)),"")</f>
        <v>1</v>
      </c>
      <c r="G1926" s="34">
        <v>223</v>
      </c>
      <c r="H1926" s="34">
        <v>3498</v>
      </c>
      <c r="I1926" s="34" t="s">
        <v>1357</v>
      </c>
      <c r="J1926" s="48"/>
      <c r="K1926" s="48"/>
      <c r="L1926" s="48"/>
      <c r="M1926" s="48"/>
      <c r="N1926" s="59"/>
      <c r="O1926" s="59">
        <v>170000</v>
      </c>
      <c r="P1926" s="59"/>
      <c r="Q1926" s="268">
        <f t="shared" si="92"/>
        <v>170000</v>
      </c>
      <c r="R1926" s="61">
        <f>IF(O1926=0,0,SUMIFS(Disbursements!$T:$T,Disbursements!$B:$B,'Live Collections'!D1926,Disbursements!$D:$D,'Live Collections'!F1926))</f>
        <v>325000</v>
      </c>
      <c r="S1926" s="304">
        <f>IF(O1926&lt;=IF($O1926=0,0,SUMIFS(Disbursements!$W:$W,Disbursements!$B:$B,'Live Collections'!D2577,Disbursements!$D:$D,'Live Collections'!F2577)),O1926,IF($O1926=0,0,SUMIFS(Disbursements!$W:$W,Disbursements!$B:$B,'Live Collections'!D2577,Disbursements!$D:$D,'Live Collections'!F2577)))</f>
        <v>25666.666666666672</v>
      </c>
      <c r="T1926" s="304">
        <f t="shared" si="93"/>
        <v>144333.33333333331</v>
      </c>
      <c r="U1926" s="52"/>
      <c r="V1926" s="34"/>
      <c r="W1926" s="408"/>
    </row>
    <row r="1927" spans="1:23" ht="12.75" customHeight="1" x14ac:dyDescent="0.2">
      <c r="A1927" s="257">
        <v>1909</v>
      </c>
      <c r="B1927" s="44">
        <v>44522</v>
      </c>
      <c r="C1927" s="44">
        <f t="shared" si="91"/>
        <v>44522</v>
      </c>
      <c r="D1927" s="374">
        <v>220</v>
      </c>
      <c r="E1927" s="291" t="str">
        <f>IFERROR(VLOOKUP($D1927,'Clients-Live'!$A:$C,3,0),"")</f>
        <v>DRAGUMA SIRAJI</v>
      </c>
      <c r="F1927" s="291">
        <f>IFERROR(INDEX(Disbursements!$D:$D,MATCH('Live Collections'!G1927,Disbursements!$C:$C,0)),"")</f>
        <v>1</v>
      </c>
      <c r="G1927" s="34">
        <v>224</v>
      </c>
      <c r="H1927" s="34">
        <v>3476</v>
      </c>
      <c r="I1927" s="34" t="s">
        <v>1359</v>
      </c>
      <c r="J1927" s="48"/>
      <c r="K1927" s="48"/>
      <c r="L1927" s="48"/>
      <c r="M1927" s="48"/>
      <c r="N1927" s="59"/>
      <c r="O1927" s="59">
        <v>2500000</v>
      </c>
      <c r="P1927" s="59"/>
      <c r="Q1927" s="268">
        <f t="shared" si="92"/>
        <v>2500000</v>
      </c>
      <c r="R1927" s="61">
        <f>IF(O1927=0,0,SUMIFS(Disbursements!$T:$T,Disbursements!$B:$B,'Live Collections'!D1927,Disbursements!$D:$D,'Live Collections'!F1927))</f>
        <v>542000</v>
      </c>
      <c r="S1927" s="304">
        <v>751999.99999999988</v>
      </c>
      <c r="T1927" s="304">
        <f t="shared" si="93"/>
        <v>1748000</v>
      </c>
      <c r="U1927" s="52"/>
      <c r="V1927" s="34"/>
      <c r="W1927" s="408"/>
    </row>
    <row r="1928" spans="1:23" ht="12.75" customHeight="1" x14ac:dyDescent="0.2">
      <c r="A1928" s="257">
        <v>1910</v>
      </c>
      <c r="B1928" s="44">
        <v>44522</v>
      </c>
      <c r="C1928" s="44">
        <f t="shared" si="91"/>
        <v>44522</v>
      </c>
      <c r="D1928" s="374">
        <v>221</v>
      </c>
      <c r="E1928" s="291" t="str">
        <f>IFERROR(VLOOKUP($D1928,'Clients-Live'!$A:$C,3,0),"")</f>
        <v>NAMUDDU MARY</v>
      </c>
      <c r="F1928" s="291">
        <f>IFERROR(INDEX(Disbursements!$D:$D,MATCH('Live Collections'!G1928,Disbursements!$C:$C,0)),"")</f>
        <v>1</v>
      </c>
      <c r="G1928" s="34">
        <v>225</v>
      </c>
      <c r="H1928" s="34">
        <v>3474</v>
      </c>
      <c r="I1928" s="34" t="s">
        <v>1359</v>
      </c>
      <c r="J1928" s="48"/>
      <c r="K1928" s="48"/>
      <c r="L1928" s="48"/>
      <c r="M1928" s="48"/>
      <c r="N1928" s="59"/>
      <c r="O1928" s="59">
        <v>300000</v>
      </c>
      <c r="P1928" s="59"/>
      <c r="Q1928" s="268">
        <f t="shared" si="92"/>
        <v>300000</v>
      </c>
      <c r="R1928" s="61">
        <f>IF(O1928=0,0,SUMIFS(Disbursements!$T:$T,Disbursements!$B:$B,'Live Collections'!D1928,Disbursements!$D:$D,'Live Collections'!F1928))</f>
        <v>300000</v>
      </c>
      <c r="S1928" s="304">
        <f>IF(O1928&lt;=IF($O1928=0,0,SUMIFS(Disbursements!$W:$W,Disbursements!$B:$B,'Live Collections'!D2600,Disbursements!$D:$D,'Live Collections'!F2600)),O1928,IF($O1928=0,0,SUMIFS(Disbursements!$W:$W,Disbursements!$B:$B,'Live Collections'!D2600,Disbursements!$D:$D,'Live Collections'!F2600)))</f>
        <v>0</v>
      </c>
      <c r="T1928" s="304">
        <f t="shared" si="93"/>
        <v>300000</v>
      </c>
      <c r="U1928" s="52"/>
      <c r="V1928" s="34"/>
      <c r="W1928" s="408"/>
    </row>
    <row r="1929" spans="1:23" ht="12.75" customHeight="1" x14ac:dyDescent="0.2">
      <c r="A1929" s="257">
        <v>1905</v>
      </c>
      <c r="B1929" s="44">
        <v>44522</v>
      </c>
      <c r="C1929" s="44">
        <f t="shared" si="91"/>
        <v>44522</v>
      </c>
      <c r="D1929" s="374">
        <v>285</v>
      </c>
      <c r="E1929" s="291" t="str">
        <f>IFERROR(VLOOKUP($D1929,'Clients-Live'!$A:$C,3,0),"")</f>
        <v>REMO MUSA AMIN</v>
      </c>
      <c r="F1929" s="291" t="str">
        <f>IFERROR(INDEX(Disbursements!$D:$D,MATCH('Live Collections'!G1929,Disbursements!$C:$C,0)),"")</f>
        <v/>
      </c>
      <c r="G1929" s="34"/>
      <c r="H1929" s="34">
        <v>3478</v>
      </c>
      <c r="I1929" s="34" t="s">
        <v>1357</v>
      </c>
      <c r="J1929" s="48"/>
      <c r="K1929" s="48"/>
      <c r="L1929" s="48">
        <v>20000</v>
      </c>
      <c r="M1929" s="48">
        <v>5000</v>
      </c>
      <c r="N1929" s="59"/>
      <c r="O1929" s="59"/>
      <c r="P1929" s="59"/>
      <c r="Q1929" s="268">
        <f t="shared" si="92"/>
        <v>25000</v>
      </c>
      <c r="R1929" s="61">
        <f>IF(O1929=0,0,SUMIFS(Disbursements!$T:$T,Disbursements!$B:$B,'Live Collections'!D1929,Disbursements!$D:$D,'Live Collections'!F1929))</f>
        <v>0</v>
      </c>
      <c r="S1929" s="304">
        <f>IF(O1929&lt;=IF($O1929=0,0,SUMIFS(Disbursements!$W:$W,Disbursements!$B:$B,'Live Collections'!D3025,Disbursements!$D:$D,'Live Collections'!F3025)),O1929,IF($O1929=0,0,SUMIFS(Disbursements!$W:$W,Disbursements!$B:$B,'Live Collections'!D3025,Disbursements!$D:$D,'Live Collections'!F3025)))</f>
        <v>0</v>
      </c>
      <c r="T1929" s="304">
        <f t="shared" si="93"/>
        <v>0</v>
      </c>
      <c r="U1929" s="52"/>
      <c r="V1929" s="34"/>
      <c r="W1929" s="408"/>
    </row>
    <row r="1930" spans="1:23" ht="12.75" customHeight="1" x14ac:dyDescent="0.2">
      <c r="A1930" s="257">
        <v>1906</v>
      </c>
      <c r="B1930" s="44">
        <v>44522</v>
      </c>
      <c r="C1930" s="44">
        <f t="shared" si="91"/>
        <v>44522</v>
      </c>
      <c r="D1930" s="374">
        <v>285</v>
      </c>
      <c r="E1930" s="291" t="str">
        <f>IFERROR(VLOOKUP($D1930,'Clients-Live'!$A:$C,3,0),"")</f>
        <v>REMO MUSA AMIN</v>
      </c>
      <c r="F1930" s="291" t="str">
        <f>IFERROR(INDEX(Disbursements!$D:$D,MATCH('Live Collections'!G1930,Disbursements!$C:$C,0)),"")</f>
        <v/>
      </c>
      <c r="G1930" s="34"/>
      <c r="H1930" s="34">
        <v>3479</v>
      </c>
      <c r="I1930" s="34" t="s">
        <v>1357</v>
      </c>
      <c r="J1930" s="48">
        <v>15000</v>
      </c>
      <c r="K1930" s="48">
        <v>5000</v>
      </c>
      <c r="L1930" s="48"/>
      <c r="M1930" s="48"/>
      <c r="N1930" s="59"/>
      <c r="O1930" s="59"/>
      <c r="P1930" s="59"/>
      <c r="Q1930" s="268">
        <f t="shared" si="92"/>
        <v>20000</v>
      </c>
      <c r="R1930" s="61">
        <f>IF(O1930=0,0,SUMIFS(Disbursements!$T:$T,Disbursements!$B:$B,'Live Collections'!D1930,Disbursements!$D:$D,'Live Collections'!F1930))</f>
        <v>0</v>
      </c>
      <c r="S1930" s="304">
        <f>IF(O1930&lt;=IF($O1930=0,0,SUMIFS(Disbursements!$W:$W,Disbursements!$B:$B,'Live Collections'!D3026,Disbursements!$D:$D,'Live Collections'!F3026)),O1930,IF($O1930=0,0,SUMIFS(Disbursements!$W:$W,Disbursements!$B:$B,'Live Collections'!D3026,Disbursements!$D:$D,'Live Collections'!F3026)))</f>
        <v>0</v>
      </c>
      <c r="T1930" s="304">
        <f t="shared" si="93"/>
        <v>0</v>
      </c>
      <c r="U1930" s="52"/>
      <c r="V1930" s="34"/>
      <c r="W1930" s="408"/>
    </row>
    <row r="1931" spans="1:23" ht="12.75" customHeight="1" x14ac:dyDescent="0.2">
      <c r="A1931" s="257">
        <v>1891</v>
      </c>
      <c r="B1931" s="44">
        <v>44522</v>
      </c>
      <c r="C1931" s="44">
        <f t="shared" si="91"/>
        <v>44522</v>
      </c>
      <c r="D1931" s="374">
        <v>286</v>
      </c>
      <c r="E1931" s="291" t="str">
        <f>IFERROR(VLOOKUP($D1931,'Clients-Live'!$A:$C,3,0),"")</f>
        <v>DIRIA IRENE</v>
      </c>
      <c r="F1931" s="291" t="str">
        <f>IFERROR(INDEX(Disbursements!$D:$D,MATCH('Live Collections'!G1931,Disbursements!$C:$C,0)),"")</f>
        <v/>
      </c>
      <c r="G1931" s="34"/>
      <c r="H1931" s="34">
        <v>3483</v>
      </c>
      <c r="I1931" s="34" t="s">
        <v>1357</v>
      </c>
      <c r="J1931" s="48"/>
      <c r="K1931" s="48"/>
      <c r="L1931" s="48">
        <v>20000</v>
      </c>
      <c r="M1931" s="48">
        <v>5000</v>
      </c>
      <c r="N1931" s="59"/>
      <c r="O1931" s="59"/>
      <c r="P1931" s="59"/>
      <c r="Q1931" s="268">
        <f t="shared" si="92"/>
        <v>25000</v>
      </c>
      <c r="R1931" s="61">
        <f>IF(O1931=0,0,SUMIFS(Disbursements!$T:$T,Disbursements!$B:$B,'Live Collections'!D1931,Disbursements!$D:$D,'Live Collections'!F1931))</f>
        <v>0</v>
      </c>
      <c r="S1931" s="304">
        <f>IF(O1931&lt;=IF($O1931=0,0,SUMIFS(Disbursements!$W:$W,Disbursements!$B:$B,'Live Collections'!D3027,Disbursements!$D:$D,'Live Collections'!F3027)),O1931,IF($O1931=0,0,SUMIFS(Disbursements!$W:$W,Disbursements!$B:$B,'Live Collections'!D3027,Disbursements!$D:$D,'Live Collections'!F3027)))</f>
        <v>0</v>
      </c>
      <c r="T1931" s="304">
        <f t="shared" si="93"/>
        <v>0</v>
      </c>
      <c r="U1931" s="52"/>
      <c r="V1931" s="34"/>
      <c r="W1931" s="408"/>
    </row>
    <row r="1932" spans="1:23" ht="12.75" customHeight="1" x14ac:dyDescent="0.2">
      <c r="A1932" s="257">
        <v>1892</v>
      </c>
      <c r="B1932" s="44">
        <v>44522</v>
      </c>
      <c r="C1932" s="44">
        <f t="shared" si="91"/>
        <v>44522</v>
      </c>
      <c r="D1932" s="374">
        <v>286</v>
      </c>
      <c r="E1932" s="291" t="str">
        <f>IFERROR(VLOOKUP($D1932,'Clients-Live'!$A:$C,3,0),"")</f>
        <v>DIRIA IRENE</v>
      </c>
      <c r="F1932" s="291" t="str">
        <f>IFERROR(INDEX(Disbursements!$D:$D,MATCH('Live Collections'!G1932,Disbursements!$C:$C,0)),"")</f>
        <v/>
      </c>
      <c r="G1932" s="34"/>
      <c r="H1932" s="34">
        <v>3482</v>
      </c>
      <c r="I1932" s="34" t="s">
        <v>1357</v>
      </c>
      <c r="J1932" s="48">
        <v>15000</v>
      </c>
      <c r="K1932" s="48">
        <v>5000</v>
      </c>
      <c r="L1932" s="48"/>
      <c r="M1932" s="48"/>
      <c r="N1932" s="59"/>
      <c r="O1932" s="59"/>
      <c r="P1932" s="59"/>
      <c r="Q1932" s="268">
        <f t="shared" si="92"/>
        <v>20000</v>
      </c>
      <c r="R1932" s="61">
        <f>IF(O1932=0,0,SUMIFS(Disbursements!$T:$T,Disbursements!$B:$B,'Live Collections'!D1932,Disbursements!$D:$D,'Live Collections'!F1932))</f>
        <v>0</v>
      </c>
      <c r="S1932" s="304">
        <f>IF(O1932&lt;=IF($O1932=0,0,SUMIFS(Disbursements!$W:$W,Disbursements!$B:$B,'Live Collections'!D3028,Disbursements!$D:$D,'Live Collections'!F3028)),O1932,IF($O1932=0,0,SUMIFS(Disbursements!$W:$W,Disbursements!$B:$B,'Live Collections'!D3028,Disbursements!$D:$D,'Live Collections'!F3028)))</f>
        <v>0</v>
      </c>
      <c r="T1932" s="304">
        <f t="shared" si="93"/>
        <v>0</v>
      </c>
      <c r="U1932" s="52"/>
      <c r="V1932" s="34"/>
      <c r="W1932" s="408"/>
    </row>
    <row r="1933" spans="1:23" ht="12.75" customHeight="1" x14ac:dyDescent="0.2">
      <c r="A1933" s="257">
        <v>1922</v>
      </c>
      <c r="B1933" s="44">
        <v>44522</v>
      </c>
      <c r="C1933" s="44">
        <f t="shared" si="91"/>
        <v>44522</v>
      </c>
      <c r="D1933" s="374">
        <v>286</v>
      </c>
      <c r="E1933" s="291" t="str">
        <f>IFERROR(VLOOKUP($D1933,'Clients-Live'!$A:$C,3,0),"")</f>
        <v>DIRIA IRENE</v>
      </c>
      <c r="F1933" s="291">
        <f>IFERROR(INDEX(Disbursements!$D:$D,MATCH('Live Collections'!G1933,Disbursements!$C:$C,0)),"")</f>
        <v>1</v>
      </c>
      <c r="G1933" s="34">
        <v>339</v>
      </c>
      <c r="H1933" s="34">
        <v>3484</v>
      </c>
      <c r="I1933" s="34" t="s">
        <v>1357</v>
      </c>
      <c r="J1933" s="48"/>
      <c r="K1933" s="48"/>
      <c r="L1933" s="48"/>
      <c r="M1933" s="48"/>
      <c r="N1933" s="59"/>
      <c r="O1933" s="59"/>
      <c r="P1933" s="59">
        <v>200000</v>
      </c>
      <c r="Q1933" s="268">
        <f t="shared" si="92"/>
        <v>200000</v>
      </c>
      <c r="R1933" s="61">
        <f>IF(O1933=0,0,SUMIFS(Disbursements!$T:$T,Disbursements!$B:$B,'Live Collections'!D1933,Disbursements!$D:$D,'Live Collections'!F1933))</f>
        <v>0</v>
      </c>
      <c r="S1933" s="304">
        <f>IF(O1933&lt;=IF($O1933=0,0,SUMIFS(Disbursements!$W:$W,Disbursements!$B:$B,'Live Collections'!D3029,Disbursements!$D:$D,'Live Collections'!F3029)),O1933,IF($O1933=0,0,SUMIFS(Disbursements!$W:$W,Disbursements!$B:$B,'Live Collections'!D3029,Disbursements!$D:$D,'Live Collections'!F3029)))</f>
        <v>0</v>
      </c>
      <c r="T1933" s="304">
        <f t="shared" si="93"/>
        <v>0</v>
      </c>
      <c r="U1933" s="52"/>
      <c r="V1933" s="34"/>
      <c r="W1933" s="408"/>
    </row>
    <row r="1934" spans="1:23" ht="12.75" customHeight="1" x14ac:dyDescent="0.2">
      <c r="A1934" s="257">
        <v>1914</v>
      </c>
      <c r="B1934" s="44">
        <v>44522</v>
      </c>
      <c r="C1934" s="44">
        <f t="shared" si="91"/>
        <v>44522</v>
      </c>
      <c r="D1934" s="374">
        <v>287</v>
      </c>
      <c r="E1934" s="291" t="str">
        <f>IFERROR(VLOOKUP($D1934,'Clients-Live'!$A:$C,3,0),"")</f>
        <v>FAITH JOSEPHINE</v>
      </c>
      <c r="F1934" s="291" t="str">
        <f>IFERROR(INDEX(Disbursements!$D:$D,MATCH('Live Collections'!G1934,Disbursements!$C:$C,0)),"")</f>
        <v/>
      </c>
      <c r="G1934" s="34"/>
      <c r="H1934" s="34">
        <v>3502</v>
      </c>
      <c r="I1934" s="34" t="s">
        <v>1357</v>
      </c>
      <c r="J1934" s="48"/>
      <c r="K1934" s="48"/>
      <c r="L1934" s="48">
        <v>15000</v>
      </c>
      <c r="M1934" s="48">
        <v>5000</v>
      </c>
      <c r="N1934" s="59"/>
      <c r="O1934" s="59"/>
      <c r="P1934" s="59"/>
      <c r="Q1934" s="268">
        <f t="shared" si="92"/>
        <v>20000</v>
      </c>
      <c r="R1934" s="61">
        <f>IF(O1934=0,0,SUMIFS(Disbursements!$T:$T,Disbursements!$B:$B,'Live Collections'!D1934,Disbursements!$D:$D,'Live Collections'!F1934))</f>
        <v>0</v>
      </c>
      <c r="S1934" s="304">
        <f>IF(O1934&lt;=IF($O1934=0,0,SUMIFS(Disbursements!$W:$W,Disbursements!$B:$B,'Live Collections'!D3031,Disbursements!$D:$D,'Live Collections'!F3031)),O1934,IF($O1934=0,0,SUMIFS(Disbursements!$W:$W,Disbursements!$B:$B,'Live Collections'!D3031,Disbursements!$D:$D,'Live Collections'!F3031)))</f>
        <v>0</v>
      </c>
      <c r="T1934" s="304">
        <f t="shared" si="93"/>
        <v>0</v>
      </c>
      <c r="U1934" s="52"/>
      <c r="V1934" s="34"/>
      <c r="W1934" s="408"/>
    </row>
    <row r="1935" spans="1:23" ht="12.75" customHeight="1" x14ac:dyDescent="0.2">
      <c r="A1935" s="257">
        <v>1915</v>
      </c>
      <c r="B1935" s="44">
        <v>44522</v>
      </c>
      <c r="C1935" s="44">
        <f t="shared" si="91"/>
        <v>44522</v>
      </c>
      <c r="D1935" s="374">
        <v>287</v>
      </c>
      <c r="E1935" s="291" t="str">
        <f>IFERROR(VLOOKUP($D1935,'Clients-Live'!$A:$C,3,0),"")</f>
        <v>FAITH JOSEPHINE</v>
      </c>
      <c r="F1935" s="291" t="str">
        <f>IFERROR(INDEX(Disbursements!$D:$D,MATCH('Live Collections'!G1935,Disbursements!$C:$C,0)),"")</f>
        <v/>
      </c>
      <c r="G1935" s="34"/>
      <c r="H1935" s="34">
        <v>3501</v>
      </c>
      <c r="I1935" s="34" t="s">
        <v>1357</v>
      </c>
      <c r="J1935" s="48">
        <v>15000</v>
      </c>
      <c r="K1935" s="48">
        <v>5000</v>
      </c>
      <c r="L1935" s="48"/>
      <c r="M1935" s="48"/>
      <c r="N1935" s="59"/>
      <c r="O1935" s="59"/>
      <c r="P1935" s="59"/>
      <c r="Q1935" s="268">
        <f t="shared" si="92"/>
        <v>20000</v>
      </c>
      <c r="R1935" s="61">
        <f>IF(O1935=0,0,SUMIFS(Disbursements!$T:$T,Disbursements!$B:$B,'Live Collections'!D1935,Disbursements!$D:$D,'Live Collections'!F1935))</f>
        <v>0</v>
      </c>
      <c r="S1935" s="304">
        <f>IF(O1935&lt;=IF($O1935=0,0,SUMIFS(Disbursements!$W:$W,Disbursements!$B:$B,'Live Collections'!D3032,Disbursements!$D:$D,'Live Collections'!F3032)),O1935,IF($O1935=0,0,SUMIFS(Disbursements!$W:$W,Disbursements!$B:$B,'Live Collections'!D3032,Disbursements!$D:$D,'Live Collections'!F3032)))</f>
        <v>0</v>
      </c>
      <c r="T1935" s="304">
        <f t="shared" si="93"/>
        <v>0</v>
      </c>
      <c r="U1935" s="52"/>
      <c r="V1935" s="34"/>
      <c r="W1935" s="408"/>
    </row>
    <row r="1936" spans="1:23" ht="12.75" customHeight="1" x14ac:dyDescent="0.2">
      <c r="A1936" s="257">
        <v>1923</v>
      </c>
      <c r="B1936" s="44">
        <v>44523</v>
      </c>
      <c r="C1936" s="44">
        <f t="shared" si="91"/>
        <v>44523</v>
      </c>
      <c r="D1936" s="374">
        <v>18</v>
      </c>
      <c r="E1936" s="291" t="str">
        <f>IFERROR(VLOOKUP($D1936,'Clients-Live'!$A:$C,3,0),"")</f>
        <v>ARIYE PEACE</v>
      </c>
      <c r="F1936" s="291">
        <f>IFERROR(INDEX(Disbursements!$D:$D,MATCH('Live Collections'!G1936,Disbursements!$C:$C,0)),"")</f>
        <v>1</v>
      </c>
      <c r="G1936" s="34">
        <v>9</v>
      </c>
      <c r="H1936" s="34">
        <v>3508</v>
      </c>
      <c r="I1936" s="34" t="s">
        <v>1357</v>
      </c>
      <c r="J1936" s="48"/>
      <c r="K1936" s="48"/>
      <c r="L1936" s="48"/>
      <c r="M1936" s="48"/>
      <c r="N1936" s="59"/>
      <c r="O1936" s="59">
        <v>120000</v>
      </c>
      <c r="P1936" s="59"/>
      <c r="Q1936" s="268">
        <f t="shared" si="92"/>
        <v>120000</v>
      </c>
      <c r="R1936" s="61">
        <f>IF(O1936=0,0,SUMIFS(Disbursements!$T:$T,Disbursements!$B:$B,'Live Collections'!D1936,Disbursements!$D:$D,'Live Collections'!F1936))</f>
        <v>109000</v>
      </c>
      <c r="S1936" s="64">
        <v>121600.00000000006</v>
      </c>
      <c r="T1936" s="304">
        <f t="shared" si="93"/>
        <v>-1600.0000000000582</v>
      </c>
      <c r="U1936" s="52"/>
      <c r="V1936" s="34"/>
      <c r="W1936" s="408"/>
    </row>
    <row r="1937" spans="1:23" ht="12.75" customHeight="1" x14ac:dyDescent="0.2">
      <c r="A1937" s="257">
        <v>1937</v>
      </c>
      <c r="B1937" s="44">
        <v>44523</v>
      </c>
      <c r="C1937" s="44">
        <f t="shared" si="91"/>
        <v>44523</v>
      </c>
      <c r="D1937" s="374">
        <v>22</v>
      </c>
      <c r="E1937" s="291" t="str">
        <f>IFERROR(VLOOKUP($D1937,'Clients-Live'!$A:$C,3,0),"")</f>
        <v>DATA ISMAIL FATARI</v>
      </c>
      <c r="F1937" s="291">
        <f>IFERROR(INDEX(Disbursements!$D:$D,MATCH('Live Collections'!G1937,Disbursements!$C:$C,0)),"")</f>
        <v>1</v>
      </c>
      <c r="G1937" s="34">
        <v>13</v>
      </c>
      <c r="H1937" s="34">
        <v>3559</v>
      </c>
      <c r="I1937" s="34" t="s">
        <v>1359</v>
      </c>
      <c r="J1937" s="48"/>
      <c r="K1937" s="48"/>
      <c r="L1937" s="48"/>
      <c r="M1937" s="48"/>
      <c r="N1937" s="59"/>
      <c r="O1937" s="59">
        <v>50000</v>
      </c>
      <c r="P1937" s="59"/>
      <c r="Q1937" s="268">
        <f t="shared" si="92"/>
        <v>50000</v>
      </c>
      <c r="R1937" s="61">
        <f>IF(O1937=0,0,SUMIFS(Disbursements!$T:$T,Disbursements!$B:$B,'Live Collections'!D1937,Disbursements!$D:$D,'Live Collections'!F1937))</f>
        <v>217000</v>
      </c>
      <c r="S1937" s="304">
        <f>IF(O1937&lt;=IF($O1937=0,0,SUMIFS(Disbursements!$W:$W,Disbursements!$B:$B,'Live Collections'!D291,Disbursements!$D:$D,'Live Collections'!F291)),O1937,IF($O1937=0,0,SUMIFS(Disbursements!$W:$W,Disbursements!$B:$B,'Live Collections'!D291,Disbursements!$D:$D,'Live Collections'!F291)))</f>
        <v>0</v>
      </c>
      <c r="T1937" s="304">
        <f t="shared" si="93"/>
        <v>50000</v>
      </c>
      <c r="U1937" s="52"/>
      <c r="V1937" s="34"/>
      <c r="W1937" s="408"/>
    </row>
    <row r="1938" spans="1:23" ht="12.75" customHeight="1" x14ac:dyDescent="0.2">
      <c r="A1938" s="257">
        <v>1939</v>
      </c>
      <c r="B1938" s="44">
        <v>44523</v>
      </c>
      <c r="C1938" s="44">
        <f t="shared" si="91"/>
        <v>44523</v>
      </c>
      <c r="D1938" s="374">
        <v>56</v>
      </c>
      <c r="E1938" s="291" t="str">
        <f>IFERROR(VLOOKUP($D1938,'Clients-Live'!$A:$C,3,0),"")</f>
        <v>ALOMO ZABIBU</v>
      </c>
      <c r="F1938" s="291">
        <f>IFERROR(INDEX(Disbursements!$D:$D,MATCH('Live Collections'!G1938,Disbursements!$C:$C,0)),"")</f>
        <v>2</v>
      </c>
      <c r="G1938" s="34">
        <v>226</v>
      </c>
      <c r="H1938" s="34">
        <v>3570</v>
      </c>
      <c r="I1938" s="34" t="s">
        <v>1357</v>
      </c>
      <c r="J1938" s="48"/>
      <c r="K1938" s="48"/>
      <c r="L1938" s="48"/>
      <c r="M1938" s="48"/>
      <c r="N1938" s="59"/>
      <c r="O1938" s="59">
        <v>90000</v>
      </c>
      <c r="P1938" s="59"/>
      <c r="Q1938" s="268">
        <f t="shared" si="92"/>
        <v>90000</v>
      </c>
      <c r="R1938" s="61">
        <f>IF(O1938=0,0,SUMIFS(Disbursements!$T:$T,Disbursements!$B:$B,'Live Collections'!D1938,Disbursements!$D:$D,'Live Collections'!F1938))</f>
        <v>120000</v>
      </c>
      <c r="S1938" s="304">
        <f>IF(O1938&lt;=IF($O1938=0,0,SUMIFS(Disbursements!$W:$W,Disbursements!$B:$B,'Live Collections'!D669,Disbursements!$D:$D,'Live Collections'!F669)),O1938,IF($O1938=0,0,SUMIFS(Disbursements!$W:$W,Disbursements!$B:$B,'Live Collections'!D669,Disbursements!$D:$D,'Live Collections'!F669)))</f>
        <v>30666.666666666657</v>
      </c>
      <c r="T1938" s="304">
        <f t="shared" si="93"/>
        <v>59333.333333333343</v>
      </c>
      <c r="U1938" s="52"/>
      <c r="V1938" s="34"/>
      <c r="W1938" s="408"/>
    </row>
    <row r="1939" spans="1:23" ht="12.75" customHeight="1" x14ac:dyDescent="0.2">
      <c r="A1939" s="257">
        <v>1940</v>
      </c>
      <c r="B1939" s="44">
        <v>44523</v>
      </c>
      <c r="C1939" s="44">
        <f t="shared" si="91"/>
        <v>44523</v>
      </c>
      <c r="D1939" s="374">
        <v>57</v>
      </c>
      <c r="E1939" s="291" t="str">
        <f>IFERROR(VLOOKUP($D1939,'Clients-Live'!$A:$C,3,0),"")</f>
        <v>ASERU SCOVIA</v>
      </c>
      <c r="F1939" s="291">
        <f>IFERROR(INDEX(Disbursements!$D:$D,MATCH('Live Collections'!G1939,Disbursements!$C:$C,0)),"")</f>
        <v>1</v>
      </c>
      <c r="G1939" s="34">
        <v>41</v>
      </c>
      <c r="H1939" s="34">
        <v>3509</v>
      </c>
      <c r="I1939" s="34" t="s">
        <v>1359</v>
      </c>
      <c r="J1939" s="48"/>
      <c r="K1939" s="48"/>
      <c r="L1939" s="48"/>
      <c r="M1939" s="48"/>
      <c r="N1939" s="59"/>
      <c r="O1939" s="59">
        <v>20000</v>
      </c>
      <c r="P1939" s="59"/>
      <c r="Q1939" s="268">
        <f t="shared" si="92"/>
        <v>20000</v>
      </c>
      <c r="R1939" s="61">
        <f>IF(O1939=0,0,SUMIFS(Disbursements!$T:$T,Disbursements!$B:$B,'Live Collections'!D1939,Disbursements!$D:$D,'Live Collections'!F1939))</f>
        <v>60000</v>
      </c>
      <c r="S1939" s="304"/>
      <c r="T1939" s="304">
        <f t="shared" si="93"/>
        <v>20000</v>
      </c>
      <c r="U1939" s="52"/>
      <c r="V1939" s="34"/>
      <c r="W1939" s="408"/>
    </row>
    <row r="1940" spans="1:23" ht="12.75" customHeight="1" x14ac:dyDescent="0.2">
      <c r="A1940" s="257">
        <v>1927</v>
      </c>
      <c r="B1940" s="44">
        <v>44523</v>
      </c>
      <c r="C1940" s="44">
        <f t="shared" si="91"/>
        <v>44523</v>
      </c>
      <c r="D1940" s="374">
        <v>60</v>
      </c>
      <c r="E1940" s="291" t="str">
        <f>IFERROR(VLOOKUP($D1940,'Clients-Live'!$A:$C,3,0),"")</f>
        <v>MATURU ALICE</v>
      </c>
      <c r="F1940" s="291">
        <f>IFERROR(INDEX(Disbursements!$D:$D,MATCH('Live Collections'!G1940,Disbursements!$C:$C,0)),"")</f>
        <v>2</v>
      </c>
      <c r="G1940" s="34">
        <v>200</v>
      </c>
      <c r="H1940" s="34">
        <v>3569</v>
      </c>
      <c r="I1940" s="34" t="s">
        <v>1358</v>
      </c>
      <c r="J1940" s="48"/>
      <c r="K1940" s="48"/>
      <c r="L1940" s="48"/>
      <c r="M1940" s="48"/>
      <c r="N1940" s="59"/>
      <c r="O1940" s="59">
        <v>30000</v>
      </c>
      <c r="P1940" s="59"/>
      <c r="Q1940" s="268">
        <f t="shared" si="92"/>
        <v>30000</v>
      </c>
      <c r="R1940" s="61">
        <f>IF(O1940=0,0,SUMIFS(Disbursements!$T:$T,Disbursements!$B:$B,'Live Collections'!D1940,Disbursements!$D:$D,'Live Collections'!F1940))</f>
        <v>180000</v>
      </c>
      <c r="S1940" s="304">
        <f>IF(O1940&lt;=IF($O1940=0,0,SUMIFS(Disbursements!$W:$W,Disbursements!$B:$B,'Live Collections'!D722,Disbursements!$D:$D,'Live Collections'!F722)),O1940,IF($O1940=0,0,SUMIFS(Disbursements!$W:$W,Disbursements!$B:$B,'Live Collections'!D722,Disbursements!$D:$D,'Live Collections'!F722)))</f>
        <v>25000</v>
      </c>
      <c r="T1940" s="304">
        <f t="shared" si="93"/>
        <v>5000</v>
      </c>
      <c r="U1940" s="52"/>
      <c r="V1940" s="34"/>
      <c r="W1940" s="408"/>
    </row>
    <row r="1941" spans="1:23" ht="12.75" customHeight="1" x14ac:dyDescent="0.2">
      <c r="A1941" s="257">
        <v>1933</v>
      </c>
      <c r="B1941" s="44">
        <v>44523</v>
      </c>
      <c r="C1941" s="44">
        <f t="shared" si="91"/>
        <v>44523</v>
      </c>
      <c r="D1941" s="374">
        <v>76</v>
      </c>
      <c r="E1941" s="291" t="str">
        <f>IFERROR(VLOOKUP($D1941,'Clients-Live'!$A:$C,3,0),"")</f>
        <v>DAWA AISHA</v>
      </c>
      <c r="F1941" s="291">
        <f>IFERROR(INDEX(Disbursements!$D:$D,MATCH('Live Collections'!G1941,Disbursements!$C:$C,0)),"")</f>
        <v>2</v>
      </c>
      <c r="G1941" s="34">
        <v>187</v>
      </c>
      <c r="H1941" s="34">
        <v>3559</v>
      </c>
      <c r="I1941" s="34" t="s">
        <v>1358</v>
      </c>
      <c r="J1941" s="48"/>
      <c r="K1941" s="48"/>
      <c r="L1941" s="48"/>
      <c r="M1941" s="48"/>
      <c r="N1941" s="59"/>
      <c r="O1941" s="59">
        <v>150000</v>
      </c>
      <c r="P1941" s="59"/>
      <c r="Q1941" s="268">
        <f t="shared" si="92"/>
        <v>150000</v>
      </c>
      <c r="R1941" s="61">
        <f>IF(O1941=0,0,SUMIFS(Disbursements!$T:$T,Disbursements!$B:$B,'Live Collections'!D1941,Disbursements!$D:$D,'Live Collections'!F1941))</f>
        <v>180000</v>
      </c>
      <c r="S1941" s="304"/>
      <c r="T1941" s="304">
        <f t="shared" si="93"/>
        <v>150000</v>
      </c>
      <c r="U1941" s="52"/>
      <c r="V1941" s="34"/>
      <c r="W1941" s="408"/>
    </row>
    <row r="1942" spans="1:23" ht="12.75" customHeight="1" x14ac:dyDescent="0.2">
      <c r="A1942" s="257">
        <v>1928</v>
      </c>
      <c r="B1942" s="44">
        <v>44523</v>
      </c>
      <c r="C1942" s="44">
        <f t="shared" si="91"/>
        <v>44523</v>
      </c>
      <c r="D1942" s="374">
        <v>78</v>
      </c>
      <c r="E1942" s="291" t="str">
        <f>IFERROR(VLOOKUP($D1942,'Clients-Live'!$A:$C,3,0),"")</f>
        <v>DIPIYO BEATRICE JOHN</v>
      </c>
      <c r="F1942" s="291" t="str">
        <f>IFERROR(INDEX(Disbursements!$D:$D,MATCH('Live Collections'!G1942,Disbursements!$C:$C,0)),"")</f>
        <v/>
      </c>
      <c r="G1942" s="34"/>
      <c r="H1942" s="34">
        <v>3567</v>
      </c>
      <c r="I1942" s="34" t="s">
        <v>1357</v>
      </c>
      <c r="J1942" s="48"/>
      <c r="K1942" s="48"/>
      <c r="L1942" s="48">
        <v>5000</v>
      </c>
      <c r="M1942" s="48"/>
      <c r="N1942" s="59"/>
      <c r="O1942" s="59"/>
      <c r="P1942" s="59"/>
      <c r="Q1942" s="268">
        <f t="shared" si="92"/>
        <v>5000</v>
      </c>
      <c r="R1942" s="61">
        <f>IF(O1942=0,0,SUMIFS(Disbursements!$T:$T,Disbursements!$B:$B,'Live Collections'!D1942,Disbursements!$D:$D,'Live Collections'!F1942))</f>
        <v>0</v>
      </c>
      <c r="S1942" s="304">
        <f>IF(O1942&lt;=IF($O1942=0,0,SUMIFS(Disbursements!$W:$W,Disbursements!$B:$B,'Live Collections'!D1006,Disbursements!$D:$D,'Live Collections'!F1006)),O1942,IF($O1942=0,0,SUMIFS(Disbursements!$W:$W,Disbursements!$B:$B,'Live Collections'!D1006,Disbursements!$D:$D,'Live Collections'!F1006)))</f>
        <v>0</v>
      </c>
      <c r="T1942" s="304">
        <f t="shared" si="93"/>
        <v>0</v>
      </c>
      <c r="U1942" s="52"/>
      <c r="V1942" s="34"/>
      <c r="W1942" s="408"/>
    </row>
    <row r="1943" spans="1:23" ht="12.75" customHeight="1" x14ac:dyDescent="0.2">
      <c r="A1943" s="257">
        <v>1936</v>
      </c>
      <c r="B1943" s="44">
        <v>44523</v>
      </c>
      <c r="C1943" s="44">
        <f t="shared" si="91"/>
        <v>44523</v>
      </c>
      <c r="D1943" s="374">
        <v>86</v>
      </c>
      <c r="E1943" s="291" t="str">
        <f>IFERROR(VLOOKUP($D1943,'Clients-Live'!$A:$C,3,0),"")</f>
        <v>AMANIYO JOYCE</v>
      </c>
      <c r="F1943" s="291">
        <f>IFERROR(INDEX(Disbursements!$D:$D,MATCH('Live Collections'!G1943,Disbursements!$C:$C,0)),"")</f>
        <v>2</v>
      </c>
      <c r="G1943" s="34">
        <v>231</v>
      </c>
      <c r="H1943" s="34">
        <v>3560</v>
      </c>
      <c r="I1943" s="34" t="s">
        <v>1358</v>
      </c>
      <c r="J1943" s="48"/>
      <c r="K1943" s="48"/>
      <c r="L1943" s="48"/>
      <c r="M1943" s="48"/>
      <c r="N1943" s="59"/>
      <c r="O1943" s="59">
        <v>170000</v>
      </c>
      <c r="P1943" s="59"/>
      <c r="Q1943" s="268">
        <f t="shared" si="92"/>
        <v>170000</v>
      </c>
      <c r="R1943" s="61">
        <f>IF(O1943=0,0,SUMIFS(Disbursements!$T:$T,Disbursements!$B:$B,'Live Collections'!D1943,Disbursements!$D:$D,'Live Collections'!F1943))</f>
        <v>217000</v>
      </c>
      <c r="S1943" s="304">
        <f>IF(O1943&lt;=IF($O1943=0,0,SUMIFS(Disbursements!$W:$W,Disbursements!$B:$B,'Live Collections'!D1116,Disbursements!$D:$D,'Live Collections'!F1116)),O1943,IF($O1943=0,0,SUMIFS(Disbursements!$W:$W,Disbursements!$B:$B,'Live Collections'!D1116,Disbursements!$D:$D,'Live Collections'!F1116)))</f>
        <v>20000</v>
      </c>
      <c r="T1943" s="304">
        <f t="shared" si="93"/>
        <v>150000</v>
      </c>
      <c r="U1943" s="52"/>
      <c r="V1943" s="34"/>
      <c r="W1943" s="408"/>
    </row>
    <row r="1944" spans="1:23" ht="12.75" customHeight="1" x14ac:dyDescent="0.2">
      <c r="A1944" s="257">
        <v>1932</v>
      </c>
      <c r="B1944" s="44">
        <v>44523</v>
      </c>
      <c r="C1944" s="44">
        <f t="shared" si="91"/>
        <v>44523</v>
      </c>
      <c r="D1944" s="374">
        <v>155</v>
      </c>
      <c r="E1944" s="291" t="str">
        <f>IFERROR(VLOOKUP($D1944,'Clients-Live'!$A:$C,3,0),"")</f>
        <v>AROMBORAC SIAMA</v>
      </c>
      <c r="F1944" s="291" t="str">
        <f>IFERROR(INDEX(Disbursements!$D:$D,MATCH('Live Collections'!G1944,Disbursements!$C:$C,0)),"")</f>
        <v/>
      </c>
      <c r="G1944" s="34"/>
      <c r="H1944" s="34">
        <v>3564</v>
      </c>
      <c r="I1944" s="34" t="s">
        <v>1358</v>
      </c>
      <c r="J1944" s="48"/>
      <c r="K1944" s="48"/>
      <c r="L1944" s="48">
        <v>10000</v>
      </c>
      <c r="M1944" s="48">
        <v>5000</v>
      </c>
      <c r="N1944" s="59"/>
      <c r="O1944" s="59"/>
      <c r="P1944" s="59"/>
      <c r="Q1944" s="268">
        <f t="shared" si="92"/>
        <v>15000</v>
      </c>
      <c r="R1944" s="61">
        <f>IF(O1944=0,0,SUMIFS(Disbursements!$T:$T,Disbursements!$B:$B,'Live Collections'!D1944,Disbursements!$D:$D,'Live Collections'!F1944))</f>
        <v>0</v>
      </c>
      <c r="S1944" s="304">
        <f>IF(O1944&lt;=IF($O1944=0,0,SUMIFS(Disbursements!$W:$W,Disbursements!$B:$B,'Live Collections'!D1939,Disbursements!$D:$D,'Live Collections'!F1939)),O1944,IF($O1944=0,0,SUMIFS(Disbursements!$W:$W,Disbursements!$B:$B,'Live Collections'!D1939,Disbursements!$D:$D,'Live Collections'!F1939)))</f>
        <v>0</v>
      </c>
      <c r="T1944" s="304">
        <f t="shared" si="93"/>
        <v>0</v>
      </c>
      <c r="U1944" s="52"/>
      <c r="V1944" s="34"/>
      <c r="W1944" s="408"/>
    </row>
    <row r="1945" spans="1:23" ht="12.75" customHeight="1" x14ac:dyDescent="0.2">
      <c r="A1945" s="257">
        <v>1935</v>
      </c>
      <c r="B1945" s="44">
        <v>44523</v>
      </c>
      <c r="C1945" s="44">
        <f t="shared" si="91"/>
        <v>44523</v>
      </c>
      <c r="D1945" s="374">
        <v>163</v>
      </c>
      <c r="E1945" s="291" t="str">
        <f>IFERROR(VLOOKUP($D1945,'Clients-Live'!$A:$C,3,0),"")</f>
        <v>CHANDIRU RAMULA</v>
      </c>
      <c r="F1945" s="291" t="str">
        <f>IFERROR(INDEX(Disbursements!$D:$D,MATCH('Live Collections'!G1945,Disbursements!$C:$C,0)),"")</f>
        <v/>
      </c>
      <c r="G1945" s="34"/>
      <c r="H1945" s="34">
        <v>3561</v>
      </c>
      <c r="I1945" s="34" t="s">
        <v>1358</v>
      </c>
      <c r="J1945" s="48"/>
      <c r="K1945" s="48"/>
      <c r="L1945" s="48">
        <v>10000</v>
      </c>
      <c r="M1945" s="48">
        <v>5000</v>
      </c>
      <c r="N1945" s="59"/>
      <c r="O1945" s="59"/>
      <c r="P1945" s="59"/>
      <c r="Q1945" s="268">
        <f t="shared" si="92"/>
        <v>15000</v>
      </c>
      <c r="R1945" s="61">
        <f>IF(O1945=0,0,SUMIFS(Disbursements!$T:$T,Disbursements!$B:$B,'Live Collections'!D1945,Disbursements!$D:$D,'Live Collections'!F1945))</f>
        <v>0</v>
      </c>
      <c r="S1945" s="304">
        <f>IF(O1945&lt;=IF($O1945=0,0,SUMIFS(Disbursements!$W:$W,Disbursements!$B:$B,'Live Collections'!D2021,Disbursements!$D:$D,'Live Collections'!F2021)),O1945,IF($O1945=0,0,SUMIFS(Disbursements!$W:$W,Disbursements!$B:$B,'Live Collections'!D2021,Disbursements!$D:$D,'Live Collections'!F2021)))</f>
        <v>0</v>
      </c>
      <c r="T1945" s="304">
        <f t="shared" si="93"/>
        <v>0</v>
      </c>
      <c r="U1945" s="52"/>
      <c r="V1945" s="34"/>
      <c r="W1945" s="408"/>
    </row>
    <row r="1946" spans="1:23" ht="12.75" customHeight="1" x14ac:dyDescent="0.2">
      <c r="A1946" s="257">
        <v>1934</v>
      </c>
      <c r="B1946" s="44">
        <v>44523</v>
      </c>
      <c r="C1946" s="44">
        <f t="shared" si="91"/>
        <v>44523</v>
      </c>
      <c r="D1946" s="374">
        <v>200</v>
      </c>
      <c r="E1946" s="291" t="str">
        <f>IFERROR(VLOOKUP($D1946,'Clients-Live'!$A:$C,3,0),"")</f>
        <v>SERIYA FLORENCE</v>
      </c>
      <c r="F1946" s="291">
        <f>IFERROR(INDEX(Disbursements!$D:$D,MATCH('Live Collections'!G1946,Disbursements!$C:$C,0)),"")</f>
        <v>2</v>
      </c>
      <c r="G1946" s="34">
        <v>342</v>
      </c>
      <c r="H1946" s="34">
        <v>3563</v>
      </c>
      <c r="I1946" s="34" t="s">
        <v>1359</v>
      </c>
      <c r="J1946" s="48"/>
      <c r="K1946" s="48"/>
      <c r="L1946" s="48"/>
      <c r="M1946" s="48"/>
      <c r="N1946" s="59"/>
      <c r="O1946" s="59"/>
      <c r="P1946" s="59">
        <v>50000</v>
      </c>
      <c r="Q1946" s="268">
        <f t="shared" si="92"/>
        <v>50000</v>
      </c>
      <c r="R1946" s="61">
        <f>IF(O1946=0,0,SUMIFS(Disbursements!$T:$T,Disbursements!$B:$B,'Live Collections'!D1946,Disbursements!$D:$D,'Live Collections'!F1946))</f>
        <v>0</v>
      </c>
      <c r="S1946" s="304">
        <f>IF(O1946&lt;=IF($O1946=0,0,SUMIFS(Disbursements!$W:$W,Disbursements!$B:$B,'Live Collections'!D2391,Disbursements!$D:$D,'Live Collections'!F2391)),O1946,IF($O1946=0,0,SUMIFS(Disbursements!$W:$W,Disbursements!$B:$B,'Live Collections'!D2391,Disbursements!$D:$D,'Live Collections'!F2391)))</f>
        <v>0</v>
      </c>
      <c r="T1946" s="304">
        <f t="shared" si="93"/>
        <v>0</v>
      </c>
      <c r="U1946" s="52"/>
      <c r="V1946" s="34"/>
      <c r="W1946" s="408"/>
    </row>
    <row r="1947" spans="1:23" ht="12.75" customHeight="1" x14ac:dyDescent="0.2">
      <c r="A1947" s="257">
        <v>1930</v>
      </c>
      <c r="B1947" s="44">
        <v>44523</v>
      </c>
      <c r="C1947" s="44">
        <f t="shared" si="91"/>
        <v>44523</v>
      </c>
      <c r="D1947" s="374">
        <v>216</v>
      </c>
      <c r="E1947" s="291" t="str">
        <f>IFERROR(VLOOKUP($D1947,'Clients-Live'!$A:$C,3,0),"")</f>
        <v>ALIGA ASHIRAF</v>
      </c>
      <c r="F1947" s="291">
        <f>IFERROR(INDEX(Disbursements!$D:$D,MATCH('Live Collections'!G1947,Disbursements!$C:$C,0)),"")</f>
        <v>1</v>
      </c>
      <c r="G1947" s="34">
        <v>215</v>
      </c>
      <c r="H1947" s="34">
        <v>3566</v>
      </c>
      <c r="I1947" s="34" t="s">
        <v>1359</v>
      </c>
      <c r="J1947" s="48"/>
      <c r="K1947" s="48"/>
      <c r="L1947" s="48"/>
      <c r="M1947" s="48"/>
      <c r="N1947" s="59"/>
      <c r="O1947" s="59">
        <v>100000</v>
      </c>
      <c r="P1947" s="59"/>
      <c r="Q1947" s="268">
        <f t="shared" si="92"/>
        <v>100000</v>
      </c>
      <c r="R1947" s="61">
        <f>IF(O1947=0,0,SUMIFS(Disbursements!$T:$T,Disbursements!$B:$B,'Live Collections'!D1947,Disbursements!$D:$D,'Live Collections'!F1947))</f>
        <v>109000</v>
      </c>
      <c r="S1947" s="304">
        <f>IF(O1947&lt;=IF($O1947=0,0,SUMIFS(Disbursements!$W:$W,Disbursements!$B:$B,'Live Collections'!D2549,Disbursements!$D:$D,'Live Collections'!F2549)),O1947,IF($O1947=0,0,SUMIFS(Disbursements!$W:$W,Disbursements!$B:$B,'Live Collections'!D2549,Disbursements!$D:$D,'Live Collections'!F2549)))</f>
        <v>50666.666666666686</v>
      </c>
      <c r="T1947" s="304">
        <f t="shared" si="93"/>
        <v>49333.333333333314</v>
      </c>
      <c r="U1947" s="52"/>
      <c r="V1947" s="34"/>
      <c r="W1947" s="408"/>
    </row>
    <row r="1948" spans="1:23" ht="12.75" customHeight="1" x14ac:dyDescent="0.2">
      <c r="A1948" s="257">
        <v>1926</v>
      </c>
      <c r="B1948" s="44">
        <v>44523</v>
      </c>
      <c r="C1948" s="44">
        <f t="shared" si="91"/>
        <v>44523</v>
      </c>
      <c r="D1948" s="374">
        <v>219</v>
      </c>
      <c r="E1948" s="291" t="str">
        <f>IFERROR(VLOOKUP($D1948,'Clients-Live'!$A:$C,3,0),"")</f>
        <v>MALIKO JAMILA</v>
      </c>
      <c r="F1948" s="291">
        <f>IFERROR(INDEX(Disbursements!$D:$D,MATCH('Live Collections'!G1948,Disbursements!$C:$C,0)),"")</f>
        <v>1</v>
      </c>
      <c r="G1948" s="34">
        <v>228</v>
      </c>
      <c r="H1948" s="34">
        <v>3568</v>
      </c>
      <c r="I1948" s="34" t="s">
        <v>1358</v>
      </c>
      <c r="J1948" s="48"/>
      <c r="K1948" s="48"/>
      <c r="L1948" s="48"/>
      <c r="M1948" s="48"/>
      <c r="N1948" s="59"/>
      <c r="O1948" s="59">
        <v>20000</v>
      </c>
      <c r="P1948" s="59"/>
      <c r="Q1948" s="268">
        <f t="shared" si="92"/>
        <v>20000</v>
      </c>
      <c r="R1948" s="61">
        <f>IF(O1948=0,0,SUMIFS(Disbursements!$T:$T,Disbursements!$B:$B,'Live Collections'!D1948,Disbursements!$D:$D,'Live Collections'!F1948))</f>
        <v>77000</v>
      </c>
      <c r="S1948" s="304">
        <f>IF(O1948&lt;=IF($O1948=0,0,SUMIFS(Disbursements!$W:$W,Disbursements!$B:$B,'Live Collections'!D2589,Disbursements!$D:$D,'Live Collections'!F2589)),O1948,IF($O1948=0,0,SUMIFS(Disbursements!$W:$W,Disbursements!$B:$B,'Live Collections'!D2589,Disbursements!$D:$D,'Live Collections'!F2589)))</f>
        <v>0</v>
      </c>
      <c r="T1948" s="304">
        <f t="shared" si="93"/>
        <v>20000</v>
      </c>
      <c r="U1948" s="52"/>
      <c r="V1948" s="34"/>
      <c r="W1948" s="408"/>
    </row>
    <row r="1949" spans="1:23" ht="12.75" customHeight="1" x14ac:dyDescent="0.2">
      <c r="A1949" s="257">
        <v>1931</v>
      </c>
      <c r="B1949" s="44">
        <v>44523</v>
      </c>
      <c r="C1949" s="44">
        <f t="shared" si="91"/>
        <v>44523</v>
      </c>
      <c r="D1949" s="374">
        <v>261</v>
      </c>
      <c r="E1949" s="291" t="str">
        <f>IFERROR(VLOOKUP($D1949,'Clients-Live'!$A:$C,3,0),"")</f>
        <v>AMANIYO STELLA</v>
      </c>
      <c r="F1949" s="291">
        <f>IFERROR(INDEX(Disbursements!$D:$D,MATCH('Live Collections'!G1949,Disbursements!$C:$C,0)),"")</f>
        <v>1</v>
      </c>
      <c r="G1949" s="34">
        <v>292</v>
      </c>
      <c r="H1949" s="34">
        <v>3565</v>
      </c>
      <c r="I1949" s="34" t="s">
        <v>1359</v>
      </c>
      <c r="J1949" s="48"/>
      <c r="K1949" s="48"/>
      <c r="L1949" s="48"/>
      <c r="M1949" s="48"/>
      <c r="N1949" s="59"/>
      <c r="O1949" s="59">
        <v>110000</v>
      </c>
      <c r="P1949" s="59"/>
      <c r="Q1949" s="268">
        <f t="shared" si="92"/>
        <v>110000</v>
      </c>
      <c r="R1949" s="61">
        <f>IF(O1949=0,0,SUMIFS(Disbursements!$T:$T,Disbursements!$B:$B,'Live Collections'!D1949,Disbursements!$D:$D,'Live Collections'!F1949))</f>
        <v>115000</v>
      </c>
      <c r="S1949" s="304">
        <f>IF(O1949&lt;=IF($O1949=0,0,SUMIFS(Disbursements!$W:$W,Disbursements!$B:$B,'Live Collections'!D2885,Disbursements!$D:$D,'Live Collections'!F2885)),O1949,IF($O1949=0,0,SUMIFS(Disbursements!$W:$W,Disbursements!$B:$B,'Live Collections'!D2885,Disbursements!$D:$D,'Live Collections'!F2885)))</f>
        <v>40000</v>
      </c>
      <c r="T1949" s="304">
        <f t="shared" si="93"/>
        <v>70000</v>
      </c>
      <c r="U1949" s="52"/>
      <c r="V1949" s="34"/>
      <c r="W1949" s="408"/>
    </row>
    <row r="1950" spans="1:23" ht="12.75" customHeight="1" x14ac:dyDescent="0.2">
      <c r="A1950" s="257">
        <v>1938</v>
      </c>
      <c r="B1950" s="44">
        <v>44523</v>
      </c>
      <c r="C1950" s="44">
        <f t="shared" si="91"/>
        <v>44523</v>
      </c>
      <c r="D1950" s="374">
        <v>288</v>
      </c>
      <c r="E1950" s="291" t="str">
        <f>IFERROR(VLOOKUP($D1950,'Clients-Live'!$A:$C,3,0),"")</f>
        <v>MITU LAWRENCE</v>
      </c>
      <c r="F1950" s="291" t="str">
        <f>IFERROR(INDEX(Disbursements!$D:$D,MATCH('Live Collections'!G1950,Disbursements!$C:$C,0)),"")</f>
        <v/>
      </c>
      <c r="G1950" s="34"/>
      <c r="H1950" s="34">
        <v>3504</v>
      </c>
      <c r="I1950" s="34" t="s">
        <v>1357</v>
      </c>
      <c r="J1950" s="48">
        <v>15000</v>
      </c>
      <c r="K1950" s="48">
        <v>5000</v>
      </c>
      <c r="L1950" s="48"/>
      <c r="M1950" s="48"/>
      <c r="N1950" s="59"/>
      <c r="O1950" s="59"/>
      <c r="P1950" s="59"/>
      <c r="Q1950" s="268">
        <f t="shared" si="92"/>
        <v>20000</v>
      </c>
      <c r="R1950" s="61">
        <f>IF(O1950=0,0,SUMIFS(Disbursements!$T:$T,Disbursements!$B:$B,'Live Collections'!D1950,Disbursements!$D:$D,'Live Collections'!F1950))</f>
        <v>0</v>
      </c>
      <c r="S1950" s="304">
        <f>IF(O1950&lt;=IF($O1950=0,0,SUMIFS(Disbursements!$W:$W,Disbursements!$B:$B,'Live Collections'!D3036,Disbursements!$D:$D,'Live Collections'!F3036)),O1950,IF($O1950=0,0,SUMIFS(Disbursements!$W:$W,Disbursements!$B:$B,'Live Collections'!D3036,Disbursements!$D:$D,'Live Collections'!F3036)))</f>
        <v>0</v>
      </c>
      <c r="T1950" s="304">
        <f t="shared" si="93"/>
        <v>0</v>
      </c>
      <c r="U1950" s="52"/>
      <c r="V1950" s="34"/>
      <c r="W1950" s="408"/>
    </row>
    <row r="1951" spans="1:23" ht="12.75" customHeight="1" x14ac:dyDescent="0.2">
      <c r="A1951" s="257">
        <v>1929</v>
      </c>
      <c r="B1951" s="44">
        <v>44523</v>
      </c>
      <c r="C1951" s="44">
        <f t="shared" si="91"/>
        <v>44523</v>
      </c>
      <c r="D1951" s="374">
        <v>289</v>
      </c>
      <c r="E1951" s="291" t="str">
        <f>IFERROR(VLOOKUP($D1951,'Clients-Live'!$A:$C,3,0),"")</f>
        <v>NAUME NIGHT</v>
      </c>
      <c r="F1951" s="291" t="str">
        <f>IFERROR(INDEX(Disbursements!$D:$D,MATCH('Live Collections'!G1951,Disbursements!$C:$C,0)),"")</f>
        <v/>
      </c>
      <c r="G1951" s="34"/>
      <c r="H1951" s="34">
        <v>3507</v>
      </c>
      <c r="I1951" s="34" t="s">
        <v>1357</v>
      </c>
      <c r="J1951" s="48">
        <v>15000</v>
      </c>
      <c r="K1951" s="48">
        <v>5000</v>
      </c>
      <c r="L1951" s="48"/>
      <c r="M1951" s="48"/>
      <c r="N1951" s="59"/>
      <c r="O1951" s="59"/>
      <c r="P1951" s="59"/>
      <c r="Q1951" s="268">
        <f t="shared" si="92"/>
        <v>20000</v>
      </c>
      <c r="R1951" s="61">
        <f>IF(O1951=0,0,SUMIFS(Disbursements!$T:$T,Disbursements!$B:$B,'Live Collections'!D1951,Disbursements!$D:$D,'Live Collections'!F1951))</f>
        <v>0</v>
      </c>
      <c r="S1951" s="304">
        <f>IF(O1951&lt;=IF($O1951=0,0,SUMIFS(Disbursements!$W:$W,Disbursements!$B:$B,'Live Collections'!D3041,Disbursements!$D:$D,'Live Collections'!F3041)),O1951,IF($O1951=0,0,SUMIFS(Disbursements!$W:$W,Disbursements!$B:$B,'Live Collections'!D3041,Disbursements!$D:$D,'Live Collections'!F3041)))</f>
        <v>0</v>
      </c>
      <c r="T1951" s="304">
        <f t="shared" si="93"/>
        <v>0</v>
      </c>
      <c r="U1951" s="52"/>
      <c r="V1951" s="34"/>
      <c r="W1951" s="408"/>
    </row>
    <row r="1952" spans="1:23" ht="12.75" customHeight="1" x14ac:dyDescent="0.2">
      <c r="A1952" s="257">
        <v>1924</v>
      </c>
      <c r="B1952" s="44">
        <v>44523</v>
      </c>
      <c r="C1952" s="44">
        <f t="shared" si="91"/>
        <v>44523</v>
      </c>
      <c r="D1952" s="374">
        <v>290</v>
      </c>
      <c r="E1952" s="291" t="str">
        <f>IFERROR(VLOOKUP($D1952,'Clients-Live'!$A:$C,3,0),"")</f>
        <v>DATA GEOFREY</v>
      </c>
      <c r="F1952" s="291" t="str">
        <f>IFERROR(INDEX(Disbursements!$D:$D,MATCH('Live Collections'!G1952,Disbursements!$C:$C,0)),"")</f>
        <v/>
      </c>
      <c r="G1952" s="34"/>
      <c r="H1952" s="34">
        <v>3505</v>
      </c>
      <c r="I1952" s="34" t="s">
        <v>1357</v>
      </c>
      <c r="J1952" s="48"/>
      <c r="K1952" s="48"/>
      <c r="L1952" s="48">
        <v>20000</v>
      </c>
      <c r="M1952" s="48">
        <v>5000</v>
      </c>
      <c r="N1952" s="59"/>
      <c r="O1952" s="59"/>
      <c r="P1952" s="59"/>
      <c r="Q1952" s="268">
        <f t="shared" si="92"/>
        <v>25000</v>
      </c>
      <c r="R1952" s="61">
        <f>IF(O1952=0,0,SUMIFS(Disbursements!$T:$T,Disbursements!$B:$B,'Live Collections'!D1952,Disbursements!$D:$D,'Live Collections'!F1952))</f>
        <v>0</v>
      </c>
      <c r="S1952" s="304">
        <f>IF(O1952&lt;=IF($O1952=0,0,SUMIFS(Disbursements!$W:$W,Disbursements!$B:$B,'Live Collections'!D3046,Disbursements!$D:$D,'Live Collections'!F3046)),O1952,IF($O1952=0,0,SUMIFS(Disbursements!$W:$W,Disbursements!$B:$B,'Live Collections'!D3046,Disbursements!$D:$D,'Live Collections'!F3046)))</f>
        <v>0</v>
      </c>
      <c r="T1952" s="304">
        <f t="shared" si="93"/>
        <v>0</v>
      </c>
      <c r="U1952" s="52"/>
      <c r="V1952" s="34"/>
      <c r="W1952" s="408"/>
    </row>
    <row r="1953" spans="1:23" ht="12.75" customHeight="1" x14ac:dyDescent="0.2">
      <c r="A1953" s="257">
        <v>1925</v>
      </c>
      <c r="B1953" s="44">
        <v>44523</v>
      </c>
      <c r="C1953" s="44">
        <f t="shared" si="91"/>
        <v>44523</v>
      </c>
      <c r="D1953" s="374">
        <v>290</v>
      </c>
      <c r="E1953" s="291" t="str">
        <f>IFERROR(VLOOKUP($D1953,'Clients-Live'!$A:$C,3,0),"")</f>
        <v>DATA GEOFREY</v>
      </c>
      <c r="F1953" s="291" t="str">
        <f>IFERROR(INDEX(Disbursements!$D:$D,MATCH('Live Collections'!G1953,Disbursements!$C:$C,0)),"")</f>
        <v/>
      </c>
      <c r="G1953" s="34"/>
      <c r="H1953" s="34">
        <v>3506</v>
      </c>
      <c r="I1953" s="34" t="s">
        <v>1357</v>
      </c>
      <c r="J1953" s="48">
        <v>15000</v>
      </c>
      <c r="K1953" s="48">
        <v>5000</v>
      </c>
      <c r="L1953" s="48"/>
      <c r="M1953" s="48"/>
      <c r="N1953" s="59"/>
      <c r="O1953" s="59"/>
      <c r="P1953" s="59"/>
      <c r="Q1953" s="268">
        <f t="shared" si="92"/>
        <v>20000</v>
      </c>
      <c r="R1953" s="61">
        <f>IF(O1953=0,0,SUMIFS(Disbursements!$T:$T,Disbursements!$B:$B,'Live Collections'!D1953,Disbursements!$D:$D,'Live Collections'!F1953))</f>
        <v>0</v>
      </c>
      <c r="S1953" s="304">
        <f>IF(O1953&lt;=IF($O1953=0,0,SUMIFS(Disbursements!$W:$W,Disbursements!$B:$B,'Live Collections'!D3047,Disbursements!$D:$D,'Live Collections'!F3047)),O1953,IF($O1953=0,0,SUMIFS(Disbursements!$W:$W,Disbursements!$B:$B,'Live Collections'!D3047,Disbursements!$D:$D,'Live Collections'!F3047)))</f>
        <v>0</v>
      </c>
      <c r="T1953" s="304">
        <f t="shared" si="93"/>
        <v>0</v>
      </c>
      <c r="U1953" s="52"/>
      <c r="V1953" s="34"/>
      <c r="W1953" s="408"/>
    </row>
    <row r="1954" spans="1:23" ht="12.75" customHeight="1" x14ac:dyDescent="0.2">
      <c r="A1954" s="257">
        <v>1948</v>
      </c>
      <c r="B1954" s="44">
        <v>44524</v>
      </c>
      <c r="C1954" s="44">
        <f t="shared" si="91"/>
        <v>44524</v>
      </c>
      <c r="D1954" s="374">
        <v>41</v>
      </c>
      <c r="E1954" s="291" t="str">
        <f>IFERROR(VLOOKUP($D1954,'Clients-Live'!$A:$C,3,0),"")</f>
        <v>ANGUYO RONALD</v>
      </c>
      <c r="F1954" s="291">
        <f>IFERROR(INDEX(Disbursements!$D:$D,MATCH('Live Collections'!G1954,Disbursements!$C:$C,0)),"")</f>
        <v>5</v>
      </c>
      <c r="G1954" s="34">
        <v>242</v>
      </c>
      <c r="H1954" s="34">
        <v>443</v>
      </c>
      <c r="I1954" s="34" t="s">
        <v>1358</v>
      </c>
      <c r="J1954" s="48"/>
      <c r="K1954" s="48"/>
      <c r="L1954" s="48"/>
      <c r="M1954" s="48"/>
      <c r="N1954" s="59"/>
      <c r="O1954" s="59"/>
      <c r="P1954" s="59">
        <v>-100000</v>
      </c>
      <c r="Q1954" s="268">
        <f t="shared" si="92"/>
        <v>-100000</v>
      </c>
      <c r="R1954" s="61">
        <f>IF(O1954=0,0,SUMIFS(Disbursements!$T:$T,Disbursements!$B:$B,'Live Collections'!D1954,Disbursements!$D:$D,'Live Collections'!F1954))</f>
        <v>0</v>
      </c>
      <c r="S1954" s="304">
        <f>IF(O1954&lt;=IF($O1954=0,0,SUMIFS(Disbursements!$W:$W,Disbursements!$B:$B,'Live Collections'!D453,Disbursements!$D:$D,'Live Collections'!F453)),O1954,IF($O1954=0,0,SUMIFS(Disbursements!$W:$W,Disbursements!$B:$B,'Live Collections'!D453,Disbursements!$D:$D,'Live Collections'!F453)))</f>
        <v>0</v>
      </c>
      <c r="T1954" s="304">
        <f t="shared" si="93"/>
        <v>0</v>
      </c>
      <c r="U1954" s="52"/>
      <c r="V1954" s="34"/>
      <c r="W1954" s="408"/>
    </row>
    <row r="1955" spans="1:23" ht="12.75" customHeight="1" x14ac:dyDescent="0.2">
      <c r="A1955" s="257">
        <v>1949</v>
      </c>
      <c r="B1955" s="44">
        <v>44524</v>
      </c>
      <c r="C1955" s="44">
        <f t="shared" si="91"/>
        <v>44524</v>
      </c>
      <c r="D1955" s="374">
        <v>41</v>
      </c>
      <c r="E1955" s="291" t="str">
        <f>IFERROR(VLOOKUP($D1955,'Clients-Live'!$A:$C,3,0),"")</f>
        <v>ANGUYO RONALD</v>
      </c>
      <c r="F1955" s="291">
        <f>IFERROR(INDEX(Disbursements!$D:$D,MATCH('Live Collections'!G1955,Disbursements!$C:$C,0)),"")</f>
        <v>5</v>
      </c>
      <c r="G1955" s="34">
        <v>242</v>
      </c>
      <c r="H1955" s="34">
        <v>3578</v>
      </c>
      <c r="I1955" s="34" t="s">
        <v>1358</v>
      </c>
      <c r="J1955" s="48"/>
      <c r="K1955" s="48"/>
      <c r="L1955" s="48"/>
      <c r="M1955" s="48"/>
      <c r="N1955" s="59"/>
      <c r="O1955" s="59">
        <v>100000</v>
      </c>
      <c r="P1955" s="59"/>
      <c r="Q1955" s="268">
        <f t="shared" si="92"/>
        <v>100000</v>
      </c>
      <c r="R1955" s="61">
        <f>IF(O1955=0,0,SUMIFS(Disbursements!$T:$T,Disbursements!$B:$B,'Live Collections'!D1955,Disbursements!$D:$D,'Live Collections'!F1955))</f>
        <v>1075000</v>
      </c>
      <c r="S1955" s="304">
        <f>IF(O1955&lt;=IF($O1955=0,0,SUMIFS(Disbursements!$W:$W,Disbursements!$B:$B,'Live Collections'!D454,Disbursements!$D:$D,'Live Collections'!F454)),O1955,IF($O1955=0,0,SUMIFS(Disbursements!$W:$W,Disbursements!$B:$B,'Live Collections'!D454,Disbursements!$D:$D,'Live Collections'!F454)))</f>
        <v>0</v>
      </c>
      <c r="T1955" s="304">
        <f t="shared" si="93"/>
        <v>100000</v>
      </c>
      <c r="U1955" s="52"/>
      <c r="V1955" s="34"/>
      <c r="W1955" s="408" t="s">
        <v>2094</v>
      </c>
    </row>
    <row r="1956" spans="1:23" ht="12.75" customHeight="1" x14ac:dyDescent="0.2">
      <c r="A1956" s="257">
        <v>1957</v>
      </c>
      <c r="B1956" s="44">
        <v>44524</v>
      </c>
      <c r="C1956" s="44">
        <f t="shared" si="91"/>
        <v>44524</v>
      </c>
      <c r="D1956" s="374">
        <v>41</v>
      </c>
      <c r="E1956" s="291" t="str">
        <f>IFERROR(VLOOKUP($D1956,'Clients-Live'!$A:$C,3,0),"")</f>
        <v>ANGUYO RONALD</v>
      </c>
      <c r="F1956" s="291">
        <f>IFERROR(INDEX(Disbursements!$D:$D,MATCH('Live Collections'!G1956,Disbursements!$C:$C,0)),"")</f>
        <v>5</v>
      </c>
      <c r="G1956" s="34">
        <v>242</v>
      </c>
      <c r="H1956" s="34">
        <v>3577</v>
      </c>
      <c r="I1956" s="34" t="s">
        <v>1358</v>
      </c>
      <c r="J1956" s="48"/>
      <c r="K1956" s="48"/>
      <c r="L1956" s="48"/>
      <c r="M1956" s="48"/>
      <c r="N1956" s="59">
        <v>123600</v>
      </c>
      <c r="O1956" s="59">
        <v>975000</v>
      </c>
      <c r="P1956" s="59"/>
      <c r="Q1956" s="268">
        <f t="shared" si="92"/>
        <v>1098600</v>
      </c>
      <c r="R1956" s="61">
        <f>IF(O1956=0,0,SUMIFS(Disbursements!$T:$T,Disbursements!$B:$B,'Live Collections'!D1956,Disbursements!$D:$D,'Live Collections'!F1956))</f>
        <v>1075000</v>
      </c>
      <c r="S1956" s="64">
        <v>75000</v>
      </c>
      <c r="T1956" s="304">
        <f t="shared" si="93"/>
        <v>900000</v>
      </c>
      <c r="U1956" s="52"/>
      <c r="V1956" s="34"/>
      <c r="W1956" s="408" t="s">
        <v>2086</v>
      </c>
    </row>
    <row r="1957" spans="1:23" ht="12.75" customHeight="1" x14ac:dyDescent="0.2">
      <c r="A1957" s="257">
        <v>1963</v>
      </c>
      <c r="B1957" s="44">
        <v>44524</v>
      </c>
      <c r="C1957" s="44">
        <f t="shared" si="91"/>
        <v>44524</v>
      </c>
      <c r="D1957" s="374">
        <v>41</v>
      </c>
      <c r="E1957" s="291" t="str">
        <f>IFERROR(VLOOKUP($D1957,'Clients-Live'!$A:$C,3,0),"")</f>
        <v>ANGUYO RONALD</v>
      </c>
      <c r="F1957" s="291" t="str">
        <f>IFERROR(INDEX(Disbursements!$D:$D,MATCH('Live Collections'!G1957,Disbursements!$C:$C,0)),"")</f>
        <v/>
      </c>
      <c r="G1957" s="34"/>
      <c r="H1957" s="34">
        <v>3579</v>
      </c>
      <c r="I1957" s="34" t="s">
        <v>1358</v>
      </c>
      <c r="J1957" s="48"/>
      <c r="K1957" s="48">
        <v>5000</v>
      </c>
      <c r="L1957" s="48"/>
      <c r="M1957" s="48"/>
      <c r="N1957" s="59"/>
      <c r="O1957" s="59"/>
      <c r="P1957" s="59"/>
      <c r="Q1957" s="268">
        <f t="shared" si="92"/>
        <v>5000</v>
      </c>
      <c r="R1957" s="61">
        <f>IF(O1957=0,0,SUMIFS(Disbursements!$T:$T,Disbursements!$B:$B,'Live Collections'!D1957,Disbursements!$D:$D,'Live Collections'!F1957))</f>
        <v>0</v>
      </c>
      <c r="S1957" s="304">
        <f>IF(O1957&lt;=IF($O1957=0,0,SUMIFS(Disbursements!$W:$W,Disbursements!$B:$B,'Live Collections'!D456,Disbursements!$D:$D,'Live Collections'!F456)),O1957,IF($O1957=0,0,SUMIFS(Disbursements!$W:$W,Disbursements!$B:$B,'Live Collections'!D456,Disbursements!$D:$D,'Live Collections'!F456)))</f>
        <v>0</v>
      </c>
      <c r="T1957" s="304">
        <f t="shared" si="93"/>
        <v>0</v>
      </c>
      <c r="U1957" s="52"/>
      <c r="V1957" s="34"/>
      <c r="W1957" s="408"/>
    </row>
    <row r="1958" spans="1:23" ht="12.75" customHeight="1" x14ac:dyDescent="0.2">
      <c r="A1958" s="257">
        <v>1955</v>
      </c>
      <c r="B1958" s="44">
        <v>44524</v>
      </c>
      <c r="C1958" s="44">
        <f t="shared" si="91"/>
        <v>44524</v>
      </c>
      <c r="D1958" s="374">
        <v>128</v>
      </c>
      <c r="E1958" s="291" t="str">
        <f>IFERROR(VLOOKUP($D1958,'Clients-Live'!$A:$C,3,0),"")</f>
        <v>AJONYE BETTY</v>
      </c>
      <c r="F1958" s="291">
        <f>IFERROR(INDEX(Disbursements!$D:$D,MATCH('Live Collections'!G1958,Disbursements!$C:$C,0)),"")</f>
        <v>2</v>
      </c>
      <c r="G1958" s="34">
        <v>289</v>
      </c>
      <c r="H1958" s="34">
        <v>3580</v>
      </c>
      <c r="I1958" s="34" t="s">
        <v>1359</v>
      </c>
      <c r="J1958" s="48"/>
      <c r="K1958" s="48"/>
      <c r="L1958" s="48"/>
      <c r="M1958" s="48"/>
      <c r="N1958" s="59"/>
      <c r="O1958" s="59">
        <v>120000</v>
      </c>
      <c r="P1958" s="59"/>
      <c r="Q1958" s="268">
        <f t="shared" si="92"/>
        <v>120000</v>
      </c>
      <c r="R1958" s="61">
        <f>IF(O1958=0,0,SUMIFS(Disbursements!$T:$T,Disbursements!$B:$B,'Live Collections'!D1958,Disbursements!$D:$D,'Live Collections'!F1958))</f>
        <v>120000</v>
      </c>
      <c r="S1958" s="304">
        <f>IF(O1958&lt;=IF($O1958=0,0,SUMIFS(Disbursements!$W:$W,Disbursements!$B:$B,'Live Collections'!D1626,Disbursements!$D:$D,'Live Collections'!F1626)),O1958,IF($O1958=0,0,SUMIFS(Disbursements!$W:$W,Disbursements!$B:$B,'Live Collections'!D1626,Disbursements!$D:$D,'Live Collections'!F1626)))</f>
        <v>0</v>
      </c>
      <c r="T1958" s="304">
        <f t="shared" si="93"/>
        <v>120000</v>
      </c>
      <c r="U1958" s="52"/>
      <c r="V1958" s="34"/>
      <c r="W1958" s="408"/>
    </row>
    <row r="1959" spans="1:23" ht="12.75" customHeight="1" x14ac:dyDescent="0.2">
      <c r="A1959" s="257">
        <v>1945</v>
      </c>
      <c r="B1959" s="44">
        <v>44524</v>
      </c>
      <c r="C1959" s="44">
        <f t="shared" si="91"/>
        <v>44524</v>
      </c>
      <c r="D1959" s="374">
        <v>132</v>
      </c>
      <c r="E1959" s="291" t="str">
        <f>IFERROR(VLOOKUP($D1959,'Clients-Live'!$A:$C,3,0),"")</f>
        <v>MANIYO JOICE</v>
      </c>
      <c r="F1959" s="291">
        <f>IFERROR(INDEX(Disbursements!$D:$D,MATCH('Live Collections'!G1959,Disbursements!$C:$C,0)),"")</f>
        <v>1</v>
      </c>
      <c r="G1959" s="34">
        <v>134</v>
      </c>
      <c r="H1959" s="34">
        <v>3574</v>
      </c>
      <c r="I1959" s="34" t="s">
        <v>1358</v>
      </c>
      <c r="J1959" s="48"/>
      <c r="K1959" s="48"/>
      <c r="L1959" s="48"/>
      <c r="M1959" s="48"/>
      <c r="N1959" s="59"/>
      <c r="O1959" s="59">
        <v>25000</v>
      </c>
      <c r="P1959" s="59"/>
      <c r="Q1959" s="268">
        <f t="shared" si="92"/>
        <v>25000</v>
      </c>
      <c r="R1959" s="61">
        <f>IF(O1959=0,0,SUMIFS(Disbursements!$T:$T,Disbursements!$B:$B,'Live Collections'!D1959,Disbursements!$D:$D,'Live Collections'!F1959))</f>
        <v>115000</v>
      </c>
      <c r="S1959" s="304">
        <f>IF(O1959&lt;=IF($O1959=0,0,SUMIFS(Disbursements!$W:$W,Disbursements!$B:$B,'Live Collections'!D1669,Disbursements!$D:$D,'Live Collections'!F1669)),O1959,IF($O1959=0,0,SUMIFS(Disbursements!$W:$W,Disbursements!$B:$B,'Live Collections'!D1669,Disbursements!$D:$D,'Live Collections'!F1669)))</f>
        <v>0</v>
      </c>
      <c r="T1959" s="304">
        <f t="shared" si="93"/>
        <v>25000</v>
      </c>
      <c r="U1959" s="52"/>
      <c r="V1959" s="34"/>
      <c r="W1959" s="408"/>
    </row>
    <row r="1960" spans="1:23" ht="12.75" customHeight="1" x14ac:dyDescent="0.2">
      <c r="A1960" s="257">
        <v>1946</v>
      </c>
      <c r="B1960" s="44">
        <v>44524</v>
      </c>
      <c r="C1960" s="44">
        <f t="shared" si="91"/>
        <v>44524</v>
      </c>
      <c r="D1960" s="374">
        <v>132</v>
      </c>
      <c r="E1960" s="291" t="str">
        <f>IFERROR(VLOOKUP($D1960,'Clients-Live'!$A:$C,3,0),"")</f>
        <v>MANIYO JOICE</v>
      </c>
      <c r="F1960" s="291">
        <f>IFERROR(INDEX(Disbursements!$D:$D,MATCH('Live Collections'!G1960,Disbursements!$C:$C,0)),"")</f>
        <v>1</v>
      </c>
      <c r="G1960" s="34">
        <v>134</v>
      </c>
      <c r="H1960" s="34">
        <v>441</v>
      </c>
      <c r="I1960" s="34" t="s">
        <v>1358</v>
      </c>
      <c r="J1960" s="48"/>
      <c r="K1960" s="48"/>
      <c r="L1960" s="48"/>
      <c r="M1960" s="48"/>
      <c r="N1960" s="59"/>
      <c r="O1960" s="59"/>
      <c r="P1960" s="59">
        <v>-40000</v>
      </c>
      <c r="Q1960" s="268">
        <f t="shared" si="92"/>
        <v>-40000</v>
      </c>
      <c r="R1960" s="61">
        <f>IF(O1960=0,0,SUMIFS(Disbursements!$T:$T,Disbursements!$B:$B,'Live Collections'!D1960,Disbursements!$D:$D,'Live Collections'!F1960))</f>
        <v>0</v>
      </c>
      <c r="S1960" s="304">
        <f>IF(O1960&lt;=IF($O1960=0,0,SUMIFS(Disbursements!$W:$W,Disbursements!$B:$B,'Live Collections'!D1670,Disbursements!$D:$D,'Live Collections'!F1670)),O1960,IF($O1960=0,0,SUMIFS(Disbursements!$W:$W,Disbursements!$B:$B,'Live Collections'!D1670,Disbursements!$D:$D,'Live Collections'!F1670)))</f>
        <v>0</v>
      </c>
      <c r="T1960" s="304">
        <f t="shared" si="93"/>
        <v>0</v>
      </c>
      <c r="U1960" s="52"/>
      <c r="V1960" s="34"/>
      <c r="W1960" s="408"/>
    </row>
    <row r="1961" spans="1:23" ht="12.75" customHeight="1" x14ac:dyDescent="0.2">
      <c r="A1961" s="257">
        <v>1947</v>
      </c>
      <c r="B1961" s="44">
        <v>44524</v>
      </c>
      <c r="C1961" s="44">
        <f t="shared" si="91"/>
        <v>44524</v>
      </c>
      <c r="D1961" s="374">
        <v>132</v>
      </c>
      <c r="E1961" s="291" t="str">
        <f>IFERROR(VLOOKUP($D1961,'Clients-Live'!$A:$C,3,0),"")</f>
        <v>MANIYO JOICE</v>
      </c>
      <c r="F1961" s="291">
        <f>IFERROR(INDEX(Disbursements!$D:$D,MATCH('Live Collections'!G1961,Disbursements!$C:$C,0)),"")</f>
        <v>1</v>
      </c>
      <c r="G1961" s="34">
        <v>134</v>
      </c>
      <c r="H1961" s="34">
        <v>3575</v>
      </c>
      <c r="I1961" s="34" t="s">
        <v>1358</v>
      </c>
      <c r="J1961" s="48"/>
      <c r="K1961" s="48"/>
      <c r="L1961" s="48"/>
      <c r="M1961" s="48"/>
      <c r="N1961" s="59"/>
      <c r="O1961" s="59">
        <v>40000</v>
      </c>
      <c r="P1961" s="59"/>
      <c r="Q1961" s="268">
        <f t="shared" si="92"/>
        <v>40000</v>
      </c>
      <c r="R1961" s="61">
        <f>IF(O1961=0,0,SUMIFS(Disbursements!$T:$T,Disbursements!$B:$B,'Live Collections'!D1961,Disbursements!$D:$D,'Live Collections'!F1961))</f>
        <v>115000</v>
      </c>
      <c r="S1961" s="304">
        <f>IF(O1961&lt;=IF($O1961=0,0,SUMIFS(Disbursements!$W:$W,Disbursements!$B:$B,'Live Collections'!D1671,Disbursements!$D:$D,'Live Collections'!F1671)),O1961,IF($O1961=0,0,SUMIFS(Disbursements!$W:$W,Disbursements!$B:$B,'Live Collections'!D1671,Disbursements!$D:$D,'Live Collections'!F1671)))</f>
        <v>0</v>
      </c>
      <c r="T1961" s="304">
        <f t="shared" si="93"/>
        <v>40000</v>
      </c>
      <c r="U1961" s="52"/>
      <c r="V1961" s="34"/>
      <c r="W1961" s="408"/>
    </row>
    <row r="1962" spans="1:23" ht="12.75" customHeight="1" x14ac:dyDescent="0.2">
      <c r="A1962" s="257">
        <v>1971</v>
      </c>
      <c r="B1962" s="44">
        <v>44524</v>
      </c>
      <c r="C1962" s="44">
        <f t="shared" si="91"/>
        <v>44524</v>
      </c>
      <c r="D1962" s="374">
        <v>142</v>
      </c>
      <c r="E1962" s="291" t="str">
        <f>IFERROR(VLOOKUP($D1962,'Clients-Live'!$A:$C,3,0),"")</f>
        <v>TABU MARY</v>
      </c>
      <c r="F1962" s="291">
        <f>IFERROR(INDEX(Disbursements!$D:$D,MATCH('Live Collections'!G1962,Disbursements!$C:$C,0)),"")</f>
        <v>1</v>
      </c>
      <c r="G1962" s="34">
        <v>128</v>
      </c>
      <c r="H1962" s="34">
        <v>3599</v>
      </c>
      <c r="I1962" s="34" t="s">
        <v>1357</v>
      </c>
      <c r="J1962" s="48"/>
      <c r="K1962" s="48"/>
      <c r="L1962" s="48"/>
      <c r="M1962" s="48"/>
      <c r="N1962" s="59"/>
      <c r="O1962" s="59">
        <v>220000</v>
      </c>
      <c r="P1962" s="59"/>
      <c r="Q1962" s="268">
        <f t="shared" si="92"/>
        <v>220000</v>
      </c>
      <c r="R1962" s="61">
        <f>IF(O1962=0,0,SUMIFS(Disbursements!$T:$T,Disbursements!$B:$B,'Live Collections'!D1962,Disbursements!$D:$D,'Live Collections'!F1962))</f>
        <v>217000</v>
      </c>
      <c r="S1962" s="304">
        <f>IF(O1962&lt;=IF($O1962=0,0,SUMIFS(Disbursements!$W:$W,Disbursements!$B:$B,'Live Collections'!D1796,Disbursements!$D:$D,'Live Collections'!F1796)),O1962,IF($O1962=0,0,SUMIFS(Disbursements!$W:$W,Disbursements!$B:$B,'Live Collections'!D1796,Disbursements!$D:$D,'Live Collections'!F1796)))</f>
        <v>0</v>
      </c>
      <c r="T1962" s="304">
        <f t="shared" si="93"/>
        <v>220000</v>
      </c>
      <c r="U1962" s="52"/>
      <c r="V1962" s="34"/>
      <c r="W1962" s="408"/>
    </row>
    <row r="1963" spans="1:23" ht="12.75" customHeight="1" x14ac:dyDescent="0.2">
      <c r="A1963" s="257">
        <v>1942</v>
      </c>
      <c r="B1963" s="44">
        <v>44524</v>
      </c>
      <c r="C1963" s="44">
        <f t="shared" si="91"/>
        <v>44524</v>
      </c>
      <c r="D1963" s="374">
        <v>156</v>
      </c>
      <c r="E1963" s="291" t="str">
        <f>IFERROR(VLOOKUP($D1963,'Clients-Live'!$A:$C,3,0),"")</f>
        <v xml:space="preserve">ONIBA AISHA </v>
      </c>
      <c r="F1963" s="291">
        <f>IFERROR(INDEX(Disbursements!$D:$D,MATCH('Live Collections'!G1963,Disbursements!$C:$C,0)),"")</f>
        <v>3</v>
      </c>
      <c r="G1963" s="34">
        <v>325</v>
      </c>
      <c r="H1963" s="34">
        <v>3510</v>
      </c>
      <c r="I1963" s="34" t="s">
        <v>1358</v>
      </c>
      <c r="J1963" s="48"/>
      <c r="K1963" s="48"/>
      <c r="L1963" s="48"/>
      <c r="M1963" s="48"/>
      <c r="N1963" s="59"/>
      <c r="O1963" s="59">
        <v>1900000</v>
      </c>
      <c r="P1963" s="59"/>
      <c r="Q1963" s="268">
        <f t="shared" si="92"/>
        <v>1900000</v>
      </c>
      <c r="R1963" s="61">
        <f>IF(O1963=0,0,SUMIFS(Disbursements!$T:$T,Disbursements!$B:$B,'Live Collections'!D1963,Disbursements!$D:$D,'Live Collections'!F1963))</f>
        <v>2100000</v>
      </c>
      <c r="S1963" s="64">
        <v>100000</v>
      </c>
      <c r="T1963" s="304">
        <f t="shared" si="93"/>
        <v>1800000</v>
      </c>
      <c r="U1963" s="52"/>
      <c r="V1963" s="34"/>
      <c r="W1963" s="408"/>
    </row>
    <row r="1964" spans="1:23" ht="12.75" customHeight="1" x14ac:dyDescent="0.2">
      <c r="A1964" s="257">
        <v>1944</v>
      </c>
      <c r="B1964" s="44">
        <v>44524</v>
      </c>
      <c r="C1964" s="44">
        <f t="shared" si="91"/>
        <v>44524</v>
      </c>
      <c r="D1964" s="374">
        <v>156</v>
      </c>
      <c r="E1964" s="291" t="str">
        <f>IFERROR(VLOOKUP($D1964,'Clients-Live'!$A:$C,3,0),"")</f>
        <v xml:space="preserve">ONIBA AISHA </v>
      </c>
      <c r="F1964" s="291">
        <f>IFERROR(INDEX(Disbursements!$D:$D,MATCH('Live Collections'!G1964,Disbursements!$C:$C,0)),"")</f>
        <v>3</v>
      </c>
      <c r="G1964" s="34">
        <v>325</v>
      </c>
      <c r="H1964" s="34">
        <v>3571</v>
      </c>
      <c r="I1964" s="34" t="s">
        <v>1358</v>
      </c>
      <c r="J1964" s="48"/>
      <c r="K1964" s="48"/>
      <c r="L1964" s="48"/>
      <c r="M1964" s="48"/>
      <c r="N1964" s="59"/>
      <c r="O1964" s="59">
        <v>200000</v>
      </c>
      <c r="P1964" s="59"/>
      <c r="Q1964" s="268">
        <f t="shared" si="92"/>
        <v>200000</v>
      </c>
      <c r="R1964" s="61">
        <f>IF(O1964=0,0,SUMIFS(Disbursements!$T:$T,Disbursements!$B:$B,'Live Collections'!D1964,Disbursements!$D:$D,'Live Collections'!F1964))</f>
        <v>2100000</v>
      </c>
      <c r="S1964" s="304"/>
      <c r="T1964" s="304">
        <f t="shared" si="93"/>
        <v>200000</v>
      </c>
      <c r="U1964" s="52"/>
      <c r="V1964" s="34"/>
      <c r="W1964" s="408" t="s">
        <v>1842</v>
      </c>
    </row>
    <row r="1965" spans="1:23" ht="12.75" customHeight="1" x14ac:dyDescent="0.2">
      <c r="A1965" s="257">
        <v>1967</v>
      </c>
      <c r="B1965" s="44">
        <v>44524</v>
      </c>
      <c r="C1965" s="44">
        <f t="shared" si="91"/>
        <v>44524</v>
      </c>
      <c r="D1965" s="374">
        <v>156</v>
      </c>
      <c r="E1965" s="291" t="str">
        <f>IFERROR(VLOOKUP($D1965,'Clients-Live'!$A:$C,3,0),"")</f>
        <v xml:space="preserve">ONIBA AISHA </v>
      </c>
      <c r="F1965" s="291" t="str">
        <f>IFERROR(INDEX(Disbursements!$D:$D,MATCH('Live Collections'!G1965,Disbursements!$C:$C,0)),"")</f>
        <v/>
      </c>
      <c r="G1965" s="34"/>
      <c r="H1965" s="34">
        <v>3572</v>
      </c>
      <c r="I1965" s="34" t="s">
        <v>1358</v>
      </c>
      <c r="J1965" s="48"/>
      <c r="K1965" s="48"/>
      <c r="L1965" s="48">
        <v>25000</v>
      </c>
      <c r="M1965" s="48">
        <v>5000</v>
      </c>
      <c r="N1965" s="59"/>
      <c r="O1965" s="59"/>
      <c r="P1965" s="59"/>
      <c r="Q1965" s="268">
        <f t="shared" si="92"/>
        <v>30000</v>
      </c>
      <c r="R1965" s="61">
        <f>IF(O1965=0,0,SUMIFS(Disbursements!$T:$T,Disbursements!$B:$B,'Live Collections'!D1965,Disbursements!$D:$D,'Live Collections'!F1965))</f>
        <v>0</v>
      </c>
      <c r="S1965" s="304">
        <f>IF(O1965&lt;=IF($O1965=0,0,SUMIFS(Disbursements!$W:$W,Disbursements!$B:$B,'Live Collections'!D1959,Disbursements!$D:$D,'Live Collections'!F1959)),O1965,IF($O1965=0,0,SUMIFS(Disbursements!$W:$W,Disbursements!$B:$B,'Live Collections'!D1959,Disbursements!$D:$D,'Live Collections'!F1959)))</f>
        <v>0</v>
      </c>
      <c r="T1965" s="304">
        <f t="shared" si="93"/>
        <v>0</v>
      </c>
      <c r="U1965" s="52"/>
      <c r="V1965" s="34"/>
      <c r="W1965" s="408"/>
    </row>
    <row r="1966" spans="1:23" ht="12.75" customHeight="1" x14ac:dyDescent="0.2">
      <c r="A1966" s="257">
        <v>1968</v>
      </c>
      <c r="B1966" s="44">
        <v>44524</v>
      </c>
      <c r="C1966" s="44">
        <f t="shared" si="91"/>
        <v>44524</v>
      </c>
      <c r="D1966" s="374">
        <v>157</v>
      </c>
      <c r="E1966" s="291" t="str">
        <f>IFERROR(VLOOKUP($D1966,'Clients-Live'!$A:$C,3,0),"")</f>
        <v>AYITE MARGERT</v>
      </c>
      <c r="F1966" s="291">
        <f>IFERROR(INDEX(Disbursements!$D:$D,MATCH('Live Collections'!G1966,Disbursements!$C:$C,0)),"")</f>
        <v>2</v>
      </c>
      <c r="G1966" s="34">
        <v>345</v>
      </c>
      <c r="H1966" s="34">
        <v>3592</v>
      </c>
      <c r="I1966" s="34" t="s">
        <v>1357</v>
      </c>
      <c r="J1966" s="48"/>
      <c r="K1966" s="48"/>
      <c r="L1966" s="48"/>
      <c r="M1966" s="48"/>
      <c r="N1966" s="59"/>
      <c r="O1966" s="59"/>
      <c r="P1966" s="59">
        <v>70000</v>
      </c>
      <c r="Q1966" s="268">
        <f t="shared" si="92"/>
        <v>70000</v>
      </c>
      <c r="R1966" s="61">
        <f>IF(O1966=0,0,SUMIFS(Disbursements!$T:$T,Disbursements!$B:$B,'Live Collections'!D1966,Disbursements!$D:$D,'Live Collections'!F1966))</f>
        <v>0</v>
      </c>
      <c r="S1966" s="304">
        <f>IF(O1966&lt;=IF($O1966=0,0,SUMIFS(Disbursements!$W:$W,Disbursements!$B:$B,'Live Collections'!D1972,Disbursements!$D:$D,'Live Collections'!F1972)),O1966,IF($O1966=0,0,SUMIFS(Disbursements!$W:$W,Disbursements!$B:$B,'Live Collections'!D1972,Disbursements!$D:$D,'Live Collections'!F1972)))</f>
        <v>0</v>
      </c>
      <c r="T1966" s="304">
        <f t="shared" si="93"/>
        <v>0</v>
      </c>
      <c r="U1966" s="52"/>
      <c r="V1966" s="34"/>
      <c r="W1966" s="408"/>
    </row>
    <row r="1967" spans="1:23" ht="12.75" customHeight="1" x14ac:dyDescent="0.2">
      <c r="A1967" s="257">
        <v>1950</v>
      </c>
      <c r="B1967" s="44">
        <v>44524</v>
      </c>
      <c r="C1967" s="44">
        <f t="shared" si="91"/>
        <v>44524</v>
      </c>
      <c r="D1967" s="374">
        <v>185</v>
      </c>
      <c r="E1967" s="291" t="str">
        <f>IFERROR(VLOOKUP($D1967,'Clients-Live'!$A:$C,3,0),"")</f>
        <v>APAYI HARRIET</v>
      </c>
      <c r="F1967" s="291">
        <f>IFERROR(INDEX(Disbursements!$D:$D,MATCH('Live Collections'!G1967,Disbursements!$C:$C,0)),"")</f>
        <v>1</v>
      </c>
      <c r="G1967" s="34">
        <v>182</v>
      </c>
      <c r="H1967" s="34">
        <v>444</v>
      </c>
      <c r="I1967" s="34" t="s">
        <v>1357</v>
      </c>
      <c r="J1967" s="48"/>
      <c r="K1967" s="48"/>
      <c r="L1967" s="48"/>
      <c r="M1967" s="48"/>
      <c r="N1967" s="59"/>
      <c r="O1967" s="59"/>
      <c r="P1967" s="59">
        <v>-100000</v>
      </c>
      <c r="Q1967" s="268">
        <f t="shared" si="92"/>
        <v>-100000</v>
      </c>
      <c r="R1967" s="61">
        <f>IF(O1967=0,0,SUMIFS(Disbursements!$T:$T,Disbursements!$B:$B,'Live Collections'!D1967,Disbursements!$D:$D,'Live Collections'!F1967))</f>
        <v>0</v>
      </c>
      <c r="S1967" s="304">
        <f>IF(O1967&lt;=IF($O1967=0,0,SUMIFS(Disbursements!$W:$W,Disbursements!$B:$B,'Live Collections'!D2248,Disbursements!$D:$D,'Live Collections'!F2248)),O1967,IF($O1967=0,0,SUMIFS(Disbursements!$W:$W,Disbursements!$B:$B,'Live Collections'!D2248,Disbursements!$D:$D,'Live Collections'!F2248)))</f>
        <v>0</v>
      </c>
      <c r="T1967" s="304">
        <f t="shared" si="93"/>
        <v>0</v>
      </c>
      <c r="U1967" s="52"/>
      <c r="V1967" s="34"/>
      <c r="W1967" s="408"/>
    </row>
    <row r="1968" spans="1:23" ht="12.75" customHeight="1" x14ac:dyDescent="0.2">
      <c r="A1968" s="257">
        <v>1951</v>
      </c>
      <c r="B1968" s="44">
        <v>44524</v>
      </c>
      <c r="C1968" s="44">
        <f t="shared" si="91"/>
        <v>44524</v>
      </c>
      <c r="D1968" s="374">
        <v>185</v>
      </c>
      <c r="E1968" s="291" t="str">
        <f>IFERROR(VLOOKUP($D1968,'Clients-Live'!$A:$C,3,0),"")</f>
        <v>APAYI HARRIET</v>
      </c>
      <c r="F1968" s="291">
        <f>IFERROR(INDEX(Disbursements!$D:$D,MATCH('Live Collections'!G1968,Disbursements!$C:$C,0)),"")</f>
        <v>1</v>
      </c>
      <c r="G1968" s="34">
        <v>182</v>
      </c>
      <c r="H1968" s="34">
        <v>3587</v>
      </c>
      <c r="I1968" s="34" t="s">
        <v>1357</v>
      </c>
      <c r="J1968" s="48"/>
      <c r="K1968" s="48"/>
      <c r="L1968" s="48"/>
      <c r="M1968" s="48"/>
      <c r="N1968" s="59"/>
      <c r="O1968" s="59">
        <v>100000</v>
      </c>
      <c r="P1968" s="59"/>
      <c r="Q1968" s="268">
        <f t="shared" si="92"/>
        <v>100000</v>
      </c>
      <c r="R1968" s="61">
        <f>IF(O1968=0,0,SUMIFS(Disbursements!$T:$T,Disbursements!$B:$B,'Live Collections'!D1968,Disbursements!$D:$D,'Live Collections'!F1968))</f>
        <v>300000</v>
      </c>
      <c r="S1968" s="304"/>
      <c r="T1968" s="304">
        <f t="shared" si="93"/>
        <v>100000</v>
      </c>
      <c r="U1968" s="52"/>
      <c r="V1968" s="34"/>
      <c r="W1968" s="408"/>
    </row>
    <row r="1969" spans="1:23" ht="12.75" customHeight="1" x14ac:dyDescent="0.2">
      <c r="A1969" s="257">
        <v>1961</v>
      </c>
      <c r="B1969" s="44">
        <v>44524</v>
      </c>
      <c r="C1969" s="44">
        <f t="shared" si="91"/>
        <v>44524</v>
      </c>
      <c r="D1969" s="374">
        <v>185</v>
      </c>
      <c r="E1969" s="291" t="str">
        <f>IFERROR(VLOOKUP($D1969,'Clients-Live'!$A:$C,3,0),"")</f>
        <v>APAYI HARRIET</v>
      </c>
      <c r="F1969" s="291">
        <f>IFERROR(INDEX(Disbursements!$D:$D,MATCH('Live Collections'!G1969,Disbursements!$C:$C,0)),"")</f>
        <v>1</v>
      </c>
      <c r="G1969" s="34">
        <v>182</v>
      </c>
      <c r="H1969" s="34">
        <v>3588</v>
      </c>
      <c r="I1969" s="34" t="s">
        <v>1357</v>
      </c>
      <c r="J1969" s="48"/>
      <c r="K1969" s="48"/>
      <c r="L1969" s="48"/>
      <c r="M1969" s="48"/>
      <c r="N1969" s="59"/>
      <c r="O1969" s="59">
        <v>500000</v>
      </c>
      <c r="P1969" s="59"/>
      <c r="Q1969" s="268">
        <f t="shared" si="92"/>
        <v>500000</v>
      </c>
      <c r="R1969" s="61">
        <f>IF(O1969=0,0,SUMIFS(Disbursements!$T:$T,Disbursements!$B:$B,'Live Collections'!D1969,Disbursements!$D:$D,'Live Collections'!F1969))</f>
        <v>300000</v>
      </c>
      <c r="S1969" s="304"/>
      <c r="T1969" s="304">
        <f t="shared" si="93"/>
        <v>500000</v>
      </c>
      <c r="U1969" s="52"/>
      <c r="V1969" s="34"/>
      <c r="W1969" s="408"/>
    </row>
    <row r="1970" spans="1:23" ht="12.75" customHeight="1" x14ac:dyDescent="0.2">
      <c r="A1970" s="257">
        <v>1962</v>
      </c>
      <c r="B1970" s="44">
        <v>44524</v>
      </c>
      <c r="C1970" s="44">
        <f t="shared" si="91"/>
        <v>44524</v>
      </c>
      <c r="D1970" s="374">
        <v>185</v>
      </c>
      <c r="E1970" s="291" t="str">
        <f>IFERROR(VLOOKUP($D1970,'Clients-Live'!$A:$C,3,0),"")</f>
        <v>APAYI HARRIET</v>
      </c>
      <c r="F1970" s="291" t="str">
        <f>IFERROR(INDEX(Disbursements!$D:$D,MATCH('Live Collections'!G1970,Disbursements!$C:$C,0)),"")</f>
        <v/>
      </c>
      <c r="G1970" s="34"/>
      <c r="H1970" s="34">
        <v>3589</v>
      </c>
      <c r="I1970" s="34" t="s">
        <v>1357</v>
      </c>
      <c r="J1970" s="48"/>
      <c r="K1970" s="48"/>
      <c r="L1970" s="48">
        <v>20000</v>
      </c>
      <c r="M1970" s="48">
        <v>5000</v>
      </c>
      <c r="N1970" s="59"/>
      <c r="O1970" s="59"/>
      <c r="P1970" s="59"/>
      <c r="Q1970" s="268">
        <f t="shared" si="92"/>
        <v>25000</v>
      </c>
      <c r="R1970" s="61">
        <f>IF(O1970=0,0,SUMIFS(Disbursements!$T:$T,Disbursements!$B:$B,'Live Collections'!D1970,Disbursements!$D:$D,'Live Collections'!F1970))</f>
        <v>0</v>
      </c>
      <c r="S1970" s="304">
        <f>IF(O1970&lt;=IF($O1970=0,0,SUMIFS(Disbursements!$W:$W,Disbursements!$B:$B,'Live Collections'!D2251,Disbursements!$D:$D,'Live Collections'!F2251)),O1970,IF($O1970=0,0,SUMIFS(Disbursements!$W:$W,Disbursements!$B:$B,'Live Collections'!D2251,Disbursements!$D:$D,'Live Collections'!F2251)))</f>
        <v>0</v>
      </c>
      <c r="T1970" s="304">
        <f t="shared" si="93"/>
        <v>0</v>
      </c>
      <c r="U1970" s="52"/>
      <c r="V1970" s="34"/>
      <c r="W1970" s="408"/>
    </row>
    <row r="1971" spans="1:23" ht="12.75" customHeight="1" x14ac:dyDescent="0.2">
      <c r="A1971" s="257">
        <v>1966</v>
      </c>
      <c r="B1971" s="44">
        <v>44524</v>
      </c>
      <c r="C1971" s="44">
        <f t="shared" si="91"/>
        <v>44524</v>
      </c>
      <c r="D1971" s="374">
        <v>215</v>
      </c>
      <c r="E1971" s="291" t="str">
        <f>IFERROR(VLOOKUP($D1971,'Clients-Live'!$A:$C,3,0),"")</f>
        <v>BRANI MUSA</v>
      </c>
      <c r="F1971" s="291">
        <f>IFERROR(INDEX(Disbursements!$D:$D,MATCH('Live Collections'!G1971,Disbursements!$C:$C,0)),"")</f>
        <v>2</v>
      </c>
      <c r="G1971" s="34">
        <v>343</v>
      </c>
      <c r="H1971" s="34">
        <v>3512</v>
      </c>
      <c r="I1971" s="34" t="s">
        <v>1357</v>
      </c>
      <c r="J1971" s="48"/>
      <c r="K1971" s="48"/>
      <c r="L1971" s="48"/>
      <c r="M1971" s="48"/>
      <c r="N1971" s="59"/>
      <c r="O1971" s="59"/>
      <c r="P1971" s="59">
        <v>170000</v>
      </c>
      <c r="Q1971" s="268">
        <f t="shared" si="92"/>
        <v>170000</v>
      </c>
      <c r="R1971" s="61">
        <f>IF(O1971=0,0,SUMIFS(Disbursements!$T:$T,Disbursements!$B:$B,'Live Collections'!D1971,Disbursements!$D:$D,'Live Collections'!F1971))</f>
        <v>0</v>
      </c>
      <c r="S1971" s="304">
        <f>IF(O1971&lt;=IF($O1971=0,0,SUMIFS(Disbursements!$W:$W,Disbursements!$B:$B,'Live Collections'!D2536,Disbursements!$D:$D,'Live Collections'!F2536)),O1971,IF($O1971=0,0,SUMIFS(Disbursements!$W:$W,Disbursements!$B:$B,'Live Collections'!D2536,Disbursements!$D:$D,'Live Collections'!F2536)))</f>
        <v>0</v>
      </c>
      <c r="T1971" s="304">
        <f t="shared" si="93"/>
        <v>0</v>
      </c>
      <c r="U1971" s="52"/>
      <c r="V1971" s="34"/>
      <c r="W1971" s="408"/>
    </row>
    <row r="1972" spans="1:23" ht="12.75" customHeight="1" x14ac:dyDescent="0.2">
      <c r="A1972" s="257">
        <v>1952</v>
      </c>
      <c r="B1972" s="44">
        <v>44524</v>
      </c>
      <c r="C1972" s="44">
        <f t="shared" si="91"/>
        <v>44524</v>
      </c>
      <c r="D1972" s="374">
        <v>228</v>
      </c>
      <c r="E1972" s="291" t="str">
        <f>IFERROR(VLOOKUP($D1972,'Clients-Live'!$A:$C,3,0),"")</f>
        <v>DADA ISAAC</v>
      </c>
      <c r="F1972" s="291">
        <f>IFERROR(INDEX(Disbursements!$D:$D,MATCH('Live Collections'!G1972,Disbursements!$C:$C,0)),"")</f>
        <v>2</v>
      </c>
      <c r="G1972" s="34">
        <v>320</v>
      </c>
      <c r="H1972" s="34">
        <v>335</v>
      </c>
      <c r="I1972" s="34" t="s">
        <v>1358</v>
      </c>
      <c r="J1972" s="48"/>
      <c r="K1972" s="48"/>
      <c r="L1972" s="48"/>
      <c r="M1972" s="48"/>
      <c r="N1972" s="59"/>
      <c r="O1972" s="59"/>
      <c r="P1972" s="59">
        <v>-40000</v>
      </c>
      <c r="Q1972" s="268">
        <f t="shared" si="92"/>
        <v>-40000</v>
      </c>
      <c r="R1972" s="61">
        <f>IF(O1972=0,0,SUMIFS(Disbursements!$T:$T,Disbursements!$B:$B,'Live Collections'!D1972,Disbursements!$D:$D,'Live Collections'!F1972))</f>
        <v>0</v>
      </c>
      <c r="S1972" s="304">
        <f>IF(O1972&lt;=IF($O1972=0,0,SUMIFS(Disbursements!$W:$W,Disbursements!$B:$B,'Live Collections'!D2647,Disbursements!$D:$D,'Live Collections'!F2647)),O1972,IF($O1972=0,0,SUMIFS(Disbursements!$W:$W,Disbursements!$B:$B,'Live Collections'!D2647,Disbursements!$D:$D,'Live Collections'!F2647)))</f>
        <v>0</v>
      </c>
      <c r="T1972" s="304">
        <f t="shared" si="93"/>
        <v>0</v>
      </c>
      <c r="U1972" s="52"/>
      <c r="V1972" s="34"/>
      <c r="W1972" s="408"/>
    </row>
    <row r="1973" spans="1:23" ht="12.75" customHeight="1" x14ac:dyDescent="0.2">
      <c r="A1973" s="257">
        <v>1953</v>
      </c>
      <c r="B1973" s="44">
        <v>44524</v>
      </c>
      <c r="C1973" s="44">
        <f t="shared" si="91"/>
        <v>44524</v>
      </c>
      <c r="D1973" s="374">
        <v>228</v>
      </c>
      <c r="E1973" s="291" t="str">
        <f>IFERROR(VLOOKUP($D1973,'Clients-Live'!$A:$C,3,0),"")</f>
        <v>DADA ISAAC</v>
      </c>
      <c r="F1973" s="291">
        <f>IFERROR(INDEX(Disbursements!$D:$D,MATCH('Live Collections'!G1973,Disbursements!$C:$C,0)),"")</f>
        <v>2</v>
      </c>
      <c r="G1973" s="34">
        <v>320</v>
      </c>
      <c r="H1973" s="34">
        <v>3585</v>
      </c>
      <c r="I1973" s="34" t="s">
        <v>1358</v>
      </c>
      <c r="J1973" s="48"/>
      <c r="K1973" s="48"/>
      <c r="L1973" s="48"/>
      <c r="M1973" s="48"/>
      <c r="N1973" s="59"/>
      <c r="O1973" s="59">
        <v>40000</v>
      </c>
      <c r="P1973" s="59"/>
      <c r="Q1973" s="268">
        <f t="shared" si="92"/>
        <v>40000</v>
      </c>
      <c r="R1973" s="61">
        <f>IF(O1973=0,0,SUMIFS(Disbursements!$T:$T,Disbursements!$B:$B,'Live Collections'!D1973,Disbursements!$D:$D,'Live Collections'!F1973))</f>
        <v>420000</v>
      </c>
      <c r="S1973" s="304">
        <f>IF(O1973&lt;=IF($O1973=0,0,SUMIFS(Disbursements!$W:$W,Disbursements!$B:$B,'Live Collections'!D2648,Disbursements!$D:$D,'Live Collections'!F2648)),O1973,IF($O1973=0,0,SUMIFS(Disbursements!$W:$W,Disbursements!$B:$B,'Live Collections'!D2648,Disbursements!$D:$D,'Live Collections'!F2648)))</f>
        <v>6125</v>
      </c>
      <c r="T1973" s="304">
        <f t="shared" si="93"/>
        <v>33875</v>
      </c>
      <c r="U1973" s="52"/>
      <c r="V1973" s="34"/>
      <c r="W1973" s="408" t="s">
        <v>1843</v>
      </c>
    </row>
    <row r="1974" spans="1:23" ht="12.75" customHeight="1" x14ac:dyDescent="0.2">
      <c r="A1974" s="257">
        <v>1958</v>
      </c>
      <c r="B1974" s="44">
        <v>44524</v>
      </c>
      <c r="C1974" s="44">
        <f t="shared" si="91"/>
        <v>44524</v>
      </c>
      <c r="D1974" s="374">
        <v>228</v>
      </c>
      <c r="E1974" s="291" t="str">
        <f>IFERROR(VLOOKUP($D1974,'Clients-Live'!$A:$C,3,0),"")</f>
        <v>DADA ISAAC</v>
      </c>
      <c r="F1974" s="291">
        <f>IFERROR(INDEX(Disbursements!$D:$D,MATCH('Live Collections'!G1974,Disbursements!$C:$C,0)),"")</f>
        <v>2</v>
      </c>
      <c r="G1974" s="34">
        <v>320</v>
      </c>
      <c r="H1974" s="34">
        <v>3583</v>
      </c>
      <c r="I1974" s="34" t="s">
        <v>1358</v>
      </c>
      <c r="J1974" s="48"/>
      <c r="K1974" s="48"/>
      <c r="L1974" s="48"/>
      <c r="M1974" s="48"/>
      <c r="N1974" s="59"/>
      <c r="O1974" s="59">
        <v>380000</v>
      </c>
      <c r="P1974" s="59"/>
      <c r="Q1974" s="268">
        <f t="shared" si="92"/>
        <v>380000</v>
      </c>
      <c r="R1974" s="61">
        <f>IF(O1974=0,0,SUMIFS(Disbursements!$T:$T,Disbursements!$B:$B,'Live Collections'!D1974,Disbursements!$D:$D,'Live Collections'!F1974))</f>
        <v>420000</v>
      </c>
      <c r="S1974" s="64">
        <v>13875</v>
      </c>
      <c r="T1974" s="304">
        <f t="shared" si="93"/>
        <v>366125</v>
      </c>
      <c r="U1974" s="52"/>
      <c r="V1974" s="34"/>
      <c r="W1974" s="408" t="s">
        <v>2086</v>
      </c>
    </row>
    <row r="1975" spans="1:23" ht="12.75" customHeight="1" x14ac:dyDescent="0.2">
      <c r="A1975" s="257">
        <v>1959</v>
      </c>
      <c r="B1975" s="44">
        <v>44524</v>
      </c>
      <c r="C1975" s="44">
        <f t="shared" si="91"/>
        <v>44524</v>
      </c>
      <c r="D1975" s="374">
        <v>228</v>
      </c>
      <c r="E1975" s="291" t="str">
        <f>IFERROR(VLOOKUP($D1975,'Clients-Live'!$A:$C,3,0),"")</f>
        <v>DADA ISAAC</v>
      </c>
      <c r="F1975" s="291">
        <f>IFERROR(INDEX(Disbursements!$D:$D,MATCH('Live Collections'!G1975,Disbursements!$C:$C,0)),"")</f>
        <v>3</v>
      </c>
      <c r="G1975" s="34">
        <v>344</v>
      </c>
      <c r="H1975" s="34">
        <v>3651</v>
      </c>
      <c r="I1975" s="34" t="s">
        <v>1358</v>
      </c>
      <c r="J1975" s="48"/>
      <c r="K1975" s="48"/>
      <c r="L1975" s="48"/>
      <c r="M1975" s="48"/>
      <c r="N1975" s="59"/>
      <c r="O1975" s="59"/>
      <c r="P1975" s="59">
        <v>100000</v>
      </c>
      <c r="Q1975" s="268">
        <f t="shared" si="92"/>
        <v>100000</v>
      </c>
      <c r="R1975" s="61">
        <f>IF(O1975=0,0,SUMIFS(Disbursements!$T:$T,Disbursements!$B:$B,'Live Collections'!D1975,Disbursements!$D:$D,'Live Collections'!F1975))</f>
        <v>0</v>
      </c>
      <c r="S1975" s="304">
        <f>IF(O1975&lt;=IF($O1975=0,0,SUMIFS(Disbursements!$W:$W,Disbursements!$B:$B,'Live Collections'!D2650,Disbursements!$D:$D,'Live Collections'!F2650)),O1975,IF($O1975=0,0,SUMIFS(Disbursements!$W:$W,Disbursements!$B:$B,'Live Collections'!D2650,Disbursements!$D:$D,'Live Collections'!F2650)))</f>
        <v>0</v>
      </c>
      <c r="T1975" s="304">
        <f t="shared" si="93"/>
        <v>0</v>
      </c>
      <c r="U1975" s="52"/>
      <c r="V1975" s="34"/>
      <c r="W1975" s="408"/>
    </row>
    <row r="1976" spans="1:23" ht="12.75" customHeight="1" x14ac:dyDescent="0.2">
      <c r="A1976" s="257">
        <v>1960</v>
      </c>
      <c r="B1976" s="44">
        <v>44524</v>
      </c>
      <c r="C1976" s="44">
        <f t="shared" si="91"/>
        <v>44524</v>
      </c>
      <c r="D1976" s="374">
        <v>228</v>
      </c>
      <c r="E1976" s="291" t="str">
        <f>IFERROR(VLOOKUP($D1976,'Clients-Live'!$A:$C,3,0),"")</f>
        <v>DADA ISAAC</v>
      </c>
      <c r="F1976" s="291" t="str">
        <f>IFERROR(INDEX(Disbursements!$D:$D,MATCH('Live Collections'!G1976,Disbursements!$C:$C,0)),"")</f>
        <v/>
      </c>
      <c r="G1976" s="34"/>
      <c r="H1976" s="34">
        <v>3586</v>
      </c>
      <c r="I1976" s="34" t="s">
        <v>1358</v>
      </c>
      <c r="J1976" s="48"/>
      <c r="K1976" s="48"/>
      <c r="L1976" s="48">
        <v>15000</v>
      </c>
      <c r="M1976" s="48">
        <v>5000</v>
      </c>
      <c r="N1976" s="59"/>
      <c r="O1976" s="59"/>
      <c r="P1976" s="59"/>
      <c r="Q1976" s="268">
        <f t="shared" si="92"/>
        <v>20000</v>
      </c>
      <c r="R1976" s="61">
        <f>IF(O1976=0,0,SUMIFS(Disbursements!$T:$T,Disbursements!$B:$B,'Live Collections'!D1976,Disbursements!$D:$D,'Live Collections'!F1976))</f>
        <v>0</v>
      </c>
      <c r="S1976" s="304">
        <f>IF(O1976&lt;=IF($O1976=0,0,SUMIFS(Disbursements!$W:$W,Disbursements!$B:$B,'Live Collections'!D2651,Disbursements!$D:$D,'Live Collections'!F2651)),O1976,IF($O1976=0,0,SUMIFS(Disbursements!$W:$W,Disbursements!$B:$B,'Live Collections'!D2651,Disbursements!$D:$D,'Live Collections'!F2651)))</f>
        <v>0</v>
      </c>
      <c r="T1976" s="304">
        <f t="shared" si="93"/>
        <v>0</v>
      </c>
      <c r="U1976" s="52"/>
      <c r="V1976" s="34"/>
      <c r="W1976" s="408"/>
    </row>
    <row r="1977" spans="1:23" ht="12.75" customHeight="1" x14ac:dyDescent="0.2">
      <c r="A1977" s="257">
        <v>1956</v>
      </c>
      <c r="B1977" s="44">
        <v>44524</v>
      </c>
      <c r="C1977" s="44">
        <f t="shared" si="91"/>
        <v>44524</v>
      </c>
      <c r="D1977" s="374">
        <v>239</v>
      </c>
      <c r="E1977" s="291" t="str">
        <f>IFERROR(VLOOKUP($D1977,'Clients-Live'!$A:$C,3,0),"")</f>
        <v>HABIBU ABOYI ALLI</v>
      </c>
      <c r="F1977" s="291">
        <f>IFERROR(INDEX(Disbursements!$D:$D,MATCH('Live Collections'!G1977,Disbursements!$C:$C,0)),"")</f>
        <v>1</v>
      </c>
      <c r="G1977" s="34">
        <v>291</v>
      </c>
      <c r="H1977" s="34">
        <v>3582</v>
      </c>
      <c r="I1977" s="34" t="s">
        <v>1357</v>
      </c>
      <c r="J1977" s="48"/>
      <c r="K1977" s="48"/>
      <c r="L1977" s="48"/>
      <c r="M1977" s="48"/>
      <c r="N1977" s="59"/>
      <c r="O1977" s="59">
        <v>180000</v>
      </c>
      <c r="P1977" s="59"/>
      <c r="Q1977" s="268">
        <f t="shared" si="92"/>
        <v>180000</v>
      </c>
      <c r="R1977" s="61">
        <f>IF(O1977=0,0,SUMIFS(Disbursements!$T:$T,Disbursements!$B:$B,'Live Collections'!D1977,Disbursements!$D:$D,'Live Collections'!F1977))</f>
        <v>180000</v>
      </c>
      <c r="S1977" s="304">
        <f>IF(O1977&lt;=IF($O1977=0,0,SUMIFS(Disbursements!$W:$W,Disbursements!$B:$B,'Live Collections'!D2740,Disbursements!$D:$D,'Live Collections'!F2740)),O1977,IF($O1977=0,0,SUMIFS(Disbursements!$W:$W,Disbursements!$B:$B,'Live Collections'!D2740,Disbursements!$D:$D,'Live Collections'!F2740)))</f>
        <v>15000</v>
      </c>
      <c r="T1977" s="304">
        <f t="shared" si="93"/>
        <v>165000</v>
      </c>
      <c r="U1977" s="52"/>
      <c r="V1977" s="34"/>
      <c r="W1977" s="408"/>
    </row>
    <row r="1978" spans="1:23" ht="12.75" customHeight="1" x14ac:dyDescent="0.2">
      <c r="A1978" s="257">
        <v>1954</v>
      </c>
      <c r="B1978" s="44">
        <v>44524</v>
      </c>
      <c r="C1978" s="44">
        <f t="shared" si="91"/>
        <v>44524</v>
      </c>
      <c r="D1978" s="374">
        <v>248</v>
      </c>
      <c r="E1978" s="291" t="str">
        <f>IFERROR(VLOOKUP($D1978,'Clients-Live'!$A:$C,3,0),"")</f>
        <v>LETARU GLORIA</v>
      </c>
      <c r="F1978" s="291">
        <f>IFERROR(INDEX(Disbursements!$D:$D,MATCH('Live Collections'!G1978,Disbursements!$C:$C,0)),"")</f>
        <v>1</v>
      </c>
      <c r="G1978" s="34">
        <v>268</v>
      </c>
      <c r="H1978" s="34">
        <v>3652</v>
      </c>
      <c r="I1978" s="34" t="s">
        <v>1359</v>
      </c>
      <c r="J1978" s="48"/>
      <c r="K1978" s="48"/>
      <c r="L1978" s="48"/>
      <c r="M1978" s="48"/>
      <c r="N1978" s="59"/>
      <c r="O1978" s="59">
        <v>225000</v>
      </c>
      <c r="P1978" s="59"/>
      <c r="Q1978" s="268">
        <f t="shared" si="92"/>
        <v>225000</v>
      </c>
      <c r="R1978" s="61">
        <f>IF(O1978=0,0,SUMIFS(Disbursements!$T:$T,Disbursements!$B:$B,'Live Collections'!D1978,Disbursements!$D:$D,'Live Collections'!F1978))</f>
        <v>1225000</v>
      </c>
      <c r="S1978" s="304">
        <f>IF(O1978&lt;=IF($O1978=0,0,SUMIFS(Disbursements!$W:$W,Disbursements!$B:$B,'Live Collections'!D2801,Disbursements!$D:$D,'Live Collections'!F2801)),O1978,IF($O1978=0,0,SUMIFS(Disbursements!$W:$W,Disbursements!$B:$B,'Live Collections'!D2801,Disbursements!$D:$D,'Live Collections'!F2801)))</f>
        <v>0</v>
      </c>
      <c r="T1978" s="304">
        <f t="shared" si="93"/>
        <v>225000</v>
      </c>
      <c r="U1978" s="52"/>
      <c r="V1978" s="34"/>
      <c r="W1978" s="408"/>
    </row>
    <row r="1979" spans="1:23" ht="12.75" customHeight="1" x14ac:dyDescent="0.2">
      <c r="A1979" s="257">
        <v>1973</v>
      </c>
      <c r="B1979" s="44">
        <v>44524</v>
      </c>
      <c r="C1979" s="44">
        <f t="shared" si="91"/>
        <v>44524</v>
      </c>
      <c r="D1979" s="374">
        <v>267</v>
      </c>
      <c r="E1979" s="291" t="str">
        <f>IFERROR(VLOOKUP($D1979,'Clients-Live'!$A:$C,3,0),"")</f>
        <v>KAMUSIRI JULIUS</v>
      </c>
      <c r="F1979" s="291">
        <f>IFERROR(INDEX(Disbursements!$D:$D,MATCH('Live Collections'!G1979,Disbursements!$C:$C,0)),"")</f>
        <v>1</v>
      </c>
      <c r="G1979" s="34">
        <v>346</v>
      </c>
      <c r="H1979" s="34">
        <v>3596</v>
      </c>
      <c r="I1979" s="34" t="s">
        <v>1357</v>
      </c>
      <c r="J1979" s="48"/>
      <c r="K1979" s="48"/>
      <c r="L1979" s="48"/>
      <c r="M1979" s="48"/>
      <c r="N1979" s="59"/>
      <c r="O1979" s="59"/>
      <c r="P1979" s="59">
        <v>15000</v>
      </c>
      <c r="Q1979" s="268">
        <f t="shared" si="92"/>
        <v>15000</v>
      </c>
      <c r="R1979" s="61">
        <f>IF(O1979=0,0,SUMIFS(Disbursements!$T:$T,Disbursements!$B:$B,'Live Collections'!D1979,Disbursements!$D:$D,'Live Collections'!F1979))</f>
        <v>0</v>
      </c>
      <c r="S1979" s="304">
        <f>IF(O1979&lt;=IF($O1979=0,0,SUMIFS(Disbursements!$W:$W,Disbursements!$B:$B,'Live Collections'!D2937,Disbursements!$D:$D,'Live Collections'!F2937)),O1979,IF($O1979=0,0,SUMIFS(Disbursements!$W:$W,Disbursements!$B:$B,'Live Collections'!D2937,Disbursements!$D:$D,'Live Collections'!F2937)))</f>
        <v>0</v>
      </c>
      <c r="T1979" s="304">
        <f t="shared" si="93"/>
        <v>0</v>
      </c>
      <c r="U1979" s="52"/>
      <c r="V1979" s="34"/>
      <c r="W1979" s="408"/>
    </row>
    <row r="1980" spans="1:23" ht="12.75" customHeight="1" x14ac:dyDescent="0.2">
      <c r="A1980" s="257">
        <v>1965</v>
      </c>
      <c r="B1980" s="44">
        <v>44524</v>
      </c>
      <c r="C1980" s="44">
        <f t="shared" si="91"/>
        <v>44524</v>
      </c>
      <c r="D1980" s="374">
        <v>288</v>
      </c>
      <c r="E1980" s="291" t="str">
        <f>IFERROR(VLOOKUP($D1980,'Clients-Live'!$A:$C,3,0),"")</f>
        <v>MITU LAWRENCE</v>
      </c>
      <c r="F1980" s="291" t="str">
        <f>IFERROR(INDEX(Disbursements!$D:$D,MATCH('Live Collections'!G1980,Disbursements!$C:$C,0)),"")</f>
        <v/>
      </c>
      <c r="G1980" s="34"/>
      <c r="H1980" s="34">
        <v>3581</v>
      </c>
      <c r="I1980" s="34" t="s">
        <v>1359</v>
      </c>
      <c r="J1980" s="48"/>
      <c r="K1980" s="48"/>
      <c r="L1980" s="48">
        <v>20000</v>
      </c>
      <c r="M1980" s="48">
        <v>5000</v>
      </c>
      <c r="N1980" s="59"/>
      <c r="O1980" s="59"/>
      <c r="P1980" s="59"/>
      <c r="Q1980" s="268">
        <f t="shared" si="92"/>
        <v>25000</v>
      </c>
      <c r="R1980" s="61">
        <f>IF(O1980=0,0,SUMIFS(Disbursements!$T:$T,Disbursements!$B:$B,'Live Collections'!D1980,Disbursements!$D:$D,'Live Collections'!F1980))</f>
        <v>0</v>
      </c>
      <c r="S1980" s="304">
        <f>IF(O1980&lt;=IF($O1980=0,0,SUMIFS(Disbursements!$W:$W,Disbursements!$B:$B,'Live Collections'!D3037,Disbursements!$D:$D,'Live Collections'!F3037)),O1980,IF($O1980=0,0,SUMIFS(Disbursements!$W:$W,Disbursements!$B:$B,'Live Collections'!D3037,Disbursements!$D:$D,'Live Collections'!F3037)))</f>
        <v>0</v>
      </c>
      <c r="T1980" s="304">
        <f t="shared" si="93"/>
        <v>0</v>
      </c>
      <c r="U1980" s="52"/>
      <c r="V1980" s="34"/>
      <c r="W1980" s="408"/>
    </row>
    <row r="1981" spans="1:23" ht="12.75" customHeight="1" x14ac:dyDescent="0.2">
      <c r="A1981" s="257">
        <v>1972</v>
      </c>
      <c r="B1981" s="44">
        <v>44524</v>
      </c>
      <c r="C1981" s="44">
        <f t="shared" si="91"/>
        <v>44524</v>
      </c>
      <c r="D1981" s="374">
        <v>288</v>
      </c>
      <c r="E1981" s="291" t="str">
        <f>IFERROR(VLOOKUP($D1981,'Clients-Live'!$A:$C,3,0),"")</f>
        <v>MITU LAWRENCE</v>
      </c>
      <c r="F1981" s="291">
        <f>IFERROR(INDEX(Disbursements!$D:$D,MATCH('Live Collections'!G1981,Disbursements!$C:$C,0)),"")</f>
        <v>1</v>
      </c>
      <c r="G1981" s="34">
        <v>347</v>
      </c>
      <c r="H1981" s="34">
        <v>3593</v>
      </c>
      <c r="I1981" s="34" t="s">
        <v>1359</v>
      </c>
      <c r="J1981" s="48"/>
      <c r="K1981" s="48"/>
      <c r="L1981" s="48"/>
      <c r="M1981" s="48"/>
      <c r="N1981" s="59"/>
      <c r="O1981" s="59"/>
      <c r="P1981" s="59">
        <v>140000</v>
      </c>
      <c r="Q1981" s="268">
        <f t="shared" si="92"/>
        <v>140000</v>
      </c>
      <c r="R1981" s="61">
        <f>IF(O1981=0,0,SUMIFS(Disbursements!$T:$T,Disbursements!$B:$B,'Live Collections'!D1981,Disbursements!$D:$D,'Live Collections'!F1981))</f>
        <v>0</v>
      </c>
      <c r="S1981" s="304">
        <f>IF(O1981&lt;=IF($O1981=0,0,SUMIFS(Disbursements!$W:$W,Disbursements!$B:$B,'Live Collections'!D3038,Disbursements!$D:$D,'Live Collections'!F3038)),O1981,IF($O1981=0,0,SUMIFS(Disbursements!$W:$W,Disbursements!$B:$B,'Live Collections'!D3038,Disbursements!$D:$D,'Live Collections'!F3038)))</f>
        <v>0</v>
      </c>
      <c r="T1981" s="304">
        <f t="shared" si="93"/>
        <v>0</v>
      </c>
      <c r="U1981" s="52"/>
      <c r="V1981" s="34"/>
      <c r="W1981" s="408"/>
    </row>
    <row r="1982" spans="1:23" ht="12.75" customHeight="1" x14ac:dyDescent="0.2">
      <c r="A1982" s="257">
        <v>1964</v>
      </c>
      <c r="B1982" s="44">
        <v>44524</v>
      </c>
      <c r="C1982" s="44">
        <f t="shared" si="91"/>
        <v>44524</v>
      </c>
      <c r="D1982" s="374">
        <v>289</v>
      </c>
      <c r="E1982" s="291" t="str">
        <f>IFERROR(VLOOKUP($D1982,'Clients-Live'!$A:$C,3,0),"")</f>
        <v>NAUME NIGHT</v>
      </c>
      <c r="F1982" s="291" t="str">
        <f>IFERROR(INDEX(Disbursements!$D:$D,MATCH('Live Collections'!G1982,Disbursements!$C:$C,0)),"")</f>
        <v/>
      </c>
      <c r="G1982" s="34"/>
      <c r="H1982" s="34">
        <v>3584</v>
      </c>
      <c r="I1982" s="34" t="s">
        <v>1357</v>
      </c>
      <c r="J1982" s="48"/>
      <c r="K1982" s="48"/>
      <c r="L1982" s="48">
        <v>10000</v>
      </c>
      <c r="M1982" s="48">
        <v>5000</v>
      </c>
      <c r="N1982" s="59"/>
      <c r="O1982" s="59"/>
      <c r="P1982" s="59"/>
      <c r="Q1982" s="268">
        <f t="shared" si="92"/>
        <v>15000</v>
      </c>
      <c r="R1982" s="61">
        <f>IF(O1982=0,0,SUMIFS(Disbursements!$T:$T,Disbursements!$B:$B,'Live Collections'!D1982,Disbursements!$D:$D,'Live Collections'!F1982))</f>
        <v>0</v>
      </c>
      <c r="S1982" s="304">
        <f>IF(O1982&lt;=IF($O1982=0,0,SUMIFS(Disbursements!$W:$W,Disbursements!$B:$B,'Live Collections'!D3042,Disbursements!$D:$D,'Live Collections'!F3042)),O1982,IF($O1982=0,0,SUMIFS(Disbursements!$W:$W,Disbursements!$B:$B,'Live Collections'!D3042,Disbursements!$D:$D,'Live Collections'!F3042)))</f>
        <v>0</v>
      </c>
      <c r="T1982" s="304">
        <f t="shared" si="93"/>
        <v>0</v>
      </c>
      <c r="U1982" s="52"/>
      <c r="V1982" s="34"/>
      <c r="W1982" s="408"/>
    </row>
    <row r="1983" spans="1:23" ht="12.75" customHeight="1" x14ac:dyDescent="0.2">
      <c r="A1983" s="257">
        <v>1969</v>
      </c>
      <c r="B1983" s="44">
        <v>44524</v>
      </c>
      <c r="C1983" s="44">
        <f t="shared" si="91"/>
        <v>44524</v>
      </c>
      <c r="D1983" s="374">
        <v>291</v>
      </c>
      <c r="E1983" s="291" t="str">
        <f>IFERROR(VLOOKUP($D1983,'Clients-Live'!$A:$C,3,0),"")</f>
        <v>LEMAKU SWAIB</v>
      </c>
      <c r="F1983" s="291" t="str">
        <f>IFERROR(INDEX(Disbursements!$D:$D,MATCH('Live Collections'!G1983,Disbursements!$C:$C,0)),"")</f>
        <v/>
      </c>
      <c r="G1983" s="34"/>
      <c r="H1983" s="34">
        <v>3513</v>
      </c>
      <c r="I1983" s="34" t="s">
        <v>1357</v>
      </c>
      <c r="J1983" s="48">
        <v>15000</v>
      </c>
      <c r="K1983" s="48">
        <v>5000</v>
      </c>
      <c r="L1983" s="48"/>
      <c r="M1983" s="48"/>
      <c r="N1983" s="59"/>
      <c r="O1983" s="59"/>
      <c r="P1983" s="59"/>
      <c r="Q1983" s="268">
        <f t="shared" si="92"/>
        <v>20000</v>
      </c>
      <c r="R1983" s="61">
        <f>IF(O1983=0,0,SUMIFS(Disbursements!$T:$T,Disbursements!$B:$B,'Live Collections'!D1983,Disbursements!$D:$D,'Live Collections'!F1983))</f>
        <v>0</v>
      </c>
      <c r="S1983" s="304">
        <f>IF(O1983&lt;=IF($O1983=0,0,SUMIFS(Disbursements!$W:$W,Disbursements!$B:$B,'Live Collections'!D3048,Disbursements!$D:$D,'Live Collections'!F3048)),O1983,IF($O1983=0,0,SUMIFS(Disbursements!$W:$W,Disbursements!$B:$B,'Live Collections'!D3048,Disbursements!$D:$D,'Live Collections'!F3048)))</f>
        <v>0</v>
      </c>
      <c r="T1983" s="304">
        <f t="shared" si="93"/>
        <v>0</v>
      </c>
      <c r="U1983" s="52"/>
      <c r="V1983" s="34"/>
      <c r="W1983" s="408"/>
    </row>
    <row r="1984" spans="1:23" ht="12.75" customHeight="1" x14ac:dyDescent="0.2">
      <c r="A1984" s="257">
        <v>1970</v>
      </c>
      <c r="B1984" s="44">
        <v>44524</v>
      </c>
      <c r="C1984" s="44">
        <f t="shared" si="91"/>
        <v>44524</v>
      </c>
      <c r="D1984" s="374">
        <v>291</v>
      </c>
      <c r="E1984" s="291" t="str">
        <f>IFERROR(VLOOKUP($D1984,'Clients-Live'!$A:$C,3,0),"")</f>
        <v>LEMAKU SWAIB</v>
      </c>
      <c r="F1984" s="291" t="str">
        <f>IFERROR(INDEX(Disbursements!$D:$D,MATCH('Live Collections'!G1984,Disbursements!$C:$C,0)),"")</f>
        <v/>
      </c>
      <c r="G1984" s="34"/>
      <c r="H1984" s="34">
        <v>3514</v>
      </c>
      <c r="I1984" s="34" t="s">
        <v>1357</v>
      </c>
      <c r="J1984" s="48"/>
      <c r="K1984" s="48"/>
      <c r="L1984" s="48">
        <v>15000</v>
      </c>
      <c r="M1984" s="48">
        <v>5000</v>
      </c>
      <c r="N1984" s="59"/>
      <c r="O1984" s="59"/>
      <c r="P1984" s="59"/>
      <c r="Q1984" s="268">
        <f t="shared" si="92"/>
        <v>20000</v>
      </c>
      <c r="R1984" s="61">
        <f>IF(O1984=0,0,SUMIFS(Disbursements!$T:$T,Disbursements!$B:$B,'Live Collections'!D1984,Disbursements!$D:$D,'Live Collections'!F1984))</f>
        <v>0</v>
      </c>
      <c r="S1984" s="304">
        <f>IF(O1984&lt;=IF($O1984=0,0,SUMIFS(Disbursements!$W:$W,Disbursements!$B:$B,'Live Collections'!D3049,Disbursements!$D:$D,'Live Collections'!F3049)),O1984,IF($O1984=0,0,SUMIFS(Disbursements!$W:$W,Disbursements!$B:$B,'Live Collections'!D3049,Disbursements!$D:$D,'Live Collections'!F3049)))</f>
        <v>0</v>
      </c>
      <c r="T1984" s="304">
        <f t="shared" si="93"/>
        <v>0</v>
      </c>
      <c r="U1984" s="52"/>
      <c r="V1984" s="34"/>
      <c r="W1984" s="408"/>
    </row>
    <row r="1985" spans="1:23" ht="12.75" customHeight="1" x14ac:dyDescent="0.2">
      <c r="A1985" s="257">
        <v>1977</v>
      </c>
      <c r="B1985" s="44">
        <v>44525</v>
      </c>
      <c r="C1985" s="44">
        <f t="shared" si="91"/>
        <v>44525</v>
      </c>
      <c r="D1985" s="374">
        <v>3</v>
      </c>
      <c r="E1985" s="291" t="str">
        <f>IFERROR(VLOOKUP($D1985,'Clients-Live'!$A:$C,3,0),"")</f>
        <v>YEKA ARIJABU</v>
      </c>
      <c r="F1985" s="291">
        <f>IFERROR(INDEX(Disbursements!$D:$D,MATCH('Live Collections'!G1985,Disbursements!$C:$C,0)),"")</f>
        <v>1</v>
      </c>
      <c r="G1985" s="34">
        <v>227</v>
      </c>
      <c r="H1985" s="34">
        <v>3655</v>
      </c>
      <c r="I1985" s="34" t="s">
        <v>1357</v>
      </c>
      <c r="J1985" s="48"/>
      <c r="K1985" s="48"/>
      <c r="L1985" s="48"/>
      <c r="M1985" s="48"/>
      <c r="N1985" s="59"/>
      <c r="O1985" s="59">
        <v>75000</v>
      </c>
      <c r="P1985" s="59"/>
      <c r="Q1985" s="268">
        <f t="shared" si="92"/>
        <v>75000</v>
      </c>
      <c r="R1985" s="61">
        <f>IF(O1985=0,0,SUMIFS(Disbursements!$T:$T,Disbursements!$B:$B,'Live Collections'!D1985,Disbursements!$D:$D,'Live Collections'!F1985))</f>
        <v>325000</v>
      </c>
      <c r="S1985" s="304">
        <f>IF(O1985&lt;=IF($O1985=0,0,SUMIFS(Disbursements!$W:$W,Disbursements!$B:$B,'Live Collections'!D612,Disbursements!$D:$D,'Live Collections'!F612)),O1985,IF($O1985=0,0,SUMIFS(Disbursements!$W:$W,Disbursements!$B:$B,'Live Collections'!D612,Disbursements!$D:$D,'Live Collections'!F612)))</f>
        <v>75000</v>
      </c>
      <c r="T1985" s="304">
        <f t="shared" si="93"/>
        <v>0</v>
      </c>
      <c r="U1985" s="52"/>
      <c r="V1985" s="34"/>
      <c r="W1985" s="408"/>
    </row>
    <row r="1986" spans="1:23" ht="12.75" customHeight="1" x14ac:dyDescent="0.2">
      <c r="A1986" s="257">
        <v>1981</v>
      </c>
      <c r="B1986" s="44">
        <v>44525</v>
      </c>
      <c r="C1986" s="44">
        <f t="shared" si="91"/>
        <v>44525</v>
      </c>
      <c r="D1986" s="374">
        <v>22</v>
      </c>
      <c r="E1986" s="291" t="str">
        <f>IFERROR(VLOOKUP($D1986,'Clients-Live'!$A:$C,3,0),"")</f>
        <v>DATA ISMAIL FATARI</v>
      </c>
      <c r="F1986" s="291">
        <f>IFERROR(INDEX(Disbursements!$D:$D,MATCH('Live Collections'!G1986,Disbursements!$C:$C,0)),"")</f>
        <v>1</v>
      </c>
      <c r="G1986" s="34">
        <v>13</v>
      </c>
      <c r="H1986" s="34">
        <v>3520</v>
      </c>
      <c r="I1986" s="34" t="s">
        <v>1359</v>
      </c>
      <c r="J1986" s="48"/>
      <c r="K1986" s="48"/>
      <c r="L1986" s="48"/>
      <c r="M1986" s="48"/>
      <c r="N1986" s="59"/>
      <c r="O1986" s="59">
        <v>187000</v>
      </c>
      <c r="P1986" s="59"/>
      <c r="Q1986" s="268">
        <f t="shared" si="92"/>
        <v>187000</v>
      </c>
      <c r="R1986" s="61">
        <f>IF(O1986=0,0,SUMIFS(Disbursements!$T:$T,Disbursements!$B:$B,'Live Collections'!D1986,Disbursements!$D:$D,'Live Collections'!F1986))</f>
        <v>217000</v>
      </c>
      <c r="S1986" s="304">
        <v>18000.000000000058</v>
      </c>
      <c r="T1986" s="304">
        <f t="shared" si="93"/>
        <v>168999.99999999994</v>
      </c>
      <c r="U1986" s="52"/>
      <c r="V1986" s="34"/>
      <c r="W1986" s="408" t="s">
        <v>2086</v>
      </c>
    </row>
    <row r="1987" spans="1:23" ht="12.75" customHeight="1" x14ac:dyDescent="0.2">
      <c r="A1987" s="257">
        <v>1982</v>
      </c>
      <c r="B1987" s="44">
        <v>44525</v>
      </c>
      <c r="C1987" s="44">
        <f t="shared" ref="C1987:C2050" si="94">B1987</f>
        <v>44525</v>
      </c>
      <c r="D1987" s="374">
        <v>22</v>
      </c>
      <c r="E1987" s="291" t="str">
        <f>IFERROR(VLOOKUP($D1987,'Clients-Live'!$A:$C,3,0),"")</f>
        <v>DATA ISMAIL FATARI</v>
      </c>
      <c r="F1987" s="291">
        <f>IFERROR(INDEX(Disbursements!$D:$D,MATCH('Live Collections'!G1987,Disbursements!$C:$C,0)),"")</f>
        <v>1</v>
      </c>
      <c r="G1987" s="34">
        <v>13</v>
      </c>
      <c r="H1987" s="34">
        <v>450</v>
      </c>
      <c r="I1987" s="34" t="s">
        <v>1359</v>
      </c>
      <c r="J1987" s="48"/>
      <c r="K1987" s="48"/>
      <c r="L1987" s="48"/>
      <c r="M1987" s="48"/>
      <c r="N1987" s="59"/>
      <c r="O1987" s="59"/>
      <c r="P1987" s="59">
        <v>-100000</v>
      </c>
      <c r="Q1987" s="268">
        <f t="shared" ref="Q1987:Q2035" si="95">SUM(J1987:P1987)</f>
        <v>-100000</v>
      </c>
      <c r="R1987" s="61">
        <f>IF(O1987=0,0,SUMIFS(Disbursements!$T:$T,Disbursements!$B:$B,'Live Collections'!D1987,Disbursements!$D:$D,'Live Collections'!F1987))</f>
        <v>0</v>
      </c>
      <c r="S1987" s="304">
        <f>IF(O1987&lt;=IF($O1987=0,0,SUMIFS(Disbursements!$W:$W,Disbursements!$B:$B,'Live Collections'!D293,Disbursements!$D:$D,'Live Collections'!F293)),O1987,IF($O1987=0,0,SUMIFS(Disbursements!$W:$W,Disbursements!$B:$B,'Live Collections'!D293,Disbursements!$D:$D,'Live Collections'!F293)))</f>
        <v>0</v>
      </c>
      <c r="T1987" s="304">
        <f t="shared" ref="T1987:T2050" si="96">IF(O1987=0,0,O1987-S1987)</f>
        <v>0</v>
      </c>
      <c r="U1987" s="52"/>
      <c r="V1987" s="34"/>
      <c r="W1987" s="408"/>
    </row>
    <row r="1988" spans="1:23" ht="12.75" customHeight="1" x14ac:dyDescent="0.2">
      <c r="A1988" s="257">
        <v>1983</v>
      </c>
      <c r="B1988" s="44">
        <v>44525</v>
      </c>
      <c r="C1988" s="44">
        <f t="shared" si="94"/>
        <v>44525</v>
      </c>
      <c r="D1988" s="374">
        <v>22</v>
      </c>
      <c r="E1988" s="291" t="str">
        <f>IFERROR(VLOOKUP($D1988,'Clients-Live'!$A:$C,3,0),"")</f>
        <v>DATA ISMAIL FATARI</v>
      </c>
      <c r="F1988" s="291">
        <f>IFERROR(INDEX(Disbursements!$D:$D,MATCH('Live Collections'!G1988,Disbursements!$C:$C,0)),"")</f>
        <v>1</v>
      </c>
      <c r="G1988" s="34">
        <v>13</v>
      </c>
      <c r="H1988" s="34">
        <v>3516</v>
      </c>
      <c r="I1988" s="34" t="s">
        <v>1359</v>
      </c>
      <c r="J1988" s="48"/>
      <c r="K1988" s="48"/>
      <c r="L1988" s="48"/>
      <c r="M1988" s="48"/>
      <c r="N1988" s="59"/>
      <c r="O1988" s="59">
        <v>100000</v>
      </c>
      <c r="P1988" s="59"/>
      <c r="Q1988" s="268">
        <f t="shared" si="95"/>
        <v>100000</v>
      </c>
      <c r="R1988" s="61">
        <f>IF(O1988=0,0,SUMIFS(Disbursements!$T:$T,Disbursements!$B:$B,'Live Collections'!D1988,Disbursements!$D:$D,'Live Collections'!F1988))</f>
        <v>217000</v>
      </c>
      <c r="S1988" s="304">
        <v>34999.999999999942</v>
      </c>
      <c r="T1988" s="304">
        <f t="shared" si="96"/>
        <v>65000.000000000058</v>
      </c>
      <c r="U1988" s="52"/>
      <c r="V1988" s="34"/>
      <c r="W1988" s="408" t="s">
        <v>1848</v>
      </c>
    </row>
    <row r="1989" spans="1:23" ht="12.75" customHeight="1" x14ac:dyDescent="0.2">
      <c r="A1989" s="257">
        <v>1978</v>
      </c>
      <c r="B1989" s="44">
        <v>44525</v>
      </c>
      <c r="C1989" s="44">
        <f t="shared" si="94"/>
        <v>44525</v>
      </c>
      <c r="D1989" s="374">
        <v>23</v>
      </c>
      <c r="E1989" s="291" t="str">
        <f>IFERROR(VLOOKUP($D1989,'Clients-Live'!$A:$C,3,0),"")</f>
        <v>BADARU KEVIN ATELIONGA</v>
      </c>
      <c r="F1989" s="291">
        <f>IFERROR(INDEX(Disbursements!$D:$D,MATCH('Live Collections'!G1989,Disbursements!$C:$C,0)),"")</f>
        <v>2</v>
      </c>
      <c r="G1989" s="34">
        <v>190</v>
      </c>
      <c r="H1989" s="34">
        <v>3654</v>
      </c>
      <c r="I1989" s="34" t="s">
        <v>1357</v>
      </c>
      <c r="J1989" s="48"/>
      <c r="K1989" s="48"/>
      <c r="L1989" s="48"/>
      <c r="M1989" s="48"/>
      <c r="N1989" s="59"/>
      <c r="O1989" s="59">
        <v>150000</v>
      </c>
      <c r="P1989" s="59"/>
      <c r="Q1989" s="268">
        <f t="shared" si="95"/>
        <v>150000</v>
      </c>
      <c r="R1989" s="61">
        <f>IF(O1989=0,0,SUMIFS(Disbursements!$T:$T,Disbursements!$B:$B,'Live Collections'!D1989,Disbursements!$D:$D,'Live Collections'!F1989))</f>
        <v>175000</v>
      </c>
      <c r="S1989" s="304">
        <f>IF(O1989&lt;=IF($O1989=0,0,SUMIFS(Disbursements!$W:$W,Disbursements!$B:$B,'Live Collections'!D318,Disbursements!$D:$D,'Live Collections'!F318)),O1989,IF($O1989=0,0,SUMIFS(Disbursements!$W:$W,Disbursements!$B:$B,'Live Collections'!D318,Disbursements!$D:$D,'Live Collections'!F318)))</f>
        <v>25000</v>
      </c>
      <c r="T1989" s="304">
        <f t="shared" si="96"/>
        <v>125000</v>
      </c>
      <c r="U1989" s="52"/>
      <c r="V1989" s="34"/>
      <c r="W1989" s="408"/>
    </row>
    <row r="1990" spans="1:23" ht="12.75" customHeight="1" x14ac:dyDescent="0.2">
      <c r="A1990" s="257">
        <v>1991</v>
      </c>
      <c r="B1990" s="44">
        <v>44525</v>
      </c>
      <c r="C1990" s="44">
        <f t="shared" si="94"/>
        <v>44525</v>
      </c>
      <c r="D1990" s="374">
        <v>52</v>
      </c>
      <c r="E1990" s="291" t="str">
        <f>IFERROR(VLOOKUP($D1990,'Clients-Live'!$A:$C,3,0),"")</f>
        <v>EDEZU PEACE IRENE</v>
      </c>
      <c r="F1990" s="291">
        <f>IFERROR(INDEX(Disbursements!$D:$D,MATCH('Live Collections'!G1990,Disbursements!$C:$C,0)),"")</f>
        <v>2</v>
      </c>
      <c r="G1990" s="34">
        <v>275</v>
      </c>
      <c r="H1990" s="34">
        <v>3525</v>
      </c>
      <c r="I1990" s="34" t="s">
        <v>1357</v>
      </c>
      <c r="J1990" s="48"/>
      <c r="K1990" s="48"/>
      <c r="L1990" s="48"/>
      <c r="M1990" s="48"/>
      <c r="N1990" s="59"/>
      <c r="O1990" s="59">
        <v>90000</v>
      </c>
      <c r="P1990" s="59"/>
      <c r="Q1990" s="268">
        <f t="shared" si="95"/>
        <v>90000</v>
      </c>
      <c r="R1990" s="61">
        <f>IF(O1990=0,0,SUMIFS(Disbursements!$T:$T,Disbursements!$B:$B,'Live Collections'!D1990,Disbursements!$D:$D,'Live Collections'!F1990))</f>
        <v>150000</v>
      </c>
      <c r="S1990" s="304">
        <f>IF(O1990&lt;=IF($O1990=0,0,SUMIFS(Disbursements!$W:$W,Disbursements!$B:$B,'Live Collections'!D611,Disbursements!$D:$D,'Live Collections'!F611)),O1990,IF($O1990=0,0,SUMIFS(Disbursements!$W:$W,Disbursements!$B:$B,'Live Collections'!D611,Disbursements!$D:$D,'Live Collections'!F611)))</f>
        <v>15000</v>
      </c>
      <c r="T1990" s="304">
        <f t="shared" si="96"/>
        <v>75000</v>
      </c>
      <c r="U1990" s="52"/>
      <c r="V1990" s="34"/>
      <c r="W1990" s="408"/>
    </row>
    <row r="1991" spans="1:23" ht="12.75" customHeight="1" x14ac:dyDescent="0.2">
      <c r="A1991" s="257">
        <v>1994</v>
      </c>
      <c r="B1991" s="44">
        <v>44525</v>
      </c>
      <c r="C1991" s="44">
        <f t="shared" si="94"/>
        <v>44525</v>
      </c>
      <c r="D1991" s="374">
        <v>63</v>
      </c>
      <c r="E1991" s="291" t="str">
        <f>IFERROR(VLOOKUP($D1991,'Clients-Live'!$A:$C,3,0),"")</f>
        <v>AWURU KADARA</v>
      </c>
      <c r="F1991" s="291">
        <f>IFERROR(INDEX(Disbursements!$D:$D,MATCH('Live Collections'!G1991,Disbursements!$C:$C,0)),"")</f>
        <v>2</v>
      </c>
      <c r="G1991" s="34">
        <v>173</v>
      </c>
      <c r="H1991" s="34">
        <v>3531</v>
      </c>
      <c r="I1991" s="34" t="s">
        <v>1358</v>
      </c>
      <c r="J1991" s="48"/>
      <c r="K1991" s="48"/>
      <c r="L1991" s="48"/>
      <c r="M1991" s="48"/>
      <c r="N1991" s="59"/>
      <c r="O1991" s="59">
        <v>50000</v>
      </c>
      <c r="P1991" s="59"/>
      <c r="Q1991" s="268">
        <f t="shared" si="95"/>
        <v>50000</v>
      </c>
      <c r="R1991" s="61">
        <f>IF(O1991=0,0,SUMIFS(Disbursements!$T:$T,Disbursements!$B:$B,'Live Collections'!D1991,Disbursements!$D:$D,'Live Collections'!F1991))</f>
        <v>175000</v>
      </c>
      <c r="S1991" s="304">
        <f>IF(O1991&lt;=IF($O1991=0,0,SUMIFS(Disbursements!$W:$W,Disbursements!$B:$B,'Live Collections'!D760,Disbursements!$D:$D,'Live Collections'!F760)),O1991,IF($O1991=0,0,SUMIFS(Disbursements!$W:$W,Disbursements!$B:$B,'Live Collections'!D760,Disbursements!$D:$D,'Live Collections'!F760)))</f>
        <v>30000</v>
      </c>
      <c r="T1991" s="304">
        <f t="shared" si="96"/>
        <v>20000</v>
      </c>
      <c r="U1991" s="52"/>
      <c r="V1991" s="34"/>
      <c r="W1991" s="408"/>
    </row>
    <row r="1992" spans="1:23" ht="12.75" customHeight="1" x14ac:dyDescent="0.2">
      <c r="A1992" s="257">
        <v>1976</v>
      </c>
      <c r="B1992" s="44">
        <v>44525</v>
      </c>
      <c r="C1992" s="44">
        <f t="shared" si="94"/>
        <v>44525</v>
      </c>
      <c r="D1992" s="374">
        <v>66</v>
      </c>
      <c r="E1992" s="291" t="str">
        <f>IFERROR(VLOOKUP($D1992,'Clients-Live'!$A:$C,3,0),"")</f>
        <v>DENAYA NYAMAZA</v>
      </c>
      <c r="F1992" s="291">
        <f>IFERROR(INDEX(Disbursements!$D:$D,MATCH('Live Collections'!G1992,Disbursements!$C:$C,0)),"")</f>
        <v>2</v>
      </c>
      <c r="G1992" s="34">
        <v>300</v>
      </c>
      <c r="H1992" s="34">
        <v>3518</v>
      </c>
      <c r="I1992" s="34" t="s">
        <v>1357</v>
      </c>
      <c r="J1992" s="48"/>
      <c r="K1992" s="48"/>
      <c r="L1992" s="48"/>
      <c r="M1992" s="48"/>
      <c r="N1992" s="59"/>
      <c r="O1992" s="59">
        <v>108000</v>
      </c>
      <c r="P1992" s="59"/>
      <c r="Q1992" s="268">
        <f t="shared" si="95"/>
        <v>108000</v>
      </c>
      <c r="R1992" s="61">
        <f>IF(O1992=0,0,SUMIFS(Disbursements!$T:$T,Disbursements!$B:$B,'Live Collections'!D1992,Disbursements!$D:$D,'Live Collections'!F1992))</f>
        <v>109000</v>
      </c>
      <c r="S1992" s="304">
        <f>IF(O1992&lt;=IF($O1992=0,0,SUMIFS(Disbursements!$W:$W,Disbursements!$B:$B,'Live Collections'!D814,Disbursements!$D:$D,'Live Collections'!F814)),O1992,IF($O1992=0,0,SUMIFS(Disbursements!$W:$W,Disbursements!$B:$B,'Live Collections'!D814,Disbursements!$D:$D,'Live Collections'!F814)))</f>
        <v>25666.666666666672</v>
      </c>
      <c r="T1992" s="304">
        <f t="shared" si="96"/>
        <v>82333.333333333328</v>
      </c>
      <c r="U1992" s="52"/>
      <c r="V1992" s="34"/>
      <c r="W1992" s="408"/>
    </row>
    <row r="1993" spans="1:23" ht="12.75" customHeight="1" x14ac:dyDescent="0.2">
      <c r="A1993" s="257">
        <v>1984</v>
      </c>
      <c r="B1993" s="44">
        <v>44525</v>
      </c>
      <c r="C1993" s="44">
        <f t="shared" si="94"/>
        <v>44525</v>
      </c>
      <c r="D1993" s="374">
        <v>106</v>
      </c>
      <c r="E1993" s="291" t="str">
        <f>IFERROR(VLOOKUP($D1993,'Clients-Live'!$A:$C,3,0),"")</f>
        <v>ORODRIYO  NUSURA</v>
      </c>
      <c r="F1993" s="291">
        <f>IFERROR(INDEX(Disbursements!$D:$D,MATCH('Live Collections'!G1993,Disbursements!$C:$C,0)),"")</f>
        <v>2</v>
      </c>
      <c r="G1993" s="34">
        <v>104</v>
      </c>
      <c r="H1993" s="34">
        <v>3532</v>
      </c>
      <c r="I1993" s="34" t="s">
        <v>1357</v>
      </c>
      <c r="J1993" s="48"/>
      <c r="K1993" s="48"/>
      <c r="L1993" s="48"/>
      <c r="M1993" s="48"/>
      <c r="N1993" s="59"/>
      <c r="O1993" s="59">
        <v>40000</v>
      </c>
      <c r="P1993" s="59"/>
      <c r="Q1993" s="268">
        <f t="shared" si="95"/>
        <v>40000</v>
      </c>
      <c r="R1993" s="61">
        <f>IF(O1993=0,0,SUMIFS(Disbursements!$T:$T,Disbursements!$B:$B,'Live Collections'!D1993,Disbursements!$D:$D,'Live Collections'!F1993))</f>
        <v>120000</v>
      </c>
      <c r="S1993" s="304">
        <f>IF(O1993&lt;=IF($O1993=0,0,SUMIFS(Disbursements!$W:$W,Disbursements!$B:$B,'Live Collections'!D2512,Disbursements!$D:$D,'Live Collections'!F2512)),O1993,IF($O1993=0,0,SUMIFS(Disbursements!$W:$W,Disbursements!$B:$B,'Live Collections'!D2512,Disbursements!$D:$D,'Live Collections'!F2512)))</f>
        <v>40000</v>
      </c>
      <c r="T1993" s="304">
        <f t="shared" si="96"/>
        <v>0</v>
      </c>
      <c r="U1993" s="52"/>
      <c r="V1993" s="34"/>
      <c r="W1993" s="408"/>
    </row>
    <row r="1994" spans="1:23" ht="12.75" customHeight="1" x14ac:dyDescent="0.2">
      <c r="A1994" s="257">
        <v>1975</v>
      </c>
      <c r="B1994" s="44">
        <v>44525</v>
      </c>
      <c r="C1994" s="44">
        <f t="shared" si="94"/>
        <v>44525</v>
      </c>
      <c r="D1994" s="374">
        <v>127</v>
      </c>
      <c r="E1994" s="291" t="str">
        <f>IFERROR(VLOOKUP($D1994,'Clients-Live'!$A:$C,3,0),"")</f>
        <v>TIKO RUKIA</v>
      </c>
      <c r="F1994" s="291">
        <f>IFERROR(INDEX(Disbursements!$D:$D,MATCH('Live Collections'!G1994,Disbursements!$C:$C,0)),"")</f>
        <v>1</v>
      </c>
      <c r="G1994" s="34">
        <v>110</v>
      </c>
      <c r="H1994" s="34">
        <v>3519</v>
      </c>
      <c r="I1994" s="34" t="s">
        <v>1358</v>
      </c>
      <c r="J1994" s="48"/>
      <c r="K1994" s="48"/>
      <c r="L1994" s="48"/>
      <c r="M1994" s="48"/>
      <c r="N1994" s="59"/>
      <c r="O1994" s="59">
        <v>40000</v>
      </c>
      <c r="P1994" s="59"/>
      <c r="Q1994" s="268">
        <f t="shared" si="95"/>
        <v>40000</v>
      </c>
      <c r="R1994" s="61">
        <f>IF(O1994=0,0,SUMIFS(Disbursements!$T:$T,Disbursements!$B:$B,'Live Collections'!D1994,Disbursements!$D:$D,'Live Collections'!F1994))</f>
        <v>154000</v>
      </c>
      <c r="S1994" s="304">
        <f>IF(O1994&lt;=IF($O1994=0,0,SUMIFS(Disbursements!$W:$W,Disbursements!$B:$B,'Live Collections'!D1615,Disbursements!$D:$D,'Live Collections'!F1615)),O1994,IF($O1994=0,0,SUMIFS(Disbursements!$W:$W,Disbursements!$B:$B,'Live Collections'!D1615,Disbursements!$D:$D,'Live Collections'!F1615)))</f>
        <v>0</v>
      </c>
      <c r="T1994" s="304">
        <f t="shared" si="96"/>
        <v>40000</v>
      </c>
      <c r="U1994" s="52"/>
      <c r="V1994" s="34"/>
      <c r="W1994" s="408"/>
    </row>
    <row r="1995" spans="1:23" ht="12.75" customHeight="1" x14ac:dyDescent="0.2">
      <c r="A1995" s="257">
        <v>1988</v>
      </c>
      <c r="B1995" s="44">
        <v>44525</v>
      </c>
      <c r="C1995" s="44">
        <f t="shared" si="94"/>
        <v>44525</v>
      </c>
      <c r="D1995" s="374">
        <v>135</v>
      </c>
      <c r="E1995" s="291" t="str">
        <f>IFERROR(VLOOKUP($D1995,'Clients-Live'!$A:$C,3,0),"")</f>
        <v>SARIF SAIDI</v>
      </c>
      <c r="F1995" s="291">
        <f>IFERROR(INDEX(Disbursements!$D:$D,MATCH('Live Collections'!G1995,Disbursements!$C:$C,0)),"")</f>
        <v>2</v>
      </c>
      <c r="G1995" s="34">
        <v>323</v>
      </c>
      <c r="H1995" s="34">
        <v>3528</v>
      </c>
      <c r="I1995" s="34" t="s">
        <v>1357</v>
      </c>
      <c r="J1995" s="48"/>
      <c r="K1995" s="48"/>
      <c r="L1995" s="48"/>
      <c r="M1995" s="48"/>
      <c r="N1995" s="59"/>
      <c r="O1995" s="59">
        <v>100000</v>
      </c>
      <c r="P1995" s="59"/>
      <c r="Q1995" s="268">
        <f t="shared" si="95"/>
        <v>100000</v>
      </c>
      <c r="R1995" s="61">
        <f>IF(O1995=0,0,SUMIFS(Disbursements!$T:$T,Disbursements!$B:$B,'Live Collections'!D1995,Disbursements!$D:$D,'Live Collections'!F1995))</f>
        <v>260000</v>
      </c>
      <c r="S1995" s="304">
        <f>IF(O1995&lt;=IF($O1995=0,0,SUMIFS(Disbursements!$W:$W,Disbursements!$B:$B,'Live Collections'!D1709,Disbursements!$D:$D,'Live Collections'!F1709)),O1995,IF($O1995=0,0,SUMIFS(Disbursements!$W:$W,Disbursements!$B:$B,'Live Collections'!D1709,Disbursements!$D:$D,'Live Collections'!F1709)))</f>
        <v>20000</v>
      </c>
      <c r="T1995" s="304">
        <f t="shared" si="96"/>
        <v>80000</v>
      </c>
      <c r="U1995" s="52"/>
      <c r="V1995" s="34"/>
      <c r="W1995" s="408"/>
    </row>
    <row r="1996" spans="1:23" ht="12.75" customHeight="1" x14ac:dyDescent="0.2">
      <c r="A1996" s="257">
        <v>1987</v>
      </c>
      <c r="B1996" s="44">
        <v>44525</v>
      </c>
      <c r="C1996" s="44">
        <f t="shared" si="94"/>
        <v>44525</v>
      </c>
      <c r="D1996" s="374">
        <v>156</v>
      </c>
      <c r="E1996" s="291" t="str">
        <f>IFERROR(VLOOKUP($D1996,'Clients-Live'!$A:$C,3,0),"")</f>
        <v xml:space="preserve">ONIBA AISHA </v>
      </c>
      <c r="F1996" s="291">
        <f>IFERROR(INDEX(Disbursements!$D:$D,MATCH('Live Collections'!G1996,Disbursements!$C:$C,0)),"")</f>
        <v>4</v>
      </c>
      <c r="G1996" s="34">
        <v>348</v>
      </c>
      <c r="H1996" s="34">
        <v>3530</v>
      </c>
      <c r="I1996" s="34" t="s">
        <v>1358</v>
      </c>
      <c r="J1996" s="48"/>
      <c r="K1996" s="48"/>
      <c r="L1996" s="48"/>
      <c r="M1996" s="48"/>
      <c r="N1996" s="59"/>
      <c r="O1996" s="59"/>
      <c r="P1996" s="59">
        <v>350000</v>
      </c>
      <c r="Q1996" s="268">
        <f t="shared" si="95"/>
        <v>350000</v>
      </c>
      <c r="R1996" s="61">
        <f>IF(O1996=0,0,SUMIFS(Disbursements!$T:$T,Disbursements!$B:$B,'Live Collections'!D1996,Disbursements!$D:$D,'Live Collections'!F1996))</f>
        <v>0</v>
      </c>
      <c r="S1996" s="304">
        <f>IF(O1996&lt;=IF($O1996=0,0,SUMIFS(Disbursements!$W:$W,Disbursements!$B:$B,'Live Collections'!D1960,Disbursements!$D:$D,'Live Collections'!F1960)),O1996,IF($O1996=0,0,SUMIFS(Disbursements!$W:$W,Disbursements!$B:$B,'Live Collections'!D1960,Disbursements!$D:$D,'Live Collections'!F1960)))</f>
        <v>0</v>
      </c>
      <c r="T1996" s="304">
        <f t="shared" si="96"/>
        <v>0</v>
      </c>
      <c r="U1996" s="52"/>
      <c r="V1996" s="34"/>
      <c r="W1996" s="408"/>
    </row>
    <row r="1997" spans="1:23" ht="12.75" customHeight="1" x14ac:dyDescent="0.2">
      <c r="A1997" s="257">
        <v>1990</v>
      </c>
      <c r="B1997" s="44">
        <v>44525</v>
      </c>
      <c r="C1997" s="44">
        <f t="shared" si="94"/>
        <v>44525</v>
      </c>
      <c r="D1997" s="374">
        <v>180</v>
      </c>
      <c r="E1997" s="291" t="str">
        <f>IFERROR(VLOOKUP($D1997,'Clients-Live'!$A:$C,3,0),"")</f>
        <v>IJOSIGA ISMAIL</v>
      </c>
      <c r="F1997" s="291">
        <f>IFERROR(INDEX(Disbursements!$D:$D,MATCH('Live Collections'!G1997,Disbursements!$C:$C,0)),"")</f>
        <v>1</v>
      </c>
      <c r="G1997" s="34">
        <v>185</v>
      </c>
      <c r="H1997" s="34">
        <v>3526</v>
      </c>
      <c r="I1997" s="34" t="s">
        <v>1359</v>
      </c>
      <c r="J1997" s="48"/>
      <c r="K1997" s="48"/>
      <c r="L1997" s="48"/>
      <c r="M1997" s="48"/>
      <c r="N1997" s="59"/>
      <c r="O1997" s="59">
        <v>200000</v>
      </c>
      <c r="P1997" s="59"/>
      <c r="Q1997" s="268">
        <f t="shared" si="95"/>
        <v>200000</v>
      </c>
      <c r="R1997" s="61">
        <f>IF(O1997=0,0,SUMIFS(Disbursements!$T:$T,Disbursements!$B:$B,'Live Collections'!D1997,Disbursements!$D:$D,'Live Collections'!F1997))</f>
        <v>286000</v>
      </c>
      <c r="S1997" s="304"/>
      <c r="T1997" s="304">
        <f t="shared" si="96"/>
        <v>200000</v>
      </c>
      <c r="U1997" s="52"/>
      <c r="V1997" s="34"/>
      <c r="W1997" s="408"/>
    </row>
    <row r="1998" spans="1:23" ht="12.75" customHeight="1" x14ac:dyDescent="0.2">
      <c r="A1998" s="257">
        <v>1992</v>
      </c>
      <c r="B1998" s="44">
        <v>44525</v>
      </c>
      <c r="C1998" s="44">
        <f t="shared" si="94"/>
        <v>44525</v>
      </c>
      <c r="D1998" s="374">
        <v>232</v>
      </c>
      <c r="E1998" s="291" t="str">
        <f>IFERROR(VLOOKUP($D1998,'Clients-Live'!$A:$C,3,0),"")</f>
        <v>LEMERIGA GEOFFREY</v>
      </c>
      <c r="F1998" s="291">
        <f>IFERROR(INDEX(Disbursements!$D:$D,MATCH('Live Collections'!G1998,Disbursements!$C:$C,0)),"")</f>
        <v>1</v>
      </c>
      <c r="G1998" s="34">
        <v>250</v>
      </c>
      <c r="H1998" s="34">
        <v>3524</v>
      </c>
      <c r="I1998" s="34" t="s">
        <v>1358</v>
      </c>
      <c r="J1998" s="48"/>
      <c r="K1998" s="48"/>
      <c r="L1998" s="48"/>
      <c r="M1998" s="48"/>
      <c r="N1998" s="59"/>
      <c r="O1998" s="59">
        <v>175000</v>
      </c>
      <c r="P1998" s="59"/>
      <c r="Q1998" s="268">
        <f t="shared" si="95"/>
        <v>175000</v>
      </c>
      <c r="R1998" s="61">
        <f>IF(O1998=0,0,SUMIFS(Disbursements!$T:$T,Disbursements!$B:$B,'Live Collections'!D1998,Disbursements!$D:$D,'Live Collections'!F1998))</f>
        <v>1050000</v>
      </c>
      <c r="S1998" s="64">
        <v>10000</v>
      </c>
      <c r="T1998" s="304">
        <f t="shared" si="96"/>
        <v>165000</v>
      </c>
      <c r="U1998" s="52"/>
      <c r="V1998" s="34"/>
      <c r="W1998" s="408"/>
    </row>
    <row r="1999" spans="1:23" ht="12.75" customHeight="1" x14ac:dyDescent="0.2">
      <c r="A1999" s="257">
        <v>1989</v>
      </c>
      <c r="B1999" s="44">
        <v>44525</v>
      </c>
      <c r="C1999" s="44">
        <f t="shared" si="94"/>
        <v>44525</v>
      </c>
      <c r="D1999" s="374">
        <v>237</v>
      </c>
      <c r="E1999" s="291" t="str">
        <f>IFERROR(VLOOKUP($D1999,'Clients-Live'!$A:$C,3,0),"")</f>
        <v>EZRA INNOCENT</v>
      </c>
      <c r="F1999" s="291">
        <f>IFERROR(INDEX(Disbursements!$D:$D,MATCH('Live Collections'!G1999,Disbursements!$C:$C,0)),"")</f>
        <v>1</v>
      </c>
      <c r="G1999" s="34">
        <v>244</v>
      </c>
      <c r="H1999" s="34">
        <v>3527</v>
      </c>
      <c r="I1999" s="34" t="s">
        <v>1357</v>
      </c>
      <c r="J1999" s="48"/>
      <c r="K1999" s="48"/>
      <c r="L1999" s="48"/>
      <c r="M1999" s="48"/>
      <c r="N1999" s="59"/>
      <c r="O1999" s="59">
        <v>150000</v>
      </c>
      <c r="P1999" s="59"/>
      <c r="Q1999" s="268">
        <f t="shared" si="95"/>
        <v>150000</v>
      </c>
      <c r="R1999" s="61">
        <f>IF(O1999=0,0,SUMIFS(Disbursements!$T:$T,Disbursements!$B:$B,'Live Collections'!D1999,Disbursements!$D:$D,'Live Collections'!F1999))</f>
        <v>150000</v>
      </c>
      <c r="S1999" s="304"/>
      <c r="T1999" s="304">
        <f t="shared" si="96"/>
        <v>150000</v>
      </c>
      <c r="U1999" s="52"/>
      <c r="V1999" s="34"/>
      <c r="W1999" s="408"/>
    </row>
    <row r="2000" spans="1:23" ht="12.75" customHeight="1" x14ac:dyDescent="0.2">
      <c r="A2000" s="257">
        <v>1974</v>
      </c>
      <c r="B2000" s="44">
        <v>44525</v>
      </c>
      <c r="C2000" s="44">
        <f t="shared" si="94"/>
        <v>44525</v>
      </c>
      <c r="D2000" s="374">
        <v>246</v>
      </c>
      <c r="E2000" s="291" t="str">
        <f>IFERROR(VLOOKUP($D2000,'Clients-Live'!$A:$C,3,0),"")</f>
        <v>ALOMO ZAIDA</v>
      </c>
      <c r="F2000" s="291">
        <f>IFERROR(INDEX(Disbursements!$D:$D,MATCH('Live Collections'!G2000,Disbursements!$C:$C,0)),"")</f>
        <v>1</v>
      </c>
      <c r="G2000" s="34">
        <v>271</v>
      </c>
      <c r="H2000" s="34">
        <v>3598</v>
      </c>
      <c r="I2000" s="34" t="s">
        <v>1357</v>
      </c>
      <c r="J2000" s="48"/>
      <c r="K2000" s="48"/>
      <c r="L2000" s="48"/>
      <c r="M2000" s="48"/>
      <c r="N2000" s="59"/>
      <c r="O2000" s="59">
        <v>30000</v>
      </c>
      <c r="P2000" s="59"/>
      <c r="Q2000" s="268">
        <f t="shared" si="95"/>
        <v>30000</v>
      </c>
      <c r="R2000" s="61">
        <f>IF(O2000=0,0,SUMIFS(Disbursements!$T:$T,Disbursements!$B:$B,'Live Collections'!D2000,Disbursements!$D:$D,'Live Collections'!F2000))</f>
        <v>120000</v>
      </c>
      <c r="S2000" s="304"/>
      <c r="T2000" s="304">
        <f t="shared" si="96"/>
        <v>30000</v>
      </c>
      <c r="U2000" s="52"/>
      <c r="V2000" s="34"/>
      <c r="W2000" s="408"/>
    </row>
    <row r="2001" spans="1:23" ht="12.75" customHeight="1" x14ac:dyDescent="0.2">
      <c r="A2001" s="257">
        <v>1980</v>
      </c>
      <c r="B2001" s="44">
        <v>44525</v>
      </c>
      <c r="C2001" s="44">
        <f t="shared" si="94"/>
        <v>44525</v>
      </c>
      <c r="D2001" s="374">
        <v>247</v>
      </c>
      <c r="E2001" s="291" t="str">
        <f>IFERROR(VLOOKUP($D2001,'Clients-Live'!$A:$C,3,0),"")</f>
        <v>CHANDIRU SCHOLAR</v>
      </c>
      <c r="F2001" s="291">
        <f>IFERROR(INDEX(Disbursements!$D:$D,MATCH('Live Collections'!G2001,Disbursements!$C:$C,0)),"")</f>
        <v>1</v>
      </c>
      <c r="G2001" s="34">
        <v>265</v>
      </c>
      <c r="H2001" s="34">
        <v>3515</v>
      </c>
      <c r="I2001" s="34" t="s">
        <v>1359</v>
      </c>
      <c r="J2001" s="48"/>
      <c r="K2001" s="48"/>
      <c r="L2001" s="48"/>
      <c r="M2001" s="48"/>
      <c r="N2001" s="59"/>
      <c r="O2001" s="59">
        <v>400000</v>
      </c>
      <c r="P2001" s="59"/>
      <c r="Q2001" s="268">
        <f t="shared" si="95"/>
        <v>400000</v>
      </c>
      <c r="R2001" s="61">
        <f>IF(O2001=0,0,SUMIFS(Disbursements!$T:$T,Disbursements!$B:$B,'Live Collections'!D2001,Disbursements!$D:$D,'Live Collections'!F2001))</f>
        <v>270000</v>
      </c>
      <c r="S2001" s="304">
        <f>IF(O2001&lt;=IF($O2001=0,0,SUMIFS(Disbursements!$W:$W,Disbursements!$B:$B,'Live Collections'!D2798,Disbursements!$D:$D,'Live Collections'!F2798)),O2001,IF($O2001=0,0,SUMIFS(Disbursements!$W:$W,Disbursements!$B:$B,'Live Collections'!D2798,Disbursements!$D:$D,'Live Collections'!F2798)))</f>
        <v>15000</v>
      </c>
      <c r="T2001" s="304">
        <f t="shared" si="96"/>
        <v>385000</v>
      </c>
      <c r="U2001" s="52"/>
      <c r="V2001" s="34"/>
      <c r="W2001" s="408"/>
    </row>
    <row r="2002" spans="1:23" ht="12.75" customHeight="1" x14ac:dyDescent="0.2">
      <c r="A2002" s="257">
        <v>1979</v>
      </c>
      <c r="B2002" s="44">
        <v>44525</v>
      </c>
      <c r="C2002" s="44">
        <f t="shared" si="94"/>
        <v>44525</v>
      </c>
      <c r="D2002" s="374">
        <v>263</v>
      </c>
      <c r="E2002" s="291" t="str">
        <f>IFERROR(VLOOKUP($D2002,'Clients-Live'!$A:$C,3,0),"")</f>
        <v>DATA SAFI DUIKI</v>
      </c>
      <c r="F2002" s="291">
        <f>IFERROR(INDEX(Disbursements!$D:$D,MATCH('Live Collections'!G2002,Disbursements!$C:$C,0)),"")</f>
        <v>1</v>
      </c>
      <c r="G2002" s="34">
        <v>307</v>
      </c>
      <c r="H2002" s="34">
        <v>3517</v>
      </c>
      <c r="I2002" s="34" t="s">
        <v>1357</v>
      </c>
      <c r="J2002" s="48"/>
      <c r="K2002" s="48"/>
      <c r="L2002" s="48"/>
      <c r="M2002" s="48"/>
      <c r="N2002" s="59"/>
      <c r="O2002" s="59">
        <v>575000</v>
      </c>
      <c r="P2002" s="59"/>
      <c r="Q2002" s="268">
        <f t="shared" si="95"/>
        <v>575000</v>
      </c>
      <c r="R2002" s="61">
        <f>IF(O2002=0,0,SUMIFS(Disbursements!$T:$T,Disbursements!$B:$B,'Live Collections'!D2002,Disbursements!$D:$D,'Live Collections'!F2002))</f>
        <v>575000</v>
      </c>
      <c r="S2002" s="304">
        <f>IF(O2002&lt;=IF($O2002=0,0,SUMIFS(Disbursements!$W:$W,Disbursements!$B:$B,'Live Collections'!D2902,Disbursements!$D:$D,'Live Collections'!F2902)),O2002,IF($O2002=0,0,SUMIFS(Disbursements!$W:$W,Disbursements!$B:$B,'Live Collections'!D2902,Disbursements!$D:$D,'Live Collections'!F2902)))</f>
        <v>38000</v>
      </c>
      <c r="T2002" s="304">
        <f t="shared" si="96"/>
        <v>537000</v>
      </c>
      <c r="U2002" s="52"/>
      <c r="V2002" s="34"/>
      <c r="W2002" s="408"/>
    </row>
    <row r="2003" spans="1:23" ht="12.75" customHeight="1" x14ac:dyDescent="0.2">
      <c r="A2003" s="257">
        <v>1985</v>
      </c>
      <c r="B2003" s="44">
        <v>44525</v>
      </c>
      <c r="C2003" s="44">
        <f t="shared" si="94"/>
        <v>44525</v>
      </c>
      <c r="D2003" s="374">
        <v>269</v>
      </c>
      <c r="E2003" s="291" t="str">
        <f>IFERROR(VLOOKUP($D2003,'Clients-Live'!$A:$C,3,0),"")</f>
        <v>YANYA ROBINA</v>
      </c>
      <c r="F2003" s="291">
        <f>IFERROR(INDEX(Disbursements!$D:$D,MATCH('Live Collections'!G2003,Disbursements!$C:$C,0)),"")</f>
        <v>1</v>
      </c>
      <c r="G2003" s="34">
        <v>294</v>
      </c>
      <c r="H2003" s="34">
        <v>3523</v>
      </c>
      <c r="I2003" s="34" t="s">
        <v>1357</v>
      </c>
      <c r="J2003" s="48"/>
      <c r="K2003" s="48"/>
      <c r="L2003" s="48"/>
      <c r="M2003" s="48"/>
      <c r="N2003" s="59"/>
      <c r="O2003" s="59">
        <v>50000</v>
      </c>
      <c r="P2003" s="59"/>
      <c r="Q2003" s="268">
        <f t="shared" si="95"/>
        <v>50000</v>
      </c>
      <c r="R2003" s="61">
        <f>IF(O2003=0,0,SUMIFS(Disbursements!$T:$T,Disbursements!$B:$B,'Live Collections'!D2003,Disbursements!$D:$D,'Live Collections'!F2003))</f>
        <v>538000</v>
      </c>
      <c r="S2003" s="64">
        <v>27666.666666666672</v>
      </c>
      <c r="T2003" s="304">
        <f t="shared" si="96"/>
        <v>22333.333333333328</v>
      </c>
      <c r="U2003" s="52"/>
      <c r="V2003" s="34"/>
      <c r="W2003" s="408" t="s">
        <v>1849</v>
      </c>
    </row>
    <row r="2004" spans="1:23" ht="12.75" customHeight="1" x14ac:dyDescent="0.2">
      <c r="A2004" s="257">
        <v>1986</v>
      </c>
      <c r="B2004" s="44">
        <v>44525</v>
      </c>
      <c r="C2004" s="44">
        <f t="shared" si="94"/>
        <v>44525</v>
      </c>
      <c r="D2004" s="374">
        <v>269</v>
      </c>
      <c r="E2004" s="291" t="str">
        <f>IFERROR(VLOOKUP($D2004,'Clients-Live'!$A:$C,3,0),"")</f>
        <v>YANYA ROBINA</v>
      </c>
      <c r="F2004" s="291">
        <f>IFERROR(INDEX(Disbursements!$D:$D,MATCH('Live Collections'!G2004,Disbursements!$C:$C,0)),"")</f>
        <v>1</v>
      </c>
      <c r="G2004" s="34">
        <v>294</v>
      </c>
      <c r="H2004" s="34">
        <v>453</v>
      </c>
      <c r="I2004" s="34" t="s">
        <v>1357</v>
      </c>
      <c r="J2004" s="48"/>
      <c r="K2004" s="48"/>
      <c r="L2004" s="48"/>
      <c r="M2004" s="48"/>
      <c r="N2004" s="59"/>
      <c r="O2004" s="59"/>
      <c r="P2004" s="59">
        <v>-50000</v>
      </c>
      <c r="Q2004" s="268">
        <f t="shared" si="95"/>
        <v>-50000</v>
      </c>
      <c r="R2004" s="61">
        <f>IF(O2004=0,0,SUMIFS(Disbursements!$T:$T,Disbursements!$B:$B,'Live Collections'!D2004,Disbursements!$D:$D,'Live Collections'!F2004))</f>
        <v>0</v>
      </c>
      <c r="S2004" s="304">
        <f>IF(O2004&lt;=IF($O2004=0,0,SUMIFS(Disbursements!$W:$W,Disbursements!$B:$B,'Live Collections'!D2947,Disbursements!$D:$D,'Live Collections'!F2947)),O2004,IF($O2004=0,0,SUMIFS(Disbursements!$W:$W,Disbursements!$B:$B,'Live Collections'!D2947,Disbursements!$D:$D,'Live Collections'!F2947)))</f>
        <v>0</v>
      </c>
      <c r="T2004" s="304">
        <f t="shared" si="96"/>
        <v>0</v>
      </c>
      <c r="U2004" s="52"/>
      <c r="V2004" s="34"/>
      <c r="W2004" s="408"/>
    </row>
    <row r="2005" spans="1:23" ht="12.75" customHeight="1" x14ac:dyDescent="0.2">
      <c r="A2005" s="257">
        <v>1993</v>
      </c>
      <c r="B2005" s="44">
        <v>44525</v>
      </c>
      <c r="C2005" s="44">
        <f t="shared" si="94"/>
        <v>44525</v>
      </c>
      <c r="D2005" s="374">
        <v>269</v>
      </c>
      <c r="E2005" s="291" t="str">
        <f>IFERROR(VLOOKUP($D2005,'Clients-Live'!$A:$C,3,0),"")</f>
        <v>YANYA ROBINA</v>
      </c>
      <c r="F2005" s="291">
        <f>IFERROR(INDEX(Disbursements!$D:$D,MATCH('Live Collections'!G2005,Disbursements!$C:$C,0)),"")</f>
        <v>1</v>
      </c>
      <c r="G2005" s="34">
        <v>294</v>
      </c>
      <c r="H2005" s="34">
        <v>3522</v>
      </c>
      <c r="I2005" s="34" t="s">
        <v>1357</v>
      </c>
      <c r="J2005" s="48"/>
      <c r="K2005" s="48"/>
      <c r="L2005" s="48"/>
      <c r="M2005" s="48"/>
      <c r="N2005" s="59"/>
      <c r="O2005" s="59">
        <v>487500</v>
      </c>
      <c r="P2005" s="59"/>
      <c r="Q2005" s="268">
        <f t="shared" si="95"/>
        <v>487500</v>
      </c>
      <c r="R2005" s="61">
        <f>IF(O2005=0,0,SUMIFS(Disbursements!$T:$T,Disbursements!$B:$B,'Live Collections'!D2005,Disbursements!$D:$D,'Live Collections'!F2005))</f>
        <v>538000</v>
      </c>
      <c r="S2005" s="304">
        <f>IF(O2005&lt;=IF($O2005=0,0,SUMIFS(Disbursements!$W:$W,Disbursements!$B:$B,'Live Collections'!D2948,Disbursements!$D:$D,'Live Collections'!F2948)),O2005,IF($O2005=0,0,SUMIFS(Disbursements!$W:$W,Disbursements!$B:$B,'Live Collections'!D2948,Disbursements!$D:$D,'Live Collections'!F2948)))</f>
        <v>10333.333333333328</v>
      </c>
      <c r="T2005" s="304">
        <f t="shared" si="96"/>
        <v>477166.66666666669</v>
      </c>
      <c r="U2005" s="52"/>
      <c r="V2005" s="34"/>
      <c r="W2005" s="408"/>
    </row>
    <row r="2006" spans="1:23" ht="12.75" customHeight="1" x14ac:dyDescent="0.2">
      <c r="A2006" s="257">
        <v>2124</v>
      </c>
      <c r="B2006" s="44">
        <v>44526</v>
      </c>
      <c r="C2006" s="44">
        <f t="shared" si="94"/>
        <v>44526</v>
      </c>
      <c r="D2006" s="374">
        <v>6</v>
      </c>
      <c r="E2006" s="291" t="str">
        <f>IFERROR(VLOOKUP($D2006,'Clients-Live'!$A:$C,3,0),"")</f>
        <v>AMUTE BASHIR</v>
      </c>
      <c r="F2006" s="291">
        <f>IFERROR(INDEX(Disbursements!$D:$D,MATCH('Live Collections'!G2006,Disbursements!$C:$C,0)),"")</f>
        <v>2</v>
      </c>
      <c r="G2006" s="34">
        <v>100</v>
      </c>
      <c r="H2006" s="34">
        <v>3542</v>
      </c>
      <c r="I2006" s="34" t="s">
        <v>1358</v>
      </c>
      <c r="J2006" s="48"/>
      <c r="K2006" s="48"/>
      <c r="L2006" s="48"/>
      <c r="M2006" s="48"/>
      <c r="N2006" s="59"/>
      <c r="O2006" s="59">
        <v>300000</v>
      </c>
      <c r="P2006" s="59"/>
      <c r="Q2006" s="268">
        <f t="shared" si="95"/>
        <v>300000</v>
      </c>
      <c r="R2006" s="61">
        <f>IF(O2006=0,0,SUMIFS(Disbursements!$T:$T,Disbursements!$B:$B,'Live Collections'!D2006,Disbursements!$D:$D,'Live Collections'!F2006))</f>
        <v>1300000</v>
      </c>
      <c r="S2006" s="304">
        <f>IF(O2006&lt;=IF($O2006=0,0,SUMIFS(Disbursements!$W:$W,Disbursements!$B:$B,'Live Collections'!D56,Disbursements!$D:$D,'Live Collections'!F56)),O2006,IF($O2006=0,0,SUMIFS(Disbursements!$W:$W,Disbursements!$B:$B,'Live Collections'!D56,Disbursements!$D:$D,'Live Collections'!F56)))</f>
        <v>19666.666666666672</v>
      </c>
      <c r="T2006" s="304">
        <f t="shared" si="96"/>
        <v>280333.33333333331</v>
      </c>
      <c r="U2006" s="52"/>
      <c r="V2006" s="34"/>
      <c r="W2006" s="408"/>
    </row>
    <row r="2007" spans="1:23" ht="12.75" customHeight="1" x14ac:dyDescent="0.2">
      <c r="A2007" s="257">
        <v>2128</v>
      </c>
      <c r="B2007" s="44">
        <v>44526</v>
      </c>
      <c r="C2007" s="44">
        <f t="shared" si="94"/>
        <v>44526</v>
      </c>
      <c r="D2007" s="374">
        <v>40</v>
      </c>
      <c r="E2007" s="291" t="str">
        <f>IFERROR(VLOOKUP($D2007,'Clients-Live'!$A:$C,3,0),"")</f>
        <v>TABU JANE</v>
      </c>
      <c r="F2007" s="291">
        <f>IFERROR(INDEX(Disbursements!$D:$D,MATCH('Live Collections'!G2007,Disbursements!$C:$C,0)),"")</f>
        <v>2</v>
      </c>
      <c r="G2007" s="34">
        <v>230</v>
      </c>
      <c r="H2007" s="34">
        <v>3538</v>
      </c>
      <c r="I2007" s="34" t="s">
        <v>1358</v>
      </c>
      <c r="J2007" s="48"/>
      <c r="K2007" s="48"/>
      <c r="L2007" s="48"/>
      <c r="M2007" s="48"/>
      <c r="N2007" s="59"/>
      <c r="O2007" s="59">
        <v>200000</v>
      </c>
      <c r="P2007" s="59"/>
      <c r="Q2007" s="268">
        <f t="shared" si="95"/>
        <v>200000</v>
      </c>
      <c r="R2007" s="61">
        <f>IF(O2007=0,0,SUMIFS(Disbursements!$T:$T,Disbursements!$B:$B,'Live Collections'!D2007,Disbursements!$D:$D,'Live Collections'!F2007))</f>
        <v>217000</v>
      </c>
      <c r="S2007" s="304">
        <f>IF(O2007&lt;=IF($O2007=0,0,SUMIFS(Disbursements!$W:$W,Disbursements!$B:$B,'Live Collections'!D439,Disbursements!$D:$D,'Live Collections'!F439)),O2007,IF($O2007=0,0,SUMIFS(Disbursements!$W:$W,Disbursements!$B:$B,'Live Collections'!D439,Disbursements!$D:$D,'Live Collections'!F439)))</f>
        <v>50000</v>
      </c>
      <c r="T2007" s="304">
        <f t="shared" si="96"/>
        <v>150000</v>
      </c>
      <c r="U2007" s="52"/>
      <c r="V2007" s="34"/>
      <c r="W2007" s="408"/>
    </row>
    <row r="2008" spans="1:23" ht="12.75" customHeight="1" x14ac:dyDescent="0.2">
      <c r="A2008" s="257">
        <v>2119</v>
      </c>
      <c r="B2008" s="44">
        <v>44526</v>
      </c>
      <c r="C2008" s="44">
        <f t="shared" si="94"/>
        <v>44526</v>
      </c>
      <c r="D2008" s="374">
        <v>56</v>
      </c>
      <c r="E2008" s="291" t="str">
        <f>IFERROR(VLOOKUP($D2008,'Clients-Live'!$A:$C,3,0),"")</f>
        <v>ALOMO ZABIBU</v>
      </c>
      <c r="F2008" s="291">
        <f>IFERROR(INDEX(Disbursements!$D:$D,MATCH('Live Collections'!G2008,Disbursements!$C:$C,0)),"")</f>
        <v>2</v>
      </c>
      <c r="G2008" s="34">
        <v>326</v>
      </c>
      <c r="H2008" s="34">
        <v>3548</v>
      </c>
      <c r="I2008" s="34" t="s">
        <v>1357</v>
      </c>
      <c r="J2008" s="48"/>
      <c r="K2008" s="48"/>
      <c r="L2008" s="48"/>
      <c r="M2008" s="48"/>
      <c r="N2008" s="59"/>
      <c r="O2008" s="59">
        <v>30000</v>
      </c>
      <c r="P2008" s="59"/>
      <c r="Q2008" s="268">
        <f t="shared" si="95"/>
        <v>30000</v>
      </c>
      <c r="R2008" s="61">
        <f>IF(O2008=0,0,SUMIFS(Disbursements!$T:$T,Disbursements!$B:$B,'Live Collections'!D2008,Disbursements!$D:$D,'Live Collections'!F2008))</f>
        <v>120000</v>
      </c>
      <c r="S2008" s="304">
        <f>IF(O2008&lt;=IF($O2008=0,0,SUMIFS(Disbursements!$W:$W,Disbursements!$B:$B,'Live Collections'!D670,Disbursements!$D:$D,'Live Collections'!F670)),O2008,IF($O2008=0,0,SUMIFS(Disbursements!$W:$W,Disbursements!$B:$B,'Live Collections'!D670,Disbursements!$D:$D,'Live Collections'!F670)))</f>
        <v>30000</v>
      </c>
      <c r="T2008" s="304">
        <f t="shared" si="96"/>
        <v>0</v>
      </c>
      <c r="U2008" s="52"/>
      <c r="V2008" s="34"/>
      <c r="W2008" s="408"/>
    </row>
    <row r="2009" spans="1:23" ht="12.75" customHeight="1" x14ac:dyDescent="0.2">
      <c r="A2009" s="257">
        <v>1995</v>
      </c>
      <c r="B2009" s="44">
        <v>44526</v>
      </c>
      <c r="C2009" s="44">
        <f t="shared" si="94"/>
        <v>44526</v>
      </c>
      <c r="D2009" s="374">
        <v>89</v>
      </c>
      <c r="E2009" s="291" t="str">
        <f>IFERROR(VLOOKUP($D2009,'Clients-Live'!$A:$C,3,0),"")</f>
        <v>ANDA FLORENCE</v>
      </c>
      <c r="F2009" s="291">
        <f>IFERROR(INDEX(Disbursements!$D:$D,MATCH('Live Collections'!G2009,Disbursements!$C:$C,0)),"")</f>
        <v>1</v>
      </c>
      <c r="G2009" s="34">
        <v>78</v>
      </c>
      <c r="H2009" s="34">
        <v>3536</v>
      </c>
      <c r="I2009" s="34" t="s">
        <v>1359</v>
      </c>
      <c r="J2009" s="48"/>
      <c r="K2009" s="48"/>
      <c r="L2009" s="48"/>
      <c r="M2009" s="48"/>
      <c r="N2009" s="59"/>
      <c r="O2009" s="59">
        <v>233000</v>
      </c>
      <c r="P2009" s="59"/>
      <c r="Q2009" s="268">
        <f t="shared" si="95"/>
        <v>233000</v>
      </c>
      <c r="R2009" s="61">
        <f>IF(O2009=0,0,SUMIFS(Disbursements!$T:$T,Disbursements!$B:$B,'Live Collections'!D2009,Disbursements!$D:$D,'Live Collections'!F2009))</f>
        <v>152000</v>
      </c>
      <c r="S2009" s="304">
        <f>IF(O2009&lt;=IF($O2009=0,0,SUMIFS(Disbursements!$W:$W,Disbursements!$B:$B,'Live Collections'!D1160,Disbursements!$D:$D,'Live Collections'!F1160)),O2009,IF($O2009=0,0,SUMIFS(Disbursements!$W:$W,Disbursements!$B:$B,'Live Collections'!D1160,Disbursements!$D:$D,'Live Collections'!F1160)))</f>
        <v>40000</v>
      </c>
      <c r="T2009" s="304">
        <f t="shared" si="96"/>
        <v>193000</v>
      </c>
      <c r="U2009" s="52"/>
      <c r="V2009" s="34"/>
      <c r="W2009" s="408"/>
    </row>
    <row r="2010" spans="1:23" ht="12.75" customHeight="1" x14ac:dyDescent="0.2">
      <c r="A2010" s="257">
        <v>1996</v>
      </c>
      <c r="B2010" s="44">
        <v>44526</v>
      </c>
      <c r="C2010" s="44">
        <f t="shared" si="94"/>
        <v>44526</v>
      </c>
      <c r="D2010" s="374">
        <v>89</v>
      </c>
      <c r="E2010" s="291" t="str">
        <f>IFERROR(VLOOKUP($D2010,'Clients-Live'!$A:$C,3,0),"")</f>
        <v>ANDA FLORENCE</v>
      </c>
      <c r="F2010" s="291">
        <f>IFERROR(INDEX(Disbursements!$D:$D,MATCH('Live Collections'!G2010,Disbursements!$C:$C,0)),"")</f>
        <v>1</v>
      </c>
      <c r="G2010" s="34">
        <v>78</v>
      </c>
      <c r="H2010" s="34">
        <v>449</v>
      </c>
      <c r="I2010" s="34" t="s">
        <v>1359</v>
      </c>
      <c r="J2010" s="48"/>
      <c r="K2010" s="48"/>
      <c r="L2010" s="48"/>
      <c r="M2010" s="48"/>
      <c r="N2010" s="59"/>
      <c r="O2010" s="59"/>
      <c r="P2010" s="59">
        <v>-70000</v>
      </c>
      <c r="Q2010" s="268">
        <f t="shared" si="95"/>
        <v>-70000</v>
      </c>
      <c r="R2010" s="61">
        <f>IF(O2010=0,0,SUMIFS(Disbursements!$T:$T,Disbursements!$B:$B,'Live Collections'!D2010,Disbursements!$D:$D,'Live Collections'!F2010))</f>
        <v>0</v>
      </c>
      <c r="S2010" s="304">
        <f>IF(O2010&lt;=IF($O2010=0,0,SUMIFS(Disbursements!$W:$W,Disbursements!$B:$B,'Live Collections'!D1161,Disbursements!$D:$D,'Live Collections'!F1161)),O2010,IF($O2010=0,0,SUMIFS(Disbursements!$W:$W,Disbursements!$B:$B,'Live Collections'!D1161,Disbursements!$D:$D,'Live Collections'!F1161)))</f>
        <v>0</v>
      </c>
      <c r="T2010" s="304">
        <f t="shared" si="96"/>
        <v>0</v>
      </c>
      <c r="U2010" s="52"/>
      <c r="V2010" s="34"/>
      <c r="W2010" s="408"/>
    </row>
    <row r="2011" spans="1:23" ht="12.75" customHeight="1" x14ac:dyDescent="0.2">
      <c r="A2011" s="257">
        <v>1997</v>
      </c>
      <c r="B2011" s="44">
        <v>44526</v>
      </c>
      <c r="C2011" s="44">
        <f t="shared" si="94"/>
        <v>44526</v>
      </c>
      <c r="D2011" s="374">
        <v>89</v>
      </c>
      <c r="E2011" s="291" t="str">
        <f>IFERROR(VLOOKUP($D2011,'Clients-Live'!$A:$C,3,0),"")</f>
        <v>ANDA FLORENCE</v>
      </c>
      <c r="F2011" s="291">
        <f>IFERROR(INDEX(Disbursements!$D:$D,MATCH('Live Collections'!G2011,Disbursements!$C:$C,0)),"")</f>
        <v>1</v>
      </c>
      <c r="G2011" s="34">
        <v>78</v>
      </c>
      <c r="H2011" s="34">
        <v>3537</v>
      </c>
      <c r="I2011" s="34" t="s">
        <v>1359</v>
      </c>
      <c r="J2011" s="48"/>
      <c r="K2011" s="48"/>
      <c r="L2011" s="48"/>
      <c r="M2011" s="48"/>
      <c r="N2011" s="59"/>
      <c r="O2011" s="59">
        <v>70000</v>
      </c>
      <c r="P2011" s="59"/>
      <c r="Q2011" s="268">
        <f t="shared" si="95"/>
        <v>70000</v>
      </c>
      <c r="R2011" s="61">
        <f>IF(O2011=0,0,SUMIFS(Disbursements!$T:$T,Disbursements!$B:$B,'Live Collections'!D2011,Disbursements!$D:$D,'Live Collections'!F2011))</f>
        <v>152000</v>
      </c>
      <c r="S2011" s="304">
        <f>IF(O2011&lt;=IF($O2011=0,0,SUMIFS(Disbursements!$W:$W,Disbursements!$B:$B,'Live Collections'!D1162,Disbursements!$D:$D,'Live Collections'!F1162)),O2011,IF($O2011=0,0,SUMIFS(Disbursements!$W:$W,Disbursements!$B:$B,'Live Collections'!D1162,Disbursements!$D:$D,'Live Collections'!F1162)))</f>
        <v>50333.333333333343</v>
      </c>
      <c r="T2011" s="304">
        <f t="shared" si="96"/>
        <v>19666.666666666657</v>
      </c>
      <c r="U2011" s="52"/>
      <c r="V2011" s="34"/>
      <c r="W2011" s="408" t="s">
        <v>1850</v>
      </c>
    </row>
    <row r="2012" spans="1:23" ht="12.75" customHeight="1" x14ac:dyDescent="0.2">
      <c r="A2012" s="257">
        <v>2126</v>
      </c>
      <c r="B2012" s="44">
        <v>44526</v>
      </c>
      <c r="C2012" s="44">
        <f t="shared" si="94"/>
        <v>44526</v>
      </c>
      <c r="D2012" s="374">
        <v>89</v>
      </c>
      <c r="E2012" s="291" t="str">
        <f>IFERROR(VLOOKUP($D2012,'Clients-Live'!$A:$C,3,0),"")</f>
        <v>ANDA FLORENCE</v>
      </c>
      <c r="F2012" s="291">
        <f>IFERROR(INDEX(Disbursements!$D:$D,MATCH('Live Collections'!G2012,Disbursements!$C:$C,0)),"")</f>
        <v>1</v>
      </c>
      <c r="G2012" s="34">
        <v>78</v>
      </c>
      <c r="H2012" s="34">
        <v>3540</v>
      </c>
      <c r="I2012" s="34" t="s">
        <v>1359</v>
      </c>
      <c r="J2012" s="48"/>
      <c r="K2012" s="48"/>
      <c r="L2012" s="48"/>
      <c r="M2012" s="48"/>
      <c r="N2012" s="59">
        <v>18000</v>
      </c>
      <c r="O2012" s="59">
        <v>2000</v>
      </c>
      <c r="P2012" s="59"/>
      <c r="Q2012" s="268">
        <f t="shared" si="95"/>
        <v>20000</v>
      </c>
      <c r="R2012" s="61">
        <f>IF(O2012=0,0,SUMIFS(Disbursements!$T:$T,Disbursements!$B:$B,'Live Collections'!D2012,Disbursements!$D:$D,'Live Collections'!F2012))</f>
        <v>152000</v>
      </c>
      <c r="S2012" s="64">
        <v>87666.666666666628</v>
      </c>
      <c r="T2012" s="304">
        <f t="shared" si="96"/>
        <v>-85666.666666666628</v>
      </c>
      <c r="U2012" s="52"/>
      <c r="V2012" s="34"/>
      <c r="W2012" s="408"/>
    </row>
    <row r="2013" spans="1:23" ht="12.75" customHeight="1" x14ac:dyDescent="0.2">
      <c r="A2013" s="257">
        <v>2129</v>
      </c>
      <c r="B2013" s="44">
        <v>44526</v>
      </c>
      <c r="C2013" s="44">
        <f t="shared" si="94"/>
        <v>44526</v>
      </c>
      <c r="D2013" s="374">
        <v>89</v>
      </c>
      <c r="E2013" s="291" t="str">
        <f>IFERROR(VLOOKUP($D2013,'Clients-Live'!$A:$C,3,0),"")</f>
        <v>ANDA FLORENCE</v>
      </c>
      <c r="F2013" s="291">
        <f>IFERROR(INDEX(Disbursements!$D:$D,MATCH('Live Collections'!G2013,Disbursements!$C:$C,0)),"")</f>
        <v>2</v>
      </c>
      <c r="G2013" s="34">
        <v>356</v>
      </c>
      <c r="H2013" s="34">
        <v>3537</v>
      </c>
      <c r="I2013" s="34" t="s">
        <v>1359</v>
      </c>
      <c r="J2013" s="48"/>
      <c r="K2013" s="48"/>
      <c r="L2013" s="48"/>
      <c r="M2013" s="48"/>
      <c r="N2013" s="59"/>
      <c r="O2013" s="59">
        <v>70000</v>
      </c>
      <c r="P2013" s="59"/>
      <c r="Q2013" s="268">
        <f t="shared" si="95"/>
        <v>70000</v>
      </c>
      <c r="R2013" s="61">
        <f>IF(O2013=0,0,SUMIFS(Disbursements!$T:$T,Disbursements!$B:$B,'Live Collections'!D2013,Disbursements!$D:$D,'Live Collections'!F2013))</f>
        <v>210000</v>
      </c>
      <c r="S2013" s="304">
        <f>IF(O2013&lt;=IF($O2013=0,0,SUMIFS(Disbursements!$W:$W,Disbursements!$B:$B,'Live Collections'!D1164,Disbursements!$D:$D,'Live Collections'!F1164)),O2013,IF($O2013=0,0,SUMIFS(Disbursements!$W:$W,Disbursements!$B:$B,'Live Collections'!D1164,Disbursements!$D:$D,'Live Collections'!F1164)))</f>
        <v>0</v>
      </c>
      <c r="T2013" s="304">
        <f t="shared" si="96"/>
        <v>70000</v>
      </c>
      <c r="U2013" s="52"/>
      <c r="V2013" s="34"/>
      <c r="W2013" s="408"/>
    </row>
    <row r="2014" spans="1:23" ht="12.75" customHeight="1" x14ac:dyDescent="0.2">
      <c r="A2014" s="257">
        <v>2130</v>
      </c>
      <c r="B2014" s="44">
        <v>44526</v>
      </c>
      <c r="C2014" s="44">
        <f t="shared" si="94"/>
        <v>44526</v>
      </c>
      <c r="D2014" s="374">
        <v>89</v>
      </c>
      <c r="E2014" s="291" t="str">
        <f>IFERROR(VLOOKUP($D2014,'Clients-Live'!$A:$C,3,0),"")</f>
        <v>ANDA FLORENCE</v>
      </c>
      <c r="F2014" s="291">
        <f>IFERROR(INDEX(Disbursements!$D:$D,MATCH('Live Collections'!G2014,Disbursements!$C:$C,0)),"")</f>
        <v>2</v>
      </c>
      <c r="G2014" s="34">
        <v>356</v>
      </c>
      <c r="H2014" s="34">
        <v>449</v>
      </c>
      <c r="I2014" s="34" t="s">
        <v>1359</v>
      </c>
      <c r="J2014" s="48"/>
      <c r="K2014" s="48"/>
      <c r="L2014" s="48"/>
      <c r="M2014" s="48"/>
      <c r="N2014" s="59"/>
      <c r="O2014" s="59"/>
      <c r="P2014" s="59">
        <v>-70000</v>
      </c>
      <c r="Q2014" s="268">
        <f t="shared" si="95"/>
        <v>-70000</v>
      </c>
      <c r="R2014" s="61">
        <f>IF(O2014=0,0,SUMIFS(Disbursements!$T:$T,Disbursements!$B:$B,'Live Collections'!D2014,Disbursements!$D:$D,'Live Collections'!F2014))</f>
        <v>0</v>
      </c>
      <c r="S2014" s="304">
        <f>IF(O2014&lt;=IF($O2014=0,0,SUMIFS(Disbursements!$W:$W,Disbursements!$B:$B,'Live Collections'!D1165,Disbursements!$D:$D,'Live Collections'!F1165)),O2014,IF($O2014=0,0,SUMIFS(Disbursements!$W:$W,Disbursements!$B:$B,'Live Collections'!D1165,Disbursements!$D:$D,'Live Collections'!F1165)))</f>
        <v>0</v>
      </c>
      <c r="T2014" s="304">
        <f t="shared" si="96"/>
        <v>0</v>
      </c>
      <c r="U2014" s="52"/>
      <c r="V2014" s="34"/>
      <c r="W2014" s="408"/>
    </row>
    <row r="2015" spans="1:23" ht="12.75" customHeight="1" x14ac:dyDescent="0.2">
      <c r="A2015" s="257">
        <v>2131</v>
      </c>
      <c r="B2015" s="44">
        <v>44526</v>
      </c>
      <c r="C2015" s="44">
        <f t="shared" si="94"/>
        <v>44526</v>
      </c>
      <c r="D2015" s="374">
        <v>89</v>
      </c>
      <c r="E2015" s="291" t="str">
        <f>IFERROR(VLOOKUP($D2015,'Clients-Live'!$A:$C,3,0),"")</f>
        <v>ANDA FLORENCE</v>
      </c>
      <c r="F2015" s="291">
        <f>IFERROR(INDEX(Disbursements!$D:$D,MATCH('Live Collections'!G2015,Disbursements!$C:$C,0)),"")</f>
        <v>2</v>
      </c>
      <c r="G2015" s="34">
        <v>356</v>
      </c>
      <c r="H2015" s="34">
        <v>3536</v>
      </c>
      <c r="I2015" s="34" t="s">
        <v>1359</v>
      </c>
      <c r="J2015" s="48"/>
      <c r="K2015" s="48"/>
      <c r="L2015" s="48"/>
      <c r="M2015" s="48"/>
      <c r="N2015" s="59"/>
      <c r="O2015" s="59">
        <v>233000</v>
      </c>
      <c r="P2015" s="59"/>
      <c r="Q2015" s="268">
        <f t="shared" si="95"/>
        <v>233000</v>
      </c>
      <c r="R2015" s="61">
        <f>IF(O2015=0,0,SUMIFS(Disbursements!$T:$T,Disbursements!$B:$B,'Live Collections'!D2015,Disbursements!$D:$D,'Live Collections'!F2015))</f>
        <v>210000</v>
      </c>
      <c r="S2015" s="304">
        <f>IF(O2015&lt;=IF($O2015=0,0,SUMIFS(Disbursements!$W:$W,Disbursements!$B:$B,'Live Collections'!D1166,Disbursements!$D:$D,'Live Collections'!F1166)),O2015,IF($O2015=0,0,SUMIFS(Disbursements!$W:$W,Disbursements!$B:$B,'Live Collections'!D1166,Disbursements!$D:$D,'Live Collections'!F1166)))</f>
        <v>25000</v>
      </c>
      <c r="T2015" s="304">
        <f t="shared" si="96"/>
        <v>208000</v>
      </c>
      <c r="U2015" s="52"/>
      <c r="V2015" s="34"/>
      <c r="W2015" s="408"/>
    </row>
    <row r="2016" spans="1:23" ht="12.75" customHeight="1" x14ac:dyDescent="0.2">
      <c r="A2016" s="257">
        <v>2120</v>
      </c>
      <c r="B2016" s="44">
        <v>44526</v>
      </c>
      <c r="C2016" s="44">
        <f t="shared" si="94"/>
        <v>44526</v>
      </c>
      <c r="D2016" s="374">
        <v>133</v>
      </c>
      <c r="E2016" s="291" t="str">
        <f>IFERROR(VLOOKUP($D2016,'Clients-Live'!$A:$C,3,0),"")</f>
        <v>JABE MARY</v>
      </c>
      <c r="F2016" s="291">
        <f>IFERROR(INDEX(Disbursements!$D:$D,MATCH('Live Collections'!G2016,Disbursements!$C:$C,0)),"")</f>
        <v>1</v>
      </c>
      <c r="G2016" s="34">
        <v>116</v>
      </c>
      <c r="H2016" s="34">
        <v>3543</v>
      </c>
      <c r="I2016" s="34" t="s">
        <v>1359</v>
      </c>
      <c r="J2016" s="48"/>
      <c r="K2016" s="48"/>
      <c r="L2016" s="48"/>
      <c r="M2016" s="48"/>
      <c r="N2016" s="59"/>
      <c r="O2016" s="59">
        <v>80000</v>
      </c>
      <c r="P2016" s="59"/>
      <c r="Q2016" s="268">
        <f t="shared" si="95"/>
        <v>80000</v>
      </c>
      <c r="R2016" s="61">
        <f>IF(O2016=0,0,SUMIFS(Disbursements!$T:$T,Disbursements!$B:$B,'Live Collections'!D2016,Disbursements!$D:$D,'Live Collections'!F2016))</f>
        <v>125000</v>
      </c>
      <c r="S2016" s="304">
        <f>IF(O2016&lt;=IF($O2016=0,0,SUMIFS(Disbursements!$W:$W,Disbursements!$B:$B,'Live Collections'!D1679,Disbursements!$D:$D,'Live Collections'!F1679)),O2016,IF($O2016=0,0,SUMIFS(Disbursements!$W:$W,Disbursements!$B:$B,'Live Collections'!D1679,Disbursements!$D:$D,'Live Collections'!F1679)))</f>
        <v>0</v>
      </c>
      <c r="T2016" s="304">
        <f t="shared" si="96"/>
        <v>80000</v>
      </c>
      <c r="U2016" s="52"/>
      <c r="V2016" s="34"/>
      <c r="W2016" s="408"/>
    </row>
    <row r="2017" spans="1:23" ht="12.75" customHeight="1" x14ac:dyDescent="0.2">
      <c r="A2017" s="257">
        <v>2121</v>
      </c>
      <c r="B2017" s="44">
        <v>44526</v>
      </c>
      <c r="C2017" s="44">
        <f t="shared" si="94"/>
        <v>44526</v>
      </c>
      <c r="D2017" s="374">
        <v>146</v>
      </c>
      <c r="E2017" s="291" t="str">
        <f>IFERROR(VLOOKUP($D2017,'Clients-Live'!$A:$C,3,0),"")</f>
        <v>IMBIRA AISHA</v>
      </c>
      <c r="F2017" s="291">
        <f>IFERROR(INDEX(Disbursements!$D:$D,MATCH('Live Collections'!G2017,Disbursements!$C:$C,0)),"")</f>
        <v>1</v>
      </c>
      <c r="G2017" s="34">
        <v>133</v>
      </c>
      <c r="H2017" s="34">
        <v>3547</v>
      </c>
      <c r="I2017" s="34" t="s">
        <v>1357</v>
      </c>
      <c r="J2017" s="48"/>
      <c r="K2017" s="48"/>
      <c r="L2017" s="48"/>
      <c r="M2017" s="48"/>
      <c r="N2017" s="59"/>
      <c r="O2017" s="59">
        <v>20000</v>
      </c>
      <c r="P2017" s="59"/>
      <c r="Q2017" s="268">
        <f t="shared" si="95"/>
        <v>20000</v>
      </c>
      <c r="R2017" s="61">
        <f>IF(O2017=0,0,SUMIFS(Disbursements!$T:$T,Disbursements!$B:$B,'Live Collections'!D2017,Disbursements!$D:$D,'Live Collections'!F2017))</f>
        <v>120000</v>
      </c>
      <c r="S2017" s="304"/>
      <c r="T2017" s="304">
        <f t="shared" si="96"/>
        <v>20000</v>
      </c>
      <c r="U2017" s="52"/>
      <c r="V2017" s="34"/>
      <c r="W2017" s="408"/>
    </row>
    <row r="2018" spans="1:23" ht="12.75" customHeight="1" x14ac:dyDescent="0.2">
      <c r="A2018" s="257">
        <v>2122</v>
      </c>
      <c r="B2018" s="44">
        <v>44526</v>
      </c>
      <c r="C2018" s="44">
        <f t="shared" si="94"/>
        <v>44526</v>
      </c>
      <c r="D2018" s="374">
        <v>164</v>
      </c>
      <c r="E2018" s="291" t="str">
        <f>IFERROR(VLOOKUP($D2018,'Clients-Live'!$A:$C,3,0),"")</f>
        <v>ARIKE SWAIB</v>
      </c>
      <c r="F2018" s="291">
        <f>IFERROR(INDEX(Disbursements!$D:$D,MATCH('Live Collections'!G2018,Disbursements!$C:$C,0)),"")</f>
        <v>1</v>
      </c>
      <c r="G2018" s="34">
        <v>154</v>
      </c>
      <c r="H2018" s="34">
        <v>3545</v>
      </c>
      <c r="I2018" s="34" t="s">
        <v>1357</v>
      </c>
      <c r="J2018" s="48"/>
      <c r="K2018" s="48"/>
      <c r="L2018" s="48"/>
      <c r="M2018" s="48"/>
      <c r="N2018" s="59"/>
      <c r="O2018" s="59">
        <v>121000</v>
      </c>
      <c r="P2018" s="59"/>
      <c r="Q2018" s="268">
        <f t="shared" si="95"/>
        <v>121000</v>
      </c>
      <c r="R2018" s="61">
        <f>IF(O2018=0,0,SUMIFS(Disbursements!$T:$T,Disbursements!$B:$B,'Live Collections'!D2018,Disbursements!$D:$D,'Live Collections'!F2018))</f>
        <v>109000</v>
      </c>
      <c r="S2018" s="304">
        <f>IF(O2018&lt;=IF($O2018=0,0,SUMIFS(Disbursements!$W:$W,Disbursements!$B:$B,'Live Collections'!D2039,Disbursements!$D:$D,'Live Collections'!F2039)),O2018,IF($O2018=0,0,SUMIFS(Disbursements!$W:$W,Disbursements!$B:$B,'Live Collections'!D2039,Disbursements!$D:$D,'Live Collections'!F2039)))</f>
        <v>10333.333333333328</v>
      </c>
      <c r="T2018" s="304">
        <f t="shared" si="96"/>
        <v>110666.66666666667</v>
      </c>
      <c r="U2018" s="52"/>
      <c r="V2018" s="34"/>
      <c r="W2018" s="408"/>
    </row>
    <row r="2019" spans="1:23" ht="12.75" customHeight="1" x14ac:dyDescent="0.2">
      <c r="A2019" s="257">
        <v>2127</v>
      </c>
      <c r="B2019" s="44">
        <v>44526</v>
      </c>
      <c r="C2019" s="44">
        <f t="shared" si="94"/>
        <v>44526</v>
      </c>
      <c r="D2019" s="374">
        <v>171</v>
      </c>
      <c r="E2019" s="291" t="str">
        <f>IFERROR(VLOOKUP($D2019,'Clients-Live'!$A:$C,3,0),"")</f>
        <v>BADAKA GIFT JOEL</v>
      </c>
      <c r="F2019" s="291">
        <f>IFERROR(INDEX(Disbursements!$D:$D,MATCH('Live Collections'!G2019,Disbursements!$C:$C,0)),"")</f>
        <v>2</v>
      </c>
      <c r="G2019" s="34">
        <v>349</v>
      </c>
      <c r="H2019" s="34">
        <v>3539</v>
      </c>
      <c r="I2019" s="34" t="s">
        <v>1357</v>
      </c>
      <c r="J2019" s="48"/>
      <c r="K2019" s="48"/>
      <c r="L2019" s="48"/>
      <c r="M2019" s="48"/>
      <c r="N2019" s="59"/>
      <c r="O2019" s="59"/>
      <c r="P2019" s="59">
        <v>65000</v>
      </c>
      <c r="Q2019" s="268">
        <f t="shared" si="95"/>
        <v>65000</v>
      </c>
      <c r="R2019" s="61">
        <f>IF(O2019=0,0,SUMIFS(Disbursements!$T:$T,Disbursements!$B:$B,'Live Collections'!D2019,Disbursements!$D:$D,'Live Collections'!F2019))</f>
        <v>0</v>
      </c>
      <c r="S2019" s="304">
        <f>IF(O2019&lt;=IF($O2019=0,0,SUMIFS(Disbursements!$W:$W,Disbursements!$B:$B,'Live Collections'!D2124,Disbursements!$D:$D,'Live Collections'!F2124)),O2019,IF($O2019=0,0,SUMIFS(Disbursements!$W:$W,Disbursements!$B:$B,'Live Collections'!D2124,Disbursements!$D:$D,'Live Collections'!F2124)))</f>
        <v>0</v>
      </c>
      <c r="T2019" s="304">
        <f t="shared" si="96"/>
        <v>0</v>
      </c>
      <c r="U2019" s="52"/>
      <c r="V2019" s="34"/>
      <c r="W2019" s="408"/>
    </row>
    <row r="2020" spans="1:23" ht="12.75" customHeight="1" x14ac:dyDescent="0.2">
      <c r="A2020" s="257">
        <v>2133</v>
      </c>
      <c r="B2020" s="44">
        <v>44526</v>
      </c>
      <c r="C2020" s="44">
        <f t="shared" si="94"/>
        <v>44526</v>
      </c>
      <c r="D2020" s="374">
        <v>171</v>
      </c>
      <c r="E2020" s="291" t="str">
        <f>IFERROR(VLOOKUP($D2020,'Clients-Live'!$A:$C,3,0),"")</f>
        <v>BADAKA GIFT JOEL</v>
      </c>
      <c r="F2020" s="291" t="str">
        <f>IFERROR(INDEX(Disbursements!$D:$D,MATCH('Live Collections'!G2020,Disbursements!$C:$C,0)),"")</f>
        <v/>
      </c>
      <c r="G2020" s="34"/>
      <c r="H2020" s="34">
        <v>3534</v>
      </c>
      <c r="I2020" s="34" t="s">
        <v>1716</v>
      </c>
      <c r="J2020" s="48"/>
      <c r="K2020" s="48"/>
      <c r="L2020" s="48">
        <v>15000</v>
      </c>
      <c r="M2020" s="48">
        <v>5000</v>
      </c>
      <c r="N2020" s="59"/>
      <c r="O2020" s="59"/>
      <c r="P2020" s="59"/>
      <c r="Q2020" s="268">
        <f t="shared" si="95"/>
        <v>20000</v>
      </c>
      <c r="R2020" s="61">
        <f>IF(O2020=0,0,SUMIFS(Disbursements!$T:$T,Disbursements!$B:$B,'Live Collections'!D2020,Disbursements!$D:$D,'Live Collections'!F2020))</f>
        <v>0</v>
      </c>
      <c r="S2020" s="304">
        <f>IF(O2020&lt;=IF($O2020=0,0,SUMIFS(Disbursements!$W:$W,Disbursements!$B:$B,'Live Collections'!D2125,Disbursements!$D:$D,'Live Collections'!F2125)),O2020,IF($O2020=0,0,SUMIFS(Disbursements!$W:$W,Disbursements!$B:$B,'Live Collections'!D2125,Disbursements!$D:$D,'Live Collections'!F2125)))</f>
        <v>0</v>
      </c>
      <c r="T2020" s="304">
        <f t="shared" si="96"/>
        <v>0</v>
      </c>
      <c r="U2020" s="52"/>
      <c r="V2020" s="34"/>
      <c r="W2020" s="408"/>
    </row>
    <row r="2021" spans="1:23" ht="12.75" customHeight="1" x14ac:dyDescent="0.2">
      <c r="A2021" s="257">
        <v>2125</v>
      </c>
      <c r="B2021" s="44">
        <v>44526</v>
      </c>
      <c r="C2021" s="44">
        <f t="shared" si="94"/>
        <v>44526</v>
      </c>
      <c r="D2021" s="374">
        <v>197</v>
      </c>
      <c r="E2021" s="291" t="str">
        <f>IFERROR(VLOOKUP($D2021,'Clients-Live'!$A:$C,3,0),"")</f>
        <v>SIYESA JAMILA</v>
      </c>
      <c r="F2021" s="291">
        <f>IFERROR(INDEX(Disbursements!$D:$D,MATCH('Live Collections'!G2021,Disbursements!$C:$C,0)),"")</f>
        <v>1</v>
      </c>
      <c r="G2021" s="34">
        <v>192</v>
      </c>
      <c r="H2021" s="34">
        <v>3541</v>
      </c>
      <c r="I2021" s="34" t="s">
        <v>1358</v>
      </c>
      <c r="J2021" s="48"/>
      <c r="K2021" s="48"/>
      <c r="L2021" s="48"/>
      <c r="M2021" s="48"/>
      <c r="N2021" s="59"/>
      <c r="O2021" s="59">
        <v>30000</v>
      </c>
      <c r="P2021" s="59"/>
      <c r="Q2021" s="268">
        <f t="shared" si="95"/>
        <v>30000</v>
      </c>
      <c r="R2021" s="61">
        <f>IF(O2021=0,0,SUMIFS(Disbursements!$T:$T,Disbursements!$B:$B,'Live Collections'!D2021,Disbursements!$D:$D,'Live Collections'!F2021))</f>
        <v>120000</v>
      </c>
      <c r="S2021" s="304"/>
      <c r="T2021" s="304">
        <f t="shared" si="96"/>
        <v>30000</v>
      </c>
      <c r="U2021" s="52"/>
      <c r="V2021" s="34"/>
      <c r="W2021" s="408"/>
    </row>
    <row r="2022" spans="1:23" ht="12.75" customHeight="1" x14ac:dyDescent="0.2">
      <c r="A2022" s="257">
        <v>2123</v>
      </c>
      <c r="B2022" s="44">
        <v>44526</v>
      </c>
      <c r="C2022" s="44">
        <f t="shared" si="94"/>
        <v>44526</v>
      </c>
      <c r="D2022" s="374">
        <v>252</v>
      </c>
      <c r="E2022" s="291" t="str">
        <f>IFERROR(VLOOKUP($D2022,'Clients-Live'!$A:$C,3,0),"")</f>
        <v>ANGUCIA JESCA</v>
      </c>
      <c r="F2022" s="291">
        <f>IFERROR(INDEX(Disbursements!$D:$D,MATCH('Live Collections'!G2022,Disbursements!$C:$C,0)),"")</f>
        <v>1</v>
      </c>
      <c r="G2022" s="34">
        <v>286</v>
      </c>
      <c r="H2022" s="34">
        <v>3544</v>
      </c>
      <c r="I2022" s="34" t="s">
        <v>1359</v>
      </c>
      <c r="J2022" s="48"/>
      <c r="K2022" s="48"/>
      <c r="L2022" s="48"/>
      <c r="M2022" s="48"/>
      <c r="N2022" s="59"/>
      <c r="O2022" s="59">
        <v>100000</v>
      </c>
      <c r="P2022" s="59"/>
      <c r="Q2022" s="268">
        <f t="shared" si="95"/>
        <v>100000</v>
      </c>
      <c r="R2022" s="61">
        <f>IF(O2022=0,0,SUMIFS(Disbursements!$T:$T,Disbursements!$B:$B,'Live Collections'!D2022,Disbursements!$D:$D,'Live Collections'!F2022))</f>
        <v>120000</v>
      </c>
      <c r="S2022" s="304">
        <f>IF(O2022&lt;=IF($O2022=0,0,SUMIFS(Disbursements!$W:$W,Disbursements!$B:$B,'Live Collections'!D2833,Disbursements!$D:$D,'Live Collections'!F2833)),O2022,IF($O2022=0,0,SUMIFS(Disbursements!$W:$W,Disbursements!$B:$B,'Live Collections'!D2833,Disbursements!$D:$D,'Live Collections'!F2833)))</f>
        <v>35333.333333333328</v>
      </c>
      <c r="T2022" s="304">
        <f t="shared" si="96"/>
        <v>64666.666666666672</v>
      </c>
      <c r="U2022" s="52"/>
      <c r="V2022" s="34"/>
      <c r="W2022" s="408"/>
    </row>
    <row r="2023" spans="1:23" ht="12.75" customHeight="1" x14ac:dyDescent="0.2">
      <c r="A2023" s="257">
        <v>2132</v>
      </c>
      <c r="B2023" s="44">
        <v>44526</v>
      </c>
      <c r="C2023" s="44">
        <f t="shared" si="94"/>
        <v>44526</v>
      </c>
      <c r="D2023" s="374">
        <v>260</v>
      </c>
      <c r="E2023" s="291" t="str">
        <f>IFERROR(VLOOKUP($D2023,'Clients-Live'!$A:$C,3,0),"")</f>
        <v>ATAYI GRACE</v>
      </c>
      <c r="F2023" s="291">
        <f>IFERROR(INDEX(Disbursements!$D:$D,MATCH('Live Collections'!G2023,Disbursements!$C:$C,0)),"")</f>
        <v>1</v>
      </c>
      <c r="G2023" s="34">
        <v>303</v>
      </c>
      <c r="H2023" s="34">
        <v>3535</v>
      </c>
      <c r="I2023" s="34" t="s">
        <v>1359</v>
      </c>
      <c r="J2023" s="48"/>
      <c r="K2023" s="48"/>
      <c r="L2023" s="48"/>
      <c r="M2023" s="48"/>
      <c r="N2023" s="59"/>
      <c r="O2023" s="59">
        <v>25000</v>
      </c>
      <c r="P2023" s="59"/>
      <c r="Q2023" s="268">
        <f t="shared" si="95"/>
        <v>25000</v>
      </c>
      <c r="R2023" s="61">
        <f>IF(O2023=0,0,SUMIFS(Disbursements!$T:$T,Disbursements!$B:$B,'Live Collections'!D2023,Disbursements!$D:$D,'Live Collections'!F2023))</f>
        <v>23000</v>
      </c>
      <c r="S2023" s="304">
        <v>18000</v>
      </c>
      <c r="T2023" s="304">
        <f t="shared" si="96"/>
        <v>7000</v>
      </c>
      <c r="U2023" s="52"/>
      <c r="V2023" s="34"/>
      <c r="W2023" s="408"/>
    </row>
    <row r="2024" spans="1:23" ht="12.75" customHeight="1" x14ac:dyDescent="0.2">
      <c r="A2024" s="257">
        <v>2009</v>
      </c>
      <c r="B2024" s="44">
        <v>44527</v>
      </c>
      <c r="C2024" s="44">
        <f t="shared" si="94"/>
        <v>44527</v>
      </c>
      <c r="D2024" s="374">
        <v>67</v>
      </c>
      <c r="E2024" s="291" t="str">
        <f>IFERROR(VLOOKUP($D2024,'Clients-Live'!$A:$C,3,0),"")</f>
        <v>KEBITA SAUDA</v>
      </c>
      <c r="F2024" s="291">
        <f>IFERROR(INDEX(Disbursements!$D:$D,MATCH('Live Collections'!G2024,Disbursements!$C:$C,0)),"")</f>
        <v>2</v>
      </c>
      <c r="G2024" s="34">
        <v>272</v>
      </c>
      <c r="H2024" s="34">
        <v>3622</v>
      </c>
      <c r="I2024" s="34" t="s">
        <v>1358</v>
      </c>
      <c r="J2024" s="48"/>
      <c r="K2024" s="48"/>
      <c r="L2024" s="48"/>
      <c r="M2024" s="48"/>
      <c r="N2024" s="59"/>
      <c r="O2024" s="59">
        <v>80000</v>
      </c>
      <c r="P2024" s="59"/>
      <c r="Q2024" s="268">
        <f t="shared" si="95"/>
        <v>80000</v>
      </c>
      <c r="R2024" s="61">
        <f>IF(O2024=0,0,SUMIFS(Disbursements!$T:$T,Disbursements!$B:$B,'Live Collections'!D2024,Disbursements!$D:$D,'Live Collections'!F2024))</f>
        <v>180000</v>
      </c>
      <c r="S2024" s="304">
        <f>IF(O2024&lt;=IF($O2024=0,0,SUMIFS(Disbursements!$W:$W,Disbursements!$B:$B,'Live Collections'!D834,Disbursements!$D:$D,'Live Collections'!F834)),O2024,IF($O2024=0,0,SUMIFS(Disbursements!$W:$W,Disbursements!$B:$B,'Live Collections'!D834,Disbursements!$D:$D,'Live Collections'!F834)))</f>
        <v>25000</v>
      </c>
      <c r="T2024" s="304">
        <f t="shared" si="96"/>
        <v>55000</v>
      </c>
      <c r="U2024" s="52"/>
      <c r="V2024" s="34"/>
      <c r="W2024" s="408"/>
    </row>
    <row r="2025" spans="1:23" ht="12.75" customHeight="1" x14ac:dyDescent="0.2">
      <c r="A2025" s="257">
        <v>2011</v>
      </c>
      <c r="B2025" s="44">
        <v>44527</v>
      </c>
      <c r="C2025" s="44">
        <f t="shared" si="94"/>
        <v>44527</v>
      </c>
      <c r="D2025" s="374">
        <v>75</v>
      </c>
      <c r="E2025" s="291" t="str">
        <f>IFERROR(VLOOKUP($D2025,'Clients-Live'!$A:$C,3,0),"")</f>
        <v>MUKULIA JAMES</v>
      </c>
      <c r="F2025" s="291">
        <f>IFERROR(INDEX(Disbursements!$D:$D,MATCH('Live Collections'!G2025,Disbursements!$C:$C,0)),"")</f>
        <v>2</v>
      </c>
      <c r="G2025" s="34">
        <v>174</v>
      </c>
      <c r="H2025" s="34">
        <v>3618</v>
      </c>
      <c r="I2025" s="34" t="s">
        <v>1359</v>
      </c>
      <c r="J2025" s="48"/>
      <c r="K2025" s="48"/>
      <c r="L2025" s="48"/>
      <c r="M2025" s="48"/>
      <c r="N2025" s="59"/>
      <c r="O2025" s="59">
        <v>72000</v>
      </c>
      <c r="P2025" s="59"/>
      <c r="Q2025" s="268">
        <f t="shared" si="95"/>
        <v>72000</v>
      </c>
      <c r="R2025" s="61">
        <f>IF(O2025=0,0,SUMIFS(Disbursements!$T:$T,Disbursements!$B:$B,'Live Collections'!D2025,Disbursements!$D:$D,'Live Collections'!F2025))</f>
        <v>175000</v>
      </c>
      <c r="S2025" s="304">
        <f>IF(O2025&lt;=IF($O2025=0,0,SUMIFS(Disbursements!$W:$W,Disbursements!$B:$B,'Live Collections'!D960,Disbursements!$D:$D,'Live Collections'!F960)),O2025,IF($O2025=0,0,SUMIFS(Disbursements!$W:$W,Disbursements!$B:$B,'Live Collections'!D960,Disbursements!$D:$D,'Live Collections'!F960)))</f>
        <v>35000</v>
      </c>
      <c r="T2025" s="304">
        <f t="shared" si="96"/>
        <v>37000</v>
      </c>
      <c r="U2025" s="52"/>
      <c r="V2025" s="34"/>
      <c r="W2025" s="408"/>
    </row>
    <row r="2026" spans="1:23" ht="12.75" customHeight="1" x14ac:dyDescent="0.2">
      <c r="A2026" s="257">
        <v>2012</v>
      </c>
      <c r="B2026" s="44">
        <v>44527</v>
      </c>
      <c r="C2026" s="44">
        <f t="shared" si="94"/>
        <v>44527</v>
      </c>
      <c r="D2026" s="374">
        <v>75</v>
      </c>
      <c r="E2026" s="291" t="str">
        <f>IFERROR(VLOOKUP($D2026,'Clients-Live'!$A:$C,3,0),"")</f>
        <v>MUKULIA JAMES</v>
      </c>
      <c r="F2026" s="291">
        <f>IFERROR(INDEX(Disbursements!$D:$D,MATCH('Live Collections'!G2026,Disbursements!$C:$C,0)),"")</f>
        <v>2</v>
      </c>
      <c r="G2026" s="34">
        <v>174</v>
      </c>
      <c r="H2026" s="34">
        <v>468</v>
      </c>
      <c r="I2026" s="34" t="s">
        <v>1359</v>
      </c>
      <c r="J2026" s="48"/>
      <c r="K2026" s="48"/>
      <c r="L2026" s="48"/>
      <c r="M2026" s="48"/>
      <c r="N2026" s="59"/>
      <c r="O2026" s="59"/>
      <c r="P2026" s="59">
        <v>-72000</v>
      </c>
      <c r="Q2026" s="268">
        <f t="shared" si="95"/>
        <v>-72000</v>
      </c>
      <c r="R2026" s="61">
        <f>IF(O2026=0,0,SUMIFS(Disbursements!$T:$T,Disbursements!$B:$B,'Live Collections'!D2026,Disbursements!$D:$D,'Live Collections'!F2026))</f>
        <v>0</v>
      </c>
      <c r="S2026" s="304">
        <f>IF(O2026&lt;=IF($O2026=0,0,SUMIFS(Disbursements!$W:$W,Disbursements!$B:$B,'Live Collections'!D961,Disbursements!$D:$D,'Live Collections'!F961)),O2026,IF($O2026=0,0,SUMIFS(Disbursements!$W:$W,Disbursements!$B:$B,'Live Collections'!D961,Disbursements!$D:$D,'Live Collections'!F961)))</f>
        <v>0</v>
      </c>
      <c r="T2026" s="304">
        <f t="shared" si="96"/>
        <v>0</v>
      </c>
      <c r="U2026" s="52"/>
      <c r="V2026" s="34"/>
      <c r="W2026" s="408" t="s">
        <v>2107</v>
      </c>
    </row>
    <row r="2027" spans="1:23" ht="12.75" customHeight="1" x14ac:dyDescent="0.2">
      <c r="A2027" s="257">
        <v>2013</v>
      </c>
      <c r="B2027" s="44">
        <v>44527</v>
      </c>
      <c r="C2027" s="44">
        <f t="shared" si="94"/>
        <v>44527</v>
      </c>
      <c r="D2027" s="374">
        <v>75</v>
      </c>
      <c r="E2027" s="291" t="str">
        <f>IFERROR(VLOOKUP($D2027,'Clients-Live'!$A:$C,3,0),"")</f>
        <v>MUKULIA JAMES</v>
      </c>
      <c r="F2027" s="291">
        <f>IFERROR(INDEX(Disbursements!$D:$D,MATCH('Live Collections'!G2027,Disbursements!$C:$C,0)),"")</f>
        <v>2</v>
      </c>
      <c r="G2027" s="34">
        <v>174</v>
      </c>
      <c r="H2027" s="34">
        <v>3621</v>
      </c>
      <c r="I2027" s="34" t="s">
        <v>1359</v>
      </c>
      <c r="J2027" s="48"/>
      <c r="K2027" s="48"/>
      <c r="L2027" s="48"/>
      <c r="M2027" s="48"/>
      <c r="N2027" s="59"/>
      <c r="O2027" s="59">
        <v>280000</v>
      </c>
      <c r="P2027" s="59"/>
      <c r="Q2027" s="268">
        <f t="shared" si="95"/>
        <v>280000</v>
      </c>
      <c r="R2027" s="61">
        <f>IF(O2027=0,0,SUMIFS(Disbursements!$T:$T,Disbursements!$B:$B,'Live Collections'!D2027,Disbursements!$D:$D,'Live Collections'!F2027))</f>
        <v>175000</v>
      </c>
      <c r="S2027" s="64">
        <v>54000</v>
      </c>
      <c r="T2027" s="304">
        <f t="shared" si="96"/>
        <v>226000</v>
      </c>
      <c r="U2027" s="52"/>
      <c r="V2027" s="34"/>
      <c r="W2027" s="408"/>
    </row>
    <row r="2028" spans="1:23" ht="12.75" customHeight="1" x14ac:dyDescent="0.2">
      <c r="A2028" s="257">
        <v>2016</v>
      </c>
      <c r="B2028" s="44">
        <v>44527</v>
      </c>
      <c r="C2028" s="44">
        <f t="shared" si="94"/>
        <v>44527</v>
      </c>
      <c r="D2028" s="374">
        <v>100</v>
      </c>
      <c r="E2028" s="291" t="str">
        <f>IFERROR(VLOOKUP($D2028,'Clients-Live'!$A:$C,3,0),"")</f>
        <v>LETAYO DORCUS</v>
      </c>
      <c r="F2028" s="291">
        <f>IFERROR(INDEX(Disbursements!$D:$D,MATCH('Live Collections'!G2028,Disbursements!$C:$C,0)),"")</f>
        <v>2</v>
      </c>
      <c r="G2028" s="34">
        <v>184</v>
      </c>
      <c r="H2028" s="34">
        <v>3550</v>
      </c>
      <c r="I2028" s="34" t="s">
        <v>1357</v>
      </c>
      <c r="J2028" s="48"/>
      <c r="K2028" s="48"/>
      <c r="L2028" s="48"/>
      <c r="M2028" s="48"/>
      <c r="N2028" s="59"/>
      <c r="O2028" s="59">
        <v>35000</v>
      </c>
      <c r="P2028" s="59"/>
      <c r="Q2028" s="268">
        <f t="shared" si="95"/>
        <v>35000</v>
      </c>
      <c r="R2028" s="61">
        <f>IF(O2028=0,0,SUMIFS(Disbursements!$T:$T,Disbursements!$B:$B,'Live Collections'!D2028,Disbursements!$D:$D,'Live Collections'!F2028))</f>
        <v>150000</v>
      </c>
      <c r="S2028" s="304">
        <f>IF(O2028&lt;=IF($O2028=0,0,SUMIFS(Disbursements!$W:$W,Disbursements!$B:$B,'Live Collections'!D1299,Disbursements!$D:$D,'Live Collections'!F1299)),O2028,IF($O2028=0,0,SUMIFS(Disbursements!$W:$W,Disbursements!$B:$B,'Live Collections'!D1299,Disbursements!$D:$D,'Live Collections'!F1299)))</f>
        <v>0</v>
      </c>
      <c r="T2028" s="304">
        <f t="shared" si="96"/>
        <v>35000</v>
      </c>
      <c r="U2028" s="52"/>
      <c r="V2028" s="34"/>
      <c r="W2028" s="408"/>
    </row>
    <row r="2029" spans="1:23" ht="12.75" customHeight="1" x14ac:dyDescent="0.2">
      <c r="A2029" s="257">
        <v>2008</v>
      </c>
      <c r="B2029" s="44">
        <v>44527</v>
      </c>
      <c r="C2029" s="44">
        <f t="shared" si="94"/>
        <v>44527</v>
      </c>
      <c r="D2029" s="374">
        <v>137</v>
      </c>
      <c r="E2029" s="291" t="str">
        <f>IFERROR(VLOOKUP($D2029,'Clients-Live'!$A:$C,3,0),"")</f>
        <v>YAKANI CHARLES</v>
      </c>
      <c r="F2029" s="291">
        <f>IFERROR(INDEX(Disbursements!$D:$D,MATCH('Live Collections'!G2029,Disbursements!$C:$C,0)),"")</f>
        <v>1</v>
      </c>
      <c r="G2029" s="34">
        <v>121</v>
      </c>
      <c r="H2029" s="34">
        <v>1046</v>
      </c>
      <c r="I2029" s="34" t="s">
        <v>1359</v>
      </c>
      <c r="J2029" s="48"/>
      <c r="K2029" s="48"/>
      <c r="L2029" s="48"/>
      <c r="M2029" s="48"/>
      <c r="N2029" s="59"/>
      <c r="O2029" s="59"/>
      <c r="P2029" s="59">
        <v>-50000</v>
      </c>
      <c r="Q2029" s="268">
        <f t="shared" si="95"/>
        <v>-50000</v>
      </c>
      <c r="R2029" s="61">
        <f>IF(O2029=0,0,SUMIFS(Disbursements!$T:$T,Disbursements!$B:$B,'Live Collections'!D2029,Disbursements!$D:$D,'Live Collections'!F2029))</f>
        <v>0</v>
      </c>
      <c r="S2029" s="304">
        <f>IF(O2029&lt;=IF($O2029=0,0,SUMIFS(Disbursements!$W:$W,Disbursements!$B:$B,'Live Collections'!D1731,Disbursements!$D:$D,'Live Collections'!F1731)),O2029,IF($O2029=0,0,SUMIFS(Disbursements!$W:$W,Disbursements!$B:$B,'Live Collections'!D1731,Disbursements!$D:$D,'Live Collections'!F1731)))</f>
        <v>0</v>
      </c>
      <c r="T2029" s="304">
        <f t="shared" si="96"/>
        <v>0</v>
      </c>
      <c r="U2029" s="52"/>
      <c r="V2029" s="34"/>
      <c r="W2029" s="408" t="s">
        <v>1857</v>
      </c>
    </row>
    <row r="2030" spans="1:23" ht="12.75" customHeight="1" x14ac:dyDescent="0.2">
      <c r="A2030" s="257">
        <v>2014</v>
      </c>
      <c r="B2030" s="44">
        <v>44527</v>
      </c>
      <c r="C2030" s="44">
        <f t="shared" si="94"/>
        <v>44527</v>
      </c>
      <c r="D2030" s="374">
        <v>145</v>
      </c>
      <c r="E2030" s="291" t="str">
        <f>IFERROR(VLOOKUP($D2030,'Clients-Live'!$A:$C,3,0),"")</f>
        <v>NIGHT ASARA</v>
      </c>
      <c r="F2030" s="291">
        <f>IFERROR(INDEX(Disbursements!$D:$D,MATCH('Live Collections'!G2030,Disbursements!$C:$C,0)),"")</f>
        <v>1</v>
      </c>
      <c r="G2030" s="34">
        <v>132</v>
      </c>
      <c r="H2030" s="34">
        <v>3617</v>
      </c>
      <c r="I2030" s="34" t="s">
        <v>1357</v>
      </c>
      <c r="J2030" s="48"/>
      <c r="K2030" s="48"/>
      <c r="L2030" s="48"/>
      <c r="M2030" s="48"/>
      <c r="N2030" s="59"/>
      <c r="O2030" s="59">
        <v>30000</v>
      </c>
      <c r="P2030" s="59"/>
      <c r="Q2030" s="268">
        <f t="shared" si="95"/>
        <v>30000</v>
      </c>
      <c r="R2030" s="61">
        <f>IF(O2030=0,0,SUMIFS(Disbursements!$T:$T,Disbursements!$B:$B,'Live Collections'!D2030,Disbursements!$D:$D,'Live Collections'!F2030))</f>
        <v>120000</v>
      </c>
      <c r="S2030" s="304"/>
      <c r="T2030" s="304">
        <f t="shared" si="96"/>
        <v>30000</v>
      </c>
      <c r="U2030" s="52"/>
      <c r="V2030" s="34"/>
      <c r="W2030" s="408"/>
    </row>
    <row r="2031" spans="1:23" ht="12.75" customHeight="1" x14ac:dyDescent="0.2">
      <c r="A2031" s="257">
        <v>1998</v>
      </c>
      <c r="B2031" s="44">
        <v>44527</v>
      </c>
      <c r="C2031" s="44">
        <f t="shared" si="94"/>
        <v>44527</v>
      </c>
      <c r="D2031" s="374">
        <v>186</v>
      </c>
      <c r="E2031" s="291" t="str">
        <f>IFERROR(VLOOKUP($D2031,'Clients-Live'!$A:$C,3,0),"")</f>
        <v>GIFT JAMES</v>
      </c>
      <c r="F2031" s="291">
        <f>IFERROR(INDEX(Disbursements!$D:$D,MATCH('Live Collections'!G2031,Disbursements!$C:$C,0)),"")</f>
        <v>1</v>
      </c>
      <c r="G2031" s="34">
        <v>172</v>
      </c>
      <c r="H2031" s="34">
        <v>452</v>
      </c>
      <c r="I2031" s="34" t="s">
        <v>1359</v>
      </c>
      <c r="J2031" s="48"/>
      <c r="K2031" s="48"/>
      <c r="L2031" s="48"/>
      <c r="M2031" s="48"/>
      <c r="N2031" s="59"/>
      <c r="O2031" s="59"/>
      <c r="P2031" s="59">
        <v>-70000</v>
      </c>
      <c r="Q2031" s="268">
        <f t="shared" si="95"/>
        <v>-70000</v>
      </c>
      <c r="R2031" s="61">
        <f>IF(O2031=0,0,SUMIFS(Disbursements!$T:$T,Disbursements!$B:$B,'Live Collections'!D2031,Disbursements!$D:$D,'Live Collections'!F2031))</f>
        <v>0</v>
      </c>
      <c r="S2031" s="304">
        <f>IF(O2031&lt;=IF($O2031=0,0,SUMIFS(Disbursements!$W:$W,Disbursements!$B:$B,'Live Collections'!D2263,Disbursements!$D:$D,'Live Collections'!F2263)),O2031,IF($O2031=0,0,SUMIFS(Disbursements!$W:$W,Disbursements!$B:$B,'Live Collections'!D2263,Disbursements!$D:$D,'Live Collections'!F2263)))</f>
        <v>0</v>
      </c>
      <c r="T2031" s="304">
        <f t="shared" si="96"/>
        <v>0</v>
      </c>
      <c r="U2031" s="52"/>
      <c r="V2031" s="34"/>
      <c r="W2031" s="408"/>
    </row>
    <row r="2032" spans="1:23" ht="12.75" customHeight="1" x14ac:dyDescent="0.2">
      <c r="A2032" s="430">
        <v>1999</v>
      </c>
      <c r="B2032" s="422">
        <v>44527</v>
      </c>
      <c r="C2032" s="422">
        <f t="shared" si="94"/>
        <v>44527</v>
      </c>
      <c r="D2032" s="423">
        <v>186</v>
      </c>
      <c r="E2032" s="291" t="str">
        <f>IFERROR(VLOOKUP($D2032,'Clients-Live'!$A:$C,3,0),"")</f>
        <v>GIFT JAMES</v>
      </c>
      <c r="F2032" s="291">
        <f>IFERROR(INDEX(Disbursements!$D:$D,MATCH('Live Collections'!G2032,Disbursements!$C:$C,0)),"")</f>
        <v>1</v>
      </c>
      <c r="G2032" s="424">
        <v>172</v>
      </c>
      <c r="H2032" s="424">
        <v>3602</v>
      </c>
      <c r="I2032" s="424" t="s">
        <v>1359</v>
      </c>
      <c r="J2032" s="425"/>
      <c r="K2032" s="425"/>
      <c r="L2032" s="425"/>
      <c r="M2032" s="425"/>
      <c r="N2032" s="175"/>
      <c r="O2032" s="175">
        <v>70000</v>
      </c>
      <c r="P2032" s="175"/>
      <c r="Q2032" s="426">
        <f t="shared" si="95"/>
        <v>70000</v>
      </c>
      <c r="R2032" s="61">
        <f>IF(O2032=0,0,SUMIFS(Disbursements!$T:$T,Disbursements!$B:$B,'Live Collections'!D2032,Disbursements!$D:$D,'Live Collections'!F2032))</f>
        <v>753000</v>
      </c>
      <c r="S2032" s="470">
        <v>13000</v>
      </c>
      <c r="T2032" s="427">
        <f t="shared" si="96"/>
        <v>57000</v>
      </c>
      <c r="U2032" s="428"/>
      <c r="V2032" s="424"/>
      <c r="W2032" s="429" t="s">
        <v>1854</v>
      </c>
    </row>
    <row r="2033" spans="1:23" ht="12.75" customHeight="1" x14ac:dyDescent="0.2">
      <c r="A2033" s="441">
        <v>2001</v>
      </c>
      <c r="B2033" s="442">
        <v>44527</v>
      </c>
      <c r="C2033" s="442">
        <f t="shared" si="94"/>
        <v>44527</v>
      </c>
      <c r="D2033" s="443">
        <v>186</v>
      </c>
      <c r="E2033" s="291" t="str">
        <f>IFERROR(VLOOKUP($D2033,'Clients-Live'!$A:$C,3,0),"")</f>
        <v>GIFT JAMES</v>
      </c>
      <c r="F2033" s="291">
        <f>IFERROR(INDEX(Disbursements!$D:$D,MATCH('Live Collections'!G2033,Disbursements!$C:$C,0)),"")</f>
        <v>2</v>
      </c>
      <c r="G2033" s="404">
        <v>255</v>
      </c>
      <c r="H2033" s="404">
        <v>3614</v>
      </c>
      <c r="I2033" s="404" t="s">
        <v>1359</v>
      </c>
      <c r="J2033" s="444"/>
      <c r="K2033" s="444"/>
      <c r="L2033" s="444"/>
      <c r="M2033" s="444"/>
      <c r="N2033" s="444"/>
      <c r="O2033" s="444">
        <v>285000</v>
      </c>
      <c r="P2033" s="444"/>
      <c r="Q2033" s="445">
        <f t="shared" si="95"/>
        <v>285000</v>
      </c>
      <c r="R2033" s="61">
        <f>IF(O2033=0,0,SUMIFS(Disbursements!$T:$T,Disbursements!$B:$B,'Live Collections'!D2033,Disbursements!$D:$D,'Live Collections'!F2033))</f>
        <v>345000</v>
      </c>
      <c r="S2033" s="446">
        <f>IF(O2033&lt;=IF($O2033=0,0,SUMIFS(Disbursements!$W:$W,Disbursements!$B:$B,'Live Collections'!D2265,Disbursements!$D:$D,'Live Collections'!F2265)),O2033,IF($O2033=0,0,SUMIFS(Disbursements!$W:$W,Disbursements!$B:$B,'Live Collections'!D2265,Disbursements!$D:$D,'Live Collections'!F2265)))</f>
        <v>20000</v>
      </c>
      <c r="T2033" s="446">
        <f t="shared" si="96"/>
        <v>265000</v>
      </c>
      <c r="U2033" s="447"/>
      <c r="V2033" s="404"/>
      <c r="W2033" s="448"/>
    </row>
    <row r="2034" spans="1:23" ht="12.75" customHeight="1" x14ac:dyDescent="0.2">
      <c r="A2034" s="257">
        <v>2002</v>
      </c>
      <c r="B2034" s="44">
        <v>44527</v>
      </c>
      <c r="C2034" s="44">
        <f t="shared" si="94"/>
        <v>44527</v>
      </c>
      <c r="D2034" s="431">
        <v>186</v>
      </c>
      <c r="E2034" s="291" t="str">
        <f>IFERROR(VLOOKUP($D2034,'Clients-Live'!$A:$C,3,0),"")</f>
        <v>GIFT JAMES</v>
      </c>
      <c r="F2034" s="291">
        <f>IFERROR(INDEX(Disbursements!$D:$D,MATCH('Live Collections'!G2034,Disbursements!$C:$C,0)),"")</f>
        <v>2</v>
      </c>
      <c r="G2034" s="35">
        <v>255</v>
      </c>
      <c r="H2034" s="35">
        <v>467</v>
      </c>
      <c r="I2034" s="35" t="s">
        <v>1359</v>
      </c>
      <c r="J2034" s="59"/>
      <c r="K2034" s="59"/>
      <c r="L2034" s="59"/>
      <c r="M2034" s="59"/>
      <c r="N2034" s="59"/>
      <c r="O2034" s="59"/>
      <c r="P2034" s="59">
        <v>-60000</v>
      </c>
      <c r="Q2034" s="268">
        <f t="shared" si="95"/>
        <v>-60000</v>
      </c>
      <c r="R2034" s="61">
        <f>IF(O2034=0,0,SUMIFS(Disbursements!$T:$T,Disbursements!$B:$B,'Live Collections'!D2034,Disbursements!$D:$D,'Live Collections'!F2034))</f>
        <v>0</v>
      </c>
      <c r="S2034" s="432">
        <f>IF(O2034&lt;=IF($O2034=0,0,SUMIFS(Disbursements!$W:$W,Disbursements!$B:$B,'Live Collections'!D2266,Disbursements!$D:$D,'Live Collections'!F2266)),O2034,IF($O2034=0,0,SUMIFS(Disbursements!$W:$W,Disbursements!$B:$B,'Live Collections'!D2266,Disbursements!$D:$D,'Live Collections'!F2266)))</f>
        <v>0</v>
      </c>
      <c r="T2034" s="432">
        <f t="shared" si="96"/>
        <v>0</v>
      </c>
      <c r="U2034" s="51"/>
      <c r="V2034" s="35"/>
      <c r="W2034" s="433"/>
    </row>
    <row r="2035" spans="1:23" ht="12.75" customHeight="1" x14ac:dyDescent="0.2">
      <c r="A2035" s="257">
        <v>2003</v>
      </c>
      <c r="B2035" s="44">
        <v>44527</v>
      </c>
      <c r="C2035" s="44">
        <f t="shared" si="94"/>
        <v>44527</v>
      </c>
      <c r="D2035" s="374">
        <v>186</v>
      </c>
      <c r="E2035" s="291" t="str">
        <f>IFERROR(VLOOKUP($D2035,'Clients-Live'!$A:$C,3,0),"")</f>
        <v>GIFT JAMES</v>
      </c>
      <c r="F2035" s="291">
        <f>IFERROR(INDEX(Disbursements!$D:$D,MATCH('Live Collections'!G2035,Disbursements!$C:$C,0)),"")</f>
        <v>2</v>
      </c>
      <c r="G2035" s="34">
        <v>255</v>
      </c>
      <c r="H2035" s="34">
        <v>3613</v>
      </c>
      <c r="I2035" s="34" t="s">
        <v>1359</v>
      </c>
      <c r="J2035" s="48"/>
      <c r="K2035" s="48"/>
      <c r="L2035" s="48"/>
      <c r="M2035" s="48"/>
      <c r="N2035" s="59"/>
      <c r="O2035" s="59">
        <v>60000</v>
      </c>
      <c r="P2035" s="59"/>
      <c r="Q2035" s="268">
        <f t="shared" si="95"/>
        <v>60000</v>
      </c>
      <c r="R2035" s="61">
        <f>IF(O2035=0,0,SUMIFS(Disbursements!$T:$T,Disbursements!$B:$B,'Live Collections'!D2035,Disbursements!$D:$D,'Live Collections'!F2035))</f>
        <v>345000</v>
      </c>
      <c r="S2035" s="64">
        <v>50000</v>
      </c>
      <c r="T2035" s="304">
        <f t="shared" si="96"/>
        <v>10000</v>
      </c>
      <c r="U2035" s="52"/>
      <c r="V2035" s="34"/>
      <c r="W2035" s="408" t="s">
        <v>1855</v>
      </c>
    </row>
    <row r="2036" spans="1:23" ht="12.75" customHeight="1" x14ac:dyDescent="0.2">
      <c r="A2036" s="257">
        <v>2006</v>
      </c>
      <c r="B2036" s="44">
        <v>44527</v>
      </c>
      <c r="C2036" s="44">
        <f t="shared" si="94"/>
        <v>44527</v>
      </c>
      <c r="D2036" s="374">
        <v>232</v>
      </c>
      <c r="E2036" s="291" t="str">
        <f>IFERROR(VLOOKUP($D2036,'Clients-Live'!$A:$C,3,0),"")</f>
        <v>LEMERIGA GEOFFREY</v>
      </c>
      <c r="F2036" s="291">
        <f>IFERROR(INDEX(Disbursements!$D:$D,MATCH('Live Collections'!G2036,Disbursements!$C:$C,0)),"")</f>
        <v>1</v>
      </c>
      <c r="G2036" s="34">
        <v>250</v>
      </c>
      <c r="H2036" s="34">
        <v>466</v>
      </c>
      <c r="I2036" s="34" t="s">
        <v>1358</v>
      </c>
      <c r="J2036" s="48"/>
      <c r="K2036" s="48"/>
      <c r="L2036" s="48"/>
      <c r="M2036" s="48"/>
      <c r="N2036" s="59"/>
      <c r="O2036" s="59"/>
      <c r="P2036" s="59">
        <v>-100000</v>
      </c>
      <c r="Q2036" s="268">
        <v>-100000</v>
      </c>
      <c r="R2036" s="61">
        <f>IF(O2036=0,0,SUMIFS(Disbursements!$T:$T,Disbursements!$B:$B,'Live Collections'!D2036,Disbursements!$D:$D,'Live Collections'!F2036))</f>
        <v>0</v>
      </c>
      <c r="S2036" s="304">
        <f>IF(O2036&lt;=IF($O2036=0,0,SUMIFS(Disbursements!$W:$W,Disbursements!$B:$B,'Live Collections'!D2688,Disbursements!$D:$D,'Live Collections'!F2688)),O2036,IF($O2036=0,0,SUMIFS(Disbursements!$W:$W,Disbursements!$B:$B,'Live Collections'!D2688,Disbursements!$D:$D,'Live Collections'!F2688)))</f>
        <v>0</v>
      </c>
      <c r="T2036" s="304">
        <f t="shared" si="96"/>
        <v>0</v>
      </c>
      <c r="U2036" s="52"/>
      <c r="V2036" s="34"/>
      <c r="W2036" s="408"/>
    </row>
    <row r="2037" spans="1:23" ht="12.75" customHeight="1" x14ac:dyDescent="0.2">
      <c r="A2037" s="257">
        <v>2007</v>
      </c>
      <c r="B2037" s="44">
        <v>44527</v>
      </c>
      <c r="C2037" s="44">
        <f t="shared" si="94"/>
        <v>44527</v>
      </c>
      <c r="D2037" s="374">
        <v>232</v>
      </c>
      <c r="E2037" s="291" t="str">
        <f>IFERROR(VLOOKUP($D2037,'Clients-Live'!$A:$C,3,0),"")</f>
        <v>LEMERIGA GEOFFREY</v>
      </c>
      <c r="F2037" s="291">
        <f>IFERROR(INDEX(Disbursements!$D:$D,MATCH('Live Collections'!G2037,Disbursements!$C:$C,0)),"")</f>
        <v>1</v>
      </c>
      <c r="G2037" s="34">
        <v>250</v>
      </c>
      <c r="H2037" s="34">
        <v>3611</v>
      </c>
      <c r="I2037" s="34" t="s">
        <v>1358</v>
      </c>
      <c r="J2037" s="48"/>
      <c r="K2037" s="48"/>
      <c r="L2037" s="48"/>
      <c r="M2037" s="48"/>
      <c r="N2037" s="59"/>
      <c r="O2037" s="59">
        <v>100000</v>
      </c>
      <c r="P2037" s="59"/>
      <c r="Q2037" s="268">
        <f t="shared" ref="Q2037:Q2098" si="97">SUM(J2037:P2037)</f>
        <v>100000</v>
      </c>
      <c r="R2037" s="61">
        <f>IF(O2037=0,0,SUMIFS(Disbursements!$T:$T,Disbursements!$B:$B,'Live Collections'!D2037,Disbursements!$D:$D,'Live Collections'!F2037))</f>
        <v>1050000</v>
      </c>
      <c r="S2037" s="304"/>
      <c r="T2037" s="304">
        <f t="shared" si="96"/>
        <v>100000</v>
      </c>
      <c r="U2037" s="52"/>
      <c r="V2037" s="34"/>
      <c r="W2037" s="408" t="s">
        <v>1856</v>
      </c>
    </row>
    <row r="2038" spans="1:23" ht="12.75" customHeight="1" x14ac:dyDescent="0.2">
      <c r="A2038" s="257">
        <v>2015</v>
      </c>
      <c r="B2038" s="44">
        <v>44527</v>
      </c>
      <c r="C2038" s="44">
        <f t="shared" si="94"/>
        <v>44527</v>
      </c>
      <c r="D2038" s="374">
        <v>232</v>
      </c>
      <c r="E2038" s="291" t="str">
        <f>IFERROR(VLOOKUP($D2038,'Clients-Live'!$A:$C,3,0),"")</f>
        <v>LEMERIGA GEOFFREY</v>
      </c>
      <c r="F2038" s="291">
        <f>IFERROR(INDEX(Disbursements!$D:$D,MATCH('Live Collections'!G2038,Disbursements!$C:$C,0)),"")</f>
        <v>1</v>
      </c>
      <c r="G2038" s="34">
        <v>250</v>
      </c>
      <c r="H2038" s="34">
        <v>3612</v>
      </c>
      <c r="I2038" s="34" t="s">
        <v>1358</v>
      </c>
      <c r="J2038" s="48"/>
      <c r="K2038" s="48"/>
      <c r="L2038" s="48"/>
      <c r="M2038" s="48"/>
      <c r="N2038" s="59"/>
      <c r="O2038" s="59">
        <v>25000</v>
      </c>
      <c r="P2038" s="59"/>
      <c r="Q2038" s="268">
        <f t="shared" si="97"/>
        <v>25000</v>
      </c>
      <c r="R2038" s="61">
        <f>IF(O2038=0,0,SUMIFS(Disbursements!$T:$T,Disbursements!$B:$B,'Live Collections'!D2038,Disbursements!$D:$D,'Live Collections'!F2038))</f>
        <v>1050000</v>
      </c>
      <c r="S2038" s="304"/>
      <c r="T2038" s="304">
        <f t="shared" si="96"/>
        <v>25000</v>
      </c>
      <c r="U2038" s="52"/>
      <c r="V2038" s="34"/>
      <c r="W2038" s="408"/>
    </row>
    <row r="2039" spans="1:23" ht="12.75" customHeight="1" x14ac:dyDescent="0.2">
      <c r="A2039" s="257">
        <v>2010</v>
      </c>
      <c r="B2039" s="44">
        <v>44527</v>
      </c>
      <c r="C2039" s="44">
        <f t="shared" si="94"/>
        <v>44527</v>
      </c>
      <c r="D2039" s="374">
        <v>262</v>
      </c>
      <c r="E2039" s="291" t="str">
        <f>IFERROR(VLOOKUP($D2039,'Clients-Live'!$A:$C,3,0),"")</f>
        <v>ALONE ZAITUN</v>
      </c>
      <c r="F2039" s="291">
        <f>IFERROR(INDEX(Disbursements!$D:$D,MATCH('Live Collections'!G2039,Disbursements!$C:$C,0)),"")</f>
        <v>1</v>
      </c>
      <c r="G2039" s="34">
        <v>297</v>
      </c>
      <c r="H2039" s="34">
        <v>3619</v>
      </c>
      <c r="I2039" s="34" t="s">
        <v>1357</v>
      </c>
      <c r="J2039" s="48"/>
      <c r="K2039" s="48"/>
      <c r="L2039" s="48"/>
      <c r="M2039" s="48"/>
      <c r="N2039" s="59"/>
      <c r="O2039" s="59">
        <v>76700</v>
      </c>
      <c r="P2039" s="59"/>
      <c r="Q2039" s="268">
        <f t="shared" si="97"/>
        <v>76700</v>
      </c>
      <c r="R2039" s="61">
        <f>IF(O2039=0,0,SUMIFS(Disbursements!$T:$T,Disbursements!$B:$B,'Live Collections'!D2039,Disbursements!$D:$D,'Live Collections'!F2039))</f>
        <v>77000</v>
      </c>
      <c r="S2039" s="304">
        <f>IF(O2039&lt;=IF($O2039=0,0,SUMIFS(Disbursements!$W:$W,Disbursements!$B:$B,'Live Collections'!D2895,Disbursements!$D:$D,'Live Collections'!F2895)),O2039,IF($O2039=0,0,SUMIFS(Disbursements!$W:$W,Disbursements!$B:$B,'Live Collections'!D2895,Disbursements!$D:$D,'Live Collections'!F2895)))</f>
        <v>15000</v>
      </c>
      <c r="T2039" s="304">
        <f t="shared" si="96"/>
        <v>61700</v>
      </c>
      <c r="U2039" s="52"/>
      <c r="V2039" s="34"/>
      <c r="W2039" s="408"/>
    </row>
    <row r="2040" spans="1:23" ht="12.75" customHeight="1" x14ac:dyDescent="0.2">
      <c r="A2040" s="257">
        <v>2044</v>
      </c>
      <c r="B2040" s="44">
        <v>44529</v>
      </c>
      <c r="C2040" s="44">
        <f t="shared" si="94"/>
        <v>44529</v>
      </c>
      <c r="D2040" s="374">
        <v>9</v>
      </c>
      <c r="E2040" s="291" t="str">
        <f>IFERROR(VLOOKUP($D2040,'Clients-Live'!$A:$C,3,0),"")</f>
        <v>TABAN DAVID YAYA</v>
      </c>
      <c r="F2040" s="291">
        <f>IFERROR(INDEX(Disbursements!$D:$D,MATCH('Live Collections'!G2040,Disbursements!$C:$C,0)),"")</f>
        <v>2</v>
      </c>
      <c r="G2040" s="34">
        <v>221</v>
      </c>
      <c r="H2040" s="34">
        <v>3604</v>
      </c>
      <c r="I2040" s="34" t="s">
        <v>1357</v>
      </c>
      <c r="J2040" s="48"/>
      <c r="K2040" s="48"/>
      <c r="L2040" s="48"/>
      <c r="M2040" s="48"/>
      <c r="N2040" s="59"/>
      <c r="O2040" s="59">
        <v>100000</v>
      </c>
      <c r="P2040" s="59"/>
      <c r="Q2040" s="268">
        <f t="shared" si="97"/>
        <v>100000</v>
      </c>
      <c r="R2040" s="61">
        <f>IF(O2040=0,0,SUMIFS(Disbursements!$T:$T,Disbursements!$B:$B,'Live Collections'!D2040,Disbursements!$D:$D,'Live Collections'!F2040))</f>
        <v>360000</v>
      </c>
      <c r="S2040" s="304">
        <f>IF(O2040&lt;=IF($O2040=0,0,SUMIFS(Disbursements!$W:$W,Disbursements!$B:$B,'Live Collections'!D91,Disbursements!$D:$D,'Live Collections'!F91)),O2040,IF($O2040=0,0,SUMIFS(Disbursements!$W:$W,Disbursements!$B:$B,'Live Collections'!D91,Disbursements!$D:$D,'Live Collections'!F91)))</f>
        <v>0</v>
      </c>
      <c r="T2040" s="304">
        <f t="shared" si="96"/>
        <v>100000</v>
      </c>
      <c r="U2040" s="52"/>
      <c r="V2040" s="34"/>
      <c r="W2040" s="408"/>
    </row>
    <row r="2041" spans="1:23" ht="12.75" customHeight="1" x14ac:dyDescent="0.2">
      <c r="A2041" s="257">
        <v>2046</v>
      </c>
      <c r="B2041" s="44">
        <v>44529</v>
      </c>
      <c r="C2041" s="44">
        <f t="shared" si="94"/>
        <v>44529</v>
      </c>
      <c r="D2041" s="374">
        <v>44</v>
      </c>
      <c r="E2041" s="291" t="str">
        <f>IFERROR(VLOOKUP($D2041,'Clients-Live'!$A:$C,3,0),"")</f>
        <v>CANDIRU HELLEN</v>
      </c>
      <c r="F2041" s="291">
        <f>IFERROR(INDEX(Disbursements!$D:$D,MATCH('Live Collections'!G2041,Disbursements!$C:$C,0)),"")</f>
        <v>2</v>
      </c>
      <c r="G2041" s="34">
        <v>129</v>
      </c>
      <c r="H2041" s="34">
        <v>3638</v>
      </c>
      <c r="I2041" s="34" t="s">
        <v>1358</v>
      </c>
      <c r="J2041" s="48"/>
      <c r="K2041" s="48"/>
      <c r="L2041" s="48"/>
      <c r="M2041" s="48"/>
      <c r="N2041" s="59"/>
      <c r="O2041" s="59">
        <v>216700</v>
      </c>
      <c r="P2041" s="59"/>
      <c r="Q2041" s="268">
        <f t="shared" si="97"/>
        <v>216700</v>
      </c>
      <c r="R2041" s="61">
        <f>IF(O2041=0,0,SUMIFS(Disbursements!$T:$T,Disbursements!$B:$B,'Live Collections'!D2041,Disbursements!$D:$D,'Live Collections'!F2041))</f>
        <v>217000</v>
      </c>
      <c r="S2041" s="304">
        <f>IF(O2041&lt;=IF($O2041=0,0,SUMIFS(Disbursements!$W:$W,Disbursements!$B:$B,'Live Collections'!D493,Disbursements!$D:$D,'Live Collections'!F493)),O2041,IF($O2041=0,0,SUMIFS(Disbursements!$W:$W,Disbursements!$B:$B,'Live Collections'!D493,Disbursements!$D:$D,'Live Collections'!F493)))</f>
        <v>10333.333333333328</v>
      </c>
      <c r="T2041" s="304">
        <f t="shared" si="96"/>
        <v>206366.66666666669</v>
      </c>
      <c r="U2041" s="52"/>
      <c r="V2041" s="34"/>
      <c r="W2041" s="408"/>
    </row>
    <row r="2042" spans="1:23" ht="12.75" customHeight="1" x14ac:dyDescent="0.2">
      <c r="A2042" s="257">
        <v>2038</v>
      </c>
      <c r="B2042" s="44">
        <v>44529</v>
      </c>
      <c r="C2042" s="44">
        <f t="shared" si="94"/>
        <v>44529</v>
      </c>
      <c r="D2042" s="374">
        <v>68</v>
      </c>
      <c r="E2042" s="291" t="str">
        <f>IFERROR(VLOOKUP($D2042,'Clients-Live'!$A:$C,3,0),"")</f>
        <v>CHANDIA  RAHIMA</v>
      </c>
      <c r="F2042" s="291">
        <f>IFERROR(INDEX(Disbursements!$D:$D,MATCH('Live Collections'!G2042,Disbursements!$C:$C,0)),"")</f>
        <v>1</v>
      </c>
      <c r="G2042" s="34">
        <v>51</v>
      </c>
      <c r="H2042" s="34">
        <v>3624</v>
      </c>
      <c r="I2042" s="34" t="s">
        <v>1357</v>
      </c>
      <c r="J2042" s="48"/>
      <c r="K2042" s="48"/>
      <c r="L2042" s="48"/>
      <c r="M2042" s="48"/>
      <c r="N2042" s="59"/>
      <c r="O2042" s="59">
        <v>100000</v>
      </c>
      <c r="P2042" s="59"/>
      <c r="Q2042" s="268">
        <f t="shared" si="97"/>
        <v>100000</v>
      </c>
      <c r="R2042" s="61">
        <f>IF(O2042=0,0,SUMIFS(Disbursements!$T:$T,Disbursements!$B:$B,'Live Collections'!D2042,Disbursements!$D:$D,'Live Collections'!F2042))</f>
        <v>152000</v>
      </c>
      <c r="S2042" s="304">
        <f>IF(O2042&lt;=IF($O2042=0,0,SUMIFS(Disbursements!$W:$W,Disbursements!$B:$B,'Live Collections'!D847,Disbursements!$D:$D,'Live Collections'!F847)),O2042,IF($O2042=0,0,SUMIFS(Disbursements!$W:$W,Disbursements!$B:$B,'Live Collections'!D847,Disbursements!$D:$D,'Live Collections'!F847)))</f>
        <v>25000</v>
      </c>
      <c r="T2042" s="304">
        <f t="shared" si="96"/>
        <v>75000</v>
      </c>
      <c r="U2042" s="52"/>
      <c r="V2042" s="34"/>
      <c r="W2042" s="408"/>
    </row>
    <row r="2043" spans="1:23" ht="12.75" customHeight="1" x14ac:dyDescent="0.2">
      <c r="A2043" s="257">
        <v>2029</v>
      </c>
      <c r="B2043" s="44">
        <v>44529</v>
      </c>
      <c r="C2043" s="44">
        <f t="shared" si="94"/>
        <v>44529</v>
      </c>
      <c r="D2043" s="374">
        <v>73</v>
      </c>
      <c r="E2043" s="291" t="str">
        <f>IFERROR(VLOOKUP($D2043,'Clients-Live'!$A:$C,3,0),"")</f>
        <v>AJONYE DEBORA</v>
      </c>
      <c r="F2043" s="291">
        <f>IFERROR(INDEX(Disbursements!$D:$D,MATCH('Live Collections'!G2043,Disbursements!$C:$C,0)),"")</f>
        <v>2</v>
      </c>
      <c r="G2043" s="34">
        <v>240</v>
      </c>
      <c r="H2043" s="34">
        <v>3666</v>
      </c>
      <c r="I2043" s="34" t="s">
        <v>1357</v>
      </c>
      <c r="J2043" s="48"/>
      <c r="K2043" s="48"/>
      <c r="L2043" s="48"/>
      <c r="M2043" s="48"/>
      <c r="N2043" s="59"/>
      <c r="O2043" s="59">
        <v>150000</v>
      </c>
      <c r="P2043" s="59"/>
      <c r="Q2043" s="268">
        <f t="shared" si="97"/>
        <v>150000</v>
      </c>
      <c r="R2043" s="61">
        <f>IF(O2043=0,0,SUMIFS(Disbursements!$T:$T,Disbursements!$B:$B,'Live Collections'!D2043,Disbursements!$D:$D,'Live Collections'!F2043))</f>
        <v>150000</v>
      </c>
      <c r="S2043" s="304">
        <f>IF(O2043&lt;=IF($O2043=0,0,SUMIFS(Disbursements!$W:$W,Disbursements!$B:$B,'Live Collections'!D925,Disbursements!$D:$D,'Live Collections'!F925)),O2043,IF($O2043=0,0,SUMIFS(Disbursements!$W:$W,Disbursements!$B:$B,'Live Collections'!D925,Disbursements!$D:$D,'Live Collections'!F925)))</f>
        <v>50333.333333333343</v>
      </c>
      <c r="T2043" s="304">
        <f t="shared" si="96"/>
        <v>99666.666666666657</v>
      </c>
      <c r="U2043" s="52"/>
      <c r="V2043" s="34"/>
      <c r="W2043" s="408"/>
    </row>
    <row r="2044" spans="1:23" ht="12.75" customHeight="1" x14ac:dyDescent="0.2">
      <c r="A2044" s="257">
        <v>2030</v>
      </c>
      <c r="B2044" s="44">
        <v>44529</v>
      </c>
      <c r="C2044" s="44">
        <f t="shared" si="94"/>
        <v>44529</v>
      </c>
      <c r="D2044" s="374">
        <v>75</v>
      </c>
      <c r="E2044" s="291" t="str">
        <f>IFERROR(VLOOKUP($D2044,'Clients-Live'!$A:$C,3,0),"")</f>
        <v>MUKULIA JAMES</v>
      </c>
      <c r="F2044" s="291" t="str">
        <f>IFERROR(INDEX(Disbursements!$D:$D,MATCH('Live Collections'!G2044,Disbursements!$C:$C,0)),"")</f>
        <v/>
      </c>
      <c r="G2044" s="34"/>
      <c r="H2044" s="34">
        <v>3663</v>
      </c>
      <c r="I2044" s="34" t="s">
        <v>1359</v>
      </c>
      <c r="J2044" s="48"/>
      <c r="K2044" s="48"/>
      <c r="L2044" s="48">
        <v>15000</v>
      </c>
      <c r="M2044" s="48">
        <v>5000</v>
      </c>
      <c r="N2044" s="59"/>
      <c r="O2044" s="59"/>
      <c r="P2044" s="59"/>
      <c r="Q2044" s="268">
        <f t="shared" si="97"/>
        <v>20000</v>
      </c>
      <c r="R2044" s="61">
        <f>IF(O2044=0,0,SUMIFS(Disbursements!$T:$T,Disbursements!$B:$B,'Live Collections'!D2044,Disbursements!$D:$D,'Live Collections'!F2044))</f>
        <v>0</v>
      </c>
      <c r="S2044" s="304">
        <f>IF(O2044&lt;=IF($O2044=0,0,SUMIFS(Disbursements!$W:$W,Disbursements!$B:$B,'Live Collections'!D963,Disbursements!$D:$D,'Live Collections'!F963)),O2044,IF($O2044=0,0,SUMIFS(Disbursements!$W:$W,Disbursements!$B:$B,'Live Collections'!D963,Disbursements!$D:$D,'Live Collections'!F963)))</f>
        <v>0</v>
      </c>
      <c r="T2044" s="304">
        <f t="shared" si="96"/>
        <v>0</v>
      </c>
      <c r="U2044" s="52"/>
      <c r="V2044" s="34"/>
      <c r="W2044" s="408"/>
    </row>
    <row r="2045" spans="1:23" ht="12.75" customHeight="1" x14ac:dyDescent="0.2">
      <c r="A2045" s="257">
        <v>2045</v>
      </c>
      <c r="B2045" s="44">
        <v>44529</v>
      </c>
      <c r="C2045" s="44">
        <f t="shared" si="94"/>
        <v>44529</v>
      </c>
      <c r="D2045" s="374">
        <v>85</v>
      </c>
      <c r="E2045" s="291" t="str">
        <f>IFERROR(VLOOKUP($D2045,'Clients-Live'!$A:$C,3,0),"")</f>
        <v>CEASER SWALEH</v>
      </c>
      <c r="F2045" s="291">
        <f>IFERROR(INDEX(Disbursements!$D:$D,MATCH('Live Collections'!G2045,Disbursements!$C:$C,0)),"")</f>
        <v>2</v>
      </c>
      <c r="G2045" s="34">
        <v>119</v>
      </c>
      <c r="H2045" s="34">
        <v>3603</v>
      </c>
      <c r="I2045" s="34" t="s">
        <v>1357</v>
      </c>
      <c r="J2045" s="48"/>
      <c r="K2045" s="48"/>
      <c r="L2045" s="48"/>
      <c r="M2045" s="48"/>
      <c r="N2045" s="59"/>
      <c r="O2045" s="59">
        <v>200000</v>
      </c>
      <c r="P2045" s="59"/>
      <c r="Q2045" s="268">
        <f t="shared" si="97"/>
        <v>200000</v>
      </c>
      <c r="R2045" s="61">
        <f>IF(O2045=0,0,SUMIFS(Disbursements!$T:$T,Disbursements!$B:$B,'Live Collections'!D2045,Disbursements!$D:$D,'Live Collections'!F2045))</f>
        <v>434000</v>
      </c>
      <c r="S2045" s="304">
        <f>IF(O2045&lt;=IF($O2045=0,0,SUMIFS(Disbursements!$W:$W,Disbursements!$B:$B,'Live Collections'!D1093,Disbursements!$D:$D,'Live Collections'!F1093)),O2045,IF($O2045=0,0,SUMIFS(Disbursements!$W:$W,Disbursements!$B:$B,'Live Collections'!D1093,Disbursements!$D:$D,'Live Collections'!F1093)))</f>
        <v>15000</v>
      </c>
      <c r="T2045" s="304">
        <f t="shared" si="96"/>
        <v>185000</v>
      </c>
      <c r="U2045" s="52"/>
      <c r="V2045" s="34"/>
      <c r="W2045" s="408"/>
    </row>
    <row r="2046" spans="1:23" ht="12.75" customHeight="1" x14ac:dyDescent="0.2">
      <c r="A2046" s="257">
        <v>2031</v>
      </c>
      <c r="B2046" s="44">
        <v>44529</v>
      </c>
      <c r="C2046" s="44">
        <f t="shared" si="94"/>
        <v>44529</v>
      </c>
      <c r="D2046" s="374">
        <v>86</v>
      </c>
      <c r="E2046" s="291" t="str">
        <f>IFERROR(VLOOKUP($D2046,'Clients-Live'!$A:$C,3,0),"")</f>
        <v>AMANIYO JOYCE</v>
      </c>
      <c r="F2046" s="291">
        <f>IFERROR(INDEX(Disbursements!$D:$D,MATCH('Live Collections'!G2046,Disbursements!$C:$C,0)),"")</f>
        <v>2</v>
      </c>
      <c r="G2046" s="34">
        <v>231</v>
      </c>
      <c r="H2046" s="34">
        <v>3631</v>
      </c>
      <c r="I2046" s="34" t="s">
        <v>1358</v>
      </c>
      <c r="J2046" s="48"/>
      <c r="K2046" s="48"/>
      <c r="L2046" s="48"/>
      <c r="M2046" s="48"/>
      <c r="N2046" s="59"/>
      <c r="O2046" s="59">
        <v>46700</v>
      </c>
      <c r="P2046" s="59"/>
      <c r="Q2046" s="268">
        <f t="shared" si="97"/>
        <v>46700</v>
      </c>
      <c r="R2046" s="61">
        <f>IF(O2046=0,0,SUMIFS(Disbursements!$T:$T,Disbursements!$B:$B,'Live Collections'!D2046,Disbursements!$D:$D,'Live Collections'!F2046))</f>
        <v>217000</v>
      </c>
      <c r="S2046" s="304">
        <f>IF(O2046&lt;=IF($O2046=0,0,SUMIFS(Disbursements!$W:$W,Disbursements!$B:$B,'Live Collections'!D1117,Disbursements!$D:$D,'Live Collections'!F1117)),O2046,IF($O2046=0,0,SUMIFS(Disbursements!$W:$W,Disbursements!$B:$B,'Live Collections'!D1117,Disbursements!$D:$D,'Live Collections'!F1117)))</f>
        <v>25000</v>
      </c>
      <c r="T2046" s="304">
        <f t="shared" si="96"/>
        <v>21700</v>
      </c>
      <c r="U2046" s="52"/>
      <c r="V2046" s="34"/>
      <c r="W2046" s="408"/>
    </row>
    <row r="2047" spans="1:23" ht="12.75" customHeight="1" x14ac:dyDescent="0.2">
      <c r="A2047" s="257">
        <v>2043</v>
      </c>
      <c r="B2047" s="44">
        <v>44529</v>
      </c>
      <c r="C2047" s="44">
        <f t="shared" si="94"/>
        <v>44529</v>
      </c>
      <c r="D2047" s="374">
        <v>109</v>
      </c>
      <c r="E2047" s="291" t="str">
        <f>IFERROR(VLOOKUP($D2047,'Clients-Live'!$A:$C,3,0),"")</f>
        <v>TABU KISA</v>
      </c>
      <c r="F2047" s="291">
        <f>IFERROR(INDEX(Disbursements!$D:$D,MATCH('Live Collections'!G2047,Disbursements!$C:$C,0)),"")</f>
        <v>2</v>
      </c>
      <c r="G2047" s="34">
        <v>237</v>
      </c>
      <c r="H2047" s="34">
        <v>3606</v>
      </c>
      <c r="I2047" s="34" t="s">
        <v>1357</v>
      </c>
      <c r="J2047" s="48"/>
      <c r="K2047" s="48"/>
      <c r="L2047" s="48"/>
      <c r="M2047" s="48"/>
      <c r="N2047" s="59"/>
      <c r="O2047" s="59">
        <v>50000</v>
      </c>
      <c r="P2047" s="59"/>
      <c r="Q2047" s="268">
        <f t="shared" si="97"/>
        <v>50000</v>
      </c>
      <c r="R2047" s="61">
        <f>IF(O2047=0,0,SUMIFS(Disbursements!$T:$T,Disbursements!$B:$B,'Live Collections'!D2047,Disbursements!$D:$D,'Live Collections'!F2047))</f>
        <v>275000</v>
      </c>
      <c r="S2047" s="304">
        <v>9900</v>
      </c>
      <c r="T2047" s="304">
        <f t="shared" si="96"/>
        <v>40100</v>
      </c>
      <c r="U2047" s="52"/>
      <c r="V2047" s="34"/>
      <c r="W2047" s="408"/>
    </row>
    <row r="2048" spans="1:23" ht="12.75" customHeight="1" x14ac:dyDescent="0.2">
      <c r="A2048" s="257">
        <v>2019</v>
      </c>
      <c r="B2048" s="44">
        <v>44529</v>
      </c>
      <c r="C2048" s="44">
        <f t="shared" si="94"/>
        <v>44529</v>
      </c>
      <c r="D2048" s="374">
        <v>116</v>
      </c>
      <c r="E2048" s="291" t="str">
        <f>IFERROR(VLOOKUP($D2048,'Clients-Live'!$A:$C,3,0),"")</f>
        <v>ONZIA LUCY</v>
      </c>
      <c r="F2048" s="291"/>
      <c r="G2048" s="34"/>
      <c r="H2048" s="34">
        <v>470</v>
      </c>
      <c r="I2048" s="34" t="s">
        <v>1357</v>
      </c>
      <c r="J2048" s="48"/>
      <c r="K2048" s="48"/>
      <c r="L2048" s="48"/>
      <c r="M2048" s="48"/>
      <c r="N2048" s="59"/>
      <c r="O2048" s="59"/>
      <c r="P2048" s="59"/>
      <c r="Q2048" s="268">
        <f t="shared" si="97"/>
        <v>0</v>
      </c>
      <c r="R2048" s="61">
        <f>IF(O2048=0,0,SUMIFS(Disbursements!$T:$T,Disbursements!$B:$B,'Live Collections'!D2048,Disbursements!$D:$D,'Live Collections'!F2048))</f>
        <v>0</v>
      </c>
      <c r="S2048" s="304">
        <f>IF(O2048&lt;=IF($O2048=0,0,SUMIFS(Disbursements!$W:$W,Disbursements!$B:$B,'Live Collections'!D1506,Disbursements!$D:$D,'Live Collections'!F1506)),O2048,IF($O2048=0,0,SUMIFS(Disbursements!$W:$W,Disbursements!$B:$B,'Live Collections'!D1506,Disbursements!$D:$D,'Live Collections'!F1506)))</f>
        <v>0</v>
      </c>
      <c r="T2048" s="304">
        <f t="shared" si="96"/>
        <v>0</v>
      </c>
      <c r="U2048" s="52"/>
      <c r="V2048" s="34"/>
      <c r="W2048" s="408"/>
    </row>
    <row r="2049" spans="1:23" ht="12.75" customHeight="1" x14ac:dyDescent="0.2">
      <c r="A2049" s="257">
        <v>2020</v>
      </c>
      <c r="B2049" s="44">
        <v>44529</v>
      </c>
      <c r="C2049" s="44">
        <f t="shared" si="94"/>
        <v>44529</v>
      </c>
      <c r="D2049" s="374">
        <v>116</v>
      </c>
      <c r="E2049" s="291" t="str">
        <f>IFERROR(VLOOKUP($D2049,'Clients-Live'!$A:$C,3,0),"")</f>
        <v>ONZIA LUCY</v>
      </c>
      <c r="F2049" s="291"/>
      <c r="G2049" s="34"/>
      <c r="H2049" s="34">
        <v>3608</v>
      </c>
      <c r="I2049" s="34" t="s">
        <v>1357</v>
      </c>
      <c r="J2049" s="48"/>
      <c r="K2049" s="48"/>
      <c r="L2049" s="48"/>
      <c r="M2049" s="48"/>
      <c r="N2049" s="59"/>
      <c r="O2049" s="59"/>
      <c r="P2049" s="59"/>
      <c r="Q2049" s="268">
        <f t="shared" si="97"/>
        <v>0</v>
      </c>
      <c r="R2049" s="61">
        <f>IF(O2049=0,0,SUMIFS(Disbursements!$T:$T,Disbursements!$B:$B,'Live Collections'!D2049,Disbursements!$D:$D,'Live Collections'!F2049))</f>
        <v>0</v>
      </c>
      <c r="S2049" s="304"/>
      <c r="T2049" s="304">
        <f t="shared" si="96"/>
        <v>0</v>
      </c>
      <c r="U2049" s="52"/>
      <c r="V2049" s="34"/>
      <c r="W2049" s="408" t="s">
        <v>1859</v>
      </c>
    </row>
    <row r="2050" spans="1:23" ht="12.75" customHeight="1" x14ac:dyDescent="0.2">
      <c r="A2050" s="257">
        <v>2036</v>
      </c>
      <c r="B2050" s="44">
        <v>44529</v>
      </c>
      <c r="C2050" s="44">
        <f t="shared" si="94"/>
        <v>44529</v>
      </c>
      <c r="D2050" s="374">
        <v>116</v>
      </c>
      <c r="E2050" s="291" t="str">
        <f>IFERROR(VLOOKUP($D2050,'Clients-Live'!$A:$C,3,0),"")</f>
        <v>ONZIA LUCY</v>
      </c>
      <c r="F2050" s="291" t="str">
        <f>IFERROR(INDEX(Disbursements!$D:$D,MATCH('Live Collections'!G2050,Disbursements!$C:$C,0)),"")</f>
        <v/>
      </c>
      <c r="G2050" s="34"/>
      <c r="H2050" s="34">
        <v>3609</v>
      </c>
      <c r="I2050" s="34" t="s">
        <v>1357</v>
      </c>
      <c r="J2050" s="48"/>
      <c r="K2050" s="48"/>
      <c r="L2050" s="48">
        <v>10000</v>
      </c>
      <c r="M2050" s="48">
        <v>5000</v>
      </c>
      <c r="N2050" s="59"/>
      <c r="O2050" s="59"/>
      <c r="P2050" s="59"/>
      <c r="Q2050" s="268">
        <f t="shared" si="97"/>
        <v>15000</v>
      </c>
      <c r="R2050" s="61">
        <f>IF(O2050=0,0,SUMIFS(Disbursements!$T:$T,Disbursements!$B:$B,'Live Collections'!D2050,Disbursements!$D:$D,'Live Collections'!F2050))</f>
        <v>0</v>
      </c>
      <c r="S2050" s="304">
        <f>IF(O2050&lt;=IF($O2050=0,0,SUMIFS(Disbursements!$W:$W,Disbursements!$B:$B,'Live Collections'!D1508,Disbursements!$D:$D,'Live Collections'!F1508)),O2050,IF($O2050=0,0,SUMIFS(Disbursements!$W:$W,Disbursements!$B:$B,'Live Collections'!D1508,Disbursements!$D:$D,'Live Collections'!F1508)))</f>
        <v>0</v>
      </c>
      <c r="T2050" s="304">
        <f t="shared" si="96"/>
        <v>0</v>
      </c>
      <c r="U2050" s="52"/>
      <c r="V2050" s="34"/>
      <c r="W2050" s="408"/>
    </row>
    <row r="2051" spans="1:23" ht="12.75" customHeight="1" x14ac:dyDescent="0.2">
      <c r="A2051" s="257">
        <v>2037</v>
      </c>
      <c r="B2051" s="44">
        <v>44529</v>
      </c>
      <c r="C2051" s="44">
        <f t="shared" ref="C2051:C2112" si="98">B2051</f>
        <v>44529</v>
      </c>
      <c r="D2051" s="374">
        <v>116</v>
      </c>
      <c r="E2051" s="291" t="str">
        <f>IFERROR(VLOOKUP($D2051,'Clients-Live'!$A:$C,3,0),"")</f>
        <v>ONZIA LUCY</v>
      </c>
      <c r="F2051" s="291">
        <f>IFERROR(INDEX(Disbursements!$D:$D,MATCH('Live Collections'!G2051,Disbursements!$C:$C,0)),"")</f>
        <v>2</v>
      </c>
      <c r="G2051" s="34">
        <v>229</v>
      </c>
      <c r="H2051" s="34">
        <v>3607</v>
      </c>
      <c r="I2051" s="34" t="s">
        <v>1357</v>
      </c>
      <c r="J2051" s="48"/>
      <c r="K2051" s="48"/>
      <c r="L2051" s="48"/>
      <c r="M2051" s="48"/>
      <c r="N2051" s="59"/>
      <c r="O2051" s="59">
        <v>92500</v>
      </c>
      <c r="P2051" s="59"/>
      <c r="Q2051" s="268">
        <f t="shared" si="97"/>
        <v>92500</v>
      </c>
      <c r="R2051" s="61">
        <f>IF(O2051=0,0,SUMIFS(Disbursements!$T:$T,Disbursements!$B:$B,'Live Collections'!D2051,Disbursements!$D:$D,'Live Collections'!F2051))</f>
        <v>29000</v>
      </c>
      <c r="S2051" s="304"/>
      <c r="T2051" s="304">
        <f t="shared" ref="T2051:T2112" si="99">IF(O2051=0,0,O2051-S2051)</f>
        <v>92500</v>
      </c>
      <c r="U2051" s="52"/>
      <c r="V2051" s="34"/>
      <c r="W2051" s="408"/>
    </row>
    <row r="2052" spans="1:23" ht="12.75" customHeight="1" x14ac:dyDescent="0.2">
      <c r="A2052" s="257">
        <v>2034</v>
      </c>
      <c r="B2052" s="44">
        <v>44529</v>
      </c>
      <c r="C2052" s="44">
        <f t="shared" si="98"/>
        <v>44529</v>
      </c>
      <c r="D2052" s="374">
        <v>117</v>
      </c>
      <c r="E2052" s="291" t="str">
        <f>IFERROR(VLOOKUP($D2052,'Clients-Live'!$A:$C,3,0),"")</f>
        <v>MAWA JACKSON</v>
      </c>
      <c r="F2052" s="291">
        <f>IFERROR(INDEX(Disbursements!$D:$D,MATCH('Live Collections'!G2052,Disbursements!$C:$C,0)),"")</f>
        <v>1</v>
      </c>
      <c r="G2052" s="34">
        <v>99</v>
      </c>
      <c r="H2052" s="34">
        <v>3627</v>
      </c>
      <c r="I2052" s="34" t="s">
        <v>1358</v>
      </c>
      <c r="J2052" s="48"/>
      <c r="K2052" s="48"/>
      <c r="L2052" s="48"/>
      <c r="M2052" s="48"/>
      <c r="N2052" s="59"/>
      <c r="O2052" s="59">
        <v>50000</v>
      </c>
      <c r="P2052" s="59"/>
      <c r="Q2052" s="268">
        <f t="shared" si="97"/>
        <v>50000</v>
      </c>
      <c r="R2052" s="61">
        <f>IF(O2052=0,0,SUMIFS(Disbursements!$T:$T,Disbursements!$B:$B,'Live Collections'!D2052,Disbursements!$D:$D,'Live Collections'!F2052))</f>
        <v>152000</v>
      </c>
      <c r="S2052" s="304">
        <f>IF(O2052&lt;=IF($O2052=0,0,SUMIFS(Disbursements!$W:$W,Disbursements!$B:$B,'Live Collections'!D1524,Disbursements!$D:$D,'Live Collections'!F1524)),O2052,IF($O2052=0,0,SUMIFS(Disbursements!$W:$W,Disbursements!$B:$B,'Live Collections'!D1524,Disbursements!$D:$D,'Live Collections'!F1524)))</f>
        <v>40000</v>
      </c>
      <c r="T2052" s="304">
        <f t="shared" si="99"/>
        <v>10000</v>
      </c>
      <c r="U2052" s="52"/>
      <c r="V2052" s="34"/>
      <c r="W2052" s="408"/>
    </row>
    <row r="2053" spans="1:23" ht="12.75" customHeight="1" x14ac:dyDescent="0.2">
      <c r="A2053" s="257">
        <v>2032</v>
      </c>
      <c r="B2053" s="44">
        <v>44529</v>
      </c>
      <c r="C2053" s="44">
        <f t="shared" si="98"/>
        <v>44529</v>
      </c>
      <c r="D2053" s="374">
        <v>136</v>
      </c>
      <c r="E2053" s="291" t="str">
        <f>IFERROR(VLOOKUP($D2053,'Clients-Live'!$A:$C,3,0),"")</f>
        <v>LEMERIGA GODWILL JOSEPH</v>
      </c>
      <c r="F2053" s="291">
        <f>IFERROR(INDEX(Disbursements!$D:$D,MATCH('Live Collections'!G2053,Disbursements!$C:$C,0)),"")</f>
        <v>2</v>
      </c>
      <c r="G2053" s="34">
        <v>234</v>
      </c>
      <c r="H2053" s="34">
        <v>3630</v>
      </c>
      <c r="I2053" s="34" t="s">
        <v>1357</v>
      </c>
      <c r="J2053" s="48"/>
      <c r="K2053" s="48"/>
      <c r="L2053" s="48"/>
      <c r="M2053" s="48"/>
      <c r="N2053" s="59"/>
      <c r="O2053" s="59">
        <v>150000</v>
      </c>
      <c r="P2053" s="59"/>
      <c r="Q2053" s="268">
        <f t="shared" si="97"/>
        <v>150000</v>
      </c>
      <c r="R2053" s="61">
        <f>IF(O2053=0,0,SUMIFS(Disbursements!$T:$T,Disbursements!$B:$B,'Live Collections'!D2053,Disbursements!$D:$D,'Live Collections'!F2053))</f>
        <v>150000</v>
      </c>
      <c r="S2053" s="304">
        <f>IF(O2053&lt;=IF($O2053=0,0,SUMIFS(Disbursements!$W:$W,Disbursements!$B:$B,'Live Collections'!#REF!,Disbursements!$D:$D,'Live Collections'!#REF!)),O2053,IF($O2053=0,0,SUMIFS(Disbursements!$W:$W,Disbursements!$B:$B,'Live Collections'!#REF!,Disbursements!$D:$D,'Live Collections'!#REF!)))</f>
        <v>0</v>
      </c>
      <c r="T2053" s="304">
        <f t="shared" si="99"/>
        <v>150000</v>
      </c>
      <c r="U2053" s="52"/>
      <c r="V2053" s="34"/>
      <c r="W2053" s="408"/>
    </row>
    <row r="2054" spans="1:23" ht="12.75" customHeight="1" x14ac:dyDescent="0.2">
      <c r="A2054" s="257">
        <v>2017</v>
      </c>
      <c r="B2054" s="44">
        <v>44529</v>
      </c>
      <c r="C2054" s="44">
        <f t="shared" si="98"/>
        <v>44529</v>
      </c>
      <c r="D2054" s="374">
        <v>138</v>
      </c>
      <c r="E2054" s="291" t="str">
        <f>IFERROR(VLOOKUP($D2054,'Clients-Live'!$A:$C,3,0),"")</f>
        <v>BEATRICE AMANDRU</v>
      </c>
      <c r="F2054" s="291">
        <f>IFERROR(INDEX(Disbursements!$D:$D,MATCH('Live Collections'!G2054,Disbursements!$C:$C,0)),"")</f>
        <v>2</v>
      </c>
      <c r="G2054" s="34">
        <v>235</v>
      </c>
      <c r="H2054" s="34">
        <v>408</v>
      </c>
      <c r="I2054" s="34" t="s">
        <v>1357</v>
      </c>
      <c r="J2054" s="48"/>
      <c r="K2054" s="48"/>
      <c r="L2054" s="48"/>
      <c r="M2054" s="48"/>
      <c r="N2054" s="59"/>
      <c r="O2054" s="59"/>
      <c r="P2054" s="59">
        <v>-60000</v>
      </c>
      <c r="Q2054" s="268">
        <f t="shared" si="97"/>
        <v>-60000</v>
      </c>
      <c r="R2054" s="61">
        <f>IF(O2054=0,0,SUMIFS(Disbursements!$T:$T,Disbursements!$B:$B,'Live Collections'!D2054,Disbursements!$D:$D,'Live Collections'!F2054))</f>
        <v>0</v>
      </c>
      <c r="S2054" s="304">
        <f>IF(O2054&lt;=IF($O2054=0,0,SUMIFS(Disbursements!$W:$W,Disbursements!$B:$B,'Live Collections'!#REF!,Disbursements!$D:$D,'Live Collections'!#REF!)),O2054,IF($O2054=0,0,SUMIFS(Disbursements!$W:$W,Disbursements!$B:$B,'Live Collections'!#REF!,Disbursements!$D:$D,'Live Collections'!#REF!)))</f>
        <v>0</v>
      </c>
      <c r="T2054" s="304">
        <f t="shared" si="99"/>
        <v>0</v>
      </c>
      <c r="U2054" s="52"/>
      <c r="V2054" s="34"/>
      <c r="W2054" s="408"/>
    </row>
    <row r="2055" spans="1:23" ht="12.75" customHeight="1" x14ac:dyDescent="0.2">
      <c r="A2055" s="257">
        <v>2018</v>
      </c>
      <c r="B2055" s="44">
        <v>44529</v>
      </c>
      <c r="C2055" s="44">
        <f t="shared" si="98"/>
        <v>44529</v>
      </c>
      <c r="D2055" s="374">
        <v>138</v>
      </c>
      <c r="E2055" s="291" t="str">
        <f>IFERROR(VLOOKUP($D2055,'Clients-Live'!$A:$C,3,0),"")</f>
        <v>BEATRICE AMANDRU</v>
      </c>
      <c r="F2055" s="291">
        <f>IFERROR(INDEX(Disbursements!$D:$D,MATCH('Live Collections'!G2055,Disbursements!$C:$C,0)),"")</f>
        <v>2</v>
      </c>
      <c r="G2055" s="34">
        <v>235</v>
      </c>
      <c r="H2055" s="34">
        <v>3656</v>
      </c>
      <c r="I2055" s="34" t="s">
        <v>1357</v>
      </c>
      <c r="J2055" s="48"/>
      <c r="K2055" s="48"/>
      <c r="L2055" s="48"/>
      <c r="M2055" s="48"/>
      <c r="N2055" s="59"/>
      <c r="O2055" s="59">
        <v>60000</v>
      </c>
      <c r="P2055" s="59"/>
      <c r="Q2055" s="268">
        <f t="shared" si="97"/>
        <v>60000</v>
      </c>
      <c r="R2055" s="61">
        <f>IF(O2055=0,0,SUMIFS(Disbursements!$T:$T,Disbursements!$B:$B,'Live Collections'!D2055,Disbursements!$D:$D,'Live Collections'!F2055))</f>
        <v>330000</v>
      </c>
      <c r="S2055" s="304">
        <f>IF(O2055&lt;=IF($O2055=0,0,SUMIFS(Disbursements!$W:$W,Disbursements!$B:$B,'Live Collections'!D1746,Disbursements!$D:$D,'Live Collections'!F1746)),O2055,IF($O2055=0,0,SUMIFS(Disbursements!$W:$W,Disbursements!$B:$B,'Live Collections'!D1746,Disbursements!$D:$D,'Live Collections'!F1746)))</f>
        <v>0</v>
      </c>
      <c r="T2055" s="304">
        <f t="shared" si="99"/>
        <v>60000</v>
      </c>
      <c r="U2055" s="52"/>
      <c r="V2055" s="34"/>
      <c r="W2055" s="408" t="s">
        <v>1858</v>
      </c>
    </row>
    <row r="2056" spans="1:23" ht="12.75" customHeight="1" x14ac:dyDescent="0.2">
      <c r="A2056" s="257">
        <v>2039</v>
      </c>
      <c r="B2056" s="44">
        <v>44529</v>
      </c>
      <c r="C2056" s="44">
        <f t="shared" si="98"/>
        <v>44529</v>
      </c>
      <c r="D2056" s="374">
        <v>138</v>
      </c>
      <c r="E2056" s="291" t="str">
        <f>IFERROR(VLOOKUP($D2056,'Clients-Live'!$A:$C,3,0),"")</f>
        <v>BEATRICE AMANDRU</v>
      </c>
      <c r="F2056" s="291" t="str">
        <f>IFERROR(INDEX(Disbursements!$D:$D,MATCH('Live Collections'!G2056,Disbursements!$C:$C,0)),"")</f>
        <v/>
      </c>
      <c r="G2056" s="34"/>
      <c r="H2056" s="34">
        <v>3657</v>
      </c>
      <c r="I2056" s="34" t="s">
        <v>1357</v>
      </c>
      <c r="J2056" s="48"/>
      <c r="K2056" s="48"/>
      <c r="L2056" s="48">
        <v>15000</v>
      </c>
      <c r="M2056" s="48">
        <v>5000</v>
      </c>
      <c r="N2056" s="59"/>
      <c r="O2056" s="59"/>
      <c r="P2056" s="59"/>
      <c r="Q2056" s="268">
        <f t="shared" si="97"/>
        <v>20000</v>
      </c>
      <c r="R2056" s="61">
        <f>IF(O2056=0,0,SUMIFS(Disbursements!$T:$T,Disbursements!$B:$B,'Live Collections'!D2056,Disbursements!$D:$D,'Live Collections'!F2056))</f>
        <v>0</v>
      </c>
      <c r="S2056" s="304">
        <f>IF(O2056&lt;=IF($O2056=0,0,SUMIFS(Disbursements!$W:$W,Disbursements!$B:$B,'Live Collections'!D1747,Disbursements!$D:$D,'Live Collections'!F1747)),O2056,IF($O2056=0,0,SUMIFS(Disbursements!$W:$W,Disbursements!$B:$B,'Live Collections'!D1747,Disbursements!$D:$D,'Live Collections'!F1747)))</f>
        <v>0</v>
      </c>
      <c r="T2056" s="304">
        <f t="shared" si="99"/>
        <v>0</v>
      </c>
      <c r="U2056" s="52"/>
      <c r="V2056" s="34"/>
      <c r="W2056" s="408"/>
    </row>
    <row r="2057" spans="1:23" ht="12.75" customHeight="1" x14ac:dyDescent="0.2">
      <c r="A2057" s="257">
        <v>2042</v>
      </c>
      <c r="B2057" s="44">
        <v>44529</v>
      </c>
      <c r="C2057" s="44">
        <f t="shared" si="98"/>
        <v>44529</v>
      </c>
      <c r="D2057" s="374">
        <v>138</v>
      </c>
      <c r="E2057" s="291" t="str">
        <f>IFERROR(VLOOKUP($D2057,'Clients-Live'!$A:$C,3,0),"")</f>
        <v>BEATRICE AMANDRU</v>
      </c>
      <c r="F2057" s="291">
        <f>IFERROR(INDEX(Disbursements!$D:$D,MATCH('Live Collections'!G2057,Disbursements!$C:$C,0)),"")</f>
        <v>2</v>
      </c>
      <c r="G2057" s="34">
        <v>235</v>
      </c>
      <c r="H2057" s="34">
        <v>3610</v>
      </c>
      <c r="I2057" s="34" t="s">
        <v>1357</v>
      </c>
      <c r="J2057" s="48"/>
      <c r="K2057" s="48"/>
      <c r="L2057" s="48"/>
      <c r="M2057" s="48"/>
      <c r="N2057" s="59"/>
      <c r="O2057" s="59">
        <v>270000</v>
      </c>
      <c r="P2057" s="59"/>
      <c r="Q2057" s="268">
        <f t="shared" si="97"/>
        <v>270000</v>
      </c>
      <c r="R2057" s="61">
        <f>IF(O2057=0,0,SUMIFS(Disbursements!$T:$T,Disbursements!$B:$B,'Live Collections'!D2057,Disbursements!$D:$D,'Live Collections'!F2057))</f>
        <v>330000</v>
      </c>
      <c r="S2057" s="304">
        <f>IF(O2057&lt;=IF($O2057=0,0,SUMIFS(Disbursements!$W:$W,Disbursements!$B:$B,'Live Collections'!D1750,Disbursements!$D:$D,'Live Collections'!F1750)),O2057,IF($O2057=0,0,SUMIFS(Disbursements!$W:$W,Disbursements!$B:$B,'Live Collections'!D1750,Disbursements!$D:$D,'Live Collections'!F1750)))</f>
        <v>0</v>
      </c>
      <c r="T2057" s="304">
        <f t="shared" si="99"/>
        <v>270000</v>
      </c>
      <c r="U2057" s="52"/>
      <c r="V2057" s="34"/>
      <c r="W2057" s="408"/>
    </row>
    <row r="2058" spans="1:23" ht="12.75" customHeight="1" x14ac:dyDescent="0.2">
      <c r="A2058" s="257">
        <v>2033</v>
      </c>
      <c r="B2058" s="44">
        <v>44529</v>
      </c>
      <c r="C2058" s="44">
        <f t="shared" si="98"/>
        <v>44529</v>
      </c>
      <c r="D2058" s="374">
        <v>139</v>
      </c>
      <c r="E2058" s="291" t="str">
        <f>IFERROR(VLOOKUP($D2058,'Clients-Live'!$A:$C,3,0),"")</f>
        <v xml:space="preserve">DRICHIRU MAIMUNA </v>
      </c>
      <c r="F2058" s="291">
        <f>IFERROR(INDEX(Disbursements!$D:$D,MATCH('Live Collections'!G2058,Disbursements!$C:$C,0)),"")</f>
        <v>1</v>
      </c>
      <c r="G2058" s="34">
        <v>123</v>
      </c>
      <c r="H2058" s="34">
        <v>3658</v>
      </c>
      <c r="I2058" s="34" t="s">
        <v>1359</v>
      </c>
      <c r="J2058" s="48"/>
      <c r="K2058" s="48"/>
      <c r="L2058" s="48"/>
      <c r="M2058" s="48"/>
      <c r="N2058" s="59"/>
      <c r="O2058" s="59">
        <v>40000</v>
      </c>
      <c r="P2058" s="59"/>
      <c r="Q2058" s="268">
        <f t="shared" si="97"/>
        <v>40000</v>
      </c>
      <c r="R2058" s="61">
        <f>IF(O2058=0,0,SUMIFS(Disbursements!$T:$T,Disbursements!$B:$B,'Live Collections'!D2058,Disbursements!$D:$D,'Live Collections'!F2058))</f>
        <v>115000</v>
      </c>
      <c r="S2058" s="304">
        <f>IF(O2058&lt;=IF($O2058=0,0,SUMIFS(Disbursements!$W:$W,Disbursements!$B:$B,'Live Collections'!D1760,Disbursements!$D:$D,'Live Collections'!F1760)),O2058,IF($O2058=0,0,SUMIFS(Disbursements!$W:$W,Disbursements!$B:$B,'Live Collections'!D1760,Disbursements!$D:$D,'Live Collections'!F1760)))</f>
        <v>15000</v>
      </c>
      <c r="T2058" s="304">
        <f t="shared" si="99"/>
        <v>25000</v>
      </c>
      <c r="U2058" s="52"/>
      <c r="V2058" s="34"/>
      <c r="W2058" s="408"/>
    </row>
    <row r="2059" spans="1:23" ht="12.75" customHeight="1" x14ac:dyDescent="0.2">
      <c r="A2059" s="257">
        <v>2035</v>
      </c>
      <c r="B2059" s="44">
        <v>44529</v>
      </c>
      <c r="C2059" s="44">
        <f t="shared" si="98"/>
        <v>44529</v>
      </c>
      <c r="D2059" s="374">
        <v>144</v>
      </c>
      <c r="E2059" s="291" t="str">
        <f>IFERROR(VLOOKUP($D2059,'Clients-Live'!$A:$C,3,0),"")</f>
        <v>GBENINGA RUKIA</v>
      </c>
      <c r="F2059" s="291">
        <f>IFERROR(INDEX(Disbursements!$D:$D,MATCH('Live Collections'!G2059,Disbursements!$C:$C,0)),"")</f>
        <v>1</v>
      </c>
      <c r="G2059" s="34">
        <v>131</v>
      </c>
      <c r="H2059" s="34">
        <v>3623</v>
      </c>
      <c r="I2059" s="34" t="s">
        <v>1359</v>
      </c>
      <c r="J2059" s="48"/>
      <c r="K2059" s="48"/>
      <c r="L2059" s="48"/>
      <c r="M2059" s="48"/>
      <c r="N2059" s="59"/>
      <c r="O2059" s="59">
        <v>100000</v>
      </c>
      <c r="P2059" s="59"/>
      <c r="Q2059" s="268">
        <f t="shared" si="97"/>
        <v>100000</v>
      </c>
      <c r="R2059" s="61">
        <f>IF(O2059=0,0,SUMIFS(Disbursements!$T:$T,Disbursements!$B:$B,'Live Collections'!D2059,Disbursements!$D:$D,'Live Collections'!F2059))</f>
        <v>125000</v>
      </c>
      <c r="S2059" s="304"/>
      <c r="T2059" s="304">
        <f t="shared" si="99"/>
        <v>100000</v>
      </c>
      <c r="U2059" s="52"/>
      <c r="V2059" s="34"/>
      <c r="W2059" s="408"/>
    </row>
    <row r="2060" spans="1:23" ht="12.75" customHeight="1" x14ac:dyDescent="0.2">
      <c r="A2060" s="257">
        <v>2021</v>
      </c>
      <c r="B2060" s="44">
        <v>44529</v>
      </c>
      <c r="C2060" s="44">
        <f t="shared" si="98"/>
        <v>44529</v>
      </c>
      <c r="D2060" s="374">
        <v>164</v>
      </c>
      <c r="E2060" s="291" t="str">
        <f>IFERROR(VLOOKUP($D2060,'Clients-Live'!$A:$C,3,0),"")</f>
        <v>ARIKE SWAIB</v>
      </c>
      <c r="F2060" s="291">
        <f>IFERROR(INDEX(Disbursements!$D:$D,MATCH('Live Collections'!G2060,Disbursements!$C:$C,0)),"")</f>
        <v>1</v>
      </c>
      <c r="G2060" s="34">
        <v>154</v>
      </c>
      <c r="H2060" s="34">
        <v>451</v>
      </c>
      <c r="I2060" s="34" t="s">
        <v>1357</v>
      </c>
      <c r="J2060" s="48"/>
      <c r="K2060" s="48"/>
      <c r="L2060" s="48"/>
      <c r="M2060" s="48"/>
      <c r="N2060" s="59"/>
      <c r="O2060" s="59"/>
      <c r="P2060" s="59">
        <v>-200000</v>
      </c>
      <c r="Q2060" s="268">
        <f t="shared" si="97"/>
        <v>-200000</v>
      </c>
      <c r="R2060" s="61">
        <f>IF(O2060=0,0,SUMIFS(Disbursements!$T:$T,Disbursements!$B:$B,'Live Collections'!D2060,Disbursements!$D:$D,'Live Collections'!F2060))</f>
        <v>0</v>
      </c>
      <c r="S2060" s="304">
        <f>IF(O2060&lt;=IF($O2060=0,0,SUMIFS(Disbursements!$W:$W,Disbursements!$B:$B,'Live Collections'!D2040,Disbursements!$D:$D,'Live Collections'!F2040)),O2060,IF($O2060=0,0,SUMIFS(Disbursements!$W:$W,Disbursements!$B:$B,'Live Collections'!D2040,Disbursements!$D:$D,'Live Collections'!F2040)))</f>
        <v>0</v>
      </c>
      <c r="T2060" s="304">
        <f t="shared" si="99"/>
        <v>0</v>
      </c>
      <c r="U2060" s="52"/>
      <c r="V2060" s="34"/>
      <c r="W2060" s="408"/>
    </row>
    <row r="2061" spans="1:23" ht="12.75" customHeight="1" x14ac:dyDescent="0.2">
      <c r="A2061" s="257">
        <v>2022</v>
      </c>
      <c r="B2061" s="44">
        <v>44529</v>
      </c>
      <c r="C2061" s="44">
        <f t="shared" si="98"/>
        <v>44529</v>
      </c>
      <c r="D2061" s="374">
        <v>164</v>
      </c>
      <c r="E2061" s="291" t="str">
        <f>IFERROR(VLOOKUP($D2061,'Clients-Live'!$A:$C,3,0),"")</f>
        <v>ARIKE SWAIB</v>
      </c>
      <c r="F2061" s="291">
        <f>IFERROR(INDEX(Disbursements!$D:$D,MATCH('Live Collections'!G2061,Disbursements!$C:$C,0)),"")</f>
        <v>1</v>
      </c>
      <c r="G2061" s="34">
        <v>154</v>
      </c>
      <c r="H2061" s="34">
        <v>3662</v>
      </c>
      <c r="I2061" s="34" t="s">
        <v>1357</v>
      </c>
      <c r="J2061" s="48"/>
      <c r="K2061" s="48"/>
      <c r="L2061" s="48"/>
      <c r="M2061" s="48"/>
      <c r="N2061" s="59"/>
      <c r="O2061" s="59">
        <v>200000</v>
      </c>
      <c r="P2061" s="59"/>
      <c r="Q2061" s="268">
        <f t="shared" si="97"/>
        <v>200000</v>
      </c>
      <c r="R2061" s="61">
        <f>IF(O2061=0,0,SUMIFS(Disbursements!$T:$T,Disbursements!$B:$B,'Live Collections'!D2061,Disbursements!$D:$D,'Live Collections'!F2061))</f>
        <v>109000</v>
      </c>
      <c r="S2061" s="64">
        <v>9666.6666666667443</v>
      </c>
      <c r="T2061" s="304">
        <f t="shared" si="99"/>
        <v>190333.33333333326</v>
      </c>
      <c r="U2061" s="52"/>
      <c r="V2061" s="34"/>
      <c r="W2061" s="408" t="s">
        <v>1860</v>
      </c>
    </row>
    <row r="2062" spans="1:23" ht="12.75" customHeight="1" x14ac:dyDescent="0.2">
      <c r="A2062" s="257">
        <v>2026</v>
      </c>
      <c r="B2062" s="44">
        <v>44529</v>
      </c>
      <c r="C2062" s="44">
        <f t="shared" si="98"/>
        <v>44529</v>
      </c>
      <c r="D2062" s="374">
        <v>189</v>
      </c>
      <c r="E2062" s="291" t="str">
        <f>IFERROR(VLOOKUP($D2062,'Clients-Live'!$A:$C,3,0),"")</f>
        <v>AYIDA SELUWA</v>
      </c>
      <c r="F2062" s="291">
        <f>IFERROR(INDEX(Disbursements!$D:$D,MATCH('Live Collections'!G2062,Disbursements!$C:$C,0)),"")</f>
        <v>1</v>
      </c>
      <c r="G2062" s="34">
        <v>178</v>
      </c>
      <c r="H2062" s="34">
        <v>3634</v>
      </c>
      <c r="I2062" s="34" t="s">
        <v>1359</v>
      </c>
      <c r="J2062" s="48"/>
      <c r="K2062" s="48"/>
      <c r="L2062" s="48"/>
      <c r="M2062" s="48"/>
      <c r="N2062" s="59"/>
      <c r="O2062" s="59">
        <v>30000</v>
      </c>
      <c r="P2062" s="59"/>
      <c r="Q2062" s="268">
        <f t="shared" si="97"/>
        <v>30000</v>
      </c>
      <c r="R2062" s="61">
        <f>IF(O2062=0,0,SUMIFS(Disbursements!$T:$T,Disbursements!$B:$B,'Live Collections'!D2062,Disbursements!$D:$D,'Live Collections'!F2062))</f>
        <v>120000</v>
      </c>
      <c r="S2062" s="304">
        <f>IF(O2062&lt;=IF($O2062=0,0,SUMIFS(Disbursements!$W:$W,Disbursements!$B:$B,'Live Collections'!D2300,Disbursements!$D:$D,'Live Collections'!F2300)),O2062,IF($O2062=0,0,SUMIFS(Disbursements!$W:$W,Disbursements!$B:$B,'Live Collections'!D2300,Disbursements!$D:$D,'Live Collections'!F2300)))</f>
        <v>0</v>
      </c>
      <c r="T2062" s="304">
        <f t="shared" si="99"/>
        <v>30000</v>
      </c>
      <c r="U2062" s="52"/>
      <c r="V2062" s="34"/>
      <c r="W2062" s="408"/>
    </row>
    <row r="2063" spans="1:23" ht="12.75" customHeight="1" x14ac:dyDescent="0.2">
      <c r="A2063" s="257">
        <v>2023</v>
      </c>
      <c r="B2063" s="44">
        <v>44529</v>
      </c>
      <c r="C2063" s="44">
        <f t="shared" si="98"/>
        <v>44529</v>
      </c>
      <c r="D2063" s="374">
        <v>207</v>
      </c>
      <c r="E2063" s="291" t="str">
        <f>IFERROR(VLOOKUP($D2063,'Clients-Live'!$A:$C,3,0),"")</f>
        <v>DRARU IRENE</v>
      </c>
      <c r="F2063" s="291">
        <f>IFERROR(INDEX(Disbursements!$D:$D,MATCH('Live Collections'!G2063,Disbursements!$C:$C,0)),"")</f>
        <v>1</v>
      </c>
      <c r="G2063" s="34">
        <v>205</v>
      </c>
      <c r="H2063" s="34">
        <v>426</v>
      </c>
      <c r="I2063" s="34" t="s">
        <v>1358</v>
      </c>
      <c r="J2063" s="48"/>
      <c r="K2063" s="48"/>
      <c r="L2063" s="48"/>
      <c r="M2063" s="48"/>
      <c r="N2063" s="59"/>
      <c r="O2063" s="59"/>
      <c r="P2063" s="59">
        <v>-40000</v>
      </c>
      <c r="Q2063" s="268">
        <f t="shared" si="97"/>
        <v>-40000</v>
      </c>
      <c r="R2063" s="61">
        <f>IF(O2063=0,0,SUMIFS(Disbursements!$T:$T,Disbursements!$B:$B,'Live Collections'!D2063,Disbursements!$D:$D,'Live Collections'!F2063))</f>
        <v>0</v>
      </c>
      <c r="S2063" s="304">
        <f>IF(O2063&lt;=IF($O2063=0,0,SUMIFS(Disbursements!$W:$W,Disbursements!$B:$B,'Live Collections'!D2451,Disbursements!$D:$D,'Live Collections'!F2451)),O2063,IF($O2063=0,0,SUMIFS(Disbursements!$W:$W,Disbursements!$B:$B,'Live Collections'!D2451,Disbursements!$D:$D,'Live Collections'!F2451)))</f>
        <v>0</v>
      </c>
      <c r="T2063" s="304">
        <f t="shared" si="99"/>
        <v>0</v>
      </c>
      <c r="U2063" s="52"/>
      <c r="V2063" s="34"/>
      <c r="W2063" s="408"/>
    </row>
    <row r="2064" spans="1:23" ht="12.75" customHeight="1" x14ac:dyDescent="0.2">
      <c r="A2064" s="257">
        <v>2024</v>
      </c>
      <c r="B2064" s="44">
        <v>44529</v>
      </c>
      <c r="C2064" s="44">
        <f t="shared" si="98"/>
        <v>44529</v>
      </c>
      <c r="D2064" s="374">
        <v>207</v>
      </c>
      <c r="E2064" s="291" t="str">
        <f>IFERROR(VLOOKUP($D2064,'Clients-Live'!$A:$C,3,0),"")</f>
        <v>DRARU IRENE</v>
      </c>
      <c r="F2064" s="291">
        <f>IFERROR(INDEX(Disbursements!$D:$D,MATCH('Live Collections'!G2064,Disbursements!$C:$C,0)),"")</f>
        <v>1</v>
      </c>
      <c r="G2064" s="34">
        <v>205</v>
      </c>
      <c r="H2064" s="34">
        <v>3633</v>
      </c>
      <c r="I2064" s="34" t="s">
        <v>1358</v>
      </c>
      <c r="J2064" s="48"/>
      <c r="K2064" s="48"/>
      <c r="L2064" s="48"/>
      <c r="M2064" s="48"/>
      <c r="N2064" s="59"/>
      <c r="O2064" s="59">
        <v>40000</v>
      </c>
      <c r="P2064" s="59"/>
      <c r="Q2064" s="268">
        <f t="shared" si="97"/>
        <v>40000</v>
      </c>
      <c r="R2064" s="61">
        <f>IF(O2064=0,0,SUMIFS(Disbursements!$T:$T,Disbursements!$B:$B,'Live Collections'!D2064,Disbursements!$D:$D,'Live Collections'!F2064))</f>
        <v>154000</v>
      </c>
      <c r="S2064" s="304"/>
      <c r="T2064" s="304">
        <f t="shared" si="99"/>
        <v>40000</v>
      </c>
      <c r="U2064" s="52"/>
      <c r="V2064" s="34"/>
      <c r="W2064" s="408" t="s">
        <v>1861</v>
      </c>
    </row>
    <row r="2065" spans="1:23" ht="12.75" customHeight="1" x14ac:dyDescent="0.2">
      <c r="A2065" s="257">
        <v>2025</v>
      </c>
      <c r="B2065" s="44">
        <v>44529</v>
      </c>
      <c r="C2065" s="44">
        <f t="shared" si="98"/>
        <v>44529</v>
      </c>
      <c r="D2065" s="374">
        <v>207</v>
      </c>
      <c r="E2065" s="291" t="str">
        <f>IFERROR(VLOOKUP($D2065,'Clients-Live'!$A:$C,3,0),"")</f>
        <v>DRARU IRENE</v>
      </c>
      <c r="F2065" s="291" t="str">
        <f>IFERROR(INDEX(Disbursements!$D:$D,MATCH('Live Collections'!G2065,Disbursements!$C:$C,0)),"")</f>
        <v/>
      </c>
      <c r="G2065" s="34"/>
      <c r="H2065" s="34">
        <v>3635</v>
      </c>
      <c r="I2065" s="34" t="s">
        <v>1358</v>
      </c>
      <c r="J2065" s="48"/>
      <c r="K2065" s="48"/>
      <c r="L2065" s="48">
        <v>10000</v>
      </c>
      <c r="M2065" s="48">
        <v>5000</v>
      </c>
      <c r="N2065" s="59"/>
      <c r="O2065" s="59"/>
      <c r="P2065" s="59"/>
      <c r="Q2065" s="268">
        <f t="shared" si="97"/>
        <v>15000</v>
      </c>
      <c r="R2065" s="61">
        <f>IF(O2065=0,0,SUMIFS(Disbursements!$T:$T,Disbursements!$B:$B,'Live Collections'!D2065,Disbursements!$D:$D,'Live Collections'!F2065))</f>
        <v>0</v>
      </c>
      <c r="S2065" s="304">
        <f>IF(O2065&lt;=IF($O2065=0,0,SUMIFS(Disbursements!$W:$W,Disbursements!$B:$B,'Live Collections'!D2453,Disbursements!$D:$D,'Live Collections'!F2453)),O2065,IF($O2065=0,0,SUMIFS(Disbursements!$W:$W,Disbursements!$B:$B,'Live Collections'!D2453,Disbursements!$D:$D,'Live Collections'!F2453)))</f>
        <v>0</v>
      </c>
      <c r="T2065" s="304">
        <f t="shared" si="99"/>
        <v>0</v>
      </c>
      <c r="U2065" s="52"/>
      <c r="V2065" s="34"/>
      <c r="W2065" s="408"/>
    </row>
    <row r="2066" spans="1:23" ht="12.75" customHeight="1" x14ac:dyDescent="0.2">
      <c r="A2066" s="257">
        <v>2027</v>
      </c>
      <c r="B2066" s="44">
        <v>44529</v>
      </c>
      <c r="C2066" s="44">
        <f t="shared" si="98"/>
        <v>44529</v>
      </c>
      <c r="D2066" s="374">
        <v>207</v>
      </c>
      <c r="E2066" s="291" t="str">
        <f>IFERROR(VLOOKUP($D2066,'Clients-Live'!$A:$C,3,0),"")</f>
        <v>DRARU IRENE</v>
      </c>
      <c r="F2066" s="291">
        <f>IFERROR(INDEX(Disbursements!$D:$D,MATCH('Live Collections'!G2066,Disbursements!$C:$C,0)),"")</f>
        <v>1</v>
      </c>
      <c r="G2066" s="34">
        <v>205</v>
      </c>
      <c r="H2066" s="34">
        <v>3632</v>
      </c>
      <c r="I2066" s="34" t="s">
        <v>1358</v>
      </c>
      <c r="J2066" s="48"/>
      <c r="K2066" s="48"/>
      <c r="L2066" s="48"/>
      <c r="M2066" s="48"/>
      <c r="N2066" s="59"/>
      <c r="O2066" s="59">
        <v>113400</v>
      </c>
      <c r="P2066" s="59"/>
      <c r="Q2066" s="268">
        <f t="shared" si="97"/>
        <v>113400</v>
      </c>
      <c r="R2066" s="61">
        <f>IF(O2066=0,0,SUMIFS(Disbursements!$T:$T,Disbursements!$B:$B,'Live Collections'!D2066,Disbursements!$D:$D,'Live Collections'!F2066))</f>
        <v>154000</v>
      </c>
      <c r="S2066" s="304"/>
      <c r="T2066" s="304">
        <f t="shared" si="99"/>
        <v>113400</v>
      </c>
      <c r="U2066" s="52"/>
      <c r="V2066" s="34"/>
      <c r="W2066" s="408"/>
    </row>
    <row r="2067" spans="1:23" ht="12.75" customHeight="1" x14ac:dyDescent="0.2">
      <c r="A2067" s="257">
        <v>2028</v>
      </c>
      <c r="B2067" s="44">
        <v>44529</v>
      </c>
      <c r="C2067" s="44">
        <f t="shared" si="98"/>
        <v>44529</v>
      </c>
      <c r="D2067" s="374">
        <v>269</v>
      </c>
      <c r="E2067" s="291" t="str">
        <f>IFERROR(VLOOKUP($D2067,'Clients-Live'!$A:$C,3,0),"")</f>
        <v>YANYA ROBINA</v>
      </c>
      <c r="F2067" s="291" t="str">
        <f>IFERROR(INDEX(Disbursements!$D:$D,MATCH('Live Collections'!G2067,Disbursements!$C:$C,0)),"")</f>
        <v/>
      </c>
      <c r="G2067" s="34"/>
      <c r="H2067" s="34">
        <v>3625</v>
      </c>
      <c r="I2067" s="34" t="s">
        <v>1357</v>
      </c>
      <c r="J2067" s="48"/>
      <c r="K2067" s="48"/>
      <c r="L2067" s="48">
        <v>10000</v>
      </c>
      <c r="M2067" s="48">
        <v>5000</v>
      </c>
      <c r="N2067" s="59"/>
      <c r="O2067" s="59"/>
      <c r="P2067" s="59"/>
      <c r="Q2067" s="268">
        <f t="shared" si="97"/>
        <v>15000</v>
      </c>
      <c r="R2067" s="61">
        <f>IF(O2067=0,0,SUMIFS(Disbursements!$T:$T,Disbursements!$B:$B,'Live Collections'!D2067,Disbursements!$D:$D,'Live Collections'!F2067))</f>
        <v>0</v>
      </c>
      <c r="S2067" s="304">
        <f>IF(O2067&lt;=IF($O2067=0,0,SUMIFS(Disbursements!$W:$W,Disbursements!$B:$B,'Live Collections'!D2949,Disbursements!$D:$D,'Live Collections'!F2949)),O2067,IF($O2067=0,0,SUMIFS(Disbursements!$W:$W,Disbursements!$B:$B,'Live Collections'!D2949,Disbursements!$D:$D,'Live Collections'!F2949)))</f>
        <v>0</v>
      </c>
      <c r="T2067" s="304">
        <f t="shared" si="99"/>
        <v>0</v>
      </c>
      <c r="U2067" s="52"/>
      <c r="V2067" s="34"/>
      <c r="W2067" s="408"/>
    </row>
    <row r="2068" spans="1:23" ht="12.75" customHeight="1" x14ac:dyDescent="0.2">
      <c r="A2068" s="257">
        <v>2053</v>
      </c>
      <c r="B2068" s="44">
        <v>44529</v>
      </c>
      <c r="C2068" s="44">
        <f t="shared" si="98"/>
        <v>44529</v>
      </c>
      <c r="D2068" s="374">
        <v>269</v>
      </c>
      <c r="E2068" s="291" t="str">
        <f>IFERROR(VLOOKUP($D2068,'Clients-Live'!$A:$C,3,0),"")</f>
        <v>YANYA ROBINA</v>
      </c>
      <c r="F2068" s="291" t="str">
        <f>IFERROR(INDEX(Disbursements!$D:$D,MATCH('Live Collections'!G2068,Disbursements!$C:$C,0)),"")</f>
        <v/>
      </c>
      <c r="G2068" s="34"/>
      <c r="H2068" s="34">
        <v>3625</v>
      </c>
      <c r="I2068" s="34" t="s">
        <v>1357</v>
      </c>
      <c r="J2068" s="48"/>
      <c r="K2068" s="48"/>
      <c r="L2068" s="48">
        <v>10000</v>
      </c>
      <c r="M2068" s="48">
        <v>5000</v>
      </c>
      <c r="N2068" s="59"/>
      <c r="O2068" s="59"/>
      <c r="P2068" s="59"/>
      <c r="Q2068" s="268">
        <f t="shared" si="97"/>
        <v>15000</v>
      </c>
      <c r="R2068" s="61">
        <f>IF(O2068=0,0,SUMIFS(Disbursements!$T:$T,Disbursements!$B:$B,'Live Collections'!D2068,Disbursements!$D:$D,'Live Collections'!F2068))</f>
        <v>0</v>
      </c>
      <c r="S2068" s="304">
        <f>IF(O2068&lt;=IF($O2068=0,0,SUMIFS(Disbursements!$W:$W,Disbursements!$B:$B,'Live Collections'!D2950,Disbursements!$D:$D,'Live Collections'!F2950)),O2068,IF($O2068=0,0,SUMIFS(Disbursements!$W:$W,Disbursements!$B:$B,'Live Collections'!D2950,Disbursements!$D:$D,'Live Collections'!F2950)))</f>
        <v>0</v>
      </c>
      <c r="T2068" s="304">
        <f t="shared" si="99"/>
        <v>0</v>
      </c>
      <c r="U2068" s="52"/>
      <c r="V2068" s="34"/>
      <c r="W2068" s="408"/>
    </row>
    <row r="2069" spans="1:23" ht="12.75" customHeight="1" x14ac:dyDescent="0.2">
      <c r="A2069" s="257">
        <v>2056</v>
      </c>
      <c r="B2069" s="44">
        <v>44529</v>
      </c>
      <c r="C2069" s="44">
        <f t="shared" si="98"/>
        <v>44529</v>
      </c>
      <c r="D2069" s="374">
        <v>293</v>
      </c>
      <c r="E2069" s="291" t="str">
        <f>IFERROR(VLOOKUP($D2069,'Clients-Live'!$A:$C,3,0),"")</f>
        <v>AMODO ZAINABU</v>
      </c>
      <c r="F2069" s="291" t="str">
        <f>IFERROR(INDEX(Disbursements!$D:$D,MATCH('Live Collections'!G2069,Disbursements!$C:$C,0)),"")</f>
        <v/>
      </c>
      <c r="G2069" s="34"/>
      <c r="H2069" s="34">
        <v>3628</v>
      </c>
      <c r="I2069" s="34" t="s">
        <v>1716</v>
      </c>
      <c r="J2069" s="48">
        <v>15000</v>
      </c>
      <c r="K2069" s="48">
        <v>5000</v>
      </c>
      <c r="L2069" s="48"/>
      <c r="M2069" s="48"/>
      <c r="N2069" s="59"/>
      <c r="O2069" s="59"/>
      <c r="P2069" s="59"/>
      <c r="Q2069" s="268">
        <f t="shared" si="97"/>
        <v>20000</v>
      </c>
      <c r="R2069" s="61">
        <f>IF(O2069=0,0,SUMIFS(Disbursements!$T:$T,Disbursements!$B:$B,'Live Collections'!D2069,Disbursements!$D:$D,'Live Collections'!F2069))</f>
        <v>0</v>
      </c>
      <c r="S2069" s="304">
        <f>IF(O2069&lt;=IF($O2069=0,0,SUMIFS(Disbursements!$W:$W,Disbursements!$B:$B,'Live Collections'!D3057,Disbursements!$D:$D,'Live Collections'!F3057)),O2069,IF($O2069=0,0,SUMIFS(Disbursements!$W:$W,Disbursements!$B:$B,'Live Collections'!D3057,Disbursements!$D:$D,'Live Collections'!F3057)))</f>
        <v>0</v>
      </c>
      <c r="T2069" s="304">
        <f t="shared" si="99"/>
        <v>0</v>
      </c>
      <c r="U2069" s="52"/>
      <c r="V2069" s="34"/>
      <c r="W2069" s="408"/>
    </row>
    <row r="2070" spans="1:23" ht="12.75" customHeight="1" x14ac:dyDescent="0.2">
      <c r="A2070" s="257">
        <v>2054</v>
      </c>
      <c r="B2070" s="44">
        <v>44529</v>
      </c>
      <c r="C2070" s="44">
        <f t="shared" si="98"/>
        <v>44529</v>
      </c>
      <c r="D2070" s="374">
        <v>294</v>
      </c>
      <c r="E2070" s="291" t="str">
        <f>IFERROR(VLOOKUP($D2070,'Clients-Live'!$A:$C,3,0),"")</f>
        <v>CHANDIRU ZENABU</v>
      </c>
      <c r="F2070" s="291" t="str">
        <f>IFERROR(INDEX(Disbursements!$D:$D,MATCH('Live Collections'!G2070,Disbursements!$C:$C,0)),"")</f>
        <v/>
      </c>
      <c r="G2070" s="34"/>
      <c r="H2070" s="34">
        <v>3661</v>
      </c>
      <c r="I2070" s="34" t="s">
        <v>1716</v>
      </c>
      <c r="J2070" s="48"/>
      <c r="K2070" s="48"/>
      <c r="L2070" s="48">
        <v>15000</v>
      </c>
      <c r="M2070" s="48">
        <v>5000</v>
      </c>
      <c r="N2070" s="59"/>
      <c r="O2070" s="59"/>
      <c r="P2070" s="59"/>
      <c r="Q2070" s="268">
        <f t="shared" si="97"/>
        <v>20000</v>
      </c>
      <c r="R2070" s="61">
        <f>IF(O2070=0,0,SUMIFS(Disbursements!$T:$T,Disbursements!$B:$B,'Live Collections'!D2070,Disbursements!$D:$D,'Live Collections'!F2070))</f>
        <v>0</v>
      </c>
      <c r="S2070" s="304">
        <f>IF(O2070&lt;=IF($O2070=0,0,SUMIFS(Disbursements!$W:$W,Disbursements!$B:$B,'Live Collections'!D3059,Disbursements!$D:$D,'Live Collections'!F3059)),O2070,IF($O2070=0,0,SUMIFS(Disbursements!$W:$W,Disbursements!$B:$B,'Live Collections'!D3059,Disbursements!$D:$D,'Live Collections'!F3059)))</f>
        <v>0</v>
      </c>
      <c r="T2070" s="304">
        <f t="shared" si="99"/>
        <v>0</v>
      </c>
      <c r="U2070" s="52"/>
      <c r="V2070" s="34"/>
      <c r="W2070" s="408"/>
    </row>
    <row r="2071" spans="1:23" ht="12.75" customHeight="1" x14ac:dyDescent="0.2">
      <c r="A2071" s="257">
        <v>2055</v>
      </c>
      <c r="B2071" s="44">
        <v>44529</v>
      </c>
      <c r="C2071" s="44">
        <f t="shared" si="98"/>
        <v>44529</v>
      </c>
      <c r="D2071" s="374">
        <v>294</v>
      </c>
      <c r="E2071" s="291" t="str">
        <f>IFERROR(VLOOKUP($D2071,'Clients-Live'!$A:$C,3,0),"")</f>
        <v>CHANDIRU ZENABU</v>
      </c>
      <c r="F2071" s="291" t="str">
        <f>IFERROR(INDEX(Disbursements!$D:$D,MATCH('Live Collections'!G2071,Disbursements!$C:$C,0)),"")</f>
        <v/>
      </c>
      <c r="G2071" s="34"/>
      <c r="H2071" s="34">
        <v>3660</v>
      </c>
      <c r="I2071" s="34" t="s">
        <v>1716</v>
      </c>
      <c r="J2071" s="48">
        <v>15000</v>
      </c>
      <c r="K2071" s="48">
        <v>5000</v>
      </c>
      <c r="L2071" s="48"/>
      <c r="M2071" s="48"/>
      <c r="N2071" s="59"/>
      <c r="O2071" s="59"/>
      <c r="P2071" s="59"/>
      <c r="Q2071" s="268">
        <f t="shared" si="97"/>
        <v>20000</v>
      </c>
      <c r="R2071" s="61">
        <f>IF(O2071=0,0,SUMIFS(Disbursements!$T:$T,Disbursements!$B:$B,'Live Collections'!D2071,Disbursements!$D:$D,'Live Collections'!F2071))</f>
        <v>0</v>
      </c>
      <c r="S2071" s="304">
        <f>IF(O2071&lt;=IF($O2071=0,0,SUMIFS(Disbursements!$W:$W,Disbursements!$B:$B,'Live Collections'!D3060,Disbursements!$D:$D,'Live Collections'!F3060)),O2071,IF($O2071=0,0,SUMIFS(Disbursements!$W:$W,Disbursements!$B:$B,'Live Collections'!D3060,Disbursements!$D:$D,'Live Collections'!F3060)))</f>
        <v>0</v>
      </c>
      <c r="T2071" s="304">
        <f t="shared" si="99"/>
        <v>0</v>
      </c>
      <c r="U2071" s="52"/>
      <c r="V2071" s="34"/>
      <c r="W2071" s="408"/>
    </row>
    <row r="2072" spans="1:23" ht="12.75" customHeight="1" x14ac:dyDescent="0.2">
      <c r="A2072" s="257">
        <v>2049</v>
      </c>
      <c r="B2072" s="44">
        <v>44529</v>
      </c>
      <c r="C2072" s="44">
        <f t="shared" si="98"/>
        <v>44529</v>
      </c>
      <c r="D2072" s="374">
        <v>295</v>
      </c>
      <c r="E2072" s="291" t="str">
        <f>IFERROR(VLOOKUP($D2072,'Clients-Live'!$A:$C,3,0),"")</f>
        <v>ABIYO RICHARD ENAKU</v>
      </c>
      <c r="F2072" s="291" t="str">
        <f>IFERROR(INDEX(Disbursements!$D:$D,MATCH('Live Collections'!G2072,Disbursements!$C:$C,0)),"")</f>
        <v/>
      </c>
      <c r="G2072" s="34"/>
      <c r="H2072" s="34">
        <v>3668</v>
      </c>
      <c r="I2072" s="34" t="s">
        <v>1716</v>
      </c>
      <c r="J2072" s="48"/>
      <c r="K2072" s="48"/>
      <c r="L2072" s="48">
        <v>20000</v>
      </c>
      <c r="M2072" s="48">
        <v>5000</v>
      </c>
      <c r="N2072" s="59"/>
      <c r="O2072" s="59"/>
      <c r="P2072" s="59"/>
      <c r="Q2072" s="268">
        <f t="shared" si="97"/>
        <v>25000</v>
      </c>
      <c r="R2072" s="61">
        <f>IF(O2072=0,0,SUMIFS(Disbursements!$T:$T,Disbursements!$B:$B,'Live Collections'!D2072,Disbursements!$D:$D,'Live Collections'!F2072))</f>
        <v>0</v>
      </c>
      <c r="S2072" s="304">
        <f>IF(O2072&lt;=IF($O2072=0,0,SUMIFS(Disbursements!$W:$W,Disbursements!$B:$B,'Live Collections'!D3061,Disbursements!$D:$D,'Live Collections'!F3061)),O2072,IF($O2072=0,0,SUMIFS(Disbursements!$W:$W,Disbursements!$B:$B,'Live Collections'!D3061,Disbursements!$D:$D,'Live Collections'!F3061)))</f>
        <v>0</v>
      </c>
      <c r="T2072" s="304">
        <f t="shared" si="99"/>
        <v>0</v>
      </c>
      <c r="U2072" s="52"/>
      <c r="V2072" s="34"/>
      <c r="W2072" s="408"/>
    </row>
    <row r="2073" spans="1:23" ht="12.75" customHeight="1" x14ac:dyDescent="0.2">
      <c r="A2073" s="257">
        <v>2050</v>
      </c>
      <c r="B2073" s="44">
        <v>44529</v>
      </c>
      <c r="C2073" s="44">
        <f t="shared" si="98"/>
        <v>44529</v>
      </c>
      <c r="D2073" s="374">
        <v>295</v>
      </c>
      <c r="E2073" s="291" t="str">
        <f>IFERROR(VLOOKUP($D2073,'Clients-Live'!$A:$C,3,0),"")</f>
        <v>ABIYO RICHARD ENAKU</v>
      </c>
      <c r="F2073" s="291" t="str">
        <f>IFERROR(INDEX(Disbursements!$D:$D,MATCH('Live Collections'!G2073,Disbursements!$C:$C,0)),"")</f>
        <v/>
      </c>
      <c r="G2073" s="34"/>
      <c r="H2073" s="34">
        <v>3667</v>
      </c>
      <c r="I2073" s="34" t="s">
        <v>1716</v>
      </c>
      <c r="J2073" s="48">
        <v>15000</v>
      </c>
      <c r="K2073" s="48">
        <v>5000</v>
      </c>
      <c r="L2073" s="48"/>
      <c r="M2073" s="48"/>
      <c r="N2073" s="59"/>
      <c r="O2073" s="59"/>
      <c r="P2073" s="59"/>
      <c r="Q2073" s="268">
        <f t="shared" si="97"/>
        <v>20000</v>
      </c>
      <c r="R2073" s="61">
        <f>IF(O2073=0,0,SUMIFS(Disbursements!$T:$T,Disbursements!$B:$B,'Live Collections'!D2073,Disbursements!$D:$D,'Live Collections'!F2073))</f>
        <v>0</v>
      </c>
      <c r="S2073" s="304">
        <f>IF(O2073&lt;=IF($O2073=0,0,SUMIFS(Disbursements!$W:$W,Disbursements!$B:$B,'Live Collections'!D3062,Disbursements!$D:$D,'Live Collections'!F3062)),O2073,IF($O2073=0,0,SUMIFS(Disbursements!$W:$W,Disbursements!$B:$B,'Live Collections'!D3062,Disbursements!$D:$D,'Live Collections'!F3062)))</f>
        <v>0</v>
      </c>
      <c r="T2073" s="304">
        <f t="shared" si="99"/>
        <v>0</v>
      </c>
      <c r="U2073" s="52"/>
      <c r="V2073" s="34"/>
      <c r="W2073" s="408"/>
    </row>
    <row r="2074" spans="1:23" ht="12.75" customHeight="1" x14ac:dyDescent="0.2">
      <c r="A2074" s="257">
        <v>2051</v>
      </c>
      <c r="B2074" s="44">
        <v>44529</v>
      </c>
      <c r="C2074" s="44">
        <f t="shared" si="98"/>
        <v>44529</v>
      </c>
      <c r="D2074" s="374">
        <v>296</v>
      </c>
      <c r="E2074" s="291" t="str">
        <f>IFERROR(VLOOKUP($D2074,'Clients-Live'!$A:$C,3,0),"")</f>
        <v>CHANDIRU ZAKIA</v>
      </c>
      <c r="F2074" s="291" t="str">
        <f>IFERROR(INDEX(Disbursements!$D:$D,MATCH('Live Collections'!G2074,Disbursements!$C:$C,0)),"")</f>
        <v/>
      </c>
      <c r="G2074" s="34"/>
      <c r="H2074" s="34">
        <v>3665</v>
      </c>
      <c r="I2074" s="34" t="s">
        <v>1716</v>
      </c>
      <c r="J2074" s="48"/>
      <c r="K2074" s="48"/>
      <c r="L2074" s="48">
        <v>15000</v>
      </c>
      <c r="M2074" s="48">
        <v>5000</v>
      </c>
      <c r="N2074" s="59"/>
      <c r="O2074" s="59"/>
      <c r="P2074" s="59"/>
      <c r="Q2074" s="268">
        <f t="shared" si="97"/>
        <v>20000</v>
      </c>
      <c r="R2074" s="61">
        <f>IF(O2074=0,0,SUMIFS(Disbursements!$T:$T,Disbursements!$B:$B,'Live Collections'!D2074,Disbursements!$D:$D,'Live Collections'!F2074))</f>
        <v>0</v>
      </c>
      <c r="S2074" s="304">
        <f>IF(O2074&lt;=IF($O2074=0,0,SUMIFS(Disbursements!$W:$W,Disbursements!$B:$B,'Live Collections'!D3066,Disbursements!$D:$D,'Live Collections'!F3066)),O2074,IF($O2074=0,0,SUMIFS(Disbursements!$W:$W,Disbursements!$B:$B,'Live Collections'!D3066,Disbursements!$D:$D,'Live Collections'!F3066)))</f>
        <v>0</v>
      </c>
      <c r="T2074" s="304">
        <f t="shared" si="99"/>
        <v>0</v>
      </c>
      <c r="U2074" s="52"/>
      <c r="V2074" s="34"/>
      <c r="W2074" s="408"/>
    </row>
    <row r="2075" spans="1:23" ht="12.75" customHeight="1" x14ac:dyDescent="0.2">
      <c r="A2075" s="257">
        <v>2052</v>
      </c>
      <c r="B2075" s="44">
        <v>44529</v>
      </c>
      <c r="C2075" s="44">
        <f t="shared" si="98"/>
        <v>44529</v>
      </c>
      <c r="D2075" s="374">
        <v>296</v>
      </c>
      <c r="E2075" s="291" t="str">
        <f>IFERROR(VLOOKUP($D2075,'Clients-Live'!$A:$C,3,0),"")</f>
        <v>CHANDIRU ZAKIA</v>
      </c>
      <c r="F2075" s="291" t="str">
        <f>IFERROR(INDEX(Disbursements!$D:$D,MATCH('Live Collections'!G2075,Disbursements!$C:$C,0)),"")</f>
        <v/>
      </c>
      <c r="G2075" s="34"/>
      <c r="H2075" s="34">
        <v>3664</v>
      </c>
      <c r="I2075" s="34" t="s">
        <v>1716</v>
      </c>
      <c r="J2075" s="48">
        <v>15000</v>
      </c>
      <c r="K2075" s="48">
        <v>5000</v>
      </c>
      <c r="L2075" s="48"/>
      <c r="M2075" s="48"/>
      <c r="N2075" s="59"/>
      <c r="O2075" s="59"/>
      <c r="P2075" s="59"/>
      <c r="Q2075" s="268">
        <f t="shared" si="97"/>
        <v>20000</v>
      </c>
      <c r="R2075" s="61">
        <f>IF(O2075=0,0,SUMIFS(Disbursements!$T:$T,Disbursements!$B:$B,'Live Collections'!D2075,Disbursements!$D:$D,'Live Collections'!F2075))</f>
        <v>0</v>
      </c>
      <c r="S2075" s="304">
        <f>IF(O2075&lt;=IF($O2075=0,0,SUMIFS(Disbursements!$W:$W,Disbursements!$B:$B,'Live Collections'!D3067,Disbursements!$D:$D,'Live Collections'!F3067)),O2075,IF($O2075=0,0,SUMIFS(Disbursements!$W:$W,Disbursements!$B:$B,'Live Collections'!D3067,Disbursements!$D:$D,'Live Collections'!F3067)))</f>
        <v>0</v>
      </c>
      <c r="T2075" s="304">
        <f t="shared" si="99"/>
        <v>0</v>
      </c>
      <c r="U2075" s="52"/>
      <c r="V2075" s="34"/>
      <c r="W2075" s="408"/>
    </row>
    <row r="2076" spans="1:23" ht="12.75" customHeight="1" x14ac:dyDescent="0.2">
      <c r="A2076" s="257">
        <v>2047</v>
      </c>
      <c r="B2076" s="44">
        <v>44529</v>
      </c>
      <c r="C2076" s="44">
        <f t="shared" si="98"/>
        <v>44529</v>
      </c>
      <c r="D2076" s="374">
        <v>297</v>
      </c>
      <c r="E2076" s="291" t="str">
        <f>IFERROR(VLOOKUP($D2076,'Clients-Live'!$A:$C,3,0),"")</f>
        <v>MORO CHRISTOPHER AWARA</v>
      </c>
      <c r="F2076" s="291" t="str">
        <f>IFERROR(INDEX(Disbursements!$D:$D,MATCH('Live Collections'!G2076,Disbursements!$C:$C,0)),"")</f>
        <v/>
      </c>
      <c r="G2076" s="34"/>
      <c r="H2076" s="34">
        <v>3670</v>
      </c>
      <c r="I2076" s="34" t="s">
        <v>1716</v>
      </c>
      <c r="J2076" s="48"/>
      <c r="K2076" s="48"/>
      <c r="L2076" s="48">
        <v>20000</v>
      </c>
      <c r="M2076" s="48">
        <v>5000</v>
      </c>
      <c r="N2076" s="59"/>
      <c r="O2076" s="59"/>
      <c r="P2076" s="59"/>
      <c r="Q2076" s="268">
        <f t="shared" si="97"/>
        <v>25000</v>
      </c>
      <c r="R2076" s="61">
        <f>IF(O2076=0,0,SUMIFS(Disbursements!$T:$T,Disbursements!$B:$B,'Live Collections'!D2076,Disbursements!$D:$D,'Live Collections'!F2076))</f>
        <v>0</v>
      </c>
      <c r="S2076" s="304">
        <f>IF(O2076&lt;=IF($O2076=0,0,SUMIFS(Disbursements!$W:$W,Disbursements!$B:$B,'Live Collections'!D3068,Disbursements!$D:$D,'Live Collections'!F3068)),O2076,IF($O2076=0,0,SUMIFS(Disbursements!$W:$W,Disbursements!$B:$B,'Live Collections'!D3068,Disbursements!$D:$D,'Live Collections'!F3068)))</f>
        <v>0</v>
      </c>
      <c r="T2076" s="304">
        <f t="shared" si="99"/>
        <v>0</v>
      </c>
      <c r="U2076" s="52"/>
      <c r="V2076" s="34"/>
      <c r="W2076" s="408"/>
    </row>
    <row r="2077" spans="1:23" ht="12.75" customHeight="1" x14ac:dyDescent="0.2">
      <c r="A2077" s="257">
        <v>2048</v>
      </c>
      <c r="B2077" s="44">
        <v>44529</v>
      </c>
      <c r="C2077" s="44">
        <f t="shared" si="98"/>
        <v>44529</v>
      </c>
      <c r="D2077" s="374">
        <v>297</v>
      </c>
      <c r="E2077" s="291" t="str">
        <f>IFERROR(VLOOKUP($D2077,'Clients-Live'!$A:$C,3,0),"")</f>
        <v>MORO CHRISTOPHER AWARA</v>
      </c>
      <c r="F2077" s="291" t="str">
        <f>IFERROR(INDEX(Disbursements!$D:$D,MATCH('Live Collections'!G2077,Disbursements!$C:$C,0)),"")</f>
        <v/>
      </c>
      <c r="G2077" s="34"/>
      <c r="H2077" s="34">
        <v>3663</v>
      </c>
      <c r="I2077" s="34" t="s">
        <v>1716</v>
      </c>
      <c r="J2077" s="48">
        <v>15000</v>
      </c>
      <c r="K2077" s="48">
        <v>5000</v>
      </c>
      <c r="L2077" s="48"/>
      <c r="M2077" s="48"/>
      <c r="N2077" s="59"/>
      <c r="O2077" s="59"/>
      <c r="P2077" s="59"/>
      <c r="Q2077" s="268">
        <f t="shared" si="97"/>
        <v>20000</v>
      </c>
      <c r="R2077" s="61">
        <f>IF(O2077=0,0,SUMIFS(Disbursements!$T:$T,Disbursements!$B:$B,'Live Collections'!D2077,Disbursements!$D:$D,'Live Collections'!F2077))</f>
        <v>0</v>
      </c>
      <c r="S2077" s="304">
        <f>IF(O2077&lt;=IF($O2077=0,0,SUMIFS(Disbursements!$W:$W,Disbursements!$B:$B,'Live Collections'!D3069,Disbursements!$D:$D,'Live Collections'!F3069)),O2077,IF($O2077=0,0,SUMIFS(Disbursements!$W:$W,Disbursements!$B:$B,'Live Collections'!D3069,Disbursements!$D:$D,'Live Collections'!F3069)))</f>
        <v>0</v>
      </c>
      <c r="T2077" s="304">
        <f t="shared" si="99"/>
        <v>0</v>
      </c>
      <c r="U2077" s="52"/>
      <c r="V2077" s="34"/>
      <c r="W2077" s="408"/>
    </row>
    <row r="2078" spans="1:23" ht="12.75" customHeight="1" x14ac:dyDescent="0.2">
      <c r="A2078" s="257">
        <v>2068</v>
      </c>
      <c r="B2078" s="44">
        <v>44530</v>
      </c>
      <c r="C2078" s="44">
        <f t="shared" si="98"/>
        <v>44530</v>
      </c>
      <c r="D2078" s="374">
        <v>3</v>
      </c>
      <c r="E2078" s="291" t="str">
        <f>IFERROR(VLOOKUP($D2078,'Clients-Live'!$A:$C,3,0),"")</f>
        <v>YEKA ARIJABU</v>
      </c>
      <c r="F2078" s="291">
        <f>IFERROR(INDEX(Disbursements!$D:$D,MATCH('Live Collections'!G2078,Disbursements!$C:$C,0)),"")</f>
        <v>1</v>
      </c>
      <c r="G2078" s="34">
        <v>227</v>
      </c>
      <c r="H2078" s="34">
        <v>3645</v>
      </c>
      <c r="I2078" s="34" t="s">
        <v>1357</v>
      </c>
      <c r="J2078" s="48"/>
      <c r="K2078" s="48"/>
      <c r="L2078" s="48"/>
      <c r="M2078" s="48"/>
      <c r="N2078" s="59"/>
      <c r="O2078" s="59">
        <v>135000</v>
      </c>
      <c r="P2078" s="59"/>
      <c r="Q2078" s="268">
        <f t="shared" si="97"/>
        <v>135000</v>
      </c>
      <c r="R2078" s="61">
        <f>IF(O2078=0,0,SUMIFS(Disbursements!$T:$T,Disbursements!$B:$B,'Live Collections'!D2078,Disbursements!$D:$D,'Live Collections'!F2078))</f>
        <v>325000</v>
      </c>
      <c r="S2078" s="304">
        <f>IF(O2078&lt;=IF($O2078=0,0,SUMIFS(Disbursements!$W:$W,Disbursements!$B:$B,'Live Collections'!D705,Disbursements!$D:$D,'Live Collections'!F705)),O2078,IF($O2078=0,0,SUMIFS(Disbursements!$W:$W,Disbursements!$B:$B,'Live Collections'!D705,Disbursements!$D:$D,'Live Collections'!F705)))</f>
        <v>50666.666666666686</v>
      </c>
      <c r="T2078" s="304">
        <f t="shared" si="99"/>
        <v>84333.333333333314</v>
      </c>
      <c r="U2078" s="52"/>
      <c r="V2078" s="34"/>
      <c r="W2078" s="408"/>
    </row>
    <row r="2079" spans="1:23" ht="12.75" customHeight="1" x14ac:dyDescent="0.2">
      <c r="A2079" s="257">
        <v>2060</v>
      </c>
      <c r="B2079" s="44">
        <v>44530</v>
      </c>
      <c r="C2079" s="44">
        <f t="shared" si="98"/>
        <v>44530</v>
      </c>
      <c r="D2079" s="374">
        <v>75</v>
      </c>
      <c r="E2079" s="291" t="str">
        <f>IFERROR(VLOOKUP($D2079,'Clients-Live'!$A:$C,3,0),"")</f>
        <v>MUKULIA JAMES</v>
      </c>
      <c r="F2079" s="291">
        <f>IFERROR(INDEX(Disbursements!$D:$D,MATCH('Live Collections'!G2079,Disbursements!$C:$C,0)),"")</f>
        <v>3</v>
      </c>
      <c r="G2079" s="34">
        <v>357</v>
      </c>
      <c r="H2079" s="34">
        <v>3618</v>
      </c>
      <c r="I2079" s="34" t="s">
        <v>1359</v>
      </c>
      <c r="J2079" s="48"/>
      <c r="K2079" s="48"/>
      <c r="L2079" s="48"/>
      <c r="M2079" s="48"/>
      <c r="N2079" s="59"/>
      <c r="O2079" s="59">
        <v>70000</v>
      </c>
      <c r="P2079" s="59"/>
      <c r="Q2079" s="268">
        <f t="shared" si="97"/>
        <v>70000</v>
      </c>
      <c r="R2079" s="61">
        <f>IF(O2079=0,0,SUMIFS(Disbursements!$T:$T,Disbursements!$B:$B,'Live Collections'!D2079,Disbursements!$D:$D,'Live Collections'!F2079))</f>
        <v>175000</v>
      </c>
      <c r="S2079" s="304">
        <f>IF(O2079&lt;=IF($O2079=0,0,SUMIFS(Disbursements!$W:$W,Disbursements!$B:$B,'Live Collections'!D964,Disbursements!$D:$D,'Live Collections'!F964)),O2079,IF($O2079=0,0,SUMIFS(Disbursements!$W:$W,Disbursements!$B:$B,'Live Collections'!D964,Disbursements!$D:$D,'Live Collections'!F964)))</f>
        <v>20000</v>
      </c>
      <c r="T2079" s="304">
        <f t="shared" si="99"/>
        <v>50000</v>
      </c>
      <c r="U2079" s="52"/>
      <c r="V2079" s="34"/>
      <c r="W2079" s="408" t="s">
        <v>1883</v>
      </c>
    </row>
    <row r="2080" spans="1:23" ht="12.75" customHeight="1" x14ac:dyDescent="0.2">
      <c r="A2080" s="257">
        <v>2069</v>
      </c>
      <c r="B2080" s="44">
        <v>44530</v>
      </c>
      <c r="C2080" s="44">
        <f t="shared" si="98"/>
        <v>44530</v>
      </c>
      <c r="D2080" s="374">
        <v>98</v>
      </c>
      <c r="E2080" s="291" t="str">
        <f>IFERROR(VLOOKUP($D2080,'Clients-Live'!$A:$C,3,0),"")</f>
        <v>AMANIYO CLARA</v>
      </c>
      <c r="F2080" s="291">
        <f>IFERROR(INDEX(Disbursements!$D:$D,MATCH('Live Collections'!G2080,Disbursements!$C:$C,0)),"")</f>
        <v>2</v>
      </c>
      <c r="G2080" s="34">
        <v>232</v>
      </c>
      <c r="H2080" s="34">
        <v>3641</v>
      </c>
      <c r="I2080" s="34" t="s">
        <v>1358</v>
      </c>
      <c r="J2080" s="48"/>
      <c r="K2080" s="48"/>
      <c r="L2080" s="48"/>
      <c r="M2080" s="48"/>
      <c r="N2080" s="59"/>
      <c r="O2080" s="59">
        <v>65000</v>
      </c>
      <c r="P2080" s="59"/>
      <c r="Q2080" s="268">
        <f t="shared" si="97"/>
        <v>65000</v>
      </c>
      <c r="R2080" s="61">
        <f>IF(O2080=0,0,SUMIFS(Disbursements!$T:$T,Disbursements!$B:$B,'Live Collections'!D2080,Disbursements!$D:$D,'Live Collections'!F2080))</f>
        <v>175000</v>
      </c>
      <c r="S2080" s="304">
        <f>IF(O2080&lt;=IF($O2080=0,0,SUMIFS(Disbursements!$W:$W,Disbursements!$B:$B,'Live Collections'!D1271,Disbursements!$D:$D,'Live Collections'!F1271)),O2080,IF($O2080=0,0,SUMIFS(Disbursements!$W:$W,Disbursements!$B:$B,'Live Collections'!D1271,Disbursements!$D:$D,'Live Collections'!F1271)))</f>
        <v>40000</v>
      </c>
      <c r="T2080" s="304">
        <f t="shared" si="99"/>
        <v>25000</v>
      </c>
      <c r="U2080" s="52"/>
      <c r="V2080" s="34"/>
      <c r="W2080" s="408"/>
    </row>
    <row r="2081" spans="1:23" ht="12.75" customHeight="1" x14ac:dyDescent="0.2">
      <c r="A2081" s="257">
        <v>2065</v>
      </c>
      <c r="B2081" s="44">
        <v>44530</v>
      </c>
      <c r="C2081" s="44">
        <f t="shared" si="98"/>
        <v>44530</v>
      </c>
      <c r="D2081" s="374">
        <v>102</v>
      </c>
      <c r="E2081" s="291" t="str">
        <f>IFERROR(VLOOKUP($D2081,'Clients-Live'!$A:$C,3,0),"")</f>
        <v>BATALI GODFREY JOHN</v>
      </c>
      <c r="F2081" s="291">
        <f>IFERROR(INDEX(Disbursements!$D:$D,MATCH('Live Collections'!G2081,Disbursements!$C:$C,0)),"")</f>
        <v>1</v>
      </c>
      <c r="G2081" s="34">
        <v>102</v>
      </c>
      <c r="H2081" s="34">
        <v>3647</v>
      </c>
      <c r="I2081" s="34" t="s">
        <v>1357</v>
      </c>
      <c r="J2081" s="48"/>
      <c r="K2081" s="48"/>
      <c r="L2081" s="48">
        <v>10000</v>
      </c>
      <c r="M2081" s="48">
        <v>5000</v>
      </c>
      <c r="N2081" s="59"/>
      <c r="O2081" s="59"/>
      <c r="P2081" s="59"/>
      <c r="Q2081" s="268">
        <f t="shared" si="97"/>
        <v>15000</v>
      </c>
      <c r="R2081" s="61">
        <f>IF(O2081=0,0,SUMIFS(Disbursements!$T:$T,Disbursements!$B:$B,'Live Collections'!D2081,Disbursements!$D:$D,'Live Collections'!F2081))</f>
        <v>0</v>
      </c>
      <c r="S2081" s="304">
        <f>IF(O2081&lt;=IF($O2081=0,0,SUMIFS(Disbursements!$W:$W,Disbursements!$B:$B,'Live Collections'!D2881,Disbursements!$D:$D,'Live Collections'!F2881)),O2081,IF($O2081=0,0,SUMIFS(Disbursements!$W:$W,Disbursements!$B:$B,'Live Collections'!D2881,Disbursements!$D:$D,'Live Collections'!F2881)))</f>
        <v>0</v>
      </c>
      <c r="T2081" s="304">
        <f t="shared" si="99"/>
        <v>0</v>
      </c>
      <c r="U2081" s="52"/>
      <c r="V2081" s="34"/>
      <c r="W2081" s="408"/>
    </row>
    <row r="2082" spans="1:23" ht="12.75" customHeight="1" x14ac:dyDescent="0.2">
      <c r="A2082" s="257">
        <v>2067</v>
      </c>
      <c r="B2082" s="44">
        <v>44530</v>
      </c>
      <c r="C2082" s="44">
        <f t="shared" si="98"/>
        <v>44530</v>
      </c>
      <c r="D2082" s="374">
        <v>169</v>
      </c>
      <c r="E2082" s="291" t="str">
        <f>IFERROR(VLOOKUP($D2082,'Clients-Live'!$A:$C,3,0),"")</f>
        <v>KATO KENNEDY</v>
      </c>
      <c r="F2082" s="291">
        <f>IFERROR(INDEX(Disbursements!$D:$D,MATCH('Live Collections'!G2082,Disbursements!$C:$C,0)),"")</f>
        <v>1</v>
      </c>
      <c r="G2082" s="34">
        <v>176</v>
      </c>
      <c r="H2082" s="34">
        <v>3646</v>
      </c>
      <c r="I2082" s="34" t="s">
        <v>1357</v>
      </c>
      <c r="J2082" s="48"/>
      <c r="K2082" s="48"/>
      <c r="L2082" s="48"/>
      <c r="M2082" s="48"/>
      <c r="N2082" s="59"/>
      <c r="O2082" s="59">
        <v>140000</v>
      </c>
      <c r="P2082" s="59"/>
      <c r="Q2082" s="268">
        <f t="shared" si="97"/>
        <v>140000</v>
      </c>
      <c r="R2082" s="61">
        <f>IF(O2082=0,0,SUMIFS(Disbursements!$T:$T,Disbursements!$B:$B,'Live Collections'!D2082,Disbursements!$D:$D,'Live Collections'!F2082))</f>
        <v>109000</v>
      </c>
      <c r="S2082" s="304">
        <f>IF(O2082&lt;=IF($O2082=0,0,SUMIFS(Disbursements!$W:$W,Disbursements!$B:$B,'Live Collections'!D2092,Disbursements!$D:$D,'Live Collections'!F2092)),O2082,IF($O2082=0,0,SUMIFS(Disbursements!$W:$W,Disbursements!$B:$B,'Live Collections'!D2092,Disbursements!$D:$D,'Live Collections'!F2092)))</f>
        <v>140000</v>
      </c>
      <c r="T2082" s="304">
        <f t="shared" si="99"/>
        <v>0</v>
      </c>
      <c r="U2082" s="52"/>
      <c r="V2082" s="34"/>
      <c r="W2082" s="408"/>
    </row>
    <row r="2083" spans="1:23" ht="12.75" customHeight="1" x14ac:dyDescent="0.2">
      <c r="A2083" s="257">
        <v>2070</v>
      </c>
      <c r="B2083" s="44">
        <v>44530</v>
      </c>
      <c r="C2083" s="44">
        <f t="shared" si="98"/>
        <v>44530</v>
      </c>
      <c r="D2083" s="374">
        <v>177</v>
      </c>
      <c r="E2083" s="291" t="str">
        <f>IFERROR(VLOOKUP($D2083,'Clients-Live'!$A:$C,3,0),"")</f>
        <v>EFIT GIFT</v>
      </c>
      <c r="F2083" s="291">
        <f>IFERROR(INDEX(Disbursements!$D:$D,MATCH('Live Collections'!G2083,Disbursements!$C:$C,0)),"")</f>
        <v>1</v>
      </c>
      <c r="G2083" s="34">
        <v>183</v>
      </c>
      <c r="H2083" s="34">
        <v>3640</v>
      </c>
      <c r="I2083" s="34" t="s">
        <v>1358</v>
      </c>
      <c r="J2083" s="48"/>
      <c r="K2083" s="48"/>
      <c r="L2083" s="48"/>
      <c r="M2083" s="48"/>
      <c r="N2083" s="59"/>
      <c r="O2083" s="59">
        <v>70000</v>
      </c>
      <c r="P2083" s="59"/>
      <c r="Q2083" s="268">
        <f t="shared" si="97"/>
        <v>70000</v>
      </c>
      <c r="R2083" s="61">
        <f>IF(O2083=0,0,SUMIFS(Disbursements!$T:$T,Disbursements!$B:$B,'Live Collections'!D2083,Disbursements!$D:$D,'Live Collections'!F2083))</f>
        <v>109000</v>
      </c>
      <c r="S2083" s="304">
        <f>IF(O2083&lt;=IF($O2083=0,0,SUMIFS(Disbursements!$W:$W,Disbursements!$B:$B,'Live Collections'!D2175,Disbursements!$D:$D,'Live Collections'!F2175)),O2083,IF($O2083=0,0,SUMIFS(Disbursements!$W:$W,Disbursements!$B:$B,'Live Collections'!D2175,Disbursements!$D:$D,'Live Collections'!F2175)))</f>
        <v>70000</v>
      </c>
      <c r="T2083" s="304">
        <f t="shared" si="99"/>
        <v>0</v>
      </c>
      <c r="U2083" s="52"/>
      <c r="V2083" s="34"/>
      <c r="W2083" s="408"/>
    </row>
    <row r="2084" spans="1:23" ht="12.75" customHeight="1" x14ac:dyDescent="0.2">
      <c r="A2084" s="257">
        <v>2061</v>
      </c>
      <c r="B2084" s="44">
        <v>44530</v>
      </c>
      <c r="C2084" s="44">
        <f t="shared" si="98"/>
        <v>44530</v>
      </c>
      <c r="D2084" s="374">
        <v>199</v>
      </c>
      <c r="E2084" s="291" t="str">
        <f>IFERROR(VLOOKUP($D2084,'Clients-Live'!$A:$C,3,0),"")</f>
        <v>OTHIM JIMMY</v>
      </c>
      <c r="F2084" s="291">
        <f>IFERROR(INDEX(Disbursements!$D:$D,MATCH('Live Collections'!G2084,Disbursements!$C:$C,0)),"")</f>
        <v>2</v>
      </c>
      <c r="G2084" s="34">
        <v>273</v>
      </c>
      <c r="H2084" s="34">
        <v>474</v>
      </c>
      <c r="I2084" s="34" t="s">
        <v>1359</v>
      </c>
      <c r="J2084" s="48"/>
      <c r="K2084" s="48"/>
      <c r="L2084" s="48"/>
      <c r="M2084" s="48"/>
      <c r="N2084" s="59"/>
      <c r="O2084" s="59"/>
      <c r="P2084" s="59">
        <v>-30000</v>
      </c>
      <c r="Q2084" s="268">
        <f t="shared" si="97"/>
        <v>-30000</v>
      </c>
      <c r="R2084" s="61">
        <f>IF(O2084=0,0,SUMIFS(Disbursements!$T:$T,Disbursements!$B:$B,'Live Collections'!D2084,Disbursements!$D:$D,'Live Collections'!F2084))</f>
        <v>0</v>
      </c>
      <c r="S2084" s="304">
        <f>IF(O2084&lt;=IF($O2084=0,0,SUMIFS(Disbursements!$W:$W,Disbursements!$B:$B,'Live Collections'!D2381,Disbursements!$D:$D,'Live Collections'!F2381)),O2084,IF($O2084=0,0,SUMIFS(Disbursements!$W:$W,Disbursements!$B:$B,'Live Collections'!D2381,Disbursements!$D:$D,'Live Collections'!F2381)))</f>
        <v>0</v>
      </c>
      <c r="T2084" s="304">
        <f t="shared" si="99"/>
        <v>0</v>
      </c>
      <c r="U2084" s="52"/>
      <c r="V2084" s="34"/>
      <c r="W2084" s="408"/>
    </row>
    <row r="2085" spans="1:23" ht="12.75" customHeight="1" x14ac:dyDescent="0.2">
      <c r="A2085" s="257">
        <v>2062</v>
      </c>
      <c r="B2085" s="44">
        <v>44530</v>
      </c>
      <c r="C2085" s="44">
        <f t="shared" si="98"/>
        <v>44530</v>
      </c>
      <c r="D2085" s="374">
        <v>199</v>
      </c>
      <c r="E2085" s="291" t="str">
        <f>IFERROR(VLOOKUP($D2085,'Clients-Live'!$A:$C,3,0),"")</f>
        <v>OTHIM JIMMY</v>
      </c>
      <c r="F2085" s="291">
        <f>IFERROR(INDEX(Disbursements!$D:$D,MATCH('Live Collections'!G2085,Disbursements!$C:$C,0)),"")</f>
        <v>2</v>
      </c>
      <c r="G2085" s="34">
        <v>273</v>
      </c>
      <c r="H2085" s="34">
        <v>3644</v>
      </c>
      <c r="I2085" s="34" t="s">
        <v>1359</v>
      </c>
      <c r="J2085" s="48"/>
      <c r="K2085" s="48"/>
      <c r="L2085" s="48"/>
      <c r="M2085" s="48"/>
      <c r="N2085" s="59"/>
      <c r="O2085" s="59">
        <v>30000</v>
      </c>
      <c r="P2085" s="59"/>
      <c r="Q2085" s="268">
        <f t="shared" si="97"/>
        <v>30000</v>
      </c>
      <c r="R2085" s="61">
        <f>IF(O2085=0,0,SUMIFS(Disbursements!$T:$T,Disbursements!$B:$B,'Live Collections'!D2085,Disbursements!$D:$D,'Live Collections'!F2085))</f>
        <v>323000</v>
      </c>
      <c r="S2085" s="304">
        <v>23000</v>
      </c>
      <c r="T2085" s="304">
        <f t="shared" si="99"/>
        <v>7000</v>
      </c>
      <c r="U2085" s="52"/>
      <c r="V2085" s="34"/>
      <c r="W2085" s="408"/>
    </row>
    <row r="2086" spans="1:23" ht="12.75" customHeight="1" x14ac:dyDescent="0.2">
      <c r="A2086" s="257">
        <v>2063</v>
      </c>
      <c r="B2086" s="44">
        <v>44530</v>
      </c>
      <c r="C2086" s="44">
        <f t="shared" si="98"/>
        <v>44530</v>
      </c>
      <c r="D2086" s="374">
        <v>199</v>
      </c>
      <c r="E2086" s="291" t="str">
        <f>IFERROR(VLOOKUP($D2086,'Clients-Live'!$A:$C,3,0),"")</f>
        <v>OTHIM JIMMY</v>
      </c>
      <c r="F2086" s="291">
        <f>IFERROR(INDEX(Disbursements!$D:$D,MATCH('Live Collections'!G2086,Disbursements!$C:$C,0)),"")</f>
        <v>2</v>
      </c>
      <c r="G2086" s="34">
        <v>273</v>
      </c>
      <c r="H2086" s="34">
        <v>3643</v>
      </c>
      <c r="I2086" s="34" t="s">
        <v>1359</v>
      </c>
      <c r="J2086" s="48"/>
      <c r="K2086" s="48"/>
      <c r="L2086" s="48"/>
      <c r="M2086" s="48"/>
      <c r="N2086" s="59"/>
      <c r="O2086" s="59">
        <v>292500</v>
      </c>
      <c r="P2086" s="59"/>
      <c r="Q2086" s="268">
        <f t="shared" si="97"/>
        <v>292500</v>
      </c>
      <c r="R2086" s="61">
        <f>IF(O2086=0,0,SUMIFS(Disbursements!$T:$T,Disbursements!$B:$B,'Live Collections'!D2086,Disbursements!$D:$D,'Live Collections'!F2086))</f>
        <v>323000</v>
      </c>
      <c r="S2086" s="304"/>
      <c r="T2086" s="304">
        <f t="shared" si="99"/>
        <v>292500</v>
      </c>
      <c r="U2086" s="52"/>
      <c r="V2086" s="34"/>
      <c r="W2086" s="411"/>
    </row>
    <row r="2087" spans="1:23" ht="12.75" customHeight="1" x14ac:dyDescent="0.2">
      <c r="A2087" s="257">
        <v>2057</v>
      </c>
      <c r="B2087" s="44">
        <v>44530</v>
      </c>
      <c r="C2087" s="44">
        <f t="shared" si="98"/>
        <v>44530</v>
      </c>
      <c r="D2087" s="374">
        <v>227</v>
      </c>
      <c r="E2087" s="291" t="str">
        <f>IFERROR(VLOOKUP($D2087,'Clients-Live'!$A:$C,3,0),"")</f>
        <v>MUZEE OBEN SAM</v>
      </c>
      <c r="F2087" s="291">
        <f>IFERROR(INDEX(Disbursements!$D:$D,MATCH('Live Collections'!G2087,Disbursements!$C:$C,0)),"")</f>
        <v>1</v>
      </c>
      <c r="G2087" s="34">
        <v>238</v>
      </c>
      <c r="H2087" s="34">
        <v>471</v>
      </c>
      <c r="I2087" s="34" t="s">
        <v>1359</v>
      </c>
      <c r="J2087" s="48"/>
      <c r="K2087" s="48"/>
      <c r="L2087" s="48"/>
      <c r="M2087" s="48"/>
      <c r="N2087" s="59"/>
      <c r="O2087" s="59"/>
      <c r="P2087" s="59">
        <v>-80000</v>
      </c>
      <c r="Q2087" s="268">
        <f t="shared" si="97"/>
        <v>-80000</v>
      </c>
      <c r="R2087" s="61">
        <f>IF(O2087=0,0,SUMIFS(Disbursements!$T:$T,Disbursements!$B:$B,'Live Collections'!D2087,Disbursements!$D:$D,'Live Collections'!F2087))</f>
        <v>0</v>
      </c>
      <c r="S2087" s="304">
        <f>IF(O2087&lt;=IF($O2087=0,0,SUMIFS(Disbursements!$W:$W,Disbursements!$B:$B,'Live Collections'!D2637,Disbursements!$D:$D,'Live Collections'!F2637)),O2087,IF($O2087=0,0,SUMIFS(Disbursements!$W:$W,Disbursements!$B:$B,'Live Collections'!D2637,Disbursements!$D:$D,'Live Collections'!F2637)))</f>
        <v>0</v>
      </c>
      <c r="T2087" s="304">
        <f t="shared" si="99"/>
        <v>0</v>
      </c>
      <c r="U2087" s="52"/>
      <c r="V2087" s="34"/>
      <c r="W2087" s="408"/>
    </row>
    <row r="2088" spans="1:23" ht="12.75" customHeight="1" x14ac:dyDescent="0.2">
      <c r="A2088" s="257">
        <v>2058</v>
      </c>
      <c r="B2088" s="44">
        <v>44530</v>
      </c>
      <c r="C2088" s="44">
        <f t="shared" si="98"/>
        <v>44530</v>
      </c>
      <c r="D2088" s="374">
        <v>227</v>
      </c>
      <c r="E2088" s="291" t="str">
        <f>IFERROR(VLOOKUP($D2088,'Clients-Live'!$A:$C,3,0),"")</f>
        <v>MUZEE OBEN SAM</v>
      </c>
      <c r="F2088" s="291">
        <f>IFERROR(INDEX(Disbursements!$D:$D,MATCH('Live Collections'!G2088,Disbursements!$C:$C,0)),"")</f>
        <v>1</v>
      </c>
      <c r="G2088" s="34">
        <v>238</v>
      </c>
      <c r="H2088" s="34">
        <v>3649</v>
      </c>
      <c r="I2088" s="34" t="s">
        <v>1359</v>
      </c>
      <c r="J2088" s="48"/>
      <c r="K2088" s="48"/>
      <c r="L2088" s="48"/>
      <c r="M2088" s="48"/>
      <c r="N2088" s="59"/>
      <c r="O2088" s="59">
        <v>80000</v>
      </c>
      <c r="P2088" s="59"/>
      <c r="Q2088" s="268">
        <f t="shared" si="97"/>
        <v>80000</v>
      </c>
      <c r="R2088" s="61">
        <f>IF(O2088=0,0,SUMIFS(Disbursements!$T:$T,Disbursements!$B:$B,'Live Collections'!D2088,Disbursements!$D:$D,'Live Collections'!F2088))</f>
        <v>307000</v>
      </c>
      <c r="S2088" s="304">
        <f>IF(O2088&lt;=IF($O2088=0,0,SUMIFS(Disbursements!$W:$W,Disbursements!$B:$B,'Live Collections'!D2638,Disbursements!$D:$D,'Live Collections'!F2638)),O2088,IF($O2088=0,0,SUMIFS(Disbursements!$W:$W,Disbursements!$B:$B,'Live Collections'!D2638,Disbursements!$D:$D,'Live Collections'!F2638)))</f>
        <v>0</v>
      </c>
      <c r="T2088" s="304">
        <f t="shared" si="99"/>
        <v>80000</v>
      </c>
      <c r="U2088" s="52"/>
      <c r="V2088" s="34"/>
      <c r="W2088" s="408" t="s">
        <v>1882</v>
      </c>
    </row>
    <row r="2089" spans="1:23" ht="12.75" customHeight="1" x14ac:dyDescent="0.2">
      <c r="A2089" s="257">
        <v>2059</v>
      </c>
      <c r="B2089" s="44">
        <v>44530</v>
      </c>
      <c r="C2089" s="44">
        <f t="shared" si="98"/>
        <v>44530</v>
      </c>
      <c r="D2089" s="374">
        <v>227</v>
      </c>
      <c r="E2089" s="291" t="str">
        <f>IFERROR(VLOOKUP($D2089,'Clients-Live'!$A:$C,3,0),"")</f>
        <v>MUZEE OBEN SAM</v>
      </c>
      <c r="F2089" s="291">
        <f>IFERROR(INDEX(Disbursements!$D:$D,MATCH('Live Collections'!G2089,Disbursements!$C:$C,0)),"")</f>
        <v>1</v>
      </c>
      <c r="G2089" s="34">
        <v>238</v>
      </c>
      <c r="H2089" s="34">
        <v>3648</v>
      </c>
      <c r="I2089" s="34" t="s">
        <v>1359</v>
      </c>
      <c r="J2089" s="48"/>
      <c r="K2089" s="48"/>
      <c r="L2089" s="48"/>
      <c r="M2089" s="48"/>
      <c r="N2089" s="59"/>
      <c r="O2089" s="59">
        <v>390000</v>
      </c>
      <c r="P2089" s="59"/>
      <c r="Q2089" s="268">
        <f t="shared" si="97"/>
        <v>390000</v>
      </c>
      <c r="R2089" s="61">
        <f>IF(O2089=0,0,SUMIFS(Disbursements!$T:$T,Disbursements!$B:$B,'Live Collections'!D2089,Disbursements!$D:$D,'Live Collections'!F2089))</f>
        <v>307000</v>
      </c>
      <c r="S2089" s="64">
        <v>98999.999999999942</v>
      </c>
      <c r="T2089" s="304">
        <f t="shared" si="99"/>
        <v>291000.00000000006</v>
      </c>
      <c r="U2089" s="52"/>
      <c r="V2089" s="34"/>
      <c r="W2089" s="408"/>
    </row>
    <row r="2090" spans="1:23" ht="12.75" customHeight="1" x14ac:dyDescent="0.2">
      <c r="A2090" s="257">
        <v>2064</v>
      </c>
      <c r="B2090" s="44">
        <v>44530</v>
      </c>
      <c r="C2090" s="44">
        <f t="shared" si="98"/>
        <v>44530</v>
      </c>
      <c r="D2090" s="374">
        <v>230</v>
      </c>
      <c r="E2090" s="291" t="str">
        <f>IFERROR(VLOOKUP($D2090,'Clients-Live'!$A:$C,3,0),"")</f>
        <v>ANGAIKA SALFA</v>
      </c>
      <c r="F2090" s="291">
        <f>IFERROR(INDEX(Disbursements!$D:$D,MATCH('Live Collections'!G2090,Disbursements!$C:$C,0)),"")</f>
        <v>1</v>
      </c>
      <c r="G2090" s="34">
        <v>241</v>
      </c>
      <c r="H2090" s="34">
        <v>3674</v>
      </c>
      <c r="I2090" s="34" t="s">
        <v>1357</v>
      </c>
      <c r="J2090" s="48"/>
      <c r="K2090" s="48"/>
      <c r="L2090" s="48"/>
      <c r="M2090" s="48"/>
      <c r="N2090" s="59"/>
      <c r="O2090" s="59">
        <v>100000</v>
      </c>
      <c r="P2090" s="59"/>
      <c r="Q2090" s="268">
        <f t="shared" si="97"/>
        <v>100000</v>
      </c>
      <c r="R2090" s="61">
        <f>IF(O2090=0,0,SUMIFS(Disbursements!$T:$T,Disbursements!$B:$B,'Live Collections'!D2090,Disbursements!$D:$D,'Live Collections'!F2090))</f>
        <v>330000</v>
      </c>
      <c r="S2090" s="304"/>
      <c r="T2090" s="304">
        <f t="shared" si="99"/>
        <v>100000</v>
      </c>
      <c r="U2090" s="52"/>
      <c r="V2090" s="34"/>
      <c r="W2090" s="408"/>
    </row>
    <row r="2091" spans="1:23" ht="12.75" customHeight="1" x14ac:dyDescent="0.2">
      <c r="A2091" s="257">
        <v>2066</v>
      </c>
      <c r="B2091" s="44">
        <v>44530</v>
      </c>
      <c r="C2091" s="44">
        <f t="shared" si="98"/>
        <v>44530</v>
      </c>
      <c r="D2091" s="374">
        <v>293</v>
      </c>
      <c r="E2091" s="291" t="str">
        <f>IFERROR(VLOOKUP($D2091,'Clients-Live'!$A:$C,3,0),"")</f>
        <v>AMODO ZAINABU</v>
      </c>
      <c r="F2091" s="291" t="str">
        <f>IFERROR(INDEX(Disbursements!$D:$D,MATCH('Live Collections'!G2091,Disbursements!$C:$C,0)),"")</f>
        <v/>
      </c>
      <c r="G2091" s="34"/>
      <c r="H2091" s="34">
        <v>3673</v>
      </c>
      <c r="I2091" s="34" t="s">
        <v>1716</v>
      </c>
      <c r="J2091" s="48"/>
      <c r="K2091" s="48"/>
      <c r="L2091" s="48">
        <v>10000</v>
      </c>
      <c r="M2091" s="48">
        <v>5000</v>
      </c>
      <c r="N2091" s="59"/>
      <c r="O2091" s="59"/>
      <c r="P2091" s="59"/>
      <c r="Q2091" s="268">
        <f t="shared" si="97"/>
        <v>15000</v>
      </c>
      <c r="R2091" s="61">
        <f>IF(O2091=0,0,SUMIFS(Disbursements!$T:$T,Disbursements!$B:$B,'Live Collections'!D2091,Disbursements!$D:$D,'Live Collections'!F2091))</f>
        <v>0</v>
      </c>
      <c r="S2091" s="304">
        <f>IF(O2091&lt;=IF($O2091=0,0,SUMIFS(Disbursements!$W:$W,Disbursements!$B:$B,'Live Collections'!D3058,Disbursements!$D:$D,'Live Collections'!F3058)),O2091,IF($O2091=0,0,SUMIFS(Disbursements!$W:$W,Disbursements!$B:$B,'Live Collections'!D3058,Disbursements!$D:$D,'Live Collections'!F3058)))</f>
        <v>0</v>
      </c>
      <c r="T2091" s="304">
        <f t="shared" si="99"/>
        <v>0</v>
      </c>
      <c r="U2091" s="52"/>
      <c r="V2091" s="34"/>
      <c r="W2091" s="408"/>
    </row>
    <row r="2092" spans="1:23" ht="12.75" customHeight="1" x14ac:dyDescent="0.2">
      <c r="A2092" s="257">
        <v>2080</v>
      </c>
      <c r="B2092" s="44">
        <v>44531</v>
      </c>
      <c r="C2092" s="44">
        <f t="shared" si="98"/>
        <v>44531</v>
      </c>
      <c r="D2092" s="374">
        <v>18</v>
      </c>
      <c r="E2092" s="291" t="str">
        <f>IFERROR(VLOOKUP($D2092,'Clients-Live'!$A:$C,3,0),"")</f>
        <v>ARIYE PEACE</v>
      </c>
      <c r="F2092" s="291">
        <f>IFERROR(INDEX(Disbursements!$D:$D,MATCH('Live Collections'!G2092,Disbursements!$C:$C,0)),"")</f>
        <v>2</v>
      </c>
      <c r="G2092" s="34">
        <v>317</v>
      </c>
      <c r="H2092" s="34">
        <v>3678</v>
      </c>
      <c r="I2092" s="34" t="s">
        <v>1357</v>
      </c>
      <c r="J2092" s="48"/>
      <c r="K2092" s="48"/>
      <c r="L2092" s="48"/>
      <c r="M2092" s="48"/>
      <c r="N2092" s="59"/>
      <c r="O2092" s="59">
        <v>162500</v>
      </c>
      <c r="P2092" s="59"/>
      <c r="Q2092" s="268">
        <f t="shared" si="97"/>
        <v>162500</v>
      </c>
      <c r="R2092" s="61">
        <f>IF(O2092=0,0,SUMIFS(Disbursements!$T:$T,Disbursements!$B:$B,'Live Collections'!D2092,Disbursements!$D:$D,'Live Collections'!F2092))</f>
        <v>650000</v>
      </c>
      <c r="S2092" s="304">
        <f>IF(O2092&lt;=IF($O2092=0,0,SUMIFS(Disbursements!$W:$W,Disbursements!$B:$B,'Live Collections'!D219,Disbursements!$D:$D,'Live Collections'!F219)),O2092,IF($O2092=0,0,SUMIFS(Disbursements!$W:$W,Disbursements!$B:$B,'Live Collections'!D219,Disbursements!$D:$D,'Live Collections'!F219)))</f>
        <v>0</v>
      </c>
      <c r="T2092" s="304">
        <f t="shared" si="99"/>
        <v>162500</v>
      </c>
      <c r="U2092" s="52"/>
      <c r="V2092" s="34"/>
      <c r="W2092" s="408"/>
    </row>
    <row r="2093" spans="1:23" ht="12.75" customHeight="1" x14ac:dyDescent="0.2">
      <c r="A2093" s="257">
        <v>2077</v>
      </c>
      <c r="B2093" s="44">
        <v>44531</v>
      </c>
      <c r="C2093" s="44">
        <f t="shared" si="98"/>
        <v>44531</v>
      </c>
      <c r="D2093" s="374">
        <v>55</v>
      </c>
      <c r="E2093" s="291" t="str">
        <f>IFERROR(VLOOKUP($D2093,'Clients-Live'!$A:$C,3,0),"")</f>
        <v>SOKOLA SHARON</v>
      </c>
      <c r="F2093" s="291">
        <f>IFERROR(INDEX(Disbursements!$D:$D,MATCH('Live Collections'!G2093,Disbursements!$C:$C,0)),"")</f>
        <v>2</v>
      </c>
      <c r="G2093" s="34">
        <v>288</v>
      </c>
      <c r="H2093" s="34">
        <v>3682</v>
      </c>
      <c r="I2093" s="34" t="s">
        <v>1359</v>
      </c>
      <c r="J2093" s="48"/>
      <c r="K2093" s="48"/>
      <c r="L2093" s="48"/>
      <c r="M2093" s="48"/>
      <c r="N2093" s="59"/>
      <c r="O2093" s="59">
        <v>40000</v>
      </c>
      <c r="P2093" s="59"/>
      <c r="Q2093" s="268">
        <f t="shared" si="97"/>
        <v>40000</v>
      </c>
      <c r="R2093" s="61">
        <f>IF(O2093=0,0,SUMIFS(Disbursements!$T:$T,Disbursements!$B:$B,'Live Collections'!D2093,Disbursements!$D:$D,'Live Collections'!F2093))</f>
        <v>210000</v>
      </c>
      <c r="S2093" s="304">
        <f>IF(O2093&lt;=IF($O2093=0,0,SUMIFS(Disbursements!$W:$W,Disbursements!$B:$B,'Live Collections'!D658,Disbursements!$D:$D,'Live Collections'!F658)),O2093,IF($O2093=0,0,SUMIFS(Disbursements!$W:$W,Disbursements!$B:$B,'Live Collections'!D658,Disbursements!$D:$D,'Live Collections'!F658)))</f>
        <v>40000</v>
      </c>
      <c r="T2093" s="304">
        <f t="shared" si="99"/>
        <v>0</v>
      </c>
      <c r="U2093" s="52"/>
      <c r="V2093" s="34"/>
      <c r="W2093" s="408"/>
    </row>
    <row r="2094" spans="1:23" ht="12.75" customHeight="1" x14ac:dyDescent="0.2">
      <c r="A2094" s="257">
        <v>2079</v>
      </c>
      <c r="B2094" s="44">
        <v>44531</v>
      </c>
      <c r="C2094" s="44">
        <f t="shared" si="98"/>
        <v>44531</v>
      </c>
      <c r="D2094" s="374">
        <v>70</v>
      </c>
      <c r="E2094" s="291" t="str">
        <f>IFERROR(VLOOKUP($D2094,'Clients-Live'!$A:$C,3,0),"")</f>
        <v>BUGA ALIKIA PHILLIP</v>
      </c>
      <c r="F2094" s="291">
        <f>IFERROR(INDEX(Disbursements!$D:$D,MATCH('Live Collections'!G2094,Disbursements!$C:$C,0)),"")</f>
        <v>2</v>
      </c>
      <c r="G2094" s="34">
        <v>299</v>
      </c>
      <c r="H2094" s="34">
        <v>3679</v>
      </c>
      <c r="I2094" s="34" t="s">
        <v>1358</v>
      </c>
      <c r="J2094" s="48"/>
      <c r="K2094" s="48"/>
      <c r="L2094" s="48"/>
      <c r="M2094" s="48"/>
      <c r="N2094" s="59"/>
      <c r="O2094" s="59">
        <v>260000</v>
      </c>
      <c r="P2094" s="59"/>
      <c r="Q2094" s="268">
        <f t="shared" si="97"/>
        <v>260000</v>
      </c>
      <c r="R2094" s="61">
        <f>IF(O2094=0,0,SUMIFS(Disbursements!$T:$T,Disbursements!$B:$B,'Live Collections'!D2094,Disbursements!$D:$D,'Live Collections'!F2094))</f>
        <v>260000</v>
      </c>
      <c r="S2094" s="304">
        <f>IF(O2094&lt;=IF($O2094=0,0,SUMIFS(Disbursements!$W:$W,Disbursements!$B:$B,'Live Collections'!D879,Disbursements!$D:$D,'Live Collections'!F879)),O2094,IF($O2094=0,0,SUMIFS(Disbursements!$W:$W,Disbursements!$B:$B,'Live Collections'!D879,Disbursements!$D:$D,'Live Collections'!F879)))</f>
        <v>0</v>
      </c>
      <c r="T2094" s="304">
        <f t="shared" si="99"/>
        <v>260000</v>
      </c>
      <c r="U2094" s="52"/>
      <c r="V2094" s="34"/>
      <c r="W2094" s="408"/>
    </row>
    <row r="2095" spans="1:23" ht="12.75" customHeight="1" x14ac:dyDescent="0.2">
      <c r="A2095" s="257">
        <v>2078</v>
      </c>
      <c r="B2095" s="44">
        <v>44531</v>
      </c>
      <c r="C2095" s="44">
        <f t="shared" si="98"/>
        <v>44531</v>
      </c>
      <c r="D2095" s="374">
        <v>88</v>
      </c>
      <c r="E2095" s="291" t="str">
        <f>IFERROR(VLOOKUP($D2095,'Clients-Live'!$A:$C,3,0),"")</f>
        <v>FAIDA HARRIET</v>
      </c>
      <c r="F2095" s="291">
        <f>IFERROR(INDEX(Disbursements!$D:$D,MATCH('Live Collections'!G2095,Disbursements!$C:$C,0)),"")</f>
        <v>2</v>
      </c>
      <c r="G2095" s="34">
        <v>169</v>
      </c>
      <c r="H2095" s="34">
        <v>3681</v>
      </c>
      <c r="I2095" s="34" t="s">
        <v>1357</v>
      </c>
      <c r="J2095" s="48"/>
      <c r="K2095" s="48"/>
      <c r="L2095" s="48"/>
      <c r="M2095" s="48"/>
      <c r="N2095" s="59"/>
      <c r="O2095" s="59">
        <v>120000</v>
      </c>
      <c r="P2095" s="59"/>
      <c r="Q2095" s="268">
        <f t="shared" si="97"/>
        <v>120000</v>
      </c>
      <c r="R2095" s="61">
        <f>IF(O2095=0,0,SUMIFS(Disbursements!$T:$T,Disbursements!$B:$B,'Live Collections'!D2095,Disbursements!$D:$D,'Live Collections'!F2095))</f>
        <v>90000</v>
      </c>
      <c r="S2095" s="64">
        <v>8000</v>
      </c>
      <c r="T2095" s="304">
        <f t="shared" si="99"/>
        <v>112000</v>
      </c>
      <c r="U2095" s="52"/>
      <c r="V2095" s="34"/>
      <c r="W2095" s="408"/>
    </row>
    <row r="2096" spans="1:23" ht="12.75" customHeight="1" x14ac:dyDescent="0.2">
      <c r="A2096" s="257">
        <v>2074</v>
      </c>
      <c r="B2096" s="44">
        <v>44531</v>
      </c>
      <c r="C2096" s="44">
        <f t="shared" si="98"/>
        <v>44531</v>
      </c>
      <c r="D2096" s="374">
        <v>175</v>
      </c>
      <c r="E2096" s="291" t="str">
        <f>IFERROR(VLOOKUP($D2096,'Clients-Live'!$A:$C,3,0),"")</f>
        <v>ZUBEDA WAIGA</v>
      </c>
      <c r="F2096" s="291">
        <f>IFERROR(INDEX(Disbursements!$D:$D,MATCH('Live Collections'!G2096,Disbursements!$C:$C,0)),"")</f>
        <v>1</v>
      </c>
      <c r="G2096" s="34">
        <v>166</v>
      </c>
      <c r="H2096" s="34">
        <v>476</v>
      </c>
      <c r="I2096" s="34" t="s">
        <v>1358</v>
      </c>
      <c r="J2096" s="48"/>
      <c r="K2096" s="48"/>
      <c r="L2096" s="48"/>
      <c r="M2096" s="48"/>
      <c r="N2096" s="59"/>
      <c r="O2096" s="59"/>
      <c r="P2096" s="59">
        <v>-30000</v>
      </c>
      <c r="Q2096" s="268">
        <f t="shared" si="97"/>
        <v>-30000</v>
      </c>
      <c r="R2096" s="61">
        <f>IF(O2096=0,0,SUMIFS(Disbursements!$T:$T,Disbursements!$B:$B,'Live Collections'!D2096,Disbursements!$D:$D,'Live Collections'!F2096))</f>
        <v>0</v>
      </c>
      <c r="S2096" s="304">
        <f>IF(O2096&lt;=IF($O2096=0,0,SUMIFS(Disbursements!$W:$W,Disbursements!$B:$B,'Live Collections'!D2145,Disbursements!$D:$D,'Live Collections'!F2145)),O2096,IF($O2096=0,0,SUMIFS(Disbursements!$W:$W,Disbursements!$B:$B,'Live Collections'!D2145,Disbursements!$D:$D,'Live Collections'!F2145)))</f>
        <v>0</v>
      </c>
      <c r="T2096" s="304">
        <f t="shared" si="99"/>
        <v>0</v>
      </c>
      <c r="U2096" s="52"/>
      <c r="V2096" s="34"/>
      <c r="W2096" s="408"/>
    </row>
    <row r="2097" spans="1:23" ht="12.75" customHeight="1" x14ac:dyDescent="0.2">
      <c r="A2097" s="257">
        <v>2075</v>
      </c>
      <c r="B2097" s="44">
        <v>44531</v>
      </c>
      <c r="C2097" s="44">
        <f t="shared" si="98"/>
        <v>44531</v>
      </c>
      <c r="D2097" s="374">
        <v>175</v>
      </c>
      <c r="E2097" s="291" t="str">
        <f>IFERROR(VLOOKUP($D2097,'Clients-Live'!$A:$C,3,0),"")</f>
        <v>ZUBEDA WAIGA</v>
      </c>
      <c r="F2097" s="291">
        <f>IFERROR(INDEX(Disbursements!$D:$D,MATCH('Live Collections'!G2097,Disbursements!$C:$C,0)),"")</f>
        <v>1</v>
      </c>
      <c r="G2097" s="34">
        <v>166</v>
      </c>
      <c r="H2097" s="34">
        <v>3650</v>
      </c>
      <c r="I2097" s="34" t="s">
        <v>1358</v>
      </c>
      <c r="J2097" s="48"/>
      <c r="K2097" s="48"/>
      <c r="L2097" s="48"/>
      <c r="M2097" s="48"/>
      <c r="N2097" s="59"/>
      <c r="O2097" s="59">
        <v>30000</v>
      </c>
      <c r="P2097" s="59"/>
      <c r="Q2097" s="268">
        <f t="shared" si="97"/>
        <v>30000</v>
      </c>
      <c r="R2097" s="61">
        <f>IF(O2097=0,0,SUMIFS(Disbursements!$T:$T,Disbursements!$B:$B,'Live Collections'!D2097,Disbursements!$D:$D,'Live Collections'!F2097))</f>
        <v>29000</v>
      </c>
      <c r="S2097" s="304"/>
      <c r="T2097" s="304">
        <f t="shared" si="99"/>
        <v>30000</v>
      </c>
      <c r="U2097" s="52"/>
      <c r="V2097" s="34"/>
      <c r="W2097" s="408" t="s">
        <v>1885</v>
      </c>
    </row>
    <row r="2098" spans="1:23" ht="12.75" customHeight="1" x14ac:dyDescent="0.2">
      <c r="A2098" s="257">
        <v>2076</v>
      </c>
      <c r="B2098" s="44">
        <v>44531</v>
      </c>
      <c r="C2098" s="44">
        <f t="shared" si="98"/>
        <v>44531</v>
      </c>
      <c r="D2098" s="374">
        <v>175</v>
      </c>
      <c r="E2098" s="291" t="str">
        <f>IFERROR(VLOOKUP($D2098,'Clients-Live'!$A:$C,3,0),"")</f>
        <v>ZUBEDA WAIGA</v>
      </c>
      <c r="F2098" s="291">
        <f>IFERROR(INDEX(Disbursements!$D:$D,MATCH('Live Collections'!G2098,Disbursements!$C:$C,0)),"")</f>
        <v>1</v>
      </c>
      <c r="G2098" s="34">
        <v>166</v>
      </c>
      <c r="H2098" s="34">
        <v>3573</v>
      </c>
      <c r="I2098" s="34" t="s">
        <v>1358</v>
      </c>
      <c r="J2098" s="48"/>
      <c r="K2098" s="48"/>
      <c r="L2098" s="48"/>
      <c r="M2098" s="48"/>
      <c r="N2098" s="59"/>
      <c r="O2098" s="59">
        <v>45000</v>
      </c>
      <c r="P2098" s="59"/>
      <c r="Q2098" s="268">
        <f t="shared" si="97"/>
        <v>45000</v>
      </c>
      <c r="R2098" s="61">
        <f>IF(O2098=0,0,SUMIFS(Disbursements!$T:$T,Disbursements!$B:$B,'Live Collections'!D2098,Disbursements!$D:$D,'Live Collections'!F2098))</f>
        <v>29000</v>
      </c>
      <c r="S2098" s="304"/>
      <c r="T2098" s="304">
        <f t="shared" si="99"/>
        <v>45000</v>
      </c>
      <c r="U2098" s="52"/>
      <c r="V2098" s="34"/>
      <c r="W2098" s="408"/>
    </row>
    <row r="2099" spans="1:23" ht="12.75" customHeight="1" x14ac:dyDescent="0.2">
      <c r="A2099" s="257">
        <v>2071</v>
      </c>
      <c r="B2099" s="44">
        <v>44531</v>
      </c>
      <c r="C2099" s="44">
        <f t="shared" si="98"/>
        <v>44531</v>
      </c>
      <c r="D2099" s="374">
        <v>183</v>
      </c>
      <c r="E2099" s="291" t="str">
        <f>IFERROR(VLOOKUP($D2099,'Clients-Live'!$A:$C,3,0),"")</f>
        <v>NIGHT AMINA HUSSEIN</v>
      </c>
      <c r="F2099" s="291">
        <f>IFERROR(INDEX(Disbursements!$D:$D,MATCH('Live Collections'!G2099,Disbursements!$C:$C,0)),"")</f>
        <v>1</v>
      </c>
      <c r="G2099" s="34">
        <v>171</v>
      </c>
      <c r="H2099" s="34">
        <v>477</v>
      </c>
      <c r="I2099" s="34" t="s">
        <v>1359</v>
      </c>
      <c r="J2099" s="48"/>
      <c r="K2099" s="48"/>
      <c r="L2099" s="48"/>
      <c r="M2099" s="48"/>
      <c r="N2099" s="59"/>
      <c r="O2099" s="59"/>
      <c r="P2099" s="59">
        <v>-55000</v>
      </c>
      <c r="Q2099" s="268">
        <f t="shared" ref="Q2099:Q2162" si="100">SUM(J2099:P2099)</f>
        <v>-55000</v>
      </c>
      <c r="R2099" s="61">
        <f>IF(O2099=0,0,SUMIFS(Disbursements!$T:$T,Disbursements!$B:$B,'Live Collections'!D2099,Disbursements!$D:$D,'Live Collections'!F2099))</f>
        <v>0</v>
      </c>
      <c r="S2099" s="304">
        <f>IF(O2099&lt;=IF($O2099=0,0,SUMIFS(Disbursements!$W:$W,Disbursements!$B:$B,'Live Collections'!D2233,Disbursements!$D:$D,'Live Collections'!F2233)),O2099,IF($O2099=0,0,SUMIFS(Disbursements!$W:$W,Disbursements!$B:$B,'Live Collections'!D2233,Disbursements!$D:$D,'Live Collections'!F2233)))</f>
        <v>0</v>
      </c>
      <c r="T2099" s="304">
        <f t="shared" si="99"/>
        <v>0</v>
      </c>
      <c r="U2099" s="52"/>
      <c r="V2099" s="34"/>
      <c r="W2099" s="408"/>
    </row>
    <row r="2100" spans="1:23" ht="12.75" customHeight="1" x14ac:dyDescent="0.2">
      <c r="A2100" s="257">
        <v>2072</v>
      </c>
      <c r="B2100" s="44">
        <v>44531</v>
      </c>
      <c r="C2100" s="44">
        <f t="shared" si="98"/>
        <v>44531</v>
      </c>
      <c r="D2100" s="374">
        <v>183</v>
      </c>
      <c r="E2100" s="291" t="str">
        <f>IFERROR(VLOOKUP($D2100,'Clients-Live'!$A:$C,3,0),"")</f>
        <v>NIGHT AMINA HUSSEIN</v>
      </c>
      <c r="F2100" s="291">
        <f>IFERROR(INDEX(Disbursements!$D:$D,MATCH('Live Collections'!G2100,Disbursements!$C:$C,0)),"")</f>
        <v>1</v>
      </c>
      <c r="G2100" s="34">
        <v>171</v>
      </c>
      <c r="H2100" s="34">
        <v>3677</v>
      </c>
      <c r="I2100" s="34" t="s">
        <v>1359</v>
      </c>
      <c r="J2100" s="48"/>
      <c r="K2100" s="48"/>
      <c r="L2100" s="48"/>
      <c r="M2100" s="48"/>
      <c r="N2100" s="59"/>
      <c r="O2100" s="59">
        <v>55000</v>
      </c>
      <c r="P2100" s="59"/>
      <c r="Q2100" s="268">
        <f t="shared" si="100"/>
        <v>55000</v>
      </c>
      <c r="R2100" s="61">
        <f>IF(O2100=0,0,SUMIFS(Disbursements!$T:$T,Disbursements!$B:$B,'Live Collections'!D2100,Disbursements!$D:$D,'Live Collections'!F2100))</f>
        <v>180000</v>
      </c>
      <c r="S2100" s="304">
        <f>IF(O2100&lt;=IF($O2100=0,0,SUMIFS(Disbursements!$W:$W,Disbursements!$B:$B,'Live Collections'!D2234,Disbursements!$D:$D,'Live Collections'!F2234)),O2100,IF($O2100=0,0,SUMIFS(Disbursements!$W:$W,Disbursements!$B:$B,'Live Collections'!D2234,Disbursements!$D:$D,'Live Collections'!F2234)))</f>
        <v>50333.333333333343</v>
      </c>
      <c r="T2100" s="304">
        <f t="shared" si="99"/>
        <v>4666.666666666657</v>
      </c>
      <c r="U2100" s="52"/>
      <c r="V2100" s="34"/>
      <c r="W2100" s="408" t="s">
        <v>1884</v>
      </c>
    </row>
    <row r="2101" spans="1:23" ht="12.75" customHeight="1" x14ac:dyDescent="0.2">
      <c r="A2101" s="257">
        <v>2073</v>
      </c>
      <c r="B2101" s="44">
        <v>44531</v>
      </c>
      <c r="C2101" s="44">
        <f t="shared" si="98"/>
        <v>44531</v>
      </c>
      <c r="D2101" s="374">
        <v>183</v>
      </c>
      <c r="E2101" s="291" t="str">
        <f>IFERROR(VLOOKUP($D2101,'Clients-Live'!$A:$C,3,0),"")</f>
        <v>NIGHT AMINA HUSSEIN</v>
      </c>
      <c r="F2101" s="291">
        <f>IFERROR(INDEX(Disbursements!$D:$D,MATCH('Live Collections'!G2101,Disbursements!$C:$C,0)),"")</f>
        <v>1</v>
      </c>
      <c r="G2101" s="34">
        <v>171</v>
      </c>
      <c r="H2101" s="34">
        <v>3676</v>
      </c>
      <c r="I2101" s="34" t="s">
        <v>1359</v>
      </c>
      <c r="J2101" s="48"/>
      <c r="K2101" s="48"/>
      <c r="L2101" s="48"/>
      <c r="M2101" s="48"/>
      <c r="N2101" s="59"/>
      <c r="O2101" s="59">
        <v>300000</v>
      </c>
      <c r="P2101" s="59"/>
      <c r="Q2101" s="268">
        <f t="shared" si="100"/>
        <v>300000</v>
      </c>
      <c r="R2101" s="61">
        <f>IF(O2101=0,0,SUMIFS(Disbursements!$T:$T,Disbursements!$B:$B,'Live Collections'!D2101,Disbursements!$D:$D,'Live Collections'!F2101))</f>
        <v>180000</v>
      </c>
      <c r="S2101" s="304">
        <v>49666.666666666657</v>
      </c>
      <c r="T2101" s="304">
        <f t="shared" si="99"/>
        <v>250333.33333333334</v>
      </c>
      <c r="U2101" s="52"/>
      <c r="V2101" s="34"/>
      <c r="W2101" s="408"/>
    </row>
    <row r="2102" spans="1:23" ht="12.75" customHeight="1" x14ac:dyDescent="0.2">
      <c r="A2102" s="257">
        <v>2081</v>
      </c>
      <c r="B2102" s="44">
        <v>44531</v>
      </c>
      <c r="C2102" s="44">
        <f t="shared" si="98"/>
        <v>44531</v>
      </c>
      <c r="D2102" s="374">
        <v>264</v>
      </c>
      <c r="E2102" s="291" t="str">
        <f>IFERROR(VLOOKUP($D2102,'Clients-Live'!$A:$C,3,0),"")</f>
        <v>AMORI JOHN BAPTIST</v>
      </c>
      <c r="F2102" s="291">
        <f>IFERROR(INDEX(Disbursements!$D:$D,MATCH('Live Collections'!G2102,Disbursements!$C:$C,0)),"")</f>
        <v>1</v>
      </c>
      <c r="G2102" s="34">
        <v>298</v>
      </c>
      <c r="H2102" s="34">
        <v>3675</v>
      </c>
      <c r="I2102" s="34" t="s">
        <v>1359</v>
      </c>
      <c r="J2102" s="48"/>
      <c r="K2102" s="48"/>
      <c r="L2102" s="48"/>
      <c r="M2102" s="48"/>
      <c r="N2102" s="59"/>
      <c r="O2102" s="59">
        <v>550000</v>
      </c>
      <c r="P2102" s="59"/>
      <c r="Q2102" s="268">
        <f t="shared" si="100"/>
        <v>550000</v>
      </c>
      <c r="R2102" s="61">
        <f>IF(O2102=0,0,SUMIFS(Disbursements!$T:$T,Disbursements!$B:$B,'Live Collections'!D2102,Disbursements!$D:$D,'Live Collections'!F2102))</f>
        <v>1084000</v>
      </c>
      <c r="S2102" s="304">
        <f>IF(O2102&lt;=IF($O2102=0,0,SUMIFS(Disbursements!$W:$W,Disbursements!$B:$B,'Live Collections'!D2910,Disbursements!$D:$D,'Live Collections'!F2910)),O2102,IF($O2102=0,0,SUMIFS(Disbursements!$W:$W,Disbursements!$B:$B,'Live Collections'!D2910,Disbursements!$D:$D,'Live Collections'!F2910)))</f>
        <v>50333.333333333343</v>
      </c>
      <c r="T2102" s="304">
        <f t="shared" si="99"/>
        <v>499666.66666666663</v>
      </c>
      <c r="U2102" s="52"/>
      <c r="V2102" s="34"/>
      <c r="W2102" s="408"/>
    </row>
    <row r="2103" spans="1:23" ht="12.75" customHeight="1" x14ac:dyDescent="0.2">
      <c r="A2103" s="257">
        <v>2087</v>
      </c>
      <c r="B2103" s="44">
        <v>44532</v>
      </c>
      <c r="C2103" s="44">
        <f t="shared" si="98"/>
        <v>44532</v>
      </c>
      <c r="D2103" s="374">
        <v>88</v>
      </c>
      <c r="E2103" s="291" t="str">
        <f>IFERROR(VLOOKUP($D2103,'Clients-Live'!$A:$C,3,0),"")</f>
        <v>FAIDA HARRIET</v>
      </c>
      <c r="F2103" s="291" t="str">
        <f>IFERROR(INDEX(Disbursements!$D:$D,MATCH('Live Collections'!G2103,Disbursements!$C:$C,0)),"")</f>
        <v/>
      </c>
      <c r="G2103" s="34"/>
      <c r="H2103" s="34">
        <v>3688</v>
      </c>
      <c r="I2103" s="34" t="s">
        <v>1357</v>
      </c>
      <c r="J2103" s="48"/>
      <c r="K2103" s="48"/>
      <c r="L2103" s="48">
        <v>10000</v>
      </c>
      <c r="M2103" s="48">
        <v>5000</v>
      </c>
      <c r="N2103" s="59"/>
      <c r="O2103" s="59"/>
      <c r="P2103" s="59"/>
      <c r="Q2103" s="268">
        <f t="shared" si="100"/>
        <v>15000</v>
      </c>
      <c r="R2103" s="61">
        <f>IF(O2103=0,0,SUMIFS(Disbursements!$T:$T,Disbursements!$B:$B,'Live Collections'!D2103,Disbursements!$D:$D,'Live Collections'!F2103))</f>
        <v>0</v>
      </c>
      <c r="S2103" s="304">
        <f>IF(O2103&lt;=IF($O2103=0,0,SUMIFS(Disbursements!$W:$W,Disbursements!$B:$B,'Live Collections'!D1145,Disbursements!$D:$D,'Live Collections'!F1145)),O2103,IF($O2103=0,0,SUMIFS(Disbursements!$W:$W,Disbursements!$B:$B,'Live Collections'!D1145,Disbursements!$D:$D,'Live Collections'!F1145)))</f>
        <v>0</v>
      </c>
      <c r="T2103" s="304">
        <f t="shared" si="99"/>
        <v>0</v>
      </c>
      <c r="U2103" s="52"/>
      <c r="V2103" s="34"/>
      <c r="W2103" s="408"/>
    </row>
    <row r="2104" spans="1:23" ht="12.75" customHeight="1" x14ac:dyDescent="0.2">
      <c r="A2104" s="257">
        <v>2088</v>
      </c>
      <c r="B2104" s="44">
        <v>44532</v>
      </c>
      <c r="C2104" s="44">
        <f t="shared" si="98"/>
        <v>44532</v>
      </c>
      <c r="D2104" s="374">
        <v>88</v>
      </c>
      <c r="E2104" s="291" t="str">
        <f>IFERROR(VLOOKUP($D2104,'Clients-Live'!$A:$C,3,0),"")</f>
        <v>FAIDA HARRIET</v>
      </c>
      <c r="F2104" s="291">
        <f>IFERROR(INDEX(Disbursements!$D:$D,MATCH('Live Collections'!G2104,Disbursements!$C:$C,0)),"")</f>
        <v>2</v>
      </c>
      <c r="G2104" s="34">
        <v>169</v>
      </c>
      <c r="H2104" s="34">
        <v>480</v>
      </c>
      <c r="I2104" s="34" t="s">
        <v>1357</v>
      </c>
      <c r="J2104" s="48"/>
      <c r="K2104" s="48"/>
      <c r="L2104" s="48"/>
      <c r="M2104" s="48"/>
      <c r="N2104" s="59"/>
      <c r="O2104" s="59"/>
      <c r="P2104" s="59">
        <v>-30000</v>
      </c>
      <c r="Q2104" s="268">
        <f t="shared" si="100"/>
        <v>-30000</v>
      </c>
      <c r="R2104" s="61">
        <f>IF(O2104=0,0,SUMIFS(Disbursements!$T:$T,Disbursements!$B:$B,'Live Collections'!D2104,Disbursements!$D:$D,'Live Collections'!F2104))</f>
        <v>0</v>
      </c>
      <c r="S2104" s="304">
        <f>IF(O2104&lt;=IF($O2104=0,0,SUMIFS(Disbursements!$W:$W,Disbursements!$B:$B,'Live Collections'!D1146,Disbursements!$D:$D,'Live Collections'!F1146)),O2104,IF($O2104=0,0,SUMIFS(Disbursements!$W:$W,Disbursements!$B:$B,'Live Collections'!D1146,Disbursements!$D:$D,'Live Collections'!F1146)))</f>
        <v>0</v>
      </c>
      <c r="T2104" s="304">
        <f t="shared" si="99"/>
        <v>0</v>
      </c>
      <c r="U2104" s="52"/>
      <c r="V2104" s="34"/>
      <c r="W2104" s="408"/>
    </row>
    <row r="2105" spans="1:23" ht="12.75" customHeight="1" x14ac:dyDescent="0.2">
      <c r="A2105" s="257">
        <v>2089</v>
      </c>
      <c r="B2105" s="44">
        <v>44532</v>
      </c>
      <c r="C2105" s="44">
        <f t="shared" si="98"/>
        <v>44532</v>
      </c>
      <c r="D2105" s="374">
        <v>88</v>
      </c>
      <c r="E2105" s="291" t="str">
        <f>IFERROR(VLOOKUP($D2105,'Clients-Live'!$A:$C,3,0),"")</f>
        <v>FAIDA HARRIET</v>
      </c>
      <c r="F2105" s="291">
        <f>IFERROR(INDEX(Disbursements!$D:$D,MATCH('Live Collections'!G2105,Disbursements!$C:$C,0)),"")</f>
        <v>2</v>
      </c>
      <c r="G2105" s="34">
        <v>169</v>
      </c>
      <c r="H2105" s="34">
        <v>3686</v>
      </c>
      <c r="I2105" s="34" t="s">
        <v>1357</v>
      </c>
      <c r="J2105" s="48"/>
      <c r="K2105" s="48"/>
      <c r="L2105" s="48"/>
      <c r="M2105" s="48"/>
      <c r="N2105" s="59"/>
      <c r="O2105" s="59">
        <v>30000</v>
      </c>
      <c r="P2105" s="59"/>
      <c r="Q2105" s="268">
        <f t="shared" si="100"/>
        <v>30000</v>
      </c>
      <c r="R2105" s="61">
        <f>IF(O2105=0,0,SUMIFS(Disbursements!$T:$T,Disbursements!$B:$B,'Live Collections'!D2105,Disbursements!$D:$D,'Live Collections'!F2105))</f>
        <v>90000</v>
      </c>
      <c r="S2105" s="304"/>
      <c r="T2105" s="304">
        <f t="shared" si="99"/>
        <v>30000</v>
      </c>
      <c r="U2105" s="52"/>
      <c r="V2105" s="34"/>
      <c r="W2105" s="408" t="s">
        <v>1887</v>
      </c>
    </row>
    <row r="2106" spans="1:23" ht="12.75" customHeight="1" x14ac:dyDescent="0.2">
      <c r="A2106" s="257">
        <v>2090</v>
      </c>
      <c r="B2106" s="44">
        <v>44532</v>
      </c>
      <c r="C2106" s="44">
        <f t="shared" si="98"/>
        <v>44532</v>
      </c>
      <c r="D2106" s="374">
        <v>88</v>
      </c>
      <c r="E2106" s="291" t="str">
        <f>IFERROR(VLOOKUP($D2106,'Clients-Live'!$A:$C,3,0),"")</f>
        <v>FAIDA HARRIET</v>
      </c>
      <c r="F2106" s="291">
        <v>2</v>
      </c>
      <c r="G2106" s="34">
        <v>169</v>
      </c>
      <c r="H2106" s="34">
        <v>3685</v>
      </c>
      <c r="I2106" s="34" t="s">
        <v>1357</v>
      </c>
      <c r="J2106" s="48"/>
      <c r="K2106" s="48"/>
      <c r="L2106" s="48"/>
      <c r="M2106" s="48"/>
      <c r="N2106" s="59"/>
      <c r="O2106" s="59">
        <v>20000</v>
      </c>
      <c r="P2106" s="59"/>
      <c r="Q2106" s="268">
        <f t="shared" si="100"/>
        <v>20000</v>
      </c>
      <c r="R2106" s="61">
        <f>IF(O2106=0,0,SUMIFS(Disbursements!$T:$T,Disbursements!$B:$B,'Live Collections'!D2106,Disbursements!$D:$D,'Live Collections'!F2106))</f>
        <v>90000</v>
      </c>
      <c r="S2106" s="304"/>
      <c r="T2106" s="304">
        <f t="shared" si="99"/>
        <v>20000</v>
      </c>
      <c r="U2106" s="52"/>
      <c r="V2106" s="34"/>
      <c r="W2106" s="408"/>
    </row>
    <row r="2107" spans="1:23" ht="12.75" customHeight="1" x14ac:dyDescent="0.2">
      <c r="A2107" s="257">
        <v>2082</v>
      </c>
      <c r="B2107" s="44">
        <v>44532</v>
      </c>
      <c r="C2107" s="44">
        <f t="shared" si="98"/>
        <v>44532</v>
      </c>
      <c r="D2107" s="374">
        <v>94</v>
      </c>
      <c r="E2107" s="291" t="str">
        <f>IFERROR(VLOOKUP($D2107,'Clients-Live'!$A:$C,3,0),"")</f>
        <v>NGINYA RICHARD</v>
      </c>
      <c r="F2107" s="291">
        <f>IFERROR(INDEX(Disbursements!$D:$D,MATCH('Live Collections'!G2107,Disbursements!$C:$C,0)),"")</f>
        <v>2</v>
      </c>
      <c r="G2107" s="34">
        <v>305</v>
      </c>
      <c r="H2107" s="34">
        <v>3692</v>
      </c>
      <c r="I2107" s="34" t="s">
        <v>1357</v>
      </c>
      <c r="J2107" s="48"/>
      <c r="K2107" s="48"/>
      <c r="L2107" s="48"/>
      <c r="M2107" s="48"/>
      <c r="N2107" s="59"/>
      <c r="O2107" s="59">
        <v>90000</v>
      </c>
      <c r="P2107" s="59"/>
      <c r="Q2107" s="268">
        <f t="shared" si="100"/>
        <v>90000</v>
      </c>
      <c r="R2107" s="61">
        <f>IF(O2107=0,0,SUMIFS(Disbursements!$T:$T,Disbursements!$B:$B,'Live Collections'!D2107,Disbursements!$D:$D,'Live Collections'!F2107))</f>
        <v>90000</v>
      </c>
      <c r="S2107" s="64">
        <v>60000</v>
      </c>
      <c r="T2107" s="304">
        <f t="shared" si="99"/>
        <v>30000</v>
      </c>
      <c r="U2107" s="52"/>
      <c r="V2107" s="34"/>
      <c r="W2107" s="408"/>
    </row>
    <row r="2108" spans="1:23" ht="12.75" customHeight="1" x14ac:dyDescent="0.2">
      <c r="A2108" s="257">
        <v>2092</v>
      </c>
      <c r="B2108" s="44">
        <v>44532</v>
      </c>
      <c r="C2108" s="44">
        <f t="shared" si="98"/>
        <v>44532</v>
      </c>
      <c r="D2108" s="374">
        <v>126</v>
      </c>
      <c r="E2108" s="291" t="str">
        <f>IFERROR(VLOOKUP($D2108,'Clients-Live'!$A:$C,3,0),"")</f>
        <v>OGWAL STEPHEN GERALD</v>
      </c>
      <c r="F2108" s="291">
        <f>IFERROR(INDEX(Disbursements!$D:$D,MATCH('Live Collections'!G2108,Disbursements!$C:$C,0)),"")</f>
        <v>3</v>
      </c>
      <c r="G2108" s="34">
        <v>296</v>
      </c>
      <c r="H2108" s="34">
        <v>3683</v>
      </c>
      <c r="I2108" s="34" t="s">
        <v>1359</v>
      </c>
      <c r="J2108" s="48"/>
      <c r="K2108" s="48"/>
      <c r="L2108" s="48"/>
      <c r="M2108" s="48"/>
      <c r="N2108" s="59"/>
      <c r="O2108" s="59">
        <v>612000</v>
      </c>
      <c r="P2108" s="59"/>
      <c r="Q2108" s="268">
        <f t="shared" si="100"/>
        <v>612000</v>
      </c>
      <c r="R2108" s="61">
        <f>IF(O2108=0,0,SUMIFS(Disbursements!$T:$T,Disbursements!$B:$B,'Live Collections'!D2108,Disbursements!$D:$D,'Live Collections'!F2108))</f>
        <v>613000</v>
      </c>
      <c r="S2108" s="304">
        <f>IF(O2108&lt;=IF($O2108=0,0,SUMIFS(Disbursements!$W:$W,Disbursements!$B:$B,'Live Collections'!D1605,Disbursements!$D:$D,'Live Collections'!F1605)),O2108,IF($O2108=0,0,SUMIFS(Disbursements!$W:$W,Disbursements!$B:$B,'Live Collections'!D1605,Disbursements!$D:$D,'Live Collections'!F1605)))</f>
        <v>25666.666666666672</v>
      </c>
      <c r="T2108" s="304">
        <f t="shared" si="99"/>
        <v>586333.33333333337</v>
      </c>
      <c r="U2108" s="52"/>
      <c r="V2108" s="34"/>
      <c r="W2108" s="408"/>
    </row>
    <row r="2109" spans="1:23" ht="12.75" customHeight="1" x14ac:dyDescent="0.2">
      <c r="A2109" s="257">
        <v>2084</v>
      </c>
      <c r="B2109" s="44">
        <v>44532</v>
      </c>
      <c r="C2109" s="44">
        <f t="shared" si="98"/>
        <v>44532</v>
      </c>
      <c r="D2109" s="374">
        <v>137</v>
      </c>
      <c r="E2109" s="291" t="str">
        <f>IFERROR(VLOOKUP($D2109,'Clients-Live'!$A:$C,3,0),"")</f>
        <v>YAKANI CHARLES</v>
      </c>
      <c r="F2109" s="291">
        <f>IFERROR(INDEX(Disbursements!$D:$D,MATCH('Live Collections'!G2109,Disbursements!$C:$C,0)),"")</f>
        <v>2</v>
      </c>
      <c r="G2109" s="34">
        <v>139</v>
      </c>
      <c r="H2109" s="34">
        <v>429</v>
      </c>
      <c r="I2109" s="34" t="s">
        <v>1359</v>
      </c>
      <c r="J2109" s="48"/>
      <c r="K2109" s="48"/>
      <c r="L2109" s="48"/>
      <c r="M2109" s="48"/>
      <c r="N2109" s="59"/>
      <c r="O2109" s="59"/>
      <c r="P2109" s="59">
        <v>-120000</v>
      </c>
      <c r="Q2109" s="268">
        <f t="shared" si="100"/>
        <v>-120000</v>
      </c>
      <c r="R2109" s="61">
        <f>IF(O2109=0,0,SUMIFS(Disbursements!$T:$T,Disbursements!$B:$B,'Live Collections'!D2109,Disbursements!$D:$D,'Live Collections'!F2109))</f>
        <v>0</v>
      </c>
      <c r="S2109" s="304">
        <f>IF(O2109&lt;=IF($O2109=0,0,SUMIFS(Disbursements!$W:$W,Disbursements!$B:$B,'Live Collections'!D1732,Disbursements!$D:$D,'Live Collections'!F1732)),O2109,IF($O2109=0,0,SUMIFS(Disbursements!$W:$W,Disbursements!$B:$B,'Live Collections'!D1732,Disbursements!$D:$D,'Live Collections'!F1732)))</f>
        <v>0</v>
      </c>
      <c r="T2109" s="304">
        <f t="shared" si="99"/>
        <v>0</v>
      </c>
      <c r="U2109" s="52"/>
      <c r="V2109" s="34"/>
      <c r="W2109" s="410"/>
    </row>
    <row r="2110" spans="1:23" ht="12.75" customHeight="1" x14ac:dyDescent="0.2">
      <c r="A2110" s="257">
        <v>2085</v>
      </c>
      <c r="B2110" s="44">
        <v>44532</v>
      </c>
      <c r="C2110" s="44">
        <f t="shared" si="98"/>
        <v>44532</v>
      </c>
      <c r="D2110" s="374">
        <v>137</v>
      </c>
      <c r="E2110" s="291" t="str">
        <f>IFERROR(VLOOKUP($D2110,'Clients-Live'!$A:$C,3,0),"")</f>
        <v>YAKANI CHARLES</v>
      </c>
      <c r="F2110" s="291">
        <f>IFERROR(INDEX(Disbursements!$D:$D,MATCH('Live Collections'!G2110,Disbursements!$C:$C,0)),"")</f>
        <v>2</v>
      </c>
      <c r="G2110" s="34">
        <v>139</v>
      </c>
      <c r="H2110" s="34">
        <v>3690</v>
      </c>
      <c r="I2110" s="34" t="s">
        <v>1359</v>
      </c>
      <c r="J2110" s="48"/>
      <c r="K2110" s="48"/>
      <c r="L2110" s="48"/>
      <c r="M2110" s="48"/>
      <c r="N2110" s="59"/>
      <c r="O2110" s="59">
        <v>120000</v>
      </c>
      <c r="P2110" s="59"/>
      <c r="Q2110" s="268">
        <f t="shared" si="100"/>
        <v>120000</v>
      </c>
      <c r="R2110" s="61">
        <f>IF(O2110=0,0,SUMIFS(Disbursements!$T:$T,Disbursements!$B:$B,'Live Collections'!D2110,Disbursements!$D:$D,'Live Collections'!F2110))</f>
        <v>360000</v>
      </c>
      <c r="S2110" s="304">
        <f>IF(O2110&lt;=IF($O2110=0,0,SUMIFS(Disbursements!$W:$W,Disbursements!$B:$B,'Live Collections'!D1733,Disbursements!$D:$D,'Live Collections'!F1733)),O2110,IF($O2110=0,0,SUMIFS(Disbursements!$W:$W,Disbursements!$B:$B,'Live Collections'!D1733,Disbursements!$D:$D,'Live Collections'!F1733)))</f>
        <v>25666.666666666672</v>
      </c>
      <c r="T2110" s="304">
        <f t="shared" si="99"/>
        <v>94333.333333333328</v>
      </c>
      <c r="U2110" s="52"/>
      <c r="V2110" s="34"/>
      <c r="W2110" s="408" t="s">
        <v>1886</v>
      </c>
    </row>
    <row r="2111" spans="1:23" ht="12.75" customHeight="1" x14ac:dyDescent="0.2">
      <c r="A2111" s="257">
        <v>2086</v>
      </c>
      <c r="B2111" s="44">
        <v>44532</v>
      </c>
      <c r="C2111" s="44">
        <f t="shared" si="98"/>
        <v>44532</v>
      </c>
      <c r="D2111" s="374">
        <v>137</v>
      </c>
      <c r="E2111" s="291" t="str">
        <f>IFERROR(VLOOKUP($D2111,'Clients-Live'!$A:$C,3,0),"")</f>
        <v>YAKANI CHARLES</v>
      </c>
      <c r="F2111" s="291">
        <f>IFERROR(INDEX(Disbursements!$D:$D,MATCH('Live Collections'!G2111,Disbursements!$C:$C,0)),"")</f>
        <v>2</v>
      </c>
      <c r="G2111" s="34">
        <v>139</v>
      </c>
      <c r="H2111" s="34">
        <v>3689</v>
      </c>
      <c r="I2111" s="34" t="s">
        <v>1359</v>
      </c>
      <c r="J2111" s="48"/>
      <c r="K2111" s="48"/>
      <c r="L2111" s="48"/>
      <c r="M2111" s="48"/>
      <c r="N2111" s="59"/>
      <c r="O2111" s="59">
        <v>120000</v>
      </c>
      <c r="P2111" s="59"/>
      <c r="Q2111" s="268">
        <f t="shared" si="100"/>
        <v>120000</v>
      </c>
      <c r="R2111" s="61">
        <f>IF(O2111=0,0,SUMIFS(Disbursements!$T:$T,Disbursements!$B:$B,'Live Collections'!D2111,Disbursements!$D:$D,'Live Collections'!F2111))</f>
        <v>360000</v>
      </c>
      <c r="S2111" s="64">
        <v>104333.33333333331</v>
      </c>
      <c r="T2111" s="304">
        <f t="shared" si="99"/>
        <v>15666.666666666686</v>
      </c>
      <c r="U2111" s="52"/>
      <c r="V2111" s="34"/>
      <c r="W2111" s="408"/>
    </row>
    <row r="2112" spans="1:23" ht="12.75" customHeight="1" x14ac:dyDescent="0.2">
      <c r="A2112" s="257">
        <v>2091</v>
      </c>
      <c r="B2112" s="44">
        <v>44532</v>
      </c>
      <c r="C2112" s="44">
        <f t="shared" si="98"/>
        <v>44532</v>
      </c>
      <c r="D2112" s="374">
        <v>137</v>
      </c>
      <c r="E2112" s="291" t="str">
        <f>IFERROR(VLOOKUP($D2112,'Clients-Live'!$A:$C,3,0),"")</f>
        <v>YAKANI CHARLES</v>
      </c>
      <c r="F2112" s="291">
        <f>IFERROR(INDEX(Disbursements!$D:$D,MATCH('Live Collections'!G2112,Disbursements!$C:$C,0)),"")</f>
        <v>2</v>
      </c>
      <c r="G2112" s="34">
        <v>139</v>
      </c>
      <c r="H2112" s="34">
        <v>3684</v>
      </c>
      <c r="I2112" s="34" t="s">
        <v>1359</v>
      </c>
      <c r="J2112" s="48"/>
      <c r="K2112" s="48"/>
      <c r="L2112" s="48"/>
      <c r="M2112" s="48"/>
      <c r="N2112" s="59"/>
      <c r="O2112" s="59">
        <v>120000</v>
      </c>
      <c r="P2112" s="59"/>
      <c r="Q2112" s="268">
        <f t="shared" si="100"/>
        <v>120000</v>
      </c>
      <c r="R2112" s="61">
        <f>IF(O2112=0,0,SUMIFS(Disbursements!$T:$T,Disbursements!$B:$B,'Live Collections'!D2112,Disbursements!$D:$D,'Live Collections'!F2112))</f>
        <v>360000</v>
      </c>
      <c r="S2112" s="304"/>
      <c r="T2112" s="304">
        <f t="shared" si="99"/>
        <v>120000</v>
      </c>
      <c r="U2112" s="52"/>
      <c r="V2112" s="34"/>
      <c r="W2112" s="408"/>
    </row>
    <row r="2113" spans="1:23" ht="12.75" customHeight="1" x14ac:dyDescent="0.2">
      <c r="A2113" s="257">
        <v>2083</v>
      </c>
      <c r="B2113" s="44">
        <v>44532</v>
      </c>
      <c r="C2113" s="44">
        <f t="shared" ref="C2113:C2176" si="101">B2113</f>
        <v>44532</v>
      </c>
      <c r="D2113" s="374">
        <v>152</v>
      </c>
      <c r="E2113" s="291" t="str">
        <f>IFERROR(VLOOKUP($D2113,'Clients-Live'!$A:$C,3,0),"")</f>
        <v>ASE ZAINABU</v>
      </c>
      <c r="F2113" s="291">
        <f>IFERROR(INDEX(Disbursements!$D:$D,MATCH('Live Collections'!G2113,Disbursements!$C:$C,0)),"")</f>
        <v>1</v>
      </c>
      <c r="G2113" s="34">
        <v>136</v>
      </c>
      <c r="H2113" s="34">
        <v>3691</v>
      </c>
      <c r="I2113" s="34" t="s">
        <v>1358</v>
      </c>
      <c r="J2113" s="48"/>
      <c r="K2113" s="48"/>
      <c r="L2113" s="48"/>
      <c r="M2113" s="48"/>
      <c r="N2113" s="59"/>
      <c r="O2113" s="59">
        <v>100000</v>
      </c>
      <c r="P2113" s="59"/>
      <c r="Q2113" s="268">
        <f t="shared" si="100"/>
        <v>100000</v>
      </c>
      <c r="R2113" s="61">
        <f>IF(O2113=0,0,SUMIFS(Disbursements!$T:$T,Disbursements!$B:$B,'Live Collections'!D2113,Disbursements!$D:$D,'Live Collections'!F2113))</f>
        <v>175000</v>
      </c>
      <c r="S2113" s="304"/>
      <c r="T2113" s="304">
        <f t="shared" ref="T2113:T2176" si="102">IF(O2113=0,0,O2113-S2113)</f>
        <v>100000</v>
      </c>
      <c r="U2113" s="52"/>
      <c r="V2113" s="34"/>
      <c r="W2113" s="408"/>
    </row>
    <row r="2114" spans="1:23" ht="12.75" customHeight="1" x14ac:dyDescent="0.2">
      <c r="A2114" s="257">
        <v>2522</v>
      </c>
      <c r="B2114" s="44">
        <v>44532</v>
      </c>
      <c r="C2114" s="44">
        <f t="shared" si="101"/>
        <v>44532</v>
      </c>
      <c r="D2114" s="374">
        <v>259</v>
      </c>
      <c r="E2114" s="291" t="str">
        <f>IFERROR(VLOOKUP($D2114,'Clients-Live'!$A:$C,3,0),"")</f>
        <v>SALAMA GIFT</v>
      </c>
      <c r="F2114" s="291">
        <f>IFERROR(INDEX(Disbursements!$D:$D,MATCH('Live Collections'!G2114,Disbursements!$C:$C,0)),"")</f>
        <v>1</v>
      </c>
      <c r="G2114" s="34">
        <v>310</v>
      </c>
      <c r="H2114" s="34">
        <v>3694</v>
      </c>
      <c r="I2114" s="34" t="s">
        <v>1357</v>
      </c>
      <c r="J2114" s="48"/>
      <c r="K2114" s="48"/>
      <c r="L2114" s="48"/>
      <c r="M2114" s="48"/>
      <c r="N2114" s="59"/>
      <c r="O2114" s="59">
        <v>77000</v>
      </c>
      <c r="P2114" s="59"/>
      <c r="Q2114" s="268">
        <f t="shared" si="100"/>
        <v>77000</v>
      </c>
      <c r="R2114" s="61">
        <f>IF(O2114=0,0,SUMIFS(Disbursements!$T:$T,Disbursements!$B:$B,'Live Collections'!D2114,Disbursements!$D:$D,'Live Collections'!F2114))</f>
        <v>77000</v>
      </c>
      <c r="S2114" s="64">
        <v>30999.999999999985</v>
      </c>
      <c r="T2114" s="304">
        <f t="shared" si="102"/>
        <v>46000.000000000015</v>
      </c>
      <c r="U2114" s="52"/>
      <c r="V2114" s="34"/>
      <c r="W2114" s="408"/>
    </row>
    <row r="2115" spans="1:23" ht="12.75" customHeight="1" x14ac:dyDescent="0.2">
      <c r="A2115" s="257">
        <v>2100</v>
      </c>
      <c r="B2115" s="44">
        <v>44533</v>
      </c>
      <c r="C2115" s="44">
        <f t="shared" si="101"/>
        <v>44533</v>
      </c>
      <c r="D2115" s="374">
        <v>113</v>
      </c>
      <c r="E2115" s="291" t="str">
        <f>IFERROR(VLOOKUP($D2115,'Clients-Live'!$A:$C,3,0),"")</f>
        <v>ATIKU AMULE ISAAC</v>
      </c>
      <c r="F2115" s="291">
        <f>IFERROR(INDEX(Disbursements!$D:$D,MATCH('Live Collections'!G2115,Disbursements!$C:$C,0)),"")</f>
        <v>2</v>
      </c>
      <c r="G2115" s="34">
        <v>263</v>
      </c>
      <c r="H2115" s="34">
        <v>3696</v>
      </c>
      <c r="I2115" s="34" t="s">
        <v>1358</v>
      </c>
      <c r="J2115" s="48"/>
      <c r="K2115" s="48"/>
      <c r="L2115" s="48"/>
      <c r="M2115" s="48"/>
      <c r="N2115" s="59"/>
      <c r="O2115" s="59">
        <v>150000</v>
      </c>
      <c r="P2115" s="59"/>
      <c r="Q2115" s="268">
        <f t="shared" si="100"/>
        <v>150000</v>
      </c>
      <c r="R2115" s="61">
        <f>IF(O2115=0,0,SUMIFS(Disbursements!$T:$T,Disbursements!$B:$B,'Live Collections'!D2115,Disbursements!$D:$D,'Live Collections'!F2115))</f>
        <v>152000</v>
      </c>
      <c r="S2115" s="304">
        <f>IF(O2115&lt;=IF($O2115=0,0,SUMIFS(Disbursements!$W:$W,Disbursements!$B:$B,'Live Collections'!D2308,Disbursements!$D:$D,'Live Collections'!F2308)),O2115,IF($O2115=0,0,SUMIFS(Disbursements!$W:$W,Disbursements!$B:$B,'Live Collections'!D2308,Disbursements!$D:$D,'Live Collections'!F2308)))</f>
        <v>20000</v>
      </c>
      <c r="T2115" s="304">
        <f t="shared" si="102"/>
        <v>130000</v>
      </c>
      <c r="U2115" s="52"/>
      <c r="V2115" s="34"/>
      <c r="W2115" s="408"/>
    </row>
    <row r="2116" spans="1:23" ht="12.75" customHeight="1" x14ac:dyDescent="0.2">
      <c r="A2116" s="257">
        <v>2099</v>
      </c>
      <c r="B2116" s="44">
        <v>44533</v>
      </c>
      <c r="C2116" s="44">
        <f t="shared" si="101"/>
        <v>44533</v>
      </c>
      <c r="D2116" s="374">
        <v>147</v>
      </c>
      <c r="E2116" s="291" t="str">
        <f>IFERROR(VLOOKUP($D2116,'Clients-Live'!$A:$C,3,0),"")</f>
        <v>DRICIRU MARGRET</v>
      </c>
      <c r="F2116" s="291">
        <f>IFERROR(INDEX(Disbursements!$D:$D,MATCH('Live Collections'!G2116,Disbursements!$C:$C,0)),"")</f>
        <v>2</v>
      </c>
      <c r="G2116" s="34">
        <v>203</v>
      </c>
      <c r="H2116" s="34">
        <v>3697</v>
      </c>
      <c r="I2116" s="34" t="s">
        <v>1359</v>
      </c>
      <c r="J2116" s="48"/>
      <c r="K2116" s="48"/>
      <c r="L2116" s="48"/>
      <c r="M2116" s="48"/>
      <c r="N2116" s="59"/>
      <c r="O2116" s="59">
        <v>300000</v>
      </c>
      <c r="P2116" s="59"/>
      <c r="Q2116" s="268">
        <f t="shared" si="100"/>
        <v>300000</v>
      </c>
      <c r="R2116" s="61">
        <f>IF(O2116=0,0,SUMIFS(Disbursements!$T:$T,Disbursements!$B:$B,'Live Collections'!D2116,Disbursements!$D:$D,'Live Collections'!F2116))</f>
        <v>300000</v>
      </c>
      <c r="S2116" s="304">
        <f>IF(O2116&lt;=IF($O2116=0,0,SUMIFS(Disbursements!$W:$W,Disbursements!$B:$B,'Live Collections'!D1859,Disbursements!$D:$D,'Live Collections'!F1859)),O2116,IF($O2116=0,0,SUMIFS(Disbursements!$W:$W,Disbursements!$B:$B,'Live Collections'!D1859,Disbursements!$D:$D,'Live Collections'!F1859)))</f>
        <v>25666.666666666672</v>
      </c>
      <c r="T2116" s="304">
        <f t="shared" si="102"/>
        <v>274333.33333333331</v>
      </c>
      <c r="U2116" s="52"/>
      <c r="V2116" s="34"/>
      <c r="W2116" s="408"/>
    </row>
    <row r="2117" spans="1:23" ht="12.75" customHeight="1" x14ac:dyDescent="0.2">
      <c r="A2117" s="257">
        <v>2093</v>
      </c>
      <c r="B2117" s="44">
        <v>44533</v>
      </c>
      <c r="C2117" s="44">
        <f t="shared" si="101"/>
        <v>44533</v>
      </c>
      <c r="D2117" s="374">
        <v>161</v>
      </c>
      <c r="E2117" s="291" t="str">
        <f>IFERROR(VLOOKUP($D2117,'Clients-Live'!$A:$C,3,0),"")</f>
        <v>OKUYO BERNARD</v>
      </c>
      <c r="F2117" s="291">
        <f>IFERROR(INDEX(Disbursements!$D:$D,MATCH('Live Collections'!G2117,Disbursements!$C:$C,0)),"")</f>
        <v>2</v>
      </c>
      <c r="G2117" s="34">
        <v>261</v>
      </c>
      <c r="H2117" s="34">
        <v>484</v>
      </c>
      <c r="I2117" s="34" t="s">
        <v>1357</v>
      </c>
      <c r="J2117" s="48"/>
      <c r="K2117" s="48"/>
      <c r="L2117" s="48"/>
      <c r="M2117" s="48"/>
      <c r="N2117" s="59"/>
      <c r="O2117" s="59"/>
      <c r="P2117" s="59">
        <v>-200000</v>
      </c>
      <c r="Q2117" s="268">
        <f t="shared" si="100"/>
        <v>-200000</v>
      </c>
      <c r="R2117" s="61">
        <f>IF(O2117=0,0,SUMIFS(Disbursements!$T:$T,Disbursements!$B:$B,'Live Collections'!D2117,Disbursements!$D:$D,'Live Collections'!F2117))</f>
        <v>0</v>
      </c>
      <c r="S2117" s="304">
        <f>IF(O2117&lt;=IF($O2117=0,0,SUMIFS(Disbursements!$W:$W,Disbursements!$B:$B,'Live Collections'!D2008,Disbursements!$D:$D,'Live Collections'!F2008)),O2117,IF($O2117=0,0,SUMIFS(Disbursements!$W:$W,Disbursements!$B:$B,'Live Collections'!D2008,Disbursements!$D:$D,'Live Collections'!F2008)))</f>
        <v>0</v>
      </c>
      <c r="T2117" s="304">
        <f t="shared" si="102"/>
        <v>0</v>
      </c>
      <c r="U2117" s="52"/>
      <c r="V2117" s="34"/>
      <c r="W2117" s="408"/>
    </row>
    <row r="2118" spans="1:23" ht="12.75" customHeight="1" x14ac:dyDescent="0.2">
      <c r="A2118" s="257">
        <v>2094</v>
      </c>
      <c r="B2118" s="44">
        <v>44533</v>
      </c>
      <c r="C2118" s="44">
        <f t="shared" si="101"/>
        <v>44533</v>
      </c>
      <c r="D2118" s="374">
        <v>161</v>
      </c>
      <c r="E2118" s="291" t="str">
        <f>IFERROR(VLOOKUP($D2118,'Clients-Live'!$A:$C,3,0),"")</f>
        <v>OKUYO BERNARD</v>
      </c>
      <c r="F2118" s="291">
        <f>IFERROR(INDEX(Disbursements!$D:$D,MATCH('Live Collections'!G2118,Disbursements!$C:$C,0)),"")</f>
        <v>2</v>
      </c>
      <c r="G2118" s="34">
        <v>261</v>
      </c>
      <c r="H2118" s="34">
        <v>3854</v>
      </c>
      <c r="I2118" s="34" t="s">
        <v>1357</v>
      </c>
      <c r="J2118" s="48"/>
      <c r="K2118" s="48"/>
      <c r="L2118" s="48"/>
      <c r="M2118" s="48"/>
      <c r="N2118" s="59"/>
      <c r="O2118" s="59">
        <v>200000</v>
      </c>
      <c r="P2118" s="59"/>
      <c r="Q2118" s="268">
        <f t="shared" si="100"/>
        <v>200000</v>
      </c>
      <c r="R2118" s="61">
        <f>IF(O2118=0,0,SUMIFS(Disbursements!$T:$T,Disbursements!$B:$B,'Live Collections'!D2118,Disbursements!$D:$D,'Live Collections'!F2118))</f>
        <v>2150000</v>
      </c>
      <c r="S2118" s="64">
        <v>150000</v>
      </c>
      <c r="T2118" s="304">
        <f t="shared" si="102"/>
        <v>50000</v>
      </c>
      <c r="U2118" s="52"/>
      <c r="V2118" s="34"/>
      <c r="W2118" s="408" t="s">
        <v>1893</v>
      </c>
    </row>
    <row r="2119" spans="1:23" ht="12.75" customHeight="1" x14ac:dyDescent="0.2">
      <c r="A2119" s="257">
        <v>2095</v>
      </c>
      <c r="B2119" s="44">
        <v>44533</v>
      </c>
      <c r="C2119" s="44">
        <f t="shared" si="101"/>
        <v>44533</v>
      </c>
      <c r="D2119" s="374">
        <v>161</v>
      </c>
      <c r="E2119" s="291" t="str">
        <f>IFERROR(VLOOKUP($D2119,'Clients-Live'!$A:$C,3,0),"")</f>
        <v>OKUYO BERNARD</v>
      </c>
      <c r="F2119" s="291">
        <f>IFERROR(INDEX(Disbursements!$D:$D,MATCH('Live Collections'!G2119,Disbursements!$C:$C,0)),"")</f>
        <v>2</v>
      </c>
      <c r="G2119" s="34">
        <v>261</v>
      </c>
      <c r="H2119" s="34">
        <v>3853</v>
      </c>
      <c r="I2119" s="34" t="s">
        <v>1357</v>
      </c>
      <c r="J2119" s="48"/>
      <c r="K2119" s="48"/>
      <c r="L2119" s="48"/>
      <c r="M2119" s="48"/>
      <c r="N2119" s="59">
        <v>198000</v>
      </c>
      <c r="O2119" s="59">
        <v>1950000</v>
      </c>
      <c r="P2119" s="59"/>
      <c r="Q2119" s="268">
        <f t="shared" si="100"/>
        <v>2148000</v>
      </c>
      <c r="R2119" s="61">
        <f>IF(O2119=0,0,SUMIFS(Disbursements!$T:$T,Disbursements!$B:$B,'Live Collections'!D2119,Disbursements!$D:$D,'Live Collections'!F2119))</f>
        <v>2150000</v>
      </c>
      <c r="S2119" s="304"/>
      <c r="T2119" s="304">
        <f t="shared" si="102"/>
        <v>1950000</v>
      </c>
      <c r="U2119" s="52"/>
      <c r="V2119" s="34"/>
      <c r="W2119" s="408"/>
    </row>
    <row r="2120" spans="1:23" ht="12.75" customHeight="1" x14ac:dyDescent="0.2">
      <c r="A2120" s="257">
        <v>2098</v>
      </c>
      <c r="B2120" s="44">
        <v>44533</v>
      </c>
      <c r="C2120" s="44">
        <f t="shared" si="101"/>
        <v>44533</v>
      </c>
      <c r="D2120" s="374">
        <v>176</v>
      </c>
      <c r="E2120" s="291" t="str">
        <f>IFERROR(VLOOKUP($D2120,'Clients-Live'!$A:$C,3,0),"")</f>
        <v>AJONYE JANE SINANDUGU</v>
      </c>
      <c r="F2120" s="291">
        <f>IFERROR(INDEX(Disbursements!$D:$D,MATCH('Live Collections'!G2120,Disbursements!$C:$C,0)),"")</f>
        <v>2</v>
      </c>
      <c r="G2120" s="34">
        <v>301</v>
      </c>
      <c r="H2120" s="34">
        <v>3698</v>
      </c>
      <c r="I2120" s="34" t="s">
        <v>1358</v>
      </c>
      <c r="J2120" s="48"/>
      <c r="K2120" s="48"/>
      <c r="L2120" s="48"/>
      <c r="M2120" s="48"/>
      <c r="N2120" s="59"/>
      <c r="O2120" s="59">
        <v>650000</v>
      </c>
      <c r="P2120" s="59"/>
      <c r="Q2120" s="268">
        <f t="shared" si="100"/>
        <v>650000</v>
      </c>
      <c r="R2120" s="61">
        <f>IF(O2120=0,0,SUMIFS(Disbursements!$T:$T,Disbursements!$B:$B,'Live Collections'!D2120,Disbursements!$D:$D,'Live Collections'!F2120))</f>
        <v>650000</v>
      </c>
      <c r="S2120" s="304">
        <f>IF(O2120&lt;=IF($O2120=0,0,SUMIFS(Disbursements!$W:$W,Disbursements!$B:$B,'Live Collections'!D2159,Disbursements!$D:$D,'Live Collections'!F2159)),O2120,IF($O2120=0,0,SUMIFS(Disbursements!$W:$W,Disbursements!$B:$B,'Live Collections'!D2159,Disbursements!$D:$D,'Live Collections'!F2159)))</f>
        <v>150333.33333333337</v>
      </c>
      <c r="T2120" s="304">
        <f t="shared" si="102"/>
        <v>499666.66666666663</v>
      </c>
      <c r="U2120" s="52"/>
      <c r="V2120" s="34"/>
      <c r="W2120" s="408"/>
    </row>
    <row r="2121" spans="1:23" ht="12.75" customHeight="1" x14ac:dyDescent="0.2">
      <c r="A2121" s="257">
        <v>2101</v>
      </c>
      <c r="B2121" s="44">
        <v>44533</v>
      </c>
      <c r="C2121" s="44">
        <f t="shared" si="101"/>
        <v>44533</v>
      </c>
      <c r="D2121" s="374">
        <v>251</v>
      </c>
      <c r="E2121" s="291" t="str">
        <f>IFERROR(VLOOKUP($D2121,'Clients-Live'!$A:$C,3,0),"")</f>
        <v>SIDA ZAINABU</v>
      </c>
      <c r="F2121" s="291">
        <f>IFERROR(INDEX(Disbursements!$D:$D,MATCH('Live Collections'!G2121,Disbursements!$C:$C,0)),"")</f>
        <v>1</v>
      </c>
      <c r="G2121" s="34">
        <v>306</v>
      </c>
      <c r="H2121" s="34">
        <v>3695</v>
      </c>
      <c r="I2121" s="34" t="s">
        <v>1359</v>
      </c>
      <c r="J2121" s="48"/>
      <c r="K2121" s="48"/>
      <c r="L2121" s="48"/>
      <c r="M2121" s="48"/>
      <c r="N2121" s="59"/>
      <c r="O2121" s="59">
        <v>210000</v>
      </c>
      <c r="P2121" s="59"/>
      <c r="Q2121" s="268">
        <f t="shared" si="100"/>
        <v>210000</v>
      </c>
      <c r="R2121" s="61">
        <f>IF(O2121=0,0,SUMIFS(Disbursements!$T:$T,Disbursements!$B:$B,'Live Collections'!D2121,Disbursements!$D:$D,'Live Collections'!F2121))</f>
        <v>220000</v>
      </c>
      <c r="S2121" s="304">
        <f>IF(O2121&lt;=IF($O2121=0,0,SUMIFS(Disbursements!$W:$W,Disbursements!$B:$B,'Live Collections'!D2822,Disbursements!$D:$D,'Live Collections'!F2822)),O2121,IF($O2121=0,0,SUMIFS(Disbursements!$W:$W,Disbursements!$B:$B,'Live Collections'!D2822,Disbursements!$D:$D,'Live Collections'!F2822)))</f>
        <v>40000</v>
      </c>
      <c r="T2121" s="304">
        <f t="shared" si="102"/>
        <v>170000</v>
      </c>
      <c r="U2121" s="52"/>
      <c r="V2121" s="34"/>
      <c r="W2121" s="408"/>
    </row>
    <row r="2122" spans="1:23" ht="12.75" customHeight="1" x14ac:dyDescent="0.2">
      <c r="A2122" s="257">
        <v>2097</v>
      </c>
      <c r="B2122" s="44">
        <v>44533</v>
      </c>
      <c r="C2122" s="44">
        <f t="shared" si="101"/>
        <v>44533</v>
      </c>
      <c r="D2122" s="374">
        <v>269</v>
      </c>
      <c r="E2122" s="291" t="str">
        <f>IFERROR(VLOOKUP($D2122,'Clients-Live'!$A:$C,3,0),"")</f>
        <v>YANYA ROBINA</v>
      </c>
      <c r="F2122" s="291">
        <f>IFERROR(INDEX(Disbursements!$D:$D,MATCH('Live Collections'!G2122,Disbursements!$C:$C,0)),"")</f>
        <v>2</v>
      </c>
      <c r="G2122" s="34">
        <v>352</v>
      </c>
      <c r="H2122" s="34">
        <v>3852</v>
      </c>
      <c r="I2122" s="34" t="s">
        <v>1357</v>
      </c>
      <c r="J2122" s="48"/>
      <c r="K2122" s="48"/>
      <c r="L2122" s="48"/>
      <c r="M2122" s="48"/>
      <c r="N2122" s="59"/>
      <c r="O2122" s="59"/>
      <c r="P2122" s="59">
        <v>50000</v>
      </c>
      <c r="Q2122" s="268">
        <f t="shared" si="100"/>
        <v>50000</v>
      </c>
      <c r="R2122" s="61">
        <f>IF(O2122=0,0,SUMIFS(Disbursements!$T:$T,Disbursements!$B:$B,'Live Collections'!D2122,Disbursements!$D:$D,'Live Collections'!F2122))</f>
        <v>0</v>
      </c>
      <c r="S2122" s="304">
        <f>IF(O2122&lt;=IF($O2122=0,0,SUMIFS(Disbursements!$W:$W,Disbursements!$B:$B,'Live Collections'!D2951,Disbursements!$D:$D,'Live Collections'!F2951)),O2122,IF($O2122=0,0,SUMIFS(Disbursements!$W:$W,Disbursements!$B:$B,'Live Collections'!D2951,Disbursements!$D:$D,'Live Collections'!F2951)))</f>
        <v>0</v>
      </c>
      <c r="T2122" s="304">
        <f t="shared" si="102"/>
        <v>0</v>
      </c>
      <c r="U2122" s="52"/>
      <c r="V2122" s="34"/>
      <c r="W2122" s="408"/>
    </row>
    <row r="2123" spans="1:23" ht="12.75" customHeight="1" x14ac:dyDescent="0.2">
      <c r="A2123" s="257">
        <v>2096</v>
      </c>
      <c r="B2123" s="44">
        <v>44533</v>
      </c>
      <c r="C2123" s="44">
        <f t="shared" si="101"/>
        <v>44533</v>
      </c>
      <c r="D2123" s="374">
        <v>287</v>
      </c>
      <c r="E2123" s="291" t="str">
        <f>IFERROR(VLOOKUP($D2123,'Clients-Live'!$A:$C,3,0),"")</f>
        <v>FAITH JOSEPHINE</v>
      </c>
      <c r="F2123" s="291">
        <f>IFERROR(INDEX(Disbursements!$D:$D,MATCH('Live Collections'!G2123,Disbursements!$C:$C,0)),"")</f>
        <v>1</v>
      </c>
      <c r="G2123" s="34">
        <v>350</v>
      </c>
      <c r="H2123" s="34">
        <v>3699</v>
      </c>
      <c r="I2123" s="34" t="s">
        <v>1359</v>
      </c>
      <c r="J2123" s="48"/>
      <c r="K2123" s="48"/>
      <c r="L2123" s="48"/>
      <c r="M2123" s="48"/>
      <c r="N2123" s="59"/>
      <c r="O2123" s="59"/>
      <c r="P2123" s="59">
        <v>60000</v>
      </c>
      <c r="Q2123" s="268">
        <f t="shared" si="100"/>
        <v>60000</v>
      </c>
      <c r="R2123" s="61">
        <f>IF(O2123=0,0,SUMIFS(Disbursements!$T:$T,Disbursements!$B:$B,'Live Collections'!D2123,Disbursements!$D:$D,'Live Collections'!F2123))</f>
        <v>0</v>
      </c>
      <c r="S2123" s="304">
        <f>IF(O2123&lt;=IF($O2123=0,0,SUMIFS(Disbursements!$W:$W,Disbursements!$B:$B,'Live Collections'!D3033,Disbursements!$D:$D,'Live Collections'!F3033)),O2123,IF($O2123=0,0,SUMIFS(Disbursements!$W:$W,Disbursements!$B:$B,'Live Collections'!D3033,Disbursements!$D:$D,'Live Collections'!F3033)))</f>
        <v>0</v>
      </c>
      <c r="T2123" s="304">
        <f t="shared" si="102"/>
        <v>0</v>
      </c>
      <c r="U2123" s="52"/>
      <c r="V2123" s="34"/>
      <c r="W2123" s="408"/>
    </row>
    <row r="2124" spans="1:23" ht="12.75" customHeight="1" x14ac:dyDescent="0.2">
      <c r="A2124" s="257">
        <v>2111</v>
      </c>
      <c r="B2124" s="44">
        <v>44534</v>
      </c>
      <c r="C2124" s="44">
        <f t="shared" si="101"/>
        <v>44534</v>
      </c>
      <c r="D2124" s="374">
        <v>9</v>
      </c>
      <c r="E2124" s="291" t="str">
        <f>IFERROR(VLOOKUP($D2124,'Clients-Live'!$A:$C,3,0),"")</f>
        <v>TABAN DAVID YAYA</v>
      </c>
      <c r="F2124" s="291">
        <f>IFERROR(INDEX(Disbursements!$D:$D,MATCH('Live Collections'!G2124,Disbursements!$C:$C,0)),"")</f>
        <v>2</v>
      </c>
      <c r="G2124" s="34">
        <v>221</v>
      </c>
      <c r="H2124" s="34">
        <v>3801</v>
      </c>
      <c r="I2124" s="34" t="s">
        <v>1357</v>
      </c>
      <c r="J2124" s="48"/>
      <c r="K2124" s="48"/>
      <c r="L2124" s="48"/>
      <c r="M2124" s="48"/>
      <c r="N2124" s="59"/>
      <c r="O2124" s="59">
        <v>100000</v>
      </c>
      <c r="P2124" s="59"/>
      <c r="Q2124" s="268">
        <f t="shared" si="100"/>
        <v>100000</v>
      </c>
      <c r="R2124" s="61">
        <f>IF(O2124=0,0,SUMIFS(Disbursements!$T:$T,Disbursements!$B:$B,'Live Collections'!D2124,Disbursements!$D:$D,'Live Collections'!F2124))</f>
        <v>360000</v>
      </c>
      <c r="S2124" s="304">
        <f>IF(O2124&lt;=IF($O2124=0,0,SUMIFS(Disbursements!$W:$W,Disbursements!$B:$B,'Live Collections'!D92,Disbursements!$D:$D,'Live Collections'!F92)),O2124,IF($O2124=0,0,SUMIFS(Disbursements!$W:$W,Disbursements!$B:$B,'Live Collections'!D92,Disbursements!$D:$D,'Live Collections'!F92)))</f>
        <v>0</v>
      </c>
      <c r="T2124" s="304">
        <f t="shared" si="102"/>
        <v>100000</v>
      </c>
      <c r="U2124" s="52"/>
      <c r="V2124" s="34"/>
      <c r="W2124" s="408"/>
    </row>
    <row r="2125" spans="1:23" ht="12.75" customHeight="1" x14ac:dyDescent="0.2">
      <c r="A2125" s="257">
        <v>2109</v>
      </c>
      <c r="B2125" s="44">
        <v>44534</v>
      </c>
      <c r="C2125" s="44">
        <f t="shared" si="101"/>
        <v>44534</v>
      </c>
      <c r="D2125" s="374">
        <v>30</v>
      </c>
      <c r="E2125" s="291" t="str">
        <f>IFERROR(VLOOKUP($D2125,'Clients-Live'!$A:$C,3,0),"")</f>
        <v>SITARAYA PATRICIA IDERU</v>
      </c>
      <c r="F2125" s="291">
        <f>IFERROR(INDEX(Disbursements!$D:$D,MATCH('Live Collections'!G2125,Disbursements!$C:$C,0)),"")</f>
        <v>1</v>
      </c>
      <c r="G2125" s="34">
        <v>18</v>
      </c>
      <c r="H2125" s="34">
        <v>3804</v>
      </c>
      <c r="I2125" s="34" t="s">
        <v>1358</v>
      </c>
      <c r="J2125" s="48"/>
      <c r="K2125" s="48"/>
      <c r="L2125" s="48"/>
      <c r="M2125" s="48"/>
      <c r="N2125" s="59"/>
      <c r="O2125" s="59">
        <v>30000</v>
      </c>
      <c r="P2125" s="59"/>
      <c r="Q2125" s="268">
        <f t="shared" si="100"/>
        <v>30000</v>
      </c>
      <c r="R2125" s="61">
        <f>IF(O2125=0,0,SUMIFS(Disbursements!$T:$T,Disbursements!$B:$B,'Live Collections'!D2125,Disbursements!$D:$D,'Live Collections'!F2125))</f>
        <v>120000</v>
      </c>
      <c r="S2125" s="304"/>
      <c r="T2125" s="304">
        <f t="shared" si="102"/>
        <v>30000</v>
      </c>
      <c r="U2125" s="52"/>
      <c r="V2125" s="34"/>
      <c r="W2125" s="408"/>
    </row>
    <row r="2126" spans="1:23" ht="12.75" customHeight="1" x14ac:dyDescent="0.2">
      <c r="A2126" s="257">
        <v>2112</v>
      </c>
      <c r="B2126" s="44">
        <v>44534</v>
      </c>
      <c r="C2126" s="44">
        <f t="shared" si="101"/>
        <v>44534</v>
      </c>
      <c r="D2126" s="374">
        <v>66</v>
      </c>
      <c r="E2126" s="291" t="str">
        <f>IFERROR(VLOOKUP($D2126,'Clients-Live'!$A:$C,3,0),"")</f>
        <v>DENAYA NYAMAZA</v>
      </c>
      <c r="F2126" s="291">
        <f>IFERROR(INDEX(Disbursements!$D:$D,MATCH('Live Collections'!G2126,Disbursements!$C:$C,0)),"")</f>
        <v>2</v>
      </c>
      <c r="G2126" s="34">
        <v>300</v>
      </c>
      <c r="H2126" s="34">
        <v>3802</v>
      </c>
      <c r="I2126" s="34" t="s">
        <v>1357</v>
      </c>
      <c r="J2126" s="48"/>
      <c r="K2126" s="48"/>
      <c r="L2126" s="48"/>
      <c r="M2126" s="48"/>
      <c r="N2126" s="59"/>
      <c r="O2126" s="59">
        <v>100000</v>
      </c>
      <c r="P2126" s="59"/>
      <c r="Q2126" s="268">
        <f t="shared" si="100"/>
        <v>100000</v>
      </c>
      <c r="R2126" s="61">
        <f>IF(O2126=0,0,SUMIFS(Disbursements!$T:$T,Disbursements!$B:$B,'Live Collections'!D2126,Disbursements!$D:$D,'Live Collections'!F2126))</f>
        <v>109000</v>
      </c>
      <c r="S2126" s="304">
        <f>IF(O2126&lt;=IF($O2126=0,0,SUMIFS(Disbursements!$W:$W,Disbursements!$B:$B,'Live Collections'!D815,Disbursements!$D:$D,'Live Collections'!F815)),O2126,IF($O2126=0,0,SUMIFS(Disbursements!$W:$W,Disbursements!$B:$B,'Live Collections'!D815,Disbursements!$D:$D,'Live Collections'!F815)))</f>
        <v>100000</v>
      </c>
      <c r="T2126" s="304">
        <f t="shared" si="102"/>
        <v>0</v>
      </c>
      <c r="U2126" s="52"/>
      <c r="V2126" s="34"/>
      <c r="W2126" s="408"/>
    </row>
    <row r="2127" spans="1:23" ht="12.75" customHeight="1" x14ac:dyDescent="0.2">
      <c r="A2127" s="257">
        <v>2118</v>
      </c>
      <c r="B2127" s="44">
        <v>44534</v>
      </c>
      <c r="C2127" s="44">
        <f t="shared" si="101"/>
        <v>44534</v>
      </c>
      <c r="D2127" s="374">
        <v>78</v>
      </c>
      <c r="E2127" s="291" t="str">
        <f>IFERROR(VLOOKUP($D2127,'Clients-Live'!$A:$C,3,0),"")</f>
        <v>DIPIYO BEATRICE JOHN</v>
      </c>
      <c r="F2127" s="291">
        <f>IFERROR(INDEX(Disbursements!$D:$D,MATCH('Live Collections'!G2127,Disbursements!$C:$C,0)),"")</f>
        <v>2</v>
      </c>
      <c r="G2127" s="34">
        <v>351</v>
      </c>
      <c r="H2127" s="34">
        <v>3858</v>
      </c>
      <c r="I2127" s="34" t="s">
        <v>1359</v>
      </c>
      <c r="J2127" s="48"/>
      <c r="K2127" s="48"/>
      <c r="L2127" s="48"/>
      <c r="M2127" s="48"/>
      <c r="N2127" s="59"/>
      <c r="O2127" s="59"/>
      <c r="P2127" s="59">
        <v>180000</v>
      </c>
      <c r="Q2127" s="268">
        <f t="shared" si="100"/>
        <v>180000</v>
      </c>
      <c r="R2127" s="61">
        <f>IF(O2127=0,0,SUMIFS(Disbursements!$T:$T,Disbursements!$B:$B,'Live Collections'!D2127,Disbursements!$D:$D,'Live Collections'!F2127))</f>
        <v>0</v>
      </c>
      <c r="S2127" s="304">
        <f>IF(O2127&lt;=IF($O2127=0,0,SUMIFS(Disbursements!$W:$W,Disbursements!$B:$B,'Live Collections'!D1007,Disbursements!$D:$D,'Live Collections'!F1007)),O2127,IF($O2127=0,0,SUMIFS(Disbursements!$W:$W,Disbursements!$B:$B,'Live Collections'!D1007,Disbursements!$D:$D,'Live Collections'!F1007)))</f>
        <v>0</v>
      </c>
      <c r="T2127" s="304">
        <f t="shared" si="102"/>
        <v>0</v>
      </c>
      <c r="U2127" s="52"/>
      <c r="V2127" s="34"/>
      <c r="W2127" s="408"/>
    </row>
    <row r="2128" spans="1:23" ht="12.75" customHeight="1" x14ac:dyDescent="0.2">
      <c r="A2128" s="257">
        <v>2113</v>
      </c>
      <c r="B2128" s="44">
        <v>44534</v>
      </c>
      <c r="C2128" s="44">
        <f t="shared" si="101"/>
        <v>44534</v>
      </c>
      <c r="D2128" s="374">
        <v>89</v>
      </c>
      <c r="E2128" s="291" t="str">
        <f>IFERROR(VLOOKUP($D2128,'Clients-Live'!$A:$C,3,0),"")</f>
        <v>ANDA FLORENCE</v>
      </c>
      <c r="F2128" s="291">
        <f>IFERROR(INDEX(Disbursements!$D:$D,MATCH('Live Collections'!G2128,Disbursements!$C:$C,0)),"")</f>
        <v>2</v>
      </c>
      <c r="G2128" s="34">
        <v>356</v>
      </c>
      <c r="H2128" s="34">
        <v>3864</v>
      </c>
      <c r="I2128" s="34" t="s">
        <v>1359</v>
      </c>
      <c r="J2128" s="48"/>
      <c r="K2128" s="48"/>
      <c r="L2128" s="48"/>
      <c r="M2128" s="48"/>
      <c r="N2128" s="59"/>
      <c r="O2128" s="59"/>
      <c r="P2128" s="59">
        <v>70000</v>
      </c>
      <c r="Q2128" s="268">
        <f t="shared" si="100"/>
        <v>70000</v>
      </c>
      <c r="R2128" s="61">
        <f>IF(O2128=0,0,SUMIFS(Disbursements!$T:$T,Disbursements!$B:$B,'Live Collections'!D2128,Disbursements!$D:$D,'Live Collections'!F2128))</f>
        <v>0</v>
      </c>
      <c r="S2128" s="304">
        <f>IF(O2128&lt;=IF($O2128=0,0,SUMIFS(Disbursements!$W:$W,Disbursements!$B:$B,'Live Collections'!D1167,Disbursements!$D:$D,'Live Collections'!F1167)),O2128,IF($O2128=0,0,SUMIFS(Disbursements!$W:$W,Disbursements!$B:$B,'Live Collections'!D1167,Disbursements!$D:$D,'Live Collections'!F1167)))</f>
        <v>0</v>
      </c>
      <c r="T2128" s="304">
        <f t="shared" si="102"/>
        <v>0</v>
      </c>
      <c r="U2128" s="52"/>
      <c r="V2128" s="34"/>
      <c r="W2128" s="408"/>
    </row>
    <row r="2129" spans="1:23" ht="12.75" customHeight="1" x14ac:dyDescent="0.2">
      <c r="A2129" s="257">
        <v>2115</v>
      </c>
      <c r="B2129" s="44">
        <v>44534</v>
      </c>
      <c r="C2129" s="44">
        <f t="shared" si="101"/>
        <v>44534</v>
      </c>
      <c r="D2129" s="374">
        <v>118</v>
      </c>
      <c r="E2129" s="291" t="str">
        <f>IFERROR(VLOOKUP($D2129,'Clients-Live'!$A:$C,3,0),"")</f>
        <v>ONYANGO CHARLES JOGOO</v>
      </c>
      <c r="F2129" s="291">
        <f>IFERROR(INDEX(Disbursements!$D:$D,MATCH('Live Collections'!G2129,Disbursements!$C:$C,0)),"")</f>
        <v>1</v>
      </c>
      <c r="G2129" s="34">
        <v>109</v>
      </c>
      <c r="H2129" s="34">
        <v>3861</v>
      </c>
      <c r="I2129" s="34" t="s">
        <v>1358</v>
      </c>
      <c r="J2129" s="48"/>
      <c r="K2129" s="48"/>
      <c r="L2129" s="48"/>
      <c r="M2129" s="48"/>
      <c r="N2129" s="59"/>
      <c r="O2129" s="59">
        <v>200000</v>
      </c>
      <c r="P2129" s="59"/>
      <c r="Q2129" s="268">
        <f t="shared" si="100"/>
        <v>200000</v>
      </c>
      <c r="R2129" s="61">
        <f>IF(O2129=0,0,SUMIFS(Disbursements!$T:$T,Disbursements!$B:$B,'Live Collections'!D2129,Disbursements!$D:$D,'Live Collections'!F2129))</f>
        <v>217000</v>
      </c>
      <c r="S2129" s="304">
        <f>IF(O2129&lt;=IF($O2129=0,0,SUMIFS(Disbursements!$W:$W,Disbursements!$B:$B,'Live Collections'!D1531,Disbursements!$D:$D,'Live Collections'!F1531)),O2129,IF($O2129=0,0,SUMIFS(Disbursements!$W:$W,Disbursements!$B:$B,'Live Collections'!D1531,Disbursements!$D:$D,'Live Collections'!F1531)))</f>
        <v>0</v>
      </c>
      <c r="T2129" s="304">
        <f t="shared" si="102"/>
        <v>200000</v>
      </c>
      <c r="U2129" s="52"/>
      <c r="V2129" s="34"/>
      <c r="W2129" s="408"/>
    </row>
    <row r="2130" spans="1:23" ht="12.75" customHeight="1" x14ac:dyDescent="0.2">
      <c r="A2130" s="257">
        <v>2107</v>
      </c>
      <c r="B2130" s="44">
        <v>44534</v>
      </c>
      <c r="C2130" s="44">
        <f t="shared" si="101"/>
        <v>44534</v>
      </c>
      <c r="D2130" s="374">
        <v>132</v>
      </c>
      <c r="E2130" s="291" t="str">
        <f>IFERROR(VLOOKUP($D2130,'Clients-Live'!$A:$C,3,0),"")</f>
        <v>MANIYO JOICE</v>
      </c>
      <c r="F2130" s="291" t="str">
        <f>IFERROR(INDEX(Disbursements!$D:$D,MATCH('Live Collections'!G2130,Disbursements!$C:$C,0)),"")</f>
        <v/>
      </c>
      <c r="G2130" s="34"/>
      <c r="H2130" s="34">
        <v>3803</v>
      </c>
      <c r="I2130" s="34" t="s">
        <v>1716</v>
      </c>
      <c r="J2130" s="48"/>
      <c r="K2130" s="48"/>
      <c r="L2130" s="48">
        <v>10000</v>
      </c>
      <c r="M2130" s="48">
        <v>5000</v>
      </c>
      <c r="N2130" s="59"/>
      <c r="O2130" s="59"/>
      <c r="P2130" s="59"/>
      <c r="Q2130" s="268">
        <f t="shared" si="100"/>
        <v>15000</v>
      </c>
      <c r="R2130" s="61">
        <f>IF(O2130=0,0,SUMIFS(Disbursements!$T:$T,Disbursements!$B:$B,'Live Collections'!D2130,Disbursements!$D:$D,'Live Collections'!F2130))</f>
        <v>0</v>
      </c>
      <c r="S2130" s="304">
        <f>IF(O2130&lt;=IF($O2130=0,0,SUMIFS(Disbursements!$W:$W,Disbursements!$B:$B,'Live Collections'!D1672,Disbursements!$D:$D,'Live Collections'!F1672)),O2130,IF($O2130=0,0,SUMIFS(Disbursements!$W:$W,Disbursements!$B:$B,'Live Collections'!D1672,Disbursements!$D:$D,'Live Collections'!F1672)))</f>
        <v>0</v>
      </c>
      <c r="T2130" s="304">
        <f t="shared" si="102"/>
        <v>0</v>
      </c>
      <c r="U2130" s="52"/>
      <c r="V2130" s="34"/>
      <c r="W2130" s="408"/>
    </row>
    <row r="2131" spans="1:23" ht="12.75" customHeight="1" x14ac:dyDescent="0.2">
      <c r="A2131" s="257">
        <v>2106</v>
      </c>
      <c r="B2131" s="44">
        <v>44534</v>
      </c>
      <c r="C2131" s="44">
        <f t="shared" si="101"/>
        <v>44534</v>
      </c>
      <c r="D2131" s="374">
        <v>155</v>
      </c>
      <c r="E2131" s="291" t="str">
        <f>IFERROR(VLOOKUP($D2131,'Clients-Live'!$A:$C,3,0),"")</f>
        <v>AROMBORAC SIAMA</v>
      </c>
      <c r="F2131" s="291">
        <f>IFERROR(INDEX(Disbursements!$D:$D,MATCH('Live Collections'!G2131,Disbursements!$C:$C,0)),"")</f>
        <v>2</v>
      </c>
      <c r="G2131" s="34">
        <v>355</v>
      </c>
      <c r="H2131" s="34">
        <v>3807</v>
      </c>
      <c r="I2131" s="34" t="s">
        <v>1358</v>
      </c>
      <c r="J2131" s="48"/>
      <c r="K2131" s="48"/>
      <c r="L2131" s="48"/>
      <c r="M2131" s="48"/>
      <c r="N2131" s="59"/>
      <c r="O2131" s="59"/>
      <c r="P2131" s="59">
        <v>20000</v>
      </c>
      <c r="Q2131" s="268">
        <f t="shared" si="100"/>
        <v>20000</v>
      </c>
      <c r="R2131" s="61">
        <f>IF(O2131=0,0,SUMIFS(Disbursements!$T:$T,Disbursements!$B:$B,'Live Collections'!D2131,Disbursements!$D:$D,'Live Collections'!F2131))</f>
        <v>0</v>
      </c>
      <c r="S2131" s="304">
        <f>IF(O2131&lt;=IF($O2131=0,0,SUMIFS(Disbursements!$W:$W,Disbursements!$B:$B,'Live Collections'!D1940,Disbursements!$D:$D,'Live Collections'!F1940)),O2131,IF($O2131=0,0,SUMIFS(Disbursements!$W:$W,Disbursements!$B:$B,'Live Collections'!D1940,Disbursements!$D:$D,'Live Collections'!F1940)))</f>
        <v>0</v>
      </c>
      <c r="T2131" s="304">
        <f t="shared" si="102"/>
        <v>0</v>
      </c>
      <c r="U2131" s="52"/>
      <c r="V2131" s="34"/>
      <c r="W2131" s="408"/>
    </row>
    <row r="2132" spans="1:23" ht="12.75" customHeight="1" x14ac:dyDescent="0.2">
      <c r="A2132" s="257">
        <v>2114</v>
      </c>
      <c r="B2132" s="44">
        <v>44534</v>
      </c>
      <c r="C2132" s="44">
        <f t="shared" si="101"/>
        <v>44534</v>
      </c>
      <c r="D2132" s="374">
        <v>192</v>
      </c>
      <c r="E2132" s="291" t="str">
        <f>IFERROR(VLOOKUP($D2132,'Clients-Live'!$A:$C,3,0),"")</f>
        <v>MAZARAU AISHA</v>
      </c>
      <c r="F2132" s="291">
        <f>IFERROR(INDEX(Disbursements!$D:$D,MATCH('Live Collections'!G2132,Disbursements!$C:$C,0)),"")</f>
        <v>2</v>
      </c>
      <c r="G2132" s="34">
        <v>354</v>
      </c>
      <c r="H2132" s="34">
        <v>3857</v>
      </c>
      <c r="I2132" s="34" t="s">
        <v>1357</v>
      </c>
      <c r="J2132" s="48"/>
      <c r="K2132" s="48"/>
      <c r="L2132" s="48"/>
      <c r="M2132" s="48"/>
      <c r="N2132" s="59"/>
      <c r="O2132" s="59"/>
      <c r="P2132" s="59">
        <v>40000</v>
      </c>
      <c r="Q2132" s="268">
        <f t="shared" si="100"/>
        <v>40000</v>
      </c>
      <c r="R2132" s="61">
        <f>IF(O2132=0,0,SUMIFS(Disbursements!$T:$T,Disbursements!$B:$B,'Live Collections'!D2132,Disbursements!$D:$D,'Live Collections'!F2132))</f>
        <v>0</v>
      </c>
      <c r="S2132" s="304">
        <f>IF(O2132&lt;=IF($O2132=0,0,SUMIFS(Disbursements!$W:$W,Disbursements!$B:$B,'Live Collections'!D2335,Disbursements!$D:$D,'Live Collections'!F2335)),O2132,IF($O2132=0,0,SUMIFS(Disbursements!$W:$W,Disbursements!$B:$B,'Live Collections'!D2335,Disbursements!$D:$D,'Live Collections'!F2335)))</f>
        <v>0</v>
      </c>
      <c r="T2132" s="304">
        <f t="shared" si="102"/>
        <v>0</v>
      </c>
      <c r="U2132" s="52"/>
      <c r="V2132" s="34"/>
      <c r="W2132" s="408"/>
    </row>
    <row r="2133" spans="1:23" ht="12.75" customHeight="1" x14ac:dyDescent="0.2">
      <c r="A2133" s="257">
        <v>2108</v>
      </c>
      <c r="B2133" s="44">
        <v>44534</v>
      </c>
      <c r="C2133" s="44">
        <f t="shared" si="101"/>
        <v>44534</v>
      </c>
      <c r="D2133" s="374">
        <v>229</v>
      </c>
      <c r="E2133" s="291" t="str">
        <f>IFERROR(VLOOKUP($D2133,'Clients-Live'!$A:$C,3,0),"")</f>
        <v>DAWA ANNET</v>
      </c>
      <c r="F2133" s="291">
        <f>IFERROR(INDEX(Disbursements!$D:$D,MATCH('Live Collections'!G2133,Disbursements!$C:$C,0)),"")</f>
        <v>1</v>
      </c>
      <c r="G2133" s="34">
        <v>254</v>
      </c>
      <c r="H2133" s="34">
        <v>3805</v>
      </c>
      <c r="I2133" s="34" t="s">
        <v>1357</v>
      </c>
      <c r="J2133" s="48"/>
      <c r="K2133" s="48"/>
      <c r="L2133" s="48"/>
      <c r="M2133" s="48"/>
      <c r="N2133" s="59"/>
      <c r="O2133" s="59">
        <v>300000</v>
      </c>
      <c r="P2133" s="59"/>
      <c r="Q2133" s="268">
        <f t="shared" si="100"/>
        <v>300000</v>
      </c>
      <c r="R2133" s="61">
        <f>IF(O2133=0,0,SUMIFS(Disbursements!$T:$T,Disbursements!$B:$B,'Live Collections'!D2133,Disbursements!$D:$D,'Live Collections'!F2133))</f>
        <v>300000</v>
      </c>
      <c r="S2133" s="304">
        <f>IF(O2133&lt;=IF($O2133=0,0,SUMIFS(Disbursements!$W:$W,Disbursements!$B:$B,'Live Collections'!D2670,Disbursements!$D:$D,'Live Collections'!F2670)),O2133,IF($O2133=0,0,SUMIFS(Disbursements!$W:$W,Disbursements!$B:$B,'Live Collections'!D2670,Disbursements!$D:$D,'Live Collections'!F2670)))</f>
        <v>10000</v>
      </c>
      <c r="T2133" s="304">
        <f t="shared" si="102"/>
        <v>290000</v>
      </c>
      <c r="U2133" s="52"/>
      <c r="V2133" s="34"/>
      <c r="W2133" s="408"/>
    </row>
    <row r="2134" spans="1:23" ht="12.75" customHeight="1" x14ac:dyDescent="0.2">
      <c r="A2134" s="257">
        <v>2110</v>
      </c>
      <c r="B2134" s="44">
        <v>44534</v>
      </c>
      <c r="C2134" s="44">
        <f t="shared" si="101"/>
        <v>44534</v>
      </c>
      <c r="D2134" s="374">
        <v>264</v>
      </c>
      <c r="E2134" s="291" t="str">
        <f>IFERROR(VLOOKUP($D2134,'Clients-Live'!$A:$C,3,0),"")</f>
        <v>AMORI JOHN BAPTIST</v>
      </c>
      <c r="F2134" s="291">
        <f>IFERROR(INDEX(Disbursements!$D:$D,MATCH('Live Collections'!G2134,Disbursements!$C:$C,0)),"")</f>
        <v>1</v>
      </c>
      <c r="G2134" s="34">
        <v>298</v>
      </c>
      <c r="H2134" s="34">
        <v>3865</v>
      </c>
      <c r="I2134" s="34" t="s">
        <v>1359</v>
      </c>
      <c r="J2134" s="48"/>
      <c r="K2134" s="48"/>
      <c r="L2134" s="48"/>
      <c r="M2134" s="48"/>
      <c r="N2134" s="59"/>
      <c r="O2134" s="59">
        <v>250000</v>
      </c>
      <c r="P2134" s="59"/>
      <c r="Q2134" s="268">
        <f t="shared" si="100"/>
        <v>250000</v>
      </c>
      <c r="R2134" s="61">
        <f>IF(O2134=0,0,SUMIFS(Disbursements!$T:$T,Disbursements!$B:$B,'Live Collections'!D2134,Disbursements!$D:$D,'Live Collections'!F2134))</f>
        <v>1084000</v>
      </c>
      <c r="S2134" s="304">
        <f>IF(O2134&lt;=IF($O2134=0,0,SUMIFS(Disbursements!$W:$W,Disbursements!$B:$B,'Live Collections'!D2911,Disbursements!$D:$D,'Live Collections'!F2911)),O2134,IF($O2134=0,0,SUMIFS(Disbursements!$W:$W,Disbursements!$B:$B,'Live Collections'!D2911,Disbursements!$D:$D,'Live Collections'!F2911)))</f>
        <v>0</v>
      </c>
      <c r="T2134" s="304">
        <f t="shared" si="102"/>
        <v>250000</v>
      </c>
      <c r="U2134" s="52"/>
      <c r="V2134" s="34"/>
      <c r="W2134" s="408"/>
    </row>
    <row r="2135" spans="1:23" ht="12.75" customHeight="1" x14ac:dyDescent="0.2">
      <c r="A2135" s="257">
        <v>2117</v>
      </c>
      <c r="B2135" s="44">
        <v>44534</v>
      </c>
      <c r="C2135" s="44">
        <f t="shared" si="101"/>
        <v>44534</v>
      </c>
      <c r="D2135" s="374">
        <v>278</v>
      </c>
      <c r="E2135" s="291" t="str">
        <f>IFERROR(VLOOKUP($D2135,'Clients-Live'!$A:$C,3,0),"")</f>
        <v>AATE SUZAN</v>
      </c>
      <c r="F2135" s="291">
        <f>IFERROR(INDEX(Disbursements!$D:$D,MATCH('Live Collections'!G2135,Disbursements!$C:$C,0)),"")</f>
        <v>1</v>
      </c>
      <c r="G2135" s="34">
        <v>308</v>
      </c>
      <c r="H2135" s="34">
        <v>3859</v>
      </c>
      <c r="I2135" s="34" t="s">
        <v>1359</v>
      </c>
      <c r="J2135" s="48"/>
      <c r="K2135" s="48"/>
      <c r="L2135" s="48"/>
      <c r="M2135" s="48"/>
      <c r="N2135" s="59"/>
      <c r="O2135" s="59">
        <v>60000</v>
      </c>
      <c r="P2135" s="59"/>
      <c r="Q2135" s="268">
        <f t="shared" si="100"/>
        <v>60000</v>
      </c>
      <c r="R2135" s="61">
        <f>IF(O2135=0,0,SUMIFS(Disbursements!$T:$T,Disbursements!$B:$B,'Live Collections'!D2135,Disbursements!$D:$D,'Live Collections'!F2135))</f>
        <v>60000</v>
      </c>
      <c r="S2135" s="64">
        <v>40000</v>
      </c>
      <c r="T2135" s="304">
        <f t="shared" si="102"/>
        <v>20000</v>
      </c>
      <c r="U2135" s="52"/>
      <c r="V2135" s="34"/>
      <c r="W2135" s="408"/>
    </row>
    <row r="2136" spans="1:23" ht="12.75" customHeight="1" x14ac:dyDescent="0.2">
      <c r="A2136" s="257">
        <v>2116</v>
      </c>
      <c r="B2136" s="44">
        <v>44534</v>
      </c>
      <c r="C2136" s="44">
        <f t="shared" si="101"/>
        <v>44534</v>
      </c>
      <c r="D2136" s="374">
        <v>289</v>
      </c>
      <c r="E2136" s="291" t="str">
        <f>IFERROR(VLOOKUP($D2136,'Clients-Live'!$A:$C,3,0),"")</f>
        <v>NAUME NIGHT</v>
      </c>
      <c r="F2136" s="291">
        <f>IFERROR(INDEX(Disbursements!$D:$D,MATCH('Live Collections'!G2136,Disbursements!$C:$C,0)),"")</f>
        <v>1</v>
      </c>
      <c r="G2136" s="34">
        <v>353</v>
      </c>
      <c r="H2136" s="34">
        <v>3856</v>
      </c>
      <c r="I2136" s="34" t="s">
        <v>1357</v>
      </c>
      <c r="J2136" s="48"/>
      <c r="K2136" s="48"/>
      <c r="L2136" s="48"/>
      <c r="M2136" s="48"/>
      <c r="N2136" s="59"/>
      <c r="O2136" s="59"/>
      <c r="P2136" s="59">
        <v>50000</v>
      </c>
      <c r="Q2136" s="268">
        <f t="shared" si="100"/>
        <v>50000</v>
      </c>
      <c r="R2136" s="61">
        <f>IF(O2136=0,0,SUMIFS(Disbursements!$T:$T,Disbursements!$B:$B,'Live Collections'!D2136,Disbursements!$D:$D,'Live Collections'!F2136))</f>
        <v>0</v>
      </c>
      <c r="S2136" s="304">
        <f>IF(O2136&lt;=IF($O2136=0,0,SUMIFS(Disbursements!$W:$W,Disbursements!$B:$B,'Live Collections'!D3043,Disbursements!$D:$D,'Live Collections'!F3043)),O2136,IF($O2136=0,0,SUMIFS(Disbursements!$W:$W,Disbursements!$B:$B,'Live Collections'!D3043,Disbursements!$D:$D,'Live Collections'!F3043)))</f>
        <v>0</v>
      </c>
      <c r="T2136" s="304">
        <f t="shared" si="102"/>
        <v>0</v>
      </c>
      <c r="U2136" s="52"/>
      <c r="V2136" s="34"/>
      <c r="W2136" s="408"/>
    </row>
    <row r="2137" spans="1:23" ht="12.75" customHeight="1" x14ac:dyDescent="0.2">
      <c r="A2137" s="257">
        <v>2104</v>
      </c>
      <c r="B2137" s="44">
        <v>44534</v>
      </c>
      <c r="C2137" s="44">
        <f t="shared" si="101"/>
        <v>44534</v>
      </c>
      <c r="D2137" s="374">
        <v>298</v>
      </c>
      <c r="E2137" s="291" t="str">
        <f>IFERROR(VLOOKUP($D2137,'Clients-Live'!$A:$C,3,0),"")</f>
        <v>AKULIA STELLA</v>
      </c>
      <c r="F2137" s="291" t="str">
        <f>IFERROR(INDEX(Disbursements!$D:$D,MATCH('Live Collections'!G2137,Disbursements!$C:$C,0)),"")</f>
        <v/>
      </c>
      <c r="G2137" s="34"/>
      <c r="H2137" s="34">
        <v>3809</v>
      </c>
      <c r="I2137" s="34" t="s">
        <v>1716</v>
      </c>
      <c r="J2137" s="48"/>
      <c r="K2137" s="48"/>
      <c r="L2137" s="48">
        <v>10000</v>
      </c>
      <c r="M2137" s="48">
        <v>5000</v>
      </c>
      <c r="N2137" s="59"/>
      <c r="O2137" s="59"/>
      <c r="P2137" s="59"/>
      <c r="Q2137" s="268">
        <f t="shared" si="100"/>
        <v>15000</v>
      </c>
      <c r="R2137" s="61">
        <f>IF(O2137=0,0,SUMIFS(Disbursements!$T:$T,Disbursements!$B:$B,'Live Collections'!D2137,Disbursements!$D:$D,'Live Collections'!F2137))</f>
        <v>0</v>
      </c>
      <c r="S2137" s="304">
        <f>IF(O2137&lt;=IF($O2137=0,0,SUMIFS(Disbursements!$W:$W,Disbursements!$B:$B,'Live Collections'!D3070,Disbursements!$D:$D,'Live Collections'!F3070)),O2137,IF($O2137=0,0,SUMIFS(Disbursements!$W:$W,Disbursements!$B:$B,'Live Collections'!D3070,Disbursements!$D:$D,'Live Collections'!F3070)))</f>
        <v>0</v>
      </c>
      <c r="T2137" s="304">
        <f t="shared" si="102"/>
        <v>0</v>
      </c>
      <c r="U2137" s="52"/>
      <c r="V2137" s="34"/>
      <c r="W2137" s="408"/>
    </row>
    <row r="2138" spans="1:23" ht="12.75" customHeight="1" x14ac:dyDescent="0.2">
      <c r="A2138" s="257">
        <v>2105</v>
      </c>
      <c r="B2138" s="44">
        <v>44534</v>
      </c>
      <c r="C2138" s="44">
        <f t="shared" si="101"/>
        <v>44534</v>
      </c>
      <c r="D2138" s="374">
        <v>298</v>
      </c>
      <c r="E2138" s="291" t="str">
        <f>IFERROR(VLOOKUP($D2138,'Clients-Live'!$A:$C,3,0),"")</f>
        <v>AKULIA STELLA</v>
      </c>
      <c r="F2138" s="291" t="str">
        <f>IFERROR(INDEX(Disbursements!$D:$D,MATCH('Live Collections'!G2138,Disbursements!$C:$C,0)),"")</f>
        <v/>
      </c>
      <c r="G2138" s="34"/>
      <c r="H2138" s="34">
        <v>3808</v>
      </c>
      <c r="I2138" s="34" t="s">
        <v>1716</v>
      </c>
      <c r="J2138" s="48">
        <v>15000</v>
      </c>
      <c r="K2138" s="48">
        <v>5000</v>
      </c>
      <c r="L2138" s="48"/>
      <c r="M2138" s="48"/>
      <c r="N2138" s="59"/>
      <c r="O2138" s="59"/>
      <c r="P2138" s="59"/>
      <c r="Q2138" s="268">
        <f t="shared" si="100"/>
        <v>20000</v>
      </c>
      <c r="R2138" s="61">
        <f>IF(O2138=0,0,SUMIFS(Disbursements!$T:$T,Disbursements!$B:$B,'Live Collections'!D2138,Disbursements!$D:$D,'Live Collections'!F2138))</f>
        <v>0</v>
      </c>
      <c r="S2138" s="304">
        <f>IF(O2138&lt;=IF($O2138=0,0,SUMIFS(Disbursements!$W:$W,Disbursements!$B:$B,'Live Collections'!D3071,Disbursements!$D:$D,'Live Collections'!F3071)),O2138,IF($O2138=0,0,SUMIFS(Disbursements!$W:$W,Disbursements!$B:$B,'Live Collections'!D3071,Disbursements!$D:$D,'Live Collections'!F3071)))</f>
        <v>0</v>
      </c>
      <c r="T2138" s="304">
        <f t="shared" si="102"/>
        <v>0</v>
      </c>
      <c r="U2138" s="52"/>
      <c r="V2138" s="34"/>
      <c r="W2138" s="408"/>
    </row>
    <row r="2139" spans="1:23" ht="12.75" customHeight="1" x14ac:dyDescent="0.2">
      <c r="A2139" s="257">
        <v>2102</v>
      </c>
      <c r="B2139" s="44">
        <v>44534</v>
      </c>
      <c r="C2139" s="44">
        <f t="shared" si="101"/>
        <v>44534</v>
      </c>
      <c r="D2139" s="374">
        <v>299</v>
      </c>
      <c r="E2139" s="291" t="str">
        <f>IFERROR(VLOOKUP($D2139,'Clients-Live'!$A:$C,3,0),"")</f>
        <v>AYOZU FADILA</v>
      </c>
      <c r="F2139" s="291" t="str">
        <f>IFERROR(INDEX(Disbursements!$D:$D,MATCH('Live Collections'!G2139,Disbursements!$C:$C,0)),"")</f>
        <v/>
      </c>
      <c r="G2139" s="34"/>
      <c r="H2139" s="34">
        <v>3812</v>
      </c>
      <c r="I2139" s="34" t="s">
        <v>1716</v>
      </c>
      <c r="J2139" s="48"/>
      <c r="K2139" s="48"/>
      <c r="L2139" s="48">
        <v>10000</v>
      </c>
      <c r="M2139" s="48">
        <v>5000</v>
      </c>
      <c r="N2139" s="59"/>
      <c r="O2139" s="59"/>
      <c r="P2139" s="59"/>
      <c r="Q2139" s="268">
        <f t="shared" si="100"/>
        <v>15000</v>
      </c>
      <c r="R2139" s="61">
        <f>IF(O2139=0,0,SUMIFS(Disbursements!$T:$T,Disbursements!$B:$B,'Live Collections'!D2139,Disbursements!$D:$D,'Live Collections'!F2139))</f>
        <v>0</v>
      </c>
      <c r="S2139" s="304">
        <f>IF(O2139&lt;=IF($O2139=0,0,SUMIFS(Disbursements!$W:$W,Disbursements!$B:$B,'Live Collections'!D3072,Disbursements!$D:$D,'Live Collections'!F3072)),O2139,IF($O2139=0,0,SUMIFS(Disbursements!$W:$W,Disbursements!$B:$B,'Live Collections'!D3072,Disbursements!$D:$D,'Live Collections'!F3072)))</f>
        <v>0</v>
      </c>
      <c r="T2139" s="304">
        <f t="shared" si="102"/>
        <v>0</v>
      </c>
      <c r="U2139" s="52"/>
      <c r="V2139" s="34"/>
      <c r="W2139" s="408"/>
    </row>
    <row r="2140" spans="1:23" ht="12.75" customHeight="1" x14ac:dyDescent="0.2">
      <c r="A2140" s="257">
        <v>2103</v>
      </c>
      <c r="B2140" s="44">
        <v>44534</v>
      </c>
      <c r="C2140" s="44">
        <f t="shared" si="101"/>
        <v>44534</v>
      </c>
      <c r="D2140" s="374">
        <v>299</v>
      </c>
      <c r="E2140" s="291" t="str">
        <f>IFERROR(VLOOKUP($D2140,'Clients-Live'!$A:$C,3,0),"")</f>
        <v>AYOZU FADILA</v>
      </c>
      <c r="F2140" s="291" t="str">
        <f>IFERROR(INDEX(Disbursements!$D:$D,MATCH('Live Collections'!G2140,Disbursements!$C:$C,0)),"")</f>
        <v/>
      </c>
      <c r="G2140" s="34"/>
      <c r="H2140" s="34">
        <v>3811</v>
      </c>
      <c r="I2140" s="34" t="s">
        <v>1716</v>
      </c>
      <c r="J2140" s="48">
        <v>15000</v>
      </c>
      <c r="K2140" s="48">
        <v>5000</v>
      </c>
      <c r="L2140" s="48"/>
      <c r="M2140" s="48"/>
      <c r="N2140" s="59"/>
      <c r="O2140" s="59"/>
      <c r="P2140" s="59"/>
      <c r="Q2140" s="268">
        <f t="shared" si="100"/>
        <v>20000</v>
      </c>
      <c r="R2140" s="61">
        <f>IF(O2140=0,0,SUMIFS(Disbursements!$T:$T,Disbursements!$B:$B,'Live Collections'!D2140,Disbursements!$D:$D,'Live Collections'!F2140))</f>
        <v>0</v>
      </c>
      <c r="S2140" s="304">
        <f>IF(O2140&lt;=IF($O2140=0,0,SUMIFS(Disbursements!$W:$W,Disbursements!$B:$B,'Live Collections'!D3073,Disbursements!$D:$D,'Live Collections'!F3073)),O2140,IF($O2140=0,0,SUMIFS(Disbursements!$W:$W,Disbursements!$B:$B,'Live Collections'!D3073,Disbursements!$D:$D,'Live Collections'!F3073)))</f>
        <v>0</v>
      </c>
      <c r="T2140" s="304">
        <f t="shared" si="102"/>
        <v>0</v>
      </c>
      <c r="U2140" s="52"/>
      <c r="V2140" s="34"/>
      <c r="W2140" s="408"/>
    </row>
    <row r="2141" spans="1:23" ht="12.75" customHeight="1" x14ac:dyDescent="0.2">
      <c r="A2141" s="257">
        <v>2147</v>
      </c>
      <c r="B2141" s="44">
        <v>44536</v>
      </c>
      <c r="C2141" s="44">
        <f t="shared" si="101"/>
        <v>44536</v>
      </c>
      <c r="D2141" s="374">
        <v>11</v>
      </c>
      <c r="E2141" s="291" t="str">
        <f>IFERROR(VLOOKUP($D2141,'Clients-Live'!$A:$C,3,0),"")</f>
        <v>ARIME JUMA</v>
      </c>
      <c r="F2141" s="291">
        <f>IFERROR(INDEX(Disbursements!$D:$D,MATCH('Live Collections'!G2141,Disbursements!$C:$C,0)),"")</f>
        <v>1</v>
      </c>
      <c r="G2141" s="34">
        <v>10</v>
      </c>
      <c r="H2141" s="34">
        <v>3819</v>
      </c>
      <c r="I2141" s="34" t="s">
        <v>1359</v>
      </c>
      <c r="J2141" s="48"/>
      <c r="K2141" s="48"/>
      <c r="L2141" s="48"/>
      <c r="M2141" s="48"/>
      <c r="N2141" s="59"/>
      <c r="O2141" s="59">
        <v>100000</v>
      </c>
      <c r="P2141" s="59"/>
      <c r="Q2141" s="268">
        <f t="shared" si="100"/>
        <v>100000</v>
      </c>
      <c r="R2141" s="61">
        <f>IF(O2141=0,0,SUMIFS(Disbursements!$T:$T,Disbursements!$B:$B,'Live Collections'!D2141,Disbursements!$D:$D,'Live Collections'!F2141))</f>
        <v>109000</v>
      </c>
      <c r="S2141" s="304">
        <f>IF(O2141&lt;=IF($O2141=0,0,SUMIFS(Disbursements!$W:$W,Disbursements!$B:$B,'Live Collections'!D113,Disbursements!$D:$D,'Live Collections'!F113)),O2141,IF($O2141=0,0,SUMIFS(Disbursements!$W:$W,Disbursements!$B:$B,'Live Collections'!D113,Disbursements!$D:$D,'Live Collections'!F113)))</f>
        <v>50333.333333333343</v>
      </c>
      <c r="T2141" s="304">
        <f t="shared" si="102"/>
        <v>49666.666666666657</v>
      </c>
      <c r="U2141" s="52"/>
      <c r="V2141" s="34"/>
      <c r="W2141" s="408"/>
    </row>
    <row r="2142" spans="1:23" ht="12.75" customHeight="1" x14ac:dyDescent="0.2">
      <c r="A2142" s="257">
        <v>2148</v>
      </c>
      <c r="B2142" s="44">
        <v>44536</v>
      </c>
      <c r="C2142" s="44">
        <f t="shared" si="101"/>
        <v>44536</v>
      </c>
      <c r="D2142" s="374">
        <v>20</v>
      </c>
      <c r="E2142" s="291" t="str">
        <f>IFERROR(VLOOKUP($D2142,'Clients-Live'!$A:$C,3,0),"")</f>
        <v>ANDEZO KEVIN</v>
      </c>
      <c r="F2142" s="291">
        <f>IFERROR(INDEX(Disbursements!$D:$D,MATCH('Live Collections'!G2142,Disbursements!$C:$C,0)),"")</f>
        <v>2</v>
      </c>
      <c r="G2142" s="34">
        <v>194</v>
      </c>
      <c r="H2142" s="34">
        <v>3888</v>
      </c>
      <c r="I2142" s="34" t="s">
        <v>1358</v>
      </c>
      <c r="J2142" s="48"/>
      <c r="K2142" s="48"/>
      <c r="L2142" s="48"/>
      <c r="M2142" s="48"/>
      <c r="N2142" s="59"/>
      <c r="O2142" s="59">
        <v>170000</v>
      </c>
      <c r="P2142" s="59"/>
      <c r="Q2142" s="268">
        <f t="shared" si="100"/>
        <v>170000</v>
      </c>
      <c r="R2142" s="61">
        <f>IF(O2142=0,0,SUMIFS(Disbursements!$T:$T,Disbursements!$B:$B,'Live Collections'!D2142,Disbursements!$D:$D,'Live Collections'!F2142))</f>
        <v>200000</v>
      </c>
      <c r="S2142" s="304"/>
      <c r="T2142" s="304">
        <f t="shared" si="102"/>
        <v>170000</v>
      </c>
      <c r="U2142" s="52"/>
      <c r="V2142" s="34"/>
      <c r="W2142" s="408"/>
    </row>
    <row r="2143" spans="1:23" ht="12.75" customHeight="1" x14ac:dyDescent="0.2">
      <c r="A2143" s="257">
        <v>2138</v>
      </c>
      <c r="B2143" s="44">
        <v>44536</v>
      </c>
      <c r="C2143" s="44">
        <f t="shared" si="101"/>
        <v>44536</v>
      </c>
      <c r="D2143" s="374">
        <v>42</v>
      </c>
      <c r="E2143" s="291" t="str">
        <f>IFERROR(VLOOKUP($D2143,'Clients-Live'!$A:$C,3,0),"")</f>
        <v>ABAU   NOLA</v>
      </c>
      <c r="F2143" s="291">
        <f>IFERROR(INDEX(Disbursements!$D:$D,MATCH('Live Collections'!G2143,Disbursements!$C:$C,0)),"")</f>
        <v>2</v>
      </c>
      <c r="G2143" s="34">
        <v>251</v>
      </c>
      <c r="H2143" s="34">
        <v>3820</v>
      </c>
      <c r="I2143" s="34" t="s">
        <v>1359</v>
      </c>
      <c r="J2143" s="48"/>
      <c r="K2143" s="48"/>
      <c r="L2143" s="48"/>
      <c r="M2143" s="48"/>
      <c r="N2143" s="59"/>
      <c r="O2143" s="59">
        <v>40000</v>
      </c>
      <c r="P2143" s="59"/>
      <c r="Q2143" s="268">
        <f t="shared" si="100"/>
        <v>40000</v>
      </c>
      <c r="R2143" s="61">
        <f>IF(O2143=0,0,SUMIFS(Disbursements!$T:$T,Disbursements!$B:$B,'Live Collections'!D2143,Disbursements!$D:$D,'Live Collections'!F2143))</f>
        <v>69000</v>
      </c>
      <c r="S2143" s="304"/>
      <c r="T2143" s="304">
        <f t="shared" si="102"/>
        <v>40000</v>
      </c>
      <c r="U2143" s="52"/>
      <c r="V2143" s="34"/>
      <c r="W2143" s="408"/>
    </row>
    <row r="2144" spans="1:23" ht="12.75" customHeight="1" x14ac:dyDescent="0.2">
      <c r="A2144" s="257">
        <v>2155</v>
      </c>
      <c r="B2144" s="44">
        <v>44536</v>
      </c>
      <c r="C2144" s="44">
        <f t="shared" si="101"/>
        <v>44536</v>
      </c>
      <c r="D2144" s="374">
        <v>44</v>
      </c>
      <c r="E2144" s="291" t="str">
        <f>IFERROR(VLOOKUP($D2144,'Clients-Live'!$A:$C,3,0),"")</f>
        <v>CANDIRU HELLEN</v>
      </c>
      <c r="F2144" s="291">
        <f>IFERROR(INDEX(Disbursements!$D:$D,MATCH('Live Collections'!G2144,Disbursements!$C:$C,0)),"")</f>
        <v>2</v>
      </c>
      <c r="G2144" s="34">
        <v>129</v>
      </c>
      <c r="H2144" s="34">
        <v>486</v>
      </c>
      <c r="I2144" s="34" t="s">
        <v>1358</v>
      </c>
      <c r="J2144" s="48"/>
      <c r="K2144" s="48"/>
      <c r="L2144" s="48"/>
      <c r="M2144" s="48"/>
      <c r="N2144" s="59"/>
      <c r="O2144" s="59"/>
      <c r="P2144" s="59"/>
      <c r="Q2144" s="268">
        <f t="shared" si="100"/>
        <v>0</v>
      </c>
      <c r="R2144" s="61">
        <f>IF(O2144=0,0,SUMIFS(Disbursements!$T:$T,Disbursements!$B:$B,'Live Collections'!D2144,Disbursements!$D:$D,'Live Collections'!F2144))</f>
        <v>0</v>
      </c>
      <c r="S2144" s="304">
        <f>IF(O2144&lt;=IF($O2144=0,0,SUMIFS(Disbursements!$W:$W,Disbursements!$B:$B,'Live Collections'!D494,Disbursements!$D:$D,'Live Collections'!F494)),O2144,IF($O2144=0,0,SUMIFS(Disbursements!$W:$W,Disbursements!$B:$B,'Live Collections'!D494,Disbursements!$D:$D,'Live Collections'!F494)))</f>
        <v>0</v>
      </c>
      <c r="T2144" s="304">
        <f t="shared" si="102"/>
        <v>0</v>
      </c>
      <c r="U2144" s="52"/>
      <c r="V2144" s="34"/>
      <c r="W2144" s="408"/>
    </row>
    <row r="2145" spans="1:23" ht="12.75" customHeight="1" x14ac:dyDescent="0.2">
      <c r="A2145" s="257">
        <v>2156</v>
      </c>
      <c r="B2145" s="44">
        <v>44536</v>
      </c>
      <c r="C2145" s="44">
        <f t="shared" si="101"/>
        <v>44536</v>
      </c>
      <c r="D2145" s="374">
        <v>44</v>
      </c>
      <c r="E2145" s="291" t="str">
        <f>IFERROR(VLOOKUP($D2145,'Clients-Live'!$A:$C,3,0),"")</f>
        <v>CANDIRU HELLEN</v>
      </c>
      <c r="F2145" s="291">
        <f>IFERROR(INDEX(Disbursements!$D:$D,MATCH('Live Collections'!G2145,Disbursements!$C:$C,0)),"")</f>
        <v>2</v>
      </c>
      <c r="G2145" s="34">
        <v>129</v>
      </c>
      <c r="H2145" s="34">
        <v>3878</v>
      </c>
      <c r="I2145" s="34" t="s">
        <v>1358</v>
      </c>
      <c r="J2145" s="48"/>
      <c r="K2145" s="48"/>
      <c r="L2145" s="48"/>
      <c r="M2145" s="48"/>
      <c r="N2145" s="59"/>
      <c r="O2145" s="59"/>
      <c r="P2145" s="59"/>
      <c r="Q2145" s="268">
        <f t="shared" si="100"/>
        <v>0</v>
      </c>
      <c r="R2145" s="61">
        <f>IF(O2145=0,0,SUMIFS(Disbursements!$T:$T,Disbursements!$B:$B,'Live Collections'!D2145,Disbursements!$D:$D,'Live Collections'!F2145))</f>
        <v>0</v>
      </c>
      <c r="S2145" s="304">
        <f>IF(O2145&lt;=IF($O2145=0,0,SUMIFS(Disbursements!$W:$W,Disbursements!$B:$B,'Live Collections'!D495,Disbursements!$D:$D,'Live Collections'!F495)),O2145,IF($O2145=0,0,SUMIFS(Disbursements!$W:$W,Disbursements!$B:$B,'Live Collections'!D495,Disbursements!$D:$D,'Live Collections'!F495)))</f>
        <v>0</v>
      </c>
      <c r="T2145" s="304">
        <f t="shared" si="102"/>
        <v>0</v>
      </c>
      <c r="U2145" s="52"/>
      <c r="V2145" s="34"/>
      <c r="W2145" s="408"/>
    </row>
    <row r="2146" spans="1:23" ht="12.75" customHeight="1" x14ac:dyDescent="0.2">
      <c r="A2146" s="257">
        <v>2157</v>
      </c>
      <c r="B2146" s="44">
        <v>44536</v>
      </c>
      <c r="C2146" s="44">
        <f t="shared" si="101"/>
        <v>44536</v>
      </c>
      <c r="D2146" s="374">
        <v>44</v>
      </c>
      <c r="E2146" s="291" t="str">
        <f>IFERROR(VLOOKUP($D2146,'Clients-Live'!$A:$C,3,0),"")</f>
        <v>CANDIRU HELLEN</v>
      </c>
      <c r="F2146" s="291">
        <f>IFERROR(INDEX(Disbursements!$D:$D,MATCH('Live Collections'!G2146,Disbursements!$C:$C,0)),"")</f>
        <v>2</v>
      </c>
      <c r="G2146" s="34">
        <v>129</v>
      </c>
      <c r="H2146" s="34">
        <v>3877</v>
      </c>
      <c r="I2146" s="34" t="s">
        <v>1358</v>
      </c>
      <c r="J2146" s="48"/>
      <c r="K2146" s="48"/>
      <c r="L2146" s="48"/>
      <c r="M2146" s="48"/>
      <c r="N2146" s="59"/>
      <c r="O2146" s="59">
        <v>333200</v>
      </c>
      <c r="P2146" s="59"/>
      <c r="Q2146" s="268">
        <f t="shared" si="100"/>
        <v>333200</v>
      </c>
      <c r="R2146" s="61">
        <f>IF(O2146=0,0,SUMIFS(Disbursements!$T:$T,Disbursements!$B:$B,'Live Collections'!D2146,Disbursements!$D:$D,'Live Collections'!F2146))</f>
        <v>217000</v>
      </c>
      <c r="S2146" s="64">
        <v>155966.66666666674</v>
      </c>
      <c r="T2146" s="304">
        <f>IF(O2146=0,0,O2146-S2146)+2000</f>
        <v>179233.33333333326</v>
      </c>
      <c r="U2146" s="52"/>
      <c r="V2146" s="34"/>
      <c r="W2146" s="408" t="s">
        <v>2093</v>
      </c>
    </row>
    <row r="2147" spans="1:23" ht="12.75" customHeight="1" x14ac:dyDescent="0.2">
      <c r="A2147" s="257">
        <v>2150</v>
      </c>
      <c r="B2147" s="44">
        <v>44536</v>
      </c>
      <c r="C2147" s="44">
        <f t="shared" si="101"/>
        <v>44536</v>
      </c>
      <c r="D2147" s="374">
        <v>46</v>
      </c>
      <c r="E2147" s="291" t="str">
        <f>IFERROR(VLOOKUP($D2147,'Clients-Live'!$A:$C,3,0),"")</f>
        <v>ALIO YUDA</v>
      </c>
      <c r="F2147" s="291">
        <f>IFERROR(INDEX(Disbursements!$D:$D,MATCH('Live Collections'!G2147,Disbursements!$C:$C,0)),"")</f>
        <v>1</v>
      </c>
      <c r="G2147" s="34">
        <v>35</v>
      </c>
      <c r="H2147" s="34">
        <v>494</v>
      </c>
      <c r="I2147" s="34" t="s">
        <v>1357</v>
      </c>
      <c r="J2147" s="48"/>
      <c r="K2147" s="48"/>
      <c r="L2147" s="48"/>
      <c r="M2147" s="48"/>
      <c r="N2147" s="59"/>
      <c r="O2147" s="59"/>
      <c r="P2147" s="59">
        <v>-150000</v>
      </c>
      <c r="Q2147" s="268">
        <f t="shared" si="100"/>
        <v>-150000</v>
      </c>
      <c r="R2147" s="61">
        <f>IF(O2147=0,0,SUMIFS(Disbursements!$T:$T,Disbursements!$B:$B,'Live Collections'!D2147,Disbursements!$D:$D,'Live Collections'!F2147))</f>
        <v>0</v>
      </c>
      <c r="S2147" s="304">
        <f>IF(O2147&lt;=IF($O2147=0,0,SUMIFS(Disbursements!$W:$W,Disbursements!$B:$B,'Live Collections'!D526,Disbursements!$D:$D,'Live Collections'!F526)),O2147,IF($O2147=0,0,SUMIFS(Disbursements!$W:$W,Disbursements!$B:$B,'Live Collections'!D526,Disbursements!$D:$D,'Live Collections'!F526)))</f>
        <v>0</v>
      </c>
      <c r="T2147" s="304">
        <f t="shared" si="102"/>
        <v>0</v>
      </c>
      <c r="U2147" s="52"/>
      <c r="V2147" s="34"/>
      <c r="W2147" s="408"/>
    </row>
    <row r="2148" spans="1:23" ht="12.75" customHeight="1" x14ac:dyDescent="0.2">
      <c r="A2148" s="257">
        <v>2151</v>
      </c>
      <c r="B2148" s="44">
        <v>44536</v>
      </c>
      <c r="C2148" s="44">
        <f t="shared" si="101"/>
        <v>44536</v>
      </c>
      <c r="D2148" s="374">
        <v>46</v>
      </c>
      <c r="E2148" s="291" t="str">
        <f>IFERROR(VLOOKUP($D2148,'Clients-Live'!$A:$C,3,0),"")</f>
        <v>ALIO YUDA</v>
      </c>
      <c r="F2148" s="291">
        <f>IFERROR(INDEX(Disbursements!$D:$D,MATCH('Live Collections'!G2148,Disbursements!$C:$C,0)),"")</f>
        <v>1</v>
      </c>
      <c r="G2148" s="34">
        <v>35</v>
      </c>
      <c r="H2148" s="34">
        <v>3885</v>
      </c>
      <c r="I2148" s="34" t="s">
        <v>1357</v>
      </c>
      <c r="J2148" s="48"/>
      <c r="K2148" s="48"/>
      <c r="L2148" s="48"/>
      <c r="M2148" s="48"/>
      <c r="N2148" s="59"/>
      <c r="O2148" s="59">
        <v>150000</v>
      </c>
      <c r="P2148" s="59"/>
      <c r="Q2148" s="268">
        <f t="shared" si="100"/>
        <v>150000</v>
      </c>
      <c r="R2148" s="61">
        <f>IF(O2148=0,0,SUMIFS(Disbursements!$T:$T,Disbursements!$B:$B,'Live Collections'!D2148,Disbursements!$D:$D,'Live Collections'!F2148))</f>
        <v>325000</v>
      </c>
      <c r="S2148" s="304">
        <f>IF(O2148&lt;=IF($O2148=0,0,SUMIFS(Disbursements!$W:$W,Disbursements!$B:$B,'Live Collections'!D527,Disbursements!$D:$D,'Live Collections'!F527)),O2148,IF($O2148=0,0,SUMIFS(Disbursements!$W:$W,Disbursements!$B:$B,'Live Collections'!D527,Disbursements!$D:$D,'Live Collections'!F527)))</f>
        <v>0</v>
      </c>
      <c r="T2148" s="304">
        <f t="shared" si="102"/>
        <v>150000</v>
      </c>
      <c r="U2148" s="52"/>
      <c r="V2148" s="34"/>
      <c r="W2148" s="408" t="s">
        <v>1914</v>
      </c>
    </row>
    <row r="2149" spans="1:23" ht="12.75" customHeight="1" x14ac:dyDescent="0.2">
      <c r="A2149" s="257">
        <v>2152</v>
      </c>
      <c r="B2149" s="44">
        <v>44536</v>
      </c>
      <c r="C2149" s="44">
        <f t="shared" si="101"/>
        <v>44536</v>
      </c>
      <c r="D2149" s="374">
        <v>46</v>
      </c>
      <c r="E2149" s="291" t="str">
        <f>IFERROR(VLOOKUP($D2149,'Clients-Live'!$A:$C,3,0),"")</f>
        <v>ALIO YUDA</v>
      </c>
      <c r="F2149" s="291">
        <f>IFERROR(INDEX(Disbursements!$D:$D,MATCH('Live Collections'!G2149,Disbursements!$C:$C,0)),"")</f>
        <v>1</v>
      </c>
      <c r="G2149" s="34">
        <v>35</v>
      </c>
      <c r="H2149" s="34">
        <v>3884</v>
      </c>
      <c r="I2149" s="34" t="s">
        <v>1357</v>
      </c>
      <c r="J2149" s="48"/>
      <c r="K2149" s="48"/>
      <c r="L2149" s="48"/>
      <c r="M2149" s="48"/>
      <c r="N2149" s="59"/>
      <c r="O2149" s="59">
        <v>175000</v>
      </c>
      <c r="P2149" s="59"/>
      <c r="Q2149" s="268">
        <f t="shared" si="100"/>
        <v>175000</v>
      </c>
      <c r="R2149" s="61">
        <f>IF(O2149=0,0,SUMIFS(Disbursements!$T:$T,Disbursements!$B:$B,'Live Collections'!D2149,Disbursements!$D:$D,'Live Collections'!F2149))</f>
        <v>325000</v>
      </c>
      <c r="S2149" s="64">
        <v>175000</v>
      </c>
      <c r="T2149" s="64">
        <v>-75000</v>
      </c>
      <c r="U2149" s="52"/>
      <c r="V2149" s="34"/>
      <c r="W2149" s="408" t="s">
        <v>2096</v>
      </c>
    </row>
    <row r="2150" spans="1:23" ht="12.75" customHeight="1" x14ac:dyDescent="0.2">
      <c r="A2150" s="257">
        <v>2159</v>
      </c>
      <c r="B2150" s="44">
        <v>44536</v>
      </c>
      <c r="C2150" s="44">
        <f t="shared" si="101"/>
        <v>44536</v>
      </c>
      <c r="D2150" s="374">
        <v>54</v>
      </c>
      <c r="E2150" s="291" t="str">
        <f>IFERROR(VLOOKUP($D2150,'Clients-Live'!$A:$C,3,0),"")</f>
        <v>MANENO ANIFA</v>
      </c>
      <c r="F2150" s="291">
        <f>IFERROR(INDEX(Disbursements!$D:$D,MATCH('Live Collections'!G2150,Disbursements!$C:$C,0)),"")</f>
        <v>2</v>
      </c>
      <c r="G2150" s="34">
        <v>195</v>
      </c>
      <c r="H2150" s="34">
        <v>3875</v>
      </c>
      <c r="I2150" s="34" t="s">
        <v>1357</v>
      </c>
      <c r="J2150" s="48"/>
      <c r="K2150" s="48"/>
      <c r="L2150" s="48"/>
      <c r="M2150" s="48"/>
      <c r="N2150" s="59"/>
      <c r="O2150" s="59">
        <v>100000</v>
      </c>
      <c r="P2150" s="59"/>
      <c r="Q2150" s="268">
        <f t="shared" si="100"/>
        <v>100000</v>
      </c>
      <c r="R2150" s="61">
        <f>IF(O2150=0,0,SUMIFS(Disbursements!$T:$T,Disbursements!$B:$B,'Live Collections'!D2150,Disbursements!$D:$D,'Live Collections'!F2150))</f>
        <v>200000</v>
      </c>
      <c r="S2150" s="304">
        <f>IF(O2150&lt;=IF($O2150=0,0,SUMIFS(Disbursements!$W:$W,Disbursements!$B:$B,'Live Collections'!D641,Disbursements!$D:$D,'Live Collections'!F641)),O2150,IF($O2150=0,0,SUMIFS(Disbursements!$W:$W,Disbursements!$B:$B,'Live Collections'!D641,Disbursements!$D:$D,'Live Collections'!F641)))</f>
        <v>0</v>
      </c>
      <c r="T2150" s="304">
        <f t="shared" si="102"/>
        <v>100000</v>
      </c>
      <c r="U2150" s="52"/>
      <c r="V2150" s="34"/>
      <c r="W2150" s="408"/>
    </row>
    <row r="2151" spans="1:23" ht="12.75" customHeight="1" x14ac:dyDescent="0.2">
      <c r="A2151" s="257">
        <v>2160</v>
      </c>
      <c r="B2151" s="44">
        <v>44536</v>
      </c>
      <c r="C2151" s="44">
        <f t="shared" si="101"/>
        <v>44536</v>
      </c>
      <c r="D2151" s="374">
        <v>56</v>
      </c>
      <c r="E2151" s="291" t="str">
        <f>IFERROR(VLOOKUP($D2151,'Clients-Live'!$A:$C,3,0),"")</f>
        <v>ALOMO ZABIBU</v>
      </c>
      <c r="F2151" s="291" t="str">
        <f>IFERROR(INDEX(Disbursements!$D:$D,MATCH('Live Collections'!G2151,Disbursements!$C:$C,0)),"")</f>
        <v/>
      </c>
      <c r="G2151" s="34"/>
      <c r="H2151" s="34">
        <v>3873</v>
      </c>
      <c r="I2151" s="34" t="s">
        <v>1357</v>
      </c>
      <c r="J2151" s="48"/>
      <c r="K2151" s="48"/>
      <c r="L2151" s="48">
        <v>15000</v>
      </c>
      <c r="M2151" s="48">
        <v>5000</v>
      </c>
      <c r="N2151" s="59"/>
      <c r="O2151" s="59"/>
      <c r="P2151" s="59"/>
      <c r="Q2151" s="268">
        <f t="shared" si="100"/>
        <v>20000</v>
      </c>
      <c r="R2151" s="61">
        <f>IF(O2151=0,0,SUMIFS(Disbursements!$T:$T,Disbursements!$B:$B,'Live Collections'!D2151,Disbursements!$D:$D,'Live Collections'!F2151))</f>
        <v>0</v>
      </c>
      <c r="S2151" s="304">
        <f>IF(O2151&lt;=IF($O2151=0,0,SUMIFS(Disbursements!$W:$W,Disbursements!$B:$B,'Live Collections'!D671,Disbursements!$D:$D,'Live Collections'!F671)),O2151,IF($O2151=0,0,SUMIFS(Disbursements!$W:$W,Disbursements!$B:$B,'Live Collections'!D671,Disbursements!$D:$D,'Live Collections'!F671)))</f>
        <v>0</v>
      </c>
      <c r="T2151" s="304">
        <f t="shared" si="102"/>
        <v>0</v>
      </c>
      <c r="U2151" s="52"/>
      <c r="V2151" s="34"/>
      <c r="W2151" s="408"/>
    </row>
    <row r="2152" spans="1:23" ht="12.75" customHeight="1" x14ac:dyDescent="0.2">
      <c r="A2152" s="257">
        <v>2161</v>
      </c>
      <c r="B2152" s="44">
        <v>44536</v>
      </c>
      <c r="C2152" s="44">
        <f t="shared" si="101"/>
        <v>44536</v>
      </c>
      <c r="D2152" s="374">
        <v>56</v>
      </c>
      <c r="E2152" s="291" t="str">
        <f>IFERROR(VLOOKUP($D2152,'Clients-Live'!$A:$C,3,0),"")</f>
        <v>ALOMO ZABIBU</v>
      </c>
      <c r="F2152" s="291">
        <f>IFERROR(INDEX(Disbursements!$D:$D,MATCH('Live Collections'!G2152,Disbursements!$C:$C,0)),"")</f>
        <v>2</v>
      </c>
      <c r="G2152" s="34">
        <v>226</v>
      </c>
      <c r="H2152" s="34">
        <v>3872</v>
      </c>
      <c r="I2152" s="34" t="s">
        <v>1357</v>
      </c>
      <c r="J2152" s="48"/>
      <c r="K2152" s="48"/>
      <c r="L2152" s="48"/>
      <c r="M2152" s="48"/>
      <c r="N2152" s="59"/>
      <c r="O2152" s="59">
        <v>50000</v>
      </c>
      <c r="P2152" s="59"/>
      <c r="Q2152" s="268">
        <f t="shared" si="100"/>
        <v>50000</v>
      </c>
      <c r="R2152" s="61">
        <f>IF(O2152=0,0,SUMIFS(Disbursements!$T:$T,Disbursements!$B:$B,'Live Collections'!D2152,Disbursements!$D:$D,'Live Collections'!F2152))</f>
        <v>120000</v>
      </c>
      <c r="S2152" s="304"/>
      <c r="T2152" s="304">
        <f t="shared" si="102"/>
        <v>50000</v>
      </c>
      <c r="U2152" s="52"/>
      <c r="V2152" s="34"/>
      <c r="W2152" s="408" t="s">
        <v>2092</v>
      </c>
    </row>
    <row r="2153" spans="1:23" ht="12.75" customHeight="1" x14ac:dyDescent="0.2">
      <c r="A2153" s="257">
        <v>2162</v>
      </c>
      <c r="B2153" s="44">
        <v>44536</v>
      </c>
      <c r="C2153" s="44">
        <f t="shared" si="101"/>
        <v>44536</v>
      </c>
      <c r="D2153" s="374">
        <v>56</v>
      </c>
      <c r="E2153" s="291" t="str">
        <f>IFERROR(VLOOKUP($D2153,'Clients-Live'!$A:$C,3,0),"")</f>
        <v>ALOMO ZABIBU</v>
      </c>
      <c r="F2153" s="291">
        <f>IFERROR(INDEX(Disbursements!$D:$D,MATCH('Live Collections'!G2153,Disbursements!$C:$C,0)),"")</f>
        <v>2</v>
      </c>
      <c r="G2153" s="34">
        <v>226</v>
      </c>
      <c r="H2153" s="34">
        <v>493</v>
      </c>
      <c r="I2153" s="34" t="s">
        <v>1357</v>
      </c>
      <c r="J2153" s="48"/>
      <c r="K2153" s="48"/>
      <c r="L2153" s="48"/>
      <c r="M2153" s="48"/>
      <c r="N2153" s="59"/>
      <c r="O2153" s="59"/>
      <c r="P2153" s="59">
        <v>-50000</v>
      </c>
      <c r="Q2153" s="268">
        <f t="shared" si="100"/>
        <v>-50000</v>
      </c>
      <c r="R2153" s="61">
        <f>IF(O2153=0,0,SUMIFS(Disbursements!$T:$T,Disbursements!$B:$B,'Live Collections'!D2153,Disbursements!$D:$D,'Live Collections'!F2153))</f>
        <v>0</v>
      </c>
      <c r="S2153" s="304">
        <f>IF(O2153&lt;=IF($O2153=0,0,SUMIFS(Disbursements!$W:$W,Disbursements!$B:$B,'Live Collections'!D673,Disbursements!$D:$D,'Live Collections'!F673)),O2153,IF($O2153=0,0,SUMIFS(Disbursements!$W:$W,Disbursements!$B:$B,'Live Collections'!D673,Disbursements!$D:$D,'Live Collections'!F673)))</f>
        <v>0</v>
      </c>
      <c r="T2153" s="304">
        <f t="shared" si="102"/>
        <v>0</v>
      </c>
      <c r="U2153" s="52"/>
      <c r="V2153" s="34"/>
      <c r="W2153" s="408"/>
    </row>
    <row r="2154" spans="1:23" ht="12.75" customHeight="1" x14ac:dyDescent="0.2">
      <c r="A2154" s="257">
        <v>2163</v>
      </c>
      <c r="B2154" s="44">
        <v>44536</v>
      </c>
      <c r="C2154" s="44">
        <f t="shared" si="101"/>
        <v>44536</v>
      </c>
      <c r="D2154" s="374">
        <v>56</v>
      </c>
      <c r="E2154" s="291" t="str">
        <f>IFERROR(VLOOKUP($D2154,'Clients-Live'!$A:$C,3,0),"")</f>
        <v>ALOMO ZABIBU</v>
      </c>
      <c r="F2154" s="291">
        <f>IFERROR(INDEX(Disbursements!$D:$D,MATCH('Live Collections'!G2154,Disbursements!$C:$C,0)),"")</f>
        <v>2</v>
      </c>
      <c r="G2154" s="34">
        <v>226</v>
      </c>
      <c r="H2154" s="34">
        <v>3871</v>
      </c>
      <c r="I2154" s="34" t="s">
        <v>1357</v>
      </c>
      <c r="J2154" s="48"/>
      <c r="K2154" s="48"/>
      <c r="L2154" s="48"/>
      <c r="M2154" s="48"/>
      <c r="N2154" s="59"/>
      <c r="O2154" s="59">
        <v>190000</v>
      </c>
      <c r="P2154" s="59"/>
      <c r="Q2154" s="268">
        <f t="shared" si="100"/>
        <v>190000</v>
      </c>
      <c r="R2154" s="61">
        <f>IF(O2154=0,0,SUMIFS(Disbursements!$T:$T,Disbursements!$B:$B,'Live Collections'!D2154,Disbursements!$D:$D,'Live Collections'!F2154))</f>
        <v>120000</v>
      </c>
      <c r="S2154" s="64">
        <v>-6333.3333333333285</v>
      </c>
      <c r="T2154" s="304">
        <f t="shared" si="102"/>
        <v>196333.33333333331</v>
      </c>
      <c r="U2154" s="52"/>
      <c r="V2154" s="34"/>
      <c r="W2154" s="408" t="s">
        <v>2086</v>
      </c>
    </row>
    <row r="2155" spans="1:23" ht="12.75" customHeight="1" x14ac:dyDescent="0.2">
      <c r="A2155" s="257">
        <v>2153</v>
      </c>
      <c r="B2155" s="44">
        <v>44536</v>
      </c>
      <c r="C2155" s="44">
        <f t="shared" si="101"/>
        <v>44536</v>
      </c>
      <c r="D2155" s="374">
        <v>75</v>
      </c>
      <c r="E2155" s="291" t="str">
        <f>IFERROR(VLOOKUP($D2155,'Clients-Live'!$A:$C,3,0),"")</f>
        <v>MUKULIA JAMES</v>
      </c>
      <c r="F2155" s="291">
        <f>IFERROR(INDEX(Disbursements!$D:$D,MATCH('Live Collections'!G2155,Disbursements!$C:$C,0)),"")</f>
        <v>3</v>
      </c>
      <c r="G2155" s="34">
        <v>357</v>
      </c>
      <c r="H2155" s="34">
        <v>3880</v>
      </c>
      <c r="I2155" s="34" t="s">
        <v>1359</v>
      </c>
      <c r="J2155" s="48"/>
      <c r="K2155" s="48"/>
      <c r="L2155" s="48"/>
      <c r="M2155" s="48"/>
      <c r="N2155" s="59"/>
      <c r="O2155" s="59"/>
      <c r="P2155" s="59">
        <v>70000</v>
      </c>
      <c r="Q2155" s="268">
        <f t="shared" si="100"/>
        <v>70000</v>
      </c>
      <c r="R2155" s="61">
        <f>IF(O2155=0,0,SUMIFS(Disbursements!$T:$T,Disbursements!$B:$B,'Live Collections'!D2155,Disbursements!$D:$D,'Live Collections'!F2155))</f>
        <v>0</v>
      </c>
      <c r="S2155" s="304">
        <f>IF(O2155&lt;=IF($O2155=0,0,SUMIFS(Disbursements!$W:$W,Disbursements!$B:$B,'Live Collections'!D965,Disbursements!$D:$D,'Live Collections'!F965)),O2155,IF($O2155=0,0,SUMIFS(Disbursements!$W:$W,Disbursements!$B:$B,'Live Collections'!D965,Disbursements!$D:$D,'Live Collections'!F965)))</f>
        <v>0</v>
      </c>
      <c r="T2155" s="304">
        <f t="shared" si="102"/>
        <v>0</v>
      </c>
      <c r="U2155" s="52"/>
      <c r="V2155" s="34"/>
      <c r="W2155" s="408"/>
    </row>
    <row r="2156" spans="1:23" ht="12.75" customHeight="1" x14ac:dyDescent="0.2">
      <c r="A2156" s="257">
        <v>2166</v>
      </c>
      <c r="B2156" s="44">
        <v>44536</v>
      </c>
      <c r="C2156" s="44">
        <f t="shared" si="101"/>
        <v>44536</v>
      </c>
      <c r="D2156" s="374">
        <v>81</v>
      </c>
      <c r="E2156" s="291" t="str">
        <f>IFERROR(VLOOKUP($D2156,'Clients-Live'!$A:$C,3,0),"")</f>
        <v>ADAM ZAITUN</v>
      </c>
      <c r="F2156" s="291">
        <f>IFERROR(INDEX(Disbursements!$D:$D,MATCH('Live Collections'!G2156,Disbursements!$C:$C,0)),"")</f>
        <v>1</v>
      </c>
      <c r="G2156" s="34">
        <v>65</v>
      </c>
      <c r="H2156" s="34">
        <v>3867</v>
      </c>
      <c r="I2156" s="34" t="s">
        <v>1358</v>
      </c>
      <c r="J2156" s="48"/>
      <c r="K2156" s="48"/>
      <c r="L2156" s="48"/>
      <c r="M2156" s="48"/>
      <c r="N2156" s="59"/>
      <c r="O2156" s="59">
        <v>450000</v>
      </c>
      <c r="P2156" s="59"/>
      <c r="Q2156" s="268">
        <f t="shared" si="100"/>
        <v>450000</v>
      </c>
      <c r="R2156" s="61">
        <f>IF(O2156=0,0,SUMIFS(Disbursements!$T:$T,Disbursements!$B:$B,'Live Collections'!D2156,Disbursements!$D:$D,'Live Collections'!F2156))</f>
        <v>217000</v>
      </c>
      <c r="S2156" s="304">
        <f>IF(O2156&lt;=IF($O2156=0,0,SUMIFS(Disbursements!$W:$W,Disbursements!$B:$B,'Live Collections'!D1050,Disbursements!$D:$D,'Live Collections'!F1050)),O2156,IF($O2156=0,0,SUMIFS(Disbursements!$W:$W,Disbursements!$B:$B,'Live Collections'!D1050,Disbursements!$D:$D,'Live Collections'!F1050)))</f>
        <v>50333.333333333343</v>
      </c>
      <c r="T2156" s="304">
        <f t="shared" si="102"/>
        <v>399666.66666666663</v>
      </c>
      <c r="U2156" s="52"/>
      <c r="V2156" s="34"/>
      <c r="W2156" s="408"/>
    </row>
    <row r="2157" spans="1:23" ht="12.75" customHeight="1" x14ac:dyDescent="0.2">
      <c r="A2157" s="257">
        <v>2158</v>
      </c>
      <c r="B2157" s="44">
        <v>44536</v>
      </c>
      <c r="C2157" s="44">
        <f t="shared" si="101"/>
        <v>44536</v>
      </c>
      <c r="D2157" s="374">
        <v>92</v>
      </c>
      <c r="E2157" s="291" t="str">
        <f>IFERROR(VLOOKUP($D2157,'Clients-Live'!$A:$C,3,0),"")</f>
        <v>FAIDA ZAKIYA</v>
      </c>
      <c r="F2157" s="291">
        <f>IFERROR(INDEX(Disbursements!$D:$D,MATCH('Live Collections'!G2157,Disbursements!$C:$C,0)),"")</f>
        <v>1</v>
      </c>
      <c r="G2157" s="34">
        <v>74</v>
      </c>
      <c r="H2157" s="34">
        <v>3874</v>
      </c>
      <c r="I2157" s="34" t="s">
        <v>1358</v>
      </c>
      <c r="J2157" s="48"/>
      <c r="K2157" s="48"/>
      <c r="L2157" s="48"/>
      <c r="M2157" s="48"/>
      <c r="N2157" s="59"/>
      <c r="O2157" s="59">
        <v>100000</v>
      </c>
      <c r="P2157" s="59"/>
      <c r="Q2157" s="268">
        <f t="shared" si="100"/>
        <v>100000</v>
      </c>
      <c r="R2157" s="61">
        <f>IF(O2157=0,0,SUMIFS(Disbursements!$T:$T,Disbursements!$B:$B,'Live Collections'!D2157,Disbursements!$D:$D,'Live Collections'!F2157))</f>
        <v>175000</v>
      </c>
      <c r="S2157" s="304"/>
      <c r="T2157" s="304">
        <f t="shared" si="102"/>
        <v>100000</v>
      </c>
      <c r="U2157" s="52"/>
      <c r="V2157" s="34"/>
      <c r="W2157" s="408"/>
    </row>
    <row r="2158" spans="1:23" ht="12.75" customHeight="1" x14ac:dyDescent="0.2">
      <c r="A2158" s="257">
        <v>2149</v>
      </c>
      <c r="B2158" s="44">
        <v>44536</v>
      </c>
      <c r="C2158" s="44">
        <f t="shared" si="101"/>
        <v>44536</v>
      </c>
      <c r="D2158" s="374">
        <v>98</v>
      </c>
      <c r="E2158" s="291" t="str">
        <f>IFERROR(VLOOKUP($D2158,'Clients-Live'!$A:$C,3,0),"")</f>
        <v>AMANIYO CLARA</v>
      </c>
      <c r="F2158" s="291">
        <f>IFERROR(INDEX(Disbursements!$D:$D,MATCH('Live Collections'!G2158,Disbursements!$C:$C,0)),"")</f>
        <v>2</v>
      </c>
      <c r="G2158" s="34">
        <v>232</v>
      </c>
      <c r="H2158" s="34">
        <v>3887</v>
      </c>
      <c r="I2158" s="34" t="s">
        <v>1358</v>
      </c>
      <c r="J2158" s="48"/>
      <c r="K2158" s="48"/>
      <c r="L2158" s="48"/>
      <c r="M2158" s="48"/>
      <c r="N2158" s="59"/>
      <c r="O2158" s="59">
        <v>30000</v>
      </c>
      <c r="P2158" s="59"/>
      <c r="Q2158" s="268">
        <f t="shared" si="100"/>
        <v>30000</v>
      </c>
      <c r="R2158" s="61">
        <f>IF(O2158=0,0,SUMIFS(Disbursements!$T:$T,Disbursements!$B:$B,'Live Collections'!D2158,Disbursements!$D:$D,'Live Collections'!F2158))</f>
        <v>175000</v>
      </c>
      <c r="S2158" s="304">
        <v>5000</v>
      </c>
      <c r="T2158" s="304">
        <f t="shared" si="102"/>
        <v>25000</v>
      </c>
      <c r="U2158" s="52"/>
      <c r="V2158" s="34"/>
      <c r="W2158" s="408"/>
    </row>
    <row r="2159" spans="1:23" ht="12.75" customHeight="1" x14ac:dyDescent="0.2">
      <c r="A2159" s="257">
        <v>2136</v>
      </c>
      <c r="B2159" s="44">
        <v>44536</v>
      </c>
      <c r="C2159" s="44">
        <f t="shared" si="101"/>
        <v>44536</v>
      </c>
      <c r="D2159" s="374">
        <v>119</v>
      </c>
      <c r="E2159" s="291" t="str">
        <f>IFERROR(VLOOKUP($D2159,'Clients-Live'!$A:$C,3,0),"")</f>
        <v>STELLA KONGAI</v>
      </c>
      <c r="F2159" s="291">
        <f>IFERROR(INDEX(Disbursements!$D:$D,MATCH('Live Collections'!G2159,Disbursements!$C:$C,0)),"")</f>
        <v>2</v>
      </c>
      <c r="G2159" s="34">
        <v>253</v>
      </c>
      <c r="H2159" s="34">
        <v>3897</v>
      </c>
      <c r="I2159" s="34" t="s">
        <v>1359</v>
      </c>
      <c r="J2159" s="48"/>
      <c r="K2159" s="48"/>
      <c r="L2159" s="48"/>
      <c r="M2159" s="48"/>
      <c r="N2159" s="59"/>
      <c r="O2159" s="59">
        <v>651000</v>
      </c>
      <c r="P2159" s="59"/>
      <c r="Q2159" s="268">
        <f t="shared" si="100"/>
        <v>651000</v>
      </c>
      <c r="R2159" s="61">
        <f>IF(O2159=0,0,SUMIFS(Disbursements!$T:$T,Disbursements!$B:$B,'Live Collections'!D2159,Disbursements!$D:$D,'Live Collections'!F2159))</f>
        <v>817000</v>
      </c>
      <c r="S2159" s="304">
        <f>IF(O2159&lt;=IF($O2159=0,0,SUMIFS(Disbursements!$W:$W,Disbursements!$B:$B,'Live Collections'!D3155,Disbursements!$D:$D,'Live Collections'!F3155)),O2159,IF($O2159=0,0,SUMIFS(Disbursements!$W:$W,Disbursements!$B:$B,'Live Collections'!D3155,Disbursements!$D:$D,'Live Collections'!F3155)))</f>
        <v>50666.666666666686</v>
      </c>
      <c r="T2159" s="304">
        <f t="shared" si="102"/>
        <v>600333.33333333326</v>
      </c>
      <c r="U2159" s="52"/>
      <c r="V2159" s="34"/>
      <c r="W2159" s="408"/>
    </row>
    <row r="2160" spans="1:23" ht="12.75" customHeight="1" x14ac:dyDescent="0.2">
      <c r="A2160" s="257">
        <v>2146</v>
      </c>
      <c r="B2160" s="44">
        <v>44536</v>
      </c>
      <c r="C2160" s="44">
        <f t="shared" si="101"/>
        <v>44536</v>
      </c>
      <c r="D2160" s="374">
        <v>164</v>
      </c>
      <c r="E2160" s="291" t="str">
        <f>IFERROR(VLOOKUP($D2160,'Clients-Live'!$A:$C,3,0),"")</f>
        <v>ARIKE SWAIB</v>
      </c>
      <c r="F2160" s="291">
        <f>IFERROR(INDEX(Disbursements!$D:$D,MATCH('Live Collections'!G2160,Disbursements!$C:$C,0)),"")</f>
        <v>1</v>
      </c>
      <c r="G2160" s="34">
        <v>154</v>
      </c>
      <c r="H2160" s="34">
        <v>3891</v>
      </c>
      <c r="I2160" s="34" t="s">
        <v>1357</v>
      </c>
      <c r="J2160" s="48"/>
      <c r="K2160" s="48"/>
      <c r="L2160" s="48">
        <v>25000</v>
      </c>
      <c r="M2160" s="48"/>
      <c r="N2160" s="59"/>
      <c r="O2160" s="59"/>
      <c r="P2160" s="59"/>
      <c r="Q2160" s="268">
        <f t="shared" si="100"/>
        <v>25000</v>
      </c>
      <c r="R2160" s="61">
        <f>IF(O2160=0,0,SUMIFS(Disbursements!$T:$T,Disbursements!$B:$B,'Live Collections'!D2160,Disbursements!$D:$D,'Live Collections'!F2160))</f>
        <v>0</v>
      </c>
      <c r="S2160" s="304"/>
      <c r="T2160" s="304">
        <f t="shared" si="102"/>
        <v>0</v>
      </c>
      <c r="U2160" s="52"/>
      <c r="V2160" s="34"/>
      <c r="W2160" s="408"/>
    </row>
    <row r="2161" spans="1:23" ht="12.75" customHeight="1" x14ac:dyDescent="0.2">
      <c r="A2161" s="257">
        <v>2167</v>
      </c>
      <c r="B2161" s="44">
        <v>44536</v>
      </c>
      <c r="C2161" s="44">
        <f t="shared" si="101"/>
        <v>44536</v>
      </c>
      <c r="D2161" s="374">
        <v>165</v>
      </c>
      <c r="E2161" s="291" t="str">
        <f>IFERROR(VLOOKUP($D2161,'Clients-Live'!$A:$C,3,0),"")</f>
        <v>BOBOYA BRAN</v>
      </c>
      <c r="F2161" s="291">
        <f>IFERROR(INDEX(Disbursements!$D:$D,MATCH('Live Collections'!G2161,Disbursements!$C:$C,0)),"")</f>
        <v>1</v>
      </c>
      <c r="G2161" s="34">
        <v>163</v>
      </c>
      <c r="H2161" s="34">
        <v>3868</v>
      </c>
      <c r="I2161" s="34" t="s">
        <v>1357</v>
      </c>
      <c r="J2161" s="48"/>
      <c r="K2161" s="48"/>
      <c r="L2161" s="48"/>
      <c r="M2161" s="48"/>
      <c r="N2161" s="59"/>
      <c r="O2161" s="59">
        <v>250000</v>
      </c>
      <c r="P2161" s="59"/>
      <c r="Q2161" s="268">
        <f t="shared" si="100"/>
        <v>250000</v>
      </c>
      <c r="R2161" s="61">
        <f>IF(O2161=0,0,SUMIFS(Disbursements!$T:$T,Disbursements!$B:$B,'Live Collections'!D2161,Disbursements!$D:$D,'Live Collections'!F2161))</f>
        <v>210000</v>
      </c>
      <c r="S2161" s="304"/>
      <c r="T2161" s="304">
        <f t="shared" si="102"/>
        <v>250000</v>
      </c>
      <c r="U2161" s="52"/>
      <c r="V2161" s="34"/>
      <c r="W2161" s="408"/>
    </row>
    <row r="2162" spans="1:23" ht="12.75" customHeight="1" x14ac:dyDescent="0.2">
      <c r="A2162" s="257">
        <v>2164</v>
      </c>
      <c r="B2162" s="44">
        <v>44536</v>
      </c>
      <c r="C2162" s="44">
        <f t="shared" si="101"/>
        <v>44536</v>
      </c>
      <c r="D2162" s="374">
        <v>167</v>
      </c>
      <c r="E2162" s="291" t="str">
        <f>IFERROR(VLOOKUP($D2162,'Clients-Live'!$A:$C,3,0),"")</f>
        <v>DRICHA KADIJA</v>
      </c>
      <c r="F2162" s="291">
        <f>IFERROR(INDEX(Disbursements!$D:$D,MATCH('Live Collections'!G2162,Disbursements!$C:$C,0)),"")</f>
        <v>1</v>
      </c>
      <c r="G2162" s="34">
        <v>157</v>
      </c>
      <c r="H2162" s="34">
        <v>3870</v>
      </c>
      <c r="I2162" s="34" t="s">
        <v>1358</v>
      </c>
      <c r="J2162" s="48"/>
      <c r="K2162" s="48"/>
      <c r="L2162" s="48"/>
      <c r="M2162" s="48"/>
      <c r="N2162" s="59"/>
      <c r="O2162" s="59">
        <v>216700</v>
      </c>
      <c r="P2162" s="59"/>
      <c r="Q2162" s="268">
        <f t="shared" si="100"/>
        <v>216700</v>
      </c>
      <c r="R2162" s="61">
        <f>IF(O2162=0,0,SUMIFS(Disbursements!$T:$T,Disbursements!$B:$B,'Live Collections'!D2162,Disbursements!$D:$D,'Live Collections'!F2162))</f>
        <v>217000</v>
      </c>
      <c r="S2162" s="304">
        <v>207000.00000000006</v>
      </c>
      <c r="T2162" s="304">
        <f t="shared" si="102"/>
        <v>9699.9999999999418</v>
      </c>
      <c r="U2162" s="52"/>
      <c r="V2162" s="34"/>
      <c r="W2162" s="408"/>
    </row>
    <row r="2163" spans="1:23" ht="0.75" customHeight="1" x14ac:dyDescent="0.2">
      <c r="A2163" s="257">
        <v>2165</v>
      </c>
      <c r="B2163" s="44">
        <v>44536</v>
      </c>
      <c r="C2163" s="44">
        <f t="shared" si="101"/>
        <v>44536</v>
      </c>
      <c r="D2163" s="374">
        <v>168</v>
      </c>
      <c r="E2163" s="291" t="str">
        <f>IFERROR(VLOOKUP($D2163,'Clients-Live'!$A:$C,3,0),"")</f>
        <v>ALORO FREDERICK</v>
      </c>
      <c r="F2163" s="291">
        <f>IFERROR(INDEX(Disbursements!$D:$D,MATCH('Live Collections'!G2163,Disbursements!$C:$C,0)),"")</f>
        <v>1</v>
      </c>
      <c r="G2163" s="34">
        <v>159</v>
      </c>
      <c r="H2163" s="34">
        <v>3869</v>
      </c>
      <c r="I2163" s="34" t="s">
        <v>1357</v>
      </c>
      <c r="J2163" s="48"/>
      <c r="K2163" s="48"/>
      <c r="L2163" s="48"/>
      <c r="M2163" s="48"/>
      <c r="N2163" s="59"/>
      <c r="O2163" s="59">
        <v>1250000</v>
      </c>
      <c r="P2163" s="59"/>
      <c r="Q2163" s="268">
        <f t="shared" ref="Q2163:Q2226" si="103">SUM(J2163:P2163)</f>
        <v>1250000</v>
      </c>
      <c r="R2163" s="61">
        <f>IF(O2163=0,0,SUMIFS(Disbursements!$T:$T,Disbursements!$B:$B,'Live Collections'!D2163,Disbursements!$D:$D,'Live Collections'!F2163))</f>
        <v>1250000</v>
      </c>
      <c r="S2163" s="64">
        <v>1208666.6666666667</v>
      </c>
      <c r="T2163" s="304">
        <f t="shared" si="102"/>
        <v>41333.333333333256</v>
      </c>
      <c r="U2163" s="52"/>
      <c r="V2163" s="34"/>
      <c r="W2163" s="408"/>
    </row>
    <row r="2164" spans="1:23" ht="12.75" customHeight="1" x14ac:dyDescent="0.2">
      <c r="A2164" s="257">
        <v>2134</v>
      </c>
      <c r="B2164" s="44">
        <v>44536</v>
      </c>
      <c r="C2164" s="44">
        <f t="shared" si="101"/>
        <v>44536</v>
      </c>
      <c r="D2164" s="374">
        <v>170</v>
      </c>
      <c r="E2164" s="291" t="str">
        <f>IFERROR(VLOOKUP($D2164,'Clients-Live'!$A:$C,3,0),"")</f>
        <v xml:space="preserve">KABEBI RAIMA </v>
      </c>
      <c r="F2164" s="291">
        <f>IFERROR(INDEX(Disbursements!$D:$D,MATCH('Live Collections'!G2164,Disbursements!$C:$C,0)),"")</f>
        <v>2</v>
      </c>
      <c r="G2164" s="34">
        <v>302</v>
      </c>
      <c r="H2164" s="34">
        <v>3823</v>
      </c>
      <c r="I2164" s="34" t="s">
        <v>1359</v>
      </c>
      <c r="J2164" s="48"/>
      <c r="K2164" s="48"/>
      <c r="L2164" s="48"/>
      <c r="M2164" s="48"/>
      <c r="N2164" s="59"/>
      <c r="O2164" s="59">
        <v>125000</v>
      </c>
      <c r="P2164" s="59"/>
      <c r="Q2164" s="268">
        <f t="shared" si="103"/>
        <v>125000</v>
      </c>
      <c r="R2164" s="61">
        <f>IF(O2164=0,0,SUMIFS(Disbursements!$T:$T,Disbursements!$B:$B,'Live Collections'!D2164,Disbursements!$D:$D,'Live Collections'!F2164))</f>
        <v>125000</v>
      </c>
      <c r="S2164" s="304">
        <f>IF(O2164&lt;=IF($O2164=0,0,SUMIFS(Disbursements!$W:$W,Disbursements!$B:$B,'Live Collections'!D2118,Disbursements!$D:$D,'Live Collections'!F2118)),O2164,IF($O2164=0,0,SUMIFS(Disbursements!$W:$W,Disbursements!$B:$B,'Live Collections'!D2118,Disbursements!$D:$D,'Live Collections'!F2118)))</f>
        <v>125000</v>
      </c>
      <c r="T2164" s="304">
        <f t="shared" si="102"/>
        <v>0</v>
      </c>
      <c r="U2164" s="52"/>
      <c r="V2164" s="34"/>
      <c r="W2164" s="408"/>
    </row>
    <row r="2165" spans="1:23" ht="12.75" customHeight="1" x14ac:dyDescent="0.2">
      <c r="A2165" s="257">
        <v>2135</v>
      </c>
      <c r="B2165" s="44">
        <v>44536</v>
      </c>
      <c r="C2165" s="44">
        <f t="shared" si="101"/>
        <v>44536</v>
      </c>
      <c r="D2165" s="374">
        <v>184</v>
      </c>
      <c r="E2165" s="291" t="str">
        <f>IFERROR(VLOOKUP($D2165,'Clients-Live'!$A:$C,3,0),"")</f>
        <v>OCOKORU GLORIA</v>
      </c>
      <c r="F2165" s="291">
        <f>IFERROR(INDEX(Disbursements!$D:$D,MATCH('Live Collections'!G2165,Disbursements!$C:$C,0)),"")</f>
        <v>1</v>
      </c>
      <c r="G2165" s="34">
        <v>170</v>
      </c>
      <c r="H2165" s="34">
        <v>3898</v>
      </c>
      <c r="I2165" s="34" t="s">
        <v>1358</v>
      </c>
      <c r="J2165" s="48"/>
      <c r="K2165" s="48"/>
      <c r="L2165" s="48"/>
      <c r="M2165" s="48"/>
      <c r="N2165" s="59"/>
      <c r="O2165" s="59">
        <v>300000</v>
      </c>
      <c r="P2165" s="59"/>
      <c r="Q2165" s="268">
        <f t="shared" si="103"/>
        <v>300000</v>
      </c>
      <c r="R2165" s="61">
        <f>IF(O2165=0,0,SUMIFS(Disbursements!$T:$T,Disbursements!$B:$B,'Live Collections'!D2165,Disbursements!$D:$D,'Live Collections'!F2165))</f>
        <v>240000</v>
      </c>
      <c r="S2165" s="304">
        <f>IF(O2165&lt;=IF($O2165=0,0,SUMIFS(Disbursements!$W:$W,Disbursements!$B:$B,'Live Collections'!D2242,Disbursements!$D:$D,'Live Collections'!F2242)),O2165,IF($O2165=0,0,SUMIFS(Disbursements!$W:$W,Disbursements!$B:$B,'Live Collections'!D2242,Disbursements!$D:$D,'Live Collections'!F2242)))</f>
        <v>15000</v>
      </c>
      <c r="T2165" s="304">
        <f t="shared" si="102"/>
        <v>285000</v>
      </c>
      <c r="U2165" s="52"/>
      <c r="V2165" s="34"/>
      <c r="W2165" s="408"/>
    </row>
    <row r="2166" spans="1:23" ht="12.75" customHeight="1" x14ac:dyDescent="0.2">
      <c r="A2166" s="257">
        <v>2144</v>
      </c>
      <c r="B2166" s="44">
        <v>44536</v>
      </c>
      <c r="C2166" s="44">
        <f t="shared" si="101"/>
        <v>44536</v>
      </c>
      <c r="D2166" s="374">
        <v>188</v>
      </c>
      <c r="E2166" s="291" t="str">
        <f>IFERROR(VLOOKUP($D2166,'Clients-Live'!$A:$C,3,0),"")</f>
        <v>ADIRU HELLEN</v>
      </c>
      <c r="F2166" s="291">
        <f>IFERROR(INDEX(Disbursements!$D:$D,MATCH('Live Collections'!G2166,Disbursements!$C:$C,0)),"")</f>
        <v>2</v>
      </c>
      <c r="G2166" s="34">
        <v>328</v>
      </c>
      <c r="H2166" s="34">
        <v>3896</v>
      </c>
      <c r="I2166" s="34" t="s">
        <v>1358</v>
      </c>
      <c r="J2166" s="48"/>
      <c r="K2166" s="48"/>
      <c r="L2166" s="48"/>
      <c r="M2166" s="48"/>
      <c r="N2166" s="59"/>
      <c r="O2166" s="59">
        <v>135000</v>
      </c>
      <c r="P2166" s="59"/>
      <c r="Q2166" s="268">
        <f t="shared" si="103"/>
        <v>135000</v>
      </c>
      <c r="R2166" s="61">
        <f>IF(O2166=0,0,SUMIFS(Disbursements!$T:$T,Disbursements!$B:$B,'Live Collections'!D2166,Disbursements!$D:$D,'Live Collections'!F2166))</f>
        <v>180000</v>
      </c>
      <c r="S2166" s="304">
        <f>IF(O2166&lt;=IF($O2166=0,0,SUMIFS(Disbursements!$W:$W,Disbursements!$B:$B,'Live Collections'!D2292,Disbursements!$D:$D,'Live Collections'!F2292)),O2166,IF($O2166=0,0,SUMIFS(Disbursements!$W:$W,Disbursements!$B:$B,'Live Collections'!D2292,Disbursements!$D:$D,'Live Collections'!F2292)))</f>
        <v>50000</v>
      </c>
      <c r="T2166" s="304">
        <f t="shared" si="102"/>
        <v>85000</v>
      </c>
      <c r="U2166" s="52"/>
      <c r="V2166" s="34"/>
      <c r="W2166" s="408"/>
    </row>
    <row r="2167" spans="1:23" ht="12.75" customHeight="1" x14ac:dyDescent="0.2">
      <c r="A2167" s="257">
        <v>2141</v>
      </c>
      <c r="B2167" s="44">
        <v>44536</v>
      </c>
      <c r="C2167" s="44">
        <f t="shared" si="101"/>
        <v>44536</v>
      </c>
      <c r="D2167" s="374">
        <v>212</v>
      </c>
      <c r="E2167" s="291" t="str">
        <f>IFERROR(VLOOKUP($D2167,'Clients-Live'!$A:$C,3,0),"")</f>
        <v>ACIDRI WILLIAM</v>
      </c>
      <c r="F2167" s="291">
        <f>IFERROR(INDEX(Disbursements!$D:$D,MATCH('Live Collections'!G2167,Disbursements!$C:$C,0)),"")</f>
        <v>1</v>
      </c>
      <c r="G2167" s="34">
        <v>206</v>
      </c>
      <c r="H2167" s="34">
        <v>497</v>
      </c>
      <c r="I2167" s="34" t="s">
        <v>1358</v>
      </c>
      <c r="J2167" s="48"/>
      <c r="K2167" s="48"/>
      <c r="L2167" s="48"/>
      <c r="M2167" s="48"/>
      <c r="N2167" s="59"/>
      <c r="O2167" s="59"/>
      <c r="P2167" s="59">
        <v>-65000</v>
      </c>
      <c r="Q2167" s="268">
        <f t="shared" si="103"/>
        <v>-65000</v>
      </c>
      <c r="R2167" s="61">
        <f>IF(O2167=0,0,SUMIFS(Disbursements!$T:$T,Disbursements!$B:$B,'Live Collections'!D2167,Disbursements!$D:$D,'Live Collections'!F2167))</f>
        <v>0</v>
      </c>
      <c r="S2167" s="304">
        <f>IF(O2167&lt;=IF($O2167=0,0,SUMIFS(Disbursements!$W:$W,Disbursements!$B:$B,'Live Collections'!D2503,Disbursements!$D:$D,'Live Collections'!F2503)),O2167,IF($O2167=0,0,SUMIFS(Disbursements!$W:$W,Disbursements!$B:$B,'Live Collections'!D2503,Disbursements!$D:$D,'Live Collections'!F2503)))</f>
        <v>0</v>
      </c>
      <c r="T2167" s="304">
        <f t="shared" si="102"/>
        <v>0</v>
      </c>
      <c r="U2167" s="52"/>
      <c r="V2167" s="34"/>
      <c r="W2167" s="408"/>
    </row>
    <row r="2168" spans="1:23" ht="12.75" customHeight="1" x14ac:dyDescent="0.2">
      <c r="A2168" s="257">
        <v>2142</v>
      </c>
      <c r="B2168" s="44">
        <v>44536</v>
      </c>
      <c r="C2168" s="44">
        <f t="shared" si="101"/>
        <v>44536</v>
      </c>
      <c r="D2168" s="374">
        <v>212</v>
      </c>
      <c r="E2168" s="291" t="str">
        <f>IFERROR(VLOOKUP($D2168,'Clients-Live'!$A:$C,3,0),"")</f>
        <v>ACIDRI WILLIAM</v>
      </c>
      <c r="F2168" s="291">
        <f>IFERROR(INDEX(Disbursements!$D:$D,MATCH('Live Collections'!G2168,Disbursements!$C:$C,0)),"")</f>
        <v>1</v>
      </c>
      <c r="G2168" s="34">
        <v>206</v>
      </c>
      <c r="H2168" s="34">
        <v>3894</v>
      </c>
      <c r="I2168" s="34" t="s">
        <v>1358</v>
      </c>
      <c r="J2168" s="48"/>
      <c r="K2168" s="48"/>
      <c r="L2168" s="48"/>
      <c r="M2168" s="48"/>
      <c r="N2168" s="59"/>
      <c r="O2168" s="59">
        <v>65000</v>
      </c>
      <c r="P2168" s="59"/>
      <c r="Q2168" s="268">
        <f t="shared" si="103"/>
        <v>65000</v>
      </c>
      <c r="R2168" s="61">
        <f>IF(O2168=0,0,SUMIFS(Disbursements!$T:$T,Disbursements!$B:$B,'Live Collections'!D2168,Disbursements!$D:$D,'Live Collections'!F2168))</f>
        <v>266000</v>
      </c>
      <c r="S2168" s="304"/>
      <c r="T2168" s="304">
        <f t="shared" si="102"/>
        <v>65000</v>
      </c>
      <c r="U2168" s="52"/>
      <c r="V2168" s="34"/>
      <c r="W2168" s="408" t="s">
        <v>1894</v>
      </c>
    </row>
    <row r="2169" spans="1:23" ht="12.75" customHeight="1" x14ac:dyDescent="0.2">
      <c r="A2169" s="257">
        <v>2143</v>
      </c>
      <c r="B2169" s="44">
        <v>44536</v>
      </c>
      <c r="C2169" s="44">
        <f t="shared" si="101"/>
        <v>44536</v>
      </c>
      <c r="D2169" s="374">
        <v>212</v>
      </c>
      <c r="E2169" s="291" t="str">
        <f>IFERROR(VLOOKUP($D2169,'Clients-Live'!$A:$C,3,0),"")</f>
        <v>ACIDRI WILLIAM</v>
      </c>
      <c r="F2169" s="291">
        <f>IFERROR(INDEX(Disbursements!$D:$D,MATCH('Live Collections'!G2169,Disbursements!$C:$C,0)),"")</f>
        <v>1</v>
      </c>
      <c r="G2169" s="34">
        <v>206</v>
      </c>
      <c r="H2169" s="34">
        <v>3893</v>
      </c>
      <c r="I2169" s="34" t="s">
        <v>1358</v>
      </c>
      <c r="J2169" s="48"/>
      <c r="K2169" s="48"/>
      <c r="L2169" s="48"/>
      <c r="M2169" s="48"/>
      <c r="N2169" s="59"/>
      <c r="O2169" s="59">
        <v>201200</v>
      </c>
      <c r="P2169" s="59"/>
      <c r="Q2169" s="268">
        <f t="shared" si="103"/>
        <v>201200</v>
      </c>
      <c r="R2169" s="61">
        <f>IF(O2169=0,0,SUMIFS(Disbursements!$T:$T,Disbursements!$B:$B,'Live Collections'!D2169,Disbursements!$D:$D,'Live Collections'!F2169))</f>
        <v>266000</v>
      </c>
      <c r="S2169" s="304"/>
      <c r="T2169" s="304">
        <f t="shared" si="102"/>
        <v>201200</v>
      </c>
      <c r="U2169" s="52"/>
      <c r="V2169" s="34"/>
      <c r="W2169" s="408"/>
    </row>
    <row r="2170" spans="1:23" ht="12.75" customHeight="1" x14ac:dyDescent="0.2">
      <c r="A2170" s="257">
        <v>2137</v>
      </c>
      <c r="B2170" s="44">
        <v>44536</v>
      </c>
      <c r="C2170" s="44">
        <f t="shared" si="101"/>
        <v>44536</v>
      </c>
      <c r="D2170" s="374">
        <v>222</v>
      </c>
      <c r="E2170" s="291" t="str">
        <f>IFERROR(VLOOKUP($D2170,'Clients-Live'!$A:$C,3,0),"")</f>
        <v>ITITU ZAIDA</v>
      </c>
      <c r="F2170" s="291">
        <f>IFERROR(INDEX(Disbursements!$D:$D,MATCH('Live Collections'!G2170,Disbursements!$C:$C,0)),"")</f>
        <v>1</v>
      </c>
      <c r="G2170" s="34">
        <v>249</v>
      </c>
      <c r="H2170" s="34">
        <v>3899</v>
      </c>
      <c r="I2170" s="34" t="s">
        <v>1358</v>
      </c>
      <c r="J2170" s="48"/>
      <c r="K2170" s="48"/>
      <c r="L2170" s="48"/>
      <c r="M2170" s="48"/>
      <c r="N2170" s="59"/>
      <c r="O2170" s="59">
        <v>50000</v>
      </c>
      <c r="P2170" s="59"/>
      <c r="Q2170" s="268">
        <f t="shared" si="103"/>
        <v>50000</v>
      </c>
      <c r="R2170" s="61">
        <f>IF(O2170=0,0,SUMIFS(Disbursements!$T:$T,Disbursements!$B:$B,'Live Collections'!D2170,Disbursements!$D:$D,'Live Collections'!F2170))</f>
        <v>180000</v>
      </c>
      <c r="S2170" s="304">
        <f>IF(O2170&lt;=IF($O2170=0,0,SUMIFS(Disbursements!$W:$W,Disbursements!$B:$B,'Live Collections'!D2614,Disbursements!$D:$D,'Live Collections'!F2614)),O2170,IF($O2170=0,0,SUMIFS(Disbursements!$W:$W,Disbursements!$B:$B,'Live Collections'!D2614,Disbursements!$D:$D,'Live Collections'!F2614)))</f>
        <v>9000</v>
      </c>
      <c r="T2170" s="304">
        <f t="shared" si="102"/>
        <v>41000</v>
      </c>
      <c r="U2170" s="52"/>
      <c r="V2170" s="34"/>
      <c r="W2170" s="408"/>
    </row>
    <row r="2171" spans="1:23" ht="12.75" customHeight="1" x14ac:dyDescent="0.2">
      <c r="A2171" s="257">
        <v>2154</v>
      </c>
      <c r="B2171" s="44">
        <v>44536</v>
      </c>
      <c r="C2171" s="44">
        <f t="shared" si="101"/>
        <v>44536</v>
      </c>
      <c r="D2171" s="374">
        <v>233</v>
      </c>
      <c r="E2171" s="291" t="str">
        <f>IFERROR(VLOOKUP($D2171,'Clients-Live'!$A:$C,3,0),"")</f>
        <v>KAMOYO HARRIET</v>
      </c>
      <c r="F2171" s="291">
        <f>IFERROR(INDEX(Disbursements!$D:$D,MATCH('Live Collections'!G2171,Disbursements!$C:$C,0)),"")</f>
        <v>1</v>
      </c>
      <c r="G2171" s="34">
        <v>246</v>
      </c>
      <c r="H2171" s="34">
        <v>3879</v>
      </c>
      <c r="I2171" s="34" t="s">
        <v>1358</v>
      </c>
      <c r="J2171" s="48"/>
      <c r="K2171" s="48"/>
      <c r="L2171" s="48"/>
      <c r="M2171" s="48"/>
      <c r="N2171" s="59"/>
      <c r="O2171" s="59">
        <v>150000</v>
      </c>
      <c r="P2171" s="59"/>
      <c r="Q2171" s="268">
        <f t="shared" si="103"/>
        <v>150000</v>
      </c>
      <c r="R2171" s="61">
        <f>IF(O2171=0,0,SUMIFS(Disbursements!$T:$T,Disbursements!$B:$B,'Live Collections'!D2171,Disbursements!$D:$D,'Live Collections'!F2171))</f>
        <v>150000</v>
      </c>
      <c r="S2171" s="304">
        <f>IF(O2171&lt;=IF($O2171=0,0,SUMIFS(Disbursements!$W:$W,Disbursements!$B:$B,'Live Collections'!D2695,Disbursements!$D:$D,'Live Collections'!F2695)),O2171,IF($O2171=0,0,SUMIFS(Disbursements!$W:$W,Disbursements!$B:$B,'Live Collections'!D2695,Disbursements!$D:$D,'Live Collections'!F2695)))</f>
        <v>20000</v>
      </c>
      <c r="T2171" s="304">
        <f t="shared" si="102"/>
        <v>130000</v>
      </c>
      <c r="U2171" s="52"/>
      <c r="V2171" s="34"/>
      <c r="W2171" s="408"/>
    </row>
    <row r="2172" spans="1:23" ht="12.75" customHeight="1" x14ac:dyDescent="0.2">
      <c r="A2172" s="257">
        <v>2140</v>
      </c>
      <c r="B2172" s="44">
        <v>44536</v>
      </c>
      <c r="C2172" s="44">
        <f t="shared" si="101"/>
        <v>44536</v>
      </c>
      <c r="D2172" s="374">
        <v>236</v>
      </c>
      <c r="E2172" s="291" t="str">
        <f>IFERROR(VLOOKUP($D2172,'Clients-Live'!$A:$C,3,0),"")</f>
        <v>AMIJI LUCY</v>
      </c>
      <c r="F2172" s="291">
        <f>IFERROR(INDEX(Disbursements!$D:$D,MATCH('Live Collections'!G2172,Disbursements!$C:$C,0)),"")</f>
        <v>1</v>
      </c>
      <c r="G2172" s="34">
        <v>247</v>
      </c>
      <c r="H2172" s="34">
        <v>3895</v>
      </c>
      <c r="I2172" s="34" t="s">
        <v>1357</v>
      </c>
      <c r="J2172" s="48"/>
      <c r="K2172" s="48"/>
      <c r="L2172" s="48"/>
      <c r="M2172" s="48"/>
      <c r="N2172" s="59"/>
      <c r="O2172" s="59">
        <v>300000</v>
      </c>
      <c r="P2172" s="59"/>
      <c r="Q2172" s="268">
        <f t="shared" si="103"/>
        <v>300000</v>
      </c>
      <c r="R2172" s="61">
        <f>IF(O2172=0,0,SUMIFS(Disbursements!$T:$T,Disbursements!$B:$B,'Live Collections'!D2172,Disbursements!$D:$D,'Live Collections'!F2172))</f>
        <v>384000</v>
      </c>
      <c r="S2172" s="304">
        <f>IF(O2172&lt;=IF($O2172=0,0,SUMIFS(Disbursements!$W:$W,Disbursements!$B:$B,'Live Collections'!D2716,Disbursements!$D:$D,'Live Collections'!F2716)),O2172,IF($O2172=0,0,SUMIFS(Disbursements!$W:$W,Disbursements!$B:$B,'Live Collections'!D2716,Disbursements!$D:$D,'Live Collections'!F2716)))</f>
        <v>9000</v>
      </c>
      <c r="T2172" s="304">
        <f t="shared" si="102"/>
        <v>291000</v>
      </c>
      <c r="U2172" s="52"/>
      <c r="V2172" s="34"/>
      <c r="W2172" s="408"/>
    </row>
    <row r="2173" spans="1:23" ht="12.75" customHeight="1" x14ac:dyDescent="0.2">
      <c r="A2173" s="257">
        <v>2168</v>
      </c>
      <c r="B2173" s="44">
        <v>44536</v>
      </c>
      <c r="C2173" s="44">
        <f t="shared" si="101"/>
        <v>44536</v>
      </c>
      <c r="D2173" s="374">
        <v>246</v>
      </c>
      <c r="E2173" s="291" t="str">
        <f>IFERROR(VLOOKUP($D2173,'Clients-Live'!$A:$C,3,0),"")</f>
        <v>ALOMO ZAIDA</v>
      </c>
      <c r="F2173" s="291">
        <f>IFERROR(INDEX(Disbursements!$D:$D,MATCH('Live Collections'!G2173,Disbursements!$C:$C,0)),"")</f>
        <v>1</v>
      </c>
      <c r="G2173" s="34">
        <v>271</v>
      </c>
      <c r="H2173" s="34">
        <v>3866</v>
      </c>
      <c r="I2173" s="34" t="s">
        <v>1357</v>
      </c>
      <c r="J2173" s="48"/>
      <c r="K2173" s="48"/>
      <c r="L2173" s="48"/>
      <c r="M2173" s="48"/>
      <c r="N2173" s="59"/>
      <c r="O2173" s="59">
        <v>30000</v>
      </c>
      <c r="P2173" s="59"/>
      <c r="Q2173" s="268">
        <f t="shared" si="103"/>
        <v>30000</v>
      </c>
      <c r="R2173" s="61">
        <f>IF(O2173=0,0,SUMIFS(Disbursements!$T:$T,Disbursements!$B:$B,'Live Collections'!D2173,Disbursements!$D:$D,'Live Collections'!F2173))</f>
        <v>120000</v>
      </c>
      <c r="S2173" s="304"/>
      <c r="T2173" s="304">
        <f t="shared" si="102"/>
        <v>30000</v>
      </c>
      <c r="U2173" s="52"/>
      <c r="V2173" s="34"/>
      <c r="W2173" s="408"/>
    </row>
    <row r="2174" spans="1:23" ht="12.75" customHeight="1" x14ac:dyDescent="0.2">
      <c r="A2174" s="257">
        <v>2139</v>
      </c>
      <c r="B2174" s="44">
        <v>44536</v>
      </c>
      <c r="C2174" s="44">
        <f t="shared" si="101"/>
        <v>44536</v>
      </c>
      <c r="D2174" s="374">
        <v>253</v>
      </c>
      <c r="E2174" s="291" t="str">
        <f>IFERROR(VLOOKUP($D2174,'Clients-Live'!$A:$C,3,0),"")</f>
        <v>JAKUMA VINCENT</v>
      </c>
      <c r="F2174" s="291">
        <f>IFERROR(INDEX(Disbursements!$D:$D,MATCH('Live Collections'!G2174,Disbursements!$C:$C,0)),"")</f>
        <v>1</v>
      </c>
      <c r="G2174" s="34">
        <v>359</v>
      </c>
      <c r="H2174" s="34">
        <v>3821</v>
      </c>
      <c r="I2174" s="34" t="s">
        <v>1359</v>
      </c>
      <c r="J2174" s="48"/>
      <c r="K2174" s="48"/>
      <c r="L2174" s="48"/>
      <c r="M2174" s="48"/>
      <c r="N2174" s="59"/>
      <c r="O2174" s="59">
        <v>150000</v>
      </c>
      <c r="P2174" s="59"/>
      <c r="Q2174" s="268">
        <f t="shared" si="103"/>
        <v>150000</v>
      </c>
      <c r="R2174" s="61">
        <f>IF(O2174=0,0,SUMIFS(Disbursements!$T:$T,Disbursements!$B:$B,'Live Collections'!D2174,Disbursements!$D:$D,'Live Collections'!F2174))</f>
        <v>613000</v>
      </c>
      <c r="S2174" s="304">
        <f>IF(O2174&lt;=IF($O2174=0,0,SUMIFS(Disbursements!$W:$W,Disbursements!$B:$B,'Live Collections'!D2839,Disbursements!$D:$D,'Live Collections'!F2839)),O2174,IF($O2174=0,0,SUMIFS(Disbursements!$W:$W,Disbursements!$B:$B,'Live Collections'!D2839,Disbursements!$D:$D,'Live Collections'!F2839)))</f>
        <v>150000</v>
      </c>
      <c r="T2174" s="304">
        <f t="shared" si="102"/>
        <v>0</v>
      </c>
      <c r="U2174" s="52"/>
      <c r="V2174" s="34"/>
      <c r="W2174" s="408"/>
    </row>
    <row r="2175" spans="1:23" ht="12.75" customHeight="1" x14ac:dyDescent="0.2">
      <c r="A2175" s="257">
        <v>2145</v>
      </c>
      <c r="B2175" s="44">
        <v>44536</v>
      </c>
      <c r="C2175" s="44">
        <f t="shared" si="101"/>
        <v>44536</v>
      </c>
      <c r="D2175" s="374">
        <v>276</v>
      </c>
      <c r="E2175" s="291" t="str">
        <f>IFERROR(VLOOKUP($D2175,'Clients-Live'!$A:$C,3,0),"")</f>
        <v>MANDELA SWAIBU</v>
      </c>
      <c r="F2175" s="291">
        <f>IFERROR(INDEX(Disbursements!$D:$D,MATCH('Live Collections'!G2175,Disbursements!$C:$C,0)),"")</f>
        <v>1</v>
      </c>
      <c r="G2175" s="34">
        <v>358</v>
      </c>
      <c r="H2175" s="34">
        <v>3889</v>
      </c>
      <c r="I2175" s="34" t="s">
        <v>1359</v>
      </c>
      <c r="J2175" s="48"/>
      <c r="K2175" s="48"/>
      <c r="L2175" s="48"/>
      <c r="M2175" s="48"/>
      <c r="N2175" s="59"/>
      <c r="O2175" s="59"/>
      <c r="P2175" s="59">
        <v>150000</v>
      </c>
      <c r="Q2175" s="268">
        <f t="shared" si="103"/>
        <v>150000</v>
      </c>
      <c r="R2175" s="61">
        <f>IF(O2175=0,0,SUMIFS(Disbursements!$T:$T,Disbursements!$B:$B,'Live Collections'!D2175,Disbursements!$D:$D,'Live Collections'!F2175))</f>
        <v>0</v>
      </c>
      <c r="S2175" s="304">
        <f>IF(O2175&lt;=IF($O2175=0,0,SUMIFS(Disbursements!$W:$W,Disbursements!$B:$B,'Live Collections'!D2986,Disbursements!$D:$D,'Live Collections'!F2986)),O2175,IF($O2175=0,0,SUMIFS(Disbursements!$W:$W,Disbursements!$B:$B,'Live Collections'!D2986,Disbursements!$D:$D,'Live Collections'!F2986)))</f>
        <v>0</v>
      </c>
      <c r="T2175" s="304">
        <f t="shared" si="102"/>
        <v>0</v>
      </c>
      <c r="U2175" s="52"/>
      <c r="V2175" s="34"/>
      <c r="W2175" s="408"/>
    </row>
    <row r="2176" spans="1:23" ht="12.75" customHeight="1" x14ac:dyDescent="0.2">
      <c r="A2176" s="257">
        <v>2171</v>
      </c>
      <c r="B2176" s="44">
        <v>44536</v>
      </c>
      <c r="C2176" s="44">
        <f t="shared" si="101"/>
        <v>44536</v>
      </c>
      <c r="D2176" s="374">
        <v>300</v>
      </c>
      <c r="E2176" s="291" t="str">
        <f>IFERROR(VLOOKUP($D2176,'Clients-Live'!$A:$C,3,0),"")</f>
        <v>AYA ZAINABU</v>
      </c>
      <c r="F2176" s="291" t="str">
        <f>IFERROR(INDEX(Disbursements!$D:$D,MATCH('Live Collections'!G2176,Disbursements!$C:$C,0)),"")</f>
        <v/>
      </c>
      <c r="G2176" s="34"/>
      <c r="H2176" s="34">
        <v>3815</v>
      </c>
      <c r="I2176" s="34" t="s">
        <v>1716</v>
      </c>
      <c r="J2176" s="48"/>
      <c r="K2176" s="48"/>
      <c r="L2176" s="48">
        <v>10000</v>
      </c>
      <c r="M2176" s="48">
        <v>5000</v>
      </c>
      <c r="N2176" s="59"/>
      <c r="O2176" s="59"/>
      <c r="P2176" s="59"/>
      <c r="Q2176" s="268">
        <f t="shared" si="103"/>
        <v>15000</v>
      </c>
      <c r="R2176" s="61">
        <f>IF(O2176=0,0,SUMIFS(Disbursements!$T:$T,Disbursements!$B:$B,'Live Collections'!D2176,Disbursements!$D:$D,'Live Collections'!F2176))</f>
        <v>0</v>
      </c>
      <c r="S2176" s="304">
        <f>IF(O2176&lt;=IF($O2176=0,0,SUMIFS(Disbursements!$W:$W,Disbursements!$B:$B,'Live Collections'!D3074,Disbursements!$D:$D,'Live Collections'!F3074)),O2176,IF($O2176=0,0,SUMIFS(Disbursements!$W:$W,Disbursements!$B:$B,'Live Collections'!D3074,Disbursements!$D:$D,'Live Collections'!F3074)))</f>
        <v>0</v>
      </c>
      <c r="T2176" s="304">
        <f t="shared" si="102"/>
        <v>0</v>
      </c>
      <c r="U2176" s="52"/>
      <c r="V2176" s="34"/>
      <c r="W2176" s="408"/>
    </row>
    <row r="2177" spans="1:23" ht="12.75" customHeight="1" x14ac:dyDescent="0.2">
      <c r="A2177" s="257">
        <v>2172</v>
      </c>
      <c r="B2177" s="44">
        <v>44536</v>
      </c>
      <c r="C2177" s="44">
        <f t="shared" ref="C2177:C2240" si="104">B2177</f>
        <v>44536</v>
      </c>
      <c r="D2177" s="374">
        <v>300</v>
      </c>
      <c r="E2177" s="291" t="str">
        <f>IFERROR(VLOOKUP($D2177,'Clients-Live'!$A:$C,3,0),"")</f>
        <v>AYA ZAINABU</v>
      </c>
      <c r="F2177" s="291" t="str">
        <f>IFERROR(INDEX(Disbursements!$D:$D,MATCH('Live Collections'!G2177,Disbursements!$C:$C,0)),"")</f>
        <v/>
      </c>
      <c r="G2177" s="34"/>
      <c r="H2177" s="34">
        <v>3814</v>
      </c>
      <c r="I2177" s="34" t="s">
        <v>1716</v>
      </c>
      <c r="J2177" s="48">
        <v>15000</v>
      </c>
      <c r="K2177" s="48">
        <v>5000</v>
      </c>
      <c r="L2177" s="48"/>
      <c r="M2177" s="48"/>
      <c r="N2177" s="59"/>
      <c r="O2177" s="59"/>
      <c r="P2177" s="59"/>
      <c r="Q2177" s="268">
        <f t="shared" si="103"/>
        <v>20000</v>
      </c>
      <c r="R2177" s="61">
        <f>IF(O2177=0,0,SUMIFS(Disbursements!$T:$T,Disbursements!$B:$B,'Live Collections'!D2177,Disbursements!$D:$D,'Live Collections'!F2177))</f>
        <v>0</v>
      </c>
      <c r="S2177" s="304">
        <f>IF(O2177&lt;=IF($O2177=0,0,SUMIFS(Disbursements!$W:$W,Disbursements!$B:$B,'Live Collections'!D3075,Disbursements!$D:$D,'Live Collections'!F3075)),O2177,IF($O2177=0,0,SUMIFS(Disbursements!$W:$W,Disbursements!$B:$B,'Live Collections'!D3075,Disbursements!$D:$D,'Live Collections'!F3075)))</f>
        <v>0</v>
      </c>
      <c r="T2177" s="304">
        <f t="shared" ref="T2177:T2240" si="105">IF(O2177=0,0,O2177-S2177)</f>
        <v>0</v>
      </c>
      <c r="U2177" s="52"/>
      <c r="V2177" s="34"/>
      <c r="W2177" s="408"/>
    </row>
    <row r="2178" spans="1:23" ht="12.75" customHeight="1" x14ac:dyDescent="0.2">
      <c r="A2178" s="257">
        <v>2169</v>
      </c>
      <c r="B2178" s="44">
        <v>44536</v>
      </c>
      <c r="C2178" s="44">
        <f t="shared" si="104"/>
        <v>44536</v>
      </c>
      <c r="D2178" s="374">
        <v>301</v>
      </c>
      <c r="E2178" s="291" t="str">
        <f>IFERROR(VLOOKUP($D2178,'Clients-Live'!$A:$C,3,0),"")</f>
        <v>MAYANJA DAVID</v>
      </c>
      <c r="F2178" s="291" t="str">
        <f>IFERROR(INDEX(Disbursements!$D:$D,MATCH('Live Collections'!G2178,Disbursements!$C:$C,0)),"")</f>
        <v/>
      </c>
      <c r="G2178" s="34"/>
      <c r="H2178" s="34">
        <v>3818</v>
      </c>
      <c r="I2178" s="34" t="s">
        <v>1716</v>
      </c>
      <c r="J2178" s="48"/>
      <c r="K2178" s="48"/>
      <c r="L2178" s="48">
        <v>20000</v>
      </c>
      <c r="M2178" s="48">
        <v>5000</v>
      </c>
      <c r="N2178" s="59"/>
      <c r="O2178" s="59"/>
      <c r="P2178" s="59"/>
      <c r="Q2178" s="268">
        <f t="shared" si="103"/>
        <v>25000</v>
      </c>
      <c r="R2178" s="61">
        <f>IF(O2178=0,0,SUMIFS(Disbursements!$T:$T,Disbursements!$B:$B,'Live Collections'!D2178,Disbursements!$D:$D,'Live Collections'!F2178))</f>
        <v>0</v>
      </c>
      <c r="S2178" s="304">
        <f>IF(O2178&lt;=IF($O2178=0,0,SUMIFS(Disbursements!$W:$W,Disbursements!$B:$B,'Live Collections'!D3079,Disbursements!$D:$D,'Live Collections'!F3079)),O2178,IF($O2178=0,0,SUMIFS(Disbursements!$W:$W,Disbursements!$B:$B,'Live Collections'!D3079,Disbursements!$D:$D,'Live Collections'!F3079)))</f>
        <v>0</v>
      </c>
      <c r="T2178" s="304">
        <f t="shared" si="105"/>
        <v>0</v>
      </c>
      <c r="U2178" s="52"/>
      <c r="V2178" s="34"/>
      <c r="W2178" s="408"/>
    </row>
    <row r="2179" spans="1:23" ht="12.75" customHeight="1" x14ac:dyDescent="0.2">
      <c r="A2179" s="257">
        <v>2170</v>
      </c>
      <c r="B2179" s="44">
        <v>44536</v>
      </c>
      <c r="C2179" s="44">
        <f t="shared" si="104"/>
        <v>44536</v>
      </c>
      <c r="D2179" s="374">
        <v>301</v>
      </c>
      <c r="E2179" s="291" t="str">
        <f>IFERROR(VLOOKUP($D2179,'Clients-Live'!$A:$C,3,0),"")</f>
        <v>MAYANJA DAVID</v>
      </c>
      <c r="F2179" s="291" t="str">
        <f>IFERROR(INDEX(Disbursements!$D:$D,MATCH('Live Collections'!G2179,Disbursements!$C:$C,0)),"")</f>
        <v/>
      </c>
      <c r="G2179" s="34"/>
      <c r="H2179" s="34">
        <v>3816</v>
      </c>
      <c r="I2179" s="34" t="s">
        <v>1716</v>
      </c>
      <c r="J2179" s="48">
        <v>15000</v>
      </c>
      <c r="K2179" s="48">
        <v>5000</v>
      </c>
      <c r="L2179" s="48"/>
      <c r="M2179" s="48"/>
      <c r="N2179" s="59"/>
      <c r="O2179" s="59"/>
      <c r="P2179" s="59"/>
      <c r="Q2179" s="268">
        <f t="shared" si="103"/>
        <v>20000</v>
      </c>
      <c r="R2179" s="61">
        <f>IF(O2179=0,0,SUMIFS(Disbursements!$T:$T,Disbursements!$B:$B,'Live Collections'!D2179,Disbursements!$D:$D,'Live Collections'!F2179))</f>
        <v>0</v>
      </c>
      <c r="S2179" s="304">
        <f>IF(O2179&lt;=IF($O2179=0,0,SUMIFS(Disbursements!$W:$W,Disbursements!$B:$B,'Live Collections'!D3080,Disbursements!$D:$D,'Live Collections'!F3080)),O2179,IF($O2179=0,0,SUMIFS(Disbursements!$W:$W,Disbursements!$B:$B,'Live Collections'!D3080,Disbursements!$D:$D,'Live Collections'!F3080)))</f>
        <v>0</v>
      </c>
      <c r="T2179" s="304">
        <f t="shared" si="105"/>
        <v>0</v>
      </c>
      <c r="U2179" s="52"/>
      <c r="V2179" s="34"/>
      <c r="W2179" s="408"/>
    </row>
    <row r="2180" spans="1:23" ht="12.75" customHeight="1" x14ac:dyDescent="0.2">
      <c r="A2180" s="257">
        <v>2184</v>
      </c>
      <c r="B2180" s="44">
        <v>44537</v>
      </c>
      <c r="C2180" s="44">
        <f t="shared" si="104"/>
        <v>44537</v>
      </c>
      <c r="D2180" s="374">
        <v>42</v>
      </c>
      <c r="E2180" s="291" t="str">
        <f>IFERROR(VLOOKUP($D2180,'Clients-Live'!$A:$C,3,0),"")</f>
        <v>ABAU   NOLA</v>
      </c>
      <c r="F2180" s="291">
        <f>IFERROR(INDEX(Disbursements!$D:$D,MATCH('Live Collections'!G2180,Disbursements!$C:$C,0)),"")</f>
        <v>2</v>
      </c>
      <c r="G2180" s="34">
        <v>251</v>
      </c>
      <c r="H2180" s="34">
        <v>3835</v>
      </c>
      <c r="I2180" s="34" t="s">
        <v>1359</v>
      </c>
      <c r="J2180" s="48"/>
      <c r="K2180" s="48"/>
      <c r="L2180" s="48"/>
      <c r="M2180" s="48"/>
      <c r="N2180" s="59"/>
      <c r="O2180" s="59">
        <v>29000</v>
      </c>
      <c r="P2180" s="59"/>
      <c r="Q2180" s="268">
        <f t="shared" si="103"/>
        <v>29000</v>
      </c>
      <c r="R2180" s="61">
        <f>IF(O2180=0,0,SUMIFS(Disbursements!$T:$T,Disbursements!$B:$B,'Live Collections'!D2180,Disbursements!$D:$D,'Live Collections'!F2180))</f>
        <v>69000</v>
      </c>
      <c r="S2180" s="304"/>
      <c r="T2180" s="304">
        <f t="shared" si="105"/>
        <v>29000</v>
      </c>
      <c r="U2180" s="52"/>
      <c r="V2180" s="34"/>
      <c r="W2180" s="408"/>
    </row>
    <row r="2181" spans="1:23" ht="12.75" customHeight="1" x14ac:dyDescent="0.2">
      <c r="A2181" s="257">
        <v>2188</v>
      </c>
      <c r="B2181" s="44">
        <v>44537</v>
      </c>
      <c r="C2181" s="44">
        <f t="shared" si="104"/>
        <v>44537</v>
      </c>
      <c r="D2181" s="374">
        <v>44</v>
      </c>
      <c r="E2181" s="291" t="str">
        <f>IFERROR(VLOOKUP($D2181,'Clients-Live'!$A:$C,3,0),"")</f>
        <v>CANDIRU HELLEN</v>
      </c>
      <c r="F2181" s="291" t="str">
        <f>IFERROR(INDEX(Disbursements!$D:$D,MATCH('Live Collections'!G2181,Disbursements!$C:$C,0)),"")</f>
        <v/>
      </c>
      <c r="G2181" s="34"/>
      <c r="H2181" s="34">
        <v>3831</v>
      </c>
      <c r="I2181" s="34" t="s">
        <v>1358</v>
      </c>
      <c r="J2181" s="48"/>
      <c r="K2181" s="48"/>
      <c r="L2181" s="48">
        <v>20000</v>
      </c>
      <c r="M2181" s="48">
        <v>5000</v>
      </c>
      <c r="N2181" s="59"/>
      <c r="O2181" s="59"/>
      <c r="P2181" s="59"/>
      <c r="Q2181" s="268">
        <f t="shared" si="103"/>
        <v>25000</v>
      </c>
      <c r="R2181" s="61">
        <f>IF(O2181=0,0,SUMIFS(Disbursements!$T:$T,Disbursements!$B:$B,'Live Collections'!D2181,Disbursements!$D:$D,'Live Collections'!F2181))</f>
        <v>0</v>
      </c>
      <c r="S2181" s="304">
        <f>IF(O2181&lt;=IF($O2181=0,0,SUMIFS(Disbursements!$W:$W,Disbursements!$B:$B,'Live Collections'!D497,Disbursements!$D:$D,'Live Collections'!F497)),O2181,IF($O2181=0,0,SUMIFS(Disbursements!$W:$W,Disbursements!$B:$B,'Live Collections'!D497,Disbursements!$D:$D,'Live Collections'!F497)))</f>
        <v>0</v>
      </c>
      <c r="T2181" s="304">
        <f t="shared" si="105"/>
        <v>0</v>
      </c>
      <c r="U2181" s="52"/>
      <c r="V2181" s="34"/>
      <c r="W2181" s="408"/>
    </row>
    <row r="2182" spans="1:23" ht="12.75" customHeight="1" x14ac:dyDescent="0.2">
      <c r="A2182" s="257">
        <v>2187</v>
      </c>
      <c r="B2182" s="44">
        <v>44537</v>
      </c>
      <c r="C2182" s="44">
        <f t="shared" si="104"/>
        <v>44537</v>
      </c>
      <c r="D2182" s="374">
        <v>85</v>
      </c>
      <c r="E2182" s="291" t="str">
        <f>IFERROR(VLOOKUP($D2182,'Clients-Live'!$A:$C,3,0),"")</f>
        <v>CEASER SWALEH</v>
      </c>
      <c r="F2182" s="291">
        <f>IFERROR(INDEX(Disbursements!$D:$D,MATCH('Live Collections'!G2182,Disbursements!$C:$C,0)),"")</f>
        <v>2</v>
      </c>
      <c r="G2182" s="34">
        <v>119</v>
      </c>
      <c r="H2182" s="34">
        <v>3832</v>
      </c>
      <c r="I2182" s="34" t="s">
        <v>1357</v>
      </c>
      <c r="J2182" s="48"/>
      <c r="K2182" s="48"/>
      <c r="L2182" s="48"/>
      <c r="M2182" s="48"/>
      <c r="N2182" s="59"/>
      <c r="O2182" s="59">
        <v>135000</v>
      </c>
      <c r="P2182" s="59"/>
      <c r="Q2182" s="268">
        <f t="shared" si="103"/>
        <v>135000</v>
      </c>
      <c r="R2182" s="61">
        <f>IF(O2182=0,0,SUMIFS(Disbursements!$T:$T,Disbursements!$B:$B,'Live Collections'!D2182,Disbursements!$D:$D,'Live Collections'!F2182))</f>
        <v>434000</v>
      </c>
      <c r="S2182" s="304">
        <f>IF(O2182&lt;=IF($O2182=0,0,SUMIFS(Disbursements!$W:$W,Disbursements!$B:$B,'Live Collections'!D1094,Disbursements!$D:$D,'Live Collections'!F1094)),O2182,IF($O2182=0,0,SUMIFS(Disbursements!$W:$W,Disbursements!$B:$B,'Live Collections'!D1094,Disbursements!$D:$D,'Live Collections'!F1094)))</f>
        <v>10333.333333333328</v>
      </c>
      <c r="T2182" s="304">
        <f t="shared" si="105"/>
        <v>124666.66666666667</v>
      </c>
      <c r="U2182" s="52"/>
      <c r="V2182" s="34"/>
      <c r="W2182" s="408"/>
    </row>
    <row r="2183" spans="1:23" ht="12.75" customHeight="1" x14ac:dyDescent="0.2">
      <c r="A2183" s="257">
        <v>2186</v>
      </c>
      <c r="B2183" s="44">
        <v>44537</v>
      </c>
      <c r="C2183" s="44">
        <f t="shared" si="104"/>
        <v>44537</v>
      </c>
      <c r="D2183" s="374">
        <v>96</v>
      </c>
      <c r="E2183" s="291" t="str">
        <f>IFERROR(VLOOKUP($D2183,'Clients-Live'!$A:$C,3,0),"")</f>
        <v>AKANDU NIGHT YONGORO</v>
      </c>
      <c r="F2183" s="291">
        <f>IFERROR(INDEX(Disbursements!$D:$D,MATCH('Live Collections'!G2183,Disbursements!$C:$C,0)),"")</f>
        <v>2</v>
      </c>
      <c r="G2183" s="34">
        <v>248</v>
      </c>
      <c r="H2183" s="34">
        <v>3833</v>
      </c>
      <c r="I2183" s="34" t="s">
        <v>1358</v>
      </c>
      <c r="J2183" s="48"/>
      <c r="K2183" s="48"/>
      <c r="L2183" s="48"/>
      <c r="M2183" s="48"/>
      <c r="N2183" s="59"/>
      <c r="O2183" s="59">
        <v>140000</v>
      </c>
      <c r="P2183" s="59"/>
      <c r="Q2183" s="268">
        <f t="shared" si="103"/>
        <v>140000</v>
      </c>
      <c r="R2183" s="61">
        <f>IF(O2183=0,0,SUMIFS(Disbursements!$T:$T,Disbursements!$B:$B,'Live Collections'!D2183,Disbursements!$D:$D,'Live Collections'!F2183))</f>
        <v>210000</v>
      </c>
      <c r="S2183" s="304">
        <f>IF(O2183&lt;=IF($O2183=0,0,SUMIFS(Disbursements!$W:$W,Disbursements!$B:$B,'Live Collections'!D1237,Disbursements!$D:$D,'Live Collections'!F1237)),O2183,IF($O2183=0,0,SUMIFS(Disbursements!$W:$W,Disbursements!$B:$B,'Live Collections'!D1237,Disbursements!$D:$D,'Live Collections'!F1237)))</f>
        <v>19000</v>
      </c>
      <c r="T2183" s="304">
        <f t="shared" si="105"/>
        <v>121000</v>
      </c>
      <c r="U2183" s="52"/>
      <c r="V2183" s="34"/>
      <c r="W2183" s="408"/>
    </row>
    <row r="2184" spans="1:23" ht="12.75" customHeight="1" x14ac:dyDescent="0.2">
      <c r="A2184" s="257">
        <v>2179</v>
      </c>
      <c r="B2184" s="44">
        <v>44537</v>
      </c>
      <c r="C2184" s="44">
        <f t="shared" si="104"/>
        <v>44537</v>
      </c>
      <c r="D2184" s="374">
        <v>111</v>
      </c>
      <c r="E2184" s="291" t="str">
        <f>IFERROR(VLOOKUP($D2184,'Clients-Live'!$A:$C,3,0),"")</f>
        <v>ANDAKU CHARLES JULIAN</v>
      </c>
      <c r="F2184" s="291">
        <f>IFERROR(INDEX(Disbursements!$D:$D,MATCH('Live Collections'!G2184,Disbursements!$C:$C,0)),"")</f>
        <v>2</v>
      </c>
      <c r="G2184" s="34">
        <v>236</v>
      </c>
      <c r="H2184" s="34">
        <v>3836</v>
      </c>
      <c r="I2184" s="34" t="s">
        <v>1357</v>
      </c>
      <c r="J2184" s="48"/>
      <c r="K2184" s="48"/>
      <c r="L2184" s="48"/>
      <c r="M2184" s="48"/>
      <c r="N2184" s="59"/>
      <c r="O2184" s="59">
        <v>430000</v>
      </c>
      <c r="P2184" s="59"/>
      <c r="Q2184" s="268">
        <f t="shared" si="103"/>
        <v>430000</v>
      </c>
      <c r="R2184" s="61">
        <f>IF(O2184=0,0,SUMIFS(Disbursements!$T:$T,Disbursements!$B:$B,'Live Collections'!D2184,Disbursements!$D:$D,'Live Collections'!F2184))</f>
        <v>327000</v>
      </c>
      <c r="S2184" s="304">
        <f>IF(O2184&lt;=IF($O2184=0,0,SUMIFS(Disbursements!$W:$W,Disbursements!$B:$B,'Live Collections'!D1418,Disbursements!$D:$D,'Live Collections'!F1418)),O2184,IF($O2184=0,0,SUMIFS(Disbursements!$W:$W,Disbursements!$B:$B,'Live Collections'!D1418,Disbursements!$D:$D,'Live Collections'!F1418)))</f>
        <v>0</v>
      </c>
      <c r="T2184" s="304">
        <f t="shared" si="105"/>
        <v>430000</v>
      </c>
      <c r="U2184" s="52"/>
      <c r="V2184" s="34"/>
      <c r="W2184" s="408"/>
    </row>
    <row r="2185" spans="1:23" ht="12.75" customHeight="1" x14ac:dyDescent="0.2">
      <c r="A2185" s="257">
        <v>2175</v>
      </c>
      <c r="B2185" s="44">
        <v>44537</v>
      </c>
      <c r="C2185" s="44">
        <f t="shared" si="104"/>
        <v>44537</v>
      </c>
      <c r="D2185" s="374">
        <v>114</v>
      </c>
      <c r="E2185" s="291" t="str">
        <f>IFERROR(VLOOKUP($D2185,'Clients-Live'!$A:$C,3,0),"")</f>
        <v>ONZIA EMMILY</v>
      </c>
      <c r="F2185" s="291">
        <f>IFERROR(INDEX(Disbursements!$D:$D,MATCH('Live Collections'!G2185,Disbursements!$C:$C,0)),"")</f>
        <v>3</v>
      </c>
      <c r="G2185" s="34">
        <v>262</v>
      </c>
      <c r="H2185" s="34">
        <v>3753</v>
      </c>
      <c r="I2185" s="34" t="s">
        <v>1358</v>
      </c>
      <c r="J2185" s="48"/>
      <c r="K2185" s="48"/>
      <c r="L2185" s="48"/>
      <c r="M2185" s="48"/>
      <c r="N2185" s="59"/>
      <c r="O2185" s="59">
        <v>200000</v>
      </c>
      <c r="P2185" s="59"/>
      <c r="Q2185" s="268">
        <f t="shared" si="103"/>
        <v>200000</v>
      </c>
      <c r="R2185" s="61">
        <f>IF(O2185=0,0,SUMIFS(Disbursements!$T:$T,Disbursements!$B:$B,'Live Collections'!D2185,Disbursements!$D:$D,'Live Collections'!F2185))</f>
        <v>360000</v>
      </c>
      <c r="S2185" s="304">
        <f>IF(O2185&lt;=IF($O2185=0,0,SUMIFS(Disbursements!$W:$W,Disbursements!$B:$B,'Live Collections'!D1467,Disbursements!$D:$D,'Live Collections'!F1467)),O2185,IF($O2185=0,0,SUMIFS(Disbursements!$W:$W,Disbursements!$B:$B,'Live Collections'!D1467,Disbursements!$D:$D,'Live Collections'!F1467)))</f>
        <v>25666.666666666672</v>
      </c>
      <c r="T2185" s="304">
        <f t="shared" si="105"/>
        <v>174333.33333333331</v>
      </c>
      <c r="U2185" s="52"/>
      <c r="V2185" s="34"/>
      <c r="W2185" s="408"/>
    </row>
    <row r="2186" spans="1:23" ht="12.75" customHeight="1" x14ac:dyDescent="0.2">
      <c r="A2186" s="257">
        <v>2189</v>
      </c>
      <c r="B2186" s="44">
        <v>44537</v>
      </c>
      <c r="C2186" s="44">
        <f t="shared" si="104"/>
        <v>44537</v>
      </c>
      <c r="D2186" s="374">
        <v>169</v>
      </c>
      <c r="E2186" s="291" t="str">
        <f>IFERROR(VLOOKUP($D2186,'Clients-Live'!$A:$C,3,0),"")</f>
        <v>KATO KENNEDY</v>
      </c>
      <c r="F2186" s="291">
        <f>IFERROR(INDEX(Disbursements!$D:$D,MATCH('Live Collections'!G2186,Disbursements!$C:$C,0)),"")</f>
        <v>1</v>
      </c>
      <c r="G2186" s="34">
        <v>176</v>
      </c>
      <c r="H2186" s="34">
        <v>3824</v>
      </c>
      <c r="I2186" s="34" t="s">
        <v>1357</v>
      </c>
      <c r="J2186" s="48"/>
      <c r="K2186" s="48"/>
      <c r="L2186" s="48"/>
      <c r="M2186" s="48"/>
      <c r="N2186" s="59"/>
      <c r="O2186" s="59">
        <v>170000</v>
      </c>
      <c r="P2186" s="59"/>
      <c r="Q2186" s="268">
        <f t="shared" si="103"/>
        <v>170000</v>
      </c>
      <c r="R2186" s="61">
        <f>IF(O2186=0,0,SUMIFS(Disbursements!$T:$T,Disbursements!$B:$B,'Live Collections'!D2186,Disbursements!$D:$D,'Live Collections'!F2186))</f>
        <v>109000</v>
      </c>
      <c r="S2186" s="304">
        <f>IF(O2186&lt;=IF($O2186=0,0,SUMIFS(Disbursements!$W:$W,Disbursements!$B:$B,'Live Collections'!D2093,Disbursements!$D:$D,'Live Collections'!F2093)),O2186,IF($O2186=0,0,SUMIFS(Disbursements!$W:$W,Disbursements!$B:$B,'Live Collections'!D2093,Disbursements!$D:$D,'Live Collections'!F2093)))</f>
        <v>35000</v>
      </c>
      <c r="T2186" s="304">
        <f t="shared" si="105"/>
        <v>135000</v>
      </c>
      <c r="U2186" s="52"/>
      <c r="V2186" s="34"/>
      <c r="W2186" s="408"/>
    </row>
    <row r="2187" spans="1:23" ht="12.75" customHeight="1" x14ac:dyDescent="0.2">
      <c r="A2187" s="257">
        <v>2182</v>
      </c>
      <c r="B2187" s="44">
        <v>44537</v>
      </c>
      <c r="C2187" s="44">
        <f t="shared" si="104"/>
        <v>44537</v>
      </c>
      <c r="D2187" s="374">
        <v>181</v>
      </c>
      <c r="E2187" s="291" t="str">
        <f>IFERROR(VLOOKUP($D2187,'Clients-Live'!$A:$C,3,0),"")</f>
        <v>LEKURU CHRISTINE</v>
      </c>
      <c r="F2187" s="291">
        <f>IFERROR(INDEX(Disbursements!$D:$D,MATCH('Live Collections'!G2187,Disbursements!$C:$C,0)),"")</f>
        <v>1</v>
      </c>
      <c r="G2187" s="34">
        <v>168</v>
      </c>
      <c r="H2187" s="34">
        <v>3552</v>
      </c>
      <c r="I2187" s="34" t="s">
        <v>1357</v>
      </c>
      <c r="J2187" s="48"/>
      <c r="K2187" s="48"/>
      <c r="L2187" s="48"/>
      <c r="M2187" s="48"/>
      <c r="N2187" s="59"/>
      <c r="O2187" s="59">
        <v>45000</v>
      </c>
      <c r="P2187" s="59"/>
      <c r="Q2187" s="268">
        <f t="shared" si="103"/>
        <v>45000</v>
      </c>
      <c r="R2187" s="61">
        <f>IF(O2187=0,0,SUMIFS(Disbursements!$T:$T,Disbursements!$B:$B,'Live Collections'!D2187,Disbursements!$D:$D,'Live Collections'!F2187))</f>
        <v>115000</v>
      </c>
      <c r="S2187" s="304"/>
      <c r="T2187" s="304">
        <f t="shared" si="105"/>
        <v>45000</v>
      </c>
      <c r="U2187" s="52"/>
      <c r="V2187" s="34"/>
      <c r="W2187" s="408"/>
    </row>
    <row r="2188" spans="1:23" ht="12.75" customHeight="1" x14ac:dyDescent="0.2">
      <c r="A2188" s="257">
        <v>2177</v>
      </c>
      <c r="B2188" s="44">
        <v>44537</v>
      </c>
      <c r="C2188" s="44">
        <f t="shared" si="104"/>
        <v>44537</v>
      </c>
      <c r="D2188" s="374">
        <v>185</v>
      </c>
      <c r="E2188" s="291" t="str">
        <f>IFERROR(VLOOKUP($D2188,'Clients-Live'!$A:$C,3,0),"")</f>
        <v>APAYI HARRIET</v>
      </c>
      <c r="F2188" s="291">
        <f>IFERROR(INDEX(Disbursements!$D:$D,MATCH('Live Collections'!G2188,Disbursements!$C:$C,0)),"")</f>
        <v>2</v>
      </c>
      <c r="G2188" s="34">
        <v>360</v>
      </c>
      <c r="H2188" s="34">
        <v>3754</v>
      </c>
      <c r="I2188" s="34" t="s">
        <v>1357</v>
      </c>
      <c r="J2188" s="48"/>
      <c r="K2188" s="48"/>
      <c r="L2188" s="48"/>
      <c r="M2188" s="48"/>
      <c r="N2188" s="59"/>
      <c r="O2188" s="59"/>
      <c r="P2188" s="59">
        <v>150000</v>
      </c>
      <c r="Q2188" s="268">
        <f t="shared" si="103"/>
        <v>150000</v>
      </c>
      <c r="R2188" s="61">
        <f>IF(O2188=0,0,SUMIFS(Disbursements!$T:$T,Disbursements!$B:$B,'Live Collections'!D2188,Disbursements!$D:$D,'Live Collections'!F2188))</f>
        <v>0</v>
      </c>
      <c r="S2188" s="304">
        <f>IF(O2188&lt;=IF($O2188=0,0,SUMIFS(Disbursements!$W:$W,Disbursements!$B:$B,'Live Collections'!D2252,Disbursements!$D:$D,'Live Collections'!F2252)),O2188,IF($O2188=0,0,SUMIFS(Disbursements!$W:$W,Disbursements!$B:$B,'Live Collections'!D2252,Disbursements!$D:$D,'Live Collections'!F2252)))</f>
        <v>0</v>
      </c>
      <c r="T2188" s="304">
        <f t="shared" si="105"/>
        <v>0</v>
      </c>
      <c r="U2188" s="52"/>
      <c r="V2188" s="34"/>
      <c r="W2188" s="408"/>
    </row>
    <row r="2189" spans="1:23" ht="12.75" customHeight="1" x14ac:dyDescent="0.2">
      <c r="A2189" s="257">
        <v>2190</v>
      </c>
      <c r="B2189" s="44">
        <v>44537</v>
      </c>
      <c r="C2189" s="44">
        <f t="shared" si="104"/>
        <v>44537</v>
      </c>
      <c r="D2189" s="374">
        <v>198</v>
      </c>
      <c r="E2189" s="291" t="str">
        <f>IFERROR(VLOOKUP($D2189,'Clients-Live'!$A:$C,3,0),"")</f>
        <v>ETOLE BIAJO</v>
      </c>
      <c r="F2189" s="291">
        <f>IFERROR(INDEX(Disbursements!$D:$D,MATCH('Live Collections'!G2189,Disbursements!$C:$C,0)),"")</f>
        <v>1</v>
      </c>
      <c r="G2189" s="34">
        <v>191</v>
      </c>
      <c r="H2189" s="34">
        <v>3825</v>
      </c>
      <c r="I2189" s="34" t="s">
        <v>1358</v>
      </c>
      <c r="J2189" s="48"/>
      <c r="K2189" s="48"/>
      <c r="L2189" s="48"/>
      <c r="M2189" s="48"/>
      <c r="N2189" s="59"/>
      <c r="O2189" s="59">
        <v>200000</v>
      </c>
      <c r="P2189" s="59"/>
      <c r="Q2189" s="268">
        <f t="shared" si="103"/>
        <v>200000</v>
      </c>
      <c r="R2189" s="61">
        <f>IF(O2189=0,0,SUMIFS(Disbursements!$T:$T,Disbursements!$B:$B,'Live Collections'!D2189,Disbursements!$D:$D,'Live Collections'!F2189))</f>
        <v>150000</v>
      </c>
      <c r="S2189" s="304">
        <v>55000</v>
      </c>
      <c r="T2189" s="304">
        <f t="shared" si="105"/>
        <v>145000</v>
      </c>
      <c r="U2189" s="52"/>
      <c r="V2189" s="34"/>
      <c r="W2189" s="408"/>
    </row>
    <row r="2190" spans="1:23" ht="12.75" customHeight="1" x14ac:dyDescent="0.2">
      <c r="A2190" s="257">
        <v>2176</v>
      </c>
      <c r="B2190" s="44">
        <v>44537</v>
      </c>
      <c r="C2190" s="44">
        <f t="shared" si="104"/>
        <v>44537</v>
      </c>
      <c r="D2190" s="374">
        <v>209</v>
      </c>
      <c r="E2190" s="291" t="str">
        <f>IFERROR(VLOOKUP($D2190,'Clients-Live'!$A:$C,3,0),"")</f>
        <v>ADUI ISMAIL</v>
      </c>
      <c r="F2190" s="291">
        <f>IFERROR(INDEX(Disbursements!$D:$D,MATCH('Live Collections'!G2190,Disbursements!$C:$C,0)),"")</f>
        <v>1</v>
      </c>
      <c r="G2190" s="34">
        <v>209</v>
      </c>
      <c r="H2190" s="34">
        <v>4753</v>
      </c>
      <c r="I2190" s="34" t="s">
        <v>1357</v>
      </c>
      <c r="J2190" s="48"/>
      <c r="K2190" s="48"/>
      <c r="L2190" s="48"/>
      <c r="M2190" s="48"/>
      <c r="N2190" s="59"/>
      <c r="O2190" s="59">
        <v>53000</v>
      </c>
      <c r="P2190" s="59"/>
      <c r="Q2190" s="268">
        <f t="shared" si="103"/>
        <v>53000</v>
      </c>
      <c r="R2190" s="61">
        <f>IF(O2190=0,0,SUMIFS(Disbursements!$T:$T,Disbursements!$B:$B,'Live Collections'!D2190,Disbursements!$D:$D,'Live Collections'!F2190))</f>
        <v>180000</v>
      </c>
      <c r="S2190" s="64">
        <v>15000</v>
      </c>
      <c r="T2190" s="304">
        <f t="shared" si="105"/>
        <v>38000</v>
      </c>
      <c r="U2190" s="52"/>
      <c r="V2190" s="34"/>
      <c r="W2190" s="408"/>
    </row>
    <row r="2191" spans="1:23" ht="12.75" customHeight="1" x14ac:dyDescent="0.2">
      <c r="A2191" s="257">
        <v>2180</v>
      </c>
      <c r="B2191" s="44">
        <v>44537</v>
      </c>
      <c r="C2191" s="44">
        <f t="shared" si="104"/>
        <v>44537</v>
      </c>
      <c r="D2191" s="374">
        <v>210</v>
      </c>
      <c r="E2191" s="291" t="str">
        <f>IFERROR(VLOOKUP($D2191,'Clients-Live'!$A:$C,3,0),"")</f>
        <v>ADRILI ZAHARA</v>
      </c>
      <c r="F2191" s="291">
        <f>IFERROR(INDEX(Disbursements!$D:$D,MATCH('Live Collections'!G2191,Disbursements!$C:$C,0)),"")</f>
        <v>1</v>
      </c>
      <c r="G2191" s="34">
        <v>213</v>
      </c>
      <c r="H2191" s="34">
        <v>3757</v>
      </c>
      <c r="I2191" s="34" t="s">
        <v>1357</v>
      </c>
      <c r="J2191" s="48"/>
      <c r="K2191" s="48"/>
      <c r="L2191" s="48"/>
      <c r="M2191" s="48"/>
      <c r="N2191" s="59"/>
      <c r="O2191" s="59">
        <v>150000</v>
      </c>
      <c r="P2191" s="59"/>
      <c r="Q2191" s="268">
        <f t="shared" si="103"/>
        <v>150000</v>
      </c>
      <c r="R2191" s="61">
        <f>IF(O2191=0,0,SUMIFS(Disbursements!$T:$T,Disbursements!$B:$B,'Live Collections'!D2191,Disbursements!$D:$D,'Live Collections'!F2191))</f>
        <v>150000</v>
      </c>
      <c r="S2191" s="64">
        <v>54666.666666666672</v>
      </c>
      <c r="T2191" s="304">
        <f t="shared" si="105"/>
        <v>95333.333333333328</v>
      </c>
      <c r="U2191" s="52"/>
      <c r="V2191" s="34"/>
      <c r="W2191" s="408"/>
    </row>
    <row r="2192" spans="1:23" ht="12.75" customHeight="1" x14ac:dyDescent="0.2">
      <c r="A2192" s="257">
        <v>2191</v>
      </c>
      <c r="B2192" s="44">
        <v>44537</v>
      </c>
      <c r="C2192" s="44">
        <f t="shared" si="104"/>
        <v>44537</v>
      </c>
      <c r="D2192" s="374">
        <v>212</v>
      </c>
      <c r="E2192" s="291" t="str">
        <f>IFERROR(VLOOKUP($D2192,'Clients-Live'!$A:$C,3,0),"")</f>
        <v>ACIDRI WILLIAM</v>
      </c>
      <c r="F2192" s="291" t="str">
        <f>IFERROR(INDEX(Disbursements!$D:$D,MATCH('Live Collections'!G2192,Disbursements!$C:$C,0)),"")</f>
        <v/>
      </c>
      <c r="G2192" s="34"/>
      <c r="H2192" s="34">
        <v>3827</v>
      </c>
      <c r="I2192" s="34" t="s">
        <v>1358</v>
      </c>
      <c r="J2192" s="48"/>
      <c r="K2192" s="48"/>
      <c r="L2192" s="48">
        <v>15000</v>
      </c>
      <c r="M2192" s="48">
        <v>5000</v>
      </c>
      <c r="N2192" s="59"/>
      <c r="O2192" s="59"/>
      <c r="P2192" s="59"/>
      <c r="Q2192" s="268">
        <f t="shared" si="103"/>
        <v>20000</v>
      </c>
      <c r="R2192" s="61">
        <f>IF(O2192=0,0,SUMIFS(Disbursements!$T:$T,Disbursements!$B:$B,'Live Collections'!D2192,Disbursements!$D:$D,'Live Collections'!F2192))</f>
        <v>0</v>
      </c>
      <c r="S2192" s="304">
        <f>IF(O2192&lt;=IF($O2192=0,0,SUMIFS(Disbursements!$W:$W,Disbursements!$B:$B,'Live Collections'!D2506,Disbursements!$D:$D,'Live Collections'!F2506)),O2192,IF($O2192=0,0,SUMIFS(Disbursements!$W:$W,Disbursements!$B:$B,'Live Collections'!D2506,Disbursements!$D:$D,'Live Collections'!F2506)))</f>
        <v>0</v>
      </c>
      <c r="T2192" s="304">
        <f t="shared" si="105"/>
        <v>0</v>
      </c>
      <c r="U2192" s="52"/>
      <c r="V2192" s="34"/>
      <c r="W2192" s="408"/>
    </row>
    <row r="2193" spans="1:23" ht="12.75" customHeight="1" x14ac:dyDescent="0.2">
      <c r="A2193" s="257">
        <v>2181</v>
      </c>
      <c r="B2193" s="44">
        <v>44537</v>
      </c>
      <c r="C2193" s="44">
        <f t="shared" si="104"/>
        <v>44537</v>
      </c>
      <c r="D2193" s="374">
        <v>213</v>
      </c>
      <c r="E2193" s="291" t="str">
        <f>IFERROR(VLOOKUP($D2193,'Clients-Live'!$A:$C,3,0),"")</f>
        <v>ATIKURU NADIA</v>
      </c>
      <c r="F2193" s="291">
        <f>IFERROR(INDEX(Disbursements!$D:$D,MATCH('Live Collections'!G2193,Disbursements!$C:$C,0)),"")</f>
        <v>1</v>
      </c>
      <c r="G2193" s="34">
        <v>208</v>
      </c>
      <c r="H2193" s="34">
        <v>3756</v>
      </c>
      <c r="I2193" s="34" t="s">
        <v>1358</v>
      </c>
      <c r="J2193" s="48"/>
      <c r="K2193" s="48"/>
      <c r="L2193" s="48"/>
      <c r="M2193" s="48"/>
      <c r="N2193" s="59"/>
      <c r="O2193" s="59">
        <v>160000</v>
      </c>
      <c r="P2193" s="59"/>
      <c r="Q2193" s="268">
        <f t="shared" si="103"/>
        <v>160000</v>
      </c>
      <c r="R2193" s="61">
        <f>IF(O2193=0,0,SUMIFS(Disbursements!$T:$T,Disbursements!$B:$B,'Live Collections'!D2193,Disbursements!$D:$D,'Live Collections'!F2193))</f>
        <v>150000</v>
      </c>
      <c r="S2193" s="304"/>
      <c r="T2193" s="304">
        <f t="shared" si="105"/>
        <v>160000</v>
      </c>
      <c r="U2193" s="52"/>
      <c r="V2193" s="34"/>
      <c r="W2193" s="408"/>
    </row>
    <row r="2194" spans="1:23" ht="12.75" customHeight="1" x14ac:dyDescent="0.2">
      <c r="A2194" s="257">
        <v>2185</v>
      </c>
      <c r="B2194" s="44">
        <v>44537</v>
      </c>
      <c r="C2194" s="44">
        <f t="shared" si="104"/>
        <v>44537</v>
      </c>
      <c r="D2194" s="374">
        <v>217</v>
      </c>
      <c r="E2194" s="291" t="str">
        <f>IFERROR(VLOOKUP($D2194,'Clients-Live'!$A:$C,3,0),"")</f>
        <v>JAMBA MOSES</v>
      </c>
      <c r="F2194" s="291">
        <f>IFERROR(INDEX(Disbursements!$D:$D,MATCH('Live Collections'!G2194,Disbursements!$C:$C,0)),"")</f>
        <v>2</v>
      </c>
      <c r="G2194" s="34">
        <v>341</v>
      </c>
      <c r="H2194" s="34">
        <v>3751</v>
      </c>
      <c r="I2194" s="34" t="s">
        <v>1357</v>
      </c>
      <c r="J2194" s="48"/>
      <c r="K2194" s="48"/>
      <c r="L2194" s="48"/>
      <c r="M2194" s="48"/>
      <c r="N2194" s="59"/>
      <c r="O2194" s="59">
        <v>76700</v>
      </c>
      <c r="P2194" s="59"/>
      <c r="Q2194" s="268">
        <f t="shared" si="103"/>
        <v>76700</v>
      </c>
      <c r="R2194" s="61">
        <f>IF(O2194=0,0,SUMIFS(Disbursements!$T:$T,Disbursements!$B:$B,'Live Collections'!D2194,Disbursements!$D:$D,'Live Collections'!F2194))</f>
        <v>154000</v>
      </c>
      <c r="S2194" s="304">
        <f>IF(O2194&lt;=IF($O2194=0,0,SUMIFS(Disbursements!$W:$W,Disbursements!$B:$B,'Live Collections'!D2562,Disbursements!$D:$D,'Live Collections'!F2562)),O2194,IF($O2194=0,0,SUMIFS(Disbursements!$W:$W,Disbursements!$B:$B,'Live Collections'!D2562,Disbursements!$D:$D,'Live Collections'!F2562)))</f>
        <v>0</v>
      </c>
      <c r="T2194" s="304">
        <f t="shared" si="105"/>
        <v>76700</v>
      </c>
      <c r="U2194" s="52"/>
      <c r="V2194" s="34"/>
      <c r="W2194" s="408"/>
    </row>
    <row r="2195" spans="1:23" ht="12.75" customHeight="1" x14ac:dyDescent="0.2">
      <c r="A2195" s="257">
        <v>2173</v>
      </c>
      <c r="B2195" s="44">
        <v>44537</v>
      </c>
      <c r="C2195" s="44">
        <f t="shared" si="104"/>
        <v>44537</v>
      </c>
      <c r="D2195" s="374">
        <v>230</v>
      </c>
      <c r="E2195" s="291" t="str">
        <f>IFERROR(VLOOKUP($D2195,'Clients-Live'!$A:$C,3,0),"")</f>
        <v>ANGAIKA SALFA</v>
      </c>
      <c r="F2195" s="291">
        <f>IFERROR(INDEX(Disbursements!$D:$D,MATCH('Live Collections'!G2195,Disbursements!$C:$C,0)),"")</f>
        <v>1</v>
      </c>
      <c r="G2195" s="34">
        <v>241</v>
      </c>
      <c r="H2195" s="34">
        <v>500</v>
      </c>
      <c r="I2195" s="34" t="s">
        <v>1357</v>
      </c>
      <c r="J2195" s="48"/>
      <c r="K2195" s="48"/>
      <c r="L2195" s="48"/>
      <c r="M2195" s="48"/>
      <c r="N2195" s="59"/>
      <c r="O2195" s="59"/>
      <c r="P2195" s="59">
        <v>-65000</v>
      </c>
      <c r="Q2195" s="268">
        <f t="shared" si="103"/>
        <v>-65000</v>
      </c>
      <c r="R2195" s="61">
        <f>IF(O2195=0,0,SUMIFS(Disbursements!$T:$T,Disbursements!$B:$B,'Live Collections'!D2195,Disbursements!$D:$D,'Live Collections'!F2195))</f>
        <v>0</v>
      </c>
      <c r="S2195" s="304">
        <f>IF(O2195&lt;=IF($O2195=0,0,SUMIFS(Disbursements!$W:$W,Disbursements!$B:$B,'Live Collections'!D2679,Disbursements!$D:$D,'Live Collections'!F2679)),O2195,IF($O2195=0,0,SUMIFS(Disbursements!$W:$W,Disbursements!$B:$B,'Live Collections'!D2679,Disbursements!$D:$D,'Live Collections'!F2679)))</f>
        <v>0</v>
      </c>
      <c r="T2195" s="304">
        <f t="shared" si="105"/>
        <v>0</v>
      </c>
      <c r="U2195" s="52"/>
      <c r="V2195" s="34"/>
      <c r="W2195" s="408"/>
    </row>
    <row r="2196" spans="1:23" ht="12.75" customHeight="1" x14ac:dyDescent="0.2">
      <c r="A2196" s="257">
        <v>2174</v>
      </c>
      <c r="B2196" s="44">
        <v>44537</v>
      </c>
      <c r="C2196" s="44">
        <f t="shared" si="104"/>
        <v>44537</v>
      </c>
      <c r="D2196" s="374">
        <v>230</v>
      </c>
      <c r="E2196" s="291" t="str">
        <f>IFERROR(VLOOKUP($D2196,'Clients-Live'!$A:$C,3,0),"")</f>
        <v>ANGAIKA SALFA</v>
      </c>
      <c r="F2196" s="291">
        <f>IFERROR(INDEX(Disbursements!$D:$D,MATCH('Live Collections'!G2196,Disbursements!$C:$C,0)),"")</f>
        <v>1</v>
      </c>
      <c r="G2196" s="34">
        <v>241</v>
      </c>
      <c r="H2196" s="34">
        <v>3834</v>
      </c>
      <c r="I2196" s="34" t="s">
        <v>1357</v>
      </c>
      <c r="J2196" s="48"/>
      <c r="K2196" s="48"/>
      <c r="L2196" s="48"/>
      <c r="M2196" s="48"/>
      <c r="N2196" s="59"/>
      <c r="O2196" s="59">
        <v>65000</v>
      </c>
      <c r="P2196" s="59"/>
      <c r="Q2196" s="268">
        <f t="shared" si="103"/>
        <v>65000</v>
      </c>
      <c r="R2196" s="61">
        <f>IF(O2196=0,0,SUMIFS(Disbursements!$T:$T,Disbursements!$B:$B,'Live Collections'!D2196,Disbursements!$D:$D,'Live Collections'!F2196))</f>
        <v>330000</v>
      </c>
      <c r="S2196" s="304"/>
      <c r="T2196" s="304">
        <f t="shared" si="105"/>
        <v>65000</v>
      </c>
      <c r="U2196" s="52"/>
      <c r="V2196" s="34"/>
      <c r="W2196" s="408" t="s">
        <v>1900</v>
      </c>
    </row>
    <row r="2197" spans="1:23" ht="12.75" customHeight="1" x14ac:dyDescent="0.2">
      <c r="A2197" s="257">
        <v>2183</v>
      </c>
      <c r="B2197" s="44">
        <v>44537</v>
      </c>
      <c r="C2197" s="44">
        <f t="shared" si="104"/>
        <v>44537</v>
      </c>
      <c r="D2197" s="374">
        <v>230</v>
      </c>
      <c r="E2197" s="291" t="str">
        <f>IFERROR(VLOOKUP($D2197,'Clients-Live'!$A:$C,3,0),"")</f>
        <v>ANGAIKA SALFA</v>
      </c>
      <c r="F2197" s="291">
        <f>IFERROR(INDEX(Disbursements!$D:$D,MATCH('Live Collections'!G2197,Disbursements!$C:$C,0)),"")</f>
        <v>1</v>
      </c>
      <c r="G2197" s="34">
        <v>241</v>
      </c>
      <c r="H2197" s="34">
        <v>3829</v>
      </c>
      <c r="I2197" s="34" t="s">
        <v>1357</v>
      </c>
      <c r="J2197" s="48"/>
      <c r="K2197" s="48"/>
      <c r="L2197" s="48"/>
      <c r="M2197" s="48"/>
      <c r="N2197" s="59"/>
      <c r="O2197" s="59">
        <v>165000</v>
      </c>
      <c r="P2197" s="59"/>
      <c r="Q2197" s="268">
        <f t="shared" si="103"/>
        <v>165000</v>
      </c>
      <c r="R2197" s="61">
        <f>IF(O2197=0,0,SUMIFS(Disbursements!$T:$T,Disbursements!$B:$B,'Live Collections'!D2197,Disbursements!$D:$D,'Live Collections'!F2197))</f>
        <v>330000</v>
      </c>
      <c r="S2197" s="304"/>
      <c r="T2197" s="304">
        <f t="shared" si="105"/>
        <v>165000</v>
      </c>
      <c r="U2197" s="52"/>
      <c r="V2197" s="34"/>
      <c r="W2197" s="408"/>
    </row>
    <row r="2198" spans="1:23" ht="12.75" customHeight="1" x14ac:dyDescent="0.2">
      <c r="A2198" s="257">
        <v>2178</v>
      </c>
      <c r="B2198" s="44">
        <v>44537</v>
      </c>
      <c r="C2198" s="44">
        <f t="shared" si="104"/>
        <v>44537</v>
      </c>
      <c r="D2198" s="374">
        <v>234</v>
      </c>
      <c r="E2198" s="291" t="str">
        <f>IFERROR(VLOOKUP($D2198,'Clients-Live'!$A:$C,3,0),"")</f>
        <v>SUDI YASIR</v>
      </c>
      <c r="F2198" s="291">
        <f>IFERROR(INDEX(Disbursements!$D:$D,MATCH('Live Collections'!G2198,Disbursements!$C:$C,0)),"")</f>
        <v>1</v>
      </c>
      <c r="G2198" s="34">
        <v>276</v>
      </c>
      <c r="H2198" s="34">
        <v>3837</v>
      </c>
      <c r="I2198" s="34" t="s">
        <v>1358</v>
      </c>
      <c r="J2198" s="48"/>
      <c r="K2198" s="48"/>
      <c r="L2198" s="48"/>
      <c r="M2198" s="48"/>
      <c r="N2198" s="59"/>
      <c r="O2198" s="59">
        <v>500000</v>
      </c>
      <c r="P2198" s="59"/>
      <c r="Q2198" s="268">
        <f t="shared" si="103"/>
        <v>500000</v>
      </c>
      <c r="R2198" s="61">
        <f>IF(O2198=0,0,SUMIFS(Disbursements!$T:$T,Disbursements!$B:$B,'Live Collections'!D2198,Disbursements!$D:$D,'Live Collections'!F2198))</f>
        <v>384000</v>
      </c>
      <c r="S2198" s="304">
        <f>IF(O2198&lt;=IF($O2198=0,0,SUMIFS(Disbursements!$W:$W,Disbursements!$B:$B,'Live Collections'!D2704,Disbursements!$D:$D,'Live Collections'!F2704)),O2198,IF($O2198=0,0,SUMIFS(Disbursements!$W:$W,Disbursements!$B:$B,'Live Collections'!D2704,Disbursements!$D:$D,'Live Collections'!F2704)))</f>
        <v>20000</v>
      </c>
      <c r="T2198" s="304">
        <f t="shared" si="105"/>
        <v>480000</v>
      </c>
      <c r="U2198" s="52"/>
      <c r="V2198" s="34"/>
      <c r="W2198" s="408"/>
    </row>
    <row r="2199" spans="1:23" ht="12.75" customHeight="1" x14ac:dyDescent="0.2">
      <c r="A2199" s="257">
        <v>2192</v>
      </c>
      <c r="B2199" s="44">
        <v>44537</v>
      </c>
      <c r="C2199" s="44">
        <f t="shared" si="104"/>
        <v>44537</v>
      </c>
      <c r="D2199" s="374">
        <v>302</v>
      </c>
      <c r="E2199" s="291" t="str">
        <f>IFERROR(VLOOKUP($D2199,'Clients-Live'!$A:$C,3,0),"")</f>
        <v>ASUSA JAMILA</v>
      </c>
      <c r="F2199" s="291" t="str">
        <f>IFERROR(INDEX(Disbursements!$D:$D,MATCH('Live Collections'!G2199,Disbursements!$C:$C,0)),"")</f>
        <v/>
      </c>
      <c r="G2199" s="34"/>
      <c r="H2199" s="34">
        <v>3830</v>
      </c>
      <c r="I2199" s="34" t="s">
        <v>1716</v>
      </c>
      <c r="J2199" s="48"/>
      <c r="K2199" s="48"/>
      <c r="L2199" s="48">
        <v>10000</v>
      </c>
      <c r="M2199" s="48">
        <v>5000</v>
      </c>
      <c r="N2199" s="59"/>
      <c r="O2199" s="59"/>
      <c r="P2199" s="59"/>
      <c r="Q2199" s="268">
        <f t="shared" si="103"/>
        <v>15000</v>
      </c>
      <c r="R2199" s="61">
        <f>IF(O2199=0,0,SUMIFS(Disbursements!$T:$T,Disbursements!$B:$B,'Live Collections'!D2199,Disbursements!$D:$D,'Live Collections'!F2199))</f>
        <v>0</v>
      </c>
      <c r="S2199" s="304">
        <f>IF(O2199&lt;=IF($O2199=0,0,SUMIFS(Disbursements!$W:$W,Disbursements!$B:$B,'Live Collections'!D3084,Disbursements!$D:$D,'Live Collections'!F3084)),O2199,IF($O2199=0,0,SUMIFS(Disbursements!$W:$W,Disbursements!$B:$B,'Live Collections'!D3084,Disbursements!$D:$D,'Live Collections'!F3084)))</f>
        <v>0</v>
      </c>
      <c r="T2199" s="304">
        <f t="shared" si="105"/>
        <v>0</v>
      </c>
      <c r="U2199" s="52"/>
      <c r="V2199" s="34"/>
      <c r="W2199" s="408"/>
    </row>
    <row r="2200" spans="1:23" ht="12.75" customHeight="1" x14ac:dyDescent="0.2">
      <c r="A2200" s="257">
        <v>2193</v>
      </c>
      <c r="B2200" s="44">
        <v>44537</v>
      </c>
      <c r="C2200" s="44">
        <f t="shared" si="104"/>
        <v>44537</v>
      </c>
      <c r="D2200" s="374">
        <v>302</v>
      </c>
      <c r="E2200" s="291" t="str">
        <f>IFERROR(VLOOKUP($D2200,'Clients-Live'!$A:$C,3,0),"")</f>
        <v>ASUSA JAMILA</v>
      </c>
      <c r="F2200" s="291" t="str">
        <f>IFERROR(INDEX(Disbursements!$D:$D,MATCH('Live Collections'!G2200,Disbursements!$C:$C,0)),"")</f>
        <v/>
      </c>
      <c r="G2200" s="34"/>
      <c r="H2200" s="34">
        <v>3828</v>
      </c>
      <c r="I2200" s="34" t="s">
        <v>1716</v>
      </c>
      <c r="J2200" s="48">
        <v>15000</v>
      </c>
      <c r="K2200" s="48">
        <v>5000</v>
      </c>
      <c r="L2200" s="48"/>
      <c r="M2200" s="48"/>
      <c r="N2200" s="59"/>
      <c r="O2200" s="59"/>
      <c r="P2200" s="59"/>
      <c r="Q2200" s="268">
        <f t="shared" si="103"/>
        <v>20000</v>
      </c>
      <c r="R2200" s="61">
        <f>IF(O2200=0,0,SUMIFS(Disbursements!$T:$T,Disbursements!$B:$B,'Live Collections'!D2200,Disbursements!$D:$D,'Live Collections'!F2200))</f>
        <v>0</v>
      </c>
      <c r="S2200" s="304">
        <f>IF(O2200&lt;=IF($O2200=0,0,SUMIFS(Disbursements!$W:$W,Disbursements!$B:$B,'Live Collections'!D3085,Disbursements!$D:$D,'Live Collections'!F3085)),O2200,IF($O2200=0,0,SUMIFS(Disbursements!$W:$W,Disbursements!$B:$B,'Live Collections'!D3085,Disbursements!$D:$D,'Live Collections'!F3085)))</f>
        <v>0</v>
      </c>
      <c r="T2200" s="304">
        <f t="shared" si="105"/>
        <v>0</v>
      </c>
      <c r="U2200" s="52"/>
      <c r="V2200" s="34"/>
      <c r="W2200" s="411"/>
    </row>
    <row r="2201" spans="1:23" ht="12.75" customHeight="1" x14ac:dyDescent="0.2">
      <c r="A2201" s="257">
        <v>2200</v>
      </c>
      <c r="B2201" s="44">
        <v>44538</v>
      </c>
      <c r="C2201" s="44">
        <f t="shared" si="104"/>
        <v>44538</v>
      </c>
      <c r="D2201" s="374">
        <v>15</v>
      </c>
      <c r="E2201" s="291" t="str">
        <f>IFERROR(VLOOKUP($D2201,'Clients-Live'!$A:$C,3,0),"")</f>
        <v>NATOSHA LUCY</v>
      </c>
      <c r="F2201" s="291">
        <f>IFERROR(INDEX(Disbursements!$D:$D,MATCH('Live Collections'!G2201,Disbursements!$C:$C,0)),"")</f>
        <v>1</v>
      </c>
      <c r="G2201" s="34">
        <v>8</v>
      </c>
      <c r="H2201" s="34">
        <v>3843</v>
      </c>
      <c r="I2201" s="34" t="s">
        <v>1358</v>
      </c>
      <c r="J2201" s="48"/>
      <c r="K2201" s="48"/>
      <c r="L2201" s="48"/>
      <c r="M2201" s="48"/>
      <c r="N2201" s="59"/>
      <c r="O2201" s="59">
        <v>100000</v>
      </c>
      <c r="P2201" s="59"/>
      <c r="Q2201" s="268">
        <f t="shared" si="103"/>
        <v>100000</v>
      </c>
      <c r="R2201" s="61">
        <f>IF(O2201=0,0,SUMIFS(Disbursements!$T:$T,Disbursements!$B:$B,'Live Collections'!D2201,Disbursements!$D:$D,'Live Collections'!F2201))</f>
        <v>434000</v>
      </c>
      <c r="S2201" s="304">
        <f>IF(O2201&lt;=IF($O2201=0,0,SUMIFS(Disbursements!$W:$W,Disbursements!$B:$B,'Live Collections'!D161,Disbursements!$D:$D,'Live Collections'!F161)),O2201,IF($O2201=0,0,SUMIFS(Disbursements!$W:$W,Disbursements!$B:$B,'Live Collections'!D161,Disbursements!$D:$D,'Live Collections'!F161)))</f>
        <v>0</v>
      </c>
      <c r="T2201" s="304"/>
      <c r="U2201" s="52"/>
      <c r="V2201" s="34"/>
      <c r="W2201" s="408"/>
    </row>
    <row r="2202" spans="1:23" ht="12.75" customHeight="1" x14ac:dyDescent="0.2">
      <c r="A2202" s="257">
        <v>2202</v>
      </c>
      <c r="B2202" s="44">
        <v>44538</v>
      </c>
      <c r="C2202" s="44">
        <f t="shared" si="104"/>
        <v>44538</v>
      </c>
      <c r="D2202" s="374">
        <v>18</v>
      </c>
      <c r="E2202" s="291" t="str">
        <f>IFERROR(VLOOKUP($D2202,'Clients-Live'!$A:$C,3,0),"")</f>
        <v>ARIYE PEACE</v>
      </c>
      <c r="F2202" s="291">
        <f>IFERROR(INDEX(Disbursements!$D:$D,MATCH('Live Collections'!G2202,Disbursements!$C:$C,0)),"")</f>
        <v>2</v>
      </c>
      <c r="G2202" s="34">
        <v>317</v>
      </c>
      <c r="H2202" s="34">
        <v>3842</v>
      </c>
      <c r="I2202" s="34" t="s">
        <v>1357</v>
      </c>
      <c r="J2202" s="48"/>
      <c r="K2202" s="48"/>
      <c r="L2202" s="48"/>
      <c r="M2202" s="48"/>
      <c r="N2202" s="59"/>
      <c r="O2202" s="59">
        <v>162500</v>
      </c>
      <c r="P2202" s="59"/>
      <c r="Q2202" s="268">
        <f t="shared" si="103"/>
        <v>162500</v>
      </c>
      <c r="R2202" s="61">
        <f>IF(O2202=0,0,SUMIFS(Disbursements!$T:$T,Disbursements!$B:$B,'Live Collections'!D2202,Disbursements!$D:$D,'Live Collections'!F2202))</f>
        <v>650000</v>
      </c>
      <c r="S2202" s="304">
        <f>IF(O2202&lt;=IF($O2202=0,0,SUMIFS(Disbursements!$W:$W,Disbursements!$B:$B,'Live Collections'!D220,Disbursements!$D:$D,'Live Collections'!F220)),O2202,IF($O2202=0,0,SUMIFS(Disbursements!$W:$W,Disbursements!$B:$B,'Live Collections'!D220,Disbursements!$D:$D,'Live Collections'!F220)))</f>
        <v>20000</v>
      </c>
      <c r="T2202" s="304">
        <f t="shared" si="105"/>
        <v>142500</v>
      </c>
      <c r="U2202" s="52"/>
      <c r="V2202" s="34"/>
      <c r="W2202" s="408"/>
    </row>
    <row r="2203" spans="1:23" ht="12.75" customHeight="1" x14ac:dyDescent="0.2">
      <c r="A2203" s="257">
        <v>2203</v>
      </c>
      <c r="B2203" s="44">
        <v>44538</v>
      </c>
      <c r="C2203" s="44">
        <f t="shared" si="104"/>
        <v>44538</v>
      </c>
      <c r="D2203" s="374">
        <v>31</v>
      </c>
      <c r="E2203" s="291" t="str">
        <f>IFERROR(VLOOKUP($D2203,'Clients-Live'!$A:$C,3,0),"")</f>
        <v>MUNDURU HARRIET</v>
      </c>
      <c r="F2203" s="291">
        <f>IFERROR(INDEX(Disbursements!$D:$D,MATCH('Live Collections'!G2203,Disbursements!$C:$C,0)),"")</f>
        <v>2</v>
      </c>
      <c r="G2203" s="34">
        <v>260</v>
      </c>
      <c r="H2203" s="34">
        <v>3762</v>
      </c>
      <c r="I2203" s="34" t="s">
        <v>1357</v>
      </c>
      <c r="J2203" s="48"/>
      <c r="K2203" s="48"/>
      <c r="L2203" s="48"/>
      <c r="M2203" s="48"/>
      <c r="N2203" s="59"/>
      <c r="O2203" s="59">
        <v>100000</v>
      </c>
      <c r="P2203" s="59"/>
      <c r="Q2203" s="268">
        <f t="shared" si="103"/>
        <v>100000</v>
      </c>
      <c r="R2203" s="61">
        <f>IF(O2203=0,0,SUMIFS(Disbursements!$T:$T,Disbursements!$B:$B,'Live Collections'!D2203,Disbursements!$D:$D,'Live Collections'!F2203))</f>
        <v>150000</v>
      </c>
      <c r="S2203" s="304">
        <f>IF(O2203&lt;=IF($O2203=0,0,SUMIFS(Disbursements!$W:$W,Disbursements!$B:$B,'Live Collections'!D357,Disbursements!$D:$D,'Live Collections'!F357)),O2203,IF($O2203=0,0,SUMIFS(Disbursements!$W:$W,Disbursements!$B:$B,'Live Collections'!D357,Disbursements!$D:$D,'Live Collections'!F357)))</f>
        <v>100000</v>
      </c>
      <c r="T2203" s="304">
        <f t="shared" si="105"/>
        <v>0</v>
      </c>
      <c r="U2203" s="52"/>
      <c r="V2203" s="34"/>
      <c r="W2203" s="408"/>
    </row>
    <row r="2204" spans="1:23" ht="12.75" customHeight="1" x14ac:dyDescent="0.2">
      <c r="A2204" s="257">
        <v>2201</v>
      </c>
      <c r="B2204" s="44">
        <v>44538</v>
      </c>
      <c r="C2204" s="44">
        <f t="shared" si="104"/>
        <v>44538</v>
      </c>
      <c r="D2204" s="374">
        <v>60</v>
      </c>
      <c r="E2204" s="291" t="str">
        <f>IFERROR(VLOOKUP($D2204,'Clients-Live'!$A:$C,3,0),"")</f>
        <v>MATURU ALICE</v>
      </c>
      <c r="F2204" s="291">
        <f>IFERROR(INDEX(Disbursements!$D:$D,MATCH('Live Collections'!G2204,Disbursements!$C:$C,0)),"")</f>
        <v>2</v>
      </c>
      <c r="G2204" s="34">
        <v>200</v>
      </c>
      <c r="H2204" s="34">
        <v>3760</v>
      </c>
      <c r="I2204" s="34" t="s">
        <v>1358</v>
      </c>
      <c r="J2204" s="48"/>
      <c r="K2204" s="48"/>
      <c r="L2204" s="48"/>
      <c r="M2204" s="48"/>
      <c r="N2204" s="59"/>
      <c r="O2204" s="59">
        <v>80000</v>
      </c>
      <c r="P2204" s="59"/>
      <c r="Q2204" s="268">
        <f t="shared" si="103"/>
        <v>80000</v>
      </c>
      <c r="R2204" s="61">
        <f>IF(O2204=0,0,SUMIFS(Disbursements!$T:$T,Disbursements!$B:$B,'Live Collections'!D2204,Disbursements!$D:$D,'Live Collections'!F2204))</f>
        <v>180000</v>
      </c>
      <c r="S2204" s="304">
        <f>IF(O2204&lt;=IF($O2204=0,0,SUMIFS(Disbursements!$W:$W,Disbursements!$B:$B,'Live Collections'!D723,Disbursements!$D:$D,'Live Collections'!F723)),O2204,IF($O2204=0,0,SUMIFS(Disbursements!$W:$W,Disbursements!$B:$B,'Live Collections'!D723,Disbursements!$D:$D,'Live Collections'!F723)))</f>
        <v>75000</v>
      </c>
      <c r="T2204" s="304">
        <f t="shared" si="105"/>
        <v>5000</v>
      </c>
      <c r="U2204" s="52"/>
      <c r="V2204" s="34"/>
      <c r="W2204" s="408"/>
    </row>
    <row r="2205" spans="1:23" ht="12.75" customHeight="1" x14ac:dyDescent="0.2">
      <c r="A2205" s="257">
        <v>2208</v>
      </c>
      <c r="B2205" s="44">
        <v>44538</v>
      </c>
      <c r="C2205" s="44">
        <f t="shared" si="104"/>
        <v>44538</v>
      </c>
      <c r="D2205" s="374">
        <v>69</v>
      </c>
      <c r="E2205" s="291" t="str">
        <f>IFERROR(VLOOKUP($D2205,'Clients-Live'!$A:$C,3,0),"")</f>
        <v>SADIA JOYCE</v>
      </c>
      <c r="F2205" s="291">
        <f>IFERROR(INDEX(Disbursements!$D:$D,MATCH('Live Collections'!G2205,Disbursements!$C:$C,0)),"")</f>
        <v>2</v>
      </c>
      <c r="G2205" s="34">
        <v>311</v>
      </c>
      <c r="H2205" s="34">
        <v>3840</v>
      </c>
      <c r="I2205" s="34" t="s">
        <v>1359</v>
      </c>
      <c r="J2205" s="48"/>
      <c r="K2205" s="48"/>
      <c r="L2205" s="48"/>
      <c r="M2205" s="48"/>
      <c r="N2205" s="59"/>
      <c r="O2205" s="59">
        <v>100000</v>
      </c>
      <c r="P2205" s="59"/>
      <c r="Q2205" s="268">
        <f t="shared" si="103"/>
        <v>100000</v>
      </c>
      <c r="R2205" s="61">
        <f>IF(O2205=0,0,SUMIFS(Disbursements!$T:$T,Disbursements!$B:$B,'Live Collections'!D2205,Disbursements!$D:$D,'Live Collections'!F2205))</f>
        <v>120000</v>
      </c>
      <c r="S2205" s="304">
        <f>IF(O2205&lt;=IF($O2205=0,0,SUMIFS(Disbursements!$W:$W,Disbursements!$B:$B,'Live Collections'!D860,Disbursements!$D:$D,'Live Collections'!F860)),O2205,IF($O2205=0,0,SUMIFS(Disbursements!$W:$W,Disbursements!$B:$B,'Live Collections'!D860,Disbursements!$D:$D,'Live Collections'!F860)))</f>
        <v>30666.666666666657</v>
      </c>
      <c r="T2205" s="304">
        <f t="shared" si="105"/>
        <v>69333.333333333343</v>
      </c>
      <c r="U2205" s="52"/>
      <c r="V2205" s="34"/>
      <c r="W2205" s="408"/>
    </row>
    <row r="2206" spans="1:23" ht="12.75" customHeight="1" x14ac:dyDescent="0.2">
      <c r="A2206" s="257">
        <v>2194</v>
      </c>
      <c r="B2206" s="44">
        <v>44538</v>
      </c>
      <c r="C2206" s="44">
        <f t="shared" si="104"/>
        <v>44538</v>
      </c>
      <c r="D2206" s="374">
        <v>72</v>
      </c>
      <c r="E2206" s="291" t="str">
        <f>IFERROR(VLOOKUP($D2206,'Clients-Live'!$A:$C,3,0),"")</f>
        <v>MUNDURU MERCY</v>
      </c>
      <c r="F2206" s="291">
        <f>IFERROR(INDEX(Disbursements!$D:$D,MATCH('Live Collections'!G2206,Disbursements!$C:$C,0)),"")</f>
        <v>1</v>
      </c>
      <c r="G2206" s="34">
        <v>57</v>
      </c>
      <c r="H2206" s="34">
        <v>483</v>
      </c>
      <c r="I2206" s="34" t="s">
        <v>1358</v>
      </c>
      <c r="J2206" s="48"/>
      <c r="K2206" s="48"/>
      <c r="L2206" s="48"/>
      <c r="M2206" s="48"/>
      <c r="N2206" s="59"/>
      <c r="O2206" s="59"/>
      <c r="P2206" s="59">
        <v>-100000</v>
      </c>
      <c r="Q2206" s="268">
        <f t="shared" si="103"/>
        <v>-100000</v>
      </c>
      <c r="R2206" s="61">
        <f>IF(O2206=0,0,SUMIFS(Disbursements!$T:$T,Disbursements!$B:$B,'Live Collections'!D2206,Disbursements!$D:$D,'Live Collections'!F2206))</f>
        <v>0</v>
      </c>
      <c r="S2206" s="304">
        <f>IF(O2206&lt;=IF($O2206=0,0,SUMIFS(Disbursements!$W:$W,Disbursements!$B:$B,'Live Collections'!D910,Disbursements!$D:$D,'Live Collections'!F910)),O2206,IF($O2206=0,0,SUMIFS(Disbursements!$W:$W,Disbursements!$B:$B,'Live Collections'!D910,Disbursements!$D:$D,'Live Collections'!F910)))</f>
        <v>0</v>
      </c>
      <c r="T2206" s="304">
        <f t="shared" si="105"/>
        <v>0</v>
      </c>
      <c r="U2206" s="52"/>
      <c r="V2206" s="34"/>
      <c r="W2206" s="408"/>
    </row>
    <row r="2207" spans="1:23" ht="12.75" customHeight="1" x14ac:dyDescent="0.2">
      <c r="A2207" s="257">
        <v>2195</v>
      </c>
      <c r="B2207" s="44">
        <v>44538</v>
      </c>
      <c r="C2207" s="44">
        <f t="shared" si="104"/>
        <v>44538</v>
      </c>
      <c r="D2207" s="374">
        <v>72</v>
      </c>
      <c r="E2207" s="291" t="str">
        <f>IFERROR(VLOOKUP($D2207,'Clients-Live'!$A:$C,3,0),"")</f>
        <v>MUNDURU MERCY</v>
      </c>
      <c r="F2207" s="291">
        <f>IFERROR(INDEX(Disbursements!$D:$D,MATCH('Live Collections'!G2207,Disbursements!$C:$C,0)),"")</f>
        <v>1</v>
      </c>
      <c r="G2207" s="34">
        <v>57</v>
      </c>
      <c r="H2207" s="34">
        <v>3839</v>
      </c>
      <c r="I2207" s="34" t="s">
        <v>1358</v>
      </c>
      <c r="J2207" s="48"/>
      <c r="K2207" s="48"/>
      <c r="L2207" s="48"/>
      <c r="M2207" s="48"/>
      <c r="N2207" s="59"/>
      <c r="O2207" s="59">
        <v>100000</v>
      </c>
      <c r="P2207" s="59"/>
      <c r="Q2207" s="268">
        <f t="shared" si="103"/>
        <v>100000</v>
      </c>
      <c r="R2207" s="61">
        <f>IF(O2207=0,0,SUMIFS(Disbursements!$T:$T,Disbursements!$B:$B,'Live Collections'!D2207,Disbursements!$D:$D,'Live Collections'!F2207))</f>
        <v>217000</v>
      </c>
      <c r="S2207" s="304"/>
      <c r="T2207" s="304">
        <f t="shared" si="105"/>
        <v>100000</v>
      </c>
      <c r="U2207" s="52"/>
      <c r="V2207" s="34"/>
      <c r="W2207" s="408" t="s">
        <v>1907</v>
      </c>
    </row>
    <row r="2208" spans="1:23" ht="12.75" customHeight="1" x14ac:dyDescent="0.2">
      <c r="A2208" s="257">
        <v>2196</v>
      </c>
      <c r="B2208" s="44">
        <v>44538</v>
      </c>
      <c r="C2208" s="44">
        <f t="shared" si="104"/>
        <v>44538</v>
      </c>
      <c r="D2208" s="374">
        <v>72</v>
      </c>
      <c r="E2208" s="291" t="str">
        <f>IFERROR(VLOOKUP($D2208,'Clients-Live'!$A:$C,3,0),"")</f>
        <v>MUNDURU MERCY</v>
      </c>
      <c r="F2208" s="291">
        <f>IFERROR(INDEX(Disbursements!$D:$D,MATCH('Live Collections'!G2208,Disbursements!$C:$C,0)),"")</f>
        <v>1</v>
      </c>
      <c r="G2208" s="34">
        <v>57</v>
      </c>
      <c r="H2208" s="34">
        <v>3838</v>
      </c>
      <c r="I2208" s="34" t="s">
        <v>1358</v>
      </c>
      <c r="J2208" s="48"/>
      <c r="K2208" s="48"/>
      <c r="L2208" s="48"/>
      <c r="M2208" s="48"/>
      <c r="N2208" s="59"/>
      <c r="O2208" s="59">
        <v>116700</v>
      </c>
      <c r="P2208" s="59"/>
      <c r="Q2208" s="268">
        <f t="shared" si="103"/>
        <v>116700</v>
      </c>
      <c r="R2208" s="61">
        <f>IF(O2208=0,0,SUMIFS(Disbursements!$T:$T,Disbursements!$B:$B,'Live Collections'!D2208,Disbursements!$D:$D,'Live Collections'!F2208))</f>
        <v>217000</v>
      </c>
      <c r="S2208" s="304"/>
      <c r="T2208" s="304">
        <f t="shared" si="105"/>
        <v>116700</v>
      </c>
      <c r="U2208" s="52"/>
      <c r="V2208" s="34"/>
      <c r="W2208" s="408"/>
    </row>
    <row r="2209" spans="1:23" ht="12.75" customHeight="1" x14ac:dyDescent="0.2">
      <c r="A2209" s="257">
        <v>2207</v>
      </c>
      <c r="B2209" s="44">
        <v>44538</v>
      </c>
      <c r="C2209" s="44">
        <f t="shared" si="104"/>
        <v>44538</v>
      </c>
      <c r="D2209" s="374">
        <v>72</v>
      </c>
      <c r="E2209" s="291" t="str">
        <f>IFERROR(VLOOKUP($D2209,'Clients-Live'!$A:$C,3,0),"")</f>
        <v>MUNDURU MERCY</v>
      </c>
      <c r="F2209" s="291" t="str">
        <f>IFERROR(INDEX(Disbursements!$D:$D,MATCH('Live Collections'!G2209,Disbursements!$C:$C,0)),"")</f>
        <v/>
      </c>
      <c r="G2209" s="34"/>
      <c r="H2209" s="34">
        <v>3841</v>
      </c>
      <c r="I2209" s="34" t="s">
        <v>1716</v>
      </c>
      <c r="J2209" s="48"/>
      <c r="K2209" s="48"/>
      <c r="L2209" s="48">
        <v>20000</v>
      </c>
      <c r="M2209" s="48">
        <v>5000</v>
      </c>
      <c r="N2209" s="59"/>
      <c r="O2209" s="59"/>
      <c r="P2209" s="59"/>
      <c r="Q2209" s="268">
        <f t="shared" si="103"/>
        <v>25000</v>
      </c>
      <c r="R2209" s="61">
        <f>IF(O2209=0,0,SUMIFS(Disbursements!$T:$T,Disbursements!$B:$B,'Live Collections'!D2209,Disbursements!$D:$D,'Live Collections'!F2209))</f>
        <v>0</v>
      </c>
      <c r="S2209" s="304">
        <f>IF(O2209&lt;=IF($O2209=0,0,SUMIFS(Disbursements!$W:$W,Disbursements!$B:$B,'Live Collections'!D913,Disbursements!$D:$D,'Live Collections'!F913)),O2209,IF($O2209=0,0,SUMIFS(Disbursements!$W:$W,Disbursements!$B:$B,'Live Collections'!D913,Disbursements!$D:$D,'Live Collections'!F913)))</f>
        <v>0</v>
      </c>
      <c r="T2209" s="304">
        <f t="shared" si="105"/>
        <v>0</v>
      </c>
      <c r="U2209" s="52"/>
      <c r="V2209" s="34"/>
      <c r="W2209" s="408"/>
    </row>
    <row r="2210" spans="1:23" ht="12.75" customHeight="1" x14ac:dyDescent="0.2">
      <c r="A2210" s="257">
        <v>2206</v>
      </c>
      <c r="B2210" s="44">
        <v>44538</v>
      </c>
      <c r="C2210" s="44">
        <f t="shared" si="104"/>
        <v>44538</v>
      </c>
      <c r="D2210" s="374">
        <v>115</v>
      </c>
      <c r="E2210" s="291" t="str">
        <f>IFERROR(VLOOKUP($D2210,'Clients-Live'!$A:$C,3,0),"")</f>
        <v>AYIKE SAUDA</v>
      </c>
      <c r="F2210" s="291">
        <f>IFERROR(INDEX(Disbursements!$D:$D,MATCH('Live Collections'!G2210,Disbursements!$C:$C,0)),"")</f>
        <v>1</v>
      </c>
      <c r="G2210" s="34">
        <v>98</v>
      </c>
      <c r="H2210" s="34">
        <v>3766</v>
      </c>
      <c r="I2210" s="34" t="s">
        <v>1357</v>
      </c>
      <c r="J2210" s="48"/>
      <c r="K2210" s="48"/>
      <c r="L2210" s="48"/>
      <c r="M2210" s="48"/>
      <c r="N2210" s="59"/>
      <c r="O2210" s="59">
        <v>200000</v>
      </c>
      <c r="P2210" s="59"/>
      <c r="Q2210" s="268">
        <f t="shared" si="103"/>
        <v>200000</v>
      </c>
      <c r="R2210" s="61">
        <f>IF(O2210=0,0,SUMIFS(Disbursements!$T:$T,Disbursements!$B:$B,'Live Collections'!D2210,Disbursements!$D:$D,'Live Collections'!F2210))</f>
        <v>217000</v>
      </c>
      <c r="S2210" s="304">
        <f>IF(O2210&lt;=IF($O2210=0,0,SUMIFS(Disbursements!$W:$W,Disbursements!$B:$B,'Live Collections'!D2005,Disbursements!$D:$D,'Live Collections'!F2005)),O2210,IF($O2210=0,0,SUMIFS(Disbursements!$W:$W,Disbursements!$B:$B,'Live Collections'!D2005,Disbursements!$D:$D,'Live Collections'!F2005)))</f>
        <v>38000</v>
      </c>
      <c r="T2210" s="304">
        <f t="shared" si="105"/>
        <v>162000</v>
      </c>
      <c r="U2210" s="52"/>
      <c r="V2210" s="34"/>
      <c r="W2210" s="408"/>
    </row>
    <row r="2211" spans="1:23" ht="12.75" customHeight="1" x14ac:dyDescent="0.2">
      <c r="A2211" s="257">
        <v>2197</v>
      </c>
      <c r="B2211" s="44">
        <v>44538</v>
      </c>
      <c r="C2211" s="44">
        <f t="shared" si="104"/>
        <v>44538</v>
      </c>
      <c r="D2211" s="374">
        <v>210</v>
      </c>
      <c r="E2211" s="291" t="str">
        <f>IFERROR(VLOOKUP($D2211,'Clients-Live'!$A:$C,3,0),"")</f>
        <v>ADRILI ZAHARA</v>
      </c>
      <c r="F2211" s="291">
        <f>IFERROR(INDEX(Disbursements!$D:$D,MATCH('Live Collections'!G2211,Disbursements!$C:$C,0)),"")</f>
        <v>1</v>
      </c>
      <c r="G2211" s="34">
        <v>213</v>
      </c>
      <c r="H2211" s="34">
        <v>3764</v>
      </c>
      <c r="I2211" s="34" t="s">
        <v>1357</v>
      </c>
      <c r="J2211" s="48"/>
      <c r="K2211" s="48"/>
      <c r="L2211" s="48"/>
      <c r="M2211" s="48"/>
      <c r="N2211" s="59"/>
      <c r="O2211" s="59">
        <v>50000</v>
      </c>
      <c r="P2211" s="59"/>
      <c r="Q2211" s="268">
        <f t="shared" si="103"/>
        <v>50000</v>
      </c>
      <c r="R2211" s="61">
        <f>IF(O2211=0,0,SUMIFS(Disbursements!$T:$T,Disbursements!$B:$B,'Live Collections'!D2211,Disbursements!$D:$D,'Live Collections'!F2211))</f>
        <v>150000</v>
      </c>
      <c r="S2211" s="304"/>
      <c r="T2211" s="304">
        <f t="shared" si="105"/>
        <v>50000</v>
      </c>
      <c r="U2211" s="52"/>
      <c r="V2211" s="34"/>
      <c r="W2211" s="408" t="s">
        <v>1906</v>
      </c>
    </row>
    <row r="2212" spans="1:23" ht="12.75" customHeight="1" x14ac:dyDescent="0.2">
      <c r="A2212" s="257">
        <v>2198</v>
      </c>
      <c r="B2212" s="44">
        <v>44538</v>
      </c>
      <c r="C2212" s="44">
        <f t="shared" si="104"/>
        <v>44538</v>
      </c>
      <c r="D2212" s="374">
        <v>210</v>
      </c>
      <c r="E2212" s="291" t="str">
        <f>IFERROR(VLOOKUP($D2212,'Clients-Live'!$A:$C,3,0),"")</f>
        <v>ADRILI ZAHARA</v>
      </c>
      <c r="F2212" s="291">
        <f>IFERROR(INDEX(Disbursements!$D:$D,MATCH('Live Collections'!G2212,Disbursements!$C:$C,0)),"")</f>
        <v>1</v>
      </c>
      <c r="G2212" s="34">
        <v>213</v>
      </c>
      <c r="H2212" s="34">
        <v>1498</v>
      </c>
      <c r="I2212" s="34" t="s">
        <v>1357</v>
      </c>
      <c r="J2212" s="48"/>
      <c r="K2212" s="48"/>
      <c r="L2212" s="48"/>
      <c r="M2212" s="48"/>
      <c r="N2212" s="59"/>
      <c r="O2212" s="59"/>
      <c r="P2212" s="59">
        <v>-50000</v>
      </c>
      <c r="Q2212" s="268">
        <f t="shared" si="103"/>
        <v>-50000</v>
      </c>
      <c r="R2212" s="61">
        <f>IF(O2212=0,0,SUMIFS(Disbursements!$T:$T,Disbursements!$B:$B,'Live Collections'!D2212,Disbursements!$D:$D,'Live Collections'!F2212))</f>
        <v>0</v>
      </c>
      <c r="S2212" s="304">
        <f>IF(O2212&lt;=IF($O2212=0,0,SUMIFS(Disbursements!$W:$W,Disbursements!$B:$B,'Live Collections'!D2482,Disbursements!$D:$D,'Live Collections'!F2482)),O2212,IF($O2212=0,0,SUMIFS(Disbursements!$W:$W,Disbursements!$B:$B,'Live Collections'!D2482,Disbursements!$D:$D,'Live Collections'!F2482)))</f>
        <v>0</v>
      </c>
      <c r="T2212" s="304">
        <f t="shared" si="105"/>
        <v>0</v>
      </c>
      <c r="U2212" s="52"/>
      <c r="V2212" s="34"/>
      <c r="W2212" s="410"/>
    </row>
    <row r="2213" spans="1:23" ht="12.75" customHeight="1" x14ac:dyDescent="0.2">
      <c r="A2213" s="257">
        <v>2199</v>
      </c>
      <c r="B2213" s="44">
        <v>44538</v>
      </c>
      <c r="C2213" s="44">
        <f t="shared" si="104"/>
        <v>44538</v>
      </c>
      <c r="D2213" s="374">
        <v>210</v>
      </c>
      <c r="E2213" s="291" t="str">
        <f>IFERROR(VLOOKUP($D2213,'Clients-Live'!$A:$C,3,0),"")</f>
        <v>ADRILI ZAHARA</v>
      </c>
      <c r="F2213" s="291">
        <f>IFERROR(INDEX(Disbursements!$D:$D,MATCH('Live Collections'!G2213,Disbursements!$C:$C,0)),"")</f>
        <v>1</v>
      </c>
      <c r="G2213" s="34">
        <v>213</v>
      </c>
      <c r="H2213" s="34">
        <v>3763</v>
      </c>
      <c r="I2213" s="34" t="s">
        <v>1357</v>
      </c>
      <c r="J2213" s="48"/>
      <c r="K2213" s="48"/>
      <c r="L2213" s="48"/>
      <c r="M2213" s="48"/>
      <c r="N2213" s="59"/>
      <c r="O2213" s="59">
        <v>100000</v>
      </c>
      <c r="P2213" s="59"/>
      <c r="Q2213" s="268">
        <f t="shared" si="103"/>
        <v>100000</v>
      </c>
      <c r="R2213" s="61">
        <f>IF(O2213=0,0,SUMIFS(Disbursements!$T:$T,Disbursements!$B:$B,'Live Collections'!D2213,Disbursements!$D:$D,'Live Collections'!F2213))</f>
        <v>150000</v>
      </c>
      <c r="S2213" s="304"/>
      <c r="T2213" s="304">
        <f t="shared" si="105"/>
        <v>100000</v>
      </c>
      <c r="U2213" s="52"/>
      <c r="V2213" s="34"/>
      <c r="W2213" s="408"/>
    </row>
    <row r="2214" spans="1:23" ht="12.75" customHeight="1" x14ac:dyDescent="0.2">
      <c r="A2214" s="257">
        <v>2204</v>
      </c>
      <c r="B2214" s="44">
        <v>44538</v>
      </c>
      <c r="C2214" s="44">
        <f t="shared" si="104"/>
        <v>44538</v>
      </c>
      <c r="D2214" s="374">
        <v>211</v>
      </c>
      <c r="E2214" s="291" t="str">
        <f>IFERROR(VLOOKUP($D2214,'Clients-Live'!$A:$C,3,0),"")</f>
        <v>WILARU JOYCE</v>
      </c>
      <c r="F2214" s="291">
        <f>IFERROR(INDEX(Disbursements!$D:$D,MATCH('Live Collections'!G2214,Disbursements!$C:$C,0)),"")</f>
        <v>1</v>
      </c>
      <c r="G2214" s="34">
        <v>211</v>
      </c>
      <c r="H2214" s="34">
        <v>3759</v>
      </c>
      <c r="I2214" s="34" t="s">
        <v>1358</v>
      </c>
      <c r="J2214" s="48"/>
      <c r="K2214" s="48"/>
      <c r="L2214" s="48"/>
      <c r="M2214" s="48"/>
      <c r="N2214" s="59"/>
      <c r="O2214" s="59">
        <v>200000</v>
      </c>
      <c r="P2214" s="59"/>
      <c r="Q2214" s="268">
        <f t="shared" si="103"/>
        <v>200000</v>
      </c>
      <c r="R2214" s="61">
        <f>IF(O2214=0,0,SUMIFS(Disbursements!$T:$T,Disbursements!$B:$B,'Live Collections'!D2214,Disbursements!$D:$D,'Live Collections'!F2214))</f>
        <v>200000</v>
      </c>
      <c r="S2214" s="64">
        <v>24333.333333333314</v>
      </c>
      <c r="T2214" s="304">
        <f t="shared" si="105"/>
        <v>175666.66666666669</v>
      </c>
      <c r="U2214" s="52"/>
      <c r="V2214" s="34"/>
      <c r="W2214" s="408"/>
    </row>
    <row r="2215" spans="1:23" ht="12.75" customHeight="1" x14ac:dyDescent="0.2">
      <c r="A2215" s="257">
        <v>2205</v>
      </c>
      <c r="B2215" s="44">
        <v>44538</v>
      </c>
      <c r="C2215" s="44">
        <f t="shared" si="104"/>
        <v>44538</v>
      </c>
      <c r="D2215" s="374">
        <v>270</v>
      </c>
      <c r="E2215" s="291" t="str">
        <f>IFERROR(VLOOKUP($D2215,'Clients-Live'!$A:$C,3,0),"")</f>
        <v>AJOBE SAMUEL</v>
      </c>
      <c r="F2215" s="291">
        <f>IFERROR(INDEX(Disbursements!$D:$D,MATCH('Live Collections'!G2215,Disbursements!$C:$C,0)),"")</f>
        <v>1</v>
      </c>
      <c r="G2215" s="34">
        <v>313</v>
      </c>
      <c r="H2215" s="34">
        <v>3761</v>
      </c>
      <c r="I2215" s="34" t="s">
        <v>1359</v>
      </c>
      <c r="J2215" s="48"/>
      <c r="K2215" s="48"/>
      <c r="L2215" s="48"/>
      <c r="M2215" s="48"/>
      <c r="N2215" s="59"/>
      <c r="O2215" s="59">
        <v>100000</v>
      </c>
      <c r="P2215" s="59"/>
      <c r="Q2215" s="268">
        <f t="shared" si="103"/>
        <v>100000</v>
      </c>
      <c r="R2215" s="61">
        <f>IF(O2215=0,0,SUMIFS(Disbursements!$T:$T,Disbursements!$B:$B,'Live Collections'!D2215,Disbursements!$D:$D,'Live Collections'!F2215))</f>
        <v>143000</v>
      </c>
      <c r="S2215" s="64">
        <v>78999.999999999985</v>
      </c>
      <c r="T2215" s="304">
        <f t="shared" si="105"/>
        <v>21000.000000000015</v>
      </c>
      <c r="U2215" s="52"/>
      <c r="V2215" s="34"/>
      <c r="W2215" s="408"/>
    </row>
    <row r="2216" spans="1:23" ht="12.75" customHeight="1" x14ac:dyDescent="0.2">
      <c r="A2216" s="257">
        <v>2214</v>
      </c>
      <c r="B2216" s="44">
        <v>44539</v>
      </c>
      <c r="C2216" s="44">
        <f t="shared" si="104"/>
        <v>44539</v>
      </c>
      <c r="D2216" s="374">
        <v>11</v>
      </c>
      <c r="E2216" s="291" t="str">
        <f>IFERROR(VLOOKUP($D2216,'Clients-Live'!$A:$C,3,0),"")</f>
        <v>ARIME JUMA</v>
      </c>
      <c r="F2216" s="291">
        <f>IFERROR(INDEX(Disbursements!$D:$D,MATCH('Live Collections'!G2216,Disbursements!$C:$C,0)),"")</f>
        <v>1</v>
      </c>
      <c r="G2216" s="34">
        <v>10</v>
      </c>
      <c r="H2216" s="34">
        <v>1493</v>
      </c>
      <c r="I2216" s="34" t="s">
        <v>1359</v>
      </c>
      <c r="J2216" s="48"/>
      <c r="K2216" s="48"/>
      <c r="L2216" s="48"/>
      <c r="M2216" s="48"/>
      <c r="N2216" s="59"/>
      <c r="O2216" s="59"/>
      <c r="P2216" s="59">
        <v>-10000</v>
      </c>
      <c r="Q2216" s="268">
        <f t="shared" si="103"/>
        <v>-10000</v>
      </c>
      <c r="R2216" s="61">
        <f>IF(O2216=0,0,SUMIFS(Disbursements!$T:$T,Disbursements!$B:$B,'Live Collections'!D2216,Disbursements!$D:$D,'Live Collections'!F2216))</f>
        <v>0</v>
      </c>
      <c r="S2216" s="304">
        <f>IF(O2216&lt;=IF($O2216=0,0,SUMIFS(Disbursements!$W:$W,Disbursements!$B:$B,'Live Collections'!D114,Disbursements!$D:$D,'Live Collections'!F114)),O2216,IF($O2216=0,0,SUMIFS(Disbursements!$W:$W,Disbursements!$B:$B,'Live Collections'!D114,Disbursements!$D:$D,'Live Collections'!F114)))</f>
        <v>0</v>
      </c>
      <c r="T2216" s="304">
        <f t="shared" si="105"/>
        <v>0</v>
      </c>
      <c r="U2216" s="52"/>
      <c r="V2216" s="34"/>
      <c r="W2216" s="408"/>
    </row>
    <row r="2217" spans="1:23" ht="12.75" customHeight="1" x14ac:dyDescent="0.2">
      <c r="A2217" s="257">
        <v>2215</v>
      </c>
      <c r="B2217" s="44">
        <v>44539</v>
      </c>
      <c r="C2217" s="44">
        <f t="shared" si="104"/>
        <v>44539</v>
      </c>
      <c r="D2217" s="374">
        <v>11</v>
      </c>
      <c r="E2217" s="291" t="str">
        <f>IFERROR(VLOOKUP($D2217,'Clients-Live'!$A:$C,3,0),"")</f>
        <v>ARIME JUMA</v>
      </c>
      <c r="F2217" s="291">
        <f>IFERROR(INDEX(Disbursements!$D:$D,MATCH('Live Collections'!G2217,Disbursements!$C:$C,0)),"")</f>
        <v>1</v>
      </c>
      <c r="G2217" s="34">
        <v>10</v>
      </c>
      <c r="H2217" s="34">
        <v>3763</v>
      </c>
      <c r="I2217" s="34" t="s">
        <v>1359</v>
      </c>
      <c r="J2217" s="48"/>
      <c r="K2217" s="48"/>
      <c r="L2217" s="48"/>
      <c r="M2217" s="48"/>
      <c r="N2217" s="59"/>
      <c r="O2217" s="59">
        <v>10000</v>
      </c>
      <c r="P2217" s="59"/>
      <c r="Q2217" s="268">
        <f t="shared" si="103"/>
        <v>10000</v>
      </c>
      <c r="R2217" s="61">
        <f>IF(O2217=0,0,SUMIFS(Disbursements!$T:$T,Disbursements!$B:$B,'Live Collections'!D2217,Disbursements!$D:$D,'Live Collections'!F2217))</f>
        <v>109000</v>
      </c>
      <c r="S2217" s="304">
        <f>IF(O2217&lt;=IF($O2217=0,0,SUMIFS(Disbursements!$W:$W,Disbursements!$B:$B,'Live Collections'!D115,Disbursements!$D:$D,'Live Collections'!F115)),O2217,IF($O2217=0,0,SUMIFS(Disbursements!$W:$W,Disbursements!$B:$B,'Live Collections'!D115,Disbursements!$D:$D,'Live Collections'!F115)))</f>
        <v>10000</v>
      </c>
      <c r="T2217" s="304">
        <f t="shared" si="105"/>
        <v>0</v>
      </c>
      <c r="U2217" s="52"/>
      <c r="V2217" s="34"/>
      <c r="W2217" s="408" t="s">
        <v>1904</v>
      </c>
    </row>
    <row r="2218" spans="1:23" ht="12.75" customHeight="1" x14ac:dyDescent="0.2">
      <c r="A2218" s="257">
        <v>2229</v>
      </c>
      <c r="B2218" s="44">
        <v>44539</v>
      </c>
      <c r="C2218" s="44">
        <f t="shared" si="104"/>
        <v>44539</v>
      </c>
      <c r="D2218" s="374">
        <v>11</v>
      </c>
      <c r="E2218" s="291" t="str">
        <f>IFERROR(VLOOKUP($D2218,'Clients-Live'!$A:$C,3,0),"")</f>
        <v>ARIME JUMA</v>
      </c>
      <c r="F2218" s="291" t="str">
        <f>IFERROR(INDEX(Disbursements!$D:$D,MATCH('Live Collections'!G2218,Disbursements!$C:$C,0)),"")</f>
        <v/>
      </c>
      <c r="G2218" s="34"/>
      <c r="H2218" s="34">
        <v>3847</v>
      </c>
      <c r="I2218" s="34" t="s">
        <v>1359</v>
      </c>
      <c r="J2218" s="48"/>
      <c r="K2218" s="48"/>
      <c r="L2218" s="48">
        <v>15000</v>
      </c>
      <c r="M2218" s="48">
        <v>5000</v>
      </c>
      <c r="N2218" s="59"/>
      <c r="O2218" s="59"/>
      <c r="P2218" s="59"/>
      <c r="Q2218" s="268">
        <f t="shared" si="103"/>
        <v>20000</v>
      </c>
      <c r="R2218" s="61">
        <f>IF(O2218=0,0,SUMIFS(Disbursements!$T:$T,Disbursements!$B:$B,'Live Collections'!D2218,Disbursements!$D:$D,'Live Collections'!F2218))</f>
        <v>0</v>
      </c>
      <c r="S2218" s="304">
        <f>IF(O2218&lt;=IF($O2218=0,0,SUMIFS(Disbursements!$W:$W,Disbursements!$B:$B,'Live Collections'!D116,Disbursements!$D:$D,'Live Collections'!F116)),O2218,IF($O2218=0,0,SUMIFS(Disbursements!$W:$W,Disbursements!$B:$B,'Live Collections'!D116,Disbursements!$D:$D,'Live Collections'!F116)))</f>
        <v>0</v>
      </c>
      <c r="T2218" s="304">
        <f t="shared" si="105"/>
        <v>0</v>
      </c>
      <c r="U2218" s="52"/>
      <c r="V2218" s="34"/>
      <c r="W2218" s="408"/>
    </row>
    <row r="2219" spans="1:23" ht="12.75" customHeight="1" x14ac:dyDescent="0.2">
      <c r="A2219" s="257">
        <v>2237</v>
      </c>
      <c r="B2219" s="44">
        <v>44539</v>
      </c>
      <c r="C2219" s="44">
        <f t="shared" si="104"/>
        <v>44539</v>
      </c>
      <c r="D2219" s="374">
        <v>11</v>
      </c>
      <c r="E2219" s="291" t="str">
        <f>IFERROR(VLOOKUP($D2219,'Clients-Live'!$A:$C,3,0),"")</f>
        <v>ARIME JUMA</v>
      </c>
      <c r="F2219" s="291">
        <f>IFERROR(INDEX(Disbursements!$D:$D,MATCH('Live Collections'!G2219,Disbursements!$C:$C,0)),"")</f>
        <v>2</v>
      </c>
      <c r="G2219" s="34">
        <v>363</v>
      </c>
      <c r="H2219" s="34">
        <v>3786</v>
      </c>
      <c r="I2219" s="34" t="s">
        <v>1359</v>
      </c>
      <c r="J2219" s="48"/>
      <c r="K2219" s="48"/>
      <c r="L2219" s="48"/>
      <c r="M2219" s="48"/>
      <c r="N2219" s="59"/>
      <c r="O2219" s="59"/>
      <c r="P2219" s="59">
        <v>30000</v>
      </c>
      <c r="Q2219" s="268">
        <f t="shared" si="103"/>
        <v>30000</v>
      </c>
      <c r="R2219" s="61">
        <f>IF(O2219=0,0,SUMIFS(Disbursements!$T:$T,Disbursements!$B:$B,'Live Collections'!D2219,Disbursements!$D:$D,'Live Collections'!F2219))</f>
        <v>0</v>
      </c>
      <c r="S2219" s="304">
        <f>IF(O2219&lt;=IF($O2219=0,0,SUMIFS(Disbursements!$W:$W,Disbursements!$B:$B,'Live Collections'!D117,Disbursements!$D:$D,'Live Collections'!F117)),O2219,IF($O2219=0,0,SUMIFS(Disbursements!$W:$W,Disbursements!$B:$B,'Live Collections'!D117,Disbursements!$D:$D,'Live Collections'!F117)))</f>
        <v>0</v>
      </c>
      <c r="T2219" s="304">
        <f t="shared" si="105"/>
        <v>0</v>
      </c>
      <c r="U2219" s="52"/>
      <c r="V2219" s="34"/>
      <c r="W2219" s="408"/>
    </row>
    <row r="2220" spans="1:23" ht="12.75" customHeight="1" x14ac:dyDescent="0.2">
      <c r="A2220" s="257">
        <v>2238</v>
      </c>
      <c r="B2220" s="44">
        <v>44539</v>
      </c>
      <c r="C2220" s="44">
        <f t="shared" si="104"/>
        <v>44539</v>
      </c>
      <c r="D2220" s="374">
        <v>44</v>
      </c>
      <c r="E2220" s="291" t="str">
        <f>IFERROR(VLOOKUP($D2220,'Clients-Live'!$A:$C,3,0),"")</f>
        <v>CANDIRU HELLEN</v>
      </c>
      <c r="F2220" s="291">
        <f>IFERROR(INDEX(Disbursements!$D:$D,MATCH('Live Collections'!G2220,Disbursements!$C:$C,0)),"")</f>
        <v>3</v>
      </c>
      <c r="G2220" s="34">
        <v>362</v>
      </c>
      <c r="H2220" s="34">
        <v>3788</v>
      </c>
      <c r="I2220" s="34" t="s">
        <v>1358</v>
      </c>
      <c r="J2220" s="48"/>
      <c r="K2220" s="48"/>
      <c r="L2220" s="48"/>
      <c r="M2220" s="48"/>
      <c r="N2220" s="59"/>
      <c r="O2220" s="59"/>
      <c r="P2220" s="59">
        <v>150000</v>
      </c>
      <c r="Q2220" s="268">
        <f t="shared" si="103"/>
        <v>150000</v>
      </c>
      <c r="R2220" s="61">
        <f>IF(O2220=0,0,SUMIFS(Disbursements!$T:$T,Disbursements!$B:$B,'Live Collections'!D2220,Disbursements!$D:$D,'Live Collections'!F2220))</f>
        <v>0</v>
      </c>
      <c r="S2220" s="304">
        <f>IF(O2220&lt;=IF($O2220=0,0,SUMIFS(Disbursements!$W:$W,Disbursements!$B:$B,'Live Collections'!D498,Disbursements!$D:$D,'Live Collections'!F498)),O2220,IF($O2220=0,0,SUMIFS(Disbursements!$W:$W,Disbursements!$B:$B,'Live Collections'!D498,Disbursements!$D:$D,'Live Collections'!F498)))</f>
        <v>0</v>
      </c>
      <c r="T2220" s="304">
        <f t="shared" si="105"/>
        <v>0</v>
      </c>
      <c r="U2220" s="52"/>
      <c r="V2220" s="34"/>
      <c r="W2220" s="408"/>
    </row>
    <row r="2221" spans="1:23" ht="12.75" customHeight="1" x14ac:dyDescent="0.2">
      <c r="A2221" s="257">
        <v>2219</v>
      </c>
      <c r="B2221" s="44">
        <v>44539</v>
      </c>
      <c r="C2221" s="44">
        <f t="shared" si="104"/>
        <v>44539</v>
      </c>
      <c r="D2221" s="374">
        <v>63</v>
      </c>
      <c r="E2221" s="291" t="str">
        <f>IFERROR(VLOOKUP($D2221,'Clients-Live'!$A:$C,3,0),"")</f>
        <v>AWURU KADARA</v>
      </c>
      <c r="F2221" s="291">
        <f>IFERROR(INDEX(Disbursements!$D:$D,MATCH('Live Collections'!G2221,Disbursements!$C:$C,0)),"")</f>
        <v>2</v>
      </c>
      <c r="G2221" s="34">
        <v>173</v>
      </c>
      <c r="H2221" s="34">
        <v>1491</v>
      </c>
      <c r="I2221" s="34" t="s">
        <v>1357</v>
      </c>
      <c r="J2221" s="48"/>
      <c r="K2221" s="48"/>
      <c r="L2221" s="48"/>
      <c r="M2221" s="48"/>
      <c r="N2221" s="59"/>
      <c r="O2221" s="59"/>
      <c r="P2221" s="59">
        <v>-100000</v>
      </c>
      <c r="Q2221" s="268">
        <f t="shared" si="103"/>
        <v>-100000</v>
      </c>
      <c r="R2221" s="61">
        <f>IF(O2221=0,0,SUMIFS(Disbursements!$T:$T,Disbursements!$B:$B,'Live Collections'!D2221,Disbursements!$D:$D,'Live Collections'!F2221))</f>
        <v>0</v>
      </c>
      <c r="S2221" s="304">
        <f>IF(O2221&lt;=IF($O2221=0,0,SUMIFS(Disbursements!$W:$W,Disbursements!$B:$B,'Live Collections'!D761,Disbursements!$D:$D,'Live Collections'!F761)),O2221,IF($O2221=0,0,SUMIFS(Disbursements!$W:$W,Disbursements!$B:$B,'Live Collections'!D761,Disbursements!$D:$D,'Live Collections'!F761)))</f>
        <v>0</v>
      </c>
      <c r="T2221" s="304">
        <f t="shared" si="105"/>
        <v>0</v>
      </c>
      <c r="U2221" s="52"/>
      <c r="V2221" s="34"/>
      <c r="W2221" s="408"/>
    </row>
    <row r="2222" spans="1:23" ht="12.75" customHeight="1" x14ac:dyDescent="0.2">
      <c r="A2222" s="257">
        <v>2220</v>
      </c>
      <c r="B2222" s="44">
        <v>44539</v>
      </c>
      <c r="C2222" s="44">
        <f t="shared" si="104"/>
        <v>44539</v>
      </c>
      <c r="D2222" s="374">
        <v>63</v>
      </c>
      <c r="E2222" s="291" t="str">
        <f>IFERROR(VLOOKUP($D2222,'Clients-Live'!$A:$C,3,0),"")</f>
        <v>AWURU KADARA</v>
      </c>
      <c r="F2222" s="291">
        <f>IFERROR(INDEX(Disbursements!$D:$D,MATCH('Live Collections'!G2222,Disbursements!$C:$C,0)),"")</f>
        <v>2</v>
      </c>
      <c r="G2222" s="34">
        <v>173</v>
      </c>
      <c r="H2222" s="34">
        <v>3770</v>
      </c>
      <c r="I2222" s="34" t="s">
        <v>1357</v>
      </c>
      <c r="J2222" s="48"/>
      <c r="K2222" s="48"/>
      <c r="L2222" s="48"/>
      <c r="M2222" s="48"/>
      <c r="N2222" s="59"/>
      <c r="O2222" s="59">
        <v>100000</v>
      </c>
      <c r="P2222" s="59"/>
      <c r="Q2222" s="268">
        <f t="shared" si="103"/>
        <v>100000</v>
      </c>
      <c r="R2222" s="61">
        <f>IF(O2222=0,0,SUMIFS(Disbursements!$T:$T,Disbursements!$B:$B,'Live Collections'!D2222,Disbursements!$D:$D,'Live Collections'!F2222))</f>
        <v>175000</v>
      </c>
      <c r="S2222" s="304">
        <v>15000</v>
      </c>
      <c r="T2222" s="304">
        <f t="shared" si="105"/>
        <v>85000</v>
      </c>
      <c r="U2222" s="52"/>
      <c r="V2222" s="34"/>
      <c r="W2222" s="408" t="s">
        <v>1908</v>
      </c>
    </row>
    <row r="2223" spans="1:23" ht="12.75" customHeight="1" x14ac:dyDescent="0.2">
      <c r="A2223" s="257">
        <v>2221</v>
      </c>
      <c r="B2223" s="44">
        <v>44539</v>
      </c>
      <c r="C2223" s="44">
        <f t="shared" si="104"/>
        <v>44539</v>
      </c>
      <c r="D2223" s="374">
        <v>63</v>
      </c>
      <c r="E2223" s="291" t="str">
        <f>IFERROR(VLOOKUP($D2223,'Clients-Live'!$A:$C,3,0),"")</f>
        <v>AWURU KADARA</v>
      </c>
      <c r="F2223" s="291">
        <f>IFERROR(INDEX(Disbursements!$D:$D,MATCH('Live Collections'!G2223,Disbursements!$C:$C,0)),"")</f>
        <v>2</v>
      </c>
      <c r="G2223" s="34">
        <v>173</v>
      </c>
      <c r="H2223" s="34">
        <v>3769</v>
      </c>
      <c r="I2223" s="34" t="s">
        <v>1357</v>
      </c>
      <c r="J2223" s="48"/>
      <c r="K2223" s="48"/>
      <c r="L2223" s="48"/>
      <c r="M2223" s="48"/>
      <c r="N2223" s="59"/>
      <c r="O2223" s="59">
        <v>275000</v>
      </c>
      <c r="P2223" s="59"/>
      <c r="Q2223" s="268">
        <f t="shared" si="103"/>
        <v>275000</v>
      </c>
      <c r="R2223" s="61">
        <f>IF(O2223=0,0,SUMIFS(Disbursements!$T:$T,Disbursements!$B:$B,'Live Collections'!D2223,Disbursements!$D:$D,'Live Collections'!F2223))</f>
        <v>175000</v>
      </c>
      <c r="S2223" s="64">
        <v>1666.6666666666861</v>
      </c>
      <c r="T2223" s="304">
        <f t="shared" si="105"/>
        <v>273333.33333333331</v>
      </c>
      <c r="U2223" s="52"/>
      <c r="V2223" s="34"/>
      <c r="W2223" s="408" t="s">
        <v>2086</v>
      </c>
    </row>
    <row r="2224" spans="1:23" ht="12.75" customHeight="1" x14ac:dyDescent="0.2">
      <c r="A2224" s="257">
        <v>2230</v>
      </c>
      <c r="B2224" s="44">
        <v>44539</v>
      </c>
      <c r="C2224" s="44">
        <f t="shared" si="104"/>
        <v>44539</v>
      </c>
      <c r="D2224" s="374">
        <v>63</v>
      </c>
      <c r="E2224" s="291" t="str">
        <f>IFERROR(VLOOKUP($D2224,'Clients-Live'!$A:$C,3,0),"")</f>
        <v>AWURU KADARA</v>
      </c>
      <c r="F2224" s="291" t="str">
        <f>IFERROR(INDEX(Disbursements!$D:$D,MATCH('Live Collections'!G2224,Disbursements!$C:$C,0)),"")</f>
        <v/>
      </c>
      <c r="G2224" s="34"/>
      <c r="H2224" s="34">
        <v>3849</v>
      </c>
      <c r="I2224" s="34" t="s">
        <v>1357</v>
      </c>
      <c r="J2224" s="48"/>
      <c r="K2224" s="48"/>
      <c r="L2224" s="48">
        <v>15000</v>
      </c>
      <c r="M2224" s="48">
        <v>5000</v>
      </c>
      <c r="N2224" s="59"/>
      <c r="O2224" s="59"/>
      <c r="P2224" s="59"/>
      <c r="Q2224" s="268">
        <f t="shared" si="103"/>
        <v>20000</v>
      </c>
      <c r="R2224" s="61">
        <f>IF(O2224=0,0,SUMIFS(Disbursements!$T:$T,Disbursements!$B:$B,'Live Collections'!D2224,Disbursements!$D:$D,'Live Collections'!F2224))</f>
        <v>0</v>
      </c>
      <c r="S2224" s="304">
        <f>IF(O2224&lt;=IF($O2224=0,0,SUMIFS(Disbursements!$W:$W,Disbursements!$B:$B,'Live Collections'!D764,Disbursements!$D:$D,'Live Collections'!F764)),O2224,IF($O2224=0,0,SUMIFS(Disbursements!$W:$W,Disbursements!$B:$B,'Live Collections'!D764,Disbursements!$D:$D,'Live Collections'!F764)))</f>
        <v>0</v>
      </c>
      <c r="T2224" s="304">
        <f t="shared" si="105"/>
        <v>0</v>
      </c>
      <c r="U2224" s="52"/>
      <c r="V2224" s="34"/>
      <c r="W2224" s="408"/>
    </row>
    <row r="2225" spans="1:23" ht="12.75" customHeight="1" x14ac:dyDescent="0.2">
      <c r="A2225" s="257">
        <v>2213</v>
      </c>
      <c r="B2225" s="44">
        <v>44539</v>
      </c>
      <c r="C2225" s="44">
        <f t="shared" si="104"/>
        <v>44539</v>
      </c>
      <c r="D2225" s="374">
        <v>77</v>
      </c>
      <c r="E2225" s="291" t="str">
        <f>IFERROR(VLOOKUP($D2225,'Clients-Live'!$A:$C,3,0),"")</f>
        <v>CACA FATUMA</v>
      </c>
      <c r="F2225" s="291">
        <f>IFERROR(INDEX(Disbursements!$D:$D,MATCH('Live Collections'!G2225,Disbursements!$C:$C,0)),"")</f>
        <v>2</v>
      </c>
      <c r="G2225" s="34">
        <v>315</v>
      </c>
      <c r="H2225" s="34">
        <v>3639</v>
      </c>
      <c r="I2225" s="34" t="s">
        <v>1357</v>
      </c>
      <c r="J2225" s="48"/>
      <c r="K2225" s="48"/>
      <c r="L2225" s="48"/>
      <c r="M2225" s="48"/>
      <c r="N2225" s="59"/>
      <c r="O2225" s="59">
        <v>300000</v>
      </c>
      <c r="P2225" s="59"/>
      <c r="Q2225" s="268">
        <f t="shared" si="103"/>
        <v>300000</v>
      </c>
      <c r="R2225" s="61">
        <f>IF(O2225=0,0,SUMIFS(Disbursements!$T:$T,Disbursements!$B:$B,'Live Collections'!D2225,Disbursements!$D:$D,'Live Collections'!F2225))</f>
        <v>325000</v>
      </c>
      <c r="S2225" s="304">
        <f>IF(O2225&lt;=IF($O2225=0,0,SUMIFS(Disbursements!$W:$W,Disbursements!$B:$B,'Live Collections'!D991,Disbursements!$D:$D,'Live Collections'!F991)),O2225,IF($O2225=0,0,SUMIFS(Disbursements!$W:$W,Disbursements!$B:$B,'Live Collections'!D991,Disbursements!$D:$D,'Live Collections'!F991)))</f>
        <v>45000</v>
      </c>
      <c r="T2225" s="304">
        <f t="shared" si="105"/>
        <v>255000</v>
      </c>
      <c r="U2225" s="52"/>
      <c r="V2225" s="34"/>
      <c r="W2225" s="408"/>
    </row>
    <row r="2226" spans="1:23" ht="12.75" customHeight="1" x14ac:dyDescent="0.2">
      <c r="A2226" s="257">
        <v>2235</v>
      </c>
      <c r="B2226" s="44">
        <v>44539</v>
      </c>
      <c r="C2226" s="44">
        <f t="shared" si="104"/>
        <v>44539</v>
      </c>
      <c r="D2226" s="374">
        <v>90</v>
      </c>
      <c r="E2226" s="291" t="str">
        <f>IFERROR(VLOOKUP($D2226,'Clients-Live'!$A:$C,3,0),"")</f>
        <v>ZABIBU RAJAB SAIDI</v>
      </c>
      <c r="F2226" s="291">
        <f>IFERROR(INDEX(Disbursements!$D:$D,MATCH('Live Collections'!G2226,Disbursements!$C:$C,0)),"")</f>
        <v>2</v>
      </c>
      <c r="G2226" s="34">
        <v>316</v>
      </c>
      <c r="H2226" s="34">
        <v>3781</v>
      </c>
      <c r="I2226" s="34" t="s">
        <v>1358</v>
      </c>
      <c r="J2226" s="48"/>
      <c r="K2226" s="48"/>
      <c r="L2226" s="48"/>
      <c r="M2226" s="48"/>
      <c r="N2226" s="59"/>
      <c r="O2226" s="59">
        <v>216700</v>
      </c>
      <c r="P2226" s="59"/>
      <c r="Q2226" s="268">
        <f t="shared" si="103"/>
        <v>216700</v>
      </c>
      <c r="R2226" s="61">
        <f>IF(O2226=0,0,SUMIFS(Disbursements!$T:$T,Disbursements!$B:$B,'Live Collections'!D2226,Disbursements!$D:$D,'Live Collections'!F2226))</f>
        <v>217000</v>
      </c>
      <c r="S2226" s="304">
        <f>IF(O2226&lt;=IF($O2226=0,0,SUMIFS(Disbursements!$W:$W,Disbursements!$B:$B,'Live Collections'!D1177,Disbursements!$D:$D,'Live Collections'!F1177)),O2226,IF($O2226=0,0,SUMIFS(Disbursements!$W:$W,Disbursements!$B:$B,'Live Collections'!D1177,Disbursements!$D:$D,'Live Collections'!F1177)))</f>
        <v>75000</v>
      </c>
      <c r="T2226" s="304">
        <f t="shared" si="105"/>
        <v>141700</v>
      </c>
      <c r="U2226" s="52"/>
      <c r="V2226" s="34"/>
      <c r="W2226" s="408"/>
    </row>
    <row r="2227" spans="1:23" ht="12.75" customHeight="1" x14ac:dyDescent="0.2">
      <c r="A2227" s="257">
        <v>2228</v>
      </c>
      <c r="B2227" s="44">
        <v>44539</v>
      </c>
      <c r="C2227" s="44">
        <f t="shared" si="104"/>
        <v>44539</v>
      </c>
      <c r="D2227" s="374">
        <v>109</v>
      </c>
      <c r="E2227" s="291" t="str">
        <f>IFERROR(VLOOKUP($D2227,'Clients-Live'!$A:$C,3,0),"")</f>
        <v>TABU KISA</v>
      </c>
      <c r="F2227" s="291">
        <f>IFERROR(INDEX(Disbursements!$D:$D,MATCH('Live Collections'!G2227,Disbursements!$C:$C,0)),"")</f>
        <v>2</v>
      </c>
      <c r="G2227" s="34">
        <v>237</v>
      </c>
      <c r="H2227" s="34">
        <v>3848</v>
      </c>
      <c r="I2227" s="34" t="s">
        <v>1357</v>
      </c>
      <c r="J2227" s="48"/>
      <c r="K2227" s="48"/>
      <c r="L2227" s="48"/>
      <c r="M2227" s="48"/>
      <c r="N2227" s="59"/>
      <c r="O2227" s="59">
        <v>100000</v>
      </c>
      <c r="P2227" s="59"/>
      <c r="Q2227" s="268">
        <f t="shared" ref="Q2227:Q2290" si="106">SUM(J2227:P2227)</f>
        <v>100000</v>
      </c>
      <c r="R2227" s="61">
        <f>IF(O2227=0,0,SUMIFS(Disbursements!$T:$T,Disbursements!$B:$B,'Live Collections'!D2227,Disbursements!$D:$D,'Live Collections'!F2227))</f>
        <v>275000</v>
      </c>
      <c r="S2227" s="304"/>
      <c r="T2227" s="304">
        <f t="shared" si="105"/>
        <v>100000</v>
      </c>
      <c r="U2227" s="52"/>
      <c r="V2227" s="34"/>
      <c r="W2227" s="408"/>
    </row>
    <row r="2228" spans="1:23" ht="12.75" customHeight="1" x14ac:dyDescent="0.2">
      <c r="A2228" s="257">
        <v>2210</v>
      </c>
      <c r="B2228" s="44">
        <v>44539</v>
      </c>
      <c r="C2228" s="44">
        <f t="shared" si="104"/>
        <v>44539</v>
      </c>
      <c r="D2228" s="374">
        <v>114</v>
      </c>
      <c r="E2228" s="291" t="str">
        <f>IFERROR(VLOOKUP($D2228,'Clients-Live'!$A:$C,3,0),"")</f>
        <v>ONZIA EMMILY</v>
      </c>
      <c r="F2228" s="291">
        <f>IFERROR(INDEX(Disbursements!$D:$D,MATCH('Live Collections'!G2228,Disbursements!$C:$C,0)),"")</f>
        <v>3</v>
      </c>
      <c r="G2228" s="34">
        <v>262</v>
      </c>
      <c r="H2228" s="34">
        <v>496</v>
      </c>
      <c r="I2228" s="34" t="s">
        <v>1358</v>
      </c>
      <c r="J2228" s="48"/>
      <c r="K2228" s="48"/>
      <c r="L2228" s="48"/>
      <c r="M2228" s="48"/>
      <c r="N2228" s="59"/>
      <c r="O2228" s="59"/>
      <c r="P2228" s="59">
        <v>-120000</v>
      </c>
      <c r="Q2228" s="268">
        <f t="shared" si="106"/>
        <v>-120000</v>
      </c>
      <c r="R2228" s="61">
        <f>IF(O2228=0,0,SUMIFS(Disbursements!$T:$T,Disbursements!$B:$B,'Live Collections'!D2228,Disbursements!$D:$D,'Live Collections'!F2228))</f>
        <v>0</v>
      </c>
      <c r="S2228" s="304">
        <f>IF(O2228&lt;=IF($O2228=0,0,SUMIFS(Disbursements!$W:$W,Disbursements!$B:$B,'Live Collections'!D1468,Disbursements!$D:$D,'Live Collections'!F1468)),O2228,IF($O2228=0,0,SUMIFS(Disbursements!$W:$W,Disbursements!$B:$B,'Live Collections'!D1468,Disbursements!$D:$D,'Live Collections'!F1468)))</f>
        <v>0</v>
      </c>
      <c r="T2228" s="304">
        <f t="shared" si="105"/>
        <v>0</v>
      </c>
      <c r="U2228" s="52"/>
      <c r="V2228" s="34"/>
      <c r="W2228" s="408"/>
    </row>
    <row r="2229" spans="1:23" ht="12.75" customHeight="1" x14ac:dyDescent="0.2">
      <c r="A2229" s="257">
        <v>2211</v>
      </c>
      <c r="B2229" s="44">
        <v>44539</v>
      </c>
      <c r="C2229" s="44">
        <f t="shared" si="104"/>
        <v>44539</v>
      </c>
      <c r="D2229" s="374">
        <v>114</v>
      </c>
      <c r="E2229" s="291" t="str">
        <f>IFERROR(VLOOKUP($D2229,'Clients-Live'!$A:$C,3,0),"")</f>
        <v>ONZIA EMMILY</v>
      </c>
      <c r="F2229" s="291">
        <f>IFERROR(INDEX(Disbursements!$D:$D,MATCH('Live Collections'!G2229,Disbursements!$C:$C,0)),"")</f>
        <v>3</v>
      </c>
      <c r="G2229" s="34">
        <v>262</v>
      </c>
      <c r="H2229" s="34">
        <v>3767</v>
      </c>
      <c r="I2229" s="34" t="s">
        <v>1358</v>
      </c>
      <c r="J2229" s="48"/>
      <c r="K2229" s="48"/>
      <c r="L2229" s="48"/>
      <c r="M2229" s="48"/>
      <c r="N2229" s="59"/>
      <c r="O2229" s="59">
        <v>120000</v>
      </c>
      <c r="P2229" s="59"/>
      <c r="Q2229" s="268">
        <f t="shared" si="106"/>
        <v>120000</v>
      </c>
      <c r="R2229" s="61">
        <f>IF(O2229=0,0,SUMIFS(Disbursements!$T:$T,Disbursements!$B:$B,'Live Collections'!D2229,Disbursements!$D:$D,'Live Collections'!F2229))</f>
        <v>360000</v>
      </c>
      <c r="S2229" s="304">
        <f>IF(O2229&lt;=IF($O2229=0,0,SUMIFS(Disbursements!$W:$W,Disbursements!$B:$B,'Live Collections'!D1469,Disbursements!$D:$D,'Live Collections'!F1469)),O2229,IF($O2229=0,0,SUMIFS(Disbursements!$W:$W,Disbursements!$B:$B,'Live Collections'!D1469,Disbursements!$D:$D,'Live Collections'!F1469)))</f>
        <v>50333.333333333343</v>
      </c>
      <c r="T2229" s="304">
        <f t="shared" si="105"/>
        <v>69666.666666666657</v>
      </c>
      <c r="U2229" s="52"/>
      <c r="V2229" s="34"/>
      <c r="W2229" s="408" t="s">
        <v>1903</v>
      </c>
    </row>
    <row r="2230" spans="1:23" ht="12.75" customHeight="1" x14ac:dyDescent="0.2">
      <c r="A2230" s="257">
        <v>2212</v>
      </c>
      <c r="B2230" s="44">
        <v>44539</v>
      </c>
      <c r="C2230" s="44">
        <f t="shared" si="104"/>
        <v>44539</v>
      </c>
      <c r="D2230" s="374">
        <v>114</v>
      </c>
      <c r="E2230" s="291" t="str">
        <f>IFERROR(VLOOKUP($D2230,'Clients-Live'!$A:$C,3,0),"")</f>
        <v>ONZIA EMMILY</v>
      </c>
      <c r="F2230" s="291">
        <f>IFERROR(INDEX(Disbursements!$D:$D,MATCH('Live Collections'!G2230,Disbursements!$C:$C,0)),"")</f>
        <v>3</v>
      </c>
      <c r="G2230" s="34">
        <v>262</v>
      </c>
      <c r="H2230" s="34">
        <v>3844</v>
      </c>
      <c r="I2230" s="34" t="s">
        <v>1358</v>
      </c>
      <c r="J2230" s="48"/>
      <c r="K2230" s="48"/>
      <c r="L2230" s="48"/>
      <c r="M2230" s="48"/>
      <c r="N2230" s="59"/>
      <c r="O2230" s="59">
        <v>820000</v>
      </c>
      <c r="P2230" s="59"/>
      <c r="Q2230" s="268">
        <f t="shared" si="106"/>
        <v>820000</v>
      </c>
      <c r="R2230" s="61">
        <f>IF(O2230=0,0,SUMIFS(Disbursements!$T:$T,Disbursements!$B:$B,'Live Collections'!D2230,Disbursements!$D:$D,'Live Collections'!F2230))</f>
        <v>360000</v>
      </c>
      <c r="S2230" s="64">
        <v>35999.999999999971</v>
      </c>
      <c r="T2230" s="304">
        <f t="shared" si="105"/>
        <v>784000</v>
      </c>
      <c r="U2230" s="52"/>
      <c r="V2230" s="34"/>
      <c r="W2230" s="408"/>
    </row>
    <row r="2231" spans="1:23" ht="12.75" customHeight="1" x14ac:dyDescent="0.2">
      <c r="A2231" s="257">
        <v>2227</v>
      </c>
      <c r="B2231" s="44">
        <v>44539</v>
      </c>
      <c r="C2231" s="44">
        <f t="shared" si="104"/>
        <v>44539</v>
      </c>
      <c r="D2231" s="374">
        <v>114</v>
      </c>
      <c r="E2231" s="291" t="str">
        <f>IFERROR(VLOOKUP($D2231,'Clients-Live'!$A:$C,3,0),"")</f>
        <v>ONZIA EMMILY</v>
      </c>
      <c r="F2231" s="291" t="str">
        <f>IFERROR(INDEX(Disbursements!$D:$D,MATCH('Live Collections'!G2231,Disbursements!$C:$C,0)),"")</f>
        <v/>
      </c>
      <c r="G2231" s="34"/>
      <c r="H2231" s="34">
        <v>3846</v>
      </c>
      <c r="I2231" s="34" t="s">
        <v>1358</v>
      </c>
      <c r="J2231" s="48"/>
      <c r="K2231" s="48"/>
      <c r="L2231" s="48">
        <v>25000</v>
      </c>
      <c r="M2231" s="48">
        <v>5000</v>
      </c>
      <c r="N2231" s="59"/>
      <c r="O2231" s="59"/>
      <c r="P2231" s="59"/>
      <c r="Q2231" s="268">
        <f t="shared" si="106"/>
        <v>30000</v>
      </c>
      <c r="R2231" s="61">
        <f>IF(O2231=0,0,SUMIFS(Disbursements!$T:$T,Disbursements!$B:$B,'Live Collections'!D2231,Disbursements!$D:$D,'Live Collections'!F2231))</f>
        <v>0</v>
      </c>
      <c r="S2231" s="304">
        <f>IF(O2231&lt;=IF($O2231=0,0,SUMIFS(Disbursements!$W:$W,Disbursements!$B:$B,'Live Collections'!D1471,Disbursements!$D:$D,'Live Collections'!F1471)),O2231,IF($O2231=0,0,SUMIFS(Disbursements!$W:$W,Disbursements!$B:$B,'Live Collections'!D1471,Disbursements!$D:$D,'Live Collections'!F1471)))</f>
        <v>0</v>
      </c>
      <c r="T2231" s="304">
        <f t="shared" si="105"/>
        <v>0</v>
      </c>
      <c r="U2231" s="52"/>
      <c r="V2231" s="34"/>
      <c r="W2231" s="408"/>
    </row>
    <row r="2232" spans="1:23" ht="12.75" customHeight="1" x14ac:dyDescent="0.2">
      <c r="A2232" s="257">
        <v>2232</v>
      </c>
      <c r="B2232" s="44">
        <v>44539</v>
      </c>
      <c r="C2232" s="44">
        <f t="shared" si="104"/>
        <v>44539</v>
      </c>
      <c r="D2232" s="374">
        <v>116</v>
      </c>
      <c r="E2232" s="291" t="str">
        <f>IFERROR(VLOOKUP($D2232,'Clients-Live'!$A:$C,3,0),"")</f>
        <v>ONZIA LUCY</v>
      </c>
      <c r="F2232" s="291">
        <f>IFERROR(INDEX(Disbursements!$D:$D,MATCH('Live Collections'!G2232,Disbursements!$C:$C,0)),"")</f>
        <v>3</v>
      </c>
      <c r="G2232" s="34">
        <v>361</v>
      </c>
      <c r="H2232" s="34">
        <v>3772</v>
      </c>
      <c r="I2232" s="34" t="s">
        <v>1357</v>
      </c>
      <c r="J2232" s="48"/>
      <c r="K2232" s="48"/>
      <c r="L2232" s="48"/>
      <c r="M2232" s="48"/>
      <c r="N2232" s="59"/>
      <c r="O2232" s="59"/>
      <c r="P2232" s="59">
        <v>40000</v>
      </c>
      <c r="Q2232" s="268">
        <f t="shared" si="106"/>
        <v>40000</v>
      </c>
      <c r="R2232" s="61">
        <f>IF(O2232=0,0,SUMIFS(Disbursements!$T:$T,Disbursements!$B:$B,'Live Collections'!D2232,Disbursements!$D:$D,'Live Collections'!F2232))</f>
        <v>0</v>
      </c>
      <c r="S2232" s="304">
        <f>IF(O2232&lt;=IF($O2232=0,0,SUMIFS(Disbursements!$W:$W,Disbursements!$B:$B,'Live Collections'!D1510,Disbursements!$D:$D,'Live Collections'!F1510)),O2232,IF($O2232=0,0,SUMIFS(Disbursements!$W:$W,Disbursements!$B:$B,'Live Collections'!D1510,Disbursements!$D:$D,'Live Collections'!F1510)))</f>
        <v>0</v>
      </c>
      <c r="T2232" s="304">
        <f t="shared" si="105"/>
        <v>0</v>
      </c>
      <c r="U2232" s="52"/>
      <c r="V2232" s="34"/>
      <c r="W2232" s="408"/>
    </row>
    <row r="2233" spans="1:23" ht="12.75" customHeight="1" x14ac:dyDescent="0.2">
      <c r="A2233" s="257">
        <v>2233</v>
      </c>
      <c r="B2233" s="44">
        <v>44539</v>
      </c>
      <c r="C2233" s="44">
        <f t="shared" si="104"/>
        <v>44539</v>
      </c>
      <c r="D2233" s="374">
        <v>116</v>
      </c>
      <c r="E2233" s="291" t="str">
        <f>IFERROR(VLOOKUP($D2233,'Clients-Live'!$A:$C,3,0),"")</f>
        <v>ONZIA LUCY</v>
      </c>
      <c r="F2233" s="291" t="str">
        <f>IFERROR(INDEX(Disbursements!$D:$D,MATCH('Live Collections'!G2233,Disbursements!$C:$C,0)),"")</f>
        <v/>
      </c>
      <c r="G2233" s="34"/>
      <c r="H2233" s="34">
        <v>3776</v>
      </c>
      <c r="I2233" s="34" t="s">
        <v>1357</v>
      </c>
      <c r="J2233" s="48"/>
      <c r="K2233" s="48">
        <v>5000</v>
      </c>
      <c r="L2233" s="48"/>
      <c r="M2233" s="48"/>
      <c r="N2233" s="59"/>
      <c r="O2233" s="59"/>
      <c r="P2233" s="59"/>
      <c r="Q2233" s="268">
        <f t="shared" si="106"/>
        <v>5000</v>
      </c>
      <c r="R2233" s="61">
        <f>IF(O2233=0,0,SUMIFS(Disbursements!$T:$T,Disbursements!$B:$B,'Live Collections'!D2233,Disbursements!$D:$D,'Live Collections'!F2233))</f>
        <v>0</v>
      </c>
      <c r="S2233" s="304">
        <f>IF(O2233&lt;=IF($O2233=0,0,SUMIFS(Disbursements!$W:$W,Disbursements!$B:$B,'Live Collections'!D1511,Disbursements!$D:$D,'Live Collections'!F1511)),O2233,IF($O2233=0,0,SUMIFS(Disbursements!$W:$W,Disbursements!$B:$B,'Live Collections'!D1511,Disbursements!$D:$D,'Live Collections'!F1511)))</f>
        <v>0</v>
      </c>
      <c r="T2233" s="304">
        <f t="shared" si="105"/>
        <v>0</v>
      </c>
      <c r="U2233" s="52"/>
      <c r="V2233" s="34"/>
      <c r="W2233" s="408"/>
    </row>
    <row r="2234" spans="1:23" ht="12.75" customHeight="1" x14ac:dyDescent="0.2">
      <c r="A2234" s="257">
        <v>2216</v>
      </c>
      <c r="B2234" s="44">
        <v>44539</v>
      </c>
      <c r="C2234" s="44">
        <f t="shared" si="104"/>
        <v>44539</v>
      </c>
      <c r="D2234" s="374">
        <v>142</v>
      </c>
      <c r="E2234" s="291" t="str">
        <f>IFERROR(VLOOKUP($D2234,'Clients-Live'!$A:$C,3,0),"")</f>
        <v>TABU MARY</v>
      </c>
      <c r="F2234" s="291">
        <f>IFERROR(INDEX(Disbursements!$D:$D,MATCH('Live Collections'!G2234,Disbursements!$C:$C,0)),"")</f>
        <v>1</v>
      </c>
      <c r="G2234" s="34">
        <v>128</v>
      </c>
      <c r="H2234" s="34">
        <v>1476</v>
      </c>
      <c r="I2234" s="34" t="s">
        <v>1357</v>
      </c>
      <c r="J2234" s="48"/>
      <c r="K2234" s="48"/>
      <c r="L2234" s="48"/>
      <c r="M2234" s="48"/>
      <c r="N2234" s="59"/>
      <c r="O2234" s="59"/>
      <c r="P2234" s="59">
        <v>-100000</v>
      </c>
      <c r="Q2234" s="268">
        <f t="shared" si="106"/>
        <v>-100000</v>
      </c>
      <c r="R2234" s="61">
        <f>IF(O2234=0,0,SUMIFS(Disbursements!$T:$T,Disbursements!$B:$B,'Live Collections'!D2234,Disbursements!$D:$D,'Live Collections'!F2234))</f>
        <v>0</v>
      </c>
      <c r="S2234" s="304">
        <f>IF(O2234&lt;=IF($O2234=0,0,SUMIFS(Disbursements!$W:$W,Disbursements!$B:$B,'Live Collections'!D1797,Disbursements!$D:$D,'Live Collections'!F1797)),O2234,IF($O2234=0,0,SUMIFS(Disbursements!$W:$W,Disbursements!$B:$B,'Live Collections'!D1797,Disbursements!$D:$D,'Live Collections'!F1797)))</f>
        <v>0</v>
      </c>
      <c r="T2234" s="304">
        <f t="shared" si="105"/>
        <v>0</v>
      </c>
      <c r="U2234" s="52"/>
      <c r="V2234" s="34"/>
      <c r="W2234" s="408"/>
    </row>
    <row r="2235" spans="1:23" ht="12.75" customHeight="1" x14ac:dyDescent="0.2">
      <c r="A2235" s="257">
        <v>2217</v>
      </c>
      <c r="B2235" s="44">
        <v>44539</v>
      </c>
      <c r="C2235" s="44">
        <f t="shared" si="104"/>
        <v>44539</v>
      </c>
      <c r="D2235" s="374">
        <v>142</v>
      </c>
      <c r="E2235" s="291" t="str">
        <f>IFERROR(VLOOKUP($D2235,'Clients-Live'!$A:$C,3,0),"")</f>
        <v>TABU MARY</v>
      </c>
      <c r="F2235" s="291">
        <f>IFERROR(INDEX(Disbursements!$D:$D,MATCH('Live Collections'!G2235,Disbursements!$C:$C,0)),"")</f>
        <v>1</v>
      </c>
      <c r="G2235" s="34">
        <v>128</v>
      </c>
      <c r="H2235" s="34">
        <v>3783</v>
      </c>
      <c r="I2235" s="34" t="s">
        <v>1357</v>
      </c>
      <c r="J2235" s="48"/>
      <c r="K2235" s="48"/>
      <c r="L2235" s="48"/>
      <c r="M2235" s="48"/>
      <c r="N2235" s="59"/>
      <c r="O2235" s="59">
        <v>100000</v>
      </c>
      <c r="P2235" s="59"/>
      <c r="Q2235" s="268">
        <f t="shared" si="106"/>
        <v>100000</v>
      </c>
      <c r="R2235" s="61">
        <f>IF(O2235=0,0,SUMIFS(Disbursements!$T:$T,Disbursements!$B:$B,'Live Collections'!D2235,Disbursements!$D:$D,'Live Collections'!F2235))</f>
        <v>217000</v>
      </c>
      <c r="S2235" s="304">
        <f>IF(O2235&lt;=IF($O2235=0,0,SUMIFS(Disbursements!$W:$W,Disbursements!$B:$B,'Live Collections'!D1798,Disbursements!$D:$D,'Live Collections'!F1798)),O2235,IF($O2235=0,0,SUMIFS(Disbursements!$W:$W,Disbursements!$B:$B,'Live Collections'!D1798,Disbursements!$D:$D,'Live Collections'!F1798)))</f>
        <v>30000</v>
      </c>
      <c r="T2235" s="304">
        <f t="shared" si="105"/>
        <v>70000</v>
      </c>
      <c r="U2235" s="52"/>
      <c r="V2235" s="34"/>
      <c r="W2235" s="408" t="s">
        <v>1905</v>
      </c>
    </row>
    <row r="2236" spans="1:23" ht="12.75" customHeight="1" x14ac:dyDescent="0.2">
      <c r="A2236" s="257">
        <v>2218</v>
      </c>
      <c r="B2236" s="44">
        <v>44539</v>
      </c>
      <c r="C2236" s="44">
        <f t="shared" si="104"/>
        <v>44539</v>
      </c>
      <c r="D2236" s="374">
        <v>142</v>
      </c>
      <c r="E2236" s="291" t="str">
        <f>IFERROR(VLOOKUP($D2236,'Clients-Live'!$A:$C,3,0),"")</f>
        <v>TABU MARY</v>
      </c>
      <c r="F2236" s="291">
        <f>IFERROR(INDEX(Disbursements!$D:$D,MATCH('Live Collections'!G2236,Disbursements!$C:$C,0)),"")</f>
        <v>1</v>
      </c>
      <c r="G2236" s="34">
        <v>128</v>
      </c>
      <c r="H2236" s="34">
        <v>3778</v>
      </c>
      <c r="I2236" s="34" t="s">
        <v>1357</v>
      </c>
      <c r="J2236" s="48"/>
      <c r="K2236" s="48"/>
      <c r="L2236" s="48"/>
      <c r="M2236" s="48"/>
      <c r="N2236" s="59"/>
      <c r="O2236" s="59">
        <v>329900</v>
      </c>
      <c r="P2236" s="59"/>
      <c r="Q2236" s="268">
        <f t="shared" si="106"/>
        <v>329900</v>
      </c>
      <c r="R2236" s="61">
        <f>IF(O2236=0,0,SUMIFS(Disbursements!$T:$T,Disbursements!$B:$B,'Live Collections'!D2236,Disbursements!$D:$D,'Live Collections'!F2236))</f>
        <v>217000</v>
      </c>
      <c r="S2236" s="64">
        <v>177000.00000000006</v>
      </c>
      <c r="T2236" s="304">
        <f t="shared" si="105"/>
        <v>152899.99999999994</v>
      </c>
      <c r="U2236" s="52"/>
      <c r="V2236" s="34"/>
      <c r="W2236" s="408"/>
    </row>
    <row r="2237" spans="1:23" ht="12.75" customHeight="1" x14ac:dyDescent="0.2">
      <c r="A2237" s="257">
        <v>2236</v>
      </c>
      <c r="B2237" s="44">
        <v>44539</v>
      </c>
      <c r="C2237" s="44">
        <f t="shared" si="104"/>
        <v>44539</v>
      </c>
      <c r="D2237" s="374">
        <v>142</v>
      </c>
      <c r="E2237" s="291" t="str">
        <f>IFERROR(VLOOKUP($D2237,'Clients-Live'!$A:$C,3,0),"")</f>
        <v>TABU MARY</v>
      </c>
      <c r="F2237" s="291" t="str">
        <f>IFERROR(INDEX(Disbursements!$D:$D,MATCH('Live Collections'!G2237,Disbursements!$C:$C,0)),"")</f>
        <v/>
      </c>
      <c r="G2237" s="34"/>
      <c r="H2237" s="34">
        <v>3784</v>
      </c>
      <c r="I2237" s="34" t="s">
        <v>1357</v>
      </c>
      <c r="J2237" s="48"/>
      <c r="K2237" s="48"/>
      <c r="L2237" s="48">
        <v>20000</v>
      </c>
      <c r="M2237" s="48">
        <v>5000</v>
      </c>
      <c r="N2237" s="59"/>
      <c r="O2237" s="59"/>
      <c r="P2237" s="59"/>
      <c r="Q2237" s="268">
        <f t="shared" si="106"/>
        <v>25000</v>
      </c>
      <c r="R2237" s="61">
        <f>IF(O2237=0,0,SUMIFS(Disbursements!$T:$T,Disbursements!$B:$B,'Live Collections'!D2237,Disbursements!$D:$D,'Live Collections'!F2237))</f>
        <v>0</v>
      </c>
      <c r="S2237" s="304">
        <f>IF(O2237&lt;=IF($O2237=0,0,SUMIFS(Disbursements!$W:$W,Disbursements!$B:$B,'Live Collections'!D1800,Disbursements!$D:$D,'Live Collections'!F1800)),O2237,IF($O2237=0,0,SUMIFS(Disbursements!$W:$W,Disbursements!$B:$B,'Live Collections'!D1800,Disbursements!$D:$D,'Live Collections'!F1800)))</f>
        <v>0</v>
      </c>
      <c r="T2237" s="304">
        <f t="shared" si="105"/>
        <v>0</v>
      </c>
      <c r="U2237" s="52"/>
      <c r="V2237" s="34"/>
      <c r="W2237" s="408"/>
    </row>
    <row r="2238" spans="1:23" ht="12.75" customHeight="1" x14ac:dyDescent="0.2">
      <c r="A2238" s="257">
        <v>2231</v>
      </c>
      <c r="B2238" s="44">
        <v>44539</v>
      </c>
      <c r="C2238" s="44">
        <f t="shared" si="104"/>
        <v>44539</v>
      </c>
      <c r="D2238" s="374">
        <v>143</v>
      </c>
      <c r="E2238" s="291" t="str">
        <f>IFERROR(VLOOKUP($D2238,'Clients-Live'!$A:$C,3,0),"")</f>
        <v>MORO HAKIM</v>
      </c>
      <c r="F2238" s="291">
        <f>IFERROR(INDEX(Disbursements!$D:$D,MATCH('Live Collections'!G2238,Disbursements!$C:$C,0)),"")</f>
        <v>2</v>
      </c>
      <c r="G2238" s="34">
        <v>318</v>
      </c>
      <c r="H2238" s="34">
        <v>3771</v>
      </c>
      <c r="I2238" s="34" t="s">
        <v>1357</v>
      </c>
      <c r="J2238" s="48"/>
      <c r="K2238" s="48"/>
      <c r="L2238" s="48"/>
      <c r="M2238" s="48"/>
      <c r="N2238" s="59"/>
      <c r="O2238" s="59">
        <v>1200000</v>
      </c>
      <c r="P2238" s="59"/>
      <c r="Q2238" s="268">
        <f t="shared" si="106"/>
        <v>1200000</v>
      </c>
      <c r="R2238" s="61">
        <f>IF(O2238=0,0,SUMIFS(Disbursements!$T:$T,Disbursements!$B:$B,'Live Collections'!D2238,Disbursements!$D:$D,'Live Collections'!F2238))</f>
        <v>1200000</v>
      </c>
      <c r="S2238" s="304">
        <f>IF(O2238&lt;=IF($O2238=0,0,SUMIFS(Disbursements!$W:$W,Disbursements!$B:$B,'Live Collections'!D1813,Disbursements!$D:$D,'Live Collections'!F1813)),O2238,IF($O2238=0,0,SUMIFS(Disbursements!$W:$W,Disbursements!$B:$B,'Live Collections'!D1813,Disbursements!$D:$D,'Live Collections'!F1813)))</f>
        <v>15000</v>
      </c>
      <c r="T2238" s="304">
        <f t="shared" si="105"/>
        <v>1185000</v>
      </c>
      <c r="U2238" s="52"/>
      <c r="V2238" s="34"/>
      <c r="W2238" s="408"/>
    </row>
    <row r="2239" spans="1:23" ht="12.75" customHeight="1" x14ac:dyDescent="0.2">
      <c r="A2239" s="257">
        <v>2222</v>
      </c>
      <c r="B2239" s="44">
        <v>44539</v>
      </c>
      <c r="C2239" s="44">
        <f t="shared" si="104"/>
        <v>44539</v>
      </c>
      <c r="D2239" s="374">
        <v>181</v>
      </c>
      <c r="E2239" s="291" t="str">
        <f>IFERROR(VLOOKUP($D2239,'Clients-Live'!$A:$C,3,0),"")</f>
        <v>LEKURU CHRISTINE</v>
      </c>
      <c r="F2239" s="291">
        <f>IFERROR(INDEX(Disbursements!$D:$D,MATCH('Live Collections'!G2239,Disbursements!$C:$C,0)),"")</f>
        <v>1</v>
      </c>
      <c r="G2239" s="34">
        <v>168</v>
      </c>
      <c r="H2239" s="34">
        <v>1494</v>
      </c>
      <c r="I2239" s="34" t="s">
        <v>1357</v>
      </c>
      <c r="J2239" s="48"/>
      <c r="K2239" s="48"/>
      <c r="L2239" s="48"/>
      <c r="M2239" s="48"/>
      <c r="N2239" s="59"/>
      <c r="O2239" s="59"/>
      <c r="P2239" s="59">
        <v>-30000</v>
      </c>
      <c r="Q2239" s="268">
        <f t="shared" si="106"/>
        <v>-30000</v>
      </c>
      <c r="R2239" s="61">
        <f>IF(O2239=0,0,SUMIFS(Disbursements!$T:$T,Disbursements!$B:$B,'Live Collections'!D2239,Disbursements!$D:$D,'Live Collections'!F2239))</f>
        <v>0</v>
      </c>
      <c r="S2239" s="304">
        <f>IF(O2239&lt;=IF($O2239=0,0,SUMIFS(Disbursements!$W:$W,Disbursements!$B:$B,'Live Collections'!D2216,Disbursements!$D:$D,'Live Collections'!F2216)),O2239,IF($O2239=0,0,SUMIFS(Disbursements!$W:$W,Disbursements!$B:$B,'Live Collections'!D2216,Disbursements!$D:$D,'Live Collections'!F2216)))</f>
        <v>0</v>
      </c>
      <c r="T2239" s="304">
        <f t="shared" si="105"/>
        <v>0</v>
      </c>
      <c r="U2239" s="52"/>
      <c r="V2239" s="34"/>
      <c r="W2239" s="408"/>
    </row>
    <row r="2240" spans="1:23" ht="12.75" customHeight="1" x14ac:dyDescent="0.2">
      <c r="A2240" s="257">
        <v>2223</v>
      </c>
      <c r="B2240" s="44">
        <v>44539</v>
      </c>
      <c r="C2240" s="44">
        <f t="shared" si="104"/>
        <v>44539</v>
      </c>
      <c r="D2240" s="374">
        <v>181</v>
      </c>
      <c r="E2240" s="291" t="str">
        <f>IFERROR(VLOOKUP($D2240,'Clients-Live'!$A:$C,3,0),"")</f>
        <v>LEKURU CHRISTINE</v>
      </c>
      <c r="F2240" s="291">
        <f>IFERROR(INDEX(Disbursements!$D:$D,MATCH('Live Collections'!G2240,Disbursements!$C:$C,0)),"")</f>
        <v>1</v>
      </c>
      <c r="G2240" s="34">
        <v>168</v>
      </c>
      <c r="H2240" s="34">
        <v>3780</v>
      </c>
      <c r="I2240" s="34" t="s">
        <v>1357</v>
      </c>
      <c r="J2240" s="48"/>
      <c r="K2240" s="48"/>
      <c r="L2240" s="48"/>
      <c r="M2240" s="48"/>
      <c r="N2240" s="59"/>
      <c r="O2240" s="59">
        <v>30000</v>
      </c>
      <c r="P2240" s="59"/>
      <c r="Q2240" s="268">
        <f t="shared" si="106"/>
        <v>30000</v>
      </c>
      <c r="R2240" s="61">
        <f>IF(O2240=0,0,SUMIFS(Disbursements!$T:$T,Disbursements!$B:$B,'Live Collections'!D2240,Disbursements!$D:$D,'Live Collections'!F2240))</f>
        <v>115000</v>
      </c>
      <c r="S2240" s="304"/>
      <c r="T2240" s="304">
        <f t="shared" si="105"/>
        <v>30000</v>
      </c>
      <c r="U2240" s="52"/>
      <c r="V2240" s="34"/>
      <c r="W2240" s="408" t="s">
        <v>1909</v>
      </c>
    </row>
    <row r="2241" spans="1:23" ht="12.75" customHeight="1" x14ac:dyDescent="0.2">
      <c r="A2241" s="257">
        <v>2240</v>
      </c>
      <c r="B2241" s="44">
        <v>44539</v>
      </c>
      <c r="C2241" s="44">
        <f t="shared" ref="C2241:C2304" si="107">B2241</f>
        <v>44539</v>
      </c>
      <c r="D2241" s="374">
        <v>206</v>
      </c>
      <c r="E2241" s="291" t="str">
        <f>IFERROR(VLOOKUP($D2241,'Clients-Live'!$A:$C,3,0),"")</f>
        <v>AMILE AISHA</v>
      </c>
      <c r="F2241" s="291">
        <f>IFERROR(INDEX(Disbursements!$D:$D,MATCH('Live Collections'!G2241,Disbursements!$C:$C,0)),"")</f>
        <v>1</v>
      </c>
      <c r="G2241" s="34">
        <v>214</v>
      </c>
      <c r="H2241" s="34">
        <v>3791</v>
      </c>
      <c r="I2241" s="34" t="s">
        <v>1357</v>
      </c>
      <c r="J2241" s="48"/>
      <c r="K2241" s="48"/>
      <c r="L2241" s="48"/>
      <c r="M2241" s="48"/>
      <c r="N2241" s="59"/>
      <c r="O2241" s="59">
        <v>20000</v>
      </c>
      <c r="P2241" s="59"/>
      <c r="Q2241" s="268">
        <f t="shared" si="106"/>
        <v>20000</v>
      </c>
      <c r="R2241" s="61">
        <f>IF(O2241=0,0,SUMIFS(Disbursements!$T:$T,Disbursements!$B:$B,'Live Collections'!D2241,Disbursements!$D:$D,'Live Collections'!F2241))</f>
        <v>120000</v>
      </c>
      <c r="S2241" s="304">
        <f>IF(O2241&lt;=IF($O2241=0,0,SUMIFS(Disbursements!$W:$W,Disbursements!$B:$B,'Live Collections'!D2439,Disbursements!$D:$D,'Live Collections'!F2439)),O2241,IF($O2241=0,0,SUMIFS(Disbursements!$W:$W,Disbursements!$B:$B,'Live Collections'!D2439,Disbursements!$D:$D,'Live Collections'!F2439)))</f>
        <v>20000</v>
      </c>
      <c r="T2241" s="304">
        <f t="shared" ref="T2241:T2304" si="108">IF(O2241=0,0,O2241-S2241)</f>
        <v>0</v>
      </c>
      <c r="U2241" s="52"/>
      <c r="V2241" s="34"/>
      <c r="W2241" s="408"/>
    </row>
    <row r="2242" spans="1:23" ht="12.75" customHeight="1" x14ac:dyDescent="0.2">
      <c r="A2242" s="257">
        <v>2224</v>
      </c>
      <c r="B2242" s="44">
        <v>44539</v>
      </c>
      <c r="C2242" s="44">
        <f t="shared" si="107"/>
        <v>44539</v>
      </c>
      <c r="D2242" s="374">
        <v>250</v>
      </c>
      <c r="E2242" s="291" t="str">
        <f>IFERROR(VLOOKUP($D2242,'Clients-Live'!$A:$C,3,0),"")</f>
        <v>SAKAYA AMINA</v>
      </c>
      <c r="F2242" s="291">
        <f>IFERROR(INDEX(Disbursements!$D:$D,MATCH('Live Collections'!G2242,Disbursements!$C:$C,0)),"")</f>
        <v>1</v>
      </c>
      <c r="G2242" s="34">
        <v>281</v>
      </c>
      <c r="H2242" s="34">
        <v>1492</v>
      </c>
      <c r="I2242" s="34" t="s">
        <v>1357</v>
      </c>
      <c r="J2242" s="48"/>
      <c r="K2242" s="48"/>
      <c r="L2242" s="48"/>
      <c r="M2242" s="48"/>
      <c r="N2242" s="59"/>
      <c r="O2242" s="59"/>
      <c r="P2242" s="59">
        <v>-40000</v>
      </c>
      <c r="Q2242" s="268">
        <f t="shared" si="106"/>
        <v>-40000</v>
      </c>
      <c r="R2242" s="61">
        <f>IF(O2242=0,0,SUMIFS(Disbursements!$T:$T,Disbursements!$B:$B,'Live Collections'!D2242,Disbursements!$D:$D,'Live Collections'!F2242))</f>
        <v>0</v>
      </c>
      <c r="S2242" s="304">
        <f>IF(O2242&lt;=IF($O2242=0,0,SUMIFS(Disbursements!$W:$W,Disbursements!$B:$B,'Live Collections'!D2813,Disbursements!$D:$D,'Live Collections'!F2813)),O2242,IF($O2242=0,0,SUMIFS(Disbursements!$W:$W,Disbursements!$B:$B,'Live Collections'!D2813,Disbursements!$D:$D,'Live Collections'!F2813)))</f>
        <v>0</v>
      </c>
      <c r="T2242" s="304">
        <f t="shared" si="108"/>
        <v>0</v>
      </c>
      <c r="U2242" s="52"/>
      <c r="V2242" s="34"/>
      <c r="W2242" s="408"/>
    </row>
    <row r="2243" spans="1:23" ht="12.75" customHeight="1" x14ac:dyDescent="0.2">
      <c r="A2243" s="257">
        <v>2225</v>
      </c>
      <c r="B2243" s="44">
        <v>44539</v>
      </c>
      <c r="C2243" s="44">
        <f t="shared" si="107"/>
        <v>44539</v>
      </c>
      <c r="D2243" s="374">
        <v>250</v>
      </c>
      <c r="E2243" s="291" t="str">
        <f>IFERROR(VLOOKUP($D2243,'Clients-Live'!$A:$C,3,0),"")</f>
        <v>SAKAYA AMINA</v>
      </c>
      <c r="F2243" s="291">
        <f>IFERROR(INDEX(Disbursements!$D:$D,MATCH('Live Collections'!G2243,Disbursements!$C:$C,0)),"")</f>
        <v>1</v>
      </c>
      <c r="G2243" s="34">
        <v>281</v>
      </c>
      <c r="H2243" s="34">
        <v>3774</v>
      </c>
      <c r="I2243" s="34" t="s">
        <v>1357</v>
      </c>
      <c r="J2243" s="48"/>
      <c r="K2243" s="48"/>
      <c r="L2243" s="48"/>
      <c r="M2243" s="48"/>
      <c r="N2243" s="59"/>
      <c r="O2243" s="59">
        <v>40000</v>
      </c>
      <c r="P2243" s="59"/>
      <c r="Q2243" s="268">
        <f t="shared" si="106"/>
        <v>40000</v>
      </c>
      <c r="R2243" s="61">
        <f>IF(O2243=0,0,SUMIFS(Disbursements!$T:$T,Disbursements!$B:$B,'Live Collections'!D2243,Disbursements!$D:$D,'Live Collections'!F2243))</f>
        <v>115000</v>
      </c>
      <c r="S2243" s="304"/>
      <c r="T2243" s="304">
        <f t="shared" si="108"/>
        <v>40000</v>
      </c>
      <c r="U2243" s="52"/>
      <c r="V2243" s="34"/>
      <c r="W2243" s="408" t="s">
        <v>1910</v>
      </c>
    </row>
    <row r="2244" spans="1:23" ht="12.75" customHeight="1" x14ac:dyDescent="0.2">
      <c r="A2244" s="257">
        <v>2226</v>
      </c>
      <c r="B2244" s="44">
        <v>44539</v>
      </c>
      <c r="C2244" s="44">
        <f t="shared" si="107"/>
        <v>44539</v>
      </c>
      <c r="D2244" s="374">
        <v>250</v>
      </c>
      <c r="E2244" s="291" t="str">
        <f>IFERROR(VLOOKUP($D2244,'Clients-Live'!$A:$C,3,0),"")</f>
        <v>SAKAYA AMINA</v>
      </c>
      <c r="F2244" s="291">
        <f>IFERROR(INDEX(Disbursements!$D:$D,MATCH('Live Collections'!G2244,Disbursements!$C:$C,0)),"")</f>
        <v>1</v>
      </c>
      <c r="G2244" s="34">
        <v>281</v>
      </c>
      <c r="H2244" s="34">
        <v>3773</v>
      </c>
      <c r="I2244" s="34" t="s">
        <v>1357</v>
      </c>
      <c r="J2244" s="48"/>
      <c r="K2244" s="48"/>
      <c r="L2244" s="48"/>
      <c r="M2244" s="48"/>
      <c r="N2244" s="59"/>
      <c r="O2244" s="59">
        <v>190000</v>
      </c>
      <c r="P2244" s="59"/>
      <c r="Q2244" s="268">
        <f t="shared" si="106"/>
        <v>190000</v>
      </c>
      <c r="R2244" s="61">
        <f>IF(O2244=0,0,SUMIFS(Disbursements!$T:$T,Disbursements!$B:$B,'Live Collections'!D2244,Disbursements!$D:$D,'Live Collections'!F2244))</f>
        <v>115000</v>
      </c>
      <c r="S2244" s="304">
        <v>19333.333333333328</v>
      </c>
      <c r="T2244" s="304">
        <f t="shared" si="108"/>
        <v>170666.66666666669</v>
      </c>
      <c r="U2244" s="52"/>
      <c r="V2244" s="34"/>
      <c r="W2244" s="408"/>
    </row>
    <row r="2245" spans="1:23" ht="12.75" customHeight="1" x14ac:dyDescent="0.2">
      <c r="A2245" s="257">
        <v>2234</v>
      </c>
      <c r="B2245" s="44">
        <v>44539</v>
      </c>
      <c r="C2245" s="44">
        <f t="shared" si="107"/>
        <v>44539</v>
      </c>
      <c r="D2245" s="374">
        <v>250</v>
      </c>
      <c r="E2245" s="291" t="str">
        <f>IFERROR(VLOOKUP($D2245,'Clients-Live'!$A:$C,3,0),"")</f>
        <v>SAKAYA AMINA</v>
      </c>
      <c r="F2245" s="291" t="str">
        <f>IFERROR(INDEX(Disbursements!$D:$D,MATCH('Live Collections'!G2245,Disbursements!$C:$C,0)),"")</f>
        <v/>
      </c>
      <c r="G2245" s="34"/>
      <c r="H2245" s="34">
        <v>3779</v>
      </c>
      <c r="I2245" s="34" t="s">
        <v>1357</v>
      </c>
      <c r="J2245" s="48"/>
      <c r="K2245" s="48"/>
      <c r="L2245" s="48">
        <v>10000</v>
      </c>
      <c r="M2245" s="48">
        <v>5000</v>
      </c>
      <c r="N2245" s="59"/>
      <c r="O2245" s="59"/>
      <c r="P2245" s="59"/>
      <c r="Q2245" s="268">
        <f t="shared" si="106"/>
        <v>15000</v>
      </c>
      <c r="R2245" s="61">
        <f>IF(O2245=0,0,SUMIFS(Disbursements!$T:$T,Disbursements!$B:$B,'Live Collections'!D2245,Disbursements!$D:$D,'Live Collections'!F2245))</f>
        <v>0</v>
      </c>
      <c r="S2245" s="304">
        <f>IF(O2245&lt;=IF($O2245=0,0,SUMIFS(Disbursements!$W:$W,Disbursements!$B:$B,'Live Collections'!D2816,Disbursements!$D:$D,'Live Collections'!F2816)),O2245,IF($O2245=0,0,SUMIFS(Disbursements!$W:$W,Disbursements!$B:$B,'Live Collections'!D2816,Disbursements!$D:$D,'Live Collections'!F2816)))</f>
        <v>0</v>
      </c>
      <c r="T2245" s="304">
        <f t="shared" si="108"/>
        <v>0</v>
      </c>
      <c r="U2245" s="52"/>
      <c r="V2245" s="34"/>
      <c r="W2245" s="408"/>
    </row>
    <row r="2246" spans="1:23" ht="12.75" customHeight="1" x14ac:dyDescent="0.2">
      <c r="A2246" s="257">
        <v>2239</v>
      </c>
      <c r="B2246" s="44">
        <v>44539</v>
      </c>
      <c r="C2246" s="44">
        <f t="shared" si="107"/>
        <v>44539</v>
      </c>
      <c r="D2246" s="374">
        <v>300</v>
      </c>
      <c r="E2246" s="291" t="str">
        <f>IFERROR(VLOOKUP($D2246,'Clients-Live'!$A:$C,3,0),"")</f>
        <v>AYA ZAINABU</v>
      </c>
      <c r="F2246" s="291">
        <f>IFERROR(INDEX(Disbursements!$D:$D,MATCH('Live Collections'!G2246,Disbursements!$C:$C,0)),"")</f>
        <v>1</v>
      </c>
      <c r="G2246" s="34">
        <v>364</v>
      </c>
      <c r="H2246" s="34">
        <v>3792</v>
      </c>
      <c r="I2246" s="34" t="s">
        <v>1358</v>
      </c>
      <c r="J2246" s="48"/>
      <c r="K2246" s="48"/>
      <c r="L2246" s="48"/>
      <c r="M2246" s="48"/>
      <c r="N2246" s="59"/>
      <c r="O2246" s="59"/>
      <c r="P2246" s="59">
        <v>50000</v>
      </c>
      <c r="Q2246" s="268">
        <f t="shared" si="106"/>
        <v>50000</v>
      </c>
      <c r="R2246" s="61">
        <f>IF(O2246=0,0,SUMIFS(Disbursements!$T:$T,Disbursements!$B:$B,'Live Collections'!D2246,Disbursements!$D:$D,'Live Collections'!F2246))</f>
        <v>0</v>
      </c>
      <c r="S2246" s="304">
        <f>IF(O2246&lt;=IF($O2246=0,0,SUMIFS(Disbursements!$W:$W,Disbursements!$B:$B,'Live Collections'!D3076,Disbursements!$D:$D,'Live Collections'!F3076)),O2246,IF($O2246=0,0,SUMIFS(Disbursements!$W:$W,Disbursements!$B:$B,'Live Collections'!D3076,Disbursements!$D:$D,'Live Collections'!F3076)))</f>
        <v>0</v>
      </c>
      <c r="T2246" s="304">
        <f t="shared" si="108"/>
        <v>0</v>
      </c>
      <c r="U2246" s="52"/>
      <c r="V2246" s="34"/>
      <c r="W2246" s="408"/>
    </row>
    <row r="2247" spans="1:23" ht="12.75" customHeight="1" x14ac:dyDescent="0.2">
      <c r="A2247" s="257">
        <v>2241</v>
      </c>
      <c r="B2247" s="44">
        <v>44539</v>
      </c>
      <c r="C2247" s="44">
        <f t="shared" si="107"/>
        <v>44539</v>
      </c>
      <c r="D2247" s="374">
        <v>303</v>
      </c>
      <c r="E2247" s="291" t="str">
        <f>IFERROR(VLOOKUP($D2247,'Clients-Live'!$A:$C,3,0),"")</f>
        <v>APAYI DOROTHY</v>
      </c>
      <c r="F2247" s="291" t="str">
        <f>IFERROR(INDEX(Disbursements!$D:$D,MATCH('Live Collections'!G2247,Disbursements!$C:$C,0)),"")</f>
        <v/>
      </c>
      <c r="G2247" s="34"/>
      <c r="H2247" s="34">
        <v>3790</v>
      </c>
      <c r="I2247" s="34" t="s">
        <v>1716</v>
      </c>
      <c r="J2247" s="48"/>
      <c r="K2247" s="48"/>
      <c r="L2247" s="48">
        <v>10000</v>
      </c>
      <c r="M2247" s="48">
        <v>5000</v>
      </c>
      <c r="N2247" s="59"/>
      <c r="O2247" s="59"/>
      <c r="P2247" s="59"/>
      <c r="Q2247" s="268">
        <f t="shared" si="106"/>
        <v>15000</v>
      </c>
      <c r="R2247" s="61">
        <f>IF(O2247=0,0,SUMIFS(Disbursements!$T:$T,Disbursements!$B:$B,'Live Collections'!D2247,Disbursements!$D:$D,'Live Collections'!F2247))</f>
        <v>0</v>
      </c>
      <c r="S2247" s="304">
        <f>IF(O2247&lt;=IF($O2247=0,0,SUMIFS(Disbursements!$W:$W,Disbursements!$B:$B,'Live Collections'!D3086,Disbursements!$D:$D,'Live Collections'!F3086)),O2247,IF($O2247=0,0,SUMIFS(Disbursements!$W:$W,Disbursements!$B:$B,'Live Collections'!D3086,Disbursements!$D:$D,'Live Collections'!F3086)))</f>
        <v>0</v>
      </c>
      <c r="T2247" s="304">
        <f t="shared" si="108"/>
        <v>0</v>
      </c>
      <c r="U2247" s="52"/>
      <c r="V2247" s="34"/>
      <c r="W2247" s="408"/>
    </row>
    <row r="2248" spans="1:23" ht="12.75" customHeight="1" x14ac:dyDescent="0.2">
      <c r="A2248" s="257">
        <v>2242</v>
      </c>
      <c r="B2248" s="44">
        <v>44539</v>
      </c>
      <c r="C2248" s="44">
        <f t="shared" si="107"/>
        <v>44539</v>
      </c>
      <c r="D2248" s="374">
        <v>303</v>
      </c>
      <c r="E2248" s="291" t="str">
        <f>IFERROR(VLOOKUP($D2248,'Clients-Live'!$A:$C,3,0),"")</f>
        <v>APAYI DOROTHY</v>
      </c>
      <c r="F2248" s="291" t="str">
        <f>IFERROR(INDEX(Disbursements!$D:$D,MATCH('Live Collections'!G2248,Disbursements!$C:$C,0)),"")</f>
        <v/>
      </c>
      <c r="G2248" s="34"/>
      <c r="H2248" s="34">
        <v>3789</v>
      </c>
      <c r="I2248" s="34" t="s">
        <v>1716</v>
      </c>
      <c r="J2248" s="48">
        <v>15000</v>
      </c>
      <c r="K2248" s="48">
        <v>5000</v>
      </c>
      <c r="L2248" s="48"/>
      <c r="M2248" s="48"/>
      <c r="N2248" s="59"/>
      <c r="O2248" s="59"/>
      <c r="P2248" s="59"/>
      <c r="Q2248" s="268">
        <f t="shared" si="106"/>
        <v>20000</v>
      </c>
      <c r="R2248" s="61">
        <f>IF(O2248=0,0,SUMIFS(Disbursements!$T:$T,Disbursements!$B:$B,'Live Collections'!D2248,Disbursements!$D:$D,'Live Collections'!F2248))</f>
        <v>0</v>
      </c>
      <c r="S2248" s="304">
        <f>IF(O2248&lt;=IF($O2248=0,0,SUMIFS(Disbursements!$W:$W,Disbursements!$B:$B,'Live Collections'!D3087,Disbursements!$D:$D,'Live Collections'!F3087)),O2248,IF($O2248=0,0,SUMIFS(Disbursements!$W:$W,Disbursements!$B:$B,'Live Collections'!D3087,Disbursements!$D:$D,'Live Collections'!F3087)))</f>
        <v>0</v>
      </c>
      <c r="T2248" s="304">
        <f t="shared" si="108"/>
        <v>0</v>
      </c>
      <c r="U2248" s="52"/>
      <c r="V2248" s="34"/>
      <c r="W2248" s="408"/>
    </row>
    <row r="2249" spans="1:23" ht="12.75" customHeight="1" x14ac:dyDescent="0.2">
      <c r="A2249" s="257">
        <v>2252</v>
      </c>
      <c r="B2249" s="44">
        <v>44540</v>
      </c>
      <c r="C2249" s="44">
        <f t="shared" si="107"/>
        <v>44540</v>
      </c>
      <c r="D2249" s="374">
        <v>50</v>
      </c>
      <c r="E2249" s="291" t="str">
        <f>IFERROR(VLOOKUP($D2249,'Clients-Live'!$A:$C,3,0),"")</f>
        <v>WACHEKE HARRIET</v>
      </c>
      <c r="F2249" s="291">
        <f>IFERROR(INDEX(Disbursements!$D:$D,MATCH('Live Collections'!G2249,Disbursements!$C:$C,0)),"")</f>
        <v>3</v>
      </c>
      <c r="G2249" s="34">
        <v>321</v>
      </c>
      <c r="H2249" s="34">
        <v>3795</v>
      </c>
      <c r="I2249" s="34" t="s">
        <v>1359</v>
      </c>
      <c r="J2249" s="48"/>
      <c r="K2249" s="48"/>
      <c r="L2249" s="48"/>
      <c r="M2249" s="48"/>
      <c r="N2249" s="59"/>
      <c r="O2249" s="59">
        <v>115000</v>
      </c>
      <c r="P2249" s="59"/>
      <c r="Q2249" s="268">
        <f t="shared" si="106"/>
        <v>115000</v>
      </c>
      <c r="R2249" s="61">
        <f>IF(O2249=0,0,SUMIFS(Disbursements!$T:$T,Disbursements!$B:$B,'Live Collections'!D2249,Disbursements!$D:$D,'Live Collections'!F2249))</f>
        <v>384000</v>
      </c>
      <c r="S2249" s="304">
        <f>IF(O2249&lt;=IF($O2249=0,0,SUMIFS(Disbursements!$W:$W,Disbursements!$B:$B,'Live Collections'!D579,Disbursements!$D:$D,'Live Collections'!F579)),O2249,IF($O2249=0,0,SUMIFS(Disbursements!$W:$W,Disbursements!$B:$B,'Live Collections'!D579,Disbursements!$D:$D,'Live Collections'!F579)))</f>
        <v>25000</v>
      </c>
      <c r="T2249" s="304">
        <f t="shared" si="108"/>
        <v>90000</v>
      </c>
      <c r="U2249" s="52"/>
      <c r="V2249" s="34"/>
      <c r="W2249" s="408"/>
    </row>
    <row r="2250" spans="1:23" ht="12.75" customHeight="1" x14ac:dyDescent="0.2">
      <c r="A2250" s="257">
        <v>2246</v>
      </c>
      <c r="B2250" s="44">
        <v>44540</v>
      </c>
      <c r="C2250" s="44">
        <f t="shared" si="107"/>
        <v>44540</v>
      </c>
      <c r="D2250" s="374">
        <v>65</v>
      </c>
      <c r="E2250" s="291" t="str">
        <f>IFERROR(VLOOKUP($D2250,'Clients-Live'!$A:$C,3,0),"")</f>
        <v>NDAWULA GERALD</v>
      </c>
      <c r="F2250" s="291">
        <f>IFERROR(INDEX(Disbursements!$D:$D,MATCH('Live Collections'!G2250,Disbursements!$C:$C,0)),"")</f>
        <v>1</v>
      </c>
      <c r="G2250" s="34">
        <v>47</v>
      </c>
      <c r="H2250" s="34">
        <v>3708</v>
      </c>
      <c r="I2250" s="34" t="s">
        <v>1359</v>
      </c>
      <c r="J2250" s="48"/>
      <c r="K2250" s="48"/>
      <c r="L2250" s="48"/>
      <c r="M2250" s="48"/>
      <c r="N2250" s="59"/>
      <c r="O2250" s="59">
        <v>150000</v>
      </c>
      <c r="P2250" s="59"/>
      <c r="Q2250" s="268">
        <f t="shared" si="106"/>
        <v>150000</v>
      </c>
      <c r="R2250" s="61">
        <f>IF(O2250=0,0,SUMIFS(Disbursements!$T:$T,Disbursements!$B:$B,'Live Collections'!D2250,Disbursements!$D:$D,'Live Collections'!F2250))</f>
        <v>217000</v>
      </c>
      <c r="S2250" s="304">
        <f>IF(O2250&lt;=IF($O2250=0,0,SUMIFS(Disbursements!$W:$W,Disbursements!$B:$B,'Live Collections'!D784,Disbursements!$D:$D,'Live Collections'!F784)),O2250,IF($O2250=0,0,SUMIFS(Disbursements!$W:$W,Disbursements!$B:$B,'Live Collections'!D784,Disbursements!$D:$D,'Live Collections'!F784)))</f>
        <v>20000</v>
      </c>
      <c r="T2250" s="304">
        <f t="shared" si="108"/>
        <v>130000</v>
      </c>
      <c r="U2250" s="52"/>
      <c r="V2250" s="34"/>
      <c r="W2250" s="408"/>
    </row>
    <row r="2251" spans="1:23" ht="12.75" customHeight="1" x14ac:dyDescent="0.2">
      <c r="A2251" s="257">
        <v>2249</v>
      </c>
      <c r="B2251" s="44">
        <v>44540</v>
      </c>
      <c r="C2251" s="44">
        <f t="shared" si="107"/>
        <v>44540</v>
      </c>
      <c r="D2251" s="374">
        <v>117</v>
      </c>
      <c r="E2251" s="291" t="str">
        <f>IFERROR(VLOOKUP($D2251,'Clients-Live'!$A:$C,3,0),"")</f>
        <v>MAWA JACKSON</v>
      </c>
      <c r="F2251" s="291">
        <f>IFERROR(INDEX(Disbursements!$D:$D,MATCH('Live Collections'!G2251,Disbursements!$C:$C,0)),"")</f>
        <v>1</v>
      </c>
      <c r="G2251" s="34">
        <v>99</v>
      </c>
      <c r="H2251" s="34">
        <v>3701</v>
      </c>
      <c r="I2251" s="34" t="s">
        <v>1358</v>
      </c>
      <c r="J2251" s="48"/>
      <c r="K2251" s="48"/>
      <c r="L2251" s="48"/>
      <c r="M2251" s="48"/>
      <c r="N2251" s="59"/>
      <c r="O2251" s="59">
        <v>152000</v>
      </c>
      <c r="P2251" s="59"/>
      <c r="Q2251" s="268">
        <f t="shared" si="106"/>
        <v>152000</v>
      </c>
      <c r="R2251" s="61">
        <f>IF(O2251=0,0,SUMIFS(Disbursements!$T:$T,Disbursements!$B:$B,'Live Collections'!D2251,Disbursements!$D:$D,'Live Collections'!F2251))</f>
        <v>152000</v>
      </c>
      <c r="S2251" s="64">
        <v>111999.99999999997</v>
      </c>
      <c r="T2251" s="304">
        <f t="shared" si="108"/>
        <v>40000.000000000029</v>
      </c>
      <c r="U2251" s="52"/>
      <c r="V2251" s="34"/>
      <c r="W2251" s="408"/>
    </row>
    <row r="2252" spans="1:23" ht="12.75" customHeight="1" x14ac:dyDescent="0.2">
      <c r="A2252" s="257">
        <v>2243</v>
      </c>
      <c r="B2252" s="44">
        <v>44540</v>
      </c>
      <c r="C2252" s="44">
        <f t="shared" si="107"/>
        <v>44540</v>
      </c>
      <c r="D2252" s="374">
        <v>186</v>
      </c>
      <c r="E2252" s="291" t="str">
        <f>IFERROR(VLOOKUP($D2252,'Clients-Live'!$A:$C,3,0),"")</f>
        <v>GIFT JAMES</v>
      </c>
      <c r="F2252" s="291">
        <f>IFERROR(INDEX(Disbursements!$D:$D,MATCH('Live Collections'!G2252,Disbursements!$C:$C,0)),"")</f>
        <v>3</v>
      </c>
      <c r="G2252" s="34">
        <v>366</v>
      </c>
      <c r="H2252" s="34">
        <v>3706</v>
      </c>
      <c r="I2252" s="34" t="s">
        <v>1359</v>
      </c>
      <c r="J2252" s="48"/>
      <c r="K2252" s="48"/>
      <c r="L2252" s="48"/>
      <c r="M2252" s="48"/>
      <c r="N2252" s="59"/>
      <c r="O2252" s="59"/>
      <c r="P2252" s="59">
        <v>200000</v>
      </c>
      <c r="Q2252" s="268">
        <f t="shared" si="106"/>
        <v>200000</v>
      </c>
      <c r="R2252" s="61">
        <f>IF(O2252=0,0,SUMIFS(Disbursements!$T:$T,Disbursements!$B:$B,'Live Collections'!D2252,Disbursements!$D:$D,'Live Collections'!F2252))</f>
        <v>0</v>
      </c>
      <c r="S2252" s="304">
        <f>IF(O2252&lt;=IF($O2252=0,0,SUMIFS(Disbursements!$W:$W,Disbursements!$B:$B,'Live Collections'!D2268,Disbursements!$D:$D,'Live Collections'!F2268)),O2252,IF($O2252=0,0,SUMIFS(Disbursements!$W:$W,Disbursements!$B:$B,'Live Collections'!D2268,Disbursements!$D:$D,'Live Collections'!F2268)))</f>
        <v>0</v>
      </c>
      <c r="T2252" s="304">
        <f t="shared" si="108"/>
        <v>0</v>
      </c>
      <c r="U2252" s="52"/>
      <c r="V2252" s="34"/>
      <c r="W2252" s="408"/>
    </row>
    <row r="2253" spans="1:23" ht="12.75" customHeight="1" x14ac:dyDescent="0.2">
      <c r="A2253" s="257">
        <v>2244</v>
      </c>
      <c r="B2253" s="44">
        <v>44540</v>
      </c>
      <c r="C2253" s="44">
        <f t="shared" si="107"/>
        <v>44540</v>
      </c>
      <c r="D2253" s="374">
        <v>186</v>
      </c>
      <c r="E2253" s="291" t="str">
        <f>IFERROR(VLOOKUP($D2253,'Clients-Live'!$A:$C,3,0),"")</f>
        <v>GIFT JAMES</v>
      </c>
      <c r="F2253" s="291" t="str">
        <f>IFERROR(INDEX(Disbursements!$D:$D,MATCH('Live Collections'!G2253,Disbursements!$C:$C,0)),"")</f>
        <v/>
      </c>
      <c r="G2253" s="34"/>
      <c r="H2253" s="34">
        <v>3703</v>
      </c>
      <c r="I2253" s="34" t="s">
        <v>1716</v>
      </c>
      <c r="J2253" s="48"/>
      <c r="K2253" s="48"/>
      <c r="L2253" s="48">
        <v>20000</v>
      </c>
      <c r="M2253" s="48">
        <v>5000</v>
      </c>
      <c r="N2253" s="59"/>
      <c r="O2253" s="59"/>
      <c r="P2253" s="59"/>
      <c r="Q2253" s="268">
        <f t="shared" si="106"/>
        <v>25000</v>
      </c>
      <c r="R2253" s="61">
        <f>IF(O2253=0,0,SUMIFS(Disbursements!$T:$T,Disbursements!$B:$B,'Live Collections'!D2253,Disbursements!$D:$D,'Live Collections'!F2253))</f>
        <v>0</v>
      </c>
      <c r="S2253" s="304">
        <f>IF(O2253&lt;=IF($O2253=0,0,SUMIFS(Disbursements!$W:$W,Disbursements!$B:$B,'Live Collections'!D2269,Disbursements!$D:$D,'Live Collections'!F2269)),O2253,IF($O2253=0,0,SUMIFS(Disbursements!$W:$W,Disbursements!$B:$B,'Live Collections'!D2269,Disbursements!$D:$D,'Live Collections'!F2269)))</f>
        <v>0</v>
      </c>
      <c r="T2253" s="304">
        <f t="shared" si="108"/>
        <v>0</v>
      </c>
      <c r="U2253" s="52"/>
      <c r="V2253" s="34"/>
      <c r="W2253" s="408"/>
    </row>
    <row r="2254" spans="1:23" ht="12.75" customHeight="1" x14ac:dyDescent="0.2">
      <c r="A2254" s="257">
        <v>2251</v>
      </c>
      <c r="B2254" s="44">
        <v>44540</v>
      </c>
      <c r="C2254" s="44">
        <f t="shared" si="107"/>
        <v>44540</v>
      </c>
      <c r="D2254" s="374">
        <v>212</v>
      </c>
      <c r="E2254" s="291" t="str">
        <f>IFERROR(VLOOKUP($D2254,'Clients-Live'!$A:$C,3,0),"")</f>
        <v>ACIDRI WILLIAM</v>
      </c>
      <c r="F2254" s="291">
        <f>IFERROR(INDEX(Disbursements!$D:$D,MATCH('Live Collections'!G2254,Disbursements!$C:$C,0)),"")</f>
        <v>2</v>
      </c>
      <c r="G2254" s="34">
        <v>365</v>
      </c>
      <c r="H2254" s="34">
        <v>3794</v>
      </c>
      <c r="I2254" s="34" t="s">
        <v>1358</v>
      </c>
      <c r="J2254" s="48"/>
      <c r="K2254" s="48"/>
      <c r="L2254" s="48"/>
      <c r="M2254" s="48"/>
      <c r="N2254" s="59"/>
      <c r="O2254" s="59"/>
      <c r="P2254" s="59">
        <v>75000</v>
      </c>
      <c r="Q2254" s="268">
        <f t="shared" si="106"/>
        <v>75000</v>
      </c>
      <c r="R2254" s="61">
        <f>IF(O2254=0,0,SUMIFS(Disbursements!$T:$T,Disbursements!$B:$B,'Live Collections'!D2254,Disbursements!$D:$D,'Live Collections'!F2254))</f>
        <v>0</v>
      </c>
      <c r="S2254" s="304">
        <f>IF(O2254&lt;=IF($O2254=0,0,SUMIFS(Disbursements!$W:$W,Disbursements!$B:$B,'Live Collections'!D2507,Disbursements!$D:$D,'Live Collections'!F2507)),O2254,IF($O2254=0,0,SUMIFS(Disbursements!$W:$W,Disbursements!$B:$B,'Live Collections'!D2507,Disbursements!$D:$D,'Live Collections'!F2507)))</f>
        <v>0</v>
      </c>
      <c r="T2254" s="304">
        <f t="shared" si="108"/>
        <v>0</v>
      </c>
      <c r="U2254" s="52"/>
      <c r="V2254" s="34"/>
      <c r="W2254" s="408"/>
    </row>
    <row r="2255" spans="1:23" ht="12.75" customHeight="1" x14ac:dyDescent="0.2">
      <c r="A2255" s="257">
        <v>2247</v>
      </c>
      <c r="B2255" s="44">
        <v>44540</v>
      </c>
      <c r="C2255" s="44">
        <f t="shared" si="107"/>
        <v>44540</v>
      </c>
      <c r="D2255" s="374">
        <v>213</v>
      </c>
      <c r="E2255" s="291" t="str">
        <f>IFERROR(VLOOKUP($D2255,'Clients-Live'!$A:$C,3,0),"")</f>
        <v>ATIKURU NADIA</v>
      </c>
      <c r="F2255" s="291">
        <f>IFERROR(INDEX(Disbursements!$D:$D,MATCH('Live Collections'!G2255,Disbursements!$C:$C,0)),"")</f>
        <v>1</v>
      </c>
      <c r="G2255" s="34">
        <v>208</v>
      </c>
      <c r="H2255" s="34">
        <v>3707</v>
      </c>
      <c r="I2255" s="34" t="s">
        <v>1358</v>
      </c>
      <c r="J2255" s="48"/>
      <c r="K2255" s="48"/>
      <c r="L2255" s="48"/>
      <c r="M2255" s="48"/>
      <c r="N2255" s="59"/>
      <c r="O2255" s="59">
        <v>100000</v>
      </c>
      <c r="P2255" s="59"/>
      <c r="Q2255" s="268">
        <f t="shared" si="106"/>
        <v>100000</v>
      </c>
      <c r="R2255" s="61">
        <f>IF(O2255=0,0,SUMIFS(Disbursements!$T:$T,Disbursements!$B:$B,'Live Collections'!D2255,Disbursements!$D:$D,'Live Collections'!F2255))</f>
        <v>150000</v>
      </c>
      <c r="S2255" s="304"/>
      <c r="T2255" s="304">
        <f t="shared" si="108"/>
        <v>100000</v>
      </c>
      <c r="U2255" s="52"/>
      <c r="V2255" s="34"/>
      <c r="W2255" s="408"/>
    </row>
    <row r="2256" spans="1:23" ht="12.75" customHeight="1" x14ac:dyDescent="0.2">
      <c r="A2256" s="257">
        <v>2250</v>
      </c>
      <c r="B2256" s="44">
        <v>44540</v>
      </c>
      <c r="C2256" s="44">
        <f t="shared" si="107"/>
        <v>44540</v>
      </c>
      <c r="D2256" s="374">
        <v>236</v>
      </c>
      <c r="E2256" s="291" t="str">
        <f>IFERROR(VLOOKUP($D2256,'Clients-Live'!$A:$C,3,0),"")</f>
        <v>AMIJI LUCY</v>
      </c>
      <c r="F2256" s="291">
        <f>IFERROR(INDEX(Disbursements!$D:$D,MATCH('Live Collections'!G2256,Disbursements!$C:$C,0)),"")</f>
        <v>1</v>
      </c>
      <c r="G2256" s="34">
        <v>247</v>
      </c>
      <c r="H2256" s="34">
        <v>3797</v>
      </c>
      <c r="I2256" s="34" t="s">
        <v>1357</v>
      </c>
      <c r="J2256" s="48"/>
      <c r="K2256" s="48"/>
      <c r="L2256" s="48"/>
      <c r="M2256" s="48"/>
      <c r="N2256" s="59"/>
      <c r="O2256" s="59">
        <v>85000</v>
      </c>
      <c r="P2256" s="59"/>
      <c r="Q2256" s="268">
        <f t="shared" si="106"/>
        <v>85000</v>
      </c>
      <c r="R2256" s="61">
        <f>IF(O2256=0,0,SUMIFS(Disbursements!$T:$T,Disbursements!$B:$B,'Live Collections'!D2256,Disbursements!$D:$D,'Live Collections'!F2256))</f>
        <v>384000</v>
      </c>
      <c r="S2256" s="304">
        <f>IF(O2256&lt;=IF($O2256=0,0,SUMIFS(Disbursements!$W:$W,Disbursements!$B:$B,'Live Collections'!D2717,Disbursements!$D:$D,'Live Collections'!F2717)),O2256,IF($O2256=0,0,SUMIFS(Disbursements!$W:$W,Disbursements!$B:$B,'Live Collections'!D2717,Disbursements!$D:$D,'Live Collections'!F2717)))</f>
        <v>8750</v>
      </c>
      <c r="T2256" s="304">
        <f t="shared" si="108"/>
        <v>76250</v>
      </c>
      <c r="U2256" s="52"/>
      <c r="V2256" s="34"/>
      <c r="W2256" s="408"/>
    </row>
    <row r="2257" spans="1:23" ht="12.75" customHeight="1" x14ac:dyDescent="0.2">
      <c r="A2257" s="257">
        <v>2248</v>
      </c>
      <c r="B2257" s="44">
        <v>44540</v>
      </c>
      <c r="C2257" s="44">
        <f t="shared" si="107"/>
        <v>44540</v>
      </c>
      <c r="D2257" s="374">
        <v>238</v>
      </c>
      <c r="E2257" s="291" t="str">
        <f>IFERROR(VLOOKUP($D2257,'Clients-Live'!$A:$C,3,0),"")</f>
        <v>ANGAIKA SAID</v>
      </c>
      <c r="F2257" s="291">
        <f>IFERROR(INDEX(Disbursements!$D:$D,MATCH('Live Collections'!G2257,Disbursements!$C:$C,0)),"")</f>
        <v>1</v>
      </c>
      <c r="G2257" s="34">
        <v>257</v>
      </c>
      <c r="H2257" s="34">
        <v>3702</v>
      </c>
      <c r="I2257" s="34" t="s">
        <v>1359</v>
      </c>
      <c r="J2257" s="48"/>
      <c r="K2257" s="48"/>
      <c r="L2257" s="48"/>
      <c r="M2257" s="48"/>
      <c r="N2257" s="59"/>
      <c r="O2257" s="59">
        <v>125000</v>
      </c>
      <c r="P2257" s="59"/>
      <c r="Q2257" s="268">
        <f t="shared" si="106"/>
        <v>125000</v>
      </c>
      <c r="R2257" s="61">
        <f>IF(O2257=0,0,SUMIFS(Disbursements!$T:$T,Disbursements!$B:$B,'Live Collections'!D2257,Disbursements!$D:$D,'Live Collections'!F2257))</f>
        <v>125000</v>
      </c>
      <c r="S2257" s="304">
        <f>IF(O2257&lt;=IF($O2257=0,0,SUMIFS(Disbursements!$W:$W,Disbursements!$B:$B,'Live Collections'!D2735,Disbursements!$D:$D,'Live Collections'!F2735)),O2257,IF($O2257=0,0,SUMIFS(Disbursements!$W:$W,Disbursements!$B:$B,'Live Collections'!D2735,Disbursements!$D:$D,'Live Collections'!F2735)))</f>
        <v>50333.333333333343</v>
      </c>
      <c r="T2257" s="304">
        <f t="shared" si="108"/>
        <v>74666.666666666657</v>
      </c>
      <c r="U2257" s="52"/>
      <c r="V2257" s="34"/>
      <c r="W2257" s="408"/>
    </row>
    <row r="2258" spans="1:23" ht="12.75" customHeight="1" x14ac:dyDescent="0.2">
      <c r="A2258" s="257">
        <v>2245</v>
      </c>
      <c r="B2258" s="44">
        <v>44540</v>
      </c>
      <c r="C2258" s="44">
        <f t="shared" si="107"/>
        <v>44540</v>
      </c>
      <c r="D2258" s="374">
        <v>253</v>
      </c>
      <c r="E2258" s="291" t="str">
        <f>IFERROR(VLOOKUP($D2258,'Clients-Live'!$A:$C,3,0),"")</f>
        <v>JAKUMA VINCENT</v>
      </c>
      <c r="F2258" s="291">
        <f>IFERROR(INDEX(Disbursements!$D:$D,MATCH('Live Collections'!G2258,Disbursements!$C:$C,0)),"")</f>
        <v>1</v>
      </c>
      <c r="G2258" s="34">
        <v>359</v>
      </c>
      <c r="H2258" s="34">
        <v>3711</v>
      </c>
      <c r="I2258" s="34" t="s">
        <v>1359</v>
      </c>
      <c r="J2258" s="48"/>
      <c r="K2258" s="48"/>
      <c r="L2258" s="48"/>
      <c r="M2258" s="48"/>
      <c r="N2258" s="59"/>
      <c r="O2258" s="59">
        <v>150000</v>
      </c>
      <c r="P2258" s="59"/>
      <c r="Q2258" s="268">
        <f t="shared" si="106"/>
        <v>150000</v>
      </c>
      <c r="R2258" s="61">
        <f>IF(O2258=0,0,SUMIFS(Disbursements!$T:$T,Disbursements!$B:$B,'Live Collections'!D2258,Disbursements!$D:$D,'Live Collections'!F2258))</f>
        <v>613000</v>
      </c>
      <c r="S2258" s="304">
        <f>IF(O2258&lt;=IF($O2258=0,0,SUMIFS(Disbursements!$W:$W,Disbursements!$B:$B,'Live Collections'!D2840,Disbursements!$D:$D,'Live Collections'!F2840)),O2258,IF($O2258=0,0,SUMIFS(Disbursements!$W:$W,Disbursements!$B:$B,'Live Collections'!D2840,Disbursements!$D:$D,'Live Collections'!F2840)))</f>
        <v>150000</v>
      </c>
      <c r="T2258" s="304">
        <f t="shared" si="108"/>
        <v>0</v>
      </c>
      <c r="U2258" s="52"/>
      <c r="V2258" s="34"/>
      <c r="W2258" s="408"/>
    </row>
    <row r="2259" spans="1:23" ht="12.75" customHeight="1" x14ac:dyDescent="0.2">
      <c r="A2259" s="257">
        <v>2257</v>
      </c>
      <c r="B2259" s="44">
        <v>44541</v>
      </c>
      <c r="C2259" s="44">
        <f t="shared" si="107"/>
        <v>44541</v>
      </c>
      <c r="D2259" s="374">
        <v>20</v>
      </c>
      <c r="E2259" s="291" t="str">
        <f>IFERROR(VLOOKUP($D2259,'Clients-Live'!$A:$C,3,0),"")</f>
        <v>ANDEZO KEVIN</v>
      </c>
      <c r="F2259" s="291">
        <f>IFERROR(INDEX(Disbursements!$D:$D,MATCH('Live Collections'!G2259,Disbursements!$C:$C,0)),"")</f>
        <v>2</v>
      </c>
      <c r="G2259" s="34">
        <v>194</v>
      </c>
      <c r="H2259" s="34">
        <v>3724</v>
      </c>
      <c r="I2259" s="34" t="s">
        <v>1358</v>
      </c>
      <c r="J2259" s="48"/>
      <c r="K2259" s="48"/>
      <c r="L2259" s="48"/>
      <c r="M2259" s="48"/>
      <c r="N2259" s="59"/>
      <c r="O2259" s="59">
        <v>30000</v>
      </c>
      <c r="P2259" s="59"/>
      <c r="Q2259" s="268">
        <f t="shared" si="106"/>
        <v>30000</v>
      </c>
      <c r="R2259" s="61">
        <f>IF(O2259=0,0,SUMIFS(Disbursements!$T:$T,Disbursements!$B:$B,'Live Collections'!D2259,Disbursements!$D:$D,'Live Collections'!F2259))</f>
        <v>200000</v>
      </c>
      <c r="S2259" s="304"/>
      <c r="T2259" s="304">
        <f t="shared" si="108"/>
        <v>30000</v>
      </c>
      <c r="U2259" s="52"/>
      <c r="V2259" s="34"/>
      <c r="W2259" s="408"/>
    </row>
    <row r="2260" spans="1:23" ht="12.75" customHeight="1" x14ac:dyDescent="0.2">
      <c r="A2260" s="257">
        <v>2262</v>
      </c>
      <c r="B2260" s="44">
        <v>44541</v>
      </c>
      <c r="C2260" s="44">
        <f t="shared" si="107"/>
        <v>44541</v>
      </c>
      <c r="D2260" s="374">
        <v>46</v>
      </c>
      <c r="E2260" s="291" t="str">
        <f>IFERROR(VLOOKUP($D2260,'Clients-Live'!$A:$C,3,0),"")</f>
        <v>ALIO YUDA</v>
      </c>
      <c r="F2260" s="291" t="str">
        <f>IFERROR(INDEX(Disbursements!$D:$D,MATCH('Live Collections'!G2260,Disbursements!$C:$C,0)),"")</f>
        <v/>
      </c>
      <c r="G2260" s="34"/>
      <c r="H2260" s="34">
        <v>3717</v>
      </c>
      <c r="I2260" s="34" t="s">
        <v>1357</v>
      </c>
      <c r="J2260" s="48"/>
      <c r="K2260" s="48"/>
      <c r="L2260" s="48">
        <v>20000</v>
      </c>
      <c r="M2260" s="48">
        <v>5000</v>
      </c>
      <c r="N2260" s="59"/>
      <c r="O2260" s="59"/>
      <c r="P2260" s="59"/>
      <c r="Q2260" s="268">
        <f t="shared" si="106"/>
        <v>25000</v>
      </c>
      <c r="R2260" s="61">
        <f>IF(O2260=0,0,SUMIFS(Disbursements!$T:$T,Disbursements!$B:$B,'Live Collections'!D2260,Disbursements!$D:$D,'Live Collections'!F2260))</f>
        <v>0</v>
      </c>
      <c r="S2260" s="304">
        <f>IF(O2260&lt;=IF($O2260=0,0,SUMIFS(Disbursements!$W:$W,Disbursements!$B:$B,'Live Collections'!D529,Disbursements!$D:$D,'Live Collections'!F529)),O2260,IF($O2260=0,0,SUMIFS(Disbursements!$W:$W,Disbursements!$B:$B,'Live Collections'!D529,Disbursements!$D:$D,'Live Collections'!F529)))</f>
        <v>0</v>
      </c>
      <c r="T2260" s="304">
        <f t="shared" si="108"/>
        <v>0</v>
      </c>
      <c r="U2260" s="52"/>
      <c r="V2260" s="34"/>
      <c r="W2260" s="408"/>
    </row>
    <row r="2261" spans="1:23" ht="12.75" customHeight="1" x14ac:dyDescent="0.2">
      <c r="A2261" s="257">
        <v>2255</v>
      </c>
      <c r="B2261" s="44">
        <v>44541</v>
      </c>
      <c r="C2261" s="44">
        <f t="shared" si="107"/>
        <v>44541</v>
      </c>
      <c r="D2261" s="374">
        <v>104</v>
      </c>
      <c r="E2261" s="291" t="str">
        <f>IFERROR(VLOOKUP($D2261,'Clients-Live'!$A:$C,3,0),"")</f>
        <v>IDIRA ALIMA</v>
      </c>
      <c r="F2261" s="291">
        <f>IFERROR(INDEX(Disbursements!$D:$D,MATCH('Live Collections'!G2261,Disbursements!$C:$C,0)),"")</f>
        <v>2</v>
      </c>
      <c r="G2261" s="34">
        <v>252</v>
      </c>
      <c r="H2261" s="34">
        <v>3726</v>
      </c>
      <c r="I2261" s="34" t="s">
        <v>1359</v>
      </c>
      <c r="J2261" s="48"/>
      <c r="K2261" s="48"/>
      <c r="L2261" s="48"/>
      <c r="M2261" s="48"/>
      <c r="N2261" s="59"/>
      <c r="O2261" s="59">
        <v>175000</v>
      </c>
      <c r="P2261" s="59"/>
      <c r="Q2261" s="268">
        <f t="shared" si="106"/>
        <v>175000</v>
      </c>
      <c r="R2261" s="61">
        <f>IF(O2261=0,0,SUMIFS(Disbursements!$T:$T,Disbursements!$B:$B,'Live Collections'!D2261,Disbursements!$D:$D,'Live Collections'!F2261))</f>
        <v>175000</v>
      </c>
      <c r="S2261" s="304">
        <f>IF(O2261&lt;=IF($O2261=0,0,SUMIFS(Disbursements!$W:$W,Disbursements!$B:$B,'Live Collections'!D1345,Disbursements!$D:$D,'Live Collections'!F1345)),O2261,IF($O2261=0,0,SUMIFS(Disbursements!$W:$W,Disbursements!$B:$B,'Live Collections'!D1345,Disbursements!$D:$D,'Live Collections'!F1345)))</f>
        <v>0</v>
      </c>
      <c r="T2261" s="304">
        <f t="shared" si="108"/>
        <v>175000</v>
      </c>
      <c r="U2261" s="52"/>
      <c r="V2261" s="34"/>
      <c r="W2261" s="408"/>
    </row>
    <row r="2262" spans="1:23" ht="12.75" customHeight="1" x14ac:dyDescent="0.2">
      <c r="A2262" s="257">
        <v>2254</v>
      </c>
      <c r="B2262" s="44">
        <v>44541</v>
      </c>
      <c r="C2262" s="44">
        <f t="shared" si="107"/>
        <v>44541</v>
      </c>
      <c r="D2262" s="374">
        <v>105</v>
      </c>
      <c r="E2262" s="291" t="str">
        <f>IFERROR(VLOOKUP($D2262,'Clients-Live'!$A:$C,3,0),"")</f>
        <v>NUKA ROSE</v>
      </c>
      <c r="F2262" s="291">
        <f>IFERROR(INDEX(Disbursements!$D:$D,MATCH('Live Collections'!G2262,Disbursements!$C:$C,0)),"")</f>
        <v>2</v>
      </c>
      <c r="G2262" s="34">
        <v>259</v>
      </c>
      <c r="H2262" s="34">
        <v>3800</v>
      </c>
      <c r="I2262" s="34" t="s">
        <v>1359</v>
      </c>
      <c r="J2262" s="48"/>
      <c r="K2262" s="48"/>
      <c r="L2262" s="48"/>
      <c r="M2262" s="48"/>
      <c r="N2262" s="59"/>
      <c r="O2262" s="59">
        <v>90000</v>
      </c>
      <c r="P2262" s="59"/>
      <c r="Q2262" s="268">
        <f t="shared" si="106"/>
        <v>90000</v>
      </c>
      <c r="R2262" s="61">
        <f>IF(O2262=0,0,SUMIFS(Disbursements!$T:$T,Disbursements!$B:$B,'Live Collections'!D2262,Disbursements!$D:$D,'Live Collections'!F2262))</f>
        <v>100000</v>
      </c>
      <c r="S2262" s="304">
        <f>IF(O2262&lt;=IF($O2262=0,0,SUMIFS(Disbursements!$W:$W,Disbursements!$B:$B,'Live Collections'!D1357,Disbursements!$D:$D,'Live Collections'!F1357)),O2262,IF($O2262=0,0,SUMIFS(Disbursements!$W:$W,Disbursements!$B:$B,'Live Collections'!D1357,Disbursements!$D:$D,'Live Collections'!F1357)))</f>
        <v>50333.333333333343</v>
      </c>
      <c r="T2262" s="304">
        <f t="shared" si="108"/>
        <v>39666.666666666657</v>
      </c>
      <c r="U2262" s="52"/>
      <c r="V2262" s="34"/>
      <c r="W2262" s="408"/>
    </row>
    <row r="2263" spans="1:23" ht="12.75" customHeight="1" x14ac:dyDescent="0.2">
      <c r="A2263" s="257">
        <v>2264</v>
      </c>
      <c r="B2263" s="44">
        <v>44541</v>
      </c>
      <c r="C2263" s="44">
        <f t="shared" si="107"/>
        <v>44541</v>
      </c>
      <c r="D2263" s="374">
        <v>148</v>
      </c>
      <c r="E2263" s="291" t="str">
        <f>IFERROR(VLOOKUP($D2263,'Clients-Live'!$A:$C,3,0),"")</f>
        <v>GBOKA ZAIDA</v>
      </c>
      <c r="F2263" s="291">
        <f>IFERROR(INDEX(Disbursements!$D:$D,MATCH('Live Collections'!G2263,Disbursements!$C:$C,0)),"")</f>
        <v>2</v>
      </c>
      <c r="G2263" s="34">
        <v>304</v>
      </c>
      <c r="H2263" s="34">
        <v>3712</v>
      </c>
      <c r="I2263" s="34" t="s">
        <v>1359</v>
      </c>
      <c r="J2263" s="48"/>
      <c r="K2263" s="48"/>
      <c r="L2263" s="48"/>
      <c r="M2263" s="48"/>
      <c r="N2263" s="59"/>
      <c r="O2263" s="59">
        <v>100000</v>
      </c>
      <c r="P2263" s="59"/>
      <c r="Q2263" s="268">
        <f t="shared" si="106"/>
        <v>100000</v>
      </c>
      <c r="R2263" s="61">
        <f>IF(O2263=0,0,SUMIFS(Disbursements!$T:$T,Disbursements!$B:$B,'Live Collections'!D2263,Disbursements!$D:$D,'Live Collections'!F2263))</f>
        <v>125000</v>
      </c>
      <c r="S2263" s="304">
        <f>IF(O2263&lt;=IF($O2263=0,0,SUMIFS(Disbursements!$W:$W,Disbursements!$B:$B,'Live Collections'!D1876,Disbursements!$D:$D,'Live Collections'!F1876)),O2263,IF($O2263=0,0,SUMIFS(Disbursements!$W:$W,Disbursements!$B:$B,'Live Collections'!D1876,Disbursements!$D:$D,'Live Collections'!F1876)))</f>
        <v>30000</v>
      </c>
      <c r="T2263" s="304">
        <f t="shared" si="108"/>
        <v>70000</v>
      </c>
      <c r="U2263" s="52"/>
      <c r="V2263" s="34"/>
      <c r="W2263" s="408"/>
    </row>
    <row r="2264" spans="1:23" ht="12.75" customHeight="1" x14ac:dyDescent="0.2">
      <c r="A2264" s="257">
        <v>2253</v>
      </c>
      <c r="B2264" s="44">
        <v>44541</v>
      </c>
      <c r="C2264" s="44">
        <f t="shared" si="107"/>
        <v>44541</v>
      </c>
      <c r="D2264" s="374">
        <v>189</v>
      </c>
      <c r="E2264" s="291" t="str">
        <f>IFERROR(VLOOKUP($D2264,'Clients-Live'!$A:$C,3,0),"")</f>
        <v>AYIDA SELUWA</v>
      </c>
      <c r="F2264" s="291" t="str">
        <f>IFERROR(INDEX(Disbursements!$D:$D,MATCH('Live Collections'!G2264,Disbursements!$C:$C,0)),"")</f>
        <v/>
      </c>
      <c r="G2264" s="34"/>
      <c r="H2264" s="34">
        <v>3727</v>
      </c>
      <c r="I2264" s="34" t="s">
        <v>1359</v>
      </c>
      <c r="J2264" s="48"/>
      <c r="K2264" s="48"/>
      <c r="L2264" s="48">
        <v>15000</v>
      </c>
      <c r="M2264" s="48">
        <v>5000</v>
      </c>
      <c r="N2264" s="59"/>
      <c r="O2264" s="59"/>
      <c r="P2264" s="59"/>
      <c r="Q2264" s="268">
        <f t="shared" si="106"/>
        <v>20000</v>
      </c>
      <c r="R2264" s="61">
        <f>IF(O2264=0,0,SUMIFS(Disbursements!$T:$T,Disbursements!$B:$B,'Live Collections'!D2264,Disbursements!$D:$D,'Live Collections'!F2264))</f>
        <v>0</v>
      </c>
      <c r="S2264" s="304">
        <f>IF(O2264&lt;=IF($O2264=0,0,SUMIFS(Disbursements!$W:$W,Disbursements!$B:$B,'Live Collections'!D2301,Disbursements!$D:$D,'Live Collections'!F2301)),O2264,IF($O2264=0,0,SUMIFS(Disbursements!$W:$W,Disbursements!$B:$B,'Live Collections'!D2301,Disbursements!$D:$D,'Live Collections'!F2301)))</f>
        <v>0</v>
      </c>
      <c r="T2264" s="304">
        <f t="shared" si="108"/>
        <v>0</v>
      </c>
      <c r="U2264" s="52"/>
      <c r="V2264" s="34"/>
      <c r="W2264" s="408"/>
    </row>
    <row r="2265" spans="1:23" ht="12.75" customHeight="1" x14ac:dyDescent="0.2">
      <c r="A2265" s="257">
        <v>2258</v>
      </c>
      <c r="B2265" s="44">
        <v>44541</v>
      </c>
      <c r="C2265" s="44">
        <f t="shared" si="107"/>
        <v>44541</v>
      </c>
      <c r="D2265" s="374">
        <v>189</v>
      </c>
      <c r="E2265" s="291" t="str">
        <f>IFERROR(VLOOKUP($D2265,'Clients-Live'!$A:$C,3,0),"")</f>
        <v>AYIDA SELUWA</v>
      </c>
      <c r="F2265" s="291">
        <f>IFERROR(INDEX(Disbursements!$D:$D,MATCH('Live Collections'!G2265,Disbursements!$C:$C,0)),"")</f>
        <v>1</v>
      </c>
      <c r="G2265" s="34">
        <v>178</v>
      </c>
      <c r="H2265" s="34">
        <v>1470</v>
      </c>
      <c r="I2265" s="34" t="s">
        <v>1359</v>
      </c>
      <c r="J2265" s="48"/>
      <c r="K2265" s="48"/>
      <c r="L2265" s="48"/>
      <c r="M2265" s="48"/>
      <c r="N2265" s="59"/>
      <c r="O2265" s="59"/>
      <c r="P2265" s="59">
        <v>-40000</v>
      </c>
      <c r="Q2265" s="268">
        <f t="shared" si="106"/>
        <v>-40000</v>
      </c>
      <c r="R2265" s="61">
        <f>IF(O2265=0,0,SUMIFS(Disbursements!$T:$T,Disbursements!$B:$B,'Live Collections'!D2265,Disbursements!$D:$D,'Live Collections'!F2265))</f>
        <v>0</v>
      </c>
      <c r="S2265" s="304">
        <f>IF(O2265&lt;=IF($O2265=0,0,SUMIFS(Disbursements!$W:$W,Disbursements!$B:$B,'Live Collections'!D2302,Disbursements!$D:$D,'Live Collections'!F2302)),O2265,IF($O2265=0,0,SUMIFS(Disbursements!$W:$W,Disbursements!$B:$B,'Live Collections'!D2302,Disbursements!$D:$D,'Live Collections'!F2302)))</f>
        <v>0</v>
      </c>
      <c r="T2265" s="304">
        <f t="shared" si="108"/>
        <v>0</v>
      </c>
      <c r="U2265" s="52"/>
      <c r="V2265" s="34"/>
      <c r="W2265" s="408"/>
    </row>
    <row r="2266" spans="1:23" ht="12.75" customHeight="1" x14ac:dyDescent="0.2">
      <c r="A2266" s="257">
        <v>2259</v>
      </c>
      <c r="B2266" s="44">
        <v>44541</v>
      </c>
      <c r="C2266" s="44">
        <f t="shared" si="107"/>
        <v>44541</v>
      </c>
      <c r="D2266" s="374">
        <v>189</v>
      </c>
      <c r="E2266" s="291" t="str">
        <f>IFERROR(VLOOKUP($D2266,'Clients-Live'!$A:$C,3,0),"")</f>
        <v>AYIDA SELUWA</v>
      </c>
      <c r="F2266" s="291">
        <f>IFERROR(INDEX(Disbursements!$D:$D,MATCH('Live Collections'!G2266,Disbursements!$C:$C,0)),"")</f>
        <v>1</v>
      </c>
      <c r="G2266" s="34">
        <v>178</v>
      </c>
      <c r="H2266" s="34">
        <v>3273</v>
      </c>
      <c r="I2266" s="34" t="s">
        <v>1359</v>
      </c>
      <c r="J2266" s="48"/>
      <c r="K2266" s="48"/>
      <c r="L2266" s="48"/>
      <c r="M2266" s="48"/>
      <c r="N2266" s="59"/>
      <c r="O2266" s="59">
        <v>40000</v>
      </c>
      <c r="P2266" s="59"/>
      <c r="Q2266" s="268">
        <f t="shared" si="106"/>
        <v>40000</v>
      </c>
      <c r="R2266" s="61">
        <f>IF(O2266=0,0,SUMIFS(Disbursements!$T:$T,Disbursements!$B:$B,'Live Collections'!D2266,Disbursements!$D:$D,'Live Collections'!F2266))</f>
        <v>120000</v>
      </c>
      <c r="S2266" s="304"/>
      <c r="T2266" s="304">
        <f t="shared" si="108"/>
        <v>40000</v>
      </c>
      <c r="U2266" s="52"/>
      <c r="V2266" s="34"/>
      <c r="W2266" s="408" t="s">
        <v>1918</v>
      </c>
    </row>
    <row r="2267" spans="1:23" ht="12.75" customHeight="1" x14ac:dyDescent="0.2">
      <c r="A2267" s="257">
        <v>2260</v>
      </c>
      <c r="B2267" s="44">
        <v>44541</v>
      </c>
      <c r="C2267" s="44">
        <f t="shared" si="107"/>
        <v>44541</v>
      </c>
      <c r="D2267" s="374">
        <v>189</v>
      </c>
      <c r="E2267" s="291" t="str">
        <f>IFERROR(VLOOKUP($D2267,'Clients-Live'!$A:$C,3,0),"")</f>
        <v>AYIDA SELUWA</v>
      </c>
      <c r="F2267" s="291">
        <f>IFERROR(INDEX(Disbursements!$D:$D,MATCH('Live Collections'!G2267,Disbursements!$C:$C,0)),"")</f>
        <v>1</v>
      </c>
      <c r="G2267" s="34">
        <v>178</v>
      </c>
      <c r="H2267" s="34">
        <v>3722</v>
      </c>
      <c r="I2267" s="34" t="s">
        <v>1359</v>
      </c>
      <c r="J2267" s="48"/>
      <c r="K2267" s="48"/>
      <c r="L2267" s="48"/>
      <c r="M2267" s="48"/>
      <c r="N2267" s="59"/>
      <c r="O2267" s="59">
        <v>90000</v>
      </c>
      <c r="P2267" s="59"/>
      <c r="Q2267" s="268">
        <f t="shared" si="106"/>
        <v>90000</v>
      </c>
      <c r="R2267" s="61">
        <f>IF(O2267=0,0,SUMIFS(Disbursements!$T:$T,Disbursements!$B:$B,'Live Collections'!D2267,Disbursements!$D:$D,'Live Collections'!F2267))</f>
        <v>120000</v>
      </c>
      <c r="S2267" s="304"/>
      <c r="T2267" s="304">
        <f t="shared" si="108"/>
        <v>90000</v>
      </c>
      <c r="U2267" s="52"/>
      <c r="V2267" s="34"/>
      <c r="W2267" s="408"/>
    </row>
    <row r="2268" spans="1:23" ht="12.75" customHeight="1" x14ac:dyDescent="0.2">
      <c r="A2268" s="257">
        <v>2256</v>
      </c>
      <c r="B2268" s="44">
        <v>44541</v>
      </c>
      <c r="C2268" s="44">
        <f t="shared" si="107"/>
        <v>44541</v>
      </c>
      <c r="D2268" s="374">
        <v>208</v>
      </c>
      <c r="E2268" s="291" t="str">
        <f>IFERROR(VLOOKUP($D2268,'Clients-Live'!$A:$C,3,0),"")</f>
        <v>TIKO RAIMA</v>
      </c>
      <c r="F2268" s="291">
        <f>IFERROR(INDEX(Disbursements!$D:$D,MATCH('Live Collections'!G2268,Disbursements!$C:$C,0)),"")</f>
        <v>2</v>
      </c>
      <c r="G2268" s="34">
        <v>322</v>
      </c>
      <c r="H2268" s="34">
        <v>3725</v>
      </c>
      <c r="I2268" s="34" t="s">
        <v>1357</v>
      </c>
      <c r="J2268" s="48"/>
      <c r="K2268" s="48"/>
      <c r="L2268" s="48"/>
      <c r="M2268" s="48"/>
      <c r="N2268" s="59"/>
      <c r="O2268" s="59">
        <v>100000</v>
      </c>
      <c r="P2268" s="59"/>
      <c r="Q2268" s="268">
        <f t="shared" si="106"/>
        <v>100000</v>
      </c>
      <c r="R2268" s="61">
        <f>IF(O2268=0,0,SUMIFS(Disbursements!$T:$T,Disbursements!$B:$B,'Live Collections'!D2268,Disbursements!$D:$D,'Live Collections'!F2268))</f>
        <v>115000</v>
      </c>
      <c r="S2268" s="304">
        <f>IF(O2268&lt;=IF($O2268=0,0,SUMIFS(Disbursements!$W:$W,Disbursements!$B:$B,'Live Collections'!D2463,Disbursements!$D:$D,'Live Collections'!F2463)),O2268,IF($O2268=0,0,SUMIFS(Disbursements!$W:$W,Disbursements!$B:$B,'Live Collections'!D2463,Disbursements!$D:$D,'Live Collections'!F2463)))</f>
        <v>30000</v>
      </c>
      <c r="T2268" s="304">
        <f t="shared" si="108"/>
        <v>70000</v>
      </c>
      <c r="U2268" s="52"/>
      <c r="V2268" s="34"/>
      <c r="W2268" s="408"/>
    </row>
    <row r="2269" spans="1:23" ht="12.75" customHeight="1" x14ac:dyDescent="0.2">
      <c r="A2269" s="257">
        <v>2263</v>
      </c>
      <c r="B2269" s="44">
        <v>44541</v>
      </c>
      <c r="C2269" s="44">
        <f t="shared" si="107"/>
        <v>44541</v>
      </c>
      <c r="D2269" s="374">
        <v>237</v>
      </c>
      <c r="E2269" s="291" t="str">
        <f>IFERROR(VLOOKUP($D2269,'Clients-Live'!$A:$C,3,0),"")</f>
        <v>EZRA INNOCENT</v>
      </c>
      <c r="F2269" s="291" t="str">
        <f>IFERROR(INDEX(Disbursements!$D:$D,MATCH('Live Collections'!G2269,Disbursements!$C:$C,0)),"")</f>
        <v/>
      </c>
      <c r="G2269" s="34"/>
      <c r="H2269" s="34">
        <v>3713</v>
      </c>
      <c r="I2269" s="34" t="s">
        <v>1357</v>
      </c>
      <c r="J2269" s="48"/>
      <c r="K2269" s="48"/>
      <c r="L2269" s="48">
        <v>20000</v>
      </c>
      <c r="M2269" s="48">
        <v>5000</v>
      </c>
      <c r="N2269" s="59"/>
      <c r="O2269" s="59"/>
      <c r="P2269" s="59"/>
      <c r="Q2269" s="268">
        <f t="shared" si="106"/>
        <v>25000</v>
      </c>
      <c r="R2269" s="61">
        <f>IF(O2269=0,0,SUMIFS(Disbursements!$T:$T,Disbursements!$B:$B,'Live Collections'!D2269,Disbursements!$D:$D,'Live Collections'!F2269))</f>
        <v>0</v>
      </c>
      <c r="S2269" s="304">
        <f>IF(O2269&lt;=IF($O2269=0,0,SUMIFS(Disbursements!$W:$W,Disbursements!$B:$B,'Live Collections'!D2726,Disbursements!$D:$D,'Live Collections'!F2726)),O2269,IF($O2269=0,0,SUMIFS(Disbursements!$W:$W,Disbursements!$B:$B,'Live Collections'!D2726,Disbursements!$D:$D,'Live Collections'!F2726)))</f>
        <v>0</v>
      </c>
      <c r="T2269" s="304">
        <f t="shared" si="108"/>
        <v>0</v>
      </c>
      <c r="U2269" s="52"/>
      <c r="V2269" s="34"/>
      <c r="W2269" s="408"/>
    </row>
    <row r="2270" spans="1:23" ht="12.75" customHeight="1" x14ac:dyDescent="0.2">
      <c r="A2270" s="257">
        <v>2261</v>
      </c>
      <c r="B2270" s="44">
        <v>44541</v>
      </c>
      <c r="C2270" s="44">
        <f t="shared" si="107"/>
        <v>44541</v>
      </c>
      <c r="D2270" s="374">
        <v>292</v>
      </c>
      <c r="E2270" s="291" t="str">
        <f>IFERROR(VLOOKUP($D2270,'Clients-Live'!$A:$C,3,0),"")</f>
        <v>AFEKU DENIS</v>
      </c>
      <c r="F2270" s="291">
        <f>IFERROR(INDEX(Disbursements!$D:$D,MATCH('Live Collections'!G2270,Disbursements!$C:$C,0)),"")</f>
        <v>1</v>
      </c>
      <c r="G2270" s="34">
        <v>368</v>
      </c>
      <c r="H2270" s="34">
        <v>3798</v>
      </c>
      <c r="I2270" s="34" t="s">
        <v>1359</v>
      </c>
      <c r="J2270" s="48"/>
      <c r="K2270" s="48"/>
      <c r="L2270" s="48"/>
      <c r="M2270" s="48"/>
      <c r="N2270" s="59"/>
      <c r="O2270" s="59"/>
      <c r="P2270" s="59">
        <v>800000</v>
      </c>
      <c r="Q2270" s="268">
        <f t="shared" si="106"/>
        <v>800000</v>
      </c>
      <c r="R2270" s="61">
        <f>IF(O2270=0,0,SUMIFS(Disbursements!$T:$T,Disbursements!$B:$B,'Live Collections'!D2270,Disbursements!$D:$D,'Live Collections'!F2270))</f>
        <v>0</v>
      </c>
      <c r="S2270" s="304">
        <f>IF(O2270&lt;=IF($O2270=0,0,SUMIFS(Disbursements!$W:$W,Disbursements!$B:$B,'Live Collections'!D3052,Disbursements!$D:$D,'Live Collections'!F3052)),O2270,IF($O2270=0,0,SUMIFS(Disbursements!$W:$W,Disbursements!$B:$B,'Live Collections'!D3052,Disbursements!$D:$D,'Live Collections'!F3052)))</f>
        <v>0</v>
      </c>
      <c r="T2270" s="304">
        <f t="shared" si="108"/>
        <v>0</v>
      </c>
      <c r="U2270" s="52"/>
      <c r="V2270" s="34"/>
      <c r="W2270" s="408"/>
    </row>
    <row r="2271" spans="1:23" ht="12.75" customHeight="1" x14ac:dyDescent="0.2">
      <c r="A2271" s="257">
        <v>2265</v>
      </c>
      <c r="B2271" s="44">
        <v>44541</v>
      </c>
      <c r="C2271" s="44">
        <f t="shared" si="107"/>
        <v>44541</v>
      </c>
      <c r="D2271" s="374">
        <v>304</v>
      </c>
      <c r="E2271" s="291" t="str">
        <f>IFERROR(VLOOKUP($D2271,'Clients-Live'!$A:$C,3,0),"")</f>
        <v>ATAKO GLORIA</v>
      </c>
      <c r="F2271" s="291" t="str">
        <f>IFERROR(INDEX(Disbursements!$D:$D,MATCH('Live Collections'!G2271,Disbursements!$C:$C,0)),"")</f>
        <v/>
      </c>
      <c r="G2271" s="34"/>
      <c r="H2271" s="34">
        <v>3714</v>
      </c>
      <c r="I2271" s="34" t="s">
        <v>1716</v>
      </c>
      <c r="J2271" s="48">
        <v>15000</v>
      </c>
      <c r="K2271" s="48">
        <v>5000</v>
      </c>
      <c r="L2271" s="48"/>
      <c r="M2271" s="48"/>
      <c r="N2271" s="59"/>
      <c r="O2271" s="59"/>
      <c r="P2271" s="59"/>
      <c r="Q2271" s="268">
        <f t="shared" si="106"/>
        <v>20000</v>
      </c>
      <c r="R2271" s="61">
        <f>IF(O2271=0,0,SUMIFS(Disbursements!$T:$T,Disbursements!$B:$B,'Live Collections'!D2271,Disbursements!$D:$D,'Live Collections'!F2271))</f>
        <v>0</v>
      </c>
      <c r="S2271" s="304">
        <f>IF(O2271&lt;=IF($O2271=0,0,SUMIFS(Disbursements!$W:$W,Disbursements!$B:$B,'Live Collections'!D3094,Disbursements!$D:$D,'Live Collections'!F3094)),O2271,IF($O2271=0,0,SUMIFS(Disbursements!$W:$W,Disbursements!$B:$B,'Live Collections'!D3094,Disbursements!$D:$D,'Live Collections'!F3094)))</f>
        <v>0</v>
      </c>
      <c r="T2271" s="304">
        <f t="shared" si="108"/>
        <v>0</v>
      </c>
      <c r="U2271" s="52"/>
      <c r="V2271" s="34"/>
      <c r="W2271" s="408"/>
    </row>
    <row r="2272" spans="1:23" ht="12.75" customHeight="1" x14ac:dyDescent="0.2">
      <c r="A2272" s="257">
        <v>2281</v>
      </c>
      <c r="B2272" s="44">
        <v>44543</v>
      </c>
      <c r="C2272" s="44">
        <f t="shared" si="107"/>
        <v>44543</v>
      </c>
      <c r="D2272" s="374">
        <v>42</v>
      </c>
      <c r="E2272" s="291" t="str">
        <f>IFERROR(VLOOKUP($D2272,'Clients-Live'!$A:$C,3,0),"")</f>
        <v>ABAU   NOLA</v>
      </c>
      <c r="F2272" s="291">
        <f>IFERROR(INDEX(Disbursements!$D:$D,MATCH('Live Collections'!G2272,Disbursements!$C:$C,0)),"")</f>
        <v>2</v>
      </c>
      <c r="G2272" s="34">
        <v>251</v>
      </c>
      <c r="H2272" s="34">
        <v>3742</v>
      </c>
      <c r="I2272" s="34" t="s">
        <v>1359</v>
      </c>
      <c r="J2272" s="48"/>
      <c r="K2272" s="48"/>
      <c r="L2272" s="48"/>
      <c r="M2272" s="48"/>
      <c r="N2272" s="59"/>
      <c r="O2272" s="59">
        <v>30000</v>
      </c>
      <c r="P2272" s="59"/>
      <c r="Q2272" s="268">
        <f t="shared" si="106"/>
        <v>30000</v>
      </c>
      <c r="R2272" s="61">
        <f>IF(O2272=0,0,SUMIFS(Disbursements!$T:$T,Disbursements!$B:$B,'Live Collections'!D2272,Disbursements!$D:$D,'Live Collections'!F2272))</f>
        <v>69000</v>
      </c>
      <c r="S2272" s="304">
        <f>IF(O2272&lt;=IF($O2272=0,0,SUMIFS(Disbursements!$W:$W,Disbursements!$B:$B,'Live Collections'!D466,Disbursements!$D:$D,'Live Collections'!F466)),O2272,IF($O2272=0,0,SUMIFS(Disbursements!$W:$W,Disbursements!$B:$B,'Live Collections'!D466,Disbursements!$D:$D,'Live Collections'!F466)))</f>
        <v>0</v>
      </c>
      <c r="T2272" s="304">
        <f t="shared" si="108"/>
        <v>30000</v>
      </c>
      <c r="U2272" s="52"/>
      <c r="V2272" s="34"/>
      <c r="W2272" s="408"/>
    </row>
    <row r="2273" spans="1:23" ht="12.75" customHeight="1" x14ac:dyDescent="0.2">
      <c r="A2273" s="257">
        <v>2277</v>
      </c>
      <c r="B2273" s="44">
        <v>44543</v>
      </c>
      <c r="C2273" s="44">
        <f t="shared" si="107"/>
        <v>44543</v>
      </c>
      <c r="D2273" s="374">
        <v>53</v>
      </c>
      <c r="E2273" s="291" t="str">
        <f>IFERROR(VLOOKUP($D2273,'Clients-Live'!$A:$C,3,0),"")</f>
        <v>KALSUMU INNOCENT</v>
      </c>
      <c r="F2273" s="291">
        <f>IFERROR(INDEX(Disbursements!$D:$D,MATCH('Live Collections'!G2273,Disbursements!$C:$C,0)),"")</f>
        <v>2</v>
      </c>
      <c r="G2273" s="34">
        <v>329</v>
      </c>
      <c r="H2273" s="34">
        <v>3709</v>
      </c>
      <c r="I2273" s="34" t="s">
        <v>1358</v>
      </c>
      <c r="J2273" s="48"/>
      <c r="K2273" s="48"/>
      <c r="L2273" s="48"/>
      <c r="M2273" s="48"/>
      <c r="N2273" s="59"/>
      <c r="O2273" s="59">
        <v>195000</v>
      </c>
      <c r="P2273" s="59"/>
      <c r="Q2273" s="268">
        <f t="shared" si="106"/>
        <v>195000</v>
      </c>
      <c r="R2273" s="61">
        <f>IF(O2273=0,0,SUMIFS(Disbursements!$T:$T,Disbursements!$B:$B,'Live Collections'!D2273,Disbursements!$D:$D,'Live Collections'!F2273))</f>
        <v>195000</v>
      </c>
      <c r="S2273" s="304">
        <f>IF(O2273&lt;=IF($O2273=0,0,SUMIFS(Disbursements!$W:$W,Disbursements!$B:$B,'Live Collections'!D626,Disbursements!$D:$D,'Live Collections'!F626)),O2273,IF($O2273=0,0,SUMIFS(Disbursements!$W:$W,Disbursements!$B:$B,'Live Collections'!D626,Disbursements!$D:$D,'Live Collections'!F626)))</f>
        <v>150000</v>
      </c>
      <c r="T2273" s="304">
        <f t="shared" si="108"/>
        <v>45000</v>
      </c>
      <c r="U2273" s="52"/>
      <c r="V2273" s="34"/>
      <c r="W2273" s="408"/>
    </row>
    <row r="2274" spans="1:23" ht="12.75" customHeight="1" x14ac:dyDescent="0.2">
      <c r="A2274" s="257">
        <v>2292</v>
      </c>
      <c r="B2274" s="44">
        <v>44543</v>
      </c>
      <c r="C2274" s="44">
        <f t="shared" si="107"/>
        <v>44543</v>
      </c>
      <c r="D2274" s="374">
        <v>60</v>
      </c>
      <c r="E2274" s="291" t="str">
        <f>IFERROR(VLOOKUP($D2274,'Clients-Live'!$A:$C,3,0),"")</f>
        <v>MATURU ALICE</v>
      </c>
      <c r="F2274" s="291">
        <f>IFERROR(INDEX(Disbursements!$D:$D,MATCH('Live Collections'!G2274,Disbursements!$C:$C,0)),"")</f>
        <v>2</v>
      </c>
      <c r="G2274" s="34">
        <v>200</v>
      </c>
      <c r="H2274" s="34">
        <v>3908</v>
      </c>
      <c r="I2274" s="34" t="s">
        <v>1358</v>
      </c>
      <c r="J2274" s="48"/>
      <c r="K2274" s="48"/>
      <c r="L2274" s="48"/>
      <c r="M2274" s="48"/>
      <c r="N2274" s="59"/>
      <c r="O2274" s="59">
        <v>40000</v>
      </c>
      <c r="P2274" s="59"/>
      <c r="Q2274" s="268">
        <f t="shared" si="106"/>
        <v>40000</v>
      </c>
      <c r="R2274" s="61">
        <f>IF(O2274=0,0,SUMIFS(Disbursements!$T:$T,Disbursements!$B:$B,'Live Collections'!D2274,Disbursements!$D:$D,'Live Collections'!F2274))</f>
        <v>180000</v>
      </c>
      <c r="S2274" s="304"/>
      <c r="T2274" s="304">
        <f t="shared" si="108"/>
        <v>40000</v>
      </c>
      <c r="U2274" s="52"/>
      <c r="V2274" s="34"/>
      <c r="W2274" s="408"/>
    </row>
    <row r="2275" spans="1:23" ht="12.75" customHeight="1" x14ac:dyDescent="0.2">
      <c r="A2275" s="257">
        <v>2288</v>
      </c>
      <c r="B2275" s="44">
        <v>44543</v>
      </c>
      <c r="C2275" s="44">
        <f t="shared" si="107"/>
        <v>44543</v>
      </c>
      <c r="D2275" s="374">
        <v>66</v>
      </c>
      <c r="E2275" s="291" t="str">
        <f>IFERROR(VLOOKUP($D2275,'Clients-Live'!$A:$C,3,0),"")</f>
        <v>DENAYA NYAMAZA</v>
      </c>
      <c r="F2275" s="291">
        <f>IFERROR(INDEX(Disbursements!$D:$D,MATCH('Live Collections'!G2275,Disbursements!$C:$C,0)),"")</f>
        <v>2</v>
      </c>
      <c r="G2275" s="34">
        <v>300</v>
      </c>
      <c r="H2275" s="34">
        <v>3903</v>
      </c>
      <c r="I2275" s="34" t="s">
        <v>1357</v>
      </c>
      <c r="J2275" s="48"/>
      <c r="K2275" s="48"/>
      <c r="L2275" s="48"/>
      <c r="M2275" s="48"/>
      <c r="N2275" s="59"/>
      <c r="O2275" s="59">
        <v>110000</v>
      </c>
      <c r="P2275" s="59"/>
      <c r="Q2275" s="268">
        <f t="shared" si="106"/>
        <v>110000</v>
      </c>
      <c r="R2275" s="61">
        <f>IF(O2275=0,0,SUMIFS(Disbursements!$T:$T,Disbursements!$B:$B,'Live Collections'!D2275,Disbursements!$D:$D,'Live Collections'!F2275))</f>
        <v>109000</v>
      </c>
      <c r="S2275" s="304">
        <f>IF(O2275&lt;=IF($O2275=0,0,SUMIFS(Disbursements!$W:$W,Disbursements!$B:$B,'Live Collections'!D816,Disbursements!$D:$D,'Live Collections'!F816)),O2275,IF($O2275=0,0,SUMIFS(Disbursements!$W:$W,Disbursements!$B:$B,'Live Collections'!D816,Disbursements!$D:$D,'Live Collections'!F816)))</f>
        <v>15333.333333333328</v>
      </c>
      <c r="T2275" s="304">
        <f t="shared" si="108"/>
        <v>94666.666666666672</v>
      </c>
      <c r="U2275" s="52"/>
      <c r="V2275" s="34"/>
      <c r="W2275" s="408"/>
    </row>
    <row r="2276" spans="1:23" ht="12.75" customHeight="1" x14ac:dyDescent="0.2">
      <c r="A2276" s="257">
        <v>2287</v>
      </c>
      <c r="B2276" s="44">
        <v>44543</v>
      </c>
      <c r="C2276" s="44">
        <f t="shared" si="107"/>
        <v>44543</v>
      </c>
      <c r="D2276" s="374">
        <v>96</v>
      </c>
      <c r="E2276" s="291" t="str">
        <f>IFERROR(VLOOKUP($D2276,'Clients-Live'!$A:$C,3,0),"")</f>
        <v>AKANDU NIGHT YONGORO</v>
      </c>
      <c r="F2276" s="291">
        <f>IFERROR(INDEX(Disbursements!$D:$D,MATCH('Live Collections'!G2276,Disbursements!$C:$C,0)),"")</f>
        <v>2</v>
      </c>
      <c r="G2276" s="34">
        <v>248</v>
      </c>
      <c r="H2276" s="34">
        <v>3902</v>
      </c>
      <c r="I2276" s="34" t="s">
        <v>1358</v>
      </c>
      <c r="J2276" s="48"/>
      <c r="K2276" s="48"/>
      <c r="L2276" s="48"/>
      <c r="M2276" s="48"/>
      <c r="N2276" s="59"/>
      <c r="O2276" s="59">
        <v>50000</v>
      </c>
      <c r="P2276" s="59"/>
      <c r="Q2276" s="268">
        <f t="shared" si="106"/>
        <v>50000</v>
      </c>
      <c r="R2276" s="61">
        <f>IF(O2276=0,0,SUMIFS(Disbursements!$T:$T,Disbursements!$B:$B,'Live Collections'!D2276,Disbursements!$D:$D,'Live Collections'!F2276))</f>
        <v>210000</v>
      </c>
      <c r="S2276" s="304">
        <f>IF(O2276&lt;=IF($O2276=0,0,SUMIFS(Disbursements!$W:$W,Disbursements!$B:$B,'Live Collections'!D1238,Disbursements!$D:$D,'Live Collections'!F1238)),O2276,IF($O2276=0,0,SUMIFS(Disbursements!$W:$W,Disbursements!$B:$B,'Live Collections'!D1238,Disbursements!$D:$D,'Live Collections'!F1238)))</f>
        <v>50000</v>
      </c>
      <c r="T2276" s="304">
        <f t="shared" si="108"/>
        <v>0</v>
      </c>
      <c r="U2276" s="52"/>
      <c r="V2276" s="34"/>
      <c r="W2276" s="408"/>
    </row>
    <row r="2277" spans="1:23" ht="12.75" customHeight="1" x14ac:dyDescent="0.2">
      <c r="A2277" s="257">
        <v>2290</v>
      </c>
      <c r="B2277" s="44">
        <v>44543</v>
      </c>
      <c r="C2277" s="44">
        <f t="shared" si="107"/>
        <v>44543</v>
      </c>
      <c r="D2277" s="374">
        <v>97</v>
      </c>
      <c r="E2277" s="291" t="str">
        <f>IFERROR(VLOOKUP($D2277,'Clients-Live'!$A:$C,3,0),"")</f>
        <v>DRANDUA JOB CHRISPUS</v>
      </c>
      <c r="F2277" s="291">
        <f>IFERROR(INDEX(Disbursements!$D:$D,MATCH('Live Collections'!G2277,Disbursements!$C:$C,0)),"")</f>
        <v>3</v>
      </c>
      <c r="G2277" s="34">
        <v>202</v>
      </c>
      <c r="H2277" s="34">
        <v>3904</v>
      </c>
      <c r="I2277" s="34" t="s">
        <v>1359</v>
      </c>
      <c r="J2277" s="48"/>
      <c r="K2277" s="48"/>
      <c r="L2277" s="48"/>
      <c r="M2277" s="48"/>
      <c r="N2277" s="59"/>
      <c r="O2277" s="59">
        <v>2000000</v>
      </c>
      <c r="P2277" s="59"/>
      <c r="Q2277" s="268">
        <f t="shared" si="106"/>
        <v>2000000</v>
      </c>
      <c r="R2277" s="61">
        <f>IF(O2277=0,0,SUMIFS(Disbursements!$T:$T,Disbursements!$B:$B,'Live Collections'!D2277,Disbursements!$D:$D,'Live Collections'!F2277))</f>
        <v>3834000</v>
      </c>
      <c r="S2277" s="304">
        <v>1283666.6666666663</v>
      </c>
      <c r="T2277" s="304">
        <f t="shared" si="108"/>
        <v>716333.33333333372</v>
      </c>
      <c r="U2277" s="52"/>
      <c r="V2277" s="34"/>
      <c r="W2277" s="408"/>
    </row>
    <row r="2278" spans="1:23" ht="12.75" customHeight="1" x14ac:dyDescent="0.2">
      <c r="A2278" s="257">
        <v>2276</v>
      </c>
      <c r="B2278" s="44">
        <v>44543</v>
      </c>
      <c r="C2278" s="44">
        <f t="shared" si="107"/>
        <v>44543</v>
      </c>
      <c r="D2278" s="374">
        <v>103</v>
      </c>
      <c r="E2278" s="291" t="str">
        <f>IFERROR(VLOOKUP($D2278,'Clients-Live'!$A:$C,3,0),"")</f>
        <v>CHANDIRU ZABIB</v>
      </c>
      <c r="F2278" s="291">
        <f>IFERROR(INDEX(Disbursements!$D:$D,MATCH('Live Collections'!G2278,Disbursements!$C:$C,0)),"")</f>
        <v>2</v>
      </c>
      <c r="G2278" s="34">
        <v>266</v>
      </c>
      <c r="H2278" s="34">
        <v>3737</v>
      </c>
      <c r="I2278" s="34" t="s">
        <v>1358</v>
      </c>
      <c r="J2278" s="48"/>
      <c r="K2278" s="48"/>
      <c r="L2278" s="48"/>
      <c r="M2278" s="48"/>
      <c r="N2278" s="59"/>
      <c r="O2278" s="59">
        <v>100000</v>
      </c>
      <c r="P2278" s="59"/>
      <c r="Q2278" s="268">
        <f t="shared" si="106"/>
        <v>100000</v>
      </c>
      <c r="R2278" s="61">
        <f>IF(O2278=0,0,SUMIFS(Disbursements!$T:$T,Disbursements!$B:$B,'Live Collections'!D2278,Disbursements!$D:$D,'Live Collections'!F2278))</f>
        <v>150000</v>
      </c>
      <c r="S2278" s="304"/>
      <c r="T2278" s="304">
        <f t="shared" si="108"/>
        <v>100000</v>
      </c>
      <c r="U2278" s="52"/>
      <c r="V2278" s="34"/>
      <c r="W2278" s="408"/>
    </row>
    <row r="2279" spans="1:23" ht="12.75" customHeight="1" x14ac:dyDescent="0.2">
      <c r="A2279" s="257">
        <v>2286</v>
      </c>
      <c r="B2279" s="44">
        <v>44543</v>
      </c>
      <c r="C2279" s="44">
        <f t="shared" si="107"/>
        <v>44543</v>
      </c>
      <c r="D2279" s="374">
        <v>139</v>
      </c>
      <c r="E2279" s="291" t="str">
        <f>IFERROR(VLOOKUP($D2279,'Clients-Live'!$A:$C,3,0),"")</f>
        <v xml:space="preserve">DRICHIRU MAIMUNA </v>
      </c>
      <c r="F2279" s="291">
        <f>IFERROR(INDEX(Disbursements!$D:$D,MATCH('Live Collections'!G2279,Disbursements!$C:$C,0)),"")</f>
        <v>1</v>
      </c>
      <c r="G2279" s="34">
        <v>123</v>
      </c>
      <c r="H2279" s="34">
        <v>3901</v>
      </c>
      <c r="I2279" s="34" t="s">
        <v>1359</v>
      </c>
      <c r="J2279" s="48"/>
      <c r="K2279" s="48"/>
      <c r="L2279" s="48"/>
      <c r="M2279" s="48"/>
      <c r="N2279" s="59"/>
      <c r="O2279" s="59">
        <v>40000</v>
      </c>
      <c r="P2279" s="59"/>
      <c r="Q2279" s="268">
        <f t="shared" si="106"/>
        <v>40000</v>
      </c>
      <c r="R2279" s="61">
        <f>IF(O2279=0,0,SUMIFS(Disbursements!$T:$T,Disbursements!$B:$B,'Live Collections'!D2279,Disbursements!$D:$D,'Live Collections'!F2279))</f>
        <v>115000</v>
      </c>
      <c r="S2279" s="64">
        <v>30000</v>
      </c>
      <c r="T2279" s="304">
        <f t="shared" si="108"/>
        <v>10000</v>
      </c>
      <c r="U2279" s="52"/>
      <c r="V2279" s="34"/>
      <c r="W2279" s="408"/>
    </row>
    <row r="2280" spans="1:23" ht="12.75" customHeight="1" x14ac:dyDescent="0.2">
      <c r="A2280" s="257">
        <v>2275</v>
      </c>
      <c r="B2280" s="44">
        <v>44543</v>
      </c>
      <c r="C2280" s="44">
        <f t="shared" si="107"/>
        <v>44543</v>
      </c>
      <c r="D2280" s="374">
        <v>160</v>
      </c>
      <c r="E2280" s="291" t="str">
        <f>IFERROR(VLOOKUP($D2280,'Clients-Live'!$A:$C,3,0),"")</f>
        <v>CHANDI ZANABU</v>
      </c>
      <c r="F2280" s="291">
        <f>IFERROR(INDEX(Disbursements!$D:$D,MATCH('Live Collections'!G2280,Disbursements!$C:$C,0)),"")</f>
        <v>2</v>
      </c>
      <c r="G2280" s="34">
        <v>267</v>
      </c>
      <c r="H2280" s="34">
        <v>3738</v>
      </c>
      <c r="I2280" s="34" t="s">
        <v>1358</v>
      </c>
      <c r="J2280" s="48"/>
      <c r="K2280" s="48"/>
      <c r="L2280" s="48"/>
      <c r="M2280" s="48"/>
      <c r="N2280" s="59"/>
      <c r="O2280" s="59">
        <v>100000</v>
      </c>
      <c r="P2280" s="59"/>
      <c r="Q2280" s="268">
        <f t="shared" si="106"/>
        <v>100000</v>
      </c>
      <c r="R2280" s="61">
        <f>IF(O2280=0,0,SUMIFS(Disbursements!$T:$T,Disbursements!$B:$B,'Live Collections'!D2280,Disbursements!$D:$D,'Live Collections'!F2280))</f>
        <v>150000</v>
      </c>
      <c r="S2280" s="304"/>
      <c r="T2280" s="304">
        <f t="shared" si="108"/>
        <v>100000</v>
      </c>
      <c r="U2280" s="52"/>
      <c r="V2280" s="34"/>
      <c r="W2280" s="408"/>
    </row>
    <row r="2281" spans="1:23" ht="12.75" customHeight="1" x14ac:dyDescent="0.2">
      <c r="A2281" s="257">
        <v>2291</v>
      </c>
      <c r="B2281" s="44">
        <v>44543</v>
      </c>
      <c r="C2281" s="44">
        <f t="shared" si="107"/>
        <v>44543</v>
      </c>
      <c r="D2281" s="374">
        <v>177</v>
      </c>
      <c r="E2281" s="291" t="str">
        <f>IFERROR(VLOOKUP($D2281,'Clients-Live'!$A:$C,3,0),"")</f>
        <v>EFIT GIFT</v>
      </c>
      <c r="F2281" s="291">
        <f>IFERROR(INDEX(Disbursements!$D:$D,MATCH('Live Collections'!G2281,Disbursements!$C:$C,0)),"")</f>
        <v>1</v>
      </c>
      <c r="G2281" s="34">
        <v>183</v>
      </c>
      <c r="H2281" s="34">
        <v>3906</v>
      </c>
      <c r="I2281" s="34" t="s">
        <v>1358</v>
      </c>
      <c r="J2281" s="48"/>
      <c r="K2281" s="48"/>
      <c r="L2281" s="48"/>
      <c r="M2281" s="48"/>
      <c r="N2281" s="59"/>
      <c r="O2281" s="59">
        <v>50000</v>
      </c>
      <c r="P2281" s="59"/>
      <c r="Q2281" s="268">
        <f t="shared" si="106"/>
        <v>50000</v>
      </c>
      <c r="R2281" s="61">
        <f>IF(O2281=0,0,SUMIFS(Disbursements!$T:$T,Disbursements!$B:$B,'Live Collections'!D2281,Disbursements!$D:$D,'Live Collections'!F2281))</f>
        <v>109000</v>
      </c>
      <c r="S2281" s="304">
        <f>IF(O2281&lt;=IF($O2281=0,0,SUMIFS(Disbursements!$W:$W,Disbursements!$B:$B,'Live Collections'!D2176,Disbursements!$D:$D,'Live Collections'!F2176)),O2281,IF($O2281=0,0,SUMIFS(Disbursements!$W:$W,Disbursements!$B:$B,'Live Collections'!D2176,Disbursements!$D:$D,'Live Collections'!F2176)))</f>
        <v>0</v>
      </c>
      <c r="T2281" s="304">
        <f t="shared" si="108"/>
        <v>50000</v>
      </c>
      <c r="U2281" s="52"/>
      <c r="V2281" s="34"/>
      <c r="W2281" s="408"/>
    </row>
    <row r="2282" spans="1:23" ht="12.75" customHeight="1" x14ac:dyDescent="0.2">
      <c r="A2282" s="257">
        <v>2282</v>
      </c>
      <c r="B2282" s="44">
        <v>44543</v>
      </c>
      <c r="C2282" s="44">
        <f t="shared" si="107"/>
        <v>44543</v>
      </c>
      <c r="D2282" s="374">
        <v>205</v>
      </c>
      <c r="E2282" s="291" t="str">
        <f>IFERROR(VLOOKUP($D2282,'Clients-Live'!$A:$C,3,0),"")</f>
        <v>OPIRU ALICE</v>
      </c>
      <c r="F2282" s="291">
        <f>IFERROR(INDEX(Disbursements!$D:$D,MATCH('Live Collections'!G2282,Disbursements!$C:$C,0)),"")</f>
        <v>1</v>
      </c>
      <c r="G2282" s="34">
        <v>212</v>
      </c>
      <c r="H2282" s="34">
        <v>3741</v>
      </c>
      <c r="I2282" s="34" t="s">
        <v>1359</v>
      </c>
      <c r="J2282" s="48"/>
      <c r="K2282" s="48"/>
      <c r="L2282" s="48"/>
      <c r="M2282" s="48"/>
      <c r="N2282" s="59"/>
      <c r="O2282" s="59">
        <v>170000</v>
      </c>
      <c r="P2282" s="59"/>
      <c r="Q2282" s="268">
        <f t="shared" si="106"/>
        <v>170000</v>
      </c>
      <c r="R2282" s="61">
        <f>IF(O2282=0,0,SUMIFS(Disbursements!$T:$T,Disbursements!$B:$B,'Live Collections'!D2282,Disbursements!$D:$D,'Live Collections'!F2282))</f>
        <v>30000</v>
      </c>
      <c r="S2282" s="304"/>
      <c r="T2282" s="304">
        <f t="shared" si="108"/>
        <v>170000</v>
      </c>
      <c r="U2282" s="52"/>
      <c r="V2282" s="34"/>
      <c r="W2282" s="408"/>
    </row>
    <row r="2283" spans="1:23" ht="12.75" customHeight="1" x14ac:dyDescent="0.2">
      <c r="A2283" s="257">
        <v>2283</v>
      </c>
      <c r="B2283" s="44">
        <v>44543</v>
      </c>
      <c r="C2283" s="44">
        <f t="shared" si="107"/>
        <v>44543</v>
      </c>
      <c r="D2283" s="374">
        <v>205</v>
      </c>
      <c r="E2283" s="291" t="str">
        <f>IFERROR(VLOOKUP($D2283,'Clients-Live'!$A:$C,3,0),"")</f>
        <v>OPIRU ALICE</v>
      </c>
      <c r="F2283" s="291">
        <f>IFERROR(INDEX(Disbursements!$D:$D,MATCH('Live Collections'!G2283,Disbursements!$C:$C,0)),"")</f>
        <v>1</v>
      </c>
      <c r="G2283" s="34">
        <v>212</v>
      </c>
      <c r="H2283" s="34">
        <v>1488</v>
      </c>
      <c r="I2283" s="34" t="s">
        <v>1359</v>
      </c>
      <c r="J2283" s="48"/>
      <c r="K2283" s="48"/>
      <c r="L2283" s="48"/>
      <c r="M2283" s="48"/>
      <c r="N2283" s="59"/>
      <c r="O2283" s="59"/>
      <c r="P2283" s="59">
        <v>-40000</v>
      </c>
      <c r="Q2283" s="268">
        <f t="shared" si="106"/>
        <v>-40000</v>
      </c>
      <c r="R2283" s="61">
        <f>IF(O2283=0,0,SUMIFS(Disbursements!$T:$T,Disbursements!$B:$B,'Live Collections'!D2283,Disbursements!$D:$D,'Live Collections'!F2283))</f>
        <v>0</v>
      </c>
      <c r="S2283" s="304">
        <f>IF(O2283&lt;=IF($O2283=0,0,SUMIFS(Disbursements!$W:$W,Disbursements!$B:$B,'Live Collections'!D2427,Disbursements!$D:$D,'Live Collections'!F2427)),O2283,IF($O2283=0,0,SUMIFS(Disbursements!$W:$W,Disbursements!$B:$B,'Live Collections'!D2427,Disbursements!$D:$D,'Live Collections'!F2427)))</f>
        <v>0</v>
      </c>
      <c r="T2283" s="304">
        <f t="shared" si="108"/>
        <v>0</v>
      </c>
      <c r="U2283" s="52"/>
      <c r="V2283" s="34"/>
      <c r="W2283" s="408"/>
    </row>
    <row r="2284" spans="1:23" ht="12.75" customHeight="1" x14ac:dyDescent="0.2">
      <c r="A2284" s="257">
        <v>2284</v>
      </c>
      <c r="B2284" s="44">
        <v>44543</v>
      </c>
      <c r="C2284" s="44">
        <f t="shared" si="107"/>
        <v>44543</v>
      </c>
      <c r="D2284" s="374">
        <v>205</v>
      </c>
      <c r="E2284" s="291" t="str">
        <f>IFERROR(VLOOKUP($D2284,'Clients-Live'!$A:$C,3,0),"")</f>
        <v>OPIRU ALICE</v>
      </c>
      <c r="F2284" s="291">
        <f>IFERROR(INDEX(Disbursements!$D:$D,MATCH('Live Collections'!G2284,Disbursements!$C:$C,0)),"")</f>
        <v>1</v>
      </c>
      <c r="G2284" s="34">
        <v>212</v>
      </c>
      <c r="H2284" s="34">
        <v>3743</v>
      </c>
      <c r="I2284" s="34" t="s">
        <v>1359</v>
      </c>
      <c r="J2284" s="48"/>
      <c r="K2284" s="48"/>
      <c r="L2284" s="48"/>
      <c r="M2284" s="48"/>
      <c r="N2284" s="59"/>
      <c r="O2284" s="59">
        <v>40000</v>
      </c>
      <c r="P2284" s="59"/>
      <c r="Q2284" s="268">
        <f t="shared" si="106"/>
        <v>40000</v>
      </c>
      <c r="R2284" s="61">
        <f>IF(O2284=0,0,SUMIFS(Disbursements!$T:$T,Disbursements!$B:$B,'Live Collections'!D2284,Disbursements!$D:$D,'Live Collections'!F2284))</f>
        <v>30000</v>
      </c>
      <c r="S2284" s="304"/>
      <c r="T2284" s="304">
        <f t="shared" si="108"/>
        <v>40000</v>
      </c>
      <c r="U2284" s="52"/>
      <c r="V2284" s="34"/>
      <c r="W2284" s="408" t="s">
        <v>1920</v>
      </c>
    </row>
    <row r="2285" spans="1:23" ht="12.75" customHeight="1" x14ac:dyDescent="0.2">
      <c r="A2285" s="257">
        <v>2285</v>
      </c>
      <c r="B2285" s="44">
        <v>44543</v>
      </c>
      <c r="C2285" s="44">
        <f t="shared" si="107"/>
        <v>44543</v>
      </c>
      <c r="D2285" s="374">
        <v>205</v>
      </c>
      <c r="E2285" s="291" t="str">
        <f>IFERROR(VLOOKUP($D2285,'Clients-Live'!$A:$C,3,0),"")</f>
        <v>OPIRU ALICE</v>
      </c>
      <c r="F2285" s="291" t="str">
        <f>IFERROR(INDEX(Disbursements!$D:$D,MATCH('Live Collections'!G2285,Disbursements!$C:$C,0)),"")</f>
        <v/>
      </c>
      <c r="G2285" s="34"/>
      <c r="H2285" s="34">
        <v>3744</v>
      </c>
      <c r="I2285" s="34" t="s">
        <v>1359</v>
      </c>
      <c r="J2285" s="48"/>
      <c r="K2285" s="48"/>
      <c r="L2285" s="48">
        <v>10000</v>
      </c>
      <c r="M2285" s="48">
        <v>5000</v>
      </c>
      <c r="N2285" s="59"/>
      <c r="O2285" s="59"/>
      <c r="P2285" s="59"/>
      <c r="Q2285" s="268">
        <f t="shared" si="106"/>
        <v>15000</v>
      </c>
      <c r="R2285" s="61">
        <f>IF(O2285=0,0,SUMIFS(Disbursements!$T:$T,Disbursements!$B:$B,'Live Collections'!D2285,Disbursements!$D:$D,'Live Collections'!F2285))</f>
        <v>0</v>
      </c>
      <c r="S2285" s="304">
        <f>IF(O2285&lt;=IF($O2285=0,0,SUMIFS(Disbursements!$W:$W,Disbursements!$B:$B,'Live Collections'!D2429,Disbursements!$D:$D,'Live Collections'!F2429)),O2285,IF($O2285=0,0,SUMIFS(Disbursements!$W:$W,Disbursements!$B:$B,'Live Collections'!D2429,Disbursements!$D:$D,'Live Collections'!F2429)))</f>
        <v>0</v>
      </c>
      <c r="T2285" s="304">
        <f t="shared" si="108"/>
        <v>0</v>
      </c>
      <c r="U2285" s="52"/>
      <c r="V2285" s="34"/>
      <c r="W2285" s="408"/>
    </row>
    <row r="2286" spans="1:23" ht="12.75" customHeight="1" x14ac:dyDescent="0.2">
      <c r="A2286" s="257">
        <v>2289</v>
      </c>
      <c r="B2286" s="44">
        <v>44543</v>
      </c>
      <c r="C2286" s="44">
        <f t="shared" si="107"/>
        <v>44543</v>
      </c>
      <c r="D2286" s="374">
        <v>209</v>
      </c>
      <c r="E2286" s="291" t="str">
        <f>IFERROR(VLOOKUP($D2286,'Clients-Live'!$A:$C,3,0),"")</f>
        <v>ADUI ISMAIL</v>
      </c>
      <c r="F2286" s="291">
        <f>IFERROR(INDEX(Disbursements!$D:$D,MATCH('Live Collections'!G2286,Disbursements!$C:$C,0)),"")</f>
        <v>1</v>
      </c>
      <c r="G2286" s="34">
        <v>209</v>
      </c>
      <c r="H2286" s="34">
        <v>3905</v>
      </c>
      <c r="I2286" s="34" t="s">
        <v>1357</v>
      </c>
      <c r="J2286" s="48"/>
      <c r="K2286" s="48"/>
      <c r="L2286" s="48"/>
      <c r="M2286" s="48"/>
      <c r="N2286" s="59"/>
      <c r="O2286" s="59">
        <v>135000</v>
      </c>
      <c r="P2286" s="59"/>
      <c r="Q2286" s="268">
        <f t="shared" si="106"/>
        <v>135000</v>
      </c>
      <c r="R2286" s="61">
        <f>IF(O2286=0,0,SUMIFS(Disbursements!$T:$T,Disbursements!$B:$B,'Live Collections'!D2286,Disbursements!$D:$D,'Live Collections'!F2286))</f>
        <v>180000</v>
      </c>
      <c r="S2286" s="304"/>
      <c r="T2286" s="304">
        <f t="shared" si="108"/>
        <v>135000</v>
      </c>
      <c r="U2286" s="52"/>
      <c r="V2286" s="34"/>
      <c r="W2286" s="408"/>
    </row>
    <row r="2287" spans="1:23" ht="12.75" customHeight="1" x14ac:dyDescent="0.2">
      <c r="A2287" s="257">
        <v>2272</v>
      </c>
      <c r="B2287" s="44">
        <v>44543</v>
      </c>
      <c r="C2287" s="44">
        <f t="shared" si="107"/>
        <v>44543</v>
      </c>
      <c r="D2287" s="374">
        <v>213</v>
      </c>
      <c r="E2287" s="291" t="str">
        <f>IFERROR(VLOOKUP($D2287,'Clients-Live'!$A:$C,3,0),"")</f>
        <v>ATIKURU NADIA</v>
      </c>
      <c r="F2287" s="291" t="str">
        <f>IFERROR(INDEX(Disbursements!$D:$D,MATCH('Live Collections'!G2287,Disbursements!$C:$C,0)),"")</f>
        <v/>
      </c>
      <c r="G2287" s="34"/>
      <c r="H2287" s="34">
        <v>3730</v>
      </c>
      <c r="I2287" s="34" t="s">
        <v>1358</v>
      </c>
      <c r="J2287" s="48"/>
      <c r="K2287" s="48"/>
      <c r="L2287" s="48">
        <v>15000</v>
      </c>
      <c r="M2287" s="48">
        <v>5000</v>
      </c>
      <c r="N2287" s="59"/>
      <c r="O2287" s="59"/>
      <c r="P2287" s="59"/>
      <c r="Q2287" s="268">
        <f t="shared" si="106"/>
        <v>20000</v>
      </c>
      <c r="R2287" s="61">
        <f>IF(O2287=0,0,SUMIFS(Disbursements!$T:$T,Disbursements!$B:$B,'Live Collections'!D2287,Disbursements!$D:$D,'Live Collections'!F2287))</f>
        <v>0</v>
      </c>
      <c r="S2287" s="304">
        <f>IF(O2287&lt;=IF($O2287=0,0,SUMIFS(Disbursements!$W:$W,Disbursements!$B:$B,'Live Collections'!D2518,Disbursements!$D:$D,'Live Collections'!F2518)),O2287,IF($O2287=0,0,SUMIFS(Disbursements!$W:$W,Disbursements!$B:$B,'Live Collections'!D2518,Disbursements!$D:$D,'Live Collections'!F2518)))</f>
        <v>0</v>
      </c>
      <c r="T2287" s="304">
        <f t="shared" si="108"/>
        <v>0</v>
      </c>
      <c r="U2287" s="52"/>
      <c r="V2287" s="34"/>
      <c r="W2287" s="408"/>
    </row>
    <row r="2288" spans="1:23" ht="12.75" customHeight="1" x14ac:dyDescent="0.2">
      <c r="A2288" s="257">
        <v>2273</v>
      </c>
      <c r="B2288" s="44">
        <v>44543</v>
      </c>
      <c r="C2288" s="44">
        <f t="shared" si="107"/>
        <v>44543</v>
      </c>
      <c r="D2288" s="374">
        <v>213</v>
      </c>
      <c r="E2288" s="291" t="str">
        <f>IFERROR(VLOOKUP($D2288,'Clients-Live'!$A:$C,3,0),"")</f>
        <v>ATIKURU NADIA</v>
      </c>
      <c r="F2288" s="291">
        <f>IFERROR(INDEX(Disbursements!$D:$D,MATCH('Live Collections'!G2288,Disbursements!$C:$C,0)),"")</f>
        <v>1</v>
      </c>
      <c r="G2288" s="34">
        <v>208</v>
      </c>
      <c r="H2288" s="34">
        <v>1487</v>
      </c>
      <c r="I2288" s="34" t="s">
        <v>1358</v>
      </c>
      <c r="J2288" s="48"/>
      <c r="K2288" s="48"/>
      <c r="L2288" s="48"/>
      <c r="M2288" s="48"/>
      <c r="N2288" s="59"/>
      <c r="O2288" s="59"/>
      <c r="P2288" s="59">
        <v>-50000</v>
      </c>
      <c r="Q2288" s="268">
        <f t="shared" si="106"/>
        <v>-50000</v>
      </c>
      <c r="R2288" s="61">
        <f>IF(O2288=0,0,SUMIFS(Disbursements!$T:$T,Disbursements!$B:$B,'Live Collections'!D2288,Disbursements!$D:$D,'Live Collections'!F2288))</f>
        <v>0</v>
      </c>
      <c r="S2288" s="304">
        <f>IF(O2288&lt;=IF($O2288=0,0,SUMIFS(Disbursements!$W:$W,Disbursements!$B:$B,'Live Collections'!D2519,Disbursements!$D:$D,'Live Collections'!F2519)),O2288,IF($O2288=0,0,SUMIFS(Disbursements!$W:$W,Disbursements!$B:$B,'Live Collections'!D2519,Disbursements!$D:$D,'Live Collections'!F2519)))</f>
        <v>0</v>
      </c>
      <c r="T2288" s="304">
        <f t="shared" si="108"/>
        <v>0</v>
      </c>
      <c r="U2288" s="52"/>
      <c r="V2288" s="34"/>
      <c r="W2288" s="408"/>
    </row>
    <row r="2289" spans="1:23" ht="12.75" customHeight="1" x14ac:dyDescent="0.2">
      <c r="A2289" s="257">
        <v>2274</v>
      </c>
      <c r="B2289" s="44">
        <v>44543</v>
      </c>
      <c r="C2289" s="44">
        <f t="shared" si="107"/>
        <v>44543</v>
      </c>
      <c r="D2289" s="374">
        <v>213</v>
      </c>
      <c r="E2289" s="291" t="str">
        <f>IFERROR(VLOOKUP($D2289,'Clients-Live'!$A:$C,3,0),"")</f>
        <v>ATIKURU NADIA</v>
      </c>
      <c r="F2289" s="291">
        <f>IFERROR(INDEX(Disbursements!$D:$D,MATCH('Live Collections'!G2289,Disbursements!$C:$C,0)),"")</f>
        <v>1</v>
      </c>
      <c r="G2289" s="34">
        <v>208</v>
      </c>
      <c r="H2289" s="34">
        <v>3729</v>
      </c>
      <c r="I2289" s="34" t="s">
        <v>1358</v>
      </c>
      <c r="J2289" s="48"/>
      <c r="K2289" s="48"/>
      <c r="L2289" s="48"/>
      <c r="M2289" s="48"/>
      <c r="N2289" s="59"/>
      <c r="O2289" s="59">
        <v>50000</v>
      </c>
      <c r="P2289" s="59"/>
      <c r="Q2289" s="268">
        <f t="shared" si="106"/>
        <v>50000</v>
      </c>
      <c r="R2289" s="61">
        <f>IF(O2289=0,0,SUMIFS(Disbursements!$T:$T,Disbursements!$B:$B,'Live Collections'!D2289,Disbursements!$D:$D,'Live Collections'!F2289))</f>
        <v>150000</v>
      </c>
      <c r="S2289" s="304"/>
      <c r="T2289" s="304">
        <f t="shared" si="108"/>
        <v>50000</v>
      </c>
      <c r="U2289" s="52"/>
      <c r="V2289" s="34"/>
      <c r="W2289" s="408" t="s">
        <v>1919</v>
      </c>
    </row>
    <row r="2290" spans="1:23" ht="12.75" customHeight="1" x14ac:dyDescent="0.2">
      <c r="A2290" s="257">
        <v>2269</v>
      </c>
      <c r="B2290" s="44">
        <v>44543</v>
      </c>
      <c r="C2290" s="44">
        <f t="shared" si="107"/>
        <v>44543</v>
      </c>
      <c r="D2290" s="374">
        <v>218</v>
      </c>
      <c r="E2290" s="291" t="str">
        <f>IFERROR(VLOOKUP($D2290,'Clients-Live'!$A:$C,3,0),"")</f>
        <v>BUSURA OMAR</v>
      </c>
      <c r="F2290" s="291">
        <f>IFERROR(INDEX(Disbursements!$D:$D,MATCH('Live Collections'!G2290,Disbursements!$C:$C,0)),"")</f>
        <v>1</v>
      </c>
      <c r="G2290" s="34">
        <v>223</v>
      </c>
      <c r="H2290" s="34">
        <v>3728</v>
      </c>
      <c r="I2290" s="34" t="s">
        <v>1357</v>
      </c>
      <c r="J2290" s="48"/>
      <c r="K2290" s="48"/>
      <c r="L2290" s="48"/>
      <c r="M2290" s="48"/>
      <c r="N2290" s="59"/>
      <c r="O2290" s="59">
        <v>250000</v>
      </c>
      <c r="P2290" s="59"/>
      <c r="Q2290" s="268">
        <f t="shared" si="106"/>
        <v>250000</v>
      </c>
      <c r="R2290" s="61">
        <f>IF(O2290=0,0,SUMIFS(Disbursements!$T:$T,Disbursements!$B:$B,'Live Collections'!D2290,Disbursements!$D:$D,'Live Collections'!F2290))</f>
        <v>325000</v>
      </c>
      <c r="S2290" s="304">
        <f>IF(O2290&lt;=IF($O2290=0,0,SUMIFS(Disbursements!$W:$W,Disbursements!$B:$B,'Live Collections'!D2578,Disbursements!$D:$D,'Live Collections'!F2578)),O2290,IF($O2290=0,0,SUMIFS(Disbursements!$W:$W,Disbursements!$B:$B,'Live Collections'!D2578,Disbursements!$D:$D,'Live Collections'!F2578)))</f>
        <v>0</v>
      </c>
      <c r="T2290" s="304">
        <f t="shared" si="108"/>
        <v>250000</v>
      </c>
      <c r="U2290" s="52"/>
      <c r="V2290" s="34"/>
      <c r="W2290" s="408"/>
    </row>
    <row r="2291" spans="1:23" ht="12.75" customHeight="1" x14ac:dyDescent="0.2">
      <c r="A2291" s="257">
        <v>2279</v>
      </c>
      <c r="B2291" s="44">
        <v>44543</v>
      </c>
      <c r="C2291" s="44">
        <f t="shared" si="107"/>
        <v>44543</v>
      </c>
      <c r="D2291" s="374">
        <v>222</v>
      </c>
      <c r="E2291" s="291" t="str">
        <f>IFERROR(VLOOKUP($D2291,'Clients-Live'!$A:$C,3,0),"")</f>
        <v>ITITU ZAIDA</v>
      </c>
      <c r="F2291" s="291">
        <f>IFERROR(INDEX(Disbursements!$D:$D,MATCH('Live Collections'!G2291,Disbursements!$C:$C,0)),"")</f>
        <v>1</v>
      </c>
      <c r="G2291" s="34">
        <v>249</v>
      </c>
      <c r="H2291" s="34">
        <v>3710</v>
      </c>
      <c r="I2291" s="34" t="s">
        <v>1358</v>
      </c>
      <c r="J2291" s="48"/>
      <c r="K2291" s="48"/>
      <c r="L2291" s="48"/>
      <c r="M2291" s="48"/>
      <c r="N2291" s="59"/>
      <c r="O2291" s="59">
        <v>130000</v>
      </c>
      <c r="P2291" s="59"/>
      <c r="Q2291" s="268">
        <f t="shared" ref="Q2291:Q2353" si="109">SUM(J2291:P2291)</f>
        <v>130000</v>
      </c>
      <c r="R2291" s="61">
        <f>IF(O2291=0,0,SUMIFS(Disbursements!$T:$T,Disbursements!$B:$B,'Live Collections'!D2291,Disbursements!$D:$D,'Live Collections'!F2291))</f>
        <v>180000</v>
      </c>
      <c r="S2291" s="304">
        <f>IF(O2291&lt;=IF($O2291=0,0,SUMIFS(Disbursements!$W:$W,Disbursements!$B:$B,'Live Collections'!D2615,Disbursements!$D:$D,'Live Collections'!F2615)),O2291,IF($O2291=0,0,SUMIFS(Disbursements!$W:$W,Disbursements!$B:$B,'Live Collections'!D2615,Disbursements!$D:$D,'Live Collections'!F2615)))</f>
        <v>8750</v>
      </c>
      <c r="T2291" s="304">
        <f t="shared" si="108"/>
        <v>121250</v>
      </c>
      <c r="U2291" s="52"/>
      <c r="V2291" s="34"/>
      <c r="W2291" s="408"/>
    </row>
    <row r="2292" spans="1:23" ht="12.75" customHeight="1" x14ac:dyDescent="0.2">
      <c r="A2292" s="257">
        <v>2266</v>
      </c>
      <c r="B2292" s="44">
        <v>44543</v>
      </c>
      <c r="C2292" s="44">
        <f t="shared" si="107"/>
        <v>44543</v>
      </c>
      <c r="D2292" s="374">
        <v>228</v>
      </c>
      <c r="E2292" s="291" t="str">
        <f>IFERROR(VLOOKUP($D2292,'Clients-Live'!$A:$C,3,0),"")</f>
        <v>DADA ISAAC</v>
      </c>
      <c r="F2292" s="291">
        <f>IFERROR(INDEX(Disbursements!$D:$D,MATCH('Live Collections'!G2292,Disbursements!$C:$C,0)),"")</f>
        <v>3</v>
      </c>
      <c r="G2292" s="34">
        <v>344</v>
      </c>
      <c r="H2292" s="34">
        <v>1394</v>
      </c>
      <c r="I2292" s="34" t="s">
        <v>1358</v>
      </c>
      <c r="J2292" s="48"/>
      <c r="K2292" s="48"/>
      <c r="L2292" s="48"/>
      <c r="M2292" s="48"/>
      <c r="N2292" s="59"/>
      <c r="O2292" s="59"/>
      <c r="P2292" s="59">
        <v>-100000</v>
      </c>
      <c r="Q2292" s="268">
        <f t="shared" si="109"/>
        <v>-100000</v>
      </c>
      <c r="R2292" s="61">
        <f>IF(O2292=0,0,SUMIFS(Disbursements!$T:$T,Disbursements!$B:$B,'Live Collections'!D2292,Disbursements!$D:$D,'Live Collections'!F2292))</f>
        <v>0</v>
      </c>
      <c r="S2292" s="304">
        <f>IF(O2292&lt;=IF($O2292=0,0,SUMIFS(Disbursements!$W:$W,Disbursements!$B:$B,'Live Collections'!D2652,Disbursements!$D:$D,'Live Collections'!F2652)),O2292,IF($O2292=0,0,SUMIFS(Disbursements!$W:$W,Disbursements!$B:$B,'Live Collections'!D2652,Disbursements!$D:$D,'Live Collections'!F2652)))</f>
        <v>0</v>
      </c>
      <c r="T2292" s="304">
        <f t="shared" si="108"/>
        <v>0</v>
      </c>
      <c r="U2292" s="52"/>
      <c r="V2292" s="34"/>
      <c r="W2292" s="408"/>
    </row>
    <row r="2293" spans="1:23" ht="12.75" customHeight="1" x14ac:dyDescent="0.2">
      <c r="A2293" s="257">
        <v>2267</v>
      </c>
      <c r="B2293" s="44">
        <v>44543</v>
      </c>
      <c r="C2293" s="44">
        <f t="shared" si="107"/>
        <v>44543</v>
      </c>
      <c r="D2293" s="374">
        <v>228</v>
      </c>
      <c r="E2293" s="291" t="str">
        <f>IFERROR(VLOOKUP($D2293,'Clients-Live'!$A:$C,3,0),"")</f>
        <v>DADA ISAAC</v>
      </c>
      <c r="F2293" s="291">
        <f>IFERROR(INDEX(Disbursements!$D:$D,MATCH('Live Collections'!G2293,Disbursements!$C:$C,0)),"")</f>
        <v>3</v>
      </c>
      <c r="G2293" s="34">
        <v>344</v>
      </c>
      <c r="H2293" s="34">
        <v>3732</v>
      </c>
      <c r="I2293" s="34" t="s">
        <v>1358</v>
      </c>
      <c r="J2293" s="48"/>
      <c r="K2293" s="48"/>
      <c r="L2293" s="48"/>
      <c r="M2293" s="48"/>
      <c r="N2293" s="59"/>
      <c r="O2293" s="59">
        <v>100000</v>
      </c>
      <c r="P2293" s="59"/>
      <c r="Q2293" s="268">
        <f t="shared" si="109"/>
        <v>100000</v>
      </c>
      <c r="R2293" s="61">
        <f>IF(O2293=0,0,SUMIFS(Disbursements!$T:$T,Disbursements!$B:$B,'Live Collections'!D2293,Disbursements!$D:$D,'Live Collections'!F2293))</f>
        <v>1050000</v>
      </c>
      <c r="S2293" s="304">
        <f>IF(O2293&lt;=IF($O2293=0,0,SUMIFS(Disbursements!$W:$W,Disbursements!$B:$B,'Live Collections'!D2653,Disbursements!$D:$D,'Live Collections'!F2653)),O2293,IF($O2293=0,0,SUMIFS(Disbursements!$W:$W,Disbursements!$B:$B,'Live Collections'!D2653,Disbursements!$D:$D,'Live Collections'!F2653)))</f>
        <v>20000</v>
      </c>
      <c r="T2293" s="304">
        <f t="shared" si="108"/>
        <v>80000</v>
      </c>
      <c r="U2293" s="52"/>
      <c r="V2293" s="34"/>
      <c r="W2293" s="408" t="s">
        <v>1917</v>
      </c>
    </row>
    <row r="2294" spans="1:23" ht="12.75" customHeight="1" x14ac:dyDescent="0.2">
      <c r="A2294" s="257">
        <v>2268</v>
      </c>
      <c r="B2294" s="44">
        <v>44543</v>
      </c>
      <c r="C2294" s="44">
        <f t="shared" si="107"/>
        <v>44543</v>
      </c>
      <c r="D2294" s="374">
        <v>228</v>
      </c>
      <c r="E2294" s="291" t="str">
        <f>IFERROR(VLOOKUP($D2294,'Clients-Live'!$A:$C,3,0),"")</f>
        <v>DADA ISAAC</v>
      </c>
      <c r="F2294" s="291">
        <f>IFERROR(INDEX(Disbursements!$D:$D,MATCH('Live Collections'!G2294,Disbursements!$C:$C,0)),"")</f>
        <v>3</v>
      </c>
      <c r="G2294" s="34">
        <v>344</v>
      </c>
      <c r="H2294" s="34">
        <v>3731</v>
      </c>
      <c r="I2294" s="34" t="s">
        <v>1358</v>
      </c>
      <c r="J2294" s="48"/>
      <c r="K2294" s="48"/>
      <c r="L2294" s="48"/>
      <c r="M2294" s="48"/>
      <c r="N2294" s="59"/>
      <c r="O2294" s="59">
        <v>950000</v>
      </c>
      <c r="P2294" s="59"/>
      <c r="Q2294" s="268">
        <f t="shared" si="109"/>
        <v>950000</v>
      </c>
      <c r="R2294" s="61">
        <f>IF(O2294=0,0,SUMIFS(Disbursements!$T:$T,Disbursements!$B:$B,'Live Collections'!D2294,Disbursements!$D:$D,'Live Collections'!F2294))</f>
        <v>1050000</v>
      </c>
      <c r="S2294" s="64">
        <v>30000</v>
      </c>
      <c r="T2294" s="304">
        <f t="shared" si="108"/>
        <v>920000</v>
      </c>
      <c r="U2294" s="52"/>
      <c r="V2294" s="34"/>
      <c r="W2294" s="408" t="s">
        <v>2086</v>
      </c>
    </row>
    <row r="2295" spans="1:23" ht="12.75" customHeight="1" x14ac:dyDescent="0.2">
      <c r="A2295" s="257">
        <v>2270</v>
      </c>
      <c r="B2295" s="44">
        <v>44543</v>
      </c>
      <c r="C2295" s="44">
        <f t="shared" si="107"/>
        <v>44543</v>
      </c>
      <c r="D2295" s="374">
        <v>228</v>
      </c>
      <c r="E2295" s="291" t="str">
        <f>IFERROR(VLOOKUP($D2295,'Clients-Live'!$A:$C,3,0),"")</f>
        <v>DADA ISAAC</v>
      </c>
      <c r="F2295" s="291" t="str">
        <f>IFERROR(INDEX(Disbursements!$D:$D,MATCH('Live Collections'!G2295,Disbursements!$C:$C,0)),"")</f>
        <v/>
      </c>
      <c r="G2295" s="34"/>
      <c r="H2295" s="34">
        <v>3733</v>
      </c>
      <c r="I2295" s="34" t="s">
        <v>1358</v>
      </c>
      <c r="J2295" s="48"/>
      <c r="K2295" s="48"/>
      <c r="L2295" s="48">
        <v>20000</v>
      </c>
      <c r="M2295" s="48">
        <v>5000</v>
      </c>
      <c r="N2295" s="59"/>
      <c r="O2295" s="59"/>
      <c r="P2295" s="59"/>
      <c r="Q2295" s="268">
        <f t="shared" si="109"/>
        <v>25000</v>
      </c>
      <c r="R2295" s="61">
        <f>IF(O2295=0,0,SUMIFS(Disbursements!$T:$T,Disbursements!$B:$B,'Live Collections'!D2295,Disbursements!$D:$D,'Live Collections'!F2295))</f>
        <v>0</v>
      </c>
      <c r="S2295" s="304">
        <f>IF(O2295&lt;=IF($O2295=0,0,SUMIFS(Disbursements!$W:$W,Disbursements!$B:$B,'Live Collections'!D2655,Disbursements!$D:$D,'Live Collections'!F2655)),O2295,IF($O2295=0,0,SUMIFS(Disbursements!$W:$W,Disbursements!$B:$B,'Live Collections'!D2655,Disbursements!$D:$D,'Live Collections'!F2655)))</f>
        <v>0</v>
      </c>
      <c r="T2295" s="304">
        <f t="shared" si="108"/>
        <v>0</v>
      </c>
      <c r="U2295" s="52"/>
      <c r="V2295" s="34"/>
      <c r="W2295" s="408"/>
    </row>
    <row r="2296" spans="1:23" ht="12.75" customHeight="1" x14ac:dyDescent="0.2">
      <c r="A2296" s="257">
        <v>2271</v>
      </c>
      <c r="B2296" s="44">
        <v>44543</v>
      </c>
      <c r="C2296" s="44">
        <f t="shared" si="107"/>
        <v>44543</v>
      </c>
      <c r="D2296" s="374">
        <v>228</v>
      </c>
      <c r="E2296" s="291" t="str">
        <f>IFERROR(VLOOKUP($D2296,'Clients-Live'!$A:$C,3,0),"")</f>
        <v>DADA ISAAC</v>
      </c>
      <c r="F2296" s="291">
        <f>IFERROR(INDEX(Disbursements!$D:$D,MATCH('Live Collections'!G2296,Disbursements!$C:$C,0)),"")</f>
        <v>4</v>
      </c>
      <c r="G2296" s="34">
        <v>369</v>
      </c>
      <c r="H2296" s="34">
        <v>3735</v>
      </c>
      <c r="I2296" s="34" t="s">
        <v>1358</v>
      </c>
      <c r="J2296" s="48"/>
      <c r="K2296" s="48"/>
      <c r="L2296" s="48"/>
      <c r="M2296" s="48"/>
      <c r="N2296" s="59"/>
      <c r="O2296" s="59"/>
      <c r="P2296" s="59">
        <v>200000</v>
      </c>
      <c r="Q2296" s="268">
        <f t="shared" si="109"/>
        <v>200000</v>
      </c>
      <c r="R2296" s="61">
        <f>IF(O2296=0,0,SUMIFS(Disbursements!$T:$T,Disbursements!$B:$B,'Live Collections'!D2296,Disbursements!$D:$D,'Live Collections'!F2296))</f>
        <v>0</v>
      </c>
      <c r="S2296" s="304">
        <f>IF(O2296&lt;=IF($O2296=0,0,SUMIFS(Disbursements!$W:$W,Disbursements!$B:$B,'Live Collections'!D3401,Disbursements!$D:$D,'Live Collections'!F3401)),O2296,IF($O2296=0,0,SUMIFS(Disbursements!$W:$W,Disbursements!$B:$B,'Live Collections'!D3401,Disbursements!$D:$D,'Live Collections'!F3401)))</f>
        <v>0</v>
      </c>
      <c r="T2296" s="304">
        <f t="shared" si="108"/>
        <v>0</v>
      </c>
      <c r="U2296" s="52"/>
      <c r="V2296" s="34"/>
      <c r="W2296" s="408"/>
    </row>
    <row r="2297" spans="1:23" ht="12.75" customHeight="1" x14ac:dyDescent="0.2">
      <c r="A2297" s="257">
        <v>2278</v>
      </c>
      <c r="B2297" s="44">
        <v>44543</v>
      </c>
      <c r="C2297" s="44">
        <f t="shared" si="107"/>
        <v>44543</v>
      </c>
      <c r="D2297" s="374">
        <v>264</v>
      </c>
      <c r="E2297" s="291" t="str">
        <f>IFERROR(VLOOKUP($D2297,'Clients-Live'!$A:$C,3,0),"")</f>
        <v>AMORI JOHN BAPTIST</v>
      </c>
      <c r="F2297" s="291">
        <f>IFERROR(INDEX(Disbursements!$D:$D,MATCH('Live Collections'!G2297,Disbursements!$C:$C,0)),"")</f>
        <v>1</v>
      </c>
      <c r="G2297" s="34">
        <v>298</v>
      </c>
      <c r="H2297" s="34">
        <v>3739</v>
      </c>
      <c r="I2297" s="34" t="s">
        <v>1359</v>
      </c>
      <c r="J2297" s="48"/>
      <c r="K2297" s="48"/>
      <c r="L2297" s="48"/>
      <c r="M2297" s="48"/>
      <c r="N2297" s="59"/>
      <c r="O2297" s="59">
        <v>283400</v>
      </c>
      <c r="P2297" s="59"/>
      <c r="Q2297" s="268">
        <f t="shared" si="109"/>
        <v>283400</v>
      </c>
      <c r="R2297" s="61">
        <f>IF(O2297=0,0,SUMIFS(Disbursements!$T:$T,Disbursements!$B:$B,'Live Collections'!D2297,Disbursements!$D:$D,'Live Collections'!F2297))</f>
        <v>1084000</v>
      </c>
      <c r="S2297" s="304">
        <f>IF(O2297&lt;=IF($O2297=0,0,SUMIFS(Disbursements!$W:$W,Disbursements!$B:$B,'Live Collections'!D2912,Disbursements!$D:$D,'Live Collections'!F2912)),O2297,IF($O2297=0,0,SUMIFS(Disbursements!$W:$W,Disbursements!$B:$B,'Live Collections'!D2912,Disbursements!$D:$D,'Live Collections'!F2912)))</f>
        <v>20000</v>
      </c>
      <c r="T2297" s="304">
        <f t="shared" si="108"/>
        <v>263400</v>
      </c>
      <c r="U2297" s="52"/>
      <c r="V2297" s="34"/>
      <c r="W2297" s="408"/>
    </row>
    <row r="2298" spans="1:23" ht="12.75" customHeight="1" x14ac:dyDescent="0.2">
      <c r="A2298" s="257">
        <v>2280</v>
      </c>
      <c r="B2298" s="44">
        <v>44543</v>
      </c>
      <c r="C2298" s="44">
        <f t="shared" si="107"/>
        <v>44543</v>
      </c>
      <c r="D2298" s="374">
        <v>271</v>
      </c>
      <c r="E2298" s="291" t="str">
        <f>IFERROR(VLOOKUP($D2298,'Clients-Live'!$A:$C,3,0),"")</f>
        <v>ALORO SAIDI</v>
      </c>
      <c r="F2298" s="291">
        <f>IFERROR(INDEX(Disbursements!$D:$D,MATCH('Live Collections'!G2298,Disbursements!$C:$C,0)),"")</f>
        <v>1</v>
      </c>
      <c r="G2298" s="34">
        <v>319</v>
      </c>
      <c r="H2298" s="34">
        <v>3740</v>
      </c>
      <c r="I2298" s="34" t="s">
        <v>1357</v>
      </c>
      <c r="J2298" s="48"/>
      <c r="K2298" s="48"/>
      <c r="L2298" s="48"/>
      <c r="M2298" s="48"/>
      <c r="N2298" s="59"/>
      <c r="O2298" s="59">
        <v>100000</v>
      </c>
      <c r="P2298" s="59"/>
      <c r="Q2298" s="268">
        <f t="shared" si="109"/>
        <v>100000</v>
      </c>
      <c r="R2298" s="61">
        <f>IF(O2298=0,0,SUMIFS(Disbursements!$T:$T,Disbursements!$B:$B,'Live Collections'!D2298,Disbursements!$D:$D,'Live Collections'!F2298))</f>
        <v>120000</v>
      </c>
      <c r="S2298" s="304">
        <f>IF(O2298&lt;=IF($O2298=0,0,SUMIFS(Disbursements!$W:$W,Disbursements!$B:$B,'Live Collections'!D2970,Disbursements!$D:$D,'Live Collections'!F2970)),O2298,IF($O2298=0,0,SUMIFS(Disbursements!$W:$W,Disbursements!$B:$B,'Live Collections'!D2970,Disbursements!$D:$D,'Live Collections'!F2970)))</f>
        <v>0</v>
      </c>
      <c r="T2298" s="304">
        <f t="shared" si="108"/>
        <v>100000</v>
      </c>
      <c r="U2298" s="52"/>
      <c r="V2298" s="34"/>
      <c r="W2298" s="408"/>
    </row>
    <row r="2299" spans="1:23" ht="12.75" customHeight="1" x14ac:dyDescent="0.2">
      <c r="A2299" s="257">
        <v>2300</v>
      </c>
      <c r="B2299" s="44">
        <v>44544</v>
      </c>
      <c r="C2299" s="44">
        <f t="shared" si="107"/>
        <v>44544</v>
      </c>
      <c r="D2299" s="374">
        <v>13</v>
      </c>
      <c r="E2299" s="291" t="str">
        <f>IFERROR(VLOOKUP($D2299,'Clients-Live'!$A:$C,3,0),"")</f>
        <v>ALLONE AMOS DAMAI</v>
      </c>
      <c r="F2299" s="291">
        <f>IFERROR(INDEX(Disbursements!$D:$D,MATCH('Live Collections'!G2299,Disbursements!$C:$C,0)),"")</f>
        <v>1</v>
      </c>
      <c r="G2299" s="34">
        <v>67</v>
      </c>
      <c r="H2299" s="34">
        <v>3911</v>
      </c>
      <c r="I2299" s="34" t="s">
        <v>1359</v>
      </c>
      <c r="J2299" s="48"/>
      <c r="K2299" s="48"/>
      <c r="L2299" s="48"/>
      <c r="M2299" s="48"/>
      <c r="N2299" s="59"/>
      <c r="O2299" s="59">
        <v>40000</v>
      </c>
      <c r="P2299" s="59"/>
      <c r="Q2299" s="268">
        <f t="shared" si="109"/>
        <v>40000</v>
      </c>
      <c r="R2299" s="61">
        <f>IF(O2299=0,0,SUMIFS(Disbursements!$T:$T,Disbursements!$B:$B,'Live Collections'!D2299,Disbursements!$D:$D,'Live Collections'!F2299))</f>
        <v>217000</v>
      </c>
      <c r="S2299" s="304">
        <f>IF(O2299&lt;=IF($O2299=0,0,SUMIFS(Disbursements!$W:$W,Disbursements!$B:$B,'Live Collections'!D141,Disbursements!$D:$D,'Live Collections'!F141)),O2299,IF($O2299=0,0,SUMIFS(Disbursements!$W:$W,Disbursements!$B:$B,'Live Collections'!D141,Disbursements!$D:$D,'Live Collections'!F141)))</f>
        <v>40000</v>
      </c>
      <c r="T2299" s="64">
        <v>2000</v>
      </c>
      <c r="U2299" s="52"/>
      <c r="V2299" s="34"/>
      <c r="W2299" s="408" t="s">
        <v>2083</v>
      </c>
    </row>
    <row r="2300" spans="1:23" ht="12.75" customHeight="1" x14ac:dyDescent="0.2">
      <c r="A2300" s="257">
        <v>2302</v>
      </c>
      <c r="B2300" s="44">
        <v>44544</v>
      </c>
      <c r="C2300" s="44">
        <f t="shared" si="107"/>
        <v>44544</v>
      </c>
      <c r="D2300" s="374">
        <v>22</v>
      </c>
      <c r="E2300" s="291" t="str">
        <f>IFERROR(VLOOKUP($D2300,'Clients-Live'!$A:$C,3,0),"")</f>
        <v>DATA ISMAIL FATARI</v>
      </c>
      <c r="F2300" s="291" t="str">
        <f>IFERROR(INDEX(Disbursements!$D:$D,MATCH('Live Collections'!G2300,Disbursements!$C:$C,0)),"")</f>
        <v/>
      </c>
      <c r="G2300" s="34"/>
      <c r="H2300" s="34">
        <v>3927</v>
      </c>
      <c r="I2300" s="34" t="s">
        <v>1359</v>
      </c>
      <c r="J2300" s="48"/>
      <c r="K2300" s="48"/>
      <c r="L2300" s="48">
        <v>15000</v>
      </c>
      <c r="M2300" s="48">
        <v>5000</v>
      </c>
      <c r="N2300" s="59"/>
      <c r="O2300" s="59"/>
      <c r="P2300" s="59"/>
      <c r="Q2300" s="268">
        <f t="shared" si="109"/>
        <v>20000</v>
      </c>
      <c r="R2300" s="61">
        <f>IF(O2300=0,0,SUMIFS(Disbursements!$T:$T,Disbursements!$B:$B,'Live Collections'!D2300,Disbursements!$D:$D,'Live Collections'!F2300))</f>
        <v>0</v>
      </c>
      <c r="S2300" s="304">
        <f>IF(O2300&lt;=IF($O2300=0,0,SUMIFS(Disbursements!$W:$W,Disbursements!$B:$B,'Live Collections'!D295,Disbursements!$D:$D,'Live Collections'!F295)),O2300,IF($O2300=0,0,SUMIFS(Disbursements!$W:$W,Disbursements!$B:$B,'Live Collections'!D295,Disbursements!$D:$D,'Live Collections'!F295)))</f>
        <v>0</v>
      </c>
      <c r="T2300" s="304">
        <f t="shared" si="108"/>
        <v>0</v>
      </c>
      <c r="U2300" s="52"/>
      <c r="V2300" s="34"/>
      <c r="W2300" s="408"/>
    </row>
    <row r="2301" spans="1:23" ht="12.75" customHeight="1" x14ac:dyDescent="0.2">
      <c r="A2301" s="257">
        <v>2296</v>
      </c>
      <c r="B2301" s="44">
        <v>44544</v>
      </c>
      <c r="C2301" s="44">
        <f t="shared" si="107"/>
        <v>44544</v>
      </c>
      <c r="D2301" s="374">
        <v>31</v>
      </c>
      <c r="E2301" s="291" t="str">
        <f>IFERROR(VLOOKUP($D2301,'Clients-Live'!$A:$C,3,0),"")</f>
        <v>MUNDURU HARRIET</v>
      </c>
      <c r="F2301" s="291">
        <f>IFERROR(INDEX(Disbursements!$D:$D,MATCH('Live Collections'!G2301,Disbursements!$C:$C,0)),"")</f>
        <v>2</v>
      </c>
      <c r="G2301" s="34">
        <v>260</v>
      </c>
      <c r="H2301" s="34">
        <v>3017</v>
      </c>
      <c r="I2301" s="34" t="s">
        <v>1357</v>
      </c>
      <c r="J2301" s="48"/>
      <c r="K2301" s="48"/>
      <c r="L2301" s="48"/>
      <c r="M2301" s="48"/>
      <c r="N2301" s="59"/>
      <c r="O2301" s="59">
        <v>50000</v>
      </c>
      <c r="P2301" s="59"/>
      <c r="Q2301" s="268">
        <f t="shared" si="109"/>
        <v>50000</v>
      </c>
      <c r="R2301" s="61">
        <f>IF(O2301=0,0,SUMIFS(Disbursements!$T:$T,Disbursements!$B:$B,'Live Collections'!D2301,Disbursements!$D:$D,'Live Collections'!F2301))</f>
        <v>150000</v>
      </c>
      <c r="S2301" s="304">
        <f>IF(O2301&lt;=IF($O2301=0,0,SUMIFS(Disbursements!$W:$W,Disbursements!$B:$B,'Live Collections'!D358,Disbursements!$D:$D,'Live Collections'!F358)),O2301,IF($O2301=0,0,SUMIFS(Disbursements!$W:$W,Disbursements!$B:$B,'Live Collections'!D358,Disbursements!$D:$D,'Live Collections'!F358)))</f>
        <v>50000</v>
      </c>
      <c r="T2301" s="304">
        <f t="shared" si="108"/>
        <v>0</v>
      </c>
      <c r="U2301" s="52"/>
      <c r="V2301" s="34"/>
      <c r="W2301" s="408"/>
    </row>
    <row r="2302" spans="1:23" ht="12.75" customHeight="1" x14ac:dyDescent="0.2">
      <c r="A2302" s="257">
        <v>2297</v>
      </c>
      <c r="B2302" s="44">
        <v>44544</v>
      </c>
      <c r="C2302" s="44">
        <f t="shared" si="107"/>
        <v>44544</v>
      </c>
      <c r="D2302" s="374">
        <v>56</v>
      </c>
      <c r="E2302" s="291" t="str">
        <f>IFERROR(VLOOKUP($D2302,'Clients-Live'!$A:$C,3,0),"")</f>
        <v>ALOMO ZABIBU</v>
      </c>
      <c r="F2302" s="291">
        <f>IFERROR(INDEX(Disbursements!$D:$D,MATCH('Live Collections'!G2302,Disbursements!$C:$C,0)),"")</f>
        <v>3</v>
      </c>
      <c r="G2302" s="34">
        <v>376</v>
      </c>
      <c r="H2302" s="34">
        <v>3921</v>
      </c>
      <c r="I2302" s="34" t="s">
        <v>1357</v>
      </c>
      <c r="J2302" s="48"/>
      <c r="K2302" s="48"/>
      <c r="L2302" s="48"/>
      <c r="M2302" s="48"/>
      <c r="N2302" s="59"/>
      <c r="O2302" s="59"/>
      <c r="P2302" s="59">
        <v>50000</v>
      </c>
      <c r="Q2302" s="268">
        <f t="shared" si="109"/>
        <v>50000</v>
      </c>
      <c r="R2302" s="61">
        <f>IF(O2302=0,0,SUMIFS(Disbursements!$T:$T,Disbursements!$B:$B,'Live Collections'!D2302,Disbursements!$D:$D,'Live Collections'!F2302))</f>
        <v>0</v>
      </c>
      <c r="S2302" s="304">
        <f>IF(O2302&lt;=IF($O2302=0,0,SUMIFS(Disbursements!$W:$W,Disbursements!$B:$B,'Live Collections'!D675,Disbursements!$D:$D,'Live Collections'!F675)),O2302,IF($O2302=0,0,SUMIFS(Disbursements!$W:$W,Disbursements!$B:$B,'Live Collections'!D675,Disbursements!$D:$D,'Live Collections'!F675)))</f>
        <v>0</v>
      </c>
      <c r="T2302" s="304">
        <f t="shared" si="108"/>
        <v>0</v>
      </c>
      <c r="U2302" s="52"/>
      <c r="V2302" s="34"/>
      <c r="W2302" s="408"/>
    </row>
    <row r="2303" spans="1:23" ht="12.75" customHeight="1" x14ac:dyDescent="0.2">
      <c r="A2303" s="257">
        <v>2301</v>
      </c>
      <c r="B2303" s="44">
        <v>44544</v>
      </c>
      <c r="C2303" s="44">
        <f t="shared" si="107"/>
        <v>44544</v>
      </c>
      <c r="D2303" s="374">
        <v>72</v>
      </c>
      <c r="E2303" s="291" t="str">
        <f>IFERROR(VLOOKUP($D2303,'Clients-Live'!$A:$C,3,0),"")</f>
        <v>MUNDURU MERCY</v>
      </c>
      <c r="F2303" s="291">
        <f>IFERROR(INDEX(Disbursements!$D:$D,MATCH('Live Collections'!G2303,Disbursements!$C:$C,0)),"")</f>
        <v>2</v>
      </c>
      <c r="G2303" s="34">
        <v>370</v>
      </c>
      <c r="H2303" s="34">
        <v>3909</v>
      </c>
      <c r="I2303" s="34" t="s">
        <v>1358</v>
      </c>
      <c r="J2303" s="48"/>
      <c r="K2303" s="48"/>
      <c r="L2303" s="48"/>
      <c r="M2303" s="48"/>
      <c r="N2303" s="59"/>
      <c r="O2303" s="59"/>
      <c r="P2303" s="59">
        <v>120000</v>
      </c>
      <c r="Q2303" s="268">
        <f t="shared" si="109"/>
        <v>120000</v>
      </c>
      <c r="R2303" s="61">
        <f>IF(O2303=0,0,SUMIFS(Disbursements!$T:$T,Disbursements!$B:$B,'Live Collections'!D2303,Disbursements!$D:$D,'Live Collections'!F2303))</f>
        <v>0</v>
      </c>
      <c r="S2303" s="304">
        <f>IF(O2303&lt;=IF($O2303=0,0,SUMIFS(Disbursements!$W:$W,Disbursements!$B:$B,'Live Collections'!D914,Disbursements!$D:$D,'Live Collections'!F914)),O2303,IF($O2303=0,0,SUMIFS(Disbursements!$W:$W,Disbursements!$B:$B,'Live Collections'!D914,Disbursements!$D:$D,'Live Collections'!F914)))</f>
        <v>0</v>
      </c>
      <c r="T2303" s="304">
        <f t="shared" si="108"/>
        <v>0</v>
      </c>
      <c r="U2303" s="52"/>
      <c r="V2303" s="34"/>
      <c r="W2303" s="408"/>
    </row>
    <row r="2304" spans="1:23" ht="12.75" customHeight="1" x14ac:dyDescent="0.2">
      <c r="A2304" s="257">
        <v>2298</v>
      </c>
      <c r="B2304" s="44">
        <v>44544</v>
      </c>
      <c r="C2304" s="44">
        <f t="shared" si="107"/>
        <v>44544</v>
      </c>
      <c r="D2304" s="374">
        <v>114</v>
      </c>
      <c r="E2304" s="291" t="str">
        <f>IFERROR(VLOOKUP($D2304,'Clients-Live'!$A:$C,3,0),"")</f>
        <v>ONZIA EMMILY</v>
      </c>
      <c r="F2304" s="291">
        <f>IFERROR(INDEX(Disbursements!$D:$D,MATCH('Live Collections'!G2304,Disbursements!$C:$C,0)),"")</f>
        <v>4</v>
      </c>
      <c r="G2304" s="34">
        <v>373</v>
      </c>
      <c r="H2304" s="34">
        <v>3916</v>
      </c>
      <c r="I2304" s="34" t="s">
        <v>1358</v>
      </c>
      <c r="J2304" s="48"/>
      <c r="K2304" s="48"/>
      <c r="L2304" s="48"/>
      <c r="M2304" s="48"/>
      <c r="N2304" s="59"/>
      <c r="O2304" s="59"/>
      <c r="P2304" s="59">
        <v>250000</v>
      </c>
      <c r="Q2304" s="268">
        <f t="shared" si="109"/>
        <v>250000</v>
      </c>
      <c r="R2304" s="61">
        <f>IF(O2304=0,0,SUMIFS(Disbursements!$T:$T,Disbursements!$B:$B,'Live Collections'!D2304,Disbursements!$D:$D,'Live Collections'!F2304))</f>
        <v>0</v>
      </c>
      <c r="S2304" s="304">
        <f>IF(O2304&lt;=IF($O2304=0,0,SUMIFS(Disbursements!$W:$W,Disbursements!$B:$B,'Live Collections'!D1472,Disbursements!$D:$D,'Live Collections'!F1472)),O2304,IF($O2304=0,0,SUMIFS(Disbursements!$W:$W,Disbursements!$B:$B,'Live Collections'!D1472,Disbursements!$D:$D,'Live Collections'!F1472)))</f>
        <v>0</v>
      </c>
      <c r="T2304" s="304">
        <f t="shared" si="108"/>
        <v>0</v>
      </c>
      <c r="U2304" s="52"/>
      <c r="V2304" s="34"/>
      <c r="W2304" s="408"/>
    </row>
    <row r="2305" spans="1:23" ht="12.75" customHeight="1" x14ac:dyDescent="0.2">
      <c r="A2305" s="257">
        <v>2299</v>
      </c>
      <c r="B2305" s="44">
        <v>44544</v>
      </c>
      <c r="C2305" s="44">
        <f t="shared" ref="C2305:C2367" si="110">B2305</f>
        <v>44544</v>
      </c>
      <c r="D2305" s="374">
        <v>138</v>
      </c>
      <c r="E2305" s="291" t="str">
        <f>IFERROR(VLOOKUP($D2305,'Clients-Live'!$A:$C,3,0),"")</f>
        <v>BEATRICE AMANDRU</v>
      </c>
      <c r="F2305" s="291">
        <f>IFERROR(INDEX(Disbursements!$D:$D,MATCH('Live Collections'!G2305,Disbursements!$C:$C,0)),"")</f>
        <v>3</v>
      </c>
      <c r="G2305" s="34">
        <v>371</v>
      </c>
      <c r="H2305" s="34">
        <v>3746</v>
      </c>
      <c r="I2305" s="34" t="s">
        <v>1357</v>
      </c>
      <c r="J2305" s="48"/>
      <c r="K2305" s="48"/>
      <c r="L2305" s="48"/>
      <c r="M2305" s="48"/>
      <c r="N2305" s="59"/>
      <c r="O2305" s="59"/>
      <c r="P2305" s="59">
        <v>60000</v>
      </c>
      <c r="Q2305" s="268">
        <f t="shared" si="109"/>
        <v>60000</v>
      </c>
      <c r="R2305" s="61">
        <f>IF(O2305=0,0,SUMIFS(Disbursements!$T:$T,Disbursements!$B:$B,'Live Collections'!D2305,Disbursements!$D:$D,'Live Collections'!F2305))</f>
        <v>0</v>
      </c>
      <c r="S2305" s="304">
        <f>IF(O2305&lt;=IF($O2305=0,0,SUMIFS(Disbursements!$W:$W,Disbursements!$B:$B,'Live Collections'!D1751,Disbursements!$D:$D,'Live Collections'!F1751)),O2305,IF($O2305=0,0,SUMIFS(Disbursements!$W:$W,Disbursements!$B:$B,'Live Collections'!D1751,Disbursements!$D:$D,'Live Collections'!F1751)))</f>
        <v>0</v>
      </c>
      <c r="T2305" s="304">
        <f t="shared" ref="T2305:T2367" si="111">IF(O2305=0,0,O2305-S2305)</f>
        <v>0</v>
      </c>
      <c r="U2305" s="52"/>
      <c r="V2305" s="34"/>
      <c r="W2305" s="408"/>
    </row>
    <row r="2306" spans="1:23" ht="12.75" customHeight="1" x14ac:dyDescent="0.2">
      <c r="A2306" s="257">
        <v>2295</v>
      </c>
      <c r="B2306" s="44">
        <v>44544</v>
      </c>
      <c r="C2306" s="44">
        <f t="shared" si="110"/>
        <v>44544</v>
      </c>
      <c r="D2306" s="374">
        <v>169</v>
      </c>
      <c r="E2306" s="291" t="str">
        <f>IFERROR(VLOOKUP($D2306,'Clients-Live'!$A:$C,3,0),"")</f>
        <v>KATO KENNEDY</v>
      </c>
      <c r="F2306" s="291">
        <f>IFERROR(INDEX(Disbursements!$D:$D,MATCH('Live Collections'!G2306,Disbursements!$C:$C,0)),"")</f>
        <v>1</v>
      </c>
      <c r="G2306" s="34">
        <v>176</v>
      </c>
      <c r="H2306" s="34">
        <v>3919</v>
      </c>
      <c r="I2306" s="34" t="s">
        <v>1357</v>
      </c>
      <c r="J2306" s="48"/>
      <c r="K2306" s="48"/>
      <c r="L2306" s="48"/>
      <c r="M2306" s="48"/>
      <c r="N2306" s="59"/>
      <c r="O2306" s="59">
        <v>150000</v>
      </c>
      <c r="P2306" s="59"/>
      <c r="Q2306" s="268">
        <f t="shared" si="109"/>
        <v>150000</v>
      </c>
      <c r="R2306" s="61">
        <f>IF(O2306=0,0,SUMIFS(Disbursements!$T:$T,Disbursements!$B:$B,'Live Collections'!D2306,Disbursements!$D:$D,'Live Collections'!F2306))</f>
        <v>109000</v>
      </c>
      <c r="S2306" s="64">
        <v>14333.333333333489</v>
      </c>
      <c r="T2306" s="304">
        <f t="shared" si="111"/>
        <v>135666.66666666651</v>
      </c>
      <c r="U2306" s="52"/>
      <c r="V2306" s="34"/>
      <c r="W2306" s="408"/>
    </row>
    <row r="2307" spans="1:23" ht="12.75" customHeight="1" x14ac:dyDescent="0.2">
      <c r="A2307" s="257">
        <v>2294</v>
      </c>
      <c r="B2307" s="44">
        <v>44544</v>
      </c>
      <c r="C2307" s="44">
        <f t="shared" si="110"/>
        <v>44544</v>
      </c>
      <c r="D2307" s="374">
        <v>244</v>
      </c>
      <c r="E2307" s="291" t="str">
        <f>IFERROR(VLOOKUP($D2307,'Clients-Live'!$A:$C,3,0),"")</f>
        <v>GISMA HAMID ALI</v>
      </c>
      <c r="F2307" s="291">
        <f>IFERROR(INDEX(Disbursements!$D:$D,MATCH('Live Collections'!G2307,Disbursements!$C:$C,0)),"")</f>
        <v>1</v>
      </c>
      <c r="G2307" s="34">
        <v>269</v>
      </c>
      <c r="H2307" s="34">
        <v>3923</v>
      </c>
      <c r="I2307" s="34" t="s">
        <v>1357</v>
      </c>
      <c r="J2307" s="48"/>
      <c r="K2307" s="48"/>
      <c r="L2307" s="48"/>
      <c r="M2307" s="48"/>
      <c r="N2307" s="59"/>
      <c r="O2307" s="59">
        <v>125000</v>
      </c>
      <c r="P2307" s="59"/>
      <c r="Q2307" s="268">
        <f t="shared" si="109"/>
        <v>125000</v>
      </c>
      <c r="R2307" s="61">
        <f>IF(O2307=0,0,SUMIFS(Disbursements!$T:$T,Disbursements!$B:$B,'Live Collections'!D2307,Disbursements!$D:$D,'Live Collections'!F2307))</f>
        <v>125000</v>
      </c>
      <c r="S2307" s="304">
        <v>80000</v>
      </c>
      <c r="T2307" s="304">
        <f t="shared" si="111"/>
        <v>45000</v>
      </c>
      <c r="U2307" s="52"/>
      <c r="V2307" s="34"/>
      <c r="W2307" s="408"/>
    </row>
    <row r="2308" spans="1:23" ht="12.75" customHeight="1" x14ac:dyDescent="0.2">
      <c r="A2308" s="257">
        <v>2293</v>
      </c>
      <c r="B2308" s="44">
        <v>44544</v>
      </c>
      <c r="C2308" s="44">
        <f t="shared" si="110"/>
        <v>44544</v>
      </c>
      <c r="D2308" s="374">
        <v>250</v>
      </c>
      <c r="E2308" s="291" t="str">
        <f>IFERROR(VLOOKUP($D2308,'Clients-Live'!$A:$C,3,0),"")</f>
        <v>SAKAYA AMINA</v>
      </c>
      <c r="F2308" s="291">
        <f>IFERROR(INDEX(Disbursements!$D:$D,MATCH('Live Collections'!G2308,Disbursements!$C:$C,0)),"")</f>
        <v>2</v>
      </c>
      <c r="G2308" s="34">
        <v>374</v>
      </c>
      <c r="H2308" s="34">
        <v>3922</v>
      </c>
      <c r="I2308" s="34" t="s">
        <v>1357</v>
      </c>
      <c r="J2308" s="48"/>
      <c r="K2308" s="48"/>
      <c r="L2308" s="48"/>
      <c r="M2308" s="48"/>
      <c r="N2308" s="59"/>
      <c r="O2308" s="59"/>
      <c r="P2308" s="59">
        <v>40000</v>
      </c>
      <c r="Q2308" s="268">
        <f t="shared" si="109"/>
        <v>40000</v>
      </c>
      <c r="R2308" s="61">
        <f>IF(O2308=0,0,SUMIFS(Disbursements!$T:$T,Disbursements!$B:$B,'Live Collections'!D2308,Disbursements!$D:$D,'Live Collections'!F2308))</f>
        <v>0</v>
      </c>
      <c r="S2308" s="304">
        <f>IF(O2308&lt;=IF($O2308=0,0,SUMIFS(Disbursements!$W:$W,Disbursements!$B:$B,'Live Collections'!D2817,Disbursements!$D:$D,'Live Collections'!F2817)),O2308,IF($O2308=0,0,SUMIFS(Disbursements!$W:$W,Disbursements!$B:$B,'Live Collections'!D2817,Disbursements!$D:$D,'Live Collections'!F2817)))</f>
        <v>0</v>
      </c>
      <c r="T2308" s="304">
        <f t="shared" si="111"/>
        <v>0</v>
      </c>
      <c r="U2308" s="52"/>
      <c r="V2308" s="34"/>
      <c r="W2308" s="408"/>
    </row>
    <row r="2309" spans="1:23" ht="12.75" customHeight="1" x14ac:dyDescent="0.2">
      <c r="A2309" s="257">
        <v>2303</v>
      </c>
      <c r="B2309" s="44">
        <v>44544</v>
      </c>
      <c r="C2309" s="44">
        <f t="shared" si="110"/>
        <v>44544</v>
      </c>
      <c r="D2309" s="374">
        <v>301</v>
      </c>
      <c r="E2309" s="291" t="str">
        <f>IFERROR(VLOOKUP($D2309,'Clients-Live'!$A:$C,3,0),"")</f>
        <v>MAYANJA DAVID</v>
      </c>
      <c r="F2309" s="291">
        <f>IFERROR(INDEX(Disbursements!$D:$D,MATCH('Live Collections'!G2309,Disbursements!$C:$C,0)),"")</f>
        <v>1</v>
      </c>
      <c r="G2309" s="34">
        <v>372</v>
      </c>
      <c r="H2309" s="34">
        <v>3912</v>
      </c>
      <c r="I2309" s="34" t="s">
        <v>1359</v>
      </c>
      <c r="J2309" s="48"/>
      <c r="K2309" s="48"/>
      <c r="L2309" s="48"/>
      <c r="M2309" s="48"/>
      <c r="N2309" s="59"/>
      <c r="O2309" s="59"/>
      <c r="P2309" s="59">
        <v>150000</v>
      </c>
      <c r="Q2309" s="268">
        <f t="shared" si="109"/>
        <v>150000</v>
      </c>
      <c r="R2309" s="61">
        <f>IF(O2309=0,0,SUMIFS(Disbursements!$T:$T,Disbursements!$B:$B,'Live Collections'!D2309,Disbursements!$D:$D,'Live Collections'!F2309))</f>
        <v>0</v>
      </c>
      <c r="S2309" s="304">
        <f>IF(O2309&lt;=IF($O2309=0,0,SUMIFS(Disbursements!$W:$W,Disbursements!$B:$B,'Live Collections'!D3081,Disbursements!$D:$D,'Live Collections'!F3081)),O2309,IF($O2309=0,0,SUMIFS(Disbursements!$W:$W,Disbursements!$B:$B,'Live Collections'!D3081,Disbursements!$D:$D,'Live Collections'!F3081)))</f>
        <v>0</v>
      </c>
      <c r="T2309" s="304">
        <f t="shared" si="111"/>
        <v>0</v>
      </c>
      <c r="U2309" s="52"/>
      <c r="V2309" s="34"/>
      <c r="W2309" s="408"/>
    </row>
    <row r="2310" spans="1:23" ht="12.75" customHeight="1" x14ac:dyDescent="0.2">
      <c r="A2310" s="257">
        <v>2313</v>
      </c>
      <c r="B2310" s="44">
        <v>44545</v>
      </c>
      <c r="C2310" s="44">
        <f t="shared" si="110"/>
        <v>44545</v>
      </c>
      <c r="D2310" s="374">
        <v>18</v>
      </c>
      <c r="E2310" s="291" t="str">
        <f>IFERROR(VLOOKUP($D2310,'Clients-Live'!$A:$C,3,0),"")</f>
        <v>ARIYE PEACE</v>
      </c>
      <c r="F2310" s="291">
        <f>IFERROR(INDEX(Disbursements!$D:$D,MATCH('Live Collections'!G2310,Disbursements!$C:$C,0)),"")</f>
        <v>2</v>
      </c>
      <c r="G2310" s="34">
        <v>317</v>
      </c>
      <c r="H2310" s="34">
        <v>3962</v>
      </c>
      <c r="I2310" s="34" t="s">
        <v>1357</v>
      </c>
      <c r="J2310" s="48"/>
      <c r="K2310" s="48"/>
      <c r="L2310" s="48"/>
      <c r="M2310" s="48"/>
      <c r="N2310" s="59"/>
      <c r="O2310" s="59">
        <v>162500</v>
      </c>
      <c r="P2310" s="59"/>
      <c r="Q2310" s="268">
        <f t="shared" si="109"/>
        <v>162500</v>
      </c>
      <c r="R2310" s="61">
        <f>IF(O2310=0,0,SUMIFS(Disbursements!$T:$T,Disbursements!$B:$B,'Live Collections'!D2310,Disbursements!$D:$D,'Live Collections'!F2310))</f>
        <v>650000</v>
      </c>
      <c r="S2310" s="304">
        <f>IF(O2310&lt;=IF($O2310=0,0,SUMIFS(Disbursements!$W:$W,Disbursements!$B:$B,'Live Collections'!D221,Disbursements!$D:$D,'Live Collections'!F221)),O2310,IF($O2310=0,0,SUMIFS(Disbursements!$W:$W,Disbursements!$B:$B,'Live Collections'!D221,Disbursements!$D:$D,'Live Collections'!F221)))</f>
        <v>25666.666666666672</v>
      </c>
      <c r="T2310" s="304">
        <f t="shared" si="111"/>
        <v>136833.33333333331</v>
      </c>
      <c r="U2310" s="52"/>
      <c r="V2310" s="34"/>
      <c r="W2310" s="408"/>
    </row>
    <row r="2311" spans="1:23" ht="12.75" customHeight="1" x14ac:dyDescent="0.2">
      <c r="A2311" s="257">
        <v>2317</v>
      </c>
      <c r="B2311" s="44">
        <v>44545</v>
      </c>
      <c r="C2311" s="44">
        <f t="shared" si="110"/>
        <v>44545</v>
      </c>
      <c r="D2311" s="374">
        <v>22</v>
      </c>
      <c r="E2311" s="291" t="str">
        <f>IFERROR(VLOOKUP($D2311,'Clients-Live'!$A:$C,3,0),"")</f>
        <v>DATA ISMAIL FATARI</v>
      </c>
      <c r="F2311" s="291">
        <v>2</v>
      </c>
      <c r="G2311" s="34">
        <v>381</v>
      </c>
      <c r="H2311" s="34">
        <v>3968</v>
      </c>
      <c r="I2311" s="34" t="s">
        <v>1359</v>
      </c>
      <c r="J2311" s="48"/>
      <c r="K2311" s="48"/>
      <c r="L2311" s="48"/>
      <c r="M2311" s="48"/>
      <c r="N2311" s="59"/>
      <c r="O2311" s="59"/>
      <c r="P2311" s="59">
        <v>70000</v>
      </c>
      <c r="Q2311" s="268">
        <f t="shared" si="109"/>
        <v>70000</v>
      </c>
      <c r="R2311" s="61">
        <f>IF(O2311=0,0,SUMIFS(Disbursements!$T:$T,Disbursements!$B:$B,'Live Collections'!D2311,Disbursements!$D:$D,'Live Collections'!F2311))</f>
        <v>0</v>
      </c>
      <c r="S2311" s="304">
        <f>IF(O2311&lt;=IF($O2311=0,0,SUMIFS(Disbursements!$W:$W,Disbursements!$B:$B,'Live Collections'!D296,Disbursements!$D:$D,'Live Collections'!F296)),O2311,IF($O2311=0,0,SUMIFS(Disbursements!$W:$W,Disbursements!$B:$B,'Live Collections'!D296,Disbursements!$D:$D,'Live Collections'!F296)))</f>
        <v>0</v>
      </c>
      <c r="T2311" s="304">
        <f t="shared" si="111"/>
        <v>0</v>
      </c>
      <c r="U2311" s="52"/>
      <c r="V2311" s="34"/>
      <c r="W2311" s="408"/>
    </row>
    <row r="2312" spans="1:23" ht="12.75" customHeight="1" x14ac:dyDescent="0.2">
      <c r="A2312" s="257">
        <v>2318</v>
      </c>
      <c r="B2312" s="44">
        <v>44545</v>
      </c>
      <c r="C2312" s="44">
        <f t="shared" si="110"/>
        <v>44545</v>
      </c>
      <c r="D2312" s="374">
        <v>32</v>
      </c>
      <c r="E2312" s="291" t="str">
        <f>IFERROR(VLOOKUP($D2312,'Clients-Live'!$A:$C,3,0),"")</f>
        <v>BAKO LINA ESERU</v>
      </c>
      <c r="F2312" s="291">
        <f>IFERROR(INDEX(Disbursements!$D:$D,MATCH('Live Collections'!G2312,Disbursements!$C:$C,0)),"")</f>
        <v>2</v>
      </c>
      <c r="G2312" s="34">
        <v>258</v>
      </c>
      <c r="H2312" s="34">
        <v>3973</v>
      </c>
      <c r="I2312" s="34" t="s">
        <v>1359</v>
      </c>
      <c r="J2312" s="48"/>
      <c r="K2312" s="48"/>
      <c r="L2312" s="48"/>
      <c r="M2312" s="48"/>
      <c r="N2312" s="59"/>
      <c r="O2312" s="59">
        <v>150000</v>
      </c>
      <c r="P2312" s="59"/>
      <c r="Q2312" s="268">
        <f t="shared" si="109"/>
        <v>150000</v>
      </c>
      <c r="R2312" s="61">
        <f>IF(O2312=0,0,SUMIFS(Disbursements!$T:$T,Disbursements!$B:$B,'Live Collections'!D2312,Disbursements!$D:$D,'Live Collections'!F2312))</f>
        <v>150000</v>
      </c>
      <c r="S2312" s="304">
        <f>IF(O2312&lt;=IF($O2312=0,0,SUMIFS(Disbursements!$W:$W,Disbursements!$B:$B,'Live Collections'!D372,Disbursements!$D:$D,'Live Collections'!F372)),O2312,IF($O2312=0,0,SUMIFS(Disbursements!$W:$W,Disbursements!$B:$B,'Live Collections'!D372,Disbursements!$D:$D,'Live Collections'!F372)))</f>
        <v>0</v>
      </c>
      <c r="T2312" s="304">
        <f t="shared" si="111"/>
        <v>150000</v>
      </c>
      <c r="U2312" s="52"/>
      <c r="V2312" s="34"/>
      <c r="W2312" s="408"/>
    </row>
    <row r="2313" spans="1:23" ht="12.75" customHeight="1" x14ac:dyDescent="0.2">
      <c r="A2313" s="257">
        <v>2307</v>
      </c>
      <c r="B2313" s="44">
        <v>44545</v>
      </c>
      <c r="C2313" s="44">
        <f t="shared" si="110"/>
        <v>44545</v>
      </c>
      <c r="D2313" s="374">
        <v>63</v>
      </c>
      <c r="E2313" s="291" t="str">
        <f>IFERROR(VLOOKUP($D2313,'Clients-Live'!$A:$C,3,0),"")</f>
        <v>AWURU KADARA</v>
      </c>
      <c r="F2313" s="291">
        <f>IFERROR(INDEX(Disbursements!$D:$D,MATCH('Live Collections'!G2313,Disbursements!$C:$C,0)),"")</f>
        <v>3</v>
      </c>
      <c r="G2313" s="34">
        <v>375</v>
      </c>
      <c r="H2313" s="34">
        <v>3918</v>
      </c>
      <c r="I2313" s="34" t="s">
        <v>1357</v>
      </c>
      <c r="J2313" s="48"/>
      <c r="K2313" s="48"/>
      <c r="L2313" s="48"/>
      <c r="M2313" s="48"/>
      <c r="N2313" s="59"/>
      <c r="O2313" s="59"/>
      <c r="P2313" s="59">
        <v>70000</v>
      </c>
      <c r="Q2313" s="268">
        <f t="shared" si="109"/>
        <v>70000</v>
      </c>
      <c r="R2313" s="61">
        <f>IF(O2313=0,0,SUMIFS(Disbursements!$T:$T,Disbursements!$B:$B,'Live Collections'!D2313,Disbursements!$D:$D,'Live Collections'!F2313))</f>
        <v>0</v>
      </c>
      <c r="S2313" s="304">
        <f>IF(O2313&lt;=IF($O2313=0,0,SUMIFS(Disbursements!$W:$W,Disbursements!$B:$B,'Live Collections'!D765,Disbursements!$D:$D,'Live Collections'!F765)),O2313,IF($O2313=0,0,SUMIFS(Disbursements!$W:$W,Disbursements!$B:$B,'Live Collections'!D765,Disbursements!$D:$D,'Live Collections'!F765)))</f>
        <v>0</v>
      </c>
      <c r="T2313" s="304">
        <f t="shared" si="111"/>
        <v>0</v>
      </c>
      <c r="U2313" s="52"/>
      <c r="V2313" s="34"/>
      <c r="W2313" s="408"/>
    </row>
    <row r="2314" spans="1:23" ht="12.75" customHeight="1" x14ac:dyDescent="0.2">
      <c r="A2314" s="257">
        <v>2310</v>
      </c>
      <c r="B2314" s="44">
        <v>44545</v>
      </c>
      <c r="C2314" s="44">
        <f t="shared" si="110"/>
        <v>44545</v>
      </c>
      <c r="D2314" s="374">
        <v>71</v>
      </c>
      <c r="E2314" s="291" t="str">
        <f>IFERROR(VLOOKUP($D2314,'Clients-Live'!$A:$C,3,0),"")</f>
        <v>AYIKORU HARIET BAUDI</v>
      </c>
      <c r="F2314" s="291">
        <f>IFERROR(INDEX(Disbursements!$D:$D,MATCH('Live Collections'!G2314,Disbursements!$C:$C,0)),"")</f>
        <v>2</v>
      </c>
      <c r="G2314" s="34">
        <v>326</v>
      </c>
      <c r="H2314" s="34">
        <v>3957</v>
      </c>
      <c r="I2314" s="34" t="s">
        <v>1359</v>
      </c>
      <c r="J2314" s="48"/>
      <c r="K2314" s="48"/>
      <c r="L2314" s="48"/>
      <c r="M2314" s="48"/>
      <c r="N2314" s="59"/>
      <c r="O2314" s="59">
        <v>500000</v>
      </c>
      <c r="P2314" s="59"/>
      <c r="Q2314" s="268">
        <f t="shared" si="109"/>
        <v>500000</v>
      </c>
      <c r="R2314" s="61">
        <f>IF(O2314=0,0,SUMIFS(Disbursements!$T:$T,Disbursements!$B:$B,'Live Collections'!D2314,Disbursements!$D:$D,'Live Collections'!F2314))</f>
        <v>500000</v>
      </c>
      <c r="S2314" s="304">
        <f>IF(O2314&lt;=IF($O2314=0,0,SUMIFS(Disbursements!$W:$W,Disbursements!$B:$B,'Live Collections'!D897,Disbursements!$D:$D,'Live Collections'!F897)),O2314,IF($O2314=0,0,SUMIFS(Disbursements!$W:$W,Disbursements!$B:$B,'Live Collections'!D897,Disbursements!$D:$D,'Live Collections'!F897)))</f>
        <v>15000</v>
      </c>
      <c r="T2314" s="304">
        <f t="shared" si="111"/>
        <v>485000</v>
      </c>
      <c r="U2314" s="52"/>
      <c r="V2314" s="34"/>
      <c r="W2314" s="408"/>
    </row>
    <row r="2315" spans="1:23" ht="12.75" customHeight="1" x14ac:dyDescent="0.2">
      <c r="A2315" s="257">
        <v>2312</v>
      </c>
      <c r="B2315" s="44">
        <v>44545</v>
      </c>
      <c r="C2315" s="44">
        <f t="shared" si="110"/>
        <v>44545</v>
      </c>
      <c r="D2315" s="374">
        <v>88</v>
      </c>
      <c r="E2315" s="291" t="str">
        <f>IFERROR(VLOOKUP($D2315,'Clients-Live'!$A:$C,3,0),"")</f>
        <v>FAIDA HARRIET</v>
      </c>
      <c r="F2315" s="291">
        <f>IFERROR(INDEX(Disbursements!$D:$D,MATCH('Live Collections'!G2315,Disbursements!$C:$C,0)),"")</f>
        <v>3</v>
      </c>
      <c r="G2315" s="34">
        <v>380</v>
      </c>
      <c r="H2315" s="34">
        <v>3960</v>
      </c>
      <c r="I2315" s="34" t="s">
        <v>1357</v>
      </c>
      <c r="J2315" s="48"/>
      <c r="K2315" s="48"/>
      <c r="L2315" s="48"/>
      <c r="M2315" s="48"/>
      <c r="N2315" s="59"/>
      <c r="O2315" s="59"/>
      <c r="P2315" s="59">
        <v>30000</v>
      </c>
      <c r="Q2315" s="268">
        <f t="shared" si="109"/>
        <v>30000</v>
      </c>
      <c r="R2315" s="61">
        <f>IF(O2315=0,0,SUMIFS(Disbursements!$T:$T,Disbursements!$B:$B,'Live Collections'!D2315,Disbursements!$D:$D,'Live Collections'!F2315))</f>
        <v>0</v>
      </c>
      <c r="S2315" s="304">
        <f>IF(O2315&lt;=IF($O2315=0,0,SUMIFS(Disbursements!$W:$W,Disbursements!$B:$B,'Live Collections'!D1149,Disbursements!$D:$D,'Live Collections'!F1149)),O2315,IF($O2315=0,0,SUMIFS(Disbursements!$W:$W,Disbursements!$B:$B,'Live Collections'!D1149,Disbursements!$D:$D,'Live Collections'!F1149)))</f>
        <v>0</v>
      </c>
      <c r="T2315" s="304">
        <f t="shared" si="111"/>
        <v>0</v>
      </c>
      <c r="U2315" s="52"/>
      <c r="V2315" s="34"/>
      <c r="W2315" s="408"/>
    </row>
    <row r="2316" spans="1:23" ht="12.75" customHeight="1" x14ac:dyDescent="0.2">
      <c r="A2316" s="257">
        <v>2311</v>
      </c>
      <c r="B2316" s="44">
        <v>44545</v>
      </c>
      <c r="C2316" s="44">
        <f t="shared" si="110"/>
        <v>44545</v>
      </c>
      <c r="D2316" s="374">
        <v>91</v>
      </c>
      <c r="E2316" s="291" t="str">
        <f>IFERROR(VLOOKUP($D2316,'Clients-Live'!$A:$C,3,0),"")</f>
        <v>CHANDIRU SALILA</v>
      </c>
      <c r="F2316" s="291">
        <f>IFERROR(INDEX(Disbursements!$D:$D,MATCH('Live Collections'!G2316,Disbursements!$C:$C,0)),"")</f>
        <v>2</v>
      </c>
      <c r="G2316" s="34">
        <v>327</v>
      </c>
      <c r="H2316" s="34">
        <v>3958</v>
      </c>
      <c r="I2316" s="34" t="s">
        <v>1359</v>
      </c>
      <c r="J2316" s="48"/>
      <c r="K2316" s="48"/>
      <c r="L2316" s="48"/>
      <c r="M2316" s="48"/>
      <c r="N2316" s="59"/>
      <c r="O2316" s="59">
        <v>60000</v>
      </c>
      <c r="P2316" s="59"/>
      <c r="Q2316" s="268">
        <f t="shared" si="109"/>
        <v>60000</v>
      </c>
      <c r="R2316" s="61">
        <f>IF(O2316=0,0,SUMIFS(Disbursements!$T:$T,Disbursements!$B:$B,'Live Collections'!D2316,Disbursements!$D:$D,'Live Collections'!F2316))</f>
        <v>60000</v>
      </c>
      <c r="S2316" s="304">
        <f>IF(O2316&lt;=IF($O2316=0,0,SUMIFS(Disbursements!$W:$W,Disbursements!$B:$B,'Live Collections'!D1702,Disbursements!$D:$D,'Live Collections'!F1702)),O2316,IF($O2316=0,0,SUMIFS(Disbursements!$W:$W,Disbursements!$B:$B,'Live Collections'!D1702,Disbursements!$D:$D,'Live Collections'!F1702)))</f>
        <v>26333.333333333328</v>
      </c>
      <c r="T2316" s="304">
        <f t="shared" si="111"/>
        <v>33666.666666666672</v>
      </c>
      <c r="U2316" s="52"/>
      <c r="V2316" s="34"/>
      <c r="W2316" s="408"/>
    </row>
    <row r="2317" spans="1:23" ht="12.75" customHeight="1" x14ac:dyDescent="0.2">
      <c r="A2317" s="257">
        <v>2314</v>
      </c>
      <c r="B2317" s="44">
        <v>44545</v>
      </c>
      <c r="C2317" s="44">
        <f t="shared" si="110"/>
        <v>44545</v>
      </c>
      <c r="D2317" s="374">
        <v>102</v>
      </c>
      <c r="E2317" s="291" t="str">
        <f>IFERROR(VLOOKUP($D2317,'Clients-Live'!$A:$C,3,0),"")</f>
        <v>BATALI GODFREY JOHN</v>
      </c>
      <c r="F2317" s="291">
        <f>IFERROR(INDEX(Disbursements!$D:$D,MATCH('Live Collections'!G2317,Disbursements!$C:$C,0)),"")</f>
        <v>2</v>
      </c>
      <c r="G2317" s="34">
        <v>382</v>
      </c>
      <c r="H2317" s="34">
        <v>3965</v>
      </c>
      <c r="I2317" s="34" t="s">
        <v>1357</v>
      </c>
      <c r="J2317" s="48"/>
      <c r="K2317" s="48"/>
      <c r="L2317" s="48"/>
      <c r="M2317" s="48"/>
      <c r="N2317" s="59"/>
      <c r="O2317" s="59"/>
      <c r="P2317" s="59">
        <v>15000</v>
      </c>
      <c r="Q2317" s="268">
        <f t="shared" si="109"/>
        <v>15000</v>
      </c>
      <c r="R2317" s="61">
        <f>IF(O2317=0,0,SUMIFS(Disbursements!$T:$T,Disbursements!$B:$B,'Live Collections'!D2317,Disbursements!$D:$D,'Live Collections'!F2317))</f>
        <v>0</v>
      </c>
      <c r="S2317" s="304">
        <f>IF(O2317&lt;=IF($O2317=0,0,SUMIFS(Disbursements!$W:$W,Disbursements!$B:$B,'Live Collections'!D1316,Disbursements!$D:$D,'Live Collections'!F1316)),O2317,IF($O2317=0,0,SUMIFS(Disbursements!$W:$W,Disbursements!$B:$B,'Live Collections'!D1316,Disbursements!$D:$D,'Live Collections'!F1316)))</f>
        <v>0</v>
      </c>
      <c r="T2317" s="304">
        <f t="shared" si="111"/>
        <v>0</v>
      </c>
      <c r="U2317" s="52"/>
      <c r="V2317" s="34"/>
      <c r="W2317" s="408"/>
    </row>
    <row r="2318" spans="1:23" ht="12.75" customHeight="1" x14ac:dyDescent="0.2">
      <c r="A2318" s="257">
        <v>2316</v>
      </c>
      <c r="B2318" s="44">
        <v>44545</v>
      </c>
      <c r="C2318" s="44">
        <f t="shared" si="110"/>
        <v>44545</v>
      </c>
      <c r="D2318" s="374">
        <v>142</v>
      </c>
      <c r="E2318" s="291" t="str">
        <f>IFERROR(VLOOKUP($D2318,'Clients-Live'!$A:$C,3,0),"")</f>
        <v>TABU MARY</v>
      </c>
      <c r="F2318" s="291">
        <f>IFERROR(INDEX(Disbursements!$D:$D,MATCH('Live Collections'!G2318,Disbursements!$C:$C,0)),"")</f>
        <v>6</v>
      </c>
      <c r="G2318" s="34">
        <v>383</v>
      </c>
      <c r="H2318" s="34">
        <v>3970</v>
      </c>
      <c r="I2318" s="34" t="s">
        <v>1357</v>
      </c>
      <c r="J2318" s="48"/>
      <c r="K2318" s="48"/>
      <c r="L2318" s="48"/>
      <c r="M2318" s="48"/>
      <c r="N2318" s="59"/>
      <c r="O2318" s="59"/>
      <c r="P2318" s="59">
        <v>150000</v>
      </c>
      <c r="Q2318" s="268">
        <f t="shared" si="109"/>
        <v>150000</v>
      </c>
      <c r="R2318" s="61">
        <f>IF(O2318=0,0,SUMIFS(Disbursements!$T:$T,Disbursements!$B:$B,'Live Collections'!D2318,Disbursements!$D:$D,'Live Collections'!F2318))</f>
        <v>0</v>
      </c>
      <c r="S2318" s="304">
        <f>IF(O2318&lt;=IF($O2318=0,0,SUMIFS(Disbursements!$W:$W,Disbursements!$B:$B,'Live Collections'!D1801,Disbursements!$D:$D,'Live Collections'!F1801)),O2318,IF($O2318=0,0,SUMIFS(Disbursements!$W:$W,Disbursements!$B:$B,'Live Collections'!D1801,Disbursements!$D:$D,'Live Collections'!F1801)))</f>
        <v>0</v>
      </c>
      <c r="T2318" s="304">
        <f t="shared" si="111"/>
        <v>0</v>
      </c>
      <c r="U2318" s="52"/>
      <c r="V2318" s="34"/>
      <c r="W2318" s="408"/>
    </row>
    <row r="2319" spans="1:23" ht="12.75" customHeight="1" x14ac:dyDescent="0.2">
      <c r="A2319" s="257">
        <v>2309</v>
      </c>
      <c r="B2319" s="44">
        <v>44545</v>
      </c>
      <c r="C2319" s="44">
        <f t="shared" si="110"/>
        <v>44545</v>
      </c>
      <c r="D2319" s="374">
        <v>210</v>
      </c>
      <c r="E2319" s="291" t="str">
        <f>IFERROR(VLOOKUP($D2319,'Clients-Live'!$A:$C,3,0),"")</f>
        <v>ADRILI ZAHARA</v>
      </c>
      <c r="F2319" s="291">
        <f>IFERROR(INDEX(Disbursements!$D:$D,MATCH('Live Collections'!G2319,Disbursements!$C:$C,0)),"")</f>
        <v>2</v>
      </c>
      <c r="G2319" s="34">
        <v>379</v>
      </c>
      <c r="H2319" s="34">
        <v>3955</v>
      </c>
      <c r="I2319" s="34" t="s">
        <v>1357</v>
      </c>
      <c r="J2319" s="48"/>
      <c r="K2319" s="48"/>
      <c r="L2319" s="48"/>
      <c r="M2319" s="48"/>
      <c r="N2319" s="59"/>
      <c r="O2319" s="59"/>
      <c r="P2319" s="59">
        <v>70000</v>
      </c>
      <c r="Q2319" s="268">
        <f t="shared" si="109"/>
        <v>70000</v>
      </c>
      <c r="R2319" s="61">
        <f>IF(O2319=0,0,SUMIFS(Disbursements!$T:$T,Disbursements!$B:$B,'Live Collections'!D2319,Disbursements!$D:$D,'Live Collections'!F2319))</f>
        <v>0</v>
      </c>
      <c r="S2319" s="304">
        <f>IF(O2319&lt;=IF($O2319=0,0,SUMIFS(Disbursements!$W:$W,Disbursements!$B:$B,'Live Collections'!#REF!,Disbursements!$D:$D,'Live Collections'!#REF!)),O2319,IF($O2319=0,0,SUMIFS(Disbursements!$W:$W,Disbursements!$B:$B,'Live Collections'!#REF!,Disbursements!$D:$D,'Live Collections'!#REF!)))</f>
        <v>0</v>
      </c>
      <c r="T2319" s="304">
        <f t="shared" si="111"/>
        <v>0</v>
      </c>
      <c r="U2319" s="52"/>
      <c r="V2319" s="34"/>
      <c r="W2319" s="408"/>
    </row>
    <row r="2320" spans="1:23" ht="12.75" customHeight="1" x14ac:dyDescent="0.2">
      <c r="A2320" s="257">
        <v>2308</v>
      </c>
      <c r="B2320" s="44">
        <v>44545</v>
      </c>
      <c r="C2320" s="44">
        <f t="shared" si="110"/>
        <v>44545</v>
      </c>
      <c r="D2320" s="374">
        <v>213</v>
      </c>
      <c r="E2320" s="291" t="str">
        <f>IFERROR(VLOOKUP($D2320,'Clients-Live'!$A:$C,3,0),"")</f>
        <v>ATIKURU NADIA</v>
      </c>
      <c r="F2320" s="291">
        <f>IFERROR(INDEX(Disbursements!$D:$D,MATCH('Live Collections'!G2320,Disbursements!$C:$C,0)),"")</f>
        <v>2</v>
      </c>
      <c r="G2320" s="34">
        <v>378</v>
      </c>
      <c r="H2320" s="34">
        <v>3748</v>
      </c>
      <c r="I2320" s="34" t="s">
        <v>1358</v>
      </c>
      <c r="J2320" s="48"/>
      <c r="K2320" s="48"/>
      <c r="L2320" s="48"/>
      <c r="M2320" s="48"/>
      <c r="N2320" s="59"/>
      <c r="O2320" s="59"/>
      <c r="P2320" s="59">
        <v>100000</v>
      </c>
      <c r="Q2320" s="268">
        <f t="shared" si="109"/>
        <v>100000</v>
      </c>
      <c r="R2320" s="61">
        <f>IF(O2320=0,0,SUMIFS(Disbursements!$T:$T,Disbursements!$B:$B,'Live Collections'!D2320,Disbursements!$D:$D,'Live Collections'!F2320))</f>
        <v>0</v>
      </c>
      <c r="S2320" s="304">
        <f>IF(O2320&lt;=IF($O2320=0,0,SUMIFS(Disbursements!$W:$W,Disbursements!$B:$B,'Live Collections'!D2521,Disbursements!$D:$D,'Live Collections'!F2521)),O2320,IF($O2320=0,0,SUMIFS(Disbursements!$W:$W,Disbursements!$B:$B,'Live Collections'!D2521,Disbursements!$D:$D,'Live Collections'!F2521)))</f>
        <v>0</v>
      </c>
      <c r="T2320" s="304">
        <f t="shared" si="111"/>
        <v>0</v>
      </c>
      <c r="U2320" s="52"/>
      <c r="V2320" s="34"/>
      <c r="W2320" s="408"/>
    </row>
    <row r="2321" spans="1:23" ht="12.75" customHeight="1" x14ac:dyDescent="0.2">
      <c r="A2321" s="257">
        <v>2315</v>
      </c>
      <c r="B2321" s="44">
        <v>44545</v>
      </c>
      <c r="C2321" s="44">
        <f t="shared" si="110"/>
        <v>44545</v>
      </c>
      <c r="D2321" s="374">
        <v>295</v>
      </c>
      <c r="E2321" s="291" t="str">
        <f>IFERROR(VLOOKUP($D2321,'Clients-Live'!$A:$C,3,0),"")</f>
        <v>ABIYO RICHARD ENAKU</v>
      </c>
      <c r="F2321" s="291">
        <f>IFERROR(INDEX(Disbursements!$D:$D,MATCH('Live Collections'!G2321,Disbursements!$C:$C,0)),"")</f>
        <v>1</v>
      </c>
      <c r="G2321" s="34">
        <v>377</v>
      </c>
      <c r="H2321" s="34">
        <v>3968</v>
      </c>
      <c r="I2321" s="34" t="s">
        <v>1359</v>
      </c>
      <c r="J2321" s="48"/>
      <c r="K2321" s="48"/>
      <c r="L2321" s="48"/>
      <c r="M2321" s="48"/>
      <c r="N2321" s="59"/>
      <c r="O2321" s="59"/>
      <c r="P2321" s="59">
        <v>100000</v>
      </c>
      <c r="Q2321" s="268">
        <f t="shared" si="109"/>
        <v>100000</v>
      </c>
      <c r="R2321" s="61">
        <f>IF(O2321=0,0,SUMIFS(Disbursements!$T:$T,Disbursements!$B:$B,'Live Collections'!D2321,Disbursements!$D:$D,'Live Collections'!F2321))</f>
        <v>0</v>
      </c>
      <c r="S2321" s="304">
        <f>IF(O2321&lt;=IF($O2321=0,0,SUMIFS(Disbursements!$W:$W,Disbursements!$B:$B,'Live Collections'!D3063,Disbursements!$D:$D,'Live Collections'!F3063)),O2321,IF($O2321=0,0,SUMIFS(Disbursements!$W:$W,Disbursements!$B:$B,'Live Collections'!D3063,Disbursements!$D:$D,'Live Collections'!F3063)))</f>
        <v>0</v>
      </c>
      <c r="T2321" s="304">
        <f t="shared" si="111"/>
        <v>0</v>
      </c>
      <c r="U2321" s="52"/>
      <c r="V2321" s="34"/>
      <c r="W2321" s="408"/>
    </row>
    <row r="2322" spans="1:23" ht="12.75" customHeight="1" x14ac:dyDescent="0.2">
      <c r="A2322" s="257">
        <v>2304</v>
      </c>
      <c r="B2322" s="44">
        <v>44545</v>
      </c>
      <c r="C2322" s="44">
        <f t="shared" si="110"/>
        <v>44545</v>
      </c>
      <c r="D2322" s="374">
        <v>305</v>
      </c>
      <c r="E2322" s="291" t="str">
        <f>IFERROR(VLOOKUP($D2322,'Clients-Live'!$A:$C,3,0),"")</f>
        <v>ANDIKU KALOLI</v>
      </c>
      <c r="F2322" s="291" t="str">
        <f>IFERROR(INDEX(Disbursements!$D:$D,MATCH('Live Collections'!G2322,Disbursements!$C:$C,0)),"")</f>
        <v/>
      </c>
      <c r="G2322" s="34"/>
      <c r="H2322" s="34">
        <v>3750</v>
      </c>
      <c r="I2322" s="34" t="s">
        <v>1924</v>
      </c>
      <c r="J2322" s="48">
        <v>15000</v>
      </c>
      <c r="K2322" s="48">
        <v>5000</v>
      </c>
      <c r="L2322" s="48"/>
      <c r="M2322" s="48"/>
      <c r="N2322" s="59"/>
      <c r="O2322" s="59"/>
      <c r="P2322" s="59"/>
      <c r="Q2322" s="268">
        <f t="shared" si="109"/>
        <v>20000</v>
      </c>
      <c r="R2322" s="61">
        <f>IF(O2322=0,0,SUMIFS(Disbursements!$T:$T,Disbursements!$B:$B,'Live Collections'!D2322,Disbursements!$D:$D,'Live Collections'!F2322))</f>
        <v>0</v>
      </c>
      <c r="S2322" s="304">
        <f>IF(O2322&lt;=IF($O2322=0,0,SUMIFS(Disbursements!$W:$W,Disbursements!$B:$B,'Live Collections'!D3099,Disbursements!$D:$D,'Live Collections'!F3099)),O2322,IF($O2322=0,0,SUMIFS(Disbursements!$W:$W,Disbursements!$B:$B,'Live Collections'!D3099,Disbursements!$D:$D,'Live Collections'!F3099)))</f>
        <v>0</v>
      </c>
      <c r="T2322" s="304">
        <f t="shared" si="111"/>
        <v>0</v>
      </c>
      <c r="U2322" s="52"/>
      <c r="V2322" s="34"/>
      <c r="W2322" s="408"/>
    </row>
    <row r="2323" spans="1:23" ht="12.75" customHeight="1" x14ac:dyDescent="0.2">
      <c r="A2323" s="257">
        <v>2305</v>
      </c>
      <c r="B2323" s="44">
        <v>44545</v>
      </c>
      <c r="C2323" s="44">
        <f t="shared" si="110"/>
        <v>44545</v>
      </c>
      <c r="D2323" s="374">
        <v>305</v>
      </c>
      <c r="E2323" s="291" t="str">
        <f>IFERROR(VLOOKUP($D2323,'Clients-Live'!$A:$C,3,0),"")</f>
        <v>ANDIKU KALOLI</v>
      </c>
      <c r="F2323" s="291" t="str">
        <f>IFERROR(INDEX(Disbursements!$D:$D,MATCH('Live Collections'!G2323,Disbursements!$C:$C,0)),"")</f>
        <v/>
      </c>
      <c r="G2323" s="34"/>
      <c r="H2323" s="34">
        <v>3951</v>
      </c>
      <c r="I2323" s="34" t="s">
        <v>1357</v>
      </c>
      <c r="J2323" s="48"/>
      <c r="K2323" s="48"/>
      <c r="L2323" s="48">
        <v>10000</v>
      </c>
      <c r="M2323" s="48">
        <v>5000</v>
      </c>
      <c r="N2323" s="59"/>
      <c r="O2323" s="59"/>
      <c r="P2323" s="59"/>
      <c r="Q2323" s="268">
        <f t="shared" si="109"/>
        <v>15000</v>
      </c>
      <c r="R2323" s="61">
        <f>IF(O2323=0,0,SUMIFS(Disbursements!$T:$T,Disbursements!$B:$B,'Live Collections'!D2323,Disbursements!$D:$D,'Live Collections'!F2323))</f>
        <v>0</v>
      </c>
      <c r="S2323" s="304">
        <f>IF(O2323&lt;=IF($O2323=0,0,SUMIFS(Disbursements!$W:$W,Disbursements!$B:$B,'Live Collections'!D3100,Disbursements!$D:$D,'Live Collections'!F3100)),O2323,IF($O2323=0,0,SUMIFS(Disbursements!$W:$W,Disbursements!$B:$B,'Live Collections'!D3100,Disbursements!$D:$D,'Live Collections'!F3100)))</f>
        <v>0</v>
      </c>
      <c r="T2323" s="304">
        <f t="shared" si="111"/>
        <v>0</v>
      </c>
      <c r="U2323" s="52"/>
      <c r="V2323" s="34"/>
      <c r="W2323" s="408"/>
    </row>
    <row r="2324" spans="1:23" ht="12.75" customHeight="1" x14ac:dyDescent="0.2">
      <c r="A2324" s="257">
        <v>2306</v>
      </c>
      <c r="B2324" s="44">
        <v>44545</v>
      </c>
      <c r="C2324" s="44">
        <f t="shared" si="110"/>
        <v>44545</v>
      </c>
      <c r="D2324" s="374">
        <v>305</v>
      </c>
      <c r="E2324" s="291" t="str">
        <f>IFERROR(VLOOKUP($D2324,'Clients-Live'!$A:$C,3,0),"")</f>
        <v>ANDIKU KALOLI</v>
      </c>
      <c r="F2324" s="291">
        <f>IFERROR(INDEX(Disbursements!$D:$D,MATCH('Live Collections'!G2324,Disbursements!$C:$C,0)),"")</f>
        <v>1</v>
      </c>
      <c r="G2324" s="34">
        <v>384</v>
      </c>
      <c r="H2324" s="34">
        <v>3952</v>
      </c>
      <c r="I2324" s="34" t="s">
        <v>1357</v>
      </c>
      <c r="J2324" s="48"/>
      <c r="K2324" s="48"/>
      <c r="L2324" s="48"/>
      <c r="M2324" s="48"/>
      <c r="N2324" s="59"/>
      <c r="O2324" s="59"/>
      <c r="P2324" s="59">
        <v>40000</v>
      </c>
      <c r="Q2324" s="268">
        <f t="shared" si="109"/>
        <v>40000</v>
      </c>
      <c r="R2324" s="61">
        <f>IF(O2324=0,0,SUMIFS(Disbursements!$T:$T,Disbursements!$B:$B,'Live Collections'!D2324,Disbursements!$D:$D,'Live Collections'!F2324))</f>
        <v>0</v>
      </c>
      <c r="S2324" s="304">
        <f>IF(O2324&lt;=IF($O2324=0,0,SUMIFS(Disbursements!$W:$W,Disbursements!$B:$B,'Live Collections'!D3101,Disbursements!$D:$D,'Live Collections'!F3101)),O2324,IF($O2324=0,0,SUMIFS(Disbursements!$W:$W,Disbursements!$B:$B,'Live Collections'!D3101,Disbursements!$D:$D,'Live Collections'!F3101)))</f>
        <v>0</v>
      </c>
      <c r="T2324" s="304">
        <f t="shared" si="111"/>
        <v>0</v>
      </c>
      <c r="U2324" s="52"/>
      <c r="V2324" s="34"/>
      <c r="W2324" s="408"/>
    </row>
    <row r="2325" spans="1:23" ht="12.75" customHeight="1" x14ac:dyDescent="0.2">
      <c r="A2325" s="257">
        <v>2330</v>
      </c>
      <c r="B2325" s="44">
        <v>44546</v>
      </c>
      <c r="C2325" s="44">
        <f t="shared" si="110"/>
        <v>44546</v>
      </c>
      <c r="D2325" s="374">
        <v>97</v>
      </c>
      <c r="E2325" s="291" t="str">
        <f>IFERROR(VLOOKUP($D2325,'Clients-Live'!$A:$C,3,0),"")</f>
        <v>DRANDUA JOB CHRISPUS</v>
      </c>
      <c r="F2325" s="291">
        <f>IFERROR(INDEX(Disbursements!$D:$D,MATCH('Live Collections'!G2325,Disbursements!$C:$C,0)),"")</f>
        <v>3</v>
      </c>
      <c r="G2325" s="34">
        <v>202</v>
      </c>
      <c r="H2325" s="34">
        <v>3976</v>
      </c>
      <c r="I2325" s="34" t="s">
        <v>1359</v>
      </c>
      <c r="J2325" s="48"/>
      <c r="K2325" s="48"/>
      <c r="L2325" s="48"/>
      <c r="M2325" s="48"/>
      <c r="N2325" s="59"/>
      <c r="O2325" s="59">
        <v>1000000</v>
      </c>
      <c r="P2325" s="59"/>
      <c r="Q2325" s="268">
        <f t="shared" si="109"/>
        <v>1000000</v>
      </c>
      <c r="R2325" s="61">
        <f>IF(O2325=0,0,SUMIFS(Disbursements!$T:$T,Disbursements!$B:$B,'Live Collections'!D2325,Disbursements!$D:$D,'Live Collections'!F2325))</f>
        <v>3834000</v>
      </c>
      <c r="S2325" s="64">
        <v>-7000</v>
      </c>
      <c r="T2325" s="304">
        <f t="shared" si="111"/>
        <v>1007000</v>
      </c>
      <c r="U2325" s="52"/>
      <c r="V2325" s="34"/>
      <c r="W2325" s="408" t="s">
        <v>2086</v>
      </c>
    </row>
    <row r="2326" spans="1:23" ht="12.75" customHeight="1" x14ac:dyDescent="0.2">
      <c r="A2326" s="257">
        <v>2331</v>
      </c>
      <c r="B2326" s="44">
        <v>44546</v>
      </c>
      <c r="C2326" s="44">
        <f t="shared" si="110"/>
        <v>44546</v>
      </c>
      <c r="D2326" s="374">
        <v>97</v>
      </c>
      <c r="E2326" s="291" t="str">
        <f>IFERROR(VLOOKUP($D2326,'Clients-Live'!$A:$C,3,0),"")</f>
        <v>DRANDUA JOB CHRISPUS</v>
      </c>
      <c r="F2326" s="291">
        <f>IFERROR(INDEX(Disbursements!$D:$D,MATCH('Live Collections'!G2326,Disbursements!$C:$C,0)),"")</f>
        <v>3</v>
      </c>
      <c r="G2326" s="34">
        <v>202</v>
      </c>
      <c r="H2326" s="34">
        <v>1416</v>
      </c>
      <c r="I2326" s="34" t="s">
        <v>1359</v>
      </c>
      <c r="J2326" s="48"/>
      <c r="K2326" s="48"/>
      <c r="L2326" s="48"/>
      <c r="M2326" s="48"/>
      <c r="N2326" s="59"/>
      <c r="O2326" s="59"/>
      <c r="P2326" s="59">
        <v>-1000000</v>
      </c>
      <c r="Q2326" s="268">
        <f t="shared" si="109"/>
        <v>-1000000</v>
      </c>
      <c r="R2326" s="61">
        <f>IF(O2326=0,0,SUMIFS(Disbursements!$T:$T,Disbursements!$B:$B,'Live Collections'!D2326,Disbursements!$D:$D,'Live Collections'!F2326))</f>
        <v>0</v>
      </c>
      <c r="S2326" s="304">
        <f>IF(O2326&lt;=IF($O2326=0,0,SUMIFS(Disbursements!$W:$W,Disbursements!$B:$B,'Live Collections'!D2379,Disbursements!$D:$D,'Live Collections'!F2379)),O2326,IF($O2326=0,0,SUMIFS(Disbursements!$W:$W,Disbursements!$B:$B,'Live Collections'!D2379,Disbursements!$D:$D,'Live Collections'!F2379)))</f>
        <v>0</v>
      </c>
      <c r="T2326" s="304">
        <f t="shared" si="111"/>
        <v>0</v>
      </c>
      <c r="U2326" s="52"/>
      <c r="V2326" s="34"/>
      <c r="W2326" s="408" t="s">
        <v>1927</v>
      </c>
    </row>
    <row r="2327" spans="1:23" ht="12.75" customHeight="1" x14ac:dyDescent="0.2">
      <c r="A2327" s="257">
        <v>2332</v>
      </c>
      <c r="B2327" s="44">
        <v>44546</v>
      </c>
      <c r="C2327" s="44">
        <f t="shared" si="110"/>
        <v>44546</v>
      </c>
      <c r="D2327" s="374">
        <v>97</v>
      </c>
      <c r="E2327" s="291" t="str">
        <f>IFERROR(VLOOKUP($D2327,'Clients-Live'!$A:$C,3,0),"")</f>
        <v>DRANDUA JOB CHRISPUS</v>
      </c>
      <c r="F2327" s="291">
        <f>IFERROR(INDEX(Disbursements!$D:$D,MATCH('Live Collections'!G2327,Disbursements!$C:$C,0)),"")</f>
        <v>3</v>
      </c>
      <c r="G2327" s="34">
        <v>202</v>
      </c>
      <c r="H2327" s="34">
        <v>3977</v>
      </c>
      <c r="I2327" s="34" t="s">
        <v>1359</v>
      </c>
      <c r="J2327" s="48"/>
      <c r="K2327" s="48"/>
      <c r="L2327" s="48"/>
      <c r="M2327" s="48"/>
      <c r="N2327" s="59"/>
      <c r="O2327" s="59">
        <v>800000</v>
      </c>
      <c r="P2327" s="59"/>
      <c r="Q2327" s="268">
        <f t="shared" si="109"/>
        <v>800000</v>
      </c>
      <c r="R2327" s="61">
        <f>IF(O2327=0,0,SUMIFS(Disbursements!$T:$T,Disbursements!$B:$B,'Live Collections'!D2327,Disbursements!$D:$D,'Live Collections'!F2327))</f>
        <v>3834000</v>
      </c>
      <c r="S2327" s="304"/>
      <c r="T2327" s="304">
        <f t="shared" si="111"/>
        <v>800000</v>
      </c>
      <c r="U2327" s="52"/>
      <c r="V2327" s="34"/>
      <c r="W2327" s="408"/>
    </row>
    <row r="2328" spans="1:23" ht="12.75" customHeight="1" x14ac:dyDescent="0.2">
      <c r="A2328" s="257">
        <v>2328</v>
      </c>
      <c r="B2328" s="44">
        <v>44546</v>
      </c>
      <c r="C2328" s="44">
        <f t="shared" si="110"/>
        <v>44546</v>
      </c>
      <c r="D2328" s="374">
        <v>100</v>
      </c>
      <c r="E2328" s="291" t="str">
        <f>IFERROR(VLOOKUP($D2328,'Clients-Live'!$A:$C,3,0),"")</f>
        <v>LETAYO DORCUS</v>
      </c>
      <c r="F2328" s="291">
        <f>IFERROR(INDEX(Disbursements!$D:$D,MATCH('Live Collections'!G2328,Disbursements!$C:$C,0)),"")</f>
        <v>2</v>
      </c>
      <c r="G2328" s="34">
        <v>184</v>
      </c>
      <c r="H2328" s="34">
        <v>3980</v>
      </c>
      <c r="I2328" s="34" t="s">
        <v>1357</v>
      </c>
      <c r="J2328" s="48"/>
      <c r="K2328" s="48"/>
      <c r="L2328" s="48"/>
      <c r="M2328" s="48"/>
      <c r="N2328" s="59"/>
      <c r="O2328" s="59">
        <v>25000</v>
      </c>
      <c r="P2328" s="59"/>
      <c r="Q2328" s="268">
        <f t="shared" si="109"/>
        <v>25000</v>
      </c>
      <c r="R2328" s="61">
        <f>IF(O2328=0,0,SUMIFS(Disbursements!$T:$T,Disbursements!$B:$B,'Live Collections'!D2328,Disbursements!$D:$D,'Live Collections'!F2328))</f>
        <v>150000</v>
      </c>
      <c r="S2328" s="304">
        <f>IF(O2328&lt;=IF($O2328=0,0,SUMIFS(Disbursements!$W:$W,Disbursements!$B:$B,'Live Collections'!#REF!,Disbursements!$D:$D,'Live Collections'!#REF!)),O2328,IF($O2328=0,0,SUMIFS(Disbursements!$W:$W,Disbursements!$B:$B,'Live Collections'!#REF!,Disbursements!$D:$D,'Live Collections'!#REF!)))</f>
        <v>0</v>
      </c>
      <c r="T2328" s="304">
        <f t="shared" si="111"/>
        <v>25000</v>
      </c>
      <c r="U2328" s="52"/>
      <c r="V2328" s="34"/>
      <c r="W2328" s="408"/>
    </row>
    <row r="2329" spans="1:23" ht="12.75" customHeight="1" x14ac:dyDescent="0.2">
      <c r="A2329" s="257">
        <v>2319</v>
      </c>
      <c r="B2329" s="44">
        <v>44546</v>
      </c>
      <c r="C2329" s="44">
        <f t="shared" si="110"/>
        <v>44546</v>
      </c>
      <c r="D2329" s="374">
        <v>139</v>
      </c>
      <c r="E2329" s="291" t="str">
        <f>IFERROR(VLOOKUP($D2329,'Clients-Live'!$A:$C,3,0),"")</f>
        <v xml:space="preserve">DRICHIRU MAIMUNA </v>
      </c>
      <c r="F2329" s="291">
        <f>IFERROR(INDEX(Disbursements!$D:$D,MATCH('Live Collections'!G2329,Disbursements!$C:$C,0)),"")</f>
        <v>1</v>
      </c>
      <c r="G2329" s="34">
        <v>123</v>
      </c>
      <c r="H2329" s="34">
        <v>3985</v>
      </c>
      <c r="I2329" s="34" t="s">
        <v>1359</v>
      </c>
      <c r="J2329" s="48"/>
      <c r="K2329" s="48"/>
      <c r="L2329" s="48"/>
      <c r="M2329" s="48"/>
      <c r="N2329" s="59"/>
      <c r="O2329" s="59">
        <v>30000</v>
      </c>
      <c r="P2329" s="59"/>
      <c r="Q2329" s="268">
        <f t="shared" si="109"/>
        <v>30000</v>
      </c>
      <c r="R2329" s="61">
        <f>IF(O2329=0,0,SUMIFS(Disbursements!$T:$T,Disbursements!$B:$B,'Live Collections'!D2329,Disbursements!$D:$D,'Live Collections'!F2329))</f>
        <v>115000</v>
      </c>
      <c r="S2329" s="304">
        <f>IF(O2329&lt;=IF($O2329=0,0,SUMIFS(Disbursements!$W:$W,Disbursements!$B:$B,'Live Collections'!D1762,Disbursements!$D:$D,'Live Collections'!F1762)),O2329,IF($O2329=0,0,SUMIFS(Disbursements!$W:$W,Disbursements!$B:$B,'Live Collections'!D1762,Disbursements!$D:$D,'Live Collections'!F1762)))</f>
        <v>0</v>
      </c>
      <c r="T2329" s="304">
        <f t="shared" si="111"/>
        <v>30000</v>
      </c>
      <c r="U2329" s="52"/>
      <c r="V2329" s="34"/>
      <c r="W2329" s="408" t="s">
        <v>1925</v>
      </c>
    </row>
    <row r="2330" spans="1:23" ht="12.75" customHeight="1" x14ac:dyDescent="0.2">
      <c r="A2330" s="257">
        <v>2320</v>
      </c>
      <c r="B2330" s="44">
        <v>44546</v>
      </c>
      <c r="C2330" s="44">
        <f t="shared" si="110"/>
        <v>44546</v>
      </c>
      <c r="D2330" s="374">
        <v>139</v>
      </c>
      <c r="E2330" s="291" t="str">
        <f>IFERROR(VLOOKUP($D2330,'Clients-Live'!$A:$C,3,0),"")</f>
        <v xml:space="preserve">DRICHIRU MAIMUNA </v>
      </c>
      <c r="F2330" s="291">
        <f>IFERROR(INDEX(Disbursements!$D:$D,MATCH('Live Collections'!G2330,Disbursements!$C:$C,0)),"")</f>
        <v>1</v>
      </c>
      <c r="G2330" s="34">
        <v>123</v>
      </c>
      <c r="H2330" s="34">
        <v>1412</v>
      </c>
      <c r="I2330" s="34" t="s">
        <v>1359</v>
      </c>
      <c r="J2330" s="48"/>
      <c r="K2330" s="48"/>
      <c r="L2330" s="48"/>
      <c r="M2330" s="48"/>
      <c r="N2330" s="59"/>
      <c r="O2330" s="59"/>
      <c r="P2330" s="59">
        <v>-30000</v>
      </c>
      <c r="Q2330" s="268">
        <f t="shared" si="109"/>
        <v>-30000</v>
      </c>
      <c r="R2330" s="61">
        <f>IF(O2330=0,0,SUMIFS(Disbursements!$T:$T,Disbursements!$B:$B,'Live Collections'!D2330,Disbursements!$D:$D,'Live Collections'!F2330))</f>
        <v>0</v>
      </c>
      <c r="S2330" s="304">
        <f>IF(O2330&lt;=IF($O2330=0,0,SUMIFS(Disbursements!$W:$W,Disbursements!$B:$B,'Live Collections'!D1763,Disbursements!$D:$D,'Live Collections'!F1763)),O2330,IF($O2330=0,0,SUMIFS(Disbursements!$W:$W,Disbursements!$B:$B,'Live Collections'!D1763,Disbursements!$D:$D,'Live Collections'!F1763)))</f>
        <v>0</v>
      </c>
      <c r="T2330" s="304">
        <f t="shared" si="111"/>
        <v>0</v>
      </c>
      <c r="U2330" s="52"/>
      <c r="V2330" s="34"/>
      <c r="W2330" s="408"/>
    </row>
    <row r="2331" spans="1:23" ht="12.75" customHeight="1" x14ac:dyDescent="0.2">
      <c r="A2331" s="257">
        <v>2321</v>
      </c>
      <c r="B2331" s="44">
        <v>44546</v>
      </c>
      <c r="C2331" s="44">
        <f t="shared" si="110"/>
        <v>44546</v>
      </c>
      <c r="D2331" s="374">
        <v>139</v>
      </c>
      <c r="E2331" s="291" t="str">
        <f>IFERROR(VLOOKUP($D2331,'Clients-Live'!$A:$C,3,0),"")</f>
        <v xml:space="preserve">DRICHIRU MAIMUNA </v>
      </c>
      <c r="F2331" s="291">
        <f>IFERROR(INDEX(Disbursements!$D:$D,MATCH('Live Collections'!G2331,Disbursements!$C:$C,0)),"")</f>
        <v>1</v>
      </c>
      <c r="G2331" s="34">
        <v>123</v>
      </c>
      <c r="H2331" s="34">
        <v>3986</v>
      </c>
      <c r="I2331" s="34" t="s">
        <v>1359</v>
      </c>
      <c r="J2331" s="48"/>
      <c r="K2331" s="48"/>
      <c r="L2331" s="48"/>
      <c r="M2331" s="48"/>
      <c r="N2331" s="59"/>
      <c r="O2331" s="59">
        <v>5000</v>
      </c>
      <c r="P2331" s="59"/>
      <c r="Q2331" s="268">
        <f t="shared" si="109"/>
        <v>5000</v>
      </c>
      <c r="R2331" s="61">
        <f>IF(O2331=0,0,SUMIFS(Disbursements!$T:$T,Disbursements!$B:$B,'Live Collections'!D2331,Disbursements!$D:$D,'Live Collections'!F2331))</f>
        <v>115000</v>
      </c>
      <c r="S2331" s="304">
        <f>IF(O2331&lt;=IF($O2331=0,0,SUMIFS(Disbursements!$W:$W,Disbursements!$B:$B,'Live Collections'!D1764,Disbursements!$D:$D,'Live Collections'!F1764)),O2331,IF($O2331=0,0,SUMIFS(Disbursements!$W:$W,Disbursements!$B:$B,'Live Collections'!D1764,Disbursements!$D:$D,'Live Collections'!F1764)))</f>
        <v>0</v>
      </c>
      <c r="T2331" s="304">
        <f t="shared" si="111"/>
        <v>5000</v>
      </c>
      <c r="U2331" s="52"/>
      <c r="V2331" s="34"/>
      <c r="W2331" s="408"/>
    </row>
    <row r="2332" spans="1:23" ht="12.75" customHeight="1" x14ac:dyDescent="0.2">
      <c r="A2332" s="257">
        <v>2322</v>
      </c>
      <c r="B2332" s="44">
        <v>44546</v>
      </c>
      <c r="C2332" s="44">
        <f t="shared" si="110"/>
        <v>44546</v>
      </c>
      <c r="D2332" s="374">
        <v>145</v>
      </c>
      <c r="E2332" s="291" t="str">
        <f>IFERROR(VLOOKUP($D2332,'Clients-Live'!$A:$C,3,0),"")</f>
        <v>NIGHT ASARA</v>
      </c>
      <c r="F2332" s="291">
        <f>IFERROR(INDEX(Disbursements!$D:$D,MATCH('Live Collections'!G2332,Disbursements!$C:$C,0)),"")</f>
        <v>1</v>
      </c>
      <c r="G2332" s="34">
        <v>132</v>
      </c>
      <c r="H2332" s="34">
        <v>3983</v>
      </c>
      <c r="I2332" s="34" t="s">
        <v>1357</v>
      </c>
      <c r="J2332" s="48"/>
      <c r="K2332" s="48"/>
      <c r="L2332" s="48"/>
      <c r="M2332" s="48"/>
      <c r="N2332" s="59"/>
      <c r="O2332" s="59">
        <v>40000</v>
      </c>
      <c r="P2332" s="59"/>
      <c r="Q2332" s="268">
        <f t="shared" si="109"/>
        <v>40000</v>
      </c>
      <c r="R2332" s="61">
        <f>IF(O2332=0,0,SUMIFS(Disbursements!$T:$T,Disbursements!$B:$B,'Live Collections'!D2332,Disbursements!$D:$D,'Live Collections'!F2332))</f>
        <v>120000</v>
      </c>
      <c r="S2332" s="304"/>
      <c r="T2332" s="304">
        <f t="shared" si="111"/>
        <v>40000</v>
      </c>
      <c r="U2332" s="52"/>
      <c r="V2332" s="34"/>
      <c r="W2332" s="408"/>
    </row>
    <row r="2333" spans="1:23" ht="12.75" customHeight="1" x14ac:dyDescent="0.2">
      <c r="A2333" s="257">
        <v>2324</v>
      </c>
      <c r="B2333" s="44">
        <v>44546</v>
      </c>
      <c r="C2333" s="44">
        <f t="shared" si="110"/>
        <v>44546</v>
      </c>
      <c r="D2333" s="374">
        <v>146</v>
      </c>
      <c r="E2333" s="291" t="str">
        <f>IFERROR(VLOOKUP($D2333,'Clients-Live'!$A:$C,3,0),"")</f>
        <v>IMBIRA AISHA</v>
      </c>
      <c r="F2333" s="291">
        <f>IFERROR(INDEX(Disbursements!$D:$D,MATCH('Live Collections'!G2333,Disbursements!$C:$C,0)),"")</f>
        <v>1</v>
      </c>
      <c r="G2333" s="34">
        <v>133</v>
      </c>
      <c r="H2333" s="34">
        <v>3981</v>
      </c>
      <c r="I2333" s="34" t="s">
        <v>1357</v>
      </c>
      <c r="J2333" s="48"/>
      <c r="K2333" s="48"/>
      <c r="L2333" s="48"/>
      <c r="M2333" s="48"/>
      <c r="N2333" s="59"/>
      <c r="O2333" s="59">
        <v>50000</v>
      </c>
      <c r="P2333" s="59"/>
      <c r="Q2333" s="268">
        <f t="shared" si="109"/>
        <v>50000</v>
      </c>
      <c r="R2333" s="61">
        <f>IF(O2333=0,0,SUMIFS(Disbursements!$T:$T,Disbursements!$B:$B,'Live Collections'!D2333,Disbursements!$D:$D,'Live Collections'!F2333))</f>
        <v>120000</v>
      </c>
      <c r="S2333" s="304">
        <f>IF(O2333&lt;=IF($O2333=0,0,SUMIFS(Disbursements!$W:$W,Disbursements!$B:$B,'Live Collections'!D1849,Disbursements!$D:$D,'Live Collections'!F1849)),O2333,IF($O2333=0,0,SUMIFS(Disbursements!$W:$W,Disbursements!$B:$B,'Live Collections'!D1849,Disbursements!$D:$D,'Live Collections'!F1849)))</f>
        <v>0</v>
      </c>
      <c r="T2333" s="304">
        <f t="shared" si="111"/>
        <v>50000</v>
      </c>
      <c r="U2333" s="52"/>
      <c r="V2333" s="34"/>
      <c r="W2333" s="408" t="s">
        <v>1926</v>
      </c>
    </row>
    <row r="2334" spans="1:23" ht="12.75" customHeight="1" x14ac:dyDescent="0.2">
      <c r="A2334" s="257">
        <v>2325</v>
      </c>
      <c r="B2334" s="44">
        <v>44546</v>
      </c>
      <c r="C2334" s="44">
        <f t="shared" si="110"/>
        <v>44546</v>
      </c>
      <c r="D2334" s="374">
        <v>146</v>
      </c>
      <c r="E2334" s="291" t="str">
        <f>IFERROR(VLOOKUP($D2334,'Clients-Live'!$A:$C,3,0),"")</f>
        <v>IMBIRA AISHA</v>
      </c>
      <c r="F2334" s="291">
        <f>IFERROR(INDEX(Disbursements!$D:$D,MATCH('Live Collections'!G2334,Disbursements!$C:$C,0)),"")</f>
        <v>1</v>
      </c>
      <c r="G2334" s="34">
        <v>133</v>
      </c>
      <c r="H2334" s="34">
        <v>1413</v>
      </c>
      <c r="I2334" s="34" t="s">
        <v>1357</v>
      </c>
      <c r="J2334" s="48"/>
      <c r="K2334" s="48"/>
      <c r="L2334" s="48"/>
      <c r="M2334" s="48"/>
      <c r="N2334" s="59"/>
      <c r="O2334" s="59"/>
      <c r="P2334" s="59">
        <v>-50000</v>
      </c>
      <c r="Q2334" s="268">
        <f t="shared" si="109"/>
        <v>-50000</v>
      </c>
      <c r="R2334" s="61">
        <f>IF(O2334=0,0,SUMIFS(Disbursements!$T:$T,Disbursements!$B:$B,'Live Collections'!D2334,Disbursements!$D:$D,'Live Collections'!F2334))</f>
        <v>0</v>
      </c>
      <c r="S2334" s="304">
        <f>IF(O2334&lt;=IF($O2334=0,0,SUMIFS(Disbursements!$W:$W,Disbursements!$B:$B,'Live Collections'!D1850,Disbursements!$D:$D,'Live Collections'!F1850)),O2334,IF($O2334=0,0,SUMIFS(Disbursements!$W:$W,Disbursements!$B:$B,'Live Collections'!D1850,Disbursements!$D:$D,'Live Collections'!F1850)))</f>
        <v>0</v>
      </c>
      <c r="T2334" s="304">
        <f t="shared" si="111"/>
        <v>0</v>
      </c>
      <c r="U2334" s="52"/>
      <c r="V2334" s="34"/>
      <c r="W2334" s="408"/>
    </row>
    <row r="2335" spans="1:23" ht="12.75" customHeight="1" x14ac:dyDescent="0.2">
      <c r="A2335" s="257">
        <v>2326</v>
      </c>
      <c r="B2335" s="44">
        <v>44546</v>
      </c>
      <c r="C2335" s="44">
        <f t="shared" si="110"/>
        <v>44546</v>
      </c>
      <c r="D2335" s="374">
        <v>146</v>
      </c>
      <c r="E2335" s="291" t="str">
        <f>IFERROR(VLOOKUP($D2335,'Clients-Live'!$A:$C,3,0),"")</f>
        <v>IMBIRA AISHA</v>
      </c>
      <c r="F2335" s="291">
        <f>IFERROR(INDEX(Disbursements!$D:$D,MATCH('Live Collections'!G2335,Disbursements!$C:$C,0)),"")</f>
        <v>1</v>
      </c>
      <c r="G2335" s="34">
        <v>133</v>
      </c>
      <c r="H2335" s="34">
        <v>3982</v>
      </c>
      <c r="I2335" s="34" t="s">
        <v>1357</v>
      </c>
      <c r="J2335" s="48"/>
      <c r="K2335" s="48"/>
      <c r="L2335" s="48"/>
      <c r="M2335" s="48"/>
      <c r="N2335" s="59"/>
      <c r="O2335" s="59">
        <v>70000</v>
      </c>
      <c r="P2335" s="59"/>
      <c r="Q2335" s="268">
        <f t="shared" si="109"/>
        <v>70000</v>
      </c>
      <c r="R2335" s="61">
        <f>IF(O2335=0,0,SUMIFS(Disbursements!$T:$T,Disbursements!$B:$B,'Live Collections'!D2335,Disbursements!$D:$D,'Live Collections'!F2335))</f>
        <v>120000</v>
      </c>
      <c r="S2335" s="304">
        <f>IF(O2335&lt;=IF($O2335=0,0,SUMIFS(Disbursements!$W:$W,Disbursements!$B:$B,'Live Collections'!D1851,Disbursements!$D:$D,'Live Collections'!F1851)),O2335,IF($O2335=0,0,SUMIFS(Disbursements!$W:$W,Disbursements!$B:$B,'Live Collections'!D1851,Disbursements!$D:$D,'Live Collections'!F1851)))</f>
        <v>0</v>
      </c>
      <c r="T2335" s="304">
        <f t="shared" si="111"/>
        <v>70000</v>
      </c>
      <c r="U2335" s="52"/>
      <c r="V2335" s="34"/>
      <c r="W2335" s="408"/>
    </row>
    <row r="2336" spans="1:23" ht="12.75" customHeight="1" x14ac:dyDescent="0.2">
      <c r="A2336" s="257">
        <v>2327</v>
      </c>
      <c r="B2336" s="44">
        <v>44546</v>
      </c>
      <c r="C2336" s="44">
        <f t="shared" si="110"/>
        <v>44546</v>
      </c>
      <c r="D2336" s="374">
        <v>197</v>
      </c>
      <c r="E2336" s="291" t="str">
        <f>IFERROR(VLOOKUP($D2336,'Clients-Live'!$A:$C,3,0),"")</f>
        <v>SIYESA JAMILA</v>
      </c>
      <c r="F2336" s="291">
        <f>IFERROR(INDEX(Disbursements!$D:$D,MATCH('Live Collections'!G2336,Disbursements!$C:$C,0)),"")</f>
        <v>1</v>
      </c>
      <c r="G2336" s="34">
        <v>192</v>
      </c>
      <c r="H2336" s="34">
        <v>3978</v>
      </c>
      <c r="I2336" s="34" t="s">
        <v>1358</v>
      </c>
      <c r="J2336" s="48"/>
      <c r="K2336" s="48"/>
      <c r="L2336" s="48"/>
      <c r="M2336" s="48"/>
      <c r="N2336" s="59"/>
      <c r="O2336" s="59">
        <v>70000</v>
      </c>
      <c r="P2336" s="59"/>
      <c r="Q2336" s="268">
        <f t="shared" si="109"/>
        <v>70000</v>
      </c>
      <c r="R2336" s="61">
        <f>IF(O2336=0,0,SUMIFS(Disbursements!$T:$T,Disbursements!$B:$B,'Live Collections'!D2336,Disbursements!$D:$D,'Live Collections'!F2336))</f>
        <v>120000</v>
      </c>
      <c r="S2336" s="304"/>
      <c r="T2336" s="304">
        <f t="shared" si="111"/>
        <v>70000</v>
      </c>
      <c r="U2336" s="52"/>
      <c r="V2336" s="34"/>
      <c r="W2336" s="408"/>
    </row>
    <row r="2337" spans="1:23" ht="12.75" customHeight="1" x14ac:dyDescent="0.2">
      <c r="A2337" s="257">
        <v>2323</v>
      </c>
      <c r="B2337" s="44">
        <v>44546</v>
      </c>
      <c r="C2337" s="44">
        <f t="shared" si="110"/>
        <v>44546</v>
      </c>
      <c r="D2337" s="374">
        <v>206</v>
      </c>
      <c r="E2337" s="291" t="str">
        <f>IFERROR(VLOOKUP($D2337,'Clients-Live'!$A:$C,3,0),"")</f>
        <v>AMILE AISHA</v>
      </c>
      <c r="F2337" s="291">
        <f>IFERROR(INDEX(Disbursements!$D:$D,MATCH('Live Collections'!G2337,Disbursements!$C:$C,0)),"")</f>
        <v>1</v>
      </c>
      <c r="G2337" s="34">
        <v>214</v>
      </c>
      <c r="H2337" s="34">
        <v>3979</v>
      </c>
      <c r="I2337" s="34" t="s">
        <v>1357</v>
      </c>
      <c r="J2337" s="48"/>
      <c r="K2337" s="48"/>
      <c r="L2337" s="48"/>
      <c r="M2337" s="48"/>
      <c r="N2337" s="59"/>
      <c r="O2337" s="59">
        <v>20000</v>
      </c>
      <c r="P2337" s="59"/>
      <c r="Q2337" s="268">
        <f t="shared" si="109"/>
        <v>20000</v>
      </c>
      <c r="R2337" s="61">
        <f>IF(O2337=0,0,SUMIFS(Disbursements!$T:$T,Disbursements!$B:$B,'Live Collections'!D2337,Disbursements!$D:$D,'Live Collections'!F2337))</f>
        <v>120000</v>
      </c>
      <c r="S2337" s="304">
        <f>IF(O2337&lt;=IF($O2337=0,0,SUMIFS(Disbursements!$W:$W,Disbursements!$B:$B,'Live Collections'!D2440,Disbursements!$D:$D,'Live Collections'!F2440)),O2337,IF($O2337=0,0,SUMIFS(Disbursements!$W:$W,Disbursements!$B:$B,'Live Collections'!D2440,Disbursements!$D:$D,'Live Collections'!F2440)))</f>
        <v>0</v>
      </c>
      <c r="T2337" s="304">
        <f t="shared" si="111"/>
        <v>20000</v>
      </c>
      <c r="U2337" s="52"/>
      <c r="V2337" s="34"/>
      <c r="W2337" s="408"/>
    </row>
    <row r="2338" spans="1:23" ht="12.75" customHeight="1" x14ac:dyDescent="0.2">
      <c r="A2338" s="257">
        <v>2329</v>
      </c>
      <c r="B2338" s="44">
        <v>44546</v>
      </c>
      <c r="C2338" s="44">
        <f t="shared" si="110"/>
        <v>44546</v>
      </c>
      <c r="D2338" s="374">
        <v>246</v>
      </c>
      <c r="E2338" s="291" t="str">
        <f>IFERROR(VLOOKUP($D2338,'Clients-Live'!$A:$C,3,0),"")</f>
        <v>ALOMO ZAIDA</v>
      </c>
      <c r="F2338" s="291">
        <f>IFERROR(INDEX(Disbursements!$D:$D,MATCH('Live Collections'!G2338,Disbursements!$C:$C,0)),"")</f>
        <v>1</v>
      </c>
      <c r="G2338" s="34">
        <v>271</v>
      </c>
      <c r="H2338" s="34">
        <v>3975</v>
      </c>
      <c r="I2338" s="34" t="s">
        <v>1357</v>
      </c>
      <c r="J2338" s="48"/>
      <c r="K2338" s="48"/>
      <c r="L2338" s="48"/>
      <c r="M2338" s="48"/>
      <c r="N2338" s="59"/>
      <c r="O2338" s="59">
        <v>30000</v>
      </c>
      <c r="P2338" s="59"/>
      <c r="Q2338" s="268">
        <f t="shared" si="109"/>
        <v>30000</v>
      </c>
      <c r="R2338" s="61">
        <f>IF(O2338=0,0,SUMIFS(Disbursements!$T:$T,Disbursements!$B:$B,'Live Collections'!D2338,Disbursements!$D:$D,'Live Collections'!F2338))</f>
        <v>120000</v>
      </c>
      <c r="S2338" s="304"/>
      <c r="T2338" s="304">
        <f t="shared" si="111"/>
        <v>30000</v>
      </c>
      <c r="U2338" s="52"/>
      <c r="V2338" s="34"/>
      <c r="W2338" s="408"/>
    </row>
    <row r="2339" spans="1:23" ht="12.75" customHeight="1" x14ac:dyDescent="0.2">
      <c r="A2339" s="257">
        <v>2336</v>
      </c>
      <c r="B2339" s="44">
        <v>44547</v>
      </c>
      <c r="C2339" s="44">
        <f t="shared" si="110"/>
        <v>44547</v>
      </c>
      <c r="D2339" s="374">
        <v>10</v>
      </c>
      <c r="E2339" s="291" t="str">
        <f>IFERROR(VLOOKUP($D2339,'Clients-Live'!$A:$C,3,0),"")</f>
        <v>WARU ARIEYE VALENTINA CHARLES</v>
      </c>
      <c r="F2339" s="291">
        <f>IFERROR(INDEX(Disbursements!$D:$D,MATCH('Live Collections'!G2339,Disbursements!$C:$C,0)),"")</f>
        <v>1</v>
      </c>
      <c r="G2339" s="34">
        <v>334</v>
      </c>
      <c r="H2339" s="34">
        <v>3929</v>
      </c>
      <c r="I2339" s="34" t="s">
        <v>1357</v>
      </c>
      <c r="J2339" s="48"/>
      <c r="K2339" s="48"/>
      <c r="L2339" s="48"/>
      <c r="M2339" s="48"/>
      <c r="N2339" s="59"/>
      <c r="O2339" s="59">
        <v>125000</v>
      </c>
      <c r="P2339" s="59"/>
      <c r="Q2339" s="268">
        <f t="shared" si="109"/>
        <v>125000</v>
      </c>
      <c r="R2339" s="61">
        <f>IF(O2339=0,0,SUMIFS(Disbursements!$T:$T,Disbursements!$B:$B,'Live Collections'!D2339,Disbursements!$D:$D,'Live Collections'!F2339))</f>
        <v>125000</v>
      </c>
      <c r="S2339" s="304">
        <f>IF(O2339&lt;=IF($O2339=0,0,SUMIFS(Disbursements!$W:$W,Disbursements!$B:$B,'Live Collections'!D103,Disbursements!$D:$D,'Live Collections'!F103)),O2339,IF($O2339=0,0,SUMIFS(Disbursements!$W:$W,Disbursements!$B:$B,'Live Collections'!D103,Disbursements!$D:$D,'Live Collections'!F103)))</f>
        <v>0</v>
      </c>
      <c r="T2339" s="304">
        <f t="shared" si="111"/>
        <v>125000</v>
      </c>
      <c r="U2339" s="52"/>
      <c r="V2339" s="34"/>
      <c r="W2339" s="408"/>
    </row>
    <row r="2340" spans="1:23" ht="12.75" customHeight="1" x14ac:dyDescent="0.2">
      <c r="A2340" s="257">
        <v>2335</v>
      </c>
      <c r="B2340" s="44">
        <v>44547</v>
      </c>
      <c r="C2340" s="44">
        <f t="shared" si="110"/>
        <v>44547</v>
      </c>
      <c r="D2340" s="374">
        <v>62</v>
      </c>
      <c r="E2340" s="291" t="str">
        <f>IFERROR(VLOOKUP($D2340,'Clients-Live'!$A:$C,3,0),"")</f>
        <v>DUDU ARIKE</v>
      </c>
      <c r="F2340" s="291">
        <f>IFERROR(INDEX(Disbursements!$D:$D,MATCH('Live Collections'!G2340,Disbursements!$C:$C,0)),"")</f>
        <v>1</v>
      </c>
      <c r="G2340" s="34">
        <v>44</v>
      </c>
      <c r="H2340" s="34">
        <v>3931</v>
      </c>
      <c r="I2340" s="34" t="s">
        <v>1357</v>
      </c>
      <c r="J2340" s="48"/>
      <c r="K2340" s="48"/>
      <c r="L2340" s="48"/>
      <c r="M2340" s="48"/>
      <c r="N2340" s="59"/>
      <c r="O2340" s="59">
        <v>83000</v>
      </c>
      <c r="P2340" s="59"/>
      <c r="Q2340" s="268">
        <f t="shared" si="109"/>
        <v>83000</v>
      </c>
      <c r="R2340" s="61">
        <f>IF(O2340=0,0,SUMIFS(Disbursements!$T:$T,Disbursements!$B:$B,'Live Collections'!D2340,Disbursements!$D:$D,'Live Collections'!F2340))</f>
        <v>217000</v>
      </c>
      <c r="S2340" s="304">
        <f>IF(O2340&lt;=IF($O2340=0,0,SUMIFS(Disbursements!$W:$W,Disbursements!$B:$B,'Live Collections'!D746,Disbursements!$D:$D,'Live Collections'!F746)),O2340,IF($O2340=0,0,SUMIFS(Disbursements!$W:$W,Disbursements!$B:$B,'Live Collections'!D746,Disbursements!$D:$D,'Live Collections'!F746)))</f>
        <v>25000</v>
      </c>
      <c r="T2340" s="304">
        <f t="shared" si="111"/>
        <v>58000</v>
      </c>
      <c r="U2340" s="52"/>
      <c r="V2340" s="34"/>
      <c r="W2340" s="408"/>
    </row>
    <row r="2341" spans="1:23" ht="12.75" customHeight="1" x14ac:dyDescent="0.2">
      <c r="A2341" s="257">
        <v>2334</v>
      </c>
      <c r="B2341" s="44">
        <v>44547</v>
      </c>
      <c r="C2341" s="44">
        <f t="shared" si="110"/>
        <v>44547</v>
      </c>
      <c r="D2341" s="374">
        <v>66</v>
      </c>
      <c r="E2341" s="291" t="str">
        <f>IFERROR(VLOOKUP($D2341,'Clients-Live'!$A:$C,3,0),"")</f>
        <v>DENAYA NYAMAZA</v>
      </c>
      <c r="F2341" s="291">
        <f>IFERROR(INDEX(Disbursements!$D:$D,MATCH('Live Collections'!G2341,Disbursements!$C:$C,0)),"")</f>
        <v>2</v>
      </c>
      <c r="G2341" s="34">
        <v>300</v>
      </c>
      <c r="H2341" s="34">
        <v>3930</v>
      </c>
      <c r="I2341" s="34" t="s">
        <v>1357</v>
      </c>
      <c r="J2341" s="48"/>
      <c r="K2341" s="48"/>
      <c r="L2341" s="48"/>
      <c r="M2341" s="48"/>
      <c r="N2341" s="59"/>
      <c r="O2341" s="59">
        <v>100000</v>
      </c>
      <c r="P2341" s="59"/>
      <c r="Q2341" s="268">
        <f t="shared" si="109"/>
        <v>100000</v>
      </c>
      <c r="R2341" s="61">
        <f>IF(O2341=0,0,SUMIFS(Disbursements!$T:$T,Disbursements!$B:$B,'Live Collections'!D2341,Disbursements!$D:$D,'Live Collections'!F2341))</f>
        <v>109000</v>
      </c>
      <c r="S2341" s="304">
        <f>IF(O2341&lt;=IF($O2341=0,0,SUMIFS(Disbursements!$W:$W,Disbursements!$B:$B,'Live Collections'!D817,Disbursements!$D:$D,'Live Collections'!F817)),O2341,IF($O2341=0,0,SUMIFS(Disbursements!$W:$W,Disbursements!$B:$B,'Live Collections'!D817,Disbursements!$D:$D,'Live Collections'!F817)))</f>
        <v>60000</v>
      </c>
      <c r="T2341" s="304">
        <f t="shared" si="111"/>
        <v>40000</v>
      </c>
      <c r="U2341" s="52"/>
      <c r="V2341" s="34"/>
      <c r="W2341" s="408"/>
    </row>
    <row r="2342" spans="1:23" ht="12.75" customHeight="1" x14ac:dyDescent="0.2">
      <c r="A2342" s="257">
        <v>2337</v>
      </c>
      <c r="B2342" s="44">
        <v>44547</v>
      </c>
      <c r="C2342" s="44">
        <f t="shared" si="110"/>
        <v>44547</v>
      </c>
      <c r="D2342" s="374">
        <v>77</v>
      </c>
      <c r="E2342" s="291" t="str">
        <f>IFERROR(VLOOKUP($D2342,'Clients-Live'!$A:$C,3,0),"")</f>
        <v>CACA FATUMA</v>
      </c>
      <c r="F2342" s="291">
        <f>IFERROR(INDEX(Disbursements!$D:$D,MATCH('Live Collections'!G2342,Disbursements!$C:$C,0)),"")</f>
        <v>2</v>
      </c>
      <c r="G2342" s="34">
        <v>315</v>
      </c>
      <c r="H2342" s="34">
        <v>3928</v>
      </c>
      <c r="I2342" s="34" t="s">
        <v>1357</v>
      </c>
      <c r="J2342" s="48"/>
      <c r="K2342" s="48"/>
      <c r="L2342" s="48"/>
      <c r="M2342" s="48"/>
      <c r="N2342" s="59"/>
      <c r="O2342" s="59">
        <v>25000</v>
      </c>
      <c r="P2342" s="59"/>
      <c r="Q2342" s="268">
        <f t="shared" si="109"/>
        <v>25000</v>
      </c>
      <c r="R2342" s="61">
        <f>IF(O2342=0,0,SUMIFS(Disbursements!$T:$T,Disbursements!$B:$B,'Live Collections'!D2342,Disbursements!$D:$D,'Live Collections'!F2342))</f>
        <v>325000</v>
      </c>
      <c r="S2342" s="304">
        <f>IF(O2342&lt;=IF($O2342=0,0,SUMIFS(Disbursements!$W:$W,Disbursements!$B:$B,'Live Collections'!D992,Disbursements!$D:$D,'Live Collections'!F992)),O2342,IF($O2342=0,0,SUMIFS(Disbursements!$W:$W,Disbursements!$B:$B,'Live Collections'!D992,Disbursements!$D:$D,'Live Collections'!F992)))</f>
        <v>25000</v>
      </c>
      <c r="T2342" s="304">
        <f t="shared" si="111"/>
        <v>0</v>
      </c>
      <c r="U2342" s="52"/>
      <c r="V2342" s="34"/>
      <c r="W2342" s="408"/>
    </row>
    <row r="2343" spans="1:23" ht="12.75" customHeight="1" x14ac:dyDescent="0.2">
      <c r="A2343" s="257">
        <v>2340</v>
      </c>
      <c r="B2343" s="44">
        <v>44547</v>
      </c>
      <c r="C2343" s="44">
        <f t="shared" si="110"/>
        <v>44547</v>
      </c>
      <c r="D2343" s="374">
        <v>84</v>
      </c>
      <c r="E2343" s="291" t="str">
        <f>IFERROR(VLOOKUP($D2343,'Clients-Live'!$A:$C,3,0),"")</f>
        <v>OMEGA  CHARLES</v>
      </c>
      <c r="F2343" s="291">
        <f>IFERROR(INDEX(Disbursements!$D:$D,MATCH('Live Collections'!G2343,Disbursements!$C:$C,0)),"")</f>
        <v>1</v>
      </c>
      <c r="G2343" s="34">
        <v>66</v>
      </c>
      <c r="H2343" s="34">
        <v>3989</v>
      </c>
      <c r="I2343" s="34" t="s">
        <v>1359</v>
      </c>
      <c r="J2343" s="48"/>
      <c r="K2343" s="48"/>
      <c r="L2343" s="48"/>
      <c r="M2343" s="48"/>
      <c r="N2343" s="59"/>
      <c r="O2343" s="59">
        <v>300000</v>
      </c>
      <c r="P2343" s="59"/>
      <c r="Q2343" s="268">
        <f t="shared" si="109"/>
        <v>300000</v>
      </c>
      <c r="R2343" s="61">
        <f>IF(O2343=0,0,SUMIFS(Disbursements!$T:$T,Disbursements!$B:$B,'Live Collections'!D2343,Disbursements!$D:$D,'Live Collections'!F2343))</f>
        <v>434000</v>
      </c>
      <c r="S2343" s="304"/>
      <c r="T2343" s="304">
        <f t="shared" si="111"/>
        <v>300000</v>
      </c>
      <c r="U2343" s="52"/>
      <c r="V2343" s="34"/>
      <c r="W2343" s="408"/>
    </row>
    <row r="2344" spans="1:23" ht="12.75" customHeight="1" x14ac:dyDescent="0.2">
      <c r="A2344" s="257">
        <v>2338</v>
      </c>
      <c r="B2344" s="44">
        <v>44547</v>
      </c>
      <c r="C2344" s="44">
        <f t="shared" si="110"/>
        <v>44547</v>
      </c>
      <c r="D2344" s="374">
        <v>85</v>
      </c>
      <c r="E2344" s="291" t="str">
        <f>IFERROR(VLOOKUP($D2344,'Clients-Live'!$A:$C,3,0),"")</f>
        <v>CEASER SWALEH</v>
      </c>
      <c r="F2344" s="291">
        <f>IFERROR(INDEX(Disbursements!$D:$D,MATCH('Live Collections'!G2344,Disbursements!$C:$C,0)),"")</f>
        <v>2</v>
      </c>
      <c r="G2344" s="34">
        <v>119</v>
      </c>
      <c r="H2344" s="34">
        <v>3990</v>
      </c>
      <c r="I2344" s="34" t="s">
        <v>1357</v>
      </c>
      <c r="J2344" s="48"/>
      <c r="K2344" s="48"/>
      <c r="L2344" s="48"/>
      <c r="M2344" s="48"/>
      <c r="N2344" s="59"/>
      <c r="O2344" s="59">
        <v>100000</v>
      </c>
      <c r="P2344" s="59"/>
      <c r="Q2344" s="268">
        <f t="shared" si="109"/>
        <v>100000</v>
      </c>
      <c r="R2344" s="61">
        <f>IF(O2344=0,0,SUMIFS(Disbursements!$T:$T,Disbursements!$B:$B,'Live Collections'!D2344,Disbursements!$D:$D,'Live Collections'!F2344))</f>
        <v>434000</v>
      </c>
      <c r="S2344" s="304">
        <f>IF(O2344&lt;=IF($O2344=0,0,SUMIFS(Disbursements!$W:$W,Disbursements!$B:$B,'Live Collections'!D1095,Disbursements!$D:$D,'Live Collections'!F1095)),O2344,IF($O2344=0,0,SUMIFS(Disbursements!$W:$W,Disbursements!$B:$B,'Live Collections'!D1095,Disbursements!$D:$D,'Live Collections'!F1095)))</f>
        <v>0</v>
      </c>
      <c r="T2344" s="304">
        <f t="shared" si="111"/>
        <v>100000</v>
      </c>
      <c r="U2344" s="52"/>
      <c r="V2344" s="34"/>
      <c r="W2344" s="408"/>
    </row>
    <row r="2345" spans="1:23" ht="12.75" customHeight="1" x14ac:dyDescent="0.2">
      <c r="A2345" s="257">
        <v>2339</v>
      </c>
      <c r="B2345" s="44">
        <v>44547</v>
      </c>
      <c r="C2345" s="44">
        <f t="shared" si="110"/>
        <v>44547</v>
      </c>
      <c r="D2345" s="374">
        <v>253</v>
      </c>
      <c r="E2345" s="291" t="str">
        <f>IFERROR(VLOOKUP($D2345,'Clients-Live'!$A:$C,3,0),"")</f>
        <v>JAKUMA VINCENT</v>
      </c>
      <c r="F2345" s="291">
        <f>IFERROR(INDEX(Disbursements!$D:$D,MATCH('Live Collections'!G2345,Disbursements!$C:$C,0)),"")</f>
        <v>1</v>
      </c>
      <c r="G2345" s="34">
        <v>359</v>
      </c>
      <c r="H2345" s="34">
        <v>3991</v>
      </c>
      <c r="I2345" s="34" t="s">
        <v>1359</v>
      </c>
      <c r="J2345" s="48"/>
      <c r="K2345" s="48"/>
      <c r="L2345" s="48"/>
      <c r="M2345" s="48"/>
      <c r="N2345" s="59"/>
      <c r="O2345" s="59">
        <v>100000</v>
      </c>
      <c r="P2345" s="59"/>
      <c r="Q2345" s="268">
        <f t="shared" si="109"/>
        <v>100000</v>
      </c>
      <c r="R2345" s="61">
        <f>IF(O2345=0,0,SUMIFS(Disbursements!$T:$T,Disbursements!$B:$B,'Live Collections'!D2345,Disbursements!$D:$D,'Live Collections'!F2345))</f>
        <v>613000</v>
      </c>
      <c r="S2345" s="64">
        <v>39000</v>
      </c>
      <c r="T2345" s="304">
        <f t="shared" si="111"/>
        <v>61000</v>
      </c>
      <c r="U2345" s="52"/>
      <c r="V2345" s="34"/>
      <c r="W2345" s="408"/>
    </row>
    <row r="2346" spans="1:23" ht="12.75" customHeight="1" x14ac:dyDescent="0.2">
      <c r="A2346" s="257">
        <v>2349</v>
      </c>
      <c r="B2346" s="44">
        <v>44548</v>
      </c>
      <c r="C2346" s="44">
        <f t="shared" si="110"/>
        <v>44548</v>
      </c>
      <c r="D2346" s="374">
        <v>9</v>
      </c>
      <c r="E2346" s="291" t="str">
        <f>IFERROR(VLOOKUP($D2346,'Clients-Live'!$A:$C,3,0),"")</f>
        <v>TABAN DAVID YAYA</v>
      </c>
      <c r="F2346" s="291">
        <f>IFERROR(INDEX(Disbursements!$D:$D,MATCH('Live Collections'!G2346,Disbursements!$C:$C,0)),"")</f>
        <v>2</v>
      </c>
      <c r="G2346" s="34">
        <v>221</v>
      </c>
      <c r="H2346" s="34">
        <v>3993</v>
      </c>
      <c r="I2346" s="34" t="s">
        <v>1357</v>
      </c>
      <c r="J2346" s="48"/>
      <c r="K2346" s="48"/>
      <c r="L2346" s="48"/>
      <c r="M2346" s="48"/>
      <c r="N2346" s="59"/>
      <c r="O2346" s="59">
        <v>90000</v>
      </c>
      <c r="P2346" s="59"/>
      <c r="Q2346" s="268">
        <f t="shared" si="109"/>
        <v>90000</v>
      </c>
      <c r="R2346" s="61">
        <f>IF(O2346=0,0,SUMIFS(Disbursements!$T:$T,Disbursements!$B:$B,'Live Collections'!D2346,Disbursements!$D:$D,'Live Collections'!F2346))</f>
        <v>360000</v>
      </c>
      <c r="S2346" s="304">
        <f>IF(O2346&lt;=IF($O2346=0,0,SUMIFS(Disbursements!$W:$W,Disbursements!$B:$B,'Live Collections'!D93,Disbursements!$D:$D,'Live Collections'!F93)),O2346,IF($O2346=0,0,SUMIFS(Disbursements!$W:$W,Disbursements!$B:$B,'Live Collections'!D93,Disbursements!$D:$D,'Live Collections'!F93)))</f>
        <v>0</v>
      </c>
      <c r="T2346" s="304">
        <f t="shared" si="111"/>
        <v>90000</v>
      </c>
      <c r="U2346" s="52"/>
      <c r="V2346" s="34"/>
      <c r="W2346" s="408"/>
    </row>
    <row r="2347" spans="1:23" ht="12.75" customHeight="1" x14ac:dyDescent="0.2">
      <c r="A2347" s="257">
        <v>2341</v>
      </c>
      <c r="B2347" s="44">
        <v>44548</v>
      </c>
      <c r="C2347" s="44">
        <f t="shared" si="110"/>
        <v>44548</v>
      </c>
      <c r="D2347" s="374">
        <v>34</v>
      </c>
      <c r="E2347" s="291" t="str">
        <f>IFERROR(VLOOKUP($D2347,'Clients-Live'!$A:$C,3,0),"")</f>
        <v>APEKURU FLORENCE</v>
      </c>
      <c r="F2347" s="291">
        <f>IFERROR(INDEX(Disbursements!$D:$D,MATCH('Live Collections'!G2347,Disbursements!$C:$C,0)),"")</f>
        <v>2</v>
      </c>
      <c r="G2347" s="34">
        <v>283</v>
      </c>
      <c r="H2347" s="34">
        <v>3995</v>
      </c>
      <c r="I2347" s="34" t="s">
        <v>1359</v>
      </c>
      <c r="J2347" s="48"/>
      <c r="K2347" s="48"/>
      <c r="L2347" s="48"/>
      <c r="M2347" s="48"/>
      <c r="N2347" s="59"/>
      <c r="O2347" s="59">
        <v>100000</v>
      </c>
      <c r="P2347" s="59"/>
      <c r="Q2347" s="268">
        <f t="shared" si="109"/>
        <v>100000</v>
      </c>
      <c r="R2347" s="61">
        <f>IF(O2347=0,0,SUMIFS(Disbursements!$T:$T,Disbursements!$B:$B,'Live Collections'!D2347,Disbursements!$D:$D,'Live Collections'!F2347))</f>
        <v>103000</v>
      </c>
      <c r="S2347" s="304">
        <f>IF(O2347&lt;=IF($O2347=0,0,SUMIFS(Disbursements!$W:$W,Disbursements!$B:$B,'Live Collections'!D399,Disbursements!$D:$D,'Live Collections'!F399)),O2347,IF($O2347=0,0,SUMIFS(Disbursements!$W:$W,Disbursements!$B:$B,'Live Collections'!D399,Disbursements!$D:$D,'Live Collections'!F399)))</f>
        <v>25000</v>
      </c>
      <c r="T2347" s="304">
        <f>IF(O2347=0,0,O2347-S2347)</f>
        <v>75000</v>
      </c>
      <c r="U2347" s="52"/>
      <c r="V2347" s="34"/>
      <c r="W2347" s="408"/>
    </row>
    <row r="2348" spans="1:23" ht="12.75" customHeight="1" x14ac:dyDescent="0.2">
      <c r="A2348" s="257">
        <v>2343</v>
      </c>
      <c r="B2348" s="44">
        <v>44548</v>
      </c>
      <c r="C2348" s="44">
        <f t="shared" si="110"/>
        <v>44548</v>
      </c>
      <c r="D2348" s="374">
        <v>60</v>
      </c>
      <c r="E2348" s="291" t="str">
        <f>IFERROR(VLOOKUP($D2348,'Clients-Live'!$A:$C,3,0),"")</f>
        <v>MATURU ALICE</v>
      </c>
      <c r="F2348" s="291">
        <f>IFERROR(INDEX(Disbursements!$D:$D,MATCH('Live Collections'!G2348,Disbursements!$C:$C,0)),"")</f>
        <v>2</v>
      </c>
      <c r="G2348" s="34">
        <v>200</v>
      </c>
      <c r="H2348" s="34">
        <v>3933</v>
      </c>
      <c r="I2348" s="34" t="s">
        <v>1358</v>
      </c>
      <c r="J2348" s="48"/>
      <c r="K2348" s="48"/>
      <c r="L2348" s="48"/>
      <c r="M2348" s="48"/>
      <c r="N2348" s="59"/>
      <c r="O2348" s="59">
        <v>10000</v>
      </c>
      <c r="P2348" s="59"/>
      <c r="Q2348" s="268">
        <f t="shared" si="109"/>
        <v>10000</v>
      </c>
      <c r="R2348" s="61">
        <f>IF(O2348=0,0,SUMIFS(Disbursements!$T:$T,Disbursements!$B:$B,'Live Collections'!D2348,Disbursements!$D:$D,'Live Collections'!F2348))</f>
        <v>180000</v>
      </c>
      <c r="S2348" s="304"/>
      <c r="T2348" s="304">
        <f t="shared" si="111"/>
        <v>10000</v>
      </c>
      <c r="U2348" s="52"/>
      <c r="V2348" s="34"/>
      <c r="W2348" s="408"/>
    </row>
    <row r="2349" spans="1:23" ht="12.75" customHeight="1" x14ac:dyDescent="0.2">
      <c r="A2349" s="257">
        <v>2346</v>
      </c>
      <c r="B2349" s="44">
        <v>44548</v>
      </c>
      <c r="C2349" s="44">
        <f t="shared" si="110"/>
        <v>44548</v>
      </c>
      <c r="D2349" s="374">
        <v>87</v>
      </c>
      <c r="E2349" s="291" t="str">
        <f>IFERROR(VLOOKUP($D2349,'Clients-Live'!$A:$C,3,0),"")</f>
        <v>FAIDA ZUBEDA</v>
      </c>
      <c r="F2349" s="291">
        <f>IFERROR(INDEX(Disbursements!$D:$D,MATCH('Live Collections'!G2349,Disbursements!$C:$C,0)),"")</f>
        <v>1</v>
      </c>
      <c r="G2349" s="34">
        <v>70</v>
      </c>
      <c r="H2349" s="34">
        <v>3934</v>
      </c>
      <c r="I2349" s="34" t="s">
        <v>1358</v>
      </c>
      <c r="J2349" s="48"/>
      <c r="K2349" s="48"/>
      <c r="L2349" s="48"/>
      <c r="M2349" s="48"/>
      <c r="N2349" s="59"/>
      <c r="O2349" s="59">
        <v>100000</v>
      </c>
      <c r="P2349" s="59"/>
      <c r="Q2349" s="268">
        <f t="shared" si="109"/>
        <v>100000</v>
      </c>
      <c r="R2349" s="61">
        <f>IF(O2349=0,0,SUMIFS(Disbursements!$T:$T,Disbursements!$B:$B,'Live Collections'!D2349,Disbursements!$D:$D,'Live Collections'!F2349))</f>
        <v>175000</v>
      </c>
      <c r="S2349" s="304">
        <f>IF(O2349&lt;=IF($O2349=0,0,SUMIFS(Disbursements!$W:$W,Disbursements!$B:$B,'Live Collections'!D1132,Disbursements!$D:$D,'Live Collections'!F1132)),O2349,IF($O2349=0,0,SUMIFS(Disbursements!$W:$W,Disbursements!$B:$B,'Live Collections'!D1132,Disbursements!$D:$D,'Live Collections'!F1132)))</f>
        <v>0</v>
      </c>
      <c r="T2349" s="304">
        <f t="shared" si="111"/>
        <v>100000</v>
      </c>
      <c r="U2349" s="52"/>
      <c r="V2349" s="34"/>
      <c r="W2349" s="408"/>
    </row>
    <row r="2350" spans="1:23" ht="12.75" customHeight="1" x14ac:dyDescent="0.2">
      <c r="A2350" s="257">
        <v>2342</v>
      </c>
      <c r="B2350" s="44">
        <v>44548</v>
      </c>
      <c r="C2350" s="44">
        <f t="shared" si="110"/>
        <v>44548</v>
      </c>
      <c r="D2350" s="374">
        <v>103</v>
      </c>
      <c r="E2350" s="291" t="str">
        <f>IFERROR(VLOOKUP($D2350,'Clients-Live'!$A:$C,3,0),"")</f>
        <v>CHANDIRU ZABIB</v>
      </c>
      <c r="F2350" s="291">
        <f>IFERROR(INDEX(Disbursements!$D:$D,MATCH('Live Collections'!G2350,Disbursements!$C:$C,0)),"")</f>
        <v>2</v>
      </c>
      <c r="G2350" s="34">
        <v>266</v>
      </c>
      <c r="H2350" s="34">
        <v>3937</v>
      </c>
      <c r="I2350" s="34" t="s">
        <v>1358</v>
      </c>
      <c r="J2350" s="48"/>
      <c r="K2350" s="48"/>
      <c r="L2350" s="48"/>
      <c r="M2350" s="48"/>
      <c r="N2350" s="59"/>
      <c r="O2350" s="59">
        <v>50000</v>
      </c>
      <c r="P2350" s="59"/>
      <c r="Q2350" s="268">
        <f t="shared" si="109"/>
        <v>50000</v>
      </c>
      <c r="R2350" s="61">
        <f>IF(O2350=0,0,SUMIFS(Disbursements!$T:$T,Disbursements!$B:$B,'Live Collections'!D2350,Disbursements!$D:$D,'Live Collections'!F2350))</f>
        <v>150000</v>
      </c>
      <c r="S2350" s="304"/>
      <c r="T2350" s="304">
        <f t="shared" si="111"/>
        <v>50000</v>
      </c>
      <c r="U2350" s="52"/>
      <c r="V2350" s="34"/>
      <c r="W2350" s="408"/>
    </row>
    <row r="2351" spans="1:23" ht="12.75" customHeight="1" x14ac:dyDescent="0.2">
      <c r="A2351" s="257">
        <v>2345</v>
      </c>
      <c r="B2351" s="44">
        <v>44548</v>
      </c>
      <c r="C2351" s="44">
        <f t="shared" si="110"/>
        <v>44548</v>
      </c>
      <c r="D2351" s="374">
        <v>124</v>
      </c>
      <c r="E2351" s="291" t="str">
        <f>IFERROR(VLOOKUP($D2351,'Clients-Live'!$A:$C,3,0),"")</f>
        <v>TIKO ZABIBU</v>
      </c>
      <c r="F2351" s="291">
        <f>IFERROR(INDEX(Disbursements!$D:$D,MATCH('Live Collections'!G2351,Disbursements!$C:$C,0)),"")</f>
        <v>2</v>
      </c>
      <c r="G2351" s="34">
        <v>335</v>
      </c>
      <c r="H2351" s="34">
        <v>3935</v>
      </c>
      <c r="I2351" s="34" t="s">
        <v>1358</v>
      </c>
      <c r="J2351" s="48"/>
      <c r="K2351" s="48"/>
      <c r="L2351" s="48"/>
      <c r="M2351" s="48"/>
      <c r="N2351" s="59"/>
      <c r="O2351" s="59">
        <v>100000</v>
      </c>
      <c r="P2351" s="59"/>
      <c r="Q2351" s="268">
        <f t="shared" si="109"/>
        <v>100000</v>
      </c>
      <c r="R2351" s="61">
        <f>IF(O2351=0,0,SUMIFS(Disbursements!$T:$T,Disbursements!$B:$B,'Live Collections'!D2351,Disbursements!$D:$D,'Live Collections'!F2351))</f>
        <v>200000</v>
      </c>
      <c r="S2351" s="304">
        <f>IF(O2351&lt;=IF($O2351=0,0,SUMIFS(Disbursements!$W:$W,Disbursements!$B:$B,'Live Collections'!D1581,Disbursements!$D:$D,'Live Collections'!F1581)),O2351,IF($O2351=0,0,SUMIFS(Disbursements!$W:$W,Disbursements!$B:$B,'Live Collections'!D1581,Disbursements!$D:$D,'Live Collections'!F1581)))</f>
        <v>100000</v>
      </c>
      <c r="T2351" s="304">
        <f t="shared" si="111"/>
        <v>0</v>
      </c>
      <c r="U2351" s="52"/>
      <c r="V2351" s="34"/>
      <c r="W2351" s="408"/>
    </row>
    <row r="2352" spans="1:23" ht="12.75" customHeight="1" x14ac:dyDescent="0.2">
      <c r="A2352" s="257">
        <v>2350</v>
      </c>
      <c r="B2352" s="44">
        <v>44548</v>
      </c>
      <c r="C2352" s="44">
        <f t="shared" si="110"/>
        <v>44548</v>
      </c>
      <c r="D2352" s="374">
        <v>129</v>
      </c>
      <c r="E2352" s="291" t="str">
        <f>IFERROR(VLOOKUP($D2352,'Clients-Live'!$A:$C,3,0),"")</f>
        <v>BAKO ASINA</v>
      </c>
      <c r="F2352" s="291">
        <f>IFERROR(INDEX(Disbursements!$D:$D,MATCH('Live Collections'!G2352,Disbursements!$C:$C,0)),"")</f>
        <v>2</v>
      </c>
      <c r="G2352" s="34">
        <v>332</v>
      </c>
      <c r="H2352" s="34">
        <v>3992</v>
      </c>
      <c r="I2352" s="34" t="s">
        <v>1358</v>
      </c>
      <c r="J2352" s="48"/>
      <c r="K2352" s="48"/>
      <c r="L2352" s="48"/>
      <c r="M2352" s="48"/>
      <c r="N2352" s="59"/>
      <c r="O2352" s="59">
        <v>1100000</v>
      </c>
      <c r="P2352" s="59"/>
      <c r="Q2352" s="268">
        <f t="shared" si="109"/>
        <v>1100000</v>
      </c>
      <c r="R2352" s="61">
        <f>IF(O2352=0,0,SUMIFS(Disbursements!$T:$T,Disbursements!$B:$B,'Live Collections'!D2352,Disbursements!$D:$D,'Live Collections'!F2352))</f>
        <v>1100000</v>
      </c>
      <c r="S2352" s="304">
        <f>IF(O2352&lt;=IF($O2352=0,0,SUMIFS(Disbursements!$W:$W,Disbursements!$B:$B,'Live Collections'!D1639,Disbursements!$D:$D,'Live Collections'!F1639)),O2352,IF($O2352=0,0,SUMIFS(Disbursements!$W:$W,Disbursements!$B:$B,'Live Collections'!D1639,Disbursements!$D:$D,'Live Collections'!F1639)))</f>
        <v>25000</v>
      </c>
      <c r="T2352" s="304">
        <f t="shared" si="111"/>
        <v>1075000</v>
      </c>
      <c r="U2352" s="52"/>
      <c r="V2352" s="34"/>
      <c r="W2352" s="408"/>
    </row>
    <row r="2353" spans="1:23" ht="12.75" customHeight="1" x14ac:dyDescent="0.2">
      <c r="A2353" s="257">
        <v>2351</v>
      </c>
      <c r="B2353" s="44">
        <v>44548</v>
      </c>
      <c r="C2353" s="44">
        <f t="shared" si="110"/>
        <v>44548</v>
      </c>
      <c r="D2353" s="374">
        <v>134</v>
      </c>
      <c r="E2353" s="291" t="str">
        <f>IFERROR(VLOOKUP($D2353,'Clients-Live'!$A:$C,3,0),"")</f>
        <v>TABU NATALIYA</v>
      </c>
      <c r="F2353" s="291">
        <f>IFERROR(INDEX(Disbursements!$D:$D,MATCH('Live Collections'!G2353,Disbursements!$C:$C,0)),"")</f>
        <v>2</v>
      </c>
      <c r="G2353" s="34">
        <v>324</v>
      </c>
      <c r="H2353" s="34">
        <v>3932</v>
      </c>
      <c r="I2353" s="34" t="s">
        <v>1359</v>
      </c>
      <c r="J2353" s="48"/>
      <c r="K2353" s="48"/>
      <c r="L2353" s="48"/>
      <c r="M2353" s="48"/>
      <c r="N2353" s="59"/>
      <c r="O2353" s="59">
        <v>120000</v>
      </c>
      <c r="P2353" s="59"/>
      <c r="Q2353" s="268">
        <f t="shared" si="109"/>
        <v>120000</v>
      </c>
      <c r="R2353" s="61">
        <f>IF(O2353=0,0,SUMIFS(Disbursements!$T:$T,Disbursements!$B:$B,'Live Collections'!D2353,Disbursements!$D:$D,'Live Collections'!F2353))</f>
        <v>120000</v>
      </c>
      <c r="S2353" s="304">
        <f>IF(O2353&lt;=IF($O2353=0,0,SUMIFS(Disbursements!$W:$W,Disbursements!$B:$B,'Live Collections'!D1695,Disbursements!$D:$D,'Live Collections'!F1695)),O2353,IF($O2353=0,0,SUMIFS(Disbursements!$W:$W,Disbursements!$B:$B,'Live Collections'!D1695,Disbursements!$D:$D,'Live Collections'!F1695)))</f>
        <v>30000</v>
      </c>
      <c r="T2353" s="304">
        <f t="shared" si="111"/>
        <v>90000</v>
      </c>
      <c r="U2353" s="52"/>
      <c r="V2353" s="34"/>
      <c r="W2353" s="408"/>
    </row>
    <row r="2354" spans="1:23" ht="12.75" customHeight="1" x14ac:dyDescent="0.2">
      <c r="A2354" s="257">
        <v>2344</v>
      </c>
      <c r="B2354" s="44">
        <v>44548</v>
      </c>
      <c r="C2354" s="44">
        <f t="shared" si="110"/>
        <v>44548</v>
      </c>
      <c r="D2354" s="374">
        <v>160</v>
      </c>
      <c r="E2354" s="291" t="str">
        <f>IFERROR(VLOOKUP($D2354,'Clients-Live'!$A:$C,3,0),"")</f>
        <v>CHANDI ZANABU</v>
      </c>
      <c r="F2354" s="291">
        <f>IFERROR(INDEX(Disbursements!$D:$D,MATCH('Live Collections'!G2354,Disbursements!$C:$C,0)),"")</f>
        <v>2</v>
      </c>
      <c r="G2354" s="34">
        <v>267</v>
      </c>
      <c r="H2354" s="34">
        <v>3936</v>
      </c>
      <c r="I2354" s="34" t="s">
        <v>1358</v>
      </c>
      <c r="J2354" s="48"/>
      <c r="K2354" s="48"/>
      <c r="L2354" s="48"/>
      <c r="M2354" s="48"/>
      <c r="N2354" s="59"/>
      <c r="O2354" s="59">
        <v>40000</v>
      </c>
      <c r="P2354" s="59"/>
      <c r="Q2354" s="268">
        <f t="shared" ref="Q2354:Q2417" si="112">SUM(J2354:P2354)</f>
        <v>40000</v>
      </c>
      <c r="R2354" s="61">
        <f>IF(O2354=0,0,SUMIFS(Disbursements!$T:$T,Disbursements!$B:$B,'Live Collections'!D2354,Disbursements!$D:$D,'Live Collections'!F2354))</f>
        <v>150000</v>
      </c>
      <c r="S2354" s="304"/>
      <c r="T2354" s="304">
        <f t="shared" si="111"/>
        <v>40000</v>
      </c>
      <c r="U2354" s="52"/>
      <c r="V2354" s="34"/>
      <c r="W2354" s="408"/>
    </row>
    <row r="2355" spans="1:23" ht="12.75" customHeight="1" x14ac:dyDescent="0.2">
      <c r="A2355" s="257">
        <v>2348</v>
      </c>
      <c r="B2355" s="44">
        <v>44548</v>
      </c>
      <c r="C2355" s="44">
        <f t="shared" si="110"/>
        <v>44548</v>
      </c>
      <c r="D2355" s="374">
        <v>265</v>
      </c>
      <c r="E2355" s="291" t="str">
        <f>IFERROR(VLOOKUP($D2355,'Clients-Live'!$A:$C,3,0),"")</f>
        <v>OCATRE CHARLES</v>
      </c>
      <c r="F2355" s="291">
        <f>IFERROR(INDEX(Disbursements!$D:$D,MATCH('Live Collections'!G2355,Disbursements!$C:$C,0)),"")</f>
        <v>2</v>
      </c>
      <c r="G2355" s="34">
        <v>333</v>
      </c>
      <c r="H2355" s="34">
        <v>3994</v>
      </c>
      <c r="I2355" s="34" t="s">
        <v>1357</v>
      </c>
      <c r="J2355" s="48"/>
      <c r="K2355" s="48"/>
      <c r="L2355" s="48"/>
      <c r="M2355" s="48"/>
      <c r="N2355" s="59"/>
      <c r="O2355" s="59">
        <v>1150000</v>
      </c>
      <c r="P2355" s="59"/>
      <c r="Q2355" s="268">
        <f t="shared" si="112"/>
        <v>1150000</v>
      </c>
      <c r="R2355" s="61">
        <f>IF(O2355=0,0,SUMIFS(Disbursements!$T:$T,Disbursements!$B:$B,'Live Collections'!D2355,Disbursements!$D:$D,'Live Collections'!F2355))</f>
        <v>1150000</v>
      </c>
      <c r="S2355" s="304">
        <f>IF(O2355&lt;=IF($O2355=0,0,SUMIFS(Disbursements!$W:$W,Disbursements!$B:$B,'Live Collections'!D2926,Disbursements!$D:$D,'Live Collections'!F2926)),O2355,IF($O2355=0,0,SUMIFS(Disbursements!$W:$W,Disbursements!$B:$B,'Live Collections'!D2926,Disbursements!$D:$D,'Live Collections'!F2926)))</f>
        <v>0</v>
      </c>
      <c r="T2355" s="304">
        <f t="shared" si="111"/>
        <v>1150000</v>
      </c>
      <c r="U2355" s="52"/>
      <c r="V2355" s="34"/>
      <c r="W2355" s="408"/>
    </row>
    <row r="2356" spans="1:23" ht="12.75" customHeight="1" x14ac:dyDescent="0.2">
      <c r="A2356" s="257">
        <v>2347</v>
      </c>
      <c r="B2356" s="44">
        <v>44548</v>
      </c>
      <c r="C2356" s="44">
        <f t="shared" si="110"/>
        <v>44548</v>
      </c>
      <c r="D2356" s="374">
        <v>266</v>
      </c>
      <c r="E2356" s="291" t="str">
        <f>IFERROR(VLOOKUP($D2356,'Clients-Live'!$A:$C,3,0),"")</f>
        <v>TAIBO AMANA</v>
      </c>
      <c r="F2356" s="291">
        <f>IFERROR(INDEX(Disbursements!$D:$D,MATCH('Live Collections'!G2356,Disbursements!$C:$C,0)),"")</f>
        <v>1</v>
      </c>
      <c r="G2356" s="34">
        <v>336</v>
      </c>
      <c r="H2356" s="34">
        <v>3938</v>
      </c>
      <c r="I2356" s="34" t="s">
        <v>1358</v>
      </c>
      <c r="J2356" s="48"/>
      <c r="K2356" s="48"/>
      <c r="L2356" s="48"/>
      <c r="M2356" s="48"/>
      <c r="N2356" s="59"/>
      <c r="O2356" s="59">
        <v>70000</v>
      </c>
      <c r="P2356" s="59"/>
      <c r="Q2356" s="268">
        <f t="shared" si="112"/>
        <v>70000</v>
      </c>
      <c r="R2356" s="61">
        <f>IF(O2356=0,0,SUMIFS(Disbursements!$T:$T,Disbursements!$B:$B,'Live Collections'!D2356,Disbursements!$D:$D,'Live Collections'!F2356))</f>
        <v>120000</v>
      </c>
      <c r="S2356" s="304">
        <f>IF(O2356&lt;=IF($O2356=0,0,SUMIFS(Disbursements!$W:$W,Disbursements!$B:$B,'Live Collections'!D2931,Disbursements!$D:$D,'Live Collections'!F2931)),O2356,IF($O2356=0,0,SUMIFS(Disbursements!$W:$W,Disbursements!$B:$B,'Live Collections'!D2931,Disbursements!$D:$D,'Live Collections'!F2931)))</f>
        <v>70000</v>
      </c>
      <c r="T2356" s="304">
        <f t="shared" si="111"/>
        <v>0</v>
      </c>
      <c r="U2356" s="52"/>
      <c r="V2356" s="34"/>
      <c r="W2356" s="408"/>
    </row>
    <row r="2357" spans="1:23" ht="12.75" customHeight="1" x14ac:dyDescent="0.2">
      <c r="A2357" s="257">
        <v>2365</v>
      </c>
      <c r="B2357" s="44">
        <v>44550</v>
      </c>
      <c r="C2357" s="44">
        <f t="shared" si="110"/>
        <v>44550</v>
      </c>
      <c r="D2357" s="374">
        <v>15</v>
      </c>
      <c r="E2357" s="291" t="str">
        <f>IFERROR(VLOOKUP($D2357,'Clients-Live'!$A:$C,3,0),"")</f>
        <v>NATOSHA LUCY</v>
      </c>
      <c r="F2357" s="291">
        <f>IFERROR(INDEX(Disbursements!$D:$D,MATCH('Live Collections'!G2357,Disbursements!$C:$C,0)),"")</f>
        <v>1</v>
      </c>
      <c r="G2357" s="34">
        <v>8</v>
      </c>
      <c r="H2357" s="34">
        <v>3942</v>
      </c>
      <c r="I2357" s="34" t="s">
        <v>1358</v>
      </c>
      <c r="J2357" s="48"/>
      <c r="K2357" s="48"/>
      <c r="L2357" s="48"/>
      <c r="M2357" s="48"/>
      <c r="N2357" s="59"/>
      <c r="O2357" s="59">
        <v>50000</v>
      </c>
      <c r="P2357" s="59"/>
      <c r="Q2357" s="268">
        <f t="shared" si="112"/>
        <v>50000</v>
      </c>
      <c r="R2357" s="61">
        <f>IF(O2357=0,0,SUMIFS(Disbursements!$T:$T,Disbursements!$B:$B,'Live Collections'!D2357,Disbursements!$D:$D,'Live Collections'!F2357))</f>
        <v>434000</v>
      </c>
      <c r="S2357" s="304">
        <f>IF(O2357&lt;=IF($O2357=0,0,SUMIFS(Disbursements!$W:$W,Disbursements!$B:$B,'Live Collections'!D162,Disbursements!$D:$D,'Live Collections'!F162)),O2357,IF($O2357=0,0,SUMIFS(Disbursements!$W:$W,Disbursements!$B:$B,'Live Collections'!D162,Disbursements!$D:$D,'Live Collections'!F162)))</f>
        <v>25666.666666666672</v>
      </c>
      <c r="T2357" s="304">
        <f t="shared" si="111"/>
        <v>24333.333333333328</v>
      </c>
      <c r="U2357" s="52"/>
      <c r="V2357" s="34"/>
      <c r="W2357" s="408"/>
    </row>
    <row r="2358" spans="1:23" ht="12.75" customHeight="1" x14ac:dyDescent="0.2">
      <c r="A2358" s="257">
        <v>2358</v>
      </c>
      <c r="B2358" s="44">
        <v>44550</v>
      </c>
      <c r="C2358" s="44">
        <f t="shared" si="110"/>
        <v>44550</v>
      </c>
      <c r="D2358" s="374">
        <v>17</v>
      </c>
      <c r="E2358" s="291" t="str">
        <f>IFERROR(VLOOKUP($D2358,'Clients-Live'!$A:$C,3,0),"")</f>
        <v>MAMBU BAYI</v>
      </c>
      <c r="F2358" s="291">
        <f>IFERROR(INDEX(Disbursements!$D:$D,MATCH('Live Collections'!G2358,Disbursements!$C:$C,0)),"")</f>
        <v>1</v>
      </c>
      <c r="G2358" s="34">
        <v>7</v>
      </c>
      <c r="H2358" s="34">
        <v>3949</v>
      </c>
      <c r="I2358" s="34" t="s">
        <v>1357</v>
      </c>
      <c r="J2358" s="48"/>
      <c r="K2358" s="48"/>
      <c r="L2358" s="48"/>
      <c r="M2358" s="48"/>
      <c r="N2358" s="59"/>
      <c r="O2358" s="59">
        <v>200000</v>
      </c>
      <c r="P2358" s="59"/>
      <c r="Q2358" s="268">
        <f t="shared" si="112"/>
        <v>200000</v>
      </c>
      <c r="R2358" s="61">
        <f>IF(O2358=0,0,SUMIFS(Disbursements!$T:$T,Disbursements!$B:$B,'Live Collections'!D2358,Disbursements!$D:$D,'Live Collections'!F2358))</f>
        <v>325000</v>
      </c>
      <c r="S2358" s="304">
        <f>IF(O2358&lt;=IF($O2358=0,0,SUMIFS(Disbursements!$W:$W,Disbursements!$B:$B,'Live Collections'!D2501,Disbursements!$D:$D,'Live Collections'!F2501)),O2358,IF($O2358=0,0,SUMIFS(Disbursements!$W:$W,Disbursements!$B:$B,'Live Collections'!D2501,Disbursements!$D:$D,'Live Collections'!F2501)))</f>
        <v>40000</v>
      </c>
      <c r="T2358" s="304">
        <f t="shared" si="111"/>
        <v>160000</v>
      </c>
      <c r="U2358" s="52"/>
      <c r="V2358" s="34"/>
      <c r="W2358" s="408"/>
    </row>
    <row r="2359" spans="1:23" ht="12.75" customHeight="1" x14ac:dyDescent="0.2">
      <c r="A2359" s="257">
        <v>2364</v>
      </c>
      <c r="B2359" s="44">
        <v>44550</v>
      </c>
      <c r="C2359" s="44">
        <f t="shared" si="110"/>
        <v>44550</v>
      </c>
      <c r="D2359" s="374">
        <v>59</v>
      </c>
      <c r="E2359" s="291" t="str">
        <f>IFERROR(VLOOKUP($D2359,'Clients-Live'!$A:$C,3,0),"")</f>
        <v>ONZIA AGNES</v>
      </c>
      <c r="F2359" s="291">
        <f>IFERROR(INDEX(Disbursements!$D:$D,MATCH('Live Collections'!G2359,Disbursements!$C:$C,0)),"")</f>
        <v>2</v>
      </c>
      <c r="G2359" s="34">
        <v>284</v>
      </c>
      <c r="H2359" s="34">
        <v>3943</v>
      </c>
      <c r="I2359" s="34" t="s">
        <v>1358</v>
      </c>
      <c r="J2359" s="48"/>
      <c r="K2359" s="48"/>
      <c r="L2359" s="48"/>
      <c r="M2359" s="48"/>
      <c r="N2359" s="59"/>
      <c r="O2359" s="59">
        <v>140000</v>
      </c>
      <c r="P2359" s="59"/>
      <c r="Q2359" s="268">
        <f t="shared" si="112"/>
        <v>140000</v>
      </c>
      <c r="R2359" s="61">
        <f>IF(O2359=0,0,SUMIFS(Disbursements!$T:$T,Disbursements!$B:$B,'Live Collections'!D2359,Disbursements!$D:$D,'Live Collections'!F2359))</f>
        <v>180000</v>
      </c>
      <c r="S2359" s="304">
        <f>IF(O2359&lt;=IF($O2359=0,0,SUMIFS(Disbursements!$W:$W,Disbursements!$B:$B,'Live Collections'!D708,Disbursements!$D:$D,'Live Collections'!F708)),O2359,IF($O2359=0,0,SUMIFS(Disbursements!$W:$W,Disbursements!$B:$B,'Live Collections'!D708,Disbursements!$D:$D,'Live Collections'!F708)))</f>
        <v>20000</v>
      </c>
      <c r="T2359" s="304">
        <f t="shared" si="111"/>
        <v>120000</v>
      </c>
      <c r="U2359" s="52"/>
      <c r="V2359" s="34"/>
      <c r="W2359" s="408"/>
    </row>
    <row r="2360" spans="1:23" ht="12.75" customHeight="1" x14ac:dyDescent="0.2">
      <c r="A2360" s="257">
        <v>2362</v>
      </c>
      <c r="B2360" s="44">
        <v>44550</v>
      </c>
      <c r="C2360" s="44">
        <f t="shared" si="110"/>
        <v>44550</v>
      </c>
      <c r="D2360" s="374">
        <v>99</v>
      </c>
      <c r="E2360" s="291" t="str">
        <f>IFERROR(VLOOKUP($D2360,'Clients-Live'!$A:$C,3,0),"")</f>
        <v>SIJALI ASINA SIS</v>
      </c>
      <c r="F2360" s="291">
        <f>IFERROR(INDEX(Disbursements!$D:$D,MATCH('Live Collections'!G2360,Disbursements!$C:$C,0)),"")</f>
        <v>2</v>
      </c>
      <c r="G2360" s="34">
        <v>278</v>
      </c>
      <c r="H2360" s="34">
        <v>3945</v>
      </c>
      <c r="I2360" s="34" t="s">
        <v>1358</v>
      </c>
      <c r="J2360" s="48"/>
      <c r="K2360" s="48"/>
      <c r="L2360" s="48"/>
      <c r="M2360" s="48"/>
      <c r="N2360" s="59"/>
      <c r="O2360" s="59">
        <v>173400</v>
      </c>
      <c r="P2360" s="59"/>
      <c r="Q2360" s="268">
        <f t="shared" si="112"/>
        <v>173400</v>
      </c>
      <c r="R2360" s="61">
        <f>IF(O2360=0,0,SUMIFS(Disbursements!$T:$T,Disbursements!$B:$B,'Live Collections'!D2360,Disbursements!$D:$D,'Live Collections'!F2360))</f>
        <v>174000</v>
      </c>
      <c r="S2360" s="304">
        <f>IF(O2360&lt;=IF($O2360=0,0,SUMIFS(Disbursements!$W:$W,Disbursements!$B:$B,'Live Collections'!D1285,Disbursements!$D:$D,'Live Collections'!F1285)),O2360,IF($O2360=0,0,SUMIFS(Disbursements!$W:$W,Disbursements!$B:$B,'Live Collections'!D1285,Disbursements!$D:$D,'Live Collections'!F1285)))</f>
        <v>5000</v>
      </c>
      <c r="T2360" s="304">
        <f t="shared" si="111"/>
        <v>168400</v>
      </c>
      <c r="U2360" s="52"/>
      <c r="V2360" s="34"/>
      <c r="W2360" s="408"/>
    </row>
    <row r="2361" spans="1:23" ht="12.75" customHeight="1" x14ac:dyDescent="0.2">
      <c r="A2361" s="257">
        <v>2363</v>
      </c>
      <c r="B2361" s="44">
        <v>44550</v>
      </c>
      <c r="C2361" s="44">
        <f t="shared" si="110"/>
        <v>44550</v>
      </c>
      <c r="D2361" s="374">
        <v>135</v>
      </c>
      <c r="E2361" s="291" t="str">
        <f>IFERROR(VLOOKUP($D2361,'Clients-Live'!$A:$C,3,0),"")</f>
        <v>SARIF SAIDI</v>
      </c>
      <c r="F2361" s="291">
        <f>IFERROR(INDEX(Disbursements!$D:$D,MATCH('Live Collections'!G2361,Disbursements!$C:$C,0)),"")</f>
        <v>2</v>
      </c>
      <c r="G2361" s="34">
        <v>323</v>
      </c>
      <c r="H2361" s="34">
        <v>3944</v>
      </c>
      <c r="I2361" s="34" t="s">
        <v>1357</v>
      </c>
      <c r="J2361" s="48"/>
      <c r="K2361" s="48"/>
      <c r="L2361" s="48"/>
      <c r="M2361" s="48"/>
      <c r="N2361" s="59"/>
      <c r="O2361" s="59">
        <v>200000</v>
      </c>
      <c r="P2361" s="59"/>
      <c r="Q2361" s="268">
        <f t="shared" si="112"/>
        <v>200000</v>
      </c>
      <c r="R2361" s="61">
        <f>IF(O2361=0,0,SUMIFS(Disbursements!$T:$T,Disbursements!$B:$B,'Live Collections'!D2361,Disbursements!$D:$D,'Live Collections'!F2361))</f>
        <v>260000</v>
      </c>
      <c r="S2361" s="304">
        <f>IF(O2361&lt;=IF($O2361=0,0,SUMIFS(Disbursements!$W:$W,Disbursements!$B:$B,'Live Collections'!D1710,Disbursements!$D:$D,'Live Collections'!F1710)),O2361,IF($O2361=0,0,SUMIFS(Disbursements!$W:$W,Disbursements!$B:$B,'Live Collections'!D1710,Disbursements!$D:$D,'Live Collections'!F1710)))</f>
        <v>0</v>
      </c>
      <c r="T2361" s="304">
        <f t="shared" si="111"/>
        <v>200000</v>
      </c>
      <c r="U2361" s="52"/>
      <c r="V2361" s="34"/>
      <c r="W2361" s="408"/>
    </row>
    <row r="2362" spans="1:23" ht="12.75" customHeight="1" x14ac:dyDescent="0.2">
      <c r="A2362" s="257">
        <v>2361</v>
      </c>
      <c r="B2362" s="44">
        <v>44550</v>
      </c>
      <c r="C2362" s="44">
        <f t="shared" si="110"/>
        <v>44550</v>
      </c>
      <c r="D2362" s="374">
        <v>179</v>
      </c>
      <c r="E2362" s="291" t="str">
        <f>IFERROR(VLOOKUP($D2362,'Clients-Live'!$A:$C,3,0),"")</f>
        <v>GERIA VIOLA</v>
      </c>
      <c r="F2362" s="291">
        <f>IFERROR(INDEX(Disbursements!$D:$D,MATCH('Live Collections'!G2362,Disbursements!$C:$C,0)),"")</f>
        <v>2</v>
      </c>
      <c r="G2362" s="34">
        <v>330</v>
      </c>
      <c r="H2362" s="34">
        <v>3946</v>
      </c>
      <c r="I2362" s="34" t="s">
        <v>1359</v>
      </c>
      <c r="J2362" s="48"/>
      <c r="K2362" s="48"/>
      <c r="L2362" s="48"/>
      <c r="M2362" s="48"/>
      <c r="N2362" s="59"/>
      <c r="O2362" s="59">
        <v>100000</v>
      </c>
      <c r="P2362" s="59"/>
      <c r="Q2362" s="268">
        <f t="shared" si="112"/>
        <v>100000</v>
      </c>
      <c r="R2362" s="61">
        <f>IF(O2362=0,0,SUMIFS(Disbursements!$T:$T,Disbursements!$B:$B,'Live Collections'!D2362,Disbursements!$D:$D,'Live Collections'!F2362))</f>
        <v>100000</v>
      </c>
      <c r="S2362" s="304">
        <f>IF(O2362&lt;=IF($O2362=0,0,SUMIFS(Disbursements!$W:$W,Disbursements!$B:$B,'Live Collections'!D2195,Disbursements!$D:$D,'Live Collections'!F2195)),O2362,IF($O2362=0,0,SUMIFS(Disbursements!$W:$W,Disbursements!$B:$B,'Live Collections'!D2195,Disbursements!$D:$D,'Live Collections'!F2195)))</f>
        <v>30000</v>
      </c>
      <c r="T2362" s="304">
        <f t="shared" si="111"/>
        <v>70000</v>
      </c>
      <c r="U2362" s="52"/>
      <c r="V2362" s="34"/>
      <c r="W2362" s="408"/>
    </row>
    <row r="2363" spans="1:23" ht="12.75" customHeight="1" x14ac:dyDescent="0.2">
      <c r="A2363" s="257">
        <v>2355</v>
      </c>
      <c r="B2363" s="44">
        <v>44550</v>
      </c>
      <c r="C2363" s="44">
        <f t="shared" si="110"/>
        <v>44550</v>
      </c>
      <c r="D2363" s="374">
        <v>187</v>
      </c>
      <c r="E2363" s="291" t="str">
        <f>IFERROR(VLOOKUP($D2363,'Clients-Live'!$A:$C,3,0),"")</f>
        <v xml:space="preserve">AJIO HARRIET </v>
      </c>
      <c r="F2363" s="291">
        <f>IFERROR(INDEX(Disbursements!$D:$D,MATCH('Live Collections'!G2363,Disbursements!$C:$C,0)),"")</f>
        <v>1</v>
      </c>
      <c r="G2363" s="34">
        <v>179</v>
      </c>
      <c r="H2363" s="34">
        <v>1441</v>
      </c>
      <c r="I2363" s="34" t="s">
        <v>1358</v>
      </c>
      <c r="J2363" s="48"/>
      <c r="K2363" s="48"/>
      <c r="L2363" s="48"/>
      <c r="M2363" s="48"/>
      <c r="N2363" s="59"/>
      <c r="O2363" s="59"/>
      <c r="P2363" s="59">
        <v>-50000</v>
      </c>
      <c r="Q2363" s="268">
        <f t="shared" si="112"/>
        <v>-50000</v>
      </c>
      <c r="R2363" s="61">
        <f>IF(O2363=0,0,SUMIFS(Disbursements!$T:$T,Disbursements!$B:$B,'Live Collections'!D2363,Disbursements!$D:$D,'Live Collections'!F2363))</f>
        <v>0</v>
      </c>
      <c r="S2363" s="304">
        <f>IF(O2363&lt;=IF($O2363=0,0,SUMIFS(Disbursements!$W:$W,Disbursements!$B:$B,'Live Collections'!D2278,Disbursements!$D:$D,'Live Collections'!F2278)),O2363,IF($O2363=0,0,SUMIFS(Disbursements!$W:$W,Disbursements!$B:$B,'Live Collections'!D2278,Disbursements!$D:$D,'Live Collections'!F2278)))</f>
        <v>0</v>
      </c>
      <c r="T2363" s="304">
        <f t="shared" si="111"/>
        <v>0</v>
      </c>
      <c r="U2363" s="52"/>
      <c r="V2363" s="34"/>
      <c r="W2363" s="408"/>
    </row>
    <row r="2364" spans="1:23" ht="12.75" customHeight="1" x14ac:dyDescent="0.2">
      <c r="A2364" s="257">
        <v>2356</v>
      </c>
      <c r="B2364" s="44">
        <v>44550</v>
      </c>
      <c r="C2364" s="44">
        <f t="shared" si="110"/>
        <v>44550</v>
      </c>
      <c r="D2364" s="374">
        <v>187</v>
      </c>
      <c r="E2364" s="291" t="str">
        <f>IFERROR(VLOOKUP($D2364,'Clients-Live'!$A:$C,3,0),"")</f>
        <v xml:space="preserve">AJIO HARRIET </v>
      </c>
      <c r="F2364" s="291">
        <f>IFERROR(INDEX(Disbursements!$D:$D,MATCH('Live Collections'!G2364,Disbursements!$C:$C,0)),"")</f>
        <v>1</v>
      </c>
      <c r="G2364" s="34">
        <v>179</v>
      </c>
      <c r="H2364" s="34">
        <v>3996</v>
      </c>
      <c r="I2364" s="34" t="s">
        <v>1358</v>
      </c>
      <c r="J2364" s="48"/>
      <c r="K2364" s="48"/>
      <c r="L2364" s="48"/>
      <c r="M2364" s="48"/>
      <c r="N2364" s="59"/>
      <c r="O2364" s="59">
        <v>50000</v>
      </c>
      <c r="P2364" s="59"/>
      <c r="Q2364" s="268">
        <f t="shared" si="112"/>
        <v>50000</v>
      </c>
      <c r="R2364" s="61">
        <f>IF(O2364=0,0,SUMIFS(Disbursements!$T:$T,Disbursements!$B:$B,'Live Collections'!D2364,Disbursements!$D:$D,'Live Collections'!F2364))</f>
        <v>120000</v>
      </c>
      <c r="S2364" s="304"/>
      <c r="T2364" s="304">
        <f t="shared" si="111"/>
        <v>50000</v>
      </c>
      <c r="U2364" s="52"/>
      <c r="V2364" s="34"/>
      <c r="W2364" s="408" t="s">
        <v>1937</v>
      </c>
    </row>
    <row r="2365" spans="1:23" ht="12.75" customHeight="1" x14ac:dyDescent="0.2">
      <c r="A2365" s="257">
        <v>2357</v>
      </c>
      <c r="B2365" s="44">
        <v>44550</v>
      </c>
      <c r="C2365" s="44">
        <f t="shared" si="110"/>
        <v>44550</v>
      </c>
      <c r="D2365" s="374">
        <v>187</v>
      </c>
      <c r="E2365" s="291" t="str">
        <f>IFERROR(VLOOKUP($D2365,'Clients-Live'!$A:$C,3,0),"")</f>
        <v xml:space="preserve">AJIO HARRIET </v>
      </c>
      <c r="F2365" s="291">
        <f>IFERROR(INDEX(Disbursements!$D:$D,MATCH('Live Collections'!G2365,Disbursements!$C:$C,0)),"")</f>
        <v>1</v>
      </c>
      <c r="G2365" s="34">
        <v>179</v>
      </c>
      <c r="H2365" s="34">
        <v>3950</v>
      </c>
      <c r="I2365" s="34" t="s">
        <v>1358</v>
      </c>
      <c r="J2365" s="48"/>
      <c r="K2365" s="48"/>
      <c r="L2365" s="48"/>
      <c r="M2365" s="48"/>
      <c r="N2365" s="59"/>
      <c r="O2365" s="59">
        <v>70000</v>
      </c>
      <c r="P2365" s="59"/>
      <c r="Q2365" s="268">
        <f t="shared" si="112"/>
        <v>70000</v>
      </c>
      <c r="R2365" s="61">
        <f>IF(O2365=0,0,SUMIFS(Disbursements!$T:$T,Disbursements!$B:$B,'Live Collections'!D2365,Disbursements!$D:$D,'Live Collections'!F2365))</f>
        <v>120000</v>
      </c>
      <c r="S2365" s="304"/>
      <c r="T2365" s="304">
        <f t="shared" si="111"/>
        <v>70000</v>
      </c>
      <c r="U2365" s="52"/>
      <c r="V2365" s="34"/>
      <c r="W2365" s="408"/>
    </row>
    <row r="2366" spans="1:23" ht="12.75" customHeight="1" x14ac:dyDescent="0.2">
      <c r="A2366" s="257">
        <v>2352</v>
      </c>
      <c r="B2366" s="44">
        <v>44550</v>
      </c>
      <c r="C2366" s="44">
        <f t="shared" si="110"/>
        <v>44550</v>
      </c>
      <c r="D2366" s="374">
        <v>190</v>
      </c>
      <c r="E2366" s="291" t="str">
        <f>IFERROR(VLOOKUP($D2366,'Clients-Live'!$A:$C,3,0),"")</f>
        <v>TAISA AMINA</v>
      </c>
      <c r="F2366" s="291">
        <f>IFERROR(INDEX(Disbursements!$D:$D,MATCH('Live Collections'!G2366,Disbursements!$C:$C,0)),"")</f>
        <v>1</v>
      </c>
      <c r="G2366" s="34">
        <v>177</v>
      </c>
      <c r="H2366" s="34">
        <v>1442</v>
      </c>
      <c r="I2366" s="34" t="s">
        <v>1357</v>
      </c>
      <c r="J2366" s="48"/>
      <c r="K2366" s="48"/>
      <c r="L2366" s="48"/>
      <c r="M2366" s="48"/>
      <c r="N2366" s="59"/>
      <c r="O2366" s="59"/>
      <c r="P2366" s="59">
        <v>-40000</v>
      </c>
      <c r="Q2366" s="268">
        <f t="shared" si="112"/>
        <v>-40000</v>
      </c>
      <c r="R2366" s="61">
        <f>IF(O2366=0,0,SUMIFS(Disbursements!$T:$T,Disbursements!$B:$B,'Live Collections'!D2366,Disbursements!$D:$D,'Live Collections'!F2366))</f>
        <v>0</v>
      </c>
      <c r="S2366" s="304">
        <f>IF(O2366&lt;=IF($O2366=0,0,SUMIFS(Disbursements!$W:$W,Disbursements!$B:$B,'Live Collections'!D2315,Disbursements!$D:$D,'Live Collections'!F2315)),O2366,IF($O2366=0,0,SUMIFS(Disbursements!$W:$W,Disbursements!$B:$B,'Live Collections'!D2315,Disbursements!$D:$D,'Live Collections'!F2315)))</f>
        <v>0</v>
      </c>
      <c r="T2366" s="304">
        <f t="shared" si="111"/>
        <v>0</v>
      </c>
      <c r="U2366" s="52"/>
      <c r="V2366" s="34"/>
      <c r="W2366" s="408"/>
    </row>
    <row r="2367" spans="1:23" ht="12.75" customHeight="1" x14ac:dyDescent="0.2">
      <c r="A2367" s="257">
        <v>2353</v>
      </c>
      <c r="B2367" s="44">
        <v>44550</v>
      </c>
      <c r="C2367" s="44">
        <f t="shared" si="110"/>
        <v>44550</v>
      </c>
      <c r="D2367" s="374">
        <v>190</v>
      </c>
      <c r="E2367" s="291" t="str">
        <f>IFERROR(VLOOKUP($D2367,'Clients-Live'!$A:$C,3,0),"")</f>
        <v>TAISA AMINA</v>
      </c>
      <c r="F2367" s="291">
        <f>IFERROR(INDEX(Disbursements!$D:$D,MATCH('Live Collections'!G2367,Disbursements!$C:$C,0)),"")</f>
        <v>1</v>
      </c>
      <c r="G2367" s="34">
        <v>177</v>
      </c>
      <c r="H2367" s="34">
        <v>4000</v>
      </c>
      <c r="I2367" s="34" t="s">
        <v>1357</v>
      </c>
      <c r="J2367" s="48"/>
      <c r="K2367" s="48"/>
      <c r="L2367" s="48"/>
      <c r="M2367" s="48"/>
      <c r="N2367" s="59"/>
      <c r="O2367" s="59">
        <v>40000</v>
      </c>
      <c r="P2367" s="59"/>
      <c r="Q2367" s="268">
        <f t="shared" si="112"/>
        <v>40000</v>
      </c>
      <c r="R2367" s="61">
        <f>IF(O2367=0,0,SUMIFS(Disbursements!$T:$T,Disbursements!$B:$B,'Live Collections'!D2367,Disbursements!$D:$D,'Live Collections'!F2367))</f>
        <v>120000</v>
      </c>
      <c r="S2367" s="304"/>
      <c r="T2367" s="304">
        <f t="shared" si="111"/>
        <v>40000</v>
      </c>
      <c r="U2367" s="52"/>
      <c r="V2367" s="34"/>
      <c r="W2367" s="408" t="s">
        <v>1936</v>
      </c>
    </row>
    <row r="2368" spans="1:23" ht="12.75" customHeight="1" x14ac:dyDescent="0.2">
      <c r="A2368" s="257">
        <v>2354</v>
      </c>
      <c r="B2368" s="44">
        <v>44550</v>
      </c>
      <c r="C2368" s="44">
        <f t="shared" ref="C2368:C2431" si="113">B2368</f>
        <v>44550</v>
      </c>
      <c r="D2368" s="374">
        <v>190</v>
      </c>
      <c r="E2368" s="291" t="str">
        <f>IFERROR(VLOOKUP($D2368,'Clients-Live'!$A:$C,3,0),"")</f>
        <v>TAISA AMINA</v>
      </c>
      <c r="F2368" s="291">
        <f>IFERROR(INDEX(Disbursements!$D:$D,MATCH('Live Collections'!G2368,Disbursements!$C:$C,0)),"")</f>
        <v>1</v>
      </c>
      <c r="G2368" s="34">
        <v>177</v>
      </c>
      <c r="H2368" s="34">
        <v>3999</v>
      </c>
      <c r="I2368" s="34" t="s">
        <v>1357</v>
      </c>
      <c r="J2368" s="48"/>
      <c r="K2368" s="48"/>
      <c r="L2368" s="48"/>
      <c r="M2368" s="48"/>
      <c r="N2368" s="59"/>
      <c r="O2368" s="59">
        <v>80000</v>
      </c>
      <c r="P2368" s="59"/>
      <c r="Q2368" s="268">
        <f t="shared" si="112"/>
        <v>80000</v>
      </c>
      <c r="R2368" s="61">
        <f>IF(O2368=0,0,SUMIFS(Disbursements!$T:$T,Disbursements!$B:$B,'Live Collections'!D2368,Disbursements!$D:$D,'Live Collections'!F2368))</f>
        <v>120000</v>
      </c>
      <c r="S2368" s="304"/>
      <c r="T2368" s="304">
        <f t="shared" ref="T2368:T2431" si="114">IF(O2368=0,0,O2368-S2368)</f>
        <v>80000</v>
      </c>
      <c r="U2368" s="52"/>
      <c r="V2368" s="34"/>
      <c r="W2368" s="408"/>
    </row>
    <row r="2369" spans="1:23" ht="12.75" customHeight="1" x14ac:dyDescent="0.2">
      <c r="A2369" s="257">
        <v>2367</v>
      </c>
      <c r="B2369" s="44">
        <v>44550</v>
      </c>
      <c r="C2369" s="44">
        <f t="shared" si="113"/>
        <v>44550</v>
      </c>
      <c r="D2369" s="374">
        <v>237</v>
      </c>
      <c r="E2369" s="291" t="str">
        <f>IFERROR(VLOOKUP($D2369,'Clients-Live'!$A:$C,3,0),"")</f>
        <v>EZRA INNOCENT</v>
      </c>
      <c r="F2369" s="291">
        <f>IFERROR(INDEX(Disbursements!$D:$D,MATCH('Live Collections'!G2369,Disbursements!$C:$C,0)),"")</f>
        <v>2</v>
      </c>
      <c r="G2369" s="34">
        <v>367</v>
      </c>
      <c r="H2369" s="34">
        <v>3940</v>
      </c>
      <c r="I2369" s="34" t="s">
        <v>1357</v>
      </c>
      <c r="J2369" s="48"/>
      <c r="K2369" s="48"/>
      <c r="L2369" s="48"/>
      <c r="M2369" s="48"/>
      <c r="N2369" s="59"/>
      <c r="O2369" s="59">
        <v>150000</v>
      </c>
      <c r="P2369" s="59"/>
      <c r="Q2369" s="268">
        <f t="shared" si="112"/>
        <v>150000</v>
      </c>
      <c r="R2369" s="61">
        <f>IF(O2369=0,0,SUMIFS(Disbursements!$T:$T,Disbursements!$B:$B,'Live Collections'!D2369,Disbursements!$D:$D,'Live Collections'!F2369))</f>
        <v>260000</v>
      </c>
      <c r="S2369" s="304">
        <f>IF(O2369&lt;=IF($O2369=0,0,SUMIFS(Disbursements!$W:$W,Disbursements!$B:$B,'Live Collections'!D2727,Disbursements!$D:$D,'Live Collections'!F2727)),O2369,IF($O2369=0,0,SUMIFS(Disbursements!$W:$W,Disbursements!$B:$B,'Live Collections'!D2727,Disbursements!$D:$D,'Live Collections'!F2727)))</f>
        <v>40000</v>
      </c>
      <c r="T2369" s="304">
        <f t="shared" si="114"/>
        <v>110000</v>
      </c>
      <c r="U2369" s="52"/>
      <c r="V2369" s="34"/>
      <c r="W2369" s="408"/>
    </row>
    <row r="2370" spans="1:23" ht="12.75" customHeight="1" x14ac:dyDescent="0.2">
      <c r="A2370" s="257">
        <v>2359</v>
      </c>
      <c r="B2370" s="44">
        <v>44550</v>
      </c>
      <c r="C2370" s="44">
        <f t="shared" si="113"/>
        <v>44550</v>
      </c>
      <c r="D2370" s="374">
        <v>241</v>
      </c>
      <c r="E2370" s="291" t="str">
        <f>IFERROR(VLOOKUP($D2370,'Clients-Live'!$A:$C,3,0),"")</f>
        <v>SIRIKA FARIDA</v>
      </c>
      <c r="F2370" s="291">
        <f>IFERROR(INDEX(Disbursements!$D:$D,MATCH('Live Collections'!G2370,Disbursements!$C:$C,0)),"")</f>
        <v>1</v>
      </c>
      <c r="G2370" s="34">
        <v>282</v>
      </c>
      <c r="H2370" s="34">
        <v>3948</v>
      </c>
      <c r="I2370" s="34" t="s">
        <v>1359</v>
      </c>
      <c r="J2370" s="48"/>
      <c r="K2370" s="48"/>
      <c r="L2370" s="48"/>
      <c r="M2370" s="48"/>
      <c r="N2370" s="59"/>
      <c r="O2370" s="59">
        <v>123000</v>
      </c>
      <c r="P2370" s="59"/>
      <c r="Q2370" s="268">
        <f t="shared" si="112"/>
        <v>123000</v>
      </c>
      <c r="R2370" s="61">
        <f>IF(O2370=0,0,SUMIFS(Disbursements!$T:$T,Disbursements!$B:$B,'Live Collections'!D2370,Disbursements!$D:$D,'Live Collections'!F2370))</f>
        <v>125000</v>
      </c>
      <c r="S2370" s="304"/>
      <c r="T2370" s="304">
        <f t="shared" si="114"/>
        <v>123000</v>
      </c>
      <c r="U2370" s="52"/>
      <c r="V2370" s="34"/>
      <c r="W2370" s="408"/>
    </row>
    <row r="2371" spans="1:23" ht="12.75" customHeight="1" x14ac:dyDescent="0.2">
      <c r="A2371" s="257">
        <v>2360</v>
      </c>
      <c r="B2371" s="44">
        <v>44550</v>
      </c>
      <c r="C2371" s="44">
        <f t="shared" si="113"/>
        <v>44550</v>
      </c>
      <c r="D2371" s="374">
        <v>242</v>
      </c>
      <c r="E2371" s="291" t="str">
        <f>IFERROR(VLOOKUP($D2371,'Clients-Live'!$A:$C,3,0),"")</f>
        <v>BAKOKO FLAVIA</v>
      </c>
      <c r="F2371" s="291">
        <f>IFERROR(INDEX(Disbursements!$D:$D,MATCH('Live Collections'!G2371,Disbursements!$C:$C,0)),"")</f>
        <v>1</v>
      </c>
      <c r="G2371" s="34">
        <v>277</v>
      </c>
      <c r="H2371" s="34">
        <v>3947</v>
      </c>
      <c r="I2371" s="34" t="s">
        <v>1359</v>
      </c>
      <c r="J2371" s="48"/>
      <c r="K2371" s="48"/>
      <c r="L2371" s="48"/>
      <c r="M2371" s="48"/>
      <c r="N2371" s="59"/>
      <c r="O2371" s="59">
        <v>216700</v>
      </c>
      <c r="P2371" s="59"/>
      <c r="Q2371" s="268">
        <f t="shared" si="112"/>
        <v>216700</v>
      </c>
      <c r="R2371" s="61">
        <f>IF(O2371=0,0,SUMIFS(Disbursements!$T:$T,Disbursements!$B:$B,'Live Collections'!D2371,Disbursements!$D:$D,'Live Collections'!F2371))</f>
        <v>217000</v>
      </c>
      <c r="S2371" s="304">
        <f>IF(O2371&lt;=IF($O2371=0,0,SUMIFS(Disbursements!$W:$W,Disbursements!$B:$B,'Live Collections'!D2765,Disbursements!$D:$D,'Live Collections'!F2765)),O2371,IF($O2371=0,0,SUMIFS(Disbursements!$W:$W,Disbursements!$B:$B,'Live Collections'!D2765,Disbursements!$D:$D,'Live Collections'!F2765)))</f>
        <v>20000</v>
      </c>
      <c r="T2371" s="304">
        <f t="shared" si="114"/>
        <v>196700</v>
      </c>
      <c r="U2371" s="52"/>
      <c r="V2371" s="34"/>
      <c r="W2371" s="408"/>
    </row>
    <row r="2372" spans="1:23" ht="12.75" customHeight="1" x14ac:dyDescent="0.2">
      <c r="A2372" s="257">
        <v>2368</v>
      </c>
      <c r="B2372" s="44">
        <v>44550</v>
      </c>
      <c r="C2372" s="44">
        <f t="shared" si="113"/>
        <v>44550</v>
      </c>
      <c r="D2372" s="374">
        <v>243</v>
      </c>
      <c r="E2372" s="291" t="str">
        <f>IFERROR(VLOOKUP($D2372,'Clients-Live'!$A:$C,3,0),"")</f>
        <v>AMANIYO FARIDA</v>
      </c>
      <c r="F2372" s="291">
        <f>IFERROR(INDEX(Disbursements!$D:$D,MATCH('Live Collections'!G2372,Disbursements!$C:$C,0)),"")</f>
        <v>1</v>
      </c>
      <c r="G2372" s="34">
        <v>274</v>
      </c>
      <c r="H2372" s="34">
        <v>3941</v>
      </c>
      <c r="I2372" s="34" t="s">
        <v>1357</v>
      </c>
      <c r="J2372" s="48"/>
      <c r="K2372" s="48"/>
      <c r="L2372" s="48"/>
      <c r="M2372" s="48"/>
      <c r="N2372" s="59"/>
      <c r="O2372" s="59">
        <v>150000</v>
      </c>
      <c r="P2372" s="59"/>
      <c r="Q2372" s="268">
        <f t="shared" si="112"/>
        <v>150000</v>
      </c>
      <c r="R2372" s="61">
        <f>IF(O2372=0,0,SUMIFS(Disbursements!$T:$T,Disbursements!$B:$B,'Live Collections'!D2372,Disbursements!$D:$D,'Live Collections'!F2372))</f>
        <v>150000</v>
      </c>
      <c r="S2372" s="304"/>
      <c r="T2372" s="304">
        <f t="shared" si="114"/>
        <v>150000</v>
      </c>
      <c r="U2372" s="52"/>
      <c r="V2372" s="34"/>
      <c r="W2372" s="408"/>
    </row>
    <row r="2373" spans="1:23" ht="12.75" customHeight="1" x14ac:dyDescent="0.2">
      <c r="A2373" s="257">
        <v>2366</v>
      </c>
      <c r="B2373" s="44">
        <v>44550</v>
      </c>
      <c r="C2373" s="44">
        <f t="shared" si="113"/>
        <v>44550</v>
      </c>
      <c r="D2373" s="374">
        <v>254</v>
      </c>
      <c r="E2373" s="291" t="str">
        <f>IFERROR(VLOOKUP($D2373,'Clients-Live'!$A:$C,3,0),"")</f>
        <v>ANITE AGNES</v>
      </c>
      <c r="F2373" s="291">
        <f>IFERROR(INDEX(Disbursements!$D:$D,MATCH('Live Collections'!G2373,Disbursements!$C:$C,0)),"")</f>
        <v>1</v>
      </c>
      <c r="G2373" s="34">
        <v>279</v>
      </c>
      <c r="H2373" s="34">
        <v>3939</v>
      </c>
      <c r="I2373" s="34" t="s">
        <v>1357</v>
      </c>
      <c r="J2373" s="48"/>
      <c r="K2373" s="48"/>
      <c r="L2373" s="48"/>
      <c r="M2373" s="48"/>
      <c r="N2373" s="59"/>
      <c r="O2373" s="59">
        <v>120000</v>
      </c>
      <c r="P2373" s="59"/>
      <c r="Q2373" s="268">
        <f t="shared" si="112"/>
        <v>120000</v>
      </c>
      <c r="R2373" s="61">
        <f>IF(O2373=0,0,SUMIFS(Disbursements!$T:$T,Disbursements!$B:$B,'Live Collections'!D2373,Disbursements!$D:$D,'Live Collections'!F2373))</f>
        <v>120000</v>
      </c>
      <c r="S2373" s="64">
        <v>19666.666666666686</v>
      </c>
      <c r="T2373" s="304">
        <f t="shared" si="114"/>
        <v>100333.33333333331</v>
      </c>
      <c r="U2373" s="52"/>
      <c r="V2373" s="34"/>
      <c r="W2373" s="408"/>
    </row>
    <row r="2374" spans="1:23" ht="12.75" customHeight="1" x14ac:dyDescent="0.2">
      <c r="A2374" s="257">
        <v>2373</v>
      </c>
      <c r="B2374" s="44">
        <v>44551</v>
      </c>
      <c r="C2374" s="44">
        <f t="shared" si="113"/>
        <v>44551</v>
      </c>
      <c r="D2374" s="374">
        <v>6</v>
      </c>
      <c r="E2374" s="291" t="str">
        <f>IFERROR(VLOOKUP($D2374,'Clients-Live'!$A:$C,3,0),"")</f>
        <v>AMUTE BASHIR</v>
      </c>
      <c r="F2374" s="291">
        <f>IFERROR(INDEX(Disbursements!$D:$D,MATCH('Live Collections'!G2374,Disbursements!$C:$C,0)),"")</f>
        <v>2</v>
      </c>
      <c r="G2374" s="34">
        <v>100</v>
      </c>
      <c r="H2374" s="34">
        <v>4007</v>
      </c>
      <c r="I2374" s="34" t="s">
        <v>1358</v>
      </c>
      <c r="J2374" s="48"/>
      <c r="K2374" s="48"/>
      <c r="L2374" s="48"/>
      <c r="M2374" s="48"/>
      <c r="N2374" s="59"/>
      <c r="O2374" s="59">
        <v>1835000</v>
      </c>
      <c r="P2374" s="59"/>
      <c r="Q2374" s="268">
        <f t="shared" si="112"/>
        <v>1835000</v>
      </c>
      <c r="R2374" s="61">
        <f>IF(O2374=0,0,SUMIFS(Disbursements!$T:$T,Disbursements!$B:$B,'Live Collections'!D2374,Disbursements!$D:$D,'Live Collections'!F2374))</f>
        <v>1300000</v>
      </c>
      <c r="S2374" s="64">
        <v>1612333.3333333333</v>
      </c>
      <c r="T2374" s="304">
        <f t="shared" si="114"/>
        <v>222666.66666666674</v>
      </c>
      <c r="U2374" s="52"/>
      <c r="V2374" s="34"/>
      <c r="W2374" s="408"/>
    </row>
    <row r="2375" spans="1:23" ht="12.75" customHeight="1" x14ac:dyDescent="0.2">
      <c r="A2375" s="257">
        <v>2375</v>
      </c>
      <c r="B2375" s="44">
        <v>44551</v>
      </c>
      <c r="C2375" s="44">
        <f t="shared" si="113"/>
        <v>44551</v>
      </c>
      <c r="D2375" s="374">
        <v>15</v>
      </c>
      <c r="E2375" s="291" t="str">
        <f>IFERROR(VLOOKUP($D2375,'Clients-Live'!$A:$C,3,0),"")</f>
        <v>NATOSHA LUCY</v>
      </c>
      <c r="F2375" s="291">
        <f>IFERROR(INDEX(Disbursements!$D:$D,MATCH('Live Collections'!G2375,Disbursements!$C:$C,0)),"")</f>
        <v>1</v>
      </c>
      <c r="G2375" s="34">
        <v>8</v>
      </c>
      <c r="H2375" s="34">
        <v>4005</v>
      </c>
      <c r="I2375" s="34" t="s">
        <v>1358</v>
      </c>
      <c r="J2375" s="48"/>
      <c r="K2375" s="48"/>
      <c r="L2375" s="48"/>
      <c r="M2375" s="48"/>
      <c r="N2375" s="59"/>
      <c r="O2375" s="59">
        <v>300000</v>
      </c>
      <c r="P2375" s="59"/>
      <c r="Q2375" s="268">
        <f t="shared" si="112"/>
        <v>300000</v>
      </c>
      <c r="R2375" s="61">
        <f>IF(O2375=0,0,SUMIFS(Disbursements!$T:$T,Disbursements!$B:$B,'Live Collections'!D2375,Disbursements!$D:$D,'Live Collections'!F2375))</f>
        <v>434000</v>
      </c>
      <c r="S2375" s="304">
        <f>IF(O2375&lt;=IF($O2375=0,0,SUMIFS(Disbursements!$W:$W,Disbursements!$B:$B,'Live Collections'!D163,Disbursements!$D:$D,'Live Collections'!F163)),O2375,IF($O2375=0,0,SUMIFS(Disbursements!$W:$W,Disbursements!$B:$B,'Live Collections'!D163,Disbursements!$D:$D,'Live Collections'!F163)))</f>
        <v>13000</v>
      </c>
      <c r="T2375" s="304">
        <f t="shared" si="114"/>
        <v>287000</v>
      </c>
      <c r="U2375" s="52"/>
      <c r="V2375" s="34"/>
      <c r="W2375" s="408"/>
    </row>
    <row r="2376" spans="1:23" ht="12.75" customHeight="1" x14ac:dyDescent="0.2">
      <c r="A2376" s="257">
        <v>2376</v>
      </c>
      <c r="B2376" s="44">
        <v>44551</v>
      </c>
      <c r="C2376" s="44">
        <f t="shared" si="113"/>
        <v>44551</v>
      </c>
      <c r="D2376" s="374">
        <v>40</v>
      </c>
      <c r="E2376" s="291" t="str">
        <f>IFERROR(VLOOKUP($D2376,'Clients-Live'!$A:$C,3,0),"")</f>
        <v>TABU JANE</v>
      </c>
      <c r="F2376" s="291">
        <f>IFERROR(INDEX(Disbursements!$D:$D,MATCH('Live Collections'!G2376,Disbursements!$C:$C,0)),"")</f>
        <v>2</v>
      </c>
      <c r="G2376" s="34">
        <v>230</v>
      </c>
      <c r="H2376" s="34">
        <v>4004</v>
      </c>
      <c r="I2376" s="34" t="s">
        <v>1358</v>
      </c>
      <c r="J2376" s="48"/>
      <c r="K2376" s="48"/>
      <c r="L2376" s="48"/>
      <c r="M2376" s="48"/>
      <c r="N2376" s="59"/>
      <c r="O2376" s="59">
        <v>120000</v>
      </c>
      <c r="P2376" s="59"/>
      <c r="Q2376" s="268">
        <f t="shared" si="112"/>
        <v>120000</v>
      </c>
      <c r="R2376" s="61">
        <f>IF(O2376=0,0,SUMIFS(Disbursements!$T:$T,Disbursements!$B:$B,'Live Collections'!D2376,Disbursements!$D:$D,'Live Collections'!F2376))</f>
        <v>217000</v>
      </c>
      <c r="S2376" s="304">
        <f>IF(O2376&lt;=IF($O2376=0,0,SUMIFS(Disbursements!$W:$W,Disbursements!$B:$B,'Live Collections'!D440,Disbursements!$D:$D,'Live Collections'!F440)),O2376,IF($O2376=0,0,SUMIFS(Disbursements!$W:$W,Disbursements!$B:$B,'Live Collections'!D440,Disbursements!$D:$D,'Live Collections'!F440)))</f>
        <v>35000</v>
      </c>
      <c r="T2376" s="304">
        <f t="shared" si="114"/>
        <v>85000</v>
      </c>
      <c r="U2376" s="52"/>
      <c r="V2376" s="34"/>
      <c r="W2376" s="408"/>
    </row>
    <row r="2377" spans="1:23" ht="12.75" customHeight="1" x14ac:dyDescent="0.2">
      <c r="A2377" s="257">
        <v>2378</v>
      </c>
      <c r="B2377" s="44">
        <v>44551</v>
      </c>
      <c r="C2377" s="44">
        <f t="shared" si="113"/>
        <v>44551</v>
      </c>
      <c r="D2377" s="374">
        <v>60</v>
      </c>
      <c r="E2377" s="291" t="str">
        <f>IFERROR(VLOOKUP($D2377,'Clients-Live'!$A:$C,3,0),"")</f>
        <v>MATURU ALICE</v>
      </c>
      <c r="F2377" s="291">
        <f>IFERROR(INDEX(Disbursements!$D:$D,MATCH('Live Collections'!G2377,Disbursements!$C:$C,0)),"")</f>
        <v>2</v>
      </c>
      <c r="G2377" s="34">
        <v>200</v>
      </c>
      <c r="H2377" s="34">
        <v>4003</v>
      </c>
      <c r="I2377" s="34" t="s">
        <v>1358</v>
      </c>
      <c r="J2377" s="48"/>
      <c r="K2377" s="48"/>
      <c r="L2377" s="48"/>
      <c r="M2377" s="48"/>
      <c r="N2377" s="59"/>
      <c r="O2377" s="59">
        <v>40000</v>
      </c>
      <c r="P2377" s="59"/>
      <c r="Q2377" s="268">
        <f t="shared" si="112"/>
        <v>40000</v>
      </c>
      <c r="R2377" s="61">
        <f>IF(O2377=0,0,SUMIFS(Disbursements!$T:$T,Disbursements!$B:$B,'Live Collections'!D2377,Disbursements!$D:$D,'Live Collections'!F2377))</f>
        <v>180000</v>
      </c>
      <c r="S2377" s="304"/>
      <c r="T2377" s="304">
        <f t="shared" si="114"/>
        <v>40000</v>
      </c>
      <c r="U2377" s="52"/>
      <c r="V2377" s="34"/>
      <c r="W2377" s="408"/>
    </row>
    <row r="2378" spans="1:23" ht="12.75" customHeight="1" x14ac:dyDescent="0.2">
      <c r="A2378" s="257">
        <v>2369</v>
      </c>
      <c r="B2378" s="44">
        <v>44551</v>
      </c>
      <c r="C2378" s="44">
        <f t="shared" si="113"/>
        <v>44551</v>
      </c>
      <c r="D2378" s="374">
        <v>106</v>
      </c>
      <c r="E2378" s="291" t="str">
        <f>IFERROR(VLOOKUP($D2378,'Clients-Live'!$A:$C,3,0),"")</f>
        <v>ORODRIYO  NUSURA</v>
      </c>
      <c r="F2378" s="291">
        <f>IFERROR(INDEX(Disbursements!$D:$D,MATCH('Live Collections'!G2378,Disbursements!$C:$C,0)),"")</f>
        <v>2</v>
      </c>
      <c r="G2378" s="34">
        <v>104</v>
      </c>
      <c r="H2378" s="34">
        <v>4011</v>
      </c>
      <c r="I2378" s="34" t="s">
        <v>1357</v>
      </c>
      <c r="J2378" s="48"/>
      <c r="K2378" s="48"/>
      <c r="L2378" s="48"/>
      <c r="M2378" s="48"/>
      <c r="N2378" s="59"/>
      <c r="O2378" s="59">
        <v>70000</v>
      </c>
      <c r="P2378" s="59"/>
      <c r="Q2378" s="268">
        <f t="shared" si="112"/>
        <v>70000</v>
      </c>
      <c r="R2378" s="61">
        <f>IF(O2378=0,0,SUMIFS(Disbursements!$T:$T,Disbursements!$B:$B,'Live Collections'!D2378,Disbursements!$D:$D,'Live Collections'!F2378))</f>
        <v>120000</v>
      </c>
      <c r="S2378" s="304">
        <f>IF(O2378&lt;=IF($O2378=0,0,SUMIFS(Disbursements!$W:$W,Disbursements!$B:$B,'Live Collections'!D2897,Disbursements!$D:$D,'Live Collections'!F2897)),O2378,IF($O2378=0,0,SUMIFS(Disbursements!$W:$W,Disbursements!$B:$B,'Live Collections'!D2897,Disbursements!$D:$D,'Live Collections'!F2897)))</f>
        <v>15000</v>
      </c>
      <c r="T2378" s="304">
        <f t="shared" si="114"/>
        <v>55000</v>
      </c>
      <c r="U2378" s="52"/>
      <c r="V2378" s="34"/>
      <c r="W2378" s="408"/>
    </row>
    <row r="2379" spans="1:23" ht="12.75" customHeight="1" x14ac:dyDescent="0.2">
      <c r="A2379" s="257">
        <v>2379</v>
      </c>
      <c r="B2379" s="44">
        <v>44551</v>
      </c>
      <c r="C2379" s="44">
        <f t="shared" si="113"/>
        <v>44551</v>
      </c>
      <c r="D2379" s="374">
        <v>125</v>
      </c>
      <c r="E2379" s="291" t="str">
        <f>IFERROR(VLOOKUP($D2379,'Clients-Live'!$A:$C,3,0),"")</f>
        <v>SUNDAY SCOVIA</v>
      </c>
      <c r="F2379" s="291">
        <f>IFERROR(INDEX(Disbursements!$D:$D,MATCH('Live Collections'!G2379,Disbursements!$C:$C,0)),"")</f>
        <v>1</v>
      </c>
      <c r="G2379" s="34">
        <v>111</v>
      </c>
      <c r="H2379" s="34">
        <v>4002</v>
      </c>
      <c r="I2379" s="34" t="s">
        <v>1358</v>
      </c>
      <c r="J2379" s="48"/>
      <c r="K2379" s="48"/>
      <c r="L2379" s="48"/>
      <c r="M2379" s="48"/>
      <c r="N2379" s="59"/>
      <c r="O2379" s="59">
        <v>40000</v>
      </c>
      <c r="P2379" s="59"/>
      <c r="Q2379" s="268">
        <f t="shared" si="112"/>
        <v>40000</v>
      </c>
      <c r="R2379" s="61">
        <f>IF(O2379=0,0,SUMIFS(Disbursements!$T:$T,Disbursements!$B:$B,'Live Collections'!D2379,Disbursements!$D:$D,'Live Collections'!F2379))</f>
        <v>120000</v>
      </c>
      <c r="S2379" s="304">
        <f>IF(O2379&lt;=IF($O2379=0,0,SUMIFS(Disbursements!$W:$W,Disbursements!$B:$B,'Live Collections'!D1593,Disbursements!$D:$D,'Live Collections'!F1593)),O2379,IF($O2379=0,0,SUMIFS(Disbursements!$W:$W,Disbursements!$B:$B,'Live Collections'!D1593,Disbursements!$D:$D,'Live Collections'!F1593)))</f>
        <v>0</v>
      </c>
      <c r="T2379" s="304">
        <f t="shared" si="114"/>
        <v>40000</v>
      </c>
      <c r="U2379" s="52"/>
      <c r="V2379" s="34"/>
      <c r="W2379" s="408"/>
    </row>
    <row r="2380" spans="1:23" ht="12.75" customHeight="1" x14ac:dyDescent="0.2">
      <c r="A2380" s="257">
        <v>2371</v>
      </c>
      <c r="B2380" s="44">
        <v>44551</v>
      </c>
      <c r="C2380" s="44">
        <f t="shared" si="113"/>
        <v>44551</v>
      </c>
      <c r="D2380" s="374">
        <v>144</v>
      </c>
      <c r="E2380" s="291" t="str">
        <f>IFERROR(VLOOKUP($D2380,'Clients-Live'!$A:$C,3,0),"")</f>
        <v>GBENINGA RUKIA</v>
      </c>
      <c r="F2380" s="291">
        <f>IFERROR(INDEX(Disbursements!$D:$D,MATCH('Live Collections'!G2380,Disbursements!$C:$C,0)),"")</f>
        <v>1</v>
      </c>
      <c r="G2380" s="34">
        <v>131</v>
      </c>
      <c r="H2380" s="34">
        <v>4009</v>
      </c>
      <c r="I2380" s="34" t="s">
        <v>1359</v>
      </c>
      <c r="J2380" s="48"/>
      <c r="K2380" s="48"/>
      <c r="L2380" s="48"/>
      <c r="M2380" s="48"/>
      <c r="N2380" s="59"/>
      <c r="O2380" s="59">
        <v>50000</v>
      </c>
      <c r="P2380" s="59"/>
      <c r="Q2380" s="268">
        <f t="shared" si="112"/>
        <v>50000</v>
      </c>
      <c r="R2380" s="61">
        <f>IF(O2380=0,0,SUMIFS(Disbursements!$T:$T,Disbursements!$B:$B,'Live Collections'!D2380,Disbursements!$D:$D,'Live Collections'!F2380))</f>
        <v>125000</v>
      </c>
      <c r="S2380" s="304"/>
      <c r="T2380" s="304">
        <f t="shared" si="114"/>
        <v>50000</v>
      </c>
      <c r="U2380" s="52"/>
      <c r="V2380" s="34"/>
      <c r="W2380" s="408"/>
    </row>
    <row r="2381" spans="1:23" ht="12.75" customHeight="1" x14ac:dyDescent="0.2">
      <c r="A2381" s="257">
        <v>2380</v>
      </c>
      <c r="B2381" s="44">
        <v>44551</v>
      </c>
      <c r="C2381" s="44">
        <f t="shared" si="113"/>
        <v>44551</v>
      </c>
      <c r="D2381" s="374">
        <v>177</v>
      </c>
      <c r="E2381" s="291" t="str">
        <f>IFERROR(VLOOKUP($D2381,'Clients-Live'!$A:$C,3,0),"")</f>
        <v>EFIT GIFT</v>
      </c>
      <c r="F2381" s="291">
        <f>IFERROR(INDEX(Disbursements!$D:$D,MATCH('Live Collections'!G2381,Disbursements!$C:$C,0)),"")</f>
        <v>1</v>
      </c>
      <c r="G2381" s="34">
        <v>183</v>
      </c>
      <c r="H2381" s="34">
        <v>4001</v>
      </c>
      <c r="I2381" s="34" t="s">
        <v>1358</v>
      </c>
      <c r="J2381" s="48"/>
      <c r="K2381" s="48"/>
      <c r="L2381" s="48"/>
      <c r="M2381" s="48"/>
      <c r="N2381" s="59"/>
      <c r="O2381" s="59">
        <v>108000</v>
      </c>
      <c r="P2381" s="59"/>
      <c r="Q2381" s="268">
        <f t="shared" si="112"/>
        <v>108000</v>
      </c>
      <c r="R2381" s="61">
        <f>IF(O2381=0,0,SUMIFS(Disbursements!$T:$T,Disbursements!$B:$B,'Live Collections'!D2381,Disbursements!$D:$D,'Live Collections'!F2381))</f>
        <v>109000</v>
      </c>
      <c r="S2381" s="304">
        <f>IF(O2381&lt;=IF($O2381=0,0,SUMIFS(Disbursements!$W:$W,Disbursements!$B:$B,'Live Collections'!D2177,Disbursements!$D:$D,'Live Collections'!F2177)),O2381,IF($O2381=0,0,SUMIFS(Disbursements!$W:$W,Disbursements!$B:$B,'Live Collections'!D2177,Disbursements!$D:$D,'Live Collections'!F2177)))</f>
        <v>0</v>
      </c>
      <c r="T2381" s="304">
        <f t="shared" si="114"/>
        <v>108000</v>
      </c>
      <c r="U2381" s="52"/>
      <c r="V2381" s="34"/>
      <c r="W2381" s="408"/>
    </row>
    <row r="2382" spans="1:23" ht="12.75" customHeight="1" x14ac:dyDescent="0.2">
      <c r="A2382" s="257">
        <v>2374</v>
      </c>
      <c r="B2382" s="44">
        <v>44551</v>
      </c>
      <c r="C2382" s="44">
        <f t="shared" si="113"/>
        <v>44551</v>
      </c>
      <c r="D2382" s="374">
        <v>184</v>
      </c>
      <c r="E2382" s="291" t="str">
        <f>IFERROR(VLOOKUP($D2382,'Clients-Live'!$A:$C,3,0),"")</f>
        <v>OCOKORU GLORIA</v>
      </c>
      <c r="F2382" s="291">
        <f>IFERROR(INDEX(Disbursements!$D:$D,MATCH('Live Collections'!G2382,Disbursements!$C:$C,0)),"")</f>
        <v>1</v>
      </c>
      <c r="G2382" s="34">
        <v>170</v>
      </c>
      <c r="H2382" s="34">
        <v>4006</v>
      </c>
      <c r="I2382" s="34" t="s">
        <v>1358</v>
      </c>
      <c r="J2382" s="48"/>
      <c r="K2382" s="48"/>
      <c r="L2382" s="48"/>
      <c r="M2382" s="48"/>
      <c r="N2382" s="59"/>
      <c r="O2382" s="59">
        <v>100000</v>
      </c>
      <c r="P2382" s="59"/>
      <c r="Q2382" s="268">
        <f t="shared" si="112"/>
        <v>100000</v>
      </c>
      <c r="R2382" s="61">
        <f>IF(O2382=0,0,SUMIFS(Disbursements!$T:$T,Disbursements!$B:$B,'Live Collections'!D2382,Disbursements!$D:$D,'Live Collections'!F2382))</f>
        <v>240000</v>
      </c>
      <c r="S2382" s="304">
        <f>IF(O2382&lt;=IF($O2382=0,0,SUMIFS(Disbursements!$W:$W,Disbursements!$B:$B,'Live Collections'!D2243,Disbursements!$D:$D,'Live Collections'!F2243)),O2382,IF($O2382=0,0,SUMIFS(Disbursements!$W:$W,Disbursements!$B:$B,'Live Collections'!D2243,Disbursements!$D:$D,'Live Collections'!F2243)))</f>
        <v>15000</v>
      </c>
      <c r="T2382" s="304">
        <f t="shared" si="114"/>
        <v>85000</v>
      </c>
      <c r="U2382" s="52"/>
      <c r="V2382" s="34"/>
      <c r="W2382" s="408"/>
    </row>
    <row r="2383" spans="1:23" ht="12.75" customHeight="1" x14ac:dyDescent="0.2">
      <c r="A2383" s="257">
        <v>2372</v>
      </c>
      <c r="B2383" s="44">
        <v>44551</v>
      </c>
      <c r="C2383" s="44">
        <f t="shared" si="113"/>
        <v>44551</v>
      </c>
      <c r="D2383" s="374">
        <v>194</v>
      </c>
      <c r="E2383" s="291" t="str">
        <f>IFERROR(VLOOKUP($D2383,'Clients-Live'!$A:$C,3,0),"")</f>
        <v>NYOLA SHERIFA AHMED</v>
      </c>
      <c r="F2383" s="291">
        <f>IFERROR(INDEX(Disbursements!$D:$D,MATCH('Live Collections'!G2383,Disbursements!$C:$C,0)),"")</f>
        <v>1</v>
      </c>
      <c r="G2383" s="34">
        <v>186</v>
      </c>
      <c r="H2383" s="34">
        <v>4008</v>
      </c>
      <c r="I2383" s="34" t="s">
        <v>1358</v>
      </c>
      <c r="J2383" s="48"/>
      <c r="K2383" s="48"/>
      <c r="L2383" s="48"/>
      <c r="M2383" s="48"/>
      <c r="N2383" s="59"/>
      <c r="O2383" s="59">
        <v>305000</v>
      </c>
      <c r="P2383" s="59"/>
      <c r="Q2383" s="268">
        <f t="shared" si="112"/>
        <v>305000</v>
      </c>
      <c r="R2383" s="61">
        <f>IF(O2383=0,0,SUMIFS(Disbursements!$T:$T,Disbursements!$B:$B,'Live Collections'!D2383,Disbursements!$D:$D,'Live Collections'!F2383))</f>
        <v>150000</v>
      </c>
      <c r="S2383" s="304">
        <v>91250</v>
      </c>
      <c r="T2383" s="304">
        <f t="shared" si="114"/>
        <v>213750</v>
      </c>
      <c r="U2383" s="52"/>
      <c r="V2383" s="34"/>
      <c r="W2383" s="408"/>
    </row>
    <row r="2384" spans="1:23" ht="12.75" customHeight="1" x14ac:dyDescent="0.2">
      <c r="A2384" s="257">
        <v>2377</v>
      </c>
      <c r="B2384" s="44">
        <v>44551</v>
      </c>
      <c r="C2384" s="44">
        <f t="shared" si="113"/>
        <v>44551</v>
      </c>
      <c r="D2384" s="374">
        <v>221</v>
      </c>
      <c r="E2384" s="291" t="str">
        <f>IFERROR(VLOOKUP($D2384,'Clients-Live'!$A:$C,3,0),"")</f>
        <v>NAMUDDU MARY</v>
      </c>
      <c r="F2384" s="291">
        <f>IFERROR(INDEX(Disbursements!$D:$D,MATCH('Live Collections'!G2384,Disbursements!$C:$C,0)),"")</f>
        <v>1</v>
      </c>
      <c r="G2384" s="34">
        <v>225</v>
      </c>
      <c r="H2384" s="34">
        <v>4101</v>
      </c>
      <c r="I2384" s="34" t="s">
        <v>1359</v>
      </c>
      <c r="J2384" s="48"/>
      <c r="K2384" s="48"/>
      <c r="L2384" s="48"/>
      <c r="M2384" s="48"/>
      <c r="N2384" s="59"/>
      <c r="O2384" s="59">
        <v>300000</v>
      </c>
      <c r="P2384" s="59"/>
      <c r="Q2384" s="268">
        <f t="shared" si="112"/>
        <v>300000</v>
      </c>
      <c r="R2384" s="61">
        <f>IF(O2384=0,0,SUMIFS(Disbursements!$T:$T,Disbursements!$B:$B,'Live Collections'!D2384,Disbursements!$D:$D,'Live Collections'!F2384))</f>
        <v>300000</v>
      </c>
      <c r="S2384" s="304">
        <f>IF(O2384&lt;=IF($O2384=0,0,SUMIFS(Disbursements!$W:$W,Disbursements!$B:$B,'Live Collections'!D2601,Disbursements!$D:$D,'Live Collections'!F2601)),O2384,IF($O2384=0,0,SUMIFS(Disbursements!$W:$W,Disbursements!$B:$B,'Live Collections'!D2601,Disbursements!$D:$D,'Live Collections'!F2601)))</f>
        <v>35000</v>
      </c>
      <c r="T2384" s="304">
        <f t="shared" si="114"/>
        <v>265000</v>
      </c>
      <c r="U2384" s="52"/>
      <c r="V2384" s="34"/>
      <c r="W2384" s="408"/>
    </row>
    <row r="2385" spans="1:23" ht="12.75" customHeight="1" x14ac:dyDescent="0.2">
      <c r="A2385" s="257">
        <v>2370</v>
      </c>
      <c r="B2385" s="44">
        <v>44551</v>
      </c>
      <c r="C2385" s="44">
        <f t="shared" si="113"/>
        <v>44551</v>
      </c>
      <c r="D2385" s="374">
        <v>226</v>
      </c>
      <c r="E2385" s="291" t="str">
        <f>IFERROR(VLOOKUP($D2385,'Clients-Live'!$A:$C,3,0),"")</f>
        <v>MATURU NEEMA</v>
      </c>
      <c r="F2385" s="291">
        <f>IFERROR(INDEX(Disbursements!$D:$D,MATCH('Live Collections'!G2385,Disbursements!$C:$C,0)),"")</f>
        <v>1</v>
      </c>
      <c r="G2385" s="34">
        <v>233</v>
      </c>
      <c r="H2385" s="34">
        <v>4010</v>
      </c>
      <c r="I2385" s="34" t="s">
        <v>1359</v>
      </c>
      <c r="J2385" s="48"/>
      <c r="K2385" s="48"/>
      <c r="L2385" s="48"/>
      <c r="M2385" s="48"/>
      <c r="N2385" s="59"/>
      <c r="O2385" s="59">
        <v>900000</v>
      </c>
      <c r="P2385" s="59"/>
      <c r="Q2385" s="268">
        <f t="shared" si="112"/>
        <v>900000</v>
      </c>
      <c r="R2385" s="61">
        <f>IF(O2385=0,0,SUMIFS(Disbursements!$T:$T,Disbursements!$B:$B,'Live Collections'!D2385,Disbursements!$D:$D,'Live Collections'!F2385))</f>
        <v>1075000</v>
      </c>
      <c r="S2385" s="64">
        <v>53166.666666666664</v>
      </c>
      <c r="T2385" s="304">
        <f t="shared" si="114"/>
        <v>846833.33333333337</v>
      </c>
      <c r="U2385" s="52"/>
      <c r="V2385" s="34"/>
      <c r="W2385" s="408"/>
    </row>
    <row r="2386" spans="1:23" ht="12.75" customHeight="1" x14ac:dyDescent="0.2">
      <c r="A2386" s="257">
        <v>2395</v>
      </c>
      <c r="B2386" s="44">
        <v>44552</v>
      </c>
      <c r="C2386" s="44">
        <f t="shared" si="113"/>
        <v>44552</v>
      </c>
      <c r="D2386" s="374">
        <v>1</v>
      </c>
      <c r="E2386" s="291" t="str">
        <f>IFERROR(VLOOKUP($D2386,'Clients-Live'!$A:$C,3,0),"")</f>
        <v>TABAN NICHOLAS</v>
      </c>
      <c r="F2386" s="291" t="str">
        <f>IFERROR(INDEX(Disbursements!$D:$D,MATCH('Live Collections'!G2386,Disbursements!$C:$C,0)),"")</f>
        <v/>
      </c>
      <c r="G2386" s="34"/>
      <c r="H2386" s="34">
        <v>4014</v>
      </c>
      <c r="I2386" s="34" t="s">
        <v>1357</v>
      </c>
      <c r="J2386" s="48"/>
      <c r="K2386" s="48"/>
      <c r="L2386" s="48">
        <v>10000</v>
      </c>
      <c r="M2386" s="48"/>
      <c r="N2386" s="59"/>
      <c r="O2386" s="59"/>
      <c r="P2386" s="59"/>
      <c r="Q2386" s="268">
        <f t="shared" si="112"/>
        <v>10000</v>
      </c>
      <c r="R2386" s="61">
        <f>IF(O2386=0,0,SUMIFS(Disbursements!$T:$T,Disbursements!$B:$B,'Live Collections'!D2386,Disbursements!$D:$D,'Live Collections'!F2386))</f>
        <v>0</v>
      </c>
      <c r="S2386" s="304">
        <f>IF(O2386&lt;=IF($O2386=0,0,SUMIFS(Disbursements!$W:$W,Disbursements!$B:$B,'Live Collections'!D8,Disbursements!$D:$D,'Live Collections'!F8)),O2386,IF($O2386=0,0,SUMIFS(Disbursements!$W:$W,Disbursements!$B:$B,'Live Collections'!D8,Disbursements!$D:$D,'Live Collections'!F8)))</f>
        <v>0</v>
      </c>
      <c r="T2386" s="304">
        <f t="shared" si="114"/>
        <v>0</v>
      </c>
      <c r="U2386" s="52"/>
      <c r="V2386" s="34"/>
      <c r="W2386" s="408"/>
    </row>
    <row r="2387" spans="1:23" ht="12.75" customHeight="1" x14ac:dyDescent="0.2">
      <c r="A2387" s="257">
        <v>2394</v>
      </c>
      <c r="B2387" s="44">
        <v>44552</v>
      </c>
      <c r="C2387" s="44">
        <f t="shared" si="113"/>
        <v>44552</v>
      </c>
      <c r="D2387" s="374">
        <v>35</v>
      </c>
      <c r="E2387" s="291" t="str">
        <f>IFERROR(VLOOKUP($D2387,'Clients-Live'!$A:$C,3,0),"")</f>
        <v>ALEZUYO DOCUS</v>
      </c>
      <c r="F2387" s="291">
        <f>IFERROR(INDEX(Disbursements!$D:$D,MATCH('Live Collections'!G2387,Disbursements!$C:$C,0)),"")</f>
        <v>2</v>
      </c>
      <c r="G2387" s="34">
        <v>155</v>
      </c>
      <c r="H2387" s="34">
        <v>4015</v>
      </c>
      <c r="I2387" s="34" t="s">
        <v>1359</v>
      </c>
      <c r="J2387" s="48"/>
      <c r="K2387" s="48"/>
      <c r="L2387" s="48"/>
      <c r="M2387" s="48"/>
      <c r="N2387" s="59"/>
      <c r="O2387" s="59">
        <v>50000</v>
      </c>
      <c r="P2387" s="59"/>
      <c r="Q2387" s="268">
        <f t="shared" si="112"/>
        <v>50000</v>
      </c>
      <c r="R2387" s="61">
        <f>IF(O2387=0,0,SUMIFS(Disbursements!$T:$T,Disbursements!$B:$B,'Live Collections'!D2387,Disbursements!$D:$D,'Live Collections'!F2387))</f>
        <v>250000</v>
      </c>
      <c r="S2387" s="304">
        <f>IF(O2387&lt;=IF($O2387=0,0,SUMIFS(Disbursements!$W:$W,Disbursements!$B:$B,'Live Collections'!D413,Disbursements!$D:$D,'Live Collections'!F413)),O2387,IF($O2387=0,0,SUMIFS(Disbursements!$W:$W,Disbursements!$B:$B,'Live Collections'!D413,Disbursements!$D:$D,'Live Collections'!F413)))</f>
        <v>3333.3333333333321</v>
      </c>
      <c r="T2387" s="304">
        <f t="shared" si="114"/>
        <v>46666.666666666672</v>
      </c>
      <c r="U2387" s="52"/>
      <c r="V2387" s="34"/>
      <c r="W2387" s="408"/>
    </row>
    <row r="2388" spans="1:23" ht="12.75" customHeight="1" x14ac:dyDescent="0.2">
      <c r="A2388" s="257">
        <v>2389</v>
      </c>
      <c r="B2388" s="44">
        <v>44552</v>
      </c>
      <c r="C2388" s="44">
        <f t="shared" si="113"/>
        <v>44552</v>
      </c>
      <c r="D2388" s="374">
        <v>59</v>
      </c>
      <c r="E2388" s="291" t="str">
        <f>IFERROR(VLOOKUP($D2388,'Clients-Live'!$A:$C,3,0),"")</f>
        <v>ONZIA AGNES</v>
      </c>
      <c r="F2388" s="291">
        <f>IFERROR(INDEX(Disbursements!$D:$D,MATCH('Live Collections'!G2388,Disbursements!$C:$C,0)),"")</f>
        <v>2</v>
      </c>
      <c r="G2388" s="34">
        <v>284</v>
      </c>
      <c r="H2388" s="34">
        <v>4019</v>
      </c>
      <c r="I2388" s="34" t="s">
        <v>1358</v>
      </c>
      <c r="J2388" s="48"/>
      <c r="K2388" s="48"/>
      <c r="L2388" s="48"/>
      <c r="M2388" s="48"/>
      <c r="N2388" s="59"/>
      <c r="O2388" s="59">
        <v>40000</v>
      </c>
      <c r="P2388" s="59"/>
      <c r="Q2388" s="268">
        <f t="shared" si="112"/>
        <v>40000</v>
      </c>
      <c r="R2388" s="61">
        <f>IF(O2388=0,0,SUMIFS(Disbursements!$T:$T,Disbursements!$B:$B,'Live Collections'!D2388,Disbursements!$D:$D,'Live Collections'!F2388))</f>
        <v>180000</v>
      </c>
      <c r="S2388" s="304">
        <f>IF(O2388&lt;=IF($O2388=0,0,SUMIFS(Disbursements!$W:$W,Disbursements!$B:$B,'Live Collections'!D709,Disbursements!$D:$D,'Live Collections'!F709)),O2388,IF($O2388=0,0,SUMIFS(Disbursements!$W:$W,Disbursements!$B:$B,'Live Collections'!D709,Disbursements!$D:$D,'Live Collections'!F709)))</f>
        <v>35000</v>
      </c>
      <c r="T2388" s="304">
        <f t="shared" si="114"/>
        <v>5000</v>
      </c>
      <c r="U2388" s="52"/>
      <c r="V2388" s="34"/>
      <c r="W2388" s="408"/>
    </row>
    <row r="2389" spans="1:23" ht="12.75" customHeight="1" x14ac:dyDescent="0.2">
      <c r="A2389" s="257">
        <v>2382</v>
      </c>
      <c r="B2389" s="44">
        <v>44552</v>
      </c>
      <c r="C2389" s="44">
        <f t="shared" si="113"/>
        <v>44552</v>
      </c>
      <c r="D2389" s="374">
        <v>62</v>
      </c>
      <c r="E2389" s="291" t="str">
        <f>IFERROR(VLOOKUP($D2389,'Clients-Live'!$A:$C,3,0),"")</f>
        <v>DUDU ARIKE</v>
      </c>
      <c r="F2389" s="291">
        <f>IFERROR(INDEX(Disbursements!$D:$D,MATCH('Live Collections'!G2389,Disbursements!$C:$C,0)),"")</f>
        <v>1</v>
      </c>
      <c r="G2389" s="34">
        <v>44</v>
      </c>
      <c r="H2389" s="34">
        <v>4026</v>
      </c>
      <c r="I2389" s="34" t="s">
        <v>1357</v>
      </c>
      <c r="J2389" s="48"/>
      <c r="K2389" s="48"/>
      <c r="L2389" s="48"/>
      <c r="M2389" s="48"/>
      <c r="N2389" s="59"/>
      <c r="O2389" s="59">
        <v>100000</v>
      </c>
      <c r="P2389" s="59"/>
      <c r="Q2389" s="268">
        <f t="shared" si="112"/>
        <v>100000</v>
      </c>
      <c r="R2389" s="61">
        <f>IF(O2389=0,0,SUMIFS(Disbursements!$T:$T,Disbursements!$B:$B,'Live Collections'!D2389,Disbursements!$D:$D,'Live Collections'!F2389))</f>
        <v>217000</v>
      </c>
      <c r="S2389" s="304">
        <f>IF(O2389&lt;=IF($O2389=0,0,SUMIFS(Disbursements!$W:$W,Disbursements!$B:$B,'Live Collections'!D747,Disbursements!$D:$D,'Live Collections'!F747)),O2389,IF($O2389=0,0,SUMIFS(Disbursements!$W:$W,Disbursements!$B:$B,'Live Collections'!D747,Disbursements!$D:$D,'Live Collections'!F747)))</f>
        <v>25000</v>
      </c>
      <c r="T2389" s="304">
        <f t="shared" si="114"/>
        <v>75000</v>
      </c>
      <c r="U2389" s="52"/>
      <c r="V2389" s="34"/>
      <c r="W2389" s="408" t="s">
        <v>1938</v>
      </c>
    </row>
    <row r="2390" spans="1:23" ht="12.75" customHeight="1" x14ac:dyDescent="0.2">
      <c r="A2390" s="257">
        <v>2383</v>
      </c>
      <c r="B2390" s="44">
        <v>44552</v>
      </c>
      <c r="C2390" s="44">
        <f t="shared" si="113"/>
        <v>44552</v>
      </c>
      <c r="D2390" s="374">
        <v>62</v>
      </c>
      <c r="E2390" s="291" t="str">
        <f>IFERROR(VLOOKUP($D2390,'Clients-Live'!$A:$C,3,0),"")</f>
        <v>DUDU ARIKE</v>
      </c>
      <c r="F2390" s="291">
        <f>IFERROR(INDEX(Disbursements!$D:$D,MATCH('Live Collections'!G2390,Disbursements!$C:$C,0)),"")</f>
        <v>1</v>
      </c>
      <c r="G2390" s="34">
        <v>44</v>
      </c>
      <c r="H2390" s="34">
        <v>1443</v>
      </c>
      <c r="I2390" s="34" t="s">
        <v>1357</v>
      </c>
      <c r="J2390" s="48"/>
      <c r="K2390" s="48"/>
      <c r="L2390" s="48"/>
      <c r="M2390" s="48"/>
      <c r="N2390" s="59"/>
      <c r="O2390" s="59"/>
      <c r="P2390" s="59">
        <v>-100000</v>
      </c>
      <c r="Q2390" s="268">
        <f t="shared" si="112"/>
        <v>-100000</v>
      </c>
      <c r="R2390" s="61">
        <f>IF(O2390=0,0,SUMIFS(Disbursements!$T:$T,Disbursements!$B:$B,'Live Collections'!D2390,Disbursements!$D:$D,'Live Collections'!F2390))</f>
        <v>0</v>
      </c>
      <c r="S2390" s="304">
        <f>IF(O2390&lt;=IF($O2390=0,0,SUMIFS(Disbursements!$W:$W,Disbursements!$B:$B,'Live Collections'!D748,Disbursements!$D:$D,'Live Collections'!F748)),O2390,IF($O2390=0,0,SUMIFS(Disbursements!$W:$W,Disbursements!$B:$B,'Live Collections'!D748,Disbursements!$D:$D,'Live Collections'!F748)))</f>
        <v>0</v>
      </c>
      <c r="T2390" s="304">
        <f t="shared" si="114"/>
        <v>0</v>
      </c>
      <c r="U2390" s="52"/>
      <c r="V2390" s="34"/>
      <c r="W2390" s="408"/>
    </row>
    <row r="2391" spans="1:23" ht="12.75" customHeight="1" x14ac:dyDescent="0.2">
      <c r="A2391" s="257">
        <v>2384</v>
      </c>
      <c r="B2391" s="44">
        <v>44552</v>
      </c>
      <c r="C2391" s="44">
        <f t="shared" si="113"/>
        <v>44552</v>
      </c>
      <c r="D2391" s="374">
        <v>62</v>
      </c>
      <c r="E2391" s="291" t="str">
        <f>IFERROR(VLOOKUP($D2391,'Clients-Live'!$A:$C,3,0),"")</f>
        <v>DUDU ARIKE</v>
      </c>
      <c r="F2391" s="291">
        <f>IFERROR(INDEX(Disbursements!$D:$D,MATCH('Live Collections'!G2391,Disbursements!$C:$C,0)),"")</f>
        <v>1</v>
      </c>
      <c r="G2391" s="34">
        <v>44</v>
      </c>
      <c r="H2391" s="34">
        <v>4025</v>
      </c>
      <c r="I2391" s="34" t="s">
        <v>1357</v>
      </c>
      <c r="J2391" s="48"/>
      <c r="K2391" s="48"/>
      <c r="L2391" s="48"/>
      <c r="M2391" s="48"/>
      <c r="N2391" s="59"/>
      <c r="O2391" s="59">
        <v>94000</v>
      </c>
      <c r="P2391" s="59"/>
      <c r="Q2391" s="268">
        <f t="shared" si="112"/>
        <v>94000</v>
      </c>
      <c r="R2391" s="61">
        <f>IF(O2391=0,0,SUMIFS(Disbursements!$T:$T,Disbursements!$B:$B,'Live Collections'!D2391,Disbursements!$D:$D,'Live Collections'!F2391))</f>
        <v>217000</v>
      </c>
      <c r="S2391" s="304">
        <f>IF(O2391&lt;=IF($O2391=0,0,SUMIFS(Disbursements!$W:$W,Disbursements!$B:$B,'Live Collections'!D749,Disbursements!$D:$D,'Live Collections'!F749)),O2391,IF($O2391=0,0,SUMIFS(Disbursements!$W:$W,Disbursements!$B:$B,'Live Collections'!D749,Disbursements!$D:$D,'Live Collections'!F749)))</f>
        <v>75000</v>
      </c>
      <c r="T2391" s="304">
        <f t="shared" si="114"/>
        <v>19000</v>
      </c>
      <c r="U2391" s="52"/>
      <c r="V2391" s="34"/>
      <c r="W2391" s="408"/>
    </row>
    <row r="2392" spans="1:23" ht="12.75" customHeight="1" x14ac:dyDescent="0.2">
      <c r="A2392" s="257">
        <v>2392</v>
      </c>
      <c r="B2392" s="44">
        <v>44552</v>
      </c>
      <c r="C2392" s="44">
        <f t="shared" si="113"/>
        <v>44552</v>
      </c>
      <c r="D2392" s="374">
        <v>66</v>
      </c>
      <c r="E2392" s="291" t="str">
        <f>IFERROR(VLOOKUP($D2392,'Clients-Live'!$A:$C,3,0),"")</f>
        <v>DENAYA NYAMAZA</v>
      </c>
      <c r="F2392" s="291">
        <f>IFERROR(INDEX(Disbursements!$D:$D,MATCH('Live Collections'!G2392,Disbursements!$C:$C,0)),"")</f>
        <v>2</v>
      </c>
      <c r="G2392" s="34">
        <v>300</v>
      </c>
      <c r="H2392" s="34">
        <v>4017</v>
      </c>
      <c r="I2392" s="34" t="s">
        <v>1357</v>
      </c>
      <c r="J2392" s="48"/>
      <c r="K2392" s="48"/>
      <c r="L2392" s="48"/>
      <c r="M2392" s="48"/>
      <c r="N2392" s="59"/>
      <c r="O2392" s="59">
        <v>100000</v>
      </c>
      <c r="P2392" s="59"/>
      <c r="Q2392" s="268">
        <f t="shared" si="112"/>
        <v>100000</v>
      </c>
      <c r="R2392" s="61">
        <f>IF(O2392=0,0,SUMIFS(Disbursements!$T:$T,Disbursements!$B:$B,'Live Collections'!D2392,Disbursements!$D:$D,'Live Collections'!F2392))</f>
        <v>109000</v>
      </c>
      <c r="S2392" s="304">
        <f>IF(O2392&lt;=IF($O2392=0,0,SUMIFS(Disbursements!$W:$W,Disbursements!$B:$B,'Live Collections'!D818,Disbursements!$D:$D,'Live Collections'!F818)),O2392,IF($O2392=0,0,SUMIFS(Disbursements!$W:$W,Disbursements!$B:$B,'Live Collections'!D818,Disbursements!$D:$D,'Live Collections'!F818)))</f>
        <v>20666.666666666657</v>
      </c>
      <c r="T2392" s="304">
        <f t="shared" si="114"/>
        <v>79333.333333333343</v>
      </c>
      <c r="U2392" s="52"/>
      <c r="V2392" s="34"/>
      <c r="W2392" s="408"/>
    </row>
    <row r="2393" spans="1:23" ht="12.75" customHeight="1" x14ac:dyDescent="0.2">
      <c r="A2393" s="257">
        <v>2393</v>
      </c>
      <c r="B2393" s="44">
        <v>44552</v>
      </c>
      <c r="C2393" s="44">
        <f t="shared" si="113"/>
        <v>44552</v>
      </c>
      <c r="D2393" s="374">
        <v>74</v>
      </c>
      <c r="E2393" s="291" t="str">
        <f>IFERROR(VLOOKUP($D2393,'Clients-Live'!$A:$C,3,0),"")</f>
        <v>YUKUWE AISHA</v>
      </c>
      <c r="F2393" s="291">
        <f>IFERROR(INDEX(Disbursements!$D:$D,MATCH('Live Collections'!G2393,Disbursements!$C:$C,0)),"")</f>
        <v>2</v>
      </c>
      <c r="G2393" s="34">
        <v>287</v>
      </c>
      <c r="H2393" s="34">
        <v>4016</v>
      </c>
      <c r="I2393" s="34" t="s">
        <v>1358</v>
      </c>
      <c r="J2393" s="48"/>
      <c r="K2393" s="48"/>
      <c r="L2393" s="48"/>
      <c r="M2393" s="48"/>
      <c r="N2393" s="59"/>
      <c r="O2393" s="59">
        <v>90000</v>
      </c>
      <c r="P2393" s="59"/>
      <c r="Q2393" s="268">
        <f t="shared" si="112"/>
        <v>90000</v>
      </c>
      <c r="R2393" s="61">
        <f>IF(O2393=0,0,SUMIFS(Disbursements!$T:$T,Disbursements!$B:$B,'Live Collections'!D2393,Disbursements!$D:$D,'Live Collections'!F2393))</f>
        <v>90000</v>
      </c>
      <c r="S2393" s="304"/>
      <c r="T2393" s="304">
        <f t="shared" si="114"/>
        <v>90000</v>
      </c>
      <c r="U2393" s="52"/>
      <c r="V2393" s="34"/>
      <c r="W2393" s="408"/>
    </row>
    <row r="2394" spans="1:23" ht="12.75" customHeight="1" x14ac:dyDescent="0.2">
      <c r="A2394" s="257">
        <v>2391</v>
      </c>
      <c r="B2394" s="44">
        <v>44552</v>
      </c>
      <c r="C2394" s="44">
        <f t="shared" si="113"/>
        <v>44552</v>
      </c>
      <c r="D2394" s="374">
        <v>133</v>
      </c>
      <c r="E2394" s="291" t="str">
        <f>IFERROR(VLOOKUP($D2394,'Clients-Live'!$A:$C,3,0),"")</f>
        <v>JABE MARY</v>
      </c>
      <c r="F2394" s="291">
        <f>IFERROR(INDEX(Disbursements!$D:$D,MATCH('Live Collections'!G2394,Disbursements!$C:$C,0)),"")</f>
        <v>1</v>
      </c>
      <c r="G2394" s="34">
        <v>116</v>
      </c>
      <c r="H2394" s="34">
        <v>4102</v>
      </c>
      <c r="I2394" s="34" t="s">
        <v>1359</v>
      </c>
      <c r="J2394" s="48"/>
      <c r="K2394" s="48"/>
      <c r="L2394" s="48"/>
      <c r="M2394" s="48"/>
      <c r="N2394" s="59"/>
      <c r="O2394" s="59">
        <v>50000</v>
      </c>
      <c r="P2394" s="59"/>
      <c r="Q2394" s="268">
        <f t="shared" si="112"/>
        <v>50000</v>
      </c>
      <c r="R2394" s="61">
        <f>IF(O2394=0,0,SUMIFS(Disbursements!$T:$T,Disbursements!$B:$B,'Live Collections'!D2394,Disbursements!$D:$D,'Live Collections'!F2394))</f>
        <v>125000</v>
      </c>
      <c r="S2394" s="304"/>
      <c r="T2394" s="304">
        <f t="shared" si="114"/>
        <v>50000</v>
      </c>
      <c r="U2394" s="52"/>
      <c r="V2394" s="34"/>
      <c r="W2394" s="408"/>
    </row>
    <row r="2395" spans="1:23" ht="12.75" customHeight="1" x14ac:dyDescent="0.2">
      <c r="A2395" s="257">
        <v>2385</v>
      </c>
      <c r="B2395" s="44">
        <v>44552</v>
      </c>
      <c r="C2395" s="44">
        <f t="shared" si="113"/>
        <v>44552</v>
      </c>
      <c r="D2395" s="374">
        <v>160</v>
      </c>
      <c r="E2395" s="291" t="str">
        <f>IFERROR(VLOOKUP($D2395,'Clients-Live'!$A:$C,3,0),"")</f>
        <v>CHANDI ZANABU</v>
      </c>
      <c r="F2395" s="291">
        <f>IFERROR(INDEX(Disbursements!$D:$D,MATCH('Live Collections'!G2395,Disbursements!$C:$C,0)),"")</f>
        <v>2</v>
      </c>
      <c r="G2395" s="34">
        <v>267</v>
      </c>
      <c r="H2395" s="34">
        <v>4020</v>
      </c>
      <c r="I2395" s="34" t="s">
        <v>1358</v>
      </c>
      <c r="J2395" s="48"/>
      <c r="K2395" s="48"/>
      <c r="L2395" s="48"/>
      <c r="M2395" s="48"/>
      <c r="N2395" s="59"/>
      <c r="O2395" s="59">
        <v>10000</v>
      </c>
      <c r="P2395" s="59"/>
      <c r="Q2395" s="268">
        <f t="shared" si="112"/>
        <v>10000</v>
      </c>
      <c r="R2395" s="61">
        <f>IF(O2395=0,0,SUMIFS(Disbursements!$T:$T,Disbursements!$B:$B,'Live Collections'!D2395,Disbursements!$D:$D,'Live Collections'!F2395))</f>
        <v>150000</v>
      </c>
      <c r="S2395" s="304"/>
      <c r="T2395" s="304">
        <f t="shared" si="114"/>
        <v>10000</v>
      </c>
      <c r="U2395" s="52"/>
      <c r="V2395" s="34"/>
      <c r="W2395" s="408"/>
    </row>
    <row r="2396" spans="1:23" ht="12.75" customHeight="1" x14ac:dyDescent="0.2">
      <c r="A2396" s="257">
        <v>2396</v>
      </c>
      <c r="B2396" s="44">
        <v>44552</v>
      </c>
      <c r="C2396" s="44">
        <f t="shared" si="113"/>
        <v>44552</v>
      </c>
      <c r="D2396" s="374">
        <v>169</v>
      </c>
      <c r="E2396" s="291" t="str">
        <f>IFERROR(VLOOKUP($D2396,'Clients-Live'!$A:$C,3,0),"")</f>
        <v>KATO KENNEDY</v>
      </c>
      <c r="F2396" s="291">
        <f>IFERROR(INDEX(Disbursements!$D:$D,MATCH('Live Collections'!G2396,Disbursements!$C:$C,0)),"")</f>
        <v>1</v>
      </c>
      <c r="G2396" s="34">
        <v>176</v>
      </c>
      <c r="H2396" s="34">
        <v>4013</v>
      </c>
      <c r="I2396" s="34" t="s">
        <v>1357</v>
      </c>
      <c r="J2396" s="48"/>
      <c r="K2396" s="48"/>
      <c r="L2396" s="48"/>
      <c r="M2396" s="48"/>
      <c r="N2396" s="59"/>
      <c r="O2396" s="59">
        <v>180000</v>
      </c>
      <c r="P2396" s="59"/>
      <c r="Q2396" s="268">
        <f t="shared" si="112"/>
        <v>180000</v>
      </c>
      <c r="R2396" s="61">
        <f>IF(O2396=0,0,SUMIFS(Disbursements!$T:$T,Disbursements!$B:$B,'Live Collections'!D2396,Disbursements!$D:$D,'Live Collections'!F2396))</f>
        <v>109000</v>
      </c>
      <c r="S2396" s="304"/>
      <c r="T2396" s="304">
        <f t="shared" si="114"/>
        <v>180000</v>
      </c>
      <c r="U2396" s="52"/>
      <c r="V2396" s="34"/>
      <c r="W2396" s="408"/>
    </row>
    <row r="2397" spans="1:23" ht="12.75" customHeight="1" x14ac:dyDescent="0.2">
      <c r="A2397" s="257">
        <v>2388</v>
      </c>
      <c r="B2397" s="44">
        <v>44552</v>
      </c>
      <c r="C2397" s="44">
        <f t="shared" si="113"/>
        <v>44552</v>
      </c>
      <c r="D2397" s="374">
        <v>191</v>
      </c>
      <c r="E2397" s="291" t="str">
        <f>IFERROR(VLOOKUP($D2397,'Clients-Live'!$A:$C,3,0),"")</f>
        <v>AYOZU JESCA TAIBO</v>
      </c>
      <c r="F2397" s="291">
        <f>IFERROR(INDEX(Disbursements!$D:$D,MATCH('Live Collections'!G2397,Disbursements!$C:$C,0)),"")</f>
        <v>2</v>
      </c>
      <c r="G2397" s="34">
        <v>340</v>
      </c>
      <c r="H2397" s="34">
        <v>4023</v>
      </c>
      <c r="I2397" s="34" t="s">
        <v>1357</v>
      </c>
      <c r="J2397" s="48"/>
      <c r="K2397" s="48"/>
      <c r="L2397" s="48"/>
      <c r="M2397" s="48"/>
      <c r="N2397" s="59"/>
      <c r="O2397" s="59">
        <v>123000</v>
      </c>
      <c r="P2397" s="59"/>
      <c r="Q2397" s="268">
        <f t="shared" si="112"/>
        <v>123000</v>
      </c>
      <c r="R2397" s="61">
        <f>IF(O2397=0,0,SUMIFS(Disbursements!$T:$T,Disbursements!$B:$B,'Live Collections'!D2397,Disbursements!$D:$D,'Live Collections'!F2397))</f>
        <v>154000</v>
      </c>
      <c r="S2397" s="304"/>
      <c r="T2397" s="304">
        <f t="shared" si="114"/>
        <v>123000</v>
      </c>
      <c r="U2397" s="52"/>
      <c r="V2397" s="34"/>
      <c r="W2397" s="408"/>
    </row>
    <row r="2398" spans="1:23" ht="12.75" customHeight="1" x14ac:dyDescent="0.2">
      <c r="A2398" s="257">
        <v>2390</v>
      </c>
      <c r="B2398" s="44">
        <v>44552</v>
      </c>
      <c r="C2398" s="44">
        <f t="shared" si="113"/>
        <v>44552</v>
      </c>
      <c r="D2398" s="374">
        <v>217</v>
      </c>
      <c r="E2398" s="291" t="str">
        <f>IFERROR(VLOOKUP($D2398,'Clients-Live'!$A:$C,3,0),"")</f>
        <v>JAMBA MOSES</v>
      </c>
      <c r="F2398" s="291">
        <f>IFERROR(INDEX(Disbursements!$D:$D,MATCH('Live Collections'!G2398,Disbursements!$C:$C,0)),"")</f>
        <v>2</v>
      </c>
      <c r="G2398" s="34">
        <v>341</v>
      </c>
      <c r="H2398" s="34">
        <v>4018</v>
      </c>
      <c r="I2398" s="34" t="s">
        <v>1357</v>
      </c>
      <c r="J2398" s="48"/>
      <c r="K2398" s="48"/>
      <c r="L2398" s="48"/>
      <c r="M2398" s="48"/>
      <c r="N2398" s="59"/>
      <c r="O2398" s="59">
        <v>76700</v>
      </c>
      <c r="P2398" s="59"/>
      <c r="Q2398" s="268">
        <f t="shared" si="112"/>
        <v>76700</v>
      </c>
      <c r="R2398" s="61">
        <f>IF(O2398=0,0,SUMIFS(Disbursements!$T:$T,Disbursements!$B:$B,'Live Collections'!D2398,Disbursements!$D:$D,'Live Collections'!F2398))</f>
        <v>154000</v>
      </c>
      <c r="S2398" s="304">
        <f>IF(O2398&lt;=IF($O2398=0,0,SUMIFS(Disbursements!$W:$W,Disbursements!$B:$B,'Live Collections'!D2563,Disbursements!$D:$D,'Live Collections'!F2563)),O2398,IF($O2398=0,0,SUMIFS(Disbursements!$W:$W,Disbursements!$B:$B,'Live Collections'!D2563,Disbursements!$D:$D,'Live Collections'!F2563)))</f>
        <v>60000</v>
      </c>
      <c r="T2398" s="304">
        <f t="shared" si="114"/>
        <v>16700</v>
      </c>
      <c r="U2398" s="52"/>
      <c r="V2398" s="34"/>
      <c r="W2398" s="408"/>
    </row>
    <row r="2399" spans="1:23" ht="12.75" customHeight="1" x14ac:dyDescent="0.2">
      <c r="A2399" s="257">
        <v>2386</v>
      </c>
      <c r="B2399" s="44">
        <v>44552</v>
      </c>
      <c r="C2399" s="44">
        <f t="shared" si="113"/>
        <v>44552</v>
      </c>
      <c r="D2399" s="374">
        <v>219</v>
      </c>
      <c r="E2399" s="291" t="str">
        <f>IFERROR(VLOOKUP($D2399,'Clients-Live'!$A:$C,3,0),"")</f>
        <v>MALIKO JAMILA</v>
      </c>
      <c r="F2399" s="291">
        <f>IFERROR(INDEX(Disbursements!$D:$D,MATCH('Live Collections'!G2399,Disbursements!$C:$C,0)),"")</f>
        <v>1</v>
      </c>
      <c r="G2399" s="34">
        <v>228</v>
      </c>
      <c r="H2399" s="34">
        <v>4021</v>
      </c>
      <c r="I2399" s="34" t="s">
        <v>1358</v>
      </c>
      <c r="J2399" s="48"/>
      <c r="K2399" s="48"/>
      <c r="L2399" s="48"/>
      <c r="M2399" s="48"/>
      <c r="N2399" s="59"/>
      <c r="O2399" s="59">
        <v>25000</v>
      </c>
      <c r="P2399" s="59"/>
      <c r="Q2399" s="268">
        <f t="shared" si="112"/>
        <v>25000</v>
      </c>
      <c r="R2399" s="61">
        <f>IF(O2399=0,0,SUMIFS(Disbursements!$T:$T,Disbursements!$B:$B,'Live Collections'!D2399,Disbursements!$D:$D,'Live Collections'!F2399))</f>
        <v>77000</v>
      </c>
      <c r="S2399" s="304">
        <f>IF(O2399&lt;=IF($O2399=0,0,SUMIFS(Disbursements!$W:$W,Disbursements!$B:$B,'Live Collections'!D2590,Disbursements!$D:$D,'Live Collections'!F2590)),O2399,IF($O2399=0,0,SUMIFS(Disbursements!$W:$W,Disbursements!$B:$B,'Live Collections'!D2590,Disbursements!$D:$D,'Live Collections'!F2590)))</f>
        <v>0</v>
      </c>
      <c r="T2399" s="304">
        <f t="shared" si="114"/>
        <v>25000</v>
      </c>
      <c r="U2399" s="52"/>
      <c r="V2399" s="34"/>
      <c r="W2399" s="408"/>
    </row>
    <row r="2400" spans="1:23" ht="12.75" customHeight="1" x14ac:dyDescent="0.2">
      <c r="A2400" s="257">
        <v>2397</v>
      </c>
      <c r="B2400" s="44">
        <v>44552</v>
      </c>
      <c r="C2400" s="44">
        <f t="shared" si="113"/>
        <v>44552</v>
      </c>
      <c r="D2400" s="374">
        <v>248</v>
      </c>
      <c r="E2400" s="291" t="str">
        <f>IFERROR(VLOOKUP($D2400,'Clients-Live'!$A:$C,3,0),"")</f>
        <v>LETARU GLORIA</v>
      </c>
      <c r="F2400" s="291">
        <f>IFERROR(INDEX(Disbursements!$D:$D,MATCH('Live Collections'!G2400,Disbursements!$C:$C,0)),"")</f>
        <v>1</v>
      </c>
      <c r="G2400" s="34">
        <v>268</v>
      </c>
      <c r="H2400" s="34">
        <v>4030</v>
      </c>
      <c r="I2400" s="34" t="s">
        <v>1359</v>
      </c>
      <c r="J2400" s="48"/>
      <c r="K2400" s="48"/>
      <c r="L2400" s="48"/>
      <c r="M2400" s="48"/>
      <c r="N2400" s="59"/>
      <c r="O2400" s="59">
        <v>825000</v>
      </c>
      <c r="P2400" s="59"/>
      <c r="Q2400" s="268">
        <f t="shared" si="112"/>
        <v>825000</v>
      </c>
      <c r="R2400" s="61">
        <f>IF(O2400=0,0,SUMIFS(Disbursements!$T:$T,Disbursements!$B:$B,'Live Collections'!D2400,Disbursements!$D:$D,'Live Collections'!F2400))</f>
        <v>1225000</v>
      </c>
      <c r="S2400" s="304">
        <f>IF(O2400&lt;=IF($O2400=0,0,SUMIFS(Disbursements!$W:$W,Disbursements!$B:$B,'Live Collections'!D2802,Disbursements!$D:$D,'Live Collections'!F2802)),O2400,IF($O2400=0,0,SUMIFS(Disbursements!$W:$W,Disbursements!$B:$B,'Live Collections'!D2802,Disbursements!$D:$D,'Live Collections'!F2802)))</f>
        <v>75000</v>
      </c>
      <c r="T2400" s="304">
        <f t="shared" si="114"/>
        <v>750000</v>
      </c>
      <c r="U2400" s="52"/>
      <c r="V2400" s="34"/>
      <c r="W2400" s="408"/>
    </row>
    <row r="2401" spans="1:23" ht="12.75" customHeight="1" x14ac:dyDescent="0.2">
      <c r="A2401" s="257">
        <v>2381</v>
      </c>
      <c r="B2401" s="44">
        <v>44552</v>
      </c>
      <c r="C2401" s="44">
        <f t="shared" si="113"/>
        <v>44552</v>
      </c>
      <c r="D2401" s="374">
        <v>253</v>
      </c>
      <c r="E2401" s="291" t="str">
        <f>IFERROR(VLOOKUP($D2401,'Clients-Live'!$A:$C,3,0),"")</f>
        <v>JAKUMA VINCENT</v>
      </c>
      <c r="F2401" s="291">
        <f>IFERROR(INDEX(Disbursements!$D:$D,MATCH('Live Collections'!G2401,Disbursements!$C:$C,0)),"")</f>
        <v>1</v>
      </c>
      <c r="G2401" s="34">
        <v>359</v>
      </c>
      <c r="H2401" s="34">
        <v>4027</v>
      </c>
      <c r="I2401" s="34" t="s">
        <v>1359</v>
      </c>
      <c r="J2401" s="48"/>
      <c r="K2401" s="48"/>
      <c r="L2401" s="48"/>
      <c r="M2401" s="48"/>
      <c r="N2401" s="59"/>
      <c r="O2401" s="59">
        <v>200000</v>
      </c>
      <c r="P2401" s="59"/>
      <c r="Q2401" s="268">
        <f t="shared" si="112"/>
        <v>200000</v>
      </c>
      <c r="R2401" s="61">
        <f>IF(O2401=0,0,SUMIFS(Disbursements!$T:$T,Disbursements!$B:$B,'Live Collections'!D2401,Disbursements!$D:$D,'Live Collections'!F2401))</f>
        <v>613000</v>
      </c>
      <c r="S2401" s="304"/>
      <c r="T2401" s="304">
        <f t="shared" si="114"/>
        <v>200000</v>
      </c>
      <c r="U2401" s="52"/>
      <c r="V2401" s="34"/>
      <c r="W2401" s="408"/>
    </row>
    <row r="2402" spans="1:23" ht="12.75" customHeight="1" x14ac:dyDescent="0.2">
      <c r="A2402" s="257">
        <v>2387</v>
      </c>
      <c r="B2402" s="44">
        <v>44552</v>
      </c>
      <c r="C2402" s="44">
        <f t="shared" si="113"/>
        <v>44552</v>
      </c>
      <c r="D2402" s="374">
        <v>266</v>
      </c>
      <c r="E2402" s="291" t="str">
        <f>IFERROR(VLOOKUP($D2402,'Clients-Live'!$A:$C,3,0),"")</f>
        <v>TAIBO AMANA</v>
      </c>
      <c r="F2402" s="291">
        <f>IFERROR(INDEX(Disbursements!$D:$D,MATCH('Live Collections'!G2402,Disbursements!$C:$C,0)),"")</f>
        <v>1</v>
      </c>
      <c r="G2402" s="34">
        <v>336</v>
      </c>
      <c r="H2402" s="34">
        <v>4022</v>
      </c>
      <c r="I2402" s="34" t="s">
        <v>1358</v>
      </c>
      <c r="J2402" s="48"/>
      <c r="K2402" s="48"/>
      <c r="L2402" s="48"/>
      <c r="M2402" s="48"/>
      <c r="N2402" s="59"/>
      <c r="O2402" s="59">
        <v>30000</v>
      </c>
      <c r="P2402" s="59"/>
      <c r="Q2402" s="268">
        <f t="shared" si="112"/>
        <v>30000</v>
      </c>
      <c r="R2402" s="61">
        <f>IF(O2402=0,0,SUMIFS(Disbursements!$T:$T,Disbursements!$B:$B,'Live Collections'!D2402,Disbursements!$D:$D,'Live Collections'!F2402))</f>
        <v>120000</v>
      </c>
      <c r="S2402" s="304">
        <v>10000</v>
      </c>
      <c r="T2402" s="304">
        <f t="shared" si="114"/>
        <v>20000</v>
      </c>
      <c r="U2402" s="52"/>
      <c r="V2402" s="34"/>
      <c r="W2402" s="408"/>
    </row>
    <row r="2403" spans="1:23" ht="12.75" customHeight="1" x14ac:dyDescent="0.2">
      <c r="A2403" s="257">
        <v>2406</v>
      </c>
      <c r="B2403" s="44">
        <v>44553</v>
      </c>
      <c r="C2403" s="44">
        <f t="shared" si="113"/>
        <v>44553</v>
      </c>
      <c r="D2403" s="374">
        <v>3</v>
      </c>
      <c r="E2403" s="291" t="str">
        <f>IFERROR(VLOOKUP($D2403,'Clients-Live'!$A:$C,3,0),"")</f>
        <v>YEKA ARIJABU</v>
      </c>
      <c r="F2403" s="291">
        <f>IFERROR(INDEX(Disbursements!$D:$D,MATCH('Live Collections'!G2403,Disbursements!$C:$C,0)),"")</f>
        <v>1</v>
      </c>
      <c r="G2403" s="34">
        <v>227</v>
      </c>
      <c r="H2403" s="34">
        <v>4034</v>
      </c>
      <c r="I2403" s="34" t="s">
        <v>1357</v>
      </c>
      <c r="J2403" s="48"/>
      <c r="K2403" s="48"/>
      <c r="L2403" s="48"/>
      <c r="M2403" s="48"/>
      <c r="N2403" s="59"/>
      <c r="O2403" s="59">
        <v>80000</v>
      </c>
      <c r="P2403" s="59"/>
      <c r="Q2403" s="268">
        <f t="shared" si="112"/>
        <v>80000</v>
      </c>
      <c r="R2403" s="61">
        <f>IF(O2403=0,0,SUMIFS(Disbursements!$T:$T,Disbursements!$B:$B,'Live Collections'!D2403,Disbursements!$D:$D,'Live Collections'!F2403))</f>
        <v>325000</v>
      </c>
      <c r="S2403" s="304">
        <f>IF(O2403&lt;=IF($O2403=0,0,SUMIFS(Disbursements!$W:$W,Disbursements!$B:$B,'Live Collections'!D1030,Disbursements!$D:$D,'Live Collections'!F1030)),O2403,IF($O2403=0,0,SUMIFS(Disbursements!$W:$W,Disbursements!$B:$B,'Live Collections'!D1030,Disbursements!$D:$D,'Live Collections'!F1030)))</f>
        <v>80000</v>
      </c>
      <c r="T2403" s="304">
        <f t="shared" si="114"/>
        <v>0</v>
      </c>
      <c r="U2403" s="52"/>
      <c r="V2403" s="34"/>
      <c r="W2403" s="408"/>
    </row>
    <row r="2404" spans="1:23" ht="12.75" customHeight="1" x14ac:dyDescent="0.2">
      <c r="A2404" s="257">
        <v>2407</v>
      </c>
      <c r="B2404" s="44">
        <v>44553</v>
      </c>
      <c r="C2404" s="44">
        <f t="shared" si="113"/>
        <v>44553</v>
      </c>
      <c r="D2404" s="374">
        <v>18</v>
      </c>
      <c r="E2404" s="291" t="str">
        <f>IFERROR(VLOOKUP($D2404,'Clients-Live'!$A:$C,3,0),"")</f>
        <v>ARIYE PEACE</v>
      </c>
      <c r="F2404" s="291">
        <f>IFERROR(INDEX(Disbursements!$D:$D,MATCH('Live Collections'!G2404,Disbursements!$C:$C,0)),"")</f>
        <v>2</v>
      </c>
      <c r="G2404" s="34">
        <v>317</v>
      </c>
      <c r="H2404" s="34">
        <v>4033</v>
      </c>
      <c r="I2404" s="34" t="s">
        <v>1357</v>
      </c>
      <c r="J2404" s="48"/>
      <c r="K2404" s="48"/>
      <c r="L2404" s="48"/>
      <c r="M2404" s="48"/>
      <c r="N2404" s="59"/>
      <c r="O2404" s="59">
        <v>162500</v>
      </c>
      <c r="P2404" s="59"/>
      <c r="Q2404" s="268">
        <f t="shared" si="112"/>
        <v>162500</v>
      </c>
      <c r="R2404" s="61">
        <f>IF(O2404=0,0,SUMIFS(Disbursements!$T:$T,Disbursements!$B:$B,'Live Collections'!D2404,Disbursements!$D:$D,'Live Collections'!F2404))</f>
        <v>650000</v>
      </c>
      <c r="S2404" s="304">
        <f>IF(O2404&lt;=IF($O2404=0,0,SUMIFS(Disbursements!$W:$W,Disbursements!$B:$B,'Live Collections'!D222,Disbursements!$D:$D,'Live Collections'!F222)),O2404,IF($O2404=0,0,SUMIFS(Disbursements!$W:$W,Disbursements!$B:$B,'Live Collections'!D222,Disbursements!$D:$D,'Live Collections'!F222)))</f>
        <v>0</v>
      </c>
      <c r="T2404" s="304">
        <f t="shared" si="114"/>
        <v>162500</v>
      </c>
      <c r="U2404" s="52"/>
      <c r="V2404" s="34"/>
      <c r="W2404" s="408"/>
    </row>
    <row r="2405" spans="1:23" ht="12.75" customHeight="1" x14ac:dyDescent="0.2">
      <c r="A2405" s="257">
        <v>2408</v>
      </c>
      <c r="B2405" s="44">
        <v>44553</v>
      </c>
      <c r="C2405" s="44">
        <f t="shared" si="113"/>
        <v>44553</v>
      </c>
      <c r="D2405" s="374">
        <v>52</v>
      </c>
      <c r="E2405" s="291" t="str">
        <f>IFERROR(VLOOKUP($D2405,'Clients-Live'!$A:$C,3,0),"")</f>
        <v>EDEZU PEACE IRENE</v>
      </c>
      <c r="F2405" s="291">
        <f>IFERROR(INDEX(Disbursements!$D:$D,MATCH('Live Collections'!G2405,Disbursements!$C:$C,0)),"")</f>
        <v>2</v>
      </c>
      <c r="G2405" s="34">
        <v>275</v>
      </c>
      <c r="H2405" s="34">
        <v>4032</v>
      </c>
      <c r="I2405" s="34" t="s">
        <v>1357</v>
      </c>
      <c r="J2405" s="48"/>
      <c r="K2405" s="48"/>
      <c r="L2405" s="48"/>
      <c r="M2405" s="48"/>
      <c r="N2405" s="59"/>
      <c r="O2405" s="59">
        <v>50000</v>
      </c>
      <c r="P2405" s="59"/>
      <c r="Q2405" s="268">
        <f t="shared" si="112"/>
        <v>50000</v>
      </c>
      <c r="R2405" s="61">
        <f>IF(O2405=0,0,SUMIFS(Disbursements!$T:$T,Disbursements!$B:$B,'Live Collections'!D2405,Disbursements!$D:$D,'Live Collections'!F2405))</f>
        <v>150000</v>
      </c>
      <c r="S2405" s="304">
        <f>IF(O2405&lt;=IF($O2405=0,0,SUMIFS(Disbursements!$W:$W,Disbursements!$B:$B,'Live Collections'!D612,Disbursements!$D:$D,'Live Collections'!F612)),O2405,IF($O2405=0,0,SUMIFS(Disbursements!$W:$W,Disbursements!$B:$B,'Live Collections'!D612,Disbursements!$D:$D,'Live Collections'!F612)))</f>
        <v>50000</v>
      </c>
      <c r="T2405" s="304">
        <f t="shared" si="114"/>
        <v>0</v>
      </c>
      <c r="U2405" s="52"/>
      <c r="V2405" s="34"/>
      <c r="W2405" s="408"/>
    </row>
    <row r="2406" spans="1:23" ht="12.75" customHeight="1" x14ac:dyDescent="0.2">
      <c r="A2406" s="257">
        <v>2401</v>
      </c>
      <c r="B2406" s="44">
        <v>44553</v>
      </c>
      <c r="C2406" s="44">
        <f t="shared" si="113"/>
        <v>44553</v>
      </c>
      <c r="D2406" s="374">
        <v>61</v>
      </c>
      <c r="E2406" s="291" t="str">
        <f>IFERROR(VLOOKUP($D2406,'Clients-Live'!$A:$C,3,0),"")</f>
        <v>AREDU RUKIA</v>
      </c>
      <c r="F2406" s="291">
        <f>IFERROR(INDEX(Disbursements!$D:$D,MATCH('Live Collections'!G2406,Disbursements!$C:$C,0)),"")</f>
        <v>2</v>
      </c>
      <c r="G2406" s="34">
        <v>290</v>
      </c>
      <c r="H2406" s="34">
        <v>4040</v>
      </c>
      <c r="I2406" s="34" t="s">
        <v>1359</v>
      </c>
      <c r="J2406" s="48"/>
      <c r="K2406" s="48"/>
      <c r="L2406" s="48"/>
      <c r="M2406" s="48"/>
      <c r="N2406" s="59"/>
      <c r="O2406" s="59">
        <v>90000</v>
      </c>
      <c r="P2406" s="59"/>
      <c r="Q2406" s="268">
        <f t="shared" si="112"/>
        <v>90000</v>
      </c>
      <c r="R2406" s="61">
        <f>IF(O2406=0,0,SUMIFS(Disbursements!$T:$T,Disbursements!$B:$B,'Live Collections'!D2406,Disbursements!$D:$D,'Live Collections'!F2406))</f>
        <v>90000</v>
      </c>
      <c r="S2406" s="304">
        <v>20000</v>
      </c>
      <c r="T2406" s="304">
        <f t="shared" si="114"/>
        <v>70000</v>
      </c>
      <c r="U2406" s="52"/>
      <c r="V2406" s="34"/>
      <c r="W2406" s="408"/>
    </row>
    <row r="2407" spans="1:23" ht="12.75" customHeight="1" x14ac:dyDescent="0.2">
      <c r="A2407" s="257">
        <v>2410</v>
      </c>
      <c r="B2407" s="44">
        <v>44553</v>
      </c>
      <c r="C2407" s="44">
        <f t="shared" si="113"/>
        <v>44553</v>
      </c>
      <c r="D2407" s="374">
        <v>76</v>
      </c>
      <c r="E2407" s="291" t="str">
        <f>IFERROR(VLOOKUP($D2407,'Clients-Live'!$A:$C,3,0),"")</f>
        <v>DAWA AISHA</v>
      </c>
      <c r="F2407" s="291">
        <f>IFERROR(INDEX(Disbursements!$D:$D,MATCH('Live Collections'!G2407,Disbursements!$C:$C,0)),"")</f>
        <v>2</v>
      </c>
      <c r="G2407" s="34">
        <v>187</v>
      </c>
      <c r="H2407" s="34">
        <v>4031</v>
      </c>
      <c r="I2407" s="34" t="s">
        <v>1358</v>
      </c>
      <c r="J2407" s="48"/>
      <c r="K2407" s="48"/>
      <c r="L2407" s="48"/>
      <c r="M2407" s="48"/>
      <c r="N2407" s="59"/>
      <c r="O2407" s="59">
        <v>50000</v>
      </c>
      <c r="P2407" s="59"/>
      <c r="Q2407" s="268">
        <f t="shared" si="112"/>
        <v>50000</v>
      </c>
      <c r="R2407" s="61">
        <f>IF(O2407=0,0,SUMIFS(Disbursements!$T:$T,Disbursements!$B:$B,'Live Collections'!D2407,Disbursements!$D:$D,'Live Collections'!F2407))</f>
        <v>180000</v>
      </c>
      <c r="S2407" s="304"/>
      <c r="T2407" s="304">
        <f t="shared" si="114"/>
        <v>50000</v>
      </c>
      <c r="U2407" s="52"/>
      <c r="V2407" s="34"/>
      <c r="W2407" s="408"/>
    </row>
    <row r="2408" spans="1:23" ht="12.75" customHeight="1" x14ac:dyDescent="0.2">
      <c r="A2408" s="257">
        <v>2402</v>
      </c>
      <c r="B2408" s="44">
        <v>44553</v>
      </c>
      <c r="C2408" s="44">
        <f t="shared" si="113"/>
        <v>44553</v>
      </c>
      <c r="D2408" s="374">
        <v>86</v>
      </c>
      <c r="E2408" s="291" t="str">
        <f>IFERROR(VLOOKUP($D2408,'Clients-Live'!$A:$C,3,0),"")</f>
        <v>AMANIYO JOYCE</v>
      </c>
      <c r="F2408" s="291">
        <f>IFERROR(INDEX(Disbursements!$D:$D,MATCH('Live Collections'!G2408,Disbursements!$C:$C,0)),"")</f>
        <v>2</v>
      </c>
      <c r="G2408" s="34">
        <v>231</v>
      </c>
      <c r="H2408" s="34">
        <v>4039</v>
      </c>
      <c r="I2408" s="34" t="s">
        <v>1358</v>
      </c>
      <c r="J2408" s="48"/>
      <c r="K2408" s="48"/>
      <c r="L2408" s="48"/>
      <c r="M2408" s="48"/>
      <c r="N2408" s="59"/>
      <c r="O2408" s="59">
        <v>100000</v>
      </c>
      <c r="P2408" s="59"/>
      <c r="Q2408" s="268">
        <f t="shared" si="112"/>
        <v>100000</v>
      </c>
      <c r="R2408" s="61">
        <f>IF(O2408=0,0,SUMIFS(Disbursements!$T:$T,Disbursements!$B:$B,'Live Collections'!D2408,Disbursements!$D:$D,'Live Collections'!F2408))</f>
        <v>217000</v>
      </c>
      <c r="S2408" s="304">
        <f>IF(O2408&lt;=IF($O2408=0,0,SUMIFS(Disbursements!$W:$W,Disbursements!$B:$B,'Live Collections'!D1118,Disbursements!$D:$D,'Live Collections'!F1118)),O2408,IF($O2408=0,0,SUMIFS(Disbursements!$W:$W,Disbursements!$B:$B,'Live Collections'!D1118,Disbursements!$D:$D,'Live Collections'!F1118)))</f>
        <v>75000</v>
      </c>
      <c r="T2408" s="304">
        <f t="shared" si="114"/>
        <v>25000</v>
      </c>
      <c r="U2408" s="52"/>
      <c r="V2408" s="34"/>
      <c r="W2408" s="408"/>
    </row>
    <row r="2409" spans="1:23" ht="12.75" customHeight="1" x14ac:dyDescent="0.2">
      <c r="A2409" s="257">
        <v>2400</v>
      </c>
      <c r="B2409" s="44">
        <v>44553</v>
      </c>
      <c r="C2409" s="44">
        <f t="shared" si="113"/>
        <v>44553</v>
      </c>
      <c r="D2409" s="374">
        <v>113</v>
      </c>
      <c r="E2409" s="291" t="str">
        <f>IFERROR(VLOOKUP($D2409,'Clients-Live'!$A:$C,3,0),"")</f>
        <v>ATIKU AMULE ISAAC</v>
      </c>
      <c r="F2409" s="291">
        <f>IFERROR(INDEX(Disbursements!$D:$D,MATCH('Live Collections'!G2409,Disbursements!$C:$C,0)),"")</f>
        <v>2</v>
      </c>
      <c r="G2409" s="34">
        <v>263</v>
      </c>
      <c r="H2409" s="34">
        <v>4041</v>
      </c>
      <c r="I2409" s="34" t="s">
        <v>1358</v>
      </c>
      <c r="J2409" s="48"/>
      <c r="K2409" s="48"/>
      <c r="L2409" s="48"/>
      <c r="M2409" s="48"/>
      <c r="N2409" s="59"/>
      <c r="O2409" s="59">
        <v>150000</v>
      </c>
      <c r="P2409" s="59"/>
      <c r="Q2409" s="268">
        <f t="shared" si="112"/>
        <v>150000</v>
      </c>
      <c r="R2409" s="61">
        <f>IF(O2409=0,0,SUMIFS(Disbursements!$T:$T,Disbursements!$B:$B,'Live Collections'!D2409,Disbursements!$D:$D,'Live Collections'!F2409))</f>
        <v>152000</v>
      </c>
      <c r="S2409" s="304">
        <f>IF(O2409&lt;=IF($O2409=0,0,SUMIFS(Disbursements!$W:$W,Disbursements!$B:$B,'Live Collections'!D2602,Disbursements!$D:$D,'Live Collections'!F2602)),O2409,IF($O2409=0,0,SUMIFS(Disbursements!$W:$W,Disbursements!$B:$B,'Live Collections'!D2602,Disbursements!$D:$D,'Live Collections'!F2602)))</f>
        <v>35000</v>
      </c>
      <c r="T2409" s="304">
        <f t="shared" si="114"/>
        <v>115000</v>
      </c>
      <c r="U2409" s="52"/>
      <c r="V2409" s="34"/>
      <c r="W2409" s="408"/>
    </row>
    <row r="2410" spans="1:23" ht="12.75" customHeight="1" x14ac:dyDescent="0.2">
      <c r="A2410" s="257">
        <v>2404</v>
      </c>
      <c r="B2410" s="44">
        <v>44553</v>
      </c>
      <c r="C2410" s="44">
        <f t="shared" si="113"/>
        <v>44553</v>
      </c>
      <c r="D2410" s="374">
        <v>128</v>
      </c>
      <c r="E2410" s="291" t="str">
        <f>IFERROR(VLOOKUP($D2410,'Clients-Live'!$A:$C,3,0),"")</f>
        <v>AJONYE BETTY</v>
      </c>
      <c r="F2410" s="291">
        <f>IFERROR(INDEX(Disbursements!$D:$D,MATCH('Live Collections'!G2410,Disbursements!$C:$C,0)),"")</f>
        <v>2</v>
      </c>
      <c r="G2410" s="34">
        <v>289</v>
      </c>
      <c r="H2410" s="34">
        <v>4037</v>
      </c>
      <c r="I2410" s="34" t="s">
        <v>1359</v>
      </c>
      <c r="J2410" s="48"/>
      <c r="K2410" s="48"/>
      <c r="L2410" s="48"/>
      <c r="M2410" s="48"/>
      <c r="N2410" s="59"/>
      <c r="O2410" s="59">
        <v>70000</v>
      </c>
      <c r="P2410" s="59"/>
      <c r="Q2410" s="268">
        <f t="shared" si="112"/>
        <v>70000</v>
      </c>
      <c r="R2410" s="61">
        <f>IF(O2410=0,0,SUMIFS(Disbursements!$T:$T,Disbursements!$B:$B,'Live Collections'!D2410,Disbursements!$D:$D,'Live Collections'!F2410))</f>
        <v>120000</v>
      </c>
      <c r="S2410" s="304">
        <f>IF(O2410&lt;=IF($O2410=0,0,SUMIFS(Disbursements!$W:$W,Disbursements!$B:$B,'Live Collections'!D1627,Disbursements!$D:$D,'Live Collections'!F1627)),O2410,IF($O2410=0,0,SUMIFS(Disbursements!$W:$W,Disbursements!$B:$B,'Live Collections'!D1627,Disbursements!$D:$D,'Live Collections'!F1627)))</f>
        <v>50333.333333333343</v>
      </c>
      <c r="T2410" s="304">
        <f t="shared" si="114"/>
        <v>19666.666666666657</v>
      </c>
      <c r="U2410" s="52"/>
      <c r="V2410" s="34"/>
      <c r="W2410" s="408"/>
    </row>
    <row r="2411" spans="1:23" ht="12.75" customHeight="1" x14ac:dyDescent="0.2">
      <c r="A2411" s="257">
        <v>2398</v>
      </c>
      <c r="B2411" s="44">
        <v>44553</v>
      </c>
      <c r="C2411" s="44">
        <f t="shared" si="113"/>
        <v>44553</v>
      </c>
      <c r="D2411" s="374">
        <v>149</v>
      </c>
      <c r="E2411" s="291" t="str">
        <f>IFERROR(VLOOKUP($D2411,'Clients-Live'!$A:$C,3,0),"")</f>
        <v>SIKA AMIDRA</v>
      </c>
      <c r="F2411" s="291">
        <f>IFERROR(INDEX(Disbursements!$D:$D,MATCH('Live Collections'!G2411,Disbursements!$C:$C,0)),"")</f>
        <v>1</v>
      </c>
      <c r="G2411" s="34">
        <v>141</v>
      </c>
      <c r="H2411" s="34">
        <v>1446</v>
      </c>
      <c r="I2411" s="34" t="s">
        <v>1359</v>
      </c>
      <c r="J2411" s="48"/>
      <c r="K2411" s="48"/>
      <c r="L2411" s="48"/>
      <c r="M2411" s="48"/>
      <c r="N2411" s="59"/>
      <c r="O2411" s="59"/>
      <c r="P2411" s="59">
        <v>-50000</v>
      </c>
      <c r="Q2411" s="268">
        <f t="shared" si="112"/>
        <v>-50000</v>
      </c>
      <c r="R2411" s="61">
        <f>IF(O2411=0,0,SUMIFS(Disbursements!$T:$T,Disbursements!$B:$B,'Live Collections'!D2411,Disbursements!$D:$D,'Live Collections'!F2411))</f>
        <v>0</v>
      </c>
      <c r="S2411" s="304">
        <f>IF(O2411&lt;=IF($O2411=0,0,SUMIFS(Disbursements!$W:$W,Disbursements!$B:$B,'Live Collections'!D1888,Disbursements!$D:$D,'Live Collections'!F1888)),O2411,IF($O2411=0,0,SUMIFS(Disbursements!$W:$W,Disbursements!$B:$B,'Live Collections'!D1888,Disbursements!$D:$D,'Live Collections'!F1888)))</f>
        <v>0</v>
      </c>
      <c r="T2411" s="304">
        <f t="shared" si="114"/>
        <v>0</v>
      </c>
      <c r="U2411" s="52"/>
      <c r="V2411" s="34"/>
      <c r="W2411" s="408"/>
    </row>
    <row r="2412" spans="1:23" ht="12.75" customHeight="1" x14ac:dyDescent="0.2">
      <c r="A2412" s="257">
        <v>2399</v>
      </c>
      <c r="B2412" s="44">
        <v>44553</v>
      </c>
      <c r="C2412" s="44">
        <f t="shared" si="113"/>
        <v>44553</v>
      </c>
      <c r="D2412" s="374">
        <v>149</v>
      </c>
      <c r="E2412" s="291" t="str">
        <f>IFERROR(VLOOKUP($D2412,'Clients-Live'!$A:$C,3,0),"")</f>
        <v>SIKA AMIDRA</v>
      </c>
      <c r="F2412" s="291">
        <f>IFERROR(INDEX(Disbursements!$D:$D,MATCH('Live Collections'!G2412,Disbursements!$C:$C,0)),"")</f>
        <v>1</v>
      </c>
      <c r="G2412" s="34">
        <v>141</v>
      </c>
      <c r="H2412" s="34">
        <v>4036</v>
      </c>
      <c r="I2412" s="34" t="s">
        <v>1359</v>
      </c>
      <c r="J2412" s="48"/>
      <c r="K2412" s="48"/>
      <c r="L2412" s="48"/>
      <c r="M2412" s="48"/>
      <c r="N2412" s="59"/>
      <c r="O2412" s="59">
        <v>50000</v>
      </c>
      <c r="P2412" s="59"/>
      <c r="Q2412" s="268">
        <f t="shared" si="112"/>
        <v>50000</v>
      </c>
      <c r="R2412" s="61">
        <f>IF(O2412=0,0,SUMIFS(Disbursements!$T:$T,Disbursements!$B:$B,'Live Collections'!D2412,Disbursements!$D:$D,'Live Collections'!F2412))</f>
        <v>30000</v>
      </c>
      <c r="S2412" s="304"/>
      <c r="T2412" s="304">
        <f t="shared" si="114"/>
        <v>50000</v>
      </c>
      <c r="U2412" s="52"/>
      <c r="V2412" s="34"/>
      <c r="W2412" s="408" t="s">
        <v>1940</v>
      </c>
    </row>
    <row r="2413" spans="1:23" ht="12.75" customHeight="1" x14ac:dyDescent="0.2">
      <c r="A2413" s="257">
        <v>2405</v>
      </c>
      <c r="B2413" s="44">
        <v>44553</v>
      </c>
      <c r="C2413" s="44">
        <f t="shared" si="113"/>
        <v>44553</v>
      </c>
      <c r="D2413" s="374">
        <v>149</v>
      </c>
      <c r="E2413" s="291" t="str">
        <f>IFERROR(VLOOKUP($D2413,'Clients-Live'!$A:$C,3,0),"")</f>
        <v>SIKA AMIDRA</v>
      </c>
      <c r="F2413" s="291">
        <f>IFERROR(INDEX(Disbursements!$D:$D,MATCH('Live Collections'!G2413,Disbursements!$C:$C,0)),"")</f>
        <v>1</v>
      </c>
      <c r="G2413" s="34">
        <v>141</v>
      </c>
      <c r="H2413" s="34">
        <v>4035</v>
      </c>
      <c r="I2413" s="34" t="s">
        <v>1358</v>
      </c>
      <c r="J2413" s="48"/>
      <c r="K2413" s="48"/>
      <c r="L2413" s="48"/>
      <c r="M2413" s="48"/>
      <c r="N2413" s="59"/>
      <c r="O2413" s="59">
        <v>40000</v>
      </c>
      <c r="P2413" s="59"/>
      <c r="Q2413" s="268">
        <f t="shared" si="112"/>
        <v>40000</v>
      </c>
      <c r="R2413" s="61">
        <f>IF(O2413=0,0,SUMIFS(Disbursements!$T:$T,Disbursements!$B:$B,'Live Collections'!D2413,Disbursements!$D:$D,'Live Collections'!F2413))</f>
        <v>30000</v>
      </c>
      <c r="S2413" s="304"/>
      <c r="T2413" s="304">
        <f t="shared" si="114"/>
        <v>40000</v>
      </c>
      <c r="U2413" s="52"/>
      <c r="V2413" s="34"/>
      <c r="W2413" s="408"/>
    </row>
    <row r="2414" spans="1:23" ht="12.75" customHeight="1" x14ac:dyDescent="0.2">
      <c r="A2414" s="257">
        <v>2413</v>
      </c>
      <c r="B2414" s="44">
        <v>44553</v>
      </c>
      <c r="C2414" s="44">
        <f t="shared" si="113"/>
        <v>44553</v>
      </c>
      <c r="D2414" s="374">
        <v>194</v>
      </c>
      <c r="E2414" s="291" t="str">
        <f>IFERROR(VLOOKUP($D2414,'Clients-Live'!$A:$C,3,0),"")</f>
        <v>NYOLA SHERIFA AHMED</v>
      </c>
      <c r="F2414" s="291" t="str">
        <f>IFERROR(INDEX(Disbursements!$D:$D,MATCH('Live Collections'!G2414,Disbursements!$C:$C,0)),"")</f>
        <v/>
      </c>
      <c r="G2414" s="34"/>
      <c r="H2414" s="34">
        <v>4046</v>
      </c>
      <c r="I2414" s="34" t="s">
        <v>1358</v>
      </c>
      <c r="J2414" s="48"/>
      <c r="K2414" s="48"/>
      <c r="L2414" s="48"/>
      <c r="M2414" s="48"/>
      <c r="N2414" s="59">
        <v>50000</v>
      </c>
      <c r="O2414" s="59"/>
      <c r="P2414" s="59"/>
      <c r="Q2414" s="268">
        <f t="shared" si="112"/>
        <v>50000</v>
      </c>
      <c r="R2414" s="61">
        <f>IF(O2414=0,0,SUMIFS(Disbursements!$T:$T,Disbursements!$B:$B,'Live Collections'!D2414,Disbursements!$D:$D,'Live Collections'!F2414))</f>
        <v>0</v>
      </c>
      <c r="S2414" s="304">
        <f>IF(O2414&lt;=IF($O2414=0,0,SUMIFS(Disbursements!$W:$W,Disbursements!$B:$B,'Live Collections'!D4057,Disbursements!$D:$D,'Live Collections'!F4057)),O2414,IF($O2414=0,0,SUMIFS(Disbursements!$W:$W,Disbursements!$B:$B,'Live Collections'!D4057,Disbursements!$D:$D,'Live Collections'!F4057)))</f>
        <v>0</v>
      </c>
      <c r="T2414" s="304">
        <f t="shared" si="114"/>
        <v>0</v>
      </c>
      <c r="U2414" s="52"/>
      <c r="V2414" s="34"/>
      <c r="W2414" s="408"/>
    </row>
    <row r="2415" spans="1:23" ht="12.75" customHeight="1" x14ac:dyDescent="0.2">
      <c r="A2415" s="257">
        <v>2409</v>
      </c>
      <c r="B2415" s="44">
        <v>44553</v>
      </c>
      <c r="C2415" s="44">
        <f t="shared" si="113"/>
        <v>44553</v>
      </c>
      <c r="D2415" s="374">
        <v>206</v>
      </c>
      <c r="E2415" s="291" t="str">
        <f>IFERROR(VLOOKUP($D2415,'Clients-Live'!$A:$C,3,0),"")</f>
        <v>AMILE AISHA</v>
      </c>
      <c r="F2415" s="291">
        <f>IFERROR(INDEX(Disbursements!$D:$D,MATCH('Live Collections'!G2415,Disbursements!$C:$C,0)),"")</f>
        <v>1</v>
      </c>
      <c r="G2415" s="34">
        <v>214</v>
      </c>
      <c r="H2415" s="34">
        <v>4012</v>
      </c>
      <c r="I2415" s="34" t="s">
        <v>1357</v>
      </c>
      <c r="J2415" s="48"/>
      <c r="K2415" s="48"/>
      <c r="L2415" s="48"/>
      <c r="M2415" s="48"/>
      <c r="N2415" s="59"/>
      <c r="O2415" s="59">
        <v>20000</v>
      </c>
      <c r="P2415" s="59"/>
      <c r="Q2415" s="268">
        <f t="shared" si="112"/>
        <v>20000</v>
      </c>
      <c r="R2415" s="61">
        <f>IF(O2415=0,0,SUMIFS(Disbursements!$T:$T,Disbursements!$B:$B,'Live Collections'!D2415,Disbursements!$D:$D,'Live Collections'!F2415))</f>
        <v>120000</v>
      </c>
      <c r="S2415" s="304"/>
      <c r="T2415" s="304">
        <f t="shared" si="114"/>
        <v>20000</v>
      </c>
      <c r="U2415" s="52"/>
      <c r="V2415" s="34"/>
      <c r="W2415" s="408"/>
    </row>
    <row r="2416" spans="1:23" ht="12.75" customHeight="1" x14ac:dyDescent="0.2">
      <c r="A2416" s="257">
        <v>2411</v>
      </c>
      <c r="B2416" s="44">
        <v>44553</v>
      </c>
      <c r="C2416" s="44">
        <f t="shared" si="113"/>
        <v>44553</v>
      </c>
      <c r="D2416" s="374">
        <v>206</v>
      </c>
      <c r="E2416" s="291" t="str">
        <f>IFERROR(VLOOKUP($D2416,'Clients-Live'!$A:$C,3,0),"")</f>
        <v>AMILE AISHA</v>
      </c>
      <c r="F2416" s="291">
        <f>IFERROR(INDEX(Disbursements!$D:$D,MATCH('Live Collections'!G2416,Disbursements!$C:$C,0)),"")</f>
        <v>1</v>
      </c>
      <c r="G2416" s="34">
        <v>214</v>
      </c>
      <c r="H2416" s="34">
        <v>4042</v>
      </c>
      <c r="I2416" s="34" t="s">
        <v>1357</v>
      </c>
      <c r="J2416" s="48"/>
      <c r="K2416" s="48"/>
      <c r="L2416" s="48"/>
      <c r="M2416" s="48"/>
      <c r="N2416" s="59"/>
      <c r="O2416" s="59">
        <v>60000</v>
      </c>
      <c r="P2416" s="59"/>
      <c r="Q2416" s="268">
        <f t="shared" si="112"/>
        <v>60000</v>
      </c>
      <c r="R2416" s="61">
        <f>IF(O2416=0,0,SUMIFS(Disbursements!$T:$T,Disbursements!$B:$B,'Live Collections'!D2416,Disbursements!$D:$D,'Live Collections'!F2416))</f>
        <v>120000</v>
      </c>
      <c r="S2416" s="304"/>
      <c r="T2416" s="304">
        <f t="shared" si="114"/>
        <v>60000</v>
      </c>
      <c r="U2416" s="52"/>
      <c r="V2416" s="34"/>
      <c r="W2416" s="408"/>
    </row>
    <row r="2417" spans="1:23" ht="12.75" customHeight="1" x14ac:dyDescent="0.2">
      <c r="A2417" s="257">
        <v>2412</v>
      </c>
      <c r="B2417" s="44">
        <v>44553</v>
      </c>
      <c r="C2417" s="44">
        <f t="shared" si="113"/>
        <v>44553</v>
      </c>
      <c r="D2417" s="374">
        <v>272</v>
      </c>
      <c r="E2417" s="291" t="str">
        <f>IFERROR(VLOOKUP($D2417,'Clients-Live'!$A:$C,3,0),"")</f>
        <v>AFEKU EMMANUEL</v>
      </c>
      <c r="F2417" s="291">
        <f>IFERROR(INDEX(Disbursements!$D:$D,MATCH('Live Collections'!G2417,Disbursements!$C:$C,0)),"")</f>
        <v>1</v>
      </c>
      <c r="G2417" s="34">
        <v>331</v>
      </c>
      <c r="H2417" s="34">
        <v>4044</v>
      </c>
      <c r="I2417" s="34" t="s">
        <v>1359</v>
      </c>
      <c r="J2417" s="48"/>
      <c r="K2417" s="48"/>
      <c r="L2417" s="48"/>
      <c r="M2417" s="48"/>
      <c r="N2417" s="59"/>
      <c r="O2417" s="59">
        <v>82000</v>
      </c>
      <c r="P2417" s="59"/>
      <c r="Q2417" s="268">
        <f t="shared" si="112"/>
        <v>82000</v>
      </c>
      <c r="R2417" s="61">
        <f>IF(O2417=0,0,SUMIFS(Disbursements!$T:$T,Disbursements!$B:$B,'Live Collections'!D2417,Disbursements!$D:$D,'Live Collections'!F2417))</f>
        <v>120000</v>
      </c>
      <c r="S2417" s="304">
        <f>IF(O2417&lt;=IF($O2417=0,0,SUMIFS(Disbursements!$W:$W,Disbursements!$B:$B,'Live Collections'!D2977,Disbursements!$D:$D,'Live Collections'!F2977)),O2417,IF($O2417=0,0,SUMIFS(Disbursements!$W:$W,Disbursements!$B:$B,'Live Collections'!D2977,Disbursements!$D:$D,'Live Collections'!F2977)))</f>
        <v>26333.333333333328</v>
      </c>
      <c r="T2417" s="304">
        <f t="shared" si="114"/>
        <v>55666.666666666672</v>
      </c>
      <c r="U2417" s="52"/>
      <c r="V2417" s="34"/>
      <c r="W2417" s="408"/>
    </row>
    <row r="2418" spans="1:23" ht="12.75" customHeight="1" x14ac:dyDescent="0.2">
      <c r="A2418" s="257">
        <v>2403</v>
      </c>
      <c r="B2418" s="44">
        <v>44553</v>
      </c>
      <c r="C2418" s="44">
        <f t="shared" si="113"/>
        <v>44553</v>
      </c>
      <c r="D2418" s="374">
        <v>277</v>
      </c>
      <c r="E2418" s="291" t="str">
        <f>IFERROR(VLOOKUP($D2418,'Clients-Live'!$A:$C,3,0),"")</f>
        <v>WAYI DAVID</v>
      </c>
      <c r="F2418" s="291">
        <f>IFERROR(INDEX(Disbursements!$D:$D,MATCH('Live Collections'!G2418,Disbursements!$C:$C,0)),"")</f>
        <v>1</v>
      </c>
      <c r="G2418" s="34">
        <v>309</v>
      </c>
      <c r="H2418" s="34">
        <v>4038</v>
      </c>
      <c r="I2418" s="34" t="s">
        <v>1358</v>
      </c>
      <c r="J2418" s="48"/>
      <c r="K2418" s="48"/>
      <c r="L2418" s="48"/>
      <c r="M2418" s="48"/>
      <c r="N2418" s="59"/>
      <c r="O2418" s="59">
        <v>958400</v>
      </c>
      <c r="P2418" s="59"/>
      <c r="Q2418" s="268">
        <f t="shared" ref="Q2418:Q2481" si="115">SUM(J2418:P2418)</f>
        <v>958400</v>
      </c>
      <c r="R2418" s="61">
        <f>IF(O2418=0,0,SUMIFS(Disbursements!$T:$T,Disbursements!$B:$B,'Live Collections'!D2418,Disbursements!$D:$D,'Live Collections'!F2418))</f>
        <v>959000</v>
      </c>
      <c r="S2418" s="304">
        <f>IF(O2418&lt;=IF($O2418=0,0,SUMIFS(Disbursements!$W:$W,Disbursements!$B:$B,'Live Collections'!D2993,Disbursements!$D:$D,'Live Collections'!F2993)),O2418,IF($O2418=0,0,SUMIFS(Disbursements!$W:$W,Disbursements!$B:$B,'Live Collections'!D2993,Disbursements!$D:$D,'Live Collections'!F2993)))</f>
        <v>35000</v>
      </c>
      <c r="T2418" s="304">
        <f t="shared" si="114"/>
        <v>923400</v>
      </c>
      <c r="U2418" s="52"/>
      <c r="V2418" s="34"/>
      <c r="W2418" s="408"/>
    </row>
    <row r="2419" spans="1:23" ht="12.75" customHeight="1" x14ac:dyDescent="0.2">
      <c r="A2419" s="257">
        <v>2418</v>
      </c>
      <c r="B2419" s="44">
        <v>44557</v>
      </c>
      <c r="C2419" s="44">
        <f t="shared" si="113"/>
        <v>44557</v>
      </c>
      <c r="D2419" s="374">
        <v>3</v>
      </c>
      <c r="E2419" s="291" t="str">
        <f>IFERROR(VLOOKUP($D2419,'Clients-Live'!$A:$C,3,0),"")</f>
        <v>YEKA ARIJABU</v>
      </c>
      <c r="F2419" s="291">
        <f>IFERROR(INDEX(Disbursements!$D:$D,MATCH('Live Collections'!G2419,Disbursements!$C:$C,0)),"")</f>
        <v>1</v>
      </c>
      <c r="G2419" s="34">
        <v>227</v>
      </c>
      <c r="H2419" s="34">
        <v>4043</v>
      </c>
      <c r="I2419" s="34" t="s">
        <v>1357</v>
      </c>
      <c r="J2419" s="48"/>
      <c r="K2419" s="48"/>
      <c r="L2419" s="48"/>
      <c r="M2419" s="48"/>
      <c r="N2419" s="59"/>
      <c r="O2419" s="59">
        <v>100000</v>
      </c>
      <c r="P2419" s="59"/>
      <c r="Q2419" s="268">
        <f t="shared" si="115"/>
        <v>100000</v>
      </c>
      <c r="R2419" s="61">
        <f>IF(O2419=0,0,SUMIFS(Disbursements!$T:$T,Disbursements!$B:$B,'Live Collections'!D2419,Disbursements!$D:$D,'Live Collections'!F2419))</f>
        <v>325000</v>
      </c>
      <c r="S2419" s="304">
        <f>IF(O2419&lt;=IF($O2419=0,0,SUMIFS(Disbursements!$W:$W,Disbursements!$B:$B,'Live Collections'!D1046,Disbursements!$D:$D,'Live Collections'!F1046)),O2419,IF($O2419=0,0,SUMIFS(Disbursements!$W:$W,Disbursements!$B:$B,'Live Collections'!D1046,Disbursements!$D:$D,'Live Collections'!F1046)))</f>
        <v>35000</v>
      </c>
      <c r="T2419" s="304">
        <f t="shared" si="114"/>
        <v>65000</v>
      </c>
      <c r="U2419" s="52"/>
      <c r="V2419" s="34"/>
      <c r="W2419" s="408"/>
    </row>
    <row r="2420" spans="1:23" ht="12.75" customHeight="1" x14ac:dyDescent="0.2">
      <c r="A2420" s="257">
        <v>2419</v>
      </c>
      <c r="B2420" s="44">
        <v>44557</v>
      </c>
      <c r="C2420" s="44">
        <f t="shared" si="113"/>
        <v>44557</v>
      </c>
      <c r="D2420" s="374">
        <v>25</v>
      </c>
      <c r="E2420" s="291" t="str">
        <f>IFERROR(VLOOKUP($D2420,'Clients-Live'!$A:$C,3,0),"")</f>
        <v>AROMA BOSCO</v>
      </c>
      <c r="F2420" s="291" t="str">
        <f>IFERROR(INDEX(Disbursements!$D:$D,MATCH('Live Collections'!G2420,Disbursements!$C:$C,0)),"")</f>
        <v/>
      </c>
      <c r="G2420" s="34"/>
      <c r="H2420" s="34">
        <v>4048</v>
      </c>
      <c r="I2420" s="34" t="s">
        <v>1359</v>
      </c>
      <c r="J2420" s="48"/>
      <c r="K2420" s="48"/>
      <c r="L2420" s="48"/>
      <c r="M2420" s="48"/>
      <c r="N2420" s="59"/>
      <c r="O2420" s="59">
        <v>10000</v>
      </c>
      <c r="P2420" s="59"/>
      <c r="Q2420" s="268">
        <f t="shared" si="115"/>
        <v>10000</v>
      </c>
      <c r="R2420" s="61">
        <f>IF(O2420=0,0,SUMIFS(Disbursements!$T:$T,Disbursements!$B:$B,'Live Collections'!D2420,Disbursements!$D:$D,'Live Collections'!F2420))</f>
        <v>0</v>
      </c>
      <c r="S2420" s="304">
        <f>IF(O2420&lt;=IF($O2420=0,0,SUMIFS(Disbursements!$W:$W,Disbursements!$B:$B,'Live Collections'!D331,Disbursements!$D:$D,'Live Collections'!F331)),O2420,IF($O2420=0,0,SUMIFS(Disbursements!$W:$W,Disbursements!$B:$B,'Live Collections'!D331,Disbursements!$D:$D,'Live Collections'!F331)))</f>
        <v>10000</v>
      </c>
      <c r="T2420" s="304">
        <f t="shared" si="114"/>
        <v>0</v>
      </c>
      <c r="U2420" s="52"/>
      <c r="V2420" s="34"/>
      <c r="W2420" s="408"/>
    </row>
    <row r="2421" spans="1:23" ht="12.75" customHeight="1" x14ac:dyDescent="0.2">
      <c r="A2421" s="257">
        <v>2420</v>
      </c>
      <c r="B2421" s="44">
        <v>44557</v>
      </c>
      <c r="C2421" s="44">
        <f t="shared" si="113"/>
        <v>44557</v>
      </c>
      <c r="D2421" s="374">
        <v>67</v>
      </c>
      <c r="E2421" s="291" t="str">
        <f>IFERROR(VLOOKUP($D2421,'Clients-Live'!$A:$C,3,0),"")</f>
        <v>KEBITA SAUDA</v>
      </c>
      <c r="F2421" s="291">
        <f>IFERROR(INDEX(Disbursements!$D:$D,MATCH('Live Collections'!G2421,Disbursements!$C:$C,0)),"")</f>
        <v>2</v>
      </c>
      <c r="G2421" s="34">
        <v>272</v>
      </c>
      <c r="H2421" s="34">
        <v>4047</v>
      </c>
      <c r="I2421" s="34" t="s">
        <v>1358</v>
      </c>
      <c r="J2421" s="48"/>
      <c r="K2421" s="48"/>
      <c r="L2421" s="48"/>
      <c r="M2421" s="48"/>
      <c r="N2421" s="59"/>
      <c r="O2421" s="59">
        <v>100000</v>
      </c>
      <c r="P2421" s="59"/>
      <c r="Q2421" s="268">
        <f t="shared" si="115"/>
        <v>100000</v>
      </c>
      <c r="R2421" s="61">
        <f>IF(O2421=0,0,SUMIFS(Disbursements!$T:$T,Disbursements!$B:$B,'Live Collections'!D2421,Disbursements!$D:$D,'Live Collections'!F2421))</f>
        <v>180000</v>
      </c>
      <c r="S2421" s="304">
        <f>IF(O2421&lt;=IF($O2421=0,0,SUMIFS(Disbursements!$W:$W,Disbursements!$B:$B,'Live Collections'!D835,Disbursements!$D:$D,'Live Collections'!F835)),O2421,IF($O2421=0,0,SUMIFS(Disbursements!$W:$W,Disbursements!$B:$B,'Live Collections'!D835,Disbursements!$D:$D,'Live Collections'!F835)))</f>
        <v>35000</v>
      </c>
      <c r="T2421" s="304">
        <f t="shared" si="114"/>
        <v>65000</v>
      </c>
      <c r="U2421" s="52"/>
      <c r="V2421" s="34"/>
      <c r="W2421" s="408"/>
    </row>
    <row r="2422" spans="1:23" ht="12.75" customHeight="1" x14ac:dyDescent="0.2">
      <c r="A2422" s="257">
        <v>2415</v>
      </c>
      <c r="B2422" s="44">
        <v>44557</v>
      </c>
      <c r="C2422" s="44">
        <f t="shared" si="113"/>
        <v>44557</v>
      </c>
      <c r="D2422" s="374">
        <v>108</v>
      </c>
      <c r="E2422" s="291" t="str">
        <f>IFERROR(VLOOKUP($D2422,'Clients-Live'!$A:$C,3,0),"")</f>
        <v>DUDU JOICE</v>
      </c>
      <c r="F2422" s="291">
        <f>IFERROR(INDEX(Disbursements!$D:$D,MATCH('Live Collections'!G2422,Disbursements!$C:$C,0)),"")</f>
        <v>2</v>
      </c>
      <c r="G2422" s="34">
        <v>314</v>
      </c>
      <c r="H2422" s="34">
        <v>4105</v>
      </c>
      <c r="I2422" s="34" t="s">
        <v>1359</v>
      </c>
      <c r="J2422" s="48"/>
      <c r="K2422" s="48"/>
      <c r="L2422" s="48"/>
      <c r="M2422" s="48"/>
      <c r="N2422" s="59"/>
      <c r="O2422" s="59">
        <v>250000</v>
      </c>
      <c r="P2422" s="59"/>
      <c r="Q2422" s="268">
        <f t="shared" si="115"/>
        <v>250000</v>
      </c>
      <c r="R2422" s="61">
        <f>IF(O2422=0,0,SUMIFS(Disbursements!$T:$T,Disbursements!$B:$B,'Live Collections'!D2422,Disbursements!$D:$D,'Live Collections'!F2422))</f>
        <v>250000</v>
      </c>
      <c r="S2422" s="304">
        <f>IF(O2422&lt;=IF($O2422=0,0,SUMIFS(Disbursements!$W:$W,Disbursements!$B:$B,'Live Collections'!D1393,Disbursements!$D:$D,'Live Collections'!F1393)),O2422,IF($O2422=0,0,SUMIFS(Disbursements!$W:$W,Disbursements!$B:$B,'Live Collections'!D1393,Disbursements!$D:$D,'Live Collections'!F1393)))</f>
        <v>25000</v>
      </c>
      <c r="T2422" s="304">
        <f t="shared" si="114"/>
        <v>225000</v>
      </c>
      <c r="U2422" s="52"/>
      <c r="V2422" s="34"/>
      <c r="W2422" s="408"/>
    </row>
    <row r="2423" spans="1:23" ht="12.75" customHeight="1" x14ac:dyDescent="0.2">
      <c r="A2423" s="257">
        <v>2414</v>
      </c>
      <c r="B2423" s="44">
        <v>44557</v>
      </c>
      <c r="C2423" s="44">
        <f t="shared" si="113"/>
        <v>44557</v>
      </c>
      <c r="D2423" s="374">
        <v>171</v>
      </c>
      <c r="E2423" s="291" t="str">
        <f>IFERROR(VLOOKUP($D2423,'Clients-Live'!$A:$C,3,0),"")</f>
        <v>BADAKA GIFT JOEL</v>
      </c>
      <c r="F2423" s="291">
        <f>IFERROR(INDEX(Disbursements!$D:$D,MATCH('Live Collections'!G2423,Disbursements!$C:$C,0)),"")</f>
        <v>2</v>
      </c>
      <c r="G2423" s="34">
        <v>349</v>
      </c>
      <c r="H2423" s="34">
        <v>4051</v>
      </c>
      <c r="I2423" s="34" t="s">
        <v>1357</v>
      </c>
      <c r="J2423" s="48"/>
      <c r="K2423" s="48"/>
      <c r="L2423" s="48"/>
      <c r="M2423" s="48"/>
      <c r="N2423" s="59"/>
      <c r="O2423" s="59">
        <v>375000</v>
      </c>
      <c r="P2423" s="59"/>
      <c r="Q2423" s="268">
        <f t="shared" si="115"/>
        <v>375000</v>
      </c>
      <c r="R2423" s="61">
        <f>IF(O2423=0,0,SUMIFS(Disbursements!$T:$T,Disbursements!$B:$B,'Live Collections'!D2423,Disbursements!$D:$D,'Live Collections'!F2423))</f>
        <v>374000</v>
      </c>
      <c r="S2423" s="304">
        <f>IF(O2423&lt;=IF($O2423=0,0,SUMIFS(Disbursements!$W:$W,Disbursements!$B:$B,'Live Collections'!D2126,Disbursements!$D:$D,'Live Collections'!F2126)),O2423,IF($O2423=0,0,SUMIFS(Disbursements!$W:$W,Disbursements!$B:$B,'Live Collections'!D2126,Disbursements!$D:$D,'Live Collections'!F2126)))</f>
        <v>25666.666666666672</v>
      </c>
      <c r="T2423" s="304">
        <f t="shared" si="114"/>
        <v>349333.33333333331</v>
      </c>
      <c r="U2423" s="52"/>
      <c r="V2423" s="34"/>
      <c r="W2423" s="408"/>
    </row>
    <row r="2424" spans="1:23" ht="12.75" customHeight="1" x14ac:dyDescent="0.2">
      <c r="A2424" s="257">
        <v>2416</v>
      </c>
      <c r="B2424" s="44">
        <v>44557</v>
      </c>
      <c r="C2424" s="44">
        <f t="shared" si="113"/>
        <v>44557</v>
      </c>
      <c r="D2424" s="374">
        <v>177</v>
      </c>
      <c r="E2424" s="291" t="str">
        <f>IFERROR(VLOOKUP($D2424,'Clients-Live'!$A:$C,3,0),"")</f>
        <v>EFIT GIFT</v>
      </c>
      <c r="F2424" s="291">
        <f>IFERROR(INDEX(Disbursements!$D:$D,MATCH('Live Collections'!G2424,Disbursements!$C:$C,0)),"")</f>
        <v>1</v>
      </c>
      <c r="G2424" s="34">
        <v>183</v>
      </c>
      <c r="H2424" s="34">
        <v>4104</v>
      </c>
      <c r="I2424" s="34" t="s">
        <v>1358</v>
      </c>
      <c r="J2424" s="48"/>
      <c r="K2424" s="48"/>
      <c r="L2424" s="48"/>
      <c r="M2424" s="48"/>
      <c r="N2424" s="59"/>
      <c r="O2424" s="59">
        <v>110000</v>
      </c>
      <c r="P2424" s="59"/>
      <c r="Q2424" s="268">
        <f t="shared" si="115"/>
        <v>110000</v>
      </c>
      <c r="R2424" s="61">
        <f>IF(O2424=0,0,SUMIFS(Disbursements!$T:$T,Disbursements!$B:$B,'Live Collections'!D2424,Disbursements!$D:$D,'Live Collections'!F2424))</f>
        <v>109000</v>
      </c>
      <c r="S2424" s="304">
        <f>IF(O2424&lt;=IF($O2424=0,0,SUMIFS(Disbursements!$W:$W,Disbursements!$B:$B,'Live Collections'!D2178,Disbursements!$D:$D,'Live Collections'!F2178)),O2424,IF($O2424=0,0,SUMIFS(Disbursements!$W:$W,Disbursements!$B:$B,'Live Collections'!D2178,Disbursements!$D:$D,'Live Collections'!F2178)))</f>
        <v>0</v>
      </c>
      <c r="T2424" s="304">
        <f t="shared" si="114"/>
        <v>110000</v>
      </c>
      <c r="U2424" s="52"/>
      <c r="V2424" s="34"/>
      <c r="W2424" s="408"/>
    </row>
    <row r="2425" spans="1:23" ht="12.75" customHeight="1" x14ac:dyDescent="0.2">
      <c r="A2425" s="257">
        <v>2422</v>
      </c>
      <c r="B2425" s="44">
        <v>44557</v>
      </c>
      <c r="C2425" s="44">
        <f t="shared" si="113"/>
        <v>44557</v>
      </c>
      <c r="D2425" s="374">
        <v>182</v>
      </c>
      <c r="E2425" s="291" t="str">
        <f>IFERROR(VLOOKUP($D2425,'Clients-Live'!$A:$C,3,0),"")</f>
        <v>ANITE ZAM</v>
      </c>
      <c r="F2425" s="291">
        <f>IFERROR(INDEX(Disbursements!$D:$D,MATCH('Live Collections'!G2425,Disbursements!$C:$C,0)),"")</f>
        <v>1</v>
      </c>
      <c r="G2425" s="34">
        <v>175</v>
      </c>
      <c r="H2425" s="34">
        <v>4106</v>
      </c>
      <c r="I2425" s="34" t="s">
        <v>1358</v>
      </c>
      <c r="J2425" s="48"/>
      <c r="K2425" s="48"/>
      <c r="L2425" s="48"/>
      <c r="M2425" s="48"/>
      <c r="N2425" s="59"/>
      <c r="O2425" s="59">
        <v>45000</v>
      </c>
      <c r="P2425" s="59"/>
      <c r="Q2425" s="268">
        <f t="shared" si="115"/>
        <v>45000</v>
      </c>
      <c r="R2425" s="61">
        <f>IF(O2425=0,0,SUMIFS(Disbursements!$T:$T,Disbursements!$B:$B,'Live Collections'!D2425,Disbursements!$D:$D,'Live Collections'!F2425))</f>
        <v>115000</v>
      </c>
      <c r="S2425" s="304">
        <f>IF(O2425&lt;=IF($O2425=0,0,SUMIFS(Disbursements!$W:$W,Disbursements!$B:$B,'Live Collections'!D2224,Disbursements!$D:$D,'Live Collections'!F2224)),O2425,IF($O2425=0,0,SUMIFS(Disbursements!$W:$W,Disbursements!$B:$B,'Live Collections'!D2224,Disbursements!$D:$D,'Live Collections'!F2224)))</f>
        <v>0</v>
      </c>
      <c r="T2425" s="304">
        <f t="shared" si="114"/>
        <v>45000</v>
      </c>
      <c r="U2425" s="52"/>
      <c r="V2425" s="34"/>
      <c r="W2425" s="408"/>
    </row>
    <row r="2426" spans="1:23" ht="12.75" customHeight="1" x14ac:dyDescent="0.2">
      <c r="A2426" s="257">
        <v>2421</v>
      </c>
      <c r="B2426" s="44">
        <v>44557</v>
      </c>
      <c r="C2426" s="44">
        <f t="shared" si="113"/>
        <v>44557</v>
      </c>
      <c r="D2426" s="374">
        <v>194</v>
      </c>
      <c r="E2426" s="291" t="str">
        <f>IFERROR(VLOOKUP($D2426,'Clients-Live'!$A:$C,3,0),"")</f>
        <v>NYOLA SHERIFA AHMED</v>
      </c>
      <c r="F2426" s="291">
        <f>IFERROR(INDEX(Disbursements!$D:$D,MATCH('Live Collections'!G2426,Disbursements!$C:$C,0)),"")</f>
        <v>1</v>
      </c>
      <c r="G2426" s="34">
        <v>186</v>
      </c>
      <c r="H2426" s="34">
        <v>4107</v>
      </c>
      <c r="I2426" s="34" t="s">
        <v>1358</v>
      </c>
      <c r="J2426" s="48"/>
      <c r="K2426" s="48"/>
      <c r="L2426" s="48"/>
      <c r="M2426" s="48"/>
      <c r="N2426" s="59"/>
      <c r="O2426" s="59">
        <v>20000</v>
      </c>
      <c r="P2426" s="59"/>
      <c r="Q2426" s="268">
        <f t="shared" si="115"/>
        <v>20000</v>
      </c>
      <c r="R2426" s="61">
        <f>IF(O2426=0,0,SUMIFS(Disbursements!$T:$T,Disbursements!$B:$B,'Live Collections'!D2426,Disbursements!$D:$D,'Live Collections'!F2426))</f>
        <v>150000</v>
      </c>
      <c r="S2426" s="304">
        <f>IF(O2426&lt;=IF($O2426=0,0,SUMIFS(Disbursements!$W:$W,Disbursements!$B:$B,'Live Collections'!D4069,Disbursements!$D:$D,'Live Collections'!F4069)),O2426,IF($O2426=0,0,SUMIFS(Disbursements!$W:$W,Disbursements!$B:$B,'Live Collections'!D4069,Disbursements!$D:$D,'Live Collections'!F4069)))</f>
        <v>0</v>
      </c>
      <c r="T2426" s="304">
        <f t="shared" si="114"/>
        <v>20000</v>
      </c>
      <c r="U2426" s="52"/>
      <c r="V2426" s="34"/>
      <c r="W2426" s="408"/>
    </row>
    <row r="2427" spans="1:23" ht="12.75" customHeight="1" x14ac:dyDescent="0.2">
      <c r="A2427" s="257">
        <v>2417</v>
      </c>
      <c r="B2427" s="44">
        <v>44557</v>
      </c>
      <c r="C2427" s="44">
        <f t="shared" si="113"/>
        <v>44557</v>
      </c>
      <c r="D2427" s="374">
        <v>200</v>
      </c>
      <c r="E2427" s="291" t="str">
        <f>IFERROR(VLOOKUP($D2427,'Clients-Live'!$A:$C,3,0),"")</f>
        <v>SERIYA FLORENCE</v>
      </c>
      <c r="F2427" s="291">
        <f>IFERROR(INDEX(Disbursements!$D:$D,MATCH('Live Collections'!G2427,Disbursements!$C:$C,0)),"")</f>
        <v>2</v>
      </c>
      <c r="G2427" s="34">
        <v>342</v>
      </c>
      <c r="H2427" s="34">
        <v>4103</v>
      </c>
      <c r="I2427" s="34" t="s">
        <v>1359</v>
      </c>
      <c r="J2427" s="48"/>
      <c r="K2427" s="48"/>
      <c r="L2427" s="48"/>
      <c r="M2427" s="48"/>
      <c r="N2427" s="59"/>
      <c r="O2427" s="59">
        <v>125000</v>
      </c>
      <c r="P2427" s="59"/>
      <c r="Q2427" s="268">
        <f t="shared" si="115"/>
        <v>125000</v>
      </c>
      <c r="R2427" s="61">
        <f>IF(O2427=0,0,SUMIFS(Disbursements!$T:$T,Disbursements!$B:$B,'Live Collections'!D2427,Disbursements!$D:$D,'Live Collections'!F2427))</f>
        <v>125000</v>
      </c>
      <c r="S2427" s="304">
        <f>IF(O2427&lt;=IF($O2427=0,0,SUMIFS(Disbursements!$W:$W,Disbursements!$B:$B,'Live Collections'!D2392,Disbursements!$D:$D,'Live Collections'!F2392)),O2427,IF($O2427=0,0,SUMIFS(Disbursements!$W:$W,Disbursements!$B:$B,'Live Collections'!D2392,Disbursements!$D:$D,'Live Collections'!F2392)))</f>
        <v>25666.666666666672</v>
      </c>
      <c r="T2427" s="304">
        <f t="shared" si="114"/>
        <v>99333.333333333328</v>
      </c>
      <c r="U2427" s="52"/>
      <c r="V2427" s="34"/>
      <c r="W2427" s="408"/>
    </row>
    <row r="2428" spans="1:23" ht="12.75" customHeight="1" x14ac:dyDescent="0.2">
      <c r="A2428" s="257">
        <v>2433</v>
      </c>
      <c r="B2428" s="44">
        <v>44558</v>
      </c>
      <c r="C2428" s="44">
        <f t="shared" si="113"/>
        <v>44558</v>
      </c>
      <c r="D2428" s="374">
        <v>35</v>
      </c>
      <c r="E2428" s="291" t="str">
        <f>IFERROR(VLOOKUP($D2428,'Clients-Live'!$A:$C,3,0),"")</f>
        <v>ALEZUYO DOCUS</v>
      </c>
      <c r="F2428" s="291">
        <f>IFERROR(INDEX(Disbursements!$D:$D,MATCH('Live Collections'!G2428,Disbursements!$C:$C,0)),"")</f>
        <v>2</v>
      </c>
      <c r="G2428" s="34">
        <v>155</v>
      </c>
      <c r="H2428" s="34">
        <v>4119</v>
      </c>
      <c r="I2428" s="34" t="s">
        <v>1359</v>
      </c>
      <c r="J2428" s="48"/>
      <c r="K2428" s="48"/>
      <c r="L2428" s="48"/>
      <c r="M2428" s="48"/>
      <c r="N2428" s="59"/>
      <c r="O2428" s="59">
        <v>40000</v>
      </c>
      <c r="P2428" s="59"/>
      <c r="Q2428" s="268">
        <f t="shared" si="115"/>
        <v>40000</v>
      </c>
      <c r="R2428" s="61">
        <f>IF(O2428=0,0,SUMIFS(Disbursements!$T:$T,Disbursements!$B:$B,'Live Collections'!D2428,Disbursements!$D:$D,'Live Collections'!F2428))</f>
        <v>250000</v>
      </c>
      <c r="S2428" s="304">
        <f>IF(O2428&lt;=IF($O2428=0,0,SUMIFS(Disbursements!$W:$W,Disbursements!$B:$B,'Live Collections'!D414,Disbursements!$D:$D,'Live Collections'!F414)),O2428,IF($O2428=0,0,SUMIFS(Disbursements!$W:$W,Disbursements!$B:$B,'Live Collections'!D414,Disbursements!$D:$D,'Live Collections'!F414)))</f>
        <v>15000</v>
      </c>
      <c r="T2428" s="304">
        <f t="shared" si="114"/>
        <v>25000</v>
      </c>
      <c r="U2428" s="52"/>
      <c r="V2428" s="34"/>
      <c r="W2428" s="408"/>
    </row>
    <row r="2429" spans="1:23" ht="12.75" customHeight="1" x14ac:dyDescent="0.2">
      <c r="A2429" s="257">
        <v>2434</v>
      </c>
      <c r="B2429" s="44">
        <v>44558</v>
      </c>
      <c r="C2429" s="44">
        <f t="shared" si="113"/>
        <v>44558</v>
      </c>
      <c r="D2429" s="374">
        <v>81</v>
      </c>
      <c r="E2429" s="291" t="str">
        <f>IFERROR(VLOOKUP($D2429,'Clients-Live'!$A:$C,3,0),"")</f>
        <v>ADAM ZAITUN</v>
      </c>
      <c r="F2429" s="291">
        <f>IFERROR(INDEX(Disbursements!$D:$D,MATCH('Live Collections'!G2429,Disbursements!$C:$C,0)),"")</f>
        <v>1</v>
      </c>
      <c r="G2429" s="34">
        <v>65</v>
      </c>
      <c r="H2429" s="34">
        <v>4117</v>
      </c>
      <c r="I2429" s="34" t="s">
        <v>1358</v>
      </c>
      <c r="J2429" s="48"/>
      <c r="K2429" s="48"/>
      <c r="L2429" s="48"/>
      <c r="M2429" s="48"/>
      <c r="N2429" s="59"/>
      <c r="O2429" s="59">
        <v>100000</v>
      </c>
      <c r="P2429" s="59"/>
      <c r="Q2429" s="268">
        <f t="shared" si="115"/>
        <v>100000</v>
      </c>
      <c r="R2429" s="61">
        <f>IF(O2429=0,0,SUMIFS(Disbursements!$T:$T,Disbursements!$B:$B,'Live Collections'!D2429,Disbursements!$D:$D,'Live Collections'!F2429))</f>
        <v>217000</v>
      </c>
      <c r="S2429" s="304">
        <f>IF(O2429&lt;=IF($O2429=0,0,SUMIFS(Disbursements!$W:$W,Disbursements!$B:$B,'Live Collections'!D1051,Disbursements!$D:$D,'Live Collections'!F1051)),O2429,IF($O2429=0,0,SUMIFS(Disbursements!$W:$W,Disbursements!$B:$B,'Live Collections'!D1051,Disbursements!$D:$D,'Live Collections'!F1051)))</f>
        <v>25000</v>
      </c>
      <c r="T2429" s="304">
        <f t="shared" si="114"/>
        <v>75000</v>
      </c>
      <c r="U2429" s="52"/>
      <c r="V2429" s="34"/>
      <c r="W2429" s="408"/>
    </row>
    <row r="2430" spans="1:23" ht="12.75" customHeight="1" x14ac:dyDescent="0.2">
      <c r="A2430" s="257">
        <v>2432</v>
      </c>
      <c r="B2430" s="44">
        <v>44558</v>
      </c>
      <c r="C2430" s="44">
        <f t="shared" si="113"/>
        <v>44558</v>
      </c>
      <c r="D2430" s="374">
        <v>136</v>
      </c>
      <c r="E2430" s="291" t="str">
        <f>IFERROR(VLOOKUP($D2430,'Clients-Live'!$A:$C,3,0),"")</f>
        <v>LEMERIGA GODWILL JOSEPH</v>
      </c>
      <c r="F2430" s="291">
        <f>IFERROR(INDEX(Disbursements!$D:$D,MATCH('Live Collections'!G2430,Disbursements!$C:$C,0)),"")</f>
        <v>2</v>
      </c>
      <c r="G2430" s="34">
        <v>234</v>
      </c>
      <c r="H2430" s="34">
        <v>4108</v>
      </c>
      <c r="I2430" s="34" t="s">
        <v>1357</v>
      </c>
      <c r="J2430" s="48"/>
      <c r="K2430" s="48"/>
      <c r="L2430" s="48"/>
      <c r="M2430" s="48"/>
      <c r="N2430" s="59"/>
      <c r="O2430" s="59">
        <v>150000</v>
      </c>
      <c r="P2430" s="59"/>
      <c r="Q2430" s="268">
        <f t="shared" si="115"/>
        <v>150000</v>
      </c>
      <c r="R2430" s="61">
        <f>IF(O2430=0,0,SUMIFS(Disbursements!$T:$T,Disbursements!$B:$B,'Live Collections'!D2430,Disbursements!$D:$D,'Live Collections'!F2430))</f>
        <v>150000</v>
      </c>
      <c r="S2430" s="304">
        <f>IF(O2430&lt;=IF($O2430=0,0,SUMIFS(Disbursements!$W:$W,Disbursements!$B:$B,'Live Collections'!D1720,Disbursements!$D:$D,'Live Collections'!F1720)),O2430,IF($O2430=0,0,SUMIFS(Disbursements!$W:$W,Disbursements!$B:$B,'Live Collections'!D1720,Disbursements!$D:$D,'Live Collections'!F1720)))</f>
        <v>15000</v>
      </c>
      <c r="T2430" s="304">
        <f t="shared" si="114"/>
        <v>135000</v>
      </c>
      <c r="U2430" s="52"/>
      <c r="V2430" s="34"/>
      <c r="W2430" s="408"/>
    </row>
    <row r="2431" spans="1:23" ht="12.75" customHeight="1" x14ac:dyDescent="0.2">
      <c r="A2431" s="257">
        <v>2430</v>
      </c>
      <c r="B2431" s="44">
        <v>44558</v>
      </c>
      <c r="C2431" s="44">
        <f t="shared" si="113"/>
        <v>44558</v>
      </c>
      <c r="D2431" s="374">
        <v>148</v>
      </c>
      <c r="E2431" s="291" t="str">
        <f>IFERROR(VLOOKUP($D2431,'Clients-Live'!$A:$C,3,0),"")</f>
        <v>GBOKA ZAIDA</v>
      </c>
      <c r="F2431" s="291">
        <f>IFERROR(INDEX(Disbursements!$D:$D,MATCH('Live Collections'!G2431,Disbursements!$C:$C,0)),"")</f>
        <v>2</v>
      </c>
      <c r="G2431" s="34">
        <v>304</v>
      </c>
      <c r="H2431" s="34">
        <v>4052</v>
      </c>
      <c r="I2431" s="34" t="s">
        <v>1359</v>
      </c>
      <c r="J2431" s="48"/>
      <c r="K2431" s="48"/>
      <c r="L2431" s="48"/>
      <c r="M2431" s="48"/>
      <c r="N2431" s="59"/>
      <c r="O2431" s="59">
        <v>30000</v>
      </c>
      <c r="P2431" s="59"/>
      <c r="Q2431" s="268">
        <f t="shared" si="115"/>
        <v>30000</v>
      </c>
      <c r="R2431" s="61">
        <f>IF(O2431=0,0,SUMIFS(Disbursements!$T:$T,Disbursements!$B:$B,'Live Collections'!D2431,Disbursements!$D:$D,'Live Collections'!F2431))</f>
        <v>125000</v>
      </c>
      <c r="S2431" s="304">
        <f>IF(O2431&lt;=IF($O2431=0,0,SUMIFS(Disbursements!$W:$W,Disbursements!$B:$B,'Live Collections'!D1877,Disbursements!$D:$D,'Live Collections'!F1877)),O2431,IF($O2431=0,0,SUMIFS(Disbursements!$W:$W,Disbursements!$B:$B,'Live Collections'!D1877,Disbursements!$D:$D,'Live Collections'!F1877)))</f>
        <v>30000</v>
      </c>
      <c r="T2431" s="304">
        <f t="shared" si="114"/>
        <v>0</v>
      </c>
      <c r="U2431" s="52"/>
      <c r="V2431" s="34"/>
      <c r="W2431" s="408"/>
    </row>
    <row r="2432" spans="1:23" ht="12.75" customHeight="1" x14ac:dyDescent="0.2">
      <c r="A2432" s="257">
        <v>2423</v>
      </c>
      <c r="B2432" s="44">
        <v>44558</v>
      </c>
      <c r="C2432" s="44">
        <f t="shared" ref="C2432:C2492" si="116">B2432</f>
        <v>44558</v>
      </c>
      <c r="D2432" s="374">
        <v>152</v>
      </c>
      <c r="E2432" s="291" t="str">
        <f>IFERROR(VLOOKUP($D2432,'Clients-Live'!$A:$C,3,0),"")</f>
        <v>ASE ZAINABU</v>
      </c>
      <c r="F2432" s="291">
        <f>IFERROR(INDEX(Disbursements!$D:$D,MATCH('Live Collections'!G2432,Disbursements!$C:$C,0)),"")</f>
        <v>1</v>
      </c>
      <c r="G2432" s="34">
        <v>136</v>
      </c>
      <c r="H2432" s="34">
        <v>499</v>
      </c>
      <c r="I2432" s="34" t="s">
        <v>1358</v>
      </c>
      <c r="J2432" s="48"/>
      <c r="K2432" s="48"/>
      <c r="L2432" s="48"/>
      <c r="M2432" s="48"/>
      <c r="N2432" s="59"/>
      <c r="O2432" s="59"/>
      <c r="P2432" s="59">
        <v>-50000</v>
      </c>
      <c r="Q2432" s="268">
        <f t="shared" si="115"/>
        <v>-50000</v>
      </c>
      <c r="R2432" s="61">
        <f>IF(O2432=0,0,SUMIFS(Disbursements!$T:$T,Disbursements!$B:$B,'Live Collections'!D2432,Disbursements!$D:$D,'Live Collections'!F2432))</f>
        <v>0</v>
      </c>
      <c r="S2432" s="304">
        <f>IF(O2432&lt;=IF($O2432=0,0,SUMIFS(Disbursements!$W:$W,Disbursements!$B:$B,'Live Collections'!D1917,Disbursements!$D:$D,'Live Collections'!F1917)),O2432,IF($O2432=0,0,SUMIFS(Disbursements!$W:$W,Disbursements!$B:$B,'Live Collections'!D1917,Disbursements!$D:$D,'Live Collections'!F1917)))</f>
        <v>0</v>
      </c>
      <c r="T2432" s="304">
        <f t="shared" ref="T2432:T2492" si="117">IF(O2432=0,0,O2432-S2432)</f>
        <v>0</v>
      </c>
      <c r="U2432" s="52"/>
      <c r="V2432" s="34"/>
      <c r="W2432" s="408" t="s">
        <v>2111</v>
      </c>
    </row>
    <row r="2433" spans="1:23" ht="12.75" customHeight="1" x14ac:dyDescent="0.2">
      <c r="A2433" s="257">
        <v>2424</v>
      </c>
      <c r="B2433" s="44">
        <v>44558</v>
      </c>
      <c r="C2433" s="44">
        <f t="shared" si="116"/>
        <v>44558</v>
      </c>
      <c r="D2433" s="374">
        <v>152</v>
      </c>
      <c r="E2433" s="291" t="str">
        <f>IFERROR(VLOOKUP($D2433,'Clients-Live'!$A:$C,3,0),"")</f>
        <v>ASE ZAINABU</v>
      </c>
      <c r="F2433" s="291">
        <f>IFERROR(INDEX(Disbursements!$D:$D,MATCH('Live Collections'!G2433,Disbursements!$C:$C,0)),"")</f>
        <v>1</v>
      </c>
      <c r="G2433" s="34">
        <v>136</v>
      </c>
      <c r="H2433" s="34">
        <v>4111</v>
      </c>
      <c r="I2433" s="34" t="s">
        <v>1358</v>
      </c>
      <c r="J2433" s="48"/>
      <c r="K2433" s="48"/>
      <c r="L2433" s="48"/>
      <c r="M2433" s="48"/>
      <c r="N2433" s="59"/>
      <c r="O2433" s="59">
        <v>50000</v>
      </c>
      <c r="P2433" s="59"/>
      <c r="Q2433" s="268">
        <f t="shared" si="115"/>
        <v>50000</v>
      </c>
      <c r="R2433" s="61">
        <f>IF(O2433=0,0,SUMIFS(Disbursements!$T:$T,Disbursements!$B:$B,'Live Collections'!D2433,Disbursements!$D:$D,'Live Collections'!F2433))</f>
        <v>175000</v>
      </c>
      <c r="S2433" s="304"/>
      <c r="T2433" s="304">
        <f t="shared" si="117"/>
        <v>50000</v>
      </c>
      <c r="U2433" s="52"/>
      <c r="V2433" s="34"/>
      <c r="W2433" s="408"/>
    </row>
    <row r="2434" spans="1:23" ht="12.75" customHeight="1" x14ac:dyDescent="0.2">
      <c r="A2434" s="257">
        <v>2425</v>
      </c>
      <c r="B2434" s="44">
        <v>44558</v>
      </c>
      <c r="C2434" s="44">
        <f t="shared" si="116"/>
        <v>44558</v>
      </c>
      <c r="D2434" s="374">
        <v>152</v>
      </c>
      <c r="E2434" s="291" t="str">
        <f>IFERROR(VLOOKUP($D2434,'Clients-Live'!$A:$C,3,0),"")</f>
        <v>ASE ZAINABU</v>
      </c>
      <c r="F2434" s="291">
        <f>IFERROR(INDEX(Disbursements!$D:$D,MATCH('Live Collections'!G2434,Disbursements!$C:$C,0)),"")</f>
        <v>1</v>
      </c>
      <c r="G2434" s="34">
        <v>136</v>
      </c>
      <c r="H2434" s="34">
        <v>4110</v>
      </c>
      <c r="I2434" s="34" t="s">
        <v>1358</v>
      </c>
      <c r="J2434" s="48"/>
      <c r="K2434" s="48"/>
      <c r="L2434" s="48"/>
      <c r="M2434" s="48"/>
      <c r="N2434" s="59"/>
      <c r="O2434" s="59">
        <v>147500</v>
      </c>
      <c r="P2434" s="59"/>
      <c r="Q2434" s="268">
        <f t="shared" si="115"/>
        <v>147500</v>
      </c>
      <c r="R2434" s="61">
        <f>IF(O2434=0,0,SUMIFS(Disbursements!$T:$T,Disbursements!$B:$B,'Live Collections'!D2434,Disbursements!$D:$D,'Live Collections'!F2434))</f>
        <v>175000</v>
      </c>
      <c r="S2434" s="304"/>
      <c r="T2434" s="304">
        <f t="shared" si="117"/>
        <v>147500</v>
      </c>
      <c r="U2434" s="52"/>
      <c r="V2434" s="34"/>
      <c r="W2434" s="408"/>
    </row>
    <row r="2435" spans="1:23" ht="12.75" customHeight="1" x14ac:dyDescent="0.2">
      <c r="A2435" s="257">
        <v>2431</v>
      </c>
      <c r="B2435" s="44">
        <v>44558</v>
      </c>
      <c r="C2435" s="44">
        <f t="shared" si="116"/>
        <v>44558</v>
      </c>
      <c r="D2435" s="374">
        <v>157</v>
      </c>
      <c r="E2435" s="291" t="str">
        <f>IFERROR(VLOOKUP($D2435,'Clients-Live'!$A:$C,3,0),"")</f>
        <v>AYITE MARGERT</v>
      </c>
      <c r="F2435" s="291">
        <f>IFERROR(INDEX(Disbursements!$D:$D,MATCH('Live Collections'!G2435,Disbursements!$C:$C,0)),"")</f>
        <v>2</v>
      </c>
      <c r="G2435" s="34">
        <v>345</v>
      </c>
      <c r="H2435" s="34">
        <v>4109</v>
      </c>
      <c r="I2435" s="34" t="s">
        <v>1357</v>
      </c>
      <c r="J2435" s="48"/>
      <c r="K2435" s="48"/>
      <c r="L2435" s="48"/>
      <c r="M2435" s="48"/>
      <c r="N2435" s="59"/>
      <c r="O2435" s="59">
        <v>175000</v>
      </c>
      <c r="P2435" s="59"/>
      <c r="Q2435" s="268">
        <f t="shared" si="115"/>
        <v>175000</v>
      </c>
      <c r="R2435" s="61">
        <f>IF(O2435=0,0,SUMIFS(Disbursements!$T:$T,Disbursements!$B:$B,'Live Collections'!D2435,Disbursements!$D:$D,'Live Collections'!F2435))</f>
        <v>175000</v>
      </c>
      <c r="S2435" s="304">
        <f>IF(O2435&lt;=IF($O2435=0,0,SUMIFS(Disbursements!$W:$W,Disbursements!$B:$B,'Live Collections'!D1973,Disbursements!$D:$D,'Live Collections'!F1973)),O2435,IF($O2435=0,0,SUMIFS(Disbursements!$W:$W,Disbursements!$B:$B,'Live Collections'!D1973,Disbursements!$D:$D,'Live Collections'!F1973)))</f>
        <v>20000</v>
      </c>
      <c r="T2435" s="304">
        <f t="shared" si="117"/>
        <v>155000</v>
      </c>
      <c r="U2435" s="52"/>
      <c r="V2435" s="34"/>
      <c r="W2435" s="408"/>
    </row>
    <row r="2436" spans="1:23" ht="12.75" customHeight="1" x14ac:dyDescent="0.2">
      <c r="A2436" s="257">
        <v>2435</v>
      </c>
      <c r="B2436" s="44">
        <v>44558</v>
      </c>
      <c r="C2436" s="44">
        <f t="shared" si="116"/>
        <v>44558</v>
      </c>
      <c r="D2436" s="374">
        <v>165</v>
      </c>
      <c r="E2436" s="291" t="str">
        <f>IFERROR(VLOOKUP($D2436,'Clients-Live'!$A:$C,3,0),"")</f>
        <v>BOBOYA BRAN</v>
      </c>
      <c r="F2436" s="291">
        <f>IFERROR(INDEX(Disbursements!$D:$D,MATCH('Live Collections'!G2436,Disbursements!$C:$C,0)),"")</f>
        <v>1</v>
      </c>
      <c r="G2436" s="34">
        <v>163</v>
      </c>
      <c r="H2436" s="34">
        <v>4118</v>
      </c>
      <c r="I2436" s="34" t="s">
        <v>1357</v>
      </c>
      <c r="J2436" s="48"/>
      <c r="K2436" s="48"/>
      <c r="L2436" s="48"/>
      <c r="M2436" s="48"/>
      <c r="N2436" s="59"/>
      <c r="O2436" s="59">
        <v>100000</v>
      </c>
      <c r="P2436" s="59"/>
      <c r="Q2436" s="268">
        <f t="shared" si="115"/>
        <v>100000</v>
      </c>
      <c r="R2436" s="61">
        <f>IF(O2436=0,0,SUMIFS(Disbursements!$T:$T,Disbursements!$B:$B,'Live Collections'!D2436,Disbursements!$D:$D,'Live Collections'!F2436))</f>
        <v>210000</v>
      </c>
      <c r="S2436" s="304">
        <f>IF(O2436&lt;=IF($O2436=0,0,SUMIFS(Disbursements!$W:$W,Disbursements!$B:$B,'Live Collections'!D2048,Disbursements!$D:$D,'Live Collections'!F2048)),O2436,IF($O2436=0,0,SUMIFS(Disbursements!$W:$W,Disbursements!$B:$B,'Live Collections'!D2048,Disbursements!$D:$D,'Live Collections'!F2048)))</f>
        <v>0</v>
      </c>
      <c r="T2436" s="304">
        <f t="shared" si="117"/>
        <v>100000</v>
      </c>
      <c r="U2436" s="52"/>
      <c r="V2436" s="34"/>
      <c r="W2436" s="408"/>
    </row>
    <row r="2437" spans="1:23" ht="12.75" customHeight="1" x14ac:dyDescent="0.2">
      <c r="A2437" s="257">
        <v>2426</v>
      </c>
      <c r="B2437" s="44">
        <v>44558</v>
      </c>
      <c r="C2437" s="44">
        <f t="shared" si="116"/>
        <v>44558</v>
      </c>
      <c r="D2437" s="374">
        <v>194</v>
      </c>
      <c r="E2437" s="291" t="str">
        <f>IFERROR(VLOOKUP($D2437,'Clients-Live'!$A:$C,3,0),"")</f>
        <v>NYOLA SHERIFA AHMED</v>
      </c>
      <c r="F2437" s="291">
        <f>IFERROR(INDEX(Disbursements!$D:$D,MATCH('Live Collections'!G2437,Disbursements!$C:$C,0)),"")</f>
        <v>1</v>
      </c>
      <c r="G2437" s="34">
        <v>186</v>
      </c>
      <c r="H2437" s="34">
        <v>1485</v>
      </c>
      <c r="I2437" s="34" t="s">
        <v>1358</v>
      </c>
      <c r="J2437" s="48"/>
      <c r="K2437" s="48"/>
      <c r="L2437" s="48"/>
      <c r="M2437" s="48"/>
      <c r="N2437" s="59"/>
      <c r="O2437" s="59"/>
      <c r="P2437" s="59">
        <v>-60000</v>
      </c>
      <c r="Q2437" s="268">
        <f t="shared" si="115"/>
        <v>-60000</v>
      </c>
      <c r="R2437" s="61">
        <f>IF(O2437=0,0,SUMIFS(Disbursements!$T:$T,Disbursements!$B:$B,'Live Collections'!D2437,Disbursements!$D:$D,'Live Collections'!F2437))</f>
        <v>0</v>
      </c>
      <c r="S2437" s="304">
        <f>IF(O2437&lt;=IF($O2437=0,0,SUMIFS(Disbursements!$W:$W,Disbursements!$B:$B,'Live Collections'!D4080,Disbursements!$D:$D,'Live Collections'!F4080)),O2437,IF($O2437=0,0,SUMIFS(Disbursements!$W:$W,Disbursements!$B:$B,'Live Collections'!D4080,Disbursements!$D:$D,'Live Collections'!F4080)))</f>
        <v>0</v>
      </c>
      <c r="T2437" s="304">
        <f t="shared" si="117"/>
        <v>0</v>
      </c>
      <c r="U2437" s="52"/>
      <c r="V2437" s="34"/>
      <c r="W2437" s="408" t="s">
        <v>1944</v>
      </c>
    </row>
    <row r="2438" spans="1:23" ht="12.75" customHeight="1" x14ac:dyDescent="0.2">
      <c r="A2438" s="257">
        <v>2427</v>
      </c>
      <c r="B2438" s="44">
        <v>44558</v>
      </c>
      <c r="C2438" s="44">
        <f t="shared" si="116"/>
        <v>44558</v>
      </c>
      <c r="D2438" s="374">
        <v>194</v>
      </c>
      <c r="E2438" s="291" t="str">
        <f>IFERROR(VLOOKUP($D2438,'Clients-Live'!$A:$C,3,0),"")</f>
        <v>NYOLA SHERIFA AHMED</v>
      </c>
      <c r="F2438" s="291">
        <f>IFERROR(INDEX(Disbursements!$D:$D,MATCH('Live Collections'!G2438,Disbursements!$C:$C,0)),"")</f>
        <v>1</v>
      </c>
      <c r="G2438" s="34">
        <v>186</v>
      </c>
      <c r="H2438" s="34">
        <v>4114</v>
      </c>
      <c r="I2438" s="34" t="s">
        <v>1358</v>
      </c>
      <c r="J2438" s="48"/>
      <c r="K2438" s="48"/>
      <c r="L2438" s="48"/>
      <c r="M2438" s="48"/>
      <c r="N2438" s="59"/>
      <c r="O2438" s="59">
        <v>60000</v>
      </c>
      <c r="P2438" s="59"/>
      <c r="Q2438" s="268">
        <f t="shared" si="115"/>
        <v>60000</v>
      </c>
      <c r="R2438" s="61">
        <f>IF(O2438=0,0,SUMIFS(Disbursements!$T:$T,Disbursements!$B:$B,'Live Collections'!D2438,Disbursements!$D:$D,'Live Collections'!F2438))</f>
        <v>150000</v>
      </c>
      <c r="S2438" s="304"/>
      <c r="T2438" s="304">
        <f t="shared" si="117"/>
        <v>60000</v>
      </c>
      <c r="U2438" s="52"/>
      <c r="V2438" s="34"/>
      <c r="W2438" s="408"/>
    </row>
    <row r="2439" spans="1:23" ht="12.75" customHeight="1" x14ac:dyDescent="0.2">
      <c r="A2439" s="257">
        <v>2428</v>
      </c>
      <c r="B2439" s="44">
        <v>44558</v>
      </c>
      <c r="C2439" s="44">
        <f t="shared" si="116"/>
        <v>44558</v>
      </c>
      <c r="D2439" s="374">
        <v>194</v>
      </c>
      <c r="E2439" s="291" t="str">
        <f>IFERROR(VLOOKUP($D2439,'Clients-Live'!$A:$C,3,0),"")</f>
        <v>NYOLA SHERIFA AHMED</v>
      </c>
      <c r="F2439" s="291">
        <f>IFERROR(INDEX(Disbursements!$D:$D,MATCH('Live Collections'!G2439,Disbursements!$C:$C,0)),"")</f>
        <v>1</v>
      </c>
      <c r="G2439" s="34">
        <v>186</v>
      </c>
      <c r="H2439" s="34">
        <v>4115</v>
      </c>
      <c r="I2439" s="34" t="s">
        <v>1358</v>
      </c>
      <c r="J2439" s="48"/>
      <c r="K2439" s="48"/>
      <c r="L2439" s="48"/>
      <c r="M2439" s="48"/>
      <c r="N2439" s="59"/>
      <c r="O2439" s="59">
        <v>5000</v>
      </c>
      <c r="P2439" s="59"/>
      <c r="Q2439" s="268">
        <f t="shared" si="115"/>
        <v>5000</v>
      </c>
      <c r="R2439" s="61">
        <f>IF(O2439=0,0,SUMIFS(Disbursements!$T:$T,Disbursements!$B:$B,'Live Collections'!D2439,Disbursements!$D:$D,'Live Collections'!F2439))</f>
        <v>150000</v>
      </c>
      <c r="S2439" s="304"/>
      <c r="T2439" s="304">
        <f t="shared" si="117"/>
        <v>5000</v>
      </c>
      <c r="U2439" s="52"/>
      <c r="V2439" s="34"/>
      <c r="W2439" s="408"/>
    </row>
    <row r="2440" spans="1:23" ht="12.75" customHeight="1" x14ac:dyDescent="0.2">
      <c r="A2440" s="257">
        <v>2429</v>
      </c>
      <c r="B2440" s="44">
        <v>44558</v>
      </c>
      <c r="C2440" s="44">
        <f t="shared" si="116"/>
        <v>44558</v>
      </c>
      <c r="D2440" s="374">
        <v>194</v>
      </c>
      <c r="E2440" s="291" t="str">
        <f>IFERROR(VLOOKUP($D2440,'Clients-Live'!$A:$C,3,0),"")</f>
        <v>NYOLA SHERIFA AHMED</v>
      </c>
      <c r="F2440" s="291" t="str">
        <f>IFERROR(INDEX(Disbursements!$D:$D,MATCH('Live Collections'!G2440,Disbursements!$C:$C,0)),"")</f>
        <v/>
      </c>
      <c r="G2440" s="34"/>
      <c r="H2440" s="34">
        <v>4116</v>
      </c>
      <c r="I2440" s="34" t="s">
        <v>1358</v>
      </c>
      <c r="J2440" s="48"/>
      <c r="K2440" s="48"/>
      <c r="L2440" s="48"/>
      <c r="M2440" s="48"/>
      <c r="N2440" s="59">
        <v>13500</v>
      </c>
      <c r="O2440" s="59"/>
      <c r="P2440" s="59"/>
      <c r="Q2440" s="268">
        <f t="shared" si="115"/>
        <v>13500</v>
      </c>
      <c r="R2440" s="61">
        <f>IF(O2440=0,0,SUMIFS(Disbursements!$T:$T,Disbursements!$B:$B,'Live Collections'!D2440,Disbursements!$D:$D,'Live Collections'!F2440))</f>
        <v>0</v>
      </c>
      <c r="S2440" s="304">
        <f>IF(O2440&lt;=IF($O2440=0,0,SUMIFS(Disbursements!$W:$W,Disbursements!$B:$B,'Live Collections'!D4083,Disbursements!$D:$D,'Live Collections'!F4083)),O2440,IF($O2440=0,0,SUMIFS(Disbursements!$W:$W,Disbursements!$B:$B,'Live Collections'!D4083,Disbursements!$D:$D,'Live Collections'!F4083)))</f>
        <v>0</v>
      </c>
      <c r="T2440" s="304">
        <f t="shared" si="117"/>
        <v>0</v>
      </c>
      <c r="U2440" s="52"/>
      <c r="V2440" s="34"/>
      <c r="W2440" s="408"/>
    </row>
    <row r="2441" spans="1:23" ht="12.75" customHeight="1" x14ac:dyDescent="0.2">
      <c r="A2441" s="257">
        <v>2453</v>
      </c>
      <c r="B2441" s="44">
        <v>44559</v>
      </c>
      <c r="C2441" s="44">
        <f t="shared" si="116"/>
        <v>44559</v>
      </c>
      <c r="D2441" s="374">
        <v>9</v>
      </c>
      <c r="E2441" s="291" t="str">
        <f>IFERROR(VLOOKUP($D2441,'Clients-Live'!$A:$C,3,0),"")</f>
        <v>TABAN DAVID YAYA</v>
      </c>
      <c r="F2441" s="291">
        <f>IFERROR(INDEX(Disbursements!$D:$D,MATCH('Live Collections'!G2441,Disbursements!$C:$C,0)),"")</f>
        <v>2</v>
      </c>
      <c r="G2441" s="34">
        <v>221</v>
      </c>
      <c r="H2441" s="34">
        <v>4121</v>
      </c>
      <c r="I2441" s="34" t="s">
        <v>1357</v>
      </c>
      <c r="J2441" s="48"/>
      <c r="K2441" s="48"/>
      <c r="L2441" s="48"/>
      <c r="M2441" s="48"/>
      <c r="N2441" s="59"/>
      <c r="O2441" s="59">
        <v>40000</v>
      </c>
      <c r="P2441" s="59"/>
      <c r="Q2441" s="268">
        <f t="shared" si="115"/>
        <v>40000</v>
      </c>
      <c r="R2441" s="61">
        <f>IF(O2441=0,0,SUMIFS(Disbursements!$T:$T,Disbursements!$B:$B,'Live Collections'!D2441,Disbursements!$D:$D,'Live Collections'!F2441))</f>
        <v>360000</v>
      </c>
      <c r="S2441" s="304">
        <f>IF(O2441&lt;=IF($O2441=0,0,SUMIFS(Disbursements!$W:$W,Disbursements!$B:$B,'Live Collections'!D94,Disbursements!$D:$D,'Live Collections'!F94)),O2441,IF($O2441=0,0,SUMIFS(Disbursements!$W:$W,Disbursements!$B:$B,'Live Collections'!D94,Disbursements!$D:$D,'Live Collections'!F94)))</f>
        <v>0</v>
      </c>
      <c r="T2441" s="304">
        <f t="shared" si="117"/>
        <v>40000</v>
      </c>
      <c r="U2441" s="52"/>
      <c r="V2441" s="34"/>
      <c r="W2441" s="408"/>
    </row>
    <row r="2442" spans="1:23" ht="12.75" customHeight="1" x14ac:dyDescent="0.2">
      <c r="A2442" s="257">
        <v>2439</v>
      </c>
      <c r="B2442" s="44">
        <v>44559</v>
      </c>
      <c r="C2442" s="44">
        <f t="shared" si="116"/>
        <v>44559</v>
      </c>
      <c r="D2442" s="374">
        <v>13</v>
      </c>
      <c r="E2442" s="291" t="str">
        <f>IFERROR(VLOOKUP($D2442,'Clients-Live'!$A:$C,3,0),"")</f>
        <v>ALLONE AMOS DAMAI</v>
      </c>
      <c r="F2442" s="291">
        <f>IFERROR(INDEX(Disbursements!$D:$D,MATCH('Live Collections'!G2442,Disbursements!$C:$C,0)),"")</f>
        <v>1</v>
      </c>
      <c r="G2442" s="34">
        <v>67</v>
      </c>
      <c r="H2442" s="34">
        <v>1460</v>
      </c>
      <c r="I2442" s="34" t="s">
        <v>1359</v>
      </c>
      <c r="J2442" s="48"/>
      <c r="K2442" s="48"/>
      <c r="L2442" s="48"/>
      <c r="M2442" s="48"/>
      <c r="N2442" s="59"/>
      <c r="O2442" s="59"/>
      <c r="P2442" s="59">
        <v>-100000</v>
      </c>
      <c r="Q2442" s="268">
        <f t="shared" si="115"/>
        <v>-100000</v>
      </c>
      <c r="R2442" s="61">
        <f>IF(O2442=0,0,SUMIFS(Disbursements!$T:$T,Disbursements!$B:$B,'Live Collections'!D2442,Disbursements!$D:$D,'Live Collections'!F2442))</f>
        <v>0</v>
      </c>
      <c r="S2442" s="304">
        <f>IF(O2442&lt;=IF($O2442=0,0,SUMIFS(Disbursements!$W:$W,Disbursements!$B:$B,'Live Collections'!D142,Disbursements!$D:$D,'Live Collections'!F142)),O2442,IF($O2442=0,0,SUMIFS(Disbursements!$W:$W,Disbursements!$B:$B,'Live Collections'!D142,Disbursements!$D:$D,'Live Collections'!F142)))</f>
        <v>0</v>
      </c>
      <c r="T2442" s="304">
        <f t="shared" si="117"/>
        <v>0</v>
      </c>
      <c r="U2442" s="52"/>
      <c r="V2442" s="34"/>
      <c r="W2442" s="408" t="s">
        <v>1946</v>
      </c>
    </row>
    <row r="2443" spans="1:23" ht="12.75" customHeight="1" x14ac:dyDescent="0.2">
      <c r="A2443" s="257">
        <v>2440</v>
      </c>
      <c r="B2443" s="44">
        <v>44559</v>
      </c>
      <c r="C2443" s="44">
        <f t="shared" si="116"/>
        <v>44559</v>
      </c>
      <c r="D2443" s="374">
        <v>13</v>
      </c>
      <c r="E2443" s="291" t="str">
        <f>IFERROR(VLOOKUP($D2443,'Clients-Live'!$A:$C,3,0),"")</f>
        <v>ALLONE AMOS DAMAI</v>
      </c>
      <c r="F2443" s="291">
        <f>IFERROR(INDEX(Disbursements!$D:$D,MATCH('Live Collections'!G2443,Disbursements!$C:$C,0)),"")</f>
        <v>1</v>
      </c>
      <c r="G2443" s="34">
        <v>67</v>
      </c>
      <c r="H2443" s="34">
        <v>4128</v>
      </c>
      <c r="I2443" s="34" t="s">
        <v>1359</v>
      </c>
      <c r="J2443" s="48"/>
      <c r="K2443" s="48"/>
      <c r="L2443" s="48"/>
      <c r="M2443" s="48"/>
      <c r="N2443" s="59"/>
      <c r="O2443" s="59">
        <v>100000</v>
      </c>
      <c r="P2443" s="59"/>
      <c r="Q2443" s="268">
        <f t="shared" si="115"/>
        <v>100000</v>
      </c>
      <c r="R2443" s="61">
        <f>IF(O2443=0,0,SUMIFS(Disbursements!$T:$T,Disbursements!$B:$B,'Live Collections'!D2443,Disbursements!$D:$D,'Live Collections'!F2443))</f>
        <v>217000</v>
      </c>
      <c r="S2443" s="304"/>
      <c r="T2443" s="304">
        <f t="shared" si="117"/>
        <v>100000</v>
      </c>
      <c r="U2443" s="52"/>
      <c r="V2443" s="34"/>
      <c r="W2443" s="408"/>
    </row>
    <row r="2444" spans="1:23" ht="12.75" customHeight="1" x14ac:dyDescent="0.2">
      <c r="A2444" s="257">
        <v>2441</v>
      </c>
      <c r="B2444" s="44">
        <v>44559</v>
      </c>
      <c r="C2444" s="44">
        <f t="shared" si="116"/>
        <v>44559</v>
      </c>
      <c r="D2444" s="374">
        <v>13</v>
      </c>
      <c r="E2444" s="291" t="str">
        <f>IFERROR(VLOOKUP($D2444,'Clients-Live'!$A:$C,3,0),"")</f>
        <v>ALLONE AMOS DAMAI</v>
      </c>
      <c r="F2444" s="291">
        <f>IFERROR(INDEX(Disbursements!$D:$D,MATCH('Live Collections'!G2444,Disbursements!$C:$C,0)),"")</f>
        <v>1</v>
      </c>
      <c r="G2444" s="34">
        <v>67</v>
      </c>
      <c r="H2444" s="34">
        <v>4127</v>
      </c>
      <c r="I2444" s="34" t="s">
        <v>1359</v>
      </c>
      <c r="J2444" s="48"/>
      <c r="K2444" s="48"/>
      <c r="L2444" s="48"/>
      <c r="M2444" s="48"/>
      <c r="N2444" s="59"/>
      <c r="O2444" s="59">
        <v>304300</v>
      </c>
      <c r="P2444" s="59"/>
      <c r="Q2444" s="268">
        <f t="shared" si="115"/>
        <v>304300</v>
      </c>
      <c r="R2444" s="61">
        <f>IF(O2444=0,0,SUMIFS(Disbursements!$T:$T,Disbursements!$B:$B,'Live Collections'!D2444,Disbursements!$D:$D,'Live Collections'!F2444))</f>
        <v>217000</v>
      </c>
      <c r="S2444" s="64">
        <v>221333.3333333334</v>
      </c>
      <c r="T2444" s="304">
        <f t="shared" si="117"/>
        <v>82966.666666666599</v>
      </c>
      <c r="U2444" s="52"/>
      <c r="V2444" s="34"/>
      <c r="W2444" s="408" t="s">
        <v>2084</v>
      </c>
    </row>
    <row r="2445" spans="1:23" ht="12.75" customHeight="1" x14ac:dyDescent="0.2">
      <c r="A2445" s="257">
        <v>2450</v>
      </c>
      <c r="B2445" s="44">
        <v>44559</v>
      </c>
      <c r="C2445" s="44">
        <f t="shared" si="116"/>
        <v>44559</v>
      </c>
      <c r="D2445" s="374">
        <v>18</v>
      </c>
      <c r="E2445" s="291" t="str">
        <f>IFERROR(VLOOKUP($D2445,'Clients-Live'!$A:$C,3,0),"")</f>
        <v>ARIYE PEACE</v>
      </c>
      <c r="F2445" s="291">
        <f>IFERROR(INDEX(Disbursements!$D:$D,MATCH('Live Collections'!G2445,Disbursements!$C:$C,0)),"")</f>
        <v>2</v>
      </c>
      <c r="G2445" s="34">
        <v>317</v>
      </c>
      <c r="H2445" s="34">
        <v>4125</v>
      </c>
      <c r="I2445" s="34" t="s">
        <v>1357</v>
      </c>
      <c r="J2445" s="48"/>
      <c r="K2445" s="48"/>
      <c r="L2445" s="48"/>
      <c r="M2445" s="48"/>
      <c r="N2445" s="59"/>
      <c r="O2445" s="59">
        <v>100000</v>
      </c>
      <c r="P2445" s="59"/>
      <c r="Q2445" s="268">
        <f t="shared" si="115"/>
        <v>100000</v>
      </c>
      <c r="R2445" s="61">
        <f>IF(O2445=0,0,SUMIFS(Disbursements!$T:$T,Disbursements!$B:$B,'Live Collections'!D2445,Disbursements!$D:$D,'Live Collections'!F2445))</f>
        <v>650000</v>
      </c>
      <c r="S2445" s="304">
        <f>IF(O2445&lt;=IF($O2445=0,0,SUMIFS(Disbursements!$W:$W,Disbursements!$B:$B,'Live Collections'!D223,Disbursements!$D:$D,'Live Collections'!F223)),O2445,IF($O2445=0,0,SUMIFS(Disbursements!$W:$W,Disbursements!$B:$B,'Live Collections'!D223,Disbursements!$D:$D,'Live Collections'!F223)))</f>
        <v>0</v>
      </c>
      <c r="T2445" s="304">
        <f t="shared" si="117"/>
        <v>100000</v>
      </c>
      <c r="U2445" s="52"/>
      <c r="V2445" s="34"/>
      <c r="W2445" s="408"/>
    </row>
    <row r="2446" spans="1:23" ht="12.75" customHeight="1" x14ac:dyDescent="0.2">
      <c r="A2446" s="257">
        <v>2454</v>
      </c>
      <c r="B2446" s="44">
        <v>44559</v>
      </c>
      <c r="C2446" s="44">
        <f t="shared" si="116"/>
        <v>44559</v>
      </c>
      <c r="D2446" s="374">
        <v>23</v>
      </c>
      <c r="E2446" s="291" t="str">
        <f>IFERROR(VLOOKUP($D2446,'Clients-Live'!$A:$C,3,0),"")</f>
        <v>BADARU KEVIN ATELIONGA</v>
      </c>
      <c r="F2446" s="291">
        <f>IFERROR(INDEX(Disbursements!$D:$D,MATCH('Live Collections'!G2446,Disbursements!$C:$C,0)),"")</f>
        <v>2</v>
      </c>
      <c r="G2446" s="34">
        <v>190</v>
      </c>
      <c r="H2446" s="34">
        <v>4120</v>
      </c>
      <c r="I2446" s="34" t="s">
        <v>1357</v>
      </c>
      <c r="J2446" s="48"/>
      <c r="K2446" s="48"/>
      <c r="L2446" s="48"/>
      <c r="M2446" s="48"/>
      <c r="N2446" s="59"/>
      <c r="O2446" s="59">
        <v>200000</v>
      </c>
      <c r="P2446" s="59"/>
      <c r="Q2446" s="268">
        <f t="shared" si="115"/>
        <v>200000</v>
      </c>
      <c r="R2446" s="61">
        <f>IF(O2446=0,0,SUMIFS(Disbursements!$T:$T,Disbursements!$B:$B,'Live Collections'!D2446,Disbursements!$D:$D,'Live Collections'!F2446))</f>
        <v>175000</v>
      </c>
      <c r="S2446" s="304">
        <f>IF(O2446&lt;=IF($O2446=0,0,SUMIFS(Disbursements!$W:$W,Disbursements!$B:$B,'Live Collections'!D319,Disbursements!$D:$D,'Live Collections'!F319)),O2446,IF($O2446=0,0,SUMIFS(Disbursements!$W:$W,Disbursements!$B:$B,'Live Collections'!D319,Disbursements!$D:$D,'Live Collections'!F319)))</f>
        <v>30000</v>
      </c>
      <c r="T2446" s="304">
        <f t="shared" si="117"/>
        <v>170000</v>
      </c>
      <c r="U2446" s="52"/>
      <c r="V2446" s="34"/>
      <c r="W2446" s="408"/>
    </row>
    <row r="2447" spans="1:23" ht="12.75" customHeight="1" x14ac:dyDescent="0.2">
      <c r="A2447" s="257">
        <v>2436</v>
      </c>
      <c r="B2447" s="44">
        <v>44559</v>
      </c>
      <c r="C2447" s="44">
        <f t="shared" si="116"/>
        <v>44559</v>
      </c>
      <c r="D2447" s="374">
        <v>51</v>
      </c>
      <c r="E2447" s="291" t="str">
        <f>IFERROR(VLOOKUP($D2447,'Clients-Live'!$A:$C,3,0),"")</f>
        <v>AYILE STEPHEN</v>
      </c>
      <c r="F2447" s="291">
        <f>IFERROR(INDEX(Disbursements!$D:$D,MATCH('Live Collections'!G2447,Disbursements!$C:$C,0)),"")</f>
        <v>1</v>
      </c>
      <c r="G2447" s="34">
        <v>34</v>
      </c>
      <c r="H2447" s="34">
        <v>1459</v>
      </c>
      <c r="I2447" s="34" t="s">
        <v>1359</v>
      </c>
      <c r="J2447" s="48"/>
      <c r="K2447" s="48"/>
      <c r="L2447" s="48"/>
      <c r="M2447" s="48"/>
      <c r="N2447" s="59"/>
      <c r="O2447" s="59"/>
      <c r="P2447" s="59">
        <v>-150000</v>
      </c>
      <c r="Q2447" s="268">
        <f t="shared" si="115"/>
        <v>-150000</v>
      </c>
      <c r="R2447" s="61">
        <f>IF(O2447=0,0,SUMIFS(Disbursements!$T:$T,Disbursements!$B:$B,'Live Collections'!D2447,Disbursements!$D:$D,'Live Collections'!F2447))</f>
        <v>0</v>
      </c>
      <c r="S2447" s="304">
        <f>IF(O2447&lt;=IF($O2447=0,0,SUMIFS(Disbursements!$W:$W,Disbursements!$B:$B,'Live Collections'!D594,Disbursements!$D:$D,'Live Collections'!F594)),O2447,IF($O2447=0,0,SUMIFS(Disbursements!$W:$W,Disbursements!$B:$B,'Live Collections'!D594,Disbursements!$D:$D,'Live Collections'!F594)))</f>
        <v>0</v>
      </c>
      <c r="T2447" s="304">
        <f t="shared" si="117"/>
        <v>0</v>
      </c>
      <c r="U2447" s="52"/>
      <c r="V2447" s="34"/>
      <c r="W2447" s="408" t="s">
        <v>1945</v>
      </c>
    </row>
    <row r="2448" spans="1:23" ht="12.75" customHeight="1" x14ac:dyDescent="0.2">
      <c r="A2448" s="257">
        <v>2437</v>
      </c>
      <c r="B2448" s="44">
        <v>44559</v>
      </c>
      <c r="C2448" s="44">
        <f t="shared" si="116"/>
        <v>44559</v>
      </c>
      <c r="D2448" s="374">
        <v>51</v>
      </c>
      <c r="E2448" s="291" t="str">
        <f>IFERROR(VLOOKUP($D2448,'Clients-Live'!$A:$C,3,0),"")</f>
        <v>AYILE STEPHEN</v>
      </c>
      <c r="F2448" s="291">
        <f>IFERROR(INDEX(Disbursements!$D:$D,MATCH('Live Collections'!G2448,Disbursements!$C:$C,0)),"")</f>
        <v>1</v>
      </c>
      <c r="G2448" s="34">
        <v>34</v>
      </c>
      <c r="H2448" s="34">
        <v>4130</v>
      </c>
      <c r="I2448" s="34" t="s">
        <v>1359</v>
      </c>
      <c r="J2448" s="48"/>
      <c r="K2448" s="48"/>
      <c r="L2448" s="48"/>
      <c r="M2448" s="48"/>
      <c r="N2448" s="59"/>
      <c r="O2448" s="59">
        <v>150000</v>
      </c>
      <c r="P2448" s="59"/>
      <c r="Q2448" s="268">
        <f t="shared" si="115"/>
        <v>150000</v>
      </c>
      <c r="R2448" s="61">
        <f>IF(O2448=0,0,SUMIFS(Disbursements!$T:$T,Disbursements!$B:$B,'Live Collections'!D2448,Disbursements!$D:$D,'Live Collections'!F2448))</f>
        <v>325000</v>
      </c>
      <c r="S2448" s="304">
        <f>IF(O2448&lt;=IF($O2448=0,0,SUMIFS(Disbursements!$W:$W,Disbursements!$B:$B,'Live Collections'!D595,Disbursements!$D:$D,'Live Collections'!F595)),O2448,IF($O2448=0,0,SUMIFS(Disbursements!$W:$W,Disbursements!$B:$B,'Live Collections'!D595,Disbursements!$D:$D,'Live Collections'!F595)))</f>
        <v>0</v>
      </c>
      <c r="T2448" s="304">
        <f t="shared" si="117"/>
        <v>150000</v>
      </c>
      <c r="U2448" s="52"/>
      <c r="V2448" s="34"/>
      <c r="W2448" s="408"/>
    </row>
    <row r="2449" spans="1:23" ht="12.75" customHeight="1" x14ac:dyDescent="0.2">
      <c r="A2449" s="257">
        <v>2438</v>
      </c>
      <c r="B2449" s="44">
        <v>44559</v>
      </c>
      <c r="C2449" s="44">
        <f t="shared" si="116"/>
        <v>44559</v>
      </c>
      <c r="D2449" s="374">
        <v>51</v>
      </c>
      <c r="E2449" s="291" t="str">
        <f>IFERROR(VLOOKUP($D2449,'Clients-Live'!$A:$C,3,0),"")</f>
        <v>AYILE STEPHEN</v>
      </c>
      <c r="F2449" s="291">
        <f>IFERROR(INDEX(Disbursements!$D:$D,MATCH('Live Collections'!G2449,Disbursements!$C:$C,0)),"")</f>
        <v>1</v>
      </c>
      <c r="G2449" s="34">
        <v>34</v>
      </c>
      <c r="H2449" s="34">
        <v>4129</v>
      </c>
      <c r="I2449" s="34" t="s">
        <v>1359</v>
      </c>
      <c r="J2449" s="48"/>
      <c r="K2449" s="48"/>
      <c r="L2449" s="48"/>
      <c r="M2449" s="48"/>
      <c r="N2449" s="59"/>
      <c r="O2449" s="59">
        <v>175000</v>
      </c>
      <c r="P2449" s="59"/>
      <c r="Q2449" s="268">
        <f t="shared" si="115"/>
        <v>175000</v>
      </c>
      <c r="R2449" s="61">
        <f>IF(O2449=0,0,SUMIFS(Disbursements!$T:$T,Disbursements!$B:$B,'Live Collections'!D2449,Disbursements!$D:$D,'Live Collections'!F2449))</f>
        <v>325000</v>
      </c>
      <c r="S2449" s="304"/>
      <c r="T2449" s="304">
        <f t="shared" si="117"/>
        <v>175000</v>
      </c>
      <c r="U2449" s="52"/>
      <c r="V2449" s="34"/>
      <c r="W2449" s="408"/>
    </row>
    <row r="2450" spans="1:23" ht="12.75" customHeight="1" x14ac:dyDescent="0.2">
      <c r="A2450" s="257">
        <v>2446</v>
      </c>
      <c r="B2450" s="44">
        <v>44559</v>
      </c>
      <c r="C2450" s="44">
        <f t="shared" si="116"/>
        <v>44559</v>
      </c>
      <c r="D2450" s="374">
        <v>54</v>
      </c>
      <c r="E2450" s="291" t="str">
        <f>IFERROR(VLOOKUP($D2450,'Clients-Live'!$A:$C,3,0),"")</f>
        <v>MANENO ANIFA</v>
      </c>
      <c r="F2450" s="291">
        <f>IFERROR(INDEX(Disbursements!$D:$D,MATCH('Live Collections'!G2450,Disbursements!$C:$C,0)),"")</f>
        <v>2</v>
      </c>
      <c r="G2450" s="34">
        <v>195</v>
      </c>
      <c r="H2450" s="34">
        <v>4132</v>
      </c>
      <c r="I2450" s="34" t="s">
        <v>1357</v>
      </c>
      <c r="J2450" s="48"/>
      <c r="K2450" s="48"/>
      <c r="L2450" s="48"/>
      <c r="M2450" s="48"/>
      <c r="N2450" s="59"/>
      <c r="O2450" s="59">
        <v>30000</v>
      </c>
      <c r="P2450" s="59"/>
      <c r="Q2450" s="268">
        <f t="shared" si="115"/>
        <v>30000</v>
      </c>
      <c r="R2450" s="61">
        <f>IF(O2450=0,0,SUMIFS(Disbursements!$T:$T,Disbursements!$B:$B,'Live Collections'!D2450,Disbursements!$D:$D,'Live Collections'!F2450))</f>
        <v>200000</v>
      </c>
      <c r="S2450" s="304">
        <f>IF(O2450&lt;=IF($O2450=0,0,SUMIFS(Disbursements!$W:$W,Disbursements!$B:$B,'Live Collections'!D642,Disbursements!$D:$D,'Live Collections'!F642)),O2450,IF($O2450=0,0,SUMIFS(Disbursements!$W:$W,Disbursements!$B:$B,'Live Collections'!D642,Disbursements!$D:$D,'Live Collections'!F642)))</f>
        <v>0</v>
      </c>
      <c r="T2450" s="304">
        <f t="shared" si="117"/>
        <v>30000</v>
      </c>
      <c r="U2450" s="52"/>
      <c r="V2450" s="34"/>
      <c r="W2450" s="408"/>
    </row>
    <row r="2451" spans="1:23" ht="12.75" customHeight="1" x14ac:dyDescent="0.2">
      <c r="A2451" s="257">
        <v>2451</v>
      </c>
      <c r="B2451" s="44">
        <v>44559</v>
      </c>
      <c r="C2451" s="44">
        <f t="shared" si="116"/>
        <v>44559</v>
      </c>
      <c r="D2451" s="374">
        <v>73</v>
      </c>
      <c r="E2451" s="291" t="str">
        <f>IFERROR(VLOOKUP($D2451,'Clients-Live'!$A:$C,3,0),"")</f>
        <v>AJONYE DEBORA</v>
      </c>
      <c r="F2451" s="291">
        <f>IFERROR(INDEX(Disbursements!$D:$D,MATCH('Live Collections'!G2451,Disbursements!$C:$C,0)),"")</f>
        <v>2</v>
      </c>
      <c r="G2451" s="34">
        <v>240</v>
      </c>
      <c r="H2451" s="34">
        <v>4124</v>
      </c>
      <c r="I2451" s="34" t="s">
        <v>1357</v>
      </c>
      <c r="J2451" s="48"/>
      <c r="K2451" s="48"/>
      <c r="L2451" s="48"/>
      <c r="M2451" s="48"/>
      <c r="N2451" s="59"/>
      <c r="O2451" s="59">
        <v>150000</v>
      </c>
      <c r="P2451" s="59"/>
      <c r="Q2451" s="268">
        <f t="shared" si="115"/>
        <v>150000</v>
      </c>
      <c r="R2451" s="61">
        <f>IF(O2451=0,0,SUMIFS(Disbursements!$T:$T,Disbursements!$B:$B,'Live Collections'!D2451,Disbursements!$D:$D,'Live Collections'!F2451))</f>
        <v>150000</v>
      </c>
      <c r="S2451" s="304">
        <f>IF(O2451&lt;=IF($O2451=0,0,SUMIFS(Disbursements!$W:$W,Disbursements!$B:$B,'Live Collections'!D926,Disbursements!$D:$D,'Live Collections'!F926)),O2451,IF($O2451=0,0,SUMIFS(Disbursements!$W:$W,Disbursements!$B:$B,'Live Collections'!D926,Disbursements!$D:$D,'Live Collections'!F926)))</f>
        <v>25000</v>
      </c>
      <c r="T2451" s="304">
        <f t="shared" si="117"/>
        <v>125000</v>
      </c>
      <c r="U2451" s="52"/>
      <c r="V2451" s="34"/>
      <c r="W2451" s="408"/>
    </row>
    <row r="2452" spans="1:23" ht="12.75" customHeight="1" x14ac:dyDescent="0.2">
      <c r="A2452" s="257">
        <v>2445</v>
      </c>
      <c r="B2452" s="44">
        <v>44559</v>
      </c>
      <c r="C2452" s="44">
        <f t="shared" si="116"/>
        <v>44559</v>
      </c>
      <c r="D2452" s="374">
        <v>118</v>
      </c>
      <c r="E2452" s="291" t="str">
        <f>IFERROR(VLOOKUP($D2452,'Clients-Live'!$A:$C,3,0),"")</f>
        <v>ONYANGO CHARLES JOGOO</v>
      </c>
      <c r="F2452" s="291">
        <f>IFERROR(INDEX(Disbursements!$D:$D,MATCH('Live Collections'!G2452,Disbursements!$C:$C,0)),"")</f>
        <v>1</v>
      </c>
      <c r="G2452" s="34">
        <v>109</v>
      </c>
      <c r="H2452" s="34">
        <v>4134</v>
      </c>
      <c r="I2452" s="34" t="s">
        <v>1358</v>
      </c>
      <c r="J2452" s="48"/>
      <c r="K2452" s="48"/>
      <c r="L2452" s="48"/>
      <c r="M2452" s="48"/>
      <c r="N2452" s="59"/>
      <c r="O2452" s="59">
        <v>100000</v>
      </c>
      <c r="P2452" s="59"/>
      <c r="Q2452" s="268">
        <f t="shared" si="115"/>
        <v>100000</v>
      </c>
      <c r="R2452" s="61">
        <f>IF(O2452=0,0,SUMIFS(Disbursements!$T:$T,Disbursements!$B:$B,'Live Collections'!D2452,Disbursements!$D:$D,'Live Collections'!F2452))</f>
        <v>217000</v>
      </c>
      <c r="S2452" s="304">
        <f>IF(O2452&lt;=IF($O2452=0,0,SUMIFS(Disbursements!$W:$W,Disbursements!$B:$B,'Live Collections'!D1532,Disbursements!$D:$D,'Live Collections'!F1532)),O2452,IF($O2452=0,0,SUMIFS(Disbursements!$W:$W,Disbursements!$B:$B,'Live Collections'!D1532,Disbursements!$D:$D,'Live Collections'!F1532)))</f>
        <v>20666.666666666657</v>
      </c>
      <c r="T2452" s="304">
        <f t="shared" si="117"/>
        <v>79333.333333333343</v>
      </c>
      <c r="U2452" s="52"/>
      <c r="V2452" s="34"/>
      <c r="W2452" s="408"/>
    </row>
    <row r="2453" spans="1:23" ht="12.75" customHeight="1" x14ac:dyDescent="0.2">
      <c r="A2453" s="257">
        <v>2447</v>
      </c>
      <c r="B2453" s="44">
        <v>44559</v>
      </c>
      <c r="C2453" s="44">
        <f t="shared" si="116"/>
        <v>44559</v>
      </c>
      <c r="D2453" s="374">
        <v>119</v>
      </c>
      <c r="E2453" s="291" t="str">
        <f>IFERROR(VLOOKUP($D2453,'Clients-Live'!$A:$C,3,0),"")</f>
        <v>STELLA KONGAI</v>
      </c>
      <c r="F2453" s="291">
        <f>IFERROR(INDEX(Disbursements!$D:$D,MATCH('Live Collections'!G2453,Disbursements!$C:$C,0)),"")</f>
        <v>2</v>
      </c>
      <c r="G2453" s="34">
        <v>253</v>
      </c>
      <c r="H2453" s="34">
        <v>4126</v>
      </c>
      <c r="I2453" s="34" t="s">
        <v>1359</v>
      </c>
      <c r="J2453" s="48"/>
      <c r="K2453" s="48"/>
      <c r="L2453" s="48"/>
      <c r="M2453" s="48"/>
      <c r="N2453" s="59"/>
      <c r="O2453" s="59">
        <v>200000</v>
      </c>
      <c r="P2453" s="59"/>
      <c r="Q2453" s="268">
        <f t="shared" si="115"/>
        <v>200000</v>
      </c>
      <c r="R2453" s="61">
        <f>IF(O2453=0,0,SUMIFS(Disbursements!$T:$T,Disbursements!$B:$B,'Live Collections'!D2453,Disbursements!$D:$D,'Live Collections'!F2453))</f>
        <v>817000</v>
      </c>
      <c r="S2453" s="304">
        <v>380333.33333333343</v>
      </c>
      <c r="T2453" s="304">
        <f t="shared" si="117"/>
        <v>-180333.33333333343</v>
      </c>
      <c r="U2453" s="52"/>
      <c r="V2453" s="34"/>
      <c r="W2453" s="408"/>
    </row>
    <row r="2454" spans="1:23" ht="12.75" customHeight="1" x14ac:dyDescent="0.2">
      <c r="A2454" s="257">
        <v>2448</v>
      </c>
      <c r="B2454" s="44">
        <v>44559</v>
      </c>
      <c r="C2454" s="44">
        <f t="shared" si="116"/>
        <v>44559</v>
      </c>
      <c r="D2454" s="374">
        <v>145</v>
      </c>
      <c r="E2454" s="291" t="str">
        <f>IFERROR(VLOOKUP($D2454,'Clients-Live'!$A:$C,3,0),"")</f>
        <v>NIGHT ASARA</v>
      </c>
      <c r="F2454" s="291">
        <f>IFERROR(INDEX(Disbursements!$D:$D,MATCH('Live Collections'!G2454,Disbursements!$C:$C,0)),"")</f>
        <v>1</v>
      </c>
      <c r="G2454" s="34">
        <v>132</v>
      </c>
      <c r="H2454" s="34">
        <v>4122</v>
      </c>
      <c r="I2454" s="34" t="s">
        <v>1357</v>
      </c>
      <c r="J2454" s="48"/>
      <c r="K2454" s="48"/>
      <c r="L2454" s="48"/>
      <c r="M2454" s="48"/>
      <c r="N2454" s="59"/>
      <c r="O2454" s="59">
        <v>40000</v>
      </c>
      <c r="P2454" s="59"/>
      <c r="Q2454" s="268">
        <f t="shared" si="115"/>
        <v>40000</v>
      </c>
      <c r="R2454" s="61">
        <f>IF(O2454=0,0,SUMIFS(Disbursements!$T:$T,Disbursements!$B:$B,'Live Collections'!D2454,Disbursements!$D:$D,'Live Collections'!F2454))</f>
        <v>120000</v>
      </c>
      <c r="S2454" s="304">
        <f>IF(O2454&lt;=IF($O2454=0,0,SUMIFS(Disbursements!$W:$W,Disbursements!$B:$B,'Live Collections'!D1836,Disbursements!$D:$D,'Live Collections'!F1836)),O2454,IF($O2454=0,0,SUMIFS(Disbursements!$W:$W,Disbursements!$B:$B,'Live Collections'!D1836,Disbursements!$D:$D,'Live Collections'!F1836)))</f>
        <v>0</v>
      </c>
      <c r="T2454" s="304">
        <f t="shared" si="117"/>
        <v>40000</v>
      </c>
      <c r="U2454" s="52"/>
      <c r="V2454" s="34"/>
      <c r="W2454" s="408"/>
    </row>
    <row r="2455" spans="1:23" ht="12.75" customHeight="1" x14ac:dyDescent="0.2">
      <c r="A2455" s="257">
        <v>2449</v>
      </c>
      <c r="B2455" s="44">
        <v>44559</v>
      </c>
      <c r="C2455" s="44">
        <f t="shared" si="116"/>
        <v>44559</v>
      </c>
      <c r="D2455" s="374">
        <v>145</v>
      </c>
      <c r="E2455" s="291" t="str">
        <f>IFERROR(VLOOKUP($D2455,'Clients-Live'!$A:$C,3,0),"")</f>
        <v>NIGHT ASARA</v>
      </c>
      <c r="F2455" s="291">
        <f>IFERROR(INDEX(Disbursements!$D:$D,MATCH('Live Collections'!G2455,Disbursements!$C:$C,0)),"")</f>
        <v>1</v>
      </c>
      <c r="G2455" s="34">
        <v>132</v>
      </c>
      <c r="H2455" s="34">
        <v>1403</v>
      </c>
      <c r="I2455" s="34" t="s">
        <v>1357</v>
      </c>
      <c r="J2455" s="48"/>
      <c r="K2455" s="48"/>
      <c r="L2455" s="48"/>
      <c r="M2455" s="48"/>
      <c r="N2455" s="59"/>
      <c r="O2455" s="59"/>
      <c r="P2455" s="59">
        <v>-40000</v>
      </c>
      <c r="Q2455" s="268">
        <f t="shared" si="115"/>
        <v>-40000</v>
      </c>
      <c r="R2455" s="61">
        <f>IF(O2455=0,0,SUMIFS(Disbursements!$T:$T,Disbursements!$B:$B,'Live Collections'!D2455,Disbursements!$D:$D,'Live Collections'!F2455))</f>
        <v>0</v>
      </c>
      <c r="S2455" s="304">
        <f>IF(O2455&lt;=IF($O2455=0,0,SUMIFS(Disbursements!$W:$W,Disbursements!$B:$B,'Live Collections'!D1837,Disbursements!$D:$D,'Live Collections'!F1837)),O2455,IF($O2455=0,0,SUMIFS(Disbursements!$W:$W,Disbursements!$B:$B,'Live Collections'!D1837,Disbursements!$D:$D,'Live Collections'!F1837)))</f>
        <v>0</v>
      </c>
      <c r="T2455" s="304">
        <f t="shared" si="117"/>
        <v>0</v>
      </c>
      <c r="U2455" s="52"/>
      <c r="V2455" s="34"/>
      <c r="W2455" s="408" t="s">
        <v>1947</v>
      </c>
    </row>
    <row r="2456" spans="1:23" ht="12.75" customHeight="1" x14ac:dyDescent="0.2">
      <c r="A2456" s="257">
        <v>2452</v>
      </c>
      <c r="B2456" s="44">
        <v>44559</v>
      </c>
      <c r="C2456" s="44">
        <f t="shared" si="116"/>
        <v>44559</v>
      </c>
      <c r="D2456" s="374">
        <v>145</v>
      </c>
      <c r="E2456" s="291" t="str">
        <f>IFERROR(VLOOKUP($D2456,'Clients-Live'!$A:$C,3,0),"")</f>
        <v>NIGHT ASARA</v>
      </c>
      <c r="F2456" s="291">
        <f>IFERROR(INDEX(Disbursements!$D:$D,MATCH('Live Collections'!G2456,Disbursements!$C:$C,0)),"")</f>
        <v>1</v>
      </c>
      <c r="G2456" s="34">
        <v>132</v>
      </c>
      <c r="H2456" s="34">
        <v>4123</v>
      </c>
      <c r="I2456" s="34" t="s">
        <v>1357</v>
      </c>
      <c r="J2456" s="48"/>
      <c r="K2456" s="48"/>
      <c r="L2456" s="48"/>
      <c r="M2456" s="48"/>
      <c r="N2456" s="59"/>
      <c r="O2456" s="59">
        <v>40000</v>
      </c>
      <c r="P2456" s="59"/>
      <c r="Q2456" s="268">
        <f t="shared" si="115"/>
        <v>40000</v>
      </c>
      <c r="R2456" s="61">
        <f>IF(O2456=0,0,SUMIFS(Disbursements!$T:$T,Disbursements!$B:$B,'Live Collections'!D2456,Disbursements!$D:$D,'Live Collections'!F2456))</f>
        <v>120000</v>
      </c>
      <c r="S2456" s="304"/>
      <c r="T2456" s="304">
        <f t="shared" si="117"/>
        <v>40000</v>
      </c>
      <c r="U2456" s="52"/>
      <c r="V2456" s="34"/>
      <c r="W2456" s="408"/>
    </row>
    <row r="2457" spans="1:23" ht="12.75" customHeight="1" x14ac:dyDescent="0.2">
      <c r="A2457" s="257">
        <v>2442</v>
      </c>
      <c r="B2457" s="44">
        <v>44559</v>
      </c>
      <c r="C2457" s="44">
        <f t="shared" si="116"/>
        <v>44559</v>
      </c>
      <c r="D2457" s="374">
        <v>169</v>
      </c>
      <c r="E2457" s="291" t="str">
        <f>IFERROR(VLOOKUP($D2457,'Clients-Live'!$A:$C,3,0),"")</f>
        <v>KATO KENNEDY</v>
      </c>
      <c r="F2457" s="291">
        <f>IFERROR(INDEX(Disbursements!$D:$D,MATCH('Live Collections'!G2457,Disbursements!$C:$C,0)),"")</f>
        <v>1</v>
      </c>
      <c r="G2457" s="34">
        <v>176</v>
      </c>
      <c r="H2457" s="34">
        <v>4133</v>
      </c>
      <c r="I2457" s="34" t="s">
        <v>1357</v>
      </c>
      <c r="J2457" s="48"/>
      <c r="K2457" s="48"/>
      <c r="L2457" s="48"/>
      <c r="M2457" s="48"/>
      <c r="N2457" s="59"/>
      <c r="O2457" s="59">
        <v>106000</v>
      </c>
      <c r="P2457" s="59"/>
      <c r="Q2457" s="268">
        <f t="shared" si="115"/>
        <v>106000</v>
      </c>
      <c r="R2457" s="61">
        <f>IF(O2457=0,0,SUMIFS(Disbursements!$T:$T,Disbursements!$B:$B,'Live Collections'!D2457,Disbursements!$D:$D,'Live Collections'!F2457))</f>
        <v>109000</v>
      </c>
      <c r="S2457" s="304"/>
      <c r="T2457" s="304">
        <f t="shared" si="117"/>
        <v>106000</v>
      </c>
      <c r="U2457" s="52"/>
      <c r="V2457" s="34"/>
      <c r="W2457" s="408"/>
    </row>
    <row r="2458" spans="1:23" ht="12.75" customHeight="1" x14ac:dyDescent="0.2">
      <c r="A2458" s="257">
        <v>2443</v>
      </c>
      <c r="B2458" s="44">
        <v>44559</v>
      </c>
      <c r="C2458" s="44">
        <f t="shared" si="116"/>
        <v>44559</v>
      </c>
      <c r="D2458" s="374">
        <v>169</v>
      </c>
      <c r="E2458" s="291" t="str">
        <f>IFERROR(VLOOKUP($D2458,'Clients-Live'!$A:$C,3,0),"")</f>
        <v>KATO KENNEDY</v>
      </c>
      <c r="F2458" s="291">
        <f>IFERROR(INDEX(Disbursements!$D:$D,MATCH('Live Collections'!G2458,Disbursements!$C:$C,0)),"")</f>
        <v>1</v>
      </c>
      <c r="G2458" s="34">
        <v>176</v>
      </c>
      <c r="H2458" s="34">
        <v>1461</v>
      </c>
      <c r="I2458" s="34" t="s">
        <v>1357</v>
      </c>
      <c r="J2458" s="48"/>
      <c r="K2458" s="48"/>
      <c r="L2458" s="48"/>
      <c r="M2458" s="48"/>
      <c r="N2458" s="59"/>
      <c r="O2458" s="59"/>
      <c r="P2458" s="59">
        <v>-106000</v>
      </c>
      <c r="Q2458" s="268">
        <f t="shared" si="115"/>
        <v>-106000</v>
      </c>
      <c r="R2458" s="61">
        <f>IF(O2458=0,0,SUMIFS(Disbursements!$T:$T,Disbursements!$B:$B,'Live Collections'!D2458,Disbursements!$D:$D,'Live Collections'!F2458))</f>
        <v>0</v>
      </c>
      <c r="S2458" s="304">
        <f>IF(O2458&lt;=IF($O2458=0,0,SUMIFS(Disbursements!$W:$W,Disbursements!$B:$B,'Live Collections'!D2097,Disbursements!$D:$D,'Live Collections'!F2097)),O2458,IF($O2458=0,0,SUMIFS(Disbursements!$W:$W,Disbursements!$B:$B,'Live Collections'!D2097,Disbursements!$D:$D,'Live Collections'!F2097)))</f>
        <v>0</v>
      </c>
      <c r="T2458" s="304">
        <f t="shared" si="117"/>
        <v>0</v>
      </c>
      <c r="U2458" s="52"/>
      <c r="V2458" s="34"/>
      <c r="W2458" s="408" t="s">
        <v>2130</v>
      </c>
    </row>
    <row r="2459" spans="1:23" ht="12.75" customHeight="1" x14ac:dyDescent="0.2">
      <c r="A2459" s="257">
        <v>2444</v>
      </c>
      <c r="B2459" s="44">
        <v>44559</v>
      </c>
      <c r="C2459" s="44">
        <f t="shared" si="116"/>
        <v>44559</v>
      </c>
      <c r="D2459" s="374">
        <v>169</v>
      </c>
      <c r="E2459" s="291" t="str">
        <f>IFERROR(VLOOKUP($D2459,'Clients-Live'!$A:$C,3,0),"")</f>
        <v>KATO KENNEDY</v>
      </c>
      <c r="F2459" s="291">
        <f>IFERROR(INDEX(Disbursements!$D:$D,MATCH('Live Collections'!G2459,Disbursements!$C:$C,0)),"")</f>
        <v>1</v>
      </c>
      <c r="G2459" s="34">
        <v>176</v>
      </c>
      <c r="H2459" s="34">
        <v>4135</v>
      </c>
      <c r="I2459" s="34" t="s">
        <v>1357</v>
      </c>
      <c r="J2459" s="48"/>
      <c r="K2459" s="48"/>
      <c r="L2459" s="48"/>
      <c r="M2459" s="48"/>
      <c r="N2459" s="59"/>
      <c r="O2459" s="59">
        <v>156000</v>
      </c>
      <c r="P2459" s="59"/>
      <c r="Q2459" s="268">
        <f t="shared" si="115"/>
        <v>156000</v>
      </c>
      <c r="R2459" s="61">
        <f>IF(O2459=0,0,SUMIFS(Disbursements!$T:$T,Disbursements!$B:$B,'Live Collections'!D2459,Disbursements!$D:$D,'Live Collections'!F2459))</f>
        <v>109000</v>
      </c>
      <c r="S2459" s="304"/>
      <c r="T2459" s="304">
        <f t="shared" si="117"/>
        <v>156000</v>
      </c>
      <c r="U2459" s="52"/>
      <c r="V2459" s="34"/>
      <c r="W2459" s="408"/>
    </row>
    <row r="2460" spans="1:23" ht="12.75" customHeight="1" x14ac:dyDescent="0.2">
      <c r="A2460" s="257">
        <v>2455</v>
      </c>
      <c r="B2460" s="44">
        <v>44559</v>
      </c>
      <c r="C2460" s="44">
        <f t="shared" si="116"/>
        <v>44559</v>
      </c>
      <c r="D2460" s="374">
        <v>169</v>
      </c>
      <c r="E2460" s="291" t="str">
        <f>IFERROR(VLOOKUP($D2460,'Clients-Live'!$A:$C,3,0),"")</f>
        <v>KATO KENNEDY</v>
      </c>
      <c r="F2460" s="291">
        <f>IFERROR(INDEX(Disbursements!$D:$D,MATCH('Live Collections'!G2460,Disbursements!$C:$C,0)),"")</f>
        <v>1</v>
      </c>
      <c r="G2460" s="34">
        <v>176</v>
      </c>
      <c r="H2460" s="34">
        <v>67</v>
      </c>
      <c r="I2460" s="34" t="s">
        <v>1357</v>
      </c>
      <c r="J2460" s="48"/>
      <c r="K2460" s="48"/>
      <c r="L2460" s="48"/>
      <c r="M2460" s="48"/>
      <c r="N2460" s="59"/>
      <c r="O2460" s="59">
        <v>110000</v>
      </c>
      <c r="P2460" s="59"/>
      <c r="Q2460" s="268">
        <f t="shared" si="115"/>
        <v>110000</v>
      </c>
      <c r="R2460" s="61">
        <f>IF(O2460=0,0,SUMIFS(Disbursements!$T:$T,Disbursements!$B:$B,'Live Collections'!D2460,Disbursements!$D:$D,'Live Collections'!F2460))</f>
        <v>109000</v>
      </c>
      <c r="S2460" s="304"/>
      <c r="T2460" s="304">
        <f t="shared" si="117"/>
        <v>110000</v>
      </c>
      <c r="U2460" s="52"/>
      <c r="V2460" s="34"/>
      <c r="W2460" s="408"/>
    </row>
    <row r="2461" spans="1:23" ht="12.75" customHeight="1" x14ac:dyDescent="0.2">
      <c r="A2461" s="257">
        <v>2458</v>
      </c>
      <c r="B2461" s="44">
        <v>44560</v>
      </c>
      <c r="C2461" s="44">
        <f t="shared" si="116"/>
        <v>44560</v>
      </c>
      <c r="D2461" s="374">
        <v>42</v>
      </c>
      <c r="E2461" s="291" t="str">
        <f>IFERROR(VLOOKUP($D2461,'Clients-Live'!$A:$C,3,0),"")</f>
        <v>ABAU   NOLA</v>
      </c>
      <c r="F2461" s="291">
        <f>IFERROR(INDEX(Disbursements!$D:$D,MATCH('Live Collections'!G2461,Disbursements!$C:$C,0)),"")</f>
        <v>2</v>
      </c>
      <c r="G2461" s="34">
        <v>251</v>
      </c>
      <c r="H2461" s="34">
        <v>4054</v>
      </c>
      <c r="I2461" s="34" t="s">
        <v>1359</v>
      </c>
      <c r="J2461" s="48"/>
      <c r="K2461" s="48"/>
      <c r="L2461" s="48"/>
      <c r="M2461" s="48"/>
      <c r="N2461" s="59"/>
      <c r="O2461" s="59">
        <v>21000</v>
      </c>
      <c r="P2461" s="59"/>
      <c r="Q2461" s="268">
        <f t="shared" si="115"/>
        <v>21000</v>
      </c>
      <c r="R2461" s="61">
        <f>IF(O2461=0,0,SUMIFS(Disbursements!$T:$T,Disbursements!$B:$B,'Live Collections'!D2461,Disbursements!$D:$D,'Live Collections'!F2461))</f>
        <v>69000</v>
      </c>
      <c r="S2461" s="304"/>
      <c r="T2461" s="304">
        <f t="shared" si="117"/>
        <v>21000</v>
      </c>
      <c r="U2461" s="52"/>
      <c r="V2461" s="34"/>
      <c r="W2461" s="408"/>
    </row>
    <row r="2462" spans="1:23" ht="12.75" customHeight="1" x14ac:dyDescent="0.2">
      <c r="A2462" s="257">
        <v>2459</v>
      </c>
      <c r="B2462" s="44">
        <v>44560</v>
      </c>
      <c r="C2462" s="44">
        <f t="shared" si="116"/>
        <v>44560</v>
      </c>
      <c r="D2462" s="374">
        <v>65</v>
      </c>
      <c r="E2462" s="291" t="str">
        <f>IFERROR(VLOOKUP($D2462,'Clients-Live'!$A:$C,3,0),"")</f>
        <v>NDAWULA GERALD</v>
      </c>
      <c r="F2462" s="291">
        <f>IFERROR(INDEX(Disbursements!$D:$D,MATCH('Live Collections'!G2462,Disbursements!$C:$C,0)),"")</f>
        <v>1</v>
      </c>
      <c r="G2462" s="34">
        <v>47</v>
      </c>
      <c r="H2462" s="34">
        <v>4138</v>
      </c>
      <c r="I2462" s="34" t="s">
        <v>1359</v>
      </c>
      <c r="J2462" s="48"/>
      <c r="K2462" s="48"/>
      <c r="L2462" s="48"/>
      <c r="M2462" s="48"/>
      <c r="N2462" s="59"/>
      <c r="O2462" s="59">
        <v>50000</v>
      </c>
      <c r="P2462" s="59"/>
      <c r="Q2462" s="268">
        <f t="shared" si="115"/>
        <v>50000</v>
      </c>
      <c r="R2462" s="61">
        <f>IF(O2462=0,0,SUMIFS(Disbursements!$T:$T,Disbursements!$B:$B,'Live Collections'!D2462,Disbursements!$D:$D,'Live Collections'!F2462))</f>
        <v>217000</v>
      </c>
      <c r="S2462" s="304">
        <f>IF(O2462&lt;=IF($O2462=0,0,SUMIFS(Disbursements!$W:$W,Disbursements!$B:$B,'Live Collections'!D785,Disbursements!$D:$D,'Live Collections'!F785)),O2462,IF($O2462=0,0,SUMIFS(Disbursements!$W:$W,Disbursements!$B:$B,'Live Collections'!D785,Disbursements!$D:$D,'Live Collections'!F785)))</f>
        <v>0</v>
      </c>
      <c r="T2462" s="304">
        <f t="shared" si="117"/>
        <v>50000</v>
      </c>
      <c r="U2462" s="52"/>
      <c r="V2462" s="34"/>
      <c r="W2462" s="408"/>
    </row>
    <row r="2463" spans="1:23" ht="12.75" customHeight="1" x14ac:dyDescent="0.2">
      <c r="A2463" s="257">
        <v>2456</v>
      </c>
      <c r="B2463" s="44">
        <v>44560</v>
      </c>
      <c r="C2463" s="44">
        <f t="shared" si="116"/>
        <v>44560</v>
      </c>
      <c r="D2463" s="374">
        <v>239</v>
      </c>
      <c r="E2463" s="291" t="str">
        <f>IFERROR(VLOOKUP($D2463,'Clients-Live'!$A:$C,3,0),"")</f>
        <v>HABIBU ABOYI ALLI</v>
      </c>
      <c r="F2463" s="291">
        <f>IFERROR(INDEX(Disbursements!$D:$D,MATCH('Live Collections'!G2463,Disbursements!$C:$C,0)),"")</f>
        <v>1</v>
      </c>
      <c r="G2463" s="34">
        <v>291</v>
      </c>
      <c r="H2463" s="34">
        <v>4057</v>
      </c>
      <c r="I2463" s="34" t="s">
        <v>1357</v>
      </c>
      <c r="J2463" s="48"/>
      <c r="K2463" s="48"/>
      <c r="L2463" s="48"/>
      <c r="M2463" s="48"/>
      <c r="N2463" s="59"/>
      <c r="O2463" s="59">
        <v>180000</v>
      </c>
      <c r="P2463" s="59"/>
      <c r="Q2463" s="268">
        <f t="shared" si="115"/>
        <v>180000</v>
      </c>
      <c r="R2463" s="61">
        <f>IF(O2463=0,0,SUMIFS(Disbursements!$T:$T,Disbursements!$B:$B,'Live Collections'!D2463,Disbursements!$D:$D,'Live Collections'!F2463))</f>
        <v>180000</v>
      </c>
      <c r="S2463" s="304">
        <f>IF(O2463&lt;=IF($O2463=0,0,SUMIFS(Disbursements!$W:$W,Disbursements!$B:$B,'Live Collections'!D2741,Disbursements!$D:$D,'Live Collections'!F2741)),O2463,IF($O2463=0,0,SUMIFS(Disbursements!$W:$W,Disbursements!$B:$B,'Live Collections'!D2741,Disbursements!$D:$D,'Live Collections'!F2741)))</f>
        <v>100666.66666666669</v>
      </c>
      <c r="T2463" s="304">
        <f t="shared" si="117"/>
        <v>79333.333333333314</v>
      </c>
      <c r="U2463" s="52"/>
      <c r="V2463" s="34"/>
      <c r="W2463" s="408"/>
    </row>
    <row r="2464" spans="1:23" ht="12.75" customHeight="1" x14ac:dyDescent="0.2">
      <c r="A2464" s="257">
        <v>2457</v>
      </c>
      <c r="B2464" s="44">
        <v>44560</v>
      </c>
      <c r="C2464" s="44">
        <f t="shared" si="116"/>
        <v>44560</v>
      </c>
      <c r="D2464" s="374">
        <v>267</v>
      </c>
      <c r="E2464" s="291" t="str">
        <f>IFERROR(VLOOKUP($D2464,'Clients-Live'!$A:$C,3,0),"")</f>
        <v>KAMUSIRI JULIUS</v>
      </c>
      <c r="F2464" s="291">
        <f>IFERROR(INDEX(Disbursements!$D:$D,MATCH('Live Collections'!G2464,Disbursements!$C:$C,0)),"")</f>
        <v>1</v>
      </c>
      <c r="G2464" s="34">
        <v>346</v>
      </c>
      <c r="H2464" s="34">
        <v>4055</v>
      </c>
      <c r="I2464" s="34" t="s">
        <v>1357</v>
      </c>
      <c r="J2464" s="48"/>
      <c r="K2464" s="48"/>
      <c r="L2464" s="48"/>
      <c r="M2464" s="48"/>
      <c r="N2464" s="59"/>
      <c r="O2464" s="59">
        <v>40000</v>
      </c>
      <c r="P2464" s="59"/>
      <c r="Q2464" s="268">
        <f t="shared" si="115"/>
        <v>40000</v>
      </c>
      <c r="R2464" s="61">
        <f>IF(O2464=0,0,SUMIFS(Disbursements!$T:$T,Disbursements!$B:$B,'Live Collections'!D2464,Disbursements!$D:$D,'Live Collections'!F2464))</f>
        <v>83000</v>
      </c>
      <c r="S2464" s="304">
        <v>16000</v>
      </c>
      <c r="T2464" s="304">
        <f t="shared" si="117"/>
        <v>24000</v>
      </c>
      <c r="U2464" s="52"/>
      <c r="V2464" s="34"/>
      <c r="W2464" s="408"/>
    </row>
    <row r="2465" spans="1:23" ht="12.75" customHeight="1" x14ac:dyDescent="0.2">
      <c r="A2465" s="257">
        <v>2460</v>
      </c>
      <c r="B2465" s="44">
        <v>44561</v>
      </c>
      <c r="C2465" s="44">
        <f t="shared" si="116"/>
        <v>44561</v>
      </c>
      <c r="D2465" s="374">
        <v>68</v>
      </c>
      <c r="E2465" s="291" t="str">
        <f>IFERROR(VLOOKUP($D2465,'Clients-Live'!$A:$C,3,0),"")</f>
        <v>CHANDIA  RAHIMA</v>
      </c>
      <c r="F2465" s="291">
        <f>IFERROR(INDEX(Disbursements!$D:$D,MATCH('Live Collections'!G2465,Disbursements!$C:$C,0)),"")</f>
        <v>1</v>
      </c>
      <c r="G2465" s="34">
        <v>51</v>
      </c>
      <c r="H2465" s="34">
        <v>1465</v>
      </c>
      <c r="I2465" s="34" t="s">
        <v>1357</v>
      </c>
      <c r="J2465" s="48"/>
      <c r="K2465" s="48"/>
      <c r="L2465" s="48"/>
      <c r="M2465" s="48"/>
      <c r="N2465" s="59"/>
      <c r="O2465" s="59"/>
      <c r="P2465" s="59">
        <v>-70000</v>
      </c>
      <c r="Q2465" s="268">
        <f t="shared" si="115"/>
        <v>-70000</v>
      </c>
      <c r="R2465" s="61">
        <f>IF(O2465=0,0,SUMIFS(Disbursements!$T:$T,Disbursements!$B:$B,'Live Collections'!D2465,Disbursements!$D:$D,'Live Collections'!F2465))</f>
        <v>0</v>
      </c>
      <c r="S2465" s="304">
        <f>IF(O2465&lt;=IF($O2465=0,0,SUMIFS(Disbursements!$W:$W,Disbursements!$B:$B,'Live Collections'!D848,Disbursements!$D:$D,'Live Collections'!F848)),O2465,IF($O2465=0,0,SUMIFS(Disbursements!$W:$W,Disbursements!$B:$B,'Live Collections'!D848,Disbursements!$D:$D,'Live Collections'!F848)))</f>
        <v>0</v>
      </c>
      <c r="T2465" s="304">
        <f t="shared" si="117"/>
        <v>0</v>
      </c>
      <c r="U2465" s="52"/>
      <c r="V2465" s="34"/>
      <c r="W2465" s="408"/>
    </row>
    <row r="2466" spans="1:23" ht="12.75" customHeight="1" x14ac:dyDescent="0.2">
      <c r="A2466" s="257">
        <v>2461</v>
      </c>
      <c r="B2466" s="44">
        <v>44561</v>
      </c>
      <c r="C2466" s="44">
        <f t="shared" si="116"/>
        <v>44561</v>
      </c>
      <c r="D2466" s="374">
        <v>68</v>
      </c>
      <c r="E2466" s="291" t="str">
        <f>IFERROR(VLOOKUP($D2466,'Clients-Live'!$A:$C,3,0),"")</f>
        <v>CHANDIA  RAHIMA</v>
      </c>
      <c r="F2466" s="291">
        <f>IFERROR(INDEX(Disbursements!$D:$D,MATCH('Live Collections'!G2466,Disbursements!$C:$C,0)),"")</f>
        <v>1</v>
      </c>
      <c r="G2466" s="34">
        <v>51</v>
      </c>
      <c r="H2466" s="34">
        <v>4068</v>
      </c>
      <c r="I2466" s="34" t="s">
        <v>1357</v>
      </c>
      <c r="J2466" s="48"/>
      <c r="K2466" s="48"/>
      <c r="L2466" s="48"/>
      <c r="M2466" s="48"/>
      <c r="N2466" s="59"/>
      <c r="O2466" s="59">
        <v>70000</v>
      </c>
      <c r="P2466" s="59"/>
      <c r="Q2466" s="268">
        <f t="shared" si="115"/>
        <v>70000</v>
      </c>
      <c r="R2466" s="61">
        <f>IF(O2466=0,0,SUMIFS(Disbursements!$T:$T,Disbursements!$B:$B,'Live Collections'!D2466,Disbursements!$D:$D,'Live Collections'!F2466))</f>
        <v>152000</v>
      </c>
      <c r="S2466" s="64">
        <v>666.66666666665697</v>
      </c>
      <c r="T2466" s="304">
        <f t="shared" si="117"/>
        <v>69333.333333333343</v>
      </c>
      <c r="U2466" s="52"/>
      <c r="V2466" s="34"/>
      <c r="W2466" s="408"/>
    </row>
    <row r="2467" spans="1:23" ht="12.75" customHeight="1" x14ac:dyDescent="0.2">
      <c r="A2467" s="257">
        <v>2462</v>
      </c>
      <c r="B2467" s="44">
        <v>44561</v>
      </c>
      <c r="C2467" s="44">
        <f t="shared" si="116"/>
        <v>44561</v>
      </c>
      <c r="D2467" s="374">
        <v>68</v>
      </c>
      <c r="E2467" s="291" t="str">
        <f>IFERROR(VLOOKUP($D2467,'Clients-Live'!$A:$C,3,0),"")</f>
        <v>CHANDIA  RAHIMA</v>
      </c>
      <c r="F2467" s="291">
        <f>IFERROR(INDEX(Disbursements!$D:$D,MATCH('Live Collections'!G2467,Disbursements!$C:$C,0)),"")</f>
        <v>1</v>
      </c>
      <c r="G2467" s="34">
        <v>51</v>
      </c>
      <c r="H2467" s="34">
        <v>4062</v>
      </c>
      <c r="I2467" s="34" t="s">
        <v>1357</v>
      </c>
      <c r="J2467" s="48"/>
      <c r="K2467" s="48"/>
      <c r="L2467" s="48"/>
      <c r="M2467" s="48"/>
      <c r="N2467" s="59"/>
      <c r="O2467" s="59">
        <v>131600</v>
      </c>
      <c r="P2467" s="59"/>
      <c r="Q2467" s="268">
        <f t="shared" si="115"/>
        <v>131600</v>
      </c>
      <c r="R2467" s="61">
        <f>IF(O2467=0,0,SUMIFS(Disbursements!$T:$T,Disbursements!$B:$B,'Live Collections'!D2467,Disbursements!$D:$D,'Live Collections'!F2467))</f>
        <v>152000</v>
      </c>
      <c r="S2467" s="304"/>
      <c r="T2467" s="304">
        <f t="shared" si="117"/>
        <v>131600</v>
      </c>
      <c r="U2467" s="52"/>
      <c r="V2467" s="34"/>
      <c r="W2467" s="408"/>
    </row>
    <row r="2468" spans="1:23" ht="12.75" customHeight="1" x14ac:dyDescent="0.2">
      <c r="A2468" s="257">
        <v>2465</v>
      </c>
      <c r="B2468" s="44">
        <v>44561</v>
      </c>
      <c r="C2468" s="44">
        <f t="shared" si="116"/>
        <v>44561</v>
      </c>
      <c r="D2468" s="374">
        <v>70</v>
      </c>
      <c r="E2468" s="291" t="str">
        <f>IFERROR(VLOOKUP($D2468,'Clients-Live'!$A:$C,3,0),"")</f>
        <v>BUGA ALIKIA PHILLIP</v>
      </c>
      <c r="F2468" s="291">
        <f>IFERROR(INDEX(Disbursements!$D:$D,MATCH('Live Collections'!G2468,Disbursements!$C:$C,0)),"")</f>
        <v>2</v>
      </c>
      <c r="G2468" s="34">
        <v>299</v>
      </c>
      <c r="H2468" s="34">
        <v>4059</v>
      </c>
      <c r="I2468" s="34" t="s">
        <v>1358</v>
      </c>
      <c r="J2468" s="48"/>
      <c r="K2468" s="48"/>
      <c r="L2468" s="48"/>
      <c r="M2468" s="48"/>
      <c r="N2468" s="59"/>
      <c r="O2468" s="59">
        <v>130000</v>
      </c>
      <c r="P2468" s="59"/>
      <c r="Q2468" s="268">
        <f t="shared" si="115"/>
        <v>130000</v>
      </c>
      <c r="R2468" s="61">
        <f>IF(O2468=0,0,SUMIFS(Disbursements!$T:$T,Disbursements!$B:$B,'Live Collections'!D2468,Disbursements!$D:$D,'Live Collections'!F2468))</f>
        <v>260000</v>
      </c>
      <c r="S2468" s="304">
        <f>IF(O2468&lt;=IF($O2468=0,0,SUMIFS(Disbursements!$W:$W,Disbursements!$B:$B,'Live Collections'!D880,Disbursements!$D:$D,'Live Collections'!F880)),O2468,IF($O2468=0,0,SUMIFS(Disbursements!$W:$W,Disbursements!$B:$B,'Live Collections'!D880,Disbursements!$D:$D,'Live Collections'!F880)))</f>
        <v>25666.666666666672</v>
      </c>
      <c r="T2468" s="304">
        <f t="shared" si="117"/>
        <v>104333.33333333333</v>
      </c>
      <c r="U2468" s="52"/>
      <c r="V2468" s="34"/>
      <c r="W2468" s="408"/>
    </row>
    <row r="2469" spans="1:23" ht="12.75" customHeight="1" x14ac:dyDescent="0.2">
      <c r="A2469" s="257">
        <v>2464</v>
      </c>
      <c r="B2469" s="44">
        <v>44561</v>
      </c>
      <c r="C2469" s="44">
        <f t="shared" si="116"/>
        <v>44561</v>
      </c>
      <c r="D2469" s="374">
        <v>112</v>
      </c>
      <c r="E2469" s="291" t="str">
        <f>IFERROR(VLOOKUP($D2469,'Clients-Live'!$A:$C,3,0),"")</f>
        <v>NURA JOYCE</v>
      </c>
      <c r="F2469" s="291">
        <f>IFERROR(INDEX(Disbursements!$D:$D,MATCH('Live Collections'!G2469,Disbursements!$C:$C,0)),"")</f>
        <v>2</v>
      </c>
      <c r="G2469" s="34">
        <v>337</v>
      </c>
      <c r="H2469" s="34">
        <v>4061</v>
      </c>
      <c r="I2469" s="34" t="s">
        <v>1359</v>
      </c>
      <c r="J2469" s="48"/>
      <c r="K2469" s="48"/>
      <c r="L2469" s="48"/>
      <c r="M2469" s="48"/>
      <c r="N2469" s="59"/>
      <c r="O2469" s="59">
        <v>145000</v>
      </c>
      <c r="P2469" s="59"/>
      <c r="Q2469" s="268">
        <f t="shared" si="115"/>
        <v>145000</v>
      </c>
      <c r="R2469" s="61">
        <f>IF(O2469=0,0,SUMIFS(Disbursements!$T:$T,Disbursements!$B:$B,'Live Collections'!D2469,Disbursements!$D:$D,'Live Collections'!F2469))</f>
        <v>150000</v>
      </c>
      <c r="S2469" s="304">
        <f>IF(O2469&lt;=IF($O2469=0,0,SUMIFS(Disbursements!$W:$W,Disbursements!$B:$B,'Live Collections'!D1437,Disbursements!$D:$D,'Live Collections'!F1437)),O2469,IF($O2469=0,0,SUMIFS(Disbursements!$W:$W,Disbursements!$B:$B,'Live Collections'!D1437,Disbursements!$D:$D,'Live Collections'!F1437)))</f>
        <v>50333.333333333343</v>
      </c>
      <c r="T2469" s="304">
        <f t="shared" si="117"/>
        <v>94666.666666666657</v>
      </c>
      <c r="U2469" s="52"/>
      <c r="V2469" s="34"/>
      <c r="W2469" s="408"/>
    </row>
    <row r="2470" spans="1:23" ht="12.75" customHeight="1" x14ac:dyDescent="0.2">
      <c r="A2470" s="257">
        <v>2463</v>
      </c>
      <c r="B2470" s="44">
        <v>44561</v>
      </c>
      <c r="C2470" s="44">
        <f t="shared" si="116"/>
        <v>44561</v>
      </c>
      <c r="D2470" s="374">
        <v>182</v>
      </c>
      <c r="E2470" s="291" t="str">
        <f>IFERROR(VLOOKUP($D2470,'Clients-Live'!$A:$C,3,0),"")</f>
        <v>ANITE ZAM</v>
      </c>
      <c r="F2470" s="291">
        <f>IFERROR(INDEX(Disbursements!$D:$D,MATCH('Live Collections'!G2470,Disbursements!$C:$C,0)),"")</f>
        <v>1</v>
      </c>
      <c r="G2470" s="34">
        <v>175</v>
      </c>
      <c r="H2470" s="34">
        <v>4060</v>
      </c>
      <c r="I2470" s="34" t="s">
        <v>1358</v>
      </c>
      <c r="J2470" s="48"/>
      <c r="K2470" s="48"/>
      <c r="L2470" s="48"/>
      <c r="M2470" s="48"/>
      <c r="N2470" s="59"/>
      <c r="O2470" s="59">
        <v>20000</v>
      </c>
      <c r="P2470" s="59"/>
      <c r="Q2470" s="268">
        <f t="shared" si="115"/>
        <v>20000</v>
      </c>
      <c r="R2470" s="61">
        <f>IF(O2470=0,0,SUMIFS(Disbursements!$T:$T,Disbursements!$B:$B,'Live Collections'!D2470,Disbursements!$D:$D,'Live Collections'!F2470))</f>
        <v>115000</v>
      </c>
      <c r="S2470" s="304"/>
      <c r="T2470" s="304">
        <f t="shared" si="117"/>
        <v>20000</v>
      </c>
      <c r="U2470" s="52"/>
      <c r="V2470" s="34"/>
      <c r="W2470" s="408"/>
    </row>
    <row r="2471" spans="1:23" ht="12.75" customHeight="1" x14ac:dyDescent="0.2">
      <c r="A2471" s="257">
        <v>2486</v>
      </c>
      <c r="B2471" s="44">
        <v>44564</v>
      </c>
      <c r="C2471" s="44">
        <f t="shared" si="116"/>
        <v>44564</v>
      </c>
      <c r="D2471" s="374">
        <v>29</v>
      </c>
      <c r="E2471" s="291" t="str">
        <f>IFERROR(VLOOKUP($D2471,'Clients-Live'!$A:$C,3,0),"")</f>
        <v>AJIBA ROSEMARY EMMANUEL</v>
      </c>
      <c r="F2471" s="291" t="str">
        <f>IFERROR(INDEX(Disbursements!$D:$D,MATCH('Live Collections'!G2471,Disbursements!$C:$C,0)),"")</f>
        <v/>
      </c>
      <c r="G2471" s="34"/>
      <c r="H2471" s="34">
        <v>4068</v>
      </c>
      <c r="I2471" s="34"/>
      <c r="J2471" s="48"/>
      <c r="K2471" s="48"/>
      <c r="L2471" s="48">
        <v>10000</v>
      </c>
      <c r="M2471" s="48"/>
      <c r="N2471" s="59"/>
      <c r="O2471" s="59"/>
      <c r="P2471" s="59"/>
      <c r="Q2471" s="268">
        <f t="shared" si="115"/>
        <v>10000</v>
      </c>
      <c r="R2471" s="61">
        <f>IF(O2471=0,0,SUMIFS(Disbursements!$T:$T,Disbursements!$B:$B,'Live Collections'!D2471,Disbursements!$D:$D,'Live Collections'!F2471))</f>
        <v>0</v>
      </c>
      <c r="S2471" s="304">
        <f>IF(O2471&lt;=IF($O2471=0,0,SUMIFS(Disbursements!$W:$W,Disbursements!$B:$B,'Live Collections'!D334,Disbursements!$D:$D,'Live Collections'!F334)),O2471,IF($O2471=0,0,SUMIFS(Disbursements!$W:$W,Disbursements!$B:$B,'Live Collections'!D334,Disbursements!$D:$D,'Live Collections'!F334)))</f>
        <v>0</v>
      </c>
      <c r="T2471" s="304">
        <f t="shared" si="117"/>
        <v>0</v>
      </c>
      <c r="U2471" s="52"/>
      <c r="V2471" s="34"/>
      <c r="W2471" s="408"/>
    </row>
    <row r="2472" spans="1:23" ht="12.75" customHeight="1" x14ac:dyDescent="0.2">
      <c r="A2472" s="257">
        <v>2476</v>
      </c>
      <c r="B2472" s="44">
        <v>44564</v>
      </c>
      <c r="C2472" s="44">
        <f t="shared" si="116"/>
        <v>44564</v>
      </c>
      <c r="D2472" s="374">
        <v>40</v>
      </c>
      <c r="E2472" s="291" t="str">
        <f>IFERROR(VLOOKUP($D2472,'Clients-Live'!$A:$C,3,0),"")</f>
        <v>TABU JANE</v>
      </c>
      <c r="F2472" s="291">
        <f>IFERROR(INDEX(Disbursements!$D:$D,MATCH('Live Collections'!G2472,Disbursements!$C:$C,0)),"")</f>
        <v>2</v>
      </c>
      <c r="G2472" s="34">
        <v>230</v>
      </c>
      <c r="H2472" s="34">
        <v>4076</v>
      </c>
      <c r="I2472" s="34" t="s">
        <v>1358</v>
      </c>
      <c r="J2472" s="48"/>
      <c r="K2472" s="48"/>
      <c r="L2472" s="48"/>
      <c r="M2472" s="48"/>
      <c r="N2472" s="59"/>
      <c r="O2472" s="59">
        <v>96700</v>
      </c>
      <c r="P2472" s="59"/>
      <c r="Q2472" s="268">
        <f t="shared" si="115"/>
        <v>96700</v>
      </c>
      <c r="R2472" s="61">
        <f>IF(O2472=0,0,SUMIFS(Disbursements!$T:$T,Disbursements!$B:$B,'Live Collections'!D2472,Disbursements!$D:$D,'Live Collections'!F2472))</f>
        <v>217000</v>
      </c>
      <c r="S2472" s="304">
        <f>IF(O2472&lt;=IF($O2472=0,0,SUMIFS(Disbursements!$W:$W,Disbursements!$B:$B,'Live Collections'!D441,Disbursements!$D:$D,'Live Collections'!F441)),O2472,IF($O2472=0,0,SUMIFS(Disbursements!$W:$W,Disbursements!$B:$B,'Live Collections'!D441,Disbursements!$D:$D,'Live Collections'!F441)))</f>
        <v>0</v>
      </c>
      <c r="T2472" s="304">
        <f t="shared" si="117"/>
        <v>96700</v>
      </c>
      <c r="U2472" s="52"/>
      <c r="V2472" s="34"/>
      <c r="W2472" s="408"/>
    </row>
    <row r="2473" spans="1:23" ht="12.75" customHeight="1" x14ac:dyDescent="0.2">
      <c r="A2473" s="257">
        <v>2479</v>
      </c>
      <c r="B2473" s="44">
        <v>44564</v>
      </c>
      <c r="C2473" s="44">
        <f t="shared" si="116"/>
        <v>44564</v>
      </c>
      <c r="D2473" s="374">
        <v>86</v>
      </c>
      <c r="E2473" s="291" t="str">
        <f>IFERROR(VLOOKUP($D2473,'Clients-Live'!$A:$C,3,0),"")</f>
        <v>AMANIYO JOYCE</v>
      </c>
      <c r="F2473" s="291">
        <f>IFERROR(INDEX(Disbursements!$D:$D,MATCH('Live Collections'!G2473,Disbursements!$C:$C,0)),"")</f>
        <v>2</v>
      </c>
      <c r="G2473" s="34">
        <v>231</v>
      </c>
      <c r="H2473" s="34">
        <v>4150</v>
      </c>
      <c r="I2473" s="34" t="s">
        <v>1358</v>
      </c>
      <c r="J2473" s="48"/>
      <c r="K2473" s="48"/>
      <c r="L2473" s="48"/>
      <c r="M2473" s="48"/>
      <c r="N2473" s="59"/>
      <c r="O2473" s="59">
        <v>116700</v>
      </c>
      <c r="P2473" s="59"/>
      <c r="Q2473" s="268">
        <f t="shared" si="115"/>
        <v>116700</v>
      </c>
      <c r="R2473" s="61">
        <f>IF(O2473=0,0,SUMIFS(Disbursements!$T:$T,Disbursements!$B:$B,'Live Collections'!D2473,Disbursements!$D:$D,'Live Collections'!F2473))</f>
        <v>217000</v>
      </c>
      <c r="S2473" s="304"/>
      <c r="T2473" s="304">
        <f t="shared" si="117"/>
        <v>116700</v>
      </c>
      <c r="U2473" s="52"/>
      <c r="V2473" s="34"/>
      <c r="W2473" s="408"/>
    </row>
    <row r="2474" spans="1:23" ht="12.75" customHeight="1" x14ac:dyDescent="0.2">
      <c r="A2474" s="257">
        <v>2474</v>
      </c>
      <c r="B2474" s="44">
        <v>44564</v>
      </c>
      <c r="C2474" s="44">
        <f t="shared" si="116"/>
        <v>44564</v>
      </c>
      <c r="D2474" s="374">
        <v>94</v>
      </c>
      <c r="E2474" s="291" t="str">
        <f>IFERROR(VLOOKUP($D2474,'Clients-Live'!$A:$C,3,0),"")</f>
        <v>NGINYA RICHARD</v>
      </c>
      <c r="F2474" s="291">
        <f>IFERROR(INDEX(Disbursements!$D:$D,MATCH('Live Collections'!G2474,Disbursements!$C:$C,0)),"")</f>
        <v>2</v>
      </c>
      <c r="G2474" s="34">
        <v>305</v>
      </c>
      <c r="H2474" s="34">
        <v>4079</v>
      </c>
      <c r="I2474" s="34" t="s">
        <v>1357</v>
      </c>
      <c r="J2474" s="48"/>
      <c r="K2474" s="48"/>
      <c r="L2474" s="48"/>
      <c r="M2474" s="48"/>
      <c r="N2474" s="59"/>
      <c r="O2474" s="59">
        <v>90000</v>
      </c>
      <c r="P2474" s="59"/>
      <c r="Q2474" s="268">
        <f t="shared" si="115"/>
        <v>90000</v>
      </c>
      <c r="R2474" s="61">
        <f>IF(O2474=0,0,SUMIFS(Disbursements!$T:$T,Disbursements!$B:$B,'Live Collections'!D2474,Disbursements!$D:$D,'Live Collections'!F2474))</f>
        <v>90000</v>
      </c>
      <c r="S2474" s="304"/>
      <c r="T2474" s="304">
        <f t="shared" si="117"/>
        <v>90000</v>
      </c>
      <c r="U2474" s="52"/>
      <c r="V2474" s="34"/>
      <c r="W2474" s="408"/>
    </row>
    <row r="2475" spans="1:23" ht="12.75" customHeight="1" x14ac:dyDescent="0.2">
      <c r="A2475" s="257">
        <v>2490</v>
      </c>
      <c r="B2475" s="44">
        <v>44564</v>
      </c>
      <c r="C2475" s="44">
        <f t="shared" si="116"/>
        <v>44564</v>
      </c>
      <c r="D2475" s="374">
        <v>126</v>
      </c>
      <c r="E2475" s="291" t="str">
        <f>IFERROR(VLOOKUP($D2475,'Clients-Live'!$A:$C,3,0),"")</f>
        <v>OGWAL STEPHEN GERALD</v>
      </c>
      <c r="F2475" s="291">
        <f>IFERROR(INDEX(Disbursements!$D:$D,MATCH('Live Collections'!G2475,Disbursements!$C:$C,0)),"")</f>
        <v>3</v>
      </c>
      <c r="G2475" s="34">
        <v>296</v>
      </c>
      <c r="H2475" s="34">
        <v>4064</v>
      </c>
      <c r="I2475" s="34" t="s">
        <v>1359</v>
      </c>
      <c r="J2475" s="48"/>
      <c r="K2475" s="48"/>
      <c r="L2475" s="48"/>
      <c r="M2475" s="48"/>
      <c r="N2475" s="59"/>
      <c r="O2475" s="59">
        <v>612500</v>
      </c>
      <c r="P2475" s="59"/>
      <c r="Q2475" s="268">
        <f t="shared" si="115"/>
        <v>612500</v>
      </c>
      <c r="R2475" s="61">
        <f>IF(O2475=0,0,SUMIFS(Disbursements!$T:$T,Disbursements!$B:$B,'Live Collections'!D2475,Disbursements!$D:$D,'Live Collections'!F2475))</f>
        <v>613000</v>
      </c>
      <c r="S2475" s="304">
        <f>IF(O2475&lt;=IF($O2475=0,0,SUMIFS(Disbursements!$W:$W,Disbursements!$B:$B,'Live Collections'!D1969,Disbursements!$D:$D,'Live Collections'!F1969)),O2475,IF($O2475=0,0,SUMIFS(Disbursements!$W:$W,Disbursements!$B:$B,'Live Collections'!D1969,Disbursements!$D:$D,'Live Collections'!F1969)))</f>
        <v>50000</v>
      </c>
      <c r="T2475" s="304">
        <f t="shared" si="117"/>
        <v>562500</v>
      </c>
      <c r="U2475" s="52"/>
      <c r="V2475" s="34"/>
      <c r="W2475" s="408"/>
    </row>
    <row r="2476" spans="1:23" ht="12.75" customHeight="1" x14ac:dyDescent="0.2">
      <c r="A2476" s="257">
        <v>2492</v>
      </c>
      <c r="B2476" s="44">
        <v>44564</v>
      </c>
      <c r="C2476" s="44">
        <f t="shared" si="116"/>
        <v>44564</v>
      </c>
      <c r="D2476" s="374">
        <v>127</v>
      </c>
      <c r="E2476" s="291" t="str">
        <f>IFERROR(VLOOKUP($D2476,'Clients-Live'!$A:$C,3,0),"")</f>
        <v>TIKO RUKIA</v>
      </c>
      <c r="F2476" s="291">
        <f>IFERROR(INDEX(Disbursements!$D:$D,MATCH('Live Collections'!G2476,Disbursements!$C:$C,0)),"")</f>
        <v>1</v>
      </c>
      <c r="G2476" s="34">
        <v>110</v>
      </c>
      <c r="H2476" s="34">
        <v>4142</v>
      </c>
      <c r="I2476" s="34" t="s">
        <v>1358</v>
      </c>
      <c r="J2476" s="48"/>
      <c r="K2476" s="48"/>
      <c r="L2476" s="48"/>
      <c r="M2476" s="48"/>
      <c r="N2476" s="59"/>
      <c r="O2476" s="59">
        <v>20000</v>
      </c>
      <c r="P2476" s="59"/>
      <c r="Q2476" s="268">
        <f t="shared" si="115"/>
        <v>20000</v>
      </c>
      <c r="R2476" s="61">
        <f>IF(O2476=0,0,SUMIFS(Disbursements!$T:$T,Disbursements!$B:$B,'Live Collections'!D2476,Disbursements!$D:$D,'Live Collections'!F2476))</f>
        <v>154000</v>
      </c>
      <c r="S2476" s="304"/>
      <c r="T2476" s="304">
        <f t="shared" si="117"/>
        <v>20000</v>
      </c>
      <c r="U2476" s="52"/>
      <c r="V2476" s="34"/>
      <c r="W2476" s="408"/>
    </row>
    <row r="2477" spans="1:23" ht="12.75" customHeight="1" x14ac:dyDescent="0.2">
      <c r="A2477" s="257">
        <v>2482</v>
      </c>
      <c r="B2477" s="44">
        <v>44564</v>
      </c>
      <c r="C2477" s="44">
        <f t="shared" si="116"/>
        <v>44564</v>
      </c>
      <c r="D2477" s="374">
        <v>147</v>
      </c>
      <c r="E2477" s="291" t="str">
        <f>IFERROR(VLOOKUP($D2477,'Clients-Live'!$A:$C,3,0),"")</f>
        <v>DRICIRU MARGRET</v>
      </c>
      <c r="F2477" s="291">
        <f>IFERROR(INDEX(Disbursements!$D:$D,MATCH('Live Collections'!G2477,Disbursements!$C:$C,0)),"")</f>
        <v>2</v>
      </c>
      <c r="G2477" s="34">
        <v>203</v>
      </c>
      <c r="H2477" s="34">
        <v>4147</v>
      </c>
      <c r="I2477" s="34" t="s">
        <v>1359</v>
      </c>
      <c r="J2477" s="48"/>
      <c r="K2477" s="48"/>
      <c r="L2477" s="48"/>
      <c r="M2477" s="48"/>
      <c r="N2477" s="59"/>
      <c r="O2477" s="59">
        <v>300000</v>
      </c>
      <c r="P2477" s="59"/>
      <c r="Q2477" s="268">
        <f t="shared" si="115"/>
        <v>300000</v>
      </c>
      <c r="R2477" s="61">
        <f>IF(O2477=0,0,SUMIFS(Disbursements!$T:$T,Disbursements!$B:$B,'Live Collections'!D2477,Disbursements!$D:$D,'Live Collections'!F2477))</f>
        <v>300000</v>
      </c>
      <c r="S2477" s="64">
        <v>204000</v>
      </c>
      <c r="T2477" s="304">
        <f t="shared" si="117"/>
        <v>96000</v>
      </c>
      <c r="U2477" s="52"/>
      <c r="V2477" s="34"/>
      <c r="W2477" s="408"/>
    </row>
    <row r="2478" spans="1:23" ht="12.75" customHeight="1" x14ac:dyDescent="0.2">
      <c r="A2478" s="257">
        <v>2483</v>
      </c>
      <c r="B2478" s="44">
        <v>44564</v>
      </c>
      <c r="C2478" s="44">
        <f t="shared" si="116"/>
        <v>44564</v>
      </c>
      <c r="D2478" s="374">
        <v>152</v>
      </c>
      <c r="E2478" s="291" t="str">
        <f>IFERROR(VLOOKUP($D2478,'Clients-Live'!$A:$C,3,0),"")</f>
        <v>ASE ZAINABU</v>
      </c>
      <c r="F2478" s="291">
        <f>IFERROR(INDEX(Disbursements!$D:$D,MATCH('Live Collections'!G2478,Disbursements!$C:$C,0)),"")</f>
        <v>1</v>
      </c>
      <c r="G2478" s="34">
        <v>136</v>
      </c>
      <c r="H2478" s="34">
        <v>4146</v>
      </c>
      <c r="I2478" s="34" t="s">
        <v>1358</v>
      </c>
      <c r="J2478" s="48"/>
      <c r="K2478" s="48"/>
      <c r="L2478" s="48">
        <v>20000</v>
      </c>
      <c r="M2478" s="48">
        <v>5000</v>
      </c>
      <c r="N2478" s="59"/>
      <c r="O2478" s="59"/>
      <c r="P2478" s="59"/>
      <c r="Q2478" s="268">
        <f t="shared" si="115"/>
        <v>25000</v>
      </c>
      <c r="R2478" s="61">
        <f>IF(O2478=0,0,SUMIFS(Disbursements!$T:$T,Disbursements!$B:$B,'Live Collections'!D2478,Disbursements!$D:$D,'Live Collections'!F2478))</f>
        <v>0</v>
      </c>
      <c r="S2478" s="304">
        <f>IF(O2478&lt;=IF($O2478=0,0,SUMIFS(Disbursements!$W:$W,Disbursements!$B:$B,'Live Collections'!D1920,Disbursements!$D:$D,'Live Collections'!F1920)),O2478,IF($O2478=0,0,SUMIFS(Disbursements!$W:$W,Disbursements!$B:$B,'Live Collections'!D1920,Disbursements!$D:$D,'Live Collections'!F1920)))</f>
        <v>0</v>
      </c>
      <c r="T2478" s="304">
        <f t="shared" si="117"/>
        <v>0</v>
      </c>
      <c r="U2478" s="52"/>
      <c r="V2478" s="34"/>
      <c r="W2478" s="408"/>
    </row>
    <row r="2479" spans="1:23" ht="12.75" customHeight="1" x14ac:dyDescent="0.2">
      <c r="A2479" s="257">
        <v>2473</v>
      </c>
      <c r="B2479" s="44">
        <v>44564</v>
      </c>
      <c r="C2479" s="44">
        <f t="shared" si="116"/>
        <v>44564</v>
      </c>
      <c r="D2479" s="374">
        <v>155</v>
      </c>
      <c r="E2479" s="291" t="str">
        <f>IFERROR(VLOOKUP($D2479,'Clients-Live'!$A:$C,3,0),"")</f>
        <v>AROMBORAC SIAMA</v>
      </c>
      <c r="F2479" s="291">
        <f>IFERROR(INDEX(Disbursements!$D:$D,MATCH('Live Collections'!G2479,Disbursements!$C:$C,0)),"")</f>
        <v>2</v>
      </c>
      <c r="G2479" s="34">
        <v>355</v>
      </c>
      <c r="H2479" s="34">
        <v>4149</v>
      </c>
      <c r="I2479" s="34" t="s">
        <v>1358</v>
      </c>
      <c r="J2479" s="48"/>
      <c r="K2479" s="48"/>
      <c r="L2479" s="48"/>
      <c r="M2479" s="48"/>
      <c r="N2479" s="59"/>
      <c r="O2479" s="59">
        <v>76700</v>
      </c>
      <c r="P2479" s="59"/>
      <c r="Q2479" s="268">
        <f t="shared" si="115"/>
        <v>76700</v>
      </c>
      <c r="R2479" s="61">
        <f>IF(O2479=0,0,SUMIFS(Disbursements!$T:$T,Disbursements!$B:$B,'Live Collections'!D2479,Disbursements!$D:$D,'Live Collections'!F2479))</f>
        <v>77000</v>
      </c>
      <c r="S2479" s="304">
        <f>IF(O2479&lt;=IF($O2479=0,0,SUMIFS(Disbursements!$W:$W,Disbursements!$B:$B,'Live Collections'!D1941,Disbursements!$D:$D,'Live Collections'!F1941)),O2479,IF($O2479=0,0,SUMIFS(Disbursements!$W:$W,Disbursements!$B:$B,'Live Collections'!D1941,Disbursements!$D:$D,'Live Collections'!F1941)))</f>
        <v>30000</v>
      </c>
      <c r="T2479" s="304">
        <f t="shared" si="117"/>
        <v>46700</v>
      </c>
      <c r="U2479" s="52"/>
      <c r="V2479" s="34"/>
      <c r="W2479" s="408"/>
    </row>
    <row r="2480" spans="1:23" ht="12.75" customHeight="1" x14ac:dyDescent="0.2">
      <c r="A2480" s="257">
        <v>2493</v>
      </c>
      <c r="B2480" s="44">
        <v>44564</v>
      </c>
      <c r="C2480" s="44">
        <f t="shared" si="116"/>
        <v>44564</v>
      </c>
      <c r="D2480" s="374">
        <v>156</v>
      </c>
      <c r="E2480" s="291" t="str">
        <f>IFERROR(VLOOKUP($D2480,'Clients-Live'!$A:$C,3,0),"")</f>
        <v xml:space="preserve">ONIBA AISHA </v>
      </c>
      <c r="F2480" s="291">
        <f>IFERROR(INDEX(Disbursements!$D:$D,MATCH('Live Collections'!G2480,Disbursements!$C:$C,0)),"")</f>
        <v>4</v>
      </c>
      <c r="G2480" s="34">
        <v>348</v>
      </c>
      <c r="H2480" s="34">
        <v>4140</v>
      </c>
      <c r="I2480" s="34" t="s">
        <v>1358</v>
      </c>
      <c r="J2480" s="48"/>
      <c r="K2480" s="48"/>
      <c r="L2480" s="48"/>
      <c r="M2480" s="48"/>
      <c r="N2480" s="59"/>
      <c r="O2480" s="59">
        <v>1000000</v>
      </c>
      <c r="P2480" s="59"/>
      <c r="Q2480" s="268">
        <f t="shared" si="115"/>
        <v>1000000</v>
      </c>
      <c r="R2480" s="61">
        <f>IF(O2480=0,0,SUMIFS(Disbursements!$T:$T,Disbursements!$B:$B,'Live Collections'!D2480,Disbursements!$D:$D,'Live Collections'!F2480))</f>
        <v>1925000</v>
      </c>
      <c r="S2480" s="304">
        <f>IF(O2480&lt;=IF($O2480=0,0,SUMIFS(Disbursements!$W:$W,Disbursements!$B:$B,'Live Collections'!D1961,Disbursements!$D:$D,'Live Collections'!F1961)),O2480,IF($O2480=0,0,SUMIFS(Disbursements!$W:$W,Disbursements!$B:$B,'Live Collections'!D1961,Disbursements!$D:$D,'Live Collections'!F1961)))</f>
        <v>15000</v>
      </c>
      <c r="T2480" s="304">
        <f t="shared" si="117"/>
        <v>985000</v>
      </c>
      <c r="U2480" s="52"/>
      <c r="V2480" s="34"/>
      <c r="W2480" s="408"/>
    </row>
    <row r="2481" spans="1:23" ht="12.75" customHeight="1" x14ac:dyDescent="0.2">
      <c r="A2481" s="257">
        <v>2466</v>
      </c>
      <c r="B2481" s="44">
        <v>44564</v>
      </c>
      <c r="C2481" s="44">
        <f t="shared" si="116"/>
        <v>44564</v>
      </c>
      <c r="D2481" s="374">
        <v>168</v>
      </c>
      <c r="E2481" s="291" t="str">
        <f>IFERROR(VLOOKUP($D2481,'Clients-Live'!$A:$C,3,0),"")</f>
        <v>ALORO FREDERICK</v>
      </c>
      <c r="F2481" s="291">
        <f>IFERROR(INDEX(Disbursements!$D:$D,MATCH('Live Collections'!G2481,Disbursements!$C:$C,0)),"")</f>
        <v>1</v>
      </c>
      <c r="G2481" s="34">
        <v>159</v>
      </c>
      <c r="H2481" s="34">
        <v>1289</v>
      </c>
      <c r="I2481" s="34" t="s">
        <v>1357</v>
      </c>
      <c r="J2481" s="48"/>
      <c r="K2481" s="48"/>
      <c r="L2481" s="48"/>
      <c r="M2481" s="48"/>
      <c r="N2481" s="59"/>
      <c r="O2481" s="59"/>
      <c r="P2481" s="59">
        <v>-500000</v>
      </c>
      <c r="Q2481" s="268">
        <f t="shared" si="115"/>
        <v>-500000</v>
      </c>
      <c r="R2481" s="61">
        <f>IF(O2481=0,0,SUMIFS(Disbursements!$T:$T,Disbursements!$B:$B,'Live Collections'!D2481,Disbursements!$D:$D,'Live Collections'!F2481))</f>
        <v>0</v>
      </c>
      <c r="S2481" s="304">
        <f>IF(O2481&lt;=IF($O2481=0,0,SUMIFS(Disbursements!$W:$W,Disbursements!$B:$B,'Live Collections'!D2067,Disbursements!$D:$D,'Live Collections'!F2067)),O2481,IF($O2481=0,0,SUMIFS(Disbursements!$W:$W,Disbursements!$B:$B,'Live Collections'!D2067,Disbursements!$D:$D,'Live Collections'!F2067)))</f>
        <v>0</v>
      </c>
      <c r="T2481" s="304">
        <f t="shared" si="117"/>
        <v>0</v>
      </c>
      <c r="U2481" s="52"/>
      <c r="V2481" s="34"/>
      <c r="W2481" s="408" t="s">
        <v>1948</v>
      </c>
    </row>
    <row r="2482" spans="1:23" ht="12.75" customHeight="1" x14ac:dyDescent="0.2">
      <c r="A2482" s="257">
        <v>2467</v>
      </c>
      <c r="B2482" s="44">
        <v>44564</v>
      </c>
      <c r="C2482" s="44">
        <f t="shared" si="116"/>
        <v>44564</v>
      </c>
      <c r="D2482" s="374">
        <v>168</v>
      </c>
      <c r="E2482" s="291" t="str">
        <f>IFERROR(VLOOKUP($D2482,'Clients-Live'!$A:$C,3,0),"")</f>
        <v>ALORO FREDERICK</v>
      </c>
      <c r="F2482" s="291">
        <f>IFERROR(INDEX(Disbursements!$D:$D,MATCH('Live Collections'!G2482,Disbursements!$C:$C,0)),"")</f>
        <v>1</v>
      </c>
      <c r="G2482" s="34">
        <v>159</v>
      </c>
      <c r="H2482" s="34">
        <v>4078</v>
      </c>
      <c r="I2482" s="34" t="s">
        <v>1357</v>
      </c>
      <c r="J2482" s="48"/>
      <c r="K2482" s="48"/>
      <c r="L2482" s="48"/>
      <c r="M2482" s="48"/>
      <c r="N2482" s="59"/>
      <c r="O2482" s="59">
        <v>500000</v>
      </c>
      <c r="P2482" s="59"/>
      <c r="Q2482" s="268">
        <f t="shared" ref="Q2482:Q2542" si="118">SUM(J2482:P2482)</f>
        <v>500000</v>
      </c>
      <c r="R2482" s="61">
        <f>IF(O2482=0,0,SUMIFS(Disbursements!$T:$T,Disbursements!$B:$B,'Live Collections'!D2482,Disbursements!$D:$D,'Live Collections'!F2482))</f>
        <v>1250000</v>
      </c>
      <c r="S2482" s="304">
        <f>IF(O2482&lt;=IF($O2482=0,0,SUMIFS(Disbursements!$W:$W,Disbursements!$B:$B,'Live Collections'!D2068,Disbursements!$D:$D,'Live Collections'!F2068)),O2482,IF($O2482=0,0,SUMIFS(Disbursements!$W:$W,Disbursements!$B:$B,'Live Collections'!D2068,Disbursements!$D:$D,'Live Collections'!F2068)))</f>
        <v>0</v>
      </c>
      <c r="T2482" s="304">
        <f t="shared" si="117"/>
        <v>500000</v>
      </c>
      <c r="U2482" s="52"/>
      <c r="V2482" s="34"/>
      <c r="W2482" s="408"/>
    </row>
    <row r="2483" spans="1:23" ht="12.75" customHeight="1" x14ac:dyDescent="0.2">
      <c r="A2483" s="257">
        <v>2468</v>
      </c>
      <c r="B2483" s="44">
        <v>44564</v>
      </c>
      <c r="C2483" s="44">
        <f t="shared" si="116"/>
        <v>44564</v>
      </c>
      <c r="D2483" s="374">
        <v>168</v>
      </c>
      <c r="E2483" s="291" t="str">
        <f>IFERROR(VLOOKUP($D2483,'Clients-Live'!$A:$C,3,0),"")</f>
        <v>ALORO FREDERICK</v>
      </c>
      <c r="F2483" s="291">
        <f>IFERROR(INDEX(Disbursements!$D:$D,MATCH('Live Collections'!G2483,Disbursements!$C:$C,0)),"")</f>
        <v>1</v>
      </c>
      <c r="G2483" s="34">
        <v>159</v>
      </c>
      <c r="H2483" s="34">
        <v>4077</v>
      </c>
      <c r="I2483" s="34" t="s">
        <v>1357</v>
      </c>
      <c r="J2483" s="48"/>
      <c r="K2483" s="48"/>
      <c r="L2483" s="48"/>
      <c r="M2483" s="48"/>
      <c r="N2483" s="59"/>
      <c r="O2483" s="59">
        <v>750000</v>
      </c>
      <c r="P2483" s="59"/>
      <c r="Q2483" s="268">
        <f t="shared" si="118"/>
        <v>750000</v>
      </c>
      <c r="R2483" s="61">
        <f>IF(O2483=0,0,SUMIFS(Disbursements!$T:$T,Disbursements!$B:$B,'Live Collections'!D2483,Disbursements!$D:$D,'Live Collections'!F2483))</f>
        <v>1250000</v>
      </c>
      <c r="S2483" s="304">
        <f>IF(O2483&lt;=IF($O2483=0,0,SUMIFS(Disbursements!$W:$W,Disbursements!$B:$B,'Live Collections'!D2069,Disbursements!$D:$D,'Live Collections'!F2069)),O2483,IF($O2483=0,0,SUMIFS(Disbursements!$W:$W,Disbursements!$B:$B,'Live Collections'!D2069,Disbursements!$D:$D,'Live Collections'!F2069)))</f>
        <v>0</v>
      </c>
      <c r="T2483" s="304">
        <f t="shared" si="117"/>
        <v>750000</v>
      </c>
      <c r="U2483" s="52"/>
      <c r="V2483" s="34"/>
      <c r="W2483" s="408"/>
    </row>
    <row r="2484" spans="1:23" ht="12.75" customHeight="1" x14ac:dyDescent="0.2">
      <c r="A2484" s="257">
        <v>2488</v>
      </c>
      <c r="B2484" s="44">
        <v>44564</v>
      </c>
      <c r="C2484" s="44">
        <f t="shared" si="116"/>
        <v>44564</v>
      </c>
      <c r="D2484" s="374">
        <v>169</v>
      </c>
      <c r="E2484" s="291" t="str">
        <f>IFERROR(VLOOKUP($D2484,'Clients-Live'!$A:$C,3,0),"")</f>
        <v>KATO KENNEDY</v>
      </c>
      <c r="F2484" s="291">
        <f>IFERROR(INDEX(Disbursements!$D:$D,MATCH('Live Collections'!G2484,Disbursements!$C:$C,0)),"")</f>
        <v>1</v>
      </c>
      <c r="G2484" s="34">
        <v>176</v>
      </c>
      <c r="H2484" s="34">
        <v>4145</v>
      </c>
      <c r="I2484" s="34" t="s">
        <v>1357</v>
      </c>
      <c r="J2484" s="48"/>
      <c r="K2484" s="48">
        <v>5000</v>
      </c>
      <c r="L2484" s="48"/>
      <c r="M2484" s="48"/>
      <c r="N2484" s="59"/>
      <c r="O2484" s="59"/>
      <c r="P2484" s="59"/>
      <c r="Q2484" s="268">
        <f t="shared" si="118"/>
        <v>5000</v>
      </c>
      <c r="R2484" s="61">
        <f>IF(O2484=0,0,SUMIFS(Disbursements!$T:$T,Disbursements!$B:$B,'Live Collections'!D2484,Disbursements!$D:$D,'Live Collections'!F2484))</f>
        <v>0</v>
      </c>
      <c r="S2484" s="304">
        <f>IF(O2484&lt;=IF($O2484=0,0,SUMIFS(Disbursements!$W:$W,Disbursements!$B:$B,'Live Collections'!D2100,Disbursements!$D:$D,'Live Collections'!F2100)),O2484,IF($O2484=0,0,SUMIFS(Disbursements!$W:$W,Disbursements!$B:$B,'Live Collections'!D2100,Disbursements!$D:$D,'Live Collections'!F2100)))</f>
        <v>0</v>
      </c>
      <c r="T2484" s="304">
        <f t="shared" si="117"/>
        <v>0</v>
      </c>
      <c r="U2484" s="52"/>
      <c r="V2484" s="34"/>
      <c r="W2484" s="408"/>
    </row>
    <row r="2485" spans="1:23" ht="12.75" customHeight="1" x14ac:dyDescent="0.2">
      <c r="A2485" s="257">
        <v>2489</v>
      </c>
      <c r="B2485" s="44">
        <v>44564</v>
      </c>
      <c r="C2485" s="44">
        <f t="shared" si="116"/>
        <v>44564</v>
      </c>
      <c r="D2485" s="374">
        <v>169</v>
      </c>
      <c r="E2485" s="291" t="str">
        <f>IFERROR(VLOOKUP($D2485,'Clients-Live'!$A:$C,3,0),"")</f>
        <v>KATO KENNEDY</v>
      </c>
      <c r="F2485" s="291">
        <f>IFERROR(INDEX(Disbursements!$D:$D,MATCH('Live Collections'!G2485,Disbursements!$C:$C,0)),"")</f>
        <v>1</v>
      </c>
      <c r="G2485" s="34">
        <v>176</v>
      </c>
      <c r="H2485" s="34">
        <v>4144</v>
      </c>
      <c r="I2485" s="34" t="s">
        <v>1357</v>
      </c>
      <c r="J2485" s="48"/>
      <c r="K2485" s="48"/>
      <c r="L2485" s="48">
        <v>20000</v>
      </c>
      <c r="M2485" s="48">
        <v>5000</v>
      </c>
      <c r="N2485" s="59"/>
      <c r="O2485" s="59"/>
      <c r="P2485" s="59"/>
      <c r="Q2485" s="268">
        <f t="shared" si="118"/>
        <v>25000</v>
      </c>
      <c r="R2485" s="61">
        <f>IF(O2485=0,0,SUMIFS(Disbursements!$T:$T,Disbursements!$B:$B,'Live Collections'!D2485,Disbursements!$D:$D,'Live Collections'!F2485))</f>
        <v>0</v>
      </c>
      <c r="S2485" s="304">
        <f>IF(O2485&lt;=IF($O2485=0,0,SUMIFS(Disbursements!$W:$W,Disbursements!$B:$B,'Live Collections'!D2101,Disbursements!$D:$D,'Live Collections'!F2101)),O2485,IF($O2485=0,0,SUMIFS(Disbursements!$W:$W,Disbursements!$B:$B,'Live Collections'!D2101,Disbursements!$D:$D,'Live Collections'!F2101)))</f>
        <v>0</v>
      </c>
      <c r="T2485" s="304">
        <f t="shared" si="117"/>
        <v>0</v>
      </c>
      <c r="U2485" s="52"/>
      <c r="V2485" s="34"/>
      <c r="W2485" s="408"/>
    </row>
    <row r="2486" spans="1:23" ht="12.75" customHeight="1" x14ac:dyDescent="0.2">
      <c r="A2486" s="257">
        <v>2478</v>
      </c>
      <c r="B2486" s="44">
        <v>44564</v>
      </c>
      <c r="C2486" s="44">
        <f t="shared" si="116"/>
        <v>44564</v>
      </c>
      <c r="D2486" s="374">
        <v>176</v>
      </c>
      <c r="E2486" s="291" t="str">
        <f>IFERROR(VLOOKUP($D2486,'Clients-Live'!$A:$C,3,0),"")</f>
        <v>AJONYE JANE SINANDUGU</v>
      </c>
      <c r="F2486" s="291">
        <f>IFERROR(INDEX(Disbursements!$D:$D,MATCH('Live Collections'!G2486,Disbursements!$C:$C,0)),"")</f>
        <v>2</v>
      </c>
      <c r="G2486" s="34">
        <v>301</v>
      </c>
      <c r="H2486" s="34">
        <v>4073</v>
      </c>
      <c r="I2486" s="34" t="s">
        <v>1358</v>
      </c>
      <c r="J2486" s="48"/>
      <c r="K2486" s="48"/>
      <c r="L2486" s="48"/>
      <c r="M2486" s="48"/>
      <c r="N2486" s="59"/>
      <c r="O2486" s="59">
        <v>650000</v>
      </c>
      <c r="P2486" s="59"/>
      <c r="Q2486" s="268">
        <f t="shared" si="118"/>
        <v>650000</v>
      </c>
      <c r="R2486" s="61">
        <f>IF(O2486=0,0,SUMIFS(Disbursements!$T:$T,Disbursements!$B:$B,'Live Collections'!D2486,Disbursements!$D:$D,'Live Collections'!F2486))</f>
        <v>650000</v>
      </c>
      <c r="S2486" s="304">
        <f>IF(O2486&lt;=IF($O2486=0,0,SUMIFS(Disbursements!$W:$W,Disbursements!$B:$B,'Live Collections'!D2160,Disbursements!$D:$D,'Live Collections'!F2160)),O2486,IF($O2486=0,0,SUMIFS(Disbursements!$W:$W,Disbursements!$B:$B,'Live Collections'!D2160,Disbursements!$D:$D,'Live Collections'!F2160)))</f>
        <v>25666.666666666672</v>
      </c>
      <c r="T2486" s="304">
        <f t="shared" si="117"/>
        <v>624333.33333333337</v>
      </c>
      <c r="U2486" s="52"/>
      <c r="V2486" s="34"/>
      <c r="W2486" s="408"/>
    </row>
    <row r="2487" spans="1:23" ht="12.75" customHeight="1" x14ac:dyDescent="0.2">
      <c r="A2487" s="257">
        <v>2477</v>
      </c>
      <c r="B2487" s="44">
        <v>44564</v>
      </c>
      <c r="C2487" s="44">
        <f t="shared" si="116"/>
        <v>44564</v>
      </c>
      <c r="D2487" s="374">
        <v>177</v>
      </c>
      <c r="E2487" s="291" t="str">
        <f>IFERROR(VLOOKUP($D2487,'Clients-Live'!$A:$C,3,0),"")</f>
        <v>EFIT GIFT</v>
      </c>
      <c r="F2487" s="291">
        <f>IFERROR(INDEX(Disbursements!$D:$D,MATCH('Live Collections'!G2487,Disbursements!$C:$C,0)),"")</f>
        <v>1</v>
      </c>
      <c r="G2487" s="34">
        <v>183</v>
      </c>
      <c r="H2487" s="34">
        <v>4075</v>
      </c>
      <c r="I2487" s="34" t="s">
        <v>1358</v>
      </c>
      <c r="J2487" s="48"/>
      <c r="K2487" s="48"/>
      <c r="L2487" s="48"/>
      <c r="M2487" s="48"/>
      <c r="N2487" s="59"/>
      <c r="O2487" s="59">
        <v>85000</v>
      </c>
      <c r="P2487" s="59"/>
      <c r="Q2487" s="268">
        <f t="shared" si="118"/>
        <v>85000</v>
      </c>
      <c r="R2487" s="61">
        <f>IF(O2487=0,0,SUMIFS(Disbursements!$T:$T,Disbursements!$B:$B,'Live Collections'!D2487,Disbursements!$D:$D,'Live Collections'!F2487))</f>
        <v>109000</v>
      </c>
      <c r="S2487" s="304">
        <f>IF(O2487&lt;=IF($O2487=0,0,SUMIFS(Disbursements!$W:$W,Disbursements!$B:$B,'Live Collections'!D2179,Disbursements!$D:$D,'Live Collections'!F2179)),O2487,IF($O2487=0,0,SUMIFS(Disbursements!$W:$W,Disbursements!$B:$B,'Live Collections'!D2179,Disbursements!$D:$D,'Live Collections'!F2179)))</f>
        <v>0</v>
      </c>
      <c r="T2487" s="304">
        <f t="shared" si="117"/>
        <v>85000</v>
      </c>
      <c r="U2487" s="52"/>
      <c r="V2487" s="34"/>
      <c r="W2487" s="408"/>
    </row>
    <row r="2488" spans="1:23" ht="12.75" customHeight="1" x14ac:dyDescent="0.2">
      <c r="A2488" s="257">
        <v>2469</v>
      </c>
      <c r="B2488" s="44">
        <v>44564</v>
      </c>
      <c r="C2488" s="44">
        <f t="shared" si="116"/>
        <v>44564</v>
      </c>
      <c r="D2488" s="374">
        <v>182</v>
      </c>
      <c r="E2488" s="291" t="str">
        <f>IFERROR(VLOOKUP($D2488,'Clients-Live'!$A:$C,3,0),"")</f>
        <v>ANITE ZAM</v>
      </c>
      <c r="F2488" s="291">
        <f>IFERROR(INDEX(Disbursements!$D:$D,MATCH('Live Collections'!G2488,Disbursements!$C:$C,0)),"")</f>
        <v>1</v>
      </c>
      <c r="G2488" s="34">
        <v>175</v>
      </c>
      <c r="H2488" s="34">
        <v>1288</v>
      </c>
      <c r="I2488" s="34" t="s">
        <v>1358</v>
      </c>
      <c r="J2488" s="48"/>
      <c r="K2488" s="48"/>
      <c r="L2488" s="48"/>
      <c r="M2488" s="48"/>
      <c r="N2488" s="59"/>
      <c r="O2488" s="59"/>
      <c r="P2488" s="59">
        <v>-30000</v>
      </c>
      <c r="Q2488" s="268">
        <f t="shared" si="118"/>
        <v>-30000</v>
      </c>
      <c r="R2488" s="61">
        <f>IF(O2488=0,0,SUMIFS(Disbursements!$T:$T,Disbursements!$B:$B,'Live Collections'!D2488,Disbursements!$D:$D,'Live Collections'!F2488))</f>
        <v>0</v>
      </c>
      <c r="S2488" s="304">
        <f>IF(O2488&lt;=IF($O2488=0,0,SUMIFS(Disbursements!$W:$W,Disbursements!$B:$B,'Live Collections'!D2226,Disbursements!$D:$D,'Live Collections'!F2226)),O2488,IF($O2488=0,0,SUMIFS(Disbursements!$W:$W,Disbursements!$B:$B,'Live Collections'!D2226,Disbursements!$D:$D,'Live Collections'!F2226)))</f>
        <v>0</v>
      </c>
      <c r="T2488" s="304">
        <f t="shared" si="117"/>
        <v>0</v>
      </c>
      <c r="U2488" s="52"/>
      <c r="V2488" s="34"/>
      <c r="W2488" s="408" t="s">
        <v>1949</v>
      </c>
    </row>
    <row r="2489" spans="1:23" ht="12.75" customHeight="1" x14ac:dyDescent="0.2">
      <c r="A2489" s="257">
        <v>2470</v>
      </c>
      <c r="B2489" s="44">
        <v>44564</v>
      </c>
      <c r="C2489" s="44">
        <f t="shared" si="116"/>
        <v>44564</v>
      </c>
      <c r="D2489" s="374">
        <v>182</v>
      </c>
      <c r="E2489" s="291" t="str">
        <f>IFERROR(VLOOKUP($D2489,'Clients-Live'!$A:$C,3,0),"")</f>
        <v>ANITE ZAM</v>
      </c>
      <c r="F2489" s="291">
        <f>IFERROR(INDEX(Disbursements!$D:$D,MATCH('Live Collections'!G2489,Disbursements!$C:$C,0)),"")</f>
        <v>1</v>
      </c>
      <c r="G2489" s="34">
        <v>175</v>
      </c>
      <c r="H2489" s="34">
        <v>4074</v>
      </c>
      <c r="I2489" s="34" t="s">
        <v>1358</v>
      </c>
      <c r="J2489" s="48"/>
      <c r="K2489" s="48"/>
      <c r="L2489" s="48"/>
      <c r="M2489" s="48"/>
      <c r="N2489" s="59"/>
      <c r="O2489" s="59">
        <v>30000</v>
      </c>
      <c r="P2489" s="59"/>
      <c r="Q2489" s="268">
        <f t="shared" si="118"/>
        <v>30000</v>
      </c>
      <c r="R2489" s="61">
        <f>IF(O2489=0,0,SUMIFS(Disbursements!$T:$T,Disbursements!$B:$B,'Live Collections'!D2489,Disbursements!$D:$D,'Live Collections'!F2489))</f>
        <v>115000</v>
      </c>
      <c r="S2489" s="304"/>
      <c r="T2489" s="304">
        <f t="shared" si="117"/>
        <v>30000</v>
      </c>
      <c r="U2489" s="52"/>
      <c r="V2489" s="34"/>
      <c r="W2489" s="408"/>
    </row>
    <row r="2490" spans="1:23" ht="12.75" customHeight="1" x14ac:dyDescent="0.2">
      <c r="A2490" s="257">
        <v>2491</v>
      </c>
      <c r="B2490" s="44">
        <v>44564</v>
      </c>
      <c r="C2490" s="44">
        <f t="shared" si="116"/>
        <v>44564</v>
      </c>
      <c r="D2490" s="374">
        <v>182</v>
      </c>
      <c r="E2490" s="291" t="str">
        <f>IFERROR(VLOOKUP($D2490,'Clients-Live'!$A:$C,3,0),"")</f>
        <v>ANITE ZAM</v>
      </c>
      <c r="F2490" s="291">
        <f>IFERROR(INDEX(Disbursements!$D:$D,MATCH('Live Collections'!G2490,Disbursements!$C:$C,0)),"")</f>
        <v>1</v>
      </c>
      <c r="G2490" s="34">
        <v>175</v>
      </c>
      <c r="H2490" s="34">
        <v>4143</v>
      </c>
      <c r="I2490" s="34" t="s">
        <v>1358</v>
      </c>
      <c r="J2490" s="48"/>
      <c r="K2490" s="48"/>
      <c r="L2490" s="48"/>
      <c r="M2490" s="48"/>
      <c r="N2490" s="59"/>
      <c r="O2490" s="59">
        <v>10000</v>
      </c>
      <c r="P2490" s="59"/>
      <c r="Q2490" s="268">
        <f t="shared" si="118"/>
        <v>10000</v>
      </c>
      <c r="R2490" s="61">
        <f>IF(O2490=0,0,SUMIFS(Disbursements!$T:$T,Disbursements!$B:$B,'Live Collections'!D2490,Disbursements!$D:$D,'Live Collections'!F2490))</f>
        <v>115000</v>
      </c>
      <c r="S2490" s="304"/>
      <c r="T2490" s="304">
        <f t="shared" si="117"/>
        <v>10000</v>
      </c>
      <c r="U2490" s="52"/>
      <c r="V2490" s="34"/>
      <c r="W2490" s="408"/>
    </row>
    <row r="2491" spans="1:23" ht="12.75" customHeight="1" x14ac:dyDescent="0.2">
      <c r="A2491" s="257">
        <v>2471</v>
      </c>
      <c r="B2491" s="44">
        <v>44564</v>
      </c>
      <c r="C2491" s="44">
        <f t="shared" si="116"/>
        <v>44564</v>
      </c>
      <c r="D2491" s="374">
        <v>211</v>
      </c>
      <c r="E2491" s="291" t="str">
        <f>IFERROR(VLOOKUP($D2491,'Clients-Live'!$A:$C,3,0),"")</f>
        <v>WILARU JOYCE</v>
      </c>
      <c r="F2491" s="291">
        <f>IFERROR(INDEX(Disbursements!$D:$D,MATCH('Live Collections'!G2491,Disbursements!$C:$C,0)),"")</f>
        <v>1</v>
      </c>
      <c r="G2491" s="34">
        <v>211</v>
      </c>
      <c r="H2491" s="34">
        <v>1464</v>
      </c>
      <c r="I2491" s="34" t="s">
        <v>1358</v>
      </c>
      <c r="J2491" s="48"/>
      <c r="K2491" s="48"/>
      <c r="L2491" s="48"/>
      <c r="M2491" s="48"/>
      <c r="N2491" s="59"/>
      <c r="O2491" s="59"/>
      <c r="P2491" s="59">
        <v>-80000</v>
      </c>
      <c r="Q2491" s="268">
        <f t="shared" si="118"/>
        <v>-80000</v>
      </c>
      <c r="R2491" s="61">
        <f>IF(O2491=0,0,SUMIFS(Disbursements!$T:$T,Disbursements!$B:$B,'Live Collections'!D2491,Disbursements!$D:$D,'Live Collections'!F2491))</f>
        <v>0</v>
      </c>
      <c r="S2491" s="304">
        <f>IF(O2491&lt;=IF($O2491=0,0,SUMIFS(Disbursements!$W:$W,Disbursements!$B:$B,'Live Collections'!D2489,Disbursements!$D:$D,'Live Collections'!F2489)),O2491,IF($O2491=0,0,SUMIFS(Disbursements!$W:$W,Disbursements!$B:$B,'Live Collections'!D2489,Disbursements!$D:$D,'Live Collections'!F2489)))</f>
        <v>0</v>
      </c>
      <c r="T2491" s="304">
        <f t="shared" si="117"/>
        <v>0</v>
      </c>
      <c r="U2491" s="52"/>
      <c r="V2491" s="34"/>
      <c r="W2491" s="408" t="s">
        <v>1950</v>
      </c>
    </row>
    <row r="2492" spans="1:23" ht="12.75" customHeight="1" x14ac:dyDescent="0.2">
      <c r="A2492" s="257">
        <v>2472</v>
      </c>
      <c r="B2492" s="44">
        <v>44564</v>
      </c>
      <c r="C2492" s="44">
        <f t="shared" si="116"/>
        <v>44564</v>
      </c>
      <c r="D2492" s="374">
        <v>211</v>
      </c>
      <c r="E2492" s="291" t="str">
        <f>IFERROR(VLOOKUP($D2492,'Clients-Live'!$A:$C,3,0),"")</f>
        <v>WILARU JOYCE</v>
      </c>
      <c r="F2492" s="291">
        <f>IFERROR(INDEX(Disbursements!$D:$D,MATCH('Live Collections'!G2492,Disbursements!$C:$C,0)),"")</f>
        <v>1</v>
      </c>
      <c r="G2492" s="34">
        <v>211</v>
      </c>
      <c r="H2492" s="34">
        <v>4067</v>
      </c>
      <c r="I2492" s="34" t="s">
        <v>1358</v>
      </c>
      <c r="J2492" s="48"/>
      <c r="K2492" s="48"/>
      <c r="L2492" s="48"/>
      <c r="M2492" s="48"/>
      <c r="N2492" s="59"/>
      <c r="O2492" s="59">
        <v>80000</v>
      </c>
      <c r="P2492" s="59"/>
      <c r="Q2492" s="268">
        <f t="shared" si="118"/>
        <v>80000</v>
      </c>
      <c r="R2492" s="61">
        <f>IF(O2492=0,0,SUMIFS(Disbursements!$T:$T,Disbursements!$B:$B,'Live Collections'!D2492,Disbursements!$D:$D,'Live Collections'!F2492))</f>
        <v>200000</v>
      </c>
      <c r="S2492" s="304"/>
      <c r="T2492" s="304">
        <f t="shared" si="117"/>
        <v>80000</v>
      </c>
      <c r="U2492" s="52"/>
      <c r="V2492" s="34"/>
      <c r="W2492" s="408"/>
    </row>
    <row r="2493" spans="1:23" ht="12.75" customHeight="1" x14ac:dyDescent="0.2">
      <c r="A2493" s="257">
        <v>2484</v>
      </c>
      <c r="B2493" s="44">
        <v>44564</v>
      </c>
      <c r="C2493" s="44">
        <f t="shared" ref="C2493:C2556" si="119">B2493</f>
        <v>44564</v>
      </c>
      <c r="D2493" s="374">
        <v>211</v>
      </c>
      <c r="E2493" s="291" t="str">
        <f>IFERROR(VLOOKUP($D2493,'Clients-Live'!$A:$C,3,0),"")</f>
        <v>WILARU JOYCE</v>
      </c>
      <c r="F2493" s="291">
        <f>IFERROR(INDEX(Disbursements!$D:$D,MATCH('Live Collections'!G2493,Disbursements!$C:$C,0)),"")</f>
        <v>1</v>
      </c>
      <c r="G2493" s="34">
        <v>211</v>
      </c>
      <c r="H2493" s="34">
        <v>4070</v>
      </c>
      <c r="I2493" s="34" t="s">
        <v>1358</v>
      </c>
      <c r="J2493" s="48"/>
      <c r="K2493" s="48"/>
      <c r="L2493" s="48">
        <v>20000</v>
      </c>
      <c r="M2493" s="48">
        <v>5000</v>
      </c>
      <c r="N2493" s="59"/>
      <c r="O2493" s="59"/>
      <c r="P2493" s="59"/>
      <c r="Q2493" s="268">
        <f t="shared" si="118"/>
        <v>25000</v>
      </c>
      <c r="R2493" s="61">
        <f>IF(O2493=0,0,SUMIFS(Disbursements!$T:$T,Disbursements!$B:$B,'Live Collections'!D2493,Disbursements!$D:$D,'Live Collections'!F2493))</f>
        <v>0</v>
      </c>
      <c r="S2493" s="304">
        <f>IF(O2493&lt;=IF($O2493=0,0,SUMIFS(Disbursements!$W:$W,Disbursements!$B:$B,'Live Collections'!D2491,Disbursements!$D:$D,'Live Collections'!F2491)),O2493,IF($O2493=0,0,SUMIFS(Disbursements!$W:$W,Disbursements!$B:$B,'Live Collections'!D2491,Disbursements!$D:$D,'Live Collections'!F2491)))</f>
        <v>0</v>
      </c>
      <c r="T2493" s="304">
        <f t="shared" ref="T2493:T2556" si="120">IF(O2493=0,0,O2493-S2493)</f>
        <v>0</v>
      </c>
      <c r="U2493" s="52"/>
      <c r="V2493" s="34"/>
      <c r="W2493" s="408"/>
    </row>
    <row r="2494" spans="1:23" ht="12.75" customHeight="1" x14ac:dyDescent="0.2">
      <c r="A2494" s="257">
        <v>2485</v>
      </c>
      <c r="B2494" s="44">
        <v>44564</v>
      </c>
      <c r="C2494" s="44">
        <f t="shared" si="119"/>
        <v>44564</v>
      </c>
      <c r="D2494" s="374">
        <v>211</v>
      </c>
      <c r="E2494" s="291" t="str">
        <f>IFERROR(VLOOKUP($D2494,'Clients-Live'!$A:$C,3,0),"")</f>
        <v>WILARU JOYCE</v>
      </c>
      <c r="F2494" s="291">
        <f>IFERROR(INDEX(Disbursements!$D:$D,MATCH('Live Collections'!G2494,Disbursements!$C:$C,0)),"")</f>
        <v>1</v>
      </c>
      <c r="G2494" s="34">
        <v>211</v>
      </c>
      <c r="H2494" s="34">
        <v>4066</v>
      </c>
      <c r="I2494" s="34" t="s">
        <v>1358</v>
      </c>
      <c r="J2494" s="48"/>
      <c r="K2494" s="48"/>
      <c r="L2494" s="48"/>
      <c r="M2494" s="48"/>
      <c r="N2494" s="59"/>
      <c r="O2494" s="59">
        <v>320000</v>
      </c>
      <c r="P2494" s="59"/>
      <c r="Q2494" s="268">
        <f t="shared" si="118"/>
        <v>320000</v>
      </c>
      <c r="R2494" s="61">
        <f>IF(O2494=0,0,SUMIFS(Disbursements!$T:$T,Disbursements!$B:$B,'Live Collections'!D2494,Disbursements!$D:$D,'Live Collections'!F2494))</f>
        <v>200000</v>
      </c>
      <c r="S2494" s="304"/>
      <c r="T2494" s="304">
        <f t="shared" si="120"/>
        <v>320000</v>
      </c>
      <c r="U2494" s="52"/>
      <c r="V2494" s="34"/>
      <c r="W2494" s="408"/>
    </row>
    <row r="2495" spans="1:23" ht="12.75" customHeight="1" x14ac:dyDescent="0.2">
      <c r="A2495" s="257">
        <v>2494</v>
      </c>
      <c r="B2495" s="44">
        <v>44564</v>
      </c>
      <c r="C2495" s="44">
        <f t="shared" si="119"/>
        <v>44564</v>
      </c>
      <c r="D2495" s="374">
        <v>234</v>
      </c>
      <c r="E2495" s="291" t="str">
        <f>IFERROR(VLOOKUP($D2495,'Clients-Live'!$A:$C,3,0),"")</f>
        <v>SUDI YASIR</v>
      </c>
      <c r="F2495" s="291">
        <f>IFERROR(INDEX(Disbursements!$D:$D,MATCH('Live Collections'!G2495,Disbursements!$C:$C,0)),"")</f>
        <v>1</v>
      </c>
      <c r="G2495" s="34">
        <v>276</v>
      </c>
      <c r="H2495" s="34">
        <v>4141</v>
      </c>
      <c r="I2495" s="34" t="s">
        <v>1358</v>
      </c>
      <c r="J2495" s="48"/>
      <c r="K2495" s="48"/>
      <c r="L2495" s="48"/>
      <c r="M2495" s="48"/>
      <c r="N2495" s="59"/>
      <c r="O2495" s="59">
        <v>460000</v>
      </c>
      <c r="P2495" s="59"/>
      <c r="Q2495" s="268">
        <f t="shared" si="118"/>
        <v>460000</v>
      </c>
      <c r="R2495" s="61">
        <f>IF(O2495=0,0,SUMIFS(Disbursements!$T:$T,Disbursements!$B:$B,'Live Collections'!D2495,Disbursements!$D:$D,'Live Collections'!F2495))</f>
        <v>384000</v>
      </c>
      <c r="S2495" s="64">
        <v>42000.000000000058</v>
      </c>
      <c r="T2495" s="304">
        <f t="shared" si="120"/>
        <v>417999.99999999994</v>
      </c>
      <c r="U2495" s="52"/>
      <c r="V2495" s="34"/>
      <c r="W2495" s="408"/>
    </row>
    <row r="2496" spans="1:23" ht="12.75" customHeight="1" x14ac:dyDescent="0.2">
      <c r="A2496" s="257">
        <v>2495</v>
      </c>
      <c r="B2496" s="44">
        <v>44564</v>
      </c>
      <c r="C2496" s="44">
        <f t="shared" si="119"/>
        <v>44564</v>
      </c>
      <c r="D2496" s="374">
        <v>246</v>
      </c>
      <c r="E2496" s="291" t="str">
        <f>IFERROR(VLOOKUP($D2496,'Clients-Live'!$A:$C,3,0),"")</f>
        <v>ALOMO ZAIDA</v>
      </c>
      <c r="F2496" s="291">
        <f>IFERROR(INDEX(Disbursements!$D:$D,MATCH('Live Collections'!G2496,Disbursements!$C:$C,0)),"")</f>
        <v>1</v>
      </c>
      <c r="G2496" s="34">
        <v>271</v>
      </c>
      <c r="H2496" s="34">
        <v>4139</v>
      </c>
      <c r="I2496" s="34" t="s">
        <v>1357</v>
      </c>
      <c r="J2496" s="48"/>
      <c r="K2496" s="48"/>
      <c r="L2496" s="48"/>
      <c r="M2496" s="48"/>
      <c r="N2496" s="59"/>
      <c r="O2496" s="59">
        <v>60000</v>
      </c>
      <c r="P2496" s="59"/>
      <c r="Q2496" s="268">
        <f t="shared" si="118"/>
        <v>60000</v>
      </c>
      <c r="R2496" s="61">
        <f>IF(O2496=0,0,SUMIFS(Disbursements!$T:$T,Disbursements!$B:$B,'Live Collections'!D2496,Disbursements!$D:$D,'Live Collections'!F2496))</f>
        <v>120000</v>
      </c>
      <c r="S2496" s="304"/>
      <c r="T2496" s="304">
        <f t="shared" si="120"/>
        <v>60000</v>
      </c>
      <c r="U2496" s="52"/>
      <c r="V2496" s="34"/>
      <c r="W2496" s="408"/>
    </row>
    <row r="2497" spans="1:23" ht="12.75" customHeight="1" x14ac:dyDescent="0.2">
      <c r="A2497" s="257">
        <v>2487</v>
      </c>
      <c r="B2497" s="44">
        <v>44564</v>
      </c>
      <c r="C2497" s="44">
        <f t="shared" si="119"/>
        <v>44564</v>
      </c>
      <c r="D2497" s="374">
        <v>251</v>
      </c>
      <c r="E2497" s="291" t="str">
        <f>IFERROR(VLOOKUP($D2497,'Clients-Live'!$A:$C,3,0),"")</f>
        <v>SIDA ZAINABU</v>
      </c>
      <c r="F2497" s="291">
        <f>IFERROR(INDEX(Disbursements!$D:$D,MATCH('Live Collections'!G2497,Disbursements!$C:$C,0)),"")</f>
        <v>1</v>
      </c>
      <c r="G2497" s="34">
        <v>306</v>
      </c>
      <c r="H2497" s="34">
        <v>4065</v>
      </c>
      <c r="I2497" s="34" t="s">
        <v>1359</v>
      </c>
      <c r="J2497" s="48"/>
      <c r="K2497" s="48"/>
      <c r="L2497" s="48"/>
      <c r="M2497" s="48"/>
      <c r="N2497" s="59"/>
      <c r="O2497" s="59">
        <v>60000</v>
      </c>
      <c r="P2497" s="59"/>
      <c r="Q2497" s="268">
        <f t="shared" si="118"/>
        <v>60000</v>
      </c>
      <c r="R2497" s="61">
        <f>IF(O2497=0,0,SUMIFS(Disbursements!$T:$T,Disbursements!$B:$B,'Live Collections'!D2497,Disbursements!$D:$D,'Live Collections'!F2497))</f>
        <v>220000</v>
      </c>
      <c r="S2497" s="304"/>
      <c r="T2497" s="304">
        <f t="shared" si="120"/>
        <v>60000</v>
      </c>
      <c r="U2497" s="52"/>
      <c r="V2497" s="34"/>
      <c r="W2497" s="408"/>
    </row>
    <row r="2498" spans="1:23" ht="12.75" customHeight="1" x14ac:dyDescent="0.2">
      <c r="A2498" s="257">
        <v>2480</v>
      </c>
      <c r="B2498" s="44">
        <v>44564</v>
      </c>
      <c r="C2498" s="44">
        <f t="shared" si="119"/>
        <v>44564</v>
      </c>
      <c r="D2498" s="374">
        <v>307</v>
      </c>
      <c r="E2498" s="291" t="str">
        <f>IFERROR(VLOOKUP($D2498,'Clients-Live'!$A:$C,3,0),"")</f>
        <v>OBOTE EMMANUEL</v>
      </c>
      <c r="F2498" s="291" t="str">
        <f>IFERROR(INDEX(Disbursements!$D:$D,MATCH('Live Collections'!G2498,Disbursements!$C:$C,0)),"")</f>
        <v/>
      </c>
      <c r="G2498" s="34"/>
      <c r="H2498" s="34">
        <v>4071</v>
      </c>
      <c r="I2498" s="34" t="s">
        <v>1358</v>
      </c>
      <c r="J2498" s="48"/>
      <c r="K2498" s="48"/>
      <c r="L2498" s="48">
        <v>20000</v>
      </c>
      <c r="M2498" s="48">
        <v>5000</v>
      </c>
      <c r="N2498" s="59"/>
      <c r="O2498" s="59"/>
      <c r="P2498" s="59"/>
      <c r="Q2498" s="268">
        <f t="shared" si="118"/>
        <v>25000</v>
      </c>
      <c r="R2498" s="61">
        <f>IF(O2498=0,0,SUMIFS(Disbursements!$T:$T,Disbursements!$B:$B,'Live Collections'!D2498,Disbursements!$D:$D,'Live Collections'!F2498))</f>
        <v>0</v>
      </c>
      <c r="S2498" s="304">
        <f>IF(O2498&lt;=IF($O2498=0,0,SUMIFS(Disbursements!$W:$W,Disbursements!$B:$B,'Live Collections'!D3105,Disbursements!$D:$D,'Live Collections'!F3105)),O2498,IF($O2498=0,0,SUMIFS(Disbursements!$W:$W,Disbursements!$B:$B,'Live Collections'!D3105,Disbursements!$D:$D,'Live Collections'!F3105)))</f>
        <v>0</v>
      </c>
      <c r="T2498" s="304">
        <f t="shared" si="120"/>
        <v>0</v>
      </c>
      <c r="U2498" s="52"/>
      <c r="V2498" s="34"/>
      <c r="W2498" s="408"/>
    </row>
    <row r="2499" spans="1:23" ht="12.75" customHeight="1" x14ac:dyDescent="0.2">
      <c r="A2499" s="257">
        <v>2481</v>
      </c>
      <c r="B2499" s="44">
        <v>44564</v>
      </c>
      <c r="C2499" s="44">
        <f t="shared" si="119"/>
        <v>44564</v>
      </c>
      <c r="D2499" s="374">
        <v>307</v>
      </c>
      <c r="E2499" s="291" t="str">
        <f>IFERROR(VLOOKUP($D2499,'Clients-Live'!$A:$C,3,0),"")</f>
        <v>OBOTE EMMANUEL</v>
      </c>
      <c r="F2499" s="291" t="str">
        <f>IFERROR(INDEX(Disbursements!$D:$D,MATCH('Live Collections'!G2499,Disbursements!$C:$C,0)),"")</f>
        <v/>
      </c>
      <c r="G2499" s="34"/>
      <c r="H2499" s="34">
        <v>4071</v>
      </c>
      <c r="I2499" s="34" t="s">
        <v>1357</v>
      </c>
      <c r="J2499" s="48">
        <v>15000</v>
      </c>
      <c r="K2499" s="48">
        <v>5000</v>
      </c>
      <c r="L2499" s="48"/>
      <c r="M2499" s="48"/>
      <c r="N2499" s="59"/>
      <c r="O2499" s="59"/>
      <c r="P2499" s="59"/>
      <c r="Q2499" s="268">
        <f t="shared" si="118"/>
        <v>20000</v>
      </c>
      <c r="R2499" s="61">
        <f>IF(O2499=0,0,SUMIFS(Disbursements!$T:$T,Disbursements!$B:$B,'Live Collections'!D2499,Disbursements!$D:$D,'Live Collections'!F2499))</f>
        <v>0</v>
      </c>
      <c r="S2499" s="304">
        <f>IF(O2499&lt;=IF($O2499=0,0,SUMIFS(Disbursements!$W:$W,Disbursements!$B:$B,'Live Collections'!D3106,Disbursements!$D:$D,'Live Collections'!F3106)),O2499,IF($O2499=0,0,SUMIFS(Disbursements!$W:$W,Disbursements!$B:$B,'Live Collections'!D3106,Disbursements!$D:$D,'Live Collections'!F3106)))</f>
        <v>0</v>
      </c>
      <c r="T2499" s="304">
        <f t="shared" si="120"/>
        <v>0</v>
      </c>
      <c r="U2499" s="52"/>
      <c r="V2499" s="34"/>
      <c r="W2499" s="408"/>
    </row>
    <row r="2500" spans="1:23" ht="12.75" customHeight="1" x14ac:dyDescent="0.2">
      <c r="A2500" s="257">
        <v>2510</v>
      </c>
      <c r="B2500" s="44">
        <v>44565</v>
      </c>
      <c r="C2500" s="44">
        <f t="shared" si="119"/>
        <v>44565</v>
      </c>
      <c r="D2500" s="374">
        <v>3</v>
      </c>
      <c r="E2500" s="291" t="str">
        <f>IFERROR(VLOOKUP($D2500,'Clients-Live'!$A:$C,3,0),"")</f>
        <v>YEKA ARIJABU</v>
      </c>
      <c r="F2500" s="291">
        <f>IFERROR(INDEX(Disbursements!$D:$D,MATCH('Live Collections'!G2500,Disbursements!$C:$C,0)),"")</f>
        <v>1</v>
      </c>
      <c r="G2500" s="34">
        <v>227</v>
      </c>
      <c r="H2500" s="34">
        <v>4088</v>
      </c>
      <c r="I2500" s="34" t="s">
        <v>1357</v>
      </c>
      <c r="J2500" s="48"/>
      <c r="K2500" s="48"/>
      <c r="L2500" s="48"/>
      <c r="M2500" s="48"/>
      <c r="N2500" s="59"/>
      <c r="O2500" s="59">
        <v>145000</v>
      </c>
      <c r="P2500" s="59"/>
      <c r="Q2500" s="268">
        <f t="shared" si="118"/>
        <v>145000</v>
      </c>
      <c r="R2500" s="61">
        <f>IF(O2500=0,0,SUMIFS(Disbursements!$T:$T,Disbursements!$B:$B,'Live Collections'!D2500,Disbursements!$D:$D,'Live Collections'!F2500))</f>
        <v>325000</v>
      </c>
      <c r="S2500" s="304">
        <f>IF(O2500&lt;=IF($O2500=0,0,SUMIFS(Disbursements!$W:$W,Disbursements!$B:$B,'Live Collections'!D1130,Disbursements!$D:$D,'Live Collections'!F1130)),O2500,IF($O2500=0,0,SUMIFS(Disbursements!$W:$W,Disbursements!$B:$B,'Live Collections'!D1130,Disbursements!$D:$D,'Live Collections'!F1130)))</f>
        <v>30000</v>
      </c>
      <c r="T2500" s="304">
        <f t="shared" si="120"/>
        <v>115000</v>
      </c>
      <c r="U2500" s="52"/>
      <c r="V2500" s="34"/>
      <c r="W2500" s="408"/>
    </row>
    <row r="2501" spans="1:23" ht="12.75" customHeight="1" x14ac:dyDescent="0.2">
      <c r="A2501" s="257">
        <v>2505</v>
      </c>
      <c r="B2501" s="44">
        <v>44565</v>
      </c>
      <c r="C2501" s="44">
        <f t="shared" si="119"/>
        <v>44565</v>
      </c>
      <c r="D2501" s="374">
        <v>20</v>
      </c>
      <c r="E2501" s="291" t="str">
        <f>IFERROR(VLOOKUP($D2501,'Clients-Live'!$A:$C,3,0),"")</f>
        <v>ANDEZO KEVIN</v>
      </c>
      <c r="F2501" s="291">
        <f>IFERROR(INDEX(Disbursements!$D:$D,MATCH('Live Collections'!G2501,Disbursements!$C:$C,0)),"")</f>
        <v>2</v>
      </c>
      <c r="G2501" s="34">
        <v>194</v>
      </c>
      <c r="H2501" s="34">
        <v>4092</v>
      </c>
      <c r="I2501" s="34" t="s">
        <v>1358</v>
      </c>
      <c r="J2501" s="48"/>
      <c r="K2501" s="48"/>
      <c r="L2501" s="48"/>
      <c r="M2501" s="48"/>
      <c r="N2501" s="59"/>
      <c r="O2501" s="59">
        <v>150000</v>
      </c>
      <c r="P2501" s="59"/>
      <c r="Q2501" s="268">
        <f t="shared" si="118"/>
        <v>150000</v>
      </c>
      <c r="R2501" s="61">
        <f>IF(O2501=0,0,SUMIFS(Disbursements!$T:$T,Disbursements!$B:$B,'Live Collections'!D2501,Disbursements!$D:$D,'Live Collections'!F2501))</f>
        <v>200000</v>
      </c>
      <c r="S2501" s="304"/>
      <c r="T2501" s="304">
        <f t="shared" si="120"/>
        <v>150000</v>
      </c>
      <c r="U2501" s="52"/>
      <c r="V2501" s="34"/>
      <c r="W2501" s="408"/>
    </row>
    <row r="2502" spans="1:23" ht="12.75" customHeight="1" x14ac:dyDescent="0.2">
      <c r="A2502" s="257">
        <v>2512</v>
      </c>
      <c r="B2502" s="44">
        <v>44565</v>
      </c>
      <c r="C2502" s="44">
        <f t="shared" si="119"/>
        <v>44565</v>
      </c>
      <c r="D2502" s="374">
        <v>24</v>
      </c>
      <c r="E2502" s="291" t="str">
        <f>IFERROR(VLOOKUP($D2502,'Clients-Live'!$A:$C,3,0),"")</f>
        <v>VITA JEROME</v>
      </c>
      <c r="F2502" s="291" t="str">
        <f>IFERROR(INDEX(Disbursements!$D:$D,MATCH('Live Collections'!G2502,Disbursements!$C:$C,0)),"")</f>
        <v/>
      </c>
      <c r="G2502" s="34"/>
      <c r="H2502" s="34">
        <v>4201</v>
      </c>
      <c r="I2502" s="34" t="s">
        <v>1357</v>
      </c>
      <c r="J2502" s="48"/>
      <c r="K2502" s="48"/>
      <c r="L2502" s="48">
        <v>10000</v>
      </c>
      <c r="M2502" s="48"/>
      <c r="N2502" s="59"/>
      <c r="O2502" s="59"/>
      <c r="P2502" s="59"/>
      <c r="Q2502" s="268">
        <f t="shared" si="118"/>
        <v>10000</v>
      </c>
      <c r="R2502" s="61">
        <f>IF(O2502=0,0,SUMIFS(Disbursements!$T:$T,Disbursements!$B:$B,'Live Collections'!D2502,Disbursements!$D:$D,'Live Collections'!F2502))</f>
        <v>0</v>
      </c>
      <c r="S2502" s="304">
        <f>IF(O2502&lt;=IF($O2502=0,0,SUMIFS(Disbursements!$W:$W,Disbursements!$B:$B,'Live Collections'!D328,Disbursements!$D:$D,'Live Collections'!F328)),O2502,IF($O2502=0,0,SUMIFS(Disbursements!$W:$W,Disbursements!$B:$B,'Live Collections'!D328,Disbursements!$D:$D,'Live Collections'!F328)))</f>
        <v>0</v>
      </c>
      <c r="T2502" s="304">
        <f t="shared" si="120"/>
        <v>0</v>
      </c>
      <c r="U2502" s="52"/>
      <c r="V2502" s="34"/>
      <c r="W2502" s="408"/>
    </row>
    <row r="2503" spans="1:23" ht="12.75" customHeight="1" x14ac:dyDescent="0.2">
      <c r="A2503" s="257">
        <v>2520</v>
      </c>
      <c r="B2503" s="44">
        <v>44565</v>
      </c>
      <c r="C2503" s="44">
        <f t="shared" si="119"/>
        <v>44565</v>
      </c>
      <c r="D2503" s="374">
        <v>66</v>
      </c>
      <c r="E2503" s="291" t="str">
        <f>IFERROR(VLOOKUP($D2503,'Clients-Live'!$A:$C,3,0),"")</f>
        <v>DENAYA NYAMAZA</v>
      </c>
      <c r="F2503" s="291">
        <f>IFERROR(INDEX(Disbursements!$D:$D,MATCH('Live Collections'!G2503,Disbursements!$C:$C,0)),"")</f>
        <v>2</v>
      </c>
      <c r="G2503" s="34">
        <v>300</v>
      </c>
      <c r="H2503" s="34">
        <v>4082</v>
      </c>
      <c r="I2503" s="34" t="s">
        <v>1357</v>
      </c>
      <c r="J2503" s="48"/>
      <c r="K2503" s="48"/>
      <c r="L2503" s="48"/>
      <c r="M2503" s="48"/>
      <c r="N2503" s="59"/>
      <c r="O2503" s="59">
        <v>105000</v>
      </c>
      <c r="P2503" s="59"/>
      <c r="Q2503" s="268">
        <f t="shared" si="118"/>
        <v>105000</v>
      </c>
      <c r="R2503" s="61">
        <f>IF(O2503=0,0,SUMIFS(Disbursements!$T:$T,Disbursements!$B:$B,'Live Collections'!D2503,Disbursements!$D:$D,'Live Collections'!F2503))</f>
        <v>109000</v>
      </c>
      <c r="S2503" s="304">
        <f>IF(O2503&lt;=IF($O2503=0,0,SUMIFS(Disbursements!$W:$W,Disbursements!$B:$B,'Live Collections'!D819,Disbursements!$D:$D,'Live Collections'!F819)),O2503,IF($O2503=0,0,SUMIFS(Disbursements!$W:$W,Disbursements!$B:$B,'Live Collections'!D819,Disbursements!$D:$D,'Live Collections'!F819)))</f>
        <v>15000</v>
      </c>
      <c r="T2503" s="304">
        <f t="shared" si="120"/>
        <v>90000</v>
      </c>
      <c r="U2503" s="52"/>
      <c r="V2503" s="34"/>
      <c r="W2503" s="408"/>
    </row>
    <row r="2504" spans="1:23" ht="12.75" customHeight="1" x14ac:dyDescent="0.2">
      <c r="A2504" s="257">
        <v>2503</v>
      </c>
      <c r="B2504" s="44">
        <v>44565</v>
      </c>
      <c r="C2504" s="44">
        <f t="shared" si="119"/>
        <v>44565</v>
      </c>
      <c r="D2504" s="374">
        <v>124</v>
      </c>
      <c r="E2504" s="291" t="str">
        <f>IFERROR(VLOOKUP($D2504,'Clients-Live'!$A:$C,3,0),"")</f>
        <v>TIKO ZABIBU</v>
      </c>
      <c r="F2504" s="291">
        <f>IFERROR(INDEX(Disbursements!$D:$D,MATCH('Live Collections'!G2504,Disbursements!$C:$C,0)),"")</f>
        <v>2</v>
      </c>
      <c r="G2504" s="34">
        <v>335</v>
      </c>
      <c r="H2504" s="34">
        <v>4202</v>
      </c>
      <c r="I2504" s="34" t="s">
        <v>1358</v>
      </c>
      <c r="J2504" s="48"/>
      <c r="K2504" s="48"/>
      <c r="L2504" s="48"/>
      <c r="M2504" s="48"/>
      <c r="N2504" s="59"/>
      <c r="O2504" s="59">
        <v>60000</v>
      </c>
      <c r="P2504" s="59"/>
      <c r="Q2504" s="268">
        <f t="shared" si="118"/>
        <v>60000</v>
      </c>
      <c r="R2504" s="61">
        <f>IF(O2504=0,0,SUMIFS(Disbursements!$T:$T,Disbursements!$B:$B,'Live Collections'!D2504,Disbursements!$D:$D,'Live Collections'!F2504))</f>
        <v>200000</v>
      </c>
      <c r="S2504" s="304">
        <f>IF(O2504&lt;=IF($O2504=0,0,SUMIFS(Disbursements!$W:$W,Disbursements!$B:$B,'Live Collections'!D1582,Disbursements!$D:$D,'Live Collections'!F1582)),O2504,IF($O2504=0,0,SUMIFS(Disbursements!$W:$W,Disbursements!$B:$B,'Live Collections'!D1582,Disbursements!$D:$D,'Live Collections'!F1582)))</f>
        <v>0</v>
      </c>
      <c r="T2504" s="304">
        <f t="shared" si="120"/>
        <v>60000</v>
      </c>
      <c r="U2504" s="52"/>
      <c r="V2504" s="34"/>
      <c r="W2504" s="408"/>
    </row>
    <row r="2505" spans="1:23" ht="12.75" customHeight="1" x14ac:dyDescent="0.2">
      <c r="A2505" s="257">
        <v>2501</v>
      </c>
      <c r="B2505" s="44">
        <v>44565</v>
      </c>
      <c r="C2505" s="44">
        <f t="shared" si="119"/>
        <v>44565</v>
      </c>
      <c r="D2505" s="374">
        <v>141</v>
      </c>
      <c r="E2505" s="291" t="str">
        <f>IFERROR(VLOOKUP($D2505,'Clients-Live'!$A:$C,3,0),"")</f>
        <v>DRAMANI WILFRED</v>
      </c>
      <c r="F2505" s="291">
        <f>IFERROR(INDEX(Disbursements!$D:$D,MATCH('Live Collections'!G2505,Disbursements!$C:$C,0)),"")</f>
        <v>2</v>
      </c>
      <c r="G2505" s="34">
        <v>207</v>
      </c>
      <c r="H2505" s="34">
        <v>4206</v>
      </c>
      <c r="I2505" s="34" t="s">
        <v>1359</v>
      </c>
      <c r="J2505" s="48"/>
      <c r="K2505" s="48"/>
      <c r="L2505" s="48"/>
      <c r="M2505" s="48"/>
      <c r="N2505" s="59"/>
      <c r="O2505" s="59">
        <v>50000</v>
      </c>
      <c r="P2505" s="59"/>
      <c r="Q2505" s="268">
        <f t="shared" si="118"/>
        <v>50000</v>
      </c>
      <c r="R2505" s="61">
        <f>IF(O2505=0,0,SUMIFS(Disbursements!$T:$T,Disbursements!$B:$B,'Live Collections'!D2505,Disbursements!$D:$D,'Live Collections'!F2505))</f>
        <v>175000</v>
      </c>
      <c r="S2505" s="304">
        <f>IF(O2505&lt;=IF($O2505=0,0,SUMIFS(Disbursements!$W:$W,Disbursements!$B:$B,'Live Collections'!D3452,Disbursements!$D:$D,'Live Collections'!F3452)),O2505,IF($O2505=0,0,SUMIFS(Disbursements!$W:$W,Disbursements!$B:$B,'Live Collections'!D3452,Disbursements!$D:$D,'Live Collections'!F3452)))</f>
        <v>50000</v>
      </c>
      <c r="T2505" s="304">
        <f t="shared" si="120"/>
        <v>0</v>
      </c>
      <c r="U2505" s="52"/>
      <c r="V2505" s="34"/>
      <c r="W2505" s="408"/>
    </row>
    <row r="2506" spans="1:23" ht="12.75" customHeight="1" x14ac:dyDescent="0.2">
      <c r="A2506" s="257">
        <v>2506</v>
      </c>
      <c r="B2506" s="44">
        <v>44565</v>
      </c>
      <c r="C2506" s="44">
        <f t="shared" si="119"/>
        <v>44565</v>
      </c>
      <c r="D2506" s="374">
        <v>167</v>
      </c>
      <c r="E2506" s="291" t="str">
        <f>IFERROR(VLOOKUP($D2506,'Clients-Live'!$A:$C,3,0),"")</f>
        <v>DRICHA KADIJA</v>
      </c>
      <c r="F2506" s="291">
        <f>IFERROR(INDEX(Disbursements!$D:$D,MATCH('Live Collections'!G2506,Disbursements!$C:$C,0)),"")</f>
        <v>1</v>
      </c>
      <c r="G2506" s="34">
        <v>157</v>
      </c>
      <c r="H2506" s="34">
        <v>4091</v>
      </c>
      <c r="I2506" s="34" t="s">
        <v>1358</v>
      </c>
      <c r="J2506" s="48"/>
      <c r="K2506" s="48"/>
      <c r="L2506" s="48"/>
      <c r="M2506" s="48"/>
      <c r="N2506" s="59"/>
      <c r="O2506" s="59">
        <v>217000</v>
      </c>
      <c r="P2506" s="59"/>
      <c r="Q2506" s="268">
        <f t="shared" si="118"/>
        <v>217000</v>
      </c>
      <c r="R2506" s="61">
        <f>IF(O2506=0,0,SUMIFS(Disbursements!$T:$T,Disbursements!$B:$B,'Live Collections'!D2506,Disbursements!$D:$D,'Live Collections'!F2506))</f>
        <v>217000</v>
      </c>
      <c r="S2506" s="304"/>
      <c r="T2506" s="304">
        <f t="shared" si="120"/>
        <v>217000</v>
      </c>
      <c r="U2506" s="52"/>
      <c r="V2506" s="34"/>
      <c r="W2506" s="408"/>
    </row>
    <row r="2507" spans="1:23" ht="12.75" customHeight="1" x14ac:dyDescent="0.2">
      <c r="A2507" s="257">
        <v>2502</v>
      </c>
      <c r="B2507" s="44">
        <v>44565</v>
      </c>
      <c r="C2507" s="44">
        <f t="shared" si="119"/>
        <v>44565</v>
      </c>
      <c r="D2507" s="374">
        <v>168</v>
      </c>
      <c r="E2507" s="291" t="str">
        <f>IFERROR(VLOOKUP($D2507,'Clients-Live'!$A:$C,3,0),"")</f>
        <v>ALORO FREDERICK</v>
      </c>
      <c r="F2507" s="291">
        <f>IFERROR(INDEX(Disbursements!$D:$D,MATCH('Live Collections'!G2507,Disbursements!$C:$C,0)),"")</f>
        <v>2</v>
      </c>
      <c r="G2507" s="34">
        <v>385</v>
      </c>
      <c r="H2507" s="34">
        <v>4203</v>
      </c>
      <c r="I2507" s="34" t="s">
        <v>1357</v>
      </c>
      <c r="J2507" s="48"/>
      <c r="K2507" s="48"/>
      <c r="L2507" s="48"/>
      <c r="M2507" s="48"/>
      <c r="N2507" s="59"/>
      <c r="O2507" s="59"/>
      <c r="P2507" s="59">
        <v>500000</v>
      </c>
      <c r="Q2507" s="268">
        <f t="shared" si="118"/>
        <v>500000</v>
      </c>
      <c r="R2507" s="61">
        <f>IF(O2507=0,0,SUMIFS(Disbursements!$T:$T,Disbursements!$B:$B,'Live Collections'!D2507,Disbursements!$D:$D,'Live Collections'!F2507))</f>
        <v>0</v>
      </c>
      <c r="S2507" s="304">
        <f>IF(O2507&lt;=IF($O2507=0,0,SUMIFS(Disbursements!$W:$W,Disbursements!$B:$B,'Live Collections'!D2073,Disbursements!$D:$D,'Live Collections'!F2073)),O2507,IF($O2507=0,0,SUMIFS(Disbursements!$W:$W,Disbursements!$B:$B,'Live Collections'!D2073,Disbursements!$D:$D,'Live Collections'!F2073)))</f>
        <v>0</v>
      </c>
      <c r="T2507" s="304">
        <f t="shared" si="120"/>
        <v>0</v>
      </c>
      <c r="U2507" s="52"/>
      <c r="V2507" s="34"/>
      <c r="W2507" s="408"/>
    </row>
    <row r="2508" spans="1:23" ht="12.75" customHeight="1" x14ac:dyDescent="0.2">
      <c r="A2508" s="257">
        <v>2518</v>
      </c>
      <c r="B2508" s="44">
        <v>44565</v>
      </c>
      <c r="C2508" s="44">
        <f t="shared" si="119"/>
        <v>44565</v>
      </c>
      <c r="D2508" s="374">
        <v>168</v>
      </c>
      <c r="E2508" s="291" t="str">
        <f>IFERROR(VLOOKUP($D2508,'Clients-Live'!$A:$C,3,0),"")</f>
        <v>ALORO FREDERICK</v>
      </c>
      <c r="F2508" s="291" t="str">
        <f>IFERROR(INDEX(Disbursements!$D:$D,MATCH('Live Collections'!G2508,Disbursements!$C:$C,0)),"")</f>
        <v/>
      </c>
      <c r="G2508" s="34"/>
      <c r="H2508" s="34">
        <v>4080</v>
      </c>
      <c r="I2508" s="34" t="s">
        <v>1357</v>
      </c>
      <c r="J2508" s="48"/>
      <c r="K2508" s="48"/>
      <c r="L2508" s="48">
        <v>30000</v>
      </c>
      <c r="M2508" s="48">
        <v>5000</v>
      </c>
      <c r="N2508" s="59"/>
      <c r="O2508" s="59"/>
      <c r="P2508" s="59"/>
      <c r="Q2508" s="268">
        <f t="shared" si="118"/>
        <v>35000</v>
      </c>
      <c r="R2508" s="61">
        <f>IF(O2508=0,0,SUMIFS(Disbursements!$T:$T,Disbursements!$B:$B,'Live Collections'!D2508,Disbursements!$D:$D,'Live Collections'!F2508))</f>
        <v>0</v>
      </c>
      <c r="S2508" s="304">
        <f>IF(O2508&lt;=IF($O2508=0,0,SUMIFS(Disbursements!$W:$W,Disbursements!$B:$B,'Live Collections'!D2074,Disbursements!$D:$D,'Live Collections'!F2074)),O2508,IF($O2508=0,0,SUMIFS(Disbursements!$W:$W,Disbursements!$B:$B,'Live Collections'!D2074,Disbursements!$D:$D,'Live Collections'!F2074)))</f>
        <v>0</v>
      </c>
      <c r="T2508" s="304">
        <f t="shared" si="120"/>
        <v>0</v>
      </c>
      <c r="U2508" s="52"/>
      <c r="V2508" s="34"/>
      <c r="W2508" s="408"/>
    </row>
    <row r="2509" spans="1:23" ht="12.75" customHeight="1" x14ac:dyDescent="0.2">
      <c r="A2509" s="257">
        <v>2498</v>
      </c>
      <c r="B2509" s="44">
        <v>44565</v>
      </c>
      <c r="C2509" s="44">
        <f t="shared" si="119"/>
        <v>44565</v>
      </c>
      <c r="D2509" s="374">
        <v>192</v>
      </c>
      <c r="E2509" s="291" t="str">
        <f>IFERROR(VLOOKUP($D2509,'Clients-Live'!$A:$C,3,0),"")</f>
        <v>MAZARAU AISHA</v>
      </c>
      <c r="F2509" s="291">
        <f>IFERROR(INDEX(Disbursements!$D:$D,MATCH('Live Collections'!G2509,Disbursements!$C:$C,0)),"")</f>
        <v>2</v>
      </c>
      <c r="G2509" s="34">
        <v>354</v>
      </c>
      <c r="H2509" s="34">
        <v>4096</v>
      </c>
      <c r="I2509" s="34" t="s">
        <v>1357</v>
      </c>
      <c r="J2509" s="48"/>
      <c r="K2509" s="48"/>
      <c r="L2509" s="48"/>
      <c r="M2509" s="48"/>
      <c r="N2509" s="59"/>
      <c r="O2509" s="59">
        <v>50000</v>
      </c>
      <c r="P2509" s="59"/>
      <c r="Q2509" s="268">
        <f t="shared" si="118"/>
        <v>50000</v>
      </c>
      <c r="R2509" s="61">
        <f>IF(O2509=0,0,SUMIFS(Disbursements!$T:$T,Disbursements!$B:$B,'Live Collections'!D2509,Disbursements!$D:$D,'Live Collections'!F2509))</f>
        <v>120000</v>
      </c>
      <c r="S2509" s="304">
        <f>IF(O2509&lt;=IF($O2509=0,0,SUMIFS(Disbursements!$W:$W,Disbursements!$B:$B,'Live Collections'!D2336,Disbursements!$D:$D,'Live Collections'!F2336)),O2509,IF($O2509=0,0,SUMIFS(Disbursements!$W:$W,Disbursements!$B:$B,'Live Collections'!D2336,Disbursements!$D:$D,'Live Collections'!F2336)))</f>
        <v>20000</v>
      </c>
      <c r="T2509" s="304">
        <f t="shared" si="120"/>
        <v>30000</v>
      </c>
      <c r="U2509" s="52"/>
      <c r="V2509" s="34"/>
      <c r="W2509" s="408"/>
    </row>
    <row r="2510" spans="1:23" ht="12.75" customHeight="1" x14ac:dyDescent="0.2">
      <c r="A2510" s="257">
        <v>2519</v>
      </c>
      <c r="B2510" s="44">
        <v>44565</v>
      </c>
      <c r="C2510" s="44">
        <f t="shared" si="119"/>
        <v>44565</v>
      </c>
      <c r="D2510" s="374">
        <v>215</v>
      </c>
      <c r="E2510" s="291" t="str">
        <f>IFERROR(VLOOKUP($D2510,'Clients-Live'!$A:$C,3,0),"")</f>
        <v>BRANI MUSA</v>
      </c>
      <c r="F2510" s="291">
        <f>IFERROR(INDEX(Disbursements!$D:$D,MATCH('Live Collections'!G2510,Disbursements!$C:$C,0)),"")</f>
        <v>2</v>
      </c>
      <c r="G2510" s="34">
        <v>343</v>
      </c>
      <c r="H2510" s="34">
        <v>4083</v>
      </c>
      <c r="I2510" s="34" t="s">
        <v>1357</v>
      </c>
      <c r="J2510" s="48"/>
      <c r="K2510" s="48"/>
      <c r="L2510" s="48"/>
      <c r="M2510" s="48"/>
      <c r="N2510" s="59"/>
      <c r="O2510" s="59">
        <v>120000</v>
      </c>
      <c r="P2510" s="59"/>
      <c r="Q2510" s="268">
        <f t="shared" si="118"/>
        <v>120000</v>
      </c>
      <c r="R2510" s="61">
        <f>IF(O2510=0,0,SUMIFS(Disbursements!$T:$T,Disbursements!$B:$B,'Live Collections'!D2510,Disbursements!$D:$D,'Live Collections'!F2510))</f>
        <v>369000</v>
      </c>
      <c r="S2510" s="304">
        <f>IF(O2510&lt;=IF($O2510=0,0,SUMIFS(Disbursements!$W:$W,Disbursements!$B:$B,'Live Collections'!D2537,Disbursements!$D:$D,'Live Collections'!F2537)),O2510,IF($O2510=0,0,SUMIFS(Disbursements!$W:$W,Disbursements!$B:$B,'Live Collections'!D2537,Disbursements!$D:$D,'Live Collections'!F2537)))</f>
        <v>0</v>
      </c>
      <c r="T2510" s="304">
        <f t="shared" si="120"/>
        <v>120000</v>
      </c>
      <c r="U2510" s="52"/>
      <c r="V2510" s="34"/>
      <c r="W2510" s="408"/>
    </row>
    <row r="2511" spans="1:23" ht="12.75" customHeight="1" x14ac:dyDescent="0.2">
      <c r="A2511" s="257">
        <v>2499</v>
      </c>
      <c r="B2511" s="44">
        <v>44565</v>
      </c>
      <c r="C2511" s="44">
        <f t="shared" si="119"/>
        <v>44565</v>
      </c>
      <c r="D2511" s="374">
        <v>217</v>
      </c>
      <c r="E2511" s="291" t="str">
        <f>IFERROR(VLOOKUP($D2511,'Clients-Live'!$A:$C,3,0),"")</f>
        <v>JAMBA MOSES</v>
      </c>
      <c r="F2511" s="291">
        <f>IFERROR(INDEX(Disbursements!$D:$D,MATCH('Live Collections'!G2511,Disbursements!$C:$C,0)),"")</f>
        <v>2</v>
      </c>
      <c r="G2511" s="34">
        <v>341</v>
      </c>
      <c r="H2511" s="34">
        <v>4207</v>
      </c>
      <c r="I2511" s="34" t="s">
        <v>1357</v>
      </c>
      <c r="J2511" s="48"/>
      <c r="K2511" s="48"/>
      <c r="L2511" s="48"/>
      <c r="M2511" s="48"/>
      <c r="N2511" s="59"/>
      <c r="O2511" s="59">
        <v>76700</v>
      </c>
      <c r="P2511" s="59"/>
      <c r="Q2511" s="268">
        <f t="shared" si="118"/>
        <v>76700</v>
      </c>
      <c r="R2511" s="61">
        <f>IF(O2511=0,0,SUMIFS(Disbursements!$T:$T,Disbursements!$B:$B,'Live Collections'!D2511,Disbursements!$D:$D,'Live Collections'!F2511))</f>
        <v>154000</v>
      </c>
      <c r="S2511" s="304">
        <v>1999.9999999999709</v>
      </c>
      <c r="T2511" s="304">
        <f t="shared" si="120"/>
        <v>74700.000000000029</v>
      </c>
      <c r="U2511" s="52"/>
      <c r="V2511" s="34"/>
      <c r="W2511" s="408"/>
    </row>
    <row r="2512" spans="1:23" ht="12.75" customHeight="1" x14ac:dyDescent="0.2">
      <c r="A2512" s="257">
        <v>2521</v>
      </c>
      <c r="B2512" s="44">
        <v>44565</v>
      </c>
      <c r="C2512" s="44">
        <f t="shared" si="119"/>
        <v>44565</v>
      </c>
      <c r="D2512" s="374">
        <v>218</v>
      </c>
      <c r="E2512" s="291" t="str">
        <f>IFERROR(VLOOKUP($D2512,'Clients-Live'!$A:$C,3,0),"")</f>
        <v>BUSURA OMAR</v>
      </c>
      <c r="F2512" s="291">
        <f>IFERROR(INDEX(Disbursements!$D:$D,MATCH('Live Collections'!G2512,Disbursements!$C:$C,0)),"")</f>
        <v>1</v>
      </c>
      <c r="G2512" s="34">
        <v>223</v>
      </c>
      <c r="H2512" s="34">
        <v>4081</v>
      </c>
      <c r="I2512" s="34" t="s">
        <v>1357</v>
      </c>
      <c r="J2512" s="48"/>
      <c r="K2512" s="48"/>
      <c r="L2512" s="48"/>
      <c r="M2512" s="48"/>
      <c r="N2512" s="59"/>
      <c r="O2512" s="59">
        <v>250000</v>
      </c>
      <c r="P2512" s="59"/>
      <c r="Q2512" s="268">
        <f t="shared" si="118"/>
        <v>250000</v>
      </c>
      <c r="R2512" s="61">
        <f>IF(O2512=0,0,SUMIFS(Disbursements!$T:$T,Disbursements!$B:$B,'Live Collections'!D2512,Disbursements!$D:$D,'Live Collections'!F2512))</f>
        <v>325000</v>
      </c>
      <c r="S2512" s="304">
        <f>IF(O2512&lt;=IF($O2512=0,0,SUMIFS(Disbursements!$W:$W,Disbursements!$B:$B,'Live Collections'!D2579,Disbursements!$D:$D,'Live Collections'!F2579)),O2512,IF($O2512=0,0,SUMIFS(Disbursements!$W:$W,Disbursements!$B:$B,'Live Collections'!D2579,Disbursements!$D:$D,'Live Collections'!F2579)))</f>
        <v>50333.333333333343</v>
      </c>
      <c r="T2512" s="304">
        <f t="shared" si="120"/>
        <v>199666.66666666666</v>
      </c>
      <c r="U2512" s="52"/>
      <c r="V2512" s="34"/>
      <c r="W2512" s="408"/>
    </row>
    <row r="2513" spans="1:23" ht="12.75" customHeight="1" x14ac:dyDescent="0.2">
      <c r="A2513" s="257">
        <v>2508</v>
      </c>
      <c r="B2513" s="44">
        <v>44565</v>
      </c>
      <c r="C2513" s="44">
        <f t="shared" si="119"/>
        <v>44565</v>
      </c>
      <c r="D2513" s="374">
        <v>234</v>
      </c>
      <c r="E2513" s="291" t="str">
        <f>IFERROR(VLOOKUP($D2513,'Clients-Live'!$A:$C,3,0),"")</f>
        <v>SUDI YASIR</v>
      </c>
      <c r="F2513" s="291">
        <f>IFERROR(INDEX(Disbursements!$D:$D,MATCH('Live Collections'!G2513,Disbursements!$C:$C,0)),"")</f>
        <v>1</v>
      </c>
      <c r="G2513" s="34">
        <v>276</v>
      </c>
      <c r="H2513" s="34">
        <v>4090</v>
      </c>
      <c r="I2513" s="34" t="s">
        <v>1358</v>
      </c>
      <c r="J2513" s="48"/>
      <c r="K2513" s="48"/>
      <c r="L2513" s="48"/>
      <c r="M2513" s="48"/>
      <c r="N2513" s="59"/>
      <c r="O2513" s="59">
        <v>100000</v>
      </c>
      <c r="P2513" s="59"/>
      <c r="Q2513" s="268">
        <f t="shared" si="118"/>
        <v>100000</v>
      </c>
      <c r="R2513" s="61">
        <f>IF(O2513=0,0,SUMIFS(Disbursements!$T:$T,Disbursements!$B:$B,'Live Collections'!D2513,Disbursements!$D:$D,'Live Collections'!F2513))</f>
        <v>384000</v>
      </c>
      <c r="S2513" s="304"/>
      <c r="T2513" s="304">
        <f t="shared" si="120"/>
        <v>100000</v>
      </c>
      <c r="U2513" s="52"/>
      <c r="V2513" s="34"/>
      <c r="W2513" s="408"/>
    </row>
    <row r="2514" spans="1:23" ht="12.75" customHeight="1" x14ac:dyDescent="0.2">
      <c r="A2514" s="257">
        <v>2509</v>
      </c>
      <c r="B2514" s="44">
        <v>44565</v>
      </c>
      <c r="C2514" s="44">
        <f t="shared" si="119"/>
        <v>44565</v>
      </c>
      <c r="D2514" s="374">
        <v>234</v>
      </c>
      <c r="E2514" s="291" t="str">
        <f>IFERROR(VLOOKUP($D2514,'Clients-Live'!$A:$C,3,0),"")</f>
        <v>SUDI YASIR</v>
      </c>
      <c r="F2514" s="291">
        <f>IFERROR(INDEX(Disbursements!$D:$D,MATCH('Live Collections'!G2514,Disbursements!$C:$C,0)),"")</f>
        <v>1</v>
      </c>
      <c r="G2514" s="34">
        <v>276</v>
      </c>
      <c r="H2514" s="34">
        <v>731</v>
      </c>
      <c r="I2514" s="34" t="s">
        <v>1358</v>
      </c>
      <c r="J2514" s="48"/>
      <c r="K2514" s="48"/>
      <c r="L2514" s="48"/>
      <c r="M2514" s="48"/>
      <c r="N2514" s="59"/>
      <c r="O2514" s="59"/>
      <c r="P2514" s="59">
        <v>-100000</v>
      </c>
      <c r="Q2514" s="268">
        <f t="shared" si="118"/>
        <v>-100000</v>
      </c>
      <c r="R2514" s="61">
        <f>IF(O2514=0,0,SUMIFS(Disbursements!$T:$T,Disbursements!$B:$B,'Live Collections'!D2514,Disbursements!$D:$D,'Live Collections'!F2514))</f>
        <v>0</v>
      </c>
      <c r="S2514" s="304">
        <f>IF(O2514&lt;=IF($O2514=0,0,SUMIFS(Disbursements!$W:$W,Disbursements!$B:$B,'Live Collections'!D2707,Disbursements!$D:$D,'Live Collections'!F2707)),O2514,IF($O2514=0,0,SUMIFS(Disbursements!$W:$W,Disbursements!$B:$B,'Live Collections'!D2707,Disbursements!$D:$D,'Live Collections'!F2707)))</f>
        <v>0</v>
      </c>
      <c r="T2514" s="304">
        <f t="shared" si="120"/>
        <v>0</v>
      </c>
      <c r="U2514" s="52"/>
      <c r="V2514" s="34"/>
      <c r="W2514" s="408"/>
    </row>
    <row r="2515" spans="1:23" ht="12.75" customHeight="1" x14ac:dyDescent="0.2">
      <c r="A2515" s="257">
        <v>2514</v>
      </c>
      <c r="B2515" s="44">
        <v>44565</v>
      </c>
      <c r="C2515" s="44">
        <f t="shared" si="119"/>
        <v>44565</v>
      </c>
      <c r="D2515" s="374">
        <v>253</v>
      </c>
      <c r="E2515" s="291" t="str">
        <f>IFERROR(VLOOKUP($D2515,'Clients-Live'!$A:$C,3,0),"")</f>
        <v>JAKUMA VINCENT</v>
      </c>
      <c r="F2515" s="291">
        <f>IFERROR(INDEX(Disbursements!$D:$D,MATCH('Live Collections'!G2515,Disbursements!$C:$C,0)),"")</f>
        <v>1</v>
      </c>
      <c r="G2515" s="34">
        <v>359</v>
      </c>
      <c r="H2515" s="34">
        <v>4087</v>
      </c>
      <c r="I2515" s="34" t="s">
        <v>1359</v>
      </c>
      <c r="J2515" s="48"/>
      <c r="K2515" s="48"/>
      <c r="L2515" s="48"/>
      <c r="M2515" s="48"/>
      <c r="N2515" s="59"/>
      <c r="O2515" s="59">
        <v>100000</v>
      </c>
      <c r="P2515" s="59"/>
      <c r="Q2515" s="268">
        <f t="shared" si="118"/>
        <v>100000</v>
      </c>
      <c r="R2515" s="61">
        <f>IF(O2515=0,0,SUMIFS(Disbursements!$T:$T,Disbursements!$B:$B,'Live Collections'!D2515,Disbursements!$D:$D,'Live Collections'!F2515))</f>
        <v>613000</v>
      </c>
      <c r="S2515" s="304"/>
      <c r="T2515" s="304">
        <f t="shared" si="120"/>
        <v>100000</v>
      </c>
      <c r="U2515" s="52"/>
      <c r="V2515" s="34"/>
      <c r="W2515" s="408"/>
    </row>
    <row r="2516" spans="1:23" ht="12.75" customHeight="1" x14ac:dyDescent="0.2">
      <c r="A2516" s="257">
        <v>2515</v>
      </c>
      <c r="B2516" s="44">
        <v>44565</v>
      </c>
      <c r="C2516" s="44">
        <f t="shared" si="119"/>
        <v>44565</v>
      </c>
      <c r="D2516" s="374">
        <v>259</v>
      </c>
      <c r="E2516" s="291" t="str">
        <f>IFERROR(VLOOKUP($D2516,'Clients-Live'!$A:$C,3,0),"")</f>
        <v>SALAMA GIFT</v>
      </c>
      <c r="F2516" s="291">
        <f>IFERROR(INDEX(Disbursements!$D:$D,MATCH('Live Collections'!G2516,Disbursements!$C:$C,0)),"")</f>
        <v>1</v>
      </c>
      <c r="G2516" s="34">
        <v>310</v>
      </c>
      <c r="H2516" s="34">
        <v>4085</v>
      </c>
      <c r="I2516" s="34" t="s">
        <v>1357</v>
      </c>
      <c r="J2516" s="48"/>
      <c r="K2516" s="48"/>
      <c r="L2516" s="48"/>
      <c r="M2516" s="48"/>
      <c r="N2516" s="59"/>
      <c r="O2516" s="59">
        <v>20000</v>
      </c>
      <c r="P2516" s="59"/>
      <c r="Q2516" s="268">
        <f t="shared" si="118"/>
        <v>20000</v>
      </c>
      <c r="R2516" s="61">
        <f>IF(O2516=0,0,SUMIFS(Disbursements!$T:$T,Disbursements!$B:$B,'Live Collections'!D2516,Disbursements!$D:$D,'Live Collections'!F2516))</f>
        <v>77000</v>
      </c>
      <c r="S2516" s="304"/>
      <c r="T2516" s="304">
        <f t="shared" si="120"/>
        <v>20000</v>
      </c>
      <c r="U2516" s="52"/>
      <c r="V2516" s="34"/>
      <c r="W2516" s="408"/>
    </row>
    <row r="2517" spans="1:23" ht="12.75" customHeight="1" x14ac:dyDescent="0.2">
      <c r="A2517" s="257">
        <v>2516</v>
      </c>
      <c r="B2517" s="44">
        <v>44565</v>
      </c>
      <c r="C2517" s="44">
        <f t="shared" si="119"/>
        <v>44565</v>
      </c>
      <c r="D2517" s="374">
        <v>259</v>
      </c>
      <c r="E2517" s="291" t="str">
        <f>IFERROR(VLOOKUP($D2517,'Clients-Live'!$A:$C,3,0),"")</f>
        <v>SALAMA GIFT</v>
      </c>
      <c r="F2517" s="291">
        <f>IFERROR(INDEX(Disbursements!$D:$D,MATCH('Live Collections'!G2517,Disbursements!$C:$C,0)),"")</f>
        <v>1</v>
      </c>
      <c r="G2517" s="34">
        <v>310</v>
      </c>
      <c r="H2517" s="34"/>
      <c r="I2517" s="34" t="s">
        <v>1358</v>
      </c>
      <c r="J2517" s="48"/>
      <c r="K2517" s="48"/>
      <c r="L2517" s="48"/>
      <c r="M2517" s="48"/>
      <c r="N2517" s="59"/>
      <c r="O2517" s="59"/>
      <c r="P2517" s="59">
        <v>-20000</v>
      </c>
      <c r="Q2517" s="268">
        <f t="shared" si="118"/>
        <v>-20000</v>
      </c>
      <c r="R2517" s="61">
        <f>IF(O2517=0,0,SUMIFS(Disbursements!$T:$T,Disbursements!$B:$B,'Live Collections'!D2517,Disbursements!$D:$D,'Live Collections'!F2517))</f>
        <v>0</v>
      </c>
      <c r="S2517" s="304">
        <f>IF(O2517&lt;=IF($O2517=0,0,SUMIFS(Disbursements!$W:$W,Disbursements!$B:$B,'Live Collections'!D2872,Disbursements!$D:$D,'Live Collections'!F2872)),O2517,IF($O2517=0,0,SUMIFS(Disbursements!$W:$W,Disbursements!$B:$B,'Live Collections'!D2872,Disbursements!$D:$D,'Live Collections'!F2872)))</f>
        <v>0</v>
      </c>
      <c r="T2517" s="304">
        <f t="shared" si="120"/>
        <v>0</v>
      </c>
      <c r="U2517" s="52"/>
      <c r="V2517" s="34"/>
      <c r="W2517" s="408"/>
    </row>
    <row r="2518" spans="1:23" ht="12.75" customHeight="1" x14ac:dyDescent="0.2">
      <c r="A2518" s="257">
        <v>2517</v>
      </c>
      <c r="B2518" s="44">
        <v>44565</v>
      </c>
      <c r="C2518" s="44">
        <f t="shared" si="119"/>
        <v>44565</v>
      </c>
      <c r="D2518" s="374">
        <v>259</v>
      </c>
      <c r="E2518" s="291" t="str">
        <f>IFERROR(VLOOKUP($D2518,'Clients-Live'!$A:$C,3,0),"")</f>
        <v>SALAMA GIFT</v>
      </c>
      <c r="F2518" s="291">
        <f>IFERROR(INDEX(Disbursements!$D:$D,MATCH('Live Collections'!G2518,Disbursements!$C:$C,0)),"")</f>
        <v>1</v>
      </c>
      <c r="G2518" s="34">
        <v>310</v>
      </c>
      <c r="H2518" s="34">
        <v>4084</v>
      </c>
      <c r="I2518" s="34" t="s">
        <v>1357</v>
      </c>
      <c r="J2518" s="48"/>
      <c r="K2518" s="48"/>
      <c r="L2518" s="48"/>
      <c r="M2518" s="48"/>
      <c r="N2518" s="59"/>
      <c r="O2518" s="59">
        <v>133000</v>
      </c>
      <c r="P2518" s="59"/>
      <c r="Q2518" s="268">
        <f t="shared" si="118"/>
        <v>133000</v>
      </c>
      <c r="R2518" s="61">
        <f>IF(O2518=0,0,SUMIFS(Disbursements!$T:$T,Disbursements!$B:$B,'Live Collections'!D2518,Disbursements!$D:$D,'Live Collections'!F2518))</f>
        <v>77000</v>
      </c>
      <c r="S2518" s="304"/>
      <c r="T2518" s="304">
        <f t="shared" si="120"/>
        <v>133000</v>
      </c>
      <c r="U2518" s="52"/>
      <c r="V2518" s="34"/>
      <c r="W2518" s="408"/>
    </row>
    <row r="2519" spans="1:23" ht="12.75" customHeight="1" x14ac:dyDescent="0.2">
      <c r="A2519" s="257">
        <v>2500</v>
      </c>
      <c r="B2519" s="44">
        <v>44565</v>
      </c>
      <c r="C2519" s="44">
        <f t="shared" si="119"/>
        <v>44565</v>
      </c>
      <c r="D2519" s="374">
        <v>260</v>
      </c>
      <c r="E2519" s="291" t="str">
        <f>IFERROR(VLOOKUP($D2519,'Clients-Live'!$A:$C,3,0),"")</f>
        <v>ATAYI GRACE</v>
      </c>
      <c r="F2519" s="291">
        <f>IFERROR(INDEX(Disbursements!$D:$D,MATCH('Live Collections'!G2519,Disbursements!$C:$C,0)),"")</f>
        <v>1</v>
      </c>
      <c r="G2519" s="34">
        <v>303</v>
      </c>
      <c r="H2519" s="34">
        <v>4204</v>
      </c>
      <c r="I2519" s="34" t="s">
        <v>1359</v>
      </c>
      <c r="J2519" s="48"/>
      <c r="K2519" s="48"/>
      <c r="L2519" s="48"/>
      <c r="M2519" s="48"/>
      <c r="N2519" s="59"/>
      <c r="O2519" s="59">
        <v>70000</v>
      </c>
      <c r="P2519" s="59"/>
      <c r="Q2519" s="268">
        <f t="shared" si="118"/>
        <v>70000</v>
      </c>
      <c r="R2519" s="61">
        <f>IF(O2519=0,0,SUMIFS(Disbursements!$T:$T,Disbursements!$B:$B,'Live Collections'!D2519,Disbursements!$D:$D,'Live Collections'!F2519))</f>
        <v>23000</v>
      </c>
      <c r="S2519" s="304"/>
      <c r="T2519" s="304">
        <f t="shared" si="120"/>
        <v>70000</v>
      </c>
      <c r="U2519" s="52"/>
      <c r="V2519" s="34"/>
      <c r="W2519" s="408"/>
    </row>
    <row r="2520" spans="1:23" ht="12.75" customHeight="1" x14ac:dyDescent="0.2">
      <c r="A2520" s="257">
        <v>2511</v>
      </c>
      <c r="B2520" s="44">
        <v>44565</v>
      </c>
      <c r="C2520" s="44">
        <f t="shared" si="119"/>
        <v>44565</v>
      </c>
      <c r="D2520" s="374">
        <v>269</v>
      </c>
      <c r="E2520" s="291" t="str">
        <f>IFERROR(VLOOKUP($D2520,'Clients-Live'!$A:$C,3,0),"")</f>
        <v>YANYA ROBINA</v>
      </c>
      <c r="F2520" s="291">
        <f>IFERROR(INDEX(Disbursements!$D:$D,MATCH('Live Collections'!G2520,Disbursements!$C:$C,0)),"")</f>
        <v>2</v>
      </c>
      <c r="G2520" s="34">
        <v>352</v>
      </c>
      <c r="H2520" s="34">
        <v>4089</v>
      </c>
      <c r="I2520" s="34" t="s">
        <v>1357</v>
      </c>
      <c r="J2520" s="48"/>
      <c r="K2520" s="48"/>
      <c r="L2520" s="48"/>
      <c r="M2520" s="48"/>
      <c r="N2520" s="59"/>
      <c r="O2520" s="59">
        <v>50000</v>
      </c>
      <c r="P2520" s="59"/>
      <c r="Q2520" s="268">
        <f t="shared" si="118"/>
        <v>50000</v>
      </c>
      <c r="R2520" s="61">
        <f>IF(O2520=0,0,SUMIFS(Disbursements!$T:$T,Disbursements!$B:$B,'Live Collections'!D2520,Disbursements!$D:$D,'Live Collections'!F2520))</f>
        <v>538000</v>
      </c>
      <c r="S2520" s="64">
        <v>38000</v>
      </c>
      <c r="T2520" s="304">
        <f t="shared" si="120"/>
        <v>12000</v>
      </c>
      <c r="U2520" s="52"/>
      <c r="V2520" s="34"/>
      <c r="W2520" s="408"/>
    </row>
    <row r="2521" spans="1:23" ht="12.75" customHeight="1" x14ac:dyDescent="0.2">
      <c r="A2521" s="257">
        <v>2513</v>
      </c>
      <c r="B2521" s="44">
        <v>44565</v>
      </c>
      <c r="C2521" s="44">
        <f t="shared" si="119"/>
        <v>44565</v>
      </c>
      <c r="D2521" s="374">
        <v>270</v>
      </c>
      <c r="E2521" s="291" t="str">
        <f>IFERROR(VLOOKUP($D2521,'Clients-Live'!$A:$C,3,0),"")</f>
        <v>AJOBE SAMUEL</v>
      </c>
      <c r="F2521" s="291">
        <f>IFERROR(INDEX(Disbursements!$D:$D,MATCH('Live Collections'!G2521,Disbursements!$C:$C,0)),"")</f>
        <v>1</v>
      </c>
      <c r="G2521" s="34">
        <v>313</v>
      </c>
      <c r="H2521" s="34">
        <v>4086</v>
      </c>
      <c r="I2521" s="34" t="s">
        <v>1359</v>
      </c>
      <c r="J2521" s="48"/>
      <c r="K2521" s="48"/>
      <c r="L2521" s="48"/>
      <c r="M2521" s="48"/>
      <c r="N2521" s="59"/>
      <c r="O2521" s="59">
        <v>43000</v>
      </c>
      <c r="P2521" s="59"/>
      <c r="Q2521" s="268">
        <f t="shared" si="118"/>
        <v>43000</v>
      </c>
      <c r="R2521" s="61">
        <f>IF(O2521=0,0,SUMIFS(Disbursements!$T:$T,Disbursements!$B:$B,'Live Collections'!D2521,Disbursements!$D:$D,'Live Collections'!F2521))</f>
        <v>143000</v>
      </c>
      <c r="S2521" s="304"/>
      <c r="T2521" s="304">
        <f t="shared" si="120"/>
        <v>43000</v>
      </c>
      <c r="U2521" s="52"/>
      <c r="V2521" s="34"/>
      <c r="W2521" s="408"/>
    </row>
    <row r="2522" spans="1:23" ht="12.75" customHeight="1" x14ac:dyDescent="0.2">
      <c r="A2522" s="257">
        <v>2507</v>
      </c>
      <c r="B2522" s="44">
        <v>44565</v>
      </c>
      <c r="C2522" s="44">
        <f t="shared" si="119"/>
        <v>44565</v>
      </c>
      <c r="D2522" s="374">
        <v>278</v>
      </c>
      <c r="E2522" s="291" t="str">
        <f>IFERROR(VLOOKUP($D2522,'Clients-Live'!$A:$C,3,0),"")</f>
        <v>AATE SUZAN</v>
      </c>
      <c r="F2522" s="291">
        <f>IFERROR(INDEX(Disbursements!$D:$D,MATCH('Live Collections'!G2522,Disbursements!$C:$C,0)),"")</f>
        <v>1</v>
      </c>
      <c r="G2522" s="34">
        <v>308</v>
      </c>
      <c r="H2522" s="34">
        <v>4401</v>
      </c>
      <c r="I2522" s="34" t="s">
        <v>1359</v>
      </c>
      <c r="J2522" s="48"/>
      <c r="K2522" s="48"/>
      <c r="L2522" s="48"/>
      <c r="M2522" s="48"/>
      <c r="N2522" s="59"/>
      <c r="O2522" s="59">
        <v>60000</v>
      </c>
      <c r="P2522" s="59"/>
      <c r="Q2522" s="268">
        <f t="shared" si="118"/>
        <v>60000</v>
      </c>
      <c r="R2522" s="61">
        <f>IF(O2522=0,0,SUMIFS(Disbursements!$T:$T,Disbursements!$B:$B,'Live Collections'!D2522,Disbursements!$D:$D,'Live Collections'!F2522))</f>
        <v>60000</v>
      </c>
      <c r="S2522" s="304"/>
      <c r="T2522" s="304">
        <f t="shared" si="120"/>
        <v>60000</v>
      </c>
      <c r="U2522" s="52"/>
      <c r="V2522" s="34"/>
      <c r="W2522" s="408"/>
    </row>
    <row r="2523" spans="1:23" ht="12.75" customHeight="1" x14ac:dyDescent="0.2">
      <c r="A2523" s="257">
        <v>2504</v>
      </c>
      <c r="B2523" s="44">
        <v>44565</v>
      </c>
      <c r="C2523" s="44">
        <f t="shared" si="119"/>
        <v>44565</v>
      </c>
      <c r="D2523" s="374">
        <v>289</v>
      </c>
      <c r="E2523" s="291" t="str">
        <f>IFERROR(VLOOKUP($D2523,'Clients-Live'!$A:$C,3,0),"")</f>
        <v>NAUME NIGHT</v>
      </c>
      <c r="F2523" s="291">
        <f>IFERROR(INDEX(Disbursements!$D:$D,MATCH('Live Collections'!G2523,Disbursements!$C:$C,0)),"")</f>
        <v>1</v>
      </c>
      <c r="G2523" s="34">
        <v>353</v>
      </c>
      <c r="H2523" s="34">
        <v>4094</v>
      </c>
      <c r="I2523" s="34" t="s">
        <v>1357</v>
      </c>
      <c r="J2523" s="48"/>
      <c r="K2523" s="48"/>
      <c r="L2523" s="48"/>
      <c r="M2523" s="48"/>
      <c r="N2523" s="59"/>
      <c r="O2523" s="59">
        <v>150000</v>
      </c>
      <c r="P2523" s="59"/>
      <c r="Q2523" s="268">
        <f t="shared" si="118"/>
        <v>150000</v>
      </c>
      <c r="R2523" s="61">
        <f>IF(O2523=0,0,SUMIFS(Disbursements!$T:$T,Disbursements!$B:$B,'Live Collections'!D2523,Disbursements!$D:$D,'Live Collections'!F2523))</f>
        <v>150000</v>
      </c>
      <c r="S2523" s="304">
        <f>IF(O2523&lt;=IF($O2523=0,0,SUMIFS(Disbursements!$W:$W,Disbursements!$B:$B,'Live Collections'!D3044,Disbursements!$D:$D,'Live Collections'!F3044)),O2523,IF($O2523=0,0,SUMIFS(Disbursements!$W:$W,Disbursements!$B:$B,'Live Collections'!D3044,Disbursements!$D:$D,'Live Collections'!F3044)))</f>
        <v>30000</v>
      </c>
      <c r="T2523" s="304">
        <f t="shared" si="120"/>
        <v>120000</v>
      </c>
      <c r="U2523" s="52"/>
      <c r="V2523" s="34"/>
      <c r="W2523" s="408"/>
    </row>
    <row r="2524" spans="1:23" ht="12.75" customHeight="1" x14ac:dyDescent="0.2">
      <c r="A2524" s="257">
        <v>2532</v>
      </c>
      <c r="B2524" s="44">
        <v>44566</v>
      </c>
      <c r="C2524" s="44">
        <f t="shared" si="119"/>
        <v>44566</v>
      </c>
      <c r="D2524" s="374">
        <v>10</v>
      </c>
      <c r="E2524" s="291" t="str">
        <f>IFERROR(VLOOKUP($D2524,'Clients-Live'!$A:$C,3,0),"")</f>
        <v>WARU ARIEYE VALENTINA CHARLES</v>
      </c>
      <c r="F2524" s="291">
        <f>IFERROR(INDEX(Disbursements!$D:$D,MATCH('Live Collections'!G2524,Disbursements!$C:$C,0)),"")</f>
        <v>1</v>
      </c>
      <c r="G2524" s="34">
        <v>334</v>
      </c>
      <c r="H2524" s="34">
        <v>4203</v>
      </c>
      <c r="I2524" s="34" t="s">
        <v>1357</v>
      </c>
      <c r="J2524" s="48"/>
      <c r="K2524" s="48"/>
      <c r="L2524" s="48"/>
      <c r="M2524" s="48"/>
      <c r="N2524" s="59"/>
      <c r="O2524" s="59">
        <v>125000</v>
      </c>
      <c r="P2524" s="59"/>
      <c r="Q2524" s="268">
        <f t="shared" si="118"/>
        <v>125000</v>
      </c>
      <c r="R2524" s="61">
        <f>IF(O2524=0,0,SUMIFS(Disbursements!$T:$T,Disbursements!$B:$B,'Live Collections'!D2524,Disbursements!$D:$D,'Live Collections'!F2524))</f>
        <v>125000</v>
      </c>
      <c r="S2524" s="304">
        <f>IF(O2524&lt;=IF($O2524=0,0,SUMIFS(Disbursements!$W:$W,Disbursements!$B:$B,'Live Collections'!D104,Disbursements!$D:$D,'Live Collections'!F104)),O2524,IF($O2524=0,0,SUMIFS(Disbursements!$W:$W,Disbursements!$B:$B,'Live Collections'!D104,Disbursements!$D:$D,'Live Collections'!F104)))</f>
        <v>0</v>
      </c>
      <c r="T2524" s="304">
        <f t="shared" si="120"/>
        <v>125000</v>
      </c>
      <c r="U2524" s="52"/>
      <c r="V2524" s="34"/>
      <c r="W2524" s="408"/>
    </row>
    <row r="2525" spans="1:23" ht="12.75" customHeight="1" x14ac:dyDescent="0.2">
      <c r="A2525" s="257">
        <v>2531</v>
      </c>
      <c r="B2525" s="44">
        <v>44566</v>
      </c>
      <c r="C2525" s="44">
        <f t="shared" si="119"/>
        <v>44566</v>
      </c>
      <c r="D2525" s="374">
        <v>18</v>
      </c>
      <c r="E2525" s="291" t="str">
        <f>IFERROR(VLOOKUP($D2525,'Clients-Live'!$A:$C,3,0),"")</f>
        <v>ARIYE PEACE</v>
      </c>
      <c r="F2525" s="291">
        <f>IFERROR(INDEX(Disbursements!$D:$D,MATCH('Live Collections'!G2525,Disbursements!$C:$C,0)),"")</f>
        <v>2</v>
      </c>
      <c r="G2525" s="34">
        <v>317</v>
      </c>
      <c r="H2525" s="34">
        <v>4209</v>
      </c>
      <c r="I2525" s="34" t="s">
        <v>1357</v>
      </c>
      <c r="J2525" s="48"/>
      <c r="K2525" s="48"/>
      <c r="L2525" s="48"/>
      <c r="M2525" s="48"/>
      <c r="N2525" s="59"/>
      <c r="O2525" s="59">
        <v>162500</v>
      </c>
      <c r="P2525" s="59"/>
      <c r="Q2525" s="268">
        <f t="shared" si="118"/>
        <v>162500</v>
      </c>
      <c r="R2525" s="61">
        <f>IF(O2525=0,0,SUMIFS(Disbursements!$T:$T,Disbursements!$B:$B,'Live Collections'!D2525,Disbursements!$D:$D,'Live Collections'!F2525))</f>
        <v>650000</v>
      </c>
      <c r="S2525" s="304">
        <f>IF(O2525&lt;=IF($O2525=0,0,SUMIFS(Disbursements!$W:$W,Disbursements!$B:$B,'Live Collections'!D224,Disbursements!$D:$D,'Live Collections'!F224)),O2525,IF($O2525=0,0,SUMIFS(Disbursements!$W:$W,Disbursements!$B:$B,'Live Collections'!D224,Disbursements!$D:$D,'Live Collections'!F224)))</f>
        <v>150000</v>
      </c>
      <c r="T2525" s="304">
        <f t="shared" si="120"/>
        <v>12500</v>
      </c>
      <c r="U2525" s="52"/>
      <c r="V2525" s="34"/>
      <c r="W2525" s="408"/>
    </row>
    <row r="2526" spans="1:23" ht="12.75" customHeight="1" x14ac:dyDescent="0.2">
      <c r="A2526" s="257">
        <v>2527</v>
      </c>
      <c r="B2526" s="44">
        <v>44566</v>
      </c>
      <c r="C2526" s="44">
        <f t="shared" si="119"/>
        <v>44566</v>
      </c>
      <c r="D2526" s="374">
        <v>22</v>
      </c>
      <c r="E2526" s="291" t="str">
        <f>IFERROR(VLOOKUP($D2526,'Clients-Live'!$A:$C,3,0),"")</f>
        <v>DATA ISMAIL FATARI</v>
      </c>
      <c r="F2526" s="291">
        <v>2</v>
      </c>
      <c r="G2526" s="34">
        <v>381</v>
      </c>
      <c r="H2526" s="34">
        <v>4155</v>
      </c>
      <c r="I2526" s="34" t="s">
        <v>1359</v>
      </c>
      <c r="J2526" s="48"/>
      <c r="K2526" s="48"/>
      <c r="L2526" s="48"/>
      <c r="M2526" s="48"/>
      <c r="N2526" s="59"/>
      <c r="O2526" s="59">
        <v>10000</v>
      </c>
      <c r="P2526" s="59"/>
      <c r="Q2526" s="268">
        <f t="shared" si="118"/>
        <v>10000</v>
      </c>
      <c r="R2526" s="61">
        <f>IF(O2526=0,0,SUMIFS(Disbursements!$T:$T,Disbursements!$B:$B,'Live Collections'!D2526,Disbursements!$D:$D,'Live Collections'!F2526))</f>
        <v>210000</v>
      </c>
      <c r="S2526" s="304">
        <f>IF(O2526&lt;=IF($O2526=0,0,SUMIFS(Disbursements!$W:$W,Disbursements!$B:$B,'Live Collections'!D297,Disbursements!$D:$D,'Live Collections'!F297)),O2526,IF($O2526=0,0,SUMIFS(Disbursements!$W:$W,Disbursements!$B:$B,'Live Collections'!D297,Disbursements!$D:$D,'Live Collections'!F297)))</f>
        <v>10000</v>
      </c>
      <c r="T2526" s="304">
        <f t="shared" si="120"/>
        <v>0</v>
      </c>
      <c r="U2526" s="52"/>
      <c r="V2526" s="34"/>
      <c r="W2526" s="408"/>
    </row>
    <row r="2527" spans="1:23" ht="12.75" customHeight="1" x14ac:dyDescent="0.2">
      <c r="A2527" s="257">
        <v>2523</v>
      </c>
      <c r="B2527" s="44">
        <v>44566</v>
      </c>
      <c r="C2527" s="44">
        <f t="shared" si="119"/>
        <v>44566</v>
      </c>
      <c r="D2527" s="374">
        <v>42</v>
      </c>
      <c r="E2527" s="291" t="str">
        <f>IFERROR(VLOOKUP($D2527,'Clients-Live'!$A:$C,3,0),"")</f>
        <v>ABAU   NOLA</v>
      </c>
      <c r="F2527" s="291">
        <f>IFERROR(INDEX(Disbursements!$D:$D,MATCH('Live Collections'!G2527,Disbursements!$C:$C,0)),"")</f>
        <v>2</v>
      </c>
      <c r="G2527" s="34">
        <v>251</v>
      </c>
      <c r="H2527" s="34">
        <v>502</v>
      </c>
      <c r="I2527" s="34" t="s">
        <v>1359</v>
      </c>
      <c r="J2527" s="48"/>
      <c r="K2527" s="48"/>
      <c r="L2527" s="48"/>
      <c r="M2527" s="48"/>
      <c r="N2527" s="59"/>
      <c r="O2527" s="59"/>
      <c r="P2527" s="59">
        <v>-18000</v>
      </c>
      <c r="Q2527" s="268">
        <f t="shared" si="118"/>
        <v>-18000</v>
      </c>
      <c r="R2527" s="61">
        <f>IF(O2527=0,0,SUMIFS(Disbursements!$T:$T,Disbursements!$B:$B,'Live Collections'!D2527,Disbursements!$D:$D,'Live Collections'!F2527))</f>
        <v>0</v>
      </c>
      <c r="S2527" s="304">
        <f>IF(O2527&lt;=IF($O2527=0,0,SUMIFS(Disbursements!$W:$W,Disbursements!$B:$B,'Live Collections'!D468,Disbursements!$D:$D,'Live Collections'!F468)),O2527,IF($O2527=0,0,SUMIFS(Disbursements!$W:$W,Disbursements!$B:$B,'Live Collections'!D468,Disbursements!$D:$D,'Live Collections'!F468)))</f>
        <v>0</v>
      </c>
      <c r="T2527" s="304">
        <f t="shared" si="120"/>
        <v>0</v>
      </c>
      <c r="U2527" s="52"/>
      <c r="V2527" s="34"/>
      <c r="W2527" s="408"/>
    </row>
    <row r="2528" spans="1:23" ht="12.75" customHeight="1" x14ac:dyDescent="0.2">
      <c r="A2528" s="257">
        <v>2524</v>
      </c>
      <c r="B2528" s="44">
        <v>44566</v>
      </c>
      <c r="C2528" s="44">
        <f t="shared" si="119"/>
        <v>44566</v>
      </c>
      <c r="D2528" s="374">
        <v>42</v>
      </c>
      <c r="E2528" s="291" t="str">
        <f>IFERROR(VLOOKUP($D2528,'Clients-Live'!$A:$C,3,0),"")</f>
        <v>ABAU   NOLA</v>
      </c>
      <c r="F2528" s="291">
        <f>IFERROR(INDEX(Disbursements!$D:$D,MATCH('Live Collections'!G2528,Disbursements!$C:$C,0)),"")</f>
        <v>2</v>
      </c>
      <c r="G2528" s="34">
        <v>251</v>
      </c>
      <c r="H2528" s="34">
        <v>4058</v>
      </c>
      <c r="I2528" s="34" t="s">
        <v>1359</v>
      </c>
      <c r="J2528" s="48"/>
      <c r="K2528" s="48"/>
      <c r="L2528" s="48"/>
      <c r="M2528" s="48"/>
      <c r="N2528" s="59"/>
      <c r="O2528" s="59">
        <v>18000</v>
      </c>
      <c r="P2528" s="59"/>
      <c r="Q2528" s="268">
        <f t="shared" si="118"/>
        <v>18000</v>
      </c>
      <c r="R2528" s="61">
        <f>IF(O2528=0,0,SUMIFS(Disbursements!$T:$T,Disbursements!$B:$B,'Live Collections'!D2528,Disbursements!$D:$D,'Live Collections'!F2528))</f>
        <v>69000</v>
      </c>
      <c r="S2528" s="304">
        <f>IF(O2528&lt;=IF($O2528=0,0,SUMIFS(Disbursements!$W:$W,Disbursements!$B:$B,'Live Collections'!D469,Disbursements!$D:$D,'Live Collections'!F469)),O2528,IF($O2528=0,0,SUMIFS(Disbursements!$W:$W,Disbursements!$B:$B,'Live Collections'!D469,Disbursements!$D:$D,'Live Collections'!F469)))</f>
        <v>0</v>
      </c>
      <c r="T2528" s="304">
        <f t="shared" si="120"/>
        <v>18000</v>
      </c>
      <c r="U2528" s="52"/>
      <c r="V2528" s="34"/>
      <c r="W2528" s="408"/>
    </row>
    <row r="2529" spans="1:23" ht="12.75" customHeight="1" x14ac:dyDescent="0.2">
      <c r="A2529" s="257">
        <v>2525</v>
      </c>
      <c r="B2529" s="44">
        <v>44566</v>
      </c>
      <c r="C2529" s="44">
        <f t="shared" si="119"/>
        <v>44566</v>
      </c>
      <c r="D2529" s="374">
        <v>78</v>
      </c>
      <c r="E2529" s="291" t="str">
        <f>IFERROR(VLOOKUP($D2529,'Clients-Live'!$A:$C,3,0),"")</f>
        <v>DIPIYO BEATRICE JOHN</v>
      </c>
      <c r="F2529" s="291">
        <f>IFERROR(INDEX(Disbursements!$D:$D,MATCH('Live Collections'!G2529,Disbursements!$C:$C,0)),"")</f>
        <v>2</v>
      </c>
      <c r="G2529" s="34">
        <v>351</v>
      </c>
      <c r="H2529" s="34">
        <v>4212</v>
      </c>
      <c r="I2529" s="34" t="s">
        <v>1357</v>
      </c>
      <c r="J2529" s="48"/>
      <c r="K2529" s="48"/>
      <c r="L2529" s="48"/>
      <c r="M2529" s="48"/>
      <c r="N2529" s="59"/>
      <c r="O2529" s="59">
        <v>470000</v>
      </c>
      <c r="P2529" s="59"/>
      <c r="Q2529" s="268">
        <f t="shared" si="118"/>
        <v>470000</v>
      </c>
      <c r="R2529" s="61">
        <f>IF(O2529=0,0,SUMIFS(Disbursements!$T:$T,Disbursements!$B:$B,'Live Collections'!D2529,Disbursements!$D:$D,'Live Collections'!F2529))</f>
        <v>540000</v>
      </c>
      <c r="S2529" s="304">
        <f>IF(O2529&lt;=IF($O2529=0,0,SUMIFS(Disbursements!$W:$W,Disbursements!$B:$B,'Live Collections'!D1008,Disbursements!$D:$D,'Live Collections'!F1008)),O2529,IF($O2529=0,0,SUMIFS(Disbursements!$W:$W,Disbursements!$B:$B,'Live Collections'!D1008,Disbursements!$D:$D,'Live Collections'!F1008)))</f>
        <v>10333.333333333328</v>
      </c>
      <c r="T2529" s="304">
        <f t="shared" si="120"/>
        <v>459666.66666666669</v>
      </c>
      <c r="U2529" s="52"/>
      <c r="V2529" s="34"/>
      <c r="W2529" s="408"/>
    </row>
    <row r="2530" spans="1:23" ht="12.75" customHeight="1" x14ac:dyDescent="0.2">
      <c r="A2530" s="257">
        <v>2535</v>
      </c>
      <c r="B2530" s="44">
        <v>44566</v>
      </c>
      <c r="C2530" s="44">
        <f t="shared" si="119"/>
        <v>44566</v>
      </c>
      <c r="D2530" s="374">
        <v>109</v>
      </c>
      <c r="E2530" s="291" t="str">
        <f>IFERROR(VLOOKUP($D2530,'Clients-Live'!$A:$C,3,0),"")</f>
        <v>TABU KISA</v>
      </c>
      <c r="F2530" s="291">
        <f>IFERROR(INDEX(Disbursements!$D:$D,MATCH('Live Collections'!G2530,Disbursements!$C:$C,0)),"")</f>
        <v>2</v>
      </c>
      <c r="G2530" s="34">
        <v>237</v>
      </c>
      <c r="H2530" s="34">
        <v>4098</v>
      </c>
      <c r="I2530" s="34" t="s">
        <v>1357</v>
      </c>
      <c r="J2530" s="48"/>
      <c r="K2530" s="48"/>
      <c r="L2530" s="48"/>
      <c r="M2530" s="48"/>
      <c r="N2530" s="59"/>
      <c r="O2530" s="59">
        <v>100000</v>
      </c>
      <c r="P2530" s="59"/>
      <c r="Q2530" s="268">
        <f t="shared" si="118"/>
        <v>100000</v>
      </c>
      <c r="R2530" s="61">
        <f>IF(O2530=0,0,SUMIFS(Disbursements!$T:$T,Disbursements!$B:$B,'Live Collections'!D2530,Disbursements!$D:$D,'Live Collections'!F2530))</f>
        <v>275000</v>
      </c>
      <c r="S2530" s="304">
        <f>IF(O2530&lt;=IF($O2530=0,0,SUMIFS(Disbursements!$W:$W,Disbursements!$B:$B,'Live Collections'!D1410,Disbursements!$D:$D,'Live Collections'!F1410)),O2530,IF($O2530=0,0,SUMIFS(Disbursements!$W:$W,Disbursements!$B:$B,'Live Collections'!D1410,Disbursements!$D:$D,'Live Collections'!F1410)))</f>
        <v>0</v>
      </c>
      <c r="T2530" s="304">
        <f t="shared" si="120"/>
        <v>100000</v>
      </c>
      <c r="U2530" s="52"/>
      <c r="V2530" s="34"/>
      <c r="W2530" s="408"/>
    </row>
    <row r="2531" spans="1:23" ht="12.75" customHeight="1" x14ac:dyDescent="0.2">
      <c r="A2531" s="257">
        <v>2526</v>
      </c>
      <c r="B2531" s="44">
        <v>44566</v>
      </c>
      <c r="C2531" s="44">
        <f t="shared" si="119"/>
        <v>44566</v>
      </c>
      <c r="D2531" s="374">
        <v>196</v>
      </c>
      <c r="E2531" s="291" t="str">
        <f>IFERROR(VLOOKUP($D2531,'Clients-Live'!$A:$C,3,0),"")</f>
        <v>AKISU JOICE</v>
      </c>
      <c r="F2531" s="291">
        <f>IFERROR(INDEX(Disbursements!$D:$D,MATCH('Live Collections'!G2531,Disbursements!$C:$C,0)),"")</f>
        <v>1</v>
      </c>
      <c r="G2531" s="34">
        <v>189</v>
      </c>
      <c r="H2531" s="34">
        <v>4210</v>
      </c>
      <c r="I2531" s="34" t="s">
        <v>1359</v>
      </c>
      <c r="J2531" s="48"/>
      <c r="K2531" s="48"/>
      <c r="L2531" s="48"/>
      <c r="M2531" s="48"/>
      <c r="N2531" s="59"/>
      <c r="O2531" s="59">
        <v>260000</v>
      </c>
      <c r="P2531" s="59"/>
      <c r="Q2531" s="268">
        <f t="shared" si="118"/>
        <v>260000</v>
      </c>
      <c r="R2531" s="61">
        <f>IF(O2531=0,0,SUMIFS(Disbursements!$T:$T,Disbursements!$B:$B,'Live Collections'!D2531,Disbursements!$D:$D,'Live Collections'!F2531))</f>
        <v>180000</v>
      </c>
      <c r="S2531" s="304"/>
      <c r="T2531" s="304">
        <f t="shared" si="120"/>
        <v>260000</v>
      </c>
      <c r="U2531" s="52"/>
      <c r="V2531" s="34"/>
      <c r="W2531" s="408"/>
    </row>
    <row r="2532" spans="1:23" ht="12.75" customHeight="1" x14ac:dyDescent="0.2">
      <c r="A2532" s="257">
        <v>2536</v>
      </c>
      <c r="B2532" s="44">
        <v>44566</v>
      </c>
      <c r="C2532" s="44">
        <f t="shared" si="119"/>
        <v>44566</v>
      </c>
      <c r="D2532" s="374">
        <v>236</v>
      </c>
      <c r="E2532" s="291" t="str">
        <f>IFERROR(VLOOKUP($D2532,'Clients-Live'!$A:$C,3,0),"")</f>
        <v>AMIJI LUCY</v>
      </c>
      <c r="F2532" s="291">
        <f>IFERROR(INDEX(Disbursements!$D:$D,MATCH('Live Collections'!G2532,Disbursements!$C:$C,0)),"")</f>
        <v>1</v>
      </c>
      <c r="G2532" s="34">
        <v>247</v>
      </c>
      <c r="H2532" s="34">
        <v>4099</v>
      </c>
      <c r="I2532" s="34" t="s">
        <v>1357</v>
      </c>
      <c r="J2532" s="48"/>
      <c r="K2532" s="48"/>
      <c r="L2532" s="48"/>
      <c r="M2532" s="48"/>
      <c r="N2532" s="59"/>
      <c r="O2532" s="59">
        <v>200000</v>
      </c>
      <c r="P2532" s="59"/>
      <c r="Q2532" s="268">
        <f t="shared" si="118"/>
        <v>200000</v>
      </c>
      <c r="R2532" s="61">
        <f>IF(O2532=0,0,SUMIFS(Disbursements!$T:$T,Disbursements!$B:$B,'Live Collections'!D2532,Disbursements!$D:$D,'Live Collections'!F2532))</f>
        <v>384000</v>
      </c>
      <c r="S2532" s="304">
        <f>IF(O2532&lt;=IF($O2532=0,0,SUMIFS(Disbursements!$W:$W,Disbursements!$B:$B,'Live Collections'!D2718,Disbursements!$D:$D,'Live Collections'!F2718)),O2532,IF($O2532=0,0,SUMIFS(Disbursements!$W:$W,Disbursements!$B:$B,'Live Collections'!D2718,Disbursements!$D:$D,'Live Collections'!F2718)))</f>
        <v>85666.666666666686</v>
      </c>
      <c r="T2532" s="304">
        <f t="shared" si="120"/>
        <v>114333.33333333331</v>
      </c>
      <c r="U2532" s="52"/>
      <c r="V2532" s="34"/>
      <c r="W2532" s="408"/>
    </row>
    <row r="2533" spans="1:23" ht="12.75" customHeight="1" x14ac:dyDescent="0.2">
      <c r="A2533" s="257">
        <v>2530</v>
      </c>
      <c r="B2533" s="44">
        <v>44566</v>
      </c>
      <c r="C2533" s="44">
        <f t="shared" si="119"/>
        <v>44566</v>
      </c>
      <c r="D2533" s="374">
        <v>262</v>
      </c>
      <c r="E2533" s="291" t="str">
        <f>IFERROR(VLOOKUP($D2533,'Clients-Live'!$A:$C,3,0),"")</f>
        <v>ALONE ZAITUN</v>
      </c>
      <c r="F2533" s="291">
        <f>IFERROR(INDEX(Disbursements!$D:$D,MATCH('Live Collections'!G2533,Disbursements!$C:$C,0)),"")</f>
        <v>1</v>
      </c>
      <c r="G2533" s="34">
        <v>297</v>
      </c>
      <c r="H2533" s="34">
        <v>4152</v>
      </c>
      <c r="I2533" s="34" t="s">
        <v>1357</v>
      </c>
      <c r="J2533" s="48"/>
      <c r="K2533" s="48"/>
      <c r="L2533" s="48"/>
      <c r="M2533" s="48"/>
      <c r="N2533" s="59"/>
      <c r="O2533" s="59">
        <v>76700</v>
      </c>
      <c r="P2533" s="59"/>
      <c r="Q2533" s="268">
        <f t="shared" si="118"/>
        <v>76700</v>
      </c>
      <c r="R2533" s="61">
        <f>IF(O2533=0,0,SUMIFS(Disbursements!$T:$T,Disbursements!$B:$B,'Live Collections'!D2533,Disbursements!$D:$D,'Live Collections'!F2533))</f>
        <v>77000</v>
      </c>
      <c r="S2533" s="304">
        <f>IF(O2533&lt;=IF($O2533=0,0,SUMIFS(Disbursements!$W:$W,Disbursements!$B:$B,'Live Collections'!D2896,Disbursements!$D:$D,'Live Collections'!F2896)),O2533,IF($O2533=0,0,SUMIFS(Disbursements!$W:$W,Disbursements!$B:$B,'Live Collections'!D2896,Disbursements!$D:$D,'Live Collections'!F2896)))</f>
        <v>15000</v>
      </c>
      <c r="T2533" s="304">
        <f t="shared" si="120"/>
        <v>61700</v>
      </c>
      <c r="U2533" s="52"/>
      <c r="V2533" s="34"/>
      <c r="W2533" s="408"/>
    </row>
    <row r="2534" spans="1:23" ht="12.75" customHeight="1" x14ac:dyDescent="0.2">
      <c r="A2534" s="257">
        <v>2528</v>
      </c>
      <c r="B2534" s="44">
        <v>44566</v>
      </c>
      <c r="C2534" s="44">
        <f t="shared" si="119"/>
        <v>44566</v>
      </c>
      <c r="D2534" s="374">
        <v>266</v>
      </c>
      <c r="E2534" s="291" t="str">
        <f>IFERROR(VLOOKUP($D2534,'Clients-Live'!$A:$C,3,0),"")</f>
        <v>TAIBO AMANA</v>
      </c>
      <c r="F2534" s="291">
        <f>IFERROR(INDEX(Disbursements!$D:$D,MATCH('Live Collections'!G2534,Disbursements!$C:$C,0)),"")</f>
        <v>1</v>
      </c>
      <c r="G2534" s="34">
        <v>336</v>
      </c>
      <c r="H2534" s="34">
        <v>4154</v>
      </c>
      <c r="I2534" s="34" t="s">
        <v>1358</v>
      </c>
      <c r="J2534" s="48"/>
      <c r="K2534" s="48"/>
      <c r="L2534" s="48"/>
      <c r="M2534" s="48"/>
      <c r="N2534" s="59"/>
      <c r="O2534" s="59">
        <v>20000</v>
      </c>
      <c r="P2534" s="59"/>
      <c r="Q2534" s="268">
        <f t="shared" si="118"/>
        <v>20000</v>
      </c>
      <c r="R2534" s="61">
        <f>IF(O2534=0,0,SUMIFS(Disbursements!$T:$T,Disbursements!$B:$B,'Live Collections'!D2534,Disbursements!$D:$D,'Live Collections'!F2534))</f>
        <v>120000</v>
      </c>
      <c r="S2534" s="304"/>
      <c r="T2534" s="304">
        <f t="shared" si="120"/>
        <v>20000</v>
      </c>
      <c r="U2534" s="52"/>
      <c r="V2534" s="34"/>
      <c r="W2534" s="408"/>
    </row>
    <row r="2535" spans="1:23" ht="12.75" customHeight="1" x14ac:dyDescent="0.2">
      <c r="A2535" s="257">
        <v>2529</v>
      </c>
      <c r="B2535" s="44">
        <v>44566</v>
      </c>
      <c r="C2535" s="44">
        <f t="shared" si="119"/>
        <v>44566</v>
      </c>
      <c r="D2535" s="374">
        <v>287</v>
      </c>
      <c r="E2535" s="291" t="str">
        <f>IFERROR(VLOOKUP($D2535,'Clients-Live'!$A:$C,3,0),"")</f>
        <v>FAITH JOSEPHINE</v>
      </c>
      <c r="F2535" s="291">
        <f>IFERROR(INDEX(Disbursements!$D:$D,MATCH('Live Collections'!G2535,Disbursements!$C:$C,0)),"")</f>
        <v>1</v>
      </c>
      <c r="G2535" s="34">
        <v>350</v>
      </c>
      <c r="H2535" s="34">
        <v>4153</v>
      </c>
      <c r="I2535" s="34" t="s">
        <v>1359</v>
      </c>
      <c r="J2535" s="48"/>
      <c r="K2535" s="48"/>
      <c r="L2535" s="48"/>
      <c r="M2535" s="48"/>
      <c r="N2535" s="59"/>
      <c r="O2535" s="59">
        <v>260000</v>
      </c>
      <c r="P2535" s="59"/>
      <c r="Q2535" s="268">
        <f t="shared" si="118"/>
        <v>260000</v>
      </c>
      <c r="R2535" s="61">
        <f>IF(O2535=0,0,SUMIFS(Disbursements!$T:$T,Disbursements!$B:$B,'Live Collections'!D2535,Disbursements!$D:$D,'Live Collections'!F2535))</f>
        <v>150000</v>
      </c>
      <c r="S2535" s="304">
        <f>IF(O2535&lt;=IF($O2535=0,0,SUMIFS(Disbursements!$W:$W,Disbursements!$B:$B,'Live Collections'!D3034,Disbursements!$D:$D,'Live Collections'!F3034)),O2535,IF($O2535=0,0,SUMIFS(Disbursements!$W:$W,Disbursements!$B:$B,'Live Collections'!D3034,Disbursements!$D:$D,'Live Collections'!F3034)))</f>
        <v>50000</v>
      </c>
      <c r="T2535" s="304">
        <f t="shared" si="120"/>
        <v>210000</v>
      </c>
      <c r="U2535" s="52"/>
      <c r="V2535" s="34"/>
      <c r="W2535" s="408"/>
    </row>
    <row r="2536" spans="1:23" ht="12.75" customHeight="1" x14ac:dyDescent="0.2">
      <c r="A2536" s="257">
        <v>2533</v>
      </c>
      <c r="B2536" s="44">
        <v>44566</v>
      </c>
      <c r="C2536" s="44">
        <f t="shared" si="119"/>
        <v>44566</v>
      </c>
      <c r="D2536" s="374">
        <v>308</v>
      </c>
      <c r="E2536" s="291" t="str">
        <f>IFERROR(VLOOKUP($D2536,'Clients-Live'!$A:$C,3,0),"")</f>
        <v>AYILA CHRISTOPHER</v>
      </c>
      <c r="F2536" s="291" t="str">
        <f>IFERROR(INDEX(Disbursements!$D:$D,MATCH('Live Collections'!G2536,Disbursements!$C:$C,0)),"")</f>
        <v/>
      </c>
      <c r="G2536" s="34"/>
      <c r="H2536" s="34">
        <v>4151</v>
      </c>
      <c r="I2536" s="34" t="s">
        <v>1357</v>
      </c>
      <c r="J2536" s="48"/>
      <c r="K2536" s="48"/>
      <c r="L2536" s="48">
        <v>30000</v>
      </c>
      <c r="M2536" s="48">
        <v>5000</v>
      </c>
      <c r="N2536" s="59"/>
      <c r="O2536" s="59"/>
      <c r="P2536" s="59"/>
      <c r="Q2536" s="268">
        <f t="shared" si="118"/>
        <v>35000</v>
      </c>
      <c r="R2536" s="61">
        <f>IF(O2536=0,0,SUMIFS(Disbursements!$T:$T,Disbursements!$B:$B,'Live Collections'!D2536,Disbursements!$D:$D,'Live Collections'!F2536))</f>
        <v>0</v>
      </c>
      <c r="S2536" s="304">
        <f>IF(O2536&lt;=IF($O2536=0,0,SUMIFS(Disbursements!$W:$W,Disbursements!$B:$B,'Live Collections'!D3107,Disbursements!$D:$D,'Live Collections'!F3107)),O2536,IF($O2536=0,0,SUMIFS(Disbursements!$W:$W,Disbursements!$B:$B,'Live Collections'!D3107,Disbursements!$D:$D,'Live Collections'!F3107)))</f>
        <v>0</v>
      </c>
      <c r="T2536" s="304">
        <f t="shared" si="120"/>
        <v>0</v>
      </c>
      <c r="U2536" s="52"/>
      <c r="V2536" s="34"/>
      <c r="W2536" s="408"/>
    </row>
    <row r="2537" spans="1:23" ht="12.75" customHeight="1" x14ac:dyDescent="0.2">
      <c r="A2537" s="257">
        <v>2534</v>
      </c>
      <c r="B2537" s="44">
        <v>44566</v>
      </c>
      <c r="C2537" s="44">
        <f t="shared" si="119"/>
        <v>44566</v>
      </c>
      <c r="D2537" s="374">
        <v>308</v>
      </c>
      <c r="E2537" s="291" t="str">
        <f>IFERROR(VLOOKUP($D2537,'Clients-Live'!$A:$C,3,0),"")</f>
        <v>AYILA CHRISTOPHER</v>
      </c>
      <c r="F2537" s="291" t="str">
        <f>IFERROR(INDEX(Disbursements!$D:$D,MATCH('Live Collections'!G2537,Disbursements!$C:$C,0)),"")</f>
        <v/>
      </c>
      <c r="G2537" s="34"/>
      <c r="H2537" s="34">
        <v>4100</v>
      </c>
      <c r="I2537" s="34" t="s">
        <v>1716</v>
      </c>
      <c r="J2537" s="48">
        <v>15000</v>
      </c>
      <c r="K2537" s="48">
        <v>5000</v>
      </c>
      <c r="L2537" s="48"/>
      <c r="M2537" s="48"/>
      <c r="N2537" s="59"/>
      <c r="O2537" s="59"/>
      <c r="P2537" s="59"/>
      <c r="Q2537" s="268">
        <f t="shared" si="118"/>
        <v>20000</v>
      </c>
      <c r="R2537" s="61">
        <f>IF(O2537=0,0,SUMIFS(Disbursements!$T:$T,Disbursements!$B:$B,'Live Collections'!D2537,Disbursements!$D:$D,'Live Collections'!F2537))</f>
        <v>0</v>
      </c>
      <c r="S2537" s="304">
        <f>IF(O2537&lt;=IF($O2537=0,0,SUMIFS(Disbursements!$W:$W,Disbursements!$B:$B,'Live Collections'!D3108,Disbursements!$D:$D,'Live Collections'!F3108)),O2537,IF($O2537=0,0,SUMIFS(Disbursements!$W:$W,Disbursements!$B:$B,'Live Collections'!D3108,Disbursements!$D:$D,'Live Collections'!F3108)))</f>
        <v>0</v>
      </c>
      <c r="T2537" s="304">
        <f t="shared" si="120"/>
        <v>0</v>
      </c>
      <c r="U2537" s="52"/>
      <c r="V2537" s="34"/>
      <c r="W2537" s="408"/>
    </row>
    <row r="2538" spans="1:23" ht="12.75" customHeight="1" x14ac:dyDescent="0.2">
      <c r="A2538" s="257">
        <v>2538</v>
      </c>
      <c r="B2538" s="44">
        <v>44567</v>
      </c>
      <c r="C2538" s="44">
        <f t="shared" si="119"/>
        <v>44567</v>
      </c>
      <c r="D2538" s="374">
        <v>52</v>
      </c>
      <c r="E2538" s="291" t="str">
        <f>IFERROR(VLOOKUP($D2538,'Clients-Live'!$A:$C,3,0),"")</f>
        <v>EDEZU PEACE IRENE</v>
      </c>
      <c r="F2538" s="291">
        <f>IFERROR(INDEX(Disbursements!$D:$D,MATCH('Live Collections'!G2538,Disbursements!$C:$C,0)),"")</f>
        <v>2</v>
      </c>
      <c r="G2538" s="34">
        <v>275</v>
      </c>
      <c r="H2538" s="34">
        <v>4221</v>
      </c>
      <c r="I2538" s="34" t="s">
        <v>1357</v>
      </c>
      <c r="J2538" s="48"/>
      <c r="K2538" s="48"/>
      <c r="L2538" s="48"/>
      <c r="M2538" s="48"/>
      <c r="N2538" s="59"/>
      <c r="O2538" s="59">
        <v>40000</v>
      </c>
      <c r="P2538" s="59"/>
      <c r="Q2538" s="268">
        <f t="shared" si="118"/>
        <v>40000</v>
      </c>
      <c r="R2538" s="61">
        <f>IF(O2538=0,0,SUMIFS(Disbursements!$T:$T,Disbursements!$B:$B,'Live Collections'!D2538,Disbursements!$D:$D,'Live Collections'!F2538))</f>
        <v>150000</v>
      </c>
      <c r="S2538" s="304">
        <f>IF(O2538&lt;=IF($O2538=0,0,SUMIFS(Disbursements!$W:$W,Disbursements!$B:$B,'Live Collections'!D613,Disbursements!$D:$D,'Live Collections'!F613)),O2538,IF($O2538=0,0,SUMIFS(Disbursements!$W:$W,Disbursements!$B:$B,'Live Collections'!D613,Disbursements!$D:$D,'Live Collections'!F613)))</f>
        <v>25000</v>
      </c>
      <c r="T2538" s="304">
        <f t="shared" si="120"/>
        <v>15000</v>
      </c>
      <c r="U2538" s="52"/>
      <c r="V2538" s="34"/>
      <c r="W2538" s="408"/>
    </row>
    <row r="2539" spans="1:23" ht="12.75" customHeight="1" x14ac:dyDescent="0.2">
      <c r="A2539" s="257">
        <v>2537</v>
      </c>
      <c r="B2539" s="44">
        <v>44567</v>
      </c>
      <c r="C2539" s="44">
        <f t="shared" si="119"/>
        <v>44567</v>
      </c>
      <c r="D2539" s="374">
        <v>66</v>
      </c>
      <c r="E2539" s="291" t="str">
        <f>IFERROR(VLOOKUP($D2539,'Clients-Live'!$A:$C,3,0),"")</f>
        <v>DENAYA NYAMAZA</v>
      </c>
      <c r="F2539" s="291">
        <f>IFERROR(INDEX(Disbursements!$D:$D,MATCH('Live Collections'!G2539,Disbursements!$C:$C,0)),"")</f>
        <v>2</v>
      </c>
      <c r="G2539" s="34">
        <v>300</v>
      </c>
      <c r="H2539" s="34">
        <v>4351</v>
      </c>
      <c r="I2539" s="34" t="s">
        <v>1357</v>
      </c>
      <c r="J2539" s="48"/>
      <c r="K2539" s="48"/>
      <c r="L2539" s="48"/>
      <c r="M2539" s="48"/>
      <c r="N2539" s="59"/>
      <c r="O2539" s="59">
        <v>100000</v>
      </c>
      <c r="P2539" s="59"/>
      <c r="Q2539" s="268">
        <f t="shared" si="118"/>
        <v>100000</v>
      </c>
      <c r="R2539" s="61">
        <f>IF(O2539=0,0,SUMIFS(Disbursements!$T:$T,Disbursements!$B:$B,'Live Collections'!D2539,Disbursements!$D:$D,'Live Collections'!F2539))</f>
        <v>109000</v>
      </c>
      <c r="S2539" s="304">
        <f>IF(O2539&lt;=IF($O2539=0,0,SUMIFS(Disbursements!$W:$W,Disbursements!$B:$B,'Live Collections'!D820,Disbursements!$D:$D,'Live Collections'!F820)),O2539,IF($O2539=0,0,SUMIFS(Disbursements!$W:$W,Disbursements!$B:$B,'Live Collections'!D820,Disbursements!$D:$D,'Live Collections'!F820)))</f>
        <v>20666.666666666657</v>
      </c>
      <c r="T2539" s="304">
        <f t="shared" si="120"/>
        <v>79333.333333333343</v>
      </c>
      <c r="U2539" s="52"/>
      <c r="V2539" s="34"/>
      <c r="W2539" s="408"/>
    </row>
    <row r="2540" spans="1:23" ht="12.75" customHeight="1" x14ac:dyDescent="0.2">
      <c r="A2540" s="257">
        <v>2542</v>
      </c>
      <c r="B2540" s="44">
        <v>44567</v>
      </c>
      <c r="C2540" s="44">
        <f t="shared" si="119"/>
        <v>44567</v>
      </c>
      <c r="D2540" s="374">
        <v>69</v>
      </c>
      <c r="E2540" s="291" t="str">
        <f>IFERROR(VLOOKUP($D2540,'Clients-Live'!$A:$C,3,0),"")</f>
        <v>SADIA JOYCE</v>
      </c>
      <c r="F2540" s="291">
        <f>IFERROR(INDEX(Disbursements!$D:$D,MATCH('Live Collections'!G2540,Disbursements!$C:$C,0)),"")</f>
        <v>2</v>
      </c>
      <c r="G2540" s="34">
        <v>311</v>
      </c>
      <c r="H2540" s="34">
        <v>4214</v>
      </c>
      <c r="I2540" s="34" t="s">
        <v>1359</v>
      </c>
      <c r="J2540" s="48"/>
      <c r="K2540" s="48"/>
      <c r="L2540" s="48"/>
      <c r="M2540" s="48"/>
      <c r="N2540" s="59"/>
      <c r="O2540" s="59">
        <v>120000</v>
      </c>
      <c r="P2540" s="59"/>
      <c r="Q2540" s="268">
        <f t="shared" si="118"/>
        <v>120000</v>
      </c>
      <c r="R2540" s="61">
        <f>IF(O2540=0,0,SUMIFS(Disbursements!$T:$T,Disbursements!$B:$B,'Live Collections'!D2540,Disbursements!$D:$D,'Live Collections'!F2540))</f>
        <v>120000</v>
      </c>
      <c r="S2540" s="304">
        <f>IF(O2540&lt;=IF($O2540=0,0,SUMIFS(Disbursements!$W:$W,Disbursements!$B:$B,'Live Collections'!D861,Disbursements!$D:$D,'Live Collections'!F861)),O2540,IF($O2540=0,0,SUMIFS(Disbursements!$W:$W,Disbursements!$B:$B,'Live Collections'!D861,Disbursements!$D:$D,'Live Collections'!F861)))</f>
        <v>35333.333333333328</v>
      </c>
      <c r="T2540" s="304">
        <f t="shared" si="120"/>
        <v>84666.666666666672</v>
      </c>
      <c r="U2540" s="52"/>
      <c r="V2540" s="34"/>
      <c r="W2540" s="408"/>
    </row>
    <row r="2541" spans="1:23" ht="12.75" customHeight="1" x14ac:dyDescent="0.2">
      <c r="A2541" s="257">
        <v>2544</v>
      </c>
      <c r="B2541" s="44">
        <v>44567</v>
      </c>
      <c r="C2541" s="44">
        <f t="shared" si="119"/>
        <v>44567</v>
      </c>
      <c r="D2541" s="374">
        <v>111</v>
      </c>
      <c r="E2541" s="291" t="str">
        <f>IFERROR(VLOOKUP($D2541,'Clients-Live'!$A:$C,3,0),"")</f>
        <v>ANDAKU CHARLES JULIAN</v>
      </c>
      <c r="F2541" s="291">
        <f>IFERROR(INDEX(Disbursements!$D:$D,MATCH('Live Collections'!G2541,Disbursements!$C:$C,0)),"")</f>
        <v>2</v>
      </c>
      <c r="G2541" s="34">
        <v>236</v>
      </c>
      <c r="H2541" s="34">
        <v>4403</v>
      </c>
      <c r="I2541" s="34" t="s">
        <v>1357</v>
      </c>
      <c r="J2541" s="48"/>
      <c r="K2541" s="48"/>
      <c r="L2541" s="48"/>
      <c r="M2541" s="48"/>
      <c r="N2541" s="59"/>
      <c r="O2541" s="59">
        <v>300000</v>
      </c>
      <c r="P2541" s="59"/>
      <c r="Q2541" s="268">
        <f t="shared" si="118"/>
        <v>300000</v>
      </c>
      <c r="R2541" s="61">
        <f>IF(O2541=0,0,SUMIFS(Disbursements!$T:$T,Disbursements!$B:$B,'Live Collections'!D2541,Disbursements!$D:$D,'Live Collections'!F2541))</f>
        <v>327000</v>
      </c>
      <c r="S2541" s="64">
        <v>180999.99999999994</v>
      </c>
      <c r="T2541" s="304">
        <f t="shared" si="120"/>
        <v>119000.00000000006</v>
      </c>
      <c r="U2541" s="52"/>
      <c r="V2541" s="34"/>
      <c r="W2541" s="408"/>
    </row>
    <row r="2542" spans="1:23" ht="12.75" customHeight="1" x14ac:dyDescent="0.2">
      <c r="A2542" s="257">
        <v>2541</v>
      </c>
      <c r="B2542" s="44">
        <v>44567</v>
      </c>
      <c r="C2542" s="44">
        <f t="shared" si="119"/>
        <v>44567</v>
      </c>
      <c r="D2542" s="374">
        <v>121</v>
      </c>
      <c r="E2542" s="291" t="str">
        <f>IFERROR(VLOOKUP($D2542,'Clients-Live'!$A:$C,3,0),"")</f>
        <v>AMAYO CHARLES</v>
      </c>
      <c r="F2542" s="291">
        <f>IFERROR(INDEX(Disbursements!$D:$D,MATCH('Live Collections'!G2542,Disbursements!$C:$C,0)),"")</f>
        <v>1</v>
      </c>
      <c r="G2542" s="34">
        <v>105</v>
      </c>
      <c r="H2542" s="34">
        <v>4215</v>
      </c>
      <c r="I2542" s="34" t="s">
        <v>1358</v>
      </c>
      <c r="J2542" s="48"/>
      <c r="K2542" s="48"/>
      <c r="L2542" s="48"/>
      <c r="M2542" s="48"/>
      <c r="N2542" s="59"/>
      <c r="O2542" s="59">
        <v>40000</v>
      </c>
      <c r="P2542" s="59"/>
      <c r="Q2542" s="268">
        <f t="shared" si="118"/>
        <v>40000</v>
      </c>
      <c r="R2542" s="61">
        <f>IF(O2542=0,0,SUMIFS(Disbursements!$T:$T,Disbursements!$B:$B,'Live Collections'!D2542,Disbursements!$D:$D,'Live Collections'!F2542))</f>
        <v>240000</v>
      </c>
      <c r="S2542" s="304"/>
      <c r="T2542" s="304">
        <f t="shared" si="120"/>
        <v>40000</v>
      </c>
      <c r="U2542" s="52"/>
      <c r="V2542" s="34"/>
      <c r="W2542" s="408"/>
    </row>
    <row r="2543" spans="1:23" ht="12.75" customHeight="1" x14ac:dyDescent="0.2">
      <c r="A2543" s="257">
        <v>2539</v>
      </c>
      <c r="B2543" s="44">
        <v>44567</v>
      </c>
      <c r="C2543" s="44">
        <f t="shared" si="119"/>
        <v>44567</v>
      </c>
      <c r="D2543" s="374">
        <v>159</v>
      </c>
      <c r="E2543" s="291" t="str">
        <f>IFERROR(VLOOKUP($D2543,'Clients-Live'!$A:$C,3,0),"")</f>
        <v>ALICE AMINA</v>
      </c>
      <c r="F2543" s="291">
        <f>IFERROR(INDEX(Disbursements!$D:$D,MATCH('Live Collections'!G2543,Disbursements!$C:$C,0)),"")</f>
        <v>1</v>
      </c>
      <c r="G2543" s="34">
        <v>150</v>
      </c>
      <c r="H2543" s="34">
        <v>4219</v>
      </c>
      <c r="I2543" s="34" t="s">
        <v>1358</v>
      </c>
      <c r="J2543" s="48"/>
      <c r="K2543" s="48"/>
      <c r="L2543" s="48"/>
      <c r="M2543" s="48"/>
      <c r="N2543" s="59"/>
      <c r="O2543" s="59">
        <v>10000</v>
      </c>
      <c r="P2543" s="59"/>
      <c r="Q2543" s="268">
        <f t="shared" ref="Q2543:Q2607" si="121">SUM(J2543:P2543)</f>
        <v>10000</v>
      </c>
      <c r="R2543" s="61">
        <f>IF(O2543=0,0,SUMIFS(Disbursements!$T:$T,Disbursements!$B:$B,'Live Collections'!D2543,Disbursements!$D:$D,'Live Collections'!F2543))</f>
        <v>150000</v>
      </c>
      <c r="S2543" s="304">
        <f>IF(O2543&lt;=IF($O2543=0,0,SUMIFS(Disbursements!$W:$W,Disbursements!$B:$B,'Live Collections'!D1986,Disbursements!$D:$D,'Live Collections'!F1986)),O2543,IF($O2543=0,0,SUMIFS(Disbursements!$W:$W,Disbursements!$B:$B,'Live Collections'!D1986,Disbursements!$D:$D,'Live Collections'!F1986)))</f>
        <v>10000</v>
      </c>
      <c r="T2543" s="304">
        <f t="shared" si="120"/>
        <v>0</v>
      </c>
      <c r="U2543" s="52"/>
      <c r="V2543" s="34"/>
      <c r="W2543" s="408"/>
    </row>
    <row r="2544" spans="1:23" ht="12.75" customHeight="1" x14ac:dyDescent="0.2">
      <c r="A2544" s="257">
        <v>2545</v>
      </c>
      <c r="B2544" s="44">
        <v>44567</v>
      </c>
      <c r="C2544" s="44">
        <f t="shared" si="119"/>
        <v>44567</v>
      </c>
      <c r="D2544" s="374">
        <v>170</v>
      </c>
      <c r="E2544" s="291" t="str">
        <f>IFERROR(VLOOKUP($D2544,'Clients-Live'!$A:$C,3,0),"")</f>
        <v xml:space="preserve">KABEBI RAIMA </v>
      </c>
      <c r="F2544" s="291">
        <f>IFERROR(INDEX(Disbursements!$D:$D,MATCH('Live Collections'!G2544,Disbursements!$C:$C,0)),"")</f>
        <v>2</v>
      </c>
      <c r="G2544" s="34">
        <v>302</v>
      </c>
      <c r="H2544" s="34">
        <v>4404</v>
      </c>
      <c r="I2544" s="34" t="s">
        <v>1359</v>
      </c>
      <c r="J2544" s="48"/>
      <c r="K2544" s="48"/>
      <c r="L2544" s="48"/>
      <c r="M2544" s="48"/>
      <c r="N2544" s="59"/>
      <c r="O2544" s="59">
        <v>125000</v>
      </c>
      <c r="P2544" s="59"/>
      <c r="Q2544" s="268">
        <f t="shared" si="121"/>
        <v>125000</v>
      </c>
      <c r="R2544" s="61">
        <f>IF(O2544=0,0,SUMIFS(Disbursements!$T:$T,Disbursements!$B:$B,'Live Collections'!D2544,Disbursements!$D:$D,'Live Collections'!F2544))</f>
        <v>125000</v>
      </c>
      <c r="S2544" s="304">
        <f>IF(O2544&lt;=IF($O2544=0,0,SUMIFS(Disbursements!$W:$W,Disbursements!$B:$B,'Live Collections'!D2498,Disbursements!$D:$D,'Live Collections'!F2498)),O2544,IF($O2544=0,0,SUMIFS(Disbursements!$W:$W,Disbursements!$B:$B,'Live Collections'!D2498,Disbursements!$D:$D,'Live Collections'!F2498)))</f>
        <v>0</v>
      </c>
      <c r="T2544" s="304">
        <f t="shared" si="120"/>
        <v>125000</v>
      </c>
      <c r="U2544" s="52"/>
      <c r="V2544" s="34"/>
      <c r="W2544" s="408"/>
    </row>
    <row r="2545" spans="1:23" ht="12.75" customHeight="1" x14ac:dyDescent="0.2">
      <c r="A2545" s="257">
        <v>2543</v>
      </c>
      <c r="B2545" s="44">
        <v>44567</v>
      </c>
      <c r="C2545" s="44">
        <f t="shared" si="119"/>
        <v>44567</v>
      </c>
      <c r="D2545" s="374">
        <v>215</v>
      </c>
      <c r="E2545" s="291" t="str">
        <f>IFERROR(VLOOKUP($D2545,'Clients-Live'!$A:$C,3,0),"")</f>
        <v>BRANI MUSA</v>
      </c>
      <c r="F2545" s="291">
        <f>IFERROR(INDEX(Disbursements!$D:$D,MATCH('Live Collections'!G2545,Disbursements!$C:$C,0)),"")</f>
        <v>2</v>
      </c>
      <c r="G2545" s="34">
        <v>343</v>
      </c>
      <c r="H2545" s="34">
        <v>4402</v>
      </c>
      <c r="I2545" s="34" t="s">
        <v>1357</v>
      </c>
      <c r="J2545" s="48"/>
      <c r="K2545" s="48"/>
      <c r="L2545" s="48"/>
      <c r="M2545" s="48"/>
      <c r="N2545" s="59"/>
      <c r="O2545" s="59">
        <v>70000</v>
      </c>
      <c r="P2545" s="59"/>
      <c r="Q2545" s="268">
        <f t="shared" si="121"/>
        <v>70000</v>
      </c>
      <c r="R2545" s="61">
        <f>IF(O2545=0,0,SUMIFS(Disbursements!$T:$T,Disbursements!$B:$B,'Live Collections'!D2545,Disbursements!$D:$D,'Live Collections'!F2545))</f>
        <v>369000</v>
      </c>
      <c r="S2545" s="304">
        <f>IF(O2545&lt;=IF($O2545=0,0,SUMIFS(Disbursements!$W:$W,Disbursements!$B:$B,'Live Collections'!D2538,Disbursements!$D:$D,'Live Collections'!F2538)),O2545,IF($O2545=0,0,SUMIFS(Disbursements!$W:$W,Disbursements!$B:$B,'Live Collections'!D2538,Disbursements!$D:$D,'Live Collections'!F2538)))</f>
        <v>25000</v>
      </c>
      <c r="T2545" s="304">
        <f t="shared" si="120"/>
        <v>45000</v>
      </c>
      <c r="U2545" s="52"/>
      <c r="V2545" s="34"/>
      <c r="W2545" s="408"/>
    </row>
    <row r="2546" spans="1:23" ht="12.75" customHeight="1" x14ac:dyDescent="0.2">
      <c r="A2546" s="257">
        <v>2540</v>
      </c>
      <c r="B2546" s="44">
        <v>44567</v>
      </c>
      <c r="C2546" s="44">
        <f t="shared" si="119"/>
        <v>44567</v>
      </c>
      <c r="D2546" s="374">
        <v>263</v>
      </c>
      <c r="E2546" s="291" t="str">
        <f>IFERROR(VLOOKUP($D2546,'Clients-Live'!$A:$C,3,0),"")</f>
        <v>DATA SAFI DUIKI</v>
      </c>
      <c r="F2546" s="291">
        <f>IFERROR(INDEX(Disbursements!$D:$D,MATCH('Live Collections'!G2546,Disbursements!$C:$C,0)),"")</f>
        <v>1</v>
      </c>
      <c r="G2546" s="34">
        <v>307</v>
      </c>
      <c r="H2546" s="34">
        <v>4218</v>
      </c>
      <c r="I2546" s="34" t="s">
        <v>1357</v>
      </c>
      <c r="J2546" s="48"/>
      <c r="K2546" s="48"/>
      <c r="L2546" s="48"/>
      <c r="M2546" s="48"/>
      <c r="N2546" s="59"/>
      <c r="O2546" s="59">
        <v>800000</v>
      </c>
      <c r="P2546" s="59"/>
      <c r="Q2546" s="268">
        <f t="shared" si="121"/>
        <v>800000</v>
      </c>
      <c r="R2546" s="61">
        <f>IF(O2546=0,0,SUMIFS(Disbursements!$T:$T,Disbursements!$B:$B,'Live Collections'!D2546,Disbursements!$D:$D,'Live Collections'!F2546))</f>
        <v>575000</v>
      </c>
      <c r="S2546" s="304">
        <f>IF(O2546&lt;=IF($O2546=0,0,SUMIFS(Disbursements!$W:$W,Disbursements!$B:$B,'Live Collections'!D2903,Disbursements!$D:$D,'Live Collections'!F2903)),O2546,IF($O2546=0,0,SUMIFS(Disbursements!$W:$W,Disbursements!$B:$B,'Live Collections'!D2903,Disbursements!$D:$D,'Live Collections'!F2903)))</f>
        <v>15000</v>
      </c>
      <c r="T2546" s="304">
        <f t="shared" si="120"/>
        <v>785000</v>
      </c>
      <c r="U2546" s="52"/>
      <c r="V2546" s="34"/>
      <c r="W2546" s="408"/>
    </row>
    <row r="2547" spans="1:23" ht="12.75" customHeight="1" x14ac:dyDescent="0.2">
      <c r="A2547" s="257">
        <v>2546</v>
      </c>
      <c r="B2547" s="44">
        <v>44567</v>
      </c>
      <c r="C2547" s="44">
        <f t="shared" si="119"/>
        <v>44567</v>
      </c>
      <c r="D2547" s="374">
        <v>309</v>
      </c>
      <c r="E2547" s="291" t="str">
        <f>IFERROR(VLOOKUP($D2547,'Clients-Live'!$A:$C,3,0),"")</f>
        <v>NAMBOZO HALIMA</v>
      </c>
      <c r="F2547" s="291" t="str">
        <f>IFERROR(INDEX(Disbursements!$D:$D,MATCH('Live Collections'!G2547,Disbursements!$C:$C,0)),"")</f>
        <v/>
      </c>
      <c r="G2547" s="34"/>
      <c r="H2547" s="34">
        <v>4156</v>
      </c>
      <c r="I2547" s="34" t="s">
        <v>1716</v>
      </c>
      <c r="J2547" s="48">
        <v>15000</v>
      </c>
      <c r="K2547" s="48">
        <v>5000</v>
      </c>
      <c r="L2547" s="48"/>
      <c r="M2547" s="48"/>
      <c r="N2547" s="59"/>
      <c r="O2547" s="59"/>
      <c r="P2547" s="59"/>
      <c r="Q2547" s="268">
        <f t="shared" si="121"/>
        <v>20000</v>
      </c>
      <c r="R2547" s="61">
        <f>IF(O2547=0,0,SUMIFS(Disbursements!$T:$T,Disbursements!$B:$B,'Live Collections'!D2547,Disbursements!$D:$D,'Live Collections'!F2547))</f>
        <v>0</v>
      </c>
      <c r="S2547" s="304">
        <f>IF(O2547&lt;=IF($O2547=0,0,SUMIFS(Disbursements!$W:$W,Disbursements!$B:$B,'Live Collections'!D3111,Disbursements!$D:$D,'Live Collections'!F3111)),O2547,IF($O2547=0,0,SUMIFS(Disbursements!$W:$W,Disbursements!$B:$B,'Live Collections'!D3111,Disbursements!$D:$D,'Live Collections'!F3111)))</f>
        <v>0</v>
      </c>
      <c r="T2547" s="304">
        <f t="shared" si="120"/>
        <v>0</v>
      </c>
      <c r="U2547" s="52"/>
      <c r="V2547" s="34"/>
      <c r="W2547" s="408"/>
    </row>
    <row r="2548" spans="1:23" ht="12.75" customHeight="1" x14ac:dyDescent="0.2">
      <c r="A2548" s="257">
        <v>2562</v>
      </c>
      <c r="B2548" s="44">
        <v>44568</v>
      </c>
      <c r="C2548" s="44">
        <f t="shared" si="119"/>
        <v>44568</v>
      </c>
      <c r="D2548" s="374">
        <v>42</v>
      </c>
      <c r="E2548" s="291" t="str">
        <f>IFERROR(VLOOKUP($D2548,'Clients-Live'!$A:$C,3,0),"")</f>
        <v>ABAU   NOLA</v>
      </c>
      <c r="F2548" s="291" t="str">
        <f>IFERROR(INDEX(Disbursements!$D:$D,MATCH('Live Collections'!G2548,Disbursements!$C:$C,0)),"")</f>
        <v/>
      </c>
      <c r="G2548" s="34"/>
      <c r="H2548" s="34">
        <v>4223</v>
      </c>
      <c r="I2548" s="34" t="s">
        <v>1359</v>
      </c>
      <c r="J2548" s="48"/>
      <c r="K2548" s="48"/>
      <c r="L2548" s="48">
        <v>15000</v>
      </c>
      <c r="M2548" s="48">
        <v>5000</v>
      </c>
      <c r="N2548" s="59"/>
      <c r="O2548" s="59"/>
      <c r="P2548" s="59"/>
      <c r="Q2548" s="268">
        <f t="shared" si="121"/>
        <v>20000</v>
      </c>
      <c r="R2548" s="61">
        <f>IF(O2548=0,0,SUMIFS(Disbursements!$T:$T,Disbursements!$B:$B,'Live Collections'!D2548,Disbursements!$D:$D,'Live Collections'!F2548))</f>
        <v>0</v>
      </c>
      <c r="S2548" s="304">
        <f>IF(O2548&lt;=IF($O2548=0,0,SUMIFS(Disbursements!$W:$W,Disbursements!$B:$B,'Live Collections'!D470,Disbursements!$D:$D,'Live Collections'!F470)),O2548,IF($O2548=0,0,SUMIFS(Disbursements!$W:$W,Disbursements!$B:$B,'Live Collections'!D470,Disbursements!$D:$D,'Live Collections'!F470)))</f>
        <v>0</v>
      </c>
      <c r="T2548" s="304">
        <f t="shared" si="120"/>
        <v>0</v>
      </c>
      <c r="U2548" s="52"/>
      <c r="V2548" s="34"/>
      <c r="W2548" s="408"/>
    </row>
    <row r="2549" spans="1:23" ht="12.75" customHeight="1" x14ac:dyDescent="0.2">
      <c r="A2549" s="257">
        <v>2550</v>
      </c>
      <c r="B2549" s="44">
        <v>44568</v>
      </c>
      <c r="C2549" s="44">
        <f t="shared" si="119"/>
        <v>44568</v>
      </c>
      <c r="D2549" s="374">
        <v>50</v>
      </c>
      <c r="E2549" s="291" t="str">
        <f>IFERROR(VLOOKUP($D2549,'Clients-Live'!$A:$C,3,0),"")</f>
        <v>WACHEKE HARRIET</v>
      </c>
      <c r="F2549" s="291">
        <f>IFERROR(INDEX(Disbursements!$D:$D,MATCH('Live Collections'!G2549,Disbursements!$C:$C,0)),"")</f>
        <v>3</v>
      </c>
      <c r="G2549" s="34">
        <v>321</v>
      </c>
      <c r="H2549" s="34">
        <v>4161</v>
      </c>
      <c r="I2549" s="34" t="s">
        <v>1359</v>
      </c>
      <c r="J2549" s="48"/>
      <c r="K2549" s="48"/>
      <c r="L2549" s="48"/>
      <c r="M2549" s="48"/>
      <c r="N2549" s="59"/>
      <c r="O2549" s="59">
        <v>920000</v>
      </c>
      <c r="P2549" s="59"/>
      <c r="Q2549" s="268">
        <f t="shared" si="121"/>
        <v>920000</v>
      </c>
      <c r="R2549" s="61">
        <f>IF(O2549=0,0,SUMIFS(Disbursements!$T:$T,Disbursements!$B:$B,'Live Collections'!D2549,Disbursements!$D:$D,'Live Collections'!F2549))</f>
        <v>384000</v>
      </c>
      <c r="S2549" s="304">
        <v>101333.33333333339</v>
      </c>
      <c r="T2549" s="304">
        <f t="shared" si="120"/>
        <v>818666.66666666663</v>
      </c>
      <c r="U2549" s="52"/>
      <c r="V2549" s="34"/>
      <c r="W2549" s="408"/>
    </row>
    <row r="2550" spans="1:23" ht="12.75" customHeight="1" x14ac:dyDescent="0.2">
      <c r="A2550" s="257">
        <v>2553</v>
      </c>
      <c r="B2550" s="44">
        <v>44568</v>
      </c>
      <c r="C2550" s="44">
        <f t="shared" si="119"/>
        <v>44568</v>
      </c>
      <c r="D2550" s="374">
        <v>67</v>
      </c>
      <c r="E2550" s="291" t="str">
        <f>IFERROR(VLOOKUP($D2550,'Clients-Live'!$A:$C,3,0),"")</f>
        <v>KEBITA SAUDA</v>
      </c>
      <c r="F2550" s="291">
        <f>IFERROR(INDEX(Disbursements!$D:$D,MATCH('Live Collections'!G2550,Disbursements!$C:$C,0)),"")</f>
        <v>2</v>
      </c>
      <c r="G2550" s="34">
        <v>272</v>
      </c>
      <c r="H2550" s="34">
        <v>4159</v>
      </c>
      <c r="I2550" s="34" t="s">
        <v>1358</v>
      </c>
      <c r="J2550" s="48"/>
      <c r="K2550" s="48"/>
      <c r="L2550" s="48"/>
      <c r="M2550" s="48"/>
      <c r="N2550" s="59"/>
      <c r="O2550" s="59">
        <v>40000</v>
      </c>
      <c r="P2550" s="59"/>
      <c r="Q2550" s="268">
        <f t="shared" si="121"/>
        <v>40000</v>
      </c>
      <c r="R2550" s="61">
        <f>IF(O2550=0,0,SUMIFS(Disbursements!$T:$T,Disbursements!$B:$B,'Live Collections'!D2550,Disbursements!$D:$D,'Live Collections'!F2550))</f>
        <v>180000</v>
      </c>
      <c r="S2550" s="304">
        <v>14666.666666666672</v>
      </c>
      <c r="T2550" s="304">
        <f t="shared" si="120"/>
        <v>25333.333333333328</v>
      </c>
      <c r="U2550" s="52"/>
      <c r="V2550" s="34"/>
      <c r="W2550" s="408" t="s">
        <v>2086</v>
      </c>
    </row>
    <row r="2551" spans="1:23" ht="12.75" customHeight="1" x14ac:dyDescent="0.2">
      <c r="A2551" s="257">
        <v>2547</v>
      </c>
      <c r="B2551" s="44">
        <v>44568</v>
      </c>
      <c r="C2551" s="44">
        <f t="shared" si="119"/>
        <v>44568</v>
      </c>
      <c r="D2551" s="374">
        <v>75</v>
      </c>
      <c r="E2551" s="291" t="str">
        <f>IFERROR(VLOOKUP($D2551,'Clients-Live'!$A:$C,3,0),"")</f>
        <v>MUKULIA JAMES</v>
      </c>
      <c r="F2551" s="291">
        <f>IFERROR(INDEX(Disbursements!$D:$D,MATCH('Live Collections'!G2551,Disbursements!$C:$C,0)),"")</f>
        <v>3</v>
      </c>
      <c r="G2551" s="34">
        <v>357</v>
      </c>
      <c r="H2551" s="34">
        <v>4232</v>
      </c>
      <c r="I2551" s="34" t="s">
        <v>1359</v>
      </c>
      <c r="J2551" s="48"/>
      <c r="K2551" s="48"/>
      <c r="L2551" s="48"/>
      <c r="M2551" s="48"/>
      <c r="N2551" s="59"/>
      <c r="O2551" s="59">
        <v>80000</v>
      </c>
      <c r="P2551" s="59"/>
      <c r="Q2551" s="268">
        <f t="shared" si="121"/>
        <v>80000</v>
      </c>
      <c r="R2551" s="61">
        <f>IF(O2551=0,0,SUMIFS(Disbursements!$T:$T,Disbursements!$B:$B,'Live Collections'!D2551,Disbursements!$D:$D,'Live Collections'!F2551))</f>
        <v>175000</v>
      </c>
      <c r="S2551" s="304">
        <f>IF(O2551&lt;=IF($O2551=0,0,SUMIFS(Disbursements!$W:$W,Disbursements!$B:$B,'Live Collections'!D966,Disbursements!$D:$D,'Live Collections'!F966)),O2551,IF($O2551=0,0,SUMIFS(Disbursements!$W:$W,Disbursements!$B:$B,'Live Collections'!D966,Disbursements!$D:$D,'Live Collections'!F966)))</f>
        <v>35000</v>
      </c>
      <c r="T2551" s="304">
        <f t="shared" si="120"/>
        <v>45000</v>
      </c>
      <c r="U2551" s="52"/>
      <c r="V2551" s="34"/>
      <c r="W2551" s="408"/>
    </row>
    <row r="2552" spans="1:23" ht="12.75" customHeight="1" x14ac:dyDescent="0.2">
      <c r="A2552" s="257">
        <v>2556</v>
      </c>
      <c r="B2552" s="44">
        <v>44568</v>
      </c>
      <c r="C2552" s="44">
        <f t="shared" si="119"/>
        <v>44568</v>
      </c>
      <c r="D2552" s="374">
        <v>85</v>
      </c>
      <c r="E2552" s="291" t="str">
        <f>IFERROR(VLOOKUP($D2552,'Clients-Live'!$A:$C,3,0),"")</f>
        <v>CEASER SWALEH</v>
      </c>
      <c r="F2552" s="291">
        <f>IFERROR(INDEX(Disbursements!$D:$D,MATCH('Live Collections'!G2552,Disbursements!$C:$C,0)),"")</f>
        <v>2</v>
      </c>
      <c r="G2552" s="34">
        <v>119</v>
      </c>
      <c r="H2552" s="34">
        <v>4226</v>
      </c>
      <c r="I2552" s="34" t="s">
        <v>1357</v>
      </c>
      <c r="J2552" s="48"/>
      <c r="K2552" s="48"/>
      <c r="L2552" s="48"/>
      <c r="M2552" s="48"/>
      <c r="N2552" s="59"/>
      <c r="O2552" s="59">
        <v>200000</v>
      </c>
      <c r="P2552" s="59"/>
      <c r="Q2552" s="268">
        <f t="shared" si="121"/>
        <v>200000</v>
      </c>
      <c r="R2552" s="61">
        <f>IF(O2552=0,0,SUMIFS(Disbursements!$T:$T,Disbursements!$B:$B,'Live Collections'!D2552,Disbursements!$D:$D,'Live Collections'!F2552))</f>
        <v>434000</v>
      </c>
      <c r="S2552" s="304">
        <f>IF(O2552&lt;=IF($O2552=0,0,SUMIFS(Disbursements!$W:$W,Disbursements!$B:$B,'Live Collections'!D1096,Disbursements!$D:$D,'Live Collections'!F1096)),O2552,IF($O2552=0,0,SUMIFS(Disbursements!$W:$W,Disbursements!$B:$B,'Live Collections'!D1096,Disbursements!$D:$D,'Live Collections'!F1096)))</f>
        <v>0</v>
      </c>
      <c r="T2552" s="304">
        <f t="shared" si="120"/>
        <v>200000</v>
      </c>
      <c r="U2552" s="52"/>
      <c r="V2552" s="34"/>
      <c r="W2552" s="408"/>
    </row>
    <row r="2553" spans="1:23" ht="12.75" customHeight="1" x14ac:dyDescent="0.2">
      <c r="A2553" s="257">
        <v>2554</v>
      </c>
      <c r="B2553" s="44">
        <v>44568</v>
      </c>
      <c r="C2553" s="44">
        <f t="shared" si="119"/>
        <v>44568</v>
      </c>
      <c r="D2553" s="374">
        <v>92</v>
      </c>
      <c r="E2553" s="291" t="str">
        <f>IFERROR(VLOOKUP($D2553,'Clients-Live'!$A:$C,3,0),"")</f>
        <v>FAIDA ZAKIYA</v>
      </c>
      <c r="F2553" s="291">
        <f>IFERROR(INDEX(Disbursements!$D:$D,MATCH('Live Collections'!G2553,Disbursements!$C:$C,0)),"")</f>
        <v>1</v>
      </c>
      <c r="G2553" s="34">
        <v>74</v>
      </c>
      <c r="H2553" s="34">
        <v>4158</v>
      </c>
      <c r="I2553" s="34" t="s">
        <v>1358</v>
      </c>
      <c r="J2553" s="48"/>
      <c r="K2553" s="48"/>
      <c r="L2553" s="48"/>
      <c r="M2553" s="48"/>
      <c r="N2553" s="59"/>
      <c r="O2553" s="59">
        <v>80000</v>
      </c>
      <c r="P2553" s="59"/>
      <c r="Q2553" s="268">
        <f t="shared" si="121"/>
        <v>80000</v>
      </c>
      <c r="R2553" s="61">
        <f>IF(O2553=0,0,SUMIFS(Disbursements!$T:$T,Disbursements!$B:$B,'Live Collections'!D2553,Disbursements!$D:$D,'Live Collections'!F2553))</f>
        <v>175000</v>
      </c>
      <c r="S2553" s="304">
        <f>IF(O2553&lt;=IF($O2553=0,0,SUMIFS(Disbursements!$W:$W,Disbursements!$B:$B,'Live Collections'!D1205,Disbursements!$D:$D,'Live Collections'!F1205)),O2553,IF($O2553=0,0,SUMIFS(Disbursements!$W:$W,Disbursements!$B:$B,'Live Collections'!D1205,Disbursements!$D:$D,'Live Collections'!F1205)))</f>
        <v>0</v>
      </c>
      <c r="T2553" s="304">
        <f t="shared" si="120"/>
        <v>80000</v>
      </c>
      <c r="U2553" s="52"/>
      <c r="V2553" s="34"/>
      <c r="W2553" s="408"/>
    </row>
    <row r="2554" spans="1:23" ht="12.75" customHeight="1" x14ac:dyDescent="0.2">
      <c r="A2554" s="257">
        <v>2559</v>
      </c>
      <c r="B2554" s="44">
        <v>44568</v>
      </c>
      <c r="C2554" s="44">
        <f t="shared" si="119"/>
        <v>44568</v>
      </c>
      <c r="D2554" s="374">
        <v>96</v>
      </c>
      <c r="E2554" s="291" t="str">
        <f>IFERROR(VLOOKUP($D2554,'Clients-Live'!$A:$C,3,0),"")</f>
        <v>AKANDU NIGHT YONGORO</v>
      </c>
      <c r="F2554" s="291">
        <f>IFERROR(INDEX(Disbursements!$D:$D,MATCH('Live Collections'!G2554,Disbursements!$C:$C,0)),"")</f>
        <v>2</v>
      </c>
      <c r="G2554" s="34">
        <v>248</v>
      </c>
      <c r="H2554" s="34">
        <v>4234</v>
      </c>
      <c r="I2554" s="34" t="s">
        <v>1358</v>
      </c>
      <c r="J2554" s="48"/>
      <c r="K2554" s="48"/>
      <c r="L2554" s="48"/>
      <c r="M2554" s="48"/>
      <c r="N2554" s="59"/>
      <c r="O2554" s="59">
        <v>200000</v>
      </c>
      <c r="P2554" s="59"/>
      <c r="Q2554" s="268">
        <f t="shared" si="121"/>
        <v>200000</v>
      </c>
      <c r="R2554" s="61">
        <f>IF(O2554=0,0,SUMIFS(Disbursements!$T:$T,Disbursements!$B:$B,'Live Collections'!D2554,Disbursements!$D:$D,'Live Collections'!F2554))</f>
        <v>210000</v>
      </c>
      <c r="S2554" s="304">
        <f>IF(O2554&lt;=IF($O2554=0,0,SUMIFS(Disbursements!$W:$W,Disbursements!$B:$B,'Live Collections'!D1239,Disbursements!$D:$D,'Live Collections'!F1239)),O2554,IF($O2554=0,0,SUMIFS(Disbursements!$W:$W,Disbursements!$B:$B,'Live Collections'!D1239,Disbursements!$D:$D,'Live Collections'!F1239)))</f>
        <v>0</v>
      </c>
      <c r="T2554" s="304">
        <f t="shared" si="120"/>
        <v>200000</v>
      </c>
      <c r="U2554" s="52"/>
      <c r="V2554" s="34"/>
      <c r="W2554" s="408"/>
    </row>
    <row r="2555" spans="1:23" ht="12.75" customHeight="1" x14ac:dyDescent="0.2">
      <c r="A2555" s="257">
        <v>2561</v>
      </c>
      <c r="B2555" s="44">
        <v>44568</v>
      </c>
      <c r="C2555" s="44">
        <f t="shared" si="119"/>
        <v>44568</v>
      </c>
      <c r="D2555" s="374">
        <v>106</v>
      </c>
      <c r="E2555" s="291" t="str">
        <f>IFERROR(VLOOKUP($D2555,'Clients-Live'!$A:$C,3,0),"")</f>
        <v>ORODRIYO  NUSURA</v>
      </c>
      <c r="F2555" s="291">
        <f>IFERROR(INDEX(Disbursements!$D:$D,MATCH('Live Collections'!G2555,Disbursements!$C:$C,0)),"")</f>
        <v>2</v>
      </c>
      <c r="G2555" s="34">
        <v>104</v>
      </c>
      <c r="H2555" s="34">
        <v>4224</v>
      </c>
      <c r="I2555" s="34" t="s">
        <v>1357</v>
      </c>
      <c r="J2555" s="48"/>
      <c r="K2555" s="48"/>
      <c r="L2555" s="48"/>
      <c r="M2555" s="48"/>
      <c r="N2555" s="59"/>
      <c r="O2555" s="59">
        <v>30000</v>
      </c>
      <c r="P2555" s="59"/>
      <c r="Q2555" s="268">
        <f t="shared" si="121"/>
        <v>30000</v>
      </c>
      <c r="R2555" s="61">
        <f>IF(O2555=0,0,SUMIFS(Disbursements!$T:$T,Disbursements!$B:$B,'Live Collections'!D2555,Disbursements!$D:$D,'Live Collections'!F2555))</f>
        <v>120000</v>
      </c>
      <c r="S2555" s="304">
        <f>IF(O2555&lt;=IF($O2555=0,0,SUMIFS(Disbursements!$W:$W,Disbursements!$B:$B,'Live Collections'!D3074,Disbursements!$D:$D,'Live Collections'!F3074)),O2555,IF($O2555=0,0,SUMIFS(Disbursements!$W:$W,Disbursements!$B:$B,'Live Collections'!D3074,Disbursements!$D:$D,'Live Collections'!F3074)))</f>
        <v>0</v>
      </c>
      <c r="T2555" s="304">
        <f t="shared" si="120"/>
        <v>30000</v>
      </c>
      <c r="U2555" s="52"/>
      <c r="V2555" s="34"/>
      <c r="W2555" s="408"/>
    </row>
    <row r="2556" spans="1:23" ht="12.75" customHeight="1" x14ac:dyDescent="0.2">
      <c r="A2556" s="257">
        <v>2551</v>
      </c>
      <c r="B2556" s="44">
        <v>44568</v>
      </c>
      <c r="C2556" s="44">
        <f t="shared" si="119"/>
        <v>44568</v>
      </c>
      <c r="D2556" s="374">
        <v>137</v>
      </c>
      <c r="E2556" s="291" t="str">
        <f>IFERROR(VLOOKUP($D2556,'Clients-Live'!$A:$C,3,0),"")</f>
        <v>YAKANI CHARLES</v>
      </c>
      <c r="F2556" s="291" t="str">
        <f>IFERROR(INDEX(Disbursements!$D:$D,MATCH('Live Collections'!G2556,Disbursements!$C:$C,0)),"")</f>
        <v/>
      </c>
      <c r="G2556" s="34"/>
      <c r="H2556" s="34">
        <v>4160</v>
      </c>
      <c r="I2556" s="34" t="s">
        <v>1359</v>
      </c>
      <c r="J2556" s="48"/>
      <c r="K2556" s="48"/>
      <c r="L2556" s="48">
        <v>25000</v>
      </c>
      <c r="M2556" s="48">
        <v>5000</v>
      </c>
      <c r="N2556" s="59"/>
      <c r="O2556" s="59"/>
      <c r="P2556" s="59"/>
      <c r="Q2556" s="268">
        <f t="shared" si="121"/>
        <v>30000</v>
      </c>
      <c r="R2556" s="61">
        <f>IF(O2556=0,0,SUMIFS(Disbursements!$T:$T,Disbursements!$B:$B,'Live Collections'!D2556,Disbursements!$D:$D,'Live Collections'!F2556))</f>
        <v>0</v>
      </c>
      <c r="S2556" s="304">
        <f>IF(O2556&lt;=IF($O2556=0,0,SUMIFS(Disbursements!$W:$W,Disbursements!$B:$B,'Live Collections'!D1736,Disbursements!$D:$D,'Live Collections'!F1736)),O2556,IF($O2556=0,0,SUMIFS(Disbursements!$W:$W,Disbursements!$B:$B,'Live Collections'!D1736,Disbursements!$D:$D,'Live Collections'!F1736)))</f>
        <v>0</v>
      </c>
      <c r="T2556" s="304">
        <f t="shared" si="120"/>
        <v>0</v>
      </c>
      <c r="U2556" s="52"/>
      <c r="V2556" s="34"/>
      <c r="W2556" s="408"/>
    </row>
    <row r="2557" spans="1:23" ht="12.75" customHeight="1" x14ac:dyDescent="0.2">
      <c r="A2557" s="257">
        <v>2552</v>
      </c>
      <c r="B2557" s="44">
        <v>44568</v>
      </c>
      <c r="C2557" s="44">
        <f t="shared" ref="C2557:C2621" si="122">B2557</f>
        <v>44568</v>
      </c>
      <c r="D2557" s="374">
        <v>208</v>
      </c>
      <c r="E2557" s="291" t="str">
        <f>IFERROR(VLOOKUP($D2557,'Clients-Live'!$A:$C,3,0),"")</f>
        <v>TIKO RAIMA</v>
      </c>
      <c r="F2557" s="291">
        <f>IFERROR(INDEX(Disbursements!$D:$D,MATCH('Live Collections'!G2557,Disbursements!$C:$C,0)),"")</f>
        <v>2</v>
      </c>
      <c r="G2557" s="34">
        <v>322</v>
      </c>
      <c r="H2557" s="34">
        <v>4228</v>
      </c>
      <c r="I2557" s="34" t="s">
        <v>1357</v>
      </c>
      <c r="J2557" s="48"/>
      <c r="K2557" s="48"/>
      <c r="L2557" s="48"/>
      <c r="M2557" s="48"/>
      <c r="N2557" s="59"/>
      <c r="O2557" s="59">
        <v>50000</v>
      </c>
      <c r="P2557" s="59"/>
      <c r="Q2557" s="268">
        <f t="shared" si="121"/>
        <v>50000</v>
      </c>
      <c r="R2557" s="61">
        <f>IF(O2557=0,0,SUMIFS(Disbursements!$T:$T,Disbursements!$B:$B,'Live Collections'!D2557,Disbursements!$D:$D,'Live Collections'!F2557))</f>
        <v>115000</v>
      </c>
      <c r="S2557" s="304">
        <f>IF(O2557&lt;=IF($O2557=0,0,SUMIFS(Disbursements!$W:$W,Disbursements!$B:$B,'Live Collections'!D2464,Disbursements!$D:$D,'Live Collections'!F2464)),O2557,IF($O2557=0,0,SUMIFS(Disbursements!$W:$W,Disbursements!$B:$B,'Live Collections'!D2464,Disbursements!$D:$D,'Live Collections'!F2464)))</f>
        <v>8000</v>
      </c>
      <c r="T2557" s="304">
        <f t="shared" ref="T2557:T2621" si="123">IF(O2557=0,0,O2557-S2557)</f>
        <v>42000</v>
      </c>
      <c r="U2557" s="52"/>
      <c r="V2557" s="34"/>
      <c r="W2557" s="408"/>
    </row>
    <row r="2558" spans="1:23" ht="12.75" customHeight="1" x14ac:dyDescent="0.2">
      <c r="A2558" s="257">
        <v>2558</v>
      </c>
      <c r="B2558" s="44">
        <v>44568</v>
      </c>
      <c r="C2558" s="44">
        <f t="shared" si="122"/>
        <v>44568</v>
      </c>
      <c r="D2558" s="374">
        <v>229</v>
      </c>
      <c r="E2558" s="291" t="str">
        <f>IFERROR(VLOOKUP($D2558,'Clients-Live'!$A:$C,3,0),"")</f>
        <v>DAWA ANNET</v>
      </c>
      <c r="F2558" s="291">
        <f>IFERROR(INDEX(Disbursements!$D:$D,MATCH('Live Collections'!G2558,Disbursements!$C:$C,0)),"")</f>
        <v>1</v>
      </c>
      <c r="G2558" s="34">
        <v>254</v>
      </c>
      <c r="H2558" s="34">
        <v>4225</v>
      </c>
      <c r="I2558" s="34" t="s">
        <v>1357</v>
      </c>
      <c r="J2558" s="48"/>
      <c r="K2558" s="48"/>
      <c r="L2558" s="48"/>
      <c r="M2558" s="48"/>
      <c r="N2558" s="59"/>
      <c r="O2558" s="59">
        <v>300000</v>
      </c>
      <c r="P2558" s="59"/>
      <c r="Q2558" s="268">
        <f t="shared" si="121"/>
        <v>300000</v>
      </c>
      <c r="R2558" s="61">
        <f>IF(O2558=0,0,SUMIFS(Disbursements!$T:$T,Disbursements!$B:$B,'Live Collections'!D2558,Disbursements!$D:$D,'Live Collections'!F2558))</f>
        <v>300000</v>
      </c>
      <c r="S2558" s="64">
        <v>155000</v>
      </c>
      <c r="T2558" s="304">
        <f t="shared" si="123"/>
        <v>145000</v>
      </c>
      <c r="U2558" s="52"/>
      <c r="V2558" s="34"/>
      <c r="W2558" s="408"/>
    </row>
    <row r="2559" spans="1:23" ht="12.75" customHeight="1" x14ac:dyDescent="0.2">
      <c r="A2559" s="257">
        <v>2548</v>
      </c>
      <c r="B2559" s="44">
        <v>44568</v>
      </c>
      <c r="C2559" s="44">
        <f t="shared" si="122"/>
        <v>44568</v>
      </c>
      <c r="D2559" s="374">
        <v>233</v>
      </c>
      <c r="E2559" s="291" t="str">
        <f>IFERROR(VLOOKUP($D2559,'Clients-Live'!$A:$C,3,0),"")</f>
        <v>KAMOYO HARRIET</v>
      </c>
      <c r="F2559" s="291">
        <f>IFERROR(INDEX(Disbursements!$D:$D,MATCH('Live Collections'!G2559,Disbursements!$C:$C,0)),"")</f>
        <v>1</v>
      </c>
      <c r="G2559" s="34">
        <v>246</v>
      </c>
      <c r="H2559" s="34">
        <v>4231</v>
      </c>
      <c r="I2559" s="34" t="s">
        <v>1358</v>
      </c>
      <c r="J2559" s="48"/>
      <c r="K2559" s="48"/>
      <c r="L2559" s="48"/>
      <c r="M2559" s="48"/>
      <c r="N2559" s="59"/>
      <c r="O2559" s="59">
        <v>150000</v>
      </c>
      <c r="P2559" s="59"/>
      <c r="Q2559" s="268">
        <f t="shared" si="121"/>
        <v>150000</v>
      </c>
      <c r="R2559" s="61">
        <f>IF(O2559=0,0,SUMIFS(Disbursements!$T:$T,Disbursements!$B:$B,'Live Collections'!D2559,Disbursements!$D:$D,'Live Collections'!F2559))</f>
        <v>150000</v>
      </c>
      <c r="S2559" s="304">
        <f>IF(O2559&lt;=IF($O2559=0,0,SUMIFS(Disbursements!$W:$W,Disbursements!$B:$B,'Live Collections'!D2696,Disbursements!$D:$D,'Live Collections'!F2696)),O2559,IF($O2559=0,0,SUMIFS(Disbursements!$W:$W,Disbursements!$B:$B,'Live Collections'!D2696,Disbursements!$D:$D,'Live Collections'!F2696)))</f>
        <v>20000</v>
      </c>
      <c r="T2559" s="304">
        <f t="shared" si="123"/>
        <v>130000</v>
      </c>
      <c r="U2559" s="52"/>
      <c r="V2559" s="34"/>
      <c r="W2559" s="408"/>
    </row>
    <row r="2560" spans="1:23" ht="12.75" customHeight="1" x14ac:dyDescent="0.2">
      <c r="A2560" s="257">
        <v>2549</v>
      </c>
      <c r="B2560" s="44">
        <v>44568</v>
      </c>
      <c r="C2560" s="44">
        <f t="shared" si="122"/>
        <v>44568</v>
      </c>
      <c r="D2560" s="374">
        <v>308</v>
      </c>
      <c r="E2560" s="291" t="str">
        <f>IFERROR(VLOOKUP($D2560,'Clients-Live'!$A:$C,3,0),"")</f>
        <v>AYILA CHRISTOPHER</v>
      </c>
      <c r="F2560" s="291">
        <f>IFERROR(INDEX(Disbursements!$D:$D,MATCH('Live Collections'!G2560,Disbursements!$C:$C,0)),"")</f>
        <v>1</v>
      </c>
      <c r="G2560" s="34">
        <v>390</v>
      </c>
      <c r="H2560" s="34">
        <v>4229</v>
      </c>
      <c r="I2560" s="34" t="s">
        <v>1357</v>
      </c>
      <c r="J2560" s="48"/>
      <c r="K2560" s="48"/>
      <c r="L2560" s="48"/>
      <c r="M2560" s="48"/>
      <c r="N2560" s="59"/>
      <c r="O2560" s="59"/>
      <c r="P2560" s="59">
        <v>210000</v>
      </c>
      <c r="Q2560" s="268">
        <f t="shared" si="121"/>
        <v>210000</v>
      </c>
      <c r="R2560" s="61">
        <f>IF(O2560=0,0,SUMIFS(Disbursements!$T:$T,Disbursements!$B:$B,'Live Collections'!D2560,Disbursements!$D:$D,'Live Collections'!F2560))</f>
        <v>0</v>
      </c>
      <c r="S2560" s="304">
        <f>IF(O2560&lt;=IF($O2560=0,0,SUMIFS(Disbursements!$W:$W,Disbursements!$B:$B,'Live Collections'!D3109,Disbursements!$D:$D,'Live Collections'!F3109)),O2560,IF($O2560=0,0,SUMIFS(Disbursements!$W:$W,Disbursements!$B:$B,'Live Collections'!D3109,Disbursements!$D:$D,'Live Collections'!F3109)))</f>
        <v>0</v>
      </c>
      <c r="T2560" s="304">
        <f t="shared" si="123"/>
        <v>0</v>
      </c>
      <c r="U2560" s="52"/>
      <c r="V2560" s="34"/>
      <c r="W2560" s="408"/>
    </row>
    <row r="2561" spans="1:23" ht="12.75" customHeight="1" x14ac:dyDescent="0.2">
      <c r="A2561" s="257">
        <v>2557</v>
      </c>
      <c r="B2561" s="44">
        <v>44568</v>
      </c>
      <c r="C2561" s="44">
        <f t="shared" si="122"/>
        <v>44568</v>
      </c>
      <c r="D2561" s="374">
        <v>309</v>
      </c>
      <c r="E2561" s="291" t="str">
        <f>IFERROR(VLOOKUP($D2561,'Clients-Live'!$A:$C,3,0),"")</f>
        <v>NAMBOZO HALIMA</v>
      </c>
      <c r="F2561" s="291" t="str">
        <f>IFERROR(INDEX(Disbursements!$D:$D,MATCH('Live Collections'!G2561,Disbursements!$C:$C,0)),"")</f>
        <v/>
      </c>
      <c r="G2561" s="34"/>
      <c r="H2561" s="34">
        <v>4157</v>
      </c>
      <c r="I2561" s="34" t="s">
        <v>1357</v>
      </c>
      <c r="J2561" s="48"/>
      <c r="K2561" s="48"/>
      <c r="L2561" s="48">
        <v>20000</v>
      </c>
      <c r="M2561" s="48">
        <v>5000</v>
      </c>
      <c r="N2561" s="59"/>
      <c r="O2561" s="59"/>
      <c r="P2561" s="59"/>
      <c r="Q2561" s="268">
        <f t="shared" si="121"/>
        <v>25000</v>
      </c>
      <c r="R2561" s="61">
        <f>IF(O2561=0,0,SUMIFS(Disbursements!$T:$T,Disbursements!$B:$B,'Live Collections'!D2561,Disbursements!$D:$D,'Live Collections'!F2561))</f>
        <v>0</v>
      </c>
      <c r="S2561" s="304">
        <f>IF(O2561&lt;=IF($O2561=0,0,SUMIFS(Disbursements!$W:$W,Disbursements!$B:$B,'Live Collections'!D3112,Disbursements!$D:$D,'Live Collections'!F3112)),O2561,IF($O2561=0,0,SUMIFS(Disbursements!$W:$W,Disbursements!$B:$B,'Live Collections'!D3112,Disbursements!$D:$D,'Live Collections'!F3112)))</f>
        <v>0</v>
      </c>
      <c r="T2561" s="304">
        <f t="shared" si="123"/>
        <v>0</v>
      </c>
      <c r="U2561" s="52"/>
      <c r="V2561" s="34"/>
      <c r="W2561" s="408"/>
    </row>
    <row r="2562" spans="1:23" ht="12.75" customHeight="1" x14ac:dyDescent="0.2">
      <c r="A2562" s="257">
        <v>2560</v>
      </c>
      <c r="B2562" s="44">
        <v>44568</v>
      </c>
      <c r="C2562" s="44">
        <f t="shared" si="122"/>
        <v>44568</v>
      </c>
      <c r="D2562" s="374">
        <v>310</v>
      </c>
      <c r="E2562" s="291" t="str">
        <f>IFERROR(VLOOKUP($D2562,'Clients-Live'!$A:$C,3,0),"")</f>
        <v>TUKEI JOB</v>
      </c>
      <c r="F2562" s="291" t="str">
        <f>IFERROR(INDEX(Disbursements!$D:$D,MATCH('Live Collections'!G2562,Disbursements!$C:$C,0)),"")</f>
        <v/>
      </c>
      <c r="G2562" s="34"/>
      <c r="H2562" s="34">
        <v>4227</v>
      </c>
      <c r="I2562" s="34" t="s">
        <v>1716</v>
      </c>
      <c r="J2562" s="48">
        <v>15000</v>
      </c>
      <c r="K2562" s="48">
        <v>5000</v>
      </c>
      <c r="L2562" s="48"/>
      <c r="M2562" s="48"/>
      <c r="N2562" s="59"/>
      <c r="O2562" s="59"/>
      <c r="P2562" s="59"/>
      <c r="Q2562" s="268">
        <f t="shared" si="121"/>
        <v>20000</v>
      </c>
      <c r="R2562" s="61">
        <f>IF(O2562=0,0,SUMIFS(Disbursements!$T:$T,Disbursements!$B:$B,'Live Collections'!D2562,Disbursements!$D:$D,'Live Collections'!F2562))</f>
        <v>0</v>
      </c>
      <c r="S2562" s="304">
        <f>IF(O2562&lt;=IF($O2562=0,0,SUMIFS(Disbursements!$W:$W,Disbursements!$B:$B,'Live Collections'!D3119,Disbursements!$D:$D,'Live Collections'!F3119)),O2562,IF($O2562=0,0,SUMIFS(Disbursements!$W:$W,Disbursements!$B:$B,'Live Collections'!D3119,Disbursements!$D:$D,'Live Collections'!F3119)))</f>
        <v>0</v>
      </c>
      <c r="T2562" s="304">
        <f t="shared" si="123"/>
        <v>0</v>
      </c>
      <c r="U2562" s="52"/>
      <c r="V2562" s="34"/>
      <c r="W2562" s="408"/>
    </row>
    <row r="2563" spans="1:23" ht="12.75" customHeight="1" x14ac:dyDescent="0.2">
      <c r="A2563" s="257">
        <v>2563</v>
      </c>
      <c r="B2563" s="44">
        <v>44569</v>
      </c>
      <c r="C2563" s="44">
        <f t="shared" si="122"/>
        <v>44569</v>
      </c>
      <c r="D2563" s="374">
        <v>70</v>
      </c>
      <c r="E2563" s="291" t="str">
        <f>IFERROR(VLOOKUP($D2563,'Clients-Live'!$A:$C,3,0),"")</f>
        <v>BUGA ALIKIA PHILLIP</v>
      </c>
      <c r="F2563" s="291">
        <f>IFERROR(INDEX(Disbursements!$D:$D,MATCH('Live Collections'!G2563,Disbursements!$C:$C,0)),"")</f>
        <v>2</v>
      </c>
      <c r="G2563" s="34">
        <v>299</v>
      </c>
      <c r="H2563" s="34">
        <v>4166</v>
      </c>
      <c r="I2563" s="34" t="s">
        <v>1358</v>
      </c>
      <c r="J2563" s="48"/>
      <c r="K2563" s="48"/>
      <c r="L2563" s="48"/>
      <c r="M2563" s="48"/>
      <c r="N2563" s="59"/>
      <c r="O2563" s="59">
        <v>34000</v>
      </c>
      <c r="P2563" s="59"/>
      <c r="Q2563" s="268">
        <f t="shared" si="121"/>
        <v>34000</v>
      </c>
      <c r="R2563" s="61">
        <f>IF(O2563=0,0,SUMIFS(Disbursements!$T:$T,Disbursements!$B:$B,'Live Collections'!D2563,Disbursements!$D:$D,'Live Collections'!F2563))</f>
        <v>260000</v>
      </c>
      <c r="S2563" s="304">
        <f>IF(O2563&lt;=IF($O2563=0,0,SUMIFS(Disbursements!$W:$W,Disbursements!$B:$B,'Live Collections'!D881,Disbursements!$D:$D,'Live Collections'!F881)),O2563,IF($O2563=0,0,SUMIFS(Disbursements!$W:$W,Disbursements!$B:$B,'Live Collections'!D881,Disbursements!$D:$D,'Live Collections'!F881)))</f>
        <v>20666.666666666657</v>
      </c>
      <c r="T2563" s="304">
        <f t="shared" si="123"/>
        <v>13333.333333333343</v>
      </c>
      <c r="U2563" s="52"/>
      <c r="V2563" s="34"/>
      <c r="W2563" s="408"/>
    </row>
    <row r="2564" spans="1:23" ht="12.75" customHeight="1" x14ac:dyDescent="0.2">
      <c r="A2564" s="257"/>
      <c r="B2564" s="44">
        <v>44569</v>
      </c>
      <c r="C2564" s="44">
        <f t="shared" si="122"/>
        <v>44569</v>
      </c>
      <c r="D2564" s="374">
        <v>115</v>
      </c>
      <c r="E2564" s="291" t="str">
        <f>IFERROR(VLOOKUP($D2564,'Clients-Live'!$A:$C,3,0),"")</f>
        <v>AYIKE SAUDA</v>
      </c>
      <c r="F2564" s="291">
        <f>IFERROR(INDEX(Disbursements!$D:$D,MATCH('Live Collections'!G2564,Disbursements!$C:$C,0)),"")</f>
        <v>1</v>
      </c>
      <c r="G2564" s="34">
        <v>98</v>
      </c>
      <c r="H2564" s="34">
        <v>3766</v>
      </c>
      <c r="I2564" s="34" t="s">
        <v>1357</v>
      </c>
      <c r="J2564" s="48"/>
      <c r="K2564" s="48"/>
      <c r="L2564" s="48"/>
      <c r="M2564" s="48"/>
      <c r="N2564" s="59"/>
      <c r="O2564" s="59">
        <v>100000</v>
      </c>
      <c r="P2564" s="59">
        <v>-100000</v>
      </c>
      <c r="Q2564" s="268">
        <f t="shared" si="121"/>
        <v>0</v>
      </c>
      <c r="R2564" s="61">
        <f>IF(O2564=0,0,SUMIFS(Disbursements!$T:$T,Disbursements!$B:$B,'Live Collections'!D2564,Disbursements!$D:$D,'Live Collections'!F2564))</f>
        <v>217000</v>
      </c>
      <c r="S2564" s="304">
        <f>IF(O2564&lt;=IF($O2564=0,0,SUMIFS(Disbursements!$W:$W,Disbursements!$B:$B,'Live Collections'!D2360,Disbursements!$D:$D,'Live Collections'!F2360)),O2564,IF($O2564=0,0,SUMIFS(Disbursements!$W:$W,Disbursements!$B:$B,'Live Collections'!D2360,Disbursements!$D:$D,'Live Collections'!F2360)))</f>
        <v>40666.666666666657</v>
      </c>
      <c r="T2564" s="304">
        <f t="shared" si="123"/>
        <v>59333.333333333343</v>
      </c>
      <c r="U2564" s="52"/>
      <c r="V2564" s="34"/>
      <c r="W2564" s="408" t="s">
        <v>2108</v>
      </c>
    </row>
    <row r="2565" spans="1:23" ht="12.75" customHeight="1" x14ac:dyDescent="0.2">
      <c r="A2565" s="257">
        <v>2572</v>
      </c>
      <c r="B2565" s="44">
        <v>44569</v>
      </c>
      <c r="C2565" s="44">
        <f t="shared" si="122"/>
        <v>44569</v>
      </c>
      <c r="D2565" s="374">
        <v>115</v>
      </c>
      <c r="E2565" s="291" t="str">
        <f>IFERROR(VLOOKUP($D2565,'Clients-Live'!$A:$C,3,0),"")</f>
        <v>AYIKE SAUDA</v>
      </c>
      <c r="F2565" s="291">
        <f>IFERROR(INDEX(Disbursements!$D:$D,MATCH('Live Collections'!G2565,Disbursements!$C:$C,0)),"")</f>
        <v>1</v>
      </c>
      <c r="G2565" s="34">
        <v>98</v>
      </c>
      <c r="H2565" s="34">
        <v>4235</v>
      </c>
      <c r="I2565" s="34" t="s">
        <v>1357</v>
      </c>
      <c r="J2565" s="48"/>
      <c r="K2565" s="48"/>
      <c r="L2565" s="48"/>
      <c r="M2565" s="48"/>
      <c r="N2565" s="59"/>
      <c r="O2565" s="59">
        <v>121000</v>
      </c>
      <c r="P2565" s="59"/>
      <c r="Q2565" s="268">
        <f t="shared" si="121"/>
        <v>121000</v>
      </c>
      <c r="R2565" s="61">
        <f>IF(O2565=0,0,SUMIFS(Disbursements!$T:$T,Disbursements!$B:$B,'Live Collections'!D2565,Disbursements!$D:$D,'Live Collections'!F2565))</f>
        <v>217000</v>
      </c>
      <c r="S2565" s="64">
        <v>87333.333333333401</v>
      </c>
      <c r="T2565" s="304">
        <f t="shared" si="123"/>
        <v>33666.666666666599</v>
      </c>
      <c r="U2565" s="52"/>
      <c r="V2565" s="34"/>
      <c r="W2565" s="408"/>
    </row>
    <row r="2566" spans="1:23" ht="12.75" customHeight="1" x14ac:dyDescent="0.2">
      <c r="A2566" s="257">
        <v>2567</v>
      </c>
      <c r="B2566" s="44">
        <v>44569</v>
      </c>
      <c r="C2566" s="44">
        <f t="shared" si="122"/>
        <v>44569</v>
      </c>
      <c r="D2566" s="374">
        <v>185</v>
      </c>
      <c r="E2566" s="291" t="str">
        <f>IFERROR(VLOOKUP($D2566,'Clients-Live'!$A:$C,3,0),"")</f>
        <v>APAYI HARRIET</v>
      </c>
      <c r="F2566" s="291">
        <f>IFERROR(INDEX(Disbursements!$D:$D,MATCH('Live Collections'!G2566,Disbursements!$C:$C,0)),"")</f>
        <v>2</v>
      </c>
      <c r="G2566" s="34">
        <v>360</v>
      </c>
      <c r="H2566" s="34">
        <v>4239</v>
      </c>
      <c r="I2566" s="34" t="s">
        <v>1357</v>
      </c>
      <c r="J2566" s="48"/>
      <c r="K2566" s="48"/>
      <c r="L2566" s="48"/>
      <c r="M2566" s="48"/>
      <c r="N2566" s="59"/>
      <c r="O2566" s="59">
        <v>180000</v>
      </c>
      <c r="P2566" s="59"/>
      <c r="Q2566" s="268">
        <f t="shared" si="121"/>
        <v>180000</v>
      </c>
      <c r="R2566" s="61">
        <f>IF(O2566=0,0,SUMIFS(Disbursements!$T:$T,Disbursements!$B:$B,'Live Collections'!D2566,Disbursements!$D:$D,'Live Collections'!F2566))</f>
        <v>325000</v>
      </c>
      <c r="S2566" s="304">
        <f>IF(O2566&lt;=IF($O2566=0,0,SUMIFS(Disbursements!$W:$W,Disbursements!$B:$B,'Live Collections'!D2253,Disbursements!$D:$D,'Live Collections'!F2253)),O2566,IF($O2566=0,0,SUMIFS(Disbursements!$W:$W,Disbursements!$B:$B,'Live Collections'!D2253,Disbursements!$D:$D,'Live Collections'!F2253)))</f>
        <v>0</v>
      </c>
      <c r="T2566" s="304">
        <f t="shared" si="123"/>
        <v>180000</v>
      </c>
      <c r="U2566" s="52"/>
      <c r="V2566" s="34"/>
      <c r="W2566" s="408"/>
    </row>
    <row r="2567" spans="1:23" ht="12.75" customHeight="1" x14ac:dyDescent="0.2">
      <c r="A2567" s="257">
        <v>2568</v>
      </c>
      <c r="B2567" s="44">
        <v>44569</v>
      </c>
      <c r="C2567" s="44">
        <f t="shared" si="122"/>
        <v>44569</v>
      </c>
      <c r="D2567" s="374">
        <v>206</v>
      </c>
      <c r="E2567" s="291" t="str">
        <f>IFERROR(VLOOKUP($D2567,'Clients-Live'!$A:$C,3,0),"")</f>
        <v>AMILE AISHA</v>
      </c>
      <c r="F2567" s="291">
        <f>IFERROR(INDEX(Disbursements!$D:$D,MATCH('Live Collections'!G2567,Disbursements!$C:$C,0)),"")</f>
        <v>1</v>
      </c>
      <c r="G2567" s="34">
        <v>214</v>
      </c>
      <c r="H2567" s="34">
        <v>4238</v>
      </c>
      <c r="I2567" s="34" t="s">
        <v>1357</v>
      </c>
      <c r="J2567" s="48"/>
      <c r="K2567" s="48"/>
      <c r="L2567" s="48"/>
      <c r="M2567" s="48"/>
      <c r="N2567" s="59"/>
      <c r="O2567" s="59">
        <v>50000</v>
      </c>
      <c r="P2567" s="59"/>
      <c r="Q2567" s="268">
        <f t="shared" si="121"/>
        <v>50000</v>
      </c>
      <c r="R2567" s="61">
        <f>IF(O2567=0,0,SUMIFS(Disbursements!$T:$T,Disbursements!$B:$B,'Live Collections'!D2567,Disbursements!$D:$D,'Live Collections'!F2567))</f>
        <v>120000</v>
      </c>
      <c r="S2567" s="304"/>
      <c r="T2567" s="304">
        <f t="shared" si="123"/>
        <v>50000</v>
      </c>
      <c r="U2567" s="52"/>
      <c r="V2567" s="34"/>
      <c r="W2567" s="408"/>
    </row>
    <row r="2568" spans="1:23" ht="12.75" customHeight="1" x14ac:dyDescent="0.2">
      <c r="A2568" s="257">
        <v>2569</v>
      </c>
      <c r="B2568" s="44">
        <v>44569</v>
      </c>
      <c r="C2568" s="44">
        <f t="shared" si="122"/>
        <v>44569</v>
      </c>
      <c r="D2568" s="374">
        <v>209</v>
      </c>
      <c r="E2568" s="291" t="str">
        <f>IFERROR(VLOOKUP($D2568,'Clients-Live'!$A:$C,3,0),"")</f>
        <v>ADUI ISMAIL</v>
      </c>
      <c r="F2568" s="291">
        <f>IFERROR(INDEX(Disbursements!$D:$D,MATCH('Live Collections'!G2568,Disbursements!$C:$C,0)),"")</f>
        <v>1</v>
      </c>
      <c r="G2568" s="34">
        <v>209</v>
      </c>
      <c r="H2568" s="34">
        <v>4237</v>
      </c>
      <c r="I2568" s="34" t="s">
        <v>1357</v>
      </c>
      <c r="J2568" s="48"/>
      <c r="K2568" s="48"/>
      <c r="L2568" s="48"/>
      <c r="M2568" s="48"/>
      <c r="N2568" s="59"/>
      <c r="O2568" s="59">
        <v>60000</v>
      </c>
      <c r="P2568" s="59"/>
      <c r="Q2568" s="268">
        <f t="shared" si="121"/>
        <v>60000</v>
      </c>
      <c r="R2568" s="61">
        <f>IF(O2568=0,0,SUMIFS(Disbursements!$T:$T,Disbursements!$B:$B,'Live Collections'!D2568,Disbursements!$D:$D,'Live Collections'!F2568))</f>
        <v>180000</v>
      </c>
      <c r="S2568" s="304"/>
      <c r="T2568" s="304">
        <f t="shared" si="123"/>
        <v>60000</v>
      </c>
      <c r="U2568" s="52"/>
      <c r="V2568" s="34"/>
      <c r="W2568" s="408"/>
    </row>
    <row r="2569" spans="1:23" ht="12.75" customHeight="1" x14ac:dyDescent="0.2">
      <c r="A2569" s="257">
        <v>2570</v>
      </c>
      <c r="B2569" s="44">
        <v>44569</v>
      </c>
      <c r="C2569" s="44">
        <f t="shared" si="122"/>
        <v>44569</v>
      </c>
      <c r="D2569" s="374">
        <v>209</v>
      </c>
      <c r="E2569" s="291" t="str">
        <f>IFERROR(VLOOKUP($D2569,'Clients-Live'!$A:$C,3,0),"")</f>
        <v>ADUI ISMAIL</v>
      </c>
      <c r="F2569" s="291">
        <f>IFERROR(INDEX(Disbursements!$D:$D,MATCH('Live Collections'!G2569,Disbursements!$C:$C,0)),"")</f>
        <v>1</v>
      </c>
      <c r="G2569" s="34">
        <v>209</v>
      </c>
      <c r="H2569" s="34">
        <v>505</v>
      </c>
      <c r="I2569" s="34" t="s">
        <v>1357</v>
      </c>
      <c r="J2569" s="48"/>
      <c r="K2569" s="48"/>
      <c r="L2569" s="48"/>
      <c r="M2569" s="48"/>
      <c r="N2569" s="59"/>
      <c r="O2569" s="59"/>
      <c r="P2569" s="59">
        <v>-60000</v>
      </c>
      <c r="Q2569" s="268">
        <f t="shared" si="121"/>
        <v>-60000</v>
      </c>
      <c r="R2569" s="61">
        <f>IF(O2569=0,0,SUMIFS(Disbursements!$T:$T,Disbursements!$B:$B,'Live Collections'!D2569,Disbursements!$D:$D,'Live Collections'!F2569))</f>
        <v>0</v>
      </c>
      <c r="S2569" s="304">
        <f>IF(O2569&lt;=IF($O2569=0,0,SUMIFS(Disbursements!$W:$W,Disbursements!$B:$B,'Live Collections'!D2474,Disbursements!$D:$D,'Live Collections'!F2474)),O2569,IF($O2569=0,0,SUMIFS(Disbursements!$W:$W,Disbursements!$B:$B,'Live Collections'!D2474,Disbursements!$D:$D,'Live Collections'!F2474)))</f>
        <v>0</v>
      </c>
      <c r="T2569" s="304">
        <f t="shared" si="123"/>
        <v>0</v>
      </c>
      <c r="U2569" s="52"/>
      <c r="V2569" s="34"/>
      <c r="W2569" s="408"/>
    </row>
    <row r="2570" spans="1:23" ht="12.75" customHeight="1" x14ac:dyDescent="0.2">
      <c r="A2570" s="257">
        <v>2571</v>
      </c>
      <c r="B2570" s="44">
        <v>44569</v>
      </c>
      <c r="C2570" s="44">
        <f t="shared" si="122"/>
        <v>44569</v>
      </c>
      <c r="D2570" s="374">
        <v>209</v>
      </c>
      <c r="E2570" s="291" t="str">
        <f>IFERROR(VLOOKUP($D2570,'Clients-Live'!$A:$C,3,0),"")</f>
        <v>ADUI ISMAIL</v>
      </c>
      <c r="F2570" s="291">
        <f>IFERROR(INDEX(Disbursements!$D:$D,MATCH('Live Collections'!G2570,Disbursements!$C:$C,0)),"")</f>
        <v>1</v>
      </c>
      <c r="G2570" s="34">
        <v>209</v>
      </c>
      <c r="H2570" s="34">
        <v>4236</v>
      </c>
      <c r="I2570" s="34" t="s">
        <v>1357</v>
      </c>
      <c r="J2570" s="48"/>
      <c r="K2570" s="48"/>
      <c r="L2570" s="48"/>
      <c r="M2570" s="48"/>
      <c r="N2570" s="59"/>
      <c r="O2570" s="59">
        <v>120000</v>
      </c>
      <c r="P2570" s="59"/>
      <c r="Q2570" s="268">
        <f t="shared" si="121"/>
        <v>120000</v>
      </c>
      <c r="R2570" s="61">
        <f>IF(O2570=0,0,SUMIFS(Disbursements!$T:$T,Disbursements!$B:$B,'Live Collections'!D2570,Disbursements!$D:$D,'Live Collections'!F2570))</f>
        <v>180000</v>
      </c>
      <c r="S2570" s="304"/>
      <c r="T2570" s="304">
        <f t="shared" si="123"/>
        <v>120000</v>
      </c>
      <c r="U2570" s="52"/>
      <c r="V2570" s="34"/>
      <c r="W2570" s="408" t="s">
        <v>1971</v>
      </c>
    </row>
    <row r="2571" spans="1:23" ht="12.75" customHeight="1" x14ac:dyDescent="0.2">
      <c r="A2571" s="257">
        <v>2564</v>
      </c>
      <c r="B2571" s="44">
        <v>44569</v>
      </c>
      <c r="C2571" s="44">
        <f t="shared" si="122"/>
        <v>44569</v>
      </c>
      <c r="D2571" s="374">
        <v>311</v>
      </c>
      <c r="E2571" s="291" t="str">
        <f>IFERROR(VLOOKUP($D2571,'Clients-Live'!$A:$C,3,0),"")</f>
        <v>PATRICK OKUONZI</v>
      </c>
      <c r="F2571" s="291">
        <f>IFERROR(INDEX(Disbursements!$D:$D,MATCH('Live Collections'!G2571,Disbursements!$C:$C,0)),"")</f>
        <v>1</v>
      </c>
      <c r="G2571" s="34">
        <v>392</v>
      </c>
      <c r="H2571" s="34">
        <v>4164</v>
      </c>
      <c r="I2571" s="34" t="s">
        <v>1358</v>
      </c>
      <c r="J2571" s="48"/>
      <c r="K2571" s="48"/>
      <c r="L2571" s="48"/>
      <c r="M2571" s="48"/>
      <c r="N2571" s="59"/>
      <c r="O2571" s="59"/>
      <c r="P2571" s="59">
        <v>50000</v>
      </c>
      <c r="Q2571" s="268">
        <f t="shared" si="121"/>
        <v>50000</v>
      </c>
      <c r="R2571" s="61">
        <f>IF(O2571=0,0,SUMIFS(Disbursements!$T:$T,Disbursements!$B:$B,'Live Collections'!D2571,Disbursements!$D:$D,'Live Collections'!F2571))</f>
        <v>0</v>
      </c>
      <c r="S2571" s="304">
        <f>IF(O2571&lt;=IF($O2571=0,0,SUMIFS(Disbursements!$W:$W,Disbursements!$B:$B,'Live Collections'!D3120,Disbursements!$D:$D,'Live Collections'!F3120)),O2571,IF($O2571=0,0,SUMIFS(Disbursements!$W:$W,Disbursements!$B:$B,'Live Collections'!D3120,Disbursements!$D:$D,'Live Collections'!F3120)))</f>
        <v>0</v>
      </c>
      <c r="T2571" s="304">
        <f t="shared" si="123"/>
        <v>0</v>
      </c>
      <c r="U2571" s="52"/>
      <c r="V2571" s="34"/>
      <c r="W2571" s="408"/>
    </row>
    <row r="2572" spans="1:23" ht="12.75" customHeight="1" x14ac:dyDescent="0.2">
      <c r="A2572" s="257">
        <v>2565</v>
      </c>
      <c r="B2572" s="44">
        <v>44569</v>
      </c>
      <c r="C2572" s="44">
        <f t="shared" si="122"/>
        <v>44569</v>
      </c>
      <c r="D2572" s="374">
        <v>311</v>
      </c>
      <c r="E2572" s="291" t="str">
        <f>IFERROR(VLOOKUP($D2572,'Clients-Live'!$A:$C,3,0),"")</f>
        <v>PATRICK OKUONZI</v>
      </c>
      <c r="F2572" s="291" t="str">
        <f>IFERROR(INDEX(Disbursements!$D:$D,MATCH('Live Collections'!G2572,Disbursements!$C:$C,0)),"")</f>
        <v/>
      </c>
      <c r="G2572" s="34"/>
      <c r="H2572" s="34">
        <v>4163</v>
      </c>
      <c r="I2572" s="34" t="s">
        <v>1358</v>
      </c>
      <c r="J2572" s="48"/>
      <c r="K2572" s="48"/>
      <c r="L2572" s="48">
        <v>15000</v>
      </c>
      <c r="M2572" s="48">
        <v>5000</v>
      </c>
      <c r="N2572" s="59"/>
      <c r="O2572" s="59"/>
      <c r="P2572" s="59"/>
      <c r="Q2572" s="268">
        <f t="shared" si="121"/>
        <v>20000</v>
      </c>
      <c r="R2572" s="61">
        <f>IF(O2572=0,0,SUMIFS(Disbursements!$T:$T,Disbursements!$B:$B,'Live Collections'!D2572,Disbursements!$D:$D,'Live Collections'!F2572))</f>
        <v>0</v>
      </c>
      <c r="S2572" s="304">
        <f>IF(O2572&lt;=IF($O2572=0,0,SUMIFS(Disbursements!$W:$W,Disbursements!$B:$B,'Live Collections'!D3121,Disbursements!$D:$D,'Live Collections'!F3121)),O2572,IF($O2572=0,0,SUMIFS(Disbursements!$W:$W,Disbursements!$B:$B,'Live Collections'!D3121,Disbursements!$D:$D,'Live Collections'!F3121)))</f>
        <v>0</v>
      </c>
      <c r="T2572" s="304">
        <f t="shared" si="123"/>
        <v>0</v>
      </c>
      <c r="U2572" s="52"/>
      <c r="V2572" s="34"/>
      <c r="W2572" s="408"/>
    </row>
    <row r="2573" spans="1:23" ht="12.75" customHeight="1" x14ac:dyDescent="0.2">
      <c r="A2573" s="257">
        <v>2566</v>
      </c>
      <c r="B2573" s="44">
        <v>44569</v>
      </c>
      <c r="C2573" s="44">
        <f t="shared" si="122"/>
        <v>44569</v>
      </c>
      <c r="D2573" s="374">
        <v>311</v>
      </c>
      <c r="E2573" s="291" t="str">
        <f>IFERROR(VLOOKUP($D2573,'Clients-Live'!$A:$C,3,0),"")</f>
        <v>PATRICK OKUONZI</v>
      </c>
      <c r="F2573" s="291" t="str">
        <f>IFERROR(INDEX(Disbursements!$D:$D,MATCH('Live Collections'!G2573,Disbursements!$C:$C,0)),"")</f>
        <v/>
      </c>
      <c r="G2573" s="34"/>
      <c r="H2573" s="34">
        <v>4162</v>
      </c>
      <c r="I2573" s="34" t="s">
        <v>1716</v>
      </c>
      <c r="J2573" s="48">
        <v>15000</v>
      </c>
      <c r="K2573" s="48">
        <v>5000</v>
      </c>
      <c r="L2573" s="48"/>
      <c r="M2573" s="48"/>
      <c r="N2573" s="59"/>
      <c r="O2573" s="59"/>
      <c r="P2573" s="59"/>
      <c r="Q2573" s="268">
        <f t="shared" si="121"/>
        <v>20000</v>
      </c>
      <c r="R2573" s="61">
        <f>IF(O2573=0,0,SUMIFS(Disbursements!$T:$T,Disbursements!$B:$B,'Live Collections'!D2573,Disbursements!$D:$D,'Live Collections'!F2573))</f>
        <v>0</v>
      </c>
      <c r="S2573" s="304">
        <f>IF(O2573&lt;=IF($O2573=0,0,SUMIFS(Disbursements!$W:$W,Disbursements!$B:$B,'Live Collections'!D3122,Disbursements!$D:$D,'Live Collections'!F3122)),O2573,IF($O2573=0,0,SUMIFS(Disbursements!$W:$W,Disbursements!$B:$B,'Live Collections'!D3122,Disbursements!$D:$D,'Live Collections'!F3122)))</f>
        <v>0</v>
      </c>
      <c r="T2573" s="304">
        <f t="shared" si="123"/>
        <v>0</v>
      </c>
      <c r="U2573" s="52"/>
      <c r="V2573" s="34"/>
      <c r="W2573" s="408"/>
    </row>
    <row r="2574" spans="1:23" ht="12.75" customHeight="1" x14ac:dyDescent="0.2">
      <c r="A2574" s="257">
        <v>2576</v>
      </c>
      <c r="B2574" s="44">
        <v>44571</v>
      </c>
      <c r="C2574" s="44">
        <f t="shared" si="122"/>
        <v>44571</v>
      </c>
      <c r="D2574" s="374">
        <v>22</v>
      </c>
      <c r="E2574" s="291" t="str">
        <f>IFERROR(VLOOKUP($D2574,'Clients-Live'!$A:$C,3,0),"")</f>
        <v>DATA ISMAIL FATARI</v>
      </c>
      <c r="F2574" s="291">
        <v>2</v>
      </c>
      <c r="G2574" s="34">
        <v>381</v>
      </c>
      <c r="H2574" s="34">
        <v>4302</v>
      </c>
      <c r="I2574" s="34" t="s">
        <v>1359</v>
      </c>
      <c r="J2574" s="48"/>
      <c r="K2574" s="48"/>
      <c r="L2574" s="48"/>
      <c r="M2574" s="48"/>
      <c r="N2574" s="59"/>
      <c r="O2574" s="59">
        <v>10000</v>
      </c>
      <c r="P2574" s="59"/>
      <c r="Q2574" s="268">
        <f t="shared" si="121"/>
        <v>10000</v>
      </c>
      <c r="R2574" s="61">
        <f>IF(O2574=0,0,SUMIFS(Disbursements!$T:$T,Disbursements!$B:$B,'Live Collections'!D2574,Disbursements!$D:$D,'Live Collections'!F2574))</f>
        <v>210000</v>
      </c>
      <c r="S2574" s="304">
        <f>IF(O2574&lt;=IF($O2574=0,0,SUMIFS(Disbursements!$W:$W,Disbursements!$B:$B,'Live Collections'!D298,Disbursements!$D:$D,'Live Collections'!F298)),O2574,IF($O2574=0,0,SUMIFS(Disbursements!$W:$W,Disbursements!$B:$B,'Live Collections'!D298,Disbursements!$D:$D,'Live Collections'!F298)))</f>
        <v>10000</v>
      </c>
      <c r="T2574" s="304">
        <f t="shared" si="123"/>
        <v>0</v>
      </c>
      <c r="U2574" s="52"/>
      <c r="V2574" s="34"/>
      <c r="W2574" s="408"/>
    </row>
    <row r="2575" spans="1:23" ht="12.75" customHeight="1" x14ac:dyDescent="0.2">
      <c r="A2575" s="257">
        <v>2586</v>
      </c>
      <c r="B2575" s="44">
        <v>44571</v>
      </c>
      <c r="C2575" s="44">
        <f t="shared" si="122"/>
        <v>44571</v>
      </c>
      <c r="D2575" s="374">
        <v>33</v>
      </c>
      <c r="E2575" s="291" t="str">
        <f>IFERROR(VLOOKUP($D2575,'Clients-Live'!$A:$C,3,0),"")</f>
        <v>MUZEE OMAR</v>
      </c>
      <c r="F2575" s="291">
        <f>IFERROR(INDEX(Disbursements!$D:$D,MATCH('Live Collections'!G2575,Disbursements!$C:$C,0)),"")</f>
        <v>1</v>
      </c>
      <c r="G2575" s="34">
        <v>26</v>
      </c>
      <c r="H2575" s="34">
        <v>507</v>
      </c>
      <c r="I2575" s="34" t="s">
        <v>1357</v>
      </c>
      <c r="J2575" s="48"/>
      <c r="K2575" s="48"/>
      <c r="L2575" s="48"/>
      <c r="M2575" s="48"/>
      <c r="N2575" s="59"/>
      <c r="O2575" s="59"/>
      <c r="P2575" s="59">
        <v>-200000</v>
      </c>
      <c r="Q2575" s="268">
        <f t="shared" si="121"/>
        <v>-200000</v>
      </c>
      <c r="R2575" s="61">
        <f>IF(O2575=0,0,SUMIFS(Disbursements!$T:$T,Disbursements!$B:$B,'Live Collections'!D2575,Disbursements!$D:$D,'Live Collections'!F2575))</f>
        <v>0</v>
      </c>
      <c r="S2575" s="304">
        <f>IF(O2575&lt;=IF($O2575=0,0,SUMIFS(Disbursements!$W:$W,Disbursements!$B:$B,'Live Collections'!D386,Disbursements!$D:$D,'Live Collections'!F386)),O2575,IF($O2575=0,0,SUMIFS(Disbursements!$W:$W,Disbursements!$B:$B,'Live Collections'!D386,Disbursements!$D:$D,'Live Collections'!F386)))</f>
        <v>0</v>
      </c>
      <c r="T2575" s="304">
        <f t="shared" si="123"/>
        <v>0</v>
      </c>
      <c r="U2575" s="52"/>
      <c r="V2575" s="34"/>
      <c r="W2575" s="408" t="s">
        <v>1972</v>
      </c>
    </row>
    <row r="2576" spans="1:23" ht="12.75" customHeight="1" x14ac:dyDescent="0.2">
      <c r="A2576" s="257">
        <v>2587</v>
      </c>
      <c r="B2576" s="44">
        <v>44571</v>
      </c>
      <c r="C2576" s="44">
        <f t="shared" si="122"/>
        <v>44571</v>
      </c>
      <c r="D2576" s="374">
        <v>33</v>
      </c>
      <c r="E2576" s="291" t="str">
        <f>IFERROR(VLOOKUP($D2576,'Clients-Live'!$A:$C,3,0),"")</f>
        <v>MUZEE OMAR</v>
      </c>
      <c r="F2576" s="291">
        <f>IFERROR(INDEX(Disbursements!$D:$D,MATCH('Live Collections'!G2576,Disbursements!$C:$C,0)),"")</f>
        <v>1</v>
      </c>
      <c r="G2576" s="34">
        <v>26</v>
      </c>
      <c r="H2576" s="34">
        <v>4242</v>
      </c>
      <c r="I2576" s="34" t="s">
        <v>1357</v>
      </c>
      <c r="J2576" s="48"/>
      <c r="K2576" s="48"/>
      <c r="L2576" s="48"/>
      <c r="M2576" s="48"/>
      <c r="N2576" s="59"/>
      <c r="O2576" s="59">
        <v>200000</v>
      </c>
      <c r="P2576" s="59"/>
      <c r="Q2576" s="268">
        <f t="shared" si="121"/>
        <v>200000</v>
      </c>
      <c r="R2576" s="61">
        <f>IF(O2576=0,0,SUMIFS(Disbursements!$T:$T,Disbursements!$B:$B,'Live Collections'!D2576,Disbursements!$D:$D,'Live Collections'!F2576))</f>
        <v>109000</v>
      </c>
      <c r="S2576" s="304"/>
      <c r="T2576" s="304">
        <f t="shared" si="123"/>
        <v>200000</v>
      </c>
      <c r="U2576" s="52"/>
      <c r="V2576" s="34"/>
      <c r="W2576" s="408"/>
    </row>
    <row r="2577" spans="1:23" ht="12.75" customHeight="1" x14ac:dyDescent="0.2">
      <c r="A2577" s="257">
        <v>2588</v>
      </c>
      <c r="B2577" s="44">
        <v>44571</v>
      </c>
      <c r="C2577" s="44">
        <f t="shared" si="122"/>
        <v>44571</v>
      </c>
      <c r="D2577" s="374">
        <v>33</v>
      </c>
      <c r="E2577" s="291" t="str">
        <f>IFERROR(VLOOKUP($D2577,'Clients-Live'!$A:$C,3,0),"")</f>
        <v>MUZEE OMAR</v>
      </c>
      <c r="F2577" s="291">
        <f>IFERROR(INDEX(Disbursements!$D:$D,MATCH('Live Collections'!G2577,Disbursements!$C:$C,0)),"")</f>
        <v>1</v>
      </c>
      <c r="G2577" s="34">
        <v>26</v>
      </c>
      <c r="H2577" s="34">
        <v>4240</v>
      </c>
      <c r="I2577" s="34" t="s">
        <v>1357</v>
      </c>
      <c r="J2577" s="48"/>
      <c r="K2577" s="48"/>
      <c r="L2577" s="48"/>
      <c r="M2577" s="48"/>
      <c r="N2577" s="59"/>
      <c r="O2577" s="59">
        <v>1836000</v>
      </c>
      <c r="P2577" s="59"/>
      <c r="Q2577" s="268">
        <f t="shared" si="121"/>
        <v>1836000</v>
      </c>
      <c r="R2577" s="61">
        <f>IF(O2577=0,0,SUMIFS(Disbursements!$T:$T,Disbursements!$B:$B,'Live Collections'!D2577,Disbursements!$D:$D,'Live Collections'!F2577))</f>
        <v>109000</v>
      </c>
      <c r="S2577" s="64">
        <v>460000.00000000012</v>
      </c>
      <c r="T2577" s="304">
        <f t="shared" si="123"/>
        <v>1376000</v>
      </c>
      <c r="U2577" s="52"/>
      <c r="V2577" s="34"/>
      <c r="W2577" s="408" t="s">
        <v>2090</v>
      </c>
    </row>
    <row r="2578" spans="1:23" ht="12.75" customHeight="1" x14ac:dyDescent="0.2">
      <c r="A2578" s="257">
        <v>2589</v>
      </c>
      <c r="B2578" s="44">
        <v>44571</v>
      </c>
      <c r="C2578" s="44">
        <f t="shared" si="122"/>
        <v>44571</v>
      </c>
      <c r="D2578" s="374">
        <v>33</v>
      </c>
      <c r="E2578" s="291" t="str">
        <f>IFERROR(VLOOKUP($D2578,'Clients-Live'!$A:$C,3,0),"")</f>
        <v>MUZEE OMAR</v>
      </c>
      <c r="F2578" s="291" t="str">
        <f>IFERROR(INDEX(Disbursements!$D:$D,MATCH('Live Collections'!G2578,Disbursements!$C:$C,0)),"")</f>
        <v/>
      </c>
      <c r="G2578" s="34"/>
      <c r="H2578" s="34">
        <v>241</v>
      </c>
      <c r="I2578" s="34" t="s">
        <v>1357</v>
      </c>
      <c r="J2578" s="48"/>
      <c r="K2578" s="48"/>
      <c r="L2578" s="48"/>
      <c r="M2578" s="48"/>
      <c r="N2578" s="59">
        <v>274300</v>
      </c>
      <c r="O2578" s="59"/>
      <c r="P2578" s="59"/>
      <c r="Q2578" s="268">
        <f t="shared" si="121"/>
        <v>274300</v>
      </c>
      <c r="R2578" s="61">
        <f>IF(O2578=0,0,SUMIFS(Disbursements!$T:$T,Disbursements!$B:$B,'Live Collections'!D2578,Disbursements!$D:$D,'Live Collections'!F2578))</f>
        <v>0</v>
      </c>
      <c r="S2578" s="304">
        <f>IF(O2578&lt;=IF($O2578=0,0,SUMIFS(Disbursements!$W:$W,Disbursements!$B:$B,'Live Collections'!D389,Disbursements!$D:$D,'Live Collections'!F389)),O2578,IF($O2578=0,0,SUMIFS(Disbursements!$W:$W,Disbursements!$B:$B,'Live Collections'!D389,Disbursements!$D:$D,'Live Collections'!F389)))</f>
        <v>0</v>
      </c>
      <c r="T2578" s="304">
        <f t="shared" si="123"/>
        <v>0</v>
      </c>
      <c r="U2578" s="52"/>
      <c r="V2578" s="34"/>
      <c r="W2578" s="408" t="s">
        <v>1973</v>
      </c>
    </row>
    <row r="2579" spans="1:23" ht="12.75" customHeight="1" x14ac:dyDescent="0.2">
      <c r="A2579" s="257">
        <v>2574</v>
      </c>
      <c r="B2579" s="44">
        <v>44571</v>
      </c>
      <c r="C2579" s="44">
        <f t="shared" si="122"/>
        <v>44571</v>
      </c>
      <c r="D2579" s="374">
        <v>44</v>
      </c>
      <c r="E2579" s="291" t="str">
        <f>IFERROR(VLOOKUP($D2579,'Clients-Live'!$A:$C,3,0),"")</f>
        <v>CANDIRU HELLEN</v>
      </c>
      <c r="F2579" s="291">
        <f>IFERROR(INDEX(Disbursements!$D:$D,MATCH('Live Collections'!G2579,Disbursements!$C:$C,0)),"")</f>
        <v>2</v>
      </c>
      <c r="G2579" s="34">
        <v>129</v>
      </c>
      <c r="H2579" s="34">
        <v>4175</v>
      </c>
      <c r="I2579" s="34" t="s">
        <v>1358</v>
      </c>
      <c r="J2579" s="48"/>
      <c r="K2579" s="48"/>
      <c r="L2579" s="48"/>
      <c r="M2579" s="48"/>
      <c r="N2579" s="59"/>
      <c r="O2579" s="59">
        <v>100000</v>
      </c>
      <c r="P2579" s="59"/>
      <c r="Q2579" s="268">
        <f t="shared" si="121"/>
        <v>100000</v>
      </c>
      <c r="R2579" s="61">
        <f>IF(O2579=0,0,SUMIFS(Disbursements!$T:$T,Disbursements!$B:$B,'Live Collections'!D2579,Disbursements!$D:$D,'Live Collections'!F2579))</f>
        <v>217000</v>
      </c>
      <c r="S2579" s="304"/>
      <c r="T2579" s="304">
        <f t="shared" si="123"/>
        <v>100000</v>
      </c>
      <c r="U2579" s="52"/>
      <c r="V2579" s="34"/>
      <c r="W2579" s="408"/>
    </row>
    <row r="2580" spans="1:23" ht="12.75" customHeight="1" x14ac:dyDescent="0.2">
      <c r="A2580" s="257">
        <v>2584</v>
      </c>
      <c r="B2580" s="44">
        <v>44571</v>
      </c>
      <c r="C2580" s="44">
        <f t="shared" si="122"/>
        <v>44571</v>
      </c>
      <c r="D2580" s="374">
        <v>54</v>
      </c>
      <c r="E2580" s="291" t="str">
        <f>IFERROR(VLOOKUP($D2580,'Clients-Live'!$A:$C,3,0),"")</f>
        <v>MANENO ANIFA</v>
      </c>
      <c r="F2580" s="291">
        <f>IFERROR(INDEX(Disbursements!$D:$D,MATCH('Live Collections'!G2580,Disbursements!$C:$C,0)),"")</f>
        <v>2</v>
      </c>
      <c r="G2580" s="34">
        <v>195</v>
      </c>
      <c r="H2580" s="34">
        <v>4246</v>
      </c>
      <c r="I2580" s="34" t="s">
        <v>1357</v>
      </c>
      <c r="J2580" s="48"/>
      <c r="K2580" s="48"/>
      <c r="L2580" s="48"/>
      <c r="M2580" s="48"/>
      <c r="N2580" s="59"/>
      <c r="O2580" s="59">
        <v>60000</v>
      </c>
      <c r="P2580" s="59"/>
      <c r="Q2580" s="268">
        <f t="shared" si="121"/>
        <v>60000</v>
      </c>
      <c r="R2580" s="61">
        <f>IF(O2580=0,0,SUMIFS(Disbursements!$T:$T,Disbursements!$B:$B,'Live Collections'!D2580,Disbursements!$D:$D,'Live Collections'!F2580))</f>
        <v>200000</v>
      </c>
      <c r="S2580" s="304">
        <f>IF(O2580&lt;=IF($O2580=0,0,SUMIFS(Disbursements!$W:$W,Disbursements!$B:$B,'Live Collections'!D643,Disbursements!$D:$D,'Live Collections'!F643)),O2580,IF($O2580=0,0,SUMIFS(Disbursements!$W:$W,Disbursements!$B:$B,'Live Collections'!D643,Disbursements!$D:$D,'Live Collections'!F643)))</f>
        <v>0</v>
      </c>
      <c r="T2580" s="304">
        <f t="shared" si="123"/>
        <v>60000</v>
      </c>
      <c r="U2580" s="52"/>
      <c r="V2580" s="34"/>
      <c r="W2580" s="408"/>
    </row>
    <row r="2581" spans="1:23" ht="12.75" customHeight="1" x14ac:dyDescent="0.2">
      <c r="A2581" s="257">
        <v>2579</v>
      </c>
      <c r="B2581" s="44">
        <v>44571</v>
      </c>
      <c r="C2581" s="44">
        <f t="shared" si="122"/>
        <v>44571</v>
      </c>
      <c r="D2581" s="374">
        <v>55</v>
      </c>
      <c r="E2581" s="291" t="str">
        <f>IFERROR(VLOOKUP($D2581,'Clients-Live'!$A:$C,3,0),"")</f>
        <v>SOKOLA SHARON</v>
      </c>
      <c r="F2581" s="291">
        <f>IFERROR(INDEX(Disbursements!$D:$D,MATCH('Live Collections'!G2581,Disbursements!$C:$C,0)),"")</f>
        <v>2</v>
      </c>
      <c r="G2581" s="34">
        <v>288</v>
      </c>
      <c r="H2581" s="34">
        <v>4249</v>
      </c>
      <c r="I2581" s="34" t="s">
        <v>1359</v>
      </c>
      <c r="J2581" s="48"/>
      <c r="K2581" s="48"/>
      <c r="L2581" s="48"/>
      <c r="M2581" s="48"/>
      <c r="N2581" s="59"/>
      <c r="O2581" s="59">
        <v>100000</v>
      </c>
      <c r="P2581" s="59"/>
      <c r="Q2581" s="268">
        <f t="shared" si="121"/>
        <v>100000</v>
      </c>
      <c r="R2581" s="61">
        <f>IF(O2581=0,0,SUMIFS(Disbursements!$T:$T,Disbursements!$B:$B,'Live Collections'!D2581,Disbursements!$D:$D,'Live Collections'!F2581))</f>
        <v>210000</v>
      </c>
      <c r="S2581" s="304">
        <f>IF(O2581&lt;=IF($O2581=0,0,SUMIFS(Disbursements!$W:$W,Disbursements!$B:$B,'Live Collections'!D659,Disbursements!$D:$D,'Live Collections'!F659)),O2581,IF($O2581=0,0,SUMIFS(Disbursements!$W:$W,Disbursements!$B:$B,'Live Collections'!D659,Disbursements!$D:$D,'Live Collections'!F659)))</f>
        <v>25000</v>
      </c>
      <c r="T2581" s="304">
        <f t="shared" si="123"/>
        <v>75000</v>
      </c>
      <c r="U2581" s="52"/>
      <c r="V2581" s="34"/>
      <c r="W2581" s="408"/>
    </row>
    <row r="2582" spans="1:23" ht="12.75" customHeight="1" x14ac:dyDescent="0.2">
      <c r="A2582" s="257">
        <v>2590</v>
      </c>
      <c r="B2582" s="44">
        <v>44571</v>
      </c>
      <c r="C2582" s="44">
        <f t="shared" si="122"/>
        <v>44571</v>
      </c>
      <c r="D2582" s="374">
        <v>77</v>
      </c>
      <c r="E2582" s="291" t="str">
        <f>IFERROR(VLOOKUP($D2582,'Clients-Live'!$A:$C,3,0),"")</f>
        <v>CACA FATUMA</v>
      </c>
      <c r="F2582" s="291">
        <f>IFERROR(INDEX(Disbursements!$D:$D,MATCH('Live Collections'!G2582,Disbursements!$C:$C,0)),"")</f>
        <v>2</v>
      </c>
      <c r="G2582" s="34">
        <v>315</v>
      </c>
      <c r="H2582" s="34">
        <v>4167</v>
      </c>
      <c r="I2582" s="34" t="s">
        <v>1357</v>
      </c>
      <c r="J2582" s="48"/>
      <c r="K2582" s="48"/>
      <c r="L2582" s="48"/>
      <c r="M2582" s="48"/>
      <c r="N2582" s="59"/>
      <c r="O2582" s="59">
        <v>200000</v>
      </c>
      <c r="P2582" s="59"/>
      <c r="Q2582" s="268">
        <f t="shared" si="121"/>
        <v>200000</v>
      </c>
      <c r="R2582" s="61">
        <f>IF(O2582=0,0,SUMIFS(Disbursements!$T:$T,Disbursements!$B:$B,'Live Collections'!D2582,Disbursements!$D:$D,'Live Collections'!F2582))</f>
        <v>325000</v>
      </c>
      <c r="S2582" s="304">
        <f>IF(O2582&lt;=IF($O2582=0,0,SUMIFS(Disbursements!$W:$W,Disbursements!$B:$B,'Live Collections'!D993,Disbursements!$D:$D,'Live Collections'!F993)),O2582,IF($O2582=0,0,SUMIFS(Disbursements!$W:$W,Disbursements!$B:$B,'Live Collections'!D993,Disbursements!$D:$D,'Live Collections'!F993)))</f>
        <v>0</v>
      </c>
      <c r="T2582" s="304">
        <f t="shared" si="123"/>
        <v>200000</v>
      </c>
      <c r="U2582" s="52"/>
      <c r="V2582" s="34"/>
      <c r="W2582" s="408"/>
    </row>
    <row r="2583" spans="1:23" ht="12.75" customHeight="1" x14ac:dyDescent="0.2">
      <c r="A2583" s="257">
        <v>2578</v>
      </c>
      <c r="B2583" s="44">
        <v>44571</v>
      </c>
      <c r="C2583" s="44">
        <f t="shared" si="122"/>
        <v>44571</v>
      </c>
      <c r="D2583" s="374">
        <v>78</v>
      </c>
      <c r="E2583" s="291" t="str">
        <f>IFERROR(VLOOKUP($D2583,'Clients-Live'!$A:$C,3,0),"")</f>
        <v>DIPIYO BEATRICE JOHN</v>
      </c>
      <c r="F2583" s="291">
        <f>IFERROR(INDEX(Disbursements!$D:$D,MATCH('Live Collections'!G2583,Disbursements!$C:$C,0)),"")</f>
        <v>2</v>
      </c>
      <c r="G2583" s="34">
        <v>351</v>
      </c>
      <c r="H2583" s="34">
        <v>4250</v>
      </c>
      <c r="I2583" s="34" t="s">
        <v>1357</v>
      </c>
      <c r="J2583" s="48"/>
      <c r="K2583" s="48"/>
      <c r="L2583" s="48"/>
      <c r="M2583" s="48"/>
      <c r="N2583" s="59"/>
      <c r="O2583" s="59">
        <v>70000</v>
      </c>
      <c r="P2583" s="59"/>
      <c r="Q2583" s="268">
        <f t="shared" si="121"/>
        <v>70000</v>
      </c>
      <c r="R2583" s="61">
        <f>IF(O2583=0,0,SUMIFS(Disbursements!$T:$T,Disbursements!$B:$B,'Live Collections'!D2583,Disbursements!$D:$D,'Live Collections'!F2583))</f>
        <v>540000</v>
      </c>
      <c r="S2583" s="304">
        <f>IF(O2583&lt;=IF($O2583=0,0,SUMIFS(Disbursements!$W:$W,Disbursements!$B:$B,'Live Collections'!D1009,Disbursements!$D:$D,'Live Collections'!F1009)),O2583,IF($O2583=0,0,SUMIFS(Disbursements!$W:$W,Disbursements!$B:$B,'Live Collections'!D1009,Disbursements!$D:$D,'Live Collections'!F1009)))</f>
        <v>30000</v>
      </c>
      <c r="T2583" s="304">
        <f t="shared" si="123"/>
        <v>40000</v>
      </c>
      <c r="U2583" s="52"/>
      <c r="V2583" s="34"/>
      <c r="W2583" s="408"/>
    </row>
    <row r="2584" spans="1:23" ht="12.75" customHeight="1" x14ac:dyDescent="0.2">
      <c r="A2584" s="257">
        <v>2583</v>
      </c>
      <c r="B2584" s="44">
        <v>44571</v>
      </c>
      <c r="C2584" s="44">
        <f t="shared" si="122"/>
        <v>44571</v>
      </c>
      <c r="D2584" s="374">
        <v>143</v>
      </c>
      <c r="E2584" s="291" t="str">
        <f>IFERROR(VLOOKUP($D2584,'Clients-Live'!$A:$C,3,0),"")</f>
        <v>MORO HAKIM</v>
      </c>
      <c r="F2584" s="291">
        <f>IFERROR(INDEX(Disbursements!$D:$D,MATCH('Live Collections'!G2584,Disbursements!$C:$C,0)),"")</f>
        <v>2</v>
      </c>
      <c r="G2584" s="34">
        <v>318</v>
      </c>
      <c r="H2584" s="34">
        <v>4248</v>
      </c>
      <c r="I2584" s="34" t="s">
        <v>1357</v>
      </c>
      <c r="J2584" s="48"/>
      <c r="K2584" s="48"/>
      <c r="L2584" s="48"/>
      <c r="M2584" s="48"/>
      <c r="N2584" s="59"/>
      <c r="O2584" s="59">
        <v>1200000</v>
      </c>
      <c r="P2584" s="59"/>
      <c r="Q2584" s="268">
        <f t="shared" si="121"/>
        <v>1200000</v>
      </c>
      <c r="R2584" s="61">
        <f>IF(O2584=0,0,SUMIFS(Disbursements!$T:$T,Disbursements!$B:$B,'Live Collections'!D2584,Disbursements!$D:$D,'Live Collections'!F2584))</f>
        <v>1200000</v>
      </c>
      <c r="S2584" s="304">
        <f>IF(O2584&lt;=IF($O2584=0,0,SUMIFS(Disbursements!$W:$W,Disbursements!$B:$B,'Live Collections'!D1814,Disbursements!$D:$D,'Live Collections'!F1814)),O2584,IF($O2584=0,0,SUMIFS(Disbursements!$W:$W,Disbursements!$B:$B,'Live Collections'!D1814,Disbursements!$D:$D,'Live Collections'!F1814)))</f>
        <v>50666.666666666686</v>
      </c>
      <c r="T2584" s="304">
        <f t="shared" si="123"/>
        <v>1149333.3333333333</v>
      </c>
      <c r="U2584" s="52"/>
      <c r="V2584" s="34"/>
      <c r="W2584" s="408"/>
    </row>
    <row r="2585" spans="1:23" ht="12.75" customHeight="1" x14ac:dyDescent="0.2">
      <c r="A2585" s="257">
        <v>2580</v>
      </c>
      <c r="B2585" s="44">
        <v>44571</v>
      </c>
      <c r="C2585" s="44">
        <f t="shared" si="122"/>
        <v>44571</v>
      </c>
      <c r="D2585" s="374">
        <v>148</v>
      </c>
      <c r="E2585" s="291" t="str">
        <f>IFERROR(VLOOKUP($D2585,'Clients-Live'!$A:$C,3,0),"")</f>
        <v>GBOKA ZAIDA</v>
      </c>
      <c r="F2585" s="291">
        <f>IFERROR(INDEX(Disbursements!$D:$D,MATCH('Live Collections'!G2585,Disbursements!$C:$C,0)),"")</f>
        <v>2</v>
      </c>
      <c r="G2585" s="34">
        <v>304</v>
      </c>
      <c r="H2585" s="34">
        <v>4169</v>
      </c>
      <c r="I2585" s="34" t="s">
        <v>1359</v>
      </c>
      <c r="J2585" s="48"/>
      <c r="K2585" s="48"/>
      <c r="L2585" s="48"/>
      <c r="M2585" s="48"/>
      <c r="N2585" s="59"/>
      <c r="O2585" s="59">
        <v>40000</v>
      </c>
      <c r="P2585" s="59"/>
      <c r="Q2585" s="268">
        <f t="shared" si="121"/>
        <v>40000</v>
      </c>
      <c r="R2585" s="61">
        <f>IF(O2585=0,0,SUMIFS(Disbursements!$T:$T,Disbursements!$B:$B,'Live Collections'!D2585,Disbursements!$D:$D,'Live Collections'!F2585))</f>
        <v>125000</v>
      </c>
      <c r="S2585" s="304">
        <f>IF(O2585&lt;=IF($O2585=0,0,SUMIFS(Disbursements!$W:$W,Disbursements!$B:$B,'Live Collections'!D1878,Disbursements!$D:$D,'Live Collections'!F1878)),O2585,IF($O2585=0,0,SUMIFS(Disbursements!$W:$W,Disbursements!$B:$B,'Live Collections'!D1878,Disbursements!$D:$D,'Live Collections'!F1878)))</f>
        <v>40000</v>
      </c>
      <c r="T2585" s="304">
        <f t="shared" si="123"/>
        <v>0</v>
      </c>
      <c r="U2585" s="52"/>
      <c r="V2585" s="34"/>
      <c r="W2585" s="408"/>
    </row>
    <row r="2586" spans="1:23" ht="12.75" customHeight="1" x14ac:dyDescent="0.2">
      <c r="A2586" s="257">
        <v>2577</v>
      </c>
      <c r="B2586" s="44">
        <v>44571</v>
      </c>
      <c r="C2586" s="44">
        <f t="shared" si="122"/>
        <v>44571</v>
      </c>
      <c r="D2586" s="374">
        <v>188</v>
      </c>
      <c r="E2586" s="291" t="str">
        <f>IFERROR(VLOOKUP($D2586,'Clients-Live'!$A:$C,3,0),"")</f>
        <v>ADIRU HELLEN</v>
      </c>
      <c r="F2586" s="291">
        <f>IFERROR(INDEX(Disbursements!$D:$D,MATCH('Live Collections'!G2586,Disbursements!$C:$C,0)),"")</f>
        <v>2</v>
      </c>
      <c r="G2586" s="34">
        <v>328</v>
      </c>
      <c r="H2586" s="34">
        <v>4171</v>
      </c>
      <c r="I2586" s="34" t="s">
        <v>1358</v>
      </c>
      <c r="J2586" s="48"/>
      <c r="K2586" s="48"/>
      <c r="L2586" s="48"/>
      <c r="M2586" s="48"/>
      <c r="N2586" s="59"/>
      <c r="O2586" s="59">
        <v>160000</v>
      </c>
      <c r="P2586" s="59"/>
      <c r="Q2586" s="268">
        <f t="shared" si="121"/>
        <v>160000</v>
      </c>
      <c r="R2586" s="61">
        <f>IF(O2586=0,0,SUMIFS(Disbursements!$T:$T,Disbursements!$B:$B,'Live Collections'!D2586,Disbursements!$D:$D,'Live Collections'!F2586))</f>
        <v>180000</v>
      </c>
      <c r="S2586" s="304">
        <f>IF(O2586&lt;=IF($O2586=0,0,SUMIFS(Disbursements!$W:$W,Disbursements!$B:$B,'Live Collections'!D2293,Disbursements!$D:$D,'Live Collections'!F2293)),O2586,IF($O2586=0,0,SUMIFS(Disbursements!$W:$W,Disbursements!$B:$B,'Live Collections'!D2293,Disbursements!$D:$D,'Live Collections'!F2293)))</f>
        <v>50000</v>
      </c>
      <c r="T2586" s="304">
        <f t="shared" si="123"/>
        <v>110000</v>
      </c>
      <c r="U2586" s="52"/>
      <c r="V2586" s="34"/>
      <c r="W2586" s="408"/>
    </row>
    <row r="2587" spans="1:23" ht="12.75" customHeight="1" x14ac:dyDescent="0.2">
      <c r="A2587" s="257">
        <v>2581</v>
      </c>
      <c r="B2587" s="44">
        <v>44571</v>
      </c>
      <c r="C2587" s="44">
        <f t="shared" si="122"/>
        <v>44571</v>
      </c>
      <c r="D2587" s="374">
        <v>222</v>
      </c>
      <c r="E2587" s="291" t="str">
        <f>IFERROR(VLOOKUP($D2587,'Clients-Live'!$A:$C,3,0),"")</f>
        <v>ITITU ZAIDA</v>
      </c>
      <c r="F2587" s="291">
        <f>IFERROR(INDEX(Disbursements!$D:$D,MATCH('Live Collections'!G2587,Disbursements!$C:$C,0)),"")</f>
        <v>1</v>
      </c>
      <c r="G2587" s="34">
        <v>249</v>
      </c>
      <c r="H2587" s="34">
        <v>4170</v>
      </c>
      <c r="I2587" s="34" t="s">
        <v>1358</v>
      </c>
      <c r="J2587" s="48"/>
      <c r="K2587" s="48"/>
      <c r="L2587" s="48"/>
      <c r="M2587" s="48"/>
      <c r="N2587" s="59"/>
      <c r="O2587" s="59">
        <v>150000</v>
      </c>
      <c r="P2587" s="59"/>
      <c r="Q2587" s="268">
        <f t="shared" si="121"/>
        <v>150000</v>
      </c>
      <c r="R2587" s="61">
        <f>IF(O2587=0,0,SUMIFS(Disbursements!$T:$T,Disbursements!$B:$B,'Live Collections'!D2587,Disbursements!$D:$D,'Live Collections'!F2587))</f>
        <v>180000</v>
      </c>
      <c r="S2587" s="304">
        <f>IF(O2587&lt;=IF($O2587=0,0,SUMIFS(Disbursements!$W:$W,Disbursements!$B:$B,'Live Collections'!D2616,Disbursements!$D:$D,'Live Collections'!F2616)),O2587,IF($O2587=0,0,SUMIFS(Disbursements!$W:$W,Disbursements!$B:$B,'Live Collections'!D2616,Disbursements!$D:$D,'Live Collections'!F2616)))</f>
        <v>0</v>
      </c>
      <c r="T2587" s="304">
        <f t="shared" si="123"/>
        <v>150000</v>
      </c>
      <c r="U2587" s="52"/>
      <c r="V2587" s="34"/>
      <c r="W2587" s="408"/>
    </row>
    <row r="2588" spans="1:23" ht="12.75" customHeight="1" x14ac:dyDescent="0.2">
      <c r="A2588" s="257">
        <v>2573</v>
      </c>
      <c r="B2588" s="44">
        <v>44571</v>
      </c>
      <c r="C2588" s="44">
        <f t="shared" si="122"/>
        <v>44571</v>
      </c>
      <c r="D2588" s="374">
        <v>235</v>
      </c>
      <c r="E2588" s="291" t="str">
        <f>IFERROR(VLOOKUP($D2588,'Clients-Live'!$A:$C,3,0),"")</f>
        <v>AMULE ISAAC</v>
      </c>
      <c r="F2588" s="291" t="str">
        <f>IFERROR(INDEX(Disbursements!$D:$D,MATCH('Live Collections'!G2588,Disbursements!$C:$C,0)),"")</f>
        <v/>
      </c>
      <c r="G2588" s="34"/>
      <c r="H2588" s="34">
        <v>4243</v>
      </c>
      <c r="I2588" s="34" t="s">
        <v>1358</v>
      </c>
      <c r="J2588" s="48"/>
      <c r="K2588" s="48"/>
      <c r="L2588" s="48"/>
      <c r="M2588" s="48"/>
      <c r="N2588" s="59"/>
      <c r="O2588" s="59"/>
      <c r="P2588" s="59">
        <v>50000</v>
      </c>
      <c r="Q2588" s="268">
        <f t="shared" si="121"/>
        <v>50000</v>
      </c>
      <c r="R2588" s="61">
        <f>IF(O2588=0,0,SUMIFS(Disbursements!$T:$T,Disbursements!$B:$B,'Live Collections'!D2588,Disbursements!$D:$D,'Live Collections'!F2588))</f>
        <v>0</v>
      </c>
      <c r="S2588" s="304">
        <f>IF(O2588&lt;=IF($O2588=0,0,SUMIFS(Disbursements!$W:$W,Disbursements!$B:$B,'Live Collections'!D2709,Disbursements!$D:$D,'Live Collections'!F2709)),O2588,IF($O2588=0,0,SUMIFS(Disbursements!$W:$W,Disbursements!$B:$B,'Live Collections'!D2709,Disbursements!$D:$D,'Live Collections'!F2709)))</f>
        <v>0</v>
      </c>
      <c r="T2588" s="304">
        <f t="shared" si="123"/>
        <v>0</v>
      </c>
      <c r="U2588" s="52"/>
      <c r="V2588" s="34"/>
      <c r="W2588" s="408"/>
    </row>
    <row r="2589" spans="1:23" ht="12.75" customHeight="1" x14ac:dyDescent="0.2">
      <c r="A2589" s="257">
        <v>2585</v>
      </c>
      <c r="B2589" s="44">
        <v>44571</v>
      </c>
      <c r="C2589" s="44">
        <f t="shared" si="122"/>
        <v>44571</v>
      </c>
      <c r="D2589" s="374">
        <v>235</v>
      </c>
      <c r="E2589" s="291" t="str">
        <f>IFERROR(VLOOKUP($D2589,'Clients-Live'!$A:$C,3,0),"")</f>
        <v>AMULE ISAAC</v>
      </c>
      <c r="F2589" s="291" t="str">
        <f>IFERROR(INDEX(Disbursements!$D:$D,MATCH('Live Collections'!G2589,Disbursements!$C:$C,0)),"")</f>
        <v/>
      </c>
      <c r="G2589" s="34"/>
      <c r="H2589" s="34">
        <v>4168</v>
      </c>
      <c r="I2589" s="34" t="s">
        <v>1358</v>
      </c>
      <c r="J2589" s="48"/>
      <c r="K2589" s="48"/>
      <c r="L2589" s="48">
        <v>25000</v>
      </c>
      <c r="M2589" s="48">
        <v>5000</v>
      </c>
      <c r="N2589" s="59"/>
      <c r="O2589" s="59"/>
      <c r="P2589" s="59"/>
      <c r="Q2589" s="268">
        <f t="shared" si="121"/>
        <v>30000</v>
      </c>
      <c r="R2589" s="61">
        <f>IF(O2589=0,0,SUMIFS(Disbursements!$T:$T,Disbursements!$B:$B,'Live Collections'!D2589,Disbursements!$D:$D,'Live Collections'!F2589))</f>
        <v>0</v>
      </c>
      <c r="S2589" s="304">
        <f>IF(O2589&lt;=IF($O2589=0,0,SUMIFS(Disbursements!$W:$W,Disbursements!$B:$B,'Live Collections'!D2710,Disbursements!$D:$D,'Live Collections'!F2710)),O2589,IF($O2589=0,0,SUMIFS(Disbursements!$W:$W,Disbursements!$B:$B,'Live Collections'!D2710,Disbursements!$D:$D,'Live Collections'!F2710)))</f>
        <v>0</v>
      </c>
      <c r="T2589" s="304">
        <f t="shared" si="123"/>
        <v>0</v>
      </c>
      <c r="U2589" s="52"/>
      <c r="V2589" s="34"/>
      <c r="W2589" s="408"/>
    </row>
    <row r="2590" spans="1:23" ht="12.75" customHeight="1" x14ac:dyDescent="0.2">
      <c r="A2590" s="257">
        <v>2575</v>
      </c>
      <c r="B2590" s="44">
        <v>44571</v>
      </c>
      <c r="C2590" s="44">
        <f t="shared" si="122"/>
        <v>44571</v>
      </c>
      <c r="D2590" s="374">
        <v>259</v>
      </c>
      <c r="E2590" s="291" t="str">
        <f>IFERROR(VLOOKUP($D2590,'Clients-Live'!$A:$C,3,0),"")</f>
        <v>SALAMA GIFT</v>
      </c>
      <c r="F2590" s="291" t="str">
        <f>IFERROR(INDEX(Disbursements!$D:$D,MATCH('Live Collections'!G2590,Disbursements!$C:$C,0)),"")</f>
        <v/>
      </c>
      <c r="G2590" s="34"/>
      <c r="H2590" s="34">
        <v>4172</v>
      </c>
      <c r="I2590" s="34" t="s">
        <v>1357</v>
      </c>
      <c r="J2590" s="48"/>
      <c r="K2590" s="48"/>
      <c r="L2590" s="48">
        <v>15000</v>
      </c>
      <c r="M2590" s="48">
        <v>5000</v>
      </c>
      <c r="N2590" s="59"/>
      <c r="O2590" s="59"/>
      <c r="P2590" s="59"/>
      <c r="Q2590" s="268">
        <f t="shared" si="121"/>
        <v>20000</v>
      </c>
      <c r="R2590" s="61">
        <f>IF(O2590=0,0,SUMIFS(Disbursements!$T:$T,Disbursements!$B:$B,'Live Collections'!D2590,Disbursements!$D:$D,'Live Collections'!F2590))</f>
        <v>0</v>
      </c>
      <c r="S2590" s="304">
        <f>IF(O2590&lt;=IF($O2590=0,0,SUMIFS(Disbursements!$W:$W,Disbursements!$B:$B,'Live Collections'!D2874,Disbursements!$D:$D,'Live Collections'!F2874)),O2590,IF($O2590=0,0,SUMIFS(Disbursements!$W:$W,Disbursements!$B:$B,'Live Collections'!D2874,Disbursements!$D:$D,'Live Collections'!F2874)))</f>
        <v>0</v>
      </c>
      <c r="T2590" s="304">
        <f t="shared" si="123"/>
        <v>0</v>
      </c>
      <c r="U2590" s="52"/>
      <c r="V2590" s="34"/>
      <c r="W2590" s="408"/>
    </row>
    <row r="2591" spans="1:23" ht="12.75" customHeight="1" x14ac:dyDescent="0.2">
      <c r="A2591" s="257">
        <v>2582</v>
      </c>
      <c r="B2591" s="44">
        <v>44571</v>
      </c>
      <c r="C2591" s="44">
        <f t="shared" si="122"/>
        <v>44571</v>
      </c>
      <c r="D2591" s="374">
        <v>309</v>
      </c>
      <c r="E2591" s="291" t="str">
        <f>IFERROR(VLOOKUP($D2591,'Clients-Live'!$A:$C,3,0),"")</f>
        <v>NAMBOZO HALIMA</v>
      </c>
      <c r="F2591" s="291">
        <f>IFERROR(INDEX(Disbursements!$D:$D,MATCH('Live Collections'!G2591,Disbursements!$C:$C,0)),"")</f>
        <v>1</v>
      </c>
      <c r="G2591" s="34">
        <v>391</v>
      </c>
      <c r="H2591" s="34">
        <v>4244</v>
      </c>
      <c r="I2591" s="34" t="s">
        <v>1357</v>
      </c>
      <c r="J2591" s="48"/>
      <c r="K2591" s="48"/>
      <c r="L2591" s="48"/>
      <c r="M2591" s="48"/>
      <c r="N2591" s="59"/>
      <c r="O2591" s="59"/>
      <c r="P2591" s="59">
        <v>100000</v>
      </c>
      <c r="Q2591" s="268">
        <f t="shared" si="121"/>
        <v>100000</v>
      </c>
      <c r="R2591" s="61">
        <f>IF(O2591=0,0,SUMIFS(Disbursements!$T:$T,Disbursements!$B:$B,'Live Collections'!D2591,Disbursements!$D:$D,'Live Collections'!F2591))</f>
        <v>0</v>
      </c>
      <c r="S2591" s="304">
        <f>IF(O2591&lt;=IF($O2591=0,0,SUMIFS(Disbursements!$W:$W,Disbursements!$B:$B,'Live Collections'!D3113,Disbursements!$D:$D,'Live Collections'!F3113)),O2591,IF($O2591=0,0,SUMIFS(Disbursements!$W:$W,Disbursements!$B:$B,'Live Collections'!D3113,Disbursements!$D:$D,'Live Collections'!F3113)))</f>
        <v>0</v>
      </c>
      <c r="T2591" s="304">
        <f t="shared" si="123"/>
        <v>0</v>
      </c>
      <c r="U2591" s="52"/>
      <c r="V2591" s="34"/>
      <c r="W2591" s="408"/>
    </row>
    <row r="2592" spans="1:23" ht="12.75" customHeight="1" x14ac:dyDescent="0.2">
      <c r="A2592" s="257">
        <v>2597</v>
      </c>
      <c r="B2592" s="44">
        <v>44572</v>
      </c>
      <c r="C2592" s="44">
        <f t="shared" si="122"/>
        <v>44572</v>
      </c>
      <c r="D2592" s="374">
        <v>6</v>
      </c>
      <c r="E2592" s="291" t="str">
        <f>IFERROR(VLOOKUP($D2592,'Clients-Live'!$A:$C,3,0),"")</f>
        <v>AMUTE BASHIR</v>
      </c>
      <c r="F2592" s="291">
        <f>IFERROR(INDEX(Disbursements!$D:$D,MATCH('Live Collections'!G2592,Disbursements!$C:$C,0)),"")</f>
        <v>2</v>
      </c>
      <c r="G2592" s="34">
        <v>100</v>
      </c>
      <c r="H2592" s="34">
        <v>4176</v>
      </c>
      <c r="I2592" s="34" t="s">
        <v>1358</v>
      </c>
      <c r="J2592" s="48"/>
      <c r="K2592" s="48"/>
      <c r="L2592" s="48"/>
      <c r="M2592" s="48"/>
      <c r="N2592" s="59"/>
      <c r="O2592" s="59">
        <v>400000</v>
      </c>
      <c r="P2592" s="59"/>
      <c r="Q2592" s="268">
        <f t="shared" si="121"/>
        <v>400000</v>
      </c>
      <c r="R2592" s="61">
        <f>IF(O2592=0,0,SUMIFS(Disbursements!$T:$T,Disbursements!$B:$B,'Live Collections'!D2592,Disbursements!$D:$D,'Live Collections'!F2592))</f>
        <v>1300000</v>
      </c>
      <c r="S2592" s="304">
        <f>IF(O2592&lt;=IF($O2592=0,0,SUMIFS(Disbursements!$W:$W,Disbursements!$B:$B,'Live Collections'!D58,Disbursements!$D:$D,'Live Collections'!F58)),O2592,IF($O2592=0,0,SUMIFS(Disbursements!$W:$W,Disbursements!$B:$B,'Live Collections'!D58,Disbursements!$D:$D,'Live Collections'!F58)))</f>
        <v>75000</v>
      </c>
      <c r="T2592" s="304">
        <f t="shared" si="123"/>
        <v>325000</v>
      </c>
      <c r="U2592" s="52"/>
      <c r="V2592" s="34"/>
      <c r="W2592" s="408"/>
    </row>
    <row r="2593" spans="1:23" ht="12.75" customHeight="1" x14ac:dyDescent="0.2">
      <c r="A2593" s="257">
        <v>2595</v>
      </c>
      <c r="B2593" s="44">
        <v>44572</v>
      </c>
      <c r="C2593" s="44">
        <f t="shared" si="122"/>
        <v>44572</v>
      </c>
      <c r="D2593" s="374">
        <v>31</v>
      </c>
      <c r="E2593" s="291" t="str">
        <f>IFERROR(VLOOKUP($D2593,'Clients-Live'!$A:$C,3,0),"")</f>
        <v>MUNDURU HARRIET</v>
      </c>
      <c r="F2593" s="291">
        <f>IFERROR(INDEX(Disbursements!$D:$D,MATCH('Live Collections'!G2593,Disbursements!$C:$C,0)),"")</f>
        <v>2</v>
      </c>
      <c r="G2593" s="34">
        <v>260</v>
      </c>
      <c r="H2593" s="34">
        <v>4178</v>
      </c>
      <c r="I2593" s="34" t="s">
        <v>1357</v>
      </c>
      <c r="J2593" s="48"/>
      <c r="K2593" s="48"/>
      <c r="L2593" s="48"/>
      <c r="M2593" s="48"/>
      <c r="N2593" s="59"/>
      <c r="O2593" s="59">
        <v>130000</v>
      </c>
      <c r="P2593" s="59"/>
      <c r="Q2593" s="268">
        <f t="shared" si="121"/>
        <v>130000</v>
      </c>
      <c r="R2593" s="61">
        <f>IF(O2593=0,0,SUMIFS(Disbursements!$T:$T,Disbursements!$B:$B,'Live Collections'!D2593,Disbursements!$D:$D,'Live Collections'!F2593))</f>
        <v>150000</v>
      </c>
      <c r="S2593" s="304">
        <v>-25000</v>
      </c>
      <c r="T2593" s="304">
        <f t="shared" si="123"/>
        <v>155000</v>
      </c>
      <c r="U2593" s="52"/>
      <c r="V2593" s="34"/>
      <c r="W2593" s="408"/>
    </row>
    <row r="2594" spans="1:23" ht="12.75" customHeight="1" x14ac:dyDescent="0.2">
      <c r="A2594" s="257">
        <v>2596</v>
      </c>
      <c r="B2594" s="44">
        <v>44572</v>
      </c>
      <c r="C2594" s="44">
        <f t="shared" si="122"/>
        <v>44572</v>
      </c>
      <c r="D2594" s="374">
        <v>32</v>
      </c>
      <c r="E2594" s="291" t="str">
        <f>IFERROR(VLOOKUP($D2594,'Clients-Live'!$A:$C,3,0),"")</f>
        <v>BAKO LINA ESERU</v>
      </c>
      <c r="F2594" s="291">
        <f>IFERROR(INDEX(Disbursements!$D:$D,MATCH('Live Collections'!G2594,Disbursements!$C:$C,0)),"")</f>
        <v>2</v>
      </c>
      <c r="G2594" s="34">
        <v>258</v>
      </c>
      <c r="H2594" s="34">
        <v>4177</v>
      </c>
      <c r="I2594" s="34" t="s">
        <v>1359</v>
      </c>
      <c r="J2594" s="48"/>
      <c r="K2594" s="48"/>
      <c r="L2594" s="48"/>
      <c r="M2594" s="48"/>
      <c r="N2594" s="59"/>
      <c r="O2594" s="59">
        <v>150000</v>
      </c>
      <c r="P2594" s="59"/>
      <c r="Q2594" s="268">
        <f t="shared" si="121"/>
        <v>150000</v>
      </c>
      <c r="R2594" s="61">
        <f>IF(O2594=0,0,SUMIFS(Disbursements!$T:$T,Disbursements!$B:$B,'Live Collections'!D2594,Disbursements!$D:$D,'Live Collections'!F2594))</f>
        <v>150000</v>
      </c>
      <c r="S2594" s="304">
        <f>IF(O2594&lt;=IF($O2594=0,0,SUMIFS(Disbursements!$W:$W,Disbursements!$B:$B,'Live Collections'!D373,Disbursements!$D:$D,'Live Collections'!F373)),O2594,IF($O2594=0,0,SUMIFS(Disbursements!$W:$W,Disbursements!$B:$B,'Live Collections'!D373,Disbursements!$D:$D,'Live Collections'!F373)))</f>
        <v>0</v>
      </c>
      <c r="T2594" s="304">
        <f t="shared" si="123"/>
        <v>150000</v>
      </c>
      <c r="U2594" s="52"/>
      <c r="V2594" s="34"/>
      <c r="W2594" s="408"/>
    </row>
    <row r="2595" spans="1:23" ht="12.75" customHeight="1" x14ac:dyDescent="0.2">
      <c r="A2595" s="257">
        <v>2594</v>
      </c>
      <c r="B2595" s="44">
        <v>44572</v>
      </c>
      <c r="C2595" s="44">
        <f t="shared" si="122"/>
        <v>44572</v>
      </c>
      <c r="D2595" s="374">
        <v>90</v>
      </c>
      <c r="E2595" s="291" t="str">
        <f>IFERROR(VLOOKUP($D2595,'Clients-Live'!$A:$C,3,0),"")</f>
        <v>ZABIBU RAJAB SAIDI</v>
      </c>
      <c r="F2595" s="291">
        <f>IFERROR(INDEX(Disbursements!$D:$D,MATCH('Live Collections'!G2595,Disbursements!$C:$C,0)),"")</f>
        <v>2</v>
      </c>
      <c r="G2595" s="34">
        <v>316</v>
      </c>
      <c r="H2595" s="34">
        <v>4179</v>
      </c>
      <c r="I2595" s="34" t="s">
        <v>1358</v>
      </c>
      <c r="J2595" s="48"/>
      <c r="K2595" s="48"/>
      <c r="L2595" s="48"/>
      <c r="M2595" s="48"/>
      <c r="N2595" s="59"/>
      <c r="O2595" s="59">
        <v>200000</v>
      </c>
      <c r="P2595" s="59"/>
      <c r="Q2595" s="268">
        <f t="shared" si="121"/>
        <v>200000</v>
      </c>
      <c r="R2595" s="61">
        <f>IF(O2595=0,0,SUMIFS(Disbursements!$T:$T,Disbursements!$B:$B,'Live Collections'!D2595,Disbursements!$D:$D,'Live Collections'!F2595))</f>
        <v>217000</v>
      </c>
      <c r="S2595" s="304">
        <f>IF(O2595&lt;=IF($O2595=0,0,SUMIFS(Disbursements!$W:$W,Disbursements!$B:$B,'Live Collections'!D1178,Disbursements!$D:$D,'Live Collections'!F1178)),O2595,IF($O2595=0,0,SUMIFS(Disbursements!$W:$W,Disbursements!$B:$B,'Live Collections'!D1178,Disbursements!$D:$D,'Live Collections'!F1178)))</f>
        <v>0</v>
      </c>
      <c r="T2595" s="304">
        <f t="shared" si="123"/>
        <v>200000</v>
      </c>
      <c r="U2595" s="52"/>
      <c r="V2595" s="34"/>
      <c r="W2595" s="408"/>
    </row>
    <row r="2596" spans="1:23" ht="12.75" customHeight="1" x14ac:dyDescent="0.2">
      <c r="A2596" s="257">
        <v>2593</v>
      </c>
      <c r="B2596" s="44">
        <v>44572</v>
      </c>
      <c r="C2596" s="44">
        <f t="shared" si="122"/>
        <v>44572</v>
      </c>
      <c r="D2596" s="374">
        <v>271</v>
      </c>
      <c r="E2596" s="291" t="str">
        <f>IFERROR(VLOOKUP($D2596,'Clients-Live'!$A:$C,3,0),"")</f>
        <v>ALORO SAIDI</v>
      </c>
      <c r="F2596" s="291">
        <f>IFERROR(INDEX(Disbursements!$D:$D,MATCH('Live Collections'!G2596,Disbursements!$C:$C,0)),"")</f>
        <v>1</v>
      </c>
      <c r="G2596" s="34">
        <v>319</v>
      </c>
      <c r="H2596" s="34">
        <v>4180</v>
      </c>
      <c r="I2596" s="34" t="s">
        <v>1357</v>
      </c>
      <c r="J2596" s="48"/>
      <c r="K2596" s="48"/>
      <c r="L2596" s="48"/>
      <c r="M2596" s="48"/>
      <c r="N2596" s="59"/>
      <c r="O2596" s="59">
        <v>70000</v>
      </c>
      <c r="P2596" s="59"/>
      <c r="Q2596" s="268">
        <f t="shared" si="121"/>
        <v>70000</v>
      </c>
      <c r="R2596" s="61">
        <f>IF(O2596=0,0,SUMIFS(Disbursements!$T:$T,Disbursements!$B:$B,'Live Collections'!D2596,Disbursements!$D:$D,'Live Collections'!F2596))</f>
        <v>120000</v>
      </c>
      <c r="S2596" s="304">
        <f>IF(O2596&lt;=IF($O2596=0,0,SUMIFS(Disbursements!$W:$W,Disbursements!$B:$B,'Live Collections'!D2971,Disbursements!$D:$D,'Live Collections'!F2971)),O2596,IF($O2596=0,0,SUMIFS(Disbursements!$W:$W,Disbursements!$B:$B,'Live Collections'!D2971,Disbursements!$D:$D,'Live Collections'!F2971)))</f>
        <v>50000</v>
      </c>
      <c r="T2596" s="304">
        <f t="shared" si="123"/>
        <v>20000</v>
      </c>
      <c r="U2596" s="52"/>
      <c r="V2596" s="34"/>
      <c r="W2596" s="408"/>
    </row>
    <row r="2597" spans="1:23" ht="12.75" customHeight="1" x14ac:dyDescent="0.2">
      <c r="A2597" s="257">
        <v>2592</v>
      </c>
      <c r="B2597" s="44">
        <v>44572</v>
      </c>
      <c r="C2597" s="44">
        <f t="shared" si="122"/>
        <v>44572</v>
      </c>
      <c r="D2597" s="374">
        <v>276</v>
      </c>
      <c r="E2597" s="291" t="str">
        <f>IFERROR(VLOOKUP($D2597,'Clients-Live'!$A:$C,3,0),"")</f>
        <v>MANDELA SWAIBU</v>
      </c>
      <c r="F2597" s="291">
        <f>IFERROR(INDEX(Disbursements!$D:$D,MATCH('Live Collections'!G2597,Disbursements!$C:$C,0)),"")</f>
        <v>1</v>
      </c>
      <c r="G2597" s="34">
        <v>358</v>
      </c>
      <c r="H2597" s="34">
        <v>4181</v>
      </c>
      <c r="I2597" s="34" t="s">
        <v>1359</v>
      </c>
      <c r="J2597" s="48"/>
      <c r="K2597" s="48"/>
      <c r="L2597" s="48"/>
      <c r="M2597" s="48"/>
      <c r="N2597" s="59"/>
      <c r="O2597" s="59">
        <v>310000</v>
      </c>
      <c r="P2597" s="59"/>
      <c r="Q2597" s="268">
        <f t="shared" si="121"/>
        <v>310000</v>
      </c>
      <c r="R2597" s="61">
        <f>IF(O2597=0,0,SUMIFS(Disbursements!$T:$T,Disbursements!$B:$B,'Live Collections'!D2597,Disbursements!$D:$D,'Live Collections'!F2597))</f>
        <v>325000</v>
      </c>
      <c r="S2597" s="304">
        <f>IF(O2597&lt;=IF($O2597=0,0,SUMIFS(Disbursements!$W:$W,Disbursements!$B:$B,'Live Collections'!D2987,Disbursements!$D:$D,'Live Collections'!F2987)),O2597,IF($O2597=0,0,SUMIFS(Disbursements!$W:$W,Disbursements!$B:$B,'Live Collections'!D2987,Disbursements!$D:$D,'Live Collections'!F2987)))</f>
        <v>20000</v>
      </c>
      <c r="T2597" s="304">
        <f t="shared" si="123"/>
        <v>290000</v>
      </c>
      <c r="U2597" s="52"/>
      <c r="V2597" s="34"/>
      <c r="W2597" s="408"/>
    </row>
    <row r="2598" spans="1:23" ht="12.75" customHeight="1" x14ac:dyDescent="0.2">
      <c r="A2598" s="257">
        <v>2598</v>
      </c>
      <c r="B2598" s="44">
        <v>44572</v>
      </c>
      <c r="C2598" s="44">
        <f t="shared" si="122"/>
        <v>44572</v>
      </c>
      <c r="D2598" s="374">
        <v>312</v>
      </c>
      <c r="E2598" s="291" t="str">
        <f>IFERROR(VLOOKUP($D2598,'Clients-Live'!$A:$C,3,0),"")</f>
        <v>NAULA SCOVIA</v>
      </c>
      <c r="F2598" s="291" t="str">
        <f>IFERROR(INDEX(Disbursements!$D:$D,MATCH('Live Collections'!G2598,Disbursements!$C:$C,0)),"")</f>
        <v/>
      </c>
      <c r="G2598" s="34"/>
      <c r="H2598" s="34">
        <v>4174</v>
      </c>
      <c r="I2598" s="34" t="s">
        <v>1357</v>
      </c>
      <c r="J2598" s="48"/>
      <c r="K2598" s="48"/>
      <c r="L2598" s="48">
        <v>20000</v>
      </c>
      <c r="M2598" s="48">
        <v>5000</v>
      </c>
      <c r="N2598" s="59"/>
      <c r="O2598" s="59"/>
      <c r="P2598" s="59"/>
      <c r="Q2598" s="268">
        <f t="shared" si="121"/>
        <v>25000</v>
      </c>
      <c r="R2598" s="61">
        <f>IF(O2598=0,0,SUMIFS(Disbursements!$T:$T,Disbursements!$B:$B,'Live Collections'!D2598,Disbursements!$D:$D,'Live Collections'!F2598))</f>
        <v>0</v>
      </c>
      <c r="S2598" s="304">
        <f>IF(O2598&lt;=IF($O2598=0,0,SUMIFS(Disbursements!$W:$W,Disbursements!$B:$B,'Live Collections'!D3129,Disbursements!$D:$D,'Live Collections'!F3129)),O2598,IF($O2598=0,0,SUMIFS(Disbursements!$W:$W,Disbursements!$B:$B,'Live Collections'!D3129,Disbursements!$D:$D,'Live Collections'!F3129)))</f>
        <v>0</v>
      </c>
      <c r="T2598" s="304">
        <f t="shared" si="123"/>
        <v>0</v>
      </c>
      <c r="U2598" s="52"/>
      <c r="V2598" s="34"/>
      <c r="W2598" s="408"/>
    </row>
    <row r="2599" spans="1:23" ht="12.75" customHeight="1" x14ac:dyDescent="0.2">
      <c r="A2599" s="257">
        <v>2599</v>
      </c>
      <c r="B2599" s="44">
        <v>44572</v>
      </c>
      <c r="C2599" s="44">
        <f t="shared" si="122"/>
        <v>44572</v>
      </c>
      <c r="D2599" s="374">
        <v>312</v>
      </c>
      <c r="E2599" s="291" t="str">
        <f>IFERROR(VLOOKUP($D2599,'Clients-Live'!$A:$C,3,0),"")</f>
        <v>NAULA SCOVIA</v>
      </c>
      <c r="F2599" s="291" t="str">
        <f>IFERROR(INDEX(Disbursements!$D:$D,MATCH('Live Collections'!G2599,Disbursements!$C:$C,0)),"")</f>
        <v/>
      </c>
      <c r="G2599" s="34"/>
      <c r="H2599" s="34">
        <v>4173</v>
      </c>
      <c r="I2599" s="34" t="s">
        <v>1716</v>
      </c>
      <c r="J2599" s="48">
        <v>15000</v>
      </c>
      <c r="K2599" s="48">
        <v>5000</v>
      </c>
      <c r="L2599" s="48"/>
      <c r="M2599" s="48"/>
      <c r="N2599" s="59"/>
      <c r="O2599" s="59"/>
      <c r="P2599" s="59"/>
      <c r="Q2599" s="268">
        <f t="shared" si="121"/>
        <v>20000</v>
      </c>
      <c r="R2599" s="61">
        <f>IF(O2599=0,0,SUMIFS(Disbursements!$T:$T,Disbursements!$B:$B,'Live Collections'!D2599,Disbursements!$D:$D,'Live Collections'!F2599))</f>
        <v>0</v>
      </c>
      <c r="S2599" s="304">
        <f>IF(O2599&lt;=IF($O2599=0,0,SUMIFS(Disbursements!$W:$W,Disbursements!$B:$B,'Live Collections'!D3130,Disbursements!$D:$D,'Live Collections'!F3130)),O2599,IF($O2599=0,0,SUMIFS(Disbursements!$W:$W,Disbursements!$B:$B,'Live Collections'!D3130,Disbursements!$D:$D,'Live Collections'!F3130)))</f>
        <v>0</v>
      </c>
      <c r="T2599" s="304">
        <f t="shared" si="123"/>
        <v>0</v>
      </c>
      <c r="U2599" s="52"/>
      <c r="V2599" s="34"/>
      <c r="W2599" s="408"/>
    </row>
    <row r="2600" spans="1:23" ht="12.75" customHeight="1" x14ac:dyDescent="0.2">
      <c r="A2600" s="257">
        <v>2591</v>
      </c>
      <c r="B2600" s="44">
        <v>44572</v>
      </c>
      <c r="C2600" s="44">
        <f t="shared" si="122"/>
        <v>44572</v>
      </c>
      <c r="D2600" s="374">
        <v>313</v>
      </c>
      <c r="E2600" s="291" t="str">
        <f>IFERROR(VLOOKUP($D2600,'Clients-Live'!$A:$C,3,0),"")</f>
        <v>TWAHA GBAGBE</v>
      </c>
      <c r="F2600" s="291" t="str">
        <f>IFERROR(INDEX(Disbursements!$D:$D,MATCH('Live Collections'!G2600,Disbursements!$C:$C,0)),"")</f>
        <v/>
      </c>
      <c r="G2600" s="34"/>
      <c r="H2600" s="34">
        <v>4183</v>
      </c>
      <c r="I2600" s="34" t="s">
        <v>1716</v>
      </c>
      <c r="J2600" s="48">
        <v>15000</v>
      </c>
      <c r="K2600" s="48">
        <v>5000</v>
      </c>
      <c r="L2600" s="48"/>
      <c r="M2600" s="48"/>
      <c r="N2600" s="59"/>
      <c r="O2600" s="59"/>
      <c r="P2600" s="59"/>
      <c r="Q2600" s="268">
        <f t="shared" si="121"/>
        <v>20000</v>
      </c>
      <c r="R2600" s="61">
        <f>IF(O2600=0,0,SUMIFS(Disbursements!$T:$T,Disbursements!$B:$B,'Live Collections'!D2600,Disbursements!$D:$D,'Live Collections'!F2600))</f>
        <v>0</v>
      </c>
      <c r="S2600" s="304">
        <f>IF(O2600&lt;=IF($O2600=0,0,SUMIFS(Disbursements!$W:$W,Disbursements!$B:$B,'Live Collections'!D3131,Disbursements!$D:$D,'Live Collections'!F3131)),O2600,IF($O2600=0,0,SUMIFS(Disbursements!$W:$W,Disbursements!$B:$B,'Live Collections'!D3131,Disbursements!$D:$D,'Live Collections'!F3131)))</f>
        <v>0</v>
      </c>
      <c r="T2600" s="304">
        <f t="shared" si="123"/>
        <v>0</v>
      </c>
      <c r="U2600" s="52"/>
      <c r="V2600" s="34"/>
      <c r="W2600" s="408"/>
    </row>
    <row r="2601" spans="1:23" ht="12.75" customHeight="1" x14ac:dyDescent="0.2">
      <c r="A2601" s="257">
        <v>2600</v>
      </c>
      <c r="B2601" s="44">
        <v>44573</v>
      </c>
      <c r="C2601" s="44">
        <f t="shared" si="122"/>
        <v>44573</v>
      </c>
      <c r="D2601" s="374">
        <v>23</v>
      </c>
      <c r="E2601" s="291" t="str">
        <f>IFERROR(VLOOKUP($D2601,'Clients-Live'!$A:$C,3,0),"")</f>
        <v>BADARU KEVIN ATELIONGA</v>
      </c>
      <c r="F2601" s="291">
        <f>IFERROR(INDEX(Disbursements!$D:$D,MATCH('Live Collections'!G2601,Disbursements!$C:$C,0)),"")</f>
        <v>2</v>
      </c>
      <c r="G2601" s="34">
        <v>190</v>
      </c>
      <c r="H2601" s="34">
        <v>4185</v>
      </c>
      <c r="I2601" s="34" t="s">
        <v>1357</v>
      </c>
      <c r="J2601" s="48"/>
      <c r="K2601" s="48"/>
      <c r="L2601" s="48"/>
      <c r="M2601" s="48"/>
      <c r="N2601" s="59"/>
      <c r="O2601" s="59">
        <v>105000</v>
      </c>
      <c r="P2601" s="59"/>
      <c r="Q2601" s="268">
        <f t="shared" si="121"/>
        <v>105000</v>
      </c>
      <c r="R2601" s="61">
        <f>IF(O2601=0,0,SUMIFS(Disbursements!$T:$T,Disbursements!$B:$B,'Live Collections'!D2601,Disbursements!$D:$D,'Live Collections'!F2601))</f>
        <v>175000</v>
      </c>
      <c r="S2601" s="64">
        <v>80000</v>
      </c>
      <c r="T2601" s="304">
        <f t="shared" si="123"/>
        <v>25000</v>
      </c>
      <c r="U2601" s="52"/>
      <c r="V2601" s="34"/>
      <c r="W2601" s="408" t="s">
        <v>2086</v>
      </c>
    </row>
    <row r="2602" spans="1:23" ht="12.75" customHeight="1" x14ac:dyDescent="0.2">
      <c r="A2602" s="257">
        <v>2601</v>
      </c>
      <c r="B2602" s="44">
        <v>44573</v>
      </c>
      <c r="C2602" s="44">
        <f t="shared" si="122"/>
        <v>44573</v>
      </c>
      <c r="D2602" s="374">
        <v>23</v>
      </c>
      <c r="E2602" s="291" t="str">
        <f>IFERROR(VLOOKUP($D2602,'Clients-Live'!$A:$C,3,0),"")</f>
        <v>BADARU KEVIN ATELIONGA</v>
      </c>
      <c r="F2602" s="291">
        <f>IFERROR(INDEX(Disbursements!$D:$D,MATCH('Live Collections'!G2602,Disbursements!$C:$C,0)),"")</f>
        <v>2</v>
      </c>
      <c r="G2602" s="34">
        <v>190</v>
      </c>
      <c r="H2602" s="34">
        <v>733</v>
      </c>
      <c r="I2602" s="34" t="s">
        <v>1357</v>
      </c>
      <c r="J2602" s="48"/>
      <c r="K2602" s="48"/>
      <c r="L2602" s="48"/>
      <c r="M2602" s="48"/>
      <c r="N2602" s="59"/>
      <c r="O2602" s="59"/>
      <c r="P2602" s="59">
        <v>-70000</v>
      </c>
      <c r="Q2602" s="268">
        <f t="shared" si="121"/>
        <v>-70000</v>
      </c>
      <c r="R2602" s="61">
        <f>IF(O2602=0,0,SUMIFS(Disbursements!$T:$T,Disbursements!$B:$B,'Live Collections'!D2602,Disbursements!$D:$D,'Live Collections'!F2602))</f>
        <v>0</v>
      </c>
      <c r="S2602" s="304">
        <f>IF(O2602&lt;=IF($O2602=0,0,SUMIFS(Disbursements!$W:$W,Disbursements!$B:$B,'Live Collections'!D321,Disbursements!$D:$D,'Live Collections'!F321)),O2602,IF($O2602=0,0,SUMIFS(Disbursements!$W:$W,Disbursements!$B:$B,'Live Collections'!D321,Disbursements!$D:$D,'Live Collections'!F321)))</f>
        <v>0</v>
      </c>
      <c r="T2602" s="304">
        <f t="shared" si="123"/>
        <v>0</v>
      </c>
      <c r="U2602" s="52"/>
      <c r="V2602" s="34"/>
      <c r="W2602" s="408" t="s">
        <v>1974</v>
      </c>
    </row>
    <row r="2603" spans="1:23" ht="12.75" customHeight="1" x14ac:dyDescent="0.2">
      <c r="A2603" s="257">
        <v>2602</v>
      </c>
      <c r="B2603" s="44">
        <v>44573</v>
      </c>
      <c r="C2603" s="44">
        <f t="shared" si="122"/>
        <v>44573</v>
      </c>
      <c r="D2603" s="374">
        <v>23</v>
      </c>
      <c r="E2603" s="291" t="str">
        <f>IFERROR(VLOOKUP($D2603,'Clients-Live'!$A:$C,3,0),"")</f>
        <v>BADARU KEVIN ATELIONGA</v>
      </c>
      <c r="F2603" s="291">
        <f>IFERROR(INDEX(Disbursements!$D:$D,MATCH('Live Collections'!G2603,Disbursements!$C:$C,0)),"")</f>
        <v>2</v>
      </c>
      <c r="G2603" s="34">
        <v>190</v>
      </c>
      <c r="H2603" s="34">
        <v>4186</v>
      </c>
      <c r="I2603" s="34" t="s">
        <v>1357</v>
      </c>
      <c r="J2603" s="48"/>
      <c r="K2603" s="48"/>
      <c r="L2603" s="48"/>
      <c r="M2603" s="48"/>
      <c r="N2603" s="59"/>
      <c r="O2603" s="59">
        <v>70000</v>
      </c>
      <c r="P2603" s="59"/>
      <c r="Q2603" s="268">
        <f t="shared" si="121"/>
        <v>70000</v>
      </c>
      <c r="R2603" s="61">
        <f>IF(O2603=0,0,SUMIFS(Disbursements!$T:$T,Disbursements!$B:$B,'Live Collections'!D2603,Disbursements!$D:$D,'Live Collections'!F2603))</f>
        <v>175000</v>
      </c>
      <c r="S2603" s="304">
        <f>IF(O2603&lt;=IF($O2603=0,0,SUMIFS(Disbursements!$W:$W,Disbursements!$B:$B,'Live Collections'!D322,Disbursements!$D:$D,'Live Collections'!F322)),O2603,IF($O2603=0,0,SUMIFS(Disbursements!$W:$W,Disbursements!$B:$B,'Live Collections'!D322,Disbursements!$D:$D,'Live Collections'!F322)))</f>
        <v>15000</v>
      </c>
      <c r="T2603" s="304">
        <f t="shared" si="123"/>
        <v>55000</v>
      </c>
      <c r="U2603" s="52"/>
      <c r="V2603" s="34"/>
      <c r="W2603" s="408"/>
    </row>
    <row r="2604" spans="1:23" ht="12.75" customHeight="1" x14ac:dyDescent="0.2">
      <c r="A2604" s="257">
        <v>2627</v>
      </c>
      <c r="B2604" s="44">
        <v>44573</v>
      </c>
      <c r="C2604" s="44">
        <f t="shared" si="122"/>
        <v>44573</v>
      </c>
      <c r="D2604" s="374">
        <v>23</v>
      </c>
      <c r="E2604" s="291" t="str">
        <f>IFERROR(VLOOKUP($D2604,'Clients-Live'!$A:$C,3,0),"")</f>
        <v>BADARU KEVIN ATELIONGA</v>
      </c>
      <c r="F2604" s="291" t="str">
        <f>IFERROR(INDEX(Disbursements!$D:$D,MATCH('Live Collections'!G2604,Disbursements!$C:$C,0)),"")</f>
        <v/>
      </c>
      <c r="G2604" s="34"/>
      <c r="H2604" s="34">
        <v>4187</v>
      </c>
      <c r="I2604" s="34" t="s">
        <v>1357</v>
      </c>
      <c r="J2604" s="48"/>
      <c r="K2604" s="48"/>
      <c r="L2604" s="48">
        <v>15000</v>
      </c>
      <c r="M2604" s="48">
        <v>5000</v>
      </c>
      <c r="N2604" s="59"/>
      <c r="O2604" s="59"/>
      <c r="P2604" s="59"/>
      <c r="Q2604" s="268">
        <f t="shared" si="121"/>
        <v>20000</v>
      </c>
      <c r="R2604" s="61">
        <f>IF(O2604=0,0,SUMIFS(Disbursements!$T:$T,Disbursements!$B:$B,'Live Collections'!D2604,Disbursements!$D:$D,'Live Collections'!F2604))</f>
        <v>0</v>
      </c>
      <c r="S2604" s="304">
        <f>IF(O2604&lt;=IF($O2604=0,0,SUMIFS(Disbursements!$W:$W,Disbursements!$B:$B,'Live Collections'!D323,Disbursements!$D:$D,'Live Collections'!F323)),O2604,IF($O2604=0,0,SUMIFS(Disbursements!$W:$W,Disbursements!$B:$B,'Live Collections'!D323,Disbursements!$D:$D,'Live Collections'!F323)))</f>
        <v>0</v>
      </c>
      <c r="T2604" s="304">
        <f t="shared" si="123"/>
        <v>0</v>
      </c>
      <c r="U2604" s="52"/>
      <c r="V2604" s="34"/>
      <c r="W2604" s="408"/>
    </row>
    <row r="2605" spans="1:23" ht="12.75" customHeight="1" x14ac:dyDescent="0.2">
      <c r="A2605" s="257">
        <v>2605</v>
      </c>
      <c r="B2605" s="44">
        <v>44573</v>
      </c>
      <c r="C2605" s="44">
        <f t="shared" si="122"/>
        <v>44573</v>
      </c>
      <c r="D2605" s="374">
        <v>46</v>
      </c>
      <c r="E2605" s="291" t="str">
        <f>IFERROR(VLOOKUP($D2605,'Clients-Live'!$A:$C,3,0),"")</f>
        <v>ALIO YUDA</v>
      </c>
      <c r="F2605" s="291">
        <f>IFERROR(INDEX(Disbursements!$D:$D,MATCH('Live Collections'!G2605,Disbursements!$C:$C,0)),"")</f>
        <v>2</v>
      </c>
      <c r="G2605" s="34">
        <v>400</v>
      </c>
      <c r="H2605" s="34">
        <v>4253</v>
      </c>
      <c r="I2605" s="34" t="s">
        <v>1357</v>
      </c>
      <c r="J2605" s="48"/>
      <c r="K2605" s="48"/>
      <c r="L2605" s="48"/>
      <c r="M2605" s="48"/>
      <c r="N2605" s="59"/>
      <c r="O2605" s="59">
        <v>130000</v>
      </c>
      <c r="P2605" s="59"/>
      <c r="Q2605" s="268">
        <f t="shared" si="121"/>
        <v>130000</v>
      </c>
      <c r="R2605" s="61">
        <f>IF(O2605=0,0,SUMIFS(Disbursements!$T:$T,Disbursements!$B:$B,'Live Collections'!D2605,Disbursements!$D:$D,'Live Collections'!F2605))</f>
        <v>76000</v>
      </c>
      <c r="S2605" s="304">
        <f>IF(O2605&lt;=IF($O2605=0,0,SUMIFS(Disbursements!$W:$W,Disbursements!$B:$B,'Live Collections'!D530,Disbursements!$D:$D,'Live Collections'!F530)),O2605,IF($O2605=0,0,SUMIFS(Disbursements!$W:$W,Disbursements!$B:$B,'Live Collections'!D530,Disbursements!$D:$D,'Live Collections'!F530)))</f>
        <v>50333.333333333343</v>
      </c>
      <c r="T2605" s="304">
        <f t="shared" si="123"/>
        <v>79666.666666666657</v>
      </c>
      <c r="U2605" s="52"/>
      <c r="V2605" s="34"/>
      <c r="W2605" s="408"/>
    </row>
    <row r="2606" spans="1:23" ht="12.75" customHeight="1" x14ac:dyDescent="0.2">
      <c r="A2606" s="257">
        <v>2603</v>
      </c>
      <c r="B2606" s="44">
        <v>44573</v>
      </c>
      <c r="C2606" s="44">
        <f t="shared" si="122"/>
        <v>44573</v>
      </c>
      <c r="D2606" s="374">
        <v>53</v>
      </c>
      <c r="E2606" s="291" t="str">
        <f>IFERROR(VLOOKUP($D2606,'Clients-Live'!$A:$C,3,0),"")</f>
        <v>KALSUMU INNOCENT</v>
      </c>
      <c r="F2606" s="291">
        <f>IFERROR(INDEX(Disbursements!$D:$D,MATCH('Live Collections'!G2606,Disbursements!$C:$C,0)),"")</f>
        <v>2</v>
      </c>
      <c r="G2606" s="34">
        <v>329</v>
      </c>
      <c r="H2606" s="34">
        <v>4260</v>
      </c>
      <c r="I2606" s="34" t="s">
        <v>1358</v>
      </c>
      <c r="J2606" s="48"/>
      <c r="K2606" s="48"/>
      <c r="L2606" s="48"/>
      <c r="M2606" s="48"/>
      <c r="N2606" s="59"/>
      <c r="O2606" s="59">
        <v>195000</v>
      </c>
      <c r="P2606" s="59"/>
      <c r="Q2606" s="268">
        <f t="shared" si="121"/>
        <v>195000</v>
      </c>
      <c r="R2606" s="61">
        <f>IF(O2606=0,0,SUMIFS(Disbursements!$T:$T,Disbursements!$B:$B,'Live Collections'!D2606,Disbursements!$D:$D,'Live Collections'!F2606))</f>
        <v>195000</v>
      </c>
      <c r="S2606" s="304">
        <f>IF(O2606&lt;=IF($O2606=0,0,SUMIFS(Disbursements!$W:$W,Disbursements!$B:$B,'Live Collections'!D627,Disbursements!$D:$D,'Live Collections'!F627)),O2606,IF($O2606=0,0,SUMIFS(Disbursements!$W:$W,Disbursements!$B:$B,'Live Collections'!D627,Disbursements!$D:$D,'Live Collections'!F627)))</f>
        <v>3333.3333333333321</v>
      </c>
      <c r="T2606" s="304">
        <f t="shared" si="123"/>
        <v>191666.66666666666</v>
      </c>
      <c r="U2606" s="52"/>
      <c r="V2606" s="34"/>
      <c r="W2606" s="408"/>
    </row>
    <row r="2607" spans="1:23" ht="12.75" customHeight="1" x14ac:dyDescent="0.2">
      <c r="A2607" s="257">
        <v>2619</v>
      </c>
      <c r="B2607" s="44">
        <v>44573</v>
      </c>
      <c r="C2607" s="44">
        <f t="shared" si="122"/>
        <v>44573</v>
      </c>
      <c r="D2607" s="374">
        <v>75</v>
      </c>
      <c r="E2607" s="291" t="str">
        <f>IFERROR(VLOOKUP($D2607,'Clients-Live'!$A:$C,3,0),"")</f>
        <v>MUKULIA JAMES</v>
      </c>
      <c r="F2607" s="291">
        <f>IFERROR(INDEX(Disbursements!$D:$D,MATCH('Live Collections'!G2607,Disbursements!$C:$C,0)),"")</f>
        <v>3</v>
      </c>
      <c r="G2607" s="34">
        <v>357</v>
      </c>
      <c r="H2607" s="34">
        <v>4303</v>
      </c>
      <c r="I2607" s="34" t="s">
        <v>1359</v>
      </c>
      <c r="J2607" s="48"/>
      <c r="K2607" s="48"/>
      <c r="L2607" s="48"/>
      <c r="M2607" s="48"/>
      <c r="N2607" s="59"/>
      <c r="O2607" s="59">
        <v>95000</v>
      </c>
      <c r="P2607" s="59"/>
      <c r="Q2607" s="268">
        <f t="shared" si="121"/>
        <v>95000</v>
      </c>
      <c r="R2607" s="61">
        <f>IF(O2607=0,0,SUMIFS(Disbursements!$T:$T,Disbursements!$B:$B,'Live Collections'!D2607,Disbursements!$D:$D,'Live Collections'!F2607))</f>
        <v>175000</v>
      </c>
      <c r="S2607" s="304">
        <f>IF(O2607&lt;=IF($O2607=0,0,SUMIFS(Disbursements!$W:$W,Disbursements!$B:$B,'Live Collections'!D967,Disbursements!$D:$D,'Live Collections'!F967)),O2607,IF($O2607=0,0,SUMIFS(Disbursements!$W:$W,Disbursements!$B:$B,'Live Collections'!D967,Disbursements!$D:$D,'Live Collections'!F967)))</f>
        <v>20666.666666666657</v>
      </c>
      <c r="T2607" s="304">
        <f t="shared" si="123"/>
        <v>74333.333333333343</v>
      </c>
      <c r="U2607" s="52"/>
      <c r="V2607" s="34"/>
      <c r="W2607" s="408"/>
    </row>
    <row r="2608" spans="1:23" ht="12.75" customHeight="1" x14ac:dyDescent="0.2">
      <c r="A2608" s="257">
        <v>2615</v>
      </c>
      <c r="B2608" s="44">
        <v>44573</v>
      </c>
      <c r="C2608" s="44">
        <f t="shared" si="122"/>
        <v>44573</v>
      </c>
      <c r="D2608" s="374">
        <v>104</v>
      </c>
      <c r="E2608" s="291" t="str">
        <f>IFERROR(VLOOKUP($D2608,'Clients-Live'!$A:$C,3,0),"")</f>
        <v>IDIRA ALIMA</v>
      </c>
      <c r="F2608" s="291">
        <f>IFERROR(INDEX(Disbursements!$D:$D,MATCH('Live Collections'!G2608,Disbursements!$C:$C,0)),"")</f>
        <v>2</v>
      </c>
      <c r="G2608" s="34">
        <v>252</v>
      </c>
      <c r="H2608" s="34">
        <v>4190</v>
      </c>
      <c r="I2608" s="34" t="s">
        <v>1359</v>
      </c>
      <c r="J2608" s="48"/>
      <c r="K2608" s="48"/>
      <c r="L2608" s="48"/>
      <c r="M2608" s="48"/>
      <c r="N2608" s="59"/>
      <c r="O2608" s="59">
        <v>160000</v>
      </c>
      <c r="P2608" s="59"/>
      <c r="Q2608" s="268">
        <f t="shared" ref="Q2608:Q2671" si="124">SUM(J2608:P2608)</f>
        <v>160000</v>
      </c>
      <c r="R2608" s="61">
        <f>IF(O2608=0,0,SUMIFS(Disbursements!$T:$T,Disbursements!$B:$B,'Live Collections'!D2608,Disbursements!$D:$D,'Live Collections'!F2608))</f>
        <v>175000</v>
      </c>
      <c r="S2608" s="304">
        <f>IF(O2608&lt;=IF($O2608=0,0,SUMIFS(Disbursements!$W:$W,Disbursements!$B:$B,'Live Collections'!D1346,Disbursements!$D:$D,'Live Collections'!F1346)),O2608,IF($O2608=0,0,SUMIFS(Disbursements!$W:$W,Disbursements!$B:$B,'Live Collections'!D1346,Disbursements!$D:$D,'Live Collections'!F1346)))</f>
        <v>75000</v>
      </c>
      <c r="T2608" s="304">
        <f t="shared" si="123"/>
        <v>85000</v>
      </c>
      <c r="U2608" s="52"/>
      <c r="V2608" s="34"/>
      <c r="W2608" s="408"/>
    </row>
    <row r="2609" spans="1:23" ht="12.75" customHeight="1" x14ac:dyDescent="0.2">
      <c r="A2609" s="257">
        <v>2614</v>
      </c>
      <c r="B2609" s="44">
        <v>44573</v>
      </c>
      <c r="C2609" s="44">
        <f t="shared" si="122"/>
        <v>44573</v>
      </c>
      <c r="D2609" s="374">
        <v>105</v>
      </c>
      <c r="E2609" s="291" t="str">
        <f>IFERROR(VLOOKUP($D2609,'Clients-Live'!$A:$C,3,0),"")</f>
        <v>NUKA ROSE</v>
      </c>
      <c r="F2609" s="291">
        <f>IFERROR(INDEX(Disbursements!$D:$D,MATCH('Live Collections'!G2609,Disbursements!$C:$C,0)),"")</f>
        <v>2</v>
      </c>
      <c r="G2609" s="34">
        <v>259</v>
      </c>
      <c r="H2609" s="34">
        <v>4189</v>
      </c>
      <c r="I2609" s="34" t="s">
        <v>1359</v>
      </c>
      <c r="J2609" s="48"/>
      <c r="K2609" s="48"/>
      <c r="L2609" s="48"/>
      <c r="M2609" s="48"/>
      <c r="N2609" s="59"/>
      <c r="O2609" s="59">
        <v>89000</v>
      </c>
      <c r="P2609" s="59"/>
      <c r="Q2609" s="268">
        <f t="shared" si="124"/>
        <v>89000</v>
      </c>
      <c r="R2609" s="61">
        <f>IF(O2609=0,0,SUMIFS(Disbursements!$T:$T,Disbursements!$B:$B,'Live Collections'!D2609,Disbursements!$D:$D,'Live Collections'!F2609))</f>
        <v>100000</v>
      </c>
      <c r="S2609" s="64">
        <v>14666.666666666657</v>
      </c>
      <c r="T2609" s="304">
        <f t="shared" si="123"/>
        <v>74333.333333333343</v>
      </c>
      <c r="U2609" s="52"/>
      <c r="V2609" s="34"/>
      <c r="W2609" s="408"/>
    </row>
    <row r="2610" spans="1:23" ht="12.75" customHeight="1" x14ac:dyDescent="0.2">
      <c r="A2610" s="257">
        <v>2609</v>
      </c>
      <c r="B2610" s="44">
        <v>44573</v>
      </c>
      <c r="C2610" s="44">
        <f t="shared" si="122"/>
        <v>44573</v>
      </c>
      <c r="D2610" s="374">
        <v>116</v>
      </c>
      <c r="E2610" s="291" t="str">
        <f>IFERROR(VLOOKUP($D2610,'Clients-Live'!$A:$C,3,0),"")</f>
        <v>ONZIA LUCY</v>
      </c>
      <c r="F2610" s="291">
        <f>IFERROR(INDEX(Disbursements!$D:$D,MATCH('Live Collections'!G2610,Disbursements!$C:$C,0)),"")</f>
        <v>3</v>
      </c>
      <c r="G2610" s="34">
        <v>361</v>
      </c>
      <c r="H2610" s="34">
        <v>4312</v>
      </c>
      <c r="I2610" s="34" t="s">
        <v>1357</v>
      </c>
      <c r="J2610" s="48"/>
      <c r="K2610" s="48"/>
      <c r="L2610" s="48"/>
      <c r="M2610" s="48"/>
      <c r="N2610" s="59"/>
      <c r="O2610" s="59">
        <v>50000</v>
      </c>
      <c r="P2610" s="59"/>
      <c r="Q2610" s="268">
        <f t="shared" si="124"/>
        <v>50000</v>
      </c>
      <c r="R2610" s="61">
        <f>IF(O2610=0,0,SUMIFS(Disbursements!$T:$T,Disbursements!$B:$B,'Live Collections'!D2610,Disbursements!$D:$D,'Live Collections'!F2610))</f>
        <v>120000</v>
      </c>
      <c r="S2610" s="304">
        <f>IF(O2610&lt;=IF($O2610=0,0,SUMIFS(Disbursements!$W:$W,Disbursements!$B:$B,'Live Collections'!D1512,Disbursements!$D:$D,'Live Collections'!F1512)),O2610,IF($O2610=0,0,SUMIFS(Disbursements!$W:$W,Disbursements!$B:$B,'Live Collections'!D1512,Disbursements!$D:$D,'Live Collections'!F1512)))</f>
        <v>0</v>
      </c>
      <c r="T2610" s="304">
        <f t="shared" si="123"/>
        <v>50000</v>
      </c>
      <c r="U2610" s="52"/>
      <c r="V2610" s="34"/>
      <c r="W2610" s="408"/>
    </row>
    <row r="2611" spans="1:23" ht="12.75" customHeight="1" x14ac:dyDescent="0.2">
      <c r="A2611" s="257">
        <v>2611</v>
      </c>
      <c r="B2611" s="44">
        <v>44573</v>
      </c>
      <c r="C2611" s="44">
        <f t="shared" si="122"/>
        <v>44573</v>
      </c>
      <c r="D2611" s="374">
        <v>152</v>
      </c>
      <c r="E2611" s="291" t="str">
        <f>IFERROR(VLOOKUP($D2611,'Clients-Live'!$A:$C,3,0),"")</f>
        <v>ASE ZAINABU</v>
      </c>
      <c r="F2611" s="291">
        <f>IFERROR(INDEX(Disbursements!$D:$D,MATCH('Live Collections'!G2611,Disbursements!$C:$C,0)),"")</f>
        <v>2</v>
      </c>
      <c r="G2611" s="34">
        <v>393</v>
      </c>
      <c r="H2611" s="34">
        <v>4258</v>
      </c>
      <c r="I2611" s="34" t="s">
        <v>1358</v>
      </c>
      <c r="J2611" s="48"/>
      <c r="K2611" s="48"/>
      <c r="L2611" s="48"/>
      <c r="M2611" s="48"/>
      <c r="N2611" s="59"/>
      <c r="O2611" s="59"/>
      <c r="P2611" s="59">
        <v>50000</v>
      </c>
      <c r="Q2611" s="268">
        <f t="shared" si="124"/>
        <v>50000</v>
      </c>
      <c r="R2611" s="61">
        <f>IF(O2611=0,0,SUMIFS(Disbursements!$T:$T,Disbursements!$B:$B,'Live Collections'!D2611,Disbursements!$D:$D,'Live Collections'!F2611))</f>
        <v>0</v>
      </c>
      <c r="S2611" s="304">
        <f>IF(O2611&lt;=IF($O2611=0,0,SUMIFS(Disbursements!$W:$W,Disbursements!$B:$B,'Live Collections'!D1921,Disbursements!$D:$D,'Live Collections'!F1921)),O2611,IF($O2611=0,0,SUMIFS(Disbursements!$W:$W,Disbursements!$B:$B,'Live Collections'!D1921,Disbursements!$D:$D,'Live Collections'!F1921)))</f>
        <v>0</v>
      </c>
      <c r="T2611" s="304">
        <f t="shared" si="123"/>
        <v>0</v>
      </c>
      <c r="U2611" s="52"/>
      <c r="V2611" s="34"/>
      <c r="W2611" s="408"/>
    </row>
    <row r="2612" spans="1:23" ht="12.75" customHeight="1" x14ac:dyDescent="0.2">
      <c r="A2612" s="257">
        <v>2618</v>
      </c>
      <c r="B2612" s="44">
        <v>44573</v>
      </c>
      <c r="C2612" s="44">
        <f t="shared" si="122"/>
        <v>44573</v>
      </c>
      <c r="D2612" s="374">
        <v>160</v>
      </c>
      <c r="E2612" s="291" t="str">
        <f>IFERROR(VLOOKUP($D2612,'Clients-Live'!$A:$C,3,0),"")</f>
        <v>CHANDI ZANABU</v>
      </c>
      <c r="F2612" s="291">
        <f>IFERROR(INDEX(Disbursements!$D:$D,MATCH('Live Collections'!G2612,Disbursements!$C:$C,0)),"")</f>
        <v>2</v>
      </c>
      <c r="G2612" s="34">
        <v>267</v>
      </c>
      <c r="H2612" s="34">
        <v>4251</v>
      </c>
      <c r="I2612" s="34" t="s">
        <v>1358</v>
      </c>
      <c r="J2612" s="48"/>
      <c r="K2612" s="48"/>
      <c r="L2612" s="48"/>
      <c r="M2612" s="48"/>
      <c r="N2612" s="59"/>
      <c r="O2612" s="59">
        <v>100000</v>
      </c>
      <c r="P2612" s="59"/>
      <c r="Q2612" s="268">
        <f t="shared" si="124"/>
        <v>100000</v>
      </c>
      <c r="R2612" s="61">
        <f>IF(O2612=0,0,SUMIFS(Disbursements!$T:$T,Disbursements!$B:$B,'Live Collections'!D2612,Disbursements!$D:$D,'Live Collections'!F2612))</f>
        <v>150000</v>
      </c>
      <c r="S2612" s="304"/>
      <c r="T2612" s="304">
        <f t="shared" si="123"/>
        <v>100000</v>
      </c>
      <c r="U2612" s="52"/>
      <c r="V2612" s="34"/>
      <c r="W2612" s="408"/>
    </row>
    <row r="2613" spans="1:23" ht="12.75" customHeight="1" x14ac:dyDescent="0.2">
      <c r="A2613" s="257">
        <v>2612</v>
      </c>
      <c r="B2613" s="44">
        <v>44573</v>
      </c>
      <c r="C2613" s="44">
        <f t="shared" si="122"/>
        <v>44573</v>
      </c>
      <c r="D2613" s="374">
        <v>169</v>
      </c>
      <c r="E2613" s="291" t="str">
        <f>IFERROR(VLOOKUP($D2613,'Clients-Live'!$A:$C,3,0),"")</f>
        <v>KATO KENNEDY</v>
      </c>
      <c r="F2613" s="291">
        <f>IFERROR(INDEX(Disbursements!$D:$D,MATCH('Live Collections'!G2613,Disbursements!$C:$C,0)),"")</f>
        <v>2</v>
      </c>
      <c r="G2613" s="34">
        <v>394</v>
      </c>
      <c r="H2613" s="34">
        <v>4255</v>
      </c>
      <c r="I2613" s="34" t="s">
        <v>1357</v>
      </c>
      <c r="J2613" s="48"/>
      <c r="K2613" s="48"/>
      <c r="L2613" s="48"/>
      <c r="M2613" s="48"/>
      <c r="N2613" s="59"/>
      <c r="O2613" s="59"/>
      <c r="P2613" s="59">
        <v>100000</v>
      </c>
      <c r="Q2613" s="268">
        <f t="shared" si="124"/>
        <v>100000</v>
      </c>
      <c r="R2613" s="61">
        <f>IF(O2613=0,0,SUMIFS(Disbursements!$T:$T,Disbursements!$B:$B,'Live Collections'!D2613,Disbursements!$D:$D,'Live Collections'!F2613))</f>
        <v>0</v>
      </c>
      <c r="S2613" s="304">
        <f>IF(O2613&lt;=IF($O2613=0,0,SUMIFS(Disbursements!$W:$W,Disbursements!$B:$B,'Live Collections'!D2102,Disbursements!$D:$D,'Live Collections'!F2102)),O2613,IF($O2613=0,0,SUMIFS(Disbursements!$W:$W,Disbursements!$B:$B,'Live Collections'!D2102,Disbursements!$D:$D,'Live Collections'!F2102)))</f>
        <v>0</v>
      </c>
      <c r="T2613" s="304">
        <f t="shared" si="123"/>
        <v>0</v>
      </c>
      <c r="U2613" s="52"/>
      <c r="V2613" s="34"/>
      <c r="W2613" s="408"/>
    </row>
    <row r="2614" spans="1:23" ht="12.75" customHeight="1" x14ac:dyDescent="0.2">
      <c r="A2614" s="257">
        <v>2604</v>
      </c>
      <c r="B2614" s="44">
        <v>44573</v>
      </c>
      <c r="C2614" s="44">
        <f t="shared" si="122"/>
        <v>44573</v>
      </c>
      <c r="D2614" s="374">
        <v>189</v>
      </c>
      <c r="E2614" s="291" t="str">
        <f>IFERROR(VLOOKUP($D2614,'Clients-Live'!$A:$C,3,0),"")</f>
        <v>AYIDA SELUWA</v>
      </c>
      <c r="F2614" s="291">
        <f>IFERROR(INDEX(Disbursements!$D:$D,MATCH('Live Collections'!G2614,Disbursements!$C:$C,0)),"")</f>
        <v>2</v>
      </c>
      <c r="G2614" s="34">
        <v>401</v>
      </c>
      <c r="H2614" s="34">
        <v>4200</v>
      </c>
      <c r="I2614" s="34" t="s">
        <v>1359</v>
      </c>
      <c r="J2614" s="48"/>
      <c r="K2614" s="48"/>
      <c r="L2614" s="48"/>
      <c r="M2614" s="48"/>
      <c r="N2614" s="59"/>
      <c r="O2614" s="59"/>
      <c r="P2614" s="59">
        <v>50000</v>
      </c>
      <c r="Q2614" s="268">
        <f t="shared" si="124"/>
        <v>50000</v>
      </c>
      <c r="R2614" s="61">
        <f>IF(O2614=0,0,SUMIFS(Disbursements!$T:$T,Disbursements!$B:$B,'Live Collections'!D2614,Disbursements!$D:$D,'Live Collections'!F2614))</f>
        <v>0</v>
      </c>
      <c r="S2614" s="304">
        <f>IF(O2614&lt;=IF($O2614=0,0,SUMIFS(Disbursements!$W:$W,Disbursements!$B:$B,'Live Collections'!D2305,Disbursements!$D:$D,'Live Collections'!F2305)),O2614,IF($O2614=0,0,SUMIFS(Disbursements!$W:$W,Disbursements!$B:$B,'Live Collections'!D2305,Disbursements!$D:$D,'Live Collections'!F2305)))</f>
        <v>0</v>
      </c>
      <c r="T2614" s="304">
        <f t="shared" si="123"/>
        <v>0</v>
      </c>
      <c r="U2614" s="52"/>
      <c r="V2614" s="34"/>
      <c r="W2614" s="408"/>
    </row>
    <row r="2615" spans="1:23" ht="12.75" customHeight="1" x14ac:dyDescent="0.2">
      <c r="A2615" s="257">
        <v>2610</v>
      </c>
      <c r="B2615" s="44">
        <v>44573</v>
      </c>
      <c r="C2615" s="44">
        <f t="shared" si="122"/>
        <v>44573</v>
      </c>
      <c r="D2615" s="374">
        <v>205</v>
      </c>
      <c r="E2615" s="291" t="str">
        <f>IFERROR(VLOOKUP($D2615,'Clients-Live'!$A:$C,3,0),"")</f>
        <v>OPIRU ALICE</v>
      </c>
      <c r="F2615" s="291">
        <f>IFERROR(INDEX(Disbursements!$D:$D,MATCH('Live Collections'!G2615,Disbursements!$C:$C,0)),"")</f>
        <v>2</v>
      </c>
      <c r="G2615" s="34">
        <v>396</v>
      </c>
      <c r="H2615" s="34">
        <v>4193</v>
      </c>
      <c r="I2615" s="34" t="s">
        <v>1359</v>
      </c>
      <c r="J2615" s="48"/>
      <c r="K2615" s="48"/>
      <c r="L2615" s="48"/>
      <c r="M2615" s="48"/>
      <c r="N2615" s="59"/>
      <c r="O2615" s="59"/>
      <c r="P2615" s="59">
        <v>50000</v>
      </c>
      <c r="Q2615" s="268">
        <f t="shared" si="124"/>
        <v>50000</v>
      </c>
      <c r="R2615" s="61">
        <f>IF(O2615=0,0,SUMIFS(Disbursements!$T:$T,Disbursements!$B:$B,'Live Collections'!D2615,Disbursements!$D:$D,'Live Collections'!F2615))</f>
        <v>0</v>
      </c>
      <c r="S2615" s="304">
        <f>IF(O2615&lt;=IF($O2615=0,0,SUMIFS(Disbursements!$W:$W,Disbursements!$B:$B,'Live Collections'!D2430,Disbursements!$D:$D,'Live Collections'!F2430)),O2615,IF($O2615=0,0,SUMIFS(Disbursements!$W:$W,Disbursements!$B:$B,'Live Collections'!D2430,Disbursements!$D:$D,'Live Collections'!F2430)))</f>
        <v>0</v>
      </c>
      <c r="T2615" s="304">
        <f t="shared" si="123"/>
        <v>0</v>
      </c>
      <c r="U2615" s="52"/>
      <c r="V2615" s="34"/>
      <c r="W2615" s="408"/>
    </row>
    <row r="2616" spans="1:23" ht="12.75" customHeight="1" x14ac:dyDescent="0.2">
      <c r="A2616" s="257">
        <v>2620</v>
      </c>
      <c r="B2616" s="44">
        <v>44573</v>
      </c>
      <c r="C2616" s="44">
        <f t="shared" si="122"/>
        <v>44573</v>
      </c>
      <c r="D2616" s="374">
        <v>221</v>
      </c>
      <c r="E2616" s="291" t="str">
        <f>IFERROR(VLOOKUP($D2616,'Clients-Live'!$A:$C,3,0),"")</f>
        <v>NAMUDDU MARY</v>
      </c>
      <c r="F2616" s="291" t="str">
        <f>IFERROR(INDEX(Disbursements!$D:$D,MATCH('Live Collections'!G2616,Disbursements!$C:$C,0)),"")</f>
        <v/>
      </c>
      <c r="G2616" s="34"/>
      <c r="H2616" s="34">
        <v>4310</v>
      </c>
      <c r="I2616" s="34" t="s">
        <v>1359</v>
      </c>
      <c r="J2616" s="48"/>
      <c r="K2616" s="48"/>
      <c r="L2616" s="48">
        <v>20000</v>
      </c>
      <c r="M2616" s="48">
        <v>5000</v>
      </c>
      <c r="N2616" s="59"/>
      <c r="O2616" s="59"/>
      <c r="P2616" s="59"/>
      <c r="Q2616" s="268">
        <f t="shared" si="124"/>
        <v>25000</v>
      </c>
      <c r="R2616" s="61">
        <f>IF(O2616=0,0,SUMIFS(Disbursements!$T:$T,Disbursements!$B:$B,'Live Collections'!D2616,Disbursements!$D:$D,'Live Collections'!F2616))</f>
        <v>0</v>
      </c>
      <c r="S2616" s="304">
        <f>IF(O2616&lt;=IF($O2616=0,0,SUMIFS(Disbursements!$W:$W,Disbursements!$B:$B,'Live Collections'!D2602,Disbursements!$D:$D,'Live Collections'!F2602)),O2616,IF($O2616=0,0,SUMIFS(Disbursements!$W:$W,Disbursements!$B:$B,'Live Collections'!D2602,Disbursements!$D:$D,'Live Collections'!F2602)))</f>
        <v>0</v>
      </c>
      <c r="T2616" s="304">
        <f t="shared" si="123"/>
        <v>0</v>
      </c>
      <c r="U2616" s="52"/>
      <c r="V2616" s="34"/>
      <c r="W2616" s="408"/>
    </row>
    <row r="2617" spans="1:23" ht="12.75" customHeight="1" x14ac:dyDescent="0.2">
      <c r="A2617" s="257">
        <v>2621</v>
      </c>
      <c r="B2617" s="44">
        <v>44573</v>
      </c>
      <c r="C2617" s="44">
        <f t="shared" si="122"/>
        <v>44573</v>
      </c>
      <c r="D2617" s="374">
        <v>221</v>
      </c>
      <c r="E2617" s="291" t="str">
        <f>IFERROR(VLOOKUP($D2617,'Clients-Live'!$A:$C,3,0),"")</f>
        <v>NAMUDDU MARY</v>
      </c>
      <c r="F2617" s="291">
        <f>IFERROR(INDEX(Disbursements!$D:$D,MATCH('Live Collections'!G2617,Disbursements!$C:$C,0)),"")</f>
        <v>1</v>
      </c>
      <c r="G2617" s="34">
        <v>225</v>
      </c>
      <c r="H2617" s="34">
        <v>737</v>
      </c>
      <c r="I2617" s="34" t="s">
        <v>1359</v>
      </c>
      <c r="J2617" s="48"/>
      <c r="K2617" s="48"/>
      <c r="L2617" s="48"/>
      <c r="M2617" s="48"/>
      <c r="N2617" s="59"/>
      <c r="O2617" s="59"/>
      <c r="P2617" s="59">
        <v>-100000</v>
      </c>
      <c r="Q2617" s="268">
        <f t="shared" si="124"/>
        <v>-100000</v>
      </c>
      <c r="R2617" s="61">
        <f>IF(O2617=0,0,SUMIFS(Disbursements!$T:$T,Disbursements!$B:$B,'Live Collections'!D2617,Disbursements!$D:$D,'Live Collections'!F2617))</f>
        <v>0</v>
      </c>
      <c r="S2617" s="304">
        <f>IF(O2617&lt;=IF($O2617=0,0,SUMIFS(Disbursements!$W:$W,Disbursements!$B:$B,'Live Collections'!D2603,Disbursements!$D:$D,'Live Collections'!F2603)),O2617,IF($O2617=0,0,SUMIFS(Disbursements!$W:$W,Disbursements!$B:$B,'Live Collections'!D2603,Disbursements!$D:$D,'Live Collections'!F2603)))</f>
        <v>0</v>
      </c>
      <c r="T2617" s="304">
        <f t="shared" si="123"/>
        <v>0</v>
      </c>
      <c r="U2617" s="52"/>
      <c r="V2617" s="34"/>
      <c r="W2617" s="408" t="s">
        <v>1975</v>
      </c>
    </row>
    <row r="2618" spans="1:23" ht="12.75" customHeight="1" x14ac:dyDescent="0.2">
      <c r="A2618" s="257">
        <v>2622</v>
      </c>
      <c r="B2618" s="44">
        <v>44573</v>
      </c>
      <c r="C2618" s="44">
        <f t="shared" si="122"/>
        <v>44573</v>
      </c>
      <c r="D2618" s="374">
        <v>221</v>
      </c>
      <c r="E2618" s="291" t="str">
        <f>IFERROR(VLOOKUP($D2618,'Clients-Live'!$A:$C,3,0),"")</f>
        <v>NAMUDDU MARY</v>
      </c>
      <c r="F2618" s="291">
        <f>IFERROR(INDEX(Disbursements!$D:$D,MATCH('Live Collections'!G2618,Disbursements!$C:$C,0)),"")</f>
        <v>1</v>
      </c>
      <c r="G2618" s="34">
        <v>225</v>
      </c>
      <c r="H2618" s="34">
        <v>4309</v>
      </c>
      <c r="I2618" s="34" t="s">
        <v>1359</v>
      </c>
      <c r="J2618" s="48"/>
      <c r="K2618" s="48"/>
      <c r="L2618" s="48"/>
      <c r="M2618" s="48"/>
      <c r="N2618" s="59"/>
      <c r="O2618" s="59">
        <v>100000</v>
      </c>
      <c r="P2618" s="59"/>
      <c r="Q2618" s="268">
        <f t="shared" si="124"/>
        <v>100000</v>
      </c>
      <c r="R2618" s="61">
        <f>IF(O2618=0,0,SUMIFS(Disbursements!$T:$T,Disbursements!$B:$B,'Live Collections'!D2618,Disbursements!$D:$D,'Live Collections'!F2618))</f>
        <v>300000</v>
      </c>
      <c r="S2618" s="304">
        <f>IF(O2618&lt;=IF($O2618=0,0,SUMIFS(Disbursements!$W:$W,Disbursements!$B:$B,'Live Collections'!D2604,Disbursements!$D:$D,'Live Collections'!F2604)),O2618,IF($O2618=0,0,SUMIFS(Disbursements!$W:$W,Disbursements!$B:$B,'Live Collections'!D2604,Disbursements!$D:$D,'Live Collections'!F2604)))</f>
        <v>0</v>
      </c>
      <c r="T2618" s="304">
        <f t="shared" si="123"/>
        <v>100000</v>
      </c>
      <c r="U2618" s="52"/>
      <c r="V2618" s="34"/>
      <c r="W2618" s="408"/>
    </row>
    <row r="2619" spans="1:23" ht="12.75" customHeight="1" x14ac:dyDescent="0.2">
      <c r="A2619" s="257">
        <v>2623</v>
      </c>
      <c r="B2619" s="44">
        <v>44573</v>
      </c>
      <c r="C2619" s="44">
        <f t="shared" si="122"/>
        <v>44573</v>
      </c>
      <c r="D2619" s="374">
        <v>221</v>
      </c>
      <c r="E2619" s="291" t="str">
        <f>IFERROR(VLOOKUP($D2619,'Clients-Live'!$A:$C,3,0),"")</f>
        <v>NAMUDDU MARY</v>
      </c>
      <c r="F2619" s="291">
        <f>IFERROR(INDEX(Disbursements!$D:$D,MATCH('Live Collections'!G2619,Disbursements!$C:$C,0)),"")</f>
        <v>1</v>
      </c>
      <c r="G2619" s="34">
        <v>225</v>
      </c>
      <c r="H2619" s="34">
        <v>4308</v>
      </c>
      <c r="I2619" s="34" t="s">
        <v>1359</v>
      </c>
      <c r="J2619" s="48"/>
      <c r="K2619" s="48"/>
      <c r="L2619" s="48"/>
      <c r="M2619" s="48"/>
      <c r="N2619" s="59"/>
      <c r="O2619" s="59">
        <v>200000</v>
      </c>
      <c r="P2619" s="59"/>
      <c r="Q2619" s="268">
        <f t="shared" si="124"/>
        <v>200000</v>
      </c>
      <c r="R2619" s="61">
        <f>IF(O2619=0,0,SUMIFS(Disbursements!$T:$T,Disbursements!$B:$B,'Live Collections'!D2619,Disbursements!$D:$D,'Live Collections'!F2619))</f>
        <v>300000</v>
      </c>
      <c r="S2619" s="304">
        <v>165000</v>
      </c>
      <c r="T2619" s="304">
        <f t="shared" si="123"/>
        <v>35000</v>
      </c>
      <c r="U2619" s="52"/>
      <c r="V2619" s="34"/>
      <c r="W2619" s="408"/>
    </row>
    <row r="2620" spans="1:23" ht="12.75" customHeight="1" x14ac:dyDescent="0.2">
      <c r="A2620" s="257">
        <v>2624</v>
      </c>
      <c r="B2620" s="44">
        <v>44573</v>
      </c>
      <c r="C2620" s="44">
        <f t="shared" si="122"/>
        <v>44573</v>
      </c>
      <c r="D2620" s="374">
        <v>238</v>
      </c>
      <c r="E2620" s="291" t="str">
        <f>IFERROR(VLOOKUP($D2620,'Clients-Live'!$A:$C,3,0),"")</f>
        <v>ANGAIKA SAID</v>
      </c>
      <c r="F2620" s="291">
        <f>IFERROR(INDEX(Disbursements!$D:$D,MATCH('Live Collections'!G2620,Disbursements!$C:$C,0)),"")</f>
        <v>1</v>
      </c>
      <c r="G2620" s="34">
        <v>257</v>
      </c>
      <c r="H2620" s="34">
        <v>4307</v>
      </c>
      <c r="I2620" s="34" t="s">
        <v>1359</v>
      </c>
      <c r="J2620" s="48"/>
      <c r="K2620" s="48"/>
      <c r="L2620" s="48"/>
      <c r="M2620" s="48"/>
      <c r="N2620" s="59"/>
      <c r="O2620" s="59">
        <v>125000</v>
      </c>
      <c r="P2620" s="59"/>
      <c r="Q2620" s="268">
        <f t="shared" si="124"/>
        <v>125000</v>
      </c>
      <c r="R2620" s="61">
        <f>IF(O2620=0,0,SUMIFS(Disbursements!$T:$T,Disbursements!$B:$B,'Live Collections'!D2620,Disbursements!$D:$D,'Live Collections'!F2620))</f>
        <v>125000</v>
      </c>
      <c r="S2620" s="304">
        <f>IF(O2620&lt;=IF($O2620=0,0,SUMIFS(Disbursements!$W:$W,Disbursements!$B:$B,'Live Collections'!D2736,Disbursements!$D:$D,'Live Collections'!F2736)),O2620,IF($O2620=0,0,SUMIFS(Disbursements!$W:$W,Disbursements!$B:$B,'Live Collections'!D2736,Disbursements!$D:$D,'Live Collections'!F2736)))</f>
        <v>8750</v>
      </c>
      <c r="T2620" s="304">
        <f t="shared" si="123"/>
        <v>116250</v>
      </c>
      <c r="U2620" s="52"/>
      <c r="V2620" s="34"/>
      <c r="W2620" s="408"/>
    </row>
    <row r="2621" spans="1:23" ht="12.75" customHeight="1" x14ac:dyDescent="0.2">
      <c r="A2621" s="257">
        <v>2628</v>
      </c>
      <c r="B2621" s="44">
        <v>44573</v>
      </c>
      <c r="C2621" s="44">
        <f t="shared" si="122"/>
        <v>44573</v>
      </c>
      <c r="D2621" s="374">
        <v>251</v>
      </c>
      <c r="E2621" s="291" t="str">
        <f>IFERROR(VLOOKUP($D2621,'Clients-Live'!$A:$C,3,0),"")</f>
        <v>SIDA ZAINABU</v>
      </c>
      <c r="F2621" s="291">
        <f>IFERROR(INDEX(Disbursements!$D:$D,MATCH('Live Collections'!G2621,Disbursements!$C:$C,0)),"")</f>
        <v>1</v>
      </c>
      <c r="G2621" s="34">
        <v>306</v>
      </c>
      <c r="H2621" s="34">
        <v>4184</v>
      </c>
      <c r="I2621" s="34" t="s">
        <v>1359</v>
      </c>
      <c r="J2621" s="48"/>
      <c r="K2621" s="48"/>
      <c r="L2621" s="48"/>
      <c r="M2621" s="48"/>
      <c r="N2621" s="59"/>
      <c r="O2621" s="59">
        <v>100000</v>
      </c>
      <c r="P2621" s="59"/>
      <c r="Q2621" s="268">
        <f t="shared" si="124"/>
        <v>100000</v>
      </c>
      <c r="R2621" s="61">
        <f>IF(O2621=0,0,SUMIFS(Disbursements!$T:$T,Disbursements!$B:$B,'Live Collections'!D2621,Disbursements!$D:$D,'Live Collections'!F2621))</f>
        <v>220000</v>
      </c>
      <c r="S2621" s="304"/>
      <c r="T2621" s="304">
        <f t="shared" si="123"/>
        <v>100000</v>
      </c>
      <c r="U2621" s="52"/>
      <c r="V2621" s="34"/>
      <c r="W2621" s="408"/>
    </row>
    <row r="2622" spans="1:23" ht="12.75" customHeight="1" x14ac:dyDescent="0.2">
      <c r="A2622" s="257">
        <v>2625</v>
      </c>
      <c r="B2622" s="44">
        <v>44573</v>
      </c>
      <c r="C2622" s="44">
        <f t="shared" ref="C2622:C2685" si="125">B2622</f>
        <v>44573</v>
      </c>
      <c r="D2622" s="374">
        <v>255</v>
      </c>
      <c r="E2622" s="291" t="str">
        <f>IFERROR(VLOOKUP($D2622,'Clients-Live'!$A:$C,3,0),"")</f>
        <v>YOBUTA JOHN</v>
      </c>
      <c r="F2622" s="291">
        <f>IFERROR(INDEX(Disbursements!$D:$D,MATCH('Live Collections'!G2622,Disbursements!$C:$C,0)),"")</f>
        <v>1</v>
      </c>
      <c r="G2622" s="34">
        <v>280</v>
      </c>
      <c r="H2622" s="34">
        <v>4305</v>
      </c>
      <c r="I2622" s="34" t="s">
        <v>1359</v>
      </c>
      <c r="J2622" s="48"/>
      <c r="K2622" s="48"/>
      <c r="L2622" s="48"/>
      <c r="M2622" s="48"/>
      <c r="N2622" s="59"/>
      <c r="O2622" s="59">
        <v>13000</v>
      </c>
      <c r="P2622" s="59"/>
      <c r="Q2622" s="268">
        <f t="shared" si="124"/>
        <v>13000</v>
      </c>
      <c r="R2622" s="61">
        <f>IF(O2622=0,0,SUMIFS(Disbursements!$T:$T,Disbursements!$B:$B,'Live Collections'!D2622,Disbursements!$D:$D,'Live Collections'!F2622))</f>
        <v>217000</v>
      </c>
      <c r="S2622" s="304">
        <f>IF(O2622&lt;=IF($O2622=0,0,SUMIFS(Disbursements!$W:$W,Disbursements!$B:$B,'Live Collections'!D2859,Disbursements!$D:$D,'Live Collections'!F2859)),O2622,IF($O2622=0,0,SUMIFS(Disbursements!$W:$W,Disbursements!$B:$B,'Live Collections'!D2859,Disbursements!$D:$D,'Live Collections'!F2859)))</f>
        <v>13000</v>
      </c>
      <c r="T2622" s="304">
        <f t="shared" ref="T2622:T2685" si="126">IF(O2622=0,0,O2622-S2622)</f>
        <v>0</v>
      </c>
      <c r="U2622" s="52"/>
      <c r="V2622" s="34"/>
      <c r="W2622" s="408"/>
    </row>
    <row r="2623" spans="1:23" ht="12.75" customHeight="1" x14ac:dyDescent="0.2">
      <c r="A2623" s="257">
        <v>2626</v>
      </c>
      <c r="B2623" s="44">
        <v>44573</v>
      </c>
      <c r="C2623" s="44">
        <f t="shared" si="125"/>
        <v>44573</v>
      </c>
      <c r="D2623" s="374">
        <v>255</v>
      </c>
      <c r="E2623" s="291" t="str">
        <f>IFERROR(VLOOKUP($D2623,'Clients-Live'!$A:$C,3,0),"")</f>
        <v>YOBUTA JOHN</v>
      </c>
      <c r="F2623" s="291">
        <f>IFERROR(INDEX(Disbursements!$D:$D,MATCH('Live Collections'!G2623,Disbursements!$C:$C,0)),"")</f>
        <v>1</v>
      </c>
      <c r="G2623" s="34">
        <v>280</v>
      </c>
      <c r="H2623" s="34">
        <v>4306</v>
      </c>
      <c r="I2623" s="34" t="s">
        <v>1359</v>
      </c>
      <c r="J2623" s="48"/>
      <c r="K2623" s="48"/>
      <c r="L2623" s="48"/>
      <c r="M2623" s="48"/>
      <c r="N2623" s="59"/>
      <c r="O2623" s="59">
        <v>287000</v>
      </c>
      <c r="P2623" s="59"/>
      <c r="Q2623" s="268">
        <f t="shared" si="124"/>
        <v>287000</v>
      </c>
      <c r="R2623" s="61">
        <f>IF(O2623=0,0,SUMIFS(Disbursements!$T:$T,Disbursements!$B:$B,'Live Collections'!D2623,Disbursements!$D:$D,'Live Collections'!F2623))</f>
        <v>217000</v>
      </c>
      <c r="S2623" s="304">
        <f>IF(O2623&lt;=IF($O2623=0,0,SUMIFS(Disbursements!$W:$W,Disbursements!$B:$B,'Live Collections'!D2860,Disbursements!$D:$D,'Live Collections'!F2860)),O2623,IF($O2623=0,0,SUMIFS(Disbursements!$W:$W,Disbursements!$B:$B,'Live Collections'!D2860,Disbursements!$D:$D,'Live Collections'!F2860)))</f>
        <v>75000</v>
      </c>
      <c r="T2623" s="304">
        <f t="shared" si="126"/>
        <v>212000</v>
      </c>
      <c r="U2623" s="52"/>
      <c r="V2623" s="34"/>
      <c r="W2623" s="408"/>
    </row>
    <row r="2624" spans="1:23" ht="12.75" customHeight="1" x14ac:dyDescent="0.2">
      <c r="A2624" s="257">
        <v>2608</v>
      </c>
      <c r="B2624" s="44">
        <v>44573</v>
      </c>
      <c r="C2624" s="44">
        <f t="shared" si="125"/>
        <v>44573</v>
      </c>
      <c r="D2624" s="374">
        <v>291</v>
      </c>
      <c r="E2624" s="291" t="str">
        <f>IFERROR(VLOOKUP($D2624,'Clients-Live'!$A:$C,3,0),"")</f>
        <v>LEMAKU SWAIB</v>
      </c>
      <c r="F2624" s="291">
        <f>IFERROR(INDEX(Disbursements!$D:$D,MATCH('Live Collections'!G2624,Disbursements!$C:$C,0)),"")</f>
        <v>1</v>
      </c>
      <c r="G2624" s="34">
        <v>397</v>
      </c>
      <c r="H2624" s="34">
        <v>4191</v>
      </c>
      <c r="I2624" s="34" t="s">
        <v>1359</v>
      </c>
      <c r="J2624" s="48"/>
      <c r="K2624" s="48"/>
      <c r="L2624" s="48"/>
      <c r="M2624" s="48"/>
      <c r="N2624" s="59"/>
      <c r="O2624" s="59"/>
      <c r="P2624" s="59">
        <v>50000</v>
      </c>
      <c r="Q2624" s="268">
        <f t="shared" si="124"/>
        <v>50000</v>
      </c>
      <c r="R2624" s="61">
        <f>IF(O2624=0,0,SUMIFS(Disbursements!$T:$T,Disbursements!$B:$B,'Live Collections'!D2624,Disbursements!$D:$D,'Live Collections'!F2624))</f>
        <v>0</v>
      </c>
      <c r="S2624" s="304">
        <f>IF(O2624&lt;=IF($O2624=0,0,SUMIFS(Disbursements!$W:$W,Disbursements!$B:$B,'Live Collections'!D3050,Disbursements!$D:$D,'Live Collections'!F3050)),O2624,IF($O2624=0,0,SUMIFS(Disbursements!$W:$W,Disbursements!$B:$B,'Live Collections'!D3050,Disbursements!$D:$D,'Live Collections'!F3050)))</f>
        <v>0</v>
      </c>
      <c r="T2624" s="304">
        <f t="shared" si="126"/>
        <v>0</v>
      </c>
      <c r="U2624" s="52"/>
      <c r="V2624" s="34"/>
      <c r="W2624" s="408"/>
    </row>
    <row r="2625" spans="1:23" ht="12.75" customHeight="1" x14ac:dyDescent="0.2">
      <c r="A2625" s="257">
        <v>2613</v>
      </c>
      <c r="B2625" s="44">
        <v>44573</v>
      </c>
      <c r="C2625" s="44">
        <f t="shared" si="125"/>
        <v>44573</v>
      </c>
      <c r="D2625" s="374">
        <v>300</v>
      </c>
      <c r="E2625" s="291" t="str">
        <f>IFERROR(VLOOKUP($D2625,'Clients-Live'!$A:$C,3,0),"")</f>
        <v>AYA ZAINABU</v>
      </c>
      <c r="F2625" s="291">
        <f>IFERROR(INDEX(Disbursements!$D:$D,MATCH('Live Collections'!G2625,Disbursements!$C:$C,0)),"")</f>
        <v>1</v>
      </c>
      <c r="G2625" s="34">
        <v>364</v>
      </c>
      <c r="H2625" s="34">
        <v>4311</v>
      </c>
      <c r="I2625" s="34" t="s">
        <v>1358</v>
      </c>
      <c r="J2625" s="48"/>
      <c r="K2625" s="48"/>
      <c r="L2625" s="48"/>
      <c r="M2625" s="48"/>
      <c r="N2625" s="59"/>
      <c r="O2625" s="59">
        <v>80000</v>
      </c>
      <c r="P2625" s="59"/>
      <c r="Q2625" s="268">
        <f t="shared" si="124"/>
        <v>80000</v>
      </c>
      <c r="R2625" s="61">
        <f>IF(O2625=0,0,SUMIFS(Disbursements!$T:$T,Disbursements!$B:$B,'Live Collections'!D2625,Disbursements!$D:$D,'Live Collections'!F2625))</f>
        <v>150000</v>
      </c>
      <c r="S2625" s="304">
        <f>IF(O2625&lt;=IF($O2625=0,0,SUMIFS(Disbursements!$W:$W,Disbursements!$B:$B,'Live Collections'!D3077,Disbursements!$D:$D,'Live Collections'!F3077)),O2625,IF($O2625=0,0,SUMIFS(Disbursements!$W:$W,Disbursements!$B:$B,'Live Collections'!D3077,Disbursements!$D:$D,'Live Collections'!F3077)))</f>
        <v>0</v>
      </c>
      <c r="T2625" s="304">
        <f t="shared" si="126"/>
        <v>80000</v>
      </c>
      <c r="U2625" s="52"/>
      <c r="V2625" s="34"/>
      <c r="W2625" s="408"/>
    </row>
    <row r="2626" spans="1:23" ht="12.75" customHeight="1" x14ac:dyDescent="0.2">
      <c r="A2626" s="257">
        <v>2606</v>
      </c>
      <c r="B2626" s="44">
        <v>44573</v>
      </c>
      <c r="C2626" s="44">
        <f t="shared" si="125"/>
        <v>44573</v>
      </c>
      <c r="D2626" s="374">
        <v>303</v>
      </c>
      <c r="E2626" s="291" t="str">
        <f>IFERROR(VLOOKUP($D2626,'Clients-Live'!$A:$C,3,0),"")</f>
        <v>APAYI DOROTHY</v>
      </c>
      <c r="F2626" s="291">
        <f>IFERROR(INDEX(Disbursements!$D:$D,MATCH('Live Collections'!G2626,Disbursements!$C:$C,0)),"")</f>
        <v>1</v>
      </c>
      <c r="G2626" s="34">
        <v>399</v>
      </c>
      <c r="H2626" s="34">
        <v>4195</v>
      </c>
      <c r="I2626" s="34" t="s">
        <v>1359</v>
      </c>
      <c r="J2626" s="48"/>
      <c r="K2626" s="48"/>
      <c r="L2626" s="48"/>
      <c r="M2626" s="48"/>
      <c r="N2626" s="59"/>
      <c r="O2626" s="59"/>
      <c r="P2626" s="59">
        <v>50000</v>
      </c>
      <c r="Q2626" s="268">
        <f t="shared" si="124"/>
        <v>50000</v>
      </c>
      <c r="R2626" s="61">
        <f>IF(O2626=0,0,SUMIFS(Disbursements!$T:$T,Disbursements!$B:$B,'Live Collections'!D2626,Disbursements!$D:$D,'Live Collections'!F2626))</f>
        <v>0</v>
      </c>
      <c r="S2626" s="304">
        <f>IF(O2626&lt;=IF($O2626=0,0,SUMIFS(Disbursements!$W:$W,Disbursements!$B:$B,'Live Collections'!D3088,Disbursements!$D:$D,'Live Collections'!F3088)),O2626,IF($O2626=0,0,SUMIFS(Disbursements!$W:$W,Disbursements!$B:$B,'Live Collections'!D3088,Disbursements!$D:$D,'Live Collections'!F3088)))</f>
        <v>0</v>
      </c>
      <c r="T2626" s="304">
        <f t="shared" si="126"/>
        <v>0</v>
      </c>
      <c r="U2626" s="52"/>
      <c r="V2626" s="34"/>
      <c r="W2626" s="408"/>
    </row>
    <row r="2627" spans="1:23" ht="12.75" customHeight="1" x14ac:dyDescent="0.2">
      <c r="A2627" s="257">
        <v>2607</v>
      </c>
      <c r="B2627" s="44">
        <v>44573</v>
      </c>
      <c r="C2627" s="44">
        <f t="shared" si="125"/>
        <v>44573</v>
      </c>
      <c r="D2627" s="374">
        <v>304</v>
      </c>
      <c r="E2627" s="291" t="str">
        <f>IFERROR(VLOOKUP($D2627,'Clients-Live'!$A:$C,3,0),"")</f>
        <v>ATAKO GLORIA</v>
      </c>
      <c r="F2627" s="291">
        <f>IFERROR(INDEX(Disbursements!$D:$D,MATCH('Live Collections'!G2627,Disbursements!$C:$C,0)),"")</f>
        <v>1</v>
      </c>
      <c r="G2627" s="34">
        <v>398</v>
      </c>
      <c r="H2627" s="34">
        <v>4313</v>
      </c>
      <c r="I2627" s="34" t="s">
        <v>1359</v>
      </c>
      <c r="J2627" s="48"/>
      <c r="K2627" s="48"/>
      <c r="L2627" s="48"/>
      <c r="M2627" s="48"/>
      <c r="N2627" s="59"/>
      <c r="O2627" s="59"/>
      <c r="P2627" s="59">
        <v>40000</v>
      </c>
      <c r="Q2627" s="268">
        <f t="shared" si="124"/>
        <v>40000</v>
      </c>
      <c r="R2627" s="61">
        <f>IF(O2627=0,0,SUMIFS(Disbursements!$T:$T,Disbursements!$B:$B,'Live Collections'!D2627,Disbursements!$D:$D,'Live Collections'!F2627))</f>
        <v>0</v>
      </c>
      <c r="S2627" s="304">
        <f>IF(O2627&lt;=IF($O2627=0,0,SUMIFS(Disbursements!$W:$W,Disbursements!$B:$B,'Live Collections'!D3095,Disbursements!$D:$D,'Live Collections'!F3095)),O2627,IF($O2627=0,0,SUMIFS(Disbursements!$W:$W,Disbursements!$B:$B,'Live Collections'!D3095,Disbursements!$D:$D,'Live Collections'!F3095)))</f>
        <v>0</v>
      </c>
      <c r="T2627" s="304">
        <f t="shared" si="126"/>
        <v>0</v>
      </c>
      <c r="U2627" s="52"/>
      <c r="V2627" s="34"/>
      <c r="W2627" s="408"/>
    </row>
    <row r="2628" spans="1:23" ht="12.75" customHeight="1" x14ac:dyDescent="0.2">
      <c r="A2628" s="257">
        <v>2616</v>
      </c>
      <c r="B2628" s="44">
        <v>44573</v>
      </c>
      <c r="C2628" s="44">
        <f t="shared" si="125"/>
        <v>44573</v>
      </c>
      <c r="D2628" s="374">
        <v>311</v>
      </c>
      <c r="E2628" s="291" t="str">
        <f>IFERROR(VLOOKUP($D2628,'Clients-Live'!$A:$C,3,0),"")</f>
        <v>PATRICK OKUONZI</v>
      </c>
      <c r="F2628" s="291">
        <f>IFERROR(INDEX(Disbursements!$D:$D,MATCH('Live Collections'!G2628,Disbursements!$C:$C,0)),"")</f>
        <v>1</v>
      </c>
      <c r="G2628" s="34">
        <v>392</v>
      </c>
      <c r="H2628" s="34">
        <v>4252</v>
      </c>
      <c r="I2628" s="34" t="s">
        <v>1358</v>
      </c>
      <c r="J2628" s="48"/>
      <c r="K2628" s="48"/>
      <c r="L2628" s="48"/>
      <c r="M2628" s="48"/>
      <c r="N2628" s="59"/>
      <c r="O2628" s="59">
        <v>5000</v>
      </c>
      <c r="P2628" s="59"/>
      <c r="Q2628" s="268">
        <f t="shared" si="124"/>
        <v>5000</v>
      </c>
      <c r="R2628" s="61">
        <f>IF(O2628=0,0,SUMIFS(Disbursements!$T:$T,Disbursements!$B:$B,'Live Collections'!D2628,Disbursements!$D:$D,'Live Collections'!F2628))</f>
        <v>538000</v>
      </c>
      <c r="S2628" s="304">
        <f>IF(O2628&lt;=IF($O2628=0,0,SUMIFS(Disbursements!$W:$W,Disbursements!$B:$B,'Live Collections'!D3177,Disbursements!$D:$D,'Live Collections'!F3177)),O2628,IF($O2628=0,0,SUMIFS(Disbursements!$W:$W,Disbursements!$B:$B,'Live Collections'!D3177,Disbursements!$D:$D,'Live Collections'!F3177)))</f>
        <v>5000</v>
      </c>
      <c r="T2628" s="304">
        <f t="shared" si="126"/>
        <v>0</v>
      </c>
      <c r="U2628" s="52"/>
      <c r="V2628" s="34"/>
      <c r="W2628" s="408"/>
    </row>
    <row r="2629" spans="1:23" ht="12.75" customHeight="1" x14ac:dyDescent="0.2">
      <c r="A2629" s="257">
        <v>2617</v>
      </c>
      <c r="B2629" s="44">
        <v>44573</v>
      </c>
      <c r="C2629" s="44">
        <f t="shared" si="125"/>
        <v>44573</v>
      </c>
      <c r="D2629" s="374">
        <v>313</v>
      </c>
      <c r="E2629" s="291" t="str">
        <f>IFERROR(VLOOKUP($D2629,'Clients-Live'!$A:$C,3,0),"")</f>
        <v>TWAHA GBAGBE</v>
      </c>
      <c r="F2629" s="291" t="str">
        <f>IFERROR(INDEX(Disbursements!$D:$D,MATCH('Live Collections'!G2629,Disbursements!$C:$C,0)),"")</f>
        <v/>
      </c>
      <c r="G2629" s="34"/>
      <c r="H2629" s="34">
        <v>4188</v>
      </c>
      <c r="I2629" s="34" t="s">
        <v>1716</v>
      </c>
      <c r="J2629" s="48"/>
      <c r="K2629" s="48"/>
      <c r="L2629" s="48">
        <v>25000</v>
      </c>
      <c r="M2629" s="48">
        <v>5000</v>
      </c>
      <c r="N2629" s="59"/>
      <c r="O2629" s="59"/>
      <c r="P2629" s="59"/>
      <c r="Q2629" s="268">
        <f t="shared" si="124"/>
        <v>30000</v>
      </c>
      <c r="R2629" s="61">
        <f>IF(O2629=0,0,SUMIFS(Disbursements!$T:$T,Disbursements!$B:$B,'Live Collections'!D2629,Disbursements!$D:$D,'Live Collections'!F2629))</f>
        <v>0</v>
      </c>
      <c r="S2629" s="304">
        <f>IF(O2629&lt;=IF($O2629=0,0,SUMIFS(Disbursements!$W:$W,Disbursements!$B:$B,'Live Collections'!D3132,Disbursements!$D:$D,'Live Collections'!F3132)),O2629,IF($O2629=0,0,SUMIFS(Disbursements!$W:$W,Disbursements!$B:$B,'Live Collections'!D3132,Disbursements!$D:$D,'Live Collections'!F3132)))</f>
        <v>0</v>
      </c>
      <c r="T2629" s="304">
        <f t="shared" si="126"/>
        <v>0</v>
      </c>
      <c r="U2629" s="52"/>
      <c r="V2629" s="34"/>
      <c r="W2629" s="408"/>
    </row>
    <row r="2630" spans="1:23" ht="12.75" customHeight="1" x14ac:dyDescent="0.2">
      <c r="A2630" s="257">
        <v>2631</v>
      </c>
      <c r="B2630" s="44">
        <v>44574</v>
      </c>
      <c r="C2630" s="44">
        <f t="shared" si="125"/>
        <v>44574</v>
      </c>
      <c r="D2630" s="374">
        <v>18</v>
      </c>
      <c r="E2630" s="291" t="str">
        <f>IFERROR(VLOOKUP($D2630,'Clients-Live'!$A:$C,3,0),"")</f>
        <v>ARIYE PEACE</v>
      </c>
      <c r="F2630" s="291">
        <f>IFERROR(INDEX(Disbursements!$D:$D,MATCH('Live Collections'!G2630,Disbursements!$C:$C,0)),"")</f>
        <v>2</v>
      </c>
      <c r="G2630" s="34">
        <v>317</v>
      </c>
      <c r="H2630" s="34">
        <v>4266</v>
      </c>
      <c r="I2630" s="34" t="s">
        <v>1357</v>
      </c>
      <c r="J2630" s="48"/>
      <c r="K2630" s="48"/>
      <c r="L2630" s="48"/>
      <c r="M2630" s="48"/>
      <c r="N2630" s="59"/>
      <c r="O2630" s="59">
        <v>165000</v>
      </c>
      <c r="P2630" s="59"/>
      <c r="Q2630" s="268">
        <f t="shared" si="124"/>
        <v>165000</v>
      </c>
      <c r="R2630" s="61">
        <f>IF(O2630=0,0,SUMIFS(Disbursements!$T:$T,Disbursements!$B:$B,'Live Collections'!D2630,Disbursements!$D:$D,'Live Collections'!F2630))</f>
        <v>650000</v>
      </c>
      <c r="S2630" s="304">
        <f>IF(O2630&lt;=IF($O2630=0,0,SUMIFS(Disbursements!$W:$W,Disbursements!$B:$B,'Live Collections'!D225,Disbursements!$D:$D,'Live Collections'!F225)),O2630,IF($O2630=0,0,SUMIFS(Disbursements!$W:$W,Disbursements!$B:$B,'Live Collections'!D225,Disbursements!$D:$D,'Live Collections'!F225)))</f>
        <v>25000</v>
      </c>
      <c r="T2630" s="304">
        <f t="shared" si="126"/>
        <v>140000</v>
      </c>
      <c r="U2630" s="52"/>
      <c r="V2630" s="34"/>
      <c r="W2630" s="408"/>
    </row>
    <row r="2631" spans="1:23" ht="12.75" customHeight="1" x14ac:dyDescent="0.2">
      <c r="A2631" s="257">
        <v>2636</v>
      </c>
      <c r="B2631" s="44">
        <v>44574</v>
      </c>
      <c r="C2631" s="44">
        <f t="shared" si="125"/>
        <v>44574</v>
      </c>
      <c r="D2631" s="374">
        <v>22</v>
      </c>
      <c r="E2631" s="291" t="str">
        <f>IFERROR(VLOOKUP($D2631,'Clients-Live'!$A:$C,3,0),"")</f>
        <v>DATA ISMAIL FATARI</v>
      </c>
      <c r="F2631" s="291">
        <v>2</v>
      </c>
      <c r="G2631" s="34">
        <v>381</v>
      </c>
      <c r="H2631" s="34">
        <v>4197</v>
      </c>
      <c r="I2631" s="34" t="s">
        <v>1359</v>
      </c>
      <c r="J2631" s="48"/>
      <c r="K2631" s="48"/>
      <c r="L2631" s="48"/>
      <c r="M2631" s="48"/>
      <c r="N2631" s="59"/>
      <c r="O2631" s="59">
        <v>15000</v>
      </c>
      <c r="P2631" s="59"/>
      <c r="Q2631" s="268">
        <f t="shared" si="124"/>
        <v>15000</v>
      </c>
      <c r="R2631" s="61">
        <f>IF(O2631=0,0,SUMIFS(Disbursements!$T:$T,Disbursements!$B:$B,'Live Collections'!D2631,Disbursements!$D:$D,'Live Collections'!F2631))</f>
        <v>210000</v>
      </c>
      <c r="S2631" s="304">
        <f>IF(O2631&lt;=IF($O2631=0,0,SUMIFS(Disbursements!$W:$W,Disbursements!$B:$B,'Live Collections'!D299,Disbursements!$D:$D,'Live Collections'!F299)),O2631,IF($O2631=0,0,SUMIFS(Disbursements!$W:$W,Disbursements!$B:$B,'Live Collections'!D299,Disbursements!$D:$D,'Live Collections'!F299)))</f>
        <v>15000</v>
      </c>
      <c r="T2631" s="304">
        <f t="shared" si="126"/>
        <v>0</v>
      </c>
      <c r="U2631" s="52"/>
      <c r="V2631" s="34"/>
      <c r="W2631" s="408"/>
    </row>
    <row r="2632" spans="1:23" ht="12.75" customHeight="1" x14ac:dyDescent="0.2">
      <c r="A2632" s="257">
        <v>2632</v>
      </c>
      <c r="B2632" s="44">
        <v>44574</v>
      </c>
      <c r="C2632" s="44">
        <f t="shared" si="125"/>
        <v>44574</v>
      </c>
      <c r="D2632" s="374">
        <v>23</v>
      </c>
      <c r="E2632" s="291" t="str">
        <f>IFERROR(VLOOKUP($D2632,'Clients-Live'!$A:$C,3,0),"")</f>
        <v>BADARU KEVIN ATELIONGA</v>
      </c>
      <c r="F2632" s="291">
        <f>IFERROR(INDEX(Disbursements!$D:$D,MATCH('Live Collections'!G2632,Disbursements!$C:$C,0)),"")</f>
        <v>3</v>
      </c>
      <c r="G2632" s="34">
        <v>402</v>
      </c>
      <c r="H2632" s="34">
        <v>4264</v>
      </c>
      <c r="I2632" s="34" t="s">
        <v>1357</v>
      </c>
      <c r="J2632" s="48"/>
      <c r="K2632" s="48"/>
      <c r="L2632" s="48"/>
      <c r="M2632" s="48"/>
      <c r="N2632" s="59"/>
      <c r="O2632" s="59"/>
      <c r="P2632" s="59">
        <v>50000</v>
      </c>
      <c r="Q2632" s="268">
        <f t="shared" si="124"/>
        <v>50000</v>
      </c>
      <c r="R2632" s="61">
        <f>IF(O2632=0,0,SUMIFS(Disbursements!$T:$T,Disbursements!$B:$B,'Live Collections'!D2632,Disbursements!$D:$D,'Live Collections'!F2632))</f>
        <v>0</v>
      </c>
      <c r="S2632" s="304">
        <f>IF(O2632&lt;=IF($O2632=0,0,SUMIFS(Disbursements!$W:$W,Disbursements!$B:$B,'Live Collections'!D324,Disbursements!$D:$D,'Live Collections'!F324)),O2632,IF($O2632=0,0,SUMIFS(Disbursements!$W:$W,Disbursements!$B:$B,'Live Collections'!D324,Disbursements!$D:$D,'Live Collections'!F324)))</f>
        <v>0</v>
      </c>
      <c r="T2632" s="304">
        <f t="shared" si="126"/>
        <v>0</v>
      </c>
      <c r="U2632" s="52"/>
      <c r="V2632" s="34"/>
      <c r="W2632" s="408"/>
    </row>
    <row r="2633" spans="1:23" ht="12.75" customHeight="1" x14ac:dyDescent="0.2">
      <c r="A2633" s="257">
        <v>2630</v>
      </c>
      <c r="B2633" s="44">
        <v>44574</v>
      </c>
      <c r="C2633" s="44">
        <f t="shared" si="125"/>
        <v>44574</v>
      </c>
      <c r="D2633" s="374">
        <v>159</v>
      </c>
      <c r="E2633" s="291" t="str">
        <f>IFERROR(VLOOKUP($D2633,'Clients-Live'!$A:$C,3,0),"")</f>
        <v>ALICE AMINA</v>
      </c>
      <c r="F2633" s="291">
        <f>IFERROR(INDEX(Disbursements!$D:$D,MATCH('Live Collections'!G2633,Disbursements!$C:$C,0)),"")</f>
        <v>1</v>
      </c>
      <c r="G2633" s="34">
        <v>150</v>
      </c>
      <c r="H2633" s="34">
        <v>4319</v>
      </c>
      <c r="I2633" s="34" t="s">
        <v>1358</v>
      </c>
      <c r="J2633" s="48"/>
      <c r="K2633" s="48"/>
      <c r="L2633" s="48"/>
      <c r="M2633" s="48"/>
      <c r="N2633" s="59"/>
      <c r="O2633" s="59">
        <v>50000</v>
      </c>
      <c r="P2633" s="59"/>
      <c r="Q2633" s="268">
        <f t="shared" si="124"/>
        <v>50000</v>
      </c>
      <c r="R2633" s="61">
        <f>IF(O2633=0,0,SUMIFS(Disbursements!$T:$T,Disbursements!$B:$B,'Live Collections'!D2633,Disbursements!$D:$D,'Live Collections'!F2633))</f>
        <v>150000</v>
      </c>
      <c r="S2633" s="304">
        <f>IF(O2633&lt;=IF($O2633=0,0,SUMIFS(Disbursements!$W:$W,Disbursements!$B:$B,'Live Collections'!D1987,Disbursements!$D:$D,'Live Collections'!F1987)),O2633,IF($O2633=0,0,SUMIFS(Disbursements!$W:$W,Disbursements!$B:$B,'Live Collections'!D1987,Disbursements!$D:$D,'Live Collections'!F1987)))</f>
        <v>50000</v>
      </c>
      <c r="T2633" s="304">
        <f t="shared" si="126"/>
        <v>0</v>
      </c>
      <c r="U2633" s="52"/>
      <c r="V2633" s="34"/>
      <c r="W2633" s="408"/>
    </row>
    <row r="2634" spans="1:23" ht="12.75" customHeight="1" x14ac:dyDescent="0.2">
      <c r="A2634" s="257">
        <v>2629</v>
      </c>
      <c r="B2634" s="44">
        <v>44574</v>
      </c>
      <c r="C2634" s="44">
        <f t="shared" si="125"/>
        <v>44574</v>
      </c>
      <c r="D2634" s="374">
        <v>186</v>
      </c>
      <c r="E2634" s="291" t="str">
        <f>IFERROR(VLOOKUP($D2634,'Clients-Live'!$A:$C,3,0),"")</f>
        <v>GIFT JAMES</v>
      </c>
      <c r="F2634" s="291">
        <f>IFERROR(INDEX(Disbursements!$D:$D,MATCH('Live Collections'!G2634,Disbursements!$C:$C,0)),"")</f>
        <v>3</v>
      </c>
      <c r="G2634" s="34">
        <v>366</v>
      </c>
      <c r="H2634" s="34">
        <v>4267</v>
      </c>
      <c r="I2634" s="34" t="s">
        <v>1359</v>
      </c>
      <c r="J2634" s="48"/>
      <c r="K2634" s="48"/>
      <c r="L2634" s="48"/>
      <c r="M2634" s="48"/>
      <c r="N2634" s="59"/>
      <c r="O2634" s="59">
        <v>104000</v>
      </c>
      <c r="P2634" s="59"/>
      <c r="Q2634" s="268">
        <f t="shared" si="124"/>
        <v>104000</v>
      </c>
      <c r="R2634" s="61">
        <f>IF(O2634=0,0,SUMIFS(Disbursements!$T:$T,Disbursements!$B:$B,'Live Collections'!D2634,Disbursements!$D:$D,'Live Collections'!F2634))</f>
        <v>434000</v>
      </c>
      <c r="S2634" s="304">
        <f>IF(O2634&lt;=IF($O2634=0,0,SUMIFS(Disbursements!$W:$W,Disbursements!$B:$B,'Live Collections'!D2270,Disbursements!$D:$D,'Live Collections'!F2270)),O2634,IF($O2634=0,0,SUMIFS(Disbursements!$W:$W,Disbursements!$B:$B,'Live Collections'!D2270,Disbursements!$D:$D,'Live Collections'!F2270)))</f>
        <v>104000</v>
      </c>
      <c r="T2634" s="304">
        <f t="shared" si="126"/>
        <v>0</v>
      </c>
      <c r="U2634" s="52"/>
      <c r="V2634" s="34"/>
      <c r="W2634" s="408"/>
    </row>
    <row r="2635" spans="1:23" ht="12.75" customHeight="1" x14ac:dyDescent="0.2">
      <c r="A2635" s="257">
        <v>2635</v>
      </c>
      <c r="B2635" s="44">
        <v>44574</v>
      </c>
      <c r="C2635" s="44">
        <f t="shared" si="125"/>
        <v>44574</v>
      </c>
      <c r="D2635" s="374">
        <v>186</v>
      </c>
      <c r="E2635" s="291" t="str">
        <f>IFERROR(VLOOKUP($D2635,'Clients-Live'!$A:$C,3,0),"")</f>
        <v>GIFT JAMES</v>
      </c>
      <c r="F2635" s="291">
        <f>IFERROR(INDEX(Disbursements!$D:$D,MATCH('Live Collections'!G2635,Disbursements!$C:$C,0)),"")</f>
        <v>3</v>
      </c>
      <c r="G2635" s="34">
        <v>366</v>
      </c>
      <c r="H2635" s="34">
        <v>4261</v>
      </c>
      <c r="I2635" s="34" t="s">
        <v>1359</v>
      </c>
      <c r="J2635" s="48"/>
      <c r="K2635" s="48"/>
      <c r="L2635" s="48"/>
      <c r="M2635" s="48"/>
      <c r="N2635" s="59"/>
      <c r="O2635" s="59">
        <v>330000</v>
      </c>
      <c r="P2635" s="59"/>
      <c r="Q2635" s="268">
        <f t="shared" si="124"/>
        <v>330000</v>
      </c>
      <c r="R2635" s="61">
        <f>IF(O2635=0,0,SUMIFS(Disbursements!$T:$T,Disbursements!$B:$B,'Live Collections'!D2635,Disbursements!$D:$D,'Live Collections'!F2635))</f>
        <v>434000</v>
      </c>
      <c r="S2635" s="304">
        <f>IF(O2635&lt;=IF($O2635=0,0,SUMIFS(Disbursements!$W:$W,Disbursements!$B:$B,'Live Collections'!D2271,Disbursements!$D:$D,'Live Collections'!F2271)),O2635,IF($O2635=0,0,SUMIFS(Disbursements!$W:$W,Disbursements!$B:$B,'Live Collections'!D2271,Disbursements!$D:$D,'Live Collections'!F2271)))</f>
        <v>0</v>
      </c>
      <c r="T2635" s="304">
        <f t="shared" si="126"/>
        <v>330000</v>
      </c>
      <c r="U2635" s="52"/>
      <c r="V2635" s="34"/>
      <c r="W2635" s="408"/>
    </row>
    <row r="2636" spans="1:23" ht="12.75" customHeight="1" x14ac:dyDescent="0.2">
      <c r="A2636" s="257">
        <v>2634</v>
      </c>
      <c r="B2636" s="44">
        <v>44574</v>
      </c>
      <c r="C2636" s="44">
        <f t="shared" si="125"/>
        <v>44574</v>
      </c>
      <c r="D2636" s="374">
        <v>211</v>
      </c>
      <c r="E2636" s="291" t="str">
        <f>IFERROR(VLOOKUP($D2636,'Clients-Live'!$A:$C,3,0),"")</f>
        <v>WILARU JOYCE</v>
      </c>
      <c r="F2636" s="291">
        <f>IFERROR(INDEX(Disbursements!$D:$D,MATCH('Live Collections'!G2636,Disbursements!$C:$C,0)),"")</f>
        <v>2</v>
      </c>
      <c r="G2636" s="34">
        <v>403</v>
      </c>
      <c r="H2636" s="34">
        <v>4262</v>
      </c>
      <c r="I2636" s="34" t="s">
        <v>1358</v>
      </c>
      <c r="J2636" s="48"/>
      <c r="K2636" s="48"/>
      <c r="L2636" s="48"/>
      <c r="M2636" s="48"/>
      <c r="N2636" s="59"/>
      <c r="O2636" s="59"/>
      <c r="P2636" s="59">
        <v>130000</v>
      </c>
      <c r="Q2636" s="268">
        <f t="shared" si="124"/>
        <v>130000</v>
      </c>
      <c r="R2636" s="61">
        <f>IF(O2636=0,0,SUMIFS(Disbursements!$T:$T,Disbursements!$B:$B,'Live Collections'!D2636,Disbursements!$D:$D,'Live Collections'!F2636))</f>
        <v>0</v>
      </c>
      <c r="S2636" s="304">
        <f>IF(O2636&lt;=IF($O2636=0,0,SUMIFS(Disbursements!$W:$W,Disbursements!$B:$B,'Live Collections'!D2493,Disbursements!$D:$D,'Live Collections'!F2493)),O2636,IF($O2636=0,0,SUMIFS(Disbursements!$W:$W,Disbursements!$B:$B,'Live Collections'!D2493,Disbursements!$D:$D,'Live Collections'!F2493)))</f>
        <v>0</v>
      </c>
      <c r="T2636" s="304">
        <f t="shared" si="126"/>
        <v>0</v>
      </c>
      <c r="U2636" s="52"/>
      <c r="V2636" s="34"/>
      <c r="W2636" s="408"/>
    </row>
    <row r="2637" spans="1:23" ht="12.75" customHeight="1" x14ac:dyDescent="0.2">
      <c r="A2637" s="257">
        <v>2633</v>
      </c>
      <c r="B2637" s="44">
        <v>44574</v>
      </c>
      <c r="C2637" s="44">
        <f t="shared" si="125"/>
        <v>44574</v>
      </c>
      <c r="D2637" s="374">
        <v>264</v>
      </c>
      <c r="E2637" s="291" t="str">
        <f>IFERROR(VLOOKUP($D2637,'Clients-Live'!$A:$C,3,0),"")</f>
        <v>AMORI JOHN BAPTIST</v>
      </c>
      <c r="F2637" s="291">
        <f>IFERROR(INDEX(Disbursements!$D:$D,MATCH('Live Collections'!G2637,Disbursements!$C:$C,0)),"")</f>
        <v>1</v>
      </c>
      <c r="G2637" s="34">
        <v>298</v>
      </c>
      <c r="H2637" s="34">
        <v>4318</v>
      </c>
      <c r="I2637" s="34" t="s">
        <v>1359</v>
      </c>
      <c r="J2637" s="48"/>
      <c r="K2637" s="48"/>
      <c r="L2637" s="48"/>
      <c r="M2637" s="48"/>
      <c r="N2637" s="59"/>
      <c r="O2637" s="59">
        <v>1100000</v>
      </c>
      <c r="P2637" s="59"/>
      <c r="Q2637" s="268">
        <f t="shared" si="124"/>
        <v>1100000</v>
      </c>
      <c r="R2637" s="61">
        <f>IF(O2637=0,0,SUMIFS(Disbursements!$T:$T,Disbursements!$B:$B,'Live Collections'!D2637,Disbursements!$D:$D,'Live Collections'!F2637))</f>
        <v>1084000</v>
      </c>
      <c r="S2637" s="304">
        <f>IF(O2637&lt;=IF($O2637=0,0,SUMIFS(Disbursements!$W:$W,Disbursements!$B:$B,'Live Collections'!D2913,Disbursements!$D:$D,'Live Collections'!F2913)),O2637,IF($O2637=0,0,SUMIFS(Disbursements!$W:$W,Disbursements!$B:$B,'Live Collections'!D2913,Disbursements!$D:$D,'Live Collections'!F2913)))</f>
        <v>0</v>
      </c>
      <c r="T2637" s="304">
        <f t="shared" si="126"/>
        <v>1100000</v>
      </c>
      <c r="U2637" s="52"/>
      <c r="V2637" s="34"/>
      <c r="W2637" s="408"/>
    </row>
    <row r="2638" spans="1:23" ht="12.75" customHeight="1" x14ac:dyDescent="0.2">
      <c r="A2638" s="257">
        <v>2637</v>
      </c>
      <c r="B2638" s="44">
        <v>44574</v>
      </c>
      <c r="C2638" s="44">
        <f t="shared" si="125"/>
        <v>44574</v>
      </c>
      <c r="D2638" s="374">
        <v>314</v>
      </c>
      <c r="E2638" s="291" t="str">
        <f>IFERROR(VLOOKUP($D2638,'Clients-Live'!$A:$C,3,0),"")</f>
        <v>SHAMIM ALIGAH</v>
      </c>
      <c r="F2638" s="291" t="str">
        <f>IFERROR(INDEX(Disbursements!$D:$D,MATCH('Live Collections'!G2638,Disbursements!$C:$C,0)),"")</f>
        <v/>
      </c>
      <c r="G2638" s="34"/>
      <c r="H2638" s="34">
        <v>4315</v>
      </c>
      <c r="I2638" s="34" t="s">
        <v>1716</v>
      </c>
      <c r="J2638" s="48"/>
      <c r="K2638" s="48"/>
      <c r="L2638" s="48">
        <v>20000</v>
      </c>
      <c r="M2638" s="48">
        <v>5000</v>
      </c>
      <c r="N2638" s="59"/>
      <c r="O2638" s="59"/>
      <c r="P2638" s="59"/>
      <c r="Q2638" s="268">
        <f t="shared" si="124"/>
        <v>25000</v>
      </c>
      <c r="R2638" s="61">
        <f>IF(O2638=0,0,SUMIFS(Disbursements!$T:$T,Disbursements!$B:$B,'Live Collections'!D2638,Disbursements!$D:$D,'Live Collections'!F2638))</f>
        <v>0</v>
      </c>
      <c r="S2638" s="304">
        <f>IF(O2638&lt;=IF($O2638=0,0,SUMIFS(Disbursements!$W:$W,Disbursements!$B:$B,'Live Collections'!D3135,Disbursements!$D:$D,'Live Collections'!F3135)),O2638,IF($O2638=0,0,SUMIFS(Disbursements!$W:$W,Disbursements!$B:$B,'Live Collections'!D3135,Disbursements!$D:$D,'Live Collections'!F3135)))</f>
        <v>0</v>
      </c>
      <c r="T2638" s="304">
        <f t="shared" si="126"/>
        <v>0</v>
      </c>
      <c r="U2638" s="52"/>
      <c r="V2638" s="34"/>
      <c r="W2638" s="408"/>
    </row>
    <row r="2639" spans="1:23" ht="12.75" customHeight="1" x14ac:dyDescent="0.2">
      <c r="A2639" s="257">
        <v>2638</v>
      </c>
      <c r="B2639" s="44">
        <v>44574</v>
      </c>
      <c r="C2639" s="44">
        <f t="shared" si="125"/>
        <v>44574</v>
      </c>
      <c r="D2639" s="374">
        <v>314</v>
      </c>
      <c r="E2639" s="291" t="str">
        <f>IFERROR(VLOOKUP($D2639,'Clients-Live'!$A:$C,3,0),"")</f>
        <v>SHAMIM ALIGAH</v>
      </c>
      <c r="F2639" s="291" t="str">
        <f>IFERROR(INDEX(Disbursements!$D:$D,MATCH('Live Collections'!G2639,Disbursements!$C:$C,0)),"")</f>
        <v/>
      </c>
      <c r="G2639" s="34"/>
      <c r="H2639" s="34">
        <v>4316</v>
      </c>
      <c r="I2639" s="34" t="s">
        <v>1716</v>
      </c>
      <c r="J2639" s="48">
        <v>15000</v>
      </c>
      <c r="K2639" s="48">
        <v>5000</v>
      </c>
      <c r="L2639" s="48"/>
      <c r="M2639" s="48"/>
      <c r="N2639" s="59"/>
      <c r="O2639" s="59"/>
      <c r="P2639" s="59"/>
      <c r="Q2639" s="268">
        <f t="shared" si="124"/>
        <v>20000</v>
      </c>
      <c r="R2639" s="61">
        <f>IF(O2639=0,0,SUMIFS(Disbursements!$T:$T,Disbursements!$B:$B,'Live Collections'!D2639,Disbursements!$D:$D,'Live Collections'!F2639))</f>
        <v>0</v>
      </c>
      <c r="S2639" s="304">
        <f>IF(O2639&lt;=IF($O2639=0,0,SUMIFS(Disbursements!$W:$W,Disbursements!$B:$B,'Live Collections'!D3136,Disbursements!$D:$D,'Live Collections'!F3136)),O2639,IF($O2639=0,0,SUMIFS(Disbursements!$W:$W,Disbursements!$B:$B,'Live Collections'!D3136,Disbursements!$D:$D,'Live Collections'!F3136)))</f>
        <v>0</v>
      </c>
      <c r="T2639" s="304">
        <f t="shared" si="126"/>
        <v>0</v>
      </c>
      <c r="U2639" s="52"/>
      <c r="V2639" s="34"/>
      <c r="W2639" s="408"/>
    </row>
    <row r="2640" spans="1:23" ht="12.75" customHeight="1" x14ac:dyDescent="0.2">
      <c r="A2640" s="257">
        <v>2649</v>
      </c>
      <c r="B2640" s="44">
        <v>44575</v>
      </c>
      <c r="C2640" s="44">
        <f t="shared" si="125"/>
        <v>44575</v>
      </c>
      <c r="D2640" s="374">
        <v>42</v>
      </c>
      <c r="E2640" s="291" t="str">
        <f>IFERROR(VLOOKUP($D2640,'Clients-Live'!$A:$C,3,0),"")</f>
        <v>ABAU   NOLA</v>
      </c>
      <c r="F2640" s="291">
        <f>IFERROR(INDEX(Disbursements!$D:$D,MATCH('Live Collections'!G2640,Disbursements!$C:$C,0)),"")</f>
        <v>2</v>
      </c>
      <c r="G2640" s="34">
        <v>251</v>
      </c>
      <c r="H2640" s="34">
        <v>4323</v>
      </c>
      <c r="I2640" s="34" t="s">
        <v>1359</v>
      </c>
      <c r="J2640" s="48"/>
      <c r="K2640" s="48"/>
      <c r="L2640" s="48"/>
      <c r="M2640" s="48"/>
      <c r="N2640" s="59"/>
      <c r="O2640" s="59"/>
      <c r="P2640" s="59">
        <v>25000</v>
      </c>
      <c r="Q2640" s="268">
        <f t="shared" si="124"/>
        <v>25000</v>
      </c>
      <c r="R2640" s="61">
        <f>IF(O2640=0,0,SUMIFS(Disbursements!$T:$T,Disbursements!$B:$B,'Live Collections'!D2640,Disbursements!$D:$D,'Live Collections'!F2640))</f>
        <v>0</v>
      </c>
      <c r="S2640" s="304">
        <f>IF(O2640&lt;=IF($O2640=0,0,SUMIFS(Disbursements!$W:$W,Disbursements!$B:$B,'Live Collections'!D471,Disbursements!$D:$D,'Live Collections'!F471)),O2640,IF($O2640=0,0,SUMIFS(Disbursements!$W:$W,Disbursements!$B:$B,'Live Collections'!D471,Disbursements!$D:$D,'Live Collections'!F471)))</f>
        <v>0</v>
      </c>
      <c r="T2640" s="304">
        <f t="shared" si="126"/>
        <v>0</v>
      </c>
      <c r="U2640" s="52"/>
      <c r="V2640" s="34"/>
      <c r="W2640" s="408"/>
    </row>
    <row r="2641" spans="1:23" ht="12.75" customHeight="1" x14ac:dyDescent="0.2">
      <c r="A2641" s="257">
        <v>2641</v>
      </c>
      <c r="B2641" s="44">
        <v>44575</v>
      </c>
      <c r="C2641" s="44">
        <f t="shared" si="125"/>
        <v>44575</v>
      </c>
      <c r="D2641" s="374">
        <v>66</v>
      </c>
      <c r="E2641" s="291" t="str">
        <f>IFERROR(VLOOKUP($D2641,'Clients-Live'!$A:$C,3,0),"")</f>
        <v>DENAYA NYAMAZA</v>
      </c>
      <c r="F2641" s="291">
        <f>IFERROR(INDEX(Disbursements!$D:$D,MATCH('Live Collections'!G2641,Disbursements!$C:$C,0)),"")</f>
        <v>2</v>
      </c>
      <c r="G2641" s="34">
        <v>300</v>
      </c>
      <c r="H2641" s="34">
        <v>4331</v>
      </c>
      <c r="I2641" s="34" t="s">
        <v>1357</v>
      </c>
      <c r="J2641" s="48"/>
      <c r="K2641" s="48"/>
      <c r="L2641" s="48"/>
      <c r="M2641" s="48"/>
      <c r="N2641" s="59"/>
      <c r="O2641" s="59">
        <v>100000</v>
      </c>
      <c r="P2641" s="59"/>
      <c r="Q2641" s="268">
        <f t="shared" si="124"/>
        <v>100000</v>
      </c>
      <c r="R2641" s="61">
        <f>IF(O2641=0,0,SUMIFS(Disbursements!$T:$T,Disbursements!$B:$B,'Live Collections'!D2641,Disbursements!$D:$D,'Live Collections'!F2641))</f>
        <v>109000</v>
      </c>
      <c r="S2641" s="304">
        <f>IF(O2641&lt;=IF($O2641=0,0,SUMIFS(Disbursements!$W:$W,Disbursements!$B:$B,'Live Collections'!D821,Disbursements!$D:$D,'Live Collections'!F821)),O2641,IF($O2641=0,0,SUMIFS(Disbursements!$W:$W,Disbursements!$B:$B,'Live Collections'!D821,Disbursements!$D:$D,'Live Collections'!F821)))</f>
        <v>10000</v>
      </c>
      <c r="T2641" s="304">
        <f t="shared" si="126"/>
        <v>90000</v>
      </c>
      <c r="U2641" s="52"/>
      <c r="V2641" s="34"/>
      <c r="W2641" s="408"/>
    </row>
    <row r="2642" spans="1:23" ht="12.75" customHeight="1" x14ac:dyDescent="0.2">
      <c r="A2642" s="257">
        <v>2639</v>
      </c>
      <c r="B2642" s="44">
        <v>44575</v>
      </c>
      <c r="C2642" s="44">
        <f t="shared" si="125"/>
        <v>44575</v>
      </c>
      <c r="D2642" s="374">
        <v>71</v>
      </c>
      <c r="E2642" s="291" t="str">
        <f>IFERROR(VLOOKUP($D2642,'Clients-Live'!$A:$C,3,0),"")</f>
        <v>AYIKORU HARIET BAUDI</v>
      </c>
      <c r="F2642" s="291">
        <f>IFERROR(INDEX(Disbursements!$D:$D,MATCH('Live Collections'!G2642,Disbursements!$C:$C,0)),"")</f>
        <v>2</v>
      </c>
      <c r="G2642" s="34">
        <v>326</v>
      </c>
      <c r="H2642" s="34">
        <v>4333</v>
      </c>
      <c r="I2642" s="34" t="s">
        <v>1359</v>
      </c>
      <c r="J2642" s="48"/>
      <c r="K2642" s="48"/>
      <c r="L2642" s="48"/>
      <c r="M2642" s="48"/>
      <c r="N2642" s="59"/>
      <c r="O2642" s="59">
        <v>500000</v>
      </c>
      <c r="P2642" s="59"/>
      <c r="Q2642" s="268">
        <f t="shared" si="124"/>
        <v>500000</v>
      </c>
      <c r="R2642" s="61">
        <f>IF(O2642=0,0,SUMIFS(Disbursements!$T:$T,Disbursements!$B:$B,'Live Collections'!D2642,Disbursements!$D:$D,'Live Collections'!F2642))</f>
        <v>500000</v>
      </c>
      <c r="S2642" s="304">
        <f>IF(O2642&lt;=IF($O2642=0,0,SUMIFS(Disbursements!$W:$W,Disbursements!$B:$B,'Live Collections'!D898,Disbursements!$D:$D,'Live Collections'!F898)),O2642,IF($O2642=0,0,SUMIFS(Disbursements!$W:$W,Disbursements!$B:$B,'Live Collections'!D898,Disbursements!$D:$D,'Live Collections'!F898)))</f>
        <v>15000</v>
      </c>
      <c r="T2642" s="304">
        <f t="shared" si="126"/>
        <v>485000</v>
      </c>
      <c r="U2642" s="52"/>
      <c r="V2642" s="34"/>
      <c r="W2642" s="408"/>
    </row>
    <row r="2643" spans="1:23" ht="12.75" customHeight="1" x14ac:dyDescent="0.2">
      <c r="A2643" s="257">
        <v>2640</v>
      </c>
      <c r="B2643" s="44">
        <v>44575</v>
      </c>
      <c r="C2643" s="44">
        <f t="shared" si="125"/>
        <v>44575</v>
      </c>
      <c r="D2643" s="374">
        <v>72</v>
      </c>
      <c r="E2643" s="291" t="str">
        <f>IFERROR(VLOOKUP($D2643,'Clients-Live'!$A:$C,3,0),"")</f>
        <v>MUNDURU MERCY</v>
      </c>
      <c r="F2643" s="291">
        <f>IFERROR(INDEX(Disbursements!$D:$D,MATCH('Live Collections'!G2643,Disbursements!$C:$C,0)),"")</f>
        <v>2</v>
      </c>
      <c r="G2643" s="34">
        <v>370</v>
      </c>
      <c r="H2643" s="34">
        <v>4332</v>
      </c>
      <c r="I2643" s="34" t="s">
        <v>1358</v>
      </c>
      <c r="J2643" s="48"/>
      <c r="K2643" s="48"/>
      <c r="L2643" s="48"/>
      <c r="M2643" s="48"/>
      <c r="N2643" s="59"/>
      <c r="O2643" s="59">
        <v>260000</v>
      </c>
      <c r="P2643" s="59"/>
      <c r="Q2643" s="268">
        <f t="shared" si="124"/>
        <v>260000</v>
      </c>
      <c r="R2643" s="61">
        <f>IF(O2643=0,0,SUMIFS(Disbursements!$T:$T,Disbursements!$B:$B,'Live Collections'!D2643,Disbursements!$D:$D,'Live Collections'!F2643))</f>
        <v>260000</v>
      </c>
      <c r="S2643" s="304">
        <f>IF(O2643&lt;=IF($O2643=0,0,SUMIFS(Disbursements!$W:$W,Disbursements!$B:$B,'Live Collections'!D915,Disbursements!$D:$D,'Live Collections'!F915)),O2643,IF($O2643=0,0,SUMIFS(Disbursements!$W:$W,Disbursements!$B:$B,'Live Collections'!D915,Disbursements!$D:$D,'Live Collections'!F915)))</f>
        <v>25666.666666666672</v>
      </c>
      <c r="T2643" s="304">
        <f t="shared" si="126"/>
        <v>234333.33333333331</v>
      </c>
      <c r="U2643" s="52"/>
      <c r="V2643" s="34"/>
      <c r="W2643" s="408"/>
    </row>
    <row r="2644" spans="1:23" ht="12.75" customHeight="1" x14ac:dyDescent="0.2">
      <c r="A2644" s="257">
        <v>2642</v>
      </c>
      <c r="B2644" s="44">
        <v>44575</v>
      </c>
      <c r="C2644" s="44">
        <f t="shared" si="125"/>
        <v>44575</v>
      </c>
      <c r="D2644" s="374">
        <v>129</v>
      </c>
      <c r="E2644" s="291" t="str">
        <f>IFERROR(VLOOKUP($D2644,'Clients-Live'!$A:$C,3,0),"")</f>
        <v>BAKO ASINA</v>
      </c>
      <c r="F2644" s="291">
        <f>IFERROR(INDEX(Disbursements!$D:$D,MATCH('Live Collections'!G2644,Disbursements!$C:$C,0)),"")</f>
        <v>2</v>
      </c>
      <c r="G2644" s="34">
        <v>332</v>
      </c>
      <c r="H2644" s="34">
        <v>4329</v>
      </c>
      <c r="I2644" s="34" t="s">
        <v>1358</v>
      </c>
      <c r="J2644" s="48"/>
      <c r="K2644" s="48"/>
      <c r="L2644" s="48"/>
      <c r="M2644" s="48"/>
      <c r="N2644" s="59"/>
      <c r="O2644" s="59">
        <v>900000</v>
      </c>
      <c r="P2644" s="59"/>
      <c r="Q2644" s="268">
        <f t="shared" si="124"/>
        <v>900000</v>
      </c>
      <c r="R2644" s="61">
        <f>IF(O2644=0,0,SUMIFS(Disbursements!$T:$T,Disbursements!$B:$B,'Live Collections'!D2644,Disbursements!$D:$D,'Live Collections'!F2644))</f>
        <v>1100000</v>
      </c>
      <c r="S2644" s="64">
        <v>175000</v>
      </c>
      <c r="T2644" s="304">
        <f t="shared" si="126"/>
        <v>725000</v>
      </c>
      <c r="U2644" s="52"/>
      <c r="V2644" s="34"/>
      <c r="W2644" s="408"/>
    </row>
    <row r="2645" spans="1:23" ht="12.75" customHeight="1" x14ac:dyDescent="0.2">
      <c r="A2645" s="257">
        <v>2643</v>
      </c>
      <c r="B2645" s="44">
        <v>44575</v>
      </c>
      <c r="C2645" s="44">
        <f t="shared" si="125"/>
        <v>44575</v>
      </c>
      <c r="D2645" s="374">
        <v>129</v>
      </c>
      <c r="E2645" s="291" t="str">
        <f>IFERROR(VLOOKUP($D2645,'Clients-Live'!$A:$C,3,0),"")</f>
        <v>BAKO ASINA</v>
      </c>
      <c r="F2645" s="291" t="str">
        <f>IFERROR(INDEX(Disbursements!$D:$D,MATCH('Live Collections'!G2645,Disbursements!$C:$C,0)),"")</f>
        <v/>
      </c>
      <c r="G2645" s="34"/>
      <c r="H2645" s="34">
        <v>4330</v>
      </c>
      <c r="I2645" s="34" t="s">
        <v>1358</v>
      </c>
      <c r="J2645" s="48"/>
      <c r="K2645" s="48"/>
      <c r="L2645" s="48">
        <v>30000</v>
      </c>
      <c r="M2645" s="48">
        <v>5000</v>
      </c>
      <c r="N2645" s="59"/>
      <c r="O2645" s="59"/>
      <c r="P2645" s="59"/>
      <c r="Q2645" s="268">
        <f t="shared" si="124"/>
        <v>35000</v>
      </c>
      <c r="R2645" s="61">
        <f>IF(O2645=0,0,SUMIFS(Disbursements!$T:$T,Disbursements!$B:$B,'Live Collections'!D2645,Disbursements!$D:$D,'Live Collections'!F2645))</f>
        <v>0</v>
      </c>
      <c r="S2645" s="304">
        <f>IF(O2645&lt;=IF($O2645=0,0,SUMIFS(Disbursements!$W:$W,Disbursements!$B:$B,'Live Collections'!D1641,Disbursements!$D:$D,'Live Collections'!F1641)),O2645,IF($O2645=0,0,SUMIFS(Disbursements!$W:$W,Disbursements!$B:$B,'Live Collections'!D1641,Disbursements!$D:$D,'Live Collections'!F1641)))</f>
        <v>0</v>
      </c>
      <c r="T2645" s="304">
        <f t="shared" si="126"/>
        <v>0</v>
      </c>
      <c r="U2645" s="52"/>
      <c r="V2645" s="34"/>
      <c r="W2645" s="408"/>
    </row>
    <row r="2646" spans="1:23" ht="12.75" customHeight="1" x14ac:dyDescent="0.2">
      <c r="A2646" s="257">
        <v>2647</v>
      </c>
      <c r="B2646" s="44">
        <v>44575</v>
      </c>
      <c r="C2646" s="44">
        <f t="shared" si="125"/>
        <v>44575</v>
      </c>
      <c r="D2646" s="374">
        <v>244</v>
      </c>
      <c r="E2646" s="291" t="str">
        <f>IFERROR(VLOOKUP($D2646,'Clients-Live'!$A:$C,3,0),"")</f>
        <v>GISMA HAMID ALI</v>
      </c>
      <c r="F2646" s="291">
        <f>IFERROR(INDEX(Disbursements!$D:$D,MATCH('Live Collections'!G2646,Disbursements!$C:$C,0)),"")</f>
        <v>1</v>
      </c>
      <c r="G2646" s="34">
        <v>269</v>
      </c>
      <c r="H2646" s="34">
        <v>4325</v>
      </c>
      <c r="I2646" s="34" t="s">
        <v>1357</v>
      </c>
      <c r="J2646" s="48"/>
      <c r="K2646" s="48"/>
      <c r="L2646" s="48"/>
      <c r="M2646" s="48"/>
      <c r="N2646" s="59"/>
      <c r="O2646" s="59">
        <v>125000</v>
      </c>
      <c r="P2646" s="59"/>
      <c r="Q2646" s="268">
        <f t="shared" si="124"/>
        <v>125000</v>
      </c>
      <c r="R2646" s="61">
        <f>IF(O2646=0,0,SUMIFS(Disbursements!$T:$T,Disbursements!$B:$B,'Live Collections'!D2646,Disbursements!$D:$D,'Live Collections'!F2646))</f>
        <v>125000</v>
      </c>
      <c r="S2646" s="304">
        <f>IF(O2646&lt;=IF($O2646=0,0,SUMIFS(Disbursements!$W:$W,Disbursements!$B:$B,'Live Collections'!D2776,Disbursements!$D:$D,'Live Collections'!F2776)),O2646,IF($O2646=0,0,SUMIFS(Disbursements!$W:$W,Disbursements!$B:$B,'Live Collections'!D2776,Disbursements!$D:$D,'Live Collections'!F2776)))</f>
        <v>45000</v>
      </c>
      <c r="T2646" s="304">
        <f t="shared" si="126"/>
        <v>80000</v>
      </c>
      <c r="U2646" s="52"/>
      <c r="V2646" s="34"/>
      <c r="W2646" s="408"/>
    </row>
    <row r="2647" spans="1:23" ht="12.75" customHeight="1" x14ac:dyDescent="0.2">
      <c r="A2647" s="257">
        <v>2648</v>
      </c>
      <c r="B2647" s="44">
        <v>44575</v>
      </c>
      <c r="C2647" s="44">
        <f t="shared" si="125"/>
        <v>44575</v>
      </c>
      <c r="D2647" s="374">
        <v>253</v>
      </c>
      <c r="E2647" s="291" t="str">
        <f>IFERROR(VLOOKUP($D2647,'Clients-Live'!$A:$C,3,0),"")</f>
        <v>JAKUMA VINCENT</v>
      </c>
      <c r="F2647" s="291">
        <f>IFERROR(INDEX(Disbursements!$D:$D,MATCH('Live Collections'!G2647,Disbursements!$C:$C,0)),"")</f>
        <v>1</v>
      </c>
      <c r="G2647" s="34">
        <v>359</v>
      </c>
      <c r="H2647" s="34">
        <v>4320</v>
      </c>
      <c r="I2647" s="34" t="s">
        <v>1359</v>
      </c>
      <c r="J2647" s="48"/>
      <c r="K2647" s="48"/>
      <c r="L2647" s="48"/>
      <c r="M2647" s="48"/>
      <c r="N2647" s="59"/>
      <c r="O2647" s="59">
        <v>100000</v>
      </c>
      <c r="P2647" s="59"/>
      <c r="Q2647" s="268">
        <f t="shared" si="124"/>
        <v>100000</v>
      </c>
      <c r="R2647" s="61">
        <f>IF(O2647=0,0,SUMIFS(Disbursements!$T:$T,Disbursements!$B:$B,'Live Collections'!D2647,Disbursements!$D:$D,'Live Collections'!F2647))</f>
        <v>613000</v>
      </c>
      <c r="S2647" s="304"/>
      <c r="T2647" s="304">
        <f t="shared" si="126"/>
        <v>100000</v>
      </c>
      <c r="U2647" s="52"/>
      <c r="V2647" s="34"/>
      <c r="W2647" s="408"/>
    </row>
    <row r="2648" spans="1:23" ht="12.75" customHeight="1" x14ac:dyDescent="0.2">
      <c r="A2648" s="257">
        <v>2646</v>
      </c>
      <c r="B2648" s="44">
        <v>44575</v>
      </c>
      <c r="C2648" s="44">
        <f t="shared" si="125"/>
        <v>44575</v>
      </c>
      <c r="D2648" s="374">
        <v>281</v>
      </c>
      <c r="E2648" s="291" t="str">
        <f>IFERROR(VLOOKUP($D2648,'Clients-Live'!$A:$C,3,0),"")</f>
        <v>BAKO ZUBEDA</v>
      </c>
      <c r="F2648" s="291">
        <f>IFERROR(INDEX(Disbursements!$D:$D,MATCH('Live Collections'!G2648,Disbursements!$C:$C,0)),"")</f>
        <v>1</v>
      </c>
      <c r="G2648" s="34">
        <v>406</v>
      </c>
      <c r="H2648" s="34">
        <v>4321</v>
      </c>
      <c r="I2648" s="34" t="s">
        <v>1359</v>
      </c>
      <c r="J2648" s="48"/>
      <c r="K2648" s="48"/>
      <c r="L2648" s="48"/>
      <c r="M2648" s="48"/>
      <c r="N2648" s="59"/>
      <c r="O2648" s="59"/>
      <c r="P2648" s="59">
        <v>35000</v>
      </c>
      <c r="Q2648" s="268">
        <f t="shared" si="124"/>
        <v>35000</v>
      </c>
      <c r="R2648" s="61">
        <f>IF(O2648=0,0,SUMIFS(Disbursements!$T:$T,Disbursements!$B:$B,'Live Collections'!D2648,Disbursements!$D:$D,'Live Collections'!F2648))</f>
        <v>0</v>
      </c>
      <c r="S2648" s="304">
        <f>IF(O2648&lt;=IF($O2648=0,0,SUMIFS(Disbursements!$W:$W,Disbursements!$B:$B,'Live Collections'!D3007,Disbursements!$D:$D,'Live Collections'!F3007)),O2648,IF($O2648=0,0,SUMIFS(Disbursements!$W:$W,Disbursements!$B:$B,'Live Collections'!D3007,Disbursements!$D:$D,'Live Collections'!F3007)))</f>
        <v>0</v>
      </c>
      <c r="T2648" s="304">
        <f t="shared" si="126"/>
        <v>0</v>
      </c>
      <c r="U2648" s="52"/>
      <c r="V2648" s="34"/>
      <c r="W2648" s="408"/>
    </row>
    <row r="2649" spans="1:23" ht="12.75" customHeight="1" x14ac:dyDescent="0.2">
      <c r="A2649" s="257">
        <v>2645</v>
      </c>
      <c r="B2649" s="44">
        <v>44575</v>
      </c>
      <c r="C2649" s="44">
        <f t="shared" si="125"/>
        <v>44575</v>
      </c>
      <c r="D2649" s="374">
        <v>305</v>
      </c>
      <c r="E2649" s="291" t="str">
        <f>IFERROR(VLOOKUP($D2649,'Clients-Live'!$A:$C,3,0),"")</f>
        <v>ANDIKU KALOLI</v>
      </c>
      <c r="F2649" s="291">
        <f>IFERROR(INDEX(Disbursements!$D:$D,MATCH('Live Collections'!G2649,Disbursements!$C:$C,0)),"")</f>
        <v>1</v>
      </c>
      <c r="G2649" s="34">
        <v>384</v>
      </c>
      <c r="H2649" s="34">
        <v>4326</v>
      </c>
      <c r="I2649" s="34" t="s">
        <v>1357</v>
      </c>
      <c r="J2649" s="48"/>
      <c r="K2649" s="48"/>
      <c r="L2649" s="48"/>
      <c r="M2649" s="48"/>
      <c r="N2649" s="59"/>
      <c r="O2649" s="59">
        <v>130000</v>
      </c>
      <c r="P2649" s="59"/>
      <c r="Q2649" s="268">
        <f t="shared" si="124"/>
        <v>130000</v>
      </c>
      <c r="R2649" s="61">
        <f>IF(O2649=0,0,SUMIFS(Disbursements!$T:$T,Disbursements!$B:$B,'Live Collections'!D2649,Disbursements!$D:$D,'Live Collections'!F2649))</f>
        <v>130000</v>
      </c>
      <c r="S2649" s="304">
        <v>120000</v>
      </c>
      <c r="T2649" s="304">
        <f t="shared" si="126"/>
        <v>10000</v>
      </c>
      <c r="U2649" s="52"/>
      <c r="V2649" s="34"/>
      <c r="W2649" s="408"/>
    </row>
    <row r="2650" spans="1:23" ht="12.75" customHeight="1" x14ac:dyDescent="0.2">
      <c r="A2650" s="257">
        <v>2644</v>
      </c>
      <c r="B2650" s="44">
        <v>44575</v>
      </c>
      <c r="C2650" s="44">
        <f t="shared" si="125"/>
        <v>44575</v>
      </c>
      <c r="D2650" s="374">
        <v>314</v>
      </c>
      <c r="E2650" s="291" t="str">
        <f>IFERROR(VLOOKUP($D2650,'Clients-Live'!$A:$C,3,0),"")</f>
        <v>SHAMIM ALIGAH</v>
      </c>
      <c r="F2650" s="291">
        <f>IFERROR(INDEX(Disbursements!$D:$D,MATCH('Live Collections'!G2650,Disbursements!$C:$C,0)),"")</f>
        <v>1</v>
      </c>
      <c r="G2650" s="34">
        <v>404</v>
      </c>
      <c r="H2650" s="34">
        <v>4327</v>
      </c>
      <c r="I2650" s="34" t="s">
        <v>1357</v>
      </c>
      <c r="J2650" s="48"/>
      <c r="K2650" s="48"/>
      <c r="L2650" s="48"/>
      <c r="M2650" s="48"/>
      <c r="N2650" s="59"/>
      <c r="O2650" s="59"/>
      <c r="P2650" s="59">
        <v>80000</v>
      </c>
      <c r="Q2650" s="268">
        <f t="shared" si="124"/>
        <v>80000</v>
      </c>
      <c r="R2650" s="61">
        <f>IF(O2650=0,0,SUMIFS(Disbursements!$T:$T,Disbursements!$B:$B,'Live Collections'!D2650,Disbursements!$D:$D,'Live Collections'!F2650))</f>
        <v>0</v>
      </c>
      <c r="S2650" s="304">
        <f>IF(O2650&lt;=IF($O2650=0,0,SUMIFS(Disbursements!$W:$W,Disbursements!$B:$B,'Live Collections'!D3137,Disbursements!$D:$D,'Live Collections'!F3137)),O2650,IF($O2650=0,0,SUMIFS(Disbursements!$W:$W,Disbursements!$B:$B,'Live Collections'!D3137,Disbursements!$D:$D,'Live Collections'!F3137)))</f>
        <v>0</v>
      </c>
      <c r="T2650" s="304">
        <f t="shared" si="126"/>
        <v>0</v>
      </c>
      <c r="U2650" s="52"/>
      <c r="V2650" s="34"/>
      <c r="W2650" s="408"/>
    </row>
    <row r="2651" spans="1:23" ht="12.75" customHeight="1" x14ac:dyDescent="0.2">
      <c r="A2651" s="257">
        <v>2656</v>
      </c>
      <c r="B2651" s="44">
        <v>44576</v>
      </c>
      <c r="C2651" s="44">
        <f t="shared" si="125"/>
        <v>44576</v>
      </c>
      <c r="D2651" s="374">
        <v>17</v>
      </c>
      <c r="E2651" s="291" t="str">
        <f>IFERROR(VLOOKUP($D2651,'Clients-Live'!$A:$C,3,0),"")</f>
        <v>MAMBU BAYI</v>
      </c>
      <c r="F2651" s="291">
        <f>IFERROR(INDEX(Disbursements!$D:$D,MATCH('Live Collections'!G2651,Disbursements!$C:$C,0)),"")</f>
        <v>1</v>
      </c>
      <c r="G2651" s="34">
        <v>7</v>
      </c>
      <c r="H2651" s="34">
        <v>4337</v>
      </c>
      <c r="I2651" s="34" t="s">
        <v>1357</v>
      </c>
      <c r="J2651" s="48"/>
      <c r="K2651" s="48"/>
      <c r="L2651" s="48"/>
      <c r="M2651" s="48"/>
      <c r="N2651" s="59"/>
      <c r="O2651" s="59">
        <v>200000</v>
      </c>
      <c r="P2651" s="59"/>
      <c r="Q2651" s="268">
        <f t="shared" si="124"/>
        <v>200000</v>
      </c>
      <c r="R2651" s="61">
        <f>IF(O2651=0,0,SUMIFS(Disbursements!$T:$T,Disbursements!$B:$B,'Live Collections'!D2651,Disbursements!$D:$D,'Live Collections'!F2651))</f>
        <v>325000</v>
      </c>
      <c r="S2651" s="304">
        <f>IF(O2651&lt;=IF($O2651=0,0,SUMIFS(Disbursements!$W:$W,Disbursements!$B:$B,'Live Collections'!D2794,Disbursements!$D:$D,'Live Collections'!F2794)),O2651,IF($O2651=0,0,SUMIFS(Disbursements!$W:$W,Disbursements!$B:$B,'Live Collections'!D2794,Disbursements!$D:$D,'Live Collections'!F2794)))</f>
        <v>150000</v>
      </c>
      <c r="T2651" s="304">
        <f t="shared" si="126"/>
        <v>50000</v>
      </c>
      <c r="U2651" s="52"/>
      <c r="V2651" s="34"/>
      <c r="W2651" s="408"/>
    </row>
    <row r="2652" spans="1:23" ht="12.75" customHeight="1" x14ac:dyDescent="0.2">
      <c r="A2652" s="257">
        <v>2653</v>
      </c>
      <c r="B2652" s="44">
        <v>44576</v>
      </c>
      <c r="C2652" s="44">
        <f t="shared" si="125"/>
        <v>44576</v>
      </c>
      <c r="D2652" s="374">
        <v>69</v>
      </c>
      <c r="E2652" s="291" t="str">
        <f>IFERROR(VLOOKUP($D2652,'Clients-Live'!$A:$C,3,0),"")</f>
        <v>SADIA JOYCE</v>
      </c>
      <c r="F2652" s="291">
        <f>IFERROR(INDEX(Disbursements!$D:$D,MATCH('Live Collections'!G2652,Disbursements!$C:$C,0)),"")</f>
        <v>2</v>
      </c>
      <c r="G2652" s="34">
        <v>311</v>
      </c>
      <c r="H2652" s="34">
        <v>4338</v>
      </c>
      <c r="I2652" s="34" t="s">
        <v>1359</v>
      </c>
      <c r="J2652" s="48"/>
      <c r="K2652" s="48"/>
      <c r="L2652" s="48"/>
      <c r="M2652" s="48"/>
      <c r="N2652" s="59"/>
      <c r="O2652" s="59">
        <v>40000</v>
      </c>
      <c r="P2652" s="59"/>
      <c r="Q2652" s="268">
        <f t="shared" si="124"/>
        <v>40000</v>
      </c>
      <c r="R2652" s="61">
        <f>IF(O2652=0,0,SUMIFS(Disbursements!$T:$T,Disbursements!$B:$B,'Live Collections'!D2652,Disbursements!$D:$D,'Live Collections'!F2652))</f>
        <v>120000</v>
      </c>
      <c r="S2652" s="304">
        <f>IF(O2652&lt;=IF($O2652=0,0,SUMIFS(Disbursements!$W:$W,Disbursements!$B:$B,'Live Collections'!D862,Disbursements!$D:$D,'Live Collections'!F862)),O2652,IF($O2652=0,0,SUMIFS(Disbursements!$W:$W,Disbursements!$B:$B,'Live Collections'!D862,Disbursements!$D:$D,'Live Collections'!F862)))</f>
        <v>20666.666666666657</v>
      </c>
      <c r="T2652" s="304">
        <f t="shared" si="126"/>
        <v>19333.333333333343</v>
      </c>
      <c r="U2652" s="52"/>
      <c r="V2652" s="34"/>
      <c r="W2652" s="408"/>
    </row>
    <row r="2653" spans="1:23" ht="12.75" customHeight="1" x14ac:dyDescent="0.2">
      <c r="A2653" s="257">
        <v>2654</v>
      </c>
      <c r="B2653" s="44">
        <v>44576</v>
      </c>
      <c r="C2653" s="44">
        <f t="shared" si="125"/>
        <v>44576</v>
      </c>
      <c r="D2653" s="374">
        <v>69</v>
      </c>
      <c r="E2653" s="291" t="str">
        <f>IFERROR(VLOOKUP($D2653,'Clients-Live'!$A:$C,3,0),"")</f>
        <v>SADIA JOYCE</v>
      </c>
      <c r="F2653" s="291">
        <f>IFERROR(INDEX(Disbursements!$D:$D,MATCH('Live Collections'!G2653,Disbursements!$C:$C,0)),"")</f>
        <v>2</v>
      </c>
      <c r="G2653" s="34">
        <v>311</v>
      </c>
      <c r="H2653" s="34">
        <v>587</v>
      </c>
      <c r="I2653" s="34" t="s">
        <v>1359</v>
      </c>
      <c r="J2653" s="48"/>
      <c r="K2653" s="48"/>
      <c r="L2653" s="48"/>
      <c r="M2653" s="48"/>
      <c r="N2653" s="59"/>
      <c r="O2653" s="59"/>
      <c r="P2653" s="59">
        <v>-40000</v>
      </c>
      <c r="Q2653" s="268">
        <f t="shared" si="124"/>
        <v>-40000</v>
      </c>
      <c r="R2653" s="61">
        <f>IF(O2653=0,0,SUMIFS(Disbursements!$T:$T,Disbursements!$B:$B,'Live Collections'!D2653,Disbursements!$D:$D,'Live Collections'!F2653))</f>
        <v>0</v>
      </c>
      <c r="S2653" s="304">
        <f>IF(O2653&lt;=IF($O2653=0,0,SUMIFS(Disbursements!$W:$W,Disbursements!$B:$B,'Live Collections'!D863,Disbursements!$D:$D,'Live Collections'!F863)),O2653,IF($O2653=0,0,SUMIFS(Disbursements!$W:$W,Disbursements!$B:$B,'Live Collections'!D863,Disbursements!$D:$D,'Live Collections'!F863)))</f>
        <v>0</v>
      </c>
      <c r="T2653" s="304">
        <f t="shared" si="126"/>
        <v>0</v>
      </c>
      <c r="U2653" s="52"/>
      <c r="V2653" s="34"/>
      <c r="W2653" s="408"/>
    </row>
    <row r="2654" spans="1:23" ht="12.75" customHeight="1" x14ac:dyDescent="0.2">
      <c r="A2654" s="257">
        <v>2655</v>
      </c>
      <c r="B2654" s="44">
        <v>44576</v>
      </c>
      <c r="C2654" s="44">
        <f t="shared" si="125"/>
        <v>44576</v>
      </c>
      <c r="D2654" s="374">
        <v>69</v>
      </c>
      <c r="E2654" s="291" t="str">
        <f>IFERROR(VLOOKUP($D2654,'Clients-Live'!$A:$C,3,0),"")</f>
        <v>SADIA JOYCE</v>
      </c>
      <c r="F2654" s="291">
        <f>IFERROR(INDEX(Disbursements!$D:$D,MATCH('Live Collections'!G2654,Disbursements!$C:$C,0)),"")</f>
        <v>2</v>
      </c>
      <c r="G2654" s="34">
        <v>311</v>
      </c>
      <c r="H2654" s="34">
        <v>4339</v>
      </c>
      <c r="I2654" s="34" t="s">
        <v>1359</v>
      </c>
      <c r="J2654" s="48"/>
      <c r="K2654" s="48"/>
      <c r="L2654" s="48"/>
      <c r="M2654" s="48"/>
      <c r="N2654" s="59"/>
      <c r="O2654" s="59">
        <v>220000</v>
      </c>
      <c r="P2654" s="59"/>
      <c r="Q2654" s="268">
        <f t="shared" si="124"/>
        <v>220000</v>
      </c>
      <c r="R2654" s="61">
        <f>IF(O2654=0,0,SUMIFS(Disbursements!$T:$T,Disbursements!$B:$B,'Live Collections'!D2654,Disbursements!$D:$D,'Live Collections'!F2654))</f>
        <v>120000</v>
      </c>
      <c r="S2654" s="64">
        <v>-6666.6666666666424</v>
      </c>
      <c r="T2654" s="304">
        <f t="shared" si="126"/>
        <v>226666.66666666663</v>
      </c>
      <c r="U2654" s="52"/>
      <c r="V2654" s="34"/>
      <c r="W2654" s="408"/>
    </row>
    <row r="2655" spans="1:23" ht="12.75" customHeight="1" x14ac:dyDescent="0.2">
      <c r="A2655" s="257">
        <v>2657</v>
      </c>
      <c r="B2655" s="44">
        <v>44576</v>
      </c>
      <c r="C2655" s="44">
        <f t="shared" si="125"/>
        <v>44576</v>
      </c>
      <c r="D2655" s="374">
        <v>85</v>
      </c>
      <c r="E2655" s="291" t="str">
        <f>IFERROR(VLOOKUP($D2655,'Clients-Live'!$A:$C,3,0),"")</f>
        <v>CEASER SWALEH</v>
      </c>
      <c r="F2655" s="291">
        <f>IFERROR(INDEX(Disbursements!$D:$D,MATCH('Live Collections'!G2655,Disbursements!$C:$C,0)),"")</f>
        <v>2</v>
      </c>
      <c r="G2655" s="34">
        <v>119</v>
      </c>
      <c r="H2655" s="34">
        <v>4336</v>
      </c>
      <c r="I2655" s="34" t="s">
        <v>1357</v>
      </c>
      <c r="J2655" s="48"/>
      <c r="K2655" s="48"/>
      <c r="L2655" s="48"/>
      <c r="M2655" s="48"/>
      <c r="N2655" s="59"/>
      <c r="O2655" s="59">
        <v>200000</v>
      </c>
      <c r="P2655" s="59"/>
      <c r="Q2655" s="268">
        <f t="shared" si="124"/>
        <v>200000</v>
      </c>
      <c r="R2655" s="61">
        <f>IF(O2655=0,0,SUMIFS(Disbursements!$T:$T,Disbursements!$B:$B,'Live Collections'!D2655,Disbursements!$D:$D,'Live Collections'!F2655))</f>
        <v>434000</v>
      </c>
      <c r="S2655" s="304">
        <f>IF(O2655&lt;=IF($O2655=0,0,SUMIFS(Disbursements!$W:$W,Disbursements!$B:$B,'Live Collections'!D1097,Disbursements!$D:$D,'Live Collections'!F1097)),O2655,IF($O2655=0,0,SUMIFS(Disbursements!$W:$W,Disbursements!$B:$B,'Live Collections'!D1097,Disbursements!$D:$D,'Live Collections'!F1097)))</f>
        <v>25000</v>
      </c>
      <c r="T2655" s="304">
        <f t="shared" si="126"/>
        <v>175000</v>
      </c>
      <c r="U2655" s="52"/>
      <c r="V2655" s="34"/>
      <c r="W2655" s="408"/>
    </row>
    <row r="2656" spans="1:23" ht="12.75" customHeight="1" x14ac:dyDescent="0.2">
      <c r="A2656" s="257">
        <v>2658</v>
      </c>
      <c r="B2656" s="44">
        <v>44576</v>
      </c>
      <c r="C2656" s="44">
        <f t="shared" si="125"/>
        <v>44576</v>
      </c>
      <c r="D2656" s="374">
        <v>85</v>
      </c>
      <c r="E2656" s="291" t="str">
        <f>IFERROR(VLOOKUP($D2656,'Clients-Live'!$A:$C,3,0),"")</f>
        <v>CEASER SWALEH</v>
      </c>
      <c r="F2656" s="291">
        <f>IFERROR(INDEX(Disbursements!$D:$D,MATCH('Live Collections'!G2656,Disbursements!$C:$C,0)),"")</f>
        <v>2</v>
      </c>
      <c r="G2656" s="34">
        <v>119</v>
      </c>
      <c r="H2656" s="34">
        <v>523</v>
      </c>
      <c r="I2656" s="34" t="s">
        <v>1357</v>
      </c>
      <c r="J2656" s="48"/>
      <c r="K2656" s="48"/>
      <c r="L2656" s="48"/>
      <c r="M2656" s="48"/>
      <c r="N2656" s="59"/>
      <c r="O2656" s="59"/>
      <c r="P2656" s="59">
        <v>-200000</v>
      </c>
      <c r="Q2656" s="268">
        <f t="shared" si="124"/>
        <v>-200000</v>
      </c>
      <c r="R2656" s="61">
        <f>IF(O2656=0,0,SUMIFS(Disbursements!$T:$T,Disbursements!$B:$B,'Live Collections'!D2656,Disbursements!$D:$D,'Live Collections'!F2656))</f>
        <v>0</v>
      </c>
      <c r="S2656" s="304">
        <f>IF(O2656&lt;=IF($O2656=0,0,SUMIFS(Disbursements!$W:$W,Disbursements!$B:$B,'Live Collections'!D1098,Disbursements!$D:$D,'Live Collections'!F1098)),O2656,IF($O2656=0,0,SUMIFS(Disbursements!$W:$W,Disbursements!$B:$B,'Live Collections'!D1098,Disbursements!$D:$D,'Live Collections'!F1098)))</f>
        <v>0</v>
      </c>
      <c r="T2656" s="304">
        <f t="shared" si="126"/>
        <v>0</v>
      </c>
      <c r="U2656" s="52"/>
      <c r="V2656" s="34"/>
      <c r="W2656" s="408"/>
    </row>
    <row r="2657" spans="1:23" ht="12.75" customHeight="1" x14ac:dyDescent="0.2">
      <c r="A2657" s="257">
        <v>2659</v>
      </c>
      <c r="B2657" s="44">
        <v>44576</v>
      </c>
      <c r="C2657" s="44">
        <f t="shared" si="125"/>
        <v>44576</v>
      </c>
      <c r="D2657" s="374">
        <v>85</v>
      </c>
      <c r="E2657" s="291" t="str">
        <f>IFERROR(VLOOKUP($D2657,'Clients-Live'!$A:$C,3,0),"")</f>
        <v>CEASER SWALEH</v>
      </c>
      <c r="F2657" s="291">
        <f>IFERROR(INDEX(Disbursements!$D:$D,MATCH('Live Collections'!G2657,Disbursements!$C:$C,0)),"")</f>
        <v>2</v>
      </c>
      <c r="G2657" s="34">
        <v>119</v>
      </c>
      <c r="H2657" s="34">
        <v>4335</v>
      </c>
      <c r="I2657" s="34" t="s">
        <v>1357</v>
      </c>
      <c r="J2657" s="48"/>
      <c r="K2657" s="48"/>
      <c r="L2657" s="48"/>
      <c r="M2657" s="48"/>
      <c r="N2657" s="59"/>
      <c r="O2657" s="59">
        <v>370000</v>
      </c>
      <c r="P2657" s="59"/>
      <c r="Q2657" s="268">
        <f t="shared" si="124"/>
        <v>370000</v>
      </c>
      <c r="R2657" s="61">
        <f>IF(O2657=0,0,SUMIFS(Disbursements!$T:$T,Disbursements!$B:$B,'Live Collections'!D2657,Disbursements!$D:$D,'Live Collections'!F2657))</f>
        <v>434000</v>
      </c>
      <c r="S2657" s="64">
        <v>365333.33333333349</v>
      </c>
      <c r="T2657" s="304">
        <f t="shared" si="126"/>
        <v>4666.6666666665114</v>
      </c>
      <c r="U2657" s="52"/>
      <c r="V2657" s="34"/>
      <c r="W2657" s="408"/>
    </row>
    <row r="2658" spans="1:23" ht="12.75" customHeight="1" x14ac:dyDescent="0.2">
      <c r="A2658" s="257">
        <v>2652</v>
      </c>
      <c r="B2658" s="44">
        <v>44576</v>
      </c>
      <c r="C2658" s="44">
        <f t="shared" si="125"/>
        <v>44576</v>
      </c>
      <c r="D2658" s="374">
        <v>138</v>
      </c>
      <c r="E2658" s="291" t="str">
        <f>IFERROR(VLOOKUP($D2658,'Clients-Live'!$A:$C,3,0),"")</f>
        <v>BEATRICE AMANDRU</v>
      </c>
      <c r="F2658" s="291">
        <f>IFERROR(INDEX(Disbursements!$D:$D,MATCH('Live Collections'!G2658,Disbursements!$C:$C,0)),"")</f>
        <v>3</v>
      </c>
      <c r="G2658" s="34">
        <v>371</v>
      </c>
      <c r="H2658" s="34">
        <v>4269</v>
      </c>
      <c r="I2658" s="34" t="s">
        <v>1357</v>
      </c>
      <c r="J2658" s="48"/>
      <c r="K2658" s="48"/>
      <c r="L2658" s="48"/>
      <c r="M2658" s="48"/>
      <c r="N2658" s="59"/>
      <c r="O2658" s="59">
        <v>300000</v>
      </c>
      <c r="P2658" s="59"/>
      <c r="Q2658" s="268">
        <f t="shared" si="124"/>
        <v>300000</v>
      </c>
      <c r="R2658" s="61">
        <f>IF(O2658=0,0,SUMIFS(Disbursements!$T:$T,Disbursements!$B:$B,'Live Collections'!D2658,Disbursements!$D:$D,'Live Collections'!F2658))</f>
        <v>330000</v>
      </c>
      <c r="S2658" s="304">
        <v>60000</v>
      </c>
      <c r="T2658" s="304">
        <f t="shared" si="126"/>
        <v>240000</v>
      </c>
      <c r="U2658" s="52"/>
      <c r="V2658" s="34"/>
      <c r="W2658" s="408"/>
    </row>
    <row r="2659" spans="1:23" ht="12.75" customHeight="1" x14ac:dyDescent="0.2">
      <c r="A2659" s="257">
        <v>2661</v>
      </c>
      <c r="B2659" s="44">
        <v>44576</v>
      </c>
      <c r="C2659" s="44">
        <f t="shared" si="125"/>
        <v>44576</v>
      </c>
      <c r="D2659" s="374">
        <v>222</v>
      </c>
      <c r="E2659" s="291" t="str">
        <f>IFERROR(VLOOKUP($D2659,'Clients-Live'!$A:$C,3,0),"")</f>
        <v>ITITU ZAIDA</v>
      </c>
      <c r="F2659" s="291">
        <f>IFERROR(INDEX(Disbursements!$D:$D,MATCH('Live Collections'!G2659,Disbursements!$C:$C,0)),"")</f>
        <v>1</v>
      </c>
      <c r="G2659" s="34">
        <v>249</v>
      </c>
      <c r="H2659" s="34">
        <v>4341</v>
      </c>
      <c r="I2659" s="34" t="s">
        <v>1358</v>
      </c>
      <c r="J2659" s="48"/>
      <c r="K2659" s="48"/>
      <c r="L2659" s="48"/>
      <c r="M2659" s="48"/>
      <c r="N2659" s="59"/>
      <c r="O2659" s="59">
        <v>30000</v>
      </c>
      <c r="P2659" s="59"/>
      <c r="Q2659" s="268">
        <f t="shared" si="124"/>
        <v>30000</v>
      </c>
      <c r="R2659" s="61">
        <f>IF(O2659=0,0,SUMIFS(Disbursements!$T:$T,Disbursements!$B:$B,'Live Collections'!D2659,Disbursements!$D:$D,'Live Collections'!F2659))</f>
        <v>180000</v>
      </c>
      <c r="S2659" s="304">
        <f>IF(O2659&lt;=IF($O2659=0,0,SUMIFS(Disbursements!$W:$W,Disbursements!$B:$B,'Live Collections'!D2617,Disbursements!$D:$D,'Live Collections'!F2617)),O2659,IF($O2659=0,0,SUMIFS(Disbursements!$W:$W,Disbursements!$B:$B,'Live Collections'!D2617,Disbursements!$D:$D,'Live Collections'!F2617)))</f>
        <v>30000</v>
      </c>
      <c r="T2659" s="304">
        <f t="shared" si="126"/>
        <v>0</v>
      </c>
      <c r="U2659" s="52"/>
      <c r="V2659" s="34"/>
      <c r="W2659" s="408"/>
    </row>
    <row r="2660" spans="1:23" ht="12.75" customHeight="1" x14ac:dyDescent="0.2">
      <c r="A2660" s="257">
        <v>2650</v>
      </c>
      <c r="B2660" s="44">
        <v>44576</v>
      </c>
      <c r="C2660" s="44">
        <f t="shared" si="125"/>
        <v>44576</v>
      </c>
      <c r="D2660" s="374">
        <v>248</v>
      </c>
      <c r="E2660" s="291" t="str">
        <f>IFERROR(VLOOKUP($D2660,'Clients-Live'!$A:$C,3,0),"")</f>
        <v>LETARU GLORIA</v>
      </c>
      <c r="F2660" s="291">
        <f>IFERROR(INDEX(Disbursements!$D:$D,MATCH('Live Collections'!G2660,Disbursements!$C:$C,0)),"")</f>
        <v>1</v>
      </c>
      <c r="G2660" s="34">
        <v>268</v>
      </c>
      <c r="H2660" s="34">
        <v>4270</v>
      </c>
      <c r="I2660" s="34" t="s">
        <v>1359</v>
      </c>
      <c r="J2660" s="48"/>
      <c r="K2660" s="48"/>
      <c r="L2660" s="48"/>
      <c r="M2660" s="48"/>
      <c r="N2660" s="59"/>
      <c r="O2660" s="59">
        <v>400000</v>
      </c>
      <c r="P2660" s="59"/>
      <c r="Q2660" s="268">
        <f t="shared" si="124"/>
        <v>400000</v>
      </c>
      <c r="R2660" s="61">
        <f>IF(O2660=0,0,SUMIFS(Disbursements!$T:$T,Disbursements!$B:$B,'Live Collections'!D2660,Disbursements!$D:$D,'Live Collections'!F2660))</f>
        <v>1225000</v>
      </c>
      <c r="S2660" s="304">
        <f>IF(O2660&lt;=IF($O2660=0,0,SUMIFS(Disbursements!$W:$W,Disbursements!$B:$B,'Live Collections'!D2803,Disbursements!$D:$D,'Live Collections'!F2803)),O2660,IF($O2660=0,0,SUMIFS(Disbursements!$W:$W,Disbursements!$B:$B,'Live Collections'!D2803,Disbursements!$D:$D,'Live Collections'!F2803)))</f>
        <v>75000</v>
      </c>
      <c r="T2660" s="304">
        <f t="shared" si="126"/>
        <v>325000</v>
      </c>
      <c r="U2660" s="52"/>
      <c r="V2660" s="34"/>
      <c r="W2660" s="408"/>
    </row>
    <row r="2661" spans="1:23" ht="12.75" customHeight="1" x14ac:dyDescent="0.2">
      <c r="A2661" s="257">
        <v>2662</v>
      </c>
      <c r="B2661" s="44">
        <v>44576</v>
      </c>
      <c r="C2661" s="44">
        <f t="shared" si="125"/>
        <v>44576</v>
      </c>
      <c r="D2661" s="374">
        <v>250</v>
      </c>
      <c r="E2661" s="291" t="str">
        <f>IFERROR(VLOOKUP($D2661,'Clients-Live'!$A:$C,3,0),"")</f>
        <v>SAKAYA AMINA</v>
      </c>
      <c r="F2661" s="291">
        <f>IFERROR(INDEX(Disbursements!$D:$D,MATCH('Live Collections'!G2661,Disbursements!$C:$C,0)),"")</f>
        <v>2</v>
      </c>
      <c r="G2661" s="34">
        <v>374</v>
      </c>
      <c r="H2661" s="34">
        <v>4271</v>
      </c>
      <c r="I2661" s="34" t="s">
        <v>1357</v>
      </c>
      <c r="J2661" s="48"/>
      <c r="K2661" s="48"/>
      <c r="L2661" s="48"/>
      <c r="M2661" s="48"/>
      <c r="N2661" s="59"/>
      <c r="O2661" s="59">
        <v>120000</v>
      </c>
      <c r="P2661" s="59"/>
      <c r="Q2661" s="268">
        <f t="shared" si="124"/>
        <v>120000</v>
      </c>
      <c r="R2661" s="61">
        <f>IF(O2661=0,0,SUMIFS(Disbursements!$T:$T,Disbursements!$B:$B,'Live Collections'!D2661,Disbursements!$D:$D,'Live Collections'!F2661))</f>
        <v>120000</v>
      </c>
      <c r="S2661" s="304">
        <f>IF(O2661&lt;=IF($O2661=0,0,SUMIFS(Disbursements!$W:$W,Disbursements!$B:$B,'Live Collections'!D2818,Disbursements!$D:$D,'Live Collections'!F2818)),O2661,IF($O2661=0,0,SUMIFS(Disbursements!$W:$W,Disbursements!$B:$B,'Live Collections'!D2818,Disbursements!$D:$D,'Live Collections'!F2818)))</f>
        <v>0</v>
      </c>
      <c r="T2661" s="304">
        <f t="shared" si="126"/>
        <v>120000</v>
      </c>
      <c r="U2661" s="52"/>
      <c r="V2661" s="34"/>
      <c r="W2661" s="408"/>
    </row>
    <row r="2662" spans="1:23" ht="12.75" customHeight="1" x14ac:dyDescent="0.2">
      <c r="A2662" s="257">
        <v>2660</v>
      </c>
      <c r="B2662" s="44">
        <v>44576</v>
      </c>
      <c r="C2662" s="44">
        <f t="shared" si="125"/>
        <v>44576</v>
      </c>
      <c r="D2662" s="374">
        <v>295</v>
      </c>
      <c r="E2662" s="291" t="str">
        <f>IFERROR(VLOOKUP($D2662,'Clients-Live'!$A:$C,3,0),"")</f>
        <v>ABIYO RICHARD ENAKU</v>
      </c>
      <c r="F2662" s="291">
        <f>IFERROR(INDEX(Disbursements!$D:$D,MATCH('Live Collections'!G2662,Disbursements!$C:$C,0)),"")</f>
        <v>1</v>
      </c>
      <c r="G2662" s="34">
        <v>377</v>
      </c>
      <c r="H2662" s="34">
        <v>4334</v>
      </c>
      <c r="I2662" s="34" t="s">
        <v>1359</v>
      </c>
      <c r="J2662" s="48"/>
      <c r="K2662" s="48"/>
      <c r="L2662" s="48"/>
      <c r="M2662" s="48"/>
      <c r="N2662" s="59"/>
      <c r="O2662" s="59">
        <v>217000</v>
      </c>
      <c r="P2662" s="59"/>
      <c r="Q2662" s="268">
        <f t="shared" si="124"/>
        <v>217000</v>
      </c>
      <c r="R2662" s="61">
        <f>IF(O2662=0,0,SUMIFS(Disbursements!$T:$T,Disbursements!$B:$B,'Live Collections'!D2662,Disbursements!$D:$D,'Live Collections'!F2662))</f>
        <v>217000</v>
      </c>
      <c r="S2662" s="304">
        <f>IF(O2662&lt;=IF($O2662=0,0,SUMIFS(Disbursements!$W:$W,Disbursements!$B:$B,'Live Collections'!D3064,Disbursements!$D:$D,'Live Collections'!F3064)),O2662,IF($O2662=0,0,SUMIFS(Disbursements!$W:$W,Disbursements!$B:$B,'Live Collections'!D3064,Disbursements!$D:$D,'Live Collections'!F3064)))</f>
        <v>35000</v>
      </c>
      <c r="T2662" s="304">
        <f t="shared" si="126"/>
        <v>182000</v>
      </c>
      <c r="U2662" s="52"/>
      <c r="V2662" s="34"/>
      <c r="W2662" s="408"/>
    </row>
    <row r="2663" spans="1:23" ht="12.75" customHeight="1" x14ac:dyDescent="0.2">
      <c r="A2663" s="257">
        <v>2651</v>
      </c>
      <c r="B2663" s="44">
        <v>44576</v>
      </c>
      <c r="C2663" s="44">
        <f t="shared" si="125"/>
        <v>44576</v>
      </c>
      <c r="D2663" s="374">
        <v>301</v>
      </c>
      <c r="E2663" s="291" t="str">
        <f>IFERROR(VLOOKUP($D2663,'Clients-Live'!$A:$C,3,0),"")</f>
        <v>MAYANJA DAVID</v>
      </c>
      <c r="F2663" s="291">
        <f>IFERROR(INDEX(Disbursements!$D:$D,MATCH('Live Collections'!G2663,Disbursements!$C:$C,0)),"")</f>
        <v>1</v>
      </c>
      <c r="G2663" s="34">
        <v>372</v>
      </c>
      <c r="H2663" s="34">
        <v>4340</v>
      </c>
      <c r="I2663" s="34" t="s">
        <v>1359</v>
      </c>
      <c r="J2663" s="48"/>
      <c r="K2663" s="48"/>
      <c r="L2663" s="48"/>
      <c r="M2663" s="48"/>
      <c r="N2663" s="59"/>
      <c r="O2663" s="59">
        <v>325000</v>
      </c>
      <c r="P2663" s="59"/>
      <c r="Q2663" s="268">
        <f t="shared" si="124"/>
        <v>325000</v>
      </c>
      <c r="R2663" s="61">
        <f>IF(O2663=0,0,SUMIFS(Disbursements!$T:$T,Disbursements!$B:$B,'Live Collections'!D2663,Disbursements!$D:$D,'Live Collections'!F2663))</f>
        <v>325000</v>
      </c>
      <c r="S2663" s="304">
        <f>IF(O2663&lt;=IF($O2663=0,0,SUMIFS(Disbursements!$W:$W,Disbursements!$B:$B,'Live Collections'!D3082,Disbursements!$D:$D,'Live Collections'!F3082)),O2663,IF($O2663=0,0,SUMIFS(Disbursements!$W:$W,Disbursements!$B:$B,'Live Collections'!D3082,Disbursements!$D:$D,'Live Collections'!F3082)))</f>
        <v>100000</v>
      </c>
      <c r="T2663" s="304">
        <f t="shared" si="126"/>
        <v>225000</v>
      </c>
      <c r="U2663" s="52"/>
      <c r="V2663" s="34"/>
      <c r="W2663" s="408"/>
    </row>
    <row r="2664" spans="1:23" ht="12.75" customHeight="1" x14ac:dyDescent="0.2">
      <c r="A2664" s="257">
        <v>2690</v>
      </c>
      <c r="B2664" s="44">
        <v>44578</v>
      </c>
      <c r="C2664" s="44">
        <f t="shared" si="125"/>
        <v>44578</v>
      </c>
      <c r="D2664" s="374">
        <v>31</v>
      </c>
      <c r="E2664" s="291" t="str">
        <f>IFERROR(VLOOKUP($D2664,'Clients-Live'!$A:$C,3,0),"")</f>
        <v>MUNDURU HARRIET</v>
      </c>
      <c r="F2664" s="291">
        <f>IFERROR(INDEX(Disbursements!$D:$D,MATCH('Live Collections'!G2664,Disbursements!$C:$C,0)),"")</f>
        <v>2</v>
      </c>
      <c r="G2664" s="34">
        <v>260</v>
      </c>
      <c r="H2664" s="34">
        <v>4293</v>
      </c>
      <c r="I2664" s="34" t="s">
        <v>1357</v>
      </c>
      <c r="J2664" s="48"/>
      <c r="K2664" s="48"/>
      <c r="L2664" s="48"/>
      <c r="M2664" s="48"/>
      <c r="N2664" s="59"/>
      <c r="O2664" s="59">
        <v>20000</v>
      </c>
      <c r="P2664" s="59"/>
      <c r="Q2664" s="268">
        <f t="shared" si="124"/>
        <v>20000</v>
      </c>
      <c r="R2664" s="61">
        <f>IF(O2664=0,0,SUMIFS(Disbursements!$T:$T,Disbursements!$B:$B,'Live Collections'!D2664,Disbursements!$D:$D,'Live Collections'!F2664))</f>
        <v>150000</v>
      </c>
      <c r="S2664" s="304"/>
      <c r="T2664" s="304">
        <f t="shared" si="126"/>
        <v>20000</v>
      </c>
      <c r="U2664" s="52"/>
      <c r="V2664" s="34"/>
      <c r="W2664" s="408"/>
    </row>
    <row r="2665" spans="1:23" ht="12.75" customHeight="1" x14ac:dyDescent="0.2">
      <c r="A2665" s="257">
        <v>2686</v>
      </c>
      <c r="B2665" s="44">
        <v>44578</v>
      </c>
      <c r="C2665" s="44">
        <f t="shared" si="125"/>
        <v>44578</v>
      </c>
      <c r="D2665" s="374">
        <v>34</v>
      </c>
      <c r="E2665" s="291" t="str">
        <f>IFERROR(VLOOKUP($D2665,'Clients-Live'!$A:$C,3,0),"")</f>
        <v>APEKURU FLORENCE</v>
      </c>
      <c r="F2665" s="291">
        <f>IFERROR(INDEX(Disbursements!$D:$D,MATCH('Live Collections'!G2665,Disbursements!$C:$C,0)),"")</f>
        <v>2</v>
      </c>
      <c r="G2665" s="34">
        <v>283</v>
      </c>
      <c r="H2665" s="34">
        <v>4272</v>
      </c>
      <c r="I2665" s="34" t="s">
        <v>1359</v>
      </c>
      <c r="J2665" s="48"/>
      <c r="K2665" s="48"/>
      <c r="L2665" s="48"/>
      <c r="M2665" s="48"/>
      <c r="N2665" s="59"/>
      <c r="O2665" s="59">
        <v>25000</v>
      </c>
      <c r="P2665" s="59"/>
      <c r="Q2665" s="268">
        <f t="shared" si="124"/>
        <v>25000</v>
      </c>
      <c r="R2665" s="61">
        <f>IF(O2665=0,0,SUMIFS(Disbursements!$T:$T,Disbursements!$B:$B,'Live Collections'!D2665,Disbursements!$D:$D,'Live Collections'!F2665))</f>
        <v>103000</v>
      </c>
      <c r="S2665" s="304"/>
      <c r="T2665" s="304">
        <f t="shared" si="126"/>
        <v>25000</v>
      </c>
      <c r="U2665" s="52"/>
      <c r="V2665" s="34"/>
      <c r="W2665" s="408"/>
    </row>
    <row r="2666" spans="1:23" ht="12.75" customHeight="1" x14ac:dyDescent="0.2">
      <c r="A2666" s="257">
        <v>2687</v>
      </c>
      <c r="B2666" s="44">
        <v>44578</v>
      </c>
      <c r="C2666" s="44">
        <f t="shared" si="125"/>
        <v>44578</v>
      </c>
      <c r="D2666" s="374">
        <v>34</v>
      </c>
      <c r="E2666" s="291" t="str">
        <f>IFERROR(VLOOKUP($D2666,'Clients-Live'!$A:$C,3,0),"")</f>
        <v>APEKURU FLORENCE</v>
      </c>
      <c r="F2666" s="291">
        <f>IFERROR(INDEX(Disbursements!$D:$D,MATCH('Live Collections'!G2666,Disbursements!$C:$C,0)),"")</f>
        <v>2</v>
      </c>
      <c r="G2666" s="34">
        <v>283</v>
      </c>
      <c r="H2666" s="34">
        <v>590</v>
      </c>
      <c r="I2666" s="34" t="s">
        <v>1359</v>
      </c>
      <c r="J2666" s="48"/>
      <c r="K2666" s="48"/>
      <c r="L2666" s="48"/>
      <c r="M2666" s="48"/>
      <c r="N2666" s="59"/>
      <c r="O2666" s="59"/>
      <c r="P2666" s="59">
        <v>-25000</v>
      </c>
      <c r="Q2666" s="268">
        <f t="shared" si="124"/>
        <v>-25000</v>
      </c>
      <c r="R2666" s="61">
        <f>IF(O2666=0,0,SUMIFS(Disbursements!$T:$T,Disbursements!$B:$B,'Live Collections'!D2666,Disbursements!$D:$D,'Live Collections'!F2666))</f>
        <v>0</v>
      </c>
      <c r="S2666" s="304">
        <f>IF(O2666&lt;=IF($O2666=0,0,SUMIFS(Disbursements!$W:$W,Disbursements!$B:$B,'Live Collections'!D401,Disbursements!$D:$D,'Live Collections'!F401)),O2666,IF($O2666=0,0,SUMIFS(Disbursements!$W:$W,Disbursements!$B:$B,'Live Collections'!D401,Disbursements!$D:$D,'Live Collections'!F401)))</f>
        <v>0</v>
      </c>
      <c r="T2666" s="304">
        <f t="shared" si="126"/>
        <v>0</v>
      </c>
      <c r="U2666" s="52"/>
      <c r="V2666" s="34"/>
      <c r="W2666" s="408"/>
    </row>
    <row r="2667" spans="1:23" ht="12.75" customHeight="1" x14ac:dyDescent="0.2">
      <c r="A2667" s="257">
        <v>2688</v>
      </c>
      <c r="B2667" s="44">
        <v>44578</v>
      </c>
      <c r="C2667" s="44">
        <f t="shared" si="125"/>
        <v>44578</v>
      </c>
      <c r="D2667" s="374">
        <v>34</v>
      </c>
      <c r="E2667" s="291" t="str">
        <f>IFERROR(VLOOKUP($D2667,'Clients-Live'!$A:$C,3,0),"")</f>
        <v>APEKURU FLORENCE</v>
      </c>
      <c r="F2667" s="291">
        <f>IFERROR(INDEX(Disbursements!$D:$D,MATCH('Live Collections'!G2667,Disbursements!$C:$C,0)),"")</f>
        <v>2</v>
      </c>
      <c r="G2667" s="34">
        <v>283</v>
      </c>
      <c r="H2667" s="34">
        <v>4343</v>
      </c>
      <c r="I2667" s="34" t="s">
        <v>1359</v>
      </c>
      <c r="J2667" s="48"/>
      <c r="K2667" s="48"/>
      <c r="L2667" s="48"/>
      <c r="M2667" s="48"/>
      <c r="N2667" s="59"/>
      <c r="O2667" s="59">
        <v>56300</v>
      </c>
      <c r="P2667" s="59"/>
      <c r="Q2667" s="268">
        <f t="shared" si="124"/>
        <v>56300</v>
      </c>
      <c r="R2667" s="61">
        <f>IF(O2667=0,0,SUMIFS(Disbursements!$T:$T,Disbursements!$B:$B,'Live Collections'!D2667,Disbursements!$D:$D,'Live Collections'!F2667))</f>
        <v>103000</v>
      </c>
      <c r="S2667" s="64">
        <v>-999.99999999998545</v>
      </c>
      <c r="T2667" s="304">
        <f t="shared" si="126"/>
        <v>57299.999999999985</v>
      </c>
      <c r="U2667" s="52"/>
      <c r="V2667" s="34"/>
      <c r="W2667" s="408" t="s">
        <v>2086</v>
      </c>
    </row>
    <row r="2668" spans="1:23" ht="12.75" customHeight="1" x14ac:dyDescent="0.2">
      <c r="A2668" s="257">
        <v>2670</v>
      </c>
      <c r="B2668" s="44">
        <v>44578</v>
      </c>
      <c r="C2668" s="44">
        <f t="shared" si="125"/>
        <v>44578</v>
      </c>
      <c r="D2668" s="374">
        <v>44</v>
      </c>
      <c r="E2668" s="291" t="str">
        <f>IFERROR(VLOOKUP($D2668,'Clients-Live'!$A:$C,3,0),"")</f>
        <v>CANDIRU HELLEN</v>
      </c>
      <c r="F2668" s="291">
        <f>IFERROR(INDEX(Disbursements!$D:$D,MATCH('Live Collections'!G2668,Disbursements!$C:$C,0)),"")</f>
        <v>3</v>
      </c>
      <c r="G2668" s="34">
        <v>362</v>
      </c>
      <c r="H2668" s="34">
        <v>4286</v>
      </c>
      <c r="I2668" s="34" t="s">
        <v>1358</v>
      </c>
      <c r="J2668" s="48"/>
      <c r="K2668" s="48"/>
      <c r="L2668" s="48"/>
      <c r="M2668" s="48"/>
      <c r="N2668" s="59"/>
      <c r="O2668" s="59">
        <v>125000</v>
      </c>
      <c r="P2668" s="59"/>
      <c r="Q2668" s="268">
        <f t="shared" si="124"/>
        <v>125000</v>
      </c>
      <c r="R2668" s="61">
        <f>IF(O2668=0,0,SUMIFS(Disbursements!$T:$T,Disbursements!$B:$B,'Live Collections'!D2668,Disbursements!$D:$D,'Live Collections'!F2668))</f>
        <v>325000</v>
      </c>
      <c r="S2668" s="304"/>
      <c r="T2668" s="304">
        <f t="shared" si="126"/>
        <v>125000</v>
      </c>
      <c r="U2668" s="52"/>
      <c r="V2668" s="34"/>
      <c r="W2668" s="408"/>
    </row>
    <row r="2669" spans="1:23" ht="12.75" customHeight="1" x14ac:dyDescent="0.2">
      <c r="A2669" s="257">
        <v>2682</v>
      </c>
      <c r="B2669" s="44">
        <v>44578</v>
      </c>
      <c r="C2669" s="44">
        <f t="shared" si="125"/>
        <v>44578</v>
      </c>
      <c r="D2669" s="374">
        <v>63</v>
      </c>
      <c r="E2669" s="291" t="str">
        <f>IFERROR(VLOOKUP($D2669,'Clients-Live'!$A:$C,3,0),"")</f>
        <v>AWURU KADARA</v>
      </c>
      <c r="F2669" s="291">
        <f>IFERROR(INDEX(Disbursements!$D:$D,MATCH('Live Collections'!G2669,Disbursements!$C:$C,0)),"")</f>
        <v>3</v>
      </c>
      <c r="G2669" s="34">
        <v>375</v>
      </c>
      <c r="H2669" s="34">
        <v>4276</v>
      </c>
      <c r="I2669" s="34" t="s">
        <v>1357</v>
      </c>
      <c r="J2669" s="48"/>
      <c r="K2669" s="48"/>
      <c r="L2669" s="48"/>
      <c r="M2669" s="48"/>
      <c r="N2669" s="59"/>
      <c r="O2669" s="59">
        <v>180000</v>
      </c>
      <c r="P2669" s="59"/>
      <c r="Q2669" s="268">
        <f t="shared" si="124"/>
        <v>180000</v>
      </c>
      <c r="R2669" s="61">
        <f>IF(O2669=0,0,SUMIFS(Disbursements!$T:$T,Disbursements!$B:$B,'Live Collections'!D2669,Disbursements!$D:$D,'Live Collections'!F2669))</f>
        <v>175000</v>
      </c>
      <c r="S2669" s="304">
        <f>IF(O2669&lt;=IF($O2669=0,0,SUMIFS(Disbursements!$W:$W,Disbursements!$B:$B,'Live Collections'!D766,Disbursements!$D:$D,'Live Collections'!F766)),O2669,IF($O2669=0,0,SUMIFS(Disbursements!$W:$W,Disbursements!$B:$B,'Live Collections'!D766,Disbursements!$D:$D,'Live Collections'!F766)))</f>
        <v>23000</v>
      </c>
      <c r="T2669" s="304">
        <f t="shared" si="126"/>
        <v>157000</v>
      </c>
      <c r="U2669" s="52"/>
      <c r="V2669" s="34"/>
      <c r="W2669" s="408"/>
    </row>
    <row r="2670" spans="1:23" ht="12.75" customHeight="1" x14ac:dyDescent="0.2">
      <c r="A2670" s="257">
        <v>2665</v>
      </c>
      <c r="B2670" s="44">
        <v>44578</v>
      </c>
      <c r="C2670" s="44">
        <f t="shared" si="125"/>
        <v>44578</v>
      </c>
      <c r="D2670" s="374">
        <v>69</v>
      </c>
      <c r="E2670" s="291" t="str">
        <f>IFERROR(VLOOKUP($D2670,'Clients-Live'!$A:$C,3,0),"")</f>
        <v>SADIA JOYCE</v>
      </c>
      <c r="F2670" s="291">
        <f>IFERROR(INDEX(Disbursements!$D:$D,MATCH('Live Collections'!G2670,Disbursements!$C:$C,0)),"")</f>
        <v>3</v>
      </c>
      <c r="G2670" s="34">
        <v>411</v>
      </c>
      <c r="H2670" s="34">
        <v>4279</v>
      </c>
      <c r="I2670" s="34" t="s">
        <v>1359</v>
      </c>
      <c r="J2670" s="48"/>
      <c r="K2670" s="48"/>
      <c r="L2670" s="48"/>
      <c r="M2670" s="48"/>
      <c r="N2670" s="59"/>
      <c r="O2670" s="59"/>
      <c r="P2670" s="59">
        <v>60000</v>
      </c>
      <c r="Q2670" s="268">
        <f t="shared" si="124"/>
        <v>60000</v>
      </c>
      <c r="R2670" s="61">
        <f>IF(O2670=0,0,SUMIFS(Disbursements!$T:$T,Disbursements!$B:$B,'Live Collections'!D2670,Disbursements!$D:$D,'Live Collections'!F2670))</f>
        <v>0</v>
      </c>
      <c r="S2670" s="304">
        <f>IF(O2670&lt;=IF($O2670=0,0,SUMIFS(Disbursements!$W:$W,Disbursements!$B:$B,'Live Collections'!D865,Disbursements!$D:$D,'Live Collections'!F865)),O2670,IF($O2670=0,0,SUMIFS(Disbursements!$W:$W,Disbursements!$B:$B,'Live Collections'!D865,Disbursements!$D:$D,'Live Collections'!F865)))</f>
        <v>0</v>
      </c>
      <c r="T2670" s="304">
        <f t="shared" si="126"/>
        <v>0</v>
      </c>
      <c r="U2670" s="52"/>
      <c r="V2670" s="34"/>
      <c r="W2670" s="408"/>
    </row>
    <row r="2671" spans="1:23" ht="12.75" customHeight="1" x14ac:dyDescent="0.2">
      <c r="A2671" s="257">
        <v>2666</v>
      </c>
      <c r="B2671" s="44">
        <v>44578</v>
      </c>
      <c r="C2671" s="44">
        <f t="shared" si="125"/>
        <v>44578</v>
      </c>
      <c r="D2671" s="374">
        <v>69</v>
      </c>
      <c r="E2671" s="291" t="str">
        <f>IFERROR(VLOOKUP($D2671,'Clients-Live'!$A:$C,3,0),"")</f>
        <v>SADIA JOYCE</v>
      </c>
      <c r="F2671" s="291" t="str">
        <f>IFERROR(INDEX(Disbursements!$D:$D,MATCH('Live Collections'!G2671,Disbursements!$C:$C,0)),"")</f>
        <v/>
      </c>
      <c r="G2671" s="34"/>
      <c r="H2671" s="34">
        <v>4291</v>
      </c>
      <c r="I2671" s="34" t="s">
        <v>1359</v>
      </c>
      <c r="J2671" s="48"/>
      <c r="K2671" s="48"/>
      <c r="L2671" s="48">
        <v>20000</v>
      </c>
      <c r="M2671" s="48">
        <v>5000</v>
      </c>
      <c r="N2671" s="59"/>
      <c r="O2671" s="59"/>
      <c r="P2671" s="59"/>
      <c r="Q2671" s="268">
        <f t="shared" si="124"/>
        <v>25000</v>
      </c>
      <c r="R2671" s="61">
        <f>IF(O2671=0,0,SUMIFS(Disbursements!$T:$T,Disbursements!$B:$B,'Live Collections'!D2671,Disbursements!$D:$D,'Live Collections'!F2671))</f>
        <v>0</v>
      </c>
      <c r="S2671" s="304">
        <f>IF(O2671&lt;=IF($O2671=0,0,SUMIFS(Disbursements!$W:$W,Disbursements!$B:$B,'Live Collections'!D866,Disbursements!$D:$D,'Live Collections'!F866)),O2671,IF($O2671=0,0,SUMIFS(Disbursements!$W:$W,Disbursements!$B:$B,'Live Collections'!D866,Disbursements!$D:$D,'Live Collections'!F866)))</f>
        <v>0</v>
      </c>
      <c r="T2671" s="304">
        <f t="shared" si="126"/>
        <v>0</v>
      </c>
      <c r="U2671" s="52"/>
      <c r="V2671" s="34"/>
      <c r="W2671" s="408"/>
    </row>
    <row r="2672" spans="1:23" ht="12.75" customHeight="1" x14ac:dyDescent="0.2">
      <c r="A2672" s="257">
        <v>2671</v>
      </c>
      <c r="B2672" s="44">
        <v>44578</v>
      </c>
      <c r="C2672" s="44">
        <f t="shared" si="125"/>
        <v>44578</v>
      </c>
      <c r="D2672" s="374">
        <v>88</v>
      </c>
      <c r="E2672" s="291" t="str">
        <f>IFERROR(VLOOKUP($D2672,'Clients-Live'!$A:$C,3,0),"")</f>
        <v>FAIDA HARRIET</v>
      </c>
      <c r="F2672" s="291">
        <f>IFERROR(INDEX(Disbursements!$D:$D,MATCH('Live Collections'!G2672,Disbursements!$C:$C,0)),"")</f>
        <v>3</v>
      </c>
      <c r="G2672" s="34">
        <v>380</v>
      </c>
      <c r="H2672" s="34">
        <v>4288</v>
      </c>
      <c r="I2672" s="34" t="s">
        <v>1357</v>
      </c>
      <c r="J2672" s="48"/>
      <c r="K2672" s="48"/>
      <c r="L2672" s="48"/>
      <c r="M2672" s="48"/>
      <c r="N2672" s="59"/>
      <c r="O2672" s="59">
        <v>30000</v>
      </c>
      <c r="P2672" s="59"/>
      <c r="Q2672" s="268">
        <f t="shared" ref="Q2672:Q2694" si="127">SUM(J2672:P2672)</f>
        <v>30000</v>
      </c>
      <c r="R2672" s="61">
        <f>IF(O2672=0,0,SUMIFS(Disbursements!$T:$T,Disbursements!$B:$B,'Live Collections'!D2672,Disbursements!$D:$D,'Live Collections'!F2672))</f>
        <v>90000</v>
      </c>
      <c r="S2672" s="304">
        <f>IF(O2672&lt;=IF($O2672=0,0,SUMIFS(Disbursements!$W:$W,Disbursements!$B:$B,'Live Collections'!D1150,Disbursements!$D:$D,'Live Collections'!F1150)),O2672,IF($O2672=0,0,SUMIFS(Disbursements!$W:$W,Disbursements!$B:$B,'Live Collections'!D1150,Disbursements!$D:$D,'Live Collections'!F1150)))</f>
        <v>30000</v>
      </c>
      <c r="T2672" s="304">
        <f t="shared" si="126"/>
        <v>0</v>
      </c>
      <c r="U2672" s="52"/>
      <c r="V2672" s="34"/>
      <c r="W2672" s="408"/>
    </row>
    <row r="2673" spans="1:23" ht="12.75" customHeight="1" x14ac:dyDescent="0.2">
      <c r="A2673" s="257">
        <v>2684</v>
      </c>
      <c r="B2673" s="44">
        <v>44578</v>
      </c>
      <c r="C2673" s="44">
        <f t="shared" si="125"/>
        <v>44578</v>
      </c>
      <c r="D2673" s="374">
        <v>89</v>
      </c>
      <c r="E2673" s="291" t="str">
        <f>IFERROR(VLOOKUP($D2673,'Clients-Live'!$A:$C,3,0),"")</f>
        <v>ANDA FLORENCE</v>
      </c>
      <c r="F2673" s="291">
        <f>IFERROR(INDEX(Disbursements!$D:$D,MATCH('Live Collections'!G2673,Disbursements!$C:$C,0)),"")</f>
        <v>2</v>
      </c>
      <c r="G2673" s="34">
        <v>356</v>
      </c>
      <c r="H2673" s="34">
        <v>4273</v>
      </c>
      <c r="I2673" s="34" t="s">
        <v>1359</v>
      </c>
      <c r="J2673" s="48"/>
      <c r="K2673" s="48"/>
      <c r="L2673" s="48"/>
      <c r="M2673" s="48"/>
      <c r="N2673" s="59"/>
      <c r="O2673" s="59">
        <v>160000</v>
      </c>
      <c r="P2673" s="59"/>
      <c r="Q2673" s="268">
        <f t="shared" si="127"/>
        <v>160000</v>
      </c>
      <c r="R2673" s="61">
        <f>IF(O2673=0,0,SUMIFS(Disbursements!$T:$T,Disbursements!$B:$B,'Live Collections'!D2673,Disbursements!$D:$D,'Live Collections'!F2673))</f>
        <v>210000</v>
      </c>
      <c r="S2673" s="304">
        <f>IF(O2673&lt;=IF($O2673=0,0,SUMIFS(Disbursements!$W:$W,Disbursements!$B:$B,'Live Collections'!D1168,Disbursements!$D:$D,'Live Collections'!F1168)),O2673,IF($O2673=0,0,SUMIFS(Disbursements!$W:$W,Disbursements!$B:$B,'Live Collections'!D1168,Disbursements!$D:$D,'Live Collections'!F1168)))</f>
        <v>8000</v>
      </c>
      <c r="T2673" s="304">
        <f t="shared" si="126"/>
        <v>152000</v>
      </c>
      <c r="U2673" s="52"/>
      <c r="V2673" s="34"/>
      <c r="W2673" s="408"/>
    </row>
    <row r="2674" spans="1:23" ht="12.75" customHeight="1" x14ac:dyDescent="0.2">
      <c r="A2674" s="257">
        <v>2668</v>
      </c>
      <c r="B2674" s="44">
        <v>44578</v>
      </c>
      <c r="C2674" s="44">
        <f t="shared" si="125"/>
        <v>44578</v>
      </c>
      <c r="D2674" s="374">
        <v>98</v>
      </c>
      <c r="E2674" s="291" t="str">
        <f>IFERROR(VLOOKUP($D2674,'Clients-Live'!$A:$C,3,0),"")</f>
        <v>AMANIYO CLARA</v>
      </c>
      <c r="F2674" s="291">
        <f>IFERROR(INDEX(Disbursements!$D:$D,MATCH('Live Collections'!G2674,Disbursements!$C:$C,0)),"")</f>
        <v>2</v>
      </c>
      <c r="G2674" s="34">
        <v>232</v>
      </c>
      <c r="H2674" s="34">
        <v>4292</v>
      </c>
      <c r="I2674" s="34" t="s">
        <v>1358</v>
      </c>
      <c r="J2674" s="48"/>
      <c r="K2674" s="48"/>
      <c r="L2674" s="48"/>
      <c r="M2674" s="48"/>
      <c r="N2674" s="59"/>
      <c r="O2674" s="59">
        <v>150000</v>
      </c>
      <c r="P2674" s="59"/>
      <c r="Q2674" s="268">
        <f t="shared" si="127"/>
        <v>150000</v>
      </c>
      <c r="R2674" s="61">
        <f>IF(O2674=0,0,SUMIFS(Disbursements!$T:$T,Disbursements!$B:$B,'Live Collections'!D2674,Disbursements!$D:$D,'Live Collections'!F2674))</f>
        <v>175000</v>
      </c>
      <c r="S2674" s="304">
        <f>IF(O2674&lt;=IF($O2674=0,0,SUMIFS(Disbursements!$W:$W,Disbursements!$B:$B,'Live Collections'!D1273,Disbursements!$D:$D,'Live Collections'!F1273)),O2674,IF($O2674=0,0,SUMIFS(Disbursements!$W:$W,Disbursements!$B:$B,'Live Collections'!D1273,Disbursements!$D:$D,'Live Collections'!F1273)))</f>
        <v>40000</v>
      </c>
      <c r="T2674" s="304">
        <f t="shared" si="126"/>
        <v>110000</v>
      </c>
      <c r="U2674" s="52"/>
      <c r="V2674" s="34"/>
      <c r="W2674" s="408"/>
    </row>
    <row r="2675" spans="1:23" ht="12.75" customHeight="1" x14ac:dyDescent="0.2">
      <c r="A2675" s="257">
        <v>2681</v>
      </c>
      <c r="B2675" s="44">
        <v>44578</v>
      </c>
      <c r="C2675" s="44">
        <f t="shared" si="125"/>
        <v>44578</v>
      </c>
      <c r="D2675" s="374">
        <v>102</v>
      </c>
      <c r="E2675" s="291" t="str">
        <f>IFERROR(VLOOKUP($D2675,'Clients-Live'!$A:$C,3,0),"")</f>
        <v>BATALI GODFREY JOHN</v>
      </c>
      <c r="F2675" s="291">
        <f>IFERROR(INDEX(Disbursements!$D:$D,MATCH('Live Collections'!G2675,Disbursements!$C:$C,0)),"")</f>
        <v>2</v>
      </c>
      <c r="G2675" s="34">
        <v>382</v>
      </c>
      <c r="H2675" s="34">
        <v>4346</v>
      </c>
      <c r="I2675" s="34" t="s">
        <v>1357</v>
      </c>
      <c r="J2675" s="48"/>
      <c r="K2675" s="48"/>
      <c r="L2675" s="48"/>
      <c r="M2675" s="48"/>
      <c r="N2675" s="59"/>
      <c r="O2675" s="59">
        <v>40000</v>
      </c>
      <c r="P2675" s="59"/>
      <c r="Q2675" s="268">
        <f t="shared" si="127"/>
        <v>40000</v>
      </c>
      <c r="R2675" s="61">
        <f>IF(O2675=0,0,SUMIFS(Disbursements!$T:$T,Disbursements!$B:$B,'Live Collections'!D2675,Disbursements!$D:$D,'Live Collections'!F2675))</f>
        <v>83000</v>
      </c>
      <c r="S2675" s="304">
        <f>IF(O2675&lt;=IF($O2675=0,0,SUMIFS(Disbursements!$W:$W,Disbursements!$B:$B,'Live Collections'!D1674,Disbursements!$D:$D,'Live Collections'!F1674)),O2675,IF($O2675=0,0,SUMIFS(Disbursements!$W:$W,Disbursements!$B:$B,'Live Collections'!D1674,Disbursements!$D:$D,'Live Collections'!F1674)))</f>
        <v>0</v>
      </c>
      <c r="T2675" s="304">
        <f t="shared" si="126"/>
        <v>40000</v>
      </c>
      <c r="U2675" s="52"/>
      <c r="V2675" s="34"/>
      <c r="W2675" s="408"/>
    </row>
    <row r="2676" spans="1:23" ht="12.75" customHeight="1" x14ac:dyDescent="0.2">
      <c r="A2676" s="257">
        <v>2675</v>
      </c>
      <c r="B2676" s="44">
        <v>44578</v>
      </c>
      <c r="C2676" s="44">
        <f t="shared" si="125"/>
        <v>44578</v>
      </c>
      <c r="D2676" s="374">
        <v>128</v>
      </c>
      <c r="E2676" s="291" t="str">
        <f>IFERROR(VLOOKUP($D2676,'Clients-Live'!$A:$C,3,0),"")</f>
        <v>AJONYE BETTY</v>
      </c>
      <c r="F2676" s="291">
        <f>IFERROR(INDEX(Disbursements!$D:$D,MATCH('Live Collections'!G2676,Disbursements!$C:$C,0)),"")</f>
        <v>2</v>
      </c>
      <c r="G2676" s="34">
        <v>289</v>
      </c>
      <c r="H2676" s="34">
        <v>4284</v>
      </c>
      <c r="I2676" s="34" t="s">
        <v>1359</v>
      </c>
      <c r="J2676" s="48"/>
      <c r="K2676" s="48"/>
      <c r="L2676" s="48"/>
      <c r="M2676" s="48"/>
      <c r="N2676" s="59"/>
      <c r="O2676" s="59">
        <v>50000</v>
      </c>
      <c r="P2676" s="59"/>
      <c r="Q2676" s="268">
        <f t="shared" si="127"/>
        <v>50000</v>
      </c>
      <c r="R2676" s="61">
        <f>IF(O2676=0,0,SUMIFS(Disbursements!$T:$T,Disbursements!$B:$B,'Live Collections'!D2676,Disbursements!$D:$D,'Live Collections'!F2676))</f>
        <v>120000</v>
      </c>
      <c r="S2676" s="304">
        <f>IF(O2676&lt;=IF($O2676=0,0,SUMIFS(Disbursements!$W:$W,Disbursements!$B:$B,'Live Collections'!D1628,Disbursements!$D:$D,'Live Collections'!F1628)),O2676,IF($O2676=0,0,SUMIFS(Disbursements!$W:$W,Disbursements!$B:$B,'Live Collections'!D1628,Disbursements!$D:$D,'Live Collections'!F1628)))</f>
        <v>9000</v>
      </c>
      <c r="T2676" s="304">
        <f t="shared" si="126"/>
        <v>41000</v>
      </c>
      <c r="U2676" s="52"/>
      <c r="V2676" s="34"/>
      <c r="W2676" s="408"/>
    </row>
    <row r="2677" spans="1:23" ht="12.75" customHeight="1" x14ac:dyDescent="0.2">
      <c r="A2677" s="257">
        <v>2663</v>
      </c>
      <c r="B2677" s="44">
        <v>44578</v>
      </c>
      <c r="C2677" s="44">
        <f t="shared" si="125"/>
        <v>44578</v>
      </c>
      <c r="D2677" s="374">
        <v>129</v>
      </c>
      <c r="E2677" s="291" t="str">
        <f>IFERROR(VLOOKUP($D2677,'Clients-Live'!$A:$C,3,0),"")</f>
        <v>BAKO ASINA</v>
      </c>
      <c r="F2677" s="291">
        <f>IFERROR(INDEX(Disbursements!$D:$D,MATCH('Live Collections'!G2677,Disbursements!$C:$C,0)),"")</f>
        <v>2</v>
      </c>
      <c r="G2677" s="34">
        <v>332</v>
      </c>
      <c r="H2677" s="34">
        <v>589</v>
      </c>
      <c r="I2677" s="34" t="s">
        <v>1358</v>
      </c>
      <c r="J2677" s="48"/>
      <c r="K2677" s="48"/>
      <c r="L2677" s="48"/>
      <c r="M2677" s="48"/>
      <c r="N2677" s="59"/>
      <c r="O2677" s="59"/>
      <c r="P2677" s="59">
        <v>-200000</v>
      </c>
      <c r="Q2677" s="268">
        <f t="shared" si="127"/>
        <v>-200000</v>
      </c>
      <c r="R2677" s="61">
        <f>IF(O2677=0,0,SUMIFS(Disbursements!$T:$T,Disbursements!$B:$B,'Live Collections'!D2677,Disbursements!$D:$D,'Live Collections'!F2677))</f>
        <v>0</v>
      </c>
      <c r="S2677" s="304">
        <f>IF(O2677&lt;=IF($O2677=0,0,SUMIFS(Disbursements!$W:$W,Disbursements!$B:$B,'Live Collections'!D1642,Disbursements!$D:$D,'Live Collections'!F1642)),O2677,IF($O2677=0,0,SUMIFS(Disbursements!$W:$W,Disbursements!$B:$B,'Live Collections'!D1642,Disbursements!$D:$D,'Live Collections'!F1642)))</f>
        <v>0</v>
      </c>
      <c r="T2677" s="304">
        <f t="shared" si="126"/>
        <v>0</v>
      </c>
      <c r="U2677" s="52"/>
      <c r="V2677" s="34"/>
      <c r="W2677" s="408" t="s">
        <v>1980</v>
      </c>
    </row>
    <row r="2678" spans="1:23" ht="12.75" customHeight="1" x14ac:dyDescent="0.2">
      <c r="A2678" s="257">
        <v>2664</v>
      </c>
      <c r="B2678" s="44">
        <v>44578</v>
      </c>
      <c r="C2678" s="44">
        <f t="shared" si="125"/>
        <v>44578</v>
      </c>
      <c r="D2678" s="374">
        <v>129</v>
      </c>
      <c r="E2678" s="291" t="str">
        <f>IFERROR(VLOOKUP($D2678,'Clients-Live'!$A:$C,3,0),"")</f>
        <v>BAKO ASINA</v>
      </c>
      <c r="F2678" s="291">
        <f>IFERROR(INDEX(Disbursements!$D:$D,MATCH('Live Collections'!G2678,Disbursements!$C:$C,0)),"")</f>
        <v>2</v>
      </c>
      <c r="G2678" s="34">
        <v>332</v>
      </c>
      <c r="H2678" s="34">
        <v>4342</v>
      </c>
      <c r="I2678" s="34" t="s">
        <v>1358</v>
      </c>
      <c r="J2678" s="48"/>
      <c r="K2678" s="48"/>
      <c r="L2678" s="48"/>
      <c r="M2678" s="48"/>
      <c r="N2678" s="59"/>
      <c r="O2678" s="59">
        <v>200000</v>
      </c>
      <c r="P2678" s="59"/>
      <c r="Q2678" s="268">
        <f t="shared" si="127"/>
        <v>200000</v>
      </c>
      <c r="R2678" s="61">
        <f>IF(O2678=0,0,SUMIFS(Disbursements!$T:$T,Disbursements!$B:$B,'Live Collections'!D2678,Disbursements!$D:$D,'Live Collections'!F2678))</f>
        <v>1100000</v>
      </c>
      <c r="S2678" s="304">
        <f>IF(O2678&lt;=IF($O2678=0,0,SUMIFS(Disbursements!$W:$W,Disbursements!$B:$B,'Live Collections'!D1643,Disbursements!$D:$D,'Live Collections'!F1643)),O2678,IF($O2678=0,0,SUMIFS(Disbursements!$W:$W,Disbursements!$B:$B,'Live Collections'!D1643,Disbursements!$D:$D,'Live Collections'!F1643)))</f>
        <v>0</v>
      </c>
      <c r="T2678" s="304">
        <f t="shared" si="126"/>
        <v>200000</v>
      </c>
      <c r="U2678" s="52"/>
      <c r="V2678" s="34"/>
      <c r="W2678" s="408"/>
    </row>
    <row r="2679" spans="1:23" ht="12.75" customHeight="1" x14ac:dyDescent="0.2">
      <c r="A2679" s="257">
        <v>2673</v>
      </c>
      <c r="B2679" s="44">
        <v>44578</v>
      </c>
      <c r="C2679" s="44">
        <f t="shared" si="125"/>
        <v>44578</v>
      </c>
      <c r="D2679" s="374">
        <v>129</v>
      </c>
      <c r="E2679" s="291" t="str">
        <f>IFERROR(VLOOKUP($D2679,'Clients-Live'!$A:$C,3,0),"")</f>
        <v>BAKO ASINA</v>
      </c>
      <c r="F2679" s="291">
        <f>IFERROR(INDEX(Disbursements!$D:$D,MATCH('Live Collections'!G2679,Disbursements!$C:$C,0)),"")</f>
        <v>3</v>
      </c>
      <c r="G2679" s="34">
        <v>409</v>
      </c>
      <c r="H2679" s="34">
        <v>4349</v>
      </c>
      <c r="I2679" s="34" t="s">
        <v>1358</v>
      </c>
      <c r="J2679" s="48"/>
      <c r="K2679" s="48"/>
      <c r="L2679" s="48"/>
      <c r="M2679" s="48"/>
      <c r="N2679" s="59"/>
      <c r="O2679" s="59"/>
      <c r="P2679" s="59">
        <v>300000</v>
      </c>
      <c r="Q2679" s="268">
        <f t="shared" si="127"/>
        <v>300000</v>
      </c>
      <c r="R2679" s="61">
        <f>IF(O2679=0,0,SUMIFS(Disbursements!$T:$T,Disbursements!$B:$B,'Live Collections'!D2679,Disbursements!$D:$D,'Live Collections'!F2679))</f>
        <v>0</v>
      </c>
      <c r="S2679" s="304">
        <f>IF(O2679&lt;=IF($O2679=0,0,SUMIFS(Disbursements!$W:$W,Disbursements!$B:$B,'Live Collections'!D1644,Disbursements!$D:$D,'Live Collections'!F1644)),O2679,IF($O2679=0,0,SUMIFS(Disbursements!$W:$W,Disbursements!$B:$B,'Live Collections'!D1644,Disbursements!$D:$D,'Live Collections'!F1644)))</f>
        <v>0</v>
      </c>
      <c r="T2679" s="304">
        <f t="shared" si="126"/>
        <v>0</v>
      </c>
      <c r="U2679" s="52"/>
      <c r="V2679" s="34"/>
      <c r="W2679" s="408"/>
    </row>
    <row r="2680" spans="1:23" ht="12.75" customHeight="1" x14ac:dyDescent="0.2">
      <c r="A2680" s="257">
        <v>2693</v>
      </c>
      <c r="B2680" s="44">
        <v>44578</v>
      </c>
      <c r="C2680" s="44">
        <f t="shared" si="125"/>
        <v>44578</v>
      </c>
      <c r="D2680" s="374">
        <v>134</v>
      </c>
      <c r="E2680" s="291" t="str">
        <f>IFERROR(VLOOKUP($D2680,'Clients-Live'!$A:$C,3,0),"")</f>
        <v>TABU NATALIYA</v>
      </c>
      <c r="F2680" s="291">
        <f>IFERROR(INDEX(Disbursements!$D:$D,MATCH('Live Collections'!G2680,Disbursements!$C:$C,0)),"")</f>
        <v>2</v>
      </c>
      <c r="G2680" s="34">
        <v>324</v>
      </c>
      <c r="H2680" s="34">
        <v>4296</v>
      </c>
      <c r="I2680" s="34" t="s">
        <v>1359</v>
      </c>
      <c r="J2680" s="48"/>
      <c r="K2680" s="48"/>
      <c r="L2680" s="48"/>
      <c r="M2680" s="48"/>
      <c r="N2680" s="59"/>
      <c r="O2680" s="59">
        <v>100000</v>
      </c>
      <c r="P2680" s="59"/>
      <c r="Q2680" s="268">
        <f t="shared" si="127"/>
        <v>100000</v>
      </c>
      <c r="R2680" s="61">
        <f>IF(O2680=0,0,SUMIFS(Disbursements!$T:$T,Disbursements!$B:$B,'Live Collections'!D2680,Disbursements!$D:$D,'Live Collections'!F2680))</f>
        <v>120000</v>
      </c>
      <c r="S2680" s="304">
        <f>IF(O2680&lt;=IF($O2680=0,0,SUMIFS(Disbursements!$W:$W,Disbursements!$B:$B,'Live Collections'!D1696,Disbursements!$D:$D,'Live Collections'!F1696)),O2680,IF($O2680=0,0,SUMIFS(Disbursements!$W:$W,Disbursements!$B:$B,'Live Collections'!D1696,Disbursements!$D:$D,'Live Collections'!F1696)))</f>
        <v>40000</v>
      </c>
      <c r="T2680" s="304">
        <f t="shared" si="126"/>
        <v>60000</v>
      </c>
      <c r="U2680" s="52"/>
      <c r="V2680" s="34"/>
      <c r="W2680" s="408"/>
    </row>
    <row r="2681" spans="1:23" ht="12.75" customHeight="1" x14ac:dyDescent="0.2">
      <c r="A2681" s="257">
        <v>2678</v>
      </c>
      <c r="B2681" s="44">
        <v>44578</v>
      </c>
      <c r="C2681" s="44">
        <f t="shared" si="125"/>
        <v>44578</v>
      </c>
      <c r="D2681" s="374">
        <v>137</v>
      </c>
      <c r="E2681" s="291" t="str">
        <f>IFERROR(VLOOKUP($D2681,'Clients-Live'!$A:$C,3,0),"")</f>
        <v>YAKANI CHARLES</v>
      </c>
      <c r="F2681" s="291">
        <f>IFERROR(INDEX(Disbursements!$D:$D,MATCH('Live Collections'!G2681,Disbursements!$C:$C,0)),"")</f>
        <v>3</v>
      </c>
      <c r="G2681" s="34">
        <v>408</v>
      </c>
      <c r="H2681" s="34">
        <v>4274</v>
      </c>
      <c r="I2681" s="34" t="s">
        <v>1359</v>
      </c>
      <c r="J2681" s="48"/>
      <c r="K2681" s="48"/>
      <c r="L2681" s="48"/>
      <c r="M2681" s="48"/>
      <c r="N2681" s="59"/>
      <c r="O2681" s="59"/>
      <c r="P2681" s="59">
        <v>160000</v>
      </c>
      <c r="Q2681" s="268">
        <f t="shared" si="127"/>
        <v>160000</v>
      </c>
      <c r="R2681" s="61">
        <f>IF(O2681=0,0,SUMIFS(Disbursements!$T:$T,Disbursements!$B:$B,'Live Collections'!D2681,Disbursements!$D:$D,'Live Collections'!F2681))</f>
        <v>0</v>
      </c>
      <c r="S2681" s="304">
        <f>IF(O2681&lt;=IF($O2681=0,0,SUMIFS(Disbursements!$W:$W,Disbursements!$B:$B,'Live Collections'!D1737,Disbursements!$D:$D,'Live Collections'!F1737)),O2681,IF($O2681=0,0,SUMIFS(Disbursements!$W:$W,Disbursements!$B:$B,'Live Collections'!D1737,Disbursements!$D:$D,'Live Collections'!F1737)))</f>
        <v>0</v>
      </c>
      <c r="T2681" s="304">
        <f t="shared" si="126"/>
        <v>0</v>
      </c>
      <c r="U2681" s="52"/>
      <c r="V2681" s="34"/>
      <c r="W2681" s="408"/>
    </row>
    <row r="2682" spans="1:23" ht="12.75" customHeight="1" x14ac:dyDescent="0.2">
      <c r="A2682" s="257">
        <v>2669</v>
      </c>
      <c r="B2682" s="44">
        <v>44578</v>
      </c>
      <c r="C2682" s="44">
        <f t="shared" si="125"/>
        <v>44578</v>
      </c>
      <c r="D2682" s="374">
        <v>142</v>
      </c>
      <c r="E2682" s="291" t="str">
        <f>IFERROR(VLOOKUP($D2682,'Clients-Live'!$A:$C,3,0),"")</f>
        <v>TABU MARY</v>
      </c>
      <c r="F2682" s="291">
        <f>IFERROR(INDEX(Disbursements!$D:$D,MATCH('Live Collections'!G2682,Disbursements!$C:$C,0)),"")</f>
        <v>6</v>
      </c>
      <c r="G2682" s="34">
        <v>383</v>
      </c>
      <c r="H2682" s="34">
        <v>4290</v>
      </c>
      <c r="I2682" s="34" t="s">
        <v>1357</v>
      </c>
      <c r="J2682" s="48"/>
      <c r="K2682" s="48"/>
      <c r="L2682" s="48"/>
      <c r="M2682" s="48"/>
      <c r="N2682" s="59"/>
      <c r="O2682" s="59">
        <v>325000</v>
      </c>
      <c r="P2682" s="59"/>
      <c r="Q2682" s="268">
        <f t="shared" si="127"/>
        <v>325000</v>
      </c>
      <c r="R2682" s="61">
        <f>IF(O2682=0,0,SUMIFS(Disbursements!$T:$T,Disbursements!$B:$B,'Live Collections'!D2682,Disbursements!$D:$D,'Live Collections'!F2682))</f>
        <v>325000</v>
      </c>
      <c r="S2682" s="304">
        <f>IF(O2682&lt;=IF($O2682=0,0,SUMIFS(Disbursements!$W:$W,Disbursements!$B:$B,'Live Collections'!D1802,Disbursements!$D:$D,'Live Collections'!F1802)),O2682,IF($O2682=0,0,SUMIFS(Disbursements!$W:$W,Disbursements!$B:$B,'Live Collections'!D1802,Disbursements!$D:$D,'Live Collections'!F1802)))</f>
        <v>13000</v>
      </c>
      <c r="T2682" s="304">
        <f t="shared" si="126"/>
        <v>312000</v>
      </c>
      <c r="U2682" s="52"/>
      <c r="V2682" s="34"/>
      <c r="W2682" s="408"/>
    </row>
    <row r="2683" spans="1:23" ht="12.75" customHeight="1" x14ac:dyDescent="0.2">
      <c r="A2683" s="257">
        <v>2672</v>
      </c>
      <c r="B2683" s="44">
        <v>44578</v>
      </c>
      <c r="C2683" s="44">
        <f t="shared" si="125"/>
        <v>44578</v>
      </c>
      <c r="D2683" s="374">
        <v>210</v>
      </c>
      <c r="E2683" s="291" t="str">
        <f>IFERROR(VLOOKUP($D2683,'Clients-Live'!$A:$C,3,0),"")</f>
        <v>ADRILI ZAHARA</v>
      </c>
      <c r="F2683" s="291">
        <f>IFERROR(INDEX(Disbursements!$D:$D,MATCH('Live Collections'!G2683,Disbursements!$C:$C,0)),"")</f>
        <v>2</v>
      </c>
      <c r="G2683" s="34">
        <v>379</v>
      </c>
      <c r="H2683" s="34">
        <v>4285</v>
      </c>
      <c r="I2683" s="34" t="s">
        <v>1357</v>
      </c>
      <c r="J2683" s="48"/>
      <c r="K2683" s="48"/>
      <c r="L2683" s="48"/>
      <c r="M2683" s="48"/>
      <c r="N2683" s="59"/>
      <c r="O2683" s="59">
        <v>175000</v>
      </c>
      <c r="P2683" s="59"/>
      <c r="Q2683" s="268">
        <f t="shared" si="127"/>
        <v>175000</v>
      </c>
      <c r="R2683" s="61">
        <f>IF(O2683=0,0,SUMIFS(Disbursements!$T:$T,Disbursements!$B:$B,'Live Collections'!D2683,Disbursements!$D:$D,'Live Collections'!F2683))</f>
        <v>175000</v>
      </c>
      <c r="S2683" s="304">
        <f>IF(O2683&lt;=IF($O2683=0,0,SUMIFS(Disbursements!$W:$W,Disbursements!$B:$B,'Live Collections'!#REF!,Disbursements!$D:$D,'Live Collections'!#REF!)),O2683,IF($O2683=0,0,SUMIFS(Disbursements!$W:$W,Disbursements!$B:$B,'Live Collections'!#REF!,Disbursements!$D:$D,'Live Collections'!#REF!)))</f>
        <v>0</v>
      </c>
      <c r="T2683" s="304">
        <f t="shared" si="126"/>
        <v>175000</v>
      </c>
      <c r="U2683" s="52"/>
      <c r="V2683" s="34"/>
      <c r="W2683" s="408"/>
    </row>
    <row r="2684" spans="1:23" ht="12.75" customHeight="1" x14ac:dyDescent="0.2">
      <c r="A2684" s="257">
        <v>2677</v>
      </c>
      <c r="B2684" s="44">
        <v>44578</v>
      </c>
      <c r="C2684" s="44">
        <f t="shared" si="125"/>
        <v>44578</v>
      </c>
      <c r="D2684" s="374">
        <v>221</v>
      </c>
      <c r="E2684" s="291" t="str">
        <f>IFERROR(VLOOKUP($D2684,'Clients-Live'!$A:$C,3,0),"")</f>
        <v>NAMUDDU MARY</v>
      </c>
      <c r="F2684" s="291">
        <f>IFERROR(INDEX(Disbursements!$D:$D,MATCH('Live Collections'!G2684,Disbursements!$C:$C,0)),"")</f>
        <v>2</v>
      </c>
      <c r="G2684" s="34">
        <v>407</v>
      </c>
      <c r="H2684" s="34">
        <v>4281</v>
      </c>
      <c r="I2684" s="34" t="s">
        <v>1359</v>
      </c>
      <c r="J2684" s="48"/>
      <c r="K2684" s="48"/>
      <c r="L2684" s="48"/>
      <c r="M2684" s="48"/>
      <c r="N2684" s="59"/>
      <c r="O2684" s="59"/>
      <c r="P2684" s="59">
        <v>100000</v>
      </c>
      <c r="Q2684" s="268">
        <f t="shared" si="127"/>
        <v>100000</v>
      </c>
      <c r="R2684" s="61">
        <f>IF(O2684=0,0,SUMIFS(Disbursements!$T:$T,Disbursements!$B:$B,'Live Collections'!D2684,Disbursements!$D:$D,'Live Collections'!F2684))</f>
        <v>0</v>
      </c>
      <c r="S2684" s="304">
        <f>IF(O2684&lt;=IF($O2684=0,0,SUMIFS(Disbursements!$W:$W,Disbursements!$B:$B,'Live Collections'!D2606,Disbursements!$D:$D,'Live Collections'!F2606)),O2684,IF($O2684=0,0,SUMIFS(Disbursements!$W:$W,Disbursements!$B:$B,'Live Collections'!D2606,Disbursements!$D:$D,'Live Collections'!F2606)))</f>
        <v>0</v>
      </c>
      <c r="T2684" s="304">
        <f t="shared" si="126"/>
        <v>0</v>
      </c>
      <c r="U2684" s="52"/>
      <c r="V2684" s="34"/>
      <c r="W2684" s="408"/>
    </row>
    <row r="2685" spans="1:23" ht="12.75" customHeight="1" x14ac:dyDescent="0.2">
      <c r="A2685" s="257">
        <v>2679</v>
      </c>
      <c r="B2685" s="44">
        <v>44578</v>
      </c>
      <c r="C2685" s="44">
        <f t="shared" si="125"/>
        <v>44578</v>
      </c>
      <c r="D2685" s="374">
        <v>251</v>
      </c>
      <c r="E2685" s="291" t="str">
        <f>IFERROR(VLOOKUP($D2685,'Clients-Live'!$A:$C,3,0),"")</f>
        <v>SIDA ZAINABU</v>
      </c>
      <c r="F2685" s="291">
        <f>IFERROR(INDEX(Disbursements!$D:$D,MATCH('Live Collections'!G2685,Disbursements!$C:$C,0)),"")</f>
        <v>1</v>
      </c>
      <c r="G2685" s="34">
        <v>306</v>
      </c>
      <c r="H2685" s="34">
        <v>4345</v>
      </c>
      <c r="I2685" s="34" t="s">
        <v>1359</v>
      </c>
      <c r="J2685" s="48"/>
      <c r="K2685" s="48"/>
      <c r="L2685" s="48"/>
      <c r="M2685" s="48"/>
      <c r="N2685" s="59"/>
      <c r="O2685" s="59">
        <v>20000</v>
      </c>
      <c r="P2685" s="59"/>
      <c r="Q2685" s="268">
        <f t="shared" si="127"/>
        <v>20000</v>
      </c>
      <c r="R2685" s="61">
        <f>IF(O2685=0,0,SUMIFS(Disbursements!$T:$T,Disbursements!$B:$B,'Live Collections'!D2685,Disbursements!$D:$D,'Live Collections'!F2685))</f>
        <v>220000</v>
      </c>
      <c r="S2685" s="304">
        <f>IF(O2685&lt;=IF($O2685=0,0,SUMIFS(Disbursements!$W:$W,Disbursements!$B:$B,'Live Collections'!D2825,Disbursements!$D:$D,'Live Collections'!F2825)),O2685,IF($O2685=0,0,SUMIFS(Disbursements!$W:$W,Disbursements!$B:$B,'Live Collections'!D2825,Disbursements!$D:$D,'Live Collections'!F2825)))</f>
        <v>0</v>
      </c>
      <c r="T2685" s="304">
        <f t="shared" si="126"/>
        <v>20000</v>
      </c>
      <c r="U2685" s="52"/>
      <c r="V2685" s="34"/>
      <c r="W2685" s="408"/>
    </row>
    <row r="2686" spans="1:23" ht="12.75" customHeight="1" x14ac:dyDescent="0.2">
      <c r="A2686" s="257">
        <v>2683</v>
      </c>
      <c r="B2686" s="44">
        <v>44578</v>
      </c>
      <c r="C2686" s="44">
        <f t="shared" ref="C2686:C2694" si="128">B2686</f>
        <v>44578</v>
      </c>
      <c r="D2686" s="374">
        <v>254</v>
      </c>
      <c r="E2686" s="291" t="str">
        <f>IFERROR(VLOOKUP($D2686,'Clients-Live'!$A:$C,3,0),"")</f>
        <v>ANITE AGNES</v>
      </c>
      <c r="F2686" s="291">
        <f>IFERROR(INDEX(Disbursements!$D:$D,MATCH('Live Collections'!G2686,Disbursements!$C:$C,0)),"")</f>
        <v>1</v>
      </c>
      <c r="G2686" s="34">
        <v>279</v>
      </c>
      <c r="H2686" s="34">
        <v>4275</v>
      </c>
      <c r="I2686" s="34" t="s">
        <v>1357</v>
      </c>
      <c r="J2686" s="48"/>
      <c r="K2686" s="48"/>
      <c r="L2686" s="48"/>
      <c r="M2686" s="48"/>
      <c r="N2686" s="59"/>
      <c r="O2686" s="59">
        <v>120000</v>
      </c>
      <c r="P2686" s="59"/>
      <c r="Q2686" s="268">
        <f t="shared" si="127"/>
        <v>120000</v>
      </c>
      <c r="R2686" s="61">
        <f>IF(O2686=0,0,SUMIFS(Disbursements!$T:$T,Disbursements!$B:$B,'Live Collections'!D2686,Disbursements!$D:$D,'Live Collections'!F2686))</f>
        <v>120000</v>
      </c>
      <c r="S2686" s="304"/>
      <c r="T2686" s="304">
        <f t="shared" ref="T2686:T2749" si="129">IF(O2686=0,0,O2686-S2686)</f>
        <v>120000</v>
      </c>
      <c r="U2686" s="52"/>
      <c r="V2686" s="34"/>
      <c r="W2686" s="408"/>
    </row>
    <row r="2687" spans="1:23" ht="12.75" customHeight="1" x14ac:dyDescent="0.2">
      <c r="A2687" s="257">
        <v>2676</v>
      </c>
      <c r="B2687" s="44">
        <v>44578</v>
      </c>
      <c r="C2687" s="44">
        <f t="shared" si="128"/>
        <v>44578</v>
      </c>
      <c r="D2687" s="374">
        <v>261</v>
      </c>
      <c r="E2687" s="291" t="str">
        <f>IFERROR(VLOOKUP($D2687,'Clients-Live'!$A:$C,3,0),"")</f>
        <v>AMANIYO STELLA</v>
      </c>
      <c r="F2687" s="291">
        <f>IFERROR(INDEX(Disbursements!$D:$D,MATCH('Live Collections'!G2687,Disbursements!$C:$C,0)),"")</f>
        <v>1</v>
      </c>
      <c r="G2687" s="34">
        <v>292</v>
      </c>
      <c r="H2687" s="34">
        <v>4283</v>
      </c>
      <c r="I2687" s="34" t="s">
        <v>1359</v>
      </c>
      <c r="J2687" s="48"/>
      <c r="K2687" s="48"/>
      <c r="L2687" s="48"/>
      <c r="M2687" s="48"/>
      <c r="N2687" s="59"/>
      <c r="O2687" s="59">
        <v>100000</v>
      </c>
      <c r="P2687" s="59"/>
      <c r="Q2687" s="268">
        <f t="shared" si="127"/>
        <v>100000</v>
      </c>
      <c r="R2687" s="61">
        <f>IF(O2687=0,0,SUMIFS(Disbursements!$T:$T,Disbursements!$B:$B,'Live Collections'!D2687,Disbursements!$D:$D,'Live Collections'!F2687))</f>
        <v>115000</v>
      </c>
      <c r="S2687" s="304">
        <v>5000</v>
      </c>
      <c r="T2687" s="304">
        <f t="shared" si="129"/>
        <v>95000</v>
      </c>
      <c r="U2687" s="52"/>
      <c r="V2687" s="34"/>
      <c r="W2687" s="408"/>
    </row>
    <row r="2688" spans="1:23" ht="12.75" customHeight="1" x14ac:dyDescent="0.2">
      <c r="A2688" s="257">
        <v>2689</v>
      </c>
      <c r="B2688" s="44">
        <v>44578</v>
      </c>
      <c r="C2688" s="44">
        <f t="shared" si="128"/>
        <v>44578</v>
      </c>
      <c r="D2688" s="374">
        <v>265</v>
      </c>
      <c r="E2688" s="291" t="str">
        <f>IFERROR(VLOOKUP($D2688,'Clients-Live'!$A:$C,3,0),"")</f>
        <v>OCATRE CHARLES</v>
      </c>
      <c r="F2688" s="291">
        <f>IFERROR(INDEX(Disbursements!$D:$D,MATCH('Live Collections'!G2688,Disbursements!$C:$C,0)),"")</f>
        <v>2</v>
      </c>
      <c r="G2688" s="34">
        <v>333</v>
      </c>
      <c r="H2688" s="34">
        <v>4294</v>
      </c>
      <c r="I2688" s="34" t="s">
        <v>1357</v>
      </c>
      <c r="J2688" s="48"/>
      <c r="K2688" s="48"/>
      <c r="L2688" s="48"/>
      <c r="M2688" s="48"/>
      <c r="N2688" s="59"/>
      <c r="O2688" s="59">
        <v>950000</v>
      </c>
      <c r="P2688" s="59"/>
      <c r="Q2688" s="268">
        <f t="shared" si="127"/>
        <v>950000</v>
      </c>
      <c r="R2688" s="61">
        <f>IF(O2688=0,0,SUMIFS(Disbursements!$T:$T,Disbursements!$B:$B,'Live Collections'!D2688,Disbursements!$D:$D,'Live Collections'!F2688))</f>
        <v>1150000</v>
      </c>
      <c r="S2688" s="64">
        <v>259000</v>
      </c>
      <c r="T2688" s="304">
        <f t="shared" si="129"/>
        <v>691000</v>
      </c>
      <c r="U2688" s="52"/>
      <c r="V2688" s="34"/>
      <c r="W2688" s="408"/>
    </row>
    <row r="2689" spans="1:23" ht="12.75" customHeight="1" x14ac:dyDescent="0.2">
      <c r="A2689" s="257">
        <v>2691</v>
      </c>
      <c r="B2689" s="44">
        <v>44578</v>
      </c>
      <c r="C2689" s="44">
        <f t="shared" si="128"/>
        <v>44578</v>
      </c>
      <c r="D2689" s="374">
        <v>265</v>
      </c>
      <c r="E2689" s="291" t="str">
        <f>IFERROR(VLOOKUP($D2689,'Clients-Live'!$A:$C,3,0),"")</f>
        <v>OCATRE CHARLES</v>
      </c>
      <c r="F2689" s="291">
        <f>IFERROR(INDEX(Disbursements!$D:$D,MATCH('Live Collections'!G2689,Disbursements!$C:$C,0)),"")</f>
        <v>2</v>
      </c>
      <c r="G2689" s="34">
        <v>333</v>
      </c>
      <c r="H2689" s="34">
        <v>4295</v>
      </c>
      <c r="I2689" s="34" t="s">
        <v>1357</v>
      </c>
      <c r="J2689" s="48"/>
      <c r="K2689" s="48"/>
      <c r="L2689" s="48"/>
      <c r="M2689" s="48"/>
      <c r="N2689" s="59"/>
      <c r="O2689" s="59">
        <v>100000</v>
      </c>
      <c r="P2689" s="59"/>
      <c r="Q2689" s="268">
        <f t="shared" si="127"/>
        <v>100000</v>
      </c>
      <c r="R2689" s="61">
        <f>IF(O2689=0,0,SUMIFS(Disbursements!$T:$T,Disbursements!$B:$B,'Live Collections'!D2689,Disbursements!$D:$D,'Live Collections'!F2689))</f>
        <v>1150000</v>
      </c>
      <c r="S2689" s="304"/>
      <c r="T2689" s="304">
        <f t="shared" si="129"/>
        <v>100000</v>
      </c>
      <c r="U2689" s="52"/>
      <c r="V2689" s="34"/>
      <c r="W2689" s="408"/>
    </row>
    <row r="2690" spans="1:23" ht="12.75" customHeight="1" x14ac:dyDescent="0.2">
      <c r="A2690" s="257">
        <v>2692</v>
      </c>
      <c r="B2690" s="44">
        <v>44578</v>
      </c>
      <c r="C2690" s="44">
        <f t="shared" si="128"/>
        <v>44578</v>
      </c>
      <c r="D2690" s="374">
        <v>265</v>
      </c>
      <c r="E2690" s="291" t="str">
        <f>IFERROR(VLOOKUP($D2690,'Clients-Live'!$A:$C,3,0),"")</f>
        <v>OCATRE CHARLES</v>
      </c>
      <c r="F2690" s="291">
        <f>IFERROR(INDEX(Disbursements!$D:$D,MATCH('Live Collections'!G2690,Disbursements!$C:$C,0)),"")</f>
        <v>2</v>
      </c>
      <c r="G2690" s="34">
        <v>333</v>
      </c>
      <c r="H2690" s="34">
        <v>597</v>
      </c>
      <c r="I2690" s="34" t="s">
        <v>1357</v>
      </c>
      <c r="J2690" s="48"/>
      <c r="K2690" s="48"/>
      <c r="L2690" s="48"/>
      <c r="M2690" s="48"/>
      <c r="N2690" s="59"/>
      <c r="O2690" s="59"/>
      <c r="P2690" s="59">
        <v>-100000</v>
      </c>
      <c r="Q2690" s="268">
        <f t="shared" si="127"/>
        <v>-100000</v>
      </c>
      <c r="R2690" s="61">
        <f>IF(O2690=0,0,SUMIFS(Disbursements!$T:$T,Disbursements!$B:$B,'Live Collections'!D2690,Disbursements!$D:$D,'Live Collections'!F2690))</f>
        <v>0</v>
      </c>
      <c r="S2690" s="304">
        <f>IF(O2690&lt;=IF($O2690=0,0,SUMIFS(Disbursements!$W:$W,Disbursements!$B:$B,'Live Collections'!D2929,Disbursements!$D:$D,'Live Collections'!F2929)),O2690,IF($O2690=0,0,SUMIFS(Disbursements!$W:$W,Disbursements!$B:$B,'Live Collections'!D2929,Disbursements!$D:$D,'Live Collections'!F2929)))</f>
        <v>0</v>
      </c>
      <c r="T2690" s="304">
        <f t="shared" si="129"/>
        <v>0</v>
      </c>
      <c r="U2690" s="52"/>
      <c r="V2690" s="34"/>
      <c r="W2690" s="408"/>
    </row>
    <row r="2691" spans="1:23" ht="12.75" customHeight="1" x14ac:dyDescent="0.2">
      <c r="A2691" s="257">
        <v>2674</v>
      </c>
      <c r="B2691" s="44">
        <v>44578</v>
      </c>
      <c r="C2691" s="44">
        <f t="shared" si="128"/>
        <v>44578</v>
      </c>
      <c r="D2691" s="374">
        <v>271</v>
      </c>
      <c r="E2691" s="291" t="str">
        <f>IFERROR(VLOOKUP($D2691,'Clients-Live'!$A:$C,3,0),"")</f>
        <v>ALORO SAIDI</v>
      </c>
      <c r="F2691" s="291">
        <f>IFERROR(INDEX(Disbursements!$D:$D,MATCH('Live Collections'!G2691,Disbursements!$C:$C,0)),"")</f>
        <v>1</v>
      </c>
      <c r="G2691" s="34">
        <v>319</v>
      </c>
      <c r="H2691" s="34">
        <v>4347</v>
      </c>
      <c r="I2691" s="34" t="s">
        <v>1357</v>
      </c>
      <c r="J2691" s="48"/>
      <c r="K2691" s="48"/>
      <c r="L2691" s="48"/>
      <c r="M2691" s="48"/>
      <c r="N2691" s="59"/>
      <c r="O2691" s="59">
        <v>70000</v>
      </c>
      <c r="P2691" s="59"/>
      <c r="Q2691" s="268">
        <f t="shared" si="127"/>
        <v>70000</v>
      </c>
      <c r="R2691" s="61">
        <f>IF(O2691=0,0,SUMIFS(Disbursements!$T:$T,Disbursements!$B:$B,'Live Collections'!D2691,Disbursements!$D:$D,'Live Collections'!F2691))</f>
        <v>120000</v>
      </c>
      <c r="S2691" s="304">
        <v>30000</v>
      </c>
      <c r="T2691" s="304">
        <f t="shared" si="129"/>
        <v>40000</v>
      </c>
      <c r="U2691" s="52"/>
      <c r="V2691" s="34"/>
      <c r="W2691" s="408"/>
    </row>
    <row r="2692" spans="1:23" ht="12.75" customHeight="1" x14ac:dyDescent="0.2">
      <c r="A2692" s="257">
        <v>2685</v>
      </c>
      <c r="B2692" s="44">
        <v>44578</v>
      </c>
      <c r="C2692" s="44">
        <f t="shared" si="128"/>
        <v>44578</v>
      </c>
      <c r="D2692" s="374">
        <v>309</v>
      </c>
      <c r="E2692" s="291" t="str">
        <f>IFERROR(VLOOKUP($D2692,'Clients-Live'!$A:$C,3,0),"")</f>
        <v>NAMBOZO HALIMA</v>
      </c>
      <c r="F2692" s="291">
        <f>IFERROR(INDEX(Disbursements!$D:$D,MATCH('Live Collections'!G2692,Disbursements!$C:$C,0)),"")</f>
        <v>1</v>
      </c>
      <c r="G2692" s="34">
        <v>391</v>
      </c>
      <c r="H2692" s="34">
        <v>4344</v>
      </c>
      <c r="I2692" s="34" t="s">
        <v>1357</v>
      </c>
      <c r="J2692" s="48"/>
      <c r="K2692" s="48"/>
      <c r="L2692" s="48"/>
      <c r="M2692" s="48"/>
      <c r="N2692" s="59"/>
      <c r="O2692" s="59">
        <v>80000</v>
      </c>
      <c r="P2692" s="59"/>
      <c r="Q2692" s="268">
        <f t="shared" si="127"/>
        <v>80000</v>
      </c>
      <c r="R2692" s="61">
        <f>IF(O2692=0,0,SUMIFS(Disbursements!$T:$T,Disbursements!$B:$B,'Live Collections'!D2692,Disbursements!$D:$D,'Live Collections'!F2692))</f>
        <v>79000</v>
      </c>
      <c r="S2692" s="304">
        <f>IF(O2692&lt;=IF($O2692=0,0,SUMIFS(Disbursements!$W:$W,Disbursements!$B:$B,'Live Collections'!D3114,Disbursements!$D:$D,'Live Collections'!F3114)),O2692,IF($O2692=0,0,SUMIFS(Disbursements!$W:$W,Disbursements!$B:$B,'Live Collections'!D3114,Disbursements!$D:$D,'Live Collections'!F3114)))</f>
        <v>30000</v>
      </c>
      <c r="T2692" s="304">
        <f t="shared" si="129"/>
        <v>50000</v>
      </c>
      <c r="U2692" s="52"/>
      <c r="V2692" s="34"/>
      <c r="W2692" s="408"/>
    </row>
    <row r="2693" spans="1:23" ht="12.75" customHeight="1" x14ac:dyDescent="0.2">
      <c r="A2693" s="257">
        <v>2667</v>
      </c>
      <c r="B2693" s="44">
        <v>44578</v>
      </c>
      <c r="C2693" s="44">
        <f t="shared" si="128"/>
        <v>44578</v>
      </c>
      <c r="D2693" s="374">
        <v>313</v>
      </c>
      <c r="E2693" s="291" t="str">
        <f>IFERROR(VLOOKUP($D2693,'Clients-Live'!$A:$C,3,0),"")</f>
        <v>TWAHA GBAGBE</v>
      </c>
      <c r="F2693" s="291">
        <f>IFERROR(INDEX(Disbursements!$D:$D,MATCH('Live Collections'!G2693,Disbursements!$C:$C,0)),"")</f>
        <v>1</v>
      </c>
      <c r="G2693" s="34">
        <v>410</v>
      </c>
      <c r="H2693" s="34">
        <v>4287</v>
      </c>
      <c r="I2693" s="34" t="s">
        <v>1357</v>
      </c>
      <c r="J2693" s="48"/>
      <c r="K2693" s="48"/>
      <c r="L2693" s="48"/>
      <c r="M2693" s="48"/>
      <c r="N2693" s="59"/>
      <c r="O2693" s="59"/>
      <c r="P2693" s="59">
        <v>140000</v>
      </c>
      <c r="Q2693" s="268">
        <f t="shared" si="127"/>
        <v>140000</v>
      </c>
      <c r="R2693" s="61">
        <f>IF(O2693=0,0,SUMIFS(Disbursements!$T:$T,Disbursements!$B:$B,'Live Collections'!D2693,Disbursements!$D:$D,'Live Collections'!F2693))</f>
        <v>0</v>
      </c>
      <c r="S2693" s="304">
        <f>IF(O2693&lt;=IF($O2693=0,0,SUMIFS(Disbursements!$W:$W,Disbursements!$B:$B,'Live Collections'!D3133,Disbursements!$D:$D,'Live Collections'!F3133)),O2693,IF($O2693=0,0,SUMIFS(Disbursements!$W:$W,Disbursements!$B:$B,'Live Collections'!D3133,Disbursements!$D:$D,'Live Collections'!F3133)))</f>
        <v>0</v>
      </c>
      <c r="T2693" s="304">
        <f t="shared" si="129"/>
        <v>0</v>
      </c>
      <c r="U2693" s="52"/>
      <c r="V2693" s="34"/>
      <c r="W2693" s="408"/>
    </row>
    <row r="2694" spans="1:23" ht="12.75" customHeight="1" x14ac:dyDescent="0.2">
      <c r="A2694" s="257">
        <v>2680</v>
      </c>
      <c r="B2694" s="44">
        <v>44578</v>
      </c>
      <c r="C2694" s="44">
        <f t="shared" si="128"/>
        <v>44578</v>
      </c>
      <c r="D2694" s="374">
        <v>315</v>
      </c>
      <c r="E2694" s="291" t="str">
        <f>IFERROR(VLOOKUP($D2694,'Clients-Live'!$A:$C,3,0),"")</f>
        <v>BURUGA JAMES</v>
      </c>
      <c r="F2694" s="291" t="str">
        <f>IFERROR(INDEX(Disbursements!$D:$D,MATCH('Live Collections'!G2694,Disbursements!$C:$C,0)),"")</f>
        <v/>
      </c>
      <c r="G2694" s="34"/>
      <c r="H2694" s="34">
        <v>4277</v>
      </c>
      <c r="I2694" s="34" t="s">
        <v>1359</v>
      </c>
      <c r="J2694" s="48">
        <v>15000</v>
      </c>
      <c r="K2694" s="48">
        <v>5000</v>
      </c>
      <c r="L2694" s="48"/>
      <c r="M2694" s="48"/>
      <c r="N2694" s="59"/>
      <c r="O2694" s="59"/>
      <c r="P2694" s="59"/>
      <c r="Q2694" s="268">
        <f t="shared" si="127"/>
        <v>20000</v>
      </c>
      <c r="R2694" s="61">
        <f>IF(O2694=0,0,SUMIFS(Disbursements!$T:$T,Disbursements!$B:$B,'Live Collections'!D2694,Disbursements!$D:$D,'Live Collections'!F2694))</f>
        <v>0</v>
      </c>
      <c r="S2694" s="304">
        <f>IF(O2694&lt;=IF($O2694=0,0,SUMIFS(Disbursements!$W:$W,Disbursements!$B:$B,'Live Collections'!D3143,Disbursements!$D:$D,'Live Collections'!F3143)),O2694,IF($O2694=0,0,SUMIFS(Disbursements!$W:$W,Disbursements!$B:$B,'Live Collections'!D3143,Disbursements!$D:$D,'Live Collections'!F3143)))</f>
        <v>0</v>
      </c>
      <c r="T2694" s="304">
        <f t="shared" si="129"/>
        <v>0</v>
      </c>
      <c r="U2694" s="52"/>
      <c r="V2694" s="34"/>
      <c r="W2694" s="408"/>
    </row>
    <row r="2695" spans="1:23" ht="12.75" customHeight="1" x14ac:dyDescent="0.2">
      <c r="A2695" s="257">
        <v>2694</v>
      </c>
      <c r="B2695" s="44">
        <v>44579</v>
      </c>
      <c r="C2695" s="44">
        <v>44579</v>
      </c>
      <c r="D2695" s="374">
        <v>30</v>
      </c>
      <c r="E2695" s="291" t="str">
        <f>IFERROR(VLOOKUP($D2695,'Clients-Live'!$A:$C,3,0),"")</f>
        <v>SITARAYA PATRICIA IDERU</v>
      </c>
      <c r="F2695" s="291">
        <f>IFERROR(INDEX(Disbursements!$D:$D,MATCH('Live Collections'!G2695,Disbursements!$C:$C,0)),"")</f>
        <v>1</v>
      </c>
      <c r="G2695" s="34">
        <v>18</v>
      </c>
      <c r="H2695" s="34">
        <v>595</v>
      </c>
      <c r="I2695" s="34" t="s">
        <v>1358</v>
      </c>
      <c r="J2695" s="48"/>
      <c r="K2695" s="48"/>
      <c r="L2695" s="48"/>
      <c r="M2695" s="48"/>
      <c r="N2695" s="59"/>
      <c r="O2695" s="59"/>
      <c r="P2695" s="59">
        <v>-40000</v>
      </c>
      <c r="Q2695" s="268">
        <v>-40000</v>
      </c>
      <c r="R2695" s="61">
        <f>IF(O2695=0,0,SUMIFS(Disbursements!$T:$T,Disbursements!$B:$B,'Live Collections'!D2695,Disbursements!$D:$D,'Live Collections'!F2695))</f>
        <v>0</v>
      </c>
      <c r="S2695" s="304"/>
      <c r="T2695" s="304">
        <f t="shared" si="129"/>
        <v>0</v>
      </c>
      <c r="U2695" s="52"/>
      <c r="V2695" s="34"/>
      <c r="W2695" s="408" t="s">
        <v>1994</v>
      </c>
    </row>
    <row r="2696" spans="1:23" ht="12.75" customHeight="1" x14ac:dyDescent="0.2">
      <c r="A2696" s="257">
        <v>2695</v>
      </c>
      <c r="B2696" s="44">
        <v>44579</v>
      </c>
      <c r="C2696" s="44">
        <v>44579</v>
      </c>
      <c r="D2696" s="374">
        <v>30</v>
      </c>
      <c r="E2696" s="291" t="str">
        <f>IFERROR(VLOOKUP($D2696,'Clients-Live'!$A:$C,3,0),"")</f>
        <v>SITARAYA PATRICIA IDERU</v>
      </c>
      <c r="F2696" s="291">
        <f>IFERROR(INDEX(Disbursements!$D:$D,MATCH('Live Collections'!G2696,Disbursements!$C:$C,0)),"")</f>
        <v>1</v>
      </c>
      <c r="G2696" s="34">
        <v>18</v>
      </c>
      <c r="H2696" s="34">
        <v>4352</v>
      </c>
      <c r="I2696" s="34" t="s">
        <v>1358</v>
      </c>
      <c r="J2696" s="48"/>
      <c r="K2696" s="48"/>
      <c r="L2696" s="48"/>
      <c r="M2696" s="48"/>
      <c r="N2696" s="59"/>
      <c r="O2696" s="59">
        <v>40000</v>
      </c>
      <c r="P2696" s="59"/>
      <c r="Q2696" s="268">
        <v>40000</v>
      </c>
      <c r="R2696" s="61">
        <f>IF(O2696=0,0,SUMIFS(Disbursements!$T:$T,Disbursements!$B:$B,'Live Collections'!D2696,Disbursements!$D:$D,'Live Collections'!F2696))</f>
        <v>120000</v>
      </c>
      <c r="S2696" s="304"/>
      <c r="T2696" s="304">
        <f t="shared" si="129"/>
        <v>40000</v>
      </c>
      <c r="U2696" s="52"/>
      <c r="V2696" s="34"/>
      <c r="W2696" s="408"/>
    </row>
    <row r="2697" spans="1:23" ht="12.75" customHeight="1" x14ac:dyDescent="0.2">
      <c r="A2697" s="257">
        <v>2696</v>
      </c>
      <c r="B2697" s="44">
        <v>44579</v>
      </c>
      <c r="C2697" s="44">
        <v>44579</v>
      </c>
      <c r="D2697" s="374">
        <v>60</v>
      </c>
      <c r="E2697" s="291" t="str">
        <f>IFERROR(VLOOKUP($D2697,'Clients-Live'!$A:$C,3,0),"")</f>
        <v>MATURU ALICE</v>
      </c>
      <c r="F2697" s="291">
        <f>IFERROR(INDEX(Disbursements!$D:$D,MATCH('Live Collections'!G2697,Disbursements!$C:$C,0)),"")</f>
        <v>2</v>
      </c>
      <c r="G2697" s="34">
        <v>200</v>
      </c>
      <c r="H2697" s="34">
        <v>593</v>
      </c>
      <c r="I2697" s="34" t="s">
        <v>1358</v>
      </c>
      <c r="J2697" s="48"/>
      <c r="K2697" s="48"/>
      <c r="L2697" s="48"/>
      <c r="M2697" s="48"/>
      <c r="N2697" s="59"/>
      <c r="O2697" s="59"/>
      <c r="P2697" s="59">
        <v>-60000</v>
      </c>
      <c r="Q2697" s="268">
        <v>-60000</v>
      </c>
      <c r="R2697" s="61">
        <f>IF(O2697=0,0,SUMIFS(Disbursements!$T:$T,Disbursements!$B:$B,'Live Collections'!D2697,Disbursements!$D:$D,'Live Collections'!F2697))</f>
        <v>0</v>
      </c>
      <c r="S2697" s="304">
        <f>IF(O2697&lt;=IF($O2697=0,0,SUMIFS(Disbursements!$W:$W,Disbursements!$B:$B,'Live Collections'!D727,Disbursements!$D:$D,'Live Collections'!F727)),O2697,IF($O2697=0,0,SUMIFS(Disbursements!$W:$W,Disbursements!$B:$B,'Live Collections'!D727,Disbursements!$D:$D,'Live Collections'!F727)))</f>
        <v>0</v>
      </c>
      <c r="T2697" s="304">
        <f t="shared" si="129"/>
        <v>0</v>
      </c>
      <c r="U2697" s="52"/>
      <c r="V2697" s="34"/>
      <c r="W2697" s="408" t="s">
        <v>1995</v>
      </c>
    </row>
    <row r="2698" spans="1:23" ht="12.75" customHeight="1" x14ac:dyDescent="0.2">
      <c r="A2698" s="257">
        <v>2697</v>
      </c>
      <c r="B2698" s="44">
        <v>44579</v>
      </c>
      <c r="C2698" s="44">
        <v>44579</v>
      </c>
      <c r="D2698" s="374">
        <v>60</v>
      </c>
      <c r="E2698" s="291" t="str">
        <f>IFERROR(VLOOKUP($D2698,'Clients-Live'!$A:$C,3,0),"")</f>
        <v>MATURU ALICE</v>
      </c>
      <c r="F2698" s="291">
        <f>IFERROR(INDEX(Disbursements!$D:$D,MATCH('Live Collections'!G2698,Disbursements!$C:$C,0)),"")</f>
        <v>2</v>
      </c>
      <c r="G2698" s="34">
        <v>200</v>
      </c>
      <c r="H2698" s="34">
        <v>4298</v>
      </c>
      <c r="I2698" s="34" t="s">
        <v>1358</v>
      </c>
      <c r="J2698" s="48"/>
      <c r="K2698" s="48"/>
      <c r="L2698" s="48"/>
      <c r="M2698" s="48"/>
      <c r="N2698" s="59"/>
      <c r="O2698" s="59">
        <v>60000</v>
      </c>
      <c r="P2698" s="59"/>
      <c r="Q2698" s="268">
        <v>60000</v>
      </c>
      <c r="R2698" s="61">
        <f>IF(O2698=0,0,SUMIFS(Disbursements!$T:$T,Disbursements!$B:$B,'Live Collections'!D2698,Disbursements!$D:$D,'Live Collections'!F2698))</f>
        <v>180000</v>
      </c>
      <c r="S2698" s="64">
        <v>-50666.666666666686</v>
      </c>
      <c r="T2698" s="304">
        <f t="shared" si="129"/>
        <v>110666.66666666669</v>
      </c>
      <c r="U2698" s="52"/>
      <c r="V2698" s="34"/>
      <c r="W2698" s="408" t="s">
        <v>2086</v>
      </c>
    </row>
    <row r="2699" spans="1:23" ht="12.75" customHeight="1" x14ac:dyDescent="0.2">
      <c r="A2699" s="257">
        <v>2700</v>
      </c>
      <c r="B2699" s="44">
        <v>44579</v>
      </c>
      <c r="C2699" s="44">
        <v>44579</v>
      </c>
      <c r="D2699" s="374">
        <v>60</v>
      </c>
      <c r="E2699" s="291" t="str">
        <f>IFERROR(VLOOKUP($D2699,'Clients-Live'!$A:$C,3,0),"")</f>
        <v>MATURU ALICE</v>
      </c>
      <c r="F2699" s="291">
        <f>IFERROR(INDEX(Disbursements!$D:$D,MATCH('Live Collections'!G2699,Disbursements!$C:$C,0)),"")</f>
        <v>2</v>
      </c>
      <c r="G2699" s="34">
        <v>200</v>
      </c>
      <c r="H2699" s="34">
        <v>4297</v>
      </c>
      <c r="I2699" s="34" t="s">
        <v>1358</v>
      </c>
      <c r="J2699" s="48"/>
      <c r="K2699" s="48"/>
      <c r="L2699" s="48"/>
      <c r="M2699" s="48"/>
      <c r="N2699" s="59"/>
      <c r="O2699" s="59">
        <v>150000</v>
      </c>
      <c r="P2699" s="59"/>
      <c r="Q2699" s="268">
        <v>150000</v>
      </c>
      <c r="R2699" s="61">
        <f>IF(O2699=0,0,SUMIFS(Disbursements!$T:$T,Disbursements!$B:$B,'Live Collections'!D2699,Disbursements!$D:$D,'Live Collections'!F2699))</f>
        <v>180000</v>
      </c>
      <c r="S2699" s="304"/>
      <c r="T2699" s="304">
        <f t="shared" si="129"/>
        <v>150000</v>
      </c>
      <c r="U2699" s="52"/>
      <c r="V2699" s="34"/>
      <c r="W2699" s="408"/>
    </row>
    <row r="2700" spans="1:23" ht="12.75" customHeight="1" x14ac:dyDescent="0.2">
      <c r="A2700" s="257">
        <v>2698</v>
      </c>
      <c r="B2700" s="44">
        <v>44579</v>
      </c>
      <c r="C2700" s="44">
        <v>44579</v>
      </c>
      <c r="D2700" s="374">
        <v>77</v>
      </c>
      <c r="E2700" s="291" t="str">
        <f>IFERROR(VLOOKUP($D2700,'Clients-Live'!$A:$C,3,0),"")</f>
        <v>CACA FATUMA</v>
      </c>
      <c r="F2700" s="291">
        <f>IFERROR(INDEX(Disbursements!$D:$D,MATCH('Live Collections'!G2700,Disbursements!$C:$C,0)),"")</f>
        <v>2</v>
      </c>
      <c r="G2700" s="34">
        <v>315</v>
      </c>
      <c r="H2700" s="34">
        <v>4353</v>
      </c>
      <c r="I2700" s="34" t="s">
        <v>1357</v>
      </c>
      <c r="J2700" s="48"/>
      <c r="K2700" s="48"/>
      <c r="L2700" s="48"/>
      <c r="M2700" s="48"/>
      <c r="N2700" s="59"/>
      <c r="O2700" s="59">
        <v>125000</v>
      </c>
      <c r="P2700" s="59"/>
      <c r="Q2700" s="268">
        <v>125000</v>
      </c>
      <c r="R2700" s="61">
        <f>IF(O2700=0,0,SUMIFS(Disbursements!$T:$T,Disbursements!$B:$B,'Live Collections'!D2700,Disbursements!$D:$D,'Live Collections'!F2700))</f>
        <v>325000</v>
      </c>
      <c r="S2700" s="304">
        <f>IF(O2700&lt;=IF($O2700=0,0,SUMIFS(Disbursements!$W:$W,Disbursements!$B:$B,'Live Collections'!D994,Disbursements!$D:$D,'Live Collections'!F994)),O2700,IF($O2700=0,0,SUMIFS(Disbursements!$W:$W,Disbursements!$B:$B,'Live Collections'!D994,Disbursements!$D:$D,'Live Collections'!F994)))</f>
        <v>100666.66666666669</v>
      </c>
      <c r="T2700" s="304">
        <f t="shared" si="129"/>
        <v>24333.333333333314</v>
      </c>
      <c r="U2700" s="52"/>
      <c r="V2700" s="34"/>
      <c r="W2700" s="408"/>
    </row>
    <row r="2701" spans="1:23" ht="12.75" customHeight="1" x14ac:dyDescent="0.2">
      <c r="A2701" s="257">
        <v>2702</v>
      </c>
      <c r="B2701" s="44">
        <v>44579</v>
      </c>
      <c r="C2701" s="44">
        <v>44579</v>
      </c>
      <c r="D2701" s="374">
        <v>85</v>
      </c>
      <c r="E2701" s="291" t="str">
        <f>IFERROR(VLOOKUP($D2701,'Clients-Live'!$A:$C,3,0),"")</f>
        <v>CEASER SWALEH</v>
      </c>
      <c r="F2701" s="291" t="str">
        <f>IFERROR(INDEX(Disbursements!$D:$D,MATCH('Live Collections'!G2701,Disbursements!$C:$C,0)),"")</f>
        <v/>
      </c>
      <c r="G2701" s="34"/>
      <c r="H2701" s="34">
        <v>4354</v>
      </c>
      <c r="I2701" s="34" t="s">
        <v>1357</v>
      </c>
      <c r="J2701" s="48"/>
      <c r="K2701" s="48"/>
      <c r="L2701" s="48">
        <v>25000</v>
      </c>
      <c r="M2701" s="48">
        <v>5000</v>
      </c>
      <c r="N2701" s="59"/>
      <c r="O2701" s="59"/>
      <c r="P2701" s="59"/>
      <c r="Q2701" s="268">
        <v>30000</v>
      </c>
      <c r="R2701" s="61">
        <f>IF(O2701=0,0,SUMIFS(Disbursements!$T:$T,Disbursements!$B:$B,'Live Collections'!D2701,Disbursements!$D:$D,'Live Collections'!F2701))</f>
        <v>0</v>
      </c>
      <c r="S2701" s="304">
        <f>IF(O2701&lt;=IF($O2701=0,0,SUMIFS(Disbursements!$W:$W,Disbursements!$B:$B,'Live Collections'!D1100,Disbursements!$D:$D,'Live Collections'!F1100)),O2701,IF($O2701=0,0,SUMIFS(Disbursements!$W:$W,Disbursements!$B:$B,'Live Collections'!D1100,Disbursements!$D:$D,'Live Collections'!F1100)))</f>
        <v>0</v>
      </c>
      <c r="T2701" s="304">
        <f t="shared" si="129"/>
        <v>0</v>
      </c>
      <c r="U2701" s="52"/>
      <c r="V2701" s="34"/>
      <c r="W2701" s="408"/>
    </row>
    <row r="2702" spans="1:23" ht="12.75" customHeight="1" x14ac:dyDescent="0.2">
      <c r="A2702" s="257">
        <v>2703</v>
      </c>
      <c r="B2702" s="44">
        <v>44579</v>
      </c>
      <c r="C2702" s="44">
        <v>44579</v>
      </c>
      <c r="D2702" s="374">
        <v>85</v>
      </c>
      <c r="E2702" s="291" t="str">
        <f>IFERROR(VLOOKUP($D2702,'Clients-Live'!$A:$C,3,0),"")</f>
        <v>CEASER SWALEH</v>
      </c>
      <c r="F2702" s="291" t="str">
        <f>IFERROR(INDEX(Disbursements!$D:$D,MATCH('Live Collections'!G2702,Disbursements!$C:$C,0)),"")</f>
        <v/>
      </c>
      <c r="G2702" s="34"/>
      <c r="H2702" s="34">
        <v>4405</v>
      </c>
      <c r="I2702" s="34" t="s">
        <v>1357</v>
      </c>
      <c r="J2702" s="48"/>
      <c r="K2702" s="48">
        <v>5000</v>
      </c>
      <c r="L2702" s="48"/>
      <c r="M2702" s="48"/>
      <c r="N2702" s="59"/>
      <c r="O2702" s="59"/>
      <c r="P2702" s="59"/>
      <c r="Q2702" s="268">
        <v>5000</v>
      </c>
      <c r="R2702" s="61">
        <f>IF(O2702=0,0,SUMIFS(Disbursements!$T:$T,Disbursements!$B:$B,'Live Collections'!D2702,Disbursements!$D:$D,'Live Collections'!F2702))</f>
        <v>0</v>
      </c>
      <c r="S2702" s="304">
        <f>IF(O2702&lt;=IF($O2702=0,0,SUMIFS(Disbursements!$W:$W,Disbursements!$B:$B,'Live Collections'!D1101,Disbursements!$D:$D,'Live Collections'!F1101)),O2702,IF($O2702=0,0,SUMIFS(Disbursements!$W:$W,Disbursements!$B:$B,'Live Collections'!D1101,Disbursements!$D:$D,'Live Collections'!F1101)))</f>
        <v>0</v>
      </c>
      <c r="T2702" s="304">
        <f t="shared" si="129"/>
        <v>0</v>
      </c>
      <c r="U2702" s="52"/>
      <c r="V2702" s="34"/>
      <c r="W2702" s="408"/>
    </row>
    <row r="2703" spans="1:23" ht="12.75" customHeight="1" x14ac:dyDescent="0.2">
      <c r="A2703" s="257">
        <v>2704</v>
      </c>
      <c r="B2703" s="44">
        <v>44579</v>
      </c>
      <c r="C2703" s="44">
        <v>44579</v>
      </c>
      <c r="D2703" s="374">
        <v>114</v>
      </c>
      <c r="E2703" s="291" t="str">
        <f>IFERROR(VLOOKUP($D2703,'Clients-Live'!$A:$C,3,0),"")</f>
        <v>ONZIA EMMILY</v>
      </c>
      <c r="F2703" s="291">
        <f>IFERROR(INDEX(Disbursements!$D:$D,MATCH('Live Collections'!G2703,Disbursements!$C:$C,0)),"")</f>
        <v>4</v>
      </c>
      <c r="G2703" s="34">
        <v>373</v>
      </c>
      <c r="H2703" s="34">
        <v>4356</v>
      </c>
      <c r="I2703" s="34" t="s">
        <v>1358</v>
      </c>
      <c r="J2703" s="48"/>
      <c r="K2703" s="48"/>
      <c r="L2703" s="48"/>
      <c r="M2703" s="48"/>
      <c r="N2703" s="59"/>
      <c r="O2703" s="59">
        <v>200000</v>
      </c>
      <c r="P2703" s="59"/>
      <c r="Q2703" s="268">
        <v>200000</v>
      </c>
      <c r="R2703" s="61">
        <f>IF(O2703=0,0,SUMIFS(Disbursements!$T:$T,Disbursements!$B:$B,'Live Collections'!D2703,Disbursements!$D:$D,'Live Collections'!F2703))</f>
        <v>625000</v>
      </c>
      <c r="S2703" s="304">
        <f>IF(O2703&lt;=IF($O2703=0,0,SUMIFS(Disbursements!$W:$W,Disbursements!$B:$B,'Live Collections'!D1473,Disbursements!$D:$D,'Live Collections'!F1473)),O2703,IF($O2703=0,0,SUMIFS(Disbursements!$W:$W,Disbursements!$B:$B,'Live Collections'!D1473,Disbursements!$D:$D,'Live Collections'!F1473)))</f>
        <v>25666.666666666672</v>
      </c>
      <c r="T2703" s="304">
        <f t="shared" si="129"/>
        <v>174333.33333333331</v>
      </c>
      <c r="U2703" s="52"/>
      <c r="V2703" s="34"/>
      <c r="W2703" s="408"/>
    </row>
    <row r="2704" spans="1:23" ht="12.75" customHeight="1" x14ac:dyDescent="0.2">
      <c r="A2704" s="257">
        <v>2707</v>
      </c>
      <c r="B2704" s="44">
        <v>44579</v>
      </c>
      <c r="C2704" s="44">
        <v>44579</v>
      </c>
      <c r="D2704" s="374">
        <v>179</v>
      </c>
      <c r="E2704" s="291" t="str">
        <f>IFERROR(VLOOKUP($D2704,'Clients-Live'!$A:$C,3,0),"")</f>
        <v>GERIA VIOLA</v>
      </c>
      <c r="F2704" s="291">
        <f>IFERROR(INDEX(Disbursements!$D:$D,MATCH('Live Collections'!G2704,Disbursements!$C:$C,0)),"")</f>
        <v>2</v>
      </c>
      <c r="G2704" s="34">
        <v>330</v>
      </c>
      <c r="H2704" s="34">
        <v>4359</v>
      </c>
      <c r="I2704" s="34" t="s">
        <v>1359</v>
      </c>
      <c r="J2704" s="48"/>
      <c r="K2704" s="48"/>
      <c r="L2704" s="48"/>
      <c r="M2704" s="48"/>
      <c r="N2704" s="59"/>
      <c r="O2704" s="59">
        <v>52000</v>
      </c>
      <c r="P2704" s="59"/>
      <c r="Q2704" s="268">
        <v>52000</v>
      </c>
      <c r="R2704" s="61">
        <f>IF(O2704=0,0,SUMIFS(Disbursements!$T:$T,Disbursements!$B:$B,'Live Collections'!D2704,Disbursements!$D:$D,'Live Collections'!F2704))</f>
        <v>100000</v>
      </c>
      <c r="S2704" s="304">
        <f>IF(O2704&lt;=IF($O2704=0,0,SUMIFS(Disbursements!$W:$W,Disbursements!$B:$B,'Live Collections'!D2196,Disbursements!$D:$D,'Live Collections'!F2196)),O2704,IF($O2704=0,0,SUMIFS(Disbursements!$W:$W,Disbursements!$B:$B,'Live Collections'!D2196,Disbursements!$D:$D,'Live Collections'!F2196)))</f>
        <v>30000</v>
      </c>
      <c r="T2704" s="304">
        <f t="shared" si="129"/>
        <v>22000</v>
      </c>
      <c r="U2704" s="52"/>
      <c r="V2704" s="34"/>
      <c r="W2704" s="408"/>
    </row>
    <row r="2705" spans="1:23" ht="12.75" customHeight="1" x14ac:dyDescent="0.2">
      <c r="A2705" s="257">
        <v>2701</v>
      </c>
      <c r="B2705" s="44">
        <v>44579</v>
      </c>
      <c r="C2705" s="44">
        <v>44579</v>
      </c>
      <c r="D2705" s="374">
        <v>185</v>
      </c>
      <c r="E2705" s="291" t="str">
        <f>IFERROR(VLOOKUP($D2705,'Clients-Live'!$A:$C,3,0),"")</f>
        <v>APAYI HARRIET</v>
      </c>
      <c r="F2705" s="291">
        <f>IFERROR(INDEX(Disbursements!$D:$D,MATCH('Live Collections'!G2705,Disbursements!$C:$C,0)),"")</f>
        <v>2</v>
      </c>
      <c r="G2705" s="34">
        <v>360</v>
      </c>
      <c r="H2705" s="34">
        <v>4355</v>
      </c>
      <c r="I2705" s="34" t="s">
        <v>1357</v>
      </c>
      <c r="J2705" s="48"/>
      <c r="K2705" s="48"/>
      <c r="L2705" s="48"/>
      <c r="M2705" s="48"/>
      <c r="N2705" s="59"/>
      <c r="O2705" s="59">
        <v>150000</v>
      </c>
      <c r="P2705" s="59"/>
      <c r="Q2705" s="268">
        <v>150000</v>
      </c>
      <c r="R2705" s="61">
        <f>IF(O2705=0,0,SUMIFS(Disbursements!$T:$T,Disbursements!$B:$B,'Live Collections'!D2705,Disbursements!$D:$D,'Live Collections'!F2705))</f>
        <v>325000</v>
      </c>
      <c r="S2705" s="304">
        <f>IF(O2705&lt;=IF($O2705=0,0,SUMIFS(Disbursements!$W:$W,Disbursements!$B:$B,'Live Collections'!D2254,Disbursements!$D:$D,'Live Collections'!F2254)),O2705,IF($O2705=0,0,SUMIFS(Disbursements!$W:$W,Disbursements!$B:$B,'Live Collections'!D2254,Disbursements!$D:$D,'Live Collections'!F2254)))</f>
        <v>57000</v>
      </c>
      <c r="T2705" s="304">
        <f t="shared" si="129"/>
        <v>93000</v>
      </c>
      <c r="U2705" s="52"/>
      <c r="V2705" s="34"/>
      <c r="W2705" s="408"/>
    </row>
    <row r="2706" spans="1:23" ht="12.75" customHeight="1" x14ac:dyDescent="0.2">
      <c r="A2706" s="257">
        <v>2699</v>
      </c>
      <c r="B2706" s="44">
        <v>44579</v>
      </c>
      <c r="C2706" s="44">
        <v>44579</v>
      </c>
      <c r="D2706" s="374">
        <v>197</v>
      </c>
      <c r="E2706" s="291" t="str">
        <f>IFERROR(VLOOKUP($D2706,'Clients-Live'!$A:$C,3,0),"")</f>
        <v>SIYESA JAMILA</v>
      </c>
      <c r="F2706" s="291">
        <f>IFERROR(INDEX(Disbursements!$D:$D,MATCH('Live Collections'!G2706,Disbursements!$C:$C,0)),"")</f>
        <v>1</v>
      </c>
      <c r="G2706" s="34">
        <v>192</v>
      </c>
      <c r="H2706" s="34">
        <v>4300</v>
      </c>
      <c r="I2706" s="34" t="s">
        <v>1358</v>
      </c>
      <c r="J2706" s="48"/>
      <c r="K2706" s="48"/>
      <c r="L2706" s="48"/>
      <c r="M2706" s="48"/>
      <c r="N2706" s="59"/>
      <c r="O2706" s="59">
        <v>40000</v>
      </c>
      <c r="P2706" s="59"/>
      <c r="Q2706" s="268">
        <v>40000</v>
      </c>
      <c r="R2706" s="61">
        <f>IF(O2706=0,0,SUMIFS(Disbursements!$T:$T,Disbursements!$B:$B,'Live Collections'!D2706,Disbursements!$D:$D,'Live Collections'!F2706))</f>
        <v>120000</v>
      </c>
      <c r="S2706" s="304"/>
      <c r="T2706" s="304">
        <f t="shared" si="129"/>
        <v>40000</v>
      </c>
      <c r="U2706" s="52"/>
      <c r="V2706" s="34"/>
      <c r="W2706" s="408"/>
    </row>
    <row r="2707" spans="1:23" ht="12.75" customHeight="1" x14ac:dyDescent="0.2">
      <c r="A2707" s="257">
        <v>2706</v>
      </c>
      <c r="B2707" s="44">
        <v>44579</v>
      </c>
      <c r="C2707" s="44">
        <v>44579</v>
      </c>
      <c r="D2707" s="374">
        <v>215</v>
      </c>
      <c r="E2707" s="291" t="str">
        <f>IFERROR(VLOOKUP($D2707,'Clients-Live'!$A:$C,3,0),"")</f>
        <v>BRANI MUSA</v>
      </c>
      <c r="F2707" s="291">
        <f>IFERROR(INDEX(Disbursements!$D:$D,MATCH('Live Collections'!G2707,Disbursements!$C:$C,0)),"")</f>
        <v>2</v>
      </c>
      <c r="G2707" s="34">
        <v>343</v>
      </c>
      <c r="H2707" s="34">
        <v>4358</v>
      </c>
      <c r="I2707" s="34" t="s">
        <v>1357</v>
      </c>
      <c r="J2707" s="48"/>
      <c r="K2707" s="48"/>
      <c r="L2707" s="48"/>
      <c r="M2707" s="48"/>
      <c r="N2707" s="59"/>
      <c r="O2707" s="59">
        <v>80000</v>
      </c>
      <c r="P2707" s="59"/>
      <c r="Q2707" s="268">
        <v>80000</v>
      </c>
      <c r="R2707" s="61">
        <f>IF(O2707=0,0,SUMIFS(Disbursements!$T:$T,Disbursements!$B:$B,'Live Collections'!D2707,Disbursements!$D:$D,'Live Collections'!F2707))</f>
        <v>369000</v>
      </c>
      <c r="S2707" s="304">
        <f>IF(O2707&lt;=IF($O2707=0,0,SUMIFS(Disbursements!$W:$W,Disbursements!$B:$B,'Live Collections'!D2539,Disbursements!$D:$D,'Live Collections'!F2539)),O2707,IF($O2707=0,0,SUMIFS(Disbursements!$W:$W,Disbursements!$B:$B,'Live Collections'!D2539,Disbursements!$D:$D,'Live Collections'!F2539)))</f>
        <v>25666.666666666672</v>
      </c>
      <c r="T2707" s="304">
        <f t="shared" si="129"/>
        <v>54333.333333333328</v>
      </c>
      <c r="U2707" s="52"/>
      <c r="V2707" s="34"/>
      <c r="W2707" s="408"/>
    </row>
    <row r="2708" spans="1:23" ht="12.75" customHeight="1" x14ac:dyDescent="0.2">
      <c r="A2708" s="257">
        <v>2705</v>
      </c>
      <c r="B2708" s="44">
        <v>44579</v>
      </c>
      <c r="C2708" s="44">
        <v>44579</v>
      </c>
      <c r="D2708" s="374">
        <v>252</v>
      </c>
      <c r="E2708" s="291" t="str">
        <f>IFERROR(VLOOKUP($D2708,'Clients-Live'!$A:$C,3,0),"")</f>
        <v>ANGUCIA JESCA</v>
      </c>
      <c r="F2708" s="291">
        <f>IFERROR(INDEX(Disbursements!$D:$D,MATCH('Live Collections'!G2708,Disbursements!$C:$C,0)),"")</f>
        <v>1</v>
      </c>
      <c r="G2708" s="34">
        <v>286</v>
      </c>
      <c r="H2708" s="34">
        <v>4357</v>
      </c>
      <c r="I2708" s="34" t="s">
        <v>1359</v>
      </c>
      <c r="J2708" s="48"/>
      <c r="K2708" s="48"/>
      <c r="L2708" s="48"/>
      <c r="M2708" s="48"/>
      <c r="N2708" s="59"/>
      <c r="O2708" s="59">
        <v>40000</v>
      </c>
      <c r="P2708" s="59"/>
      <c r="Q2708" s="268">
        <v>40000</v>
      </c>
      <c r="R2708" s="61">
        <f>IF(O2708=0,0,SUMIFS(Disbursements!$T:$T,Disbursements!$B:$B,'Live Collections'!D2708,Disbursements!$D:$D,'Live Collections'!F2708))</f>
        <v>120000</v>
      </c>
      <c r="S2708" s="304">
        <f>IF(O2708&lt;=IF($O2708=0,0,SUMIFS(Disbursements!$W:$W,Disbursements!$B:$B,'Live Collections'!D2834,Disbursements!$D:$D,'Live Collections'!F2834)),O2708,IF($O2708=0,0,SUMIFS(Disbursements!$W:$W,Disbursements!$B:$B,'Live Collections'!D2834,Disbursements!$D:$D,'Live Collections'!F2834)))</f>
        <v>25000</v>
      </c>
      <c r="T2708" s="304">
        <f t="shared" si="129"/>
        <v>15000</v>
      </c>
      <c r="U2708" s="52"/>
      <c r="V2708" s="34"/>
      <c r="W2708" s="408"/>
    </row>
    <row r="2709" spans="1:23" ht="12.75" customHeight="1" x14ac:dyDescent="0.2">
      <c r="A2709" s="257">
        <v>2712</v>
      </c>
      <c r="B2709" s="44">
        <v>44580</v>
      </c>
      <c r="C2709" s="44">
        <v>44580</v>
      </c>
      <c r="D2709" s="374">
        <v>46</v>
      </c>
      <c r="E2709" s="291" t="str">
        <f>IFERROR(VLOOKUP($D2709,'Clients-Live'!$A:$C,3,0),"")</f>
        <v>ALIO YUDA</v>
      </c>
      <c r="F2709" s="291">
        <f>IFERROR(INDEX(Disbursements!$D:$D,MATCH('Live Collections'!G2709,Disbursements!$C:$C,0)),"")</f>
        <v>2</v>
      </c>
      <c r="G2709" s="34">
        <v>400</v>
      </c>
      <c r="H2709" s="34">
        <v>4409</v>
      </c>
      <c r="I2709" s="34" t="s">
        <v>1357</v>
      </c>
      <c r="J2709" s="48"/>
      <c r="K2709" s="48"/>
      <c r="L2709" s="48"/>
      <c r="M2709" s="48"/>
      <c r="N2709" s="59"/>
      <c r="O2709" s="59">
        <v>75000</v>
      </c>
      <c r="P2709" s="59"/>
      <c r="Q2709" s="268">
        <v>75000</v>
      </c>
      <c r="R2709" s="61">
        <f>IF(O2709=0,0,SUMIFS(Disbursements!$T:$T,Disbursements!$B:$B,'Live Collections'!D2709,Disbursements!$D:$D,'Live Collections'!F2709))</f>
        <v>76000</v>
      </c>
      <c r="S2709" s="304">
        <f>IF(O2709&lt;=IF($O2709=0,0,SUMIFS(Disbursements!$W:$W,Disbursements!$B:$B,'Live Collections'!D531,Disbursements!$D:$D,'Live Collections'!F531)),O2709,IF($O2709=0,0,SUMIFS(Disbursements!$W:$W,Disbursements!$B:$B,'Live Collections'!D531,Disbursements!$D:$D,'Live Collections'!F531)))</f>
        <v>50333.333333333343</v>
      </c>
      <c r="T2709" s="304">
        <f t="shared" si="129"/>
        <v>24666.666666666657</v>
      </c>
      <c r="U2709" s="52"/>
      <c r="V2709" s="34"/>
      <c r="W2709" s="408"/>
    </row>
    <row r="2710" spans="1:23" ht="12.75" customHeight="1" x14ac:dyDescent="0.2">
      <c r="A2710" s="257">
        <v>2709</v>
      </c>
      <c r="B2710" s="44">
        <v>44580</v>
      </c>
      <c r="C2710" s="44">
        <v>44580</v>
      </c>
      <c r="D2710" s="374">
        <v>59</v>
      </c>
      <c r="E2710" s="291" t="str">
        <f>IFERROR(VLOOKUP($D2710,'Clients-Live'!$A:$C,3,0),"")</f>
        <v>ONZIA AGNES</v>
      </c>
      <c r="F2710" s="291">
        <f>IFERROR(INDEX(Disbursements!$D:$D,MATCH('Live Collections'!G2710,Disbursements!$C:$C,0)),"")</f>
        <v>2</v>
      </c>
      <c r="G2710" s="34">
        <v>284</v>
      </c>
      <c r="H2710" s="34">
        <v>4370</v>
      </c>
      <c r="I2710" s="34" t="s">
        <v>1358</v>
      </c>
      <c r="J2710" s="48"/>
      <c r="K2710" s="48"/>
      <c r="L2710" s="48"/>
      <c r="M2710" s="48"/>
      <c r="N2710" s="59"/>
      <c r="O2710" s="59">
        <v>90000</v>
      </c>
      <c r="P2710" s="59"/>
      <c r="Q2710" s="268">
        <v>90000</v>
      </c>
      <c r="R2710" s="61">
        <f>IF(O2710=0,0,SUMIFS(Disbursements!$T:$T,Disbursements!$B:$B,'Live Collections'!D2710,Disbursements!$D:$D,'Live Collections'!F2710))</f>
        <v>180000</v>
      </c>
      <c r="S2710" s="304">
        <f>IF(O2710&lt;=IF($O2710=0,0,SUMIFS(Disbursements!$W:$W,Disbursements!$B:$B,'Live Collections'!D710,Disbursements!$D:$D,'Live Collections'!F710)),O2710,IF($O2710=0,0,SUMIFS(Disbursements!$W:$W,Disbursements!$B:$B,'Live Collections'!D710,Disbursements!$D:$D,'Live Collections'!F710)))</f>
        <v>3333.3333333333321</v>
      </c>
      <c r="T2710" s="304">
        <f t="shared" si="129"/>
        <v>86666.666666666672</v>
      </c>
      <c r="U2710" s="52"/>
      <c r="V2710" s="34"/>
      <c r="W2710" s="408"/>
    </row>
    <row r="2711" spans="1:23" ht="12.75" customHeight="1" x14ac:dyDescent="0.2">
      <c r="A2711" s="257">
        <v>2711</v>
      </c>
      <c r="B2711" s="44">
        <v>44580</v>
      </c>
      <c r="C2711" s="44">
        <v>44580</v>
      </c>
      <c r="D2711" s="374">
        <v>91</v>
      </c>
      <c r="E2711" s="291" t="str">
        <f>IFERROR(VLOOKUP($D2711,'Clients-Live'!$A:$C,3,0),"")</f>
        <v>CHANDIRU SALILA</v>
      </c>
      <c r="F2711" s="291">
        <f>IFERROR(INDEX(Disbursements!$D:$D,MATCH('Live Collections'!G2711,Disbursements!$C:$C,0)),"")</f>
        <v>2</v>
      </c>
      <c r="G2711" s="34">
        <v>327</v>
      </c>
      <c r="H2711" s="34">
        <v>4367</v>
      </c>
      <c r="I2711" s="34" t="s">
        <v>1359</v>
      </c>
      <c r="J2711" s="48"/>
      <c r="K2711" s="48"/>
      <c r="L2711" s="48"/>
      <c r="M2711" s="48"/>
      <c r="N2711" s="59"/>
      <c r="O2711" s="59">
        <v>60000</v>
      </c>
      <c r="P2711" s="59"/>
      <c r="Q2711" s="268">
        <v>60000</v>
      </c>
      <c r="R2711" s="61">
        <f>IF(O2711=0,0,SUMIFS(Disbursements!$T:$T,Disbursements!$B:$B,'Live Collections'!D2711,Disbursements!$D:$D,'Live Collections'!F2711))</f>
        <v>60000</v>
      </c>
      <c r="S2711" s="304">
        <f>IF(O2711&lt;=IF($O2711=0,0,SUMIFS(Disbursements!$W:$W,Disbursements!$B:$B,'Live Collections'!D2097,Disbursements!$D:$D,'Live Collections'!F2097)),O2711,IF($O2711=0,0,SUMIFS(Disbursements!$W:$W,Disbursements!$B:$B,'Live Collections'!D2097,Disbursements!$D:$D,'Live Collections'!F2097)))</f>
        <v>4000</v>
      </c>
      <c r="T2711" s="304">
        <f t="shared" si="129"/>
        <v>56000</v>
      </c>
      <c r="U2711" s="52"/>
      <c r="V2711" s="34"/>
      <c r="W2711" s="408"/>
    </row>
    <row r="2712" spans="1:23" ht="12.75" customHeight="1" x14ac:dyDescent="0.2">
      <c r="A2712" s="257">
        <v>2718</v>
      </c>
      <c r="B2712" s="44">
        <v>44580</v>
      </c>
      <c r="C2712" s="44">
        <v>44580</v>
      </c>
      <c r="D2712" s="374">
        <v>116</v>
      </c>
      <c r="E2712" s="291" t="str">
        <f>IFERROR(VLOOKUP($D2712,'Clients-Live'!$A:$C,3,0),"")</f>
        <v>ONZIA LUCY</v>
      </c>
      <c r="F2712" s="291">
        <f>IFERROR(INDEX(Disbursements!$D:$D,MATCH('Live Collections'!G2712,Disbursements!$C:$C,0)),"")</f>
        <v>3</v>
      </c>
      <c r="G2712" s="34">
        <v>361</v>
      </c>
      <c r="H2712" s="34">
        <v>4362</v>
      </c>
      <c r="I2712" s="34" t="s">
        <v>1357</v>
      </c>
      <c r="J2712" s="48"/>
      <c r="K2712" s="48"/>
      <c r="L2712" s="48"/>
      <c r="M2712" s="48"/>
      <c r="N2712" s="59"/>
      <c r="O2712" s="59">
        <v>43000</v>
      </c>
      <c r="P2712" s="59"/>
      <c r="Q2712" s="268">
        <v>43000</v>
      </c>
      <c r="R2712" s="61">
        <f>IF(O2712=0,0,SUMIFS(Disbursements!$T:$T,Disbursements!$B:$B,'Live Collections'!D2712,Disbursements!$D:$D,'Live Collections'!F2712))</f>
        <v>120000</v>
      </c>
      <c r="S2712" s="304">
        <f>IF(O2712&lt;=IF($O2712=0,0,SUMIFS(Disbursements!$W:$W,Disbursements!$B:$B,'Live Collections'!D1513,Disbursements!$D:$D,'Live Collections'!F1513)),O2712,IF($O2712=0,0,SUMIFS(Disbursements!$W:$W,Disbursements!$B:$B,'Live Collections'!D1513,Disbursements!$D:$D,'Live Collections'!F1513)))</f>
        <v>0</v>
      </c>
      <c r="T2712" s="304">
        <f t="shared" si="129"/>
        <v>43000</v>
      </c>
      <c r="U2712" s="52"/>
      <c r="V2712" s="34"/>
      <c r="W2712" s="408"/>
    </row>
    <row r="2713" spans="1:23" ht="12.75" customHeight="1" x14ac:dyDescent="0.2">
      <c r="A2713" s="257">
        <v>2717</v>
      </c>
      <c r="B2713" s="44">
        <v>44580</v>
      </c>
      <c r="C2713" s="44">
        <v>44580</v>
      </c>
      <c r="D2713" s="374">
        <v>160</v>
      </c>
      <c r="E2713" s="291" t="str">
        <f>IFERROR(VLOOKUP($D2713,'Clients-Live'!$A:$C,3,0),"")</f>
        <v>CHANDI ZANABU</v>
      </c>
      <c r="F2713" s="291">
        <f>IFERROR(INDEX(Disbursements!$D:$D,MATCH('Live Collections'!G2713,Disbursements!$C:$C,0)),"")</f>
        <v>2</v>
      </c>
      <c r="G2713" s="34">
        <v>267</v>
      </c>
      <c r="H2713" s="34">
        <v>4403</v>
      </c>
      <c r="I2713" s="34" t="s">
        <v>1358</v>
      </c>
      <c r="J2713" s="48"/>
      <c r="K2713" s="48"/>
      <c r="L2713" s="48"/>
      <c r="M2713" s="48"/>
      <c r="N2713" s="59"/>
      <c r="O2713" s="59">
        <v>50000</v>
      </c>
      <c r="P2713" s="59"/>
      <c r="Q2713" s="268">
        <v>50000</v>
      </c>
      <c r="R2713" s="61">
        <f>IF(O2713=0,0,SUMIFS(Disbursements!$T:$T,Disbursements!$B:$B,'Live Collections'!D2713,Disbursements!$D:$D,'Live Collections'!F2713))</f>
        <v>150000</v>
      </c>
      <c r="S2713" s="304"/>
      <c r="T2713" s="304">
        <f t="shared" si="129"/>
        <v>50000</v>
      </c>
      <c r="U2713" s="52"/>
      <c r="V2713" s="34"/>
      <c r="W2713" s="408"/>
    </row>
    <row r="2714" spans="1:23" ht="12.75" customHeight="1" x14ac:dyDescent="0.2">
      <c r="A2714" s="257">
        <v>2713</v>
      </c>
      <c r="B2714" s="44">
        <v>44580</v>
      </c>
      <c r="C2714" s="44">
        <v>44580</v>
      </c>
      <c r="D2714" s="374">
        <v>169</v>
      </c>
      <c r="E2714" s="291" t="str">
        <f>IFERROR(VLOOKUP($D2714,'Clients-Live'!$A:$C,3,0),"")</f>
        <v>KATO KENNEDY</v>
      </c>
      <c r="F2714" s="291">
        <f>IFERROR(INDEX(Disbursements!$D:$D,MATCH('Live Collections'!G2714,Disbursements!$C:$C,0)),"")</f>
        <v>2</v>
      </c>
      <c r="G2714" s="34">
        <v>394</v>
      </c>
      <c r="H2714" s="34">
        <v>4366</v>
      </c>
      <c r="I2714" s="34" t="s">
        <v>1357</v>
      </c>
      <c r="J2714" s="48"/>
      <c r="K2714" s="48"/>
      <c r="L2714" s="48"/>
      <c r="M2714" s="48"/>
      <c r="N2714" s="59"/>
      <c r="O2714" s="59">
        <v>58000</v>
      </c>
      <c r="P2714" s="59"/>
      <c r="Q2714" s="268">
        <v>58000</v>
      </c>
      <c r="R2714" s="61">
        <f>IF(O2714=0,0,SUMIFS(Disbursements!$T:$T,Disbursements!$B:$B,'Live Collections'!D2714,Disbursements!$D:$D,'Live Collections'!F2714))</f>
        <v>58000</v>
      </c>
      <c r="S2714" s="304">
        <f>IF(O2714&lt;=IF($O2714=0,0,SUMIFS(Disbursements!$W:$W,Disbursements!$B:$B,'Live Collections'!D2103,Disbursements!$D:$D,'Live Collections'!F2103)),O2714,IF($O2714=0,0,SUMIFS(Disbursements!$W:$W,Disbursements!$B:$B,'Live Collections'!D2103,Disbursements!$D:$D,'Live Collections'!F2103)))</f>
        <v>0</v>
      </c>
      <c r="T2714" s="304">
        <f t="shared" si="129"/>
        <v>58000</v>
      </c>
      <c r="U2714" s="52"/>
      <c r="V2714" s="34"/>
      <c r="W2714" s="408"/>
    </row>
    <row r="2715" spans="1:23" ht="12.75" customHeight="1" x14ac:dyDescent="0.2">
      <c r="A2715" s="257">
        <v>2722</v>
      </c>
      <c r="B2715" s="44">
        <v>44580</v>
      </c>
      <c r="C2715" s="44">
        <v>44580</v>
      </c>
      <c r="D2715" s="374">
        <v>177</v>
      </c>
      <c r="E2715" s="291" t="str">
        <f>IFERROR(VLOOKUP($D2715,'Clients-Live'!$A:$C,3,0),"")</f>
        <v>EFIT GIFT</v>
      </c>
      <c r="F2715" s="291">
        <f>IFERROR(INDEX(Disbursements!$D:$D,MATCH('Live Collections'!G2715,Disbursements!$C:$C,0)),"")</f>
        <v>1</v>
      </c>
      <c r="G2715" s="34">
        <v>183</v>
      </c>
      <c r="H2715" s="34">
        <v>4406</v>
      </c>
      <c r="I2715" s="34" t="s">
        <v>1358</v>
      </c>
      <c r="J2715" s="48"/>
      <c r="K2715" s="48"/>
      <c r="L2715" s="48"/>
      <c r="M2715" s="48"/>
      <c r="N2715" s="59"/>
      <c r="O2715" s="59">
        <v>170000</v>
      </c>
      <c r="P2715" s="59"/>
      <c r="Q2715" s="268">
        <v>170000</v>
      </c>
      <c r="R2715" s="61">
        <f>IF(O2715=0,0,SUMIFS(Disbursements!$T:$T,Disbursements!$B:$B,'Live Collections'!D2715,Disbursements!$D:$D,'Live Collections'!F2715))</f>
        <v>109000</v>
      </c>
      <c r="S2715" s="304">
        <f>IF(O2715&lt;=IF($O2715=0,0,SUMIFS(Disbursements!$W:$W,Disbursements!$B:$B,'Live Collections'!D2180,Disbursements!$D:$D,'Live Collections'!F2180)),O2715,IF($O2715=0,0,SUMIFS(Disbursements!$W:$W,Disbursements!$B:$B,'Live Collections'!D2180,Disbursements!$D:$D,'Live Collections'!F2180)))</f>
        <v>9000</v>
      </c>
      <c r="T2715" s="304">
        <f t="shared" si="129"/>
        <v>161000</v>
      </c>
      <c r="U2715" s="52"/>
      <c r="V2715" s="34"/>
      <c r="W2715" s="408"/>
    </row>
    <row r="2716" spans="1:23" ht="12.75" customHeight="1" x14ac:dyDescent="0.2">
      <c r="A2716" s="257">
        <v>2714</v>
      </c>
      <c r="B2716" s="44">
        <v>44580</v>
      </c>
      <c r="C2716" s="44">
        <v>44580</v>
      </c>
      <c r="D2716" s="374">
        <v>189</v>
      </c>
      <c r="E2716" s="291" t="str">
        <f>IFERROR(VLOOKUP($D2716,'Clients-Live'!$A:$C,3,0),"")</f>
        <v>AYIDA SELUWA</v>
      </c>
      <c r="F2716" s="291">
        <f>IFERROR(INDEX(Disbursements!$D:$D,MATCH('Live Collections'!G2716,Disbursements!$C:$C,0)),"")</f>
        <v>2</v>
      </c>
      <c r="G2716" s="34">
        <v>401</v>
      </c>
      <c r="H2716" s="34">
        <v>4365</v>
      </c>
      <c r="I2716" s="34" t="s">
        <v>1359</v>
      </c>
      <c r="J2716" s="48"/>
      <c r="K2716" s="48"/>
      <c r="L2716" s="48"/>
      <c r="M2716" s="48"/>
      <c r="N2716" s="59"/>
      <c r="O2716" s="59">
        <v>32000</v>
      </c>
      <c r="P2716" s="59"/>
      <c r="Q2716" s="268">
        <v>32000</v>
      </c>
      <c r="R2716" s="61">
        <f>IF(O2716=0,0,SUMIFS(Disbursements!$T:$T,Disbursements!$B:$B,'Live Collections'!D2716,Disbursements!$D:$D,'Live Collections'!F2716))</f>
        <v>34000</v>
      </c>
      <c r="S2716" s="304">
        <f>IF(O2716&lt;=IF($O2716=0,0,SUMIFS(Disbursements!$W:$W,Disbursements!$B:$B,'Live Collections'!D2306,Disbursements!$D:$D,'Live Collections'!F2306)),O2716,IF($O2716=0,0,SUMIFS(Disbursements!$W:$W,Disbursements!$B:$B,'Live Collections'!D2306,Disbursements!$D:$D,'Live Collections'!F2306)))</f>
        <v>25666.666666666672</v>
      </c>
      <c r="T2716" s="304">
        <f t="shared" si="129"/>
        <v>6333.3333333333285</v>
      </c>
      <c r="U2716" s="52"/>
      <c r="V2716" s="34"/>
      <c r="W2716" s="408"/>
    </row>
    <row r="2717" spans="1:23" ht="12.75" customHeight="1" x14ac:dyDescent="0.2">
      <c r="A2717" s="257">
        <v>2710</v>
      </c>
      <c r="B2717" s="44">
        <v>44580</v>
      </c>
      <c r="C2717" s="44">
        <v>44580</v>
      </c>
      <c r="D2717" s="374">
        <v>205</v>
      </c>
      <c r="E2717" s="291" t="str">
        <f>IFERROR(VLOOKUP($D2717,'Clients-Live'!$A:$C,3,0),"")</f>
        <v>OPIRU ALICE</v>
      </c>
      <c r="F2717" s="291">
        <f>IFERROR(INDEX(Disbursements!$D:$D,MATCH('Live Collections'!G2717,Disbursements!$C:$C,0)),"")</f>
        <v>2</v>
      </c>
      <c r="G2717" s="34">
        <v>396</v>
      </c>
      <c r="H2717" s="34">
        <v>4368</v>
      </c>
      <c r="I2717" s="34" t="s">
        <v>1359</v>
      </c>
      <c r="J2717" s="48"/>
      <c r="K2717" s="48"/>
      <c r="L2717" s="48"/>
      <c r="M2717" s="48"/>
      <c r="N2717" s="59"/>
      <c r="O2717" s="59">
        <v>39400</v>
      </c>
      <c r="P2717" s="59"/>
      <c r="Q2717" s="268">
        <v>39400</v>
      </c>
      <c r="R2717" s="61">
        <f>IF(O2717=0,0,SUMIFS(Disbursements!$T:$T,Disbursements!$B:$B,'Live Collections'!D2717,Disbursements!$D:$D,'Live Collections'!F2717))</f>
        <v>40000</v>
      </c>
      <c r="S2717" s="304">
        <f>IF(O2717&lt;=IF($O2717=0,0,SUMIFS(Disbursements!$W:$W,Disbursements!$B:$B,'Live Collections'!D2431,Disbursements!$D:$D,'Live Collections'!F2431)),O2717,IF($O2717=0,0,SUMIFS(Disbursements!$W:$W,Disbursements!$B:$B,'Live Collections'!D2431,Disbursements!$D:$D,'Live Collections'!F2431)))</f>
        <v>25000</v>
      </c>
      <c r="T2717" s="304">
        <f t="shared" si="129"/>
        <v>14400</v>
      </c>
      <c r="U2717" s="52"/>
      <c r="V2717" s="34"/>
      <c r="W2717" s="408"/>
    </row>
    <row r="2718" spans="1:23" ht="12.75" customHeight="1" x14ac:dyDescent="0.2">
      <c r="A2718" s="257">
        <v>2720</v>
      </c>
      <c r="B2718" s="44">
        <v>44580</v>
      </c>
      <c r="C2718" s="44">
        <v>44580</v>
      </c>
      <c r="D2718" s="374">
        <v>215</v>
      </c>
      <c r="E2718" s="291" t="str">
        <f>IFERROR(VLOOKUP($D2718,'Clients-Live'!$A:$C,3,0),"")</f>
        <v>BRANI MUSA</v>
      </c>
      <c r="F2718" s="291">
        <f>IFERROR(INDEX(Disbursements!$D:$D,MATCH('Live Collections'!G2718,Disbursements!$C:$C,0)),"")</f>
        <v>2</v>
      </c>
      <c r="G2718" s="34">
        <v>343</v>
      </c>
      <c r="H2718" s="34">
        <v>4361</v>
      </c>
      <c r="I2718" s="34" t="s">
        <v>1357</v>
      </c>
      <c r="J2718" s="48"/>
      <c r="K2718" s="48"/>
      <c r="L2718" s="48"/>
      <c r="M2718" s="48"/>
      <c r="N2718" s="59"/>
      <c r="O2718" s="59">
        <v>100000</v>
      </c>
      <c r="P2718" s="59"/>
      <c r="Q2718" s="268">
        <v>100000</v>
      </c>
      <c r="R2718" s="61">
        <f>IF(O2718=0,0,SUMIFS(Disbursements!$T:$T,Disbursements!$B:$B,'Live Collections'!D2718,Disbursements!$D:$D,'Live Collections'!F2718))</f>
        <v>369000</v>
      </c>
      <c r="S2718" s="304">
        <f>IF(O2718&lt;=IF($O2718=0,0,SUMIFS(Disbursements!$W:$W,Disbursements!$B:$B,'Live Collections'!D2540,Disbursements!$D:$D,'Live Collections'!F2540)),O2718,IF($O2718=0,0,SUMIFS(Disbursements!$W:$W,Disbursements!$B:$B,'Live Collections'!D2540,Disbursements!$D:$D,'Live Collections'!F2540)))</f>
        <v>20000</v>
      </c>
      <c r="T2718" s="304">
        <f t="shared" si="129"/>
        <v>80000</v>
      </c>
      <c r="U2718" s="52"/>
      <c r="V2718" s="34"/>
      <c r="W2718" s="408"/>
    </row>
    <row r="2719" spans="1:23" ht="12.75" customHeight="1" x14ac:dyDescent="0.2">
      <c r="A2719" s="257">
        <v>2721</v>
      </c>
      <c r="B2719" s="44">
        <v>44580</v>
      </c>
      <c r="C2719" s="44">
        <v>44580</v>
      </c>
      <c r="D2719" s="374">
        <v>243</v>
      </c>
      <c r="E2719" s="291" t="str">
        <f>IFERROR(VLOOKUP($D2719,'Clients-Live'!$A:$C,3,0),"")</f>
        <v>AMANIYO FARIDA</v>
      </c>
      <c r="F2719" s="291">
        <f>IFERROR(INDEX(Disbursements!$D:$D,MATCH('Live Collections'!G2719,Disbursements!$C:$C,0)),"")</f>
        <v>1</v>
      </c>
      <c r="G2719" s="34">
        <v>274</v>
      </c>
      <c r="H2719" s="34">
        <v>4360</v>
      </c>
      <c r="I2719" s="34" t="s">
        <v>1357</v>
      </c>
      <c r="J2719" s="48"/>
      <c r="K2719" s="48"/>
      <c r="L2719" s="48"/>
      <c r="M2719" s="48"/>
      <c r="N2719" s="59"/>
      <c r="O2719" s="59">
        <v>150000</v>
      </c>
      <c r="P2719" s="59"/>
      <c r="Q2719" s="268">
        <v>150000</v>
      </c>
      <c r="R2719" s="61">
        <f>IF(O2719=0,0,SUMIFS(Disbursements!$T:$T,Disbursements!$B:$B,'Live Collections'!D2719,Disbursements!$D:$D,'Live Collections'!F2719))</f>
        <v>150000</v>
      </c>
      <c r="S2719" s="304">
        <f>IF(O2719&lt;=IF($O2719=0,0,SUMIFS(Disbursements!$W:$W,Disbursements!$B:$B,'Live Collections'!D2771,Disbursements!$D:$D,'Live Collections'!F2771)),O2719,IF($O2719=0,0,SUMIFS(Disbursements!$W:$W,Disbursements!$B:$B,'Live Collections'!D2771,Disbursements!$D:$D,'Live Collections'!F2771)))</f>
        <v>75000</v>
      </c>
      <c r="T2719" s="304">
        <f t="shared" si="129"/>
        <v>75000</v>
      </c>
      <c r="U2719" s="52"/>
      <c r="V2719" s="34"/>
      <c r="W2719" s="408"/>
    </row>
    <row r="2720" spans="1:23" ht="12.75" customHeight="1" x14ac:dyDescent="0.2">
      <c r="A2720" s="257">
        <v>2716</v>
      </c>
      <c r="B2720" s="44">
        <v>44580</v>
      </c>
      <c r="C2720" s="44">
        <v>44580</v>
      </c>
      <c r="D2720" s="374">
        <v>270</v>
      </c>
      <c r="E2720" s="291" t="str">
        <f>IFERROR(VLOOKUP($D2720,'Clients-Live'!$A:$C,3,0),"")</f>
        <v>AJOBE SAMUEL</v>
      </c>
      <c r="F2720" s="291">
        <f>IFERROR(INDEX(Disbursements!$D:$D,MATCH('Live Collections'!G2720,Disbursements!$C:$C,0)),"")</f>
        <v>1</v>
      </c>
      <c r="G2720" s="34">
        <v>313</v>
      </c>
      <c r="H2720" s="34">
        <v>4363</v>
      </c>
      <c r="I2720" s="34" t="s">
        <v>1359</v>
      </c>
      <c r="J2720" s="48"/>
      <c r="K2720" s="48"/>
      <c r="L2720" s="48"/>
      <c r="M2720" s="48"/>
      <c r="N2720" s="59"/>
      <c r="O2720" s="59">
        <v>100000</v>
      </c>
      <c r="P2720" s="59"/>
      <c r="Q2720" s="268">
        <v>100000</v>
      </c>
      <c r="R2720" s="61">
        <f>IF(O2720=0,0,SUMIFS(Disbursements!$T:$T,Disbursements!$B:$B,'Live Collections'!D2720,Disbursements!$D:$D,'Live Collections'!F2720))</f>
        <v>143000</v>
      </c>
      <c r="S2720" s="304"/>
      <c r="T2720" s="304">
        <f t="shared" si="129"/>
        <v>100000</v>
      </c>
      <c r="U2720" s="52"/>
      <c r="V2720" s="34"/>
      <c r="W2720" s="408"/>
    </row>
    <row r="2721" spans="1:23" ht="12.75" customHeight="1" x14ac:dyDescent="0.2">
      <c r="A2721" s="257">
        <v>2708</v>
      </c>
      <c r="B2721" s="44">
        <v>44580</v>
      </c>
      <c r="C2721" s="44">
        <v>44580</v>
      </c>
      <c r="D2721" s="374">
        <v>304</v>
      </c>
      <c r="E2721" s="291" t="str">
        <f>IFERROR(VLOOKUP($D2721,'Clients-Live'!$A:$C,3,0),"")</f>
        <v>ATAKO GLORIA</v>
      </c>
      <c r="F2721" s="291">
        <f>IFERROR(INDEX(Disbursements!$D:$D,MATCH('Live Collections'!G2721,Disbursements!$C:$C,0)),"")</f>
        <v>1</v>
      </c>
      <c r="G2721" s="34">
        <v>398</v>
      </c>
      <c r="H2721" s="34">
        <v>4410</v>
      </c>
      <c r="I2721" s="34" t="s">
        <v>1359</v>
      </c>
      <c r="J2721" s="48"/>
      <c r="K2721" s="48"/>
      <c r="L2721" s="48"/>
      <c r="M2721" s="48"/>
      <c r="N2721" s="59"/>
      <c r="O2721" s="59">
        <v>31500</v>
      </c>
      <c r="P2721" s="59"/>
      <c r="Q2721" s="268">
        <v>31500</v>
      </c>
      <c r="R2721" s="61">
        <f>IF(O2721=0,0,SUMIFS(Disbursements!$T:$T,Disbursements!$B:$B,'Live Collections'!D2721,Disbursements!$D:$D,'Live Collections'!F2721))</f>
        <v>32000</v>
      </c>
      <c r="S2721" s="304">
        <f>IF(O2721&lt;=IF($O2721=0,0,SUMIFS(Disbursements!$W:$W,Disbursements!$B:$B,'Live Collections'!D3096,Disbursements!$D:$D,'Live Collections'!F3096)),O2721,IF($O2721=0,0,SUMIFS(Disbursements!$W:$W,Disbursements!$B:$B,'Live Collections'!D3096,Disbursements!$D:$D,'Live Collections'!F3096)))</f>
        <v>30000</v>
      </c>
      <c r="T2721" s="304">
        <f t="shared" si="129"/>
        <v>1500</v>
      </c>
      <c r="U2721" s="52"/>
      <c r="V2721" s="34"/>
      <c r="W2721" s="408"/>
    </row>
    <row r="2722" spans="1:23" ht="12.75" customHeight="1" x14ac:dyDescent="0.2">
      <c r="A2722" s="257">
        <v>2715</v>
      </c>
      <c r="B2722" s="44">
        <v>44580</v>
      </c>
      <c r="C2722" s="44">
        <v>44580</v>
      </c>
      <c r="D2722" s="374">
        <v>315</v>
      </c>
      <c r="E2722" s="291" t="str">
        <f>IFERROR(VLOOKUP($D2722,'Clients-Live'!$A:$C,3,0),"")</f>
        <v>BURUGA JAMES</v>
      </c>
      <c r="F2722" s="291" t="str">
        <f>IFERROR(INDEX(Disbursements!$D:$D,MATCH('Live Collections'!G2722,Disbursements!$C:$C,0)),"")</f>
        <v/>
      </c>
      <c r="G2722" s="34"/>
      <c r="H2722" s="34">
        <v>4364</v>
      </c>
      <c r="I2722" s="34" t="s">
        <v>1359</v>
      </c>
      <c r="J2722" s="48"/>
      <c r="K2722" s="48"/>
      <c r="L2722" s="48">
        <v>30000</v>
      </c>
      <c r="M2722" s="48">
        <v>5000</v>
      </c>
      <c r="N2722" s="59"/>
      <c r="O2722" s="59"/>
      <c r="P2722" s="59"/>
      <c r="Q2722" s="268">
        <v>35000</v>
      </c>
      <c r="R2722" s="61">
        <f>IF(O2722=0,0,SUMIFS(Disbursements!$T:$T,Disbursements!$B:$B,'Live Collections'!D2722,Disbursements!$D:$D,'Live Collections'!F2722))</f>
        <v>0</v>
      </c>
      <c r="S2722" s="304">
        <f>IF(O2722&lt;=IF($O2722=0,0,SUMIFS(Disbursements!$W:$W,Disbursements!$B:$B,'Live Collections'!D3144,Disbursements!$D:$D,'Live Collections'!F3144)),O2722,IF($O2722=0,0,SUMIFS(Disbursements!$W:$W,Disbursements!$B:$B,'Live Collections'!D3144,Disbursements!$D:$D,'Live Collections'!F3144)))</f>
        <v>0</v>
      </c>
      <c r="T2722" s="304">
        <f t="shared" si="129"/>
        <v>0</v>
      </c>
      <c r="U2722" s="52"/>
      <c r="V2722" s="34"/>
      <c r="W2722" s="408"/>
    </row>
    <row r="2723" spans="1:23" ht="12.75" customHeight="1" x14ac:dyDescent="0.2">
      <c r="A2723" s="257">
        <v>2719</v>
      </c>
      <c r="B2723" s="44">
        <v>44580</v>
      </c>
      <c r="C2723" s="44">
        <v>44580</v>
      </c>
      <c r="D2723" s="374">
        <v>316</v>
      </c>
      <c r="E2723" s="291" t="str">
        <f>IFERROR(VLOOKUP($D2723,'Clients-Live'!$A:$C,3,0),"")</f>
        <v>DAKARU GRACE</v>
      </c>
      <c r="F2723" s="291" t="str">
        <f>IFERROR(INDEX(Disbursements!$D:$D,MATCH('Live Collections'!G2723,Disbursements!$C:$C,0)),"")</f>
        <v/>
      </c>
      <c r="G2723" s="34"/>
      <c r="H2723" s="34">
        <v>4407</v>
      </c>
      <c r="I2723" s="34" t="s">
        <v>1358</v>
      </c>
      <c r="J2723" s="48">
        <v>15000</v>
      </c>
      <c r="K2723" s="48">
        <v>5000</v>
      </c>
      <c r="L2723" s="48"/>
      <c r="M2723" s="48"/>
      <c r="N2723" s="59"/>
      <c r="O2723" s="59"/>
      <c r="P2723" s="59"/>
      <c r="Q2723" s="268">
        <v>20000</v>
      </c>
      <c r="R2723" s="61">
        <f>IF(O2723=0,0,SUMIFS(Disbursements!$T:$T,Disbursements!$B:$B,'Live Collections'!D2723,Disbursements!$D:$D,'Live Collections'!F2723))</f>
        <v>0</v>
      </c>
      <c r="S2723" s="304">
        <f>IF(O2723&lt;=IF($O2723=0,0,SUMIFS(Disbursements!$W:$W,Disbursements!$B:$B,'Live Collections'!D3145,Disbursements!$D:$D,'Live Collections'!F3145)),O2723,IF($O2723=0,0,SUMIFS(Disbursements!$W:$W,Disbursements!$B:$B,'Live Collections'!D3145,Disbursements!$D:$D,'Live Collections'!F3145)))</f>
        <v>0</v>
      </c>
      <c r="T2723" s="304">
        <f t="shared" si="129"/>
        <v>0</v>
      </c>
      <c r="U2723" s="52"/>
      <c r="V2723" s="34"/>
      <c r="W2723" s="408"/>
    </row>
    <row r="2724" spans="1:23" ht="12.75" customHeight="1" x14ac:dyDescent="0.2">
      <c r="A2724" s="257">
        <v>2731</v>
      </c>
      <c r="B2724" s="44">
        <v>44581</v>
      </c>
      <c r="C2724" s="44">
        <v>44581</v>
      </c>
      <c r="D2724" s="374">
        <v>18</v>
      </c>
      <c r="E2724" s="291" t="str">
        <f>IFERROR(VLOOKUP($D2724,'Clients-Live'!$A:$C,3,0),"")</f>
        <v>ARIYE PEACE</v>
      </c>
      <c r="F2724" s="291">
        <f>IFERROR(INDEX(Disbursements!$D:$D,MATCH('Live Collections'!G2724,Disbursements!$C:$C,0)),"")</f>
        <v>2</v>
      </c>
      <c r="G2724" s="34">
        <v>317</v>
      </c>
      <c r="H2724" s="34">
        <v>4414</v>
      </c>
      <c r="I2724" s="34" t="s">
        <v>1357</v>
      </c>
      <c r="J2724" s="48"/>
      <c r="K2724" s="48"/>
      <c r="L2724" s="48"/>
      <c r="M2724" s="48"/>
      <c r="N2724" s="59"/>
      <c r="O2724" s="59">
        <v>162500</v>
      </c>
      <c r="P2724" s="59"/>
      <c r="Q2724" s="268">
        <v>162500</v>
      </c>
      <c r="R2724" s="61">
        <f>IF(O2724=0,0,SUMIFS(Disbursements!$T:$T,Disbursements!$B:$B,'Live Collections'!D2724,Disbursements!$D:$D,'Live Collections'!F2724))</f>
        <v>650000</v>
      </c>
      <c r="S2724" s="304">
        <f>IF(O2724&lt;=IF($O2724=0,0,SUMIFS(Disbursements!$W:$W,Disbursements!$B:$B,'Live Collections'!D226,Disbursements!$D:$D,'Live Collections'!F226)),O2724,IF($O2724=0,0,SUMIFS(Disbursements!$W:$W,Disbursements!$B:$B,'Live Collections'!D226,Disbursements!$D:$D,'Live Collections'!F226)))</f>
        <v>15000</v>
      </c>
      <c r="T2724" s="304">
        <f t="shared" si="129"/>
        <v>147500</v>
      </c>
      <c r="U2724" s="52"/>
      <c r="V2724" s="34"/>
      <c r="W2724" s="408"/>
    </row>
    <row r="2725" spans="1:23" ht="12.75" customHeight="1" x14ac:dyDescent="0.2">
      <c r="A2725" s="257">
        <v>2737</v>
      </c>
      <c r="B2725" s="44">
        <v>44581</v>
      </c>
      <c r="C2725" s="44">
        <v>44581</v>
      </c>
      <c r="D2725" s="374">
        <v>22</v>
      </c>
      <c r="E2725" s="291" t="str">
        <f>IFERROR(VLOOKUP($D2725,'Clients-Live'!$A:$C,3,0),"")</f>
        <v>DATA ISMAIL FATARI</v>
      </c>
      <c r="F2725" s="291">
        <v>2</v>
      </c>
      <c r="G2725" s="34">
        <v>381</v>
      </c>
      <c r="H2725" s="34">
        <v>4371</v>
      </c>
      <c r="I2725" s="34" t="s">
        <v>1359</v>
      </c>
      <c r="J2725" s="48"/>
      <c r="K2725" s="48"/>
      <c r="L2725" s="48"/>
      <c r="M2725" s="48"/>
      <c r="N2725" s="59"/>
      <c r="O2725" s="59">
        <v>15000</v>
      </c>
      <c r="P2725" s="59"/>
      <c r="Q2725" s="268">
        <v>15000</v>
      </c>
      <c r="R2725" s="61">
        <f>IF(O2725=0,0,SUMIFS(Disbursements!$T:$T,Disbursements!$B:$B,'Live Collections'!D2725,Disbursements!$D:$D,'Live Collections'!F2725))</f>
        <v>210000</v>
      </c>
      <c r="S2725" s="304">
        <f>IF(O2725&lt;=IF($O2725=0,0,SUMIFS(Disbursements!$W:$W,Disbursements!$B:$B,'Live Collections'!D300,Disbursements!$D:$D,'Live Collections'!F300)),O2725,IF($O2725=0,0,SUMIFS(Disbursements!$W:$W,Disbursements!$B:$B,'Live Collections'!D300,Disbursements!$D:$D,'Live Collections'!F300)))</f>
        <v>15000</v>
      </c>
      <c r="T2725" s="304">
        <f t="shared" si="129"/>
        <v>0</v>
      </c>
      <c r="U2725" s="52"/>
      <c r="V2725" s="34"/>
      <c r="W2725" s="408"/>
    </row>
    <row r="2726" spans="1:23" ht="12.75" customHeight="1" x14ac:dyDescent="0.2">
      <c r="A2726" s="257">
        <v>2725</v>
      </c>
      <c r="B2726" s="44">
        <v>44581</v>
      </c>
      <c r="C2726" s="44">
        <v>44581</v>
      </c>
      <c r="D2726" s="374">
        <v>99</v>
      </c>
      <c r="E2726" s="291" t="str">
        <f>IFERROR(VLOOKUP($D2726,'Clients-Live'!$A:$C,3,0),"")</f>
        <v>SIJALI ASINA SIS</v>
      </c>
      <c r="F2726" s="291">
        <f>IFERROR(INDEX(Disbursements!$D:$D,MATCH('Live Collections'!G2726,Disbursements!$C:$C,0)),"")</f>
        <v>2</v>
      </c>
      <c r="G2726" s="34">
        <v>278</v>
      </c>
      <c r="H2726" s="34">
        <v>4420</v>
      </c>
      <c r="I2726" s="34" t="s">
        <v>1358</v>
      </c>
      <c r="J2726" s="48"/>
      <c r="K2726" s="48"/>
      <c r="L2726" s="48"/>
      <c r="M2726" s="48"/>
      <c r="N2726" s="59"/>
      <c r="O2726" s="59">
        <v>173400</v>
      </c>
      <c r="P2726" s="59"/>
      <c r="Q2726" s="268">
        <v>173400</v>
      </c>
      <c r="R2726" s="61">
        <f>IF(O2726=0,0,SUMIFS(Disbursements!$T:$T,Disbursements!$B:$B,'Live Collections'!D2726,Disbursements!$D:$D,'Live Collections'!F2726))</f>
        <v>174000</v>
      </c>
      <c r="S2726" s="304">
        <f>IF(O2726&lt;=IF($O2726=0,0,SUMIFS(Disbursements!$W:$W,Disbursements!$B:$B,'Live Collections'!D1286,Disbursements!$D:$D,'Live Collections'!F1286)),O2726,IF($O2726=0,0,SUMIFS(Disbursements!$W:$W,Disbursements!$B:$B,'Live Collections'!D1286,Disbursements!$D:$D,'Live Collections'!F1286)))</f>
        <v>15000</v>
      </c>
      <c r="T2726" s="304">
        <f t="shared" si="129"/>
        <v>158400</v>
      </c>
      <c r="U2726" s="52"/>
      <c r="V2726" s="34"/>
      <c r="W2726" s="408"/>
    </row>
    <row r="2727" spans="1:23" ht="12.75" customHeight="1" x14ac:dyDescent="0.2">
      <c r="A2727" s="257">
        <v>2723</v>
      </c>
      <c r="B2727" s="44">
        <v>44581</v>
      </c>
      <c r="C2727" s="44">
        <v>44581</v>
      </c>
      <c r="D2727" s="374">
        <v>121</v>
      </c>
      <c r="E2727" s="291" t="str">
        <f>IFERROR(VLOOKUP($D2727,'Clients-Live'!$A:$C,3,0),"")</f>
        <v>AMAYO CHARLES</v>
      </c>
      <c r="F2727" s="291">
        <f>IFERROR(INDEX(Disbursements!$D:$D,MATCH('Live Collections'!G2727,Disbursements!$C:$C,0)),"")</f>
        <v>1</v>
      </c>
      <c r="G2727" s="34">
        <v>105</v>
      </c>
      <c r="H2727" s="34">
        <v>4418</v>
      </c>
      <c r="I2727" s="34" t="s">
        <v>1358</v>
      </c>
      <c r="J2727" s="48"/>
      <c r="K2727" s="48"/>
      <c r="L2727" s="48"/>
      <c r="M2727" s="48"/>
      <c r="N2727" s="59"/>
      <c r="O2727" s="59">
        <v>80000</v>
      </c>
      <c r="P2727" s="59"/>
      <c r="Q2727" s="268">
        <v>80000</v>
      </c>
      <c r="R2727" s="61">
        <f>IF(O2727=0,0,SUMIFS(Disbursements!$T:$T,Disbursements!$B:$B,'Live Collections'!D2727,Disbursements!$D:$D,'Live Collections'!F2727))</f>
        <v>240000</v>
      </c>
      <c r="S2727" s="304"/>
      <c r="T2727" s="304">
        <f t="shared" si="129"/>
        <v>80000</v>
      </c>
      <c r="U2727" s="52"/>
      <c r="V2727" s="34"/>
      <c r="W2727" s="408"/>
    </row>
    <row r="2728" spans="1:23" ht="12.75" customHeight="1" x14ac:dyDescent="0.2">
      <c r="A2728" s="257">
        <v>2724</v>
      </c>
      <c r="B2728" s="44">
        <v>44581</v>
      </c>
      <c r="C2728" s="44">
        <v>44581</v>
      </c>
      <c r="D2728" s="374">
        <v>152</v>
      </c>
      <c r="E2728" s="291" t="str">
        <f>IFERROR(VLOOKUP($D2728,'Clients-Live'!$A:$C,3,0),"")</f>
        <v>ASE ZAINABU</v>
      </c>
      <c r="F2728" s="291">
        <f>IFERROR(INDEX(Disbursements!$D:$D,MATCH('Live Collections'!G2728,Disbursements!$C:$C,0)),"")</f>
        <v>2</v>
      </c>
      <c r="G2728" s="34">
        <v>393</v>
      </c>
      <c r="H2728" s="34">
        <v>4419</v>
      </c>
      <c r="I2728" s="34" t="s">
        <v>1358</v>
      </c>
      <c r="J2728" s="48"/>
      <c r="K2728" s="48"/>
      <c r="L2728" s="48"/>
      <c r="M2728" s="48"/>
      <c r="N2728" s="59"/>
      <c r="O2728" s="59">
        <v>39000</v>
      </c>
      <c r="P2728" s="59"/>
      <c r="Q2728" s="268">
        <v>39000</v>
      </c>
      <c r="R2728" s="61">
        <f>IF(O2728=0,0,SUMIFS(Disbursements!$T:$T,Disbursements!$B:$B,'Live Collections'!D2728,Disbursements!$D:$D,'Live Collections'!F2728))</f>
        <v>40000</v>
      </c>
      <c r="S2728" s="304">
        <f>IF(O2728&lt;=IF($O2728=0,0,SUMIFS(Disbursements!$W:$W,Disbursements!$B:$B,'Live Collections'!D1922,Disbursements!$D:$D,'Live Collections'!F1922)),O2728,IF($O2728=0,0,SUMIFS(Disbursements!$W:$W,Disbursements!$B:$B,'Live Collections'!D1922,Disbursements!$D:$D,'Live Collections'!F1922)))</f>
        <v>15000</v>
      </c>
      <c r="T2728" s="304">
        <f t="shared" si="129"/>
        <v>24000</v>
      </c>
      <c r="U2728" s="52"/>
      <c r="V2728" s="34"/>
      <c r="W2728" s="408"/>
    </row>
    <row r="2729" spans="1:23" ht="12.75" customHeight="1" x14ac:dyDescent="0.2">
      <c r="A2729" s="257">
        <v>2727</v>
      </c>
      <c r="B2729" s="44">
        <v>44581</v>
      </c>
      <c r="C2729" s="44">
        <v>44581</v>
      </c>
      <c r="D2729" s="374">
        <v>208</v>
      </c>
      <c r="E2729" s="291" t="str">
        <f>IFERROR(VLOOKUP($D2729,'Clients-Live'!$A:$C,3,0),"")</f>
        <v>TIKO RAIMA</v>
      </c>
      <c r="F2729" s="291">
        <f>IFERROR(INDEX(Disbursements!$D:$D,MATCH('Live Collections'!G2729,Disbursements!$C:$C,0)),"")</f>
        <v>2</v>
      </c>
      <c r="G2729" s="34">
        <v>322</v>
      </c>
      <c r="H2729" s="34">
        <v>4416</v>
      </c>
      <c r="I2729" s="34" t="s">
        <v>1357</v>
      </c>
      <c r="J2729" s="48"/>
      <c r="K2729" s="48"/>
      <c r="L2729" s="48"/>
      <c r="M2729" s="48"/>
      <c r="N2729" s="59"/>
      <c r="O2729" s="59">
        <v>85000</v>
      </c>
      <c r="P2729" s="59"/>
      <c r="Q2729" s="268">
        <v>85000</v>
      </c>
      <c r="R2729" s="61">
        <f>IF(O2729=0,0,SUMIFS(Disbursements!$T:$T,Disbursements!$B:$B,'Live Collections'!D2729,Disbursements!$D:$D,'Live Collections'!F2729))</f>
        <v>115000</v>
      </c>
      <c r="S2729" s="304">
        <v>7000</v>
      </c>
      <c r="T2729" s="304">
        <f t="shared" si="129"/>
        <v>78000</v>
      </c>
      <c r="U2729" s="52"/>
      <c r="V2729" s="34"/>
      <c r="W2729" s="408"/>
    </row>
    <row r="2730" spans="1:23" ht="12.75" customHeight="1" x14ac:dyDescent="0.2">
      <c r="A2730" s="257">
        <v>2728</v>
      </c>
      <c r="B2730" s="44">
        <v>44581</v>
      </c>
      <c r="C2730" s="44">
        <v>44581</v>
      </c>
      <c r="D2730" s="374">
        <v>211</v>
      </c>
      <c r="E2730" s="291" t="str">
        <f>IFERROR(VLOOKUP($D2730,'Clients-Live'!$A:$C,3,0),"")</f>
        <v>WILARU JOYCE</v>
      </c>
      <c r="F2730" s="291">
        <f>IFERROR(INDEX(Disbursements!$D:$D,MATCH('Live Collections'!G2730,Disbursements!$C:$C,0)),"")</f>
        <v>2</v>
      </c>
      <c r="G2730" s="34">
        <v>403</v>
      </c>
      <c r="H2730" s="34">
        <v>4415</v>
      </c>
      <c r="I2730" s="34" t="s">
        <v>1358</v>
      </c>
      <c r="J2730" s="48"/>
      <c r="K2730" s="48"/>
      <c r="L2730" s="48"/>
      <c r="M2730" s="48"/>
      <c r="N2730" s="59"/>
      <c r="O2730" s="59">
        <v>100000</v>
      </c>
      <c r="P2730" s="59"/>
      <c r="Q2730" s="268">
        <v>100000</v>
      </c>
      <c r="R2730" s="61">
        <f>IF(O2730=0,0,SUMIFS(Disbursements!$T:$T,Disbursements!$B:$B,'Live Collections'!D2730,Disbursements!$D:$D,'Live Collections'!F2730))</f>
        <v>87000</v>
      </c>
      <c r="S2730" s="304">
        <f>IF(O2730&lt;=IF($O2730=0,0,SUMIFS(Disbursements!$W:$W,Disbursements!$B:$B,'Live Collections'!D2494,Disbursements!$D:$D,'Live Collections'!F2494)),O2730,IF($O2730=0,0,SUMIFS(Disbursements!$W:$W,Disbursements!$B:$B,'Live Collections'!D2494,Disbursements!$D:$D,'Live Collections'!F2494)))</f>
        <v>40000</v>
      </c>
      <c r="T2730" s="304">
        <f t="shared" si="129"/>
        <v>60000</v>
      </c>
      <c r="U2730" s="52"/>
      <c r="V2730" s="34"/>
      <c r="W2730" s="408"/>
    </row>
    <row r="2731" spans="1:23" ht="12.75" customHeight="1" x14ac:dyDescent="0.2">
      <c r="A2731" s="257">
        <v>2729</v>
      </c>
      <c r="B2731" s="44">
        <v>44581</v>
      </c>
      <c r="C2731" s="44">
        <v>44581</v>
      </c>
      <c r="D2731" s="374">
        <v>213</v>
      </c>
      <c r="E2731" s="291" t="str">
        <f>IFERROR(VLOOKUP($D2731,'Clients-Live'!$A:$C,3,0),"")</f>
        <v>ATIKURU NADIA</v>
      </c>
      <c r="F2731" s="291">
        <f>IFERROR(INDEX(Disbursements!$D:$D,MATCH('Live Collections'!G2731,Disbursements!$C:$C,0)),"")</f>
        <v>2</v>
      </c>
      <c r="G2731" s="34">
        <v>378</v>
      </c>
      <c r="H2731" s="34">
        <v>4376</v>
      </c>
      <c r="I2731" s="34" t="s">
        <v>1358</v>
      </c>
      <c r="J2731" s="48"/>
      <c r="K2731" s="48"/>
      <c r="L2731" s="48"/>
      <c r="M2731" s="48"/>
      <c r="N2731" s="59"/>
      <c r="O2731" s="59">
        <v>150000</v>
      </c>
      <c r="P2731" s="59"/>
      <c r="Q2731" s="268">
        <v>150000</v>
      </c>
      <c r="R2731" s="61">
        <f>IF(O2731=0,0,SUMIFS(Disbursements!$T:$T,Disbursements!$B:$B,'Live Collections'!D2731,Disbursements!$D:$D,'Live Collections'!F2731))</f>
        <v>300000</v>
      </c>
      <c r="S2731" s="304">
        <f>IF(O2731&lt;=IF($O2731=0,0,SUMIFS(Disbursements!$W:$W,Disbursements!$B:$B,'Live Collections'!D2522,Disbursements!$D:$D,'Live Collections'!F2522)),O2731,IF($O2731=0,0,SUMIFS(Disbursements!$W:$W,Disbursements!$B:$B,'Live Collections'!D2522,Disbursements!$D:$D,'Live Collections'!F2522)))</f>
        <v>10000</v>
      </c>
      <c r="T2731" s="304">
        <f t="shared" si="129"/>
        <v>140000</v>
      </c>
      <c r="U2731" s="52"/>
      <c r="V2731" s="34"/>
      <c r="W2731" s="408"/>
    </row>
    <row r="2732" spans="1:23" ht="12.75" customHeight="1" x14ac:dyDescent="0.2">
      <c r="A2732" s="257">
        <v>2734</v>
      </c>
      <c r="B2732" s="44">
        <v>44581</v>
      </c>
      <c r="C2732" s="44">
        <v>44581</v>
      </c>
      <c r="D2732" s="374">
        <v>217</v>
      </c>
      <c r="E2732" s="291" t="str">
        <f>IFERROR(VLOOKUP($D2732,'Clients-Live'!$A:$C,3,0),"")</f>
        <v>JAMBA MOSES</v>
      </c>
      <c r="F2732" s="291">
        <f>IFERROR(INDEX(Disbursements!$D:$D,MATCH('Live Collections'!G2732,Disbursements!$C:$C,0)),"")</f>
        <v>2</v>
      </c>
      <c r="G2732" s="34">
        <v>341</v>
      </c>
      <c r="H2732" s="34">
        <v>4374</v>
      </c>
      <c r="I2732" s="34" t="s">
        <v>1357</v>
      </c>
      <c r="J2732" s="48"/>
      <c r="K2732" s="48"/>
      <c r="L2732" s="48"/>
      <c r="M2732" s="48"/>
      <c r="N2732" s="59"/>
      <c r="O2732" s="59">
        <v>76700</v>
      </c>
      <c r="P2732" s="59"/>
      <c r="Q2732" s="268">
        <v>76700</v>
      </c>
      <c r="R2732" s="61">
        <f>IF(O2732=0,0,SUMIFS(Disbursements!$T:$T,Disbursements!$B:$B,'Live Collections'!D2732,Disbursements!$D:$D,'Live Collections'!F2732))</f>
        <v>154000</v>
      </c>
      <c r="S2732" s="304"/>
      <c r="T2732" s="304">
        <f t="shared" si="129"/>
        <v>76700</v>
      </c>
      <c r="U2732" s="52"/>
      <c r="V2732" s="34"/>
      <c r="W2732" s="408"/>
    </row>
    <row r="2733" spans="1:23" ht="12.75" customHeight="1" x14ac:dyDescent="0.2">
      <c r="A2733" s="257">
        <v>2735</v>
      </c>
      <c r="B2733" s="44">
        <v>44581</v>
      </c>
      <c r="C2733" s="44">
        <v>44581</v>
      </c>
      <c r="D2733" s="374">
        <v>252</v>
      </c>
      <c r="E2733" s="291" t="str">
        <f>IFERROR(VLOOKUP($D2733,'Clients-Live'!$A:$C,3,0),"")</f>
        <v>ANGUCIA JESCA</v>
      </c>
      <c r="F2733" s="291">
        <f>IFERROR(INDEX(Disbursements!$D:$D,MATCH('Live Collections'!G2733,Disbursements!$C:$C,0)),"")</f>
        <v>1</v>
      </c>
      <c r="G2733" s="34">
        <v>286</v>
      </c>
      <c r="H2733" s="34">
        <v>4372</v>
      </c>
      <c r="I2733" s="34" t="s">
        <v>1359</v>
      </c>
      <c r="J2733" s="48"/>
      <c r="K2733" s="48"/>
      <c r="L2733" s="48"/>
      <c r="M2733" s="48"/>
      <c r="N2733" s="59"/>
      <c r="O2733" s="59">
        <v>20000</v>
      </c>
      <c r="P2733" s="59"/>
      <c r="Q2733" s="268">
        <v>20000</v>
      </c>
      <c r="R2733" s="61">
        <f>IF(O2733=0,0,SUMIFS(Disbursements!$T:$T,Disbursements!$B:$B,'Live Collections'!D2733,Disbursements!$D:$D,'Live Collections'!F2733))</f>
        <v>120000</v>
      </c>
      <c r="S2733" s="304">
        <f>IF(O2733&lt;=IF($O2733=0,0,SUMIFS(Disbursements!$W:$W,Disbursements!$B:$B,'Live Collections'!D2835,Disbursements!$D:$D,'Live Collections'!F2835)),O2733,IF($O2733=0,0,SUMIFS(Disbursements!$W:$W,Disbursements!$B:$B,'Live Collections'!D2835,Disbursements!$D:$D,'Live Collections'!F2835)))</f>
        <v>13666.666666666664</v>
      </c>
      <c r="T2733" s="304">
        <f t="shared" si="129"/>
        <v>6333.3333333333358</v>
      </c>
      <c r="U2733" s="52"/>
      <c r="V2733" s="34"/>
      <c r="W2733" s="408"/>
    </row>
    <row r="2734" spans="1:23" ht="12.75" customHeight="1" x14ac:dyDescent="0.2">
      <c r="A2734" s="257">
        <v>2730</v>
      </c>
      <c r="B2734" s="44">
        <v>44581</v>
      </c>
      <c r="C2734" s="44">
        <v>44581</v>
      </c>
      <c r="D2734" s="374">
        <v>253</v>
      </c>
      <c r="E2734" s="291" t="str">
        <f>IFERROR(VLOOKUP($D2734,'Clients-Live'!$A:$C,3,0),"")</f>
        <v>JAKUMA VINCENT</v>
      </c>
      <c r="F2734" s="291">
        <f>IFERROR(INDEX(Disbursements!$D:$D,MATCH('Live Collections'!G2734,Disbursements!$C:$C,0)),"")</f>
        <v>1</v>
      </c>
      <c r="G2734" s="34">
        <v>359</v>
      </c>
      <c r="H2734" s="34">
        <v>4375</v>
      </c>
      <c r="I2734" s="34" t="s">
        <v>1359</v>
      </c>
      <c r="J2734" s="48"/>
      <c r="K2734" s="48"/>
      <c r="L2734" s="48"/>
      <c r="M2734" s="48"/>
      <c r="N2734" s="59"/>
      <c r="O2734" s="59">
        <v>100000</v>
      </c>
      <c r="P2734" s="59"/>
      <c r="Q2734" s="268">
        <v>100000</v>
      </c>
      <c r="R2734" s="61">
        <f>IF(O2734=0,0,SUMIFS(Disbursements!$T:$T,Disbursements!$B:$B,'Live Collections'!D2734,Disbursements!$D:$D,'Live Collections'!F2734))</f>
        <v>613000</v>
      </c>
      <c r="S2734" s="304"/>
      <c r="T2734" s="304">
        <f t="shared" si="129"/>
        <v>100000</v>
      </c>
      <c r="U2734" s="52"/>
      <c r="V2734" s="34"/>
      <c r="W2734" s="408"/>
    </row>
    <row r="2735" spans="1:23" ht="12.75" customHeight="1" x14ac:dyDescent="0.2">
      <c r="A2735" s="257">
        <v>2736</v>
      </c>
      <c r="B2735" s="44">
        <v>44581</v>
      </c>
      <c r="C2735" s="44">
        <v>44581</v>
      </c>
      <c r="D2735" s="374">
        <v>255</v>
      </c>
      <c r="E2735" s="291" t="str">
        <f>IFERROR(VLOOKUP($D2735,'Clients-Live'!$A:$C,3,0),"")</f>
        <v>YOBUTA JOHN</v>
      </c>
      <c r="F2735" s="291">
        <f>IFERROR(INDEX(Disbursements!$D:$D,MATCH('Live Collections'!G2735,Disbursements!$C:$C,0)),"")</f>
        <v>1</v>
      </c>
      <c r="G2735" s="34">
        <v>280</v>
      </c>
      <c r="H2735" s="34">
        <v>4373</v>
      </c>
      <c r="I2735" s="34" t="s">
        <v>1359</v>
      </c>
      <c r="J2735" s="48"/>
      <c r="K2735" s="48"/>
      <c r="L2735" s="48"/>
      <c r="M2735" s="48"/>
      <c r="N2735" s="59"/>
      <c r="O2735" s="59">
        <v>150000</v>
      </c>
      <c r="P2735" s="59"/>
      <c r="Q2735" s="268">
        <v>150000</v>
      </c>
      <c r="R2735" s="61">
        <f>IF(O2735=0,0,SUMIFS(Disbursements!$T:$T,Disbursements!$B:$B,'Live Collections'!D2735,Disbursements!$D:$D,'Live Collections'!F2735))</f>
        <v>217000</v>
      </c>
      <c r="S2735" s="304">
        <f>IF(O2735&lt;=IF($O2735=0,0,SUMIFS(Disbursements!$W:$W,Disbursements!$B:$B,'Live Collections'!D2861,Disbursements!$D:$D,'Live Collections'!F2861)),O2735,IF($O2735=0,0,SUMIFS(Disbursements!$W:$W,Disbursements!$B:$B,'Live Collections'!D2861,Disbursements!$D:$D,'Live Collections'!F2861)))</f>
        <v>20000</v>
      </c>
      <c r="T2735" s="304">
        <f t="shared" si="129"/>
        <v>130000</v>
      </c>
      <c r="U2735" s="52"/>
      <c r="V2735" s="34"/>
      <c r="W2735" s="408"/>
    </row>
    <row r="2736" spans="1:23" ht="12.75" customHeight="1" x14ac:dyDescent="0.2">
      <c r="A2736" s="257">
        <v>2726</v>
      </c>
      <c r="B2736" s="44">
        <v>44581</v>
      </c>
      <c r="C2736" s="44">
        <v>44581</v>
      </c>
      <c r="D2736" s="374">
        <v>303</v>
      </c>
      <c r="E2736" s="291" t="str">
        <f>IFERROR(VLOOKUP($D2736,'Clients-Live'!$A:$C,3,0),"")</f>
        <v>APAYI DOROTHY</v>
      </c>
      <c r="F2736" s="291">
        <f>IFERROR(INDEX(Disbursements!$D:$D,MATCH('Live Collections'!G2736,Disbursements!$C:$C,0)),"")</f>
        <v>1</v>
      </c>
      <c r="G2736" s="34">
        <v>399</v>
      </c>
      <c r="H2736" s="34">
        <v>4417</v>
      </c>
      <c r="I2736" s="34" t="s">
        <v>1359</v>
      </c>
      <c r="J2736" s="48"/>
      <c r="K2736" s="48"/>
      <c r="L2736" s="48"/>
      <c r="M2736" s="48"/>
      <c r="N2736" s="59"/>
      <c r="O2736" s="59">
        <v>40000</v>
      </c>
      <c r="P2736" s="59"/>
      <c r="Q2736" s="268">
        <v>40000</v>
      </c>
      <c r="R2736" s="61">
        <f>IF(O2736=0,0,SUMIFS(Disbursements!$T:$T,Disbursements!$B:$B,'Live Collections'!D2736,Disbursements!$D:$D,'Live Collections'!F2736))</f>
        <v>40000</v>
      </c>
      <c r="S2736" s="304">
        <f>IF(O2736&lt;=IF($O2736=0,0,SUMIFS(Disbursements!$W:$W,Disbursements!$B:$B,'Live Collections'!D3089,Disbursements!$D:$D,'Live Collections'!F3089)),O2736,IF($O2736=0,0,SUMIFS(Disbursements!$W:$W,Disbursements!$B:$B,'Live Collections'!D3089,Disbursements!$D:$D,'Live Collections'!F3089)))</f>
        <v>10333.333333333328</v>
      </c>
      <c r="T2736" s="304">
        <f t="shared" si="129"/>
        <v>29666.666666666672</v>
      </c>
      <c r="U2736" s="52"/>
      <c r="V2736" s="34"/>
      <c r="W2736" s="408"/>
    </row>
    <row r="2737" spans="1:23" ht="12.75" customHeight="1" x14ac:dyDescent="0.2">
      <c r="A2737" s="257">
        <v>2732</v>
      </c>
      <c r="B2737" s="44">
        <v>44581</v>
      </c>
      <c r="C2737" s="44">
        <v>44581</v>
      </c>
      <c r="D2737" s="374">
        <v>317</v>
      </c>
      <c r="E2737" s="291" t="str">
        <f>IFERROR(VLOOKUP($D2737,'Clients-Live'!$A:$C,3,0),"")</f>
        <v>DRIWARU JANE</v>
      </c>
      <c r="F2737" s="291" t="str">
        <f>IFERROR(INDEX(Disbursements!$D:$D,MATCH('Live Collections'!G2737,Disbursements!$C:$C,0)),"")</f>
        <v/>
      </c>
      <c r="G2737" s="34"/>
      <c r="H2737" s="34">
        <v>4413</v>
      </c>
      <c r="I2737" s="34" t="s">
        <v>1357</v>
      </c>
      <c r="J2737" s="48"/>
      <c r="K2737" s="48"/>
      <c r="L2737" s="48">
        <v>20000</v>
      </c>
      <c r="M2737" s="48">
        <v>5000</v>
      </c>
      <c r="N2737" s="59"/>
      <c r="O2737" s="59"/>
      <c r="P2737" s="59"/>
      <c r="Q2737" s="268">
        <v>25000</v>
      </c>
      <c r="R2737" s="61">
        <f>IF(O2737=0,0,SUMIFS(Disbursements!$T:$T,Disbursements!$B:$B,'Live Collections'!D2737,Disbursements!$D:$D,'Live Collections'!F2737))</f>
        <v>0</v>
      </c>
      <c r="S2737" s="304">
        <f>IF(O2737&lt;=IF($O2737=0,0,SUMIFS(Disbursements!$W:$W,Disbursements!$B:$B,'Live Collections'!D3147,Disbursements!$D:$D,'Live Collections'!F3147)),O2737,IF($O2737=0,0,SUMIFS(Disbursements!$W:$W,Disbursements!$B:$B,'Live Collections'!D3147,Disbursements!$D:$D,'Live Collections'!F3147)))</f>
        <v>0</v>
      </c>
      <c r="T2737" s="304">
        <f t="shared" si="129"/>
        <v>0</v>
      </c>
      <c r="U2737" s="52"/>
      <c r="V2737" s="34"/>
      <c r="W2737" s="408"/>
    </row>
    <row r="2738" spans="1:23" ht="12.75" customHeight="1" x14ac:dyDescent="0.2">
      <c r="A2738" s="257">
        <v>2733</v>
      </c>
      <c r="B2738" s="44">
        <v>44581</v>
      </c>
      <c r="C2738" s="44">
        <v>44581</v>
      </c>
      <c r="D2738" s="374">
        <v>317</v>
      </c>
      <c r="E2738" s="291" t="str">
        <f>IFERROR(VLOOKUP($D2738,'Clients-Live'!$A:$C,3,0),"")</f>
        <v>DRIWARU JANE</v>
      </c>
      <c r="F2738" s="291" t="str">
        <f>IFERROR(INDEX(Disbursements!$D:$D,MATCH('Live Collections'!G2738,Disbursements!$C:$C,0)),"")</f>
        <v/>
      </c>
      <c r="G2738" s="34"/>
      <c r="H2738" s="34">
        <v>4412</v>
      </c>
      <c r="I2738" s="34" t="s">
        <v>1716</v>
      </c>
      <c r="J2738" s="48">
        <v>15000</v>
      </c>
      <c r="K2738" s="48">
        <v>5000</v>
      </c>
      <c r="L2738" s="48"/>
      <c r="M2738" s="48"/>
      <c r="N2738" s="59"/>
      <c r="O2738" s="59"/>
      <c r="P2738" s="59"/>
      <c r="Q2738" s="268">
        <v>20000</v>
      </c>
      <c r="R2738" s="61">
        <f>IF(O2738=0,0,SUMIFS(Disbursements!$T:$T,Disbursements!$B:$B,'Live Collections'!D2738,Disbursements!$D:$D,'Live Collections'!F2738))</f>
        <v>0</v>
      </c>
      <c r="S2738" s="304">
        <f>IF(O2738&lt;=IF($O2738=0,0,SUMIFS(Disbursements!$W:$W,Disbursements!$B:$B,'Live Collections'!D3148,Disbursements!$D:$D,'Live Collections'!F3148)),O2738,IF($O2738=0,0,SUMIFS(Disbursements!$W:$W,Disbursements!$B:$B,'Live Collections'!D3148,Disbursements!$D:$D,'Live Collections'!F3148)))</f>
        <v>0</v>
      </c>
      <c r="T2738" s="304">
        <f t="shared" si="129"/>
        <v>0</v>
      </c>
      <c r="U2738" s="52"/>
      <c r="V2738" s="34"/>
      <c r="W2738" s="408"/>
    </row>
    <row r="2739" spans="1:23" ht="12.75" customHeight="1" x14ac:dyDescent="0.2">
      <c r="A2739" s="257">
        <v>2747</v>
      </c>
      <c r="B2739" s="44">
        <v>44582</v>
      </c>
      <c r="C2739" s="44">
        <v>44582</v>
      </c>
      <c r="D2739" s="374">
        <v>42</v>
      </c>
      <c r="E2739" s="291" t="str">
        <f>IFERROR(VLOOKUP($D2739,'Clients-Live'!$A:$C,3,0),"")</f>
        <v>ABAU   NOLA</v>
      </c>
      <c r="F2739" s="291">
        <f>IFERROR(INDEX(Disbursements!$D:$D,MATCH('Live Collections'!G2739,Disbursements!$C:$C,0)),"")</f>
        <v>3</v>
      </c>
      <c r="G2739" s="34">
        <v>405</v>
      </c>
      <c r="H2739" s="34">
        <v>4426</v>
      </c>
      <c r="I2739" s="34" t="s">
        <v>1357</v>
      </c>
      <c r="J2739" s="48"/>
      <c r="K2739" s="48"/>
      <c r="L2739" s="48"/>
      <c r="M2739" s="48"/>
      <c r="N2739" s="59"/>
      <c r="O2739" s="59">
        <v>20000</v>
      </c>
      <c r="P2739" s="59"/>
      <c r="Q2739" s="268">
        <f t="shared" ref="Q2739:Q2802" si="130">SUM(J2739:P2739)</f>
        <v>20000</v>
      </c>
      <c r="R2739" s="61">
        <f>IF(O2739=0,0,SUMIFS(Disbursements!$T:$T,Disbursements!$B:$B,'Live Collections'!D2739,Disbursements!$D:$D,'Live Collections'!F2739))</f>
        <v>20000</v>
      </c>
      <c r="S2739" s="304">
        <f>IF(O2739&lt;=IF($O2739=0,0,SUMIFS(Disbursements!$W:$W,Disbursements!$B:$B,'Live Collections'!D472,Disbursements!$D:$D,'Live Collections'!F472)),O2739,IF($O2739=0,0,SUMIFS(Disbursements!$W:$W,Disbursements!$B:$B,'Live Collections'!D472,Disbursements!$D:$D,'Live Collections'!F472)))</f>
        <v>10000</v>
      </c>
      <c r="T2739" s="304">
        <f t="shared" si="129"/>
        <v>10000</v>
      </c>
      <c r="U2739" s="52"/>
      <c r="V2739" s="34"/>
      <c r="W2739" s="408"/>
    </row>
    <row r="2740" spans="1:23" ht="12.75" customHeight="1" x14ac:dyDescent="0.2">
      <c r="A2740" s="257">
        <v>2740</v>
      </c>
      <c r="B2740" s="44">
        <v>44582</v>
      </c>
      <c r="C2740" s="44">
        <v>44582</v>
      </c>
      <c r="D2740" s="374">
        <v>74</v>
      </c>
      <c r="E2740" s="291" t="str">
        <f>IFERROR(VLOOKUP($D2740,'Clients-Live'!$A:$C,3,0),"")</f>
        <v>YUKUWE AISHA</v>
      </c>
      <c r="F2740" s="291">
        <f>IFERROR(INDEX(Disbursements!$D:$D,MATCH('Live Collections'!G2740,Disbursements!$C:$C,0)),"")</f>
        <v>2</v>
      </c>
      <c r="G2740" s="34">
        <v>287</v>
      </c>
      <c r="H2740" s="34">
        <v>4383</v>
      </c>
      <c r="I2740" s="34" t="s">
        <v>1358</v>
      </c>
      <c r="J2740" s="48"/>
      <c r="K2740" s="48"/>
      <c r="L2740" s="48"/>
      <c r="M2740" s="48"/>
      <c r="N2740" s="59"/>
      <c r="O2740" s="59">
        <v>60000</v>
      </c>
      <c r="P2740" s="59"/>
      <c r="Q2740" s="268">
        <f t="shared" si="130"/>
        <v>60000</v>
      </c>
      <c r="R2740" s="61">
        <f>IF(O2740=0,0,SUMIFS(Disbursements!$T:$T,Disbursements!$B:$B,'Live Collections'!D2740,Disbursements!$D:$D,'Live Collections'!F2740))</f>
        <v>90000</v>
      </c>
      <c r="S2740" s="304"/>
      <c r="T2740" s="304">
        <f t="shared" si="129"/>
        <v>60000</v>
      </c>
      <c r="U2740" s="52"/>
      <c r="V2740" s="34"/>
      <c r="W2740" s="408"/>
    </row>
    <row r="2741" spans="1:23" ht="12.75" customHeight="1" x14ac:dyDescent="0.2">
      <c r="A2741" s="257">
        <v>2748</v>
      </c>
      <c r="B2741" s="44">
        <v>44582</v>
      </c>
      <c r="C2741" s="44">
        <v>44582</v>
      </c>
      <c r="D2741" s="374">
        <v>85</v>
      </c>
      <c r="E2741" s="291" t="str">
        <f>IFERROR(VLOOKUP($D2741,'Clients-Live'!$A:$C,3,0),"")</f>
        <v>CEASER SWALEH</v>
      </c>
      <c r="F2741" s="291">
        <f>IFERROR(INDEX(Disbursements!$D:$D,MATCH('Live Collections'!G2741,Disbursements!$C:$C,0)),"")</f>
        <v>2</v>
      </c>
      <c r="G2741" s="34">
        <v>119</v>
      </c>
      <c r="H2741" s="34">
        <v>4425</v>
      </c>
      <c r="I2741" s="34" t="s">
        <v>1357</v>
      </c>
      <c r="J2741" s="48"/>
      <c r="K2741" s="48"/>
      <c r="L2741" s="48"/>
      <c r="M2741" s="48"/>
      <c r="N2741" s="59"/>
      <c r="O2741" s="59"/>
      <c r="P2741" s="59">
        <v>200000</v>
      </c>
      <c r="Q2741" s="268">
        <f t="shared" si="130"/>
        <v>200000</v>
      </c>
      <c r="R2741" s="61">
        <f>IF(O2741=0,0,SUMIFS(Disbursements!$T:$T,Disbursements!$B:$B,'Live Collections'!D2741,Disbursements!$D:$D,'Live Collections'!F2741))</f>
        <v>0</v>
      </c>
      <c r="S2741" s="304">
        <f>IF(O2741&lt;=IF($O2741=0,0,SUMIFS(Disbursements!$W:$W,Disbursements!$B:$B,'Live Collections'!D1102,Disbursements!$D:$D,'Live Collections'!F1102)),O2741,IF($O2741=0,0,SUMIFS(Disbursements!$W:$W,Disbursements!$B:$B,'Live Collections'!D1102,Disbursements!$D:$D,'Live Collections'!F1102)))</f>
        <v>0</v>
      </c>
      <c r="T2741" s="304">
        <f t="shared" si="129"/>
        <v>0</v>
      </c>
      <c r="U2741" s="52"/>
      <c r="V2741" s="34"/>
      <c r="W2741" s="408"/>
    </row>
    <row r="2742" spans="1:23" ht="12.75" customHeight="1" x14ac:dyDescent="0.2">
      <c r="A2742" s="257">
        <v>2739</v>
      </c>
      <c r="B2742" s="44">
        <v>44582</v>
      </c>
      <c r="C2742" s="44">
        <v>44582</v>
      </c>
      <c r="D2742" s="374">
        <v>228</v>
      </c>
      <c r="E2742" s="291" t="str">
        <f>IFERROR(VLOOKUP($D2742,'Clients-Live'!$A:$C,3,0),"")</f>
        <v>DADA ISAAC</v>
      </c>
      <c r="F2742" s="291">
        <f>IFERROR(INDEX(Disbursements!$D:$D,MATCH('Live Collections'!G2742,Disbursements!$C:$C,0)),"")</f>
        <v>5</v>
      </c>
      <c r="G2742" s="34">
        <v>412</v>
      </c>
      <c r="H2742" s="34">
        <v>4422</v>
      </c>
      <c r="I2742" s="34" t="s">
        <v>1357</v>
      </c>
      <c r="J2742" s="48"/>
      <c r="K2742" s="48"/>
      <c r="L2742" s="48"/>
      <c r="M2742" s="48"/>
      <c r="N2742" s="59"/>
      <c r="O2742" s="59"/>
      <c r="P2742" s="59">
        <v>250000</v>
      </c>
      <c r="Q2742" s="268">
        <f t="shared" si="130"/>
        <v>250000</v>
      </c>
      <c r="R2742" s="61">
        <f>IF(O2742=0,0,SUMIFS(Disbursements!$T:$T,Disbursements!$B:$B,'Live Collections'!D2742,Disbursements!$D:$D,'Live Collections'!F2742))</f>
        <v>0</v>
      </c>
      <c r="S2742" s="304">
        <f>IF(O2742&lt;=IF($O2742=0,0,SUMIFS(Disbursements!$W:$W,Disbursements!$B:$B,'Live Collections'!D2657,Disbursements!$D:$D,'Live Collections'!F2657)),O2742,IF($O2742=0,0,SUMIFS(Disbursements!$W:$W,Disbursements!$B:$B,'Live Collections'!D2657,Disbursements!$D:$D,'Live Collections'!F2657)))</f>
        <v>0</v>
      </c>
      <c r="T2742" s="304">
        <f t="shared" si="129"/>
        <v>0</v>
      </c>
      <c r="U2742" s="52"/>
      <c r="V2742" s="34"/>
      <c r="W2742" s="408"/>
    </row>
    <row r="2743" spans="1:23" ht="12.75" customHeight="1" x14ac:dyDescent="0.2">
      <c r="A2743" s="257">
        <v>2741</v>
      </c>
      <c r="B2743" s="44">
        <v>44582</v>
      </c>
      <c r="C2743" s="44">
        <v>44582</v>
      </c>
      <c r="D2743" s="374">
        <v>228</v>
      </c>
      <c r="E2743" s="291" t="str">
        <f>IFERROR(VLOOKUP($D2743,'Clients-Live'!$A:$C,3,0),"")</f>
        <v>DADA ISAAC</v>
      </c>
      <c r="F2743" s="291" t="str">
        <f>IFERROR(INDEX(Disbursements!$D:$D,MATCH('Live Collections'!G2743,Disbursements!$C:$C,0)),"")</f>
        <v/>
      </c>
      <c r="G2743" s="34"/>
      <c r="H2743" s="34">
        <v>4382</v>
      </c>
      <c r="I2743" s="34" t="s">
        <v>1358</v>
      </c>
      <c r="J2743" s="48"/>
      <c r="K2743" s="48">
        <v>5000</v>
      </c>
      <c r="L2743" s="48"/>
      <c r="M2743" s="48"/>
      <c r="N2743" s="59"/>
      <c r="O2743" s="59"/>
      <c r="P2743" s="59"/>
      <c r="Q2743" s="268">
        <f t="shared" si="130"/>
        <v>5000</v>
      </c>
      <c r="R2743" s="61">
        <f>IF(O2743=0,0,SUMIFS(Disbursements!$T:$T,Disbursements!$B:$B,'Live Collections'!D2743,Disbursements!$D:$D,'Live Collections'!F2743))</f>
        <v>0</v>
      </c>
      <c r="S2743" s="304">
        <f>IF(O2743&lt;=IF($O2743=0,0,SUMIFS(Disbursements!$W:$W,Disbursements!$B:$B,'Live Collections'!D2658,Disbursements!$D:$D,'Live Collections'!F2658)),O2743,IF($O2743=0,0,SUMIFS(Disbursements!$W:$W,Disbursements!$B:$B,'Live Collections'!D2658,Disbursements!$D:$D,'Live Collections'!F2658)))</f>
        <v>0</v>
      </c>
      <c r="T2743" s="304">
        <f t="shared" si="129"/>
        <v>0</v>
      </c>
      <c r="U2743" s="52"/>
      <c r="V2743" s="34"/>
      <c r="W2743" s="408"/>
    </row>
    <row r="2744" spans="1:23" ht="12.75" customHeight="1" x14ac:dyDescent="0.2">
      <c r="A2744" s="257">
        <v>2742</v>
      </c>
      <c r="B2744" s="44">
        <v>44582</v>
      </c>
      <c r="C2744" s="44">
        <v>44582</v>
      </c>
      <c r="D2744" s="374">
        <v>228</v>
      </c>
      <c r="E2744" s="291" t="str">
        <f>IFERROR(VLOOKUP($D2744,'Clients-Live'!$A:$C,3,0),"")</f>
        <v>DADA ISAAC</v>
      </c>
      <c r="F2744" s="291" t="str">
        <f>IFERROR(INDEX(Disbursements!$D:$D,MATCH('Live Collections'!G2744,Disbursements!$C:$C,0)),"")</f>
        <v/>
      </c>
      <c r="G2744" s="34"/>
      <c r="H2744" s="34">
        <v>4381</v>
      </c>
      <c r="I2744" s="34" t="s">
        <v>1358</v>
      </c>
      <c r="J2744" s="48"/>
      <c r="K2744" s="48"/>
      <c r="L2744" s="48">
        <v>30000</v>
      </c>
      <c r="M2744" s="48">
        <v>5000</v>
      </c>
      <c r="N2744" s="59"/>
      <c r="O2744" s="59"/>
      <c r="P2744" s="59"/>
      <c r="Q2744" s="268">
        <f t="shared" si="130"/>
        <v>35000</v>
      </c>
      <c r="R2744" s="61">
        <f>IF(O2744=0,0,SUMIFS(Disbursements!$T:$T,Disbursements!$B:$B,'Live Collections'!D2744,Disbursements!$D:$D,'Live Collections'!F2744))</f>
        <v>0</v>
      </c>
      <c r="S2744" s="304">
        <f>IF(O2744&lt;=IF($O2744=0,0,SUMIFS(Disbursements!$W:$W,Disbursements!$B:$B,'Live Collections'!D2659,Disbursements!$D:$D,'Live Collections'!F2659)),O2744,IF($O2744=0,0,SUMIFS(Disbursements!$W:$W,Disbursements!$B:$B,'Live Collections'!D2659,Disbursements!$D:$D,'Live Collections'!F2659)))</f>
        <v>0</v>
      </c>
      <c r="T2744" s="304">
        <f t="shared" si="129"/>
        <v>0</v>
      </c>
      <c r="U2744" s="52"/>
      <c r="V2744" s="34"/>
      <c r="W2744" s="408"/>
    </row>
    <row r="2745" spans="1:23" ht="12.75" customHeight="1" x14ac:dyDescent="0.2">
      <c r="A2745" s="257">
        <v>2743</v>
      </c>
      <c r="B2745" s="44">
        <v>44582</v>
      </c>
      <c r="C2745" s="44">
        <v>44582</v>
      </c>
      <c r="D2745" s="374">
        <v>228</v>
      </c>
      <c r="E2745" s="291" t="str">
        <f>IFERROR(VLOOKUP($D2745,'Clients-Live'!$A:$C,3,0),"")</f>
        <v>DADA ISAAC</v>
      </c>
      <c r="F2745" s="291">
        <f>IFERROR(INDEX(Disbursements!$D:$D,MATCH('Live Collections'!G2745,Disbursements!$C:$C,0)),"")</f>
        <v>4</v>
      </c>
      <c r="G2745" s="34">
        <v>369</v>
      </c>
      <c r="H2745" s="34">
        <v>599</v>
      </c>
      <c r="I2745" s="34" t="s">
        <v>1358</v>
      </c>
      <c r="J2745" s="48"/>
      <c r="K2745" s="48"/>
      <c r="L2745" s="48"/>
      <c r="M2745" s="48"/>
      <c r="N2745" s="59"/>
      <c r="O2745" s="59"/>
      <c r="P2745" s="59">
        <v>-200000</v>
      </c>
      <c r="Q2745" s="268">
        <f t="shared" si="130"/>
        <v>-200000</v>
      </c>
      <c r="R2745" s="61">
        <f>IF(O2745=0,0,SUMIFS(Disbursements!$T:$T,Disbursements!$B:$B,'Live Collections'!D2745,Disbursements!$D:$D,'Live Collections'!F2745))</f>
        <v>0</v>
      </c>
      <c r="S2745" s="304">
        <f>IF(O2745&lt;=IF($O2745=0,0,SUMIFS(Disbursements!$W:$W,Disbursements!$B:$B,'Live Collections'!D3853,Disbursements!$D:$D,'Live Collections'!F3853)),O2745,IF($O2745=0,0,SUMIFS(Disbursements!$W:$W,Disbursements!$B:$B,'Live Collections'!D3853,Disbursements!$D:$D,'Live Collections'!F3853)))</f>
        <v>0</v>
      </c>
      <c r="T2745" s="304">
        <f t="shared" si="129"/>
        <v>0</v>
      </c>
      <c r="U2745" s="52"/>
      <c r="V2745" s="34"/>
      <c r="W2745" s="408" t="s">
        <v>1996</v>
      </c>
    </row>
    <row r="2746" spans="1:23" ht="12.75" customHeight="1" x14ac:dyDescent="0.2">
      <c r="A2746" s="257">
        <v>2744</v>
      </c>
      <c r="B2746" s="44">
        <v>44582</v>
      </c>
      <c r="C2746" s="44">
        <v>44582</v>
      </c>
      <c r="D2746" s="374">
        <v>228</v>
      </c>
      <c r="E2746" s="291" t="str">
        <f>IFERROR(VLOOKUP($D2746,'Clients-Live'!$A:$C,3,0),"")</f>
        <v>DADA ISAAC</v>
      </c>
      <c r="F2746" s="291">
        <f>IFERROR(INDEX(Disbursements!$D:$D,MATCH('Live Collections'!G2746,Disbursements!$C:$C,0)),"")</f>
        <v>4</v>
      </c>
      <c r="G2746" s="34">
        <v>369</v>
      </c>
      <c r="H2746" s="34">
        <v>4380</v>
      </c>
      <c r="I2746" s="34" t="s">
        <v>1358</v>
      </c>
      <c r="J2746" s="48"/>
      <c r="K2746" s="48"/>
      <c r="L2746" s="48"/>
      <c r="M2746" s="48"/>
      <c r="N2746" s="59"/>
      <c r="O2746" s="59">
        <v>200000</v>
      </c>
      <c r="P2746" s="59"/>
      <c r="Q2746" s="268">
        <f t="shared" si="130"/>
        <v>200000</v>
      </c>
      <c r="R2746" s="61">
        <f>IF(O2746=0,0,SUMIFS(Disbursements!$T:$T,Disbursements!$B:$B,'Live Collections'!D2746,Disbursements!$D:$D,'Live Collections'!F2746))</f>
        <v>2100000</v>
      </c>
      <c r="S2746" s="64">
        <v>100000</v>
      </c>
      <c r="T2746" s="304">
        <f t="shared" si="129"/>
        <v>100000</v>
      </c>
      <c r="U2746" s="52"/>
      <c r="V2746" s="34"/>
      <c r="W2746" s="408" t="s">
        <v>2086</v>
      </c>
    </row>
    <row r="2747" spans="1:23" ht="12.75" customHeight="1" x14ac:dyDescent="0.2">
      <c r="A2747" s="257">
        <v>2745</v>
      </c>
      <c r="B2747" s="44">
        <v>44582</v>
      </c>
      <c r="C2747" s="44">
        <v>44582</v>
      </c>
      <c r="D2747" s="374">
        <v>228</v>
      </c>
      <c r="E2747" s="291" t="str">
        <f>IFERROR(VLOOKUP($D2747,'Clients-Live'!$A:$C,3,0),"")</f>
        <v>DADA ISAAC</v>
      </c>
      <c r="F2747" s="291">
        <f>IFERROR(INDEX(Disbursements!$D:$D,MATCH('Live Collections'!G2747,Disbursements!$C:$C,0)),"")</f>
        <v>4</v>
      </c>
      <c r="G2747" s="34">
        <v>369</v>
      </c>
      <c r="H2747" s="34">
        <v>4379</v>
      </c>
      <c r="I2747" s="34" t="s">
        <v>1358</v>
      </c>
      <c r="J2747" s="48"/>
      <c r="K2747" s="48"/>
      <c r="L2747" s="48"/>
      <c r="M2747" s="48"/>
      <c r="N2747" s="59"/>
      <c r="O2747" s="59">
        <v>1900000</v>
      </c>
      <c r="P2747" s="59"/>
      <c r="Q2747" s="268">
        <f t="shared" si="130"/>
        <v>1900000</v>
      </c>
      <c r="R2747" s="61">
        <f>IF(O2747=0,0,SUMIFS(Disbursements!$T:$T,Disbursements!$B:$B,'Live Collections'!D2747,Disbursements!$D:$D,'Live Collections'!F2747))</f>
        <v>2100000</v>
      </c>
      <c r="S2747" s="304"/>
      <c r="T2747" s="304">
        <f t="shared" si="129"/>
        <v>1900000</v>
      </c>
      <c r="U2747" s="52"/>
      <c r="V2747" s="34"/>
      <c r="W2747" s="408"/>
    </row>
    <row r="2748" spans="1:23" ht="12.75" customHeight="1" x14ac:dyDescent="0.2">
      <c r="A2748" s="257">
        <v>2746</v>
      </c>
      <c r="B2748" s="44">
        <v>44582</v>
      </c>
      <c r="C2748" s="44">
        <v>44582</v>
      </c>
      <c r="D2748" s="374">
        <v>246</v>
      </c>
      <c r="E2748" s="291" t="str">
        <f>IFERROR(VLOOKUP($D2748,'Clients-Live'!$A:$C,3,0),"")</f>
        <v>ALOMO ZAIDA</v>
      </c>
      <c r="F2748" s="291">
        <f>IFERROR(INDEX(Disbursements!$D:$D,MATCH('Live Collections'!G2748,Disbursements!$C:$C,0)),"")</f>
        <v>1</v>
      </c>
      <c r="G2748" s="34">
        <v>271</v>
      </c>
      <c r="H2748" s="34">
        <v>4378</v>
      </c>
      <c r="I2748" s="34" t="s">
        <v>1357</v>
      </c>
      <c r="J2748" s="48"/>
      <c r="K2748" s="48"/>
      <c r="L2748" s="48"/>
      <c r="M2748" s="48"/>
      <c r="N2748" s="59"/>
      <c r="O2748" s="59">
        <v>60000</v>
      </c>
      <c r="P2748" s="59"/>
      <c r="Q2748" s="268">
        <f t="shared" si="130"/>
        <v>60000</v>
      </c>
      <c r="R2748" s="61">
        <f>IF(O2748=0,0,SUMIFS(Disbursements!$T:$T,Disbursements!$B:$B,'Live Collections'!D2748,Disbursements!$D:$D,'Live Collections'!F2748))</f>
        <v>120000</v>
      </c>
      <c r="S2748" s="304"/>
      <c r="T2748" s="304">
        <f t="shared" si="129"/>
        <v>60000</v>
      </c>
      <c r="U2748" s="52"/>
      <c r="V2748" s="34"/>
      <c r="W2748" s="408"/>
    </row>
    <row r="2749" spans="1:23" ht="12.75" customHeight="1" x14ac:dyDescent="0.2">
      <c r="A2749" s="257">
        <v>2738</v>
      </c>
      <c r="B2749" s="44">
        <v>44582</v>
      </c>
      <c r="C2749" s="44">
        <v>44582</v>
      </c>
      <c r="D2749" s="374">
        <v>281</v>
      </c>
      <c r="E2749" s="291" t="str">
        <f>IFERROR(VLOOKUP($D2749,'Clients-Live'!$A:$C,3,0),"")</f>
        <v>BAKO ZUBEDA</v>
      </c>
      <c r="F2749" s="291">
        <f>IFERROR(INDEX(Disbursements!$D:$D,MATCH('Live Collections'!G2749,Disbursements!$C:$C,0)),"")</f>
        <v>1</v>
      </c>
      <c r="G2749" s="34">
        <v>406</v>
      </c>
      <c r="H2749" s="34">
        <v>4423</v>
      </c>
      <c r="I2749" s="34" t="s">
        <v>1359</v>
      </c>
      <c r="J2749" s="48"/>
      <c r="K2749" s="48"/>
      <c r="L2749" s="48"/>
      <c r="M2749" s="48"/>
      <c r="N2749" s="59"/>
      <c r="O2749" s="59">
        <v>27600</v>
      </c>
      <c r="P2749" s="59"/>
      <c r="Q2749" s="268">
        <f t="shared" si="130"/>
        <v>27600</v>
      </c>
      <c r="R2749" s="61">
        <f>IF(O2749=0,0,SUMIFS(Disbursements!$T:$T,Disbursements!$B:$B,'Live Collections'!D2749,Disbursements!$D:$D,'Live Collections'!F2749))</f>
        <v>28000</v>
      </c>
      <c r="S2749" s="304">
        <f>IF(O2749&lt;=IF($O2749=0,0,SUMIFS(Disbursements!$W:$W,Disbursements!$B:$B,'Live Collections'!D3008,Disbursements!$D:$D,'Live Collections'!F3008)),O2749,IF($O2749=0,0,SUMIFS(Disbursements!$W:$W,Disbursements!$B:$B,'Live Collections'!D3008,Disbursements!$D:$D,'Live Collections'!F3008)))</f>
        <v>20000</v>
      </c>
      <c r="T2749" s="304">
        <f t="shared" si="129"/>
        <v>7600</v>
      </c>
      <c r="U2749" s="52"/>
      <c r="V2749" s="34"/>
      <c r="W2749" s="408"/>
    </row>
    <row r="2750" spans="1:23" ht="12.75" customHeight="1" x14ac:dyDescent="0.2">
      <c r="A2750" s="257">
        <v>2753</v>
      </c>
      <c r="B2750" s="44">
        <v>44583</v>
      </c>
      <c r="C2750" s="44">
        <v>44583</v>
      </c>
      <c r="D2750" s="374">
        <v>6</v>
      </c>
      <c r="E2750" s="291" t="str">
        <f>IFERROR(VLOOKUP($D2750,'Clients-Live'!$A:$C,3,0),"")</f>
        <v>AMUTE BASHIR</v>
      </c>
      <c r="F2750" s="291">
        <f>IFERROR(INDEX(Disbursements!$D:$D,MATCH('Live Collections'!G2750,Disbursements!$C:$C,0)),"")</f>
        <v>2</v>
      </c>
      <c r="G2750" s="34">
        <v>100</v>
      </c>
      <c r="H2750" s="34">
        <v>4384</v>
      </c>
      <c r="I2750" s="34" t="s">
        <v>1358</v>
      </c>
      <c r="J2750" s="48"/>
      <c r="K2750" s="48"/>
      <c r="L2750" s="48"/>
      <c r="M2750" s="48"/>
      <c r="N2750" s="59"/>
      <c r="O2750" s="59">
        <v>600000</v>
      </c>
      <c r="P2750" s="59"/>
      <c r="Q2750" s="268">
        <f t="shared" si="130"/>
        <v>600000</v>
      </c>
      <c r="R2750" s="61">
        <f>IF(O2750=0,0,SUMIFS(Disbursements!$T:$T,Disbursements!$B:$B,'Live Collections'!D2750,Disbursements!$D:$D,'Live Collections'!F2750))</f>
        <v>1300000</v>
      </c>
      <c r="S2750" s="304">
        <f>IF(O2750&lt;=IF($O2750=0,0,SUMIFS(Disbursements!$W:$W,Disbursements!$B:$B,'Live Collections'!D59,Disbursements!$D:$D,'Live Collections'!F59)),O2750,IF($O2750=0,0,SUMIFS(Disbursements!$W:$W,Disbursements!$B:$B,'Live Collections'!D59,Disbursements!$D:$D,'Live Collections'!F59)))</f>
        <v>0</v>
      </c>
      <c r="T2750" s="304">
        <f t="shared" ref="T2750:T2813" si="131">IF(O2750=0,0,O2750-S2750)</f>
        <v>600000</v>
      </c>
      <c r="U2750" s="52"/>
      <c r="V2750" s="34"/>
      <c r="W2750" s="408"/>
    </row>
    <row r="2751" spans="1:23" ht="12.75" customHeight="1" x14ac:dyDescent="0.2">
      <c r="A2751" s="257">
        <v>2750</v>
      </c>
      <c r="B2751" s="44">
        <v>44583</v>
      </c>
      <c r="C2751" s="44">
        <v>44583</v>
      </c>
      <c r="D2751" s="374">
        <v>102</v>
      </c>
      <c r="E2751" s="291" t="str">
        <f>IFERROR(VLOOKUP($D2751,'Clients-Live'!$A:$C,3,0),"")</f>
        <v>BATALI GODFREY JOHN</v>
      </c>
      <c r="F2751" s="291">
        <f>IFERROR(INDEX(Disbursements!$D:$D,MATCH('Live Collections'!G2751,Disbursements!$C:$C,0)),"")</f>
        <v>2</v>
      </c>
      <c r="G2751" s="34">
        <v>382</v>
      </c>
      <c r="H2751" s="34">
        <v>4386</v>
      </c>
      <c r="I2751" s="34" t="s">
        <v>1357</v>
      </c>
      <c r="J2751" s="48"/>
      <c r="K2751" s="48"/>
      <c r="L2751" s="48"/>
      <c r="M2751" s="48"/>
      <c r="N2751" s="59"/>
      <c r="O2751" s="59">
        <v>40000</v>
      </c>
      <c r="P2751" s="59"/>
      <c r="Q2751" s="268">
        <f t="shared" si="130"/>
        <v>40000</v>
      </c>
      <c r="R2751" s="61">
        <f>IF(O2751=0,0,SUMIFS(Disbursements!$T:$T,Disbursements!$B:$B,'Live Collections'!D2751,Disbursements!$D:$D,'Live Collections'!F2751))</f>
        <v>83000</v>
      </c>
      <c r="S2751" s="304">
        <f>IF(O2751&lt;=IF($O2751=0,0,SUMIFS(Disbursements!$W:$W,Disbursements!$B:$B,'Live Collections'!D1750,Disbursements!$D:$D,'Live Collections'!F1750)),O2751,IF($O2751=0,0,SUMIFS(Disbursements!$W:$W,Disbursements!$B:$B,'Live Collections'!D1750,Disbursements!$D:$D,'Live Collections'!F1750)))</f>
        <v>0</v>
      </c>
      <c r="T2751" s="304">
        <f t="shared" si="131"/>
        <v>40000</v>
      </c>
      <c r="U2751" s="52"/>
      <c r="V2751" s="34"/>
      <c r="W2751" s="408"/>
    </row>
    <row r="2752" spans="1:23" ht="12.75" customHeight="1" x14ac:dyDescent="0.2">
      <c r="A2752" s="257">
        <v>2751</v>
      </c>
      <c r="B2752" s="44">
        <v>44583</v>
      </c>
      <c r="C2752" s="44">
        <v>44583</v>
      </c>
      <c r="D2752" s="374">
        <v>191</v>
      </c>
      <c r="E2752" s="291" t="str">
        <f>IFERROR(VLOOKUP($D2752,'Clients-Live'!$A:$C,3,0),"")</f>
        <v>AYOZU JESCA TAIBO</v>
      </c>
      <c r="F2752" s="291">
        <f>IFERROR(INDEX(Disbursements!$D:$D,MATCH('Live Collections'!G2752,Disbursements!$C:$C,0)),"")</f>
        <v>2</v>
      </c>
      <c r="G2752" s="34">
        <v>340</v>
      </c>
      <c r="H2752" s="34">
        <v>4387</v>
      </c>
      <c r="I2752" s="34" t="s">
        <v>1357</v>
      </c>
      <c r="J2752" s="48"/>
      <c r="K2752" s="48"/>
      <c r="L2752" s="48"/>
      <c r="M2752" s="48"/>
      <c r="N2752" s="59"/>
      <c r="O2752" s="59">
        <v>153000</v>
      </c>
      <c r="P2752" s="59"/>
      <c r="Q2752" s="268">
        <f t="shared" si="130"/>
        <v>153000</v>
      </c>
      <c r="R2752" s="61">
        <f>IF(O2752=0,0,SUMIFS(Disbursements!$T:$T,Disbursements!$B:$B,'Live Collections'!D2752,Disbursements!$D:$D,'Live Collections'!F2752))</f>
        <v>154000</v>
      </c>
      <c r="S2752" s="304">
        <f>IF(O2752&lt;=IF($O2752=0,0,SUMIFS(Disbursements!$W:$W,Disbursements!$B:$B,'Live Collections'!#REF!,Disbursements!$D:$D,'Live Collections'!#REF!)),O2752,IF($O2752=0,0,SUMIFS(Disbursements!$W:$W,Disbursements!$B:$B,'Live Collections'!#REF!,Disbursements!$D:$D,'Live Collections'!#REF!)))</f>
        <v>0</v>
      </c>
      <c r="T2752" s="304">
        <f t="shared" si="131"/>
        <v>153000</v>
      </c>
      <c r="U2752" s="52"/>
      <c r="V2752" s="34"/>
      <c r="W2752" s="408"/>
    </row>
    <row r="2753" spans="1:23" ht="12.75" customHeight="1" x14ac:dyDescent="0.2">
      <c r="A2753" s="257">
        <v>2749</v>
      </c>
      <c r="B2753" s="44">
        <v>44583</v>
      </c>
      <c r="C2753" s="44">
        <v>44583</v>
      </c>
      <c r="D2753" s="374">
        <v>192</v>
      </c>
      <c r="E2753" s="291" t="str">
        <f>IFERROR(VLOOKUP($D2753,'Clients-Live'!$A:$C,3,0),"")</f>
        <v>MAZARAU AISHA</v>
      </c>
      <c r="F2753" s="291">
        <f>IFERROR(INDEX(Disbursements!$D:$D,MATCH('Live Collections'!G2753,Disbursements!$C:$C,0)),"")</f>
        <v>1</v>
      </c>
      <c r="G2753" s="34">
        <v>181</v>
      </c>
      <c r="H2753" s="34">
        <v>4385</v>
      </c>
      <c r="I2753" s="34" t="s">
        <v>1357</v>
      </c>
      <c r="J2753" s="48"/>
      <c r="K2753" s="48"/>
      <c r="L2753" s="48"/>
      <c r="M2753" s="48"/>
      <c r="N2753" s="59"/>
      <c r="O2753" s="59">
        <v>30000</v>
      </c>
      <c r="P2753" s="59"/>
      <c r="Q2753" s="268">
        <f t="shared" si="130"/>
        <v>30000</v>
      </c>
      <c r="R2753" s="61">
        <f>IF(O2753=0,0,SUMIFS(Disbursements!$T:$T,Disbursements!$B:$B,'Live Collections'!D2753,Disbursements!$D:$D,'Live Collections'!F2753))</f>
        <v>115000</v>
      </c>
      <c r="S2753" s="304">
        <f>IF(O2753&lt;=IF($O2753=0,0,SUMIFS(Disbursements!$W:$W,Disbursements!$B:$B,'Live Collections'!D4568,Disbursements!$D:$D,'Live Collections'!F4568)),O2753,IF($O2753=0,0,SUMIFS(Disbursements!$W:$W,Disbursements!$B:$B,'Live Collections'!D4568,Disbursements!$D:$D,'Live Collections'!F4568)))</f>
        <v>0</v>
      </c>
      <c r="T2753" s="304">
        <f t="shared" si="131"/>
        <v>30000</v>
      </c>
      <c r="U2753" s="52"/>
      <c r="V2753" s="34"/>
      <c r="W2753" s="408"/>
    </row>
    <row r="2754" spans="1:23" ht="12.75" customHeight="1" x14ac:dyDescent="0.2">
      <c r="A2754" s="257">
        <v>2754</v>
      </c>
      <c r="B2754" s="44">
        <v>44583</v>
      </c>
      <c r="C2754" s="44">
        <f>B2754</f>
        <v>44583</v>
      </c>
      <c r="D2754" s="374">
        <v>196</v>
      </c>
      <c r="E2754" s="291" t="str">
        <f>IFERROR(VLOOKUP($D2754,'Clients-Live'!$A:$C,3,0),"")</f>
        <v>AKISU JOICE</v>
      </c>
      <c r="F2754" s="291">
        <f>IFERROR(INDEX(Disbursements!$D:$D,MATCH('Live Collections'!G2754,Disbursements!$C:$C,0)),"")</f>
        <v>1</v>
      </c>
      <c r="G2754" s="34">
        <v>189</v>
      </c>
      <c r="H2754" s="34">
        <v>4427</v>
      </c>
      <c r="I2754" s="34" t="s">
        <v>1359</v>
      </c>
      <c r="J2754" s="48"/>
      <c r="K2754" s="48"/>
      <c r="L2754" s="48"/>
      <c r="M2754" s="48"/>
      <c r="N2754" s="59"/>
      <c r="O2754" s="59">
        <v>200000</v>
      </c>
      <c r="P2754" s="59"/>
      <c r="Q2754" s="268">
        <f t="shared" si="130"/>
        <v>200000</v>
      </c>
      <c r="R2754" s="61">
        <f>IF(O2754=0,0,SUMIFS(Disbursements!$T:$T,Disbursements!$B:$B,'Live Collections'!D2754,Disbursements!$D:$D,'Live Collections'!F2754))</f>
        <v>180000</v>
      </c>
      <c r="S2754" s="304"/>
      <c r="T2754" s="304">
        <f t="shared" si="131"/>
        <v>200000</v>
      </c>
      <c r="U2754" s="52"/>
      <c r="V2754" s="34"/>
      <c r="W2754" s="408"/>
    </row>
    <row r="2755" spans="1:23" ht="12.75" customHeight="1" x14ac:dyDescent="0.2">
      <c r="A2755" s="257">
        <v>2752</v>
      </c>
      <c r="B2755" s="44">
        <v>44583</v>
      </c>
      <c r="C2755" s="44">
        <v>44583</v>
      </c>
      <c r="D2755" s="374">
        <v>284</v>
      </c>
      <c r="E2755" s="291" t="str">
        <f>IFERROR(VLOOKUP($D2755,'Clients-Live'!$A:$C,3,0),"")</f>
        <v>MALISH WAWASON</v>
      </c>
      <c r="F2755" s="291">
        <f>IFERROR(INDEX(Disbursements!$D:$D,MATCH('Live Collections'!G2755,Disbursements!$C:$C,0)),"")</f>
        <v>1</v>
      </c>
      <c r="G2755" s="34">
        <v>338</v>
      </c>
      <c r="H2755" s="34">
        <v>4388</v>
      </c>
      <c r="I2755" s="34" t="s">
        <v>1358</v>
      </c>
      <c r="J2755" s="48"/>
      <c r="K2755" s="48"/>
      <c r="L2755" s="48"/>
      <c r="M2755" s="48"/>
      <c r="N2755" s="59"/>
      <c r="O2755" s="59">
        <v>850000</v>
      </c>
      <c r="P2755" s="59"/>
      <c r="Q2755" s="268">
        <f t="shared" si="130"/>
        <v>850000</v>
      </c>
      <c r="R2755" s="61">
        <f>IF(O2755=0,0,SUMIFS(Disbursements!$T:$T,Disbursements!$B:$B,'Live Collections'!D2755,Disbursements!$D:$D,'Live Collections'!F2755))</f>
        <v>1150000</v>
      </c>
      <c r="S2755" s="304">
        <f>IF(O2755&lt;=IF($O2755=0,0,SUMIFS(Disbursements!$W:$W,Disbursements!$B:$B,'Live Collections'!D3016,Disbursements!$D:$D,'Live Collections'!F3016)),O2755,IF($O2755=0,0,SUMIFS(Disbursements!$W:$W,Disbursements!$B:$B,'Live Collections'!D3016,Disbursements!$D:$D,'Live Collections'!F3016)))</f>
        <v>16500</v>
      </c>
      <c r="T2755" s="304">
        <f t="shared" si="131"/>
        <v>833500</v>
      </c>
      <c r="U2755" s="52"/>
      <c r="V2755" s="34"/>
      <c r="W2755" s="408"/>
    </row>
    <row r="2756" spans="1:23" ht="12.75" customHeight="1" x14ac:dyDescent="0.2">
      <c r="A2756" s="257">
        <v>2765</v>
      </c>
      <c r="B2756" s="44">
        <v>44585</v>
      </c>
      <c r="C2756" s="44">
        <f t="shared" ref="C2756:C2819" si="132">B2756</f>
        <v>44585</v>
      </c>
      <c r="D2756" s="374">
        <v>3</v>
      </c>
      <c r="E2756" s="291" t="str">
        <f>IFERROR(VLOOKUP($D2756,'Clients-Live'!$A:$C,3,0),"")</f>
        <v>YEKA ARIJABU</v>
      </c>
      <c r="F2756" s="291">
        <f>IFERROR(INDEX(Disbursements!$D:$D,MATCH('Live Collections'!G2756,Disbursements!$C:$C,0)),"")</f>
        <v>1</v>
      </c>
      <c r="G2756" s="34">
        <v>227</v>
      </c>
      <c r="H2756" s="34">
        <v>4431</v>
      </c>
      <c r="I2756" s="34" t="s">
        <v>1357</v>
      </c>
      <c r="J2756" s="48"/>
      <c r="K2756" s="48"/>
      <c r="L2756" s="48"/>
      <c r="M2756" s="48"/>
      <c r="N2756" s="59"/>
      <c r="O2756" s="59">
        <v>130000</v>
      </c>
      <c r="P2756" s="59"/>
      <c r="Q2756" s="268">
        <f t="shared" si="130"/>
        <v>130000</v>
      </c>
      <c r="R2756" s="61">
        <f>IF(O2756=0,0,SUMIFS(Disbursements!$T:$T,Disbursements!$B:$B,'Live Collections'!D2756,Disbursements!$D:$D,'Live Collections'!F2756))</f>
        <v>325000</v>
      </c>
      <c r="S2756" s="304">
        <f>IF(O2756&lt;=IF($O2756=0,0,SUMIFS(Disbursements!$W:$W,Disbursements!$B:$B,'Live Collections'!D1386,Disbursements!$D:$D,'Live Collections'!F1386)),O2756,IF($O2756=0,0,SUMIFS(Disbursements!$W:$W,Disbursements!$B:$B,'Live Collections'!D1386,Disbursements!$D:$D,'Live Collections'!F1386)))</f>
        <v>0</v>
      </c>
      <c r="T2756" s="304">
        <f t="shared" si="131"/>
        <v>130000</v>
      </c>
      <c r="U2756" s="52"/>
      <c r="V2756" s="34"/>
      <c r="W2756" s="408"/>
    </row>
    <row r="2757" spans="1:23" ht="12.75" customHeight="1" x14ac:dyDescent="0.2">
      <c r="A2757" s="257">
        <v>2757</v>
      </c>
      <c r="B2757" s="44">
        <v>44585</v>
      </c>
      <c r="C2757" s="44">
        <f t="shared" si="132"/>
        <v>44585</v>
      </c>
      <c r="D2757" s="374">
        <v>6</v>
      </c>
      <c r="E2757" s="291" t="str">
        <f>IFERROR(VLOOKUP($D2757,'Clients-Live'!$A:$C,3,0),"")</f>
        <v>AMUTE BASHIR</v>
      </c>
      <c r="F2757" s="291">
        <f>IFERROR(INDEX(Disbursements!$D:$D,MATCH('Live Collections'!G2757,Disbursements!$C:$C,0)),"")</f>
        <v>2</v>
      </c>
      <c r="G2757" s="34">
        <v>100</v>
      </c>
      <c r="H2757" s="34">
        <v>4438</v>
      </c>
      <c r="I2757" s="34" t="s">
        <v>1358</v>
      </c>
      <c r="J2757" s="48"/>
      <c r="K2757" s="48"/>
      <c r="L2757" s="48"/>
      <c r="M2757" s="48"/>
      <c r="N2757" s="59"/>
      <c r="O2757" s="59">
        <v>600000</v>
      </c>
      <c r="P2757" s="59"/>
      <c r="Q2757" s="268">
        <f t="shared" si="130"/>
        <v>600000</v>
      </c>
      <c r="R2757" s="61">
        <f>IF(O2757=0,0,SUMIFS(Disbursements!$T:$T,Disbursements!$B:$B,'Live Collections'!D2757,Disbursements!$D:$D,'Live Collections'!F2757))</f>
        <v>1300000</v>
      </c>
      <c r="S2757" s="304">
        <f>IF(O2757&lt;=IF($O2757=0,0,SUMIFS(Disbursements!$W:$W,Disbursements!$B:$B,'Live Collections'!D60,Disbursements!$D:$D,'Live Collections'!F60)),O2757,IF($O2757=0,0,SUMIFS(Disbursements!$W:$W,Disbursements!$B:$B,'Live Collections'!D60,Disbursements!$D:$D,'Live Collections'!F60)))</f>
        <v>0</v>
      </c>
      <c r="T2757" s="304">
        <f t="shared" si="131"/>
        <v>600000</v>
      </c>
      <c r="U2757" s="52"/>
      <c r="V2757" s="34"/>
      <c r="W2757" s="408"/>
    </row>
    <row r="2758" spans="1:23" ht="12.75" customHeight="1" x14ac:dyDescent="0.2">
      <c r="A2758" s="257">
        <v>2758</v>
      </c>
      <c r="B2758" s="44">
        <v>44585</v>
      </c>
      <c r="C2758" s="44">
        <f t="shared" si="132"/>
        <v>44585</v>
      </c>
      <c r="D2758" s="374">
        <v>6</v>
      </c>
      <c r="E2758" s="291" t="str">
        <f>IFERROR(VLOOKUP($D2758,'Clients-Live'!$A:$C,3,0),"")</f>
        <v>AMUTE BASHIR</v>
      </c>
      <c r="F2758" s="291">
        <f>IFERROR(INDEX(Disbursements!$D:$D,MATCH('Live Collections'!G2758,Disbursements!$C:$C,0)),"")</f>
        <v>2</v>
      </c>
      <c r="G2758" s="34">
        <v>100</v>
      </c>
      <c r="H2758" s="34">
        <v>602</v>
      </c>
      <c r="I2758" s="34" t="s">
        <v>1358</v>
      </c>
      <c r="J2758" s="48"/>
      <c r="K2758" s="48"/>
      <c r="L2758" s="48"/>
      <c r="M2758" s="48"/>
      <c r="N2758" s="59"/>
      <c r="O2758" s="59"/>
      <c r="P2758" s="59">
        <v>-600000</v>
      </c>
      <c r="Q2758" s="268">
        <f t="shared" si="130"/>
        <v>-600000</v>
      </c>
      <c r="R2758" s="61">
        <f>IF(O2758=0,0,SUMIFS(Disbursements!$T:$T,Disbursements!$B:$B,'Live Collections'!D2758,Disbursements!$D:$D,'Live Collections'!F2758))</f>
        <v>0</v>
      </c>
      <c r="S2758" s="304">
        <f>IF(O2758&lt;=IF($O2758=0,0,SUMIFS(Disbursements!$W:$W,Disbursements!$B:$B,'Live Collections'!D61,Disbursements!$D:$D,'Live Collections'!F61)),O2758,IF($O2758=0,0,SUMIFS(Disbursements!$W:$W,Disbursements!$B:$B,'Live Collections'!D61,Disbursements!$D:$D,'Live Collections'!F61)))</f>
        <v>0</v>
      </c>
      <c r="T2758" s="304">
        <f t="shared" si="131"/>
        <v>0</v>
      </c>
      <c r="U2758" s="52"/>
      <c r="V2758" s="34"/>
      <c r="W2758" s="408" t="s">
        <v>1998</v>
      </c>
    </row>
    <row r="2759" spans="1:23" ht="12.75" customHeight="1" x14ac:dyDescent="0.2">
      <c r="A2759" s="257">
        <v>2759</v>
      </c>
      <c r="B2759" s="44">
        <v>44585</v>
      </c>
      <c r="C2759" s="44">
        <f t="shared" si="132"/>
        <v>44585</v>
      </c>
      <c r="D2759" s="374">
        <v>6</v>
      </c>
      <c r="E2759" s="291" t="str">
        <f>IFERROR(VLOOKUP($D2759,'Clients-Live'!$A:$C,3,0),"")</f>
        <v>AMUTE BASHIR</v>
      </c>
      <c r="F2759" s="291">
        <f>IFERROR(INDEX(Disbursements!$D:$D,MATCH('Live Collections'!G2759,Disbursements!$C:$C,0)),"")</f>
        <v>2</v>
      </c>
      <c r="G2759" s="34">
        <v>100</v>
      </c>
      <c r="H2759" s="34">
        <v>4437</v>
      </c>
      <c r="I2759" s="34" t="s">
        <v>1358</v>
      </c>
      <c r="J2759" s="48"/>
      <c r="K2759" s="48"/>
      <c r="L2759" s="48"/>
      <c r="M2759" s="48"/>
      <c r="N2759" s="59"/>
      <c r="O2759" s="59">
        <v>600000</v>
      </c>
      <c r="P2759" s="59"/>
      <c r="Q2759" s="268">
        <f t="shared" si="130"/>
        <v>600000</v>
      </c>
      <c r="R2759" s="61">
        <f>IF(O2759=0,0,SUMIFS(Disbursements!$T:$T,Disbursements!$B:$B,'Live Collections'!D2759,Disbursements!$D:$D,'Live Collections'!F2759))</f>
        <v>1300000</v>
      </c>
      <c r="S2759" s="304">
        <f>IF(O2759&lt;=IF($O2759=0,0,SUMIFS(Disbursements!$W:$W,Disbursements!$B:$B,'Live Collections'!D62,Disbursements!$D:$D,'Live Collections'!F62)),O2759,IF($O2759=0,0,SUMIFS(Disbursements!$W:$W,Disbursements!$B:$B,'Live Collections'!D62,Disbursements!$D:$D,'Live Collections'!F62)))</f>
        <v>8000</v>
      </c>
      <c r="T2759" s="304">
        <f t="shared" si="131"/>
        <v>592000</v>
      </c>
      <c r="U2759" s="52"/>
      <c r="V2759" s="34"/>
      <c r="W2759" s="408"/>
    </row>
    <row r="2760" spans="1:23" ht="12.75" customHeight="1" x14ac:dyDescent="0.2">
      <c r="A2760" s="257">
        <v>2764</v>
      </c>
      <c r="B2760" s="44">
        <v>44585</v>
      </c>
      <c r="C2760" s="44">
        <f t="shared" si="132"/>
        <v>44585</v>
      </c>
      <c r="D2760" s="374">
        <v>56</v>
      </c>
      <c r="E2760" s="291" t="str">
        <f>IFERROR(VLOOKUP($D2760,'Clients-Live'!$A:$C,3,0),"")</f>
        <v>ALOMO ZABIBU</v>
      </c>
      <c r="F2760" s="291">
        <f>IFERROR(INDEX(Disbursements!$D:$D,MATCH('Live Collections'!G2760,Disbursements!$C:$C,0)),"")</f>
        <v>3</v>
      </c>
      <c r="G2760" s="34">
        <v>376</v>
      </c>
      <c r="H2760" s="34">
        <v>4432</v>
      </c>
      <c r="I2760" s="34" t="s">
        <v>1357</v>
      </c>
      <c r="J2760" s="48"/>
      <c r="K2760" s="48"/>
      <c r="L2760" s="48"/>
      <c r="M2760" s="48"/>
      <c r="N2760" s="59"/>
      <c r="O2760" s="59">
        <v>100000</v>
      </c>
      <c r="P2760" s="59"/>
      <c r="Q2760" s="268">
        <f t="shared" si="130"/>
        <v>100000</v>
      </c>
      <c r="R2760" s="61">
        <f>IF(O2760=0,0,SUMIFS(Disbursements!$T:$T,Disbursements!$B:$B,'Live Collections'!D2760,Disbursements!$D:$D,'Live Collections'!F2760))</f>
        <v>125000</v>
      </c>
      <c r="S2760" s="304">
        <f>IF(O2760&lt;=IF($O2760=0,0,SUMIFS(Disbursements!$W:$W,Disbursements!$B:$B,'Live Collections'!D676,Disbursements!$D:$D,'Live Collections'!F676)),O2760,IF($O2760=0,0,SUMIFS(Disbursements!$W:$W,Disbursements!$B:$B,'Live Collections'!D676,Disbursements!$D:$D,'Live Collections'!F676)))</f>
        <v>13000</v>
      </c>
      <c r="T2760" s="304">
        <f t="shared" si="131"/>
        <v>87000</v>
      </c>
      <c r="U2760" s="52"/>
      <c r="V2760" s="34"/>
      <c r="W2760" s="408"/>
    </row>
    <row r="2761" spans="1:23" ht="12.75" customHeight="1" x14ac:dyDescent="0.2">
      <c r="A2761" s="257">
        <v>2763</v>
      </c>
      <c r="B2761" s="44">
        <v>44585</v>
      </c>
      <c r="C2761" s="44">
        <f t="shared" si="132"/>
        <v>44585</v>
      </c>
      <c r="D2761" s="374">
        <v>61</v>
      </c>
      <c r="E2761" s="291" t="str">
        <f>IFERROR(VLOOKUP($D2761,'Clients-Live'!$A:$C,3,0),"")</f>
        <v>AREDU RUKIA</v>
      </c>
      <c r="F2761" s="291">
        <f>IFERROR(INDEX(Disbursements!$D:$D,MATCH('Live Collections'!G2761,Disbursements!$C:$C,0)),"")</f>
        <v>2</v>
      </c>
      <c r="G2761" s="34">
        <v>290</v>
      </c>
      <c r="H2761" s="34">
        <v>4436</v>
      </c>
      <c r="I2761" s="34" t="s">
        <v>1359</v>
      </c>
      <c r="J2761" s="48"/>
      <c r="K2761" s="48"/>
      <c r="L2761" s="48"/>
      <c r="M2761" s="48"/>
      <c r="N2761" s="59"/>
      <c r="O2761" s="59">
        <v>90000</v>
      </c>
      <c r="P2761" s="59"/>
      <c r="Q2761" s="268">
        <f t="shared" si="130"/>
        <v>90000</v>
      </c>
      <c r="R2761" s="61">
        <f>IF(O2761=0,0,SUMIFS(Disbursements!$T:$T,Disbursements!$B:$B,'Live Collections'!D2761,Disbursements!$D:$D,'Live Collections'!F2761))</f>
        <v>90000</v>
      </c>
      <c r="S2761" s="304"/>
      <c r="T2761" s="304">
        <f t="shared" si="131"/>
        <v>90000</v>
      </c>
      <c r="U2761" s="52"/>
      <c r="V2761" s="34"/>
      <c r="W2761" s="408" t="s">
        <v>2086</v>
      </c>
    </row>
    <row r="2762" spans="1:23" ht="12.75" customHeight="1" x14ac:dyDescent="0.2">
      <c r="A2762" s="257">
        <v>2762</v>
      </c>
      <c r="B2762" s="44">
        <v>44585</v>
      </c>
      <c r="C2762" s="44">
        <f t="shared" si="132"/>
        <v>44585</v>
      </c>
      <c r="D2762" s="374">
        <v>74</v>
      </c>
      <c r="E2762" s="291" t="str">
        <f>IFERROR(VLOOKUP($D2762,'Clients-Live'!$A:$C,3,0),"")</f>
        <v>YUKUWE AISHA</v>
      </c>
      <c r="F2762" s="291">
        <f>IFERROR(INDEX(Disbursements!$D:$D,MATCH('Live Collections'!G2762,Disbursements!$C:$C,0)),"")</f>
        <v>2</v>
      </c>
      <c r="G2762" s="34">
        <v>287</v>
      </c>
      <c r="H2762" s="34">
        <v>4435</v>
      </c>
      <c r="I2762" s="34" t="s">
        <v>1358</v>
      </c>
      <c r="J2762" s="48"/>
      <c r="K2762" s="48"/>
      <c r="L2762" s="48"/>
      <c r="M2762" s="48"/>
      <c r="N2762" s="59"/>
      <c r="O2762" s="59">
        <v>30000</v>
      </c>
      <c r="P2762" s="59"/>
      <c r="Q2762" s="268">
        <f t="shared" si="130"/>
        <v>30000</v>
      </c>
      <c r="R2762" s="61">
        <f>IF(O2762=0,0,SUMIFS(Disbursements!$T:$T,Disbursements!$B:$B,'Live Collections'!D2762,Disbursements!$D:$D,'Live Collections'!F2762))</f>
        <v>90000</v>
      </c>
      <c r="S2762" s="304"/>
      <c r="T2762" s="304">
        <f t="shared" si="131"/>
        <v>30000</v>
      </c>
      <c r="U2762" s="52"/>
      <c r="V2762" s="34"/>
      <c r="W2762" s="408"/>
    </row>
    <row r="2763" spans="1:23" ht="12.75" customHeight="1" x14ac:dyDescent="0.2">
      <c r="A2763" s="257">
        <v>2769</v>
      </c>
      <c r="B2763" s="44">
        <v>44585</v>
      </c>
      <c r="C2763" s="44">
        <f t="shared" si="132"/>
        <v>44585</v>
      </c>
      <c r="D2763" s="374">
        <v>88</v>
      </c>
      <c r="E2763" s="291" t="str">
        <f>IFERROR(VLOOKUP($D2763,'Clients-Live'!$A:$C,3,0),"")</f>
        <v>FAIDA HARRIET</v>
      </c>
      <c r="F2763" s="291">
        <f>IFERROR(INDEX(Disbursements!$D:$D,MATCH('Live Collections'!G2763,Disbursements!$C:$C,0)),"")</f>
        <v>3</v>
      </c>
      <c r="G2763" s="34">
        <v>380</v>
      </c>
      <c r="H2763" s="34">
        <v>4439</v>
      </c>
      <c r="I2763" s="34" t="s">
        <v>1357</v>
      </c>
      <c r="J2763" s="48"/>
      <c r="K2763" s="48"/>
      <c r="L2763" s="48"/>
      <c r="M2763" s="48"/>
      <c r="N2763" s="59"/>
      <c r="O2763" s="59">
        <v>50000</v>
      </c>
      <c r="P2763" s="59"/>
      <c r="Q2763" s="268">
        <f t="shared" si="130"/>
        <v>50000</v>
      </c>
      <c r="R2763" s="61">
        <f>IF(O2763=0,0,SUMIFS(Disbursements!$T:$T,Disbursements!$B:$B,'Live Collections'!D2763,Disbursements!$D:$D,'Live Collections'!F2763))</f>
        <v>90000</v>
      </c>
      <c r="S2763" s="304">
        <f>IF(O2763&lt;=IF($O2763=0,0,SUMIFS(Disbursements!$W:$W,Disbursements!$B:$B,'Live Collections'!D1151,Disbursements!$D:$D,'Live Collections'!F1151)),O2763,IF($O2763=0,0,SUMIFS(Disbursements!$W:$W,Disbursements!$B:$B,'Live Collections'!D1151,Disbursements!$D:$D,'Live Collections'!F1151)))</f>
        <v>0</v>
      </c>
      <c r="T2763" s="304">
        <f t="shared" si="131"/>
        <v>50000</v>
      </c>
      <c r="U2763" s="52"/>
      <c r="V2763" s="34"/>
      <c r="W2763" s="408"/>
    </row>
    <row r="2764" spans="1:23" ht="12.75" customHeight="1" x14ac:dyDescent="0.2">
      <c r="A2764" s="257">
        <v>2756</v>
      </c>
      <c r="B2764" s="44">
        <v>44585</v>
      </c>
      <c r="C2764" s="44">
        <f t="shared" si="132"/>
        <v>44585</v>
      </c>
      <c r="D2764" s="374">
        <v>103</v>
      </c>
      <c r="E2764" s="291" t="str">
        <f>IFERROR(VLOOKUP($D2764,'Clients-Live'!$A:$C,3,0),"")</f>
        <v>CHANDIRU ZABIB</v>
      </c>
      <c r="F2764" s="291">
        <f>IFERROR(INDEX(Disbursements!$D:$D,MATCH('Live Collections'!G2764,Disbursements!$C:$C,0)),"")</f>
        <v>2</v>
      </c>
      <c r="G2764" s="34">
        <v>266</v>
      </c>
      <c r="H2764" s="34">
        <v>4392</v>
      </c>
      <c r="I2764" s="34" t="s">
        <v>1358</v>
      </c>
      <c r="J2764" s="48"/>
      <c r="K2764" s="48"/>
      <c r="L2764" s="48"/>
      <c r="M2764" s="48"/>
      <c r="N2764" s="59"/>
      <c r="O2764" s="59">
        <v>100000</v>
      </c>
      <c r="P2764" s="59"/>
      <c r="Q2764" s="268">
        <f t="shared" si="130"/>
        <v>100000</v>
      </c>
      <c r="R2764" s="61">
        <f>IF(O2764=0,0,SUMIFS(Disbursements!$T:$T,Disbursements!$B:$B,'Live Collections'!D2764,Disbursements!$D:$D,'Live Collections'!F2764))</f>
        <v>150000</v>
      </c>
      <c r="S2764" s="304"/>
      <c r="T2764" s="304">
        <f t="shared" si="131"/>
        <v>100000</v>
      </c>
      <c r="U2764" s="52"/>
      <c r="V2764" s="34"/>
      <c r="W2764" s="408"/>
    </row>
    <row r="2765" spans="1:23" ht="12.75" customHeight="1" x14ac:dyDescent="0.2">
      <c r="A2765" s="257">
        <v>2766</v>
      </c>
      <c r="B2765" s="44">
        <v>44585</v>
      </c>
      <c r="C2765" s="44">
        <f t="shared" si="132"/>
        <v>44585</v>
      </c>
      <c r="D2765" s="374">
        <v>106</v>
      </c>
      <c r="E2765" s="291" t="str">
        <f>IFERROR(VLOOKUP($D2765,'Clients-Live'!$A:$C,3,0),"")</f>
        <v>ORODRIYO  NUSURA</v>
      </c>
      <c r="F2765" s="291">
        <f>IFERROR(INDEX(Disbursements!$D:$D,MATCH('Live Collections'!G2765,Disbursements!$C:$C,0)),"")</f>
        <v>2</v>
      </c>
      <c r="G2765" s="34">
        <v>104</v>
      </c>
      <c r="H2765" s="34">
        <v>4430</v>
      </c>
      <c r="I2765" s="34" t="s">
        <v>1357</v>
      </c>
      <c r="J2765" s="48"/>
      <c r="K2765" s="48"/>
      <c r="L2765" s="48"/>
      <c r="M2765" s="48"/>
      <c r="N2765" s="59"/>
      <c r="O2765" s="59">
        <v>70000</v>
      </c>
      <c r="P2765" s="59"/>
      <c r="Q2765" s="268">
        <f t="shared" si="130"/>
        <v>70000</v>
      </c>
      <c r="R2765" s="61">
        <f>IF(O2765=0,0,SUMIFS(Disbursements!$T:$T,Disbursements!$B:$B,'Live Collections'!D2765,Disbursements!$D:$D,'Live Collections'!F2765))</f>
        <v>120000</v>
      </c>
      <c r="S2765" s="304"/>
      <c r="T2765" s="304">
        <f t="shared" si="131"/>
        <v>70000</v>
      </c>
      <c r="U2765" s="52"/>
      <c r="V2765" s="34"/>
      <c r="W2765" s="408"/>
    </row>
    <row r="2766" spans="1:23" ht="12.75" customHeight="1" x14ac:dyDescent="0.2">
      <c r="A2766" s="257">
        <v>2755</v>
      </c>
      <c r="B2766" s="44">
        <v>44585</v>
      </c>
      <c r="C2766" s="44">
        <f t="shared" si="132"/>
        <v>44585</v>
      </c>
      <c r="D2766" s="374">
        <v>133</v>
      </c>
      <c r="E2766" s="291" t="str">
        <f>IFERROR(VLOOKUP($D2766,'Clients-Live'!$A:$C,3,0),"")</f>
        <v>JABE MARY</v>
      </c>
      <c r="F2766" s="291">
        <f>IFERROR(INDEX(Disbursements!$D:$D,MATCH('Live Collections'!G2766,Disbursements!$C:$C,0)),"")</f>
        <v>1</v>
      </c>
      <c r="G2766" s="34">
        <v>116</v>
      </c>
      <c r="H2766" s="34">
        <v>4391</v>
      </c>
      <c r="I2766" s="34" t="s">
        <v>1359</v>
      </c>
      <c r="J2766" s="48"/>
      <c r="K2766" s="48"/>
      <c r="L2766" s="48"/>
      <c r="M2766" s="48"/>
      <c r="N2766" s="59"/>
      <c r="O2766" s="59">
        <v>90000</v>
      </c>
      <c r="P2766" s="59"/>
      <c r="Q2766" s="268">
        <f t="shared" si="130"/>
        <v>90000</v>
      </c>
      <c r="R2766" s="61">
        <f>IF(O2766=0,0,SUMIFS(Disbursements!$T:$T,Disbursements!$B:$B,'Live Collections'!D2766,Disbursements!$D:$D,'Live Collections'!F2766))</f>
        <v>125000</v>
      </c>
      <c r="S2766" s="304"/>
      <c r="T2766" s="304">
        <f t="shared" si="131"/>
        <v>90000</v>
      </c>
      <c r="U2766" s="52"/>
      <c r="V2766" s="34"/>
      <c r="W2766" s="408"/>
    </row>
    <row r="2767" spans="1:23" ht="12.75" customHeight="1" x14ac:dyDescent="0.2">
      <c r="A2767" s="257">
        <v>2767</v>
      </c>
      <c r="B2767" s="44">
        <v>44585</v>
      </c>
      <c r="C2767" s="44">
        <f t="shared" si="132"/>
        <v>44585</v>
      </c>
      <c r="D2767" s="374">
        <v>215</v>
      </c>
      <c r="E2767" s="291" t="str">
        <f>IFERROR(VLOOKUP($D2767,'Clients-Live'!$A:$C,3,0),"")</f>
        <v>BRANI MUSA</v>
      </c>
      <c r="F2767" s="291">
        <f>IFERROR(INDEX(Disbursements!$D:$D,MATCH('Live Collections'!G2767,Disbursements!$C:$C,0)),"")</f>
        <v>2</v>
      </c>
      <c r="G2767" s="34">
        <v>343</v>
      </c>
      <c r="H2767" s="34">
        <v>4428</v>
      </c>
      <c r="I2767" s="34" t="s">
        <v>1357</v>
      </c>
      <c r="J2767" s="48"/>
      <c r="K2767" s="48"/>
      <c r="L2767" s="48"/>
      <c r="M2767" s="48"/>
      <c r="N2767" s="59"/>
      <c r="O2767" s="59">
        <v>70000</v>
      </c>
      <c r="P2767" s="59"/>
      <c r="Q2767" s="268">
        <f t="shared" si="130"/>
        <v>70000</v>
      </c>
      <c r="R2767" s="61">
        <f>IF(O2767=0,0,SUMIFS(Disbursements!$T:$T,Disbursements!$B:$B,'Live Collections'!D2767,Disbursements!$D:$D,'Live Collections'!F2767))</f>
        <v>369000</v>
      </c>
      <c r="S2767" s="304">
        <f>IF(O2767&lt;=IF($O2767=0,0,SUMIFS(Disbursements!$W:$W,Disbursements!$B:$B,'Live Collections'!D2541,Disbursements!$D:$D,'Live Collections'!F2541)),O2767,IF($O2767=0,0,SUMIFS(Disbursements!$W:$W,Disbursements!$B:$B,'Live Collections'!D2541,Disbursements!$D:$D,'Live Collections'!F2541)))</f>
        <v>60333.333333333314</v>
      </c>
      <c r="T2767" s="304">
        <f t="shared" si="131"/>
        <v>9666.6666666666861</v>
      </c>
      <c r="U2767" s="52"/>
      <c r="V2767" s="34"/>
      <c r="W2767" s="408"/>
    </row>
    <row r="2768" spans="1:23" ht="12.75" customHeight="1" x14ac:dyDescent="0.2">
      <c r="A2768" s="257">
        <v>2761</v>
      </c>
      <c r="B2768" s="44">
        <v>44585</v>
      </c>
      <c r="C2768" s="44">
        <f t="shared" si="132"/>
        <v>44585</v>
      </c>
      <c r="D2768" s="374">
        <v>242</v>
      </c>
      <c r="E2768" s="291" t="str">
        <f>IFERROR(VLOOKUP($D2768,'Clients-Live'!$A:$C,3,0),"")</f>
        <v>BAKOKO FLAVIA</v>
      </c>
      <c r="F2768" s="291">
        <f>IFERROR(INDEX(Disbursements!$D:$D,MATCH('Live Collections'!G2768,Disbursements!$C:$C,0)),"")</f>
        <v>1</v>
      </c>
      <c r="G2768" s="34">
        <v>277</v>
      </c>
      <c r="H2768" s="34">
        <v>4434</v>
      </c>
      <c r="I2768" s="34" t="s">
        <v>1359</v>
      </c>
      <c r="J2768" s="48"/>
      <c r="K2768" s="48"/>
      <c r="L2768" s="48"/>
      <c r="M2768" s="48"/>
      <c r="N2768" s="59"/>
      <c r="O2768" s="59">
        <v>217000</v>
      </c>
      <c r="P2768" s="59"/>
      <c r="Q2768" s="268">
        <f t="shared" si="130"/>
        <v>217000</v>
      </c>
      <c r="R2768" s="61">
        <f>IF(O2768=0,0,SUMIFS(Disbursements!$T:$T,Disbursements!$B:$B,'Live Collections'!D2768,Disbursements!$D:$D,'Live Collections'!F2768))</f>
        <v>217000</v>
      </c>
      <c r="S2768" s="304">
        <f>IF(O2768&lt;=IF($O2768=0,0,SUMIFS(Disbursements!$W:$W,Disbursements!$B:$B,'Live Collections'!D2766,Disbursements!$D:$D,'Live Collections'!F2766)),O2768,IF($O2768=0,0,SUMIFS(Disbursements!$W:$W,Disbursements!$B:$B,'Live Collections'!D2766,Disbursements!$D:$D,'Live Collections'!F2766)))</f>
        <v>25000</v>
      </c>
      <c r="T2768" s="304">
        <f t="shared" si="131"/>
        <v>192000</v>
      </c>
      <c r="U2768" s="52"/>
      <c r="V2768" s="34"/>
      <c r="W2768" s="408"/>
    </row>
    <row r="2769" spans="1:23" ht="12.75" customHeight="1" x14ac:dyDescent="0.2">
      <c r="A2769" s="257">
        <v>2760</v>
      </c>
      <c r="B2769" s="44">
        <v>44585</v>
      </c>
      <c r="C2769" s="44">
        <f t="shared" si="132"/>
        <v>44585</v>
      </c>
      <c r="D2769" s="374">
        <v>253</v>
      </c>
      <c r="E2769" s="291" t="str">
        <f>IFERROR(VLOOKUP($D2769,'Clients-Live'!$A:$C,3,0),"")</f>
        <v>JAKUMA VINCENT</v>
      </c>
      <c r="F2769" s="291">
        <f>IFERROR(INDEX(Disbursements!$D:$D,MATCH('Live Collections'!G2769,Disbursements!$C:$C,0)),"")</f>
        <v>1</v>
      </c>
      <c r="G2769" s="34">
        <v>359</v>
      </c>
      <c r="H2769" s="34">
        <v>4389</v>
      </c>
      <c r="I2769" s="34" t="s">
        <v>1359</v>
      </c>
      <c r="J2769" s="48"/>
      <c r="K2769" s="48"/>
      <c r="L2769" s="48"/>
      <c r="M2769" s="48"/>
      <c r="N2769" s="59"/>
      <c r="O2769" s="59">
        <v>200000</v>
      </c>
      <c r="P2769" s="59"/>
      <c r="Q2769" s="268">
        <f t="shared" si="130"/>
        <v>200000</v>
      </c>
      <c r="R2769" s="61">
        <f>IF(O2769=0,0,SUMIFS(Disbursements!$T:$T,Disbursements!$B:$B,'Live Collections'!D2769,Disbursements!$D:$D,'Live Collections'!F2769))</f>
        <v>613000</v>
      </c>
      <c r="S2769" s="304"/>
      <c r="T2769" s="304">
        <f t="shared" si="131"/>
        <v>200000</v>
      </c>
      <c r="U2769" s="52"/>
      <c r="V2769" s="34"/>
      <c r="W2769" s="408"/>
    </row>
    <row r="2770" spans="1:23" ht="12.75" customHeight="1" x14ac:dyDescent="0.2">
      <c r="A2770" s="257">
        <v>2768</v>
      </c>
      <c r="B2770" s="44">
        <v>44585</v>
      </c>
      <c r="C2770" s="44">
        <f t="shared" si="132"/>
        <v>44585</v>
      </c>
      <c r="D2770" s="374">
        <v>309</v>
      </c>
      <c r="E2770" s="291" t="str">
        <f>IFERROR(VLOOKUP($D2770,'Clients-Live'!$A:$C,3,0),"")</f>
        <v>NAMBOZO HALIMA</v>
      </c>
      <c r="F2770" s="291">
        <f>IFERROR(INDEX(Disbursements!$D:$D,MATCH('Live Collections'!G2770,Disbursements!$C:$C,0)),"")</f>
        <v>1</v>
      </c>
      <c r="G2770" s="34">
        <v>391</v>
      </c>
      <c r="H2770" s="34">
        <v>4429</v>
      </c>
      <c r="I2770" s="34" t="s">
        <v>1357</v>
      </c>
      <c r="J2770" s="48"/>
      <c r="K2770" s="48"/>
      <c r="L2770" s="48"/>
      <c r="M2770" s="48"/>
      <c r="N2770" s="59"/>
      <c r="O2770" s="59">
        <v>80000</v>
      </c>
      <c r="P2770" s="59"/>
      <c r="Q2770" s="268">
        <f t="shared" si="130"/>
        <v>80000</v>
      </c>
      <c r="R2770" s="61">
        <f>IF(O2770=0,0,SUMIFS(Disbursements!$T:$T,Disbursements!$B:$B,'Live Collections'!D2770,Disbursements!$D:$D,'Live Collections'!F2770))</f>
        <v>79000</v>
      </c>
      <c r="S2770" s="304">
        <f>IF(O2770&lt;=IF($O2770=0,0,SUMIFS(Disbursements!$W:$W,Disbursements!$B:$B,'Live Collections'!D3115,Disbursements!$D:$D,'Live Collections'!F3115)),O2770,IF($O2770=0,0,SUMIFS(Disbursements!$W:$W,Disbursements!$B:$B,'Live Collections'!D3115,Disbursements!$D:$D,'Live Collections'!F3115)))</f>
        <v>30000</v>
      </c>
      <c r="T2770" s="304">
        <f t="shared" si="131"/>
        <v>50000</v>
      </c>
      <c r="U2770" s="52"/>
      <c r="V2770" s="34"/>
      <c r="W2770" s="408"/>
    </row>
    <row r="2771" spans="1:23" ht="12.75" customHeight="1" x14ac:dyDescent="0.2">
      <c r="A2771" s="257">
        <v>2787</v>
      </c>
      <c r="B2771" s="44">
        <v>44586</v>
      </c>
      <c r="C2771" s="44">
        <f t="shared" si="132"/>
        <v>44586</v>
      </c>
      <c r="D2771" s="374">
        <v>1</v>
      </c>
      <c r="E2771" s="291" t="str">
        <f>IFERROR(VLOOKUP($D2771,'Clients-Live'!$A:$C,3,0),"")</f>
        <v>TABAN NICHOLAS</v>
      </c>
      <c r="F2771" s="291">
        <f>IFERROR(INDEX(Disbursements!$D:$D,MATCH('Live Collections'!G2771,Disbursements!$C:$C,0)),"")</f>
        <v>1</v>
      </c>
      <c r="G2771" s="34">
        <v>387</v>
      </c>
      <c r="H2771" s="34">
        <v>4449</v>
      </c>
      <c r="I2771" s="34" t="s">
        <v>1359</v>
      </c>
      <c r="J2771" s="48"/>
      <c r="K2771" s="48"/>
      <c r="L2771" s="48"/>
      <c r="M2771" s="48"/>
      <c r="N2771" s="59"/>
      <c r="O2771" s="59">
        <v>325000</v>
      </c>
      <c r="P2771" s="59"/>
      <c r="Q2771" s="268">
        <f t="shared" si="130"/>
        <v>325000</v>
      </c>
      <c r="R2771" s="61">
        <f>IF(O2771=0,0,SUMIFS(Disbursements!$T:$T,Disbursements!$B:$B,'Live Collections'!D2771,Disbursements!$D:$D,'Live Collections'!F2771))</f>
        <v>325000</v>
      </c>
      <c r="S2771" s="304">
        <f>IF(O2771&lt;=IF($O2771=0,0,SUMIFS(Disbursements!$W:$W,Disbursements!$B:$B,'Live Collections'!D9,Disbursements!$D:$D,'Live Collections'!F9)),O2771,IF($O2771=0,0,SUMIFS(Disbursements!$W:$W,Disbursements!$B:$B,'Live Collections'!D9,Disbursements!$D:$D,'Live Collections'!F9)))</f>
        <v>0</v>
      </c>
      <c r="T2771" s="304">
        <f t="shared" si="131"/>
        <v>325000</v>
      </c>
      <c r="U2771" s="52"/>
      <c r="V2771" s="34"/>
      <c r="W2771" s="408"/>
    </row>
    <row r="2772" spans="1:23" ht="12.75" customHeight="1" x14ac:dyDescent="0.2">
      <c r="A2772" s="257">
        <v>2782</v>
      </c>
      <c r="B2772" s="44">
        <v>44586</v>
      </c>
      <c r="C2772" s="44">
        <f t="shared" si="132"/>
        <v>44586</v>
      </c>
      <c r="D2772" s="374">
        <v>11</v>
      </c>
      <c r="E2772" s="291" t="str">
        <f>IFERROR(VLOOKUP($D2772,'Clients-Live'!$A:$C,3,0),"")</f>
        <v>ARIME JUMA</v>
      </c>
      <c r="F2772" s="291">
        <f>IFERROR(INDEX(Disbursements!$D:$D,MATCH('Live Collections'!G2772,Disbursements!$C:$C,0)),"")</f>
        <v>2</v>
      </c>
      <c r="G2772" s="34">
        <v>363</v>
      </c>
      <c r="H2772" s="34">
        <v>4395</v>
      </c>
      <c r="I2772" s="34" t="s">
        <v>1359</v>
      </c>
      <c r="J2772" s="48"/>
      <c r="K2772" s="48"/>
      <c r="L2772" s="48"/>
      <c r="M2772" s="48"/>
      <c r="N2772" s="59"/>
      <c r="O2772" s="59">
        <v>100000</v>
      </c>
      <c r="P2772" s="59"/>
      <c r="Q2772" s="268">
        <f t="shared" si="130"/>
        <v>100000</v>
      </c>
      <c r="R2772" s="61">
        <f>IF(O2772=0,0,SUMIFS(Disbursements!$T:$T,Disbursements!$B:$B,'Live Collections'!D2772,Disbursements!$D:$D,'Live Collections'!F2772))</f>
        <v>152000</v>
      </c>
      <c r="S2772" s="304">
        <f>IF(O2772&lt;=IF($O2772=0,0,SUMIFS(Disbursements!$W:$W,Disbursements!$B:$B,'Live Collections'!D118,Disbursements!$D:$D,'Live Collections'!F118)),O2772,IF($O2772=0,0,SUMIFS(Disbursements!$W:$W,Disbursements!$B:$B,'Live Collections'!D118,Disbursements!$D:$D,'Live Collections'!F118)))</f>
        <v>10000</v>
      </c>
      <c r="T2772" s="304">
        <f t="shared" si="131"/>
        <v>90000</v>
      </c>
      <c r="U2772" s="52"/>
      <c r="V2772" s="34"/>
      <c r="W2772" s="408"/>
    </row>
    <row r="2773" spans="1:23" ht="12.75" customHeight="1" x14ac:dyDescent="0.2">
      <c r="A2773" s="257">
        <v>2783</v>
      </c>
      <c r="B2773" s="44">
        <v>44586</v>
      </c>
      <c r="C2773" s="44">
        <f t="shared" si="132"/>
        <v>44586</v>
      </c>
      <c r="D2773" s="374">
        <v>24</v>
      </c>
      <c r="E2773" s="291" t="str">
        <f>IFERROR(VLOOKUP($D2773,'Clients-Live'!$A:$C,3,0),"")</f>
        <v>VITA JEROME</v>
      </c>
      <c r="F2773" s="291">
        <f>IFERROR(INDEX(Disbursements!$D:$D,MATCH('Live Collections'!G2773,Disbursements!$C:$C,0)),"")</f>
        <v>1</v>
      </c>
      <c r="G2773" s="34">
        <v>388</v>
      </c>
      <c r="H2773" s="34">
        <v>4450</v>
      </c>
      <c r="I2773" s="34" t="s">
        <v>1358</v>
      </c>
      <c r="J2773" s="48"/>
      <c r="K2773" s="48"/>
      <c r="L2773" s="48"/>
      <c r="M2773" s="48"/>
      <c r="N2773" s="59"/>
      <c r="O2773" s="59">
        <v>430000</v>
      </c>
      <c r="P2773" s="59"/>
      <c r="Q2773" s="268">
        <f t="shared" si="130"/>
        <v>430000</v>
      </c>
      <c r="R2773" s="61">
        <f>IF(O2773=0,0,SUMIFS(Disbursements!$T:$T,Disbursements!$B:$B,'Live Collections'!D2773,Disbursements!$D:$D,'Live Collections'!F2773))</f>
        <v>144000</v>
      </c>
      <c r="S2773" s="304">
        <v>31999.999999999971</v>
      </c>
      <c r="T2773" s="304">
        <f>IF(O2773=0,0,O2773-S2773)+2000</f>
        <v>400000</v>
      </c>
      <c r="U2773" s="52"/>
      <c r="V2773" s="34"/>
      <c r="W2773" s="408"/>
    </row>
    <row r="2774" spans="1:23" ht="12.75" customHeight="1" x14ac:dyDescent="0.2">
      <c r="A2774" s="257">
        <v>2784</v>
      </c>
      <c r="B2774" s="44">
        <v>44586</v>
      </c>
      <c r="C2774" s="44">
        <f t="shared" si="132"/>
        <v>44586</v>
      </c>
      <c r="D2774" s="374">
        <v>24</v>
      </c>
      <c r="E2774" s="291" t="str">
        <f>IFERROR(VLOOKUP($D2774,'Clients-Live'!$A:$C,3,0),"")</f>
        <v>VITA JEROME</v>
      </c>
      <c r="F2774" s="291" t="str">
        <f>IFERROR(INDEX(Disbursements!$D:$D,MATCH('Live Collections'!G2774,Disbursements!$C:$C,0)),"")</f>
        <v/>
      </c>
      <c r="G2774" s="34"/>
      <c r="H2774" s="34">
        <v>4396</v>
      </c>
      <c r="I2774" s="34" t="s">
        <v>1357</v>
      </c>
      <c r="J2774" s="48"/>
      <c r="K2774" s="48"/>
      <c r="L2774" s="48">
        <v>10000</v>
      </c>
      <c r="M2774" s="48"/>
      <c r="N2774" s="59"/>
      <c r="O2774" s="59"/>
      <c r="P2774" s="59"/>
      <c r="Q2774" s="268">
        <f t="shared" si="130"/>
        <v>10000</v>
      </c>
      <c r="R2774" s="61">
        <f>IF(O2774=0,0,SUMIFS(Disbursements!$T:$T,Disbursements!$B:$B,'Live Collections'!D2774,Disbursements!$D:$D,'Live Collections'!F2774))</f>
        <v>0</v>
      </c>
      <c r="S2774" s="304">
        <f>IF(O2774&lt;=IF($O2774=0,0,SUMIFS(Disbursements!$W:$W,Disbursements!$B:$B,'Live Collections'!D330,Disbursements!$D:$D,'Live Collections'!F330)),O2774,IF($O2774=0,0,SUMIFS(Disbursements!$W:$W,Disbursements!$B:$B,'Live Collections'!D330,Disbursements!$D:$D,'Live Collections'!F330)))</f>
        <v>0</v>
      </c>
      <c r="T2774" s="304">
        <f t="shared" si="131"/>
        <v>0</v>
      </c>
      <c r="U2774" s="52"/>
      <c r="V2774" s="34"/>
      <c r="W2774" s="408"/>
    </row>
    <row r="2775" spans="1:23" ht="12.75" customHeight="1" x14ac:dyDescent="0.2">
      <c r="A2775" s="257">
        <v>2780</v>
      </c>
      <c r="B2775" s="44">
        <v>44586</v>
      </c>
      <c r="C2775" s="44">
        <f t="shared" si="132"/>
        <v>44586</v>
      </c>
      <c r="D2775" s="374">
        <v>25</v>
      </c>
      <c r="E2775" s="291" t="str">
        <f>IFERROR(VLOOKUP($D2775,'Clients-Live'!$A:$C,3,0),"")</f>
        <v>AROMA BOSCO</v>
      </c>
      <c r="F2775" s="291">
        <f>IFERROR(INDEX(Disbursements!$D:$D,MATCH('Live Collections'!G2775,Disbursements!$C:$C,0)),"")</f>
        <v>1</v>
      </c>
      <c r="G2775" s="34">
        <v>386</v>
      </c>
      <c r="H2775" s="34">
        <v>4339</v>
      </c>
      <c r="I2775" s="34" t="s">
        <v>1359</v>
      </c>
      <c r="J2775" s="48"/>
      <c r="K2775" s="48"/>
      <c r="L2775" s="48"/>
      <c r="M2775" s="48"/>
      <c r="N2775" s="59"/>
      <c r="O2775" s="59">
        <v>130000</v>
      </c>
      <c r="P2775" s="59"/>
      <c r="Q2775" s="268">
        <f t="shared" si="130"/>
        <v>130000</v>
      </c>
      <c r="R2775" s="61">
        <f>IF(O2775=0,0,SUMIFS(Disbursements!$T:$T,Disbursements!$B:$B,'Live Collections'!D2775,Disbursements!$D:$D,'Live Collections'!F2775))</f>
        <v>130000</v>
      </c>
      <c r="S2775" s="304">
        <f>IF(O2775&lt;=IF($O2775=0,0,SUMIFS(Disbursements!$W:$W,Disbursements!$B:$B,'Live Collections'!D332,Disbursements!$D:$D,'Live Collections'!F332)),O2775,IF($O2775=0,0,SUMIFS(Disbursements!$W:$W,Disbursements!$B:$B,'Live Collections'!D332,Disbursements!$D:$D,'Live Collections'!F332)))</f>
        <v>40666.666666666657</v>
      </c>
      <c r="T2775" s="304">
        <f t="shared" si="131"/>
        <v>89333.333333333343</v>
      </c>
      <c r="U2775" s="52"/>
      <c r="V2775" s="34"/>
      <c r="W2775" s="408"/>
    </row>
    <row r="2776" spans="1:23" ht="12.75" customHeight="1" x14ac:dyDescent="0.2">
      <c r="A2776" s="257">
        <v>2785</v>
      </c>
      <c r="B2776" s="44">
        <v>44586</v>
      </c>
      <c r="C2776" s="44">
        <f t="shared" si="132"/>
        <v>44586</v>
      </c>
      <c r="D2776" s="374">
        <v>29</v>
      </c>
      <c r="E2776" s="291" t="str">
        <f>IFERROR(VLOOKUP($D2776,'Clients-Live'!$A:$C,3,0),"")</f>
        <v>AJIBA ROSEMARY EMMANUEL</v>
      </c>
      <c r="F2776" s="291">
        <f>IFERROR(INDEX(Disbursements!$D:$D,MATCH('Live Collections'!G2776,Disbursements!$C:$C,0)),"")</f>
        <v>1</v>
      </c>
      <c r="G2776" s="34">
        <v>389</v>
      </c>
      <c r="H2776" s="34">
        <v>4394</v>
      </c>
      <c r="I2776" s="34" t="s">
        <v>1357</v>
      </c>
      <c r="J2776" s="48"/>
      <c r="K2776" s="48"/>
      <c r="L2776" s="48"/>
      <c r="M2776" s="48"/>
      <c r="N2776" s="59"/>
      <c r="O2776" s="59">
        <v>195000</v>
      </c>
      <c r="P2776" s="59"/>
      <c r="Q2776" s="268">
        <f t="shared" si="130"/>
        <v>195000</v>
      </c>
      <c r="R2776" s="61">
        <f>IF(O2776=0,0,SUMIFS(Disbursements!$T:$T,Disbursements!$B:$B,'Live Collections'!D2776,Disbursements!$D:$D,'Live Collections'!F2776))</f>
        <v>195000</v>
      </c>
      <c r="S2776" s="304">
        <f>IF(O2776&lt;=IF($O2776=0,0,SUMIFS(Disbursements!$W:$W,Disbursements!$B:$B,'Live Collections'!D335,Disbursements!$D:$D,'Live Collections'!F335)),O2776,IF($O2776=0,0,SUMIFS(Disbursements!$W:$W,Disbursements!$B:$B,'Live Collections'!D335,Disbursements!$D:$D,'Live Collections'!F335)))</f>
        <v>20666.666666666657</v>
      </c>
      <c r="T2776" s="304">
        <f t="shared" si="131"/>
        <v>174333.33333333334</v>
      </c>
      <c r="U2776" s="52"/>
      <c r="V2776" s="34"/>
      <c r="W2776" s="408"/>
    </row>
    <row r="2777" spans="1:23" ht="12.75" customHeight="1" x14ac:dyDescent="0.2">
      <c r="A2777" s="257">
        <v>2786</v>
      </c>
      <c r="B2777" s="44">
        <v>44586</v>
      </c>
      <c r="C2777" s="44">
        <f t="shared" si="132"/>
        <v>44586</v>
      </c>
      <c r="D2777" s="374">
        <v>126</v>
      </c>
      <c r="E2777" s="291" t="str">
        <f>IFERROR(VLOOKUP($D2777,'Clients-Live'!$A:$C,3,0),"")</f>
        <v>OGWAL STEPHEN GERALD</v>
      </c>
      <c r="F2777" s="291">
        <f>IFERROR(INDEX(Disbursements!$D:$D,MATCH('Live Collections'!G2777,Disbursements!$C:$C,0)),"")</f>
        <v>3</v>
      </c>
      <c r="G2777" s="34">
        <v>296</v>
      </c>
      <c r="H2777" s="34">
        <v>4447</v>
      </c>
      <c r="I2777" s="34" t="s">
        <v>1359</v>
      </c>
      <c r="J2777" s="48"/>
      <c r="K2777" s="48"/>
      <c r="L2777" s="48"/>
      <c r="M2777" s="48"/>
      <c r="N2777" s="59"/>
      <c r="O2777" s="59">
        <v>463000</v>
      </c>
      <c r="P2777" s="59"/>
      <c r="Q2777" s="268">
        <f t="shared" si="130"/>
        <v>463000</v>
      </c>
      <c r="R2777" s="61">
        <f>IF(O2777=0,0,SUMIFS(Disbursements!$T:$T,Disbursements!$B:$B,'Live Collections'!D2777,Disbursements!$D:$D,'Live Collections'!F2777))</f>
        <v>613000</v>
      </c>
      <c r="S2777" s="64">
        <v>263333.33333333331</v>
      </c>
      <c r="T2777" s="304">
        <f t="shared" si="131"/>
        <v>199666.66666666669</v>
      </c>
      <c r="U2777" s="52"/>
      <c r="V2777" s="34"/>
      <c r="W2777" s="408"/>
    </row>
    <row r="2778" spans="1:23" ht="12.75" customHeight="1" x14ac:dyDescent="0.2">
      <c r="A2778" s="257">
        <v>2773</v>
      </c>
      <c r="B2778" s="44">
        <v>44586</v>
      </c>
      <c r="C2778" s="44">
        <f t="shared" si="132"/>
        <v>44586</v>
      </c>
      <c r="D2778" s="374">
        <v>133</v>
      </c>
      <c r="E2778" s="291" t="str">
        <f>IFERROR(VLOOKUP($D2778,'Clients-Live'!$A:$C,3,0),"")</f>
        <v>JABE MARY</v>
      </c>
      <c r="F2778" s="291">
        <f>IFERROR(INDEX(Disbursements!$D:$D,MATCH('Live Collections'!G2778,Disbursements!$C:$C,0)),"")</f>
        <v>1</v>
      </c>
      <c r="G2778" s="34">
        <v>116</v>
      </c>
      <c r="H2778" s="34">
        <v>807</v>
      </c>
      <c r="I2778" s="34" t="s">
        <v>1359</v>
      </c>
      <c r="J2778" s="48"/>
      <c r="K2778" s="48"/>
      <c r="L2778" s="48"/>
      <c r="M2778" s="48"/>
      <c r="N2778" s="59"/>
      <c r="O2778" s="59"/>
      <c r="P2778" s="59">
        <v>-50000</v>
      </c>
      <c r="Q2778" s="268">
        <f t="shared" si="130"/>
        <v>-50000</v>
      </c>
      <c r="R2778" s="61">
        <f>IF(O2778=0,0,SUMIFS(Disbursements!$T:$T,Disbursements!$B:$B,'Live Collections'!D2778,Disbursements!$D:$D,'Live Collections'!F2778))</f>
        <v>0</v>
      </c>
      <c r="S2778" s="304">
        <f>IF(O2778&lt;=IF($O2778=0,0,SUMIFS(Disbursements!$W:$W,Disbursements!$B:$B,'Live Collections'!D1682,Disbursements!$D:$D,'Live Collections'!F1682)),O2778,IF($O2778=0,0,SUMIFS(Disbursements!$W:$W,Disbursements!$B:$B,'Live Collections'!D1682,Disbursements!$D:$D,'Live Collections'!F1682)))</f>
        <v>0</v>
      </c>
      <c r="T2778" s="304">
        <f t="shared" si="131"/>
        <v>0</v>
      </c>
      <c r="U2778" s="52"/>
      <c r="V2778" s="34"/>
      <c r="W2778" s="408" t="s">
        <v>2002</v>
      </c>
    </row>
    <row r="2779" spans="1:23" ht="12.75" customHeight="1" x14ac:dyDescent="0.2">
      <c r="A2779" s="257">
        <v>2774</v>
      </c>
      <c r="B2779" s="44">
        <v>44586</v>
      </c>
      <c r="C2779" s="44">
        <f t="shared" si="132"/>
        <v>44586</v>
      </c>
      <c r="D2779" s="374">
        <v>133</v>
      </c>
      <c r="E2779" s="291" t="str">
        <f>IFERROR(VLOOKUP($D2779,'Clients-Live'!$A:$C,3,0),"")</f>
        <v>JABE MARY</v>
      </c>
      <c r="F2779" s="291">
        <f>IFERROR(INDEX(Disbursements!$D:$D,MATCH('Live Collections'!G2779,Disbursements!$C:$C,0)),"")</f>
        <v>1</v>
      </c>
      <c r="G2779" s="34">
        <v>116</v>
      </c>
      <c r="H2779" s="34">
        <v>4440</v>
      </c>
      <c r="I2779" s="34" t="s">
        <v>1359</v>
      </c>
      <c r="J2779" s="48"/>
      <c r="K2779" s="48"/>
      <c r="L2779" s="48"/>
      <c r="M2779" s="48"/>
      <c r="N2779" s="59"/>
      <c r="O2779" s="59">
        <v>50000</v>
      </c>
      <c r="P2779" s="59"/>
      <c r="Q2779" s="268">
        <f t="shared" si="130"/>
        <v>50000</v>
      </c>
      <c r="R2779" s="61">
        <f>IF(O2779=0,0,SUMIFS(Disbursements!$T:$T,Disbursements!$B:$B,'Live Collections'!D2779,Disbursements!$D:$D,'Live Collections'!F2779))</f>
        <v>125000</v>
      </c>
      <c r="S2779" s="304"/>
      <c r="T2779" s="304">
        <f t="shared" si="131"/>
        <v>50000</v>
      </c>
      <c r="U2779" s="52"/>
      <c r="V2779" s="34"/>
      <c r="W2779" s="408"/>
    </row>
    <row r="2780" spans="1:23" ht="12.75" customHeight="1" x14ac:dyDescent="0.2">
      <c r="A2780" s="257">
        <v>2796</v>
      </c>
      <c r="B2780" s="44">
        <v>44586</v>
      </c>
      <c r="C2780" s="44">
        <f t="shared" si="132"/>
        <v>44586</v>
      </c>
      <c r="D2780" s="374">
        <v>171</v>
      </c>
      <c r="E2780" s="291" t="str">
        <f>IFERROR(VLOOKUP($D2780,'Clients-Live'!$A:$C,3,0),"")</f>
        <v>BADAKA GIFT JOEL</v>
      </c>
      <c r="F2780" s="291">
        <f>IFERROR(INDEX(Disbursements!$D:$D,MATCH('Live Collections'!G2780,Disbursements!$C:$C,0)),"")</f>
        <v>2</v>
      </c>
      <c r="G2780" s="34">
        <v>349</v>
      </c>
      <c r="H2780" s="34">
        <v>4452</v>
      </c>
      <c r="I2780" s="34" t="s">
        <v>1357</v>
      </c>
      <c r="J2780" s="48"/>
      <c r="K2780" s="48"/>
      <c r="L2780" s="48"/>
      <c r="M2780" s="48"/>
      <c r="N2780" s="59"/>
      <c r="O2780" s="59">
        <v>307500</v>
      </c>
      <c r="P2780" s="59"/>
      <c r="Q2780" s="268">
        <f t="shared" si="130"/>
        <v>307500</v>
      </c>
      <c r="R2780" s="61">
        <f>IF(O2780=0,0,SUMIFS(Disbursements!$T:$T,Disbursements!$B:$B,'Live Collections'!D2780,Disbursements!$D:$D,'Live Collections'!F2780))</f>
        <v>374000</v>
      </c>
      <c r="S2780" s="64">
        <v>72333.333333333328</v>
      </c>
      <c r="T2780" s="304">
        <f t="shared" si="131"/>
        <v>235166.66666666669</v>
      </c>
      <c r="U2780" s="52"/>
      <c r="V2780" s="34"/>
      <c r="W2780" s="408"/>
    </row>
    <row r="2781" spans="1:23" ht="12.75" customHeight="1" x14ac:dyDescent="0.2">
      <c r="A2781" s="257">
        <v>2792</v>
      </c>
      <c r="B2781" s="44">
        <v>44586</v>
      </c>
      <c r="C2781" s="44">
        <f t="shared" si="132"/>
        <v>44586</v>
      </c>
      <c r="D2781" s="374">
        <v>192</v>
      </c>
      <c r="E2781" s="291" t="str">
        <f>IFERROR(VLOOKUP($D2781,'Clients-Live'!$A:$C,3,0),"")</f>
        <v>MAZARAU AISHA</v>
      </c>
      <c r="F2781" s="291">
        <f>IFERROR(INDEX(Disbursements!$D:$D,MATCH('Live Collections'!G2781,Disbursements!$C:$C,0)),"")</f>
        <v>2</v>
      </c>
      <c r="G2781" s="34">
        <v>354</v>
      </c>
      <c r="H2781" s="34">
        <v>4556</v>
      </c>
      <c r="I2781" s="34" t="s">
        <v>1357</v>
      </c>
      <c r="J2781" s="48"/>
      <c r="K2781" s="48"/>
      <c r="L2781" s="48"/>
      <c r="M2781" s="48"/>
      <c r="N2781" s="59"/>
      <c r="O2781" s="59">
        <v>40000</v>
      </c>
      <c r="P2781" s="59"/>
      <c r="Q2781" s="268">
        <f t="shared" si="130"/>
        <v>40000</v>
      </c>
      <c r="R2781" s="61">
        <f>IF(O2781=0,0,SUMIFS(Disbursements!$T:$T,Disbursements!$B:$B,'Live Collections'!D2781,Disbursements!$D:$D,'Live Collections'!F2781))</f>
        <v>120000</v>
      </c>
      <c r="S2781" s="304">
        <f>IF(O2781&lt;=IF($O2781=0,0,SUMIFS(Disbursements!$W:$W,Disbursements!$B:$B,'Live Collections'!D2338,Disbursements!$D:$D,'Live Collections'!F2338)),O2781,IF($O2781=0,0,SUMIFS(Disbursements!$W:$W,Disbursements!$B:$B,'Live Collections'!D2338,Disbursements!$D:$D,'Live Collections'!F2338)))</f>
        <v>20000</v>
      </c>
      <c r="T2781" s="304">
        <f t="shared" si="131"/>
        <v>20000</v>
      </c>
      <c r="U2781" s="52"/>
      <c r="V2781" s="34"/>
      <c r="W2781" s="408"/>
    </row>
    <row r="2782" spans="1:23" ht="12.75" customHeight="1" x14ac:dyDescent="0.2">
      <c r="A2782" s="257">
        <v>2789</v>
      </c>
      <c r="B2782" s="44">
        <v>44586</v>
      </c>
      <c r="C2782" s="44">
        <f t="shared" si="132"/>
        <v>44586</v>
      </c>
      <c r="D2782" s="374">
        <v>201</v>
      </c>
      <c r="E2782" s="291" t="str">
        <f>IFERROR(VLOOKUP($D2782,'Clients-Live'!$A:$C,3,0),"")</f>
        <v>DALILI HASSAN</v>
      </c>
      <c r="F2782" s="291" t="str">
        <f>IFERROR(INDEX(Disbursements!$D:$D,MATCH('Live Collections'!G2782,Disbursements!$C:$C,0)),"")</f>
        <v/>
      </c>
      <c r="G2782" s="34"/>
      <c r="H2782" s="34">
        <v>4444</v>
      </c>
      <c r="I2782" s="34" t="s">
        <v>1359</v>
      </c>
      <c r="J2782" s="48"/>
      <c r="K2782" s="48"/>
      <c r="L2782" s="48">
        <v>20000</v>
      </c>
      <c r="M2782" s="48">
        <v>5000</v>
      </c>
      <c r="N2782" s="59"/>
      <c r="O2782" s="59"/>
      <c r="P2782" s="59"/>
      <c r="Q2782" s="268">
        <f t="shared" si="130"/>
        <v>25000</v>
      </c>
      <c r="R2782" s="61">
        <f>IF(O2782=0,0,SUMIFS(Disbursements!$T:$T,Disbursements!$B:$B,'Live Collections'!D2782,Disbursements!$D:$D,'Live Collections'!F2782))</f>
        <v>0</v>
      </c>
      <c r="S2782" s="304">
        <f>IF(O2782&lt;=IF($O2782=0,0,SUMIFS(Disbursements!$W:$W,Disbursements!$B:$B,'Live Collections'!D2395,Disbursements!$D:$D,'Live Collections'!F2395)),O2782,IF($O2782=0,0,SUMIFS(Disbursements!$W:$W,Disbursements!$B:$B,'Live Collections'!D2395,Disbursements!$D:$D,'Live Collections'!F2395)))</f>
        <v>0</v>
      </c>
      <c r="T2782" s="304">
        <f t="shared" si="131"/>
        <v>0</v>
      </c>
      <c r="U2782" s="52"/>
      <c r="V2782" s="34"/>
      <c r="W2782" s="408"/>
    </row>
    <row r="2783" spans="1:23" ht="12.75" customHeight="1" x14ac:dyDescent="0.2">
      <c r="A2783" s="257">
        <v>2793</v>
      </c>
      <c r="B2783" s="44">
        <v>44586</v>
      </c>
      <c r="C2783" s="44">
        <f t="shared" si="132"/>
        <v>44586</v>
      </c>
      <c r="D2783" s="374">
        <v>206</v>
      </c>
      <c r="E2783" s="291" t="str">
        <f>IFERROR(VLOOKUP($D2783,'Clients-Live'!$A:$C,3,0),"")</f>
        <v>AMILE AISHA</v>
      </c>
      <c r="F2783" s="291">
        <f>IFERROR(INDEX(Disbursements!$D:$D,MATCH('Live Collections'!G2783,Disbursements!$C:$C,0)),"")</f>
        <v>1</v>
      </c>
      <c r="G2783" s="34">
        <v>214</v>
      </c>
      <c r="H2783" s="34">
        <v>4441</v>
      </c>
      <c r="I2783" s="34" t="s">
        <v>1357</v>
      </c>
      <c r="J2783" s="48"/>
      <c r="K2783" s="48"/>
      <c r="L2783" s="48"/>
      <c r="M2783" s="48"/>
      <c r="N2783" s="59"/>
      <c r="O2783" s="59">
        <v>20000</v>
      </c>
      <c r="P2783" s="59"/>
      <c r="Q2783" s="268">
        <f t="shared" si="130"/>
        <v>20000</v>
      </c>
      <c r="R2783" s="61">
        <f>IF(O2783=0,0,SUMIFS(Disbursements!$T:$T,Disbursements!$B:$B,'Live Collections'!D2783,Disbursements!$D:$D,'Live Collections'!F2783))</f>
        <v>120000</v>
      </c>
      <c r="S2783" s="304"/>
      <c r="T2783" s="304">
        <f t="shared" si="131"/>
        <v>20000</v>
      </c>
      <c r="U2783" s="52"/>
      <c r="V2783" s="34"/>
      <c r="W2783" s="408"/>
    </row>
    <row r="2784" spans="1:23" ht="12.75" customHeight="1" x14ac:dyDescent="0.2">
      <c r="A2784" s="257">
        <v>2794</v>
      </c>
      <c r="B2784" s="44">
        <v>44586</v>
      </c>
      <c r="C2784" s="44">
        <f t="shared" si="132"/>
        <v>44586</v>
      </c>
      <c r="D2784" s="374">
        <v>206</v>
      </c>
      <c r="E2784" s="291" t="str">
        <f>IFERROR(VLOOKUP($D2784,'Clients-Live'!$A:$C,3,0),"")</f>
        <v>AMILE AISHA</v>
      </c>
      <c r="F2784" s="291">
        <f>IFERROR(INDEX(Disbursements!$D:$D,MATCH('Live Collections'!G2784,Disbursements!$C:$C,0)),"")</f>
        <v>1</v>
      </c>
      <c r="G2784" s="34">
        <v>214</v>
      </c>
      <c r="H2784" s="34">
        <v>4555</v>
      </c>
      <c r="I2784" s="34" t="s">
        <v>1357</v>
      </c>
      <c r="J2784" s="48"/>
      <c r="K2784" s="48"/>
      <c r="L2784" s="48"/>
      <c r="M2784" s="48"/>
      <c r="N2784" s="59"/>
      <c r="O2784" s="59">
        <v>50000</v>
      </c>
      <c r="P2784" s="59"/>
      <c r="Q2784" s="268">
        <f t="shared" si="130"/>
        <v>50000</v>
      </c>
      <c r="R2784" s="61">
        <f>IF(O2784=0,0,SUMIFS(Disbursements!$T:$T,Disbursements!$B:$B,'Live Collections'!D2784,Disbursements!$D:$D,'Live Collections'!F2784))</f>
        <v>120000</v>
      </c>
      <c r="S2784" s="304"/>
      <c r="T2784" s="304">
        <f t="shared" si="131"/>
        <v>50000</v>
      </c>
      <c r="U2784" s="52"/>
      <c r="V2784" s="34"/>
      <c r="W2784" s="408"/>
    </row>
    <row r="2785" spans="1:23" ht="12.75" customHeight="1" x14ac:dyDescent="0.2">
      <c r="A2785" s="257">
        <v>2795</v>
      </c>
      <c r="B2785" s="44">
        <v>44586</v>
      </c>
      <c r="C2785" s="44">
        <f t="shared" si="132"/>
        <v>44586</v>
      </c>
      <c r="D2785" s="374">
        <v>206</v>
      </c>
      <c r="E2785" s="291" t="str">
        <f>IFERROR(VLOOKUP($D2785,'Clients-Live'!$A:$C,3,0),"")</f>
        <v>AMILE AISHA</v>
      </c>
      <c r="F2785" s="291">
        <f>IFERROR(INDEX(Disbursements!$D:$D,MATCH('Live Collections'!G2785,Disbursements!$C:$C,0)),"")</f>
        <v>1</v>
      </c>
      <c r="G2785" s="34">
        <v>214</v>
      </c>
      <c r="H2785" s="34">
        <v>612</v>
      </c>
      <c r="I2785" s="34" t="s">
        <v>1357</v>
      </c>
      <c r="J2785" s="48"/>
      <c r="K2785" s="48"/>
      <c r="L2785" s="48"/>
      <c r="M2785" s="48"/>
      <c r="N2785" s="59"/>
      <c r="O2785" s="59"/>
      <c r="P2785" s="59">
        <v>-50000</v>
      </c>
      <c r="Q2785" s="268">
        <f t="shared" si="130"/>
        <v>-50000</v>
      </c>
      <c r="R2785" s="61">
        <f>IF(O2785=0,0,SUMIFS(Disbursements!$T:$T,Disbursements!$B:$B,'Live Collections'!D2785,Disbursements!$D:$D,'Live Collections'!F2785))</f>
        <v>0</v>
      </c>
      <c r="S2785" s="304">
        <f>IF(O2785&lt;=IF($O2785=0,0,SUMIFS(Disbursements!$W:$W,Disbursements!$B:$B,'Live Collections'!D2446,Disbursements!$D:$D,'Live Collections'!F2446)),O2785,IF($O2785=0,0,SUMIFS(Disbursements!$W:$W,Disbursements!$B:$B,'Live Collections'!D2446,Disbursements!$D:$D,'Live Collections'!F2446)))</f>
        <v>0</v>
      </c>
      <c r="T2785" s="304">
        <f t="shared" si="131"/>
        <v>0</v>
      </c>
      <c r="U2785" s="52"/>
      <c r="V2785" s="34"/>
      <c r="W2785" s="408" t="s">
        <v>2061</v>
      </c>
    </row>
    <row r="2786" spans="1:23" ht="12.75" customHeight="1" x14ac:dyDescent="0.2">
      <c r="A2786" s="257">
        <v>2776</v>
      </c>
      <c r="B2786" s="44">
        <v>44586</v>
      </c>
      <c r="C2786" s="44">
        <f t="shared" si="132"/>
        <v>44586</v>
      </c>
      <c r="D2786" s="374">
        <v>236</v>
      </c>
      <c r="E2786" s="291" t="str">
        <f>IFERROR(VLOOKUP($D2786,'Clients-Live'!$A:$C,3,0),"")</f>
        <v>AMIJI LUCY</v>
      </c>
      <c r="F2786" s="291">
        <f>IFERROR(INDEX(Disbursements!$D:$D,MATCH('Live Collections'!G2786,Disbursements!$C:$C,0)),"")</f>
        <v>1</v>
      </c>
      <c r="G2786" s="34">
        <v>247</v>
      </c>
      <c r="H2786" s="34">
        <v>4553</v>
      </c>
      <c r="I2786" s="34" t="s">
        <v>1357</v>
      </c>
      <c r="J2786" s="48"/>
      <c r="K2786" s="48"/>
      <c r="L2786" s="48"/>
      <c r="M2786" s="48"/>
      <c r="N2786" s="59"/>
      <c r="O2786" s="59">
        <v>100000</v>
      </c>
      <c r="P2786" s="59"/>
      <c r="Q2786" s="268">
        <f t="shared" si="130"/>
        <v>100000</v>
      </c>
      <c r="R2786" s="61">
        <f>IF(O2786=0,0,SUMIFS(Disbursements!$T:$T,Disbursements!$B:$B,'Live Collections'!D2786,Disbursements!$D:$D,'Live Collections'!F2786))</f>
        <v>384000</v>
      </c>
      <c r="S2786" s="64">
        <v>6583.3333333333721</v>
      </c>
      <c r="T2786" s="304">
        <f t="shared" si="131"/>
        <v>93416.666666666628</v>
      </c>
      <c r="U2786" s="52"/>
      <c r="V2786" s="34"/>
      <c r="W2786" s="408"/>
    </row>
    <row r="2787" spans="1:23" ht="12.75" customHeight="1" x14ac:dyDescent="0.2">
      <c r="A2787" s="257">
        <v>2777</v>
      </c>
      <c r="B2787" s="44">
        <v>44586</v>
      </c>
      <c r="C2787" s="44">
        <f t="shared" si="132"/>
        <v>44586</v>
      </c>
      <c r="D2787" s="374">
        <v>236</v>
      </c>
      <c r="E2787" s="291" t="str">
        <f>IFERROR(VLOOKUP($D2787,'Clients-Live'!$A:$C,3,0),"")</f>
        <v>AMIJI LUCY</v>
      </c>
      <c r="F2787" s="291">
        <f>IFERROR(INDEX(Disbursements!$D:$D,MATCH('Live Collections'!G2787,Disbursements!$C:$C,0)),"")</f>
        <v>1</v>
      </c>
      <c r="G2787" s="34">
        <v>247</v>
      </c>
      <c r="H2787" s="34">
        <v>609</v>
      </c>
      <c r="I2787" s="34" t="s">
        <v>1357</v>
      </c>
      <c r="J2787" s="48"/>
      <c r="K2787" s="48"/>
      <c r="L2787" s="48"/>
      <c r="M2787" s="48"/>
      <c r="N2787" s="59"/>
      <c r="O2787" s="59"/>
      <c r="P2787" s="59">
        <v>-100000</v>
      </c>
      <c r="Q2787" s="268">
        <f t="shared" si="130"/>
        <v>-100000</v>
      </c>
      <c r="R2787" s="61">
        <f>IF(O2787=0,0,SUMIFS(Disbursements!$T:$T,Disbursements!$B:$B,'Live Collections'!D2787,Disbursements!$D:$D,'Live Collections'!F2787))</f>
        <v>0</v>
      </c>
      <c r="S2787" s="304">
        <f>IF(O2787&lt;=IF($O2787=0,0,SUMIFS(Disbursements!$W:$W,Disbursements!$B:$B,'Live Collections'!D2720,Disbursements!$D:$D,'Live Collections'!F2720)),O2787,IF($O2787=0,0,SUMIFS(Disbursements!$W:$W,Disbursements!$B:$B,'Live Collections'!D2720,Disbursements!$D:$D,'Live Collections'!F2720)))</f>
        <v>0</v>
      </c>
      <c r="T2787" s="304">
        <f t="shared" si="131"/>
        <v>0</v>
      </c>
      <c r="U2787" s="52"/>
      <c r="V2787" s="34"/>
      <c r="W2787" s="408"/>
    </row>
    <row r="2788" spans="1:23" ht="12.75" customHeight="1" x14ac:dyDescent="0.2">
      <c r="A2788" s="257">
        <v>2778</v>
      </c>
      <c r="B2788" s="44">
        <v>44586</v>
      </c>
      <c r="C2788" s="44">
        <f t="shared" si="132"/>
        <v>44586</v>
      </c>
      <c r="D2788" s="374">
        <v>236</v>
      </c>
      <c r="E2788" s="291" t="str">
        <f>IFERROR(VLOOKUP($D2788,'Clients-Live'!$A:$C,3,0),"")</f>
        <v>AMIJI LUCY</v>
      </c>
      <c r="F2788" s="291">
        <f>IFERROR(INDEX(Disbursements!$D:$D,MATCH('Live Collections'!G2788,Disbursements!$C:$C,0)),"")</f>
        <v>1</v>
      </c>
      <c r="G2788" s="34">
        <v>247</v>
      </c>
      <c r="H2788" s="34">
        <v>4552</v>
      </c>
      <c r="I2788" s="34" t="s">
        <v>1357</v>
      </c>
      <c r="J2788" s="48"/>
      <c r="K2788" s="48"/>
      <c r="L2788" s="48"/>
      <c r="M2788" s="48"/>
      <c r="N2788" s="59"/>
      <c r="O2788" s="59">
        <v>81600</v>
      </c>
      <c r="P2788" s="59"/>
      <c r="Q2788" s="268">
        <f t="shared" si="130"/>
        <v>81600</v>
      </c>
      <c r="R2788" s="61">
        <f>IF(O2788=0,0,SUMIFS(Disbursements!$T:$T,Disbursements!$B:$B,'Live Collections'!D2788,Disbursements!$D:$D,'Live Collections'!F2788))</f>
        <v>384000</v>
      </c>
      <c r="S2788" s="304"/>
      <c r="T2788" s="304">
        <f t="shared" si="131"/>
        <v>81600</v>
      </c>
      <c r="U2788" s="52"/>
      <c r="V2788" s="34"/>
      <c r="W2788" s="408"/>
    </row>
    <row r="2789" spans="1:23" ht="12.75" customHeight="1" x14ac:dyDescent="0.2">
      <c r="A2789" s="257">
        <v>2771</v>
      </c>
      <c r="B2789" s="44">
        <v>44586</v>
      </c>
      <c r="C2789" s="44">
        <f t="shared" si="132"/>
        <v>44586</v>
      </c>
      <c r="D2789" s="374">
        <v>237</v>
      </c>
      <c r="E2789" s="291" t="str">
        <f>IFERROR(VLOOKUP($D2789,'Clients-Live'!$A:$C,3,0),"")</f>
        <v>EZRA INNOCENT</v>
      </c>
      <c r="F2789" s="291">
        <f>IFERROR(INDEX(Disbursements!$D:$D,MATCH('Live Collections'!G2789,Disbursements!$C:$C,0)),"")</f>
        <v>2</v>
      </c>
      <c r="G2789" s="34">
        <v>367</v>
      </c>
      <c r="H2789" s="34">
        <v>606</v>
      </c>
      <c r="I2789" s="34" t="s">
        <v>1357</v>
      </c>
      <c r="J2789" s="48"/>
      <c r="K2789" s="48"/>
      <c r="L2789" s="48"/>
      <c r="M2789" s="48"/>
      <c r="N2789" s="59"/>
      <c r="O2789" s="59"/>
      <c r="P2789" s="59">
        <v>-50000</v>
      </c>
      <c r="Q2789" s="268">
        <f t="shared" si="130"/>
        <v>-50000</v>
      </c>
      <c r="R2789" s="61">
        <f>IF(O2789=0,0,SUMIFS(Disbursements!$T:$T,Disbursements!$B:$B,'Live Collections'!D2789,Disbursements!$D:$D,'Live Collections'!F2789))</f>
        <v>0</v>
      </c>
      <c r="S2789" s="304">
        <f>IF(O2789&lt;=IF($O2789=0,0,SUMIFS(Disbursements!$W:$W,Disbursements!$B:$B,'Live Collections'!D2728,Disbursements!$D:$D,'Live Collections'!F2728)),O2789,IF($O2789=0,0,SUMIFS(Disbursements!$W:$W,Disbursements!$B:$B,'Live Collections'!D2728,Disbursements!$D:$D,'Live Collections'!F2728)))</f>
        <v>0</v>
      </c>
      <c r="T2789" s="304">
        <f t="shared" si="131"/>
        <v>0</v>
      </c>
      <c r="U2789" s="52"/>
      <c r="V2789" s="34"/>
      <c r="W2789" s="408" t="s">
        <v>2003</v>
      </c>
    </row>
    <row r="2790" spans="1:23" ht="12.75" customHeight="1" x14ac:dyDescent="0.2">
      <c r="A2790" s="257">
        <v>2772</v>
      </c>
      <c r="B2790" s="44">
        <v>44586</v>
      </c>
      <c r="C2790" s="44">
        <f t="shared" si="132"/>
        <v>44586</v>
      </c>
      <c r="D2790" s="374">
        <v>237</v>
      </c>
      <c r="E2790" s="291" t="str">
        <f>IFERROR(VLOOKUP($D2790,'Clients-Live'!$A:$C,3,0),"")</f>
        <v>EZRA INNOCENT</v>
      </c>
      <c r="F2790" s="291">
        <f>IFERROR(INDEX(Disbursements!$D:$D,MATCH('Live Collections'!G2790,Disbursements!$C:$C,0)),"")</f>
        <v>2</v>
      </c>
      <c r="G2790" s="34">
        <v>367</v>
      </c>
      <c r="H2790" s="34">
        <v>4397</v>
      </c>
      <c r="I2790" s="34" t="s">
        <v>1357</v>
      </c>
      <c r="J2790" s="48"/>
      <c r="K2790" s="48"/>
      <c r="L2790" s="48"/>
      <c r="M2790" s="48"/>
      <c r="N2790" s="59"/>
      <c r="O2790" s="59">
        <v>50000</v>
      </c>
      <c r="P2790" s="59"/>
      <c r="Q2790" s="268">
        <f t="shared" si="130"/>
        <v>50000</v>
      </c>
      <c r="R2790" s="61">
        <f>IF(O2790=0,0,SUMIFS(Disbursements!$T:$T,Disbursements!$B:$B,'Live Collections'!D2790,Disbursements!$D:$D,'Live Collections'!F2790))</f>
        <v>260000</v>
      </c>
      <c r="S2790" s="304">
        <f>IF(O2790&lt;=IF($O2790=0,0,SUMIFS(Disbursements!$W:$W,Disbursements!$B:$B,'Live Collections'!D2729,Disbursements!$D:$D,'Live Collections'!F2729)),O2790,IF($O2790=0,0,SUMIFS(Disbursements!$W:$W,Disbursements!$B:$B,'Live Collections'!D2729,Disbursements!$D:$D,'Live Collections'!F2729)))</f>
        <v>15000</v>
      </c>
      <c r="T2790" s="304">
        <f t="shared" si="131"/>
        <v>35000</v>
      </c>
      <c r="U2790" s="52"/>
      <c r="V2790" s="34"/>
      <c r="W2790" s="408"/>
    </row>
    <row r="2791" spans="1:23" ht="12.75" customHeight="1" x14ac:dyDescent="0.2">
      <c r="A2791" s="257">
        <v>2779</v>
      </c>
      <c r="B2791" s="44">
        <v>44586</v>
      </c>
      <c r="C2791" s="44">
        <f t="shared" si="132"/>
        <v>44586</v>
      </c>
      <c r="D2791" s="374">
        <v>237</v>
      </c>
      <c r="E2791" s="291" t="str">
        <f>IFERROR(VLOOKUP($D2791,'Clients-Live'!$A:$C,3,0),"")</f>
        <v>EZRA INNOCENT</v>
      </c>
      <c r="F2791" s="291">
        <f>IFERROR(INDEX(Disbursements!$D:$D,MATCH('Live Collections'!G2791,Disbursements!$C:$C,0)),"")</f>
        <v>2</v>
      </c>
      <c r="G2791" s="34">
        <v>367</v>
      </c>
      <c r="H2791" s="34">
        <v>4451</v>
      </c>
      <c r="I2791" s="34" t="s">
        <v>1357</v>
      </c>
      <c r="J2791" s="48"/>
      <c r="K2791" s="48"/>
      <c r="L2791" s="48"/>
      <c r="M2791" s="48"/>
      <c r="N2791" s="59"/>
      <c r="O2791" s="59">
        <v>150000</v>
      </c>
      <c r="P2791" s="59"/>
      <c r="Q2791" s="268">
        <f t="shared" si="130"/>
        <v>150000</v>
      </c>
      <c r="R2791" s="61">
        <f>IF(O2791=0,0,SUMIFS(Disbursements!$T:$T,Disbursements!$B:$B,'Live Collections'!D2791,Disbursements!$D:$D,'Live Collections'!F2791))</f>
        <v>260000</v>
      </c>
      <c r="S2791" s="304">
        <f>IF(O2791&lt;=IF($O2791=0,0,SUMIFS(Disbursements!$W:$W,Disbursements!$B:$B,'Live Collections'!D2730,Disbursements!$D:$D,'Live Collections'!F2730)),O2791,IF($O2791=0,0,SUMIFS(Disbursements!$W:$W,Disbursements!$B:$B,'Live Collections'!D2730,Disbursements!$D:$D,'Live Collections'!F2730)))</f>
        <v>22000</v>
      </c>
      <c r="T2791" s="304">
        <f t="shared" si="131"/>
        <v>128000</v>
      </c>
      <c r="U2791" s="52"/>
      <c r="V2791" s="34"/>
      <c r="W2791" s="408"/>
    </row>
    <row r="2792" spans="1:23" ht="12.75" customHeight="1" x14ac:dyDescent="0.2">
      <c r="A2792" s="257">
        <v>2781</v>
      </c>
      <c r="B2792" s="44">
        <v>44586</v>
      </c>
      <c r="C2792" s="44">
        <f t="shared" si="132"/>
        <v>44586</v>
      </c>
      <c r="D2792" s="374">
        <v>237</v>
      </c>
      <c r="E2792" s="291" t="str">
        <f>IFERROR(VLOOKUP($D2792,'Clients-Live'!$A:$C,3,0),"")</f>
        <v>EZRA INNOCENT</v>
      </c>
      <c r="F2792" s="291">
        <f>IFERROR(INDEX(Disbursements!$D:$D,MATCH('Live Collections'!G2792,Disbursements!$C:$C,0)),"")</f>
        <v>2</v>
      </c>
      <c r="G2792" s="34">
        <v>367</v>
      </c>
      <c r="H2792" s="34">
        <v>4398</v>
      </c>
      <c r="I2792" s="34" t="s">
        <v>1357</v>
      </c>
      <c r="J2792" s="48"/>
      <c r="K2792" s="48"/>
      <c r="L2792" s="48"/>
      <c r="M2792" s="48"/>
      <c r="N2792" s="59"/>
      <c r="O2792" s="59">
        <v>100000</v>
      </c>
      <c r="P2792" s="59"/>
      <c r="Q2792" s="268">
        <f t="shared" si="130"/>
        <v>100000</v>
      </c>
      <c r="R2792" s="61">
        <f>IF(O2792=0,0,SUMIFS(Disbursements!$T:$T,Disbursements!$B:$B,'Live Collections'!D2792,Disbursements!$D:$D,'Live Collections'!F2792))</f>
        <v>260000</v>
      </c>
      <c r="S2792" s="304">
        <f>IF(O2792&lt;=IF($O2792=0,0,SUMIFS(Disbursements!$W:$W,Disbursements!$B:$B,'Live Collections'!D2731,Disbursements!$D:$D,'Live Collections'!F2731)),O2792,IF($O2792=0,0,SUMIFS(Disbursements!$W:$W,Disbursements!$B:$B,'Live Collections'!D2731,Disbursements!$D:$D,'Live Collections'!F2731)))</f>
        <v>50000</v>
      </c>
      <c r="T2792" s="304">
        <f t="shared" si="131"/>
        <v>50000</v>
      </c>
      <c r="U2792" s="52"/>
      <c r="V2792" s="34"/>
      <c r="W2792" s="408"/>
    </row>
    <row r="2793" spans="1:23" ht="12.75" customHeight="1" x14ac:dyDescent="0.2">
      <c r="A2793" s="257">
        <v>2790</v>
      </c>
      <c r="B2793" s="44">
        <v>44586</v>
      </c>
      <c r="C2793" s="44">
        <f t="shared" si="132"/>
        <v>44586</v>
      </c>
      <c r="D2793" s="374">
        <v>246</v>
      </c>
      <c r="E2793" s="291" t="str">
        <f>IFERROR(VLOOKUP($D2793,'Clients-Live'!$A:$C,3,0),"")</f>
        <v>ALOMO ZAIDA</v>
      </c>
      <c r="F2793" s="291">
        <f>IFERROR(INDEX(Disbursements!$D:$D,MATCH('Live Collections'!G2793,Disbursements!$C:$C,0)),"")</f>
        <v>1</v>
      </c>
      <c r="G2793" s="34">
        <v>271</v>
      </c>
      <c r="H2793" s="34">
        <v>4442</v>
      </c>
      <c r="I2793" s="34" t="s">
        <v>1357</v>
      </c>
      <c r="J2793" s="48"/>
      <c r="K2793" s="48"/>
      <c r="L2793" s="48"/>
      <c r="M2793" s="48"/>
      <c r="N2793" s="59"/>
      <c r="O2793" s="59">
        <v>60000</v>
      </c>
      <c r="P2793" s="59"/>
      <c r="Q2793" s="268">
        <f t="shared" si="130"/>
        <v>60000</v>
      </c>
      <c r="R2793" s="61">
        <f>IF(O2793=0,0,SUMIFS(Disbursements!$T:$T,Disbursements!$B:$B,'Live Collections'!D2793,Disbursements!$D:$D,'Live Collections'!F2793))</f>
        <v>120000</v>
      </c>
      <c r="S2793" s="304"/>
      <c r="T2793" s="304">
        <f t="shared" si="131"/>
        <v>60000</v>
      </c>
      <c r="U2793" s="52"/>
      <c r="V2793" s="34"/>
      <c r="W2793" s="408"/>
    </row>
    <row r="2794" spans="1:23" ht="12.75" customHeight="1" x14ac:dyDescent="0.2">
      <c r="A2794" s="257">
        <v>2791</v>
      </c>
      <c r="B2794" s="44">
        <v>44586</v>
      </c>
      <c r="C2794" s="44">
        <f t="shared" si="132"/>
        <v>44586</v>
      </c>
      <c r="D2794" s="374">
        <v>284</v>
      </c>
      <c r="E2794" s="291" t="str">
        <f>IFERROR(VLOOKUP($D2794,'Clients-Live'!$A:$C,3,0),"")</f>
        <v>MALISH WAWASON</v>
      </c>
      <c r="F2794" s="291">
        <f>IFERROR(INDEX(Disbursements!$D:$D,MATCH('Live Collections'!G2794,Disbursements!$C:$C,0)),"")</f>
        <v>1</v>
      </c>
      <c r="G2794" s="34">
        <v>338</v>
      </c>
      <c r="H2794" s="34">
        <v>4443</v>
      </c>
      <c r="I2794" s="34" t="s">
        <v>1358</v>
      </c>
      <c r="J2794" s="48"/>
      <c r="K2794" s="48"/>
      <c r="L2794" s="48"/>
      <c r="M2794" s="48"/>
      <c r="N2794" s="59"/>
      <c r="O2794" s="59">
        <v>500000</v>
      </c>
      <c r="P2794" s="59"/>
      <c r="Q2794" s="268">
        <f t="shared" si="130"/>
        <v>500000</v>
      </c>
      <c r="R2794" s="61">
        <f>IF(O2794=0,0,SUMIFS(Disbursements!$T:$T,Disbursements!$B:$B,'Live Collections'!D2794,Disbursements!$D:$D,'Live Collections'!F2794))</f>
        <v>1150000</v>
      </c>
      <c r="S2794" s="304">
        <f>IF(O2794&lt;=IF($O2794=0,0,SUMIFS(Disbursements!$W:$W,Disbursements!$B:$B,'Live Collections'!D3017,Disbursements!$D:$D,'Live Collections'!F3017)),O2794,IF($O2794=0,0,SUMIFS(Disbursements!$W:$W,Disbursements!$B:$B,'Live Collections'!D3017,Disbursements!$D:$D,'Live Collections'!F3017)))</f>
        <v>30000</v>
      </c>
      <c r="T2794" s="304">
        <f t="shared" si="131"/>
        <v>470000</v>
      </c>
      <c r="U2794" s="52"/>
      <c r="V2794" s="34"/>
      <c r="W2794" s="408"/>
    </row>
    <row r="2795" spans="1:23" ht="12.75" customHeight="1" x14ac:dyDescent="0.2">
      <c r="A2795" s="257">
        <v>2775</v>
      </c>
      <c r="B2795" s="44">
        <v>44586</v>
      </c>
      <c r="C2795" s="44">
        <f t="shared" si="132"/>
        <v>44586</v>
      </c>
      <c r="D2795" s="374">
        <v>288</v>
      </c>
      <c r="E2795" s="291" t="str">
        <f>IFERROR(VLOOKUP($D2795,'Clients-Live'!$A:$C,3,0),"")</f>
        <v>MITU LAWRENCE</v>
      </c>
      <c r="F2795" s="291">
        <f>IFERROR(INDEX(Disbursements!$D:$D,MATCH('Live Collections'!G2795,Disbursements!$C:$C,0)),"")</f>
        <v>1</v>
      </c>
      <c r="G2795" s="34">
        <v>347</v>
      </c>
      <c r="H2795" s="34">
        <v>4448</v>
      </c>
      <c r="I2795" s="34" t="s">
        <v>1359</v>
      </c>
      <c r="J2795" s="48"/>
      <c r="K2795" s="48"/>
      <c r="L2795" s="48"/>
      <c r="M2795" s="48"/>
      <c r="N2795" s="59"/>
      <c r="O2795" s="59">
        <v>200000</v>
      </c>
      <c r="P2795" s="59"/>
      <c r="Q2795" s="268">
        <f t="shared" si="130"/>
        <v>200000</v>
      </c>
      <c r="R2795" s="61">
        <f>IF(O2795=0,0,SUMIFS(Disbursements!$T:$T,Disbursements!$B:$B,'Live Collections'!D2795,Disbursements!$D:$D,'Live Collections'!F2795))</f>
        <v>304000</v>
      </c>
      <c r="S2795" s="304">
        <f>IF(O2795&lt;=IF($O2795=0,0,SUMIFS(Disbursements!$W:$W,Disbursements!$B:$B,'Live Collections'!D3039,Disbursements!$D:$D,'Live Collections'!F3039)),O2795,IF($O2795=0,0,SUMIFS(Disbursements!$W:$W,Disbursements!$B:$B,'Live Collections'!D3039,Disbursements!$D:$D,'Live Collections'!F3039)))</f>
        <v>50333.333333333343</v>
      </c>
      <c r="T2795" s="304">
        <f t="shared" si="131"/>
        <v>149666.66666666666</v>
      </c>
      <c r="U2795" s="52"/>
      <c r="V2795" s="34"/>
      <c r="W2795" s="408"/>
    </row>
    <row r="2796" spans="1:23" ht="12.75" customHeight="1" x14ac:dyDescent="0.2">
      <c r="A2796" s="257">
        <v>2798</v>
      </c>
      <c r="B2796" s="44">
        <v>44586</v>
      </c>
      <c r="C2796" s="44">
        <f t="shared" si="132"/>
        <v>44586</v>
      </c>
      <c r="D2796" s="374">
        <v>306</v>
      </c>
      <c r="E2796" s="291" t="str">
        <f>IFERROR(VLOOKUP($D2796,'Clients-Live'!$A:$C,3,0),"")</f>
        <v>DEPAYA MARY</v>
      </c>
      <c r="F2796" s="291">
        <f>IFERROR(INDEX(Disbursements!$D:$D,MATCH('Live Collections'!G2796,Disbursements!$C:$C,0)),"")</f>
        <v>1</v>
      </c>
      <c r="G2796" s="34">
        <v>416</v>
      </c>
      <c r="H2796" s="34">
        <v>4400</v>
      </c>
      <c r="I2796" s="34" t="s">
        <v>1359</v>
      </c>
      <c r="J2796" s="48"/>
      <c r="K2796" s="48"/>
      <c r="L2796" s="48"/>
      <c r="M2796" s="48"/>
      <c r="N2796" s="59"/>
      <c r="O2796" s="59"/>
      <c r="P2796" s="59">
        <v>100000</v>
      </c>
      <c r="Q2796" s="268">
        <f t="shared" si="130"/>
        <v>100000</v>
      </c>
      <c r="R2796" s="61">
        <f>IF(O2796=0,0,SUMIFS(Disbursements!$T:$T,Disbursements!$B:$B,'Live Collections'!D2796,Disbursements!$D:$D,'Live Collections'!F2796))</f>
        <v>0</v>
      </c>
      <c r="S2796" s="304">
        <f>IF(O2796&lt;=IF($O2796=0,0,SUMIFS(Disbursements!$W:$W,Disbursements!$B:$B,'Live Collections'!D3104,Disbursements!$D:$D,'Live Collections'!F3104)),O2796,IF($O2796=0,0,SUMIFS(Disbursements!$W:$W,Disbursements!$B:$B,'Live Collections'!D3104,Disbursements!$D:$D,'Live Collections'!F3104)))</f>
        <v>0</v>
      </c>
      <c r="T2796" s="304">
        <f t="shared" si="131"/>
        <v>0</v>
      </c>
      <c r="U2796" s="52"/>
      <c r="V2796" s="34"/>
      <c r="W2796" s="408"/>
    </row>
    <row r="2797" spans="1:23" ht="12.75" customHeight="1" x14ac:dyDescent="0.2">
      <c r="A2797" s="257">
        <v>2797</v>
      </c>
      <c r="B2797" s="44">
        <v>44586</v>
      </c>
      <c r="C2797" s="44">
        <f t="shared" si="132"/>
        <v>44586</v>
      </c>
      <c r="D2797" s="374">
        <v>316</v>
      </c>
      <c r="E2797" s="291" t="str">
        <f>IFERROR(VLOOKUP($D2797,'Clients-Live'!$A:$C,3,0),"")</f>
        <v>DAKARU GRACE</v>
      </c>
      <c r="F2797" s="291" t="str">
        <f>IFERROR(INDEX(Disbursements!$D:$D,MATCH('Live Collections'!G2797,Disbursements!$C:$C,0)),"")</f>
        <v/>
      </c>
      <c r="G2797" s="34"/>
      <c r="H2797" s="34">
        <v>4453</v>
      </c>
      <c r="I2797" s="34" t="s">
        <v>1357</v>
      </c>
      <c r="J2797" s="48"/>
      <c r="K2797" s="48"/>
      <c r="L2797" s="48">
        <v>15000</v>
      </c>
      <c r="M2797" s="48">
        <v>5000</v>
      </c>
      <c r="N2797" s="59"/>
      <c r="O2797" s="59"/>
      <c r="P2797" s="59"/>
      <c r="Q2797" s="268">
        <f t="shared" si="130"/>
        <v>20000</v>
      </c>
      <c r="R2797" s="61">
        <f>IF(O2797=0,0,SUMIFS(Disbursements!$T:$T,Disbursements!$B:$B,'Live Collections'!D2797,Disbursements!$D:$D,'Live Collections'!F2797))</f>
        <v>0</v>
      </c>
      <c r="S2797" s="304">
        <f>IF(O2797&lt;=IF($O2797=0,0,SUMIFS(Disbursements!$W:$W,Disbursements!$B:$B,'Live Collections'!D3146,Disbursements!$D:$D,'Live Collections'!F3146)),O2797,IF($O2797=0,0,SUMIFS(Disbursements!$W:$W,Disbursements!$B:$B,'Live Collections'!D3146,Disbursements!$D:$D,'Live Collections'!F3146)))</f>
        <v>0</v>
      </c>
      <c r="T2797" s="304">
        <f t="shared" si="131"/>
        <v>0</v>
      </c>
      <c r="U2797" s="52"/>
      <c r="V2797" s="34"/>
      <c r="W2797" s="408"/>
    </row>
    <row r="2798" spans="1:23" ht="12.75" customHeight="1" x14ac:dyDescent="0.2">
      <c r="A2798" s="257">
        <v>2788</v>
      </c>
      <c r="B2798" s="44">
        <v>44586</v>
      </c>
      <c r="C2798" s="44">
        <f t="shared" si="132"/>
        <v>44586</v>
      </c>
      <c r="D2798" s="374">
        <v>317</v>
      </c>
      <c r="E2798" s="291" t="str">
        <f>IFERROR(VLOOKUP($D2798,'Clients-Live'!$A:$C,3,0),"")</f>
        <v>DRIWARU JANE</v>
      </c>
      <c r="F2798" s="291">
        <f>IFERROR(INDEX(Disbursements!$D:$D,MATCH('Live Collections'!G2798,Disbursements!$C:$C,0)),"")</f>
        <v>1</v>
      </c>
      <c r="G2798" s="34">
        <v>414</v>
      </c>
      <c r="H2798" s="34">
        <v>4445</v>
      </c>
      <c r="I2798" s="34" t="s">
        <v>1357</v>
      </c>
      <c r="J2798" s="48"/>
      <c r="K2798" s="48"/>
      <c r="L2798" s="48"/>
      <c r="M2798" s="48"/>
      <c r="N2798" s="59"/>
      <c r="O2798" s="59"/>
      <c r="P2798" s="59">
        <v>80000</v>
      </c>
      <c r="Q2798" s="268">
        <f t="shared" si="130"/>
        <v>80000</v>
      </c>
      <c r="R2798" s="61">
        <f>IF(O2798=0,0,SUMIFS(Disbursements!$T:$T,Disbursements!$B:$B,'Live Collections'!D2798,Disbursements!$D:$D,'Live Collections'!F2798))</f>
        <v>0</v>
      </c>
      <c r="S2798" s="304">
        <f>IF(O2798&lt;=IF($O2798=0,0,SUMIFS(Disbursements!$W:$W,Disbursements!$B:$B,'Live Collections'!D3149,Disbursements!$D:$D,'Live Collections'!F3149)),O2798,IF($O2798=0,0,SUMIFS(Disbursements!$W:$W,Disbursements!$B:$B,'Live Collections'!D3149,Disbursements!$D:$D,'Live Collections'!F3149)))</f>
        <v>0</v>
      </c>
      <c r="T2798" s="304">
        <f t="shared" si="131"/>
        <v>0</v>
      </c>
      <c r="U2798" s="52"/>
      <c r="V2798" s="34"/>
      <c r="W2798" s="408"/>
    </row>
    <row r="2799" spans="1:23" ht="12.75" customHeight="1" x14ac:dyDescent="0.2">
      <c r="A2799" s="257">
        <v>2805</v>
      </c>
      <c r="B2799" s="44">
        <v>44588</v>
      </c>
      <c r="C2799" s="44">
        <f t="shared" si="132"/>
        <v>44588</v>
      </c>
      <c r="D2799" s="374">
        <v>3</v>
      </c>
      <c r="E2799" s="291" t="str">
        <f>IFERROR(VLOOKUP($D2799,'Clients-Live'!$A:$C,3,0),"")</f>
        <v>YEKA ARIJABU</v>
      </c>
      <c r="F2799" s="291">
        <f>IFERROR(INDEX(Disbursements!$D:$D,MATCH('Live Collections'!G2799,Disbursements!$C:$C,0)),"")</f>
        <v>1</v>
      </c>
      <c r="G2799" s="34">
        <v>227</v>
      </c>
      <c r="H2799" s="34">
        <v>4608</v>
      </c>
      <c r="I2799" s="34" t="s">
        <v>1357</v>
      </c>
      <c r="J2799" s="48"/>
      <c r="K2799" s="48"/>
      <c r="L2799" s="48"/>
      <c r="M2799" s="48"/>
      <c r="N2799" s="59"/>
      <c r="O2799" s="59">
        <v>100000</v>
      </c>
      <c r="P2799" s="59"/>
      <c r="Q2799" s="268">
        <f t="shared" si="130"/>
        <v>100000</v>
      </c>
      <c r="R2799" s="61">
        <f>IF(O2799=0,0,SUMIFS(Disbursements!$T:$T,Disbursements!$B:$B,'Live Collections'!D2799,Disbursements!$D:$D,'Live Collections'!F2799))</f>
        <v>325000</v>
      </c>
      <c r="S2799" s="304">
        <f>IF(O2799&lt;=IF($O2799=0,0,SUMIFS(Disbursements!$W:$W,Disbursements!$B:$B,'Live Collections'!D1429,Disbursements!$D:$D,'Live Collections'!F1429)),O2799,IF($O2799=0,0,SUMIFS(Disbursements!$W:$W,Disbursements!$B:$B,'Live Collections'!D1429,Disbursements!$D:$D,'Live Collections'!F1429)))</f>
        <v>50000</v>
      </c>
      <c r="T2799" s="304">
        <f t="shared" si="131"/>
        <v>50000</v>
      </c>
      <c r="U2799" s="52"/>
      <c r="V2799" s="34"/>
      <c r="W2799" s="408"/>
    </row>
    <row r="2800" spans="1:23" ht="12.75" customHeight="1" x14ac:dyDescent="0.2">
      <c r="A2800" s="257">
        <v>2818</v>
      </c>
      <c r="B2800" s="44">
        <v>44588</v>
      </c>
      <c r="C2800" s="44">
        <f t="shared" si="132"/>
        <v>44588</v>
      </c>
      <c r="D2800" s="374">
        <v>6</v>
      </c>
      <c r="E2800" s="291" t="str">
        <f>IFERROR(VLOOKUP($D2800,'Clients-Live'!$A:$C,3,0),"")</f>
        <v>AMUTE BASHIR</v>
      </c>
      <c r="F2800" s="291" t="str">
        <f>IFERROR(INDEX(Disbursements!$D:$D,MATCH('Live Collections'!G2800,Disbursements!$C:$C,0)),"")</f>
        <v/>
      </c>
      <c r="G2800" s="34"/>
      <c r="H2800" s="34">
        <v>4558</v>
      </c>
      <c r="I2800" s="34" t="s">
        <v>1357</v>
      </c>
      <c r="J2800" s="48"/>
      <c r="K2800" s="48">
        <v>5000</v>
      </c>
      <c r="L2800" s="48"/>
      <c r="M2800" s="48"/>
      <c r="N2800" s="59"/>
      <c r="O2800" s="59"/>
      <c r="P2800" s="59"/>
      <c r="Q2800" s="268">
        <f t="shared" si="130"/>
        <v>5000</v>
      </c>
      <c r="R2800" s="61">
        <f>IF(O2800=0,0,SUMIFS(Disbursements!$T:$T,Disbursements!$B:$B,'Live Collections'!D2800,Disbursements!$D:$D,'Live Collections'!F2800))</f>
        <v>0</v>
      </c>
      <c r="S2800" s="304">
        <f>IF(O2800&lt;=IF($O2800=0,0,SUMIFS(Disbursements!$W:$W,Disbursements!$B:$B,'Live Collections'!D63,Disbursements!$D:$D,'Live Collections'!F63)),O2800,IF($O2800=0,0,SUMIFS(Disbursements!$W:$W,Disbursements!$B:$B,'Live Collections'!D63,Disbursements!$D:$D,'Live Collections'!F63)))</f>
        <v>0</v>
      </c>
      <c r="T2800" s="304">
        <f t="shared" si="131"/>
        <v>0</v>
      </c>
      <c r="U2800" s="52"/>
      <c r="V2800" s="34"/>
      <c r="W2800" s="408"/>
    </row>
    <row r="2801" spans="1:23" ht="12.75" customHeight="1" x14ac:dyDescent="0.2">
      <c r="A2801" s="257">
        <v>2819</v>
      </c>
      <c r="B2801" s="44">
        <v>44588</v>
      </c>
      <c r="C2801" s="44">
        <f t="shared" si="132"/>
        <v>44588</v>
      </c>
      <c r="D2801" s="374">
        <v>6</v>
      </c>
      <c r="E2801" s="291" t="str">
        <f>IFERROR(VLOOKUP($D2801,'Clients-Live'!$A:$C,3,0),"")</f>
        <v>AMUTE BASHIR</v>
      </c>
      <c r="F2801" s="291" t="str">
        <f>IFERROR(INDEX(Disbursements!$D:$D,MATCH('Live Collections'!G2801,Disbursements!$C:$C,0)),"")</f>
        <v/>
      </c>
      <c r="G2801" s="34"/>
      <c r="H2801" s="34">
        <v>4557</v>
      </c>
      <c r="I2801" s="34" t="s">
        <v>1359</v>
      </c>
      <c r="J2801" s="48"/>
      <c r="K2801" s="48"/>
      <c r="L2801" s="48">
        <v>30000</v>
      </c>
      <c r="M2801" s="48">
        <v>5000</v>
      </c>
      <c r="N2801" s="59"/>
      <c r="O2801" s="59"/>
      <c r="P2801" s="59"/>
      <c r="Q2801" s="268">
        <f t="shared" si="130"/>
        <v>35000</v>
      </c>
      <c r="R2801" s="61">
        <f>IF(O2801=0,0,SUMIFS(Disbursements!$T:$T,Disbursements!$B:$B,'Live Collections'!D2801,Disbursements!$D:$D,'Live Collections'!F2801))</f>
        <v>0</v>
      </c>
      <c r="S2801" s="304">
        <f>IF(O2801&lt;=IF($O2801=0,0,SUMIFS(Disbursements!$W:$W,Disbursements!$B:$B,'Live Collections'!D64,Disbursements!$D:$D,'Live Collections'!F64)),O2801,IF($O2801=0,0,SUMIFS(Disbursements!$W:$W,Disbursements!$B:$B,'Live Collections'!D64,Disbursements!$D:$D,'Live Collections'!F64)))</f>
        <v>0</v>
      </c>
      <c r="T2801" s="304">
        <f t="shared" si="131"/>
        <v>0</v>
      </c>
      <c r="U2801" s="52"/>
      <c r="V2801" s="34"/>
      <c r="W2801" s="408"/>
    </row>
    <row r="2802" spans="1:23" ht="12.75" customHeight="1" x14ac:dyDescent="0.2">
      <c r="A2802" s="257">
        <v>2799</v>
      </c>
      <c r="B2802" s="44">
        <v>44588</v>
      </c>
      <c r="C2802" s="44">
        <f t="shared" si="132"/>
        <v>44588</v>
      </c>
      <c r="D2802" s="374">
        <v>17</v>
      </c>
      <c r="E2802" s="291" t="str">
        <f>IFERROR(VLOOKUP($D2802,'Clients-Live'!$A:$C,3,0),"")</f>
        <v>MAMBU BAYI</v>
      </c>
      <c r="F2802" s="291">
        <f>IFERROR(INDEX(Disbursements!$D:$D,MATCH('Live Collections'!G2802,Disbursements!$C:$C,0)),"")</f>
        <v>1</v>
      </c>
      <c r="G2802" s="34">
        <v>7</v>
      </c>
      <c r="H2802" s="34">
        <v>4702</v>
      </c>
      <c r="I2802" s="34" t="s">
        <v>1357</v>
      </c>
      <c r="J2802" s="48"/>
      <c r="K2802" s="48"/>
      <c r="L2802" s="48"/>
      <c r="M2802" s="48"/>
      <c r="N2802" s="59"/>
      <c r="O2802" s="59">
        <v>150000</v>
      </c>
      <c r="P2802" s="59"/>
      <c r="Q2802" s="268">
        <f t="shared" si="130"/>
        <v>150000</v>
      </c>
      <c r="R2802" s="61">
        <f>IF(O2802=0,0,SUMIFS(Disbursements!$T:$T,Disbursements!$B:$B,'Live Collections'!D2802,Disbursements!$D:$D,'Live Collections'!F2802))</f>
        <v>325000</v>
      </c>
      <c r="S2802" s="304">
        <f>IF(O2802&lt;=IF($O2802=0,0,SUMIFS(Disbursements!$W:$W,Disbursements!$B:$B,'Live Collections'!D2945,Disbursements!$D:$D,'Live Collections'!F2945)),O2802,IF($O2802=0,0,SUMIFS(Disbursements!$W:$W,Disbursements!$B:$B,'Live Collections'!D2945,Disbursements!$D:$D,'Live Collections'!F2945)))</f>
        <v>20000</v>
      </c>
      <c r="T2802" s="304">
        <f t="shared" si="131"/>
        <v>130000</v>
      </c>
      <c r="U2802" s="52"/>
      <c r="V2802" s="34"/>
      <c r="W2802" s="408"/>
    </row>
    <row r="2803" spans="1:23" ht="12.75" customHeight="1" x14ac:dyDescent="0.2">
      <c r="A2803" s="257">
        <v>2800</v>
      </c>
      <c r="B2803" s="44">
        <v>44588</v>
      </c>
      <c r="C2803" s="44">
        <f t="shared" si="132"/>
        <v>44588</v>
      </c>
      <c r="D2803" s="374">
        <v>17</v>
      </c>
      <c r="E2803" s="291" t="str">
        <f>IFERROR(VLOOKUP($D2803,'Clients-Live'!$A:$C,3,0),"")</f>
        <v>MAMBU BAYI</v>
      </c>
      <c r="F2803" s="291">
        <f>IFERROR(INDEX(Disbursements!$D:$D,MATCH('Live Collections'!G2803,Disbursements!$C:$C,0)),"")</f>
        <v>1</v>
      </c>
      <c r="G2803" s="34">
        <v>7</v>
      </c>
      <c r="H2803" s="34"/>
      <c r="I2803" s="34" t="s">
        <v>1357</v>
      </c>
      <c r="J2803" s="48"/>
      <c r="K2803" s="48"/>
      <c r="L2803" s="48"/>
      <c r="M2803" s="48"/>
      <c r="N2803" s="59"/>
      <c r="O2803" s="59"/>
      <c r="P2803" s="59">
        <v>-150000</v>
      </c>
      <c r="Q2803" s="268">
        <f t="shared" ref="Q2803:Q2866" si="133">SUM(J2803:P2803)</f>
        <v>-150000</v>
      </c>
      <c r="R2803" s="61">
        <f>IF(O2803=0,0,SUMIFS(Disbursements!$T:$T,Disbursements!$B:$B,'Live Collections'!D2803,Disbursements!$D:$D,'Live Collections'!F2803))</f>
        <v>0</v>
      </c>
      <c r="S2803" s="304">
        <f>IF(O2803&lt;=IF($O2803=0,0,SUMIFS(Disbursements!$W:$W,Disbursements!$B:$B,'Live Collections'!D2946,Disbursements!$D:$D,'Live Collections'!F2946)),O2803,IF($O2803=0,0,SUMIFS(Disbursements!$W:$W,Disbursements!$B:$B,'Live Collections'!D2946,Disbursements!$D:$D,'Live Collections'!F2946)))</f>
        <v>0</v>
      </c>
      <c r="T2803" s="304">
        <f t="shared" si="131"/>
        <v>0</v>
      </c>
      <c r="U2803" s="52"/>
      <c r="V2803" s="34"/>
      <c r="W2803" s="408"/>
    </row>
    <row r="2804" spans="1:23" ht="12.75" customHeight="1" x14ac:dyDescent="0.2">
      <c r="A2804" s="257">
        <v>2801</v>
      </c>
      <c r="B2804" s="44">
        <v>44588</v>
      </c>
      <c r="C2804" s="44">
        <f t="shared" si="132"/>
        <v>44588</v>
      </c>
      <c r="D2804" s="374">
        <v>17</v>
      </c>
      <c r="E2804" s="291" t="str">
        <f>IFERROR(VLOOKUP($D2804,'Clients-Live'!$A:$C,3,0),"")</f>
        <v>MAMBU BAYI</v>
      </c>
      <c r="F2804" s="291">
        <f>IFERROR(INDEX(Disbursements!$D:$D,MATCH('Live Collections'!G2804,Disbursements!$C:$C,0)),"")</f>
        <v>1</v>
      </c>
      <c r="G2804" s="34">
        <v>7</v>
      </c>
      <c r="H2804" s="34">
        <v>4560</v>
      </c>
      <c r="I2804" s="34" t="s">
        <v>1357</v>
      </c>
      <c r="J2804" s="48"/>
      <c r="K2804" s="48"/>
      <c r="L2804" s="48"/>
      <c r="M2804" s="48"/>
      <c r="N2804" s="59"/>
      <c r="O2804" s="59">
        <v>425000</v>
      </c>
      <c r="P2804" s="59"/>
      <c r="Q2804" s="268">
        <f t="shared" si="133"/>
        <v>425000</v>
      </c>
      <c r="R2804" s="61">
        <f>IF(O2804=0,0,SUMIFS(Disbursements!$T:$T,Disbursements!$B:$B,'Live Collections'!D2804,Disbursements!$D:$D,'Live Collections'!F2804))</f>
        <v>325000</v>
      </c>
      <c r="S2804" s="64">
        <v>28666.666666666628</v>
      </c>
      <c r="T2804" s="304">
        <f t="shared" si="131"/>
        <v>396333.33333333337</v>
      </c>
      <c r="U2804" s="52"/>
      <c r="V2804" s="34"/>
      <c r="W2804" s="408" t="s">
        <v>2086</v>
      </c>
    </row>
    <row r="2805" spans="1:23" ht="12.75" customHeight="1" x14ac:dyDescent="0.2">
      <c r="A2805" s="257">
        <v>2802</v>
      </c>
      <c r="B2805" s="44">
        <v>44588</v>
      </c>
      <c r="C2805" s="44">
        <f t="shared" si="132"/>
        <v>44588</v>
      </c>
      <c r="D2805" s="374">
        <v>17</v>
      </c>
      <c r="E2805" s="291" t="str">
        <f>IFERROR(VLOOKUP($D2805,'Clients-Live'!$A:$C,3,0),"")</f>
        <v>MAMBU BAYI</v>
      </c>
      <c r="F2805" s="291" t="str">
        <f>IFERROR(INDEX(Disbursements!$D:$D,MATCH('Live Collections'!G2805,Disbursements!$C:$C,0)),"")</f>
        <v/>
      </c>
      <c r="G2805" s="34"/>
      <c r="H2805" s="34">
        <v>4561</v>
      </c>
      <c r="I2805" s="34" t="s">
        <v>1357</v>
      </c>
      <c r="J2805" s="48"/>
      <c r="K2805" s="48"/>
      <c r="L2805" s="48"/>
      <c r="M2805" s="48"/>
      <c r="N2805" s="59">
        <v>17000</v>
      </c>
      <c r="O2805" s="59"/>
      <c r="P2805" s="59"/>
      <c r="Q2805" s="268">
        <f t="shared" si="133"/>
        <v>17000</v>
      </c>
      <c r="R2805" s="61">
        <f>IF(O2805=0,0,SUMIFS(Disbursements!$T:$T,Disbursements!$B:$B,'Live Collections'!D2805,Disbursements!$D:$D,'Live Collections'!F2805))</f>
        <v>0</v>
      </c>
      <c r="S2805" s="304">
        <f>IF(O2805&lt;=IF($O2805=0,0,SUMIFS(Disbursements!$W:$W,Disbursements!$B:$B,'Live Collections'!D2948,Disbursements!$D:$D,'Live Collections'!F2948)),O2805,IF($O2805=0,0,SUMIFS(Disbursements!$W:$W,Disbursements!$B:$B,'Live Collections'!D2948,Disbursements!$D:$D,'Live Collections'!F2948)))</f>
        <v>0</v>
      </c>
      <c r="T2805" s="304">
        <f t="shared" si="131"/>
        <v>0</v>
      </c>
      <c r="U2805" s="52"/>
      <c r="V2805" s="34"/>
      <c r="W2805" s="408"/>
    </row>
    <row r="2806" spans="1:23" ht="12.75" customHeight="1" x14ac:dyDescent="0.2">
      <c r="A2806" s="257">
        <v>2807</v>
      </c>
      <c r="B2806" s="44">
        <v>44588</v>
      </c>
      <c r="C2806" s="44">
        <f t="shared" si="132"/>
        <v>44588</v>
      </c>
      <c r="D2806" s="374">
        <v>18</v>
      </c>
      <c r="E2806" s="291" t="str">
        <f>IFERROR(VLOOKUP($D2806,'Clients-Live'!$A:$C,3,0),"")</f>
        <v>ARIYE PEACE</v>
      </c>
      <c r="F2806" s="291">
        <f>IFERROR(INDEX(Disbursements!$D:$D,MATCH('Live Collections'!G2806,Disbursements!$C:$C,0)),"")</f>
        <v>2</v>
      </c>
      <c r="G2806" s="34">
        <v>317</v>
      </c>
      <c r="H2806" s="34">
        <v>4606</v>
      </c>
      <c r="I2806" s="34" t="s">
        <v>1357</v>
      </c>
      <c r="J2806" s="48"/>
      <c r="K2806" s="48"/>
      <c r="L2806" s="48"/>
      <c r="M2806" s="48"/>
      <c r="N2806" s="59"/>
      <c r="O2806" s="59">
        <v>100000</v>
      </c>
      <c r="P2806" s="59"/>
      <c r="Q2806" s="268">
        <f t="shared" si="133"/>
        <v>100000</v>
      </c>
      <c r="R2806" s="61">
        <f>IF(O2806=0,0,SUMIFS(Disbursements!$T:$T,Disbursements!$B:$B,'Live Collections'!D2806,Disbursements!$D:$D,'Live Collections'!F2806))</f>
        <v>650000</v>
      </c>
      <c r="S2806" s="304">
        <f>IF(O2806&lt;=IF($O2806=0,0,SUMIFS(Disbursements!$W:$W,Disbursements!$B:$B,'Live Collections'!D227,Disbursements!$D:$D,'Live Collections'!F227)),O2806,IF($O2806=0,0,SUMIFS(Disbursements!$W:$W,Disbursements!$B:$B,'Live Collections'!D227,Disbursements!$D:$D,'Live Collections'!F227)))</f>
        <v>3333.3333333333321</v>
      </c>
      <c r="T2806" s="304">
        <f t="shared" si="131"/>
        <v>96666.666666666672</v>
      </c>
      <c r="U2806" s="52"/>
      <c r="V2806" s="34"/>
      <c r="W2806" s="408"/>
    </row>
    <row r="2807" spans="1:23" ht="12.75" customHeight="1" x14ac:dyDescent="0.2">
      <c r="A2807" s="257">
        <v>2809</v>
      </c>
      <c r="B2807" s="44">
        <v>44588</v>
      </c>
      <c r="C2807" s="44">
        <f t="shared" si="132"/>
        <v>44588</v>
      </c>
      <c r="D2807" s="374">
        <v>46</v>
      </c>
      <c r="E2807" s="291" t="str">
        <f>IFERROR(VLOOKUP($D2807,'Clients-Live'!$A:$C,3,0),"")</f>
        <v>ALIO YUDA</v>
      </c>
      <c r="F2807" s="291">
        <f>IFERROR(INDEX(Disbursements!$D:$D,MATCH('Live Collections'!G2807,Disbursements!$C:$C,0)),"")</f>
        <v>2</v>
      </c>
      <c r="G2807" s="34">
        <v>400</v>
      </c>
      <c r="H2807" s="34">
        <v>4603</v>
      </c>
      <c r="I2807" s="34" t="s">
        <v>1357</v>
      </c>
      <c r="J2807" s="48"/>
      <c r="K2807" s="48"/>
      <c r="L2807" s="48"/>
      <c r="M2807" s="48"/>
      <c r="N2807" s="59"/>
      <c r="O2807" s="59">
        <v>75000</v>
      </c>
      <c r="P2807" s="59"/>
      <c r="Q2807" s="268">
        <f t="shared" si="133"/>
        <v>75000</v>
      </c>
      <c r="R2807" s="61">
        <f>IF(O2807=0,0,SUMIFS(Disbursements!$T:$T,Disbursements!$B:$B,'Live Collections'!D2807,Disbursements!$D:$D,'Live Collections'!F2807))</f>
        <v>76000</v>
      </c>
      <c r="S2807" s="304">
        <f>IF(O2807&lt;=IF($O2807=0,0,SUMIFS(Disbursements!$W:$W,Disbursements!$B:$B,'Live Collections'!D532,Disbursements!$D:$D,'Live Collections'!F532)),O2807,IF($O2807=0,0,SUMIFS(Disbursements!$W:$W,Disbursements!$B:$B,'Live Collections'!D532,Disbursements!$D:$D,'Live Collections'!F532)))</f>
        <v>75000</v>
      </c>
      <c r="T2807" s="304">
        <f t="shared" si="131"/>
        <v>0</v>
      </c>
      <c r="U2807" s="52"/>
      <c r="V2807" s="34"/>
      <c r="W2807" s="408"/>
    </row>
    <row r="2808" spans="1:23" ht="12.75" customHeight="1" x14ac:dyDescent="0.2">
      <c r="A2808" s="257">
        <v>2812</v>
      </c>
      <c r="B2808" s="44">
        <v>44588</v>
      </c>
      <c r="C2808" s="44">
        <f t="shared" si="132"/>
        <v>44588</v>
      </c>
      <c r="D2808" s="374">
        <v>86</v>
      </c>
      <c r="E2808" s="291" t="str">
        <f>IFERROR(VLOOKUP($D2808,'Clients-Live'!$A:$C,3,0),"")</f>
        <v>AMANIYO JOYCE</v>
      </c>
      <c r="F2808" s="291">
        <f>IFERROR(INDEX(Disbursements!$D:$D,MATCH('Live Collections'!G2808,Disbursements!$C:$C,0)),"")</f>
        <v>2</v>
      </c>
      <c r="G2808" s="34">
        <v>231</v>
      </c>
      <c r="H2808" s="34">
        <v>4602</v>
      </c>
      <c r="I2808" s="34" t="s">
        <v>1358</v>
      </c>
      <c r="J2808" s="48"/>
      <c r="K2808" s="48"/>
      <c r="L2808" s="48"/>
      <c r="M2808" s="48"/>
      <c r="N2808" s="59"/>
      <c r="O2808" s="59">
        <v>100000</v>
      </c>
      <c r="P2808" s="59"/>
      <c r="Q2808" s="268">
        <f t="shared" si="133"/>
        <v>100000</v>
      </c>
      <c r="R2808" s="61">
        <f>IF(O2808=0,0,SUMIFS(Disbursements!$T:$T,Disbursements!$B:$B,'Live Collections'!D2808,Disbursements!$D:$D,'Live Collections'!F2808))</f>
        <v>217000</v>
      </c>
      <c r="S2808" s="304">
        <f>IF(O2808&lt;=IF($O2808=0,0,SUMIFS(Disbursements!$W:$W,Disbursements!$B:$B,'Live Collections'!D1120,Disbursements!$D:$D,'Live Collections'!F1120)),O2808,IF($O2808=0,0,SUMIFS(Disbursements!$W:$W,Disbursements!$B:$B,'Live Collections'!D1120,Disbursements!$D:$D,'Live Collections'!F1120)))</f>
        <v>30000</v>
      </c>
      <c r="T2808" s="304">
        <f t="shared" si="131"/>
        <v>70000</v>
      </c>
      <c r="U2808" s="52"/>
      <c r="V2808" s="34"/>
      <c r="W2808" s="408"/>
    </row>
    <row r="2809" spans="1:23" ht="12.75" customHeight="1" x14ac:dyDescent="0.2">
      <c r="A2809" s="257">
        <v>2803</v>
      </c>
      <c r="B2809" s="44">
        <v>44588</v>
      </c>
      <c r="C2809" s="44">
        <f t="shared" si="132"/>
        <v>44588</v>
      </c>
      <c r="D2809" s="374">
        <v>88</v>
      </c>
      <c r="E2809" s="291" t="str">
        <f>IFERROR(VLOOKUP($D2809,'Clients-Live'!$A:$C,3,0),"")</f>
        <v>FAIDA HARRIET</v>
      </c>
      <c r="F2809" s="291">
        <f>IFERROR(INDEX(Disbursements!$D:$D,MATCH('Live Collections'!G2809,Disbursements!$C:$C,0)),"")</f>
        <v>3</v>
      </c>
      <c r="G2809" s="34">
        <v>380</v>
      </c>
      <c r="H2809" s="34">
        <v>4609</v>
      </c>
      <c r="I2809" s="34" t="s">
        <v>1357</v>
      </c>
      <c r="J2809" s="48"/>
      <c r="K2809" s="48"/>
      <c r="L2809" s="48"/>
      <c r="M2809" s="48"/>
      <c r="N2809" s="59"/>
      <c r="O2809" s="59">
        <v>10000</v>
      </c>
      <c r="P2809" s="59"/>
      <c r="Q2809" s="268">
        <f t="shared" si="133"/>
        <v>10000</v>
      </c>
      <c r="R2809" s="61">
        <f>IF(O2809=0,0,SUMIFS(Disbursements!$T:$T,Disbursements!$B:$B,'Live Collections'!D2809,Disbursements!$D:$D,'Live Collections'!F2809))</f>
        <v>90000</v>
      </c>
      <c r="S2809" s="304">
        <f>IF(O2809&lt;=IF($O2809=0,0,SUMIFS(Disbursements!$W:$W,Disbursements!$B:$B,'Live Collections'!D1152,Disbursements!$D:$D,'Live Collections'!F1152)),O2809,IF($O2809=0,0,SUMIFS(Disbursements!$W:$W,Disbursements!$B:$B,'Live Collections'!D1152,Disbursements!$D:$D,'Live Collections'!F1152)))</f>
        <v>10000</v>
      </c>
      <c r="T2809" s="304">
        <f t="shared" si="131"/>
        <v>0</v>
      </c>
      <c r="U2809" s="52"/>
      <c r="V2809" s="34"/>
      <c r="W2809" s="408"/>
    </row>
    <row r="2810" spans="1:23" ht="12.75" customHeight="1" x14ac:dyDescent="0.2">
      <c r="A2810" s="257">
        <v>2811</v>
      </c>
      <c r="B2810" s="44">
        <v>44588</v>
      </c>
      <c r="C2810" s="44">
        <f t="shared" si="132"/>
        <v>44588</v>
      </c>
      <c r="D2810" s="374">
        <v>157</v>
      </c>
      <c r="E2810" s="291" t="str">
        <f>IFERROR(VLOOKUP($D2810,'Clients-Live'!$A:$C,3,0),"")</f>
        <v>AYITE MARGERT</v>
      </c>
      <c r="F2810" s="291">
        <f>IFERROR(INDEX(Disbursements!$D:$D,MATCH('Live Collections'!G2810,Disbursements!$C:$C,0)),"")</f>
        <v>2</v>
      </c>
      <c r="G2810" s="34">
        <v>345</v>
      </c>
      <c r="H2810" s="34">
        <v>4605</v>
      </c>
      <c r="I2810" s="34" t="s">
        <v>1357</v>
      </c>
      <c r="J2810" s="48"/>
      <c r="K2810" s="48"/>
      <c r="L2810" s="48"/>
      <c r="M2810" s="48"/>
      <c r="N2810" s="59"/>
      <c r="O2810" s="59">
        <v>100000</v>
      </c>
      <c r="P2810" s="59"/>
      <c r="Q2810" s="268">
        <f t="shared" si="133"/>
        <v>100000</v>
      </c>
      <c r="R2810" s="61">
        <f>IF(O2810=0,0,SUMIFS(Disbursements!$T:$T,Disbursements!$B:$B,'Live Collections'!D2810,Disbursements!$D:$D,'Live Collections'!F2810))</f>
        <v>175000</v>
      </c>
      <c r="S2810" s="304">
        <f>IF(O2810&lt;=IF($O2810=0,0,SUMIFS(Disbursements!$W:$W,Disbursements!$B:$B,'Live Collections'!D1974,Disbursements!$D:$D,'Live Collections'!F1974)),O2810,IF($O2810=0,0,SUMIFS(Disbursements!$W:$W,Disbursements!$B:$B,'Live Collections'!D1974,Disbursements!$D:$D,'Live Collections'!F1974)))</f>
        <v>20000</v>
      </c>
      <c r="T2810" s="304">
        <f t="shared" si="131"/>
        <v>80000</v>
      </c>
      <c r="U2810" s="52"/>
      <c r="V2810" s="34"/>
      <c r="W2810" s="408"/>
    </row>
    <row r="2811" spans="1:23" ht="12.75" customHeight="1" x14ac:dyDescent="0.2">
      <c r="A2811" s="257">
        <v>2804</v>
      </c>
      <c r="B2811" s="44">
        <v>44588</v>
      </c>
      <c r="C2811" s="44">
        <f t="shared" si="132"/>
        <v>44588</v>
      </c>
      <c r="D2811" s="374">
        <v>169</v>
      </c>
      <c r="E2811" s="291" t="str">
        <f>IFERROR(VLOOKUP($D2811,'Clients-Live'!$A:$C,3,0),"")</f>
        <v>KATO KENNEDY</v>
      </c>
      <c r="F2811" s="291">
        <f>IFERROR(INDEX(Disbursements!$D:$D,MATCH('Live Collections'!G2811,Disbursements!$C:$C,0)),"")</f>
        <v>2</v>
      </c>
      <c r="G2811" s="34">
        <v>394</v>
      </c>
      <c r="H2811" s="34">
        <v>4610</v>
      </c>
      <c r="I2811" s="34" t="s">
        <v>1357</v>
      </c>
      <c r="J2811" s="48"/>
      <c r="K2811" s="48"/>
      <c r="L2811" s="48"/>
      <c r="M2811" s="48"/>
      <c r="N2811" s="59"/>
      <c r="O2811" s="59">
        <v>58000</v>
      </c>
      <c r="P2811" s="59"/>
      <c r="Q2811" s="268">
        <f t="shared" si="133"/>
        <v>58000</v>
      </c>
      <c r="R2811" s="61">
        <f>IF(O2811=0,0,SUMIFS(Disbursements!$T:$T,Disbursements!$B:$B,'Live Collections'!D2811,Disbursements!$D:$D,'Live Collections'!F2811))</f>
        <v>58000</v>
      </c>
      <c r="S2811" s="304">
        <f>IF(O2811&lt;=IF($O2811=0,0,SUMIFS(Disbursements!$W:$W,Disbursements!$B:$B,'Live Collections'!D2104,Disbursements!$D:$D,'Live Collections'!F2104)),O2811,IF($O2811=0,0,SUMIFS(Disbursements!$W:$W,Disbursements!$B:$B,'Live Collections'!D2104,Disbursements!$D:$D,'Live Collections'!F2104)))</f>
        <v>15000</v>
      </c>
      <c r="T2811" s="304">
        <f t="shared" si="131"/>
        <v>43000</v>
      </c>
      <c r="U2811" s="52"/>
      <c r="V2811" s="34"/>
      <c r="W2811" s="408"/>
    </row>
    <row r="2812" spans="1:23" ht="12.75" customHeight="1" x14ac:dyDescent="0.2">
      <c r="A2812" s="257">
        <v>2808</v>
      </c>
      <c r="B2812" s="44">
        <v>44588</v>
      </c>
      <c r="C2812" s="44">
        <f t="shared" si="132"/>
        <v>44588</v>
      </c>
      <c r="D2812" s="374">
        <v>177</v>
      </c>
      <c r="E2812" s="291" t="str">
        <f>IFERROR(VLOOKUP($D2812,'Clients-Live'!$A:$C,3,0),"")</f>
        <v>EFIT GIFT</v>
      </c>
      <c r="F2812" s="291">
        <f>IFERROR(INDEX(Disbursements!$D:$D,MATCH('Live Collections'!G2812,Disbursements!$C:$C,0)),"")</f>
        <v>1</v>
      </c>
      <c r="G2812" s="34">
        <v>183</v>
      </c>
      <c r="H2812" s="34">
        <v>4604</v>
      </c>
      <c r="I2812" s="34" t="s">
        <v>1358</v>
      </c>
      <c r="J2812" s="48"/>
      <c r="K2812" s="48"/>
      <c r="L2812" s="48"/>
      <c r="M2812" s="48"/>
      <c r="N2812" s="59"/>
      <c r="O2812" s="59">
        <v>70000</v>
      </c>
      <c r="P2812" s="59"/>
      <c r="Q2812" s="268">
        <f t="shared" si="133"/>
        <v>70000</v>
      </c>
      <c r="R2812" s="61">
        <f>IF(O2812=0,0,SUMIFS(Disbursements!$T:$T,Disbursements!$B:$B,'Live Collections'!D2812,Disbursements!$D:$D,'Live Collections'!F2812))</f>
        <v>109000</v>
      </c>
      <c r="S2812" s="304">
        <f>IF(O2812&lt;=IF($O2812=0,0,SUMIFS(Disbursements!$W:$W,Disbursements!$B:$B,'Live Collections'!D2181,Disbursements!$D:$D,'Live Collections'!F2181)),O2812,IF($O2812=0,0,SUMIFS(Disbursements!$W:$W,Disbursements!$B:$B,'Live Collections'!D2181,Disbursements!$D:$D,'Live Collections'!F2181)))</f>
        <v>0</v>
      </c>
      <c r="T2812" s="304">
        <f t="shared" si="131"/>
        <v>70000</v>
      </c>
      <c r="U2812" s="52"/>
      <c r="V2812" s="34"/>
      <c r="W2812" s="408"/>
    </row>
    <row r="2813" spans="1:23" ht="12.75" customHeight="1" x14ac:dyDescent="0.2">
      <c r="A2813" s="257">
        <v>2806</v>
      </c>
      <c r="B2813" s="44">
        <v>44588</v>
      </c>
      <c r="C2813" s="44">
        <f t="shared" si="132"/>
        <v>44588</v>
      </c>
      <c r="D2813" s="374">
        <v>200</v>
      </c>
      <c r="E2813" s="291" t="str">
        <f>IFERROR(VLOOKUP($D2813,'Clients-Live'!$A:$C,3,0),"")</f>
        <v>SERIYA FLORENCE</v>
      </c>
      <c r="F2813" s="291">
        <f>IFERROR(INDEX(Disbursements!$D:$D,MATCH('Live Collections'!G2813,Disbursements!$C:$C,0)),"")</f>
        <v>2</v>
      </c>
      <c r="G2813" s="34">
        <v>342</v>
      </c>
      <c r="H2813" s="34">
        <v>4607</v>
      </c>
      <c r="I2813" s="34" t="s">
        <v>1359</v>
      </c>
      <c r="J2813" s="48"/>
      <c r="K2813" s="48"/>
      <c r="L2813" s="48"/>
      <c r="M2813" s="48"/>
      <c r="N2813" s="59"/>
      <c r="O2813" s="59">
        <v>125000</v>
      </c>
      <c r="P2813" s="59"/>
      <c r="Q2813" s="268">
        <f t="shared" si="133"/>
        <v>125000</v>
      </c>
      <c r="R2813" s="61">
        <f>IF(O2813=0,0,SUMIFS(Disbursements!$T:$T,Disbursements!$B:$B,'Live Collections'!D2813,Disbursements!$D:$D,'Live Collections'!F2813))</f>
        <v>125000</v>
      </c>
      <c r="S2813" s="304">
        <f>IF(O2813&lt;=IF($O2813=0,0,SUMIFS(Disbursements!$W:$W,Disbursements!$B:$B,'Live Collections'!D2393,Disbursements!$D:$D,'Live Collections'!F2393)),O2813,IF($O2813=0,0,SUMIFS(Disbursements!$W:$W,Disbursements!$B:$B,'Live Collections'!D2393,Disbursements!$D:$D,'Live Collections'!F2393)))</f>
        <v>15000</v>
      </c>
      <c r="T2813" s="304">
        <f t="shared" si="131"/>
        <v>110000</v>
      </c>
      <c r="U2813" s="52"/>
      <c r="V2813" s="34"/>
      <c r="W2813" s="408"/>
    </row>
    <row r="2814" spans="1:23" ht="12.75" customHeight="1" x14ac:dyDescent="0.2">
      <c r="A2814" s="257">
        <v>2815</v>
      </c>
      <c r="B2814" s="44">
        <v>44588</v>
      </c>
      <c r="C2814" s="44">
        <f t="shared" si="132"/>
        <v>44588</v>
      </c>
      <c r="D2814" s="374">
        <v>221</v>
      </c>
      <c r="E2814" s="291" t="str">
        <f>IFERROR(VLOOKUP($D2814,'Clients-Live'!$A:$C,3,0),"")</f>
        <v>NAMUDDU MARY</v>
      </c>
      <c r="F2814" s="291">
        <f>IFERROR(INDEX(Disbursements!$D:$D,MATCH('Live Collections'!G2814,Disbursements!$C:$C,0)),"")</f>
        <v>2</v>
      </c>
      <c r="G2814" s="34">
        <v>407</v>
      </c>
      <c r="H2814" s="34">
        <v>4701</v>
      </c>
      <c r="I2814" s="34" t="s">
        <v>1359</v>
      </c>
      <c r="J2814" s="48"/>
      <c r="K2814" s="48"/>
      <c r="L2814" s="48"/>
      <c r="M2814" s="48"/>
      <c r="N2814" s="59"/>
      <c r="O2814" s="59">
        <v>80000</v>
      </c>
      <c r="P2814" s="59"/>
      <c r="Q2814" s="268">
        <f t="shared" si="133"/>
        <v>80000</v>
      </c>
      <c r="R2814" s="61">
        <f>IF(O2814=0,0,SUMIFS(Disbursements!$T:$T,Disbursements!$B:$B,'Live Collections'!D2814,Disbursements!$D:$D,'Live Collections'!F2814))</f>
        <v>79000</v>
      </c>
      <c r="S2814" s="304"/>
      <c r="T2814" s="304">
        <f t="shared" ref="T2814:T2877" si="134">IF(O2814=0,0,O2814-S2814)</f>
        <v>80000</v>
      </c>
      <c r="U2814" s="52"/>
      <c r="V2814" s="34"/>
      <c r="W2814" s="408"/>
    </row>
    <row r="2815" spans="1:23" ht="12.75" customHeight="1" x14ac:dyDescent="0.2">
      <c r="A2815" s="257">
        <v>2813</v>
      </c>
      <c r="B2815" s="44">
        <v>44588</v>
      </c>
      <c r="C2815" s="44">
        <f t="shared" si="132"/>
        <v>44588</v>
      </c>
      <c r="D2815" s="374">
        <v>241</v>
      </c>
      <c r="E2815" s="291" t="str">
        <f>IFERROR(VLOOKUP($D2815,'Clients-Live'!$A:$C,3,0),"")</f>
        <v>SIRIKA FARIDA</v>
      </c>
      <c r="F2815" s="291">
        <f>IFERROR(INDEX(Disbursements!$D:$D,MATCH('Live Collections'!G2815,Disbursements!$C:$C,0)),"")</f>
        <v>1</v>
      </c>
      <c r="G2815" s="34">
        <v>282</v>
      </c>
      <c r="H2815" s="34">
        <v>4601</v>
      </c>
      <c r="I2815" s="34" t="s">
        <v>1359</v>
      </c>
      <c r="J2815" s="48"/>
      <c r="K2815" s="48"/>
      <c r="L2815" s="48"/>
      <c r="M2815" s="48"/>
      <c r="N2815" s="59"/>
      <c r="O2815" s="59">
        <v>100000</v>
      </c>
      <c r="P2815" s="59"/>
      <c r="Q2815" s="268">
        <f t="shared" si="133"/>
        <v>100000</v>
      </c>
      <c r="R2815" s="61">
        <f>IF(O2815=0,0,SUMIFS(Disbursements!$T:$T,Disbursements!$B:$B,'Live Collections'!D2815,Disbursements!$D:$D,'Live Collections'!F2815))</f>
        <v>125000</v>
      </c>
      <c r="S2815" s="304">
        <f>IF(O2815&lt;=IF($O2815=0,0,SUMIFS(Disbursements!$W:$W,Disbursements!$B:$B,'Live Collections'!D4518,Disbursements!$D:$D,'Live Collections'!F4518)),O2815,IF($O2815=0,0,SUMIFS(Disbursements!$W:$W,Disbursements!$B:$B,'Live Collections'!D4518,Disbursements!$D:$D,'Live Collections'!F4518)))</f>
        <v>0</v>
      </c>
      <c r="T2815" s="304">
        <f t="shared" si="134"/>
        <v>100000</v>
      </c>
      <c r="U2815" s="52"/>
      <c r="V2815" s="34"/>
      <c r="W2815" s="408"/>
    </row>
    <row r="2816" spans="1:23" ht="12.75" customHeight="1" x14ac:dyDescent="0.2">
      <c r="A2816" s="257">
        <v>2814</v>
      </c>
      <c r="B2816" s="44">
        <v>44588</v>
      </c>
      <c r="C2816" s="44">
        <f t="shared" si="132"/>
        <v>44588</v>
      </c>
      <c r="D2816" s="374">
        <v>286</v>
      </c>
      <c r="E2816" s="291" t="str">
        <f>IFERROR(VLOOKUP($D2816,'Clients-Live'!$A:$C,3,0),"")</f>
        <v>DIRIA IRENE</v>
      </c>
      <c r="F2816" s="291">
        <f>IFERROR(INDEX(Disbursements!$D:$D,MATCH('Live Collections'!G2816,Disbursements!$C:$C,0)),"")</f>
        <v>1</v>
      </c>
      <c r="G2816" s="34">
        <v>339</v>
      </c>
      <c r="H2816" s="34">
        <v>4559</v>
      </c>
      <c r="I2816" s="34" t="s">
        <v>1357</v>
      </c>
      <c r="J2816" s="48"/>
      <c r="K2816" s="48"/>
      <c r="L2816" s="48"/>
      <c r="M2816" s="48"/>
      <c r="N2816" s="59"/>
      <c r="O2816" s="59">
        <v>680000</v>
      </c>
      <c r="P2816" s="59"/>
      <c r="Q2816" s="268">
        <f t="shared" si="133"/>
        <v>680000</v>
      </c>
      <c r="R2816" s="61">
        <f>IF(O2816=0,0,SUMIFS(Disbursements!$T:$T,Disbursements!$B:$B,'Live Collections'!D2816,Disbursements!$D:$D,'Live Collections'!F2816))</f>
        <v>767000</v>
      </c>
      <c r="S2816" s="304">
        <f>IF(O2816&lt;=IF($O2816=0,0,SUMIFS(Disbursements!$W:$W,Disbursements!$B:$B,'Live Collections'!D3030,Disbursements!$D:$D,'Live Collections'!F3030)),O2816,IF($O2816=0,0,SUMIFS(Disbursements!$W:$W,Disbursements!$B:$B,'Live Collections'!D3030,Disbursements!$D:$D,'Live Collections'!F3030)))</f>
        <v>9000</v>
      </c>
      <c r="T2816" s="304">
        <f t="shared" si="134"/>
        <v>671000</v>
      </c>
      <c r="U2816" s="52"/>
      <c r="V2816" s="34"/>
      <c r="W2816" s="408"/>
    </row>
    <row r="2817" spans="1:23" ht="12.75" customHeight="1" x14ac:dyDescent="0.2">
      <c r="A2817" s="257">
        <v>2816</v>
      </c>
      <c r="B2817" s="44">
        <v>44588</v>
      </c>
      <c r="C2817" s="44">
        <f t="shared" si="132"/>
        <v>44588</v>
      </c>
      <c r="D2817" s="374">
        <v>318</v>
      </c>
      <c r="E2817" s="291" t="str">
        <f>IFERROR(VLOOKUP($D2817,'Clients-Live'!$A:$C,3,0),"")</f>
        <v>ARUBE PETER</v>
      </c>
      <c r="F2817" s="291" t="str">
        <f>IFERROR(INDEX(Disbursements!$D:$D,MATCH('Live Collections'!G2817,Disbursements!$C:$C,0)),"")</f>
        <v/>
      </c>
      <c r="G2817" s="34"/>
      <c r="H2817" s="34">
        <v>4455</v>
      </c>
      <c r="I2817" s="34" t="s">
        <v>1357</v>
      </c>
      <c r="J2817" s="48"/>
      <c r="K2817" s="48"/>
      <c r="L2817" s="48">
        <v>20000</v>
      </c>
      <c r="M2817" s="48">
        <v>5000</v>
      </c>
      <c r="N2817" s="59"/>
      <c r="O2817" s="59"/>
      <c r="P2817" s="59"/>
      <c r="Q2817" s="268">
        <f t="shared" si="133"/>
        <v>25000</v>
      </c>
      <c r="R2817" s="61">
        <f>IF(O2817=0,0,SUMIFS(Disbursements!$T:$T,Disbursements!$B:$B,'Live Collections'!D2817,Disbursements!$D:$D,'Live Collections'!F2817))</f>
        <v>0</v>
      </c>
      <c r="S2817" s="304">
        <f>IF(O2817&lt;=IF($O2817=0,0,SUMIFS(Disbursements!$W:$W,Disbursements!$B:$B,'Live Collections'!D3152,Disbursements!$D:$D,'Live Collections'!F3152)),O2817,IF($O2817=0,0,SUMIFS(Disbursements!$W:$W,Disbursements!$B:$B,'Live Collections'!D3152,Disbursements!$D:$D,'Live Collections'!F3152)))</f>
        <v>0</v>
      </c>
      <c r="T2817" s="304">
        <f t="shared" si="134"/>
        <v>0</v>
      </c>
      <c r="U2817" s="52"/>
      <c r="V2817" s="34"/>
      <c r="W2817" s="408"/>
    </row>
    <row r="2818" spans="1:23" ht="12.75" customHeight="1" x14ac:dyDescent="0.2">
      <c r="A2818" s="257">
        <v>2817</v>
      </c>
      <c r="B2818" s="44">
        <v>44588</v>
      </c>
      <c r="C2818" s="44">
        <f t="shared" si="132"/>
        <v>44588</v>
      </c>
      <c r="D2818" s="374">
        <v>318</v>
      </c>
      <c r="E2818" s="291" t="str">
        <f>IFERROR(VLOOKUP($D2818,'Clients-Live'!$A:$C,3,0),"")</f>
        <v>ARUBE PETER</v>
      </c>
      <c r="F2818" s="291" t="str">
        <f>IFERROR(INDEX(Disbursements!$D:$D,MATCH('Live Collections'!G2818,Disbursements!$C:$C,0)),"")</f>
        <v/>
      </c>
      <c r="G2818" s="34"/>
      <c r="H2818" s="34">
        <v>4454</v>
      </c>
      <c r="I2818" s="34" t="s">
        <v>1357</v>
      </c>
      <c r="J2818" s="48">
        <v>15000</v>
      </c>
      <c r="K2818" s="48">
        <v>5000</v>
      </c>
      <c r="L2818" s="48"/>
      <c r="M2818" s="48"/>
      <c r="N2818" s="59"/>
      <c r="O2818" s="59"/>
      <c r="P2818" s="59"/>
      <c r="Q2818" s="268">
        <f t="shared" si="133"/>
        <v>20000</v>
      </c>
      <c r="R2818" s="61">
        <f>IF(O2818=0,0,SUMIFS(Disbursements!$T:$T,Disbursements!$B:$B,'Live Collections'!D2818,Disbursements!$D:$D,'Live Collections'!F2818))</f>
        <v>0</v>
      </c>
      <c r="S2818" s="304">
        <f>IF(O2818&lt;=IF($O2818=0,0,SUMIFS(Disbursements!$W:$W,Disbursements!$B:$B,'Live Collections'!D3153,Disbursements!$D:$D,'Live Collections'!F3153)),O2818,IF($O2818=0,0,SUMIFS(Disbursements!$W:$W,Disbursements!$B:$B,'Live Collections'!D3153,Disbursements!$D:$D,'Live Collections'!F3153)))</f>
        <v>0</v>
      </c>
      <c r="T2818" s="304">
        <f t="shared" si="134"/>
        <v>0</v>
      </c>
      <c r="U2818" s="52"/>
      <c r="V2818" s="34"/>
      <c r="W2818" s="408"/>
    </row>
    <row r="2819" spans="1:23" ht="12.75" customHeight="1" x14ac:dyDescent="0.2">
      <c r="A2819" s="257">
        <v>2810</v>
      </c>
      <c r="B2819" s="44">
        <v>44588</v>
      </c>
      <c r="C2819" s="44">
        <f t="shared" si="132"/>
        <v>44588</v>
      </c>
      <c r="D2819" s="374">
        <v>319</v>
      </c>
      <c r="E2819" s="291" t="str">
        <f>IFERROR(VLOOKUP($D2819,'Clients-Live'!$A:$C,3,0),"")</f>
        <v>ATIKI PATRICK</v>
      </c>
      <c r="F2819" s="291" t="str">
        <f>IFERROR(INDEX(Disbursements!$D:$D,MATCH('Live Collections'!G2819,Disbursements!$C:$C,0)),"")</f>
        <v/>
      </c>
      <c r="G2819" s="34"/>
      <c r="H2819" s="34">
        <v>4456</v>
      </c>
      <c r="I2819" s="34" t="s">
        <v>1357</v>
      </c>
      <c r="J2819" s="48">
        <v>15000</v>
      </c>
      <c r="K2819" s="48">
        <v>5000</v>
      </c>
      <c r="L2819" s="48"/>
      <c r="M2819" s="48"/>
      <c r="N2819" s="59"/>
      <c r="O2819" s="59"/>
      <c r="P2819" s="59"/>
      <c r="Q2819" s="268">
        <f t="shared" si="133"/>
        <v>20000</v>
      </c>
      <c r="R2819" s="61">
        <f>IF(O2819=0,0,SUMIFS(Disbursements!$T:$T,Disbursements!$B:$B,'Live Collections'!D2819,Disbursements!$D:$D,'Live Collections'!F2819))</f>
        <v>0</v>
      </c>
      <c r="S2819" s="304">
        <f>IF(O2819&lt;=IF($O2819=0,0,SUMIFS(Disbursements!$W:$W,Disbursements!$B:$B,'Live Collections'!D3155,Disbursements!$D:$D,'Live Collections'!F3155)),O2819,IF($O2819=0,0,SUMIFS(Disbursements!$W:$W,Disbursements!$B:$B,'Live Collections'!D3155,Disbursements!$D:$D,'Live Collections'!F3155)))</f>
        <v>0</v>
      </c>
      <c r="T2819" s="304">
        <f t="shared" si="134"/>
        <v>0</v>
      </c>
      <c r="U2819" s="52"/>
      <c r="V2819" s="34"/>
      <c r="W2819" s="408"/>
    </row>
    <row r="2820" spans="1:23" ht="12.75" customHeight="1" x14ac:dyDescent="0.2">
      <c r="A2820" s="257">
        <v>2826</v>
      </c>
      <c r="B2820" s="44">
        <v>44589</v>
      </c>
      <c r="C2820" s="44">
        <f t="shared" ref="C2820:C2883" si="135">B2820</f>
        <v>44589</v>
      </c>
      <c r="D2820" s="374">
        <v>22</v>
      </c>
      <c r="E2820" s="291" t="str">
        <f>IFERROR(VLOOKUP($D2820,'Clients-Live'!$A:$C,3,0),"")</f>
        <v>DATA ISMAIL FATARI</v>
      </c>
      <c r="F2820" s="291">
        <v>2</v>
      </c>
      <c r="G2820" s="34">
        <v>381</v>
      </c>
      <c r="H2820" s="34">
        <v>4611</v>
      </c>
      <c r="I2820" s="34" t="s">
        <v>1359</v>
      </c>
      <c r="J2820" s="48"/>
      <c r="K2820" s="48"/>
      <c r="L2820" s="48"/>
      <c r="M2820" s="48"/>
      <c r="N2820" s="59"/>
      <c r="O2820" s="59">
        <v>15000</v>
      </c>
      <c r="P2820" s="59"/>
      <c r="Q2820" s="268">
        <f t="shared" si="133"/>
        <v>15000</v>
      </c>
      <c r="R2820" s="61">
        <f>IF(O2820=0,0,SUMIFS(Disbursements!$T:$T,Disbursements!$B:$B,'Live Collections'!D2820,Disbursements!$D:$D,'Live Collections'!F2820))</f>
        <v>210000</v>
      </c>
      <c r="S2820" s="304">
        <f>IF(O2820&lt;=IF($O2820=0,0,SUMIFS(Disbursements!$W:$W,Disbursements!$B:$B,'Live Collections'!D301,Disbursements!$D:$D,'Live Collections'!F301)),O2820,IF($O2820=0,0,SUMIFS(Disbursements!$W:$W,Disbursements!$B:$B,'Live Collections'!D301,Disbursements!$D:$D,'Live Collections'!F301)))</f>
        <v>15000</v>
      </c>
      <c r="T2820" s="304">
        <f t="shared" si="134"/>
        <v>0</v>
      </c>
      <c r="U2820" s="52"/>
      <c r="V2820" s="34"/>
      <c r="W2820" s="408"/>
    </row>
    <row r="2821" spans="1:23" ht="12.75" customHeight="1" x14ac:dyDescent="0.2">
      <c r="A2821" s="257">
        <v>2822</v>
      </c>
      <c r="B2821" s="44">
        <v>44589</v>
      </c>
      <c r="C2821" s="44">
        <f t="shared" si="135"/>
        <v>44589</v>
      </c>
      <c r="D2821" s="374">
        <v>52</v>
      </c>
      <c r="E2821" s="291" t="str">
        <f>IFERROR(VLOOKUP($D2821,'Clients-Live'!$A:$C,3,0),"")</f>
        <v>EDEZU PEACE IRENE</v>
      </c>
      <c r="F2821" s="291">
        <f>IFERROR(INDEX(Disbursements!$D:$D,MATCH('Live Collections'!G2821,Disbursements!$C:$C,0)),"")</f>
        <v>2</v>
      </c>
      <c r="G2821" s="34">
        <v>275</v>
      </c>
      <c r="H2821" s="34">
        <v>4619</v>
      </c>
      <c r="I2821" s="34" t="s">
        <v>1357</v>
      </c>
      <c r="J2821" s="48"/>
      <c r="K2821" s="48"/>
      <c r="L2821" s="48"/>
      <c r="M2821" s="48"/>
      <c r="N2821" s="59"/>
      <c r="O2821" s="59">
        <v>150000</v>
      </c>
      <c r="P2821" s="59"/>
      <c r="Q2821" s="268">
        <f t="shared" si="133"/>
        <v>150000</v>
      </c>
      <c r="R2821" s="61">
        <f>IF(O2821=0,0,SUMIFS(Disbursements!$T:$T,Disbursements!$B:$B,'Live Collections'!D2821,Disbursements!$D:$D,'Live Collections'!F2821))</f>
        <v>150000</v>
      </c>
      <c r="S2821" s="304">
        <f>IF(O2821&lt;=IF($O2821=0,0,SUMIFS(Disbursements!$W:$W,Disbursements!$B:$B,'Live Collections'!D614,Disbursements!$D:$D,'Live Collections'!F614)),O2821,IF($O2821=0,0,SUMIFS(Disbursements!$W:$W,Disbursements!$B:$B,'Live Collections'!D614,Disbursements!$D:$D,'Live Collections'!F614)))</f>
        <v>5000</v>
      </c>
      <c r="T2821" s="304">
        <f t="shared" si="134"/>
        <v>145000</v>
      </c>
      <c r="U2821" s="52"/>
      <c r="V2821" s="34"/>
      <c r="W2821" s="408"/>
    </row>
    <row r="2822" spans="1:23" ht="12.75" customHeight="1" x14ac:dyDescent="0.2">
      <c r="A2822" s="257">
        <v>2825</v>
      </c>
      <c r="B2822" s="44">
        <v>44589</v>
      </c>
      <c r="C2822" s="44">
        <f t="shared" si="135"/>
        <v>44589</v>
      </c>
      <c r="D2822" s="374">
        <v>54</v>
      </c>
      <c r="E2822" s="291" t="str">
        <f>IFERROR(VLOOKUP($D2822,'Clients-Live'!$A:$C,3,0),"")</f>
        <v>MANENO ANIFA</v>
      </c>
      <c r="F2822" s="291">
        <f>IFERROR(INDEX(Disbursements!$D:$D,MATCH('Live Collections'!G2822,Disbursements!$C:$C,0)),"")</f>
        <v>2</v>
      </c>
      <c r="G2822" s="34">
        <v>195</v>
      </c>
      <c r="H2822" s="34">
        <v>4612</v>
      </c>
      <c r="I2822" s="34" t="s">
        <v>1357</v>
      </c>
      <c r="J2822" s="48"/>
      <c r="K2822" s="48"/>
      <c r="L2822" s="48"/>
      <c r="M2822" s="48"/>
      <c r="N2822" s="59"/>
      <c r="O2822" s="59">
        <v>30000</v>
      </c>
      <c r="P2822" s="59"/>
      <c r="Q2822" s="268">
        <f t="shared" si="133"/>
        <v>30000</v>
      </c>
      <c r="R2822" s="61">
        <f>IF(O2822=0,0,SUMIFS(Disbursements!$T:$T,Disbursements!$B:$B,'Live Collections'!D2822,Disbursements!$D:$D,'Live Collections'!F2822))</f>
        <v>200000</v>
      </c>
      <c r="S2822" s="304">
        <f>IF(O2822&lt;=IF($O2822=0,0,SUMIFS(Disbursements!$W:$W,Disbursements!$B:$B,'Live Collections'!D644,Disbursements!$D:$D,'Live Collections'!F644)),O2822,IF($O2822=0,0,SUMIFS(Disbursements!$W:$W,Disbursements!$B:$B,'Live Collections'!D644,Disbursements!$D:$D,'Live Collections'!F644)))</f>
        <v>0</v>
      </c>
      <c r="T2822" s="304">
        <f t="shared" si="134"/>
        <v>30000</v>
      </c>
      <c r="U2822" s="52"/>
      <c r="V2822" s="34"/>
      <c r="W2822" s="408"/>
    </row>
    <row r="2823" spans="1:23" ht="12.75" customHeight="1" x14ac:dyDescent="0.2">
      <c r="A2823" s="257">
        <v>2828</v>
      </c>
      <c r="B2823" s="44">
        <v>44589</v>
      </c>
      <c r="C2823" s="44">
        <f t="shared" si="135"/>
        <v>44589</v>
      </c>
      <c r="D2823" s="374">
        <v>66</v>
      </c>
      <c r="E2823" s="291" t="str">
        <f>IFERROR(VLOOKUP($D2823,'Clients-Live'!$A:$C,3,0),"")</f>
        <v>DENAYA NYAMAZA</v>
      </c>
      <c r="F2823" s="291">
        <f>IFERROR(INDEX(Disbursements!$D:$D,MATCH('Live Collections'!G2823,Disbursements!$C:$C,0)),"")</f>
        <v>2</v>
      </c>
      <c r="G2823" s="34">
        <v>300</v>
      </c>
      <c r="H2823" s="34">
        <v>4620</v>
      </c>
      <c r="I2823" s="34" t="s">
        <v>1357</v>
      </c>
      <c r="J2823" s="48"/>
      <c r="K2823" s="48"/>
      <c r="L2823" s="48"/>
      <c r="M2823" s="48"/>
      <c r="N2823" s="59"/>
      <c r="O2823" s="59">
        <v>150000</v>
      </c>
      <c r="P2823" s="59"/>
      <c r="Q2823" s="268">
        <f t="shared" si="133"/>
        <v>150000</v>
      </c>
      <c r="R2823" s="61">
        <f>IF(O2823=0,0,SUMIFS(Disbursements!$T:$T,Disbursements!$B:$B,'Live Collections'!D2823,Disbursements!$D:$D,'Live Collections'!F2823))</f>
        <v>109000</v>
      </c>
      <c r="S2823" s="304">
        <f>IF(O2823&lt;=IF($O2823=0,0,SUMIFS(Disbursements!$W:$W,Disbursements!$B:$B,'Live Collections'!D822,Disbursements!$D:$D,'Live Collections'!F822)),O2823,IF($O2823=0,0,SUMIFS(Disbursements!$W:$W,Disbursements!$B:$B,'Live Collections'!D822,Disbursements!$D:$D,'Live Collections'!F822)))</f>
        <v>49333.333333333343</v>
      </c>
      <c r="T2823" s="304">
        <f t="shared" si="134"/>
        <v>100666.66666666666</v>
      </c>
      <c r="U2823" s="52"/>
      <c r="V2823" s="34"/>
      <c r="W2823" s="408"/>
    </row>
    <row r="2824" spans="1:23" ht="12.75" customHeight="1" x14ac:dyDescent="0.2">
      <c r="A2824" s="257">
        <v>2827</v>
      </c>
      <c r="B2824" s="44">
        <v>44589</v>
      </c>
      <c r="C2824" s="44">
        <f t="shared" si="135"/>
        <v>44589</v>
      </c>
      <c r="D2824" s="374">
        <v>76</v>
      </c>
      <c r="E2824" s="291" t="str">
        <f>IFERROR(VLOOKUP($D2824,'Clients-Live'!$A:$C,3,0),"")</f>
        <v>DAWA AISHA</v>
      </c>
      <c r="F2824" s="291">
        <f>IFERROR(INDEX(Disbursements!$D:$D,MATCH('Live Collections'!G2824,Disbursements!$C:$C,0)),"")</f>
        <v>2</v>
      </c>
      <c r="G2824" s="34">
        <v>187</v>
      </c>
      <c r="H2824" s="34">
        <v>4457</v>
      </c>
      <c r="I2824" s="34" t="s">
        <v>1358</v>
      </c>
      <c r="J2824" s="48"/>
      <c r="K2824" s="48"/>
      <c r="L2824" s="48"/>
      <c r="M2824" s="48"/>
      <c r="N2824" s="59"/>
      <c r="O2824" s="59">
        <v>130000</v>
      </c>
      <c r="P2824" s="59"/>
      <c r="Q2824" s="268">
        <f t="shared" si="133"/>
        <v>130000</v>
      </c>
      <c r="R2824" s="61">
        <f>IF(O2824=0,0,SUMIFS(Disbursements!$T:$T,Disbursements!$B:$B,'Live Collections'!D2824,Disbursements!$D:$D,'Live Collections'!F2824))</f>
        <v>180000</v>
      </c>
      <c r="S2824" s="304"/>
      <c r="T2824" s="304">
        <f t="shared" si="134"/>
        <v>130000</v>
      </c>
      <c r="U2824" s="52"/>
      <c r="V2824" s="34"/>
      <c r="W2824" s="408"/>
    </row>
    <row r="2825" spans="1:23" ht="12.75" customHeight="1" x14ac:dyDescent="0.2">
      <c r="A2825" s="257">
        <v>2823</v>
      </c>
      <c r="B2825" s="44">
        <v>44589</v>
      </c>
      <c r="C2825" s="44">
        <f t="shared" si="135"/>
        <v>44589</v>
      </c>
      <c r="D2825" s="374">
        <v>97</v>
      </c>
      <c r="E2825" s="291" t="str">
        <f>IFERROR(VLOOKUP($D2825,'Clients-Live'!$A:$C,3,0),"")</f>
        <v>DRANDUA JOB CHRISPUS</v>
      </c>
      <c r="F2825" s="291" t="str">
        <f>IFERROR(INDEX(Disbursements!$D:$D,MATCH('Live Collections'!G2825,Disbursements!$C:$C,0)),"")</f>
        <v/>
      </c>
      <c r="G2825" s="34"/>
      <c r="H2825" s="34">
        <v>4614</v>
      </c>
      <c r="I2825" s="34" t="s">
        <v>1359</v>
      </c>
      <c r="J2825" s="48"/>
      <c r="K2825" s="48">
        <v>5000</v>
      </c>
      <c r="L2825" s="48"/>
      <c r="M2825" s="48"/>
      <c r="N2825" s="59"/>
      <c r="O2825" s="59"/>
      <c r="P2825" s="59"/>
      <c r="Q2825" s="268">
        <f t="shared" si="133"/>
        <v>5000</v>
      </c>
      <c r="R2825" s="61">
        <f>IF(O2825=0,0,SUMIFS(Disbursements!$T:$T,Disbursements!$B:$B,'Live Collections'!D2825,Disbursements!$D:$D,'Live Collections'!F2825))</f>
        <v>0</v>
      </c>
      <c r="S2825" s="304">
        <f>IF(O2825&lt;=IF($O2825=0,0,SUMIFS(Disbursements!$W:$W,Disbursements!$B:$B,'Live Collections'!D1259,Disbursements!$D:$D,'Live Collections'!F1259)),O2825,IF($O2825=0,0,SUMIFS(Disbursements!$W:$W,Disbursements!$B:$B,'Live Collections'!D1259,Disbursements!$D:$D,'Live Collections'!F1259)))</f>
        <v>0</v>
      </c>
      <c r="T2825" s="304">
        <f t="shared" si="134"/>
        <v>0</v>
      </c>
      <c r="U2825" s="52"/>
      <c r="V2825" s="34"/>
      <c r="W2825" s="408"/>
    </row>
    <row r="2826" spans="1:23" ht="12.75" customHeight="1" x14ac:dyDescent="0.2">
      <c r="A2826" s="257">
        <v>2824</v>
      </c>
      <c r="B2826" s="44">
        <v>44589</v>
      </c>
      <c r="C2826" s="44">
        <f t="shared" si="135"/>
        <v>44589</v>
      </c>
      <c r="D2826" s="374">
        <v>97</v>
      </c>
      <c r="E2826" s="291" t="str">
        <f>IFERROR(VLOOKUP($D2826,'Clients-Live'!$A:$C,3,0),"")</f>
        <v>DRANDUA JOB CHRISPUS</v>
      </c>
      <c r="F2826" s="291" t="str">
        <f>IFERROR(INDEX(Disbursements!$D:$D,MATCH('Live Collections'!G2826,Disbursements!$C:$C,0)),"")</f>
        <v/>
      </c>
      <c r="G2826" s="34"/>
      <c r="H2826" s="34">
        <v>4613</v>
      </c>
      <c r="I2826" s="34" t="s">
        <v>1359</v>
      </c>
      <c r="J2826" s="48"/>
      <c r="K2826" s="48"/>
      <c r="L2826" s="48">
        <v>30000</v>
      </c>
      <c r="M2826" s="48">
        <v>5000</v>
      </c>
      <c r="N2826" s="59"/>
      <c r="O2826" s="59"/>
      <c r="P2826" s="59"/>
      <c r="Q2826" s="268">
        <f t="shared" si="133"/>
        <v>35000</v>
      </c>
      <c r="R2826" s="61">
        <f>IF(O2826=0,0,SUMIFS(Disbursements!$T:$T,Disbursements!$B:$B,'Live Collections'!D2826,Disbursements!$D:$D,'Live Collections'!F2826))</f>
        <v>0</v>
      </c>
      <c r="S2826" s="304">
        <f>IF(O2826&lt;=IF($O2826=0,0,SUMIFS(Disbursements!$W:$W,Disbursements!$B:$B,'Live Collections'!D1260,Disbursements!$D:$D,'Live Collections'!F1260)),O2826,IF($O2826=0,0,SUMIFS(Disbursements!$W:$W,Disbursements!$B:$B,'Live Collections'!D1260,Disbursements!$D:$D,'Live Collections'!F1260)))</f>
        <v>0</v>
      </c>
      <c r="T2826" s="304">
        <f t="shared" si="134"/>
        <v>0</v>
      </c>
      <c r="U2826" s="52"/>
      <c r="V2826" s="34"/>
      <c r="W2826" s="408"/>
    </row>
    <row r="2827" spans="1:23" ht="12.75" customHeight="1" x14ac:dyDescent="0.2">
      <c r="A2827" s="257">
        <v>2820</v>
      </c>
      <c r="B2827" s="44">
        <v>44589</v>
      </c>
      <c r="C2827" s="44">
        <f t="shared" si="135"/>
        <v>44589</v>
      </c>
      <c r="D2827" s="374">
        <v>116</v>
      </c>
      <c r="E2827" s="291" t="str">
        <f>IFERROR(VLOOKUP($D2827,'Clients-Live'!$A:$C,3,0),"")</f>
        <v>ONZIA LUCY</v>
      </c>
      <c r="F2827" s="291">
        <f>IFERROR(INDEX(Disbursements!$D:$D,MATCH('Live Collections'!G2827,Disbursements!$C:$C,0)),"")</f>
        <v>3</v>
      </c>
      <c r="G2827" s="34">
        <v>361</v>
      </c>
      <c r="H2827" s="34">
        <v>4615</v>
      </c>
      <c r="I2827" s="34" t="s">
        <v>1357</v>
      </c>
      <c r="J2827" s="48"/>
      <c r="K2827" s="48"/>
      <c r="L2827" s="48"/>
      <c r="M2827" s="48"/>
      <c r="N2827" s="59"/>
      <c r="O2827" s="59">
        <v>40000</v>
      </c>
      <c r="P2827" s="59"/>
      <c r="Q2827" s="268">
        <f t="shared" si="133"/>
        <v>40000</v>
      </c>
      <c r="R2827" s="61">
        <f>IF(O2827=0,0,SUMIFS(Disbursements!$T:$T,Disbursements!$B:$B,'Live Collections'!D2827,Disbursements!$D:$D,'Live Collections'!F2827))</f>
        <v>120000</v>
      </c>
      <c r="S2827" s="304">
        <f>IF(O2827&lt;=IF($O2827=0,0,SUMIFS(Disbursements!$W:$W,Disbursements!$B:$B,'Live Collections'!D1514,Disbursements!$D:$D,'Live Collections'!F1514)),O2827,IF($O2827=0,0,SUMIFS(Disbursements!$W:$W,Disbursements!$B:$B,'Live Collections'!D1514,Disbursements!$D:$D,'Live Collections'!F1514)))</f>
        <v>38000</v>
      </c>
      <c r="T2827" s="304">
        <f t="shared" si="134"/>
        <v>2000</v>
      </c>
      <c r="U2827" s="52"/>
      <c r="V2827" s="34"/>
      <c r="W2827" s="408"/>
    </row>
    <row r="2828" spans="1:23" ht="12.75" customHeight="1" x14ac:dyDescent="0.2">
      <c r="A2828" s="257">
        <v>2821</v>
      </c>
      <c r="B2828" s="44">
        <v>44589</v>
      </c>
      <c r="C2828" s="44">
        <f t="shared" si="135"/>
        <v>44589</v>
      </c>
      <c r="D2828" s="374">
        <v>136</v>
      </c>
      <c r="E2828" s="291" t="str">
        <f>IFERROR(VLOOKUP($D2828,'Clients-Live'!$A:$C,3,0),"")</f>
        <v>LEMERIGA GODWILL JOSEPH</v>
      </c>
      <c r="F2828" s="291">
        <f>IFERROR(INDEX(Disbursements!$D:$D,MATCH('Live Collections'!G2828,Disbursements!$C:$C,0)),"")</f>
        <v>2</v>
      </c>
      <c r="G2828" s="34">
        <v>234</v>
      </c>
      <c r="H2828" s="34">
        <v>4617</v>
      </c>
      <c r="I2828" s="34" t="s">
        <v>1357</v>
      </c>
      <c r="J2828" s="48"/>
      <c r="K2828" s="48"/>
      <c r="L2828" s="48"/>
      <c r="M2828" s="48"/>
      <c r="N2828" s="59"/>
      <c r="O2828" s="59">
        <v>150000</v>
      </c>
      <c r="P2828" s="59"/>
      <c r="Q2828" s="268">
        <f t="shared" si="133"/>
        <v>150000</v>
      </c>
      <c r="R2828" s="61">
        <f>IF(O2828=0,0,SUMIFS(Disbursements!$T:$T,Disbursements!$B:$B,'Live Collections'!D2828,Disbursements!$D:$D,'Live Collections'!F2828))</f>
        <v>150000</v>
      </c>
      <c r="S2828" s="304">
        <v>135000</v>
      </c>
      <c r="T2828" s="304">
        <f t="shared" si="134"/>
        <v>15000</v>
      </c>
      <c r="U2828" s="52"/>
      <c r="V2828" s="34"/>
      <c r="W2828" s="408"/>
    </row>
    <row r="2829" spans="1:23" ht="12.75" customHeight="1" x14ac:dyDescent="0.2">
      <c r="A2829" s="257">
        <v>2829</v>
      </c>
      <c r="B2829" s="44">
        <v>44589</v>
      </c>
      <c r="C2829" s="44">
        <f t="shared" si="135"/>
        <v>44589</v>
      </c>
      <c r="D2829" s="374">
        <v>144</v>
      </c>
      <c r="E2829" s="291" t="str">
        <f>IFERROR(VLOOKUP($D2829,'Clients-Live'!$A:$C,3,0),"")</f>
        <v>GBENINGA RUKIA</v>
      </c>
      <c r="F2829" s="291">
        <f>IFERROR(INDEX(Disbursements!$D:$D,MATCH('Live Collections'!G2829,Disbursements!$C:$C,0)),"")</f>
        <v>1</v>
      </c>
      <c r="G2829" s="34">
        <v>131</v>
      </c>
      <c r="H2829" s="34">
        <v>4621</v>
      </c>
      <c r="I2829" s="34" t="s">
        <v>1359</v>
      </c>
      <c r="J2829" s="48"/>
      <c r="K2829" s="48"/>
      <c r="L2829" s="48"/>
      <c r="M2829" s="48"/>
      <c r="N2829" s="59"/>
      <c r="O2829" s="59">
        <v>20000</v>
      </c>
      <c r="P2829" s="59"/>
      <c r="Q2829" s="268">
        <f t="shared" si="133"/>
        <v>20000</v>
      </c>
      <c r="R2829" s="61">
        <f>IF(O2829=0,0,SUMIFS(Disbursements!$T:$T,Disbursements!$B:$B,'Live Collections'!D2829,Disbursements!$D:$D,'Live Collections'!F2829))</f>
        <v>125000</v>
      </c>
      <c r="S2829" s="304"/>
      <c r="T2829" s="304">
        <f t="shared" si="134"/>
        <v>20000</v>
      </c>
      <c r="U2829" s="52"/>
      <c r="V2829" s="34"/>
      <c r="W2829" s="408"/>
    </row>
    <row r="2830" spans="1:23" ht="12.75" customHeight="1" x14ac:dyDescent="0.2">
      <c r="A2830" s="257">
        <v>2830</v>
      </c>
      <c r="B2830" s="44">
        <v>44589</v>
      </c>
      <c r="C2830" s="44">
        <f t="shared" si="135"/>
        <v>44589</v>
      </c>
      <c r="D2830" s="374">
        <v>303</v>
      </c>
      <c r="E2830" s="291" t="str">
        <f>IFERROR(VLOOKUP($D2830,'Clients-Live'!$A:$C,3,0),"")</f>
        <v>APAYI DOROTHY</v>
      </c>
      <c r="F2830" s="291">
        <f>IFERROR(INDEX(Disbursements!$D:$D,MATCH('Live Collections'!G2830,Disbursements!$C:$C,0)),"")</f>
        <v>1</v>
      </c>
      <c r="G2830" s="34">
        <v>399</v>
      </c>
      <c r="H2830" s="34">
        <v>4460</v>
      </c>
      <c r="I2830" s="34" t="s">
        <v>1359</v>
      </c>
      <c r="J2830" s="48"/>
      <c r="K2830" s="48"/>
      <c r="L2830" s="48"/>
      <c r="M2830" s="48"/>
      <c r="N2830" s="59"/>
      <c r="O2830" s="59">
        <v>40000</v>
      </c>
      <c r="P2830" s="59"/>
      <c r="Q2830" s="268">
        <f t="shared" si="133"/>
        <v>40000</v>
      </c>
      <c r="R2830" s="61">
        <f>IF(O2830=0,0,SUMIFS(Disbursements!$T:$T,Disbursements!$B:$B,'Live Collections'!D2830,Disbursements!$D:$D,'Live Collections'!F2830))</f>
        <v>40000</v>
      </c>
      <c r="S2830" s="304">
        <f>IF(O2830&lt;=IF($O2830=0,0,SUMIFS(Disbursements!$W:$W,Disbursements!$B:$B,'Live Collections'!D3090,Disbursements!$D:$D,'Live Collections'!F3090)),O2830,IF($O2830=0,0,SUMIFS(Disbursements!$W:$W,Disbursements!$B:$B,'Live Collections'!D3090,Disbursements!$D:$D,'Live Collections'!F3090)))</f>
        <v>40000</v>
      </c>
      <c r="T2830" s="304">
        <f t="shared" si="134"/>
        <v>0</v>
      </c>
      <c r="U2830" s="52"/>
      <c r="V2830" s="34"/>
      <c r="W2830" s="408"/>
    </row>
    <row r="2831" spans="1:23" ht="12.75" customHeight="1" x14ac:dyDescent="0.2">
      <c r="A2831" s="257">
        <v>2835</v>
      </c>
      <c r="B2831" s="44">
        <v>44590</v>
      </c>
      <c r="C2831" s="44">
        <f t="shared" si="135"/>
        <v>44590</v>
      </c>
      <c r="D2831" s="374">
        <v>6</v>
      </c>
      <c r="E2831" s="291" t="str">
        <f>IFERROR(VLOOKUP($D2831,'Clients-Live'!$A:$C,3,0),"")</f>
        <v>AMUTE BASHIR</v>
      </c>
      <c r="F2831" s="291">
        <f>IFERROR(INDEX(Disbursements!$D:$D,MATCH('Live Collections'!G2831,Disbursements!$C:$C,0)),"")</f>
        <v>3</v>
      </c>
      <c r="G2831" s="34">
        <v>418</v>
      </c>
      <c r="H2831" s="34">
        <v>4625</v>
      </c>
      <c r="I2831" s="34" t="s">
        <v>1358</v>
      </c>
      <c r="J2831" s="48"/>
      <c r="K2831" s="48"/>
      <c r="L2831" s="48"/>
      <c r="M2831" s="48"/>
      <c r="N2831" s="59"/>
      <c r="O2831" s="59"/>
      <c r="P2831" s="59">
        <v>500000</v>
      </c>
      <c r="Q2831" s="268">
        <f t="shared" si="133"/>
        <v>500000</v>
      </c>
      <c r="R2831" s="61">
        <f>IF(O2831=0,0,SUMIFS(Disbursements!$T:$T,Disbursements!$B:$B,'Live Collections'!D2831,Disbursements!$D:$D,'Live Collections'!F2831))</f>
        <v>0</v>
      </c>
      <c r="S2831" s="304">
        <f>IF(O2831&lt;=IF($O2831=0,0,SUMIFS(Disbursements!$W:$W,Disbursements!$B:$B,'Live Collections'!D65,Disbursements!$D:$D,'Live Collections'!F65)),O2831,IF($O2831=0,0,SUMIFS(Disbursements!$W:$W,Disbursements!$B:$B,'Live Collections'!D65,Disbursements!$D:$D,'Live Collections'!F65)))</f>
        <v>0</v>
      </c>
      <c r="T2831" s="304">
        <f t="shared" si="134"/>
        <v>0</v>
      </c>
      <c r="U2831" s="52"/>
      <c r="V2831" s="34"/>
      <c r="W2831" s="408"/>
    </row>
    <row r="2832" spans="1:23" ht="12.75" customHeight="1" x14ac:dyDescent="0.2">
      <c r="A2832" s="257">
        <v>2834</v>
      </c>
      <c r="B2832" s="44">
        <v>44590</v>
      </c>
      <c r="C2832" s="44">
        <f t="shared" si="135"/>
        <v>44590</v>
      </c>
      <c r="D2832" s="374">
        <v>73</v>
      </c>
      <c r="E2832" s="291" t="str">
        <f>IFERROR(VLOOKUP($D2832,'Clients-Live'!$A:$C,3,0),"")</f>
        <v>AJONYE DEBORA</v>
      </c>
      <c r="F2832" s="291">
        <f>IFERROR(INDEX(Disbursements!$D:$D,MATCH('Live Collections'!G2832,Disbursements!$C:$C,0)),"")</f>
        <v>2</v>
      </c>
      <c r="G2832" s="34">
        <v>240</v>
      </c>
      <c r="H2832" s="34">
        <v>4631</v>
      </c>
      <c r="I2832" s="34" t="s">
        <v>1357</v>
      </c>
      <c r="J2832" s="48"/>
      <c r="K2832" s="48"/>
      <c r="L2832" s="48"/>
      <c r="M2832" s="48"/>
      <c r="N2832" s="59"/>
      <c r="O2832" s="59">
        <v>150000</v>
      </c>
      <c r="P2832" s="59"/>
      <c r="Q2832" s="268">
        <f t="shared" si="133"/>
        <v>150000</v>
      </c>
      <c r="R2832" s="61">
        <f>IF(O2832=0,0,SUMIFS(Disbursements!$T:$T,Disbursements!$B:$B,'Live Collections'!D2832,Disbursements!$D:$D,'Live Collections'!F2832))</f>
        <v>150000</v>
      </c>
      <c r="S2832" s="304">
        <f>IF(O2832&lt;=IF($O2832=0,0,SUMIFS(Disbursements!$W:$W,Disbursements!$B:$B,'Live Collections'!D927,Disbursements!$D:$D,'Live Collections'!F927)),O2832,IF($O2832=0,0,SUMIFS(Disbursements!$W:$W,Disbursements!$B:$B,'Live Collections'!D927,Disbursements!$D:$D,'Live Collections'!F927)))</f>
        <v>15000</v>
      </c>
      <c r="T2832" s="304">
        <f t="shared" si="134"/>
        <v>135000</v>
      </c>
      <c r="U2832" s="52"/>
      <c r="V2832" s="34"/>
      <c r="W2832" s="408"/>
    </row>
    <row r="2833" spans="1:23" ht="12.75" customHeight="1" x14ac:dyDescent="0.2">
      <c r="A2833" s="257">
        <v>2836</v>
      </c>
      <c r="B2833" s="44">
        <v>44590</v>
      </c>
      <c r="C2833" s="44">
        <f t="shared" si="135"/>
        <v>44590</v>
      </c>
      <c r="D2833" s="374">
        <v>113</v>
      </c>
      <c r="E2833" s="291" t="str">
        <f>IFERROR(VLOOKUP($D2833,'Clients-Live'!$A:$C,3,0),"")</f>
        <v>ATIKU AMULE ISAAC</v>
      </c>
      <c r="F2833" s="291">
        <f>IFERROR(INDEX(Disbursements!$D:$D,MATCH('Live Collections'!G2833,Disbursements!$C:$C,0)),"")</f>
        <v>2</v>
      </c>
      <c r="G2833" s="34">
        <v>263</v>
      </c>
      <c r="H2833" s="34">
        <v>4502</v>
      </c>
      <c r="I2833" s="34" t="s">
        <v>1358</v>
      </c>
      <c r="J2833" s="48"/>
      <c r="K2833" s="48"/>
      <c r="L2833" s="48"/>
      <c r="M2833" s="48"/>
      <c r="N2833" s="59"/>
      <c r="O2833" s="59">
        <v>150000</v>
      </c>
      <c r="P2833" s="59"/>
      <c r="Q2833" s="268">
        <f t="shared" si="133"/>
        <v>150000</v>
      </c>
      <c r="R2833" s="61">
        <f>IF(O2833=0,0,SUMIFS(Disbursements!$T:$T,Disbursements!$B:$B,'Live Collections'!D2833,Disbursements!$D:$D,'Live Collections'!F2833))</f>
        <v>152000</v>
      </c>
      <c r="S2833" s="304">
        <f>IF(O2833&lt;=IF($O2833=0,0,SUMIFS(Disbursements!$W:$W,Disbursements!$B:$B,'Live Collections'!D3026,Disbursements!$D:$D,'Live Collections'!F3026)),O2833,IF($O2833=0,0,SUMIFS(Disbursements!$W:$W,Disbursements!$B:$B,'Live Collections'!D3026,Disbursements!$D:$D,'Live Collections'!F3026)))</f>
        <v>150000</v>
      </c>
      <c r="T2833" s="304">
        <f t="shared" si="134"/>
        <v>0</v>
      </c>
      <c r="U2833" s="52"/>
      <c r="V2833" s="34"/>
      <c r="W2833" s="408"/>
    </row>
    <row r="2834" spans="1:23" ht="12.75" customHeight="1" x14ac:dyDescent="0.2">
      <c r="A2834" s="257">
        <v>2839</v>
      </c>
      <c r="B2834" s="44">
        <v>44590</v>
      </c>
      <c r="C2834" s="44">
        <f t="shared" si="135"/>
        <v>44590</v>
      </c>
      <c r="D2834" s="374">
        <v>159</v>
      </c>
      <c r="E2834" s="291" t="str">
        <f>IFERROR(VLOOKUP($D2834,'Clients-Live'!$A:$C,3,0),"")</f>
        <v>ALICE AMINA</v>
      </c>
      <c r="F2834" s="291">
        <f>IFERROR(INDEX(Disbursements!$D:$D,MATCH('Live Collections'!G2834,Disbursements!$C:$C,0)),"")</f>
        <v>1</v>
      </c>
      <c r="G2834" s="34">
        <v>150</v>
      </c>
      <c r="H2834" s="34">
        <v>4501</v>
      </c>
      <c r="I2834" s="34" t="s">
        <v>1358</v>
      </c>
      <c r="J2834" s="48"/>
      <c r="K2834" s="48"/>
      <c r="L2834" s="48"/>
      <c r="M2834" s="48"/>
      <c r="N2834" s="59"/>
      <c r="O2834" s="59">
        <v>30000</v>
      </c>
      <c r="P2834" s="59"/>
      <c r="Q2834" s="268">
        <f t="shared" si="133"/>
        <v>30000</v>
      </c>
      <c r="R2834" s="61">
        <f>IF(O2834=0,0,SUMIFS(Disbursements!$T:$T,Disbursements!$B:$B,'Live Collections'!D2834,Disbursements!$D:$D,'Live Collections'!F2834))</f>
        <v>150000</v>
      </c>
      <c r="S2834" s="304"/>
      <c r="T2834" s="304">
        <f t="shared" si="134"/>
        <v>30000</v>
      </c>
      <c r="U2834" s="52"/>
      <c r="V2834" s="34"/>
      <c r="W2834" s="408"/>
    </row>
    <row r="2835" spans="1:23" ht="12.75" customHeight="1" x14ac:dyDescent="0.2">
      <c r="A2835" s="257">
        <v>2833</v>
      </c>
      <c r="B2835" s="44">
        <v>44590</v>
      </c>
      <c r="C2835" s="44">
        <f t="shared" si="135"/>
        <v>44590</v>
      </c>
      <c r="D2835" s="374">
        <v>201</v>
      </c>
      <c r="E2835" s="291" t="str">
        <f>IFERROR(VLOOKUP($D2835,'Clients-Live'!$A:$C,3,0),"")</f>
        <v>DALILI HASSAN</v>
      </c>
      <c r="F2835" s="291">
        <f>IFERROR(INDEX(Disbursements!$D:$D,MATCH('Live Collections'!G2835,Disbursements!$C:$C,0)),"")</f>
        <v>1</v>
      </c>
      <c r="G2835" s="34">
        <v>419</v>
      </c>
      <c r="H2835" s="34">
        <v>4628</v>
      </c>
      <c r="I2835" s="34" t="s">
        <v>1359</v>
      </c>
      <c r="J2835" s="48"/>
      <c r="K2835" s="48"/>
      <c r="L2835" s="48"/>
      <c r="M2835" s="48"/>
      <c r="N2835" s="59"/>
      <c r="O2835" s="59"/>
      <c r="P2835" s="59">
        <v>80000</v>
      </c>
      <c r="Q2835" s="268">
        <f t="shared" si="133"/>
        <v>80000</v>
      </c>
      <c r="R2835" s="61">
        <f>IF(O2835=0,0,SUMIFS(Disbursements!$T:$T,Disbursements!$B:$B,'Live Collections'!D2835,Disbursements!$D:$D,'Live Collections'!F2835))</f>
        <v>0</v>
      </c>
      <c r="S2835" s="304">
        <f>IF(O2835&lt;=IF($O2835=0,0,SUMIFS(Disbursements!$W:$W,Disbursements!$B:$B,'Live Collections'!D2396,Disbursements!$D:$D,'Live Collections'!F2396)),O2835,IF($O2835=0,0,SUMIFS(Disbursements!$W:$W,Disbursements!$B:$B,'Live Collections'!D2396,Disbursements!$D:$D,'Live Collections'!F2396)))</f>
        <v>0</v>
      </c>
      <c r="T2835" s="304">
        <f t="shared" si="134"/>
        <v>0</v>
      </c>
      <c r="U2835" s="52"/>
      <c r="V2835" s="34"/>
      <c r="W2835" s="408"/>
    </row>
    <row r="2836" spans="1:23" ht="12.75" customHeight="1" x14ac:dyDescent="0.2">
      <c r="A2836" s="257">
        <v>2840</v>
      </c>
      <c r="B2836" s="44">
        <v>44590</v>
      </c>
      <c r="C2836" s="44">
        <f t="shared" si="135"/>
        <v>44590</v>
      </c>
      <c r="D2836" s="374">
        <v>261</v>
      </c>
      <c r="E2836" s="291" t="str">
        <f>IFERROR(VLOOKUP($D2836,'Clients-Live'!$A:$C,3,0),"")</f>
        <v>AMANIYO STELLA</v>
      </c>
      <c r="F2836" s="291">
        <f>IFERROR(INDEX(Disbursements!$D:$D,MATCH('Live Collections'!G2836,Disbursements!$C:$C,0)),"")</f>
        <v>1</v>
      </c>
      <c r="G2836" s="34">
        <v>292</v>
      </c>
      <c r="H2836" s="34">
        <v>4622</v>
      </c>
      <c r="I2836" s="34" t="s">
        <v>1359</v>
      </c>
      <c r="J2836" s="48"/>
      <c r="K2836" s="48"/>
      <c r="L2836" s="48"/>
      <c r="M2836" s="48"/>
      <c r="N2836" s="59"/>
      <c r="O2836" s="59">
        <v>50000</v>
      </c>
      <c r="P2836" s="59"/>
      <c r="Q2836" s="268">
        <f t="shared" si="133"/>
        <v>50000</v>
      </c>
      <c r="R2836" s="61">
        <f>IF(O2836=0,0,SUMIFS(Disbursements!$T:$T,Disbursements!$B:$B,'Live Collections'!D2836,Disbursements!$D:$D,'Live Collections'!F2836))</f>
        <v>115000</v>
      </c>
      <c r="S2836" s="304">
        <f>IF(O2836&lt;=IF($O2836=0,0,SUMIFS(Disbursements!$W:$W,Disbursements!$B:$B,'Live Collections'!D2887,Disbursements!$D:$D,'Live Collections'!F2887)),O2836,IF($O2836=0,0,SUMIFS(Disbursements!$W:$W,Disbursements!$B:$B,'Live Collections'!D2887,Disbursements!$D:$D,'Live Collections'!F2887)))</f>
        <v>0</v>
      </c>
      <c r="T2836" s="304">
        <f t="shared" si="134"/>
        <v>50000</v>
      </c>
      <c r="U2836" s="52"/>
      <c r="V2836" s="34"/>
      <c r="W2836" s="408"/>
    </row>
    <row r="2837" spans="1:23" ht="12.75" customHeight="1" x14ac:dyDescent="0.2">
      <c r="A2837" s="257">
        <v>2838</v>
      </c>
      <c r="B2837" s="44">
        <v>44590</v>
      </c>
      <c r="C2837" s="44">
        <f t="shared" si="135"/>
        <v>44590</v>
      </c>
      <c r="D2837" s="374">
        <v>281</v>
      </c>
      <c r="E2837" s="291" t="str">
        <f>IFERROR(VLOOKUP($D2837,'Clients-Live'!$A:$C,3,0),"")</f>
        <v>BAKO ZUBEDA</v>
      </c>
      <c r="F2837" s="291">
        <f>IFERROR(INDEX(Disbursements!$D:$D,MATCH('Live Collections'!G2837,Disbursements!$C:$C,0)),"")</f>
        <v>1</v>
      </c>
      <c r="G2837" s="34">
        <v>406</v>
      </c>
      <c r="H2837" s="34">
        <v>4627</v>
      </c>
      <c r="I2837" s="34" t="s">
        <v>1359</v>
      </c>
      <c r="J2837" s="48"/>
      <c r="K2837" s="48"/>
      <c r="L2837" s="48"/>
      <c r="M2837" s="48"/>
      <c r="N2837" s="59"/>
      <c r="O2837" s="59">
        <v>27600</v>
      </c>
      <c r="P2837" s="59"/>
      <c r="Q2837" s="268">
        <f t="shared" si="133"/>
        <v>27600</v>
      </c>
      <c r="R2837" s="61">
        <f>IF(O2837=0,0,SUMIFS(Disbursements!$T:$T,Disbursements!$B:$B,'Live Collections'!D2837,Disbursements!$D:$D,'Live Collections'!F2837))</f>
        <v>28000</v>
      </c>
      <c r="S2837" s="304">
        <f>IF(O2837&lt;=IF($O2837=0,0,SUMIFS(Disbursements!$W:$W,Disbursements!$B:$B,'Live Collections'!D3009,Disbursements!$D:$D,'Live Collections'!F3009)),O2837,IF($O2837=0,0,SUMIFS(Disbursements!$W:$W,Disbursements!$B:$B,'Live Collections'!D3009,Disbursements!$D:$D,'Live Collections'!F3009)))</f>
        <v>8000</v>
      </c>
      <c r="T2837" s="304">
        <f t="shared" si="134"/>
        <v>19600</v>
      </c>
      <c r="U2837" s="52"/>
      <c r="V2837" s="34"/>
      <c r="W2837" s="408"/>
    </row>
    <row r="2838" spans="1:23" ht="12.75" customHeight="1" x14ac:dyDescent="0.2">
      <c r="A2838" s="257">
        <v>2831</v>
      </c>
      <c r="B2838" s="44">
        <v>44590</v>
      </c>
      <c r="C2838" s="44">
        <f t="shared" si="135"/>
        <v>44590</v>
      </c>
      <c r="D2838" s="374">
        <v>284</v>
      </c>
      <c r="E2838" s="291" t="str">
        <f>IFERROR(VLOOKUP($D2838,'Clients-Live'!$A:$C,3,0),"")</f>
        <v>MALISH WAWASON</v>
      </c>
      <c r="F2838" s="291" t="str">
        <f>IFERROR(INDEX(Disbursements!$D:$D,MATCH('Live Collections'!G2838,Disbursements!$C:$C,0)),"")</f>
        <v/>
      </c>
      <c r="G2838" s="34"/>
      <c r="H2838" s="34">
        <v>4633</v>
      </c>
      <c r="I2838" s="34" t="s">
        <v>1358</v>
      </c>
      <c r="J2838" s="48"/>
      <c r="K2838" s="48"/>
      <c r="L2838" s="48"/>
      <c r="M2838" s="48"/>
      <c r="N2838" s="59">
        <v>82000</v>
      </c>
      <c r="O2838" s="59"/>
      <c r="P2838" s="59"/>
      <c r="Q2838" s="268">
        <f t="shared" si="133"/>
        <v>82000</v>
      </c>
      <c r="R2838" s="61">
        <f>IF(O2838=0,0,SUMIFS(Disbursements!$T:$T,Disbursements!$B:$B,'Live Collections'!D2838,Disbursements!$D:$D,'Live Collections'!F2838))</f>
        <v>0</v>
      </c>
      <c r="S2838" s="304">
        <f>IF(O2838&lt;=IF($O2838=0,0,SUMIFS(Disbursements!$W:$W,Disbursements!$B:$B,'Live Collections'!D3018,Disbursements!$D:$D,'Live Collections'!F3018)),O2838,IF($O2838=0,0,SUMIFS(Disbursements!$W:$W,Disbursements!$B:$B,'Live Collections'!D3018,Disbursements!$D:$D,'Live Collections'!F3018)))</f>
        <v>0</v>
      </c>
      <c r="T2838" s="304">
        <f t="shared" si="134"/>
        <v>0</v>
      </c>
      <c r="U2838" s="52"/>
      <c r="V2838" s="34"/>
      <c r="W2838" s="408"/>
    </row>
    <row r="2839" spans="1:23" ht="12.75" customHeight="1" x14ac:dyDescent="0.2">
      <c r="A2839" s="257">
        <v>2832</v>
      </c>
      <c r="B2839" s="44">
        <v>44590</v>
      </c>
      <c r="C2839" s="44">
        <f t="shared" si="135"/>
        <v>44590</v>
      </c>
      <c r="D2839" s="374">
        <v>284</v>
      </c>
      <c r="E2839" s="291" t="str">
        <f>IFERROR(VLOOKUP($D2839,'Clients-Live'!$A:$C,3,0),"")</f>
        <v>MALISH WAWASON</v>
      </c>
      <c r="F2839" s="291">
        <f>IFERROR(INDEX(Disbursements!$D:$D,MATCH('Live Collections'!G2839,Disbursements!$C:$C,0)),"")</f>
        <v>1</v>
      </c>
      <c r="G2839" s="34">
        <v>338</v>
      </c>
      <c r="H2839" s="34">
        <v>4634</v>
      </c>
      <c r="I2839" s="34" t="s">
        <v>1358</v>
      </c>
      <c r="J2839" s="48"/>
      <c r="K2839" s="48"/>
      <c r="L2839" s="48"/>
      <c r="M2839" s="48"/>
      <c r="N2839" s="59"/>
      <c r="O2839" s="59">
        <v>218000</v>
      </c>
      <c r="P2839" s="59"/>
      <c r="Q2839" s="268">
        <f t="shared" si="133"/>
        <v>218000</v>
      </c>
      <c r="R2839" s="61">
        <f>IF(O2839=0,0,SUMIFS(Disbursements!$T:$T,Disbursements!$B:$B,'Live Collections'!D2839,Disbursements!$D:$D,'Live Collections'!F2839))</f>
        <v>1150000</v>
      </c>
      <c r="S2839" s="304">
        <f>IF(O2839&lt;=IF($O2839=0,0,SUMIFS(Disbursements!$W:$W,Disbursements!$B:$B,'Live Collections'!D3019,Disbursements!$D:$D,'Live Collections'!F3019)),O2839,IF($O2839=0,0,SUMIFS(Disbursements!$W:$W,Disbursements!$B:$B,'Live Collections'!D3019,Disbursements!$D:$D,'Live Collections'!F3019)))</f>
        <v>40000</v>
      </c>
      <c r="T2839" s="304">
        <f t="shared" si="134"/>
        <v>178000</v>
      </c>
      <c r="U2839" s="52"/>
      <c r="V2839" s="34"/>
      <c r="W2839" s="408"/>
    </row>
    <row r="2840" spans="1:23" ht="12.75" customHeight="1" x14ac:dyDescent="0.2">
      <c r="A2840" s="257">
        <v>2841</v>
      </c>
      <c r="B2840" s="44">
        <v>44590</v>
      </c>
      <c r="C2840" s="44">
        <f t="shared" si="135"/>
        <v>44590</v>
      </c>
      <c r="D2840" s="374">
        <v>292</v>
      </c>
      <c r="E2840" s="291" t="str">
        <f>IFERROR(VLOOKUP($D2840,'Clients-Live'!$A:$C,3,0),"")</f>
        <v>AFEKU DENIS</v>
      </c>
      <c r="F2840" s="291">
        <f>IFERROR(INDEX(Disbursements!$D:$D,MATCH('Live Collections'!G2840,Disbursements!$C:$C,0)),"")</f>
        <v>1</v>
      </c>
      <c r="G2840" s="34">
        <v>368</v>
      </c>
      <c r="H2840" s="34">
        <v>4623</v>
      </c>
      <c r="I2840" s="34" t="s">
        <v>1359</v>
      </c>
      <c r="J2840" s="48"/>
      <c r="K2840" s="48"/>
      <c r="L2840" s="48"/>
      <c r="M2840" s="48"/>
      <c r="N2840" s="59"/>
      <c r="O2840" s="59">
        <v>1000000</v>
      </c>
      <c r="P2840" s="59"/>
      <c r="Q2840" s="268">
        <f t="shared" si="133"/>
        <v>1000000</v>
      </c>
      <c r="R2840" s="61">
        <f>IF(O2840=0,0,SUMIFS(Disbursements!$T:$T,Disbursements!$B:$B,'Live Collections'!D2840,Disbursements!$D:$D,'Live Collections'!F2840))</f>
        <v>2600000</v>
      </c>
      <c r="S2840" s="304">
        <f>IF(O2840&lt;=IF($O2840=0,0,SUMIFS(Disbursements!$W:$W,Disbursements!$B:$B,'Live Collections'!D3053,Disbursements!$D:$D,'Live Collections'!F3053)),O2840,IF($O2840=0,0,SUMIFS(Disbursements!$W:$W,Disbursements!$B:$B,'Live Collections'!D3053,Disbursements!$D:$D,'Live Collections'!F3053)))</f>
        <v>0</v>
      </c>
      <c r="T2840" s="304">
        <f t="shared" si="134"/>
        <v>1000000</v>
      </c>
      <c r="U2840" s="52"/>
      <c r="V2840" s="34"/>
      <c r="W2840" s="408"/>
    </row>
    <row r="2841" spans="1:23" ht="12.75" customHeight="1" x14ac:dyDescent="0.2">
      <c r="A2841" s="257">
        <v>2837</v>
      </c>
      <c r="B2841" s="44">
        <v>44590</v>
      </c>
      <c r="C2841" s="44">
        <f t="shared" si="135"/>
        <v>44590</v>
      </c>
      <c r="D2841" s="374">
        <v>318</v>
      </c>
      <c r="E2841" s="291" t="str">
        <f>IFERROR(VLOOKUP($D2841,'Clients-Live'!$A:$C,3,0),"")</f>
        <v>ARUBE PETER</v>
      </c>
      <c r="F2841" s="291">
        <f>IFERROR(INDEX(Disbursements!$D:$D,MATCH('Live Collections'!G2841,Disbursements!$C:$C,0)),"")</f>
        <v>1</v>
      </c>
      <c r="G2841" s="34">
        <v>417</v>
      </c>
      <c r="H2841" s="34">
        <v>4624</v>
      </c>
      <c r="I2841" s="34" t="s">
        <v>1359</v>
      </c>
      <c r="J2841" s="48"/>
      <c r="K2841" s="48"/>
      <c r="L2841" s="48"/>
      <c r="M2841" s="48"/>
      <c r="N2841" s="59"/>
      <c r="O2841" s="59"/>
      <c r="P2841" s="59">
        <v>70000</v>
      </c>
      <c r="Q2841" s="268">
        <f t="shared" si="133"/>
        <v>70000</v>
      </c>
      <c r="R2841" s="61">
        <f>IF(O2841=0,0,SUMIFS(Disbursements!$T:$T,Disbursements!$B:$B,'Live Collections'!D2841,Disbursements!$D:$D,'Live Collections'!F2841))</f>
        <v>0</v>
      </c>
      <c r="S2841" s="304">
        <f>IF(O2841&lt;=IF($O2841=0,0,SUMIFS(Disbursements!$W:$W,Disbursements!$B:$B,'Live Collections'!D3154,Disbursements!$D:$D,'Live Collections'!F3154)),O2841,IF($O2841=0,0,SUMIFS(Disbursements!$W:$W,Disbursements!$B:$B,'Live Collections'!D3154,Disbursements!$D:$D,'Live Collections'!F3154)))</f>
        <v>0</v>
      </c>
      <c r="T2841" s="304">
        <f t="shared" si="134"/>
        <v>0</v>
      </c>
      <c r="U2841" s="52"/>
      <c r="V2841" s="34"/>
      <c r="W2841" s="408"/>
    </row>
    <row r="2842" spans="1:23" ht="12.75" customHeight="1" x14ac:dyDescent="0.2">
      <c r="A2842" s="257">
        <v>2848</v>
      </c>
      <c r="B2842" s="44">
        <v>44592</v>
      </c>
      <c r="C2842" s="44">
        <f t="shared" si="135"/>
        <v>44592</v>
      </c>
      <c r="D2842" s="374">
        <v>3</v>
      </c>
      <c r="E2842" s="291" t="str">
        <f>IFERROR(VLOOKUP($D2842,'Clients-Live'!$A:$C,3,0),"")</f>
        <v>YEKA ARIJABU</v>
      </c>
      <c r="F2842" s="291">
        <f>IFERROR(INDEX(Disbursements!$D:$D,MATCH('Live Collections'!G2842,Disbursements!$C:$C,0)),"")</f>
        <v>1</v>
      </c>
      <c r="G2842" s="34">
        <v>227</v>
      </c>
      <c r="H2842" s="34">
        <v>4647</v>
      </c>
      <c r="I2842" s="34" t="s">
        <v>1357</v>
      </c>
      <c r="J2842" s="48"/>
      <c r="K2842" s="48"/>
      <c r="L2842" s="48"/>
      <c r="M2842" s="48"/>
      <c r="N2842" s="59"/>
      <c r="O2842" s="59">
        <v>195000</v>
      </c>
      <c r="P2842" s="59"/>
      <c r="Q2842" s="268">
        <f t="shared" si="133"/>
        <v>195000</v>
      </c>
      <c r="R2842" s="61">
        <f>IF(O2842=0,0,SUMIFS(Disbursements!$T:$T,Disbursements!$B:$B,'Live Collections'!D2842,Disbursements!$D:$D,'Live Collections'!F2842))</f>
        <v>325000</v>
      </c>
      <c r="S2842" s="304">
        <f>IF(O2842&lt;=IF($O2842=0,0,SUMIFS(Disbursements!$W:$W,Disbursements!$B:$B,'Live Collections'!D1471,Disbursements!$D:$D,'Live Collections'!F1471)),O2842,IF($O2842=0,0,SUMIFS(Disbursements!$W:$W,Disbursements!$B:$B,'Live Collections'!D1471,Disbursements!$D:$D,'Live Collections'!F1471)))</f>
        <v>35000</v>
      </c>
      <c r="T2842" s="304">
        <f t="shared" si="134"/>
        <v>160000</v>
      </c>
      <c r="U2842" s="52"/>
      <c r="V2842" s="34"/>
      <c r="W2842" s="408"/>
    </row>
    <row r="2843" spans="1:23" ht="12.75" customHeight="1" x14ac:dyDescent="0.2">
      <c r="A2843" s="257">
        <v>2869</v>
      </c>
      <c r="B2843" s="44">
        <v>44592</v>
      </c>
      <c r="C2843" s="44">
        <f t="shared" si="135"/>
        <v>44592</v>
      </c>
      <c r="D2843" s="374">
        <v>15</v>
      </c>
      <c r="E2843" s="291" t="str">
        <f>IFERROR(VLOOKUP($D2843,'Clients-Live'!$A:$C,3,0),"")</f>
        <v>NATOSHA LUCY</v>
      </c>
      <c r="F2843" s="291">
        <f>IFERROR(INDEX(Disbursements!$D:$D,MATCH('Live Collections'!G2843,Disbursements!$C:$C,0)),"")</f>
        <v>1</v>
      </c>
      <c r="G2843" s="34">
        <v>8</v>
      </c>
      <c r="H2843" s="34">
        <v>4509</v>
      </c>
      <c r="I2843" s="34" t="s">
        <v>1358</v>
      </c>
      <c r="J2843" s="48"/>
      <c r="K2843" s="48"/>
      <c r="L2843" s="48"/>
      <c r="M2843" s="48"/>
      <c r="N2843" s="59"/>
      <c r="O2843" s="59">
        <v>275000</v>
      </c>
      <c r="P2843" s="59"/>
      <c r="Q2843" s="268">
        <f t="shared" si="133"/>
        <v>275000</v>
      </c>
      <c r="R2843" s="61">
        <f>IF(O2843=0,0,SUMIFS(Disbursements!$T:$T,Disbursements!$B:$B,'Live Collections'!D2843,Disbursements!$D:$D,'Live Collections'!F2843))</f>
        <v>434000</v>
      </c>
      <c r="S2843" s="304">
        <f>IF(O2843&lt;=IF($O2843=0,0,SUMIFS(Disbursements!$W:$W,Disbursements!$B:$B,'Live Collections'!D164,Disbursements!$D:$D,'Live Collections'!F164)),O2843,IF($O2843=0,0,SUMIFS(Disbursements!$W:$W,Disbursements!$B:$B,'Live Collections'!D164,Disbursements!$D:$D,'Live Collections'!F164)))</f>
        <v>50333.333333333343</v>
      </c>
      <c r="T2843" s="304">
        <f t="shared" si="134"/>
        <v>224666.66666666666</v>
      </c>
      <c r="U2843" s="52"/>
      <c r="V2843" s="34"/>
      <c r="W2843" s="408"/>
    </row>
    <row r="2844" spans="1:23" ht="12.75" customHeight="1" x14ac:dyDescent="0.2">
      <c r="A2844" s="257">
        <v>2870</v>
      </c>
      <c r="B2844" s="44">
        <v>44592</v>
      </c>
      <c r="C2844" s="44">
        <f t="shared" si="135"/>
        <v>44592</v>
      </c>
      <c r="D2844" s="374">
        <v>15</v>
      </c>
      <c r="E2844" s="291" t="str">
        <f>IFERROR(VLOOKUP($D2844,'Clients-Live'!$A:$C,3,0),"")</f>
        <v>NATOSHA LUCY</v>
      </c>
      <c r="F2844" s="291">
        <f>IFERROR(INDEX(Disbursements!$D:$D,MATCH('Live Collections'!G2844,Disbursements!$C:$C,0)),"")</f>
        <v>1</v>
      </c>
      <c r="G2844" s="34">
        <v>8</v>
      </c>
      <c r="H2844" s="34">
        <v>4508</v>
      </c>
      <c r="I2844" s="34" t="s">
        <v>1358</v>
      </c>
      <c r="J2844" s="48"/>
      <c r="K2844" s="48"/>
      <c r="L2844" s="48"/>
      <c r="M2844" s="48"/>
      <c r="N2844" s="59">
        <v>65000</v>
      </c>
      <c r="O2844" s="59"/>
      <c r="P2844" s="59"/>
      <c r="Q2844" s="268">
        <f t="shared" si="133"/>
        <v>65000</v>
      </c>
      <c r="R2844" s="61">
        <f>IF(O2844=0,0,SUMIFS(Disbursements!$T:$T,Disbursements!$B:$B,'Live Collections'!D2844,Disbursements!$D:$D,'Live Collections'!F2844))</f>
        <v>0</v>
      </c>
      <c r="S2844" s="304">
        <f>IF(O2844&lt;=IF($O2844=0,0,SUMIFS(Disbursements!$W:$W,Disbursements!$B:$B,'Live Collections'!D165,Disbursements!$D:$D,'Live Collections'!F165)),O2844,IF($O2844=0,0,SUMIFS(Disbursements!$W:$W,Disbursements!$B:$B,'Live Collections'!D165,Disbursements!$D:$D,'Live Collections'!F165)))</f>
        <v>0</v>
      </c>
      <c r="T2844" s="304">
        <f t="shared" si="134"/>
        <v>0</v>
      </c>
      <c r="U2844" s="52"/>
      <c r="V2844" s="34"/>
      <c r="W2844" s="408"/>
    </row>
    <row r="2845" spans="1:23" ht="12.75" customHeight="1" x14ac:dyDescent="0.2">
      <c r="A2845" s="257">
        <v>2855</v>
      </c>
      <c r="B2845" s="44">
        <v>44592</v>
      </c>
      <c r="C2845" s="44">
        <f t="shared" si="135"/>
        <v>44592</v>
      </c>
      <c r="D2845" s="374">
        <v>19</v>
      </c>
      <c r="E2845" s="291" t="str">
        <f>IFERROR(VLOOKUP($D2845,'Clients-Live'!$A:$C,3,0),"")</f>
        <v>ANGUPARU MOLLY</v>
      </c>
      <c r="F2845" s="291">
        <f>IFERROR(INDEX(Disbursements!$D:$D,MATCH('Live Collections'!G2845,Disbursements!$C:$C,0)),"")</f>
        <v>2</v>
      </c>
      <c r="G2845" s="34">
        <v>152</v>
      </c>
      <c r="H2845" s="34">
        <v>4462</v>
      </c>
      <c r="I2845" s="34" t="s">
        <v>1358</v>
      </c>
      <c r="J2845" s="48"/>
      <c r="K2845" s="48"/>
      <c r="L2845" s="48"/>
      <c r="M2845" s="48"/>
      <c r="N2845" s="59"/>
      <c r="O2845" s="59">
        <v>100000</v>
      </c>
      <c r="P2845" s="59"/>
      <c r="Q2845" s="268">
        <f t="shared" si="133"/>
        <v>100000</v>
      </c>
      <c r="R2845" s="61">
        <f>IF(O2845=0,0,SUMIFS(Disbursements!$T:$T,Disbursements!$B:$B,'Live Collections'!D2845,Disbursements!$D:$D,'Live Collections'!F2845))</f>
        <v>210000</v>
      </c>
      <c r="S2845" s="304">
        <f>IF(O2845&lt;=IF($O2845=0,0,SUMIFS(Disbursements!$W:$W,Disbursements!$B:$B,'Live Collections'!D242,Disbursements!$D:$D,'Live Collections'!F242)),O2845,IF($O2845=0,0,SUMIFS(Disbursements!$W:$W,Disbursements!$B:$B,'Live Collections'!D242,Disbursements!$D:$D,'Live Collections'!F242)))</f>
        <v>0</v>
      </c>
      <c r="T2845" s="304">
        <f t="shared" si="134"/>
        <v>100000</v>
      </c>
      <c r="U2845" s="52"/>
      <c r="V2845" s="34"/>
      <c r="W2845" s="408"/>
    </row>
    <row r="2846" spans="1:23" ht="12.75" customHeight="1" x14ac:dyDescent="0.2">
      <c r="A2846" s="257">
        <v>2857</v>
      </c>
      <c r="B2846" s="44">
        <v>44592</v>
      </c>
      <c r="C2846" s="44">
        <f t="shared" si="135"/>
        <v>44592</v>
      </c>
      <c r="D2846" s="374">
        <v>67</v>
      </c>
      <c r="E2846" s="291" t="str">
        <f>IFERROR(VLOOKUP($D2846,'Clients-Live'!$A:$C,3,0),"")</f>
        <v>KEBITA SAUDA</v>
      </c>
      <c r="F2846" s="291">
        <f>IFERROR(INDEX(Disbursements!$D:$D,MATCH('Live Collections'!G2846,Disbursements!$C:$C,0)),"")</f>
        <v>2</v>
      </c>
      <c r="G2846" s="34">
        <v>272</v>
      </c>
      <c r="H2846" s="34">
        <v>4461</v>
      </c>
      <c r="I2846" s="34" t="s">
        <v>1358</v>
      </c>
      <c r="J2846" s="48"/>
      <c r="K2846" s="48"/>
      <c r="L2846" s="48"/>
      <c r="M2846" s="48"/>
      <c r="N2846" s="59"/>
      <c r="O2846" s="59">
        <v>100000</v>
      </c>
      <c r="P2846" s="59"/>
      <c r="Q2846" s="268">
        <f t="shared" si="133"/>
        <v>100000</v>
      </c>
      <c r="R2846" s="61">
        <f>IF(O2846=0,0,SUMIFS(Disbursements!$T:$T,Disbursements!$B:$B,'Live Collections'!D2846,Disbursements!$D:$D,'Live Collections'!F2846))</f>
        <v>180000</v>
      </c>
      <c r="S2846" s="304"/>
      <c r="T2846" s="304">
        <f t="shared" si="134"/>
        <v>100000</v>
      </c>
      <c r="U2846" s="52"/>
      <c r="V2846" s="34"/>
      <c r="W2846" s="408"/>
    </row>
    <row r="2847" spans="1:23" ht="12.75" customHeight="1" x14ac:dyDescent="0.2">
      <c r="A2847" s="257">
        <v>2863</v>
      </c>
      <c r="B2847" s="44">
        <v>44592</v>
      </c>
      <c r="C2847" s="44">
        <f t="shared" si="135"/>
        <v>44592</v>
      </c>
      <c r="D2847" s="374">
        <v>70</v>
      </c>
      <c r="E2847" s="291" t="str">
        <f>IFERROR(VLOOKUP($D2847,'Clients-Live'!$A:$C,3,0),"")</f>
        <v>BUGA ALIKIA PHILLIP</v>
      </c>
      <c r="F2847" s="291">
        <f>IFERROR(INDEX(Disbursements!$D:$D,MATCH('Live Collections'!G2847,Disbursements!$C:$C,0)),"")</f>
        <v>2</v>
      </c>
      <c r="G2847" s="34">
        <v>299</v>
      </c>
      <c r="H2847" s="34">
        <v>4507</v>
      </c>
      <c r="I2847" s="34" t="s">
        <v>1358</v>
      </c>
      <c r="J2847" s="48"/>
      <c r="K2847" s="48"/>
      <c r="L2847" s="48"/>
      <c r="M2847" s="48"/>
      <c r="N2847" s="59"/>
      <c r="O2847" s="59">
        <v>100000</v>
      </c>
      <c r="P2847" s="59"/>
      <c r="Q2847" s="268">
        <f t="shared" si="133"/>
        <v>100000</v>
      </c>
      <c r="R2847" s="61">
        <f>IF(O2847=0,0,SUMIFS(Disbursements!$T:$T,Disbursements!$B:$B,'Live Collections'!D2847,Disbursements!$D:$D,'Live Collections'!F2847))</f>
        <v>260000</v>
      </c>
      <c r="S2847" s="304">
        <f>IF(O2847&lt;=IF($O2847=0,0,SUMIFS(Disbursements!$W:$W,Disbursements!$B:$B,'Live Collections'!D882,Disbursements!$D:$D,'Live Collections'!F882)),O2847,IF($O2847=0,0,SUMIFS(Disbursements!$W:$W,Disbursements!$B:$B,'Live Collections'!D882,Disbursements!$D:$D,'Live Collections'!F882)))</f>
        <v>0</v>
      </c>
      <c r="T2847" s="304">
        <f t="shared" si="134"/>
        <v>100000</v>
      </c>
      <c r="U2847" s="52"/>
      <c r="V2847" s="34"/>
      <c r="W2847" s="408"/>
    </row>
    <row r="2848" spans="1:23" ht="12.75" customHeight="1" x14ac:dyDescent="0.2">
      <c r="A2848" s="257">
        <v>2854</v>
      </c>
      <c r="B2848" s="44">
        <v>44592</v>
      </c>
      <c r="C2848" s="44">
        <f t="shared" si="135"/>
        <v>44592</v>
      </c>
      <c r="D2848" s="374">
        <v>85</v>
      </c>
      <c r="E2848" s="291" t="str">
        <f>IFERROR(VLOOKUP($D2848,'Clients-Live'!$A:$C,3,0),"")</f>
        <v>CEASER SWALEH</v>
      </c>
      <c r="F2848" s="291">
        <f>IFERROR(INDEX(Disbursements!$D:$D,MATCH('Live Collections'!G2848,Disbursements!$C:$C,0)),"")</f>
        <v>3</v>
      </c>
      <c r="G2848" s="34">
        <v>413</v>
      </c>
      <c r="H2848" s="34">
        <v>4640</v>
      </c>
      <c r="I2848" s="34" t="s">
        <v>1357</v>
      </c>
      <c r="J2848" s="48"/>
      <c r="K2848" s="48"/>
      <c r="L2848" s="48"/>
      <c r="M2848" s="48"/>
      <c r="N2848" s="59"/>
      <c r="O2848" s="59">
        <v>157500</v>
      </c>
      <c r="P2848" s="59"/>
      <c r="Q2848" s="268">
        <f t="shared" si="133"/>
        <v>157500</v>
      </c>
      <c r="R2848" s="61">
        <f>IF(O2848=0,0,SUMIFS(Disbursements!$T:$T,Disbursements!$B:$B,'Live Collections'!D2848,Disbursements!$D:$D,'Live Collections'!F2848))</f>
        <v>788000</v>
      </c>
      <c r="S2848" s="304">
        <f>IF(O2848&lt;=IF($O2848=0,0,SUMIFS(Disbursements!$W:$W,Disbursements!$B:$B,'Live Collections'!D1103,Disbursements!$D:$D,'Live Collections'!F1103)),O2848,IF($O2848=0,0,SUMIFS(Disbursements!$W:$W,Disbursements!$B:$B,'Live Collections'!D1103,Disbursements!$D:$D,'Live Collections'!F1103)))</f>
        <v>60000</v>
      </c>
      <c r="T2848" s="304">
        <f t="shared" si="134"/>
        <v>97500</v>
      </c>
      <c r="U2848" s="52"/>
      <c r="V2848" s="34"/>
      <c r="W2848" s="408"/>
    </row>
    <row r="2849" spans="1:23" ht="12.75" customHeight="1" x14ac:dyDescent="0.2">
      <c r="A2849" s="257">
        <v>2843</v>
      </c>
      <c r="B2849" s="44">
        <v>44592</v>
      </c>
      <c r="C2849" s="44">
        <f t="shared" si="135"/>
        <v>44592</v>
      </c>
      <c r="D2849" s="374">
        <v>111</v>
      </c>
      <c r="E2849" s="291" t="str">
        <f>IFERROR(VLOOKUP($D2849,'Clients-Live'!$A:$C,3,0),"")</f>
        <v>ANDAKU CHARLES JULIAN</v>
      </c>
      <c r="F2849" s="291">
        <f>IFERROR(INDEX(Disbursements!$D:$D,MATCH('Live Collections'!G2849,Disbursements!$C:$C,0)),"")</f>
        <v>2</v>
      </c>
      <c r="G2849" s="34">
        <v>236</v>
      </c>
      <c r="H2849" s="34">
        <v>4649</v>
      </c>
      <c r="I2849" s="34" t="s">
        <v>1357</v>
      </c>
      <c r="J2849" s="48"/>
      <c r="K2849" s="48"/>
      <c r="L2849" s="48"/>
      <c r="M2849" s="48"/>
      <c r="N2849" s="59"/>
      <c r="O2849" s="59">
        <v>155000</v>
      </c>
      <c r="P2849" s="59"/>
      <c r="Q2849" s="268">
        <f t="shared" si="133"/>
        <v>155000</v>
      </c>
      <c r="R2849" s="61">
        <f>IF(O2849=0,0,SUMIFS(Disbursements!$T:$T,Disbursements!$B:$B,'Live Collections'!D2849,Disbursements!$D:$D,'Live Collections'!F2849))</f>
        <v>327000</v>
      </c>
      <c r="S2849" s="304">
        <f>IF(O2849&lt;=IF($O2849=0,0,SUMIFS(Disbursements!$W:$W,Disbursements!$B:$B,'Live Collections'!D1420,Disbursements!$D:$D,'Live Collections'!F1420)),O2849,IF($O2849=0,0,SUMIFS(Disbursements!$W:$W,Disbursements!$B:$B,'Live Collections'!D1420,Disbursements!$D:$D,'Live Collections'!F1420)))</f>
        <v>0</v>
      </c>
      <c r="T2849" s="304">
        <f t="shared" si="134"/>
        <v>155000</v>
      </c>
      <c r="U2849" s="52"/>
      <c r="V2849" s="34"/>
      <c r="W2849" s="408"/>
    </row>
    <row r="2850" spans="1:23" ht="12.75" customHeight="1" x14ac:dyDescent="0.2">
      <c r="A2850" s="257">
        <v>2861</v>
      </c>
      <c r="B2850" s="44">
        <v>44592</v>
      </c>
      <c r="C2850" s="44">
        <f t="shared" si="135"/>
        <v>44592</v>
      </c>
      <c r="D2850" s="374">
        <v>111</v>
      </c>
      <c r="E2850" s="291" t="str">
        <f>IFERROR(VLOOKUP($D2850,'Clients-Live'!$A:$C,3,0),"")</f>
        <v>ANDAKU CHARLES JULIAN</v>
      </c>
      <c r="F2850" s="291">
        <f>IFERROR(INDEX(Disbursements!$D:$D,MATCH('Live Collections'!G2850,Disbursements!$C:$C,0)),"")</f>
        <v>2</v>
      </c>
      <c r="G2850" s="34">
        <v>236</v>
      </c>
      <c r="H2850" s="34">
        <v>619</v>
      </c>
      <c r="I2850" s="34" t="s">
        <v>1357</v>
      </c>
      <c r="J2850" s="48"/>
      <c r="K2850" s="48"/>
      <c r="L2850" s="48"/>
      <c r="M2850" s="48"/>
      <c r="N2850" s="59"/>
      <c r="O2850" s="59"/>
      <c r="P2850" s="59">
        <v>-95000</v>
      </c>
      <c r="Q2850" s="268">
        <f t="shared" si="133"/>
        <v>-95000</v>
      </c>
      <c r="R2850" s="61">
        <f>IF(O2850=0,0,SUMIFS(Disbursements!$T:$T,Disbursements!$B:$B,'Live Collections'!D2850,Disbursements!$D:$D,'Live Collections'!F2850))</f>
        <v>0</v>
      </c>
      <c r="S2850" s="304">
        <f>IF(O2850&lt;=IF($O2850=0,0,SUMIFS(Disbursements!$W:$W,Disbursements!$B:$B,'Live Collections'!D1421,Disbursements!$D:$D,'Live Collections'!F1421)),O2850,IF($O2850=0,0,SUMIFS(Disbursements!$W:$W,Disbursements!$B:$B,'Live Collections'!D1421,Disbursements!$D:$D,'Live Collections'!F1421)))</f>
        <v>0</v>
      </c>
      <c r="T2850" s="304">
        <f t="shared" si="134"/>
        <v>0</v>
      </c>
      <c r="U2850" s="52"/>
      <c r="V2850" s="34"/>
      <c r="W2850" s="408" t="s">
        <v>2013</v>
      </c>
    </row>
    <row r="2851" spans="1:23" ht="12.75" customHeight="1" x14ac:dyDescent="0.2">
      <c r="A2851" s="257">
        <v>2862</v>
      </c>
      <c r="B2851" s="44">
        <v>44592</v>
      </c>
      <c r="C2851" s="44">
        <f t="shared" si="135"/>
        <v>44592</v>
      </c>
      <c r="D2851" s="374">
        <v>111</v>
      </c>
      <c r="E2851" s="291" t="str">
        <f>IFERROR(VLOOKUP($D2851,'Clients-Live'!$A:$C,3,0),"")</f>
        <v>ANDAKU CHARLES JULIAN</v>
      </c>
      <c r="F2851" s="291">
        <f>IFERROR(INDEX(Disbursements!$D:$D,MATCH('Live Collections'!G2851,Disbursements!$C:$C,0)),"")</f>
        <v>2</v>
      </c>
      <c r="G2851" s="34">
        <v>236</v>
      </c>
      <c r="H2851" s="34">
        <v>4504</v>
      </c>
      <c r="I2851" s="34" t="s">
        <v>1357</v>
      </c>
      <c r="J2851" s="48"/>
      <c r="K2851" s="48"/>
      <c r="L2851" s="48"/>
      <c r="M2851" s="48"/>
      <c r="N2851" s="59"/>
      <c r="O2851" s="59">
        <v>95000</v>
      </c>
      <c r="P2851" s="59"/>
      <c r="Q2851" s="268">
        <f t="shared" si="133"/>
        <v>95000</v>
      </c>
      <c r="R2851" s="61">
        <f>IF(O2851=0,0,SUMIFS(Disbursements!$T:$T,Disbursements!$B:$B,'Live Collections'!D2851,Disbursements!$D:$D,'Live Collections'!F2851))</f>
        <v>327000</v>
      </c>
      <c r="S2851" s="304">
        <f>IF(O2851&lt;=IF($O2851=0,0,SUMIFS(Disbursements!$W:$W,Disbursements!$B:$B,'Live Collections'!D1422,Disbursements!$D:$D,'Live Collections'!F1422)),O2851,IF($O2851=0,0,SUMIFS(Disbursements!$W:$W,Disbursements!$B:$B,'Live Collections'!D1422,Disbursements!$D:$D,'Live Collections'!F1422)))</f>
        <v>0</v>
      </c>
      <c r="T2851" s="304">
        <f t="shared" si="134"/>
        <v>95000</v>
      </c>
      <c r="U2851" s="52"/>
      <c r="V2851" s="34"/>
      <c r="W2851" s="408"/>
    </row>
    <row r="2852" spans="1:23" ht="12.75" customHeight="1" x14ac:dyDescent="0.2">
      <c r="A2852" s="257">
        <v>2856</v>
      </c>
      <c r="B2852" s="44">
        <v>44592</v>
      </c>
      <c r="C2852" s="44">
        <f t="shared" si="135"/>
        <v>44592</v>
      </c>
      <c r="D2852" s="374">
        <v>118</v>
      </c>
      <c r="E2852" s="291" t="str">
        <f>IFERROR(VLOOKUP($D2852,'Clients-Live'!$A:$C,3,0),"")</f>
        <v>ONYANGO CHARLES JOGOO</v>
      </c>
      <c r="F2852" s="291">
        <f>IFERROR(INDEX(Disbursements!$D:$D,MATCH('Live Collections'!G2852,Disbursements!$C:$C,0)),"")</f>
        <v>1</v>
      </c>
      <c r="G2852" s="34">
        <v>109</v>
      </c>
      <c r="H2852" s="34">
        <v>4463</v>
      </c>
      <c r="I2852" s="34" t="s">
        <v>1358</v>
      </c>
      <c r="J2852" s="48"/>
      <c r="K2852" s="48"/>
      <c r="L2852" s="48"/>
      <c r="M2852" s="48"/>
      <c r="N2852" s="59"/>
      <c r="O2852" s="59">
        <v>200000</v>
      </c>
      <c r="P2852" s="59"/>
      <c r="Q2852" s="268">
        <f t="shared" si="133"/>
        <v>200000</v>
      </c>
      <c r="R2852" s="61">
        <f>IF(O2852=0,0,SUMIFS(Disbursements!$T:$T,Disbursements!$B:$B,'Live Collections'!D2852,Disbursements!$D:$D,'Live Collections'!F2852))</f>
        <v>217000</v>
      </c>
      <c r="S2852" s="304">
        <f>IF(O2852&lt;=IF($O2852=0,0,SUMIFS(Disbursements!$W:$W,Disbursements!$B:$B,'Live Collections'!D1533,Disbursements!$D:$D,'Live Collections'!F1533)),O2852,IF($O2852=0,0,SUMIFS(Disbursements!$W:$W,Disbursements!$B:$B,'Live Collections'!D1533,Disbursements!$D:$D,'Live Collections'!F1533)))</f>
        <v>20666.666666666657</v>
      </c>
      <c r="T2852" s="304">
        <f t="shared" si="134"/>
        <v>179333.33333333334</v>
      </c>
      <c r="U2852" s="52"/>
      <c r="V2852" s="34"/>
      <c r="W2852" s="408"/>
    </row>
    <row r="2853" spans="1:23" ht="12.75" customHeight="1" x14ac:dyDescent="0.2">
      <c r="A2853" s="257">
        <v>2871</v>
      </c>
      <c r="B2853" s="44">
        <v>44592</v>
      </c>
      <c r="C2853" s="44">
        <f t="shared" si="135"/>
        <v>44592</v>
      </c>
      <c r="D2853" s="374">
        <v>141</v>
      </c>
      <c r="E2853" s="291" t="str">
        <f>IFERROR(VLOOKUP($D2853,'Clients-Live'!$A:$C,3,0),"")</f>
        <v>DRAMANI WILFRED</v>
      </c>
      <c r="F2853" s="291">
        <f>IFERROR(INDEX(Disbursements!$D:$D,MATCH('Live Collections'!G2853,Disbursements!$C:$C,0)),"")</f>
        <v>2</v>
      </c>
      <c r="G2853" s="34">
        <v>207</v>
      </c>
      <c r="H2853" s="34">
        <v>4511</v>
      </c>
      <c r="I2853" s="34" t="s">
        <v>1359</v>
      </c>
      <c r="J2853" s="48"/>
      <c r="K2853" s="48"/>
      <c r="L2853" s="48"/>
      <c r="M2853" s="48"/>
      <c r="N2853" s="59"/>
      <c r="O2853" s="59">
        <v>50000</v>
      </c>
      <c r="P2853" s="59"/>
      <c r="Q2853" s="268">
        <f t="shared" si="133"/>
        <v>50000</v>
      </c>
      <c r="R2853" s="61">
        <f>IF(O2853=0,0,SUMIFS(Disbursements!$T:$T,Disbursements!$B:$B,'Live Collections'!D2853,Disbursements!$D:$D,'Live Collections'!F2853))</f>
        <v>175000</v>
      </c>
      <c r="S2853" s="304"/>
      <c r="T2853" s="304">
        <f t="shared" si="134"/>
        <v>50000</v>
      </c>
      <c r="U2853" s="52"/>
      <c r="V2853" s="34"/>
      <c r="W2853" s="408"/>
    </row>
    <row r="2854" spans="1:23" ht="12.75" customHeight="1" x14ac:dyDescent="0.2">
      <c r="A2854" s="257">
        <v>2859</v>
      </c>
      <c r="B2854" s="44">
        <v>44592</v>
      </c>
      <c r="C2854" s="44">
        <f t="shared" si="135"/>
        <v>44592</v>
      </c>
      <c r="D2854" s="374">
        <v>148</v>
      </c>
      <c r="E2854" s="291" t="str">
        <f>IFERROR(VLOOKUP($D2854,'Clients-Live'!$A:$C,3,0),"")</f>
        <v>GBOKA ZAIDA</v>
      </c>
      <c r="F2854" s="291">
        <f>IFERROR(INDEX(Disbursements!$D:$D,MATCH('Live Collections'!G2854,Disbursements!$C:$C,0)),"")</f>
        <v>2</v>
      </c>
      <c r="G2854" s="34">
        <v>304</v>
      </c>
      <c r="H2854" s="34">
        <v>4636</v>
      </c>
      <c r="I2854" s="34" t="s">
        <v>1359</v>
      </c>
      <c r="J2854" s="48"/>
      <c r="K2854" s="48"/>
      <c r="L2854" s="48"/>
      <c r="M2854" s="48"/>
      <c r="N2854" s="59"/>
      <c r="O2854" s="59">
        <v>70000</v>
      </c>
      <c r="P2854" s="59"/>
      <c r="Q2854" s="268">
        <f t="shared" si="133"/>
        <v>70000</v>
      </c>
      <c r="R2854" s="61">
        <f>IF(O2854=0,0,SUMIFS(Disbursements!$T:$T,Disbursements!$B:$B,'Live Collections'!D2854,Disbursements!$D:$D,'Live Collections'!F2854))</f>
        <v>125000</v>
      </c>
      <c r="S2854" s="304">
        <f>IF(O2854&lt;=IF($O2854=0,0,SUMIFS(Disbursements!$W:$W,Disbursements!$B:$B,'Live Collections'!D1879,Disbursements!$D:$D,'Live Collections'!F1879)),O2854,IF($O2854=0,0,SUMIFS(Disbursements!$W:$W,Disbursements!$B:$B,'Live Collections'!D1879,Disbursements!$D:$D,'Live Collections'!F1879)))</f>
        <v>25000</v>
      </c>
      <c r="T2854" s="304">
        <f t="shared" si="134"/>
        <v>45000</v>
      </c>
      <c r="U2854" s="52"/>
      <c r="V2854" s="34"/>
      <c r="W2854" s="408"/>
    </row>
    <row r="2855" spans="1:23" ht="12.75" customHeight="1" x14ac:dyDescent="0.2">
      <c r="A2855" s="257">
        <v>2849</v>
      </c>
      <c r="B2855" s="44">
        <v>44592</v>
      </c>
      <c r="C2855" s="44">
        <f t="shared" si="135"/>
        <v>44592</v>
      </c>
      <c r="D2855" s="374">
        <v>152</v>
      </c>
      <c r="E2855" s="291" t="str">
        <f>IFERROR(VLOOKUP($D2855,'Clients-Live'!$A:$C,3,0),"")</f>
        <v>ASE ZAINABU</v>
      </c>
      <c r="F2855" s="291">
        <f>IFERROR(INDEX(Disbursements!$D:$D,MATCH('Live Collections'!G2855,Disbursements!$C:$C,0)),"")</f>
        <v>2</v>
      </c>
      <c r="G2855" s="34">
        <v>393</v>
      </c>
      <c r="H2855" s="34">
        <v>4646</v>
      </c>
      <c r="I2855" s="34" t="s">
        <v>1358</v>
      </c>
      <c r="J2855" s="48"/>
      <c r="K2855" s="48"/>
      <c r="L2855" s="48"/>
      <c r="M2855" s="48"/>
      <c r="N2855" s="59"/>
      <c r="O2855" s="59">
        <v>39000</v>
      </c>
      <c r="P2855" s="59"/>
      <c r="Q2855" s="268">
        <f t="shared" si="133"/>
        <v>39000</v>
      </c>
      <c r="R2855" s="61">
        <f>IF(O2855=0,0,SUMIFS(Disbursements!$T:$T,Disbursements!$B:$B,'Live Collections'!D2855,Disbursements!$D:$D,'Live Collections'!F2855))</f>
        <v>40000</v>
      </c>
      <c r="S2855" s="304">
        <f>IF(O2855&lt;=IF($O2855=0,0,SUMIFS(Disbursements!$W:$W,Disbursements!$B:$B,'Live Collections'!D1923,Disbursements!$D:$D,'Live Collections'!F1923)),O2855,IF($O2855=0,0,SUMIFS(Disbursements!$W:$W,Disbursements!$B:$B,'Live Collections'!D1923,Disbursements!$D:$D,'Live Collections'!F1923)))</f>
        <v>15000</v>
      </c>
      <c r="T2855" s="304">
        <f t="shared" si="134"/>
        <v>24000</v>
      </c>
      <c r="U2855" s="52"/>
      <c r="V2855" s="34"/>
      <c r="W2855" s="408"/>
    </row>
    <row r="2856" spans="1:23" ht="12.75" customHeight="1" x14ac:dyDescent="0.2">
      <c r="A2856" s="257">
        <v>2864</v>
      </c>
      <c r="B2856" s="44">
        <v>44592</v>
      </c>
      <c r="C2856" s="44">
        <f t="shared" si="135"/>
        <v>44592</v>
      </c>
      <c r="D2856" s="374">
        <v>211</v>
      </c>
      <c r="E2856" s="291" t="str">
        <f>IFERROR(VLOOKUP($D2856,'Clients-Live'!$A:$C,3,0),"")</f>
        <v>WILARU JOYCE</v>
      </c>
      <c r="F2856" s="291">
        <f>IFERROR(INDEX(Disbursements!$D:$D,MATCH('Live Collections'!G2856,Disbursements!$C:$C,0)),"")</f>
        <v>2</v>
      </c>
      <c r="G2856" s="34">
        <v>403</v>
      </c>
      <c r="H2856" s="34">
        <v>4503</v>
      </c>
      <c r="I2856" s="34" t="s">
        <v>1358</v>
      </c>
      <c r="J2856" s="48"/>
      <c r="K2856" s="48"/>
      <c r="L2856" s="48"/>
      <c r="M2856" s="48"/>
      <c r="N2856" s="59"/>
      <c r="O2856" s="59">
        <v>70000</v>
      </c>
      <c r="P2856" s="59"/>
      <c r="Q2856" s="268">
        <f t="shared" si="133"/>
        <v>70000</v>
      </c>
      <c r="R2856" s="61">
        <f>IF(O2856=0,0,SUMIFS(Disbursements!$T:$T,Disbursements!$B:$B,'Live Collections'!D2856,Disbursements!$D:$D,'Live Collections'!F2856))</f>
        <v>87000</v>
      </c>
      <c r="S2856" s="304">
        <f>IF(O2856&lt;=IF($O2856=0,0,SUMIFS(Disbursements!$W:$W,Disbursements!$B:$B,'Live Collections'!D2495,Disbursements!$D:$D,'Live Collections'!F2495)),O2856,IF($O2856=0,0,SUMIFS(Disbursements!$W:$W,Disbursements!$B:$B,'Live Collections'!D2495,Disbursements!$D:$D,'Live Collections'!F2495)))</f>
        <v>50666.666666666686</v>
      </c>
      <c r="T2856" s="304">
        <f t="shared" si="134"/>
        <v>19333.333333333314</v>
      </c>
      <c r="U2856" s="52"/>
      <c r="V2856" s="34"/>
      <c r="W2856" s="408"/>
    </row>
    <row r="2857" spans="1:23" ht="12.75" customHeight="1" x14ac:dyDescent="0.2">
      <c r="A2857" s="257">
        <v>2846</v>
      </c>
      <c r="B2857" s="44">
        <v>44592</v>
      </c>
      <c r="C2857" s="44">
        <f t="shared" si="135"/>
        <v>44592</v>
      </c>
      <c r="D2857" s="374">
        <v>212</v>
      </c>
      <c r="E2857" s="291" t="str">
        <f>IFERROR(VLOOKUP($D2857,'Clients-Live'!$A:$C,3,0),"")</f>
        <v>ACIDRI WILLIAM</v>
      </c>
      <c r="F2857" s="291">
        <f>IFERROR(INDEX(Disbursements!$D:$D,MATCH('Live Collections'!G2857,Disbursements!$C:$C,0)),"")</f>
        <v>2</v>
      </c>
      <c r="G2857" s="34">
        <v>365</v>
      </c>
      <c r="H2857" s="34">
        <v>4645</v>
      </c>
      <c r="I2857" s="34" t="s">
        <v>1358</v>
      </c>
      <c r="J2857" s="48"/>
      <c r="K2857" s="48"/>
      <c r="L2857" s="48"/>
      <c r="M2857" s="48"/>
      <c r="N2857" s="59">
        <v>27500</v>
      </c>
      <c r="O2857" s="59"/>
      <c r="P2857" s="59"/>
      <c r="Q2857" s="268">
        <f t="shared" si="133"/>
        <v>27500</v>
      </c>
      <c r="R2857" s="61">
        <f>IF(O2857=0,0,SUMIFS(Disbursements!$T:$T,Disbursements!$B:$B,'Live Collections'!D2857,Disbursements!$D:$D,'Live Collections'!F2857))</f>
        <v>0</v>
      </c>
      <c r="S2857" s="304">
        <f>IF(O2857&lt;=IF($O2857=0,0,SUMIFS(Disbursements!$W:$W,Disbursements!$B:$B,'Live Collections'!D2508,Disbursements!$D:$D,'Live Collections'!F2508)),O2857,IF($O2857=0,0,SUMIFS(Disbursements!$W:$W,Disbursements!$B:$B,'Live Collections'!D2508,Disbursements!$D:$D,'Live Collections'!F2508)))</f>
        <v>0</v>
      </c>
      <c r="T2857" s="304">
        <f t="shared" si="134"/>
        <v>0</v>
      </c>
      <c r="U2857" s="52"/>
      <c r="V2857" s="34"/>
      <c r="W2857" s="408"/>
    </row>
    <row r="2858" spans="1:23" ht="12.75" customHeight="1" x14ac:dyDescent="0.2">
      <c r="A2858" s="257">
        <v>2847</v>
      </c>
      <c r="B2858" s="44">
        <v>44592</v>
      </c>
      <c r="C2858" s="44">
        <f t="shared" si="135"/>
        <v>44592</v>
      </c>
      <c r="D2858" s="374">
        <v>212</v>
      </c>
      <c r="E2858" s="291" t="str">
        <f>IFERROR(VLOOKUP($D2858,'Clients-Live'!$A:$C,3,0),"")</f>
        <v>ACIDRI WILLIAM</v>
      </c>
      <c r="F2858" s="291">
        <f>IFERROR(INDEX(Disbursements!$D:$D,MATCH('Live Collections'!G2858,Disbursements!$C:$C,0)),"")</f>
        <v>2</v>
      </c>
      <c r="G2858" s="34">
        <v>365</v>
      </c>
      <c r="H2858" s="34">
        <v>4644</v>
      </c>
      <c r="I2858" s="34" t="s">
        <v>1358</v>
      </c>
      <c r="J2858" s="48"/>
      <c r="K2858" s="48"/>
      <c r="L2858" s="48"/>
      <c r="M2858" s="48"/>
      <c r="N2858" s="59"/>
      <c r="O2858" s="59">
        <v>272500</v>
      </c>
      <c r="P2858" s="59"/>
      <c r="Q2858" s="268">
        <f t="shared" si="133"/>
        <v>272500</v>
      </c>
      <c r="R2858" s="61">
        <f>IF(O2858=0,0,SUMIFS(Disbursements!$T:$T,Disbursements!$B:$B,'Live Collections'!D2858,Disbursements!$D:$D,'Live Collections'!F2858))</f>
        <v>307000</v>
      </c>
      <c r="S2858" s="304">
        <f>IF(O2858&lt;=IF($O2858=0,0,SUMIFS(Disbursements!$W:$W,Disbursements!$B:$B,'Live Collections'!D2509,Disbursements!$D:$D,'Live Collections'!F2509)),O2858,IF($O2858=0,0,SUMIFS(Disbursements!$W:$W,Disbursements!$B:$B,'Live Collections'!D2509,Disbursements!$D:$D,'Live Collections'!F2509)))</f>
        <v>20000</v>
      </c>
      <c r="T2858" s="304">
        <f t="shared" si="134"/>
        <v>252500</v>
      </c>
      <c r="U2858" s="52"/>
      <c r="V2858" s="34"/>
      <c r="W2858" s="408"/>
    </row>
    <row r="2859" spans="1:23" ht="12.75" customHeight="1" x14ac:dyDescent="0.2">
      <c r="A2859" s="257">
        <v>2858</v>
      </c>
      <c r="B2859" s="44">
        <v>44592</v>
      </c>
      <c r="C2859" s="44">
        <f t="shared" si="135"/>
        <v>44592</v>
      </c>
      <c r="D2859" s="374">
        <v>215</v>
      </c>
      <c r="E2859" s="291" t="str">
        <f>IFERROR(VLOOKUP($D2859,'Clients-Live'!$A:$C,3,0),"")</f>
        <v>BRANI MUSA</v>
      </c>
      <c r="F2859" s="291">
        <f>IFERROR(INDEX(Disbursements!$D:$D,MATCH('Live Collections'!G2859,Disbursements!$C:$C,0)),"")</f>
        <v>2</v>
      </c>
      <c r="G2859" s="34">
        <v>343</v>
      </c>
      <c r="H2859" s="34">
        <v>4635</v>
      </c>
      <c r="I2859" s="34" t="s">
        <v>1357</v>
      </c>
      <c r="J2859" s="48"/>
      <c r="K2859" s="48"/>
      <c r="L2859" s="48"/>
      <c r="M2859" s="48"/>
      <c r="N2859" s="59"/>
      <c r="O2859" s="59">
        <v>100000</v>
      </c>
      <c r="P2859" s="59"/>
      <c r="Q2859" s="268">
        <f t="shared" si="133"/>
        <v>100000</v>
      </c>
      <c r="R2859" s="61">
        <f>IF(O2859=0,0,SUMIFS(Disbursements!$T:$T,Disbursements!$B:$B,'Live Collections'!D2859,Disbursements!$D:$D,'Live Collections'!F2859))</f>
        <v>369000</v>
      </c>
      <c r="S2859" s="304">
        <f>IF(O2859&lt;=IF($O2859=0,0,SUMIFS(Disbursements!$W:$W,Disbursements!$B:$B,'Live Collections'!D2542,Disbursements!$D:$D,'Live Collections'!F2542)),O2859,IF($O2859=0,0,SUMIFS(Disbursements!$W:$W,Disbursements!$B:$B,'Live Collections'!D2542,Disbursements!$D:$D,'Live Collections'!F2542)))</f>
        <v>40000</v>
      </c>
      <c r="T2859" s="304">
        <f t="shared" si="134"/>
        <v>60000</v>
      </c>
      <c r="U2859" s="52"/>
      <c r="V2859" s="34"/>
      <c r="W2859" s="408"/>
    </row>
    <row r="2860" spans="1:23" ht="12.75" customHeight="1" x14ac:dyDescent="0.2">
      <c r="A2860" s="257">
        <v>2872</v>
      </c>
      <c r="B2860" s="44">
        <v>44592</v>
      </c>
      <c r="C2860" s="44">
        <f t="shared" si="135"/>
        <v>44592</v>
      </c>
      <c r="D2860" s="374">
        <v>218</v>
      </c>
      <c r="E2860" s="291" t="str">
        <f>IFERROR(VLOOKUP($D2860,'Clients-Live'!$A:$C,3,0),"")</f>
        <v>BUSURA OMAR</v>
      </c>
      <c r="F2860" s="291">
        <f>IFERROR(INDEX(Disbursements!$D:$D,MATCH('Live Collections'!G2860,Disbursements!$C:$C,0)),"")</f>
        <v>1</v>
      </c>
      <c r="G2860" s="34">
        <v>223</v>
      </c>
      <c r="H2860" s="34">
        <v>4510</v>
      </c>
      <c r="I2860" s="34" t="s">
        <v>1357</v>
      </c>
      <c r="J2860" s="48"/>
      <c r="K2860" s="48"/>
      <c r="L2860" s="48"/>
      <c r="M2860" s="48"/>
      <c r="N2860" s="59"/>
      <c r="O2860" s="59">
        <v>300000</v>
      </c>
      <c r="P2860" s="59"/>
      <c r="Q2860" s="268">
        <f t="shared" si="133"/>
        <v>300000</v>
      </c>
      <c r="R2860" s="61">
        <f>IF(O2860=0,0,SUMIFS(Disbursements!$T:$T,Disbursements!$B:$B,'Live Collections'!D2860,Disbursements!$D:$D,'Live Collections'!F2860))</f>
        <v>325000</v>
      </c>
      <c r="S2860" s="304">
        <f>IF(O2860&lt;=IF($O2860=0,0,SUMIFS(Disbursements!$W:$W,Disbursements!$B:$B,'Live Collections'!D2580,Disbursements!$D:$D,'Live Collections'!F2580)),O2860,IF($O2860=0,0,SUMIFS(Disbursements!$W:$W,Disbursements!$B:$B,'Live Collections'!D2580,Disbursements!$D:$D,'Live Collections'!F2580)))</f>
        <v>40000</v>
      </c>
      <c r="T2860" s="304">
        <f t="shared" si="134"/>
        <v>260000</v>
      </c>
      <c r="U2860" s="52"/>
      <c r="V2860" s="34"/>
      <c r="W2860" s="408"/>
    </row>
    <row r="2861" spans="1:23" ht="12.75" customHeight="1" x14ac:dyDescent="0.2">
      <c r="A2861" s="257">
        <v>2865</v>
      </c>
      <c r="B2861" s="44">
        <v>44592</v>
      </c>
      <c r="C2861" s="44">
        <f t="shared" si="135"/>
        <v>44592</v>
      </c>
      <c r="D2861" s="374">
        <v>251</v>
      </c>
      <c r="E2861" s="291" t="str">
        <f>IFERROR(VLOOKUP($D2861,'Clients-Live'!$A:$C,3,0),"")</f>
        <v>SIDA ZAINABU</v>
      </c>
      <c r="F2861" s="291">
        <f>IFERROR(INDEX(Disbursements!$D:$D,MATCH('Live Collections'!G2861,Disbursements!$C:$C,0)),"")</f>
        <v>1</v>
      </c>
      <c r="G2861" s="34">
        <v>306</v>
      </c>
      <c r="H2861" s="34">
        <v>620</v>
      </c>
      <c r="I2861" s="34" t="s">
        <v>1359</v>
      </c>
      <c r="J2861" s="48"/>
      <c r="K2861" s="48"/>
      <c r="L2861" s="48"/>
      <c r="M2861" s="48"/>
      <c r="N2861" s="59"/>
      <c r="O2861" s="59"/>
      <c r="P2861" s="59">
        <v>-40000</v>
      </c>
      <c r="Q2861" s="268">
        <f t="shared" si="133"/>
        <v>-40000</v>
      </c>
      <c r="R2861" s="61">
        <f>IF(O2861=0,0,SUMIFS(Disbursements!$T:$T,Disbursements!$B:$B,'Live Collections'!D2861,Disbursements!$D:$D,'Live Collections'!F2861))</f>
        <v>0</v>
      </c>
      <c r="S2861" s="304">
        <f>IF(O2861&lt;=IF($O2861=0,0,SUMIFS(Disbursements!$W:$W,Disbursements!$B:$B,'Live Collections'!D2826,Disbursements!$D:$D,'Live Collections'!F2826)),O2861,IF($O2861=0,0,SUMIFS(Disbursements!$W:$W,Disbursements!$B:$B,'Live Collections'!D2826,Disbursements!$D:$D,'Live Collections'!F2826)))</f>
        <v>0</v>
      </c>
      <c r="T2861" s="304">
        <f t="shared" si="134"/>
        <v>0</v>
      </c>
      <c r="U2861" s="52"/>
      <c r="V2861" s="34"/>
      <c r="W2861" s="408" t="s">
        <v>2014</v>
      </c>
    </row>
    <row r="2862" spans="1:23" ht="12.75" customHeight="1" x14ac:dyDescent="0.2">
      <c r="A2862" s="257">
        <v>2866</v>
      </c>
      <c r="B2862" s="44">
        <v>44592</v>
      </c>
      <c r="C2862" s="44">
        <f t="shared" si="135"/>
        <v>44592</v>
      </c>
      <c r="D2862" s="374">
        <v>251</v>
      </c>
      <c r="E2862" s="291" t="str">
        <f>IFERROR(VLOOKUP($D2862,'Clients-Live'!$A:$C,3,0),"")</f>
        <v>SIDA ZAINABU</v>
      </c>
      <c r="F2862" s="291">
        <f>IFERROR(INDEX(Disbursements!$D:$D,MATCH('Live Collections'!G2862,Disbursements!$C:$C,0)),"")</f>
        <v>1</v>
      </c>
      <c r="G2862" s="34">
        <v>306</v>
      </c>
      <c r="H2862" s="34">
        <v>4506</v>
      </c>
      <c r="I2862" s="34" t="s">
        <v>1359</v>
      </c>
      <c r="J2862" s="48"/>
      <c r="K2862" s="48"/>
      <c r="L2862" s="48"/>
      <c r="M2862" s="48"/>
      <c r="N2862" s="59"/>
      <c r="O2862" s="59">
        <v>40000</v>
      </c>
      <c r="P2862" s="59"/>
      <c r="Q2862" s="268">
        <f t="shared" si="133"/>
        <v>40000</v>
      </c>
      <c r="R2862" s="61">
        <f>IF(O2862=0,0,SUMIFS(Disbursements!$T:$T,Disbursements!$B:$B,'Live Collections'!D2862,Disbursements!$D:$D,'Live Collections'!F2862))</f>
        <v>220000</v>
      </c>
      <c r="S2862" s="304"/>
      <c r="T2862" s="304">
        <f t="shared" si="134"/>
        <v>40000</v>
      </c>
      <c r="U2862" s="52"/>
      <c r="V2862" s="34"/>
      <c r="W2862" s="408"/>
    </row>
    <row r="2863" spans="1:23" ht="12.75" customHeight="1" x14ac:dyDescent="0.2">
      <c r="A2863" s="257">
        <v>2867</v>
      </c>
      <c r="B2863" s="44">
        <v>44592</v>
      </c>
      <c r="C2863" s="44">
        <f t="shared" si="135"/>
        <v>44592</v>
      </c>
      <c r="D2863" s="374">
        <v>251</v>
      </c>
      <c r="E2863" s="291" t="str">
        <f>IFERROR(VLOOKUP($D2863,'Clients-Live'!$A:$C,3,0),"")</f>
        <v>SIDA ZAINABU</v>
      </c>
      <c r="F2863" s="291">
        <f>IFERROR(INDEX(Disbursements!$D:$D,MATCH('Live Collections'!G2863,Disbursements!$C:$C,0)),"")</f>
        <v>1</v>
      </c>
      <c r="G2863" s="34">
        <v>306</v>
      </c>
      <c r="H2863" s="34">
        <v>4505</v>
      </c>
      <c r="I2863" s="34" t="s">
        <v>1359</v>
      </c>
      <c r="J2863" s="48"/>
      <c r="K2863" s="48"/>
      <c r="L2863" s="48"/>
      <c r="M2863" s="48"/>
      <c r="N2863" s="59"/>
      <c r="O2863" s="59">
        <v>10000</v>
      </c>
      <c r="P2863" s="59"/>
      <c r="Q2863" s="268">
        <f t="shared" si="133"/>
        <v>10000</v>
      </c>
      <c r="R2863" s="61">
        <f>IF(O2863=0,0,SUMIFS(Disbursements!$T:$T,Disbursements!$B:$B,'Live Collections'!D2863,Disbursements!$D:$D,'Live Collections'!F2863))</f>
        <v>220000</v>
      </c>
      <c r="S2863" s="304"/>
      <c r="T2863" s="304">
        <f t="shared" si="134"/>
        <v>10000</v>
      </c>
      <c r="U2863" s="52"/>
      <c r="V2863" s="34"/>
      <c r="W2863" s="408"/>
    </row>
    <row r="2864" spans="1:23" ht="12.75" customHeight="1" x14ac:dyDescent="0.2">
      <c r="A2864" s="257">
        <v>2868</v>
      </c>
      <c r="B2864" s="44">
        <v>44592</v>
      </c>
      <c r="C2864" s="44">
        <f t="shared" si="135"/>
        <v>44592</v>
      </c>
      <c r="D2864" s="374">
        <v>251</v>
      </c>
      <c r="E2864" s="291" t="str">
        <f>IFERROR(VLOOKUP($D2864,'Clients-Live'!$A:$C,3,0),"")</f>
        <v>SIDA ZAINABU</v>
      </c>
      <c r="F2864" s="291" t="str">
        <f>IFERROR(INDEX(Disbursements!$D:$D,MATCH('Live Collections'!G2864,Disbursements!$C:$C,0)),"")</f>
        <v/>
      </c>
      <c r="G2864" s="34"/>
      <c r="H2864" s="34">
        <v>4650</v>
      </c>
      <c r="I2864" s="34" t="s">
        <v>1358</v>
      </c>
      <c r="J2864" s="48"/>
      <c r="K2864" s="48"/>
      <c r="L2864" s="48">
        <v>15000</v>
      </c>
      <c r="M2864" s="48">
        <v>5000</v>
      </c>
      <c r="N2864" s="59"/>
      <c r="O2864" s="59"/>
      <c r="P2864" s="59"/>
      <c r="Q2864" s="268">
        <f t="shared" si="133"/>
        <v>20000</v>
      </c>
      <c r="R2864" s="61">
        <f>IF(O2864=0,0,SUMIFS(Disbursements!$T:$T,Disbursements!$B:$B,'Live Collections'!D2864,Disbursements!$D:$D,'Live Collections'!F2864))</f>
        <v>0</v>
      </c>
      <c r="S2864" s="304">
        <f>IF(O2864&lt;=IF($O2864=0,0,SUMIFS(Disbursements!$W:$W,Disbursements!$B:$B,'Live Collections'!D2829,Disbursements!$D:$D,'Live Collections'!F2829)),O2864,IF($O2864=0,0,SUMIFS(Disbursements!$W:$W,Disbursements!$B:$B,'Live Collections'!D2829,Disbursements!$D:$D,'Live Collections'!F2829)))</f>
        <v>0</v>
      </c>
      <c r="T2864" s="304">
        <f t="shared" si="134"/>
        <v>0</v>
      </c>
      <c r="U2864" s="52"/>
      <c r="V2864" s="34"/>
      <c r="W2864" s="408"/>
    </row>
    <row r="2865" spans="1:23" ht="12.75" customHeight="1" x14ac:dyDescent="0.2">
      <c r="A2865" s="257">
        <v>2844</v>
      </c>
      <c r="B2865" s="44">
        <v>44592</v>
      </c>
      <c r="C2865" s="44">
        <f t="shared" si="135"/>
        <v>44592</v>
      </c>
      <c r="D2865" s="374">
        <v>254</v>
      </c>
      <c r="E2865" s="291" t="str">
        <f>IFERROR(VLOOKUP($D2865,'Clients-Live'!$A:$C,3,0),"")</f>
        <v>ANITE AGNES</v>
      </c>
      <c r="F2865" s="291">
        <f>IFERROR(INDEX(Disbursements!$D:$D,MATCH('Live Collections'!G2865,Disbursements!$C:$C,0)),"")</f>
        <v>1</v>
      </c>
      <c r="G2865" s="34">
        <v>279</v>
      </c>
      <c r="H2865" s="34">
        <v>4648</v>
      </c>
      <c r="I2865" s="34" t="s">
        <v>1357</v>
      </c>
      <c r="J2865" s="48"/>
      <c r="K2865" s="48"/>
      <c r="L2865" s="48"/>
      <c r="M2865" s="48"/>
      <c r="N2865" s="59"/>
      <c r="O2865" s="59">
        <v>80000</v>
      </c>
      <c r="P2865" s="59"/>
      <c r="Q2865" s="268">
        <f t="shared" si="133"/>
        <v>80000</v>
      </c>
      <c r="R2865" s="61">
        <f>IF(O2865=0,0,SUMIFS(Disbursements!$T:$T,Disbursements!$B:$B,'Live Collections'!D2865,Disbursements!$D:$D,'Live Collections'!F2865))</f>
        <v>120000</v>
      </c>
      <c r="S2865" s="304"/>
      <c r="T2865" s="304">
        <f t="shared" si="134"/>
        <v>80000</v>
      </c>
      <c r="U2865" s="52"/>
      <c r="V2865" s="34"/>
      <c r="W2865" s="408"/>
    </row>
    <row r="2866" spans="1:23" ht="12.75" customHeight="1" x14ac:dyDescent="0.2">
      <c r="A2866" s="257">
        <v>2860</v>
      </c>
      <c r="B2866" s="44">
        <v>44592</v>
      </c>
      <c r="C2866" s="44">
        <f t="shared" si="135"/>
        <v>44592</v>
      </c>
      <c r="D2866" s="374">
        <v>309</v>
      </c>
      <c r="E2866" s="291" t="str">
        <f>IFERROR(VLOOKUP($D2866,'Clients-Live'!$A:$C,3,0),"")</f>
        <v>NAMBOZO HALIMA</v>
      </c>
      <c r="F2866" s="291">
        <f>IFERROR(INDEX(Disbursements!$D:$D,MATCH('Live Collections'!G2866,Disbursements!$C:$C,0)),"")</f>
        <v>1</v>
      </c>
      <c r="G2866" s="34">
        <v>391</v>
      </c>
      <c r="H2866" s="34">
        <v>4637</v>
      </c>
      <c r="I2866" s="34" t="s">
        <v>1357</v>
      </c>
      <c r="J2866" s="48"/>
      <c r="K2866" s="48"/>
      <c r="L2866" s="48"/>
      <c r="M2866" s="48"/>
      <c r="N2866" s="59"/>
      <c r="O2866" s="59">
        <v>70000</v>
      </c>
      <c r="P2866" s="59"/>
      <c r="Q2866" s="268">
        <f t="shared" si="133"/>
        <v>70000</v>
      </c>
      <c r="R2866" s="61">
        <f>IF(O2866=0,0,SUMIFS(Disbursements!$T:$T,Disbursements!$B:$B,'Live Collections'!D2866,Disbursements!$D:$D,'Live Collections'!F2866))</f>
        <v>79000</v>
      </c>
      <c r="S2866" s="304">
        <f>IF(O2866&lt;=IF($O2866=0,0,SUMIFS(Disbursements!$W:$W,Disbursements!$B:$B,'Live Collections'!D3116,Disbursements!$D:$D,'Live Collections'!F3116)),O2866,IF($O2866=0,0,SUMIFS(Disbursements!$W:$W,Disbursements!$B:$B,'Live Collections'!D3116,Disbursements!$D:$D,'Live Collections'!F3116)))</f>
        <v>30000</v>
      </c>
      <c r="T2866" s="304">
        <f t="shared" si="134"/>
        <v>40000</v>
      </c>
      <c r="U2866" s="52"/>
      <c r="V2866" s="34"/>
      <c r="W2866" s="408"/>
    </row>
    <row r="2867" spans="1:23" ht="12.75" customHeight="1" x14ac:dyDescent="0.2">
      <c r="A2867" s="257">
        <v>2845</v>
      </c>
      <c r="B2867" s="44">
        <v>44592</v>
      </c>
      <c r="C2867" s="44">
        <f t="shared" si="135"/>
        <v>44592</v>
      </c>
      <c r="D2867" s="374">
        <v>311</v>
      </c>
      <c r="E2867" s="291" t="str">
        <f>IFERROR(VLOOKUP($D2867,'Clients-Live'!$A:$C,3,0),"")</f>
        <v>PATRICK OKUONZI</v>
      </c>
      <c r="F2867" s="291" t="str">
        <f>IFERROR(INDEX(Disbursements!$D:$D,MATCH('Live Collections'!G2867,Disbursements!$C:$C,0)),"")</f>
        <v/>
      </c>
      <c r="G2867" s="34"/>
      <c r="H2867" s="34">
        <v>4641</v>
      </c>
      <c r="I2867" s="34" t="s">
        <v>1358</v>
      </c>
      <c r="J2867" s="48"/>
      <c r="K2867" s="48"/>
      <c r="L2867" s="48"/>
      <c r="M2867" s="48"/>
      <c r="N2867" s="59"/>
      <c r="O2867" s="59"/>
      <c r="P2867" s="59">
        <v>80000</v>
      </c>
      <c r="Q2867" s="268">
        <f t="shared" ref="Q2867:Q2930" si="136">SUM(J2867:P2867)</f>
        <v>80000</v>
      </c>
      <c r="R2867" s="61">
        <f>IF(O2867=0,0,SUMIFS(Disbursements!$T:$T,Disbursements!$B:$B,'Live Collections'!D2867,Disbursements!$D:$D,'Live Collections'!F2867))</f>
        <v>0</v>
      </c>
      <c r="S2867" s="304">
        <f>IF(O2867&lt;=IF($O2867=0,0,SUMIFS(Disbursements!$W:$W,Disbursements!$B:$B,'Live Collections'!D3124,Disbursements!$D:$D,'Live Collections'!F3124)),O2867,IF($O2867=0,0,SUMIFS(Disbursements!$W:$W,Disbursements!$B:$B,'Live Collections'!D3124,Disbursements!$D:$D,'Live Collections'!F3124)))</f>
        <v>0</v>
      </c>
      <c r="T2867" s="304">
        <f t="shared" si="134"/>
        <v>0</v>
      </c>
      <c r="U2867" s="52"/>
      <c r="V2867" s="34"/>
      <c r="W2867" s="408"/>
    </row>
    <row r="2868" spans="1:23" ht="12.75" customHeight="1" x14ac:dyDescent="0.2">
      <c r="A2868" s="257">
        <v>2850</v>
      </c>
      <c r="B2868" s="44">
        <v>44592</v>
      </c>
      <c r="C2868" s="44">
        <f t="shared" si="135"/>
        <v>44592</v>
      </c>
      <c r="D2868" s="374">
        <v>311</v>
      </c>
      <c r="E2868" s="291" t="str">
        <f>IFERROR(VLOOKUP($D2868,'Clients-Live'!$A:$C,3,0),"")</f>
        <v>PATRICK OKUONZI</v>
      </c>
      <c r="F2868" s="291" t="str">
        <f>IFERROR(INDEX(Disbursements!$D:$D,MATCH('Live Collections'!G2868,Disbursements!$C:$C,0)),"")</f>
        <v/>
      </c>
      <c r="G2868" s="34"/>
      <c r="H2868" s="34">
        <v>4639</v>
      </c>
      <c r="I2868" s="34" t="s">
        <v>1358</v>
      </c>
      <c r="J2868" s="48"/>
      <c r="K2868" s="48"/>
      <c r="L2868" s="48">
        <v>20000</v>
      </c>
      <c r="M2868" s="48">
        <v>5000</v>
      </c>
      <c r="N2868" s="59"/>
      <c r="O2868" s="59"/>
      <c r="P2868" s="59"/>
      <c r="Q2868" s="268">
        <f t="shared" si="136"/>
        <v>25000</v>
      </c>
      <c r="R2868" s="61">
        <f>IF(O2868=0,0,SUMIFS(Disbursements!$T:$T,Disbursements!$B:$B,'Live Collections'!D2868,Disbursements!$D:$D,'Live Collections'!F2868))</f>
        <v>0</v>
      </c>
      <c r="S2868" s="304">
        <f>IF(O2868&lt;=IF($O2868=0,0,SUMIFS(Disbursements!$W:$W,Disbursements!$B:$B,'Live Collections'!D3125,Disbursements!$D:$D,'Live Collections'!F3125)),O2868,IF($O2868=0,0,SUMIFS(Disbursements!$W:$W,Disbursements!$B:$B,'Live Collections'!D3125,Disbursements!$D:$D,'Live Collections'!F3125)))</f>
        <v>0</v>
      </c>
      <c r="T2868" s="304">
        <f t="shared" si="134"/>
        <v>0</v>
      </c>
      <c r="U2868" s="52"/>
      <c r="V2868" s="34"/>
      <c r="W2868" s="408"/>
    </row>
    <row r="2869" spans="1:23" ht="12.75" customHeight="1" x14ac:dyDescent="0.2">
      <c r="A2869" s="257">
        <v>2851</v>
      </c>
      <c r="B2869" s="44">
        <v>44592</v>
      </c>
      <c r="C2869" s="44">
        <f t="shared" si="135"/>
        <v>44592</v>
      </c>
      <c r="D2869" s="374">
        <v>311</v>
      </c>
      <c r="E2869" s="291" t="str">
        <f>IFERROR(VLOOKUP($D2869,'Clients-Live'!$A:$C,3,0),"")</f>
        <v>PATRICK OKUONZI</v>
      </c>
      <c r="F2869" s="291">
        <f>IFERROR(INDEX(Disbursements!$D:$D,MATCH('Live Collections'!G2869,Disbursements!$C:$C,0)),"")</f>
        <v>1</v>
      </c>
      <c r="G2869" s="34">
        <v>392</v>
      </c>
      <c r="H2869" s="34">
        <v>4638</v>
      </c>
      <c r="I2869" s="34" t="s">
        <v>1358</v>
      </c>
      <c r="J2869" s="48"/>
      <c r="K2869" s="48"/>
      <c r="L2869" s="48"/>
      <c r="M2869" s="48"/>
      <c r="N2869" s="59"/>
      <c r="O2869" s="59">
        <v>45500</v>
      </c>
      <c r="P2869" s="59"/>
      <c r="Q2869" s="268">
        <f t="shared" si="136"/>
        <v>45500</v>
      </c>
      <c r="R2869" s="61">
        <f>IF(O2869=0,0,SUMIFS(Disbursements!$T:$T,Disbursements!$B:$B,'Live Collections'!D2869,Disbursements!$D:$D,'Live Collections'!F2869))</f>
        <v>538000</v>
      </c>
      <c r="S2869" s="304">
        <f>IF(O2869&lt;=IF($O2869=0,0,SUMIFS(Disbursements!$W:$W,Disbursements!$B:$B,'Live Collections'!D3418,Disbursements!$D:$D,'Live Collections'!F3418)),O2869,IF($O2869=0,0,SUMIFS(Disbursements!$W:$W,Disbursements!$B:$B,'Live Collections'!D3418,Disbursements!$D:$D,'Live Collections'!F3418)))</f>
        <v>33000</v>
      </c>
      <c r="T2869" s="304">
        <f t="shared" si="134"/>
        <v>12500</v>
      </c>
      <c r="U2869" s="52"/>
      <c r="V2869" s="34"/>
      <c r="W2869" s="408"/>
    </row>
    <row r="2870" spans="1:23" ht="12.75" customHeight="1" x14ac:dyDescent="0.2">
      <c r="A2870" s="257">
        <v>2852</v>
      </c>
      <c r="B2870" s="44">
        <v>44592</v>
      </c>
      <c r="C2870" s="44">
        <f t="shared" si="135"/>
        <v>44592</v>
      </c>
      <c r="D2870" s="374">
        <v>311</v>
      </c>
      <c r="E2870" s="291" t="str">
        <f>IFERROR(VLOOKUP($D2870,'Clients-Live'!$A:$C,3,0),"")</f>
        <v>PATRICK OKUONZI</v>
      </c>
      <c r="F2870" s="291">
        <f>IFERROR(INDEX(Disbursements!$D:$D,MATCH('Live Collections'!G2870,Disbursements!$C:$C,0)),"")</f>
        <v>1</v>
      </c>
      <c r="G2870" s="34">
        <v>392</v>
      </c>
      <c r="H2870" s="34">
        <v>616</v>
      </c>
      <c r="I2870" s="34" t="s">
        <v>1358</v>
      </c>
      <c r="J2870" s="48"/>
      <c r="K2870" s="48"/>
      <c r="L2870" s="48"/>
      <c r="M2870" s="48"/>
      <c r="N2870" s="59"/>
      <c r="O2870" s="59"/>
      <c r="P2870" s="59">
        <v>-45500</v>
      </c>
      <c r="Q2870" s="268">
        <f t="shared" si="136"/>
        <v>-45500</v>
      </c>
      <c r="R2870" s="61">
        <f>IF(O2870=0,0,SUMIFS(Disbursements!$T:$T,Disbursements!$B:$B,'Live Collections'!D2870,Disbursements!$D:$D,'Live Collections'!F2870))</f>
        <v>0</v>
      </c>
      <c r="S2870" s="304">
        <f>IF(O2870&lt;=IF($O2870=0,0,SUMIFS(Disbursements!$W:$W,Disbursements!$B:$B,'Live Collections'!D3419,Disbursements!$D:$D,'Live Collections'!F3419)),O2870,IF($O2870=0,0,SUMIFS(Disbursements!$W:$W,Disbursements!$B:$B,'Live Collections'!D3419,Disbursements!$D:$D,'Live Collections'!F3419)))</f>
        <v>0</v>
      </c>
      <c r="T2870" s="304">
        <f t="shared" si="134"/>
        <v>0</v>
      </c>
      <c r="U2870" s="52"/>
      <c r="V2870" s="34"/>
      <c r="W2870" s="408" t="s">
        <v>2015</v>
      </c>
    </row>
    <row r="2871" spans="1:23" ht="12.75" customHeight="1" x14ac:dyDescent="0.2">
      <c r="A2871" s="257">
        <v>2853</v>
      </c>
      <c r="B2871" s="44">
        <v>44592</v>
      </c>
      <c r="C2871" s="44">
        <f t="shared" si="135"/>
        <v>44592</v>
      </c>
      <c r="D2871" s="374">
        <v>311</v>
      </c>
      <c r="E2871" s="291" t="str">
        <f>IFERROR(VLOOKUP($D2871,'Clients-Live'!$A:$C,3,0),"")</f>
        <v>PATRICK OKUONZI</v>
      </c>
      <c r="F2871" s="291">
        <f>IFERROR(INDEX(Disbursements!$D:$D,MATCH('Live Collections'!G2871,Disbursements!$C:$C,0)),"")</f>
        <v>1</v>
      </c>
      <c r="G2871" s="34">
        <v>392</v>
      </c>
      <c r="H2871" s="34">
        <v>4703</v>
      </c>
      <c r="I2871" s="34" t="s">
        <v>1358</v>
      </c>
      <c r="J2871" s="48"/>
      <c r="K2871" s="48"/>
      <c r="L2871" s="48"/>
      <c r="M2871" s="48"/>
      <c r="N2871" s="59"/>
      <c r="O2871" s="59">
        <v>487500</v>
      </c>
      <c r="P2871" s="59"/>
      <c r="Q2871" s="268">
        <f t="shared" si="136"/>
        <v>487500</v>
      </c>
      <c r="R2871" s="61">
        <f>IF(O2871=0,0,SUMIFS(Disbursements!$T:$T,Disbursements!$B:$B,'Live Collections'!D2871,Disbursements!$D:$D,'Live Collections'!F2871))</f>
        <v>538000</v>
      </c>
      <c r="S2871" s="304"/>
      <c r="T2871" s="304">
        <f t="shared" si="134"/>
        <v>487500</v>
      </c>
      <c r="U2871" s="52"/>
      <c r="V2871" s="34"/>
      <c r="W2871" s="408"/>
    </row>
    <row r="2872" spans="1:23" ht="12.75" customHeight="1" x14ac:dyDescent="0.2">
      <c r="A2872" s="257">
        <v>2897</v>
      </c>
      <c r="B2872" s="44">
        <v>44593</v>
      </c>
      <c r="C2872" s="44">
        <f t="shared" si="135"/>
        <v>44593</v>
      </c>
      <c r="D2872" s="374">
        <v>9</v>
      </c>
      <c r="E2872" s="291" t="str">
        <f>IFERROR(VLOOKUP($D2872,'Clients-Live'!$A:$C,3,0),"")</f>
        <v>TABAN DAVID YAYA</v>
      </c>
      <c r="F2872" s="291" t="str">
        <f>IFERROR(INDEX(Disbursements!$D:$D,MATCH('Live Collections'!G2872,Disbursements!$C:$C,0)),"")</f>
        <v/>
      </c>
      <c r="G2872" s="34"/>
      <c r="H2872" s="34">
        <v>4515</v>
      </c>
      <c r="I2872" s="34" t="s">
        <v>1357</v>
      </c>
      <c r="J2872" s="48"/>
      <c r="K2872" s="48"/>
      <c r="L2872" s="48">
        <v>20000</v>
      </c>
      <c r="M2872" s="48">
        <v>5000</v>
      </c>
      <c r="N2872" s="59"/>
      <c r="O2872" s="59"/>
      <c r="P2872" s="59"/>
      <c r="Q2872" s="268">
        <f t="shared" si="136"/>
        <v>25000</v>
      </c>
      <c r="R2872" s="61">
        <f>IF(O2872=0,0,SUMIFS(Disbursements!$T:$T,Disbursements!$B:$B,'Live Collections'!D2872,Disbursements!$D:$D,'Live Collections'!F2872))</f>
        <v>0</v>
      </c>
      <c r="S2872" s="304">
        <f>IF(O2872&lt;=IF($O2872=0,0,SUMIFS(Disbursements!$W:$W,Disbursements!$B:$B,'Live Collections'!D95,Disbursements!$D:$D,'Live Collections'!F95)),O2872,IF($O2872=0,0,SUMIFS(Disbursements!$W:$W,Disbursements!$B:$B,'Live Collections'!D95,Disbursements!$D:$D,'Live Collections'!F95)))</f>
        <v>0</v>
      </c>
      <c r="T2872" s="304">
        <f t="shared" si="134"/>
        <v>0</v>
      </c>
      <c r="U2872" s="52"/>
      <c r="V2872" s="34"/>
      <c r="W2872" s="408"/>
    </row>
    <row r="2873" spans="1:23" ht="12.75" customHeight="1" x14ac:dyDescent="0.2">
      <c r="A2873" s="257">
        <v>2898</v>
      </c>
      <c r="B2873" s="44">
        <v>44593</v>
      </c>
      <c r="C2873" s="44">
        <f t="shared" si="135"/>
        <v>44593</v>
      </c>
      <c r="D2873" s="374">
        <v>9</v>
      </c>
      <c r="E2873" s="291" t="str">
        <f>IFERROR(VLOOKUP($D2873,'Clients-Live'!$A:$C,3,0),"")</f>
        <v>TABAN DAVID YAYA</v>
      </c>
      <c r="F2873" s="291">
        <f>IFERROR(INDEX(Disbursements!$D:$D,MATCH('Live Collections'!G2873,Disbursements!$C:$C,0)),"")</f>
        <v>2</v>
      </c>
      <c r="G2873" s="34">
        <v>221</v>
      </c>
      <c r="H2873" s="34">
        <v>4514</v>
      </c>
      <c r="I2873" s="34" t="s">
        <v>1357</v>
      </c>
      <c r="J2873" s="48"/>
      <c r="K2873" s="48"/>
      <c r="L2873" s="48"/>
      <c r="M2873" s="48"/>
      <c r="N2873" s="59"/>
      <c r="O2873" s="59">
        <v>120000</v>
      </c>
      <c r="P2873" s="59"/>
      <c r="Q2873" s="268">
        <f t="shared" si="136"/>
        <v>120000</v>
      </c>
      <c r="R2873" s="61">
        <f>IF(O2873=0,0,SUMIFS(Disbursements!$T:$T,Disbursements!$B:$B,'Live Collections'!D2873,Disbursements!$D:$D,'Live Collections'!F2873))</f>
        <v>360000</v>
      </c>
      <c r="S2873" s="304">
        <f>IF(O2873&lt;=IF($O2873=0,0,SUMIFS(Disbursements!$W:$W,Disbursements!$B:$B,'Live Collections'!D96,Disbursements!$D:$D,'Live Collections'!F96)),O2873,IF($O2873=0,0,SUMIFS(Disbursements!$W:$W,Disbursements!$B:$B,'Live Collections'!D96,Disbursements!$D:$D,'Live Collections'!F96)))</f>
        <v>120000</v>
      </c>
      <c r="T2873" s="304">
        <f t="shared" si="134"/>
        <v>0</v>
      </c>
      <c r="U2873" s="52"/>
      <c r="V2873" s="34"/>
      <c r="W2873" s="408"/>
    </row>
    <row r="2874" spans="1:23" ht="12.75" customHeight="1" x14ac:dyDescent="0.2">
      <c r="A2874" s="257">
        <v>2899</v>
      </c>
      <c r="B2874" s="44">
        <v>44593</v>
      </c>
      <c r="C2874" s="44">
        <f t="shared" si="135"/>
        <v>44593</v>
      </c>
      <c r="D2874" s="374">
        <v>9</v>
      </c>
      <c r="E2874" s="291" t="str">
        <f>IFERROR(VLOOKUP($D2874,'Clients-Live'!$A:$C,3,0),"")</f>
        <v>TABAN DAVID YAYA</v>
      </c>
      <c r="F2874" s="291">
        <f>IFERROR(INDEX(Disbursements!$D:$D,MATCH('Live Collections'!G2874,Disbursements!$C:$C,0)),"")</f>
        <v>2</v>
      </c>
      <c r="G2874" s="34">
        <v>221</v>
      </c>
      <c r="H2874" s="34">
        <v>621</v>
      </c>
      <c r="I2874" s="34" t="s">
        <v>1357</v>
      </c>
      <c r="J2874" s="48"/>
      <c r="K2874" s="48"/>
      <c r="L2874" s="48"/>
      <c r="M2874" s="48"/>
      <c r="N2874" s="59"/>
      <c r="O2874" s="59"/>
      <c r="P2874" s="59">
        <v>-120000</v>
      </c>
      <c r="Q2874" s="268">
        <f t="shared" si="136"/>
        <v>-120000</v>
      </c>
      <c r="R2874" s="61">
        <f>IF(O2874=0,0,SUMIFS(Disbursements!$T:$T,Disbursements!$B:$B,'Live Collections'!D2874,Disbursements!$D:$D,'Live Collections'!F2874))</f>
        <v>0</v>
      </c>
      <c r="S2874" s="304">
        <f>IF(O2874&lt;=IF($O2874=0,0,SUMIFS(Disbursements!$W:$W,Disbursements!$B:$B,'Live Collections'!D97,Disbursements!$D:$D,'Live Collections'!F97)),O2874,IF($O2874=0,0,SUMIFS(Disbursements!$W:$W,Disbursements!$B:$B,'Live Collections'!D97,Disbursements!$D:$D,'Live Collections'!F97)))</f>
        <v>0</v>
      </c>
      <c r="T2874" s="304">
        <f t="shared" si="134"/>
        <v>0</v>
      </c>
      <c r="U2874" s="52"/>
      <c r="V2874" s="34"/>
      <c r="W2874" s="408" t="s">
        <v>2019</v>
      </c>
    </row>
    <row r="2875" spans="1:23" ht="12.75" customHeight="1" x14ac:dyDescent="0.2">
      <c r="A2875" s="257">
        <v>2900</v>
      </c>
      <c r="B2875" s="44">
        <v>44593</v>
      </c>
      <c r="C2875" s="44">
        <f t="shared" si="135"/>
        <v>44593</v>
      </c>
      <c r="D2875" s="374">
        <v>9</v>
      </c>
      <c r="E2875" s="291" t="str">
        <f>IFERROR(VLOOKUP($D2875,'Clients-Live'!$A:$C,3,0),"")</f>
        <v>TABAN DAVID YAYA</v>
      </c>
      <c r="F2875" s="291">
        <f>IFERROR(INDEX(Disbursements!$D:$D,MATCH('Live Collections'!G2875,Disbursements!$C:$C,0)),"")</f>
        <v>2</v>
      </c>
      <c r="G2875" s="34">
        <v>221</v>
      </c>
      <c r="H2875" s="34">
        <v>4513</v>
      </c>
      <c r="I2875" s="34" t="s">
        <v>1357</v>
      </c>
      <c r="J2875" s="48"/>
      <c r="K2875" s="48"/>
      <c r="L2875" s="48"/>
      <c r="M2875" s="48"/>
      <c r="N2875" s="59"/>
      <c r="O2875" s="59">
        <v>280000</v>
      </c>
      <c r="P2875" s="59"/>
      <c r="Q2875" s="268">
        <f t="shared" si="136"/>
        <v>280000</v>
      </c>
      <c r="R2875" s="61">
        <f>IF(O2875=0,0,SUMIFS(Disbursements!$T:$T,Disbursements!$B:$B,'Live Collections'!D2875,Disbursements!$D:$D,'Live Collections'!F2875))</f>
        <v>360000</v>
      </c>
      <c r="S2875" s="64">
        <v>-80666.666666666686</v>
      </c>
      <c r="T2875" s="304">
        <f t="shared" si="134"/>
        <v>360666.66666666669</v>
      </c>
      <c r="U2875" s="52"/>
      <c r="V2875" s="34"/>
      <c r="W2875" s="408"/>
    </row>
    <row r="2876" spans="1:23" ht="12.75" customHeight="1" x14ac:dyDescent="0.2">
      <c r="A2876" s="257">
        <v>2896</v>
      </c>
      <c r="B2876" s="44">
        <v>44593</v>
      </c>
      <c r="C2876" s="44">
        <f t="shared" si="135"/>
        <v>44593</v>
      </c>
      <c r="D2876" s="374">
        <v>10</v>
      </c>
      <c r="E2876" s="291" t="str">
        <f>IFERROR(VLOOKUP($D2876,'Clients-Live'!$A:$C,3,0),"")</f>
        <v>WARU ARIEYE VALENTINA CHARLES</v>
      </c>
      <c r="F2876" s="291">
        <f>IFERROR(INDEX(Disbursements!$D:$D,MATCH('Live Collections'!G2876,Disbursements!$C:$C,0)),"")</f>
        <v>1</v>
      </c>
      <c r="G2876" s="34">
        <v>334</v>
      </c>
      <c r="H2876" s="34">
        <v>4707</v>
      </c>
      <c r="I2876" s="34" t="s">
        <v>1357</v>
      </c>
      <c r="J2876" s="48"/>
      <c r="K2876" s="48"/>
      <c r="L2876" s="48"/>
      <c r="M2876" s="48"/>
      <c r="N2876" s="59"/>
      <c r="O2876" s="59">
        <v>125000</v>
      </c>
      <c r="P2876" s="59"/>
      <c r="Q2876" s="268">
        <f t="shared" si="136"/>
        <v>125000</v>
      </c>
      <c r="R2876" s="61">
        <f>IF(O2876=0,0,SUMIFS(Disbursements!$T:$T,Disbursements!$B:$B,'Live Collections'!D2876,Disbursements!$D:$D,'Live Collections'!F2876))</f>
        <v>125000</v>
      </c>
      <c r="S2876" s="304">
        <f>IF(O2876&lt;=IF($O2876=0,0,SUMIFS(Disbursements!$W:$W,Disbursements!$B:$B,'Live Collections'!D105,Disbursements!$D:$D,'Live Collections'!F105)),O2876,IF($O2876=0,0,SUMIFS(Disbursements!$W:$W,Disbursements!$B:$B,'Live Collections'!D105,Disbursements!$D:$D,'Live Collections'!F105)))</f>
        <v>0</v>
      </c>
      <c r="T2876" s="304">
        <f t="shared" si="134"/>
        <v>125000</v>
      </c>
      <c r="U2876" s="52"/>
      <c r="V2876" s="34"/>
      <c r="W2876" s="408"/>
    </row>
    <row r="2877" spans="1:23" ht="12.75" customHeight="1" x14ac:dyDescent="0.2">
      <c r="A2877" s="257">
        <v>2886</v>
      </c>
      <c r="B2877" s="44">
        <v>44593</v>
      </c>
      <c r="C2877" s="44">
        <f t="shared" si="135"/>
        <v>44593</v>
      </c>
      <c r="D2877" s="374">
        <v>22</v>
      </c>
      <c r="E2877" s="291" t="str">
        <f>IFERROR(VLOOKUP($D2877,'Clients-Live'!$A:$C,3,0),"")</f>
        <v>DATA ISMAIL FATARI</v>
      </c>
      <c r="F2877" s="291">
        <v>2</v>
      </c>
      <c r="G2877" s="34">
        <v>381</v>
      </c>
      <c r="H2877" s="34">
        <v>4522</v>
      </c>
      <c r="I2877" s="34" t="s">
        <v>1359</v>
      </c>
      <c r="J2877" s="48"/>
      <c r="K2877" s="48"/>
      <c r="L2877" s="48"/>
      <c r="M2877" s="48"/>
      <c r="N2877" s="59"/>
      <c r="O2877" s="59">
        <v>10000</v>
      </c>
      <c r="P2877" s="59"/>
      <c r="Q2877" s="268">
        <f t="shared" si="136"/>
        <v>10000</v>
      </c>
      <c r="R2877" s="61">
        <f>IF(O2877=0,0,SUMIFS(Disbursements!$T:$T,Disbursements!$B:$B,'Live Collections'!D2877,Disbursements!$D:$D,'Live Collections'!F2877))</f>
        <v>210000</v>
      </c>
      <c r="S2877" s="304">
        <f>IF(O2877&lt;=IF($O2877=0,0,SUMIFS(Disbursements!$W:$W,Disbursements!$B:$B,'Live Collections'!D302,Disbursements!$D:$D,'Live Collections'!F302)),O2877,IF($O2877=0,0,SUMIFS(Disbursements!$W:$W,Disbursements!$B:$B,'Live Collections'!D302,Disbursements!$D:$D,'Live Collections'!F302)))</f>
        <v>10000</v>
      </c>
      <c r="T2877" s="304">
        <f t="shared" si="134"/>
        <v>0</v>
      </c>
      <c r="U2877" s="52"/>
      <c r="V2877" s="34"/>
      <c r="W2877" s="408"/>
    </row>
    <row r="2878" spans="1:23" ht="12.75" customHeight="1" x14ac:dyDescent="0.2">
      <c r="A2878" s="257">
        <v>2882</v>
      </c>
      <c r="B2878" s="44">
        <v>44593</v>
      </c>
      <c r="C2878" s="44">
        <f t="shared" si="135"/>
        <v>44593</v>
      </c>
      <c r="D2878" s="374">
        <v>73</v>
      </c>
      <c r="E2878" s="291" t="str">
        <f>IFERROR(VLOOKUP($D2878,'Clients-Live'!$A:$C,3,0),"")</f>
        <v>AJONYE DEBORA</v>
      </c>
      <c r="F2878" s="291">
        <f>IFERROR(INDEX(Disbursements!$D:$D,MATCH('Live Collections'!G2878,Disbursements!$C:$C,0)),"")</f>
        <v>2</v>
      </c>
      <c r="G2878" s="34">
        <v>240</v>
      </c>
      <c r="H2878" s="34">
        <v>4710</v>
      </c>
      <c r="I2878" s="34" t="s">
        <v>1357</v>
      </c>
      <c r="J2878" s="48"/>
      <c r="K2878" s="48"/>
      <c r="L2878" s="48"/>
      <c r="M2878" s="48"/>
      <c r="N2878" s="59"/>
      <c r="O2878" s="59">
        <v>60000</v>
      </c>
      <c r="P2878" s="59"/>
      <c r="Q2878" s="268">
        <f t="shared" si="136"/>
        <v>60000</v>
      </c>
      <c r="R2878" s="61">
        <f>IF(O2878=0,0,SUMIFS(Disbursements!$T:$T,Disbursements!$B:$B,'Live Collections'!D2878,Disbursements!$D:$D,'Live Collections'!F2878))</f>
        <v>150000</v>
      </c>
      <c r="S2878" s="304">
        <f>IF(O2878&lt;=IF($O2878=0,0,SUMIFS(Disbursements!$W:$W,Disbursements!$B:$B,'Live Collections'!D928,Disbursements!$D:$D,'Live Collections'!F928)),O2878,IF($O2878=0,0,SUMIFS(Disbursements!$W:$W,Disbursements!$B:$B,'Live Collections'!D928,Disbursements!$D:$D,'Live Collections'!F928)))</f>
        <v>35000</v>
      </c>
      <c r="T2878" s="304">
        <f t="shared" ref="T2878:T2941" si="137">IF(O2878=0,0,O2878-S2878)</f>
        <v>25000</v>
      </c>
      <c r="U2878" s="52"/>
      <c r="V2878" s="34"/>
      <c r="W2878" s="408"/>
    </row>
    <row r="2879" spans="1:23" ht="12.75" customHeight="1" x14ac:dyDescent="0.2">
      <c r="A2879" s="257">
        <v>2883</v>
      </c>
      <c r="B2879" s="44">
        <v>44593</v>
      </c>
      <c r="C2879" s="44">
        <f t="shared" si="135"/>
        <v>44593</v>
      </c>
      <c r="D2879" s="374">
        <v>73</v>
      </c>
      <c r="E2879" s="291" t="str">
        <f>IFERROR(VLOOKUP($D2879,'Clients-Live'!$A:$C,3,0),"")</f>
        <v>AJONYE DEBORA</v>
      </c>
      <c r="F2879" s="291">
        <f>IFERROR(INDEX(Disbursements!$D:$D,MATCH('Live Collections'!G2879,Disbursements!$C:$C,0)),"")</f>
        <v>2</v>
      </c>
      <c r="G2879" s="34">
        <v>240</v>
      </c>
      <c r="H2879" s="34">
        <v>749</v>
      </c>
      <c r="I2879" s="34" t="s">
        <v>1357</v>
      </c>
      <c r="J2879" s="48"/>
      <c r="K2879" s="48"/>
      <c r="L2879" s="48"/>
      <c r="M2879" s="48"/>
      <c r="N2879" s="59"/>
      <c r="O2879" s="59"/>
      <c r="P2879" s="59">
        <v>-60000</v>
      </c>
      <c r="Q2879" s="268">
        <f t="shared" si="136"/>
        <v>-60000</v>
      </c>
      <c r="R2879" s="61">
        <f>IF(O2879=0,0,SUMIFS(Disbursements!$T:$T,Disbursements!$B:$B,'Live Collections'!D2879,Disbursements!$D:$D,'Live Collections'!F2879))</f>
        <v>0</v>
      </c>
      <c r="S2879" s="304">
        <f>IF(O2879&lt;=IF($O2879=0,0,SUMIFS(Disbursements!$W:$W,Disbursements!$B:$B,'Live Collections'!D929,Disbursements!$D:$D,'Live Collections'!F929)),O2879,IF($O2879=0,0,SUMIFS(Disbursements!$W:$W,Disbursements!$B:$B,'Live Collections'!D929,Disbursements!$D:$D,'Live Collections'!F929)))</f>
        <v>0</v>
      </c>
      <c r="T2879" s="304">
        <f t="shared" si="137"/>
        <v>0</v>
      </c>
      <c r="U2879" s="52"/>
      <c r="V2879" s="34"/>
      <c r="W2879" s="408" t="s">
        <v>2063</v>
      </c>
    </row>
    <row r="2880" spans="1:23" ht="12.75" customHeight="1" x14ac:dyDescent="0.2">
      <c r="A2880" s="257">
        <v>2884</v>
      </c>
      <c r="B2880" s="44">
        <v>44593</v>
      </c>
      <c r="C2880" s="44">
        <f t="shared" si="135"/>
        <v>44593</v>
      </c>
      <c r="D2880" s="374">
        <v>73</v>
      </c>
      <c r="E2880" s="291" t="str">
        <f>IFERROR(VLOOKUP($D2880,'Clients-Live'!$A:$C,3,0),"")</f>
        <v>AJONYE DEBORA</v>
      </c>
      <c r="F2880" s="291">
        <f>IFERROR(INDEX(Disbursements!$D:$D,MATCH('Live Collections'!G2880,Disbursements!$C:$C,0)),"")</f>
        <v>2</v>
      </c>
      <c r="G2880" s="34">
        <v>240</v>
      </c>
      <c r="H2880" s="34">
        <v>4709</v>
      </c>
      <c r="I2880" s="34" t="s">
        <v>1357</v>
      </c>
      <c r="J2880" s="48"/>
      <c r="K2880" s="48"/>
      <c r="L2880" s="48"/>
      <c r="M2880" s="48"/>
      <c r="N2880" s="59"/>
      <c r="O2880" s="59">
        <v>90000</v>
      </c>
      <c r="P2880" s="59"/>
      <c r="Q2880" s="268">
        <f t="shared" si="136"/>
        <v>90000</v>
      </c>
      <c r="R2880" s="61">
        <f>IF(O2880=0,0,SUMIFS(Disbursements!$T:$T,Disbursements!$B:$B,'Live Collections'!D2880,Disbursements!$D:$D,'Live Collections'!F2880))</f>
        <v>150000</v>
      </c>
      <c r="S2880" s="64">
        <v>-50333.333333333343</v>
      </c>
      <c r="T2880" s="304">
        <f t="shared" si="137"/>
        <v>140333.33333333334</v>
      </c>
      <c r="U2880" s="52"/>
      <c r="V2880" s="34"/>
      <c r="W2880" s="408" t="s">
        <v>2086</v>
      </c>
    </row>
    <row r="2881" spans="1:23" ht="12.75" customHeight="1" x14ac:dyDescent="0.2">
      <c r="A2881" s="257">
        <v>2891</v>
      </c>
      <c r="B2881" s="44">
        <v>44593</v>
      </c>
      <c r="C2881" s="44">
        <f t="shared" si="135"/>
        <v>44593</v>
      </c>
      <c r="D2881" s="374">
        <v>86</v>
      </c>
      <c r="E2881" s="291" t="str">
        <f>IFERROR(VLOOKUP($D2881,'Clients-Live'!$A:$C,3,0),"")</f>
        <v>AMANIYO JOYCE</v>
      </c>
      <c r="F2881" s="291">
        <f>IFERROR(INDEX(Disbursements!$D:$D,MATCH('Live Collections'!G2881,Disbursements!$C:$C,0)),"")</f>
        <v>2</v>
      </c>
      <c r="G2881" s="34">
        <v>231</v>
      </c>
      <c r="H2881" s="34">
        <v>4516</v>
      </c>
      <c r="I2881" s="34" t="s">
        <v>1358</v>
      </c>
      <c r="J2881" s="48"/>
      <c r="K2881" s="48"/>
      <c r="L2881" s="48"/>
      <c r="M2881" s="48"/>
      <c r="N2881" s="59"/>
      <c r="O2881" s="59">
        <v>80000</v>
      </c>
      <c r="P2881" s="59"/>
      <c r="Q2881" s="268">
        <f t="shared" si="136"/>
        <v>80000</v>
      </c>
      <c r="R2881" s="61">
        <f>IF(O2881=0,0,SUMIFS(Disbursements!$T:$T,Disbursements!$B:$B,'Live Collections'!D2881,Disbursements!$D:$D,'Live Collections'!F2881))</f>
        <v>217000</v>
      </c>
      <c r="S2881" s="304">
        <f>IF(O2881&lt;=IF($O2881=0,0,SUMIFS(Disbursements!$W:$W,Disbursements!$B:$B,'Live Collections'!D1121,Disbursements!$D:$D,'Live Collections'!F1121)),O2881,IF($O2881=0,0,SUMIFS(Disbursements!$W:$W,Disbursements!$B:$B,'Live Collections'!D1121,Disbursements!$D:$D,'Live Collections'!F1121)))</f>
        <v>0</v>
      </c>
      <c r="T2881" s="304">
        <f t="shared" si="137"/>
        <v>80000</v>
      </c>
      <c r="U2881" s="52"/>
      <c r="V2881" s="34"/>
      <c r="W2881" s="408"/>
    </row>
    <row r="2882" spans="1:23" ht="12.75" customHeight="1" x14ac:dyDescent="0.2">
      <c r="A2882" s="257">
        <v>2889</v>
      </c>
      <c r="B2882" s="44">
        <v>44593</v>
      </c>
      <c r="C2882" s="44">
        <f t="shared" si="135"/>
        <v>44593</v>
      </c>
      <c r="D2882" s="374">
        <v>87</v>
      </c>
      <c r="E2882" s="291" t="str">
        <f>IFERROR(VLOOKUP($D2882,'Clients-Live'!$A:$C,3,0),"")</f>
        <v>FAIDA ZUBEDA</v>
      </c>
      <c r="F2882" s="291">
        <f>IFERROR(INDEX(Disbursements!$D:$D,MATCH('Live Collections'!G2882,Disbursements!$C:$C,0)),"")</f>
        <v>1</v>
      </c>
      <c r="G2882" s="34">
        <v>70</v>
      </c>
      <c r="H2882" s="34">
        <v>4517</v>
      </c>
      <c r="I2882" s="34" t="s">
        <v>1358</v>
      </c>
      <c r="J2882" s="48"/>
      <c r="K2882" s="48"/>
      <c r="L2882" s="48"/>
      <c r="M2882" s="48"/>
      <c r="N2882" s="59"/>
      <c r="O2882" s="59">
        <v>40000</v>
      </c>
      <c r="P2882" s="59"/>
      <c r="Q2882" s="268">
        <f t="shared" si="136"/>
        <v>40000</v>
      </c>
      <c r="R2882" s="61">
        <f>IF(O2882=0,0,SUMIFS(Disbursements!$T:$T,Disbursements!$B:$B,'Live Collections'!D2882,Disbursements!$D:$D,'Live Collections'!F2882))</f>
        <v>175000</v>
      </c>
      <c r="S2882" s="304"/>
      <c r="T2882" s="304">
        <f t="shared" si="137"/>
        <v>40000</v>
      </c>
      <c r="U2882" s="52"/>
      <c r="V2882" s="34"/>
      <c r="W2882" s="408"/>
    </row>
    <row r="2883" spans="1:23" ht="12.75" customHeight="1" x14ac:dyDescent="0.2">
      <c r="A2883" s="257">
        <v>2877</v>
      </c>
      <c r="B2883" s="44">
        <v>44593</v>
      </c>
      <c r="C2883" s="44">
        <f t="shared" si="135"/>
        <v>44593</v>
      </c>
      <c r="D2883" s="374">
        <v>92</v>
      </c>
      <c r="E2883" s="291" t="str">
        <f>IFERROR(VLOOKUP($D2883,'Clients-Live'!$A:$C,3,0),"")</f>
        <v>FAIDA ZAKIYA</v>
      </c>
      <c r="F2883" s="291">
        <f>IFERROR(INDEX(Disbursements!$D:$D,MATCH('Live Collections'!G2883,Disbursements!$C:$C,0)),"")</f>
        <v>1</v>
      </c>
      <c r="G2883" s="34">
        <v>74</v>
      </c>
      <c r="H2883" s="34">
        <v>4524</v>
      </c>
      <c r="I2883" s="34" t="s">
        <v>1358</v>
      </c>
      <c r="J2883" s="48"/>
      <c r="K2883" s="48"/>
      <c r="L2883" s="48"/>
      <c r="M2883" s="48"/>
      <c r="N2883" s="59"/>
      <c r="O2883" s="59">
        <v>20000</v>
      </c>
      <c r="P2883" s="59"/>
      <c r="Q2883" s="268">
        <f t="shared" si="136"/>
        <v>20000</v>
      </c>
      <c r="R2883" s="61">
        <f>IF(O2883=0,0,SUMIFS(Disbursements!$T:$T,Disbursements!$B:$B,'Live Collections'!D2883,Disbursements!$D:$D,'Live Collections'!F2883))</f>
        <v>175000</v>
      </c>
      <c r="S2883" s="304"/>
      <c r="T2883" s="304">
        <f t="shared" si="137"/>
        <v>20000</v>
      </c>
      <c r="U2883" s="52"/>
      <c r="V2883" s="34"/>
      <c r="W2883" s="408"/>
    </row>
    <row r="2884" spans="1:23" ht="12.75" customHeight="1" x14ac:dyDescent="0.2">
      <c r="A2884" s="257">
        <v>2876</v>
      </c>
      <c r="B2884" s="44">
        <v>44593</v>
      </c>
      <c r="C2884" s="44">
        <f t="shared" ref="C2884:C2947" si="138">B2884</f>
        <v>44593</v>
      </c>
      <c r="D2884" s="374">
        <v>103</v>
      </c>
      <c r="E2884" s="291" t="str">
        <f>IFERROR(VLOOKUP($D2884,'Clients-Live'!$A:$C,3,0),"")</f>
        <v>CHANDIRU ZABIB</v>
      </c>
      <c r="F2884" s="291">
        <f>IFERROR(INDEX(Disbursements!$D:$D,MATCH('Live Collections'!G2884,Disbursements!$C:$C,0)),"")</f>
        <v>2</v>
      </c>
      <c r="G2884" s="34">
        <v>266</v>
      </c>
      <c r="H2884" s="34">
        <v>4525</v>
      </c>
      <c r="I2884" s="34" t="s">
        <v>1358</v>
      </c>
      <c r="J2884" s="48"/>
      <c r="K2884" s="48"/>
      <c r="L2884" s="48"/>
      <c r="M2884" s="48"/>
      <c r="N2884" s="59"/>
      <c r="O2884" s="59">
        <v>50000</v>
      </c>
      <c r="P2884" s="59"/>
      <c r="Q2884" s="268">
        <f t="shared" si="136"/>
        <v>50000</v>
      </c>
      <c r="R2884" s="61">
        <f>IF(O2884=0,0,SUMIFS(Disbursements!$T:$T,Disbursements!$B:$B,'Live Collections'!D2884,Disbursements!$D:$D,'Live Collections'!F2884))</f>
        <v>150000</v>
      </c>
      <c r="S2884" s="304">
        <f>IF(O2884&lt;=IF($O2884=0,0,SUMIFS(Disbursements!$W:$W,Disbursements!$B:$B,'Live Collections'!D1336,Disbursements!$D:$D,'Live Collections'!F1336)),O2884,IF($O2884=0,0,SUMIFS(Disbursements!$W:$W,Disbursements!$B:$B,'Live Collections'!D1336,Disbursements!$D:$D,'Live Collections'!F1336)))</f>
        <v>0</v>
      </c>
      <c r="T2884" s="304">
        <f t="shared" si="137"/>
        <v>50000</v>
      </c>
      <c r="U2884" s="52"/>
      <c r="V2884" s="34"/>
      <c r="W2884" s="408"/>
    </row>
    <row r="2885" spans="1:23" ht="12.75" customHeight="1" x14ac:dyDescent="0.2">
      <c r="A2885" s="257">
        <v>2901</v>
      </c>
      <c r="B2885" s="44">
        <v>44593</v>
      </c>
      <c r="C2885" s="44">
        <f t="shared" si="138"/>
        <v>44593</v>
      </c>
      <c r="D2885" s="374">
        <v>124</v>
      </c>
      <c r="E2885" s="291" t="str">
        <f>IFERROR(VLOOKUP($D2885,'Clients-Live'!$A:$C,3,0),"")</f>
        <v>TIKO ZABIBU</v>
      </c>
      <c r="F2885" s="291">
        <f>IFERROR(INDEX(Disbursements!$D:$D,MATCH('Live Collections'!G2885,Disbursements!$C:$C,0)),"")</f>
        <v>2</v>
      </c>
      <c r="G2885" s="34">
        <v>335</v>
      </c>
      <c r="H2885" s="34">
        <v>4512</v>
      </c>
      <c r="I2885" s="34" t="s">
        <v>1358</v>
      </c>
      <c r="J2885" s="48"/>
      <c r="K2885" s="48"/>
      <c r="L2885" s="48"/>
      <c r="M2885" s="48"/>
      <c r="N2885" s="59"/>
      <c r="O2885" s="59">
        <v>100000</v>
      </c>
      <c r="P2885" s="59"/>
      <c r="Q2885" s="268">
        <f t="shared" si="136"/>
        <v>100000</v>
      </c>
      <c r="R2885" s="61">
        <f>IF(O2885=0,0,SUMIFS(Disbursements!$T:$T,Disbursements!$B:$B,'Live Collections'!D2885,Disbursements!$D:$D,'Live Collections'!F2885))</f>
        <v>200000</v>
      </c>
      <c r="S2885" s="304">
        <f>IF(O2885&lt;=IF($O2885=0,0,SUMIFS(Disbursements!$W:$W,Disbursements!$B:$B,'Live Collections'!D1960,Disbursements!$D:$D,'Live Collections'!F1960)),O2885,IF($O2885=0,0,SUMIFS(Disbursements!$W:$W,Disbursements!$B:$B,'Live Collections'!D1960,Disbursements!$D:$D,'Live Collections'!F1960)))</f>
        <v>15000</v>
      </c>
      <c r="T2885" s="304">
        <f t="shared" si="137"/>
        <v>85000</v>
      </c>
      <c r="U2885" s="52"/>
      <c r="V2885" s="34"/>
      <c r="W2885" s="408"/>
    </row>
    <row r="2886" spans="1:23" ht="12.75" customHeight="1" x14ac:dyDescent="0.2">
      <c r="A2886" s="257">
        <v>2885</v>
      </c>
      <c r="B2886" s="44">
        <v>44593</v>
      </c>
      <c r="C2886" s="44">
        <f t="shared" si="138"/>
        <v>44593</v>
      </c>
      <c r="D2886" s="374">
        <v>157</v>
      </c>
      <c r="E2886" s="291" t="str">
        <f>IFERROR(VLOOKUP($D2886,'Clients-Live'!$A:$C,3,0),"")</f>
        <v>AYITE MARGERT</v>
      </c>
      <c r="F2886" s="291">
        <f>IFERROR(INDEX(Disbursements!$D:$D,MATCH('Live Collections'!G2886,Disbursements!$C:$C,0)),"")</f>
        <v>2</v>
      </c>
      <c r="G2886" s="34">
        <v>345</v>
      </c>
      <c r="H2886" s="34">
        <v>4703</v>
      </c>
      <c r="I2886" s="34" t="s">
        <v>1357</v>
      </c>
      <c r="J2886" s="48"/>
      <c r="K2886" s="48"/>
      <c r="L2886" s="48"/>
      <c r="M2886" s="48"/>
      <c r="N2886" s="59"/>
      <c r="O2886" s="59">
        <v>75000</v>
      </c>
      <c r="P2886" s="59"/>
      <c r="Q2886" s="268">
        <f t="shared" si="136"/>
        <v>75000</v>
      </c>
      <c r="R2886" s="61">
        <f>IF(O2886=0,0,SUMIFS(Disbursements!$T:$T,Disbursements!$B:$B,'Live Collections'!D2886,Disbursements!$D:$D,'Live Collections'!F2886))</f>
        <v>175000</v>
      </c>
      <c r="S2886" s="304">
        <f>IF(O2886&lt;=IF($O2886=0,0,SUMIFS(Disbursements!$W:$W,Disbursements!$B:$B,'Live Collections'!D1975,Disbursements!$D:$D,'Live Collections'!F1975)),O2886,IF($O2886=0,0,SUMIFS(Disbursements!$W:$W,Disbursements!$B:$B,'Live Collections'!D1975,Disbursements!$D:$D,'Live Collections'!F1975)))</f>
        <v>50000</v>
      </c>
      <c r="T2886" s="304">
        <f t="shared" si="137"/>
        <v>25000</v>
      </c>
      <c r="U2886" s="52"/>
      <c r="V2886" s="34"/>
      <c r="W2886" s="408"/>
    </row>
    <row r="2887" spans="1:23" ht="12.75" customHeight="1" x14ac:dyDescent="0.2">
      <c r="A2887" s="257">
        <v>2873</v>
      </c>
      <c r="B2887" s="44">
        <v>44593</v>
      </c>
      <c r="C2887" s="44">
        <f t="shared" si="138"/>
        <v>44593</v>
      </c>
      <c r="D2887" s="374">
        <v>171</v>
      </c>
      <c r="E2887" s="291" t="str">
        <f>IFERROR(VLOOKUP($D2887,'Clients-Live'!$A:$C,3,0),"")</f>
        <v>BADAKA GIFT JOEL</v>
      </c>
      <c r="F2887" s="291" t="str">
        <f>IFERROR(INDEX(Disbursements!$D:$D,MATCH('Live Collections'!G2887,Disbursements!$C:$C,0)),"")</f>
        <v/>
      </c>
      <c r="G2887" s="34"/>
      <c r="H2887" s="34">
        <v>4529</v>
      </c>
      <c r="I2887" s="34" t="s">
        <v>1357</v>
      </c>
      <c r="J2887" s="48"/>
      <c r="K2887" s="48"/>
      <c r="L2887" s="48">
        <v>20000</v>
      </c>
      <c r="M2887" s="48">
        <v>5000</v>
      </c>
      <c r="N2887" s="59"/>
      <c r="O2887" s="59"/>
      <c r="P2887" s="59"/>
      <c r="Q2887" s="268">
        <f t="shared" si="136"/>
        <v>25000</v>
      </c>
      <c r="R2887" s="61">
        <f>IF(O2887=0,0,SUMIFS(Disbursements!$T:$T,Disbursements!$B:$B,'Live Collections'!D2887,Disbursements!$D:$D,'Live Collections'!F2887))</f>
        <v>0</v>
      </c>
      <c r="S2887" s="304">
        <f>IF(O2887&lt;=IF($O2887=0,0,SUMIFS(Disbursements!$W:$W,Disbursements!$B:$B,'Live Collections'!D2128,Disbursements!$D:$D,'Live Collections'!F2128)),O2887,IF($O2887=0,0,SUMIFS(Disbursements!$W:$W,Disbursements!$B:$B,'Live Collections'!D2128,Disbursements!$D:$D,'Live Collections'!F2128)))</f>
        <v>0</v>
      </c>
      <c r="T2887" s="304">
        <f t="shared" si="137"/>
        <v>0</v>
      </c>
      <c r="U2887" s="52"/>
      <c r="V2887" s="34"/>
      <c r="W2887" s="408"/>
    </row>
    <row r="2888" spans="1:23" ht="12.75" customHeight="1" x14ac:dyDescent="0.2">
      <c r="A2888" s="257">
        <v>2874</v>
      </c>
      <c r="B2888" s="44">
        <v>44593</v>
      </c>
      <c r="C2888" s="44">
        <f t="shared" si="138"/>
        <v>44593</v>
      </c>
      <c r="D2888" s="374">
        <v>171</v>
      </c>
      <c r="E2888" s="291" t="str">
        <f>IFERROR(VLOOKUP($D2888,'Clients-Live'!$A:$C,3,0),"")</f>
        <v>BADAKA GIFT JOEL</v>
      </c>
      <c r="F2888" s="291">
        <f>IFERROR(INDEX(Disbursements!$D:$D,MATCH('Live Collections'!G2888,Disbursements!$C:$C,0)),"")</f>
        <v>2</v>
      </c>
      <c r="G2888" s="34">
        <v>349</v>
      </c>
      <c r="H2888" s="34">
        <v>745</v>
      </c>
      <c r="I2888" s="34" t="s">
        <v>1357</v>
      </c>
      <c r="J2888" s="48"/>
      <c r="K2888" s="48"/>
      <c r="L2888" s="48"/>
      <c r="M2888" s="48"/>
      <c r="N2888" s="59"/>
      <c r="O2888" s="59"/>
      <c r="P2888" s="59">
        <v>-35500</v>
      </c>
      <c r="Q2888" s="268">
        <f t="shared" si="136"/>
        <v>-35500</v>
      </c>
      <c r="R2888" s="61">
        <f>IF(O2888=0,0,SUMIFS(Disbursements!$T:$T,Disbursements!$B:$B,'Live Collections'!D2888,Disbursements!$D:$D,'Live Collections'!F2888))</f>
        <v>0</v>
      </c>
      <c r="S2888" s="304">
        <f>IF(O2888&lt;=IF($O2888=0,0,SUMIFS(Disbursements!$W:$W,Disbursements!$B:$B,'Live Collections'!D2129,Disbursements!$D:$D,'Live Collections'!F2129)),O2888,IF($O2888=0,0,SUMIFS(Disbursements!$W:$W,Disbursements!$B:$B,'Live Collections'!D2129,Disbursements!$D:$D,'Live Collections'!F2129)))</f>
        <v>0</v>
      </c>
      <c r="T2888" s="304">
        <f t="shared" si="137"/>
        <v>0</v>
      </c>
      <c r="U2888" s="52"/>
      <c r="V2888" s="34"/>
      <c r="W2888" s="408"/>
    </row>
    <row r="2889" spans="1:23" ht="12.75" customHeight="1" x14ac:dyDescent="0.2">
      <c r="A2889" s="257">
        <v>2875</v>
      </c>
      <c r="B2889" s="44">
        <v>44593</v>
      </c>
      <c r="C2889" s="44">
        <f t="shared" si="138"/>
        <v>44593</v>
      </c>
      <c r="D2889" s="374">
        <v>171</v>
      </c>
      <c r="E2889" s="291" t="str">
        <f>IFERROR(VLOOKUP($D2889,'Clients-Live'!$A:$C,3,0),"")</f>
        <v>BADAKA GIFT JOEL</v>
      </c>
      <c r="F2889" s="291">
        <f>IFERROR(INDEX(Disbursements!$D:$D,MATCH('Live Collections'!G2889,Disbursements!$C:$C,0)),"")</f>
        <v>2</v>
      </c>
      <c r="G2889" s="34">
        <v>349</v>
      </c>
      <c r="H2889" s="34">
        <v>4528</v>
      </c>
      <c r="I2889" s="34" t="s">
        <v>1357</v>
      </c>
      <c r="J2889" s="48"/>
      <c r="K2889" s="48"/>
      <c r="L2889" s="48"/>
      <c r="M2889" s="48"/>
      <c r="N2889" s="59"/>
      <c r="O2889" s="59">
        <v>35500</v>
      </c>
      <c r="P2889" s="59"/>
      <c r="Q2889" s="268">
        <f t="shared" si="136"/>
        <v>35500</v>
      </c>
      <c r="R2889" s="61">
        <f>IF(O2889=0,0,SUMIFS(Disbursements!$T:$T,Disbursements!$B:$B,'Live Collections'!D2889,Disbursements!$D:$D,'Live Collections'!F2889))</f>
        <v>374000</v>
      </c>
      <c r="S2889" s="304">
        <f>IF(O2889&lt;=IF($O2889=0,0,SUMIFS(Disbursements!$W:$W,Disbursements!$B:$B,'Live Collections'!D2130,Disbursements!$D:$D,'Live Collections'!F2130)),O2889,IF($O2889=0,0,SUMIFS(Disbursements!$W:$W,Disbursements!$B:$B,'Live Collections'!D2130,Disbursements!$D:$D,'Live Collections'!F2130)))</f>
        <v>0</v>
      </c>
      <c r="T2889" s="304">
        <f t="shared" si="137"/>
        <v>35500</v>
      </c>
      <c r="U2889" s="52"/>
      <c r="V2889" s="34"/>
      <c r="W2889" s="408"/>
    </row>
    <row r="2890" spans="1:23" ht="12.75" customHeight="1" x14ac:dyDescent="0.2">
      <c r="A2890" s="257">
        <v>2888</v>
      </c>
      <c r="B2890" s="44">
        <v>44593</v>
      </c>
      <c r="C2890" s="44">
        <f t="shared" si="138"/>
        <v>44593</v>
      </c>
      <c r="D2890" s="374">
        <v>180</v>
      </c>
      <c r="E2890" s="291" t="str">
        <f>IFERROR(VLOOKUP($D2890,'Clients-Live'!$A:$C,3,0),"")</f>
        <v>IJOSIGA ISMAIL</v>
      </c>
      <c r="F2890" s="291">
        <f>IFERROR(INDEX(Disbursements!$D:$D,MATCH('Live Collections'!G2890,Disbursements!$C:$C,0)),"")</f>
        <v>1</v>
      </c>
      <c r="G2890" s="34">
        <v>185</v>
      </c>
      <c r="H2890" s="34">
        <v>4519</v>
      </c>
      <c r="I2890" s="34" t="s">
        <v>1359</v>
      </c>
      <c r="J2890" s="48"/>
      <c r="K2890" s="48"/>
      <c r="L2890" s="48"/>
      <c r="M2890" s="48"/>
      <c r="N2890" s="59"/>
      <c r="O2890" s="59">
        <v>100000</v>
      </c>
      <c r="P2890" s="59"/>
      <c r="Q2890" s="268">
        <f t="shared" si="136"/>
        <v>100000</v>
      </c>
      <c r="R2890" s="61">
        <f>IF(O2890=0,0,SUMIFS(Disbursements!$T:$T,Disbursements!$B:$B,'Live Collections'!D2890,Disbursements!$D:$D,'Live Collections'!F2890))</f>
        <v>286000</v>
      </c>
      <c r="S2890" s="304"/>
      <c r="T2890" s="304">
        <f t="shared" si="137"/>
        <v>100000</v>
      </c>
      <c r="U2890" s="52"/>
      <c r="V2890" s="34"/>
      <c r="W2890" s="408"/>
    </row>
    <row r="2891" spans="1:23" ht="12.75" customHeight="1" x14ac:dyDescent="0.2">
      <c r="A2891" s="257">
        <v>2890</v>
      </c>
      <c r="B2891" s="44">
        <v>44593</v>
      </c>
      <c r="C2891" s="44">
        <f t="shared" si="138"/>
        <v>44593</v>
      </c>
      <c r="D2891" s="374">
        <v>213</v>
      </c>
      <c r="E2891" s="291" t="str">
        <f>IFERROR(VLOOKUP($D2891,'Clients-Live'!$A:$C,3,0),"")</f>
        <v>ATIKURU NADIA</v>
      </c>
      <c r="F2891" s="291">
        <f>IFERROR(INDEX(Disbursements!$D:$D,MATCH('Live Collections'!G2891,Disbursements!$C:$C,0)),"")</f>
        <v>2</v>
      </c>
      <c r="G2891" s="34">
        <v>378</v>
      </c>
      <c r="H2891" s="34">
        <v>4518</v>
      </c>
      <c r="I2891" s="34" t="s">
        <v>1358</v>
      </c>
      <c r="J2891" s="48"/>
      <c r="K2891" s="48"/>
      <c r="L2891" s="48"/>
      <c r="M2891" s="48"/>
      <c r="N2891" s="59"/>
      <c r="O2891" s="59">
        <v>80000</v>
      </c>
      <c r="P2891" s="59"/>
      <c r="Q2891" s="268">
        <f t="shared" si="136"/>
        <v>80000</v>
      </c>
      <c r="R2891" s="61">
        <f>IF(O2891=0,0,SUMIFS(Disbursements!$T:$T,Disbursements!$B:$B,'Live Collections'!D2891,Disbursements!$D:$D,'Live Collections'!F2891))</f>
        <v>300000</v>
      </c>
      <c r="S2891" s="304">
        <f>IF(O2891&lt;=IF($O2891=0,0,SUMIFS(Disbursements!$W:$W,Disbursements!$B:$B,'Live Collections'!D2523,Disbursements!$D:$D,'Live Collections'!F2523)),O2891,IF($O2891=0,0,SUMIFS(Disbursements!$W:$W,Disbursements!$B:$B,'Live Collections'!D2523,Disbursements!$D:$D,'Live Collections'!F2523)))</f>
        <v>25000</v>
      </c>
      <c r="T2891" s="304">
        <f t="shared" si="137"/>
        <v>55000</v>
      </c>
      <c r="U2891" s="52"/>
      <c r="V2891" s="34"/>
      <c r="W2891" s="408"/>
    </row>
    <row r="2892" spans="1:23" ht="12.75" customHeight="1" x14ac:dyDescent="0.2">
      <c r="A2892" s="257">
        <v>2881</v>
      </c>
      <c r="B2892" s="44">
        <v>44593</v>
      </c>
      <c r="C2892" s="44">
        <f t="shared" si="138"/>
        <v>44593</v>
      </c>
      <c r="D2892" s="374">
        <v>239</v>
      </c>
      <c r="E2892" s="291" t="str">
        <f>IFERROR(VLOOKUP($D2892,'Clients-Live'!$A:$C,3,0),"")</f>
        <v>HABIBU ABOYI ALLI</v>
      </c>
      <c r="F2892" s="291">
        <f>IFERROR(INDEX(Disbursements!$D:$D,MATCH('Live Collections'!G2892,Disbursements!$C:$C,0)),"")</f>
        <v>1</v>
      </c>
      <c r="G2892" s="34">
        <v>291</v>
      </c>
      <c r="H2892" s="34">
        <v>4523</v>
      </c>
      <c r="I2892" s="34" t="s">
        <v>1357</v>
      </c>
      <c r="J2892" s="48"/>
      <c r="K2892" s="48"/>
      <c r="L2892" s="48"/>
      <c r="M2892" s="48"/>
      <c r="N2892" s="59"/>
      <c r="O2892" s="59">
        <v>180000</v>
      </c>
      <c r="P2892" s="59"/>
      <c r="Q2892" s="268">
        <f t="shared" si="136"/>
        <v>180000</v>
      </c>
      <c r="R2892" s="61">
        <f>IF(O2892=0,0,SUMIFS(Disbursements!$T:$T,Disbursements!$B:$B,'Live Collections'!D2892,Disbursements!$D:$D,'Live Collections'!F2892))</f>
        <v>180000</v>
      </c>
      <c r="S2892" s="64">
        <v>4333.3333333333139</v>
      </c>
      <c r="T2892" s="304">
        <f t="shared" si="137"/>
        <v>175666.66666666669</v>
      </c>
      <c r="U2892" s="52"/>
      <c r="V2892" s="34"/>
      <c r="W2892" s="408"/>
    </row>
    <row r="2893" spans="1:23" ht="12.75" customHeight="1" x14ac:dyDescent="0.2">
      <c r="A2893" s="257">
        <v>2902</v>
      </c>
      <c r="B2893" s="44">
        <v>44593</v>
      </c>
      <c r="C2893" s="44">
        <f t="shared" si="138"/>
        <v>44593</v>
      </c>
      <c r="D2893" s="374">
        <v>254</v>
      </c>
      <c r="E2893" s="291" t="str">
        <f>IFERROR(VLOOKUP($D2893,'Clients-Live'!$A:$C,3,0),"")</f>
        <v>ANITE AGNES</v>
      </c>
      <c r="F2893" s="291">
        <f>IFERROR(INDEX(Disbursements!$D:$D,MATCH('Live Collections'!G2893,Disbursements!$C:$C,0)),"")</f>
        <v>1</v>
      </c>
      <c r="G2893" s="34">
        <v>279</v>
      </c>
      <c r="H2893" s="34">
        <v>4530</v>
      </c>
      <c r="I2893" s="34" t="s">
        <v>1357</v>
      </c>
      <c r="J2893" s="48"/>
      <c r="K2893" s="48"/>
      <c r="L2893" s="48"/>
      <c r="M2893" s="48"/>
      <c r="N2893" s="59"/>
      <c r="O2893" s="59">
        <v>40000</v>
      </c>
      <c r="P2893" s="59"/>
      <c r="Q2893" s="268">
        <f t="shared" si="136"/>
        <v>40000</v>
      </c>
      <c r="R2893" s="61">
        <f>IF(O2893=0,0,SUMIFS(Disbursements!$T:$T,Disbursements!$B:$B,'Live Collections'!D2893,Disbursements!$D:$D,'Live Collections'!F2893))</f>
        <v>120000</v>
      </c>
      <c r="S2893" s="304"/>
      <c r="T2893" s="304">
        <f t="shared" si="137"/>
        <v>40000</v>
      </c>
      <c r="U2893" s="52"/>
      <c r="V2893" s="34"/>
      <c r="W2893" s="408"/>
    </row>
    <row r="2894" spans="1:23" ht="12.75" customHeight="1" x14ac:dyDescent="0.2">
      <c r="A2894" s="257">
        <v>2903</v>
      </c>
      <c r="B2894" s="44">
        <v>44593</v>
      </c>
      <c r="C2894" s="44">
        <f t="shared" si="138"/>
        <v>44593</v>
      </c>
      <c r="D2894" s="374">
        <v>254</v>
      </c>
      <c r="E2894" s="291" t="str">
        <f>IFERROR(VLOOKUP($D2894,'Clients-Live'!$A:$C,3,0),"")</f>
        <v>ANITE AGNES</v>
      </c>
      <c r="F2894" s="291">
        <f>IFERROR(INDEX(Disbursements!$D:$D,MATCH('Live Collections'!G2894,Disbursements!$C:$C,0)),"")</f>
        <v>1</v>
      </c>
      <c r="G2894" s="34">
        <v>279</v>
      </c>
      <c r="H2894" s="34">
        <v>746</v>
      </c>
      <c r="I2894" s="34" t="s">
        <v>1357</v>
      </c>
      <c r="J2894" s="48"/>
      <c r="K2894" s="48"/>
      <c r="L2894" s="48"/>
      <c r="M2894" s="48"/>
      <c r="N2894" s="59"/>
      <c r="O2894" s="59"/>
      <c r="P2894" s="59">
        <v>-40000</v>
      </c>
      <c r="Q2894" s="268">
        <f t="shared" si="136"/>
        <v>-40000</v>
      </c>
      <c r="R2894" s="61">
        <f>IF(O2894=0,0,SUMIFS(Disbursements!$T:$T,Disbursements!$B:$B,'Live Collections'!D2894,Disbursements!$D:$D,'Live Collections'!F2894))</f>
        <v>0</v>
      </c>
      <c r="S2894" s="304">
        <f>IF(O2894&lt;=IF($O2894=0,0,SUMIFS(Disbursements!$W:$W,Disbursements!$B:$B,'Live Collections'!D2856,Disbursements!$D:$D,'Live Collections'!F2856)),O2894,IF($O2894=0,0,SUMIFS(Disbursements!$W:$W,Disbursements!$B:$B,'Live Collections'!D2856,Disbursements!$D:$D,'Live Collections'!F2856)))</f>
        <v>0</v>
      </c>
      <c r="T2894" s="304">
        <f t="shared" si="137"/>
        <v>0</v>
      </c>
      <c r="U2894" s="52"/>
      <c r="V2894" s="34"/>
      <c r="W2894" s="408" t="s">
        <v>2018</v>
      </c>
    </row>
    <row r="2895" spans="1:23" ht="12.75" customHeight="1" x14ac:dyDescent="0.2">
      <c r="A2895" s="257">
        <v>2878</v>
      </c>
      <c r="B2895" s="44">
        <v>44593</v>
      </c>
      <c r="C2895" s="44">
        <f t="shared" si="138"/>
        <v>44593</v>
      </c>
      <c r="D2895" s="374">
        <v>261</v>
      </c>
      <c r="E2895" s="291" t="str">
        <f>IFERROR(VLOOKUP($D2895,'Clients-Live'!$A:$C,3,0),"")</f>
        <v>AMANIYO STELLA</v>
      </c>
      <c r="F2895" s="291">
        <f>IFERROR(INDEX(Disbursements!$D:$D,MATCH('Live Collections'!G2895,Disbursements!$C:$C,0)),"")</f>
        <v>1</v>
      </c>
      <c r="G2895" s="34">
        <v>292</v>
      </c>
      <c r="H2895" s="34">
        <v>4527</v>
      </c>
      <c r="I2895" s="34" t="s">
        <v>1359</v>
      </c>
      <c r="J2895" s="48"/>
      <c r="K2895" s="48"/>
      <c r="L2895" s="48"/>
      <c r="M2895" s="48"/>
      <c r="N2895" s="59"/>
      <c r="O2895" s="59">
        <v>30000</v>
      </c>
      <c r="P2895" s="59"/>
      <c r="Q2895" s="268">
        <f t="shared" si="136"/>
        <v>30000</v>
      </c>
      <c r="R2895" s="61">
        <f>IF(O2895=0,0,SUMIFS(Disbursements!$T:$T,Disbursements!$B:$B,'Live Collections'!D2895,Disbursements!$D:$D,'Live Collections'!F2895))</f>
        <v>115000</v>
      </c>
      <c r="S2895" s="304"/>
      <c r="T2895" s="304">
        <f t="shared" si="137"/>
        <v>30000</v>
      </c>
      <c r="U2895" s="52"/>
      <c r="V2895" s="34"/>
      <c r="W2895" s="408"/>
    </row>
    <row r="2896" spans="1:23" ht="12.75" customHeight="1" x14ac:dyDescent="0.2">
      <c r="A2896" s="257">
        <v>2879</v>
      </c>
      <c r="B2896" s="44">
        <v>44593</v>
      </c>
      <c r="C2896" s="44">
        <f t="shared" si="138"/>
        <v>44593</v>
      </c>
      <c r="D2896" s="374">
        <v>261</v>
      </c>
      <c r="E2896" s="291" t="str">
        <f>IFERROR(VLOOKUP($D2896,'Clients-Live'!$A:$C,3,0),"")</f>
        <v>AMANIYO STELLA</v>
      </c>
      <c r="F2896" s="291">
        <f>IFERROR(INDEX(Disbursements!$D:$D,MATCH('Live Collections'!G2896,Disbursements!$C:$C,0)),"")</f>
        <v>1</v>
      </c>
      <c r="G2896" s="34">
        <v>292</v>
      </c>
      <c r="H2896" s="34">
        <v>744</v>
      </c>
      <c r="I2896" s="34" t="s">
        <v>1359</v>
      </c>
      <c r="J2896" s="48"/>
      <c r="K2896" s="48"/>
      <c r="L2896" s="48"/>
      <c r="M2896" s="48"/>
      <c r="N2896" s="59"/>
      <c r="O2896" s="59"/>
      <c r="P2896" s="59">
        <v>-30000</v>
      </c>
      <c r="Q2896" s="268">
        <f t="shared" si="136"/>
        <v>-30000</v>
      </c>
      <c r="R2896" s="61">
        <f>IF(O2896=0,0,SUMIFS(Disbursements!$T:$T,Disbursements!$B:$B,'Live Collections'!D2896,Disbursements!$D:$D,'Live Collections'!F2896))</f>
        <v>0</v>
      </c>
      <c r="S2896" s="304"/>
      <c r="T2896" s="304">
        <f t="shared" si="137"/>
        <v>0</v>
      </c>
      <c r="U2896" s="52"/>
      <c r="V2896" s="34"/>
      <c r="W2896" s="408"/>
    </row>
    <row r="2897" spans="1:23" ht="12.75" customHeight="1" x14ac:dyDescent="0.2">
      <c r="A2897" s="257">
        <v>2880</v>
      </c>
      <c r="B2897" s="44">
        <v>44593</v>
      </c>
      <c r="C2897" s="44">
        <f t="shared" si="138"/>
        <v>44593</v>
      </c>
      <c r="D2897" s="374">
        <v>261</v>
      </c>
      <c r="E2897" s="291" t="str">
        <f>IFERROR(VLOOKUP($D2897,'Clients-Live'!$A:$C,3,0),"")</f>
        <v>AMANIYO STELLA</v>
      </c>
      <c r="F2897" s="291">
        <f>IFERROR(INDEX(Disbursements!$D:$D,MATCH('Live Collections'!G2897,Disbursements!$C:$C,0)),"")</f>
        <v>1</v>
      </c>
      <c r="G2897" s="34">
        <v>292</v>
      </c>
      <c r="H2897" s="34">
        <v>4526</v>
      </c>
      <c r="I2897" s="34" t="s">
        <v>1359</v>
      </c>
      <c r="J2897" s="48"/>
      <c r="K2897" s="48"/>
      <c r="L2897" s="48"/>
      <c r="M2897" s="48"/>
      <c r="N2897" s="59"/>
      <c r="O2897" s="59">
        <v>55000</v>
      </c>
      <c r="P2897" s="59"/>
      <c r="Q2897" s="268">
        <f t="shared" si="136"/>
        <v>55000</v>
      </c>
      <c r="R2897" s="61">
        <f>IF(O2897=0,0,SUMIFS(Disbursements!$T:$T,Disbursements!$B:$B,'Live Collections'!D2897,Disbursements!$D:$D,'Live Collections'!F2897))</f>
        <v>115000</v>
      </c>
      <c r="S2897" s="304"/>
      <c r="T2897" s="304">
        <f t="shared" si="137"/>
        <v>55000</v>
      </c>
      <c r="U2897" s="52"/>
      <c r="V2897" s="34"/>
      <c r="W2897" s="408"/>
    </row>
    <row r="2898" spans="1:23" ht="12.75" customHeight="1" x14ac:dyDescent="0.2">
      <c r="A2898" s="257">
        <v>2887</v>
      </c>
      <c r="B2898" s="44">
        <v>44593</v>
      </c>
      <c r="C2898" s="44">
        <f t="shared" si="138"/>
        <v>44593</v>
      </c>
      <c r="D2898" s="374">
        <v>264</v>
      </c>
      <c r="E2898" s="291" t="str">
        <f>IFERROR(VLOOKUP($D2898,'Clients-Live'!$A:$C,3,0),"")</f>
        <v>AMORI JOHN BAPTIST</v>
      </c>
      <c r="F2898" s="291">
        <f>IFERROR(INDEX(Disbursements!$D:$D,MATCH('Live Collections'!G2898,Disbursements!$C:$C,0)),"")</f>
        <v>1</v>
      </c>
      <c r="G2898" s="34">
        <v>298</v>
      </c>
      <c r="H2898" s="34">
        <v>4520</v>
      </c>
      <c r="I2898" s="34" t="s">
        <v>1359</v>
      </c>
      <c r="J2898" s="48"/>
      <c r="K2898" s="48"/>
      <c r="L2898" s="48"/>
      <c r="M2898" s="48"/>
      <c r="N2898" s="59"/>
      <c r="O2898" s="59">
        <v>620000</v>
      </c>
      <c r="P2898" s="59"/>
      <c r="Q2898" s="268">
        <f t="shared" si="136"/>
        <v>620000</v>
      </c>
      <c r="R2898" s="61">
        <f>IF(O2898=0,0,SUMIFS(Disbursements!$T:$T,Disbursements!$B:$B,'Live Collections'!D2898,Disbursements!$D:$D,'Live Collections'!F2898))</f>
        <v>1084000</v>
      </c>
      <c r="S2898" s="304">
        <f>IF(O2898&lt;=IF($O2898=0,0,SUMIFS(Disbursements!$W:$W,Disbursements!$B:$B,'Live Collections'!D2914,Disbursements!$D:$D,'Live Collections'!F2914)),O2898,IF($O2898=0,0,SUMIFS(Disbursements!$W:$W,Disbursements!$B:$B,'Live Collections'!D2914,Disbursements!$D:$D,'Live Collections'!F2914)))</f>
        <v>150333.33333333337</v>
      </c>
      <c r="T2898" s="304">
        <f t="shared" si="137"/>
        <v>469666.66666666663</v>
      </c>
      <c r="U2898" s="52"/>
      <c r="V2898" s="34"/>
      <c r="W2898" s="408"/>
    </row>
    <row r="2899" spans="1:23" ht="12.75" customHeight="1" x14ac:dyDescent="0.2">
      <c r="A2899" s="257">
        <v>2892</v>
      </c>
      <c r="B2899" s="44">
        <v>44593</v>
      </c>
      <c r="C2899" s="44">
        <f t="shared" si="138"/>
        <v>44593</v>
      </c>
      <c r="D2899" s="374">
        <v>269</v>
      </c>
      <c r="E2899" s="291" t="str">
        <f>IFERROR(VLOOKUP($D2899,'Clients-Live'!$A:$C,3,0),"")</f>
        <v>YANYA ROBINA</v>
      </c>
      <c r="F2899" s="291">
        <f>IFERROR(INDEX(Disbursements!$D:$D,MATCH('Live Collections'!G2899,Disbursements!$C:$C,0)),"")</f>
        <v>2</v>
      </c>
      <c r="G2899" s="34">
        <v>352</v>
      </c>
      <c r="H2899" s="34">
        <v>4706</v>
      </c>
      <c r="I2899" s="34" t="s">
        <v>1357</v>
      </c>
      <c r="J2899" s="48"/>
      <c r="K2899" s="48"/>
      <c r="L2899" s="48"/>
      <c r="M2899" s="48"/>
      <c r="N2899" s="59"/>
      <c r="O2899" s="59">
        <v>50000</v>
      </c>
      <c r="P2899" s="59"/>
      <c r="Q2899" s="268">
        <f t="shared" si="136"/>
        <v>50000</v>
      </c>
      <c r="R2899" s="61">
        <f>IF(O2899=0,0,SUMIFS(Disbursements!$T:$T,Disbursements!$B:$B,'Live Collections'!D2899,Disbursements!$D:$D,'Live Collections'!F2899))</f>
        <v>538000</v>
      </c>
      <c r="S2899" s="304"/>
      <c r="T2899" s="304">
        <f t="shared" si="137"/>
        <v>50000</v>
      </c>
      <c r="U2899" s="52"/>
      <c r="V2899" s="34"/>
      <c r="W2899" s="408"/>
    </row>
    <row r="2900" spans="1:23" ht="12.75" customHeight="1" x14ac:dyDescent="0.2">
      <c r="A2900" s="257">
        <v>2893</v>
      </c>
      <c r="B2900" s="44">
        <v>44593</v>
      </c>
      <c r="C2900" s="44">
        <f t="shared" si="138"/>
        <v>44593</v>
      </c>
      <c r="D2900" s="374">
        <v>269</v>
      </c>
      <c r="E2900" s="291" t="str">
        <f>IFERROR(VLOOKUP($D2900,'Clients-Live'!$A:$C,3,0),"")</f>
        <v>YANYA ROBINA</v>
      </c>
      <c r="F2900" s="291">
        <f>IFERROR(INDEX(Disbursements!$D:$D,MATCH('Live Collections'!G2900,Disbursements!$C:$C,0)),"")</f>
        <v>2</v>
      </c>
      <c r="G2900" s="34">
        <v>352</v>
      </c>
      <c r="H2900" s="34">
        <v>622</v>
      </c>
      <c r="I2900" s="34" t="s">
        <v>1357</v>
      </c>
      <c r="J2900" s="48"/>
      <c r="K2900" s="48"/>
      <c r="L2900" s="48"/>
      <c r="M2900" s="48"/>
      <c r="N2900" s="59"/>
      <c r="O2900" s="59"/>
      <c r="P2900" s="59">
        <v>-50000</v>
      </c>
      <c r="Q2900" s="268">
        <f t="shared" si="136"/>
        <v>-50000</v>
      </c>
      <c r="R2900" s="61">
        <f>IF(O2900=0,0,SUMIFS(Disbursements!$T:$T,Disbursements!$B:$B,'Live Collections'!D2900,Disbursements!$D:$D,'Live Collections'!F2900))</f>
        <v>0</v>
      </c>
      <c r="S2900" s="304">
        <f>IF(O2900&lt;=IF($O2900=0,0,SUMIFS(Disbursements!$W:$W,Disbursements!$B:$B,'Live Collections'!D2954,Disbursements!$D:$D,'Live Collections'!F2954)),O2900,IF($O2900=0,0,SUMIFS(Disbursements!$W:$W,Disbursements!$B:$B,'Live Collections'!D2954,Disbursements!$D:$D,'Live Collections'!F2954)))</f>
        <v>0</v>
      </c>
      <c r="T2900" s="304">
        <f t="shared" si="137"/>
        <v>0</v>
      </c>
      <c r="U2900" s="52"/>
      <c r="V2900" s="34"/>
      <c r="W2900" s="408" t="s">
        <v>2017</v>
      </c>
    </row>
    <row r="2901" spans="1:23" ht="12.75" customHeight="1" x14ac:dyDescent="0.2">
      <c r="A2901" s="257">
        <v>2894</v>
      </c>
      <c r="B2901" s="44">
        <v>44593</v>
      </c>
      <c r="C2901" s="44">
        <f t="shared" si="138"/>
        <v>44593</v>
      </c>
      <c r="D2901" s="374">
        <v>269</v>
      </c>
      <c r="E2901" s="291" t="str">
        <f>IFERROR(VLOOKUP($D2901,'Clients-Live'!$A:$C,3,0),"")</f>
        <v>YANYA ROBINA</v>
      </c>
      <c r="F2901" s="291" t="str">
        <f>IFERROR(INDEX(Disbursements!$D:$D,MATCH('Live Collections'!G2901,Disbursements!$C:$C,0)),"")</f>
        <v/>
      </c>
      <c r="G2901" s="34"/>
      <c r="H2901" s="34">
        <v>4705</v>
      </c>
      <c r="I2901" s="34" t="s">
        <v>1357</v>
      </c>
      <c r="J2901" s="48"/>
      <c r="K2901" s="48"/>
      <c r="L2901" s="48"/>
      <c r="M2901" s="48"/>
      <c r="N2901" s="59">
        <v>37500</v>
      </c>
      <c r="O2901" s="59"/>
      <c r="P2901" s="59"/>
      <c r="Q2901" s="268">
        <f t="shared" si="136"/>
        <v>37500</v>
      </c>
      <c r="R2901" s="61">
        <f>IF(O2901=0,0,SUMIFS(Disbursements!$T:$T,Disbursements!$B:$B,'Live Collections'!D2901,Disbursements!$D:$D,'Live Collections'!F2901))</f>
        <v>0</v>
      </c>
      <c r="S2901" s="304">
        <f>IF(O2901&lt;=IF($O2901=0,0,SUMIFS(Disbursements!$W:$W,Disbursements!$B:$B,'Live Collections'!D2955,Disbursements!$D:$D,'Live Collections'!F2955)),O2901,IF($O2901=0,0,SUMIFS(Disbursements!$W:$W,Disbursements!$B:$B,'Live Collections'!D2955,Disbursements!$D:$D,'Live Collections'!F2955)))</f>
        <v>0</v>
      </c>
      <c r="T2901" s="304">
        <f t="shared" si="137"/>
        <v>0</v>
      </c>
      <c r="U2901" s="52"/>
      <c r="V2901" s="34"/>
      <c r="W2901" s="408"/>
    </row>
    <row r="2902" spans="1:23" ht="12.75" customHeight="1" x14ac:dyDescent="0.2">
      <c r="A2902" s="257">
        <v>2895</v>
      </c>
      <c r="B2902" s="44">
        <v>44593</v>
      </c>
      <c r="C2902" s="44">
        <f t="shared" si="138"/>
        <v>44593</v>
      </c>
      <c r="D2902" s="374">
        <v>269</v>
      </c>
      <c r="E2902" s="291" t="str">
        <f>IFERROR(VLOOKUP($D2902,'Clients-Live'!$A:$C,3,0),"")</f>
        <v>YANYA ROBINA</v>
      </c>
      <c r="F2902" s="291">
        <f>IFERROR(INDEX(Disbursements!$D:$D,MATCH('Live Collections'!G2902,Disbursements!$C:$C,0)),"")</f>
        <v>2</v>
      </c>
      <c r="G2902" s="34">
        <v>352</v>
      </c>
      <c r="H2902" s="34">
        <v>4704</v>
      </c>
      <c r="I2902" s="34" t="s">
        <v>1357</v>
      </c>
      <c r="J2902" s="48"/>
      <c r="K2902" s="48"/>
      <c r="L2902" s="48"/>
      <c r="M2902" s="48"/>
      <c r="N2902" s="59"/>
      <c r="O2902" s="59">
        <v>437500</v>
      </c>
      <c r="P2902" s="59"/>
      <c r="Q2902" s="268">
        <f t="shared" si="136"/>
        <v>437500</v>
      </c>
      <c r="R2902" s="61">
        <f>IF(O2902=0,0,SUMIFS(Disbursements!$T:$T,Disbursements!$B:$B,'Live Collections'!D2902,Disbursements!$D:$D,'Live Collections'!F2902))</f>
        <v>538000</v>
      </c>
      <c r="S2902" s="304">
        <f>IF(O2902&lt;=IF($O2902=0,0,SUMIFS(Disbursements!$W:$W,Disbursements!$B:$B,'Live Collections'!D2956,Disbursements!$D:$D,'Live Collections'!F2956)),O2902,IF($O2902=0,0,SUMIFS(Disbursements!$W:$W,Disbursements!$B:$B,'Live Collections'!D2956,Disbursements!$D:$D,'Live Collections'!F2956)))</f>
        <v>0</v>
      </c>
      <c r="T2902" s="304">
        <f t="shared" si="137"/>
        <v>437500</v>
      </c>
      <c r="U2902" s="52"/>
      <c r="V2902" s="34"/>
      <c r="W2902" s="408"/>
    </row>
    <row r="2903" spans="1:23" ht="12.75" customHeight="1" x14ac:dyDescent="0.2">
      <c r="A2903" s="257">
        <v>2904</v>
      </c>
      <c r="B2903" s="44">
        <v>44593</v>
      </c>
      <c r="C2903" s="44">
        <f t="shared" si="138"/>
        <v>44593</v>
      </c>
      <c r="D2903" s="374">
        <v>317</v>
      </c>
      <c r="E2903" s="291" t="str">
        <f>IFERROR(VLOOKUP($D2903,'Clients-Live'!$A:$C,3,0),"")</f>
        <v>DRIWARU JANE</v>
      </c>
      <c r="F2903" s="291">
        <f>IFERROR(INDEX(Disbursements!$D:$D,MATCH('Live Collections'!G2903,Disbursements!$C:$C,0)),"")</f>
        <v>1</v>
      </c>
      <c r="G2903" s="34">
        <v>414</v>
      </c>
      <c r="H2903" s="34">
        <v>4531</v>
      </c>
      <c r="I2903" s="34" t="s">
        <v>1357</v>
      </c>
      <c r="J2903" s="48"/>
      <c r="K2903" s="48"/>
      <c r="L2903" s="48"/>
      <c r="M2903" s="48"/>
      <c r="N2903" s="59"/>
      <c r="O2903" s="59">
        <v>55000</v>
      </c>
      <c r="P2903" s="59"/>
      <c r="Q2903" s="268">
        <f t="shared" si="136"/>
        <v>55000</v>
      </c>
      <c r="R2903" s="61">
        <f>IF(O2903=0,0,SUMIFS(Disbursements!$T:$T,Disbursements!$B:$B,'Live Collections'!D2903,Disbursements!$D:$D,'Live Collections'!F2903))</f>
        <v>55000</v>
      </c>
      <c r="S2903" s="304">
        <f>IF(O2903&lt;=IF($O2903=0,0,SUMIFS(Disbursements!$W:$W,Disbursements!$B:$B,'Live Collections'!D3150,Disbursements!$D:$D,'Live Collections'!F3150)),O2903,IF($O2903=0,0,SUMIFS(Disbursements!$W:$W,Disbursements!$B:$B,'Live Collections'!D3150,Disbursements!$D:$D,'Live Collections'!F3150)))</f>
        <v>0</v>
      </c>
      <c r="T2903" s="304">
        <f t="shared" si="137"/>
        <v>55000</v>
      </c>
      <c r="U2903" s="52"/>
      <c r="V2903" s="34"/>
      <c r="W2903" s="408"/>
    </row>
    <row r="2904" spans="1:23" ht="12.75" customHeight="1" x14ac:dyDescent="0.2">
      <c r="A2904" s="257">
        <v>2915</v>
      </c>
      <c r="B2904" s="44">
        <v>44594</v>
      </c>
      <c r="C2904" s="44">
        <f t="shared" si="138"/>
        <v>44594</v>
      </c>
      <c r="D2904" s="374">
        <v>9</v>
      </c>
      <c r="E2904" s="291" t="str">
        <f>IFERROR(VLOOKUP($D2904,'Clients-Live'!$A:$C,3,0),"")</f>
        <v>TABAN DAVID YAYA</v>
      </c>
      <c r="F2904" s="291">
        <v>3</v>
      </c>
      <c r="G2904" s="34">
        <v>423</v>
      </c>
      <c r="H2904" s="34">
        <v>4538</v>
      </c>
      <c r="I2904" s="34" t="s">
        <v>1357</v>
      </c>
      <c r="J2904" s="48"/>
      <c r="K2904" s="48"/>
      <c r="L2904" s="48"/>
      <c r="M2904" s="48"/>
      <c r="N2904" s="59"/>
      <c r="O2904" s="59"/>
      <c r="P2904" s="59">
        <v>60000</v>
      </c>
      <c r="Q2904" s="268">
        <f t="shared" si="136"/>
        <v>60000</v>
      </c>
      <c r="R2904" s="61">
        <f>IF(O2904=0,0,SUMIFS(Disbursements!$T:$T,Disbursements!$B:$B,'Live Collections'!D2904,Disbursements!$D:$D,'Live Collections'!F2904))</f>
        <v>0</v>
      </c>
      <c r="S2904" s="304">
        <f>IF(O2904&lt;=IF($O2904=0,0,SUMIFS(Disbursements!$W:$W,Disbursements!$B:$B,'Live Collections'!D99,Disbursements!$D:$D,'Live Collections'!F99)),O2904,IF($O2904=0,0,SUMIFS(Disbursements!$W:$W,Disbursements!$B:$B,'Live Collections'!D99,Disbursements!$D:$D,'Live Collections'!F99)))</f>
        <v>0</v>
      </c>
      <c r="T2904" s="304">
        <f t="shared" si="137"/>
        <v>0</v>
      </c>
      <c r="U2904" s="52"/>
      <c r="V2904" s="34"/>
      <c r="W2904" s="408"/>
    </row>
    <row r="2905" spans="1:23" ht="12.75" customHeight="1" x14ac:dyDescent="0.2">
      <c r="A2905" s="257">
        <v>2927</v>
      </c>
      <c r="B2905" s="44">
        <v>44594</v>
      </c>
      <c r="C2905" s="44">
        <f t="shared" si="138"/>
        <v>44594</v>
      </c>
      <c r="D2905" s="374">
        <v>18</v>
      </c>
      <c r="E2905" s="291" t="str">
        <f>IFERROR(VLOOKUP($D2905,'Clients-Live'!$A:$C,3,0),"")</f>
        <v>ARIYE PEACE</v>
      </c>
      <c r="F2905" s="291">
        <f>IFERROR(INDEX(Disbursements!$D:$D,MATCH('Live Collections'!G2905,Disbursements!$C:$C,0)),"")</f>
        <v>2</v>
      </c>
      <c r="G2905" s="34">
        <v>317</v>
      </c>
      <c r="H2905" s="34">
        <v>4713</v>
      </c>
      <c r="I2905" s="34" t="s">
        <v>1357</v>
      </c>
      <c r="J2905" s="48"/>
      <c r="K2905" s="48"/>
      <c r="L2905" s="48"/>
      <c r="M2905" s="48"/>
      <c r="N2905" s="59"/>
      <c r="O2905" s="59">
        <v>162500</v>
      </c>
      <c r="P2905" s="59"/>
      <c r="Q2905" s="268">
        <f t="shared" si="136"/>
        <v>162500</v>
      </c>
      <c r="R2905" s="61">
        <f>IF(O2905=0,0,SUMIFS(Disbursements!$T:$T,Disbursements!$B:$B,'Live Collections'!D2905,Disbursements!$D:$D,'Live Collections'!F2905))</f>
        <v>650000</v>
      </c>
      <c r="S2905" s="304">
        <f>IF(O2905&lt;=IF($O2905=0,0,SUMIFS(Disbursements!$W:$W,Disbursements!$B:$B,'Live Collections'!D228,Disbursements!$D:$D,'Live Collections'!F228)),O2905,IF($O2905=0,0,SUMIFS(Disbursements!$W:$W,Disbursements!$B:$B,'Live Collections'!D228,Disbursements!$D:$D,'Live Collections'!F228)))</f>
        <v>0</v>
      </c>
      <c r="T2905" s="304">
        <f t="shared" si="137"/>
        <v>162500</v>
      </c>
      <c r="U2905" s="52"/>
      <c r="V2905" s="34"/>
      <c r="W2905" s="408"/>
    </row>
    <row r="2906" spans="1:23" ht="12.75" customHeight="1" x14ac:dyDescent="0.2">
      <c r="A2906" s="257">
        <v>2919</v>
      </c>
      <c r="B2906" s="44">
        <v>44594</v>
      </c>
      <c r="C2906" s="44">
        <f t="shared" si="138"/>
        <v>44594</v>
      </c>
      <c r="D2906" s="374">
        <v>20</v>
      </c>
      <c r="E2906" s="291" t="str">
        <f>IFERROR(VLOOKUP($D2906,'Clients-Live'!$A:$C,3,0),"")</f>
        <v>ANDEZO KEVIN</v>
      </c>
      <c r="F2906" s="291">
        <f>IFERROR(INDEX(Disbursements!$D:$D,MATCH('Live Collections'!G2906,Disbursements!$C:$C,0)),"")</f>
        <v>2</v>
      </c>
      <c r="G2906" s="34">
        <v>194</v>
      </c>
      <c r="H2906" s="34">
        <v>4716</v>
      </c>
      <c r="I2906" s="34" t="s">
        <v>1358</v>
      </c>
      <c r="J2906" s="48"/>
      <c r="K2906" s="48"/>
      <c r="L2906" s="48"/>
      <c r="M2906" s="48"/>
      <c r="N2906" s="59"/>
      <c r="O2906" s="59">
        <v>80000</v>
      </c>
      <c r="P2906" s="59"/>
      <c r="Q2906" s="268">
        <f t="shared" si="136"/>
        <v>80000</v>
      </c>
      <c r="R2906" s="61">
        <f>IF(O2906=0,0,SUMIFS(Disbursements!$T:$T,Disbursements!$B:$B,'Live Collections'!D2906,Disbursements!$D:$D,'Live Collections'!F2906))</f>
        <v>200000</v>
      </c>
      <c r="S2906" s="304"/>
      <c r="T2906" s="304">
        <f t="shared" si="137"/>
        <v>80000</v>
      </c>
      <c r="U2906" s="52"/>
      <c r="V2906" s="34"/>
      <c r="W2906" s="408"/>
    </row>
    <row r="2907" spans="1:23" ht="12.75" customHeight="1" x14ac:dyDescent="0.2">
      <c r="A2907" s="257">
        <v>2920</v>
      </c>
      <c r="B2907" s="44">
        <v>44594</v>
      </c>
      <c r="C2907" s="44">
        <f t="shared" si="138"/>
        <v>44594</v>
      </c>
      <c r="D2907" s="374">
        <v>20</v>
      </c>
      <c r="E2907" s="291" t="str">
        <f>IFERROR(VLOOKUP($D2907,'Clients-Live'!$A:$C,3,0),"")</f>
        <v>ANDEZO KEVIN</v>
      </c>
      <c r="F2907" s="291">
        <f>IFERROR(INDEX(Disbursements!$D:$D,MATCH('Live Collections'!G2907,Disbursements!$C:$C,0)),"")</f>
        <v>2</v>
      </c>
      <c r="G2907" s="34">
        <v>194</v>
      </c>
      <c r="H2907" s="34">
        <v>756</v>
      </c>
      <c r="I2907" s="34" t="s">
        <v>1358</v>
      </c>
      <c r="J2907" s="48"/>
      <c r="K2907" s="48"/>
      <c r="L2907" s="48"/>
      <c r="M2907" s="48"/>
      <c r="N2907" s="59"/>
      <c r="O2907" s="59"/>
      <c r="P2907" s="59">
        <v>-80000</v>
      </c>
      <c r="Q2907" s="268">
        <f t="shared" si="136"/>
        <v>-80000</v>
      </c>
      <c r="R2907" s="61">
        <f>IF(O2907=0,0,SUMIFS(Disbursements!$T:$T,Disbursements!$B:$B,'Live Collections'!D2907,Disbursements!$D:$D,'Live Collections'!F2907))</f>
        <v>0</v>
      </c>
      <c r="S2907" s="304">
        <f>IF(O2907&lt;=IF($O2907=0,0,SUMIFS(Disbursements!$W:$W,Disbursements!$B:$B,'Live Collections'!D258,Disbursements!$D:$D,'Live Collections'!F258)),O2907,IF($O2907=0,0,SUMIFS(Disbursements!$W:$W,Disbursements!$B:$B,'Live Collections'!D258,Disbursements!$D:$D,'Live Collections'!F258)))</f>
        <v>0</v>
      </c>
      <c r="T2907" s="304">
        <f t="shared" si="137"/>
        <v>0</v>
      </c>
      <c r="U2907" s="52"/>
      <c r="V2907" s="34"/>
      <c r="W2907" s="408" t="s">
        <v>2022</v>
      </c>
    </row>
    <row r="2908" spans="1:23" ht="12.75" customHeight="1" x14ac:dyDescent="0.2">
      <c r="A2908" s="257">
        <v>2921</v>
      </c>
      <c r="B2908" s="44">
        <v>44594</v>
      </c>
      <c r="C2908" s="44">
        <f t="shared" si="138"/>
        <v>44594</v>
      </c>
      <c r="D2908" s="374">
        <v>20</v>
      </c>
      <c r="E2908" s="291" t="str">
        <f>IFERROR(VLOOKUP($D2908,'Clients-Live'!$A:$C,3,0),"")</f>
        <v>ANDEZO KEVIN</v>
      </c>
      <c r="F2908" s="291" t="str">
        <f>IFERROR(INDEX(Disbursements!$D:$D,MATCH('Live Collections'!G2908,Disbursements!$C:$C,0)),"")</f>
        <v/>
      </c>
      <c r="G2908" s="34"/>
      <c r="H2908" s="34">
        <v>4717</v>
      </c>
      <c r="I2908" s="34" t="s">
        <v>1358</v>
      </c>
      <c r="J2908" s="48"/>
      <c r="K2908" s="48"/>
      <c r="L2908" s="48">
        <v>25000</v>
      </c>
      <c r="M2908" s="48">
        <v>5000</v>
      </c>
      <c r="N2908" s="59"/>
      <c r="O2908" s="59"/>
      <c r="P2908" s="59"/>
      <c r="Q2908" s="268">
        <f t="shared" si="136"/>
        <v>30000</v>
      </c>
      <c r="R2908" s="61">
        <f>IF(O2908=0,0,SUMIFS(Disbursements!$T:$T,Disbursements!$B:$B,'Live Collections'!D2908,Disbursements!$D:$D,'Live Collections'!F2908))</f>
        <v>0</v>
      </c>
      <c r="S2908" s="304">
        <f>IF(O2908&lt;=IF($O2908=0,0,SUMIFS(Disbursements!$W:$W,Disbursements!$B:$B,'Live Collections'!D259,Disbursements!$D:$D,'Live Collections'!F259)),O2908,IF($O2908=0,0,SUMIFS(Disbursements!$W:$W,Disbursements!$B:$B,'Live Collections'!D259,Disbursements!$D:$D,'Live Collections'!F259)))</f>
        <v>0</v>
      </c>
      <c r="T2908" s="304">
        <f t="shared" si="137"/>
        <v>0</v>
      </c>
      <c r="U2908" s="52"/>
      <c r="V2908" s="34"/>
      <c r="W2908" s="408"/>
    </row>
    <row r="2909" spans="1:23" ht="12.75" customHeight="1" x14ac:dyDescent="0.2">
      <c r="A2909" s="257">
        <v>2926</v>
      </c>
      <c r="B2909" s="44">
        <v>44594</v>
      </c>
      <c r="C2909" s="44">
        <f t="shared" si="138"/>
        <v>44594</v>
      </c>
      <c r="D2909" s="374">
        <v>20</v>
      </c>
      <c r="E2909" s="291" t="str">
        <f>IFERROR(VLOOKUP($D2909,'Clients-Live'!$A:$C,3,0),"")</f>
        <v>ANDEZO KEVIN</v>
      </c>
      <c r="F2909" s="291">
        <f>IFERROR(INDEX(Disbursements!$D:$D,MATCH('Live Collections'!G2909,Disbursements!$C:$C,0)),"")</f>
        <v>2</v>
      </c>
      <c r="G2909" s="34">
        <v>194</v>
      </c>
      <c r="H2909" s="34">
        <v>4715</v>
      </c>
      <c r="I2909" s="34" t="s">
        <v>1358</v>
      </c>
      <c r="J2909" s="48"/>
      <c r="K2909" s="48"/>
      <c r="L2909" s="48"/>
      <c r="M2909" s="48"/>
      <c r="N2909" s="59"/>
      <c r="O2909" s="59">
        <v>170000</v>
      </c>
      <c r="P2909" s="59"/>
      <c r="Q2909" s="268">
        <f t="shared" si="136"/>
        <v>170000</v>
      </c>
      <c r="R2909" s="61">
        <f>IF(O2909=0,0,SUMIFS(Disbursements!$T:$T,Disbursements!$B:$B,'Live Collections'!D2909,Disbursements!$D:$D,'Live Collections'!F2909))</f>
        <v>200000</v>
      </c>
      <c r="S2909" s="64">
        <v>-135666.66666666669</v>
      </c>
      <c r="T2909" s="304">
        <f t="shared" si="137"/>
        <v>305666.66666666669</v>
      </c>
      <c r="U2909" s="52"/>
      <c r="V2909" s="34"/>
      <c r="W2909" s="408"/>
    </row>
    <row r="2910" spans="1:23" ht="12.75" customHeight="1" x14ac:dyDescent="0.2">
      <c r="A2910" s="257">
        <v>2914</v>
      </c>
      <c r="B2910" s="44">
        <v>44594</v>
      </c>
      <c r="C2910" s="44">
        <f t="shared" si="138"/>
        <v>44594</v>
      </c>
      <c r="D2910" s="374">
        <v>40</v>
      </c>
      <c r="E2910" s="291" t="str">
        <f>IFERROR(VLOOKUP($D2910,'Clients-Live'!$A:$C,3,0),"")</f>
        <v>TABU JANE</v>
      </c>
      <c r="F2910" s="291">
        <f>IFERROR(INDEX(Disbursements!$D:$D,MATCH('Live Collections'!G2910,Disbursements!$C:$C,0)),"")</f>
        <v>2</v>
      </c>
      <c r="G2910" s="34">
        <v>230</v>
      </c>
      <c r="H2910" s="34">
        <v>4539</v>
      </c>
      <c r="I2910" s="34" t="s">
        <v>1358</v>
      </c>
      <c r="J2910" s="48"/>
      <c r="K2910" s="48"/>
      <c r="L2910" s="48"/>
      <c r="M2910" s="48"/>
      <c r="N2910" s="59"/>
      <c r="O2910" s="59">
        <v>216000</v>
      </c>
      <c r="P2910" s="59"/>
      <c r="Q2910" s="268">
        <f t="shared" si="136"/>
        <v>216000</v>
      </c>
      <c r="R2910" s="61">
        <f>IF(O2910=0,0,SUMIFS(Disbursements!$T:$T,Disbursements!$B:$B,'Live Collections'!D2910,Disbursements!$D:$D,'Live Collections'!F2910))</f>
        <v>217000</v>
      </c>
      <c r="S2910" s="304">
        <f>IF(O2910&lt;=IF($O2910=0,0,SUMIFS(Disbursements!$W:$W,Disbursements!$B:$B,'Live Collections'!D442,Disbursements!$D:$D,'Live Collections'!F442)),O2910,IF($O2910=0,0,SUMIFS(Disbursements!$W:$W,Disbursements!$B:$B,'Live Collections'!D442,Disbursements!$D:$D,'Live Collections'!F442)))</f>
        <v>0</v>
      </c>
      <c r="T2910" s="304">
        <f t="shared" si="137"/>
        <v>216000</v>
      </c>
      <c r="U2910" s="52"/>
      <c r="V2910" s="34"/>
      <c r="W2910" s="408"/>
    </row>
    <row r="2911" spans="1:23" ht="12.75" customHeight="1" x14ac:dyDescent="0.2">
      <c r="A2911" s="257">
        <v>2913</v>
      </c>
      <c r="B2911" s="44">
        <v>44594</v>
      </c>
      <c r="C2911" s="44">
        <f t="shared" si="138"/>
        <v>44594</v>
      </c>
      <c r="D2911" s="374">
        <v>73</v>
      </c>
      <c r="E2911" s="291" t="str">
        <f>IFERROR(VLOOKUP($D2911,'Clients-Live'!$A:$C,3,0),"")</f>
        <v>AJONYE DEBORA</v>
      </c>
      <c r="F2911" s="291" t="str">
        <f>IFERROR(INDEX(Disbursements!$D:$D,MATCH('Live Collections'!G2911,Disbursements!$C:$C,0)),"")</f>
        <v/>
      </c>
      <c r="G2911" s="34"/>
      <c r="H2911" s="34">
        <v>4540</v>
      </c>
      <c r="I2911" s="34" t="s">
        <v>1357</v>
      </c>
      <c r="J2911" s="48"/>
      <c r="K2911" s="48"/>
      <c r="L2911" s="48">
        <v>20000</v>
      </c>
      <c r="M2911" s="48">
        <v>5000</v>
      </c>
      <c r="N2911" s="59"/>
      <c r="O2911" s="59"/>
      <c r="P2911" s="59"/>
      <c r="Q2911" s="268">
        <f t="shared" si="136"/>
        <v>25000</v>
      </c>
      <c r="R2911" s="61">
        <f>IF(O2911=0,0,SUMIFS(Disbursements!$T:$T,Disbursements!$B:$B,'Live Collections'!D2911,Disbursements!$D:$D,'Live Collections'!F2911))</f>
        <v>0</v>
      </c>
      <c r="S2911" s="304">
        <f>IF(O2911&lt;=IF($O2911=0,0,SUMIFS(Disbursements!$W:$W,Disbursements!$B:$B,'Live Collections'!D931,Disbursements!$D:$D,'Live Collections'!F931)),O2911,IF($O2911=0,0,SUMIFS(Disbursements!$W:$W,Disbursements!$B:$B,'Live Collections'!D931,Disbursements!$D:$D,'Live Collections'!F931)))</f>
        <v>0</v>
      </c>
      <c r="T2911" s="304">
        <f t="shared" si="137"/>
        <v>0</v>
      </c>
      <c r="U2911" s="52"/>
      <c r="V2911" s="34"/>
      <c r="W2911" s="408"/>
    </row>
    <row r="2912" spans="1:23" ht="12.75" customHeight="1" x14ac:dyDescent="0.2">
      <c r="A2912" s="257">
        <v>2933</v>
      </c>
      <c r="B2912" s="44">
        <v>44594</v>
      </c>
      <c r="C2912" s="44">
        <f t="shared" si="138"/>
        <v>44594</v>
      </c>
      <c r="D2912" s="374">
        <v>106</v>
      </c>
      <c r="E2912" s="291" t="str">
        <f>IFERROR(VLOOKUP($D2912,'Clients-Live'!$A:$C,3,0),"")</f>
        <v>ORODRIYO  NUSURA</v>
      </c>
      <c r="F2912" s="291">
        <f>IFERROR(INDEX(Disbursements!$D:$D,MATCH('Live Collections'!G2912,Disbursements!$C:$C,0)),"")</f>
        <v>2</v>
      </c>
      <c r="G2912" s="34">
        <v>104</v>
      </c>
      <c r="H2912" s="34">
        <v>4550</v>
      </c>
      <c r="I2912" s="34" t="s">
        <v>1357</v>
      </c>
      <c r="J2912" s="48"/>
      <c r="K2912" s="48"/>
      <c r="L2912" s="48"/>
      <c r="M2912" s="48"/>
      <c r="N2912" s="59"/>
      <c r="O2912" s="59">
        <v>30000</v>
      </c>
      <c r="P2912" s="59"/>
      <c r="Q2912" s="268">
        <f t="shared" si="136"/>
        <v>30000</v>
      </c>
      <c r="R2912" s="61">
        <f>IF(O2912=0,0,SUMIFS(Disbursements!$T:$T,Disbursements!$B:$B,'Live Collections'!D2912,Disbursements!$D:$D,'Live Collections'!F2912))</f>
        <v>120000</v>
      </c>
      <c r="S2912" s="304"/>
      <c r="T2912" s="304">
        <f t="shared" si="137"/>
        <v>30000</v>
      </c>
      <c r="U2912" s="52"/>
      <c r="V2912" s="34"/>
      <c r="W2912" s="408"/>
    </row>
    <row r="2913" spans="1:23" ht="12.75" customHeight="1" x14ac:dyDescent="0.2">
      <c r="A2913" s="257">
        <v>2907</v>
      </c>
      <c r="B2913" s="44">
        <v>44594</v>
      </c>
      <c r="C2913" s="44">
        <f t="shared" si="138"/>
        <v>44594</v>
      </c>
      <c r="D2913" s="374">
        <v>119</v>
      </c>
      <c r="E2913" s="291" t="str">
        <f>IFERROR(VLOOKUP($D2913,'Clients-Live'!$A:$C,3,0),"")</f>
        <v>STELLA KONGAI</v>
      </c>
      <c r="F2913" s="291" t="str">
        <f>IFERROR(INDEX(Disbursements!$D:$D,MATCH('Live Collections'!G2913,Disbursements!$C:$C,0)),"")</f>
        <v/>
      </c>
      <c r="G2913" s="34"/>
      <c r="H2913" s="34">
        <v>4723</v>
      </c>
      <c r="I2913" s="34" t="s">
        <v>1359</v>
      </c>
      <c r="J2913" s="48"/>
      <c r="K2913" s="48"/>
      <c r="L2913" s="48"/>
      <c r="M2913" s="48"/>
      <c r="N2913" s="59">
        <v>30000</v>
      </c>
      <c r="O2913" s="59"/>
      <c r="P2913" s="59"/>
      <c r="Q2913" s="268">
        <f t="shared" si="136"/>
        <v>30000</v>
      </c>
      <c r="R2913" s="61">
        <f>IF(O2913=0,0,SUMIFS(Disbursements!$T:$T,Disbursements!$B:$B,'Live Collections'!D2913,Disbursements!$D:$D,'Live Collections'!F2913))</f>
        <v>0</v>
      </c>
      <c r="S2913" s="304">
        <f>IF(O2913&lt;=IF($O2913=0,0,SUMIFS(Disbursements!$W:$W,Disbursements!$B:$B,'Live Collections'!D3908,Disbursements!$D:$D,'Live Collections'!F3908)),O2913,IF($O2913=0,0,SUMIFS(Disbursements!$W:$W,Disbursements!$B:$B,'Live Collections'!D3908,Disbursements!$D:$D,'Live Collections'!F3908)))</f>
        <v>0</v>
      </c>
      <c r="T2913" s="304">
        <f t="shared" si="137"/>
        <v>0</v>
      </c>
      <c r="U2913" s="52"/>
      <c r="V2913" s="34"/>
      <c r="W2913" s="408"/>
    </row>
    <row r="2914" spans="1:23" ht="12.75" customHeight="1" x14ac:dyDescent="0.2">
      <c r="A2914" s="257">
        <v>2908</v>
      </c>
      <c r="B2914" s="44">
        <v>44594</v>
      </c>
      <c r="C2914" s="44">
        <f t="shared" si="138"/>
        <v>44594</v>
      </c>
      <c r="D2914" s="374">
        <v>119</v>
      </c>
      <c r="E2914" s="291" t="str">
        <f>IFERROR(VLOOKUP($D2914,'Clients-Live'!$A:$C,3,0),"")</f>
        <v>STELLA KONGAI</v>
      </c>
      <c r="F2914" s="291">
        <f>IFERROR(INDEX(Disbursements!$D:$D,MATCH('Live Collections'!G2914,Disbursements!$C:$C,0)),"")</f>
        <v>2</v>
      </c>
      <c r="G2914" s="34">
        <v>253</v>
      </c>
      <c r="H2914" s="34">
        <v>4544</v>
      </c>
      <c r="I2914" s="34" t="s">
        <v>1359</v>
      </c>
      <c r="J2914" s="48"/>
      <c r="K2914" s="48"/>
      <c r="L2914" s="48"/>
      <c r="M2914" s="48"/>
      <c r="N2914" s="59"/>
      <c r="O2914" s="59">
        <v>580000</v>
      </c>
      <c r="P2914" s="59"/>
      <c r="Q2914" s="268">
        <f t="shared" si="136"/>
        <v>580000</v>
      </c>
      <c r="R2914" s="61">
        <f>IF(O2914=0,0,SUMIFS(Disbursements!$T:$T,Disbursements!$B:$B,'Live Collections'!D2914,Disbursements!$D:$D,'Live Collections'!F2914))</f>
        <v>817000</v>
      </c>
      <c r="S2914" s="304"/>
      <c r="T2914" s="304">
        <f t="shared" si="137"/>
        <v>580000</v>
      </c>
      <c r="U2914" s="52"/>
      <c r="V2914" s="34"/>
      <c r="W2914" s="408"/>
    </row>
    <row r="2915" spans="1:23" ht="12.75" customHeight="1" x14ac:dyDescent="0.2">
      <c r="A2915" s="257">
        <v>2910</v>
      </c>
      <c r="B2915" s="44">
        <v>44594</v>
      </c>
      <c r="C2915" s="44">
        <f t="shared" si="138"/>
        <v>44594</v>
      </c>
      <c r="D2915" s="374">
        <v>147</v>
      </c>
      <c r="E2915" s="291" t="str">
        <f>IFERROR(VLOOKUP($D2915,'Clients-Live'!$A:$C,3,0),"")</f>
        <v>DRICIRU MARGRET</v>
      </c>
      <c r="F2915" s="291">
        <f>IFERROR(INDEX(Disbursements!$D:$D,MATCH('Live Collections'!G2915,Disbursements!$C:$C,0)),"")</f>
        <v>2</v>
      </c>
      <c r="G2915" s="34">
        <v>203</v>
      </c>
      <c r="H2915" s="34">
        <v>4542</v>
      </c>
      <c r="I2915" s="34" t="s">
        <v>1359</v>
      </c>
      <c r="J2915" s="48"/>
      <c r="K2915" s="48"/>
      <c r="L2915" s="48"/>
      <c r="M2915" s="48"/>
      <c r="N2915" s="59"/>
      <c r="O2915" s="59">
        <v>120000</v>
      </c>
      <c r="P2915" s="59"/>
      <c r="Q2915" s="268">
        <f t="shared" si="136"/>
        <v>120000</v>
      </c>
      <c r="R2915" s="61">
        <f>IF(O2915=0,0,SUMIFS(Disbursements!$T:$T,Disbursements!$B:$B,'Live Collections'!D2915,Disbursements!$D:$D,'Live Collections'!F2915))</f>
        <v>300000</v>
      </c>
      <c r="S2915" s="304"/>
      <c r="T2915" s="304">
        <f t="shared" si="137"/>
        <v>120000</v>
      </c>
      <c r="U2915" s="52"/>
      <c r="V2915" s="34"/>
      <c r="W2915" s="408"/>
    </row>
    <row r="2916" spans="1:23" ht="12.75" customHeight="1" x14ac:dyDescent="0.2">
      <c r="A2916" s="257">
        <v>2911</v>
      </c>
      <c r="B2916" s="44">
        <v>44594</v>
      </c>
      <c r="C2916" s="44">
        <f t="shared" si="138"/>
        <v>44594</v>
      </c>
      <c r="D2916" s="374">
        <v>147</v>
      </c>
      <c r="E2916" s="291" t="str">
        <f>IFERROR(VLOOKUP($D2916,'Clients-Live'!$A:$C,3,0),"")</f>
        <v>DRICIRU MARGRET</v>
      </c>
      <c r="F2916" s="291">
        <f>IFERROR(INDEX(Disbursements!$D:$D,MATCH('Live Collections'!G2916,Disbursements!$C:$C,0)),"")</f>
        <v>2</v>
      </c>
      <c r="G2916" s="34">
        <v>203</v>
      </c>
      <c r="H2916" s="34">
        <v>798</v>
      </c>
      <c r="I2916" s="34" t="s">
        <v>1359</v>
      </c>
      <c r="J2916" s="48"/>
      <c r="K2916" s="48"/>
      <c r="L2916" s="48"/>
      <c r="M2916" s="48"/>
      <c r="N2916" s="59"/>
      <c r="O2916" s="59"/>
      <c r="P2916" s="59">
        <v>-120000</v>
      </c>
      <c r="Q2916" s="268">
        <f t="shared" si="136"/>
        <v>-120000</v>
      </c>
      <c r="R2916" s="61">
        <f>IF(O2916=0,0,SUMIFS(Disbursements!$T:$T,Disbursements!$B:$B,'Live Collections'!D2916,Disbursements!$D:$D,'Live Collections'!F2916))</f>
        <v>0</v>
      </c>
      <c r="S2916" s="304">
        <f>IF(O2916&lt;=IF($O2916=0,0,SUMIFS(Disbursements!$W:$W,Disbursements!$B:$B,'Live Collections'!D1862,Disbursements!$D:$D,'Live Collections'!F1862)),O2916,IF($O2916=0,0,SUMIFS(Disbursements!$W:$W,Disbursements!$B:$B,'Live Collections'!D1862,Disbursements!$D:$D,'Live Collections'!F1862)))</f>
        <v>0</v>
      </c>
      <c r="T2916" s="304">
        <f t="shared" si="137"/>
        <v>0</v>
      </c>
      <c r="U2916" s="52"/>
      <c r="V2916" s="34"/>
      <c r="W2916" s="408" t="s">
        <v>2024</v>
      </c>
    </row>
    <row r="2917" spans="1:23" ht="12.75" customHeight="1" x14ac:dyDescent="0.2">
      <c r="A2917" s="257">
        <v>2912</v>
      </c>
      <c r="B2917" s="44">
        <v>44594</v>
      </c>
      <c r="C2917" s="44">
        <f t="shared" si="138"/>
        <v>44594</v>
      </c>
      <c r="D2917" s="374">
        <v>147</v>
      </c>
      <c r="E2917" s="291" t="str">
        <f>IFERROR(VLOOKUP($D2917,'Clients-Live'!$A:$C,3,0),"")</f>
        <v>DRICIRU MARGRET</v>
      </c>
      <c r="F2917" s="291">
        <f>IFERROR(INDEX(Disbursements!$D:$D,MATCH('Live Collections'!G2917,Disbursements!$C:$C,0)),"")</f>
        <v>2</v>
      </c>
      <c r="G2917" s="34">
        <v>203</v>
      </c>
      <c r="H2917" s="34">
        <v>4541</v>
      </c>
      <c r="I2917" s="34" t="s">
        <v>1359</v>
      </c>
      <c r="J2917" s="48"/>
      <c r="K2917" s="48"/>
      <c r="L2917" s="48"/>
      <c r="M2917" s="48"/>
      <c r="N2917" s="59"/>
      <c r="O2917" s="59">
        <v>180000</v>
      </c>
      <c r="P2917" s="59"/>
      <c r="Q2917" s="268">
        <f t="shared" si="136"/>
        <v>180000</v>
      </c>
      <c r="R2917" s="61">
        <f>IF(O2917=0,0,SUMIFS(Disbursements!$T:$T,Disbursements!$B:$B,'Live Collections'!D2917,Disbursements!$D:$D,'Live Collections'!F2917))</f>
        <v>300000</v>
      </c>
      <c r="S2917" s="304"/>
      <c r="T2917" s="304">
        <f t="shared" si="137"/>
        <v>180000</v>
      </c>
      <c r="U2917" s="52"/>
      <c r="V2917" s="34"/>
      <c r="W2917" s="408"/>
    </row>
    <row r="2918" spans="1:23" ht="12.75" customHeight="1" x14ac:dyDescent="0.2">
      <c r="A2918" s="257">
        <v>2905</v>
      </c>
      <c r="B2918" s="44">
        <v>44594</v>
      </c>
      <c r="C2918" s="44">
        <f t="shared" si="138"/>
        <v>44594</v>
      </c>
      <c r="D2918" s="374">
        <v>169</v>
      </c>
      <c r="E2918" s="291" t="str">
        <f>IFERROR(VLOOKUP($D2918,'Clients-Live'!$A:$C,3,0),"")</f>
        <v>KATO KENNEDY</v>
      </c>
      <c r="F2918" s="291">
        <f>IFERROR(INDEX(Disbursements!$D:$D,MATCH('Live Collections'!G2918,Disbursements!$C:$C,0)),"")</f>
        <v>2</v>
      </c>
      <c r="G2918" s="34">
        <v>394</v>
      </c>
      <c r="H2918" s="34">
        <v>4548</v>
      </c>
      <c r="I2918" s="34" t="s">
        <v>1357</v>
      </c>
      <c r="J2918" s="48"/>
      <c r="K2918" s="48"/>
      <c r="L2918" s="48"/>
      <c r="M2918" s="48"/>
      <c r="N2918" s="59"/>
      <c r="O2918" s="59">
        <v>58000</v>
      </c>
      <c r="P2918" s="59"/>
      <c r="Q2918" s="268">
        <f t="shared" si="136"/>
        <v>58000</v>
      </c>
      <c r="R2918" s="61">
        <f>IF(O2918=0,0,SUMIFS(Disbursements!$T:$T,Disbursements!$B:$B,'Live Collections'!D2918,Disbursements!$D:$D,'Live Collections'!F2918))</f>
        <v>58000</v>
      </c>
      <c r="S2918" s="304">
        <f>IF(O2918&lt;=IF($O2918=0,0,SUMIFS(Disbursements!$W:$W,Disbursements!$B:$B,'Live Collections'!D2105,Disbursements!$D:$D,'Live Collections'!F2105)),O2918,IF($O2918=0,0,SUMIFS(Disbursements!$W:$W,Disbursements!$B:$B,'Live Collections'!D2105,Disbursements!$D:$D,'Live Collections'!F2105)))</f>
        <v>15000</v>
      </c>
      <c r="T2918" s="304">
        <f t="shared" si="137"/>
        <v>43000</v>
      </c>
      <c r="U2918" s="52"/>
      <c r="V2918" s="34"/>
      <c r="W2918" s="408"/>
    </row>
    <row r="2919" spans="1:23" ht="12.75" customHeight="1" x14ac:dyDescent="0.2">
      <c r="A2919" s="257">
        <v>2916</v>
      </c>
      <c r="B2919" s="44">
        <v>44594</v>
      </c>
      <c r="C2919" s="44">
        <f t="shared" si="138"/>
        <v>44594</v>
      </c>
      <c r="D2919" s="374">
        <v>171</v>
      </c>
      <c r="E2919" s="291" t="str">
        <f>IFERROR(VLOOKUP($D2919,'Clients-Live'!$A:$C,3,0),"")</f>
        <v>BADAKA GIFT JOEL</v>
      </c>
      <c r="F2919" s="291">
        <f>IFERROR(INDEX(Disbursements!$D:$D,MATCH('Live Collections'!G2919,Disbursements!$C:$C,0)),"")</f>
        <v>3</v>
      </c>
      <c r="G2919" s="34">
        <v>422</v>
      </c>
      <c r="H2919" s="34">
        <v>4535</v>
      </c>
      <c r="I2919" s="34" t="s">
        <v>1357</v>
      </c>
      <c r="J2919" s="48"/>
      <c r="K2919" s="48"/>
      <c r="L2919" s="48"/>
      <c r="M2919" s="48"/>
      <c r="N2919" s="59"/>
      <c r="O2919" s="59"/>
      <c r="P2919" s="59">
        <v>65000</v>
      </c>
      <c r="Q2919" s="268">
        <f t="shared" si="136"/>
        <v>65000</v>
      </c>
      <c r="R2919" s="61">
        <f>IF(O2919=0,0,SUMIFS(Disbursements!$T:$T,Disbursements!$B:$B,'Live Collections'!D2919,Disbursements!$D:$D,'Live Collections'!F2919))</f>
        <v>0</v>
      </c>
      <c r="S2919" s="304">
        <f>IF(O2919&lt;=IF($O2919=0,0,SUMIFS(Disbursements!$W:$W,Disbursements!$B:$B,'Live Collections'!D2131,Disbursements!$D:$D,'Live Collections'!F2131)),O2919,IF($O2919=0,0,SUMIFS(Disbursements!$W:$W,Disbursements!$B:$B,'Live Collections'!D2131,Disbursements!$D:$D,'Live Collections'!F2131)))</f>
        <v>0</v>
      </c>
      <c r="T2919" s="304">
        <f t="shared" si="137"/>
        <v>0</v>
      </c>
      <c r="U2919" s="52"/>
      <c r="V2919" s="34"/>
      <c r="W2919" s="408"/>
    </row>
    <row r="2920" spans="1:23" ht="12.75" customHeight="1" x14ac:dyDescent="0.2">
      <c r="A2920" s="257">
        <v>2935</v>
      </c>
      <c r="B2920" s="44">
        <v>44594</v>
      </c>
      <c r="C2920" s="44">
        <f t="shared" si="138"/>
        <v>44594</v>
      </c>
      <c r="D2920" s="374">
        <v>205</v>
      </c>
      <c r="E2920" s="291" t="str">
        <f>IFERROR(VLOOKUP($D2920,'Clients-Live'!$A:$C,3,0),"")</f>
        <v>OPIRU ALICE</v>
      </c>
      <c r="F2920" s="291">
        <f>IFERROR(INDEX(Disbursements!$D:$D,MATCH('Live Collections'!G2920,Disbursements!$C:$C,0)),"")</f>
        <v>2</v>
      </c>
      <c r="G2920" s="34">
        <v>396</v>
      </c>
      <c r="H2920" s="34">
        <v>4549</v>
      </c>
      <c r="I2920" s="34" t="s">
        <v>1359</v>
      </c>
      <c r="J2920" s="48"/>
      <c r="K2920" s="48"/>
      <c r="L2920" s="48"/>
      <c r="M2920" s="48"/>
      <c r="N2920" s="59"/>
      <c r="O2920" s="59">
        <v>60000</v>
      </c>
      <c r="P2920" s="59"/>
      <c r="Q2920" s="268">
        <f t="shared" si="136"/>
        <v>60000</v>
      </c>
      <c r="R2920" s="61">
        <f>IF(O2920=0,0,SUMIFS(Disbursements!$T:$T,Disbursements!$B:$B,'Live Collections'!D2920,Disbursements!$D:$D,'Live Collections'!F2920))</f>
        <v>40000</v>
      </c>
      <c r="S2920" s="304">
        <f>IF(O2920&lt;=IF($O2920=0,0,SUMIFS(Disbursements!$W:$W,Disbursements!$B:$B,'Live Collections'!D2432,Disbursements!$D:$D,'Live Collections'!F2432)),O2920,IF($O2920=0,0,SUMIFS(Disbursements!$W:$W,Disbursements!$B:$B,'Live Collections'!D2432,Disbursements!$D:$D,'Live Collections'!F2432)))</f>
        <v>35000</v>
      </c>
      <c r="T2920" s="304">
        <f t="shared" si="137"/>
        <v>25000</v>
      </c>
      <c r="U2920" s="52"/>
      <c r="V2920" s="34"/>
      <c r="W2920" s="408"/>
    </row>
    <row r="2921" spans="1:23" ht="12.75" customHeight="1" x14ac:dyDescent="0.2">
      <c r="A2921" s="257">
        <v>2906</v>
      </c>
      <c r="B2921" s="44">
        <v>44594</v>
      </c>
      <c r="C2921" s="44">
        <f t="shared" si="138"/>
        <v>44594</v>
      </c>
      <c r="D2921" s="374">
        <v>217</v>
      </c>
      <c r="E2921" s="291" t="str">
        <f>IFERROR(VLOOKUP($D2921,'Clients-Live'!$A:$C,3,0),"")</f>
        <v>JAMBA MOSES</v>
      </c>
      <c r="F2921" s="291">
        <f>IFERROR(INDEX(Disbursements!$D:$D,MATCH('Live Collections'!G2921,Disbursements!$C:$C,0)),"")</f>
        <v>2</v>
      </c>
      <c r="G2921" s="34">
        <v>341</v>
      </c>
      <c r="H2921" s="34">
        <v>4547</v>
      </c>
      <c r="I2921" s="34" t="s">
        <v>1357</v>
      </c>
      <c r="J2921" s="48"/>
      <c r="K2921" s="48"/>
      <c r="L2921" s="48"/>
      <c r="M2921" s="48"/>
      <c r="N2921" s="59"/>
      <c r="O2921" s="59">
        <v>77000</v>
      </c>
      <c r="P2921" s="59"/>
      <c r="Q2921" s="268">
        <f t="shared" si="136"/>
        <v>77000</v>
      </c>
      <c r="R2921" s="61">
        <f>IF(O2921=0,0,SUMIFS(Disbursements!$T:$T,Disbursements!$B:$B,'Live Collections'!D2921,Disbursements!$D:$D,'Live Collections'!F2921))</f>
        <v>154000</v>
      </c>
      <c r="S2921" s="304"/>
      <c r="T2921" s="304">
        <f t="shared" si="137"/>
        <v>77000</v>
      </c>
      <c r="U2921" s="52"/>
      <c r="V2921" s="34"/>
      <c r="W2921" s="408"/>
    </row>
    <row r="2922" spans="1:23" ht="12.75" customHeight="1" x14ac:dyDescent="0.2">
      <c r="A2922" s="257">
        <v>2929</v>
      </c>
      <c r="B2922" s="44">
        <v>44594</v>
      </c>
      <c r="C2922" s="44">
        <f t="shared" si="138"/>
        <v>44594</v>
      </c>
      <c r="D2922" s="374">
        <v>221</v>
      </c>
      <c r="E2922" s="291" t="str">
        <f>IFERROR(VLOOKUP($D2922,'Clients-Live'!$A:$C,3,0),"")</f>
        <v>NAMUDDU MARY</v>
      </c>
      <c r="F2922" s="291">
        <f>IFERROR(INDEX(Disbursements!$D:$D,MATCH('Live Collections'!G2922,Disbursements!$C:$C,0)),"")</f>
        <v>2</v>
      </c>
      <c r="G2922" s="34">
        <v>407</v>
      </c>
      <c r="H2922" s="34">
        <v>4711</v>
      </c>
      <c r="I2922" s="34" t="s">
        <v>1359</v>
      </c>
      <c r="J2922" s="48"/>
      <c r="K2922" s="48"/>
      <c r="L2922" s="48"/>
      <c r="M2922" s="48"/>
      <c r="N2922" s="59"/>
      <c r="O2922" s="59">
        <v>80000</v>
      </c>
      <c r="P2922" s="59"/>
      <c r="Q2922" s="268">
        <f t="shared" si="136"/>
        <v>80000</v>
      </c>
      <c r="R2922" s="61">
        <f>IF(O2922=0,0,SUMIFS(Disbursements!$T:$T,Disbursements!$B:$B,'Live Collections'!D2922,Disbursements!$D:$D,'Live Collections'!F2922))</f>
        <v>79000</v>
      </c>
      <c r="S2922" s="304">
        <f>IF(O2922&lt;=IF($O2922=0,0,SUMIFS(Disbursements!$W:$W,Disbursements!$B:$B,'Live Collections'!D2608,Disbursements!$D:$D,'Live Collections'!F2608)),O2922,IF($O2922=0,0,SUMIFS(Disbursements!$W:$W,Disbursements!$B:$B,'Live Collections'!D2608,Disbursements!$D:$D,'Live Collections'!F2608)))</f>
        <v>35000</v>
      </c>
      <c r="T2922" s="304">
        <f t="shared" si="137"/>
        <v>45000</v>
      </c>
      <c r="U2922" s="52"/>
      <c r="V2922" s="34"/>
      <c r="W2922" s="408"/>
    </row>
    <row r="2923" spans="1:23" ht="12.75" customHeight="1" x14ac:dyDescent="0.2">
      <c r="A2923" s="257">
        <v>2922</v>
      </c>
      <c r="B2923" s="44">
        <v>44594</v>
      </c>
      <c r="C2923" s="44">
        <f t="shared" si="138"/>
        <v>44594</v>
      </c>
      <c r="D2923" s="374">
        <v>228</v>
      </c>
      <c r="E2923" s="291" t="str">
        <f>IFERROR(VLOOKUP($D2923,'Clients-Live'!$A:$C,3,0),"")</f>
        <v>DADA ISAAC</v>
      </c>
      <c r="F2923" s="291">
        <f>IFERROR(INDEX(Disbursements!$D:$D,MATCH('Live Collections'!G2923,Disbursements!$C:$C,0)),"")</f>
        <v>5</v>
      </c>
      <c r="G2923" s="34">
        <v>412</v>
      </c>
      <c r="H2923" s="34">
        <v>4651</v>
      </c>
      <c r="I2923" s="34" t="s">
        <v>1357</v>
      </c>
      <c r="J2923" s="48"/>
      <c r="K2923" s="48"/>
      <c r="L2923" s="48"/>
      <c r="M2923" s="48"/>
      <c r="N2923" s="59"/>
      <c r="O2923" s="59">
        <v>250000</v>
      </c>
      <c r="P2923" s="59"/>
      <c r="Q2923" s="268">
        <f t="shared" si="136"/>
        <v>250000</v>
      </c>
      <c r="R2923" s="61">
        <f>IF(O2923=0,0,SUMIFS(Disbursements!$T:$T,Disbursements!$B:$B,'Live Collections'!D2923,Disbursements!$D:$D,'Live Collections'!F2923))</f>
        <v>666000</v>
      </c>
      <c r="S2923" s="304">
        <f>IF(O2923&lt;=IF($O2923=0,0,SUMIFS(Disbursements!$W:$W,Disbursements!$B:$B,'Live Collections'!D2663,Disbursements!$D:$D,'Live Collections'!F2663)),O2923,IF($O2923=0,0,SUMIFS(Disbursements!$W:$W,Disbursements!$B:$B,'Live Collections'!D2663,Disbursements!$D:$D,'Live Collections'!F2663)))</f>
        <v>75000</v>
      </c>
      <c r="T2923" s="304">
        <f t="shared" si="137"/>
        <v>175000</v>
      </c>
      <c r="U2923" s="52"/>
      <c r="V2923" s="34"/>
      <c r="W2923" s="408"/>
    </row>
    <row r="2924" spans="1:23" ht="12.75" customHeight="1" x14ac:dyDescent="0.2">
      <c r="A2924" s="257">
        <v>2923</v>
      </c>
      <c r="B2924" s="44">
        <v>44594</v>
      </c>
      <c r="C2924" s="44">
        <f t="shared" si="138"/>
        <v>44594</v>
      </c>
      <c r="D2924" s="374">
        <v>228</v>
      </c>
      <c r="E2924" s="291" t="str">
        <f>IFERROR(VLOOKUP($D2924,'Clients-Live'!$A:$C,3,0),"")</f>
        <v>DADA ISAAC</v>
      </c>
      <c r="F2924" s="291">
        <f>IFERROR(INDEX(Disbursements!$D:$D,MATCH('Live Collections'!G2924,Disbursements!$C:$C,0)),"")</f>
        <v>5</v>
      </c>
      <c r="G2924" s="34">
        <v>412</v>
      </c>
      <c r="H2924" s="34">
        <v>758</v>
      </c>
      <c r="I2924" s="34" t="s">
        <v>1357</v>
      </c>
      <c r="J2924" s="48"/>
      <c r="K2924" s="48"/>
      <c r="L2924" s="48"/>
      <c r="M2924" s="48"/>
      <c r="N2924" s="59"/>
      <c r="O2924" s="59"/>
      <c r="P2924" s="59">
        <v>-250000</v>
      </c>
      <c r="Q2924" s="268">
        <f t="shared" si="136"/>
        <v>-250000</v>
      </c>
      <c r="R2924" s="61">
        <f>IF(O2924=0,0,SUMIFS(Disbursements!$T:$T,Disbursements!$B:$B,'Live Collections'!D2924,Disbursements!$D:$D,'Live Collections'!F2924))</f>
        <v>0</v>
      </c>
      <c r="S2924" s="304">
        <f>IF(O2924&lt;=IF($O2924=0,0,SUMIFS(Disbursements!$W:$W,Disbursements!$B:$B,'Live Collections'!D2664,Disbursements!$D:$D,'Live Collections'!F2664)),O2924,IF($O2924=0,0,SUMIFS(Disbursements!$W:$W,Disbursements!$B:$B,'Live Collections'!D2664,Disbursements!$D:$D,'Live Collections'!F2664)))</f>
        <v>0</v>
      </c>
      <c r="T2924" s="304">
        <f t="shared" si="137"/>
        <v>0</v>
      </c>
      <c r="U2924" s="52"/>
      <c r="V2924" s="34"/>
      <c r="W2924" s="408"/>
    </row>
    <row r="2925" spans="1:23" ht="12.75" customHeight="1" x14ac:dyDescent="0.2">
      <c r="A2925" s="257">
        <v>2924</v>
      </c>
      <c r="B2925" s="44">
        <v>44594</v>
      </c>
      <c r="C2925" s="44">
        <f t="shared" si="138"/>
        <v>44594</v>
      </c>
      <c r="D2925" s="374">
        <v>228</v>
      </c>
      <c r="E2925" s="291" t="str">
        <f>IFERROR(VLOOKUP($D2925,'Clients-Live'!$A:$C,3,0),"")</f>
        <v>DADA ISAAC</v>
      </c>
      <c r="F2925" s="291">
        <f>IFERROR(INDEX(Disbursements!$D:$D,MATCH('Live Collections'!G2925,Disbursements!$C:$C,0)),"")</f>
        <v>6</v>
      </c>
      <c r="G2925" s="34">
        <v>421</v>
      </c>
      <c r="H2925" s="34">
        <v>4653</v>
      </c>
      <c r="I2925" s="34" t="s">
        <v>1358</v>
      </c>
      <c r="J2925" s="48"/>
      <c r="K2925" s="48"/>
      <c r="L2925" s="48"/>
      <c r="M2925" s="48"/>
      <c r="N2925" s="59"/>
      <c r="O2925" s="59"/>
      <c r="P2925" s="59">
        <v>50000</v>
      </c>
      <c r="Q2925" s="268">
        <f t="shared" si="136"/>
        <v>50000</v>
      </c>
      <c r="R2925" s="61">
        <f>IF(O2925=0,0,SUMIFS(Disbursements!$T:$T,Disbursements!$B:$B,'Live Collections'!D2925,Disbursements!$D:$D,'Live Collections'!F2925))</f>
        <v>0</v>
      </c>
      <c r="S2925" s="304">
        <f>IF(O2925&lt;=IF($O2925=0,0,SUMIFS(Disbursements!$W:$W,Disbursements!$B:$B,'Live Collections'!D2665,Disbursements!$D:$D,'Live Collections'!F2665)),O2925,IF($O2925=0,0,SUMIFS(Disbursements!$W:$W,Disbursements!$B:$B,'Live Collections'!D2665,Disbursements!$D:$D,'Live Collections'!F2665)))</f>
        <v>0</v>
      </c>
      <c r="T2925" s="304">
        <f t="shared" si="137"/>
        <v>0</v>
      </c>
      <c r="U2925" s="52"/>
      <c r="V2925" s="34"/>
      <c r="W2925" s="408"/>
    </row>
    <row r="2926" spans="1:23" ht="12.75" customHeight="1" x14ac:dyDescent="0.2">
      <c r="A2926" s="257">
        <v>2925</v>
      </c>
      <c r="B2926" s="44">
        <v>44594</v>
      </c>
      <c r="C2926" s="44">
        <f t="shared" si="138"/>
        <v>44594</v>
      </c>
      <c r="D2926" s="374">
        <v>228</v>
      </c>
      <c r="E2926" s="291" t="str">
        <f>IFERROR(VLOOKUP($D2926,'Clients-Live'!$A:$C,3,0),"")</f>
        <v>DADA ISAAC</v>
      </c>
      <c r="F2926" s="291" t="str">
        <f>IFERROR(INDEX(Disbursements!$D:$D,MATCH('Live Collections'!G2926,Disbursements!$C:$C,0)),"")</f>
        <v/>
      </c>
      <c r="G2926" s="34"/>
      <c r="H2926" s="34">
        <v>4654</v>
      </c>
      <c r="I2926" s="34" t="s">
        <v>1358</v>
      </c>
      <c r="J2926" s="48"/>
      <c r="K2926" s="48"/>
      <c r="L2926" s="48">
        <v>15000</v>
      </c>
      <c r="M2926" s="48">
        <v>5000</v>
      </c>
      <c r="N2926" s="59"/>
      <c r="O2926" s="59"/>
      <c r="P2926" s="59"/>
      <c r="Q2926" s="268">
        <f t="shared" si="136"/>
        <v>20000</v>
      </c>
      <c r="R2926" s="61">
        <f>IF(O2926=0,0,SUMIFS(Disbursements!$T:$T,Disbursements!$B:$B,'Live Collections'!D2926,Disbursements!$D:$D,'Live Collections'!F2926))</f>
        <v>0</v>
      </c>
      <c r="S2926" s="304">
        <f>IF(O2926&lt;=IF($O2926=0,0,SUMIFS(Disbursements!$W:$W,Disbursements!$B:$B,'Live Collections'!D2666,Disbursements!$D:$D,'Live Collections'!F2666)),O2926,IF($O2926=0,0,SUMIFS(Disbursements!$W:$W,Disbursements!$B:$B,'Live Collections'!D2666,Disbursements!$D:$D,'Live Collections'!F2666)))</f>
        <v>0</v>
      </c>
      <c r="T2926" s="304">
        <f t="shared" si="137"/>
        <v>0</v>
      </c>
      <c r="U2926" s="52"/>
      <c r="V2926" s="34"/>
      <c r="W2926" s="408"/>
    </row>
    <row r="2927" spans="1:23" ht="12.75" customHeight="1" x14ac:dyDescent="0.2">
      <c r="A2927" s="257">
        <v>2928</v>
      </c>
      <c r="B2927" s="44">
        <v>44594</v>
      </c>
      <c r="C2927" s="44">
        <f t="shared" si="138"/>
        <v>44594</v>
      </c>
      <c r="D2927" s="374">
        <v>228</v>
      </c>
      <c r="E2927" s="291" t="str">
        <f>IFERROR(VLOOKUP($D2927,'Clients-Live'!$A:$C,3,0),"")</f>
        <v>DADA ISAAC</v>
      </c>
      <c r="F2927" s="291">
        <f>IFERROR(INDEX(Disbursements!$D:$D,MATCH('Live Collections'!G2927,Disbursements!$C:$C,0)),"")</f>
        <v>5</v>
      </c>
      <c r="G2927" s="34">
        <v>412</v>
      </c>
      <c r="H2927" s="34">
        <v>4652</v>
      </c>
      <c r="I2927" s="34" t="s">
        <v>1357</v>
      </c>
      <c r="J2927" s="48"/>
      <c r="K2927" s="48"/>
      <c r="L2927" s="48"/>
      <c r="M2927" s="48"/>
      <c r="N2927" s="59"/>
      <c r="O2927" s="59">
        <v>2412500</v>
      </c>
      <c r="P2927" s="59"/>
      <c r="Q2927" s="268">
        <f t="shared" si="136"/>
        <v>2412500</v>
      </c>
      <c r="R2927" s="61">
        <f>IF(O2927=0,0,SUMIFS(Disbursements!$T:$T,Disbursements!$B:$B,'Live Collections'!D2927,Disbursements!$D:$D,'Live Collections'!F2927))</f>
        <v>666000</v>
      </c>
      <c r="S2927" s="64">
        <v>89000</v>
      </c>
      <c r="T2927" s="304">
        <f t="shared" si="137"/>
        <v>2323500</v>
      </c>
      <c r="U2927" s="52"/>
      <c r="V2927" s="34"/>
      <c r="W2927" s="408" t="s">
        <v>2086</v>
      </c>
    </row>
    <row r="2928" spans="1:23" ht="12.75" customHeight="1" x14ac:dyDescent="0.2">
      <c r="A2928" s="257">
        <v>2930</v>
      </c>
      <c r="B2928" s="44">
        <v>44594</v>
      </c>
      <c r="C2928" s="44">
        <f t="shared" si="138"/>
        <v>44594</v>
      </c>
      <c r="D2928" s="374">
        <v>233</v>
      </c>
      <c r="E2928" s="291" t="str">
        <f>IFERROR(VLOOKUP($D2928,'Clients-Live'!$A:$C,3,0),"")</f>
        <v>KAMOYO HARRIET</v>
      </c>
      <c r="F2928" s="291">
        <f>IFERROR(INDEX(Disbursements!$D:$D,MATCH('Live Collections'!G2928,Disbursements!$C:$C,0)),"")</f>
        <v>1</v>
      </c>
      <c r="G2928" s="34">
        <v>246</v>
      </c>
      <c r="H2928" s="34">
        <v>4534</v>
      </c>
      <c r="I2928" s="34" t="s">
        <v>1358</v>
      </c>
      <c r="J2928" s="48"/>
      <c r="K2928" s="48"/>
      <c r="L2928" s="48"/>
      <c r="M2928" s="48"/>
      <c r="N2928" s="59"/>
      <c r="O2928" s="59">
        <v>50000</v>
      </c>
      <c r="P2928" s="59"/>
      <c r="Q2928" s="268">
        <f t="shared" si="136"/>
        <v>50000</v>
      </c>
      <c r="R2928" s="61">
        <f>IF(O2928=0,0,SUMIFS(Disbursements!$T:$T,Disbursements!$B:$B,'Live Collections'!D2928,Disbursements!$D:$D,'Live Collections'!F2928))</f>
        <v>150000</v>
      </c>
      <c r="S2928" s="304">
        <f>IF(O2928&lt;=IF($O2928=0,0,SUMIFS(Disbursements!$W:$W,Disbursements!$B:$B,'Live Collections'!D2697,Disbursements!$D:$D,'Live Collections'!F2697)),O2928,IF($O2928=0,0,SUMIFS(Disbursements!$W:$W,Disbursements!$B:$B,'Live Collections'!D2697,Disbursements!$D:$D,'Live Collections'!F2697)))</f>
        <v>30000</v>
      </c>
      <c r="T2928" s="304">
        <f t="shared" si="137"/>
        <v>20000</v>
      </c>
      <c r="U2928" s="52"/>
      <c r="V2928" s="34"/>
      <c r="W2928" s="408"/>
    </row>
    <row r="2929" spans="1:23" ht="12.75" customHeight="1" x14ac:dyDescent="0.2">
      <c r="A2929" s="257">
        <v>2931</v>
      </c>
      <c r="B2929" s="44">
        <v>44594</v>
      </c>
      <c r="C2929" s="44">
        <f t="shared" si="138"/>
        <v>44594</v>
      </c>
      <c r="D2929" s="374">
        <v>233</v>
      </c>
      <c r="E2929" s="291" t="str">
        <f>IFERROR(VLOOKUP($D2929,'Clients-Live'!$A:$C,3,0),"")</f>
        <v>KAMOYO HARRIET</v>
      </c>
      <c r="F2929" s="291">
        <f>IFERROR(INDEX(Disbursements!$D:$D,MATCH('Live Collections'!G2929,Disbursements!$C:$C,0)),"")</f>
        <v>1</v>
      </c>
      <c r="G2929" s="34">
        <v>246</v>
      </c>
      <c r="H2929" s="34">
        <v>748</v>
      </c>
      <c r="I2929" s="34" t="s">
        <v>1358</v>
      </c>
      <c r="J2929" s="48"/>
      <c r="K2929" s="48"/>
      <c r="L2929" s="48"/>
      <c r="M2929" s="48"/>
      <c r="N2929" s="59"/>
      <c r="O2929" s="59"/>
      <c r="P2929" s="59">
        <v>-50000</v>
      </c>
      <c r="Q2929" s="268">
        <f t="shared" si="136"/>
        <v>-50000</v>
      </c>
      <c r="R2929" s="61">
        <f>IF(O2929=0,0,SUMIFS(Disbursements!$T:$T,Disbursements!$B:$B,'Live Collections'!D2929,Disbursements!$D:$D,'Live Collections'!F2929))</f>
        <v>0</v>
      </c>
      <c r="S2929" s="304">
        <f>IF(O2929&lt;=IF($O2929=0,0,SUMIFS(Disbursements!$W:$W,Disbursements!$B:$B,'Live Collections'!D2698,Disbursements!$D:$D,'Live Collections'!F2698)),O2929,IF($O2929=0,0,SUMIFS(Disbursements!$W:$W,Disbursements!$B:$B,'Live Collections'!D2698,Disbursements!$D:$D,'Live Collections'!F2698)))</f>
        <v>0</v>
      </c>
      <c r="T2929" s="304">
        <f t="shared" si="137"/>
        <v>0</v>
      </c>
      <c r="U2929" s="52"/>
      <c r="V2929" s="34"/>
      <c r="W2929" s="408" t="s">
        <v>2023</v>
      </c>
    </row>
    <row r="2930" spans="1:23" ht="12.75" customHeight="1" x14ac:dyDescent="0.2">
      <c r="A2930" s="257">
        <v>2932</v>
      </c>
      <c r="B2930" s="44">
        <v>44594</v>
      </c>
      <c r="C2930" s="44">
        <f t="shared" si="138"/>
        <v>44594</v>
      </c>
      <c r="D2930" s="374">
        <v>233</v>
      </c>
      <c r="E2930" s="291" t="str">
        <f>IFERROR(VLOOKUP($D2930,'Clients-Live'!$A:$C,3,0),"")</f>
        <v>KAMOYO HARRIET</v>
      </c>
      <c r="F2930" s="291">
        <f>IFERROR(INDEX(Disbursements!$D:$D,MATCH('Live Collections'!G2930,Disbursements!$C:$C,0)),"")</f>
        <v>1</v>
      </c>
      <c r="G2930" s="34">
        <v>246</v>
      </c>
      <c r="H2930" s="34">
        <v>4533</v>
      </c>
      <c r="I2930" s="34" t="s">
        <v>1358</v>
      </c>
      <c r="J2930" s="48"/>
      <c r="K2930" s="48"/>
      <c r="L2930" s="48"/>
      <c r="M2930" s="48"/>
      <c r="N2930" s="59"/>
      <c r="O2930" s="59">
        <v>100000</v>
      </c>
      <c r="P2930" s="59"/>
      <c r="Q2930" s="268">
        <f t="shared" si="136"/>
        <v>100000</v>
      </c>
      <c r="R2930" s="61">
        <f>IF(O2930=0,0,SUMIFS(Disbursements!$T:$T,Disbursements!$B:$B,'Live Collections'!D2930,Disbursements!$D:$D,'Live Collections'!F2930))</f>
        <v>150000</v>
      </c>
      <c r="S2930" s="304">
        <f>IF(O2930&lt;=IF($O2930=0,0,SUMIFS(Disbursements!$W:$W,Disbursements!$B:$B,'Live Collections'!D2699,Disbursements!$D:$D,'Live Collections'!F2699)),O2930,IF($O2930=0,0,SUMIFS(Disbursements!$W:$W,Disbursements!$B:$B,'Live Collections'!D2699,Disbursements!$D:$D,'Live Collections'!F2699)))</f>
        <v>30000</v>
      </c>
      <c r="T2930" s="304">
        <f t="shared" si="137"/>
        <v>70000</v>
      </c>
      <c r="U2930" s="52"/>
      <c r="V2930" s="34"/>
      <c r="W2930" s="408"/>
    </row>
    <row r="2931" spans="1:23" ht="12.75" customHeight="1" x14ac:dyDescent="0.2">
      <c r="A2931" s="257">
        <v>2917</v>
      </c>
      <c r="B2931" s="44">
        <v>44594</v>
      </c>
      <c r="C2931" s="44">
        <f t="shared" si="138"/>
        <v>44594</v>
      </c>
      <c r="D2931" s="374">
        <v>253</v>
      </c>
      <c r="E2931" s="291" t="str">
        <f>IFERROR(VLOOKUP($D2931,'Clients-Live'!$A:$C,3,0),"")</f>
        <v>JAKUMA VINCENT</v>
      </c>
      <c r="F2931" s="291">
        <f>IFERROR(INDEX(Disbursements!$D:$D,MATCH('Live Collections'!G2931,Disbursements!$C:$C,0)),"")</f>
        <v>1</v>
      </c>
      <c r="G2931" s="34">
        <v>359</v>
      </c>
      <c r="H2931" s="34">
        <v>4720</v>
      </c>
      <c r="I2931" s="34" t="s">
        <v>1359</v>
      </c>
      <c r="J2931" s="48"/>
      <c r="K2931" s="48"/>
      <c r="L2931" s="48"/>
      <c r="M2931" s="48"/>
      <c r="N2931" s="59"/>
      <c r="O2931" s="59">
        <v>100000</v>
      </c>
      <c r="P2931" s="59"/>
      <c r="Q2931" s="268">
        <f t="shared" ref="Q2931:Q2993" si="139">SUM(J2931:P2931)</f>
        <v>100000</v>
      </c>
      <c r="R2931" s="61">
        <f>IF(O2931=0,0,SUMIFS(Disbursements!$T:$T,Disbursements!$B:$B,'Live Collections'!D2931,Disbursements!$D:$D,'Live Collections'!F2931))</f>
        <v>613000</v>
      </c>
      <c r="S2931" s="304"/>
      <c r="T2931" s="304">
        <f t="shared" si="137"/>
        <v>100000</v>
      </c>
      <c r="U2931" s="52"/>
      <c r="V2931" s="34"/>
      <c r="W2931" s="408"/>
    </row>
    <row r="2932" spans="1:23" ht="12.75" customHeight="1" x14ac:dyDescent="0.2">
      <c r="A2932" s="257">
        <v>2934</v>
      </c>
      <c r="B2932" s="44">
        <v>44594</v>
      </c>
      <c r="C2932" s="44">
        <f t="shared" si="138"/>
        <v>44594</v>
      </c>
      <c r="D2932" s="374">
        <v>284</v>
      </c>
      <c r="E2932" s="291" t="str">
        <f>IFERROR(VLOOKUP($D2932,'Clients-Live'!$A:$C,3,0),"")</f>
        <v>MALISH WAWASON</v>
      </c>
      <c r="F2932" s="291">
        <f>IFERROR(INDEX(Disbursements!$D:$D,MATCH('Live Collections'!G2932,Disbursements!$C:$C,0)),"")</f>
        <v>1</v>
      </c>
      <c r="G2932" s="34">
        <v>338</v>
      </c>
      <c r="H2932" s="34">
        <v>4724</v>
      </c>
      <c r="I2932" s="34" t="s">
        <v>1358</v>
      </c>
      <c r="J2932" s="48"/>
      <c r="K2932" s="48"/>
      <c r="L2932" s="48"/>
      <c r="M2932" s="48"/>
      <c r="N2932" s="59"/>
      <c r="O2932" s="59">
        <v>500000</v>
      </c>
      <c r="P2932" s="59"/>
      <c r="Q2932" s="268">
        <f t="shared" si="139"/>
        <v>500000</v>
      </c>
      <c r="R2932" s="61">
        <f>IF(O2932=0,0,SUMIFS(Disbursements!$T:$T,Disbursements!$B:$B,'Live Collections'!D2932,Disbursements!$D:$D,'Live Collections'!F2932))</f>
        <v>1150000</v>
      </c>
      <c r="S2932" s="304">
        <f>IF(O2932&lt;=IF($O2932=0,0,SUMIFS(Disbursements!$W:$W,Disbursements!$B:$B,'Live Collections'!D3020,Disbursements!$D:$D,'Live Collections'!F3020)),O2932,IF($O2932=0,0,SUMIFS(Disbursements!$W:$W,Disbursements!$B:$B,'Live Collections'!D3020,Disbursements!$D:$D,'Live Collections'!F3020)))</f>
        <v>35000</v>
      </c>
      <c r="T2932" s="304">
        <f t="shared" si="137"/>
        <v>465000</v>
      </c>
      <c r="U2932" s="52"/>
      <c r="V2932" s="34"/>
      <c r="W2932" s="408"/>
    </row>
    <row r="2933" spans="1:23" ht="12.75" customHeight="1" x14ac:dyDescent="0.2">
      <c r="A2933" s="257">
        <v>2909</v>
      </c>
      <c r="B2933" s="44">
        <v>44594</v>
      </c>
      <c r="C2933" s="44">
        <f t="shared" si="138"/>
        <v>44594</v>
      </c>
      <c r="D2933" s="374">
        <v>304</v>
      </c>
      <c r="E2933" s="291" t="str">
        <f>IFERROR(VLOOKUP($D2933,'Clients-Live'!$A:$C,3,0),"")</f>
        <v>ATAKO GLORIA</v>
      </c>
      <c r="F2933" s="291">
        <f>IFERROR(INDEX(Disbursements!$D:$D,MATCH('Live Collections'!G2933,Disbursements!$C:$C,0)),"")</f>
        <v>1</v>
      </c>
      <c r="G2933" s="34">
        <v>398</v>
      </c>
      <c r="H2933" s="34">
        <v>4543</v>
      </c>
      <c r="I2933" s="34" t="s">
        <v>1359</v>
      </c>
      <c r="J2933" s="48"/>
      <c r="K2933" s="48"/>
      <c r="L2933" s="48"/>
      <c r="M2933" s="48"/>
      <c r="N2933" s="59"/>
      <c r="O2933" s="59">
        <v>63000</v>
      </c>
      <c r="P2933" s="59"/>
      <c r="Q2933" s="268">
        <f t="shared" si="139"/>
        <v>63000</v>
      </c>
      <c r="R2933" s="61">
        <f>IF(O2933=0,0,SUMIFS(Disbursements!$T:$T,Disbursements!$B:$B,'Live Collections'!D2933,Disbursements!$D:$D,'Live Collections'!F2933))</f>
        <v>32000</v>
      </c>
      <c r="S2933" s="304">
        <f>IF(O2933&lt;=IF($O2933=0,0,SUMIFS(Disbursements!$W:$W,Disbursements!$B:$B,'Live Collections'!D3097,Disbursements!$D:$D,'Live Collections'!F3097)),O2933,IF($O2933=0,0,SUMIFS(Disbursements!$W:$W,Disbursements!$B:$B,'Live Collections'!D3097,Disbursements!$D:$D,'Live Collections'!F3097)))</f>
        <v>30000</v>
      </c>
      <c r="T2933" s="304">
        <f t="shared" si="137"/>
        <v>33000</v>
      </c>
      <c r="U2933" s="52"/>
      <c r="V2933" s="34"/>
      <c r="W2933" s="408"/>
    </row>
    <row r="2934" spans="1:23" ht="12.75" customHeight="1" x14ac:dyDescent="0.2">
      <c r="A2934" s="257">
        <v>2918</v>
      </c>
      <c r="B2934" s="44">
        <v>44594</v>
      </c>
      <c r="C2934" s="44">
        <f t="shared" si="138"/>
        <v>44594</v>
      </c>
      <c r="D2934" s="374">
        <v>319</v>
      </c>
      <c r="E2934" s="291" t="str">
        <f>IFERROR(VLOOKUP($D2934,'Clients-Live'!$A:$C,3,0),"")</f>
        <v>ATIKI PATRICK</v>
      </c>
      <c r="F2934" s="291" t="str">
        <f>IFERROR(INDEX(Disbursements!$D:$D,MATCH('Live Collections'!G2934,Disbursements!$C:$C,0)),"")</f>
        <v/>
      </c>
      <c r="G2934" s="34"/>
      <c r="H2934" s="34">
        <v>4718</v>
      </c>
      <c r="I2934" s="34" t="s">
        <v>1716</v>
      </c>
      <c r="J2934" s="48"/>
      <c r="K2934" s="48"/>
      <c r="L2934" s="48">
        <v>30000</v>
      </c>
      <c r="M2934" s="48">
        <v>5000</v>
      </c>
      <c r="N2934" s="59"/>
      <c r="O2934" s="59"/>
      <c r="P2934" s="59"/>
      <c r="Q2934" s="268">
        <f t="shared" si="139"/>
        <v>35000</v>
      </c>
      <c r="R2934" s="61">
        <f>IF(O2934=0,0,SUMIFS(Disbursements!$T:$T,Disbursements!$B:$B,'Live Collections'!D2934,Disbursements!$D:$D,'Live Collections'!F2934))</f>
        <v>0</v>
      </c>
      <c r="S2934" s="304">
        <f>IF(O2934&lt;=IF($O2934=0,0,SUMIFS(Disbursements!$W:$W,Disbursements!$B:$B,'Live Collections'!D3156,Disbursements!$D:$D,'Live Collections'!F3156)),O2934,IF($O2934=0,0,SUMIFS(Disbursements!$W:$W,Disbursements!$B:$B,'Live Collections'!D3156,Disbursements!$D:$D,'Live Collections'!F3156)))</f>
        <v>0</v>
      </c>
      <c r="T2934" s="304">
        <f t="shared" si="137"/>
        <v>0</v>
      </c>
      <c r="U2934" s="52"/>
      <c r="V2934" s="34"/>
      <c r="W2934" s="408"/>
    </row>
    <row r="2935" spans="1:23" ht="12.75" customHeight="1" x14ac:dyDescent="0.2">
      <c r="A2935" s="257">
        <v>2936</v>
      </c>
      <c r="B2935" s="44">
        <v>44594</v>
      </c>
      <c r="C2935" s="44">
        <f t="shared" si="138"/>
        <v>44594</v>
      </c>
      <c r="D2935" s="374">
        <v>321</v>
      </c>
      <c r="E2935" s="291" t="str">
        <f>IFERROR(VLOOKUP($D2935,'Clients-Live'!$A:$C,3,0),"")</f>
        <v>ANDERU MONICA</v>
      </c>
      <c r="F2935" s="291" t="str">
        <f>IFERROR(INDEX(Disbursements!$D:$D,MATCH('Live Collections'!G2935,Disbursements!$C:$C,0)),"")</f>
        <v/>
      </c>
      <c r="G2935" s="34"/>
      <c r="H2935" s="34">
        <v>4722</v>
      </c>
      <c r="I2935" s="34" t="s">
        <v>1716</v>
      </c>
      <c r="J2935" s="48">
        <v>15000</v>
      </c>
      <c r="K2935" s="48">
        <v>5000</v>
      </c>
      <c r="L2935" s="48"/>
      <c r="M2935" s="48"/>
      <c r="N2935" s="59"/>
      <c r="O2935" s="59"/>
      <c r="P2935" s="59"/>
      <c r="Q2935" s="268">
        <f t="shared" si="139"/>
        <v>20000</v>
      </c>
      <c r="R2935" s="61">
        <f>IF(O2935=0,0,SUMIFS(Disbursements!$T:$T,Disbursements!$B:$B,'Live Collections'!D2935,Disbursements!$D:$D,'Live Collections'!F2935))</f>
        <v>0</v>
      </c>
      <c r="S2935" s="304">
        <f>IF(O2935&lt;=IF($O2935=0,0,SUMIFS(Disbursements!$W:$W,Disbursements!$B:$B,'Live Collections'!D3157,Disbursements!$D:$D,'Live Collections'!F3157)),O2935,IF($O2935=0,0,SUMIFS(Disbursements!$W:$W,Disbursements!$B:$B,'Live Collections'!D3157,Disbursements!$D:$D,'Live Collections'!F3157)))</f>
        <v>0</v>
      </c>
      <c r="T2935" s="304">
        <f t="shared" si="137"/>
        <v>0</v>
      </c>
      <c r="U2935" s="52"/>
      <c r="V2935" s="34"/>
      <c r="W2935" s="408"/>
    </row>
    <row r="2936" spans="1:23" ht="12.75" customHeight="1" x14ac:dyDescent="0.2">
      <c r="A2936" s="257">
        <v>2937</v>
      </c>
      <c r="B2936" s="44">
        <v>44594</v>
      </c>
      <c r="C2936" s="44">
        <f t="shared" si="138"/>
        <v>44594</v>
      </c>
      <c r="D2936" s="374">
        <v>321</v>
      </c>
      <c r="E2936" s="291" t="str">
        <f>IFERROR(VLOOKUP($D2936,'Clients-Live'!$A:$C,3,0),"")</f>
        <v>ANDERU MONICA</v>
      </c>
      <c r="F2936" s="291" t="str">
        <f>IFERROR(INDEX(Disbursements!$D:$D,MATCH('Live Collections'!G2936,Disbursements!$C:$C,0)),"")</f>
        <v/>
      </c>
      <c r="G2936" s="34"/>
      <c r="H2936" s="34">
        <v>4721</v>
      </c>
      <c r="I2936" s="34" t="s">
        <v>1716</v>
      </c>
      <c r="J2936" s="48"/>
      <c r="K2936" s="48"/>
      <c r="L2936" s="48">
        <v>30000</v>
      </c>
      <c r="M2936" s="48">
        <v>5000</v>
      </c>
      <c r="N2936" s="59"/>
      <c r="O2936" s="59"/>
      <c r="P2936" s="59"/>
      <c r="Q2936" s="268">
        <f t="shared" si="139"/>
        <v>35000</v>
      </c>
      <c r="R2936" s="61">
        <f>IF(O2936=0,0,SUMIFS(Disbursements!$T:$T,Disbursements!$B:$B,'Live Collections'!D2936,Disbursements!$D:$D,'Live Collections'!F2936))</f>
        <v>0</v>
      </c>
      <c r="S2936" s="304">
        <f>IF(O2936&lt;=IF($O2936=0,0,SUMIFS(Disbursements!$W:$W,Disbursements!$B:$B,'Live Collections'!D3158,Disbursements!$D:$D,'Live Collections'!F3158)),O2936,IF($O2936=0,0,SUMIFS(Disbursements!$W:$W,Disbursements!$B:$B,'Live Collections'!D3158,Disbursements!$D:$D,'Live Collections'!F3158)))</f>
        <v>0</v>
      </c>
      <c r="T2936" s="304">
        <f t="shared" si="137"/>
        <v>0</v>
      </c>
      <c r="U2936" s="52"/>
      <c r="V2936" s="34"/>
      <c r="W2936" s="408"/>
    </row>
    <row r="2937" spans="1:23" ht="12.75" customHeight="1" x14ac:dyDescent="0.2">
      <c r="A2937" s="257">
        <v>2948</v>
      </c>
      <c r="B2937" s="44">
        <v>44595</v>
      </c>
      <c r="C2937" s="44">
        <f t="shared" si="138"/>
        <v>44595</v>
      </c>
      <c r="D2937" s="374">
        <v>46</v>
      </c>
      <c r="E2937" s="291" t="str">
        <f>IFERROR(VLOOKUP($D2937,'Clients-Live'!$A:$C,3,0),"")</f>
        <v>ALIO YUDA</v>
      </c>
      <c r="F2937" s="291">
        <f>IFERROR(INDEX(Disbursements!$D:$D,MATCH('Live Collections'!G2937,Disbursements!$C:$C,0)),"")</f>
        <v>1</v>
      </c>
      <c r="G2937" s="34">
        <v>35</v>
      </c>
      <c r="H2937" s="34">
        <v>4470</v>
      </c>
      <c r="I2937" s="34" t="s">
        <v>1357</v>
      </c>
      <c r="J2937" s="48"/>
      <c r="K2937" s="48"/>
      <c r="L2937" s="48"/>
      <c r="M2937" s="48"/>
      <c r="N2937" s="59"/>
      <c r="O2937" s="59">
        <v>75000</v>
      </c>
      <c r="P2937" s="59"/>
      <c r="Q2937" s="268">
        <f t="shared" si="139"/>
        <v>75000</v>
      </c>
      <c r="R2937" s="61">
        <f>IF(O2937=0,0,SUMIFS(Disbursements!$T:$T,Disbursements!$B:$B,'Live Collections'!D2937,Disbursements!$D:$D,'Live Collections'!F2937))</f>
        <v>325000</v>
      </c>
      <c r="S2937" s="304"/>
      <c r="T2937" s="304">
        <f t="shared" si="137"/>
        <v>75000</v>
      </c>
      <c r="U2937" s="52"/>
      <c r="V2937" s="34"/>
      <c r="W2937" s="408"/>
    </row>
    <row r="2938" spans="1:23" ht="12.75" customHeight="1" x14ac:dyDescent="0.2">
      <c r="A2938" s="257">
        <v>2945</v>
      </c>
      <c r="B2938" s="44">
        <v>44595</v>
      </c>
      <c r="C2938" s="44">
        <f t="shared" si="138"/>
        <v>44595</v>
      </c>
      <c r="D2938" s="374">
        <v>66</v>
      </c>
      <c r="E2938" s="291" t="str">
        <f>IFERROR(VLOOKUP($D2938,'Clients-Live'!$A:$C,3,0),"")</f>
        <v>DENAYA NYAMAZA</v>
      </c>
      <c r="F2938" s="291">
        <f>IFERROR(INDEX(Disbursements!$D:$D,MATCH('Live Collections'!G2938,Disbursements!$C:$C,0)),"")</f>
        <v>2</v>
      </c>
      <c r="G2938" s="34">
        <v>300</v>
      </c>
      <c r="H2938" s="34">
        <v>4737</v>
      </c>
      <c r="I2938" s="34" t="s">
        <v>1357</v>
      </c>
      <c r="J2938" s="48"/>
      <c r="K2938" s="48"/>
      <c r="L2938" s="48"/>
      <c r="M2938" s="48"/>
      <c r="N2938" s="59"/>
      <c r="O2938" s="59">
        <v>100000</v>
      </c>
      <c r="P2938" s="59"/>
      <c r="Q2938" s="268">
        <f t="shared" si="139"/>
        <v>100000</v>
      </c>
      <c r="R2938" s="61">
        <f>IF(O2938=0,0,SUMIFS(Disbursements!$T:$T,Disbursements!$B:$B,'Live Collections'!D2938,Disbursements!$D:$D,'Live Collections'!F2938))</f>
        <v>109000</v>
      </c>
      <c r="S2938" s="304">
        <f>IF(O2938&lt;=IF($O2938=0,0,SUMIFS(Disbursements!$W:$W,Disbursements!$B:$B,'Live Collections'!D823,Disbursements!$D:$D,'Live Collections'!F823)),O2938,IF($O2938=0,0,SUMIFS(Disbursements!$W:$W,Disbursements!$B:$B,'Live Collections'!D823,Disbursements!$D:$D,'Live Collections'!F823)))</f>
        <v>0</v>
      </c>
      <c r="T2938" s="304">
        <f t="shared" si="137"/>
        <v>100000</v>
      </c>
      <c r="U2938" s="52"/>
      <c r="V2938" s="34"/>
      <c r="W2938" s="408"/>
    </row>
    <row r="2939" spans="1:23" ht="12.75" customHeight="1" x14ac:dyDescent="0.2">
      <c r="A2939" s="257">
        <v>2943</v>
      </c>
      <c r="B2939" s="44">
        <v>44595</v>
      </c>
      <c r="C2939" s="44">
        <f t="shared" si="138"/>
        <v>44595</v>
      </c>
      <c r="D2939" s="374">
        <v>69</v>
      </c>
      <c r="E2939" s="291" t="str">
        <f>IFERROR(VLOOKUP($D2939,'Clients-Live'!$A:$C,3,0),"")</f>
        <v>SADIA JOYCE</v>
      </c>
      <c r="F2939" s="291">
        <f>IFERROR(INDEX(Disbursements!$D:$D,MATCH('Live Collections'!G2939,Disbursements!$C:$C,0)),"")</f>
        <v>3</v>
      </c>
      <c r="G2939" s="34">
        <v>411</v>
      </c>
      <c r="H2939" s="34">
        <v>4469</v>
      </c>
      <c r="I2939" s="34" t="s">
        <v>1359</v>
      </c>
      <c r="J2939" s="48"/>
      <c r="K2939" s="48"/>
      <c r="L2939" s="48"/>
      <c r="M2939" s="48"/>
      <c r="N2939" s="59"/>
      <c r="O2939" s="59">
        <v>140000</v>
      </c>
      <c r="P2939" s="59"/>
      <c r="Q2939" s="268">
        <f t="shared" si="139"/>
        <v>140000</v>
      </c>
      <c r="R2939" s="61">
        <f>IF(O2939=0,0,SUMIFS(Disbursements!$T:$T,Disbursements!$B:$B,'Live Collections'!D2939,Disbursements!$D:$D,'Live Collections'!F2939))</f>
        <v>35000</v>
      </c>
      <c r="S2939" s="304">
        <f>IF(O2939&lt;=IF($O2939=0,0,SUMIFS(Disbursements!$W:$W,Disbursements!$B:$B,'Live Collections'!D867,Disbursements!$D:$D,'Live Collections'!F867)),O2939,IF($O2939=0,0,SUMIFS(Disbursements!$W:$W,Disbursements!$B:$B,'Live Collections'!D867,Disbursements!$D:$D,'Live Collections'!F867)))</f>
        <v>25000</v>
      </c>
      <c r="T2939" s="304">
        <f t="shared" si="137"/>
        <v>115000</v>
      </c>
      <c r="U2939" s="52"/>
      <c r="V2939" s="34"/>
      <c r="W2939" s="408"/>
    </row>
    <row r="2940" spans="1:23" ht="12.75" customHeight="1" x14ac:dyDescent="0.2">
      <c r="A2940" s="257">
        <v>2955</v>
      </c>
      <c r="B2940" s="44">
        <v>44595</v>
      </c>
      <c r="C2940" s="44">
        <f t="shared" si="138"/>
        <v>44595</v>
      </c>
      <c r="D2940" s="374">
        <v>70</v>
      </c>
      <c r="E2940" s="291" t="str">
        <f>IFERROR(VLOOKUP($D2940,'Clients-Live'!$A:$C,3,0),"")</f>
        <v>BUGA ALIKIA PHILLIP</v>
      </c>
      <c r="F2940" s="291">
        <f>IFERROR(INDEX(Disbursements!$D:$D,MATCH('Live Collections'!G2940,Disbursements!$C:$C,0)),"")</f>
        <v>2</v>
      </c>
      <c r="G2940" s="34">
        <v>299</v>
      </c>
      <c r="H2940" s="34">
        <v>4727</v>
      </c>
      <c r="I2940" s="34" t="s">
        <v>1358</v>
      </c>
      <c r="J2940" s="48"/>
      <c r="K2940" s="48"/>
      <c r="L2940" s="48"/>
      <c r="M2940" s="48"/>
      <c r="N2940" s="59"/>
      <c r="O2940" s="59">
        <v>180000</v>
      </c>
      <c r="P2940" s="59"/>
      <c r="Q2940" s="268">
        <f t="shared" si="139"/>
        <v>180000</v>
      </c>
      <c r="R2940" s="61">
        <f>IF(O2940=0,0,SUMIFS(Disbursements!$T:$T,Disbursements!$B:$B,'Live Collections'!D2940,Disbursements!$D:$D,'Live Collections'!F2940))</f>
        <v>260000</v>
      </c>
      <c r="S2940" s="304">
        <f>IF(O2940&lt;=IF($O2940=0,0,SUMIFS(Disbursements!$W:$W,Disbursements!$B:$B,'Live Collections'!D883,Disbursements!$D:$D,'Live Collections'!F883)),O2940,IF($O2940=0,0,SUMIFS(Disbursements!$W:$W,Disbursements!$B:$B,'Live Collections'!D883,Disbursements!$D:$D,'Live Collections'!F883)))</f>
        <v>180000</v>
      </c>
      <c r="T2940" s="304">
        <f t="shared" si="137"/>
        <v>0</v>
      </c>
      <c r="U2940" s="52"/>
      <c r="V2940" s="34"/>
      <c r="W2940" s="408"/>
    </row>
    <row r="2941" spans="1:23" ht="12.75" customHeight="1" x14ac:dyDescent="0.2">
      <c r="A2941" s="257">
        <v>2947</v>
      </c>
      <c r="B2941" s="44">
        <v>44595</v>
      </c>
      <c r="C2941" s="44">
        <f t="shared" si="138"/>
        <v>44595</v>
      </c>
      <c r="D2941" s="374">
        <v>108</v>
      </c>
      <c r="E2941" s="291" t="str">
        <f>IFERROR(VLOOKUP($D2941,'Clients-Live'!$A:$C,3,0),"")</f>
        <v>DUDU JOICE</v>
      </c>
      <c r="F2941" s="291">
        <f>IFERROR(INDEX(Disbursements!$D:$D,MATCH('Live Collections'!G2941,Disbursements!$C:$C,0)),"")</f>
        <v>2</v>
      </c>
      <c r="G2941" s="34">
        <v>314</v>
      </c>
      <c r="H2941" s="34">
        <v>4468</v>
      </c>
      <c r="I2941" s="34" t="s">
        <v>1359</v>
      </c>
      <c r="J2941" s="48"/>
      <c r="K2941" s="48"/>
      <c r="L2941" s="48"/>
      <c r="M2941" s="48"/>
      <c r="N2941" s="59"/>
      <c r="O2941" s="59">
        <v>300000</v>
      </c>
      <c r="P2941" s="59"/>
      <c r="Q2941" s="268">
        <f t="shared" si="139"/>
        <v>300000</v>
      </c>
      <c r="R2941" s="61">
        <f>IF(O2941=0,0,SUMIFS(Disbursements!$T:$T,Disbursements!$B:$B,'Live Collections'!D2941,Disbursements!$D:$D,'Live Collections'!F2941))</f>
        <v>250000</v>
      </c>
      <c r="S2941" s="304">
        <f>IF(O2941&lt;=IF($O2941=0,0,SUMIFS(Disbursements!$W:$W,Disbursements!$B:$B,'Live Collections'!D1394,Disbursements!$D:$D,'Live Collections'!F1394)),O2941,IF($O2941=0,0,SUMIFS(Disbursements!$W:$W,Disbursements!$B:$B,'Live Collections'!D1394,Disbursements!$D:$D,'Live Collections'!F1394)))</f>
        <v>5000</v>
      </c>
      <c r="T2941" s="304">
        <f t="shared" si="137"/>
        <v>295000</v>
      </c>
      <c r="U2941" s="52"/>
      <c r="V2941" s="34"/>
      <c r="W2941" s="408"/>
    </row>
    <row r="2942" spans="1:23" ht="12.75" customHeight="1" x14ac:dyDescent="0.2">
      <c r="A2942" s="257">
        <v>2940</v>
      </c>
      <c r="B2942" s="44">
        <v>44595</v>
      </c>
      <c r="C2942" s="44">
        <f t="shared" si="138"/>
        <v>44595</v>
      </c>
      <c r="D2942" s="374">
        <v>119</v>
      </c>
      <c r="E2942" s="291" t="str">
        <f>IFERROR(VLOOKUP($D2942,'Clients-Live'!$A:$C,3,0),"")</f>
        <v>STELLA KONGAI</v>
      </c>
      <c r="F2942" s="291" t="str">
        <f>IFERROR(INDEX(Disbursements!$D:$D,MATCH('Live Collections'!G2942,Disbursements!$C:$C,0)),"")</f>
        <v/>
      </c>
      <c r="G2942" s="34"/>
      <c r="H2942" s="34">
        <v>4736</v>
      </c>
      <c r="I2942" s="34" t="s">
        <v>1359</v>
      </c>
      <c r="J2942" s="48"/>
      <c r="K2942" s="48"/>
      <c r="L2942" s="48">
        <v>20000</v>
      </c>
      <c r="M2942" s="48">
        <v>5000</v>
      </c>
      <c r="N2942" s="59"/>
      <c r="O2942" s="59"/>
      <c r="P2942" s="59"/>
      <c r="Q2942" s="268">
        <f t="shared" si="139"/>
        <v>25000</v>
      </c>
      <c r="R2942" s="61">
        <f>IF(O2942=0,0,SUMIFS(Disbursements!$T:$T,Disbursements!$B:$B,'Live Collections'!D2942,Disbursements!$D:$D,'Live Collections'!F2942))</f>
        <v>0</v>
      </c>
      <c r="S2942" s="304">
        <f>IF(O2942&lt;=IF($O2942=0,0,SUMIFS(Disbursements!$W:$W,Disbursements!$B:$B,'Live Collections'!D3937,Disbursements!$D:$D,'Live Collections'!F3937)),O2942,IF($O2942=0,0,SUMIFS(Disbursements!$W:$W,Disbursements!$B:$B,'Live Collections'!D3937,Disbursements!$D:$D,'Live Collections'!F3937)))</f>
        <v>0</v>
      </c>
      <c r="T2942" s="304">
        <f>IF(O2942=0,0,O2942-S2942)</f>
        <v>0</v>
      </c>
      <c r="U2942" s="52"/>
      <c r="V2942" s="34"/>
      <c r="W2942" s="408"/>
    </row>
    <row r="2943" spans="1:23" ht="12.75" customHeight="1" x14ac:dyDescent="0.2">
      <c r="A2943" s="257">
        <v>2941</v>
      </c>
      <c r="B2943" s="44">
        <v>44595</v>
      </c>
      <c r="C2943" s="44">
        <f t="shared" si="138"/>
        <v>44595</v>
      </c>
      <c r="D2943" s="374">
        <v>119</v>
      </c>
      <c r="E2943" s="291" t="str">
        <f>IFERROR(VLOOKUP($D2943,'Clients-Live'!$A:$C,3,0),"")</f>
        <v>STELLA KONGAI</v>
      </c>
      <c r="F2943" s="291">
        <f>IFERROR(INDEX(Disbursements!$D:$D,MATCH('Live Collections'!G2943,Disbursements!$C:$C,0)),"")</f>
        <v>2</v>
      </c>
      <c r="G2943" s="34">
        <v>253</v>
      </c>
      <c r="H2943" s="34">
        <v>4734</v>
      </c>
      <c r="I2943" s="34" t="s">
        <v>1359</v>
      </c>
      <c r="J2943" s="48"/>
      <c r="K2943" s="48"/>
      <c r="L2943" s="48"/>
      <c r="M2943" s="48"/>
      <c r="N2943" s="59"/>
      <c r="O2943" s="59">
        <v>200000</v>
      </c>
      <c r="P2943" s="59"/>
      <c r="Q2943" s="268">
        <f t="shared" si="139"/>
        <v>200000</v>
      </c>
      <c r="R2943" s="61">
        <f>IF(O2943=0,0,SUMIFS(Disbursements!$T:$T,Disbursements!$B:$B,'Live Collections'!D2943,Disbursements!$D:$D,'Live Collections'!F2943))</f>
        <v>817000</v>
      </c>
      <c r="S2943" s="304"/>
      <c r="T2943" s="304">
        <f>IF(O2943=0,0,O2943-S2943)</f>
        <v>200000</v>
      </c>
      <c r="U2943" s="52"/>
      <c r="V2943" s="34"/>
      <c r="W2943" s="408"/>
    </row>
    <row r="2944" spans="1:23" ht="12.75" customHeight="1" x14ac:dyDescent="0.2">
      <c r="A2944" s="257">
        <v>2958</v>
      </c>
      <c r="B2944" s="44">
        <v>44595</v>
      </c>
      <c r="C2944" s="44">
        <f t="shared" si="138"/>
        <v>44595</v>
      </c>
      <c r="D2944" s="374">
        <v>119</v>
      </c>
      <c r="E2944" s="291" t="str">
        <f>IFERROR(VLOOKUP($D2944,'Clients-Live'!$A:$C,3,0),"")</f>
        <v>STELLA KONGAI</v>
      </c>
      <c r="F2944" s="291">
        <f>IFERROR(INDEX(Disbursements!$D:$D,MATCH('Live Collections'!G2944,Disbursements!$C:$C,0)),"")</f>
        <v>2</v>
      </c>
      <c r="G2944" s="34">
        <v>253</v>
      </c>
      <c r="H2944" s="34">
        <v>754</v>
      </c>
      <c r="I2944" s="34" t="s">
        <v>1359</v>
      </c>
      <c r="J2944" s="48"/>
      <c r="K2944" s="48"/>
      <c r="L2944" s="48"/>
      <c r="M2944" s="48"/>
      <c r="N2944" s="59"/>
      <c r="O2944" s="59"/>
      <c r="P2944" s="59">
        <v>-200000</v>
      </c>
      <c r="Q2944" s="268">
        <f t="shared" si="139"/>
        <v>-200000</v>
      </c>
      <c r="R2944" s="61">
        <f>IF(O2944=0,0,SUMIFS(Disbursements!$T:$T,Disbursements!$B:$B,'Live Collections'!D2944,Disbursements!$D:$D,'Live Collections'!F2944))</f>
        <v>0</v>
      </c>
      <c r="S2944" s="304">
        <f>IF(O2944&lt;=IF($O2944=0,0,SUMIFS(Disbursements!$W:$W,Disbursements!$B:$B,'Live Collections'!D3939,Disbursements!$D:$D,'Live Collections'!F3939)),O2944,IF($O2944=0,0,SUMIFS(Disbursements!$W:$W,Disbursements!$B:$B,'Live Collections'!D3939,Disbursements!$D:$D,'Live Collections'!F3939)))</f>
        <v>0</v>
      </c>
      <c r="T2944" s="304">
        <f>IF(O2944=0,0,O2944-S2944)</f>
        <v>0</v>
      </c>
      <c r="U2944" s="52"/>
      <c r="V2944" s="34"/>
      <c r="W2944" s="408"/>
    </row>
    <row r="2945" spans="1:23" ht="12.75" customHeight="1" x14ac:dyDescent="0.2">
      <c r="A2945" s="257">
        <v>2952</v>
      </c>
      <c r="B2945" s="44">
        <v>44595</v>
      </c>
      <c r="C2945" s="44">
        <f t="shared" si="138"/>
        <v>44595</v>
      </c>
      <c r="D2945" s="374">
        <v>128</v>
      </c>
      <c r="E2945" s="291" t="str">
        <f>IFERROR(VLOOKUP($D2945,'Clients-Live'!$A:$C,3,0),"")</f>
        <v>AJONYE BETTY</v>
      </c>
      <c r="F2945" s="291">
        <f>IFERROR(INDEX(Disbursements!$D:$D,MATCH('Live Collections'!G2945,Disbursements!$C:$C,0)),"")</f>
        <v>2</v>
      </c>
      <c r="G2945" s="34">
        <v>289</v>
      </c>
      <c r="H2945" s="34">
        <v>4730</v>
      </c>
      <c r="I2945" s="34" t="s">
        <v>1359</v>
      </c>
      <c r="J2945" s="48"/>
      <c r="K2945" s="48"/>
      <c r="L2945" s="48"/>
      <c r="M2945" s="48"/>
      <c r="N2945" s="59"/>
      <c r="O2945" s="59">
        <v>60000</v>
      </c>
      <c r="P2945" s="59"/>
      <c r="Q2945" s="268">
        <f t="shared" si="139"/>
        <v>60000</v>
      </c>
      <c r="R2945" s="61">
        <f>IF(O2945=0,0,SUMIFS(Disbursements!$T:$T,Disbursements!$B:$B,'Live Collections'!D2945,Disbursements!$D:$D,'Live Collections'!F2945))</f>
        <v>120000</v>
      </c>
      <c r="S2945" s="304">
        <v>20666.666666666657</v>
      </c>
      <c r="T2945" s="304">
        <f t="shared" ref="T2945:T3004" si="140">IF(O2945=0,0,O2945-S2945)</f>
        <v>39333.333333333343</v>
      </c>
      <c r="U2945" s="52"/>
      <c r="V2945" s="34"/>
      <c r="W2945" s="408"/>
    </row>
    <row r="2946" spans="1:23" ht="12.75" customHeight="1" x14ac:dyDescent="0.2">
      <c r="A2946" s="257">
        <v>2950</v>
      </c>
      <c r="B2946" s="44">
        <v>44595</v>
      </c>
      <c r="C2946" s="44">
        <f t="shared" si="138"/>
        <v>44595</v>
      </c>
      <c r="D2946" s="374">
        <v>147</v>
      </c>
      <c r="E2946" s="291" t="str">
        <f>IFERROR(VLOOKUP($D2946,'Clients-Live'!$A:$C,3,0),"")</f>
        <v>DRICIRU MARGRET</v>
      </c>
      <c r="F2946" s="291" t="str">
        <f>IFERROR(INDEX(Disbursements!$D:$D,MATCH('Live Collections'!G2946,Disbursements!$C:$C,0)),"")</f>
        <v/>
      </c>
      <c r="G2946" s="34"/>
      <c r="H2946" s="34">
        <v>4467</v>
      </c>
      <c r="I2946" s="34" t="s">
        <v>1359</v>
      </c>
      <c r="J2946" s="48"/>
      <c r="K2946" s="48"/>
      <c r="L2946" s="48">
        <v>30000</v>
      </c>
      <c r="M2946" s="48">
        <v>5000</v>
      </c>
      <c r="N2946" s="59"/>
      <c r="O2946" s="59"/>
      <c r="P2946" s="59"/>
      <c r="Q2946" s="268">
        <f t="shared" si="139"/>
        <v>35000</v>
      </c>
      <c r="R2946" s="61">
        <f>IF(O2946=0,0,SUMIFS(Disbursements!$T:$T,Disbursements!$B:$B,'Live Collections'!D2946,Disbursements!$D:$D,'Live Collections'!F2946))</f>
        <v>0</v>
      </c>
      <c r="S2946" s="304">
        <f>IF(O2946&lt;=IF($O2946=0,0,SUMIFS(Disbursements!$W:$W,Disbursements!$B:$B,'Live Collections'!D1864,Disbursements!$D:$D,'Live Collections'!F1864)),O2946,IF($O2946=0,0,SUMIFS(Disbursements!$W:$W,Disbursements!$B:$B,'Live Collections'!D1864,Disbursements!$D:$D,'Live Collections'!F1864)))</f>
        <v>0</v>
      </c>
      <c r="T2946" s="304">
        <f t="shared" si="140"/>
        <v>0</v>
      </c>
      <c r="U2946" s="52"/>
      <c r="V2946" s="34"/>
      <c r="W2946" s="408"/>
    </row>
    <row r="2947" spans="1:23" ht="12.75" customHeight="1" x14ac:dyDescent="0.2">
      <c r="A2947" s="257">
        <v>2949</v>
      </c>
      <c r="B2947" s="44">
        <v>44595</v>
      </c>
      <c r="C2947" s="44">
        <f t="shared" si="138"/>
        <v>44595</v>
      </c>
      <c r="D2947" s="374">
        <v>148</v>
      </c>
      <c r="E2947" s="291" t="str">
        <f>IFERROR(VLOOKUP($D2947,'Clients-Live'!$A:$C,3,0),"")</f>
        <v>GBOKA ZAIDA</v>
      </c>
      <c r="F2947" s="291">
        <f>IFERROR(INDEX(Disbursements!$D:$D,MATCH('Live Collections'!G2947,Disbursements!$C:$C,0)),"")</f>
        <v>2</v>
      </c>
      <c r="G2947" s="34">
        <v>304</v>
      </c>
      <c r="H2947" s="34">
        <v>4731</v>
      </c>
      <c r="I2947" s="34" t="s">
        <v>1359</v>
      </c>
      <c r="J2947" s="48"/>
      <c r="K2947" s="48"/>
      <c r="L2947" s="48"/>
      <c r="M2947" s="48"/>
      <c r="N2947" s="59"/>
      <c r="O2947" s="59">
        <v>30000</v>
      </c>
      <c r="P2947" s="59"/>
      <c r="Q2947" s="268">
        <f t="shared" si="139"/>
        <v>30000</v>
      </c>
      <c r="R2947" s="61">
        <f>IF(O2947=0,0,SUMIFS(Disbursements!$T:$T,Disbursements!$B:$B,'Live Collections'!D2947,Disbursements!$D:$D,'Live Collections'!F2947))</f>
        <v>125000</v>
      </c>
      <c r="S2947" s="304"/>
      <c r="T2947" s="304">
        <f t="shared" si="140"/>
        <v>30000</v>
      </c>
      <c r="U2947" s="52"/>
      <c r="V2947" s="34"/>
      <c r="W2947" s="408"/>
    </row>
    <row r="2948" spans="1:23" ht="12.75" customHeight="1" x14ac:dyDescent="0.2">
      <c r="A2948" s="257">
        <v>2953</v>
      </c>
      <c r="B2948" s="44">
        <v>44595</v>
      </c>
      <c r="C2948" s="44">
        <f t="shared" ref="C2948:C3010" si="141">B2948</f>
        <v>44595</v>
      </c>
      <c r="D2948" s="374">
        <v>155</v>
      </c>
      <c r="E2948" s="291" t="str">
        <f>IFERROR(VLOOKUP($D2948,'Clients-Live'!$A:$C,3,0),"")</f>
        <v>AROMBORAC SIAMA</v>
      </c>
      <c r="F2948" s="291">
        <f>IFERROR(INDEX(Disbursements!$D:$D,MATCH('Live Collections'!G2948,Disbursements!$C:$C,0)),"")</f>
        <v>2</v>
      </c>
      <c r="G2948" s="34">
        <v>355</v>
      </c>
      <c r="H2948" s="34">
        <v>4728</v>
      </c>
      <c r="I2948" s="34" t="s">
        <v>1358</v>
      </c>
      <c r="J2948" s="48"/>
      <c r="K2948" s="48"/>
      <c r="L2948" s="48"/>
      <c r="M2948" s="48"/>
      <c r="N2948" s="59"/>
      <c r="O2948" s="59">
        <v>58500</v>
      </c>
      <c r="P2948" s="59"/>
      <c r="Q2948" s="268">
        <f t="shared" si="139"/>
        <v>58500</v>
      </c>
      <c r="R2948" s="61">
        <f>IF(O2948=0,0,SUMIFS(Disbursements!$T:$T,Disbursements!$B:$B,'Live Collections'!D2948,Disbursements!$D:$D,'Live Collections'!F2948))</f>
        <v>77000</v>
      </c>
      <c r="S2948" s="304">
        <v>999.99999999998545</v>
      </c>
      <c r="T2948" s="304">
        <f t="shared" si="140"/>
        <v>57500.000000000015</v>
      </c>
      <c r="U2948" s="52"/>
      <c r="V2948" s="34"/>
      <c r="W2948" s="408"/>
    </row>
    <row r="2949" spans="1:23" ht="12.75" customHeight="1" x14ac:dyDescent="0.2">
      <c r="A2949" s="257">
        <v>2938</v>
      </c>
      <c r="B2949" s="44">
        <v>44595</v>
      </c>
      <c r="C2949" s="44">
        <f t="shared" si="141"/>
        <v>44595</v>
      </c>
      <c r="D2949" s="374">
        <v>170</v>
      </c>
      <c r="E2949" s="291" t="str">
        <f>IFERROR(VLOOKUP($D2949,'Clients-Live'!$A:$C,3,0),"")</f>
        <v xml:space="preserve">KABEBI RAIMA </v>
      </c>
      <c r="F2949" s="291">
        <f>IFERROR(INDEX(Disbursements!$D:$D,MATCH('Live Collections'!G2949,Disbursements!$C:$C,0)),"")</f>
        <v>2</v>
      </c>
      <c r="G2949" s="34">
        <v>302</v>
      </c>
      <c r="H2949" s="34">
        <v>4472</v>
      </c>
      <c r="I2949" s="34" t="s">
        <v>1359</v>
      </c>
      <c r="J2949" s="48"/>
      <c r="K2949" s="48"/>
      <c r="L2949" s="48"/>
      <c r="M2949" s="48"/>
      <c r="N2949" s="59"/>
      <c r="O2949" s="59">
        <v>125000</v>
      </c>
      <c r="P2949" s="59"/>
      <c r="Q2949" s="268">
        <f t="shared" si="139"/>
        <v>125000</v>
      </c>
      <c r="R2949" s="61">
        <f>IF(O2949=0,0,SUMIFS(Disbursements!$T:$T,Disbursements!$B:$B,'Live Collections'!D2949,Disbursements!$D:$D,'Live Collections'!F2949))</f>
        <v>125000</v>
      </c>
      <c r="S2949" s="304"/>
      <c r="T2949" s="304">
        <f t="shared" si="140"/>
        <v>125000</v>
      </c>
      <c r="U2949" s="52"/>
      <c r="V2949" s="34"/>
      <c r="W2949" s="408"/>
    </row>
    <row r="2950" spans="1:23" ht="12.75" customHeight="1" x14ac:dyDescent="0.2">
      <c r="A2950" s="257">
        <v>2939</v>
      </c>
      <c r="B2950" s="44">
        <v>44595</v>
      </c>
      <c r="C2950" s="44">
        <f t="shared" si="141"/>
        <v>44595</v>
      </c>
      <c r="D2950" s="374">
        <v>176</v>
      </c>
      <c r="E2950" s="291" t="str">
        <f>IFERROR(VLOOKUP($D2950,'Clients-Live'!$A:$C,3,0),"")</f>
        <v>AJONYE JANE SINANDUGU</v>
      </c>
      <c r="F2950" s="291">
        <f>IFERROR(INDEX(Disbursements!$D:$D,MATCH('Live Collections'!G2950,Disbursements!$C:$C,0)),"")</f>
        <v>2</v>
      </c>
      <c r="G2950" s="34">
        <v>301</v>
      </c>
      <c r="H2950" s="34">
        <v>4471</v>
      </c>
      <c r="I2950" s="34" t="s">
        <v>1358</v>
      </c>
      <c r="J2950" s="48"/>
      <c r="K2950" s="48"/>
      <c r="L2950" s="48"/>
      <c r="M2950" s="48"/>
      <c r="N2950" s="59"/>
      <c r="O2950" s="59">
        <v>600000</v>
      </c>
      <c r="P2950" s="59"/>
      <c r="Q2950" s="268">
        <f t="shared" si="139"/>
        <v>600000</v>
      </c>
      <c r="R2950" s="61">
        <f>IF(O2950=0,0,SUMIFS(Disbursements!$T:$T,Disbursements!$B:$B,'Live Collections'!D2950,Disbursements!$D:$D,'Live Collections'!F2950))</f>
        <v>650000</v>
      </c>
      <c r="S2950" s="304">
        <f>IF(O2950&lt;=IF($O2950=0,0,SUMIFS(Disbursements!$W:$W,Disbursements!$B:$B,'Live Collections'!D2161,Disbursements!$D:$D,'Live Collections'!F2161)),O2950,IF($O2950=0,0,SUMIFS(Disbursements!$W:$W,Disbursements!$B:$B,'Live Collections'!D2161,Disbursements!$D:$D,'Live Collections'!F2161)))</f>
        <v>35000</v>
      </c>
      <c r="T2950" s="304">
        <f t="shared" si="140"/>
        <v>565000</v>
      </c>
      <c r="U2950" s="52"/>
      <c r="V2950" s="34"/>
      <c r="W2950" s="408"/>
    </row>
    <row r="2951" spans="1:23" ht="12.75" customHeight="1" x14ac:dyDescent="0.2">
      <c r="A2951" s="257">
        <v>2954</v>
      </c>
      <c r="B2951" s="44">
        <v>44595</v>
      </c>
      <c r="C2951" s="44">
        <f t="shared" si="141"/>
        <v>44595</v>
      </c>
      <c r="D2951" s="374">
        <v>211</v>
      </c>
      <c r="E2951" s="291" t="str">
        <f>IFERROR(VLOOKUP($D2951,'Clients-Live'!$A:$C,3,0),"")</f>
        <v>WILARU JOYCE</v>
      </c>
      <c r="F2951" s="291">
        <f>IFERROR(INDEX(Disbursements!$D:$D,MATCH('Live Collections'!G2951,Disbursements!$C:$C,0)),"")</f>
        <v>2</v>
      </c>
      <c r="G2951" s="34">
        <v>403</v>
      </c>
      <c r="H2951" s="34">
        <v>4726</v>
      </c>
      <c r="I2951" s="34" t="s">
        <v>1358</v>
      </c>
      <c r="J2951" s="48"/>
      <c r="K2951" s="48"/>
      <c r="L2951" s="48"/>
      <c r="M2951" s="48"/>
      <c r="N2951" s="59"/>
      <c r="O2951" s="59">
        <v>100000</v>
      </c>
      <c r="P2951" s="59"/>
      <c r="Q2951" s="268">
        <f t="shared" si="139"/>
        <v>100000</v>
      </c>
      <c r="R2951" s="61">
        <f>IF(O2951=0,0,SUMIFS(Disbursements!$T:$T,Disbursements!$B:$B,'Live Collections'!D2951,Disbursements!$D:$D,'Live Collections'!F2951))</f>
        <v>87000</v>
      </c>
      <c r="S2951" s="304">
        <f>IF(O2951&lt;=IF($O2951=0,0,SUMIFS(Disbursements!$W:$W,Disbursements!$B:$B,'Live Collections'!D2496,Disbursements!$D:$D,'Live Collections'!F2496)),O2951,IF($O2951=0,0,SUMIFS(Disbursements!$W:$W,Disbursements!$B:$B,'Live Collections'!D2496,Disbursements!$D:$D,'Live Collections'!F2496)))</f>
        <v>20000</v>
      </c>
      <c r="T2951" s="304">
        <f t="shared" si="140"/>
        <v>80000</v>
      </c>
      <c r="U2951" s="52"/>
      <c r="V2951" s="34"/>
      <c r="W2951" s="408"/>
    </row>
    <row r="2952" spans="1:23" ht="12.75" customHeight="1" x14ac:dyDescent="0.2">
      <c r="A2952" s="257">
        <v>2942</v>
      </c>
      <c r="B2952" s="44">
        <v>44595</v>
      </c>
      <c r="C2952" s="44">
        <f t="shared" si="141"/>
        <v>44595</v>
      </c>
      <c r="D2952" s="374">
        <v>226</v>
      </c>
      <c r="E2952" s="291" t="str">
        <f>IFERROR(VLOOKUP($D2952,'Clients-Live'!$A:$C,3,0),"")</f>
        <v>MATURU NEEMA</v>
      </c>
      <c r="F2952" s="291">
        <f>IFERROR(INDEX(Disbursements!$D:$D,MATCH('Live Collections'!G2952,Disbursements!$C:$C,0)),"")</f>
        <v>1</v>
      </c>
      <c r="G2952" s="34">
        <v>233</v>
      </c>
      <c r="H2952" s="34">
        <v>4732</v>
      </c>
      <c r="I2952" s="34" t="s">
        <v>1359</v>
      </c>
      <c r="J2952" s="48"/>
      <c r="K2952" s="48"/>
      <c r="L2952" s="48"/>
      <c r="M2952" s="48"/>
      <c r="N2952" s="59">
        <v>45000</v>
      </c>
      <c r="O2952" s="59">
        <v>85000</v>
      </c>
      <c r="P2952" s="59"/>
      <c r="Q2952" s="268">
        <f t="shared" si="139"/>
        <v>130000</v>
      </c>
      <c r="R2952" s="61">
        <f>IF(O2952=0,0,SUMIFS(Disbursements!$T:$T,Disbursements!$B:$B,'Live Collections'!D2952,Disbursements!$D:$D,'Live Collections'!F2952))</f>
        <v>1075000</v>
      </c>
      <c r="S2952" s="304">
        <f>IF(O2952&lt;=IF($O2952=0,0,SUMIFS(Disbursements!$W:$W,Disbursements!$B:$B,'Live Collections'!D4725,Disbursements!$D:$D,'Live Collections'!F4725)),O2952,IF($O2952=0,0,SUMIFS(Disbursements!$W:$W,Disbursements!$B:$B,'Live Collections'!D4725,Disbursements!$D:$D,'Live Collections'!F4725)))</f>
        <v>0</v>
      </c>
      <c r="T2952" s="304">
        <f t="shared" si="140"/>
        <v>85000</v>
      </c>
      <c r="U2952" s="52"/>
      <c r="V2952" s="34"/>
      <c r="W2952" s="408"/>
    </row>
    <row r="2953" spans="1:23" ht="12.75" customHeight="1" x14ac:dyDescent="0.2">
      <c r="A2953" s="257">
        <v>2944</v>
      </c>
      <c r="B2953" s="44">
        <v>44595</v>
      </c>
      <c r="C2953" s="44">
        <f t="shared" si="141"/>
        <v>44595</v>
      </c>
      <c r="D2953" s="374">
        <v>260</v>
      </c>
      <c r="E2953" s="291" t="str">
        <f>IFERROR(VLOOKUP($D2953,'Clients-Live'!$A:$C,3,0),"")</f>
        <v>ATAYI GRACE</v>
      </c>
      <c r="F2953" s="291">
        <f>IFERROR(INDEX(Disbursements!$D:$D,MATCH('Live Collections'!G2953,Disbursements!$C:$C,0)),"")</f>
        <v>1</v>
      </c>
      <c r="G2953" s="34">
        <v>303</v>
      </c>
      <c r="H2953" s="34">
        <v>4735</v>
      </c>
      <c r="I2953" s="34" t="s">
        <v>1359</v>
      </c>
      <c r="J2953" s="48"/>
      <c r="K2953" s="48"/>
      <c r="L2953" s="48"/>
      <c r="M2953" s="48"/>
      <c r="N2953" s="59"/>
      <c r="O2953" s="59">
        <v>60000</v>
      </c>
      <c r="P2953" s="59"/>
      <c r="Q2953" s="268">
        <f t="shared" si="139"/>
        <v>60000</v>
      </c>
      <c r="R2953" s="61">
        <f>IF(O2953=0,0,SUMIFS(Disbursements!$T:$T,Disbursements!$B:$B,'Live Collections'!D2953,Disbursements!$D:$D,'Live Collections'!F2953))</f>
        <v>23000</v>
      </c>
      <c r="S2953" s="304"/>
      <c r="T2953" s="304">
        <f t="shared" si="140"/>
        <v>60000</v>
      </c>
      <c r="U2953" s="52"/>
      <c r="V2953" s="34"/>
      <c r="W2953" s="408"/>
    </row>
    <row r="2954" spans="1:23" ht="12.75" customHeight="1" x14ac:dyDescent="0.2">
      <c r="A2954" s="257">
        <v>2951</v>
      </c>
      <c r="B2954" s="44">
        <v>44595</v>
      </c>
      <c r="C2954" s="44">
        <f t="shared" si="141"/>
        <v>44595</v>
      </c>
      <c r="D2954" s="374">
        <v>263</v>
      </c>
      <c r="E2954" s="291" t="str">
        <f>IFERROR(VLOOKUP($D2954,'Clients-Live'!$A:$C,3,0),"")</f>
        <v>DATA SAFI DUIKI</v>
      </c>
      <c r="F2954" s="291">
        <f>IFERROR(INDEX(Disbursements!$D:$D,MATCH('Live Collections'!G2954,Disbursements!$C:$C,0)),"")</f>
        <v>1</v>
      </c>
      <c r="G2954" s="34">
        <v>307</v>
      </c>
      <c r="H2954" s="34">
        <v>4466</v>
      </c>
      <c r="I2954" s="34" t="s">
        <v>1357</v>
      </c>
      <c r="J2954" s="48"/>
      <c r="K2954" s="48"/>
      <c r="L2954" s="48"/>
      <c r="M2954" s="48"/>
      <c r="N2954" s="59"/>
      <c r="O2954" s="59">
        <v>200000</v>
      </c>
      <c r="P2954" s="59"/>
      <c r="Q2954" s="268">
        <f t="shared" si="139"/>
        <v>200000</v>
      </c>
      <c r="R2954" s="61">
        <f>IF(O2954=0,0,SUMIFS(Disbursements!$T:$T,Disbursements!$B:$B,'Live Collections'!D2954,Disbursements!$D:$D,'Live Collections'!F2954))</f>
        <v>575000</v>
      </c>
      <c r="S2954" s="64">
        <v>22000</v>
      </c>
      <c r="T2954" s="304">
        <f t="shared" si="140"/>
        <v>178000</v>
      </c>
      <c r="U2954" s="52"/>
      <c r="V2954" s="34"/>
      <c r="W2954" s="408"/>
    </row>
    <row r="2955" spans="1:23" ht="12.75" customHeight="1" x14ac:dyDescent="0.2">
      <c r="A2955" s="257">
        <v>2946</v>
      </c>
      <c r="B2955" s="44">
        <v>44595</v>
      </c>
      <c r="C2955" s="44">
        <f t="shared" si="141"/>
        <v>44595</v>
      </c>
      <c r="D2955" s="374">
        <v>287</v>
      </c>
      <c r="E2955" s="291" t="str">
        <f>IFERROR(VLOOKUP($D2955,'Clients-Live'!$A:$C,3,0),"")</f>
        <v>FAITH JOSEPHINE</v>
      </c>
      <c r="F2955" s="291">
        <f>IFERROR(INDEX(Disbursements!$D:$D,MATCH('Live Collections'!G2955,Disbursements!$C:$C,0)),"")</f>
        <v>1</v>
      </c>
      <c r="G2955" s="34">
        <v>350</v>
      </c>
      <c r="H2955" s="34">
        <v>4733</v>
      </c>
      <c r="I2955" s="34" t="s">
        <v>1359</v>
      </c>
      <c r="J2955" s="48"/>
      <c r="K2955" s="48"/>
      <c r="L2955" s="48"/>
      <c r="M2955" s="48"/>
      <c r="N2955" s="59"/>
      <c r="O2955" s="59">
        <v>150000</v>
      </c>
      <c r="P2955" s="59"/>
      <c r="Q2955" s="268">
        <f t="shared" si="139"/>
        <v>150000</v>
      </c>
      <c r="R2955" s="61">
        <f>IF(O2955=0,0,SUMIFS(Disbursements!$T:$T,Disbursements!$B:$B,'Live Collections'!D2955,Disbursements!$D:$D,'Live Collections'!F2955))</f>
        <v>150000</v>
      </c>
      <c r="S2955" s="304">
        <f>IF(O2955&lt;=IF($O2955=0,0,SUMIFS(Disbursements!$W:$W,Disbursements!$B:$B,'Live Collections'!D3035,Disbursements!$D:$D,'Live Collections'!F3035)),O2955,IF($O2955=0,0,SUMIFS(Disbursements!$W:$W,Disbursements!$B:$B,'Live Collections'!D3035,Disbursements!$D:$D,'Live Collections'!F3035)))</f>
        <v>20000</v>
      </c>
      <c r="T2955" s="304">
        <f t="shared" si="140"/>
        <v>130000</v>
      </c>
      <c r="U2955" s="52"/>
      <c r="V2955" s="34"/>
      <c r="W2955" s="408"/>
    </row>
    <row r="2956" spans="1:23" ht="12.75" customHeight="1" x14ac:dyDescent="0.2">
      <c r="A2956" s="257">
        <v>2956</v>
      </c>
      <c r="B2956" s="44">
        <v>44595</v>
      </c>
      <c r="C2956" s="44">
        <f t="shared" si="141"/>
        <v>44595</v>
      </c>
      <c r="D2956" s="374">
        <v>292</v>
      </c>
      <c r="E2956" s="291" t="str">
        <f>IFERROR(VLOOKUP($D2956,'Clients-Live'!$A:$C,3,0),"")</f>
        <v>AFEKU DENIS</v>
      </c>
      <c r="F2956" s="291" t="str">
        <f>IFERROR(INDEX(Disbursements!$D:$D,MATCH('Live Collections'!G2956,Disbursements!$C:$C,0)),"")</f>
        <v/>
      </c>
      <c r="G2956" s="34"/>
      <c r="H2956" s="34">
        <v>4465</v>
      </c>
      <c r="I2956" s="34" t="s">
        <v>1359</v>
      </c>
      <c r="J2956" s="48"/>
      <c r="K2956" s="48"/>
      <c r="L2956" s="48"/>
      <c r="M2956" s="48"/>
      <c r="N2956" s="59">
        <v>30000</v>
      </c>
      <c r="O2956" s="59"/>
      <c r="P2956" s="59"/>
      <c r="Q2956" s="268">
        <f t="shared" si="139"/>
        <v>30000</v>
      </c>
      <c r="R2956" s="61">
        <f>IF(O2956=0,0,SUMIFS(Disbursements!$T:$T,Disbursements!$B:$B,'Live Collections'!D2956,Disbursements!$D:$D,'Live Collections'!F2956))</f>
        <v>0</v>
      </c>
      <c r="S2956" s="304">
        <f>IF(O2956&lt;=IF($O2956=0,0,SUMIFS(Disbursements!$W:$W,Disbursements!$B:$B,'Live Collections'!D3054,Disbursements!$D:$D,'Live Collections'!F3054)),O2956,IF($O2956=0,0,SUMIFS(Disbursements!$W:$W,Disbursements!$B:$B,'Live Collections'!D3054,Disbursements!$D:$D,'Live Collections'!F3054)))</f>
        <v>0</v>
      </c>
      <c r="T2956" s="304">
        <f t="shared" si="140"/>
        <v>0</v>
      </c>
      <c r="U2956" s="52"/>
      <c r="V2956" s="34"/>
      <c r="W2956" s="408"/>
    </row>
    <row r="2957" spans="1:23" ht="12.75" customHeight="1" x14ac:dyDescent="0.2">
      <c r="A2957" s="257">
        <v>2957</v>
      </c>
      <c r="B2957" s="44">
        <v>44595</v>
      </c>
      <c r="C2957" s="44">
        <f t="shared" si="141"/>
        <v>44595</v>
      </c>
      <c r="D2957" s="374">
        <v>292</v>
      </c>
      <c r="E2957" s="291" t="str">
        <f>IFERROR(VLOOKUP($D2957,'Clients-Live'!$A:$C,3,0),"")</f>
        <v>AFEKU DENIS</v>
      </c>
      <c r="F2957" s="291">
        <f>IFERROR(INDEX(Disbursements!$D:$D,MATCH('Live Collections'!G2957,Disbursements!$C:$C,0)),"")</f>
        <v>1</v>
      </c>
      <c r="G2957" s="34">
        <v>368</v>
      </c>
      <c r="H2957" s="34">
        <v>4464</v>
      </c>
      <c r="I2957" s="34" t="s">
        <v>1359</v>
      </c>
      <c r="J2957" s="48"/>
      <c r="K2957" s="48"/>
      <c r="L2957" s="48"/>
      <c r="M2957" s="48"/>
      <c r="N2957" s="59"/>
      <c r="O2957" s="59">
        <v>600000</v>
      </c>
      <c r="P2957" s="59"/>
      <c r="Q2957" s="268">
        <f t="shared" si="139"/>
        <v>600000</v>
      </c>
      <c r="R2957" s="61">
        <f>IF(O2957=0,0,SUMIFS(Disbursements!$T:$T,Disbursements!$B:$B,'Live Collections'!D2957,Disbursements!$D:$D,'Live Collections'!F2957))</f>
        <v>2600000</v>
      </c>
      <c r="S2957" s="304">
        <f>IF(O2957&lt;=IF($O2957=0,0,SUMIFS(Disbursements!$W:$W,Disbursements!$B:$B,'Live Collections'!D3055,Disbursements!$D:$D,'Live Collections'!F3055)),O2957,IF($O2957=0,0,SUMIFS(Disbursements!$W:$W,Disbursements!$B:$B,'Live Collections'!D3055,Disbursements!$D:$D,'Live Collections'!F3055)))</f>
        <v>21833.333333333336</v>
      </c>
      <c r="T2957" s="304">
        <f t="shared" si="140"/>
        <v>578166.66666666663</v>
      </c>
      <c r="U2957" s="52"/>
      <c r="V2957" s="34"/>
      <c r="W2957" s="408"/>
    </row>
    <row r="2958" spans="1:23" ht="12.75" customHeight="1" x14ac:dyDescent="0.2">
      <c r="A2958" s="257">
        <v>2970</v>
      </c>
      <c r="B2958" s="44">
        <v>44596</v>
      </c>
      <c r="C2958" s="44">
        <f t="shared" si="141"/>
        <v>44596</v>
      </c>
      <c r="D2958" s="374">
        <v>15</v>
      </c>
      <c r="E2958" s="291" t="str">
        <f>IFERROR(VLOOKUP($D2958,'Clients-Live'!$A:$C,3,0),"")</f>
        <v>NATOSHA LUCY</v>
      </c>
      <c r="F2958" s="291">
        <f>IFERROR(INDEX(Disbursements!$D:$D,MATCH('Live Collections'!G2958,Disbursements!$C:$C,0)),"")</f>
        <v>1</v>
      </c>
      <c r="G2958" s="34">
        <v>8</v>
      </c>
      <c r="H2958" s="34" t="s">
        <v>2085</v>
      </c>
      <c r="I2958" s="34" t="s">
        <v>1358</v>
      </c>
      <c r="J2958" s="48"/>
      <c r="K2958" s="48"/>
      <c r="L2958" s="48"/>
      <c r="M2958" s="48"/>
      <c r="N2958" s="59"/>
      <c r="O2958" s="59">
        <v>200000</v>
      </c>
      <c r="P2958" s="59">
        <v>-200000</v>
      </c>
      <c r="Q2958" s="268">
        <f t="shared" si="139"/>
        <v>0</v>
      </c>
      <c r="R2958" s="61">
        <f>IF(O2958=0,0,SUMIFS(Disbursements!$T:$T,Disbursements!$B:$B,'Live Collections'!D2958,Disbursements!$D:$D,'Live Collections'!F2958))</f>
        <v>434000</v>
      </c>
      <c r="S2958" s="304">
        <f>IF(O2958&lt;=IF($O2958=0,0,SUMIFS(Disbursements!$W:$W,Disbursements!$B:$B,'Live Collections'!D167,Disbursements!$D:$D,'Live Collections'!F167)),O2958,IF($O2958=0,0,SUMIFS(Disbursements!$W:$W,Disbursements!$B:$B,'Live Collections'!D167,Disbursements!$D:$D,'Live Collections'!F167)))</f>
        <v>100666.66666666669</v>
      </c>
      <c r="T2958" s="304"/>
      <c r="U2958" s="52"/>
      <c r="V2958" s="34"/>
      <c r="W2958" s="408" t="s">
        <v>2063</v>
      </c>
    </row>
    <row r="2959" spans="1:23" ht="12.75" customHeight="1" x14ac:dyDescent="0.2">
      <c r="A2959" s="257">
        <v>2971</v>
      </c>
      <c r="B2959" s="44">
        <v>44596</v>
      </c>
      <c r="C2959" s="44">
        <f t="shared" si="141"/>
        <v>44596</v>
      </c>
      <c r="D2959" s="374">
        <v>15</v>
      </c>
      <c r="E2959" s="291" t="str">
        <f>IFERROR(VLOOKUP($D2959,'Clients-Live'!$A:$C,3,0),"")</f>
        <v>NATOSHA LUCY</v>
      </c>
      <c r="F2959" s="291">
        <v>1</v>
      </c>
      <c r="G2959" s="34">
        <v>8</v>
      </c>
      <c r="H2959" s="34">
        <v>4567</v>
      </c>
      <c r="I2959" s="34" t="s">
        <v>1358</v>
      </c>
      <c r="J2959" s="48"/>
      <c r="K2959" s="48"/>
      <c r="L2959" s="48"/>
      <c r="M2959" s="48"/>
      <c r="N2959" s="59"/>
      <c r="O2959" s="59">
        <v>29000</v>
      </c>
      <c r="P2959" s="59"/>
      <c r="Q2959" s="268">
        <f t="shared" si="139"/>
        <v>29000</v>
      </c>
      <c r="R2959" s="61">
        <f>IF(O2959=0,0,SUMIFS(Disbursements!$T:$T,Disbursements!$B:$B,'Live Collections'!D2959,Disbursements!$D:$D,'Live Collections'!F2959))</f>
        <v>434000</v>
      </c>
      <c r="S2959" s="64">
        <v>279333.33333333343</v>
      </c>
      <c r="T2959" s="304"/>
      <c r="U2959" s="52"/>
      <c r="V2959" s="34"/>
      <c r="W2959" s="408" t="s">
        <v>2086</v>
      </c>
    </row>
    <row r="2960" spans="1:23" ht="12.75" customHeight="1" x14ac:dyDescent="0.2">
      <c r="A2960" s="257">
        <v>2972</v>
      </c>
      <c r="B2960" s="44">
        <v>44596</v>
      </c>
      <c r="C2960" s="44">
        <f t="shared" si="141"/>
        <v>44596</v>
      </c>
      <c r="D2960" s="374">
        <v>15</v>
      </c>
      <c r="E2960" s="291" t="str">
        <f>IFERROR(VLOOKUP($D2960,'Clients-Live'!$A:$C,3,0),"")</f>
        <v>NATOSHA LUCY</v>
      </c>
      <c r="F2960" s="291">
        <f>IFERROR(INDEX(Disbursements!$D:$D,MATCH('Live Collections'!G2960,Disbursements!$C:$C,0)),"")</f>
        <v>1</v>
      </c>
      <c r="G2960" s="34">
        <v>8</v>
      </c>
      <c r="H2960" s="34">
        <v>4566</v>
      </c>
      <c r="I2960" s="34" t="s">
        <v>1358</v>
      </c>
      <c r="J2960" s="48"/>
      <c r="K2960" s="48"/>
      <c r="L2960" s="48"/>
      <c r="M2960" s="48"/>
      <c r="N2960" s="59"/>
      <c r="O2960" s="59">
        <v>50000</v>
      </c>
      <c r="P2960" s="59"/>
      <c r="Q2960" s="268">
        <f t="shared" si="139"/>
        <v>50000</v>
      </c>
      <c r="R2960" s="61">
        <f>IF(O2960=0,0,SUMIFS(Disbursements!$T:$T,Disbursements!$B:$B,'Live Collections'!D2960,Disbursements!$D:$D,'Live Collections'!F2960))</f>
        <v>434000</v>
      </c>
      <c r="S2960" s="304">
        <f>IF(O2960&lt;=IF($O2960=0,0,SUMIFS(Disbursements!$W:$W,Disbursements!$B:$B,'Live Collections'!D169,Disbursements!$D:$D,'Live Collections'!F169)),O2960,IF($O2960=0,0,SUMIFS(Disbursements!$W:$W,Disbursements!$B:$B,'Live Collections'!D169,Disbursements!$D:$D,'Live Collections'!F169)))</f>
        <v>50000</v>
      </c>
      <c r="T2960" s="64">
        <v>-1000</v>
      </c>
      <c r="U2960" s="52"/>
      <c r="V2960" s="34"/>
      <c r="W2960" s="408" t="s">
        <v>2087</v>
      </c>
    </row>
    <row r="2961" spans="1:23" ht="12.75" customHeight="1" x14ac:dyDescent="0.2">
      <c r="A2961" s="257">
        <v>2968</v>
      </c>
      <c r="B2961" s="44">
        <v>44596</v>
      </c>
      <c r="C2961" s="44">
        <f t="shared" si="141"/>
        <v>44596</v>
      </c>
      <c r="D2961" s="374">
        <v>59</v>
      </c>
      <c r="E2961" s="291" t="str">
        <f>IFERROR(VLOOKUP($D2961,'Clients-Live'!$A:$C,3,0),"")</f>
        <v>ONZIA AGNES</v>
      </c>
      <c r="F2961" s="291">
        <f>IFERROR(INDEX(Disbursements!$D:$D,MATCH('Live Collections'!G2961,Disbursements!$C:$C,0)),"")</f>
        <v>2</v>
      </c>
      <c r="G2961" s="34">
        <v>284</v>
      </c>
      <c r="H2961" s="34">
        <v>4740</v>
      </c>
      <c r="I2961" s="34" t="s">
        <v>1358</v>
      </c>
      <c r="J2961" s="48"/>
      <c r="K2961" s="48"/>
      <c r="L2961" s="48"/>
      <c r="M2961" s="48"/>
      <c r="N2961" s="59"/>
      <c r="O2961" s="59">
        <v>90000</v>
      </c>
      <c r="P2961" s="59"/>
      <c r="Q2961" s="268">
        <f t="shared" si="139"/>
        <v>90000</v>
      </c>
      <c r="R2961" s="61">
        <f>IF(O2961=0,0,SUMIFS(Disbursements!$T:$T,Disbursements!$B:$B,'Live Collections'!D2961,Disbursements!$D:$D,'Live Collections'!F2961))</f>
        <v>180000</v>
      </c>
      <c r="S2961" s="304">
        <f>IF(O2961&lt;=IF($O2961=0,0,SUMIFS(Disbursements!$W:$W,Disbursements!$B:$B,'Live Collections'!D711,Disbursements!$D:$D,'Live Collections'!F711)),O2961,IF($O2961=0,0,SUMIFS(Disbursements!$W:$W,Disbursements!$B:$B,'Live Collections'!D711,Disbursements!$D:$D,'Live Collections'!F711)))</f>
        <v>25000</v>
      </c>
      <c r="T2961" s="304">
        <f t="shared" si="140"/>
        <v>65000</v>
      </c>
      <c r="U2961" s="52"/>
      <c r="V2961" s="34"/>
      <c r="W2961" s="408"/>
    </row>
    <row r="2962" spans="1:23" ht="12.75" customHeight="1" x14ac:dyDescent="0.2">
      <c r="A2962" s="257">
        <v>2960</v>
      </c>
      <c r="B2962" s="44">
        <v>44596</v>
      </c>
      <c r="C2962" s="44">
        <f t="shared" si="141"/>
        <v>44596</v>
      </c>
      <c r="D2962" s="374">
        <v>73</v>
      </c>
      <c r="E2962" s="291" t="str">
        <f>IFERROR(VLOOKUP($D2962,'Clients-Live'!$A:$C,3,0),"")</f>
        <v>AJONYE DEBORA</v>
      </c>
      <c r="F2962" s="291">
        <f>IFERROR(INDEX(Disbursements!$D:$D,MATCH('Live Collections'!G2962,Disbursements!$C:$C,0)),"")</f>
        <v>3</v>
      </c>
      <c r="G2962" s="34">
        <v>426</v>
      </c>
      <c r="H2962" s="34">
        <v>4484</v>
      </c>
      <c r="I2962" s="34" t="s">
        <v>1357</v>
      </c>
      <c r="J2962" s="48"/>
      <c r="K2962" s="48"/>
      <c r="L2962" s="48"/>
      <c r="M2962" s="48"/>
      <c r="N2962" s="59"/>
      <c r="O2962" s="59"/>
      <c r="P2962" s="59">
        <v>80000</v>
      </c>
      <c r="Q2962" s="268">
        <f t="shared" si="139"/>
        <v>80000</v>
      </c>
      <c r="R2962" s="61">
        <f>IF(O2962=0,0,SUMIFS(Disbursements!$T:$T,Disbursements!$B:$B,'Live Collections'!D2962,Disbursements!$D:$D,'Live Collections'!F2962))</f>
        <v>0</v>
      </c>
      <c r="S2962" s="304">
        <f>IF(O2962&lt;=IF($O2962=0,0,SUMIFS(Disbursements!$W:$W,Disbursements!$B:$B,'Live Collections'!D932,Disbursements!$D:$D,'Live Collections'!F932)),O2962,IF($O2962=0,0,SUMIFS(Disbursements!$W:$W,Disbursements!$B:$B,'Live Collections'!D932,Disbursements!$D:$D,'Live Collections'!F932)))</f>
        <v>0</v>
      </c>
      <c r="T2962" s="304">
        <f t="shared" si="140"/>
        <v>0</v>
      </c>
      <c r="U2962" s="52"/>
      <c r="V2962" s="34"/>
      <c r="W2962" s="408"/>
    </row>
    <row r="2963" spans="1:23" ht="12.75" customHeight="1" x14ac:dyDescent="0.2">
      <c r="A2963" s="257">
        <v>2980</v>
      </c>
      <c r="B2963" s="44">
        <v>44596</v>
      </c>
      <c r="C2963" s="44">
        <f t="shared" si="141"/>
        <v>44596</v>
      </c>
      <c r="D2963" s="374">
        <v>94</v>
      </c>
      <c r="E2963" s="291" t="str">
        <f>IFERROR(VLOOKUP($D2963,'Clients-Live'!$A:$C,3,0),"")</f>
        <v>NGINYA RICHARD</v>
      </c>
      <c r="F2963" s="291">
        <f>IFERROR(INDEX(Disbursements!$D:$D,MATCH('Live Collections'!G2963,Disbursements!$C:$C,0)),"")</f>
        <v>2</v>
      </c>
      <c r="G2963" s="34">
        <v>305</v>
      </c>
      <c r="H2963" s="34">
        <v>4562</v>
      </c>
      <c r="I2963" s="34" t="s">
        <v>1357</v>
      </c>
      <c r="J2963" s="48"/>
      <c r="K2963" s="48"/>
      <c r="L2963" s="48"/>
      <c r="M2963" s="48"/>
      <c r="N2963" s="59"/>
      <c r="O2963" s="59">
        <v>90000</v>
      </c>
      <c r="P2963" s="59"/>
      <c r="Q2963" s="268">
        <f t="shared" si="139"/>
        <v>90000</v>
      </c>
      <c r="R2963" s="61">
        <f>IF(O2963=0,0,SUMIFS(Disbursements!$T:$T,Disbursements!$B:$B,'Live Collections'!D2963,Disbursements!$D:$D,'Live Collections'!F2963))</f>
        <v>90000</v>
      </c>
      <c r="S2963" s="304"/>
      <c r="T2963" s="304">
        <f t="shared" si="140"/>
        <v>90000</v>
      </c>
      <c r="U2963" s="52"/>
      <c r="V2963" s="34"/>
      <c r="W2963" s="408"/>
    </row>
    <row r="2964" spans="1:23" ht="12.75" customHeight="1" x14ac:dyDescent="0.2">
      <c r="A2964" s="257">
        <v>2967</v>
      </c>
      <c r="B2964" s="44">
        <v>44596</v>
      </c>
      <c r="C2964" s="44">
        <f t="shared" si="141"/>
        <v>44596</v>
      </c>
      <c r="D2964" s="374">
        <v>97</v>
      </c>
      <c r="E2964" s="291" t="str">
        <f>IFERROR(VLOOKUP($D2964,'Clients-Live'!$A:$C,3,0),"")</f>
        <v>DRANDUA JOB CHRISPUS</v>
      </c>
      <c r="F2964" s="291">
        <f>IFERROR(INDEX(Disbursements!$D:$D,MATCH('Live Collections'!G2964,Disbursements!$C:$C,0)),"")</f>
        <v>4</v>
      </c>
      <c r="G2964" s="34">
        <v>424</v>
      </c>
      <c r="H2964" s="34">
        <v>4478</v>
      </c>
      <c r="I2964" s="34" t="s">
        <v>1359</v>
      </c>
      <c r="J2964" s="48"/>
      <c r="K2964" s="48"/>
      <c r="L2964" s="48"/>
      <c r="M2964" s="48"/>
      <c r="N2964" s="59"/>
      <c r="O2964" s="59"/>
      <c r="P2964" s="59">
        <v>400000</v>
      </c>
      <c r="Q2964" s="268">
        <f t="shared" si="139"/>
        <v>400000</v>
      </c>
      <c r="R2964" s="61">
        <f>IF(O2964=0,0,SUMIFS(Disbursements!$T:$T,Disbursements!$B:$B,'Live Collections'!D2964,Disbursements!$D:$D,'Live Collections'!F2964))</f>
        <v>0</v>
      </c>
      <c r="S2964" s="304">
        <f>IF(O2964&lt;=IF($O2964=0,0,SUMIFS(Disbursements!$W:$W,Disbursements!$B:$B,'Live Collections'!D1261,Disbursements!$D:$D,'Live Collections'!F1261)),O2964,IF($O2964=0,0,SUMIFS(Disbursements!$W:$W,Disbursements!$B:$B,'Live Collections'!D1261,Disbursements!$D:$D,'Live Collections'!F1261)))</f>
        <v>0</v>
      </c>
      <c r="T2964" s="304">
        <f t="shared" si="140"/>
        <v>0</v>
      </c>
      <c r="U2964" s="52"/>
      <c r="V2964" s="34"/>
      <c r="W2964" s="408"/>
    </row>
    <row r="2965" spans="1:23" ht="12.75" customHeight="1" x14ac:dyDescent="0.2">
      <c r="A2965" s="257">
        <v>2979</v>
      </c>
      <c r="B2965" s="44">
        <v>44596</v>
      </c>
      <c r="C2965" s="44">
        <f t="shared" si="141"/>
        <v>44596</v>
      </c>
      <c r="D2965" s="374">
        <v>168</v>
      </c>
      <c r="E2965" s="291" t="str">
        <f>IFERROR(VLOOKUP($D2965,'Clients-Live'!$A:$C,3,0),"")</f>
        <v>ALORO FREDERICK</v>
      </c>
      <c r="F2965" s="291">
        <f>IFERROR(INDEX(Disbursements!$D:$D,MATCH('Live Collections'!G2965,Disbursements!$C:$C,0)),"")</f>
        <v>2</v>
      </c>
      <c r="G2965" s="34">
        <v>385</v>
      </c>
      <c r="H2965" s="34">
        <v>4738</v>
      </c>
      <c r="I2965" s="34" t="s">
        <v>1357</v>
      </c>
      <c r="J2965" s="48"/>
      <c r="K2965" s="48"/>
      <c r="L2965" s="48"/>
      <c r="M2965" s="48"/>
      <c r="N2965" s="59"/>
      <c r="O2965" s="59">
        <v>1325000</v>
      </c>
      <c r="P2965" s="59"/>
      <c r="Q2965" s="268">
        <f t="shared" si="139"/>
        <v>1325000</v>
      </c>
      <c r="R2965" s="61">
        <f>IF(O2965=0,0,SUMIFS(Disbursements!$T:$T,Disbursements!$B:$B,'Live Collections'!D2965,Disbursements!$D:$D,'Live Collections'!F2965))</f>
        <v>1325000</v>
      </c>
      <c r="S2965" s="304">
        <f>IF(O2965&lt;=IF($O2965=0,0,SUMIFS(Disbursements!$W:$W,Disbursements!$B:$B,'Live Collections'!D2075,Disbursements!$D:$D,'Live Collections'!F2075)),O2965,IF($O2965=0,0,SUMIFS(Disbursements!$W:$W,Disbursements!$B:$B,'Live Collections'!D2075,Disbursements!$D:$D,'Live Collections'!F2075)))</f>
        <v>0</v>
      </c>
      <c r="T2965" s="304">
        <f t="shared" si="140"/>
        <v>1325000</v>
      </c>
      <c r="U2965" s="52"/>
      <c r="V2965" s="34"/>
      <c r="W2965" s="408"/>
    </row>
    <row r="2966" spans="1:23" ht="12.75" customHeight="1" x14ac:dyDescent="0.2">
      <c r="A2966" s="257">
        <v>2981</v>
      </c>
      <c r="B2966" s="44">
        <v>44596</v>
      </c>
      <c r="C2966" s="44">
        <f t="shared" si="141"/>
        <v>44596</v>
      </c>
      <c r="D2966" s="374">
        <v>186</v>
      </c>
      <c r="E2966" s="291" t="str">
        <f>IFERROR(VLOOKUP($D2966,'Clients-Live'!$A:$C,3,0),"")</f>
        <v>GIFT JAMES</v>
      </c>
      <c r="F2966" s="291">
        <f>IFERROR(INDEX(Disbursements!$D:$D,MATCH('Live Collections'!G2966,Disbursements!$C:$C,0)),"")</f>
        <v>3</v>
      </c>
      <c r="G2966" s="34">
        <v>366</v>
      </c>
      <c r="H2966" s="34">
        <v>4485</v>
      </c>
      <c r="I2966" s="34" t="s">
        <v>1359</v>
      </c>
      <c r="J2966" s="48"/>
      <c r="K2966" s="48"/>
      <c r="L2966" s="48"/>
      <c r="M2966" s="48"/>
      <c r="N2966" s="59"/>
      <c r="O2966" s="59">
        <v>200000</v>
      </c>
      <c r="P2966" s="59"/>
      <c r="Q2966" s="268">
        <f t="shared" si="139"/>
        <v>200000</v>
      </c>
      <c r="R2966" s="61">
        <f>IF(O2966=0,0,SUMIFS(Disbursements!$T:$T,Disbursements!$B:$B,'Live Collections'!D2966,Disbursements!$D:$D,'Live Collections'!F2966))</f>
        <v>434000</v>
      </c>
      <c r="S2966" s="304">
        <f>IF(O2966&lt;=IF($O2966=0,0,SUMIFS(Disbursements!$W:$W,Disbursements!$B:$B,'Live Collections'!D2272,Disbursements!$D:$D,'Live Collections'!F2272)),O2966,IF($O2966=0,0,SUMIFS(Disbursements!$W:$W,Disbursements!$B:$B,'Live Collections'!D2272,Disbursements!$D:$D,'Live Collections'!F2272)))</f>
        <v>9000</v>
      </c>
      <c r="T2966" s="304">
        <f t="shared" si="140"/>
        <v>191000</v>
      </c>
      <c r="U2966" s="52"/>
      <c r="V2966" s="34"/>
      <c r="W2966" s="408"/>
    </row>
    <row r="2967" spans="1:23" ht="12.75" customHeight="1" x14ac:dyDescent="0.2">
      <c r="A2967" s="257">
        <v>2973</v>
      </c>
      <c r="B2967" s="44">
        <v>44596</v>
      </c>
      <c r="C2967" s="44">
        <f t="shared" si="141"/>
        <v>44596</v>
      </c>
      <c r="D2967" s="374">
        <v>189</v>
      </c>
      <c r="E2967" s="291" t="str">
        <f>IFERROR(VLOOKUP($D2967,'Clients-Live'!$A:$C,3,0),"")</f>
        <v>AYIDA SELUWA</v>
      </c>
      <c r="F2967" s="291">
        <f>IFERROR(INDEX(Disbursements!$D:$D,MATCH('Live Collections'!G2967,Disbursements!$C:$C,0)),"")</f>
        <v>2</v>
      </c>
      <c r="G2967" s="34">
        <v>401</v>
      </c>
      <c r="H2967" s="34">
        <v>4564</v>
      </c>
      <c r="I2967" s="34" t="s">
        <v>1359</v>
      </c>
      <c r="J2967" s="48"/>
      <c r="K2967" s="48"/>
      <c r="L2967" s="48"/>
      <c r="M2967" s="48"/>
      <c r="N2967" s="59"/>
      <c r="O2967" s="59">
        <v>22000</v>
      </c>
      <c r="P2967" s="59"/>
      <c r="Q2967" s="268">
        <f t="shared" si="139"/>
        <v>22000</v>
      </c>
      <c r="R2967" s="61">
        <f>IF(O2967=0,0,SUMIFS(Disbursements!$T:$T,Disbursements!$B:$B,'Live Collections'!D2967,Disbursements!$D:$D,'Live Collections'!F2967))</f>
        <v>34000</v>
      </c>
      <c r="S2967" s="304"/>
      <c r="T2967" s="304">
        <f t="shared" si="140"/>
        <v>22000</v>
      </c>
      <c r="U2967" s="52"/>
      <c r="V2967" s="34"/>
      <c r="W2967" s="408"/>
    </row>
    <row r="2968" spans="1:23" ht="12.75" customHeight="1" x14ac:dyDescent="0.2">
      <c r="A2968" s="257">
        <v>2974</v>
      </c>
      <c r="B2968" s="44">
        <v>44596</v>
      </c>
      <c r="C2968" s="44">
        <f t="shared" si="141"/>
        <v>44596</v>
      </c>
      <c r="D2968" s="374">
        <v>189</v>
      </c>
      <c r="E2968" s="291" t="str">
        <f>IFERROR(VLOOKUP($D2968,'Clients-Live'!$A:$C,3,0),"")</f>
        <v>AYIDA SELUWA</v>
      </c>
      <c r="F2968" s="291">
        <f>IFERROR(INDEX(Disbursements!$D:$D,MATCH('Live Collections'!G2968,Disbursements!$C:$C,0)),"")</f>
        <v>2</v>
      </c>
      <c r="G2968" s="34">
        <v>401</v>
      </c>
      <c r="H2968" s="34">
        <v>4563</v>
      </c>
      <c r="I2968" s="34" t="s">
        <v>1359</v>
      </c>
      <c r="J2968" s="48"/>
      <c r="K2968" s="48"/>
      <c r="L2968" s="48"/>
      <c r="M2968" s="48"/>
      <c r="N2968" s="59"/>
      <c r="O2968" s="59">
        <v>32000</v>
      </c>
      <c r="P2968" s="59"/>
      <c r="Q2968" s="268">
        <f t="shared" si="139"/>
        <v>32000</v>
      </c>
      <c r="R2968" s="61">
        <f>IF(O2968=0,0,SUMIFS(Disbursements!$T:$T,Disbursements!$B:$B,'Live Collections'!D2968,Disbursements!$D:$D,'Live Collections'!F2968))</f>
        <v>34000</v>
      </c>
      <c r="S2968" s="304"/>
      <c r="T2968" s="304">
        <f t="shared" si="140"/>
        <v>32000</v>
      </c>
      <c r="U2968" s="52"/>
      <c r="V2968" s="34"/>
      <c r="W2968" s="408"/>
    </row>
    <row r="2969" spans="1:23" ht="12.75" customHeight="1" x14ac:dyDescent="0.2">
      <c r="A2969" s="257">
        <v>2977</v>
      </c>
      <c r="B2969" s="44">
        <v>44596</v>
      </c>
      <c r="C2969" s="44">
        <f t="shared" si="141"/>
        <v>44596</v>
      </c>
      <c r="D2969" s="374">
        <v>196</v>
      </c>
      <c r="E2969" s="291" t="str">
        <f>IFERROR(VLOOKUP($D2969,'Clients-Live'!$A:$C,3,0),"")</f>
        <v>AKISU JOICE</v>
      </c>
      <c r="F2969" s="291">
        <f>IFERROR(INDEX(Disbursements!$D:$D,MATCH('Live Collections'!G2969,Disbursements!$C:$C,0)),"")</f>
        <v>1</v>
      </c>
      <c r="G2969" s="34">
        <v>189</v>
      </c>
      <c r="H2969" s="34">
        <v>4474</v>
      </c>
      <c r="I2969" s="34" t="s">
        <v>1359</v>
      </c>
      <c r="J2969" s="48"/>
      <c r="K2969" s="48"/>
      <c r="L2969" s="48"/>
      <c r="M2969" s="48"/>
      <c r="N2969" s="59"/>
      <c r="O2969" s="59">
        <v>20000</v>
      </c>
      <c r="P2969" s="59"/>
      <c r="Q2969" s="268">
        <f t="shared" si="139"/>
        <v>20000</v>
      </c>
      <c r="R2969" s="61">
        <f>IF(O2969=0,0,SUMIFS(Disbursements!$T:$T,Disbursements!$B:$B,'Live Collections'!D2969,Disbursements!$D:$D,'Live Collections'!F2969))</f>
        <v>180000</v>
      </c>
      <c r="S2969" s="304"/>
      <c r="T2969" s="304">
        <f t="shared" si="140"/>
        <v>20000</v>
      </c>
      <c r="U2969" s="52"/>
      <c r="V2969" s="34"/>
      <c r="W2969" s="408"/>
    </row>
    <row r="2970" spans="1:23" ht="12.75" customHeight="1" x14ac:dyDescent="0.2">
      <c r="A2970" s="257">
        <v>2978</v>
      </c>
      <c r="B2970" s="44">
        <v>44596</v>
      </c>
      <c r="C2970" s="44">
        <f t="shared" si="141"/>
        <v>44596</v>
      </c>
      <c r="D2970" s="374">
        <v>196</v>
      </c>
      <c r="E2970" s="291" t="str">
        <f>IFERROR(VLOOKUP($D2970,'Clients-Live'!$A:$C,3,0),"")</f>
        <v>AKISU JOICE</v>
      </c>
      <c r="F2970" s="291" t="str">
        <f>IFERROR(INDEX(Disbursements!$D:$D,MATCH('Live Collections'!G2970,Disbursements!$C:$C,0)),"")</f>
        <v/>
      </c>
      <c r="G2970" s="34"/>
      <c r="H2970" s="34">
        <v>4473</v>
      </c>
      <c r="I2970" s="34" t="s">
        <v>1359</v>
      </c>
      <c r="J2970" s="48"/>
      <c r="K2970" s="48"/>
      <c r="L2970" s="48"/>
      <c r="M2970" s="48"/>
      <c r="N2970" s="59">
        <v>30000</v>
      </c>
      <c r="O2970" s="59"/>
      <c r="P2970" s="59"/>
      <c r="Q2970" s="268">
        <f t="shared" si="139"/>
        <v>30000</v>
      </c>
      <c r="R2970" s="61">
        <f>IF(O2970=0,0,SUMIFS(Disbursements!$T:$T,Disbursements!$B:$B,'Live Collections'!D2970,Disbursements!$D:$D,'Live Collections'!F2970))</f>
        <v>0</v>
      </c>
      <c r="S2970" s="304">
        <f>IF(O2970&lt;=IF($O2970=0,0,SUMIFS(Disbursements!$W:$W,Disbursements!$B:$B,'Live Collections'!D2359,Disbursements!$D:$D,'Live Collections'!F2359)),O2970,IF($O2970=0,0,SUMIFS(Disbursements!$W:$W,Disbursements!$B:$B,'Live Collections'!D2359,Disbursements!$D:$D,'Live Collections'!F2359)))</f>
        <v>0</v>
      </c>
      <c r="T2970" s="304">
        <f t="shared" si="140"/>
        <v>0</v>
      </c>
      <c r="U2970" s="52"/>
      <c r="V2970" s="34"/>
      <c r="W2970" s="408"/>
    </row>
    <row r="2971" spans="1:23" ht="12.75" customHeight="1" x14ac:dyDescent="0.2">
      <c r="A2971" s="257">
        <v>2976</v>
      </c>
      <c r="B2971" s="44">
        <v>44596</v>
      </c>
      <c r="C2971" s="44">
        <f t="shared" si="141"/>
        <v>44596</v>
      </c>
      <c r="D2971" s="374">
        <v>229</v>
      </c>
      <c r="E2971" s="291" t="str">
        <f>IFERROR(VLOOKUP($D2971,'Clients-Live'!$A:$C,3,0),"")</f>
        <v>DAWA ANNET</v>
      </c>
      <c r="F2971" s="291">
        <f>IFERROR(INDEX(Disbursements!$D:$D,MATCH('Live Collections'!G2971,Disbursements!$C:$C,0)),"")</f>
        <v>1</v>
      </c>
      <c r="G2971" s="34">
        <v>254</v>
      </c>
      <c r="H2971" s="34">
        <v>4475</v>
      </c>
      <c r="I2971" s="34" t="s">
        <v>1357</v>
      </c>
      <c r="J2971" s="48"/>
      <c r="K2971" s="48"/>
      <c r="L2971" s="48"/>
      <c r="M2971" s="48"/>
      <c r="N2971" s="59"/>
      <c r="O2971" s="59">
        <v>200000</v>
      </c>
      <c r="P2971" s="59"/>
      <c r="Q2971" s="268">
        <f t="shared" si="139"/>
        <v>200000</v>
      </c>
      <c r="R2971" s="61">
        <f>IF(O2971=0,0,SUMIFS(Disbursements!$T:$T,Disbursements!$B:$B,'Live Collections'!D2971,Disbursements!$D:$D,'Live Collections'!F2971))</f>
        <v>300000</v>
      </c>
      <c r="S2971" s="304"/>
      <c r="T2971" s="304">
        <f t="shared" si="140"/>
        <v>200000</v>
      </c>
      <c r="U2971" s="52"/>
      <c r="V2971" s="34"/>
      <c r="W2971" s="408"/>
    </row>
    <row r="2972" spans="1:23" ht="12.75" customHeight="1" x14ac:dyDescent="0.2">
      <c r="A2972" s="257">
        <v>2959</v>
      </c>
      <c r="B2972" s="44">
        <v>44596</v>
      </c>
      <c r="C2972" s="44">
        <f t="shared" si="141"/>
        <v>44596</v>
      </c>
      <c r="D2972" s="374">
        <v>251</v>
      </c>
      <c r="E2972" s="291" t="str">
        <f>IFERROR(VLOOKUP($D2972,'Clients-Live'!$A:$C,3,0),"")</f>
        <v>SIDA ZAINABU</v>
      </c>
      <c r="F2972" s="291">
        <f>IFERROR(INDEX(Disbursements!$D:$D,MATCH('Live Collections'!G2972,Disbursements!$C:$C,0)),"")</f>
        <v>2</v>
      </c>
      <c r="G2972" s="34">
        <v>425</v>
      </c>
      <c r="H2972" s="34">
        <v>4741</v>
      </c>
      <c r="I2972" s="34" t="s">
        <v>1359</v>
      </c>
      <c r="J2972" s="48"/>
      <c r="K2972" s="48"/>
      <c r="L2972" s="48"/>
      <c r="M2972" s="48"/>
      <c r="N2972" s="59"/>
      <c r="O2972" s="59"/>
      <c r="P2972" s="59">
        <v>50000</v>
      </c>
      <c r="Q2972" s="268">
        <f t="shared" si="139"/>
        <v>50000</v>
      </c>
      <c r="R2972" s="61">
        <f>IF(O2972=0,0,SUMIFS(Disbursements!$T:$T,Disbursements!$B:$B,'Live Collections'!D2972,Disbursements!$D:$D,'Live Collections'!F2972))</f>
        <v>0</v>
      </c>
      <c r="S2972" s="304">
        <f>IF(O2972&lt;=IF($O2972=0,0,SUMIFS(Disbursements!$W:$W,Disbursements!$B:$B,'Live Collections'!D2830,Disbursements!$D:$D,'Live Collections'!F2830)),O2972,IF($O2972=0,0,SUMIFS(Disbursements!$W:$W,Disbursements!$B:$B,'Live Collections'!D2830,Disbursements!$D:$D,'Live Collections'!F2830)))</f>
        <v>0</v>
      </c>
      <c r="T2972" s="304">
        <f t="shared" si="140"/>
        <v>0</v>
      </c>
      <c r="U2972" s="52"/>
      <c r="V2972" s="34"/>
      <c r="W2972" s="408"/>
    </row>
    <row r="2973" spans="1:23" ht="12.75" customHeight="1" x14ac:dyDescent="0.2">
      <c r="A2973" s="257">
        <v>2961</v>
      </c>
      <c r="B2973" s="44">
        <v>44596</v>
      </c>
      <c r="C2973" s="44">
        <f t="shared" si="141"/>
        <v>44596</v>
      </c>
      <c r="D2973" s="374">
        <v>261</v>
      </c>
      <c r="E2973" s="291" t="str">
        <f>IFERROR(VLOOKUP($D2973,'Clients-Live'!$A:$C,3,0),"")</f>
        <v>AMANIYO STELLA</v>
      </c>
      <c r="F2973" s="291" t="str">
        <f>IFERROR(INDEX(Disbursements!$D:$D,MATCH('Live Collections'!G2973,Disbursements!$C:$C,0)),"")</f>
        <v/>
      </c>
      <c r="G2973" s="34"/>
      <c r="H2973" s="34">
        <v>4743</v>
      </c>
      <c r="I2973" s="34" t="s">
        <v>1359</v>
      </c>
      <c r="J2973" s="48"/>
      <c r="K2973" s="48"/>
      <c r="L2973" s="48">
        <v>15000</v>
      </c>
      <c r="M2973" s="48">
        <v>5000</v>
      </c>
      <c r="N2973" s="59"/>
      <c r="O2973" s="59"/>
      <c r="P2973" s="59"/>
      <c r="Q2973" s="268">
        <f t="shared" si="139"/>
        <v>20000</v>
      </c>
      <c r="R2973" s="61">
        <f>IF(O2973=0,0,SUMIFS(Disbursements!$T:$T,Disbursements!$B:$B,'Live Collections'!D2973,Disbursements!$D:$D,'Live Collections'!F2973))</f>
        <v>0</v>
      </c>
      <c r="S2973" s="304">
        <f>IF(O2973&lt;=IF($O2973=0,0,SUMIFS(Disbursements!$W:$W,Disbursements!$B:$B,'Live Collections'!D2891,Disbursements!$D:$D,'Live Collections'!F2891)),O2973,IF($O2973=0,0,SUMIFS(Disbursements!$W:$W,Disbursements!$B:$B,'Live Collections'!D2891,Disbursements!$D:$D,'Live Collections'!F2891)))</f>
        <v>0</v>
      </c>
      <c r="T2973" s="304">
        <f t="shared" si="140"/>
        <v>0</v>
      </c>
      <c r="U2973" s="52"/>
      <c r="V2973" s="34"/>
      <c r="W2973" s="408"/>
    </row>
    <row r="2974" spans="1:23" ht="12.75" customHeight="1" x14ac:dyDescent="0.2">
      <c r="A2974" s="257">
        <v>2962</v>
      </c>
      <c r="B2974" s="44">
        <v>44596</v>
      </c>
      <c r="C2974" s="44">
        <f t="shared" si="141"/>
        <v>44596</v>
      </c>
      <c r="D2974" s="374">
        <v>270</v>
      </c>
      <c r="E2974" s="291" t="str">
        <f>IFERROR(VLOOKUP($D2974,'Clients-Live'!$A:$C,3,0),"")</f>
        <v>AJOBE SAMUEL</v>
      </c>
      <c r="F2974" s="291" t="str">
        <f>IFERROR(INDEX(Disbursements!$D:$D,MATCH('Live Collections'!G2974,Disbursements!$C:$C,0)),"")</f>
        <v/>
      </c>
      <c r="G2974" s="34"/>
      <c r="H2974" s="34">
        <v>4483</v>
      </c>
      <c r="I2974" s="34" t="s">
        <v>1359</v>
      </c>
      <c r="J2974" s="48"/>
      <c r="K2974" s="48"/>
      <c r="L2974" s="48">
        <v>20000</v>
      </c>
      <c r="M2974" s="48">
        <v>5000</v>
      </c>
      <c r="N2974" s="59"/>
      <c r="O2974" s="59"/>
      <c r="P2974" s="59"/>
      <c r="Q2974" s="268">
        <f t="shared" si="139"/>
        <v>25000</v>
      </c>
      <c r="R2974" s="61">
        <f>IF(O2974=0,0,SUMIFS(Disbursements!$T:$T,Disbursements!$B:$B,'Live Collections'!D2974,Disbursements!$D:$D,'Live Collections'!F2974))</f>
        <v>0</v>
      </c>
      <c r="S2974" s="304">
        <f>IF(O2974&lt;=IF($O2974=0,0,SUMIFS(Disbursements!$W:$W,Disbursements!$B:$B,'Live Collections'!D2961,Disbursements!$D:$D,'Live Collections'!F2961)),O2974,IF($O2974=0,0,SUMIFS(Disbursements!$W:$W,Disbursements!$B:$B,'Live Collections'!D2961,Disbursements!$D:$D,'Live Collections'!F2961)))</f>
        <v>0</v>
      </c>
      <c r="T2974" s="304">
        <f t="shared" si="140"/>
        <v>0</v>
      </c>
      <c r="U2974" s="52"/>
      <c r="V2974" s="34"/>
      <c r="W2974" s="408"/>
    </row>
    <row r="2975" spans="1:23" ht="12.75" customHeight="1" x14ac:dyDescent="0.2">
      <c r="A2975" s="257">
        <v>2963</v>
      </c>
      <c r="B2975" s="44">
        <v>44596</v>
      </c>
      <c r="C2975" s="44">
        <f t="shared" si="141"/>
        <v>44596</v>
      </c>
      <c r="D2975" s="374">
        <v>270</v>
      </c>
      <c r="E2975" s="291" t="str">
        <f>IFERROR(VLOOKUP($D2975,'Clients-Live'!$A:$C,3,0),"")</f>
        <v>AJOBE SAMUEL</v>
      </c>
      <c r="F2975" s="291">
        <f>IFERROR(INDEX(Disbursements!$D:$D,MATCH('Live Collections'!G2975,Disbursements!$C:$C,0)),"")</f>
        <v>1</v>
      </c>
      <c r="G2975" s="34">
        <v>313</v>
      </c>
      <c r="H2975" s="34">
        <v>4482</v>
      </c>
      <c r="I2975" s="34" t="s">
        <v>1359</v>
      </c>
      <c r="J2975" s="48"/>
      <c r="K2975" s="48"/>
      <c r="L2975" s="48"/>
      <c r="M2975" s="48"/>
      <c r="N2975" s="59"/>
      <c r="O2975" s="59">
        <v>35000</v>
      </c>
      <c r="P2975" s="59"/>
      <c r="Q2975" s="268">
        <f t="shared" si="139"/>
        <v>35000</v>
      </c>
      <c r="R2975" s="61">
        <f>IF(O2975=0,0,SUMIFS(Disbursements!$T:$T,Disbursements!$B:$B,'Live Collections'!D2975,Disbursements!$D:$D,'Live Collections'!F2975))</f>
        <v>143000</v>
      </c>
      <c r="S2975" s="304"/>
      <c r="T2975" s="304">
        <f t="shared" si="140"/>
        <v>35000</v>
      </c>
      <c r="U2975" s="52"/>
      <c r="V2975" s="34"/>
      <c r="W2975" s="408"/>
    </row>
    <row r="2976" spans="1:23" ht="12.75" customHeight="1" x14ac:dyDescent="0.2">
      <c r="A2976" s="257">
        <v>2964</v>
      </c>
      <c r="B2976" s="44">
        <v>44596</v>
      </c>
      <c r="C2976" s="44">
        <f t="shared" si="141"/>
        <v>44596</v>
      </c>
      <c r="D2976" s="374">
        <v>270</v>
      </c>
      <c r="E2976" s="291" t="str">
        <f>IFERROR(VLOOKUP($D2976,'Clients-Live'!$A:$C,3,0),"")</f>
        <v>AJOBE SAMUEL</v>
      </c>
      <c r="F2976" s="291">
        <f>IFERROR(INDEX(Disbursements!$D:$D,MATCH('Live Collections'!G2976,Disbursements!$C:$C,0)),"")</f>
        <v>1</v>
      </c>
      <c r="G2976" s="34">
        <v>313</v>
      </c>
      <c r="H2976" s="34">
        <v>799</v>
      </c>
      <c r="I2976" s="34" t="s">
        <v>1359</v>
      </c>
      <c r="J2976" s="48"/>
      <c r="K2976" s="48"/>
      <c r="L2976" s="48"/>
      <c r="M2976" s="48"/>
      <c r="N2976" s="59"/>
      <c r="O2976" s="59"/>
      <c r="P2976" s="59">
        <v>-35000</v>
      </c>
      <c r="Q2976" s="268">
        <f t="shared" si="139"/>
        <v>-35000</v>
      </c>
      <c r="R2976" s="61">
        <f>IF(O2976=0,0,SUMIFS(Disbursements!$T:$T,Disbursements!$B:$B,'Live Collections'!D2976,Disbursements!$D:$D,'Live Collections'!F2976))</f>
        <v>0</v>
      </c>
      <c r="S2976" s="304"/>
      <c r="T2976" s="304">
        <f t="shared" si="140"/>
        <v>0</v>
      </c>
      <c r="U2976" s="52"/>
      <c r="V2976" s="34"/>
      <c r="W2976" s="408"/>
    </row>
    <row r="2977" spans="1:23" ht="12.75" customHeight="1" x14ac:dyDescent="0.2">
      <c r="A2977" s="257">
        <v>2965</v>
      </c>
      <c r="B2977" s="44">
        <v>44596</v>
      </c>
      <c r="C2977" s="44">
        <f t="shared" si="141"/>
        <v>44596</v>
      </c>
      <c r="D2977" s="374">
        <v>270</v>
      </c>
      <c r="E2977" s="291" t="str">
        <f>IFERROR(VLOOKUP($D2977,'Clients-Live'!$A:$C,3,0),"")</f>
        <v>AJOBE SAMUEL</v>
      </c>
      <c r="F2977" s="291">
        <f>IFERROR(INDEX(Disbursements!$D:$D,MATCH('Live Collections'!G2977,Disbursements!$C:$C,0)),"")</f>
        <v>1</v>
      </c>
      <c r="G2977" s="34">
        <v>313</v>
      </c>
      <c r="H2977" s="34">
        <v>4481</v>
      </c>
      <c r="I2977" s="34" t="s">
        <v>1359</v>
      </c>
      <c r="J2977" s="48"/>
      <c r="K2977" s="48"/>
      <c r="L2977" s="48"/>
      <c r="M2977" s="48"/>
      <c r="N2977" s="59"/>
      <c r="O2977" s="59">
        <v>71000</v>
      </c>
      <c r="P2977" s="59"/>
      <c r="Q2977" s="268">
        <f t="shared" si="139"/>
        <v>71000</v>
      </c>
      <c r="R2977" s="61">
        <f>IF(O2977=0,0,SUMIFS(Disbursements!$T:$T,Disbursements!$B:$B,'Live Collections'!D2977,Disbursements!$D:$D,'Live Collections'!F2977))</f>
        <v>143000</v>
      </c>
      <c r="S2977" s="304"/>
      <c r="T2977" s="304">
        <f t="shared" si="140"/>
        <v>71000</v>
      </c>
      <c r="U2977" s="52"/>
      <c r="V2977" s="34"/>
      <c r="W2977" s="408"/>
    </row>
    <row r="2978" spans="1:23" ht="12.75" customHeight="1" x14ac:dyDescent="0.2">
      <c r="A2978" s="257">
        <v>2975</v>
      </c>
      <c r="B2978" s="44">
        <v>44596</v>
      </c>
      <c r="C2978" s="44">
        <f t="shared" si="141"/>
        <v>44596</v>
      </c>
      <c r="D2978" s="374">
        <v>270</v>
      </c>
      <c r="E2978" s="291" t="str">
        <f>IFERROR(VLOOKUP($D2978,'Clients-Live'!$A:$C,3,0),"")</f>
        <v>AJOBE SAMUEL</v>
      </c>
      <c r="F2978" s="291">
        <f>IFERROR(INDEX(Disbursements!$D:$D,MATCH('Live Collections'!G2978,Disbursements!$C:$C,0)),"")</f>
        <v>1</v>
      </c>
      <c r="G2978" s="34">
        <v>313</v>
      </c>
      <c r="H2978" s="34">
        <v>4476</v>
      </c>
      <c r="I2978" s="34" t="s">
        <v>1359</v>
      </c>
      <c r="J2978" s="48"/>
      <c r="K2978" s="48"/>
      <c r="L2978" s="48"/>
      <c r="M2978" s="48"/>
      <c r="N2978" s="59"/>
      <c r="O2978" s="59">
        <v>80000</v>
      </c>
      <c r="P2978" s="59"/>
      <c r="Q2978" s="268">
        <f t="shared" si="139"/>
        <v>80000</v>
      </c>
      <c r="R2978" s="61">
        <f>IF(O2978=0,0,SUMIFS(Disbursements!$T:$T,Disbursements!$B:$B,'Live Collections'!D2978,Disbursements!$D:$D,'Live Collections'!F2978))</f>
        <v>143000</v>
      </c>
      <c r="S2978" s="304"/>
      <c r="T2978" s="304">
        <f t="shared" si="140"/>
        <v>80000</v>
      </c>
      <c r="U2978" s="52"/>
      <c r="V2978" s="34"/>
      <c r="W2978" s="408"/>
    </row>
    <row r="2979" spans="1:23" ht="12.75" customHeight="1" x14ac:dyDescent="0.2">
      <c r="A2979" s="257">
        <v>2966</v>
      </c>
      <c r="B2979" s="44">
        <v>44596</v>
      </c>
      <c r="C2979" s="44">
        <f t="shared" si="141"/>
        <v>44596</v>
      </c>
      <c r="D2979" s="374">
        <v>303</v>
      </c>
      <c r="E2979" s="291" t="str">
        <f>IFERROR(VLOOKUP($D2979,'Clients-Live'!$A:$C,3,0),"")</f>
        <v>APAYI DOROTHY</v>
      </c>
      <c r="F2979" s="291">
        <f>IFERROR(INDEX(Disbursements!$D:$D,MATCH('Live Collections'!G2979,Disbursements!$C:$C,0)),"")</f>
        <v>1</v>
      </c>
      <c r="G2979" s="34">
        <v>399</v>
      </c>
      <c r="H2979" s="34">
        <v>4479</v>
      </c>
      <c r="I2979" s="34" t="s">
        <v>1359</v>
      </c>
      <c r="J2979" s="48"/>
      <c r="K2979" s="48"/>
      <c r="L2979" s="48"/>
      <c r="M2979" s="48"/>
      <c r="N2979" s="59"/>
      <c r="O2979" s="59">
        <v>40000</v>
      </c>
      <c r="P2979" s="59"/>
      <c r="Q2979" s="268">
        <f t="shared" si="139"/>
        <v>40000</v>
      </c>
      <c r="R2979" s="61">
        <f>IF(O2979=0,0,SUMIFS(Disbursements!$T:$T,Disbursements!$B:$B,'Live Collections'!D2979,Disbursements!$D:$D,'Live Collections'!F2979))</f>
        <v>40000</v>
      </c>
      <c r="S2979" s="304">
        <f>IF(O2979&lt;=IF($O2979=0,0,SUMIFS(Disbursements!$W:$W,Disbursements!$B:$B,'Live Collections'!D3091,Disbursements!$D:$D,'Live Collections'!F3091)),O2979,IF($O2979=0,0,SUMIFS(Disbursements!$W:$W,Disbursements!$B:$B,'Live Collections'!D3091,Disbursements!$D:$D,'Live Collections'!F3091)))</f>
        <v>40000</v>
      </c>
      <c r="T2979" s="304">
        <f t="shared" si="140"/>
        <v>0</v>
      </c>
      <c r="U2979" s="52"/>
      <c r="V2979" s="34"/>
      <c r="W2979" s="408"/>
    </row>
    <row r="2980" spans="1:23" ht="12.75" customHeight="1" x14ac:dyDescent="0.2">
      <c r="A2980" s="257">
        <v>2983</v>
      </c>
      <c r="B2980" s="44">
        <v>44597</v>
      </c>
      <c r="C2980" s="44">
        <f t="shared" si="141"/>
        <v>44597</v>
      </c>
      <c r="D2980" s="374">
        <v>20</v>
      </c>
      <c r="E2980" s="291" t="str">
        <f>IFERROR(VLOOKUP($D2980,'Clients-Live'!$A:$C,3,0),"")</f>
        <v>ANDEZO KEVIN</v>
      </c>
      <c r="F2980" s="291">
        <f>IFERROR(INDEX(Disbursements!$D:$D,MATCH('Live Collections'!G2980,Disbursements!$C:$C,0)),"")</f>
        <v>3</v>
      </c>
      <c r="G2980" s="34">
        <v>427</v>
      </c>
      <c r="H2980" s="34">
        <v>4748</v>
      </c>
      <c r="I2980" s="34" t="s">
        <v>1359</v>
      </c>
      <c r="J2980" s="48"/>
      <c r="K2980" s="48"/>
      <c r="L2980" s="48"/>
      <c r="M2980" s="48"/>
      <c r="N2980" s="59"/>
      <c r="O2980" s="59"/>
      <c r="P2980" s="59">
        <v>100000</v>
      </c>
      <c r="Q2980" s="268">
        <f t="shared" si="139"/>
        <v>100000</v>
      </c>
      <c r="R2980" s="61">
        <f>IF(O2980=0,0,SUMIFS(Disbursements!$T:$T,Disbursements!$B:$B,'Live Collections'!D2980,Disbursements!$D:$D,'Live Collections'!F2980))</f>
        <v>0</v>
      </c>
      <c r="S2980" s="304">
        <f>IF(O2980&lt;=IF($O2980=0,0,SUMIFS(Disbursements!$W:$W,Disbursements!$B:$B,'Live Collections'!D261,Disbursements!$D:$D,'Live Collections'!F261)),O2980,IF($O2980=0,0,SUMIFS(Disbursements!$W:$W,Disbursements!$B:$B,'Live Collections'!D261,Disbursements!$D:$D,'Live Collections'!F261)))</f>
        <v>0</v>
      </c>
      <c r="T2980" s="304">
        <f t="shared" si="140"/>
        <v>0</v>
      </c>
      <c r="U2980" s="52"/>
      <c r="V2980" s="34"/>
      <c r="W2980" s="408"/>
    </row>
    <row r="2981" spans="1:23" ht="12.75" customHeight="1" x14ac:dyDescent="0.2">
      <c r="A2981" s="257">
        <v>2985</v>
      </c>
      <c r="B2981" s="44">
        <v>44597</v>
      </c>
      <c r="C2981" s="44">
        <f t="shared" si="141"/>
        <v>44597</v>
      </c>
      <c r="D2981" s="374">
        <v>42</v>
      </c>
      <c r="E2981" s="291" t="str">
        <f>IFERROR(VLOOKUP($D2981,'Clients-Live'!$A:$C,3,0),"")</f>
        <v>ABAU   NOLA</v>
      </c>
      <c r="F2981" s="291">
        <f>IFERROR(INDEX(Disbursements!$D:$D,MATCH('Live Collections'!G2981,Disbursements!$C:$C,0)),"")</f>
        <v>3</v>
      </c>
      <c r="G2981" s="34">
        <v>405</v>
      </c>
      <c r="H2981" s="34">
        <v>4655</v>
      </c>
      <c r="I2981" s="34" t="s">
        <v>1357</v>
      </c>
      <c r="J2981" s="48"/>
      <c r="K2981" s="48"/>
      <c r="L2981" s="48"/>
      <c r="M2981" s="48"/>
      <c r="N2981" s="59"/>
      <c r="O2981" s="59">
        <v>60000</v>
      </c>
      <c r="P2981" s="59"/>
      <c r="Q2981" s="268">
        <f t="shared" si="139"/>
        <v>60000</v>
      </c>
      <c r="R2981" s="61">
        <f>IF(O2981=0,0,SUMIFS(Disbursements!$T:$T,Disbursements!$B:$B,'Live Collections'!D2981,Disbursements!$D:$D,'Live Collections'!F2981))</f>
        <v>20000</v>
      </c>
      <c r="S2981" s="304">
        <f>IF(O2981&lt;=IF($O2981=0,0,SUMIFS(Disbursements!$W:$W,Disbursements!$B:$B,'Live Collections'!D473,Disbursements!$D:$D,'Live Collections'!F473)),O2981,IF($O2981=0,0,SUMIFS(Disbursements!$W:$W,Disbursements!$B:$B,'Live Collections'!D473,Disbursements!$D:$D,'Live Collections'!F473)))</f>
        <v>30000</v>
      </c>
      <c r="T2981" s="304">
        <f t="shared" si="140"/>
        <v>30000</v>
      </c>
      <c r="U2981" s="52"/>
      <c r="V2981" s="34"/>
      <c r="W2981" s="408"/>
    </row>
    <row r="2982" spans="1:23" ht="12.75" customHeight="1" x14ac:dyDescent="0.2">
      <c r="A2982" s="257">
        <v>2984</v>
      </c>
      <c r="B2982" s="44">
        <v>44597</v>
      </c>
      <c r="C2982" s="44">
        <f t="shared" si="141"/>
        <v>44597</v>
      </c>
      <c r="D2982" s="374">
        <v>67</v>
      </c>
      <c r="E2982" s="291" t="str">
        <f>IFERROR(VLOOKUP($D2982,'Clients-Live'!$A:$C,3,0),"")</f>
        <v>KEBITA SAUDA</v>
      </c>
      <c r="F2982" s="291">
        <f>IFERROR(INDEX(Disbursements!$D:$D,MATCH('Live Collections'!G2982,Disbursements!$C:$C,0)),"")</f>
        <v>2</v>
      </c>
      <c r="G2982" s="34">
        <v>272</v>
      </c>
      <c r="H2982" s="34">
        <v>4750</v>
      </c>
      <c r="I2982" s="34" t="s">
        <v>1358</v>
      </c>
      <c r="J2982" s="48"/>
      <c r="K2982" s="48"/>
      <c r="L2982" s="48"/>
      <c r="M2982" s="48"/>
      <c r="N2982" s="59"/>
      <c r="O2982" s="59">
        <v>100000</v>
      </c>
      <c r="P2982" s="59"/>
      <c r="Q2982" s="268">
        <f t="shared" si="139"/>
        <v>100000</v>
      </c>
      <c r="R2982" s="61">
        <f>IF(O2982=0,0,SUMIFS(Disbursements!$T:$T,Disbursements!$B:$B,'Live Collections'!D2982,Disbursements!$D:$D,'Live Collections'!F2982))</f>
        <v>180000</v>
      </c>
      <c r="S2982" s="304"/>
      <c r="T2982" s="304">
        <f t="shared" si="140"/>
        <v>100000</v>
      </c>
      <c r="U2982" s="52"/>
      <c r="V2982" s="34"/>
      <c r="W2982" s="408"/>
    </row>
    <row r="2983" spans="1:23" ht="12.75" customHeight="1" x14ac:dyDescent="0.2">
      <c r="A2983" s="257">
        <v>2986</v>
      </c>
      <c r="B2983" s="44">
        <v>44597</v>
      </c>
      <c r="C2983" s="44">
        <f t="shared" si="141"/>
        <v>44597</v>
      </c>
      <c r="D2983" s="374">
        <v>179</v>
      </c>
      <c r="E2983" s="291" t="str">
        <f>IFERROR(VLOOKUP($D2983,'Clients-Live'!$A:$C,3,0),"")</f>
        <v>GERIA VIOLA</v>
      </c>
      <c r="F2983" s="291">
        <f>IFERROR(INDEX(Disbursements!$D:$D,MATCH('Live Collections'!G2983,Disbursements!$C:$C,0)),"")</f>
        <v>2</v>
      </c>
      <c r="G2983" s="34">
        <v>330</v>
      </c>
      <c r="H2983" s="34">
        <v>4746</v>
      </c>
      <c r="I2983" s="34" t="s">
        <v>1359</v>
      </c>
      <c r="J2983" s="48"/>
      <c r="K2983" s="48"/>
      <c r="L2983" s="48"/>
      <c r="M2983" s="48"/>
      <c r="N2983" s="59"/>
      <c r="O2983" s="59">
        <v>32000</v>
      </c>
      <c r="P2983" s="59"/>
      <c r="Q2983" s="268">
        <f t="shared" si="139"/>
        <v>32000</v>
      </c>
      <c r="R2983" s="61">
        <f>IF(O2983=0,0,SUMIFS(Disbursements!$T:$T,Disbursements!$B:$B,'Live Collections'!D2983,Disbursements!$D:$D,'Live Collections'!F2983))</f>
        <v>100000</v>
      </c>
      <c r="S2983" s="304">
        <f>IF(O2983&lt;=IF($O2983=0,0,SUMIFS(Disbursements!$W:$W,Disbursements!$B:$B,'Live Collections'!D2197,Disbursements!$D:$D,'Live Collections'!F2197)),O2983,IF($O2983=0,0,SUMIFS(Disbursements!$W:$W,Disbursements!$B:$B,'Live Collections'!D2197,Disbursements!$D:$D,'Live Collections'!F2197)))</f>
        <v>30000</v>
      </c>
      <c r="T2983" s="304">
        <f t="shared" si="140"/>
        <v>2000</v>
      </c>
      <c r="U2983" s="52"/>
      <c r="V2983" s="34"/>
      <c r="W2983" s="408"/>
    </row>
    <row r="2984" spans="1:23" ht="12.75" customHeight="1" x14ac:dyDescent="0.2">
      <c r="A2984" s="257">
        <v>2988</v>
      </c>
      <c r="B2984" s="44">
        <v>44597</v>
      </c>
      <c r="C2984" s="44">
        <f t="shared" si="141"/>
        <v>44597</v>
      </c>
      <c r="D2984" s="374">
        <v>185</v>
      </c>
      <c r="E2984" s="291" t="str">
        <f>IFERROR(VLOOKUP($D2984,'Clients-Live'!$A:$C,3,0),"")</f>
        <v>APAYI HARRIET</v>
      </c>
      <c r="F2984" s="291">
        <f>IFERROR(INDEX(Disbursements!$D:$D,MATCH('Live Collections'!G2984,Disbursements!$C:$C,0)),"")</f>
        <v>2</v>
      </c>
      <c r="G2984" s="34">
        <v>360</v>
      </c>
      <c r="H2984" s="34">
        <v>4486</v>
      </c>
      <c r="I2984" s="34" t="s">
        <v>1357</v>
      </c>
      <c r="J2984" s="48"/>
      <c r="K2984" s="48"/>
      <c r="L2984" s="48"/>
      <c r="M2984" s="48"/>
      <c r="N2984" s="59"/>
      <c r="O2984" s="59">
        <v>300000</v>
      </c>
      <c r="P2984" s="59"/>
      <c r="Q2984" s="268">
        <f t="shared" si="139"/>
        <v>300000</v>
      </c>
      <c r="R2984" s="61">
        <f>IF(O2984=0,0,SUMIFS(Disbursements!$T:$T,Disbursements!$B:$B,'Live Collections'!D2984,Disbursements!$D:$D,'Live Collections'!F2984))</f>
        <v>325000</v>
      </c>
      <c r="S2984" s="304">
        <f>IF(O2984&lt;=IF($O2984=0,0,SUMIFS(Disbursements!$W:$W,Disbursements!$B:$B,'Live Collections'!D2255,Disbursements!$D:$D,'Live Collections'!F2255)),O2984,IF($O2984=0,0,SUMIFS(Disbursements!$W:$W,Disbursements!$B:$B,'Live Collections'!D2255,Disbursements!$D:$D,'Live Collections'!F2255)))</f>
        <v>25000</v>
      </c>
      <c r="T2984" s="304">
        <f t="shared" si="140"/>
        <v>275000</v>
      </c>
      <c r="U2984" s="52"/>
      <c r="V2984" s="34"/>
      <c r="W2984" s="408"/>
    </row>
    <row r="2985" spans="1:23" ht="12.75" customHeight="1" x14ac:dyDescent="0.2">
      <c r="A2985" s="257">
        <v>2987</v>
      </c>
      <c r="B2985" s="44">
        <v>44597</v>
      </c>
      <c r="C2985" s="44">
        <f t="shared" si="141"/>
        <v>44597</v>
      </c>
      <c r="D2985" s="374">
        <v>201</v>
      </c>
      <c r="E2985" s="291" t="str">
        <f>IFERROR(VLOOKUP($D2985,'Clients-Live'!$A:$C,3,0),"")</f>
        <v>DALILI HASSAN</v>
      </c>
      <c r="F2985" s="291">
        <f>IFERROR(INDEX(Disbursements!$D:$D,MATCH('Live Collections'!G2985,Disbursements!$C:$C,0)),"")</f>
        <v>1</v>
      </c>
      <c r="G2985" s="34">
        <v>419</v>
      </c>
      <c r="H2985" s="34">
        <v>4656</v>
      </c>
      <c r="I2985" s="34" t="s">
        <v>1359</v>
      </c>
      <c r="J2985" s="48"/>
      <c r="K2985" s="48"/>
      <c r="L2985" s="48"/>
      <c r="M2985" s="48"/>
      <c r="N2985" s="59"/>
      <c r="O2985" s="59">
        <v>40000</v>
      </c>
      <c r="P2985" s="59"/>
      <c r="Q2985" s="268">
        <f t="shared" si="139"/>
        <v>40000</v>
      </c>
      <c r="R2985" s="61">
        <f>IF(O2985=0,0,SUMIFS(Disbursements!$T:$T,Disbursements!$B:$B,'Live Collections'!D2985,Disbursements!$D:$D,'Live Collections'!F2985))</f>
        <v>47000</v>
      </c>
      <c r="S2985" s="304">
        <f>IF(O2985&lt;=IF($O2985=0,0,SUMIFS(Disbursements!$W:$W,Disbursements!$B:$B,'Live Collections'!D2397,Disbursements!$D:$D,'Live Collections'!F2397)),O2985,IF($O2985=0,0,SUMIFS(Disbursements!$W:$W,Disbursements!$B:$B,'Live Collections'!D2397,Disbursements!$D:$D,'Live Collections'!F2397)))</f>
        <v>20666.666666666657</v>
      </c>
      <c r="T2985" s="304">
        <f t="shared" si="140"/>
        <v>19333.333333333343</v>
      </c>
      <c r="U2985" s="52"/>
      <c r="V2985" s="34"/>
      <c r="W2985" s="408"/>
    </row>
    <row r="2986" spans="1:23" ht="12.75" customHeight="1" x14ac:dyDescent="0.2">
      <c r="A2986" s="257">
        <v>2989</v>
      </c>
      <c r="B2986" s="44">
        <v>44597</v>
      </c>
      <c r="C2986" s="44">
        <f t="shared" si="141"/>
        <v>44597</v>
      </c>
      <c r="D2986" s="374">
        <v>252</v>
      </c>
      <c r="E2986" s="291" t="str">
        <f>IFERROR(VLOOKUP($D2986,'Clients-Live'!$A:$C,3,0),"")</f>
        <v>ANGUCIA JESCA</v>
      </c>
      <c r="F2986" s="291">
        <f>IFERROR(INDEX(Disbursements!$D:$D,MATCH('Live Collections'!G2986,Disbursements!$C:$C,0)),"")</f>
        <v>1</v>
      </c>
      <c r="G2986" s="34">
        <v>286</v>
      </c>
      <c r="H2986" s="34">
        <v>4487</v>
      </c>
      <c r="I2986" s="34" t="s">
        <v>1359</v>
      </c>
      <c r="J2986" s="48"/>
      <c r="K2986" s="48"/>
      <c r="L2986" s="48"/>
      <c r="M2986" s="48"/>
      <c r="N2986" s="59"/>
      <c r="O2986" s="59">
        <v>20000</v>
      </c>
      <c r="P2986" s="59"/>
      <c r="Q2986" s="268">
        <f t="shared" si="139"/>
        <v>20000</v>
      </c>
      <c r="R2986" s="61">
        <f>IF(O2986=0,0,SUMIFS(Disbursements!$T:$T,Disbursements!$B:$B,'Live Collections'!D2986,Disbursements!$D:$D,'Live Collections'!F2986))</f>
        <v>120000</v>
      </c>
      <c r="S2986" s="304">
        <v>6000</v>
      </c>
      <c r="T2986" s="304">
        <f t="shared" si="140"/>
        <v>14000</v>
      </c>
      <c r="U2986" s="52"/>
      <c r="V2986" s="34"/>
      <c r="W2986" s="408"/>
    </row>
    <row r="2987" spans="1:23" ht="12.75" customHeight="1" x14ac:dyDescent="0.2">
      <c r="A2987" s="257">
        <v>2982</v>
      </c>
      <c r="B2987" s="44">
        <v>44597</v>
      </c>
      <c r="C2987" s="44">
        <f t="shared" si="141"/>
        <v>44597</v>
      </c>
      <c r="D2987" s="374">
        <v>266</v>
      </c>
      <c r="E2987" s="291" t="str">
        <f>IFERROR(VLOOKUP($D2987,'Clients-Live'!$A:$C,3,0),"")</f>
        <v>TAIBO AMANA</v>
      </c>
      <c r="F2987" s="291">
        <f>IFERROR(INDEX(Disbursements!$D:$D,MATCH('Live Collections'!G2987,Disbursements!$C:$C,0)),"")</f>
        <v>1</v>
      </c>
      <c r="G2987" s="34">
        <v>336</v>
      </c>
      <c r="H2987" s="34">
        <v>4749</v>
      </c>
      <c r="I2987" s="34" t="s">
        <v>1358</v>
      </c>
      <c r="J2987" s="48"/>
      <c r="K2987" s="48"/>
      <c r="L2987" s="48"/>
      <c r="M2987" s="48"/>
      <c r="N2987" s="59"/>
      <c r="O2987" s="59">
        <v>20000</v>
      </c>
      <c r="P2987" s="59"/>
      <c r="Q2987" s="268">
        <f t="shared" si="139"/>
        <v>20000</v>
      </c>
      <c r="R2987" s="61">
        <f>IF(O2987=0,0,SUMIFS(Disbursements!$T:$T,Disbursements!$B:$B,'Live Collections'!D2987,Disbursements!$D:$D,'Live Collections'!F2987))</f>
        <v>120000</v>
      </c>
      <c r="S2987" s="304">
        <f>IF(O2987&lt;=IF($O2987=0,0,SUMIFS(Disbursements!$W:$W,Disbursements!$B:$B,'Live Collections'!D2934,Disbursements!$D:$D,'Live Collections'!F2934)),O2987,IF($O2987=0,0,SUMIFS(Disbursements!$W:$W,Disbursements!$B:$B,'Live Collections'!D2934,Disbursements!$D:$D,'Live Collections'!F2934)))</f>
        <v>0</v>
      </c>
      <c r="T2987" s="304">
        <f t="shared" si="140"/>
        <v>20000</v>
      </c>
      <c r="U2987" s="52"/>
      <c r="V2987" s="34"/>
      <c r="W2987" s="408"/>
    </row>
    <row r="2988" spans="1:23" ht="12.75" customHeight="1" x14ac:dyDescent="0.2">
      <c r="A2988" s="257">
        <v>3010</v>
      </c>
      <c r="B2988" s="44">
        <v>44599</v>
      </c>
      <c r="C2988" s="44">
        <f t="shared" si="141"/>
        <v>44599</v>
      </c>
      <c r="D2988" s="374">
        <v>1</v>
      </c>
      <c r="E2988" s="291" t="str">
        <f>IFERROR(VLOOKUP($D2988,'Clients-Live'!$A:$C,3,0),"")</f>
        <v>TABAN NICHOLAS</v>
      </c>
      <c r="F2988" s="291" t="str">
        <f>IFERROR(INDEX(Disbursements!$D:$D,MATCH('Live Collections'!G2988,Disbursements!$C:$C,0)),"")</f>
        <v/>
      </c>
      <c r="G2988" s="34"/>
      <c r="H2988" s="34">
        <v>4496</v>
      </c>
      <c r="I2988" s="34" t="s">
        <v>1357</v>
      </c>
      <c r="J2988" s="48"/>
      <c r="K2988" s="48"/>
      <c r="L2988" s="48">
        <v>10000</v>
      </c>
      <c r="M2988" s="48"/>
      <c r="N2988" s="59"/>
      <c r="O2988" s="59"/>
      <c r="P2988" s="59"/>
      <c r="Q2988" s="268">
        <f t="shared" si="139"/>
        <v>10000</v>
      </c>
      <c r="R2988" s="61">
        <f>IF(O2988=0,0,SUMIFS(Disbursements!$T:$T,Disbursements!$B:$B,'Live Collections'!D2988,Disbursements!$D:$D,'Live Collections'!F2988))</f>
        <v>0</v>
      </c>
      <c r="S2988" s="304">
        <f>IF(O2988&lt;=IF($O2988=0,0,SUMIFS(Disbursements!$W:$W,Disbursements!$B:$B,'Live Collections'!D10,Disbursements!$D:$D,'Live Collections'!F10)),O2988,IF($O2988=0,0,SUMIFS(Disbursements!$W:$W,Disbursements!$B:$B,'Live Collections'!D10,Disbursements!$D:$D,'Live Collections'!F10)))</f>
        <v>0</v>
      </c>
      <c r="T2988" s="304">
        <f t="shared" si="140"/>
        <v>0</v>
      </c>
      <c r="U2988" s="52"/>
      <c r="V2988" s="34"/>
      <c r="W2988" s="408"/>
    </row>
    <row r="2989" spans="1:23" ht="12.75" customHeight="1" x14ac:dyDescent="0.2">
      <c r="A2989" s="257">
        <v>3014</v>
      </c>
      <c r="B2989" s="44">
        <v>44599</v>
      </c>
      <c r="C2989" s="44">
        <f t="shared" si="141"/>
        <v>44599</v>
      </c>
      <c r="D2989" s="374">
        <v>23</v>
      </c>
      <c r="E2989" s="291" t="str">
        <f>IFERROR(VLOOKUP($D2989,'Clients-Live'!$A:$C,3,0),"")</f>
        <v>BADARU KEVIN ATELIONGA</v>
      </c>
      <c r="F2989" s="291">
        <f>IFERROR(INDEX(Disbursements!$D:$D,MATCH('Live Collections'!G2989,Disbursements!$C:$C,0)),"")</f>
        <v>3</v>
      </c>
      <c r="G2989" s="34">
        <v>402</v>
      </c>
      <c r="H2989" s="34">
        <v>4490</v>
      </c>
      <c r="I2989" s="34" t="s">
        <v>1357</v>
      </c>
      <c r="J2989" s="48"/>
      <c r="K2989" s="48"/>
      <c r="L2989" s="48"/>
      <c r="M2989" s="48"/>
      <c r="N2989" s="59"/>
      <c r="O2989" s="59">
        <v>50000</v>
      </c>
      <c r="P2989" s="59"/>
      <c r="Q2989" s="268">
        <f t="shared" si="139"/>
        <v>50000</v>
      </c>
      <c r="R2989" s="61">
        <f>IF(O2989=0,0,SUMIFS(Disbursements!$T:$T,Disbursements!$B:$B,'Live Collections'!D2989,Disbursements!$D:$D,'Live Collections'!F2989))</f>
        <v>34000</v>
      </c>
      <c r="S2989" s="304">
        <f>IF(O2989&lt;=IF($O2989=0,0,SUMIFS(Disbursements!$W:$W,Disbursements!$B:$B,'Live Collections'!D325,Disbursements!$D:$D,'Live Collections'!F325)),O2989,IF($O2989=0,0,SUMIFS(Disbursements!$W:$W,Disbursements!$B:$B,'Live Collections'!D325,Disbursements!$D:$D,'Live Collections'!F325)))</f>
        <v>50000</v>
      </c>
      <c r="T2989" s="304">
        <f t="shared" si="140"/>
        <v>0</v>
      </c>
      <c r="U2989" s="52"/>
      <c r="V2989" s="34"/>
      <c r="W2989" s="408"/>
    </row>
    <row r="2990" spans="1:23" ht="12.75" customHeight="1" x14ac:dyDescent="0.2">
      <c r="A2990" s="257">
        <v>3008</v>
      </c>
      <c r="B2990" s="44">
        <v>44599</v>
      </c>
      <c r="C2990" s="44">
        <f t="shared" si="141"/>
        <v>44599</v>
      </c>
      <c r="D2990" s="374">
        <v>78</v>
      </c>
      <c r="E2990" s="291" t="str">
        <f>IFERROR(VLOOKUP($D2990,'Clients-Live'!$A:$C,3,0),"")</f>
        <v>DIPIYO BEATRICE JOHN</v>
      </c>
      <c r="F2990" s="291">
        <f>IFERROR(INDEX(Disbursements!$D:$D,MATCH('Live Collections'!G2990,Disbursements!$C:$C,0)),"")</f>
        <v>2</v>
      </c>
      <c r="G2990" s="34">
        <v>351</v>
      </c>
      <c r="H2990" s="34">
        <v>4573</v>
      </c>
      <c r="I2990" s="34" t="s">
        <v>1357</v>
      </c>
      <c r="J2990" s="48"/>
      <c r="K2990" s="48"/>
      <c r="L2990" s="48"/>
      <c r="M2990" s="48"/>
      <c r="N2990" s="59"/>
      <c r="O2990" s="59">
        <v>470000</v>
      </c>
      <c r="P2990" s="59"/>
      <c r="Q2990" s="268">
        <f t="shared" si="139"/>
        <v>470000</v>
      </c>
      <c r="R2990" s="61">
        <f>IF(O2990=0,0,SUMIFS(Disbursements!$T:$T,Disbursements!$B:$B,'Live Collections'!D2990,Disbursements!$D:$D,'Live Collections'!F2990))</f>
        <v>540000</v>
      </c>
      <c r="S2990" s="304">
        <f>IF(O2990&lt;=IF($O2990=0,0,SUMIFS(Disbursements!$W:$W,Disbursements!$B:$B,'Live Collections'!D1010,Disbursements!$D:$D,'Live Collections'!F1010)),O2990,IF($O2990=0,0,SUMIFS(Disbursements!$W:$W,Disbursements!$B:$B,'Live Collections'!D1010,Disbursements!$D:$D,'Live Collections'!F1010)))</f>
        <v>15000</v>
      </c>
      <c r="T2990" s="304">
        <f t="shared" si="140"/>
        <v>455000</v>
      </c>
      <c r="U2990" s="52"/>
      <c r="V2990" s="34"/>
      <c r="W2990" s="408"/>
    </row>
    <row r="2991" spans="1:23" ht="12.75" customHeight="1" x14ac:dyDescent="0.2">
      <c r="A2991" s="257">
        <v>3016</v>
      </c>
      <c r="B2991" s="44">
        <v>44599</v>
      </c>
      <c r="C2991" s="44">
        <f t="shared" si="141"/>
        <v>44599</v>
      </c>
      <c r="D2991" s="374">
        <v>85</v>
      </c>
      <c r="E2991" s="291" t="str">
        <f>IFERROR(VLOOKUP($D2991,'Clients-Live'!$A:$C,3,0),"")</f>
        <v>CEASER SWALEH</v>
      </c>
      <c r="F2991" s="291">
        <f>IFERROR(INDEX(Disbursements!$D:$D,MATCH('Live Collections'!G2991,Disbursements!$C:$C,0)),"")</f>
        <v>3</v>
      </c>
      <c r="G2991" s="34">
        <v>413</v>
      </c>
      <c r="H2991" s="34">
        <v>4495</v>
      </c>
      <c r="I2991" s="34" t="s">
        <v>1357</v>
      </c>
      <c r="J2991" s="48"/>
      <c r="K2991" s="48"/>
      <c r="L2991" s="48"/>
      <c r="M2991" s="48"/>
      <c r="N2991" s="59"/>
      <c r="O2991" s="59">
        <v>157500</v>
      </c>
      <c r="P2991" s="59"/>
      <c r="Q2991" s="268">
        <f t="shared" si="139"/>
        <v>157500</v>
      </c>
      <c r="R2991" s="61">
        <f>IF(O2991=0,0,SUMIFS(Disbursements!$T:$T,Disbursements!$B:$B,'Live Collections'!D2991,Disbursements!$D:$D,'Live Collections'!F2991))</f>
        <v>788000</v>
      </c>
      <c r="S2991" s="304">
        <f>IF(O2991&lt;=IF($O2991=0,0,SUMIFS(Disbursements!$W:$W,Disbursements!$B:$B,'Live Collections'!D1104,Disbursements!$D:$D,'Live Collections'!F1104)),O2991,IF($O2991=0,0,SUMIFS(Disbursements!$W:$W,Disbursements!$B:$B,'Live Collections'!D1104,Disbursements!$D:$D,'Live Collections'!F1104)))</f>
        <v>35000</v>
      </c>
      <c r="T2991" s="304">
        <f t="shared" si="140"/>
        <v>122500</v>
      </c>
      <c r="U2991" s="52"/>
      <c r="V2991" s="34"/>
      <c r="W2991" s="408"/>
    </row>
    <row r="2992" spans="1:23" ht="12.75" customHeight="1" x14ac:dyDescent="0.2">
      <c r="A2992" s="257">
        <v>2994</v>
      </c>
      <c r="B2992" s="44">
        <v>44599</v>
      </c>
      <c r="C2992" s="44">
        <f t="shared" si="141"/>
        <v>44599</v>
      </c>
      <c r="D2992" s="374">
        <v>92</v>
      </c>
      <c r="E2992" s="291" t="str">
        <f>IFERROR(VLOOKUP($D2992,'Clients-Live'!$A:$C,3,0),"")</f>
        <v>FAIDA ZAKIYA</v>
      </c>
      <c r="F2992" s="291">
        <f>IFERROR(INDEX(Disbursements!$D:$D,MATCH('Live Collections'!G2992,Disbursements!$C:$C,0)),"")</f>
        <v>1</v>
      </c>
      <c r="G2992" s="34">
        <v>74</v>
      </c>
      <c r="H2992" s="34">
        <v>4583</v>
      </c>
      <c r="I2992" s="34" t="s">
        <v>1358</v>
      </c>
      <c r="J2992" s="48"/>
      <c r="K2992" s="48"/>
      <c r="L2992" s="48"/>
      <c r="M2992" s="48"/>
      <c r="N2992" s="59"/>
      <c r="O2992" s="59">
        <v>17000</v>
      </c>
      <c r="P2992" s="59"/>
      <c r="Q2992" s="268">
        <f t="shared" si="139"/>
        <v>17000</v>
      </c>
      <c r="R2992" s="61">
        <f>IF(O2992=0,0,SUMIFS(Disbursements!$T:$T,Disbursements!$B:$B,'Live Collections'!D2992,Disbursements!$D:$D,'Live Collections'!F2992))</f>
        <v>175000</v>
      </c>
      <c r="S2992" s="304"/>
      <c r="T2992" s="304">
        <f t="shared" si="140"/>
        <v>17000</v>
      </c>
      <c r="U2992" s="52"/>
      <c r="V2992" s="34"/>
      <c r="W2992" s="408"/>
    </row>
    <row r="2993" spans="1:23" ht="12.75" customHeight="1" x14ac:dyDescent="0.2">
      <c r="A2993" s="257">
        <v>3000</v>
      </c>
      <c r="B2993" s="44">
        <v>44599</v>
      </c>
      <c r="C2993" s="44">
        <f t="shared" si="141"/>
        <v>44599</v>
      </c>
      <c r="D2993" s="374">
        <v>96</v>
      </c>
      <c r="E2993" s="291" t="str">
        <f>IFERROR(VLOOKUP($D2993,'Clients-Live'!$A:$C,3,0),"")</f>
        <v>AKANDU NIGHT YONGORO</v>
      </c>
      <c r="F2993" s="291">
        <f>IFERROR(INDEX(Disbursements!$D:$D,MATCH('Live Collections'!G2993,Disbursements!$C:$C,0)),"")</f>
        <v>2</v>
      </c>
      <c r="G2993" s="34">
        <v>248</v>
      </c>
      <c r="H2993" s="34">
        <v>4659</v>
      </c>
      <c r="I2993" s="34" t="s">
        <v>1358</v>
      </c>
      <c r="J2993" s="48"/>
      <c r="K2993" s="48"/>
      <c r="L2993" s="48">
        <v>20000</v>
      </c>
      <c r="M2993" s="48">
        <v>5000</v>
      </c>
      <c r="N2993" s="59"/>
      <c r="O2993" s="59"/>
      <c r="P2993" s="59"/>
      <c r="Q2993" s="268">
        <f t="shared" si="139"/>
        <v>25000</v>
      </c>
      <c r="R2993" s="61">
        <f>IF(O2993=0,0,SUMIFS(Disbursements!$T:$T,Disbursements!$B:$B,'Live Collections'!D2993,Disbursements!$D:$D,'Live Collections'!F2993))</f>
        <v>0</v>
      </c>
      <c r="S2993" s="304">
        <f>IF(O2993&lt;=IF($O2993=0,0,SUMIFS(Disbursements!$W:$W,Disbursements!$B:$B,'Live Collections'!D1240,Disbursements!$D:$D,'Live Collections'!F1240)),O2993,IF($O2993=0,0,SUMIFS(Disbursements!$W:$W,Disbursements!$B:$B,'Live Collections'!D1240,Disbursements!$D:$D,'Live Collections'!F1240)))</f>
        <v>0</v>
      </c>
      <c r="T2993" s="304">
        <f t="shared" si="140"/>
        <v>0</v>
      </c>
      <c r="U2993" s="52"/>
      <c r="V2993" s="34"/>
      <c r="W2993" s="408"/>
    </row>
    <row r="2994" spans="1:23" ht="12.75" customHeight="1" x14ac:dyDescent="0.2">
      <c r="A2994" s="257">
        <v>3001</v>
      </c>
      <c r="B2994" s="44">
        <v>44599</v>
      </c>
      <c r="C2994" s="44">
        <f t="shared" si="141"/>
        <v>44599</v>
      </c>
      <c r="D2994" s="374">
        <v>96</v>
      </c>
      <c r="E2994" s="291" t="str">
        <f>IFERROR(VLOOKUP($D2994,'Clients-Live'!$A:$C,3,0),"")</f>
        <v>AKANDU NIGHT YONGORO</v>
      </c>
      <c r="F2994" s="291">
        <f>IFERROR(INDEX(Disbursements!$D:$D,MATCH('Live Collections'!G2994,Disbursements!$C:$C,0)),"")</f>
        <v>2</v>
      </c>
      <c r="G2994" s="34">
        <v>248</v>
      </c>
      <c r="H2994" s="34">
        <v>4579</v>
      </c>
      <c r="I2994" s="34" t="s">
        <v>1358</v>
      </c>
      <c r="J2994" s="48"/>
      <c r="K2994" s="48"/>
      <c r="L2994" s="48"/>
      <c r="M2994" s="48"/>
      <c r="N2994" s="59"/>
      <c r="O2994" s="59">
        <v>70000</v>
      </c>
      <c r="P2994" s="59"/>
      <c r="Q2994" s="268">
        <f t="shared" ref="Q2994:Q3057" si="142">SUM(J2994:P2994)</f>
        <v>70000</v>
      </c>
      <c r="R2994" s="61">
        <f>IF(O2994=0,0,SUMIFS(Disbursements!$T:$T,Disbursements!$B:$B,'Live Collections'!D2994,Disbursements!$D:$D,'Live Collections'!F2994))</f>
        <v>210000</v>
      </c>
      <c r="S2994" s="304">
        <f>IF(O2994&lt;=IF($O2994=0,0,SUMIFS(Disbursements!$W:$W,Disbursements!$B:$B,'Live Collections'!D1241,Disbursements!$D:$D,'Live Collections'!F1241)),O2994,IF($O2994=0,0,SUMIFS(Disbursements!$W:$W,Disbursements!$B:$B,'Live Collections'!D1241,Disbursements!$D:$D,'Live Collections'!F1241)))</f>
        <v>70000</v>
      </c>
      <c r="T2994" s="304">
        <f t="shared" si="140"/>
        <v>0</v>
      </c>
      <c r="U2994" s="52"/>
      <c r="V2994" s="34"/>
      <c r="W2994" s="408"/>
    </row>
    <row r="2995" spans="1:23" ht="12.75" customHeight="1" x14ac:dyDescent="0.2">
      <c r="A2995" s="257">
        <v>3002</v>
      </c>
      <c r="B2995" s="44">
        <v>44599</v>
      </c>
      <c r="C2995" s="44">
        <f t="shared" si="141"/>
        <v>44599</v>
      </c>
      <c r="D2995" s="374">
        <v>96</v>
      </c>
      <c r="E2995" s="291" t="str">
        <f>IFERROR(VLOOKUP($D2995,'Clients-Live'!$A:$C,3,0),"")</f>
        <v>AKANDU NIGHT YONGORO</v>
      </c>
      <c r="F2995" s="291">
        <f>IFERROR(INDEX(Disbursements!$D:$D,MATCH('Live Collections'!G2995,Disbursements!$C:$C,0)),"")</f>
        <v>2</v>
      </c>
      <c r="G2995" s="34">
        <v>248</v>
      </c>
      <c r="H2995" s="34">
        <v>784</v>
      </c>
      <c r="I2995" s="34" t="s">
        <v>1358</v>
      </c>
      <c r="J2995" s="48"/>
      <c r="K2995" s="48"/>
      <c r="L2995" s="48"/>
      <c r="M2995" s="48"/>
      <c r="N2995" s="59"/>
      <c r="O2995" s="59"/>
      <c r="P2995" s="59">
        <v>-70000</v>
      </c>
      <c r="Q2995" s="268">
        <f t="shared" si="142"/>
        <v>-70000</v>
      </c>
      <c r="R2995" s="61">
        <f>IF(O2995=0,0,SUMIFS(Disbursements!$T:$T,Disbursements!$B:$B,'Live Collections'!D2995,Disbursements!$D:$D,'Live Collections'!F2995))</f>
        <v>0</v>
      </c>
      <c r="S2995" s="304">
        <f>IF(O2995&lt;=IF($O2995=0,0,SUMIFS(Disbursements!$W:$W,Disbursements!$B:$B,'Live Collections'!D1242,Disbursements!$D:$D,'Live Collections'!F1242)),O2995,IF($O2995=0,0,SUMIFS(Disbursements!$W:$W,Disbursements!$B:$B,'Live Collections'!D1242,Disbursements!$D:$D,'Live Collections'!F1242)))</f>
        <v>0</v>
      </c>
      <c r="T2995" s="304">
        <f t="shared" si="140"/>
        <v>0</v>
      </c>
      <c r="U2995" s="52"/>
      <c r="V2995" s="34"/>
      <c r="W2995" s="408" t="s">
        <v>2039</v>
      </c>
    </row>
    <row r="2996" spans="1:23" ht="12.75" customHeight="1" x14ac:dyDescent="0.2">
      <c r="A2996" s="257">
        <v>3003</v>
      </c>
      <c r="B2996" s="44">
        <v>44599</v>
      </c>
      <c r="C2996" s="44">
        <f t="shared" si="141"/>
        <v>44599</v>
      </c>
      <c r="D2996" s="374">
        <v>96</v>
      </c>
      <c r="E2996" s="291" t="str">
        <f>IFERROR(VLOOKUP($D2996,'Clients-Live'!$A:$C,3,0),"")</f>
        <v>AKANDU NIGHT YONGORO</v>
      </c>
      <c r="F2996" s="291">
        <f>IFERROR(INDEX(Disbursements!$D:$D,MATCH('Live Collections'!G2996,Disbursements!$C:$C,0)),"")</f>
        <v>2</v>
      </c>
      <c r="G2996" s="34">
        <v>248</v>
      </c>
      <c r="H2996" s="34">
        <v>4577</v>
      </c>
      <c r="I2996" s="34" t="s">
        <v>1358</v>
      </c>
      <c r="J2996" s="48"/>
      <c r="K2996" s="48"/>
      <c r="L2996" s="48"/>
      <c r="M2996" s="48"/>
      <c r="N2996" s="59"/>
      <c r="O2996" s="59">
        <v>170000</v>
      </c>
      <c r="P2996" s="59"/>
      <c r="Q2996" s="268">
        <f t="shared" si="142"/>
        <v>170000</v>
      </c>
      <c r="R2996" s="61">
        <f>IF(O2996=0,0,SUMIFS(Disbursements!$T:$T,Disbursements!$B:$B,'Live Collections'!D2996,Disbursements!$D:$D,'Live Collections'!F2996))</f>
        <v>210000</v>
      </c>
      <c r="S2996" s="64">
        <v>-99000</v>
      </c>
      <c r="T2996" s="304">
        <f t="shared" si="140"/>
        <v>269000</v>
      </c>
      <c r="U2996" s="52"/>
      <c r="V2996" s="34"/>
      <c r="W2996" s="408" t="s">
        <v>2104</v>
      </c>
    </row>
    <row r="2997" spans="1:23" ht="12.75" customHeight="1" x14ac:dyDescent="0.2">
      <c r="A2997" s="257">
        <v>2991</v>
      </c>
      <c r="B2997" s="44">
        <v>44599</v>
      </c>
      <c r="C2997" s="44">
        <f t="shared" si="141"/>
        <v>44599</v>
      </c>
      <c r="D2997" s="374">
        <v>98</v>
      </c>
      <c r="E2997" s="291" t="str">
        <f>IFERROR(VLOOKUP($D2997,'Clients-Live'!$A:$C,3,0),"")</f>
        <v>AMANIYO CLARA</v>
      </c>
      <c r="F2997" s="291">
        <f>IFERROR(INDEX(Disbursements!$D:$D,MATCH('Live Collections'!G2997,Disbursements!$C:$C,0)),"")</f>
        <v>2</v>
      </c>
      <c r="G2997" s="34">
        <v>232</v>
      </c>
      <c r="H2997" s="34">
        <v>4663</v>
      </c>
      <c r="I2997" s="34" t="s">
        <v>1358</v>
      </c>
      <c r="J2997" s="48"/>
      <c r="K2997" s="48"/>
      <c r="L2997" s="48"/>
      <c r="M2997" s="48"/>
      <c r="N2997" s="59"/>
      <c r="O2997" s="59">
        <v>50000</v>
      </c>
      <c r="P2997" s="59"/>
      <c r="Q2997" s="268">
        <f t="shared" si="142"/>
        <v>50000</v>
      </c>
      <c r="R2997" s="61">
        <f>IF(O2997=0,0,SUMIFS(Disbursements!$T:$T,Disbursements!$B:$B,'Live Collections'!D2997,Disbursements!$D:$D,'Live Collections'!F2997))</f>
        <v>175000</v>
      </c>
      <c r="S2997" s="304">
        <f>IF(O2997&lt;=IF($O2997=0,0,SUMIFS(Disbursements!$W:$W,Disbursements!$B:$B,'Live Collections'!D1274,Disbursements!$D:$D,'Live Collections'!F1274)),O2997,IF($O2997=0,0,SUMIFS(Disbursements!$W:$W,Disbursements!$B:$B,'Live Collections'!D1274,Disbursements!$D:$D,'Live Collections'!F1274)))</f>
        <v>40000</v>
      </c>
      <c r="T2997" s="304">
        <f t="shared" si="140"/>
        <v>10000</v>
      </c>
      <c r="U2997" s="52"/>
      <c r="V2997" s="34"/>
      <c r="W2997" s="408"/>
    </row>
    <row r="2998" spans="1:23" ht="12.75" customHeight="1" x14ac:dyDescent="0.2">
      <c r="A2998" s="257">
        <v>2990</v>
      </c>
      <c r="B2998" s="44">
        <v>44599</v>
      </c>
      <c r="C2998" s="44">
        <f t="shared" si="141"/>
        <v>44599</v>
      </c>
      <c r="D2998" s="374">
        <v>119</v>
      </c>
      <c r="E2998" s="291" t="str">
        <f>IFERROR(VLOOKUP($D2998,'Clients-Live'!$A:$C,3,0),"")</f>
        <v>STELLA KONGAI</v>
      </c>
      <c r="F2998" s="291">
        <f>IFERROR(INDEX(Disbursements!$D:$D,MATCH('Live Collections'!G2998,Disbursements!$C:$C,0)),"")</f>
        <v>3</v>
      </c>
      <c r="G2998" s="34">
        <v>430</v>
      </c>
      <c r="H2998" s="34">
        <v>4570</v>
      </c>
      <c r="I2998" s="34" t="s">
        <v>1359</v>
      </c>
      <c r="J2998" s="48"/>
      <c r="K2998" s="48"/>
      <c r="L2998" s="48"/>
      <c r="M2998" s="48"/>
      <c r="N2998" s="59"/>
      <c r="O2998" s="59"/>
      <c r="P2998" s="59">
        <v>60000</v>
      </c>
      <c r="Q2998" s="268">
        <f t="shared" si="142"/>
        <v>60000</v>
      </c>
      <c r="R2998" s="61">
        <f>IF(O2998=0,0,SUMIFS(Disbursements!$T:$T,Disbursements!$B:$B,'Live Collections'!D2998,Disbursements!$D:$D,'Live Collections'!F2998))</f>
        <v>0</v>
      </c>
      <c r="S2998" s="304">
        <f>IF(O2998&lt;=IF($O2998=0,0,SUMIFS(Disbursements!$W:$W,Disbursements!$B:$B,'Live Collections'!D3993,Disbursements!$D:$D,'Live Collections'!F3993)),O2998,IF($O2998=0,0,SUMIFS(Disbursements!$W:$W,Disbursements!$B:$B,'Live Collections'!D3993,Disbursements!$D:$D,'Live Collections'!F3993)))</f>
        <v>0</v>
      </c>
      <c r="T2998" s="304">
        <f t="shared" si="140"/>
        <v>0</v>
      </c>
      <c r="U2998" s="52"/>
      <c r="V2998" s="34"/>
      <c r="W2998" s="408"/>
    </row>
    <row r="2999" spans="1:23" ht="12.75" customHeight="1" x14ac:dyDescent="0.2">
      <c r="A2999" s="257">
        <v>2996</v>
      </c>
      <c r="B2999" s="44">
        <v>44599</v>
      </c>
      <c r="C2999" s="44">
        <f t="shared" si="141"/>
        <v>44599</v>
      </c>
      <c r="D2999" s="374">
        <v>125</v>
      </c>
      <c r="E2999" s="291" t="str">
        <f>IFERROR(VLOOKUP($D2999,'Clients-Live'!$A:$C,3,0),"")</f>
        <v>SUNDAY SCOVIA</v>
      </c>
      <c r="F2999" s="291">
        <f>IFERROR(INDEX(Disbursements!$D:$D,MATCH('Live Collections'!G2999,Disbursements!$C:$C,0)),"")</f>
        <v>1</v>
      </c>
      <c r="G2999" s="34">
        <v>111</v>
      </c>
      <c r="H2999" s="34">
        <v>4580</v>
      </c>
      <c r="I2999" s="34" t="s">
        <v>1358</v>
      </c>
      <c r="J2999" s="48"/>
      <c r="K2999" s="48"/>
      <c r="L2999" s="48"/>
      <c r="M2999" s="48"/>
      <c r="N2999" s="59"/>
      <c r="O2999" s="59">
        <v>50000</v>
      </c>
      <c r="P2999" s="59"/>
      <c r="Q2999" s="268">
        <f t="shared" si="142"/>
        <v>50000</v>
      </c>
      <c r="R2999" s="61">
        <f>IF(O2999=0,0,SUMIFS(Disbursements!$T:$T,Disbursements!$B:$B,'Live Collections'!D2999,Disbursements!$D:$D,'Live Collections'!F2999))</f>
        <v>120000</v>
      </c>
      <c r="S2999" s="304"/>
      <c r="T2999" s="304">
        <f t="shared" si="140"/>
        <v>50000</v>
      </c>
      <c r="U2999" s="52"/>
      <c r="V2999" s="34"/>
      <c r="W2999" s="408"/>
    </row>
    <row r="3000" spans="1:23" ht="12.75" customHeight="1" x14ac:dyDescent="0.2">
      <c r="A3000" s="257">
        <v>2998</v>
      </c>
      <c r="B3000" s="44">
        <v>44599</v>
      </c>
      <c r="C3000" s="44">
        <f t="shared" si="141"/>
        <v>44599</v>
      </c>
      <c r="D3000" s="374">
        <v>141</v>
      </c>
      <c r="E3000" s="291" t="str">
        <f>IFERROR(VLOOKUP($D3000,'Clients-Live'!$A:$C,3,0),"")</f>
        <v>DRAMANI WILFRED</v>
      </c>
      <c r="F3000" s="291">
        <f>IFERROR(INDEX(Disbursements!$D:$D,MATCH('Live Collections'!G3000,Disbursements!$C:$C,0)),"")</f>
        <v>2</v>
      </c>
      <c r="G3000" s="34">
        <v>207</v>
      </c>
      <c r="H3000" s="34">
        <v>4661</v>
      </c>
      <c r="I3000" s="34" t="s">
        <v>1359</v>
      </c>
      <c r="J3000" s="48"/>
      <c r="K3000" s="48"/>
      <c r="L3000" s="48"/>
      <c r="M3000" s="48"/>
      <c r="N3000" s="59"/>
      <c r="O3000" s="59">
        <v>100000</v>
      </c>
      <c r="P3000" s="59"/>
      <c r="Q3000" s="268">
        <f t="shared" si="142"/>
        <v>100000</v>
      </c>
      <c r="R3000" s="61">
        <f>IF(O3000=0,0,SUMIFS(Disbursements!$T:$T,Disbursements!$B:$B,'Live Collections'!D3000,Disbursements!$D:$D,'Live Collections'!F3000))</f>
        <v>175000</v>
      </c>
      <c r="S3000" s="304">
        <f>IF(O3000&lt;=IF($O3000=0,0,SUMIFS(Disbursements!$W:$W,Disbursements!$B:$B,'Live Collections'!D3947,Disbursements!$D:$D,'Live Collections'!F3947)),O3000,IF($O3000=0,0,SUMIFS(Disbursements!$W:$W,Disbursements!$B:$B,'Live Collections'!D3947,Disbursements!$D:$D,'Live Collections'!F3947)))</f>
        <v>33333.333333333343</v>
      </c>
      <c r="T3000" s="304">
        <f t="shared" si="140"/>
        <v>66666.666666666657</v>
      </c>
      <c r="U3000" s="52"/>
      <c r="V3000" s="34"/>
      <c r="W3000" s="408"/>
    </row>
    <row r="3001" spans="1:23" ht="12.75" customHeight="1" x14ac:dyDescent="0.2">
      <c r="A3001" s="257">
        <v>3006</v>
      </c>
      <c r="B3001" s="44">
        <v>44599</v>
      </c>
      <c r="C3001" s="44">
        <f t="shared" si="141"/>
        <v>44599</v>
      </c>
      <c r="D3001" s="374">
        <v>143</v>
      </c>
      <c r="E3001" s="291" t="str">
        <f>IFERROR(VLOOKUP($D3001,'Clients-Live'!$A:$C,3,0),"")</f>
        <v>MORO HAKIM</v>
      </c>
      <c r="F3001" s="291">
        <f>IFERROR(INDEX(Disbursements!$D:$D,MATCH('Live Collections'!G3001,Disbursements!$C:$C,0)),"")</f>
        <v>2</v>
      </c>
      <c r="G3001" s="34">
        <v>318</v>
      </c>
      <c r="H3001" s="34">
        <v>4574</v>
      </c>
      <c r="I3001" s="34" t="s">
        <v>1357</v>
      </c>
      <c r="J3001" s="48"/>
      <c r="K3001" s="48"/>
      <c r="L3001" s="48"/>
      <c r="M3001" s="48"/>
      <c r="N3001" s="59"/>
      <c r="O3001" s="59">
        <v>1000000</v>
      </c>
      <c r="P3001" s="59"/>
      <c r="Q3001" s="268">
        <f t="shared" si="142"/>
        <v>1000000</v>
      </c>
      <c r="R3001" s="61">
        <f>IF(O3001=0,0,SUMIFS(Disbursements!$T:$T,Disbursements!$B:$B,'Live Collections'!D3001,Disbursements!$D:$D,'Live Collections'!F3001))</f>
        <v>1200000</v>
      </c>
      <c r="S3001" s="304">
        <f>IF(O3001&lt;=IF($O3001=0,0,SUMIFS(Disbursements!$W:$W,Disbursements!$B:$B,'Live Collections'!D1815,Disbursements!$D:$D,'Live Collections'!F1815)),O3001,IF($O3001=0,0,SUMIFS(Disbursements!$W:$W,Disbursements!$B:$B,'Live Collections'!D1815,Disbursements!$D:$D,'Live Collections'!F1815)))</f>
        <v>0</v>
      </c>
      <c r="T3001" s="304">
        <f t="shared" si="140"/>
        <v>1000000</v>
      </c>
      <c r="U3001" s="52"/>
      <c r="V3001" s="34"/>
      <c r="W3001" s="408"/>
    </row>
    <row r="3002" spans="1:23" ht="12.75" customHeight="1" x14ac:dyDescent="0.2">
      <c r="A3002" s="257">
        <v>2992</v>
      </c>
      <c r="B3002" s="44">
        <v>44599</v>
      </c>
      <c r="C3002" s="44">
        <f t="shared" si="141"/>
        <v>44599</v>
      </c>
      <c r="D3002" s="374">
        <v>151</v>
      </c>
      <c r="E3002" s="291" t="str">
        <f>IFERROR(VLOOKUP($D3002,'Clients-Live'!$A:$C,3,0),"")</f>
        <v>MORRO HASSAN</v>
      </c>
      <c r="F3002" s="291">
        <f>IFERROR(INDEX(Disbursements!$D:$D,MATCH('Live Collections'!G3002,Disbursements!$C:$C,0)),"")</f>
        <v>3</v>
      </c>
      <c r="G3002" s="34">
        <v>312</v>
      </c>
      <c r="H3002" s="34">
        <v>4584</v>
      </c>
      <c r="I3002" s="34" t="s">
        <v>1359</v>
      </c>
      <c r="J3002" s="48"/>
      <c r="K3002" s="48"/>
      <c r="L3002" s="48"/>
      <c r="M3002" s="48"/>
      <c r="N3002" s="59"/>
      <c r="O3002" s="59">
        <v>200000</v>
      </c>
      <c r="P3002" s="59"/>
      <c r="Q3002" s="268">
        <f t="shared" si="142"/>
        <v>200000</v>
      </c>
      <c r="R3002" s="61">
        <f>IF(O3002=0,0,SUMIFS(Disbursements!$T:$T,Disbursements!$B:$B,'Live Collections'!D3002,Disbursements!$D:$D,'Live Collections'!F3002))</f>
        <v>600000</v>
      </c>
      <c r="S3002" s="304">
        <f>IF(O3002&lt;=IF($O3002=0,0,SUMIFS(Disbursements!$W:$W,Disbursements!$B:$B,'Live Collections'!D1904,Disbursements!$D:$D,'Live Collections'!F1904)),O3002,IF($O3002=0,0,SUMIFS(Disbursements!$W:$W,Disbursements!$B:$B,'Live Collections'!D1904,Disbursements!$D:$D,'Live Collections'!F1904)))</f>
        <v>35000</v>
      </c>
      <c r="T3002" s="304">
        <f t="shared" si="140"/>
        <v>165000</v>
      </c>
      <c r="U3002" s="52"/>
      <c r="V3002" s="34"/>
      <c r="W3002" s="408"/>
    </row>
    <row r="3003" spans="1:23" ht="12.75" customHeight="1" x14ac:dyDescent="0.2">
      <c r="A3003" s="257">
        <v>3007</v>
      </c>
      <c r="B3003" s="44">
        <v>44599</v>
      </c>
      <c r="C3003" s="44">
        <f t="shared" si="141"/>
        <v>44599</v>
      </c>
      <c r="D3003" s="374">
        <v>215</v>
      </c>
      <c r="E3003" s="291" t="str">
        <f>IFERROR(VLOOKUP($D3003,'Clients-Live'!$A:$C,3,0),"")</f>
        <v>BRANI MUSA</v>
      </c>
      <c r="F3003" s="291">
        <f>IFERROR(INDEX(Disbursements!$D:$D,MATCH('Live Collections'!G3003,Disbursements!$C:$C,0)),"")</f>
        <v>2</v>
      </c>
      <c r="G3003" s="34">
        <v>343</v>
      </c>
      <c r="H3003" s="34">
        <v>4568</v>
      </c>
      <c r="I3003" s="34" t="s">
        <v>1357</v>
      </c>
      <c r="J3003" s="48"/>
      <c r="K3003" s="48"/>
      <c r="L3003" s="48"/>
      <c r="M3003" s="48"/>
      <c r="N3003" s="59"/>
      <c r="O3003" s="59">
        <v>60000</v>
      </c>
      <c r="P3003" s="59"/>
      <c r="Q3003" s="268">
        <f t="shared" si="142"/>
        <v>60000</v>
      </c>
      <c r="R3003" s="61">
        <f>IF(O3003=0,0,SUMIFS(Disbursements!$T:$T,Disbursements!$B:$B,'Live Collections'!D3003,Disbursements!$D:$D,'Live Collections'!F3003))</f>
        <v>369000</v>
      </c>
      <c r="S3003" s="304">
        <f>IF(O3003&lt;=IF($O3003=0,0,SUMIFS(Disbursements!$W:$W,Disbursements!$B:$B,'Live Collections'!D2543,Disbursements!$D:$D,'Live Collections'!F2543)),O3003,IF($O3003=0,0,SUMIFS(Disbursements!$W:$W,Disbursements!$B:$B,'Live Collections'!D2543,Disbursements!$D:$D,'Live Collections'!F2543)))</f>
        <v>25000</v>
      </c>
      <c r="T3003" s="304">
        <f t="shared" si="140"/>
        <v>35000</v>
      </c>
      <c r="U3003" s="52"/>
      <c r="V3003" s="34"/>
      <c r="W3003" s="408"/>
    </row>
    <row r="3004" spans="1:23" ht="12.75" customHeight="1" x14ac:dyDescent="0.2">
      <c r="A3004" s="257">
        <v>3012</v>
      </c>
      <c r="B3004" s="44">
        <v>44599</v>
      </c>
      <c r="C3004" s="44">
        <f t="shared" si="141"/>
        <v>44599</v>
      </c>
      <c r="D3004" s="374">
        <v>229</v>
      </c>
      <c r="E3004" s="291" t="str">
        <f>IFERROR(VLOOKUP($D3004,'Clients-Live'!$A:$C,3,0),"")</f>
        <v>DAWA ANNET</v>
      </c>
      <c r="F3004" s="291">
        <f>IFERROR(INDEX(Disbursements!$D:$D,MATCH('Live Collections'!G3004,Disbursements!$C:$C,0)),"")</f>
        <v>1</v>
      </c>
      <c r="G3004" s="34">
        <v>254</v>
      </c>
      <c r="H3004" s="34">
        <v>4488</v>
      </c>
      <c r="I3004" s="34" t="s">
        <v>1357</v>
      </c>
      <c r="J3004" s="48"/>
      <c r="K3004" s="48"/>
      <c r="L3004" s="48"/>
      <c r="M3004" s="48"/>
      <c r="N3004" s="59"/>
      <c r="O3004" s="59">
        <v>100000</v>
      </c>
      <c r="P3004" s="59"/>
      <c r="Q3004" s="268">
        <f t="shared" si="142"/>
        <v>100000</v>
      </c>
      <c r="R3004" s="61">
        <f>IF(O3004=0,0,SUMIFS(Disbursements!$T:$T,Disbursements!$B:$B,'Live Collections'!D3004,Disbursements!$D:$D,'Live Collections'!F3004))</f>
        <v>300000</v>
      </c>
      <c r="S3004" s="304"/>
      <c r="T3004" s="304">
        <f t="shared" si="140"/>
        <v>100000</v>
      </c>
      <c r="U3004" s="52"/>
      <c r="V3004" s="34"/>
      <c r="W3004" s="408"/>
    </row>
    <row r="3005" spans="1:23" ht="12.75" customHeight="1" x14ac:dyDescent="0.2">
      <c r="A3005" s="257">
        <v>3013</v>
      </c>
      <c r="B3005" s="44">
        <v>44599</v>
      </c>
      <c r="C3005" s="44">
        <f t="shared" si="141"/>
        <v>44599</v>
      </c>
      <c r="D3005" s="374">
        <v>229</v>
      </c>
      <c r="E3005" s="291" t="str">
        <f>IFERROR(VLOOKUP($D3005,'Clients-Live'!$A:$C,3,0),"")</f>
        <v>DAWA ANNET</v>
      </c>
      <c r="F3005" s="291">
        <f>IFERROR(INDEX(Disbursements!$D:$D,MATCH('Live Collections'!G3005,Disbursements!$C:$C,0)),"")</f>
        <v>1</v>
      </c>
      <c r="G3005" s="34">
        <v>254</v>
      </c>
      <c r="H3005" s="34">
        <v>788</v>
      </c>
      <c r="I3005" s="34" t="s">
        <v>1357</v>
      </c>
      <c r="J3005" s="48"/>
      <c r="K3005" s="48"/>
      <c r="L3005" s="48"/>
      <c r="M3005" s="48"/>
      <c r="N3005" s="59"/>
      <c r="O3005" s="59"/>
      <c r="P3005" s="59">
        <v>-100000</v>
      </c>
      <c r="Q3005" s="268">
        <f t="shared" si="142"/>
        <v>-100000</v>
      </c>
      <c r="R3005" s="61">
        <f>IF(O3005=0,0,SUMIFS(Disbursements!$T:$T,Disbursements!$B:$B,'Live Collections'!D3005,Disbursements!$D:$D,'Live Collections'!F3005))</f>
        <v>0</v>
      </c>
      <c r="S3005" s="304">
        <f>IF(O3005&lt;=IF($O3005=0,0,SUMIFS(Disbursements!$W:$W,Disbursements!$B:$B,'Live Collections'!D2674,Disbursements!$D:$D,'Live Collections'!F2674)),O3005,IF($O3005=0,0,SUMIFS(Disbursements!$W:$W,Disbursements!$B:$B,'Live Collections'!D2674,Disbursements!$D:$D,'Live Collections'!F2674)))</f>
        <v>0</v>
      </c>
      <c r="T3005" s="304">
        <f t="shared" ref="T3005:T3068" si="143">IF(O3005=0,0,O3005-S3005)</f>
        <v>0</v>
      </c>
      <c r="U3005" s="52"/>
      <c r="V3005" s="34"/>
      <c r="W3005" s="408" t="s">
        <v>2054</v>
      </c>
    </row>
    <row r="3006" spans="1:23" ht="12.75" customHeight="1" x14ac:dyDescent="0.2">
      <c r="A3006" s="257">
        <v>3018</v>
      </c>
      <c r="B3006" s="44">
        <v>44599</v>
      </c>
      <c r="C3006" s="44">
        <f t="shared" si="141"/>
        <v>44599</v>
      </c>
      <c r="D3006" s="374">
        <v>253</v>
      </c>
      <c r="E3006" s="291" t="str">
        <f>IFERROR(VLOOKUP($D3006,'Clients-Live'!$A:$C,3,0),"")</f>
        <v>JAKUMA VINCENT</v>
      </c>
      <c r="F3006" s="291">
        <f>IFERROR(INDEX(Disbursements!$D:$D,MATCH('Live Collections'!G3006,Disbursements!$C:$C,0)),"")</f>
        <v>1</v>
      </c>
      <c r="G3006" s="34">
        <v>359</v>
      </c>
      <c r="H3006" s="34">
        <v>4653</v>
      </c>
      <c r="I3006" s="34" t="s">
        <v>1359</v>
      </c>
      <c r="J3006" s="48"/>
      <c r="K3006" s="48"/>
      <c r="L3006" s="48"/>
      <c r="M3006" s="48"/>
      <c r="N3006" s="59"/>
      <c r="O3006" s="59">
        <v>100000</v>
      </c>
      <c r="P3006" s="59"/>
      <c r="Q3006" s="268">
        <f t="shared" si="142"/>
        <v>100000</v>
      </c>
      <c r="R3006" s="61">
        <f>IF(O3006=0,0,SUMIFS(Disbursements!$T:$T,Disbursements!$B:$B,'Live Collections'!D3006,Disbursements!$D:$D,'Live Collections'!F3006))</f>
        <v>613000</v>
      </c>
      <c r="S3006" s="304"/>
      <c r="T3006" s="304">
        <f t="shared" si="143"/>
        <v>100000</v>
      </c>
      <c r="U3006" s="52"/>
      <c r="V3006" s="34"/>
      <c r="W3006" s="408"/>
    </row>
    <row r="3007" spans="1:23" ht="12.75" customHeight="1" x14ac:dyDescent="0.2">
      <c r="A3007" s="257">
        <v>2999</v>
      </c>
      <c r="B3007" s="44">
        <v>44599</v>
      </c>
      <c r="C3007" s="44">
        <f t="shared" si="141"/>
        <v>44599</v>
      </c>
      <c r="D3007" s="374">
        <v>261</v>
      </c>
      <c r="E3007" s="291" t="str">
        <f>IFERROR(VLOOKUP($D3007,'Clients-Live'!$A:$C,3,0),"")</f>
        <v>AMANIYO STELLA</v>
      </c>
      <c r="F3007" s="291">
        <f>IFERROR(INDEX(Disbursements!$D:$D,MATCH('Live Collections'!G3007,Disbursements!$C:$C,0)),"")</f>
        <v>2</v>
      </c>
      <c r="G3007" s="34">
        <v>429</v>
      </c>
      <c r="H3007" s="34">
        <v>4572</v>
      </c>
      <c r="I3007" s="34" t="s">
        <v>1359</v>
      </c>
      <c r="J3007" s="48"/>
      <c r="K3007" s="48"/>
      <c r="L3007" s="48"/>
      <c r="M3007" s="48"/>
      <c r="N3007" s="59"/>
      <c r="O3007" s="59"/>
      <c r="P3007" s="59">
        <v>25000</v>
      </c>
      <c r="Q3007" s="268">
        <f t="shared" si="142"/>
        <v>25000</v>
      </c>
      <c r="R3007" s="61">
        <f>IF(O3007=0,0,SUMIFS(Disbursements!$T:$T,Disbursements!$B:$B,'Live Collections'!D3007,Disbursements!$D:$D,'Live Collections'!F3007))</f>
        <v>0</v>
      </c>
      <c r="S3007" s="304">
        <f>IF(O3007&lt;=IF($O3007=0,0,SUMIFS(Disbursements!$W:$W,Disbursements!$B:$B,'Live Collections'!D2892,Disbursements!$D:$D,'Live Collections'!F2892)),O3007,IF($O3007=0,0,SUMIFS(Disbursements!$W:$W,Disbursements!$B:$B,'Live Collections'!D2892,Disbursements!$D:$D,'Live Collections'!F2892)))</f>
        <v>0</v>
      </c>
      <c r="T3007" s="304">
        <f t="shared" si="143"/>
        <v>0</v>
      </c>
      <c r="U3007" s="52"/>
      <c r="V3007" s="34"/>
      <c r="W3007" s="408"/>
    </row>
    <row r="3008" spans="1:23" ht="12.75" customHeight="1" x14ac:dyDescent="0.2">
      <c r="A3008" s="257">
        <v>2995</v>
      </c>
      <c r="B3008" s="44">
        <v>44599</v>
      </c>
      <c r="C3008" s="44">
        <f t="shared" si="141"/>
        <v>44599</v>
      </c>
      <c r="D3008" s="374">
        <v>266</v>
      </c>
      <c r="E3008" s="291" t="str">
        <f>IFERROR(VLOOKUP($D3008,'Clients-Live'!$A:$C,3,0),"")</f>
        <v>TAIBO AMANA</v>
      </c>
      <c r="F3008" s="291">
        <f>IFERROR(INDEX(Disbursements!$D:$D,MATCH('Live Collections'!G3008,Disbursements!$C:$C,0)),"")</f>
        <v>1</v>
      </c>
      <c r="G3008" s="34">
        <v>336</v>
      </c>
      <c r="H3008" s="34">
        <v>4582</v>
      </c>
      <c r="I3008" s="34" t="s">
        <v>1358</v>
      </c>
      <c r="J3008" s="48"/>
      <c r="K3008" s="48"/>
      <c r="L3008" s="48"/>
      <c r="M3008" s="48"/>
      <c r="N3008" s="59"/>
      <c r="O3008" s="59">
        <v>100000</v>
      </c>
      <c r="P3008" s="59"/>
      <c r="Q3008" s="268">
        <f t="shared" si="142"/>
        <v>100000</v>
      </c>
      <c r="R3008" s="61">
        <f>IF(O3008=0,0,SUMIFS(Disbursements!$T:$T,Disbursements!$B:$B,'Live Collections'!D3008,Disbursements!$D:$D,'Live Collections'!F3008))</f>
        <v>120000</v>
      </c>
      <c r="S3008" s="304">
        <f>IF(O3008&lt;=IF($O3008=0,0,SUMIFS(Disbursements!$W:$W,Disbursements!$B:$B,'Live Collections'!D2935,Disbursements!$D:$D,'Live Collections'!F2935)),O3008,IF($O3008=0,0,SUMIFS(Disbursements!$W:$W,Disbursements!$B:$B,'Live Collections'!D2935,Disbursements!$D:$D,'Live Collections'!F2935)))</f>
        <v>0</v>
      </c>
      <c r="T3008" s="304">
        <f t="shared" si="143"/>
        <v>100000</v>
      </c>
      <c r="U3008" s="52"/>
      <c r="V3008" s="34"/>
      <c r="W3008" s="408"/>
    </row>
    <row r="3009" spans="1:23" ht="12.75" customHeight="1" x14ac:dyDescent="0.2">
      <c r="A3009" s="257">
        <v>2993</v>
      </c>
      <c r="B3009" s="44">
        <v>44599</v>
      </c>
      <c r="C3009" s="44">
        <f t="shared" si="141"/>
        <v>44599</v>
      </c>
      <c r="D3009" s="374">
        <v>267</v>
      </c>
      <c r="E3009" s="291" t="str">
        <f>IFERROR(VLOOKUP($D3009,'Clients-Live'!$A:$C,3,0),"")</f>
        <v>KAMUSIRI JULIUS</v>
      </c>
      <c r="F3009" s="291">
        <f>IFERROR(INDEX(Disbursements!$D:$D,MATCH('Live Collections'!G3009,Disbursements!$C:$C,0)),"")</f>
        <v>1</v>
      </c>
      <c r="G3009" s="34">
        <v>346</v>
      </c>
      <c r="H3009" s="34">
        <v>4662</v>
      </c>
      <c r="I3009" s="34" t="s">
        <v>1357</v>
      </c>
      <c r="J3009" s="48"/>
      <c r="K3009" s="48"/>
      <c r="L3009" s="48"/>
      <c r="M3009" s="48"/>
      <c r="N3009" s="59"/>
      <c r="O3009" s="59">
        <v>25000</v>
      </c>
      <c r="P3009" s="59"/>
      <c r="Q3009" s="268">
        <f t="shared" si="142"/>
        <v>25000</v>
      </c>
      <c r="R3009" s="61">
        <f>IF(O3009=0,0,SUMIFS(Disbursements!$T:$T,Disbursements!$B:$B,'Live Collections'!D3009,Disbursements!$D:$D,'Live Collections'!F3009))</f>
        <v>83000</v>
      </c>
      <c r="S3009" s="304"/>
      <c r="T3009" s="304">
        <f t="shared" si="143"/>
        <v>25000</v>
      </c>
      <c r="U3009" s="52"/>
      <c r="V3009" s="34"/>
      <c r="W3009" s="408"/>
    </row>
    <row r="3010" spans="1:23" ht="12.75" customHeight="1" x14ac:dyDescent="0.2">
      <c r="A3010" s="257">
        <v>3004</v>
      </c>
      <c r="B3010" s="44">
        <v>44599</v>
      </c>
      <c r="C3010" s="44">
        <f t="shared" si="141"/>
        <v>44599</v>
      </c>
      <c r="D3010" s="374">
        <v>272</v>
      </c>
      <c r="E3010" s="291" t="str">
        <f>IFERROR(VLOOKUP($D3010,'Clients-Live'!$A:$C,3,0),"")</f>
        <v>AFEKU EMMANUEL</v>
      </c>
      <c r="F3010" s="291" t="str">
        <f>IFERROR(INDEX(Disbursements!$D:$D,MATCH('Live Collections'!G3010,Disbursements!$C:$C,0)),"")</f>
        <v/>
      </c>
      <c r="G3010" s="34"/>
      <c r="H3010" s="34">
        <v>4576</v>
      </c>
      <c r="I3010" s="34" t="s">
        <v>1359</v>
      </c>
      <c r="J3010" s="48"/>
      <c r="K3010" s="48"/>
      <c r="L3010" s="48"/>
      <c r="M3010" s="48"/>
      <c r="N3010" s="59">
        <v>10000</v>
      </c>
      <c r="O3010" s="59"/>
      <c r="P3010" s="59"/>
      <c r="Q3010" s="268">
        <f t="shared" si="142"/>
        <v>10000</v>
      </c>
      <c r="R3010" s="61">
        <f>IF(O3010=0,0,SUMIFS(Disbursements!$T:$T,Disbursements!$B:$B,'Live Collections'!D3010,Disbursements!$D:$D,'Live Collections'!F3010))</f>
        <v>0</v>
      </c>
      <c r="S3010" s="304">
        <f>IF(O3010&lt;=IF($O3010=0,0,SUMIFS(Disbursements!$W:$W,Disbursements!$B:$B,'Live Collections'!D2978,Disbursements!$D:$D,'Live Collections'!F2978)),O3010,IF($O3010=0,0,SUMIFS(Disbursements!$W:$W,Disbursements!$B:$B,'Live Collections'!D2978,Disbursements!$D:$D,'Live Collections'!F2978)))</f>
        <v>0</v>
      </c>
      <c r="T3010" s="304">
        <f t="shared" si="143"/>
        <v>0</v>
      </c>
      <c r="U3010" s="52"/>
      <c r="V3010" s="34"/>
      <c r="W3010" s="408"/>
    </row>
    <row r="3011" spans="1:23" ht="12.75" customHeight="1" x14ac:dyDescent="0.2">
      <c r="A3011" s="257">
        <v>3005</v>
      </c>
      <c r="B3011" s="44">
        <v>44599</v>
      </c>
      <c r="C3011" s="44">
        <f t="shared" ref="C3011:C3074" si="144">B3011</f>
        <v>44599</v>
      </c>
      <c r="D3011" s="374">
        <v>272</v>
      </c>
      <c r="E3011" s="291" t="str">
        <f>IFERROR(VLOOKUP($D3011,'Clients-Live'!$A:$C,3,0),"")</f>
        <v>AFEKU EMMANUEL</v>
      </c>
      <c r="F3011" s="291">
        <f>IFERROR(INDEX(Disbursements!$D:$D,MATCH('Live Collections'!G3011,Disbursements!$C:$C,0)),"")</f>
        <v>1</v>
      </c>
      <c r="G3011" s="34">
        <v>331</v>
      </c>
      <c r="H3011" s="34">
        <v>4575</v>
      </c>
      <c r="I3011" s="34" t="s">
        <v>1359</v>
      </c>
      <c r="J3011" s="48"/>
      <c r="K3011" s="48"/>
      <c r="L3011" s="48"/>
      <c r="M3011" s="48"/>
      <c r="N3011" s="59"/>
      <c r="O3011" s="59">
        <v>150000</v>
      </c>
      <c r="P3011" s="59"/>
      <c r="Q3011" s="268">
        <f t="shared" si="142"/>
        <v>150000</v>
      </c>
      <c r="R3011" s="61">
        <f>IF(O3011=0,0,SUMIFS(Disbursements!$T:$T,Disbursements!$B:$B,'Live Collections'!D3011,Disbursements!$D:$D,'Live Collections'!F3011))</f>
        <v>120000</v>
      </c>
      <c r="S3011" s="304">
        <f>IF(O3011&lt;=IF($O3011=0,0,SUMIFS(Disbursements!$W:$W,Disbursements!$B:$B,'Live Collections'!D2979,Disbursements!$D:$D,'Live Collections'!F2979)),O3011,IF($O3011=0,0,SUMIFS(Disbursements!$W:$W,Disbursements!$B:$B,'Live Collections'!D2979,Disbursements!$D:$D,'Live Collections'!F2979)))</f>
        <v>8750</v>
      </c>
      <c r="T3011" s="304">
        <f t="shared" si="143"/>
        <v>141250</v>
      </c>
      <c r="U3011" s="52"/>
      <c r="V3011" s="34"/>
      <c r="W3011" s="408"/>
    </row>
    <row r="3012" spans="1:23" ht="12.75" customHeight="1" x14ac:dyDescent="0.2">
      <c r="A3012" s="257">
        <v>3009</v>
      </c>
      <c r="B3012" s="44">
        <v>44599</v>
      </c>
      <c r="C3012" s="44">
        <f t="shared" si="144"/>
        <v>44599</v>
      </c>
      <c r="D3012" s="374">
        <v>278</v>
      </c>
      <c r="E3012" s="291" t="str">
        <f>IFERROR(VLOOKUP($D3012,'Clients-Live'!$A:$C,3,0),"")</f>
        <v>AATE SUZAN</v>
      </c>
      <c r="F3012" s="291">
        <f>IFERROR(INDEX(Disbursements!$D:$D,MATCH('Live Collections'!G3012,Disbursements!$C:$C,0)),"")</f>
        <v>1</v>
      </c>
      <c r="G3012" s="34">
        <v>308</v>
      </c>
      <c r="H3012" s="34">
        <v>4569</v>
      </c>
      <c r="I3012" s="34" t="s">
        <v>1359</v>
      </c>
      <c r="J3012" s="48"/>
      <c r="K3012" s="48"/>
      <c r="L3012" s="48"/>
      <c r="M3012" s="48"/>
      <c r="N3012" s="59"/>
      <c r="O3012" s="59">
        <v>60000</v>
      </c>
      <c r="P3012" s="59"/>
      <c r="Q3012" s="268">
        <f t="shared" si="142"/>
        <v>60000</v>
      </c>
      <c r="R3012" s="61">
        <f>IF(O3012=0,0,SUMIFS(Disbursements!$T:$T,Disbursements!$B:$B,'Live Collections'!D3012,Disbursements!$D:$D,'Live Collections'!F3012))</f>
        <v>60000</v>
      </c>
      <c r="S3012" s="304"/>
      <c r="T3012" s="304">
        <f t="shared" si="143"/>
        <v>60000</v>
      </c>
      <c r="U3012" s="52"/>
      <c r="V3012" s="34"/>
      <c r="W3012" s="408"/>
    </row>
    <row r="3013" spans="1:23" ht="12.75" customHeight="1" x14ac:dyDescent="0.2">
      <c r="A3013" s="257">
        <v>3017</v>
      </c>
      <c r="B3013" s="44">
        <v>44599</v>
      </c>
      <c r="C3013" s="44">
        <f t="shared" si="144"/>
        <v>44599</v>
      </c>
      <c r="D3013" s="374">
        <v>281</v>
      </c>
      <c r="E3013" s="291" t="str">
        <f>IFERROR(VLOOKUP($D3013,'Clients-Live'!$A:$C,3,0),"")</f>
        <v>BAKO ZUBEDA</v>
      </c>
      <c r="F3013" s="291">
        <f>IFERROR(INDEX(Disbursements!$D:$D,MATCH('Live Collections'!G3013,Disbursements!$C:$C,0)),"")</f>
        <v>1</v>
      </c>
      <c r="G3013" s="34">
        <v>406</v>
      </c>
      <c r="H3013" s="34">
        <v>4489</v>
      </c>
      <c r="I3013" s="34" t="s">
        <v>1359</v>
      </c>
      <c r="J3013" s="48"/>
      <c r="K3013" s="48"/>
      <c r="L3013" s="48"/>
      <c r="M3013" s="48"/>
      <c r="N3013" s="59"/>
      <c r="O3013" s="59">
        <v>27000</v>
      </c>
      <c r="P3013" s="59"/>
      <c r="Q3013" s="268">
        <f t="shared" si="142"/>
        <v>27000</v>
      </c>
      <c r="R3013" s="61">
        <f>IF(O3013=0,0,SUMIFS(Disbursements!$T:$T,Disbursements!$B:$B,'Live Collections'!D3013,Disbursements!$D:$D,'Live Collections'!F3013))</f>
        <v>28000</v>
      </c>
      <c r="S3013" s="304">
        <f>IF(O3013&lt;=IF($O3013=0,0,SUMIFS(Disbursements!$W:$W,Disbursements!$B:$B,'Live Collections'!D3010,Disbursements!$D:$D,'Live Collections'!F3010)),O3013,IF($O3013=0,0,SUMIFS(Disbursements!$W:$W,Disbursements!$B:$B,'Live Collections'!D3010,Disbursements!$D:$D,'Live Collections'!F3010)))</f>
        <v>0</v>
      </c>
      <c r="T3013" s="304">
        <f t="shared" si="143"/>
        <v>27000</v>
      </c>
      <c r="U3013" s="52"/>
      <c r="V3013" s="34"/>
      <c r="W3013" s="408"/>
    </row>
    <row r="3014" spans="1:23" ht="12.75" customHeight="1" x14ac:dyDescent="0.2">
      <c r="A3014" s="257">
        <v>2997</v>
      </c>
      <c r="B3014" s="44">
        <v>44599</v>
      </c>
      <c r="C3014" s="44">
        <f t="shared" si="144"/>
        <v>44599</v>
      </c>
      <c r="D3014" s="374">
        <v>284</v>
      </c>
      <c r="E3014" s="291" t="str">
        <f>IFERROR(VLOOKUP($D3014,'Clients-Live'!$A:$C,3,0),"")</f>
        <v>MALISH WAWASON</v>
      </c>
      <c r="F3014" s="291">
        <f>IFERROR(INDEX(Disbursements!$D:$D,MATCH('Live Collections'!G3014,Disbursements!$C:$C,0)),"")</f>
        <v>1</v>
      </c>
      <c r="G3014" s="34">
        <v>338</v>
      </c>
      <c r="H3014" s="34">
        <v>4660</v>
      </c>
      <c r="I3014" s="34" t="s">
        <v>1358</v>
      </c>
      <c r="J3014" s="48"/>
      <c r="K3014" s="48"/>
      <c r="L3014" s="48"/>
      <c r="M3014" s="48"/>
      <c r="N3014" s="59"/>
      <c r="O3014" s="59">
        <v>400000</v>
      </c>
      <c r="P3014" s="59"/>
      <c r="Q3014" s="268">
        <f t="shared" si="142"/>
        <v>400000</v>
      </c>
      <c r="R3014" s="61">
        <f>IF(O3014=0,0,SUMIFS(Disbursements!$T:$T,Disbursements!$B:$B,'Live Collections'!D3014,Disbursements!$D:$D,'Live Collections'!F3014))</f>
        <v>1150000</v>
      </c>
      <c r="S3014" s="304">
        <f>IF(O3014&lt;=IF($O3014=0,0,SUMIFS(Disbursements!$W:$W,Disbursements!$B:$B,'Live Collections'!D3021,Disbursements!$D:$D,'Live Collections'!F3021)),O3014,IF($O3014=0,0,SUMIFS(Disbursements!$W:$W,Disbursements!$B:$B,'Live Collections'!D3021,Disbursements!$D:$D,'Live Collections'!F3021)))</f>
        <v>225000</v>
      </c>
      <c r="T3014" s="304">
        <f t="shared" si="143"/>
        <v>175000</v>
      </c>
      <c r="U3014" s="52"/>
      <c r="V3014" s="34"/>
      <c r="W3014" s="408"/>
    </row>
    <row r="3015" spans="1:23" ht="12.75" customHeight="1" x14ac:dyDescent="0.2">
      <c r="A3015" s="257">
        <v>3011</v>
      </c>
      <c r="B3015" s="44">
        <v>44599</v>
      </c>
      <c r="C3015" s="44">
        <f t="shared" si="144"/>
        <v>44599</v>
      </c>
      <c r="D3015" s="374">
        <v>300</v>
      </c>
      <c r="E3015" s="291" t="str">
        <f>IFERROR(VLOOKUP($D3015,'Clients-Live'!$A:$C,3,0),"")</f>
        <v>AYA ZAINABU</v>
      </c>
      <c r="F3015" s="291">
        <f>IFERROR(INDEX(Disbursements!$D:$D,MATCH('Live Collections'!G3015,Disbursements!$C:$C,0)),"")</f>
        <v>1</v>
      </c>
      <c r="G3015" s="34">
        <v>364</v>
      </c>
      <c r="H3015" s="34">
        <v>4497</v>
      </c>
      <c r="I3015" s="34" t="s">
        <v>1358</v>
      </c>
      <c r="J3015" s="48"/>
      <c r="K3015" s="48"/>
      <c r="L3015" s="48"/>
      <c r="M3015" s="48"/>
      <c r="N3015" s="59"/>
      <c r="O3015" s="59">
        <v>160000</v>
      </c>
      <c r="P3015" s="59"/>
      <c r="Q3015" s="268">
        <f t="shared" si="142"/>
        <v>160000</v>
      </c>
      <c r="R3015" s="61">
        <f>IF(O3015=0,0,SUMIFS(Disbursements!$T:$T,Disbursements!$B:$B,'Live Collections'!D3015,Disbursements!$D:$D,'Live Collections'!F3015))</f>
        <v>150000</v>
      </c>
      <c r="S3015" s="304">
        <f>IF(O3015&lt;=IF($O3015=0,0,SUMIFS(Disbursements!$W:$W,Disbursements!$B:$B,'Live Collections'!D3078,Disbursements!$D:$D,'Live Collections'!F3078)),O3015,IF($O3015=0,0,SUMIFS(Disbursements!$W:$W,Disbursements!$B:$B,'Live Collections'!D3078,Disbursements!$D:$D,'Live Collections'!F3078)))</f>
        <v>100000</v>
      </c>
      <c r="T3015" s="304">
        <f t="shared" si="143"/>
        <v>60000</v>
      </c>
      <c r="U3015" s="52"/>
      <c r="V3015" s="34"/>
      <c r="W3015" s="408"/>
    </row>
    <row r="3016" spans="1:23" ht="12.75" customHeight="1" x14ac:dyDescent="0.2">
      <c r="A3016" s="257">
        <v>3015</v>
      </c>
      <c r="B3016" s="44">
        <v>44599</v>
      </c>
      <c r="C3016" s="44">
        <f t="shared" si="144"/>
        <v>44599</v>
      </c>
      <c r="D3016" s="374">
        <v>309</v>
      </c>
      <c r="E3016" s="291" t="str">
        <f>IFERROR(VLOOKUP($D3016,'Clients-Live'!$A:$C,3,0),"")</f>
        <v>NAMBOZO HALIMA</v>
      </c>
      <c r="F3016" s="291">
        <f>IFERROR(INDEX(Disbursements!$D:$D,MATCH('Live Collections'!G3016,Disbursements!$C:$C,0)),"")</f>
        <v>1</v>
      </c>
      <c r="G3016" s="34">
        <v>391</v>
      </c>
      <c r="H3016" s="34">
        <v>4491</v>
      </c>
      <c r="I3016" s="34" t="s">
        <v>1357</v>
      </c>
      <c r="J3016" s="48"/>
      <c r="K3016" s="48"/>
      <c r="L3016" s="48"/>
      <c r="M3016" s="48"/>
      <c r="N3016" s="59"/>
      <c r="O3016" s="59">
        <v>80000</v>
      </c>
      <c r="P3016" s="59"/>
      <c r="Q3016" s="268">
        <f t="shared" si="142"/>
        <v>80000</v>
      </c>
      <c r="R3016" s="61">
        <f>IF(O3016=0,0,SUMIFS(Disbursements!$T:$T,Disbursements!$B:$B,'Live Collections'!D3016,Disbursements!$D:$D,'Live Collections'!F3016))</f>
        <v>79000</v>
      </c>
      <c r="S3016" s="304">
        <f>IF(O3016&lt;=IF($O3016=0,0,SUMIFS(Disbursements!$W:$W,Disbursements!$B:$B,'Live Collections'!D3117,Disbursements!$D:$D,'Live Collections'!F3117)),O3016,IF($O3016=0,0,SUMIFS(Disbursements!$W:$W,Disbursements!$B:$B,'Live Collections'!D3117,Disbursements!$D:$D,'Live Collections'!F3117)))</f>
        <v>75000</v>
      </c>
      <c r="T3016" s="304">
        <f t="shared" si="143"/>
        <v>5000</v>
      </c>
      <c r="U3016" s="52"/>
      <c r="V3016" s="34"/>
      <c r="W3016" s="408"/>
    </row>
    <row r="3017" spans="1:23" ht="12.75" customHeight="1" x14ac:dyDescent="0.2">
      <c r="A3017" s="257">
        <v>3021</v>
      </c>
      <c r="B3017" s="44">
        <v>44600</v>
      </c>
      <c r="C3017" s="44">
        <f t="shared" si="144"/>
        <v>44600</v>
      </c>
      <c r="D3017" s="374">
        <v>32</v>
      </c>
      <c r="E3017" s="291" t="str">
        <f>IFERROR(VLOOKUP($D3017,'Clients-Live'!$A:$C,3,0),"")</f>
        <v>BAKO LINA ESERU</v>
      </c>
      <c r="F3017" s="291">
        <f>IFERROR(INDEX(Disbursements!$D:$D,MATCH('Live Collections'!G3017,Disbursements!$C:$C,0)),"")</f>
        <v>2</v>
      </c>
      <c r="G3017" s="34">
        <v>258</v>
      </c>
      <c r="H3017" s="34">
        <v>4672</v>
      </c>
      <c r="I3017" s="34" t="s">
        <v>1359</v>
      </c>
      <c r="J3017" s="48"/>
      <c r="K3017" s="48"/>
      <c r="L3017" s="48"/>
      <c r="M3017" s="48"/>
      <c r="N3017" s="59"/>
      <c r="O3017" s="59">
        <v>150000</v>
      </c>
      <c r="P3017" s="59"/>
      <c r="Q3017" s="268">
        <f t="shared" si="142"/>
        <v>150000</v>
      </c>
      <c r="R3017" s="61">
        <f>IF(O3017=0,0,SUMIFS(Disbursements!$T:$T,Disbursements!$B:$B,'Live Collections'!D3017,Disbursements!$D:$D,'Live Collections'!F3017))</f>
        <v>150000</v>
      </c>
      <c r="S3017" s="304">
        <f>IF(O3017&lt;=IF($O3017=0,0,SUMIFS(Disbursements!$W:$W,Disbursements!$B:$B,'Live Collections'!D374,Disbursements!$D:$D,'Live Collections'!F374)),O3017,IF($O3017=0,0,SUMIFS(Disbursements!$W:$W,Disbursements!$B:$B,'Live Collections'!D374,Disbursements!$D:$D,'Live Collections'!F374)))</f>
        <v>25000</v>
      </c>
      <c r="T3017" s="304">
        <f t="shared" si="143"/>
        <v>125000</v>
      </c>
      <c r="U3017" s="52"/>
      <c r="V3017" s="34"/>
      <c r="W3017" s="408"/>
    </row>
    <row r="3018" spans="1:23" ht="12.75" customHeight="1" x14ac:dyDescent="0.2">
      <c r="A3018" s="257">
        <v>3025</v>
      </c>
      <c r="B3018" s="44">
        <v>44600</v>
      </c>
      <c r="C3018" s="44">
        <f t="shared" si="144"/>
        <v>44600</v>
      </c>
      <c r="D3018" s="374">
        <v>52</v>
      </c>
      <c r="E3018" s="291" t="str">
        <f>IFERROR(VLOOKUP($D3018,'Clients-Live'!$A:$C,3,0),"")</f>
        <v>EDEZU PEACE IRENE</v>
      </c>
      <c r="F3018" s="291">
        <f>IFERROR(INDEX(Disbursements!$D:$D,MATCH('Live Collections'!G3018,Disbursements!$C:$C,0)),"")</f>
        <v>2</v>
      </c>
      <c r="G3018" s="34">
        <v>275</v>
      </c>
      <c r="H3018" s="34">
        <v>4668</v>
      </c>
      <c r="I3018" s="34" t="s">
        <v>1357</v>
      </c>
      <c r="J3018" s="48"/>
      <c r="K3018" s="48"/>
      <c r="L3018" s="48"/>
      <c r="M3018" s="48"/>
      <c r="N3018" s="59"/>
      <c r="O3018" s="59">
        <v>40000</v>
      </c>
      <c r="P3018" s="59"/>
      <c r="Q3018" s="268">
        <f t="shared" si="142"/>
        <v>40000</v>
      </c>
      <c r="R3018" s="61">
        <f>IF(O3018=0,0,SUMIFS(Disbursements!$T:$T,Disbursements!$B:$B,'Live Collections'!D3018,Disbursements!$D:$D,'Live Collections'!F3018))</f>
        <v>150000</v>
      </c>
      <c r="S3018" s="64">
        <v>5000</v>
      </c>
      <c r="T3018" s="304">
        <f t="shared" si="143"/>
        <v>35000</v>
      </c>
      <c r="U3018" s="52"/>
      <c r="V3018" s="34"/>
      <c r="W3018" s="408" t="s">
        <v>2086</v>
      </c>
    </row>
    <row r="3019" spans="1:23" ht="12.75" customHeight="1" x14ac:dyDescent="0.2">
      <c r="A3019" s="257">
        <v>3024</v>
      </c>
      <c r="B3019" s="44">
        <v>44600</v>
      </c>
      <c r="C3019" s="44">
        <f t="shared" si="144"/>
        <v>44600</v>
      </c>
      <c r="D3019" s="374">
        <v>54</v>
      </c>
      <c r="E3019" s="291" t="str">
        <f>IFERROR(VLOOKUP($D3019,'Clients-Live'!$A:$C,3,0),"")</f>
        <v>MANENO ANIFA</v>
      </c>
      <c r="F3019" s="291">
        <f>IFERROR(INDEX(Disbursements!$D:$D,MATCH('Live Collections'!G3019,Disbursements!$C:$C,0)),"")</f>
        <v>2</v>
      </c>
      <c r="G3019" s="34">
        <v>195</v>
      </c>
      <c r="H3019" s="34">
        <v>4667</v>
      </c>
      <c r="I3019" s="34" t="s">
        <v>1357</v>
      </c>
      <c r="J3019" s="48"/>
      <c r="K3019" s="48"/>
      <c r="L3019" s="48"/>
      <c r="M3019" s="48"/>
      <c r="N3019" s="59"/>
      <c r="O3019" s="59">
        <v>29000</v>
      </c>
      <c r="P3019" s="59"/>
      <c r="Q3019" s="268">
        <f t="shared" si="142"/>
        <v>29000</v>
      </c>
      <c r="R3019" s="61">
        <f>IF(O3019=0,0,SUMIFS(Disbursements!$T:$T,Disbursements!$B:$B,'Live Collections'!D3019,Disbursements!$D:$D,'Live Collections'!F3019))</f>
        <v>200000</v>
      </c>
      <c r="S3019" s="304">
        <f>IF(O3019&lt;=IF($O3019=0,0,SUMIFS(Disbursements!$W:$W,Disbursements!$B:$B,'Live Collections'!D645,Disbursements!$D:$D,'Live Collections'!F645)),O3019,IF($O3019=0,0,SUMIFS(Disbursements!$W:$W,Disbursements!$B:$B,'Live Collections'!D645,Disbursements!$D:$D,'Live Collections'!F645)))</f>
        <v>29000</v>
      </c>
      <c r="T3019" s="304">
        <f t="shared" si="143"/>
        <v>0</v>
      </c>
      <c r="U3019" s="52"/>
      <c r="V3019" s="34"/>
      <c r="W3019" s="408"/>
    </row>
    <row r="3020" spans="1:23" ht="12.75" customHeight="1" x14ac:dyDescent="0.2">
      <c r="A3020" s="257">
        <v>3019</v>
      </c>
      <c r="B3020" s="44">
        <v>44600</v>
      </c>
      <c r="C3020" s="44">
        <f t="shared" si="144"/>
        <v>44600</v>
      </c>
      <c r="D3020" s="374">
        <v>141</v>
      </c>
      <c r="E3020" s="291" t="str">
        <f>IFERROR(VLOOKUP($D3020,'Clients-Live'!$A:$C,3,0),"")</f>
        <v>DRAMANI WILFRED</v>
      </c>
      <c r="F3020" s="291">
        <f>IFERROR(INDEX(Disbursements!$D:$D,MATCH('Live Collections'!G3020,Disbursements!$C:$C,0)),"")</f>
        <v>2</v>
      </c>
      <c r="G3020" s="34">
        <v>207</v>
      </c>
      <c r="H3020" s="34">
        <v>4671</v>
      </c>
      <c r="I3020" s="34" t="s">
        <v>1359</v>
      </c>
      <c r="J3020" s="48"/>
      <c r="K3020" s="48"/>
      <c r="L3020" s="48"/>
      <c r="M3020" s="48"/>
      <c r="N3020" s="59"/>
      <c r="O3020" s="59">
        <v>8000</v>
      </c>
      <c r="P3020" s="59"/>
      <c r="Q3020" s="268">
        <f t="shared" si="142"/>
        <v>8000</v>
      </c>
      <c r="R3020" s="61">
        <f>IF(O3020=0,0,SUMIFS(Disbursements!$T:$T,Disbursements!$B:$B,'Live Collections'!D3020,Disbursements!$D:$D,'Live Collections'!F3020))</f>
        <v>175000</v>
      </c>
      <c r="S3020" s="304"/>
      <c r="T3020" s="304">
        <f t="shared" si="143"/>
        <v>8000</v>
      </c>
      <c r="U3020" s="52"/>
      <c r="V3020" s="34"/>
      <c r="W3020" s="408"/>
    </row>
    <row r="3021" spans="1:23" ht="12.75" customHeight="1" x14ac:dyDescent="0.2">
      <c r="A3021" s="257">
        <v>3023</v>
      </c>
      <c r="B3021" s="44">
        <v>44600</v>
      </c>
      <c r="C3021" s="44">
        <f t="shared" si="144"/>
        <v>44600</v>
      </c>
      <c r="D3021" s="374">
        <v>248</v>
      </c>
      <c r="E3021" s="291" t="str">
        <f>IFERROR(VLOOKUP($D3021,'Clients-Live'!$A:$C,3,0),"")</f>
        <v>LETARU GLORIA</v>
      </c>
      <c r="F3021" s="291">
        <f>IFERROR(INDEX(Disbursements!$D:$D,MATCH('Live Collections'!G3021,Disbursements!$C:$C,0)),"")</f>
        <v>1</v>
      </c>
      <c r="G3021" s="34">
        <v>268</v>
      </c>
      <c r="H3021" s="34">
        <v>4669</v>
      </c>
      <c r="I3021" s="34" t="s">
        <v>1359</v>
      </c>
      <c r="J3021" s="48"/>
      <c r="K3021" s="48"/>
      <c r="L3021" s="48"/>
      <c r="M3021" s="48"/>
      <c r="N3021" s="59"/>
      <c r="O3021" s="59">
        <v>500000</v>
      </c>
      <c r="P3021" s="59"/>
      <c r="Q3021" s="268">
        <f t="shared" si="142"/>
        <v>500000</v>
      </c>
      <c r="R3021" s="61">
        <f>IF(O3021=0,0,SUMIFS(Disbursements!$T:$T,Disbursements!$B:$B,'Live Collections'!D3021,Disbursements!$D:$D,'Live Collections'!F3021))</f>
        <v>1225000</v>
      </c>
      <c r="S3021" s="304">
        <f>IF(O3021&lt;=IF($O3021=0,0,SUMIFS(Disbursements!$W:$W,Disbursements!$B:$B,'Live Collections'!D2804,Disbursements!$D:$D,'Live Collections'!F2804)),O3021,IF($O3021=0,0,SUMIFS(Disbursements!$W:$W,Disbursements!$B:$B,'Live Collections'!D2804,Disbursements!$D:$D,'Live Collections'!F2804)))</f>
        <v>75000</v>
      </c>
      <c r="T3021" s="304">
        <f t="shared" si="143"/>
        <v>425000</v>
      </c>
      <c r="U3021" s="52"/>
      <c r="V3021" s="34"/>
      <c r="W3021" s="408"/>
    </row>
    <row r="3022" spans="1:23" ht="12.75" customHeight="1" x14ac:dyDescent="0.2">
      <c r="A3022" s="257">
        <v>3026</v>
      </c>
      <c r="B3022" s="44">
        <v>44600</v>
      </c>
      <c r="C3022" s="44">
        <f t="shared" si="144"/>
        <v>44600</v>
      </c>
      <c r="D3022" s="374">
        <v>263</v>
      </c>
      <c r="E3022" s="291" t="str">
        <f>IFERROR(VLOOKUP($D3022,'Clients-Live'!$A:$C,3,0),"")</f>
        <v>DATA SAFI DUIKI</v>
      </c>
      <c r="F3022" s="291">
        <f>IFERROR(INDEX(Disbursements!$D:$D,MATCH('Live Collections'!G3022,Disbursements!$C:$C,0)),"")</f>
        <v>1</v>
      </c>
      <c r="G3022" s="34">
        <v>307</v>
      </c>
      <c r="H3022" s="34">
        <v>4665</v>
      </c>
      <c r="I3022" s="34" t="s">
        <v>1357</v>
      </c>
      <c r="J3022" s="48"/>
      <c r="K3022" s="48"/>
      <c r="L3022" s="48"/>
      <c r="M3022" s="48"/>
      <c r="N3022" s="59"/>
      <c r="O3022" s="59">
        <v>150000</v>
      </c>
      <c r="P3022" s="59"/>
      <c r="Q3022" s="268">
        <f t="shared" si="142"/>
        <v>150000</v>
      </c>
      <c r="R3022" s="61">
        <f>IF(O3022=0,0,SUMIFS(Disbursements!$T:$T,Disbursements!$B:$B,'Live Collections'!D3022,Disbursements!$D:$D,'Live Collections'!F3022))</f>
        <v>575000</v>
      </c>
      <c r="S3022" s="304">
        <f>IF(O3022&lt;=IF($O3022=0,0,SUMIFS(Disbursements!$W:$W,Disbursements!$B:$B,'Live Collections'!D2905,Disbursements!$D:$D,'Live Collections'!F2905)),O3022,IF($O3022=0,0,SUMIFS(Disbursements!$W:$W,Disbursements!$B:$B,'Live Collections'!D2905,Disbursements!$D:$D,'Live Collections'!F2905)))</f>
        <v>150000</v>
      </c>
      <c r="T3022" s="304">
        <f t="shared" si="143"/>
        <v>0</v>
      </c>
      <c r="U3022" s="52"/>
      <c r="V3022" s="34"/>
      <c r="W3022" s="408"/>
    </row>
    <row r="3023" spans="1:23" ht="12.75" customHeight="1" x14ac:dyDescent="0.2">
      <c r="A3023" s="257">
        <v>3027</v>
      </c>
      <c r="B3023" s="44">
        <v>44600</v>
      </c>
      <c r="C3023" s="44">
        <f t="shared" si="144"/>
        <v>44600</v>
      </c>
      <c r="D3023" s="374">
        <v>263</v>
      </c>
      <c r="E3023" s="291" t="str">
        <f>IFERROR(VLOOKUP($D3023,'Clients-Live'!$A:$C,3,0),"")</f>
        <v>DATA SAFI DUIKI</v>
      </c>
      <c r="F3023" s="291">
        <f>IFERROR(INDEX(Disbursements!$D:$D,MATCH('Live Collections'!G3023,Disbursements!$C:$C,0)),"")</f>
        <v>1</v>
      </c>
      <c r="G3023" s="34">
        <v>307</v>
      </c>
      <c r="H3023" s="34">
        <v>777</v>
      </c>
      <c r="I3023" s="34" t="s">
        <v>1357</v>
      </c>
      <c r="J3023" s="48"/>
      <c r="K3023" s="48"/>
      <c r="L3023" s="48"/>
      <c r="M3023" s="48"/>
      <c r="N3023" s="59"/>
      <c r="O3023" s="59"/>
      <c r="P3023" s="59">
        <v>-150000</v>
      </c>
      <c r="Q3023" s="268">
        <f t="shared" si="142"/>
        <v>-150000</v>
      </c>
      <c r="R3023" s="61">
        <f>IF(O3023=0,0,SUMIFS(Disbursements!$T:$T,Disbursements!$B:$B,'Live Collections'!D3023,Disbursements!$D:$D,'Live Collections'!F3023))</f>
        <v>0</v>
      </c>
      <c r="S3023" s="304">
        <f>IF(O3023&lt;=IF($O3023=0,0,SUMIFS(Disbursements!$W:$W,Disbursements!$B:$B,'Live Collections'!D2906,Disbursements!$D:$D,'Live Collections'!F2906)),O3023,IF($O3023=0,0,SUMIFS(Disbursements!$W:$W,Disbursements!$B:$B,'Live Collections'!D2906,Disbursements!$D:$D,'Live Collections'!F2906)))</f>
        <v>0</v>
      </c>
      <c r="T3023" s="304">
        <f t="shared" si="143"/>
        <v>0</v>
      </c>
      <c r="U3023" s="52"/>
      <c r="V3023" s="34"/>
      <c r="W3023" s="408"/>
    </row>
    <row r="3024" spans="1:23" ht="12.75" customHeight="1" x14ac:dyDescent="0.2">
      <c r="A3024" s="257">
        <v>3028</v>
      </c>
      <c r="B3024" s="44">
        <v>44600</v>
      </c>
      <c r="C3024" s="44">
        <f t="shared" si="144"/>
        <v>44600</v>
      </c>
      <c r="D3024" s="374">
        <v>263</v>
      </c>
      <c r="E3024" s="291" t="str">
        <f>IFERROR(VLOOKUP($D3024,'Clients-Live'!$A:$C,3,0),"")</f>
        <v>DATA SAFI DUIKI</v>
      </c>
      <c r="F3024" s="291" t="str">
        <f>IFERROR(INDEX(Disbursements!$D:$D,MATCH('Live Collections'!G3024,Disbursements!$C:$C,0)),"")</f>
        <v/>
      </c>
      <c r="G3024" s="34"/>
      <c r="H3024" s="34">
        <v>4664</v>
      </c>
      <c r="I3024" s="34" t="s">
        <v>1357</v>
      </c>
      <c r="J3024" s="48"/>
      <c r="K3024" s="48">
        <v>5000</v>
      </c>
      <c r="L3024" s="48"/>
      <c r="M3024" s="48"/>
      <c r="N3024" s="59"/>
      <c r="O3024" s="59"/>
      <c r="P3024" s="59"/>
      <c r="Q3024" s="268">
        <f t="shared" si="142"/>
        <v>5000</v>
      </c>
      <c r="R3024" s="61">
        <f>IF(O3024=0,0,SUMIFS(Disbursements!$T:$T,Disbursements!$B:$B,'Live Collections'!D3024,Disbursements!$D:$D,'Live Collections'!F3024))</f>
        <v>0</v>
      </c>
      <c r="S3024" s="304">
        <f>IF(O3024&lt;=IF($O3024=0,0,SUMIFS(Disbursements!$W:$W,Disbursements!$B:$B,'Live Collections'!D2907,Disbursements!$D:$D,'Live Collections'!F2907)),O3024,IF($O3024=0,0,SUMIFS(Disbursements!$W:$W,Disbursements!$B:$B,'Live Collections'!D2907,Disbursements!$D:$D,'Live Collections'!F2907)))</f>
        <v>0</v>
      </c>
      <c r="T3024" s="304">
        <f t="shared" si="143"/>
        <v>0</v>
      </c>
      <c r="U3024" s="52"/>
      <c r="V3024" s="34"/>
      <c r="W3024" s="408"/>
    </row>
    <row r="3025" spans="1:23" ht="12.75" customHeight="1" x14ac:dyDescent="0.2">
      <c r="A3025" s="257">
        <v>3029</v>
      </c>
      <c r="B3025" s="44">
        <v>44600</v>
      </c>
      <c r="C3025" s="44">
        <f t="shared" si="144"/>
        <v>44600</v>
      </c>
      <c r="D3025" s="374">
        <v>289</v>
      </c>
      <c r="E3025" s="291" t="str">
        <f>IFERROR(VLOOKUP($D3025,'Clients-Live'!$A:$C,3,0),"")</f>
        <v>NAUME NIGHT</v>
      </c>
      <c r="F3025" s="291">
        <f>IFERROR(INDEX(Disbursements!$D:$D,MATCH('Live Collections'!G3025,Disbursements!$C:$C,0)),"")</f>
        <v>1</v>
      </c>
      <c r="G3025" s="34">
        <v>353</v>
      </c>
      <c r="H3025" s="34">
        <v>4666</v>
      </c>
      <c r="I3025" s="34" t="s">
        <v>1357</v>
      </c>
      <c r="J3025" s="48"/>
      <c r="K3025" s="48"/>
      <c r="L3025" s="48"/>
      <c r="M3025" s="48"/>
      <c r="N3025" s="59"/>
      <c r="O3025" s="59">
        <v>150000</v>
      </c>
      <c r="P3025" s="59"/>
      <c r="Q3025" s="268">
        <f t="shared" si="142"/>
        <v>150000</v>
      </c>
      <c r="R3025" s="61">
        <f>IF(O3025=0,0,SUMIFS(Disbursements!$T:$T,Disbursements!$B:$B,'Live Collections'!D3025,Disbursements!$D:$D,'Live Collections'!F3025))</f>
        <v>150000</v>
      </c>
      <c r="S3025" s="304">
        <f>IF(O3025&lt;=IF($O3025=0,0,SUMIFS(Disbursements!$W:$W,Disbursements!$B:$B,'Live Collections'!D3045,Disbursements!$D:$D,'Live Collections'!F3045)),O3025,IF($O3025=0,0,SUMIFS(Disbursements!$W:$W,Disbursements!$B:$B,'Live Collections'!D3045,Disbursements!$D:$D,'Live Collections'!F3045)))</f>
        <v>10333.333333333328</v>
      </c>
      <c r="T3025" s="304">
        <f t="shared" si="143"/>
        <v>139666.66666666669</v>
      </c>
      <c r="U3025" s="52"/>
      <c r="V3025" s="34"/>
      <c r="W3025" s="408"/>
    </row>
    <row r="3026" spans="1:23" ht="12.75" customHeight="1" x14ac:dyDescent="0.2">
      <c r="A3026" s="257">
        <v>3022</v>
      </c>
      <c r="B3026" s="44">
        <v>44600</v>
      </c>
      <c r="C3026" s="44">
        <f t="shared" si="144"/>
        <v>44600</v>
      </c>
      <c r="D3026" s="374">
        <v>308</v>
      </c>
      <c r="E3026" s="291" t="str">
        <f>IFERROR(VLOOKUP($D3026,'Clients-Live'!$A:$C,3,0),"")</f>
        <v>AYILA CHRISTOPHER</v>
      </c>
      <c r="F3026" s="291">
        <f>IFERROR(INDEX(Disbursements!$D:$D,MATCH('Live Collections'!G3026,Disbursements!$C:$C,0)),"")</f>
        <v>1</v>
      </c>
      <c r="G3026" s="34">
        <v>390</v>
      </c>
      <c r="H3026" s="34">
        <v>4670</v>
      </c>
      <c r="I3026" s="34" t="s">
        <v>1357</v>
      </c>
      <c r="J3026" s="48"/>
      <c r="K3026" s="48"/>
      <c r="L3026" s="48"/>
      <c r="M3026" s="48"/>
      <c r="N3026" s="59"/>
      <c r="O3026" s="59">
        <v>500000</v>
      </c>
      <c r="P3026" s="59"/>
      <c r="Q3026" s="268">
        <f t="shared" si="142"/>
        <v>500000</v>
      </c>
      <c r="R3026" s="61">
        <f>IF(O3026=0,0,SUMIFS(Disbursements!$T:$T,Disbursements!$B:$B,'Live Collections'!D3026,Disbursements!$D:$D,'Live Collections'!F3026))</f>
        <v>858000</v>
      </c>
      <c r="S3026" s="304">
        <f>IF(O3026&lt;=IF($O3026=0,0,SUMIFS(Disbursements!$W:$W,Disbursements!$B:$B,'Live Collections'!D3110,Disbursements!$D:$D,'Live Collections'!F3110)),O3026,IF($O3026=0,0,SUMIFS(Disbursements!$W:$W,Disbursements!$B:$B,'Live Collections'!D3110,Disbursements!$D:$D,'Live Collections'!F3110)))</f>
        <v>75000</v>
      </c>
      <c r="T3026" s="304">
        <f t="shared" si="143"/>
        <v>425000</v>
      </c>
      <c r="U3026" s="52"/>
      <c r="V3026" s="34"/>
      <c r="W3026" s="408"/>
    </row>
    <row r="3027" spans="1:23" ht="12.75" customHeight="1" x14ac:dyDescent="0.2">
      <c r="A3027" s="257">
        <v>3020</v>
      </c>
      <c r="B3027" s="44">
        <v>44600</v>
      </c>
      <c r="C3027" s="44">
        <f t="shared" si="144"/>
        <v>44600</v>
      </c>
      <c r="D3027" s="374">
        <v>321</v>
      </c>
      <c r="E3027" s="291" t="str">
        <f>IFERROR(VLOOKUP($D3027,'Clients-Live'!$A:$C,3,0),"")</f>
        <v>ANDERU MONICA</v>
      </c>
      <c r="F3027" s="291">
        <f>IFERROR(INDEX(Disbursements!$D:$D,MATCH('Live Collections'!G3027,Disbursements!$C:$C,0)),"")</f>
        <v>1</v>
      </c>
      <c r="G3027" s="34">
        <v>431</v>
      </c>
      <c r="H3027" s="34">
        <v>4671</v>
      </c>
      <c r="I3027" s="34" t="s">
        <v>1358</v>
      </c>
      <c r="J3027" s="48"/>
      <c r="K3027" s="48"/>
      <c r="L3027" s="48"/>
      <c r="M3027" s="48"/>
      <c r="N3027" s="59"/>
      <c r="O3027" s="59"/>
      <c r="P3027" s="59">
        <v>70000</v>
      </c>
      <c r="Q3027" s="268">
        <f t="shared" si="142"/>
        <v>70000</v>
      </c>
      <c r="R3027" s="61">
        <f>IF(O3027=0,0,SUMIFS(Disbursements!$T:$T,Disbursements!$B:$B,'Live Collections'!D3027,Disbursements!$D:$D,'Live Collections'!F3027))</f>
        <v>0</v>
      </c>
      <c r="S3027" s="304">
        <f>IF(O3027&lt;=IF($O3027=0,0,SUMIFS(Disbursements!$W:$W,Disbursements!$B:$B,'Live Collections'!#REF!,Disbursements!$D:$D,'Live Collections'!#REF!)),O3027,IF($O3027=0,0,SUMIFS(Disbursements!$W:$W,Disbursements!$B:$B,'Live Collections'!#REF!,Disbursements!$D:$D,'Live Collections'!#REF!)))</f>
        <v>0</v>
      </c>
      <c r="T3027" s="304">
        <f t="shared" si="143"/>
        <v>0</v>
      </c>
      <c r="U3027" s="52"/>
      <c r="V3027" s="34"/>
      <c r="W3027" s="408"/>
    </row>
    <row r="3028" spans="1:23" ht="12.75" customHeight="1" x14ac:dyDescent="0.2">
      <c r="A3028" s="257">
        <v>3041</v>
      </c>
      <c r="B3028" s="44">
        <v>44601</v>
      </c>
      <c r="C3028" s="44">
        <f t="shared" si="144"/>
        <v>44601</v>
      </c>
      <c r="D3028" s="374">
        <v>18</v>
      </c>
      <c r="E3028" s="291" t="str">
        <f>IFERROR(VLOOKUP($D3028,'Clients-Live'!$A:$C,3,0),"")</f>
        <v>ARIYE PEACE</v>
      </c>
      <c r="F3028" s="291">
        <f>IFERROR(INDEX(Disbursements!$D:$D,MATCH('Live Collections'!G3028,Disbursements!$C:$C,0)),"")</f>
        <v>2</v>
      </c>
      <c r="G3028" s="34">
        <v>317</v>
      </c>
      <c r="H3028" s="34">
        <v>4590</v>
      </c>
      <c r="I3028" s="34" t="s">
        <v>1357</v>
      </c>
      <c r="J3028" s="48"/>
      <c r="K3028" s="48"/>
      <c r="L3028" s="48"/>
      <c r="M3028" s="48"/>
      <c r="N3028" s="59"/>
      <c r="O3028" s="59">
        <v>162000</v>
      </c>
      <c r="P3028" s="59"/>
      <c r="Q3028" s="268">
        <f t="shared" si="142"/>
        <v>162000</v>
      </c>
      <c r="R3028" s="61">
        <f>IF(O3028=0,0,SUMIFS(Disbursements!$T:$T,Disbursements!$B:$B,'Live Collections'!D3028,Disbursements!$D:$D,'Live Collections'!F3028))</f>
        <v>650000</v>
      </c>
      <c r="S3028" s="304">
        <f>IF(O3028&lt;=IF($O3028=0,0,SUMIFS(Disbursements!$W:$W,Disbursements!$B:$B,'Live Collections'!D229,Disbursements!$D:$D,'Live Collections'!F229)),O3028,IF($O3028=0,0,SUMIFS(Disbursements!$W:$W,Disbursements!$B:$B,'Live Collections'!D229,Disbursements!$D:$D,'Live Collections'!F229)))</f>
        <v>0</v>
      </c>
      <c r="T3028" s="304">
        <f t="shared" si="143"/>
        <v>162000</v>
      </c>
      <c r="U3028" s="52"/>
      <c r="V3028" s="34"/>
      <c r="W3028" s="408"/>
    </row>
    <row r="3029" spans="1:23" ht="12.75" customHeight="1" x14ac:dyDescent="0.2">
      <c r="A3029" s="430">
        <v>3048</v>
      </c>
      <c r="B3029" s="422">
        <v>44601</v>
      </c>
      <c r="C3029" s="422">
        <f t="shared" si="144"/>
        <v>44601</v>
      </c>
      <c r="D3029" s="423">
        <v>19</v>
      </c>
      <c r="E3029" s="291" t="str">
        <f>IFERROR(VLOOKUP($D3029,'Clients-Live'!$A:$C,3,0),"")</f>
        <v>ANGUPARU MOLLY</v>
      </c>
      <c r="F3029" s="291">
        <f>IFERROR(INDEX(Disbursements!$D:$D,MATCH('Live Collections'!G3029,Disbursements!$C:$C,0)),"")</f>
        <v>2</v>
      </c>
      <c r="G3029" s="424">
        <v>152</v>
      </c>
      <c r="H3029" s="424">
        <v>4585</v>
      </c>
      <c r="I3029" s="424" t="s">
        <v>1358</v>
      </c>
      <c r="J3029" s="425"/>
      <c r="K3029" s="425"/>
      <c r="L3029" s="425"/>
      <c r="M3029" s="425"/>
      <c r="N3029" s="175"/>
      <c r="O3029" s="175">
        <v>50000</v>
      </c>
      <c r="P3029" s="175"/>
      <c r="Q3029" s="426">
        <f t="shared" si="142"/>
        <v>50000</v>
      </c>
      <c r="R3029" s="61">
        <f>IF(O3029=0,0,SUMIFS(Disbursements!$T:$T,Disbursements!$B:$B,'Live Collections'!D3029,Disbursements!$D:$D,'Live Collections'!F3029))</f>
        <v>210000</v>
      </c>
      <c r="S3029" s="427">
        <f>IF(O3029&lt;=IF($O3029=0,0,SUMIFS(Disbursements!$W:$W,Disbursements!$B:$B,'Live Collections'!D243,Disbursements!$D:$D,'Live Collections'!F243)),O3029,IF($O3029=0,0,SUMIFS(Disbursements!$W:$W,Disbursements!$B:$B,'Live Collections'!D243,Disbursements!$D:$D,'Live Collections'!F243)))</f>
        <v>25000</v>
      </c>
      <c r="T3029" s="427">
        <f t="shared" si="143"/>
        <v>25000</v>
      </c>
      <c r="U3029" s="428"/>
      <c r="V3029" s="424"/>
      <c r="W3029" s="429"/>
    </row>
    <row r="3030" spans="1:23" ht="12.75" customHeight="1" x14ac:dyDescent="0.2">
      <c r="A3030" s="441">
        <v>3047</v>
      </c>
      <c r="B3030" s="442">
        <v>44601</v>
      </c>
      <c r="C3030" s="442">
        <f t="shared" si="144"/>
        <v>44601</v>
      </c>
      <c r="D3030" s="443">
        <v>23</v>
      </c>
      <c r="E3030" s="291" t="str">
        <f>IFERROR(VLOOKUP($D3030,'Clients-Live'!$A:$C,3,0),"")</f>
        <v>BADARU KEVIN ATELIONGA</v>
      </c>
      <c r="F3030" s="291">
        <f>IFERROR(INDEX(Disbursements!$D:$D,MATCH('Live Collections'!G3030,Disbursements!$C:$C,0)),"")</f>
        <v>3</v>
      </c>
      <c r="G3030" s="404">
        <v>402</v>
      </c>
      <c r="H3030" s="404">
        <v>4676</v>
      </c>
      <c r="I3030" s="404" t="s">
        <v>1357</v>
      </c>
      <c r="J3030" s="444"/>
      <c r="K3030" s="444"/>
      <c r="L3030" s="444"/>
      <c r="M3030" s="444"/>
      <c r="N3030" s="444"/>
      <c r="O3030" s="444">
        <v>82500</v>
      </c>
      <c r="P3030" s="444"/>
      <c r="Q3030" s="445">
        <f t="shared" si="142"/>
        <v>82500</v>
      </c>
      <c r="R3030" s="61">
        <f>IF(O3030=0,0,SUMIFS(Disbursements!$T:$T,Disbursements!$B:$B,'Live Collections'!D3030,Disbursements!$D:$D,'Live Collections'!F3030))</f>
        <v>34000</v>
      </c>
      <c r="S3030" s="446">
        <f>IF(O3030&lt;=IF($O3030=0,0,SUMIFS(Disbursements!$W:$W,Disbursements!$B:$B,'Live Collections'!D326,Disbursements!$D:$D,'Live Collections'!F326)),O3030,IF($O3030=0,0,SUMIFS(Disbursements!$W:$W,Disbursements!$B:$B,'Live Collections'!D326,Disbursements!$D:$D,'Live Collections'!F326)))</f>
        <v>25666.666666666672</v>
      </c>
      <c r="T3030" s="446">
        <f t="shared" si="143"/>
        <v>56833.333333333328</v>
      </c>
      <c r="U3030" s="447"/>
      <c r="V3030" s="404"/>
      <c r="W3030" s="448"/>
    </row>
    <row r="3031" spans="1:23" ht="12.75" customHeight="1" x14ac:dyDescent="0.2">
      <c r="A3031" s="257">
        <v>3035</v>
      </c>
      <c r="B3031" s="44">
        <v>44601</v>
      </c>
      <c r="C3031" s="44">
        <f t="shared" si="144"/>
        <v>44601</v>
      </c>
      <c r="D3031" s="431">
        <v>65</v>
      </c>
      <c r="E3031" s="291" t="str">
        <f>IFERROR(VLOOKUP($D3031,'Clients-Live'!$A:$C,3,0),"")</f>
        <v>NDAWULA GERALD</v>
      </c>
      <c r="F3031" s="291">
        <f>IFERROR(INDEX(Disbursements!$D:$D,MATCH('Live Collections'!G3031,Disbursements!$C:$C,0)),"")</f>
        <v>1</v>
      </c>
      <c r="G3031" s="35">
        <v>47</v>
      </c>
      <c r="H3031" s="35">
        <v>4682</v>
      </c>
      <c r="I3031" s="35" t="s">
        <v>1359</v>
      </c>
      <c r="J3031" s="59"/>
      <c r="K3031" s="59"/>
      <c r="L3031" s="59"/>
      <c r="M3031" s="59"/>
      <c r="N3031" s="59"/>
      <c r="O3031" s="59">
        <v>150000</v>
      </c>
      <c r="P3031" s="59"/>
      <c r="Q3031" s="268">
        <f t="shared" si="142"/>
        <v>150000</v>
      </c>
      <c r="R3031" s="61">
        <f>IF(O3031=0,0,SUMIFS(Disbursements!$T:$T,Disbursements!$B:$B,'Live Collections'!D3031,Disbursements!$D:$D,'Live Collections'!F3031))</f>
        <v>217000</v>
      </c>
      <c r="S3031" s="432">
        <f>IF(O3031&lt;=IF($O3031=0,0,SUMIFS(Disbursements!$W:$W,Disbursements!$B:$B,'Live Collections'!D786,Disbursements!$D:$D,'Live Collections'!F786)),O3031,IF($O3031=0,0,SUMIFS(Disbursements!$W:$W,Disbursements!$B:$B,'Live Collections'!D786,Disbursements!$D:$D,'Live Collections'!F786)))</f>
        <v>25000</v>
      </c>
      <c r="T3031" s="432">
        <f t="shared" si="143"/>
        <v>125000</v>
      </c>
      <c r="U3031" s="51"/>
      <c r="V3031" s="35"/>
      <c r="W3031" s="433"/>
    </row>
    <row r="3032" spans="1:23" ht="12.75" customHeight="1" x14ac:dyDescent="0.2">
      <c r="A3032" s="257">
        <v>3042</v>
      </c>
      <c r="B3032" s="44">
        <v>44601</v>
      </c>
      <c r="C3032" s="44">
        <f t="shared" si="144"/>
        <v>44601</v>
      </c>
      <c r="D3032" s="374">
        <v>77</v>
      </c>
      <c r="E3032" s="291" t="str">
        <f>IFERROR(VLOOKUP($D3032,'Clients-Live'!$A:$C,3,0),"")</f>
        <v>CACA FATUMA</v>
      </c>
      <c r="F3032" s="291">
        <f>IFERROR(INDEX(Disbursements!$D:$D,MATCH('Live Collections'!G3032,Disbursements!$C:$C,0)),"")</f>
        <v>2</v>
      </c>
      <c r="G3032" s="34">
        <v>315</v>
      </c>
      <c r="H3032" s="34">
        <v>4589</v>
      </c>
      <c r="I3032" s="34" t="s">
        <v>1357</v>
      </c>
      <c r="J3032" s="48"/>
      <c r="K3032" s="48"/>
      <c r="L3032" s="48"/>
      <c r="M3032" s="48"/>
      <c r="N3032" s="59"/>
      <c r="O3032" s="59">
        <v>280000</v>
      </c>
      <c r="P3032" s="59"/>
      <c r="Q3032" s="268">
        <f t="shared" si="142"/>
        <v>280000</v>
      </c>
      <c r="R3032" s="61">
        <f>IF(O3032=0,0,SUMIFS(Disbursements!$T:$T,Disbursements!$B:$B,'Live Collections'!D3032,Disbursements!$D:$D,'Live Collections'!F3032))</f>
        <v>325000</v>
      </c>
      <c r="S3032" s="304">
        <f>IF(O3032&lt;=IF($O3032=0,0,SUMIFS(Disbursements!$W:$W,Disbursements!$B:$B,'Live Collections'!D995,Disbursements!$D:$D,'Live Collections'!F995)),O3032,IF($O3032=0,0,SUMIFS(Disbursements!$W:$W,Disbursements!$B:$B,'Live Collections'!D995,Disbursements!$D:$D,'Live Collections'!F995)))</f>
        <v>25000</v>
      </c>
      <c r="T3032" s="304">
        <f t="shared" si="143"/>
        <v>255000</v>
      </c>
      <c r="U3032" s="52"/>
      <c r="V3032" s="34"/>
      <c r="W3032" s="408"/>
    </row>
    <row r="3033" spans="1:23" ht="12.75" customHeight="1" x14ac:dyDescent="0.2">
      <c r="A3033" s="257">
        <v>3036</v>
      </c>
      <c r="B3033" s="44">
        <v>44601</v>
      </c>
      <c r="C3033" s="44">
        <f t="shared" si="144"/>
        <v>44601</v>
      </c>
      <c r="D3033" s="374">
        <v>96</v>
      </c>
      <c r="E3033" s="291" t="str">
        <f>IFERROR(VLOOKUP($D3033,'Clients-Live'!$A:$C,3,0),"")</f>
        <v>AKANDU NIGHT YONGORO</v>
      </c>
      <c r="F3033" s="291">
        <f>IFERROR(INDEX(Disbursements!$D:$D,MATCH('Live Collections'!G3033,Disbursements!$C:$C,0)),"")</f>
        <v>3</v>
      </c>
      <c r="G3033" s="34">
        <v>432</v>
      </c>
      <c r="H3033" s="34">
        <v>4680</v>
      </c>
      <c r="I3033" s="34" t="s">
        <v>1358</v>
      </c>
      <c r="J3033" s="48"/>
      <c r="K3033" s="48"/>
      <c r="L3033" s="48"/>
      <c r="M3033" s="48"/>
      <c r="N3033" s="59"/>
      <c r="O3033" s="59"/>
      <c r="P3033" s="59">
        <v>90000</v>
      </c>
      <c r="Q3033" s="268">
        <f t="shared" si="142"/>
        <v>90000</v>
      </c>
      <c r="R3033" s="61">
        <f>IF(O3033=0,0,SUMIFS(Disbursements!$T:$T,Disbursements!$B:$B,'Live Collections'!D3033,Disbursements!$D:$D,'Live Collections'!F3033))</f>
        <v>0</v>
      </c>
      <c r="S3033" s="304">
        <f>IF(O3033&lt;=IF($O3033=0,0,SUMIFS(Disbursements!$W:$W,Disbursements!$B:$B,'Live Collections'!D1244,Disbursements!$D:$D,'Live Collections'!F1244)),O3033,IF($O3033=0,0,SUMIFS(Disbursements!$W:$W,Disbursements!$B:$B,'Live Collections'!D1244,Disbursements!$D:$D,'Live Collections'!F1244)))</f>
        <v>0</v>
      </c>
      <c r="T3033" s="304">
        <f t="shared" si="143"/>
        <v>0</v>
      </c>
      <c r="U3033" s="52"/>
      <c r="V3033" s="34"/>
      <c r="W3033" s="408"/>
    </row>
    <row r="3034" spans="1:23" ht="12.75" customHeight="1" x14ac:dyDescent="0.2">
      <c r="A3034" s="257">
        <v>3031</v>
      </c>
      <c r="B3034" s="44">
        <v>44601</v>
      </c>
      <c r="C3034" s="44">
        <f t="shared" si="144"/>
        <v>44601</v>
      </c>
      <c r="D3034" s="374">
        <v>108</v>
      </c>
      <c r="E3034" s="291" t="str">
        <f>IFERROR(VLOOKUP($D3034,'Clients-Live'!$A:$C,3,0),"")</f>
        <v>DUDU JOICE</v>
      </c>
      <c r="F3034" s="291">
        <f>IFERROR(INDEX(Disbursements!$D:$D,MATCH('Live Collections'!G3034,Disbursements!$C:$C,0)),"")</f>
        <v>2</v>
      </c>
      <c r="G3034" s="34">
        <v>314</v>
      </c>
      <c r="H3034" s="34">
        <v>4685</v>
      </c>
      <c r="I3034" s="34" t="s">
        <v>1359</v>
      </c>
      <c r="J3034" s="48"/>
      <c r="K3034" s="48"/>
      <c r="L3034" s="48"/>
      <c r="M3034" s="48"/>
      <c r="N3034" s="59"/>
      <c r="O3034" s="59">
        <v>100000</v>
      </c>
      <c r="P3034" s="59"/>
      <c r="Q3034" s="268">
        <f t="shared" si="142"/>
        <v>100000</v>
      </c>
      <c r="R3034" s="61">
        <f>IF(O3034=0,0,SUMIFS(Disbursements!$T:$T,Disbursements!$B:$B,'Live Collections'!D3034,Disbursements!$D:$D,'Live Collections'!F3034))</f>
        <v>250000</v>
      </c>
      <c r="S3034" s="304">
        <f>IF(O3034&lt;=IF($O3034=0,0,SUMIFS(Disbursements!$W:$W,Disbursements!$B:$B,'Live Collections'!D1395,Disbursements!$D:$D,'Live Collections'!F1395)),O3034,IF($O3034=0,0,SUMIFS(Disbursements!$W:$W,Disbursements!$B:$B,'Live Collections'!D1395,Disbursements!$D:$D,'Live Collections'!F1395)))</f>
        <v>60000</v>
      </c>
      <c r="T3034" s="304">
        <f t="shared" si="143"/>
        <v>40000</v>
      </c>
      <c r="U3034" s="52"/>
      <c r="V3034" s="34"/>
      <c r="W3034" s="408"/>
    </row>
    <row r="3035" spans="1:23" ht="12.75" customHeight="1" x14ac:dyDescent="0.2">
      <c r="A3035" s="257">
        <v>3043</v>
      </c>
      <c r="B3035" s="44">
        <v>44601</v>
      </c>
      <c r="C3035" s="44">
        <f t="shared" si="144"/>
        <v>44601</v>
      </c>
      <c r="D3035" s="374">
        <v>116</v>
      </c>
      <c r="E3035" s="291" t="str">
        <f>IFERROR(VLOOKUP($D3035,'Clients-Live'!$A:$C,3,0),"")</f>
        <v>ONZIA LUCY</v>
      </c>
      <c r="F3035" s="291">
        <f>IFERROR(INDEX(Disbursements!$D:$D,MATCH('Live Collections'!G3035,Disbursements!$C:$C,0)),"")</f>
        <v>3</v>
      </c>
      <c r="G3035" s="34">
        <v>361</v>
      </c>
      <c r="H3035" s="34">
        <v>4588</v>
      </c>
      <c r="I3035" s="34" t="s">
        <v>1357</v>
      </c>
      <c r="J3035" s="48"/>
      <c r="K3035" s="48"/>
      <c r="L3035" s="48"/>
      <c r="M3035" s="48"/>
      <c r="N3035" s="59"/>
      <c r="O3035" s="59">
        <v>30000</v>
      </c>
      <c r="P3035" s="59"/>
      <c r="Q3035" s="268">
        <f t="shared" si="142"/>
        <v>30000</v>
      </c>
      <c r="R3035" s="61">
        <f>IF(O3035=0,0,SUMIFS(Disbursements!$T:$T,Disbursements!$B:$B,'Live Collections'!D3035,Disbursements!$D:$D,'Live Collections'!F3035))</f>
        <v>120000</v>
      </c>
      <c r="S3035" s="304">
        <f>IF(O3035&lt;=IF($O3035=0,0,SUMIFS(Disbursements!$W:$W,Disbursements!$B:$B,'Live Collections'!D1515,Disbursements!$D:$D,'Live Collections'!F1515)),O3035,IF($O3035=0,0,SUMIFS(Disbursements!$W:$W,Disbursements!$B:$B,'Live Collections'!D1515,Disbursements!$D:$D,'Live Collections'!F1515)))</f>
        <v>0</v>
      </c>
      <c r="T3035" s="304">
        <f t="shared" si="143"/>
        <v>30000</v>
      </c>
      <c r="U3035" s="52"/>
      <c r="V3035" s="34"/>
      <c r="W3035" s="408"/>
    </row>
    <row r="3036" spans="1:23" ht="12.75" customHeight="1" x14ac:dyDescent="0.2">
      <c r="A3036" s="257">
        <v>3038</v>
      </c>
      <c r="B3036" s="44">
        <v>44601</v>
      </c>
      <c r="C3036" s="44">
        <f t="shared" si="144"/>
        <v>44601</v>
      </c>
      <c r="D3036" s="374">
        <v>141</v>
      </c>
      <c r="E3036" s="291" t="str">
        <f>IFERROR(VLOOKUP($D3036,'Clients-Live'!$A:$C,3,0),"")</f>
        <v>DRAMANI WILFRED</v>
      </c>
      <c r="F3036" s="291">
        <f>IFERROR(INDEX(Disbursements!$D:$D,MATCH('Live Collections'!G3036,Disbursements!$C:$C,0)),"")</f>
        <v>2</v>
      </c>
      <c r="G3036" s="34">
        <v>207</v>
      </c>
      <c r="H3036" s="34">
        <v>4591</v>
      </c>
      <c r="I3036" s="34" t="s">
        <v>1359</v>
      </c>
      <c r="J3036" s="48"/>
      <c r="K3036" s="48"/>
      <c r="L3036" s="48"/>
      <c r="M3036" s="48"/>
      <c r="N3036" s="59"/>
      <c r="O3036" s="59">
        <v>50000</v>
      </c>
      <c r="P3036" s="59"/>
      <c r="Q3036" s="268">
        <f t="shared" si="142"/>
        <v>50000</v>
      </c>
      <c r="R3036" s="61">
        <f>IF(O3036=0,0,SUMIFS(Disbursements!$T:$T,Disbursements!$B:$B,'Live Collections'!D3036,Disbursements!$D:$D,'Live Collections'!F3036))</f>
        <v>175000</v>
      </c>
      <c r="S3036" s="304">
        <v>11666.666666666657</v>
      </c>
      <c r="T3036" s="304">
        <f t="shared" si="143"/>
        <v>38333.333333333343</v>
      </c>
      <c r="U3036" s="52"/>
      <c r="V3036" s="34"/>
      <c r="W3036" s="408"/>
    </row>
    <row r="3037" spans="1:23" ht="12.75" customHeight="1" x14ac:dyDescent="0.2">
      <c r="A3037" s="257">
        <v>3046</v>
      </c>
      <c r="B3037" s="44">
        <v>44601</v>
      </c>
      <c r="C3037" s="44">
        <f t="shared" si="144"/>
        <v>44601</v>
      </c>
      <c r="D3037" s="374">
        <v>151</v>
      </c>
      <c r="E3037" s="291" t="str">
        <f>IFERROR(VLOOKUP($D3037,'Clients-Live'!$A:$C,3,0),"")</f>
        <v>MORRO HASSAN</v>
      </c>
      <c r="F3037" s="291">
        <f>IFERROR(INDEX(Disbursements!$D:$D,MATCH('Live Collections'!G3037,Disbursements!$C:$C,0)),"")</f>
        <v>3</v>
      </c>
      <c r="G3037" s="34">
        <v>312</v>
      </c>
      <c r="H3037" s="34">
        <v>4675</v>
      </c>
      <c r="I3037" s="34" t="s">
        <v>1359</v>
      </c>
      <c r="J3037" s="48"/>
      <c r="K3037" s="48"/>
      <c r="L3037" s="48"/>
      <c r="M3037" s="48"/>
      <c r="N3037" s="59"/>
      <c r="O3037" s="59">
        <v>30000</v>
      </c>
      <c r="P3037" s="59"/>
      <c r="Q3037" s="268">
        <f t="shared" si="142"/>
        <v>30000</v>
      </c>
      <c r="R3037" s="61">
        <f>IF(O3037=0,0,SUMIFS(Disbursements!$T:$T,Disbursements!$B:$B,'Live Collections'!D3037,Disbursements!$D:$D,'Live Collections'!F3037))</f>
        <v>600000</v>
      </c>
      <c r="S3037" s="304">
        <f>IF(O3037&lt;=IF($O3037=0,0,SUMIFS(Disbursements!$W:$W,Disbursements!$B:$B,'Live Collections'!D1905,Disbursements!$D:$D,'Live Collections'!F1905)),O3037,IF($O3037=0,0,SUMIFS(Disbursements!$W:$W,Disbursements!$B:$B,'Live Collections'!D1905,Disbursements!$D:$D,'Live Collections'!F1905)))</f>
        <v>15000</v>
      </c>
      <c r="T3037" s="304">
        <f t="shared" si="143"/>
        <v>15000</v>
      </c>
      <c r="U3037" s="52"/>
      <c r="V3037" s="34"/>
      <c r="W3037" s="408"/>
    </row>
    <row r="3038" spans="1:23" ht="12.75" customHeight="1" x14ac:dyDescent="0.2">
      <c r="A3038" s="257">
        <v>3032</v>
      </c>
      <c r="B3038" s="44">
        <v>44601</v>
      </c>
      <c r="C3038" s="44">
        <f t="shared" si="144"/>
        <v>44601</v>
      </c>
      <c r="D3038" s="374">
        <v>167</v>
      </c>
      <c r="E3038" s="291" t="str">
        <f>IFERROR(VLOOKUP($D3038,'Clients-Live'!$A:$C,3,0),"")</f>
        <v>DRICHA KADIJA</v>
      </c>
      <c r="F3038" s="291">
        <f>IFERROR(INDEX(Disbursements!$D:$D,MATCH('Live Collections'!G3038,Disbursements!$C:$C,0)),"")</f>
        <v>1</v>
      </c>
      <c r="G3038" s="34">
        <v>157</v>
      </c>
      <c r="H3038" s="34">
        <v>4683</v>
      </c>
      <c r="I3038" s="34" t="s">
        <v>1358</v>
      </c>
      <c r="J3038" s="48"/>
      <c r="K3038" s="48"/>
      <c r="L3038" s="48"/>
      <c r="M3038" s="48"/>
      <c r="N3038" s="59"/>
      <c r="O3038" s="59">
        <v>100000</v>
      </c>
      <c r="P3038" s="59"/>
      <c r="Q3038" s="268">
        <f t="shared" si="142"/>
        <v>100000</v>
      </c>
      <c r="R3038" s="61">
        <f>IF(O3038=0,0,SUMIFS(Disbursements!$T:$T,Disbursements!$B:$B,'Live Collections'!D3038,Disbursements!$D:$D,'Live Collections'!F3038))</f>
        <v>217000</v>
      </c>
      <c r="S3038" s="304">
        <f>IF(O3038&lt;=IF($O3038=0,0,SUMIFS(Disbursements!$W:$W,Disbursements!$B:$B,'Live Collections'!D4763,Disbursements!$D:$D,'Live Collections'!F4763)),O3038,IF($O3038=0,0,SUMIFS(Disbursements!$W:$W,Disbursements!$B:$B,'Live Collections'!D4763,Disbursements!$D:$D,'Live Collections'!F4763)))</f>
        <v>0</v>
      </c>
      <c r="T3038" s="304">
        <f t="shared" si="143"/>
        <v>100000</v>
      </c>
      <c r="U3038" s="52"/>
      <c r="V3038" s="34"/>
      <c r="W3038" s="408"/>
    </row>
    <row r="3039" spans="1:23" ht="12.75" customHeight="1" x14ac:dyDescent="0.2">
      <c r="A3039" s="257">
        <v>3033</v>
      </c>
      <c r="B3039" s="44">
        <v>44601</v>
      </c>
      <c r="C3039" s="44">
        <f t="shared" si="144"/>
        <v>44601</v>
      </c>
      <c r="D3039" s="374">
        <v>167</v>
      </c>
      <c r="E3039" s="291" t="str">
        <f>IFERROR(VLOOKUP($D3039,'Clients-Live'!$A:$C,3,0),"")</f>
        <v>DRICHA KADIJA</v>
      </c>
      <c r="F3039" s="291">
        <f>IFERROR(INDEX(Disbursements!$D:$D,MATCH('Live Collections'!G3039,Disbursements!$C:$C,0)),"")</f>
        <v>1</v>
      </c>
      <c r="G3039" s="34">
        <v>157</v>
      </c>
      <c r="H3039" s="34">
        <v>791</v>
      </c>
      <c r="I3039" s="34" t="s">
        <v>1358</v>
      </c>
      <c r="J3039" s="48"/>
      <c r="K3039" s="48"/>
      <c r="L3039" s="48"/>
      <c r="M3039" s="48"/>
      <c r="N3039" s="59"/>
      <c r="O3039" s="59"/>
      <c r="P3039" s="59">
        <v>-100000</v>
      </c>
      <c r="Q3039" s="268">
        <f t="shared" si="142"/>
        <v>-100000</v>
      </c>
      <c r="R3039" s="61">
        <f>IF(O3039=0,0,SUMIFS(Disbursements!$T:$T,Disbursements!$B:$B,'Live Collections'!D3039,Disbursements!$D:$D,'Live Collections'!F3039))</f>
        <v>0</v>
      </c>
      <c r="S3039" s="304">
        <f>IF(O3039&lt;=IF($O3039=0,0,SUMIFS(Disbursements!$W:$W,Disbursements!$B:$B,'Live Collections'!D4764,Disbursements!$D:$D,'Live Collections'!F4764)),O3039,IF($O3039=0,0,SUMIFS(Disbursements!$W:$W,Disbursements!$B:$B,'Live Collections'!D4764,Disbursements!$D:$D,'Live Collections'!F4764)))</f>
        <v>0</v>
      </c>
      <c r="T3039" s="304">
        <f t="shared" si="143"/>
        <v>0</v>
      </c>
      <c r="U3039" s="52"/>
      <c r="V3039" s="34"/>
      <c r="W3039" s="408" t="s">
        <v>2053</v>
      </c>
    </row>
    <row r="3040" spans="1:23" ht="12.75" customHeight="1" x14ac:dyDescent="0.2">
      <c r="A3040" s="257">
        <v>3034</v>
      </c>
      <c r="B3040" s="44">
        <v>44601</v>
      </c>
      <c r="C3040" s="44">
        <f t="shared" si="144"/>
        <v>44601</v>
      </c>
      <c r="D3040" s="374">
        <v>167</v>
      </c>
      <c r="E3040" s="291" t="str">
        <f>IFERROR(VLOOKUP($D3040,'Clients-Live'!$A:$C,3,0),"")</f>
        <v>DRICHA KADIJA</v>
      </c>
      <c r="F3040" s="291">
        <f>IFERROR(INDEX(Disbursements!$D:$D,MATCH('Live Collections'!G3040,Disbursements!$C:$C,0)),"")</f>
        <v>1</v>
      </c>
      <c r="G3040" s="34">
        <v>157</v>
      </c>
      <c r="H3040" s="34">
        <v>4684</v>
      </c>
      <c r="I3040" s="34" t="s">
        <v>1358</v>
      </c>
      <c r="J3040" s="48"/>
      <c r="K3040" s="48"/>
      <c r="L3040" s="48"/>
      <c r="M3040" s="48"/>
      <c r="N3040" s="59"/>
      <c r="O3040" s="59">
        <v>115300</v>
      </c>
      <c r="P3040" s="59"/>
      <c r="Q3040" s="268">
        <f t="shared" si="142"/>
        <v>115300</v>
      </c>
      <c r="R3040" s="61">
        <f>IF(O3040=0,0,SUMIFS(Disbursements!$T:$T,Disbursements!$B:$B,'Live Collections'!D3040,Disbursements!$D:$D,'Live Collections'!F3040))</f>
        <v>217000</v>
      </c>
      <c r="S3040" s="304">
        <f>IF(O3040&lt;=IF($O3040=0,0,SUMIFS(Disbursements!$W:$W,Disbursements!$B:$B,'Live Collections'!D4765,Disbursements!$D:$D,'Live Collections'!F4765)),O3040,IF($O3040=0,0,SUMIFS(Disbursements!$W:$W,Disbursements!$B:$B,'Live Collections'!D4765,Disbursements!$D:$D,'Live Collections'!F4765)))</f>
        <v>0</v>
      </c>
      <c r="T3040" s="304">
        <f t="shared" si="143"/>
        <v>115300</v>
      </c>
      <c r="U3040" s="52"/>
      <c r="V3040" s="34"/>
      <c r="W3040" s="408"/>
    </row>
    <row r="3041" spans="1:23" ht="12.75" customHeight="1" x14ac:dyDescent="0.2">
      <c r="A3041" s="257">
        <v>3039</v>
      </c>
      <c r="B3041" s="44">
        <v>44601</v>
      </c>
      <c r="C3041" s="44">
        <f t="shared" si="144"/>
        <v>44601</v>
      </c>
      <c r="D3041" s="374">
        <v>169</v>
      </c>
      <c r="E3041" s="291" t="str">
        <f>IFERROR(VLOOKUP($D3041,'Clients-Live'!$A:$C,3,0),"")</f>
        <v>KATO KENNEDY</v>
      </c>
      <c r="F3041" s="291">
        <f>IFERROR(INDEX(Disbursements!$D:$D,MATCH('Live Collections'!G3041,Disbursements!$C:$C,0)),"")</f>
        <v>2</v>
      </c>
      <c r="G3041" s="34">
        <v>394</v>
      </c>
      <c r="H3041" s="34">
        <v>4678</v>
      </c>
      <c r="I3041" s="34" t="s">
        <v>1357</v>
      </c>
      <c r="J3041" s="48"/>
      <c r="K3041" s="48"/>
      <c r="L3041" s="48"/>
      <c r="M3041" s="48"/>
      <c r="N3041" s="59"/>
      <c r="O3041" s="59">
        <v>58000</v>
      </c>
      <c r="P3041" s="59"/>
      <c r="Q3041" s="268">
        <f t="shared" si="142"/>
        <v>58000</v>
      </c>
      <c r="R3041" s="61">
        <f>IF(O3041=0,0,SUMIFS(Disbursements!$T:$T,Disbursements!$B:$B,'Live Collections'!D3041,Disbursements!$D:$D,'Live Collections'!F3041))</f>
        <v>58000</v>
      </c>
      <c r="S3041" s="304">
        <f>IF(O3041&lt;=IF($O3041=0,0,SUMIFS(Disbursements!$W:$W,Disbursements!$B:$B,'Live Collections'!D2106,Disbursements!$D:$D,'Live Collections'!F2106)),O3041,IF($O3041=0,0,SUMIFS(Disbursements!$W:$W,Disbursements!$B:$B,'Live Collections'!D2106,Disbursements!$D:$D,'Live Collections'!F2106)))</f>
        <v>15000</v>
      </c>
      <c r="T3041" s="304">
        <f t="shared" si="143"/>
        <v>43000</v>
      </c>
      <c r="U3041" s="52"/>
      <c r="V3041" s="34"/>
      <c r="W3041" s="408"/>
    </row>
    <row r="3042" spans="1:23" ht="12.75" customHeight="1" x14ac:dyDescent="0.2">
      <c r="A3042" s="257">
        <v>3040</v>
      </c>
      <c r="B3042" s="44">
        <v>44601</v>
      </c>
      <c r="C3042" s="44">
        <f t="shared" si="144"/>
        <v>44601</v>
      </c>
      <c r="D3042" s="374">
        <v>177</v>
      </c>
      <c r="E3042" s="291" t="str">
        <f>IFERROR(VLOOKUP($D3042,'Clients-Live'!$A:$C,3,0),"")</f>
        <v>EFIT GIFT</v>
      </c>
      <c r="F3042" s="291">
        <f>IFERROR(INDEX(Disbursements!$D:$D,MATCH('Live Collections'!G3042,Disbursements!$C:$C,0)),"")</f>
        <v>1</v>
      </c>
      <c r="G3042" s="34">
        <v>183</v>
      </c>
      <c r="H3042" s="34">
        <v>4677</v>
      </c>
      <c r="I3042" s="34" t="s">
        <v>1358</v>
      </c>
      <c r="J3042" s="48"/>
      <c r="K3042" s="48"/>
      <c r="L3042" s="48"/>
      <c r="M3042" s="48"/>
      <c r="N3042" s="59"/>
      <c r="O3042" s="59">
        <v>50000</v>
      </c>
      <c r="P3042" s="59"/>
      <c r="Q3042" s="268">
        <f t="shared" si="142"/>
        <v>50000</v>
      </c>
      <c r="R3042" s="61">
        <f>IF(O3042=0,0,SUMIFS(Disbursements!$T:$T,Disbursements!$B:$B,'Live Collections'!D3042,Disbursements!$D:$D,'Live Collections'!F3042))</f>
        <v>109000</v>
      </c>
      <c r="S3042" s="304">
        <f>IF(O3042&lt;=IF($O3042=0,0,SUMIFS(Disbursements!$W:$W,Disbursements!$B:$B,'Live Collections'!D2182,Disbursements!$D:$D,'Live Collections'!F2182)),O3042,IF($O3042=0,0,SUMIFS(Disbursements!$W:$W,Disbursements!$B:$B,'Live Collections'!D2182,Disbursements!$D:$D,'Live Collections'!F2182)))</f>
        <v>50000</v>
      </c>
      <c r="T3042" s="304">
        <f t="shared" si="143"/>
        <v>0</v>
      </c>
      <c r="U3042" s="52"/>
      <c r="V3042" s="34"/>
      <c r="W3042" s="408"/>
    </row>
    <row r="3043" spans="1:23" ht="12.75" customHeight="1" x14ac:dyDescent="0.2">
      <c r="A3043" s="257">
        <v>3037</v>
      </c>
      <c r="B3043" s="44">
        <v>44601</v>
      </c>
      <c r="C3043" s="44">
        <f t="shared" si="144"/>
        <v>44601</v>
      </c>
      <c r="D3043" s="374">
        <v>183</v>
      </c>
      <c r="E3043" s="291" t="str">
        <f>IFERROR(VLOOKUP($D3043,'Clients-Live'!$A:$C,3,0),"")</f>
        <v>NIGHT AMINA HUSSEIN</v>
      </c>
      <c r="F3043" s="291" t="str">
        <f>IFERROR(INDEX(Disbursements!$D:$D,MATCH('Live Collections'!G3043,Disbursements!$C:$C,0)),"")</f>
        <v/>
      </c>
      <c r="G3043" s="34"/>
      <c r="H3043" s="34">
        <v>4679</v>
      </c>
      <c r="I3043" s="34" t="s">
        <v>1359</v>
      </c>
      <c r="J3043" s="48"/>
      <c r="K3043" s="48"/>
      <c r="L3043" s="48">
        <v>15000</v>
      </c>
      <c r="M3043" s="48">
        <v>5000</v>
      </c>
      <c r="N3043" s="59"/>
      <c r="O3043" s="59"/>
      <c r="P3043" s="59"/>
      <c r="Q3043" s="268">
        <f t="shared" si="142"/>
        <v>20000</v>
      </c>
      <c r="R3043" s="61">
        <f>IF(O3043=0,0,SUMIFS(Disbursements!$T:$T,Disbursements!$B:$B,'Live Collections'!D3043,Disbursements!$D:$D,'Live Collections'!F3043))</f>
        <v>0</v>
      </c>
      <c r="S3043" s="304">
        <f>IF(O3043&lt;=IF($O3043=0,0,SUMIFS(Disbursements!$W:$W,Disbursements!$B:$B,'Live Collections'!D2236,Disbursements!$D:$D,'Live Collections'!F2236)),O3043,IF($O3043=0,0,SUMIFS(Disbursements!$W:$W,Disbursements!$B:$B,'Live Collections'!D2236,Disbursements!$D:$D,'Live Collections'!F2236)))</f>
        <v>0</v>
      </c>
      <c r="T3043" s="304">
        <f t="shared" si="143"/>
        <v>0</v>
      </c>
      <c r="U3043" s="52"/>
      <c r="V3043" s="34"/>
      <c r="W3043" s="408"/>
    </row>
    <row r="3044" spans="1:23" ht="12.75" customHeight="1" x14ac:dyDescent="0.2">
      <c r="A3044" s="257">
        <v>3045</v>
      </c>
      <c r="B3044" s="44">
        <v>44601</v>
      </c>
      <c r="C3044" s="44">
        <f t="shared" si="144"/>
        <v>44601</v>
      </c>
      <c r="D3044" s="374">
        <v>188</v>
      </c>
      <c r="E3044" s="291" t="str">
        <f>IFERROR(VLOOKUP($D3044,'Clients-Live'!$A:$C,3,0),"")</f>
        <v>ADIRU HELLEN</v>
      </c>
      <c r="F3044" s="291">
        <f>IFERROR(INDEX(Disbursements!$D:$D,MATCH('Live Collections'!G3044,Disbursements!$C:$C,0)),"")</f>
        <v>2</v>
      </c>
      <c r="G3044" s="34">
        <v>328</v>
      </c>
      <c r="H3044" s="34">
        <v>4586</v>
      </c>
      <c r="I3044" s="34" t="s">
        <v>1358</v>
      </c>
      <c r="J3044" s="48"/>
      <c r="K3044" s="48"/>
      <c r="L3044" s="48"/>
      <c r="M3044" s="48"/>
      <c r="N3044" s="59"/>
      <c r="O3044" s="59">
        <v>44000</v>
      </c>
      <c r="P3044" s="59"/>
      <c r="Q3044" s="268">
        <f t="shared" si="142"/>
        <v>44000</v>
      </c>
      <c r="R3044" s="61">
        <f>IF(O3044=0,0,SUMIFS(Disbursements!$T:$T,Disbursements!$B:$B,'Live Collections'!D3044,Disbursements!$D:$D,'Live Collections'!F3044))</f>
        <v>180000</v>
      </c>
      <c r="S3044" s="304">
        <v>20000</v>
      </c>
      <c r="T3044" s="304">
        <f t="shared" si="143"/>
        <v>24000</v>
      </c>
      <c r="U3044" s="52"/>
      <c r="V3044" s="34"/>
      <c r="W3044" s="408"/>
    </row>
    <row r="3045" spans="1:23" ht="12.75" customHeight="1" x14ac:dyDescent="0.2">
      <c r="A3045" s="257">
        <v>3044</v>
      </c>
      <c r="B3045" s="44">
        <v>44601</v>
      </c>
      <c r="C3045" s="44">
        <f t="shared" si="144"/>
        <v>44601</v>
      </c>
      <c r="D3045" s="374">
        <v>219</v>
      </c>
      <c r="E3045" s="291" t="str">
        <f>IFERROR(VLOOKUP($D3045,'Clients-Live'!$A:$C,3,0),"")</f>
        <v>MALIKO JAMILA</v>
      </c>
      <c r="F3045" s="291">
        <f>IFERROR(INDEX(Disbursements!$D:$D,MATCH('Live Collections'!G3045,Disbursements!$C:$C,0)),"")</f>
        <v>1</v>
      </c>
      <c r="G3045" s="34">
        <v>228</v>
      </c>
      <c r="H3045" s="34">
        <v>4587</v>
      </c>
      <c r="I3045" s="34" t="s">
        <v>1358</v>
      </c>
      <c r="J3045" s="48"/>
      <c r="K3045" s="48"/>
      <c r="L3045" s="48"/>
      <c r="M3045" s="48"/>
      <c r="N3045" s="59"/>
      <c r="O3045" s="59">
        <v>10000</v>
      </c>
      <c r="P3045" s="59"/>
      <c r="Q3045" s="268">
        <f t="shared" si="142"/>
        <v>10000</v>
      </c>
      <c r="R3045" s="61">
        <f>IF(O3045=0,0,SUMIFS(Disbursements!$T:$T,Disbursements!$B:$B,'Live Collections'!D3045,Disbursements!$D:$D,'Live Collections'!F3045))</f>
        <v>77000</v>
      </c>
      <c r="S3045" s="304"/>
      <c r="T3045" s="304">
        <f t="shared" si="143"/>
        <v>10000</v>
      </c>
      <c r="U3045" s="52"/>
      <c r="V3045" s="34"/>
      <c r="W3045" s="408"/>
    </row>
    <row r="3046" spans="1:23" ht="12.75" customHeight="1" x14ac:dyDescent="0.2">
      <c r="A3046" s="257">
        <v>3030</v>
      </c>
      <c r="B3046" s="44">
        <v>44601</v>
      </c>
      <c r="C3046" s="44">
        <f t="shared" si="144"/>
        <v>44601</v>
      </c>
      <c r="D3046" s="374">
        <v>304</v>
      </c>
      <c r="E3046" s="291" t="str">
        <f>IFERROR(VLOOKUP($D3046,'Clients-Live'!$A:$C,3,0),"")</f>
        <v>ATAKO GLORIA</v>
      </c>
      <c r="F3046" s="291">
        <f>IFERROR(INDEX(Disbursements!$D:$D,MATCH('Live Collections'!G3046,Disbursements!$C:$C,0)),"")</f>
        <v>1</v>
      </c>
      <c r="G3046" s="34">
        <v>398</v>
      </c>
      <c r="H3046" s="34">
        <v>4686</v>
      </c>
      <c r="I3046" s="34" t="s">
        <v>1359</v>
      </c>
      <c r="J3046" s="48"/>
      <c r="K3046" s="48"/>
      <c r="L3046" s="48"/>
      <c r="M3046" s="48"/>
      <c r="N3046" s="59"/>
      <c r="O3046" s="59">
        <v>31500</v>
      </c>
      <c r="P3046" s="59"/>
      <c r="Q3046" s="268">
        <f t="shared" si="142"/>
        <v>31500</v>
      </c>
      <c r="R3046" s="61">
        <f>IF(O3046=0,0,SUMIFS(Disbursements!$T:$T,Disbursements!$B:$B,'Live Collections'!D3046,Disbursements!$D:$D,'Live Collections'!F3046))</f>
        <v>32000</v>
      </c>
      <c r="S3046" s="304">
        <f>IF(O3046&lt;=IF($O3046=0,0,SUMIFS(Disbursements!$W:$W,Disbursements!$B:$B,'Live Collections'!D3098,Disbursements!$D:$D,'Live Collections'!F3098)),O3046,IF($O3046=0,0,SUMIFS(Disbursements!$W:$W,Disbursements!$B:$B,'Live Collections'!D3098,Disbursements!$D:$D,'Live Collections'!F3098)))</f>
        <v>30000</v>
      </c>
      <c r="T3046" s="304">
        <f t="shared" si="143"/>
        <v>1500</v>
      </c>
      <c r="U3046" s="52"/>
      <c r="V3046" s="34"/>
      <c r="W3046" s="408"/>
    </row>
    <row r="3047" spans="1:23" ht="12.75" customHeight="1" x14ac:dyDescent="0.2">
      <c r="A3047" s="257">
        <v>3049</v>
      </c>
      <c r="B3047" s="44">
        <v>44601</v>
      </c>
      <c r="C3047" s="44">
        <f t="shared" si="144"/>
        <v>44601</v>
      </c>
      <c r="D3047" s="374">
        <v>317</v>
      </c>
      <c r="E3047" s="291" t="str">
        <f>IFERROR(VLOOKUP($D3047,'Clients-Live'!$A:$C,3,0),"")</f>
        <v>DRIWARU JANE</v>
      </c>
      <c r="F3047" s="291">
        <f>IFERROR(INDEX(Disbursements!$D:$D,MATCH('Live Collections'!G3047,Disbursements!$C:$C,0)),"")</f>
        <v>1</v>
      </c>
      <c r="G3047" s="34">
        <v>414</v>
      </c>
      <c r="H3047" s="34">
        <v>4687</v>
      </c>
      <c r="I3047" s="34" t="s">
        <v>1357</v>
      </c>
      <c r="J3047" s="48"/>
      <c r="K3047" s="48"/>
      <c r="L3047" s="48"/>
      <c r="M3047" s="48"/>
      <c r="N3047" s="59"/>
      <c r="O3047" s="59">
        <v>55000</v>
      </c>
      <c r="P3047" s="59"/>
      <c r="Q3047" s="268">
        <f t="shared" si="142"/>
        <v>55000</v>
      </c>
      <c r="R3047" s="61">
        <f>IF(O3047=0,0,SUMIFS(Disbursements!$T:$T,Disbursements!$B:$B,'Live Collections'!D3047,Disbursements!$D:$D,'Live Collections'!F3047))</f>
        <v>55000</v>
      </c>
      <c r="S3047" s="304">
        <f>IF(O3047&lt;=IF($O3047=0,0,SUMIFS(Disbursements!$W:$W,Disbursements!$B:$B,'Live Collections'!D3151,Disbursements!$D:$D,'Live Collections'!F3151)),O3047,IF($O3047=0,0,SUMIFS(Disbursements!$W:$W,Disbursements!$B:$B,'Live Collections'!D3151,Disbursements!$D:$D,'Live Collections'!F3151)))</f>
        <v>55000</v>
      </c>
      <c r="T3047" s="304">
        <f t="shared" si="143"/>
        <v>0</v>
      </c>
      <c r="U3047" s="52"/>
      <c r="V3047" s="34"/>
      <c r="W3047" s="408"/>
    </row>
    <row r="3048" spans="1:23" ht="12.75" customHeight="1" x14ac:dyDescent="0.2">
      <c r="A3048" s="257">
        <v>3050</v>
      </c>
      <c r="B3048" s="44">
        <v>44602</v>
      </c>
      <c r="C3048" s="44">
        <f t="shared" si="144"/>
        <v>44602</v>
      </c>
      <c r="D3048" s="374">
        <v>12</v>
      </c>
      <c r="E3048" s="291" t="str">
        <f>IFERROR(VLOOKUP($D3048,'Clients-Live'!$A:$C,3,0),"")</f>
        <v>DRELIA SIMON DEADSON</v>
      </c>
      <c r="F3048" s="291">
        <f>IFERROR(INDEX(Disbursements!$D:$D,MATCH('Live Collections'!G3048,Disbursements!$C:$C,0)),"")</f>
        <v>2</v>
      </c>
      <c r="G3048" s="34">
        <v>113</v>
      </c>
      <c r="H3048" s="34">
        <v>4689</v>
      </c>
      <c r="I3048" s="34" t="s">
        <v>1357</v>
      </c>
      <c r="J3048" s="48"/>
      <c r="K3048" s="48"/>
      <c r="L3048" s="48"/>
      <c r="M3048" s="48"/>
      <c r="N3048" s="59"/>
      <c r="O3048" s="59">
        <v>17800</v>
      </c>
      <c r="P3048" s="59"/>
      <c r="Q3048" s="268">
        <f t="shared" si="142"/>
        <v>17800</v>
      </c>
      <c r="R3048" s="61">
        <f>IF(O3048=0,0,SUMIFS(Disbursements!$T:$T,Disbursements!$B:$B,'Live Collections'!D3048,Disbursements!$D:$D,'Live Collections'!F3048))</f>
        <v>269000</v>
      </c>
      <c r="S3048" s="304">
        <f>IF(O3048&lt;=IF($O3048=0,0,SUMIFS(Disbursements!$W:$W,Disbursements!$B:$B,'Live Collections'!D129,Disbursements!$D:$D,'Live Collections'!F129)),O3048,IF($O3048=0,0,SUMIFS(Disbursements!$W:$W,Disbursements!$B:$B,'Live Collections'!D129,Disbursements!$D:$D,'Live Collections'!F129)))</f>
        <v>15000</v>
      </c>
      <c r="T3048" s="304">
        <f t="shared" si="143"/>
        <v>2800</v>
      </c>
      <c r="U3048" s="52"/>
      <c r="V3048" s="34"/>
      <c r="W3048" s="408"/>
    </row>
    <row r="3049" spans="1:23" ht="12.75" customHeight="1" x14ac:dyDescent="0.2">
      <c r="A3049" s="257">
        <v>3051</v>
      </c>
      <c r="B3049" s="44">
        <v>44602</v>
      </c>
      <c r="C3049" s="44">
        <f t="shared" si="144"/>
        <v>44602</v>
      </c>
      <c r="D3049" s="374">
        <v>12</v>
      </c>
      <c r="E3049" s="291" t="str">
        <f>IFERROR(VLOOKUP($D3049,'Clients-Live'!$A:$C,3,0),"")</f>
        <v>DRELIA SIMON DEADSON</v>
      </c>
      <c r="F3049" s="291">
        <f>IFERROR(INDEX(Disbursements!$D:$D,MATCH('Live Collections'!G3049,Disbursements!$C:$C,0)),"")</f>
        <v>2</v>
      </c>
      <c r="G3049" s="34">
        <v>113</v>
      </c>
      <c r="H3049" s="34">
        <v>776</v>
      </c>
      <c r="I3049" s="34" t="s">
        <v>1357</v>
      </c>
      <c r="J3049" s="48"/>
      <c r="K3049" s="48"/>
      <c r="L3049" s="48"/>
      <c r="M3049" s="48"/>
      <c r="N3049" s="59"/>
      <c r="O3049" s="59"/>
      <c r="P3049" s="59">
        <v>-25000</v>
      </c>
      <c r="Q3049" s="268">
        <f t="shared" si="142"/>
        <v>-25000</v>
      </c>
      <c r="R3049" s="61">
        <f>IF(O3049=0,0,SUMIFS(Disbursements!$T:$T,Disbursements!$B:$B,'Live Collections'!D3049,Disbursements!$D:$D,'Live Collections'!F3049))</f>
        <v>0</v>
      </c>
      <c r="S3049" s="304">
        <f>IF(O3049&lt;=IF($O3049=0,0,SUMIFS(Disbursements!$W:$W,Disbursements!$B:$B,'Live Collections'!D130,Disbursements!$D:$D,'Live Collections'!F130)),O3049,IF($O3049=0,0,SUMIFS(Disbursements!$W:$W,Disbursements!$B:$B,'Live Collections'!D130,Disbursements!$D:$D,'Live Collections'!F130)))</f>
        <v>0</v>
      </c>
      <c r="T3049" s="304">
        <f t="shared" si="143"/>
        <v>0</v>
      </c>
      <c r="U3049" s="52"/>
      <c r="V3049" s="34"/>
      <c r="W3049" s="408" t="s">
        <v>2055</v>
      </c>
    </row>
    <row r="3050" spans="1:23" ht="12.75" customHeight="1" x14ac:dyDescent="0.2">
      <c r="A3050" s="257">
        <v>3052</v>
      </c>
      <c r="B3050" s="44">
        <v>44602</v>
      </c>
      <c r="C3050" s="44">
        <f t="shared" si="144"/>
        <v>44602</v>
      </c>
      <c r="D3050" s="374">
        <v>12</v>
      </c>
      <c r="E3050" s="291" t="str">
        <f>IFERROR(VLOOKUP($D3050,'Clients-Live'!$A:$C,3,0),"")</f>
        <v>DRELIA SIMON DEADSON</v>
      </c>
      <c r="F3050" s="291">
        <f>IFERROR(INDEX(Disbursements!$D:$D,MATCH('Live Collections'!G3050,Disbursements!$C:$C,0)),"")</f>
        <v>2</v>
      </c>
      <c r="G3050" s="34">
        <v>113</v>
      </c>
      <c r="H3050" s="34">
        <v>4690</v>
      </c>
      <c r="I3050" s="34" t="s">
        <v>1357</v>
      </c>
      <c r="J3050" s="48"/>
      <c r="K3050" s="48"/>
      <c r="L3050" s="48"/>
      <c r="M3050" s="48"/>
      <c r="N3050" s="59"/>
      <c r="O3050" s="59">
        <v>25000</v>
      </c>
      <c r="P3050" s="59"/>
      <c r="Q3050" s="268">
        <f t="shared" si="142"/>
        <v>25000</v>
      </c>
      <c r="R3050" s="61">
        <f>IF(O3050=0,0,SUMIFS(Disbursements!$T:$T,Disbursements!$B:$B,'Live Collections'!D3050,Disbursements!$D:$D,'Live Collections'!F3050))</f>
        <v>269000</v>
      </c>
      <c r="S3050" s="64">
        <v>-11000</v>
      </c>
      <c r="T3050" s="304">
        <f t="shared" si="143"/>
        <v>36000</v>
      </c>
      <c r="U3050" s="52"/>
      <c r="V3050" s="34"/>
      <c r="W3050" s="408"/>
    </row>
    <row r="3051" spans="1:23" ht="12.75" customHeight="1" x14ac:dyDescent="0.2">
      <c r="A3051" s="257">
        <v>3053</v>
      </c>
      <c r="B3051" s="44">
        <v>44602</v>
      </c>
      <c r="C3051" s="44">
        <f t="shared" si="144"/>
        <v>44602</v>
      </c>
      <c r="D3051" s="374">
        <v>12</v>
      </c>
      <c r="E3051" s="291" t="str">
        <f>IFERROR(VLOOKUP($D3051,'Clients-Live'!$A:$C,3,0),"")</f>
        <v>DRELIA SIMON DEADSON</v>
      </c>
      <c r="F3051" s="291">
        <v>2</v>
      </c>
      <c r="G3051" s="34">
        <v>113</v>
      </c>
      <c r="H3051" s="34">
        <v>4691</v>
      </c>
      <c r="I3051" s="34" t="s">
        <v>1357</v>
      </c>
      <c r="J3051" s="48"/>
      <c r="K3051" s="48"/>
      <c r="L3051" s="48"/>
      <c r="M3051" s="48"/>
      <c r="N3051" s="59"/>
      <c r="O3051" s="59">
        <v>2200</v>
      </c>
      <c r="P3051" s="59"/>
      <c r="Q3051" s="268">
        <f t="shared" si="142"/>
        <v>2200</v>
      </c>
      <c r="R3051" s="61">
        <f>IF(O3051=0,0,SUMIFS(Disbursements!$T:$T,Disbursements!$B:$B,'Live Collections'!D3051,Disbursements!$D:$D,'Live Collections'!F3051))</f>
        <v>269000</v>
      </c>
      <c r="S3051" s="304"/>
      <c r="T3051" s="304">
        <f t="shared" si="143"/>
        <v>2200</v>
      </c>
      <c r="U3051" s="52"/>
      <c r="V3051" s="34"/>
      <c r="W3051" s="408"/>
    </row>
    <row r="3052" spans="1:23" ht="12.75" customHeight="1" x14ac:dyDescent="0.2">
      <c r="A3052" s="257">
        <v>3055</v>
      </c>
      <c r="B3052" s="44">
        <v>44602</v>
      </c>
      <c r="C3052" s="44">
        <f t="shared" si="144"/>
        <v>44602</v>
      </c>
      <c r="D3052" s="374">
        <v>22</v>
      </c>
      <c r="E3052" s="291" t="str">
        <f>IFERROR(VLOOKUP($D3052,'Clients-Live'!$A:$C,3,0),"")</f>
        <v>DATA ISMAIL FATARI</v>
      </c>
      <c r="F3052" s="291">
        <v>2</v>
      </c>
      <c r="G3052" s="34">
        <v>381</v>
      </c>
      <c r="H3052" s="34">
        <v>4697</v>
      </c>
      <c r="I3052" s="34" t="s">
        <v>1359</v>
      </c>
      <c r="J3052" s="48"/>
      <c r="K3052" s="48"/>
      <c r="L3052" s="48"/>
      <c r="M3052" s="48"/>
      <c r="N3052" s="59"/>
      <c r="O3052" s="59">
        <v>5000</v>
      </c>
      <c r="P3052" s="59"/>
      <c r="Q3052" s="268">
        <f t="shared" si="142"/>
        <v>5000</v>
      </c>
      <c r="R3052" s="61">
        <f>IF(O3052=0,0,SUMIFS(Disbursements!$T:$T,Disbursements!$B:$B,'Live Collections'!D3052,Disbursements!$D:$D,'Live Collections'!F3052))</f>
        <v>210000</v>
      </c>
      <c r="S3052" s="304">
        <f>IF(O3052&lt;=IF($O3052=0,0,SUMIFS(Disbursements!$W:$W,Disbursements!$B:$B,'Live Collections'!D303,Disbursements!$D:$D,'Live Collections'!F303)),O3052,IF($O3052=0,0,SUMIFS(Disbursements!$W:$W,Disbursements!$B:$B,'Live Collections'!D303,Disbursements!$D:$D,'Live Collections'!F303)))</f>
        <v>5000</v>
      </c>
      <c r="T3052" s="304">
        <f t="shared" si="143"/>
        <v>0</v>
      </c>
      <c r="U3052" s="52"/>
      <c r="V3052" s="34"/>
      <c r="W3052" s="408"/>
    </row>
    <row r="3053" spans="1:23" ht="12.75" customHeight="1" x14ac:dyDescent="0.2">
      <c r="A3053" s="257">
        <v>3056</v>
      </c>
      <c r="B3053" s="44">
        <v>44602</v>
      </c>
      <c r="C3053" s="44">
        <f t="shared" si="144"/>
        <v>44602</v>
      </c>
      <c r="D3053" s="374">
        <v>22</v>
      </c>
      <c r="E3053" s="291" t="str">
        <f>IFERROR(VLOOKUP($D3053,'Clients-Live'!$A:$C,3,0),"")</f>
        <v>DATA ISMAIL FATARI</v>
      </c>
      <c r="F3053" s="291" t="str">
        <f>IFERROR(INDEX(Disbursements!$D:$D,MATCH('Live Collections'!G3053,Disbursements!$C:$C,0)),"")</f>
        <v/>
      </c>
      <c r="G3053" s="34"/>
      <c r="H3053" s="34">
        <v>4698</v>
      </c>
      <c r="I3053" s="34" t="s">
        <v>1359</v>
      </c>
      <c r="J3053" s="48"/>
      <c r="K3053" s="48">
        <v>5000</v>
      </c>
      <c r="L3053" s="48"/>
      <c r="M3053" s="48"/>
      <c r="N3053" s="59"/>
      <c r="O3053" s="59"/>
      <c r="P3053" s="59"/>
      <c r="Q3053" s="268">
        <f t="shared" si="142"/>
        <v>5000</v>
      </c>
      <c r="R3053" s="61">
        <f>IF(O3053=0,0,SUMIFS(Disbursements!$T:$T,Disbursements!$B:$B,'Live Collections'!D3053,Disbursements!$D:$D,'Live Collections'!F3053))</f>
        <v>0</v>
      </c>
      <c r="S3053" s="304">
        <f>IF(O3053&lt;=IF($O3053=0,0,SUMIFS(Disbursements!$W:$W,Disbursements!$B:$B,'Live Collections'!D304,Disbursements!$D:$D,'Live Collections'!F304)),O3053,IF($O3053=0,0,SUMIFS(Disbursements!$W:$W,Disbursements!$B:$B,'Live Collections'!D304,Disbursements!$D:$D,'Live Collections'!F304)))</f>
        <v>0</v>
      </c>
      <c r="T3053" s="304">
        <f t="shared" si="143"/>
        <v>0</v>
      </c>
      <c r="U3053" s="52"/>
      <c r="V3053" s="34"/>
      <c r="W3053" s="408"/>
    </row>
    <row r="3054" spans="1:23" ht="12.75" customHeight="1" x14ac:dyDescent="0.2">
      <c r="A3054" s="257">
        <v>3057</v>
      </c>
      <c r="B3054" s="44">
        <v>44602</v>
      </c>
      <c r="C3054" s="44">
        <f t="shared" si="144"/>
        <v>44602</v>
      </c>
      <c r="D3054" s="374">
        <v>31</v>
      </c>
      <c r="E3054" s="291" t="str">
        <f>IFERROR(VLOOKUP($D3054,'Clients-Live'!$A:$C,3,0),"")</f>
        <v>MUNDURU HARRIET</v>
      </c>
      <c r="F3054" s="291">
        <f>IFERROR(INDEX(Disbursements!$D:$D,MATCH('Live Collections'!G3054,Disbursements!$C:$C,0)),"")</f>
        <v>2</v>
      </c>
      <c r="G3054" s="34">
        <v>260</v>
      </c>
      <c r="H3054" s="34">
        <v>4695</v>
      </c>
      <c r="I3054" s="34" t="s">
        <v>1357</v>
      </c>
      <c r="J3054" s="48"/>
      <c r="K3054" s="48"/>
      <c r="L3054" s="48"/>
      <c r="M3054" s="48"/>
      <c r="N3054" s="59"/>
      <c r="O3054" s="59">
        <v>140000</v>
      </c>
      <c r="P3054" s="59"/>
      <c r="Q3054" s="268">
        <f t="shared" si="142"/>
        <v>140000</v>
      </c>
      <c r="R3054" s="61">
        <f>IF(O3054=0,0,SUMIFS(Disbursements!$T:$T,Disbursements!$B:$B,'Live Collections'!D3054,Disbursements!$D:$D,'Live Collections'!F3054))</f>
        <v>150000</v>
      </c>
      <c r="S3054" s="304"/>
      <c r="T3054" s="304">
        <f t="shared" si="143"/>
        <v>140000</v>
      </c>
      <c r="U3054" s="52"/>
      <c r="V3054" s="34"/>
      <c r="W3054" s="408"/>
    </row>
    <row r="3055" spans="1:23" ht="12.75" customHeight="1" x14ac:dyDescent="0.2">
      <c r="A3055" s="257">
        <v>3059</v>
      </c>
      <c r="B3055" s="44">
        <v>44602</v>
      </c>
      <c r="C3055" s="44">
        <f t="shared" si="144"/>
        <v>44602</v>
      </c>
      <c r="D3055" s="374">
        <v>46</v>
      </c>
      <c r="E3055" s="291" t="str">
        <f>IFERROR(VLOOKUP($D3055,'Clients-Live'!$A:$C,3,0),"")</f>
        <v>ALIO YUDA</v>
      </c>
      <c r="F3055" s="291">
        <f>IFERROR(INDEX(Disbursements!$D:$D,MATCH('Live Collections'!G3055,Disbursements!$C:$C,0)),"")</f>
        <v>2</v>
      </c>
      <c r="G3055" s="34">
        <v>400</v>
      </c>
      <c r="H3055" s="34">
        <v>4693</v>
      </c>
      <c r="I3055" s="34" t="s">
        <v>1357</v>
      </c>
      <c r="J3055" s="48"/>
      <c r="K3055" s="48"/>
      <c r="L3055" s="48"/>
      <c r="M3055" s="48"/>
      <c r="N3055" s="59"/>
      <c r="O3055" s="59">
        <v>40000</v>
      </c>
      <c r="P3055" s="59"/>
      <c r="Q3055" s="268">
        <f t="shared" si="142"/>
        <v>40000</v>
      </c>
      <c r="R3055" s="61">
        <f>IF(O3055=0,0,SUMIFS(Disbursements!$T:$T,Disbursements!$B:$B,'Live Collections'!D3055,Disbursements!$D:$D,'Live Collections'!F3055))</f>
        <v>76000</v>
      </c>
      <c r="S3055" s="304">
        <f>IF(O3055&lt;=IF($O3055=0,0,SUMIFS(Disbursements!$W:$W,Disbursements!$B:$B,'Live Collections'!D534,Disbursements!$D:$D,'Live Collections'!F534)),O3055,IF($O3055=0,0,SUMIFS(Disbursements!$W:$W,Disbursements!$B:$B,'Live Collections'!D534,Disbursements!$D:$D,'Live Collections'!F534)))</f>
        <v>15000</v>
      </c>
      <c r="T3055" s="304">
        <f t="shared" si="143"/>
        <v>25000</v>
      </c>
      <c r="U3055" s="52"/>
      <c r="V3055" s="34"/>
      <c r="W3055" s="408"/>
    </row>
    <row r="3056" spans="1:23" ht="12.75" customHeight="1" x14ac:dyDescent="0.2">
      <c r="A3056" s="257">
        <v>3062</v>
      </c>
      <c r="B3056" s="44">
        <v>44602</v>
      </c>
      <c r="C3056" s="44">
        <f t="shared" si="144"/>
        <v>44602</v>
      </c>
      <c r="D3056" s="374">
        <v>57</v>
      </c>
      <c r="E3056" s="291" t="str">
        <f>IFERROR(VLOOKUP($D3056,'Clients-Live'!$A:$C,3,0),"")</f>
        <v>ASERU SCOVIA</v>
      </c>
      <c r="F3056" s="291">
        <f>IFERROR(INDEX(Disbursements!$D:$D,MATCH('Live Collections'!G3056,Disbursements!$C:$C,0)),"")</f>
        <v>1</v>
      </c>
      <c r="G3056" s="34">
        <v>41</v>
      </c>
      <c r="H3056" s="34">
        <v>4700</v>
      </c>
      <c r="I3056" s="34" t="s">
        <v>1359</v>
      </c>
      <c r="J3056" s="48"/>
      <c r="K3056" s="48"/>
      <c r="L3056" s="48"/>
      <c r="M3056" s="48"/>
      <c r="N3056" s="59"/>
      <c r="O3056" s="59">
        <v>10000</v>
      </c>
      <c r="P3056" s="59"/>
      <c r="Q3056" s="268">
        <f t="shared" si="142"/>
        <v>10000</v>
      </c>
      <c r="R3056" s="61">
        <f>IF(O3056=0,0,SUMIFS(Disbursements!$T:$T,Disbursements!$B:$B,'Live Collections'!D3056,Disbursements!$D:$D,'Live Collections'!F3056))</f>
        <v>60000</v>
      </c>
      <c r="S3056" s="304"/>
      <c r="T3056" s="304">
        <f t="shared" si="143"/>
        <v>10000</v>
      </c>
      <c r="U3056" s="52"/>
      <c r="V3056" s="34"/>
      <c r="W3056" s="408"/>
    </row>
    <row r="3057" spans="1:23" ht="12.75" customHeight="1" x14ac:dyDescent="0.2">
      <c r="A3057" s="257">
        <v>3060</v>
      </c>
      <c r="B3057" s="44">
        <v>44602</v>
      </c>
      <c r="C3057" s="44">
        <f t="shared" si="144"/>
        <v>44602</v>
      </c>
      <c r="D3057" s="374">
        <v>66</v>
      </c>
      <c r="E3057" s="291" t="str">
        <f>IFERROR(VLOOKUP($D3057,'Clients-Live'!$A:$C,3,0),"")</f>
        <v>DENAYA NYAMAZA</v>
      </c>
      <c r="F3057" s="291">
        <f>IFERROR(INDEX(Disbursements!$D:$D,MATCH('Live Collections'!G3057,Disbursements!$C:$C,0)),"")</f>
        <v>2</v>
      </c>
      <c r="G3057" s="34">
        <v>300</v>
      </c>
      <c r="H3057" s="34">
        <v>4592</v>
      </c>
      <c r="I3057" s="34" t="s">
        <v>1357</v>
      </c>
      <c r="J3057" s="48"/>
      <c r="K3057" s="48"/>
      <c r="L3057" s="48"/>
      <c r="M3057" s="48"/>
      <c r="N3057" s="59"/>
      <c r="O3057" s="59">
        <v>100000</v>
      </c>
      <c r="P3057" s="59"/>
      <c r="Q3057" s="268">
        <f t="shared" si="142"/>
        <v>100000</v>
      </c>
      <c r="R3057" s="61">
        <f>IF(O3057=0,0,SUMIFS(Disbursements!$T:$T,Disbursements!$B:$B,'Live Collections'!D3057,Disbursements!$D:$D,'Live Collections'!F3057))</f>
        <v>109000</v>
      </c>
      <c r="S3057" s="304">
        <f>IF(O3057&lt;=IF($O3057=0,0,SUMIFS(Disbursements!$W:$W,Disbursements!$B:$B,'Live Collections'!D824,Disbursements!$D:$D,'Live Collections'!F824)),O3057,IF($O3057=0,0,SUMIFS(Disbursements!$W:$W,Disbursements!$B:$B,'Live Collections'!D824,Disbursements!$D:$D,'Live Collections'!F824)))</f>
        <v>0</v>
      </c>
      <c r="T3057" s="304">
        <f t="shared" si="143"/>
        <v>100000</v>
      </c>
      <c r="U3057" s="52"/>
      <c r="V3057" s="34"/>
      <c r="W3057" s="408"/>
    </row>
    <row r="3058" spans="1:23" ht="12.75" customHeight="1" x14ac:dyDescent="0.2">
      <c r="A3058" s="257">
        <v>3061</v>
      </c>
      <c r="B3058" s="44">
        <v>44602</v>
      </c>
      <c r="C3058" s="44">
        <f t="shared" si="144"/>
        <v>44602</v>
      </c>
      <c r="D3058" s="374">
        <v>192</v>
      </c>
      <c r="E3058" s="291" t="str">
        <f>IFERROR(VLOOKUP($D3058,'Clients-Live'!$A:$C,3,0),"")</f>
        <v>MAZARAU AISHA</v>
      </c>
      <c r="F3058" s="291">
        <f>IFERROR(INDEX(Disbursements!$D:$D,MATCH('Live Collections'!G3058,Disbursements!$C:$C,0)),"")</f>
        <v>2</v>
      </c>
      <c r="G3058" s="34">
        <v>354</v>
      </c>
      <c r="H3058" s="34">
        <v>4692</v>
      </c>
      <c r="I3058" s="34" t="s">
        <v>1357</v>
      </c>
      <c r="J3058" s="48"/>
      <c r="K3058" s="48"/>
      <c r="L3058" s="48"/>
      <c r="M3058" s="48"/>
      <c r="N3058" s="59"/>
      <c r="O3058" s="59">
        <v>70000</v>
      </c>
      <c r="P3058" s="59"/>
      <c r="Q3058" s="268">
        <f t="shared" ref="Q3058:Q3121" si="145">SUM(J3058:P3058)</f>
        <v>70000</v>
      </c>
      <c r="R3058" s="61">
        <f>IF(O3058=0,0,SUMIFS(Disbursements!$T:$T,Disbursements!$B:$B,'Live Collections'!D3058,Disbursements!$D:$D,'Live Collections'!F3058))</f>
        <v>120000</v>
      </c>
      <c r="S3058" s="304">
        <f>IF(O3058&lt;=IF($O3058=0,0,SUMIFS(Disbursements!$W:$W,Disbursements!$B:$B,'Live Collections'!D2339,Disbursements!$D:$D,'Live Collections'!F2339)),O3058,IF($O3058=0,0,SUMIFS(Disbursements!$W:$W,Disbursements!$B:$B,'Live Collections'!D2339,Disbursements!$D:$D,'Live Collections'!F2339)))</f>
        <v>25000</v>
      </c>
      <c r="T3058" s="304">
        <f t="shared" si="143"/>
        <v>45000</v>
      </c>
      <c r="U3058" s="52"/>
      <c r="V3058" s="34"/>
      <c r="W3058" s="408"/>
    </row>
    <row r="3059" spans="1:23" ht="12.75" customHeight="1" x14ac:dyDescent="0.2">
      <c r="A3059" s="257">
        <v>3054</v>
      </c>
      <c r="B3059" s="44">
        <v>44602</v>
      </c>
      <c r="C3059" s="44">
        <f t="shared" si="144"/>
        <v>44602</v>
      </c>
      <c r="D3059" s="374">
        <v>264</v>
      </c>
      <c r="E3059" s="291" t="str">
        <f>IFERROR(VLOOKUP($D3059,'Clients-Live'!$A:$C,3,0),"")</f>
        <v>AMORI JOHN BAPTIST</v>
      </c>
      <c r="F3059" s="291">
        <f>IFERROR(INDEX(Disbursements!$D:$D,MATCH('Live Collections'!G3059,Disbursements!$C:$C,0)),"")</f>
        <v>1</v>
      </c>
      <c r="G3059" s="34">
        <v>298</v>
      </c>
      <c r="H3059" s="34">
        <v>4699</v>
      </c>
      <c r="I3059" s="34" t="s">
        <v>1359</v>
      </c>
      <c r="J3059" s="48"/>
      <c r="K3059" s="48"/>
      <c r="L3059" s="48"/>
      <c r="M3059" s="48"/>
      <c r="N3059" s="59"/>
      <c r="O3059" s="59">
        <v>455000</v>
      </c>
      <c r="P3059" s="59"/>
      <c r="Q3059" s="268">
        <f t="shared" si="145"/>
        <v>455000</v>
      </c>
      <c r="R3059" s="61">
        <f>IF(O3059=0,0,SUMIFS(Disbursements!$T:$T,Disbursements!$B:$B,'Live Collections'!D3059,Disbursements!$D:$D,'Live Collections'!F3059))</f>
        <v>1084000</v>
      </c>
      <c r="S3059" s="304">
        <f>IF(O3059&lt;=IF($O3059=0,0,SUMIFS(Disbursements!$W:$W,Disbursements!$B:$B,'Live Collections'!D2915,Disbursements!$D:$D,'Live Collections'!F2915)),O3059,IF($O3059=0,0,SUMIFS(Disbursements!$W:$W,Disbursements!$B:$B,'Live Collections'!D2915,Disbursements!$D:$D,'Live Collections'!F2915)))</f>
        <v>60000</v>
      </c>
      <c r="T3059" s="304">
        <f t="shared" si="143"/>
        <v>395000</v>
      </c>
      <c r="U3059" s="52"/>
      <c r="V3059" s="34"/>
      <c r="W3059" s="408"/>
    </row>
    <row r="3060" spans="1:23" ht="12.75" customHeight="1" x14ac:dyDescent="0.2">
      <c r="A3060" s="257">
        <v>3058</v>
      </c>
      <c r="B3060" s="44">
        <v>44602</v>
      </c>
      <c r="C3060" s="44">
        <f t="shared" si="144"/>
        <v>44602</v>
      </c>
      <c r="D3060" s="374">
        <v>267</v>
      </c>
      <c r="E3060" s="291" t="str">
        <f>IFERROR(VLOOKUP($D3060,'Clients-Live'!$A:$C,3,0),"")</f>
        <v>KAMUSIRI JULIUS</v>
      </c>
      <c r="F3060" s="291">
        <f>IFERROR(INDEX(Disbursements!$D:$D,MATCH('Live Collections'!G3060,Disbursements!$C:$C,0)),"")</f>
        <v>1</v>
      </c>
      <c r="G3060" s="34">
        <v>346</v>
      </c>
      <c r="H3060" s="34">
        <v>4694</v>
      </c>
      <c r="I3060" s="34" t="s">
        <v>1357</v>
      </c>
      <c r="J3060" s="48"/>
      <c r="K3060" s="48"/>
      <c r="L3060" s="48"/>
      <c r="M3060" s="48"/>
      <c r="N3060" s="59"/>
      <c r="O3060" s="59">
        <v>10000</v>
      </c>
      <c r="P3060" s="59"/>
      <c r="Q3060" s="268">
        <f t="shared" si="145"/>
        <v>10000</v>
      </c>
      <c r="R3060" s="61">
        <f>IF(O3060=0,0,SUMIFS(Disbursements!$T:$T,Disbursements!$B:$B,'Live Collections'!D3060,Disbursements!$D:$D,'Live Collections'!F3060))</f>
        <v>83000</v>
      </c>
      <c r="S3060" s="304"/>
      <c r="T3060" s="304">
        <f t="shared" si="143"/>
        <v>10000</v>
      </c>
      <c r="U3060" s="52"/>
      <c r="V3060" s="34"/>
      <c r="W3060" s="408"/>
    </row>
    <row r="3061" spans="1:23" ht="12.75" customHeight="1" x14ac:dyDescent="0.2">
      <c r="A3061" s="257">
        <v>3063</v>
      </c>
      <c r="B3061" s="44">
        <v>44602</v>
      </c>
      <c r="C3061" s="44">
        <f t="shared" si="144"/>
        <v>44602</v>
      </c>
      <c r="D3061" s="374">
        <v>288</v>
      </c>
      <c r="E3061" s="291" t="str">
        <f>IFERROR(VLOOKUP($D3061,'Clients-Live'!$A:$C,3,0),"")</f>
        <v>MITU LAWRENCE</v>
      </c>
      <c r="F3061" s="291">
        <f>IFERROR(INDEX(Disbursements!$D:$D,MATCH('Live Collections'!G3061,Disbursements!$C:$C,0)),"")</f>
        <v>1</v>
      </c>
      <c r="G3061" s="34">
        <v>347</v>
      </c>
      <c r="H3061" s="34">
        <v>4688</v>
      </c>
      <c r="I3061" s="34" t="s">
        <v>1359</v>
      </c>
      <c r="J3061" s="48"/>
      <c r="K3061" s="48"/>
      <c r="L3061" s="48"/>
      <c r="M3061" s="48"/>
      <c r="N3061" s="59"/>
      <c r="O3061" s="59">
        <v>50000</v>
      </c>
      <c r="P3061" s="59"/>
      <c r="Q3061" s="268">
        <f t="shared" si="145"/>
        <v>50000</v>
      </c>
      <c r="R3061" s="61">
        <f>IF(O3061=0,0,SUMIFS(Disbursements!$T:$T,Disbursements!$B:$B,'Live Collections'!D3061,Disbursements!$D:$D,'Live Collections'!F3061))</f>
        <v>304000</v>
      </c>
      <c r="S3061" s="304">
        <f>IF(O3061&lt;=IF($O3061=0,0,SUMIFS(Disbursements!$W:$W,Disbursements!$B:$B,'Live Collections'!D3040,Disbursements!$D:$D,'Live Collections'!F3040)),O3061,IF($O3061=0,0,SUMIFS(Disbursements!$W:$W,Disbursements!$B:$B,'Live Collections'!D3040,Disbursements!$D:$D,'Live Collections'!F3040)))</f>
        <v>50000</v>
      </c>
      <c r="T3061" s="304">
        <f t="shared" si="143"/>
        <v>0</v>
      </c>
      <c r="U3061" s="52"/>
      <c r="V3061" s="34"/>
      <c r="W3061" s="408"/>
    </row>
    <row r="3062" spans="1:23" ht="12.75" customHeight="1" x14ac:dyDescent="0.2">
      <c r="A3062" s="257">
        <v>3064</v>
      </c>
      <c r="B3062" s="44">
        <v>44603</v>
      </c>
      <c r="C3062" s="44">
        <f t="shared" si="144"/>
        <v>44603</v>
      </c>
      <c r="D3062" s="374">
        <v>53</v>
      </c>
      <c r="E3062" s="291" t="str">
        <f>IFERROR(VLOOKUP($D3062,'Clients-Live'!$A:$C,3,0),"")</f>
        <v>KALSUMU INNOCENT</v>
      </c>
      <c r="F3062" s="291">
        <f>IFERROR(INDEX(Disbursements!$D:$D,MATCH('Live Collections'!G3062,Disbursements!$C:$C,0)),"")</f>
        <v>2</v>
      </c>
      <c r="G3062" s="34">
        <v>329</v>
      </c>
      <c r="H3062" s="34">
        <v>4805</v>
      </c>
      <c r="I3062" s="34" t="s">
        <v>1358</v>
      </c>
      <c r="J3062" s="48"/>
      <c r="K3062" s="48"/>
      <c r="L3062" s="48"/>
      <c r="M3062" s="48"/>
      <c r="N3062" s="59"/>
      <c r="O3062" s="59">
        <v>195000</v>
      </c>
      <c r="P3062" s="59"/>
      <c r="Q3062" s="268">
        <f t="shared" si="145"/>
        <v>195000</v>
      </c>
      <c r="R3062" s="61">
        <f>IF(O3062=0,0,SUMIFS(Disbursements!$T:$T,Disbursements!$B:$B,'Live Collections'!D3062,Disbursements!$D:$D,'Live Collections'!F3062))</f>
        <v>195000</v>
      </c>
      <c r="S3062" s="304">
        <f>IF(O3062&lt;=IF($O3062=0,0,SUMIFS(Disbursements!$W:$W,Disbursements!$B:$B,'Live Collections'!D628,Disbursements!$D:$D,'Live Collections'!F628)),O3062,IF($O3062=0,0,SUMIFS(Disbursements!$W:$W,Disbursements!$B:$B,'Live Collections'!D628,Disbursements!$D:$D,'Live Collections'!F628)))</f>
        <v>50333.333333333343</v>
      </c>
      <c r="T3062" s="304">
        <f t="shared" si="143"/>
        <v>144666.66666666666</v>
      </c>
      <c r="U3062" s="52"/>
      <c r="V3062" s="34"/>
      <c r="W3062" s="408"/>
    </row>
    <row r="3063" spans="1:23" ht="12.75" customHeight="1" x14ac:dyDescent="0.2">
      <c r="A3063" s="257">
        <v>3074</v>
      </c>
      <c r="B3063" s="44">
        <v>44603</v>
      </c>
      <c r="C3063" s="44">
        <f t="shared" si="144"/>
        <v>44603</v>
      </c>
      <c r="D3063" s="374">
        <v>73</v>
      </c>
      <c r="E3063" s="291" t="str">
        <f>IFERROR(VLOOKUP($D3063,'Clients-Live'!$A:$C,3,0),"")</f>
        <v>AJONYE DEBORA</v>
      </c>
      <c r="F3063" s="291">
        <f>IFERROR(INDEX(Disbursements!$D:$D,MATCH('Live Collections'!G3063,Disbursements!$C:$C,0)),"")</f>
        <v>3</v>
      </c>
      <c r="G3063" s="34">
        <v>426</v>
      </c>
      <c r="H3063" s="34">
        <v>4801</v>
      </c>
      <c r="I3063" s="34" t="s">
        <v>1357</v>
      </c>
      <c r="J3063" s="48"/>
      <c r="K3063" s="48"/>
      <c r="L3063" s="48"/>
      <c r="M3063" s="48"/>
      <c r="N3063" s="59"/>
      <c r="O3063" s="59">
        <v>53000</v>
      </c>
      <c r="P3063" s="59"/>
      <c r="Q3063" s="268">
        <f t="shared" si="145"/>
        <v>53000</v>
      </c>
      <c r="R3063" s="61">
        <f>IF(O3063=0,0,SUMIFS(Disbursements!$T:$T,Disbursements!$B:$B,'Live Collections'!D3063,Disbursements!$D:$D,'Live Collections'!F3063))</f>
        <v>53000</v>
      </c>
      <c r="S3063" s="304">
        <f>IF(O3063&lt;=IF($O3063=0,0,SUMIFS(Disbursements!$W:$W,Disbursements!$B:$B,'Live Collections'!D933,Disbursements!$D:$D,'Live Collections'!F933)),O3063,IF($O3063=0,0,SUMIFS(Disbursements!$W:$W,Disbursements!$B:$B,'Live Collections'!D933,Disbursements!$D:$D,'Live Collections'!F933)))</f>
        <v>35333.333333333328</v>
      </c>
      <c r="T3063" s="304">
        <f t="shared" si="143"/>
        <v>17666.666666666672</v>
      </c>
      <c r="U3063" s="52"/>
      <c r="V3063" s="34"/>
      <c r="W3063" s="408"/>
    </row>
    <row r="3064" spans="1:23" ht="12.75" customHeight="1" x14ac:dyDescent="0.2">
      <c r="A3064" s="257">
        <v>3067</v>
      </c>
      <c r="B3064" s="44">
        <v>44603</v>
      </c>
      <c r="C3064" s="44">
        <f t="shared" si="144"/>
        <v>44603</v>
      </c>
      <c r="D3064" s="374">
        <v>75</v>
      </c>
      <c r="E3064" s="291" t="str">
        <f>IFERROR(VLOOKUP($D3064,'Clients-Live'!$A:$C,3,0),"")</f>
        <v>MUKULIA JAMES</v>
      </c>
      <c r="F3064" s="291">
        <f>IFERROR(INDEX(Disbursements!$D:$D,MATCH('Live Collections'!G3064,Disbursements!$C:$C,0)),"")</f>
        <v>3</v>
      </c>
      <c r="G3064" s="34">
        <v>357</v>
      </c>
      <c r="H3064" s="34">
        <v>4807</v>
      </c>
      <c r="I3064" s="34" t="s">
        <v>1359</v>
      </c>
      <c r="J3064" s="48"/>
      <c r="K3064" s="48"/>
      <c r="L3064" s="48"/>
      <c r="M3064" s="48"/>
      <c r="N3064" s="59"/>
      <c r="O3064" s="59">
        <v>20000</v>
      </c>
      <c r="P3064" s="59"/>
      <c r="Q3064" s="268">
        <f t="shared" si="145"/>
        <v>20000</v>
      </c>
      <c r="R3064" s="61">
        <f>IF(O3064=0,0,SUMIFS(Disbursements!$T:$T,Disbursements!$B:$B,'Live Collections'!D3064,Disbursements!$D:$D,'Live Collections'!F3064))</f>
        <v>175000</v>
      </c>
      <c r="S3064" s="304">
        <f>IF(O3064&lt;=IF($O3064=0,0,SUMIFS(Disbursements!$W:$W,Disbursements!$B:$B,'Live Collections'!D968,Disbursements!$D:$D,'Live Collections'!F968)),O3064,IF($O3064=0,0,SUMIFS(Disbursements!$W:$W,Disbursements!$B:$B,'Live Collections'!D968,Disbursements!$D:$D,'Live Collections'!F968)))</f>
        <v>20000</v>
      </c>
      <c r="T3064" s="304">
        <f t="shared" si="143"/>
        <v>0</v>
      </c>
      <c r="U3064" s="52"/>
      <c r="V3064" s="34"/>
      <c r="W3064" s="408"/>
    </row>
    <row r="3065" spans="1:23" ht="12.75" customHeight="1" x14ac:dyDescent="0.2">
      <c r="A3065" s="257">
        <v>3068</v>
      </c>
      <c r="B3065" s="44">
        <v>44603</v>
      </c>
      <c r="C3065" s="44">
        <f t="shared" si="144"/>
        <v>44603</v>
      </c>
      <c r="D3065" s="374">
        <v>124</v>
      </c>
      <c r="E3065" s="291" t="str">
        <f>IFERROR(VLOOKUP($D3065,'Clients-Live'!$A:$C,3,0),"")</f>
        <v>TIKO ZABIBU</v>
      </c>
      <c r="F3065" s="291">
        <f>IFERROR(INDEX(Disbursements!$D:$D,MATCH('Live Collections'!G3065,Disbursements!$C:$C,0)),"")</f>
        <v>2</v>
      </c>
      <c r="G3065" s="34">
        <v>335</v>
      </c>
      <c r="H3065" s="34">
        <v>4803</v>
      </c>
      <c r="I3065" s="34" t="s">
        <v>1358</v>
      </c>
      <c r="J3065" s="48"/>
      <c r="K3065" s="48"/>
      <c r="L3065" s="48"/>
      <c r="M3065" s="48"/>
      <c r="N3065" s="59"/>
      <c r="O3065" s="59">
        <v>50000</v>
      </c>
      <c r="P3065" s="59"/>
      <c r="Q3065" s="268">
        <f t="shared" si="145"/>
        <v>50000</v>
      </c>
      <c r="R3065" s="61">
        <f>IF(O3065=0,0,SUMIFS(Disbursements!$T:$T,Disbursements!$B:$B,'Live Collections'!D3065,Disbursements!$D:$D,'Live Collections'!F3065))</f>
        <v>200000</v>
      </c>
      <c r="S3065" s="304">
        <v>10000</v>
      </c>
      <c r="T3065" s="304">
        <f t="shared" si="143"/>
        <v>40000</v>
      </c>
      <c r="U3065" s="52"/>
      <c r="V3065" s="34"/>
      <c r="W3065" s="408"/>
    </row>
    <row r="3066" spans="1:23" ht="12.75" customHeight="1" x14ac:dyDescent="0.2">
      <c r="A3066" s="257">
        <v>3066</v>
      </c>
      <c r="B3066" s="44">
        <v>44603</v>
      </c>
      <c r="C3066" s="44">
        <f t="shared" si="144"/>
        <v>44603</v>
      </c>
      <c r="D3066" s="374">
        <v>134</v>
      </c>
      <c r="E3066" s="291" t="str">
        <f>IFERROR(VLOOKUP($D3066,'Clients-Live'!$A:$C,3,0),"")</f>
        <v>TABU NATALIYA</v>
      </c>
      <c r="F3066" s="291">
        <f>IFERROR(INDEX(Disbursements!$D:$D,MATCH('Live Collections'!G3066,Disbursements!$C:$C,0)),"")</f>
        <v>2</v>
      </c>
      <c r="G3066" s="34">
        <v>324</v>
      </c>
      <c r="H3066" s="34">
        <v>4806</v>
      </c>
      <c r="I3066" s="34" t="s">
        <v>1359</v>
      </c>
      <c r="J3066" s="48"/>
      <c r="K3066" s="48"/>
      <c r="L3066" s="48"/>
      <c r="M3066" s="48"/>
      <c r="N3066" s="59"/>
      <c r="O3066" s="59">
        <v>20000</v>
      </c>
      <c r="P3066" s="59"/>
      <c r="Q3066" s="268">
        <f t="shared" si="145"/>
        <v>20000</v>
      </c>
      <c r="R3066" s="61">
        <f>IF(O3066=0,0,SUMIFS(Disbursements!$T:$T,Disbursements!$B:$B,'Live Collections'!D3066,Disbursements!$D:$D,'Live Collections'!F3066))</f>
        <v>120000</v>
      </c>
      <c r="S3066" s="304">
        <v>10000</v>
      </c>
      <c r="T3066" s="304">
        <f t="shared" si="143"/>
        <v>10000</v>
      </c>
      <c r="U3066" s="52"/>
      <c r="V3066" s="34"/>
      <c r="W3066" s="408"/>
    </row>
    <row r="3067" spans="1:23" ht="12.75" customHeight="1" x14ac:dyDescent="0.2">
      <c r="A3067" s="257">
        <v>3065</v>
      </c>
      <c r="B3067" s="44">
        <v>44603</v>
      </c>
      <c r="C3067" s="44">
        <f t="shared" si="144"/>
        <v>44603</v>
      </c>
      <c r="D3067" s="374">
        <v>141</v>
      </c>
      <c r="E3067" s="291" t="str">
        <f>IFERROR(VLOOKUP($D3067,'Clients-Live'!$A:$C,3,0),"")</f>
        <v>DRAMANI WILFRED</v>
      </c>
      <c r="F3067" s="291">
        <f>IFERROR(INDEX(Disbursements!$D:$D,MATCH('Live Collections'!G3067,Disbursements!$C:$C,0)),"")</f>
        <v>2</v>
      </c>
      <c r="G3067" s="34">
        <v>207</v>
      </c>
      <c r="H3067" s="34">
        <v>4751</v>
      </c>
      <c r="I3067" s="34" t="s">
        <v>1359</v>
      </c>
      <c r="J3067" s="48"/>
      <c r="K3067" s="48"/>
      <c r="L3067" s="48"/>
      <c r="M3067" s="48"/>
      <c r="N3067" s="59"/>
      <c r="O3067" s="59">
        <v>10000</v>
      </c>
      <c r="P3067" s="59"/>
      <c r="Q3067" s="268">
        <f t="shared" si="145"/>
        <v>10000</v>
      </c>
      <c r="R3067" s="61">
        <f>IF(O3067=0,0,SUMIFS(Disbursements!$T:$T,Disbursements!$B:$B,'Live Collections'!D3067,Disbursements!$D:$D,'Live Collections'!F3067))</f>
        <v>175000</v>
      </c>
      <c r="S3067" s="304"/>
      <c r="T3067" s="304">
        <f t="shared" si="143"/>
        <v>10000</v>
      </c>
      <c r="U3067" s="52"/>
      <c r="V3067" s="34"/>
      <c r="W3067" s="408"/>
    </row>
    <row r="3068" spans="1:23" ht="12.75" customHeight="1" x14ac:dyDescent="0.2">
      <c r="A3068" s="257">
        <v>3071</v>
      </c>
      <c r="B3068" s="44">
        <v>44603</v>
      </c>
      <c r="C3068" s="44">
        <f t="shared" si="144"/>
        <v>44603</v>
      </c>
      <c r="D3068" s="374">
        <v>141</v>
      </c>
      <c r="E3068" s="291" t="str">
        <f>IFERROR(VLOOKUP($D3068,'Clients-Live'!$A:$C,3,0),"")</f>
        <v>DRAMANI WILFRED</v>
      </c>
      <c r="F3068" s="291">
        <f>IFERROR(INDEX(Disbursements!$D:$D,MATCH('Live Collections'!G3068,Disbursements!$C:$C,0)),"")</f>
        <v>2</v>
      </c>
      <c r="G3068" s="34">
        <v>207</v>
      </c>
      <c r="H3068" s="34">
        <v>4804</v>
      </c>
      <c r="I3068" s="34" t="s">
        <v>1359</v>
      </c>
      <c r="J3068" s="48"/>
      <c r="K3068" s="48"/>
      <c r="L3068" s="48"/>
      <c r="M3068" s="48"/>
      <c r="N3068" s="59"/>
      <c r="O3068" s="59">
        <v>140000</v>
      </c>
      <c r="P3068" s="59"/>
      <c r="Q3068" s="268">
        <f t="shared" si="145"/>
        <v>140000</v>
      </c>
      <c r="R3068" s="61">
        <f>IF(O3068=0,0,SUMIFS(Disbursements!$T:$T,Disbursements!$B:$B,'Live Collections'!D3068,Disbursements!$D:$D,'Live Collections'!F3068))</f>
        <v>175000</v>
      </c>
      <c r="S3068" s="304"/>
      <c r="T3068" s="304">
        <f t="shared" si="143"/>
        <v>140000</v>
      </c>
      <c r="U3068" s="52"/>
      <c r="V3068" s="34"/>
      <c r="W3068" s="408"/>
    </row>
    <row r="3069" spans="1:23" ht="12.75" customHeight="1" x14ac:dyDescent="0.2">
      <c r="A3069" s="257">
        <v>3072</v>
      </c>
      <c r="B3069" s="44">
        <v>44603</v>
      </c>
      <c r="C3069" s="44">
        <f t="shared" si="144"/>
        <v>44603</v>
      </c>
      <c r="D3069" s="374">
        <v>175</v>
      </c>
      <c r="E3069" s="291" t="str">
        <f>IFERROR(VLOOKUP($D3069,'Clients-Live'!$A:$C,3,0),"")</f>
        <v>ZUBEDA WAIGA</v>
      </c>
      <c r="F3069" s="291" t="str">
        <f>IFERROR(INDEX(Disbursements!$D:$D,MATCH('Live Collections'!G3069,Disbursements!$C:$C,0)),"")</f>
        <v/>
      </c>
      <c r="G3069" s="34"/>
      <c r="H3069" s="34">
        <v>4802</v>
      </c>
      <c r="I3069" s="34" t="s">
        <v>1358</v>
      </c>
      <c r="J3069" s="48"/>
      <c r="K3069" s="48"/>
      <c r="L3069" s="48">
        <v>15000</v>
      </c>
      <c r="M3069" s="48">
        <v>5000</v>
      </c>
      <c r="N3069" s="59"/>
      <c r="O3069" s="59"/>
      <c r="P3069" s="59"/>
      <c r="Q3069" s="268">
        <f t="shared" si="145"/>
        <v>20000</v>
      </c>
      <c r="R3069" s="61">
        <f>IF(O3069=0,0,SUMIFS(Disbursements!$T:$T,Disbursements!$B:$B,'Live Collections'!D3069,Disbursements!$D:$D,'Live Collections'!F3069))</f>
        <v>0</v>
      </c>
      <c r="S3069" s="304">
        <f>IF(O3069&lt;=IF($O3069=0,0,SUMIFS(Disbursements!$W:$W,Disbursements!$B:$B,'Live Collections'!D2148,Disbursements!$D:$D,'Live Collections'!F2148)),O3069,IF($O3069=0,0,SUMIFS(Disbursements!$W:$W,Disbursements!$B:$B,'Live Collections'!D2148,Disbursements!$D:$D,'Live Collections'!F2148)))</f>
        <v>0</v>
      </c>
      <c r="T3069" s="304">
        <f t="shared" ref="T3069:T3132" si="146">IF(O3069=0,0,O3069-S3069)</f>
        <v>0</v>
      </c>
      <c r="U3069" s="52"/>
      <c r="V3069" s="34"/>
      <c r="W3069" s="408"/>
    </row>
    <row r="3070" spans="1:23" ht="12.75" customHeight="1" x14ac:dyDescent="0.2">
      <c r="A3070" s="257">
        <v>3070</v>
      </c>
      <c r="B3070" s="44">
        <v>44603</v>
      </c>
      <c r="C3070" s="44">
        <f t="shared" si="144"/>
        <v>44603</v>
      </c>
      <c r="D3070" s="374">
        <v>205</v>
      </c>
      <c r="E3070" s="291" t="str">
        <f>IFERROR(VLOOKUP($D3070,'Clients-Live'!$A:$C,3,0),"")</f>
        <v>OPIRU ALICE</v>
      </c>
      <c r="F3070" s="291">
        <f>IFERROR(INDEX(Disbursements!$D:$D,MATCH('Live Collections'!G3070,Disbursements!$C:$C,0)),"")</f>
        <v>2</v>
      </c>
      <c r="G3070" s="34">
        <v>396</v>
      </c>
      <c r="H3070" s="34">
        <v>4808</v>
      </c>
      <c r="I3070" s="34" t="s">
        <v>1359</v>
      </c>
      <c r="J3070" s="48"/>
      <c r="K3070" s="48"/>
      <c r="L3070" s="48"/>
      <c r="M3070" s="48"/>
      <c r="N3070" s="59"/>
      <c r="O3070" s="59">
        <v>50000</v>
      </c>
      <c r="P3070" s="59"/>
      <c r="Q3070" s="268">
        <f t="shared" si="145"/>
        <v>50000</v>
      </c>
      <c r="R3070" s="61">
        <f>IF(O3070=0,0,SUMIFS(Disbursements!$T:$T,Disbursements!$B:$B,'Live Collections'!D3070,Disbursements!$D:$D,'Live Collections'!F3070))</f>
        <v>40000</v>
      </c>
      <c r="S3070" s="304">
        <f>IF(O3070&lt;=IF($O3070=0,0,SUMIFS(Disbursements!$W:$W,Disbursements!$B:$B,'Live Collections'!D2433,Disbursements!$D:$D,'Live Collections'!F2433)),O3070,IF($O3070=0,0,SUMIFS(Disbursements!$W:$W,Disbursements!$B:$B,'Live Collections'!D2433,Disbursements!$D:$D,'Live Collections'!F2433)))</f>
        <v>35000</v>
      </c>
      <c r="T3070" s="304">
        <f t="shared" si="146"/>
        <v>15000</v>
      </c>
      <c r="U3070" s="52"/>
      <c r="V3070" s="34"/>
      <c r="W3070" s="408"/>
    </row>
    <row r="3071" spans="1:23" ht="12.75" customHeight="1" x14ac:dyDescent="0.2">
      <c r="A3071" s="257">
        <v>3069</v>
      </c>
      <c r="B3071" s="44">
        <v>44603</v>
      </c>
      <c r="C3071" s="44">
        <f t="shared" si="144"/>
        <v>44603</v>
      </c>
      <c r="D3071" s="374">
        <v>211</v>
      </c>
      <c r="E3071" s="291" t="str">
        <f>IFERROR(VLOOKUP($D3071,'Clients-Live'!$A:$C,3,0),"")</f>
        <v>WILARU JOYCE</v>
      </c>
      <c r="F3071" s="291">
        <f>IFERROR(INDEX(Disbursements!$D:$D,MATCH('Live Collections'!G3071,Disbursements!$C:$C,0)),"")</f>
        <v>2</v>
      </c>
      <c r="G3071" s="34">
        <v>403</v>
      </c>
      <c r="H3071" s="34">
        <v>4809</v>
      </c>
      <c r="I3071" s="34" t="s">
        <v>1358</v>
      </c>
      <c r="J3071" s="48"/>
      <c r="K3071" s="48"/>
      <c r="L3071" s="48"/>
      <c r="M3071" s="48"/>
      <c r="N3071" s="59"/>
      <c r="O3071" s="59">
        <v>80000</v>
      </c>
      <c r="P3071" s="59"/>
      <c r="Q3071" s="268">
        <f t="shared" si="145"/>
        <v>80000</v>
      </c>
      <c r="R3071" s="61">
        <f>IF(O3071=0,0,SUMIFS(Disbursements!$T:$T,Disbursements!$B:$B,'Live Collections'!D3071,Disbursements!$D:$D,'Live Collections'!F3071))</f>
        <v>87000</v>
      </c>
      <c r="S3071" s="304">
        <f>IF(O3071&lt;=IF($O3071=0,0,SUMIFS(Disbursements!$W:$W,Disbursements!$B:$B,'Live Collections'!D2497,Disbursements!$D:$D,'Live Collections'!F2497)),O3071,IF($O3071=0,0,SUMIFS(Disbursements!$W:$W,Disbursements!$B:$B,'Live Collections'!D2497,Disbursements!$D:$D,'Live Collections'!F2497)))</f>
        <v>20000</v>
      </c>
      <c r="T3071" s="304">
        <f t="shared" si="146"/>
        <v>60000</v>
      </c>
      <c r="U3071" s="52"/>
      <c r="V3071" s="34"/>
      <c r="W3071" s="408"/>
    </row>
    <row r="3072" spans="1:23" ht="12.75" customHeight="1" x14ac:dyDescent="0.2">
      <c r="A3072" s="257">
        <v>3073</v>
      </c>
      <c r="B3072" s="44">
        <v>44603</v>
      </c>
      <c r="C3072" s="44">
        <f t="shared" si="144"/>
        <v>44603</v>
      </c>
      <c r="D3072" s="374">
        <v>303</v>
      </c>
      <c r="E3072" s="291" t="str">
        <f>IFERROR(VLOOKUP($D3072,'Clients-Live'!$A:$C,3,0),"")</f>
        <v>APAYI DOROTHY</v>
      </c>
      <c r="F3072" s="291">
        <f>IFERROR(INDEX(Disbursements!$D:$D,MATCH('Live Collections'!G3072,Disbursements!$C:$C,0)),"")</f>
        <v>1</v>
      </c>
      <c r="G3072" s="34">
        <v>399</v>
      </c>
      <c r="H3072" s="34">
        <v>4593</v>
      </c>
      <c r="I3072" s="34" t="s">
        <v>1359</v>
      </c>
      <c r="J3072" s="48"/>
      <c r="K3072" s="48"/>
      <c r="L3072" s="48"/>
      <c r="M3072" s="48"/>
      <c r="N3072" s="59"/>
      <c r="O3072" s="59">
        <v>39000</v>
      </c>
      <c r="P3072" s="59"/>
      <c r="Q3072" s="268">
        <f t="shared" si="145"/>
        <v>39000</v>
      </c>
      <c r="R3072" s="61">
        <f>IF(O3072=0,0,SUMIFS(Disbursements!$T:$T,Disbursements!$B:$B,'Live Collections'!D3072,Disbursements!$D:$D,'Live Collections'!F3072))</f>
        <v>40000</v>
      </c>
      <c r="S3072" s="304">
        <f>IF(O3072&lt;=IF($O3072=0,0,SUMIFS(Disbursements!$W:$W,Disbursements!$B:$B,'Live Collections'!D3092,Disbursements!$D:$D,'Live Collections'!F3092)),O3072,IF($O3072=0,0,SUMIFS(Disbursements!$W:$W,Disbursements!$B:$B,'Live Collections'!D3092,Disbursements!$D:$D,'Live Collections'!F3092)))</f>
        <v>39000</v>
      </c>
      <c r="T3072" s="304">
        <f t="shared" si="146"/>
        <v>0</v>
      </c>
      <c r="U3072" s="52"/>
      <c r="V3072" s="34"/>
      <c r="W3072" s="408"/>
    </row>
    <row r="3073" spans="1:23" ht="12.75" customHeight="1" x14ac:dyDescent="0.2">
      <c r="A3073" s="257">
        <v>3078</v>
      </c>
      <c r="B3073" s="44">
        <v>44604</v>
      </c>
      <c r="C3073" s="44">
        <f t="shared" si="144"/>
        <v>44604</v>
      </c>
      <c r="D3073" s="374">
        <v>20</v>
      </c>
      <c r="E3073" s="291" t="str">
        <f>IFERROR(VLOOKUP($D3073,'Clients-Live'!$A:$C,3,0),"")</f>
        <v>ANDEZO KEVIN</v>
      </c>
      <c r="F3073" s="291">
        <f>IFERROR(INDEX(Disbursements!$D:$D,MATCH('Live Collections'!G3073,Disbursements!$C:$C,0)),"")</f>
        <v>3</v>
      </c>
      <c r="G3073" s="34">
        <v>427</v>
      </c>
      <c r="H3073" s="34">
        <v>4598</v>
      </c>
      <c r="I3073" s="34" t="s">
        <v>1358</v>
      </c>
      <c r="J3073" s="48"/>
      <c r="K3073" s="48"/>
      <c r="L3073" s="48"/>
      <c r="M3073" s="48"/>
      <c r="N3073" s="59"/>
      <c r="O3073" s="59">
        <v>67000</v>
      </c>
      <c r="P3073" s="59"/>
      <c r="Q3073" s="268">
        <f t="shared" si="145"/>
        <v>67000</v>
      </c>
      <c r="R3073" s="61">
        <f>IF(O3073=0,0,SUMIFS(Disbursements!$T:$T,Disbursements!$B:$B,'Live Collections'!D3073,Disbursements!$D:$D,'Live Collections'!F3073))</f>
        <v>67000</v>
      </c>
      <c r="S3073" s="304">
        <f>IF(O3073&lt;=IF($O3073=0,0,SUMIFS(Disbursements!$W:$W,Disbursements!$B:$B,'Live Collections'!D262,Disbursements!$D:$D,'Live Collections'!F262)),O3073,IF($O3073=0,0,SUMIFS(Disbursements!$W:$W,Disbursements!$B:$B,'Live Collections'!D262,Disbursements!$D:$D,'Live Collections'!F262)))</f>
        <v>15000</v>
      </c>
      <c r="T3073" s="304">
        <f t="shared" si="146"/>
        <v>52000</v>
      </c>
      <c r="U3073" s="52"/>
      <c r="V3073" s="34"/>
      <c r="W3073" s="408"/>
    </row>
    <row r="3074" spans="1:23" ht="12.75" customHeight="1" x14ac:dyDescent="0.2">
      <c r="A3074" s="257">
        <v>3089</v>
      </c>
      <c r="B3074" s="44">
        <v>44604</v>
      </c>
      <c r="C3074" s="44">
        <f t="shared" si="144"/>
        <v>44604</v>
      </c>
      <c r="D3074" s="374">
        <v>27</v>
      </c>
      <c r="E3074" s="291" t="str">
        <f>IFERROR(VLOOKUP($D3074,'Clients-Live'!$A:$C,3,0),"")</f>
        <v>KANA GIFT</v>
      </c>
      <c r="F3074" s="291" t="str">
        <f>IFERROR(INDEX(Disbursements!$D:$D,MATCH('Live Collections'!G3074,Disbursements!$C:$C,0)),"")</f>
        <v/>
      </c>
      <c r="G3074" s="34"/>
      <c r="H3074" s="34">
        <v>4851</v>
      </c>
      <c r="I3074" s="34" t="s">
        <v>1359</v>
      </c>
      <c r="J3074" s="48"/>
      <c r="K3074" s="48"/>
      <c r="L3074" s="48">
        <v>10000</v>
      </c>
      <c r="M3074" s="48"/>
      <c r="N3074" s="59"/>
      <c r="O3074" s="59"/>
      <c r="P3074" s="59"/>
      <c r="Q3074" s="268">
        <f t="shared" si="145"/>
        <v>10000</v>
      </c>
      <c r="R3074" s="61">
        <f>IF(O3074=0,0,SUMIFS(Disbursements!$T:$T,Disbursements!$B:$B,'Live Collections'!D3074,Disbursements!$D:$D,'Live Collections'!F3074))</f>
        <v>0</v>
      </c>
      <c r="S3074" s="304">
        <f>IF(O3074&lt;=IF($O3074=0,0,SUMIFS(Disbursements!$W:$W,Disbursements!$B:$B,'Live Collections'!D333,Disbursements!$D:$D,'Live Collections'!F333)),O3074,IF($O3074=0,0,SUMIFS(Disbursements!$W:$W,Disbursements!$B:$B,'Live Collections'!D333,Disbursements!$D:$D,'Live Collections'!F333)))</f>
        <v>0</v>
      </c>
      <c r="T3074" s="304">
        <f t="shared" si="146"/>
        <v>0</v>
      </c>
      <c r="U3074" s="52"/>
      <c r="V3074" s="34"/>
      <c r="W3074" s="408"/>
    </row>
    <row r="3075" spans="1:23" ht="12.75" customHeight="1" x14ac:dyDescent="0.2">
      <c r="A3075" s="257">
        <v>3075</v>
      </c>
      <c r="B3075" s="44">
        <v>44604</v>
      </c>
      <c r="C3075" s="44">
        <f t="shared" ref="C3075:C3138" si="147">B3075</f>
        <v>44604</v>
      </c>
      <c r="D3075" s="374">
        <v>71</v>
      </c>
      <c r="E3075" s="291" t="str">
        <f>IFERROR(VLOOKUP($D3075,'Clients-Live'!$A:$C,3,0),"")</f>
        <v>AYIKORU HARIET BAUDI</v>
      </c>
      <c r="F3075" s="291">
        <f>IFERROR(INDEX(Disbursements!$D:$D,MATCH('Live Collections'!G3075,Disbursements!$C:$C,0)),"")</f>
        <v>2</v>
      </c>
      <c r="G3075" s="34">
        <v>326</v>
      </c>
      <c r="H3075" s="34">
        <v>769</v>
      </c>
      <c r="I3075" s="34" t="s">
        <v>1359</v>
      </c>
      <c r="J3075" s="48"/>
      <c r="K3075" s="48"/>
      <c r="L3075" s="48"/>
      <c r="M3075" s="48"/>
      <c r="N3075" s="59"/>
      <c r="O3075" s="59"/>
      <c r="P3075" s="59">
        <v>-200000</v>
      </c>
      <c r="Q3075" s="268">
        <f t="shared" si="145"/>
        <v>-200000</v>
      </c>
      <c r="R3075" s="61">
        <f>IF(O3075=0,0,SUMIFS(Disbursements!$T:$T,Disbursements!$B:$B,'Live Collections'!D3075,Disbursements!$D:$D,'Live Collections'!F3075))</f>
        <v>0</v>
      </c>
      <c r="S3075" s="304">
        <f>IF(O3075&lt;=IF($O3075=0,0,SUMIFS(Disbursements!$W:$W,Disbursements!$B:$B,'Live Collections'!D899,Disbursements!$D:$D,'Live Collections'!F899)),O3075,IF($O3075=0,0,SUMIFS(Disbursements!$W:$W,Disbursements!$B:$B,'Live Collections'!D899,Disbursements!$D:$D,'Live Collections'!F899)))</f>
        <v>0</v>
      </c>
      <c r="T3075" s="304">
        <f t="shared" si="146"/>
        <v>0</v>
      </c>
      <c r="U3075" s="52"/>
      <c r="V3075" s="34"/>
      <c r="W3075" s="408"/>
    </row>
    <row r="3076" spans="1:23" ht="12.75" customHeight="1" x14ac:dyDescent="0.2">
      <c r="A3076" s="257">
        <v>3076</v>
      </c>
      <c r="B3076" s="44">
        <v>44604</v>
      </c>
      <c r="C3076" s="44">
        <f t="shared" si="147"/>
        <v>44604</v>
      </c>
      <c r="D3076" s="374">
        <v>71</v>
      </c>
      <c r="E3076" s="291" t="str">
        <f>IFERROR(VLOOKUP($D3076,'Clients-Live'!$A:$C,3,0),"")</f>
        <v>AYIKORU HARIET BAUDI</v>
      </c>
      <c r="F3076" s="291">
        <f>IFERROR(INDEX(Disbursements!$D:$D,MATCH('Live Collections'!G3076,Disbursements!$C:$C,0)),"")</f>
        <v>2</v>
      </c>
      <c r="G3076" s="34">
        <v>326</v>
      </c>
      <c r="H3076" s="34">
        <v>4761</v>
      </c>
      <c r="I3076" s="34" t="s">
        <v>1359</v>
      </c>
      <c r="J3076" s="48"/>
      <c r="K3076" s="48"/>
      <c r="L3076" s="48"/>
      <c r="M3076" s="48"/>
      <c r="N3076" s="59"/>
      <c r="O3076" s="59">
        <v>200000</v>
      </c>
      <c r="P3076" s="59"/>
      <c r="Q3076" s="268">
        <f t="shared" si="145"/>
        <v>200000</v>
      </c>
      <c r="R3076" s="61">
        <f>IF(O3076=0,0,SUMIFS(Disbursements!$T:$T,Disbursements!$B:$B,'Live Collections'!D3076,Disbursements!$D:$D,'Live Collections'!F3076))</f>
        <v>500000</v>
      </c>
      <c r="S3076" s="304"/>
      <c r="T3076" s="304">
        <f t="shared" si="146"/>
        <v>200000</v>
      </c>
      <c r="U3076" s="52"/>
      <c r="V3076" s="34"/>
      <c r="W3076" s="408"/>
    </row>
    <row r="3077" spans="1:23" ht="12.75" customHeight="1" x14ac:dyDescent="0.2">
      <c r="A3077" s="257">
        <v>3077</v>
      </c>
      <c r="B3077" s="44">
        <v>44604</v>
      </c>
      <c r="C3077" s="44">
        <f t="shared" si="147"/>
        <v>44604</v>
      </c>
      <c r="D3077" s="374">
        <v>71</v>
      </c>
      <c r="E3077" s="291" t="str">
        <f>IFERROR(VLOOKUP($D3077,'Clients-Live'!$A:$C,3,0),"")</f>
        <v>AYIKORU HARIET BAUDI</v>
      </c>
      <c r="F3077" s="291" t="str">
        <f>IFERROR(INDEX(Disbursements!$D:$D,MATCH('Live Collections'!G3077,Disbursements!$C:$C,0)),"")</f>
        <v/>
      </c>
      <c r="G3077" s="34"/>
      <c r="H3077" s="34">
        <v>4762</v>
      </c>
      <c r="I3077" s="34" t="s">
        <v>1359</v>
      </c>
      <c r="J3077" s="48"/>
      <c r="K3077" s="48"/>
      <c r="L3077" s="48">
        <v>30000</v>
      </c>
      <c r="M3077" s="48">
        <v>5000</v>
      </c>
      <c r="N3077" s="59"/>
      <c r="O3077" s="59"/>
      <c r="P3077" s="59"/>
      <c r="Q3077" s="268">
        <f t="shared" si="145"/>
        <v>35000</v>
      </c>
      <c r="R3077" s="61">
        <f>IF(O3077=0,0,SUMIFS(Disbursements!$T:$T,Disbursements!$B:$B,'Live Collections'!D3077,Disbursements!$D:$D,'Live Collections'!F3077))</f>
        <v>0</v>
      </c>
      <c r="S3077" s="304">
        <f>IF(O3077&lt;=IF($O3077=0,0,SUMIFS(Disbursements!$W:$W,Disbursements!$B:$B,'Live Collections'!D901,Disbursements!$D:$D,'Live Collections'!F901)),O3077,IF($O3077=0,0,SUMIFS(Disbursements!$W:$W,Disbursements!$B:$B,'Live Collections'!D901,Disbursements!$D:$D,'Live Collections'!F901)))</f>
        <v>0</v>
      </c>
      <c r="T3077" s="304">
        <f t="shared" si="146"/>
        <v>0</v>
      </c>
      <c r="U3077" s="52"/>
      <c r="V3077" s="34"/>
      <c r="W3077" s="408"/>
    </row>
    <row r="3078" spans="1:23" ht="12.75" customHeight="1" x14ac:dyDescent="0.2">
      <c r="A3078" s="257">
        <v>3079</v>
      </c>
      <c r="B3078" s="44">
        <v>44604</v>
      </c>
      <c r="C3078" s="44">
        <f t="shared" si="147"/>
        <v>44604</v>
      </c>
      <c r="D3078" s="374">
        <v>71</v>
      </c>
      <c r="E3078" s="291" t="str">
        <f>IFERROR(VLOOKUP($D3078,'Clients-Live'!$A:$C,3,0),"")</f>
        <v>AYIKORU HARIET BAUDI</v>
      </c>
      <c r="F3078" s="291">
        <f>IFERROR(INDEX(Disbursements!$D:$D,MATCH('Live Collections'!G3078,Disbursements!$C:$C,0)),"")</f>
        <v>2</v>
      </c>
      <c r="G3078" s="34">
        <v>326</v>
      </c>
      <c r="H3078" s="34">
        <v>4760</v>
      </c>
      <c r="I3078" s="34" t="s">
        <v>1359</v>
      </c>
      <c r="J3078" s="48"/>
      <c r="K3078" s="48"/>
      <c r="L3078" s="48"/>
      <c r="M3078" s="48"/>
      <c r="N3078" s="59"/>
      <c r="O3078" s="59">
        <v>1300000</v>
      </c>
      <c r="P3078" s="59"/>
      <c r="Q3078" s="268">
        <f t="shared" si="145"/>
        <v>1300000</v>
      </c>
      <c r="R3078" s="61">
        <f>IF(O3078=0,0,SUMIFS(Disbursements!$T:$T,Disbursements!$B:$B,'Live Collections'!D3078,Disbursements!$D:$D,'Live Collections'!F3078))</f>
        <v>500000</v>
      </c>
      <c r="S3078" s="64">
        <v>470000</v>
      </c>
      <c r="T3078" s="304">
        <f t="shared" si="146"/>
        <v>830000</v>
      </c>
      <c r="U3078" s="52"/>
      <c r="V3078" s="34"/>
      <c r="W3078" s="408" t="s">
        <v>2086</v>
      </c>
    </row>
    <row r="3079" spans="1:23" ht="12.75" customHeight="1" x14ac:dyDescent="0.2">
      <c r="A3079" s="257">
        <v>3082</v>
      </c>
      <c r="B3079" s="44">
        <v>44604</v>
      </c>
      <c r="C3079" s="44">
        <f t="shared" si="147"/>
        <v>44604</v>
      </c>
      <c r="D3079" s="374">
        <v>90</v>
      </c>
      <c r="E3079" s="291" t="str">
        <f>IFERROR(VLOOKUP($D3079,'Clients-Live'!$A:$C,3,0),"")</f>
        <v>ZABIBU RAJAB SAIDI</v>
      </c>
      <c r="F3079" s="291">
        <f>IFERROR(INDEX(Disbursements!$D:$D,MATCH('Live Collections'!G3079,Disbursements!$C:$C,0)),"")</f>
        <v>2</v>
      </c>
      <c r="G3079" s="34">
        <v>316</v>
      </c>
      <c r="H3079" s="34">
        <v>4759</v>
      </c>
      <c r="I3079" s="34" t="s">
        <v>1358</v>
      </c>
      <c r="J3079" s="48"/>
      <c r="K3079" s="48"/>
      <c r="L3079" s="48"/>
      <c r="M3079" s="48"/>
      <c r="N3079" s="59"/>
      <c r="O3079" s="59">
        <v>200000</v>
      </c>
      <c r="P3079" s="59"/>
      <c r="Q3079" s="268">
        <f t="shared" si="145"/>
        <v>200000</v>
      </c>
      <c r="R3079" s="61">
        <f>IF(O3079=0,0,SUMIFS(Disbursements!$T:$T,Disbursements!$B:$B,'Live Collections'!D3079,Disbursements!$D:$D,'Live Collections'!F3079))</f>
        <v>217000</v>
      </c>
      <c r="S3079" s="304">
        <f>IF(O3079&lt;=IF($O3079=0,0,SUMIFS(Disbursements!$W:$W,Disbursements!$B:$B,'Live Collections'!D1179,Disbursements!$D:$D,'Live Collections'!F1179)),O3079,IF($O3079=0,0,SUMIFS(Disbursements!$W:$W,Disbursements!$B:$B,'Live Collections'!D1179,Disbursements!$D:$D,'Live Collections'!F1179)))</f>
        <v>200000</v>
      </c>
      <c r="T3079" s="304">
        <f t="shared" si="146"/>
        <v>0</v>
      </c>
      <c r="U3079" s="52"/>
      <c r="V3079" s="34"/>
      <c r="W3079" s="408"/>
    </row>
    <row r="3080" spans="1:23" ht="12.75" customHeight="1" x14ac:dyDescent="0.2">
      <c r="A3080" s="257">
        <v>3083</v>
      </c>
      <c r="B3080" s="44">
        <v>44604</v>
      </c>
      <c r="C3080" s="44">
        <f t="shared" si="147"/>
        <v>44604</v>
      </c>
      <c r="D3080" s="374">
        <v>104</v>
      </c>
      <c r="E3080" s="291" t="str">
        <f>IFERROR(VLOOKUP($D3080,'Clients-Live'!$A:$C,3,0),"")</f>
        <v>IDIRA ALIMA</v>
      </c>
      <c r="F3080" s="291">
        <f>IFERROR(INDEX(Disbursements!$D:$D,MATCH('Live Collections'!G3080,Disbursements!$C:$C,0)),"")</f>
        <v>2</v>
      </c>
      <c r="G3080" s="34">
        <v>252</v>
      </c>
      <c r="H3080" s="34">
        <v>4815</v>
      </c>
      <c r="I3080" s="34" t="s">
        <v>1359</v>
      </c>
      <c r="J3080" s="48"/>
      <c r="K3080" s="48"/>
      <c r="L3080" s="48"/>
      <c r="M3080" s="48"/>
      <c r="N3080" s="59"/>
      <c r="O3080" s="59">
        <v>160000</v>
      </c>
      <c r="P3080" s="59"/>
      <c r="Q3080" s="268">
        <f t="shared" si="145"/>
        <v>160000</v>
      </c>
      <c r="R3080" s="61">
        <f>IF(O3080=0,0,SUMIFS(Disbursements!$T:$T,Disbursements!$B:$B,'Live Collections'!D3080,Disbursements!$D:$D,'Live Collections'!F3080))</f>
        <v>175000</v>
      </c>
      <c r="S3080" s="304">
        <f>IF(O3080&lt;=IF($O3080=0,0,SUMIFS(Disbursements!$W:$W,Disbursements!$B:$B,'Live Collections'!D1347,Disbursements!$D:$D,'Live Collections'!F1347)),O3080,IF($O3080=0,0,SUMIFS(Disbursements!$W:$W,Disbursements!$B:$B,'Live Collections'!D1347,Disbursements!$D:$D,'Live Collections'!F1347)))</f>
        <v>0</v>
      </c>
      <c r="T3080" s="304">
        <f t="shared" si="146"/>
        <v>160000</v>
      </c>
      <c r="U3080" s="52"/>
      <c r="V3080" s="34"/>
      <c r="W3080" s="408"/>
    </row>
    <row r="3081" spans="1:23" ht="12.75" customHeight="1" x14ac:dyDescent="0.2">
      <c r="A3081" s="257">
        <v>3084</v>
      </c>
      <c r="B3081" s="44">
        <v>44604</v>
      </c>
      <c r="C3081" s="44">
        <f t="shared" si="147"/>
        <v>44604</v>
      </c>
      <c r="D3081" s="374">
        <v>147</v>
      </c>
      <c r="E3081" s="291" t="str">
        <f>IFERROR(VLOOKUP($D3081,'Clients-Live'!$A:$C,3,0),"")</f>
        <v>DRICIRU MARGRET</v>
      </c>
      <c r="F3081" s="291">
        <f>IFERROR(INDEX(Disbursements!$D:$D,MATCH('Live Collections'!G3081,Disbursements!$C:$C,0)),"")</f>
        <v>3</v>
      </c>
      <c r="G3081" s="34">
        <v>434</v>
      </c>
      <c r="H3081" s="34">
        <v>4812</v>
      </c>
      <c r="I3081" s="34" t="s">
        <v>1359</v>
      </c>
      <c r="J3081" s="48"/>
      <c r="K3081" s="48"/>
      <c r="L3081" s="48"/>
      <c r="M3081" s="48"/>
      <c r="N3081" s="59"/>
      <c r="O3081" s="59"/>
      <c r="P3081" s="59">
        <v>120000</v>
      </c>
      <c r="Q3081" s="268">
        <f t="shared" si="145"/>
        <v>120000</v>
      </c>
      <c r="R3081" s="61">
        <f>IF(O3081=0,0,SUMIFS(Disbursements!$T:$T,Disbursements!$B:$B,'Live Collections'!D3081,Disbursements!$D:$D,'Live Collections'!F3081))</f>
        <v>0</v>
      </c>
      <c r="S3081" s="304">
        <f>IF(O3081&lt;=IF($O3081=0,0,SUMIFS(Disbursements!$W:$W,Disbursements!$B:$B,'Live Collections'!D1865,Disbursements!$D:$D,'Live Collections'!F1865)),O3081,IF($O3081=0,0,SUMIFS(Disbursements!$W:$W,Disbursements!$B:$B,'Live Collections'!D1865,Disbursements!$D:$D,'Live Collections'!F1865)))</f>
        <v>0</v>
      </c>
      <c r="T3081" s="304">
        <f t="shared" si="146"/>
        <v>0</v>
      </c>
      <c r="U3081" s="52"/>
      <c r="V3081" s="34"/>
      <c r="W3081" s="408"/>
    </row>
    <row r="3082" spans="1:23" ht="12.75" customHeight="1" x14ac:dyDescent="0.2">
      <c r="A3082" s="257">
        <v>3081</v>
      </c>
      <c r="B3082" s="44">
        <v>44604</v>
      </c>
      <c r="C3082" s="44">
        <f t="shared" si="147"/>
        <v>44604</v>
      </c>
      <c r="D3082" s="374">
        <v>151</v>
      </c>
      <c r="E3082" s="291" t="str">
        <f>IFERROR(VLOOKUP($D3082,'Clients-Live'!$A:$C,3,0),"")</f>
        <v>MORRO HASSAN</v>
      </c>
      <c r="F3082" s="291">
        <f>IFERROR(INDEX(Disbursements!$D:$D,MATCH('Live Collections'!G3082,Disbursements!$C:$C,0)),"")</f>
        <v>3</v>
      </c>
      <c r="G3082" s="34">
        <v>312</v>
      </c>
      <c r="H3082" s="34">
        <v>4852</v>
      </c>
      <c r="I3082" s="34" t="s">
        <v>1359</v>
      </c>
      <c r="J3082" s="48"/>
      <c r="K3082" s="48"/>
      <c r="L3082" s="48"/>
      <c r="M3082" s="48"/>
      <c r="N3082" s="59"/>
      <c r="O3082" s="59">
        <v>30000</v>
      </c>
      <c r="P3082" s="59"/>
      <c r="Q3082" s="268">
        <f t="shared" si="145"/>
        <v>30000</v>
      </c>
      <c r="R3082" s="61">
        <f>IF(O3082=0,0,SUMIFS(Disbursements!$T:$T,Disbursements!$B:$B,'Live Collections'!D3082,Disbursements!$D:$D,'Live Collections'!F3082))</f>
        <v>600000</v>
      </c>
      <c r="S3082" s="304">
        <f>IF(O3082&lt;=IF($O3082=0,0,SUMIFS(Disbursements!$W:$W,Disbursements!$B:$B,'Live Collections'!D1906,Disbursements!$D:$D,'Live Collections'!F1906)),O3082,IF($O3082=0,0,SUMIFS(Disbursements!$W:$W,Disbursements!$B:$B,'Live Collections'!D1906,Disbursements!$D:$D,'Live Collections'!F1906)))</f>
        <v>30000</v>
      </c>
      <c r="T3082" s="304">
        <f t="shared" si="146"/>
        <v>0</v>
      </c>
      <c r="U3082" s="52"/>
      <c r="V3082" s="34"/>
      <c r="W3082" s="408"/>
    </row>
    <row r="3083" spans="1:23" ht="12.75" customHeight="1" x14ac:dyDescent="0.2">
      <c r="A3083" s="257">
        <v>3092</v>
      </c>
      <c r="B3083" s="44">
        <v>44604</v>
      </c>
      <c r="C3083" s="44">
        <f t="shared" si="147"/>
        <v>44604</v>
      </c>
      <c r="D3083" s="374">
        <v>156</v>
      </c>
      <c r="E3083" s="291" t="str">
        <f>IFERROR(VLOOKUP($D3083,'Clients-Live'!$A:$C,3,0),"")</f>
        <v xml:space="preserve">ONIBA AISHA </v>
      </c>
      <c r="F3083" s="291">
        <f>IFERROR(INDEX(Disbursements!$D:$D,MATCH('Live Collections'!G3083,Disbursements!$C:$C,0)),"")</f>
        <v>4</v>
      </c>
      <c r="G3083" s="34">
        <v>348</v>
      </c>
      <c r="H3083" s="34">
        <v>4810</v>
      </c>
      <c r="I3083" s="34" t="s">
        <v>1358</v>
      </c>
      <c r="J3083" s="48"/>
      <c r="K3083" s="48"/>
      <c r="L3083" s="48"/>
      <c r="M3083" s="48"/>
      <c r="N3083" s="59"/>
      <c r="O3083" s="59">
        <v>800000</v>
      </c>
      <c r="P3083" s="59"/>
      <c r="Q3083" s="268">
        <f t="shared" si="145"/>
        <v>800000</v>
      </c>
      <c r="R3083" s="61">
        <f>IF(O3083=0,0,SUMIFS(Disbursements!$T:$T,Disbursements!$B:$B,'Live Collections'!D3083,Disbursements!$D:$D,'Live Collections'!F3083))</f>
        <v>1925000</v>
      </c>
      <c r="S3083" s="304">
        <f>IF(O3083&lt;=IF($O3083=0,0,SUMIFS(Disbursements!$W:$W,Disbursements!$B:$B,'Live Collections'!D1962,Disbursements!$D:$D,'Live Collections'!F1962)),O3083,IF($O3083=0,0,SUMIFS(Disbursements!$W:$W,Disbursements!$B:$B,'Live Collections'!D1962,Disbursements!$D:$D,'Live Collections'!F1962)))</f>
        <v>50333.333333333343</v>
      </c>
      <c r="T3083" s="304">
        <f t="shared" si="146"/>
        <v>749666.66666666663</v>
      </c>
      <c r="U3083" s="52"/>
      <c r="V3083" s="34"/>
      <c r="W3083" s="408"/>
    </row>
    <row r="3084" spans="1:23" ht="12.75" customHeight="1" x14ac:dyDescent="0.2">
      <c r="A3084" s="257">
        <v>3090</v>
      </c>
      <c r="B3084" s="44">
        <v>44604</v>
      </c>
      <c r="C3084" s="44">
        <f t="shared" si="147"/>
        <v>44604</v>
      </c>
      <c r="D3084" s="374">
        <v>175</v>
      </c>
      <c r="E3084" s="291" t="str">
        <f>IFERROR(VLOOKUP($D3084,'Clients-Live'!$A:$C,3,0),"")</f>
        <v>ZUBEDA WAIGA</v>
      </c>
      <c r="F3084" s="291">
        <f>IFERROR(INDEX(Disbursements!$D:$D,MATCH('Live Collections'!G3084,Disbursements!$C:$C,0)),"")</f>
        <v>2</v>
      </c>
      <c r="G3084" s="34">
        <v>433</v>
      </c>
      <c r="H3084" s="34">
        <v>4752</v>
      </c>
      <c r="I3084" s="34" t="s">
        <v>1358</v>
      </c>
      <c r="J3084" s="48"/>
      <c r="K3084" s="48"/>
      <c r="L3084" s="48"/>
      <c r="M3084" s="48"/>
      <c r="N3084" s="59"/>
      <c r="O3084" s="59"/>
      <c r="P3084" s="59">
        <v>15000</v>
      </c>
      <c r="Q3084" s="268">
        <f t="shared" si="145"/>
        <v>15000</v>
      </c>
      <c r="R3084" s="61">
        <f>IF(O3084=0,0,SUMIFS(Disbursements!$T:$T,Disbursements!$B:$B,'Live Collections'!D3084,Disbursements!$D:$D,'Live Collections'!F3084))</f>
        <v>0</v>
      </c>
      <c r="S3084" s="304">
        <f>IF(O3084&lt;=IF($O3084=0,0,SUMIFS(Disbursements!$W:$W,Disbursements!$B:$B,'Live Collections'!D2149,Disbursements!$D:$D,'Live Collections'!F2149)),O3084,IF($O3084=0,0,SUMIFS(Disbursements!$W:$W,Disbursements!$B:$B,'Live Collections'!D2149,Disbursements!$D:$D,'Live Collections'!F2149)))</f>
        <v>0</v>
      </c>
      <c r="T3084" s="304">
        <f t="shared" si="146"/>
        <v>0</v>
      </c>
      <c r="U3084" s="52"/>
      <c r="V3084" s="34"/>
      <c r="W3084" s="408"/>
    </row>
    <row r="3085" spans="1:23" ht="12.75" customHeight="1" x14ac:dyDescent="0.2">
      <c r="A3085" s="257">
        <v>3091</v>
      </c>
      <c r="B3085" s="44">
        <v>44604</v>
      </c>
      <c r="C3085" s="44">
        <f t="shared" si="147"/>
        <v>44604</v>
      </c>
      <c r="D3085" s="374">
        <v>201</v>
      </c>
      <c r="E3085" s="291" t="str">
        <f>IFERROR(VLOOKUP($D3085,'Clients-Live'!$A:$C,3,0),"")</f>
        <v>DALILI HASSAN</v>
      </c>
      <c r="F3085" s="291">
        <f>IFERROR(INDEX(Disbursements!$D:$D,MATCH('Live Collections'!G3085,Disbursements!$C:$C,0)),"")</f>
        <v>1</v>
      </c>
      <c r="G3085" s="34">
        <v>419</v>
      </c>
      <c r="H3085" s="34">
        <v>4594</v>
      </c>
      <c r="I3085" s="34" t="s">
        <v>1359</v>
      </c>
      <c r="J3085" s="48"/>
      <c r="K3085" s="48"/>
      <c r="L3085" s="48"/>
      <c r="M3085" s="48"/>
      <c r="N3085" s="59"/>
      <c r="O3085" s="59">
        <v>38000</v>
      </c>
      <c r="P3085" s="59"/>
      <c r="Q3085" s="268">
        <f t="shared" si="145"/>
        <v>38000</v>
      </c>
      <c r="R3085" s="61">
        <f>IF(O3085=0,0,SUMIFS(Disbursements!$T:$T,Disbursements!$B:$B,'Live Collections'!D3085,Disbursements!$D:$D,'Live Collections'!F3085))</f>
        <v>47000</v>
      </c>
      <c r="S3085" s="304">
        <f>IF(O3085&lt;=IF($O3085=0,0,SUMIFS(Disbursements!$W:$W,Disbursements!$B:$B,'Live Collections'!D2398,Disbursements!$D:$D,'Live Collections'!F2398)),O3085,IF($O3085=0,0,SUMIFS(Disbursements!$W:$W,Disbursements!$B:$B,'Live Collections'!D2398,Disbursements!$D:$D,'Live Collections'!F2398)))</f>
        <v>20666.666666666657</v>
      </c>
      <c r="T3085" s="304">
        <f t="shared" si="146"/>
        <v>17333.333333333343</v>
      </c>
      <c r="U3085" s="52"/>
      <c r="V3085" s="34"/>
      <c r="W3085" s="408"/>
    </row>
    <row r="3086" spans="1:23" ht="12.75" customHeight="1" x14ac:dyDescent="0.2">
      <c r="A3086" s="257">
        <v>3088</v>
      </c>
      <c r="B3086" s="44">
        <v>44604</v>
      </c>
      <c r="C3086" s="44">
        <f t="shared" si="147"/>
        <v>44604</v>
      </c>
      <c r="D3086" s="374">
        <v>235</v>
      </c>
      <c r="E3086" s="291" t="str">
        <f>IFERROR(VLOOKUP($D3086,'Clients-Live'!$A:$C,3,0),"")</f>
        <v>AMULE ISAAC</v>
      </c>
      <c r="F3086" s="291">
        <f>IFERROR(INDEX(Disbursements!$D:$D,MATCH('Live Collections'!G3086,Disbursements!$C:$C,0)),"")</f>
        <v>2</v>
      </c>
      <c r="G3086" s="34">
        <v>395</v>
      </c>
      <c r="H3086" s="34">
        <v>4595</v>
      </c>
      <c r="I3086" s="34" t="s">
        <v>1358</v>
      </c>
      <c r="J3086" s="48"/>
      <c r="K3086" s="48"/>
      <c r="L3086" s="48"/>
      <c r="M3086" s="48"/>
      <c r="N3086" s="59"/>
      <c r="O3086" s="59">
        <v>550000</v>
      </c>
      <c r="P3086" s="59"/>
      <c r="Q3086" s="268">
        <f t="shared" si="145"/>
        <v>550000</v>
      </c>
      <c r="R3086" s="61">
        <f>IF(O3086=0,0,SUMIFS(Disbursements!$T:$T,Disbursements!$B:$B,'Live Collections'!D3086,Disbursements!$D:$D,'Live Collections'!F3086))</f>
        <v>863000</v>
      </c>
      <c r="S3086" s="304">
        <f>IF(O3086&lt;=IF($O3086=0,0,SUMIFS(Disbursements!$W:$W,Disbursements!$B:$B,'Live Collections'!D2711,Disbursements!$D:$D,'Live Collections'!F2711)),O3086,IF($O3086=0,0,SUMIFS(Disbursements!$W:$W,Disbursements!$B:$B,'Live Collections'!D2711,Disbursements!$D:$D,'Live Collections'!F2711)))</f>
        <v>10000</v>
      </c>
      <c r="T3086" s="304">
        <f t="shared" si="146"/>
        <v>540000</v>
      </c>
      <c r="U3086" s="52"/>
      <c r="V3086" s="34"/>
      <c r="W3086" s="408"/>
    </row>
    <row r="3087" spans="1:23" ht="12.75" customHeight="1" x14ac:dyDescent="0.2">
      <c r="A3087" s="257">
        <v>3085</v>
      </c>
      <c r="B3087" s="44">
        <v>44604</v>
      </c>
      <c r="C3087" s="44">
        <f t="shared" si="147"/>
        <v>44604</v>
      </c>
      <c r="D3087" s="374">
        <v>262</v>
      </c>
      <c r="E3087" s="291" t="str">
        <f>IFERROR(VLOOKUP($D3087,'Clients-Live'!$A:$C,3,0),"")</f>
        <v>ALONE ZAITUN</v>
      </c>
      <c r="F3087" s="291">
        <f>IFERROR(INDEX(Disbursements!$D:$D,MATCH('Live Collections'!G3087,Disbursements!$C:$C,0)),"")</f>
        <v>1</v>
      </c>
      <c r="G3087" s="34">
        <v>297</v>
      </c>
      <c r="H3087" s="34">
        <v>4758</v>
      </c>
      <c r="I3087" s="34" t="s">
        <v>1357</v>
      </c>
      <c r="J3087" s="48"/>
      <c r="K3087" s="48"/>
      <c r="L3087" s="48"/>
      <c r="M3087" s="48"/>
      <c r="N3087" s="59"/>
      <c r="O3087" s="59">
        <v>20000</v>
      </c>
      <c r="P3087" s="59"/>
      <c r="Q3087" s="268">
        <f t="shared" si="145"/>
        <v>20000</v>
      </c>
      <c r="R3087" s="61">
        <f>IF(O3087=0,0,SUMIFS(Disbursements!$T:$T,Disbursements!$B:$B,'Live Collections'!D3087,Disbursements!$D:$D,'Live Collections'!F3087))</f>
        <v>77000</v>
      </c>
      <c r="S3087" s="64">
        <v>999.99999999998545</v>
      </c>
      <c r="T3087" s="304">
        <f t="shared" si="146"/>
        <v>19000.000000000015</v>
      </c>
      <c r="U3087" s="52"/>
      <c r="V3087" s="34"/>
      <c r="W3087" s="408"/>
    </row>
    <row r="3088" spans="1:23" ht="12.75" customHeight="1" x14ac:dyDescent="0.2">
      <c r="A3088" s="257">
        <v>3086</v>
      </c>
      <c r="B3088" s="44">
        <v>44604</v>
      </c>
      <c r="C3088" s="44">
        <f t="shared" si="147"/>
        <v>44604</v>
      </c>
      <c r="D3088" s="374">
        <v>262</v>
      </c>
      <c r="E3088" s="291" t="str">
        <f>IFERROR(VLOOKUP($D3088,'Clients-Live'!$A:$C,3,0),"")</f>
        <v>ALONE ZAITUN</v>
      </c>
      <c r="F3088" s="291">
        <f>IFERROR(INDEX(Disbursements!$D:$D,MATCH('Live Collections'!G3088,Disbursements!$C:$C,0)),"")</f>
        <v>1</v>
      </c>
      <c r="G3088" s="34">
        <v>297</v>
      </c>
      <c r="H3088" s="34">
        <v>788</v>
      </c>
      <c r="I3088" s="34" t="s">
        <v>1357</v>
      </c>
      <c r="J3088" s="48"/>
      <c r="K3088" s="48"/>
      <c r="L3088" s="48"/>
      <c r="M3088" s="48"/>
      <c r="N3088" s="59"/>
      <c r="O3088" s="59"/>
      <c r="P3088" s="59">
        <v>-20000</v>
      </c>
      <c r="Q3088" s="268">
        <f t="shared" si="145"/>
        <v>-20000</v>
      </c>
      <c r="R3088" s="61">
        <f>IF(O3088=0,0,SUMIFS(Disbursements!$T:$T,Disbursements!$B:$B,'Live Collections'!D3088,Disbursements!$D:$D,'Live Collections'!F3088))</f>
        <v>0</v>
      </c>
      <c r="S3088" s="304">
        <f>IF(O3088&lt;=IF($O3088=0,0,SUMIFS(Disbursements!$W:$W,Disbursements!$B:$B,'Live Collections'!D2898,Disbursements!$D:$D,'Live Collections'!F2898)),O3088,IF($O3088=0,0,SUMIFS(Disbursements!$W:$W,Disbursements!$B:$B,'Live Collections'!D2898,Disbursements!$D:$D,'Live Collections'!F2898)))</f>
        <v>0</v>
      </c>
      <c r="T3088" s="304">
        <f t="shared" si="146"/>
        <v>0</v>
      </c>
      <c r="U3088" s="52"/>
      <c r="V3088" s="34"/>
      <c r="W3088" s="408" t="s">
        <v>2056</v>
      </c>
    </row>
    <row r="3089" spans="1:23" ht="12.75" customHeight="1" x14ac:dyDescent="0.2">
      <c r="A3089" s="257">
        <v>3087</v>
      </c>
      <c r="B3089" s="44">
        <v>44604</v>
      </c>
      <c r="C3089" s="44">
        <f t="shared" si="147"/>
        <v>44604</v>
      </c>
      <c r="D3089" s="374">
        <v>262</v>
      </c>
      <c r="E3089" s="291" t="str">
        <f>IFERROR(VLOOKUP($D3089,'Clients-Live'!$A:$C,3,0),"")</f>
        <v>ALONE ZAITUN</v>
      </c>
      <c r="F3089" s="291">
        <f>IFERROR(INDEX(Disbursements!$D:$D,MATCH('Live Collections'!G3089,Disbursements!$C:$C,0)),"")</f>
        <v>1</v>
      </c>
      <c r="G3089" s="34">
        <v>297</v>
      </c>
      <c r="H3089" s="34">
        <v>4757</v>
      </c>
      <c r="I3089" s="34" t="s">
        <v>1357</v>
      </c>
      <c r="J3089" s="48"/>
      <c r="K3089" s="48"/>
      <c r="L3089" s="48"/>
      <c r="M3089" s="48"/>
      <c r="N3089" s="59"/>
      <c r="O3089" s="59">
        <v>56600</v>
      </c>
      <c r="P3089" s="59"/>
      <c r="Q3089" s="268">
        <f t="shared" si="145"/>
        <v>56600</v>
      </c>
      <c r="R3089" s="61">
        <f>IF(O3089=0,0,SUMIFS(Disbursements!$T:$T,Disbursements!$B:$B,'Live Collections'!D3089,Disbursements!$D:$D,'Live Collections'!F3089))</f>
        <v>77000</v>
      </c>
      <c r="S3089" s="304"/>
      <c r="T3089" s="304">
        <f t="shared" si="146"/>
        <v>56600</v>
      </c>
      <c r="U3089" s="52"/>
      <c r="V3089" s="34"/>
      <c r="W3089" s="408"/>
    </row>
    <row r="3090" spans="1:23" ht="12.75" customHeight="1" x14ac:dyDescent="0.2">
      <c r="A3090" s="257">
        <v>3080</v>
      </c>
      <c r="B3090" s="44">
        <v>44604</v>
      </c>
      <c r="C3090" s="44">
        <f t="shared" si="147"/>
        <v>44604</v>
      </c>
      <c r="D3090" s="374">
        <v>270</v>
      </c>
      <c r="E3090" s="291" t="str">
        <f>IFERROR(VLOOKUP($D3090,'Clients-Live'!$A:$C,3,0),"")</f>
        <v>AJOBE SAMUEL</v>
      </c>
      <c r="F3090" s="291">
        <f>IFERROR(INDEX(Disbursements!$D:$D,MATCH('Live Collections'!G3090,Disbursements!$C:$C,0)),"")</f>
        <v>2</v>
      </c>
      <c r="G3090" s="34">
        <v>435</v>
      </c>
      <c r="H3090" s="34">
        <v>4813</v>
      </c>
      <c r="I3090" s="34" t="s">
        <v>1359</v>
      </c>
      <c r="J3090" s="48"/>
      <c r="K3090" s="48"/>
      <c r="L3090" s="48"/>
      <c r="M3090" s="48"/>
      <c r="N3090" s="59"/>
      <c r="O3090" s="59"/>
      <c r="P3090" s="59">
        <v>60000</v>
      </c>
      <c r="Q3090" s="268">
        <f t="shared" si="145"/>
        <v>60000</v>
      </c>
      <c r="R3090" s="61">
        <f>IF(O3090=0,0,SUMIFS(Disbursements!$T:$T,Disbursements!$B:$B,'Live Collections'!D3090,Disbursements!$D:$D,'Live Collections'!F3090))</f>
        <v>0</v>
      </c>
      <c r="S3090" s="304">
        <f>IF(O3090&lt;=IF($O3090=0,0,SUMIFS(Disbursements!$W:$W,Disbursements!$B:$B,'Live Collections'!D2966,Disbursements!$D:$D,'Live Collections'!F2966)),O3090,IF($O3090=0,0,SUMIFS(Disbursements!$W:$W,Disbursements!$B:$B,'Live Collections'!D2966,Disbursements!$D:$D,'Live Collections'!F2966)))</f>
        <v>0</v>
      </c>
      <c r="T3090" s="304">
        <f t="shared" si="146"/>
        <v>0</v>
      </c>
      <c r="U3090" s="52"/>
      <c r="V3090" s="34"/>
      <c r="W3090" s="408"/>
    </row>
    <row r="3091" spans="1:23" ht="12.75" customHeight="1" x14ac:dyDescent="0.2">
      <c r="A3091" s="257">
        <v>3107</v>
      </c>
      <c r="B3091" s="44">
        <v>44606</v>
      </c>
      <c r="C3091" s="44">
        <f t="shared" si="147"/>
        <v>44606</v>
      </c>
      <c r="D3091" s="374">
        <v>70</v>
      </c>
      <c r="E3091" s="291" t="str">
        <f>IFERROR(VLOOKUP($D3091,'Clients-Live'!$A:$C,3,0),"")</f>
        <v>BUGA ALIKIA PHILLIP</v>
      </c>
      <c r="F3091" s="291">
        <f>IFERROR(INDEX(Disbursements!$D:$D,MATCH('Live Collections'!G3091,Disbursements!$C:$C,0)),"")</f>
        <v>2</v>
      </c>
      <c r="G3091" s="34">
        <v>299</v>
      </c>
      <c r="H3091" s="34">
        <v>4768</v>
      </c>
      <c r="I3091" s="34" t="s">
        <v>1358</v>
      </c>
      <c r="J3091" s="48"/>
      <c r="K3091" s="48"/>
      <c r="L3091" s="48"/>
      <c r="M3091" s="48"/>
      <c r="N3091" s="59"/>
      <c r="O3091" s="59">
        <v>50000</v>
      </c>
      <c r="P3091" s="59"/>
      <c r="Q3091" s="268">
        <f t="shared" si="145"/>
        <v>50000</v>
      </c>
      <c r="R3091" s="61">
        <f>IF(O3091=0,0,SUMIFS(Disbursements!$T:$T,Disbursements!$B:$B,'Live Collections'!D3091,Disbursements!$D:$D,'Live Collections'!F3091))</f>
        <v>260000</v>
      </c>
      <c r="S3091" s="304">
        <f>IF(O3091&lt;=IF($O3091=0,0,SUMIFS(Disbursements!$W:$W,Disbursements!$B:$B,'Live Collections'!D884,Disbursements!$D:$D,'Live Collections'!F884)),O3091,IF($O3091=0,0,SUMIFS(Disbursements!$W:$W,Disbursements!$B:$B,'Live Collections'!D884,Disbursements!$D:$D,'Live Collections'!F884)))</f>
        <v>15000</v>
      </c>
      <c r="T3091" s="304">
        <f t="shared" si="146"/>
        <v>35000</v>
      </c>
      <c r="U3091" s="52"/>
      <c r="V3091" s="34"/>
      <c r="W3091" s="408"/>
    </row>
    <row r="3092" spans="1:23" ht="12.75" customHeight="1" x14ac:dyDescent="0.2">
      <c r="A3092" s="257">
        <v>3104</v>
      </c>
      <c r="B3092" s="44">
        <v>44606</v>
      </c>
      <c r="C3092" s="44">
        <f t="shared" si="147"/>
        <v>44606</v>
      </c>
      <c r="D3092" s="374">
        <v>85</v>
      </c>
      <c r="E3092" s="291" t="str">
        <f>IFERROR(VLOOKUP($D3092,'Clients-Live'!$A:$C,3,0),"")</f>
        <v>CEASER SWALEH</v>
      </c>
      <c r="F3092" s="291">
        <f>IFERROR(INDEX(Disbursements!$D:$D,MATCH('Live Collections'!G3092,Disbursements!$C:$C,0)),"")</f>
        <v>3</v>
      </c>
      <c r="G3092" s="34">
        <v>413</v>
      </c>
      <c r="H3092" s="34">
        <v>4771</v>
      </c>
      <c r="I3092" s="34" t="s">
        <v>1357</v>
      </c>
      <c r="J3092" s="48"/>
      <c r="K3092" s="48"/>
      <c r="L3092" s="48"/>
      <c r="M3092" s="48"/>
      <c r="N3092" s="59"/>
      <c r="O3092" s="59">
        <v>157500</v>
      </c>
      <c r="P3092" s="59"/>
      <c r="Q3092" s="268">
        <f t="shared" si="145"/>
        <v>157500</v>
      </c>
      <c r="R3092" s="61">
        <f>IF(O3092=0,0,SUMIFS(Disbursements!$T:$T,Disbursements!$B:$B,'Live Collections'!D3092,Disbursements!$D:$D,'Live Collections'!F3092))</f>
        <v>788000</v>
      </c>
      <c r="S3092" s="304">
        <f>IF(O3092&lt;=IF($O3092=0,0,SUMIFS(Disbursements!$W:$W,Disbursements!$B:$B,'Live Collections'!D1105,Disbursements!$D:$D,'Live Collections'!F1105)),O3092,IF($O3092=0,0,SUMIFS(Disbursements!$W:$W,Disbursements!$B:$B,'Live Collections'!D1105,Disbursements!$D:$D,'Live Collections'!F1105)))</f>
        <v>20000</v>
      </c>
      <c r="T3092" s="304">
        <f t="shared" si="146"/>
        <v>137500</v>
      </c>
      <c r="U3092" s="52"/>
      <c r="V3092" s="34"/>
      <c r="W3092" s="408"/>
    </row>
    <row r="3093" spans="1:23" ht="12.75" customHeight="1" x14ac:dyDescent="0.2">
      <c r="A3093" s="257">
        <v>3096</v>
      </c>
      <c r="B3093" s="44">
        <v>44606</v>
      </c>
      <c r="C3093" s="44">
        <f t="shared" si="147"/>
        <v>44606</v>
      </c>
      <c r="D3093" s="374">
        <v>86</v>
      </c>
      <c r="E3093" s="291" t="str">
        <f>IFERROR(VLOOKUP($D3093,'Clients-Live'!$A:$C,3,0),"")</f>
        <v>AMANIYO JOYCE</v>
      </c>
      <c r="F3093" s="291">
        <f>IFERROR(INDEX(Disbursements!$D:$D,MATCH('Live Collections'!G3093,Disbursements!$C:$C,0)),"")</f>
        <v>2</v>
      </c>
      <c r="G3093" s="34">
        <v>231</v>
      </c>
      <c r="H3093" s="34">
        <v>4773</v>
      </c>
      <c r="I3093" s="34" t="s">
        <v>1358</v>
      </c>
      <c r="J3093" s="48"/>
      <c r="K3093" s="48"/>
      <c r="L3093" s="48"/>
      <c r="M3093" s="48"/>
      <c r="N3093" s="59"/>
      <c r="O3093" s="59">
        <v>37000</v>
      </c>
      <c r="P3093" s="59"/>
      <c r="Q3093" s="268">
        <f t="shared" si="145"/>
        <v>37000</v>
      </c>
      <c r="R3093" s="61">
        <f>IF(O3093=0,0,SUMIFS(Disbursements!$T:$T,Disbursements!$B:$B,'Live Collections'!D3093,Disbursements!$D:$D,'Live Collections'!F3093))</f>
        <v>217000</v>
      </c>
      <c r="S3093" s="304">
        <f>IF(O3093&lt;=IF($O3093=0,0,SUMIFS(Disbursements!$W:$W,Disbursements!$B:$B,'Live Collections'!D1122,Disbursements!$D:$D,'Live Collections'!F1122)),O3093,IF($O3093=0,0,SUMIFS(Disbursements!$W:$W,Disbursements!$B:$B,'Live Collections'!D1122,Disbursements!$D:$D,'Live Collections'!F1122)))</f>
        <v>37000</v>
      </c>
      <c r="T3093" s="304">
        <f t="shared" si="146"/>
        <v>0</v>
      </c>
      <c r="U3093" s="52"/>
      <c r="V3093" s="34"/>
      <c r="W3093" s="408"/>
    </row>
    <row r="3094" spans="1:23" ht="12.75" customHeight="1" x14ac:dyDescent="0.2">
      <c r="A3094" s="257">
        <v>3111</v>
      </c>
      <c r="B3094" s="44">
        <v>44606</v>
      </c>
      <c r="C3094" s="44">
        <f t="shared" si="147"/>
        <v>44606</v>
      </c>
      <c r="D3094" s="374">
        <v>116</v>
      </c>
      <c r="E3094" s="291" t="str">
        <f>IFERROR(VLOOKUP($D3094,'Clients-Live'!$A:$C,3,0),"")</f>
        <v>ONZIA LUCY</v>
      </c>
      <c r="F3094" s="291">
        <f>IFERROR(INDEX(Disbursements!$D:$D,MATCH('Live Collections'!G3094,Disbursements!$C:$C,0)),"")</f>
        <v>3</v>
      </c>
      <c r="G3094" s="34">
        <v>361</v>
      </c>
      <c r="H3094" s="34">
        <v>4763</v>
      </c>
      <c r="I3094" s="34" t="s">
        <v>1357</v>
      </c>
      <c r="J3094" s="48"/>
      <c r="K3094" s="48"/>
      <c r="L3094" s="48"/>
      <c r="M3094" s="48"/>
      <c r="N3094" s="59"/>
      <c r="O3094" s="59">
        <v>35000</v>
      </c>
      <c r="P3094" s="59"/>
      <c r="Q3094" s="268">
        <f t="shared" si="145"/>
        <v>35000</v>
      </c>
      <c r="R3094" s="61">
        <f>IF(O3094=0,0,SUMIFS(Disbursements!$T:$T,Disbursements!$B:$B,'Live Collections'!D3094,Disbursements!$D:$D,'Live Collections'!F3094))</f>
        <v>120000</v>
      </c>
      <c r="S3094" s="304">
        <f>IF(O3094&lt;=IF($O3094=0,0,SUMIFS(Disbursements!$W:$W,Disbursements!$B:$B,'Live Collections'!D1516,Disbursements!$D:$D,'Live Collections'!F1516)),O3094,IF($O3094=0,0,SUMIFS(Disbursements!$W:$W,Disbursements!$B:$B,'Live Collections'!D1516,Disbursements!$D:$D,'Live Collections'!F1516)))</f>
        <v>35000</v>
      </c>
      <c r="T3094" s="304">
        <f t="shared" si="146"/>
        <v>0</v>
      </c>
      <c r="U3094" s="52"/>
      <c r="V3094" s="34"/>
      <c r="W3094" s="408"/>
    </row>
    <row r="3095" spans="1:23" ht="12.75" customHeight="1" x14ac:dyDescent="0.2">
      <c r="A3095" s="257">
        <v>3105</v>
      </c>
      <c r="B3095" s="44">
        <v>44606</v>
      </c>
      <c r="C3095" s="44">
        <f t="shared" si="147"/>
        <v>44606</v>
      </c>
      <c r="D3095" s="374">
        <v>160</v>
      </c>
      <c r="E3095" s="291" t="str">
        <f>IFERROR(VLOOKUP($D3095,'Clients-Live'!$A:$C,3,0),"")</f>
        <v>CHANDI ZANABU</v>
      </c>
      <c r="F3095" s="291">
        <f>IFERROR(INDEX(Disbursements!$D:$D,MATCH('Live Collections'!G3095,Disbursements!$C:$C,0)),"")</f>
        <v>2</v>
      </c>
      <c r="G3095" s="34">
        <v>267</v>
      </c>
      <c r="H3095" s="34">
        <v>4770</v>
      </c>
      <c r="I3095" s="34" t="s">
        <v>1358</v>
      </c>
      <c r="J3095" s="48"/>
      <c r="K3095" s="48"/>
      <c r="L3095" s="48"/>
      <c r="M3095" s="48"/>
      <c r="N3095" s="59"/>
      <c r="O3095" s="59">
        <v>50000</v>
      </c>
      <c r="P3095" s="59"/>
      <c r="Q3095" s="268">
        <f t="shared" si="145"/>
        <v>50000</v>
      </c>
      <c r="R3095" s="61">
        <f>IF(O3095=0,0,SUMIFS(Disbursements!$T:$T,Disbursements!$B:$B,'Live Collections'!D3095,Disbursements!$D:$D,'Live Collections'!F3095))</f>
        <v>150000</v>
      </c>
      <c r="S3095" s="304"/>
      <c r="T3095" s="304">
        <f t="shared" si="146"/>
        <v>50000</v>
      </c>
      <c r="U3095" s="52"/>
      <c r="V3095" s="34"/>
      <c r="W3095" s="408"/>
    </row>
    <row r="3096" spans="1:23" ht="12.75" customHeight="1" x14ac:dyDescent="0.2">
      <c r="A3096" s="257">
        <v>3093</v>
      </c>
      <c r="B3096" s="44">
        <v>44606</v>
      </c>
      <c r="C3096" s="44">
        <f t="shared" si="147"/>
        <v>44606</v>
      </c>
      <c r="D3096" s="374">
        <v>222</v>
      </c>
      <c r="E3096" s="291" t="str">
        <f>IFERROR(VLOOKUP($D3096,'Clients-Live'!$A:$C,3,0),"")</f>
        <v>ITITU ZAIDA</v>
      </c>
      <c r="F3096" s="291">
        <f>IFERROR(INDEX(Disbursements!$D:$D,MATCH('Live Collections'!G3096,Disbursements!$C:$C,0)),"")</f>
        <v>1</v>
      </c>
      <c r="G3096" s="34">
        <v>249</v>
      </c>
      <c r="H3096" s="34">
        <v>4775</v>
      </c>
      <c r="I3096" s="34" t="s">
        <v>1358</v>
      </c>
      <c r="J3096" s="48"/>
      <c r="K3096" s="48"/>
      <c r="L3096" s="48"/>
      <c r="M3096" s="48"/>
      <c r="N3096" s="59"/>
      <c r="O3096" s="59">
        <v>100000</v>
      </c>
      <c r="P3096" s="59"/>
      <c r="Q3096" s="268">
        <f t="shared" si="145"/>
        <v>100000</v>
      </c>
      <c r="R3096" s="61">
        <f>IF(O3096=0,0,SUMIFS(Disbursements!$T:$T,Disbursements!$B:$B,'Live Collections'!D3096,Disbursements!$D:$D,'Live Collections'!F3096))</f>
        <v>180000</v>
      </c>
      <c r="S3096" s="304">
        <f>IF(O3096&lt;=IF($O3096=0,0,SUMIFS(Disbursements!$W:$W,Disbursements!$B:$B,'Live Collections'!D2618,Disbursements!$D:$D,'Live Collections'!F2618)),O3096,IF($O3096=0,0,SUMIFS(Disbursements!$W:$W,Disbursements!$B:$B,'Live Collections'!D2618,Disbursements!$D:$D,'Live Collections'!F2618)))</f>
        <v>50000</v>
      </c>
      <c r="T3096" s="304">
        <f t="shared" si="146"/>
        <v>50000</v>
      </c>
      <c r="U3096" s="52"/>
      <c r="V3096" s="34"/>
      <c r="W3096" s="408"/>
    </row>
    <row r="3097" spans="1:23" ht="12.75" customHeight="1" x14ac:dyDescent="0.2">
      <c r="A3097" s="257">
        <v>3094</v>
      </c>
      <c r="B3097" s="44">
        <v>44606</v>
      </c>
      <c r="C3097" s="44">
        <f t="shared" si="147"/>
        <v>44606</v>
      </c>
      <c r="D3097" s="374">
        <v>222</v>
      </c>
      <c r="E3097" s="291" t="str">
        <f>IFERROR(VLOOKUP($D3097,'Clients-Live'!$A:$C,3,0),"")</f>
        <v>ITITU ZAIDA</v>
      </c>
      <c r="F3097" s="291">
        <f>IFERROR(INDEX(Disbursements!$D:$D,MATCH('Live Collections'!G3097,Disbursements!$C:$C,0)),"")</f>
        <v>1</v>
      </c>
      <c r="G3097" s="34">
        <v>249</v>
      </c>
      <c r="H3097" s="34">
        <v>787</v>
      </c>
      <c r="I3097" s="34" t="s">
        <v>1358</v>
      </c>
      <c r="J3097" s="48"/>
      <c r="K3097" s="48"/>
      <c r="L3097" s="48"/>
      <c r="M3097" s="48"/>
      <c r="N3097" s="59"/>
      <c r="O3097" s="59"/>
      <c r="P3097" s="59">
        <v>-100000</v>
      </c>
      <c r="Q3097" s="268">
        <f t="shared" si="145"/>
        <v>-100000</v>
      </c>
      <c r="R3097" s="61">
        <f>IF(O3097=0,0,SUMIFS(Disbursements!$T:$T,Disbursements!$B:$B,'Live Collections'!D3097,Disbursements!$D:$D,'Live Collections'!F3097))</f>
        <v>0</v>
      </c>
      <c r="S3097" s="304">
        <f>IF(O3097&lt;=IF($O3097=0,0,SUMIFS(Disbursements!$W:$W,Disbursements!$B:$B,'Live Collections'!D2619,Disbursements!$D:$D,'Live Collections'!F2619)),O3097,IF($O3097=0,0,SUMIFS(Disbursements!$W:$W,Disbursements!$B:$B,'Live Collections'!D2619,Disbursements!$D:$D,'Live Collections'!F2619)))</f>
        <v>0</v>
      </c>
      <c r="T3097" s="304">
        <f t="shared" si="146"/>
        <v>0</v>
      </c>
      <c r="U3097" s="52"/>
      <c r="V3097" s="34"/>
      <c r="W3097" s="408" t="s">
        <v>2059</v>
      </c>
    </row>
    <row r="3098" spans="1:23" ht="12.75" customHeight="1" x14ac:dyDescent="0.2">
      <c r="A3098" s="257">
        <v>3095</v>
      </c>
      <c r="B3098" s="44">
        <v>44606</v>
      </c>
      <c r="C3098" s="44">
        <f t="shared" si="147"/>
        <v>44606</v>
      </c>
      <c r="D3098" s="374">
        <v>222</v>
      </c>
      <c r="E3098" s="291" t="str">
        <f>IFERROR(VLOOKUP($D3098,'Clients-Live'!$A:$C,3,0),"")</f>
        <v>ITITU ZAIDA</v>
      </c>
      <c r="F3098" s="291">
        <f>IFERROR(INDEX(Disbursements!$D:$D,MATCH('Live Collections'!G3098,Disbursements!$C:$C,0)),"")</f>
        <v>1</v>
      </c>
      <c r="G3098" s="34">
        <v>249</v>
      </c>
      <c r="H3098" s="34">
        <v>4774</v>
      </c>
      <c r="I3098" s="34" t="s">
        <v>1358</v>
      </c>
      <c r="J3098" s="48"/>
      <c r="K3098" s="48"/>
      <c r="L3098" s="48"/>
      <c r="M3098" s="48"/>
      <c r="N3098" s="59"/>
      <c r="O3098" s="59">
        <v>80000</v>
      </c>
      <c r="P3098" s="59"/>
      <c r="Q3098" s="268">
        <f t="shared" si="145"/>
        <v>80000</v>
      </c>
      <c r="R3098" s="61">
        <f>IF(O3098=0,0,SUMIFS(Disbursements!$T:$T,Disbursements!$B:$B,'Live Collections'!D3098,Disbursements!$D:$D,'Live Collections'!F3098))</f>
        <v>180000</v>
      </c>
      <c r="S3098" s="64">
        <v>5916.666666666657</v>
      </c>
      <c r="T3098" s="304">
        <f t="shared" si="146"/>
        <v>74083.333333333343</v>
      </c>
      <c r="U3098" s="52"/>
      <c r="V3098" s="34"/>
      <c r="W3098" s="408"/>
    </row>
    <row r="3099" spans="1:23" ht="12.75" customHeight="1" x14ac:dyDescent="0.2">
      <c r="A3099" s="257">
        <v>3098</v>
      </c>
      <c r="B3099" s="44">
        <v>44606</v>
      </c>
      <c r="C3099" s="44">
        <f t="shared" si="147"/>
        <v>44606</v>
      </c>
      <c r="D3099" s="374">
        <v>248</v>
      </c>
      <c r="E3099" s="291" t="str">
        <f>IFERROR(VLOOKUP($D3099,'Clients-Live'!$A:$C,3,0),"")</f>
        <v>LETARU GLORIA</v>
      </c>
      <c r="F3099" s="291">
        <f>IFERROR(INDEX(Disbursements!$D:$D,MATCH('Live Collections'!G3099,Disbursements!$C:$C,0)),"")</f>
        <v>1</v>
      </c>
      <c r="G3099" s="34">
        <v>268</v>
      </c>
      <c r="H3099" s="34">
        <v>4818</v>
      </c>
      <c r="I3099" s="34" t="s">
        <v>1359</v>
      </c>
      <c r="J3099" s="48"/>
      <c r="K3099" s="48"/>
      <c r="L3099" s="48"/>
      <c r="M3099" s="48"/>
      <c r="N3099" s="59"/>
      <c r="O3099" s="59">
        <v>300000</v>
      </c>
      <c r="P3099" s="59"/>
      <c r="Q3099" s="268">
        <f t="shared" si="145"/>
        <v>300000</v>
      </c>
      <c r="R3099" s="61">
        <f>IF(O3099=0,0,SUMIFS(Disbursements!$T:$T,Disbursements!$B:$B,'Live Collections'!D3099,Disbursements!$D:$D,'Live Collections'!F3099))</f>
        <v>1225000</v>
      </c>
      <c r="S3099" s="304">
        <f>IF(O3099&lt;=IF($O3099=0,0,SUMIFS(Disbursements!$W:$W,Disbursements!$B:$B,'Live Collections'!D2805,Disbursements!$D:$D,'Live Collections'!F2805)),O3099,IF($O3099=0,0,SUMIFS(Disbursements!$W:$W,Disbursements!$B:$B,'Live Collections'!D2805,Disbursements!$D:$D,'Live Collections'!F2805)))</f>
        <v>0</v>
      </c>
      <c r="T3099" s="304">
        <f t="shared" si="146"/>
        <v>300000</v>
      </c>
      <c r="U3099" s="52"/>
      <c r="V3099" s="34"/>
      <c r="W3099" s="408"/>
    </row>
    <row r="3100" spans="1:23" ht="12.75" customHeight="1" x14ac:dyDescent="0.2">
      <c r="A3100" s="257">
        <v>3099</v>
      </c>
      <c r="B3100" s="44">
        <v>44606</v>
      </c>
      <c r="C3100" s="44">
        <f t="shared" si="147"/>
        <v>44606</v>
      </c>
      <c r="D3100" s="374">
        <v>248</v>
      </c>
      <c r="E3100" s="291" t="str">
        <f>IFERROR(VLOOKUP($D3100,'Clients-Live'!$A:$C,3,0),"")</f>
        <v>LETARU GLORIA</v>
      </c>
      <c r="F3100" s="291">
        <f>IFERROR(INDEX(Disbursements!$D:$D,MATCH('Live Collections'!G3100,Disbursements!$C:$C,0)),"")</f>
        <v>1</v>
      </c>
      <c r="G3100" s="34">
        <v>268</v>
      </c>
      <c r="H3100" s="34">
        <v>768</v>
      </c>
      <c r="I3100" s="34" t="s">
        <v>1359</v>
      </c>
      <c r="J3100" s="48"/>
      <c r="K3100" s="48"/>
      <c r="L3100" s="48"/>
      <c r="M3100" s="48"/>
      <c r="N3100" s="59"/>
      <c r="O3100" s="59"/>
      <c r="P3100" s="59">
        <v>-300000</v>
      </c>
      <c r="Q3100" s="268">
        <f t="shared" si="145"/>
        <v>-300000</v>
      </c>
      <c r="R3100" s="61">
        <f>IF(O3100=0,0,SUMIFS(Disbursements!$T:$T,Disbursements!$B:$B,'Live Collections'!D3100,Disbursements!$D:$D,'Live Collections'!F3100))</f>
        <v>0</v>
      </c>
      <c r="S3100" s="304">
        <f>IF(O3100&lt;=IF($O3100=0,0,SUMIFS(Disbursements!$W:$W,Disbursements!$B:$B,'Live Collections'!D2806,Disbursements!$D:$D,'Live Collections'!F2806)),O3100,IF($O3100=0,0,SUMIFS(Disbursements!$W:$W,Disbursements!$B:$B,'Live Collections'!D2806,Disbursements!$D:$D,'Live Collections'!F2806)))</f>
        <v>0</v>
      </c>
      <c r="T3100" s="304">
        <f t="shared" si="146"/>
        <v>0</v>
      </c>
      <c r="U3100" s="52"/>
      <c r="V3100" s="34"/>
      <c r="W3100" s="408" t="s">
        <v>2060</v>
      </c>
    </row>
    <row r="3101" spans="1:23" ht="12.75" customHeight="1" x14ac:dyDescent="0.2">
      <c r="A3101" s="257">
        <v>3100</v>
      </c>
      <c r="B3101" s="44">
        <v>44606</v>
      </c>
      <c r="C3101" s="44">
        <f t="shared" si="147"/>
        <v>44606</v>
      </c>
      <c r="D3101" s="374">
        <v>248</v>
      </c>
      <c r="E3101" s="291" t="str">
        <f>IFERROR(VLOOKUP($D3101,'Clients-Live'!$A:$C,3,0),"")</f>
        <v>LETARU GLORIA</v>
      </c>
      <c r="F3101" s="291">
        <f>IFERROR(INDEX(Disbursements!$D:$D,MATCH('Live Collections'!G3101,Disbursements!$C:$C,0)),"")</f>
        <v>1</v>
      </c>
      <c r="G3101" s="34">
        <v>268</v>
      </c>
      <c r="H3101" s="34">
        <v>4820</v>
      </c>
      <c r="I3101" s="34" t="s">
        <v>1359</v>
      </c>
      <c r="J3101" s="48"/>
      <c r="K3101" s="48"/>
      <c r="L3101" s="48"/>
      <c r="M3101" s="48"/>
      <c r="N3101" s="59"/>
      <c r="O3101" s="59">
        <v>425000</v>
      </c>
      <c r="P3101" s="59"/>
      <c r="Q3101" s="268">
        <f t="shared" si="145"/>
        <v>425000</v>
      </c>
      <c r="R3101" s="61">
        <f>IF(O3101=0,0,SUMIFS(Disbursements!$T:$T,Disbursements!$B:$B,'Live Collections'!D3101,Disbursements!$D:$D,'Live Collections'!F3101))</f>
        <v>1225000</v>
      </c>
      <c r="S3101" s="64">
        <v>450000</v>
      </c>
      <c r="T3101" s="304">
        <f t="shared" si="146"/>
        <v>-25000</v>
      </c>
      <c r="U3101" s="52"/>
      <c r="V3101" s="34"/>
      <c r="W3101" s="408"/>
    </row>
    <row r="3102" spans="1:23" ht="12.75" customHeight="1" x14ac:dyDescent="0.2">
      <c r="A3102" s="257">
        <v>3101</v>
      </c>
      <c r="B3102" s="44">
        <v>44606</v>
      </c>
      <c r="C3102" s="44">
        <f t="shared" si="147"/>
        <v>44606</v>
      </c>
      <c r="D3102" s="374">
        <v>248</v>
      </c>
      <c r="E3102" s="291" t="str">
        <f>IFERROR(VLOOKUP($D3102,'Clients-Live'!$A:$C,3,0),"")</f>
        <v>LETARU GLORIA</v>
      </c>
      <c r="F3102" s="291">
        <f>IFERROR(INDEX(Disbursements!$D:$D,MATCH('Live Collections'!G3102,Disbursements!$C:$C,0)),"")</f>
        <v>1</v>
      </c>
      <c r="G3102" s="34">
        <v>268</v>
      </c>
      <c r="H3102" s="34">
        <v>4819</v>
      </c>
      <c r="I3102" s="34" t="s">
        <v>1359</v>
      </c>
      <c r="J3102" s="48"/>
      <c r="K3102" s="48"/>
      <c r="L3102" s="48"/>
      <c r="M3102" s="48"/>
      <c r="N3102" s="59">
        <v>50000</v>
      </c>
      <c r="O3102" s="59"/>
      <c r="P3102" s="59"/>
      <c r="Q3102" s="268">
        <f t="shared" si="145"/>
        <v>50000</v>
      </c>
      <c r="R3102" s="61">
        <f>IF(O3102=0,0,SUMIFS(Disbursements!$T:$T,Disbursements!$B:$B,'Live Collections'!D3102,Disbursements!$D:$D,'Live Collections'!F3102))</f>
        <v>0</v>
      </c>
      <c r="S3102" s="304">
        <f>IF(O3102&lt;=IF($O3102=0,0,SUMIFS(Disbursements!$W:$W,Disbursements!$B:$B,'Live Collections'!D2808,Disbursements!$D:$D,'Live Collections'!F2808)),O3102,IF($O3102=0,0,SUMIFS(Disbursements!$W:$W,Disbursements!$B:$B,'Live Collections'!D2808,Disbursements!$D:$D,'Live Collections'!F2808)))</f>
        <v>0</v>
      </c>
      <c r="T3102" s="304">
        <f t="shared" si="146"/>
        <v>0</v>
      </c>
      <c r="U3102" s="52"/>
      <c r="V3102" s="34"/>
      <c r="W3102" s="408"/>
    </row>
    <row r="3103" spans="1:23" ht="12.75" customHeight="1" x14ac:dyDescent="0.2">
      <c r="A3103" s="257">
        <v>3110</v>
      </c>
      <c r="B3103" s="44">
        <v>44606</v>
      </c>
      <c r="C3103" s="44">
        <f t="shared" si="147"/>
        <v>44606</v>
      </c>
      <c r="D3103" s="374">
        <v>260</v>
      </c>
      <c r="E3103" s="291" t="str">
        <f>IFERROR(VLOOKUP($D3103,'Clients-Live'!$A:$C,3,0),"")</f>
        <v>ATAYI GRACE</v>
      </c>
      <c r="F3103" s="291">
        <f>IFERROR(INDEX(Disbursements!$D:$D,MATCH('Live Collections'!G3103,Disbursements!$C:$C,0)),"")</f>
        <v>1</v>
      </c>
      <c r="G3103" s="34">
        <v>303</v>
      </c>
      <c r="H3103" s="34">
        <v>4765</v>
      </c>
      <c r="I3103" s="34" t="s">
        <v>1359</v>
      </c>
      <c r="J3103" s="48"/>
      <c r="K3103" s="48"/>
      <c r="L3103" s="48"/>
      <c r="M3103" s="48"/>
      <c r="N3103" s="59"/>
      <c r="O3103" s="59">
        <v>60000</v>
      </c>
      <c r="P3103" s="59"/>
      <c r="Q3103" s="268">
        <f t="shared" si="145"/>
        <v>60000</v>
      </c>
      <c r="R3103" s="61">
        <f>IF(O3103=0,0,SUMIFS(Disbursements!$T:$T,Disbursements!$B:$B,'Live Collections'!D3103,Disbursements!$D:$D,'Live Collections'!F3103))</f>
        <v>23000</v>
      </c>
      <c r="S3103" s="304"/>
      <c r="T3103" s="304">
        <f t="shared" si="146"/>
        <v>60000</v>
      </c>
      <c r="U3103" s="52"/>
      <c r="V3103" s="34"/>
      <c r="W3103" s="408"/>
    </row>
    <row r="3104" spans="1:23" ht="12.75" customHeight="1" x14ac:dyDescent="0.2">
      <c r="A3104" s="257">
        <v>3106</v>
      </c>
      <c r="B3104" s="44">
        <v>44606</v>
      </c>
      <c r="C3104" s="44">
        <f t="shared" si="147"/>
        <v>44606</v>
      </c>
      <c r="D3104" s="374">
        <v>267</v>
      </c>
      <c r="E3104" s="291" t="str">
        <f>IFERROR(VLOOKUP($D3104,'Clients-Live'!$A:$C,3,0),"")</f>
        <v>KAMUSIRI JULIUS</v>
      </c>
      <c r="F3104" s="291">
        <f>IFERROR(INDEX(Disbursements!$D:$D,MATCH('Live Collections'!G3104,Disbursements!$C:$C,0)),"")</f>
        <v>1</v>
      </c>
      <c r="G3104" s="34">
        <v>346</v>
      </c>
      <c r="H3104" s="34">
        <v>4509</v>
      </c>
      <c r="I3104" s="34" t="s">
        <v>1357</v>
      </c>
      <c r="J3104" s="48"/>
      <c r="K3104" s="48"/>
      <c r="L3104" s="48"/>
      <c r="M3104" s="48"/>
      <c r="N3104" s="59"/>
      <c r="O3104" s="59">
        <v>26500</v>
      </c>
      <c r="P3104" s="59"/>
      <c r="Q3104" s="268">
        <f t="shared" si="145"/>
        <v>26500</v>
      </c>
      <c r="R3104" s="61">
        <f>IF(O3104=0,0,SUMIFS(Disbursements!$T:$T,Disbursements!$B:$B,'Live Collections'!D3104,Disbursements!$D:$D,'Live Collections'!F3104))</f>
        <v>83000</v>
      </c>
      <c r="S3104" s="304"/>
      <c r="T3104" s="304">
        <f t="shared" si="146"/>
        <v>26500</v>
      </c>
      <c r="U3104" s="52"/>
      <c r="V3104" s="34"/>
      <c r="W3104" s="408"/>
    </row>
    <row r="3105" spans="1:23" ht="12.75" customHeight="1" x14ac:dyDescent="0.2">
      <c r="A3105" s="257">
        <v>3102</v>
      </c>
      <c r="B3105" s="44">
        <v>44606</v>
      </c>
      <c r="C3105" s="44">
        <f t="shared" si="147"/>
        <v>44606</v>
      </c>
      <c r="D3105" s="374">
        <v>271</v>
      </c>
      <c r="E3105" s="291" t="str">
        <f>IFERROR(VLOOKUP($D3105,'Clients-Live'!$A:$C,3,0),"")</f>
        <v>ALORO SAIDI</v>
      </c>
      <c r="F3105" s="291">
        <f>IFERROR(INDEX(Disbursements!$D:$D,MATCH('Live Collections'!G3105,Disbursements!$C:$C,0)),"")</f>
        <v>1</v>
      </c>
      <c r="G3105" s="34">
        <v>319</v>
      </c>
      <c r="H3105" s="34">
        <v>4854</v>
      </c>
      <c r="I3105" s="34" t="s">
        <v>1357</v>
      </c>
      <c r="J3105" s="48"/>
      <c r="K3105" s="48"/>
      <c r="L3105" s="48"/>
      <c r="M3105" s="48"/>
      <c r="N3105" s="59"/>
      <c r="O3105" s="59">
        <v>50000</v>
      </c>
      <c r="P3105" s="59"/>
      <c r="Q3105" s="268">
        <f t="shared" si="145"/>
        <v>50000</v>
      </c>
      <c r="R3105" s="61">
        <f>IF(O3105=0,0,SUMIFS(Disbursements!$T:$T,Disbursements!$B:$B,'Live Collections'!D3105,Disbursements!$D:$D,'Live Collections'!F3105))</f>
        <v>120000</v>
      </c>
      <c r="S3105" s="304">
        <f>IF(O3105&lt;=IF($O3105=0,0,SUMIFS(Disbursements!$W:$W,Disbursements!$B:$B,'Live Collections'!D2973,Disbursements!$D:$D,'Live Collections'!F2973)),O3105,IF($O3105=0,0,SUMIFS(Disbursements!$W:$W,Disbursements!$B:$B,'Live Collections'!D2973,Disbursements!$D:$D,'Live Collections'!F2973)))</f>
        <v>0</v>
      </c>
      <c r="T3105" s="304">
        <f t="shared" si="146"/>
        <v>50000</v>
      </c>
      <c r="U3105" s="52"/>
      <c r="V3105" s="34"/>
      <c r="W3105" s="408"/>
    </row>
    <row r="3106" spans="1:23" ht="12.75" customHeight="1" x14ac:dyDescent="0.2">
      <c r="A3106" s="257">
        <v>3103</v>
      </c>
      <c r="B3106" s="44">
        <v>44606</v>
      </c>
      <c r="C3106" s="44">
        <f t="shared" si="147"/>
        <v>44606</v>
      </c>
      <c r="D3106" s="374">
        <v>276</v>
      </c>
      <c r="E3106" s="291" t="str">
        <f>IFERROR(VLOOKUP($D3106,'Clients-Live'!$A:$C,3,0),"")</f>
        <v>MANDELA SWAIBU</v>
      </c>
      <c r="F3106" s="291">
        <f>IFERROR(INDEX(Disbursements!$D:$D,MATCH('Live Collections'!G3106,Disbursements!$C:$C,0)),"")</f>
        <v>1</v>
      </c>
      <c r="G3106" s="34">
        <v>358</v>
      </c>
      <c r="H3106" s="34">
        <v>4767</v>
      </c>
      <c r="I3106" s="34" t="s">
        <v>1359</v>
      </c>
      <c r="J3106" s="48"/>
      <c r="K3106" s="48"/>
      <c r="L3106" s="48"/>
      <c r="M3106" s="48"/>
      <c r="N3106" s="59"/>
      <c r="O3106" s="59">
        <v>140000</v>
      </c>
      <c r="P3106" s="59"/>
      <c r="Q3106" s="268">
        <f t="shared" si="145"/>
        <v>140000</v>
      </c>
      <c r="R3106" s="61">
        <f>IF(O3106=0,0,SUMIFS(Disbursements!$T:$T,Disbursements!$B:$B,'Live Collections'!D3106,Disbursements!$D:$D,'Live Collections'!F3106))</f>
        <v>325000</v>
      </c>
      <c r="S3106" s="304">
        <f>IF(O3106&lt;=IF($O3106=0,0,SUMIFS(Disbursements!$W:$W,Disbursements!$B:$B,'Live Collections'!D2988,Disbursements!$D:$D,'Live Collections'!F2988)),O3106,IF($O3106=0,0,SUMIFS(Disbursements!$W:$W,Disbursements!$B:$B,'Live Collections'!D2988,Disbursements!$D:$D,'Live Collections'!F2988)))</f>
        <v>0</v>
      </c>
      <c r="T3106" s="304">
        <f t="shared" si="146"/>
        <v>140000</v>
      </c>
      <c r="U3106" s="52"/>
      <c r="V3106" s="34"/>
      <c r="W3106" s="408"/>
    </row>
    <row r="3107" spans="1:23" ht="12.75" customHeight="1" x14ac:dyDescent="0.2">
      <c r="A3107" s="257">
        <v>3108</v>
      </c>
      <c r="B3107" s="44">
        <v>44606</v>
      </c>
      <c r="C3107" s="44">
        <f t="shared" si="147"/>
        <v>44606</v>
      </c>
      <c r="D3107" s="374">
        <v>276</v>
      </c>
      <c r="E3107" s="291" t="str">
        <f>IFERROR(VLOOKUP($D3107,'Clients-Live'!$A:$C,3,0),"")</f>
        <v>MANDELA SWAIBU</v>
      </c>
      <c r="F3107" s="291">
        <f>IFERROR(INDEX(Disbursements!$D:$D,MATCH('Live Collections'!G3107,Disbursements!$C:$C,0)),"")</f>
        <v>1</v>
      </c>
      <c r="G3107" s="34">
        <v>358</v>
      </c>
      <c r="H3107" s="34">
        <v>4853</v>
      </c>
      <c r="I3107" s="34" t="s">
        <v>1359</v>
      </c>
      <c r="J3107" s="48"/>
      <c r="K3107" s="48"/>
      <c r="L3107" s="48"/>
      <c r="M3107" s="48"/>
      <c r="N3107" s="59"/>
      <c r="O3107" s="59">
        <v>40000</v>
      </c>
      <c r="P3107" s="59"/>
      <c r="Q3107" s="268">
        <f t="shared" si="145"/>
        <v>40000</v>
      </c>
      <c r="R3107" s="61">
        <f>IF(O3107=0,0,SUMIFS(Disbursements!$T:$T,Disbursements!$B:$B,'Live Collections'!D3107,Disbursements!$D:$D,'Live Collections'!F3107))</f>
        <v>325000</v>
      </c>
      <c r="S3107" s="304">
        <f>IF(O3107&lt;=IF($O3107=0,0,SUMIFS(Disbursements!$W:$W,Disbursements!$B:$B,'Live Collections'!D2989,Disbursements!$D:$D,'Live Collections'!F2989)),O3107,IF($O3107=0,0,SUMIFS(Disbursements!$W:$W,Disbursements!$B:$B,'Live Collections'!D2989,Disbursements!$D:$D,'Live Collections'!F2989)))</f>
        <v>9000</v>
      </c>
      <c r="T3107" s="304">
        <f t="shared" si="146"/>
        <v>31000</v>
      </c>
      <c r="U3107" s="52"/>
      <c r="V3107" s="34"/>
      <c r="W3107" s="408"/>
    </row>
    <row r="3108" spans="1:23" ht="12.75" customHeight="1" x14ac:dyDescent="0.2">
      <c r="A3108" s="257">
        <v>3097</v>
      </c>
      <c r="B3108" s="44">
        <v>44606</v>
      </c>
      <c r="C3108" s="44">
        <f t="shared" si="147"/>
        <v>44606</v>
      </c>
      <c r="D3108" s="374">
        <v>292</v>
      </c>
      <c r="E3108" s="291" t="str">
        <f>IFERROR(VLOOKUP($D3108,'Clients-Live'!$A:$C,3,0),"")</f>
        <v>AFEKU DENIS</v>
      </c>
      <c r="F3108" s="291">
        <f>IFERROR(INDEX(Disbursements!$D:$D,MATCH('Live Collections'!G3108,Disbursements!$C:$C,0)),"")</f>
        <v>1</v>
      </c>
      <c r="G3108" s="34">
        <v>368</v>
      </c>
      <c r="H3108" s="34">
        <v>4817</v>
      </c>
      <c r="I3108" s="34" t="s">
        <v>1359</v>
      </c>
      <c r="J3108" s="48"/>
      <c r="K3108" s="48"/>
      <c r="L3108" s="48"/>
      <c r="M3108" s="48"/>
      <c r="N3108" s="59"/>
      <c r="O3108" s="59">
        <v>1000000</v>
      </c>
      <c r="P3108" s="59"/>
      <c r="Q3108" s="268">
        <f t="shared" si="145"/>
        <v>1000000</v>
      </c>
      <c r="R3108" s="61">
        <f>IF(O3108=0,0,SUMIFS(Disbursements!$T:$T,Disbursements!$B:$B,'Live Collections'!D3108,Disbursements!$D:$D,'Live Collections'!F3108))</f>
        <v>2600000</v>
      </c>
      <c r="S3108" s="304">
        <f>IF(O3108&lt;=IF($O3108=0,0,SUMIFS(Disbursements!$W:$W,Disbursements!$B:$B,'Live Collections'!D3056,Disbursements!$D:$D,'Live Collections'!F3056)),O3108,IF($O3108=0,0,SUMIFS(Disbursements!$W:$W,Disbursements!$B:$B,'Live Collections'!D3056,Disbursements!$D:$D,'Live Collections'!F3056)))</f>
        <v>10000</v>
      </c>
      <c r="T3108" s="304">
        <f t="shared" si="146"/>
        <v>990000</v>
      </c>
      <c r="U3108" s="52"/>
      <c r="V3108" s="34"/>
      <c r="W3108" s="408"/>
    </row>
    <row r="3109" spans="1:23" ht="12.75" customHeight="1" x14ac:dyDescent="0.2">
      <c r="A3109" s="257">
        <v>3109</v>
      </c>
      <c r="B3109" s="44">
        <v>44606</v>
      </c>
      <c r="C3109" s="44">
        <f t="shared" si="147"/>
        <v>44606</v>
      </c>
      <c r="D3109" s="374">
        <v>309</v>
      </c>
      <c r="E3109" s="291" t="str">
        <f>IFERROR(VLOOKUP($D3109,'Clients-Live'!$A:$C,3,0),"")</f>
        <v>NAMBOZO HALIMA</v>
      </c>
      <c r="F3109" s="291">
        <f>IFERROR(INDEX(Disbursements!$D:$D,MATCH('Live Collections'!G3109,Disbursements!$C:$C,0)),"")</f>
        <v>1</v>
      </c>
      <c r="G3109" s="34">
        <v>391</v>
      </c>
      <c r="H3109" s="34">
        <v>4766</v>
      </c>
      <c r="I3109" s="34" t="s">
        <v>1357</v>
      </c>
      <c r="J3109" s="48"/>
      <c r="K3109" s="48"/>
      <c r="L3109" s="48"/>
      <c r="M3109" s="48"/>
      <c r="N3109" s="59"/>
      <c r="O3109" s="59">
        <v>70000</v>
      </c>
      <c r="P3109" s="59"/>
      <c r="Q3109" s="268">
        <f t="shared" si="145"/>
        <v>70000</v>
      </c>
      <c r="R3109" s="61">
        <f>IF(O3109=0,0,SUMIFS(Disbursements!$T:$T,Disbursements!$B:$B,'Live Collections'!D3109,Disbursements!$D:$D,'Live Collections'!F3109))</f>
        <v>79000</v>
      </c>
      <c r="S3109" s="304">
        <v>9000</v>
      </c>
      <c r="T3109" s="304">
        <f t="shared" si="146"/>
        <v>61000</v>
      </c>
      <c r="U3109" s="52"/>
      <c r="V3109" s="34"/>
      <c r="W3109" s="408"/>
    </row>
    <row r="3110" spans="1:23" ht="12.75" customHeight="1" x14ac:dyDescent="0.2">
      <c r="A3110" s="257">
        <v>3122</v>
      </c>
      <c r="B3110" s="44">
        <v>44607</v>
      </c>
      <c r="C3110" s="44">
        <f t="shared" si="147"/>
        <v>44607</v>
      </c>
      <c r="D3110" s="374">
        <v>44</v>
      </c>
      <c r="E3110" s="291" t="str">
        <f>IFERROR(VLOOKUP($D3110,'Clients-Live'!$A:$C,3,0),"")</f>
        <v>CANDIRU HELLEN</v>
      </c>
      <c r="F3110" s="291">
        <f>IFERROR(INDEX(Disbursements!$D:$D,MATCH('Live Collections'!G3110,Disbursements!$C:$C,0)),"")</f>
        <v>3</v>
      </c>
      <c r="G3110" s="34">
        <v>362</v>
      </c>
      <c r="H3110" s="34">
        <v>4780</v>
      </c>
      <c r="I3110" s="34" t="s">
        <v>1358</v>
      </c>
      <c r="J3110" s="48"/>
      <c r="K3110" s="48"/>
      <c r="L3110" s="48"/>
      <c r="M3110" s="48"/>
      <c r="N3110" s="59"/>
      <c r="O3110" s="59">
        <v>400000</v>
      </c>
      <c r="P3110" s="59"/>
      <c r="Q3110" s="268">
        <f t="shared" si="145"/>
        <v>400000</v>
      </c>
      <c r="R3110" s="61">
        <f>IF(O3110=0,0,SUMIFS(Disbursements!$T:$T,Disbursements!$B:$B,'Live Collections'!D3110,Disbursements!$D:$D,'Live Collections'!F3110))</f>
        <v>325000</v>
      </c>
      <c r="S3110" s="304">
        <f>IF(O3110&lt;=IF($O3110=0,0,SUMIFS(Disbursements!$W:$W,Disbursements!$B:$B,'Live Collections'!D501,Disbursements!$D:$D,'Live Collections'!F501)),O3110,IF($O3110=0,0,SUMIFS(Disbursements!$W:$W,Disbursements!$B:$B,'Live Collections'!D501,Disbursements!$D:$D,'Live Collections'!F501)))</f>
        <v>0</v>
      </c>
      <c r="T3110" s="304">
        <f t="shared" si="146"/>
        <v>400000</v>
      </c>
      <c r="U3110" s="52"/>
      <c r="V3110" s="34"/>
      <c r="W3110" s="408"/>
    </row>
    <row r="3111" spans="1:23" ht="12.75" customHeight="1" x14ac:dyDescent="0.2">
      <c r="A3111" s="257">
        <v>3118</v>
      </c>
      <c r="B3111" s="44">
        <v>44607</v>
      </c>
      <c r="C3111" s="44">
        <f t="shared" si="147"/>
        <v>44607</v>
      </c>
      <c r="D3111" s="374">
        <v>72</v>
      </c>
      <c r="E3111" s="291" t="str">
        <f>IFERROR(VLOOKUP($D3111,'Clients-Live'!$A:$C,3,0),"")</f>
        <v>MUNDURU MERCY</v>
      </c>
      <c r="F3111" s="291">
        <f>IFERROR(INDEX(Disbursements!$D:$D,MATCH('Live Collections'!G3111,Disbursements!$C:$C,0)),"")</f>
        <v>2</v>
      </c>
      <c r="G3111" s="34">
        <v>370</v>
      </c>
      <c r="H3111" s="34">
        <v>4822</v>
      </c>
      <c r="I3111" s="34" t="s">
        <v>1358</v>
      </c>
      <c r="J3111" s="48"/>
      <c r="K3111" s="48"/>
      <c r="L3111" s="48"/>
      <c r="M3111" s="48"/>
      <c r="N3111" s="59"/>
      <c r="O3111" s="59">
        <v>260000</v>
      </c>
      <c r="P3111" s="59"/>
      <c r="Q3111" s="268">
        <f t="shared" si="145"/>
        <v>260000</v>
      </c>
      <c r="R3111" s="61">
        <f>IF(O3111=0,0,SUMIFS(Disbursements!$T:$T,Disbursements!$B:$B,'Live Collections'!D3111,Disbursements!$D:$D,'Live Collections'!F3111))</f>
        <v>260000</v>
      </c>
      <c r="S3111" s="304">
        <f>IF(O3111&lt;=IF($O3111=0,0,SUMIFS(Disbursements!$W:$W,Disbursements!$B:$B,'Live Collections'!D916,Disbursements!$D:$D,'Live Collections'!F916)),O3111,IF($O3111=0,0,SUMIFS(Disbursements!$W:$W,Disbursements!$B:$B,'Live Collections'!D916,Disbursements!$D:$D,'Live Collections'!F916)))</f>
        <v>13000</v>
      </c>
      <c r="T3111" s="304">
        <f t="shared" si="146"/>
        <v>247000</v>
      </c>
      <c r="U3111" s="52"/>
      <c r="V3111" s="34"/>
      <c r="W3111" s="408"/>
    </row>
    <row r="3112" spans="1:23" ht="12.75" customHeight="1" x14ac:dyDescent="0.2">
      <c r="A3112" s="257">
        <v>3117</v>
      </c>
      <c r="B3112" s="44">
        <v>44607</v>
      </c>
      <c r="C3112" s="44">
        <f t="shared" si="147"/>
        <v>44607</v>
      </c>
      <c r="D3112" s="374">
        <v>88</v>
      </c>
      <c r="E3112" s="291" t="str">
        <f>IFERROR(VLOOKUP($D3112,'Clients-Live'!$A:$C,3,0),"")</f>
        <v>FAIDA HARRIET</v>
      </c>
      <c r="F3112" s="291">
        <f>IFERROR(INDEX(Disbursements!$D:$D,MATCH('Live Collections'!G3112,Disbursements!$C:$C,0)),"")</f>
        <v>3</v>
      </c>
      <c r="G3112" s="34">
        <v>380</v>
      </c>
      <c r="H3112" s="34">
        <v>4783</v>
      </c>
      <c r="I3112" s="34" t="s">
        <v>1357</v>
      </c>
      <c r="J3112" s="48"/>
      <c r="K3112" s="48"/>
      <c r="L3112" s="48"/>
      <c r="M3112" s="48"/>
      <c r="N3112" s="59"/>
      <c r="O3112" s="59">
        <v>45000</v>
      </c>
      <c r="P3112" s="59"/>
      <c r="Q3112" s="268">
        <f t="shared" si="145"/>
        <v>45000</v>
      </c>
      <c r="R3112" s="61">
        <f>IF(O3112=0,0,SUMIFS(Disbursements!$T:$T,Disbursements!$B:$B,'Live Collections'!D3112,Disbursements!$D:$D,'Live Collections'!F3112))</f>
        <v>90000</v>
      </c>
      <c r="S3112" s="304">
        <v>20000</v>
      </c>
      <c r="T3112" s="304">
        <f t="shared" si="146"/>
        <v>25000</v>
      </c>
      <c r="U3112" s="52"/>
      <c r="V3112" s="34"/>
      <c r="W3112" s="408"/>
    </row>
    <row r="3113" spans="1:23" ht="12.75" customHeight="1" x14ac:dyDescent="0.2">
      <c r="A3113" s="257">
        <v>3121</v>
      </c>
      <c r="B3113" s="44">
        <v>44607</v>
      </c>
      <c r="C3113" s="44">
        <f t="shared" si="147"/>
        <v>44607</v>
      </c>
      <c r="D3113" s="374">
        <v>114</v>
      </c>
      <c r="E3113" s="291" t="str">
        <f>IFERROR(VLOOKUP($D3113,'Clients-Live'!$A:$C,3,0),"")</f>
        <v>ONZIA EMMILY</v>
      </c>
      <c r="F3113" s="291">
        <f>IFERROR(INDEX(Disbursements!$D:$D,MATCH('Live Collections'!G3113,Disbursements!$C:$C,0)),"")</f>
        <v>4</v>
      </c>
      <c r="G3113" s="34">
        <v>373</v>
      </c>
      <c r="H3113" s="34">
        <v>4778</v>
      </c>
      <c r="I3113" s="34" t="s">
        <v>1358</v>
      </c>
      <c r="J3113" s="48"/>
      <c r="K3113" s="48"/>
      <c r="L3113" s="48"/>
      <c r="M3113" s="48"/>
      <c r="N3113" s="59"/>
      <c r="O3113" s="59">
        <v>500000</v>
      </c>
      <c r="P3113" s="59"/>
      <c r="Q3113" s="268">
        <f t="shared" si="145"/>
        <v>500000</v>
      </c>
      <c r="R3113" s="61">
        <f>IF(O3113=0,0,SUMIFS(Disbursements!$T:$T,Disbursements!$B:$B,'Live Collections'!D3113,Disbursements!$D:$D,'Live Collections'!F3113))</f>
        <v>625000</v>
      </c>
      <c r="S3113" s="304">
        <f>IF(O3113&lt;=IF($O3113=0,0,SUMIFS(Disbursements!$W:$W,Disbursements!$B:$B,'Live Collections'!D1474,Disbursements!$D:$D,'Live Collections'!F1474)),O3113,IF($O3113=0,0,SUMIFS(Disbursements!$W:$W,Disbursements!$B:$B,'Live Collections'!D1474,Disbursements!$D:$D,'Live Collections'!F1474)))</f>
        <v>0</v>
      </c>
      <c r="T3113" s="304">
        <f t="shared" si="146"/>
        <v>500000</v>
      </c>
      <c r="U3113" s="52"/>
      <c r="V3113" s="34"/>
      <c r="W3113" s="408"/>
    </row>
    <row r="3114" spans="1:23" ht="12.75" customHeight="1" x14ac:dyDescent="0.2">
      <c r="A3114" s="257">
        <v>3123</v>
      </c>
      <c r="B3114" s="44">
        <v>44607</v>
      </c>
      <c r="C3114" s="44">
        <f t="shared" si="147"/>
        <v>44607</v>
      </c>
      <c r="D3114" s="374">
        <v>138</v>
      </c>
      <c r="E3114" s="291" t="str">
        <f>IFERROR(VLOOKUP($D3114,'Clients-Live'!$A:$C,3,0),"")</f>
        <v>BEATRICE AMANDRU</v>
      </c>
      <c r="F3114" s="291">
        <f>IFERROR(INDEX(Disbursements!$D:$D,MATCH('Live Collections'!G3114,Disbursements!$C:$C,0)),"")</f>
        <v>3</v>
      </c>
      <c r="G3114" s="34">
        <v>371</v>
      </c>
      <c r="H3114" s="34">
        <v>4777</v>
      </c>
      <c r="I3114" s="34" t="s">
        <v>1357</v>
      </c>
      <c r="J3114" s="48"/>
      <c r="K3114" s="48"/>
      <c r="L3114" s="48"/>
      <c r="M3114" s="48"/>
      <c r="N3114" s="59"/>
      <c r="O3114" s="59">
        <v>60000</v>
      </c>
      <c r="P3114" s="59"/>
      <c r="Q3114" s="268">
        <f t="shared" si="145"/>
        <v>60000</v>
      </c>
      <c r="R3114" s="61">
        <f>IF(O3114=0,0,SUMIFS(Disbursements!$T:$T,Disbursements!$B:$B,'Live Collections'!D3114,Disbursements!$D:$D,'Live Collections'!F3114))</f>
        <v>330000</v>
      </c>
      <c r="S3114" s="304">
        <f>IF(O3114&lt;=IF($O3114=0,0,SUMIFS(Disbursements!$W:$W,Disbursements!$B:$B,'Live Collections'!D1753,Disbursements!$D:$D,'Live Collections'!F1753)),O3114,IF($O3114=0,0,SUMIFS(Disbursements!$W:$W,Disbursements!$B:$B,'Live Collections'!D1753,Disbursements!$D:$D,'Live Collections'!F1753)))</f>
        <v>0</v>
      </c>
      <c r="T3114" s="304">
        <f t="shared" si="146"/>
        <v>60000</v>
      </c>
      <c r="U3114" s="52"/>
      <c r="V3114" s="34"/>
      <c r="W3114" s="408"/>
    </row>
    <row r="3115" spans="1:23" ht="12.75" customHeight="1" x14ac:dyDescent="0.2">
      <c r="A3115" s="257">
        <v>3124</v>
      </c>
      <c r="B3115" s="44">
        <v>44607</v>
      </c>
      <c r="C3115" s="44">
        <f t="shared" si="147"/>
        <v>44607</v>
      </c>
      <c r="D3115" s="374">
        <v>138</v>
      </c>
      <c r="E3115" s="291" t="str">
        <f>IFERROR(VLOOKUP($D3115,'Clients-Live'!$A:$C,3,0),"")</f>
        <v>BEATRICE AMANDRU</v>
      </c>
      <c r="F3115" s="291">
        <f>IFERROR(INDEX(Disbursements!$D:$D,MATCH('Live Collections'!G3115,Disbursements!$C:$C,0)),"")</f>
        <v>3</v>
      </c>
      <c r="G3115" s="34">
        <v>371</v>
      </c>
      <c r="H3115" s="34">
        <v>770</v>
      </c>
      <c r="I3115" s="34" t="s">
        <v>1357</v>
      </c>
      <c r="J3115" s="48"/>
      <c r="K3115" s="48"/>
      <c r="L3115" s="48"/>
      <c r="M3115" s="48"/>
      <c r="N3115" s="59"/>
      <c r="O3115" s="59"/>
      <c r="P3115" s="59">
        <v>-60000</v>
      </c>
      <c r="Q3115" s="268">
        <f t="shared" si="145"/>
        <v>-60000</v>
      </c>
      <c r="R3115" s="61">
        <f>IF(O3115=0,0,SUMIFS(Disbursements!$T:$T,Disbursements!$B:$B,'Live Collections'!D3115,Disbursements!$D:$D,'Live Collections'!F3115))</f>
        <v>0</v>
      </c>
      <c r="S3115" s="304">
        <f>IF(O3115&lt;=IF($O3115=0,0,SUMIFS(Disbursements!$W:$W,Disbursements!$B:$B,'Live Collections'!D1754,Disbursements!$D:$D,'Live Collections'!F1754)),O3115,IF($O3115=0,0,SUMIFS(Disbursements!$W:$W,Disbursements!$B:$B,'Live Collections'!D1754,Disbursements!$D:$D,'Live Collections'!F1754)))</f>
        <v>0</v>
      </c>
      <c r="T3115" s="304">
        <f t="shared" si="146"/>
        <v>0</v>
      </c>
      <c r="U3115" s="52"/>
      <c r="V3115" s="34"/>
      <c r="W3115" s="408" t="s">
        <v>2058</v>
      </c>
    </row>
    <row r="3116" spans="1:23" ht="12.75" customHeight="1" x14ac:dyDescent="0.2">
      <c r="A3116" s="257">
        <v>3125</v>
      </c>
      <c r="B3116" s="44">
        <v>44607</v>
      </c>
      <c r="C3116" s="44">
        <f t="shared" si="147"/>
        <v>44607</v>
      </c>
      <c r="D3116" s="374">
        <v>138</v>
      </c>
      <c r="E3116" s="291" t="str">
        <f>IFERROR(VLOOKUP($D3116,'Clients-Live'!$A:$C,3,0),"")</f>
        <v>BEATRICE AMANDRU</v>
      </c>
      <c r="F3116" s="291">
        <f>IFERROR(INDEX(Disbursements!$D:$D,MATCH('Live Collections'!G3116,Disbursements!$C:$C,0)),"")</f>
        <v>3</v>
      </c>
      <c r="G3116" s="34">
        <v>371</v>
      </c>
      <c r="H3116" s="34">
        <v>4776</v>
      </c>
      <c r="I3116" s="34" t="s">
        <v>1357</v>
      </c>
      <c r="J3116" s="48"/>
      <c r="K3116" s="48"/>
      <c r="L3116" s="48"/>
      <c r="M3116" s="48"/>
      <c r="N3116" s="59"/>
      <c r="O3116" s="59">
        <v>300000</v>
      </c>
      <c r="P3116" s="59"/>
      <c r="Q3116" s="268">
        <f t="shared" si="145"/>
        <v>300000</v>
      </c>
      <c r="R3116" s="61">
        <f>IF(O3116=0,0,SUMIFS(Disbursements!$T:$T,Disbursements!$B:$B,'Live Collections'!D3116,Disbursements!$D:$D,'Live Collections'!F3116))</f>
        <v>330000</v>
      </c>
      <c r="S3116" s="304"/>
      <c r="T3116" s="304">
        <f t="shared" si="146"/>
        <v>300000</v>
      </c>
      <c r="U3116" s="52"/>
      <c r="V3116" s="34"/>
      <c r="W3116" s="408"/>
    </row>
    <row r="3117" spans="1:23" ht="12.75" customHeight="1" x14ac:dyDescent="0.2">
      <c r="A3117" s="257">
        <v>3113</v>
      </c>
      <c r="B3117" s="44">
        <v>44607</v>
      </c>
      <c r="C3117" s="44">
        <f t="shared" si="147"/>
        <v>44607</v>
      </c>
      <c r="D3117" s="374">
        <v>142</v>
      </c>
      <c r="E3117" s="291" t="str">
        <f>IFERROR(VLOOKUP($D3117,'Clients-Live'!$A:$C,3,0),"")</f>
        <v>TABU MARY</v>
      </c>
      <c r="F3117" s="291">
        <f>IFERROR(INDEX(Disbursements!$D:$D,MATCH('Live Collections'!G3117,Disbursements!$C:$C,0)),"")</f>
        <v>6</v>
      </c>
      <c r="G3117" s="34">
        <v>383</v>
      </c>
      <c r="H3117" s="34">
        <v>4785</v>
      </c>
      <c r="I3117" s="34" t="s">
        <v>1357</v>
      </c>
      <c r="J3117" s="48"/>
      <c r="K3117" s="48"/>
      <c r="L3117" s="48"/>
      <c r="M3117" s="48"/>
      <c r="N3117" s="59"/>
      <c r="O3117" s="59">
        <v>325000</v>
      </c>
      <c r="P3117" s="59"/>
      <c r="Q3117" s="268">
        <f t="shared" si="145"/>
        <v>325000</v>
      </c>
      <c r="R3117" s="61">
        <f>IF(O3117=0,0,SUMIFS(Disbursements!$T:$T,Disbursements!$B:$B,'Live Collections'!D3117,Disbursements!$D:$D,'Live Collections'!F3117))</f>
        <v>325000</v>
      </c>
      <c r="S3117" s="304">
        <f>IF(O3117&lt;=IF($O3117=0,0,SUMIFS(Disbursements!$W:$W,Disbursements!$B:$B,'Live Collections'!D1803,Disbursements!$D:$D,'Live Collections'!F1803)),O3117,IF($O3117=0,0,SUMIFS(Disbursements!$W:$W,Disbursements!$B:$B,'Live Collections'!D1803,Disbursements!$D:$D,'Live Collections'!F1803)))</f>
        <v>10000</v>
      </c>
      <c r="T3117" s="304">
        <f t="shared" si="146"/>
        <v>315000</v>
      </c>
      <c r="U3117" s="52"/>
      <c r="V3117" s="34"/>
      <c r="W3117" s="408"/>
    </row>
    <row r="3118" spans="1:23" ht="12.75" customHeight="1" x14ac:dyDescent="0.2">
      <c r="A3118" s="257">
        <v>3119</v>
      </c>
      <c r="B3118" s="44">
        <v>44607</v>
      </c>
      <c r="C3118" s="44">
        <f t="shared" si="147"/>
        <v>44607</v>
      </c>
      <c r="D3118" s="374">
        <v>219</v>
      </c>
      <c r="E3118" s="291" t="str">
        <f>IFERROR(VLOOKUP($D3118,'Clients-Live'!$A:$C,3,0),"")</f>
        <v>MALIKO JAMILA</v>
      </c>
      <c r="F3118" s="291">
        <f>IFERROR(INDEX(Disbursements!$D:$D,MATCH('Live Collections'!G3118,Disbursements!$C:$C,0)),"")</f>
        <v>1</v>
      </c>
      <c r="G3118" s="34">
        <v>228</v>
      </c>
      <c r="H3118" s="34">
        <v>4779</v>
      </c>
      <c r="I3118" s="34" t="s">
        <v>1358</v>
      </c>
      <c r="J3118" s="48"/>
      <c r="K3118" s="48"/>
      <c r="L3118" s="48"/>
      <c r="M3118" s="48"/>
      <c r="N3118" s="59"/>
      <c r="O3118" s="59">
        <v>20000</v>
      </c>
      <c r="P3118" s="59"/>
      <c r="Q3118" s="268">
        <f t="shared" si="145"/>
        <v>20000</v>
      </c>
      <c r="R3118" s="61">
        <f>IF(O3118=0,0,SUMIFS(Disbursements!$T:$T,Disbursements!$B:$B,'Live Collections'!D3118,Disbursements!$D:$D,'Live Collections'!F3118))</f>
        <v>77000</v>
      </c>
      <c r="S3118" s="304"/>
      <c r="T3118" s="304">
        <f t="shared" si="146"/>
        <v>20000</v>
      </c>
      <c r="U3118" s="52"/>
      <c r="V3118" s="34"/>
      <c r="W3118" s="408"/>
    </row>
    <row r="3119" spans="1:23" ht="12.75" customHeight="1" x14ac:dyDescent="0.2">
      <c r="A3119" s="257">
        <v>3120</v>
      </c>
      <c r="B3119" s="44">
        <v>44607</v>
      </c>
      <c r="C3119" s="44">
        <f t="shared" si="147"/>
        <v>44607</v>
      </c>
      <c r="D3119" s="374">
        <v>250</v>
      </c>
      <c r="E3119" s="291" t="str">
        <f>IFERROR(VLOOKUP($D3119,'Clients-Live'!$A:$C,3,0),"")</f>
        <v>SAKAYA AMINA</v>
      </c>
      <c r="F3119" s="291">
        <f>IFERROR(INDEX(Disbursements!$D:$D,MATCH('Live Collections'!G3119,Disbursements!$C:$C,0)),"")</f>
        <v>2</v>
      </c>
      <c r="G3119" s="34">
        <v>374</v>
      </c>
      <c r="H3119" s="34">
        <v>4821</v>
      </c>
      <c r="I3119" s="34" t="s">
        <v>1357</v>
      </c>
      <c r="J3119" s="48"/>
      <c r="K3119" s="48"/>
      <c r="L3119" s="48"/>
      <c r="M3119" s="48"/>
      <c r="N3119" s="59"/>
      <c r="O3119" s="59">
        <v>80000</v>
      </c>
      <c r="P3119" s="59"/>
      <c r="Q3119" s="268">
        <f t="shared" si="145"/>
        <v>80000</v>
      </c>
      <c r="R3119" s="61">
        <f>IF(O3119=0,0,SUMIFS(Disbursements!$T:$T,Disbursements!$B:$B,'Live Collections'!D3119,Disbursements!$D:$D,'Live Collections'!F3119))</f>
        <v>120000</v>
      </c>
      <c r="S3119" s="304">
        <f>IF(O3119&lt;=IF($O3119=0,0,SUMIFS(Disbursements!$W:$W,Disbursements!$B:$B,'Live Collections'!D2819,Disbursements!$D:$D,'Live Collections'!F2819)),O3119,IF($O3119=0,0,SUMIFS(Disbursements!$W:$W,Disbursements!$B:$B,'Live Collections'!D2819,Disbursements!$D:$D,'Live Collections'!F2819)))</f>
        <v>0</v>
      </c>
      <c r="T3119" s="304">
        <f t="shared" si="146"/>
        <v>80000</v>
      </c>
      <c r="U3119" s="52"/>
      <c r="V3119" s="34"/>
      <c r="W3119" s="408"/>
    </row>
    <row r="3120" spans="1:23" ht="12.75" customHeight="1" x14ac:dyDescent="0.2">
      <c r="A3120" s="257">
        <v>3112</v>
      </c>
      <c r="B3120" s="44">
        <v>44607</v>
      </c>
      <c r="C3120" s="44">
        <f t="shared" si="147"/>
        <v>44607</v>
      </c>
      <c r="D3120" s="374">
        <v>295</v>
      </c>
      <c r="E3120" s="291" t="str">
        <f>IFERROR(VLOOKUP($D3120,'Clients-Live'!$A:$C,3,0),"")</f>
        <v>ABIYO RICHARD ENAKU</v>
      </c>
      <c r="F3120" s="291">
        <f>IFERROR(INDEX(Disbursements!$D:$D,MATCH('Live Collections'!G3120,Disbursements!$C:$C,0)),"")</f>
        <v>1</v>
      </c>
      <c r="G3120" s="34">
        <v>377</v>
      </c>
      <c r="H3120" s="34">
        <v>4784</v>
      </c>
      <c r="I3120" s="34" t="s">
        <v>1359</v>
      </c>
      <c r="J3120" s="48"/>
      <c r="K3120" s="48"/>
      <c r="L3120" s="48"/>
      <c r="M3120" s="48"/>
      <c r="N3120" s="59"/>
      <c r="O3120" s="59">
        <v>217000</v>
      </c>
      <c r="P3120" s="59"/>
      <c r="Q3120" s="268">
        <f t="shared" si="145"/>
        <v>217000</v>
      </c>
      <c r="R3120" s="61">
        <f>IF(O3120=0,0,SUMIFS(Disbursements!$T:$T,Disbursements!$B:$B,'Live Collections'!D3120,Disbursements!$D:$D,'Live Collections'!F3120))</f>
        <v>217000</v>
      </c>
      <c r="S3120" s="304">
        <f>IF(O3120&lt;=IF($O3120=0,0,SUMIFS(Disbursements!$W:$W,Disbursements!$B:$B,'Live Collections'!D3065,Disbursements!$D:$D,'Live Collections'!F3065)),O3120,IF($O3120=0,0,SUMIFS(Disbursements!$W:$W,Disbursements!$B:$B,'Live Collections'!D3065,Disbursements!$D:$D,'Live Collections'!F3065)))</f>
        <v>40000</v>
      </c>
      <c r="T3120" s="304">
        <f t="shared" si="146"/>
        <v>177000</v>
      </c>
      <c r="U3120" s="52"/>
      <c r="V3120" s="34"/>
      <c r="W3120" s="408"/>
    </row>
    <row r="3121" spans="1:23" ht="12.75" customHeight="1" x14ac:dyDescent="0.2">
      <c r="A3121" s="257">
        <v>3114</v>
      </c>
      <c r="B3121" s="44">
        <v>44607</v>
      </c>
      <c r="C3121" s="44">
        <f t="shared" si="147"/>
        <v>44607</v>
      </c>
      <c r="D3121" s="374">
        <v>314</v>
      </c>
      <c r="E3121" s="291" t="str">
        <f>IFERROR(VLOOKUP($D3121,'Clients-Live'!$A:$C,3,0),"")</f>
        <v>SHAMIM ALIGAH</v>
      </c>
      <c r="F3121" s="291">
        <f>IFERROR(INDEX(Disbursements!$D:$D,MATCH('Live Collections'!G3121,Disbursements!$C:$C,0)),"")</f>
        <v>1</v>
      </c>
      <c r="G3121" s="34">
        <v>404</v>
      </c>
      <c r="H3121" s="34">
        <v>4782</v>
      </c>
      <c r="I3121" s="34" t="s">
        <v>1357</v>
      </c>
      <c r="J3121" s="48"/>
      <c r="K3121" s="48"/>
      <c r="L3121" s="48"/>
      <c r="M3121" s="48"/>
      <c r="N3121" s="59"/>
      <c r="O3121" s="59">
        <v>80000</v>
      </c>
      <c r="P3121" s="59"/>
      <c r="Q3121" s="268">
        <f t="shared" si="145"/>
        <v>80000</v>
      </c>
      <c r="R3121" s="61">
        <f>IF(O3121=0,0,SUMIFS(Disbursements!$T:$T,Disbursements!$B:$B,'Live Collections'!D3121,Disbursements!$D:$D,'Live Collections'!F3121))</f>
        <v>860000</v>
      </c>
      <c r="S3121" s="304"/>
      <c r="T3121" s="304">
        <f t="shared" si="146"/>
        <v>80000</v>
      </c>
      <c r="U3121" s="52"/>
      <c r="V3121" s="34"/>
      <c r="W3121" s="408"/>
    </row>
    <row r="3122" spans="1:23" ht="12.75" customHeight="1" x14ac:dyDescent="0.2">
      <c r="A3122" s="257">
        <v>3115</v>
      </c>
      <c r="B3122" s="44">
        <v>44607</v>
      </c>
      <c r="C3122" s="44">
        <f t="shared" si="147"/>
        <v>44607</v>
      </c>
      <c r="D3122" s="374">
        <v>314</v>
      </c>
      <c r="E3122" s="291" t="str">
        <f>IFERROR(VLOOKUP($D3122,'Clients-Live'!$A:$C,3,0),"")</f>
        <v>SHAMIM ALIGAH</v>
      </c>
      <c r="F3122" s="291">
        <f>IFERROR(INDEX(Disbursements!$D:$D,MATCH('Live Collections'!G3122,Disbursements!$C:$C,0)),"")</f>
        <v>1</v>
      </c>
      <c r="G3122" s="34">
        <v>404</v>
      </c>
      <c r="H3122" s="34">
        <v>771</v>
      </c>
      <c r="I3122" s="34" t="s">
        <v>1357</v>
      </c>
      <c r="J3122" s="48"/>
      <c r="K3122" s="48"/>
      <c r="L3122" s="48"/>
      <c r="M3122" s="48"/>
      <c r="N3122" s="59"/>
      <c r="O3122" s="59"/>
      <c r="P3122" s="59">
        <v>-80000</v>
      </c>
      <c r="Q3122" s="268">
        <f t="shared" ref="Q3122:Q3181" si="148">SUM(J3122:P3122)</f>
        <v>-80000</v>
      </c>
      <c r="R3122" s="61">
        <f>IF(O3122=0,0,SUMIFS(Disbursements!$T:$T,Disbursements!$B:$B,'Live Collections'!D3122,Disbursements!$D:$D,'Live Collections'!F3122))</f>
        <v>0</v>
      </c>
      <c r="S3122" s="304">
        <f>IF(O3122&lt;=IF($O3122=0,0,SUMIFS(Disbursements!$W:$W,Disbursements!$B:$B,'Live Collections'!D3139,Disbursements!$D:$D,'Live Collections'!F3139)),O3122,IF($O3122=0,0,SUMIFS(Disbursements!$W:$W,Disbursements!$B:$B,'Live Collections'!D3139,Disbursements!$D:$D,'Live Collections'!F3139)))</f>
        <v>0</v>
      </c>
      <c r="T3122" s="304">
        <f t="shared" si="146"/>
        <v>0</v>
      </c>
      <c r="U3122" s="52"/>
      <c r="V3122" s="34"/>
      <c r="W3122" s="408" t="s">
        <v>2057</v>
      </c>
    </row>
    <row r="3123" spans="1:23" ht="12.75" customHeight="1" x14ac:dyDescent="0.2">
      <c r="A3123" s="257">
        <v>3116</v>
      </c>
      <c r="B3123" s="44">
        <v>44607</v>
      </c>
      <c r="C3123" s="44">
        <f t="shared" si="147"/>
        <v>44607</v>
      </c>
      <c r="D3123" s="374">
        <v>314</v>
      </c>
      <c r="E3123" s="291" t="str">
        <f>IFERROR(VLOOKUP($D3123,'Clients-Live'!$A:$C,3,0),"")</f>
        <v>SHAMIM ALIGAH</v>
      </c>
      <c r="F3123" s="291">
        <f>IFERROR(INDEX(Disbursements!$D:$D,MATCH('Live Collections'!G3123,Disbursements!$C:$C,0)),"")</f>
        <v>1</v>
      </c>
      <c r="G3123" s="34">
        <v>404</v>
      </c>
      <c r="H3123" s="34">
        <v>4781</v>
      </c>
      <c r="I3123" s="34" t="s">
        <v>1357</v>
      </c>
      <c r="J3123" s="48"/>
      <c r="K3123" s="48"/>
      <c r="L3123" s="48"/>
      <c r="M3123" s="48"/>
      <c r="N3123" s="59"/>
      <c r="O3123" s="59">
        <v>780000</v>
      </c>
      <c r="P3123" s="59"/>
      <c r="Q3123" s="268">
        <f t="shared" si="148"/>
        <v>780000</v>
      </c>
      <c r="R3123" s="61">
        <f>IF(O3123=0,0,SUMIFS(Disbursements!$T:$T,Disbursements!$B:$B,'Live Collections'!D3123,Disbursements!$D:$D,'Live Collections'!F3123))</f>
        <v>860000</v>
      </c>
      <c r="S3123" s="64">
        <v>60000</v>
      </c>
      <c r="T3123" s="304">
        <f t="shared" si="146"/>
        <v>720000</v>
      </c>
      <c r="U3123" s="52"/>
      <c r="V3123" s="34"/>
      <c r="W3123" s="408"/>
    </row>
    <row r="3124" spans="1:23" ht="12.75" customHeight="1" x14ac:dyDescent="0.2">
      <c r="A3124" s="257">
        <v>3141</v>
      </c>
      <c r="B3124" s="44">
        <v>44609</v>
      </c>
      <c r="C3124" s="44">
        <f t="shared" si="147"/>
        <v>44609</v>
      </c>
      <c r="D3124" s="374">
        <v>18</v>
      </c>
      <c r="E3124" s="291" t="str">
        <f>IFERROR(VLOOKUP($D3124,'Clients-Live'!$A:$C,3,0),"")</f>
        <v>ARIYE PEACE</v>
      </c>
      <c r="F3124" s="291">
        <f>IFERROR(INDEX(Disbursements!$D:$D,MATCH('Live Collections'!G3124,Disbursements!$C:$C,0)),"")</f>
        <v>2</v>
      </c>
      <c r="G3124" s="34">
        <v>317</v>
      </c>
      <c r="H3124" s="34">
        <v>4862</v>
      </c>
      <c r="I3124" s="34" t="s">
        <v>1357</v>
      </c>
      <c r="J3124" s="48"/>
      <c r="K3124" s="48"/>
      <c r="L3124" s="48"/>
      <c r="M3124" s="48"/>
      <c r="N3124" s="59"/>
      <c r="O3124" s="59">
        <v>102000</v>
      </c>
      <c r="P3124" s="59"/>
      <c r="Q3124" s="268">
        <f t="shared" si="148"/>
        <v>102000</v>
      </c>
      <c r="R3124" s="61">
        <f>IF(O3124=0,0,SUMIFS(Disbursements!$T:$T,Disbursements!$B:$B,'Live Collections'!D3124,Disbursements!$D:$D,'Live Collections'!F3124))</f>
        <v>650000</v>
      </c>
      <c r="S3124" s="304">
        <f>IF(O3124&lt;=IF($O3124=0,0,SUMIFS(Disbursements!$W:$W,Disbursements!$B:$B,'Live Collections'!D230,Disbursements!$D:$D,'Live Collections'!F230)),O3124,IF($O3124=0,0,SUMIFS(Disbursements!$W:$W,Disbursements!$B:$B,'Live Collections'!D230,Disbursements!$D:$D,'Live Collections'!F230)))</f>
        <v>15000</v>
      </c>
      <c r="T3124" s="304">
        <f t="shared" si="146"/>
        <v>87000</v>
      </c>
      <c r="U3124" s="52"/>
      <c r="V3124" s="34"/>
      <c r="W3124" s="408"/>
    </row>
    <row r="3125" spans="1:23" ht="12.75" customHeight="1" x14ac:dyDescent="0.2">
      <c r="A3125" s="257">
        <v>3140</v>
      </c>
      <c r="B3125" s="44">
        <v>44609</v>
      </c>
      <c r="C3125" s="44">
        <f t="shared" si="147"/>
        <v>44609</v>
      </c>
      <c r="D3125" s="374">
        <v>102</v>
      </c>
      <c r="E3125" s="291" t="str">
        <f>IFERROR(VLOOKUP($D3125,'Clients-Live'!$A:$C,3,0),"")</f>
        <v>BATALI GODFREY JOHN</v>
      </c>
      <c r="F3125" s="291">
        <f>IFERROR(INDEX(Disbursements!$D:$D,MATCH('Live Collections'!G3125,Disbursements!$C:$C,0)),"")</f>
        <v>2</v>
      </c>
      <c r="G3125" s="34">
        <v>382</v>
      </c>
      <c r="H3125" s="34">
        <v>4863</v>
      </c>
      <c r="I3125" s="34" t="s">
        <v>1357</v>
      </c>
      <c r="J3125" s="48"/>
      <c r="K3125" s="48"/>
      <c r="L3125" s="48"/>
      <c r="M3125" s="48"/>
      <c r="N3125" s="59"/>
      <c r="O3125" s="59">
        <v>50000</v>
      </c>
      <c r="P3125" s="59"/>
      <c r="Q3125" s="268">
        <f t="shared" si="148"/>
        <v>50000</v>
      </c>
      <c r="R3125" s="61">
        <f>IF(O3125=0,0,SUMIFS(Disbursements!$T:$T,Disbursements!$B:$B,'Live Collections'!D3125,Disbursements!$D:$D,'Live Collections'!F3125))</f>
        <v>83000</v>
      </c>
      <c r="S3125" s="304"/>
      <c r="T3125" s="304">
        <f t="shared" si="146"/>
        <v>50000</v>
      </c>
      <c r="U3125" s="52"/>
      <c r="V3125" s="34"/>
      <c r="W3125" s="408"/>
    </row>
    <row r="3126" spans="1:23" ht="12.75" customHeight="1" x14ac:dyDescent="0.2">
      <c r="A3126" s="257">
        <v>3127</v>
      </c>
      <c r="B3126" s="44">
        <v>44609</v>
      </c>
      <c r="C3126" s="44">
        <f t="shared" si="147"/>
        <v>44609</v>
      </c>
      <c r="D3126" s="374">
        <v>129</v>
      </c>
      <c r="E3126" s="291" t="str">
        <f>IFERROR(VLOOKUP($D3126,'Clients-Live'!$A:$C,3,0),"")</f>
        <v>BAKO ASINA</v>
      </c>
      <c r="F3126" s="291">
        <f>IFERROR(INDEX(Disbursements!$D:$D,MATCH('Live Collections'!G3126,Disbursements!$C:$C,0)),"")</f>
        <v>3</v>
      </c>
      <c r="G3126" s="34">
        <v>409</v>
      </c>
      <c r="H3126" s="34">
        <v>4860</v>
      </c>
      <c r="I3126" s="34" t="s">
        <v>1358</v>
      </c>
      <c r="J3126" s="48"/>
      <c r="K3126" s="48"/>
      <c r="L3126" s="48"/>
      <c r="M3126" s="48"/>
      <c r="N3126" s="59"/>
      <c r="O3126" s="59">
        <v>1100000</v>
      </c>
      <c r="P3126" s="59"/>
      <c r="Q3126" s="268">
        <f t="shared" si="148"/>
        <v>1100000</v>
      </c>
      <c r="R3126" s="61">
        <f>IF(O3126=0,0,SUMIFS(Disbursements!$T:$T,Disbursements!$B:$B,'Live Collections'!D3126,Disbursements!$D:$D,'Live Collections'!F3126))</f>
        <v>1195000</v>
      </c>
      <c r="S3126" s="304">
        <f>IF(O3126&lt;=IF($O3126=0,0,SUMIFS(Disbursements!$W:$W,Disbursements!$B:$B,'Live Collections'!D1645,Disbursements!$D:$D,'Live Collections'!F1645)),O3126,IF($O3126=0,0,SUMIFS(Disbursements!$W:$W,Disbursements!$B:$B,'Live Collections'!D1645,Disbursements!$D:$D,'Live Collections'!F1645)))</f>
        <v>50333.333333333343</v>
      </c>
      <c r="T3126" s="304">
        <f t="shared" si="146"/>
        <v>1049666.6666666667</v>
      </c>
      <c r="U3126" s="52"/>
      <c r="V3126" s="34"/>
      <c r="W3126" s="408"/>
    </row>
    <row r="3127" spans="1:23" ht="12.75" customHeight="1" x14ac:dyDescent="0.2">
      <c r="A3127" s="257">
        <v>3135</v>
      </c>
      <c r="B3127" s="44">
        <v>44609</v>
      </c>
      <c r="C3127" s="44">
        <f t="shared" si="147"/>
        <v>44609</v>
      </c>
      <c r="D3127" s="374">
        <v>169</v>
      </c>
      <c r="E3127" s="291" t="str">
        <f>IFERROR(VLOOKUP($D3127,'Clients-Live'!$A:$C,3,0),"")</f>
        <v>KATO KENNEDY</v>
      </c>
      <c r="F3127" s="291">
        <f>IFERROR(INDEX(Disbursements!$D:$D,MATCH('Live Collections'!G3127,Disbursements!$C:$C,0)),"")</f>
        <v>2</v>
      </c>
      <c r="G3127" s="34">
        <v>394</v>
      </c>
      <c r="H3127" s="34">
        <v>4856</v>
      </c>
      <c r="I3127" s="34" t="s">
        <v>1357</v>
      </c>
      <c r="J3127" s="48"/>
      <c r="K3127" s="48"/>
      <c r="L3127" s="48"/>
      <c r="M3127" s="48"/>
      <c r="N3127" s="59"/>
      <c r="O3127" s="59">
        <v>58000</v>
      </c>
      <c r="P3127" s="59"/>
      <c r="Q3127" s="268">
        <f t="shared" si="148"/>
        <v>58000</v>
      </c>
      <c r="R3127" s="61">
        <f>IF(O3127=0,0,SUMIFS(Disbursements!$T:$T,Disbursements!$B:$B,'Live Collections'!D3127,Disbursements!$D:$D,'Live Collections'!F3127))</f>
        <v>58000</v>
      </c>
      <c r="S3127" s="304">
        <f>IF(O3127&lt;=IF($O3127=0,0,SUMIFS(Disbursements!$W:$W,Disbursements!$B:$B,'Live Collections'!D2107,Disbursements!$D:$D,'Live Collections'!F2107)),O3127,IF($O3127=0,0,SUMIFS(Disbursements!$W:$W,Disbursements!$B:$B,'Live Collections'!D2107,Disbursements!$D:$D,'Live Collections'!F2107)))</f>
        <v>15000</v>
      </c>
      <c r="T3127" s="304">
        <f t="shared" si="146"/>
        <v>43000</v>
      </c>
      <c r="U3127" s="52"/>
      <c r="V3127" s="34"/>
      <c r="W3127" s="408"/>
    </row>
    <row r="3128" spans="1:23" ht="12.75" customHeight="1" x14ac:dyDescent="0.2">
      <c r="A3128" s="257">
        <v>3131</v>
      </c>
      <c r="B3128" s="44">
        <v>44609</v>
      </c>
      <c r="C3128" s="44">
        <f t="shared" si="147"/>
        <v>44609</v>
      </c>
      <c r="D3128" s="374">
        <v>179</v>
      </c>
      <c r="E3128" s="291" t="str">
        <f>IFERROR(VLOOKUP($D3128,'Clients-Live'!$A:$C,3,0),"")</f>
        <v>GERIA VIOLA</v>
      </c>
      <c r="F3128" s="291">
        <f>IFERROR(INDEX(Disbursements!$D:$D,MATCH('Live Collections'!G3128,Disbursements!$C:$C,0)),"")</f>
        <v>2</v>
      </c>
      <c r="G3128" s="34">
        <v>330</v>
      </c>
      <c r="H3128" s="34">
        <v>4826</v>
      </c>
      <c r="I3128" s="34" t="s">
        <v>1359</v>
      </c>
      <c r="J3128" s="48"/>
      <c r="K3128" s="48"/>
      <c r="L3128" s="48"/>
      <c r="M3128" s="48"/>
      <c r="N3128" s="59"/>
      <c r="O3128" s="59">
        <v>96000</v>
      </c>
      <c r="P3128" s="59"/>
      <c r="Q3128" s="268">
        <f t="shared" si="148"/>
        <v>96000</v>
      </c>
      <c r="R3128" s="61">
        <f>IF(O3128=0,0,SUMIFS(Disbursements!$T:$T,Disbursements!$B:$B,'Live Collections'!D3128,Disbursements!$D:$D,'Live Collections'!F3128))</f>
        <v>100000</v>
      </c>
      <c r="S3128" s="304">
        <v>10000</v>
      </c>
      <c r="T3128" s="304">
        <f t="shared" si="146"/>
        <v>86000</v>
      </c>
      <c r="U3128" s="52"/>
      <c r="V3128" s="34"/>
      <c r="W3128" s="408"/>
    </row>
    <row r="3129" spans="1:23" ht="12.75" customHeight="1" x14ac:dyDescent="0.2">
      <c r="A3129" s="257">
        <v>3129</v>
      </c>
      <c r="B3129" s="44">
        <v>44609</v>
      </c>
      <c r="C3129" s="44">
        <f t="shared" si="147"/>
        <v>44609</v>
      </c>
      <c r="D3129" s="374">
        <v>189</v>
      </c>
      <c r="E3129" s="291" t="str">
        <f>IFERROR(VLOOKUP($D3129,'Clients-Live'!$A:$C,3,0),"")</f>
        <v>AYIDA SELUWA</v>
      </c>
      <c r="F3129" s="291">
        <f>IFERROR(INDEX(Disbursements!$D:$D,MATCH('Live Collections'!G3129,Disbursements!$C:$C,0)),"")</f>
        <v>2</v>
      </c>
      <c r="G3129" s="34">
        <v>401</v>
      </c>
      <c r="H3129" s="34">
        <v>4858</v>
      </c>
      <c r="I3129" s="34" t="s">
        <v>1359</v>
      </c>
      <c r="J3129" s="48"/>
      <c r="K3129" s="48"/>
      <c r="L3129" s="48"/>
      <c r="M3129" s="48"/>
      <c r="N3129" s="59"/>
      <c r="O3129" s="59">
        <v>30000</v>
      </c>
      <c r="P3129" s="59"/>
      <c r="Q3129" s="268">
        <f t="shared" si="148"/>
        <v>30000</v>
      </c>
      <c r="R3129" s="61">
        <f>IF(O3129=0,0,SUMIFS(Disbursements!$T:$T,Disbursements!$B:$B,'Live Collections'!D3129,Disbursements!$D:$D,'Live Collections'!F3129))</f>
        <v>34000</v>
      </c>
      <c r="S3129" s="304">
        <f>IF(O3129&lt;=IF($O3129=0,0,SUMIFS(Disbursements!$W:$W,Disbursements!$B:$B,'Live Collections'!D2309,Disbursements!$D:$D,'Live Collections'!F2309)),O3129,IF($O3129=0,0,SUMIFS(Disbursements!$W:$W,Disbursements!$B:$B,'Live Collections'!D2309,Disbursements!$D:$D,'Live Collections'!F2309)))</f>
        <v>30000</v>
      </c>
      <c r="T3129" s="304">
        <f t="shared" si="146"/>
        <v>0</v>
      </c>
      <c r="U3129" s="52"/>
      <c r="V3129" s="34"/>
      <c r="W3129" s="408"/>
    </row>
    <row r="3130" spans="1:23" ht="12.75" customHeight="1" x14ac:dyDescent="0.2">
      <c r="A3130" s="257">
        <v>3126</v>
      </c>
      <c r="B3130" s="44">
        <v>44609</v>
      </c>
      <c r="C3130" s="44">
        <f t="shared" si="147"/>
        <v>44609</v>
      </c>
      <c r="D3130" s="374">
        <v>210</v>
      </c>
      <c r="E3130" s="291" t="str">
        <f>IFERROR(VLOOKUP($D3130,'Clients-Live'!$A:$C,3,0),"")</f>
        <v>ADRILI ZAHARA</v>
      </c>
      <c r="F3130" s="291">
        <f>IFERROR(INDEX(Disbursements!$D:$D,MATCH('Live Collections'!G3130,Disbursements!$C:$C,0)),"")</f>
        <v>2</v>
      </c>
      <c r="G3130" s="34">
        <v>379</v>
      </c>
      <c r="H3130" s="34">
        <v>4861</v>
      </c>
      <c r="I3130" s="34" t="s">
        <v>1357</v>
      </c>
      <c r="J3130" s="48"/>
      <c r="K3130" s="48"/>
      <c r="L3130" s="48"/>
      <c r="M3130" s="48"/>
      <c r="N3130" s="59"/>
      <c r="O3130" s="59">
        <v>175000</v>
      </c>
      <c r="P3130" s="59"/>
      <c r="Q3130" s="268">
        <f t="shared" si="148"/>
        <v>175000</v>
      </c>
      <c r="R3130" s="61">
        <f>IF(O3130=0,0,SUMIFS(Disbursements!$T:$T,Disbursements!$B:$B,'Live Collections'!D3130,Disbursements!$D:$D,'Live Collections'!F3130))</f>
        <v>175000</v>
      </c>
      <c r="S3130" s="304">
        <f>IF(O3130&lt;=IF($O3130=0,0,SUMIFS(Disbursements!$W:$W,Disbursements!$B:$B,'Live Collections'!#REF!,Disbursements!$D:$D,'Live Collections'!#REF!)),O3130,IF($O3130=0,0,SUMIFS(Disbursements!$W:$W,Disbursements!$B:$B,'Live Collections'!#REF!,Disbursements!$D:$D,'Live Collections'!#REF!)))</f>
        <v>0</v>
      </c>
      <c r="T3130" s="304">
        <f t="shared" si="146"/>
        <v>175000</v>
      </c>
      <c r="U3130" s="52"/>
      <c r="V3130" s="34"/>
      <c r="W3130" s="408"/>
    </row>
    <row r="3131" spans="1:23" ht="12.75" customHeight="1" x14ac:dyDescent="0.2">
      <c r="A3131" s="257">
        <v>3133</v>
      </c>
      <c r="B3131" s="44">
        <v>44609</v>
      </c>
      <c r="C3131" s="44">
        <f t="shared" si="147"/>
        <v>44609</v>
      </c>
      <c r="D3131" s="374">
        <v>238</v>
      </c>
      <c r="E3131" s="291" t="str">
        <f>IFERROR(VLOOKUP($D3131,'Clients-Live'!$A:$C,3,0),"")</f>
        <v>ANGAIKA SAID</v>
      </c>
      <c r="F3131" s="291">
        <f>IFERROR(INDEX(Disbursements!$D:$D,MATCH('Live Collections'!G3131,Disbursements!$C:$C,0)),"")</f>
        <v>1</v>
      </c>
      <c r="G3131" s="34">
        <v>257</v>
      </c>
      <c r="H3131" s="34">
        <v>4823</v>
      </c>
      <c r="I3131" s="34" t="s">
        <v>1359</v>
      </c>
      <c r="J3131" s="48"/>
      <c r="K3131" s="48"/>
      <c r="L3131" s="48"/>
      <c r="M3131" s="48"/>
      <c r="N3131" s="59"/>
      <c r="O3131" s="59">
        <v>110000</v>
      </c>
      <c r="P3131" s="59"/>
      <c r="Q3131" s="268">
        <f t="shared" si="148"/>
        <v>110000</v>
      </c>
      <c r="R3131" s="61">
        <f>IF(O3131=0,0,SUMIFS(Disbursements!$T:$T,Disbursements!$B:$B,'Live Collections'!D3131,Disbursements!$D:$D,'Live Collections'!F3131))</f>
        <v>125000</v>
      </c>
      <c r="S3131" s="304">
        <f>IF(O3131&lt;=IF($O3131=0,0,SUMIFS(Disbursements!$W:$W,Disbursements!$B:$B,'Live Collections'!D2737,Disbursements!$D:$D,'Live Collections'!F2737)),O3131,IF($O3131=0,0,SUMIFS(Disbursements!$W:$W,Disbursements!$B:$B,'Live Collections'!D2737,Disbursements!$D:$D,'Live Collections'!F2737)))</f>
        <v>0</v>
      </c>
      <c r="T3131" s="304">
        <f t="shared" si="146"/>
        <v>110000</v>
      </c>
      <c r="U3131" s="52"/>
      <c r="V3131" s="34"/>
      <c r="W3131" s="408"/>
    </row>
    <row r="3132" spans="1:23" ht="12.75" customHeight="1" x14ac:dyDescent="0.2">
      <c r="A3132" s="257">
        <v>3132</v>
      </c>
      <c r="B3132" s="44">
        <v>44609</v>
      </c>
      <c r="C3132" s="44">
        <f t="shared" si="147"/>
        <v>44609</v>
      </c>
      <c r="D3132" s="374">
        <v>244</v>
      </c>
      <c r="E3132" s="291" t="str">
        <f>IFERROR(VLOOKUP($D3132,'Clients-Live'!$A:$C,3,0),"")</f>
        <v>GISMA HAMID ALI</v>
      </c>
      <c r="F3132" s="291">
        <f>IFERROR(INDEX(Disbursements!$D:$D,MATCH('Live Collections'!G3132,Disbursements!$C:$C,0)),"")</f>
        <v>1</v>
      </c>
      <c r="G3132" s="34">
        <v>269</v>
      </c>
      <c r="H3132" s="34">
        <v>4825</v>
      </c>
      <c r="I3132" s="34" t="s">
        <v>1357</v>
      </c>
      <c r="J3132" s="48"/>
      <c r="K3132" s="48"/>
      <c r="L3132" s="48"/>
      <c r="M3132" s="48"/>
      <c r="N3132" s="59"/>
      <c r="O3132" s="59">
        <v>125000</v>
      </c>
      <c r="P3132" s="59"/>
      <c r="Q3132" s="268">
        <f t="shared" si="148"/>
        <v>125000</v>
      </c>
      <c r="R3132" s="61">
        <f>IF(O3132=0,0,SUMIFS(Disbursements!$T:$T,Disbursements!$B:$B,'Live Collections'!D3132,Disbursements!$D:$D,'Live Collections'!F3132))</f>
        <v>125000</v>
      </c>
      <c r="S3132" s="64">
        <v>80000</v>
      </c>
      <c r="T3132" s="304">
        <f t="shared" si="146"/>
        <v>45000</v>
      </c>
      <c r="U3132" s="52"/>
      <c r="V3132" s="34"/>
      <c r="W3132" s="408" t="s">
        <v>2086</v>
      </c>
    </row>
    <row r="3133" spans="1:23" ht="12.75" customHeight="1" x14ac:dyDescent="0.2">
      <c r="A3133" s="257">
        <v>3136</v>
      </c>
      <c r="B3133" s="44">
        <v>44609</v>
      </c>
      <c r="C3133" s="44">
        <f t="shared" si="147"/>
        <v>44609</v>
      </c>
      <c r="D3133" s="374">
        <v>277</v>
      </c>
      <c r="E3133" s="291" t="str">
        <f>IFERROR(VLOOKUP($D3133,'Clients-Live'!$A:$C,3,0),"")</f>
        <v>WAYI DAVID</v>
      </c>
      <c r="F3133" s="291" t="str">
        <f>IFERROR(INDEX(Disbursements!$D:$D,MATCH('Live Collections'!G3133,Disbursements!$C:$C,0)),"")</f>
        <v/>
      </c>
      <c r="G3133" s="34"/>
      <c r="H3133" s="34">
        <v>4829</v>
      </c>
      <c r="I3133" s="34" t="s">
        <v>1358</v>
      </c>
      <c r="J3133" s="48"/>
      <c r="K3133" s="48"/>
      <c r="L3133" s="48"/>
      <c r="M3133" s="48"/>
      <c r="N3133" s="59">
        <v>287000</v>
      </c>
      <c r="O3133" s="59"/>
      <c r="P3133" s="59"/>
      <c r="Q3133" s="268">
        <f t="shared" si="148"/>
        <v>287000</v>
      </c>
      <c r="R3133" s="61">
        <f>IF(O3133=0,0,SUMIFS(Disbursements!$T:$T,Disbursements!$B:$B,'Live Collections'!D3133,Disbursements!$D:$D,'Live Collections'!F3133))</f>
        <v>0</v>
      </c>
      <c r="S3133" s="304">
        <f>IF(O3133&lt;=IF($O3133=0,0,SUMIFS(Disbursements!$W:$W,Disbursements!$B:$B,'Live Collections'!D2994,Disbursements!$D:$D,'Live Collections'!F2994)),O3133,IF($O3133=0,0,SUMIFS(Disbursements!$W:$W,Disbursements!$B:$B,'Live Collections'!D2994,Disbursements!$D:$D,'Live Collections'!F2994)))</f>
        <v>0</v>
      </c>
      <c r="T3133" s="304">
        <f t="shared" ref="T3133:T3192" si="149">IF(O3133=0,0,O3133-S3133)</f>
        <v>0</v>
      </c>
      <c r="U3133" s="52"/>
      <c r="V3133" s="34"/>
      <c r="W3133" s="408"/>
    </row>
    <row r="3134" spans="1:23" ht="12.75" customHeight="1" x14ac:dyDescent="0.2">
      <c r="A3134" s="257">
        <v>3137</v>
      </c>
      <c r="B3134" s="44">
        <v>44609</v>
      </c>
      <c r="C3134" s="44">
        <f t="shared" si="147"/>
        <v>44609</v>
      </c>
      <c r="D3134" s="374">
        <v>277</v>
      </c>
      <c r="E3134" s="291" t="str">
        <f>IFERROR(VLOOKUP($D3134,'Clients-Live'!$A:$C,3,0),"")</f>
        <v>WAYI DAVID</v>
      </c>
      <c r="F3134" s="291">
        <f>IFERROR(INDEX(Disbursements!$D:$D,MATCH('Live Collections'!G3134,Disbursements!$C:$C,0)),"")</f>
        <v>1</v>
      </c>
      <c r="G3134" s="34">
        <v>309</v>
      </c>
      <c r="H3134" s="34">
        <v>767</v>
      </c>
      <c r="I3134" s="34" t="s">
        <v>1358</v>
      </c>
      <c r="J3134" s="48"/>
      <c r="K3134" s="48"/>
      <c r="L3134" s="48"/>
      <c r="M3134" s="48"/>
      <c r="N3134" s="59"/>
      <c r="O3134" s="59"/>
      <c r="P3134" s="59">
        <v>-250000</v>
      </c>
      <c r="Q3134" s="268">
        <f t="shared" si="148"/>
        <v>-250000</v>
      </c>
      <c r="R3134" s="61">
        <f>IF(O3134=0,0,SUMIFS(Disbursements!$T:$T,Disbursements!$B:$B,'Live Collections'!D3134,Disbursements!$D:$D,'Live Collections'!F3134))</f>
        <v>0</v>
      </c>
      <c r="S3134" s="304">
        <f>IF(O3134&lt;=IF($O3134=0,0,SUMIFS(Disbursements!$W:$W,Disbursements!$B:$B,'Live Collections'!D2995,Disbursements!$D:$D,'Live Collections'!F2995)),O3134,IF($O3134=0,0,SUMIFS(Disbursements!$W:$W,Disbursements!$B:$B,'Live Collections'!D2995,Disbursements!$D:$D,'Live Collections'!F2995)))</f>
        <v>0</v>
      </c>
      <c r="T3134" s="304">
        <f t="shared" si="149"/>
        <v>0</v>
      </c>
      <c r="U3134" s="52"/>
      <c r="V3134" s="34"/>
      <c r="W3134" s="408" t="s">
        <v>2062</v>
      </c>
    </row>
    <row r="3135" spans="1:23" ht="12.75" customHeight="1" x14ac:dyDescent="0.2">
      <c r="A3135" s="257">
        <v>3138</v>
      </c>
      <c r="B3135" s="44">
        <v>44609</v>
      </c>
      <c r="C3135" s="44">
        <f t="shared" si="147"/>
        <v>44609</v>
      </c>
      <c r="D3135" s="374">
        <v>277</v>
      </c>
      <c r="E3135" s="291" t="str">
        <f>IFERROR(VLOOKUP($D3135,'Clients-Live'!$A:$C,3,0),"")</f>
        <v>WAYI DAVID</v>
      </c>
      <c r="F3135" s="291">
        <f>IFERROR(INDEX(Disbursements!$D:$D,MATCH('Live Collections'!G3135,Disbursements!$C:$C,0)),"")</f>
        <v>1</v>
      </c>
      <c r="G3135" s="34">
        <v>309</v>
      </c>
      <c r="H3135" s="34">
        <v>4827</v>
      </c>
      <c r="I3135" s="34" t="s">
        <v>1358</v>
      </c>
      <c r="J3135" s="48"/>
      <c r="K3135" s="48"/>
      <c r="L3135" s="48"/>
      <c r="M3135" s="48"/>
      <c r="N3135" s="59"/>
      <c r="O3135" s="59">
        <v>250000</v>
      </c>
      <c r="P3135" s="59"/>
      <c r="Q3135" s="268">
        <f t="shared" si="148"/>
        <v>250000</v>
      </c>
      <c r="R3135" s="61">
        <f>IF(O3135=0,0,SUMIFS(Disbursements!$T:$T,Disbursements!$B:$B,'Live Collections'!D3135,Disbursements!$D:$D,'Live Collections'!F3135))</f>
        <v>959000</v>
      </c>
      <c r="S3135" s="304">
        <f>IF(O3135&lt;=IF($O3135=0,0,SUMIFS(Disbursements!$W:$W,Disbursements!$B:$B,'Live Collections'!D2996,Disbursements!$D:$D,'Live Collections'!F2996)),O3135,IF($O3135=0,0,SUMIFS(Disbursements!$W:$W,Disbursements!$B:$B,'Live Collections'!D2996,Disbursements!$D:$D,'Live Collections'!F2996)))</f>
        <v>35000</v>
      </c>
      <c r="T3135" s="304">
        <f t="shared" si="149"/>
        <v>215000</v>
      </c>
      <c r="U3135" s="52"/>
      <c r="V3135" s="34"/>
      <c r="W3135" s="408"/>
    </row>
    <row r="3136" spans="1:23" ht="12.75" customHeight="1" x14ac:dyDescent="0.2">
      <c r="A3136" s="257">
        <v>3139</v>
      </c>
      <c r="B3136" s="44">
        <v>44609</v>
      </c>
      <c r="C3136" s="44">
        <f t="shared" si="147"/>
        <v>44609</v>
      </c>
      <c r="D3136" s="374">
        <v>277</v>
      </c>
      <c r="E3136" s="291" t="str">
        <f>IFERROR(VLOOKUP($D3136,'Clients-Live'!$A:$C,3,0),"")</f>
        <v>WAYI DAVID</v>
      </c>
      <c r="F3136" s="291">
        <f>IFERROR(INDEX(Disbursements!$D:$D,MATCH('Live Collections'!G3136,Disbursements!$C:$C,0)),"")</f>
        <v>1</v>
      </c>
      <c r="G3136" s="34">
        <v>309</v>
      </c>
      <c r="H3136" s="34">
        <v>4828</v>
      </c>
      <c r="I3136" s="34" t="s">
        <v>1358</v>
      </c>
      <c r="J3136" s="48"/>
      <c r="K3136" s="48"/>
      <c r="L3136" s="48"/>
      <c r="M3136" s="48"/>
      <c r="N3136" s="59"/>
      <c r="O3136" s="59">
        <v>1666800</v>
      </c>
      <c r="P3136" s="59"/>
      <c r="Q3136" s="268">
        <f t="shared" si="148"/>
        <v>1666800</v>
      </c>
      <c r="R3136" s="61">
        <f>IF(O3136=0,0,SUMIFS(Disbursements!$T:$T,Disbursements!$B:$B,'Live Collections'!D3136,Disbursements!$D:$D,'Live Collections'!F3136))</f>
        <v>959000</v>
      </c>
      <c r="S3136" s="64">
        <v>306999.99999999988</v>
      </c>
      <c r="T3136" s="304">
        <f t="shared" si="149"/>
        <v>1359800</v>
      </c>
      <c r="U3136" s="52"/>
      <c r="V3136" s="34"/>
      <c r="W3136" s="408"/>
    </row>
    <row r="3137" spans="1:23" ht="12.75" customHeight="1" x14ac:dyDescent="0.2">
      <c r="A3137" s="257">
        <v>3134</v>
      </c>
      <c r="B3137" s="44">
        <v>44609</v>
      </c>
      <c r="C3137" s="44">
        <f t="shared" si="147"/>
        <v>44609</v>
      </c>
      <c r="D3137" s="374">
        <v>291</v>
      </c>
      <c r="E3137" s="291" t="str">
        <f>IFERROR(VLOOKUP($D3137,'Clients-Live'!$A:$C,3,0),"")</f>
        <v>LEMAKU SWAIB</v>
      </c>
      <c r="F3137" s="291">
        <f>IFERROR(INDEX(Disbursements!$D:$D,MATCH('Live Collections'!G3137,Disbursements!$C:$C,0)),"")</f>
        <v>1</v>
      </c>
      <c r="G3137" s="34">
        <v>397</v>
      </c>
      <c r="H3137" s="34">
        <v>4857</v>
      </c>
      <c r="I3137" s="34" t="s">
        <v>1359</v>
      </c>
      <c r="J3137" s="48"/>
      <c r="K3137" s="48"/>
      <c r="L3137" s="48"/>
      <c r="M3137" s="48"/>
      <c r="N3137" s="59"/>
      <c r="O3137" s="59">
        <v>205000</v>
      </c>
      <c r="P3137" s="59"/>
      <c r="Q3137" s="268">
        <f t="shared" si="148"/>
        <v>205000</v>
      </c>
      <c r="R3137" s="61">
        <f>IF(O3137=0,0,SUMIFS(Disbursements!$T:$T,Disbursements!$B:$B,'Live Collections'!D3137,Disbursements!$D:$D,'Live Collections'!F3137))</f>
        <v>205000</v>
      </c>
      <c r="S3137" s="304">
        <f>IF(O3137&lt;=IF($O3137=0,0,SUMIFS(Disbursements!$W:$W,Disbursements!$B:$B,'Live Collections'!D3051,Disbursements!$D:$D,'Live Collections'!F3051)),O3137,IF($O3137=0,0,SUMIFS(Disbursements!$W:$W,Disbursements!$B:$B,'Live Collections'!D3051,Disbursements!$D:$D,'Live Collections'!F3051)))</f>
        <v>19000</v>
      </c>
      <c r="T3137" s="304">
        <f t="shared" si="149"/>
        <v>186000</v>
      </c>
      <c r="U3137" s="52"/>
      <c r="V3137" s="34"/>
      <c r="W3137" s="408"/>
    </row>
    <row r="3138" spans="1:23" ht="12.75" customHeight="1" x14ac:dyDescent="0.2">
      <c r="A3138" s="257">
        <v>3130</v>
      </c>
      <c r="B3138" s="44">
        <v>44609</v>
      </c>
      <c r="C3138" s="44">
        <f t="shared" si="147"/>
        <v>44609</v>
      </c>
      <c r="D3138" s="374">
        <v>301</v>
      </c>
      <c r="E3138" s="291" t="str">
        <f>IFERROR(VLOOKUP($D3138,'Clients-Live'!$A:$C,3,0),"")</f>
        <v>MAYANJA DAVID</v>
      </c>
      <c r="F3138" s="291">
        <f>IFERROR(INDEX(Disbursements!$D:$D,MATCH('Live Collections'!G3138,Disbursements!$C:$C,0)),"")</f>
        <v>1</v>
      </c>
      <c r="G3138" s="34">
        <v>372</v>
      </c>
      <c r="H3138" s="34">
        <v>4786</v>
      </c>
      <c r="I3138" s="34" t="s">
        <v>1359</v>
      </c>
      <c r="J3138" s="48"/>
      <c r="K3138" s="48"/>
      <c r="L3138" s="48"/>
      <c r="M3138" s="48"/>
      <c r="N3138" s="59"/>
      <c r="O3138" s="59">
        <v>325000</v>
      </c>
      <c r="P3138" s="59"/>
      <c r="Q3138" s="268">
        <f t="shared" si="148"/>
        <v>325000</v>
      </c>
      <c r="R3138" s="61">
        <f>IF(O3138=0,0,SUMIFS(Disbursements!$T:$T,Disbursements!$B:$B,'Live Collections'!D3138,Disbursements!$D:$D,'Live Collections'!F3138))</f>
        <v>325000</v>
      </c>
      <c r="S3138" s="304">
        <f>IF(O3138&lt;=IF($O3138=0,0,SUMIFS(Disbursements!$W:$W,Disbursements!$B:$B,'Live Collections'!D3083,Disbursements!$D:$D,'Live Collections'!F3083)),O3138,IF($O3138=0,0,SUMIFS(Disbursements!$W:$W,Disbursements!$B:$B,'Live Collections'!D3083,Disbursements!$D:$D,'Live Collections'!F3083)))</f>
        <v>175000</v>
      </c>
      <c r="T3138" s="304">
        <f t="shared" si="149"/>
        <v>150000</v>
      </c>
      <c r="U3138" s="52"/>
      <c r="V3138" s="34"/>
      <c r="W3138" s="408"/>
    </row>
    <row r="3139" spans="1:23" ht="12.75" customHeight="1" x14ac:dyDescent="0.2">
      <c r="A3139" s="257">
        <v>3128</v>
      </c>
      <c r="B3139" s="44">
        <v>44609</v>
      </c>
      <c r="C3139" s="44">
        <f t="shared" ref="C3139:C3198" si="150">B3139</f>
        <v>44609</v>
      </c>
      <c r="D3139" s="374">
        <v>313</v>
      </c>
      <c r="E3139" s="291" t="str">
        <f>IFERROR(VLOOKUP($D3139,'Clients-Live'!$A:$C,3,0),"")</f>
        <v>TWAHA GBAGBE</v>
      </c>
      <c r="F3139" s="291">
        <f>IFERROR(INDEX(Disbursements!$D:$D,MATCH('Live Collections'!G3139,Disbursements!$C:$C,0)),"")</f>
        <v>1</v>
      </c>
      <c r="G3139" s="34">
        <v>410</v>
      </c>
      <c r="H3139" s="34">
        <v>4859</v>
      </c>
      <c r="I3139" s="34" t="s">
        <v>1357</v>
      </c>
      <c r="J3139" s="48"/>
      <c r="K3139" s="48"/>
      <c r="L3139" s="48"/>
      <c r="M3139" s="48"/>
      <c r="N3139" s="59"/>
      <c r="O3139" s="59">
        <v>340000</v>
      </c>
      <c r="P3139" s="59"/>
      <c r="Q3139" s="268">
        <f t="shared" si="148"/>
        <v>340000</v>
      </c>
      <c r="R3139" s="61">
        <f>IF(O3139=0,0,SUMIFS(Disbursements!$T:$T,Disbursements!$B:$B,'Live Collections'!D3139,Disbursements!$D:$D,'Live Collections'!F3139))</f>
        <v>339000</v>
      </c>
      <c r="S3139" s="304">
        <f>IF(O3139&lt;=IF($O3139=0,0,SUMIFS(Disbursements!$W:$W,Disbursements!$B:$B,'Live Collections'!D3134,Disbursements!$D:$D,'Live Collections'!F3134)),O3139,IF($O3139=0,0,SUMIFS(Disbursements!$W:$W,Disbursements!$B:$B,'Live Collections'!D3134,Disbursements!$D:$D,'Live Collections'!F3134)))</f>
        <v>125666.66666666663</v>
      </c>
      <c r="T3139" s="304">
        <f t="shared" si="149"/>
        <v>214333.33333333337</v>
      </c>
      <c r="U3139" s="52"/>
      <c r="V3139" s="34"/>
      <c r="W3139" s="408"/>
    </row>
    <row r="3140" spans="1:23" ht="12.75" customHeight="1" x14ac:dyDescent="0.2">
      <c r="A3140" s="257">
        <v>3144</v>
      </c>
      <c r="B3140" s="44">
        <v>44610</v>
      </c>
      <c r="C3140" s="44">
        <f t="shared" si="150"/>
        <v>44610</v>
      </c>
      <c r="D3140" s="374">
        <v>23</v>
      </c>
      <c r="E3140" s="291" t="str">
        <f>IFERROR(VLOOKUP($D3140,'Clients-Live'!$A:$C,3,0),"")</f>
        <v>BADARU KEVIN ATELIONGA</v>
      </c>
      <c r="F3140" s="291">
        <f>IFERROR(INDEX(Disbursements!$D:$D,MATCH('Live Collections'!G3140,Disbursements!$C:$C,0)),"")</f>
        <v>3</v>
      </c>
      <c r="G3140" s="34">
        <v>402</v>
      </c>
      <c r="H3140" s="34">
        <v>4863</v>
      </c>
      <c r="I3140" s="34" t="s">
        <v>1357</v>
      </c>
      <c r="J3140" s="48"/>
      <c r="K3140" s="48"/>
      <c r="L3140" s="48"/>
      <c r="M3140" s="48"/>
      <c r="N3140" s="59"/>
      <c r="O3140" s="59">
        <v>33500</v>
      </c>
      <c r="P3140" s="59"/>
      <c r="Q3140" s="268">
        <f t="shared" si="148"/>
        <v>33500</v>
      </c>
      <c r="R3140" s="61">
        <f>IF(O3140=0,0,SUMIFS(Disbursements!$T:$T,Disbursements!$B:$B,'Live Collections'!D3140,Disbursements!$D:$D,'Live Collections'!F3140))</f>
        <v>34000</v>
      </c>
      <c r="S3140" s="304">
        <f>IF(O3140&lt;=IF($O3140=0,0,SUMIFS(Disbursements!$W:$W,Disbursements!$B:$B,'Live Collections'!D327,Disbursements!$D:$D,'Live Collections'!F327)),O3140,IF($O3140=0,0,SUMIFS(Disbursements!$W:$W,Disbursements!$B:$B,'Live Collections'!D327,Disbursements!$D:$D,'Live Collections'!F327)))</f>
        <v>33500</v>
      </c>
      <c r="T3140" s="304">
        <f t="shared" si="149"/>
        <v>0</v>
      </c>
      <c r="U3140" s="52"/>
      <c r="V3140" s="34"/>
      <c r="W3140" s="408"/>
    </row>
    <row r="3141" spans="1:23" ht="12.75" customHeight="1" x14ac:dyDescent="0.2">
      <c r="A3141" s="257">
        <v>3142</v>
      </c>
      <c r="B3141" s="44">
        <v>44610</v>
      </c>
      <c r="C3141" s="44">
        <f t="shared" si="150"/>
        <v>44610</v>
      </c>
      <c r="D3141" s="374">
        <v>91</v>
      </c>
      <c r="E3141" s="291" t="str">
        <f>IFERROR(VLOOKUP($D3141,'Clients-Live'!$A:$C,3,0),"")</f>
        <v>CHANDIRU SALILA</v>
      </c>
      <c r="F3141" s="291">
        <f>IFERROR(INDEX(Disbursements!$D:$D,MATCH('Live Collections'!G3141,Disbursements!$C:$C,0)),"")</f>
        <v>2</v>
      </c>
      <c r="G3141" s="34">
        <v>327</v>
      </c>
      <c r="H3141" s="34">
        <v>4839</v>
      </c>
      <c r="I3141" s="34" t="s">
        <v>1359</v>
      </c>
      <c r="J3141" s="48"/>
      <c r="K3141" s="48"/>
      <c r="L3141" s="48"/>
      <c r="M3141" s="48"/>
      <c r="N3141" s="59"/>
      <c r="O3141" s="59">
        <v>60000</v>
      </c>
      <c r="P3141" s="59"/>
      <c r="Q3141" s="268">
        <f t="shared" si="148"/>
        <v>60000</v>
      </c>
      <c r="R3141" s="61">
        <f>IF(O3141=0,0,SUMIFS(Disbursements!$T:$T,Disbursements!$B:$B,'Live Collections'!D3141,Disbursements!$D:$D,'Live Collections'!F3141))</f>
        <v>60000</v>
      </c>
      <c r="S3141" s="304">
        <f>IF(O3141&lt;=IF($O3141=0,0,SUMIFS(Disbursements!$W:$W,Disbursements!$B:$B,'Live Collections'!D2527,Disbursements!$D:$D,'Live Collections'!F2527)),O3141,IF($O3141=0,0,SUMIFS(Disbursements!$W:$W,Disbursements!$B:$B,'Live Collections'!D2527,Disbursements!$D:$D,'Live Collections'!F2527)))</f>
        <v>9000</v>
      </c>
      <c r="T3141" s="304">
        <f t="shared" si="149"/>
        <v>51000</v>
      </c>
      <c r="U3141" s="52"/>
      <c r="V3141" s="34"/>
      <c r="W3141" s="408"/>
    </row>
    <row r="3142" spans="1:23" ht="12.75" customHeight="1" x14ac:dyDescent="0.2">
      <c r="A3142" s="257">
        <v>3150</v>
      </c>
      <c r="B3142" s="44">
        <v>44610</v>
      </c>
      <c r="C3142" s="44">
        <f t="shared" si="150"/>
        <v>44610</v>
      </c>
      <c r="D3142" s="374">
        <v>137</v>
      </c>
      <c r="E3142" s="291" t="str">
        <f>IFERROR(VLOOKUP($D3142,'Clients-Live'!$A:$C,3,0),"")</f>
        <v>YAKANI CHARLES</v>
      </c>
      <c r="F3142" s="291">
        <f>IFERROR(INDEX(Disbursements!$D:$D,MATCH('Live Collections'!G3142,Disbursements!$C:$C,0)),"")</f>
        <v>3</v>
      </c>
      <c r="G3142" s="34">
        <v>408</v>
      </c>
      <c r="H3142" s="34">
        <v>4833</v>
      </c>
      <c r="I3142" s="34" t="s">
        <v>1359</v>
      </c>
      <c r="J3142" s="48"/>
      <c r="K3142" s="48"/>
      <c r="L3142" s="48"/>
      <c r="M3142" s="48"/>
      <c r="N3142" s="59"/>
      <c r="O3142" s="59">
        <v>424000</v>
      </c>
      <c r="P3142" s="59"/>
      <c r="Q3142" s="268">
        <f t="shared" si="148"/>
        <v>424000</v>
      </c>
      <c r="R3142" s="61">
        <f>IF(O3142=0,0,SUMIFS(Disbursements!$T:$T,Disbursements!$B:$B,'Live Collections'!D3142,Disbursements!$D:$D,'Live Collections'!F3142))</f>
        <v>106000</v>
      </c>
      <c r="S3142" s="304">
        <f>IF(O3142&lt;=IF($O3142=0,0,SUMIFS(Disbursements!$W:$W,Disbursements!$B:$B,'Live Collections'!D1738,Disbursements!$D:$D,'Live Collections'!F1738)),O3142,IF($O3142=0,0,SUMIFS(Disbursements!$W:$W,Disbursements!$B:$B,'Live Collections'!D1738,Disbursements!$D:$D,'Live Collections'!F1738)))</f>
        <v>20666.666666666657</v>
      </c>
      <c r="T3142" s="304">
        <f t="shared" si="149"/>
        <v>403333.33333333337</v>
      </c>
      <c r="U3142" s="52"/>
      <c r="V3142" s="34"/>
      <c r="W3142" s="408"/>
    </row>
    <row r="3143" spans="1:23" ht="12.75" customHeight="1" x14ac:dyDescent="0.2">
      <c r="A3143" s="257">
        <v>3152</v>
      </c>
      <c r="B3143" s="44">
        <v>44610</v>
      </c>
      <c r="C3143" s="44">
        <f t="shared" si="150"/>
        <v>44610</v>
      </c>
      <c r="D3143" s="374">
        <v>213</v>
      </c>
      <c r="E3143" s="291" t="str">
        <f>IFERROR(VLOOKUP($D3143,'Clients-Live'!$A:$C,3,0),"")</f>
        <v>ATIKURU NADIA</v>
      </c>
      <c r="F3143" s="291">
        <f>IFERROR(INDEX(Disbursements!$D:$D,MATCH('Live Collections'!G3143,Disbursements!$C:$C,0)),"")</f>
        <v>2</v>
      </c>
      <c r="G3143" s="34">
        <v>378</v>
      </c>
      <c r="H3143" s="34">
        <v>4831</v>
      </c>
      <c r="I3143" s="34" t="s">
        <v>1358</v>
      </c>
      <c r="J3143" s="48"/>
      <c r="K3143" s="48"/>
      <c r="L3143" s="48"/>
      <c r="M3143" s="48"/>
      <c r="N3143" s="59"/>
      <c r="O3143" s="59">
        <v>120000</v>
      </c>
      <c r="P3143" s="59"/>
      <c r="Q3143" s="268">
        <f t="shared" si="148"/>
        <v>120000</v>
      </c>
      <c r="R3143" s="61">
        <f>IF(O3143=0,0,SUMIFS(Disbursements!$T:$T,Disbursements!$B:$B,'Live Collections'!D3143,Disbursements!$D:$D,'Live Collections'!F3143))</f>
        <v>300000</v>
      </c>
      <c r="S3143" s="304">
        <f>IF(O3143&lt;=IF($O3143=0,0,SUMIFS(Disbursements!$W:$W,Disbursements!$B:$B,'Live Collections'!D2524,Disbursements!$D:$D,'Live Collections'!F2524)),O3143,IF($O3143=0,0,SUMIFS(Disbursements!$W:$W,Disbursements!$B:$B,'Live Collections'!D2524,Disbursements!$D:$D,'Live Collections'!F2524)))</f>
        <v>25000</v>
      </c>
      <c r="T3143" s="304">
        <f t="shared" si="149"/>
        <v>95000</v>
      </c>
      <c r="U3143" s="52"/>
      <c r="V3143" s="34"/>
      <c r="W3143" s="408"/>
    </row>
    <row r="3144" spans="1:23" ht="12.75" customHeight="1" x14ac:dyDescent="0.2">
      <c r="A3144" s="257">
        <v>3148</v>
      </c>
      <c r="B3144" s="44">
        <v>44610</v>
      </c>
      <c r="C3144" s="44">
        <f t="shared" si="150"/>
        <v>44610</v>
      </c>
      <c r="D3144" s="374">
        <v>221</v>
      </c>
      <c r="E3144" s="291" t="str">
        <f>IFERROR(VLOOKUP($D3144,'Clients-Live'!$A:$C,3,0),"")</f>
        <v>NAMUDDU MARY</v>
      </c>
      <c r="F3144" s="291">
        <f>IFERROR(INDEX(Disbursements!$D:$D,MATCH('Live Collections'!G3144,Disbursements!$C:$C,0)),"")</f>
        <v>2</v>
      </c>
      <c r="G3144" s="34">
        <v>407</v>
      </c>
      <c r="H3144" s="34">
        <v>4787</v>
      </c>
      <c r="I3144" s="34" t="s">
        <v>1359</v>
      </c>
      <c r="J3144" s="48"/>
      <c r="K3144" s="48"/>
      <c r="L3144" s="48"/>
      <c r="M3144" s="48"/>
      <c r="N3144" s="59"/>
      <c r="O3144" s="59">
        <v>170000</v>
      </c>
      <c r="P3144" s="59"/>
      <c r="Q3144" s="268">
        <f t="shared" si="148"/>
        <v>170000</v>
      </c>
      <c r="R3144" s="61">
        <f>IF(O3144=0,0,SUMIFS(Disbursements!$T:$T,Disbursements!$B:$B,'Live Collections'!D3144,Disbursements!$D:$D,'Live Collections'!F3144))</f>
        <v>79000</v>
      </c>
      <c r="S3144" s="304">
        <f>IF(O3144&lt;=IF($O3144=0,0,SUMIFS(Disbursements!$W:$W,Disbursements!$B:$B,'Live Collections'!D2609,Disbursements!$D:$D,'Live Collections'!F2609)),O3144,IF($O3144=0,0,SUMIFS(Disbursements!$W:$W,Disbursements!$B:$B,'Live Collections'!D2609,Disbursements!$D:$D,'Live Collections'!F2609)))</f>
        <v>20000</v>
      </c>
      <c r="T3144" s="304">
        <f t="shared" si="149"/>
        <v>150000</v>
      </c>
      <c r="U3144" s="52"/>
      <c r="V3144" s="34"/>
      <c r="W3144" s="408"/>
    </row>
    <row r="3145" spans="1:23" ht="12.75" customHeight="1" x14ac:dyDescent="0.2">
      <c r="A3145" s="257">
        <v>3146</v>
      </c>
      <c r="B3145" s="44">
        <v>44610</v>
      </c>
      <c r="C3145" s="44">
        <f t="shared" si="150"/>
        <v>44610</v>
      </c>
      <c r="D3145" s="374">
        <v>257</v>
      </c>
      <c r="E3145" s="291" t="str">
        <f>IFERROR(VLOOKUP($D3145,'Clients-Live'!$A:$C,3,0),"")</f>
        <v>CHANDIGA CYRUS</v>
      </c>
      <c r="F3145" s="291">
        <f>IFERROR(INDEX(Disbursements!$D:$D,MATCH('Live Collections'!G3145,Disbursements!$C:$C,0)),"")</f>
        <v>2</v>
      </c>
      <c r="G3145" s="34">
        <v>438</v>
      </c>
      <c r="H3145" s="34">
        <v>4866</v>
      </c>
      <c r="I3145" s="34" t="s">
        <v>1359</v>
      </c>
      <c r="J3145" s="48"/>
      <c r="K3145" s="48"/>
      <c r="L3145" s="48"/>
      <c r="M3145" s="48"/>
      <c r="N3145" s="59"/>
      <c r="O3145" s="59"/>
      <c r="P3145" s="59">
        <v>15000</v>
      </c>
      <c r="Q3145" s="268">
        <f t="shared" si="148"/>
        <v>15000</v>
      </c>
      <c r="R3145" s="61">
        <f>IF(O3145=0,0,SUMIFS(Disbursements!$T:$T,Disbursements!$B:$B,'Live Collections'!D3145,Disbursements!$D:$D,'Live Collections'!F3145))</f>
        <v>0</v>
      </c>
      <c r="S3145" s="304">
        <f>IF(O3145&lt;=IF($O3145=0,0,SUMIFS(Disbursements!$W:$W,Disbursements!$B:$B,'Live Collections'!D2865,Disbursements!$D:$D,'Live Collections'!F2865)),O3145,IF($O3145=0,0,SUMIFS(Disbursements!$W:$W,Disbursements!$B:$B,'Live Collections'!D2865,Disbursements!$D:$D,'Live Collections'!F2865)))</f>
        <v>0</v>
      </c>
      <c r="T3145" s="304">
        <f t="shared" si="149"/>
        <v>0</v>
      </c>
      <c r="U3145" s="52"/>
      <c r="V3145" s="34"/>
      <c r="W3145" s="408"/>
    </row>
    <row r="3146" spans="1:23" ht="12.75" customHeight="1" x14ac:dyDescent="0.2">
      <c r="A3146" s="257">
        <v>3147</v>
      </c>
      <c r="B3146" s="44">
        <v>44610</v>
      </c>
      <c r="C3146" s="44">
        <f t="shared" si="150"/>
        <v>44610</v>
      </c>
      <c r="D3146" s="374">
        <v>257</v>
      </c>
      <c r="E3146" s="291" t="str">
        <f>IFERROR(VLOOKUP($D3146,'Clients-Live'!$A:$C,3,0),"")</f>
        <v>CHANDIGA CYRUS</v>
      </c>
      <c r="F3146" s="291" t="str">
        <f>IFERROR(INDEX(Disbursements!$D:$D,MATCH('Live Collections'!G3146,Disbursements!$C:$C,0)),"")</f>
        <v/>
      </c>
      <c r="G3146" s="34"/>
      <c r="H3146" s="34">
        <v>4835</v>
      </c>
      <c r="I3146" s="34" t="s">
        <v>1359</v>
      </c>
      <c r="J3146" s="48"/>
      <c r="K3146" s="48"/>
      <c r="L3146" s="48">
        <v>15000</v>
      </c>
      <c r="M3146" s="48">
        <v>5000</v>
      </c>
      <c r="N3146" s="59"/>
      <c r="O3146" s="59"/>
      <c r="P3146" s="59"/>
      <c r="Q3146" s="268">
        <f t="shared" si="148"/>
        <v>20000</v>
      </c>
      <c r="R3146" s="61">
        <f>IF(O3146=0,0,SUMIFS(Disbursements!$T:$T,Disbursements!$B:$B,'Live Collections'!D3146,Disbursements!$D:$D,'Live Collections'!F3146))</f>
        <v>0</v>
      </c>
      <c r="S3146" s="304">
        <f>IF(O3146&lt;=IF($O3146=0,0,SUMIFS(Disbursements!$W:$W,Disbursements!$B:$B,'Live Collections'!D2866,Disbursements!$D:$D,'Live Collections'!F2866)),O3146,IF($O3146=0,0,SUMIFS(Disbursements!$W:$W,Disbursements!$B:$B,'Live Collections'!D2866,Disbursements!$D:$D,'Live Collections'!F2866)))</f>
        <v>0</v>
      </c>
      <c r="T3146" s="304">
        <f t="shared" si="149"/>
        <v>0</v>
      </c>
      <c r="U3146" s="52"/>
      <c r="V3146" s="34"/>
      <c r="W3146" s="408"/>
    </row>
    <row r="3147" spans="1:23" ht="12.75" customHeight="1" x14ac:dyDescent="0.2">
      <c r="A3147" s="257">
        <v>3145</v>
      </c>
      <c r="B3147" s="44">
        <v>44610</v>
      </c>
      <c r="C3147" s="44">
        <f t="shared" si="150"/>
        <v>44610</v>
      </c>
      <c r="D3147" s="374">
        <v>303</v>
      </c>
      <c r="E3147" s="291" t="str">
        <f>IFERROR(VLOOKUP($D3147,'Clients-Live'!$A:$C,3,0),"")</f>
        <v>APAYI DOROTHY</v>
      </c>
      <c r="F3147" s="291">
        <f>IFERROR(INDEX(Disbursements!$D:$D,MATCH('Live Collections'!G3147,Disbursements!$C:$C,0)),"")</f>
        <v>1</v>
      </c>
      <c r="G3147" s="34">
        <v>399</v>
      </c>
      <c r="H3147" s="34">
        <v>4836</v>
      </c>
      <c r="I3147" s="34" t="s">
        <v>1359</v>
      </c>
      <c r="J3147" s="48"/>
      <c r="K3147" s="48"/>
      <c r="L3147" s="48"/>
      <c r="M3147" s="48"/>
      <c r="N3147" s="59"/>
      <c r="O3147" s="59">
        <v>30000</v>
      </c>
      <c r="P3147" s="59"/>
      <c r="Q3147" s="268">
        <f t="shared" si="148"/>
        <v>30000</v>
      </c>
      <c r="R3147" s="61">
        <f>IF(O3147=0,0,SUMIFS(Disbursements!$T:$T,Disbursements!$B:$B,'Live Collections'!D3147,Disbursements!$D:$D,'Live Collections'!F3147))</f>
        <v>40000</v>
      </c>
      <c r="S3147" s="304">
        <v>10666.666666666672</v>
      </c>
      <c r="T3147" s="304">
        <f t="shared" si="149"/>
        <v>19333.333333333328</v>
      </c>
      <c r="U3147" s="52"/>
      <c r="V3147" s="34"/>
      <c r="W3147" s="408"/>
    </row>
    <row r="3148" spans="1:23" ht="12.75" customHeight="1" x14ac:dyDescent="0.2">
      <c r="A3148" s="257">
        <v>3149</v>
      </c>
      <c r="B3148" s="44">
        <v>44610</v>
      </c>
      <c r="C3148" s="44">
        <f t="shared" si="150"/>
        <v>44610</v>
      </c>
      <c r="D3148" s="374">
        <v>305</v>
      </c>
      <c r="E3148" s="291" t="str">
        <f>IFERROR(VLOOKUP($D3148,'Clients-Live'!$A:$C,3,0),"")</f>
        <v>ANDIKU KALOLI</v>
      </c>
      <c r="F3148" s="291">
        <f>IFERROR(INDEX(Disbursements!$D:$D,MATCH('Live Collections'!G3148,Disbursements!$C:$C,0)),"")</f>
        <v>1</v>
      </c>
      <c r="G3148" s="34">
        <v>384</v>
      </c>
      <c r="H3148" s="34">
        <v>4834</v>
      </c>
      <c r="I3148" s="34" t="s">
        <v>1357</v>
      </c>
      <c r="J3148" s="48"/>
      <c r="K3148" s="48"/>
      <c r="L3148" s="48"/>
      <c r="M3148" s="48"/>
      <c r="N3148" s="59"/>
      <c r="O3148" s="59">
        <v>130000</v>
      </c>
      <c r="P3148" s="59"/>
      <c r="Q3148" s="268">
        <f t="shared" si="148"/>
        <v>130000</v>
      </c>
      <c r="R3148" s="61">
        <f>IF(O3148=0,0,SUMIFS(Disbursements!$T:$T,Disbursements!$B:$B,'Live Collections'!D3148,Disbursements!$D:$D,'Live Collections'!F3148))</f>
        <v>130000</v>
      </c>
      <c r="S3148" s="304"/>
      <c r="T3148" s="304">
        <f t="shared" si="149"/>
        <v>130000</v>
      </c>
      <c r="U3148" s="52"/>
      <c r="V3148" s="34"/>
      <c r="W3148" s="408"/>
    </row>
    <row r="3149" spans="1:23" ht="12.75" customHeight="1" x14ac:dyDescent="0.2">
      <c r="A3149" s="257">
        <v>3143</v>
      </c>
      <c r="B3149" s="44">
        <v>44610</v>
      </c>
      <c r="C3149" s="44">
        <f t="shared" si="150"/>
        <v>44610</v>
      </c>
      <c r="D3149" s="374">
        <v>314</v>
      </c>
      <c r="E3149" s="291" t="str">
        <f>IFERROR(VLOOKUP($D3149,'Clients-Live'!$A:$C,3,0),"")</f>
        <v>SHAMIM ALIGAH</v>
      </c>
      <c r="F3149" s="291">
        <f>IFERROR(INDEX(Disbursements!$D:$D,MATCH('Live Collections'!G3149,Disbursements!$C:$C,0)),"")</f>
        <v>2</v>
      </c>
      <c r="G3149" s="34">
        <v>439</v>
      </c>
      <c r="H3149" s="34">
        <v>4838</v>
      </c>
      <c r="I3149" s="34" t="s">
        <v>1357</v>
      </c>
      <c r="J3149" s="48"/>
      <c r="K3149" s="48"/>
      <c r="L3149" s="48"/>
      <c r="M3149" s="48"/>
      <c r="N3149" s="59"/>
      <c r="O3149" s="59"/>
      <c r="P3149" s="59">
        <v>150000</v>
      </c>
      <c r="Q3149" s="268">
        <f t="shared" si="148"/>
        <v>150000</v>
      </c>
      <c r="R3149" s="61">
        <f>IF(O3149=0,0,SUMIFS(Disbursements!$T:$T,Disbursements!$B:$B,'Live Collections'!D3149,Disbursements!$D:$D,'Live Collections'!F3149))</f>
        <v>0</v>
      </c>
      <c r="S3149" s="304">
        <f>IF(O3149&lt;=IF($O3149=0,0,SUMIFS(Disbursements!$W:$W,Disbursements!$B:$B,'Live Collections'!D3141,Disbursements!$D:$D,'Live Collections'!F3141)),O3149,IF($O3149=0,0,SUMIFS(Disbursements!$W:$W,Disbursements!$B:$B,'Live Collections'!D3141,Disbursements!$D:$D,'Live Collections'!F3141)))</f>
        <v>0</v>
      </c>
      <c r="T3149" s="304">
        <f t="shared" si="149"/>
        <v>0</v>
      </c>
      <c r="U3149" s="52"/>
      <c r="V3149" s="34"/>
      <c r="W3149" s="408"/>
    </row>
    <row r="3150" spans="1:23" ht="12.75" customHeight="1" x14ac:dyDescent="0.2">
      <c r="A3150" s="257">
        <v>3151</v>
      </c>
      <c r="B3150" s="44">
        <v>44610</v>
      </c>
      <c r="C3150" s="44">
        <f t="shared" si="150"/>
        <v>44610</v>
      </c>
      <c r="D3150" s="374">
        <v>314</v>
      </c>
      <c r="E3150" s="291" t="str">
        <f>IFERROR(VLOOKUP($D3150,'Clients-Live'!$A:$C,3,0),"")</f>
        <v>SHAMIM ALIGAH</v>
      </c>
      <c r="F3150" s="291" t="str">
        <f>IFERROR(INDEX(Disbursements!$D:$D,MATCH('Live Collections'!G3150,Disbursements!$C:$C,0)),"")</f>
        <v/>
      </c>
      <c r="G3150" s="34"/>
      <c r="H3150" s="34">
        <v>4832</v>
      </c>
      <c r="I3150" s="34" t="s">
        <v>1357</v>
      </c>
      <c r="J3150" s="48"/>
      <c r="K3150" s="48"/>
      <c r="L3150" s="48">
        <v>25000</v>
      </c>
      <c r="M3150" s="48">
        <v>5000</v>
      </c>
      <c r="N3150" s="59"/>
      <c r="O3150" s="59"/>
      <c r="P3150" s="59"/>
      <c r="Q3150" s="268">
        <f t="shared" si="148"/>
        <v>30000</v>
      </c>
      <c r="R3150" s="61">
        <f>IF(O3150=0,0,SUMIFS(Disbursements!$T:$T,Disbursements!$B:$B,'Live Collections'!D3150,Disbursements!$D:$D,'Live Collections'!F3150))</f>
        <v>0</v>
      </c>
      <c r="S3150" s="304">
        <f>IF(O3150&lt;=IF($O3150=0,0,SUMIFS(Disbursements!$W:$W,Disbursements!$B:$B,'Live Collections'!D3142,Disbursements!$D:$D,'Live Collections'!F3142)),O3150,IF($O3150=0,0,SUMIFS(Disbursements!$W:$W,Disbursements!$B:$B,'Live Collections'!D3142,Disbursements!$D:$D,'Live Collections'!F3142)))</f>
        <v>0</v>
      </c>
      <c r="T3150" s="304">
        <f t="shared" si="149"/>
        <v>0</v>
      </c>
      <c r="U3150" s="52"/>
      <c r="V3150" s="34"/>
      <c r="W3150" s="408"/>
    </row>
    <row r="3151" spans="1:23" ht="12.75" customHeight="1" x14ac:dyDescent="0.2">
      <c r="A3151" s="257">
        <v>3153</v>
      </c>
      <c r="B3151" s="44">
        <v>44611</v>
      </c>
      <c r="C3151" s="44">
        <f t="shared" si="150"/>
        <v>44611</v>
      </c>
      <c r="D3151" s="374">
        <v>37</v>
      </c>
      <c r="E3151" s="291" t="str">
        <f>IFERROR(VLOOKUP($D3151,'Clients-Live'!$A:$C,3,0),"")</f>
        <v>WANDWALI AMISI</v>
      </c>
      <c r="F3151" s="291">
        <f>IFERROR(INDEX(Disbursements!$D:$D,MATCH('Live Collections'!G3151,Disbursements!$C:$C,0)),"")</f>
        <v>1</v>
      </c>
      <c r="G3151" s="34">
        <v>21</v>
      </c>
      <c r="H3151" s="34"/>
      <c r="I3151" s="34" t="s">
        <v>1357</v>
      </c>
      <c r="J3151" s="48"/>
      <c r="K3151" s="48"/>
      <c r="L3151" s="48"/>
      <c r="M3151" s="48"/>
      <c r="N3151" s="59"/>
      <c r="O3151" s="59"/>
      <c r="P3151" s="59">
        <v>-100000</v>
      </c>
      <c r="Q3151" s="268">
        <f t="shared" si="148"/>
        <v>-100000</v>
      </c>
      <c r="R3151" s="61">
        <f>IF(O3151=0,0,SUMIFS(Disbursements!$T:$T,Disbursements!$B:$B,'Live Collections'!D3151,Disbursements!$D:$D,'Live Collections'!F3151))</f>
        <v>0</v>
      </c>
      <c r="S3151" s="304">
        <f>IF(O3151&lt;=IF($O3151=0,0,SUMIFS(Disbursements!$W:$W,Disbursements!$B:$B,'Live Collections'!D424,Disbursements!$D:$D,'Live Collections'!F424)),O3151,IF($O3151=0,0,SUMIFS(Disbursements!$W:$W,Disbursements!$B:$B,'Live Collections'!D424,Disbursements!$D:$D,'Live Collections'!F424)))</f>
        <v>0</v>
      </c>
      <c r="T3151" s="304">
        <f t="shared" si="149"/>
        <v>0</v>
      </c>
      <c r="U3151" s="52"/>
      <c r="V3151" s="34"/>
      <c r="W3151" s="408" t="s">
        <v>2063</v>
      </c>
    </row>
    <row r="3152" spans="1:23" ht="12.75" customHeight="1" x14ac:dyDescent="0.2">
      <c r="A3152" s="257">
        <v>3154</v>
      </c>
      <c r="B3152" s="44">
        <v>44611</v>
      </c>
      <c r="C3152" s="44">
        <f t="shared" si="150"/>
        <v>44611</v>
      </c>
      <c r="D3152" s="374">
        <v>37</v>
      </c>
      <c r="E3152" s="291" t="str">
        <f>IFERROR(VLOOKUP($D3152,'Clients-Live'!$A:$C,3,0),"")</f>
        <v>WANDWALI AMISI</v>
      </c>
      <c r="F3152" s="291">
        <f>IFERROR(INDEX(Disbursements!$D:$D,MATCH('Live Collections'!G3152,Disbursements!$C:$C,0)),"")</f>
        <v>1</v>
      </c>
      <c r="G3152" s="34">
        <v>21</v>
      </c>
      <c r="H3152" s="34"/>
      <c r="I3152" s="34" t="s">
        <v>1357</v>
      </c>
      <c r="J3152" s="48"/>
      <c r="K3152" s="48"/>
      <c r="L3152" s="48"/>
      <c r="M3152" s="48"/>
      <c r="N3152" s="59"/>
      <c r="O3152" s="59">
        <v>100000</v>
      </c>
      <c r="P3152" s="59"/>
      <c r="Q3152" s="268">
        <f t="shared" si="148"/>
        <v>100000</v>
      </c>
      <c r="R3152" s="61">
        <f>IF(O3152=0,0,SUMIFS(Disbursements!$T:$T,Disbursements!$B:$B,'Live Collections'!D3152,Disbursements!$D:$D,'Live Collections'!F3152))</f>
        <v>1075000</v>
      </c>
      <c r="S3152" s="304"/>
      <c r="T3152" s="304">
        <f t="shared" si="149"/>
        <v>100000</v>
      </c>
      <c r="U3152" s="52"/>
      <c r="V3152" s="34"/>
      <c r="W3152" s="408"/>
    </row>
    <row r="3153" spans="1:23" ht="12.75" customHeight="1" x14ac:dyDescent="0.2">
      <c r="A3153" s="257">
        <v>3156</v>
      </c>
      <c r="B3153" s="44">
        <v>44611</v>
      </c>
      <c r="C3153" s="44">
        <f t="shared" si="150"/>
        <v>44611</v>
      </c>
      <c r="D3153" s="374">
        <v>50</v>
      </c>
      <c r="E3153" s="291" t="str">
        <f>IFERROR(VLOOKUP($D3153,'Clients-Live'!$A:$C,3,0),"")</f>
        <v>WACHEKE HARRIET</v>
      </c>
      <c r="F3153" s="291">
        <f>IFERROR(INDEX(Disbursements!$D:$D,MATCH('Live Collections'!G3153,Disbursements!$C:$C,0)),"")</f>
        <v>2</v>
      </c>
      <c r="G3153" s="34">
        <v>220</v>
      </c>
      <c r="H3153" s="34"/>
      <c r="I3153" s="34" t="s">
        <v>1359</v>
      </c>
      <c r="J3153" s="48"/>
      <c r="K3153" s="48"/>
      <c r="L3153" s="48"/>
      <c r="M3153" s="48"/>
      <c r="N3153" s="59"/>
      <c r="O3153" s="59"/>
      <c r="P3153" s="59">
        <v>-40000</v>
      </c>
      <c r="Q3153" s="268">
        <f t="shared" si="148"/>
        <v>-40000</v>
      </c>
      <c r="R3153" s="61">
        <f>IF(O3153=0,0,SUMIFS(Disbursements!$T:$T,Disbursements!$B:$B,'Live Collections'!D3153,Disbursements!$D:$D,'Live Collections'!F3153))</f>
        <v>0</v>
      </c>
      <c r="S3153" s="304">
        <f>IF(O3153&lt;=IF($O3153=0,0,SUMIFS(Disbursements!$W:$W,Disbursements!$B:$B,'Live Collections'!D582,Disbursements!$D:$D,'Live Collections'!F582)),O3153,IF($O3153=0,0,SUMIFS(Disbursements!$W:$W,Disbursements!$B:$B,'Live Collections'!D582,Disbursements!$D:$D,'Live Collections'!F582)))</f>
        <v>0</v>
      </c>
      <c r="T3153" s="304">
        <f t="shared" si="149"/>
        <v>0</v>
      </c>
      <c r="U3153" s="52"/>
      <c r="V3153" s="34"/>
      <c r="W3153" s="408"/>
    </row>
    <row r="3154" spans="1:23" ht="12.75" customHeight="1" x14ac:dyDescent="0.2">
      <c r="A3154" s="257">
        <v>3157</v>
      </c>
      <c r="B3154" s="44">
        <v>44611</v>
      </c>
      <c r="C3154" s="44">
        <f t="shared" si="150"/>
        <v>44611</v>
      </c>
      <c r="D3154" s="374">
        <v>50</v>
      </c>
      <c r="E3154" s="291" t="str">
        <f>IFERROR(VLOOKUP($D3154,'Clients-Live'!$A:$C,3,0),"")</f>
        <v>WACHEKE HARRIET</v>
      </c>
      <c r="F3154" s="291">
        <f>IFERROR(INDEX(Disbursements!$D:$D,MATCH('Live Collections'!G3154,Disbursements!$C:$C,0)),"")</f>
        <v>2</v>
      </c>
      <c r="G3154" s="34">
        <v>220</v>
      </c>
      <c r="H3154" s="34"/>
      <c r="I3154" s="34" t="s">
        <v>1359</v>
      </c>
      <c r="J3154" s="48"/>
      <c r="K3154" s="48"/>
      <c r="L3154" s="48"/>
      <c r="M3154" s="48"/>
      <c r="N3154" s="59"/>
      <c r="O3154" s="59">
        <v>40000</v>
      </c>
      <c r="P3154" s="59"/>
      <c r="Q3154" s="268">
        <f t="shared" si="148"/>
        <v>40000</v>
      </c>
      <c r="R3154" s="61">
        <f>IF(O3154=0,0,SUMIFS(Disbursements!$T:$T,Disbursements!$B:$B,'Live Collections'!D3154,Disbursements!$D:$D,'Live Collections'!F3154))</f>
        <v>154000</v>
      </c>
      <c r="S3154" s="304">
        <f>IF(O3154&lt;=IF($O3154=0,0,SUMIFS(Disbursements!$W:$W,Disbursements!$B:$B,'Live Collections'!D583,Disbursements!$D:$D,'Live Collections'!F583)),O3154,IF($O3154=0,0,SUMIFS(Disbursements!$W:$W,Disbursements!$B:$B,'Live Collections'!D583,Disbursements!$D:$D,'Live Collections'!F583)))</f>
        <v>0</v>
      </c>
      <c r="T3154" s="304">
        <f t="shared" si="149"/>
        <v>40000</v>
      </c>
      <c r="U3154" s="52"/>
      <c r="V3154" s="34"/>
      <c r="W3154" s="408"/>
    </row>
    <row r="3155" spans="1:23" ht="12.75" customHeight="1" x14ac:dyDescent="0.2">
      <c r="A3155" s="257">
        <v>3158</v>
      </c>
      <c r="B3155" s="44">
        <v>44611</v>
      </c>
      <c r="C3155" s="44">
        <f t="shared" si="150"/>
        <v>44611</v>
      </c>
      <c r="D3155" s="374">
        <v>50</v>
      </c>
      <c r="E3155" s="291" t="str">
        <f>IFERROR(VLOOKUP($D3155,'Clients-Live'!$A:$C,3,0),"")</f>
        <v>WACHEKE HARRIET</v>
      </c>
      <c r="F3155" s="291">
        <f>IFERROR(INDEX(Disbursements!$D:$D,MATCH('Live Collections'!G3155,Disbursements!$C:$C,0)),"")</f>
        <v>3</v>
      </c>
      <c r="G3155" s="34">
        <v>321</v>
      </c>
      <c r="H3155" s="34"/>
      <c r="I3155" s="34" t="s">
        <v>1359</v>
      </c>
      <c r="J3155" s="48"/>
      <c r="K3155" s="48"/>
      <c r="L3155" s="48"/>
      <c r="M3155" s="48"/>
      <c r="N3155" s="59"/>
      <c r="O3155" s="59"/>
      <c r="P3155" s="59">
        <v>-100000</v>
      </c>
      <c r="Q3155" s="268">
        <f t="shared" si="148"/>
        <v>-100000</v>
      </c>
      <c r="R3155" s="61">
        <f>IF(O3155=0,0,SUMIFS(Disbursements!$T:$T,Disbursements!$B:$B,'Live Collections'!D3155,Disbursements!$D:$D,'Live Collections'!F3155))</f>
        <v>0</v>
      </c>
      <c r="S3155" s="304">
        <f>IF(O3155&lt;=IF($O3155=0,0,SUMIFS(Disbursements!$W:$W,Disbursements!$B:$B,'Live Collections'!D584,Disbursements!$D:$D,'Live Collections'!F584)),O3155,IF($O3155=0,0,SUMIFS(Disbursements!$W:$W,Disbursements!$B:$B,'Live Collections'!D584,Disbursements!$D:$D,'Live Collections'!F584)))</f>
        <v>0</v>
      </c>
      <c r="T3155" s="304">
        <f t="shared" si="149"/>
        <v>0</v>
      </c>
      <c r="U3155" s="52"/>
      <c r="V3155" s="34"/>
      <c r="W3155" s="408"/>
    </row>
    <row r="3156" spans="1:23" ht="12.75" customHeight="1" x14ac:dyDescent="0.2">
      <c r="A3156" s="257">
        <v>3159</v>
      </c>
      <c r="B3156" s="44">
        <v>44611</v>
      </c>
      <c r="C3156" s="44">
        <f t="shared" si="150"/>
        <v>44611</v>
      </c>
      <c r="D3156" s="374">
        <v>50</v>
      </c>
      <c r="E3156" s="291" t="str">
        <f>IFERROR(VLOOKUP($D3156,'Clients-Live'!$A:$C,3,0),"")</f>
        <v>WACHEKE HARRIET</v>
      </c>
      <c r="F3156" s="291">
        <f>IFERROR(INDEX(Disbursements!$D:$D,MATCH('Live Collections'!G3156,Disbursements!$C:$C,0)),"")</f>
        <v>3</v>
      </c>
      <c r="G3156" s="34">
        <v>321</v>
      </c>
      <c r="H3156" s="34"/>
      <c r="I3156" s="34" t="s">
        <v>1359</v>
      </c>
      <c r="J3156" s="48"/>
      <c r="K3156" s="48"/>
      <c r="L3156" s="48"/>
      <c r="M3156" s="48"/>
      <c r="N3156" s="59"/>
      <c r="O3156" s="59">
        <v>100000</v>
      </c>
      <c r="P3156" s="59"/>
      <c r="Q3156" s="268">
        <f t="shared" si="148"/>
        <v>100000</v>
      </c>
      <c r="R3156" s="61">
        <f>IF(O3156=0,0,SUMIFS(Disbursements!$T:$T,Disbursements!$B:$B,'Live Collections'!D3156,Disbursements!$D:$D,'Live Collections'!F3156))</f>
        <v>384000</v>
      </c>
      <c r="S3156" s="304">
        <f>IF(O3156&lt;=IF($O3156=0,0,SUMIFS(Disbursements!$W:$W,Disbursements!$B:$B,'Live Collections'!D585,Disbursements!$D:$D,'Live Collections'!F585)),O3156,IF($O3156=0,0,SUMIFS(Disbursements!$W:$W,Disbursements!$B:$B,'Live Collections'!D585,Disbursements!$D:$D,'Live Collections'!F585)))</f>
        <v>25666.666666666672</v>
      </c>
      <c r="T3156" s="304">
        <f t="shared" si="149"/>
        <v>74333.333333333328</v>
      </c>
      <c r="U3156" s="52"/>
      <c r="V3156" s="34"/>
      <c r="W3156" s="408"/>
    </row>
    <row r="3157" spans="1:23" ht="12.75" customHeight="1" x14ac:dyDescent="0.2">
      <c r="A3157" s="257">
        <v>3160</v>
      </c>
      <c r="B3157" s="44">
        <v>44611</v>
      </c>
      <c r="C3157" s="44">
        <f t="shared" si="150"/>
        <v>44611</v>
      </c>
      <c r="D3157" s="374">
        <v>284</v>
      </c>
      <c r="E3157" s="291" t="str">
        <f>IFERROR(VLOOKUP($D3157,'Clients-Live'!$A:$C,3,0),"")</f>
        <v>MALISH WAWASON</v>
      </c>
      <c r="F3157" s="291">
        <f>IFERROR(INDEX(Disbursements!$D:$D,MATCH('Live Collections'!G3157,Disbursements!$C:$C,0)),"")</f>
        <v>1</v>
      </c>
      <c r="G3157" s="34">
        <v>338</v>
      </c>
      <c r="H3157" s="34">
        <v>4850</v>
      </c>
      <c r="I3157" s="34" t="s">
        <v>1358</v>
      </c>
      <c r="J3157" s="48"/>
      <c r="K3157" s="48"/>
      <c r="L3157" s="48"/>
      <c r="M3157" s="48"/>
      <c r="N3157" s="59"/>
      <c r="O3157" s="59">
        <v>682000</v>
      </c>
      <c r="P3157" s="59"/>
      <c r="Q3157" s="268">
        <f t="shared" si="148"/>
        <v>682000</v>
      </c>
      <c r="R3157" s="61">
        <f>IF(O3157=0,0,SUMIFS(Disbursements!$T:$T,Disbursements!$B:$B,'Live Collections'!D3157,Disbursements!$D:$D,'Live Collections'!F3157))</f>
        <v>1150000</v>
      </c>
      <c r="S3157" s="304">
        <f>IF(O3157&lt;=IF($O3157=0,0,SUMIFS(Disbursements!$W:$W,Disbursements!$B:$B,'Live Collections'!D3022,Disbursements!$D:$D,'Live Collections'!F3022)),O3157,IF($O3157=0,0,SUMIFS(Disbursements!$W:$W,Disbursements!$B:$B,'Live Collections'!D3022,Disbursements!$D:$D,'Live Collections'!F3022)))</f>
        <v>75000</v>
      </c>
      <c r="T3157" s="304">
        <f t="shared" si="149"/>
        <v>607000</v>
      </c>
      <c r="U3157" s="52"/>
      <c r="V3157" s="34"/>
      <c r="W3157" s="408"/>
    </row>
    <row r="3158" spans="1:23" ht="12.75" customHeight="1" x14ac:dyDescent="0.2">
      <c r="A3158" s="257">
        <v>3161</v>
      </c>
      <c r="B3158" s="44">
        <v>44611</v>
      </c>
      <c r="C3158" s="44">
        <f t="shared" si="150"/>
        <v>44611</v>
      </c>
      <c r="D3158" s="374">
        <v>284</v>
      </c>
      <c r="E3158" s="291" t="str">
        <f>IFERROR(VLOOKUP($D3158,'Clients-Live'!$A:$C,3,0),"")</f>
        <v>MALISH WAWASON</v>
      </c>
      <c r="F3158" s="291">
        <f>IFERROR(INDEX(Disbursements!$D:$D,MATCH('Live Collections'!G3158,Disbursements!$C:$C,0)),"")</f>
        <v>1</v>
      </c>
      <c r="G3158" s="34">
        <v>338</v>
      </c>
      <c r="H3158" s="34" t="s">
        <v>2067</v>
      </c>
      <c r="I3158" s="34" t="s">
        <v>1358</v>
      </c>
      <c r="J3158" s="48"/>
      <c r="K3158" s="48"/>
      <c r="L3158" s="48"/>
      <c r="M3158" s="48"/>
      <c r="N3158" s="59"/>
      <c r="O3158" s="59">
        <v>300000</v>
      </c>
      <c r="P3158" s="59">
        <v>-300000</v>
      </c>
      <c r="Q3158" s="268">
        <f t="shared" si="148"/>
        <v>0</v>
      </c>
      <c r="R3158" s="61">
        <f>IF(O3158=0,0,SUMIFS(Disbursements!$T:$T,Disbursements!$B:$B,'Live Collections'!D3158,Disbursements!$D:$D,'Live Collections'!F3158))</f>
        <v>1150000</v>
      </c>
      <c r="S3158" s="64">
        <v>28500</v>
      </c>
      <c r="T3158" s="304">
        <f t="shared" si="149"/>
        <v>271500</v>
      </c>
      <c r="U3158" s="52"/>
      <c r="V3158" s="34"/>
      <c r="W3158" s="408" t="s">
        <v>2064</v>
      </c>
    </row>
    <row r="3159" spans="1:23" ht="12.75" customHeight="1" x14ac:dyDescent="0.2">
      <c r="A3159" s="257">
        <v>3163</v>
      </c>
      <c r="B3159" s="44">
        <v>44611</v>
      </c>
      <c r="C3159" s="44">
        <f t="shared" si="150"/>
        <v>44611</v>
      </c>
      <c r="D3159" s="374">
        <v>84</v>
      </c>
      <c r="E3159" s="291" t="str">
        <f>IFERROR(VLOOKUP($D3159,'Clients-Live'!$A:$C,3,0),"")</f>
        <v>OMEGA  CHARLES</v>
      </c>
      <c r="F3159" s="291">
        <v>1</v>
      </c>
      <c r="G3159" s="34">
        <v>66</v>
      </c>
      <c r="H3159" s="34"/>
      <c r="I3159" s="34" t="s">
        <v>1359</v>
      </c>
      <c r="J3159" s="48"/>
      <c r="K3159" s="48"/>
      <c r="L3159" s="48"/>
      <c r="M3159" s="48"/>
      <c r="N3159" s="59"/>
      <c r="O3159" s="59">
        <v>200000</v>
      </c>
      <c r="P3159" s="59">
        <v>-200000</v>
      </c>
      <c r="Q3159" s="268">
        <f t="shared" si="148"/>
        <v>0</v>
      </c>
      <c r="R3159" s="61">
        <f>IF(O3159=0,0,SUMIFS(Disbursements!$T:$T,Disbursements!$B:$B,'Live Collections'!D3159,Disbursements!$D:$D,'Live Collections'!F3159))</f>
        <v>434000</v>
      </c>
      <c r="S3159" s="304">
        <f>IF(O3159&lt;=IF($O3159=0,0,SUMIFS(Disbursements!$W:$W,Disbursements!$B:$B,'Live Collections'!D3159,Disbursements!$D:$D,'Live Collections'!F3159)),O3159,IF($O3159=0,0,SUMIFS(Disbursements!$W:$W,Disbursements!$B:$B,'Live Collections'!D3159,Disbursements!$D:$D,'Live Collections'!F3159)))</f>
        <v>100666.66666666669</v>
      </c>
      <c r="T3159" s="304">
        <f t="shared" si="149"/>
        <v>99333.333333333314</v>
      </c>
      <c r="U3159" s="52"/>
      <c r="V3159" s="34"/>
      <c r="W3159" s="408" t="s">
        <v>2064</v>
      </c>
    </row>
    <row r="3160" spans="1:23" ht="12.75" customHeight="1" x14ac:dyDescent="0.2">
      <c r="A3160" s="257">
        <v>3164</v>
      </c>
      <c r="B3160" s="44">
        <v>44611</v>
      </c>
      <c r="C3160" s="44">
        <f t="shared" si="150"/>
        <v>44611</v>
      </c>
      <c r="D3160" s="374">
        <v>244</v>
      </c>
      <c r="E3160" s="291" t="str">
        <f>IFERROR(VLOOKUP($D3160,'Clients-Live'!$A:$C,3,0),"")</f>
        <v>GISMA HAMID ALI</v>
      </c>
      <c r="F3160" s="291">
        <f>IFERROR(INDEX(Disbursements!$D:$D,MATCH('Live Collections'!G3160,Disbursements!$C:$C,0)),"")</f>
        <v>1</v>
      </c>
      <c r="G3160" s="34">
        <v>269</v>
      </c>
      <c r="H3160" s="34" t="s">
        <v>2099</v>
      </c>
      <c r="I3160" s="34" t="s">
        <v>1357</v>
      </c>
      <c r="J3160" s="48"/>
      <c r="K3160" s="48"/>
      <c r="L3160" s="48"/>
      <c r="M3160" s="48"/>
      <c r="N3160" s="59"/>
      <c r="O3160" s="59">
        <v>50000</v>
      </c>
      <c r="P3160" s="59">
        <v>-50000</v>
      </c>
      <c r="Q3160" s="268">
        <f t="shared" si="148"/>
        <v>0</v>
      </c>
      <c r="R3160" s="61">
        <f>IF(O3160=0,0,SUMIFS(Disbursements!$T:$T,Disbursements!$B:$B,'Live Collections'!D3160,Disbursements!$D:$D,'Live Collections'!F3160))</f>
        <v>125000</v>
      </c>
      <c r="S3160" s="304"/>
      <c r="T3160" s="304">
        <f t="shared" si="149"/>
        <v>50000</v>
      </c>
      <c r="U3160" s="52"/>
      <c r="V3160" s="34"/>
      <c r="W3160" s="408"/>
    </row>
    <row r="3161" spans="1:23" ht="12.75" customHeight="1" x14ac:dyDescent="0.2">
      <c r="A3161" s="257">
        <v>3165</v>
      </c>
      <c r="B3161" s="44">
        <v>44611</v>
      </c>
      <c r="C3161" s="44">
        <f t="shared" si="150"/>
        <v>44611</v>
      </c>
      <c r="D3161" s="374">
        <v>238</v>
      </c>
      <c r="E3161" s="291" t="str">
        <f>IFERROR(VLOOKUP($D3161,'Clients-Live'!$A:$C,3,0),"")</f>
        <v>ANGAIKA SAID</v>
      </c>
      <c r="F3161" s="291">
        <f>IFERROR(INDEX(Disbursements!$D:$D,MATCH('Live Collections'!G3161,Disbursements!$C:$C,0)),"")</f>
        <v>1</v>
      </c>
      <c r="G3161" s="34">
        <v>257</v>
      </c>
      <c r="H3161" s="34" t="s">
        <v>2100</v>
      </c>
      <c r="I3161" s="34" t="s">
        <v>1359</v>
      </c>
      <c r="J3161" s="48"/>
      <c r="K3161" s="48"/>
      <c r="L3161" s="48"/>
      <c r="M3161" s="48"/>
      <c r="N3161" s="59"/>
      <c r="O3161" s="59">
        <v>50000</v>
      </c>
      <c r="P3161" s="59">
        <v>-50000</v>
      </c>
      <c r="Q3161" s="268">
        <f t="shared" si="148"/>
        <v>0</v>
      </c>
      <c r="R3161" s="61">
        <f>IF(O3161=0,0,SUMIFS(Disbursements!$T:$T,Disbursements!$B:$B,'Live Collections'!D3161,Disbursements!$D:$D,'Live Collections'!F3161))</f>
        <v>125000</v>
      </c>
      <c r="S3161" s="304"/>
      <c r="T3161" s="304">
        <f t="shared" si="149"/>
        <v>50000</v>
      </c>
      <c r="U3161" s="52"/>
      <c r="V3161" s="34"/>
      <c r="W3161" s="408" t="s">
        <v>2103</v>
      </c>
    </row>
    <row r="3162" spans="1:23" ht="12.75" customHeight="1" x14ac:dyDescent="0.2">
      <c r="A3162" s="257">
        <v>3166</v>
      </c>
      <c r="B3162" s="44">
        <v>44611</v>
      </c>
      <c r="C3162" s="44">
        <f t="shared" si="150"/>
        <v>44611</v>
      </c>
      <c r="D3162" s="374">
        <v>244</v>
      </c>
      <c r="E3162" s="291" t="str">
        <f>IFERROR(VLOOKUP($D3162,'Clients-Live'!$A:$C,3,0),"")</f>
        <v>GISMA HAMID ALI</v>
      </c>
      <c r="F3162" s="291">
        <f>IFERROR(INDEX(Disbursements!$D:$D,MATCH('Live Collections'!G3162,Disbursements!$C:$C,0)),"")</f>
        <v>1</v>
      </c>
      <c r="G3162" s="34">
        <v>269</v>
      </c>
      <c r="H3162" s="34">
        <v>4847</v>
      </c>
      <c r="I3162" s="34" t="s">
        <v>1357</v>
      </c>
      <c r="J3162" s="48"/>
      <c r="K3162" s="48"/>
      <c r="L3162" s="48"/>
      <c r="M3162" s="48"/>
      <c r="N3162" s="59"/>
      <c r="O3162" s="59">
        <v>75000</v>
      </c>
      <c r="P3162" s="59"/>
      <c r="Q3162" s="268">
        <f t="shared" si="148"/>
        <v>75000</v>
      </c>
      <c r="R3162" s="61">
        <f>IF(O3162=0,0,SUMIFS(Disbursements!$T:$T,Disbursements!$B:$B,'Live Collections'!D3162,Disbursements!$D:$D,'Live Collections'!F3162))</f>
        <v>125000</v>
      </c>
      <c r="S3162" s="304"/>
      <c r="T3162" s="304">
        <f t="shared" si="149"/>
        <v>75000</v>
      </c>
      <c r="U3162" s="52"/>
      <c r="V3162" s="34"/>
      <c r="W3162" s="408"/>
    </row>
    <row r="3163" spans="1:23" ht="12.75" customHeight="1" x14ac:dyDescent="0.2">
      <c r="A3163" s="257">
        <v>3167</v>
      </c>
      <c r="B3163" s="44">
        <v>44611</v>
      </c>
      <c r="C3163" s="44">
        <f t="shared" si="150"/>
        <v>44611</v>
      </c>
      <c r="D3163" s="374">
        <v>201</v>
      </c>
      <c r="E3163" s="291" t="str">
        <f>IFERROR(VLOOKUP($D3163,'Clients-Live'!$A:$C,3,0),"")</f>
        <v>DALILI HASSAN</v>
      </c>
      <c r="F3163" s="291">
        <f>IFERROR(INDEX(Disbursements!$D:$D,MATCH('Live Collections'!G3163,Disbursements!$C:$C,0)),"")</f>
        <v>1</v>
      </c>
      <c r="G3163" s="34">
        <v>419</v>
      </c>
      <c r="H3163" s="34">
        <v>4841</v>
      </c>
      <c r="I3163" s="34" t="s">
        <v>1359</v>
      </c>
      <c r="J3163" s="48"/>
      <c r="K3163" s="48"/>
      <c r="L3163" s="48"/>
      <c r="M3163" s="48"/>
      <c r="N3163" s="59"/>
      <c r="O3163" s="59">
        <v>50000</v>
      </c>
      <c r="P3163" s="59"/>
      <c r="Q3163" s="268">
        <f t="shared" si="148"/>
        <v>50000</v>
      </c>
      <c r="R3163" s="61">
        <f>IF(O3163=0,0,SUMIFS(Disbursements!$T:$T,Disbursements!$B:$B,'Live Collections'!D3163,Disbursements!$D:$D,'Live Collections'!F3163))</f>
        <v>47000</v>
      </c>
      <c r="S3163" s="304">
        <f>IF(O3163&lt;=IF($O3163=0,0,SUMIFS(Disbursements!$W:$W,Disbursements!$B:$B,'Live Collections'!D3163,Disbursements!$D:$D,'Live Collections'!F3163)),O3163,IF($O3163=0,0,SUMIFS(Disbursements!$W:$W,Disbursements!$B:$B,'Live Collections'!D3163,Disbursements!$D:$D,'Live Collections'!F3163)))</f>
        <v>13666.666666666664</v>
      </c>
      <c r="T3163" s="304">
        <f t="shared" si="149"/>
        <v>36333.333333333336</v>
      </c>
      <c r="U3163" s="52"/>
      <c r="V3163" s="34"/>
      <c r="W3163" s="408"/>
    </row>
    <row r="3164" spans="1:23" ht="12.75" customHeight="1" x14ac:dyDescent="0.2">
      <c r="A3164" s="257">
        <v>3168</v>
      </c>
      <c r="B3164" s="44">
        <v>44611</v>
      </c>
      <c r="C3164" s="44">
        <f t="shared" si="150"/>
        <v>44611</v>
      </c>
      <c r="D3164" s="374">
        <v>52</v>
      </c>
      <c r="E3164" s="291" t="str">
        <f>IFERROR(VLOOKUP($D3164,'Clients-Live'!$A:$C,3,0),"")</f>
        <v>EDEZU PEACE IRENE</v>
      </c>
      <c r="F3164" s="291">
        <f>IFERROR(INDEX(Disbursements!$D:$D,MATCH('Live Collections'!G3164,Disbursements!$C:$C,0)),"")</f>
        <v>2</v>
      </c>
      <c r="G3164" s="34">
        <v>275</v>
      </c>
      <c r="H3164" s="34">
        <v>4844</v>
      </c>
      <c r="I3164" s="34" t="s">
        <v>1357</v>
      </c>
      <c r="J3164" s="48"/>
      <c r="K3164" s="48"/>
      <c r="L3164" s="48"/>
      <c r="M3164" s="48"/>
      <c r="N3164" s="59"/>
      <c r="O3164" s="59">
        <v>40000</v>
      </c>
      <c r="P3164" s="59"/>
      <c r="Q3164" s="268">
        <f t="shared" si="148"/>
        <v>40000</v>
      </c>
      <c r="R3164" s="61">
        <f>IF(O3164=0,0,SUMIFS(Disbursements!$T:$T,Disbursements!$B:$B,'Live Collections'!D3164,Disbursements!$D:$D,'Live Collections'!F3164))</f>
        <v>150000</v>
      </c>
      <c r="S3164" s="304"/>
      <c r="T3164" s="304">
        <f t="shared" si="149"/>
        <v>40000</v>
      </c>
      <c r="U3164" s="52"/>
      <c r="V3164" s="34"/>
      <c r="W3164" s="408"/>
    </row>
    <row r="3165" spans="1:23" ht="12.75" customHeight="1" x14ac:dyDescent="0.2">
      <c r="A3165" s="257">
        <v>3169</v>
      </c>
      <c r="B3165" s="44">
        <v>44611</v>
      </c>
      <c r="C3165" s="44">
        <f t="shared" si="150"/>
        <v>44611</v>
      </c>
      <c r="D3165" s="374">
        <v>99</v>
      </c>
      <c r="E3165" s="291" t="str">
        <f>IFERROR(VLOOKUP($D3165,'Clients-Live'!$A:$C,3,0),"")</f>
        <v>SIJALI ASINA SIS</v>
      </c>
      <c r="F3165" s="291">
        <f>IFERROR(INDEX(Disbursements!$D:$D,MATCH('Live Collections'!G3165,Disbursements!$C:$C,0)),"")</f>
        <v>2</v>
      </c>
      <c r="G3165" s="34">
        <v>278</v>
      </c>
      <c r="H3165" s="34">
        <v>4843</v>
      </c>
      <c r="I3165" s="34" t="s">
        <v>1358</v>
      </c>
      <c r="J3165" s="48"/>
      <c r="K3165" s="48"/>
      <c r="L3165" s="48"/>
      <c r="M3165" s="48"/>
      <c r="N3165" s="59"/>
      <c r="O3165" s="59">
        <v>100000</v>
      </c>
      <c r="P3165" s="59"/>
      <c r="Q3165" s="268">
        <f t="shared" si="148"/>
        <v>100000</v>
      </c>
      <c r="R3165" s="61">
        <f>IF(O3165=0,0,SUMIFS(Disbursements!$T:$T,Disbursements!$B:$B,'Live Collections'!D3165,Disbursements!$D:$D,'Live Collections'!F3165))</f>
        <v>174000</v>
      </c>
      <c r="S3165" s="304">
        <f>IF(O3165&lt;=IF($O3165=0,0,SUMIFS(Disbursements!$W:$W,Disbursements!$B:$B,'Live Collections'!D3165,Disbursements!$D:$D,'Live Collections'!F3165)),O3165,IF($O3165=0,0,SUMIFS(Disbursements!$W:$W,Disbursements!$B:$B,'Live Collections'!D3165,Disbursements!$D:$D,'Live Collections'!F3165)))</f>
        <v>40666.666666666657</v>
      </c>
      <c r="T3165" s="304">
        <f t="shared" si="149"/>
        <v>59333.333333333343</v>
      </c>
      <c r="U3165" s="52"/>
      <c r="V3165" s="34"/>
      <c r="W3165" s="408"/>
    </row>
    <row r="3166" spans="1:23" ht="12.75" customHeight="1" x14ac:dyDescent="0.2">
      <c r="A3166" s="257">
        <v>3170</v>
      </c>
      <c r="B3166" s="44">
        <v>44611</v>
      </c>
      <c r="C3166" s="44">
        <f t="shared" si="150"/>
        <v>44611</v>
      </c>
      <c r="D3166" s="374">
        <v>198</v>
      </c>
      <c r="E3166" s="291" t="str">
        <f>IFERROR(VLOOKUP($D3166,'Clients-Live'!$A:$C,3,0),"")</f>
        <v>ETOLE BIAJO</v>
      </c>
      <c r="F3166" s="291">
        <f>IFERROR(INDEX(Disbursements!$D:$D,MATCH('Live Collections'!G3166,Disbursements!$C:$C,0)),"")</f>
        <v>1</v>
      </c>
      <c r="G3166" s="34">
        <v>191</v>
      </c>
      <c r="H3166" s="34">
        <v>4840</v>
      </c>
      <c r="I3166" s="34" t="s">
        <v>1358</v>
      </c>
      <c r="J3166" s="48"/>
      <c r="K3166" s="48"/>
      <c r="L3166" s="48"/>
      <c r="M3166" s="48"/>
      <c r="N3166" s="59"/>
      <c r="O3166" s="59">
        <v>100000</v>
      </c>
      <c r="P3166" s="59"/>
      <c r="Q3166" s="268">
        <f t="shared" si="148"/>
        <v>100000</v>
      </c>
      <c r="R3166" s="61">
        <f>IF(O3166=0,0,SUMIFS(Disbursements!$T:$T,Disbursements!$B:$B,'Live Collections'!D3166,Disbursements!$D:$D,'Live Collections'!F3166))</f>
        <v>150000</v>
      </c>
      <c r="S3166" s="304"/>
      <c r="T3166" s="304">
        <f t="shared" si="149"/>
        <v>100000</v>
      </c>
      <c r="U3166" s="52"/>
      <c r="V3166" s="34"/>
      <c r="W3166" s="408"/>
    </row>
    <row r="3167" spans="1:23" ht="12.75" customHeight="1" x14ac:dyDescent="0.2">
      <c r="A3167" s="257">
        <v>3171</v>
      </c>
      <c r="B3167" s="44">
        <v>44611</v>
      </c>
      <c r="C3167" s="44">
        <f t="shared" si="150"/>
        <v>44611</v>
      </c>
      <c r="D3167" s="374">
        <v>238</v>
      </c>
      <c r="E3167" s="291" t="str">
        <f>IFERROR(VLOOKUP($D3167,'Clients-Live'!$A:$C,3,0),"")</f>
        <v>ANGAIKA SAID</v>
      </c>
      <c r="F3167" s="291">
        <f>IFERROR(INDEX(Disbursements!$D:$D,MATCH('Live Collections'!G3167,Disbursements!$C:$C,0)),"")</f>
        <v>1</v>
      </c>
      <c r="G3167" s="34">
        <v>257</v>
      </c>
      <c r="H3167" s="34">
        <v>4845</v>
      </c>
      <c r="I3167" s="34" t="s">
        <v>1359</v>
      </c>
      <c r="J3167" s="48"/>
      <c r="K3167" s="48"/>
      <c r="L3167" s="48"/>
      <c r="M3167" s="48"/>
      <c r="N3167" s="59"/>
      <c r="O3167" s="59">
        <v>90000</v>
      </c>
      <c r="P3167" s="59"/>
      <c r="Q3167" s="268">
        <f t="shared" si="148"/>
        <v>90000</v>
      </c>
      <c r="R3167" s="61">
        <f>IF(O3167=0,0,SUMIFS(Disbursements!$T:$T,Disbursements!$B:$B,'Live Collections'!D3167,Disbursements!$D:$D,'Live Collections'!F3167))</f>
        <v>125000</v>
      </c>
      <c r="S3167" s="64">
        <v>-47083.333333333343</v>
      </c>
      <c r="T3167" s="304">
        <f t="shared" si="149"/>
        <v>137083.33333333334</v>
      </c>
      <c r="U3167" s="52"/>
      <c r="V3167" s="34"/>
      <c r="W3167" s="408" t="s">
        <v>2086</v>
      </c>
    </row>
    <row r="3168" spans="1:23" ht="12.75" customHeight="1" x14ac:dyDescent="0.2">
      <c r="A3168" s="257">
        <v>3172</v>
      </c>
      <c r="B3168" s="44">
        <v>44611</v>
      </c>
      <c r="C3168" s="44">
        <f t="shared" si="150"/>
        <v>44611</v>
      </c>
      <c r="D3168" s="374">
        <v>35</v>
      </c>
      <c r="E3168" s="291" t="str">
        <f>IFERROR(VLOOKUP($D3168,'Clients-Live'!$A:$C,3,0),"")</f>
        <v>ALEZUYO DOCUS</v>
      </c>
      <c r="F3168" s="291">
        <f>IFERROR(INDEX(Disbursements!$D:$D,MATCH('Live Collections'!G3168,Disbursements!$C:$C,0)),"")</f>
        <v>2</v>
      </c>
      <c r="G3168" s="34">
        <v>155</v>
      </c>
      <c r="H3168" s="34">
        <v>4869</v>
      </c>
      <c r="I3168" s="34" t="s">
        <v>1359</v>
      </c>
      <c r="J3168" s="48"/>
      <c r="K3168" s="48"/>
      <c r="L3168" s="48"/>
      <c r="M3168" s="48"/>
      <c r="N3168" s="59"/>
      <c r="O3168" s="59">
        <v>50000</v>
      </c>
      <c r="P3168" s="59"/>
      <c r="Q3168" s="268">
        <f t="shared" si="148"/>
        <v>50000</v>
      </c>
      <c r="R3168" s="61">
        <f>IF(O3168=0,0,SUMIFS(Disbursements!$T:$T,Disbursements!$B:$B,'Live Collections'!D3168,Disbursements!$D:$D,'Live Collections'!F3168))</f>
        <v>250000</v>
      </c>
      <c r="S3168" s="304">
        <f>IF(O3168&lt;=IF($O3168=0,0,SUMIFS(Disbursements!$W:$W,Disbursements!$B:$B,'Live Collections'!D3168,Disbursements!$D:$D,'Live Collections'!F3168)),O3168,IF($O3168=0,0,SUMIFS(Disbursements!$W:$W,Disbursements!$B:$B,'Live Collections'!D3168,Disbursements!$D:$D,'Live Collections'!F3168)))</f>
        <v>50000</v>
      </c>
      <c r="T3168" s="304">
        <f t="shared" si="149"/>
        <v>0</v>
      </c>
      <c r="U3168" s="52"/>
      <c r="V3168" s="34"/>
      <c r="W3168" s="408"/>
    </row>
    <row r="3169" spans="1:23" ht="12.75" customHeight="1" x14ac:dyDescent="0.2">
      <c r="A3169" s="257">
        <v>3175</v>
      </c>
      <c r="B3169" s="44">
        <v>44613</v>
      </c>
      <c r="C3169" s="44">
        <f t="shared" si="150"/>
        <v>44613</v>
      </c>
      <c r="D3169" s="374">
        <v>211</v>
      </c>
      <c r="E3169" s="291" t="str">
        <f>IFERROR(VLOOKUP($D3169,'Clients-Live'!$A:$C,3,0),"")</f>
        <v>WILARU JOYCE</v>
      </c>
      <c r="F3169" s="291">
        <f>IFERROR(INDEX(Disbursements!$D:$D,MATCH('Live Collections'!G3169,Disbursements!$C:$C,0)),"")</f>
        <v>2</v>
      </c>
      <c r="G3169" s="34">
        <v>403</v>
      </c>
      <c r="H3169" s="34">
        <v>4896</v>
      </c>
      <c r="I3169" s="34" t="s">
        <v>1358</v>
      </c>
      <c r="J3169" s="48"/>
      <c r="K3169" s="48"/>
      <c r="L3169" s="48"/>
      <c r="M3169" s="48"/>
      <c r="N3169" s="59"/>
      <c r="O3169" s="59">
        <v>80000</v>
      </c>
      <c r="P3169" s="59"/>
      <c r="Q3169" s="268">
        <f t="shared" si="148"/>
        <v>80000</v>
      </c>
      <c r="R3169" s="61">
        <f>IF(O3169=0,0,SUMIFS(Disbursements!$T:$T,Disbursements!$B:$B,'Live Collections'!D3169,Disbursements!$D:$D,'Live Collections'!F3169))</f>
        <v>87000</v>
      </c>
      <c r="S3169" s="304">
        <f>IF(O3169&lt;=IF($O3169=0,0,SUMIFS(Disbursements!$W:$W,Disbursements!$B:$B,'Live Collections'!D3169,Disbursements!$D:$D,'Live Collections'!F3169)),O3169,IF($O3169=0,0,SUMIFS(Disbursements!$W:$W,Disbursements!$B:$B,'Live Collections'!D3169,Disbursements!$D:$D,'Live Collections'!F3169)))</f>
        <v>22000</v>
      </c>
      <c r="T3169" s="304">
        <f t="shared" si="149"/>
        <v>58000</v>
      </c>
      <c r="U3169" s="52"/>
      <c r="V3169" s="34"/>
      <c r="W3169" s="408"/>
    </row>
    <row r="3170" spans="1:23" ht="12.75" customHeight="1" x14ac:dyDescent="0.2">
      <c r="A3170" s="257">
        <v>3178</v>
      </c>
      <c r="B3170" s="44">
        <v>44613</v>
      </c>
      <c r="C3170" s="44">
        <f t="shared" si="150"/>
        <v>44613</v>
      </c>
      <c r="D3170" s="374">
        <v>155</v>
      </c>
      <c r="E3170" s="291" t="str">
        <f>IFERROR(VLOOKUP($D3170,'Clients-Live'!$A:$C,3,0),"")</f>
        <v>AROMBORAC SIAMA</v>
      </c>
      <c r="F3170" s="291">
        <f>IFERROR(INDEX(Disbursements!$D:$D,MATCH('Live Collections'!G3170,Disbursements!$C:$C,0)),"")</f>
        <v>2</v>
      </c>
      <c r="G3170" s="34">
        <v>355</v>
      </c>
      <c r="H3170" s="34">
        <v>4892</v>
      </c>
      <c r="I3170" s="34" t="s">
        <v>1358</v>
      </c>
      <c r="J3170" s="48"/>
      <c r="K3170" s="48"/>
      <c r="L3170" s="48"/>
      <c r="M3170" s="48"/>
      <c r="N3170" s="59"/>
      <c r="O3170" s="59">
        <v>11000</v>
      </c>
      <c r="P3170" s="59"/>
      <c r="Q3170" s="268">
        <f t="shared" si="148"/>
        <v>11000</v>
      </c>
      <c r="R3170" s="61">
        <f>IF(O3170=0,0,SUMIFS(Disbursements!$T:$T,Disbursements!$B:$B,'Live Collections'!D3170,Disbursements!$D:$D,'Live Collections'!F3170))</f>
        <v>77000</v>
      </c>
      <c r="S3170" s="304"/>
      <c r="T3170" s="304">
        <f t="shared" si="149"/>
        <v>11000</v>
      </c>
      <c r="U3170" s="52"/>
      <c r="V3170" s="34"/>
      <c r="W3170" s="408"/>
    </row>
    <row r="3171" spans="1:23" ht="12.75" customHeight="1" x14ac:dyDescent="0.2">
      <c r="A3171" s="257">
        <v>3179</v>
      </c>
      <c r="B3171" s="44">
        <v>44613</v>
      </c>
      <c r="C3171" s="44">
        <f t="shared" si="150"/>
        <v>44613</v>
      </c>
      <c r="D3171" s="374">
        <v>219</v>
      </c>
      <c r="E3171" s="291" t="str">
        <f>IFERROR(VLOOKUP($D3171,'Clients-Live'!$A:$C,3,0),"")</f>
        <v>MALIKO JAMILA</v>
      </c>
      <c r="F3171" s="291">
        <f>IFERROR(INDEX(Disbursements!$D:$D,MATCH('Live Collections'!G3171,Disbursements!$C:$C,0)),"")</f>
        <v>1</v>
      </c>
      <c r="G3171" s="34">
        <v>228</v>
      </c>
      <c r="H3171" s="34" t="s">
        <v>2106</v>
      </c>
      <c r="I3171" s="34" t="s">
        <v>1358</v>
      </c>
      <c r="J3171" s="48"/>
      <c r="K3171" s="48"/>
      <c r="L3171" s="48"/>
      <c r="M3171" s="48"/>
      <c r="N3171" s="59"/>
      <c r="O3171" s="59">
        <v>30000</v>
      </c>
      <c r="P3171" s="59">
        <v>-30000</v>
      </c>
      <c r="Q3171" s="268">
        <f t="shared" si="148"/>
        <v>0</v>
      </c>
      <c r="R3171" s="61">
        <f>IF(O3171=0,0,SUMIFS(Disbursements!$T:$T,Disbursements!$B:$B,'Live Collections'!D3171,Disbursements!$D:$D,'Live Collections'!F3171))</f>
        <v>77000</v>
      </c>
      <c r="S3171" s="304"/>
      <c r="T3171" s="304">
        <f t="shared" si="149"/>
        <v>30000</v>
      </c>
      <c r="U3171" s="52"/>
      <c r="V3171" s="34"/>
      <c r="W3171" s="408"/>
    </row>
    <row r="3172" spans="1:23" ht="12.75" customHeight="1" x14ac:dyDescent="0.2">
      <c r="A3172" s="257">
        <v>3180</v>
      </c>
      <c r="B3172" s="44">
        <v>44613</v>
      </c>
      <c r="C3172" s="44">
        <f t="shared" si="150"/>
        <v>44613</v>
      </c>
      <c r="D3172" s="374">
        <v>219</v>
      </c>
      <c r="E3172" s="291" t="str">
        <f>IFERROR(VLOOKUP($D3172,'Clients-Live'!$A:$C,3,0),"")</f>
        <v>MALIKO JAMILA</v>
      </c>
      <c r="F3172" s="291">
        <f>IFERROR(INDEX(Disbursements!$D:$D,MATCH('Live Collections'!G3172,Disbursements!$C:$C,0)),"")</f>
        <v>1</v>
      </c>
      <c r="G3172" s="34">
        <v>228</v>
      </c>
      <c r="H3172" s="34">
        <v>4888</v>
      </c>
      <c r="I3172" s="34" t="s">
        <v>1358</v>
      </c>
      <c r="J3172" s="48"/>
      <c r="K3172" s="48"/>
      <c r="L3172" s="48"/>
      <c r="M3172" s="48"/>
      <c r="N3172" s="59"/>
      <c r="O3172" s="59">
        <v>1000</v>
      </c>
      <c r="P3172" s="59"/>
      <c r="Q3172" s="268">
        <f t="shared" si="148"/>
        <v>1000</v>
      </c>
      <c r="R3172" s="61">
        <f>IF(O3172=0,0,SUMIFS(Disbursements!$T:$T,Disbursements!$B:$B,'Live Collections'!D3172,Disbursements!$D:$D,'Live Collections'!F3172))</f>
        <v>77000</v>
      </c>
      <c r="S3172" s="304"/>
      <c r="T3172" s="304">
        <f t="shared" si="149"/>
        <v>1000</v>
      </c>
      <c r="U3172" s="52"/>
      <c r="V3172" s="34"/>
      <c r="W3172" s="408"/>
    </row>
    <row r="3173" spans="1:23" ht="12.75" customHeight="1" x14ac:dyDescent="0.2">
      <c r="A3173" s="257">
        <v>3181</v>
      </c>
      <c r="B3173" s="44">
        <v>44613</v>
      </c>
      <c r="C3173" s="44">
        <f t="shared" si="150"/>
        <v>44613</v>
      </c>
      <c r="D3173" s="374">
        <v>254</v>
      </c>
      <c r="E3173" s="291" t="str">
        <f>IFERROR(VLOOKUP($D3173,'Clients-Live'!$A:$C,3,0),"")</f>
        <v>ANITE AGNES</v>
      </c>
      <c r="F3173" s="291" t="str">
        <f>IFERROR(INDEX(Disbursements!$D:$D,MATCH('Live Collections'!G3173,Disbursements!$C:$C,0)),"")</f>
        <v/>
      </c>
      <c r="G3173" s="34"/>
      <c r="H3173" s="34">
        <v>4891</v>
      </c>
      <c r="I3173" s="34" t="s">
        <v>1357</v>
      </c>
      <c r="J3173" s="48"/>
      <c r="K3173" s="48"/>
      <c r="L3173" s="48">
        <v>15000</v>
      </c>
      <c r="M3173" s="48">
        <v>5000</v>
      </c>
      <c r="N3173" s="59"/>
      <c r="O3173" s="59"/>
      <c r="P3173" s="59"/>
      <c r="Q3173" s="268">
        <f t="shared" si="148"/>
        <v>20000</v>
      </c>
      <c r="R3173" s="61">
        <f>IF(O3173=0,0,SUMIFS(Disbursements!$T:$T,Disbursements!$B:$B,'Live Collections'!D3173,Disbursements!$D:$D,'Live Collections'!F3173))</f>
        <v>0</v>
      </c>
      <c r="S3173" s="304">
        <f>IF(O3173&lt;=IF($O3173=0,0,SUMIFS(Disbursements!$W:$W,Disbursements!$B:$B,'Live Collections'!D3173,Disbursements!$D:$D,'Live Collections'!F3173)),O3173,IF($O3173=0,0,SUMIFS(Disbursements!$W:$W,Disbursements!$B:$B,'Live Collections'!D3173,Disbursements!$D:$D,'Live Collections'!F3173)))</f>
        <v>0</v>
      </c>
      <c r="T3173" s="304">
        <f t="shared" si="149"/>
        <v>0</v>
      </c>
      <c r="U3173" s="52"/>
      <c r="V3173" s="34"/>
      <c r="W3173" s="408"/>
    </row>
    <row r="3174" spans="1:23" ht="12.75" customHeight="1" x14ac:dyDescent="0.2">
      <c r="A3174" s="257">
        <v>3182</v>
      </c>
      <c r="B3174" s="44">
        <v>44613</v>
      </c>
      <c r="C3174" s="44">
        <f t="shared" si="150"/>
        <v>44613</v>
      </c>
      <c r="D3174" s="374">
        <v>96</v>
      </c>
      <c r="E3174" s="291" t="str">
        <f>IFERROR(VLOOKUP($D3174,'Clients-Live'!$A:$C,3,0),"")</f>
        <v>AKANDU NIGHT YONGORO</v>
      </c>
      <c r="F3174" s="291">
        <f>IFERROR(INDEX(Disbursements!$D:$D,MATCH('Live Collections'!G3174,Disbursements!$C:$C,0)),"")</f>
        <v>3</v>
      </c>
      <c r="G3174" s="34">
        <v>432</v>
      </c>
      <c r="H3174" s="34">
        <v>4887</v>
      </c>
      <c r="I3174" s="34" t="s">
        <v>1358</v>
      </c>
      <c r="J3174" s="48"/>
      <c r="K3174" s="48"/>
      <c r="L3174" s="48"/>
      <c r="M3174" s="48"/>
      <c r="N3174" s="59"/>
      <c r="O3174" s="59">
        <v>59600</v>
      </c>
      <c r="P3174" s="59"/>
      <c r="Q3174" s="268">
        <f t="shared" si="148"/>
        <v>59600</v>
      </c>
      <c r="R3174" s="61">
        <f>IF(O3174=0,0,SUMIFS(Disbursements!$T:$T,Disbursements!$B:$B,'Live Collections'!D3174,Disbursements!$D:$D,'Live Collections'!F3174))</f>
        <v>60000</v>
      </c>
      <c r="S3174" s="304">
        <f>IF(O3174&lt;=IF($O3174=0,0,SUMIFS(Disbursements!$W:$W,Disbursements!$B:$B,'Live Collections'!D3174,Disbursements!$D:$D,'Live Collections'!F3174)),O3174,IF($O3174=0,0,SUMIFS(Disbursements!$W:$W,Disbursements!$B:$B,'Live Collections'!D3174,Disbursements!$D:$D,'Live Collections'!F3174)))</f>
        <v>15000</v>
      </c>
      <c r="T3174" s="304">
        <f t="shared" si="149"/>
        <v>44600</v>
      </c>
      <c r="U3174" s="52"/>
      <c r="V3174" s="34"/>
      <c r="W3174" s="408"/>
    </row>
    <row r="3175" spans="1:23" ht="12.75" customHeight="1" x14ac:dyDescent="0.2">
      <c r="A3175" s="257">
        <v>3183</v>
      </c>
      <c r="B3175" s="44">
        <v>44613</v>
      </c>
      <c r="C3175" s="44">
        <f t="shared" si="150"/>
        <v>44613</v>
      </c>
      <c r="D3175" s="374">
        <v>152</v>
      </c>
      <c r="E3175" s="291" t="str">
        <f>IFERROR(VLOOKUP($D3175,'Clients-Live'!$A:$C,3,0),"")</f>
        <v>ASE ZAINABU</v>
      </c>
      <c r="F3175" s="291">
        <f>IFERROR(INDEX(Disbursements!$D:$D,MATCH('Live Collections'!G3175,Disbursements!$C:$C,0)),"")</f>
        <v>2</v>
      </c>
      <c r="G3175" s="34">
        <v>393</v>
      </c>
      <c r="H3175" s="34">
        <v>4884</v>
      </c>
      <c r="I3175" s="34" t="s">
        <v>1358</v>
      </c>
      <c r="J3175" s="48"/>
      <c r="K3175" s="48"/>
      <c r="L3175" s="48"/>
      <c r="M3175" s="48"/>
      <c r="N3175" s="59"/>
      <c r="O3175" s="59">
        <v>50000</v>
      </c>
      <c r="P3175" s="59"/>
      <c r="Q3175" s="268">
        <f t="shared" si="148"/>
        <v>50000</v>
      </c>
      <c r="R3175" s="61">
        <f>IF(O3175=0,0,SUMIFS(Disbursements!$T:$T,Disbursements!$B:$B,'Live Collections'!D3175,Disbursements!$D:$D,'Live Collections'!F3175))</f>
        <v>40000</v>
      </c>
      <c r="S3175" s="304">
        <f>IF(O3175&lt;=IF($O3175=0,0,SUMIFS(Disbursements!$W:$W,Disbursements!$B:$B,'Live Collections'!D3175,Disbursements!$D:$D,'Live Collections'!F3175)),O3175,IF($O3175=0,0,SUMIFS(Disbursements!$W:$W,Disbursements!$B:$B,'Live Collections'!D3175,Disbursements!$D:$D,'Live Collections'!F3175)))</f>
        <v>8750</v>
      </c>
      <c r="T3175" s="304">
        <f t="shared" si="149"/>
        <v>41250</v>
      </c>
      <c r="U3175" s="52"/>
      <c r="V3175" s="34"/>
      <c r="W3175" s="408"/>
    </row>
    <row r="3176" spans="1:23" ht="12.75" customHeight="1" x14ac:dyDescent="0.2">
      <c r="A3176" s="257">
        <v>3184</v>
      </c>
      <c r="B3176" s="44">
        <v>44613</v>
      </c>
      <c r="C3176" s="44">
        <f t="shared" si="150"/>
        <v>44613</v>
      </c>
      <c r="D3176" s="374">
        <v>124</v>
      </c>
      <c r="E3176" s="291" t="str">
        <f>IFERROR(VLOOKUP($D3176,'Clients-Live'!$A:$C,3,0),"")</f>
        <v>TIKO ZABIBU</v>
      </c>
      <c r="F3176" s="291">
        <f>IFERROR(INDEX(Disbursements!$D:$D,MATCH('Live Collections'!G3176,Disbursements!$C:$C,0)),"")</f>
        <v>2</v>
      </c>
      <c r="G3176" s="34">
        <v>335</v>
      </c>
      <c r="H3176" s="34">
        <v>4885</v>
      </c>
      <c r="I3176" s="34" t="s">
        <v>1358</v>
      </c>
      <c r="J3176" s="48"/>
      <c r="K3176" s="48"/>
      <c r="L3176" s="48"/>
      <c r="M3176" s="48"/>
      <c r="N3176" s="59"/>
      <c r="O3176" s="59">
        <v>50000</v>
      </c>
      <c r="P3176" s="59"/>
      <c r="Q3176" s="268">
        <f t="shared" si="148"/>
        <v>50000</v>
      </c>
      <c r="R3176" s="61">
        <f>IF(O3176=0,0,SUMIFS(Disbursements!$T:$T,Disbursements!$B:$B,'Live Collections'!D3176,Disbursements!$D:$D,'Live Collections'!F3176))</f>
        <v>200000</v>
      </c>
      <c r="S3176" s="304"/>
      <c r="T3176" s="304">
        <f t="shared" si="149"/>
        <v>50000</v>
      </c>
      <c r="U3176" s="52"/>
      <c r="V3176" s="34"/>
      <c r="W3176" s="408"/>
    </row>
    <row r="3177" spans="1:23" ht="12.75" customHeight="1" x14ac:dyDescent="0.2">
      <c r="A3177" s="257">
        <v>3185</v>
      </c>
      <c r="B3177" s="44">
        <v>44613</v>
      </c>
      <c r="C3177" s="44">
        <f t="shared" si="150"/>
        <v>44613</v>
      </c>
      <c r="D3177" s="374">
        <v>243</v>
      </c>
      <c r="E3177" s="291" t="str">
        <f>IFERROR(VLOOKUP($D3177,'Clients-Live'!$A:$C,3,0),"")</f>
        <v>AMANIYO FARIDA</v>
      </c>
      <c r="F3177" s="291">
        <f>IFERROR(INDEX(Disbursements!$D:$D,MATCH('Live Collections'!G3177,Disbursements!$C:$C,0)),"")</f>
        <v>1</v>
      </c>
      <c r="G3177" s="34">
        <v>274</v>
      </c>
      <c r="H3177" s="34" t="s">
        <v>2102</v>
      </c>
      <c r="I3177" s="34" t="s">
        <v>1357</v>
      </c>
      <c r="J3177" s="48"/>
      <c r="K3177" s="48"/>
      <c r="L3177" s="48"/>
      <c r="M3177" s="48"/>
      <c r="N3177" s="59"/>
      <c r="O3177" s="59">
        <v>50000</v>
      </c>
      <c r="P3177" s="59">
        <v>-50000</v>
      </c>
      <c r="Q3177" s="268">
        <f t="shared" si="148"/>
        <v>0</v>
      </c>
      <c r="R3177" s="61">
        <f>IF(O3177=0,0,SUMIFS(Disbursements!$T:$T,Disbursements!$B:$B,'Live Collections'!D3177,Disbursements!$D:$D,'Live Collections'!F3177))</f>
        <v>150000</v>
      </c>
      <c r="S3177" s="304">
        <f>IF(O3177&lt;=IF($O3177=0,0,SUMIFS(Disbursements!$W:$W,Disbursements!$B:$B,'Live Collections'!D3177,Disbursements!$D:$D,'Live Collections'!F3177)),O3177,IF($O3177=0,0,SUMIFS(Disbursements!$W:$W,Disbursements!$B:$B,'Live Collections'!D3177,Disbursements!$D:$D,'Live Collections'!F3177)))</f>
        <v>25000</v>
      </c>
      <c r="T3177" s="304">
        <f t="shared" si="149"/>
        <v>25000</v>
      </c>
      <c r="U3177" s="52"/>
      <c r="V3177" s="34"/>
      <c r="W3177" s="408"/>
    </row>
    <row r="3178" spans="1:23" ht="12.75" customHeight="1" x14ac:dyDescent="0.2">
      <c r="A3178" s="257">
        <v>3186</v>
      </c>
      <c r="B3178" s="44">
        <v>44613</v>
      </c>
      <c r="C3178" s="44">
        <f t="shared" si="150"/>
        <v>44613</v>
      </c>
      <c r="D3178" s="374">
        <v>243</v>
      </c>
      <c r="E3178" s="291" t="str">
        <f>IFERROR(VLOOKUP($D3178,'Clients-Live'!$A:$C,3,0),"")</f>
        <v>AMANIYO FARIDA</v>
      </c>
      <c r="F3178" s="291">
        <f>IFERROR(INDEX(Disbursements!$D:$D,MATCH('Live Collections'!G3178,Disbursements!$C:$C,0)),"")</f>
        <v>1</v>
      </c>
      <c r="G3178" s="34">
        <v>274</v>
      </c>
      <c r="H3178" s="34">
        <v>4882</v>
      </c>
      <c r="I3178" s="34" t="s">
        <v>1357</v>
      </c>
      <c r="J3178" s="48"/>
      <c r="K3178" s="48"/>
      <c r="L3178" s="48"/>
      <c r="M3178" s="48"/>
      <c r="N3178" s="59"/>
      <c r="O3178" s="59">
        <v>100000</v>
      </c>
      <c r="P3178" s="59"/>
      <c r="Q3178" s="268">
        <f t="shared" si="148"/>
        <v>100000</v>
      </c>
      <c r="R3178" s="61">
        <f>IF(O3178=0,0,SUMIFS(Disbursements!$T:$T,Disbursements!$B:$B,'Live Collections'!D3178,Disbursements!$D:$D,'Live Collections'!F3178))</f>
        <v>150000</v>
      </c>
      <c r="S3178" s="304"/>
      <c r="T3178" s="304">
        <f t="shared" si="149"/>
        <v>100000</v>
      </c>
      <c r="U3178" s="52"/>
      <c r="V3178" s="34"/>
      <c r="W3178" s="408"/>
    </row>
    <row r="3179" spans="1:23" ht="12.75" customHeight="1" x14ac:dyDescent="0.2">
      <c r="A3179" s="257">
        <v>3187</v>
      </c>
      <c r="B3179" s="44">
        <v>44613</v>
      </c>
      <c r="C3179" s="44">
        <f t="shared" si="150"/>
        <v>44613</v>
      </c>
      <c r="D3179" s="374">
        <v>75</v>
      </c>
      <c r="E3179" s="291" t="str">
        <f>IFERROR(VLOOKUP($D3179,'Clients-Live'!$A:$C,3,0),"")</f>
        <v>MUKULIA JAMES</v>
      </c>
      <c r="F3179" s="291">
        <f>IFERROR(INDEX(Disbursements!$D:$D,MATCH('Live Collections'!G3179,Disbursements!$C:$C,0)),"")</f>
        <v>3</v>
      </c>
      <c r="G3179" s="34">
        <v>357</v>
      </c>
      <c r="H3179" s="34">
        <v>4878</v>
      </c>
      <c r="I3179" s="34" t="s">
        <v>1359</v>
      </c>
      <c r="J3179" s="48"/>
      <c r="K3179" s="48"/>
      <c r="L3179" s="48"/>
      <c r="M3179" s="48"/>
      <c r="N3179" s="59"/>
      <c r="O3179" s="59">
        <v>40000</v>
      </c>
      <c r="P3179" s="59"/>
      <c r="Q3179" s="268">
        <f t="shared" si="148"/>
        <v>40000</v>
      </c>
      <c r="R3179" s="61">
        <f>IF(O3179=0,0,SUMIFS(Disbursements!$T:$T,Disbursements!$B:$B,'Live Collections'!D3179,Disbursements!$D:$D,'Live Collections'!F3179))</f>
        <v>175000</v>
      </c>
      <c r="S3179" s="304">
        <f>IF(O3179&lt;=IF($O3179=0,0,SUMIFS(Disbursements!$W:$W,Disbursements!$B:$B,'Live Collections'!D3179,Disbursements!$D:$D,'Live Collections'!F3179)),O3179,IF($O3179=0,0,SUMIFS(Disbursements!$W:$W,Disbursements!$B:$B,'Live Collections'!D3179,Disbursements!$D:$D,'Live Collections'!F3179)))</f>
        <v>35000</v>
      </c>
      <c r="T3179" s="304">
        <f t="shared" si="149"/>
        <v>5000</v>
      </c>
      <c r="U3179" s="52"/>
      <c r="V3179" s="34"/>
      <c r="W3179" s="408"/>
    </row>
    <row r="3180" spans="1:23" ht="12.75" customHeight="1" x14ac:dyDescent="0.2">
      <c r="A3180" s="257">
        <v>3188</v>
      </c>
      <c r="B3180" s="44">
        <v>44613</v>
      </c>
      <c r="C3180" s="44">
        <f t="shared" si="150"/>
        <v>44613</v>
      </c>
      <c r="D3180" s="374">
        <v>73</v>
      </c>
      <c r="E3180" s="291" t="str">
        <f>IFERROR(VLOOKUP($D3180,'Clients-Live'!$A:$C,3,0),"")</f>
        <v>AJONYE DEBORA</v>
      </c>
      <c r="F3180" s="291">
        <f>IFERROR(INDEX(Disbursements!$D:$D,MATCH('Live Collections'!G3180,Disbursements!$C:$C,0)),"")</f>
        <v>3</v>
      </c>
      <c r="G3180" s="34">
        <v>426</v>
      </c>
      <c r="H3180" s="34">
        <v>4879</v>
      </c>
      <c r="I3180" s="34" t="s">
        <v>1357</v>
      </c>
      <c r="J3180" s="48"/>
      <c r="K3180" s="48"/>
      <c r="L3180" s="48"/>
      <c r="M3180" s="48"/>
      <c r="N3180" s="59"/>
      <c r="O3180" s="59">
        <v>53000</v>
      </c>
      <c r="P3180" s="59"/>
      <c r="Q3180" s="268">
        <f t="shared" si="148"/>
        <v>53000</v>
      </c>
      <c r="R3180" s="61">
        <f>IF(O3180=0,0,SUMIFS(Disbursements!$T:$T,Disbursements!$B:$B,'Live Collections'!D3180,Disbursements!$D:$D,'Live Collections'!F3180))</f>
        <v>53000</v>
      </c>
      <c r="S3180" s="304">
        <f>IF(O3180&lt;=IF($O3180=0,0,SUMIFS(Disbursements!$W:$W,Disbursements!$B:$B,'Live Collections'!D3180,Disbursements!$D:$D,'Live Collections'!F3180)),O3180,IF($O3180=0,0,SUMIFS(Disbursements!$W:$W,Disbursements!$B:$B,'Live Collections'!D3180,Disbursements!$D:$D,'Live Collections'!F3180)))</f>
        <v>13000</v>
      </c>
      <c r="T3180" s="304">
        <f t="shared" si="149"/>
        <v>40000</v>
      </c>
      <c r="U3180" s="52"/>
      <c r="V3180" s="34"/>
      <c r="W3180" s="408"/>
    </row>
    <row r="3181" spans="1:23" ht="12.75" customHeight="1" x14ac:dyDescent="0.2">
      <c r="A3181" s="257">
        <v>3189</v>
      </c>
      <c r="B3181" s="44">
        <v>44613</v>
      </c>
      <c r="C3181" s="44">
        <f t="shared" si="150"/>
        <v>44613</v>
      </c>
      <c r="D3181" s="374">
        <v>52</v>
      </c>
      <c r="E3181" s="291" t="str">
        <f>IFERROR(VLOOKUP($D3181,'Clients-Live'!$A:$C,3,0),"")</f>
        <v>EDEZU PEACE IRENE</v>
      </c>
      <c r="F3181" s="291">
        <f>IFERROR(INDEX(Disbursements!$D:$D,MATCH('Live Collections'!G3181,Disbursements!$C:$C,0)),"")</f>
        <v>2</v>
      </c>
      <c r="G3181" s="34">
        <v>275</v>
      </c>
      <c r="H3181" s="34">
        <v>4875</v>
      </c>
      <c r="I3181" s="34" t="s">
        <v>1357</v>
      </c>
      <c r="J3181" s="48"/>
      <c r="K3181" s="48"/>
      <c r="L3181" s="48"/>
      <c r="M3181" s="48"/>
      <c r="N3181" s="59"/>
      <c r="O3181" s="59">
        <v>20000</v>
      </c>
      <c r="P3181" s="59"/>
      <c r="Q3181" s="268">
        <f t="shared" si="148"/>
        <v>20000</v>
      </c>
      <c r="R3181" s="61">
        <f>IF(O3181=0,0,SUMIFS(Disbursements!$T:$T,Disbursements!$B:$B,'Live Collections'!D3181,Disbursements!$D:$D,'Live Collections'!F3181))</f>
        <v>150000</v>
      </c>
      <c r="S3181" s="304"/>
      <c r="T3181" s="304">
        <f t="shared" si="149"/>
        <v>20000</v>
      </c>
      <c r="U3181" s="52"/>
      <c r="V3181" s="34"/>
      <c r="W3181" s="408"/>
    </row>
    <row r="3182" spans="1:23" ht="12.75" customHeight="1" x14ac:dyDescent="0.2">
      <c r="A3182" s="257">
        <v>3190</v>
      </c>
      <c r="B3182" s="44">
        <v>44613</v>
      </c>
      <c r="C3182" s="44">
        <f t="shared" si="150"/>
        <v>44613</v>
      </c>
      <c r="D3182" s="374">
        <v>116</v>
      </c>
      <c r="E3182" s="291" t="str">
        <f>IFERROR(VLOOKUP($D3182,'Clients-Live'!$A:$C,3,0),"")</f>
        <v>ONZIA LUCY</v>
      </c>
      <c r="F3182" s="291">
        <f>IFERROR(INDEX(Disbursements!$D:$D,MATCH('Live Collections'!G3182,Disbursements!$C:$C,0)),"")</f>
        <v>3</v>
      </c>
      <c r="G3182" s="34">
        <v>361</v>
      </c>
      <c r="H3182" s="34">
        <v>4874</v>
      </c>
      <c r="I3182" s="34" t="s">
        <v>1357</v>
      </c>
      <c r="J3182" s="48"/>
      <c r="K3182" s="48"/>
      <c r="L3182" s="48"/>
      <c r="M3182" s="48"/>
      <c r="N3182" s="59"/>
      <c r="O3182" s="59">
        <v>24000</v>
      </c>
      <c r="P3182" s="59"/>
      <c r="Q3182" s="268">
        <f t="shared" ref="Q3182:Q3245" si="151">SUM(J3182:P3182)</f>
        <v>24000</v>
      </c>
      <c r="R3182" s="61">
        <f>IF(O3182=0,0,SUMIFS(Disbursements!$T:$T,Disbursements!$B:$B,'Live Collections'!D3182,Disbursements!$D:$D,'Live Collections'!F3182))</f>
        <v>120000</v>
      </c>
      <c r="S3182" s="304">
        <v>7000</v>
      </c>
      <c r="T3182" s="304">
        <f t="shared" si="149"/>
        <v>17000</v>
      </c>
      <c r="U3182" s="52"/>
      <c r="V3182" s="34"/>
      <c r="W3182" s="408"/>
    </row>
    <row r="3183" spans="1:23" ht="12.75" customHeight="1" x14ac:dyDescent="0.2">
      <c r="A3183" s="257">
        <v>3191</v>
      </c>
      <c r="B3183" s="44">
        <v>44613</v>
      </c>
      <c r="C3183" s="44">
        <f t="shared" si="150"/>
        <v>44613</v>
      </c>
      <c r="D3183" s="374">
        <v>238</v>
      </c>
      <c r="E3183" s="291" t="str">
        <f>IFERROR(VLOOKUP($D3183,'Clients-Live'!$A:$C,3,0),"")</f>
        <v>ANGAIKA SAID</v>
      </c>
      <c r="F3183" s="291">
        <f>IFERROR(INDEX(Disbursements!$D:$D,MATCH('Live Collections'!G3183,Disbursements!$C:$C,0)),"")</f>
        <v>2</v>
      </c>
      <c r="G3183" s="34">
        <v>441</v>
      </c>
      <c r="H3183" s="34">
        <v>4880</v>
      </c>
      <c r="I3183" s="34" t="s">
        <v>1359</v>
      </c>
      <c r="J3183" s="48"/>
      <c r="K3183" s="48"/>
      <c r="L3183" s="48"/>
      <c r="M3183" s="48"/>
      <c r="N3183" s="59"/>
      <c r="O3183" s="59">
        <v>25000</v>
      </c>
      <c r="P3183" s="59"/>
      <c r="Q3183" s="268">
        <f t="shared" si="151"/>
        <v>25000</v>
      </c>
      <c r="R3183" s="61">
        <f>IF(O3183=0,0,SUMIFS(Disbursements!$T:$T,Disbursements!$B:$B,'Live Collections'!D3183,Disbursements!$D:$D,'Live Collections'!F3183))</f>
        <v>41000</v>
      </c>
      <c r="S3183" s="304">
        <f>IF(O3183&lt;=IF($O3183=0,0,SUMIFS(Disbursements!$W:$W,Disbursements!$B:$B,'Live Collections'!D3183,Disbursements!$D:$D,'Live Collections'!F3183)),O3183,IF($O3183=0,0,SUMIFS(Disbursements!$W:$W,Disbursements!$B:$B,'Live Collections'!D3183,Disbursements!$D:$D,'Live Collections'!F3183)))</f>
        <v>11833.333333333332</v>
      </c>
      <c r="T3183" s="304">
        <f t="shared" si="149"/>
        <v>13166.666666666668</v>
      </c>
      <c r="U3183" s="52"/>
      <c r="V3183" s="34"/>
      <c r="W3183" s="408"/>
    </row>
    <row r="3184" spans="1:23" ht="12.75" customHeight="1" x14ac:dyDescent="0.2">
      <c r="A3184" s="257">
        <v>3192</v>
      </c>
      <c r="B3184" s="44">
        <v>44613</v>
      </c>
      <c r="C3184" s="44">
        <f t="shared" si="150"/>
        <v>44613</v>
      </c>
      <c r="D3184" s="374">
        <v>85</v>
      </c>
      <c r="E3184" s="291" t="str">
        <f>IFERROR(VLOOKUP($D3184,'Clients-Live'!$A:$C,3,0),"")</f>
        <v>CEASER SWALEH</v>
      </c>
      <c r="F3184" s="291">
        <f>IFERROR(INDEX(Disbursements!$D:$D,MATCH('Live Collections'!G3184,Disbursements!$C:$C,0)),"")</f>
        <v>3</v>
      </c>
      <c r="G3184" s="34">
        <v>413</v>
      </c>
      <c r="H3184" s="34">
        <v>4876</v>
      </c>
      <c r="I3184" s="34" t="s">
        <v>1357</v>
      </c>
      <c r="J3184" s="48"/>
      <c r="K3184" s="48"/>
      <c r="L3184" s="48"/>
      <c r="M3184" s="48"/>
      <c r="N3184" s="59"/>
      <c r="O3184" s="59">
        <v>110000</v>
      </c>
      <c r="P3184" s="59"/>
      <c r="Q3184" s="268">
        <f t="shared" si="151"/>
        <v>110000</v>
      </c>
      <c r="R3184" s="61">
        <f>IF(O3184=0,0,SUMIFS(Disbursements!$T:$T,Disbursements!$B:$B,'Live Collections'!D3184,Disbursements!$D:$D,'Live Collections'!F3184))</f>
        <v>788000</v>
      </c>
      <c r="S3184" s="304">
        <f>IF(O3184&lt;=IF($O3184=0,0,SUMIFS(Disbursements!$W:$W,Disbursements!$B:$B,'Live Collections'!D3184,Disbursements!$D:$D,'Live Collections'!F3184)),O3184,IF($O3184=0,0,SUMIFS(Disbursements!$W:$W,Disbursements!$B:$B,'Live Collections'!D3184,Disbursements!$D:$D,'Live Collections'!F3184)))</f>
        <v>110000</v>
      </c>
      <c r="T3184" s="304">
        <f t="shared" si="149"/>
        <v>0</v>
      </c>
      <c r="U3184" s="52"/>
      <c r="V3184" s="34"/>
      <c r="W3184" s="408"/>
    </row>
    <row r="3185" spans="1:23" ht="12.75" customHeight="1" x14ac:dyDescent="0.2">
      <c r="A3185" s="257">
        <v>3193</v>
      </c>
      <c r="B3185" s="44">
        <v>44613</v>
      </c>
      <c r="C3185" s="44">
        <f t="shared" si="150"/>
        <v>44613</v>
      </c>
      <c r="D3185" s="374">
        <v>177</v>
      </c>
      <c r="E3185" s="291" t="str">
        <f>IFERROR(VLOOKUP($D3185,'Clients-Live'!$A:$C,3,0),"")</f>
        <v>EFIT GIFT</v>
      </c>
      <c r="F3185" s="291">
        <f>IFERROR(INDEX(Disbursements!$D:$D,MATCH('Live Collections'!G3185,Disbursements!$C:$C,0)),"")</f>
        <v>1</v>
      </c>
      <c r="G3185" s="34">
        <v>183</v>
      </c>
      <c r="H3185" s="34">
        <v>4877</v>
      </c>
      <c r="I3185" s="34" t="s">
        <v>1358</v>
      </c>
      <c r="J3185" s="48"/>
      <c r="K3185" s="48"/>
      <c r="L3185" s="48"/>
      <c r="M3185" s="48"/>
      <c r="N3185" s="59"/>
      <c r="O3185" s="59">
        <v>100000</v>
      </c>
      <c r="P3185" s="59"/>
      <c r="Q3185" s="268">
        <f t="shared" si="151"/>
        <v>100000</v>
      </c>
      <c r="R3185" s="61">
        <f>IF(O3185=0,0,SUMIFS(Disbursements!$T:$T,Disbursements!$B:$B,'Live Collections'!D3185,Disbursements!$D:$D,'Live Collections'!F3185))</f>
        <v>109000</v>
      </c>
      <c r="S3185" s="304">
        <f>IF(O3185&lt;=IF($O3185=0,0,SUMIFS(Disbursements!$W:$W,Disbursements!$B:$B,'Live Collections'!D3185,Disbursements!$D:$D,'Live Collections'!F3185)),O3185,IF($O3185=0,0,SUMIFS(Disbursements!$W:$W,Disbursements!$B:$B,'Live Collections'!D3185,Disbursements!$D:$D,'Live Collections'!F3185)))</f>
        <v>25666.666666666672</v>
      </c>
      <c r="T3185" s="304">
        <f t="shared" si="149"/>
        <v>74333.333333333328</v>
      </c>
      <c r="U3185" s="52"/>
      <c r="V3185" s="34"/>
      <c r="W3185" s="408"/>
    </row>
    <row r="3186" spans="1:23" ht="12.75" customHeight="1" x14ac:dyDescent="0.2">
      <c r="A3186" s="257">
        <v>3194</v>
      </c>
      <c r="B3186" s="44">
        <v>44613</v>
      </c>
      <c r="C3186" s="44">
        <f t="shared" si="150"/>
        <v>44613</v>
      </c>
      <c r="D3186" s="374">
        <v>71</v>
      </c>
      <c r="E3186" s="291" t="str">
        <f>IFERROR(VLOOKUP($D3186,'Clients-Live'!$A:$C,3,0),"")</f>
        <v>AYIKORU HARIET BAUDI</v>
      </c>
      <c r="F3186" s="291">
        <f>IFERROR(INDEX(Disbursements!$D:$D,MATCH('Live Collections'!G3186,Disbursements!$C:$C,0)),"")</f>
        <v>3</v>
      </c>
      <c r="G3186" s="34">
        <v>437</v>
      </c>
      <c r="H3186" s="34">
        <v>4871</v>
      </c>
      <c r="I3186" s="34" t="s">
        <v>1359</v>
      </c>
      <c r="J3186" s="48"/>
      <c r="K3186" s="48"/>
      <c r="L3186" s="48"/>
      <c r="M3186" s="48"/>
      <c r="N3186" s="59"/>
      <c r="O3186" s="59"/>
      <c r="P3186" s="59">
        <v>400000</v>
      </c>
      <c r="Q3186" s="268">
        <f t="shared" si="151"/>
        <v>400000</v>
      </c>
      <c r="R3186" s="61">
        <f>IF(O3186=0,0,SUMIFS(Disbursements!$T:$T,Disbursements!$B:$B,'Live Collections'!D3186,Disbursements!$D:$D,'Live Collections'!F3186))</f>
        <v>0</v>
      </c>
      <c r="S3186" s="304">
        <f>IF(O3186&lt;=IF($O3186=0,0,SUMIFS(Disbursements!$W:$W,Disbursements!$B:$B,'Live Collections'!D3186,Disbursements!$D:$D,'Live Collections'!F3186)),O3186,IF($O3186=0,0,SUMIFS(Disbursements!$W:$W,Disbursements!$B:$B,'Live Collections'!D3186,Disbursements!$D:$D,'Live Collections'!F3186)))</f>
        <v>0</v>
      </c>
      <c r="T3186" s="304">
        <f t="shared" si="149"/>
        <v>0</v>
      </c>
      <c r="U3186" s="52"/>
      <c r="V3186" s="34"/>
      <c r="W3186" s="408"/>
    </row>
    <row r="3187" spans="1:23" ht="12.75" customHeight="1" x14ac:dyDescent="0.2">
      <c r="A3187" s="257">
        <v>3195</v>
      </c>
      <c r="B3187" s="44">
        <v>44613</v>
      </c>
      <c r="C3187" s="44">
        <f t="shared" si="150"/>
        <v>44613</v>
      </c>
      <c r="D3187" s="374">
        <v>77</v>
      </c>
      <c r="E3187" s="291" t="str">
        <f>IFERROR(VLOOKUP($D3187,'Clients-Live'!$A:$C,3,0),"")</f>
        <v>CACA FATUMA</v>
      </c>
      <c r="F3187" s="291">
        <f>IFERROR(INDEX(Disbursements!$D:$D,MATCH('Live Collections'!G3187,Disbursements!$C:$C,0)),"")</f>
        <v>2</v>
      </c>
      <c r="G3187" s="34">
        <v>315</v>
      </c>
      <c r="H3187" s="34">
        <v>4870</v>
      </c>
      <c r="I3187" s="34" t="s">
        <v>1357</v>
      </c>
      <c r="J3187" s="48"/>
      <c r="K3187" s="48"/>
      <c r="L3187" s="48"/>
      <c r="M3187" s="48"/>
      <c r="N3187" s="59"/>
      <c r="O3187" s="59">
        <v>45000</v>
      </c>
      <c r="P3187" s="59"/>
      <c r="Q3187" s="268">
        <f t="shared" si="151"/>
        <v>45000</v>
      </c>
      <c r="R3187" s="61">
        <f>IF(O3187=0,0,SUMIFS(Disbursements!$T:$T,Disbursements!$B:$B,'Live Collections'!D3187,Disbursements!$D:$D,'Live Collections'!F3187))</f>
        <v>325000</v>
      </c>
      <c r="S3187" s="304">
        <f>IF(O3187&lt;=IF($O3187=0,0,SUMIFS(Disbursements!$W:$W,Disbursements!$B:$B,'Live Collections'!D3187,Disbursements!$D:$D,'Live Collections'!F3187)),O3187,IF($O3187=0,0,SUMIFS(Disbursements!$W:$W,Disbursements!$B:$B,'Live Collections'!D3187,Disbursements!$D:$D,'Live Collections'!F3187)))</f>
        <v>45000</v>
      </c>
      <c r="T3187" s="304">
        <f t="shared" si="149"/>
        <v>0</v>
      </c>
      <c r="U3187" s="52"/>
      <c r="V3187" s="34"/>
      <c r="W3187" s="408"/>
    </row>
    <row r="3188" spans="1:23" ht="12.75" customHeight="1" x14ac:dyDescent="0.2">
      <c r="A3188" s="257">
        <v>3196</v>
      </c>
      <c r="B3188" s="44">
        <v>44613</v>
      </c>
      <c r="C3188" s="44">
        <f t="shared" si="150"/>
        <v>44613</v>
      </c>
      <c r="D3188" s="374">
        <v>128</v>
      </c>
      <c r="E3188" s="291" t="str">
        <f>IFERROR(VLOOKUP($D3188,'Clients-Live'!$A:$C,3,0),"")</f>
        <v>AJONYE BETTY</v>
      </c>
      <c r="F3188" s="291">
        <f>IFERROR(INDEX(Disbursements!$D:$D,MATCH('Live Collections'!G3188,Disbursements!$C:$C,0)),"")</f>
        <v>2</v>
      </c>
      <c r="G3188" s="34">
        <v>289</v>
      </c>
      <c r="H3188" s="34">
        <v>4600</v>
      </c>
      <c r="I3188" s="34" t="s">
        <v>1359</v>
      </c>
      <c r="J3188" s="48"/>
      <c r="K3188" s="48"/>
      <c r="L3188" s="48"/>
      <c r="M3188" s="48"/>
      <c r="N3188" s="59"/>
      <c r="O3188" s="59">
        <v>60000</v>
      </c>
      <c r="P3188" s="59"/>
      <c r="Q3188" s="268">
        <f t="shared" si="151"/>
        <v>60000</v>
      </c>
      <c r="R3188" s="61">
        <f>IF(O3188=0,0,SUMIFS(Disbursements!$T:$T,Disbursements!$B:$B,'Live Collections'!D3188,Disbursements!$D:$D,'Live Collections'!F3188))</f>
        <v>120000</v>
      </c>
      <c r="S3188" s="304"/>
      <c r="T3188" s="304">
        <f t="shared" si="149"/>
        <v>60000</v>
      </c>
      <c r="U3188" s="52"/>
      <c r="V3188" s="34"/>
      <c r="W3188" s="408"/>
    </row>
    <row r="3189" spans="1:23" ht="12.75" customHeight="1" x14ac:dyDescent="0.2">
      <c r="A3189" s="257">
        <v>3197</v>
      </c>
      <c r="B3189" s="44">
        <v>44621</v>
      </c>
      <c r="C3189" s="44">
        <f t="shared" si="150"/>
        <v>44621</v>
      </c>
      <c r="D3189" s="374">
        <v>126</v>
      </c>
      <c r="E3189" s="291" t="str">
        <f>IFERROR(VLOOKUP($D3189,'Clients-Live'!$A:$C,3,0),"")</f>
        <v>OGWAL STEPHEN GERALD</v>
      </c>
      <c r="F3189" s="291">
        <f>IFERROR(INDEX(Disbursements!$D:$D,MATCH('Live Collections'!G3189,Disbursements!$C:$C,0)),"")</f>
        <v>3</v>
      </c>
      <c r="G3189" s="34">
        <v>296</v>
      </c>
      <c r="H3189" s="34" t="s">
        <v>2129</v>
      </c>
      <c r="I3189" s="34" t="s">
        <v>1359</v>
      </c>
      <c r="J3189" s="48"/>
      <c r="K3189" s="48"/>
      <c r="L3189" s="48"/>
      <c r="M3189" s="48"/>
      <c r="N3189" s="59"/>
      <c r="O3189" s="59">
        <v>150000</v>
      </c>
      <c r="P3189" s="59">
        <v>-150000</v>
      </c>
      <c r="Q3189" s="268">
        <f t="shared" si="151"/>
        <v>0</v>
      </c>
      <c r="R3189" s="61">
        <f>IF(O3189=0,0,SUMIFS(Disbursements!$T:$T,Disbursements!$B:$B,'Live Collections'!D3189,Disbursements!$D:$D,'Live Collections'!F3189))</f>
        <v>613000</v>
      </c>
      <c r="S3189" s="304"/>
      <c r="T3189" s="304">
        <f t="shared" si="149"/>
        <v>150000</v>
      </c>
      <c r="U3189" s="52"/>
      <c r="V3189" s="34"/>
      <c r="W3189" s="408"/>
    </row>
    <row r="3190" spans="1:23" ht="12.75" customHeight="1" x14ac:dyDescent="0.2">
      <c r="A3190" s="257">
        <v>3198</v>
      </c>
      <c r="B3190" s="44">
        <v>44613</v>
      </c>
      <c r="C3190" s="44">
        <f t="shared" si="150"/>
        <v>44613</v>
      </c>
      <c r="D3190" s="374">
        <v>85</v>
      </c>
      <c r="E3190" s="291" t="str">
        <f>IFERROR(VLOOKUP($D3190,'Clients-Live'!$A:$C,3,0),"")</f>
        <v>CEASER SWALEH</v>
      </c>
      <c r="F3190" s="291">
        <f>IFERROR(INDEX(Disbursements!$D:$D,MATCH('Live Collections'!G3190,Disbursements!$C:$C,0)),"")</f>
        <v>2</v>
      </c>
      <c r="G3190" s="34">
        <v>119</v>
      </c>
      <c r="H3190" s="34"/>
      <c r="I3190" s="34" t="s">
        <v>1357</v>
      </c>
      <c r="J3190" s="48"/>
      <c r="K3190" s="48"/>
      <c r="L3190" s="48"/>
      <c r="M3190" s="48"/>
      <c r="N3190" s="59"/>
      <c r="O3190" s="59">
        <v>184000</v>
      </c>
      <c r="P3190" s="59">
        <v>-184000</v>
      </c>
      <c r="Q3190" s="268">
        <f t="shared" si="151"/>
        <v>0</v>
      </c>
      <c r="R3190" s="61">
        <f>IF(O3190=0,0,SUMIFS(Disbursements!$T:$T,Disbursements!$B:$B,'Live Collections'!D3190,Disbursements!$D:$D,'Live Collections'!F3190))</f>
        <v>434000</v>
      </c>
      <c r="S3190" s="304"/>
      <c r="T3190" s="304">
        <f t="shared" si="149"/>
        <v>184000</v>
      </c>
      <c r="U3190" s="52"/>
      <c r="V3190" s="34"/>
      <c r="W3190" s="408" t="s">
        <v>2109</v>
      </c>
    </row>
    <row r="3191" spans="1:23" ht="12.75" customHeight="1" x14ac:dyDescent="0.2">
      <c r="A3191" s="257">
        <v>3199</v>
      </c>
      <c r="B3191" s="44">
        <v>44613</v>
      </c>
      <c r="C3191" s="44">
        <f t="shared" si="150"/>
        <v>44613</v>
      </c>
      <c r="D3191" s="374">
        <v>86</v>
      </c>
      <c r="E3191" s="291" t="str">
        <f>IFERROR(VLOOKUP($D3191,'Clients-Live'!$A:$C,3,0),"")</f>
        <v>AMANIYO JOYCE</v>
      </c>
      <c r="F3191" s="291" t="str">
        <f>IFERROR(INDEX(Disbursements!$D:$D,MATCH('Live Collections'!G3191,Disbursements!$C:$C,0)),"")</f>
        <v/>
      </c>
      <c r="G3191" s="34"/>
      <c r="H3191" s="34"/>
      <c r="I3191" s="34" t="s">
        <v>1358</v>
      </c>
      <c r="J3191" s="48"/>
      <c r="K3191" s="48"/>
      <c r="L3191" s="48"/>
      <c r="M3191" s="48"/>
      <c r="N3191" s="59"/>
      <c r="O3191" s="59"/>
      <c r="P3191" s="59"/>
      <c r="Q3191" s="268">
        <f t="shared" si="151"/>
        <v>0</v>
      </c>
      <c r="R3191" s="61">
        <f>IF(O3191=0,0,SUMIFS(Disbursements!$T:$T,Disbursements!$B:$B,'Live Collections'!D3191,Disbursements!$D:$D,'Live Collections'!F3191))</f>
        <v>0</v>
      </c>
      <c r="S3191" s="304"/>
      <c r="T3191" s="304">
        <f t="shared" si="149"/>
        <v>0</v>
      </c>
      <c r="U3191" s="52"/>
      <c r="V3191" s="34"/>
      <c r="W3191" s="408" t="s">
        <v>2110</v>
      </c>
    </row>
    <row r="3192" spans="1:23" ht="12.75" customHeight="1" x14ac:dyDescent="0.2">
      <c r="A3192" s="257">
        <v>3200</v>
      </c>
      <c r="B3192" s="44">
        <v>44613</v>
      </c>
      <c r="C3192" s="44">
        <f t="shared" si="150"/>
        <v>44613</v>
      </c>
      <c r="D3192" s="374">
        <v>74</v>
      </c>
      <c r="E3192" s="291" t="str">
        <f>IFERROR(VLOOKUP($D3192,'Clients-Live'!$A:$C,3,0),"")</f>
        <v>YUKUWE AISHA</v>
      </c>
      <c r="F3192" s="291">
        <f>IFERROR(INDEX(Disbursements!$D:$D,MATCH('Live Collections'!G3192,Disbursements!$C:$C,0)),"")</f>
        <v>2</v>
      </c>
      <c r="G3192" s="34">
        <v>287</v>
      </c>
      <c r="H3192" s="34">
        <v>4894</v>
      </c>
      <c r="I3192" s="34" t="s">
        <v>1358</v>
      </c>
      <c r="J3192" s="48"/>
      <c r="K3192" s="48"/>
      <c r="L3192" s="48"/>
      <c r="M3192" s="48"/>
      <c r="N3192" s="59"/>
      <c r="O3192" s="59">
        <v>60000</v>
      </c>
      <c r="P3192" s="59"/>
      <c r="Q3192" s="268">
        <f t="shared" si="151"/>
        <v>60000</v>
      </c>
      <c r="R3192" s="61">
        <f>IF(O3192=0,0,SUMIFS(Disbursements!$T:$T,Disbursements!$B:$B,'Live Collections'!D3192,Disbursements!$D:$D,'Live Collections'!F3192))</f>
        <v>90000</v>
      </c>
      <c r="S3192" s="304"/>
      <c r="T3192" s="304">
        <f t="shared" si="149"/>
        <v>60000</v>
      </c>
      <c r="U3192" s="52"/>
      <c r="V3192" s="34"/>
      <c r="W3192" s="408"/>
    </row>
    <row r="3193" spans="1:23" ht="12.75" customHeight="1" x14ac:dyDescent="0.2">
      <c r="A3193" s="257">
        <v>3201</v>
      </c>
      <c r="B3193" s="44">
        <v>44614</v>
      </c>
      <c r="C3193" s="44">
        <f t="shared" si="150"/>
        <v>44614</v>
      </c>
      <c r="D3193" s="374">
        <v>143</v>
      </c>
      <c r="E3193" s="291" t="str">
        <f>IFERROR(VLOOKUP($D3193,'Clients-Live'!$A:$C,3,0),"")</f>
        <v>MORO HAKIM</v>
      </c>
      <c r="F3193" s="291">
        <f>IFERROR(INDEX(Disbursements!$D:$D,MATCH('Live Collections'!G3193,Disbursements!$C:$C,0)),"")</f>
        <v>2</v>
      </c>
      <c r="G3193" s="34">
        <v>318</v>
      </c>
      <c r="H3193" s="34">
        <v>4952</v>
      </c>
      <c r="I3193" s="34" t="s">
        <v>1357</v>
      </c>
      <c r="J3193" s="48"/>
      <c r="K3193" s="48"/>
      <c r="L3193" s="48"/>
      <c r="M3193" s="48"/>
      <c r="N3193" s="59"/>
      <c r="O3193" s="59">
        <v>200000</v>
      </c>
      <c r="P3193" s="59"/>
      <c r="Q3193" s="268">
        <f t="shared" si="151"/>
        <v>200000</v>
      </c>
      <c r="R3193" s="61">
        <f>IF(O3193=0,0,SUMIFS(Disbursements!$T:$T,Disbursements!$B:$B,'Live Collections'!D3193,Disbursements!$D:$D,'Live Collections'!F3193))</f>
        <v>1200000</v>
      </c>
      <c r="S3193" s="304">
        <f>IF(O3193&lt;=IF($O3193=0,0,SUMIFS(Disbursements!$W:$W,Disbursements!$B:$B,'Live Collections'!D3193,Disbursements!$D:$D,'Live Collections'!F3193)),O3193,IF($O3193=0,0,SUMIFS(Disbursements!$W:$W,Disbursements!$B:$B,'Live Collections'!D3193,Disbursements!$D:$D,'Live Collections'!F3193)))</f>
        <v>200000</v>
      </c>
      <c r="T3193" s="304">
        <f t="shared" ref="T3193:T3256" si="152">IF(O3193=0,0,O3193-S3193)</f>
        <v>0</v>
      </c>
      <c r="U3193" s="52"/>
      <c r="V3193" s="34"/>
      <c r="W3193" s="408"/>
    </row>
    <row r="3194" spans="1:23" ht="12.75" customHeight="1" x14ac:dyDescent="0.2">
      <c r="A3194" s="257">
        <v>3202</v>
      </c>
      <c r="B3194" s="44">
        <v>44614</v>
      </c>
      <c r="C3194" s="44">
        <f t="shared" si="150"/>
        <v>44614</v>
      </c>
      <c r="D3194" s="374">
        <v>217</v>
      </c>
      <c r="E3194" s="291" t="str">
        <f>IFERROR(VLOOKUP($D3194,'Clients-Live'!$A:$C,3,0),"")</f>
        <v>JAMBA MOSES</v>
      </c>
      <c r="F3194" s="291">
        <f>IFERROR(INDEX(Disbursements!$D:$D,MATCH('Live Collections'!G3194,Disbursements!$C:$C,0)),"")</f>
        <v>2</v>
      </c>
      <c r="G3194" s="34">
        <v>341</v>
      </c>
      <c r="H3194" s="34" t="s">
        <v>2112</v>
      </c>
      <c r="I3194" s="34" t="s">
        <v>1357</v>
      </c>
      <c r="J3194" s="48"/>
      <c r="K3194" s="48"/>
      <c r="L3194" s="48"/>
      <c r="M3194" s="48"/>
      <c r="N3194" s="59"/>
      <c r="O3194" s="59">
        <v>40000</v>
      </c>
      <c r="P3194" s="59">
        <v>-40000</v>
      </c>
      <c r="Q3194" s="268">
        <f t="shared" si="151"/>
        <v>0</v>
      </c>
      <c r="R3194" s="61">
        <f>IF(O3194=0,0,SUMIFS(Disbursements!$T:$T,Disbursements!$B:$B,'Live Collections'!D3194,Disbursements!$D:$D,'Live Collections'!F3194))</f>
        <v>154000</v>
      </c>
      <c r="S3194" s="304"/>
      <c r="T3194" s="304">
        <f t="shared" si="152"/>
        <v>40000</v>
      </c>
      <c r="U3194" s="52"/>
      <c r="V3194" s="34"/>
      <c r="W3194" s="408"/>
    </row>
    <row r="3195" spans="1:23" ht="12.75" customHeight="1" x14ac:dyDescent="0.2">
      <c r="A3195" s="257">
        <v>3203</v>
      </c>
      <c r="B3195" s="44">
        <v>44614</v>
      </c>
      <c r="C3195" s="44">
        <f t="shared" si="150"/>
        <v>44614</v>
      </c>
      <c r="D3195" s="374">
        <v>217</v>
      </c>
      <c r="E3195" s="291" t="str">
        <f>IFERROR(VLOOKUP($D3195,'Clients-Live'!$A:$C,3,0),"")</f>
        <v>JAMBA MOSES</v>
      </c>
      <c r="F3195" s="291">
        <f>IFERROR(INDEX(Disbursements!$D:$D,MATCH('Live Collections'!G3195,Disbursements!$C:$C,0)),"")</f>
        <v>2</v>
      </c>
      <c r="G3195" s="34">
        <v>341</v>
      </c>
      <c r="H3195" s="34">
        <v>4899</v>
      </c>
      <c r="I3195" s="34" t="s">
        <v>1357</v>
      </c>
      <c r="J3195" s="48"/>
      <c r="K3195" s="48"/>
      <c r="L3195" s="48"/>
      <c r="M3195" s="48"/>
      <c r="N3195" s="59"/>
      <c r="O3195" s="59">
        <v>36400</v>
      </c>
      <c r="P3195" s="59"/>
      <c r="Q3195" s="268">
        <f t="shared" si="151"/>
        <v>36400</v>
      </c>
      <c r="R3195" s="61">
        <f>IF(O3195=0,0,SUMIFS(Disbursements!$T:$T,Disbursements!$B:$B,'Live Collections'!D3195,Disbursements!$D:$D,'Live Collections'!F3195))</f>
        <v>154000</v>
      </c>
      <c r="S3195" s="304"/>
      <c r="T3195" s="304">
        <f t="shared" si="152"/>
        <v>36400</v>
      </c>
      <c r="U3195" s="52"/>
      <c r="V3195" s="34"/>
      <c r="W3195" s="408"/>
    </row>
    <row r="3196" spans="1:23" ht="12.75" customHeight="1" x14ac:dyDescent="0.2">
      <c r="A3196" s="257">
        <v>3204</v>
      </c>
      <c r="B3196" s="44">
        <v>44614</v>
      </c>
      <c r="C3196" s="44">
        <f t="shared" si="150"/>
        <v>44614</v>
      </c>
      <c r="D3196" s="374">
        <v>218</v>
      </c>
      <c r="E3196" s="291" t="str">
        <f>IFERROR(VLOOKUP($D3196,'Clients-Live'!$A:$C,3,0),"")</f>
        <v>BUSURA OMAR</v>
      </c>
      <c r="F3196" s="291">
        <f>IFERROR(INDEX(Disbursements!$D:$D,MATCH('Live Collections'!G3196,Disbursements!$C:$C,0)),"")</f>
        <v>1</v>
      </c>
      <c r="G3196" s="34">
        <v>223</v>
      </c>
      <c r="H3196" s="34">
        <v>4898</v>
      </c>
      <c r="I3196" s="34" t="s">
        <v>1357</v>
      </c>
      <c r="J3196" s="48"/>
      <c r="K3196" s="48"/>
      <c r="L3196" s="48"/>
      <c r="M3196" s="48"/>
      <c r="N3196" s="59"/>
      <c r="O3196" s="59">
        <v>100000</v>
      </c>
      <c r="P3196" s="59"/>
      <c r="Q3196" s="268">
        <f t="shared" si="151"/>
        <v>100000</v>
      </c>
      <c r="R3196" s="61">
        <f>IF(O3196=0,0,SUMIFS(Disbursements!$T:$T,Disbursements!$B:$B,'Live Collections'!D3196,Disbursements!$D:$D,'Live Collections'!F3196))</f>
        <v>325000</v>
      </c>
      <c r="S3196" s="304">
        <f>IF(O3196&lt;=IF($O3196=0,0,SUMIFS(Disbursements!$W:$W,Disbursements!$B:$B,'Live Collections'!D3196,Disbursements!$D:$D,'Live Collections'!F3196)),O3196,IF($O3196=0,0,SUMIFS(Disbursements!$W:$W,Disbursements!$B:$B,'Live Collections'!D3196,Disbursements!$D:$D,'Live Collections'!F3196)))</f>
        <v>75000</v>
      </c>
      <c r="T3196" s="304">
        <f t="shared" si="152"/>
        <v>25000</v>
      </c>
      <c r="U3196" s="52"/>
      <c r="V3196" s="34"/>
      <c r="W3196" s="408"/>
    </row>
    <row r="3197" spans="1:23" ht="12.75" customHeight="1" x14ac:dyDescent="0.2">
      <c r="A3197" s="257">
        <v>3205</v>
      </c>
      <c r="B3197" s="44">
        <v>44614</v>
      </c>
      <c r="C3197" s="44">
        <f t="shared" si="150"/>
        <v>44614</v>
      </c>
      <c r="D3197" s="374">
        <v>175</v>
      </c>
      <c r="E3197" s="291" t="str">
        <f>IFERROR(VLOOKUP($D3197,'Clients-Live'!$A:$C,3,0),"")</f>
        <v>ZUBEDA WAIGA</v>
      </c>
      <c r="F3197" s="291">
        <f>IFERROR(INDEX(Disbursements!$D:$D,MATCH('Live Collections'!G3197,Disbursements!$C:$C,0)),"")</f>
        <v>2</v>
      </c>
      <c r="G3197" s="34">
        <v>433</v>
      </c>
      <c r="H3197" s="34">
        <v>4951</v>
      </c>
      <c r="I3197" s="34" t="s">
        <v>1358</v>
      </c>
      <c r="J3197" s="48"/>
      <c r="K3197" s="48"/>
      <c r="L3197" s="48"/>
      <c r="M3197" s="48"/>
      <c r="N3197" s="59"/>
      <c r="O3197" s="59">
        <v>50000</v>
      </c>
      <c r="P3197" s="59"/>
      <c r="Q3197" s="268">
        <f t="shared" si="151"/>
        <v>50000</v>
      </c>
      <c r="R3197" s="61">
        <f>IF(O3197=0,0,SUMIFS(Disbursements!$T:$T,Disbursements!$B:$B,'Live Collections'!D3197,Disbursements!$D:$D,'Live Collections'!F3197))</f>
        <v>40000</v>
      </c>
      <c r="S3197" s="304">
        <f>IF(O3197&lt;=IF($O3197=0,0,SUMIFS(Disbursements!$W:$W,Disbursements!$B:$B,'Live Collections'!D3197,Disbursements!$D:$D,'Live Collections'!F3197)),O3197,IF($O3197=0,0,SUMIFS(Disbursements!$W:$W,Disbursements!$B:$B,'Live Collections'!D3197,Disbursements!$D:$D,'Live Collections'!F3197)))</f>
        <v>2500</v>
      </c>
      <c r="T3197" s="304">
        <f t="shared" si="152"/>
        <v>47500</v>
      </c>
      <c r="U3197" s="52"/>
      <c r="V3197" s="34"/>
      <c r="W3197" s="408"/>
    </row>
    <row r="3198" spans="1:23" ht="12.75" customHeight="1" x14ac:dyDescent="0.2">
      <c r="A3198" s="257">
        <v>3206</v>
      </c>
      <c r="B3198" s="44">
        <v>44614</v>
      </c>
      <c r="C3198" s="44">
        <f t="shared" si="150"/>
        <v>44614</v>
      </c>
      <c r="D3198" s="374">
        <v>89</v>
      </c>
      <c r="E3198" s="291" t="str">
        <f>IFERROR(VLOOKUP($D3198,'Clients-Live'!$A:$C,3,0),"")</f>
        <v>ANDA FLORENCE</v>
      </c>
      <c r="F3198" s="291">
        <f>IFERROR(INDEX(Disbursements!$D:$D,MATCH('Live Collections'!G3198,Disbursements!$C:$C,0)),"")</f>
        <v>2</v>
      </c>
      <c r="G3198" s="34">
        <v>356</v>
      </c>
      <c r="H3198" s="34">
        <v>4897</v>
      </c>
      <c r="I3198" s="34" t="s">
        <v>1359</v>
      </c>
      <c r="J3198" s="48"/>
      <c r="K3198" s="48"/>
      <c r="L3198" s="48"/>
      <c r="M3198" s="48"/>
      <c r="N3198" s="59"/>
      <c r="O3198" s="59">
        <v>200000</v>
      </c>
      <c r="P3198" s="59"/>
      <c r="Q3198" s="268">
        <f t="shared" si="151"/>
        <v>200000</v>
      </c>
      <c r="R3198" s="61">
        <f>IF(O3198=0,0,SUMIFS(Disbursements!$T:$T,Disbursements!$B:$B,'Live Collections'!D3198,Disbursements!$D:$D,'Live Collections'!F3198))</f>
        <v>210000</v>
      </c>
      <c r="S3198" s="304">
        <f>IF(O3198&lt;=IF($O3198=0,0,SUMIFS(Disbursements!$W:$W,Disbursements!$B:$B,'Live Collections'!D3198,Disbursements!$D:$D,'Live Collections'!F3198)),O3198,IF($O3198=0,0,SUMIFS(Disbursements!$W:$W,Disbursements!$B:$B,'Live Collections'!D3198,Disbursements!$D:$D,'Live Collections'!F3198)))</f>
        <v>35000</v>
      </c>
      <c r="T3198" s="304">
        <f t="shared" si="152"/>
        <v>165000</v>
      </c>
      <c r="U3198" s="52"/>
      <c r="V3198" s="34"/>
      <c r="W3198" s="408"/>
    </row>
    <row r="3199" spans="1:23" ht="12.75" customHeight="1" x14ac:dyDescent="0.2">
      <c r="A3199" s="257">
        <v>3207</v>
      </c>
      <c r="B3199" s="44">
        <v>44615</v>
      </c>
      <c r="C3199" s="44">
        <f t="shared" ref="C3199:C3262" si="153">B3199</f>
        <v>44615</v>
      </c>
      <c r="D3199" s="374">
        <v>56</v>
      </c>
      <c r="E3199" s="291" t="str">
        <f>IFERROR(VLOOKUP($D3199,'Clients-Live'!$A:$C,3,0),"")</f>
        <v>ALOMO ZABIBU</v>
      </c>
      <c r="F3199" s="291">
        <f>IFERROR(INDEX(Disbursements!$D:$D,MATCH('Live Collections'!G3199,Disbursements!$C:$C,0)),"")</f>
        <v>3</v>
      </c>
      <c r="G3199" s="34">
        <v>376</v>
      </c>
      <c r="H3199" s="34">
        <v>4956</v>
      </c>
      <c r="I3199" s="34" t="s">
        <v>1357</v>
      </c>
      <c r="J3199" s="48"/>
      <c r="K3199" s="48"/>
      <c r="L3199" s="48"/>
      <c r="M3199" s="48"/>
      <c r="N3199" s="59"/>
      <c r="O3199" s="59">
        <v>100000</v>
      </c>
      <c r="P3199" s="59"/>
      <c r="Q3199" s="268">
        <f t="shared" si="151"/>
        <v>100000</v>
      </c>
      <c r="R3199" s="61">
        <f>IF(O3199=0,0,SUMIFS(Disbursements!$T:$T,Disbursements!$B:$B,'Live Collections'!D3199,Disbursements!$D:$D,'Live Collections'!F3199))</f>
        <v>125000</v>
      </c>
      <c r="S3199" s="304">
        <f>IF(O3199&lt;=IF($O3199=0,0,SUMIFS(Disbursements!$W:$W,Disbursements!$B:$B,'Live Collections'!D3199,Disbursements!$D:$D,'Live Collections'!F3199)),O3199,IF($O3199=0,0,SUMIFS(Disbursements!$W:$W,Disbursements!$B:$B,'Live Collections'!D3199,Disbursements!$D:$D,'Live Collections'!F3199)))</f>
        <v>25000</v>
      </c>
      <c r="T3199" s="304">
        <f t="shared" si="152"/>
        <v>75000</v>
      </c>
      <c r="U3199" s="52"/>
      <c r="V3199" s="34"/>
      <c r="W3199" s="408"/>
    </row>
    <row r="3200" spans="1:23" ht="12.75" customHeight="1" x14ac:dyDescent="0.2">
      <c r="A3200" s="257">
        <v>3208</v>
      </c>
      <c r="B3200" s="44">
        <v>44615</v>
      </c>
      <c r="C3200" s="44">
        <f t="shared" si="153"/>
        <v>44615</v>
      </c>
      <c r="D3200" s="374">
        <v>57</v>
      </c>
      <c r="E3200" s="291" t="str">
        <f>IFERROR(VLOOKUP($D3200,'Clients-Live'!$A:$C,3,0),"")</f>
        <v>ASERU SCOVIA</v>
      </c>
      <c r="F3200" s="291">
        <f>IFERROR(INDEX(Disbursements!$D:$D,MATCH('Live Collections'!G3200,Disbursements!$C:$C,0)),"")</f>
        <v>1</v>
      </c>
      <c r="G3200" s="34">
        <v>41</v>
      </c>
      <c r="H3200" s="34">
        <v>4955</v>
      </c>
      <c r="I3200" s="34" t="s">
        <v>1359</v>
      </c>
      <c r="J3200" s="48"/>
      <c r="K3200" s="48"/>
      <c r="L3200" s="48"/>
      <c r="M3200" s="48"/>
      <c r="N3200" s="59"/>
      <c r="O3200" s="59">
        <v>10000</v>
      </c>
      <c r="P3200" s="59"/>
      <c r="Q3200" s="268">
        <f t="shared" si="151"/>
        <v>10000</v>
      </c>
      <c r="R3200" s="61">
        <f>IF(O3200=0,0,SUMIFS(Disbursements!$T:$T,Disbursements!$B:$B,'Live Collections'!D3200,Disbursements!$D:$D,'Live Collections'!F3200))</f>
        <v>60000</v>
      </c>
      <c r="S3200" s="304">
        <f>IF(O3200&lt;=IF($O3200=0,0,SUMIFS(Disbursements!$W:$W,Disbursements!$B:$B,'Live Collections'!D3200,Disbursements!$D:$D,'Live Collections'!F3200)),O3200,IF($O3200=0,0,SUMIFS(Disbursements!$W:$W,Disbursements!$B:$B,'Live Collections'!D3200,Disbursements!$D:$D,'Live Collections'!F3200)))</f>
        <v>10000</v>
      </c>
      <c r="T3200" s="304">
        <f t="shared" si="152"/>
        <v>0</v>
      </c>
      <c r="U3200" s="52"/>
      <c r="V3200" s="34"/>
      <c r="W3200" s="408"/>
    </row>
    <row r="3201" spans="1:23" ht="12.75" customHeight="1" x14ac:dyDescent="0.2">
      <c r="A3201" s="257">
        <v>3209</v>
      </c>
      <c r="B3201" s="44">
        <v>44615</v>
      </c>
      <c r="C3201" s="44">
        <f t="shared" si="153"/>
        <v>44615</v>
      </c>
      <c r="D3201" s="374">
        <v>61</v>
      </c>
      <c r="E3201" s="291" t="str">
        <f>IFERROR(VLOOKUP($D3201,'Clients-Live'!$A:$C,3,0),"")</f>
        <v>AREDU RUKIA</v>
      </c>
      <c r="F3201" s="291">
        <f>IFERROR(INDEX(Disbursements!$D:$D,MATCH('Live Collections'!G3201,Disbursements!$C:$C,0)),"")</f>
        <v>2</v>
      </c>
      <c r="G3201" s="34">
        <v>290</v>
      </c>
      <c r="H3201" s="34" t="s">
        <v>2113</v>
      </c>
      <c r="I3201" s="34" t="s">
        <v>1359</v>
      </c>
      <c r="J3201" s="48"/>
      <c r="K3201" s="48"/>
      <c r="L3201" s="48"/>
      <c r="M3201" s="48"/>
      <c r="N3201" s="59"/>
      <c r="O3201" s="59">
        <v>15000</v>
      </c>
      <c r="P3201" s="59">
        <v>-15000</v>
      </c>
      <c r="Q3201" s="268">
        <f t="shared" si="151"/>
        <v>0</v>
      </c>
      <c r="R3201" s="61">
        <f>IF(O3201=0,0,SUMIFS(Disbursements!$T:$T,Disbursements!$B:$B,'Live Collections'!D3201,Disbursements!$D:$D,'Live Collections'!F3201))</f>
        <v>90000</v>
      </c>
      <c r="S3201" s="304"/>
      <c r="T3201" s="304">
        <f t="shared" si="152"/>
        <v>15000</v>
      </c>
      <c r="U3201" s="52"/>
      <c r="V3201" s="34"/>
      <c r="W3201" s="408"/>
    </row>
    <row r="3202" spans="1:23" ht="12.75" customHeight="1" x14ac:dyDescent="0.2">
      <c r="A3202" s="257">
        <v>3210</v>
      </c>
      <c r="B3202" s="44">
        <v>44615</v>
      </c>
      <c r="C3202" s="44">
        <f t="shared" si="153"/>
        <v>44615</v>
      </c>
      <c r="D3202" s="374">
        <v>61</v>
      </c>
      <c r="E3202" s="291" t="str">
        <f>IFERROR(VLOOKUP($D3202,'Clients-Live'!$A:$C,3,0),"")</f>
        <v>AREDU RUKIA</v>
      </c>
      <c r="F3202" s="291">
        <f>IFERROR(INDEX(Disbursements!$D:$D,MATCH('Live Collections'!G3202,Disbursements!$C:$C,0)),"")</f>
        <v>2</v>
      </c>
      <c r="G3202" s="34">
        <v>290</v>
      </c>
      <c r="H3202" s="34">
        <v>4913</v>
      </c>
      <c r="I3202" s="34" t="s">
        <v>1359</v>
      </c>
      <c r="J3202" s="48"/>
      <c r="K3202" s="48"/>
      <c r="L3202" s="48"/>
      <c r="M3202" s="48"/>
      <c r="N3202" s="59"/>
      <c r="O3202" s="59">
        <v>60000</v>
      </c>
      <c r="P3202" s="59"/>
      <c r="Q3202" s="268">
        <f t="shared" si="151"/>
        <v>60000</v>
      </c>
      <c r="R3202" s="61">
        <f>IF(O3202=0,0,SUMIFS(Disbursements!$T:$T,Disbursements!$B:$B,'Live Collections'!D3202,Disbursements!$D:$D,'Live Collections'!F3202))</f>
        <v>90000</v>
      </c>
      <c r="S3202" s="304"/>
      <c r="T3202" s="304">
        <f t="shared" si="152"/>
        <v>60000</v>
      </c>
      <c r="U3202" s="52"/>
      <c r="V3202" s="34"/>
      <c r="W3202" s="408"/>
    </row>
    <row r="3203" spans="1:23" ht="12.75" customHeight="1" x14ac:dyDescent="0.2">
      <c r="A3203" s="257">
        <v>3211</v>
      </c>
      <c r="B3203" s="44">
        <v>44615</v>
      </c>
      <c r="C3203" s="44">
        <f t="shared" si="153"/>
        <v>44615</v>
      </c>
      <c r="D3203" s="374">
        <v>138</v>
      </c>
      <c r="E3203" s="291" t="str">
        <f>IFERROR(VLOOKUP($D3203,'Clients-Live'!$A:$C,3,0),"")</f>
        <v>BEATRICE AMANDRU</v>
      </c>
      <c r="F3203" s="291">
        <f>IFERROR(INDEX(Disbursements!$D:$D,MATCH('Live Collections'!G3203,Disbursements!$C:$C,0)),"")</f>
        <v>4</v>
      </c>
      <c r="G3203" s="34">
        <v>442</v>
      </c>
      <c r="H3203" s="34">
        <v>4911</v>
      </c>
      <c r="I3203" s="34" t="s">
        <v>1357</v>
      </c>
      <c r="J3203" s="48"/>
      <c r="K3203" s="48"/>
      <c r="L3203" s="48"/>
      <c r="M3203" s="48"/>
      <c r="N3203" s="59"/>
      <c r="O3203" s="59"/>
      <c r="P3203" s="59">
        <v>100000</v>
      </c>
      <c r="Q3203" s="268">
        <f t="shared" si="151"/>
        <v>100000</v>
      </c>
      <c r="R3203" s="61">
        <f>IF(O3203=0,0,SUMIFS(Disbursements!$T:$T,Disbursements!$B:$B,'Live Collections'!D3203,Disbursements!$D:$D,'Live Collections'!F3203))</f>
        <v>0</v>
      </c>
      <c r="S3203" s="304">
        <f>IF(O3203&lt;=IF($O3203=0,0,SUMIFS(Disbursements!$W:$W,Disbursements!$B:$B,'Live Collections'!D3203,Disbursements!$D:$D,'Live Collections'!F3203)),O3203,IF($O3203=0,0,SUMIFS(Disbursements!$W:$W,Disbursements!$B:$B,'Live Collections'!D3203,Disbursements!$D:$D,'Live Collections'!F3203)))</f>
        <v>0</v>
      </c>
      <c r="T3203" s="304">
        <f t="shared" si="152"/>
        <v>0</v>
      </c>
      <c r="U3203" s="52"/>
      <c r="V3203" s="34"/>
      <c r="W3203" s="408"/>
    </row>
    <row r="3204" spans="1:23" ht="12.75" customHeight="1" x14ac:dyDescent="0.2">
      <c r="A3204" s="257">
        <v>3212</v>
      </c>
      <c r="B3204" s="44">
        <v>44615</v>
      </c>
      <c r="C3204" s="44">
        <f t="shared" si="153"/>
        <v>44615</v>
      </c>
      <c r="D3204" s="374">
        <v>138</v>
      </c>
      <c r="E3204" s="291" t="str">
        <f>IFERROR(VLOOKUP($D3204,'Clients-Live'!$A:$C,3,0),"")</f>
        <v>BEATRICE AMANDRU</v>
      </c>
      <c r="F3204" s="291" t="str">
        <f>IFERROR(INDEX(Disbursements!$D:$D,MATCH('Live Collections'!G3204,Disbursements!$C:$C,0)),"")</f>
        <v/>
      </c>
      <c r="G3204" s="34"/>
      <c r="H3204" s="34">
        <v>4910</v>
      </c>
      <c r="I3204" s="34" t="s">
        <v>1357</v>
      </c>
      <c r="J3204" s="48"/>
      <c r="K3204" s="48"/>
      <c r="L3204" s="48">
        <v>25000</v>
      </c>
      <c r="M3204" s="48">
        <v>5000</v>
      </c>
      <c r="N3204" s="59"/>
      <c r="O3204" s="59"/>
      <c r="P3204" s="59"/>
      <c r="Q3204" s="268">
        <f t="shared" si="151"/>
        <v>30000</v>
      </c>
      <c r="R3204" s="61">
        <f>IF(O3204=0,0,SUMIFS(Disbursements!$T:$T,Disbursements!$B:$B,'Live Collections'!D3204,Disbursements!$D:$D,'Live Collections'!F3204))</f>
        <v>0</v>
      </c>
      <c r="S3204" s="304">
        <f>IF(O3204&lt;=IF($O3204=0,0,SUMIFS(Disbursements!$W:$W,Disbursements!$B:$B,'Live Collections'!D3204,Disbursements!$D:$D,'Live Collections'!F3204)),O3204,IF($O3204=0,0,SUMIFS(Disbursements!$W:$W,Disbursements!$B:$B,'Live Collections'!D3204,Disbursements!$D:$D,'Live Collections'!F3204)))</f>
        <v>0</v>
      </c>
      <c r="T3204" s="304">
        <f t="shared" si="152"/>
        <v>0</v>
      </c>
      <c r="U3204" s="52"/>
      <c r="V3204" s="34"/>
      <c r="W3204" s="408"/>
    </row>
    <row r="3205" spans="1:23" ht="12.75" customHeight="1" x14ac:dyDescent="0.2">
      <c r="A3205" s="257">
        <v>3213</v>
      </c>
      <c r="B3205" s="44">
        <v>44615</v>
      </c>
      <c r="C3205" s="44">
        <f t="shared" si="153"/>
        <v>44615</v>
      </c>
      <c r="D3205" s="374">
        <v>3</v>
      </c>
      <c r="E3205" s="291" t="str">
        <f>IFERROR(VLOOKUP($D3205,'Clients-Live'!$A:$C,3,0),"")</f>
        <v>YEKA ARIJABU</v>
      </c>
      <c r="F3205" s="291">
        <f>IFERROR(INDEX(Disbursements!$D:$D,MATCH('Live Collections'!G3205,Disbursements!$C:$C,0)),"")</f>
        <v>1</v>
      </c>
      <c r="G3205" s="34">
        <v>227</v>
      </c>
      <c r="H3205" s="34">
        <v>4908</v>
      </c>
      <c r="I3205" s="34" t="s">
        <v>1357</v>
      </c>
      <c r="J3205" s="48"/>
      <c r="K3205" s="48"/>
      <c r="L3205" s="48"/>
      <c r="M3205" s="48"/>
      <c r="N3205" s="59"/>
      <c r="O3205" s="59">
        <v>100000</v>
      </c>
      <c r="P3205" s="59"/>
      <c r="Q3205" s="268">
        <f t="shared" si="151"/>
        <v>100000</v>
      </c>
      <c r="R3205" s="61">
        <f>IF(O3205=0,0,SUMIFS(Disbursements!$T:$T,Disbursements!$B:$B,'Live Collections'!D3205,Disbursements!$D:$D,'Live Collections'!F3205))</f>
        <v>325000</v>
      </c>
      <c r="S3205" s="304">
        <f>IF(O3205&lt;=IF($O3205=0,0,SUMIFS(Disbursements!$W:$W,Disbursements!$B:$B,'Live Collections'!D1833,Disbursements!$D:$D,'Live Collections'!F1833)),O3205,IF($O3205=0,0,SUMIFS(Disbursements!$W:$W,Disbursements!$B:$B,'Live Collections'!D1833,Disbursements!$D:$D,'Live Collections'!F1833)))</f>
        <v>15000</v>
      </c>
      <c r="T3205" s="304">
        <f t="shared" si="152"/>
        <v>85000</v>
      </c>
      <c r="U3205" s="52"/>
      <c r="V3205" s="34"/>
      <c r="W3205" s="408"/>
    </row>
    <row r="3206" spans="1:23" ht="12.75" customHeight="1" x14ac:dyDescent="0.2">
      <c r="A3206" s="257">
        <v>3214</v>
      </c>
      <c r="B3206" s="44">
        <v>44615</v>
      </c>
      <c r="C3206" s="44">
        <f t="shared" si="153"/>
        <v>44615</v>
      </c>
      <c r="D3206" s="374">
        <v>63</v>
      </c>
      <c r="E3206" s="291" t="str">
        <f>IFERROR(VLOOKUP($D3206,'Clients-Live'!$A:$C,3,0),"")</f>
        <v>AWURU KADARA</v>
      </c>
      <c r="F3206" s="291">
        <f>IFERROR(INDEX(Disbursements!$D:$D,MATCH('Live Collections'!G3206,Disbursements!$C:$C,0)),"")</f>
        <v>3</v>
      </c>
      <c r="G3206" s="34">
        <v>375</v>
      </c>
      <c r="H3206" s="34">
        <v>4954</v>
      </c>
      <c r="I3206" s="34" t="s">
        <v>1357</v>
      </c>
      <c r="J3206" s="48"/>
      <c r="K3206" s="48"/>
      <c r="L3206" s="48"/>
      <c r="M3206" s="48"/>
      <c r="N3206" s="59"/>
      <c r="O3206" s="59">
        <v>175000</v>
      </c>
      <c r="P3206" s="59"/>
      <c r="Q3206" s="268">
        <f t="shared" si="151"/>
        <v>175000</v>
      </c>
      <c r="R3206" s="61">
        <f>IF(O3206=0,0,SUMIFS(Disbursements!$T:$T,Disbursements!$B:$B,'Live Collections'!D3206,Disbursements!$D:$D,'Live Collections'!F3206))</f>
        <v>175000</v>
      </c>
      <c r="S3206" s="304">
        <f>IF(O3206&lt;=IF($O3206=0,0,SUMIFS(Disbursements!$W:$W,Disbursements!$B:$B,'Live Collections'!D3206,Disbursements!$D:$D,'Live Collections'!F3206)),O3206,IF($O3206=0,0,SUMIFS(Disbursements!$W:$W,Disbursements!$B:$B,'Live Collections'!D3206,Disbursements!$D:$D,'Live Collections'!F3206)))</f>
        <v>35000</v>
      </c>
      <c r="T3206" s="304">
        <f t="shared" si="152"/>
        <v>140000</v>
      </c>
      <c r="U3206" s="52"/>
      <c r="V3206" s="34"/>
      <c r="W3206" s="408"/>
    </row>
    <row r="3207" spans="1:23" ht="12.75" customHeight="1" x14ac:dyDescent="0.2">
      <c r="A3207" s="257">
        <v>3215</v>
      </c>
      <c r="B3207" s="44">
        <v>44615</v>
      </c>
      <c r="C3207" s="44">
        <f t="shared" si="153"/>
        <v>44615</v>
      </c>
      <c r="D3207" s="374">
        <v>238</v>
      </c>
      <c r="E3207" s="291" t="str">
        <f>IFERROR(VLOOKUP($D3207,'Clients-Live'!$A:$C,3,0),"")</f>
        <v>ANGAIKA SAID</v>
      </c>
      <c r="F3207" s="291">
        <f>IFERROR(INDEX(Disbursements!$D:$D,MATCH('Live Collections'!G3207,Disbursements!$C:$C,0)),"")</f>
        <v>2</v>
      </c>
      <c r="G3207" s="34">
        <v>441</v>
      </c>
      <c r="H3207" s="34">
        <v>4906</v>
      </c>
      <c r="I3207" s="34" t="s">
        <v>1359</v>
      </c>
      <c r="J3207" s="48"/>
      <c r="K3207" s="48"/>
      <c r="L3207" s="48"/>
      <c r="M3207" s="48"/>
      <c r="N3207" s="59"/>
      <c r="O3207" s="59"/>
      <c r="P3207" s="59">
        <v>70000</v>
      </c>
      <c r="Q3207" s="268">
        <f t="shared" si="151"/>
        <v>70000</v>
      </c>
      <c r="R3207" s="61">
        <f>IF(O3207=0,0,SUMIFS(Disbursements!$T:$T,Disbursements!$B:$B,'Live Collections'!D3207,Disbursements!$D:$D,'Live Collections'!F3207))</f>
        <v>0</v>
      </c>
      <c r="S3207" s="304">
        <f>IF(O3207&lt;=IF($O3207=0,0,SUMIFS(Disbursements!$W:$W,Disbursements!$B:$B,'Live Collections'!D3207,Disbursements!$D:$D,'Live Collections'!F3207)),O3207,IF($O3207=0,0,SUMIFS(Disbursements!$W:$W,Disbursements!$B:$B,'Live Collections'!D3207,Disbursements!$D:$D,'Live Collections'!F3207)))</f>
        <v>0</v>
      </c>
      <c r="T3207" s="304">
        <f t="shared" si="152"/>
        <v>0</v>
      </c>
      <c r="U3207" s="52"/>
      <c r="V3207" s="34"/>
      <c r="W3207" s="408"/>
    </row>
    <row r="3208" spans="1:23" ht="12.75" customHeight="1" x14ac:dyDescent="0.2">
      <c r="A3208" s="257">
        <v>3216</v>
      </c>
      <c r="B3208" s="44">
        <v>44615</v>
      </c>
      <c r="C3208" s="44">
        <f t="shared" si="153"/>
        <v>44615</v>
      </c>
      <c r="D3208" s="374">
        <v>304</v>
      </c>
      <c r="E3208" s="291" t="str">
        <f>IFERROR(VLOOKUP($D3208,'Clients-Live'!$A:$C,3,0),"")</f>
        <v>ATAKO GLORIA</v>
      </c>
      <c r="F3208" s="291">
        <f>IFERROR(INDEX(Disbursements!$D:$D,MATCH('Live Collections'!G3208,Disbursements!$C:$C,0)),"")</f>
        <v>1</v>
      </c>
      <c r="G3208" s="34">
        <v>398</v>
      </c>
      <c r="H3208" s="34">
        <v>4908</v>
      </c>
      <c r="I3208" s="34" t="s">
        <v>1359</v>
      </c>
      <c r="J3208" s="48"/>
      <c r="K3208" s="48"/>
      <c r="L3208" s="48"/>
      <c r="M3208" s="48"/>
      <c r="N3208" s="59"/>
      <c r="O3208" s="59">
        <v>41500</v>
      </c>
      <c r="P3208" s="59"/>
      <c r="Q3208" s="268">
        <f t="shared" si="151"/>
        <v>41500</v>
      </c>
      <c r="R3208" s="61">
        <f>IF(O3208=0,0,SUMIFS(Disbursements!$T:$T,Disbursements!$B:$B,'Live Collections'!D3208,Disbursements!$D:$D,'Live Collections'!F3208))</f>
        <v>32000</v>
      </c>
      <c r="S3208" s="304">
        <f>IF(O3208&lt;=IF($O3208=0,0,SUMIFS(Disbursements!$W:$W,Disbursements!$B:$B,'Live Collections'!D3208,Disbursements!$D:$D,'Live Collections'!F3208)),O3208,IF($O3208=0,0,SUMIFS(Disbursements!$W:$W,Disbursements!$B:$B,'Live Collections'!D3208,Disbursements!$D:$D,'Live Collections'!F3208)))</f>
        <v>7000</v>
      </c>
      <c r="T3208" s="304">
        <f t="shared" si="152"/>
        <v>34500</v>
      </c>
      <c r="U3208" s="52"/>
      <c r="V3208" s="34"/>
      <c r="W3208" s="408"/>
    </row>
    <row r="3209" spans="1:23" ht="12.75" customHeight="1" x14ac:dyDescent="0.2">
      <c r="A3209" s="257">
        <v>3217</v>
      </c>
      <c r="B3209" s="44">
        <v>44615</v>
      </c>
      <c r="C3209" s="44">
        <f t="shared" si="153"/>
        <v>44615</v>
      </c>
      <c r="D3209" s="374">
        <v>169</v>
      </c>
      <c r="E3209" s="291" t="str">
        <f>IFERROR(VLOOKUP($D3209,'Clients-Live'!$A:$C,3,0),"")</f>
        <v>KATO KENNEDY</v>
      </c>
      <c r="F3209" s="291">
        <f>IFERROR(INDEX(Disbursements!$D:$D,MATCH('Live Collections'!G3209,Disbursements!$C:$C,0)),"")</f>
        <v>2</v>
      </c>
      <c r="G3209" s="34">
        <v>394</v>
      </c>
      <c r="H3209" s="34">
        <v>4904</v>
      </c>
      <c r="I3209" s="34" t="s">
        <v>1357</v>
      </c>
      <c r="J3209" s="48"/>
      <c r="K3209" s="48"/>
      <c r="L3209" s="48"/>
      <c r="M3209" s="48"/>
      <c r="N3209" s="59"/>
      <c r="O3209" s="59">
        <v>58000</v>
      </c>
      <c r="P3209" s="59"/>
      <c r="Q3209" s="268">
        <f t="shared" si="151"/>
        <v>58000</v>
      </c>
      <c r="R3209" s="61">
        <f>IF(O3209=0,0,SUMIFS(Disbursements!$T:$T,Disbursements!$B:$B,'Live Collections'!D3209,Disbursements!$D:$D,'Live Collections'!F3209))</f>
        <v>58000</v>
      </c>
      <c r="S3209" s="304">
        <f>IF(O3209&lt;=IF($O3209=0,0,SUMIFS(Disbursements!$W:$W,Disbursements!$B:$B,'Live Collections'!D3209,Disbursements!$D:$D,'Live Collections'!F3209)),O3209,IF($O3209=0,0,SUMIFS(Disbursements!$W:$W,Disbursements!$B:$B,'Live Collections'!D3209,Disbursements!$D:$D,'Live Collections'!F3209)))</f>
        <v>16333.333333333336</v>
      </c>
      <c r="T3209" s="304">
        <f t="shared" si="152"/>
        <v>41666.666666666664</v>
      </c>
      <c r="U3209" s="52"/>
      <c r="V3209" s="34"/>
      <c r="W3209" s="408"/>
    </row>
    <row r="3210" spans="1:23" ht="12.75" customHeight="1" x14ac:dyDescent="0.2">
      <c r="A3210" s="257">
        <v>3218</v>
      </c>
      <c r="B3210" s="44">
        <v>44615</v>
      </c>
      <c r="C3210" s="44">
        <f t="shared" si="153"/>
        <v>44615</v>
      </c>
      <c r="D3210" s="374">
        <v>271</v>
      </c>
      <c r="E3210" s="291" t="str">
        <f>IFERROR(VLOOKUP($D3210,'Clients-Live'!$A:$C,3,0),"")</f>
        <v>ALORO SAIDI</v>
      </c>
      <c r="F3210" s="291">
        <f>IFERROR(INDEX(Disbursements!$D:$D,MATCH('Live Collections'!G3210,Disbursements!$C:$C,0)),"")</f>
        <v>1</v>
      </c>
      <c r="G3210" s="34">
        <v>319</v>
      </c>
      <c r="H3210" s="34">
        <v>4905</v>
      </c>
      <c r="I3210" s="34" t="s">
        <v>1357</v>
      </c>
      <c r="J3210" s="48"/>
      <c r="K3210" s="48"/>
      <c r="L3210" s="48"/>
      <c r="M3210" s="48"/>
      <c r="N3210" s="59"/>
      <c r="O3210" s="59">
        <v>40000</v>
      </c>
      <c r="P3210" s="59"/>
      <c r="Q3210" s="268">
        <f t="shared" si="151"/>
        <v>40000</v>
      </c>
      <c r="R3210" s="61">
        <f>IF(O3210=0,0,SUMIFS(Disbursements!$T:$T,Disbursements!$B:$B,'Live Collections'!D3210,Disbursements!$D:$D,'Live Collections'!F3210))</f>
        <v>120000</v>
      </c>
      <c r="S3210" s="304"/>
      <c r="T3210" s="304">
        <f t="shared" si="152"/>
        <v>40000</v>
      </c>
      <c r="U3210" s="52"/>
      <c r="V3210" s="34"/>
      <c r="W3210" s="408"/>
    </row>
    <row r="3211" spans="1:23" ht="12.75" customHeight="1" x14ac:dyDescent="0.2">
      <c r="A3211" s="257">
        <v>3219</v>
      </c>
      <c r="B3211" s="44">
        <v>44615</v>
      </c>
      <c r="C3211" s="44">
        <f t="shared" si="153"/>
        <v>44615</v>
      </c>
      <c r="D3211" s="374">
        <v>112</v>
      </c>
      <c r="E3211" s="291" t="str">
        <f>IFERROR(VLOOKUP($D3211,'Clients-Live'!$A:$C,3,0),"")</f>
        <v>NURA JOYCE</v>
      </c>
      <c r="F3211" s="291">
        <f>IFERROR(INDEX(Disbursements!$D:$D,MATCH('Live Collections'!G3211,Disbursements!$C:$C,0)),"")</f>
        <v>2</v>
      </c>
      <c r="G3211" s="34">
        <v>337</v>
      </c>
      <c r="H3211" s="34">
        <v>4953</v>
      </c>
      <c r="I3211" s="34" t="s">
        <v>1359</v>
      </c>
      <c r="J3211" s="48"/>
      <c r="K3211" s="48"/>
      <c r="L3211" s="48"/>
      <c r="M3211" s="48"/>
      <c r="N3211" s="59"/>
      <c r="O3211" s="59">
        <v>150000</v>
      </c>
      <c r="P3211" s="59"/>
      <c r="Q3211" s="268">
        <f t="shared" si="151"/>
        <v>150000</v>
      </c>
      <c r="R3211" s="61">
        <f>IF(O3211=0,0,SUMIFS(Disbursements!$T:$T,Disbursements!$B:$B,'Live Collections'!D3211,Disbursements!$D:$D,'Live Collections'!F3211))</f>
        <v>150000</v>
      </c>
      <c r="S3211" s="304">
        <f>IF(O3211&lt;=IF($O3211=0,0,SUMIFS(Disbursements!$W:$W,Disbursements!$B:$B,'Live Collections'!D3211,Disbursements!$D:$D,'Live Collections'!F3211)),O3211,IF($O3211=0,0,SUMIFS(Disbursements!$W:$W,Disbursements!$B:$B,'Live Collections'!D3211,Disbursements!$D:$D,'Live Collections'!F3211)))</f>
        <v>30000</v>
      </c>
      <c r="T3211" s="304">
        <f t="shared" si="152"/>
        <v>120000</v>
      </c>
      <c r="U3211" s="52"/>
      <c r="V3211" s="34"/>
      <c r="W3211" s="408"/>
    </row>
    <row r="3212" spans="1:23" ht="12.75" customHeight="1" x14ac:dyDescent="0.2">
      <c r="A3212" s="257">
        <v>3220</v>
      </c>
      <c r="B3212" s="44">
        <v>44615</v>
      </c>
      <c r="C3212" s="44">
        <f t="shared" si="153"/>
        <v>44615</v>
      </c>
      <c r="D3212" s="374">
        <v>322</v>
      </c>
      <c r="E3212" s="291" t="str">
        <f>IFERROR(VLOOKUP($D3212,'Clients-Live'!$A:$C,3,0),"")</f>
        <v>KANA SWAIB</v>
      </c>
      <c r="F3212" s="291" t="str">
        <f>IFERROR(INDEX(Disbursements!$D:$D,MATCH('Live Collections'!G3212,Disbursements!$C:$C,0)),"")</f>
        <v/>
      </c>
      <c r="G3212" s="34"/>
      <c r="H3212" s="34">
        <v>4902</v>
      </c>
      <c r="I3212" s="34" t="s">
        <v>1357</v>
      </c>
      <c r="J3212" s="48">
        <v>15000</v>
      </c>
      <c r="K3212" s="48">
        <v>5000</v>
      </c>
      <c r="L3212" s="48"/>
      <c r="M3212" s="48"/>
      <c r="N3212" s="59"/>
      <c r="O3212" s="59"/>
      <c r="P3212" s="59"/>
      <c r="Q3212" s="268">
        <f t="shared" si="151"/>
        <v>20000</v>
      </c>
      <c r="R3212" s="61">
        <f>IF(O3212=0,0,SUMIFS(Disbursements!$T:$T,Disbursements!$B:$B,'Live Collections'!D3212,Disbursements!$D:$D,'Live Collections'!F3212))</f>
        <v>0</v>
      </c>
      <c r="S3212" s="304">
        <f>IF(O3212&lt;=IF($O3212=0,0,SUMIFS(Disbursements!$W:$W,Disbursements!$B:$B,'Live Collections'!D3212,Disbursements!$D:$D,'Live Collections'!F3212)),O3212,IF($O3212=0,0,SUMIFS(Disbursements!$W:$W,Disbursements!$B:$B,'Live Collections'!D3212,Disbursements!$D:$D,'Live Collections'!F3212)))</f>
        <v>0</v>
      </c>
      <c r="T3212" s="304">
        <f t="shared" si="152"/>
        <v>0</v>
      </c>
      <c r="U3212" s="52"/>
      <c r="V3212" s="34"/>
      <c r="W3212" s="408"/>
    </row>
    <row r="3213" spans="1:23" ht="12.75" customHeight="1" x14ac:dyDescent="0.2">
      <c r="A3213" s="257">
        <v>3221</v>
      </c>
      <c r="B3213" s="44">
        <v>44615</v>
      </c>
      <c r="C3213" s="44">
        <f t="shared" si="153"/>
        <v>44615</v>
      </c>
      <c r="D3213" s="374">
        <v>322</v>
      </c>
      <c r="E3213" s="291" t="str">
        <f>IFERROR(VLOOKUP($D3213,'Clients-Live'!$A:$C,3,0),"")</f>
        <v>KANA SWAIB</v>
      </c>
      <c r="F3213" s="291" t="str">
        <f>IFERROR(INDEX(Disbursements!$D:$D,MATCH('Live Collections'!G3213,Disbursements!$C:$C,0)),"")</f>
        <v/>
      </c>
      <c r="G3213" s="34"/>
      <c r="H3213" s="34">
        <v>4901</v>
      </c>
      <c r="I3213" s="34" t="s">
        <v>1357</v>
      </c>
      <c r="J3213" s="48"/>
      <c r="K3213" s="48"/>
      <c r="L3213" s="48">
        <v>20000</v>
      </c>
      <c r="M3213" s="48">
        <v>5000</v>
      </c>
      <c r="N3213" s="59"/>
      <c r="O3213" s="59"/>
      <c r="P3213" s="59"/>
      <c r="Q3213" s="268">
        <f t="shared" si="151"/>
        <v>25000</v>
      </c>
      <c r="R3213" s="61">
        <f>IF(O3213=0,0,SUMIFS(Disbursements!$T:$T,Disbursements!$B:$B,'Live Collections'!D3213,Disbursements!$D:$D,'Live Collections'!F3213))</f>
        <v>0</v>
      </c>
      <c r="S3213" s="304">
        <f>IF(O3213&lt;=IF($O3213=0,0,SUMIFS(Disbursements!$W:$W,Disbursements!$B:$B,'Live Collections'!D3213,Disbursements!$D:$D,'Live Collections'!F3213)),O3213,IF($O3213=0,0,SUMIFS(Disbursements!$W:$W,Disbursements!$B:$B,'Live Collections'!D3213,Disbursements!$D:$D,'Live Collections'!F3213)))</f>
        <v>0</v>
      </c>
      <c r="T3213" s="304">
        <f t="shared" si="152"/>
        <v>0</v>
      </c>
      <c r="U3213" s="52"/>
      <c r="V3213" s="34"/>
      <c r="W3213" s="408"/>
    </row>
    <row r="3214" spans="1:23" ht="12.75" customHeight="1" x14ac:dyDescent="0.2">
      <c r="A3214" s="257">
        <v>3222</v>
      </c>
      <c r="B3214" s="44">
        <v>44616</v>
      </c>
      <c r="C3214" s="44">
        <f t="shared" si="153"/>
        <v>44616</v>
      </c>
      <c r="D3214" s="374">
        <v>183</v>
      </c>
      <c r="E3214" s="291" t="str">
        <f>IFERROR(VLOOKUP($D3214,'Clients-Live'!$A:$C,3,0),"")</f>
        <v>NIGHT AMINA HUSSEIN</v>
      </c>
      <c r="F3214" s="291">
        <f>IFERROR(INDEX(Disbursements!$D:$D,MATCH('Live Collections'!G3214,Disbursements!$C:$C,0)),"")</f>
        <v>2</v>
      </c>
      <c r="G3214" s="34">
        <v>440</v>
      </c>
      <c r="H3214" s="34">
        <v>4965</v>
      </c>
      <c r="I3214" s="34" t="s">
        <v>1359</v>
      </c>
      <c r="J3214" s="48"/>
      <c r="K3214" s="48"/>
      <c r="L3214" s="48"/>
      <c r="M3214" s="48"/>
      <c r="N3214" s="59"/>
      <c r="O3214" s="59"/>
      <c r="P3214" s="59">
        <v>40000</v>
      </c>
      <c r="Q3214" s="268">
        <f t="shared" si="151"/>
        <v>40000</v>
      </c>
      <c r="R3214" s="61">
        <f>IF(O3214=0,0,SUMIFS(Disbursements!$T:$T,Disbursements!$B:$B,'Live Collections'!D3214,Disbursements!$D:$D,'Live Collections'!F3214))</f>
        <v>0</v>
      </c>
      <c r="S3214" s="304">
        <f>IF(O3214&lt;=IF($O3214=0,0,SUMIFS(Disbursements!$W:$W,Disbursements!$B:$B,'Live Collections'!D3214,Disbursements!$D:$D,'Live Collections'!F3214)),O3214,IF($O3214=0,0,SUMIFS(Disbursements!$W:$W,Disbursements!$B:$B,'Live Collections'!D3214,Disbursements!$D:$D,'Live Collections'!F3214)))</f>
        <v>0</v>
      </c>
      <c r="T3214" s="304">
        <f>IF(O3214=0,0,O3214-S3214)</f>
        <v>0</v>
      </c>
      <c r="U3214" s="52"/>
      <c r="V3214" s="34"/>
      <c r="W3214" s="408"/>
    </row>
    <row r="3215" spans="1:23" ht="12.75" customHeight="1" x14ac:dyDescent="0.2">
      <c r="A3215" s="257">
        <v>3223</v>
      </c>
      <c r="B3215" s="44">
        <v>44616</v>
      </c>
      <c r="C3215" s="44">
        <f t="shared" si="153"/>
        <v>44616</v>
      </c>
      <c r="D3215" s="374">
        <v>3</v>
      </c>
      <c r="E3215" s="291" t="str">
        <f>IFERROR(VLOOKUP($D3215,'Clients-Live'!$A:$C,3,0),"")</f>
        <v>YEKA ARIJABU</v>
      </c>
      <c r="F3215" s="291" t="str">
        <f>IFERROR(INDEX(Disbursements!$D:$D,MATCH('Live Collections'!G3215,Disbursements!$C:$C,0)),"")</f>
        <v/>
      </c>
      <c r="G3215" s="34"/>
      <c r="H3215" s="34">
        <v>4788</v>
      </c>
      <c r="I3215" s="34" t="s">
        <v>1357</v>
      </c>
      <c r="J3215" s="48"/>
      <c r="K3215" s="48"/>
      <c r="L3215" s="48">
        <v>25000</v>
      </c>
      <c r="M3215" s="48">
        <v>5000</v>
      </c>
      <c r="N3215" s="59"/>
      <c r="O3215" s="59"/>
      <c r="P3215" s="59"/>
      <c r="Q3215" s="268">
        <f t="shared" si="151"/>
        <v>30000</v>
      </c>
      <c r="R3215" s="61">
        <f>IF(O3215=0,0,SUMIFS(Disbursements!$T:$T,Disbursements!$B:$B,'Live Collections'!D3215,Disbursements!$D:$D,'Live Collections'!F3215))</f>
        <v>0</v>
      </c>
      <c r="S3215" s="304">
        <f>IF(O3215&lt;=IF($O3215=0,0,SUMIFS(Disbursements!$W:$W,Disbursements!$B:$B,'Live Collections'!D1843,Disbursements!$D:$D,'Live Collections'!F1843)),O3215,IF($O3215=0,0,SUMIFS(Disbursements!$W:$W,Disbursements!$B:$B,'Live Collections'!D1843,Disbursements!$D:$D,'Live Collections'!F1843)))</f>
        <v>0</v>
      </c>
      <c r="T3215" s="304">
        <f t="shared" si="152"/>
        <v>0</v>
      </c>
      <c r="U3215" s="52"/>
      <c r="V3215" s="34"/>
      <c r="W3215" s="408"/>
    </row>
    <row r="3216" spans="1:23" ht="12.75" customHeight="1" x14ac:dyDescent="0.2">
      <c r="A3216" s="257">
        <v>3224</v>
      </c>
      <c r="B3216" s="44">
        <v>44616</v>
      </c>
      <c r="C3216" s="44">
        <f t="shared" si="153"/>
        <v>44616</v>
      </c>
      <c r="D3216" s="374">
        <v>3</v>
      </c>
      <c r="E3216" s="291" t="str">
        <f>IFERROR(VLOOKUP($D3216,'Clients-Live'!$A:$C,3,0),"")</f>
        <v>YEKA ARIJABU</v>
      </c>
      <c r="F3216" s="291">
        <f>IFERROR(INDEX(Disbursements!$D:$D,MATCH('Live Collections'!G3216,Disbursements!$C:$C,0)),"")</f>
        <v>1</v>
      </c>
      <c r="G3216" s="34">
        <v>227</v>
      </c>
      <c r="H3216" s="34" t="s">
        <v>2115</v>
      </c>
      <c r="I3216" s="34" t="s">
        <v>1357</v>
      </c>
      <c r="J3216" s="48"/>
      <c r="K3216" s="48"/>
      <c r="L3216" s="48"/>
      <c r="M3216" s="48"/>
      <c r="N3216" s="59"/>
      <c r="O3216" s="59">
        <v>200000</v>
      </c>
      <c r="P3216" s="59">
        <v>-200000</v>
      </c>
      <c r="Q3216" s="268">
        <f t="shared" si="151"/>
        <v>0</v>
      </c>
      <c r="R3216" s="61">
        <f>IF(O3216=0,0,SUMIFS(Disbursements!$T:$T,Disbursements!$B:$B,'Live Collections'!D3216,Disbursements!$D:$D,'Live Collections'!F3216))</f>
        <v>325000</v>
      </c>
      <c r="S3216" s="304">
        <f>IF(O3216&lt;=IF($O3216=0,0,SUMIFS(Disbursements!$W:$W,Disbursements!$B:$B,'Live Collections'!D1844,Disbursements!$D:$D,'Live Collections'!F1844)),O3216,IF($O3216=0,0,SUMIFS(Disbursements!$W:$W,Disbursements!$B:$B,'Live Collections'!D1844,Disbursements!$D:$D,'Live Collections'!F1844)))</f>
        <v>0</v>
      </c>
      <c r="T3216" s="304">
        <f t="shared" si="152"/>
        <v>200000</v>
      </c>
      <c r="U3216" s="52"/>
      <c r="V3216" s="34"/>
      <c r="W3216" s="408" t="s">
        <v>2127</v>
      </c>
    </row>
    <row r="3217" spans="1:23" ht="12.75" customHeight="1" x14ac:dyDescent="0.2">
      <c r="A3217" s="257">
        <v>3225</v>
      </c>
      <c r="B3217" s="44">
        <v>44616</v>
      </c>
      <c r="C3217" s="44">
        <f t="shared" si="153"/>
        <v>44616</v>
      </c>
      <c r="D3217" s="374">
        <v>191</v>
      </c>
      <c r="E3217" s="291" t="str">
        <f>IFERROR(VLOOKUP($D3217,'Clients-Live'!$A:$C,3,0),"")</f>
        <v>AYOZU JESCA TAIBO</v>
      </c>
      <c r="F3217" s="291">
        <f>IFERROR(INDEX(Disbursements!$D:$D,MATCH('Live Collections'!G3217,Disbursements!$C:$C,0)),"")</f>
        <v>2</v>
      </c>
      <c r="G3217" s="34">
        <v>340</v>
      </c>
      <c r="H3217" s="34">
        <v>4963</v>
      </c>
      <c r="I3217" s="34" t="s">
        <v>1357</v>
      </c>
      <c r="J3217" s="48"/>
      <c r="K3217" s="48"/>
      <c r="L3217" s="48"/>
      <c r="M3217" s="48"/>
      <c r="N3217" s="59"/>
      <c r="O3217" s="59">
        <v>100000</v>
      </c>
      <c r="P3217" s="59"/>
      <c r="Q3217" s="268">
        <f t="shared" si="151"/>
        <v>100000</v>
      </c>
      <c r="R3217" s="61">
        <f>IF(O3217=0,0,SUMIFS(Disbursements!$T:$T,Disbursements!$B:$B,'Live Collections'!D3217,Disbursements!$D:$D,'Live Collections'!F3217))</f>
        <v>154000</v>
      </c>
      <c r="S3217" s="304"/>
      <c r="T3217" s="304">
        <f t="shared" si="152"/>
        <v>100000</v>
      </c>
      <c r="U3217" s="52"/>
      <c r="V3217" s="34"/>
      <c r="W3217" s="408"/>
    </row>
    <row r="3218" spans="1:23" ht="12.75" customHeight="1" x14ac:dyDescent="0.2">
      <c r="A3218" s="257">
        <v>3226</v>
      </c>
      <c r="B3218" s="44">
        <v>44616</v>
      </c>
      <c r="C3218" s="44">
        <f t="shared" si="153"/>
        <v>44616</v>
      </c>
      <c r="D3218" s="374">
        <v>309</v>
      </c>
      <c r="E3218" s="291" t="str">
        <f>IFERROR(VLOOKUP($D3218,'Clients-Live'!$A:$C,3,0),"")</f>
        <v>NAMBOZO HALIMA</v>
      </c>
      <c r="F3218" s="291">
        <f>IFERROR(INDEX(Disbursements!$D:$D,MATCH('Live Collections'!G3218,Disbursements!$C:$C,0)),"")</f>
        <v>1</v>
      </c>
      <c r="G3218" s="34">
        <v>391</v>
      </c>
      <c r="H3218" s="34">
        <v>4964</v>
      </c>
      <c r="I3218" s="34" t="s">
        <v>1357</v>
      </c>
      <c r="J3218" s="48"/>
      <c r="K3218" s="48"/>
      <c r="L3218" s="48"/>
      <c r="M3218" s="48"/>
      <c r="N3218" s="59"/>
      <c r="O3218" s="59">
        <v>70000</v>
      </c>
      <c r="P3218" s="59"/>
      <c r="Q3218" s="268">
        <f t="shared" si="151"/>
        <v>70000</v>
      </c>
      <c r="R3218" s="61">
        <f>IF(O3218=0,0,SUMIFS(Disbursements!$T:$T,Disbursements!$B:$B,'Live Collections'!D3218,Disbursements!$D:$D,'Live Collections'!F3218))</f>
        <v>79000</v>
      </c>
      <c r="S3218" s="304">
        <f>IF(O3218&lt;=IF($O3218=0,0,SUMIFS(Disbursements!$W:$W,Disbursements!$B:$B,'Live Collections'!D3218,Disbursements!$D:$D,'Live Collections'!F3218)),O3218,IF($O3218=0,0,SUMIFS(Disbursements!$W:$W,Disbursements!$B:$B,'Live Collections'!D3218,Disbursements!$D:$D,'Live Collections'!F3218)))</f>
        <v>16500</v>
      </c>
      <c r="T3218" s="304">
        <f t="shared" si="152"/>
        <v>53500</v>
      </c>
      <c r="U3218" s="52"/>
      <c r="V3218" s="34"/>
      <c r="W3218" s="408"/>
    </row>
    <row r="3219" spans="1:23" ht="12.75" customHeight="1" x14ac:dyDescent="0.2">
      <c r="A3219" s="257">
        <v>3227</v>
      </c>
      <c r="B3219" s="44">
        <v>44616</v>
      </c>
      <c r="C3219" s="44">
        <f t="shared" si="153"/>
        <v>44616</v>
      </c>
      <c r="D3219" s="374">
        <v>3</v>
      </c>
      <c r="E3219" s="291" t="str">
        <f>IFERROR(VLOOKUP($D3219,'Clients-Live'!$A:$C,3,0),"")</f>
        <v>YEKA ARIJABU</v>
      </c>
      <c r="F3219" s="291">
        <f>IFERROR(INDEX(Disbursements!$D:$D,MATCH('Live Collections'!G3219,Disbursements!$C:$C,0)),"")</f>
        <v>1</v>
      </c>
      <c r="G3219" s="34">
        <v>227</v>
      </c>
      <c r="H3219" s="34">
        <v>4917</v>
      </c>
      <c r="I3219" s="34" t="s">
        <v>1357</v>
      </c>
      <c r="J3219" s="48"/>
      <c r="K3219" s="48"/>
      <c r="L3219" s="48"/>
      <c r="M3219" s="48"/>
      <c r="N3219" s="59"/>
      <c r="O3219" s="59">
        <v>250000</v>
      </c>
      <c r="P3219" s="59"/>
      <c r="Q3219" s="268">
        <f t="shared" si="151"/>
        <v>250000</v>
      </c>
      <c r="R3219" s="61">
        <f>IF(O3219=0,0,SUMIFS(Disbursements!$T:$T,Disbursements!$B:$B,'Live Collections'!D3219,Disbursements!$D:$D,'Live Collections'!F3219))</f>
        <v>325000</v>
      </c>
      <c r="S3219" s="64">
        <v>79333.333333333314</v>
      </c>
      <c r="T3219" s="304">
        <f t="shared" si="152"/>
        <v>170666.66666666669</v>
      </c>
      <c r="U3219" s="52"/>
      <c r="V3219" s="34"/>
      <c r="W3219" s="408" t="s">
        <v>2086</v>
      </c>
    </row>
    <row r="3220" spans="1:23" ht="12.75" customHeight="1" x14ac:dyDescent="0.2">
      <c r="A3220" s="257">
        <v>3228</v>
      </c>
      <c r="B3220" s="44">
        <v>44616</v>
      </c>
      <c r="C3220" s="44">
        <f t="shared" si="153"/>
        <v>44616</v>
      </c>
      <c r="D3220" s="374">
        <v>67</v>
      </c>
      <c r="E3220" s="291" t="str">
        <f>IFERROR(VLOOKUP($D3220,'Clients-Live'!$A:$C,3,0),"")</f>
        <v>KEBITA SAUDA</v>
      </c>
      <c r="F3220" s="291">
        <f>IFERROR(INDEX(Disbursements!$D:$D,MATCH('Live Collections'!G3220,Disbursements!$C:$C,0)),"")</f>
        <v>2</v>
      </c>
      <c r="G3220" s="34">
        <v>272</v>
      </c>
      <c r="H3220" s="34">
        <v>4962</v>
      </c>
      <c r="I3220" s="34" t="s">
        <v>1358</v>
      </c>
      <c r="J3220" s="48"/>
      <c r="K3220" s="48"/>
      <c r="L3220" s="48"/>
      <c r="M3220" s="48"/>
      <c r="N3220" s="59"/>
      <c r="O3220" s="59">
        <v>50000</v>
      </c>
      <c r="P3220" s="59"/>
      <c r="Q3220" s="268">
        <f t="shared" si="151"/>
        <v>50000</v>
      </c>
      <c r="R3220" s="61">
        <f>IF(O3220=0,0,SUMIFS(Disbursements!$T:$T,Disbursements!$B:$B,'Live Collections'!D3220,Disbursements!$D:$D,'Live Collections'!F3220))</f>
        <v>180000</v>
      </c>
      <c r="S3220" s="304">
        <f>IF(O3220&lt;=IF($O3220=0,0,SUMIFS(Disbursements!$W:$W,Disbursements!$B:$B,'Live Collections'!D3220,Disbursements!$D:$D,'Live Collections'!F3220)),O3220,IF($O3220=0,0,SUMIFS(Disbursements!$W:$W,Disbursements!$B:$B,'Live Collections'!D3220,Disbursements!$D:$D,'Live Collections'!F3220)))</f>
        <v>30000</v>
      </c>
      <c r="T3220" s="304">
        <f t="shared" si="152"/>
        <v>20000</v>
      </c>
      <c r="U3220" s="52"/>
      <c r="V3220" s="34"/>
      <c r="W3220" s="408"/>
    </row>
    <row r="3221" spans="1:23" ht="12.75" customHeight="1" x14ac:dyDescent="0.2">
      <c r="A3221" s="257">
        <v>3229</v>
      </c>
      <c r="B3221" s="44">
        <v>44616</v>
      </c>
      <c r="C3221" s="44">
        <f t="shared" si="153"/>
        <v>44616</v>
      </c>
      <c r="D3221" s="374">
        <v>250</v>
      </c>
      <c r="E3221" s="291" t="str">
        <f>IFERROR(VLOOKUP($D3221,'Clients-Live'!$A:$C,3,0),"")</f>
        <v>SAKAYA AMINA</v>
      </c>
      <c r="F3221" s="291">
        <f>IFERROR(INDEX(Disbursements!$D:$D,MATCH('Live Collections'!G3221,Disbursements!$C:$C,0)),"")</f>
        <v>2</v>
      </c>
      <c r="G3221" s="34">
        <v>374</v>
      </c>
      <c r="H3221" s="34">
        <v>4916</v>
      </c>
      <c r="I3221" s="34" t="s">
        <v>1357</v>
      </c>
      <c r="J3221" s="48"/>
      <c r="K3221" s="48"/>
      <c r="L3221" s="48"/>
      <c r="M3221" s="48"/>
      <c r="N3221" s="59"/>
      <c r="O3221" s="59">
        <v>30000</v>
      </c>
      <c r="P3221" s="59"/>
      <c r="Q3221" s="268">
        <f t="shared" si="151"/>
        <v>30000</v>
      </c>
      <c r="R3221" s="61">
        <f>IF(O3221=0,0,SUMIFS(Disbursements!$T:$T,Disbursements!$B:$B,'Live Collections'!D3221,Disbursements!$D:$D,'Live Collections'!F3221))</f>
        <v>120000</v>
      </c>
      <c r="S3221" s="304">
        <f>IF(O3221&lt;=IF($O3221=0,0,SUMIFS(Disbursements!$W:$W,Disbursements!$B:$B,'Live Collections'!D3221,Disbursements!$D:$D,'Live Collections'!F3221)),O3221,IF($O3221=0,0,SUMIFS(Disbursements!$W:$W,Disbursements!$B:$B,'Live Collections'!D3221,Disbursements!$D:$D,'Live Collections'!F3221)))</f>
        <v>20000</v>
      </c>
      <c r="T3221" s="304">
        <f t="shared" si="152"/>
        <v>10000</v>
      </c>
      <c r="U3221" s="52"/>
      <c r="V3221" s="34"/>
      <c r="W3221" s="408"/>
    </row>
    <row r="3222" spans="1:23" ht="12.75" customHeight="1" x14ac:dyDescent="0.2">
      <c r="A3222" s="257">
        <v>3230</v>
      </c>
      <c r="B3222" s="44">
        <v>44616</v>
      </c>
      <c r="C3222" s="44">
        <f t="shared" si="153"/>
        <v>44616</v>
      </c>
      <c r="D3222" s="374">
        <v>186</v>
      </c>
      <c r="E3222" s="291" t="str">
        <f>IFERROR(VLOOKUP($D3222,'Clients-Live'!$A:$C,3,0),"")</f>
        <v>GIFT JAMES</v>
      </c>
      <c r="F3222" s="291">
        <f>IFERROR(INDEX(Disbursements!$D:$D,MATCH('Live Collections'!G3222,Disbursements!$C:$C,0)),"")</f>
        <v>3</v>
      </c>
      <c r="G3222" s="34">
        <v>366</v>
      </c>
      <c r="H3222" s="34">
        <v>4915</v>
      </c>
      <c r="I3222" s="34" t="s">
        <v>1359</v>
      </c>
      <c r="J3222" s="48"/>
      <c r="K3222" s="48"/>
      <c r="L3222" s="48"/>
      <c r="M3222" s="48"/>
      <c r="N3222" s="59"/>
      <c r="O3222" s="59">
        <v>231000</v>
      </c>
      <c r="P3222" s="59"/>
      <c r="Q3222" s="268">
        <f t="shared" si="151"/>
        <v>231000</v>
      </c>
      <c r="R3222" s="61">
        <f>IF(O3222=0,0,SUMIFS(Disbursements!$T:$T,Disbursements!$B:$B,'Live Collections'!D3222,Disbursements!$D:$D,'Live Collections'!F3222))</f>
        <v>434000</v>
      </c>
      <c r="S3222" s="304">
        <f>IF(O3222&lt;=IF($O3222=0,0,SUMIFS(Disbursements!$W:$W,Disbursements!$B:$B,'Live Collections'!D3222,Disbursements!$D:$D,'Live Collections'!F3222)),O3222,IF($O3222=0,0,SUMIFS(Disbursements!$W:$W,Disbursements!$B:$B,'Live Collections'!D3222,Disbursements!$D:$D,'Live Collections'!F3222)))</f>
        <v>100666.66666666669</v>
      </c>
      <c r="T3222" s="304">
        <f t="shared" si="152"/>
        <v>130333.33333333331</v>
      </c>
      <c r="U3222" s="52"/>
      <c r="V3222" s="34"/>
      <c r="W3222" s="408"/>
    </row>
    <row r="3223" spans="1:23" ht="12.75" customHeight="1" x14ac:dyDescent="0.2">
      <c r="A3223" s="257">
        <v>3231</v>
      </c>
      <c r="B3223" s="44">
        <v>44616</v>
      </c>
      <c r="C3223" s="44">
        <f t="shared" si="153"/>
        <v>44616</v>
      </c>
      <c r="D3223" s="374">
        <v>246</v>
      </c>
      <c r="E3223" s="291" t="str">
        <f>IFERROR(VLOOKUP($D3223,'Clients-Live'!$A:$C,3,0),"")</f>
        <v>ALOMO ZAIDA</v>
      </c>
      <c r="F3223" s="291">
        <f>IFERROR(INDEX(Disbursements!$D:$D,MATCH('Live Collections'!G3223,Disbursements!$C:$C,0)),"")</f>
        <v>1</v>
      </c>
      <c r="G3223" s="34">
        <v>271</v>
      </c>
      <c r="H3223" s="34">
        <v>4961</v>
      </c>
      <c r="I3223" s="34" t="s">
        <v>1357</v>
      </c>
      <c r="J3223" s="48"/>
      <c r="K3223" s="48"/>
      <c r="L3223" s="48"/>
      <c r="M3223" s="48"/>
      <c r="N3223" s="59"/>
      <c r="O3223" s="59">
        <v>40000</v>
      </c>
      <c r="P3223" s="59"/>
      <c r="Q3223" s="268">
        <f t="shared" si="151"/>
        <v>40000</v>
      </c>
      <c r="R3223" s="61">
        <f>IF(O3223=0,0,SUMIFS(Disbursements!$T:$T,Disbursements!$B:$B,'Live Collections'!D3223,Disbursements!$D:$D,'Live Collections'!F3223))</f>
        <v>120000</v>
      </c>
      <c r="S3223" s="304"/>
      <c r="T3223" s="304">
        <f t="shared" si="152"/>
        <v>40000</v>
      </c>
      <c r="U3223" s="52"/>
      <c r="V3223" s="34"/>
      <c r="W3223" s="408"/>
    </row>
    <row r="3224" spans="1:23" ht="12.75" customHeight="1" x14ac:dyDescent="0.2">
      <c r="A3224" s="257">
        <v>3232</v>
      </c>
      <c r="B3224" s="44">
        <v>44616</v>
      </c>
      <c r="C3224" s="44">
        <f t="shared" si="153"/>
        <v>44616</v>
      </c>
      <c r="D3224" s="374">
        <v>42</v>
      </c>
      <c r="E3224" s="291" t="str">
        <f>IFERROR(VLOOKUP($D3224,'Clients-Live'!$A:$C,3,0),"")</f>
        <v>ABAU   NOLA</v>
      </c>
      <c r="F3224" s="291">
        <f>IFERROR(INDEX(Disbursements!$D:$D,MATCH('Live Collections'!G3224,Disbursements!$C:$C,0)),"")</f>
        <v>3</v>
      </c>
      <c r="G3224" s="34">
        <v>405</v>
      </c>
      <c r="H3224" s="34">
        <v>4960</v>
      </c>
      <c r="I3224" s="34" t="s">
        <v>1357</v>
      </c>
      <c r="J3224" s="48"/>
      <c r="K3224" s="48"/>
      <c r="L3224" s="48"/>
      <c r="M3224" s="48"/>
      <c r="N3224" s="59"/>
      <c r="O3224" s="59">
        <v>20000</v>
      </c>
      <c r="P3224" s="59"/>
      <c r="Q3224" s="268">
        <f t="shared" si="151"/>
        <v>20000</v>
      </c>
      <c r="R3224" s="61">
        <f>IF(O3224=0,0,SUMIFS(Disbursements!$T:$T,Disbursements!$B:$B,'Live Collections'!D3224,Disbursements!$D:$D,'Live Collections'!F3224))</f>
        <v>20000</v>
      </c>
      <c r="S3224" s="304">
        <f>IF(O3224&lt;=IF($O3224=0,0,SUMIFS(Disbursements!$W:$W,Disbursements!$B:$B,'Live Collections'!D3224,Disbursements!$D:$D,'Live Collections'!F3224)),O3224,IF($O3224=0,0,SUMIFS(Disbursements!$W:$W,Disbursements!$B:$B,'Live Collections'!D3224,Disbursements!$D:$D,'Live Collections'!F3224)))</f>
        <v>4375</v>
      </c>
      <c r="T3224" s="304">
        <f t="shared" si="152"/>
        <v>15625</v>
      </c>
      <c r="U3224" s="52"/>
      <c r="V3224" s="34"/>
      <c r="W3224" s="408"/>
    </row>
    <row r="3225" spans="1:23" ht="12.75" customHeight="1" x14ac:dyDescent="0.2">
      <c r="A3225" s="257">
        <v>3233</v>
      </c>
      <c r="B3225" s="44">
        <v>44616</v>
      </c>
      <c r="C3225" s="44">
        <f t="shared" si="153"/>
        <v>44616</v>
      </c>
      <c r="D3225" s="374">
        <v>151</v>
      </c>
      <c r="E3225" s="291" t="str">
        <f>IFERROR(VLOOKUP($D3225,'Clients-Live'!$A:$C,3,0),"")</f>
        <v>MORRO HASSAN</v>
      </c>
      <c r="F3225" s="291">
        <f>IFERROR(INDEX(Disbursements!$D:$D,MATCH('Live Collections'!G3225,Disbursements!$C:$C,0)),"")</f>
        <v>3</v>
      </c>
      <c r="G3225" s="34">
        <v>312</v>
      </c>
      <c r="H3225" s="34">
        <v>4959</v>
      </c>
      <c r="I3225" s="34" t="s">
        <v>1359</v>
      </c>
      <c r="J3225" s="48"/>
      <c r="K3225" s="48"/>
      <c r="L3225" s="48"/>
      <c r="M3225" s="48"/>
      <c r="N3225" s="59"/>
      <c r="O3225" s="59">
        <v>80000</v>
      </c>
      <c r="P3225" s="59"/>
      <c r="Q3225" s="268">
        <f t="shared" si="151"/>
        <v>80000</v>
      </c>
      <c r="R3225" s="61">
        <f>IF(O3225=0,0,SUMIFS(Disbursements!$T:$T,Disbursements!$B:$B,'Live Collections'!D3225,Disbursements!$D:$D,'Live Collections'!F3225))</f>
        <v>600000</v>
      </c>
      <c r="S3225" s="304">
        <f>IF(O3225&lt;=IF($O3225=0,0,SUMIFS(Disbursements!$W:$W,Disbursements!$B:$B,'Live Collections'!D3225,Disbursements!$D:$D,'Live Collections'!F3225)),O3225,IF($O3225=0,0,SUMIFS(Disbursements!$W:$W,Disbursements!$B:$B,'Live Collections'!D3225,Disbursements!$D:$D,'Live Collections'!F3225)))</f>
        <v>80000</v>
      </c>
      <c r="T3225" s="304">
        <f t="shared" si="152"/>
        <v>0</v>
      </c>
      <c r="U3225" s="52"/>
      <c r="V3225" s="34"/>
      <c r="W3225" s="408"/>
    </row>
    <row r="3226" spans="1:23" ht="12.75" customHeight="1" x14ac:dyDescent="0.2">
      <c r="A3226" s="257">
        <v>3234</v>
      </c>
      <c r="B3226" s="44">
        <v>44617</v>
      </c>
      <c r="C3226" s="44">
        <f t="shared" si="153"/>
        <v>44617</v>
      </c>
      <c r="D3226" s="374">
        <v>177</v>
      </c>
      <c r="E3226" s="291" t="str">
        <f>IFERROR(VLOOKUP($D3226,'Clients-Live'!$A:$C,3,0),"")</f>
        <v>EFIT GIFT</v>
      </c>
      <c r="F3226" s="291" t="str">
        <f>IFERROR(INDEX(Disbursements!$D:$D,MATCH('Live Collections'!G3226,Disbursements!$C:$C,0)),"")</f>
        <v/>
      </c>
      <c r="G3226" s="34"/>
      <c r="H3226" s="34">
        <v>4974</v>
      </c>
      <c r="I3226" s="34" t="s">
        <v>1358</v>
      </c>
      <c r="J3226" s="48"/>
      <c r="K3226" s="48"/>
      <c r="L3226" s="48">
        <v>25000</v>
      </c>
      <c r="M3226" s="48">
        <v>5000</v>
      </c>
      <c r="N3226" s="59"/>
      <c r="O3226" s="59"/>
      <c r="P3226" s="59"/>
      <c r="Q3226" s="268">
        <f t="shared" si="151"/>
        <v>30000</v>
      </c>
      <c r="R3226" s="61">
        <f>IF(O3226=0,0,SUMIFS(Disbursements!$T:$T,Disbursements!$B:$B,'Live Collections'!D3226,Disbursements!$D:$D,'Live Collections'!F3226))</f>
        <v>0</v>
      </c>
      <c r="S3226" s="304">
        <f>IF(O3226&lt;=IF($O3226=0,0,SUMIFS(Disbursements!$W:$W,Disbursements!$B:$B,'Live Collections'!D3226,Disbursements!$D:$D,'Live Collections'!F3226)),O3226,IF($O3226=0,0,SUMIFS(Disbursements!$W:$W,Disbursements!$B:$B,'Live Collections'!D3226,Disbursements!$D:$D,'Live Collections'!F3226)))</f>
        <v>0</v>
      </c>
      <c r="T3226" s="304">
        <f t="shared" si="152"/>
        <v>0</v>
      </c>
      <c r="U3226" s="52"/>
      <c r="V3226" s="34"/>
      <c r="W3226" s="408"/>
    </row>
    <row r="3227" spans="1:23" ht="12.75" customHeight="1" x14ac:dyDescent="0.2">
      <c r="A3227" s="257">
        <v>3235</v>
      </c>
      <c r="B3227" s="44">
        <v>44617</v>
      </c>
      <c r="C3227" s="44">
        <f t="shared" si="153"/>
        <v>44617</v>
      </c>
      <c r="D3227" s="374">
        <v>177</v>
      </c>
      <c r="E3227" s="291" t="str">
        <f>IFERROR(VLOOKUP($D3227,'Clients-Live'!$A:$C,3,0),"")</f>
        <v>EFIT GIFT</v>
      </c>
      <c r="F3227" s="291">
        <f>IFERROR(INDEX(Disbursements!$D:$D,MATCH('Live Collections'!G3227,Disbursements!$C:$C,0)),"")</f>
        <v>1</v>
      </c>
      <c r="G3227" s="34">
        <v>183</v>
      </c>
      <c r="H3227" s="34" t="s">
        <v>2116</v>
      </c>
      <c r="I3227" s="34" t="s">
        <v>1358</v>
      </c>
      <c r="J3227" s="48"/>
      <c r="K3227" s="48"/>
      <c r="L3227" s="48"/>
      <c r="M3227" s="48"/>
      <c r="N3227" s="59"/>
      <c r="O3227" s="59">
        <v>200000</v>
      </c>
      <c r="P3227" s="59">
        <v>-200000</v>
      </c>
      <c r="Q3227" s="268">
        <f t="shared" si="151"/>
        <v>0</v>
      </c>
      <c r="R3227" s="61">
        <f>IF(O3227=0,0,SUMIFS(Disbursements!$T:$T,Disbursements!$B:$B,'Live Collections'!D3227,Disbursements!$D:$D,'Live Collections'!F3227))</f>
        <v>109000</v>
      </c>
      <c r="S3227" s="304">
        <f>IF(O3227&lt;=IF($O3227=0,0,SUMIFS(Disbursements!$W:$W,Disbursements!$B:$B,'Live Collections'!D3227,Disbursements!$D:$D,'Live Collections'!F3227)),O3227,IF($O3227=0,0,SUMIFS(Disbursements!$W:$W,Disbursements!$B:$B,'Live Collections'!D3227,Disbursements!$D:$D,'Live Collections'!F3227)))</f>
        <v>25666.666666666672</v>
      </c>
      <c r="T3227" s="304">
        <f t="shared" si="152"/>
        <v>174333.33333333331</v>
      </c>
      <c r="U3227" s="52"/>
      <c r="V3227" s="34"/>
      <c r="W3227" s="408"/>
    </row>
    <row r="3228" spans="1:23" ht="12.75" customHeight="1" x14ac:dyDescent="0.2">
      <c r="A3228" s="257">
        <v>3236</v>
      </c>
      <c r="B3228" s="44">
        <v>44617</v>
      </c>
      <c r="C3228" s="44">
        <f t="shared" si="153"/>
        <v>44617</v>
      </c>
      <c r="D3228" s="374">
        <v>177</v>
      </c>
      <c r="E3228" s="291" t="str">
        <f>IFERROR(VLOOKUP($D3228,'Clients-Live'!$A:$C,3,0),"")</f>
        <v>EFIT GIFT</v>
      </c>
      <c r="F3228" s="291">
        <f>IFERROR(INDEX(Disbursements!$D:$D,MATCH('Live Collections'!G3228,Disbursements!$C:$C,0)),"")</f>
        <v>1</v>
      </c>
      <c r="G3228" s="34">
        <v>183</v>
      </c>
      <c r="H3228" s="34">
        <v>4972</v>
      </c>
      <c r="I3228" s="34" t="s">
        <v>1358</v>
      </c>
      <c r="J3228" s="48"/>
      <c r="K3228" s="48"/>
      <c r="L3228" s="48"/>
      <c r="M3228" s="48"/>
      <c r="N3228" s="59"/>
      <c r="O3228" s="59">
        <v>497000</v>
      </c>
      <c r="P3228" s="59"/>
      <c r="Q3228" s="268">
        <f t="shared" si="151"/>
        <v>497000</v>
      </c>
      <c r="R3228" s="61">
        <f>IF(O3228=0,0,SUMIFS(Disbursements!$T:$T,Disbursements!$B:$B,'Live Collections'!D3228,Disbursements!$D:$D,'Live Collections'!F3228))</f>
        <v>109000</v>
      </c>
      <c r="S3228" s="304">
        <v>17000.000000000116</v>
      </c>
      <c r="T3228" s="304">
        <f t="shared" si="152"/>
        <v>479999.99999999988</v>
      </c>
      <c r="U3228" s="52"/>
      <c r="V3228" s="34"/>
      <c r="W3228" s="408"/>
    </row>
    <row r="3229" spans="1:23" ht="12.75" customHeight="1" x14ac:dyDescent="0.2">
      <c r="A3229" s="257">
        <v>3237</v>
      </c>
      <c r="B3229" s="44">
        <v>44617</v>
      </c>
      <c r="C3229" s="44">
        <f t="shared" si="153"/>
        <v>44617</v>
      </c>
      <c r="D3229" s="374">
        <v>324</v>
      </c>
      <c r="E3229" s="291" t="str">
        <f>IFERROR(VLOOKUP($D3229,'Clients-Live'!$A:$C,3,0),"")</f>
        <v>ARIKE KOKOLE YASSIN</v>
      </c>
      <c r="F3229" s="291" t="str">
        <f>IFERROR(INDEX(Disbursements!$D:$D,MATCH('Live Collections'!G3229,Disbursements!$C:$C,0)),"")</f>
        <v/>
      </c>
      <c r="G3229" s="34"/>
      <c r="H3229" s="34">
        <v>4922</v>
      </c>
      <c r="I3229" s="34" t="s">
        <v>1359</v>
      </c>
      <c r="J3229" s="48"/>
      <c r="K3229" s="48"/>
      <c r="L3229" s="48">
        <v>20000</v>
      </c>
      <c r="M3229" s="48">
        <v>5000</v>
      </c>
      <c r="N3229" s="59"/>
      <c r="O3229" s="59"/>
      <c r="P3229" s="59"/>
      <c r="Q3229" s="268">
        <f t="shared" si="151"/>
        <v>25000</v>
      </c>
      <c r="R3229" s="61">
        <f>IF(O3229=0,0,SUMIFS(Disbursements!$T:$T,Disbursements!$B:$B,'Live Collections'!D3229,Disbursements!$D:$D,'Live Collections'!F3229))</f>
        <v>0</v>
      </c>
      <c r="S3229" s="304">
        <f>IF(O3229&lt;=IF($O3229=0,0,SUMIFS(Disbursements!$W:$W,Disbursements!$B:$B,'Live Collections'!D3229,Disbursements!$D:$D,'Live Collections'!F3229)),O3229,IF($O3229=0,0,SUMIFS(Disbursements!$W:$W,Disbursements!$B:$B,'Live Collections'!D3229,Disbursements!$D:$D,'Live Collections'!F3229)))</f>
        <v>0</v>
      </c>
      <c r="T3229" s="304">
        <f t="shared" si="152"/>
        <v>0</v>
      </c>
      <c r="U3229" s="52"/>
      <c r="V3229" s="34"/>
      <c r="W3229" s="408"/>
    </row>
    <row r="3230" spans="1:23" ht="12.75" customHeight="1" x14ac:dyDescent="0.2">
      <c r="A3230" s="257">
        <v>3238</v>
      </c>
      <c r="B3230" s="44">
        <v>44617</v>
      </c>
      <c r="C3230" s="44">
        <f t="shared" si="153"/>
        <v>44617</v>
      </c>
      <c r="D3230" s="374">
        <v>324</v>
      </c>
      <c r="E3230" s="291" t="str">
        <f>IFERROR(VLOOKUP($D3230,'Clients-Live'!$A:$C,3,0),"")</f>
        <v>ARIKE KOKOLE YASSIN</v>
      </c>
      <c r="F3230" s="291" t="str">
        <f>IFERROR(INDEX(Disbursements!$D:$D,MATCH('Live Collections'!G3230,Disbursements!$C:$C,0)),"")</f>
        <v/>
      </c>
      <c r="G3230" s="34"/>
      <c r="H3230" s="34">
        <v>4921</v>
      </c>
      <c r="I3230" s="34" t="s">
        <v>1359</v>
      </c>
      <c r="J3230" s="48">
        <v>15000</v>
      </c>
      <c r="K3230" s="48">
        <v>5000</v>
      </c>
      <c r="L3230" s="48"/>
      <c r="M3230" s="48"/>
      <c r="N3230" s="59"/>
      <c r="O3230" s="59"/>
      <c r="P3230" s="59"/>
      <c r="Q3230" s="268">
        <f t="shared" si="151"/>
        <v>20000</v>
      </c>
      <c r="R3230" s="61">
        <f>IF(O3230=0,0,SUMIFS(Disbursements!$T:$T,Disbursements!$B:$B,'Live Collections'!D3230,Disbursements!$D:$D,'Live Collections'!F3230))</f>
        <v>0</v>
      </c>
      <c r="S3230" s="304">
        <f>IF(O3230&lt;=IF($O3230=0,0,SUMIFS(Disbursements!$W:$W,Disbursements!$B:$B,'Live Collections'!D3230,Disbursements!$D:$D,'Live Collections'!F3230)),O3230,IF($O3230=0,0,SUMIFS(Disbursements!$W:$W,Disbursements!$B:$B,'Live Collections'!D3230,Disbursements!$D:$D,'Live Collections'!F3230)))</f>
        <v>0</v>
      </c>
      <c r="T3230" s="304">
        <f t="shared" si="152"/>
        <v>0</v>
      </c>
      <c r="U3230" s="52"/>
      <c r="V3230" s="34"/>
      <c r="W3230" s="408"/>
    </row>
    <row r="3231" spans="1:23" ht="12.75" customHeight="1" x14ac:dyDescent="0.2">
      <c r="A3231" s="257">
        <v>3239</v>
      </c>
      <c r="B3231" s="44">
        <v>44617</v>
      </c>
      <c r="C3231" s="44">
        <f t="shared" si="153"/>
        <v>44617</v>
      </c>
      <c r="D3231" s="374">
        <v>323</v>
      </c>
      <c r="E3231" s="291" t="str">
        <f>IFERROR(VLOOKUP($D3231,'Clients-Live'!$A:$C,3,0),"")</f>
        <v>OBIT HAKIM ADROTI</v>
      </c>
      <c r="F3231" s="291" t="str">
        <f>IFERROR(INDEX(Disbursements!$D:$D,MATCH('Live Collections'!G3231,Disbursements!$C:$C,0)),"")</f>
        <v/>
      </c>
      <c r="G3231" s="34"/>
      <c r="H3231" s="34">
        <v>4920</v>
      </c>
      <c r="I3231" s="34" t="s">
        <v>1359</v>
      </c>
      <c r="J3231" s="48">
        <v>15000</v>
      </c>
      <c r="K3231" s="48">
        <v>5000</v>
      </c>
      <c r="L3231" s="48"/>
      <c r="M3231" s="48"/>
      <c r="N3231" s="59"/>
      <c r="O3231" s="59"/>
      <c r="P3231" s="59"/>
      <c r="Q3231" s="268">
        <f t="shared" si="151"/>
        <v>20000</v>
      </c>
      <c r="R3231" s="61">
        <f>IF(O3231=0,0,SUMIFS(Disbursements!$T:$T,Disbursements!$B:$B,'Live Collections'!D3231,Disbursements!$D:$D,'Live Collections'!F3231))</f>
        <v>0</v>
      </c>
      <c r="S3231" s="304">
        <f>IF(O3231&lt;=IF($O3231=0,0,SUMIFS(Disbursements!$W:$W,Disbursements!$B:$B,'Live Collections'!D3231,Disbursements!$D:$D,'Live Collections'!F3231)),O3231,IF($O3231=0,0,SUMIFS(Disbursements!$W:$W,Disbursements!$B:$B,'Live Collections'!D3231,Disbursements!$D:$D,'Live Collections'!F3231)))</f>
        <v>0</v>
      </c>
      <c r="T3231" s="304">
        <f t="shared" si="152"/>
        <v>0</v>
      </c>
      <c r="U3231" s="52"/>
      <c r="V3231" s="34"/>
      <c r="W3231" s="408"/>
    </row>
    <row r="3232" spans="1:23" ht="12.75" customHeight="1" x14ac:dyDescent="0.2">
      <c r="A3232" s="257">
        <v>3240</v>
      </c>
      <c r="B3232" s="44">
        <v>44617</v>
      </c>
      <c r="C3232" s="44">
        <f t="shared" si="153"/>
        <v>44617</v>
      </c>
      <c r="D3232" s="374">
        <v>303</v>
      </c>
      <c r="E3232" s="291" t="str">
        <f>IFERROR(VLOOKUP($D3232,'Clients-Live'!$A:$C,3,0),"")</f>
        <v>APAYI DOROTHY</v>
      </c>
      <c r="F3232" s="291">
        <f>IFERROR(INDEX(Disbursements!$D:$D,MATCH('Live Collections'!G3232,Disbursements!$C:$C,0)),"")</f>
        <v>1</v>
      </c>
      <c r="G3232" s="34">
        <v>399</v>
      </c>
      <c r="H3232" s="34">
        <v>4971</v>
      </c>
      <c r="I3232" s="34" t="s">
        <v>1359</v>
      </c>
      <c r="J3232" s="48"/>
      <c r="K3232" s="48"/>
      <c r="L3232" s="48"/>
      <c r="M3232" s="48"/>
      <c r="N3232" s="59"/>
      <c r="O3232" s="59">
        <v>20000</v>
      </c>
      <c r="P3232" s="59"/>
      <c r="Q3232" s="268">
        <f t="shared" si="151"/>
        <v>20000</v>
      </c>
      <c r="R3232" s="61">
        <f>IF(O3232=0,0,SUMIFS(Disbursements!$T:$T,Disbursements!$B:$B,'Live Collections'!D3232,Disbursements!$D:$D,'Live Collections'!F3232))</f>
        <v>40000</v>
      </c>
      <c r="S3232" s="304"/>
      <c r="T3232" s="304">
        <f t="shared" si="152"/>
        <v>20000</v>
      </c>
      <c r="U3232" s="52"/>
      <c r="V3232" s="34"/>
      <c r="W3232" s="408"/>
    </row>
    <row r="3233" spans="1:23" ht="12.75" customHeight="1" x14ac:dyDescent="0.2">
      <c r="A3233" s="257">
        <v>3241</v>
      </c>
      <c r="B3233" s="44">
        <v>44617</v>
      </c>
      <c r="C3233" s="44">
        <f t="shared" si="153"/>
        <v>44617</v>
      </c>
      <c r="D3233" s="374">
        <v>66</v>
      </c>
      <c r="E3233" s="291" t="str">
        <f>IFERROR(VLOOKUP($D3233,'Clients-Live'!$A:$C,3,0),"")</f>
        <v>DENAYA NYAMAZA</v>
      </c>
      <c r="F3233" s="291">
        <f>IFERROR(INDEX(Disbursements!$D:$D,MATCH('Live Collections'!G3233,Disbursements!$C:$C,0)),"")</f>
        <v>2</v>
      </c>
      <c r="G3233" s="34">
        <v>300</v>
      </c>
      <c r="H3233" s="34">
        <v>4918</v>
      </c>
      <c r="I3233" s="34" t="s">
        <v>1357</v>
      </c>
      <c r="J3233" s="48"/>
      <c r="K3233" s="48"/>
      <c r="L3233" s="48"/>
      <c r="M3233" s="48"/>
      <c r="N3233" s="59"/>
      <c r="O3233" s="59">
        <v>100000</v>
      </c>
      <c r="P3233" s="59"/>
      <c r="Q3233" s="268">
        <f t="shared" si="151"/>
        <v>100000</v>
      </c>
      <c r="R3233" s="61">
        <f>IF(O3233=0,0,SUMIFS(Disbursements!$T:$T,Disbursements!$B:$B,'Live Collections'!D3233,Disbursements!$D:$D,'Live Collections'!F3233))</f>
        <v>109000</v>
      </c>
      <c r="S3233" s="304">
        <f>IF(O3233&lt;=IF($O3233=0,0,SUMIFS(Disbursements!$W:$W,Disbursements!$B:$B,'Live Collections'!D3233,Disbursements!$D:$D,'Live Collections'!F3233)),O3233,IF($O3233=0,0,SUMIFS(Disbursements!$W:$W,Disbursements!$B:$B,'Live Collections'!D3233,Disbursements!$D:$D,'Live Collections'!F3233)))</f>
        <v>25666.666666666672</v>
      </c>
      <c r="T3233" s="304">
        <f t="shared" si="152"/>
        <v>74333.333333333328</v>
      </c>
      <c r="U3233" s="52"/>
      <c r="V3233" s="34"/>
      <c r="W3233" s="408"/>
    </row>
    <row r="3234" spans="1:23" ht="12.75" customHeight="1" x14ac:dyDescent="0.2">
      <c r="A3234" s="257">
        <v>3242</v>
      </c>
      <c r="B3234" s="44">
        <v>44617</v>
      </c>
      <c r="C3234" s="44">
        <f t="shared" si="153"/>
        <v>44617</v>
      </c>
      <c r="D3234" s="374">
        <v>105</v>
      </c>
      <c r="E3234" s="291" t="str">
        <f>IFERROR(VLOOKUP($D3234,'Clients-Live'!$A:$C,3,0),"")</f>
        <v>NUKA ROSE</v>
      </c>
      <c r="F3234" s="291">
        <f>IFERROR(INDEX(Disbursements!$D:$D,MATCH('Live Collections'!G3234,Disbursements!$C:$C,0)),"")</f>
        <v>2</v>
      </c>
      <c r="G3234" s="34">
        <v>259</v>
      </c>
      <c r="H3234" s="34">
        <v>4793</v>
      </c>
      <c r="I3234" s="34" t="s">
        <v>1359</v>
      </c>
      <c r="J3234" s="48"/>
      <c r="K3234" s="48"/>
      <c r="L3234" s="48"/>
      <c r="M3234" s="48"/>
      <c r="N3234" s="59"/>
      <c r="O3234" s="59">
        <v>80000</v>
      </c>
      <c r="P3234" s="59"/>
      <c r="Q3234" s="268">
        <f t="shared" si="151"/>
        <v>80000</v>
      </c>
      <c r="R3234" s="61">
        <f>IF(O3234=0,0,SUMIFS(Disbursements!$T:$T,Disbursements!$B:$B,'Live Collections'!D3234,Disbursements!$D:$D,'Live Collections'!F3234))</f>
        <v>100000</v>
      </c>
      <c r="S3234" s="304"/>
      <c r="T3234" s="304">
        <f t="shared" si="152"/>
        <v>80000</v>
      </c>
      <c r="U3234" s="52"/>
      <c r="V3234" s="34"/>
      <c r="W3234" s="408"/>
    </row>
    <row r="3235" spans="1:23" ht="12.75" customHeight="1" x14ac:dyDescent="0.2">
      <c r="A3235" s="257">
        <v>3243</v>
      </c>
      <c r="B3235" s="44">
        <v>44617</v>
      </c>
      <c r="C3235" s="44">
        <f t="shared" si="153"/>
        <v>44617</v>
      </c>
      <c r="D3235" s="374">
        <v>46</v>
      </c>
      <c r="E3235" s="291" t="str">
        <f>IFERROR(VLOOKUP($D3235,'Clients-Live'!$A:$C,3,0),"")</f>
        <v>ALIO YUDA</v>
      </c>
      <c r="F3235" s="291">
        <f>IFERROR(INDEX(Disbursements!$D:$D,MATCH('Live Collections'!G3235,Disbursements!$C:$C,0)),"")</f>
        <v>2</v>
      </c>
      <c r="G3235" s="34">
        <v>400</v>
      </c>
      <c r="H3235" s="34">
        <v>4969</v>
      </c>
      <c r="I3235" s="34" t="s">
        <v>1357</v>
      </c>
      <c r="J3235" s="48"/>
      <c r="K3235" s="48"/>
      <c r="L3235" s="48"/>
      <c r="M3235" s="48"/>
      <c r="N3235" s="59"/>
      <c r="O3235" s="59">
        <v>100000</v>
      </c>
      <c r="P3235" s="59"/>
      <c r="Q3235" s="268">
        <f t="shared" si="151"/>
        <v>100000</v>
      </c>
      <c r="R3235" s="61">
        <f>IF(O3235=0,0,SUMIFS(Disbursements!$T:$T,Disbursements!$B:$B,'Live Collections'!D3235,Disbursements!$D:$D,'Live Collections'!F3235))</f>
        <v>76000</v>
      </c>
      <c r="S3235" s="304">
        <f>IF(O3235&lt;=IF($O3235=0,0,SUMIFS(Disbursements!$W:$W,Disbursements!$B:$B,'Live Collections'!D3235,Disbursements!$D:$D,'Live Collections'!F3235)),O3235,IF($O3235=0,0,SUMIFS(Disbursements!$W:$W,Disbursements!$B:$B,'Live Collections'!D3235,Disbursements!$D:$D,'Live Collections'!F3235)))</f>
        <v>21833.333333333336</v>
      </c>
      <c r="T3235" s="304">
        <f t="shared" si="152"/>
        <v>78166.666666666657</v>
      </c>
      <c r="U3235" s="52"/>
      <c r="V3235" s="34"/>
      <c r="W3235" s="408"/>
    </row>
    <row r="3236" spans="1:23" ht="12.75" customHeight="1" x14ac:dyDescent="0.2">
      <c r="A3236" s="257">
        <v>3244</v>
      </c>
      <c r="B3236" s="44">
        <v>44617</v>
      </c>
      <c r="C3236" s="44">
        <f t="shared" si="153"/>
        <v>44617</v>
      </c>
      <c r="D3236" s="374">
        <v>124</v>
      </c>
      <c r="E3236" s="291" t="str">
        <f>IFERROR(VLOOKUP($D3236,'Clients-Live'!$A:$C,3,0),"")</f>
        <v>TIKO ZABIBU</v>
      </c>
      <c r="F3236" s="291">
        <f>IFERROR(INDEX(Disbursements!$D:$D,MATCH('Live Collections'!G3236,Disbursements!$C:$C,0)),"")</f>
        <v>2</v>
      </c>
      <c r="G3236" s="34">
        <v>335</v>
      </c>
      <c r="H3236" s="34">
        <v>4970</v>
      </c>
      <c r="I3236" s="34" t="s">
        <v>1358</v>
      </c>
      <c r="J3236" s="48"/>
      <c r="K3236" s="48"/>
      <c r="L3236" s="48"/>
      <c r="M3236" s="48"/>
      <c r="N3236" s="59"/>
      <c r="O3236" s="59">
        <v>40000</v>
      </c>
      <c r="P3236" s="59"/>
      <c r="Q3236" s="268">
        <f t="shared" si="151"/>
        <v>40000</v>
      </c>
      <c r="R3236" s="61">
        <f>IF(O3236=0,0,SUMIFS(Disbursements!$T:$T,Disbursements!$B:$B,'Live Collections'!D3236,Disbursements!$D:$D,'Live Collections'!F3236))</f>
        <v>200000</v>
      </c>
      <c r="S3236" s="304">
        <f>IF(O3236&lt;=IF($O3236=0,0,SUMIFS(Disbursements!$W:$W,Disbursements!$B:$B,'Live Collections'!D3236,Disbursements!$D:$D,'Live Collections'!F3236)),O3236,IF($O3236=0,0,SUMIFS(Disbursements!$W:$W,Disbursements!$B:$B,'Live Collections'!D3236,Disbursements!$D:$D,'Live Collections'!F3236)))</f>
        <v>40000</v>
      </c>
      <c r="T3236" s="304">
        <f t="shared" si="152"/>
        <v>0</v>
      </c>
      <c r="U3236" s="52"/>
      <c r="V3236" s="34"/>
      <c r="W3236" s="408"/>
    </row>
    <row r="3237" spans="1:23" ht="12.75" customHeight="1" x14ac:dyDescent="0.2">
      <c r="A3237" s="257">
        <v>3245</v>
      </c>
      <c r="B3237" s="44">
        <v>44617</v>
      </c>
      <c r="C3237" s="44">
        <f t="shared" si="153"/>
        <v>44617</v>
      </c>
      <c r="D3237" s="374">
        <v>242</v>
      </c>
      <c r="E3237" s="291" t="str">
        <f>IFERROR(VLOOKUP($D3237,'Clients-Live'!$A:$C,3,0),"")</f>
        <v>BAKOKO FLAVIA</v>
      </c>
      <c r="F3237" s="291">
        <f>IFERROR(INDEX(Disbursements!$D:$D,MATCH('Live Collections'!G3237,Disbursements!$C:$C,0)),"")</f>
        <v>1</v>
      </c>
      <c r="G3237" s="34">
        <v>277</v>
      </c>
      <c r="H3237" s="34">
        <v>4792</v>
      </c>
      <c r="I3237" s="34" t="s">
        <v>1359</v>
      </c>
      <c r="J3237" s="48"/>
      <c r="K3237" s="48"/>
      <c r="L3237" s="48"/>
      <c r="M3237" s="48"/>
      <c r="N3237" s="59"/>
      <c r="O3237" s="59">
        <v>200000</v>
      </c>
      <c r="P3237" s="59"/>
      <c r="Q3237" s="268">
        <f t="shared" si="151"/>
        <v>200000</v>
      </c>
      <c r="R3237" s="61">
        <f>IF(O3237=0,0,SUMIFS(Disbursements!$T:$T,Disbursements!$B:$B,'Live Collections'!D3237,Disbursements!$D:$D,'Live Collections'!F3237))</f>
        <v>217000</v>
      </c>
      <c r="S3237" s="304">
        <f>IF(O3237&lt;=IF($O3237=0,0,SUMIFS(Disbursements!$W:$W,Disbursements!$B:$B,'Live Collections'!D3237,Disbursements!$D:$D,'Live Collections'!F3237)),O3237,IF($O3237=0,0,SUMIFS(Disbursements!$W:$W,Disbursements!$B:$B,'Live Collections'!D3237,Disbursements!$D:$D,'Live Collections'!F3237)))</f>
        <v>50333.333333333343</v>
      </c>
      <c r="T3237" s="304">
        <f t="shared" si="152"/>
        <v>149666.66666666666</v>
      </c>
      <c r="U3237" s="52"/>
      <c r="V3237" s="34"/>
      <c r="W3237" s="408"/>
    </row>
    <row r="3238" spans="1:23" ht="12.75" customHeight="1" x14ac:dyDescent="0.2">
      <c r="A3238" s="257">
        <v>3246</v>
      </c>
      <c r="B3238" s="44">
        <v>44617</v>
      </c>
      <c r="C3238" s="44">
        <f t="shared" si="153"/>
        <v>44617</v>
      </c>
      <c r="D3238" s="374">
        <v>9</v>
      </c>
      <c r="E3238" s="291" t="str">
        <f>IFERROR(VLOOKUP($D3238,'Clients-Live'!$A:$C,3,0),"")</f>
        <v>TABAN DAVID YAYA</v>
      </c>
      <c r="F3238" s="291">
        <f>IFERROR(INDEX(Disbursements!$D:$D,MATCH('Live Collections'!G3238,Disbursements!$C:$C,0)),"")</f>
        <v>3</v>
      </c>
      <c r="G3238" s="34">
        <v>423</v>
      </c>
      <c r="H3238" s="34">
        <v>4791</v>
      </c>
      <c r="I3238" s="34" t="s">
        <v>1357</v>
      </c>
      <c r="J3238" s="48"/>
      <c r="K3238" s="48"/>
      <c r="L3238" s="48"/>
      <c r="M3238" s="48"/>
      <c r="N3238" s="59"/>
      <c r="O3238" s="59">
        <v>150000</v>
      </c>
      <c r="P3238" s="59"/>
      <c r="Q3238" s="268">
        <f t="shared" si="151"/>
        <v>150000</v>
      </c>
      <c r="R3238" s="61">
        <f>IF(O3238=0,0,SUMIFS(Disbursements!$T:$T,Disbursements!$B:$B,'Live Collections'!D3238,Disbursements!$D:$D,'Live Collections'!F3238))</f>
        <v>189000</v>
      </c>
      <c r="S3238" s="304">
        <f>IF(O3238&lt;=IF($O3238=0,0,SUMIFS(Disbursements!$W:$W,Disbursements!$B:$B,'Live Collections'!D433,Disbursements!$D:$D,'Live Collections'!F433)),O3238,IF($O3238=0,0,SUMIFS(Disbursements!$W:$W,Disbursements!$B:$B,'Live Collections'!D433,Disbursements!$D:$D,'Live Collections'!F433)))</f>
        <v>15000</v>
      </c>
      <c r="T3238" s="304">
        <f t="shared" si="152"/>
        <v>135000</v>
      </c>
      <c r="U3238" s="52"/>
      <c r="V3238" s="34"/>
      <c r="W3238" s="408"/>
    </row>
    <row r="3239" spans="1:23" ht="12.75" customHeight="1" x14ac:dyDescent="0.2">
      <c r="A3239" s="257">
        <v>3247</v>
      </c>
      <c r="B3239" s="44">
        <v>44617</v>
      </c>
      <c r="C3239" s="44">
        <f t="shared" si="153"/>
        <v>44617</v>
      </c>
      <c r="D3239" s="374">
        <v>154</v>
      </c>
      <c r="E3239" s="291" t="str">
        <f>IFERROR(VLOOKUP($D3239,'Clients-Live'!$A:$C,3,0),"")</f>
        <v>ERIMU SAMSON</v>
      </c>
      <c r="F3239" s="291">
        <f>IFERROR(INDEX(Disbursements!$D:$D,MATCH('Live Collections'!G3239,Disbursements!$C:$C,0)),"")</f>
        <v>1</v>
      </c>
      <c r="G3239" s="34">
        <v>140</v>
      </c>
      <c r="H3239" s="34">
        <v>4968</v>
      </c>
      <c r="I3239" s="34" t="s">
        <v>1358</v>
      </c>
      <c r="J3239" s="48"/>
      <c r="K3239" s="48"/>
      <c r="L3239" s="48"/>
      <c r="M3239" s="48"/>
      <c r="N3239" s="59"/>
      <c r="O3239" s="59">
        <v>100000</v>
      </c>
      <c r="P3239" s="59"/>
      <c r="Q3239" s="268">
        <f t="shared" si="151"/>
        <v>100000</v>
      </c>
      <c r="R3239" s="61">
        <f>IF(O3239=0,0,SUMIFS(Disbursements!$T:$T,Disbursements!$B:$B,'Live Collections'!D3239,Disbursements!$D:$D,'Live Collections'!F3239))</f>
        <v>390000</v>
      </c>
      <c r="S3239" s="304">
        <f>IF(O3239&lt;=IF($O3239=0,0,SUMIFS(Disbursements!$W:$W,Disbursements!$B:$B,'Live Collections'!D3239,Disbursements!$D:$D,'Live Collections'!F3239)),O3239,IF($O3239=0,0,SUMIFS(Disbursements!$W:$W,Disbursements!$B:$B,'Live Collections'!D3239,Disbursements!$D:$D,'Live Collections'!F3239)))</f>
        <v>90000</v>
      </c>
      <c r="T3239" s="304">
        <f t="shared" si="152"/>
        <v>10000</v>
      </c>
      <c r="U3239" s="52"/>
      <c r="V3239" s="34"/>
      <c r="W3239" s="408"/>
    </row>
    <row r="3240" spans="1:23" ht="12.75" customHeight="1" x14ac:dyDescent="0.2">
      <c r="A3240" s="257">
        <v>3248</v>
      </c>
      <c r="B3240" s="44">
        <v>44617</v>
      </c>
      <c r="C3240" s="44">
        <f t="shared" si="153"/>
        <v>44617</v>
      </c>
      <c r="D3240" s="374">
        <v>157</v>
      </c>
      <c r="E3240" s="291" t="str">
        <f>IFERROR(VLOOKUP($D3240,'Clients-Live'!$A:$C,3,0),"")</f>
        <v>AYITE MARGERT</v>
      </c>
      <c r="F3240" s="291">
        <f>IFERROR(INDEX(Disbursements!$D:$D,MATCH('Live Collections'!G3240,Disbursements!$C:$C,0)),"")</f>
        <v>2</v>
      </c>
      <c r="G3240" s="34">
        <v>345</v>
      </c>
      <c r="H3240" s="34">
        <v>4790</v>
      </c>
      <c r="I3240" s="34" t="s">
        <v>1357</v>
      </c>
      <c r="J3240" s="48"/>
      <c r="K3240" s="48"/>
      <c r="L3240" s="48"/>
      <c r="M3240" s="48"/>
      <c r="N3240" s="59"/>
      <c r="O3240" s="59">
        <v>45000</v>
      </c>
      <c r="P3240" s="59"/>
      <c r="Q3240" s="268">
        <f t="shared" si="151"/>
        <v>45000</v>
      </c>
      <c r="R3240" s="61">
        <f>IF(O3240=0,0,SUMIFS(Disbursements!$T:$T,Disbursements!$B:$B,'Live Collections'!D3240,Disbursements!$D:$D,'Live Collections'!F3240))</f>
        <v>175000</v>
      </c>
      <c r="S3240" s="304">
        <f>IF(O3240&lt;=IF($O3240=0,0,SUMIFS(Disbursements!$W:$W,Disbursements!$B:$B,'Live Collections'!D3240,Disbursements!$D:$D,'Live Collections'!F3240)),O3240,IF($O3240=0,0,SUMIFS(Disbursements!$W:$W,Disbursements!$B:$B,'Live Collections'!D3240,Disbursements!$D:$D,'Live Collections'!F3240)))</f>
        <v>35000</v>
      </c>
      <c r="T3240" s="304">
        <f t="shared" si="152"/>
        <v>10000</v>
      </c>
      <c r="U3240" s="52"/>
      <c r="V3240" s="34"/>
      <c r="W3240" s="408"/>
    </row>
    <row r="3241" spans="1:23" ht="12.75" customHeight="1" x14ac:dyDescent="0.2">
      <c r="A3241" s="257">
        <v>3249</v>
      </c>
      <c r="B3241" s="44">
        <v>44617</v>
      </c>
      <c r="C3241" s="44">
        <f t="shared" si="153"/>
        <v>44617</v>
      </c>
      <c r="D3241" s="374">
        <v>288</v>
      </c>
      <c r="E3241" s="291" t="str">
        <f>IFERROR(VLOOKUP($D3241,'Clients-Live'!$A:$C,3,0),"")</f>
        <v>MITU LAWRENCE</v>
      </c>
      <c r="F3241" s="291">
        <f>IFERROR(INDEX(Disbursements!$D:$D,MATCH('Live Collections'!G3241,Disbursements!$C:$C,0)),"")</f>
        <v>1</v>
      </c>
      <c r="G3241" s="34">
        <v>347</v>
      </c>
      <c r="H3241" s="34">
        <v>4967</v>
      </c>
      <c r="I3241" s="34" t="s">
        <v>1359</v>
      </c>
      <c r="J3241" s="48"/>
      <c r="K3241" s="48"/>
      <c r="L3241" s="48"/>
      <c r="M3241" s="48"/>
      <c r="N3241" s="59"/>
      <c r="O3241" s="59">
        <v>200000</v>
      </c>
      <c r="P3241" s="59"/>
      <c r="Q3241" s="268">
        <f t="shared" si="151"/>
        <v>200000</v>
      </c>
      <c r="R3241" s="61">
        <f>IF(O3241=0,0,SUMIFS(Disbursements!$T:$T,Disbursements!$B:$B,'Live Collections'!D3241,Disbursements!$D:$D,'Live Collections'!F3241))</f>
        <v>304000</v>
      </c>
      <c r="S3241" s="304">
        <f>IF(O3241&lt;=IF($O3241=0,0,SUMIFS(Disbursements!$W:$W,Disbursements!$B:$B,'Live Collections'!D3241,Disbursements!$D:$D,'Live Collections'!F3241)),O3241,IF($O3241=0,0,SUMIFS(Disbursements!$W:$W,Disbursements!$B:$B,'Live Collections'!D3241,Disbursements!$D:$D,'Live Collections'!F3241)))</f>
        <v>70666.666666666657</v>
      </c>
      <c r="T3241" s="304">
        <f t="shared" si="152"/>
        <v>129333.33333333334</v>
      </c>
      <c r="U3241" s="52"/>
      <c r="V3241" s="34"/>
      <c r="W3241" s="408"/>
    </row>
    <row r="3242" spans="1:23" ht="12.75" customHeight="1" x14ac:dyDescent="0.2">
      <c r="A3242" s="257">
        <v>3250</v>
      </c>
      <c r="B3242" s="44">
        <v>44618</v>
      </c>
      <c r="C3242" s="44">
        <f t="shared" si="153"/>
        <v>44618</v>
      </c>
      <c r="D3242" s="374">
        <v>192</v>
      </c>
      <c r="E3242" s="291" t="str">
        <f>IFERROR(VLOOKUP($D3242,'Clients-Live'!$A:$C,3,0),"")</f>
        <v>MAZARAU AISHA</v>
      </c>
      <c r="F3242" s="291">
        <f>IFERROR(INDEX(Disbursements!$D:$D,MATCH('Live Collections'!G3242,Disbursements!$C:$C,0)),"")</f>
        <v>2</v>
      </c>
      <c r="G3242" s="34">
        <v>354</v>
      </c>
      <c r="H3242" s="34">
        <v>4976</v>
      </c>
      <c r="I3242" s="34" t="s">
        <v>1357</v>
      </c>
      <c r="J3242" s="48"/>
      <c r="K3242" s="48"/>
      <c r="L3242" s="48"/>
      <c r="M3242" s="48"/>
      <c r="N3242" s="59"/>
      <c r="O3242" s="59">
        <v>70000</v>
      </c>
      <c r="P3242" s="59"/>
      <c r="Q3242" s="268">
        <f t="shared" si="151"/>
        <v>70000</v>
      </c>
      <c r="R3242" s="61">
        <f>IF(O3242=0,0,SUMIFS(Disbursements!$T:$T,Disbursements!$B:$B,'Live Collections'!D3242,Disbursements!$D:$D,'Live Collections'!F3242))</f>
        <v>120000</v>
      </c>
      <c r="S3242" s="64">
        <v>7000</v>
      </c>
      <c r="T3242" s="304">
        <f t="shared" si="152"/>
        <v>63000</v>
      </c>
      <c r="U3242" s="52"/>
      <c r="V3242" s="34"/>
      <c r="W3242" s="408"/>
    </row>
    <row r="3243" spans="1:23" ht="12.75" customHeight="1" x14ac:dyDescent="0.2">
      <c r="A3243" s="257">
        <v>3251</v>
      </c>
      <c r="B3243" s="44">
        <v>44618</v>
      </c>
      <c r="C3243" s="44">
        <f t="shared" si="153"/>
        <v>44618</v>
      </c>
      <c r="D3243" s="374">
        <v>25</v>
      </c>
      <c r="E3243" s="291" t="str">
        <f>IFERROR(VLOOKUP($D3243,'Clients-Live'!$A:$C,3,0),"")</f>
        <v>AROMA BOSCO</v>
      </c>
      <c r="F3243" s="291">
        <f>IFERROR(INDEX(Disbursements!$D:$D,MATCH('Live Collections'!G3243,Disbursements!$C:$C,0)),"")</f>
        <v>1</v>
      </c>
      <c r="G3243" s="34">
        <v>386</v>
      </c>
      <c r="H3243" s="34">
        <v>4958</v>
      </c>
      <c r="I3243" s="34" t="s">
        <v>1359</v>
      </c>
      <c r="J3243" s="48"/>
      <c r="K3243" s="48"/>
      <c r="L3243" s="48"/>
      <c r="M3243" s="48"/>
      <c r="N3243" s="59"/>
      <c r="O3243" s="59">
        <v>130000</v>
      </c>
      <c r="P3243" s="59"/>
      <c r="Q3243" s="268">
        <f t="shared" si="151"/>
        <v>130000</v>
      </c>
      <c r="R3243" s="61">
        <f>IF(O3243=0,0,SUMIFS(Disbursements!$T:$T,Disbursements!$B:$B,'Live Collections'!D3243,Disbursements!$D:$D,'Live Collections'!F3243))</f>
        <v>130000</v>
      </c>
      <c r="S3243" s="304">
        <f>IF(O3243&lt;=IF($O3243=0,0,SUMIFS(Disbursements!$W:$W,Disbursements!$B:$B,'Live Collections'!D3243,Disbursements!$D:$D,'Live Collections'!F3243)),O3243,IF($O3243=0,0,SUMIFS(Disbursements!$W:$W,Disbursements!$B:$B,'Live Collections'!D3243,Disbursements!$D:$D,'Live Collections'!F3243)))</f>
        <v>30000</v>
      </c>
      <c r="T3243" s="304">
        <f t="shared" si="152"/>
        <v>100000</v>
      </c>
      <c r="U3243" s="52"/>
      <c r="V3243" s="34"/>
      <c r="W3243" s="408"/>
    </row>
    <row r="3244" spans="1:23" ht="12.75" customHeight="1" x14ac:dyDescent="0.2">
      <c r="A3244" s="257">
        <v>3252</v>
      </c>
      <c r="B3244" s="44">
        <v>44618</v>
      </c>
      <c r="C3244" s="44">
        <f t="shared" si="153"/>
        <v>44618</v>
      </c>
      <c r="D3244" s="374">
        <v>267</v>
      </c>
      <c r="E3244" s="291" t="str">
        <f>IFERROR(VLOOKUP($D3244,'Clients-Live'!$A:$C,3,0),"")</f>
        <v>KAMUSIRI JULIUS</v>
      </c>
      <c r="F3244" s="291">
        <f>IFERROR(INDEX(Disbursements!$D:$D,MATCH('Live Collections'!G3244,Disbursements!$C:$C,0)),"")</f>
        <v>1</v>
      </c>
      <c r="G3244" s="34">
        <v>346</v>
      </c>
      <c r="H3244" s="34">
        <v>4794</v>
      </c>
      <c r="I3244" s="34" t="s">
        <v>1357</v>
      </c>
      <c r="J3244" s="48"/>
      <c r="K3244" s="48"/>
      <c r="L3244" s="48"/>
      <c r="M3244" s="48"/>
      <c r="N3244" s="59"/>
      <c r="O3244" s="59">
        <v>10500</v>
      </c>
      <c r="P3244" s="59"/>
      <c r="Q3244" s="268">
        <f t="shared" si="151"/>
        <v>10500</v>
      </c>
      <c r="R3244" s="61">
        <f>IF(O3244=0,0,SUMIFS(Disbursements!$T:$T,Disbursements!$B:$B,'Live Collections'!D3244,Disbursements!$D:$D,'Live Collections'!F3244))</f>
        <v>83000</v>
      </c>
      <c r="S3244" s="304"/>
      <c r="T3244" s="304">
        <f t="shared" si="152"/>
        <v>10500</v>
      </c>
      <c r="U3244" s="52"/>
      <c r="V3244" s="34"/>
      <c r="W3244" s="408"/>
    </row>
    <row r="3245" spans="1:23" ht="12.75" customHeight="1" x14ac:dyDescent="0.2">
      <c r="A3245" s="257">
        <v>3253</v>
      </c>
      <c r="B3245" s="44">
        <v>44618</v>
      </c>
      <c r="C3245" s="44">
        <f t="shared" si="153"/>
        <v>44618</v>
      </c>
      <c r="D3245" s="374">
        <v>55</v>
      </c>
      <c r="E3245" s="291" t="str">
        <f>IFERROR(VLOOKUP($D3245,'Clients-Live'!$A:$C,3,0),"")</f>
        <v>SOKOLA SHARON</v>
      </c>
      <c r="F3245" s="291">
        <f>IFERROR(INDEX(Disbursements!$D:$D,MATCH('Live Collections'!G3245,Disbursements!$C:$C,0)),"")</f>
        <v>2</v>
      </c>
      <c r="G3245" s="34">
        <v>288</v>
      </c>
      <c r="H3245" s="34">
        <v>4977</v>
      </c>
      <c r="I3245" s="34" t="s">
        <v>1359</v>
      </c>
      <c r="J3245" s="48"/>
      <c r="K3245" s="48"/>
      <c r="L3245" s="48"/>
      <c r="M3245" s="48"/>
      <c r="N3245" s="59"/>
      <c r="O3245" s="59">
        <v>50000</v>
      </c>
      <c r="P3245" s="59"/>
      <c r="Q3245" s="268">
        <f t="shared" si="151"/>
        <v>50000</v>
      </c>
      <c r="R3245" s="61">
        <f>IF(O3245=0,0,SUMIFS(Disbursements!$T:$T,Disbursements!$B:$B,'Live Collections'!D3245,Disbursements!$D:$D,'Live Collections'!F3245))</f>
        <v>210000</v>
      </c>
      <c r="S3245" s="304">
        <f>IF(O3245&lt;=IF($O3245=0,0,SUMIFS(Disbursements!$W:$W,Disbursements!$B:$B,'Live Collections'!D3245,Disbursements!$D:$D,'Live Collections'!F3245)),O3245,IF($O3245=0,0,SUMIFS(Disbursements!$W:$W,Disbursements!$B:$B,'Live Collections'!D3245,Disbursements!$D:$D,'Live Collections'!F3245)))</f>
        <v>35000</v>
      </c>
      <c r="T3245" s="304">
        <f t="shared" si="152"/>
        <v>15000</v>
      </c>
      <c r="U3245" s="52"/>
      <c r="V3245" s="34"/>
      <c r="W3245" s="408"/>
    </row>
    <row r="3246" spans="1:23" ht="12.75" customHeight="1" x14ac:dyDescent="0.2">
      <c r="A3246" s="257">
        <v>3254</v>
      </c>
      <c r="B3246" s="44">
        <v>44620</v>
      </c>
      <c r="C3246" s="44">
        <f t="shared" si="153"/>
        <v>44620</v>
      </c>
      <c r="D3246" s="374">
        <v>161</v>
      </c>
      <c r="E3246" s="291" t="str">
        <f>IFERROR(VLOOKUP($D3246,'Clients-Live'!$A:$C,3,0),"")</f>
        <v>OKUYO BERNARD</v>
      </c>
      <c r="F3246" s="291">
        <f>IFERROR(INDEX(Disbursements!$D:$D,MATCH('Live Collections'!G3246,Disbursements!$C:$C,0)),"")</f>
        <v>1</v>
      </c>
      <c r="G3246" s="34">
        <v>146</v>
      </c>
      <c r="H3246" s="34" t="s">
        <v>2128</v>
      </c>
      <c r="I3246" s="34" t="s">
        <v>1357</v>
      </c>
      <c r="J3246" s="48"/>
      <c r="K3246" s="48"/>
      <c r="L3246" s="48"/>
      <c r="M3246" s="48"/>
      <c r="N3246" s="59"/>
      <c r="O3246" s="59">
        <v>500000</v>
      </c>
      <c r="P3246" s="59">
        <v>-500000</v>
      </c>
      <c r="Q3246" s="268">
        <f t="shared" ref="Q3246:Q3307" si="154">SUM(J3246:P3246)</f>
        <v>0</v>
      </c>
      <c r="R3246" s="61">
        <f>IF(O3246=0,0,SUMIFS(Disbursements!$T:$T,Disbursements!$B:$B,'Live Collections'!D3246,Disbursements!$D:$D,'Live Collections'!F3246))</f>
        <v>5375000</v>
      </c>
      <c r="S3246" s="64">
        <v>337000</v>
      </c>
      <c r="T3246" s="304">
        <f t="shared" si="152"/>
        <v>163000</v>
      </c>
      <c r="U3246" s="52"/>
      <c r="V3246" s="34"/>
      <c r="W3246" s="408"/>
    </row>
    <row r="3247" spans="1:23" ht="12.75" customHeight="1" x14ac:dyDescent="0.2">
      <c r="A3247" s="257">
        <v>3255</v>
      </c>
      <c r="B3247" s="44">
        <v>44620</v>
      </c>
      <c r="C3247" s="44">
        <f t="shared" si="153"/>
        <v>44620</v>
      </c>
      <c r="D3247" s="374">
        <v>309</v>
      </c>
      <c r="E3247" s="291" t="str">
        <f>IFERROR(VLOOKUP($D3247,'Clients-Live'!$A:$C,3,0),"")</f>
        <v>NAMBOZO HALIMA</v>
      </c>
      <c r="F3247" s="291">
        <f>IFERROR(INDEX(Disbursements!$D:$D,MATCH('Live Collections'!G3247,Disbursements!$C:$C,0)),"")</f>
        <v>1</v>
      </c>
      <c r="G3247" s="34">
        <v>391</v>
      </c>
      <c r="H3247" s="34">
        <v>4978</v>
      </c>
      <c r="I3247" s="34" t="s">
        <v>1357</v>
      </c>
      <c r="J3247" s="48"/>
      <c r="K3247" s="48"/>
      <c r="L3247" s="48"/>
      <c r="M3247" s="48"/>
      <c r="N3247" s="59"/>
      <c r="O3247" s="59">
        <v>70000</v>
      </c>
      <c r="P3247" s="59"/>
      <c r="Q3247" s="268">
        <f t="shared" si="154"/>
        <v>70000</v>
      </c>
      <c r="R3247" s="61">
        <f>IF(O3247=0,0,SUMIFS(Disbursements!$T:$T,Disbursements!$B:$B,'Live Collections'!D3247,Disbursements!$D:$D,'Live Collections'!F3247))</f>
        <v>79000</v>
      </c>
      <c r="S3247" s="304">
        <f>IF(O3247&lt;=IF($O3247=0,0,SUMIFS(Disbursements!$W:$W,Disbursements!$B:$B,'Live Collections'!D3247,Disbursements!$D:$D,'Live Collections'!F3247)),O3247,IF($O3247=0,0,SUMIFS(Disbursements!$W:$W,Disbursements!$B:$B,'Live Collections'!D3247,Disbursements!$D:$D,'Live Collections'!F3247)))</f>
        <v>16500</v>
      </c>
      <c r="T3247" s="304">
        <f t="shared" si="152"/>
        <v>53500</v>
      </c>
      <c r="U3247" s="52"/>
      <c r="V3247" s="34"/>
      <c r="W3247" s="408"/>
    </row>
    <row r="3248" spans="1:23" ht="12.75" customHeight="1" x14ac:dyDescent="0.2">
      <c r="A3248" s="257">
        <v>3256</v>
      </c>
      <c r="B3248" s="44">
        <v>44620</v>
      </c>
      <c r="C3248" s="44">
        <f t="shared" si="153"/>
        <v>44620</v>
      </c>
      <c r="D3248" s="374">
        <v>215</v>
      </c>
      <c r="E3248" s="291" t="str">
        <f>IFERROR(VLOOKUP($D3248,'Clients-Live'!$A:$C,3,0),"")</f>
        <v>BRANI MUSA</v>
      </c>
      <c r="F3248" s="291">
        <f>IFERROR(INDEX(Disbursements!$D:$D,MATCH('Live Collections'!G3248,Disbursements!$C:$C,0)),"")</f>
        <v>2</v>
      </c>
      <c r="G3248" s="34">
        <v>343</v>
      </c>
      <c r="H3248" s="34">
        <v>4979</v>
      </c>
      <c r="I3248" s="34" t="s">
        <v>1357</v>
      </c>
      <c r="J3248" s="48"/>
      <c r="K3248" s="48"/>
      <c r="L3248" s="48"/>
      <c r="M3248" s="48"/>
      <c r="N3248" s="59"/>
      <c r="O3248" s="59">
        <v>100000</v>
      </c>
      <c r="P3248" s="59"/>
      <c r="Q3248" s="268">
        <f t="shared" si="154"/>
        <v>100000</v>
      </c>
      <c r="R3248" s="61">
        <f>IF(O3248=0,0,SUMIFS(Disbursements!$T:$T,Disbursements!$B:$B,'Live Collections'!D3248,Disbursements!$D:$D,'Live Collections'!F3248))</f>
        <v>369000</v>
      </c>
      <c r="S3248" s="304">
        <f>IF(O3248&lt;=IF($O3248=0,0,SUMIFS(Disbursements!$W:$W,Disbursements!$B:$B,'Live Collections'!D3248,Disbursements!$D:$D,'Live Collections'!F3248)),O3248,IF($O3248=0,0,SUMIFS(Disbursements!$W:$W,Disbursements!$B:$B,'Live Collections'!D3248,Disbursements!$D:$D,'Live Collections'!F3248)))</f>
        <v>85666.666666666686</v>
      </c>
      <c r="T3248" s="304">
        <f t="shared" si="152"/>
        <v>14333.333333333314</v>
      </c>
      <c r="U3248" s="52"/>
      <c r="V3248" s="34"/>
      <c r="W3248" s="408"/>
    </row>
    <row r="3249" spans="1:23" ht="12.75" customHeight="1" x14ac:dyDescent="0.2">
      <c r="A3249" s="257">
        <v>3257</v>
      </c>
      <c r="B3249" s="44">
        <v>44620</v>
      </c>
      <c r="C3249" s="44">
        <f t="shared" si="153"/>
        <v>44620</v>
      </c>
      <c r="D3249" s="374">
        <v>325</v>
      </c>
      <c r="E3249" s="291" t="str">
        <f>IFERROR(VLOOKUP($D3249,'Clients-Live'!$A:$C,3,0),"")</f>
        <v>MUNGUFENI RAMSEY</v>
      </c>
      <c r="F3249" s="291" t="str">
        <f>IFERROR(INDEX(Disbursements!$D:$D,MATCH('Live Collections'!G3249,Disbursements!$C:$C,0)),"")</f>
        <v/>
      </c>
      <c r="G3249" s="34"/>
      <c r="H3249" s="34">
        <v>4981</v>
      </c>
      <c r="I3249" s="34" t="s">
        <v>1760</v>
      </c>
      <c r="J3249" s="48">
        <v>15000</v>
      </c>
      <c r="K3249" s="48">
        <v>5000</v>
      </c>
      <c r="L3249" s="48"/>
      <c r="M3249" s="48"/>
      <c r="N3249" s="59"/>
      <c r="O3249" s="59"/>
      <c r="P3249" s="59"/>
      <c r="Q3249" s="268">
        <f t="shared" si="154"/>
        <v>20000</v>
      </c>
      <c r="R3249" s="61">
        <f>IF(O3249=0,0,SUMIFS(Disbursements!$T:$T,Disbursements!$B:$B,'Live Collections'!D3249,Disbursements!$D:$D,'Live Collections'!F3249))</f>
        <v>0</v>
      </c>
      <c r="S3249" s="304">
        <f>IF(O3249&lt;=IF($O3249=0,0,SUMIFS(Disbursements!$W:$W,Disbursements!$B:$B,'Live Collections'!D3249,Disbursements!$D:$D,'Live Collections'!F3249)),O3249,IF($O3249=0,0,SUMIFS(Disbursements!$W:$W,Disbursements!$B:$B,'Live Collections'!D3249,Disbursements!$D:$D,'Live Collections'!F3249)))</f>
        <v>0</v>
      </c>
      <c r="T3249" s="304">
        <f t="shared" si="152"/>
        <v>0</v>
      </c>
      <c r="U3249" s="52"/>
      <c r="V3249" s="34"/>
      <c r="W3249" s="408"/>
    </row>
    <row r="3250" spans="1:23" ht="12.75" customHeight="1" x14ac:dyDescent="0.2">
      <c r="A3250" s="257">
        <v>3258</v>
      </c>
      <c r="B3250" s="44">
        <v>44620</v>
      </c>
      <c r="C3250" s="44">
        <f t="shared" si="153"/>
        <v>44620</v>
      </c>
      <c r="D3250" s="374">
        <v>325</v>
      </c>
      <c r="E3250" s="291" t="str">
        <f>IFERROR(VLOOKUP($D3250,'Clients-Live'!$A:$C,3,0),"")</f>
        <v>MUNGUFENI RAMSEY</v>
      </c>
      <c r="F3250" s="291" t="str">
        <f>IFERROR(INDEX(Disbursements!$D:$D,MATCH('Live Collections'!G3250,Disbursements!$C:$C,0)),"")</f>
        <v/>
      </c>
      <c r="G3250" s="34"/>
      <c r="H3250" s="34">
        <v>4980</v>
      </c>
      <c r="I3250" s="34" t="s">
        <v>1359</v>
      </c>
      <c r="J3250" s="48"/>
      <c r="K3250" s="48"/>
      <c r="L3250" s="48">
        <v>15000</v>
      </c>
      <c r="M3250" s="48">
        <v>5000</v>
      </c>
      <c r="N3250" s="59"/>
      <c r="O3250" s="59"/>
      <c r="P3250" s="59"/>
      <c r="Q3250" s="268">
        <f t="shared" si="154"/>
        <v>20000</v>
      </c>
      <c r="R3250" s="61">
        <f>IF(O3250=0,0,SUMIFS(Disbursements!$T:$T,Disbursements!$B:$B,'Live Collections'!D3250,Disbursements!$D:$D,'Live Collections'!F3250))</f>
        <v>0</v>
      </c>
      <c r="S3250" s="304">
        <f>IF(O3250&lt;=IF($O3250=0,0,SUMIFS(Disbursements!$W:$W,Disbursements!$B:$B,'Live Collections'!D3250,Disbursements!$D:$D,'Live Collections'!F3250)),O3250,IF($O3250=0,0,SUMIFS(Disbursements!$W:$W,Disbursements!$B:$B,'Live Collections'!D3250,Disbursements!$D:$D,'Live Collections'!F3250)))</f>
        <v>0</v>
      </c>
      <c r="T3250" s="304">
        <f t="shared" si="152"/>
        <v>0</v>
      </c>
      <c r="U3250" s="52"/>
      <c r="V3250" s="34"/>
      <c r="W3250" s="408"/>
    </row>
    <row r="3251" spans="1:23" ht="12.75" customHeight="1" x14ac:dyDescent="0.2">
      <c r="A3251" s="257">
        <v>3259</v>
      </c>
      <c r="B3251" s="44">
        <v>44620</v>
      </c>
      <c r="C3251" s="44">
        <f t="shared" si="153"/>
        <v>44620</v>
      </c>
      <c r="D3251" s="374">
        <v>175</v>
      </c>
      <c r="E3251" s="291" t="str">
        <f>IFERROR(VLOOKUP($D3251,'Clients-Live'!$A:$C,3,0),"")</f>
        <v>ZUBEDA WAIGA</v>
      </c>
      <c r="F3251" s="291">
        <f>IFERROR(INDEX(Disbursements!$D:$D,MATCH('Live Collections'!G3251,Disbursements!$C:$C,0)),"")</f>
        <v>2</v>
      </c>
      <c r="G3251" s="34">
        <v>433</v>
      </c>
      <c r="H3251" s="34">
        <v>4875</v>
      </c>
      <c r="I3251" s="34" t="s">
        <v>1358</v>
      </c>
      <c r="J3251" s="48"/>
      <c r="K3251" s="48"/>
      <c r="L3251" s="48"/>
      <c r="M3251" s="48"/>
      <c r="N3251" s="59"/>
      <c r="O3251" s="59">
        <v>40000</v>
      </c>
      <c r="P3251" s="59"/>
      <c r="Q3251" s="268">
        <f t="shared" si="154"/>
        <v>40000</v>
      </c>
      <c r="R3251" s="61">
        <f>IF(O3251=0,0,SUMIFS(Disbursements!$T:$T,Disbursements!$B:$B,'Live Collections'!D3251,Disbursements!$D:$D,'Live Collections'!F3251))</f>
        <v>40000</v>
      </c>
      <c r="S3251" s="304">
        <f>IF(O3251&lt;=IF($O3251=0,0,SUMIFS(Disbursements!$W:$W,Disbursements!$B:$B,'Live Collections'!D3251,Disbursements!$D:$D,'Live Collections'!F3251)),O3251,IF($O3251=0,0,SUMIFS(Disbursements!$W:$W,Disbursements!$B:$B,'Live Collections'!D3251,Disbursements!$D:$D,'Live Collections'!F3251)))</f>
        <v>2500</v>
      </c>
      <c r="T3251" s="304">
        <f t="shared" si="152"/>
        <v>37500</v>
      </c>
      <c r="U3251" s="52"/>
      <c r="V3251" s="34"/>
      <c r="W3251" s="408"/>
    </row>
    <row r="3252" spans="1:23" ht="12.75" customHeight="1" x14ac:dyDescent="0.2">
      <c r="A3252" s="257">
        <v>3260</v>
      </c>
      <c r="B3252" s="44">
        <v>44620</v>
      </c>
      <c r="C3252" s="44">
        <f t="shared" si="153"/>
        <v>44620</v>
      </c>
      <c r="D3252" s="374">
        <v>171</v>
      </c>
      <c r="E3252" s="291" t="str">
        <f>IFERROR(VLOOKUP($D3252,'Clients-Live'!$A:$C,3,0),"")</f>
        <v>BADAKA GIFT JOEL</v>
      </c>
      <c r="F3252" s="291">
        <f>IFERROR(INDEX(Disbursements!$D:$D,MATCH('Live Collections'!G3252,Disbursements!$C:$C,0)),"")</f>
        <v>2</v>
      </c>
      <c r="G3252" s="34">
        <v>349</v>
      </c>
      <c r="H3252" s="34">
        <v>4923</v>
      </c>
      <c r="I3252" s="34" t="s">
        <v>1357</v>
      </c>
      <c r="J3252" s="48"/>
      <c r="K3252" s="48"/>
      <c r="L3252" s="48"/>
      <c r="M3252" s="48"/>
      <c r="N3252" s="59"/>
      <c r="O3252" s="59">
        <v>30000</v>
      </c>
      <c r="P3252" s="59"/>
      <c r="Q3252" s="268">
        <f t="shared" si="154"/>
        <v>30000</v>
      </c>
      <c r="R3252" s="61">
        <f>IF(O3252=0,0,SUMIFS(Disbursements!$T:$T,Disbursements!$B:$B,'Live Collections'!D3252,Disbursements!$D:$D,'Live Collections'!F3252))</f>
        <v>374000</v>
      </c>
      <c r="S3252" s="304">
        <f>IF(O3252&lt;=IF($O3252=0,0,SUMIFS(Disbursements!$W:$W,Disbursements!$B:$B,'Live Collections'!D5022,Disbursements!$D:$D,'Live Collections'!F5022)),O3252,IF($O3252=0,0,SUMIFS(Disbursements!$W:$W,Disbursements!$B:$B,'Live Collections'!D5022,Disbursements!$D:$D,'Live Collections'!F5022)))</f>
        <v>0</v>
      </c>
      <c r="T3252" s="304">
        <f t="shared" si="152"/>
        <v>30000</v>
      </c>
      <c r="U3252" s="52"/>
      <c r="V3252" s="34"/>
      <c r="W3252" s="408"/>
    </row>
    <row r="3253" spans="1:23" ht="12.75" customHeight="1" x14ac:dyDescent="0.2">
      <c r="A3253" s="257">
        <v>3261</v>
      </c>
      <c r="B3253" s="44">
        <v>44620</v>
      </c>
      <c r="C3253" s="44">
        <f t="shared" si="153"/>
        <v>44620</v>
      </c>
      <c r="D3253" s="374">
        <v>200</v>
      </c>
      <c r="E3253" s="291" t="str">
        <f>IFERROR(VLOOKUP($D3253,'Clients-Live'!$A:$C,3,0),"")</f>
        <v>SERIYA FLORENCE</v>
      </c>
      <c r="F3253" s="291">
        <f>IFERROR(INDEX(Disbursements!$D:$D,MATCH('Live Collections'!G3253,Disbursements!$C:$C,0)),"")</f>
        <v>2</v>
      </c>
      <c r="G3253" s="34">
        <v>342</v>
      </c>
      <c r="H3253" s="34">
        <v>4924</v>
      </c>
      <c r="I3253" s="34" t="s">
        <v>1359</v>
      </c>
      <c r="J3253" s="48"/>
      <c r="K3253" s="48"/>
      <c r="L3253" s="48"/>
      <c r="M3253" s="48"/>
      <c r="N3253" s="59"/>
      <c r="O3253" s="59">
        <v>125000</v>
      </c>
      <c r="P3253" s="59"/>
      <c r="Q3253" s="268">
        <f t="shared" si="154"/>
        <v>125000</v>
      </c>
      <c r="R3253" s="61">
        <f>IF(O3253=0,0,SUMIFS(Disbursements!$T:$T,Disbursements!$B:$B,'Live Collections'!D3253,Disbursements!$D:$D,'Live Collections'!F3253))</f>
        <v>125000</v>
      </c>
      <c r="S3253" s="304">
        <f>IF(O3253&lt;=IF($O3253=0,0,SUMIFS(Disbursements!$W:$W,Disbursements!$B:$B,'Live Collections'!D3253,Disbursements!$D:$D,'Live Collections'!F3253)),O3253,IF($O3253=0,0,SUMIFS(Disbursements!$W:$W,Disbursements!$B:$B,'Live Collections'!D3253,Disbursements!$D:$D,'Live Collections'!F3253)))</f>
        <v>25000</v>
      </c>
      <c r="T3253" s="304">
        <f t="shared" si="152"/>
        <v>100000</v>
      </c>
      <c r="U3253" s="52"/>
      <c r="V3253" s="34"/>
      <c r="W3253" s="408"/>
    </row>
    <row r="3254" spans="1:23" ht="12.75" customHeight="1" x14ac:dyDescent="0.2">
      <c r="A3254" s="257">
        <v>3262</v>
      </c>
      <c r="B3254" s="44">
        <v>44620</v>
      </c>
      <c r="C3254" s="44">
        <f t="shared" si="153"/>
        <v>44620</v>
      </c>
      <c r="D3254" s="374">
        <v>211</v>
      </c>
      <c r="E3254" s="291" t="str">
        <f>IFERROR(VLOOKUP($D3254,'Clients-Live'!$A:$C,3,0),"")</f>
        <v>WILARU JOYCE</v>
      </c>
      <c r="F3254" s="291">
        <f>IFERROR(INDEX(Disbursements!$D:$D,MATCH('Live Collections'!G3254,Disbursements!$C:$C,0)),"")</f>
        <v>2</v>
      </c>
      <c r="G3254" s="34">
        <v>403</v>
      </c>
      <c r="H3254" s="34">
        <v>4933</v>
      </c>
      <c r="I3254" s="34" t="s">
        <v>1358</v>
      </c>
      <c r="J3254" s="48"/>
      <c r="K3254" s="48"/>
      <c r="L3254" s="48"/>
      <c r="M3254" s="48"/>
      <c r="N3254" s="59"/>
      <c r="O3254" s="59">
        <v>100000</v>
      </c>
      <c r="P3254" s="59"/>
      <c r="Q3254" s="268">
        <f t="shared" si="154"/>
        <v>100000</v>
      </c>
      <c r="R3254" s="61">
        <f>IF(O3254=0,0,SUMIFS(Disbursements!$T:$T,Disbursements!$B:$B,'Live Collections'!D3254,Disbursements!$D:$D,'Live Collections'!F3254))</f>
        <v>87000</v>
      </c>
      <c r="S3254" s="304">
        <f>IF(O3254&lt;=IF($O3254=0,0,SUMIFS(Disbursements!$W:$W,Disbursements!$B:$B,'Live Collections'!D3254,Disbursements!$D:$D,'Live Collections'!F3254)),O3254,IF($O3254=0,0,SUMIFS(Disbursements!$W:$W,Disbursements!$B:$B,'Live Collections'!D3254,Disbursements!$D:$D,'Live Collections'!F3254)))</f>
        <v>22000</v>
      </c>
      <c r="T3254" s="304">
        <f t="shared" si="152"/>
        <v>78000</v>
      </c>
      <c r="U3254" s="52"/>
      <c r="V3254" s="34"/>
      <c r="W3254" s="408"/>
    </row>
    <row r="3255" spans="1:23" ht="12.75" customHeight="1" x14ac:dyDescent="0.2">
      <c r="A3255" s="257">
        <v>3263</v>
      </c>
      <c r="B3255" s="44">
        <v>44620</v>
      </c>
      <c r="C3255" s="44">
        <f t="shared" si="153"/>
        <v>44620</v>
      </c>
      <c r="D3255" s="374">
        <v>40</v>
      </c>
      <c r="E3255" s="291" t="str">
        <f>IFERROR(VLOOKUP($D3255,'Clients-Live'!$A:$C,3,0),"")</f>
        <v>TABU JANE</v>
      </c>
      <c r="F3255" s="291">
        <f>IFERROR(INDEX(Disbursements!$D:$D,MATCH('Live Collections'!G3255,Disbursements!$C:$C,0)),"")</f>
        <v>2</v>
      </c>
      <c r="G3255" s="34">
        <v>230</v>
      </c>
      <c r="H3255" s="34">
        <v>4925</v>
      </c>
      <c r="I3255" s="34" t="s">
        <v>1358</v>
      </c>
      <c r="J3255" s="48"/>
      <c r="K3255" s="48"/>
      <c r="L3255" s="48"/>
      <c r="M3255" s="48"/>
      <c r="N3255" s="59"/>
      <c r="O3255" s="59">
        <v>100000</v>
      </c>
      <c r="P3255" s="59"/>
      <c r="Q3255" s="268">
        <f t="shared" si="154"/>
        <v>100000</v>
      </c>
      <c r="R3255" s="61">
        <f>IF(O3255=0,0,SUMIFS(Disbursements!$T:$T,Disbursements!$B:$B,'Live Collections'!D3255,Disbursements!$D:$D,'Live Collections'!F3255))</f>
        <v>217000</v>
      </c>
      <c r="S3255" s="304">
        <f>IF(O3255&lt;=IF($O3255=0,0,SUMIFS(Disbursements!$W:$W,Disbursements!$B:$B,'Live Collections'!D3255,Disbursements!$D:$D,'Live Collections'!F3255)),O3255,IF($O3255=0,0,SUMIFS(Disbursements!$W:$W,Disbursements!$B:$B,'Live Collections'!D3255,Disbursements!$D:$D,'Live Collections'!F3255)))</f>
        <v>50333.333333333343</v>
      </c>
      <c r="T3255" s="304">
        <f t="shared" si="152"/>
        <v>49666.666666666657</v>
      </c>
      <c r="U3255" s="52"/>
      <c r="V3255" s="34"/>
      <c r="W3255" s="408"/>
    </row>
    <row r="3256" spans="1:23" ht="12.75" customHeight="1" x14ac:dyDescent="0.2">
      <c r="A3256" s="257">
        <v>3264</v>
      </c>
      <c r="B3256" s="44">
        <v>44620</v>
      </c>
      <c r="C3256" s="44">
        <f t="shared" si="153"/>
        <v>44620</v>
      </c>
      <c r="D3256" s="374">
        <v>115</v>
      </c>
      <c r="E3256" s="291" t="str">
        <f>IFERROR(VLOOKUP($D3256,'Clients-Live'!$A:$C,3,0),"")</f>
        <v>AYIKE SAUDA</v>
      </c>
      <c r="F3256" s="291">
        <f>IFERROR(INDEX(Disbursements!$D:$D,MATCH('Live Collections'!G3256,Disbursements!$C:$C,0)),"")</f>
        <v>1</v>
      </c>
      <c r="G3256" s="34">
        <v>98</v>
      </c>
      <c r="H3256" s="34">
        <v>4982</v>
      </c>
      <c r="I3256" s="34" t="s">
        <v>1357</v>
      </c>
      <c r="J3256" s="48"/>
      <c r="K3256" s="48"/>
      <c r="L3256" s="48"/>
      <c r="M3256" s="48"/>
      <c r="N3256" s="59"/>
      <c r="O3256" s="59">
        <v>7000</v>
      </c>
      <c r="P3256" s="59"/>
      <c r="Q3256" s="268">
        <f t="shared" si="154"/>
        <v>7000</v>
      </c>
      <c r="R3256" s="61">
        <f>IF(O3256=0,0,SUMIFS(Disbursements!$T:$T,Disbursements!$B:$B,'Live Collections'!D3256,Disbursements!$D:$D,'Live Collections'!F3256))</f>
        <v>217000</v>
      </c>
      <c r="S3256" s="304"/>
      <c r="T3256" s="304">
        <f t="shared" si="152"/>
        <v>7000</v>
      </c>
      <c r="U3256" s="52"/>
      <c r="V3256" s="34"/>
      <c r="W3256" s="408"/>
    </row>
    <row r="3257" spans="1:23" ht="12.75" customHeight="1" x14ac:dyDescent="0.2">
      <c r="A3257" s="257">
        <v>3265</v>
      </c>
      <c r="B3257" s="44">
        <v>44620</v>
      </c>
      <c r="C3257" s="44">
        <f t="shared" si="153"/>
        <v>44620</v>
      </c>
      <c r="D3257" s="374">
        <v>3</v>
      </c>
      <c r="E3257" s="291" t="str">
        <f>IFERROR(VLOOKUP($D3257,'Clients-Live'!$A:$C,3,0),"")</f>
        <v>YEKA ARIJABU</v>
      </c>
      <c r="F3257" s="291">
        <f>IFERROR(INDEX(Disbursements!$D:$D,MATCH('Live Collections'!G3257,Disbursements!$C:$C,0)),"")</f>
        <v>2</v>
      </c>
      <c r="G3257" s="34">
        <v>443</v>
      </c>
      <c r="H3257" s="34">
        <v>4926</v>
      </c>
      <c r="I3257" s="34" t="s">
        <v>1358</v>
      </c>
      <c r="J3257" s="48"/>
      <c r="K3257" s="48"/>
      <c r="L3257" s="48"/>
      <c r="M3257" s="48"/>
      <c r="N3257" s="59"/>
      <c r="O3257" s="59"/>
      <c r="P3257" s="59">
        <v>200000</v>
      </c>
      <c r="Q3257" s="268">
        <f t="shared" si="154"/>
        <v>200000</v>
      </c>
      <c r="R3257" s="61">
        <f>IF(O3257=0,0,SUMIFS(Disbursements!$T:$T,Disbursements!$B:$B,'Live Collections'!D3257,Disbursements!$D:$D,'Live Collections'!F3257))</f>
        <v>0</v>
      </c>
      <c r="S3257" s="304">
        <f>IF(O3257&lt;=IF($O3257=0,0,SUMIFS(Disbursements!$W:$W,Disbursements!$B:$B,'Live Collections'!D3257,Disbursements!$D:$D,'Live Collections'!F3257)),O3257,IF($O3257=0,0,SUMIFS(Disbursements!$W:$W,Disbursements!$B:$B,'Live Collections'!D3257,Disbursements!$D:$D,'Live Collections'!F3257)))</f>
        <v>0</v>
      </c>
      <c r="T3257" s="304">
        <f t="shared" ref="T3257:T3318" si="155">IF(O3257=0,0,O3257-S3257)</f>
        <v>0</v>
      </c>
      <c r="U3257" s="52"/>
      <c r="V3257" s="34"/>
      <c r="W3257" s="408"/>
    </row>
    <row r="3258" spans="1:23" ht="12.75" customHeight="1" x14ac:dyDescent="0.2">
      <c r="A3258" s="257">
        <v>3266</v>
      </c>
      <c r="B3258" s="44">
        <v>44620</v>
      </c>
      <c r="C3258" s="44">
        <f t="shared" si="153"/>
        <v>44620</v>
      </c>
      <c r="D3258" s="374">
        <v>177</v>
      </c>
      <c r="E3258" s="291" t="str">
        <f>IFERROR(VLOOKUP($D3258,'Clients-Live'!$A:$C,3,0),"")</f>
        <v>EFIT GIFT</v>
      </c>
      <c r="F3258" s="291" t="str">
        <f>IFERROR(INDEX(Disbursements!$D:$D,MATCH('Live Collections'!G3258,Disbursements!$C:$C,0)),"")</f>
        <v/>
      </c>
      <c r="G3258" s="34"/>
      <c r="H3258" s="34">
        <v>4932</v>
      </c>
      <c r="I3258" s="34" t="s">
        <v>1358</v>
      </c>
      <c r="J3258" s="48"/>
      <c r="K3258" s="48">
        <v>5000</v>
      </c>
      <c r="L3258" s="48"/>
      <c r="M3258" s="48"/>
      <c r="N3258" s="59"/>
      <c r="O3258" s="59"/>
      <c r="P3258" s="59"/>
      <c r="Q3258" s="268">
        <f t="shared" si="154"/>
        <v>5000</v>
      </c>
      <c r="R3258" s="61">
        <f>IF(O3258=0,0,SUMIFS(Disbursements!$T:$T,Disbursements!$B:$B,'Live Collections'!D3258,Disbursements!$D:$D,'Live Collections'!F3258))</f>
        <v>0</v>
      </c>
      <c r="S3258" s="304">
        <f>IF(O3258&lt;=IF($O3258=0,0,SUMIFS(Disbursements!$W:$W,Disbursements!$B:$B,'Live Collections'!D3258,Disbursements!$D:$D,'Live Collections'!F3258)),O3258,IF($O3258=0,0,SUMIFS(Disbursements!$W:$W,Disbursements!$B:$B,'Live Collections'!D3258,Disbursements!$D:$D,'Live Collections'!F3258)))</f>
        <v>0</v>
      </c>
      <c r="T3258" s="304">
        <f t="shared" si="155"/>
        <v>0</v>
      </c>
      <c r="U3258" s="52"/>
      <c r="V3258" s="34"/>
      <c r="W3258" s="408"/>
    </row>
    <row r="3259" spans="1:23" ht="12.75" customHeight="1" x14ac:dyDescent="0.2">
      <c r="A3259" s="257">
        <v>3267</v>
      </c>
      <c r="B3259" s="44">
        <v>44620</v>
      </c>
      <c r="C3259" s="44">
        <f t="shared" si="153"/>
        <v>44620</v>
      </c>
      <c r="D3259" s="374">
        <v>177</v>
      </c>
      <c r="E3259" s="291" t="str">
        <f>IFERROR(VLOOKUP($D3259,'Clients-Live'!$A:$C,3,0),"")</f>
        <v>EFIT GIFT</v>
      </c>
      <c r="F3259" s="291">
        <f>IFERROR(INDEX(Disbursements!$D:$D,MATCH('Live Collections'!G3259,Disbursements!$C:$C,0)),"")</f>
        <v>2</v>
      </c>
      <c r="G3259" s="34">
        <v>444</v>
      </c>
      <c r="H3259" s="34">
        <v>4929</v>
      </c>
      <c r="I3259" s="34" t="s">
        <v>1357</v>
      </c>
      <c r="J3259" s="48"/>
      <c r="K3259" s="48"/>
      <c r="L3259" s="48"/>
      <c r="M3259" s="48"/>
      <c r="N3259" s="59"/>
      <c r="O3259" s="59">
        <v>150000</v>
      </c>
      <c r="P3259" s="59"/>
      <c r="Q3259" s="268">
        <f t="shared" si="154"/>
        <v>150000</v>
      </c>
      <c r="R3259" s="61">
        <f>IF(O3259=0,0,SUMIFS(Disbursements!$T:$T,Disbursements!$B:$B,'Live Collections'!D3259,Disbursements!$D:$D,'Live Collections'!F3259))</f>
        <v>87000</v>
      </c>
      <c r="S3259" s="304">
        <f>IF(O3259&lt;=IF($O3259=0,0,SUMIFS(Disbursements!$W:$W,Disbursements!$B:$B,'Live Collections'!D3259,Disbursements!$D:$D,'Live Collections'!F3259)),O3259,IF($O3259=0,0,SUMIFS(Disbursements!$W:$W,Disbursements!$B:$B,'Live Collections'!D3259,Disbursements!$D:$D,'Live Collections'!F3259)))</f>
        <v>24500</v>
      </c>
      <c r="T3259" s="304">
        <f t="shared" si="155"/>
        <v>125500</v>
      </c>
      <c r="U3259" s="52"/>
      <c r="V3259" s="34"/>
      <c r="W3259" s="408"/>
    </row>
    <row r="3260" spans="1:23" ht="12.75" customHeight="1" x14ac:dyDescent="0.2">
      <c r="A3260" s="257">
        <v>3268</v>
      </c>
      <c r="B3260" s="44">
        <v>44621</v>
      </c>
      <c r="C3260" s="44">
        <f t="shared" si="153"/>
        <v>44621</v>
      </c>
      <c r="D3260" s="374">
        <v>220</v>
      </c>
      <c r="E3260" s="291" t="str">
        <f>IFERROR(VLOOKUP($D3260,'Clients-Live'!$A:$C,3,0),"")</f>
        <v>DRAGUMA SIRAJI</v>
      </c>
      <c r="F3260" s="291">
        <f>IFERROR(INDEX(Disbursements!$D:$D,MATCH('Live Collections'!G3260,Disbursements!$C:$C,0)),"")</f>
        <v>1</v>
      </c>
      <c r="G3260" s="34">
        <v>224</v>
      </c>
      <c r="H3260" s="34"/>
      <c r="I3260" s="34" t="s">
        <v>1359</v>
      </c>
      <c r="J3260" s="48"/>
      <c r="K3260" s="48"/>
      <c r="L3260" s="48"/>
      <c r="M3260" s="48"/>
      <c r="N3260" s="59"/>
      <c r="O3260" s="59">
        <v>210300</v>
      </c>
      <c r="P3260" s="59">
        <v>-210300</v>
      </c>
      <c r="Q3260" s="268">
        <f t="shared" si="154"/>
        <v>0</v>
      </c>
      <c r="R3260" s="61">
        <f>IF(O3260=0,0,SUMIFS(Disbursements!$T:$T,Disbursements!$B:$B,'Live Collections'!D3260,Disbursements!$D:$D,'Live Collections'!F3260))</f>
        <v>542000</v>
      </c>
      <c r="S3260" s="304"/>
      <c r="T3260" s="304">
        <f t="shared" si="155"/>
        <v>210300</v>
      </c>
      <c r="U3260" s="52"/>
      <c r="V3260" s="34"/>
      <c r="W3260" s="408"/>
    </row>
    <row r="3261" spans="1:23" ht="12.75" customHeight="1" x14ac:dyDescent="0.2">
      <c r="A3261" s="257">
        <v>3269</v>
      </c>
      <c r="B3261" s="44">
        <v>44621</v>
      </c>
      <c r="C3261" s="44">
        <f t="shared" si="153"/>
        <v>44621</v>
      </c>
      <c r="D3261" s="374">
        <v>188</v>
      </c>
      <c r="E3261" s="291" t="str">
        <f>IFERROR(VLOOKUP($D3261,'Clients-Live'!$A:$C,3,0),"")</f>
        <v>ADIRU HELLEN</v>
      </c>
      <c r="F3261" s="291">
        <f>IFERROR(INDEX(Disbursements!$D:$D,MATCH('Live Collections'!G3261,Disbursements!$C:$C,0)),"")</f>
        <v>2</v>
      </c>
      <c r="G3261" s="34">
        <v>328</v>
      </c>
      <c r="H3261" s="34">
        <v>4943</v>
      </c>
      <c r="I3261" s="34" t="s">
        <v>1358</v>
      </c>
      <c r="J3261" s="48"/>
      <c r="K3261" s="48"/>
      <c r="L3261" s="48"/>
      <c r="M3261" s="48"/>
      <c r="N3261" s="59"/>
      <c r="O3261" s="59">
        <v>100000</v>
      </c>
      <c r="P3261" s="59"/>
      <c r="Q3261" s="268">
        <f t="shared" si="154"/>
        <v>100000</v>
      </c>
      <c r="R3261" s="61">
        <f>IF(O3261=0,0,SUMIFS(Disbursements!$T:$T,Disbursements!$B:$B,'Live Collections'!D3261,Disbursements!$D:$D,'Live Collections'!F3261))</f>
        <v>180000</v>
      </c>
      <c r="S3261" s="304"/>
      <c r="T3261" s="304">
        <f t="shared" si="155"/>
        <v>100000</v>
      </c>
      <c r="U3261" s="52"/>
      <c r="V3261" s="34"/>
      <c r="W3261" s="408"/>
    </row>
    <row r="3262" spans="1:23" ht="12.75" customHeight="1" x14ac:dyDescent="0.2">
      <c r="A3262" s="257">
        <v>3270</v>
      </c>
      <c r="B3262" s="44">
        <v>44621</v>
      </c>
      <c r="C3262" s="44">
        <f t="shared" si="153"/>
        <v>44621</v>
      </c>
      <c r="D3262" s="374">
        <v>74</v>
      </c>
      <c r="E3262" s="291" t="str">
        <f>IFERROR(VLOOKUP($D3262,'Clients-Live'!$A:$C,3,0),"")</f>
        <v>YUKUWE AISHA</v>
      </c>
      <c r="F3262" s="291" t="str">
        <f>IFERROR(INDEX(Disbursements!$D:$D,MATCH('Live Collections'!G3262,Disbursements!$C:$C,0)),"")</f>
        <v/>
      </c>
      <c r="G3262" s="34"/>
      <c r="H3262" s="34">
        <v>4942</v>
      </c>
      <c r="I3262" s="34" t="s">
        <v>1358</v>
      </c>
      <c r="J3262" s="48"/>
      <c r="K3262" s="48"/>
      <c r="L3262" s="48">
        <v>15000</v>
      </c>
      <c r="M3262" s="48">
        <v>5000</v>
      </c>
      <c r="N3262" s="59"/>
      <c r="O3262" s="59"/>
      <c r="P3262" s="59"/>
      <c r="Q3262" s="268">
        <f t="shared" si="154"/>
        <v>20000</v>
      </c>
      <c r="R3262" s="61">
        <f>IF(O3262=0,0,SUMIFS(Disbursements!$T:$T,Disbursements!$B:$B,'Live Collections'!D3262,Disbursements!$D:$D,'Live Collections'!F3262))</f>
        <v>0</v>
      </c>
      <c r="S3262" s="304">
        <f>IF(O3262&lt;=IF($O3262=0,0,SUMIFS(Disbursements!$W:$W,Disbursements!$B:$B,'Live Collections'!D3262,Disbursements!$D:$D,'Live Collections'!F3262)),O3262,IF($O3262=0,0,SUMIFS(Disbursements!$W:$W,Disbursements!$B:$B,'Live Collections'!D3262,Disbursements!$D:$D,'Live Collections'!F3262)))</f>
        <v>0</v>
      </c>
      <c r="T3262" s="304">
        <f t="shared" si="155"/>
        <v>0</v>
      </c>
      <c r="U3262" s="52"/>
      <c r="V3262" s="34"/>
      <c r="W3262" s="408"/>
    </row>
    <row r="3263" spans="1:23" ht="12.75" customHeight="1" x14ac:dyDescent="0.2">
      <c r="A3263" s="257">
        <v>3271</v>
      </c>
      <c r="B3263" s="44">
        <v>44621</v>
      </c>
      <c r="C3263" s="44">
        <f t="shared" ref="C3263:C3326" si="156">B3263</f>
        <v>44621</v>
      </c>
      <c r="D3263" s="374">
        <v>327</v>
      </c>
      <c r="E3263" s="291" t="str">
        <f>IFERROR(VLOOKUP($D3263,'Clients-Live'!$A:$C,3,0),"")</f>
        <v>WALTER OTEMA</v>
      </c>
      <c r="F3263" s="291" t="str">
        <f>IFERROR(INDEX(Disbursements!$D:$D,MATCH('Live Collections'!G3263,Disbursements!$C:$C,0)),"")</f>
        <v/>
      </c>
      <c r="G3263" s="34"/>
      <c r="H3263" s="34">
        <v>4986</v>
      </c>
      <c r="I3263" s="34" t="s">
        <v>1760</v>
      </c>
      <c r="J3263" s="48">
        <v>15000</v>
      </c>
      <c r="K3263" s="48">
        <v>5000</v>
      </c>
      <c r="L3263" s="48"/>
      <c r="M3263" s="48"/>
      <c r="N3263" s="59"/>
      <c r="O3263" s="59"/>
      <c r="P3263" s="59"/>
      <c r="Q3263" s="268">
        <f t="shared" si="154"/>
        <v>20000</v>
      </c>
      <c r="R3263" s="61">
        <f>IF(O3263=0,0,SUMIFS(Disbursements!$T:$T,Disbursements!$B:$B,'Live Collections'!D3263,Disbursements!$D:$D,'Live Collections'!F3263))</f>
        <v>0</v>
      </c>
      <c r="S3263" s="304">
        <f>IF(O3263&lt;=IF($O3263=0,0,SUMIFS(Disbursements!$W:$W,Disbursements!$B:$B,'Live Collections'!D3263,Disbursements!$D:$D,'Live Collections'!F3263)),O3263,IF($O3263=0,0,SUMIFS(Disbursements!$W:$W,Disbursements!$B:$B,'Live Collections'!D3263,Disbursements!$D:$D,'Live Collections'!F3263)))</f>
        <v>0</v>
      </c>
      <c r="T3263" s="304">
        <f t="shared" si="155"/>
        <v>0</v>
      </c>
      <c r="U3263" s="52"/>
      <c r="V3263" s="34"/>
      <c r="W3263" s="408"/>
    </row>
    <row r="3264" spans="1:23" ht="12.75" customHeight="1" x14ac:dyDescent="0.2">
      <c r="A3264" s="257">
        <v>3272</v>
      </c>
      <c r="B3264" s="44">
        <v>44621</v>
      </c>
      <c r="C3264" s="44">
        <f t="shared" si="156"/>
        <v>44621</v>
      </c>
      <c r="D3264" s="374">
        <v>88</v>
      </c>
      <c r="E3264" s="291" t="str">
        <f>IFERROR(VLOOKUP($D3264,'Clients-Live'!$A:$C,3,0),"")</f>
        <v>FAIDA HARRIET</v>
      </c>
      <c r="F3264" s="291">
        <f>IFERROR(INDEX(Disbursements!$D:$D,MATCH('Live Collections'!G3264,Disbursements!$C:$C,0)),"")</f>
        <v>3</v>
      </c>
      <c r="G3264" s="34">
        <v>380</v>
      </c>
      <c r="H3264" s="34">
        <v>4946</v>
      </c>
      <c r="I3264" s="34" t="s">
        <v>1357</v>
      </c>
      <c r="J3264" s="48"/>
      <c r="K3264" s="48"/>
      <c r="L3264" s="48"/>
      <c r="M3264" s="48"/>
      <c r="N3264" s="59"/>
      <c r="O3264" s="59">
        <v>45000</v>
      </c>
      <c r="P3264" s="59"/>
      <c r="Q3264" s="268">
        <f t="shared" si="154"/>
        <v>45000</v>
      </c>
      <c r="R3264" s="61">
        <f>IF(O3264=0,0,SUMIFS(Disbursements!$T:$T,Disbursements!$B:$B,'Live Collections'!D3264,Disbursements!$D:$D,'Live Collections'!F3264))</f>
        <v>90000</v>
      </c>
      <c r="S3264" s="304"/>
      <c r="T3264" s="304">
        <f t="shared" si="155"/>
        <v>45000</v>
      </c>
      <c r="U3264" s="52"/>
      <c r="V3264" s="34"/>
      <c r="W3264" s="408"/>
    </row>
    <row r="3265" spans="1:23" ht="12.75" customHeight="1" x14ac:dyDescent="0.2">
      <c r="A3265" s="257">
        <v>3273</v>
      </c>
      <c r="B3265" s="44">
        <v>44621</v>
      </c>
      <c r="C3265" s="44">
        <f t="shared" si="156"/>
        <v>44621</v>
      </c>
      <c r="D3265" s="374">
        <v>94</v>
      </c>
      <c r="E3265" s="291" t="str">
        <f>IFERROR(VLOOKUP($D3265,'Clients-Live'!$A:$C,3,0),"")</f>
        <v>NGINYA RICHARD</v>
      </c>
      <c r="F3265" s="291">
        <f>IFERROR(INDEX(Disbursements!$D:$D,MATCH('Live Collections'!G3265,Disbursements!$C:$C,0)),"")</f>
        <v>2</v>
      </c>
      <c r="G3265" s="34">
        <v>305</v>
      </c>
      <c r="H3265" s="34">
        <v>4944</v>
      </c>
      <c r="I3265" s="34" t="s">
        <v>1357</v>
      </c>
      <c r="J3265" s="48"/>
      <c r="K3265" s="48"/>
      <c r="L3265" s="48"/>
      <c r="M3265" s="48"/>
      <c r="N3265" s="59"/>
      <c r="O3265" s="59">
        <v>60000</v>
      </c>
      <c r="P3265" s="59"/>
      <c r="Q3265" s="268">
        <f t="shared" si="154"/>
        <v>60000</v>
      </c>
      <c r="R3265" s="61">
        <f>IF(O3265=0,0,SUMIFS(Disbursements!$T:$T,Disbursements!$B:$B,'Live Collections'!D3265,Disbursements!$D:$D,'Live Collections'!F3265))</f>
        <v>90000</v>
      </c>
      <c r="S3265" s="304"/>
      <c r="T3265" s="304">
        <f t="shared" si="155"/>
        <v>60000</v>
      </c>
      <c r="U3265" s="52"/>
      <c r="V3265" s="34"/>
      <c r="W3265" s="408"/>
    </row>
    <row r="3266" spans="1:23" ht="12.75" customHeight="1" x14ac:dyDescent="0.2">
      <c r="A3266" s="257">
        <v>3274</v>
      </c>
      <c r="B3266" s="44">
        <v>44621</v>
      </c>
      <c r="C3266" s="44">
        <f t="shared" si="156"/>
        <v>44621</v>
      </c>
      <c r="D3266" s="374">
        <v>326</v>
      </c>
      <c r="E3266" s="291" t="str">
        <f>IFERROR(VLOOKUP($D3266,'Clients-Live'!$A:$C,3,0),"")</f>
        <v>AJUKI HARRIET</v>
      </c>
      <c r="F3266" s="291" t="str">
        <f>IFERROR(INDEX(Disbursements!$D:$D,MATCH('Live Collections'!G3266,Disbursements!$C:$C,0)),"")</f>
        <v/>
      </c>
      <c r="G3266" s="34"/>
      <c r="H3266" s="34">
        <v>4985</v>
      </c>
      <c r="I3266" s="34" t="s">
        <v>1760</v>
      </c>
      <c r="J3266" s="48"/>
      <c r="K3266" s="48"/>
      <c r="L3266" s="48">
        <v>30000</v>
      </c>
      <c r="M3266" s="48">
        <v>5000</v>
      </c>
      <c r="N3266" s="59"/>
      <c r="O3266" s="59"/>
      <c r="P3266" s="59"/>
      <c r="Q3266" s="268">
        <f t="shared" si="154"/>
        <v>35000</v>
      </c>
      <c r="R3266" s="61">
        <f>IF(O3266=0,0,SUMIFS(Disbursements!$T:$T,Disbursements!$B:$B,'Live Collections'!D3266,Disbursements!$D:$D,'Live Collections'!F3266))</f>
        <v>0</v>
      </c>
      <c r="S3266" s="304">
        <f>IF(O3266&lt;=IF($O3266=0,0,SUMIFS(Disbursements!$W:$W,Disbursements!$B:$B,'Live Collections'!D3266,Disbursements!$D:$D,'Live Collections'!F3266)),O3266,IF($O3266=0,0,SUMIFS(Disbursements!$W:$W,Disbursements!$B:$B,'Live Collections'!D3266,Disbursements!$D:$D,'Live Collections'!F3266)))</f>
        <v>0</v>
      </c>
      <c r="T3266" s="304">
        <f t="shared" si="155"/>
        <v>0</v>
      </c>
      <c r="U3266" s="52"/>
      <c r="V3266" s="34"/>
      <c r="W3266" s="408"/>
    </row>
    <row r="3267" spans="1:23" ht="12.75" customHeight="1" x14ac:dyDescent="0.2">
      <c r="A3267" s="257">
        <v>3275</v>
      </c>
      <c r="B3267" s="44">
        <v>44621</v>
      </c>
      <c r="C3267" s="44">
        <f t="shared" si="156"/>
        <v>44621</v>
      </c>
      <c r="D3267" s="374">
        <v>144</v>
      </c>
      <c r="E3267" s="291" t="str">
        <f>IFERROR(VLOOKUP($D3267,'Clients-Live'!$A:$C,3,0),"")</f>
        <v>GBENINGA RUKIA</v>
      </c>
      <c r="F3267" s="291">
        <f>IFERROR(INDEX(Disbursements!$D:$D,MATCH('Live Collections'!G3267,Disbursements!$C:$C,0)),"")</f>
        <v>1</v>
      </c>
      <c r="G3267" s="34">
        <v>131</v>
      </c>
      <c r="H3267" s="34">
        <v>4941</v>
      </c>
      <c r="I3267" s="34" t="s">
        <v>1359</v>
      </c>
      <c r="J3267" s="48"/>
      <c r="K3267" s="48"/>
      <c r="L3267" s="48"/>
      <c r="M3267" s="48"/>
      <c r="N3267" s="59"/>
      <c r="O3267" s="59">
        <v>20000</v>
      </c>
      <c r="P3267" s="59"/>
      <c r="Q3267" s="268">
        <f t="shared" si="154"/>
        <v>20000</v>
      </c>
      <c r="R3267" s="61">
        <f>IF(O3267=0,0,SUMIFS(Disbursements!$T:$T,Disbursements!$B:$B,'Live Collections'!D3267,Disbursements!$D:$D,'Live Collections'!F3267))</f>
        <v>125000</v>
      </c>
      <c r="S3267" s="304"/>
      <c r="T3267" s="304">
        <f t="shared" si="155"/>
        <v>20000</v>
      </c>
      <c r="U3267" s="52"/>
      <c r="V3267" s="34"/>
      <c r="W3267" s="408"/>
    </row>
    <row r="3268" spans="1:23" ht="12.75" customHeight="1" x14ac:dyDescent="0.2">
      <c r="A3268" s="257">
        <v>3276</v>
      </c>
      <c r="B3268" s="44">
        <v>44621</v>
      </c>
      <c r="C3268" s="44">
        <f t="shared" si="156"/>
        <v>44621</v>
      </c>
      <c r="D3268" s="374">
        <v>326</v>
      </c>
      <c r="E3268" s="291" t="str">
        <f>IFERROR(VLOOKUP($D3268,'Clients-Live'!$A:$C,3,0),"")</f>
        <v>AJUKI HARRIET</v>
      </c>
      <c r="F3268" s="291" t="str">
        <f>IFERROR(INDEX(Disbursements!$D:$D,MATCH('Live Collections'!G3268,Disbursements!$C:$C,0)),"")</f>
        <v/>
      </c>
      <c r="G3268" s="34"/>
      <c r="H3268" s="34">
        <v>4984</v>
      </c>
      <c r="I3268" s="34" t="s">
        <v>1760</v>
      </c>
      <c r="J3268" s="48">
        <v>15000</v>
      </c>
      <c r="K3268" s="48">
        <v>5000</v>
      </c>
      <c r="L3268" s="48"/>
      <c r="M3268" s="48"/>
      <c r="N3268" s="59"/>
      <c r="O3268" s="59"/>
      <c r="P3268" s="59"/>
      <c r="Q3268" s="268">
        <f t="shared" si="154"/>
        <v>20000</v>
      </c>
      <c r="R3268" s="61">
        <f>IF(O3268=0,0,SUMIFS(Disbursements!$T:$T,Disbursements!$B:$B,'Live Collections'!D3268,Disbursements!$D:$D,'Live Collections'!F3268))</f>
        <v>0</v>
      </c>
      <c r="S3268" s="304">
        <f>IF(O3268&lt;=IF($O3268=0,0,SUMIFS(Disbursements!$W:$W,Disbursements!$B:$B,'Live Collections'!D3268,Disbursements!$D:$D,'Live Collections'!F3268)),O3268,IF($O3268=0,0,SUMIFS(Disbursements!$W:$W,Disbursements!$B:$B,'Live Collections'!D3268,Disbursements!$D:$D,'Live Collections'!F3268)))</f>
        <v>0</v>
      </c>
      <c r="T3268" s="304">
        <f t="shared" si="155"/>
        <v>0</v>
      </c>
      <c r="U3268" s="52"/>
      <c r="V3268" s="34"/>
      <c r="W3268" s="408"/>
    </row>
    <row r="3269" spans="1:23" ht="12.75" customHeight="1" x14ac:dyDescent="0.2">
      <c r="A3269" s="257">
        <v>3277</v>
      </c>
      <c r="B3269" s="44">
        <v>44621</v>
      </c>
      <c r="C3269" s="44">
        <f t="shared" si="156"/>
        <v>44621</v>
      </c>
      <c r="D3269" s="374">
        <v>323</v>
      </c>
      <c r="E3269" s="291" t="str">
        <f>IFERROR(VLOOKUP($D3269,'Clients-Live'!$A:$C,3,0),"")</f>
        <v>OBIT HAKIM ADROTI</v>
      </c>
      <c r="F3269" s="291" t="str">
        <f>IFERROR(INDEX(Disbursements!$D:$D,MATCH('Live Collections'!G3269,Disbursements!$C:$C,0)),"")</f>
        <v/>
      </c>
      <c r="G3269" s="34"/>
      <c r="H3269" s="34">
        <v>4983</v>
      </c>
      <c r="I3269" s="34" t="s">
        <v>1358</v>
      </c>
      <c r="J3269" s="48"/>
      <c r="K3269" s="48"/>
      <c r="L3269" s="48">
        <v>30000</v>
      </c>
      <c r="M3269" s="48">
        <v>5000</v>
      </c>
      <c r="N3269" s="59"/>
      <c r="O3269" s="59"/>
      <c r="P3269" s="59"/>
      <c r="Q3269" s="268">
        <f t="shared" si="154"/>
        <v>35000</v>
      </c>
      <c r="R3269" s="61">
        <f>IF(O3269=0,0,SUMIFS(Disbursements!$T:$T,Disbursements!$B:$B,'Live Collections'!D3269,Disbursements!$D:$D,'Live Collections'!F3269))</f>
        <v>0</v>
      </c>
      <c r="S3269" s="304">
        <f>IF(O3269&lt;=IF($O3269=0,0,SUMIFS(Disbursements!$W:$W,Disbursements!$B:$B,'Live Collections'!D3269,Disbursements!$D:$D,'Live Collections'!F3269)),O3269,IF($O3269=0,0,SUMIFS(Disbursements!$W:$W,Disbursements!$B:$B,'Live Collections'!D3269,Disbursements!$D:$D,'Live Collections'!F3269)))</f>
        <v>0</v>
      </c>
      <c r="T3269" s="304">
        <f t="shared" si="155"/>
        <v>0</v>
      </c>
      <c r="U3269" s="52"/>
      <c r="V3269" s="34"/>
      <c r="W3269" s="408"/>
    </row>
    <row r="3270" spans="1:23" ht="12.75" customHeight="1" x14ac:dyDescent="0.2">
      <c r="A3270" s="257">
        <v>3278</v>
      </c>
      <c r="B3270" s="44">
        <v>44621</v>
      </c>
      <c r="C3270" s="44">
        <f t="shared" si="156"/>
        <v>44621</v>
      </c>
      <c r="D3270" s="374">
        <v>126</v>
      </c>
      <c r="E3270" s="291" t="str">
        <f>IFERROR(VLOOKUP($D3270,'Clients-Live'!$A:$C,3,0),"")</f>
        <v>OGWAL STEPHEN GERALD</v>
      </c>
      <c r="F3270" s="291">
        <f>IFERROR(INDEX(Disbursements!$D:$D,MATCH('Live Collections'!G3270,Disbursements!$C:$C,0)),"")</f>
        <v>4</v>
      </c>
      <c r="G3270" s="34">
        <v>445</v>
      </c>
      <c r="H3270" s="34">
        <v>4939</v>
      </c>
      <c r="I3270" s="34" t="s">
        <v>1359</v>
      </c>
      <c r="J3270" s="48"/>
      <c r="K3270" s="48"/>
      <c r="L3270" s="48"/>
      <c r="M3270" s="48"/>
      <c r="N3270" s="59"/>
      <c r="O3270" s="59"/>
      <c r="P3270" s="59">
        <v>150000</v>
      </c>
      <c r="Q3270" s="268">
        <f t="shared" si="154"/>
        <v>150000</v>
      </c>
      <c r="R3270" s="61">
        <f>IF(O3270=0,0,SUMIFS(Disbursements!$T:$T,Disbursements!$B:$B,'Live Collections'!D3270,Disbursements!$D:$D,'Live Collections'!F3270))</f>
        <v>0</v>
      </c>
      <c r="S3270" s="304">
        <f>IF(O3270&lt;=IF($O3270=0,0,SUMIFS(Disbursements!$W:$W,Disbursements!$B:$B,'Live Collections'!D3270,Disbursements!$D:$D,'Live Collections'!F3270)),O3270,IF($O3270=0,0,SUMIFS(Disbursements!$W:$W,Disbursements!$B:$B,'Live Collections'!D3270,Disbursements!$D:$D,'Live Collections'!F3270)))</f>
        <v>0</v>
      </c>
      <c r="T3270" s="304">
        <f t="shared" si="155"/>
        <v>0</v>
      </c>
      <c r="U3270" s="52"/>
      <c r="V3270" s="34"/>
      <c r="W3270" s="408"/>
    </row>
    <row r="3271" spans="1:23" ht="12.75" customHeight="1" x14ac:dyDescent="0.2">
      <c r="A3271" s="257">
        <v>3279</v>
      </c>
      <c r="B3271" s="44">
        <v>44621</v>
      </c>
      <c r="C3271" s="44">
        <f t="shared" si="156"/>
        <v>44621</v>
      </c>
      <c r="D3271" s="374">
        <v>126</v>
      </c>
      <c r="E3271" s="291" t="str">
        <f>IFERROR(VLOOKUP($D3271,'Clients-Live'!$A:$C,3,0),"")</f>
        <v>OGWAL STEPHEN GERALD</v>
      </c>
      <c r="F3271" s="291" t="str">
        <f>IFERROR(INDEX(Disbursements!$D:$D,MATCH('Live Collections'!G3271,Disbursements!$C:$C,0)),"")</f>
        <v/>
      </c>
      <c r="G3271" s="34"/>
      <c r="H3271" s="34">
        <v>4937</v>
      </c>
      <c r="I3271" s="34" t="s">
        <v>1359</v>
      </c>
      <c r="J3271" s="48"/>
      <c r="K3271" s="48"/>
      <c r="L3271" s="48">
        <v>25000</v>
      </c>
      <c r="M3271" s="48">
        <v>5000</v>
      </c>
      <c r="N3271" s="59"/>
      <c r="O3271" s="59"/>
      <c r="P3271" s="59"/>
      <c r="Q3271" s="268">
        <f t="shared" si="154"/>
        <v>30000</v>
      </c>
      <c r="R3271" s="61">
        <f>IF(O3271=0,0,SUMIFS(Disbursements!$T:$T,Disbursements!$B:$B,'Live Collections'!D3271,Disbursements!$D:$D,'Live Collections'!F3271))</f>
        <v>0</v>
      </c>
      <c r="S3271" s="304">
        <f>IF(O3271&lt;=IF($O3271=0,0,SUMIFS(Disbursements!$W:$W,Disbursements!$B:$B,'Live Collections'!D3271,Disbursements!$D:$D,'Live Collections'!F3271)),O3271,IF($O3271=0,0,SUMIFS(Disbursements!$W:$W,Disbursements!$B:$B,'Live Collections'!D3271,Disbursements!$D:$D,'Live Collections'!F3271)))</f>
        <v>0</v>
      </c>
      <c r="T3271" s="304">
        <f t="shared" si="155"/>
        <v>0</v>
      </c>
      <c r="U3271" s="52"/>
      <c r="V3271" s="34"/>
      <c r="W3271" s="408"/>
    </row>
    <row r="3272" spans="1:23" ht="12.75" customHeight="1" x14ac:dyDescent="0.2">
      <c r="A3272" s="257">
        <v>3281</v>
      </c>
      <c r="B3272" s="44">
        <v>44621</v>
      </c>
      <c r="C3272" s="44">
        <f t="shared" si="156"/>
        <v>44621</v>
      </c>
      <c r="D3272" s="374">
        <v>213</v>
      </c>
      <c r="E3272" s="291" t="str">
        <f>IFERROR(VLOOKUP($D3272,'Clients-Live'!$A:$C,3,0),"")</f>
        <v>ATIKURU NADIA</v>
      </c>
      <c r="F3272" s="291">
        <f>IFERROR(INDEX(Disbursements!$D:$D,MATCH('Live Collections'!G3272,Disbursements!$C:$C,0)),"")</f>
        <v>2</v>
      </c>
      <c r="G3272" s="34">
        <v>378</v>
      </c>
      <c r="H3272" s="34">
        <v>4936</v>
      </c>
      <c r="I3272" s="34" t="s">
        <v>1358</v>
      </c>
      <c r="J3272" s="48"/>
      <c r="K3272" s="48"/>
      <c r="L3272" s="48"/>
      <c r="M3272" s="48"/>
      <c r="N3272" s="59"/>
      <c r="O3272" s="59">
        <v>100000</v>
      </c>
      <c r="P3272" s="59"/>
      <c r="Q3272" s="268">
        <f t="shared" si="154"/>
        <v>100000</v>
      </c>
      <c r="R3272" s="61">
        <f>IF(O3272=0,0,SUMIFS(Disbursements!$T:$T,Disbursements!$B:$B,'Live Collections'!D3272,Disbursements!$D:$D,'Live Collections'!F3272))</f>
        <v>300000</v>
      </c>
      <c r="S3272" s="304">
        <f>IF(O3272&lt;=IF($O3272=0,0,SUMIFS(Disbursements!$W:$W,Disbursements!$B:$B,'Live Collections'!D3272,Disbursements!$D:$D,'Live Collections'!F3272)),O3272,IF($O3272=0,0,SUMIFS(Disbursements!$W:$W,Disbursements!$B:$B,'Live Collections'!D3272,Disbursements!$D:$D,'Live Collections'!F3272)))</f>
        <v>50000</v>
      </c>
      <c r="T3272" s="304">
        <f t="shared" si="155"/>
        <v>50000</v>
      </c>
      <c r="U3272" s="52"/>
      <c r="V3272" s="34"/>
      <c r="W3272" s="408"/>
    </row>
    <row r="3273" spans="1:23" ht="12.75" customHeight="1" x14ac:dyDescent="0.2">
      <c r="A3273" s="257">
        <v>3282</v>
      </c>
      <c r="B3273" s="44">
        <v>44621</v>
      </c>
      <c r="C3273" s="44">
        <f t="shared" si="156"/>
        <v>44621</v>
      </c>
      <c r="D3273" s="374">
        <v>228</v>
      </c>
      <c r="E3273" s="291" t="str">
        <f>IFERROR(VLOOKUP($D3273,'Clients-Live'!$A:$C,3,0),"")</f>
        <v>DADA ISAAC</v>
      </c>
      <c r="F3273" s="291">
        <f>IFERROR(INDEX(Disbursements!$D:$D,MATCH('Live Collections'!G3273,Disbursements!$C:$C,0)),"")</f>
        <v>6</v>
      </c>
      <c r="G3273" s="34">
        <v>421</v>
      </c>
      <c r="H3273" s="34">
        <v>4933</v>
      </c>
      <c r="I3273" s="34" t="s">
        <v>1358</v>
      </c>
      <c r="J3273" s="48"/>
      <c r="K3273" s="48"/>
      <c r="L3273" s="48"/>
      <c r="M3273" s="48"/>
      <c r="N3273" s="59"/>
      <c r="O3273" s="59">
        <v>157500</v>
      </c>
      <c r="P3273" s="59"/>
      <c r="Q3273" s="268">
        <f t="shared" si="154"/>
        <v>157500</v>
      </c>
      <c r="R3273" s="61">
        <f>IF(O3273=0,0,SUMIFS(Disbursements!$T:$T,Disbursements!$B:$B,'Live Collections'!D3273,Disbursements!$D:$D,'Live Collections'!F3273))</f>
        <v>158000</v>
      </c>
      <c r="S3273" s="304">
        <f>IF(O3273&lt;=IF($O3273=0,0,SUMIFS(Disbursements!$W:$W,Disbursements!$B:$B,'Live Collections'!D3013,Disbursements!$D:$D,'Live Collections'!F3013)),O3273,IF($O3273=0,0,SUMIFS(Disbursements!$W:$W,Disbursements!$B:$B,'Live Collections'!D3013,Disbursements!$D:$D,'Live Collections'!F3013)))</f>
        <v>6125</v>
      </c>
      <c r="T3273" s="304">
        <f t="shared" si="155"/>
        <v>151375</v>
      </c>
      <c r="U3273" s="52"/>
      <c r="V3273" s="34"/>
      <c r="W3273" s="408"/>
    </row>
    <row r="3274" spans="1:23" ht="12.75" customHeight="1" x14ac:dyDescent="0.2">
      <c r="A3274" s="257">
        <v>3283</v>
      </c>
      <c r="B3274" s="44">
        <v>44622</v>
      </c>
      <c r="C3274" s="44">
        <f t="shared" si="156"/>
        <v>44622</v>
      </c>
      <c r="D3274" s="374">
        <v>106</v>
      </c>
      <c r="E3274" s="291" t="str">
        <f>IFERROR(VLOOKUP($D3274,'Clients-Live'!$A:$C,3,0),"")</f>
        <v>ORODRIYO  NUSURA</v>
      </c>
      <c r="F3274" s="291">
        <f>IFERROR(INDEX(Disbursements!$D:$D,MATCH('Live Collections'!G3274,Disbursements!$C:$C,0)),"")</f>
        <v>1</v>
      </c>
      <c r="G3274" s="34">
        <v>89</v>
      </c>
      <c r="H3274" s="34" t="s">
        <v>2138</v>
      </c>
      <c r="I3274" s="34" t="s">
        <v>1357</v>
      </c>
      <c r="J3274" s="48"/>
      <c r="K3274" s="48"/>
      <c r="L3274" s="48"/>
      <c r="M3274" s="48"/>
      <c r="N3274" s="59"/>
      <c r="O3274" s="59">
        <v>20000</v>
      </c>
      <c r="P3274" s="59">
        <v>-20000</v>
      </c>
      <c r="Q3274" s="268">
        <f t="shared" si="154"/>
        <v>0</v>
      </c>
      <c r="R3274" s="61">
        <f>IF(O3274=0,0,SUMIFS(Disbursements!$T:$T,Disbursements!$B:$B,'Live Collections'!D3274,Disbursements!$D:$D,'Live Collections'!F3274))</f>
        <v>20000</v>
      </c>
      <c r="S3274" s="304">
        <f>IF(O3274&lt;=IF($O3274=0,0,SUMIFS(Disbursements!$W:$W,Disbursements!$B:$B,'Live Collections'!D4584,Disbursements!$D:$D,'Live Collections'!F4584)),O3274,IF($O3274=0,0,SUMIFS(Disbursements!$W:$W,Disbursements!$B:$B,'Live Collections'!D4584,Disbursements!$D:$D,'Live Collections'!F4584)))</f>
        <v>0</v>
      </c>
      <c r="T3274" s="304">
        <f t="shared" si="155"/>
        <v>20000</v>
      </c>
      <c r="U3274" s="52"/>
      <c r="V3274" s="34"/>
      <c r="W3274" s="408"/>
    </row>
    <row r="3275" spans="1:23" ht="12.75" customHeight="1" x14ac:dyDescent="0.2">
      <c r="A3275" s="257">
        <v>3284</v>
      </c>
      <c r="B3275" s="44">
        <v>44622</v>
      </c>
      <c r="C3275" s="44">
        <f t="shared" si="156"/>
        <v>44622</v>
      </c>
      <c r="D3275" s="374">
        <v>102</v>
      </c>
      <c r="E3275" s="291" t="str">
        <f>IFERROR(VLOOKUP($D3275,'Clients-Live'!$A:$C,3,0),"")</f>
        <v>BATALI GODFREY JOHN</v>
      </c>
      <c r="F3275" s="291">
        <f>IFERROR(INDEX(Disbursements!$D:$D,MATCH('Live Collections'!G3275,Disbursements!$C:$C,0)),"")</f>
        <v>2</v>
      </c>
      <c r="G3275" s="34">
        <v>382</v>
      </c>
      <c r="H3275" s="34" t="s">
        <v>2139</v>
      </c>
      <c r="I3275" s="34" t="s">
        <v>1357</v>
      </c>
      <c r="J3275" s="48"/>
      <c r="K3275" s="48"/>
      <c r="L3275" s="48"/>
      <c r="M3275" s="48"/>
      <c r="N3275" s="59"/>
      <c r="O3275" s="59">
        <v>15000</v>
      </c>
      <c r="P3275" s="59">
        <v>-15000</v>
      </c>
      <c r="Q3275" s="268">
        <f t="shared" si="154"/>
        <v>0</v>
      </c>
      <c r="R3275" s="61">
        <f>IF(O3275=0,0,SUMIFS(Disbursements!$T:$T,Disbursements!$B:$B,'Live Collections'!D3275,Disbursements!$D:$D,'Live Collections'!F3275))</f>
        <v>83000</v>
      </c>
      <c r="S3275" s="304">
        <f>IF(O3275&lt;=IF($O3275=0,0,SUMIFS(Disbursements!$W:$W,Disbursements!$B:$B,'Live Collections'!D2274,Disbursements!$D:$D,'Live Collections'!F2274)),O3275,IF($O3275=0,0,SUMIFS(Disbursements!$W:$W,Disbursements!$B:$B,'Live Collections'!D2274,Disbursements!$D:$D,'Live Collections'!F2274)))</f>
        <v>15000</v>
      </c>
      <c r="T3275" s="304">
        <f t="shared" si="155"/>
        <v>0</v>
      </c>
      <c r="U3275" s="52"/>
      <c r="V3275" s="34"/>
      <c r="W3275" s="408"/>
    </row>
    <row r="3276" spans="1:23" ht="12.75" customHeight="1" x14ac:dyDescent="0.2">
      <c r="A3276" s="257">
        <v>3285</v>
      </c>
      <c r="B3276" s="44">
        <v>44622</v>
      </c>
      <c r="C3276" s="44">
        <f t="shared" si="156"/>
        <v>44622</v>
      </c>
      <c r="D3276" s="374">
        <v>102</v>
      </c>
      <c r="E3276" s="291" t="str">
        <f>IFERROR(VLOOKUP($D3276,'Clients-Live'!$A:$C,3,0),"")</f>
        <v>BATALI GODFREY JOHN</v>
      </c>
      <c r="F3276" s="291">
        <f>IFERROR(INDEX(Disbursements!$D:$D,MATCH('Live Collections'!G3276,Disbursements!$C:$C,0)),"")</f>
        <v>2</v>
      </c>
      <c r="G3276" s="34">
        <v>382</v>
      </c>
      <c r="H3276" s="34">
        <v>4993</v>
      </c>
      <c r="I3276" s="34" t="s">
        <v>1357</v>
      </c>
      <c r="J3276" s="48"/>
      <c r="K3276" s="48"/>
      <c r="L3276" s="48"/>
      <c r="M3276" s="48"/>
      <c r="N3276" s="59"/>
      <c r="O3276" s="59">
        <v>20000</v>
      </c>
      <c r="P3276" s="59"/>
      <c r="Q3276" s="268">
        <f t="shared" si="154"/>
        <v>20000</v>
      </c>
      <c r="R3276" s="61">
        <f>IF(O3276=0,0,SUMIFS(Disbursements!$T:$T,Disbursements!$B:$B,'Live Collections'!D3276,Disbursements!$D:$D,'Live Collections'!F3276))</f>
        <v>83000</v>
      </c>
      <c r="S3276" s="64">
        <v>1000</v>
      </c>
      <c r="T3276" s="304">
        <f t="shared" si="155"/>
        <v>19000</v>
      </c>
      <c r="U3276" s="52"/>
      <c r="V3276" s="34"/>
      <c r="W3276" s="408"/>
    </row>
    <row r="3277" spans="1:23" ht="12.75" customHeight="1" x14ac:dyDescent="0.2">
      <c r="A3277" s="257">
        <v>3286</v>
      </c>
      <c r="B3277" s="44">
        <v>44622</v>
      </c>
      <c r="C3277" s="44">
        <f t="shared" si="156"/>
        <v>44622</v>
      </c>
      <c r="D3277" s="374">
        <v>102</v>
      </c>
      <c r="E3277" s="291" t="str">
        <f>IFERROR(VLOOKUP($D3277,'Clients-Live'!$A:$C,3,0),"")</f>
        <v>BATALI GODFREY JOHN</v>
      </c>
      <c r="F3277" s="291" t="str">
        <f>IFERROR(INDEX(Disbursements!$D:$D,MATCH('Live Collections'!G3277,Disbursements!$C:$C,0)),"")</f>
        <v/>
      </c>
      <c r="G3277" s="34"/>
      <c r="H3277" s="34">
        <v>4995</v>
      </c>
      <c r="I3277" s="34" t="s">
        <v>1357</v>
      </c>
      <c r="J3277" s="48"/>
      <c r="K3277" s="48"/>
      <c r="L3277" s="48"/>
      <c r="M3277" s="48"/>
      <c r="N3277" s="59">
        <v>2600</v>
      </c>
      <c r="O3277" s="59"/>
      <c r="P3277" s="59"/>
      <c r="Q3277" s="268">
        <f t="shared" si="154"/>
        <v>2600</v>
      </c>
      <c r="R3277" s="61">
        <f>IF(O3277=0,0,SUMIFS(Disbursements!$T:$T,Disbursements!$B:$B,'Live Collections'!D3277,Disbursements!$D:$D,'Live Collections'!F3277))</f>
        <v>0</v>
      </c>
      <c r="S3277" s="304">
        <f>IF(O3277&lt;=IF($O3277=0,0,SUMIFS(Disbursements!$W:$W,Disbursements!$B:$B,'Live Collections'!D3277,Disbursements!$D:$D,'Live Collections'!F3277)),O3277,IF($O3277=0,0,SUMIFS(Disbursements!$W:$W,Disbursements!$B:$B,'Live Collections'!D3277,Disbursements!$D:$D,'Live Collections'!F3277)))</f>
        <v>0</v>
      </c>
      <c r="T3277" s="304">
        <f t="shared" si="155"/>
        <v>0</v>
      </c>
      <c r="U3277" s="52"/>
      <c r="V3277" s="34"/>
      <c r="W3277" s="408"/>
    </row>
    <row r="3278" spans="1:23" ht="12.75" customHeight="1" x14ac:dyDescent="0.2">
      <c r="A3278" s="257">
        <v>3287</v>
      </c>
      <c r="B3278" s="44">
        <v>44622</v>
      </c>
      <c r="C3278" s="44">
        <f t="shared" si="156"/>
        <v>44622</v>
      </c>
      <c r="D3278" s="374">
        <v>141</v>
      </c>
      <c r="E3278" s="291" t="str">
        <f>IFERROR(VLOOKUP($D3278,'Clients-Live'!$A:$C,3,0),"")</f>
        <v>DRAMANI WILFRED</v>
      </c>
      <c r="F3278" s="291">
        <f>IFERROR(INDEX(Disbursements!$D:$D,MATCH('Live Collections'!G3278,Disbursements!$C:$C,0)),"")</f>
        <v>2</v>
      </c>
      <c r="G3278" s="34">
        <v>207</v>
      </c>
      <c r="H3278" s="34">
        <v>5011</v>
      </c>
      <c r="I3278" s="34" t="s">
        <v>1359</v>
      </c>
      <c r="J3278" s="48"/>
      <c r="K3278" s="48"/>
      <c r="L3278" s="48"/>
      <c r="M3278" s="48"/>
      <c r="N3278" s="59"/>
      <c r="O3278" s="59">
        <v>48000</v>
      </c>
      <c r="P3278" s="59"/>
      <c r="Q3278" s="268">
        <f t="shared" si="154"/>
        <v>48000</v>
      </c>
      <c r="R3278" s="61">
        <f>IF(O3278=0,0,SUMIFS(Disbursements!$T:$T,Disbursements!$B:$B,'Live Collections'!D3278,Disbursements!$D:$D,'Live Collections'!F3278))</f>
        <v>175000</v>
      </c>
      <c r="S3278" s="304"/>
      <c r="T3278" s="304">
        <f t="shared" si="155"/>
        <v>48000</v>
      </c>
      <c r="U3278" s="52"/>
      <c r="V3278" s="34"/>
      <c r="W3278" s="408"/>
    </row>
    <row r="3279" spans="1:23" ht="12.75" customHeight="1" x14ac:dyDescent="0.2">
      <c r="A3279" s="257">
        <v>3288</v>
      </c>
      <c r="B3279" s="44">
        <v>44622</v>
      </c>
      <c r="C3279" s="44">
        <f t="shared" si="156"/>
        <v>44622</v>
      </c>
      <c r="D3279" s="374">
        <v>59</v>
      </c>
      <c r="E3279" s="291" t="str">
        <f>IFERROR(VLOOKUP($D3279,'Clients-Live'!$A:$C,3,0),"")</f>
        <v>ONZIA AGNES</v>
      </c>
      <c r="F3279" s="291">
        <f>IFERROR(INDEX(Disbursements!$D:$D,MATCH('Live Collections'!G3279,Disbursements!$C:$C,0)),"")</f>
        <v>2</v>
      </c>
      <c r="G3279" s="34">
        <v>284</v>
      </c>
      <c r="H3279" s="34" t="s">
        <v>2140</v>
      </c>
      <c r="I3279" s="34" t="s">
        <v>1358</v>
      </c>
      <c r="J3279" s="48"/>
      <c r="K3279" s="48"/>
      <c r="L3279" s="48"/>
      <c r="M3279" s="48"/>
      <c r="N3279" s="59"/>
      <c r="O3279" s="59">
        <v>60000</v>
      </c>
      <c r="P3279" s="59">
        <v>-60000</v>
      </c>
      <c r="Q3279" s="268">
        <f t="shared" si="154"/>
        <v>0</v>
      </c>
      <c r="R3279" s="61">
        <f>IF(O3279=0,0,SUMIFS(Disbursements!$T:$T,Disbursements!$B:$B,'Live Collections'!D3279,Disbursements!$D:$D,'Live Collections'!F3279))</f>
        <v>180000</v>
      </c>
      <c r="S3279" s="304"/>
      <c r="T3279" s="304">
        <f t="shared" si="155"/>
        <v>60000</v>
      </c>
      <c r="U3279" s="52"/>
      <c r="V3279" s="34"/>
      <c r="W3279" s="408"/>
    </row>
    <row r="3280" spans="1:23" ht="12.75" customHeight="1" x14ac:dyDescent="0.2">
      <c r="A3280" s="257">
        <v>3289</v>
      </c>
      <c r="B3280" s="44">
        <v>44622</v>
      </c>
      <c r="C3280" s="44">
        <f t="shared" si="156"/>
        <v>44622</v>
      </c>
      <c r="D3280" s="374">
        <v>10</v>
      </c>
      <c r="E3280" s="291" t="str">
        <f>IFERROR(VLOOKUP($D3280,'Clients-Live'!$A:$C,3,0),"")</f>
        <v>WARU ARIEYE VALENTINA CHARLES</v>
      </c>
      <c r="F3280" s="291">
        <f>IFERROR(INDEX(Disbursements!$D:$D,MATCH('Live Collections'!G3280,Disbursements!$C:$C,0)),"")</f>
        <v>1</v>
      </c>
      <c r="G3280" s="34">
        <v>334</v>
      </c>
      <c r="H3280" s="34">
        <v>5007</v>
      </c>
      <c r="I3280" s="34" t="s">
        <v>1357</v>
      </c>
      <c r="J3280" s="48"/>
      <c r="K3280" s="48"/>
      <c r="L3280" s="48"/>
      <c r="M3280" s="48"/>
      <c r="N3280" s="59"/>
      <c r="O3280" s="59">
        <v>125000</v>
      </c>
      <c r="P3280" s="59"/>
      <c r="Q3280" s="268">
        <f t="shared" si="154"/>
        <v>125000</v>
      </c>
      <c r="R3280" s="61">
        <f>IF(O3280=0,0,SUMIFS(Disbursements!$T:$T,Disbursements!$B:$B,'Live Collections'!D3280,Disbursements!$D:$D,'Live Collections'!F3280))</f>
        <v>125000</v>
      </c>
      <c r="S3280" s="304">
        <f>IF(O3280&lt;=IF($O3280=0,0,SUMIFS(Disbursements!$W:$W,Disbursements!$B:$B,'Live Collections'!D3280,Disbursements!$D:$D,'Live Collections'!F3280)),O3280,IF($O3280=0,0,SUMIFS(Disbursements!$W:$W,Disbursements!$B:$B,'Live Collections'!D3280,Disbursements!$D:$D,'Live Collections'!F3280)))</f>
        <v>25000</v>
      </c>
      <c r="T3280" s="304">
        <f t="shared" si="155"/>
        <v>100000</v>
      </c>
      <c r="U3280" s="52"/>
      <c r="V3280" s="34"/>
      <c r="W3280" s="408"/>
    </row>
    <row r="3281" spans="1:23" ht="12.75" customHeight="1" x14ac:dyDescent="0.2">
      <c r="A3281" s="257">
        <v>3290</v>
      </c>
      <c r="B3281" s="44">
        <v>44622</v>
      </c>
      <c r="C3281" s="44">
        <f t="shared" si="156"/>
        <v>44622</v>
      </c>
      <c r="D3281" s="374">
        <v>304</v>
      </c>
      <c r="E3281" s="291" t="str">
        <f>IFERROR(VLOOKUP($D3281,'Clients-Live'!$A:$C,3,0),"")</f>
        <v>ATAKO GLORIA</v>
      </c>
      <c r="F3281" s="291">
        <f>IFERROR(INDEX(Disbursements!$D:$D,MATCH('Live Collections'!G3281,Disbursements!$C:$C,0)),"")</f>
        <v>1</v>
      </c>
      <c r="G3281" s="34">
        <v>398</v>
      </c>
      <c r="H3281" s="34">
        <v>5005</v>
      </c>
      <c r="I3281" s="34" t="s">
        <v>1359</v>
      </c>
      <c r="J3281" s="48"/>
      <c r="K3281" s="48"/>
      <c r="L3281" s="48"/>
      <c r="M3281" s="48"/>
      <c r="N3281" s="59"/>
      <c r="O3281" s="59">
        <v>31500</v>
      </c>
      <c r="P3281" s="59"/>
      <c r="Q3281" s="268">
        <f t="shared" si="154"/>
        <v>31500</v>
      </c>
      <c r="R3281" s="61">
        <f>IF(O3281=0,0,SUMIFS(Disbursements!$T:$T,Disbursements!$B:$B,'Live Collections'!D3281,Disbursements!$D:$D,'Live Collections'!F3281))</f>
        <v>32000</v>
      </c>
      <c r="S3281" s="304">
        <f>IF(O3281&lt;=IF($O3281=0,0,SUMIFS(Disbursements!$W:$W,Disbursements!$B:$B,'Live Collections'!D3281,Disbursements!$D:$D,'Live Collections'!F3281)),O3281,IF($O3281=0,0,SUMIFS(Disbursements!$W:$W,Disbursements!$B:$B,'Live Collections'!D3281,Disbursements!$D:$D,'Live Collections'!F3281)))</f>
        <v>7000</v>
      </c>
      <c r="T3281" s="304">
        <f t="shared" si="155"/>
        <v>24500</v>
      </c>
      <c r="U3281" s="52"/>
      <c r="V3281" s="34"/>
      <c r="W3281" s="408"/>
    </row>
    <row r="3282" spans="1:23" ht="12.75" customHeight="1" x14ac:dyDescent="0.2">
      <c r="A3282" s="257">
        <v>3291</v>
      </c>
      <c r="B3282" s="44">
        <v>44622</v>
      </c>
      <c r="C3282" s="44">
        <f t="shared" si="156"/>
        <v>44622</v>
      </c>
      <c r="D3282" s="374">
        <v>241</v>
      </c>
      <c r="E3282" s="291" t="str">
        <f>IFERROR(VLOOKUP($D3282,'Clients-Live'!$A:$C,3,0),"")</f>
        <v>SIRIKA FARIDA</v>
      </c>
      <c r="F3282" s="291">
        <f>IFERROR(INDEX(Disbursements!$D:$D,MATCH('Live Collections'!G3282,Disbursements!$C:$C,0)),"")</f>
        <v>1</v>
      </c>
      <c r="G3282" s="34">
        <v>282</v>
      </c>
      <c r="H3282" s="34">
        <v>5006</v>
      </c>
      <c r="I3282" s="34" t="s">
        <v>1359</v>
      </c>
      <c r="J3282" s="48"/>
      <c r="K3282" s="48"/>
      <c r="L3282" s="48"/>
      <c r="M3282" s="48"/>
      <c r="N3282" s="59"/>
      <c r="O3282" s="59">
        <v>70000</v>
      </c>
      <c r="P3282" s="59"/>
      <c r="Q3282" s="268">
        <f t="shared" si="154"/>
        <v>70000</v>
      </c>
      <c r="R3282" s="61">
        <f>IF(O3282=0,0,SUMIFS(Disbursements!$T:$T,Disbursements!$B:$B,'Live Collections'!D3282,Disbursements!$D:$D,'Live Collections'!F3282))</f>
        <v>125000</v>
      </c>
      <c r="S3282" s="304"/>
      <c r="T3282" s="304">
        <f t="shared" si="155"/>
        <v>70000</v>
      </c>
      <c r="U3282" s="52"/>
      <c r="V3282" s="34"/>
      <c r="W3282" s="408"/>
    </row>
    <row r="3283" spans="1:23" ht="12.75" customHeight="1" x14ac:dyDescent="0.2">
      <c r="A3283" s="257">
        <v>3292</v>
      </c>
      <c r="B3283" s="44">
        <v>44622</v>
      </c>
      <c r="C3283" s="44">
        <f t="shared" si="156"/>
        <v>44622</v>
      </c>
      <c r="D3283" s="374">
        <v>239</v>
      </c>
      <c r="E3283" s="291" t="str">
        <f>IFERROR(VLOOKUP($D3283,'Clients-Live'!$A:$C,3,0),"")</f>
        <v>HABIBU ABOYI ALLI</v>
      </c>
      <c r="F3283" s="291">
        <f>IFERROR(INDEX(Disbursements!$D:$D,MATCH('Live Collections'!G3283,Disbursements!$C:$C,0)),"")</f>
        <v>1</v>
      </c>
      <c r="G3283" s="34">
        <v>291</v>
      </c>
      <c r="H3283" s="34" t="s">
        <v>2141</v>
      </c>
      <c r="I3283" s="34" t="s">
        <v>1357</v>
      </c>
      <c r="J3283" s="48"/>
      <c r="K3283" s="48"/>
      <c r="L3283" s="48"/>
      <c r="M3283" s="48"/>
      <c r="N3283" s="59"/>
      <c r="O3283" s="59">
        <v>60000</v>
      </c>
      <c r="P3283" s="59">
        <v>-60000</v>
      </c>
      <c r="Q3283" s="268">
        <f t="shared" si="154"/>
        <v>0</v>
      </c>
      <c r="R3283" s="61">
        <f>IF(O3283=0,0,SUMIFS(Disbursements!$T:$T,Disbursements!$B:$B,'Live Collections'!D3283,Disbursements!$D:$D,'Live Collections'!F3283))</f>
        <v>180000</v>
      </c>
      <c r="S3283" s="304"/>
      <c r="T3283" s="304">
        <f t="shared" si="155"/>
        <v>60000</v>
      </c>
      <c r="U3283" s="52"/>
      <c r="V3283" s="34"/>
      <c r="W3283" s="408"/>
    </row>
    <row r="3284" spans="1:23" ht="12.75" customHeight="1" x14ac:dyDescent="0.2">
      <c r="A3284" s="257">
        <v>3293</v>
      </c>
      <c r="B3284" s="44">
        <v>44622</v>
      </c>
      <c r="C3284" s="44">
        <f t="shared" si="156"/>
        <v>44622</v>
      </c>
      <c r="D3284" s="374">
        <v>136</v>
      </c>
      <c r="E3284" s="291" t="str">
        <f>IFERROR(VLOOKUP($D3284,'Clients-Live'!$A:$C,3,0),"")</f>
        <v>LEMERIGA GODWILL JOSEPH</v>
      </c>
      <c r="F3284" s="291">
        <f>IFERROR(INDEX(Disbursements!$D:$D,MATCH('Live Collections'!G3284,Disbursements!$C:$C,0)),"")</f>
        <v>2</v>
      </c>
      <c r="G3284" s="34">
        <v>234</v>
      </c>
      <c r="H3284" s="34" t="s">
        <v>2142</v>
      </c>
      <c r="I3284" s="34" t="s">
        <v>1357</v>
      </c>
      <c r="J3284" s="48"/>
      <c r="K3284" s="48"/>
      <c r="L3284" s="48"/>
      <c r="M3284" s="48"/>
      <c r="N3284" s="59"/>
      <c r="O3284" s="59">
        <v>60000</v>
      </c>
      <c r="P3284" s="59">
        <v>-60000</v>
      </c>
      <c r="Q3284" s="268">
        <f t="shared" si="154"/>
        <v>0</v>
      </c>
      <c r="R3284" s="61">
        <f>IF(O3284=0,0,SUMIFS(Disbursements!$T:$T,Disbursements!$B:$B,'Live Collections'!D3284,Disbursements!$D:$D,'Live Collections'!F3284))</f>
        <v>150000</v>
      </c>
      <c r="S3284" s="304"/>
      <c r="T3284" s="304">
        <f t="shared" si="155"/>
        <v>60000</v>
      </c>
      <c r="U3284" s="52"/>
      <c r="V3284" s="34"/>
      <c r="W3284" s="408"/>
    </row>
    <row r="3285" spans="1:23" ht="12.75" customHeight="1" x14ac:dyDescent="0.2">
      <c r="A3285" s="257">
        <v>3294</v>
      </c>
      <c r="B3285" s="44">
        <v>44622</v>
      </c>
      <c r="C3285" s="44">
        <f t="shared" si="156"/>
        <v>44622</v>
      </c>
      <c r="D3285" s="374">
        <v>94</v>
      </c>
      <c r="E3285" s="291" t="str">
        <f>IFERROR(VLOOKUP($D3285,'Clients-Live'!$A:$C,3,0),"")</f>
        <v>NGINYA RICHARD</v>
      </c>
      <c r="F3285" s="291">
        <f>IFERROR(INDEX(Disbursements!$D:$D,MATCH('Live Collections'!G3285,Disbursements!$C:$C,0)),"")</f>
        <v>2</v>
      </c>
      <c r="G3285" s="34">
        <v>305</v>
      </c>
      <c r="H3285" s="34" t="s">
        <v>2143</v>
      </c>
      <c r="I3285" s="34" t="s">
        <v>1357</v>
      </c>
      <c r="J3285" s="48"/>
      <c r="K3285" s="48"/>
      <c r="L3285" s="48"/>
      <c r="M3285" s="48"/>
      <c r="N3285" s="59"/>
      <c r="O3285" s="59">
        <v>30000</v>
      </c>
      <c r="P3285" s="59">
        <v>-30000</v>
      </c>
      <c r="Q3285" s="268">
        <f t="shared" si="154"/>
        <v>0</v>
      </c>
      <c r="R3285" s="61">
        <f>IF(O3285=0,0,SUMIFS(Disbursements!$T:$T,Disbursements!$B:$B,'Live Collections'!D3285,Disbursements!$D:$D,'Live Collections'!F3285))</f>
        <v>90000</v>
      </c>
      <c r="S3285" s="304"/>
      <c r="T3285" s="304">
        <f t="shared" si="155"/>
        <v>30000</v>
      </c>
      <c r="U3285" s="52"/>
      <c r="V3285" s="34"/>
      <c r="W3285" s="408"/>
    </row>
    <row r="3286" spans="1:23" ht="12.75" customHeight="1" x14ac:dyDescent="0.2">
      <c r="A3286" s="257">
        <v>3295</v>
      </c>
      <c r="B3286" s="44">
        <v>44622</v>
      </c>
      <c r="C3286" s="44">
        <f t="shared" si="156"/>
        <v>44622</v>
      </c>
      <c r="D3286" s="374">
        <v>157</v>
      </c>
      <c r="E3286" s="291" t="str">
        <f>IFERROR(VLOOKUP($D3286,'Clients-Live'!$A:$C,3,0),"")</f>
        <v>AYITE MARGERT</v>
      </c>
      <c r="F3286" s="291">
        <f>IFERROR(INDEX(Disbursements!$D:$D,MATCH('Live Collections'!G3286,Disbursements!$C:$C,0)),"")</f>
        <v>2</v>
      </c>
      <c r="G3286" s="34">
        <v>345</v>
      </c>
      <c r="H3286" s="34">
        <v>5008</v>
      </c>
      <c r="I3286" s="34" t="s">
        <v>1357</v>
      </c>
      <c r="J3286" s="48"/>
      <c r="K3286" s="48"/>
      <c r="L3286" s="48"/>
      <c r="M3286" s="48"/>
      <c r="N3286" s="59"/>
      <c r="O3286" s="59">
        <v>50000</v>
      </c>
      <c r="P3286" s="59"/>
      <c r="Q3286" s="268">
        <f t="shared" si="154"/>
        <v>50000</v>
      </c>
      <c r="R3286" s="61">
        <f>IF(O3286=0,0,SUMIFS(Disbursements!$T:$T,Disbursements!$B:$B,'Live Collections'!D3286,Disbursements!$D:$D,'Live Collections'!F3286))</f>
        <v>175000</v>
      </c>
      <c r="S3286" s="304">
        <f>IF(O3286&lt;=IF($O3286=0,0,SUMIFS(Disbursements!$W:$W,Disbursements!$B:$B,'Live Collections'!D3286,Disbursements!$D:$D,'Live Collections'!F3286)),O3286,IF($O3286=0,0,SUMIFS(Disbursements!$W:$W,Disbursements!$B:$B,'Live Collections'!D3286,Disbursements!$D:$D,'Live Collections'!F3286)))</f>
        <v>35000</v>
      </c>
      <c r="T3286" s="304">
        <f t="shared" si="155"/>
        <v>15000</v>
      </c>
      <c r="U3286" s="52"/>
      <c r="V3286" s="34"/>
      <c r="W3286" s="408"/>
    </row>
    <row r="3287" spans="1:23" ht="12.75" customHeight="1" x14ac:dyDescent="0.2">
      <c r="A3287" s="257">
        <v>3296</v>
      </c>
      <c r="B3287" s="44">
        <v>44622</v>
      </c>
      <c r="C3287" s="44">
        <f t="shared" si="156"/>
        <v>44622</v>
      </c>
      <c r="D3287" s="374">
        <v>239</v>
      </c>
      <c r="E3287" s="291" t="str">
        <f>IFERROR(VLOOKUP($D3287,'Clients-Live'!$A:$C,3,0),"")</f>
        <v>HABIBU ABOYI ALLI</v>
      </c>
      <c r="F3287" s="291">
        <f>IFERROR(INDEX(Disbursements!$D:$D,MATCH('Live Collections'!G3287,Disbursements!$C:$C,0)),"")</f>
        <v>1</v>
      </c>
      <c r="G3287" s="34">
        <v>291</v>
      </c>
      <c r="H3287" s="34">
        <v>5002</v>
      </c>
      <c r="I3287" s="34" t="s">
        <v>1357</v>
      </c>
      <c r="J3287" s="48"/>
      <c r="K3287" s="48"/>
      <c r="L3287" s="48"/>
      <c r="M3287" s="48"/>
      <c r="N3287" s="59"/>
      <c r="O3287" s="59">
        <v>120000</v>
      </c>
      <c r="P3287" s="59"/>
      <c r="Q3287" s="268">
        <f t="shared" si="154"/>
        <v>120000</v>
      </c>
      <c r="R3287" s="61">
        <f>IF(O3287=0,0,SUMIFS(Disbursements!$T:$T,Disbursements!$B:$B,'Live Collections'!D3287,Disbursements!$D:$D,'Live Collections'!F3287))</f>
        <v>180000</v>
      </c>
      <c r="S3287" s="304"/>
      <c r="T3287" s="304">
        <f t="shared" si="155"/>
        <v>120000</v>
      </c>
      <c r="U3287" s="52"/>
      <c r="V3287" s="34"/>
      <c r="W3287" s="408"/>
    </row>
    <row r="3288" spans="1:23" ht="12.75" customHeight="1" x14ac:dyDescent="0.2">
      <c r="A3288" s="257">
        <v>3298</v>
      </c>
      <c r="B3288" s="44">
        <v>44622</v>
      </c>
      <c r="C3288" s="44">
        <f t="shared" si="156"/>
        <v>44622</v>
      </c>
      <c r="D3288" s="374">
        <v>18</v>
      </c>
      <c r="E3288" s="291" t="str">
        <f>IFERROR(VLOOKUP($D3288,'Clients-Live'!$A:$C,3,0),"")</f>
        <v>ARIYE PEACE</v>
      </c>
      <c r="F3288" s="291">
        <f>IFERROR(INDEX(Disbursements!$D:$D,MATCH('Live Collections'!G3288,Disbursements!$C:$C,0)),"")</f>
        <v>2</v>
      </c>
      <c r="G3288" s="34">
        <v>317</v>
      </c>
      <c r="H3288" s="34">
        <v>4998</v>
      </c>
      <c r="I3288" s="34" t="s">
        <v>1357</v>
      </c>
      <c r="J3288" s="48"/>
      <c r="K3288" s="48"/>
      <c r="L3288" s="48"/>
      <c r="M3288" s="48"/>
      <c r="N3288" s="59"/>
      <c r="O3288" s="59">
        <v>100000</v>
      </c>
      <c r="P3288" s="59"/>
      <c r="Q3288" s="268">
        <f t="shared" si="154"/>
        <v>100000</v>
      </c>
      <c r="R3288" s="61">
        <f>IF(O3288=0,0,SUMIFS(Disbursements!$T:$T,Disbursements!$B:$B,'Live Collections'!D3288,Disbursements!$D:$D,'Live Collections'!F3288))</f>
        <v>650000</v>
      </c>
      <c r="S3288" s="304">
        <f>IF(O3288&lt;=IF($O3288=0,0,SUMIFS(Disbursements!$W:$W,Disbursements!$B:$B,'Live Collections'!D3288,Disbursements!$D:$D,'Live Collections'!F3288)),O3288,IF($O3288=0,0,SUMIFS(Disbursements!$W:$W,Disbursements!$B:$B,'Live Collections'!D3288,Disbursements!$D:$D,'Live Collections'!F3288)))</f>
        <v>100000</v>
      </c>
      <c r="T3288" s="304">
        <f t="shared" si="155"/>
        <v>0</v>
      </c>
      <c r="U3288" s="52"/>
      <c r="V3288" s="34"/>
      <c r="W3288" s="408"/>
    </row>
    <row r="3289" spans="1:23" ht="12.75" customHeight="1" x14ac:dyDescent="0.2">
      <c r="A3289" s="257">
        <v>3299</v>
      </c>
      <c r="B3289" s="44">
        <v>44622</v>
      </c>
      <c r="C3289" s="44">
        <f t="shared" si="156"/>
        <v>44622</v>
      </c>
      <c r="D3289" s="374">
        <v>157</v>
      </c>
      <c r="E3289" s="291" t="str">
        <f>IFERROR(VLOOKUP($D3289,'Clients-Live'!$A:$C,3,0),"")</f>
        <v>AYITE MARGERT</v>
      </c>
      <c r="F3289" s="291">
        <f>IFERROR(INDEX(Disbursements!$D:$D,MATCH('Live Collections'!G3289,Disbursements!$C:$C,0)),"")</f>
        <v>2</v>
      </c>
      <c r="G3289" s="34">
        <v>345</v>
      </c>
      <c r="H3289" s="34">
        <v>4950</v>
      </c>
      <c r="I3289" s="34" t="s">
        <v>1357</v>
      </c>
      <c r="J3289" s="48"/>
      <c r="K3289" s="48"/>
      <c r="L3289" s="48"/>
      <c r="M3289" s="48"/>
      <c r="N3289" s="59"/>
      <c r="O3289" s="59">
        <v>80000</v>
      </c>
      <c r="P3289" s="59"/>
      <c r="Q3289" s="268">
        <f t="shared" si="154"/>
        <v>80000</v>
      </c>
      <c r="R3289" s="61">
        <f>IF(O3289=0,0,SUMIFS(Disbursements!$T:$T,Disbursements!$B:$B,'Live Collections'!D3289,Disbursements!$D:$D,'Live Collections'!F3289))</f>
        <v>175000</v>
      </c>
      <c r="S3289" s="474">
        <v>15000</v>
      </c>
      <c r="T3289" s="304">
        <f t="shared" si="155"/>
        <v>65000</v>
      </c>
      <c r="U3289" s="52"/>
      <c r="V3289" s="34"/>
      <c r="W3289" s="408"/>
    </row>
    <row r="3290" spans="1:23" ht="12.75" customHeight="1" x14ac:dyDescent="0.2">
      <c r="A3290" s="257">
        <v>3300</v>
      </c>
      <c r="B3290" s="44">
        <v>44622</v>
      </c>
      <c r="C3290" s="44">
        <f t="shared" si="156"/>
        <v>44622</v>
      </c>
      <c r="D3290" s="374">
        <v>169</v>
      </c>
      <c r="E3290" s="291" t="str">
        <f>IFERROR(VLOOKUP($D3290,'Clients-Live'!$A:$C,3,0),"")</f>
        <v>KATO KENNEDY</v>
      </c>
      <c r="F3290" s="291">
        <f>IFERROR(INDEX(Disbursements!$D:$D,MATCH('Live Collections'!G3290,Disbursements!$C:$C,0)),"")</f>
        <v>2</v>
      </c>
      <c r="G3290" s="34">
        <v>394</v>
      </c>
      <c r="H3290" s="34">
        <v>4948</v>
      </c>
      <c r="I3290" s="34" t="s">
        <v>1357</v>
      </c>
      <c r="J3290" s="48"/>
      <c r="K3290" s="48"/>
      <c r="L3290" s="48"/>
      <c r="M3290" s="48"/>
      <c r="N3290" s="59"/>
      <c r="O3290" s="59">
        <v>58000</v>
      </c>
      <c r="P3290" s="59"/>
      <c r="Q3290" s="268">
        <f t="shared" si="154"/>
        <v>58000</v>
      </c>
      <c r="R3290" s="61">
        <f>IF(O3290=0,0,SUMIFS(Disbursements!$T:$T,Disbursements!$B:$B,'Live Collections'!D3290,Disbursements!$D:$D,'Live Collections'!F3290))</f>
        <v>58000</v>
      </c>
      <c r="S3290" s="304">
        <f>IF(O3290&lt;=IF($O3290=0,0,SUMIFS(Disbursements!$W:$W,Disbursements!$B:$B,'Live Collections'!D3290,Disbursements!$D:$D,'Live Collections'!F3290)),O3290,IF($O3290=0,0,SUMIFS(Disbursements!$W:$W,Disbursements!$B:$B,'Live Collections'!D3290,Disbursements!$D:$D,'Live Collections'!F3290)))</f>
        <v>16333.333333333336</v>
      </c>
      <c r="T3290" s="304">
        <f t="shared" si="155"/>
        <v>41666.666666666664</v>
      </c>
      <c r="U3290" s="52"/>
      <c r="V3290" s="34"/>
      <c r="W3290" s="408"/>
    </row>
    <row r="3291" spans="1:23" ht="12.75" customHeight="1" x14ac:dyDescent="0.2">
      <c r="A3291" s="257">
        <v>3301</v>
      </c>
      <c r="B3291" s="44">
        <v>44622</v>
      </c>
      <c r="C3291" s="44">
        <f t="shared" si="156"/>
        <v>44622</v>
      </c>
      <c r="D3291" s="374">
        <v>136</v>
      </c>
      <c r="E3291" s="291" t="str">
        <f>IFERROR(VLOOKUP($D3291,'Clients-Live'!$A:$C,3,0),"")</f>
        <v>LEMERIGA GODWILL JOSEPH</v>
      </c>
      <c r="F3291" s="291">
        <f>IFERROR(INDEX(Disbursements!$D:$D,MATCH('Live Collections'!G3291,Disbursements!$C:$C,0)),"")</f>
        <v>2</v>
      </c>
      <c r="G3291" s="34">
        <v>234</v>
      </c>
      <c r="H3291" s="34">
        <v>4988</v>
      </c>
      <c r="I3291" s="34" t="s">
        <v>1357</v>
      </c>
      <c r="J3291" s="48"/>
      <c r="K3291" s="48"/>
      <c r="L3291" s="48"/>
      <c r="M3291" s="48"/>
      <c r="N3291" s="59"/>
      <c r="O3291" s="59">
        <v>90000</v>
      </c>
      <c r="P3291" s="59"/>
      <c r="Q3291" s="268">
        <f t="shared" si="154"/>
        <v>90000</v>
      </c>
      <c r="R3291" s="61">
        <f>IF(O3291=0,0,SUMIFS(Disbursements!$T:$T,Disbursements!$B:$B,'Live Collections'!D3291,Disbursements!$D:$D,'Live Collections'!F3291))</f>
        <v>150000</v>
      </c>
      <c r="S3291" s="304"/>
      <c r="T3291" s="304">
        <f t="shared" si="155"/>
        <v>90000</v>
      </c>
      <c r="U3291" s="52"/>
      <c r="V3291" s="34"/>
      <c r="W3291" s="408"/>
    </row>
    <row r="3292" spans="1:23" ht="12.75" customHeight="1" x14ac:dyDescent="0.2">
      <c r="A3292" s="257">
        <v>3302</v>
      </c>
      <c r="B3292" s="44">
        <v>44622</v>
      </c>
      <c r="C3292" s="44">
        <f t="shared" si="156"/>
        <v>44622</v>
      </c>
      <c r="D3292" s="374">
        <v>212</v>
      </c>
      <c r="E3292" s="291" t="str">
        <f>IFERROR(VLOOKUP($D3292,'Clients-Live'!$A:$C,3,0),"")</f>
        <v>ACIDRI WILLIAM</v>
      </c>
      <c r="F3292" s="291">
        <f>IFERROR(INDEX(Disbursements!$D:$D,MATCH('Live Collections'!G3292,Disbursements!$C:$C,0)),"")</f>
        <v>2</v>
      </c>
      <c r="G3292" s="34">
        <v>365</v>
      </c>
      <c r="H3292" s="34">
        <v>4997</v>
      </c>
      <c r="I3292" s="34" t="s">
        <v>1358</v>
      </c>
      <c r="J3292" s="48"/>
      <c r="K3292" s="48"/>
      <c r="L3292" s="48"/>
      <c r="M3292" s="48"/>
      <c r="N3292" s="59"/>
      <c r="O3292" s="59">
        <v>200000</v>
      </c>
      <c r="P3292" s="59"/>
      <c r="Q3292" s="268">
        <f t="shared" si="154"/>
        <v>200000</v>
      </c>
      <c r="R3292" s="61">
        <f>IF(O3292=0,0,SUMIFS(Disbursements!$T:$T,Disbursements!$B:$B,'Live Collections'!D3292,Disbursements!$D:$D,'Live Collections'!F3292))</f>
        <v>307000</v>
      </c>
      <c r="S3292" s="304">
        <f>IF(O3292&lt;=IF($O3292=0,0,SUMIFS(Disbursements!$W:$W,Disbursements!$B:$B,'Live Collections'!D3292,Disbursements!$D:$D,'Live Collections'!F3292)),O3292,IF($O3292=0,0,SUMIFS(Disbursements!$W:$W,Disbursements!$B:$B,'Live Collections'!D3292,Disbursements!$D:$D,'Live Collections'!F3292)))</f>
        <v>57000</v>
      </c>
      <c r="T3292" s="304">
        <f t="shared" si="155"/>
        <v>143000</v>
      </c>
      <c r="U3292" s="52"/>
      <c r="V3292" s="34"/>
      <c r="W3292" s="408"/>
    </row>
    <row r="3293" spans="1:23" ht="12.75" customHeight="1" x14ac:dyDescent="0.2">
      <c r="A3293" s="257">
        <v>3303</v>
      </c>
      <c r="B3293" s="44">
        <v>44622</v>
      </c>
      <c r="C3293" s="44">
        <f t="shared" si="156"/>
        <v>44622</v>
      </c>
      <c r="D3293" s="374">
        <v>255</v>
      </c>
      <c r="E3293" s="291" t="str">
        <f>IFERROR(VLOOKUP($D3293,'Clients-Live'!$A:$C,3,0),"")</f>
        <v>YOBUTA JOHN</v>
      </c>
      <c r="F3293" s="291">
        <f>IFERROR(INDEX(Disbursements!$D:$D,MATCH('Live Collections'!G3293,Disbursements!$C:$C,0)),"")</f>
        <v>1</v>
      </c>
      <c r="G3293" s="34">
        <v>280</v>
      </c>
      <c r="H3293" s="34">
        <v>4949</v>
      </c>
      <c r="I3293" s="34" t="s">
        <v>1359</v>
      </c>
      <c r="J3293" s="48"/>
      <c r="K3293" s="48"/>
      <c r="L3293" s="48"/>
      <c r="M3293" s="48"/>
      <c r="N3293" s="59"/>
      <c r="O3293" s="59">
        <v>240000</v>
      </c>
      <c r="P3293" s="59"/>
      <c r="Q3293" s="268">
        <f t="shared" si="154"/>
        <v>240000</v>
      </c>
      <c r="R3293" s="61">
        <f>IF(O3293=0,0,SUMIFS(Disbursements!$T:$T,Disbursements!$B:$B,'Live Collections'!D3293,Disbursements!$D:$D,'Live Collections'!F3293))</f>
        <v>217000</v>
      </c>
      <c r="S3293" s="304">
        <f>IF(O3293&lt;=IF($O3293=0,0,SUMIFS(Disbursements!$W:$W,Disbursements!$B:$B,'Live Collections'!D3293,Disbursements!$D:$D,'Live Collections'!F3293)),O3293,IF($O3293=0,0,SUMIFS(Disbursements!$W:$W,Disbursements!$B:$B,'Live Collections'!D3293,Disbursements!$D:$D,'Live Collections'!F3293)))</f>
        <v>50333.333333333343</v>
      </c>
      <c r="T3293" s="304">
        <f t="shared" si="155"/>
        <v>189666.66666666666</v>
      </c>
      <c r="U3293" s="52"/>
      <c r="V3293" s="34"/>
      <c r="W3293" s="408"/>
    </row>
    <row r="3294" spans="1:23" ht="12.75" customHeight="1" x14ac:dyDescent="0.2">
      <c r="A3294" s="257">
        <v>3304</v>
      </c>
      <c r="B3294" s="44">
        <v>44622</v>
      </c>
      <c r="C3294" s="44">
        <f t="shared" si="156"/>
        <v>44622</v>
      </c>
      <c r="D3294" s="374">
        <v>59</v>
      </c>
      <c r="E3294" s="291" t="str">
        <f>IFERROR(VLOOKUP($D3294,'Clients-Live'!$A:$C,3,0),"")</f>
        <v>ONZIA AGNES</v>
      </c>
      <c r="F3294" s="291">
        <f>IFERROR(INDEX(Disbursements!$D:$D,MATCH('Live Collections'!G3294,Disbursements!$C:$C,0)),"")</f>
        <v>2</v>
      </c>
      <c r="G3294" s="34">
        <v>284</v>
      </c>
      <c r="H3294" s="34">
        <v>4991</v>
      </c>
      <c r="I3294" s="34" t="s">
        <v>1358</v>
      </c>
      <c r="J3294" s="48"/>
      <c r="K3294" s="48"/>
      <c r="L3294" s="48"/>
      <c r="M3294" s="48"/>
      <c r="N3294" s="59"/>
      <c r="O3294" s="59">
        <v>120000</v>
      </c>
      <c r="P3294" s="59"/>
      <c r="Q3294" s="268">
        <f t="shared" si="154"/>
        <v>120000</v>
      </c>
      <c r="R3294" s="61">
        <f>IF(O3294=0,0,SUMIFS(Disbursements!$T:$T,Disbursements!$B:$B,'Live Collections'!D3294,Disbursements!$D:$D,'Live Collections'!F3294))</f>
        <v>180000</v>
      </c>
      <c r="S3294" s="64">
        <v>21666.666666666672</v>
      </c>
      <c r="T3294" s="304">
        <f t="shared" si="155"/>
        <v>98333.333333333328</v>
      </c>
      <c r="U3294" s="52"/>
      <c r="V3294" s="34"/>
      <c r="W3294" s="408"/>
    </row>
    <row r="3295" spans="1:23" ht="12.75" customHeight="1" x14ac:dyDescent="0.2">
      <c r="A3295" s="257">
        <v>3305</v>
      </c>
      <c r="B3295" s="44">
        <v>44622</v>
      </c>
      <c r="C3295" s="44">
        <f t="shared" si="156"/>
        <v>44622</v>
      </c>
      <c r="D3295" s="374">
        <v>175</v>
      </c>
      <c r="E3295" s="291" t="str">
        <f>IFERROR(VLOOKUP($D3295,'Clients-Live'!$A:$C,3,0),"")</f>
        <v>ZUBEDA WAIGA</v>
      </c>
      <c r="F3295" s="291">
        <f>IFERROR(INDEX(Disbursements!$D:$D,MATCH('Live Collections'!G3295,Disbursements!$C:$C,0)),"")</f>
        <v>2</v>
      </c>
      <c r="G3295" s="34">
        <v>433</v>
      </c>
      <c r="H3295" s="34">
        <v>4999</v>
      </c>
      <c r="I3295" s="34" t="s">
        <v>1358</v>
      </c>
      <c r="J3295" s="48"/>
      <c r="K3295" s="48"/>
      <c r="L3295" s="48"/>
      <c r="M3295" s="48"/>
      <c r="N3295" s="59"/>
      <c r="O3295" s="59">
        <v>54800</v>
      </c>
      <c r="P3295" s="59"/>
      <c r="Q3295" s="268">
        <f t="shared" si="154"/>
        <v>54800</v>
      </c>
      <c r="R3295" s="61">
        <f>IF(O3295=0,0,SUMIFS(Disbursements!$T:$T,Disbursements!$B:$B,'Live Collections'!D3295,Disbursements!$D:$D,'Live Collections'!F3295))</f>
        <v>40000</v>
      </c>
      <c r="S3295" s="304">
        <f>IF(O3295&lt;=IF($O3295=0,0,SUMIFS(Disbursements!$W:$W,Disbursements!$B:$B,'Live Collections'!D3295,Disbursements!$D:$D,'Live Collections'!F3295)),O3295,IF($O3295=0,0,SUMIFS(Disbursements!$W:$W,Disbursements!$B:$B,'Live Collections'!D3295,Disbursements!$D:$D,'Live Collections'!F3295)))</f>
        <v>2500</v>
      </c>
      <c r="T3295" s="304">
        <f t="shared" si="155"/>
        <v>52300</v>
      </c>
      <c r="U3295" s="52"/>
      <c r="V3295" s="34"/>
      <c r="W3295" s="408"/>
    </row>
    <row r="3296" spans="1:23" ht="12.75" customHeight="1" x14ac:dyDescent="0.2">
      <c r="A3296" s="257">
        <v>3306</v>
      </c>
      <c r="B3296" s="44">
        <v>44622</v>
      </c>
      <c r="C3296" s="44">
        <f t="shared" si="156"/>
        <v>44622</v>
      </c>
      <c r="D3296" s="374">
        <v>175</v>
      </c>
      <c r="E3296" s="291" t="str">
        <f>IFERROR(VLOOKUP($D3296,'Clients-Live'!$A:$C,3,0),"")</f>
        <v>ZUBEDA WAIGA</v>
      </c>
      <c r="F3296" s="291">
        <f>IFERROR(INDEX(Disbursements!$D:$D,MATCH('Live Collections'!G3296,Disbursements!$C:$C,0)),"")</f>
        <v>2</v>
      </c>
      <c r="G3296" s="34">
        <v>433</v>
      </c>
      <c r="H3296" s="34" t="s">
        <v>2144</v>
      </c>
      <c r="I3296" s="34" t="s">
        <v>1358</v>
      </c>
      <c r="J3296" s="48"/>
      <c r="K3296" s="48"/>
      <c r="L3296" s="48"/>
      <c r="M3296" s="48"/>
      <c r="N3296" s="59"/>
      <c r="O3296" s="59">
        <v>15000</v>
      </c>
      <c r="P3296" s="59">
        <v>-15000</v>
      </c>
      <c r="Q3296" s="268">
        <f t="shared" si="154"/>
        <v>0</v>
      </c>
      <c r="R3296" s="61">
        <f>IF(O3296=0,0,SUMIFS(Disbursements!$T:$T,Disbursements!$B:$B,'Live Collections'!D3296,Disbursements!$D:$D,'Live Collections'!F3296))</f>
        <v>40000</v>
      </c>
      <c r="S3296" s="304">
        <f>IF(O3296&lt;=IF($O3296=0,0,SUMIFS(Disbursements!$W:$W,Disbursements!$B:$B,'Live Collections'!D3296,Disbursements!$D:$D,'Live Collections'!F3296)),O3296,IF($O3296=0,0,SUMIFS(Disbursements!$W:$W,Disbursements!$B:$B,'Live Collections'!D3296,Disbursements!$D:$D,'Live Collections'!F3296)))</f>
        <v>2500</v>
      </c>
      <c r="T3296" s="304">
        <f t="shared" si="155"/>
        <v>12500</v>
      </c>
      <c r="U3296" s="52"/>
      <c r="V3296" s="34"/>
      <c r="W3296" s="408"/>
    </row>
    <row r="3297" spans="1:23" ht="12.75" customHeight="1" x14ac:dyDescent="0.2">
      <c r="A3297" s="257">
        <v>3307</v>
      </c>
      <c r="B3297" s="44">
        <v>44622</v>
      </c>
      <c r="C3297" s="44">
        <f t="shared" si="156"/>
        <v>44622</v>
      </c>
      <c r="D3297" s="374">
        <v>238</v>
      </c>
      <c r="E3297" s="291" t="str">
        <f>IFERROR(VLOOKUP($D3297,'Clients-Live'!$A:$C,3,0),"")</f>
        <v>ANGAIKA SAID</v>
      </c>
      <c r="F3297" s="291">
        <f>IFERROR(INDEX(Disbursements!$D:$D,MATCH('Live Collections'!G3297,Disbursements!$C:$C,0)),"")</f>
        <v>2</v>
      </c>
      <c r="G3297" s="34">
        <v>441</v>
      </c>
      <c r="H3297" s="34">
        <v>5009</v>
      </c>
      <c r="I3297" s="34" t="s">
        <v>1359</v>
      </c>
      <c r="J3297" s="48"/>
      <c r="K3297" s="48"/>
      <c r="L3297" s="48"/>
      <c r="M3297" s="48"/>
      <c r="N3297" s="59"/>
      <c r="O3297" s="59">
        <v>40600</v>
      </c>
      <c r="P3297" s="59"/>
      <c r="Q3297" s="268">
        <f t="shared" si="154"/>
        <v>40600</v>
      </c>
      <c r="R3297" s="61">
        <f>IF(O3297=0,0,SUMIFS(Disbursements!$T:$T,Disbursements!$B:$B,'Live Collections'!D3297,Disbursements!$D:$D,'Live Collections'!F3297))</f>
        <v>41000</v>
      </c>
      <c r="S3297" s="304">
        <f>IF(O3297&lt;=IF($O3297=0,0,SUMIFS(Disbursements!$W:$W,Disbursements!$B:$B,'Live Collections'!D3297,Disbursements!$D:$D,'Live Collections'!F3297)),O3297,IF($O3297=0,0,SUMIFS(Disbursements!$W:$W,Disbursements!$B:$B,'Live Collections'!D3297,Disbursements!$D:$D,'Live Collections'!F3297)))</f>
        <v>11833.333333333332</v>
      </c>
      <c r="T3297" s="304">
        <f t="shared" si="155"/>
        <v>28766.666666666668</v>
      </c>
      <c r="U3297" s="52"/>
      <c r="V3297" s="34"/>
      <c r="W3297" s="408"/>
    </row>
    <row r="3298" spans="1:23" ht="12.75" customHeight="1" x14ac:dyDescent="0.2">
      <c r="A3298" s="257">
        <v>3308</v>
      </c>
      <c r="B3298" s="44">
        <v>44622</v>
      </c>
      <c r="C3298" s="44">
        <f t="shared" si="156"/>
        <v>44622</v>
      </c>
      <c r="D3298" s="374">
        <v>139</v>
      </c>
      <c r="E3298" s="291" t="str">
        <f>IFERROR(VLOOKUP($D3298,'Clients-Live'!$A:$C,3,0),"")</f>
        <v xml:space="preserve">DRICHIRU MAIMUNA </v>
      </c>
      <c r="F3298" s="291" t="str">
        <f>IFERROR(INDEX(Disbursements!$D:$D,MATCH('Live Collections'!G3298,Disbursements!$C:$C,0)),"")</f>
        <v/>
      </c>
      <c r="G3298" s="34"/>
      <c r="H3298" s="34">
        <v>5001</v>
      </c>
      <c r="I3298" s="34" t="s">
        <v>1359</v>
      </c>
      <c r="J3298" s="48"/>
      <c r="K3298" s="48"/>
      <c r="L3298" s="48">
        <v>15000</v>
      </c>
      <c r="M3298" s="48">
        <v>5000</v>
      </c>
      <c r="N3298" s="59"/>
      <c r="O3298" s="59"/>
      <c r="P3298" s="59"/>
      <c r="Q3298" s="268">
        <f t="shared" si="154"/>
        <v>20000</v>
      </c>
      <c r="R3298" s="61">
        <f>IF(O3298=0,0,SUMIFS(Disbursements!$T:$T,Disbursements!$B:$B,'Live Collections'!D3298,Disbursements!$D:$D,'Live Collections'!F3298))</f>
        <v>0</v>
      </c>
      <c r="S3298" s="304">
        <f>IF(O3298&lt;=IF($O3298=0,0,SUMIFS(Disbursements!$W:$W,Disbursements!$B:$B,'Live Collections'!D3298,Disbursements!$D:$D,'Live Collections'!F3298)),O3298,IF($O3298=0,0,SUMIFS(Disbursements!$W:$W,Disbursements!$B:$B,'Live Collections'!D3298,Disbursements!$D:$D,'Live Collections'!F3298)))</f>
        <v>0</v>
      </c>
      <c r="T3298" s="304">
        <f t="shared" si="155"/>
        <v>0</v>
      </c>
      <c r="U3298" s="52"/>
      <c r="V3298" s="34"/>
      <c r="W3298" s="408"/>
    </row>
    <row r="3299" spans="1:23" ht="12.75" customHeight="1" x14ac:dyDescent="0.2">
      <c r="A3299" s="257">
        <v>3309</v>
      </c>
      <c r="B3299" s="44">
        <v>44463</v>
      </c>
      <c r="C3299" s="44">
        <f t="shared" si="156"/>
        <v>44463</v>
      </c>
      <c r="D3299" s="374">
        <v>21</v>
      </c>
      <c r="E3299" s="291" t="str">
        <f>IFERROR(VLOOKUP($D3299,'Clients-Live'!$A:$C,3,0),"")</f>
        <v>ESABORU EUNICE</v>
      </c>
      <c r="F3299" s="291">
        <f>IFERROR(INDEX(Disbursements!$D:$D,MATCH('Live Collections'!G3299,Disbursements!$C:$C,0)),"")</f>
        <v>1</v>
      </c>
      <c r="G3299" s="34">
        <v>17</v>
      </c>
      <c r="H3299" s="34">
        <v>2559</v>
      </c>
      <c r="I3299" s="34" t="s">
        <v>1358</v>
      </c>
      <c r="J3299" s="48"/>
      <c r="K3299" s="48"/>
      <c r="L3299" s="48"/>
      <c r="M3299" s="48"/>
      <c r="N3299" s="59"/>
      <c r="O3299" s="59">
        <v>115000</v>
      </c>
      <c r="P3299" s="59"/>
      <c r="Q3299" s="268">
        <f t="shared" si="154"/>
        <v>115000</v>
      </c>
      <c r="R3299" s="61">
        <f>IF(O3299=0,0,SUMIFS(Disbursements!$T:$T,Disbursements!$B:$B,'Live Collections'!D3299,Disbursements!$D:$D,'Live Collections'!F3299))</f>
        <v>90000</v>
      </c>
      <c r="S3299" s="304"/>
      <c r="T3299" s="304">
        <f t="shared" si="155"/>
        <v>115000</v>
      </c>
      <c r="U3299" s="52"/>
      <c r="V3299" s="34"/>
      <c r="W3299" s="408"/>
    </row>
    <row r="3300" spans="1:23" ht="12.75" customHeight="1" x14ac:dyDescent="0.2">
      <c r="A3300" s="257">
        <v>3310</v>
      </c>
      <c r="B3300" s="44">
        <v>44510</v>
      </c>
      <c r="C3300" s="44">
        <f t="shared" si="156"/>
        <v>44510</v>
      </c>
      <c r="D3300" s="374">
        <v>53</v>
      </c>
      <c r="E3300" s="291" t="str">
        <f>IFERROR(VLOOKUP($D3300,'Clients-Live'!$A:$C,3,0),"")</f>
        <v>KALSUMU INNOCENT</v>
      </c>
      <c r="F3300" s="291">
        <f>IFERROR(INDEX(Disbursements!$D:$D,MATCH('Live Collections'!G3300,Disbursements!$C:$C,0)),"")</f>
        <v>1</v>
      </c>
      <c r="G3300" s="34">
        <v>36</v>
      </c>
      <c r="H3300" s="34">
        <v>3357</v>
      </c>
      <c r="I3300" s="34" t="s">
        <v>1358</v>
      </c>
      <c r="J3300" s="48"/>
      <c r="K3300" s="48"/>
      <c r="L3300" s="48"/>
      <c r="M3300" s="48"/>
      <c r="N3300" s="59"/>
      <c r="O3300" s="59">
        <v>100000</v>
      </c>
      <c r="P3300" s="59"/>
      <c r="Q3300" s="268">
        <f t="shared" si="154"/>
        <v>100000</v>
      </c>
      <c r="R3300" s="61">
        <f>IF(O3300=0,0,SUMIFS(Disbursements!$T:$T,Disbursements!$B:$B,'Live Collections'!D3300,Disbursements!$D:$D,'Live Collections'!F3300))</f>
        <v>200000</v>
      </c>
      <c r="S3300" s="304"/>
      <c r="T3300" s="304">
        <f t="shared" si="155"/>
        <v>100000</v>
      </c>
      <c r="U3300" s="52"/>
      <c r="V3300" s="34"/>
      <c r="W3300" s="408"/>
    </row>
    <row r="3301" spans="1:23" ht="12.75" customHeight="1" x14ac:dyDescent="0.2">
      <c r="A3301" s="257">
        <v>3311</v>
      </c>
      <c r="B3301" s="44">
        <v>44623</v>
      </c>
      <c r="C3301" s="44">
        <f t="shared" si="156"/>
        <v>44623</v>
      </c>
      <c r="D3301" s="374">
        <v>86</v>
      </c>
      <c r="E3301" s="291" t="str">
        <f>IFERROR(VLOOKUP($D3301,'Clients-Live'!$A:$C,3,0),"")</f>
        <v>AMANIYO JOYCE</v>
      </c>
      <c r="F3301" s="291">
        <f>IFERROR(INDEX(Disbursements!$D:$D,MATCH('Live Collections'!G3301,Disbursements!$C:$C,0)),"")</f>
        <v>2</v>
      </c>
      <c r="G3301" s="34">
        <v>231</v>
      </c>
      <c r="H3301" s="34">
        <v>5051</v>
      </c>
      <c r="I3301" s="34" t="s">
        <v>1358</v>
      </c>
      <c r="J3301" s="48"/>
      <c r="K3301" s="48"/>
      <c r="L3301" s="48"/>
      <c r="M3301" s="48"/>
      <c r="N3301" s="59"/>
      <c r="O3301" s="59">
        <v>100000</v>
      </c>
      <c r="P3301" s="59"/>
      <c r="Q3301" s="268">
        <f t="shared" si="154"/>
        <v>100000</v>
      </c>
      <c r="R3301" s="61">
        <f>IF(O3301=0,0,SUMIFS(Disbursements!$T:$T,Disbursements!$B:$B,'Live Collections'!D3301,Disbursements!$D:$D,'Live Collections'!F3301))</f>
        <v>217000</v>
      </c>
      <c r="S3301" s="304">
        <f>IF(O3301&lt;=IF($O3301=0,0,SUMIFS(Disbursements!$W:$W,Disbursements!$B:$B,'Live Collections'!D3301,Disbursements!$D:$D,'Live Collections'!F3301)),O3301,IF($O3301=0,0,SUMIFS(Disbursements!$W:$W,Disbursements!$B:$B,'Live Collections'!D3301,Disbursements!$D:$D,'Live Collections'!F3301)))</f>
        <v>50333.333333333343</v>
      </c>
      <c r="T3301" s="304">
        <f t="shared" si="155"/>
        <v>49666.666666666657</v>
      </c>
      <c r="U3301" s="52"/>
      <c r="V3301" s="34"/>
      <c r="W3301" s="408"/>
    </row>
    <row r="3302" spans="1:23" ht="12.75" customHeight="1" x14ac:dyDescent="0.2">
      <c r="A3302" s="257">
        <v>3312</v>
      </c>
      <c r="B3302" s="44">
        <v>44623</v>
      </c>
      <c r="C3302" s="44">
        <f t="shared" si="156"/>
        <v>44623</v>
      </c>
      <c r="D3302" s="374">
        <v>328</v>
      </c>
      <c r="E3302" s="291" t="str">
        <f>IFERROR(VLOOKUP($D3302,'Clients-Live'!$A:$C,3,0),"")</f>
        <v>AGOTIA JOYCE</v>
      </c>
      <c r="F3302" s="291" t="str">
        <f>IFERROR(INDEX(Disbursements!$D:$D,MATCH('Live Collections'!G3302,Disbursements!$C:$C,0)),"")</f>
        <v/>
      </c>
      <c r="G3302" s="34"/>
      <c r="H3302" s="34">
        <v>5023</v>
      </c>
      <c r="I3302" s="34" t="s">
        <v>1760</v>
      </c>
      <c r="J3302" s="48"/>
      <c r="K3302" s="48"/>
      <c r="L3302" s="48">
        <v>25000</v>
      </c>
      <c r="M3302" s="48">
        <v>5000</v>
      </c>
      <c r="N3302" s="59"/>
      <c r="O3302" s="59"/>
      <c r="P3302" s="59"/>
      <c r="Q3302" s="268">
        <f t="shared" si="154"/>
        <v>30000</v>
      </c>
      <c r="R3302" s="61">
        <f>IF(O3302=0,0,SUMIFS(Disbursements!$T:$T,Disbursements!$B:$B,'Live Collections'!D3302,Disbursements!$D:$D,'Live Collections'!F3302))</f>
        <v>0</v>
      </c>
      <c r="S3302" s="304">
        <f>IF(O3302&lt;=IF($O3302=0,0,SUMIFS(Disbursements!$W:$W,Disbursements!$B:$B,'Live Collections'!D3302,Disbursements!$D:$D,'Live Collections'!F3302)),O3302,IF($O3302=0,0,SUMIFS(Disbursements!$W:$W,Disbursements!$B:$B,'Live Collections'!D3302,Disbursements!$D:$D,'Live Collections'!F3302)))</f>
        <v>0</v>
      </c>
      <c r="T3302" s="304">
        <f t="shared" si="155"/>
        <v>0</v>
      </c>
      <c r="U3302" s="52"/>
      <c r="V3302" s="34"/>
      <c r="W3302" s="408"/>
    </row>
    <row r="3303" spans="1:23" ht="12.75" customHeight="1" x14ac:dyDescent="0.2">
      <c r="A3303" s="257">
        <v>3313</v>
      </c>
      <c r="B3303" s="44">
        <v>44623</v>
      </c>
      <c r="C3303" s="44">
        <f t="shared" si="156"/>
        <v>44623</v>
      </c>
      <c r="D3303" s="374">
        <v>170</v>
      </c>
      <c r="E3303" s="291" t="str">
        <f>IFERROR(VLOOKUP($D3303,'Clients-Live'!$A:$C,3,0),"")</f>
        <v xml:space="preserve">KABEBI RAIMA </v>
      </c>
      <c r="F3303" s="291">
        <f>IFERROR(INDEX(Disbursements!$D:$D,MATCH('Live Collections'!G3303,Disbursements!$C:$C,0)),"")</f>
        <v>2</v>
      </c>
      <c r="G3303" s="34">
        <v>302</v>
      </c>
      <c r="H3303" s="34">
        <v>5022</v>
      </c>
      <c r="I3303" s="34" t="s">
        <v>1359</v>
      </c>
      <c r="J3303" s="48"/>
      <c r="K3303" s="48"/>
      <c r="L3303" s="48"/>
      <c r="M3303" s="48"/>
      <c r="N3303" s="59"/>
      <c r="O3303" s="59">
        <v>120000</v>
      </c>
      <c r="P3303" s="59"/>
      <c r="Q3303" s="268">
        <f t="shared" si="154"/>
        <v>120000</v>
      </c>
      <c r="R3303" s="61">
        <f>IF(O3303=0,0,SUMIFS(Disbursements!$T:$T,Disbursements!$B:$B,'Live Collections'!D3303,Disbursements!$D:$D,'Live Collections'!F3303))</f>
        <v>125000</v>
      </c>
      <c r="S3303" s="304"/>
      <c r="T3303" s="304">
        <f t="shared" si="155"/>
        <v>120000</v>
      </c>
      <c r="U3303" s="52"/>
      <c r="V3303" s="34"/>
      <c r="W3303" s="408"/>
    </row>
    <row r="3304" spans="1:23" ht="12.75" customHeight="1" x14ac:dyDescent="0.2">
      <c r="A3304" s="257">
        <v>3314</v>
      </c>
      <c r="B3304" s="44">
        <v>44623</v>
      </c>
      <c r="C3304" s="44">
        <f t="shared" si="156"/>
        <v>44623</v>
      </c>
      <c r="D3304" s="374">
        <v>289</v>
      </c>
      <c r="E3304" s="291" t="str">
        <f>IFERROR(VLOOKUP($D3304,'Clients-Live'!$A:$C,3,0),"")</f>
        <v>NAUME NIGHT</v>
      </c>
      <c r="F3304" s="291">
        <f>IFERROR(INDEX(Disbursements!$D:$D,MATCH('Live Collections'!G3304,Disbursements!$C:$C,0)),"")</f>
        <v>1</v>
      </c>
      <c r="G3304" s="34">
        <v>353</v>
      </c>
      <c r="H3304" s="34">
        <v>5020</v>
      </c>
      <c r="I3304" s="34" t="s">
        <v>1357</v>
      </c>
      <c r="J3304" s="48"/>
      <c r="K3304" s="48"/>
      <c r="L3304" s="48"/>
      <c r="M3304" s="48"/>
      <c r="N3304" s="59"/>
      <c r="O3304" s="59">
        <v>150000</v>
      </c>
      <c r="P3304" s="59"/>
      <c r="Q3304" s="268">
        <f t="shared" si="154"/>
        <v>150000</v>
      </c>
      <c r="R3304" s="61">
        <f>IF(O3304=0,0,SUMIFS(Disbursements!$T:$T,Disbursements!$B:$B,'Live Collections'!D3304,Disbursements!$D:$D,'Live Collections'!F3304))</f>
        <v>150000</v>
      </c>
      <c r="S3304" s="304">
        <f>IF(O3304&lt;=IF($O3304=0,0,SUMIFS(Disbursements!$W:$W,Disbursements!$B:$B,'Live Collections'!D3304,Disbursements!$D:$D,'Live Collections'!F3304)),O3304,IF($O3304=0,0,SUMIFS(Disbursements!$W:$W,Disbursements!$B:$B,'Live Collections'!D3304,Disbursements!$D:$D,'Live Collections'!F3304)))</f>
        <v>25000</v>
      </c>
      <c r="T3304" s="304">
        <f t="shared" si="155"/>
        <v>125000</v>
      </c>
      <c r="U3304" s="52"/>
      <c r="V3304" s="34"/>
      <c r="W3304" s="408"/>
    </row>
    <row r="3305" spans="1:23" ht="12.75" customHeight="1" x14ac:dyDescent="0.2">
      <c r="A3305" s="257">
        <v>3315</v>
      </c>
      <c r="B3305" s="44">
        <v>44623</v>
      </c>
      <c r="C3305" s="44">
        <f t="shared" si="156"/>
        <v>44623</v>
      </c>
      <c r="D3305" s="374">
        <v>176</v>
      </c>
      <c r="E3305" s="291" t="str">
        <f>IFERROR(VLOOKUP($D3305,'Clients-Live'!$A:$C,3,0),"")</f>
        <v>AJONYE JANE SINANDUGU</v>
      </c>
      <c r="F3305" s="291" t="str">
        <f>IFERROR(INDEX(Disbursements!$D:$D,MATCH('Live Collections'!G3305,Disbursements!$C:$C,0)),"")</f>
        <v/>
      </c>
      <c r="G3305" s="34"/>
      <c r="H3305" s="34">
        <v>5010</v>
      </c>
      <c r="I3305" s="34" t="s">
        <v>1358</v>
      </c>
      <c r="J3305" s="48"/>
      <c r="K3305" s="48">
        <v>5000</v>
      </c>
      <c r="L3305" s="48"/>
      <c r="M3305" s="48"/>
      <c r="N3305" s="59"/>
      <c r="O3305" s="59"/>
      <c r="P3305" s="59"/>
      <c r="Q3305" s="268">
        <f t="shared" si="154"/>
        <v>5000</v>
      </c>
      <c r="R3305" s="61">
        <f>IF(O3305=0,0,SUMIFS(Disbursements!$T:$T,Disbursements!$B:$B,'Live Collections'!D3305,Disbursements!$D:$D,'Live Collections'!F3305))</f>
        <v>0</v>
      </c>
      <c r="S3305" s="304">
        <f>IF(O3305&lt;=IF($O3305=0,0,SUMIFS(Disbursements!$W:$W,Disbursements!$B:$B,'Live Collections'!D3305,Disbursements!$D:$D,'Live Collections'!F3305)),O3305,IF($O3305=0,0,SUMIFS(Disbursements!$W:$W,Disbursements!$B:$B,'Live Collections'!D3305,Disbursements!$D:$D,'Live Collections'!F3305)))</f>
        <v>0</v>
      </c>
      <c r="T3305" s="304">
        <f t="shared" si="155"/>
        <v>0</v>
      </c>
      <c r="U3305" s="52"/>
      <c r="V3305" s="34"/>
      <c r="W3305" s="408"/>
    </row>
    <row r="3306" spans="1:23" ht="12.75" customHeight="1" x14ac:dyDescent="0.2">
      <c r="A3306" s="257">
        <v>3316</v>
      </c>
      <c r="B3306" s="44">
        <v>44623</v>
      </c>
      <c r="C3306" s="44">
        <f t="shared" si="156"/>
        <v>44623</v>
      </c>
      <c r="D3306" s="374">
        <v>176</v>
      </c>
      <c r="E3306" s="291" t="str">
        <f>IFERROR(VLOOKUP($D3306,'Clients-Live'!$A:$C,3,0),"")</f>
        <v>AJONYE JANE SINANDUGU</v>
      </c>
      <c r="F3306" s="291">
        <f>IFERROR(INDEX(Disbursements!$D:$D,MATCH('Live Collections'!G3306,Disbursements!$C:$C,0)),"")</f>
        <v>2</v>
      </c>
      <c r="G3306" s="34">
        <v>301</v>
      </c>
      <c r="H3306" s="34">
        <v>5019</v>
      </c>
      <c r="I3306" s="34" t="s">
        <v>1358</v>
      </c>
      <c r="J3306" s="48"/>
      <c r="K3306" s="48"/>
      <c r="L3306" s="48"/>
      <c r="M3306" s="48"/>
      <c r="N3306" s="59"/>
      <c r="O3306" s="59">
        <v>670000</v>
      </c>
      <c r="P3306" s="59"/>
      <c r="Q3306" s="268">
        <f t="shared" si="154"/>
        <v>670000</v>
      </c>
      <c r="R3306" s="61">
        <f>IF(O3306=0,0,SUMIFS(Disbursements!$T:$T,Disbursements!$B:$B,'Live Collections'!D3306,Disbursements!$D:$D,'Live Collections'!F3306))</f>
        <v>650000</v>
      </c>
      <c r="S3306" s="304">
        <f>IF(O3306&lt;=IF($O3306=0,0,SUMIFS(Disbursements!$W:$W,Disbursements!$B:$B,'Live Collections'!D3306,Disbursements!$D:$D,'Live Collections'!F3306)),O3306,IF($O3306=0,0,SUMIFS(Disbursements!$W:$W,Disbursements!$B:$B,'Live Collections'!D3306,Disbursements!$D:$D,'Live Collections'!F3306)))</f>
        <v>150000</v>
      </c>
      <c r="T3306" s="304">
        <f t="shared" si="155"/>
        <v>520000</v>
      </c>
      <c r="U3306" s="52"/>
      <c r="V3306" s="34"/>
      <c r="W3306" s="408"/>
    </row>
    <row r="3307" spans="1:23" ht="12.75" customHeight="1" x14ac:dyDescent="0.2">
      <c r="A3307" s="257">
        <v>3317</v>
      </c>
      <c r="B3307" s="44">
        <v>44623</v>
      </c>
      <c r="C3307" s="44">
        <f t="shared" si="156"/>
        <v>44623</v>
      </c>
      <c r="D3307" s="374">
        <v>85</v>
      </c>
      <c r="E3307" s="291" t="str">
        <f>IFERROR(VLOOKUP($D3307,'Clients-Live'!$A:$C,3,0),"")</f>
        <v>CEASER SWALEH</v>
      </c>
      <c r="F3307" s="291">
        <f>IFERROR(INDEX(Disbursements!$D:$D,MATCH('Live Collections'!G3307,Disbursements!$C:$C,0)),"")</f>
        <v>3</v>
      </c>
      <c r="G3307" s="34">
        <v>413</v>
      </c>
      <c r="H3307" s="34">
        <v>5018</v>
      </c>
      <c r="I3307" s="34" t="s">
        <v>1357</v>
      </c>
      <c r="J3307" s="48"/>
      <c r="K3307" s="48"/>
      <c r="L3307" s="48"/>
      <c r="M3307" s="48"/>
      <c r="N3307" s="59"/>
      <c r="O3307" s="59">
        <v>190000</v>
      </c>
      <c r="P3307" s="59"/>
      <c r="Q3307" s="268">
        <f t="shared" si="154"/>
        <v>190000</v>
      </c>
      <c r="R3307" s="61">
        <f>IF(O3307=0,0,SUMIFS(Disbursements!$T:$T,Disbursements!$B:$B,'Live Collections'!D3307,Disbursements!$D:$D,'Live Collections'!F3307))</f>
        <v>788000</v>
      </c>
      <c r="S3307" s="304">
        <f>IF(O3307&lt;=IF($O3307=0,0,SUMIFS(Disbursements!$W:$W,Disbursements!$B:$B,'Live Collections'!D3307,Disbursements!$D:$D,'Live Collections'!F3307)),O3307,IF($O3307=0,0,SUMIFS(Disbursements!$W:$W,Disbursements!$B:$B,'Live Collections'!D3307,Disbursements!$D:$D,'Live Collections'!F3307)))</f>
        <v>163000</v>
      </c>
      <c r="T3307" s="304">
        <f t="shared" si="155"/>
        <v>27000</v>
      </c>
      <c r="U3307" s="52"/>
      <c r="V3307" s="34"/>
      <c r="W3307" s="408"/>
    </row>
    <row r="3308" spans="1:23" ht="12.75" customHeight="1" x14ac:dyDescent="0.2">
      <c r="A3308" s="257">
        <v>3318</v>
      </c>
      <c r="B3308" s="44">
        <v>44623</v>
      </c>
      <c r="C3308" s="44">
        <f t="shared" si="156"/>
        <v>44623</v>
      </c>
      <c r="D3308" s="374">
        <v>326</v>
      </c>
      <c r="E3308" s="291" t="str">
        <f>IFERROR(VLOOKUP($D3308,'Clients-Live'!$A:$C,3,0),"")</f>
        <v>AJUKI HARRIET</v>
      </c>
      <c r="F3308" s="291">
        <f>IFERROR(INDEX(Disbursements!$D:$D,MATCH('Live Collections'!G3308,Disbursements!$C:$C,0)),"")</f>
        <v>1</v>
      </c>
      <c r="G3308" s="34">
        <v>446</v>
      </c>
      <c r="H3308" s="34">
        <v>5015</v>
      </c>
      <c r="I3308" s="34" t="s">
        <v>1358</v>
      </c>
      <c r="J3308" s="48"/>
      <c r="K3308" s="48"/>
      <c r="L3308" s="48"/>
      <c r="M3308" s="48"/>
      <c r="N3308" s="59"/>
      <c r="O3308" s="59"/>
      <c r="P3308" s="59">
        <v>220000</v>
      </c>
      <c r="Q3308" s="268">
        <f t="shared" ref="Q3308:Q3371" si="157">SUM(J3308:P3308)</f>
        <v>220000</v>
      </c>
      <c r="R3308" s="61">
        <f>IF(O3308=0,0,SUMIFS(Disbursements!$T:$T,Disbursements!$B:$B,'Live Collections'!D3308,Disbursements!$D:$D,'Live Collections'!F3308))</f>
        <v>0</v>
      </c>
      <c r="S3308" s="304">
        <f>IF(O3308&lt;=IF($O3308=0,0,SUMIFS(Disbursements!$W:$W,Disbursements!$B:$B,'Live Collections'!D3308,Disbursements!$D:$D,'Live Collections'!F3308)),O3308,IF($O3308=0,0,SUMIFS(Disbursements!$W:$W,Disbursements!$B:$B,'Live Collections'!D3308,Disbursements!$D:$D,'Live Collections'!F3308)))</f>
        <v>0</v>
      </c>
      <c r="T3308" s="304">
        <f t="shared" si="155"/>
        <v>0</v>
      </c>
      <c r="U3308" s="52"/>
      <c r="V3308" s="34"/>
      <c r="W3308" s="408"/>
    </row>
    <row r="3309" spans="1:23" ht="12.75" customHeight="1" x14ac:dyDescent="0.2">
      <c r="A3309" s="257">
        <v>3319</v>
      </c>
      <c r="B3309" s="44">
        <v>44623</v>
      </c>
      <c r="C3309" s="44">
        <f t="shared" si="156"/>
        <v>44623</v>
      </c>
      <c r="D3309" s="374">
        <v>151</v>
      </c>
      <c r="E3309" s="291" t="str">
        <f>IFERROR(VLOOKUP($D3309,'Clients-Live'!$A:$C,3,0),"")</f>
        <v>MORRO HASSAN</v>
      </c>
      <c r="F3309" s="291">
        <f>IFERROR(INDEX(Disbursements!$D:$D,MATCH('Live Collections'!G3309,Disbursements!$C:$C,0)),"")</f>
        <v>3</v>
      </c>
      <c r="G3309" s="34">
        <v>312</v>
      </c>
      <c r="H3309" s="34">
        <v>5017</v>
      </c>
      <c r="I3309" s="34" t="s">
        <v>1359</v>
      </c>
      <c r="J3309" s="48"/>
      <c r="K3309" s="48"/>
      <c r="L3309" s="48"/>
      <c r="M3309" s="48"/>
      <c r="N3309" s="59"/>
      <c r="O3309" s="59">
        <v>80000</v>
      </c>
      <c r="P3309" s="59"/>
      <c r="Q3309" s="268">
        <f t="shared" si="157"/>
        <v>80000</v>
      </c>
      <c r="R3309" s="61">
        <f>IF(O3309=0,0,SUMIFS(Disbursements!$T:$T,Disbursements!$B:$B,'Live Collections'!D3309,Disbursements!$D:$D,'Live Collections'!F3309))</f>
        <v>600000</v>
      </c>
      <c r="S3309" s="304">
        <f>IF(O3309&lt;=IF($O3309=0,0,SUMIFS(Disbursements!$W:$W,Disbursements!$B:$B,'Live Collections'!D3309,Disbursements!$D:$D,'Live Collections'!F3309)),O3309,IF($O3309=0,0,SUMIFS(Disbursements!$W:$W,Disbursements!$B:$B,'Live Collections'!D3309,Disbursements!$D:$D,'Live Collections'!F3309)))</f>
        <v>80000</v>
      </c>
      <c r="T3309" s="304">
        <f t="shared" si="155"/>
        <v>0</v>
      </c>
      <c r="U3309" s="52"/>
      <c r="V3309" s="34"/>
      <c r="W3309" s="408"/>
    </row>
    <row r="3310" spans="1:23" ht="12.75" customHeight="1" x14ac:dyDescent="0.2">
      <c r="A3310" s="257">
        <v>3320</v>
      </c>
      <c r="B3310" s="44">
        <v>44623</v>
      </c>
      <c r="C3310" s="44">
        <f t="shared" si="156"/>
        <v>44623</v>
      </c>
      <c r="D3310" s="374">
        <v>317</v>
      </c>
      <c r="E3310" s="291" t="str">
        <f>IFERROR(VLOOKUP($D3310,'Clients-Live'!$A:$C,3,0),"")</f>
        <v>DRIWARU JANE</v>
      </c>
      <c r="F3310" s="291">
        <f>IFERROR(INDEX(Disbursements!$D:$D,MATCH('Live Collections'!G3310,Disbursements!$C:$C,0)),"")</f>
        <v>1</v>
      </c>
      <c r="G3310" s="34">
        <v>414</v>
      </c>
      <c r="H3310" s="34">
        <v>5013</v>
      </c>
      <c r="I3310" s="34" t="s">
        <v>1357</v>
      </c>
      <c r="J3310" s="48"/>
      <c r="K3310" s="48"/>
      <c r="L3310" s="48"/>
      <c r="M3310" s="48"/>
      <c r="N3310" s="59"/>
      <c r="O3310" s="59">
        <v>55000</v>
      </c>
      <c r="P3310" s="59"/>
      <c r="Q3310" s="268">
        <f t="shared" si="157"/>
        <v>55000</v>
      </c>
      <c r="R3310" s="61">
        <f>IF(O3310=0,0,SUMIFS(Disbursements!$T:$T,Disbursements!$B:$B,'Live Collections'!D3310,Disbursements!$D:$D,'Live Collections'!F3310))</f>
        <v>55000</v>
      </c>
      <c r="S3310" s="304">
        <f>IF(O3310&lt;=IF($O3310=0,0,SUMIFS(Disbursements!$W:$W,Disbursements!$B:$B,'Live Collections'!D3310,Disbursements!$D:$D,'Live Collections'!F3310)),O3310,IF($O3310=0,0,SUMIFS(Disbursements!$W:$W,Disbursements!$B:$B,'Live Collections'!D3310,Disbursements!$D:$D,'Live Collections'!F3310)))</f>
        <v>15000</v>
      </c>
      <c r="T3310" s="304">
        <f t="shared" si="155"/>
        <v>40000</v>
      </c>
      <c r="U3310" s="52"/>
      <c r="V3310" s="34"/>
      <c r="W3310" s="408"/>
    </row>
    <row r="3311" spans="1:23" ht="12.75" customHeight="1" x14ac:dyDescent="0.2">
      <c r="A3311" s="257">
        <v>3321</v>
      </c>
      <c r="B3311" s="44">
        <v>44623</v>
      </c>
      <c r="C3311" s="44">
        <f t="shared" si="156"/>
        <v>44623</v>
      </c>
      <c r="D3311" s="374">
        <v>328</v>
      </c>
      <c r="E3311" s="291" t="str">
        <f>IFERROR(VLOOKUP($D3311,'Clients-Live'!$A:$C,3,0),"")</f>
        <v>AGOTIA JOYCE</v>
      </c>
      <c r="F3311" s="291" t="str">
        <f>IFERROR(INDEX(Disbursements!$D:$D,MATCH('Live Collections'!G3311,Disbursements!$C:$C,0)),"")</f>
        <v/>
      </c>
      <c r="G3311" s="34"/>
      <c r="H3311" s="34">
        <v>5014</v>
      </c>
      <c r="I3311" s="34" t="s">
        <v>1357</v>
      </c>
      <c r="J3311" s="48">
        <v>15000</v>
      </c>
      <c r="K3311" s="48">
        <v>5000</v>
      </c>
      <c r="L3311" s="48"/>
      <c r="M3311" s="48"/>
      <c r="N3311" s="59"/>
      <c r="O3311" s="59"/>
      <c r="P3311" s="59"/>
      <c r="Q3311" s="268">
        <f t="shared" si="157"/>
        <v>20000</v>
      </c>
      <c r="R3311" s="61">
        <f>IF(O3311=0,0,SUMIFS(Disbursements!$T:$T,Disbursements!$B:$B,'Live Collections'!D3311,Disbursements!$D:$D,'Live Collections'!F3311))</f>
        <v>0</v>
      </c>
      <c r="S3311" s="304">
        <f>IF(O3311&lt;=IF($O3311=0,0,SUMIFS(Disbursements!$W:$W,Disbursements!$B:$B,'Live Collections'!D3311,Disbursements!$D:$D,'Live Collections'!F3311)),O3311,IF($O3311=0,0,SUMIFS(Disbursements!$W:$W,Disbursements!$B:$B,'Live Collections'!D3311,Disbursements!$D:$D,'Live Collections'!F3311)))</f>
        <v>0</v>
      </c>
      <c r="T3311" s="304">
        <f t="shared" si="155"/>
        <v>0</v>
      </c>
      <c r="U3311" s="52"/>
      <c r="V3311" s="34"/>
      <c r="W3311" s="408"/>
    </row>
    <row r="3312" spans="1:23" ht="12.75" customHeight="1" x14ac:dyDescent="0.2">
      <c r="A3312" s="257">
        <v>3322</v>
      </c>
      <c r="B3312" s="44">
        <v>44624</v>
      </c>
      <c r="C3312" s="44">
        <f t="shared" si="156"/>
        <v>44624</v>
      </c>
      <c r="D3312" s="374">
        <v>325</v>
      </c>
      <c r="E3312" s="291" t="str">
        <f>IFERROR(VLOOKUP($D3312,'Clients-Live'!$A:$C,3,0),"")</f>
        <v>MUNGUFENI RAMSEY</v>
      </c>
      <c r="F3312" s="291">
        <f>IFERROR(INDEX(Disbursements!$D:$D,MATCH('Live Collections'!G3312,Disbursements!$C:$C,0)),"")</f>
        <v>1</v>
      </c>
      <c r="G3312" s="34">
        <v>448</v>
      </c>
      <c r="H3312" s="34">
        <v>5029</v>
      </c>
      <c r="I3312" s="34" t="s">
        <v>1359</v>
      </c>
      <c r="J3312" s="48"/>
      <c r="K3312" s="48"/>
      <c r="L3312" s="48"/>
      <c r="M3312" s="48"/>
      <c r="N3312" s="59"/>
      <c r="O3312" s="59"/>
      <c r="P3312" s="59">
        <v>40000</v>
      </c>
      <c r="Q3312" s="268">
        <f t="shared" si="157"/>
        <v>40000</v>
      </c>
      <c r="R3312" s="61">
        <f>IF(O3312=0,0,SUMIFS(Disbursements!$T:$T,Disbursements!$B:$B,'Live Collections'!D3312,Disbursements!$D:$D,'Live Collections'!F3312))</f>
        <v>0</v>
      </c>
      <c r="S3312" s="304">
        <f>IF(O3312&lt;=IF($O3312=0,0,SUMIFS(Disbursements!$W:$W,Disbursements!$B:$B,'Live Collections'!D3312,Disbursements!$D:$D,'Live Collections'!F3312)),O3312,IF($O3312=0,0,SUMIFS(Disbursements!$W:$W,Disbursements!$B:$B,'Live Collections'!D3312,Disbursements!$D:$D,'Live Collections'!F3312)))</f>
        <v>0</v>
      </c>
      <c r="T3312" s="304">
        <f t="shared" si="155"/>
        <v>0</v>
      </c>
      <c r="U3312" s="52"/>
      <c r="V3312" s="34"/>
      <c r="W3312" s="408"/>
    </row>
    <row r="3313" spans="1:23" ht="12.75" customHeight="1" x14ac:dyDescent="0.2">
      <c r="A3313" s="257">
        <v>3323</v>
      </c>
      <c r="B3313" s="44">
        <v>44624</v>
      </c>
      <c r="C3313" s="44">
        <f t="shared" si="156"/>
        <v>44624</v>
      </c>
      <c r="D3313" s="374">
        <v>168</v>
      </c>
      <c r="E3313" s="291" t="str">
        <f>IFERROR(VLOOKUP($D3313,'Clients-Live'!$A:$C,3,0),"")</f>
        <v>ALORO FREDERICK</v>
      </c>
      <c r="F3313" s="291">
        <f>IFERROR(INDEX(Disbursements!$D:$D,MATCH('Live Collections'!G3313,Disbursements!$C:$C,0)),"")</f>
        <v>2</v>
      </c>
      <c r="G3313" s="34">
        <v>385</v>
      </c>
      <c r="H3313" s="34">
        <v>4797</v>
      </c>
      <c r="I3313" s="34" t="s">
        <v>1357</v>
      </c>
      <c r="J3313" s="48"/>
      <c r="K3313" s="48"/>
      <c r="L3313" s="48"/>
      <c r="M3313" s="48"/>
      <c r="N3313" s="59"/>
      <c r="O3313" s="59">
        <v>1325000</v>
      </c>
      <c r="P3313" s="59"/>
      <c r="Q3313" s="268">
        <f t="shared" si="157"/>
        <v>1325000</v>
      </c>
      <c r="R3313" s="61">
        <f>IF(O3313=0,0,SUMIFS(Disbursements!$T:$T,Disbursements!$B:$B,'Live Collections'!D3313,Disbursements!$D:$D,'Live Collections'!F3313))</f>
        <v>1325000</v>
      </c>
      <c r="S3313" s="304">
        <f>IF(O3313&lt;=IF($O3313=0,0,SUMIFS(Disbursements!$W:$W,Disbursements!$B:$B,'Live Collections'!D3313,Disbursements!$D:$D,'Live Collections'!F3313)),O3313,IF($O3313=0,0,SUMIFS(Disbursements!$W:$W,Disbursements!$B:$B,'Live Collections'!D3313,Disbursements!$D:$D,'Live Collections'!F3313)))</f>
        <v>325000</v>
      </c>
      <c r="T3313" s="304">
        <f t="shared" si="155"/>
        <v>1000000</v>
      </c>
      <c r="U3313" s="52"/>
      <c r="V3313" s="34"/>
      <c r="W3313" s="408"/>
    </row>
    <row r="3314" spans="1:23" ht="12.75" customHeight="1" x14ac:dyDescent="0.2">
      <c r="A3314" s="257">
        <v>3324</v>
      </c>
      <c r="B3314" s="44">
        <v>44624</v>
      </c>
      <c r="C3314" s="44">
        <f t="shared" si="156"/>
        <v>44624</v>
      </c>
      <c r="D3314" s="374">
        <v>66</v>
      </c>
      <c r="E3314" s="291" t="str">
        <f>IFERROR(VLOOKUP($D3314,'Clients-Live'!$A:$C,3,0),"")</f>
        <v>DENAYA NYAMAZA</v>
      </c>
      <c r="F3314" s="291">
        <f>IFERROR(INDEX(Disbursements!$D:$D,MATCH('Live Collections'!G3314,Disbursements!$C:$C,0)),"")</f>
        <v>2</v>
      </c>
      <c r="G3314" s="34">
        <v>300</v>
      </c>
      <c r="H3314" s="34">
        <v>5025</v>
      </c>
      <c r="I3314" s="34" t="s">
        <v>1357</v>
      </c>
      <c r="J3314" s="48"/>
      <c r="K3314" s="48"/>
      <c r="L3314" s="48"/>
      <c r="M3314" s="48"/>
      <c r="N3314" s="59"/>
      <c r="O3314" s="59">
        <v>110000</v>
      </c>
      <c r="P3314" s="59"/>
      <c r="Q3314" s="268">
        <f t="shared" si="157"/>
        <v>110000</v>
      </c>
      <c r="R3314" s="61">
        <f>IF(O3314=0,0,SUMIFS(Disbursements!$T:$T,Disbursements!$B:$B,'Live Collections'!D3314,Disbursements!$D:$D,'Live Collections'!F3314))</f>
        <v>109000</v>
      </c>
      <c r="S3314" s="304">
        <f>IF(O3314&lt;=IF($O3314=0,0,SUMIFS(Disbursements!$W:$W,Disbursements!$B:$B,'Live Collections'!D3314,Disbursements!$D:$D,'Live Collections'!F3314)),O3314,IF($O3314=0,0,SUMIFS(Disbursements!$W:$W,Disbursements!$B:$B,'Live Collections'!D3314,Disbursements!$D:$D,'Live Collections'!F3314)))</f>
        <v>25666.666666666672</v>
      </c>
      <c r="T3314" s="304">
        <f t="shared" si="155"/>
        <v>84333.333333333328</v>
      </c>
      <c r="U3314" s="52"/>
      <c r="V3314" s="34"/>
      <c r="W3314" s="408"/>
    </row>
    <row r="3315" spans="1:23" ht="12.75" customHeight="1" x14ac:dyDescent="0.2">
      <c r="A3315" s="257">
        <v>3325</v>
      </c>
      <c r="B3315" s="44">
        <v>44624</v>
      </c>
      <c r="C3315" s="44">
        <f t="shared" si="156"/>
        <v>44624</v>
      </c>
      <c r="D3315" s="374">
        <v>303</v>
      </c>
      <c r="E3315" s="291" t="str">
        <f>IFERROR(VLOOKUP($D3315,'Clients-Live'!$A:$C,3,0),"")</f>
        <v>APAYI DOROTHY</v>
      </c>
      <c r="F3315" s="291">
        <f>IFERROR(INDEX(Disbursements!$D:$D,MATCH('Live Collections'!G3315,Disbursements!$C:$C,0)),"")</f>
        <v>1</v>
      </c>
      <c r="G3315" s="34">
        <v>399</v>
      </c>
      <c r="H3315" s="34">
        <v>5027</v>
      </c>
      <c r="I3315" s="34" t="s">
        <v>1359</v>
      </c>
      <c r="J3315" s="48"/>
      <c r="K3315" s="48"/>
      <c r="L3315" s="48"/>
      <c r="M3315" s="48"/>
      <c r="N3315" s="59"/>
      <c r="O3315" s="59">
        <v>20000</v>
      </c>
      <c r="P3315" s="59"/>
      <c r="Q3315" s="268">
        <f t="shared" si="157"/>
        <v>20000</v>
      </c>
      <c r="R3315" s="61">
        <f>IF(O3315=0,0,SUMIFS(Disbursements!$T:$T,Disbursements!$B:$B,'Live Collections'!D3315,Disbursements!$D:$D,'Live Collections'!F3315))</f>
        <v>40000</v>
      </c>
      <c r="S3315" s="304"/>
      <c r="T3315" s="304">
        <f t="shared" si="155"/>
        <v>20000</v>
      </c>
      <c r="U3315" s="52"/>
      <c r="V3315" s="34"/>
      <c r="W3315" s="408"/>
    </row>
    <row r="3316" spans="1:23" ht="12.75" customHeight="1" x14ac:dyDescent="0.2">
      <c r="A3316" s="257">
        <v>3326</v>
      </c>
      <c r="B3316" s="44">
        <v>44624</v>
      </c>
      <c r="C3316" s="44">
        <f t="shared" si="156"/>
        <v>44624</v>
      </c>
      <c r="D3316" s="374">
        <v>252</v>
      </c>
      <c r="E3316" s="291" t="str">
        <f>IFERROR(VLOOKUP($D3316,'Clients-Live'!$A:$C,3,0),"")</f>
        <v>ANGUCIA JESCA</v>
      </c>
      <c r="F3316" s="291">
        <f>IFERROR(INDEX(Disbursements!$D:$D,MATCH('Live Collections'!G3316,Disbursements!$C:$C,0)),"")</f>
        <v>1</v>
      </c>
      <c r="G3316" s="34">
        <v>286</v>
      </c>
      <c r="H3316" s="34">
        <v>5026</v>
      </c>
      <c r="I3316" s="34" t="s">
        <v>1359</v>
      </c>
      <c r="J3316" s="48"/>
      <c r="K3316" s="48"/>
      <c r="L3316" s="48"/>
      <c r="M3316" s="48"/>
      <c r="N3316" s="59"/>
      <c r="O3316" s="59">
        <v>50000</v>
      </c>
      <c r="P3316" s="59"/>
      <c r="Q3316" s="268">
        <f t="shared" si="157"/>
        <v>50000</v>
      </c>
      <c r="R3316" s="61">
        <f>IF(O3316=0,0,SUMIFS(Disbursements!$T:$T,Disbursements!$B:$B,'Live Collections'!D3316,Disbursements!$D:$D,'Live Collections'!F3316))</f>
        <v>120000</v>
      </c>
      <c r="S3316" s="304"/>
      <c r="T3316" s="304">
        <f t="shared" si="155"/>
        <v>50000</v>
      </c>
      <c r="U3316" s="52"/>
      <c r="V3316" s="34"/>
      <c r="W3316" s="408"/>
    </row>
    <row r="3317" spans="1:23" ht="12.75" customHeight="1" x14ac:dyDescent="0.2">
      <c r="A3317" s="257">
        <v>3327</v>
      </c>
      <c r="B3317" s="44">
        <v>44624</v>
      </c>
      <c r="C3317" s="44">
        <f t="shared" si="156"/>
        <v>44624</v>
      </c>
      <c r="D3317" s="374">
        <v>74</v>
      </c>
      <c r="E3317" s="291" t="str">
        <f>IFERROR(VLOOKUP($D3317,'Clients-Live'!$A:$C,3,0),"")</f>
        <v>YUKUWE AISHA</v>
      </c>
      <c r="F3317" s="291">
        <f>IFERROR(INDEX(Disbursements!$D:$D,MATCH('Live Collections'!G3317,Disbursements!$C:$C,0)),"")</f>
        <v>3</v>
      </c>
      <c r="G3317" s="34">
        <v>447</v>
      </c>
      <c r="H3317" s="34">
        <v>5016</v>
      </c>
      <c r="I3317" s="34" t="s">
        <v>1358</v>
      </c>
      <c r="J3317" s="48"/>
      <c r="K3317" s="48"/>
      <c r="L3317" s="48"/>
      <c r="M3317" s="48"/>
      <c r="N3317" s="59"/>
      <c r="O3317" s="59"/>
      <c r="P3317" s="59">
        <v>20000</v>
      </c>
      <c r="Q3317" s="268">
        <f t="shared" si="157"/>
        <v>20000</v>
      </c>
      <c r="R3317" s="61">
        <f>IF(O3317=0,0,SUMIFS(Disbursements!$T:$T,Disbursements!$B:$B,'Live Collections'!D3317,Disbursements!$D:$D,'Live Collections'!F3317))</f>
        <v>0</v>
      </c>
      <c r="S3317" s="304">
        <f>IF(O3317&lt;=IF($O3317=0,0,SUMIFS(Disbursements!$W:$W,Disbursements!$B:$B,'Live Collections'!D3317,Disbursements!$D:$D,'Live Collections'!F3317)),O3317,IF($O3317=0,0,SUMIFS(Disbursements!$W:$W,Disbursements!$B:$B,'Live Collections'!D3317,Disbursements!$D:$D,'Live Collections'!F3317)))</f>
        <v>0</v>
      </c>
      <c r="T3317" s="304">
        <f t="shared" si="155"/>
        <v>0</v>
      </c>
      <c r="U3317" s="52"/>
      <c r="V3317" s="34"/>
      <c r="W3317" s="408"/>
    </row>
    <row r="3318" spans="1:23" ht="12.75" customHeight="1" x14ac:dyDescent="0.2">
      <c r="A3318" s="257">
        <v>3328</v>
      </c>
      <c r="B3318" s="44">
        <v>44625</v>
      </c>
      <c r="C3318" s="44">
        <f t="shared" si="156"/>
        <v>44625</v>
      </c>
      <c r="D3318" s="374">
        <v>97</v>
      </c>
      <c r="E3318" s="291" t="str">
        <f>IFERROR(VLOOKUP($D3318,'Clients-Live'!$A:$C,3,0),"")</f>
        <v>DRANDUA JOB CHRISPUS</v>
      </c>
      <c r="F3318" s="291">
        <f>IFERROR(INDEX(Disbursements!$D:$D,MATCH('Live Collections'!G3318,Disbursements!$C:$C,0)),"")</f>
        <v>4</v>
      </c>
      <c r="G3318" s="34">
        <v>424</v>
      </c>
      <c r="H3318" s="34">
        <v>5106</v>
      </c>
      <c r="I3318" s="34" t="s">
        <v>1359</v>
      </c>
      <c r="J3318" s="48"/>
      <c r="K3318" s="48"/>
      <c r="L3318" s="48"/>
      <c r="M3318" s="48"/>
      <c r="N3318" s="59"/>
      <c r="O3318" s="59">
        <v>3860000</v>
      </c>
      <c r="P3318" s="59"/>
      <c r="Q3318" s="268">
        <f t="shared" si="157"/>
        <v>3860000</v>
      </c>
      <c r="R3318" s="61">
        <f>IF(O3318=0,0,SUMIFS(Disbursements!$T:$T,Disbursements!$B:$B,'Live Collections'!D3318,Disbursements!$D:$D,'Live Collections'!F3318))</f>
        <v>4260000</v>
      </c>
      <c r="S3318" s="304">
        <f>IF(O3318&lt;=IF($O3318=0,0,SUMIFS(Disbursements!$W:$W,Disbursements!$B:$B,'Live Collections'!D3318,Disbursements!$D:$D,'Live Collections'!F3318)),O3318,IF($O3318=0,0,SUMIFS(Disbursements!$W:$W,Disbursements!$B:$B,'Live Collections'!D3318,Disbursements!$D:$D,'Live Collections'!F3318)))</f>
        <v>260000</v>
      </c>
      <c r="T3318" s="304">
        <f t="shared" si="155"/>
        <v>3600000</v>
      </c>
      <c r="U3318" s="52"/>
      <c r="V3318" s="34"/>
      <c r="W3318" s="408"/>
    </row>
    <row r="3319" spans="1:23" ht="12.75" customHeight="1" x14ac:dyDescent="0.2">
      <c r="A3319" s="257">
        <v>3329</v>
      </c>
      <c r="B3319" s="44">
        <v>44625</v>
      </c>
      <c r="C3319" s="44">
        <f t="shared" si="156"/>
        <v>44625</v>
      </c>
      <c r="D3319" s="374">
        <v>97</v>
      </c>
      <c r="E3319" s="291" t="str">
        <f>IFERROR(VLOOKUP($D3319,'Clients-Live'!$A:$C,3,0),"")</f>
        <v>DRANDUA JOB CHRISPUS</v>
      </c>
      <c r="F3319" s="291">
        <f>IFERROR(INDEX(Disbursements!$D:$D,MATCH('Live Collections'!G3319,Disbursements!$C:$C,0)),"")</f>
        <v>4</v>
      </c>
      <c r="G3319" s="34">
        <v>424</v>
      </c>
      <c r="H3319" s="34" t="s">
        <v>2176</v>
      </c>
      <c r="I3319" s="34" t="s">
        <v>1359</v>
      </c>
      <c r="J3319" s="48"/>
      <c r="K3319" s="48"/>
      <c r="L3319" s="48"/>
      <c r="M3319" s="48"/>
      <c r="N3319" s="59"/>
      <c r="O3319" s="59">
        <v>400000</v>
      </c>
      <c r="P3319" s="59">
        <v>-400000</v>
      </c>
      <c r="Q3319" s="268">
        <f t="shared" si="157"/>
        <v>0</v>
      </c>
      <c r="R3319" s="61">
        <f>IF(O3319=0,0,SUMIFS(Disbursements!$T:$T,Disbursements!$B:$B,'Live Collections'!D3319,Disbursements!$D:$D,'Live Collections'!F3319))</f>
        <v>4260000</v>
      </c>
      <c r="S3319" s="304"/>
      <c r="T3319" s="304">
        <f t="shared" ref="T3319:T3382" si="158">IF(O3319=0,0,O3319-S3319)</f>
        <v>400000</v>
      </c>
      <c r="U3319" s="52"/>
      <c r="V3319" s="34"/>
      <c r="W3319" s="408"/>
    </row>
    <row r="3320" spans="1:23" ht="12.75" customHeight="1" x14ac:dyDescent="0.2">
      <c r="A3320" s="257">
        <v>3330</v>
      </c>
      <c r="B3320" s="44">
        <v>44625</v>
      </c>
      <c r="C3320" s="44">
        <f t="shared" si="156"/>
        <v>44625</v>
      </c>
      <c r="D3320" s="374">
        <v>239</v>
      </c>
      <c r="E3320" s="291" t="str">
        <f>IFERROR(VLOOKUP($D3320,'Clients-Live'!$A:$C,3,0),"")</f>
        <v>HABIBU ABOYI ALLI</v>
      </c>
      <c r="F3320" s="291" t="str">
        <f>IFERROR(INDEX(Disbursements!$D:$D,MATCH('Live Collections'!G3320,Disbursements!$C:$C,0)),"")</f>
        <v/>
      </c>
      <c r="G3320" s="34"/>
      <c r="H3320" s="34">
        <v>5105</v>
      </c>
      <c r="I3320" s="34" t="s">
        <v>1357</v>
      </c>
      <c r="J3320" s="48"/>
      <c r="K3320" s="48"/>
      <c r="L3320" s="48">
        <v>20000</v>
      </c>
      <c r="M3320" s="48">
        <v>5000</v>
      </c>
      <c r="N3320" s="59"/>
      <c r="O3320" s="59"/>
      <c r="P3320" s="59"/>
      <c r="Q3320" s="268">
        <f t="shared" si="157"/>
        <v>25000</v>
      </c>
      <c r="R3320" s="61">
        <f>IF(O3320=0,0,SUMIFS(Disbursements!$T:$T,Disbursements!$B:$B,'Live Collections'!D3320,Disbursements!$D:$D,'Live Collections'!F3320))</f>
        <v>0</v>
      </c>
      <c r="S3320" s="304">
        <f>IF(O3320&lt;=IF($O3320=0,0,SUMIFS(Disbursements!$W:$W,Disbursements!$B:$B,'Live Collections'!D3320,Disbursements!$D:$D,'Live Collections'!F3320)),O3320,IF($O3320=0,0,SUMIFS(Disbursements!$W:$W,Disbursements!$B:$B,'Live Collections'!D3320,Disbursements!$D:$D,'Live Collections'!F3320)))</f>
        <v>0</v>
      </c>
      <c r="T3320" s="304">
        <f t="shared" si="158"/>
        <v>0</v>
      </c>
      <c r="U3320" s="52"/>
      <c r="V3320" s="34"/>
      <c r="W3320" s="408"/>
    </row>
    <row r="3321" spans="1:23" ht="12.75" customHeight="1" x14ac:dyDescent="0.2">
      <c r="A3321" s="257">
        <v>3331</v>
      </c>
      <c r="B3321" s="44">
        <v>44625</v>
      </c>
      <c r="C3321" s="44">
        <f t="shared" si="156"/>
        <v>44625</v>
      </c>
      <c r="D3321" s="374">
        <v>323</v>
      </c>
      <c r="E3321" s="291" t="str">
        <f>IFERROR(VLOOKUP($D3321,'Clients-Live'!$A:$C,3,0),"")</f>
        <v>OBIT HAKIM ADROTI</v>
      </c>
      <c r="F3321" s="291">
        <f>IFERROR(INDEX(Disbursements!$D:$D,MATCH('Live Collections'!G3321,Disbursements!$C:$C,0)),"")</f>
        <v>1</v>
      </c>
      <c r="G3321" s="34">
        <v>452</v>
      </c>
      <c r="H3321" s="34">
        <v>5032</v>
      </c>
      <c r="I3321" s="34" t="s">
        <v>1359</v>
      </c>
      <c r="J3321" s="48"/>
      <c r="K3321" s="48"/>
      <c r="L3321" s="48"/>
      <c r="M3321" s="48"/>
      <c r="N3321" s="59"/>
      <c r="O3321" s="59"/>
      <c r="P3321" s="59">
        <v>250000</v>
      </c>
      <c r="Q3321" s="268">
        <f t="shared" si="157"/>
        <v>250000</v>
      </c>
      <c r="R3321" s="61">
        <f>IF(O3321=0,0,SUMIFS(Disbursements!$T:$T,Disbursements!$B:$B,'Live Collections'!D3321,Disbursements!$D:$D,'Live Collections'!F3321))</f>
        <v>0</v>
      </c>
      <c r="S3321" s="304">
        <f>IF(O3321&lt;=IF($O3321=0,0,SUMIFS(Disbursements!$W:$W,Disbursements!$B:$B,'Live Collections'!D3321,Disbursements!$D:$D,'Live Collections'!F3321)),O3321,IF($O3321=0,0,SUMIFS(Disbursements!$W:$W,Disbursements!$B:$B,'Live Collections'!D3321,Disbursements!$D:$D,'Live Collections'!F3321)))</f>
        <v>0</v>
      </c>
      <c r="T3321" s="304">
        <f t="shared" si="158"/>
        <v>0</v>
      </c>
      <c r="U3321" s="52"/>
      <c r="V3321" s="34"/>
      <c r="W3321" s="408"/>
    </row>
    <row r="3322" spans="1:23" ht="12.75" customHeight="1" x14ac:dyDescent="0.2">
      <c r="A3322" s="257">
        <v>3332</v>
      </c>
      <c r="B3322" s="44">
        <v>44625</v>
      </c>
      <c r="C3322" s="44">
        <f t="shared" si="156"/>
        <v>44625</v>
      </c>
      <c r="D3322" s="374">
        <v>139</v>
      </c>
      <c r="E3322" s="291" t="str">
        <f>IFERROR(VLOOKUP($D3322,'Clients-Live'!$A:$C,3,0),"")</f>
        <v xml:space="preserve">DRICHIRU MAIMUNA </v>
      </c>
      <c r="F3322" s="291">
        <f>IFERROR(INDEX(Disbursements!$D:$D,MATCH('Live Collections'!G3322,Disbursements!$C:$C,0)),"")</f>
        <v>2</v>
      </c>
      <c r="G3322" s="34">
        <v>451</v>
      </c>
      <c r="H3322" s="34">
        <v>5036</v>
      </c>
      <c r="I3322" s="34" t="s">
        <v>1359</v>
      </c>
      <c r="J3322" s="48"/>
      <c r="K3322" s="48"/>
      <c r="L3322" s="48"/>
      <c r="M3322" s="48"/>
      <c r="N3322" s="59"/>
      <c r="O3322" s="59"/>
      <c r="P3322" s="59">
        <v>30000</v>
      </c>
      <c r="Q3322" s="268">
        <f t="shared" si="157"/>
        <v>30000</v>
      </c>
      <c r="R3322" s="61">
        <f>IF(O3322=0,0,SUMIFS(Disbursements!$T:$T,Disbursements!$B:$B,'Live Collections'!D3322,Disbursements!$D:$D,'Live Collections'!F3322))</f>
        <v>0</v>
      </c>
      <c r="S3322" s="304">
        <f>IF(O3322&lt;=IF($O3322=0,0,SUMIFS(Disbursements!$W:$W,Disbursements!$B:$B,'Live Collections'!D3322,Disbursements!$D:$D,'Live Collections'!F3322)),O3322,IF($O3322=0,0,SUMIFS(Disbursements!$W:$W,Disbursements!$B:$B,'Live Collections'!D3322,Disbursements!$D:$D,'Live Collections'!F3322)))</f>
        <v>0</v>
      </c>
      <c r="T3322" s="304">
        <f t="shared" si="158"/>
        <v>0</v>
      </c>
      <c r="U3322" s="52"/>
      <c r="V3322" s="34"/>
      <c r="W3322" s="408"/>
    </row>
    <row r="3323" spans="1:23" ht="12.75" customHeight="1" x14ac:dyDescent="0.2">
      <c r="A3323" s="257">
        <v>3333</v>
      </c>
      <c r="B3323" s="44">
        <v>44625</v>
      </c>
      <c r="C3323" s="44">
        <f t="shared" si="156"/>
        <v>44625</v>
      </c>
      <c r="D3323" s="374">
        <v>218</v>
      </c>
      <c r="E3323" s="291" t="str">
        <f>IFERROR(VLOOKUP($D3323,'Clients-Live'!$A:$C,3,0),"")</f>
        <v>BUSURA OMAR</v>
      </c>
      <c r="F3323" s="291">
        <f>IFERROR(INDEX(Disbursements!$D:$D,MATCH('Live Collections'!G3323,Disbursements!$C:$C,0)),"")</f>
        <v>1</v>
      </c>
      <c r="G3323" s="34">
        <v>223</v>
      </c>
      <c r="H3323" s="34">
        <v>5102</v>
      </c>
      <c r="I3323" s="34" t="s">
        <v>1357</v>
      </c>
      <c r="J3323" s="48"/>
      <c r="K3323" s="48"/>
      <c r="L3323" s="48">
        <v>20000</v>
      </c>
      <c r="M3323" s="48">
        <v>5000</v>
      </c>
      <c r="N3323" s="59"/>
      <c r="O3323" s="59"/>
      <c r="P3323" s="59"/>
      <c r="Q3323" s="268">
        <f t="shared" si="157"/>
        <v>25000</v>
      </c>
      <c r="R3323" s="61">
        <f>IF(O3323=0,0,SUMIFS(Disbursements!$T:$T,Disbursements!$B:$B,'Live Collections'!D3323,Disbursements!$D:$D,'Live Collections'!F3323))</f>
        <v>0</v>
      </c>
      <c r="S3323" s="304">
        <f>IF(O3323&lt;=IF($O3323=0,0,SUMIFS(Disbursements!$W:$W,Disbursements!$B:$B,'Live Collections'!D3323,Disbursements!$D:$D,'Live Collections'!F3323)),O3323,IF($O3323=0,0,SUMIFS(Disbursements!$W:$W,Disbursements!$B:$B,'Live Collections'!D3323,Disbursements!$D:$D,'Live Collections'!F3323)))</f>
        <v>0</v>
      </c>
      <c r="T3323" s="304">
        <f t="shared" si="158"/>
        <v>0</v>
      </c>
      <c r="U3323" s="52"/>
      <c r="V3323" s="34"/>
      <c r="W3323" s="408"/>
    </row>
    <row r="3324" spans="1:23" ht="12.75" customHeight="1" x14ac:dyDescent="0.2">
      <c r="A3324" s="257">
        <v>3334</v>
      </c>
      <c r="B3324" s="44">
        <v>44625</v>
      </c>
      <c r="C3324" s="44">
        <f t="shared" si="156"/>
        <v>44625</v>
      </c>
      <c r="D3324" s="374">
        <v>218</v>
      </c>
      <c r="E3324" s="291" t="str">
        <f>IFERROR(VLOOKUP($D3324,'Clients-Live'!$A:$C,3,0),"")</f>
        <v>BUSURA OMAR</v>
      </c>
      <c r="F3324" s="291">
        <f>IFERROR(INDEX(Disbursements!$D:$D,MATCH('Live Collections'!G3324,Disbursements!$C:$C,0)),"")</f>
        <v>1</v>
      </c>
      <c r="G3324" s="34">
        <v>223</v>
      </c>
      <c r="H3324" s="34" t="s">
        <v>2177</v>
      </c>
      <c r="I3324" s="34" t="s">
        <v>1357</v>
      </c>
      <c r="J3324" s="48"/>
      <c r="K3324" s="48"/>
      <c r="L3324" s="48"/>
      <c r="M3324" s="48"/>
      <c r="N3324" s="59"/>
      <c r="O3324" s="59">
        <v>150000</v>
      </c>
      <c r="P3324" s="59">
        <v>-150000</v>
      </c>
      <c r="Q3324" s="268">
        <f t="shared" si="157"/>
        <v>0</v>
      </c>
      <c r="R3324" s="61">
        <f>IF(O3324=0,0,SUMIFS(Disbursements!$T:$T,Disbursements!$B:$B,'Live Collections'!D3324,Disbursements!$D:$D,'Live Collections'!F3324))</f>
        <v>325000</v>
      </c>
      <c r="S3324" s="304">
        <f>IF(O3324&lt;=IF($O3324=0,0,SUMIFS(Disbursements!$W:$W,Disbursements!$B:$B,'Live Collections'!D3324,Disbursements!$D:$D,'Live Collections'!F3324)),O3324,IF($O3324=0,0,SUMIFS(Disbursements!$W:$W,Disbursements!$B:$B,'Live Collections'!D3324,Disbursements!$D:$D,'Live Collections'!F3324)))</f>
        <v>75000</v>
      </c>
      <c r="T3324" s="304">
        <f t="shared" si="158"/>
        <v>75000</v>
      </c>
      <c r="U3324" s="52"/>
      <c r="V3324" s="34"/>
      <c r="W3324" s="408"/>
    </row>
    <row r="3325" spans="1:23" ht="12.75" customHeight="1" x14ac:dyDescent="0.2">
      <c r="A3325" s="257">
        <v>3335</v>
      </c>
      <c r="B3325" s="44">
        <v>44625</v>
      </c>
      <c r="C3325" s="44">
        <f t="shared" si="156"/>
        <v>44625</v>
      </c>
      <c r="D3325" s="374">
        <v>218</v>
      </c>
      <c r="E3325" s="291" t="str">
        <f>IFERROR(VLOOKUP($D3325,'Clients-Live'!$A:$C,3,0),"")</f>
        <v>BUSURA OMAR</v>
      </c>
      <c r="F3325" s="291">
        <f>IFERROR(INDEX(Disbursements!$D:$D,MATCH('Live Collections'!G3325,Disbursements!$C:$C,0)),"")</f>
        <v>1</v>
      </c>
      <c r="G3325" s="34">
        <v>223</v>
      </c>
      <c r="H3325" s="34">
        <v>5037</v>
      </c>
      <c r="I3325" s="34" t="s">
        <v>1357</v>
      </c>
      <c r="J3325" s="48"/>
      <c r="K3325" s="48"/>
      <c r="L3325" s="48"/>
      <c r="M3325" s="48"/>
      <c r="N3325" s="59"/>
      <c r="O3325" s="59">
        <v>110000</v>
      </c>
      <c r="P3325" s="59"/>
      <c r="Q3325" s="268">
        <f t="shared" si="157"/>
        <v>110000</v>
      </c>
      <c r="R3325" s="61">
        <f>IF(O3325=0,0,SUMIFS(Disbursements!$T:$T,Disbursements!$B:$B,'Live Collections'!D3325,Disbursements!$D:$D,'Live Collections'!F3325))</f>
        <v>325000</v>
      </c>
      <c r="S3325" s="64">
        <v>29666.666666666628</v>
      </c>
      <c r="T3325" s="304">
        <f t="shared" si="158"/>
        <v>80333.333333333372</v>
      </c>
      <c r="U3325" s="52"/>
      <c r="V3325" s="34"/>
      <c r="W3325" s="408"/>
    </row>
    <row r="3326" spans="1:23" ht="12.75" customHeight="1" x14ac:dyDescent="0.2">
      <c r="A3326" s="257">
        <v>3336</v>
      </c>
      <c r="B3326" s="44">
        <v>44625</v>
      </c>
      <c r="C3326" s="44">
        <f t="shared" si="156"/>
        <v>44625</v>
      </c>
      <c r="D3326" s="374">
        <v>128</v>
      </c>
      <c r="E3326" s="291" t="str">
        <f>IFERROR(VLOOKUP($D3326,'Clients-Live'!$A:$C,3,0),"")</f>
        <v>AJONYE BETTY</v>
      </c>
      <c r="F3326" s="291">
        <f>IFERROR(INDEX(Disbursements!$D:$D,MATCH('Live Collections'!G3326,Disbursements!$C:$C,0)),"")</f>
        <v>2</v>
      </c>
      <c r="G3326" s="34">
        <v>289</v>
      </c>
      <c r="H3326" s="34">
        <v>5042</v>
      </c>
      <c r="I3326" s="34" t="s">
        <v>1359</v>
      </c>
      <c r="J3326" s="48"/>
      <c r="K3326" s="48"/>
      <c r="L3326" s="48"/>
      <c r="M3326" s="48"/>
      <c r="N3326" s="59"/>
      <c r="O3326" s="59">
        <v>50000</v>
      </c>
      <c r="P3326" s="59"/>
      <c r="Q3326" s="268">
        <f t="shared" si="157"/>
        <v>50000</v>
      </c>
      <c r="R3326" s="61">
        <f>IF(O3326=0,0,SUMIFS(Disbursements!$T:$T,Disbursements!$B:$B,'Live Collections'!D3326,Disbursements!$D:$D,'Live Collections'!F3326))</f>
        <v>120000</v>
      </c>
      <c r="S3326" s="304"/>
      <c r="T3326" s="304">
        <f t="shared" si="158"/>
        <v>50000</v>
      </c>
      <c r="U3326" s="52"/>
      <c r="V3326" s="34"/>
      <c r="W3326" s="408"/>
    </row>
    <row r="3327" spans="1:23" ht="12.75" customHeight="1" x14ac:dyDescent="0.2">
      <c r="A3327" s="257">
        <v>3337</v>
      </c>
      <c r="B3327" s="44">
        <v>44625</v>
      </c>
      <c r="C3327" s="44">
        <f t="shared" ref="C3327:C3390" si="159">B3327</f>
        <v>44625</v>
      </c>
      <c r="D3327" s="374">
        <v>324</v>
      </c>
      <c r="E3327" s="291" t="str">
        <f>IFERROR(VLOOKUP($D3327,'Clients-Live'!$A:$C,3,0),"")</f>
        <v>ARIKE KOKOLE YASSIN</v>
      </c>
      <c r="F3327" s="291">
        <f>IFERROR(INDEX(Disbursements!$D:$D,MATCH('Live Collections'!G3327,Disbursements!$C:$C,0)),"")</f>
        <v>1</v>
      </c>
      <c r="G3327" s="34">
        <v>450</v>
      </c>
      <c r="H3327" s="34">
        <v>5103</v>
      </c>
      <c r="I3327" s="34" t="s">
        <v>1357</v>
      </c>
      <c r="J3327" s="48"/>
      <c r="K3327" s="48"/>
      <c r="L3327" s="48"/>
      <c r="M3327" s="48"/>
      <c r="N3327" s="59"/>
      <c r="O3327" s="59"/>
      <c r="P3327" s="59">
        <v>100000</v>
      </c>
      <c r="Q3327" s="268">
        <f t="shared" si="157"/>
        <v>100000</v>
      </c>
      <c r="R3327" s="61">
        <f>IF(O3327=0,0,SUMIFS(Disbursements!$T:$T,Disbursements!$B:$B,'Live Collections'!D3327,Disbursements!$D:$D,'Live Collections'!F3327))</f>
        <v>0</v>
      </c>
      <c r="S3327" s="304">
        <f>IF(O3327&lt;=IF($O3327=0,0,SUMIFS(Disbursements!$W:$W,Disbursements!$B:$B,'Live Collections'!D3327,Disbursements!$D:$D,'Live Collections'!F3327)),O3327,IF($O3327=0,0,SUMIFS(Disbursements!$W:$W,Disbursements!$B:$B,'Live Collections'!D3327,Disbursements!$D:$D,'Live Collections'!F3327)))</f>
        <v>0</v>
      </c>
      <c r="T3327" s="304">
        <f t="shared" si="158"/>
        <v>0</v>
      </c>
      <c r="U3327" s="52"/>
      <c r="V3327" s="34"/>
      <c r="W3327" s="408"/>
    </row>
    <row r="3328" spans="1:23" ht="12.75" customHeight="1" x14ac:dyDescent="0.2">
      <c r="A3328" s="257">
        <v>3338</v>
      </c>
      <c r="B3328" s="44">
        <v>44625</v>
      </c>
      <c r="C3328" s="44">
        <f t="shared" si="159"/>
        <v>44625</v>
      </c>
      <c r="D3328" s="374">
        <v>78</v>
      </c>
      <c r="E3328" s="291" t="str">
        <f>IFERROR(VLOOKUP($D3328,'Clients-Live'!$A:$C,3,0),"")</f>
        <v>DIPIYO BEATRICE JOHN</v>
      </c>
      <c r="F3328" s="291">
        <f>IFERROR(INDEX(Disbursements!$D:$D,MATCH('Live Collections'!G3328,Disbursements!$C:$C,0)),"")</f>
        <v>2</v>
      </c>
      <c r="G3328" s="34">
        <v>351</v>
      </c>
      <c r="H3328" s="34">
        <v>5041</v>
      </c>
      <c r="I3328" s="34" t="s">
        <v>1357</v>
      </c>
      <c r="J3328" s="48"/>
      <c r="K3328" s="48"/>
      <c r="L3328" s="48"/>
      <c r="M3328" s="48"/>
      <c r="N3328" s="59"/>
      <c r="O3328" s="59">
        <v>440000</v>
      </c>
      <c r="P3328" s="59"/>
      <c r="Q3328" s="268">
        <f t="shared" si="157"/>
        <v>440000</v>
      </c>
      <c r="R3328" s="61">
        <f>IF(O3328=0,0,SUMIFS(Disbursements!$T:$T,Disbursements!$B:$B,'Live Collections'!D3328,Disbursements!$D:$D,'Live Collections'!F3328))</f>
        <v>540000</v>
      </c>
      <c r="S3328" s="304">
        <f>IF(O3328&lt;=IF($O3328=0,0,SUMIFS(Disbursements!$W:$W,Disbursements!$B:$B,'Live Collections'!D3328,Disbursements!$D:$D,'Live Collections'!F3328)),O3328,IF($O3328=0,0,SUMIFS(Disbursements!$W:$W,Disbursements!$B:$B,'Live Collections'!D3328,Disbursements!$D:$D,'Live Collections'!F3328)))</f>
        <v>90000</v>
      </c>
      <c r="T3328" s="304">
        <f t="shared" si="158"/>
        <v>350000</v>
      </c>
      <c r="U3328" s="52"/>
      <c r="V3328" s="34"/>
      <c r="W3328" s="408"/>
    </row>
    <row r="3329" spans="1:23" ht="12.75" customHeight="1" x14ac:dyDescent="0.2">
      <c r="A3329" s="257">
        <v>3339</v>
      </c>
      <c r="B3329" s="44">
        <v>44625</v>
      </c>
      <c r="C3329" s="44">
        <f t="shared" si="159"/>
        <v>44625</v>
      </c>
      <c r="D3329" s="374">
        <v>201</v>
      </c>
      <c r="E3329" s="291" t="str">
        <f>IFERROR(VLOOKUP($D3329,'Clients-Live'!$A:$C,3,0),"")</f>
        <v>DALILI HASSAN</v>
      </c>
      <c r="F3329" s="291">
        <f>IFERROR(INDEX(Disbursements!$D:$D,MATCH('Live Collections'!G3329,Disbursements!$C:$C,0)),"")</f>
        <v>1</v>
      </c>
      <c r="G3329" s="34">
        <v>419</v>
      </c>
      <c r="H3329" s="34">
        <v>5040</v>
      </c>
      <c r="I3329" s="34" t="s">
        <v>1359</v>
      </c>
      <c r="J3329" s="48"/>
      <c r="K3329" s="48"/>
      <c r="L3329" s="48"/>
      <c r="M3329" s="48"/>
      <c r="N3329" s="59"/>
      <c r="O3329" s="59">
        <v>50000</v>
      </c>
      <c r="P3329" s="59"/>
      <c r="Q3329" s="268">
        <f t="shared" si="157"/>
        <v>50000</v>
      </c>
      <c r="R3329" s="61">
        <f>IF(O3329=0,0,SUMIFS(Disbursements!$T:$T,Disbursements!$B:$B,'Live Collections'!D3329,Disbursements!$D:$D,'Live Collections'!F3329))</f>
        <v>47000</v>
      </c>
      <c r="S3329" s="304">
        <f>IF(O3329&lt;=IF($O3329=0,0,SUMIFS(Disbursements!$W:$W,Disbursements!$B:$B,'Live Collections'!D3329,Disbursements!$D:$D,'Live Collections'!F3329)),O3329,IF($O3329=0,0,SUMIFS(Disbursements!$W:$W,Disbursements!$B:$B,'Live Collections'!D3329,Disbursements!$D:$D,'Live Collections'!F3329)))</f>
        <v>13666.666666666664</v>
      </c>
      <c r="T3329" s="304">
        <f t="shared" si="158"/>
        <v>36333.333333333336</v>
      </c>
      <c r="U3329" s="52"/>
      <c r="V3329" s="34"/>
      <c r="W3329" s="408"/>
    </row>
    <row r="3330" spans="1:23" ht="12.75" customHeight="1" x14ac:dyDescent="0.2">
      <c r="A3330" s="257">
        <v>3340</v>
      </c>
      <c r="B3330" s="44">
        <v>44625</v>
      </c>
      <c r="C3330" s="44">
        <f t="shared" si="159"/>
        <v>44625</v>
      </c>
      <c r="D3330" s="374">
        <v>328</v>
      </c>
      <c r="E3330" s="291" t="str">
        <f>IFERROR(VLOOKUP($D3330,'Clients-Live'!$A:$C,3,0),"")</f>
        <v>AGOTIA JOYCE</v>
      </c>
      <c r="F3330" s="291">
        <f>IFERROR(INDEX(Disbursements!$D:$D,MATCH('Live Collections'!G3330,Disbursements!$C:$C,0)),"")</f>
        <v>1</v>
      </c>
      <c r="G3330" s="34">
        <v>449</v>
      </c>
      <c r="H3330" s="34">
        <v>5038</v>
      </c>
      <c r="I3330" s="34" t="s">
        <v>1357</v>
      </c>
      <c r="J3330" s="48"/>
      <c r="K3330" s="48"/>
      <c r="L3330" s="48"/>
      <c r="M3330" s="48"/>
      <c r="N3330" s="59"/>
      <c r="O3330" s="59"/>
      <c r="P3330" s="59">
        <v>200000</v>
      </c>
      <c r="Q3330" s="268">
        <f t="shared" si="157"/>
        <v>200000</v>
      </c>
      <c r="R3330" s="61">
        <f>IF(O3330=0,0,SUMIFS(Disbursements!$T:$T,Disbursements!$B:$B,'Live Collections'!D3330,Disbursements!$D:$D,'Live Collections'!F3330))</f>
        <v>0</v>
      </c>
      <c r="S3330" s="304">
        <f>IF(O3330&lt;=IF($O3330=0,0,SUMIFS(Disbursements!$W:$W,Disbursements!$B:$B,'Live Collections'!D3330,Disbursements!$D:$D,'Live Collections'!F3330)),O3330,IF($O3330=0,0,SUMIFS(Disbursements!$W:$W,Disbursements!$B:$B,'Live Collections'!D3330,Disbursements!$D:$D,'Live Collections'!F3330)))</f>
        <v>0</v>
      </c>
      <c r="T3330" s="304">
        <f t="shared" si="158"/>
        <v>0</v>
      </c>
      <c r="U3330" s="52"/>
      <c r="V3330" s="34"/>
      <c r="W3330" s="408"/>
    </row>
    <row r="3331" spans="1:23" ht="12.75" customHeight="1" x14ac:dyDescent="0.2">
      <c r="A3331" s="257">
        <v>3341</v>
      </c>
      <c r="B3331" s="44">
        <v>44625</v>
      </c>
      <c r="C3331" s="44">
        <f t="shared" si="159"/>
        <v>44625</v>
      </c>
      <c r="D3331" s="374">
        <v>292</v>
      </c>
      <c r="E3331" s="291" t="str">
        <f>IFERROR(VLOOKUP($D3331,'Clients-Live'!$A:$C,3,0),"")</f>
        <v>AFEKU DENIS</v>
      </c>
      <c r="F3331" s="291">
        <f>IFERROR(INDEX(Disbursements!$D:$D,MATCH('Live Collections'!G3331,Disbursements!$C:$C,0)),"")</f>
        <v>1</v>
      </c>
      <c r="G3331" s="34">
        <v>368</v>
      </c>
      <c r="H3331" s="34">
        <v>5031</v>
      </c>
      <c r="I3331" s="34" t="s">
        <v>1359</v>
      </c>
      <c r="J3331" s="48"/>
      <c r="K3331" s="48"/>
      <c r="L3331" s="48"/>
      <c r="M3331" s="48"/>
      <c r="N3331" s="59"/>
      <c r="O3331" s="59">
        <v>830000</v>
      </c>
      <c r="P3331" s="59"/>
      <c r="Q3331" s="268">
        <f t="shared" si="157"/>
        <v>830000</v>
      </c>
      <c r="R3331" s="61">
        <f>IF(O3331=0,0,SUMIFS(Disbursements!$T:$T,Disbursements!$B:$B,'Live Collections'!D3331,Disbursements!$D:$D,'Live Collections'!F3331))</f>
        <v>2600000</v>
      </c>
      <c r="S3331" s="304">
        <f>IF(O3331&lt;=IF($O3331=0,0,SUMIFS(Disbursements!$W:$W,Disbursements!$B:$B,'Live Collections'!D3331,Disbursements!$D:$D,'Live Collections'!F3331)),O3331,IF($O3331=0,0,SUMIFS(Disbursements!$W:$W,Disbursements!$B:$B,'Live Collections'!D3331,Disbursements!$D:$D,'Live Collections'!F3331)))</f>
        <v>600000</v>
      </c>
      <c r="T3331" s="304">
        <f t="shared" si="158"/>
        <v>230000</v>
      </c>
      <c r="U3331" s="52"/>
      <c r="V3331" s="34"/>
      <c r="W3331" s="408"/>
    </row>
    <row r="3332" spans="1:23" ht="12.75" customHeight="1" x14ac:dyDescent="0.2">
      <c r="A3332" s="257">
        <v>3342</v>
      </c>
      <c r="B3332" s="44">
        <v>44627</v>
      </c>
      <c r="C3332" s="44">
        <f t="shared" si="159"/>
        <v>44627</v>
      </c>
      <c r="D3332" s="374">
        <v>330</v>
      </c>
      <c r="E3332" s="291" t="str">
        <f>IFERROR(VLOOKUP($D3332,'Clients-Live'!$A:$C,3,0),"")</f>
        <v>BACIA AISHA</v>
      </c>
      <c r="F3332" s="291" t="str">
        <f>IFERROR(INDEX(Disbursements!$D:$D,MATCH('Live Collections'!G3332,Disbursements!$C:$C,0)),"")</f>
        <v/>
      </c>
      <c r="G3332" s="34"/>
      <c r="H3332" s="34">
        <v>5046</v>
      </c>
      <c r="I3332" s="34" t="s">
        <v>1716</v>
      </c>
      <c r="J3332" s="48">
        <v>15000</v>
      </c>
      <c r="K3332" s="48">
        <v>5000</v>
      </c>
      <c r="L3332" s="48"/>
      <c r="M3332" s="48"/>
      <c r="N3332" s="59"/>
      <c r="O3332" s="59"/>
      <c r="P3332" s="59"/>
      <c r="Q3332" s="268">
        <f t="shared" si="157"/>
        <v>20000</v>
      </c>
      <c r="R3332" s="61">
        <f>IF(O3332=0,0,SUMIFS(Disbursements!$T:$T,Disbursements!$B:$B,'Live Collections'!D3332,Disbursements!$D:$D,'Live Collections'!F3332))</f>
        <v>0</v>
      </c>
      <c r="S3332" s="304">
        <f>IF(O3332&lt;=IF($O3332=0,0,SUMIFS(Disbursements!$W:$W,Disbursements!$B:$B,'Live Collections'!D3332,Disbursements!$D:$D,'Live Collections'!F3332)),O3332,IF($O3332=0,0,SUMIFS(Disbursements!$W:$W,Disbursements!$B:$B,'Live Collections'!D3332,Disbursements!$D:$D,'Live Collections'!F3332)))</f>
        <v>0</v>
      </c>
      <c r="T3332" s="304">
        <f t="shared" si="158"/>
        <v>0</v>
      </c>
      <c r="U3332" s="52"/>
      <c r="V3332" s="34"/>
      <c r="W3332" s="408"/>
    </row>
    <row r="3333" spans="1:23" ht="12.75" customHeight="1" x14ac:dyDescent="0.2">
      <c r="A3333" s="257">
        <v>3343</v>
      </c>
      <c r="B3333" s="44">
        <v>44627</v>
      </c>
      <c r="C3333" s="44">
        <f t="shared" si="159"/>
        <v>44627</v>
      </c>
      <c r="D3333" s="374">
        <v>330</v>
      </c>
      <c r="E3333" s="291" t="str">
        <f>IFERROR(VLOOKUP($D3333,'Clients-Live'!$A:$C,3,0),"")</f>
        <v>BACIA AISHA</v>
      </c>
      <c r="F3333" s="291" t="str">
        <f>IFERROR(INDEX(Disbursements!$D:$D,MATCH('Live Collections'!G3333,Disbursements!$C:$C,0)),"")</f>
        <v/>
      </c>
      <c r="G3333" s="34"/>
      <c r="H3333" s="34">
        <v>5050</v>
      </c>
      <c r="I3333" s="34" t="s">
        <v>1716</v>
      </c>
      <c r="J3333" s="48"/>
      <c r="K3333" s="48"/>
      <c r="L3333" s="48">
        <v>15000</v>
      </c>
      <c r="M3333" s="48">
        <v>5000</v>
      </c>
      <c r="N3333" s="59"/>
      <c r="O3333" s="59"/>
      <c r="P3333" s="59"/>
      <c r="Q3333" s="268">
        <f t="shared" si="157"/>
        <v>20000</v>
      </c>
      <c r="R3333" s="61">
        <f>IF(O3333=0,0,SUMIFS(Disbursements!$T:$T,Disbursements!$B:$B,'Live Collections'!D3333,Disbursements!$D:$D,'Live Collections'!F3333))</f>
        <v>0</v>
      </c>
      <c r="S3333" s="304">
        <f>IF(O3333&lt;=IF($O3333=0,0,SUMIFS(Disbursements!$W:$W,Disbursements!$B:$B,'Live Collections'!D3333,Disbursements!$D:$D,'Live Collections'!F3333)),O3333,IF($O3333=0,0,SUMIFS(Disbursements!$W:$W,Disbursements!$B:$B,'Live Collections'!D3333,Disbursements!$D:$D,'Live Collections'!F3333)))</f>
        <v>0</v>
      </c>
      <c r="T3333" s="304">
        <f t="shared" si="158"/>
        <v>0</v>
      </c>
      <c r="U3333" s="52"/>
      <c r="V3333" s="34"/>
      <c r="W3333" s="408"/>
    </row>
    <row r="3334" spans="1:23" ht="12.75" customHeight="1" x14ac:dyDescent="0.2">
      <c r="A3334" s="257">
        <v>3344</v>
      </c>
      <c r="B3334" s="44">
        <v>44627</v>
      </c>
      <c r="C3334" s="44">
        <f t="shared" si="159"/>
        <v>44627</v>
      </c>
      <c r="D3334" s="374">
        <v>272</v>
      </c>
      <c r="E3334" s="291" t="str">
        <f>IFERROR(VLOOKUP($D3334,'Clients-Live'!$A:$C,3,0),"")</f>
        <v>AFEKU EMMANUEL</v>
      </c>
      <c r="F3334" s="291">
        <f>IFERROR(INDEX(Disbursements!$D:$D,MATCH('Live Collections'!G3334,Disbursements!$C:$C,0)),"")</f>
        <v>1</v>
      </c>
      <c r="G3334" s="34">
        <v>331</v>
      </c>
      <c r="H3334" s="34">
        <v>5045</v>
      </c>
      <c r="I3334" s="34" t="s">
        <v>1359</v>
      </c>
      <c r="J3334" s="48"/>
      <c r="K3334" s="48"/>
      <c r="L3334" s="48"/>
      <c r="M3334" s="48"/>
      <c r="N3334" s="59"/>
      <c r="O3334" s="59">
        <v>120000</v>
      </c>
      <c r="P3334" s="59"/>
      <c r="Q3334" s="268">
        <f t="shared" si="157"/>
        <v>120000</v>
      </c>
      <c r="R3334" s="61">
        <f>IF(O3334=0,0,SUMIFS(Disbursements!$T:$T,Disbursements!$B:$B,'Live Collections'!D3334,Disbursements!$D:$D,'Live Collections'!F3334))</f>
        <v>120000</v>
      </c>
      <c r="S3334" s="304">
        <f>IF(O3334&lt;=IF($O3334=0,0,SUMIFS(Disbursements!$W:$W,Disbursements!$B:$B,'Live Collections'!D3334,Disbursements!$D:$D,'Live Collections'!F3334)),O3334,IF($O3334=0,0,SUMIFS(Disbursements!$W:$W,Disbursements!$B:$B,'Live Collections'!D3334,Disbursements!$D:$D,'Live Collections'!F3334)))</f>
        <v>20000</v>
      </c>
      <c r="T3334" s="304">
        <f t="shared" si="158"/>
        <v>100000</v>
      </c>
      <c r="U3334" s="52"/>
      <c r="V3334" s="34"/>
      <c r="W3334" s="408"/>
    </row>
    <row r="3335" spans="1:23" ht="12.75" customHeight="1" x14ac:dyDescent="0.2">
      <c r="A3335" s="257">
        <v>3345</v>
      </c>
      <c r="B3335" s="44">
        <v>44627</v>
      </c>
      <c r="C3335" s="44">
        <f t="shared" si="159"/>
        <v>44627</v>
      </c>
      <c r="D3335" s="374">
        <v>97</v>
      </c>
      <c r="E3335" s="291" t="str">
        <f>IFERROR(VLOOKUP($D3335,'Clients-Live'!$A:$C,3,0),"")</f>
        <v>DRANDUA JOB CHRISPUS</v>
      </c>
      <c r="F3335" s="291">
        <f>IFERROR(INDEX(Disbursements!$D:$D,MATCH('Live Collections'!G3335,Disbursements!$C:$C,0)),"")</f>
        <v>5</v>
      </c>
      <c r="G3335" s="34">
        <v>453</v>
      </c>
      <c r="H3335" s="34">
        <v>5114</v>
      </c>
      <c r="I3335" s="34" t="s">
        <v>1359</v>
      </c>
      <c r="J3335" s="48"/>
      <c r="K3335" s="48"/>
      <c r="L3335" s="48"/>
      <c r="M3335" s="48"/>
      <c r="N3335" s="59"/>
      <c r="O3335" s="59"/>
      <c r="P3335" s="59">
        <v>600000</v>
      </c>
      <c r="Q3335" s="268">
        <f t="shared" si="157"/>
        <v>600000</v>
      </c>
      <c r="R3335" s="61">
        <f>IF(O3335=0,0,SUMIFS(Disbursements!$T:$T,Disbursements!$B:$B,'Live Collections'!D3335,Disbursements!$D:$D,'Live Collections'!F3335))</f>
        <v>0</v>
      </c>
      <c r="S3335" s="304">
        <f>IF(O3335&lt;=IF($O3335=0,0,SUMIFS(Disbursements!$W:$W,Disbursements!$B:$B,'Live Collections'!D3335,Disbursements!$D:$D,'Live Collections'!F3335)),O3335,IF($O3335=0,0,SUMIFS(Disbursements!$W:$W,Disbursements!$B:$B,'Live Collections'!D3335,Disbursements!$D:$D,'Live Collections'!F3335)))</f>
        <v>0</v>
      </c>
      <c r="T3335" s="304">
        <f t="shared" si="158"/>
        <v>0</v>
      </c>
      <c r="U3335" s="52"/>
      <c r="V3335" s="34"/>
      <c r="W3335" s="408"/>
    </row>
    <row r="3336" spans="1:23" ht="12.75" customHeight="1" x14ac:dyDescent="0.2">
      <c r="A3336" s="257">
        <v>3346</v>
      </c>
      <c r="B3336" s="44">
        <v>44627</v>
      </c>
      <c r="C3336" s="44">
        <f t="shared" si="159"/>
        <v>44627</v>
      </c>
      <c r="D3336" s="374">
        <v>276</v>
      </c>
      <c r="E3336" s="291" t="str">
        <f>IFERROR(VLOOKUP($D3336,'Clients-Live'!$A:$C,3,0),"")</f>
        <v>MANDELA SWAIBU</v>
      </c>
      <c r="F3336" s="291">
        <f>IFERROR(INDEX(Disbursements!$D:$D,MATCH('Live Collections'!G3336,Disbursements!$C:$C,0)),"")</f>
        <v>1</v>
      </c>
      <c r="G3336" s="34">
        <v>358</v>
      </c>
      <c r="H3336" s="34">
        <v>5122</v>
      </c>
      <c r="I3336" s="34" t="s">
        <v>1358</v>
      </c>
      <c r="J3336" s="48"/>
      <c r="K3336" s="48"/>
      <c r="L3336" s="48"/>
      <c r="M3336" s="48"/>
      <c r="N3336" s="59"/>
      <c r="O3336" s="59">
        <v>100000</v>
      </c>
      <c r="P3336" s="59"/>
      <c r="Q3336" s="268">
        <f t="shared" si="157"/>
        <v>100000</v>
      </c>
      <c r="R3336" s="61">
        <f>IF(O3336=0,0,SUMIFS(Disbursements!$T:$T,Disbursements!$B:$B,'Live Collections'!D3336,Disbursements!$D:$D,'Live Collections'!F3336))</f>
        <v>325000</v>
      </c>
      <c r="S3336" s="304"/>
      <c r="T3336" s="304">
        <f t="shared" si="158"/>
        <v>100000</v>
      </c>
      <c r="U3336" s="52"/>
      <c r="V3336" s="34"/>
      <c r="W3336" s="408"/>
    </row>
    <row r="3337" spans="1:23" ht="12.75" customHeight="1" x14ac:dyDescent="0.2">
      <c r="A3337" s="257">
        <v>3347</v>
      </c>
      <c r="B3337" s="44">
        <v>44627</v>
      </c>
      <c r="C3337" s="44">
        <f t="shared" si="159"/>
        <v>44627</v>
      </c>
      <c r="D3337" s="374">
        <v>22</v>
      </c>
      <c r="E3337" s="291" t="str">
        <f>IFERROR(VLOOKUP($D3337,'Clients-Live'!$A:$C,3,0),"")</f>
        <v>DATA ISMAIL FATARI</v>
      </c>
      <c r="F3337" s="291">
        <f>IFERROR(INDEX(Disbursements!$D:$D,MATCH('Live Collections'!G3337,Disbursements!$C:$C,0)),"")</f>
        <v>2</v>
      </c>
      <c r="G3337" s="34">
        <v>381</v>
      </c>
      <c r="H3337" s="34">
        <v>5121</v>
      </c>
      <c r="I3337" s="34" t="s">
        <v>1359</v>
      </c>
      <c r="J3337" s="48"/>
      <c r="K3337" s="48"/>
      <c r="L3337" s="48"/>
      <c r="M3337" s="48"/>
      <c r="N3337" s="59"/>
      <c r="O3337" s="59">
        <v>10000</v>
      </c>
      <c r="P3337" s="59"/>
      <c r="Q3337" s="268">
        <f t="shared" si="157"/>
        <v>10000</v>
      </c>
      <c r="R3337" s="61">
        <f>IF(O3337=0,0,SUMIFS(Disbursements!$T:$T,Disbursements!$B:$B,'Live Collections'!D3337,Disbursements!$D:$D,'Live Collections'!F3337))</f>
        <v>210000</v>
      </c>
      <c r="S3337" s="304">
        <f>IF(O3337&lt;=IF($O3337=0,0,SUMIFS(Disbursements!$W:$W,Disbursements!$B:$B,'Live Collections'!D3337,Disbursements!$D:$D,'Live Collections'!F3337)),O3337,IF($O3337=0,0,SUMIFS(Disbursements!$W:$W,Disbursements!$B:$B,'Live Collections'!D3337,Disbursements!$D:$D,'Live Collections'!F3337)))</f>
        <v>10000</v>
      </c>
      <c r="T3337" s="304">
        <f t="shared" si="158"/>
        <v>0</v>
      </c>
      <c r="U3337" s="52"/>
      <c r="V3337" s="34"/>
      <c r="W3337" s="408"/>
    </row>
    <row r="3338" spans="1:23" ht="12.75" customHeight="1" x14ac:dyDescent="0.2">
      <c r="A3338" s="257">
        <v>3348</v>
      </c>
      <c r="B3338" s="44">
        <v>44627</v>
      </c>
      <c r="C3338" s="44">
        <f t="shared" si="159"/>
        <v>44627</v>
      </c>
      <c r="D3338" s="374">
        <v>70</v>
      </c>
      <c r="E3338" s="291" t="str">
        <f>IFERROR(VLOOKUP($D3338,'Clients-Live'!$A:$C,3,0),"")</f>
        <v>BUGA ALIKIA PHILLIP</v>
      </c>
      <c r="F3338" s="291">
        <f>IFERROR(INDEX(Disbursements!$D:$D,MATCH('Live Collections'!G3338,Disbursements!$C:$C,0)),"")</f>
        <v>2</v>
      </c>
      <c r="G3338" s="34">
        <v>299</v>
      </c>
      <c r="H3338" s="34">
        <v>5112</v>
      </c>
      <c r="I3338" s="34" t="s">
        <v>1358</v>
      </c>
      <c r="J3338" s="48"/>
      <c r="K3338" s="48"/>
      <c r="L3338" s="48"/>
      <c r="M3338" s="48"/>
      <c r="N3338" s="59"/>
      <c r="O3338" s="59">
        <v>30000</v>
      </c>
      <c r="P3338" s="59"/>
      <c r="Q3338" s="268">
        <f t="shared" si="157"/>
        <v>30000</v>
      </c>
      <c r="R3338" s="61">
        <f>IF(O3338=0,0,SUMIFS(Disbursements!$T:$T,Disbursements!$B:$B,'Live Collections'!D3338,Disbursements!$D:$D,'Live Collections'!F3338))</f>
        <v>260000</v>
      </c>
      <c r="S3338" s="304">
        <f>IF(O3338&lt;=IF($O3338=0,0,SUMIFS(Disbursements!$W:$W,Disbursements!$B:$B,'Live Collections'!D3338,Disbursements!$D:$D,'Live Collections'!F3338)),O3338,IF($O3338=0,0,SUMIFS(Disbursements!$W:$W,Disbursements!$B:$B,'Live Collections'!D3338,Disbursements!$D:$D,'Live Collections'!F3338)))</f>
        <v>30000</v>
      </c>
      <c r="T3338" s="304">
        <f t="shared" si="158"/>
        <v>0</v>
      </c>
      <c r="U3338" s="52"/>
      <c r="V3338" s="34"/>
      <c r="W3338" s="408"/>
    </row>
    <row r="3339" spans="1:23" ht="12.75" customHeight="1" x14ac:dyDescent="0.2">
      <c r="A3339" s="257">
        <v>3349</v>
      </c>
      <c r="B3339" s="44">
        <v>44627</v>
      </c>
      <c r="C3339" s="44">
        <f t="shared" si="159"/>
        <v>44627</v>
      </c>
      <c r="D3339" s="374">
        <v>218</v>
      </c>
      <c r="E3339" s="291" t="str">
        <f>IFERROR(VLOOKUP($D3339,'Clients-Live'!$A:$C,3,0),"")</f>
        <v>BUSURA OMAR</v>
      </c>
      <c r="F3339" s="291" t="str">
        <f>IFERROR(INDEX(Disbursements!$D:$D,MATCH('Live Collections'!G3339,Disbursements!$C:$C,0)),"")</f>
        <v/>
      </c>
      <c r="G3339" s="34"/>
      <c r="H3339" s="34">
        <v>5113</v>
      </c>
      <c r="I3339" s="34" t="s">
        <v>1357</v>
      </c>
      <c r="J3339" s="48"/>
      <c r="K3339" s="48"/>
      <c r="L3339" s="48"/>
      <c r="M3339" s="48">
        <v>5000</v>
      </c>
      <c r="N3339" s="59"/>
      <c r="O3339" s="59"/>
      <c r="P3339" s="59"/>
      <c r="Q3339" s="268">
        <f t="shared" si="157"/>
        <v>5000</v>
      </c>
      <c r="R3339" s="61">
        <f>IF(O3339=0,0,SUMIFS(Disbursements!$T:$T,Disbursements!$B:$B,'Live Collections'!D3339,Disbursements!$D:$D,'Live Collections'!F3339))</f>
        <v>0</v>
      </c>
      <c r="S3339" s="304">
        <f>IF(O3339&lt;=IF($O3339=0,0,SUMIFS(Disbursements!$W:$W,Disbursements!$B:$B,'Live Collections'!D3339,Disbursements!$D:$D,'Live Collections'!F3339)),O3339,IF($O3339=0,0,SUMIFS(Disbursements!$W:$W,Disbursements!$B:$B,'Live Collections'!D3339,Disbursements!$D:$D,'Live Collections'!F3339)))</f>
        <v>0</v>
      </c>
      <c r="T3339" s="304">
        <f t="shared" si="158"/>
        <v>0</v>
      </c>
      <c r="U3339" s="52"/>
      <c r="V3339" s="34"/>
      <c r="W3339" s="408"/>
    </row>
    <row r="3340" spans="1:23" ht="12.75" customHeight="1" x14ac:dyDescent="0.2">
      <c r="A3340" s="257">
        <v>3350</v>
      </c>
      <c r="B3340" s="44">
        <v>44627</v>
      </c>
      <c r="C3340" s="44">
        <f t="shared" si="159"/>
        <v>44627</v>
      </c>
      <c r="D3340" s="374">
        <v>73</v>
      </c>
      <c r="E3340" s="291" t="str">
        <f>IFERROR(VLOOKUP($D3340,'Clients-Live'!$A:$C,3,0),"")</f>
        <v>AJONYE DEBORA</v>
      </c>
      <c r="F3340" s="291">
        <f>IFERROR(INDEX(Disbursements!$D:$D,MATCH('Live Collections'!G3340,Disbursements!$C:$C,0)),"")</f>
        <v>3</v>
      </c>
      <c r="G3340" s="34">
        <v>426</v>
      </c>
      <c r="H3340" s="34">
        <v>5116</v>
      </c>
      <c r="I3340" s="34" t="s">
        <v>1357</v>
      </c>
      <c r="J3340" s="48"/>
      <c r="K3340" s="48"/>
      <c r="L3340" s="48"/>
      <c r="M3340" s="48"/>
      <c r="N3340" s="59"/>
      <c r="O3340" s="59">
        <v>53000</v>
      </c>
      <c r="P3340" s="59"/>
      <c r="Q3340" s="268">
        <f t="shared" si="157"/>
        <v>53000</v>
      </c>
      <c r="R3340" s="61">
        <f>IF(O3340=0,0,SUMIFS(Disbursements!$T:$T,Disbursements!$B:$B,'Live Collections'!D3340,Disbursements!$D:$D,'Live Collections'!F3340))</f>
        <v>53000</v>
      </c>
      <c r="S3340" s="304">
        <f>IF(O3340&lt;=IF($O3340=0,0,SUMIFS(Disbursements!$W:$W,Disbursements!$B:$B,'Live Collections'!D3340,Disbursements!$D:$D,'Live Collections'!F3340)),O3340,IF($O3340=0,0,SUMIFS(Disbursements!$W:$W,Disbursements!$B:$B,'Live Collections'!D3340,Disbursements!$D:$D,'Live Collections'!F3340)))</f>
        <v>13000</v>
      </c>
      <c r="T3340" s="304">
        <f t="shared" si="158"/>
        <v>40000</v>
      </c>
      <c r="U3340" s="52"/>
      <c r="V3340" s="34"/>
      <c r="W3340" s="408"/>
    </row>
    <row r="3341" spans="1:23" ht="12.75" customHeight="1" x14ac:dyDescent="0.2">
      <c r="A3341" s="257">
        <v>3351</v>
      </c>
      <c r="B3341" s="44">
        <v>44627</v>
      </c>
      <c r="C3341" s="44">
        <f t="shared" si="159"/>
        <v>44627</v>
      </c>
      <c r="D3341" s="374">
        <v>318</v>
      </c>
      <c r="E3341" s="291" t="str">
        <f>IFERROR(VLOOKUP($D3341,'Clients-Live'!$A:$C,3,0),"")</f>
        <v>ARUBE PETER</v>
      </c>
      <c r="F3341" s="291">
        <f>IFERROR(INDEX(Disbursements!$D:$D,MATCH('Live Collections'!G3341,Disbursements!$C:$C,0)),"")</f>
        <v>1</v>
      </c>
      <c r="G3341" s="34">
        <v>417</v>
      </c>
      <c r="H3341" s="34">
        <v>5118</v>
      </c>
      <c r="I3341" s="34" t="s">
        <v>1357</v>
      </c>
      <c r="J3341" s="48"/>
      <c r="K3341" s="48"/>
      <c r="L3341" s="48"/>
      <c r="M3341" s="48"/>
      <c r="N3341" s="59"/>
      <c r="O3341" s="59">
        <v>290000</v>
      </c>
      <c r="P3341" s="59"/>
      <c r="Q3341" s="268">
        <f t="shared" si="157"/>
        <v>290000</v>
      </c>
      <c r="R3341" s="61">
        <f>IF(O3341=0,0,SUMIFS(Disbursements!$T:$T,Disbursements!$B:$B,'Live Collections'!D3341,Disbursements!$D:$D,'Live Collections'!F3341))</f>
        <v>286000</v>
      </c>
      <c r="S3341" s="304">
        <f>IF(O3341&lt;=IF($O3341=0,0,SUMIFS(Disbursements!$W:$W,Disbursements!$B:$B,'Live Collections'!D3341,Disbursements!$D:$D,'Live Collections'!F3341)),O3341,IF($O3341=0,0,SUMIFS(Disbursements!$W:$W,Disbursements!$B:$B,'Live Collections'!D3341,Disbursements!$D:$D,'Live Collections'!F3341)))</f>
        <v>52666.666666666657</v>
      </c>
      <c r="T3341" s="304">
        <f t="shared" si="158"/>
        <v>237333.33333333334</v>
      </c>
      <c r="U3341" s="52"/>
      <c r="V3341" s="34"/>
      <c r="W3341" s="408"/>
    </row>
    <row r="3342" spans="1:23" ht="12.75" customHeight="1" x14ac:dyDescent="0.2">
      <c r="A3342" s="257">
        <v>3352</v>
      </c>
      <c r="B3342" s="44">
        <v>44627</v>
      </c>
      <c r="C3342" s="44">
        <f t="shared" si="159"/>
        <v>44627</v>
      </c>
      <c r="D3342" s="374">
        <v>287</v>
      </c>
      <c r="E3342" s="291" t="str">
        <f>IFERROR(VLOOKUP($D3342,'Clients-Live'!$A:$C,3,0),"")</f>
        <v>FAITH JOSEPHINE</v>
      </c>
      <c r="F3342" s="291">
        <f>IFERROR(INDEX(Disbursements!$D:$D,MATCH('Live Collections'!G3342,Disbursements!$C:$C,0)),"")</f>
        <v>1</v>
      </c>
      <c r="G3342" s="34">
        <v>350</v>
      </c>
      <c r="H3342" s="34">
        <v>5119</v>
      </c>
      <c r="I3342" s="34" t="s">
        <v>1359</v>
      </c>
      <c r="J3342" s="48"/>
      <c r="K3342" s="48"/>
      <c r="L3342" s="48"/>
      <c r="M3342" s="48"/>
      <c r="N3342" s="59"/>
      <c r="O3342" s="59">
        <v>130000</v>
      </c>
      <c r="P3342" s="59"/>
      <c r="Q3342" s="268">
        <f t="shared" si="157"/>
        <v>130000</v>
      </c>
      <c r="R3342" s="61">
        <f>IF(O3342=0,0,SUMIFS(Disbursements!$T:$T,Disbursements!$B:$B,'Live Collections'!D3342,Disbursements!$D:$D,'Live Collections'!F3342))</f>
        <v>150000</v>
      </c>
      <c r="S3342" s="304">
        <f>IF(O3342&lt;=IF($O3342=0,0,SUMIFS(Disbursements!$W:$W,Disbursements!$B:$B,'Live Collections'!D3342,Disbursements!$D:$D,'Live Collections'!F3342)),O3342,IF($O3342=0,0,SUMIFS(Disbursements!$W:$W,Disbursements!$B:$B,'Live Collections'!D3342,Disbursements!$D:$D,'Live Collections'!F3342)))</f>
        <v>30000</v>
      </c>
      <c r="T3342" s="304">
        <f t="shared" si="158"/>
        <v>100000</v>
      </c>
      <c r="U3342" s="52"/>
      <c r="V3342" s="34"/>
      <c r="W3342" s="408"/>
    </row>
    <row r="3343" spans="1:23" ht="12.75" customHeight="1" x14ac:dyDescent="0.2">
      <c r="A3343" s="257">
        <v>3353</v>
      </c>
      <c r="B3343" s="44">
        <v>44627</v>
      </c>
      <c r="C3343" s="44">
        <f t="shared" si="159"/>
        <v>44627</v>
      </c>
      <c r="D3343" s="374">
        <v>329</v>
      </c>
      <c r="E3343" s="291" t="str">
        <f>IFERROR(VLOOKUP($D3343,'Clients-Live'!$A:$C,3,0),"")</f>
        <v>NSUBUGA DAVID</v>
      </c>
      <c r="F3343" s="291" t="str">
        <f>IFERROR(INDEX(Disbursements!$D:$D,MATCH('Live Collections'!G3343,Disbursements!$C:$C,0)),"")</f>
        <v/>
      </c>
      <c r="G3343" s="34"/>
      <c r="H3343" s="34">
        <v>5117</v>
      </c>
      <c r="I3343" s="34" t="s">
        <v>1760</v>
      </c>
      <c r="J3343" s="48"/>
      <c r="K3343" s="48"/>
      <c r="L3343" s="48">
        <v>25000</v>
      </c>
      <c r="M3343" s="48">
        <v>5000</v>
      </c>
      <c r="N3343" s="59"/>
      <c r="O3343" s="59"/>
      <c r="P3343" s="59"/>
      <c r="Q3343" s="268">
        <f t="shared" si="157"/>
        <v>30000</v>
      </c>
      <c r="R3343" s="61">
        <f>IF(O3343=0,0,SUMIFS(Disbursements!$T:$T,Disbursements!$B:$B,'Live Collections'!D3343,Disbursements!$D:$D,'Live Collections'!F3343))</f>
        <v>0</v>
      </c>
      <c r="S3343" s="304">
        <f>IF(O3343&lt;=IF($O3343=0,0,SUMIFS(Disbursements!$W:$W,Disbursements!$B:$B,'Live Collections'!D3343,Disbursements!$D:$D,'Live Collections'!F3343)),O3343,IF($O3343=0,0,SUMIFS(Disbursements!$W:$W,Disbursements!$B:$B,'Live Collections'!D3343,Disbursements!$D:$D,'Live Collections'!F3343)))</f>
        <v>0</v>
      </c>
      <c r="T3343" s="304">
        <f t="shared" si="158"/>
        <v>0</v>
      </c>
      <c r="U3343" s="52"/>
      <c r="V3343" s="34"/>
      <c r="W3343" s="408"/>
    </row>
    <row r="3344" spans="1:23" ht="12.75" customHeight="1" x14ac:dyDescent="0.2">
      <c r="A3344" s="257">
        <v>3354</v>
      </c>
      <c r="B3344" s="44">
        <v>44627</v>
      </c>
      <c r="C3344" s="44">
        <f t="shared" si="159"/>
        <v>44627</v>
      </c>
      <c r="D3344" s="374">
        <v>329</v>
      </c>
      <c r="E3344" s="291" t="str">
        <f>IFERROR(VLOOKUP($D3344,'Clients-Live'!$A:$C,3,0),"")</f>
        <v>NSUBUGA DAVID</v>
      </c>
      <c r="F3344" s="291" t="str">
        <f>IFERROR(INDEX(Disbursements!$D:$D,MATCH('Live Collections'!G3344,Disbursements!$C:$C,0)),"")</f>
        <v/>
      </c>
      <c r="G3344" s="34"/>
      <c r="H3344" s="34">
        <v>5052</v>
      </c>
      <c r="I3344" s="34" t="s">
        <v>1760</v>
      </c>
      <c r="J3344" s="48">
        <v>15000</v>
      </c>
      <c r="K3344" s="48">
        <v>5000</v>
      </c>
      <c r="L3344" s="48"/>
      <c r="M3344" s="48"/>
      <c r="N3344" s="59"/>
      <c r="O3344" s="59"/>
      <c r="P3344" s="59"/>
      <c r="Q3344" s="268">
        <f t="shared" si="157"/>
        <v>20000</v>
      </c>
      <c r="R3344" s="61">
        <f>IF(O3344=0,0,SUMIFS(Disbursements!$T:$T,Disbursements!$B:$B,'Live Collections'!D3344,Disbursements!$D:$D,'Live Collections'!F3344))</f>
        <v>0</v>
      </c>
      <c r="S3344" s="304">
        <f>IF(O3344&lt;=IF($O3344=0,0,SUMIFS(Disbursements!$W:$W,Disbursements!$B:$B,'Live Collections'!D3344,Disbursements!$D:$D,'Live Collections'!F3344)),O3344,IF($O3344=0,0,SUMIFS(Disbursements!$W:$W,Disbursements!$B:$B,'Live Collections'!D3344,Disbursements!$D:$D,'Live Collections'!F3344)))</f>
        <v>0</v>
      </c>
      <c r="T3344" s="304">
        <f t="shared" si="158"/>
        <v>0</v>
      </c>
      <c r="U3344" s="52"/>
      <c r="V3344" s="34"/>
      <c r="W3344" s="408"/>
    </row>
    <row r="3345" spans="1:23" ht="12.75" customHeight="1" x14ac:dyDescent="0.2">
      <c r="A3345" s="257">
        <v>3355</v>
      </c>
      <c r="B3345" s="44">
        <v>44627</v>
      </c>
      <c r="C3345" s="44">
        <f t="shared" si="159"/>
        <v>44627</v>
      </c>
      <c r="D3345" s="374">
        <v>309</v>
      </c>
      <c r="E3345" s="291" t="str">
        <f>IFERROR(VLOOKUP($D3345,'Clients-Live'!$A:$C,3,0),"")</f>
        <v>NAMBOZO HALIMA</v>
      </c>
      <c r="F3345" s="291">
        <f>IFERROR(INDEX(Disbursements!$D:$D,MATCH('Live Collections'!G3345,Disbursements!$C:$C,0)),"")</f>
        <v>1</v>
      </c>
      <c r="G3345" s="34">
        <v>391</v>
      </c>
      <c r="H3345" s="34">
        <v>5111</v>
      </c>
      <c r="I3345" s="34" t="s">
        <v>1357</v>
      </c>
      <c r="J3345" s="48"/>
      <c r="K3345" s="48"/>
      <c r="L3345" s="48"/>
      <c r="M3345" s="48"/>
      <c r="N3345" s="59"/>
      <c r="O3345" s="59">
        <v>70000</v>
      </c>
      <c r="P3345" s="59"/>
      <c r="Q3345" s="268">
        <f t="shared" si="157"/>
        <v>70000</v>
      </c>
      <c r="R3345" s="61">
        <f>IF(O3345=0,0,SUMIFS(Disbursements!$T:$T,Disbursements!$B:$B,'Live Collections'!D3345,Disbursements!$D:$D,'Live Collections'!F3345))</f>
        <v>79000</v>
      </c>
      <c r="S3345" s="304">
        <f>IF(O3345&lt;=IF($O3345=0,0,SUMIFS(Disbursements!$W:$W,Disbursements!$B:$B,'Live Collections'!D3345,Disbursements!$D:$D,'Live Collections'!F3345)),O3345,IF($O3345=0,0,SUMIFS(Disbursements!$W:$W,Disbursements!$B:$B,'Live Collections'!D3345,Disbursements!$D:$D,'Live Collections'!F3345)))</f>
        <v>16500</v>
      </c>
      <c r="T3345" s="304">
        <f t="shared" si="158"/>
        <v>53500</v>
      </c>
      <c r="U3345" s="52"/>
      <c r="V3345" s="34"/>
      <c r="W3345" s="408"/>
    </row>
    <row r="3346" spans="1:23" ht="12.75" customHeight="1" x14ac:dyDescent="0.2">
      <c r="A3346" s="257">
        <v>3356</v>
      </c>
      <c r="B3346" s="44">
        <v>44627</v>
      </c>
      <c r="C3346" s="44">
        <f t="shared" si="159"/>
        <v>44627</v>
      </c>
      <c r="D3346" s="374">
        <v>97</v>
      </c>
      <c r="E3346" s="291" t="str">
        <f>IFERROR(VLOOKUP($D3346,'Clients-Live'!$A:$C,3,0),"")</f>
        <v>DRANDUA JOB CHRISPUS</v>
      </c>
      <c r="F3346" s="291" t="str">
        <f>IFERROR(INDEX(Disbursements!$D:$D,MATCH('Live Collections'!G3346,Disbursements!$C:$C,0)),"")</f>
        <v/>
      </c>
      <c r="G3346" s="34"/>
      <c r="H3346" s="34">
        <v>5109</v>
      </c>
      <c r="I3346" s="34" t="s">
        <v>1760</v>
      </c>
      <c r="J3346" s="48"/>
      <c r="K3346" s="48"/>
      <c r="L3346" s="48">
        <v>30000</v>
      </c>
      <c r="M3346" s="48">
        <v>5000</v>
      </c>
      <c r="N3346" s="59"/>
      <c r="O3346" s="59"/>
      <c r="P3346" s="59"/>
      <c r="Q3346" s="268">
        <f t="shared" si="157"/>
        <v>35000</v>
      </c>
      <c r="R3346" s="61">
        <f>IF(O3346=0,0,SUMIFS(Disbursements!$T:$T,Disbursements!$B:$B,'Live Collections'!D3346,Disbursements!$D:$D,'Live Collections'!F3346))</f>
        <v>0</v>
      </c>
      <c r="S3346" s="304">
        <f>IF(O3346&lt;=IF($O3346=0,0,SUMIFS(Disbursements!$W:$W,Disbursements!$B:$B,'Live Collections'!D3346,Disbursements!$D:$D,'Live Collections'!F3346)),O3346,IF($O3346=0,0,SUMIFS(Disbursements!$W:$W,Disbursements!$B:$B,'Live Collections'!D3346,Disbursements!$D:$D,'Live Collections'!F3346)))</f>
        <v>0</v>
      </c>
      <c r="T3346" s="304">
        <f t="shared" si="158"/>
        <v>0</v>
      </c>
      <c r="U3346" s="52"/>
      <c r="V3346" s="34"/>
      <c r="W3346" s="408"/>
    </row>
    <row r="3347" spans="1:23" ht="12.75" customHeight="1" x14ac:dyDescent="0.2">
      <c r="A3347" s="257">
        <v>3357</v>
      </c>
      <c r="B3347" s="44">
        <v>44627</v>
      </c>
      <c r="C3347" s="44">
        <f t="shared" si="159"/>
        <v>44627</v>
      </c>
      <c r="D3347" s="374">
        <v>154</v>
      </c>
      <c r="E3347" s="291" t="str">
        <f>IFERROR(VLOOKUP($D3347,'Clients-Live'!$A:$C,3,0),"")</f>
        <v>ERIMU SAMSON</v>
      </c>
      <c r="F3347" s="291">
        <f>IFERROR(INDEX(Disbursements!$D:$D,MATCH('Live Collections'!G3347,Disbursements!$C:$C,0)),"")</f>
        <v>1</v>
      </c>
      <c r="G3347" s="34">
        <v>140</v>
      </c>
      <c r="H3347" s="34">
        <v>5043</v>
      </c>
      <c r="I3347" s="34" t="s">
        <v>1358</v>
      </c>
      <c r="J3347" s="48"/>
      <c r="K3347" s="48"/>
      <c r="L3347" s="48"/>
      <c r="M3347" s="48"/>
      <c r="N3347" s="59"/>
      <c r="O3347" s="59">
        <v>40000</v>
      </c>
      <c r="P3347" s="59"/>
      <c r="Q3347" s="268">
        <f t="shared" si="157"/>
        <v>40000</v>
      </c>
      <c r="R3347" s="61">
        <f>IF(O3347=0,0,SUMIFS(Disbursements!$T:$T,Disbursements!$B:$B,'Live Collections'!D3347,Disbursements!$D:$D,'Live Collections'!F3347))</f>
        <v>390000</v>
      </c>
      <c r="S3347" s="304">
        <f>IF(O3347&lt;=IF($O3347=0,0,SUMIFS(Disbursements!$W:$W,Disbursements!$B:$B,'Live Collections'!D3347,Disbursements!$D:$D,'Live Collections'!F3347)),O3347,IF($O3347=0,0,SUMIFS(Disbursements!$W:$W,Disbursements!$B:$B,'Live Collections'!D3347,Disbursements!$D:$D,'Live Collections'!F3347)))</f>
        <v>40000</v>
      </c>
      <c r="T3347" s="304">
        <f t="shared" si="158"/>
        <v>0</v>
      </c>
      <c r="U3347" s="52"/>
      <c r="V3347" s="34"/>
      <c r="W3347" s="408"/>
    </row>
    <row r="3348" spans="1:23" ht="12.75" customHeight="1" x14ac:dyDescent="0.2">
      <c r="A3348" s="257">
        <v>3358</v>
      </c>
      <c r="B3348" s="44">
        <v>44627</v>
      </c>
      <c r="C3348" s="44">
        <f t="shared" si="159"/>
        <v>44627</v>
      </c>
      <c r="D3348" s="374">
        <v>311</v>
      </c>
      <c r="E3348" s="291" t="str">
        <f>IFERROR(VLOOKUP($D3348,'Clients-Live'!$A:$C,3,0),"")</f>
        <v>PATRICK OKUONZI</v>
      </c>
      <c r="F3348" s="291">
        <f>IFERROR(INDEX(Disbursements!$D:$D,MATCH('Live Collections'!G3348,Disbursements!$C:$C,0)),"")</f>
        <v>2</v>
      </c>
      <c r="G3348" s="34">
        <v>420</v>
      </c>
      <c r="H3348" s="34">
        <v>5108</v>
      </c>
      <c r="I3348" s="34" t="s">
        <v>1358</v>
      </c>
      <c r="J3348" s="48"/>
      <c r="K3348" s="48"/>
      <c r="L3348" s="48"/>
      <c r="M3348" s="48"/>
      <c r="N3348" s="59"/>
      <c r="O3348" s="59">
        <v>487500</v>
      </c>
      <c r="P3348" s="59"/>
      <c r="Q3348" s="268">
        <f t="shared" si="157"/>
        <v>487500</v>
      </c>
      <c r="R3348" s="61">
        <f>IF(O3348=0,0,SUMIFS(Disbursements!$T:$T,Disbursements!$B:$B,'Live Collections'!D3348,Disbursements!$D:$D,'Live Collections'!F3348))</f>
        <v>538000</v>
      </c>
      <c r="S3348" s="304">
        <f>IF(O3348&lt;=IF($O3348=0,0,SUMIFS(Disbursements!$W:$W,Disbursements!$B:$B,'Live Collections'!D3348,Disbursements!$D:$D,'Live Collections'!F3348)),O3348,IF($O3348=0,0,SUMIFS(Disbursements!$W:$W,Disbursements!$B:$B,'Live Collections'!D3348,Disbursements!$D:$D,'Live Collections'!F3348)))</f>
        <v>38000</v>
      </c>
      <c r="T3348" s="304">
        <f t="shared" si="158"/>
        <v>449500</v>
      </c>
      <c r="U3348" s="52"/>
      <c r="V3348" s="34"/>
      <c r="W3348" s="408"/>
    </row>
    <row r="3349" spans="1:23" ht="12.75" customHeight="1" x14ac:dyDescent="0.2">
      <c r="A3349" s="257">
        <v>3359</v>
      </c>
      <c r="B3349" s="44">
        <v>44627</v>
      </c>
      <c r="C3349" s="44">
        <f t="shared" si="159"/>
        <v>44627</v>
      </c>
      <c r="D3349" s="374">
        <v>148</v>
      </c>
      <c r="E3349" s="291" t="str">
        <f>IFERROR(VLOOKUP($D3349,'Clients-Live'!$A:$C,3,0),"")</f>
        <v>GBOKA ZAIDA</v>
      </c>
      <c r="F3349" s="291">
        <f>IFERROR(INDEX(Disbursements!$D:$D,MATCH('Live Collections'!G3349,Disbursements!$C:$C,0)),"")</f>
        <v>2</v>
      </c>
      <c r="G3349" s="34">
        <v>304</v>
      </c>
      <c r="H3349" s="34">
        <v>5110</v>
      </c>
      <c r="I3349" s="34" t="s">
        <v>1359</v>
      </c>
      <c r="J3349" s="48"/>
      <c r="K3349" s="48"/>
      <c r="L3349" s="48"/>
      <c r="M3349" s="48"/>
      <c r="N3349" s="59"/>
      <c r="O3349" s="59">
        <v>50000</v>
      </c>
      <c r="P3349" s="59"/>
      <c r="Q3349" s="268">
        <f t="shared" si="157"/>
        <v>50000</v>
      </c>
      <c r="R3349" s="61">
        <f>IF(O3349=0,0,SUMIFS(Disbursements!$T:$T,Disbursements!$B:$B,'Live Collections'!D3349,Disbursements!$D:$D,'Live Collections'!F3349))</f>
        <v>125000</v>
      </c>
      <c r="S3349" s="304"/>
      <c r="T3349" s="304">
        <f t="shared" si="158"/>
        <v>50000</v>
      </c>
      <c r="U3349" s="52"/>
      <c r="V3349" s="34"/>
      <c r="W3349" s="408"/>
    </row>
    <row r="3350" spans="1:23" ht="12.75" customHeight="1" x14ac:dyDescent="0.2">
      <c r="A3350" s="257">
        <v>3360</v>
      </c>
      <c r="B3350" s="44">
        <v>44627</v>
      </c>
      <c r="C3350" s="44">
        <f t="shared" si="159"/>
        <v>44627</v>
      </c>
      <c r="D3350" s="374">
        <v>156</v>
      </c>
      <c r="E3350" s="291" t="str">
        <f>IFERROR(VLOOKUP($D3350,'Clients-Live'!$A:$C,3,0),"")</f>
        <v xml:space="preserve">ONIBA AISHA </v>
      </c>
      <c r="F3350" s="291">
        <f>IFERROR(INDEX(Disbursements!$D:$D,MATCH('Live Collections'!G3350,Disbursements!$C:$C,0)),"")</f>
        <v>4</v>
      </c>
      <c r="G3350" s="34">
        <v>348</v>
      </c>
      <c r="H3350" s="34">
        <v>5044</v>
      </c>
      <c r="I3350" s="34" t="s">
        <v>1358</v>
      </c>
      <c r="J3350" s="48"/>
      <c r="K3350" s="48"/>
      <c r="L3350" s="48"/>
      <c r="M3350" s="48"/>
      <c r="N3350" s="59"/>
      <c r="O3350" s="59">
        <v>1300000</v>
      </c>
      <c r="P3350" s="59"/>
      <c r="Q3350" s="268">
        <f t="shared" si="157"/>
        <v>1300000</v>
      </c>
      <c r="R3350" s="61">
        <f>IF(O3350=0,0,SUMIFS(Disbursements!$T:$T,Disbursements!$B:$B,'Live Collections'!D3350,Disbursements!$D:$D,'Live Collections'!F3350))</f>
        <v>1925000</v>
      </c>
      <c r="S3350" s="304">
        <f>IF(O3350&lt;=IF($O3350=0,0,SUMIFS(Disbursements!$W:$W,Disbursements!$B:$B,'Live Collections'!D3350,Disbursements!$D:$D,'Live Collections'!F3350)),O3350,IF($O3350=0,0,SUMIFS(Disbursements!$W:$W,Disbursements!$B:$B,'Live Collections'!D3350,Disbursements!$D:$D,'Live Collections'!F3350)))</f>
        <v>175000</v>
      </c>
      <c r="T3350" s="304">
        <f t="shared" si="158"/>
        <v>1125000</v>
      </c>
      <c r="U3350" s="52"/>
      <c r="V3350" s="34"/>
      <c r="W3350" s="408"/>
    </row>
    <row r="3351" spans="1:23" ht="12.75" customHeight="1" x14ac:dyDescent="0.2">
      <c r="A3351" s="257">
        <v>3361</v>
      </c>
      <c r="B3351" s="44">
        <v>44627</v>
      </c>
      <c r="C3351" s="44">
        <f t="shared" si="159"/>
        <v>44627</v>
      </c>
      <c r="D3351" s="374">
        <v>143</v>
      </c>
      <c r="E3351" s="291" t="str">
        <f>IFERROR(VLOOKUP($D3351,'Clients-Live'!$A:$C,3,0),"")</f>
        <v>MORO HAKIM</v>
      </c>
      <c r="F3351" s="291">
        <f>IFERROR(INDEX(Disbursements!$D:$D,MATCH('Live Collections'!G3351,Disbursements!$C:$C,0)),"")</f>
        <v>2</v>
      </c>
      <c r="G3351" s="34">
        <v>318</v>
      </c>
      <c r="H3351" s="34">
        <v>5047</v>
      </c>
      <c r="I3351" s="34" t="s">
        <v>1357</v>
      </c>
      <c r="J3351" s="48"/>
      <c r="K3351" s="48"/>
      <c r="L3351" s="48"/>
      <c r="M3351" s="48"/>
      <c r="N3351" s="59"/>
      <c r="O3351" s="59">
        <v>800000</v>
      </c>
      <c r="P3351" s="59"/>
      <c r="Q3351" s="268">
        <f t="shared" si="157"/>
        <v>800000</v>
      </c>
      <c r="R3351" s="61">
        <f>IF(O3351=0,0,SUMIFS(Disbursements!$T:$T,Disbursements!$B:$B,'Live Collections'!D3351,Disbursements!$D:$D,'Live Collections'!F3351))</f>
        <v>1200000</v>
      </c>
      <c r="S3351" s="64">
        <v>534333.33333333326</v>
      </c>
      <c r="T3351" s="304">
        <f t="shared" si="158"/>
        <v>265666.66666666674</v>
      </c>
      <c r="U3351" s="52"/>
      <c r="V3351" s="34"/>
      <c r="W3351" s="408" t="s">
        <v>2086</v>
      </c>
    </row>
    <row r="3352" spans="1:23" ht="12.75" customHeight="1" x14ac:dyDescent="0.2">
      <c r="A3352" s="257">
        <v>3362</v>
      </c>
      <c r="B3352" s="44">
        <v>44627</v>
      </c>
      <c r="C3352" s="44">
        <f t="shared" si="159"/>
        <v>44627</v>
      </c>
      <c r="D3352" s="374">
        <v>143</v>
      </c>
      <c r="E3352" s="291" t="str">
        <f>IFERROR(VLOOKUP($D3352,'Clients-Live'!$A:$C,3,0),"")</f>
        <v>MORO HAKIM</v>
      </c>
      <c r="F3352" s="291">
        <f>IFERROR(INDEX(Disbursements!$D:$D,MATCH('Live Collections'!G3352,Disbursements!$C:$C,0)),"")</f>
        <v>2</v>
      </c>
      <c r="G3352" s="34">
        <v>318</v>
      </c>
      <c r="H3352" s="34" t="s">
        <v>2183</v>
      </c>
      <c r="I3352" s="34" t="s">
        <v>1357</v>
      </c>
      <c r="J3352" s="48"/>
      <c r="K3352" s="48"/>
      <c r="L3352" s="48"/>
      <c r="M3352" s="48"/>
      <c r="N3352" s="59"/>
      <c r="O3352" s="59">
        <v>400000</v>
      </c>
      <c r="P3352" s="59">
        <v>-400000</v>
      </c>
      <c r="Q3352" s="268">
        <f t="shared" si="157"/>
        <v>0</v>
      </c>
      <c r="R3352" s="61">
        <f>IF(O3352=0,0,SUMIFS(Disbursements!$T:$T,Disbursements!$B:$B,'Live Collections'!D3352,Disbursements!$D:$D,'Live Collections'!F3352))</f>
        <v>1200000</v>
      </c>
      <c r="S3352" s="304"/>
      <c r="T3352" s="304">
        <f t="shared" si="158"/>
        <v>400000</v>
      </c>
      <c r="U3352" s="52"/>
      <c r="V3352" s="34"/>
      <c r="W3352" s="408" t="s">
        <v>2184</v>
      </c>
    </row>
    <row r="3353" spans="1:23" ht="12.75" customHeight="1" x14ac:dyDescent="0.2">
      <c r="A3353" s="257">
        <v>3363</v>
      </c>
      <c r="B3353" s="44">
        <v>44629</v>
      </c>
      <c r="C3353" s="44">
        <f t="shared" si="159"/>
        <v>44629</v>
      </c>
      <c r="D3353" s="374">
        <v>22</v>
      </c>
      <c r="E3353" s="291" t="str">
        <f>IFERROR(VLOOKUP($D3353,'Clients-Live'!$A:$C,3,0),"")</f>
        <v>DATA ISMAIL FATARI</v>
      </c>
      <c r="F3353" s="291">
        <f>IFERROR(INDEX(Disbursements!$D:$D,MATCH('Live Collections'!G3353,Disbursements!$C:$C,0)),"")</f>
        <v>2</v>
      </c>
      <c r="G3353" s="34">
        <v>381</v>
      </c>
      <c r="H3353" s="34">
        <v>5088</v>
      </c>
      <c r="I3353" s="34" t="s">
        <v>1359</v>
      </c>
      <c r="J3353" s="48"/>
      <c r="K3353" s="48"/>
      <c r="L3353" s="48"/>
      <c r="M3353" s="48"/>
      <c r="N3353" s="59"/>
      <c r="O3353" s="59">
        <v>10000</v>
      </c>
      <c r="P3353" s="59"/>
      <c r="Q3353" s="268">
        <f t="shared" si="157"/>
        <v>10000</v>
      </c>
      <c r="R3353" s="61">
        <f>IF(O3353=0,0,SUMIFS(Disbursements!$T:$T,Disbursements!$B:$B,'Live Collections'!D3353,Disbursements!$D:$D,'Live Collections'!F3353))</f>
        <v>210000</v>
      </c>
      <c r="S3353" s="304"/>
      <c r="T3353" s="304">
        <f t="shared" si="158"/>
        <v>10000</v>
      </c>
      <c r="U3353" s="52"/>
      <c r="V3353" s="34"/>
    </row>
    <row r="3354" spans="1:23" ht="12.75" customHeight="1" x14ac:dyDescent="0.2">
      <c r="A3354" s="257">
        <v>3364</v>
      </c>
      <c r="B3354" s="44">
        <v>44629</v>
      </c>
      <c r="C3354" s="44">
        <f t="shared" si="159"/>
        <v>44629</v>
      </c>
      <c r="D3354" s="374">
        <v>77</v>
      </c>
      <c r="E3354" s="291" t="str">
        <f>IFERROR(VLOOKUP($D3354,'Clients-Live'!$A:$C,3,0),"")</f>
        <v>CACA FATUMA</v>
      </c>
      <c r="F3354" s="291">
        <f>IFERROR(INDEX(Disbursements!$D:$D,MATCH('Live Collections'!G3354,Disbursements!$C:$C,0)),"")</f>
        <v>2</v>
      </c>
      <c r="G3354" s="34">
        <v>315</v>
      </c>
      <c r="H3354" s="34">
        <v>5049</v>
      </c>
      <c r="I3354" s="34" t="s">
        <v>1357</v>
      </c>
      <c r="J3354" s="48"/>
      <c r="K3354" s="48"/>
      <c r="L3354" s="48"/>
      <c r="M3354" s="48"/>
      <c r="N3354" s="59"/>
      <c r="O3354" s="59">
        <v>100000</v>
      </c>
      <c r="P3354" s="59"/>
      <c r="Q3354" s="268">
        <f t="shared" si="157"/>
        <v>100000</v>
      </c>
      <c r="R3354" s="61">
        <f>IF(O3354=0,0,SUMIFS(Disbursements!$T:$T,Disbursements!$B:$B,'Live Collections'!D3354,Disbursements!$D:$D,'Live Collections'!F3354))</f>
        <v>325000</v>
      </c>
      <c r="S3354" s="304"/>
      <c r="T3354" s="304">
        <f t="shared" si="158"/>
        <v>100000</v>
      </c>
      <c r="U3354" s="52"/>
      <c r="V3354" s="34"/>
    </row>
    <row r="3355" spans="1:23" ht="12.75" customHeight="1" x14ac:dyDescent="0.2">
      <c r="A3355" s="257">
        <v>3365</v>
      </c>
      <c r="B3355" s="44">
        <v>44629</v>
      </c>
      <c r="C3355" s="44">
        <f t="shared" si="159"/>
        <v>44629</v>
      </c>
      <c r="D3355" s="374">
        <v>42</v>
      </c>
      <c r="E3355" s="291" t="str">
        <f>IFERROR(VLOOKUP($D3355,'Clients-Live'!$A:$C,3,0),"")</f>
        <v>ABAU   NOLA</v>
      </c>
      <c r="F3355" s="291">
        <f>IFERROR(INDEX(Disbursements!$D:$D,MATCH('Live Collections'!G3355,Disbursements!$C:$C,0)),"")</f>
        <v>3</v>
      </c>
      <c r="G3355" s="34">
        <v>405</v>
      </c>
      <c r="H3355" s="34">
        <v>5087</v>
      </c>
      <c r="I3355" s="34" t="s">
        <v>1357</v>
      </c>
      <c r="J3355" s="48"/>
      <c r="K3355" s="48"/>
      <c r="L3355" s="48"/>
      <c r="M3355" s="48"/>
      <c r="N3355" s="59"/>
      <c r="O3355" s="59">
        <v>40000</v>
      </c>
      <c r="P3355" s="59"/>
      <c r="Q3355" s="268">
        <f t="shared" si="157"/>
        <v>40000</v>
      </c>
      <c r="R3355" s="61">
        <f>IF(O3355=0,0,SUMIFS(Disbursements!$T:$T,Disbursements!$B:$B,'Live Collections'!D3355,Disbursements!$D:$D,'Live Collections'!F3355))</f>
        <v>20000</v>
      </c>
      <c r="S3355" s="304">
        <f>IF(O3355&lt;=IF($O3355=0,0,SUMIFS(Disbursements!$W:$W,Disbursements!$B:$B,'Live Collections'!D3355,Disbursements!$D:$D,'Live Collections'!F3355)),O3355,IF($O3355=0,0,SUMIFS(Disbursements!$W:$W,Disbursements!$B:$B,'Live Collections'!D3355,Disbursements!$D:$D,'Live Collections'!F3355)))</f>
        <v>4375</v>
      </c>
      <c r="T3355" s="304">
        <f t="shared" si="158"/>
        <v>35625</v>
      </c>
      <c r="U3355" s="52"/>
      <c r="V3355" s="34"/>
      <c r="W3355" s="408"/>
    </row>
    <row r="3356" spans="1:23" ht="12.75" customHeight="1" x14ac:dyDescent="0.2">
      <c r="A3356" s="257">
        <v>3366</v>
      </c>
      <c r="B3356" s="44">
        <v>44629</v>
      </c>
      <c r="C3356" s="44">
        <f t="shared" si="159"/>
        <v>44629</v>
      </c>
      <c r="D3356" s="374">
        <v>9</v>
      </c>
      <c r="E3356" s="291" t="str">
        <f>IFERROR(VLOOKUP($D3356,'Clients-Live'!$A:$C,3,0),"")</f>
        <v>TABAN DAVID YAYA</v>
      </c>
      <c r="F3356" s="291">
        <f>IFERROR(INDEX(Disbursements!$D:$D,MATCH('Live Collections'!G3356,Disbursements!$C:$C,0)),"")</f>
        <v>3</v>
      </c>
      <c r="G3356" s="34">
        <v>423</v>
      </c>
      <c r="H3356" s="34">
        <v>5086</v>
      </c>
      <c r="I3356" s="34" t="s">
        <v>1357</v>
      </c>
      <c r="J3356" s="48"/>
      <c r="K3356" s="48"/>
      <c r="L3356" s="48"/>
      <c r="M3356" s="48"/>
      <c r="N3356" s="59"/>
      <c r="O3356" s="59">
        <v>39000</v>
      </c>
      <c r="P3356" s="59"/>
      <c r="Q3356" s="268">
        <f t="shared" si="157"/>
        <v>39000</v>
      </c>
      <c r="R3356" s="61">
        <f>IF(O3356=0,0,SUMIFS(Disbursements!$T:$T,Disbursements!$B:$B,'Live Collections'!D3356,Disbursements!$D:$D,'Live Collections'!F3356))</f>
        <v>189000</v>
      </c>
      <c r="S3356" s="304">
        <f>IF(O3356&lt;=IF($O3356=0,0,SUMIFS(Disbursements!$W:$W,Disbursements!$B:$B,'Live Collections'!D551,Disbursements!$D:$D,'Live Collections'!F551)),O3356,IF($O3356=0,0,SUMIFS(Disbursements!$W:$W,Disbursements!$B:$B,'Live Collections'!D551,Disbursements!$D:$D,'Live Collections'!F551)))</f>
        <v>39000</v>
      </c>
      <c r="T3356" s="304">
        <f t="shared" si="158"/>
        <v>0</v>
      </c>
      <c r="U3356" s="52"/>
      <c r="V3356" s="34"/>
      <c r="W3356" s="408"/>
    </row>
    <row r="3357" spans="1:23" ht="12.75" customHeight="1" x14ac:dyDescent="0.2">
      <c r="A3357" s="257">
        <v>3367</v>
      </c>
      <c r="B3357" s="44">
        <v>44629</v>
      </c>
      <c r="C3357" s="44">
        <f t="shared" si="159"/>
        <v>44629</v>
      </c>
      <c r="D3357" s="374">
        <v>103</v>
      </c>
      <c r="E3357" s="291" t="str">
        <f>IFERROR(VLOOKUP($D3357,'Clients-Live'!$A:$C,3,0),"")</f>
        <v>CHANDIRU ZABIB</v>
      </c>
      <c r="F3357" s="291" t="str">
        <f>IFERROR(INDEX(Disbursements!$D:$D,MATCH('Live Collections'!G3357,Disbursements!$C:$C,0)),"")</f>
        <v/>
      </c>
      <c r="G3357" s="34"/>
      <c r="H3357" s="34">
        <v>5085</v>
      </c>
      <c r="I3357" s="34" t="s">
        <v>1760</v>
      </c>
      <c r="J3357" s="48"/>
      <c r="K3357" s="48"/>
      <c r="L3357" s="48">
        <v>15000</v>
      </c>
      <c r="M3357" s="48">
        <v>5000</v>
      </c>
      <c r="N3357" s="59"/>
      <c r="O3357" s="59"/>
      <c r="P3357" s="59"/>
      <c r="Q3357" s="268">
        <f t="shared" si="157"/>
        <v>20000</v>
      </c>
      <c r="R3357" s="61">
        <f>IF(O3357=0,0,SUMIFS(Disbursements!$T:$T,Disbursements!$B:$B,'Live Collections'!D3357,Disbursements!$D:$D,'Live Collections'!F3357))</f>
        <v>0</v>
      </c>
      <c r="S3357" s="304">
        <f>IF(O3357&lt;=IF($O3357=0,0,SUMIFS(Disbursements!$W:$W,Disbursements!$B:$B,'Live Collections'!D3357,Disbursements!$D:$D,'Live Collections'!F3357)),O3357,IF($O3357=0,0,SUMIFS(Disbursements!$W:$W,Disbursements!$B:$B,'Live Collections'!D3357,Disbursements!$D:$D,'Live Collections'!F3357)))</f>
        <v>0</v>
      </c>
      <c r="T3357" s="304">
        <f t="shared" si="158"/>
        <v>0</v>
      </c>
      <c r="U3357" s="52"/>
      <c r="V3357" s="34"/>
      <c r="W3357" s="408"/>
    </row>
    <row r="3358" spans="1:23" ht="12.75" customHeight="1" x14ac:dyDescent="0.2">
      <c r="A3358" s="257">
        <v>3368</v>
      </c>
      <c r="B3358" s="44">
        <v>44629</v>
      </c>
      <c r="C3358" s="44">
        <f t="shared" si="159"/>
        <v>44629</v>
      </c>
      <c r="D3358" s="374">
        <v>238</v>
      </c>
      <c r="E3358" s="291" t="str">
        <f>IFERROR(VLOOKUP($D3358,'Clients-Live'!$A:$C,3,0),"")</f>
        <v>ANGAIKA SAID</v>
      </c>
      <c r="F3358" s="291">
        <f>IFERROR(INDEX(Disbursements!$D:$D,MATCH('Live Collections'!G3358,Disbursements!$C:$C,0)),"")</f>
        <v>2</v>
      </c>
      <c r="G3358" s="34">
        <v>441</v>
      </c>
      <c r="H3358" s="34">
        <v>5083</v>
      </c>
      <c r="I3358" s="34" t="s">
        <v>1359</v>
      </c>
      <c r="J3358" s="48"/>
      <c r="K3358" s="48"/>
      <c r="L3358" s="48"/>
      <c r="M3358" s="48"/>
      <c r="N3358" s="59"/>
      <c r="O3358" s="59">
        <v>40600</v>
      </c>
      <c r="P3358" s="59"/>
      <c r="Q3358" s="268">
        <f t="shared" si="157"/>
        <v>40600</v>
      </c>
      <c r="R3358" s="61">
        <f>IF(O3358=0,0,SUMIFS(Disbursements!$T:$T,Disbursements!$B:$B,'Live Collections'!D3358,Disbursements!$D:$D,'Live Collections'!F3358))</f>
        <v>41000</v>
      </c>
      <c r="S3358" s="304">
        <f>IF(O3358&lt;=IF($O3358=0,0,SUMIFS(Disbursements!$W:$W,Disbursements!$B:$B,'Live Collections'!D3358,Disbursements!$D:$D,'Live Collections'!F3358)),O3358,IF($O3358=0,0,SUMIFS(Disbursements!$W:$W,Disbursements!$B:$B,'Live Collections'!D3358,Disbursements!$D:$D,'Live Collections'!F3358)))</f>
        <v>11833.333333333332</v>
      </c>
      <c r="T3358" s="304">
        <f t="shared" si="158"/>
        <v>28766.666666666668</v>
      </c>
      <c r="U3358" s="52"/>
      <c r="V3358" s="34"/>
      <c r="W3358" s="408"/>
    </row>
    <row r="3359" spans="1:23" ht="12.75" customHeight="1" x14ac:dyDescent="0.2">
      <c r="A3359" s="257">
        <v>3369</v>
      </c>
      <c r="B3359" s="44">
        <v>44629</v>
      </c>
      <c r="C3359" s="44">
        <f t="shared" si="159"/>
        <v>44629</v>
      </c>
      <c r="D3359" s="374">
        <v>218</v>
      </c>
      <c r="E3359" s="291" t="str">
        <f>IFERROR(VLOOKUP($D3359,'Clients-Live'!$A:$C,3,0),"")</f>
        <v>BUSURA OMAR</v>
      </c>
      <c r="F3359" s="291">
        <f>IFERROR(INDEX(Disbursements!$D:$D,MATCH('Live Collections'!G3359,Disbursements!$C:$C,0)),"")</f>
        <v>2</v>
      </c>
      <c r="G3359" s="34">
        <v>456</v>
      </c>
      <c r="H3359" s="34">
        <v>5082</v>
      </c>
      <c r="I3359" s="34" t="s">
        <v>1357</v>
      </c>
      <c r="J3359" s="48"/>
      <c r="K3359" s="48"/>
      <c r="L3359" s="48"/>
      <c r="M3359" s="48"/>
      <c r="N3359" s="59"/>
      <c r="O3359" s="59"/>
      <c r="P3359" s="59">
        <v>60000</v>
      </c>
      <c r="Q3359" s="268">
        <f t="shared" si="157"/>
        <v>60000</v>
      </c>
      <c r="R3359" s="61">
        <f>IF(O3359=0,0,SUMIFS(Disbursements!$T:$T,Disbursements!$B:$B,'Live Collections'!D3359,Disbursements!$D:$D,'Live Collections'!F3359))</f>
        <v>0</v>
      </c>
      <c r="S3359" s="304">
        <f>IF(O3359&lt;=IF($O3359=0,0,SUMIFS(Disbursements!$W:$W,Disbursements!$B:$B,'Live Collections'!D3359,Disbursements!$D:$D,'Live Collections'!F3359)),O3359,IF($O3359=0,0,SUMIFS(Disbursements!$W:$W,Disbursements!$B:$B,'Live Collections'!D3359,Disbursements!$D:$D,'Live Collections'!F3359)))</f>
        <v>0</v>
      </c>
      <c r="T3359" s="304">
        <f t="shared" si="158"/>
        <v>0</v>
      </c>
      <c r="U3359" s="52"/>
      <c r="V3359" s="34"/>
      <c r="W3359" s="408"/>
    </row>
    <row r="3360" spans="1:23" ht="12.75" customHeight="1" x14ac:dyDescent="0.2">
      <c r="A3360" s="257">
        <v>3370</v>
      </c>
      <c r="B3360" s="44">
        <v>44629</v>
      </c>
      <c r="C3360" s="44">
        <f t="shared" si="159"/>
        <v>44629</v>
      </c>
      <c r="D3360" s="374">
        <v>329</v>
      </c>
      <c r="E3360" s="291" t="str">
        <f>IFERROR(VLOOKUP($D3360,'Clients-Live'!$A:$C,3,0),"")</f>
        <v>NSUBUGA DAVID</v>
      </c>
      <c r="F3360" s="291">
        <f>IFERROR(INDEX(Disbursements!$D:$D,MATCH('Live Collections'!G3360,Disbursements!$C:$C,0)),"")</f>
        <v>1</v>
      </c>
      <c r="G3360" s="34">
        <v>455</v>
      </c>
      <c r="H3360" s="34">
        <v>5081</v>
      </c>
      <c r="I3360" s="34" t="s">
        <v>1357</v>
      </c>
      <c r="J3360" s="48"/>
      <c r="K3360" s="48"/>
      <c r="L3360" s="48"/>
      <c r="M3360" s="48"/>
      <c r="N3360" s="59"/>
      <c r="O3360" s="59"/>
      <c r="P3360" s="59">
        <v>150000</v>
      </c>
      <c r="Q3360" s="268">
        <f t="shared" si="157"/>
        <v>150000</v>
      </c>
      <c r="R3360" s="61">
        <f>IF(O3360=0,0,SUMIFS(Disbursements!$T:$T,Disbursements!$B:$B,'Live Collections'!D3360,Disbursements!$D:$D,'Live Collections'!F3360))</f>
        <v>0</v>
      </c>
      <c r="S3360" s="304">
        <f>IF(O3360&lt;=IF($O3360=0,0,SUMIFS(Disbursements!$W:$W,Disbursements!$B:$B,'Live Collections'!D3360,Disbursements!$D:$D,'Live Collections'!F3360)),O3360,IF($O3360=0,0,SUMIFS(Disbursements!$W:$W,Disbursements!$B:$B,'Live Collections'!D3360,Disbursements!$D:$D,'Live Collections'!F3360)))</f>
        <v>0</v>
      </c>
      <c r="T3360" s="304">
        <f t="shared" si="158"/>
        <v>0</v>
      </c>
      <c r="U3360" s="52"/>
      <c r="V3360" s="34"/>
      <c r="W3360" s="408"/>
    </row>
    <row r="3361" spans="1:23" ht="12.75" customHeight="1" x14ac:dyDescent="0.2">
      <c r="A3361" s="257">
        <v>3371</v>
      </c>
      <c r="B3361" s="44">
        <v>44629</v>
      </c>
      <c r="C3361" s="44">
        <f t="shared" si="159"/>
        <v>44629</v>
      </c>
      <c r="D3361" s="374">
        <v>229</v>
      </c>
      <c r="E3361" s="291" t="str">
        <f>IFERROR(VLOOKUP($D3361,'Clients-Live'!$A:$C,3,0),"")</f>
        <v>DAWA ANNET</v>
      </c>
      <c r="F3361" s="291">
        <f>IFERROR(INDEX(Disbursements!$D:$D,MATCH('Live Collections'!G3361,Disbursements!$C:$C,0)),"")</f>
        <v>2</v>
      </c>
      <c r="G3361" s="34">
        <v>454</v>
      </c>
      <c r="H3361" s="34">
        <v>5080</v>
      </c>
      <c r="I3361" s="34" t="s">
        <v>1357</v>
      </c>
      <c r="J3361" s="48"/>
      <c r="K3361" s="48"/>
      <c r="L3361" s="48"/>
      <c r="M3361" s="48"/>
      <c r="N3361" s="59"/>
      <c r="O3361" s="59"/>
      <c r="P3361" s="59">
        <v>120000</v>
      </c>
      <c r="Q3361" s="268">
        <f t="shared" si="157"/>
        <v>120000</v>
      </c>
      <c r="R3361" s="61">
        <f>IF(O3361=0,0,SUMIFS(Disbursements!$T:$T,Disbursements!$B:$B,'Live Collections'!D3361,Disbursements!$D:$D,'Live Collections'!F3361))</f>
        <v>0</v>
      </c>
      <c r="S3361" s="304">
        <f>IF(O3361&lt;=IF($O3361=0,0,SUMIFS(Disbursements!$W:$W,Disbursements!$B:$B,'Live Collections'!D3361,Disbursements!$D:$D,'Live Collections'!F3361)),O3361,IF($O3361=0,0,SUMIFS(Disbursements!$W:$W,Disbursements!$B:$B,'Live Collections'!D3361,Disbursements!$D:$D,'Live Collections'!F3361)))</f>
        <v>0</v>
      </c>
      <c r="T3361" s="304">
        <f t="shared" si="158"/>
        <v>0</v>
      </c>
      <c r="U3361" s="52"/>
      <c r="V3361" s="34"/>
      <c r="W3361" s="408"/>
    </row>
    <row r="3362" spans="1:23" ht="12.75" customHeight="1" x14ac:dyDescent="0.2">
      <c r="A3362" s="257">
        <v>3372</v>
      </c>
      <c r="B3362" s="44">
        <v>44629</v>
      </c>
      <c r="C3362" s="44">
        <f t="shared" si="159"/>
        <v>44629</v>
      </c>
      <c r="D3362" s="374">
        <v>235</v>
      </c>
      <c r="E3362" s="291" t="str">
        <f>IFERROR(VLOOKUP($D3362,'Clients-Live'!$A:$C,3,0),"")</f>
        <v>AMULE ISAAC</v>
      </c>
      <c r="F3362" s="291">
        <f>IFERROR(INDEX(Disbursements!$D:$D,MATCH('Live Collections'!G3362,Disbursements!$C:$C,0)),"")</f>
        <v>2</v>
      </c>
      <c r="G3362" s="34">
        <v>395</v>
      </c>
      <c r="H3362" s="34" t="s">
        <v>2189</v>
      </c>
      <c r="I3362" s="34" t="s">
        <v>1358</v>
      </c>
      <c r="J3362" s="48"/>
      <c r="K3362" s="48"/>
      <c r="L3362" s="48"/>
      <c r="M3362" s="48"/>
      <c r="N3362" s="59"/>
      <c r="O3362" s="59">
        <v>50000</v>
      </c>
      <c r="P3362" s="59">
        <v>-50000</v>
      </c>
      <c r="Q3362" s="268">
        <f t="shared" si="157"/>
        <v>0</v>
      </c>
      <c r="R3362" s="61">
        <f>IF(O3362=0,0,SUMIFS(Disbursements!$T:$T,Disbursements!$B:$B,'Live Collections'!D3362,Disbursements!$D:$D,'Live Collections'!F3362))</f>
        <v>863000</v>
      </c>
      <c r="S3362" s="304">
        <f>IF(O3362&lt;=IF($O3362=0,0,SUMIFS(Disbursements!$W:$W,Disbursements!$B:$B,'Live Collections'!D3362,Disbursements!$D:$D,'Live Collections'!F3362)),O3362,IF($O3362=0,0,SUMIFS(Disbursements!$W:$W,Disbursements!$B:$B,'Live Collections'!D3362,Disbursements!$D:$D,'Live Collections'!F3362)))</f>
        <v>50000</v>
      </c>
      <c r="T3362" s="304">
        <f t="shared" si="158"/>
        <v>0</v>
      </c>
      <c r="U3362" s="52"/>
      <c r="V3362" s="34"/>
      <c r="W3362" s="408" t="s">
        <v>2198</v>
      </c>
    </row>
    <row r="3363" spans="1:23" ht="12.75" customHeight="1" x14ac:dyDescent="0.2">
      <c r="A3363" s="257">
        <v>3373</v>
      </c>
      <c r="B3363" s="44">
        <v>44629</v>
      </c>
      <c r="C3363" s="44">
        <f t="shared" si="159"/>
        <v>44629</v>
      </c>
      <c r="D3363" s="374">
        <v>32</v>
      </c>
      <c r="E3363" s="291" t="str">
        <f>IFERROR(VLOOKUP($D3363,'Clients-Live'!$A:$C,3,0),"")</f>
        <v>BAKO LINA ESERU</v>
      </c>
      <c r="F3363" s="291" t="str">
        <f>IFERROR(INDEX(Disbursements!$D:$D,MATCH('Live Collections'!G3363,Disbursements!$C:$C,0)),"")</f>
        <v/>
      </c>
      <c r="G3363" s="34"/>
      <c r="H3363" s="34">
        <v>5120</v>
      </c>
      <c r="I3363" s="34" t="s">
        <v>1359</v>
      </c>
      <c r="J3363" s="48"/>
      <c r="K3363" s="48"/>
      <c r="L3363" s="48">
        <v>15000</v>
      </c>
      <c r="M3363" s="48">
        <v>5000</v>
      </c>
      <c r="N3363" s="59"/>
      <c r="O3363" s="59"/>
      <c r="P3363" s="59"/>
      <c r="Q3363" s="268">
        <f t="shared" si="157"/>
        <v>20000</v>
      </c>
      <c r="R3363" s="61">
        <f>IF(O3363=0,0,SUMIFS(Disbursements!$T:$T,Disbursements!$B:$B,'Live Collections'!D3363,Disbursements!$D:$D,'Live Collections'!F3363))</f>
        <v>0</v>
      </c>
      <c r="S3363" s="304">
        <f>IF(O3363&lt;=IF($O3363=0,0,SUMIFS(Disbursements!$W:$W,Disbursements!$B:$B,'Live Collections'!D3363,Disbursements!$D:$D,'Live Collections'!F3363)),O3363,IF($O3363=0,0,SUMIFS(Disbursements!$W:$W,Disbursements!$B:$B,'Live Collections'!D3363,Disbursements!$D:$D,'Live Collections'!F3363)))</f>
        <v>0</v>
      </c>
      <c r="T3363" s="304">
        <f t="shared" si="158"/>
        <v>0</v>
      </c>
      <c r="U3363" s="52"/>
      <c r="V3363" s="34"/>
      <c r="W3363" s="408"/>
    </row>
    <row r="3364" spans="1:23" ht="12.75" customHeight="1" x14ac:dyDescent="0.2">
      <c r="A3364" s="257">
        <v>3374</v>
      </c>
      <c r="B3364" s="44">
        <v>44629</v>
      </c>
      <c r="C3364" s="44">
        <f t="shared" si="159"/>
        <v>44629</v>
      </c>
      <c r="D3364" s="374">
        <v>32</v>
      </c>
      <c r="E3364" s="291" t="str">
        <f>IFERROR(VLOOKUP($D3364,'Clients-Live'!$A:$C,3,0),"")</f>
        <v>BAKO LINA ESERU</v>
      </c>
      <c r="F3364" s="291">
        <f>IFERROR(INDEX(Disbursements!$D:$D,MATCH('Live Collections'!G3364,Disbursements!$C:$C,0)),"")</f>
        <v>2</v>
      </c>
      <c r="G3364" s="34">
        <v>258</v>
      </c>
      <c r="H3364" s="34" t="s">
        <v>2190</v>
      </c>
      <c r="I3364" s="34" t="s">
        <v>1359</v>
      </c>
      <c r="J3364" s="48"/>
      <c r="K3364" s="48"/>
      <c r="L3364" s="48"/>
      <c r="M3364" s="48"/>
      <c r="N3364" s="59"/>
      <c r="O3364" s="59">
        <v>60000</v>
      </c>
      <c r="P3364" s="59">
        <v>-60000</v>
      </c>
      <c r="Q3364" s="268">
        <f t="shared" si="157"/>
        <v>0</v>
      </c>
      <c r="R3364" s="61">
        <f>IF(O3364=0,0,SUMIFS(Disbursements!$T:$T,Disbursements!$B:$B,'Live Collections'!D3364,Disbursements!$D:$D,'Live Collections'!F3364))</f>
        <v>150000</v>
      </c>
      <c r="S3364" s="304">
        <f>IF(O3364&lt;=IF($O3364=0,0,SUMIFS(Disbursements!$W:$W,Disbursements!$B:$B,'Live Collections'!D3364,Disbursements!$D:$D,'Live Collections'!F3364)),O3364,IF($O3364=0,0,SUMIFS(Disbursements!$W:$W,Disbursements!$B:$B,'Live Collections'!D3364,Disbursements!$D:$D,'Live Collections'!F3364)))</f>
        <v>30000</v>
      </c>
      <c r="T3364" s="304">
        <f t="shared" si="158"/>
        <v>30000</v>
      </c>
      <c r="U3364" s="52"/>
      <c r="V3364" s="34"/>
      <c r="W3364" s="408" t="s">
        <v>2107</v>
      </c>
    </row>
    <row r="3365" spans="1:23" ht="12.75" customHeight="1" x14ac:dyDescent="0.2">
      <c r="A3365" s="257">
        <v>3375</v>
      </c>
      <c r="B3365" s="44">
        <v>44629</v>
      </c>
      <c r="C3365" s="44">
        <f t="shared" si="159"/>
        <v>44629</v>
      </c>
      <c r="D3365" s="374">
        <v>32</v>
      </c>
      <c r="E3365" s="291" t="str">
        <f>IFERROR(VLOOKUP($D3365,'Clients-Live'!$A:$C,3,0),"")</f>
        <v>BAKO LINA ESERU</v>
      </c>
      <c r="F3365" s="291">
        <f>IFERROR(INDEX(Disbursements!$D:$D,MATCH('Live Collections'!G3365,Disbursements!$C:$C,0)),"")</f>
        <v>2</v>
      </c>
      <c r="G3365" s="34">
        <v>258</v>
      </c>
      <c r="H3365" s="34">
        <v>5062</v>
      </c>
      <c r="I3365" s="34" t="s">
        <v>1359</v>
      </c>
      <c r="J3365" s="48"/>
      <c r="K3365" s="48"/>
      <c r="L3365" s="48"/>
      <c r="M3365" s="48"/>
      <c r="N3365" s="59"/>
      <c r="O3365" s="59">
        <v>90000</v>
      </c>
      <c r="P3365" s="59"/>
      <c r="Q3365" s="268">
        <f t="shared" si="157"/>
        <v>90000</v>
      </c>
      <c r="R3365" s="61">
        <f>IF(O3365=0,0,SUMIFS(Disbursements!$T:$T,Disbursements!$B:$B,'Live Collections'!D3365,Disbursements!$D:$D,'Live Collections'!F3365))</f>
        <v>150000</v>
      </c>
      <c r="S3365" s="64">
        <v>95000</v>
      </c>
      <c r="T3365" s="304">
        <f t="shared" si="158"/>
        <v>-5000</v>
      </c>
      <c r="U3365" s="52"/>
      <c r="V3365" s="34"/>
      <c r="W3365" s="408" t="s">
        <v>2093</v>
      </c>
    </row>
    <row r="3366" spans="1:23" ht="12.75" customHeight="1" x14ac:dyDescent="0.2">
      <c r="A3366" s="257">
        <v>3376</v>
      </c>
      <c r="B3366" s="44">
        <v>44629</v>
      </c>
      <c r="C3366" s="44">
        <f t="shared" si="159"/>
        <v>44629</v>
      </c>
      <c r="D3366" s="374">
        <v>235</v>
      </c>
      <c r="E3366" s="291" t="str">
        <f>IFERROR(VLOOKUP($D3366,'Clients-Live'!$A:$C,3,0),"")</f>
        <v>AMULE ISAAC</v>
      </c>
      <c r="F3366" s="291">
        <f>IFERROR(INDEX(Disbursements!$D:$D,MATCH('Live Collections'!G3366,Disbursements!$C:$C,0)),"")</f>
        <v>2</v>
      </c>
      <c r="G3366" s="34">
        <v>395</v>
      </c>
      <c r="H3366" s="34">
        <v>5064</v>
      </c>
      <c r="I3366" s="34" t="s">
        <v>1358</v>
      </c>
      <c r="J3366" s="48"/>
      <c r="K3366" s="48"/>
      <c r="L3366" s="48"/>
      <c r="M3366" s="48"/>
      <c r="N3366" s="59"/>
      <c r="O3366" s="59">
        <v>1126000</v>
      </c>
      <c r="P3366" s="59"/>
      <c r="Q3366" s="268">
        <f t="shared" si="157"/>
        <v>1126000</v>
      </c>
      <c r="R3366" s="61">
        <f>IF(O3366=0,0,SUMIFS(Disbursements!$T:$T,Disbursements!$B:$B,'Live Collections'!D3366,Disbursements!$D:$D,'Live Collections'!F3366))</f>
        <v>863000</v>
      </c>
      <c r="S3366" s="64">
        <v>166000</v>
      </c>
      <c r="T3366" s="304">
        <f t="shared" si="158"/>
        <v>960000</v>
      </c>
      <c r="U3366" s="52"/>
      <c r="V3366" s="34"/>
      <c r="W3366" s="408" t="s">
        <v>2093</v>
      </c>
    </row>
    <row r="3367" spans="1:23" ht="12.75" customHeight="1" x14ac:dyDescent="0.2">
      <c r="A3367" s="257">
        <v>3377</v>
      </c>
      <c r="B3367" s="44">
        <v>44629</v>
      </c>
      <c r="C3367" s="44">
        <f t="shared" si="159"/>
        <v>44629</v>
      </c>
      <c r="D3367" s="374">
        <v>96</v>
      </c>
      <c r="E3367" s="291" t="str">
        <f>IFERROR(VLOOKUP($D3367,'Clients-Live'!$A:$C,3,0),"")</f>
        <v>AKANDU NIGHT YONGORO</v>
      </c>
      <c r="F3367" s="291">
        <f>IFERROR(INDEX(Disbursements!$D:$D,MATCH('Live Collections'!G3367,Disbursements!$C:$C,0)),"")</f>
        <v>3</v>
      </c>
      <c r="G3367" s="34">
        <v>432</v>
      </c>
      <c r="H3367" s="34">
        <v>5063</v>
      </c>
      <c r="I3367" s="34" t="s">
        <v>1358</v>
      </c>
      <c r="J3367" s="48"/>
      <c r="K3367" s="48"/>
      <c r="L3367" s="48"/>
      <c r="M3367" s="48"/>
      <c r="N3367" s="59"/>
      <c r="O3367" s="59">
        <v>119400</v>
      </c>
      <c r="P3367" s="59"/>
      <c r="Q3367" s="268">
        <f t="shared" si="157"/>
        <v>119400</v>
      </c>
      <c r="R3367" s="61">
        <f>IF(O3367=0,0,SUMIFS(Disbursements!$T:$T,Disbursements!$B:$B,'Live Collections'!D3367,Disbursements!$D:$D,'Live Collections'!F3367))</f>
        <v>60000</v>
      </c>
      <c r="S3367" s="304">
        <f>IF(O3367&lt;=IF($O3367=0,0,SUMIFS(Disbursements!$W:$W,Disbursements!$B:$B,'Live Collections'!D3367,Disbursements!$D:$D,'Live Collections'!F3367)),O3367,IF($O3367=0,0,SUMIFS(Disbursements!$W:$W,Disbursements!$B:$B,'Live Collections'!D3367,Disbursements!$D:$D,'Live Collections'!F3367)))</f>
        <v>15000</v>
      </c>
      <c r="T3367" s="304">
        <f t="shared" si="158"/>
        <v>104400</v>
      </c>
      <c r="U3367" s="52"/>
      <c r="V3367" s="34"/>
      <c r="W3367" s="408"/>
    </row>
    <row r="3368" spans="1:23" ht="12.75" customHeight="1" x14ac:dyDescent="0.2">
      <c r="A3368" s="257">
        <v>3378</v>
      </c>
      <c r="B3368" s="44">
        <v>44629</v>
      </c>
      <c r="C3368" s="44">
        <f t="shared" si="159"/>
        <v>44629</v>
      </c>
      <c r="D3368" s="374">
        <v>125</v>
      </c>
      <c r="E3368" s="291" t="str">
        <f>IFERROR(VLOOKUP($D3368,'Clients-Live'!$A:$C,3,0),"")</f>
        <v>SUNDAY SCOVIA</v>
      </c>
      <c r="F3368" s="291">
        <f>IFERROR(INDEX(Disbursements!$D:$D,MATCH('Live Collections'!G3368,Disbursements!$C:$C,0)),"")</f>
        <v>1</v>
      </c>
      <c r="G3368" s="34">
        <v>111</v>
      </c>
      <c r="H3368" s="34" t="s">
        <v>2187</v>
      </c>
      <c r="I3368" s="34" t="s">
        <v>1358</v>
      </c>
      <c r="J3368" s="48"/>
      <c r="K3368" s="48"/>
      <c r="L3368" s="48"/>
      <c r="M3368" s="48"/>
      <c r="N3368" s="59"/>
      <c r="O3368" s="59">
        <v>50000</v>
      </c>
      <c r="P3368" s="59">
        <v>-50000</v>
      </c>
      <c r="Q3368" s="268">
        <f t="shared" si="157"/>
        <v>0</v>
      </c>
      <c r="R3368" s="61">
        <f>IF(O3368=0,0,SUMIFS(Disbursements!$T:$T,Disbursements!$B:$B,'Live Collections'!D3368,Disbursements!$D:$D,'Live Collections'!F3368))</f>
        <v>120000</v>
      </c>
      <c r="S3368" s="304"/>
      <c r="T3368" s="304">
        <f t="shared" si="158"/>
        <v>50000</v>
      </c>
      <c r="U3368" s="52"/>
      <c r="V3368" s="34"/>
      <c r="W3368" s="408" t="s">
        <v>2188</v>
      </c>
    </row>
    <row r="3369" spans="1:23" ht="12.75" customHeight="1" x14ac:dyDescent="0.2">
      <c r="A3369" s="257">
        <v>3379</v>
      </c>
      <c r="B3369" s="44">
        <v>44629</v>
      </c>
      <c r="C3369" s="44">
        <f t="shared" si="159"/>
        <v>44629</v>
      </c>
      <c r="D3369" s="374">
        <v>169</v>
      </c>
      <c r="E3369" s="291" t="str">
        <f>IFERROR(VLOOKUP($D3369,'Clients-Live'!$A:$C,3,0),"")</f>
        <v>KATO KENNEDY</v>
      </c>
      <c r="F3369" s="291">
        <f>IFERROR(INDEX(Disbursements!$D:$D,MATCH('Live Collections'!G3369,Disbursements!$C:$C,0)),"")</f>
        <v>2</v>
      </c>
      <c r="G3369" s="34">
        <v>394</v>
      </c>
      <c r="H3369" s="34">
        <v>5076</v>
      </c>
      <c r="I3369" s="34" t="s">
        <v>1357</v>
      </c>
      <c r="J3369" s="48"/>
      <c r="K3369" s="48"/>
      <c r="L3369" s="48"/>
      <c r="M3369" s="48"/>
      <c r="N3369" s="59"/>
      <c r="O3369" s="59">
        <v>58000</v>
      </c>
      <c r="P3369" s="59"/>
      <c r="Q3369" s="268">
        <f t="shared" si="157"/>
        <v>58000</v>
      </c>
      <c r="R3369" s="61">
        <f>IF(O3369=0,0,SUMIFS(Disbursements!$T:$T,Disbursements!$B:$B,'Live Collections'!D3369,Disbursements!$D:$D,'Live Collections'!F3369))</f>
        <v>58000</v>
      </c>
      <c r="S3369" s="304">
        <f>IF(O3369&lt;=IF($O3369=0,0,SUMIFS(Disbursements!$W:$W,Disbursements!$B:$B,'Live Collections'!D3369,Disbursements!$D:$D,'Live Collections'!F3369)),O3369,IF($O3369=0,0,SUMIFS(Disbursements!$W:$W,Disbursements!$B:$B,'Live Collections'!D3369,Disbursements!$D:$D,'Live Collections'!F3369)))</f>
        <v>16333.333333333336</v>
      </c>
      <c r="T3369" s="304">
        <f t="shared" si="158"/>
        <v>41666.666666666664</v>
      </c>
      <c r="U3369" s="52"/>
      <c r="V3369" s="34"/>
      <c r="W3369" s="408"/>
    </row>
    <row r="3370" spans="1:23" ht="12.75" customHeight="1" x14ac:dyDescent="0.2">
      <c r="A3370" s="257">
        <v>3380</v>
      </c>
      <c r="B3370" s="44">
        <v>44629</v>
      </c>
      <c r="C3370" s="44">
        <f t="shared" si="159"/>
        <v>44629</v>
      </c>
      <c r="D3370" s="374">
        <v>177</v>
      </c>
      <c r="E3370" s="291" t="str">
        <f>IFERROR(VLOOKUP($D3370,'Clients-Live'!$A:$C,3,0),"")</f>
        <v>EFIT GIFT</v>
      </c>
      <c r="F3370" s="291">
        <f>IFERROR(INDEX(Disbursements!$D:$D,MATCH('Live Collections'!G3370,Disbursements!$C:$C,0)),"")</f>
        <v>2</v>
      </c>
      <c r="G3370" s="34">
        <v>444</v>
      </c>
      <c r="H3370" s="34">
        <v>5058</v>
      </c>
      <c r="I3370" s="34" t="s">
        <v>1358</v>
      </c>
      <c r="J3370" s="48"/>
      <c r="K3370" s="48"/>
      <c r="L3370" s="48"/>
      <c r="M3370" s="48"/>
      <c r="N3370" s="59"/>
      <c r="O3370" s="59">
        <v>90000</v>
      </c>
      <c r="P3370" s="59"/>
      <c r="Q3370" s="268">
        <f t="shared" si="157"/>
        <v>90000</v>
      </c>
      <c r="R3370" s="61">
        <f>IF(O3370=0,0,SUMIFS(Disbursements!$T:$T,Disbursements!$B:$B,'Live Collections'!D3370,Disbursements!$D:$D,'Live Collections'!F3370))</f>
        <v>87000</v>
      </c>
      <c r="S3370" s="304">
        <f>IF(O3370&lt;=IF($O3370=0,0,SUMIFS(Disbursements!$W:$W,Disbursements!$B:$B,'Live Collections'!D3370,Disbursements!$D:$D,'Live Collections'!F3370)),O3370,IF($O3370=0,0,SUMIFS(Disbursements!$W:$W,Disbursements!$B:$B,'Live Collections'!D3370,Disbursements!$D:$D,'Live Collections'!F3370)))</f>
        <v>24500</v>
      </c>
      <c r="T3370" s="304">
        <f t="shared" si="158"/>
        <v>65500</v>
      </c>
      <c r="U3370" s="52"/>
      <c r="V3370" s="34"/>
      <c r="W3370" s="408"/>
    </row>
    <row r="3371" spans="1:23" ht="12.75" customHeight="1" x14ac:dyDescent="0.2">
      <c r="A3371" s="257">
        <v>3381</v>
      </c>
      <c r="B3371" s="44">
        <v>44629</v>
      </c>
      <c r="C3371" s="44">
        <f t="shared" si="159"/>
        <v>44629</v>
      </c>
      <c r="D3371" s="374">
        <v>160</v>
      </c>
      <c r="E3371" s="291" t="str">
        <f>IFERROR(VLOOKUP($D3371,'Clients-Live'!$A:$C,3,0),"")</f>
        <v>CHANDI ZANABU</v>
      </c>
      <c r="F3371" s="291">
        <f>IFERROR(INDEX(Disbursements!$D:$D,MATCH('Live Collections'!G3371,Disbursements!$C:$C,0)),"")</f>
        <v>2</v>
      </c>
      <c r="G3371" s="34">
        <v>267</v>
      </c>
      <c r="H3371" s="34" t="s">
        <v>2185</v>
      </c>
      <c r="I3371" s="34" t="s">
        <v>1358</v>
      </c>
      <c r="J3371" s="48"/>
      <c r="K3371" s="48"/>
      <c r="L3371" s="48"/>
      <c r="M3371" s="48"/>
      <c r="N3371" s="59"/>
      <c r="O3371" s="59">
        <v>50000</v>
      </c>
      <c r="P3371" s="59">
        <v>-50000</v>
      </c>
      <c r="Q3371" s="268">
        <f t="shared" si="157"/>
        <v>0</v>
      </c>
      <c r="R3371" s="61">
        <f>IF(O3371=0,0,SUMIFS(Disbursements!$T:$T,Disbursements!$B:$B,'Live Collections'!D3371,Disbursements!$D:$D,'Live Collections'!F3371))</f>
        <v>150000</v>
      </c>
      <c r="S3371" s="304"/>
      <c r="T3371" s="304">
        <f t="shared" si="158"/>
        <v>50000</v>
      </c>
      <c r="U3371" s="52"/>
      <c r="V3371" s="34"/>
      <c r="W3371" s="408" t="s">
        <v>2186</v>
      </c>
    </row>
    <row r="3372" spans="1:23" ht="12.75" customHeight="1" x14ac:dyDescent="0.2">
      <c r="A3372" s="257">
        <v>3382</v>
      </c>
      <c r="B3372" s="44">
        <v>44629</v>
      </c>
      <c r="C3372" s="44">
        <f t="shared" si="159"/>
        <v>44629</v>
      </c>
      <c r="D3372" s="374">
        <v>160</v>
      </c>
      <c r="E3372" s="291" t="str">
        <f>IFERROR(VLOOKUP($D3372,'Clients-Live'!$A:$C,3,0),"")</f>
        <v>CHANDI ZANABU</v>
      </c>
      <c r="F3372" s="291">
        <f>IFERROR(INDEX(Disbursements!$D:$D,MATCH('Live Collections'!G3372,Disbursements!$C:$C,0)),"")</f>
        <v>2</v>
      </c>
      <c r="G3372" s="34">
        <v>267</v>
      </c>
      <c r="H3372" s="34">
        <v>5057</v>
      </c>
      <c r="I3372" s="34" t="s">
        <v>1358</v>
      </c>
      <c r="J3372" s="48"/>
      <c r="K3372" s="48"/>
      <c r="L3372" s="48"/>
      <c r="M3372" s="48"/>
      <c r="N3372" s="59"/>
      <c r="O3372" s="59">
        <v>50000</v>
      </c>
      <c r="P3372" s="59"/>
      <c r="Q3372" s="268">
        <f t="shared" ref="Q3372:Q3435" si="160">SUM(J3372:P3372)</f>
        <v>50000</v>
      </c>
      <c r="R3372" s="61">
        <f>IF(O3372=0,0,SUMIFS(Disbursements!$T:$T,Disbursements!$B:$B,'Live Collections'!D3372,Disbursements!$D:$D,'Live Collections'!F3372))</f>
        <v>150000</v>
      </c>
      <c r="S3372" s="304"/>
      <c r="T3372" s="304">
        <f t="shared" si="158"/>
        <v>50000</v>
      </c>
      <c r="U3372" s="52"/>
      <c r="V3372" s="34"/>
      <c r="W3372" s="408"/>
    </row>
    <row r="3373" spans="1:23" ht="12.75" customHeight="1" x14ac:dyDescent="0.2">
      <c r="A3373" s="257">
        <v>3383</v>
      </c>
      <c r="B3373" s="44">
        <v>44629</v>
      </c>
      <c r="C3373" s="44">
        <f t="shared" si="159"/>
        <v>44629</v>
      </c>
      <c r="D3373" s="374">
        <v>229</v>
      </c>
      <c r="E3373" s="291" t="str">
        <f>IFERROR(VLOOKUP($D3373,'Clients-Live'!$A:$C,3,0),"")</f>
        <v>DAWA ANNET</v>
      </c>
      <c r="F3373" s="291" t="str">
        <f>IFERROR(INDEX(Disbursements!$D:$D,MATCH('Live Collections'!G3373,Disbursements!$C:$C,0)),"")</f>
        <v/>
      </c>
      <c r="G3373" s="34"/>
      <c r="H3373" s="34">
        <v>5055</v>
      </c>
      <c r="I3373" s="34" t="s">
        <v>1760</v>
      </c>
      <c r="J3373" s="48"/>
      <c r="K3373" s="48"/>
      <c r="L3373" s="48">
        <v>25000</v>
      </c>
      <c r="M3373" s="48">
        <v>5000</v>
      </c>
      <c r="N3373" s="59"/>
      <c r="O3373" s="59"/>
      <c r="P3373" s="59"/>
      <c r="Q3373" s="268">
        <f t="shared" si="160"/>
        <v>30000</v>
      </c>
      <c r="R3373" s="61">
        <f>IF(O3373=0,0,SUMIFS(Disbursements!$T:$T,Disbursements!$B:$B,'Live Collections'!D3373,Disbursements!$D:$D,'Live Collections'!F3373))</f>
        <v>0</v>
      </c>
      <c r="S3373" s="304">
        <f>IF(O3373&lt;=IF($O3373=0,0,SUMIFS(Disbursements!$W:$W,Disbursements!$B:$B,'Live Collections'!D3373,Disbursements!$D:$D,'Live Collections'!F3373)),O3373,IF($O3373=0,0,SUMIFS(Disbursements!$W:$W,Disbursements!$B:$B,'Live Collections'!D3373,Disbursements!$D:$D,'Live Collections'!F3373)))</f>
        <v>0</v>
      </c>
      <c r="T3373" s="304">
        <f t="shared" si="158"/>
        <v>0</v>
      </c>
      <c r="U3373" s="52"/>
      <c r="V3373" s="34"/>
      <c r="W3373" s="408"/>
    </row>
    <row r="3374" spans="1:23" ht="12.75" customHeight="1" x14ac:dyDescent="0.2">
      <c r="A3374" s="257">
        <v>3384</v>
      </c>
      <c r="B3374" s="44">
        <v>44629</v>
      </c>
      <c r="C3374" s="44">
        <f t="shared" si="159"/>
        <v>44629</v>
      </c>
      <c r="D3374" s="374">
        <v>128</v>
      </c>
      <c r="E3374" s="291" t="str">
        <f>IFERROR(VLOOKUP($D3374,'Clients-Live'!$A:$C,3,0),"")</f>
        <v>AJONYE BETTY</v>
      </c>
      <c r="F3374" s="291">
        <f>IFERROR(INDEX(Disbursements!$D:$D,MATCH('Live Collections'!G3374,Disbursements!$C:$C,0)),"")</f>
        <v>2</v>
      </c>
      <c r="G3374" s="34">
        <v>289</v>
      </c>
      <c r="H3374" s="34" t="s">
        <v>2191</v>
      </c>
      <c r="I3374" s="34" t="s">
        <v>1359</v>
      </c>
      <c r="J3374" s="48"/>
      <c r="K3374" s="48"/>
      <c r="L3374" s="48"/>
      <c r="M3374" s="48"/>
      <c r="N3374" s="59"/>
      <c r="O3374" s="59">
        <v>40000</v>
      </c>
      <c r="P3374" s="59">
        <v>-40000</v>
      </c>
      <c r="Q3374" s="268">
        <f t="shared" si="160"/>
        <v>0</v>
      </c>
      <c r="R3374" s="61">
        <f>IF(O3374=0,0,SUMIFS(Disbursements!$T:$T,Disbursements!$B:$B,'Live Collections'!D3374,Disbursements!$D:$D,'Live Collections'!F3374))</f>
        <v>120000</v>
      </c>
      <c r="S3374" s="304"/>
      <c r="T3374" s="304">
        <f t="shared" si="158"/>
        <v>40000</v>
      </c>
      <c r="U3374" s="52"/>
      <c r="V3374" s="34"/>
      <c r="W3374" s="408" t="s">
        <v>2108</v>
      </c>
    </row>
    <row r="3375" spans="1:23" ht="12.75" customHeight="1" x14ac:dyDescent="0.2">
      <c r="A3375" s="257">
        <v>3385</v>
      </c>
      <c r="B3375" s="44">
        <v>44629</v>
      </c>
      <c r="C3375" s="44">
        <f t="shared" si="159"/>
        <v>44629</v>
      </c>
      <c r="D3375" s="374">
        <v>128</v>
      </c>
      <c r="E3375" s="291" t="str">
        <f>IFERROR(VLOOKUP($D3375,'Clients-Live'!$A:$C,3,0),"")</f>
        <v>AJONYE BETTY</v>
      </c>
      <c r="F3375" s="291">
        <f>IFERROR(INDEX(Disbursements!$D:$D,MATCH('Live Collections'!G3375,Disbursements!$C:$C,0)),"")</f>
        <v>2</v>
      </c>
      <c r="G3375" s="34">
        <v>289</v>
      </c>
      <c r="H3375" s="34">
        <v>5053</v>
      </c>
      <c r="I3375" s="34" t="s">
        <v>1359</v>
      </c>
      <c r="J3375" s="48"/>
      <c r="K3375" s="48"/>
      <c r="L3375" s="48"/>
      <c r="M3375" s="48"/>
      <c r="N3375" s="59"/>
      <c r="O3375" s="59">
        <v>30000</v>
      </c>
      <c r="P3375" s="59"/>
      <c r="Q3375" s="268">
        <f t="shared" si="160"/>
        <v>30000</v>
      </c>
      <c r="R3375" s="61">
        <f>IF(O3375=0,0,SUMIFS(Disbursements!$T:$T,Disbursements!$B:$B,'Live Collections'!D3375,Disbursements!$D:$D,'Live Collections'!F3375))</f>
        <v>120000</v>
      </c>
      <c r="S3375" s="304"/>
      <c r="T3375" s="304">
        <f t="shared" si="158"/>
        <v>30000</v>
      </c>
      <c r="U3375" s="52"/>
      <c r="V3375" s="34"/>
      <c r="W3375" s="408"/>
    </row>
    <row r="3376" spans="1:23" ht="12.75" customHeight="1" x14ac:dyDescent="0.2">
      <c r="A3376" s="257">
        <v>3386</v>
      </c>
      <c r="B3376" s="44">
        <v>44630</v>
      </c>
      <c r="C3376" s="44">
        <f t="shared" si="159"/>
        <v>44630</v>
      </c>
      <c r="D3376" s="374">
        <v>2</v>
      </c>
      <c r="E3376" s="291" t="str">
        <f>IFERROR(VLOOKUP($D3376,'Clients-Live'!$A:$C,3,0),"")</f>
        <v>LEYA ROSE</v>
      </c>
      <c r="F3376" s="291" t="str">
        <f>IFERROR(INDEX(Disbursements!$D:$D,MATCH('Live Collections'!G3376,Disbursements!$C:$C,0)),"")</f>
        <v/>
      </c>
      <c r="G3376" s="34"/>
      <c r="H3376" s="34">
        <v>5067</v>
      </c>
      <c r="I3376" s="34" t="s">
        <v>1358</v>
      </c>
      <c r="J3376" s="48"/>
      <c r="K3376" s="48"/>
      <c r="L3376" s="48">
        <v>15000</v>
      </c>
      <c r="M3376" s="48">
        <v>5000</v>
      </c>
      <c r="N3376" s="59"/>
      <c r="O3376" s="59"/>
      <c r="P3376" s="59"/>
      <c r="Q3376" s="268">
        <f t="shared" si="160"/>
        <v>20000</v>
      </c>
      <c r="R3376" s="61">
        <f>IF(O3376=0,0,SUMIFS(Disbursements!$T:$T,Disbursements!$B:$B,'Live Collections'!D3376,Disbursements!$D:$D,'Live Collections'!F3376))</f>
        <v>0</v>
      </c>
      <c r="S3376" s="304">
        <f>IF(O3376&lt;=IF($O3376=0,0,SUMIFS(Disbursements!$W:$W,Disbursements!$B:$B,'Live Collections'!D3376,Disbursements!$D:$D,'Live Collections'!F3376)),O3376,IF($O3376=0,0,SUMIFS(Disbursements!$W:$W,Disbursements!$B:$B,'Live Collections'!D3376,Disbursements!$D:$D,'Live Collections'!F3376)))</f>
        <v>0</v>
      </c>
      <c r="T3376" s="304">
        <f t="shared" si="158"/>
        <v>0</v>
      </c>
      <c r="U3376" s="52"/>
      <c r="V3376" s="34"/>
      <c r="W3376" s="408"/>
    </row>
    <row r="3377" spans="1:23" ht="12.75" customHeight="1" x14ac:dyDescent="0.2">
      <c r="A3377" s="257">
        <v>3387</v>
      </c>
      <c r="B3377" s="44">
        <v>44630</v>
      </c>
      <c r="C3377" s="44">
        <f t="shared" si="159"/>
        <v>44630</v>
      </c>
      <c r="D3377" s="374">
        <v>74</v>
      </c>
      <c r="E3377" s="291" t="str">
        <f>IFERROR(VLOOKUP($D3377,'Clients-Live'!$A:$C,3,0),"")</f>
        <v>YUKUWE AISHA</v>
      </c>
      <c r="F3377" s="291">
        <f>IFERROR(INDEX(Disbursements!$D:$D,MATCH('Live Collections'!G3377,Disbursements!$C:$C,0)),"")</f>
        <v>3</v>
      </c>
      <c r="G3377" s="34">
        <v>447</v>
      </c>
      <c r="H3377" s="34">
        <v>5066</v>
      </c>
      <c r="I3377" s="34" t="s">
        <v>1358</v>
      </c>
      <c r="J3377" s="48"/>
      <c r="K3377" s="48"/>
      <c r="L3377" s="48"/>
      <c r="M3377" s="48"/>
      <c r="N3377" s="59"/>
      <c r="O3377" s="59">
        <v>16000</v>
      </c>
      <c r="P3377" s="59"/>
      <c r="Q3377" s="268">
        <f t="shared" si="160"/>
        <v>16000</v>
      </c>
      <c r="R3377" s="61">
        <f>IF(O3377=0,0,SUMIFS(Disbursements!$T:$T,Disbursements!$B:$B,'Live Collections'!D3377,Disbursements!$D:$D,'Live Collections'!F3377))</f>
        <v>16000</v>
      </c>
      <c r="S3377" s="304">
        <f>IF(O3377&lt;=IF($O3377=0,0,SUMIFS(Disbursements!$W:$W,Disbursements!$B:$B,'Live Collections'!D3377,Disbursements!$D:$D,'Live Collections'!F3377)),O3377,IF($O3377=0,0,SUMIFS(Disbursements!$W:$W,Disbursements!$B:$B,'Live Collections'!D3377,Disbursements!$D:$D,'Live Collections'!F3377)))</f>
        <v>3500</v>
      </c>
      <c r="T3377" s="304">
        <f t="shared" si="158"/>
        <v>12500</v>
      </c>
      <c r="U3377" s="52"/>
      <c r="V3377" s="34"/>
      <c r="W3377" s="408"/>
    </row>
    <row r="3378" spans="1:23" ht="12.75" customHeight="1" x14ac:dyDescent="0.2">
      <c r="A3378" s="257">
        <v>3388</v>
      </c>
      <c r="B3378" s="44">
        <v>44630</v>
      </c>
      <c r="C3378" s="44">
        <f t="shared" si="159"/>
        <v>44630</v>
      </c>
      <c r="D3378" s="374">
        <v>65</v>
      </c>
      <c r="E3378" s="291" t="str">
        <f>IFERROR(VLOOKUP($D3378,'Clients-Live'!$A:$C,3,0),"")</f>
        <v>NDAWULA GERALD</v>
      </c>
      <c r="F3378" s="291">
        <f>IFERROR(INDEX(Disbursements!$D:$D,MATCH('Live Collections'!G3378,Disbursements!$C:$C,0)),"")</f>
        <v>1</v>
      </c>
      <c r="G3378" s="34">
        <v>47</v>
      </c>
      <c r="H3378" s="34">
        <v>5127</v>
      </c>
      <c r="I3378" s="34" t="s">
        <v>1359</v>
      </c>
      <c r="J3378" s="48"/>
      <c r="K3378" s="48"/>
      <c r="L3378" s="48"/>
      <c r="M3378" s="48"/>
      <c r="N3378" s="59"/>
      <c r="O3378" s="59">
        <v>100000</v>
      </c>
      <c r="P3378" s="59"/>
      <c r="Q3378" s="268">
        <f t="shared" si="160"/>
        <v>100000</v>
      </c>
      <c r="R3378" s="61">
        <f>IF(O3378=0,0,SUMIFS(Disbursements!$T:$T,Disbursements!$B:$B,'Live Collections'!D3378,Disbursements!$D:$D,'Live Collections'!F3378))</f>
        <v>217000</v>
      </c>
      <c r="S3378" s="304">
        <f>IF(O3378&lt;=IF($O3378=0,0,SUMIFS(Disbursements!$W:$W,Disbursements!$B:$B,'Live Collections'!D3378,Disbursements!$D:$D,'Live Collections'!F3378)),O3378,IF($O3378=0,0,SUMIFS(Disbursements!$W:$W,Disbursements!$B:$B,'Live Collections'!D3378,Disbursements!$D:$D,'Live Collections'!F3378)))</f>
        <v>50333.333333333343</v>
      </c>
      <c r="T3378" s="304">
        <f t="shared" si="158"/>
        <v>49666.666666666657</v>
      </c>
      <c r="U3378" s="52"/>
      <c r="V3378" s="34"/>
      <c r="W3378" s="408"/>
    </row>
    <row r="3379" spans="1:23" ht="12.75" customHeight="1" x14ac:dyDescent="0.2">
      <c r="A3379" s="257">
        <v>3389</v>
      </c>
      <c r="B3379" s="44">
        <v>44630</v>
      </c>
      <c r="C3379" s="44">
        <f t="shared" si="159"/>
        <v>44630</v>
      </c>
      <c r="D3379" s="374">
        <v>65</v>
      </c>
      <c r="E3379" s="291" t="str">
        <f>IFERROR(VLOOKUP($D3379,'Clients-Live'!$A:$C,3,0),"")</f>
        <v>NDAWULA GERALD</v>
      </c>
      <c r="F3379" s="291" t="str">
        <f>IFERROR(INDEX(Disbursements!$D:$D,MATCH('Live Collections'!G3379,Disbursements!$C:$C,0)),"")</f>
        <v/>
      </c>
      <c r="G3379" s="34"/>
      <c r="H3379" s="34">
        <v>5125</v>
      </c>
      <c r="I3379" s="34" t="s">
        <v>1359</v>
      </c>
      <c r="J3379" s="48"/>
      <c r="K3379" s="48"/>
      <c r="L3379" s="48"/>
      <c r="M3379" s="48"/>
      <c r="N3379" s="59">
        <v>50000</v>
      </c>
      <c r="O3379" s="59"/>
      <c r="P3379" s="59"/>
      <c r="Q3379" s="268">
        <f t="shared" si="160"/>
        <v>50000</v>
      </c>
      <c r="R3379" s="61">
        <f>IF(O3379=0,0,SUMIFS(Disbursements!$T:$T,Disbursements!$B:$B,'Live Collections'!D3379,Disbursements!$D:$D,'Live Collections'!F3379))</f>
        <v>0</v>
      </c>
      <c r="S3379" s="304">
        <f>IF(O3379&lt;=IF($O3379=0,0,SUMIFS(Disbursements!$W:$W,Disbursements!$B:$B,'Live Collections'!D3379,Disbursements!$D:$D,'Live Collections'!F3379)),O3379,IF($O3379=0,0,SUMIFS(Disbursements!$W:$W,Disbursements!$B:$B,'Live Collections'!D3379,Disbursements!$D:$D,'Live Collections'!F3379)))</f>
        <v>0</v>
      </c>
      <c r="T3379" s="304">
        <f t="shared" si="158"/>
        <v>0</v>
      </c>
      <c r="U3379" s="52"/>
      <c r="V3379" s="34"/>
      <c r="W3379" s="408"/>
    </row>
    <row r="3380" spans="1:23" ht="12.75" customHeight="1" x14ac:dyDescent="0.2">
      <c r="A3380" s="257">
        <v>3390</v>
      </c>
      <c r="B3380" s="44">
        <v>44630</v>
      </c>
      <c r="C3380" s="44">
        <f t="shared" si="159"/>
        <v>44630</v>
      </c>
      <c r="D3380" s="374">
        <v>42</v>
      </c>
      <c r="E3380" s="291" t="str">
        <f>IFERROR(VLOOKUP($D3380,'Clients-Live'!$A:$C,3,0),"")</f>
        <v>ABAU   NOLA</v>
      </c>
      <c r="F3380" s="291">
        <f>IFERROR(INDEX(Disbursements!$D:$D,MATCH('Live Collections'!G3380,Disbursements!$C:$C,0)),"")</f>
        <v>3</v>
      </c>
      <c r="G3380" s="34">
        <v>405</v>
      </c>
      <c r="H3380" s="34">
        <v>5099</v>
      </c>
      <c r="I3380" s="34" t="s">
        <v>1357</v>
      </c>
      <c r="J3380" s="48"/>
      <c r="K3380" s="48"/>
      <c r="L3380" s="48"/>
      <c r="M3380" s="48"/>
      <c r="N3380" s="59"/>
      <c r="O3380" s="59">
        <v>10000</v>
      </c>
      <c r="P3380" s="59"/>
      <c r="Q3380" s="268">
        <f t="shared" si="160"/>
        <v>10000</v>
      </c>
      <c r="R3380" s="61">
        <f>IF(O3380=0,0,SUMIFS(Disbursements!$T:$T,Disbursements!$B:$B,'Live Collections'!D3380,Disbursements!$D:$D,'Live Collections'!F3380))</f>
        <v>20000</v>
      </c>
      <c r="S3380" s="304">
        <f>IF(O3380&lt;=IF($O3380=0,0,SUMIFS(Disbursements!$W:$W,Disbursements!$B:$B,'Live Collections'!D3380,Disbursements!$D:$D,'Live Collections'!F3380)),O3380,IF($O3380=0,0,SUMIFS(Disbursements!$W:$W,Disbursements!$B:$B,'Live Collections'!D3380,Disbursements!$D:$D,'Live Collections'!F3380)))</f>
        <v>4375</v>
      </c>
      <c r="T3380" s="304">
        <f t="shared" si="158"/>
        <v>5625</v>
      </c>
      <c r="U3380" s="52"/>
      <c r="V3380" s="34"/>
      <c r="W3380" s="408"/>
    </row>
    <row r="3381" spans="1:23" ht="12.75" customHeight="1" x14ac:dyDescent="0.2">
      <c r="A3381" s="257">
        <v>3391</v>
      </c>
      <c r="B3381" s="44">
        <v>44630</v>
      </c>
      <c r="C3381" s="44">
        <f t="shared" si="159"/>
        <v>44630</v>
      </c>
      <c r="D3381" s="374">
        <v>94</v>
      </c>
      <c r="E3381" s="291" t="str">
        <f>IFERROR(VLOOKUP($D3381,'Clients-Live'!$A:$C,3,0),"")</f>
        <v>NGINYA RICHARD</v>
      </c>
      <c r="F3381" s="291" t="str">
        <f>IFERROR(INDEX(Disbursements!$D:$D,MATCH('Live Collections'!G3381,Disbursements!$C:$C,0)),"")</f>
        <v/>
      </c>
      <c r="G3381" s="34"/>
      <c r="H3381" s="34">
        <v>5123</v>
      </c>
      <c r="I3381" s="34" t="s">
        <v>1357</v>
      </c>
      <c r="J3381" s="48"/>
      <c r="K3381" s="48"/>
      <c r="L3381" s="48">
        <v>15000</v>
      </c>
      <c r="M3381" s="48">
        <v>5000</v>
      </c>
      <c r="N3381" s="59"/>
      <c r="O3381" s="59"/>
      <c r="P3381" s="59"/>
      <c r="Q3381" s="268">
        <f t="shared" si="160"/>
        <v>20000</v>
      </c>
      <c r="R3381" s="61">
        <f>IF(O3381=0,0,SUMIFS(Disbursements!$T:$T,Disbursements!$B:$B,'Live Collections'!D3381,Disbursements!$D:$D,'Live Collections'!F3381))</f>
        <v>0</v>
      </c>
      <c r="S3381" s="304">
        <f>IF(O3381&lt;=IF($O3381=0,0,SUMIFS(Disbursements!$W:$W,Disbursements!$B:$B,'Live Collections'!D3381,Disbursements!$D:$D,'Live Collections'!F3381)),O3381,IF($O3381=0,0,SUMIFS(Disbursements!$W:$W,Disbursements!$B:$B,'Live Collections'!D3381,Disbursements!$D:$D,'Live Collections'!F3381)))</f>
        <v>0</v>
      </c>
      <c r="T3381" s="304">
        <f t="shared" si="158"/>
        <v>0</v>
      </c>
      <c r="U3381" s="52"/>
      <c r="V3381" s="34"/>
      <c r="W3381" s="408"/>
    </row>
    <row r="3382" spans="1:23" ht="12.75" customHeight="1" x14ac:dyDescent="0.2">
      <c r="A3382" s="257">
        <v>3392</v>
      </c>
      <c r="B3382" s="44">
        <v>44630</v>
      </c>
      <c r="C3382" s="44">
        <f t="shared" si="159"/>
        <v>44630</v>
      </c>
      <c r="D3382" s="374">
        <v>331</v>
      </c>
      <c r="E3382" s="291" t="str">
        <f>IFERROR(VLOOKUP($D3382,'Clients-Live'!$A:$C,3,0),"")</f>
        <v>DRANIKU ALBERT</v>
      </c>
      <c r="F3382" s="291" t="str">
        <f>IFERROR(INDEX(Disbursements!$D:$D,MATCH('Live Collections'!G3382,Disbursements!$C:$C,0)),"")</f>
        <v/>
      </c>
      <c r="G3382" s="34"/>
      <c r="H3382" s="34">
        <v>5098</v>
      </c>
      <c r="I3382" s="34" t="s">
        <v>1357</v>
      </c>
      <c r="J3382" s="48"/>
      <c r="K3382" s="48"/>
      <c r="L3382" s="48">
        <v>15000</v>
      </c>
      <c r="M3382" s="48">
        <v>5000</v>
      </c>
      <c r="N3382" s="59"/>
      <c r="O3382" s="59"/>
      <c r="P3382" s="59"/>
      <c r="Q3382" s="268">
        <f t="shared" si="160"/>
        <v>20000</v>
      </c>
      <c r="R3382" s="61">
        <f>IF(O3382=0,0,SUMIFS(Disbursements!$T:$T,Disbursements!$B:$B,'Live Collections'!D3382,Disbursements!$D:$D,'Live Collections'!F3382))</f>
        <v>0</v>
      </c>
      <c r="S3382" s="304">
        <f>IF(O3382&lt;=IF($O3382=0,0,SUMIFS(Disbursements!$W:$W,Disbursements!$B:$B,'Live Collections'!D3382,Disbursements!$D:$D,'Live Collections'!F3382)),O3382,IF($O3382=0,0,SUMIFS(Disbursements!$W:$W,Disbursements!$B:$B,'Live Collections'!D3382,Disbursements!$D:$D,'Live Collections'!F3382)))</f>
        <v>0</v>
      </c>
      <c r="T3382" s="304">
        <f t="shared" si="158"/>
        <v>0</v>
      </c>
      <c r="U3382" s="52"/>
      <c r="V3382" s="34"/>
      <c r="W3382" s="408"/>
    </row>
    <row r="3383" spans="1:23" ht="12.75" customHeight="1" x14ac:dyDescent="0.2">
      <c r="A3383" s="257">
        <v>3393</v>
      </c>
      <c r="B3383" s="44">
        <v>44630</v>
      </c>
      <c r="C3383" s="44">
        <f t="shared" si="159"/>
        <v>44630</v>
      </c>
      <c r="D3383" s="374">
        <v>331</v>
      </c>
      <c r="E3383" s="291" t="str">
        <f>IFERROR(VLOOKUP($D3383,'Clients-Live'!$A:$C,3,0),"")</f>
        <v>DRANIKU ALBERT</v>
      </c>
      <c r="F3383" s="291" t="str">
        <f>IFERROR(INDEX(Disbursements!$D:$D,MATCH('Live Collections'!G3383,Disbursements!$C:$C,0)),"")</f>
        <v/>
      </c>
      <c r="G3383" s="34"/>
      <c r="H3383" s="34">
        <v>5097</v>
      </c>
      <c r="I3383" s="34" t="s">
        <v>1357</v>
      </c>
      <c r="J3383" s="48">
        <v>15000</v>
      </c>
      <c r="K3383" s="48">
        <v>5000</v>
      </c>
      <c r="L3383" s="48"/>
      <c r="M3383" s="48"/>
      <c r="N3383" s="59"/>
      <c r="O3383" s="59"/>
      <c r="P3383" s="59"/>
      <c r="Q3383" s="268">
        <f t="shared" si="160"/>
        <v>20000</v>
      </c>
      <c r="R3383" s="61">
        <f>IF(O3383=0,0,SUMIFS(Disbursements!$T:$T,Disbursements!$B:$B,'Live Collections'!D3383,Disbursements!$D:$D,'Live Collections'!F3383))</f>
        <v>0</v>
      </c>
      <c r="S3383" s="304">
        <f>IF(O3383&lt;=IF($O3383=0,0,SUMIFS(Disbursements!$W:$W,Disbursements!$B:$B,'Live Collections'!D3383,Disbursements!$D:$D,'Live Collections'!F3383)),O3383,IF($O3383=0,0,SUMIFS(Disbursements!$W:$W,Disbursements!$B:$B,'Live Collections'!D3383,Disbursements!$D:$D,'Live Collections'!F3383)))</f>
        <v>0</v>
      </c>
      <c r="T3383" s="304">
        <f t="shared" ref="T3383:T3446" si="161">IF(O3383=0,0,O3383-S3383)</f>
        <v>0</v>
      </c>
      <c r="U3383" s="52"/>
      <c r="V3383" s="34"/>
      <c r="W3383" s="408"/>
    </row>
    <row r="3384" spans="1:23" ht="12.75" customHeight="1" x14ac:dyDescent="0.2">
      <c r="A3384" s="257">
        <v>3394</v>
      </c>
      <c r="B3384" s="44">
        <v>44630</v>
      </c>
      <c r="C3384" s="44">
        <f t="shared" si="159"/>
        <v>44630</v>
      </c>
      <c r="D3384" s="374">
        <v>180</v>
      </c>
      <c r="E3384" s="291" t="str">
        <f>IFERROR(VLOOKUP($D3384,'Clients-Live'!$A:$C,3,0),"")</f>
        <v>IJOSIGA ISMAIL</v>
      </c>
      <c r="F3384" s="291">
        <f>IFERROR(INDEX(Disbursements!$D:$D,MATCH('Live Collections'!G3384,Disbursements!$C:$C,0)),"")</f>
        <v>1</v>
      </c>
      <c r="G3384" s="34">
        <v>185</v>
      </c>
      <c r="H3384" s="34">
        <v>5096</v>
      </c>
      <c r="I3384" s="34" t="s">
        <v>1359</v>
      </c>
      <c r="J3384" s="48"/>
      <c r="K3384" s="48"/>
      <c r="L3384" s="48"/>
      <c r="M3384" s="48"/>
      <c r="N3384" s="59"/>
      <c r="O3384" s="59">
        <v>77500</v>
      </c>
      <c r="P3384" s="59"/>
      <c r="Q3384" s="268">
        <f t="shared" si="160"/>
        <v>77500</v>
      </c>
      <c r="R3384" s="61">
        <f>IF(O3384=0,0,SUMIFS(Disbursements!$T:$T,Disbursements!$B:$B,'Live Collections'!D3384,Disbursements!$D:$D,'Live Collections'!F3384))</f>
        <v>286000</v>
      </c>
      <c r="S3384" s="304"/>
      <c r="T3384" s="304">
        <f t="shared" si="161"/>
        <v>77500</v>
      </c>
      <c r="U3384" s="52"/>
      <c r="V3384" s="34"/>
      <c r="W3384" s="408"/>
    </row>
    <row r="3385" spans="1:23" ht="12.75" customHeight="1" x14ac:dyDescent="0.2">
      <c r="A3385" s="257">
        <v>3395</v>
      </c>
      <c r="B3385" s="44">
        <v>44630</v>
      </c>
      <c r="C3385" s="44">
        <f t="shared" si="159"/>
        <v>44630</v>
      </c>
      <c r="D3385" s="374">
        <v>18</v>
      </c>
      <c r="E3385" s="291" t="str">
        <f>IFERROR(VLOOKUP($D3385,'Clients-Live'!$A:$C,3,0),"")</f>
        <v>ARIYE PEACE</v>
      </c>
      <c r="F3385" s="291">
        <f>IFERROR(INDEX(Disbursements!$D:$D,MATCH('Live Collections'!G3385,Disbursements!$C:$C,0)),"")</f>
        <v>2</v>
      </c>
      <c r="G3385" s="34">
        <v>317</v>
      </c>
      <c r="H3385" s="34">
        <v>5100</v>
      </c>
      <c r="I3385" s="34" t="s">
        <v>1357</v>
      </c>
      <c r="J3385" s="48"/>
      <c r="K3385" s="48"/>
      <c r="L3385" s="48"/>
      <c r="M3385" s="48"/>
      <c r="N3385" s="59"/>
      <c r="O3385" s="59">
        <v>100000</v>
      </c>
      <c r="P3385" s="59"/>
      <c r="Q3385" s="268">
        <f t="shared" si="160"/>
        <v>100000</v>
      </c>
      <c r="R3385" s="61">
        <f>IF(O3385=0,0,SUMIFS(Disbursements!$T:$T,Disbursements!$B:$B,'Live Collections'!D3385,Disbursements!$D:$D,'Live Collections'!F3385))</f>
        <v>650000</v>
      </c>
      <c r="S3385" s="304">
        <f>IF(O3385&lt;=IF($O3385=0,0,SUMIFS(Disbursements!$W:$W,Disbursements!$B:$B,'Live Collections'!D3385,Disbursements!$D:$D,'Live Collections'!F3385)),O3385,IF($O3385=0,0,SUMIFS(Disbursements!$W:$W,Disbursements!$B:$B,'Live Collections'!D3385,Disbursements!$D:$D,'Live Collections'!F3385)))</f>
        <v>100000</v>
      </c>
      <c r="T3385" s="304">
        <f t="shared" si="161"/>
        <v>0</v>
      </c>
      <c r="U3385" s="52"/>
      <c r="V3385" s="34"/>
      <c r="W3385" s="408"/>
    </row>
    <row r="3386" spans="1:23" ht="12.75" customHeight="1" x14ac:dyDescent="0.2">
      <c r="A3386" s="257">
        <v>3396</v>
      </c>
      <c r="B3386" s="44">
        <v>44630</v>
      </c>
      <c r="C3386" s="44">
        <f t="shared" si="159"/>
        <v>44630</v>
      </c>
      <c r="D3386" s="374">
        <v>128</v>
      </c>
      <c r="E3386" s="291" t="str">
        <f>IFERROR(VLOOKUP($D3386,'Clients-Live'!$A:$C,3,0),"")</f>
        <v>AJONYE BETTY</v>
      </c>
      <c r="F3386" s="291">
        <f>IFERROR(INDEX(Disbursements!$D:$D,MATCH('Live Collections'!G3386,Disbursements!$C:$C,0)),"")</f>
        <v>2</v>
      </c>
      <c r="G3386" s="34">
        <v>289</v>
      </c>
      <c r="H3386" s="34">
        <v>5092</v>
      </c>
      <c r="I3386" s="34" t="s">
        <v>1359</v>
      </c>
      <c r="J3386" s="48"/>
      <c r="K3386" s="48"/>
      <c r="L3386" s="48">
        <v>15000</v>
      </c>
      <c r="M3386" s="48">
        <v>5000</v>
      </c>
      <c r="N3386" s="59"/>
      <c r="O3386" s="59"/>
      <c r="P3386" s="59"/>
      <c r="Q3386" s="268">
        <f t="shared" si="160"/>
        <v>20000</v>
      </c>
      <c r="R3386" s="61">
        <f>IF(O3386=0,0,SUMIFS(Disbursements!$T:$T,Disbursements!$B:$B,'Live Collections'!D3386,Disbursements!$D:$D,'Live Collections'!F3386))</f>
        <v>0</v>
      </c>
      <c r="S3386" s="304">
        <f>IF(O3386&lt;=IF($O3386=0,0,SUMIFS(Disbursements!$W:$W,Disbursements!$B:$B,'Live Collections'!D3386,Disbursements!$D:$D,'Live Collections'!F3386)),O3386,IF($O3386=0,0,SUMIFS(Disbursements!$W:$W,Disbursements!$B:$B,'Live Collections'!D3386,Disbursements!$D:$D,'Live Collections'!F3386)))</f>
        <v>0</v>
      </c>
      <c r="T3386" s="304">
        <f t="shared" si="161"/>
        <v>0</v>
      </c>
      <c r="U3386" s="52"/>
      <c r="V3386" s="34"/>
      <c r="W3386" s="408"/>
    </row>
    <row r="3387" spans="1:23" ht="12.75" customHeight="1" x14ac:dyDescent="0.2">
      <c r="A3387" s="257">
        <v>3397</v>
      </c>
      <c r="B3387" s="44">
        <v>44630</v>
      </c>
      <c r="C3387" s="44">
        <f t="shared" si="159"/>
        <v>44630</v>
      </c>
      <c r="D3387" s="374">
        <v>118</v>
      </c>
      <c r="E3387" s="291" t="str">
        <f>IFERROR(VLOOKUP($D3387,'Clients-Live'!$A:$C,3,0),"")</f>
        <v>ONYANGO CHARLES JOGOO</v>
      </c>
      <c r="F3387" s="291">
        <f>IFERROR(INDEX(Disbursements!$D:$D,MATCH('Live Collections'!G3387,Disbursements!$C:$C,0)),"")</f>
        <v>1</v>
      </c>
      <c r="G3387" s="34">
        <v>109</v>
      </c>
      <c r="H3387" s="34" t="s">
        <v>2196</v>
      </c>
      <c r="I3387" s="34" t="s">
        <v>1358</v>
      </c>
      <c r="J3387" s="48"/>
      <c r="K3387" s="48"/>
      <c r="L3387" s="48"/>
      <c r="M3387" s="48"/>
      <c r="N3387" s="59"/>
      <c r="O3387" s="59">
        <v>100000</v>
      </c>
      <c r="P3387" s="59">
        <v>-100000</v>
      </c>
      <c r="Q3387" s="268">
        <f t="shared" si="160"/>
        <v>0</v>
      </c>
      <c r="R3387" s="61">
        <f>IF(O3387=0,0,SUMIFS(Disbursements!$T:$T,Disbursements!$B:$B,'Live Collections'!D3387,Disbursements!$D:$D,'Live Collections'!F3387))</f>
        <v>217000</v>
      </c>
      <c r="S3387" s="304"/>
      <c r="T3387" s="304">
        <f t="shared" si="161"/>
        <v>100000</v>
      </c>
      <c r="U3387" s="52"/>
      <c r="V3387" s="34"/>
      <c r="W3387" s="408"/>
    </row>
    <row r="3388" spans="1:23" ht="12.75" customHeight="1" x14ac:dyDescent="0.2">
      <c r="A3388" s="257">
        <v>3398</v>
      </c>
      <c r="B3388" s="44">
        <v>44630</v>
      </c>
      <c r="C3388" s="44">
        <f t="shared" si="159"/>
        <v>44630</v>
      </c>
      <c r="D3388" s="374">
        <v>118</v>
      </c>
      <c r="E3388" s="291" t="str">
        <f>IFERROR(VLOOKUP($D3388,'Clients-Live'!$A:$C,3,0),"")</f>
        <v>ONYANGO CHARLES JOGOO</v>
      </c>
      <c r="F3388" s="291">
        <f>IFERROR(INDEX(Disbursements!$D:$D,MATCH('Live Collections'!G3388,Disbursements!$C:$C,0)),"")</f>
        <v>1</v>
      </c>
      <c r="G3388" s="34">
        <v>109</v>
      </c>
      <c r="H3388" s="34">
        <v>5091</v>
      </c>
      <c r="I3388" s="34" t="s">
        <v>1358</v>
      </c>
      <c r="J3388" s="48"/>
      <c r="K3388" s="48"/>
      <c r="L3388" s="48"/>
      <c r="M3388" s="48"/>
      <c r="N3388" s="59"/>
      <c r="O3388" s="59">
        <v>66600</v>
      </c>
      <c r="P3388" s="59"/>
      <c r="Q3388" s="268">
        <f t="shared" si="160"/>
        <v>66600</v>
      </c>
      <c r="R3388" s="61">
        <f>IF(O3388=0,0,SUMIFS(Disbursements!$T:$T,Disbursements!$B:$B,'Live Collections'!D3388,Disbursements!$D:$D,'Live Collections'!F3388))</f>
        <v>217000</v>
      </c>
      <c r="S3388" s="64">
        <v>34666.666666666744</v>
      </c>
      <c r="T3388" s="304">
        <f t="shared" si="161"/>
        <v>31933.333333333256</v>
      </c>
      <c r="U3388" s="52"/>
      <c r="V3388" s="34"/>
      <c r="W3388" s="408"/>
    </row>
    <row r="3389" spans="1:23" ht="12.75" customHeight="1" x14ac:dyDescent="0.2">
      <c r="A3389" s="257">
        <v>3399</v>
      </c>
      <c r="B3389" s="44">
        <v>44630</v>
      </c>
      <c r="C3389" s="44">
        <f t="shared" si="159"/>
        <v>44630</v>
      </c>
      <c r="D3389" s="374">
        <v>292</v>
      </c>
      <c r="E3389" s="291" t="str">
        <f>IFERROR(VLOOKUP($D3389,'Clients-Live'!$A:$C,3,0),"")</f>
        <v>AFEKU DENIS</v>
      </c>
      <c r="F3389" s="291">
        <f>IFERROR(INDEX(Disbursements!$D:$D,MATCH('Live Collections'!G3389,Disbursements!$C:$C,0)),"")</f>
        <v>1</v>
      </c>
      <c r="G3389" s="34">
        <v>368</v>
      </c>
      <c r="H3389" s="34">
        <v>5089</v>
      </c>
      <c r="I3389" s="34" t="s">
        <v>1359</v>
      </c>
      <c r="J3389" s="48"/>
      <c r="K3389" s="48"/>
      <c r="L3389" s="48"/>
      <c r="M3389" s="48"/>
      <c r="N3389" s="59"/>
      <c r="O3389" s="59">
        <v>500000</v>
      </c>
      <c r="P3389" s="59"/>
      <c r="Q3389" s="268">
        <f t="shared" si="160"/>
        <v>500000</v>
      </c>
      <c r="R3389" s="61">
        <f>IF(O3389=0,0,SUMIFS(Disbursements!$T:$T,Disbursements!$B:$B,'Live Collections'!D3389,Disbursements!$D:$D,'Live Collections'!F3389))</f>
        <v>2600000</v>
      </c>
      <c r="S3389" s="304">
        <f>IF(O3389&lt;=IF($O3389=0,0,SUMIFS(Disbursements!$W:$W,Disbursements!$B:$B,'Live Collections'!D3389,Disbursements!$D:$D,'Live Collections'!F3389)),O3389,IF($O3389=0,0,SUMIFS(Disbursements!$W:$W,Disbursements!$B:$B,'Live Collections'!D3389,Disbursements!$D:$D,'Live Collections'!F3389)))</f>
        <v>500000</v>
      </c>
      <c r="T3389" s="304">
        <f t="shared" si="161"/>
        <v>0</v>
      </c>
      <c r="U3389" s="52"/>
      <c r="V3389" s="34"/>
      <c r="W3389" s="408"/>
    </row>
    <row r="3390" spans="1:23" ht="12.75" customHeight="1" x14ac:dyDescent="0.2">
      <c r="A3390" s="257">
        <v>3400</v>
      </c>
      <c r="B3390" s="44">
        <v>44630</v>
      </c>
      <c r="C3390" s="44">
        <f t="shared" si="159"/>
        <v>44630</v>
      </c>
      <c r="D3390" s="374">
        <v>331</v>
      </c>
      <c r="E3390" s="291" t="str">
        <f>IFERROR(VLOOKUP($D3390,'Clients-Live'!$A:$C,3,0),"")</f>
        <v>DRANIKU ALBERT</v>
      </c>
      <c r="F3390" s="291">
        <f>IFERROR(INDEX(Disbursements!$D:$D,MATCH('Live Collections'!G3390,Disbursements!$C:$C,0)),"")</f>
        <v>1</v>
      </c>
      <c r="G3390" s="34">
        <v>457</v>
      </c>
      <c r="H3390" s="34">
        <v>5129</v>
      </c>
      <c r="I3390" s="34" t="s">
        <v>1357</v>
      </c>
      <c r="J3390" s="48"/>
      <c r="K3390" s="48"/>
      <c r="L3390" s="48"/>
      <c r="M3390" s="48"/>
      <c r="N3390" s="59"/>
      <c r="O3390" s="59"/>
      <c r="P3390" s="59">
        <v>40000</v>
      </c>
      <c r="Q3390" s="268">
        <f t="shared" si="160"/>
        <v>40000</v>
      </c>
      <c r="R3390" s="61">
        <f>IF(O3390=0,0,SUMIFS(Disbursements!$T:$T,Disbursements!$B:$B,'Live Collections'!D3390,Disbursements!$D:$D,'Live Collections'!F3390))</f>
        <v>0</v>
      </c>
      <c r="S3390" s="304">
        <f>IF(O3390&lt;=IF($O3390=0,0,SUMIFS(Disbursements!$W:$W,Disbursements!$B:$B,'Live Collections'!D3390,Disbursements!$D:$D,'Live Collections'!F3390)),O3390,IF($O3390=0,0,SUMIFS(Disbursements!$W:$W,Disbursements!$B:$B,'Live Collections'!D3390,Disbursements!$D:$D,'Live Collections'!F3390)))</f>
        <v>0</v>
      </c>
      <c r="T3390" s="304">
        <f t="shared" si="161"/>
        <v>0</v>
      </c>
      <c r="U3390" s="52"/>
      <c r="V3390" s="34"/>
      <c r="W3390" s="408"/>
    </row>
    <row r="3391" spans="1:23" ht="12.75" customHeight="1" x14ac:dyDescent="0.2">
      <c r="A3391" s="257">
        <v>3401</v>
      </c>
      <c r="B3391" s="44">
        <v>44630</v>
      </c>
      <c r="C3391" s="44">
        <f t="shared" ref="C3391:C3454" si="162">B3391</f>
        <v>44630</v>
      </c>
      <c r="D3391" s="374">
        <v>187</v>
      </c>
      <c r="E3391" s="291" t="str">
        <f>IFERROR(VLOOKUP($D3391,'Clients-Live'!$A:$C,3,0),"")</f>
        <v xml:space="preserve">AJIO HARRIET </v>
      </c>
      <c r="F3391" s="291" t="str">
        <f>IFERROR(INDEX(Disbursements!$D:$D,MATCH('Live Collections'!G3391,Disbursements!$C:$C,0)),"")</f>
        <v/>
      </c>
      <c r="G3391" s="34"/>
      <c r="H3391" s="34">
        <v>5130</v>
      </c>
      <c r="I3391" s="34" t="s">
        <v>1358</v>
      </c>
      <c r="J3391" s="48"/>
      <c r="K3391" s="48"/>
      <c r="L3391" s="48">
        <v>15000</v>
      </c>
      <c r="M3391" s="48">
        <v>5000</v>
      </c>
      <c r="N3391" s="59"/>
      <c r="O3391" s="59"/>
      <c r="P3391" s="59"/>
      <c r="Q3391" s="268">
        <f t="shared" si="160"/>
        <v>20000</v>
      </c>
      <c r="R3391" s="61">
        <f>IF(O3391=0,0,SUMIFS(Disbursements!$T:$T,Disbursements!$B:$B,'Live Collections'!D3391,Disbursements!$D:$D,'Live Collections'!F3391))</f>
        <v>0</v>
      </c>
      <c r="S3391" s="304">
        <f>IF(O3391&lt;=IF($O3391=0,0,SUMIFS(Disbursements!$W:$W,Disbursements!$B:$B,'Live Collections'!D3391,Disbursements!$D:$D,'Live Collections'!F3391)),O3391,IF($O3391=0,0,SUMIFS(Disbursements!$W:$W,Disbursements!$B:$B,'Live Collections'!D3391,Disbursements!$D:$D,'Live Collections'!F3391)))</f>
        <v>0</v>
      </c>
      <c r="T3391" s="304">
        <f t="shared" si="161"/>
        <v>0</v>
      </c>
      <c r="U3391" s="52"/>
      <c r="V3391" s="34"/>
      <c r="W3391" s="408"/>
    </row>
    <row r="3392" spans="1:23" ht="12.75" customHeight="1" x14ac:dyDescent="0.2">
      <c r="A3392" s="257">
        <v>3402</v>
      </c>
      <c r="B3392" s="44">
        <v>44630</v>
      </c>
      <c r="C3392" s="44">
        <f t="shared" si="162"/>
        <v>44630</v>
      </c>
      <c r="D3392" s="374">
        <v>332</v>
      </c>
      <c r="E3392" s="291" t="str">
        <f>IFERROR(VLOOKUP($D3392,'Clients-Live'!$A:$C,3,0),"")</f>
        <v>SSEKITOOLEKO MUGABI</v>
      </c>
      <c r="F3392" s="291" t="str">
        <f>IFERROR(INDEX(Disbursements!$D:$D,MATCH('Live Collections'!G3392,Disbursements!$C:$C,0)),"")</f>
        <v/>
      </c>
      <c r="G3392" s="34"/>
      <c r="H3392" s="34">
        <v>5132</v>
      </c>
      <c r="I3392" s="34" t="s">
        <v>1359</v>
      </c>
      <c r="J3392" s="48">
        <v>15000</v>
      </c>
      <c r="K3392" s="48">
        <v>5000</v>
      </c>
      <c r="L3392" s="48"/>
      <c r="M3392" s="48"/>
      <c r="N3392" s="59"/>
      <c r="O3392" s="59"/>
      <c r="P3392" s="59"/>
      <c r="Q3392" s="268">
        <f t="shared" si="160"/>
        <v>20000</v>
      </c>
      <c r="R3392" s="61">
        <f>IF(O3392=0,0,SUMIFS(Disbursements!$T:$T,Disbursements!$B:$B,'Live Collections'!D3392,Disbursements!$D:$D,'Live Collections'!F3392))</f>
        <v>0</v>
      </c>
      <c r="S3392" s="304">
        <f>IF(O3392&lt;=IF($O3392=0,0,SUMIFS(Disbursements!$W:$W,Disbursements!$B:$B,'Live Collections'!D3392,Disbursements!$D:$D,'Live Collections'!F3392)),O3392,IF($O3392=0,0,SUMIFS(Disbursements!$W:$W,Disbursements!$B:$B,'Live Collections'!D3392,Disbursements!$D:$D,'Live Collections'!F3392)))</f>
        <v>0</v>
      </c>
      <c r="T3392" s="304">
        <f t="shared" si="161"/>
        <v>0</v>
      </c>
      <c r="U3392" s="52"/>
      <c r="V3392" s="34"/>
      <c r="W3392" s="408"/>
    </row>
    <row r="3393" spans="1:23" ht="12.75" customHeight="1" x14ac:dyDescent="0.2">
      <c r="A3393" s="257">
        <v>3403</v>
      </c>
      <c r="B3393" s="44">
        <v>44630</v>
      </c>
      <c r="C3393" s="44">
        <f t="shared" si="162"/>
        <v>44630</v>
      </c>
      <c r="D3393" s="374">
        <v>332</v>
      </c>
      <c r="E3393" s="291" t="str">
        <f>IFERROR(VLOOKUP($D3393,'Clients-Live'!$A:$C,3,0),"")</f>
        <v>SSEKITOOLEKO MUGABI</v>
      </c>
      <c r="F3393" s="291" t="str">
        <f>IFERROR(INDEX(Disbursements!$D:$D,MATCH('Live Collections'!G3393,Disbursements!$C:$C,0)),"")</f>
        <v/>
      </c>
      <c r="G3393" s="34"/>
      <c r="H3393" s="34">
        <v>5133</v>
      </c>
      <c r="I3393" s="34" t="s">
        <v>1359</v>
      </c>
      <c r="J3393" s="48"/>
      <c r="K3393" s="48"/>
      <c r="L3393" s="48">
        <v>30000</v>
      </c>
      <c r="M3393" s="48">
        <v>5000</v>
      </c>
      <c r="N3393" s="59"/>
      <c r="O3393" s="59"/>
      <c r="P3393" s="59"/>
      <c r="Q3393" s="268">
        <f t="shared" si="160"/>
        <v>35000</v>
      </c>
      <c r="R3393" s="61">
        <f>IF(O3393=0,0,SUMIFS(Disbursements!$T:$T,Disbursements!$B:$B,'Live Collections'!D3393,Disbursements!$D:$D,'Live Collections'!F3393))</f>
        <v>0</v>
      </c>
      <c r="S3393" s="304">
        <f>IF(O3393&lt;=IF($O3393=0,0,SUMIFS(Disbursements!$W:$W,Disbursements!$B:$B,'Live Collections'!D3393,Disbursements!$D:$D,'Live Collections'!F3393)),O3393,IF($O3393=0,0,SUMIFS(Disbursements!$W:$W,Disbursements!$B:$B,'Live Collections'!D3393,Disbursements!$D:$D,'Live Collections'!F3393)))</f>
        <v>0</v>
      </c>
      <c r="T3393" s="304">
        <f t="shared" si="161"/>
        <v>0</v>
      </c>
      <c r="U3393" s="52"/>
      <c r="V3393" s="34"/>
      <c r="W3393" s="408"/>
    </row>
    <row r="3394" spans="1:23" ht="12.75" customHeight="1" x14ac:dyDescent="0.2">
      <c r="A3394" s="257">
        <v>3404</v>
      </c>
      <c r="B3394" s="44">
        <v>44630</v>
      </c>
      <c r="C3394" s="44">
        <f t="shared" si="162"/>
        <v>44630</v>
      </c>
      <c r="D3394" s="374">
        <v>3</v>
      </c>
      <c r="E3394" s="291" t="str">
        <f>IFERROR(VLOOKUP($D3394,'Clients-Live'!$A:$C,3,0),"")</f>
        <v>YEKA ARIJABU</v>
      </c>
      <c r="F3394" s="291">
        <f>IFERROR(INDEX(Disbursements!$D:$D,MATCH('Live Collections'!G3394,Disbursements!$C:$C,0)),"")</f>
        <v>2</v>
      </c>
      <c r="G3394" s="34">
        <v>443</v>
      </c>
      <c r="H3394" s="34">
        <v>5094</v>
      </c>
      <c r="I3394" s="34" t="s">
        <v>1357</v>
      </c>
      <c r="J3394" s="48"/>
      <c r="K3394" s="48"/>
      <c r="L3394" s="48"/>
      <c r="M3394" s="48"/>
      <c r="N3394" s="59"/>
      <c r="O3394" s="59">
        <v>70000</v>
      </c>
      <c r="P3394" s="59"/>
      <c r="Q3394" s="268">
        <f t="shared" si="160"/>
        <v>70000</v>
      </c>
      <c r="R3394" s="61">
        <f>IF(O3394=0,0,SUMIFS(Disbursements!$T:$T,Disbursements!$B:$B,'Live Collections'!D3394,Disbursements!$D:$D,'Live Collections'!F3394))</f>
        <v>116000</v>
      </c>
      <c r="S3394" s="304">
        <f>IF(O3394&lt;=IF($O3394=0,0,SUMIFS(Disbursements!$W:$W,Disbursements!$B:$B,'Live Collections'!D3394,Disbursements!$D:$D,'Live Collections'!F3394)),O3394,IF($O3394=0,0,SUMIFS(Disbursements!$W:$W,Disbursements!$B:$B,'Live Collections'!D3394,Disbursements!$D:$D,'Live Collections'!F3394)))</f>
        <v>32666.666666666672</v>
      </c>
      <c r="T3394" s="304">
        <f t="shared" si="161"/>
        <v>37333.333333333328</v>
      </c>
      <c r="U3394" s="52"/>
      <c r="V3394" s="34"/>
      <c r="W3394" s="408"/>
    </row>
    <row r="3395" spans="1:23" ht="12.75" customHeight="1" x14ac:dyDescent="0.2">
      <c r="A3395" s="257">
        <v>3405</v>
      </c>
      <c r="B3395" s="44">
        <v>44630</v>
      </c>
      <c r="C3395" s="44">
        <f t="shared" si="162"/>
        <v>44630</v>
      </c>
      <c r="D3395" s="374">
        <v>85</v>
      </c>
      <c r="E3395" s="291" t="str">
        <f>IFERROR(VLOOKUP($D3395,'Clients-Live'!$A:$C,3,0),"")</f>
        <v>CEASER SWALEH</v>
      </c>
      <c r="F3395" s="291">
        <f>IFERROR(INDEX(Disbursements!$D:$D,MATCH('Live Collections'!G3395,Disbursements!$C:$C,0)),"")</f>
        <v>3</v>
      </c>
      <c r="G3395" s="34">
        <v>413</v>
      </c>
      <c r="H3395" s="34">
        <v>5093</v>
      </c>
      <c r="I3395" s="34" t="s">
        <v>1357</v>
      </c>
      <c r="J3395" s="48"/>
      <c r="K3395" s="48"/>
      <c r="L3395" s="48"/>
      <c r="M3395" s="48"/>
      <c r="N3395" s="59"/>
      <c r="O3395" s="59">
        <v>181000</v>
      </c>
      <c r="P3395" s="59"/>
      <c r="Q3395" s="268">
        <f t="shared" si="160"/>
        <v>181000</v>
      </c>
      <c r="R3395" s="61">
        <f>IF(O3395=0,0,SUMIFS(Disbursements!$T:$T,Disbursements!$B:$B,'Live Collections'!D3395,Disbursements!$D:$D,'Live Collections'!F3395))</f>
        <v>788000</v>
      </c>
      <c r="S3395" s="304">
        <f>IF(O3395&lt;=IF($O3395=0,0,SUMIFS(Disbursements!$W:$W,Disbursements!$B:$B,'Live Collections'!D3395,Disbursements!$D:$D,'Live Collections'!F3395)),O3395,IF($O3395=0,0,SUMIFS(Disbursements!$W:$W,Disbursements!$B:$B,'Live Collections'!D3395,Disbursements!$D:$D,'Live Collections'!F3395)))</f>
        <v>163000</v>
      </c>
      <c r="T3395" s="304">
        <f t="shared" si="161"/>
        <v>18000</v>
      </c>
      <c r="U3395" s="52"/>
      <c r="V3395" s="34"/>
      <c r="W3395" s="408"/>
    </row>
    <row r="3396" spans="1:23" ht="12.75" customHeight="1" x14ac:dyDescent="0.2">
      <c r="A3396" s="257">
        <v>3406</v>
      </c>
      <c r="B3396" s="44">
        <v>44631</v>
      </c>
      <c r="C3396" s="44">
        <f t="shared" si="162"/>
        <v>44631</v>
      </c>
      <c r="D3396" s="374">
        <v>31</v>
      </c>
      <c r="E3396" s="291" t="str">
        <f>IFERROR(VLOOKUP($D3396,'Clients-Live'!$A:$C,3,0),"")</f>
        <v>MUNDURU HARRIET</v>
      </c>
      <c r="F3396" s="291">
        <f>IFERROR(INDEX(Disbursements!$D:$D,MATCH('Live Collections'!G3396,Disbursements!$C:$C,0)),"")</f>
        <v>2</v>
      </c>
      <c r="G3396" s="34">
        <v>260</v>
      </c>
      <c r="H3396" s="34" t="s">
        <v>2215</v>
      </c>
      <c r="I3396" s="34" t="s">
        <v>1357</v>
      </c>
      <c r="J3396" s="48"/>
      <c r="K3396" s="48"/>
      <c r="L3396" s="48"/>
      <c r="M3396" s="48"/>
      <c r="N3396" s="59"/>
      <c r="O3396" s="59">
        <v>60000</v>
      </c>
      <c r="P3396" s="59">
        <v>-60000</v>
      </c>
      <c r="Q3396" s="268">
        <f t="shared" si="160"/>
        <v>0</v>
      </c>
      <c r="R3396" s="61">
        <f>IF(O3396=0,0,SUMIFS(Disbursements!$T:$T,Disbursements!$B:$B,'Live Collections'!D3396,Disbursements!$D:$D,'Live Collections'!F3396))</f>
        <v>150000</v>
      </c>
      <c r="S3396" s="304"/>
      <c r="T3396" s="304">
        <f t="shared" si="161"/>
        <v>60000</v>
      </c>
      <c r="U3396" s="52"/>
      <c r="V3396" s="34"/>
      <c r="W3396" s="408"/>
    </row>
    <row r="3397" spans="1:23" ht="12.75" customHeight="1" x14ac:dyDescent="0.2">
      <c r="A3397" s="257">
        <v>3407</v>
      </c>
      <c r="B3397" s="44">
        <v>44631</v>
      </c>
      <c r="C3397" s="44">
        <f t="shared" si="162"/>
        <v>44631</v>
      </c>
      <c r="D3397" s="374">
        <v>31</v>
      </c>
      <c r="E3397" s="291" t="str">
        <f>IFERROR(VLOOKUP($D3397,'Clients-Live'!$A:$C,3,0),"")</f>
        <v>MUNDURU HARRIET</v>
      </c>
      <c r="F3397" s="291">
        <f>IFERROR(INDEX(Disbursements!$D:$D,MATCH('Live Collections'!G3397,Disbursements!$C:$C,0)),"")</f>
        <v>2</v>
      </c>
      <c r="G3397" s="34">
        <v>260</v>
      </c>
      <c r="H3397" s="34">
        <v>5071</v>
      </c>
      <c r="I3397" s="34" t="s">
        <v>1357</v>
      </c>
      <c r="J3397" s="48"/>
      <c r="K3397" s="48"/>
      <c r="L3397" s="48"/>
      <c r="M3397" s="48"/>
      <c r="N3397" s="59"/>
      <c r="O3397" s="59">
        <v>100000</v>
      </c>
      <c r="P3397" s="59"/>
      <c r="Q3397" s="268">
        <f t="shared" si="160"/>
        <v>100000</v>
      </c>
      <c r="R3397" s="61">
        <f>IF(O3397=0,0,SUMIFS(Disbursements!$T:$T,Disbursements!$B:$B,'Live Collections'!D3397,Disbursements!$D:$D,'Live Collections'!F3397))</f>
        <v>150000</v>
      </c>
      <c r="S3397" s="304"/>
      <c r="T3397" s="304">
        <f t="shared" si="161"/>
        <v>100000</v>
      </c>
      <c r="U3397" s="52"/>
      <c r="V3397" s="34"/>
      <c r="W3397" s="408"/>
    </row>
    <row r="3398" spans="1:23" ht="12.75" customHeight="1" x14ac:dyDescent="0.2">
      <c r="A3398" s="257">
        <v>3408</v>
      </c>
      <c r="B3398" s="44">
        <v>44631</v>
      </c>
      <c r="C3398" s="44">
        <f t="shared" si="162"/>
        <v>44631</v>
      </c>
      <c r="D3398" s="374">
        <v>66</v>
      </c>
      <c r="E3398" s="291" t="str">
        <f>IFERROR(VLOOKUP($D3398,'Clients-Live'!$A:$C,3,0),"")</f>
        <v>DENAYA NYAMAZA</v>
      </c>
      <c r="F3398" s="291">
        <f>IFERROR(INDEX(Disbursements!$D:$D,MATCH('Live Collections'!G3398,Disbursements!$C:$C,0)),"")</f>
        <v>2</v>
      </c>
      <c r="G3398" s="34">
        <v>300</v>
      </c>
      <c r="H3398" s="34">
        <v>5070</v>
      </c>
      <c r="I3398" s="34" t="s">
        <v>1357</v>
      </c>
      <c r="J3398" s="48"/>
      <c r="K3398" s="48"/>
      <c r="L3398" s="48"/>
      <c r="M3398" s="48"/>
      <c r="N3398" s="59"/>
      <c r="O3398" s="59">
        <v>100000</v>
      </c>
      <c r="P3398" s="59"/>
      <c r="Q3398" s="268">
        <f t="shared" si="160"/>
        <v>100000</v>
      </c>
      <c r="R3398" s="61">
        <f>IF(O3398=0,0,SUMIFS(Disbursements!$T:$T,Disbursements!$B:$B,'Live Collections'!D3398,Disbursements!$D:$D,'Live Collections'!F3398))</f>
        <v>109000</v>
      </c>
      <c r="S3398" s="304">
        <f>IF(O3398&lt;=IF($O3398=0,0,SUMIFS(Disbursements!$W:$W,Disbursements!$B:$B,'Live Collections'!D3398,Disbursements!$D:$D,'Live Collections'!F3398)),O3398,IF($O3398=0,0,SUMIFS(Disbursements!$W:$W,Disbursements!$B:$B,'Live Collections'!D3398,Disbursements!$D:$D,'Live Collections'!F3398)))</f>
        <v>25666.666666666672</v>
      </c>
      <c r="T3398" s="304">
        <f t="shared" si="161"/>
        <v>74333.333333333328</v>
      </c>
      <c r="U3398" s="52"/>
      <c r="V3398" s="34"/>
      <c r="W3398" s="408"/>
    </row>
    <row r="3399" spans="1:23" ht="12.75" customHeight="1" x14ac:dyDescent="0.2">
      <c r="A3399" s="257">
        <v>3409</v>
      </c>
      <c r="B3399" s="44">
        <v>44631</v>
      </c>
      <c r="C3399" s="44">
        <f t="shared" si="162"/>
        <v>44631</v>
      </c>
      <c r="D3399" s="374">
        <v>185</v>
      </c>
      <c r="E3399" s="291" t="str">
        <f>IFERROR(VLOOKUP($D3399,'Clients-Live'!$A:$C,3,0),"")</f>
        <v>APAYI HARRIET</v>
      </c>
      <c r="F3399" s="291">
        <f>IFERROR(INDEX(Disbursements!$D:$D,MATCH('Live Collections'!G3399,Disbursements!$C:$C,0)),"")</f>
        <v>2</v>
      </c>
      <c r="G3399" s="34">
        <v>360</v>
      </c>
      <c r="H3399" s="34">
        <v>5073</v>
      </c>
      <c r="I3399" s="34" t="s">
        <v>1357</v>
      </c>
      <c r="J3399" s="48"/>
      <c r="K3399" s="48"/>
      <c r="L3399" s="48"/>
      <c r="M3399" s="48"/>
      <c r="N3399" s="59"/>
      <c r="O3399" s="59">
        <v>194000</v>
      </c>
      <c r="P3399" s="59"/>
      <c r="Q3399" s="268">
        <f t="shared" si="160"/>
        <v>194000</v>
      </c>
      <c r="R3399" s="61">
        <f>IF(O3399=0,0,SUMIFS(Disbursements!$T:$T,Disbursements!$B:$B,'Live Collections'!D3399,Disbursements!$D:$D,'Live Collections'!F3399))</f>
        <v>325000</v>
      </c>
      <c r="S3399" s="304">
        <f>IF(O3399&lt;=IF($O3399=0,0,SUMIFS(Disbursements!$W:$W,Disbursements!$B:$B,'Live Collections'!D3399,Disbursements!$D:$D,'Live Collections'!F3399)),O3399,IF($O3399=0,0,SUMIFS(Disbursements!$W:$W,Disbursements!$B:$B,'Live Collections'!D3399,Disbursements!$D:$D,'Live Collections'!F3399)))</f>
        <v>75000</v>
      </c>
      <c r="T3399" s="304">
        <f t="shared" si="161"/>
        <v>119000</v>
      </c>
      <c r="U3399" s="52"/>
      <c r="V3399" s="34"/>
      <c r="W3399" s="408"/>
    </row>
    <row r="3400" spans="1:23" ht="12.75" customHeight="1" x14ac:dyDescent="0.2">
      <c r="A3400" s="257">
        <v>3410</v>
      </c>
      <c r="B3400" s="44">
        <v>44631</v>
      </c>
      <c r="C3400" s="44">
        <f t="shared" si="162"/>
        <v>44631</v>
      </c>
      <c r="D3400" s="374">
        <v>53</v>
      </c>
      <c r="E3400" s="291" t="str">
        <f>IFERROR(VLOOKUP($D3400,'Clients-Live'!$A:$C,3,0),"")</f>
        <v>KALSUMU INNOCENT</v>
      </c>
      <c r="F3400" s="291">
        <f>IFERROR(INDEX(Disbursements!$D:$D,MATCH('Live Collections'!G3400,Disbursements!$C:$C,0)),"")</f>
        <v>2</v>
      </c>
      <c r="G3400" s="34">
        <v>329</v>
      </c>
      <c r="H3400" s="34">
        <v>5208</v>
      </c>
      <c r="I3400" s="34" t="s">
        <v>1358</v>
      </c>
      <c r="J3400" s="48"/>
      <c r="K3400" s="48"/>
      <c r="L3400" s="48"/>
      <c r="M3400" s="48"/>
      <c r="N3400" s="59"/>
      <c r="O3400" s="59">
        <v>195000</v>
      </c>
      <c r="P3400" s="59"/>
      <c r="Q3400" s="268">
        <f t="shared" si="160"/>
        <v>195000</v>
      </c>
      <c r="R3400" s="61">
        <f>IF(O3400=0,0,SUMIFS(Disbursements!$T:$T,Disbursements!$B:$B,'Live Collections'!D3400,Disbursements!$D:$D,'Live Collections'!F3400))</f>
        <v>195000</v>
      </c>
      <c r="S3400" s="304">
        <f>IF(O3400&lt;=IF($O3400=0,0,SUMIFS(Disbursements!$W:$W,Disbursements!$B:$B,'Live Collections'!D3400,Disbursements!$D:$D,'Live Collections'!F3400)),O3400,IF($O3400=0,0,SUMIFS(Disbursements!$W:$W,Disbursements!$B:$B,'Live Collections'!D3400,Disbursements!$D:$D,'Live Collections'!F3400)))</f>
        <v>45000</v>
      </c>
      <c r="T3400" s="304">
        <f t="shared" si="161"/>
        <v>150000</v>
      </c>
      <c r="U3400" s="52"/>
      <c r="V3400" s="34"/>
      <c r="W3400" s="408"/>
    </row>
    <row r="3401" spans="1:23" ht="12.75" customHeight="1" x14ac:dyDescent="0.2">
      <c r="A3401" s="257">
        <v>3411</v>
      </c>
      <c r="B3401" s="44">
        <v>44631</v>
      </c>
      <c r="C3401" s="44">
        <f t="shared" si="162"/>
        <v>44631</v>
      </c>
      <c r="D3401" s="374">
        <v>335</v>
      </c>
      <c r="E3401" s="291" t="str">
        <f>IFERROR(VLOOKUP($D3401,'Clients-Live'!$A:$C,3,0),"")</f>
        <v>FOGO FRANCIS DRANI</v>
      </c>
      <c r="F3401" s="291" t="str">
        <f>IFERROR(INDEX(Disbursements!$D:$D,MATCH('Live Collections'!G3401,Disbursements!$C:$C,0)),"")</f>
        <v/>
      </c>
      <c r="G3401" s="34"/>
      <c r="H3401" s="34">
        <v>5207</v>
      </c>
      <c r="I3401" s="34" t="s">
        <v>1760</v>
      </c>
      <c r="J3401" s="48">
        <v>15000</v>
      </c>
      <c r="K3401" s="48">
        <v>5000</v>
      </c>
      <c r="L3401" s="48"/>
      <c r="M3401" s="48"/>
      <c r="N3401" s="59"/>
      <c r="O3401" s="59"/>
      <c r="P3401" s="59"/>
      <c r="Q3401" s="268">
        <f t="shared" si="160"/>
        <v>20000</v>
      </c>
      <c r="R3401" s="61">
        <f>IF(O3401=0,0,SUMIFS(Disbursements!$T:$T,Disbursements!$B:$B,'Live Collections'!D3401,Disbursements!$D:$D,'Live Collections'!F3401))</f>
        <v>0</v>
      </c>
      <c r="S3401" s="304">
        <f>IF(O3401&lt;=IF($O3401=0,0,SUMIFS(Disbursements!$W:$W,Disbursements!$B:$B,'Live Collections'!D3401,Disbursements!$D:$D,'Live Collections'!F3401)),O3401,IF($O3401=0,0,SUMIFS(Disbursements!$W:$W,Disbursements!$B:$B,'Live Collections'!D3401,Disbursements!$D:$D,'Live Collections'!F3401)))</f>
        <v>0</v>
      </c>
      <c r="T3401" s="304">
        <f t="shared" si="161"/>
        <v>0</v>
      </c>
      <c r="U3401" s="52"/>
      <c r="V3401" s="34"/>
      <c r="W3401" s="408"/>
    </row>
    <row r="3402" spans="1:23" ht="12.75" customHeight="1" x14ac:dyDescent="0.2">
      <c r="A3402" s="257">
        <v>3412</v>
      </c>
      <c r="B3402" s="44">
        <v>44631</v>
      </c>
      <c r="C3402" s="44">
        <f t="shared" si="162"/>
        <v>44631</v>
      </c>
      <c r="D3402" s="374">
        <v>334</v>
      </c>
      <c r="E3402" s="291" t="str">
        <f>IFERROR(VLOOKUP($D3402,'Clients-Live'!$A:$C,3,0),"")</f>
        <v>MORO YASSINI NURU DRILIGA</v>
      </c>
      <c r="F3402" s="291" t="str">
        <f>IFERROR(INDEX(Disbursements!$D:$D,MATCH('Live Collections'!G3402,Disbursements!$C:$C,0)),"")</f>
        <v/>
      </c>
      <c r="G3402" s="34"/>
      <c r="H3402" s="34">
        <v>5206</v>
      </c>
      <c r="I3402" s="34" t="s">
        <v>1760</v>
      </c>
      <c r="J3402" s="48"/>
      <c r="K3402" s="48"/>
      <c r="L3402" s="48">
        <v>15000</v>
      </c>
      <c r="M3402" s="48">
        <v>5000</v>
      </c>
      <c r="N3402" s="59"/>
      <c r="O3402" s="59"/>
      <c r="P3402" s="59"/>
      <c r="Q3402" s="268">
        <f t="shared" si="160"/>
        <v>20000</v>
      </c>
      <c r="R3402" s="61">
        <f>IF(O3402=0,0,SUMIFS(Disbursements!$T:$T,Disbursements!$B:$B,'Live Collections'!D3402,Disbursements!$D:$D,'Live Collections'!F3402))</f>
        <v>0</v>
      </c>
      <c r="S3402" s="304">
        <f>IF(O3402&lt;=IF($O3402=0,0,SUMIFS(Disbursements!$W:$W,Disbursements!$B:$B,'Live Collections'!D3402,Disbursements!$D:$D,'Live Collections'!F3402)),O3402,IF($O3402=0,0,SUMIFS(Disbursements!$W:$W,Disbursements!$B:$B,'Live Collections'!D3402,Disbursements!$D:$D,'Live Collections'!F3402)))</f>
        <v>0</v>
      </c>
      <c r="T3402" s="304">
        <f t="shared" si="161"/>
        <v>0</v>
      </c>
      <c r="U3402" s="52"/>
      <c r="V3402" s="34"/>
      <c r="W3402" s="408"/>
    </row>
    <row r="3403" spans="1:23" ht="12.75" customHeight="1" x14ac:dyDescent="0.2">
      <c r="A3403" s="257">
        <v>3413</v>
      </c>
      <c r="B3403" s="44">
        <v>44631</v>
      </c>
      <c r="C3403" s="44">
        <f t="shared" si="162"/>
        <v>44631</v>
      </c>
      <c r="D3403" s="374">
        <v>334</v>
      </c>
      <c r="E3403" s="291" t="str">
        <f>IFERROR(VLOOKUP($D3403,'Clients-Live'!$A:$C,3,0),"")</f>
        <v>MORO YASSINI NURU DRILIGA</v>
      </c>
      <c r="F3403" s="291" t="str">
        <f>IFERROR(INDEX(Disbursements!$D:$D,MATCH('Live Collections'!G3403,Disbursements!$C:$C,0)),"")</f>
        <v/>
      </c>
      <c r="G3403" s="34"/>
      <c r="H3403" s="34">
        <v>5205</v>
      </c>
      <c r="I3403" s="34" t="s">
        <v>1760</v>
      </c>
      <c r="J3403" s="48">
        <v>15000</v>
      </c>
      <c r="K3403" s="48">
        <v>5000</v>
      </c>
      <c r="L3403" s="48"/>
      <c r="M3403" s="48"/>
      <c r="N3403" s="59"/>
      <c r="O3403" s="59"/>
      <c r="P3403" s="59"/>
      <c r="Q3403" s="268">
        <f t="shared" si="160"/>
        <v>20000</v>
      </c>
      <c r="R3403" s="61">
        <f>IF(O3403=0,0,SUMIFS(Disbursements!$T:$T,Disbursements!$B:$B,'Live Collections'!D3403,Disbursements!$D:$D,'Live Collections'!F3403))</f>
        <v>0</v>
      </c>
      <c r="S3403" s="304">
        <f>IF(O3403&lt;=IF($O3403=0,0,SUMIFS(Disbursements!$W:$W,Disbursements!$B:$B,'Live Collections'!D3403,Disbursements!$D:$D,'Live Collections'!F3403)),O3403,IF($O3403=0,0,SUMIFS(Disbursements!$W:$W,Disbursements!$B:$B,'Live Collections'!D3403,Disbursements!$D:$D,'Live Collections'!F3403)))</f>
        <v>0</v>
      </c>
      <c r="T3403" s="304">
        <f t="shared" si="161"/>
        <v>0</v>
      </c>
      <c r="U3403" s="52"/>
      <c r="V3403" s="34"/>
      <c r="W3403" s="408"/>
    </row>
    <row r="3404" spans="1:23" ht="12.75" customHeight="1" x14ac:dyDescent="0.2">
      <c r="A3404" s="257">
        <v>3414</v>
      </c>
      <c r="B3404" s="44">
        <v>44631</v>
      </c>
      <c r="C3404" s="44">
        <f t="shared" si="162"/>
        <v>44631</v>
      </c>
      <c r="D3404" s="374">
        <v>303</v>
      </c>
      <c r="E3404" s="291" t="str">
        <f>IFERROR(VLOOKUP($D3404,'Clients-Live'!$A:$C,3,0),"")</f>
        <v>APAYI DOROTHY</v>
      </c>
      <c r="F3404" s="291">
        <f>IFERROR(INDEX(Disbursements!$D:$D,MATCH('Live Collections'!G3404,Disbursements!$C:$C,0)),"")</f>
        <v>1</v>
      </c>
      <c r="G3404" s="34">
        <v>399</v>
      </c>
      <c r="H3404" s="34">
        <v>5225</v>
      </c>
      <c r="I3404" s="34" t="s">
        <v>1359</v>
      </c>
      <c r="J3404" s="48"/>
      <c r="K3404" s="48"/>
      <c r="L3404" s="48"/>
      <c r="M3404" s="48"/>
      <c r="N3404" s="59"/>
      <c r="O3404" s="59">
        <v>25000</v>
      </c>
      <c r="P3404" s="59"/>
      <c r="Q3404" s="268">
        <f t="shared" si="160"/>
        <v>25000</v>
      </c>
      <c r="R3404" s="61">
        <f>IF(O3404=0,0,SUMIFS(Disbursements!$T:$T,Disbursements!$B:$B,'Live Collections'!D3404,Disbursements!$D:$D,'Live Collections'!F3404))</f>
        <v>40000</v>
      </c>
      <c r="S3404" s="304"/>
      <c r="T3404" s="304">
        <f t="shared" si="161"/>
        <v>25000</v>
      </c>
      <c r="U3404" s="52"/>
      <c r="V3404" s="34"/>
      <c r="W3404" s="408"/>
    </row>
    <row r="3405" spans="1:23" ht="12.75" customHeight="1" x14ac:dyDescent="0.2">
      <c r="A3405" s="257">
        <v>3415</v>
      </c>
      <c r="B3405" s="44">
        <v>44631</v>
      </c>
      <c r="C3405" s="44">
        <f t="shared" si="162"/>
        <v>44631</v>
      </c>
      <c r="D3405" s="374">
        <v>205</v>
      </c>
      <c r="E3405" s="291" t="str">
        <f>IFERROR(VLOOKUP($D3405,'Clients-Live'!$A:$C,3,0),"")</f>
        <v>OPIRU ALICE</v>
      </c>
      <c r="F3405" s="291">
        <f>IFERROR(INDEX(Disbursements!$D:$D,MATCH('Live Collections'!G3405,Disbursements!$C:$C,0)),"")</f>
        <v>2</v>
      </c>
      <c r="G3405" s="34">
        <v>396</v>
      </c>
      <c r="H3405" s="34">
        <v>5223</v>
      </c>
      <c r="I3405" s="34" t="s">
        <v>1359</v>
      </c>
      <c r="J3405" s="48"/>
      <c r="K3405" s="48"/>
      <c r="L3405" s="48"/>
      <c r="M3405" s="48"/>
      <c r="N3405" s="59"/>
      <c r="O3405" s="59">
        <v>70000</v>
      </c>
      <c r="P3405" s="59"/>
      <c r="Q3405" s="268">
        <f t="shared" si="160"/>
        <v>70000</v>
      </c>
      <c r="R3405" s="61">
        <f>IF(O3405=0,0,SUMIFS(Disbursements!$T:$T,Disbursements!$B:$B,'Live Collections'!D3405,Disbursements!$D:$D,'Live Collections'!F3405))</f>
        <v>40000</v>
      </c>
      <c r="S3405" s="304">
        <f>IF(O3405&lt;=IF($O3405=0,0,SUMIFS(Disbursements!$W:$W,Disbursements!$B:$B,'Live Collections'!D3405,Disbursements!$D:$D,'Live Collections'!F3405)),O3405,IF($O3405=0,0,SUMIFS(Disbursements!$W:$W,Disbursements!$B:$B,'Live Collections'!D3405,Disbursements!$D:$D,'Live Collections'!F3405)))</f>
        <v>8750</v>
      </c>
      <c r="T3405" s="304">
        <f t="shared" si="161"/>
        <v>61250</v>
      </c>
      <c r="U3405" s="52"/>
      <c r="V3405" s="34"/>
      <c r="W3405" s="408"/>
    </row>
    <row r="3406" spans="1:23" ht="12.75" customHeight="1" x14ac:dyDescent="0.2">
      <c r="A3406" s="257">
        <v>3416</v>
      </c>
      <c r="B3406" s="44">
        <v>44631</v>
      </c>
      <c r="C3406" s="44">
        <f t="shared" si="162"/>
        <v>44631</v>
      </c>
      <c r="D3406" s="374">
        <v>330</v>
      </c>
      <c r="E3406" s="291" t="str">
        <f>IFERROR(VLOOKUP($D3406,'Clients-Live'!$A:$C,3,0),"")</f>
        <v>BACIA AISHA</v>
      </c>
      <c r="F3406" s="291">
        <f>IFERROR(INDEX(Disbursements!$D:$D,MATCH('Live Collections'!G3406,Disbursements!$C:$C,0)),"")</f>
        <v>1</v>
      </c>
      <c r="G3406" s="34">
        <v>462</v>
      </c>
      <c r="H3406" s="34">
        <v>5146</v>
      </c>
      <c r="I3406" s="34" t="s">
        <v>1357</v>
      </c>
      <c r="J3406" s="48"/>
      <c r="K3406" s="48"/>
      <c r="L3406" s="48"/>
      <c r="M3406" s="48"/>
      <c r="N3406" s="59"/>
      <c r="O3406" s="59"/>
      <c r="P3406" s="59">
        <v>35000</v>
      </c>
      <c r="Q3406" s="268">
        <f t="shared" si="160"/>
        <v>35000</v>
      </c>
      <c r="R3406" s="61">
        <f>IF(O3406=0,0,SUMIFS(Disbursements!$T:$T,Disbursements!$B:$B,'Live Collections'!D3406,Disbursements!$D:$D,'Live Collections'!F3406))</f>
        <v>0</v>
      </c>
      <c r="S3406" s="304">
        <f>IF(O3406&lt;=IF($O3406=0,0,SUMIFS(Disbursements!$W:$W,Disbursements!$B:$B,'Live Collections'!D3406,Disbursements!$D:$D,'Live Collections'!F3406)),O3406,IF($O3406=0,0,SUMIFS(Disbursements!$W:$W,Disbursements!$B:$B,'Live Collections'!D3406,Disbursements!$D:$D,'Live Collections'!F3406)))</f>
        <v>0</v>
      </c>
      <c r="T3406" s="304">
        <f t="shared" si="161"/>
        <v>0</v>
      </c>
      <c r="U3406" s="52"/>
      <c r="V3406" s="34"/>
      <c r="W3406" s="408"/>
    </row>
    <row r="3407" spans="1:23" ht="12.75" customHeight="1" x14ac:dyDescent="0.2">
      <c r="A3407" s="257">
        <v>3417</v>
      </c>
      <c r="B3407" s="44">
        <v>44631</v>
      </c>
      <c r="C3407" s="44">
        <f t="shared" si="162"/>
        <v>44631</v>
      </c>
      <c r="D3407" s="374">
        <v>134</v>
      </c>
      <c r="E3407" s="291" t="str">
        <f>IFERROR(VLOOKUP($D3407,'Clients-Live'!$A:$C,3,0),"")</f>
        <v>TABU NATALIYA</v>
      </c>
      <c r="F3407" s="291">
        <f>IFERROR(INDEX(Disbursements!$D:$D,MATCH('Live Collections'!G3407,Disbursements!$C:$C,0)),"")</f>
        <v>2</v>
      </c>
      <c r="G3407" s="34">
        <v>324</v>
      </c>
      <c r="H3407" s="34">
        <v>5224</v>
      </c>
      <c r="I3407" s="34" t="s">
        <v>1359</v>
      </c>
      <c r="J3407" s="48"/>
      <c r="K3407" s="48"/>
      <c r="L3407" s="48"/>
      <c r="M3407" s="48"/>
      <c r="N3407" s="59"/>
      <c r="O3407" s="59">
        <v>60000</v>
      </c>
      <c r="P3407" s="59"/>
      <c r="Q3407" s="268">
        <f t="shared" si="160"/>
        <v>60000</v>
      </c>
      <c r="R3407" s="61">
        <f>IF(O3407=0,0,SUMIFS(Disbursements!$T:$T,Disbursements!$B:$B,'Live Collections'!D3407,Disbursements!$D:$D,'Live Collections'!F3407))</f>
        <v>120000</v>
      </c>
      <c r="S3407" s="304"/>
      <c r="T3407" s="304">
        <f t="shared" si="161"/>
        <v>60000</v>
      </c>
      <c r="U3407" s="52"/>
      <c r="V3407" s="34"/>
      <c r="W3407" s="408"/>
    </row>
    <row r="3408" spans="1:23" ht="12.75" customHeight="1" x14ac:dyDescent="0.2">
      <c r="A3408" s="257">
        <v>3418</v>
      </c>
      <c r="B3408" s="44">
        <v>44631</v>
      </c>
      <c r="C3408" s="44">
        <f t="shared" si="162"/>
        <v>44631</v>
      </c>
      <c r="D3408" s="374">
        <v>333</v>
      </c>
      <c r="E3408" s="291" t="str">
        <f>IFERROR(VLOOKUP($D3408,'Clients-Live'!$A:$C,3,0),"")</f>
        <v>OSORU HELLEN</v>
      </c>
      <c r="F3408" s="291" t="str">
        <f>IFERROR(INDEX(Disbursements!$D:$D,MATCH('Live Collections'!G3408,Disbursements!$C:$C,0)),"")</f>
        <v/>
      </c>
      <c r="G3408" s="34"/>
      <c r="H3408" s="34">
        <v>5203</v>
      </c>
      <c r="I3408" s="34" t="s">
        <v>1760</v>
      </c>
      <c r="J3408" s="48"/>
      <c r="K3408" s="48"/>
      <c r="L3408" s="48">
        <v>15000</v>
      </c>
      <c r="M3408" s="48">
        <v>5000</v>
      </c>
      <c r="N3408" s="59"/>
      <c r="O3408" s="59"/>
      <c r="P3408" s="59"/>
      <c r="Q3408" s="268">
        <f t="shared" si="160"/>
        <v>20000</v>
      </c>
      <c r="R3408" s="61">
        <f>IF(O3408=0,0,SUMIFS(Disbursements!$T:$T,Disbursements!$B:$B,'Live Collections'!D3408,Disbursements!$D:$D,'Live Collections'!F3408))</f>
        <v>0</v>
      </c>
      <c r="S3408" s="304">
        <f>IF(O3408&lt;=IF($O3408=0,0,SUMIFS(Disbursements!$W:$W,Disbursements!$B:$B,'Live Collections'!D3408,Disbursements!$D:$D,'Live Collections'!F3408)),O3408,IF($O3408=0,0,SUMIFS(Disbursements!$W:$W,Disbursements!$B:$B,'Live Collections'!D3408,Disbursements!$D:$D,'Live Collections'!F3408)))</f>
        <v>0</v>
      </c>
      <c r="T3408" s="304">
        <f t="shared" si="161"/>
        <v>0</v>
      </c>
      <c r="U3408" s="52"/>
      <c r="V3408" s="34"/>
      <c r="W3408" s="408"/>
    </row>
    <row r="3409" spans="1:23" ht="12.75" customHeight="1" x14ac:dyDescent="0.2">
      <c r="A3409" s="257">
        <v>3419</v>
      </c>
      <c r="B3409" s="44">
        <v>44631</v>
      </c>
      <c r="C3409" s="44">
        <f t="shared" si="162"/>
        <v>44631</v>
      </c>
      <c r="D3409" s="374">
        <v>333</v>
      </c>
      <c r="E3409" s="291" t="str">
        <f>IFERROR(VLOOKUP($D3409,'Clients-Live'!$A:$C,3,0),"")</f>
        <v>OSORU HELLEN</v>
      </c>
      <c r="F3409" s="291" t="str">
        <f>IFERROR(INDEX(Disbursements!$D:$D,MATCH('Live Collections'!G3409,Disbursements!$C:$C,0)),"")</f>
        <v/>
      </c>
      <c r="G3409" s="34"/>
      <c r="H3409" s="34">
        <v>5204</v>
      </c>
      <c r="I3409" s="34" t="s">
        <v>1760</v>
      </c>
      <c r="J3409" s="48">
        <v>15000</v>
      </c>
      <c r="K3409" s="48">
        <v>5000</v>
      </c>
      <c r="L3409" s="48"/>
      <c r="M3409" s="48"/>
      <c r="N3409" s="59"/>
      <c r="O3409" s="59"/>
      <c r="P3409" s="59"/>
      <c r="Q3409" s="268">
        <f t="shared" si="160"/>
        <v>20000</v>
      </c>
      <c r="R3409" s="61">
        <f>IF(O3409=0,0,SUMIFS(Disbursements!$T:$T,Disbursements!$B:$B,'Live Collections'!D3409,Disbursements!$D:$D,'Live Collections'!F3409))</f>
        <v>0</v>
      </c>
      <c r="S3409" s="304">
        <f>IF(O3409&lt;=IF($O3409=0,0,SUMIFS(Disbursements!$W:$W,Disbursements!$B:$B,'Live Collections'!D3409,Disbursements!$D:$D,'Live Collections'!F3409)),O3409,IF($O3409=0,0,SUMIFS(Disbursements!$W:$W,Disbursements!$B:$B,'Live Collections'!D3409,Disbursements!$D:$D,'Live Collections'!F3409)))</f>
        <v>0</v>
      </c>
      <c r="T3409" s="304">
        <f t="shared" si="161"/>
        <v>0</v>
      </c>
      <c r="U3409" s="52"/>
      <c r="V3409" s="34"/>
      <c r="W3409" s="408"/>
    </row>
    <row r="3410" spans="1:23" ht="12.75" customHeight="1" x14ac:dyDescent="0.2">
      <c r="A3410" s="257">
        <v>3420</v>
      </c>
      <c r="B3410" s="44">
        <v>44631</v>
      </c>
      <c r="C3410" s="44">
        <f t="shared" si="162"/>
        <v>44631</v>
      </c>
      <c r="D3410" s="374">
        <v>128</v>
      </c>
      <c r="E3410" s="291" t="str">
        <f>IFERROR(VLOOKUP($D3410,'Clients-Live'!$A:$C,3,0),"")</f>
        <v>AJONYE BETTY</v>
      </c>
      <c r="F3410" s="291">
        <f>IFERROR(INDEX(Disbursements!$D:$D,MATCH('Live Collections'!G3410,Disbursements!$C:$C,0)),"")</f>
        <v>3</v>
      </c>
      <c r="G3410" s="34">
        <v>463</v>
      </c>
      <c r="H3410" s="34">
        <v>5137</v>
      </c>
      <c r="I3410" s="34" t="s">
        <v>1359</v>
      </c>
      <c r="J3410" s="48"/>
      <c r="K3410" s="48"/>
      <c r="L3410" s="48"/>
      <c r="M3410" s="48"/>
      <c r="N3410" s="59"/>
      <c r="O3410" s="59"/>
      <c r="P3410" s="59">
        <v>25000</v>
      </c>
      <c r="Q3410" s="268">
        <f t="shared" si="160"/>
        <v>25000</v>
      </c>
      <c r="R3410" s="61">
        <f>IF(O3410=0,0,SUMIFS(Disbursements!$T:$T,Disbursements!$B:$B,'Live Collections'!D3410,Disbursements!$D:$D,'Live Collections'!F3410))</f>
        <v>0</v>
      </c>
      <c r="S3410" s="304">
        <f>IF(O3410&lt;=IF($O3410=0,0,SUMIFS(Disbursements!$W:$W,Disbursements!$B:$B,'Live Collections'!D3410,Disbursements!$D:$D,'Live Collections'!F3410)),O3410,IF($O3410=0,0,SUMIFS(Disbursements!$W:$W,Disbursements!$B:$B,'Live Collections'!D3410,Disbursements!$D:$D,'Live Collections'!F3410)))</f>
        <v>0</v>
      </c>
      <c r="T3410" s="304">
        <f t="shared" si="161"/>
        <v>0</v>
      </c>
      <c r="U3410" s="52"/>
      <c r="V3410" s="34"/>
      <c r="W3410" s="408"/>
    </row>
    <row r="3411" spans="1:23" ht="12.75" customHeight="1" x14ac:dyDescent="0.2">
      <c r="A3411" s="257">
        <v>3421</v>
      </c>
      <c r="B3411" s="44">
        <v>44631</v>
      </c>
      <c r="C3411" s="44">
        <f t="shared" si="162"/>
        <v>44631</v>
      </c>
      <c r="D3411" s="374">
        <v>32</v>
      </c>
      <c r="E3411" s="291" t="str">
        <f>IFERROR(VLOOKUP($D3411,'Clients-Live'!$A:$C,3,0),"")</f>
        <v>BAKO LINA ESERU</v>
      </c>
      <c r="F3411" s="291">
        <f>IFERROR(INDEX(Disbursements!$D:$D,MATCH('Live Collections'!G3411,Disbursements!$C:$C,0)),"")</f>
        <v>3</v>
      </c>
      <c r="G3411" s="34">
        <v>461</v>
      </c>
      <c r="H3411" s="34">
        <v>5151</v>
      </c>
      <c r="I3411" s="34" t="s">
        <v>1359</v>
      </c>
      <c r="J3411" s="48"/>
      <c r="K3411" s="48"/>
      <c r="L3411" s="48"/>
      <c r="M3411" s="48"/>
      <c r="N3411" s="59"/>
      <c r="O3411" s="59"/>
      <c r="P3411" s="59">
        <v>50000</v>
      </c>
      <c r="Q3411" s="268">
        <f t="shared" si="160"/>
        <v>50000</v>
      </c>
      <c r="R3411" s="61">
        <f>IF(O3411=0,0,SUMIFS(Disbursements!$T:$T,Disbursements!$B:$B,'Live Collections'!D3411,Disbursements!$D:$D,'Live Collections'!F3411))</f>
        <v>0</v>
      </c>
      <c r="S3411" s="304">
        <f>IF(O3411&lt;=IF($O3411=0,0,SUMIFS(Disbursements!$W:$W,Disbursements!$B:$B,'Live Collections'!D3411,Disbursements!$D:$D,'Live Collections'!F3411)),O3411,IF($O3411=0,0,SUMIFS(Disbursements!$W:$W,Disbursements!$B:$B,'Live Collections'!D3411,Disbursements!$D:$D,'Live Collections'!F3411)))</f>
        <v>0</v>
      </c>
      <c r="T3411" s="304">
        <f t="shared" si="161"/>
        <v>0</v>
      </c>
      <c r="U3411" s="52"/>
      <c r="V3411" s="34"/>
      <c r="W3411" s="408"/>
    </row>
    <row r="3412" spans="1:23" ht="12.75" customHeight="1" x14ac:dyDescent="0.2">
      <c r="A3412" s="257">
        <v>3422</v>
      </c>
      <c r="B3412" s="44">
        <v>44631</v>
      </c>
      <c r="C3412" s="44">
        <f t="shared" si="162"/>
        <v>44631</v>
      </c>
      <c r="D3412" s="374">
        <v>2</v>
      </c>
      <c r="E3412" s="291" t="str">
        <f>IFERROR(VLOOKUP($D3412,'Clients-Live'!$A:$C,3,0),"")</f>
        <v>LEYA ROSE</v>
      </c>
      <c r="F3412" s="291">
        <f>IFERROR(INDEX(Disbursements!$D:$D,MATCH('Live Collections'!G3412,Disbursements!$C:$C,0)),"")</f>
        <v>3</v>
      </c>
      <c r="G3412" s="34">
        <v>460</v>
      </c>
      <c r="H3412" s="34">
        <v>5202</v>
      </c>
      <c r="I3412" s="34" t="s">
        <v>1358</v>
      </c>
      <c r="J3412" s="48"/>
      <c r="K3412" s="48"/>
      <c r="L3412" s="48"/>
      <c r="M3412" s="48"/>
      <c r="N3412" s="59"/>
      <c r="O3412" s="59"/>
      <c r="P3412" s="59">
        <v>30000</v>
      </c>
      <c r="Q3412" s="268">
        <f t="shared" si="160"/>
        <v>30000</v>
      </c>
      <c r="R3412" s="61">
        <f>IF(O3412=0,0,SUMIFS(Disbursements!$T:$T,Disbursements!$B:$B,'Live Collections'!D3412,Disbursements!$D:$D,'Live Collections'!F3412))</f>
        <v>0</v>
      </c>
      <c r="S3412" s="304">
        <f>IF(O3412&lt;=IF($O3412=0,0,SUMIFS(Disbursements!$W:$W,Disbursements!$B:$B,'Live Collections'!D3412,Disbursements!$D:$D,'Live Collections'!F3412)),O3412,IF($O3412=0,0,SUMIFS(Disbursements!$W:$W,Disbursements!$B:$B,'Live Collections'!D3412,Disbursements!$D:$D,'Live Collections'!F3412)))</f>
        <v>0</v>
      </c>
      <c r="T3412" s="304">
        <f t="shared" si="161"/>
        <v>0</v>
      </c>
      <c r="U3412" s="52"/>
      <c r="V3412" s="34"/>
      <c r="W3412" s="408"/>
    </row>
    <row r="3413" spans="1:23" ht="12.75" customHeight="1" x14ac:dyDescent="0.2">
      <c r="A3413" s="257">
        <v>3423</v>
      </c>
      <c r="B3413" s="44">
        <v>44631</v>
      </c>
      <c r="C3413" s="44">
        <f t="shared" si="162"/>
        <v>44631</v>
      </c>
      <c r="D3413" s="374">
        <v>103</v>
      </c>
      <c r="E3413" s="291" t="str">
        <f>IFERROR(VLOOKUP($D3413,'Clients-Live'!$A:$C,3,0),"")</f>
        <v>CHANDIRU ZABIB</v>
      </c>
      <c r="F3413" s="291">
        <f>IFERROR(INDEX(Disbursements!$D:$D,MATCH('Live Collections'!G3413,Disbursements!$C:$C,0)),"")</f>
        <v>2</v>
      </c>
      <c r="G3413" s="34">
        <v>226</v>
      </c>
      <c r="H3413" s="34">
        <v>5068</v>
      </c>
      <c r="I3413" s="34" t="s">
        <v>1358</v>
      </c>
      <c r="J3413" s="48"/>
      <c r="K3413" s="48"/>
      <c r="L3413" s="48"/>
      <c r="M3413" s="48"/>
      <c r="N3413" s="59"/>
      <c r="O3413" s="59">
        <v>100000</v>
      </c>
      <c r="P3413" s="59"/>
      <c r="Q3413" s="268">
        <f t="shared" si="160"/>
        <v>100000</v>
      </c>
      <c r="R3413" s="61">
        <f>IF(O3413=0,0,SUMIFS(Disbursements!$T:$T,Disbursements!$B:$B,'Live Collections'!D3413,Disbursements!$D:$D,'Live Collections'!F3413))</f>
        <v>150000</v>
      </c>
      <c r="S3413" s="304"/>
      <c r="T3413" s="304">
        <f t="shared" si="161"/>
        <v>100000</v>
      </c>
      <c r="U3413" s="52"/>
      <c r="V3413" s="34"/>
      <c r="W3413" s="408"/>
    </row>
    <row r="3414" spans="1:23" ht="12.75" customHeight="1" x14ac:dyDescent="0.2">
      <c r="A3414" s="257">
        <v>3424</v>
      </c>
      <c r="B3414" s="44">
        <v>44631</v>
      </c>
      <c r="C3414" s="44">
        <f t="shared" si="162"/>
        <v>44631</v>
      </c>
      <c r="D3414" s="374">
        <v>103</v>
      </c>
      <c r="E3414" s="291" t="str">
        <f>IFERROR(VLOOKUP($D3414,'Clients-Live'!$A:$C,3,0),"")</f>
        <v>CHANDIRU ZABIB</v>
      </c>
      <c r="F3414" s="291">
        <f>IFERROR(INDEX(Disbursements!$D:$D,MATCH('Live Collections'!G3414,Disbursements!$C:$C,0)),"")</f>
        <v>3</v>
      </c>
      <c r="G3414" s="34">
        <v>459</v>
      </c>
      <c r="H3414" s="34">
        <v>5150</v>
      </c>
      <c r="I3414" s="34" t="s">
        <v>1358</v>
      </c>
      <c r="J3414" s="48"/>
      <c r="K3414" s="48"/>
      <c r="L3414" s="48"/>
      <c r="M3414" s="48"/>
      <c r="N3414" s="59"/>
      <c r="O3414" s="59"/>
      <c r="P3414" s="59">
        <v>50000</v>
      </c>
      <c r="Q3414" s="268">
        <f t="shared" si="160"/>
        <v>50000</v>
      </c>
      <c r="R3414" s="61">
        <f>IF(O3414=0,0,SUMIFS(Disbursements!$T:$T,Disbursements!$B:$B,'Live Collections'!D3414,Disbursements!$D:$D,'Live Collections'!F3414))</f>
        <v>0</v>
      </c>
      <c r="S3414" s="304">
        <f>IF(O3414&lt;=IF($O3414=0,0,SUMIFS(Disbursements!$W:$W,Disbursements!$B:$B,'Live Collections'!D3414,Disbursements!$D:$D,'Live Collections'!F3414)),O3414,IF($O3414=0,0,SUMIFS(Disbursements!$W:$W,Disbursements!$B:$B,'Live Collections'!D3414,Disbursements!$D:$D,'Live Collections'!F3414)))</f>
        <v>0</v>
      </c>
      <c r="T3414" s="304">
        <f t="shared" si="161"/>
        <v>0</v>
      </c>
      <c r="U3414" s="52"/>
      <c r="V3414" s="34"/>
      <c r="W3414" s="408"/>
    </row>
    <row r="3415" spans="1:23" ht="12.75" customHeight="1" x14ac:dyDescent="0.2">
      <c r="A3415" s="257">
        <v>3425</v>
      </c>
      <c r="B3415" s="44">
        <v>44631</v>
      </c>
      <c r="C3415" s="44">
        <f t="shared" si="162"/>
        <v>44631</v>
      </c>
      <c r="D3415" s="374">
        <v>103</v>
      </c>
      <c r="E3415" s="291" t="str">
        <f>IFERROR(VLOOKUP($D3415,'Clients-Live'!$A:$C,3,0),"")</f>
        <v>CHANDIRU ZABIB</v>
      </c>
      <c r="F3415" s="291">
        <f>IFERROR(INDEX(Disbursements!$D:$D,MATCH('Live Collections'!G3415,Disbursements!$C:$C,0)),"")</f>
        <v>2</v>
      </c>
      <c r="G3415" s="34">
        <v>226</v>
      </c>
      <c r="H3415" s="34" t="s">
        <v>2216</v>
      </c>
      <c r="I3415" s="34" t="s">
        <v>1358</v>
      </c>
      <c r="J3415" s="48"/>
      <c r="K3415" s="48"/>
      <c r="L3415" s="48"/>
      <c r="M3415" s="48"/>
      <c r="N3415" s="59"/>
      <c r="O3415" s="59">
        <v>50000</v>
      </c>
      <c r="P3415" s="59">
        <v>-50000</v>
      </c>
      <c r="Q3415" s="268">
        <f t="shared" si="160"/>
        <v>0</v>
      </c>
      <c r="R3415" s="61">
        <f>IF(O3415=0,0,SUMIFS(Disbursements!$T:$T,Disbursements!$B:$B,'Live Collections'!D3415,Disbursements!$D:$D,'Live Collections'!F3415))</f>
        <v>150000</v>
      </c>
      <c r="S3415" s="304"/>
      <c r="T3415" s="304">
        <f t="shared" si="161"/>
        <v>50000</v>
      </c>
      <c r="U3415" s="52"/>
      <c r="V3415" s="34"/>
      <c r="W3415" s="408"/>
    </row>
    <row r="3416" spans="1:23" ht="12.75" customHeight="1" x14ac:dyDescent="0.2">
      <c r="A3416" s="257">
        <v>3426</v>
      </c>
      <c r="B3416" s="44">
        <v>44631</v>
      </c>
      <c r="C3416" s="44">
        <f t="shared" si="162"/>
        <v>44631</v>
      </c>
      <c r="D3416" s="374">
        <v>175</v>
      </c>
      <c r="E3416" s="291" t="str">
        <f>IFERROR(VLOOKUP($D3416,'Clients-Live'!$A:$C,3,0),"")</f>
        <v>ZUBEDA WAIGA</v>
      </c>
      <c r="F3416" s="291" t="str">
        <f>IFERROR(INDEX(Disbursements!$D:$D,MATCH('Live Collections'!G3416,Disbursements!$C:$C,0)),"")</f>
        <v/>
      </c>
      <c r="G3416" s="34"/>
      <c r="H3416" s="34">
        <v>5134</v>
      </c>
      <c r="I3416" s="34" t="s">
        <v>1358</v>
      </c>
      <c r="J3416" s="48"/>
      <c r="K3416" s="48"/>
      <c r="L3416" s="48">
        <v>15000</v>
      </c>
      <c r="M3416" s="48">
        <v>5000</v>
      </c>
      <c r="N3416" s="59"/>
      <c r="O3416" s="59"/>
      <c r="P3416" s="59"/>
      <c r="Q3416" s="268">
        <f t="shared" si="160"/>
        <v>20000</v>
      </c>
      <c r="R3416" s="61">
        <f>IF(O3416=0,0,SUMIFS(Disbursements!$T:$T,Disbursements!$B:$B,'Live Collections'!D3416,Disbursements!$D:$D,'Live Collections'!F3416))</f>
        <v>0</v>
      </c>
      <c r="S3416" s="304">
        <f>IF(O3416&lt;=IF($O3416=0,0,SUMIFS(Disbursements!$W:$W,Disbursements!$B:$B,'Live Collections'!D3416,Disbursements!$D:$D,'Live Collections'!F3416)),O3416,IF($O3416=0,0,SUMIFS(Disbursements!$W:$W,Disbursements!$B:$B,'Live Collections'!D3416,Disbursements!$D:$D,'Live Collections'!F3416)))</f>
        <v>0</v>
      </c>
      <c r="T3416" s="304">
        <f t="shared" si="161"/>
        <v>0</v>
      </c>
      <c r="U3416" s="52"/>
      <c r="V3416" s="34"/>
      <c r="W3416" s="408"/>
    </row>
    <row r="3417" spans="1:23" ht="12.75" customHeight="1" x14ac:dyDescent="0.2">
      <c r="A3417" s="257">
        <v>3427</v>
      </c>
      <c r="B3417" s="44">
        <v>44631</v>
      </c>
      <c r="C3417" s="44">
        <f t="shared" si="162"/>
        <v>44631</v>
      </c>
      <c r="D3417" s="374">
        <v>70</v>
      </c>
      <c r="E3417" s="291" t="str">
        <f>IFERROR(VLOOKUP($D3417,'Clients-Live'!$A:$C,3,0),"")</f>
        <v>BUGA ALIKIA PHILLIP</v>
      </c>
      <c r="F3417" s="291">
        <f>IFERROR(INDEX(Disbursements!$D:$D,MATCH('Live Collections'!G3417,Disbursements!$C:$C,0)),"")</f>
        <v>2</v>
      </c>
      <c r="G3417" s="34">
        <v>299</v>
      </c>
      <c r="H3417" s="34">
        <v>5136</v>
      </c>
      <c r="I3417" s="34" t="s">
        <v>1358</v>
      </c>
      <c r="J3417" s="48"/>
      <c r="K3417" s="48"/>
      <c r="L3417" s="48"/>
      <c r="M3417" s="48"/>
      <c r="N3417" s="59"/>
      <c r="O3417" s="59">
        <v>110000</v>
      </c>
      <c r="P3417" s="59"/>
      <c r="Q3417" s="268">
        <f t="shared" si="160"/>
        <v>110000</v>
      </c>
      <c r="R3417" s="61">
        <f>IF(O3417=0,0,SUMIFS(Disbursements!$T:$T,Disbursements!$B:$B,'Live Collections'!D3417,Disbursements!$D:$D,'Live Collections'!F3417))</f>
        <v>260000</v>
      </c>
      <c r="S3417" s="304">
        <f>IF(O3417&lt;=IF($O3417=0,0,SUMIFS(Disbursements!$W:$W,Disbursements!$B:$B,'Live Collections'!D3417,Disbursements!$D:$D,'Live Collections'!F3417)),O3417,IF($O3417=0,0,SUMIFS(Disbursements!$W:$W,Disbursements!$B:$B,'Live Collections'!D3417,Disbursements!$D:$D,'Live Collections'!F3417)))</f>
        <v>60000</v>
      </c>
      <c r="T3417" s="304">
        <f t="shared" si="161"/>
        <v>50000</v>
      </c>
      <c r="U3417" s="52"/>
      <c r="V3417" s="34"/>
      <c r="W3417" s="408"/>
    </row>
    <row r="3418" spans="1:23" ht="12.75" customHeight="1" x14ac:dyDescent="0.2">
      <c r="A3418" s="257">
        <v>3428</v>
      </c>
      <c r="B3418" s="44">
        <v>44631</v>
      </c>
      <c r="C3418" s="44">
        <f t="shared" si="162"/>
        <v>44631</v>
      </c>
      <c r="D3418" s="374">
        <v>187</v>
      </c>
      <c r="E3418" s="291" t="str">
        <f>IFERROR(VLOOKUP($D3418,'Clients-Live'!$A:$C,3,0),"")</f>
        <v xml:space="preserve">AJIO HARRIET </v>
      </c>
      <c r="F3418" s="291">
        <f>IFERROR(INDEX(Disbursements!$D:$D,MATCH('Live Collections'!G3418,Disbursements!$C:$C,0)),"")</f>
        <v>2</v>
      </c>
      <c r="G3418" s="34">
        <v>458</v>
      </c>
      <c r="H3418" s="34">
        <v>5141</v>
      </c>
      <c r="I3418" s="34" t="s">
        <v>1358</v>
      </c>
      <c r="J3418" s="48"/>
      <c r="K3418" s="48"/>
      <c r="L3418" s="48"/>
      <c r="M3418" s="48"/>
      <c r="N3418" s="59"/>
      <c r="O3418" s="59"/>
      <c r="P3418" s="59">
        <v>50000</v>
      </c>
      <c r="Q3418" s="268">
        <f t="shared" si="160"/>
        <v>50000</v>
      </c>
      <c r="R3418" s="61">
        <f>IF(O3418=0,0,SUMIFS(Disbursements!$T:$T,Disbursements!$B:$B,'Live Collections'!D3418,Disbursements!$D:$D,'Live Collections'!F3418))</f>
        <v>0</v>
      </c>
      <c r="S3418" s="304">
        <f>IF(O3418&lt;=IF($O3418=0,0,SUMIFS(Disbursements!$W:$W,Disbursements!$B:$B,'Live Collections'!D3418,Disbursements!$D:$D,'Live Collections'!F3418)),O3418,IF($O3418=0,0,SUMIFS(Disbursements!$W:$W,Disbursements!$B:$B,'Live Collections'!D3418,Disbursements!$D:$D,'Live Collections'!F3418)))</f>
        <v>0</v>
      </c>
      <c r="T3418" s="304">
        <f t="shared" si="161"/>
        <v>0</v>
      </c>
      <c r="U3418" s="52"/>
      <c r="V3418" s="34"/>
      <c r="W3418" s="408"/>
    </row>
    <row r="3419" spans="1:23" ht="12.75" customHeight="1" x14ac:dyDescent="0.2">
      <c r="A3419" s="257">
        <v>3429</v>
      </c>
      <c r="B3419" s="44">
        <v>44631</v>
      </c>
      <c r="C3419" s="44">
        <f t="shared" si="162"/>
        <v>44631</v>
      </c>
      <c r="D3419" s="374">
        <v>213</v>
      </c>
      <c r="E3419" s="291" t="str">
        <f>IFERROR(VLOOKUP($D3419,'Clients-Live'!$A:$C,3,0),"")</f>
        <v>ATIKURU NADIA</v>
      </c>
      <c r="F3419" s="291">
        <f>IFERROR(INDEX(Disbursements!$D:$D,MATCH('Live Collections'!G3419,Disbursements!$C:$C,0)),"")</f>
        <v>2</v>
      </c>
      <c r="G3419" s="34">
        <v>378</v>
      </c>
      <c r="H3419" s="34">
        <v>5138</v>
      </c>
      <c r="I3419" s="34" t="s">
        <v>1358</v>
      </c>
      <c r="J3419" s="48"/>
      <c r="K3419" s="48"/>
      <c r="L3419" s="48"/>
      <c r="M3419" s="48"/>
      <c r="N3419" s="59"/>
      <c r="O3419" s="59">
        <v>345000</v>
      </c>
      <c r="P3419" s="59"/>
      <c r="Q3419" s="268">
        <f t="shared" si="160"/>
        <v>345000</v>
      </c>
      <c r="R3419" s="61">
        <f>IF(O3419=0,0,SUMIFS(Disbursements!$T:$T,Disbursements!$B:$B,'Live Collections'!D3419,Disbursements!$D:$D,'Live Collections'!F3419))</f>
        <v>300000</v>
      </c>
      <c r="S3419" s="304">
        <f>IF(O3419&lt;=IF($O3419=0,0,SUMIFS(Disbursements!$W:$W,Disbursements!$B:$B,'Live Collections'!D3419,Disbursements!$D:$D,'Live Collections'!F3419)),O3419,IF($O3419=0,0,SUMIFS(Disbursements!$W:$W,Disbursements!$B:$B,'Live Collections'!D3419,Disbursements!$D:$D,'Live Collections'!F3419)))</f>
        <v>50000</v>
      </c>
      <c r="T3419" s="304">
        <f t="shared" si="161"/>
        <v>295000</v>
      </c>
      <c r="U3419" s="52"/>
      <c r="V3419" s="34"/>
      <c r="W3419" s="408"/>
    </row>
    <row r="3420" spans="1:23" ht="12.75" customHeight="1" x14ac:dyDescent="0.2">
      <c r="A3420" s="257">
        <v>3430</v>
      </c>
      <c r="B3420" s="44">
        <v>44631</v>
      </c>
      <c r="C3420" s="44">
        <f t="shared" si="162"/>
        <v>44631</v>
      </c>
      <c r="D3420" s="374">
        <v>253</v>
      </c>
      <c r="E3420" s="291" t="str">
        <f>IFERROR(VLOOKUP($D3420,'Clients-Live'!$A:$C,3,0),"")</f>
        <v>JAKUMA VINCENT</v>
      </c>
      <c r="F3420" s="291">
        <f>IFERROR(INDEX(Disbursements!$D:$D,MATCH('Live Collections'!G3420,Disbursements!$C:$C,0)),"")</f>
        <v>1</v>
      </c>
      <c r="G3420" s="34">
        <v>359</v>
      </c>
      <c r="H3420" s="34">
        <v>5139</v>
      </c>
      <c r="I3420" s="34" t="s">
        <v>1359</v>
      </c>
      <c r="J3420" s="48"/>
      <c r="K3420" s="48"/>
      <c r="L3420" s="48"/>
      <c r="M3420" s="48"/>
      <c r="N3420" s="59"/>
      <c r="O3420" s="59">
        <v>150000</v>
      </c>
      <c r="P3420" s="59"/>
      <c r="Q3420" s="268">
        <f t="shared" si="160"/>
        <v>150000</v>
      </c>
      <c r="R3420" s="61">
        <f>IF(O3420=0,0,SUMIFS(Disbursements!$T:$T,Disbursements!$B:$B,'Live Collections'!D3420,Disbursements!$D:$D,'Live Collections'!F3420))</f>
        <v>613000</v>
      </c>
      <c r="S3420" s="304"/>
      <c r="T3420" s="304">
        <f t="shared" si="161"/>
        <v>150000</v>
      </c>
      <c r="U3420" s="52"/>
      <c r="V3420" s="34"/>
      <c r="W3420" s="408"/>
    </row>
    <row r="3421" spans="1:23" ht="12.75" customHeight="1" x14ac:dyDescent="0.2">
      <c r="A3421" s="257">
        <v>3431</v>
      </c>
      <c r="B3421" s="44">
        <v>44631</v>
      </c>
      <c r="C3421" s="44">
        <f t="shared" si="162"/>
        <v>44631</v>
      </c>
      <c r="D3421" s="374">
        <v>94</v>
      </c>
      <c r="E3421" s="291" t="str">
        <f>IFERROR(VLOOKUP($D3421,'Clients-Live'!$A:$C,3,0),"")</f>
        <v>NGINYA RICHARD</v>
      </c>
      <c r="F3421" s="291">
        <f>IFERROR(INDEX(Disbursements!$D:$D,MATCH('Live Collections'!G3421,Disbursements!$C:$C,0)),"")</f>
        <v>3</v>
      </c>
      <c r="G3421" s="34">
        <v>464</v>
      </c>
      <c r="H3421" s="34">
        <v>5074</v>
      </c>
      <c r="I3421" s="34" t="s">
        <v>1357</v>
      </c>
      <c r="J3421" s="48"/>
      <c r="K3421" s="48"/>
      <c r="L3421" s="48"/>
      <c r="M3421" s="48"/>
      <c r="N3421" s="59"/>
      <c r="O3421" s="59"/>
      <c r="P3421" s="59">
        <v>30000</v>
      </c>
      <c r="Q3421" s="268">
        <f t="shared" si="160"/>
        <v>30000</v>
      </c>
      <c r="R3421" s="61">
        <f>IF(O3421=0,0,SUMIFS(Disbursements!$T:$T,Disbursements!$B:$B,'Live Collections'!D3421,Disbursements!$D:$D,'Live Collections'!F3421))</f>
        <v>0</v>
      </c>
      <c r="S3421" s="304">
        <f>IF(O3421&lt;=IF($O3421=0,0,SUMIFS(Disbursements!$W:$W,Disbursements!$B:$B,'Live Collections'!D3421,Disbursements!$D:$D,'Live Collections'!F3421)),O3421,IF($O3421=0,0,SUMIFS(Disbursements!$W:$W,Disbursements!$B:$B,'Live Collections'!D3421,Disbursements!$D:$D,'Live Collections'!F3421)))</f>
        <v>0</v>
      </c>
      <c r="T3421" s="304">
        <f t="shared" si="161"/>
        <v>0</v>
      </c>
      <c r="U3421" s="52"/>
      <c r="V3421" s="34"/>
      <c r="W3421" s="408"/>
    </row>
    <row r="3422" spans="1:23" ht="12.75" customHeight="1" x14ac:dyDescent="0.2">
      <c r="A3422" s="257">
        <v>3432</v>
      </c>
      <c r="B3422" s="44">
        <v>44631</v>
      </c>
      <c r="C3422" s="44">
        <f t="shared" si="162"/>
        <v>44631</v>
      </c>
      <c r="D3422" s="374">
        <v>336</v>
      </c>
      <c r="E3422" s="291" t="str">
        <f>IFERROR(VLOOKUP($D3422,'Clients-Live'!$A:$C,3,0),"")</f>
        <v>BONGO PATRICK NAMISI</v>
      </c>
      <c r="F3422" s="291">
        <f>IFERROR(INDEX(Disbursements!$D:$D,MATCH('Live Collections'!G3422,Disbursements!$C:$C,0)),"")</f>
        <v>1</v>
      </c>
      <c r="G3422" s="34">
        <v>465</v>
      </c>
      <c r="H3422" s="34">
        <v>5226</v>
      </c>
      <c r="I3422" s="34" t="s">
        <v>1358</v>
      </c>
      <c r="J3422" s="48"/>
      <c r="K3422" s="48"/>
      <c r="L3422" s="48"/>
      <c r="M3422" s="48"/>
      <c r="N3422" s="59"/>
      <c r="O3422" s="59"/>
      <c r="P3422" s="59">
        <v>200000</v>
      </c>
      <c r="Q3422" s="268">
        <f t="shared" si="160"/>
        <v>200000</v>
      </c>
      <c r="R3422" s="61">
        <f>IF(O3422=0,0,SUMIFS(Disbursements!$T:$T,Disbursements!$B:$B,'Live Collections'!D3422,Disbursements!$D:$D,'Live Collections'!F3422))</f>
        <v>0</v>
      </c>
      <c r="S3422" s="304">
        <f>IF(O3422&lt;=IF($O3422=0,0,SUMIFS(Disbursements!$W:$W,Disbursements!$B:$B,'Live Collections'!D3422,Disbursements!$D:$D,'Live Collections'!F3422)),O3422,IF($O3422=0,0,SUMIFS(Disbursements!$W:$W,Disbursements!$B:$B,'Live Collections'!D3422,Disbursements!$D:$D,'Live Collections'!F3422)))</f>
        <v>0</v>
      </c>
      <c r="T3422" s="304">
        <f t="shared" si="161"/>
        <v>0</v>
      </c>
      <c r="U3422" s="52"/>
      <c r="V3422" s="34"/>
      <c r="W3422" s="408"/>
    </row>
    <row r="3423" spans="1:23" ht="12.75" customHeight="1" x14ac:dyDescent="0.2">
      <c r="A3423" s="257">
        <v>3433</v>
      </c>
      <c r="B3423" s="44">
        <v>44631</v>
      </c>
      <c r="C3423" s="44">
        <f t="shared" si="162"/>
        <v>44631</v>
      </c>
      <c r="D3423" s="374">
        <v>336</v>
      </c>
      <c r="E3423" s="291" t="str">
        <f>IFERROR(VLOOKUP($D3423,'Clients-Live'!$A:$C,3,0),"")</f>
        <v>BONGO PATRICK NAMISI</v>
      </c>
      <c r="F3423" s="291" t="str">
        <f>IFERROR(INDEX(Disbursements!$D:$D,MATCH('Live Collections'!G3423,Disbursements!$C:$C,0)),"")</f>
        <v/>
      </c>
      <c r="G3423" s="34"/>
      <c r="H3423" s="34">
        <v>5210</v>
      </c>
      <c r="I3423" s="34" t="s">
        <v>1760</v>
      </c>
      <c r="J3423" s="48"/>
      <c r="K3423" s="48"/>
      <c r="L3423" s="48">
        <v>25000</v>
      </c>
      <c r="M3423" s="48">
        <v>5000</v>
      </c>
      <c r="N3423" s="59"/>
      <c r="O3423" s="59"/>
      <c r="P3423" s="59"/>
      <c r="Q3423" s="268">
        <f t="shared" si="160"/>
        <v>30000</v>
      </c>
      <c r="R3423" s="61">
        <f>IF(O3423=0,0,SUMIFS(Disbursements!$T:$T,Disbursements!$B:$B,'Live Collections'!D3423,Disbursements!$D:$D,'Live Collections'!F3423))</f>
        <v>0</v>
      </c>
      <c r="S3423" s="304">
        <f>IF(O3423&lt;=IF($O3423=0,0,SUMIFS(Disbursements!$W:$W,Disbursements!$B:$B,'Live Collections'!D3423,Disbursements!$D:$D,'Live Collections'!F3423)),O3423,IF($O3423=0,0,SUMIFS(Disbursements!$W:$W,Disbursements!$B:$B,'Live Collections'!D3423,Disbursements!$D:$D,'Live Collections'!F3423)))</f>
        <v>0</v>
      </c>
      <c r="T3423" s="304">
        <f t="shared" si="161"/>
        <v>0</v>
      </c>
      <c r="U3423" s="52"/>
      <c r="V3423" s="34"/>
      <c r="W3423" s="408"/>
    </row>
    <row r="3424" spans="1:23" ht="12.75" customHeight="1" x14ac:dyDescent="0.2">
      <c r="A3424" s="257">
        <v>3434</v>
      </c>
      <c r="B3424" s="44">
        <v>44631</v>
      </c>
      <c r="C3424" s="44">
        <f t="shared" si="162"/>
        <v>44631</v>
      </c>
      <c r="D3424" s="374">
        <v>336</v>
      </c>
      <c r="E3424" s="291" t="str">
        <f>IFERROR(VLOOKUP($D3424,'Clients-Live'!$A:$C,3,0),"")</f>
        <v>BONGO PATRICK NAMISI</v>
      </c>
      <c r="F3424" s="291" t="str">
        <f>IFERROR(INDEX(Disbursements!$D:$D,MATCH('Live Collections'!G3424,Disbursements!$C:$C,0)),"")</f>
        <v/>
      </c>
      <c r="G3424" s="34"/>
      <c r="H3424" s="34">
        <v>5203</v>
      </c>
      <c r="I3424" s="34" t="s">
        <v>1760</v>
      </c>
      <c r="J3424" s="48">
        <v>15000</v>
      </c>
      <c r="K3424" s="48">
        <v>5000</v>
      </c>
      <c r="L3424" s="48"/>
      <c r="M3424" s="48"/>
      <c r="N3424" s="59"/>
      <c r="O3424" s="59"/>
      <c r="P3424" s="59"/>
      <c r="Q3424" s="268">
        <f t="shared" si="160"/>
        <v>20000</v>
      </c>
      <c r="R3424" s="61">
        <f>IF(O3424=0,0,SUMIFS(Disbursements!$T:$T,Disbursements!$B:$B,'Live Collections'!D3424,Disbursements!$D:$D,'Live Collections'!F3424))</f>
        <v>0</v>
      </c>
      <c r="S3424" s="304">
        <f>IF(O3424&lt;=IF($O3424=0,0,SUMIFS(Disbursements!$W:$W,Disbursements!$B:$B,'Live Collections'!D3424,Disbursements!$D:$D,'Live Collections'!F3424)),O3424,IF($O3424=0,0,SUMIFS(Disbursements!$W:$W,Disbursements!$B:$B,'Live Collections'!D3424,Disbursements!$D:$D,'Live Collections'!F3424)))</f>
        <v>0</v>
      </c>
      <c r="T3424" s="304">
        <f t="shared" si="161"/>
        <v>0</v>
      </c>
      <c r="U3424" s="52"/>
      <c r="V3424" s="34"/>
      <c r="W3424" s="408"/>
    </row>
    <row r="3425" spans="1:23" ht="12.75" customHeight="1" x14ac:dyDescent="0.2">
      <c r="A3425" s="257">
        <v>3435</v>
      </c>
      <c r="B3425" s="44">
        <v>44632</v>
      </c>
      <c r="C3425" s="44">
        <f t="shared" si="162"/>
        <v>44632</v>
      </c>
      <c r="D3425" s="374">
        <v>175</v>
      </c>
      <c r="E3425" s="291" t="str">
        <f>IFERROR(VLOOKUP($D3425,'Clients-Live'!$A:$C,3,0),"")</f>
        <v>ZUBEDA WAIGA</v>
      </c>
      <c r="F3425" s="291">
        <f>IFERROR(INDEX(Disbursements!$D:$D,MATCH('Live Collections'!G3425,Disbursements!$C:$C,0)),"")</f>
        <v>3</v>
      </c>
      <c r="G3425" s="34">
        <v>466</v>
      </c>
      <c r="H3425" s="34">
        <v>5233</v>
      </c>
      <c r="I3425" s="34" t="s">
        <v>1358</v>
      </c>
      <c r="J3425" s="48"/>
      <c r="K3425" s="48"/>
      <c r="L3425" s="48"/>
      <c r="M3425" s="48"/>
      <c r="N3425" s="59"/>
      <c r="O3425" s="59"/>
      <c r="P3425" s="59">
        <v>40000</v>
      </c>
      <c r="Q3425" s="268">
        <f t="shared" si="160"/>
        <v>40000</v>
      </c>
      <c r="R3425" s="61">
        <f>IF(O3425=0,0,SUMIFS(Disbursements!$T:$T,Disbursements!$B:$B,'Live Collections'!D3425,Disbursements!$D:$D,'Live Collections'!F3425))</f>
        <v>0</v>
      </c>
      <c r="S3425" s="304">
        <f>IF(O3425&lt;=IF($O3425=0,0,SUMIFS(Disbursements!$W:$W,Disbursements!$B:$B,'Live Collections'!D3425,Disbursements!$D:$D,'Live Collections'!F3425)),O3425,IF($O3425=0,0,SUMIFS(Disbursements!$W:$W,Disbursements!$B:$B,'Live Collections'!D3425,Disbursements!$D:$D,'Live Collections'!F3425)))</f>
        <v>0</v>
      </c>
      <c r="T3425" s="304">
        <f t="shared" si="161"/>
        <v>0</v>
      </c>
      <c r="U3425" s="52"/>
      <c r="V3425" s="34"/>
      <c r="W3425" s="408"/>
    </row>
    <row r="3426" spans="1:23" ht="12.75" customHeight="1" x14ac:dyDescent="0.2">
      <c r="A3426" s="257">
        <v>3436</v>
      </c>
      <c r="B3426" s="44">
        <v>44632</v>
      </c>
      <c r="C3426" s="44">
        <f t="shared" si="162"/>
        <v>44632</v>
      </c>
      <c r="D3426" s="374">
        <v>73</v>
      </c>
      <c r="E3426" s="291" t="str">
        <f>IFERROR(VLOOKUP($D3426,'Clients-Live'!$A:$C,3,0),"")</f>
        <v>AJONYE DEBORA</v>
      </c>
      <c r="F3426" s="291">
        <f>IFERROR(INDEX(Disbursements!$D:$D,MATCH('Live Collections'!G3426,Disbursements!$C:$C,0)),"")</f>
        <v>3</v>
      </c>
      <c r="G3426" s="34">
        <v>426</v>
      </c>
      <c r="H3426" s="34">
        <v>5228</v>
      </c>
      <c r="I3426" s="34" t="s">
        <v>1357</v>
      </c>
      <c r="J3426" s="48"/>
      <c r="K3426" s="48"/>
      <c r="L3426" s="48"/>
      <c r="M3426" s="48"/>
      <c r="N3426" s="59"/>
      <c r="O3426" s="59">
        <v>53000</v>
      </c>
      <c r="P3426" s="59"/>
      <c r="Q3426" s="268">
        <f t="shared" si="160"/>
        <v>53000</v>
      </c>
      <c r="R3426" s="61">
        <f>IF(O3426=0,0,SUMIFS(Disbursements!$T:$T,Disbursements!$B:$B,'Live Collections'!D3426,Disbursements!$D:$D,'Live Collections'!F3426))</f>
        <v>53000</v>
      </c>
      <c r="S3426" s="304">
        <f>IF(O3426&lt;=IF($O3426=0,0,SUMIFS(Disbursements!$W:$W,Disbursements!$B:$B,'Live Collections'!D3426,Disbursements!$D:$D,'Live Collections'!F3426)),O3426,IF($O3426=0,0,SUMIFS(Disbursements!$W:$W,Disbursements!$B:$B,'Live Collections'!D3426,Disbursements!$D:$D,'Live Collections'!F3426)))</f>
        <v>13000</v>
      </c>
      <c r="T3426" s="304">
        <f t="shared" si="161"/>
        <v>40000</v>
      </c>
      <c r="U3426" s="52"/>
      <c r="V3426" s="34"/>
      <c r="W3426" s="408"/>
    </row>
    <row r="3427" spans="1:23" ht="12.75" customHeight="1" x14ac:dyDescent="0.2">
      <c r="A3427" s="257">
        <v>3437</v>
      </c>
      <c r="B3427" s="44">
        <v>44632</v>
      </c>
      <c r="C3427" s="44">
        <f t="shared" si="162"/>
        <v>44632</v>
      </c>
      <c r="D3427" s="374">
        <v>324</v>
      </c>
      <c r="E3427" s="291" t="str">
        <f>IFERROR(VLOOKUP($D3427,'Clients-Live'!$A:$C,3,0),"")</f>
        <v>ARIKE KOKOLE YASSIN</v>
      </c>
      <c r="F3427" s="291">
        <f>IFERROR(INDEX(Disbursements!$D:$D,MATCH('Live Collections'!G3427,Disbursements!$C:$C,0)),"")</f>
        <v>1</v>
      </c>
      <c r="G3427" s="34">
        <v>450</v>
      </c>
      <c r="H3427" s="34">
        <v>5232</v>
      </c>
      <c r="I3427" s="34" t="s">
        <v>1357</v>
      </c>
      <c r="J3427" s="48"/>
      <c r="K3427" s="48"/>
      <c r="L3427" s="48"/>
      <c r="M3427" s="48"/>
      <c r="N3427" s="59"/>
      <c r="O3427" s="59">
        <v>60000</v>
      </c>
      <c r="P3427" s="59"/>
      <c r="Q3427" s="268">
        <f t="shared" si="160"/>
        <v>60000</v>
      </c>
      <c r="R3427" s="61">
        <f>IF(O3427=0,0,SUMIFS(Disbursements!$T:$T,Disbursements!$B:$B,'Live Collections'!D3427,Disbursements!$D:$D,'Live Collections'!F3427))</f>
        <v>58000</v>
      </c>
      <c r="S3427" s="304">
        <f>IF(O3427&lt;=IF($O3427=0,0,SUMIFS(Disbursements!$W:$W,Disbursements!$B:$B,'Live Collections'!D3427,Disbursements!$D:$D,'Live Collections'!F3427)),O3427,IF($O3427=0,0,SUMIFS(Disbursements!$W:$W,Disbursements!$B:$B,'Live Collections'!D3427,Disbursements!$D:$D,'Live Collections'!F3427)))</f>
        <v>16333.333333333336</v>
      </c>
      <c r="T3427" s="304">
        <f t="shared" si="161"/>
        <v>43666.666666666664</v>
      </c>
      <c r="U3427" s="52"/>
      <c r="V3427" s="34"/>
      <c r="W3427" s="408"/>
    </row>
    <row r="3428" spans="1:23" ht="12.75" customHeight="1" x14ac:dyDescent="0.2">
      <c r="A3428" s="257">
        <v>3438</v>
      </c>
      <c r="B3428" s="44">
        <v>44632</v>
      </c>
      <c r="C3428" s="44">
        <f t="shared" si="162"/>
        <v>44632</v>
      </c>
      <c r="D3428" s="374">
        <v>147</v>
      </c>
      <c r="E3428" s="291" t="str">
        <f>IFERROR(VLOOKUP($D3428,'Clients-Live'!$A:$C,3,0),"")</f>
        <v>DRICIRU MARGRET</v>
      </c>
      <c r="F3428" s="291">
        <f>IFERROR(INDEX(Disbursements!$D:$D,MATCH('Live Collections'!G3428,Disbursements!$C:$C,0)),"")</f>
        <v>3</v>
      </c>
      <c r="G3428" s="34">
        <v>434</v>
      </c>
      <c r="H3428" s="34">
        <v>5231</v>
      </c>
      <c r="I3428" s="34" t="s">
        <v>1359</v>
      </c>
      <c r="J3428" s="48"/>
      <c r="K3428" s="48"/>
      <c r="L3428" s="48"/>
      <c r="M3428" s="48"/>
      <c r="N3428" s="59"/>
      <c r="O3428" s="59">
        <v>318000</v>
      </c>
      <c r="P3428" s="59"/>
      <c r="Q3428" s="268">
        <f t="shared" si="160"/>
        <v>318000</v>
      </c>
      <c r="R3428" s="61">
        <f>IF(O3428=0,0,SUMIFS(Disbursements!$T:$T,Disbursements!$B:$B,'Live Collections'!D3428,Disbursements!$D:$D,'Live Collections'!F3428))</f>
        <v>318000</v>
      </c>
      <c r="S3428" s="304">
        <f>IF(O3428&lt;=IF($O3428=0,0,SUMIFS(Disbursements!$W:$W,Disbursements!$B:$B,'Live Collections'!D3428,Disbursements!$D:$D,'Live Collections'!F3428)),O3428,IF($O3428=0,0,SUMIFS(Disbursements!$W:$W,Disbursements!$B:$B,'Live Collections'!D3428,Disbursements!$D:$D,'Live Collections'!F3428)))</f>
        <v>78000</v>
      </c>
      <c r="T3428" s="304">
        <f t="shared" si="161"/>
        <v>240000</v>
      </c>
      <c r="U3428" s="52"/>
      <c r="V3428" s="34"/>
      <c r="W3428" s="408"/>
    </row>
    <row r="3429" spans="1:23" ht="12.75" customHeight="1" x14ac:dyDescent="0.2">
      <c r="A3429" s="257">
        <v>3439</v>
      </c>
      <c r="B3429" s="44">
        <v>44632</v>
      </c>
      <c r="C3429" s="44">
        <f t="shared" si="162"/>
        <v>44632</v>
      </c>
      <c r="D3429" s="374">
        <v>335</v>
      </c>
      <c r="E3429" s="291" t="str">
        <f>IFERROR(VLOOKUP($D3429,'Clients-Live'!$A:$C,3,0),"")</f>
        <v>FOGO FRANCIS DRANI</v>
      </c>
      <c r="F3429" s="291" t="str">
        <f>IFERROR(INDEX(Disbursements!$D:$D,MATCH('Live Collections'!G3429,Disbursements!$C:$C,0)),"")</f>
        <v/>
      </c>
      <c r="G3429" s="34"/>
      <c r="H3429" s="34">
        <v>5229</v>
      </c>
      <c r="I3429" s="34" t="s">
        <v>1357</v>
      </c>
      <c r="J3429" s="48"/>
      <c r="K3429" s="48"/>
      <c r="L3429" s="48">
        <v>25000</v>
      </c>
      <c r="M3429" s="48">
        <v>5000</v>
      </c>
      <c r="N3429" s="59"/>
      <c r="O3429" s="59"/>
      <c r="P3429" s="59"/>
      <c r="Q3429" s="268">
        <f t="shared" si="160"/>
        <v>30000</v>
      </c>
      <c r="R3429" s="61">
        <f>IF(O3429=0,0,SUMIFS(Disbursements!$T:$T,Disbursements!$B:$B,'Live Collections'!D3429,Disbursements!$D:$D,'Live Collections'!F3429))</f>
        <v>0</v>
      </c>
      <c r="S3429" s="304">
        <f>IF(O3429&lt;=IF($O3429=0,0,SUMIFS(Disbursements!$W:$W,Disbursements!$B:$B,'Live Collections'!D3429,Disbursements!$D:$D,'Live Collections'!F3429)),O3429,IF($O3429=0,0,SUMIFS(Disbursements!$W:$W,Disbursements!$B:$B,'Live Collections'!D3429,Disbursements!$D:$D,'Live Collections'!F3429)))</f>
        <v>0</v>
      </c>
      <c r="T3429" s="304">
        <f t="shared" si="161"/>
        <v>0</v>
      </c>
      <c r="U3429" s="52"/>
      <c r="V3429" s="34"/>
      <c r="W3429" s="408"/>
    </row>
    <row r="3430" spans="1:23" ht="12.75" customHeight="1" x14ac:dyDescent="0.2">
      <c r="A3430" s="257">
        <v>3440</v>
      </c>
      <c r="B3430" s="44">
        <v>44632</v>
      </c>
      <c r="C3430" s="44">
        <f t="shared" si="162"/>
        <v>44632</v>
      </c>
      <c r="D3430" s="374">
        <v>113</v>
      </c>
      <c r="E3430" s="291" t="str">
        <f>IFERROR(VLOOKUP($D3430,'Clients-Live'!$A:$C,3,0),"")</f>
        <v>ATIKU AMULE ISAAC</v>
      </c>
      <c r="F3430" s="291">
        <f>IFERROR(INDEX(Disbursements!$D:$D,MATCH('Live Collections'!G3430,Disbursements!$C:$C,0)),"")</f>
        <v>2</v>
      </c>
      <c r="G3430" s="34">
        <v>263</v>
      </c>
      <c r="H3430" s="34">
        <v>5230</v>
      </c>
      <c r="I3430" s="34" t="s">
        <v>1358</v>
      </c>
      <c r="J3430" s="48"/>
      <c r="K3430" s="48"/>
      <c r="L3430" s="48"/>
      <c r="M3430" s="48"/>
      <c r="N3430" s="59"/>
      <c r="O3430" s="59">
        <v>150000</v>
      </c>
      <c r="P3430" s="59"/>
      <c r="Q3430" s="268">
        <f t="shared" si="160"/>
        <v>150000</v>
      </c>
      <c r="R3430" s="61">
        <f>IF(O3430=0,0,SUMIFS(Disbursements!$T:$T,Disbursements!$B:$B,'Live Collections'!D3430,Disbursements!$D:$D,'Live Collections'!F3430))</f>
        <v>152000</v>
      </c>
      <c r="S3430" s="304">
        <v>-68000.000000000029</v>
      </c>
      <c r="T3430" s="304">
        <f t="shared" si="161"/>
        <v>218000.00000000003</v>
      </c>
      <c r="U3430" s="52"/>
      <c r="V3430" s="34"/>
      <c r="W3430" s="408"/>
    </row>
    <row r="3431" spans="1:23" ht="12.75" customHeight="1" x14ac:dyDescent="0.2">
      <c r="A3431" s="257">
        <v>3441</v>
      </c>
      <c r="B3431" s="44">
        <v>44634</v>
      </c>
      <c r="C3431" s="44">
        <f t="shared" si="162"/>
        <v>44634</v>
      </c>
      <c r="D3431" s="374">
        <v>192</v>
      </c>
      <c r="E3431" s="291" t="str">
        <f>IFERROR(VLOOKUP($D3431,'Clients-Live'!$A:$C,3,0),"")</f>
        <v>MAZARAU AISHA</v>
      </c>
      <c r="F3431" s="291">
        <f>IFERROR(INDEX(Disbursements!$D:$D,MATCH('Live Collections'!G3431,Disbursements!$C:$C,0)),"")</f>
        <v>2</v>
      </c>
      <c r="G3431" s="34">
        <v>354</v>
      </c>
      <c r="H3431" s="34">
        <v>5235</v>
      </c>
      <c r="I3431" s="34" t="s">
        <v>1357</v>
      </c>
      <c r="J3431" s="48"/>
      <c r="K3431" s="48"/>
      <c r="L3431" s="48"/>
      <c r="M3431" s="48"/>
      <c r="N3431" s="59"/>
      <c r="O3431" s="59">
        <v>30000</v>
      </c>
      <c r="P3431" s="59"/>
      <c r="Q3431" s="268">
        <f t="shared" si="160"/>
        <v>30000</v>
      </c>
      <c r="R3431" s="61">
        <f>IF(O3431=0,0,SUMIFS(Disbursements!$T:$T,Disbursements!$B:$B,'Live Collections'!D3431,Disbursements!$D:$D,'Live Collections'!F3431))</f>
        <v>120000</v>
      </c>
      <c r="S3431" s="304"/>
      <c r="T3431" s="304">
        <f t="shared" si="161"/>
        <v>30000</v>
      </c>
      <c r="U3431" s="52"/>
      <c r="V3431" s="34"/>
      <c r="W3431" s="408"/>
    </row>
    <row r="3432" spans="1:23" ht="12.75" customHeight="1" x14ac:dyDescent="0.2">
      <c r="A3432" s="257">
        <v>3442</v>
      </c>
      <c r="B3432" s="44">
        <v>44634</v>
      </c>
      <c r="C3432" s="44">
        <f t="shared" si="162"/>
        <v>44634</v>
      </c>
      <c r="D3432" s="374">
        <v>309</v>
      </c>
      <c r="E3432" s="291" t="str">
        <f>IFERROR(VLOOKUP($D3432,'Clients-Live'!$A:$C,3,0),"")</f>
        <v>NAMBOZO HALIMA</v>
      </c>
      <c r="F3432" s="291">
        <f>IFERROR(INDEX(Disbursements!$D:$D,MATCH('Live Collections'!G3432,Disbursements!$C:$C,0)),"")</f>
        <v>1</v>
      </c>
      <c r="G3432" s="34">
        <v>391</v>
      </c>
      <c r="H3432" s="34">
        <v>5211</v>
      </c>
      <c r="I3432" s="34" t="s">
        <v>1357</v>
      </c>
      <c r="J3432" s="48"/>
      <c r="K3432" s="48"/>
      <c r="L3432" s="48"/>
      <c r="M3432" s="48"/>
      <c r="N3432" s="59"/>
      <c r="O3432" s="59">
        <v>70000</v>
      </c>
      <c r="P3432" s="59"/>
      <c r="Q3432" s="268">
        <f t="shared" si="160"/>
        <v>70000</v>
      </c>
      <c r="R3432" s="61">
        <f>IF(O3432=0,0,SUMIFS(Disbursements!$T:$T,Disbursements!$B:$B,'Live Collections'!D3432,Disbursements!$D:$D,'Live Collections'!F3432))</f>
        <v>79000</v>
      </c>
      <c r="S3432" s="304">
        <f>IF(O3432&lt;=IF($O3432=0,0,SUMIFS(Disbursements!$W:$W,Disbursements!$B:$B,'Live Collections'!D3432,Disbursements!$D:$D,'Live Collections'!F3432)),O3432,IF($O3432=0,0,SUMIFS(Disbursements!$W:$W,Disbursements!$B:$B,'Live Collections'!D3432,Disbursements!$D:$D,'Live Collections'!F3432)))</f>
        <v>16500</v>
      </c>
      <c r="T3432" s="304">
        <f t="shared" si="161"/>
        <v>53500</v>
      </c>
      <c r="U3432" s="52"/>
      <c r="V3432" s="34"/>
      <c r="W3432" s="408"/>
    </row>
    <row r="3433" spans="1:23" ht="12.75" customHeight="1" x14ac:dyDescent="0.2">
      <c r="A3433" s="257">
        <v>3443</v>
      </c>
      <c r="B3433" s="44">
        <v>44634</v>
      </c>
      <c r="C3433" s="44">
        <f t="shared" si="162"/>
        <v>44634</v>
      </c>
      <c r="D3433" s="374">
        <v>90</v>
      </c>
      <c r="E3433" s="291" t="str">
        <f>IFERROR(VLOOKUP($D3433,'Clients-Live'!$A:$C,3,0),"")</f>
        <v>ZABIBU RAJAB SAIDI</v>
      </c>
      <c r="F3433" s="291">
        <f>IFERROR(INDEX(Disbursements!$D:$D,MATCH('Live Collections'!G3433,Disbursements!$C:$C,0)),"")</f>
        <v>2</v>
      </c>
      <c r="G3433" s="34">
        <v>316</v>
      </c>
      <c r="H3433" s="34">
        <v>5212</v>
      </c>
      <c r="I3433" s="34" t="s">
        <v>1358</v>
      </c>
      <c r="J3433" s="48"/>
      <c r="K3433" s="48"/>
      <c r="L3433" s="48"/>
      <c r="M3433" s="48"/>
      <c r="N3433" s="59"/>
      <c r="O3433" s="59">
        <v>200000</v>
      </c>
      <c r="P3433" s="59"/>
      <c r="Q3433" s="268">
        <f t="shared" si="160"/>
        <v>200000</v>
      </c>
      <c r="R3433" s="61">
        <f>IF(O3433=0,0,SUMIFS(Disbursements!$T:$T,Disbursements!$B:$B,'Live Collections'!D3433,Disbursements!$D:$D,'Live Collections'!F3433))</f>
        <v>217000</v>
      </c>
      <c r="S3433" s="304">
        <v>27000.000000000058</v>
      </c>
      <c r="T3433" s="304">
        <f t="shared" si="161"/>
        <v>172999.99999999994</v>
      </c>
      <c r="U3433" s="52"/>
      <c r="V3433" s="34"/>
      <c r="W3433" s="408"/>
    </row>
    <row r="3434" spans="1:23" ht="12.75" customHeight="1" x14ac:dyDescent="0.2">
      <c r="A3434" s="257">
        <v>3444</v>
      </c>
      <c r="B3434" s="44">
        <v>44634</v>
      </c>
      <c r="C3434" s="44">
        <f t="shared" si="162"/>
        <v>44634</v>
      </c>
      <c r="D3434" s="374">
        <v>143</v>
      </c>
      <c r="E3434" s="291" t="str">
        <f>IFERROR(VLOOKUP($D3434,'Clients-Live'!$A:$C,3,0),"")</f>
        <v>MORO HAKIM</v>
      </c>
      <c r="F3434" s="291" t="str">
        <f>IFERROR(INDEX(Disbursements!$D:$D,MATCH('Live Collections'!G3434,Disbursements!$C:$C,0)),"")</f>
        <v/>
      </c>
      <c r="G3434" s="34"/>
      <c r="H3434" s="34">
        <v>5241</v>
      </c>
      <c r="I3434" s="34" t="s">
        <v>1357</v>
      </c>
      <c r="J3434" s="48"/>
      <c r="K3434" s="48"/>
      <c r="L3434" s="48">
        <v>30000</v>
      </c>
      <c r="M3434" s="48">
        <v>5000</v>
      </c>
      <c r="N3434" s="59"/>
      <c r="O3434" s="59"/>
      <c r="P3434" s="59"/>
      <c r="Q3434" s="268">
        <f t="shared" si="160"/>
        <v>35000</v>
      </c>
      <c r="R3434" s="61">
        <f>IF(O3434=0,0,SUMIFS(Disbursements!$T:$T,Disbursements!$B:$B,'Live Collections'!D3434,Disbursements!$D:$D,'Live Collections'!F3434))</f>
        <v>0</v>
      </c>
      <c r="S3434" s="304">
        <f>IF(O3434&lt;=IF($O3434=0,0,SUMIFS(Disbursements!$W:$W,Disbursements!$B:$B,'Live Collections'!D3434,Disbursements!$D:$D,'Live Collections'!F3434)),O3434,IF($O3434=0,0,SUMIFS(Disbursements!$W:$W,Disbursements!$B:$B,'Live Collections'!D3434,Disbursements!$D:$D,'Live Collections'!F3434)))</f>
        <v>0</v>
      </c>
      <c r="T3434" s="304">
        <f t="shared" si="161"/>
        <v>0</v>
      </c>
      <c r="U3434" s="52"/>
      <c r="V3434" s="34"/>
      <c r="W3434" s="408"/>
    </row>
    <row r="3435" spans="1:23" ht="12.75" customHeight="1" x14ac:dyDescent="0.2">
      <c r="A3435" s="257">
        <v>3445</v>
      </c>
      <c r="B3435" s="44">
        <v>44634</v>
      </c>
      <c r="C3435" s="44">
        <f t="shared" si="162"/>
        <v>44634</v>
      </c>
      <c r="D3435" s="374">
        <v>233</v>
      </c>
      <c r="E3435" s="291" t="str">
        <f>IFERROR(VLOOKUP($D3435,'Clients-Live'!$A:$C,3,0),"")</f>
        <v>KAMOYO HARRIET</v>
      </c>
      <c r="F3435" s="291" t="str">
        <f>IFERROR(INDEX(Disbursements!$D:$D,MATCH('Live Collections'!G3435,Disbursements!$C:$C,0)),"")</f>
        <v/>
      </c>
      <c r="G3435" s="34"/>
      <c r="H3435" s="34">
        <v>5240</v>
      </c>
      <c r="I3435" s="34" t="s">
        <v>1358</v>
      </c>
      <c r="J3435" s="48"/>
      <c r="K3435" s="48"/>
      <c r="L3435" s="48">
        <v>15000</v>
      </c>
      <c r="M3435" s="48">
        <v>5000</v>
      </c>
      <c r="N3435" s="59"/>
      <c r="O3435" s="59"/>
      <c r="P3435" s="59"/>
      <c r="Q3435" s="268">
        <f t="shared" si="160"/>
        <v>20000</v>
      </c>
      <c r="R3435" s="61">
        <f>IF(O3435=0,0,SUMIFS(Disbursements!$T:$T,Disbursements!$B:$B,'Live Collections'!D3435,Disbursements!$D:$D,'Live Collections'!F3435))</f>
        <v>0</v>
      </c>
      <c r="S3435" s="304">
        <f>IF(O3435&lt;=IF($O3435=0,0,SUMIFS(Disbursements!$W:$W,Disbursements!$B:$B,'Live Collections'!D3435,Disbursements!$D:$D,'Live Collections'!F3435)),O3435,IF($O3435=0,0,SUMIFS(Disbursements!$W:$W,Disbursements!$B:$B,'Live Collections'!D3435,Disbursements!$D:$D,'Live Collections'!F3435)))</f>
        <v>0</v>
      </c>
      <c r="T3435" s="304">
        <f t="shared" si="161"/>
        <v>0</v>
      </c>
      <c r="U3435" s="52"/>
      <c r="V3435" s="34"/>
      <c r="W3435" s="408"/>
    </row>
    <row r="3436" spans="1:23" ht="12.75" customHeight="1" x14ac:dyDescent="0.2">
      <c r="A3436" s="257">
        <v>3446</v>
      </c>
      <c r="B3436" s="44">
        <v>44634</v>
      </c>
      <c r="C3436" s="44">
        <f t="shared" si="162"/>
        <v>44634</v>
      </c>
      <c r="D3436" s="374">
        <v>77</v>
      </c>
      <c r="E3436" s="291" t="str">
        <f>IFERROR(VLOOKUP($D3436,'Clients-Live'!$A:$C,3,0),"")</f>
        <v>CACA FATUMA</v>
      </c>
      <c r="F3436" s="291">
        <f>IFERROR(INDEX(Disbursements!$D:$D,MATCH('Live Collections'!G3436,Disbursements!$C:$C,0)),"")</f>
        <v>2</v>
      </c>
      <c r="G3436" s="34">
        <v>315</v>
      </c>
      <c r="H3436" s="34">
        <v>5233</v>
      </c>
      <c r="I3436" s="34" t="s">
        <v>1357</v>
      </c>
      <c r="J3436" s="48"/>
      <c r="K3436" s="48"/>
      <c r="L3436" s="48"/>
      <c r="M3436" s="48"/>
      <c r="N3436" s="59"/>
      <c r="O3436" s="59">
        <v>150000</v>
      </c>
      <c r="P3436" s="59"/>
      <c r="Q3436" s="268">
        <f t="shared" ref="Q3436:Q3499" si="163">SUM(J3436:P3436)</f>
        <v>150000</v>
      </c>
      <c r="R3436" s="61">
        <f>IF(O3436=0,0,SUMIFS(Disbursements!$T:$T,Disbursements!$B:$B,'Live Collections'!D3436,Disbursements!$D:$D,'Live Collections'!F3436))</f>
        <v>325000</v>
      </c>
      <c r="S3436" s="304">
        <f>IF(O3436&lt;=IF($O3436=0,0,SUMIFS(Disbursements!$W:$W,Disbursements!$B:$B,'Live Collections'!D3436,Disbursements!$D:$D,'Live Collections'!F3436)),O3436,IF($O3436=0,0,SUMIFS(Disbursements!$W:$W,Disbursements!$B:$B,'Live Collections'!D3436,Disbursements!$D:$D,'Live Collections'!F3436)))</f>
        <v>75000</v>
      </c>
      <c r="T3436" s="304">
        <f t="shared" si="161"/>
        <v>75000</v>
      </c>
      <c r="U3436" s="52"/>
      <c r="V3436" s="34"/>
      <c r="W3436" s="408"/>
    </row>
    <row r="3437" spans="1:23" ht="12.75" customHeight="1" x14ac:dyDescent="0.2">
      <c r="A3437" s="257">
        <v>3447</v>
      </c>
      <c r="B3437" s="44">
        <v>44634</v>
      </c>
      <c r="C3437" s="44">
        <f t="shared" si="162"/>
        <v>44634</v>
      </c>
      <c r="D3437" s="374">
        <v>281</v>
      </c>
      <c r="E3437" s="291" t="str">
        <f>IFERROR(VLOOKUP($D3437,'Clients-Live'!$A:$C,3,0),"")</f>
        <v>BAKO ZUBEDA</v>
      </c>
      <c r="F3437" s="291">
        <f>IFERROR(INDEX(Disbursements!$D:$D,MATCH('Live Collections'!G3437,Disbursements!$C:$C,0)),"")</f>
        <v>1</v>
      </c>
      <c r="G3437" s="34">
        <v>406</v>
      </c>
      <c r="H3437" s="34">
        <v>5237</v>
      </c>
      <c r="I3437" s="34" t="s">
        <v>1359</v>
      </c>
      <c r="J3437" s="48"/>
      <c r="K3437" s="48"/>
      <c r="L3437" s="48"/>
      <c r="M3437" s="48"/>
      <c r="N3437" s="59"/>
      <c r="O3437" s="59">
        <v>111000</v>
      </c>
      <c r="P3437" s="59"/>
      <c r="Q3437" s="268">
        <f t="shared" si="163"/>
        <v>111000</v>
      </c>
      <c r="R3437" s="61">
        <f>IF(O3437=0,0,SUMIFS(Disbursements!$T:$T,Disbursements!$B:$B,'Live Collections'!D3437,Disbursements!$D:$D,'Live Collections'!F3437))</f>
        <v>28000</v>
      </c>
      <c r="S3437" s="304">
        <f>IF(O3437&lt;=IF($O3437=0,0,SUMIFS(Disbursements!$W:$W,Disbursements!$B:$B,'Live Collections'!D3437,Disbursements!$D:$D,'Live Collections'!F3437)),O3437,IF($O3437=0,0,SUMIFS(Disbursements!$W:$W,Disbursements!$B:$B,'Live Collections'!D3437,Disbursements!$D:$D,'Live Collections'!F3437)))</f>
        <v>6125</v>
      </c>
      <c r="T3437" s="304">
        <f t="shared" si="161"/>
        <v>104875</v>
      </c>
      <c r="U3437" s="52"/>
      <c r="V3437" s="34"/>
      <c r="W3437" s="408"/>
    </row>
    <row r="3438" spans="1:23" ht="12.75" customHeight="1" x14ac:dyDescent="0.2">
      <c r="A3438" s="257">
        <v>3448</v>
      </c>
      <c r="B3438" s="44">
        <v>44634</v>
      </c>
      <c r="C3438" s="44">
        <f t="shared" si="162"/>
        <v>44634</v>
      </c>
      <c r="D3438" s="374">
        <v>3</v>
      </c>
      <c r="E3438" s="291" t="str">
        <f>IFERROR(VLOOKUP($D3438,'Clients-Live'!$A:$C,3,0),"")</f>
        <v>YEKA ARIJABU</v>
      </c>
      <c r="F3438" s="291">
        <f>IFERROR(INDEX(Disbursements!$D:$D,MATCH('Live Collections'!G3438,Disbursements!$C:$C,0)),"")</f>
        <v>2</v>
      </c>
      <c r="G3438" s="34">
        <v>443</v>
      </c>
      <c r="H3438" s="34">
        <v>5239</v>
      </c>
      <c r="I3438" s="34" t="s">
        <v>1357</v>
      </c>
      <c r="J3438" s="48"/>
      <c r="K3438" s="48"/>
      <c r="L3438" s="48"/>
      <c r="M3438" s="48"/>
      <c r="N3438" s="59"/>
      <c r="O3438" s="59">
        <v>100000</v>
      </c>
      <c r="P3438" s="59"/>
      <c r="Q3438" s="268">
        <f t="shared" si="163"/>
        <v>100000</v>
      </c>
      <c r="R3438" s="61">
        <f>IF(O3438=0,0,SUMIFS(Disbursements!$T:$T,Disbursements!$B:$B,'Live Collections'!D3438,Disbursements!$D:$D,'Live Collections'!F3438))</f>
        <v>116000</v>
      </c>
      <c r="S3438" s="304">
        <f>IF(O3438&lt;=IF($O3438=0,0,SUMIFS(Disbursements!$W:$W,Disbursements!$B:$B,'Live Collections'!D3438,Disbursements!$D:$D,'Live Collections'!F3438)),O3438,IF($O3438=0,0,SUMIFS(Disbursements!$W:$W,Disbursements!$B:$B,'Live Collections'!D3438,Disbursements!$D:$D,'Live Collections'!F3438)))</f>
        <v>32666.666666666672</v>
      </c>
      <c r="T3438" s="304">
        <f t="shared" si="161"/>
        <v>67333.333333333328</v>
      </c>
      <c r="U3438" s="52"/>
      <c r="V3438" s="34"/>
      <c r="W3438" s="408"/>
    </row>
    <row r="3439" spans="1:23" ht="12.75" customHeight="1" x14ac:dyDescent="0.2">
      <c r="A3439" s="257">
        <v>3449</v>
      </c>
      <c r="B3439" s="44">
        <v>44634</v>
      </c>
      <c r="C3439" s="44">
        <f t="shared" si="162"/>
        <v>44634</v>
      </c>
      <c r="D3439" s="374">
        <v>144</v>
      </c>
      <c r="E3439" s="291" t="str">
        <f>IFERROR(VLOOKUP($D3439,'Clients-Live'!$A:$C,3,0),"")</f>
        <v>GBENINGA RUKIA</v>
      </c>
      <c r="F3439" s="291">
        <f>IFERROR(INDEX(Disbursements!$D:$D,MATCH('Live Collections'!G3439,Disbursements!$C:$C,0)),"")</f>
        <v>1</v>
      </c>
      <c r="G3439" s="34">
        <v>131</v>
      </c>
      <c r="H3439" s="34">
        <v>5244</v>
      </c>
      <c r="I3439" s="34" t="s">
        <v>1359</v>
      </c>
      <c r="J3439" s="48"/>
      <c r="K3439" s="48"/>
      <c r="L3439" s="48"/>
      <c r="M3439" s="48"/>
      <c r="N3439" s="59"/>
      <c r="O3439" s="59">
        <v>15000</v>
      </c>
      <c r="P3439" s="59"/>
      <c r="Q3439" s="268">
        <f t="shared" si="163"/>
        <v>15000</v>
      </c>
      <c r="R3439" s="61">
        <f>IF(O3439=0,0,SUMIFS(Disbursements!$T:$T,Disbursements!$B:$B,'Live Collections'!D3439,Disbursements!$D:$D,'Live Collections'!F3439))</f>
        <v>125000</v>
      </c>
      <c r="S3439" s="304"/>
      <c r="T3439" s="304">
        <f t="shared" si="161"/>
        <v>15000</v>
      </c>
      <c r="U3439" s="52"/>
      <c r="V3439" s="34"/>
      <c r="W3439" s="408"/>
    </row>
    <row r="3440" spans="1:23" ht="12.75" customHeight="1" x14ac:dyDescent="0.2">
      <c r="A3440" s="257">
        <v>3450</v>
      </c>
      <c r="B3440" s="44">
        <v>44634</v>
      </c>
      <c r="C3440" s="44">
        <f t="shared" si="162"/>
        <v>44634</v>
      </c>
      <c r="D3440" s="374">
        <v>337</v>
      </c>
      <c r="E3440" s="291" t="str">
        <f>IFERROR(VLOOKUP($D3440,'Clients-Live'!$A:$C,3,0),"")</f>
        <v>AYISA AJONYE</v>
      </c>
      <c r="F3440" s="291" t="str">
        <f>IFERROR(INDEX(Disbursements!$D:$D,MATCH('Live Collections'!G3440,Disbursements!$C:$C,0)),"")</f>
        <v/>
      </c>
      <c r="G3440" s="34"/>
      <c r="H3440" s="34">
        <v>5242</v>
      </c>
      <c r="I3440" s="34" t="s">
        <v>1760</v>
      </c>
      <c r="J3440" s="48">
        <v>15000</v>
      </c>
      <c r="K3440" s="48">
        <v>5000</v>
      </c>
      <c r="L3440" s="48"/>
      <c r="M3440" s="48"/>
      <c r="N3440" s="59"/>
      <c r="O3440" s="59"/>
      <c r="P3440" s="59"/>
      <c r="Q3440" s="268">
        <f t="shared" si="163"/>
        <v>20000</v>
      </c>
      <c r="R3440" s="61">
        <f>IF(O3440=0,0,SUMIFS(Disbursements!$T:$T,Disbursements!$B:$B,'Live Collections'!D3440,Disbursements!$D:$D,'Live Collections'!F3440))</f>
        <v>0</v>
      </c>
      <c r="S3440" s="304">
        <f>IF(O3440&lt;=IF($O3440=0,0,SUMIFS(Disbursements!$W:$W,Disbursements!$B:$B,'Live Collections'!D3440,Disbursements!$D:$D,'Live Collections'!F3440)),O3440,IF($O3440=0,0,SUMIFS(Disbursements!$W:$W,Disbursements!$B:$B,'Live Collections'!D3440,Disbursements!$D:$D,'Live Collections'!F3440)))</f>
        <v>0</v>
      </c>
      <c r="T3440" s="304">
        <f t="shared" si="161"/>
        <v>0</v>
      </c>
      <c r="U3440" s="52"/>
      <c r="V3440" s="34"/>
      <c r="W3440" s="408"/>
    </row>
    <row r="3441" spans="1:23" ht="12.75" customHeight="1" x14ac:dyDescent="0.2">
      <c r="A3441" s="257">
        <v>3451</v>
      </c>
      <c r="B3441" s="44">
        <v>44634</v>
      </c>
      <c r="C3441" s="44">
        <f t="shared" si="162"/>
        <v>44634</v>
      </c>
      <c r="D3441" s="374">
        <v>266</v>
      </c>
      <c r="E3441" s="291" t="str">
        <f>IFERROR(VLOOKUP($D3441,'Clients-Live'!$A:$C,3,0),"")</f>
        <v>TAIBO AMANA</v>
      </c>
      <c r="F3441" s="291">
        <f>IFERROR(INDEX(Disbursements!$D:$D,MATCH('Live Collections'!G3441,Disbursements!$C:$C,0)),"")</f>
        <v>1</v>
      </c>
      <c r="G3441" s="34">
        <v>336</v>
      </c>
      <c r="H3441" s="34">
        <v>5246</v>
      </c>
      <c r="I3441" s="34" t="s">
        <v>1358</v>
      </c>
      <c r="J3441" s="48"/>
      <c r="K3441" s="48"/>
      <c r="L3441" s="48"/>
      <c r="M3441" s="48"/>
      <c r="N3441" s="59"/>
      <c r="O3441" s="59">
        <v>120000</v>
      </c>
      <c r="P3441" s="59"/>
      <c r="Q3441" s="268">
        <f t="shared" si="163"/>
        <v>120000</v>
      </c>
      <c r="R3441" s="61">
        <f>IF(O3441=0,0,SUMIFS(Disbursements!$T:$T,Disbursements!$B:$B,'Live Collections'!D3441,Disbursements!$D:$D,'Live Collections'!F3441))</f>
        <v>120000</v>
      </c>
      <c r="S3441" s="304"/>
      <c r="T3441" s="304">
        <f t="shared" si="161"/>
        <v>120000</v>
      </c>
      <c r="U3441" s="52"/>
      <c r="V3441" s="34"/>
      <c r="W3441" s="408"/>
    </row>
    <row r="3442" spans="1:23" ht="12.75" customHeight="1" x14ac:dyDescent="0.2">
      <c r="A3442" s="257">
        <v>3452</v>
      </c>
      <c r="B3442" s="44">
        <v>44634</v>
      </c>
      <c r="C3442" s="44">
        <f t="shared" si="162"/>
        <v>44634</v>
      </c>
      <c r="D3442" s="374">
        <v>124</v>
      </c>
      <c r="E3442" s="291" t="str">
        <f>IFERROR(VLOOKUP($D3442,'Clients-Live'!$A:$C,3,0),"")</f>
        <v>TIKO ZABIBU</v>
      </c>
      <c r="F3442" s="291">
        <f>IFERROR(INDEX(Disbursements!$D:$D,MATCH('Live Collections'!G3442,Disbursements!$C:$C,0)),"")</f>
        <v>2</v>
      </c>
      <c r="G3442" s="34">
        <v>335</v>
      </c>
      <c r="H3442" s="34">
        <v>5245</v>
      </c>
      <c r="I3442" s="34" t="s">
        <v>1358</v>
      </c>
      <c r="J3442" s="48"/>
      <c r="K3442" s="48"/>
      <c r="L3442" s="48"/>
      <c r="M3442" s="48"/>
      <c r="N3442" s="59"/>
      <c r="O3442" s="59">
        <v>50000</v>
      </c>
      <c r="P3442" s="59"/>
      <c r="Q3442" s="268">
        <f t="shared" si="163"/>
        <v>50000</v>
      </c>
      <c r="R3442" s="61">
        <f>IF(O3442=0,0,SUMIFS(Disbursements!$T:$T,Disbursements!$B:$B,'Live Collections'!D3442,Disbursements!$D:$D,'Live Collections'!F3442))</f>
        <v>200000</v>
      </c>
      <c r="S3442" s="64">
        <v>35000</v>
      </c>
      <c r="T3442" s="304">
        <f t="shared" si="161"/>
        <v>15000</v>
      </c>
      <c r="U3442" s="52"/>
      <c r="V3442" s="34"/>
      <c r="W3442" s="408"/>
    </row>
    <row r="3443" spans="1:23" ht="12.75" customHeight="1" x14ac:dyDescent="0.2">
      <c r="A3443" s="257">
        <v>3453</v>
      </c>
      <c r="B3443" s="44">
        <v>44634</v>
      </c>
      <c r="C3443" s="44">
        <f t="shared" si="162"/>
        <v>44634</v>
      </c>
      <c r="D3443" s="374">
        <v>271</v>
      </c>
      <c r="E3443" s="291" t="str">
        <f>IFERROR(VLOOKUP($D3443,'Clients-Live'!$A:$C,3,0),"")</f>
        <v>ALORO SAIDI</v>
      </c>
      <c r="F3443" s="291">
        <f>IFERROR(INDEX(Disbursements!$D:$D,MATCH('Live Collections'!G3443,Disbursements!$C:$C,0)),"")</f>
        <v>1</v>
      </c>
      <c r="G3443" s="34">
        <v>319</v>
      </c>
      <c r="H3443" s="34">
        <v>5213</v>
      </c>
      <c r="I3443" s="34" t="s">
        <v>1357</v>
      </c>
      <c r="J3443" s="48"/>
      <c r="K3443" s="48"/>
      <c r="L3443" s="48"/>
      <c r="M3443" s="48"/>
      <c r="N3443" s="59"/>
      <c r="O3443" s="59">
        <v>40000</v>
      </c>
      <c r="P3443" s="59"/>
      <c r="Q3443" s="268">
        <f t="shared" si="163"/>
        <v>40000</v>
      </c>
      <c r="R3443" s="61">
        <f>IF(O3443=0,0,SUMIFS(Disbursements!$T:$T,Disbursements!$B:$B,'Live Collections'!D3443,Disbursements!$D:$D,'Live Collections'!F3443))</f>
        <v>120000</v>
      </c>
      <c r="S3443" s="304"/>
      <c r="T3443" s="304">
        <f t="shared" si="161"/>
        <v>40000</v>
      </c>
      <c r="U3443" s="52"/>
      <c r="V3443" s="34"/>
      <c r="W3443" s="408"/>
    </row>
    <row r="3444" spans="1:23" ht="12.75" customHeight="1" x14ac:dyDescent="0.2">
      <c r="A3444" s="257">
        <v>3454</v>
      </c>
      <c r="B3444" s="44">
        <v>44634</v>
      </c>
      <c r="C3444" s="44">
        <f t="shared" si="162"/>
        <v>44634</v>
      </c>
      <c r="D3444" s="374">
        <v>217</v>
      </c>
      <c r="E3444" s="291" t="str">
        <f>IFERROR(VLOOKUP($D3444,'Clients-Live'!$A:$C,3,0),"")</f>
        <v>JAMBA MOSES</v>
      </c>
      <c r="F3444" s="291" t="str">
        <f>IFERROR(INDEX(Disbursements!$D:$D,MATCH('Live Collections'!G3444,Disbursements!$C:$C,0)),"")</f>
        <v/>
      </c>
      <c r="G3444" s="34"/>
      <c r="H3444" s="34">
        <v>5250</v>
      </c>
      <c r="I3444" s="34" t="s">
        <v>1357</v>
      </c>
      <c r="J3444" s="48"/>
      <c r="K3444" s="48"/>
      <c r="L3444" s="48">
        <v>15000</v>
      </c>
      <c r="M3444" s="48">
        <v>5000</v>
      </c>
      <c r="N3444" s="59"/>
      <c r="O3444" s="59"/>
      <c r="P3444" s="59"/>
      <c r="Q3444" s="268">
        <f t="shared" si="163"/>
        <v>20000</v>
      </c>
      <c r="R3444" s="61">
        <f>IF(O3444=0,0,SUMIFS(Disbursements!$T:$T,Disbursements!$B:$B,'Live Collections'!D3444,Disbursements!$D:$D,'Live Collections'!F3444))</f>
        <v>0</v>
      </c>
      <c r="S3444" s="304">
        <f>IF(O3444&lt;=IF($O3444=0,0,SUMIFS(Disbursements!$W:$W,Disbursements!$B:$B,'Live Collections'!D3444,Disbursements!$D:$D,'Live Collections'!F3444)),O3444,IF($O3444=0,0,SUMIFS(Disbursements!$W:$W,Disbursements!$B:$B,'Live Collections'!D3444,Disbursements!$D:$D,'Live Collections'!F3444)))</f>
        <v>0</v>
      </c>
      <c r="T3444" s="304">
        <f t="shared" si="161"/>
        <v>0</v>
      </c>
      <c r="U3444" s="52"/>
      <c r="V3444" s="34"/>
      <c r="W3444" s="408"/>
    </row>
    <row r="3445" spans="1:23" ht="12.75" customHeight="1" x14ac:dyDescent="0.2">
      <c r="A3445" s="257">
        <v>3455</v>
      </c>
      <c r="B3445" s="44">
        <v>44634</v>
      </c>
      <c r="C3445" s="44">
        <f t="shared" si="162"/>
        <v>44634</v>
      </c>
      <c r="D3445" s="374">
        <v>117</v>
      </c>
      <c r="E3445" s="291" t="str">
        <f>IFERROR(VLOOKUP($D3445,'Clients-Live'!$A:$C,3,0),"")</f>
        <v>MAWA JACKSON</v>
      </c>
      <c r="F3445" s="291">
        <f>IFERROR(INDEX(Disbursements!$D:$D,MATCH('Live Collections'!G3445,Disbursements!$C:$C,0)),"")</f>
        <v>1</v>
      </c>
      <c r="G3445" s="34">
        <v>99</v>
      </c>
      <c r="H3445" s="34" t="s">
        <v>2220</v>
      </c>
      <c r="I3445" s="34" t="s">
        <v>1358</v>
      </c>
      <c r="J3445" s="48"/>
      <c r="K3445" s="48"/>
      <c r="L3445" s="48"/>
      <c r="M3445" s="48"/>
      <c r="N3445" s="59">
        <v>5000</v>
      </c>
      <c r="O3445" s="59">
        <v>65000</v>
      </c>
      <c r="P3445" s="59">
        <v>-70000</v>
      </c>
      <c r="Q3445" s="268">
        <f t="shared" si="163"/>
        <v>0</v>
      </c>
      <c r="R3445" s="61">
        <f>IF(O3445=0,0,SUMIFS(Disbursements!$T:$T,Disbursements!$B:$B,'Live Collections'!D3445,Disbursements!$D:$D,'Live Collections'!F3445))</f>
        <v>152000</v>
      </c>
      <c r="S3445" s="304"/>
      <c r="T3445" s="304">
        <f t="shared" si="161"/>
        <v>65000</v>
      </c>
      <c r="U3445" s="52"/>
      <c r="V3445" s="34"/>
      <c r="W3445" s="408"/>
    </row>
    <row r="3446" spans="1:23" ht="12.75" customHeight="1" x14ac:dyDescent="0.2">
      <c r="A3446" s="257">
        <v>3456</v>
      </c>
      <c r="B3446" s="44">
        <v>44634</v>
      </c>
      <c r="C3446" s="44">
        <f t="shared" si="162"/>
        <v>44634</v>
      </c>
      <c r="D3446" s="374">
        <v>171</v>
      </c>
      <c r="E3446" s="291" t="str">
        <f>IFERROR(VLOOKUP($D3446,'Clients-Live'!$A:$C,3,0),"")</f>
        <v>BADAKA GIFT JOEL</v>
      </c>
      <c r="F3446" s="291" t="str">
        <f>IFERROR(INDEX(Disbursements!$D:$D,MATCH('Live Collections'!G3446,Disbursements!$C:$C,0)),"")</f>
        <v/>
      </c>
      <c r="G3446" s="34"/>
      <c r="H3446" s="34">
        <v>5214</v>
      </c>
      <c r="I3446" s="34" t="s">
        <v>1357</v>
      </c>
      <c r="J3446" s="48"/>
      <c r="K3446" s="48"/>
      <c r="L3446" s="48"/>
      <c r="M3446" s="48"/>
      <c r="N3446" s="59">
        <v>16200</v>
      </c>
      <c r="O3446" s="59"/>
      <c r="P3446" s="59"/>
      <c r="Q3446" s="268">
        <f t="shared" si="163"/>
        <v>16200</v>
      </c>
      <c r="R3446" s="61">
        <f>IF(O3446=0,0,SUMIFS(Disbursements!$T:$T,Disbursements!$B:$B,'Live Collections'!D3446,Disbursements!$D:$D,'Live Collections'!F3446))</f>
        <v>0</v>
      </c>
      <c r="S3446" s="304">
        <f>IF(O3446&lt;=IF($O3446=0,0,SUMIFS(Disbursements!$W:$W,Disbursements!$B:$B,'Live Collections'!D3446,Disbursements!$D:$D,'Live Collections'!F3446)),O3446,IF($O3446=0,0,SUMIFS(Disbursements!$W:$W,Disbursements!$B:$B,'Live Collections'!D3446,Disbursements!$D:$D,'Live Collections'!F3446)))</f>
        <v>0</v>
      </c>
      <c r="T3446" s="304">
        <f t="shared" si="161"/>
        <v>0</v>
      </c>
      <c r="U3446" s="52"/>
      <c r="V3446" s="34"/>
      <c r="W3446" s="408"/>
    </row>
    <row r="3447" spans="1:23" ht="12.75" customHeight="1" x14ac:dyDescent="0.2">
      <c r="A3447" s="257">
        <v>3457</v>
      </c>
      <c r="B3447" s="44">
        <v>44634</v>
      </c>
      <c r="C3447" s="44">
        <f t="shared" si="162"/>
        <v>44634</v>
      </c>
      <c r="D3447" s="374">
        <v>171</v>
      </c>
      <c r="E3447" s="291" t="str">
        <f>IFERROR(VLOOKUP($D3447,'Clients-Live'!$A:$C,3,0),"")</f>
        <v>BADAKA GIFT JOEL</v>
      </c>
      <c r="F3447" s="291">
        <f>IFERROR(INDEX(Disbursements!$D:$D,MATCH('Live Collections'!G3447,Disbursements!$C:$C,0)),"")</f>
        <v>3</v>
      </c>
      <c r="G3447" s="34">
        <v>422</v>
      </c>
      <c r="H3447" s="34">
        <v>5301</v>
      </c>
      <c r="I3447" s="34" t="s">
        <v>1357</v>
      </c>
      <c r="J3447" s="48"/>
      <c r="K3447" s="48"/>
      <c r="L3447" s="48"/>
      <c r="M3447" s="48"/>
      <c r="N3447" s="59"/>
      <c r="O3447" s="59">
        <v>373800</v>
      </c>
      <c r="P3447" s="59"/>
      <c r="Q3447" s="268">
        <f t="shared" si="163"/>
        <v>373800</v>
      </c>
      <c r="R3447" s="61">
        <f>IF(O3447=0,0,SUMIFS(Disbursements!$T:$T,Disbursements!$B:$B,'Live Collections'!D3447,Disbursements!$D:$D,'Live Collections'!F3447))</f>
        <v>374000</v>
      </c>
      <c r="S3447" s="304">
        <f>IF(O3447&lt;=IF($O3447=0,0,SUMIFS(Disbursements!$W:$W,Disbursements!$B:$B,'Live Collections'!D3447,Disbursements!$D:$D,'Live Collections'!F3447)),O3447,IF($O3447=0,0,SUMIFS(Disbursements!$W:$W,Disbursements!$B:$B,'Live Collections'!D3447,Disbursements!$D:$D,'Live Collections'!F3447)))</f>
        <v>49000</v>
      </c>
      <c r="T3447" s="304">
        <f t="shared" ref="T3447:T3510" si="164">IF(O3447=0,0,O3447-S3447)</f>
        <v>324800</v>
      </c>
      <c r="U3447" s="52"/>
      <c r="V3447" s="34"/>
      <c r="W3447" s="408"/>
    </row>
    <row r="3448" spans="1:23" ht="12.75" customHeight="1" x14ac:dyDescent="0.2">
      <c r="A3448" s="257">
        <v>3458</v>
      </c>
      <c r="B3448" s="44">
        <v>44634</v>
      </c>
      <c r="C3448" s="44">
        <f t="shared" si="162"/>
        <v>44634</v>
      </c>
      <c r="D3448" s="374">
        <v>337</v>
      </c>
      <c r="E3448" s="291" t="str">
        <f>IFERROR(VLOOKUP($D3448,'Clients-Live'!$A:$C,3,0),"")</f>
        <v>AYISA AJONYE</v>
      </c>
      <c r="F3448" s="291" t="str">
        <f>IFERROR(INDEX(Disbursements!$D:$D,MATCH('Live Collections'!G3448,Disbursements!$C:$C,0)),"")</f>
        <v/>
      </c>
      <c r="G3448" s="34"/>
      <c r="H3448" s="34">
        <v>5243</v>
      </c>
      <c r="I3448" s="34" t="s">
        <v>1357</v>
      </c>
      <c r="J3448" s="48"/>
      <c r="K3448" s="48"/>
      <c r="L3448" s="48">
        <v>15000</v>
      </c>
      <c r="M3448" s="48">
        <v>5000</v>
      </c>
      <c r="N3448" s="59"/>
      <c r="O3448" s="59"/>
      <c r="P3448" s="59"/>
      <c r="Q3448" s="268">
        <f t="shared" si="163"/>
        <v>20000</v>
      </c>
      <c r="R3448" s="61">
        <f>IF(O3448=0,0,SUMIFS(Disbursements!$T:$T,Disbursements!$B:$B,'Live Collections'!D3448,Disbursements!$D:$D,'Live Collections'!F3448))</f>
        <v>0</v>
      </c>
      <c r="S3448" s="304">
        <f>IF(O3448&lt;=IF($O3448=0,0,SUMIFS(Disbursements!$W:$W,Disbursements!$B:$B,'Live Collections'!D3448,Disbursements!$D:$D,'Live Collections'!F3448)),O3448,IF($O3448=0,0,SUMIFS(Disbursements!$W:$W,Disbursements!$B:$B,'Live Collections'!D3448,Disbursements!$D:$D,'Live Collections'!F3448)))</f>
        <v>0</v>
      </c>
      <c r="T3448" s="304">
        <f t="shared" si="164"/>
        <v>0</v>
      </c>
      <c r="U3448" s="52"/>
      <c r="V3448" s="34"/>
      <c r="W3448" s="408"/>
    </row>
    <row r="3449" spans="1:23" ht="12.75" customHeight="1" x14ac:dyDescent="0.2">
      <c r="A3449" s="257">
        <v>3459</v>
      </c>
      <c r="B3449" s="44">
        <v>44635</v>
      </c>
      <c r="C3449" s="44">
        <f t="shared" si="162"/>
        <v>44635</v>
      </c>
      <c r="D3449" s="374">
        <v>72</v>
      </c>
      <c r="E3449" s="291" t="str">
        <f>IFERROR(VLOOKUP($D3449,'Clients-Live'!$A:$C,3,0),"")</f>
        <v>MUNDURU MERCY</v>
      </c>
      <c r="F3449" s="291">
        <f>IFERROR(INDEX(Disbursements!$D:$D,MATCH('Live Collections'!G3449,Disbursements!$C:$C,0)),"")</f>
        <v>2</v>
      </c>
      <c r="G3449" s="34">
        <v>370</v>
      </c>
      <c r="H3449" s="34">
        <v>5308</v>
      </c>
      <c r="I3449" s="34" t="s">
        <v>1358</v>
      </c>
      <c r="J3449" s="48"/>
      <c r="K3449" s="48"/>
      <c r="L3449" s="48"/>
      <c r="M3449" s="48"/>
      <c r="N3449" s="59"/>
      <c r="O3449" s="59">
        <v>200000</v>
      </c>
      <c r="P3449" s="59"/>
      <c r="Q3449" s="268">
        <f t="shared" si="163"/>
        <v>200000</v>
      </c>
      <c r="R3449" s="61">
        <f>IF(O3449=0,0,SUMIFS(Disbursements!$T:$T,Disbursements!$B:$B,'Live Collections'!D3449,Disbursements!$D:$D,'Live Collections'!F3449))</f>
        <v>260000</v>
      </c>
      <c r="S3449" s="304">
        <f>IF(O3449&lt;=IF($O3449=0,0,SUMIFS(Disbursements!$W:$W,Disbursements!$B:$B,'Live Collections'!D3449,Disbursements!$D:$D,'Live Collections'!F3449)),O3449,IF($O3449=0,0,SUMIFS(Disbursements!$W:$W,Disbursements!$B:$B,'Live Collections'!D3449,Disbursements!$D:$D,'Live Collections'!F3449)))</f>
        <v>60000</v>
      </c>
      <c r="T3449" s="304">
        <f t="shared" si="164"/>
        <v>140000</v>
      </c>
      <c r="U3449" s="52"/>
      <c r="V3449" s="34"/>
      <c r="W3449" s="408"/>
    </row>
    <row r="3450" spans="1:23" ht="12.75" customHeight="1" x14ac:dyDescent="0.2">
      <c r="A3450" s="257">
        <v>3460</v>
      </c>
      <c r="B3450" s="44">
        <v>44635</v>
      </c>
      <c r="C3450" s="44">
        <f t="shared" si="162"/>
        <v>44635</v>
      </c>
      <c r="D3450" s="374">
        <v>96</v>
      </c>
      <c r="E3450" s="291" t="str">
        <f>IFERROR(VLOOKUP($D3450,'Clients-Live'!$A:$C,3,0),"")</f>
        <v>AKANDU NIGHT YONGORO</v>
      </c>
      <c r="F3450" s="291">
        <f>IFERROR(INDEX(Disbursements!$D:$D,MATCH('Live Collections'!G3450,Disbursements!$C:$C,0)),"")</f>
        <v>3</v>
      </c>
      <c r="G3450" s="34">
        <v>432</v>
      </c>
      <c r="H3450" s="34">
        <v>5306</v>
      </c>
      <c r="I3450" s="34" t="s">
        <v>1358</v>
      </c>
      <c r="J3450" s="48"/>
      <c r="K3450" s="48"/>
      <c r="L3450" s="48"/>
      <c r="M3450" s="48"/>
      <c r="N3450" s="59"/>
      <c r="O3450" s="59">
        <v>59700</v>
      </c>
      <c r="P3450" s="59"/>
      <c r="Q3450" s="268">
        <f t="shared" si="163"/>
        <v>59700</v>
      </c>
      <c r="R3450" s="61">
        <f>IF(O3450=0,0,SUMIFS(Disbursements!$T:$T,Disbursements!$B:$B,'Live Collections'!D3450,Disbursements!$D:$D,'Live Collections'!F3450))</f>
        <v>60000</v>
      </c>
      <c r="S3450" s="304">
        <f>IF(O3450&lt;=IF($O3450=0,0,SUMIFS(Disbursements!$W:$W,Disbursements!$B:$B,'Live Collections'!D3450,Disbursements!$D:$D,'Live Collections'!F3450)),O3450,IF($O3450=0,0,SUMIFS(Disbursements!$W:$W,Disbursements!$B:$B,'Live Collections'!D3450,Disbursements!$D:$D,'Live Collections'!F3450)))</f>
        <v>15000</v>
      </c>
      <c r="T3450" s="304">
        <f t="shared" si="164"/>
        <v>44700</v>
      </c>
      <c r="U3450" s="52"/>
      <c r="V3450" s="34"/>
      <c r="W3450" s="408"/>
    </row>
    <row r="3451" spans="1:23" ht="12.75" customHeight="1" x14ac:dyDescent="0.2">
      <c r="A3451" s="257">
        <v>3461</v>
      </c>
      <c r="B3451" s="44">
        <v>44635</v>
      </c>
      <c r="C3451" s="44">
        <f t="shared" si="162"/>
        <v>44635</v>
      </c>
      <c r="D3451" s="374">
        <v>295</v>
      </c>
      <c r="E3451" s="291" t="str">
        <f>IFERROR(VLOOKUP($D3451,'Clients-Live'!$A:$C,3,0),"")</f>
        <v>ABIYO RICHARD ENAKU</v>
      </c>
      <c r="F3451" s="291">
        <f>IFERROR(INDEX(Disbursements!$D:$D,MATCH('Live Collections'!G3451,Disbursements!$C:$C,0)),"")</f>
        <v>1</v>
      </c>
      <c r="G3451" s="34">
        <v>377</v>
      </c>
      <c r="H3451" s="34">
        <v>5222</v>
      </c>
      <c r="I3451" s="34" t="s">
        <v>1359</v>
      </c>
      <c r="J3451" s="48"/>
      <c r="K3451" s="48"/>
      <c r="L3451" s="48"/>
      <c r="M3451" s="48"/>
      <c r="N3451" s="59"/>
      <c r="O3451" s="59">
        <v>217000</v>
      </c>
      <c r="P3451" s="59"/>
      <c r="Q3451" s="268">
        <f t="shared" si="163"/>
        <v>217000</v>
      </c>
      <c r="R3451" s="61">
        <f>IF(O3451=0,0,SUMIFS(Disbursements!$T:$T,Disbursements!$B:$B,'Live Collections'!D3451,Disbursements!$D:$D,'Live Collections'!F3451))</f>
        <v>217000</v>
      </c>
      <c r="S3451" s="304">
        <f>IF(O3451&lt;=IF($O3451=0,0,SUMIFS(Disbursements!$W:$W,Disbursements!$B:$B,'Live Collections'!D3451,Disbursements!$D:$D,'Live Collections'!F3451)),O3451,IF($O3451=0,0,SUMIFS(Disbursements!$W:$W,Disbursements!$B:$B,'Live Collections'!D3451,Disbursements!$D:$D,'Live Collections'!F3451)))</f>
        <v>50333.333333333343</v>
      </c>
      <c r="T3451" s="304">
        <f t="shared" si="164"/>
        <v>166666.66666666666</v>
      </c>
      <c r="U3451" s="52"/>
      <c r="V3451" s="34"/>
      <c r="W3451" s="408"/>
    </row>
    <row r="3452" spans="1:23" ht="12.75" customHeight="1" x14ac:dyDescent="0.2">
      <c r="A3452" s="257">
        <v>3462</v>
      </c>
      <c r="B3452" s="44">
        <v>44635</v>
      </c>
      <c r="C3452" s="44">
        <f t="shared" si="162"/>
        <v>44635</v>
      </c>
      <c r="D3452" s="374">
        <v>335</v>
      </c>
      <c r="E3452" s="291" t="str">
        <f>IFERROR(VLOOKUP($D3452,'Clients-Live'!$A:$C,3,0),"")</f>
        <v>FOGO FRANCIS DRANI</v>
      </c>
      <c r="F3452" s="291">
        <f>IFERROR(INDEX(Disbursements!$D:$D,MATCH('Live Collections'!G3452,Disbursements!$C:$C,0)),"")</f>
        <v>1</v>
      </c>
      <c r="G3452" s="34">
        <v>467</v>
      </c>
      <c r="H3452" s="34">
        <v>5303</v>
      </c>
      <c r="I3452" s="34" t="s">
        <v>1357</v>
      </c>
      <c r="J3452" s="48"/>
      <c r="K3452" s="48"/>
      <c r="L3452" s="48"/>
      <c r="M3452" s="48"/>
      <c r="N3452" s="59"/>
      <c r="O3452" s="59"/>
      <c r="P3452" s="59">
        <v>150000</v>
      </c>
      <c r="Q3452" s="268">
        <f t="shared" si="163"/>
        <v>150000</v>
      </c>
      <c r="R3452" s="61">
        <f>IF(O3452=0,0,SUMIFS(Disbursements!$T:$T,Disbursements!$B:$B,'Live Collections'!D3452,Disbursements!$D:$D,'Live Collections'!F3452))</f>
        <v>0</v>
      </c>
      <c r="S3452" s="304">
        <f>IF(O3452&lt;=IF($O3452=0,0,SUMIFS(Disbursements!$W:$W,Disbursements!$B:$B,'Live Collections'!D3452,Disbursements!$D:$D,'Live Collections'!F3452)),O3452,IF($O3452=0,0,SUMIFS(Disbursements!$W:$W,Disbursements!$B:$B,'Live Collections'!D3452,Disbursements!$D:$D,'Live Collections'!F3452)))</f>
        <v>0</v>
      </c>
      <c r="T3452" s="304">
        <f t="shared" si="164"/>
        <v>0</v>
      </c>
      <c r="U3452" s="52"/>
      <c r="V3452" s="34"/>
      <c r="W3452" s="408"/>
    </row>
    <row r="3453" spans="1:23" ht="12.75" customHeight="1" x14ac:dyDescent="0.2">
      <c r="A3453" s="257">
        <v>3463</v>
      </c>
      <c r="B3453" s="44">
        <v>44635</v>
      </c>
      <c r="C3453" s="44">
        <f t="shared" si="162"/>
        <v>44635</v>
      </c>
      <c r="D3453" s="374">
        <v>248</v>
      </c>
      <c r="E3453" s="291" t="str">
        <f>IFERROR(VLOOKUP($D3453,'Clients-Live'!$A:$C,3,0),"")</f>
        <v>LETARU GLORIA</v>
      </c>
      <c r="F3453" s="291">
        <f>IFERROR(INDEX(Disbursements!$D:$D,MATCH('Live Collections'!G3453,Disbursements!$C:$C,0)),"")</f>
        <v>1</v>
      </c>
      <c r="G3453" s="34">
        <v>268</v>
      </c>
      <c r="H3453" s="34">
        <v>5220</v>
      </c>
      <c r="I3453" s="34" t="s">
        <v>1359</v>
      </c>
      <c r="J3453" s="48"/>
      <c r="K3453" s="48"/>
      <c r="L3453" s="48">
        <v>30000</v>
      </c>
      <c r="M3453" s="48">
        <v>5000</v>
      </c>
      <c r="N3453" s="59"/>
      <c r="O3453" s="59"/>
      <c r="P3453" s="59"/>
      <c r="Q3453" s="268">
        <f t="shared" si="163"/>
        <v>35000</v>
      </c>
      <c r="R3453" s="61">
        <f>IF(O3453=0,0,SUMIFS(Disbursements!$T:$T,Disbursements!$B:$B,'Live Collections'!D3453,Disbursements!$D:$D,'Live Collections'!F3453))</f>
        <v>0</v>
      </c>
      <c r="S3453" s="304">
        <f>IF(O3453&lt;=IF($O3453=0,0,SUMIFS(Disbursements!$W:$W,Disbursements!$B:$B,'Live Collections'!D3453,Disbursements!$D:$D,'Live Collections'!F3453)),O3453,IF($O3453=0,0,SUMIFS(Disbursements!$W:$W,Disbursements!$B:$B,'Live Collections'!D3453,Disbursements!$D:$D,'Live Collections'!F3453)))</f>
        <v>0</v>
      </c>
      <c r="T3453" s="304">
        <f t="shared" si="164"/>
        <v>0</v>
      </c>
      <c r="U3453" s="52"/>
      <c r="V3453" s="34"/>
      <c r="W3453" s="408"/>
    </row>
    <row r="3454" spans="1:23" ht="12.75" customHeight="1" x14ac:dyDescent="0.2">
      <c r="A3454" s="257">
        <v>3464</v>
      </c>
      <c r="B3454" s="44">
        <v>44635</v>
      </c>
      <c r="C3454" s="44">
        <f t="shared" si="162"/>
        <v>44635</v>
      </c>
      <c r="D3454" s="374">
        <v>31</v>
      </c>
      <c r="E3454" s="291" t="str">
        <f>IFERROR(VLOOKUP($D3454,'Clients-Live'!$A:$C,3,0),"")</f>
        <v>MUNDURU HARRIET</v>
      </c>
      <c r="F3454" s="291">
        <f>IFERROR(INDEX(Disbursements!$D:$D,MATCH('Live Collections'!G3454,Disbursements!$C:$C,0)),"")</f>
        <v>2</v>
      </c>
      <c r="G3454" s="34">
        <v>260</v>
      </c>
      <c r="H3454" s="34">
        <v>5221</v>
      </c>
      <c r="I3454" s="34" t="s">
        <v>1357</v>
      </c>
      <c r="J3454" s="48"/>
      <c r="K3454" s="48"/>
      <c r="L3454" s="48">
        <v>15000</v>
      </c>
      <c r="M3454" s="48">
        <v>5000</v>
      </c>
      <c r="N3454" s="59"/>
      <c r="O3454" s="59"/>
      <c r="P3454" s="59"/>
      <c r="Q3454" s="268">
        <f t="shared" si="163"/>
        <v>20000</v>
      </c>
      <c r="R3454" s="61">
        <f>IF(O3454=0,0,SUMIFS(Disbursements!$T:$T,Disbursements!$B:$B,'Live Collections'!D3454,Disbursements!$D:$D,'Live Collections'!F3454))</f>
        <v>0</v>
      </c>
      <c r="S3454" s="304">
        <f>IF(O3454&lt;=IF($O3454=0,0,SUMIFS(Disbursements!$W:$W,Disbursements!$B:$B,'Live Collections'!D3454,Disbursements!$D:$D,'Live Collections'!F3454)),O3454,IF($O3454=0,0,SUMIFS(Disbursements!$W:$W,Disbursements!$B:$B,'Live Collections'!D3454,Disbursements!$D:$D,'Live Collections'!F3454)))</f>
        <v>0</v>
      </c>
      <c r="T3454" s="304">
        <f t="shared" si="164"/>
        <v>0</v>
      </c>
      <c r="U3454" s="52"/>
      <c r="V3454" s="34"/>
      <c r="W3454" s="408"/>
    </row>
    <row r="3455" spans="1:23" ht="12.75" customHeight="1" x14ac:dyDescent="0.2">
      <c r="A3455" s="257">
        <v>3465</v>
      </c>
      <c r="B3455" s="44">
        <v>44635</v>
      </c>
      <c r="C3455" s="44">
        <f t="shared" ref="C3455:C3518" si="165">B3455</f>
        <v>44635</v>
      </c>
      <c r="D3455" s="374">
        <v>251</v>
      </c>
      <c r="E3455" s="291" t="str">
        <f>IFERROR(VLOOKUP($D3455,'Clients-Live'!$A:$C,3,0),"")</f>
        <v>SIDA ZAINABU</v>
      </c>
      <c r="F3455" s="291">
        <f>IFERROR(INDEX(Disbursements!$D:$D,MATCH('Live Collections'!G3455,Disbursements!$C:$C,0)),"")</f>
        <v>2</v>
      </c>
      <c r="G3455" s="34">
        <v>425</v>
      </c>
      <c r="H3455" s="34">
        <v>5219</v>
      </c>
      <c r="I3455" s="34" t="s">
        <v>1359</v>
      </c>
      <c r="J3455" s="48"/>
      <c r="K3455" s="48"/>
      <c r="L3455" s="48"/>
      <c r="M3455" s="48"/>
      <c r="N3455" s="59"/>
      <c r="O3455" s="59">
        <v>282500</v>
      </c>
      <c r="P3455" s="59"/>
      <c r="Q3455" s="268">
        <f t="shared" si="163"/>
        <v>282500</v>
      </c>
      <c r="R3455" s="61">
        <f>IF(O3455=0,0,SUMIFS(Disbursements!$T:$T,Disbursements!$B:$B,'Live Collections'!D3455,Disbursements!$D:$D,'Live Collections'!F3455))</f>
        <v>283000</v>
      </c>
      <c r="S3455" s="304">
        <f>IF(O3455&lt;=IF($O3455=0,0,SUMIFS(Disbursements!$W:$W,Disbursements!$B:$B,'Live Collections'!D3455,Disbursements!$D:$D,'Live Collections'!F3455)),O3455,IF($O3455=0,0,SUMIFS(Disbursements!$W:$W,Disbursements!$B:$B,'Live Collections'!D3455,Disbursements!$D:$D,'Live Collections'!F3455)))</f>
        <v>33000</v>
      </c>
      <c r="T3455" s="304">
        <f t="shared" si="164"/>
        <v>249500</v>
      </c>
      <c r="U3455" s="52"/>
      <c r="V3455" s="34"/>
      <c r="W3455" s="408"/>
    </row>
    <row r="3456" spans="1:23" ht="12.75" customHeight="1" x14ac:dyDescent="0.2">
      <c r="A3456" s="257">
        <v>3466</v>
      </c>
      <c r="B3456" s="44">
        <v>44635</v>
      </c>
      <c r="C3456" s="44">
        <f t="shared" si="165"/>
        <v>44635</v>
      </c>
      <c r="D3456" s="374">
        <v>155</v>
      </c>
      <c r="E3456" s="291" t="str">
        <f>IFERROR(VLOOKUP($D3456,'Clients-Live'!$A:$C,3,0),"")</f>
        <v>AROMBORAC SIAMA</v>
      </c>
      <c r="F3456" s="291">
        <f>IFERROR(INDEX(Disbursements!$D:$D,MATCH('Live Collections'!G3456,Disbursements!$C:$C,0)),"")</f>
        <v>2</v>
      </c>
      <c r="G3456" s="34">
        <v>355</v>
      </c>
      <c r="H3456" s="34">
        <v>5218</v>
      </c>
      <c r="I3456" s="34" t="s">
        <v>1358</v>
      </c>
      <c r="J3456" s="48"/>
      <c r="K3456" s="48"/>
      <c r="L3456" s="48"/>
      <c r="M3456" s="48"/>
      <c r="N3456" s="59"/>
      <c r="O3456" s="59">
        <v>40000</v>
      </c>
      <c r="P3456" s="59"/>
      <c r="Q3456" s="268">
        <f t="shared" si="163"/>
        <v>40000</v>
      </c>
      <c r="R3456" s="61">
        <f>IF(O3456=0,0,SUMIFS(Disbursements!$T:$T,Disbursements!$B:$B,'Live Collections'!D3456,Disbursements!$D:$D,'Live Collections'!F3456))</f>
        <v>77000</v>
      </c>
      <c r="S3456" s="304"/>
      <c r="T3456" s="304">
        <f t="shared" si="164"/>
        <v>40000</v>
      </c>
      <c r="U3456" s="52"/>
      <c r="V3456" s="34"/>
      <c r="W3456" s="408"/>
    </row>
    <row r="3457" spans="1:23" ht="12.75" customHeight="1" x14ac:dyDescent="0.2">
      <c r="A3457" s="257">
        <v>3467</v>
      </c>
      <c r="B3457" s="44">
        <v>44635</v>
      </c>
      <c r="C3457" s="44">
        <f t="shared" si="165"/>
        <v>44635</v>
      </c>
      <c r="D3457" s="374">
        <v>177</v>
      </c>
      <c r="E3457" s="291" t="str">
        <f>IFERROR(VLOOKUP($D3457,'Clients-Live'!$A:$C,3,0),"")</f>
        <v>EFIT GIFT</v>
      </c>
      <c r="F3457" s="291">
        <f>IFERROR(INDEX(Disbursements!$D:$D,MATCH('Live Collections'!G3457,Disbursements!$C:$C,0)),"")</f>
        <v>2</v>
      </c>
      <c r="G3457" s="34">
        <v>444</v>
      </c>
      <c r="H3457" s="34">
        <v>177</v>
      </c>
      <c r="I3457" s="34" t="s">
        <v>1358</v>
      </c>
      <c r="J3457" s="48"/>
      <c r="K3457" s="48"/>
      <c r="L3457" s="48"/>
      <c r="M3457" s="48"/>
      <c r="N3457" s="59"/>
      <c r="O3457" s="59">
        <v>90000</v>
      </c>
      <c r="P3457" s="59"/>
      <c r="Q3457" s="268">
        <f t="shared" si="163"/>
        <v>90000</v>
      </c>
      <c r="R3457" s="61">
        <f>IF(O3457=0,0,SUMIFS(Disbursements!$T:$T,Disbursements!$B:$B,'Live Collections'!D3457,Disbursements!$D:$D,'Live Collections'!F3457))</f>
        <v>87000</v>
      </c>
      <c r="S3457" s="304">
        <f>IF(O3457&lt;=IF($O3457=0,0,SUMIFS(Disbursements!$W:$W,Disbursements!$B:$B,'Live Collections'!D3457,Disbursements!$D:$D,'Live Collections'!F3457)),O3457,IF($O3457=0,0,SUMIFS(Disbursements!$W:$W,Disbursements!$B:$B,'Live Collections'!D3457,Disbursements!$D:$D,'Live Collections'!F3457)))</f>
        <v>24500</v>
      </c>
      <c r="T3457" s="304">
        <f t="shared" si="164"/>
        <v>65500</v>
      </c>
      <c r="U3457" s="52"/>
      <c r="V3457" s="34"/>
      <c r="W3457" s="408"/>
    </row>
    <row r="3458" spans="1:23" ht="12.75" customHeight="1" x14ac:dyDescent="0.2">
      <c r="A3458" s="257">
        <v>3468</v>
      </c>
      <c r="B3458" s="44">
        <v>44635</v>
      </c>
      <c r="C3458" s="44">
        <f t="shared" si="165"/>
        <v>44635</v>
      </c>
      <c r="D3458" s="374">
        <v>114</v>
      </c>
      <c r="E3458" s="291" t="str">
        <f>IFERROR(VLOOKUP($D3458,'Clients-Live'!$A:$C,3,0),"")</f>
        <v>ONZIA EMMILY</v>
      </c>
      <c r="F3458" s="291">
        <f>IFERROR(INDEX(Disbursements!$D:$D,MATCH('Live Collections'!G3458,Disbursements!$C:$C,0)),"")</f>
        <v>4</v>
      </c>
      <c r="G3458" s="34">
        <v>373</v>
      </c>
      <c r="H3458" s="34">
        <v>5215</v>
      </c>
      <c r="I3458" s="34" t="s">
        <v>1358</v>
      </c>
      <c r="J3458" s="48"/>
      <c r="K3458" s="48"/>
      <c r="L3458" s="48"/>
      <c r="M3458" s="48"/>
      <c r="N3458" s="59"/>
      <c r="O3458" s="59">
        <v>300000</v>
      </c>
      <c r="P3458" s="59"/>
      <c r="Q3458" s="268">
        <f t="shared" si="163"/>
        <v>300000</v>
      </c>
      <c r="R3458" s="61">
        <f>IF(O3458=0,0,SUMIFS(Disbursements!$T:$T,Disbursements!$B:$B,'Live Collections'!D3458,Disbursements!$D:$D,'Live Collections'!F3458))</f>
        <v>625000</v>
      </c>
      <c r="S3458" s="304">
        <f>IF(O3458&lt;=IF($O3458=0,0,SUMIFS(Disbursements!$W:$W,Disbursements!$B:$B,'Live Collections'!D3458,Disbursements!$D:$D,'Live Collections'!F3458)),O3458,IF($O3458=0,0,SUMIFS(Disbursements!$W:$W,Disbursements!$B:$B,'Live Collections'!D3458,Disbursements!$D:$D,'Live Collections'!F3458)))</f>
        <v>125000</v>
      </c>
      <c r="T3458" s="304">
        <f t="shared" si="164"/>
        <v>175000</v>
      </c>
      <c r="U3458" s="52"/>
      <c r="V3458" s="34"/>
      <c r="W3458" s="408"/>
    </row>
    <row r="3459" spans="1:23" ht="12.75" customHeight="1" x14ac:dyDescent="0.2">
      <c r="A3459" s="257">
        <v>3469</v>
      </c>
      <c r="B3459" s="44">
        <v>44635</v>
      </c>
      <c r="C3459" s="44">
        <f t="shared" si="165"/>
        <v>44635</v>
      </c>
      <c r="D3459" s="374">
        <v>250</v>
      </c>
      <c r="E3459" s="291" t="str">
        <f>IFERROR(VLOOKUP($D3459,'Clients-Live'!$A:$C,3,0),"")</f>
        <v>SAKAYA AMINA</v>
      </c>
      <c r="F3459" s="291">
        <f>IFERROR(INDEX(Disbursements!$D:$D,MATCH('Live Collections'!G3459,Disbursements!$C:$C,0)),"")</f>
        <v>2</v>
      </c>
      <c r="G3459" s="34">
        <v>374</v>
      </c>
      <c r="H3459" s="34">
        <v>5307</v>
      </c>
      <c r="I3459" s="34" t="s">
        <v>1357</v>
      </c>
      <c r="J3459" s="48"/>
      <c r="K3459" s="48"/>
      <c r="L3459" s="48"/>
      <c r="M3459" s="48"/>
      <c r="N3459" s="59"/>
      <c r="O3459" s="59">
        <v>190000</v>
      </c>
      <c r="P3459" s="59"/>
      <c r="Q3459" s="268">
        <f t="shared" si="163"/>
        <v>190000</v>
      </c>
      <c r="R3459" s="61">
        <f>IF(O3459=0,0,SUMIFS(Disbursements!$T:$T,Disbursements!$B:$B,'Live Collections'!D3459,Disbursements!$D:$D,'Live Collections'!F3459))</f>
        <v>120000</v>
      </c>
      <c r="S3459" s="304">
        <f>IF(O3459&lt;=IF($O3459=0,0,SUMIFS(Disbursements!$W:$W,Disbursements!$B:$B,'Live Collections'!D3459,Disbursements!$D:$D,'Live Collections'!F3459)),O3459,IF($O3459=0,0,SUMIFS(Disbursements!$W:$W,Disbursements!$B:$B,'Live Collections'!D3459,Disbursements!$D:$D,'Live Collections'!F3459)))</f>
        <v>20000</v>
      </c>
      <c r="T3459" s="304">
        <f t="shared" si="164"/>
        <v>170000</v>
      </c>
      <c r="U3459" s="52"/>
      <c r="V3459" s="34"/>
      <c r="W3459" s="408"/>
    </row>
    <row r="3460" spans="1:23" ht="12.75" customHeight="1" x14ac:dyDescent="0.2">
      <c r="A3460" s="257">
        <v>3470</v>
      </c>
      <c r="B3460" s="44">
        <v>44635</v>
      </c>
      <c r="C3460" s="44">
        <f t="shared" si="165"/>
        <v>44635</v>
      </c>
      <c r="D3460" s="374">
        <v>142</v>
      </c>
      <c r="E3460" s="291" t="str">
        <f>IFERROR(VLOOKUP($D3460,'Clients-Live'!$A:$C,3,0),"")</f>
        <v>TABU MARY</v>
      </c>
      <c r="F3460" s="291">
        <f>IFERROR(INDEX(Disbursements!$D:$D,MATCH('Live Collections'!G3460,Disbursements!$C:$C,0)),"")</f>
        <v>6</v>
      </c>
      <c r="G3460" s="34">
        <v>383</v>
      </c>
      <c r="H3460" s="34">
        <v>5310</v>
      </c>
      <c r="I3460" s="34" t="s">
        <v>1357</v>
      </c>
      <c r="J3460" s="48"/>
      <c r="K3460" s="48"/>
      <c r="L3460" s="48"/>
      <c r="M3460" s="48"/>
      <c r="N3460" s="59"/>
      <c r="O3460" s="59">
        <v>325000</v>
      </c>
      <c r="P3460" s="59"/>
      <c r="Q3460" s="268">
        <f t="shared" si="163"/>
        <v>325000</v>
      </c>
      <c r="R3460" s="61">
        <f>IF(O3460=0,0,SUMIFS(Disbursements!$T:$T,Disbursements!$B:$B,'Live Collections'!D3460,Disbursements!$D:$D,'Live Collections'!F3460))</f>
        <v>325000</v>
      </c>
      <c r="S3460" s="304">
        <f>IF(O3460&lt;=IF($O3460=0,0,SUMIFS(Disbursements!$W:$W,Disbursements!$B:$B,'Live Collections'!D3460,Disbursements!$D:$D,'Live Collections'!F3460)),O3460,IF($O3460=0,0,SUMIFS(Disbursements!$W:$W,Disbursements!$B:$B,'Live Collections'!D3460,Disbursements!$D:$D,'Live Collections'!F3460)))</f>
        <v>75000</v>
      </c>
      <c r="T3460" s="304">
        <f t="shared" si="164"/>
        <v>250000</v>
      </c>
      <c r="U3460" s="52"/>
      <c r="V3460" s="34"/>
      <c r="W3460" s="408"/>
    </row>
    <row r="3461" spans="1:23" ht="12.75" customHeight="1" x14ac:dyDescent="0.2">
      <c r="A3461" s="257">
        <v>3471</v>
      </c>
      <c r="B3461" s="44">
        <v>44635</v>
      </c>
      <c r="C3461" s="44">
        <f t="shared" si="165"/>
        <v>44635</v>
      </c>
      <c r="D3461" s="374">
        <v>338</v>
      </c>
      <c r="E3461" s="291" t="str">
        <f>IFERROR(VLOOKUP($D3461,'Clients-Live'!$A:$C,3,0),"")</f>
        <v>ASERU MARY</v>
      </c>
      <c r="F3461" s="291" t="str">
        <f>IFERROR(INDEX(Disbursements!$D:$D,MATCH('Live Collections'!G3461,Disbursements!$C:$C,0)),"")</f>
        <v/>
      </c>
      <c r="G3461" s="34"/>
      <c r="H3461" s="34">
        <v>5313</v>
      </c>
      <c r="I3461" s="34" t="s">
        <v>1358</v>
      </c>
      <c r="J3461" s="48">
        <v>15000</v>
      </c>
      <c r="K3461" s="48">
        <v>5000</v>
      </c>
      <c r="L3461" s="48"/>
      <c r="M3461" s="48"/>
      <c r="N3461" s="59"/>
      <c r="O3461" s="59"/>
      <c r="P3461" s="59"/>
      <c r="Q3461" s="268">
        <f t="shared" si="163"/>
        <v>20000</v>
      </c>
      <c r="R3461" s="61">
        <f>IF(O3461=0,0,SUMIFS(Disbursements!$T:$T,Disbursements!$B:$B,'Live Collections'!D3461,Disbursements!$D:$D,'Live Collections'!F3461))</f>
        <v>0</v>
      </c>
      <c r="S3461" s="304">
        <f>IF(O3461&lt;=IF($O3461=0,0,SUMIFS(Disbursements!$W:$W,Disbursements!$B:$B,'Live Collections'!D3461,Disbursements!$D:$D,'Live Collections'!F3461)),O3461,IF($O3461=0,0,SUMIFS(Disbursements!$W:$W,Disbursements!$B:$B,'Live Collections'!D3461,Disbursements!$D:$D,'Live Collections'!F3461)))</f>
        <v>0</v>
      </c>
      <c r="T3461" s="304">
        <f t="shared" si="164"/>
        <v>0</v>
      </c>
      <c r="U3461" s="52"/>
      <c r="V3461" s="34"/>
      <c r="W3461" s="408"/>
    </row>
    <row r="3462" spans="1:23" ht="12.75" customHeight="1" x14ac:dyDescent="0.2">
      <c r="A3462" s="257">
        <v>3472</v>
      </c>
      <c r="B3462" s="44">
        <v>44635</v>
      </c>
      <c r="C3462" s="44">
        <f t="shared" si="165"/>
        <v>44635</v>
      </c>
      <c r="D3462" s="374">
        <v>338</v>
      </c>
      <c r="E3462" s="291" t="str">
        <f>IFERROR(VLOOKUP($D3462,'Clients-Live'!$A:$C,3,0),"")</f>
        <v>ASERU MARY</v>
      </c>
      <c r="F3462" s="291" t="str">
        <f>IFERROR(INDEX(Disbursements!$D:$D,MATCH('Live Collections'!G3462,Disbursements!$C:$C,0)),"")</f>
        <v/>
      </c>
      <c r="G3462" s="34"/>
      <c r="H3462" s="34">
        <v>5312</v>
      </c>
      <c r="I3462" s="34" t="s">
        <v>1358</v>
      </c>
      <c r="J3462" s="48"/>
      <c r="K3462" s="48"/>
      <c r="L3462" s="48">
        <v>15000</v>
      </c>
      <c r="M3462" s="48">
        <v>5000</v>
      </c>
      <c r="N3462" s="59"/>
      <c r="O3462" s="59"/>
      <c r="P3462" s="59"/>
      <c r="Q3462" s="268">
        <f t="shared" si="163"/>
        <v>20000</v>
      </c>
      <c r="R3462" s="61">
        <f>IF(O3462=0,0,SUMIFS(Disbursements!$T:$T,Disbursements!$B:$B,'Live Collections'!D3462,Disbursements!$D:$D,'Live Collections'!F3462))</f>
        <v>0</v>
      </c>
      <c r="S3462" s="304">
        <f>IF(O3462&lt;=IF($O3462=0,0,SUMIFS(Disbursements!$W:$W,Disbursements!$B:$B,'Live Collections'!D3462,Disbursements!$D:$D,'Live Collections'!F3462)),O3462,IF($O3462=0,0,SUMIFS(Disbursements!$W:$W,Disbursements!$B:$B,'Live Collections'!D3462,Disbursements!$D:$D,'Live Collections'!F3462)))</f>
        <v>0</v>
      </c>
      <c r="T3462" s="304">
        <f t="shared" si="164"/>
        <v>0</v>
      </c>
      <c r="U3462" s="52"/>
      <c r="V3462" s="34"/>
      <c r="W3462" s="408"/>
    </row>
    <row r="3463" spans="1:23" ht="12.75" customHeight="1" x14ac:dyDescent="0.2">
      <c r="A3463" s="257">
        <v>3473</v>
      </c>
      <c r="B3463" s="44">
        <v>44636</v>
      </c>
      <c r="C3463" s="44">
        <f t="shared" si="165"/>
        <v>44636</v>
      </c>
      <c r="D3463" s="374">
        <v>63</v>
      </c>
      <c r="E3463" s="291" t="str">
        <f>IFERROR(VLOOKUP($D3463,'Clients-Live'!$A:$C,3,0),"")</f>
        <v>AWURU KADARA</v>
      </c>
      <c r="F3463" s="291">
        <f>IFERROR(INDEX(Disbursements!$D:$D,MATCH('Live Collections'!G3463,Disbursements!$C:$C,0)),"")</f>
        <v>3</v>
      </c>
      <c r="G3463" s="34">
        <v>375</v>
      </c>
      <c r="H3463" s="34">
        <v>5265</v>
      </c>
      <c r="I3463" s="34" t="s">
        <v>1357</v>
      </c>
      <c r="J3463" s="48"/>
      <c r="K3463" s="48"/>
      <c r="L3463" s="48"/>
      <c r="M3463" s="48"/>
      <c r="N3463" s="59"/>
      <c r="O3463" s="59">
        <v>30000</v>
      </c>
      <c r="P3463" s="59"/>
      <c r="Q3463" s="268">
        <f t="shared" si="163"/>
        <v>30000</v>
      </c>
      <c r="R3463" s="61">
        <f>IF(O3463=0,0,SUMIFS(Disbursements!$T:$T,Disbursements!$B:$B,'Live Collections'!D3463,Disbursements!$D:$D,'Live Collections'!F3463))</f>
        <v>175000</v>
      </c>
      <c r="S3463" s="304">
        <f>IF(O3463&lt;=IF($O3463=0,0,SUMIFS(Disbursements!$W:$W,Disbursements!$B:$B,'Live Collections'!D3463,Disbursements!$D:$D,'Live Collections'!F3463)),O3463,IF($O3463=0,0,SUMIFS(Disbursements!$W:$W,Disbursements!$B:$B,'Live Collections'!D3463,Disbursements!$D:$D,'Live Collections'!F3463)))</f>
        <v>30000</v>
      </c>
      <c r="T3463" s="304">
        <f t="shared" si="164"/>
        <v>0</v>
      </c>
      <c r="U3463" s="52"/>
      <c r="V3463" s="34"/>
      <c r="W3463" s="408"/>
    </row>
    <row r="3464" spans="1:23" ht="12.75" customHeight="1" x14ac:dyDescent="0.2">
      <c r="A3464" s="257">
        <v>3474</v>
      </c>
      <c r="B3464" s="44">
        <v>44636</v>
      </c>
      <c r="C3464" s="44">
        <f t="shared" si="165"/>
        <v>44636</v>
      </c>
      <c r="D3464" s="374">
        <v>306</v>
      </c>
      <c r="E3464" s="291" t="str">
        <f>IFERROR(VLOOKUP($D3464,'Clients-Live'!$A:$C,3,0),"")</f>
        <v>DEPAYA MARY</v>
      </c>
      <c r="F3464" s="291">
        <f>IFERROR(INDEX(Disbursements!$D:$D,MATCH('Live Collections'!G3464,Disbursements!$C:$C,0)),"")</f>
        <v>1</v>
      </c>
      <c r="G3464" s="34">
        <v>416</v>
      </c>
      <c r="H3464" s="34">
        <v>5314</v>
      </c>
      <c r="I3464" s="34" t="s">
        <v>1359</v>
      </c>
      <c r="J3464" s="48"/>
      <c r="K3464" s="48"/>
      <c r="L3464" s="48"/>
      <c r="M3464" s="48"/>
      <c r="N3464" s="59"/>
      <c r="O3464" s="59">
        <v>100000</v>
      </c>
      <c r="P3464" s="59"/>
      <c r="Q3464" s="268">
        <f t="shared" si="163"/>
        <v>100000</v>
      </c>
      <c r="R3464" s="61">
        <f>IF(O3464=0,0,SUMIFS(Disbursements!$T:$T,Disbursements!$B:$B,'Live Collections'!D3464,Disbursements!$D:$D,'Live Collections'!F3464))</f>
        <v>58000</v>
      </c>
      <c r="S3464" s="304">
        <f>IF(O3464&lt;=IF($O3464=0,0,SUMIFS(Disbursements!$W:$W,Disbursements!$B:$B,'Live Collections'!D3464,Disbursements!$D:$D,'Live Collections'!F3464)),O3464,IF($O3464=0,0,SUMIFS(Disbursements!$W:$W,Disbursements!$B:$B,'Live Collections'!D3464,Disbursements!$D:$D,'Live Collections'!F3464)))</f>
        <v>16333.333333333336</v>
      </c>
      <c r="T3464" s="304">
        <f t="shared" si="164"/>
        <v>83666.666666666657</v>
      </c>
      <c r="U3464" s="52"/>
      <c r="V3464" s="34"/>
      <c r="W3464" s="408"/>
    </row>
    <row r="3465" spans="1:23" ht="12.75" customHeight="1" x14ac:dyDescent="0.2">
      <c r="A3465" s="257">
        <v>3475</v>
      </c>
      <c r="B3465" s="44">
        <v>44636</v>
      </c>
      <c r="C3465" s="44">
        <f t="shared" si="165"/>
        <v>44636</v>
      </c>
      <c r="D3465" s="374">
        <v>18</v>
      </c>
      <c r="E3465" s="291" t="str">
        <f>IFERROR(VLOOKUP($D3465,'Clients-Live'!$A:$C,3,0),"")</f>
        <v>ARIYE PEACE</v>
      </c>
      <c r="F3465" s="291">
        <f>IFERROR(INDEX(Disbursements!$D:$D,MATCH('Live Collections'!G3465,Disbursements!$C:$C,0)),"")</f>
        <v>2</v>
      </c>
      <c r="G3465" s="34">
        <v>317</v>
      </c>
      <c r="H3465" s="34">
        <v>5315</v>
      </c>
      <c r="I3465" s="34" t="s">
        <v>1357</v>
      </c>
      <c r="J3465" s="48"/>
      <c r="K3465" s="48"/>
      <c r="L3465" s="48"/>
      <c r="M3465" s="48"/>
      <c r="N3465" s="59"/>
      <c r="O3465" s="59">
        <v>100000</v>
      </c>
      <c r="P3465" s="59"/>
      <c r="Q3465" s="268">
        <f t="shared" si="163"/>
        <v>100000</v>
      </c>
      <c r="R3465" s="61">
        <f>IF(O3465=0,0,SUMIFS(Disbursements!$T:$T,Disbursements!$B:$B,'Live Collections'!D3465,Disbursements!$D:$D,'Live Collections'!F3465))</f>
        <v>650000</v>
      </c>
      <c r="S3465" s="304">
        <f>IF(O3465&lt;=IF($O3465=0,0,SUMIFS(Disbursements!$W:$W,Disbursements!$B:$B,'Live Collections'!D3465,Disbursements!$D:$D,'Live Collections'!F3465)),O3465,IF($O3465=0,0,SUMIFS(Disbursements!$W:$W,Disbursements!$B:$B,'Live Collections'!D3465,Disbursements!$D:$D,'Live Collections'!F3465)))</f>
        <v>100000</v>
      </c>
      <c r="T3465" s="304">
        <f t="shared" si="164"/>
        <v>0</v>
      </c>
      <c r="U3465" s="52"/>
      <c r="V3465" s="34"/>
      <c r="W3465" s="408"/>
    </row>
    <row r="3466" spans="1:23" ht="12.75" customHeight="1" x14ac:dyDescent="0.2">
      <c r="A3466" s="257">
        <v>3476</v>
      </c>
      <c r="B3466" s="44">
        <v>44636</v>
      </c>
      <c r="C3466" s="44">
        <f t="shared" si="165"/>
        <v>44636</v>
      </c>
      <c r="D3466" s="374">
        <v>260</v>
      </c>
      <c r="E3466" s="291" t="str">
        <f>IFERROR(VLOOKUP($D3466,'Clients-Live'!$A:$C,3,0),"")</f>
        <v>ATAYI GRACE</v>
      </c>
      <c r="F3466" s="291">
        <f>IFERROR(INDEX(Disbursements!$D:$D,MATCH('Live Collections'!G3466,Disbursements!$C:$C,0)),"")</f>
        <v>1</v>
      </c>
      <c r="G3466" s="34">
        <v>303</v>
      </c>
      <c r="H3466" s="34">
        <v>5317</v>
      </c>
      <c r="I3466" s="34" t="s">
        <v>1359</v>
      </c>
      <c r="J3466" s="48"/>
      <c r="K3466" s="48"/>
      <c r="L3466" s="48"/>
      <c r="M3466" s="48"/>
      <c r="N3466" s="59"/>
      <c r="O3466" s="59">
        <v>65000</v>
      </c>
      <c r="P3466" s="59"/>
      <c r="Q3466" s="268">
        <f t="shared" si="163"/>
        <v>65000</v>
      </c>
      <c r="R3466" s="61">
        <f>IF(O3466=0,0,SUMIFS(Disbursements!$T:$T,Disbursements!$B:$B,'Live Collections'!D3466,Disbursements!$D:$D,'Live Collections'!F3466))</f>
        <v>23000</v>
      </c>
      <c r="S3466" s="304"/>
      <c r="T3466" s="304">
        <f t="shared" si="164"/>
        <v>65000</v>
      </c>
      <c r="U3466" s="52"/>
      <c r="V3466" s="34"/>
      <c r="W3466" s="408"/>
    </row>
    <row r="3467" spans="1:23" ht="12.75" customHeight="1" x14ac:dyDescent="0.2">
      <c r="A3467" s="257">
        <v>3477</v>
      </c>
      <c r="B3467" s="44">
        <v>44636</v>
      </c>
      <c r="C3467" s="44">
        <f t="shared" si="165"/>
        <v>44636</v>
      </c>
      <c r="D3467" s="374">
        <v>260</v>
      </c>
      <c r="E3467" s="291" t="str">
        <f>IFERROR(VLOOKUP($D3467,'Clients-Live'!$A:$C,3,0),"")</f>
        <v>ATAYI GRACE</v>
      </c>
      <c r="F3467" s="291">
        <f>IFERROR(INDEX(Disbursements!$D:$D,MATCH('Live Collections'!G3467,Disbursements!$C:$C,0)),"")</f>
        <v>1</v>
      </c>
      <c r="G3467" s="34">
        <v>303</v>
      </c>
      <c r="H3467" s="34" t="s">
        <v>2224</v>
      </c>
      <c r="I3467" s="34" t="s">
        <v>1359</v>
      </c>
      <c r="J3467" s="48"/>
      <c r="K3467" s="48"/>
      <c r="L3467" s="48"/>
      <c r="M3467" s="48"/>
      <c r="N3467" s="59"/>
      <c r="O3467" s="59">
        <v>30000</v>
      </c>
      <c r="P3467" s="59">
        <v>-30000</v>
      </c>
      <c r="Q3467" s="268">
        <f t="shared" si="163"/>
        <v>0</v>
      </c>
      <c r="R3467" s="61">
        <f>IF(O3467=0,0,SUMIFS(Disbursements!$T:$T,Disbursements!$B:$B,'Live Collections'!D3467,Disbursements!$D:$D,'Live Collections'!F3467))</f>
        <v>23000</v>
      </c>
      <c r="S3467" s="304"/>
      <c r="T3467" s="304">
        <f t="shared" si="164"/>
        <v>30000</v>
      </c>
      <c r="U3467" s="52"/>
      <c r="V3467" s="34"/>
      <c r="W3467" s="408"/>
    </row>
    <row r="3468" spans="1:23" ht="12.75" customHeight="1" x14ac:dyDescent="0.2">
      <c r="A3468" s="257">
        <v>3478</v>
      </c>
      <c r="B3468" s="44">
        <v>44636</v>
      </c>
      <c r="C3468" s="44">
        <f t="shared" si="165"/>
        <v>44636</v>
      </c>
      <c r="D3468" s="374">
        <v>210</v>
      </c>
      <c r="E3468" s="291" t="str">
        <f>IFERROR(VLOOKUP($D3468,'Clients-Live'!$A:$C,3,0),"")</f>
        <v>ADRILI ZAHARA</v>
      </c>
      <c r="F3468" s="291">
        <f>IFERROR(INDEX(Disbursements!$D:$D,MATCH('Live Collections'!G3468,Disbursements!$C:$C,0)),"")</f>
        <v>2</v>
      </c>
      <c r="G3468" s="34">
        <v>379</v>
      </c>
      <c r="H3468" s="34">
        <v>5252</v>
      </c>
      <c r="I3468" s="34" t="s">
        <v>1357</v>
      </c>
      <c r="J3468" s="48"/>
      <c r="K3468" s="48"/>
      <c r="L3468" s="48"/>
      <c r="M3468" s="48"/>
      <c r="N3468" s="59"/>
      <c r="O3468" s="59">
        <v>150000</v>
      </c>
      <c r="P3468" s="59"/>
      <c r="Q3468" s="268">
        <f t="shared" si="163"/>
        <v>150000</v>
      </c>
      <c r="R3468" s="61">
        <f>IF(O3468=0,0,SUMIFS(Disbursements!$T:$T,Disbursements!$B:$B,'Live Collections'!D3468,Disbursements!$D:$D,'Live Collections'!F3468))</f>
        <v>175000</v>
      </c>
      <c r="S3468" s="304">
        <f>IF(O3468&lt;=IF($O3468=0,0,SUMIFS(Disbursements!$W:$W,Disbursements!$B:$B,'Live Collections'!D3468,Disbursements!$D:$D,'Live Collections'!F3468)),O3468,IF($O3468=0,0,SUMIFS(Disbursements!$W:$W,Disbursements!$B:$B,'Live Collections'!D3468,Disbursements!$D:$D,'Live Collections'!F3468)))</f>
        <v>35000</v>
      </c>
      <c r="T3468" s="304">
        <f t="shared" si="164"/>
        <v>115000</v>
      </c>
      <c r="U3468" s="52"/>
      <c r="V3468" s="34"/>
      <c r="W3468" s="408"/>
    </row>
    <row r="3469" spans="1:23" ht="12.75" customHeight="1" x14ac:dyDescent="0.2">
      <c r="A3469" s="257">
        <v>3479</v>
      </c>
      <c r="B3469" s="44">
        <v>44636</v>
      </c>
      <c r="C3469" s="44">
        <f t="shared" si="165"/>
        <v>44636</v>
      </c>
      <c r="D3469" s="374">
        <v>169</v>
      </c>
      <c r="E3469" s="291" t="str">
        <f>IFERROR(VLOOKUP($D3469,'Clients-Live'!$A:$C,3,0),"")</f>
        <v>KATO KENNEDY</v>
      </c>
      <c r="F3469" s="291">
        <f>IFERROR(INDEX(Disbursements!$D:$D,MATCH('Live Collections'!G3469,Disbursements!$C:$C,0)),"")</f>
        <v>2</v>
      </c>
      <c r="G3469" s="34">
        <v>394</v>
      </c>
      <c r="H3469" s="34">
        <v>5251</v>
      </c>
      <c r="I3469" s="34" t="s">
        <v>1357</v>
      </c>
      <c r="J3469" s="48"/>
      <c r="K3469" s="48"/>
      <c r="L3469" s="48"/>
      <c r="M3469" s="48"/>
      <c r="N3469" s="59"/>
      <c r="O3469" s="59">
        <v>58000</v>
      </c>
      <c r="P3469" s="59"/>
      <c r="Q3469" s="268">
        <f t="shared" si="163"/>
        <v>58000</v>
      </c>
      <c r="R3469" s="61">
        <f>IF(O3469=0,0,SUMIFS(Disbursements!$T:$T,Disbursements!$B:$B,'Live Collections'!D3469,Disbursements!$D:$D,'Live Collections'!F3469))</f>
        <v>58000</v>
      </c>
      <c r="S3469" s="304">
        <f>IF(O3469&lt;=IF($O3469=0,0,SUMIFS(Disbursements!$W:$W,Disbursements!$B:$B,'Live Collections'!D3469,Disbursements!$D:$D,'Live Collections'!F3469)),O3469,IF($O3469=0,0,SUMIFS(Disbursements!$W:$W,Disbursements!$B:$B,'Live Collections'!D3469,Disbursements!$D:$D,'Live Collections'!F3469)))</f>
        <v>16333.333333333336</v>
      </c>
      <c r="T3469" s="304">
        <f t="shared" si="164"/>
        <v>41666.666666666664</v>
      </c>
      <c r="U3469" s="52"/>
      <c r="V3469" s="34"/>
      <c r="W3469" s="408"/>
    </row>
    <row r="3470" spans="1:23" ht="12.75" customHeight="1" x14ac:dyDescent="0.2">
      <c r="A3470" s="257">
        <v>3480</v>
      </c>
      <c r="B3470" s="44">
        <v>44636</v>
      </c>
      <c r="C3470" s="44">
        <f t="shared" si="165"/>
        <v>44636</v>
      </c>
      <c r="D3470" s="374">
        <v>301</v>
      </c>
      <c r="E3470" s="291" t="str">
        <f>IFERROR(VLOOKUP($D3470,'Clients-Live'!$A:$C,3,0),"")</f>
        <v>MAYANJA DAVID</v>
      </c>
      <c r="F3470" s="291">
        <f>IFERROR(INDEX(Disbursements!$D:$D,MATCH('Live Collections'!G3470,Disbursements!$C:$C,0)),"")</f>
        <v>1</v>
      </c>
      <c r="G3470" s="34">
        <v>372</v>
      </c>
      <c r="H3470" s="34">
        <v>5254</v>
      </c>
      <c r="I3470" s="34" t="s">
        <v>1359</v>
      </c>
      <c r="J3470" s="48"/>
      <c r="K3470" s="48"/>
      <c r="L3470" s="48"/>
      <c r="M3470" s="48"/>
      <c r="N3470" s="59"/>
      <c r="O3470" s="59">
        <v>325000</v>
      </c>
      <c r="P3470" s="59"/>
      <c r="Q3470" s="268">
        <f t="shared" si="163"/>
        <v>325000</v>
      </c>
      <c r="R3470" s="61">
        <f>IF(O3470=0,0,SUMIFS(Disbursements!$T:$T,Disbursements!$B:$B,'Live Collections'!D3470,Disbursements!$D:$D,'Live Collections'!F3470))</f>
        <v>325000</v>
      </c>
      <c r="S3470" s="304">
        <f>IF(O3470&lt;=IF($O3470=0,0,SUMIFS(Disbursements!$W:$W,Disbursements!$B:$B,'Live Collections'!D3470,Disbursements!$D:$D,'Live Collections'!F3470)),O3470,IF($O3470=0,0,SUMIFS(Disbursements!$W:$W,Disbursements!$B:$B,'Live Collections'!D3470,Disbursements!$D:$D,'Live Collections'!F3470)))</f>
        <v>75000</v>
      </c>
      <c r="T3470" s="304">
        <f t="shared" si="164"/>
        <v>250000</v>
      </c>
      <c r="U3470" s="52"/>
      <c r="V3470" s="34"/>
      <c r="W3470" s="408"/>
    </row>
    <row r="3471" spans="1:23" ht="12.75" customHeight="1" x14ac:dyDescent="0.2">
      <c r="A3471" s="257">
        <v>3481</v>
      </c>
      <c r="B3471" s="44">
        <v>44636</v>
      </c>
      <c r="C3471" s="44">
        <f t="shared" si="165"/>
        <v>44636</v>
      </c>
      <c r="D3471" s="374">
        <v>217</v>
      </c>
      <c r="E3471" s="291" t="str">
        <f>IFERROR(VLOOKUP($D3471,'Clients-Live'!$A:$C,3,0),"")</f>
        <v>JAMBA MOSES</v>
      </c>
      <c r="F3471" s="291">
        <f>IFERROR(INDEX(Disbursements!$D:$D,MATCH('Live Collections'!G3471,Disbursements!$C:$C,0)),"")</f>
        <v>3</v>
      </c>
      <c r="G3471" s="34">
        <v>468</v>
      </c>
      <c r="H3471" s="34">
        <v>5256</v>
      </c>
      <c r="I3471" s="34" t="s">
        <v>1357</v>
      </c>
      <c r="J3471" s="48"/>
      <c r="K3471" s="48"/>
      <c r="L3471" s="48"/>
      <c r="M3471" s="48"/>
      <c r="N3471" s="59"/>
      <c r="O3471" s="59"/>
      <c r="P3471" s="59">
        <v>15000</v>
      </c>
      <c r="Q3471" s="268">
        <f t="shared" si="163"/>
        <v>15000</v>
      </c>
      <c r="R3471" s="61">
        <f>IF(O3471=0,0,SUMIFS(Disbursements!$T:$T,Disbursements!$B:$B,'Live Collections'!D3471,Disbursements!$D:$D,'Live Collections'!F3471))</f>
        <v>0</v>
      </c>
      <c r="S3471" s="304">
        <f>IF(O3471&lt;=IF($O3471=0,0,SUMIFS(Disbursements!$W:$W,Disbursements!$B:$B,'Live Collections'!D3471,Disbursements!$D:$D,'Live Collections'!F3471)),O3471,IF($O3471=0,0,SUMIFS(Disbursements!$W:$W,Disbursements!$B:$B,'Live Collections'!D3471,Disbursements!$D:$D,'Live Collections'!F3471)))</f>
        <v>0</v>
      </c>
      <c r="T3471" s="304">
        <f t="shared" si="164"/>
        <v>0</v>
      </c>
      <c r="U3471" s="52"/>
      <c r="V3471" s="34"/>
      <c r="W3471" s="408"/>
    </row>
    <row r="3472" spans="1:23" ht="12.75" customHeight="1" x14ac:dyDescent="0.2">
      <c r="A3472" s="257">
        <v>3482</v>
      </c>
      <c r="B3472" s="44">
        <v>44636</v>
      </c>
      <c r="C3472" s="44">
        <f t="shared" si="165"/>
        <v>44636</v>
      </c>
      <c r="D3472" s="374">
        <v>260</v>
      </c>
      <c r="E3472" s="291" t="str">
        <f>IFERROR(VLOOKUP($D3472,'Clients-Live'!$A:$C,3,0),"")</f>
        <v>ATAYI GRACE</v>
      </c>
      <c r="F3472" s="291" t="str">
        <f>IFERROR(INDEX(Disbursements!$D:$D,MATCH('Live Collections'!G3472,Disbursements!$C:$C,0)),"")</f>
        <v/>
      </c>
      <c r="G3472" s="34"/>
      <c r="H3472" s="34">
        <v>5253</v>
      </c>
      <c r="I3472" s="34" t="s">
        <v>1359</v>
      </c>
      <c r="J3472" s="48"/>
      <c r="K3472" s="48"/>
      <c r="L3472" s="48">
        <v>15000</v>
      </c>
      <c r="M3472" s="48">
        <v>5000</v>
      </c>
      <c r="N3472" s="59"/>
      <c r="O3472" s="59"/>
      <c r="P3472" s="59"/>
      <c r="Q3472" s="268">
        <f t="shared" si="163"/>
        <v>20000</v>
      </c>
      <c r="R3472" s="61">
        <f>IF(O3472=0,0,SUMIFS(Disbursements!$T:$T,Disbursements!$B:$B,'Live Collections'!D3472,Disbursements!$D:$D,'Live Collections'!F3472))</f>
        <v>0</v>
      </c>
      <c r="S3472" s="304">
        <f>IF(O3472&lt;=IF($O3472=0,0,SUMIFS(Disbursements!$W:$W,Disbursements!$B:$B,'Live Collections'!D3472,Disbursements!$D:$D,'Live Collections'!F3472)),O3472,IF($O3472=0,0,SUMIFS(Disbursements!$W:$W,Disbursements!$B:$B,'Live Collections'!D3472,Disbursements!$D:$D,'Live Collections'!F3472)))</f>
        <v>0</v>
      </c>
      <c r="T3472" s="304">
        <f t="shared" si="164"/>
        <v>0</v>
      </c>
      <c r="U3472" s="52"/>
      <c r="V3472" s="34"/>
      <c r="W3472" s="408"/>
    </row>
    <row r="3473" spans="1:23" ht="12.75" customHeight="1" x14ac:dyDescent="0.2">
      <c r="A3473" s="257">
        <v>3483</v>
      </c>
      <c r="B3473" s="44">
        <v>44636</v>
      </c>
      <c r="C3473" s="44">
        <f t="shared" si="165"/>
        <v>44636</v>
      </c>
      <c r="D3473" s="374">
        <v>238</v>
      </c>
      <c r="E3473" s="291" t="str">
        <f>IFERROR(VLOOKUP($D3473,'Clients-Live'!$A:$C,3,0),"")</f>
        <v>ANGAIKA SAID</v>
      </c>
      <c r="F3473" s="291">
        <f>IFERROR(INDEX(Disbursements!$D:$D,MATCH('Live Collections'!G3473,Disbursements!$C:$C,0)),"")</f>
        <v>2</v>
      </c>
      <c r="G3473" s="34">
        <v>441</v>
      </c>
      <c r="H3473" s="34">
        <v>5318</v>
      </c>
      <c r="I3473" s="34" t="s">
        <v>1359</v>
      </c>
      <c r="J3473" s="48"/>
      <c r="K3473" s="48"/>
      <c r="L3473" s="48"/>
      <c r="M3473" s="48"/>
      <c r="N3473" s="59"/>
      <c r="O3473" s="59">
        <v>40000</v>
      </c>
      <c r="P3473" s="59"/>
      <c r="Q3473" s="268">
        <f t="shared" si="163"/>
        <v>40000</v>
      </c>
      <c r="R3473" s="61">
        <f>IF(O3473=0,0,SUMIFS(Disbursements!$T:$T,Disbursements!$B:$B,'Live Collections'!D3473,Disbursements!$D:$D,'Live Collections'!F3473))</f>
        <v>41000</v>
      </c>
      <c r="S3473" s="304">
        <f>IF(O3473&lt;=IF($O3473=0,0,SUMIFS(Disbursements!$W:$W,Disbursements!$B:$B,'Live Collections'!D3473,Disbursements!$D:$D,'Live Collections'!F3473)),O3473,IF($O3473=0,0,SUMIFS(Disbursements!$W:$W,Disbursements!$B:$B,'Live Collections'!D3473,Disbursements!$D:$D,'Live Collections'!F3473)))</f>
        <v>11833.333333333332</v>
      </c>
      <c r="T3473" s="304">
        <f t="shared" si="164"/>
        <v>28166.666666666668</v>
      </c>
      <c r="U3473" s="52"/>
      <c r="V3473" s="34"/>
      <c r="W3473" s="408"/>
    </row>
    <row r="3474" spans="1:23" ht="12.75" customHeight="1" x14ac:dyDescent="0.2">
      <c r="A3474" s="257">
        <v>3484</v>
      </c>
      <c r="B3474" s="44">
        <v>44636</v>
      </c>
      <c r="C3474" s="44">
        <f t="shared" si="165"/>
        <v>44636</v>
      </c>
      <c r="D3474" s="374">
        <v>121</v>
      </c>
      <c r="E3474" s="291" t="str">
        <f>IFERROR(VLOOKUP($D3474,'Clients-Live'!$A:$C,3,0),"")</f>
        <v>AMAYO CHARLES</v>
      </c>
      <c r="F3474" s="291">
        <f>IFERROR(INDEX(Disbursements!$D:$D,MATCH('Live Collections'!G3474,Disbursements!$C:$C,0)),"")</f>
        <v>1</v>
      </c>
      <c r="G3474" s="34">
        <v>105</v>
      </c>
      <c r="H3474" s="34">
        <v>5321</v>
      </c>
      <c r="I3474" s="34" t="s">
        <v>1358</v>
      </c>
      <c r="J3474" s="48"/>
      <c r="K3474" s="48"/>
      <c r="L3474" s="48"/>
      <c r="M3474" s="48"/>
      <c r="N3474" s="59"/>
      <c r="O3474" s="59">
        <v>150000</v>
      </c>
      <c r="P3474" s="59"/>
      <c r="Q3474" s="268">
        <f t="shared" si="163"/>
        <v>150000</v>
      </c>
      <c r="R3474" s="61">
        <f>IF(O3474=0,0,SUMIFS(Disbursements!$T:$T,Disbursements!$B:$B,'Live Collections'!D3474,Disbursements!$D:$D,'Live Collections'!F3474))</f>
        <v>240000</v>
      </c>
      <c r="S3474" s="304"/>
      <c r="T3474" s="304">
        <f t="shared" si="164"/>
        <v>150000</v>
      </c>
      <c r="U3474" s="52"/>
      <c r="V3474" s="34"/>
      <c r="W3474" s="408"/>
    </row>
    <row r="3475" spans="1:23" ht="12.75" customHeight="1" x14ac:dyDescent="0.2">
      <c r="A3475" s="257">
        <v>3485</v>
      </c>
      <c r="B3475" s="44">
        <v>44636</v>
      </c>
      <c r="C3475" s="44">
        <f t="shared" si="165"/>
        <v>44636</v>
      </c>
      <c r="D3475" s="374">
        <v>3</v>
      </c>
      <c r="E3475" s="291" t="str">
        <f>IFERROR(VLOOKUP($D3475,'Clients-Live'!$A:$C,3,0),"")</f>
        <v>YEKA ARIJABU</v>
      </c>
      <c r="F3475" s="291">
        <f>IFERROR(INDEX(Disbursements!$D:$D,MATCH('Live Collections'!G3475,Disbursements!$C:$C,0)),"")</f>
        <v>2</v>
      </c>
      <c r="G3475" s="34">
        <v>443</v>
      </c>
      <c r="H3475" s="34">
        <v>5260</v>
      </c>
      <c r="I3475" s="34" t="s">
        <v>1357</v>
      </c>
      <c r="J3475" s="48"/>
      <c r="K3475" s="48"/>
      <c r="L3475" s="48"/>
      <c r="M3475" s="48"/>
      <c r="N3475" s="59"/>
      <c r="O3475" s="59">
        <v>55000</v>
      </c>
      <c r="P3475" s="59"/>
      <c r="Q3475" s="268">
        <f t="shared" si="163"/>
        <v>55000</v>
      </c>
      <c r="R3475" s="61">
        <f>IF(O3475=0,0,SUMIFS(Disbursements!$T:$T,Disbursements!$B:$B,'Live Collections'!D3475,Disbursements!$D:$D,'Live Collections'!F3475))</f>
        <v>116000</v>
      </c>
      <c r="S3475" s="304">
        <f>IF(O3475&lt;=IF($O3475=0,0,SUMIFS(Disbursements!$W:$W,Disbursements!$B:$B,'Live Collections'!D3475,Disbursements!$D:$D,'Live Collections'!F3475)),O3475,IF($O3475=0,0,SUMIFS(Disbursements!$W:$W,Disbursements!$B:$B,'Live Collections'!D3475,Disbursements!$D:$D,'Live Collections'!F3475)))</f>
        <v>32666.666666666672</v>
      </c>
      <c r="T3475" s="304">
        <f t="shared" si="164"/>
        <v>22333.333333333328</v>
      </c>
      <c r="U3475" s="52"/>
      <c r="V3475" s="34"/>
      <c r="W3475" s="408"/>
    </row>
    <row r="3476" spans="1:23" ht="12.75" customHeight="1" x14ac:dyDescent="0.2">
      <c r="A3476" s="257">
        <v>3486</v>
      </c>
      <c r="B3476" s="44">
        <v>44636</v>
      </c>
      <c r="C3476" s="44">
        <f t="shared" si="165"/>
        <v>44636</v>
      </c>
      <c r="D3476" s="374">
        <v>233</v>
      </c>
      <c r="E3476" s="291" t="str">
        <f>IFERROR(VLOOKUP($D3476,'Clients-Live'!$A:$C,3,0),"")</f>
        <v>KAMOYO HARRIET</v>
      </c>
      <c r="F3476" s="291">
        <f>IFERROR(INDEX(Disbursements!$D:$D,MATCH('Live Collections'!G3476,Disbursements!$C:$C,0)),"")</f>
        <v>2</v>
      </c>
      <c r="G3476" s="34">
        <v>469</v>
      </c>
      <c r="H3476" s="34">
        <v>5319</v>
      </c>
      <c r="I3476" s="34" t="s">
        <v>1358</v>
      </c>
      <c r="J3476" s="48"/>
      <c r="K3476" s="48"/>
      <c r="L3476" s="48"/>
      <c r="M3476" s="48"/>
      <c r="N3476" s="59"/>
      <c r="O3476" s="59"/>
      <c r="P3476" s="59">
        <v>50000</v>
      </c>
      <c r="Q3476" s="268">
        <f t="shared" si="163"/>
        <v>50000</v>
      </c>
      <c r="R3476" s="61">
        <f>IF(O3476=0,0,SUMIFS(Disbursements!$T:$T,Disbursements!$B:$B,'Live Collections'!D3476,Disbursements!$D:$D,'Live Collections'!F3476))</f>
        <v>0</v>
      </c>
      <c r="S3476" s="304">
        <f>IF(O3476&lt;=IF($O3476=0,0,SUMIFS(Disbursements!$W:$W,Disbursements!$B:$B,'Live Collections'!D3476,Disbursements!$D:$D,'Live Collections'!F3476)),O3476,IF($O3476=0,0,SUMIFS(Disbursements!$W:$W,Disbursements!$B:$B,'Live Collections'!D3476,Disbursements!$D:$D,'Live Collections'!F3476)))</f>
        <v>0</v>
      </c>
      <c r="T3476" s="304">
        <f t="shared" si="164"/>
        <v>0</v>
      </c>
      <c r="U3476" s="52"/>
      <c r="V3476" s="34"/>
      <c r="W3476" s="408"/>
    </row>
    <row r="3477" spans="1:23" ht="12.75" customHeight="1" x14ac:dyDescent="0.2">
      <c r="A3477" s="257">
        <v>3487</v>
      </c>
      <c r="B3477" s="44">
        <v>44636</v>
      </c>
      <c r="C3477" s="44">
        <f t="shared" si="165"/>
        <v>44636</v>
      </c>
      <c r="D3477" s="374">
        <v>218</v>
      </c>
      <c r="E3477" s="291" t="str">
        <f>IFERROR(VLOOKUP($D3477,'Clients-Live'!$A:$C,3,0),"")</f>
        <v>BUSURA OMAR</v>
      </c>
      <c r="F3477" s="291">
        <f>IFERROR(INDEX(Disbursements!$D:$D,MATCH('Live Collections'!G3477,Disbursements!$C:$C,0)),"")</f>
        <v>2</v>
      </c>
      <c r="G3477" s="34">
        <v>456</v>
      </c>
      <c r="H3477" s="34">
        <v>5259</v>
      </c>
      <c r="I3477" s="34" t="s">
        <v>1357</v>
      </c>
      <c r="J3477" s="48"/>
      <c r="K3477" s="48"/>
      <c r="L3477" s="48"/>
      <c r="M3477" s="48"/>
      <c r="N3477" s="59"/>
      <c r="O3477" s="59">
        <v>35000</v>
      </c>
      <c r="P3477" s="59"/>
      <c r="Q3477" s="268">
        <f t="shared" si="163"/>
        <v>35000</v>
      </c>
      <c r="R3477" s="61">
        <f>IF(O3477=0,0,SUMIFS(Disbursements!$T:$T,Disbursements!$B:$B,'Live Collections'!D3477,Disbursements!$D:$D,'Live Collections'!F3477))</f>
        <v>35000</v>
      </c>
      <c r="S3477" s="304">
        <f>IF(O3477&lt;=IF($O3477=0,0,SUMIFS(Disbursements!$W:$W,Disbursements!$B:$B,'Live Collections'!D3477,Disbursements!$D:$D,'Live Collections'!F3477)),O3477,IF($O3477=0,0,SUMIFS(Disbursements!$W:$W,Disbursements!$B:$B,'Live Collections'!D3477,Disbursements!$D:$D,'Live Collections'!F3477)))</f>
        <v>10000</v>
      </c>
      <c r="T3477" s="304">
        <f t="shared" si="164"/>
        <v>25000</v>
      </c>
      <c r="U3477" s="52"/>
      <c r="V3477" s="34"/>
      <c r="W3477" s="408"/>
    </row>
    <row r="3478" spans="1:23" ht="12.75" customHeight="1" x14ac:dyDescent="0.2">
      <c r="A3478" s="257">
        <v>3488</v>
      </c>
      <c r="B3478" s="44">
        <v>44636</v>
      </c>
      <c r="C3478" s="44">
        <f t="shared" si="165"/>
        <v>44636</v>
      </c>
      <c r="D3478" s="374">
        <v>189</v>
      </c>
      <c r="E3478" s="291" t="str">
        <f>IFERROR(VLOOKUP($D3478,'Clients-Live'!$A:$C,3,0),"")</f>
        <v>AYIDA SELUWA</v>
      </c>
      <c r="F3478" s="291">
        <f>IFERROR(INDEX(Disbursements!$D:$D,MATCH('Live Collections'!G3478,Disbursements!$C:$C,0)),"")</f>
        <v>2</v>
      </c>
      <c r="G3478" s="34">
        <v>401</v>
      </c>
      <c r="H3478" s="34">
        <v>5261</v>
      </c>
      <c r="I3478" s="34" t="s">
        <v>1359</v>
      </c>
      <c r="J3478" s="48"/>
      <c r="K3478" s="48"/>
      <c r="L3478" s="48"/>
      <c r="M3478" s="48"/>
      <c r="N3478" s="59"/>
      <c r="O3478" s="59">
        <v>70000</v>
      </c>
      <c r="P3478" s="59"/>
      <c r="Q3478" s="268">
        <f t="shared" si="163"/>
        <v>70000</v>
      </c>
      <c r="R3478" s="61">
        <f>IF(O3478=0,0,SUMIFS(Disbursements!$T:$T,Disbursements!$B:$B,'Live Collections'!D3478,Disbursements!$D:$D,'Live Collections'!F3478))</f>
        <v>34000</v>
      </c>
      <c r="S3478" s="304">
        <f>IF(O3478&lt;=IF($O3478=0,0,SUMIFS(Disbursements!$W:$W,Disbursements!$B:$B,'Live Collections'!D3478,Disbursements!$D:$D,'Live Collections'!F3478)),O3478,IF($O3478=0,0,SUMIFS(Disbursements!$W:$W,Disbursements!$B:$B,'Live Collections'!D3478,Disbursements!$D:$D,'Live Collections'!F3478)))</f>
        <v>9000</v>
      </c>
      <c r="T3478" s="304">
        <f t="shared" si="164"/>
        <v>61000</v>
      </c>
      <c r="U3478" s="52"/>
      <c r="V3478" s="34"/>
      <c r="W3478" s="408"/>
    </row>
    <row r="3479" spans="1:23" ht="12.75" customHeight="1" x14ac:dyDescent="0.2">
      <c r="A3479" s="257">
        <v>3489</v>
      </c>
      <c r="B3479" s="44">
        <v>44636</v>
      </c>
      <c r="C3479" s="44">
        <f t="shared" si="165"/>
        <v>44636</v>
      </c>
      <c r="D3479" s="374">
        <v>213</v>
      </c>
      <c r="E3479" s="291" t="str">
        <f>IFERROR(VLOOKUP($D3479,'Clients-Live'!$A:$C,3,0),"")</f>
        <v>ATIKURU NADIA</v>
      </c>
      <c r="F3479" s="291">
        <f>IFERROR(INDEX(Disbursements!$D:$D,MATCH('Live Collections'!G3479,Disbursements!$C:$C,0)),"")</f>
        <v>2</v>
      </c>
      <c r="G3479" s="34">
        <v>378</v>
      </c>
      <c r="H3479" s="34">
        <v>5262</v>
      </c>
      <c r="I3479" s="34" t="s">
        <v>1358</v>
      </c>
      <c r="J3479" s="48"/>
      <c r="K3479" s="48"/>
      <c r="L3479" s="48"/>
      <c r="M3479" s="48"/>
      <c r="N3479" s="59"/>
      <c r="O3479" s="59">
        <v>50000</v>
      </c>
      <c r="P3479" s="59"/>
      <c r="Q3479" s="268">
        <f t="shared" si="163"/>
        <v>50000</v>
      </c>
      <c r="R3479" s="61">
        <f>IF(O3479=0,0,SUMIFS(Disbursements!$T:$T,Disbursements!$B:$B,'Live Collections'!D3479,Disbursements!$D:$D,'Live Collections'!F3479))</f>
        <v>300000</v>
      </c>
      <c r="S3479" s="304">
        <v>40000</v>
      </c>
      <c r="T3479" s="304">
        <f t="shared" si="164"/>
        <v>10000</v>
      </c>
      <c r="U3479" s="52"/>
      <c r="V3479" s="34"/>
      <c r="W3479" s="408"/>
    </row>
    <row r="3480" spans="1:23" ht="12.75" customHeight="1" x14ac:dyDescent="0.2">
      <c r="A3480" s="257">
        <v>3490</v>
      </c>
      <c r="B3480" s="44">
        <v>44636</v>
      </c>
      <c r="C3480" s="44">
        <f t="shared" si="165"/>
        <v>44636</v>
      </c>
      <c r="D3480" s="374">
        <v>304</v>
      </c>
      <c r="E3480" s="291" t="str">
        <f>IFERROR(VLOOKUP($D3480,'Clients-Live'!$A:$C,3,0),"")</f>
        <v>ATAKO GLORIA</v>
      </c>
      <c r="F3480" s="291">
        <f>IFERROR(INDEX(Disbursements!$D:$D,MATCH('Live Collections'!G3480,Disbursements!$C:$C,0)),"")</f>
        <v>1</v>
      </c>
      <c r="G3480" s="34">
        <v>398</v>
      </c>
      <c r="H3480" s="34">
        <v>5263</v>
      </c>
      <c r="I3480" s="34" t="s">
        <v>1357</v>
      </c>
      <c r="J3480" s="48"/>
      <c r="K3480" s="48"/>
      <c r="L3480" s="48"/>
      <c r="M3480" s="48"/>
      <c r="N3480" s="59"/>
      <c r="O3480" s="59">
        <v>20000</v>
      </c>
      <c r="P3480" s="59"/>
      <c r="Q3480" s="268">
        <f t="shared" si="163"/>
        <v>20000</v>
      </c>
      <c r="R3480" s="61">
        <f>IF(O3480=0,0,SUMIFS(Disbursements!$T:$T,Disbursements!$B:$B,'Live Collections'!D3480,Disbursements!$D:$D,'Live Collections'!F3480))</f>
        <v>32000</v>
      </c>
      <c r="S3480" s="304">
        <f>IF(O3480&lt;=IF($O3480=0,0,SUMIFS(Disbursements!$W:$W,Disbursements!$B:$B,'Live Collections'!D3480,Disbursements!$D:$D,'Live Collections'!F3480)),O3480,IF($O3480=0,0,SUMIFS(Disbursements!$W:$W,Disbursements!$B:$B,'Live Collections'!D3480,Disbursements!$D:$D,'Live Collections'!F3480)))</f>
        <v>7000</v>
      </c>
      <c r="T3480" s="304">
        <f t="shared" si="164"/>
        <v>13000</v>
      </c>
      <c r="U3480" s="52"/>
      <c r="V3480" s="34"/>
      <c r="W3480" s="408"/>
    </row>
    <row r="3481" spans="1:23" ht="12.75" customHeight="1" x14ac:dyDescent="0.2">
      <c r="A3481" s="257">
        <v>3491</v>
      </c>
      <c r="B3481" s="44">
        <v>44636</v>
      </c>
      <c r="C3481" s="44">
        <f t="shared" si="165"/>
        <v>44636</v>
      </c>
      <c r="D3481" s="374">
        <v>270</v>
      </c>
      <c r="E3481" s="291" t="str">
        <f>IFERROR(VLOOKUP($D3481,'Clients-Live'!$A:$C,3,0),"")</f>
        <v>AJOBE SAMUEL</v>
      </c>
      <c r="F3481" s="291">
        <f>IFERROR(INDEX(Disbursements!$D:$D,MATCH('Live Collections'!G3481,Disbursements!$C:$C,0)),"")</f>
        <v>2</v>
      </c>
      <c r="G3481" s="34">
        <v>435</v>
      </c>
      <c r="H3481" s="34">
        <v>5264</v>
      </c>
      <c r="I3481" s="34" t="s">
        <v>1359</v>
      </c>
      <c r="J3481" s="48"/>
      <c r="K3481" s="48"/>
      <c r="L3481" s="48"/>
      <c r="M3481" s="48"/>
      <c r="N3481" s="59"/>
      <c r="O3481" s="59">
        <v>150000</v>
      </c>
      <c r="P3481" s="59"/>
      <c r="Q3481" s="268">
        <f t="shared" si="163"/>
        <v>150000</v>
      </c>
      <c r="R3481" s="61">
        <f>IF(O3481=0,0,SUMIFS(Disbursements!$T:$T,Disbursements!$B:$B,'Live Collections'!D3481,Disbursements!$D:$D,'Live Collections'!F3481))</f>
        <v>245000</v>
      </c>
      <c r="S3481" s="304">
        <f>IF(O3481&lt;=IF($O3481=0,0,SUMIFS(Disbursements!$W:$W,Disbursements!$B:$B,'Live Collections'!D3481,Disbursements!$D:$D,'Live Collections'!F3481)),O3481,IF($O3481=0,0,SUMIFS(Disbursements!$W:$W,Disbursements!$B:$B,'Live Collections'!D3481,Disbursements!$D:$D,'Live Collections'!F3481)))</f>
        <v>45000</v>
      </c>
      <c r="T3481" s="304">
        <f t="shared" si="164"/>
        <v>105000</v>
      </c>
      <c r="U3481" s="52"/>
      <c r="V3481" s="34"/>
      <c r="W3481" s="408"/>
    </row>
    <row r="3482" spans="1:23" ht="12.75" customHeight="1" x14ac:dyDescent="0.2">
      <c r="A3482" s="257">
        <v>3492</v>
      </c>
      <c r="B3482" s="44">
        <v>44637</v>
      </c>
      <c r="C3482" s="44">
        <f t="shared" si="165"/>
        <v>44637</v>
      </c>
      <c r="D3482" s="374">
        <v>46</v>
      </c>
      <c r="E3482" s="291" t="str">
        <f>IFERROR(VLOOKUP($D3482,'Clients-Live'!$A:$C,3,0),"")</f>
        <v>ALIO YUDA</v>
      </c>
      <c r="F3482" s="291">
        <f>IFERROR(INDEX(Disbursements!$D:$D,MATCH('Live Collections'!G3482,Disbursements!$C:$C,0)),"")</f>
        <v>2</v>
      </c>
      <c r="G3482" s="34">
        <v>400</v>
      </c>
      <c r="H3482" s="34">
        <v>5276</v>
      </c>
      <c r="I3482" s="34" t="s">
        <v>1357</v>
      </c>
      <c r="J3482" s="48"/>
      <c r="K3482" s="48"/>
      <c r="L3482" s="48"/>
      <c r="M3482" s="48"/>
      <c r="N3482" s="59"/>
      <c r="O3482" s="59">
        <v>100000</v>
      </c>
      <c r="P3482" s="59"/>
      <c r="Q3482" s="268">
        <f t="shared" si="163"/>
        <v>100000</v>
      </c>
      <c r="R3482" s="61">
        <f>IF(O3482=0,0,SUMIFS(Disbursements!$T:$T,Disbursements!$B:$B,'Live Collections'!D3482,Disbursements!$D:$D,'Live Collections'!F3482))</f>
        <v>76000</v>
      </c>
      <c r="S3482" s="304">
        <f>IF(O3482&lt;=IF($O3482=0,0,SUMIFS(Disbursements!$W:$W,Disbursements!$B:$B,'Live Collections'!D3482,Disbursements!$D:$D,'Live Collections'!F3482)),O3482,IF($O3482=0,0,SUMIFS(Disbursements!$W:$W,Disbursements!$B:$B,'Live Collections'!D3482,Disbursements!$D:$D,'Live Collections'!F3482)))</f>
        <v>21833.333333333336</v>
      </c>
      <c r="T3482" s="304">
        <f t="shared" si="164"/>
        <v>78166.666666666657</v>
      </c>
      <c r="U3482" s="52"/>
      <c r="V3482" s="34"/>
      <c r="W3482" s="408"/>
    </row>
    <row r="3483" spans="1:23" ht="12.75" customHeight="1" x14ac:dyDescent="0.2">
      <c r="A3483" s="257">
        <v>3493</v>
      </c>
      <c r="B3483" s="44">
        <v>44637</v>
      </c>
      <c r="C3483" s="44">
        <f t="shared" si="165"/>
        <v>44637</v>
      </c>
      <c r="D3483" s="374">
        <v>191</v>
      </c>
      <c r="E3483" s="291" t="str">
        <f>IFERROR(VLOOKUP($D3483,'Clients-Live'!$A:$C,3,0),"")</f>
        <v>AYOZU JESCA TAIBO</v>
      </c>
      <c r="F3483" s="291">
        <f>IFERROR(INDEX(Disbursements!$D:$D,MATCH('Live Collections'!G3483,Disbursements!$C:$C,0)),"")</f>
        <v>2</v>
      </c>
      <c r="G3483" s="34">
        <v>340</v>
      </c>
      <c r="H3483" s="34">
        <v>5323</v>
      </c>
      <c r="I3483" s="34" t="s">
        <v>1357</v>
      </c>
      <c r="J3483" s="48"/>
      <c r="K3483" s="48"/>
      <c r="L3483" s="48"/>
      <c r="M3483" s="48"/>
      <c r="N3483" s="59"/>
      <c r="O3483" s="59">
        <v>30000</v>
      </c>
      <c r="P3483" s="59"/>
      <c r="Q3483" s="268">
        <f t="shared" si="163"/>
        <v>30000</v>
      </c>
      <c r="R3483" s="61">
        <f>IF(O3483=0,0,SUMIFS(Disbursements!$T:$T,Disbursements!$B:$B,'Live Collections'!D3483,Disbursements!$D:$D,'Live Collections'!F3483))</f>
        <v>154000</v>
      </c>
      <c r="S3483" s="304">
        <f>IF(O3483&lt;=IF($O3483=0,0,SUMIFS(Disbursements!$W:$W,Disbursements!$B:$B,'Live Collections'!D3483,Disbursements!$D:$D,'Live Collections'!F3483)),O3483,IF($O3483=0,0,SUMIFS(Disbursements!$W:$W,Disbursements!$B:$B,'Live Collections'!D3483,Disbursements!$D:$D,'Live Collections'!F3483)))</f>
        <v>20666.666666666657</v>
      </c>
      <c r="T3483" s="304">
        <f t="shared" si="164"/>
        <v>9333.333333333343</v>
      </c>
      <c r="U3483" s="52"/>
      <c r="V3483" s="34"/>
      <c r="W3483" s="408"/>
    </row>
    <row r="3484" spans="1:23" ht="12.75" customHeight="1" x14ac:dyDescent="0.2">
      <c r="A3484" s="257">
        <v>3494</v>
      </c>
      <c r="B3484" s="44">
        <v>44637</v>
      </c>
      <c r="C3484" s="44">
        <f t="shared" si="165"/>
        <v>44637</v>
      </c>
      <c r="D3484" s="374">
        <v>205</v>
      </c>
      <c r="E3484" s="291" t="str">
        <f>IFERROR(VLOOKUP($D3484,'Clients-Live'!$A:$C,3,0),"")</f>
        <v>OPIRU ALICE</v>
      </c>
      <c r="F3484" s="291">
        <f>IFERROR(INDEX(Disbursements!$D:$D,MATCH('Live Collections'!G3484,Disbursements!$C:$C,0)),"")</f>
        <v>2</v>
      </c>
      <c r="G3484" s="34">
        <v>396</v>
      </c>
      <c r="H3484" s="34">
        <v>5275</v>
      </c>
      <c r="I3484" s="34" t="s">
        <v>1359</v>
      </c>
      <c r="J3484" s="48"/>
      <c r="K3484" s="48"/>
      <c r="L3484" s="48"/>
      <c r="M3484" s="48"/>
      <c r="N3484" s="59"/>
      <c r="O3484" s="59">
        <v>10000</v>
      </c>
      <c r="P3484" s="59"/>
      <c r="Q3484" s="268">
        <f t="shared" si="163"/>
        <v>10000</v>
      </c>
      <c r="R3484" s="61">
        <f>IF(O3484=0,0,SUMIFS(Disbursements!$T:$T,Disbursements!$B:$B,'Live Collections'!D3484,Disbursements!$D:$D,'Live Collections'!F3484))</f>
        <v>40000</v>
      </c>
      <c r="S3484" s="304">
        <f>IF(O3484&lt;=IF($O3484=0,0,SUMIFS(Disbursements!$W:$W,Disbursements!$B:$B,'Live Collections'!D3484,Disbursements!$D:$D,'Live Collections'!F3484)),O3484,IF($O3484=0,0,SUMIFS(Disbursements!$W:$W,Disbursements!$B:$B,'Live Collections'!D3484,Disbursements!$D:$D,'Live Collections'!F3484)))</f>
        <v>8750</v>
      </c>
      <c r="T3484" s="304">
        <f t="shared" si="164"/>
        <v>1250</v>
      </c>
      <c r="U3484" s="52"/>
      <c r="V3484" s="34"/>
      <c r="W3484" s="408"/>
    </row>
    <row r="3485" spans="1:23" ht="12.75" customHeight="1" x14ac:dyDescent="0.2">
      <c r="A3485" s="257">
        <v>3495</v>
      </c>
      <c r="B3485" s="44">
        <v>44637</v>
      </c>
      <c r="C3485" s="44">
        <f t="shared" si="165"/>
        <v>44637</v>
      </c>
      <c r="D3485" s="374">
        <v>51</v>
      </c>
      <c r="E3485" s="291" t="str">
        <f>IFERROR(VLOOKUP($D3485,'Clients-Live'!$A:$C,3,0),"")</f>
        <v>AYILE STEPHEN</v>
      </c>
      <c r="F3485" s="291" t="str">
        <f>IFERROR(INDEX(Disbursements!$D:$D,MATCH('Live Collections'!G3485,Disbursements!$C:$C,0)),"")</f>
        <v/>
      </c>
      <c r="G3485" s="34"/>
      <c r="H3485" s="34">
        <v>5274</v>
      </c>
      <c r="I3485" s="34" t="s">
        <v>1359</v>
      </c>
      <c r="J3485" s="48"/>
      <c r="K3485" s="48"/>
      <c r="L3485" s="48">
        <v>20000</v>
      </c>
      <c r="M3485" s="48">
        <v>5000</v>
      </c>
      <c r="N3485" s="59"/>
      <c r="O3485" s="59"/>
      <c r="P3485" s="59"/>
      <c r="Q3485" s="268">
        <f t="shared" si="163"/>
        <v>25000</v>
      </c>
      <c r="R3485" s="61">
        <f>IF(O3485=0,0,SUMIFS(Disbursements!$T:$T,Disbursements!$B:$B,'Live Collections'!D3485,Disbursements!$D:$D,'Live Collections'!F3485))</f>
        <v>0</v>
      </c>
      <c r="S3485" s="304">
        <f>IF(O3485&lt;=IF($O3485=0,0,SUMIFS(Disbursements!$W:$W,Disbursements!$B:$B,'Live Collections'!D3485,Disbursements!$D:$D,'Live Collections'!F3485)),O3485,IF($O3485=0,0,SUMIFS(Disbursements!$W:$W,Disbursements!$B:$B,'Live Collections'!D3485,Disbursements!$D:$D,'Live Collections'!F3485)))</f>
        <v>0</v>
      </c>
      <c r="T3485" s="304">
        <f t="shared" si="164"/>
        <v>0</v>
      </c>
      <c r="U3485" s="52"/>
      <c r="V3485" s="34"/>
      <c r="W3485" s="408"/>
    </row>
    <row r="3486" spans="1:23" ht="12.75" customHeight="1" x14ac:dyDescent="0.2">
      <c r="A3486" s="257">
        <v>3496</v>
      </c>
      <c r="B3486" s="44">
        <v>44637</v>
      </c>
      <c r="C3486" s="44">
        <f t="shared" si="165"/>
        <v>44637</v>
      </c>
      <c r="D3486" s="374">
        <v>106</v>
      </c>
      <c r="E3486" s="291" t="str">
        <f>IFERROR(VLOOKUP($D3486,'Clients-Live'!$A:$C,3,0),"")</f>
        <v>ORODRIYO  NUSURA</v>
      </c>
      <c r="F3486" s="291">
        <f>IFERROR(INDEX(Disbursements!$D:$D,MATCH('Live Collections'!G3486,Disbursements!$C:$C,0)),"")</f>
        <v>2</v>
      </c>
      <c r="G3486" s="34">
        <v>104</v>
      </c>
      <c r="H3486" s="34">
        <v>5272</v>
      </c>
      <c r="I3486" s="34" t="s">
        <v>1357</v>
      </c>
      <c r="J3486" s="48"/>
      <c r="K3486" s="48"/>
      <c r="L3486" s="48"/>
      <c r="M3486" s="48"/>
      <c r="N3486" s="59">
        <v>5000</v>
      </c>
      <c r="O3486" s="59"/>
      <c r="P3486" s="59"/>
      <c r="Q3486" s="268">
        <f t="shared" si="163"/>
        <v>5000</v>
      </c>
      <c r="R3486" s="61">
        <f>IF(O3486=0,0,SUMIFS(Disbursements!$T:$T,Disbursements!$B:$B,'Live Collections'!D3486,Disbursements!$D:$D,'Live Collections'!F3486))</f>
        <v>0</v>
      </c>
      <c r="S3486" s="304">
        <f>IF(O3486&lt;=IF($O3486=0,0,SUMIFS(Disbursements!$W:$W,Disbursements!$B:$B,'Live Collections'!D3486,Disbursements!$D:$D,'Live Collections'!F3486)),O3486,IF($O3486=0,0,SUMIFS(Disbursements!$W:$W,Disbursements!$B:$B,'Live Collections'!D3486,Disbursements!$D:$D,'Live Collections'!F3486)))</f>
        <v>0</v>
      </c>
      <c r="T3486" s="304">
        <f t="shared" si="164"/>
        <v>0</v>
      </c>
      <c r="U3486" s="52"/>
      <c r="V3486" s="34"/>
      <c r="W3486" s="408"/>
    </row>
    <row r="3487" spans="1:23" ht="12.75" customHeight="1" x14ac:dyDescent="0.2">
      <c r="A3487" s="257">
        <v>3497</v>
      </c>
      <c r="B3487" s="44">
        <v>44637</v>
      </c>
      <c r="C3487" s="44">
        <f t="shared" si="165"/>
        <v>44637</v>
      </c>
      <c r="D3487" s="374">
        <v>106</v>
      </c>
      <c r="E3487" s="291" t="str">
        <f>IFERROR(VLOOKUP($D3487,'Clients-Live'!$A:$C,3,0),"")</f>
        <v>ORODRIYO  NUSURA</v>
      </c>
      <c r="F3487" s="291">
        <f>IFERROR(INDEX(Disbursements!$D:$D,MATCH('Live Collections'!G3487,Disbursements!$C:$C,0)),"")</f>
        <v>2</v>
      </c>
      <c r="G3487" s="34">
        <v>104</v>
      </c>
      <c r="H3487" s="34">
        <v>5270</v>
      </c>
      <c r="I3487" s="34" t="s">
        <v>1357</v>
      </c>
      <c r="J3487" s="48"/>
      <c r="K3487" s="48"/>
      <c r="L3487" s="48"/>
      <c r="M3487" s="48"/>
      <c r="N3487" s="59"/>
      <c r="O3487" s="59">
        <v>10000</v>
      </c>
      <c r="P3487" s="59"/>
      <c r="Q3487" s="268">
        <f t="shared" si="163"/>
        <v>10000</v>
      </c>
      <c r="R3487" s="61">
        <f>IF(O3487=0,0,SUMIFS(Disbursements!$T:$T,Disbursements!$B:$B,'Live Collections'!D3487,Disbursements!$D:$D,'Live Collections'!F3487))</f>
        <v>120000</v>
      </c>
      <c r="S3487" s="304"/>
      <c r="T3487" s="304">
        <f t="shared" si="164"/>
        <v>10000</v>
      </c>
      <c r="U3487" s="52"/>
      <c r="V3487" s="34"/>
      <c r="W3487" s="408"/>
    </row>
    <row r="3488" spans="1:23" ht="12.75" customHeight="1" x14ac:dyDescent="0.2">
      <c r="A3488" s="257">
        <v>3498</v>
      </c>
      <c r="B3488" s="44">
        <v>44637</v>
      </c>
      <c r="C3488" s="44">
        <f t="shared" si="165"/>
        <v>44637</v>
      </c>
      <c r="D3488" s="374">
        <v>106</v>
      </c>
      <c r="E3488" s="291" t="str">
        <f>IFERROR(VLOOKUP($D3488,'Clients-Live'!$A:$C,3,0),"")</f>
        <v>ORODRIYO  NUSURA</v>
      </c>
      <c r="F3488" s="291">
        <f>IFERROR(INDEX(Disbursements!$D:$D,MATCH('Live Collections'!G3488,Disbursements!$C:$C,0)),"")</f>
        <v>2</v>
      </c>
      <c r="G3488" s="34">
        <v>104</v>
      </c>
      <c r="H3488" s="34" t="s">
        <v>2225</v>
      </c>
      <c r="I3488" s="34" t="s">
        <v>1357</v>
      </c>
      <c r="J3488" s="48"/>
      <c r="K3488" s="48"/>
      <c r="L3488" s="48"/>
      <c r="M3488" s="48"/>
      <c r="N3488" s="59"/>
      <c r="O3488" s="59">
        <v>40000</v>
      </c>
      <c r="P3488" s="59">
        <v>-40000</v>
      </c>
      <c r="Q3488" s="268">
        <f t="shared" si="163"/>
        <v>0</v>
      </c>
      <c r="R3488" s="61">
        <f>IF(O3488=0,0,SUMIFS(Disbursements!$T:$T,Disbursements!$B:$B,'Live Collections'!D3488,Disbursements!$D:$D,'Live Collections'!F3488))</f>
        <v>120000</v>
      </c>
      <c r="S3488" s="304"/>
      <c r="T3488" s="304">
        <f t="shared" si="164"/>
        <v>40000</v>
      </c>
      <c r="U3488" s="52"/>
      <c r="V3488" s="34"/>
      <c r="W3488" s="408"/>
    </row>
    <row r="3489" spans="1:23" ht="12.75" customHeight="1" x14ac:dyDescent="0.2">
      <c r="A3489" s="257">
        <v>3499</v>
      </c>
      <c r="B3489" s="44">
        <v>44637</v>
      </c>
      <c r="C3489" s="44">
        <f t="shared" si="165"/>
        <v>44637</v>
      </c>
      <c r="D3489" s="374">
        <v>66</v>
      </c>
      <c r="E3489" s="291" t="str">
        <f>IFERROR(VLOOKUP($D3489,'Clients-Live'!$A:$C,3,0),"")</f>
        <v>DENAYA NYAMAZA</v>
      </c>
      <c r="F3489" s="291">
        <f>IFERROR(INDEX(Disbursements!$D:$D,MATCH('Live Collections'!G3489,Disbursements!$C:$C,0)),"")</f>
        <v>1</v>
      </c>
      <c r="G3489" s="34">
        <v>66</v>
      </c>
      <c r="H3489" s="34">
        <v>5273</v>
      </c>
      <c r="I3489" s="34" t="s">
        <v>1357</v>
      </c>
      <c r="J3489" s="48"/>
      <c r="K3489" s="48"/>
      <c r="L3489" s="48"/>
      <c r="M3489" s="48"/>
      <c r="N3489" s="59"/>
      <c r="O3489" s="59">
        <v>110000</v>
      </c>
      <c r="P3489" s="59"/>
      <c r="Q3489" s="268">
        <f t="shared" si="163"/>
        <v>110000</v>
      </c>
      <c r="R3489" s="61">
        <f>IF(O3489=0,0,SUMIFS(Disbursements!$T:$T,Disbursements!$B:$B,'Live Collections'!D3489,Disbursements!$D:$D,'Live Collections'!F3489))</f>
        <v>109000</v>
      </c>
      <c r="S3489" s="304">
        <f>IF(O3489&lt;=IF($O3489=0,0,SUMIFS(Disbursements!$W:$W,Disbursements!$B:$B,'Live Collections'!D3489,Disbursements!$D:$D,'Live Collections'!F3489)),O3489,IF($O3489=0,0,SUMIFS(Disbursements!$W:$W,Disbursements!$B:$B,'Live Collections'!D3489,Disbursements!$D:$D,'Live Collections'!F3489)))</f>
        <v>25666.666666666672</v>
      </c>
      <c r="T3489" s="304">
        <f t="shared" si="164"/>
        <v>84333.333333333328</v>
      </c>
      <c r="U3489" s="52"/>
      <c r="V3489" s="34"/>
      <c r="W3489" s="408"/>
    </row>
    <row r="3490" spans="1:23" ht="12.75" customHeight="1" x14ac:dyDescent="0.2">
      <c r="A3490" s="257">
        <v>3500</v>
      </c>
      <c r="B3490" s="44">
        <v>44637</v>
      </c>
      <c r="C3490" s="44">
        <f t="shared" si="165"/>
        <v>44637</v>
      </c>
      <c r="D3490" s="374">
        <v>42</v>
      </c>
      <c r="E3490" s="291" t="str">
        <f>IFERROR(VLOOKUP($D3490,'Clients-Live'!$A:$C,3,0),"")</f>
        <v>ABAU   NOLA</v>
      </c>
      <c r="F3490" s="291">
        <f>IFERROR(INDEX(Disbursements!$D:$D,MATCH('Live Collections'!G3490,Disbursements!$C:$C,0)),"")</f>
        <v>3</v>
      </c>
      <c r="G3490" s="34">
        <v>405</v>
      </c>
      <c r="H3490" s="34">
        <v>5322</v>
      </c>
      <c r="I3490" s="34" t="s">
        <v>1359</v>
      </c>
      <c r="J3490" s="48"/>
      <c r="K3490" s="48"/>
      <c r="L3490" s="48"/>
      <c r="M3490" s="48"/>
      <c r="N3490" s="59"/>
      <c r="O3490" s="59">
        <v>40000</v>
      </c>
      <c r="P3490" s="59"/>
      <c r="Q3490" s="268">
        <f t="shared" si="163"/>
        <v>40000</v>
      </c>
      <c r="R3490" s="61">
        <f>IF(O3490=0,0,SUMIFS(Disbursements!$T:$T,Disbursements!$B:$B,'Live Collections'!D3490,Disbursements!$D:$D,'Live Collections'!F3490))</f>
        <v>20000</v>
      </c>
      <c r="S3490" s="304">
        <f>IF(O3490&lt;=IF($O3490=0,0,SUMIFS(Disbursements!$W:$W,Disbursements!$B:$B,'Live Collections'!D3490,Disbursements!$D:$D,'Live Collections'!F3490)),O3490,IF($O3490=0,0,SUMIFS(Disbursements!$W:$W,Disbursements!$B:$B,'Live Collections'!D3490,Disbursements!$D:$D,'Live Collections'!F3490)))</f>
        <v>4375</v>
      </c>
      <c r="T3490" s="304">
        <f t="shared" si="164"/>
        <v>35625</v>
      </c>
      <c r="U3490" s="52"/>
      <c r="V3490" s="34"/>
      <c r="W3490" s="408"/>
    </row>
    <row r="3491" spans="1:23" ht="12.75" customHeight="1" x14ac:dyDescent="0.2">
      <c r="A3491" s="257">
        <v>3501</v>
      </c>
      <c r="B3491" s="44">
        <v>44637</v>
      </c>
      <c r="C3491" s="44">
        <f t="shared" si="165"/>
        <v>44637</v>
      </c>
      <c r="D3491" s="374">
        <v>247</v>
      </c>
      <c r="E3491" s="291" t="str">
        <f>IFERROR(VLOOKUP($D3491,'Clients-Live'!$A:$C,3,0),"")</f>
        <v>CHANDIRU SCHOLAR</v>
      </c>
      <c r="F3491" s="291">
        <f>IFERROR(INDEX(Disbursements!$D:$D,MATCH('Live Collections'!G3491,Disbursements!$C:$C,0)),"")</f>
        <v>1</v>
      </c>
      <c r="G3491" s="34">
        <v>265</v>
      </c>
      <c r="H3491" s="34">
        <v>5268</v>
      </c>
      <c r="I3491" s="34" t="s">
        <v>1359</v>
      </c>
      <c r="J3491" s="48"/>
      <c r="K3491" s="48"/>
      <c r="L3491" s="48"/>
      <c r="M3491" s="48"/>
      <c r="N3491" s="59"/>
      <c r="O3491" s="59">
        <v>50000</v>
      </c>
      <c r="P3491" s="59"/>
      <c r="Q3491" s="268">
        <f t="shared" si="163"/>
        <v>50000</v>
      </c>
      <c r="R3491" s="61">
        <f>IF(O3491=0,0,SUMIFS(Disbursements!$T:$T,Disbursements!$B:$B,'Live Collections'!D3491,Disbursements!$D:$D,'Live Collections'!F3491))</f>
        <v>270000</v>
      </c>
      <c r="S3491" s="304">
        <f>IF(O3491&lt;=IF($O3491=0,0,SUMIFS(Disbursements!$W:$W,Disbursements!$B:$B,'Live Collections'!D3491,Disbursements!$D:$D,'Live Collections'!F3491)),O3491,IF($O3491=0,0,SUMIFS(Disbursements!$W:$W,Disbursements!$B:$B,'Live Collections'!D3491,Disbursements!$D:$D,'Live Collections'!F3491)))</f>
        <v>45000</v>
      </c>
      <c r="T3491" s="304">
        <f t="shared" si="164"/>
        <v>5000</v>
      </c>
      <c r="U3491" s="52"/>
      <c r="V3491" s="34"/>
      <c r="W3491" s="408"/>
    </row>
    <row r="3492" spans="1:23" ht="12.75" customHeight="1" x14ac:dyDescent="0.2">
      <c r="A3492" s="257">
        <v>3502</v>
      </c>
      <c r="B3492" s="44">
        <v>44637</v>
      </c>
      <c r="C3492" s="44">
        <f t="shared" si="165"/>
        <v>44637</v>
      </c>
      <c r="D3492" s="374">
        <v>179</v>
      </c>
      <c r="E3492" s="291" t="str">
        <f>IFERROR(VLOOKUP($D3492,'Clients-Live'!$A:$C,3,0),"")</f>
        <v>GERIA VIOLA</v>
      </c>
      <c r="F3492" s="291">
        <f>IFERROR(INDEX(Disbursements!$D:$D,MATCH('Live Collections'!G3492,Disbursements!$C:$C,0)),"")</f>
        <v>2</v>
      </c>
      <c r="G3492" s="34">
        <v>330</v>
      </c>
      <c r="H3492" s="34">
        <v>5269</v>
      </c>
      <c r="I3492" s="34" t="s">
        <v>1359</v>
      </c>
      <c r="J3492" s="48"/>
      <c r="K3492" s="48"/>
      <c r="L3492" s="48"/>
      <c r="M3492" s="48"/>
      <c r="N3492" s="59"/>
      <c r="O3492" s="59">
        <v>70000</v>
      </c>
      <c r="P3492" s="59"/>
      <c r="Q3492" s="268">
        <f t="shared" si="163"/>
        <v>70000</v>
      </c>
      <c r="R3492" s="61">
        <f>IF(O3492=0,0,SUMIFS(Disbursements!$T:$T,Disbursements!$B:$B,'Live Collections'!D3492,Disbursements!$D:$D,'Live Collections'!F3492))</f>
        <v>100000</v>
      </c>
      <c r="S3492" s="304"/>
      <c r="T3492" s="304">
        <f t="shared" si="164"/>
        <v>70000</v>
      </c>
      <c r="U3492" s="52"/>
      <c r="V3492" s="34"/>
      <c r="W3492" s="408"/>
    </row>
    <row r="3493" spans="1:23" ht="12.75" customHeight="1" x14ac:dyDescent="0.2">
      <c r="A3493" s="257">
        <v>3503</v>
      </c>
      <c r="B3493" s="44">
        <v>44637</v>
      </c>
      <c r="C3493" s="44">
        <f t="shared" si="165"/>
        <v>44637</v>
      </c>
      <c r="D3493" s="374">
        <v>261</v>
      </c>
      <c r="E3493" s="291" t="str">
        <f>IFERROR(VLOOKUP($D3493,'Clients-Live'!$A:$C,3,0),"")</f>
        <v>AMANIYO STELLA</v>
      </c>
      <c r="F3493" s="291">
        <f>IFERROR(INDEX(Disbursements!$D:$D,MATCH('Live Collections'!G3493,Disbursements!$C:$C,0)),"")</f>
        <v>2</v>
      </c>
      <c r="G3493" s="34">
        <v>429</v>
      </c>
      <c r="H3493" s="34">
        <v>5267</v>
      </c>
      <c r="I3493" s="34" t="s">
        <v>1359</v>
      </c>
      <c r="J3493" s="48"/>
      <c r="K3493" s="48"/>
      <c r="L3493" s="48"/>
      <c r="M3493" s="48"/>
      <c r="N3493" s="59"/>
      <c r="O3493" s="59">
        <v>100000</v>
      </c>
      <c r="P3493" s="59"/>
      <c r="Q3493" s="268">
        <f t="shared" si="163"/>
        <v>100000</v>
      </c>
      <c r="R3493" s="61">
        <f>IF(O3493=0,0,SUMIFS(Disbursements!$T:$T,Disbursements!$B:$B,'Live Collections'!D3493,Disbursements!$D:$D,'Live Collections'!F3493))</f>
        <v>142000</v>
      </c>
      <c r="S3493" s="304">
        <f>IF(O3493&lt;=IF($O3493=0,0,SUMIFS(Disbursements!$W:$W,Disbursements!$B:$B,'Live Collections'!D3493,Disbursements!$D:$D,'Live Collections'!F3493)),O3493,IF($O3493=0,0,SUMIFS(Disbursements!$W:$W,Disbursements!$B:$B,'Live Collections'!D3493,Disbursements!$D:$D,'Live Collections'!F3493)))</f>
        <v>17000</v>
      </c>
      <c r="T3493" s="304">
        <f t="shared" si="164"/>
        <v>83000</v>
      </c>
      <c r="U3493" s="52"/>
      <c r="V3493" s="34"/>
      <c r="W3493" s="408"/>
    </row>
    <row r="3494" spans="1:23" ht="12.75" customHeight="1" x14ac:dyDescent="0.2">
      <c r="A3494" s="257">
        <v>3504</v>
      </c>
      <c r="B3494" s="44">
        <v>44637</v>
      </c>
      <c r="C3494" s="44">
        <f t="shared" si="165"/>
        <v>44637</v>
      </c>
      <c r="D3494" s="374">
        <v>151</v>
      </c>
      <c r="E3494" s="291" t="str">
        <f>IFERROR(VLOOKUP($D3494,'Clients-Live'!$A:$C,3,0),"")</f>
        <v>MORRO HASSAN</v>
      </c>
      <c r="F3494" s="291">
        <f>IFERROR(INDEX(Disbursements!$D:$D,MATCH('Live Collections'!G3494,Disbursements!$C:$C,0)),"")</f>
        <v>3</v>
      </c>
      <c r="G3494" s="34">
        <v>312</v>
      </c>
      <c r="H3494" s="34">
        <v>5266</v>
      </c>
      <c r="I3494" s="34" t="s">
        <v>1359</v>
      </c>
      <c r="J3494" s="48"/>
      <c r="K3494" s="48"/>
      <c r="L3494" s="48"/>
      <c r="M3494" s="48"/>
      <c r="N3494" s="59"/>
      <c r="O3494" s="59">
        <v>100000</v>
      </c>
      <c r="P3494" s="59"/>
      <c r="Q3494" s="268">
        <f t="shared" si="163"/>
        <v>100000</v>
      </c>
      <c r="R3494" s="61">
        <f>IF(O3494=0,0,SUMIFS(Disbursements!$T:$T,Disbursements!$B:$B,'Live Collections'!D3494,Disbursements!$D:$D,'Live Collections'!F3494))</f>
        <v>600000</v>
      </c>
      <c r="S3494" s="304">
        <f>IF(O3494&lt;=IF($O3494=0,0,SUMIFS(Disbursements!$W:$W,Disbursements!$B:$B,'Live Collections'!D3494,Disbursements!$D:$D,'Live Collections'!F3494)),O3494,IF($O3494=0,0,SUMIFS(Disbursements!$W:$W,Disbursements!$B:$B,'Live Collections'!D3494,Disbursements!$D:$D,'Live Collections'!F3494)))</f>
        <v>100000</v>
      </c>
      <c r="T3494" s="304">
        <f t="shared" si="164"/>
        <v>0</v>
      </c>
      <c r="U3494" s="52"/>
      <c r="V3494" s="34"/>
      <c r="W3494" s="408"/>
    </row>
    <row r="3495" spans="1:23" ht="12.75" customHeight="1" x14ac:dyDescent="0.2">
      <c r="A3495" s="257">
        <v>3505</v>
      </c>
      <c r="B3495" s="44">
        <v>44637</v>
      </c>
      <c r="C3495" s="44">
        <f t="shared" si="165"/>
        <v>44637</v>
      </c>
      <c r="D3495" s="374">
        <v>239</v>
      </c>
      <c r="E3495" s="291" t="str">
        <f>IFERROR(VLOOKUP($D3495,'Clients-Live'!$A:$C,3,0),"")</f>
        <v>HABIBU ABOYI ALLI</v>
      </c>
      <c r="F3495" s="291">
        <f>IFERROR(INDEX(Disbursements!$D:$D,MATCH('Live Collections'!G3495,Disbursements!$C:$C,0)),"")</f>
        <v>2</v>
      </c>
      <c r="G3495" s="34">
        <v>470</v>
      </c>
      <c r="H3495" s="34">
        <v>5258</v>
      </c>
      <c r="I3495" s="34" t="s">
        <v>1357</v>
      </c>
      <c r="J3495" s="48"/>
      <c r="K3495" s="48"/>
      <c r="L3495" s="48"/>
      <c r="M3495" s="48"/>
      <c r="N3495" s="59"/>
      <c r="O3495" s="59"/>
      <c r="P3495" s="59">
        <v>100000</v>
      </c>
      <c r="Q3495" s="268">
        <f t="shared" si="163"/>
        <v>100000</v>
      </c>
      <c r="R3495" s="61">
        <f>IF(O3495=0,0,SUMIFS(Disbursements!$T:$T,Disbursements!$B:$B,'Live Collections'!D3495,Disbursements!$D:$D,'Live Collections'!F3495))</f>
        <v>0</v>
      </c>
      <c r="S3495" s="304">
        <f>IF(O3495&lt;=IF($O3495=0,0,SUMIFS(Disbursements!$W:$W,Disbursements!$B:$B,'Live Collections'!D3495,Disbursements!$D:$D,'Live Collections'!F3495)),O3495,IF($O3495=0,0,SUMIFS(Disbursements!$W:$W,Disbursements!$B:$B,'Live Collections'!D3495,Disbursements!$D:$D,'Live Collections'!F3495)))</f>
        <v>0</v>
      </c>
      <c r="T3495" s="304">
        <f t="shared" si="164"/>
        <v>0</v>
      </c>
      <c r="U3495" s="52"/>
      <c r="V3495" s="34"/>
      <c r="W3495" s="408"/>
    </row>
    <row r="3496" spans="1:23" ht="12.75" customHeight="1" x14ac:dyDescent="0.2">
      <c r="A3496" s="257">
        <v>3506</v>
      </c>
      <c r="B3496" s="44">
        <v>44637</v>
      </c>
      <c r="C3496" s="44">
        <f t="shared" si="165"/>
        <v>44637</v>
      </c>
      <c r="D3496" s="374">
        <v>337</v>
      </c>
      <c r="E3496" s="291" t="str">
        <f>IFERROR(VLOOKUP($D3496,'Clients-Live'!$A:$C,3,0),"")</f>
        <v>AYISA AJONYE</v>
      </c>
      <c r="F3496" s="291">
        <f>IFERROR(INDEX(Disbursements!$D:$D,MATCH('Live Collections'!G3496,Disbursements!$C:$C,0)),"")</f>
        <v>1</v>
      </c>
      <c r="G3496" s="34">
        <v>471</v>
      </c>
      <c r="H3496" s="34">
        <v>5273</v>
      </c>
      <c r="I3496" s="34" t="s">
        <v>1359</v>
      </c>
      <c r="J3496" s="48"/>
      <c r="K3496" s="48"/>
      <c r="L3496" s="48"/>
      <c r="M3496" s="48"/>
      <c r="N3496" s="59"/>
      <c r="O3496" s="59"/>
      <c r="P3496" s="59">
        <v>40000</v>
      </c>
      <c r="Q3496" s="268">
        <f t="shared" si="163"/>
        <v>40000</v>
      </c>
      <c r="R3496" s="61">
        <f>IF(O3496=0,0,SUMIFS(Disbursements!$T:$T,Disbursements!$B:$B,'Live Collections'!D3496,Disbursements!$D:$D,'Live Collections'!F3496))</f>
        <v>0</v>
      </c>
      <c r="S3496" s="304">
        <f>IF(O3496&lt;=IF($O3496=0,0,SUMIFS(Disbursements!$W:$W,Disbursements!$B:$B,'Live Collections'!D3496,Disbursements!$D:$D,'Live Collections'!F3496)),O3496,IF($O3496=0,0,SUMIFS(Disbursements!$W:$W,Disbursements!$B:$B,'Live Collections'!D3496,Disbursements!$D:$D,'Live Collections'!F3496)))</f>
        <v>0</v>
      </c>
      <c r="T3496" s="304">
        <f t="shared" si="164"/>
        <v>0</v>
      </c>
      <c r="U3496" s="52"/>
      <c r="V3496" s="34"/>
      <c r="W3496" s="408"/>
    </row>
    <row r="3497" spans="1:23" ht="12.75" customHeight="1" x14ac:dyDescent="0.2">
      <c r="A3497" s="257">
        <v>3507</v>
      </c>
      <c r="B3497" s="44">
        <v>44637</v>
      </c>
      <c r="C3497" s="44">
        <f t="shared" si="165"/>
        <v>44637</v>
      </c>
      <c r="D3497" s="374">
        <v>186</v>
      </c>
      <c r="E3497" s="291" t="str">
        <f>IFERROR(VLOOKUP($D3497,'Clients-Live'!$A:$C,3,0),"")</f>
        <v>GIFT JAMES</v>
      </c>
      <c r="F3497" s="291">
        <f>IFERROR(INDEX(Disbursements!$D:$D,MATCH('Live Collections'!G3497,Disbursements!$C:$C,0)),"")</f>
        <v>1</v>
      </c>
      <c r="G3497" s="34">
        <v>186</v>
      </c>
      <c r="H3497" s="34">
        <v>5324</v>
      </c>
      <c r="I3497" s="34" t="s">
        <v>1359</v>
      </c>
      <c r="J3497" s="48"/>
      <c r="K3497" s="48"/>
      <c r="L3497" s="48"/>
      <c r="M3497" s="48"/>
      <c r="N3497" s="59"/>
      <c r="O3497" s="59">
        <v>400000</v>
      </c>
      <c r="P3497" s="59"/>
      <c r="Q3497" s="268">
        <f t="shared" si="163"/>
        <v>400000</v>
      </c>
      <c r="R3497" s="61">
        <f>IF(O3497=0,0,SUMIFS(Disbursements!$T:$T,Disbursements!$B:$B,'Live Collections'!D3497,Disbursements!$D:$D,'Live Collections'!F3497))</f>
        <v>753000</v>
      </c>
      <c r="S3497" s="304">
        <f>IF(O3497&lt;=IF($O3497=0,0,SUMIFS(Disbursements!$W:$W,Disbursements!$B:$B,'Live Collections'!D3497,Disbursements!$D:$D,'Live Collections'!F3497)),O3497,IF($O3497=0,0,SUMIFS(Disbursements!$W:$W,Disbursements!$B:$B,'Live Collections'!D3497,Disbursements!$D:$D,'Live Collections'!F3497)))</f>
        <v>53000</v>
      </c>
      <c r="T3497" s="304">
        <f t="shared" si="164"/>
        <v>347000</v>
      </c>
      <c r="U3497" s="52"/>
      <c r="V3497" s="34"/>
      <c r="W3497" s="408"/>
    </row>
    <row r="3498" spans="1:23" ht="12.75" customHeight="1" x14ac:dyDescent="0.2">
      <c r="A3498" s="257">
        <v>3508</v>
      </c>
      <c r="B3498" s="44">
        <v>44637</v>
      </c>
      <c r="C3498" s="44">
        <f t="shared" si="165"/>
        <v>44637</v>
      </c>
      <c r="D3498" s="374">
        <v>74</v>
      </c>
      <c r="E3498" s="291" t="str">
        <f>IFERROR(VLOOKUP($D3498,'Clients-Live'!$A:$C,3,0),"")</f>
        <v>YUKUWE AISHA</v>
      </c>
      <c r="F3498" s="291">
        <f>IFERROR(INDEX(Disbursements!$D:$D,MATCH('Live Collections'!G3498,Disbursements!$C:$C,0)),"")</f>
        <v>3</v>
      </c>
      <c r="G3498" s="34">
        <v>447</v>
      </c>
      <c r="H3498" s="34">
        <v>5279</v>
      </c>
      <c r="I3498" s="34" t="s">
        <v>1358</v>
      </c>
      <c r="J3498" s="48"/>
      <c r="K3498" s="48"/>
      <c r="L3498" s="48"/>
      <c r="M3498" s="48"/>
      <c r="N3498" s="59"/>
      <c r="O3498" s="59">
        <v>16000</v>
      </c>
      <c r="P3498" s="59"/>
      <c r="Q3498" s="268">
        <f t="shared" si="163"/>
        <v>16000</v>
      </c>
      <c r="R3498" s="61">
        <f>IF(O3498=0,0,SUMIFS(Disbursements!$T:$T,Disbursements!$B:$B,'Live Collections'!D3498,Disbursements!$D:$D,'Live Collections'!F3498))</f>
        <v>16000</v>
      </c>
      <c r="S3498" s="304">
        <f>IF(O3498&lt;=IF($O3498=0,0,SUMIFS(Disbursements!$W:$W,Disbursements!$B:$B,'Live Collections'!D3498,Disbursements!$D:$D,'Live Collections'!F3498)),O3498,IF($O3498=0,0,SUMIFS(Disbursements!$W:$W,Disbursements!$B:$B,'Live Collections'!D3498,Disbursements!$D:$D,'Live Collections'!F3498)))</f>
        <v>3500</v>
      </c>
      <c r="T3498" s="304">
        <f t="shared" si="164"/>
        <v>12500</v>
      </c>
      <c r="U3498" s="52"/>
      <c r="V3498" s="34"/>
      <c r="W3498" s="408"/>
    </row>
    <row r="3499" spans="1:23" ht="12.75" customHeight="1" x14ac:dyDescent="0.2">
      <c r="A3499" s="257">
        <v>3509</v>
      </c>
      <c r="B3499" s="44">
        <v>44638</v>
      </c>
      <c r="C3499" s="44">
        <f t="shared" si="165"/>
        <v>44638</v>
      </c>
      <c r="D3499" s="374">
        <v>339</v>
      </c>
      <c r="E3499" s="291" t="str">
        <f>IFERROR(VLOOKUP($D3499,'Clients-Live'!$A:$C,3,0),"")</f>
        <v>GIRE ELIZABETH</v>
      </c>
      <c r="F3499" s="291" t="str">
        <f>IFERROR(INDEX(Disbursements!$D:$D,MATCH('Live Collections'!G3499,Disbursements!$C:$C,0)),"")</f>
        <v/>
      </c>
      <c r="G3499" s="34"/>
      <c r="H3499" s="34">
        <v>5351</v>
      </c>
      <c r="I3499" s="34" t="s">
        <v>1357</v>
      </c>
      <c r="J3499" s="48">
        <v>15000</v>
      </c>
      <c r="K3499" s="48">
        <v>5000</v>
      </c>
      <c r="L3499" s="48"/>
      <c r="M3499" s="48"/>
      <c r="N3499" s="59"/>
      <c r="O3499" s="59"/>
      <c r="P3499" s="59"/>
      <c r="Q3499" s="268">
        <f t="shared" si="163"/>
        <v>20000</v>
      </c>
      <c r="R3499" s="61">
        <f>IF(O3499=0,0,SUMIFS(Disbursements!$T:$T,Disbursements!$B:$B,'Live Collections'!D3499,Disbursements!$D:$D,'Live Collections'!F3499))</f>
        <v>0</v>
      </c>
      <c r="S3499" s="304">
        <f>IF(O3499&lt;=IF($O3499=0,0,SUMIFS(Disbursements!$W:$W,Disbursements!$B:$B,'Live Collections'!D3499,Disbursements!$D:$D,'Live Collections'!F3499)),O3499,IF($O3499=0,0,SUMIFS(Disbursements!$W:$W,Disbursements!$B:$B,'Live Collections'!D3499,Disbursements!$D:$D,'Live Collections'!F3499)))</f>
        <v>0</v>
      </c>
      <c r="T3499" s="304">
        <f t="shared" si="164"/>
        <v>0</v>
      </c>
      <c r="U3499" s="52"/>
      <c r="V3499" s="34"/>
      <c r="W3499" s="408"/>
    </row>
    <row r="3500" spans="1:23" ht="12.75" customHeight="1" x14ac:dyDescent="0.2">
      <c r="A3500" s="257">
        <v>3510</v>
      </c>
      <c r="B3500" s="44">
        <v>44638</v>
      </c>
      <c r="C3500" s="44">
        <f t="shared" si="165"/>
        <v>44638</v>
      </c>
      <c r="D3500" s="374">
        <v>339</v>
      </c>
      <c r="E3500" s="291" t="str">
        <f>IFERROR(VLOOKUP($D3500,'Clients-Live'!$A:$C,3,0),"")</f>
        <v>GIRE ELIZABETH</v>
      </c>
      <c r="F3500" s="291" t="str">
        <f>IFERROR(INDEX(Disbursements!$D:$D,MATCH('Live Collections'!G3500,Disbursements!$C:$C,0)),"")</f>
        <v/>
      </c>
      <c r="G3500" s="34"/>
      <c r="H3500" s="34">
        <v>5158</v>
      </c>
      <c r="I3500" s="34" t="s">
        <v>1357</v>
      </c>
      <c r="J3500" s="48"/>
      <c r="K3500" s="48"/>
      <c r="L3500" s="48">
        <v>30000</v>
      </c>
      <c r="M3500" s="48">
        <v>5000</v>
      </c>
      <c r="N3500" s="59"/>
      <c r="O3500" s="59"/>
      <c r="P3500" s="59"/>
      <c r="Q3500" s="268">
        <f t="shared" ref="Q3500:Q3563" si="166">SUM(J3500:P3500)</f>
        <v>35000</v>
      </c>
      <c r="R3500" s="61">
        <f>IF(O3500=0,0,SUMIFS(Disbursements!$T:$T,Disbursements!$B:$B,'Live Collections'!D3500,Disbursements!$D:$D,'Live Collections'!F3500))</f>
        <v>0</v>
      </c>
      <c r="S3500" s="304">
        <f>IF(O3500&lt;=IF($O3500=0,0,SUMIFS(Disbursements!$W:$W,Disbursements!$B:$B,'Live Collections'!D3500,Disbursements!$D:$D,'Live Collections'!F3500)),O3500,IF($O3500=0,0,SUMIFS(Disbursements!$W:$W,Disbursements!$B:$B,'Live Collections'!D3500,Disbursements!$D:$D,'Live Collections'!F3500)))</f>
        <v>0</v>
      </c>
      <c r="T3500" s="304">
        <f t="shared" si="164"/>
        <v>0</v>
      </c>
      <c r="U3500" s="52"/>
      <c r="V3500" s="34"/>
      <c r="W3500" s="408"/>
    </row>
    <row r="3501" spans="1:23" ht="12.75" customHeight="1" x14ac:dyDescent="0.2">
      <c r="A3501" s="257">
        <v>3511</v>
      </c>
      <c r="B3501" s="44">
        <v>44638</v>
      </c>
      <c r="C3501" s="44">
        <f t="shared" si="165"/>
        <v>44638</v>
      </c>
      <c r="D3501" s="374">
        <v>314</v>
      </c>
      <c r="E3501" s="291" t="str">
        <f>IFERROR(VLOOKUP($D3501,'Clients-Live'!$A:$C,3,0),"")</f>
        <v>SHAMIM ALIGAH</v>
      </c>
      <c r="F3501" s="291">
        <f>IFERROR(INDEX(Disbursements!$D:$D,MATCH('Live Collections'!G3501,Disbursements!$C:$C,0)),"")</f>
        <v>2</v>
      </c>
      <c r="G3501" s="34">
        <v>439</v>
      </c>
      <c r="H3501" s="34" t="s">
        <v>2228</v>
      </c>
      <c r="I3501" s="34" t="s">
        <v>1357</v>
      </c>
      <c r="J3501" s="48"/>
      <c r="K3501" s="48"/>
      <c r="L3501" s="48"/>
      <c r="M3501" s="48"/>
      <c r="N3501" s="59"/>
      <c r="O3501" s="59">
        <v>150000</v>
      </c>
      <c r="P3501" s="59">
        <v>-150000</v>
      </c>
      <c r="Q3501" s="268">
        <f t="shared" si="166"/>
        <v>0</v>
      </c>
      <c r="R3501" s="61">
        <f>IF(O3501=0,0,SUMIFS(Disbursements!$T:$T,Disbursements!$B:$B,'Live Collections'!D3501,Disbursements!$D:$D,'Live Collections'!F3501))</f>
        <v>1598000</v>
      </c>
      <c r="S3501" s="304">
        <f>IF(O3501&lt;=IF($O3501=0,0,SUMIFS(Disbursements!$W:$W,Disbursements!$B:$B,'Live Collections'!D3501,Disbursements!$D:$D,'Live Collections'!F3501)),O3501,IF($O3501=0,0,SUMIFS(Disbursements!$W:$W,Disbursements!$B:$B,'Live Collections'!D3501,Disbursements!$D:$D,'Live Collections'!F3501)))</f>
        <v>98000</v>
      </c>
      <c r="T3501" s="304">
        <f t="shared" si="164"/>
        <v>52000</v>
      </c>
      <c r="U3501" s="52"/>
      <c r="V3501" s="34"/>
      <c r="W3501" s="408"/>
    </row>
    <row r="3502" spans="1:23" ht="12.75" customHeight="1" x14ac:dyDescent="0.2">
      <c r="A3502" s="257">
        <v>3512</v>
      </c>
      <c r="B3502" s="44">
        <v>44638</v>
      </c>
      <c r="C3502" s="44">
        <f t="shared" si="165"/>
        <v>44638</v>
      </c>
      <c r="D3502" s="374">
        <v>314</v>
      </c>
      <c r="E3502" s="291" t="str">
        <f>IFERROR(VLOOKUP($D3502,'Clients-Live'!$A:$C,3,0),"")</f>
        <v>SHAMIM ALIGAH</v>
      </c>
      <c r="F3502" s="291">
        <f>IFERROR(INDEX(Disbursements!$D:$D,MATCH('Live Collections'!G3502,Disbursements!$C:$C,0)),"")</f>
        <v>2</v>
      </c>
      <c r="G3502" s="34">
        <v>439</v>
      </c>
      <c r="H3502" s="34">
        <v>5504</v>
      </c>
      <c r="I3502" s="34" t="s">
        <v>1357</v>
      </c>
      <c r="J3502" s="48"/>
      <c r="K3502" s="48"/>
      <c r="L3502" s="48"/>
      <c r="M3502" s="48"/>
      <c r="N3502" s="59"/>
      <c r="O3502" s="59">
        <v>1447500</v>
      </c>
      <c r="P3502" s="59"/>
      <c r="Q3502" s="268">
        <f t="shared" si="166"/>
        <v>1447500</v>
      </c>
      <c r="R3502" s="61">
        <f>IF(O3502=0,0,SUMIFS(Disbursements!$T:$T,Disbursements!$B:$B,'Live Collections'!D3502,Disbursements!$D:$D,'Live Collections'!F3502))</f>
        <v>1598000</v>
      </c>
      <c r="S3502" s="304"/>
      <c r="T3502" s="304">
        <f t="shared" si="164"/>
        <v>1447500</v>
      </c>
      <c r="U3502" s="52"/>
      <c r="V3502" s="34"/>
      <c r="W3502" s="408"/>
    </row>
    <row r="3503" spans="1:23" ht="12.75" customHeight="1" x14ac:dyDescent="0.2">
      <c r="A3503" s="257">
        <v>3513</v>
      </c>
      <c r="B3503" s="44">
        <v>44638</v>
      </c>
      <c r="C3503" s="44">
        <f t="shared" si="165"/>
        <v>44638</v>
      </c>
      <c r="D3503" s="374">
        <v>291</v>
      </c>
      <c r="E3503" s="291" t="str">
        <f>IFERROR(VLOOKUP($D3503,'Clients-Live'!$A:$C,3,0),"")</f>
        <v>LEMAKU SWAIB</v>
      </c>
      <c r="F3503" s="291">
        <f>IFERROR(INDEX(Disbursements!$D:$D,MATCH('Live Collections'!G3503,Disbursements!$C:$C,0)),"")</f>
        <v>1</v>
      </c>
      <c r="G3503" s="34">
        <v>397</v>
      </c>
      <c r="H3503" s="34">
        <v>5152</v>
      </c>
      <c r="I3503" s="34" t="s">
        <v>1359</v>
      </c>
      <c r="J3503" s="48"/>
      <c r="K3503" s="48"/>
      <c r="L3503" s="48"/>
      <c r="M3503" s="48"/>
      <c r="N3503" s="59"/>
      <c r="O3503" s="59">
        <v>210000</v>
      </c>
      <c r="P3503" s="59"/>
      <c r="Q3503" s="268">
        <f t="shared" si="166"/>
        <v>210000</v>
      </c>
      <c r="R3503" s="61">
        <f>IF(O3503=0,0,SUMIFS(Disbursements!$T:$T,Disbursements!$B:$B,'Live Collections'!D3503,Disbursements!$D:$D,'Live Collections'!F3503))</f>
        <v>205000</v>
      </c>
      <c r="S3503" s="304">
        <f>IF(O3503&lt;=IF($O3503=0,0,SUMIFS(Disbursements!$W:$W,Disbursements!$B:$B,'Live Collections'!D3503,Disbursements!$D:$D,'Live Collections'!F3503)),O3503,IF($O3503=0,0,SUMIFS(Disbursements!$W:$W,Disbursements!$B:$B,'Live Collections'!D3503,Disbursements!$D:$D,'Live Collections'!F3503)))</f>
        <v>38333.333333333343</v>
      </c>
      <c r="T3503" s="304">
        <f t="shared" si="164"/>
        <v>171666.66666666666</v>
      </c>
      <c r="U3503" s="52"/>
      <c r="V3503" s="34"/>
      <c r="W3503" s="408"/>
    </row>
    <row r="3504" spans="1:23" ht="12.75" customHeight="1" x14ac:dyDescent="0.2">
      <c r="A3504" s="257">
        <v>3514</v>
      </c>
      <c r="B3504" s="44">
        <v>44638</v>
      </c>
      <c r="C3504" s="44">
        <f t="shared" si="165"/>
        <v>44638</v>
      </c>
      <c r="D3504" s="374">
        <v>156</v>
      </c>
      <c r="E3504" s="291" t="str">
        <f>IFERROR(VLOOKUP($D3504,'Clients-Live'!$A:$C,3,0),"")</f>
        <v xml:space="preserve">ONIBA AISHA </v>
      </c>
      <c r="F3504" s="291">
        <f>IFERROR(INDEX(Disbursements!$D:$D,MATCH('Live Collections'!G3504,Disbursements!$C:$C,0)),"")</f>
        <v>4</v>
      </c>
      <c r="G3504" s="34">
        <v>348</v>
      </c>
      <c r="H3504" s="34">
        <v>5153</v>
      </c>
      <c r="I3504" s="34" t="s">
        <v>1358</v>
      </c>
      <c r="J3504" s="48"/>
      <c r="K3504" s="48"/>
      <c r="L3504" s="48"/>
      <c r="M3504" s="48"/>
      <c r="N3504" s="59"/>
      <c r="O3504" s="59">
        <v>100000</v>
      </c>
      <c r="P3504" s="59"/>
      <c r="Q3504" s="268">
        <f t="shared" si="166"/>
        <v>100000</v>
      </c>
      <c r="R3504" s="61">
        <f>IF(O3504=0,0,SUMIFS(Disbursements!$T:$T,Disbursements!$B:$B,'Live Collections'!D3504,Disbursements!$D:$D,'Live Collections'!F3504))</f>
        <v>1925000</v>
      </c>
      <c r="S3504" s="304">
        <f>IF(O3504&lt;=IF($O3504=0,0,SUMIFS(Disbursements!$W:$W,Disbursements!$B:$B,'Live Collections'!D3504,Disbursements!$D:$D,'Live Collections'!F3504)),O3504,IF($O3504=0,0,SUMIFS(Disbursements!$W:$W,Disbursements!$B:$B,'Live Collections'!D3504,Disbursements!$D:$D,'Live Collections'!F3504)))</f>
        <v>100000</v>
      </c>
      <c r="T3504" s="304">
        <f t="shared" si="164"/>
        <v>0</v>
      </c>
      <c r="U3504" s="52"/>
      <c r="V3504" s="34"/>
      <c r="W3504" s="408"/>
    </row>
    <row r="3505" spans="1:23" ht="12.75" customHeight="1" x14ac:dyDescent="0.2">
      <c r="A3505" s="257">
        <v>3515</v>
      </c>
      <c r="B3505" s="44">
        <v>44638</v>
      </c>
      <c r="C3505" s="44">
        <f t="shared" si="165"/>
        <v>44638</v>
      </c>
      <c r="D3505" s="374">
        <v>116</v>
      </c>
      <c r="E3505" s="291" t="str">
        <f>IFERROR(VLOOKUP($D3505,'Clients-Live'!$A:$C,3,0),"")</f>
        <v>ONZIA LUCY</v>
      </c>
      <c r="F3505" s="291">
        <f>IFERROR(INDEX(Disbursements!$D:$D,MATCH('Live Collections'!G3505,Disbursements!$C:$C,0)),"")</f>
        <v>3</v>
      </c>
      <c r="G3505" s="34">
        <v>361</v>
      </c>
      <c r="H3505" s="34">
        <v>5154</v>
      </c>
      <c r="I3505" s="34" t="s">
        <v>1357</v>
      </c>
      <c r="J3505" s="48"/>
      <c r="K3505" s="48"/>
      <c r="L3505" s="48"/>
      <c r="M3505" s="48"/>
      <c r="N3505" s="59"/>
      <c r="O3505" s="59">
        <v>45000</v>
      </c>
      <c r="P3505" s="59"/>
      <c r="Q3505" s="268">
        <f t="shared" si="166"/>
        <v>45000</v>
      </c>
      <c r="R3505" s="61">
        <f>IF(O3505=0,0,SUMIFS(Disbursements!$T:$T,Disbursements!$B:$B,'Live Collections'!D3505,Disbursements!$D:$D,'Live Collections'!F3505))</f>
        <v>120000</v>
      </c>
      <c r="S3505" s="304"/>
      <c r="T3505" s="304">
        <f t="shared" si="164"/>
        <v>45000</v>
      </c>
      <c r="U3505" s="52"/>
      <c r="V3505" s="34"/>
      <c r="W3505" s="408"/>
    </row>
    <row r="3506" spans="1:23" ht="12.75" customHeight="1" x14ac:dyDescent="0.2">
      <c r="A3506" s="257">
        <v>3516</v>
      </c>
      <c r="B3506" s="44">
        <v>44638</v>
      </c>
      <c r="C3506" s="44">
        <f t="shared" si="165"/>
        <v>44638</v>
      </c>
      <c r="D3506" s="374">
        <v>160</v>
      </c>
      <c r="E3506" s="291" t="str">
        <f>IFERROR(VLOOKUP($D3506,'Clients-Live'!$A:$C,3,0),"")</f>
        <v>CHANDI ZANABU</v>
      </c>
      <c r="F3506" s="291">
        <f>IFERROR(INDEX(Disbursements!$D:$D,MATCH('Live Collections'!G3506,Disbursements!$C:$C,0)),"")</f>
        <v>2</v>
      </c>
      <c r="G3506" s="34">
        <v>267</v>
      </c>
      <c r="H3506" s="34">
        <v>5156</v>
      </c>
      <c r="I3506" s="34" t="s">
        <v>1358</v>
      </c>
      <c r="J3506" s="48"/>
      <c r="K3506" s="48"/>
      <c r="L3506" s="48">
        <v>20000</v>
      </c>
      <c r="M3506" s="48">
        <v>5000</v>
      </c>
      <c r="N3506" s="59"/>
      <c r="O3506" s="59"/>
      <c r="P3506" s="59"/>
      <c r="Q3506" s="268">
        <f t="shared" si="166"/>
        <v>25000</v>
      </c>
      <c r="R3506" s="61">
        <f>IF(O3506=0,0,SUMIFS(Disbursements!$T:$T,Disbursements!$B:$B,'Live Collections'!D3506,Disbursements!$D:$D,'Live Collections'!F3506))</f>
        <v>0</v>
      </c>
      <c r="S3506" s="304">
        <f>IF(O3506&lt;=IF($O3506=0,0,SUMIFS(Disbursements!$W:$W,Disbursements!$B:$B,'Live Collections'!D3506,Disbursements!$D:$D,'Live Collections'!F3506)),O3506,IF($O3506=0,0,SUMIFS(Disbursements!$W:$W,Disbursements!$B:$B,'Live Collections'!D3506,Disbursements!$D:$D,'Live Collections'!F3506)))</f>
        <v>0</v>
      </c>
      <c r="T3506" s="304">
        <f t="shared" si="164"/>
        <v>0</v>
      </c>
      <c r="U3506" s="52"/>
      <c r="V3506" s="34"/>
      <c r="W3506" s="408"/>
    </row>
    <row r="3507" spans="1:23" ht="12.75" customHeight="1" x14ac:dyDescent="0.2">
      <c r="A3507" s="257">
        <v>3517</v>
      </c>
      <c r="B3507" s="44">
        <v>44638</v>
      </c>
      <c r="C3507" s="44">
        <f t="shared" si="165"/>
        <v>44638</v>
      </c>
      <c r="D3507" s="374">
        <v>221</v>
      </c>
      <c r="E3507" s="291" t="str">
        <f>IFERROR(VLOOKUP($D3507,'Clients-Live'!$A:$C,3,0),"")</f>
        <v>NAMUDDU MARY</v>
      </c>
      <c r="F3507" s="291">
        <f>IFERROR(INDEX(Disbursements!$D:$D,MATCH('Live Collections'!G3507,Disbursements!$C:$C,0)),"")</f>
        <v>2</v>
      </c>
      <c r="G3507" s="34">
        <v>407</v>
      </c>
      <c r="H3507" s="34">
        <v>5401</v>
      </c>
      <c r="I3507" s="34" t="s">
        <v>1359</v>
      </c>
      <c r="J3507" s="48"/>
      <c r="K3507" s="48"/>
      <c r="L3507" s="48"/>
      <c r="M3507" s="48"/>
      <c r="N3507" s="59"/>
      <c r="O3507" s="59">
        <v>300000</v>
      </c>
      <c r="P3507" s="59"/>
      <c r="Q3507" s="268">
        <f t="shared" si="166"/>
        <v>300000</v>
      </c>
      <c r="R3507" s="61">
        <f>IF(O3507=0,0,SUMIFS(Disbursements!$T:$T,Disbursements!$B:$B,'Live Collections'!D3507,Disbursements!$D:$D,'Live Collections'!F3507))</f>
        <v>79000</v>
      </c>
      <c r="S3507" s="304">
        <f>IF(O3507&lt;=IF($O3507=0,0,SUMIFS(Disbursements!$W:$W,Disbursements!$B:$B,'Live Collections'!D3507,Disbursements!$D:$D,'Live Collections'!F3507)),O3507,IF($O3507=0,0,SUMIFS(Disbursements!$W:$W,Disbursements!$B:$B,'Live Collections'!D3507,Disbursements!$D:$D,'Live Collections'!F3507)))</f>
        <v>16500</v>
      </c>
      <c r="T3507" s="304">
        <f t="shared" si="164"/>
        <v>283500</v>
      </c>
      <c r="U3507" s="52"/>
      <c r="V3507" s="34"/>
      <c r="W3507" s="408"/>
    </row>
    <row r="3508" spans="1:23" ht="12.75" customHeight="1" x14ac:dyDescent="0.2">
      <c r="A3508" s="257">
        <v>3518</v>
      </c>
      <c r="B3508" s="44">
        <v>44638</v>
      </c>
      <c r="C3508" s="44">
        <f t="shared" si="165"/>
        <v>44638</v>
      </c>
      <c r="D3508" s="374">
        <v>129</v>
      </c>
      <c r="E3508" s="291" t="str">
        <f>IFERROR(VLOOKUP($D3508,'Clients-Live'!$A:$C,3,0),"")</f>
        <v>BAKO ASINA</v>
      </c>
      <c r="F3508" s="291">
        <f>IFERROR(INDEX(Disbursements!$D:$D,MATCH('Live Collections'!G3508,Disbursements!$C:$C,0)),"")</f>
        <v>3</v>
      </c>
      <c r="G3508" s="34">
        <v>409</v>
      </c>
      <c r="H3508" s="34">
        <v>5155</v>
      </c>
      <c r="I3508" s="34" t="s">
        <v>1358</v>
      </c>
      <c r="J3508" s="48"/>
      <c r="K3508" s="48"/>
      <c r="L3508" s="48"/>
      <c r="M3508" s="48"/>
      <c r="N3508" s="59"/>
      <c r="O3508" s="59">
        <v>1100000</v>
      </c>
      <c r="P3508" s="59"/>
      <c r="Q3508" s="268">
        <f t="shared" si="166"/>
        <v>1100000</v>
      </c>
      <c r="R3508" s="61">
        <f>IF(O3508=0,0,SUMIFS(Disbursements!$T:$T,Disbursements!$B:$B,'Live Collections'!D3508,Disbursements!$D:$D,'Live Collections'!F3508))</f>
        <v>1195000</v>
      </c>
      <c r="S3508" s="304">
        <f>IF(O3508&lt;=IF($O3508=0,0,SUMIFS(Disbursements!$W:$W,Disbursements!$B:$B,'Live Collections'!D3508,Disbursements!$D:$D,'Live Collections'!F3508)),O3508,IF($O3508=0,0,SUMIFS(Disbursements!$W:$W,Disbursements!$B:$B,'Live Collections'!D3508,Disbursements!$D:$D,'Live Collections'!F3508)))</f>
        <v>195000</v>
      </c>
      <c r="T3508" s="304">
        <f t="shared" si="164"/>
        <v>905000</v>
      </c>
      <c r="U3508" s="52"/>
      <c r="V3508" s="34"/>
      <c r="W3508" s="408"/>
    </row>
    <row r="3509" spans="1:23" ht="12.75" customHeight="1" x14ac:dyDescent="0.2">
      <c r="A3509" s="257">
        <v>3519</v>
      </c>
      <c r="B3509" s="44">
        <v>44638</v>
      </c>
      <c r="C3509" s="44">
        <f t="shared" si="165"/>
        <v>44638</v>
      </c>
      <c r="D3509" s="374">
        <v>264</v>
      </c>
      <c r="E3509" s="291" t="str">
        <f>IFERROR(VLOOKUP($D3509,'Clients-Live'!$A:$C,3,0),"")</f>
        <v>AMORI JOHN BAPTIST</v>
      </c>
      <c r="F3509" s="291">
        <f>IFERROR(INDEX(Disbursements!$D:$D,MATCH('Live Collections'!G3509,Disbursements!$C:$C,0)),"")</f>
        <v>1</v>
      </c>
      <c r="G3509" s="34">
        <v>298</v>
      </c>
      <c r="H3509" s="34">
        <v>5501</v>
      </c>
      <c r="I3509" s="34" t="s">
        <v>1359</v>
      </c>
      <c r="J3509" s="48"/>
      <c r="K3509" s="48"/>
      <c r="L3509" s="48"/>
      <c r="M3509" s="48"/>
      <c r="N3509" s="59"/>
      <c r="O3509" s="59">
        <v>1200000</v>
      </c>
      <c r="P3509" s="59"/>
      <c r="Q3509" s="268">
        <f t="shared" si="166"/>
        <v>1200000</v>
      </c>
      <c r="R3509" s="61">
        <f>IF(O3509=0,0,SUMIFS(Disbursements!$T:$T,Disbursements!$B:$B,'Live Collections'!D3509,Disbursements!$D:$D,'Live Collections'!F3509))</f>
        <v>1084000</v>
      </c>
      <c r="S3509" s="304">
        <f>IF(O3509&lt;=IF($O3509=0,0,SUMIFS(Disbursements!$W:$W,Disbursements!$B:$B,'Live Collections'!D3509,Disbursements!$D:$D,'Live Collections'!F3509)),O3509,IF($O3509=0,0,SUMIFS(Disbursements!$W:$W,Disbursements!$B:$B,'Live Collections'!D3509,Disbursements!$D:$D,'Live Collections'!F3509)))</f>
        <v>250666.66666666663</v>
      </c>
      <c r="T3509" s="304">
        <f t="shared" si="164"/>
        <v>949333.33333333337</v>
      </c>
      <c r="U3509" s="52"/>
      <c r="V3509" s="34"/>
      <c r="W3509" s="408"/>
    </row>
    <row r="3510" spans="1:23" ht="12.75" customHeight="1" x14ac:dyDescent="0.2">
      <c r="A3510" s="257">
        <v>3520</v>
      </c>
      <c r="B3510" s="44">
        <v>44638</v>
      </c>
      <c r="C3510" s="44">
        <f t="shared" si="165"/>
        <v>44638</v>
      </c>
      <c r="D3510" s="374">
        <v>128</v>
      </c>
      <c r="E3510" s="291" t="str">
        <f>IFERROR(VLOOKUP($D3510,'Clients-Live'!$A:$C,3,0),"")</f>
        <v>AJONYE BETTY</v>
      </c>
      <c r="F3510" s="291">
        <f>IFERROR(INDEX(Disbursements!$D:$D,MATCH('Live Collections'!G3510,Disbursements!$C:$C,0)),"")</f>
        <v>3</v>
      </c>
      <c r="G3510" s="34">
        <v>463</v>
      </c>
      <c r="H3510" s="34">
        <v>5502</v>
      </c>
      <c r="I3510" s="34" t="s">
        <v>1359</v>
      </c>
      <c r="J3510" s="48"/>
      <c r="K3510" s="48"/>
      <c r="L3510" s="48"/>
      <c r="M3510" s="48"/>
      <c r="N3510" s="59"/>
      <c r="O3510" s="59">
        <v>25000</v>
      </c>
      <c r="P3510" s="59"/>
      <c r="Q3510" s="268">
        <f t="shared" si="166"/>
        <v>25000</v>
      </c>
      <c r="R3510" s="61">
        <f>IF(O3510=0,0,SUMIFS(Disbursements!$T:$T,Disbursements!$B:$B,'Live Collections'!D3510,Disbursements!$D:$D,'Live Collections'!F3510))</f>
        <v>25000</v>
      </c>
      <c r="S3510" s="304">
        <f>IF(O3510&lt;=IF($O3510=0,0,SUMIFS(Disbursements!$W:$W,Disbursements!$B:$B,'Live Collections'!D3510,Disbursements!$D:$D,'Live Collections'!F3510)),O3510,IF($O3510=0,0,SUMIFS(Disbursements!$W:$W,Disbursements!$B:$B,'Live Collections'!D3510,Disbursements!$D:$D,'Live Collections'!F3510)))</f>
        <v>4166.6666666666679</v>
      </c>
      <c r="T3510" s="304">
        <f t="shared" si="164"/>
        <v>20833.333333333332</v>
      </c>
      <c r="U3510" s="52"/>
      <c r="V3510" s="34"/>
      <c r="W3510" s="408"/>
    </row>
    <row r="3511" spans="1:23" ht="12.75" customHeight="1" x14ac:dyDescent="0.2">
      <c r="A3511" s="257">
        <v>3521</v>
      </c>
      <c r="B3511" s="44">
        <v>44638</v>
      </c>
      <c r="C3511" s="44">
        <f t="shared" si="165"/>
        <v>44638</v>
      </c>
      <c r="D3511" s="374">
        <v>303</v>
      </c>
      <c r="E3511" s="291" t="str">
        <f>IFERROR(VLOOKUP($D3511,'Clients-Live'!$A:$C,3,0),"")</f>
        <v>APAYI DOROTHY</v>
      </c>
      <c r="F3511" s="291">
        <f>IFERROR(INDEX(Disbursements!$D:$D,MATCH('Live Collections'!G3511,Disbursements!$C:$C,0)),"")</f>
        <v>1</v>
      </c>
      <c r="G3511" s="34">
        <v>399</v>
      </c>
      <c r="H3511" s="34">
        <v>5503</v>
      </c>
      <c r="I3511" s="34" t="s">
        <v>1359</v>
      </c>
      <c r="J3511" s="48"/>
      <c r="K3511" s="48"/>
      <c r="L3511" s="48"/>
      <c r="M3511" s="48"/>
      <c r="N3511" s="59"/>
      <c r="O3511" s="59">
        <v>20000</v>
      </c>
      <c r="P3511" s="59"/>
      <c r="Q3511" s="268">
        <f t="shared" si="166"/>
        <v>20000</v>
      </c>
      <c r="R3511" s="61">
        <f>IF(O3511=0,0,SUMIFS(Disbursements!$T:$T,Disbursements!$B:$B,'Live Collections'!D3511,Disbursements!$D:$D,'Live Collections'!F3511))</f>
        <v>40000</v>
      </c>
      <c r="S3511" s="304"/>
      <c r="T3511" s="304">
        <f t="shared" ref="T3511:T3574" si="167">IF(O3511=0,0,O3511-S3511)</f>
        <v>20000</v>
      </c>
      <c r="U3511" s="52"/>
      <c r="V3511" s="34"/>
      <c r="W3511" s="408"/>
    </row>
    <row r="3512" spans="1:23" ht="12.75" customHeight="1" x14ac:dyDescent="0.2">
      <c r="A3512" s="257">
        <v>3522</v>
      </c>
      <c r="B3512" s="44">
        <v>44638</v>
      </c>
      <c r="C3512" s="44">
        <f t="shared" si="165"/>
        <v>44638</v>
      </c>
      <c r="D3512" s="374">
        <v>73</v>
      </c>
      <c r="E3512" s="291" t="str">
        <f>IFERROR(VLOOKUP($D3512,'Clients-Live'!$A:$C,3,0),"")</f>
        <v>AJONYE DEBORA</v>
      </c>
      <c r="F3512" s="291">
        <f>IFERROR(INDEX(Disbursements!$D:$D,MATCH('Live Collections'!G3512,Disbursements!$C:$C,0)),"")</f>
        <v>3</v>
      </c>
      <c r="G3512" s="34">
        <v>426</v>
      </c>
      <c r="H3512" s="34">
        <v>5402</v>
      </c>
      <c r="I3512" s="34" t="s">
        <v>1357</v>
      </c>
      <c r="J3512" s="48"/>
      <c r="K3512" s="48"/>
      <c r="L3512" s="48"/>
      <c r="M3512" s="48"/>
      <c r="N3512" s="59"/>
      <c r="O3512" s="59">
        <v>53000</v>
      </c>
      <c r="P3512" s="59"/>
      <c r="Q3512" s="268">
        <f t="shared" si="166"/>
        <v>53000</v>
      </c>
      <c r="R3512" s="61">
        <f>IF(O3512=0,0,SUMIFS(Disbursements!$T:$T,Disbursements!$B:$B,'Live Collections'!D3512,Disbursements!$D:$D,'Live Collections'!F3512))</f>
        <v>53000</v>
      </c>
      <c r="S3512" s="304">
        <f>IF(O3512&lt;=IF($O3512=0,0,SUMIFS(Disbursements!$W:$W,Disbursements!$B:$B,'Live Collections'!D3512,Disbursements!$D:$D,'Live Collections'!F3512)),O3512,IF($O3512=0,0,SUMIFS(Disbursements!$W:$W,Disbursements!$B:$B,'Live Collections'!D3512,Disbursements!$D:$D,'Live Collections'!F3512)))</f>
        <v>13000</v>
      </c>
      <c r="T3512" s="304">
        <f t="shared" si="167"/>
        <v>40000</v>
      </c>
      <c r="U3512" s="52"/>
      <c r="V3512" s="34"/>
      <c r="W3512" s="408"/>
    </row>
    <row r="3513" spans="1:23" ht="12.75" customHeight="1" x14ac:dyDescent="0.2">
      <c r="A3513" s="257">
        <v>3523</v>
      </c>
      <c r="B3513" s="44">
        <v>44638</v>
      </c>
      <c r="C3513" s="44">
        <f t="shared" si="165"/>
        <v>44638</v>
      </c>
      <c r="D3513" s="374">
        <v>211</v>
      </c>
      <c r="E3513" s="291" t="str">
        <f>IFERROR(VLOOKUP($D3513,'Clients-Live'!$A:$C,3,0),"")</f>
        <v>WILARU JOYCE</v>
      </c>
      <c r="F3513" s="291">
        <f>IFERROR(INDEX(Disbursements!$D:$D,MATCH('Live Collections'!G3513,Disbursements!$C:$C,0)),"")</f>
        <v>2</v>
      </c>
      <c r="G3513" s="34">
        <v>403</v>
      </c>
      <c r="H3513" s="34">
        <v>5157</v>
      </c>
      <c r="I3513" s="34" t="s">
        <v>1358</v>
      </c>
      <c r="J3513" s="48"/>
      <c r="K3513" s="48"/>
      <c r="L3513" s="48"/>
      <c r="M3513" s="48"/>
      <c r="N3513" s="59"/>
      <c r="O3513" s="59">
        <v>90000</v>
      </c>
      <c r="P3513" s="59"/>
      <c r="Q3513" s="268">
        <f t="shared" si="166"/>
        <v>90000</v>
      </c>
      <c r="R3513" s="61">
        <f>IF(O3513=0,0,SUMIFS(Disbursements!$T:$T,Disbursements!$B:$B,'Live Collections'!D3513,Disbursements!$D:$D,'Live Collections'!F3513))</f>
        <v>87000</v>
      </c>
      <c r="S3513" s="304">
        <f>IF(O3513&lt;=IF($O3513=0,0,SUMIFS(Disbursements!$W:$W,Disbursements!$B:$B,'Live Collections'!D3513,Disbursements!$D:$D,'Live Collections'!F3513)),O3513,IF($O3513=0,0,SUMIFS(Disbursements!$W:$W,Disbursements!$B:$B,'Live Collections'!D3513,Disbursements!$D:$D,'Live Collections'!F3513)))</f>
        <v>22000</v>
      </c>
      <c r="T3513" s="304">
        <f t="shared" si="167"/>
        <v>68000</v>
      </c>
      <c r="U3513" s="52"/>
      <c r="V3513" s="34"/>
      <c r="W3513" s="408"/>
    </row>
    <row r="3514" spans="1:23" ht="12.75" customHeight="1" x14ac:dyDescent="0.2">
      <c r="A3514" s="257">
        <v>3524</v>
      </c>
      <c r="B3514" s="44">
        <v>44639</v>
      </c>
      <c r="C3514" s="44">
        <f t="shared" si="165"/>
        <v>44639</v>
      </c>
      <c r="D3514" s="374">
        <v>246</v>
      </c>
      <c r="E3514" s="291" t="str">
        <f>IFERROR(VLOOKUP($D3514,'Clients-Live'!$A:$C,3,0),"")</f>
        <v>ALOMO ZAIDA</v>
      </c>
      <c r="F3514" s="291">
        <f>IFERROR(INDEX(Disbursements!$D:$D,MATCH('Live Collections'!G3514,Disbursements!$C:$C,0)),"")</f>
        <v>1</v>
      </c>
      <c r="G3514" s="34">
        <v>271</v>
      </c>
      <c r="H3514" s="34" t="s">
        <v>2235</v>
      </c>
      <c r="I3514" s="34" t="s">
        <v>1357</v>
      </c>
      <c r="J3514" s="48"/>
      <c r="K3514" s="48"/>
      <c r="L3514" s="48"/>
      <c r="M3514" s="48"/>
      <c r="N3514" s="59"/>
      <c r="O3514" s="59">
        <v>40000</v>
      </c>
      <c r="P3514" s="59">
        <v>-40000</v>
      </c>
      <c r="Q3514" s="268">
        <f t="shared" si="166"/>
        <v>0</v>
      </c>
      <c r="R3514" s="61">
        <f>IF(O3514=0,0,SUMIFS(Disbursements!$T:$T,Disbursements!$B:$B,'Live Collections'!D3514,Disbursements!$D:$D,'Live Collections'!F3514))</f>
        <v>120000</v>
      </c>
      <c r="S3514" s="304"/>
      <c r="T3514" s="304">
        <f t="shared" si="167"/>
        <v>40000</v>
      </c>
      <c r="U3514" s="52"/>
      <c r="V3514" s="34"/>
      <c r="W3514" s="408"/>
    </row>
    <row r="3515" spans="1:23" ht="12.75" customHeight="1" x14ac:dyDescent="0.2">
      <c r="A3515" s="257">
        <v>3525</v>
      </c>
      <c r="B3515" s="44">
        <v>44639</v>
      </c>
      <c r="C3515" s="44">
        <f t="shared" si="165"/>
        <v>44639</v>
      </c>
      <c r="D3515" s="374">
        <v>246</v>
      </c>
      <c r="E3515" s="291" t="str">
        <f>IFERROR(VLOOKUP($D3515,'Clients-Live'!$A:$C,3,0),"")</f>
        <v>ALOMO ZAIDA</v>
      </c>
      <c r="F3515" s="291">
        <f>IFERROR(INDEX(Disbursements!$D:$D,MATCH('Live Collections'!G3515,Disbursements!$C:$C,0)),"")</f>
        <v>1</v>
      </c>
      <c r="G3515" s="34">
        <v>271</v>
      </c>
      <c r="H3515" s="34">
        <v>5161</v>
      </c>
      <c r="I3515" s="34" t="s">
        <v>1357</v>
      </c>
      <c r="J3515" s="48"/>
      <c r="K3515" s="48"/>
      <c r="L3515" s="48"/>
      <c r="M3515" s="48"/>
      <c r="N3515" s="59"/>
      <c r="O3515" s="59">
        <v>40000</v>
      </c>
      <c r="P3515" s="59"/>
      <c r="Q3515" s="268">
        <f t="shared" si="166"/>
        <v>40000</v>
      </c>
      <c r="R3515" s="61">
        <f>IF(O3515=0,0,SUMIFS(Disbursements!$T:$T,Disbursements!$B:$B,'Live Collections'!D3515,Disbursements!$D:$D,'Live Collections'!F3515))</f>
        <v>120000</v>
      </c>
      <c r="S3515" s="304"/>
      <c r="T3515" s="304">
        <f t="shared" si="167"/>
        <v>40000</v>
      </c>
      <c r="U3515" s="52"/>
      <c r="V3515" s="34"/>
      <c r="W3515" s="408"/>
    </row>
    <row r="3516" spans="1:23" ht="12.75" customHeight="1" x14ac:dyDescent="0.2">
      <c r="A3516" s="257">
        <v>3526</v>
      </c>
      <c r="B3516" s="44">
        <v>44639</v>
      </c>
      <c r="C3516" s="44">
        <f t="shared" si="165"/>
        <v>44639</v>
      </c>
      <c r="D3516" s="374">
        <v>340</v>
      </c>
      <c r="E3516" s="291" t="str">
        <f>IFERROR(VLOOKUP($D3516,'Clients-Live'!$A:$C,3,0),"")</f>
        <v>NIGHT RAIMA</v>
      </c>
      <c r="F3516" s="291" t="str">
        <f>IFERROR(INDEX(Disbursements!$D:$D,MATCH('Live Collections'!G3516,Disbursements!$C:$C,0)),"")</f>
        <v/>
      </c>
      <c r="G3516" s="34"/>
      <c r="H3516" s="34">
        <v>5352</v>
      </c>
      <c r="I3516" s="34" t="s">
        <v>1760</v>
      </c>
      <c r="J3516" s="48"/>
      <c r="K3516" s="48"/>
      <c r="L3516" s="48">
        <v>20000</v>
      </c>
      <c r="M3516" s="48">
        <v>5000</v>
      </c>
      <c r="N3516" s="59"/>
      <c r="O3516" s="59"/>
      <c r="P3516" s="59"/>
      <c r="Q3516" s="268">
        <f t="shared" si="166"/>
        <v>25000</v>
      </c>
      <c r="R3516" s="61">
        <f>IF(O3516=0,0,SUMIFS(Disbursements!$T:$T,Disbursements!$B:$B,'Live Collections'!D3516,Disbursements!$D:$D,'Live Collections'!F3516))</f>
        <v>0</v>
      </c>
      <c r="S3516" s="304">
        <f>IF(O3516&lt;=IF($O3516=0,0,SUMIFS(Disbursements!$W:$W,Disbursements!$B:$B,'Live Collections'!D3516,Disbursements!$D:$D,'Live Collections'!F3516)),O3516,IF($O3516=0,0,SUMIFS(Disbursements!$W:$W,Disbursements!$B:$B,'Live Collections'!D3516,Disbursements!$D:$D,'Live Collections'!F3516)))</f>
        <v>0</v>
      </c>
      <c r="T3516" s="304">
        <f t="shared" si="167"/>
        <v>0</v>
      </c>
      <c r="U3516" s="52"/>
      <c r="V3516" s="34"/>
      <c r="W3516" s="408"/>
    </row>
    <row r="3517" spans="1:23" ht="12.75" customHeight="1" x14ac:dyDescent="0.2">
      <c r="A3517" s="257">
        <v>3527</v>
      </c>
      <c r="B3517" s="44">
        <v>44639</v>
      </c>
      <c r="C3517" s="44">
        <f t="shared" si="165"/>
        <v>44639</v>
      </c>
      <c r="D3517" s="374">
        <v>340</v>
      </c>
      <c r="E3517" s="291" t="str">
        <f>IFERROR(VLOOKUP($D3517,'Clients-Live'!$A:$C,3,0),"")</f>
        <v>NIGHT RAIMA</v>
      </c>
      <c r="F3517" s="291" t="str">
        <f>IFERROR(INDEX(Disbursements!$D:$D,MATCH('Live Collections'!G3517,Disbursements!$C:$C,0)),"")</f>
        <v/>
      </c>
      <c r="G3517" s="34"/>
      <c r="H3517" s="34">
        <v>5353</v>
      </c>
      <c r="I3517" s="34" t="s">
        <v>1357</v>
      </c>
      <c r="J3517" s="48">
        <v>15000</v>
      </c>
      <c r="K3517" s="48">
        <v>5000</v>
      </c>
      <c r="L3517" s="48"/>
      <c r="M3517" s="48"/>
      <c r="N3517" s="59"/>
      <c r="O3517" s="59"/>
      <c r="P3517" s="59"/>
      <c r="Q3517" s="268">
        <f t="shared" si="166"/>
        <v>20000</v>
      </c>
      <c r="R3517" s="61">
        <f>IF(O3517=0,0,SUMIFS(Disbursements!$T:$T,Disbursements!$B:$B,'Live Collections'!D3517,Disbursements!$D:$D,'Live Collections'!F3517))</f>
        <v>0</v>
      </c>
      <c r="S3517" s="304">
        <f>IF(O3517&lt;=IF($O3517=0,0,SUMIFS(Disbursements!$W:$W,Disbursements!$B:$B,'Live Collections'!D3517,Disbursements!$D:$D,'Live Collections'!F3517)),O3517,IF($O3517=0,0,SUMIFS(Disbursements!$W:$W,Disbursements!$B:$B,'Live Collections'!D3517,Disbursements!$D:$D,'Live Collections'!F3517)))</f>
        <v>0</v>
      </c>
      <c r="T3517" s="304">
        <f t="shared" si="167"/>
        <v>0</v>
      </c>
      <c r="U3517" s="52"/>
      <c r="V3517" s="34"/>
      <c r="W3517" s="408"/>
    </row>
    <row r="3518" spans="1:23" ht="12.75" customHeight="1" x14ac:dyDescent="0.2">
      <c r="A3518" s="257">
        <v>3528</v>
      </c>
      <c r="B3518" s="44">
        <v>44639</v>
      </c>
      <c r="C3518" s="44">
        <f t="shared" si="165"/>
        <v>44639</v>
      </c>
      <c r="D3518" s="374">
        <v>99</v>
      </c>
      <c r="E3518" s="291" t="str">
        <f>IFERROR(VLOOKUP($D3518,'Clients-Live'!$A:$C,3,0),"")</f>
        <v>SIJALI ASINA SIS</v>
      </c>
      <c r="F3518" s="291">
        <f>IFERROR(INDEX(Disbursements!$D:$D,MATCH('Live Collections'!G3518,Disbursements!$C:$C,0)),"")</f>
        <v>2</v>
      </c>
      <c r="G3518" s="34">
        <v>278</v>
      </c>
      <c r="H3518" s="34">
        <v>5160</v>
      </c>
      <c r="I3518" s="34" t="s">
        <v>1358</v>
      </c>
      <c r="J3518" s="48"/>
      <c r="K3518" s="48"/>
      <c r="L3518" s="48"/>
      <c r="M3518" s="48"/>
      <c r="N3518" s="59"/>
      <c r="O3518" s="59">
        <v>173400</v>
      </c>
      <c r="P3518" s="59"/>
      <c r="Q3518" s="268">
        <f t="shared" si="166"/>
        <v>173400</v>
      </c>
      <c r="R3518" s="61">
        <f>IF(O3518=0,0,SUMIFS(Disbursements!$T:$T,Disbursements!$B:$B,'Live Collections'!D3518,Disbursements!$D:$D,'Live Collections'!F3518))</f>
        <v>174000</v>
      </c>
      <c r="S3518" s="304">
        <f>IF(O3518&lt;=IF($O3518=0,0,SUMIFS(Disbursements!$W:$W,Disbursements!$B:$B,'Live Collections'!D3518,Disbursements!$D:$D,'Live Collections'!F3518)),O3518,IF($O3518=0,0,SUMIFS(Disbursements!$W:$W,Disbursements!$B:$B,'Live Collections'!D3518,Disbursements!$D:$D,'Live Collections'!F3518)))</f>
        <v>40666.666666666657</v>
      </c>
      <c r="T3518" s="304">
        <f t="shared" si="167"/>
        <v>132733.33333333334</v>
      </c>
      <c r="U3518" s="52"/>
      <c r="V3518" s="34"/>
      <c r="W3518" s="408"/>
    </row>
    <row r="3519" spans="1:23" ht="12.75" customHeight="1" x14ac:dyDescent="0.2">
      <c r="A3519" s="257">
        <v>3529</v>
      </c>
      <c r="B3519" s="44">
        <v>44639</v>
      </c>
      <c r="C3519" s="44">
        <f t="shared" ref="C3519:C3582" si="168">B3519</f>
        <v>44639</v>
      </c>
      <c r="D3519" s="374">
        <v>51</v>
      </c>
      <c r="E3519" s="291" t="str">
        <f>IFERROR(VLOOKUP($D3519,'Clients-Live'!$A:$C,3,0),"")</f>
        <v>AYILE STEPHEN</v>
      </c>
      <c r="F3519" s="291">
        <f>IFERROR(INDEX(Disbursements!$D:$D,MATCH('Live Collections'!G3519,Disbursements!$C:$C,0)),"")</f>
        <v>2</v>
      </c>
      <c r="G3519" s="34">
        <v>473</v>
      </c>
      <c r="H3519" s="34">
        <v>5508</v>
      </c>
      <c r="I3519" s="34" t="s">
        <v>1359</v>
      </c>
      <c r="J3519" s="48"/>
      <c r="K3519" s="48"/>
      <c r="L3519" s="48"/>
      <c r="M3519" s="48"/>
      <c r="N3519" s="59"/>
      <c r="O3519" s="59"/>
      <c r="P3519" s="59">
        <v>60000</v>
      </c>
      <c r="Q3519" s="268">
        <f t="shared" si="166"/>
        <v>60000</v>
      </c>
      <c r="R3519" s="61">
        <f>IF(O3519=0,0,SUMIFS(Disbursements!$T:$T,Disbursements!$B:$B,'Live Collections'!D3519,Disbursements!$D:$D,'Live Collections'!F3519))</f>
        <v>0</v>
      </c>
      <c r="S3519" s="304">
        <f>IF(O3519&lt;=IF($O3519=0,0,SUMIFS(Disbursements!$W:$W,Disbursements!$B:$B,'Live Collections'!D3519,Disbursements!$D:$D,'Live Collections'!F3519)),O3519,IF($O3519=0,0,SUMIFS(Disbursements!$W:$W,Disbursements!$B:$B,'Live Collections'!D3519,Disbursements!$D:$D,'Live Collections'!F3519)))</f>
        <v>0</v>
      </c>
      <c r="T3519" s="304">
        <f t="shared" si="167"/>
        <v>0</v>
      </c>
      <c r="U3519" s="52"/>
      <c r="V3519" s="34"/>
      <c r="W3519" s="408"/>
    </row>
    <row r="3520" spans="1:23" ht="12.75" customHeight="1" x14ac:dyDescent="0.2">
      <c r="A3520" s="257">
        <v>3530</v>
      </c>
      <c r="B3520" s="44">
        <v>44639</v>
      </c>
      <c r="C3520" s="44">
        <f t="shared" si="168"/>
        <v>44639</v>
      </c>
      <c r="D3520" s="374">
        <v>105</v>
      </c>
      <c r="E3520" s="291" t="str">
        <f>IFERROR(VLOOKUP($D3520,'Clients-Live'!$A:$C,3,0),"")</f>
        <v>NUKA ROSE</v>
      </c>
      <c r="F3520" s="291">
        <f>IFERROR(INDEX(Disbursements!$D:$D,MATCH('Live Collections'!G3520,Disbursements!$C:$C,0)),"")</f>
        <v>2</v>
      </c>
      <c r="G3520" s="34">
        <v>259</v>
      </c>
      <c r="H3520" s="34">
        <v>5512</v>
      </c>
      <c r="I3520" s="34" t="s">
        <v>1359</v>
      </c>
      <c r="J3520" s="48"/>
      <c r="K3520" s="48"/>
      <c r="L3520" s="48"/>
      <c r="M3520" s="48"/>
      <c r="N3520" s="59"/>
      <c r="O3520" s="59">
        <v>101000</v>
      </c>
      <c r="P3520" s="59"/>
      <c r="Q3520" s="268">
        <f t="shared" si="166"/>
        <v>101000</v>
      </c>
      <c r="R3520" s="61">
        <f>IF(O3520=0,0,SUMIFS(Disbursements!$T:$T,Disbursements!$B:$B,'Live Collections'!D3520,Disbursements!$D:$D,'Live Collections'!F3520))</f>
        <v>100000</v>
      </c>
      <c r="S3520" s="304"/>
      <c r="T3520" s="304">
        <f t="shared" si="167"/>
        <v>101000</v>
      </c>
      <c r="U3520" s="52"/>
      <c r="V3520" s="34"/>
      <c r="W3520" s="408"/>
    </row>
    <row r="3521" spans="1:23" ht="12.75" customHeight="1" x14ac:dyDescent="0.2">
      <c r="A3521" s="257">
        <v>3531</v>
      </c>
      <c r="B3521" s="44">
        <v>44639</v>
      </c>
      <c r="C3521" s="44">
        <f t="shared" si="168"/>
        <v>44639</v>
      </c>
      <c r="D3521" s="374">
        <v>333</v>
      </c>
      <c r="E3521" s="291" t="str">
        <f>IFERROR(VLOOKUP($D3521,'Clients-Live'!$A:$C,3,0),"")</f>
        <v>OSORU HELLEN</v>
      </c>
      <c r="F3521" s="291">
        <f>IFERROR(INDEX(Disbursements!$D:$D,MATCH('Live Collections'!G3521,Disbursements!$C:$C,0)),"")</f>
        <v>1</v>
      </c>
      <c r="G3521" s="34">
        <v>472</v>
      </c>
      <c r="H3521" s="34">
        <v>5510</v>
      </c>
      <c r="I3521" s="34" t="s">
        <v>1358</v>
      </c>
      <c r="J3521" s="48"/>
      <c r="K3521" s="48"/>
      <c r="L3521" s="48"/>
      <c r="M3521" s="48"/>
      <c r="N3521" s="59"/>
      <c r="O3521" s="59"/>
      <c r="P3521" s="59">
        <v>50000</v>
      </c>
      <c r="Q3521" s="268">
        <f t="shared" si="166"/>
        <v>50000</v>
      </c>
      <c r="R3521" s="61">
        <f>IF(O3521=0,0,SUMIFS(Disbursements!$T:$T,Disbursements!$B:$B,'Live Collections'!D3521,Disbursements!$D:$D,'Live Collections'!F3521))</f>
        <v>0</v>
      </c>
      <c r="S3521" s="304">
        <f>IF(O3521&lt;=IF($O3521=0,0,SUMIFS(Disbursements!$W:$W,Disbursements!$B:$B,'Live Collections'!D3521,Disbursements!$D:$D,'Live Collections'!F3521)),O3521,IF($O3521=0,0,SUMIFS(Disbursements!$W:$W,Disbursements!$B:$B,'Live Collections'!D3521,Disbursements!$D:$D,'Live Collections'!F3521)))</f>
        <v>0</v>
      </c>
      <c r="T3521" s="304">
        <f t="shared" si="167"/>
        <v>0</v>
      </c>
      <c r="U3521" s="52"/>
      <c r="V3521" s="34"/>
      <c r="W3521" s="408"/>
    </row>
    <row r="3522" spans="1:23" ht="12.75" customHeight="1" x14ac:dyDescent="0.2">
      <c r="A3522" s="257">
        <v>3532</v>
      </c>
      <c r="B3522" s="44">
        <v>44639</v>
      </c>
      <c r="C3522" s="44">
        <f t="shared" si="168"/>
        <v>44639</v>
      </c>
      <c r="D3522" s="374">
        <v>139</v>
      </c>
      <c r="E3522" s="291" t="str">
        <f>IFERROR(VLOOKUP($D3522,'Clients-Live'!$A:$C,3,0),"")</f>
        <v xml:space="preserve">DRICHIRU MAIMUNA </v>
      </c>
      <c r="F3522" s="291">
        <f>IFERROR(INDEX(Disbursements!$D:$D,MATCH('Live Collections'!G3522,Disbursements!$C:$C,0)),"")</f>
        <v>2</v>
      </c>
      <c r="G3522" s="34">
        <v>451</v>
      </c>
      <c r="H3522" s="34">
        <v>5507</v>
      </c>
      <c r="I3522" s="34" t="s">
        <v>1359</v>
      </c>
      <c r="J3522" s="48"/>
      <c r="K3522" s="48"/>
      <c r="L3522" s="48"/>
      <c r="M3522" s="48"/>
      <c r="N3522" s="59"/>
      <c r="O3522" s="59">
        <v>30000</v>
      </c>
      <c r="P3522" s="59"/>
      <c r="Q3522" s="268">
        <f t="shared" si="166"/>
        <v>30000</v>
      </c>
      <c r="R3522" s="61">
        <f>IF(O3522=0,0,SUMIFS(Disbursements!$T:$T,Disbursements!$B:$B,'Live Collections'!D3522,Disbursements!$D:$D,'Live Collections'!F3522))</f>
        <v>30000</v>
      </c>
      <c r="S3522" s="304">
        <f>IF(O3522&lt;=IF($O3522=0,0,SUMIFS(Disbursements!$W:$W,Disbursements!$B:$B,'Live Collections'!D3522,Disbursements!$D:$D,'Live Collections'!F3522)),O3522,IF($O3522=0,0,SUMIFS(Disbursements!$W:$W,Disbursements!$B:$B,'Live Collections'!D3522,Disbursements!$D:$D,'Live Collections'!F3522)))</f>
        <v>5000</v>
      </c>
      <c r="T3522" s="304">
        <f t="shared" si="167"/>
        <v>25000</v>
      </c>
      <c r="U3522" s="52"/>
      <c r="V3522" s="34"/>
      <c r="W3522" s="408"/>
    </row>
    <row r="3523" spans="1:23" ht="12.75" customHeight="1" x14ac:dyDescent="0.2">
      <c r="A3523" s="257">
        <v>3533</v>
      </c>
      <c r="B3523" s="44">
        <v>44639</v>
      </c>
      <c r="C3523" s="44">
        <f t="shared" si="168"/>
        <v>44639</v>
      </c>
      <c r="D3523" s="374">
        <v>77</v>
      </c>
      <c r="E3523" s="291" t="str">
        <f>IFERROR(VLOOKUP($D3523,'Clients-Live'!$A:$C,3,0),"")</f>
        <v>CACA FATUMA</v>
      </c>
      <c r="F3523" s="291">
        <f>IFERROR(INDEX(Disbursements!$D:$D,MATCH('Live Collections'!G3523,Disbursements!$C:$C,0)),"")</f>
        <v>2</v>
      </c>
      <c r="G3523" s="34">
        <v>315</v>
      </c>
      <c r="H3523" s="34">
        <v>5506</v>
      </c>
      <c r="I3523" s="34" t="s">
        <v>1357</v>
      </c>
      <c r="J3523" s="48"/>
      <c r="K3523" s="48"/>
      <c r="L3523" s="48"/>
      <c r="M3523" s="48"/>
      <c r="N3523" s="59"/>
      <c r="O3523" s="59">
        <v>75000</v>
      </c>
      <c r="P3523" s="59"/>
      <c r="Q3523" s="268">
        <f t="shared" si="166"/>
        <v>75000</v>
      </c>
      <c r="R3523" s="61">
        <f>IF(O3523=0,0,SUMIFS(Disbursements!$T:$T,Disbursements!$B:$B,'Live Collections'!D3523,Disbursements!$D:$D,'Live Collections'!F3523))</f>
        <v>325000</v>
      </c>
      <c r="S3523" s="304">
        <f>IF(O3523&lt;=IF($O3523=0,0,SUMIFS(Disbursements!$W:$W,Disbursements!$B:$B,'Live Collections'!D3523,Disbursements!$D:$D,'Live Collections'!F3523)),O3523,IF($O3523=0,0,SUMIFS(Disbursements!$W:$W,Disbursements!$B:$B,'Live Collections'!D3523,Disbursements!$D:$D,'Live Collections'!F3523)))</f>
        <v>75000</v>
      </c>
      <c r="T3523" s="304">
        <f t="shared" si="167"/>
        <v>0</v>
      </c>
      <c r="U3523" s="52"/>
      <c r="V3523" s="34"/>
      <c r="W3523" s="408"/>
    </row>
    <row r="3524" spans="1:23" ht="12.75" customHeight="1" x14ac:dyDescent="0.2">
      <c r="A3524" s="257">
        <v>3534</v>
      </c>
      <c r="B3524" s="44">
        <v>44639</v>
      </c>
      <c r="C3524" s="44">
        <f t="shared" si="168"/>
        <v>44639</v>
      </c>
      <c r="D3524" s="374">
        <v>71</v>
      </c>
      <c r="E3524" s="291" t="str">
        <f>IFERROR(VLOOKUP($D3524,'Clients-Live'!$A:$C,3,0),"")</f>
        <v>AYIKORU HARIET BAUDI</v>
      </c>
      <c r="F3524" s="291">
        <f>IFERROR(INDEX(Disbursements!$D:$D,MATCH('Live Collections'!G3524,Disbursements!$C:$C,0)),"")</f>
        <v>3</v>
      </c>
      <c r="G3524" s="34">
        <v>437</v>
      </c>
      <c r="H3524" s="34">
        <v>5162</v>
      </c>
      <c r="I3524" s="34" t="s">
        <v>1359</v>
      </c>
      <c r="J3524" s="48"/>
      <c r="K3524" s="48"/>
      <c r="L3524" s="48"/>
      <c r="M3524" s="48"/>
      <c r="N3524" s="59"/>
      <c r="O3524" s="59">
        <v>3860000</v>
      </c>
      <c r="P3524" s="59"/>
      <c r="Q3524" s="268">
        <f t="shared" si="166"/>
        <v>3860000</v>
      </c>
      <c r="R3524" s="61">
        <f>IF(O3524=0,0,SUMIFS(Disbursements!$T:$T,Disbursements!$B:$B,'Live Collections'!D3524,Disbursements!$D:$D,'Live Collections'!F3524))</f>
        <v>4260000</v>
      </c>
      <c r="S3524" s="304">
        <f>IF(O3524&lt;=IF($O3524=0,0,SUMIFS(Disbursements!$W:$W,Disbursements!$B:$B,'Live Collections'!D3524,Disbursements!$D:$D,'Live Collections'!F3524)),O3524,IF($O3524=0,0,SUMIFS(Disbursements!$W:$W,Disbursements!$B:$B,'Live Collections'!D3524,Disbursements!$D:$D,'Live Collections'!F3524)))</f>
        <v>260000</v>
      </c>
      <c r="T3524" s="304">
        <f t="shared" si="167"/>
        <v>3600000</v>
      </c>
      <c r="U3524" s="52"/>
      <c r="V3524" s="34"/>
      <c r="W3524" s="408"/>
    </row>
    <row r="3525" spans="1:23" ht="12.75" customHeight="1" x14ac:dyDescent="0.2">
      <c r="A3525" s="257">
        <v>3535</v>
      </c>
      <c r="B3525" s="44">
        <v>44639</v>
      </c>
      <c r="C3525" s="44">
        <f t="shared" si="168"/>
        <v>44639</v>
      </c>
      <c r="D3525" s="374">
        <v>341</v>
      </c>
      <c r="E3525" s="291" t="str">
        <f>IFERROR(VLOOKUP($D3525,'Clients-Live'!$A:$C,3,0),"")</f>
        <v>ALERU CLARE OKUNIA</v>
      </c>
      <c r="F3525" s="291" t="str">
        <f>IFERROR(INDEX(Disbursements!$D:$D,MATCH('Live Collections'!G3525,Disbursements!$C:$C,0)),"")</f>
        <v/>
      </c>
      <c r="G3525" s="34"/>
      <c r="H3525" s="34">
        <v>5355</v>
      </c>
      <c r="I3525" s="34" t="s">
        <v>1359</v>
      </c>
      <c r="J3525" s="48"/>
      <c r="K3525" s="48"/>
      <c r="L3525" s="48">
        <v>20000</v>
      </c>
      <c r="M3525" s="48">
        <v>5000</v>
      </c>
      <c r="N3525" s="59"/>
      <c r="O3525" s="59"/>
      <c r="P3525" s="59"/>
      <c r="Q3525" s="268">
        <f t="shared" si="166"/>
        <v>25000</v>
      </c>
      <c r="R3525" s="61">
        <f>IF(O3525=0,0,SUMIFS(Disbursements!$T:$T,Disbursements!$B:$B,'Live Collections'!D3525,Disbursements!$D:$D,'Live Collections'!F3525))</f>
        <v>0</v>
      </c>
      <c r="S3525" s="304">
        <f>IF(O3525&lt;=IF($O3525=0,0,SUMIFS(Disbursements!$W:$W,Disbursements!$B:$B,'Live Collections'!D3525,Disbursements!$D:$D,'Live Collections'!F3525)),O3525,IF($O3525=0,0,SUMIFS(Disbursements!$W:$W,Disbursements!$B:$B,'Live Collections'!D3525,Disbursements!$D:$D,'Live Collections'!F3525)))</f>
        <v>0</v>
      </c>
      <c r="T3525" s="304">
        <f t="shared" si="167"/>
        <v>0</v>
      </c>
      <c r="U3525" s="52"/>
      <c r="V3525" s="34"/>
      <c r="W3525" s="408"/>
    </row>
    <row r="3526" spans="1:23" ht="12.75" customHeight="1" x14ac:dyDescent="0.2">
      <c r="A3526" s="257">
        <v>3536</v>
      </c>
      <c r="B3526" s="44">
        <v>44639</v>
      </c>
      <c r="C3526" s="44">
        <f t="shared" si="168"/>
        <v>44639</v>
      </c>
      <c r="D3526" s="374">
        <v>341</v>
      </c>
      <c r="E3526" s="291" t="str">
        <f>IFERROR(VLOOKUP($D3526,'Clients-Live'!$A:$C,3,0),"")</f>
        <v>ALERU CLARE OKUNIA</v>
      </c>
      <c r="F3526" s="291" t="str">
        <f>IFERROR(INDEX(Disbursements!$D:$D,MATCH('Live Collections'!G3526,Disbursements!$C:$C,0)),"")</f>
        <v/>
      </c>
      <c r="G3526" s="34"/>
      <c r="H3526" s="34">
        <v>5355</v>
      </c>
      <c r="I3526" s="34" t="s">
        <v>1359</v>
      </c>
      <c r="J3526" s="48">
        <v>15000</v>
      </c>
      <c r="K3526" s="48">
        <v>5000</v>
      </c>
      <c r="L3526" s="48"/>
      <c r="M3526" s="48"/>
      <c r="N3526" s="59"/>
      <c r="O3526" s="59"/>
      <c r="P3526" s="59"/>
      <c r="Q3526" s="268">
        <f t="shared" si="166"/>
        <v>20000</v>
      </c>
      <c r="R3526" s="61">
        <f>IF(O3526=0,0,SUMIFS(Disbursements!$T:$T,Disbursements!$B:$B,'Live Collections'!D3526,Disbursements!$D:$D,'Live Collections'!F3526))</f>
        <v>0</v>
      </c>
      <c r="S3526" s="304">
        <f>IF(O3526&lt;=IF($O3526=0,0,SUMIFS(Disbursements!$W:$W,Disbursements!$B:$B,'Live Collections'!D3526,Disbursements!$D:$D,'Live Collections'!F3526)),O3526,IF($O3526=0,0,SUMIFS(Disbursements!$W:$W,Disbursements!$B:$B,'Live Collections'!D3526,Disbursements!$D:$D,'Live Collections'!F3526)))</f>
        <v>0</v>
      </c>
      <c r="T3526" s="304">
        <f t="shared" si="167"/>
        <v>0</v>
      </c>
      <c r="U3526" s="52"/>
      <c r="V3526" s="34"/>
      <c r="W3526" s="408"/>
    </row>
    <row r="3527" spans="1:23" ht="12.75" customHeight="1" x14ac:dyDescent="0.2">
      <c r="A3527" s="257">
        <v>3537</v>
      </c>
      <c r="B3527" s="44">
        <v>44639</v>
      </c>
      <c r="C3527" s="44">
        <f t="shared" si="168"/>
        <v>44639</v>
      </c>
      <c r="D3527" s="374">
        <v>31</v>
      </c>
      <c r="E3527" s="291" t="str">
        <f>IFERROR(VLOOKUP($D3527,'Clients-Live'!$A:$C,3,0),"")</f>
        <v>MUNDURU HARRIET</v>
      </c>
      <c r="F3527" s="291" t="str">
        <f>IFERROR(INDEX(Disbursements!$D:$D,MATCH('Live Collections'!G3527,Disbursements!$C:$C,0)),"")</f>
        <v/>
      </c>
      <c r="G3527" s="34"/>
      <c r="H3527" s="34">
        <v>5404</v>
      </c>
      <c r="I3527" s="34" t="s">
        <v>1359</v>
      </c>
      <c r="J3527" s="48"/>
      <c r="K3527" s="48"/>
      <c r="L3527" s="48"/>
      <c r="M3527" s="48"/>
      <c r="N3527" s="59"/>
      <c r="O3527" s="59"/>
      <c r="P3527" s="59">
        <v>35000</v>
      </c>
      <c r="Q3527" s="268">
        <f t="shared" si="166"/>
        <v>35000</v>
      </c>
      <c r="R3527" s="61">
        <f>IF(O3527=0,0,SUMIFS(Disbursements!$T:$T,Disbursements!$B:$B,'Live Collections'!D3527,Disbursements!$D:$D,'Live Collections'!F3527))</f>
        <v>0</v>
      </c>
      <c r="S3527" s="304">
        <f>IF(O3527&lt;=IF($O3527=0,0,SUMIFS(Disbursements!$W:$W,Disbursements!$B:$B,'Live Collections'!D3527,Disbursements!$D:$D,'Live Collections'!F3527)),O3527,IF($O3527=0,0,SUMIFS(Disbursements!$W:$W,Disbursements!$B:$B,'Live Collections'!D3527,Disbursements!$D:$D,'Live Collections'!F3527)))</f>
        <v>0</v>
      </c>
      <c r="T3527" s="304">
        <f t="shared" si="167"/>
        <v>0</v>
      </c>
      <c r="U3527" s="52"/>
      <c r="V3527" s="34"/>
      <c r="W3527" s="408"/>
    </row>
    <row r="3528" spans="1:23" ht="12.75" customHeight="1" x14ac:dyDescent="0.2">
      <c r="A3528" s="257">
        <v>3538</v>
      </c>
      <c r="B3528" s="44">
        <v>44639</v>
      </c>
      <c r="C3528" s="44">
        <f t="shared" si="168"/>
        <v>44639</v>
      </c>
      <c r="D3528" s="374">
        <v>252</v>
      </c>
      <c r="E3528" s="291" t="str">
        <f>IFERROR(VLOOKUP($D3528,'Clients-Live'!$A:$C,3,0),"")</f>
        <v>ANGUCIA JESCA</v>
      </c>
      <c r="F3528" s="291">
        <f>IFERROR(INDEX(Disbursements!$D:$D,MATCH('Live Collections'!G3528,Disbursements!$C:$C,0)),"")</f>
        <v>1</v>
      </c>
      <c r="G3528" s="34">
        <v>286</v>
      </c>
      <c r="H3528" s="34">
        <v>5514</v>
      </c>
      <c r="I3528" s="34" t="s">
        <v>1359</v>
      </c>
      <c r="J3528" s="48"/>
      <c r="K3528" s="48"/>
      <c r="L3528" s="48"/>
      <c r="M3528" s="48"/>
      <c r="N3528" s="59"/>
      <c r="O3528" s="59">
        <v>100000</v>
      </c>
      <c r="P3528" s="59"/>
      <c r="Q3528" s="268">
        <f t="shared" si="166"/>
        <v>100000</v>
      </c>
      <c r="R3528" s="61">
        <f>IF(O3528=0,0,SUMIFS(Disbursements!$T:$T,Disbursements!$B:$B,'Live Collections'!D3528,Disbursements!$D:$D,'Live Collections'!F3528))</f>
        <v>120000</v>
      </c>
      <c r="S3528" s="304"/>
      <c r="T3528" s="304">
        <f t="shared" si="167"/>
        <v>100000</v>
      </c>
      <c r="U3528" s="52"/>
      <c r="V3528" s="34"/>
      <c r="W3528" s="408"/>
    </row>
    <row r="3529" spans="1:23" ht="12.75" customHeight="1" x14ac:dyDescent="0.2">
      <c r="A3529" s="257">
        <v>3539</v>
      </c>
      <c r="B3529" s="44">
        <v>44639</v>
      </c>
      <c r="C3529" s="44">
        <f t="shared" si="168"/>
        <v>44639</v>
      </c>
      <c r="D3529" s="374">
        <v>112</v>
      </c>
      <c r="E3529" s="291" t="str">
        <f>IFERROR(VLOOKUP($D3529,'Clients-Live'!$A:$C,3,0),"")</f>
        <v>NURA JOYCE</v>
      </c>
      <c r="F3529" s="291">
        <f>IFERROR(INDEX(Disbursements!$D:$D,MATCH('Live Collections'!G3529,Disbursements!$C:$C,0)),"")</f>
        <v>2</v>
      </c>
      <c r="G3529" s="34">
        <v>337</v>
      </c>
      <c r="H3529" s="34">
        <v>5518</v>
      </c>
      <c r="I3529" s="34" t="s">
        <v>1359</v>
      </c>
      <c r="J3529" s="48"/>
      <c r="K3529" s="48"/>
      <c r="L3529" s="48"/>
      <c r="M3529" s="48"/>
      <c r="N3529" s="59"/>
      <c r="O3529" s="59">
        <v>200000</v>
      </c>
      <c r="P3529" s="59"/>
      <c r="Q3529" s="268">
        <f t="shared" si="166"/>
        <v>200000</v>
      </c>
      <c r="R3529" s="61">
        <f>IF(O3529=0,0,SUMIFS(Disbursements!$T:$T,Disbursements!$B:$B,'Live Collections'!D3529,Disbursements!$D:$D,'Live Collections'!F3529))</f>
        <v>150000</v>
      </c>
      <c r="S3529" s="304">
        <f>IF(O3529&lt;=IF($O3529=0,0,SUMIFS(Disbursements!$W:$W,Disbursements!$B:$B,'Live Collections'!D3529,Disbursements!$D:$D,'Live Collections'!F3529)),O3529,IF($O3529=0,0,SUMIFS(Disbursements!$W:$W,Disbursements!$B:$B,'Live Collections'!D3529,Disbursements!$D:$D,'Live Collections'!F3529)))</f>
        <v>30000</v>
      </c>
      <c r="T3529" s="304">
        <f t="shared" si="167"/>
        <v>170000</v>
      </c>
      <c r="U3529" s="52"/>
      <c r="V3529" s="34"/>
      <c r="W3529" s="408"/>
    </row>
    <row r="3530" spans="1:23" ht="12.75" customHeight="1" x14ac:dyDescent="0.2">
      <c r="A3530" s="257">
        <v>3540</v>
      </c>
      <c r="B3530" s="44">
        <v>44639</v>
      </c>
      <c r="C3530" s="44">
        <f t="shared" si="168"/>
        <v>44639</v>
      </c>
      <c r="D3530" s="374">
        <v>71</v>
      </c>
      <c r="E3530" s="291" t="str">
        <f>IFERROR(VLOOKUP($D3530,'Clients-Live'!$A:$C,3,0),"")</f>
        <v>AYIKORU HARIET BAUDI</v>
      </c>
      <c r="F3530" s="291">
        <f>IFERROR(INDEX(Disbursements!$D:$D,MATCH('Live Collections'!G3530,Disbursements!$C:$C,0)),"")</f>
        <v>3</v>
      </c>
      <c r="G3530" s="34">
        <v>437</v>
      </c>
      <c r="H3530" s="34" t="s">
        <v>2236</v>
      </c>
      <c r="I3530" s="34" t="s">
        <v>1359</v>
      </c>
      <c r="J3530" s="48"/>
      <c r="K3530" s="48"/>
      <c r="L3530" s="48"/>
      <c r="M3530" s="48"/>
      <c r="N3530" s="59"/>
      <c r="O3530" s="59">
        <v>400000</v>
      </c>
      <c r="P3530" s="59">
        <v>-400000</v>
      </c>
      <c r="Q3530" s="268">
        <f t="shared" si="166"/>
        <v>0</v>
      </c>
      <c r="R3530" s="61">
        <f>IF(O3530=0,0,SUMIFS(Disbursements!$T:$T,Disbursements!$B:$B,'Live Collections'!D3530,Disbursements!$D:$D,'Live Collections'!F3530))</f>
        <v>4260000</v>
      </c>
      <c r="S3530" s="304"/>
      <c r="T3530" s="304">
        <f t="shared" si="167"/>
        <v>400000</v>
      </c>
      <c r="U3530" s="52"/>
      <c r="V3530" s="34"/>
      <c r="W3530" s="408"/>
    </row>
    <row r="3531" spans="1:23" ht="12.75" customHeight="1" x14ac:dyDescent="0.2">
      <c r="A3531" s="257">
        <v>3541</v>
      </c>
      <c r="B3531" s="44">
        <v>44639</v>
      </c>
      <c r="C3531" s="44">
        <f t="shared" si="168"/>
        <v>44639</v>
      </c>
      <c r="D3531" s="374">
        <v>71</v>
      </c>
      <c r="E3531" s="291" t="str">
        <f>IFERROR(VLOOKUP($D3531,'Clients-Live'!$A:$C,3,0),"")</f>
        <v>AYIKORU HARIET BAUDI</v>
      </c>
      <c r="F3531" s="291" t="str">
        <f>IFERROR(INDEX(Disbursements!$D:$D,MATCH('Live Collections'!G3531,Disbursements!$C:$C,0)),"")</f>
        <v/>
      </c>
      <c r="G3531" s="34"/>
      <c r="H3531" s="34">
        <v>5515</v>
      </c>
      <c r="I3531" s="34" t="s">
        <v>1359</v>
      </c>
      <c r="J3531" s="48"/>
      <c r="K3531" s="48"/>
      <c r="L3531" s="48">
        <v>30000</v>
      </c>
      <c r="M3531" s="48">
        <v>5000</v>
      </c>
      <c r="N3531" s="59"/>
      <c r="O3531" s="59"/>
      <c r="P3531" s="59"/>
      <c r="Q3531" s="268">
        <f t="shared" si="166"/>
        <v>35000</v>
      </c>
      <c r="R3531" s="61">
        <f>IF(O3531=0,0,SUMIFS(Disbursements!$T:$T,Disbursements!$B:$B,'Live Collections'!D3531,Disbursements!$D:$D,'Live Collections'!F3531))</f>
        <v>0</v>
      </c>
      <c r="S3531" s="304">
        <f>IF(O3531&lt;=IF($O3531=0,0,SUMIFS(Disbursements!$W:$W,Disbursements!$B:$B,'Live Collections'!D3531,Disbursements!$D:$D,'Live Collections'!F3531)),O3531,IF($O3531=0,0,SUMIFS(Disbursements!$W:$W,Disbursements!$B:$B,'Live Collections'!D3531,Disbursements!$D:$D,'Live Collections'!F3531)))</f>
        <v>0</v>
      </c>
      <c r="T3531" s="304">
        <f t="shared" si="167"/>
        <v>0</v>
      </c>
      <c r="U3531" s="52"/>
      <c r="V3531" s="34"/>
      <c r="W3531" s="408"/>
    </row>
    <row r="3532" spans="1:23" ht="12.75" customHeight="1" x14ac:dyDescent="0.2">
      <c r="A3532" s="257">
        <v>3542</v>
      </c>
      <c r="B3532" s="44">
        <v>44641</v>
      </c>
      <c r="C3532" s="44">
        <f t="shared" si="168"/>
        <v>44641</v>
      </c>
      <c r="D3532" s="374">
        <v>91</v>
      </c>
      <c r="E3532" s="291" t="str">
        <f>IFERROR(VLOOKUP($D3532,'Clients-Live'!$A:$C,3,0),"")</f>
        <v>CHANDIRU SALILA</v>
      </c>
      <c r="F3532" s="291">
        <f>IFERROR(INDEX(Disbursements!$D:$D,MATCH('Live Collections'!G3532,Disbursements!$C:$C,0)),"")</f>
        <v>2</v>
      </c>
      <c r="G3532" s="34">
        <v>327</v>
      </c>
      <c r="H3532" s="34" t="s">
        <v>2237</v>
      </c>
      <c r="I3532" s="34" t="s">
        <v>1359</v>
      </c>
      <c r="J3532" s="48"/>
      <c r="K3532" s="48"/>
      <c r="L3532" s="48"/>
      <c r="M3532" s="48"/>
      <c r="N3532" s="59"/>
      <c r="O3532" s="59">
        <v>20000</v>
      </c>
      <c r="P3532" s="59">
        <v>-20000</v>
      </c>
      <c r="Q3532" s="268">
        <f t="shared" si="166"/>
        <v>0</v>
      </c>
      <c r="R3532" s="61">
        <f>IF(O3532=0,0,SUMIFS(Disbursements!$T:$T,Disbursements!$B:$B,'Live Collections'!D3532,Disbursements!$D:$D,'Live Collections'!F3532))</f>
        <v>60000</v>
      </c>
      <c r="S3532" s="304"/>
      <c r="T3532" s="304">
        <f t="shared" si="167"/>
        <v>20000</v>
      </c>
      <c r="U3532" s="52"/>
      <c r="V3532" s="34"/>
      <c r="W3532" s="408"/>
    </row>
    <row r="3533" spans="1:23" ht="12.75" customHeight="1" x14ac:dyDescent="0.2">
      <c r="A3533" s="257">
        <v>3543</v>
      </c>
      <c r="B3533" s="44">
        <v>44641</v>
      </c>
      <c r="C3533" s="44">
        <f t="shared" si="168"/>
        <v>44641</v>
      </c>
      <c r="D3533" s="374">
        <v>175</v>
      </c>
      <c r="E3533" s="291" t="str">
        <f>IFERROR(VLOOKUP($D3533,'Clients-Live'!$A:$C,3,0),"")</f>
        <v>ZUBEDA WAIGA</v>
      </c>
      <c r="F3533" s="291">
        <f>IFERROR(INDEX(Disbursements!$D:$D,MATCH('Live Collections'!G3533,Disbursements!$C:$C,0)),"")</f>
        <v>3</v>
      </c>
      <c r="G3533" s="34">
        <v>466</v>
      </c>
      <c r="H3533" s="34">
        <v>5185</v>
      </c>
      <c r="I3533" s="34" t="s">
        <v>1358</v>
      </c>
      <c r="J3533" s="48"/>
      <c r="K3533" s="48"/>
      <c r="L3533" s="48"/>
      <c r="M3533" s="48"/>
      <c r="N3533" s="59"/>
      <c r="O3533" s="59">
        <v>31500</v>
      </c>
      <c r="P3533" s="59"/>
      <c r="Q3533" s="268">
        <f t="shared" si="166"/>
        <v>31500</v>
      </c>
      <c r="R3533" s="61">
        <f>IF(O3533=0,0,SUMIFS(Disbursements!$T:$T,Disbursements!$B:$B,'Live Collections'!D3533,Disbursements!$D:$D,'Live Collections'!F3533))</f>
        <v>32000</v>
      </c>
      <c r="S3533" s="304">
        <f>IF(O3533&lt;=IF($O3533=0,0,SUMIFS(Disbursements!$W:$W,Disbursements!$B:$B,'Live Collections'!D3533,Disbursements!$D:$D,'Live Collections'!F3533)),O3533,IF($O3533=0,0,SUMIFS(Disbursements!$W:$W,Disbursements!$B:$B,'Live Collections'!D3533,Disbursements!$D:$D,'Live Collections'!F3533)))</f>
        <v>7000</v>
      </c>
      <c r="T3533" s="304">
        <f t="shared" si="167"/>
        <v>24500</v>
      </c>
      <c r="U3533" s="52"/>
      <c r="V3533" s="34"/>
      <c r="W3533" s="408"/>
    </row>
    <row r="3534" spans="1:23" ht="12.75" customHeight="1" x14ac:dyDescent="0.2">
      <c r="A3534" s="257">
        <v>3544</v>
      </c>
      <c r="B3534" s="44">
        <v>44641</v>
      </c>
      <c r="C3534" s="44">
        <f t="shared" si="168"/>
        <v>44641</v>
      </c>
      <c r="D3534" s="374">
        <v>314</v>
      </c>
      <c r="E3534" s="291" t="str">
        <f>IFERROR(VLOOKUP($D3534,'Clients-Live'!$A:$C,3,0),"")</f>
        <v>SHAMIM ALIGAH</v>
      </c>
      <c r="F3534" s="291" t="str">
        <f>IFERROR(INDEX(Disbursements!$D:$D,MATCH('Live Collections'!G3534,Disbursements!$C:$C,0)),"")</f>
        <v/>
      </c>
      <c r="G3534" s="34"/>
      <c r="H3534" s="34">
        <v>5184</v>
      </c>
      <c r="I3534" s="34" t="s">
        <v>1357</v>
      </c>
      <c r="J3534" s="48"/>
      <c r="K3534" s="48"/>
      <c r="L3534" s="48">
        <v>30000</v>
      </c>
      <c r="M3534" s="48">
        <v>5000</v>
      </c>
      <c r="N3534" s="59"/>
      <c r="O3534" s="59"/>
      <c r="P3534" s="59"/>
      <c r="Q3534" s="268">
        <f t="shared" si="166"/>
        <v>35000</v>
      </c>
      <c r="R3534" s="61">
        <f>IF(O3534=0,0,SUMIFS(Disbursements!$T:$T,Disbursements!$B:$B,'Live Collections'!D3534,Disbursements!$D:$D,'Live Collections'!F3534))</f>
        <v>0</v>
      </c>
      <c r="S3534" s="304">
        <f>IF(O3534&lt;=IF($O3534=0,0,SUMIFS(Disbursements!$W:$W,Disbursements!$B:$B,'Live Collections'!D3534,Disbursements!$D:$D,'Live Collections'!F3534)),O3534,IF($O3534=0,0,SUMIFS(Disbursements!$W:$W,Disbursements!$B:$B,'Live Collections'!D3534,Disbursements!$D:$D,'Live Collections'!F3534)))</f>
        <v>0</v>
      </c>
      <c r="T3534" s="304">
        <f t="shared" si="167"/>
        <v>0</v>
      </c>
      <c r="U3534" s="52"/>
      <c r="V3534" s="34"/>
      <c r="W3534" s="408"/>
    </row>
    <row r="3535" spans="1:23" ht="12.75" customHeight="1" x14ac:dyDescent="0.2">
      <c r="A3535" s="257">
        <v>3545</v>
      </c>
      <c r="B3535" s="44">
        <v>44641</v>
      </c>
      <c r="C3535" s="44">
        <f t="shared" si="168"/>
        <v>44641</v>
      </c>
      <c r="D3535" s="374">
        <v>143</v>
      </c>
      <c r="E3535" s="291" t="str">
        <f>IFERROR(VLOOKUP($D3535,'Clients-Live'!$A:$C,3,0),"")</f>
        <v>MORO HAKIM</v>
      </c>
      <c r="F3535" s="291">
        <f>IFERROR(INDEX(Disbursements!$D:$D,MATCH('Live Collections'!G3535,Disbursements!$C:$C,0)),"")</f>
        <v>2</v>
      </c>
      <c r="G3535" s="34">
        <v>476</v>
      </c>
      <c r="H3535" s="34">
        <v>5175</v>
      </c>
      <c r="I3535" s="34" t="s">
        <v>1357</v>
      </c>
      <c r="J3535" s="48"/>
      <c r="K3535" s="48"/>
      <c r="L3535" s="48"/>
      <c r="M3535" s="48"/>
      <c r="N3535" s="59"/>
      <c r="O3535" s="59"/>
      <c r="P3535" s="59">
        <v>500000</v>
      </c>
      <c r="Q3535" s="268">
        <f t="shared" si="166"/>
        <v>500000</v>
      </c>
      <c r="R3535" s="61">
        <f>IF(O3535=0,0,SUMIFS(Disbursements!$T:$T,Disbursements!$B:$B,'Live Collections'!D3535,Disbursements!$D:$D,'Live Collections'!F3535))</f>
        <v>0</v>
      </c>
      <c r="S3535" s="304">
        <f>IF(O3535&lt;=IF($O3535=0,0,SUMIFS(Disbursements!$W:$W,Disbursements!$B:$B,'Live Collections'!D3535,Disbursements!$D:$D,'Live Collections'!F3535)),O3535,IF($O3535=0,0,SUMIFS(Disbursements!$W:$W,Disbursements!$B:$B,'Live Collections'!D3535,Disbursements!$D:$D,'Live Collections'!F3535)))</f>
        <v>0</v>
      </c>
      <c r="T3535" s="304">
        <f t="shared" si="167"/>
        <v>0</v>
      </c>
      <c r="U3535" s="52"/>
      <c r="V3535" s="34"/>
      <c r="W3535" s="408"/>
    </row>
    <row r="3536" spans="1:23" ht="12.75" customHeight="1" x14ac:dyDescent="0.2">
      <c r="A3536" s="257">
        <v>3546</v>
      </c>
      <c r="B3536" s="44">
        <v>44641</v>
      </c>
      <c r="C3536" s="44">
        <f t="shared" si="168"/>
        <v>44641</v>
      </c>
      <c r="D3536" s="374">
        <v>91</v>
      </c>
      <c r="E3536" s="291" t="str">
        <f>IFERROR(VLOOKUP($D3536,'Clients-Live'!$A:$C,3,0),"")</f>
        <v>CHANDIRU SALILA</v>
      </c>
      <c r="F3536" s="291">
        <f>IFERROR(INDEX(Disbursements!$D:$D,MATCH('Live Collections'!G3536,Disbursements!$C:$C,0)),"")</f>
        <v>2</v>
      </c>
      <c r="G3536" s="34">
        <v>327</v>
      </c>
      <c r="H3536" s="34">
        <v>5186</v>
      </c>
      <c r="I3536" s="34" t="s">
        <v>1359</v>
      </c>
      <c r="J3536" s="48"/>
      <c r="K3536" s="48"/>
      <c r="L3536" s="48"/>
      <c r="M3536" s="48"/>
      <c r="N3536" s="59"/>
      <c r="O3536" s="59">
        <v>40000</v>
      </c>
      <c r="P3536" s="59"/>
      <c r="Q3536" s="268">
        <f t="shared" si="166"/>
        <v>40000</v>
      </c>
      <c r="R3536" s="61">
        <f>IF(O3536=0,0,SUMIFS(Disbursements!$T:$T,Disbursements!$B:$B,'Live Collections'!D3536,Disbursements!$D:$D,'Live Collections'!F3536))</f>
        <v>60000</v>
      </c>
      <c r="S3536" s="64">
        <v>666.66666666667152</v>
      </c>
      <c r="T3536" s="304">
        <f t="shared" si="167"/>
        <v>39333.333333333328</v>
      </c>
      <c r="U3536" s="52"/>
      <c r="V3536" s="34"/>
      <c r="W3536" s="408"/>
    </row>
    <row r="3537" spans="1:23" ht="12.75" customHeight="1" x14ac:dyDescent="0.2">
      <c r="A3537" s="257">
        <v>3547</v>
      </c>
      <c r="B3537" s="44">
        <v>44641</v>
      </c>
      <c r="C3537" s="44">
        <f t="shared" si="168"/>
        <v>44641</v>
      </c>
      <c r="D3537" s="374">
        <v>176</v>
      </c>
      <c r="E3537" s="291" t="str">
        <f>IFERROR(VLOOKUP($D3537,'Clients-Live'!$A:$C,3,0),"")</f>
        <v>AJONYE JANE SINANDUGU</v>
      </c>
      <c r="F3537" s="291">
        <f>IFERROR(INDEX(Disbursements!$D:$D,MATCH('Live Collections'!G3537,Disbursements!$C:$C,0)),"")</f>
        <v>2</v>
      </c>
      <c r="G3537" s="34">
        <v>301</v>
      </c>
      <c r="H3537" s="34">
        <v>5182</v>
      </c>
      <c r="I3537" s="34" t="s">
        <v>1358</v>
      </c>
      <c r="J3537" s="48"/>
      <c r="K3537" s="48"/>
      <c r="L3537" s="48"/>
      <c r="M3537" s="48"/>
      <c r="N3537" s="59"/>
      <c r="O3537" s="59">
        <v>730000</v>
      </c>
      <c r="P3537" s="59"/>
      <c r="Q3537" s="268">
        <f t="shared" si="166"/>
        <v>730000</v>
      </c>
      <c r="R3537" s="61">
        <f>IF(O3537=0,0,SUMIFS(Disbursements!$T:$T,Disbursements!$B:$B,'Live Collections'!D3537,Disbursements!$D:$D,'Live Collections'!F3537))</f>
        <v>650000</v>
      </c>
      <c r="S3537" s="304">
        <f>IF(O3537&lt;=IF($O3537=0,0,SUMIFS(Disbursements!$W:$W,Disbursements!$B:$B,'Live Collections'!D3537,Disbursements!$D:$D,'Live Collections'!F3537)),O3537,IF($O3537=0,0,SUMIFS(Disbursements!$W:$W,Disbursements!$B:$B,'Live Collections'!D3537,Disbursements!$D:$D,'Live Collections'!F3537)))</f>
        <v>150000</v>
      </c>
      <c r="T3537" s="304">
        <f t="shared" si="167"/>
        <v>580000</v>
      </c>
      <c r="U3537" s="52"/>
      <c r="V3537" s="34"/>
      <c r="W3537" s="408"/>
    </row>
    <row r="3538" spans="1:23" ht="12.75" customHeight="1" x14ac:dyDescent="0.2">
      <c r="A3538" s="257">
        <v>3548</v>
      </c>
      <c r="B3538" s="44">
        <v>44641</v>
      </c>
      <c r="C3538" s="44">
        <f t="shared" si="168"/>
        <v>44641</v>
      </c>
      <c r="D3538" s="374">
        <v>208</v>
      </c>
      <c r="E3538" s="291" t="str">
        <f>IFERROR(VLOOKUP($D3538,'Clients-Live'!$A:$C,3,0),"")</f>
        <v>TIKO RAIMA</v>
      </c>
      <c r="F3538" s="291" t="str">
        <f>IFERROR(INDEX(Disbursements!$D:$D,MATCH('Live Collections'!G3538,Disbursements!$C:$C,0)),"")</f>
        <v/>
      </c>
      <c r="G3538" s="34"/>
      <c r="H3538" s="34">
        <v>5171</v>
      </c>
      <c r="I3538" s="34" t="s">
        <v>1357</v>
      </c>
      <c r="J3538" s="48"/>
      <c r="K3538" s="48"/>
      <c r="L3538" s="48"/>
      <c r="M3538" s="48"/>
      <c r="N3538" s="59">
        <v>5000</v>
      </c>
      <c r="O3538" s="59"/>
      <c r="P3538" s="59"/>
      <c r="Q3538" s="268">
        <f t="shared" si="166"/>
        <v>5000</v>
      </c>
      <c r="R3538" s="61">
        <f>IF(O3538=0,0,SUMIFS(Disbursements!$T:$T,Disbursements!$B:$B,'Live Collections'!D3538,Disbursements!$D:$D,'Live Collections'!F3538))</f>
        <v>0</v>
      </c>
      <c r="S3538" s="304">
        <f>IF(O3538&lt;=IF($O3538=0,0,SUMIFS(Disbursements!$W:$W,Disbursements!$B:$B,'Live Collections'!D3538,Disbursements!$D:$D,'Live Collections'!F3538)),O3538,IF($O3538=0,0,SUMIFS(Disbursements!$W:$W,Disbursements!$B:$B,'Live Collections'!D3538,Disbursements!$D:$D,'Live Collections'!F3538)))</f>
        <v>0</v>
      </c>
      <c r="T3538" s="304">
        <f t="shared" si="167"/>
        <v>0</v>
      </c>
      <c r="U3538" s="52"/>
      <c r="V3538" s="34"/>
      <c r="W3538" s="408"/>
    </row>
    <row r="3539" spans="1:23" ht="12.75" customHeight="1" x14ac:dyDescent="0.2">
      <c r="A3539" s="257">
        <v>3549</v>
      </c>
      <c r="B3539" s="44">
        <v>44641</v>
      </c>
      <c r="C3539" s="44">
        <f t="shared" si="168"/>
        <v>44641</v>
      </c>
      <c r="D3539" s="374">
        <v>208</v>
      </c>
      <c r="E3539" s="291" t="str">
        <f>IFERROR(VLOOKUP($D3539,'Clients-Live'!$A:$C,3,0),"")</f>
        <v>TIKO RAIMA</v>
      </c>
      <c r="F3539" s="291">
        <f>IFERROR(INDEX(Disbursements!$D:$D,MATCH('Live Collections'!G3539,Disbursements!$C:$C,0)),"")</f>
        <v>2</v>
      </c>
      <c r="G3539" s="34">
        <v>322</v>
      </c>
      <c r="H3539" s="34">
        <v>5169</v>
      </c>
      <c r="I3539" s="34" t="s">
        <v>1357</v>
      </c>
      <c r="J3539" s="48"/>
      <c r="K3539" s="48"/>
      <c r="L3539" s="48"/>
      <c r="M3539" s="48"/>
      <c r="N3539" s="59"/>
      <c r="O3539" s="59">
        <v>60000</v>
      </c>
      <c r="P3539" s="59"/>
      <c r="Q3539" s="268">
        <f t="shared" si="166"/>
        <v>60000</v>
      </c>
      <c r="R3539" s="61">
        <f>IF(O3539=0,0,SUMIFS(Disbursements!$T:$T,Disbursements!$B:$B,'Live Collections'!D3539,Disbursements!$D:$D,'Live Collections'!F3539))</f>
        <v>115000</v>
      </c>
      <c r="S3539" s="304"/>
      <c r="T3539" s="304">
        <f t="shared" si="167"/>
        <v>60000</v>
      </c>
      <c r="U3539" s="52"/>
      <c r="V3539" s="34"/>
      <c r="W3539" s="408"/>
    </row>
    <row r="3540" spans="1:23" ht="12.75" customHeight="1" x14ac:dyDescent="0.2">
      <c r="A3540" s="257">
        <v>3550</v>
      </c>
      <c r="B3540" s="44">
        <v>44641</v>
      </c>
      <c r="C3540" s="44">
        <f t="shared" si="168"/>
        <v>44641</v>
      </c>
      <c r="D3540" s="374">
        <v>88</v>
      </c>
      <c r="E3540" s="291" t="str">
        <f>IFERROR(VLOOKUP($D3540,'Clients-Live'!$A:$C,3,0),"")</f>
        <v>FAIDA HARRIET</v>
      </c>
      <c r="F3540" s="291">
        <f>IFERROR(INDEX(Disbursements!$D:$D,MATCH('Live Collections'!G3540,Disbursements!$C:$C,0)),"")</f>
        <v>3</v>
      </c>
      <c r="G3540" s="34">
        <v>380</v>
      </c>
      <c r="H3540" s="34">
        <v>5172</v>
      </c>
      <c r="I3540" s="34" t="s">
        <v>1357</v>
      </c>
      <c r="J3540" s="48"/>
      <c r="K3540" s="48"/>
      <c r="L3540" s="48"/>
      <c r="M3540" s="48"/>
      <c r="N3540" s="59"/>
      <c r="O3540" s="59">
        <v>30000</v>
      </c>
      <c r="P3540" s="59"/>
      <c r="Q3540" s="268">
        <f t="shared" si="166"/>
        <v>30000</v>
      </c>
      <c r="R3540" s="61">
        <f>IF(O3540=0,0,SUMIFS(Disbursements!$T:$T,Disbursements!$B:$B,'Live Collections'!D3540,Disbursements!$D:$D,'Live Collections'!F3540))</f>
        <v>90000</v>
      </c>
      <c r="S3540" s="304"/>
      <c r="T3540" s="304">
        <f t="shared" si="167"/>
        <v>30000</v>
      </c>
      <c r="U3540" s="52"/>
      <c r="V3540" s="34"/>
      <c r="W3540" s="408"/>
    </row>
    <row r="3541" spans="1:23" ht="12.75" customHeight="1" x14ac:dyDescent="0.2">
      <c r="A3541" s="257">
        <v>3551</v>
      </c>
      <c r="B3541" s="44">
        <v>44641</v>
      </c>
      <c r="C3541" s="44">
        <f t="shared" si="168"/>
        <v>44641</v>
      </c>
      <c r="D3541" s="374">
        <v>309</v>
      </c>
      <c r="E3541" s="291" t="str">
        <f>IFERROR(VLOOKUP($D3541,'Clients-Live'!$A:$C,3,0),"")</f>
        <v>NAMBOZO HALIMA</v>
      </c>
      <c r="F3541" s="291">
        <f>IFERROR(INDEX(Disbursements!$D:$D,MATCH('Live Collections'!G3541,Disbursements!$C:$C,0)),"")</f>
        <v>1</v>
      </c>
      <c r="G3541" s="34">
        <v>391</v>
      </c>
      <c r="H3541" s="34">
        <v>5165</v>
      </c>
      <c r="I3541" s="34" t="s">
        <v>1357</v>
      </c>
      <c r="J3541" s="48"/>
      <c r="K3541" s="48"/>
      <c r="L3541" s="48"/>
      <c r="M3541" s="48"/>
      <c r="N3541" s="59"/>
      <c r="O3541" s="59">
        <v>70000</v>
      </c>
      <c r="P3541" s="59"/>
      <c r="Q3541" s="268">
        <f t="shared" si="166"/>
        <v>70000</v>
      </c>
      <c r="R3541" s="61">
        <f>IF(O3541=0,0,SUMIFS(Disbursements!$T:$T,Disbursements!$B:$B,'Live Collections'!D3541,Disbursements!$D:$D,'Live Collections'!F3541))</f>
        <v>79000</v>
      </c>
      <c r="S3541" s="304"/>
      <c r="T3541" s="304">
        <f t="shared" si="167"/>
        <v>70000</v>
      </c>
      <c r="U3541" s="52"/>
      <c r="V3541" s="34"/>
      <c r="W3541" s="408"/>
    </row>
    <row r="3542" spans="1:23" ht="12.75" customHeight="1" x14ac:dyDescent="0.2">
      <c r="A3542" s="257">
        <v>3552</v>
      </c>
      <c r="B3542" s="44">
        <v>44641</v>
      </c>
      <c r="C3542" s="44">
        <f t="shared" si="168"/>
        <v>44641</v>
      </c>
      <c r="D3542" s="374">
        <v>121</v>
      </c>
      <c r="E3542" s="291" t="str">
        <f>IFERROR(VLOOKUP($D3542,'Clients-Live'!$A:$C,3,0),"")</f>
        <v>AMAYO CHARLES</v>
      </c>
      <c r="F3542" s="291">
        <f>IFERROR(INDEX(Disbursements!$D:$D,MATCH('Live Collections'!G3542,Disbursements!$C:$C,0)),"")</f>
        <v>1</v>
      </c>
      <c r="G3542" s="34">
        <v>105</v>
      </c>
      <c r="H3542" s="34">
        <v>5166</v>
      </c>
      <c r="I3542" s="34" t="s">
        <v>1358</v>
      </c>
      <c r="J3542" s="48"/>
      <c r="K3542" s="48"/>
      <c r="L3542" s="48"/>
      <c r="M3542" s="48"/>
      <c r="N3542" s="59"/>
      <c r="O3542" s="59">
        <v>50000</v>
      </c>
      <c r="P3542" s="59"/>
      <c r="Q3542" s="268">
        <f t="shared" si="166"/>
        <v>50000</v>
      </c>
      <c r="R3542" s="61">
        <f>IF(O3542=0,0,SUMIFS(Disbursements!$T:$T,Disbursements!$B:$B,'Live Collections'!D3542,Disbursements!$D:$D,'Live Collections'!F3542))</f>
        <v>240000</v>
      </c>
      <c r="S3542" s="304"/>
      <c r="T3542" s="304">
        <f t="shared" si="167"/>
        <v>50000</v>
      </c>
      <c r="U3542" s="52"/>
      <c r="V3542" s="34"/>
      <c r="W3542" s="408"/>
    </row>
    <row r="3543" spans="1:23" ht="12.75" customHeight="1" x14ac:dyDescent="0.2">
      <c r="A3543" s="257">
        <v>3553</v>
      </c>
      <c r="B3543" s="44">
        <v>44641</v>
      </c>
      <c r="C3543" s="44">
        <f t="shared" si="168"/>
        <v>44641</v>
      </c>
      <c r="D3543" s="374">
        <v>324</v>
      </c>
      <c r="E3543" s="291" t="str">
        <f>IFERROR(VLOOKUP($D3543,'Clients-Live'!$A:$C,3,0),"")</f>
        <v>ARIKE KOKOLE YASSIN</v>
      </c>
      <c r="F3543" s="291">
        <f>IFERROR(INDEX(Disbursements!$D:$D,MATCH('Live Collections'!G3543,Disbursements!$C:$C,0)),"")</f>
        <v>1</v>
      </c>
      <c r="G3543" s="34">
        <v>450</v>
      </c>
      <c r="H3543" s="34">
        <v>5405</v>
      </c>
      <c r="I3543" s="34" t="s">
        <v>1357</v>
      </c>
      <c r="J3543" s="48"/>
      <c r="K3543" s="48"/>
      <c r="L3543" s="48"/>
      <c r="M3543" s="48"/>
      <c r="N3543" s="59"/>
      <c r="O3543" s="59">
        <v>60000</v>
      </c>
      <c r="P3543" s="59"/>
      <c r="Q3543" s="268">
        <f t="shared" si="166"/>
        <v>60000</v>
      </c>
      <c r="R3543" s="61">
        <f>IF(O3543=0,0,SUMIFS(Disbursements!$T:$T,Disbursements!$B:$B,'Live Collections'!D3543,Disbursements!$D:$D,'Live Collections'!F3543))</f>
        <v>58000</v>
      </c>
      <c r="S3543" s="304">
        <f>IF(O3543&lt;=IF($O3543=0,0,SUMIFS(Disbursements!$W:$W,Disbursements!$B:$B,'Live Collections'!D3543,Disbursements!$D:$D,'Live Collections'!F3543)),O3543,IF($O3543=0,0,SUMIFS(Disbursements!$W:$W,Disbursements!$B:$B,'Live Collections'!D3543,Disbursements!$D:$D,'Live Collections'!F3543)))</f>
        <v>16333.333333333336</v>
      </c>
      <c r="T3543" s="304">
        <f t="shared" si="167"/>
        <v>43666.666666666664</v>
      </c>
      <c r="U3543" s="52"/>
      <c r="V3543" s="34"/>
      <c r="W3543" s="408"/>
    </row>
    <row r="3544" spans="1:23" ht="12.75" customHeight="1" x14ac:dyDescent="0.2">
      <c r="A3544" s="257">
        <v>3554</v>
      </c>
      <c r="B3544" s="44">
        <v>44641</v>
      </c>
      <c r="C3544" s="44">
        <f t="shared" si="168"/>
        <v>44641</v>
      </c>
      <c r="D3544" s="374">
        <v>44</v>
      </c>
      <c r="E3544" s="291" t="str">
        <f>IFERROR(VLOOKUP($D3544,'Clients-Live'!$A:$C,3,0),"")</f>
        <v>CANDIRU HELLEN</v>
      </c>
      <c r="F3544" s="291">
        <f>IFERROR(INDEX(Disbursements!$D:$D,MATCH('Live Collections'!G3544,Disbursements!$C:$C,0)),"")</f>
        <v>3</v>
      </c>
      <c r="G3544" s="34">
        <v>362</v>
      </c>
      <c r="H3544" s="34">
        <v>5167</v>
      </c>
      <c r="I3544" s="34" t="s">
        <v>1358</v>
      </c>
      <c r="J3544" s="48"/>
      <c r="K3544" s="48"/>
      <c r="L3544" s="48"/>
      <c r="M3544" s="48"/>
      <c r="N3544" s="59"/>
      <c r="O3544" s="59">
        <v>200000</v>
      </c>
      <c r="P3544" s="59"/>
      <c r="Q3544" s="268">
        <f t="shared" si="166"/>
        <v>200000</v>
      </c>
      <c r="R3544" s="61">
        <f>IF(O3544=0,0,SUMIFS(Disbursements!$T:$T,Disbursements!$B:$B,'Live Collections'!D3544,Disbursements!$D:$D,'Live Collections'!F3544))</f>
        <v>325000</v>
      </c>
      <c r="S3544" s="304">
        <f>IF(O3544&lt;=IF($O3544=0,0,SUMIFS(Disbursements!$W:$W,Disbursements!$B:$B,'Live Collections'!D3544,Disbursements!$D:$D,'Live Collections'!F3544)),O3544,IF($O3544=0,0,SUMIFS(Disbursements!$W:$W,Disbursements!$B:$B,'Live Collections'!D3544,Disbursements!$D:$D,'Live Collections'!F3544)))</f>
        <v>75000</v>
      </c>
      <c r="T3544" s="304">
        <f t="shared" si="167"/>
        <v>125000</v>
      </c>
      <c r="U3544" s="52"/>
      <c r="V3544" s="34"/>
      <c r="W3544" s="408"/>
    </row>
    <row r="3545" spans="1:23" ht="12.75" customHeight="1" x14ac:dyDescent="0.2">
      <c r="A3545" s="257">
        <v>3555</v>
      </c>
      <c r="B3545" s="44">
        <v>44641</v>
      </c>
      <c r="C3545" s="44">
        <f t="shared" si="168"/>
        <v>44641</v>
      </c>
      <c r="D3545" s="374">
        <v>339</v>
      </c>
      <c r="E3545" s="291" t="str">
        <f>IFERROR(VLOOKUP($D3545,'Clients-Live'!$A:$C,3,0),"")</f>
        <v>GIRE ELIZABETH</v>
      </c>
      <c r="F3545" s="291">
        <f>IFERROR(INDEX(Disbursements!$D:$D,MATCH('Live Collections'!G3545,Disbursements!$C:$C,0)),"")</f>
        <v>1</v>
      </c>
      <c r="G3545" s="34">
        <v>475</v>
      </c>
      <c r="H3545" s="34">
        <v>5406</v>
      </c>
      <c r="I3545" s="34" t="s">
        <v>1357</v>
      </c>
      <c r="J3545" s="48"/>
      <c r="K3545" s="48"/>
      <c r="L3545" s="48"/>
      <c r="M3545" s="48"/>
      <c r="N3545" s="59"/>
      <c r="O3545" s="59"/>
      <c r="P3545" s="59">
        <v>300000</v>
      </c>
      <c r="Q3545" s="268">
        <f t="shared" si="166"/>
        <v>300000</v>
      </c>
      <c r="R3545" s="61">
        <f>IF(O3545=0,0,SUMIFS(Disbursements!$T:$T,Disbursements!$B:$B,'Live Collections'!D3545,Disbursements!$D:$D,'Live Collections'!F3545))</f>
        <v>0</v>
      </c>
      <c r="S3545" s="304">
        <f>IF(O3545&lt;=IF($O3545=0,0,SUMIFS(Disbursements!$W:$W,Disbursements!$B:$B,'Live Collections'!D3545,Disbursements!$D:$D,'Live Collections'!F3545)),O3545,IF($O3545=0,0,SUMIFS(Disbursements!$W:$W,Disbursements!$B:$B,'Live Collections'!D3545,Disbursements!$D:$D,'Live Collections'!F3545)))</f>
        <v>0</v>
      </c>
      <c r="T3545" s="304">
        <f t="shared" si="167"/>
        <v>0</v>
      </c>
      <c r="U3545" s="52"/>
      <c r="V3545" s="34"/>
      <c r="W3545" s="408"/>
    </row>
    <row r="3546" spans="1:23" ht="12.75" customHeight="1" x14ac:dyDescent="0.2">
      <c r="A3546" s="257">
        <v>3556</v>
      </c>
      <c r="B3546" s="44">
        <v>44641</v>
      </c>
      <c r="C3546" s="44">
        <f t="shared" si="168"/>
        <v>44641</v>
      </c>
      <c r="D3546" s="374">
        <v>235</v>
      </c>
      <c r="E3546" s="291" t="str">
        <f>IFERROR(VLOOKUP($D3546,'Clients-Live'!$A:$C,3,0),"")</f>
        <v>AMULE ISAAC</v>
      </c>
      <c r="F3546" s="291" t="str">
        <f>IFERROR(INDEX(Disbursements!$D:$D,MATCH('Live Collections'!G3546,Disbursements!$C:$C,0)),"")</f>
        <v/>
      </c>
      <c r="G3546" s="34"/>
      <c r="H3546" s="34">
        <v>5168</v>
      </c>
      <c r="I3546" s="34" t="s">
        <v>1358</v>
      </c>
      <c r="J3546" s="48"/>
      <c r="K3546" s="48"/>
      <c r="L3546" s="48">
        <v>25000</v>
      </c>
      <c r="M3546" s="48">
        <v>5000</v>
      </c>
      <c r="N3546" s="59"/>
      <c r="O3546" s="59"/>
      <c r="P3546" s="59"/>
      <c r="Q3546" s="268">
        <f t="shared" si="166"/>
        <v>30000</v>
      </c>
      <c r="R3546" s="61">
        <f>IF(O3546=0,0,SUMIFS(Disbursements!$T:$T,Disbursements!$B:$B,'Live Collections'!D3546,Disbursements!$D:$D,'Live Collections'!F3546))</f>
        <v>0</v>
      </c>
      <c r="S3546" s="304">
        <f>IF(O3546&lt;=IF($O3546=0,0,SUMIFS(Disbursements!$W:$W,Disbursements!$B:$B,'Live Collections'!D3546,Disbursements!$D:$D,'Live Collections'!F3546)),O3546,IF($O3546=0,0,SUMIFS(Disbursements!$W:$W,Disbursements!$B:$B,'Live Collections'!D3546,Disbursements!$D:$D,'Live Collections'!F3546)))</f>
        <v>0</v>
      </c>
      <c r="T3546" s="304">
        <f t="shared" si="167"/>
        <v>0</v>
      </c>
      <c r="U3546" s="52"/>
      <c r="V3546" s="34"/>
      <c r="W3546" s="408"/>
    </row>
    <row r="3547" spans="1:23" ht="12.75" customHeight="1" x14ac:dyDescent="0.2">
      <c r="A3547" s="257">
        <v>3557</v>
      </c>
      <c r="B3547" s="44">
        <v>44641</v>
      </c>
      <c r="C3547" s="44">
        <f t="shared" si="168"/>
        <v>44641</v>
      </c>
      <c r="D3547" s="374">
        <v>61</v>
      </c>
      <c r="E3547" s="291" t="str">
        <f>IFERROR(VLOOKUP($D3547,'Clients-Live'!$A:$C,3,0),"")</f>
        <v>AREDU RUKIA</v>
      </c>
      <c r="F3547" s="291">
        <f>IFERROR(INDEX(Disbursements!$D:$D,MATCH('Live Collections'!G3547,Disbursements!$C:$C,0)),"")</f>
        <v>2</v>
      </c>
      <c r="G3547" s="34">
        <v>290</v>
      </c>
      <c r="H3547" s="34">
        <v>5173</v>
      </c>
      <c r="I3547" s="34" t="s">
        <v>1359</v>
      </c>
      <c r="J3547" s="48"/>
      <c r="K3547" s="48"/>
      <c r="L3547" s="48">
        <v>15000</v>
      </c>
      <c r="M3547" s="48">
        <v>5000</v>
      </c>
      <c r="N3547" s="59"/>
      <c r="O3547" s="59"/>
      <c r="P3547" s="59"/>
      <c r="Q3547" s="268">
        <f t="shared" si="166"/>
        <v>20000</v>
      </c>
      <c r="R3547" s="61">
        <f>IF(O3547=0,0,SUMIFS(Disbursements!$T:$T,Disbursements!$B:$B,'Live Collections'!D3547,Disbursements!$D:$D,'Live Collections'!F3547))</f>
        <v>0</v>
      </c>
      <c r="S3547" s="304">
        <f>IF(O3547&lt;=IF($O3547=0,0,SUMIFS(Disbursements!$W:$W,Disbursements!$B:$B,'Live Collections'!D3547,Disbursements!$D:$D,'Live Collections'!F3547)),O3547,IF($O3547=0,0,SUMIFS(Disbursements!$W:$W,Disbursements!$B:$B,'Live Collections'!D3547,Disbursements!$D:$D,'Live Collections'!F3547)))</f>
        <v>0</v>
      </c>
      <c r="T3547" s="304">
        <f t="shared" si="167"/>
        <v>0</v>
      </c>
      <c r="U3547" s="52"/>
      <c r="V3547" s="34"/>
      <c r="W3547" s="408"/>
    </row>
    <row r="3548" spans="1:23" ht="12.75" customHeight="1" x14ac:dyDescent="0.2">
      <c r="A3548" s="257">
        <v>3558</v>
      </c>
      <c r="B3548" s="44">
        <v>44641</v>
      </c>
      <c r="C3548" s="44">
        <f t="shared" si="168"/>
        <v>44641</v>
      </c>
      <c r="D3548" s="374">
        <v>260</v>
      </c>
      <c r="E3548" s="291" t="str">
        <f>IFERROR(VLOOKUP($D3548,'Clients-Live'!$A:$C,3,0),"")</f>
        <v>ATAYI GRACE</v>
      </c>
      <c r="F3548" s="291">
        <f>IFERROR(INDEX(Disbursements!$D:$D,MATCH('Live Collections'!G3548,Disbursements!$C:$C,0)),"")</f>
        <v>2</v>
      </c>
      <c r="G3548" s="34">
        <v>476</v>
      </c>
      <c r="H3548" s="34">
        <v>5179</v>
      </c>
      <c r="I3548" s="34" t="s">
        <v>1359</v>
      </c>
      <c r="J3548" s="48"/>
      <c r="K3548" s="48"/>
      <c r="L3548" s="48"/>
      <c r="M3548" s="48"/>
      <c r="N3548" s="59"/>
      <c r="O3548" s="59"/>
      <c r="P3548" s="59">
        <v>35000</v>
      </c>
      <c r="Q3548" s="268">
        <f t="shared" si="166"/>
        <v>35000</v>
      </c>
      <c r="R3548" s="61">
        <f>IF(O3548=0,0,SUMIFS(Disbursements!$T:$T,Disbursements!$B:$B,'Live Collections'!D3548,Disbursements!$D:$D,'Live Collections'!F3548))</f>
        <v>0</v>
      </c>
      <c r="S3548" s="304">
        <f>IF(O3548&lt;=IF($O3548=0,0,SUMIFS(Disbursements!$W:$W,Disbursements!$B:$B,'Live Collections'!D3548,Disbursements!$D:$D,'Live Collections'!F3548)),O3548,IF($O3548=0,0,SUMIFS(Disbursements!$W:$W,Disbursements!$B:$B,'Live Collections'!D3548,Disbursements!$D:$D,'Live Collections'!F3548)))</f>
        <v>0</v>
      </c>
      <c r="T3548" s="304">
        <f t="shared" si="167"/>
        <v>0</v>
      </c>
      <c r="U3548" s="52"/>
      <c r="V3548" s="34"/>
      <c r="W3548" s="408"/>
    </row>
    <row r="3549" spans="1:23" ht="12.75" customHeight="1" x14ac:dyDescent="0.2">
      <c r="A3549" s="257">
        <v>3559</v>
      </c>
      <c r="B3549" s="44">
        <v>44641</v>
      </c>
      <c r="C3549" s="44">
        <f t="shared" si="168"/>
        <v>44641</v>
      </c>
      <c r="D3549" s="374">
        <v>118</v>
      </c>
      <c r="E3549" s="291" t="str">
        <f>IFERROR(VLOOKUP($D3549,'Clients-Live'!$A:$C,3,0),"")</f>
        <v>ONYANGO CHARLES JOGOO</v>
      </c>
      <c r="F3549" s="291" t="str">
        <f>IFERROR(INDEX(Disbursements!$D:$D,MATCH('Live Collections'!G3549,Disbursements!$C:$C,0)),"")</f>
        <v/>
      </c>
      <c r="G3549" s="34"/>
      <c r="H3549" s="34">
        <v>5178</v>
      </c>
      <c r="I3549" s="34" t="s">
        <v>1358</v>
      </c>
      <c r="J3549" s="48"/>
      <c r="K3549" s="48"/>
      <c r="L3549" s="48"/>
      <c r="M3549" s="48"/>
      <c r="N3549" s="59">
        <v>2000</v>
      </c>
      <c r="O3549" s="59"/>
      <c r="P3549" s="59"/>
      <c r="Q3549" s="268">
        <f t="shared" si="166"/>
        <v>2000</v>
      </c>
      <c r="R3549" s="61">
        <f>IF(O3549=0,0,SUMIFS(Disbursements!$T:$T,Disbursements!$B:$B,'Live Collections'!D3549,Disbursements!$D:$D,'Live Collections'!F3549))</f>
        <v>0</v>
      </c>
      <c r="S3549" s="304">
        <f>IF(O3549&lt;=IF($O3549=0,0,SUMIFS(Disbursements!$W:$W,Disbursements!$B:$B,'Live Collections'!D3549,Disbursements!$D:$D,'Live Collections'!F3549)),O3549,IF($O3549=0,0,SUMIFS(Disbursements!$W:$W,Disbursements!$B:$B,'Live Collections'!D3549,Disbursements!$D:$D,'Live Collections'!F3549)))</f>
        <v>0</v>
      </c>
      <c r="T3549" s="304">
        <f t="shared" si="167"/>
        <v>0</v>
      </c>
      <c r="U3549" s="52"/>
      <c r="V3549" s="34"/>
      <c r="W3549" s="408"/>
    </row>
    <row r="3550" spans="1:23" ht="12.75" customHeight="1" x14ac:dyDescent="0.2">
      <c r="A3550" s="257">
        <v>3560</v>
      </c>
      <c r="B3550" s="44">
        <v>44641</v>
      </c>
      <c r="C3550" s="44">
        <f t="shared" si="168"/>
        <v>44641</v>
      </c>
      <c r="D3550" s="374">
        <v>300</v>
      </c>
      <c r="E3550" s="291" t="str">
        <f>IFERROR(VLOOKUP($D3550,'Clients-Live'!$A:$C,3,0),"")</f>
        <v>AYA ZAINABU</v>
      </c>
      <c r="F3550" s="291">
        <f>IFERROR(INDEX(Disbursements!$D:$D,MATCH('Live Collections'!G3550,Disbursements!$C:$C,0)),"")</f>
        <v>1</v>
      </c>
      <c r="G3550" s="34">
        <v>364</v>
      </c>
      <c r="H3550" s="34">
        <v>5177</v>
      </c>
      <c r="I3550" s="34" t="s">
        <v>1358</v>
      </c>
      <c r="J3550" s="48"/>
      <c r="K3550" s="48"/>
      <c r="L3550" s="48"/>
      <c r="M3550" s="48"/>
      <c r="N3550" s="59"/>
      <c r="O3550" s="59">
        <v>60000</v>
      </c>
      <c r="P3550" s="59"/>
      <c r="Q3550" s="268">
        <f t="shared" si="166"/>
        <v>60000</v>
      </c>
      <c r="R3550" s="61">
        <f>IF(O3550=0,0,SUMIFS(Disbursements!$T:$T,Disbursements!$B:$B,'Live Collections'!D3550,Disbursements!$D:$D,'Live Collections'!F3550))</f>
        <v>150000</v>
      </c>
      <c r="S3550" s="304"/>
      <c r="T3550" s="304">
        <f t="shared" si="167"/>
        <v>60000</v>
      </c>
      <c r="U3550" s="52"/>
      <c r="V3550" s="34"/>
      <c r="W3550" s="408"/>
    </row>
    <row r="3551" spans="1:23" ht="12.75" customHeight="1" x14ac:dyDescent="0.2">
      <c r="A3551" s="257">
        <v>3561</v>
      </c>
      <c r="B3551" s="44">
        <v>44641</v>
      </c>
      <c r="C3551" s="44">
        <f t="shared" si="168"/>
        <v>44641</v>
      </c>
      <c r="D3551" s="374">
        <v>305</v>
      </c>
      <c r="E3551" s="291" t="str">
        <f>IFERROR(VLOOKUP($D3551,'Clients-Live'!$A:$C,3,0),"")</f>
        <v>ANDIKU KALOLI</v>
      </c>
      <c r="F3551" s="291">
        <f>IFERROR(INDEX(Disbursements!$D:$D,MATCH('Live Collections'!G3551,Disbursements!$C:$C,0)),"")</f>
        <v>1</v>
      </c>
      <c r="G3551" s="34">
        <v>384</v>
      </c>
      <c r="H3551" s="34">
        <v>5176</v>
      </c>
      <c r="I3551" s="34" t="s">
        <v>1357</v>
      </c>
      <c r="J3551" s="48"/>
      <c r="K3551" s="48"/>
      <c r="L3551" s="48"/>
      <c r="M3551" s="48"/>
      <c r="N3551" s="59"/>
      <c r="O3551" s="59">
        <v>130000</v>
      </c>
      <c r="P3551" s="59"/>
      <c r="Q3551" s="268">
        <f t="shared" si="166"/>
        <v>130000</v>
      </c>
      <c r="R3551" s="61">
        <f>IF(O3551=0,0,SUMIFS(Disbursements!$T:$T,Disbursements!$B:$B,'Live Collections'!D3551,Disbursements!$D:$D,'Live Collections'!F3551))</f>
        <v>130000</v>
      </c>
      <c r="S3551" s="304"/>
      <c r="T3551" s="304">
        <f t="shared" si="167"/>
        <v>130000</v>
      </c>
      <c r="U3551" s="52"/>
      <c r="V3551" s="34"/>
      <c r="W3551" s="408"/>
    </row>
    <row r="3552" spans="1:23" ht="12.75" customHeight="1" x14ac:dyDescent="0.2">
      <c r="A3552" s="257">
        <v>3562</v>
      </c>
      <c r="B3552" s="44">
        <v>44641</v>
      </c>
      <c r="C3552" s="44">
        <f t="shared" si="168"/>
        <v>44641</v>
      </c>
      <c r="D3552" s="374">
        <v>342</v>
      </c>
      <c r="E3552" s="291" t="str">
        <f>IFERROR(VLOOKUP($D3552,'Clients-Live'!$A:$C,3,0),"")</f>
        <v>NYAUSI SHABAN LAWRENCE</v>
      </c>
      <c r="F3552" s="291" t="str">
        <f>IFERROR(INDEX(Disbursements!$D:$D,MATCH('Live Collections'!G3552,Disbursements!$C:$C,0)),"")</f>
        <v/>
      </c>
      <c r="G3552" s="34"/>
      <c r="H3552" s="34">
        <v>5326</v>
      </c>
      <c r="I3552" s="34" t="s">
        <v>1760</v>
      </c>
      <c r="J3552" s="48"/>
      <c r="K3552" s="48"/>
      <c r="L3552" s="48">
        <v>20000</v>
      </c>
      <c r="M3552" s="48">
        <v>5000</v>
      </c>
      <c r="N3552" s="59"/>
      <c r="O3552" s="59"/>
      <c r="P3552" s="59"/>
      <c r="Q3552" s="268">
        <f t="shared" si="166"/>
        <v>25000</v>
      </c>
      <c r="R3552" s="61">
        <f>IF(O3552=0,0,SUMIFS(Disbursements!$T:$T,Disbursements!$B:$B,'Live Collections'!D3552,Disbursements!$D:$D,'Live Collections'!F3552))</f>
        <v>0</v>
      </c>
      <c r="S3552" s="304">
        <f>IF(O3552&lt;=IF($O3552=0,0,SUMIFS(Disbursements!$W:$W,Disbursements!$B:$B,'Live Collections'!D3552,Disbursements!$D:$D,'Live Collections'!F3552)),O3552,IF($O3552=0,0,SUMIFS(Disbursements!$W:$W,Disbursements!$B:$B,'Live Collections'!D3552,Disbursements!$D:$D,'Live Collections'!F3552)))</f>
        <v>0</v>
      </c>
      <c r="T3552" s="304">
        <f t="shared" si="167"/>
        <v>0</v>
      </c>
      <c r="U3552" s="52"/>
      <c r="V3552" s="34"/>
      <c r="W3552" s="408"/>
    </row>
    <row r="3553" spans="1:23" ht="12.75" customHeight="1" x14ac:dyDescent="0.2">
      <c r="A3553" s="257">
        <v>3563</v>
      </c>
      <c r="B3553" s="44">
        <v>44641</v>
      </c>
      <c r="C3553" s="44">
        <f t="shared" si="168"/>
        <v>44641</v>
      </c>
      <c r="D3553" s="374">
        <v>342</v>
      </c>
      <c r="E3553" s="291" t="str">
        <f>IFERROR(VLOOKUP($D3553,'Clients-Live'!$A:$C,3,0),"")</f>
        <v>NYAUSI SHABAN LAWRENCE</v>
      </c>
      <c r="F3553" s="291" t="str">
        <f>IFERROR(INDEX(Disbursements!$D:$D,MATCH('Live Collections'!G3553,Disbursements!$C:$C,0)),"")</f>
        <v/>
      </c>
      <c r="G3553" s="34"/>
      <c r="H3553" s="34">
        <v>5327</v>
      </c>
      <c r="I3553" s="34" t="s">
        <v>1760</v>
      </c>
      <c r="J3553" s="48">
        <v>15000</v>
      </c>
      <c r="K3553" s="48">
        <v>5000</v>
      </c>
      <c r="L3553" s="48"/>
      <c r="M3553" s="48"/>
      <c r="N3553" s="59"/>
      <c r="O3553" s="59"/>
      <c r="P3553" s="59"/>
      <c r="Q3553" s="268">
        <f t="shared" si="166"/>
        <v>20000</v>
      </c>
      <c r="R3553" s="61">
        <f>IF(O3553=0,0,SUMIFS(Disbursements!$T:$T,Disbursements!$B:$B,'Live Collections'!D3553,Disbursements!$D:$D,'Live Collections'!F3553))</f>
        <v>0</v>
      </c>
      <c r="S3553" s="304">
        <f>IF(O3553&lt;=IF($O3553=0,0,SUMIFS(Disbursements!$W:$W,Disbursements!$B:$B,'Live Collections'!D3553,Disbursements!$D:$D,'Live Collections'!F3553)),O3553,IF($O3553=0,0,SUMIFS(Disbursements!$W:$W,Disbursements!$B:$B,'Live Collections'!D3553,Disbursements!$D:$D,'Live Collections'!F3553)))</f>
        <v>0</v>
      </c>
      <c r="T3553" s="304">
        <f t="shared" si="167"/>
        <v>0</v>
      </c>
      <c r="U3553" s="52"/>
      <c r="V3553" s="34"/>
      <c r="W3553" s="408"/>
    </row>
    <row r="3554" spans="1:23" ht="12.75" customHeight="1" x14ac:dyDescent="0.2">
      <c r="A3554" s="257">
        <v>3564</v>
      </c>
      <c r="B3554" s="44">
        <v>44642</v>
      </c>
      <c r="C3554" s="44">
        <f t="shared" si="168"/>
        <v>44642</v>
      </c>
      <c r="D3554" s="374">
        <v>104</v>
      </c>
      <c r="E3554" s="291" t="str">
        <f>IFERROR(VLOOKUP($D3554,'Clients-Live'!$A:$C,3,0),"")</f>
        <v>IDIRA ALIMA</v>
      </c>
      <c r="F3554" s="291">
        <f>IFERROR(INDEX(Disbursements!$D:$D,MATCH('Live Collections'!G3554,Disbursements!$C:$C,0)),"")</f>
        <v>2</v>
      </c>
      <c r="G3554" s="34">
        <v>252</v>
      </c>
      <c r="H3554" s="34">
        <v>5282</v>
      </c>
      <c r="I3554" s="34" t="s">
        <v>1359</v>
      </c>
      <c r="J3554" s="48"/>
      <c r="K3554" s="48"/>
      <c r="L3554" s="48"/>
      <c r="M3554" s="48"/>
      <c r="N3554" s="59"/>
      <c r="O3554" s="59">
        <v>100000</v>
      </c>
      <c r="P3554" s="59"/>
      <c r="Q3554" s="268">
        <f t="shared" si="166"/>
        <v>100000</v>
      </c>
      <c r="R3554" s="61">
        <f>IF(O3554=0,0,SUMIFS(Disbursements!$T:$T,Disbursements!$B:$B,'Live Collections'!D3554,Disbursements!$D:$D,'Live Collections'!F3554))</f>
        <v>175000</v>
      </c>
      <c r="S3554" s="304">
        <f>IF(O3554&lt;=IF($O3554=0,0,SUMIFS(Disbursements!$W:$W,Disbursements!$B:$B,'Live Collections'!D3554,Disbursements!$D:$D,'Live Collections'!F3554)),O3554,IF($O3554=0,0,SUMIFS(Disbursements!$W:$W,Disbursements!$B:$B,'Live Collections'!D3554,Disbursements!$D:$D,'Live Collections'!F3554)))</f>
        <v>35000</v>
      </c>
      <c r="T3554" s="304">
        <f t="shared" si="167"/>
        <v>65000</v>
      </c>
      <c r="U3554" s="52"/>
      <c r="V3554" s="34"/>
      <c r="W3554" s="408"/>
    </row>
    <row r="3555" spans="1:23" ht="12.75" customHeight="1" x14ac:dyDescent="0.2">
      <c r="A3555" s="257">
        <v>3565</v>
      </c>
      <c r="B3555" s="44">
        <v>44642</v>
      </c>
      <c r="C3555" s="44">
        <f t="shared" si="168"/>
        <v>44642</v>
      </c>
      <c r="D3555" s="374">
        <v>235</v>
      </c>
      <c r="E3555" s="291" t="str">
        <f>IFERROR(VLOOKUP($D3555,'Clients-Live'!$A:$C,3,0),"")</f>
        <v>AMULE ISAAC</v>
      </c>
      <c r="F3555" s="291">
        <f>IFERROR(INDEX(Disbursements!$D:$D,MATCH('Live Collections'!G3555,Disbursements!$C:$C,0)),"")</f>
        <v>3</v>
      </c>
      <c r="G3555" s="34">
        <v>478</v>
      </c>
      <c r="H3555" s="34">
        <v>5409</v>
      </c>
      <c r="I3555" s="34" t="s">
        <v>1358</v>
      </c>
      <c r="J3555" s="48"/>
      <c r="K3555" s="48"/>
      <c r="L3555" s="48"/>
      <c r="M3555" s="48"/>
      <c r="N3555" s="59"/>
      <c r="O3555" s="59"/>
      <c r="P3555" s="59">
        <v>120000</v>
      </c>
      <c r="Q3555" s="268">
        <f t="shared" si="166"/>
        <v>120000</v>
      </c>
      <c r="R3555" s="61">
        <f>IF(O3555=0,0,SUMIFS(Disbursements!$T:$T,Disbursements!$B:$B,'Live Collections'!D3555,Disbursements!$D:$D,'Live Collections'!F3555))</f>
        <v>0</v>
      </c>
      <c r="S3555" s="304">
        <f>IF(O3555&lt;=IF($O3555=0,0,SUMIFS(Disbursements!$W:$W,Disbursements!$B:$B,'Live Collections'!D3555,Disbursements!$D:$D,'Live Collections'!F3555)),O3555,IF($O3555=0,0,SUMIFS(Disbursements!$W:$W,Disbursements!$B:$B,'Live Collections'!D3555,Disbursements!$D:$D,'Live Collections'!F3555)))</f>
        <v>0</v>
      </c>
      <c r="T3555" s="304">
        <f t="shared" si="167"/>
        <v>0</v>
      </c>
      <c r="U3555" s="52"/>
      <c r="V3555" s="34"/>
      <c r="W3555" s="408"/>
    </row>
    <row r="3556" spans="1:23" ht="12.75" customHeight="1" x14ac:dyDescent="0.2">
      <c r="A3556" s="257">
        <v>3566</v>
      </c>
      <c r="B3556" s="44">
        <v>44642</v>
      </c>
      <c r="C3556" s="44">
        <f t="shared" si="168"/>
        <v>44642</v>
      </c>
      <c r="D3556" s="374">
        <v>89</v>
      </c>
      <c r="E3556" s="291" t="str">
        <f>IFERROR(VLOOKUP($D3556,'Clients-Live'!$A:$C,3,0),"")</f>
        <v>ANDA FLORENCE</v>
      </c>
      <c r="F3556" s="291">
        <f>IFERROR(INDEX(Disbursements!$D:$D,MATCH('Live Collections'!G3556,Disbursements!$C:$C,0)),"")</f>
        <v>2</v>
      </c>
      <c r="G3556" s="34">
        <v>356</v>
      </c>
      <c r="H3556" s="34">
        <v>5280</v>
      </c>
      <c r="I3556" s="34" t="s">
        <v>1359</v>
      </c>
      <c r="J3556" s="48"/>
      <c r="K3556" s="48"/>
      <c r="L3556" s="48"/>
      <c r="M3556" s="48"/>
      <c r="N3556" s="59"/>
      <c r="O3556" s="59">
        <v>200000</v>
      </c>
      <c r="P3556" s="59"/>
      <c r="Q3556" s="268">
        <f t="shared" si="166"/>
        <v>200000</v>
      </c>
      <c r="R3556" s="61">
        <f>IF(O3556=0,0,SUMIFS(Disbursements!$T:$T,Disbursements!$B:$B,'Live Collections'!D3556,Disbursements!$D:$D,'Live Collections'!F3556))</f>
        <v>210000</v>
      </c>
      <c r="S3556" s="304">
        <f>IF(O3556&lt;=IF($O3556=0,0,SUMIFS(Disbursements!$W:$W,Disbursements!$B:$B,'Live Collections'!D3556,Disbursements!$D:$D,'Live Collections'!F3556)),O3556,IF($O3556=0,0,SUMIFS(Disbursements!$W:$W,Disbursements!$B:$B,'Live Collections'!D3556,Disbursements!$D:$D,'Live Collections'!F3556)))</f>
        <v>35000</v>
      </c>
      <c r="T3556" s="304"/>
      <c r="U3556" s="52"/>
      <c r="V3556" s="34"/>
      <c r="W3556" s="408"/>
    </row>
    <row r="3557" spans="1:23" ht="12.75" customHeight="1" x14ac:dyDescent="0.2">
      <c r="A3557" s="257">
        <v>3567</v>
      </c>
      <c r="B3557" s="44">
        <v>44642</v>
      </c>
      <c r="C3557" s="44">
        <f t="shared" si="168"/>
        <v>44642</v>
      </c>
      <c r="D3557" s="374">
        <v>205</v>
      </c>
      <c r="E3557" s="291" t="str">
        <f>IFERROR(VLOOKUP($D3557,'Clients-Live'!$A:$C,3,0),"")</f>
        <v>OPIRU ALICE</v>
      </c>
      <c r="F3557" s="291">
        <f>IFERROR(INDEX(Disbursements!$D:$D,MATCH('Live Collections'!G3557,Disbursements!$C:$C,0)),"")</f>
        <v>2</v>
      </c>
      <c r="G3557" s="34">
        <v>396</v>
      </c>
      <c r="H3557" s="34">
        <v>5281</v>
      </c>
      <c r="I3557" s="34" t="s">
        <v>1359</v>
      </c>
      <c r="J3557" s="48"/>
      <c r="K3557" s="48"/>
      <c r="L3557" s="48"/>
      <c r="M3557" s="48"/>
      <c r="N3557" s="59"/>
      <c r="O3557" s="59">
        <v>20000</v>
      </c>
      <c r="P3557" s="59"/>
      <c r="Q3557" s="268">
        <f t="shared" si="166"/>
        <v>20000</v>
      </c>
      <c r="R3557" s="61">
        <f>IF(O3557=0,0,SUMIFS(Disbursements!$T:$T,Disbursements!$B:$B,'Live Collections'!D3557,Disbursements!$D:$D,'Live Collections'!F3557))</f>
        <v>40000</v>
      </c>
      <c r="S3557" s="304">
        <f>IF(O3557&lt;=IF($O3557=0,0,SUMIFS(Disbursements!$W:$W,Disbursements!$B:$B,'Live Collections'!D3557,Disbursements!$D:$D,'Live Collections'!F3557)),O3557,IF($O3557=0,0,SUMIFS(Disbursements!$W:$W,Disbursements!$B:$B,'Live Collections'!D3557,Disbursements!$D:$D,'Live Collections'!F3557)))</f>
        <v>8750</v>
      </c>
      <c r="T3557" s="304">
        <f t="shared" si="167"/>
        <v>11250</v>
      </c>
      <c r="U3557" s="52"/>
      <c r="V3557" s="34"/>
      <c r="W3557" s="408"/>
    </row>
    <row r="3558" spans="1:23" ht="12.75" customHeight="1" x14ac:dyDescent="0.2">
      <c r="A3558" s="257">
        <v>3568</v>
      </c>
      <c r="B3558" s="44">
        <v>44642</v>
      </c>
      <c r="C3558" s="44">
        <f t="shared" si="168"/>
        <v>44642</v>
      </c>
      <c r="D3558" s="374">
        <v>109</v>
      </c>
      <c r="E3558" s="291" t="str">
        <f>IFERROR(VLOOKUP($D3558,'Clients-Live'!$A:$C,3,0),"")</f>
        <v>TABU KISA</v>
      </c>
      <c r="F3558" s="291">
        <f>IFERROR(INDEX(Disbursements!$D:$D,MATCH('Live Collections'!G3558,Disbursements!$C:$C,0)),"")</f>
        <v>2</v>
      </c>
      <c r="G3558" s="34">
        <v>237</v>
      </c>
      <c r="H3558" s="34">
        <v>5192</v>
      </c>
      <c r="I3558" s="34" t="s">
        <v>1357</v>
      </c>
      <c r="J3558" s="48"/>
      <c r="K3558" s="48"/>
      <c r="L3558" s="48"/>
      <c r="M3558" s="48"/>
      <c r="N3558" s="59">
        <v>20000</v>
      </c>
      <c r="O3558" s="59"/>
      <c r="P3558" s="59"/>
      <c r="Q3558" s="268">
        <f t="shared" si="166"/>
        <v>20000</v>
      </c>
      <c r="R3558" s="61">
        <f>IF(O3558=0,0,SUMIFS(Disbursements!$T:$T,Disbursements!$B:$B,'Live Collections'!D3558,Disbursements!$D:$D,'Live Collections'!F3558))</f>
        <v>0</v>
      </c>
      <c r="S3558" s="304">
        <f>IF(O3558&lt;=IF($O3558=0,0,SUMIFS(Disbursements!$W:$W,Disbursements!$B:$B,'Live Collections'!D3558,Disbursements!$D:$D,'Live Collections'!F3558)),O3558,IF($O3558=0,0,SUMIFS(Disbursements!$W:$W,Disbursements!$B:$B,'Live Collections'!D3558,Disbursements!$D:$D,'Live Collections'!F3558)))</f>
        <v>0</v>
      </c>
      <c r="T3558" s="304">
        <f t="shared" si="167"/>
        <v>0</v>
      </c>
      <c r="U3558" s="52"/>
      <c r="V3558" s="34"/>
      <c r="W3558" s="408"/>
    </row>
    <row r="3559" spans="1:23" ht="12.75" customHeight="1" x14ac:dyDescent="0.2">
      <c r="A3559" s="257">
        <v>3569</v>
      </c>
      <c r="B3559" s="44">
        <v>44642</v>
      </c>
      <c r="C3559" s="44">
        <f t="shared" si="168"/>
        <v>44642</v>
      </c>
      <c r="D3559" s="374">
        <v>109</v>
      </c>
      <c r="E3559" s="291" t="str">
        <f>IFERROR(VLOOKUP($D3559,'Clients-Live'!$A:$C,3,0),"")</f>
        <v>TABU KISA</v>
      </c>
      <c r="F3559" s="291">
        <f>IFERROR(INDEX(Disbursements!$D:$D,MATCH('Live Collections'!G3559,Disbursements!$C:$C,0)),"")</f>
        <v>2</v>
      </c>
      <c r="G3559" s="34">
        <v>237</v>
      </c>
      <c r="H3559" s="34">
        <v>5191</v>
      </c>
      <c r="I3559" s="34" t="s">
        <v>1357</v>
      </c>
      <c r="J3559" s="48"/>
      <c r="K3559" s="48"/>
      <c r="L3559" s="48"/>
      <c r="M3559" s="48"/>
      <c r="N3559" s="59"/>
      <c r="O3559" s="59">
        <v>100000</v>
      </c>
      <c r="P3559" s="59"/>
      <c r="Q3559" s="268">
        <f t="shared" si="166"/>
        <v>100000</v>
      </c>
      <c r="R3559" s="61">
        <f>IF(O3559=0,0,SUMIFS(Disbursements!$T:$T,Disbursements!$B:$B,'Live Collections'!D3559,Disbursements!$D:$D,'Live Collections'!F3559))</f>
        <v>275000</v>
      </c>
      <c r="S3559" s="304"/>
      <c r="T3559" s="304">
        <f t="shared" si="167"/>
        <v>100000</v>
      </c>
      <c r="U3559" s="52"/>
      <c r="V3559" s="34"/>
      <c r="W3559" s="408"/>
    </row>
    <row r="3560" spans="1:23" ht="12.75" customHeight="1" x14ac:dyDescent="0.2">
      <c r="A3560" s="257">
        <v>3570</v>
      </c>
      <c r="B3560" s="44">
        <v>44642</v>
      </c>
      <c r="C3560" s="44">
        <f t="shared" si="168"/>
        <v>44642</v>
      </c>
      <c r="D3560" s="374">
        <v>210</v>
      </c>
      <c r="E3560" s="291" t="str">
        <f>IFERROR(VLOOKUP($D3560,'Clients-Live'!$A:$C,3,0),"")</f>
        <v>ADRILI ZAHARA</v>
      </c>
      <c r="F3560" s="291">
        <f>IFERROR(INDEX(Disbursements!$D:$D,MATCH('Live Collections'!G3560,Disbursements!$C:$C,0)),"")</f>
        <v>2</v>
      </c>
      <c r="G3560" s="34">
        <v>379</v>
      </c>
      <c r="H3560" s="34">
        <v>5190</v>
      </c>
      <c r="I3560" s="34" t="s">
        <v>1357</v>
      </c>
      <c r="J3560" s="48"/>
      <c r="K3560" s="48"/>
      <c r="L3560" s="48"/>
      <c r="M3560" s="48"/>
      <c r="N3560" s="59"/>
      <c r="O3560" s="59">
        <v>25000</v>
      </c>
      <c r="P3560" s="59"/>
      <c r="Q3560" s="268">
        <f t="shared" si="166"/>
        <v>25000</v>
      </c>
      <c r="R3560" s="61">
        <f>IF(O3560=0,0,SUMIFS(Disbursements!$T:$T,Disbursements!$B:$B,'Live Collections'!D3560,Disbursements!$D:$D,'Live Collections'!F3560))</f>
        <v>175000</v>
      </c>
      <c r="S3560" s="304">
        <f>IF(O3560&lt;=IF($O3560=0,0,SUMIFS(Disbursements!$W:$W,Disbursements!$B:$B,'Live Collections'!D3560,Disbursements!$D:$D,'Live Collections'!F3560)),O3560,IF($O3560=0,0,SUMIFS(Disbursements!$W:$W,Disbursements!$B:$B,'Live Collections'!D3560,Disbursements!$D:$D,'Live Collections'!F3560)))</f>
        <v>25000</v>
      </c>
      <c r="T3560" s="304">
        <f t="shared" si="167"/>
        <v>0</v>
      </c>
      <c r="U3560" s="52"/>
      <c r="V3560" s="34"/>
      <c r="W3560" s="408"/>
    </row>
    <row r="3561" spans="1:23" ht="12.75" customHeight="1" x14ac:dyDescent="0.2">
      <c r="A3561" s="257">
        <v>3571</v>
      </c>
      <c r="B3561" s="44">
        <v>44642</v>
      </c>
      <c r="C3561" s="44">
        <f t="shared" si="168"/>
        <v>44642</v>
      </c>
      <c r="D3561" s="374">
        <v>311</v>
      </c>
      <c r="E3561" s="291" t="str">
        <f>IFERROR(VLOOKUP($D3561,'Clients-Live'!$A:$C,3,0),"")</f>
        <v>PATRICK OKUONZI</v>
      </c>
      <c r="F3561" s="291">
        <f>IFERROR(INDEX(Disbursements!$D:$D,MATCH('Live Collections'!G3561,Disbursements!$C:$C,0)),"")</f>
        <v>2</v>
      </c>
      <c r="G3561" s="34">
        <v>420</v>
      </c>
      <c r="H3561" s="34" t="s">
        <v>2239</v>
      </c>
      <c r="I3561" s="34" t="s">
        <v>1358</v>
      </c>
      <c r="J3561" s="48"/>
      <c r="K3561" s="48"/>
      <c r="L3561" s="48"/>
      <c r="M3561" s="48"/>
      <c r="N3561" s="59"/>
      <c r="O3561" s="59">
        <v>50500</v>
      </c>
      <c r="P3561" s="59">
        <v>-50000</v>
      </c>
      <c r="Q3561" s="268">
        <f t="shared" si="166"/>
        <v>500</v>
      </c>
      <c r="R3561" s="61">
        <f>IF(O3561=0,0,SUMIFS(Disbursements!$T:$T,Disbursements!$B:$B,'Live Collections'!D3561,Disbursements!$D:$D,'Live Collections'!F3561))</f>
        <v>538000</v>
      </c>
      <c r="S3561" s="304"/>
      <c r="T3561" s="304">
        <f t="shared" si="167"/>
        <v>50500</v>
      </c>
      <c r="U3561" s="52"/>
      <c r="V3561" s="34"/>
      <c r="W3561" s="408"/>
    </row>
    <row r="3562" spans="1:23" ht="12.75" customHeight="1" x14ac:dyDescent="0.2">
      <c r="A3562" s="257">
        <v>3572</v>
      </c>
      <c r="B3562" s="44">
        <v>44642</v>
      </c>
      <c r="C3562" s="44">
        <f t="shared" si="168"/>
        <v>44642</v>
      </c>
      <c r="D3562" s="374">
        <v>250</v>
      </c>
      <c r="E3562" s="291" t="str">
        <f>IFERROR(VLOOKUP($D3562,'Clients-Live'!$A:$C,3,0),"")</f>
        <v>SAKAYA AMINA</v>
      </c>
      <c r="F3562" s="291" t="str">
        <f>IFERROR(INDEX(Disbursements!$D:$D,MATCH('Live Collections'!G3562,Disbursements!$C:$C,0)),"")</f>
        <v/>
      </c>
      <c r="G3562" s="34"/>
      <c r="H3562" s="34">
        <v>5287</v>
      </c>
      <c r="I3562" s="34" t="s">
        <v>1357</v>
      </c>
      <c r="J3562" s="48"/>
      <c r="K3562" s="48"/>
      <c r="L3562" s="48">
        <v>15000</v>
      </c>
      <c r="M3562" s="48">
        <v>5000</v>
      </c>
      <c r="N3562" s="59"/>
      <c r="O3562" s="59"/>
      <c r="P3562" s="59"/>
      <c r="Q3562" s="268">
        <f t="shared" si="166"/>
        <v>20000</v>
      </c>
      <c r="R3562" s="61">
        <f>IF(O3562=0,0,SUMIFS(Disbursements!$T:$T,Disbursements!$B:$B,'Live Collections'!D3562,Disbursements!$D:$D,'Live Collections'!F3562))</f>
        <v>0</v>
      </c>
      <c r="S3562" s="304">
        <f>IF(O3562&lt;=IF($O3562=0,0,SUMIFS(Disbursements!$W:$W,Disbursements!$B:$B,'Live Collections'!D3562,Disbursements!$D:$D,'Live Collections'!F3562)),O3562,IF($O3562=0,0,SUMIFS(Disbursements!$W:$W,Disbursements!$B:$B,'Live Collections'!D3562,Disbursements!$D:$D,'Live Collections'!F3562)))</f>
        <v>0</v>
      </c>
      <c r="T3562" s="304">
        <f t="shared" si="167"/>
        <v>0</v>
      </c>
      <c r="U3562" s="52"/>
      <c r="V3562" s="34"/>
      <c r="W3562" s="408"/>
    </row>
    <row r="3563" spans="1:23" ht="12.75" customHeight="1" x14ac:dyDescent="0.2">
      <c r="A3563" s="257">
        <v>3573</v>
      </c>
      <c r="B3563" s="44">
        <v>44642</v>
      </c>
      <c r="C3563" s="44">
        <f t="shared" si="168"/>
        <v>44642</v>
      </c>
      <c r="D3563" s="374">
        <v>338</v>
      </c>
      <c r="E3563" s="291" t="str">
        <f>IFERROR(VLOOKUP($D3563,'Clients-Live'!$A:$C,3,0),"")</f>
        <v>ASERU MARY</v>
      </c>
      <c r="F3563" s="291">
        <f>IFERROR(INDEX(Disbursements!$D:$D,MATCH('Live Collections'!G3563,Disbursements!$C:$C,0)),"")</f>
        <v>1</v>
      </c>
      <c r="G3563" s="34">
        <v>480</v>
      </c>
      <c r="H3563" s="34">
        <v>5410</v>
      </c>
      <c r="I3563" s="34" t="s">
        <v>1358</v>
      </c>
      <c r="J3563" s="48"/>
      <c r="K3563" s="48"/>
      <c r="L3563" s="48"/>
      <c r="M3563" s="48"/>
      <c r="N3563" s="59"/>
      <c r="O3563" s="59"/>
      <c r="P3563" s="59">
        <v>30000</v>
      </c>
      <c r="Q3563" s="268">
        <f t="shared" si="166"/>
        <v>30000</v>
      </c>
      <c r="R3563" s="61">
        <f>IF(O3563=0,0,SUMIFS(Disbursements!$T:$T,Disbursements!$B:$B,'Live Collections'!D3563,Disbursements!$D:$D,'Live Collections'!F3563))</f>
        <v>0</v>
      </c>
      <c r="S3563" s="304">
        <f>IF(O3563&lt;=IF($O3563=0,0,SUMIFS(Disbursements!$W:$W,Disbursements!$B:$B,'Live Collections'!D3563,Disbursements!$D:$D,'Live Collections'!F3563)),O3563,IF($O3563=0,0,SUMIFS(Disbursements!$W:$W,Disbursements!$B:$B,'Live Collections'!D3563,Disbursements!$D:$D,'Live Collections'!F3563)))</f>
        <v>0</v>
      </c>
      <c r="T3563" s="304">
        <f t="shared" si="167"/>
        <v>0</v>
      </c>
      <c r="U3563" s="52"/>
      <c r="V3563" s="34"/>
      <c r="W3563" s="408"/>
    </row>
    <row r="3564" spans="1:23" ht="12.75" customHeight="1" x14ac:dyDescent="0.2">
      <c r="A3564" s="257">
        <v>3574</v>
      </c>
      <c r="B3564" s="44">
        <v>44642</v>
      </c>
      <c r="C3564" s="44">
        <f t="shared" si="168"/>
        <v>44642</v>
      </c>
      <c r="D3564" s="374">
        <v>250</v>
      </c>
      <c r="E3564" s="291" t="str">
        <f>IFERROR(VLOOKUP($D3564,'Clients-Live'!$A:$C,3,0),"")</f>
        <v>SAKAYA AMINA</v>
      </c>
      <c r="F3564" s="291">
        <f>IFERROR(INDEX(Disbursements!$D:$D,MATCH('Live Collections'!G3564,Disbursements!$C:$C,0)),"")</f>
        <v>2</v>
      </c>
      <c r="G3564" s="34">
        <v>374</v>
      </c>
      <c r="H3564" s="34" t="s">
        <v>2240</v>
      </c>
      <c r="I3564" s="34" t="s">
        <v>1357</v>
      </c>
      <c r="J3564" s="48"/>
      <c r="K3564" s="48"/>
      <c r="L3564" s="48"/>
      <c r="M3564" s="48"/>
      <c r="N3564" s="59"/>
      <c r="O3564" s="59">
        <v>40000</v>
      </c>
      <c r="P3564" s="59">
        <v>-40000</v>
      </c>
      <c r="Q3564" s="268">
        <f t="shared" ref="Q3564:Q3627" si="169">SUM(J3564:P3564)</f>
        <v>0</v>
      </c>
      <c r="R3564" s="61">
        <f>IF(O3564=0,0,SUMIFS(Disbursements!$T:$T,Disbursements!$B:$B,'Live Collections'!D3564,Disbursements!$D:$D,'Live Collections'!F3564))</f>
        <v>120000</v>
      </c>
      <c r="S3564" s="304">
        <f>IF(O3564&lt;=IF($O3564=0,0,SUMIFS(Disbursements!$W:$W,Disbursements!$B:$B,'Live Collections'!D3564,Disbursements!$D:$D,'Live Collections'!F3564)),O3564,IF($O3564=0,0,SUMIFS(Disbursements!$W:$W,Disbursements!$B:$B,'Live Collections'!D3564,Disbursements!$D:$D,'Live Collections'!F3564)))</f>
        <v>20000</v>
      </c>
      <c r="T3564" s="304">
        <f t="shared" si="167"/>
        <v>20000</v>
      </c>
      <c r="U3564" s="52"/>
      <c r="V3564" s="34"/>
      <c r="W3564" s="408"/>
    </row>
    <row r="3565" spans="1:23" ht="12.75" customHeight="1" x14ac:dyDescent="0.2">
      <c r="A3565" s="257">
        <v>3575</v>
      </c>
      <c r="B3565" s="44">
        <v>44642</v>
      </c>
      <c r="C3565" s="44">
        <f t="shared" si="168"/>
        <v>44642</v>
      </c>
      <c r="D3565" s="374">
        <v>250</v>
      </c>
      <c r="E3565" s="291" t="str">
        <f>IFERROR(VLOOKUP($D3565,'Clients-Live'!$A:$C,3,0),"")</f>
        <v>SAKAYA AMINA</v>
      </c>
      <c r="F3565" s="291">
        <f>IFERROR(INDEX(Disbursements!$D:$D,MATCH('Live Collections'!G3565,Disbursements!$C:$C,0)),"")</f>
        <v>2</v>
      </c>
      <c r="G3565" s="34">
        <v>374</v>
      </c>
      <c r="H3565" s="34">
        <v>5415</v>
      </c>
      <c r="I3565" s="34" t="s">
        <v>1357</v>
      </c>
      <c r="J3565" s="48"/>
      <c r="K3565" s="48"/>
      <c r="L3565" s="48"/>
      <c r="M3565" s="48"/>
      <c r="N3565" s="59"/>
      <c r="O3565" s="59">
        <v>20000</v>
      </c>
      <c r="P3565" s="59"/>
      <c r="Q3565" s="268">
        <f t="shared" si="169"/>
        <v>20000</v>
      </c>
      <c r="R3565" s="61">
        <f>IF(O3565=0,0,SUMIFS(Disbursements!$T:$T,Disbursements!$B:$B,'Live Collections'!D3565,Disbursements!$D:$D,'Live Collections'!F3565))</f>
        <v>120000</v>
      </c>
      <c r="S3565" s="304">
        <f>IF(O3565&lt;=IF($O3565=0,0,SUMIFS(Disbursements!$W:$W,Disbursements!$B:$B,'Live Collections'!D3565,Disbursements!$D:$D,'Live Collections'!F3565)),O3565,IF($O3565=0,0,SUMIFS(Disbursements!$W:$W,Disbursements!$B:$B,'Live Collections'!D3565,Disbursements!$D:$D,'Live Collections'!F3565)))</f>
        <v>20000</v>
      </c>
      <c r="T3565" s="304">
        <f t="shared" si="167"/>
        <v>0</v>
      </c>
      <c r="U3565" s="52"/>
      <c r="V3565" s="34"/>
      <c r="W3565" s="408"/>
    </row>
    <row r="3566" spans="1:23" ht="12.75" customHeight="1" x14ac:dyDescent="0.2">
      <c r="A3566" s="257">
        <v>3576</v>
      </c>
      <c r="B3566" s="44">
        <v>44642</v>
      </c>
      <c r="C3566" s="44">
        <f t="shared" si="168"/>
        <v>44642</v>
      </c>
      <c r="D3566" s="374">
        <v>61</v>
      </c>
      <c r="E3566" s="291" t="str">
        <f>IFERROR(VLOOKUP($D3566,'Clients-Live'!$A:$C,3,0),"")</f>
        <v>AREDU RUKIA</v>
      </c>
      <c r="F3566" s="291">
        <f>IFERROR(INDEX(Disbursements!$D:$D,MATCH('Live Collections'!G3566,Disbursements!$C:$C,0)),"")</f>
        <v>3</v>
      </c>
      <c r="G3566" s="34">
        <v>479</v>
      </c>
      <c r="H3566" s="34">
        <v>5414</v>
      </c>
      <c r="I3566" s="34" t="s">
        <v>1359</v>
      </c>
      <c r="J3566" s="48"/>
      <c r="K3566" s="48"/>
      <c r="L3566" s="48"/>
      <c r="M3566" s="48"/>
      <c r="N3566" s="59"/>
      <c r="O3566" s="59"/>
      <c r="P3566" s="59">
        <v>30000</v>
      </c>
      <c r="Q3566" s="268">
        <f t="shared" si="169"/>
        <v>30000</v>
      </c>
      <c r="R3566" s="61">
        <f>IF(O3566=0,0,SUMIFS(Disbursements!$T:$T,Disbursements!$B:$B,'Live Collections'!D3566,Disbursements!$D:$D,'Live Collections'!F3566))</f>
        <v>0</v>
      </c>
      <c r="S3566" s="304">
        <f>IF(O3566&lt;=IF($O3566=0,0,SUMIFS(Disbursements!$W:$W,Disbursements!$B:$B,'Live Collections'!D3566,Disbursements!$D:$D,'Live Collections'!F3566)),O3566,IF($O3566=0,0,SUMIFS(Disbursements!$W:$W,Disbursements!$B:$B,'Live Collections'!D3566,Disbursements!$D:$D,'Live Collections'!F3566)))</f>
        <v>0</v>
      </c>
      <c r="T3566" s="304">
        <f t="shared" si="167"/>
        <v>0</v>
      </c>
      <c r="U3566" s="52"/>
      <c r="V3566" s="34"/>
      <c r="W3566" s="408"/>
    </row>
    <row r="3567" spans="1:23" ht="12.75" customHeight="1" x14ac:dyDescent="0.2">
      <c r="A3567" s="257">
        <v>3577</v>
      </c>
      <c r="B3567" s="44">
        <v>44642</v>
      </c>
      <c r="C3567" s="44">
        <f t="shared" si="168"/>
        <v>44642</v>
      </c>
      <c r="D3567" s="374">
        <v>63</v>
      </c>
      <c r="E3567" s="291" t="str">
        <f>IFERROR(VLOOKUP($D3567,'Clients-Live'!$A:$C,3,0),"")</f>
        <v>AWURU KADARA</v>
      </c>
      <c r="F3567" s="291">
        <f>IFERROR(INDEX(Disbursements!$D:$D,MATCH('Live Collections'!G3567,Disbursements!$C:$C,0)),"")</f>
        <v>3</v>
      </c>
      <c r="G3567" s="34">
        <v>375</v>
      </c>
      <c r="H3567" s="34">
        <v>5286</v>
      </c>
      <c r="I3567" s="34" t="s">
        <v>1357</v>
      </c>
      <c r="J3567" s="48"/>
      <c r="K3567" s="48"/>
      <c r="L3567" s="48"/>
      <c r="M3567" s="48"/>
      <c r="N3567" s="59"/>
      <c r="O3567" s="59">
        <v>100000</v>
      </c>
      <c r="P3567" s="59"/>
      <c r="Q3567" s="268">
        <f t="shared" si="169"/>
        <v>100000</v>
      </c>
      <c r="R3567" s="61">
        <f>IF(O3567=0,0,SUMIFS(Disbursements!$T:$T,Disbursements!$B:$B,'Live Collections'!D3567,Disbursements!$D:$D,'Live Collections'!F3567))</f>
        <v>175000</v>
      </c>
      <c r="S3567" s="304">
        <f>IF(O3567&lt;=IF($O3567=0,0,SUMIFS(Disbursements!$W:$W,Disbursements!$B:$B,'Live Collections'!D3567,Disbursements!$D:$D,'Live Collections'!F3567)),O3567,IF($O3567=0,0,SUMIFS(Disbursements!$W:$W,Disbursements!$B:$B,'Live Collections'!D3567,Disbursements!$D:$D,'Live Collections'!F3567)))</f>
        <v>35000</v>
      </c>
      <c r="T3567" s="304">
        <f t="shared" si="167"/>
        <v>65000</v>
      </c>
      <c r="U3567" s="52"/>
      <c r="V3567" s="34"/>
      <c r="W3567" s="408"/>
    </row>
    <row r="3568" spans="1:23" ht="12.75" customHeight="1" x14ac:dyDescent="0.2">
      <c r="A3568" s="257">
        <v>3578</v>
      </c>
      <c r="B3568" s="44">
        <v>44642</v>
      </c>
      <c r="C3568" s="44">
        <f t="shared" si="168"/>
        <v>44642</v>
      </c>
      <c r="D3568" s="374">
        <v>105</v>
      </c>
      <c r="E3568" s="291" t="str">
        <f>IFERROR(VLOOKUP($D3568,'Clients-Live'!$A:$C,3,0),"")</f>
        <v>NUKA ROSE</v>
      </c>
      <c r="F3568" s="291">
        <f>IFERROR(INDEX(Disbursements!$D:$D,MATCH('Live Collections'!G3568,Disbursements!$C:$C,0)),"")</f>
        <v>2</v>
      </c>
      <c r="G3568" s="34">
        <v>259</v>
      </c>
      <c r="H3568" s="34" t="s">
        <v>2241</v>
      </c>
      <c r="I3568" s="34" t="s">
        <v>1359</v>
      </c>
      <c r="J3568" s="48"/>
      <c r="K3568" s="48"/>
      <c r="L3568" s="48"/>
      <c r="M3568" s="48"/>
      <c r="N3568" s="59"/>
      <c r="O3568" s="59">
        <v>40000</v>
      </c>
      <c r="P3568" s="59">
        <v>-40000</v>
      </c>
      <c r="Q3568" s="268">
        <f t="shared" si="169"/>
        <v>0</v>
      </c>
      <c r="R3568" s="61">
        <f>IF(O3568=0,0,SUMIFS(Disbursements!$T:$T,Disbursements!$B:$B,'Live Collections'!D3568,Disbursements!$D:$D,'Live Collections'!F3568))</f>
        <v>100000</v>
      </c>
      <c r="S3568" s="304"/>
      <c r="T3568" s="304">
        <f t="shared" si="167"/>
        <v>40000</v>
      </c>
      <c r="U3568" s="52"/>
      <c r="V3568" s="34"/>
      <c r="W3568" s="408"/>
    </row>
    <row r="3569" spans="1:23" ht="12.75" customHeight="1" x14ac:dyDescent="0.2">
      <c r="A3569" s="257">
        <v>3579</v>
      </c>
      <c r="B3569" s="44">
        <v>44642</v>
      </c>
      <c r="C3569" s="44">
        <f t="shared" si="168"/>
        <v>44642</v>
      </c>
      <c r="D3569" s="374">
        <v>22</v>
      </c>
      <c r="E3569" s="291" t="str">
        <f>IFERROR(VLOOKUP($D3569,'Clients-Live'!$A:$C,3,0),"")</f>
        <v>DATA ISMAIL FATARI</v>
      </c>
      <c r="F3569" s="291">
        <f>IFERROR(INDEX(Disbursements!$D:$D,MATCH('Live Collections'!G3569,Disbursements!$C:$C,0)),"")</f>
        <v>2</v>
      </c>
      <c r="G3569" s="34">
        <v>381</v>
      </c>
      <c r="H3569" s="34">
        <v>5412</v>
      </c>
      <c r="I3569" s="34" t="s">
        <v>1359</v>
      </c>
      <c r="J3569" s="48"/>
      <c r="K3569" s="48"/>
      <c r="L3569" s="48"/>
      <c r="M3569" s="48"/>
      <c r="N3569" s="59"/>
      <c r="O3569" s="59">
        <v>20000</v>
      </c>
      <c r="P3569" s="59"/>
      <c r="Q3569" s="268">
        <f t="shared" si="169"/>
        <v>20000</v>
      </c>
      <c r="R3569" s="61">
        <f>IF(O3569=0,0,SUMIFS(Disbursements!$T:$T,Disbursements!$B:$B,'Live Collections'!D3569,Disbursements!$D:$D,'Live Collections'!F3569))</f>
        <v>210000</v>
      </c>
      <c r="S3569" s="304">
        <f>IF(O3569&lt;=IF($O3569=0,0,SUMIFS(Disbursements!$W:$W,Disbursements!$B:$B,'Live Collections'!D3569,Disbursements!$D:$D,'Live Collections'!F3569)),O3569,IF($O3569=0,0,SUMIFS(Disbursements!$W:$W,Disbursements!$B:$B,'Live Collections'!D3569,Disbursements!$D:$D,'Live Collections'!F3569)))</f>
        <v>20000</v>
      </c>
      <c r="T3569" s="304">
        <f t="shared" si="167"/>
        <v>0</v>
      </c>
      <c r="U3569" s="52"/>
      <c r="V3569" s="34"/>
      <c r="W3569" s="408"/>
    </row>
    <row r="3570" spans="1:23" ht="12.75" customHeight="1" x14ac:dyDescent="0.2">
      <c r="A3570" s="257">
        <v>3580</v>
      </c>
      <c r="B3570" s="44">
        <v>44643</v>
      </c>
      <c r="C3570" s="44">
        <f t="shared" si="168"/>
        <v>44643</v>
      </c>
      <c r="D3570" s="374">
        <v>218</v>
      </c>
      <c r="E3570" s="291" t="str">
        <f>IFERROR(VLOOKUP($D3570,'Clients-Live'!$A:$C,3,0),"")</f>
        <v>BUSURA OMAR</v>
      </c>
      <c r="F3570" s="291">
        <f>IFERROR(INDEX(Disbursements!$D:$D,MATCH('Live Collections'!G3570,Disbursements!$C:$C,0)),"")</f>
        <v>2</v>
      </c>
      <c r="G3570" s="34">
        <v>456</v>
      </c>
      <c r="H3570" s="34">
        <v>5421</v>
      </c>
      <c r="I3570" s="34" t="s">
        <v>1357</v>
      </c>
      <c r="J3570" s="48"/>
      <c r="K3570" s="48"/>
      <c r="L3570" s="48"/>
      <c r="M3570" s="48"/>
      <c r="N3570" s="59"/>
      <c r="O3570" s="59">
        <v>35000</v>
      </c>
      <c r="P3570" s="59"/>
      <c r="Q3570" s="268">
        <f t="shared" si="169"/>
        <v>35000</v>
      </c>
      <c r="R3570" s="61">
        <f>IF(O3570=0,0,SUMIFS(Disbursements!$T:$T,Disbursements!$B:$B,'Live Collections'!D3570,Disbursements!$D:$D,'Live Collections'!F3570))</f>
        <v>35000</v>
      </c>
      <c r="S3570" s="304">
        <f>IF(O3570&lt;=IF($O3570=0,0,SUMIFS(Disbursements!$W:$W,Disbursements!$B:$B,'Live Collections'!D3570,Disbursements!$D:$D,'Live Collections'!F3570)),O3570,IF($O3570=0,0,SUMIFS(Disbursements!$W:$W,Disbursements!$B:$B,'Live Collections'!D3570,Disbursements!$D:$D,'Live Collections'!F3570)))</f>
        <v>10000</v>
      </c>
      <c r="T3570" s="304">
        <f t="shared" si="167"/>
        <v>25000</v>
      </c>
      <c r="U3570" s="52"/>
      <c r="V3570" s="34"/>
      <c r="W3570" s="408"/>
    </row>
    <row r="3571" spans="1:23" ht="12.75" customHeight="1" x14ac:dyDescent="0.2">
      <c r="A3571" s="257">
        <v>3581</v>
      </c>
      <c r="B3571" s="44">
        <v>44643</v>
      </c>
      <c r="C3571" s="44">
        <f t="shared" si="168"/>
        <v>44643</v>
      </c>
      <c r="D3571" s="374">
        <v>169</v>
      </c>
      <c r="E3571" s="291" t="str">
        <f>IFERROR(VLOOKUP($D3571,'Clients-Live'!$A:$C,3,0),"")</f>
        <v>KATO KENNEDY</v>
      </c>
      <c r="F3571" s="291">
        <f>IFERROR(INDEX(Disbursements!$D:$D,MATCH('Live Collections'!G3571,Disbursements!$C:$C,0)),"")</f>
        <v>2</v>
      </c>
      <c r="G3571" s="34">
        <v>394</v>
      </c>
      <c r="H3571" s="34">
        <v>5422</v>
      </c>
      <c r="I3571" s="34" t="s">
        <v>1357</v>
      </c>
      <c r="J3571" s="48"/>
      <c r="K3571" s="48"/>
      <c r="L3571" s="48"/>
      <c r="M3571" s="48"/>
      <c r="N3571" s="59"/>
      <c r="O3571" s="59">
        <v>58000</v>
      </c>
      <c r="P3571" s="59"/>
      <c r="Q3571" s="268">
        <f t="shared" si="169"/>
        <v>58000</v>
      </c>
      <c r="R3571" s="61">
        <f>IF(O3571=0,0,SUMIFS(Disbursements!$T:$T,Disbursements!$B:$B,'Live Collections'!D3571,Disbursements!$D:$D,'Live Collections'!F3571))</f>
        <v>58000</v>
      </c>
      <c r="S3571" s="304">
        <f>IF(O3571&lt;=IF($O3571=0,0,SUMIFS(Disbursements!$W:$W,Disbursements!$B:$B,'Live Collections'!D3571,Disbursements!$D:$D,'Live Collections'!F3571)),O3571,IF($O3571=0,0,SUMIFS(Disbursements!$W:$W,Disbursements!$B:$B,'Live Collections'!D3571,Disbursements!$D:$D,'Live Collections'!F3571)))</f>
        <v>16333.333333333336</v>
      </c>
      <c r="T3571" s="304">
        <f t="shared" si="167"/>
        <v>41666.666666666664</v>
      </c>
      <c r="U3571" s="52"/>
      <c r="V3571" s="34"/>
      <c r="W3571" s="408"/>
    </row>
    <row r="3572" spans="1:23" ht="12.75" customHeight="1" x14ac:dyDescent="0.2">
      <c r="A3572" s="257">
        <v>3582</v>
      </c>
      <c r="B3572" s="44">
        <v>44643</v>
      </c>
      <c r="C3572" s="44">
        <f t="shared" si="168"/>
        <v>44643</v>
      </c>
      <c r="D3572" s="374">
        <v>271</v>
      </c>
      <c r="E3572" s="291" t="str">
        <f>IFERROR(VLOOKUP($D3572,'Clients-Live'!$A:$C,3,0),"")</f>
        <v>ALORO SAIDI</v>
      </c>
      <c r="F3572" s="291">
        <f>IFERROR(INDEX(Disbursements!$D:$D,MATCH('Live Collections'!G3572,Disbursements!$C:$C,0)),"")</f>
        <v>1</v>
      </c>
      <c r="G3572" s="34">
        <v>319</v>
      </c>
      <c r="H3572" s="34">
        <v>5420</v>
      </c>
      <c r="I3572" s="34" t="s">
        <v>1357</v>
      </c>
      <c r="J3572" s="48"/>
      <c r="K3572" s="48"/>
      <c r="L3572" s="48"/>
      <c r="M3572" s="48"/>
      <c r="N3572" s="59"/>
      <c r="O3572" s="59">
        <v>20000</v>
      </c>
      <c r="P3572" s="59"/>
      <c r="Q3572" s="268">
        <f t="shared" si="169"/>
        <v>20000</v>
      </c>
      <c r="R3572" s="61">
        <f>IF(O3572=0,0,SUMIFS(Disbursements!$T:$T,Disbursements!$B:$B,'Live Collections'!D3572,Disbursements!$D:$D,'Live Collections'!F3572))</f>
        <v>120000</v>
      </c>
      <c r="S3572" s="304"/>
      <c r="T3572" s="304">
        <f t="shared" si="167"/>
        <v>20000</v>
      </c>
      <c r="U3572" s="52"/>
      <c r="V3572" s="34"/>
      <c r="W3572" s="408"/>
    </row>
    <row r="3573" spans="1:23" ht="12.75" customHeight="1" x14ac:dyDescent="0.2">
      <c r="A3573" s="257">
        <v>3583</v>
      </c>
      <c r="B3573" s="44">
        <v>44643</v>
      </c>
      <c r="C3573" s="44">
        <f t="shared" si="168"/>
        <v>44643</v>
      </c>
      <c r="D3573" s="374">
        <v>242</v>
      </c>
      <c r="E3573" s="291" t="str">
        <f>IFERROR(VLOOKUP($D3573,'Clients-Live'!$A:$C,3,0),"")</f>
        <v>BAKOKO FLAVIA</v>
      </c>
      <c r="F3573" s="291">
        <f>IFERROR(INDEX(Disbursements!$D:$D,MATCH('Live Collections'!G3573,Disbursements!$C:$C,0)),"")</f>
        <v>1</v>
      </c>
      <c r="G3573" s="34">
        <v>277</v>
      </c>
      <c r="H3573" s="34">
        <v>5356</v>
      </c>
      <c r="I3573" s="34" t="s">
        <v>1359</v>
      </c>
      <c r="J3573" s="48"/>
      <c r="K3573" s="48"/>
      <c r="L3573" s="48"/>
      <c r="M3573" s="48"/>
      <c r="N3573" s="59"/>
      <c r="O3573" s="59">
        <v>50000</v>
      </c>
      <c r="P3573" s="59"/>
      <c r="Q3573" s="268">
        <f t="shared" si="169"/>
        <v>50000</v>
      </c>
      <c r="R3573" s="61">
        <f>IF(O3573=0,0,SUMIFS(Disbursements!$T:$T,Disbursements!$B:$B,'Live Collections'!D3573,Disbursements!$D:$D,'Live Collections'!F3573))</f>
        <v>217000</v>
      </c>
      <c r="S3573" s="304">
        <f>IF(O3573&lt;=IF($O3573=0,0,SUMIFS(Disbursements!$W:$W,Disbursements!$B:$B,'Live Collections'!D3573,Disbursements!$D:$D,'Live Collections'!F3573)),O3573,IF($O3573=0,0,SUMIFS(Disbursements!$W:$W,Disbursements!$B:$B,'Live Collections'!D3573,Disbursements!$D:$D,'Live Collections'!F3573)))</f>
        <v>50000</v>
      </c>
      <c r="T3573" s="304">
        <f t="shared" si="167"/>
        <v>0</v>
      </c>
      <c r="U3573" s="52"/>
      <c r="V3573" s="34"/>
      <c r="W3573" s="408"/>
    </row>
    <row r="3574" spans="1:23" ht="12.75" customHeight="1" x14ac:dyDescent="0.2">
      <c r="A3574" s="257">
        <v>3584</v>
      </c>
      <c r="B3574" s="44">
        <v>44643</v>
      </c>
      <c r="C3574" s="44">
        <f t="shared" si="168"/>
        <v>44643</v>
      </c>
      <c r="D3574" s="374">
        <v>340</v>
      </c>
      <c r="E3574" s="291" t="str">
        <f>IFERROR(VLOOKUP($D3574,'Clients-Live'!$A:$C,3,0),"")</f>
        <v>NIGHT RAIMA</v>
      </c>
      <c r="F3574" s="291">
        <f>IFERROR(INDEX(Disbursements!$D:$D,MATCH('Live Collections'!G3574,Disbursements!$C:$C,0)),"")</f>
        <v>1</v>
      </c>
      <c r="G3574" s="34">
        <v>481</v>
      </c>
      <c r="H3574" s="34">
        <v>5417</v>
      </c>
      <c r="I3574" s="34" t="s">
        <v>1358</v>
      </c>
      <c r="J3574" s="48"/>
      <c r="K3574" s="48"/>
      <c r="L3574" s="48"/>
      <c r="M3574" s="48"/>
      <c r="N3574" s="59"/>
      <c r="O3574" s="59"/>
      <c r="P3574" s="59">
        <v>60000</v>
      </c>
      <c r="Q3574" s="268">
        <f t="shared" si="169"/>
        <v>60000</v>
      </c>
      <c r="R3574" s="61">
        <f>IF(O3574=0,0,SUMIFS(Disbursements!$T:$T,Disbursements!$B:$B,'Live Collections'!D3574,Disbursements!$D:$D,'Live Collections'!F3574))</f>
        <v>0</v>
      </c>
      <c r="S3574" s="304">
        <f>IF(O3574&lt;=IF($O3574=0,0,SUMIFS(Disbursements!$W:$W,Disbursements!$B:$B,'Live Collections'!D3574,Disbursements!$D:$D,'Live Collections'!F3574)),O3574,IF($O3574=0,0,SUMIFS(Disbursements!$W:$W,Disbursements!$B:$B,'Live Collections'!D3574,Disbursements!$D:$D,'Live Collections'!F3574)))</f>
        <v>0</v>
      </c>
      <c r="T3574" s="304">
        <f t="shared" si="167"/>
        <v>0</v>
      </c>
      <c r="U3574" s="52"/>
      <c r="V3574" s="34"/>
      <c r="W3574" s="408"/>
    </row>
    <row r="3575" spans="1:23" ht="12.75" customHeight="1" x14ac:dyDescent="0.2">
      <c r="A3575" s="257">
        <v>3585</v>
      </c>
      <c r="B3575" s="44">
        <v>44643</v>
      </c>
      <c r="C3575" s="44">
        <f t="shared" si="168"/>
        <v>44643</v>
      </c>
      <c r="D3575" s="374">
        <v>238</v>
      </c>
      <c r="E3575" s="291" t="str">
        <f>IFERROR(VLOOKUP($D3575,'Clients-Live'!$A:$C,3,0),"")</f>
        <v>ANGAIKA SAID</v>
      </c>
      <c r="F3575" s="291">
        <f>IFERROR(INDEX(Disbursements!$D:$D,MATCH('Live Collections'!G3575,Disbursements!$C:$C,0)),"")</f>
        <v>2</v>
      </c>
      <c r="G3575" s="34">
        <v>441</v>
      </c>
      <c r="H3575" s="34">
        <v>5366</v>
      </c>
      <c r="I3575" s="34" t="s">
        <v>1359</v>
      </c>
      <c r="J3575" s="48"/>
      <c r="K3575" s="48"/>
      <c r="L3575" s="48"/>
      <c r="M3575" s="48"/>
      <c r="N3575" s="59"/>
      <c r="O3575" s="59">
        <v>41200</v>
      </c>
      <c r="P3575" s="59"/>
      <c r="Q3575" s="268">
        <f t="shared" si="169"/>
        <v>41200</v>
      </c>
      <c r="R3575" s="61">
        <f>IF(O3575=0,0,SUMIFS(Disbursements!$T:$T,Disbursements!$B:$B,'Live Collections'!D3575,Disbursements!$D:$D,'Live Collections'!F3575))</f>
        <v>41000</v>
      </c>
      <c r="S3575" s="304">
        <f>IF(O3575&lt;=IF($O3575=0,0,SUMIFS(Disbursements!$W:$W,Disbursements!$B:$B,'Live Collections'!D3575,Disbursements!$D:$D,'Live Collections'!F3575)),O3575,IF($O3575=0,0,SUMIFS(Disbursements!$W:$W,Disbursements!$B:$B,'Live Collections'!D3575,Disbursements!$D:$D,'Live Collections'!F3575)))</f>
        <v>11833.333333333332</v>
      </c>
      <c r="T3575" s="304">
        <f t="shared" ref="T3575:T3635" si="170">IF(O3575=0,0,O3575-S3575)</f>
        <v>29366.666666666668</v>
      </c>
      <c r="U3575" s="52"/>
      <c r="V3575" s="34"/>
      <c r="W3575" s="408"/>
    </row>
    <row r="3576" spans="1:23" ht="12.75" customHeight="1" x14ac:dyDescent="0.2">
      <c r="A3576" s="257">
        <v>3586</v>
      </c>
      <c r="B3576" s="44">
        <v>44643</v>
      </c>
      <c r="C3576" s="44">
        <f t="shared" si="168"/>
        <v>44643</v>
      </c>
      <c r="D3576" s="374">
        <v>345</v>
      </c>
      <c r="E3576" s="291" t="str">
        <f>IFERROR(VLOOKUP($D3576,'Clients-Live'!$A:$C,3,0),"")</f>
        <v>MENGE ABDURAHAMAN RATIB</v>
      </c>
      <c r="F3576" s="291" t="str">
        <f>IFERROR(INDEX(Disbursements!$D:$D,MATCH('Live Collections'!G3576,Disbursements!$C:$C,0)),"")</f>
        <v/>
      </c>
      <c r="G3576" s="34"/>
      <c r="H3576" s="34">
        <v>5361</v>
      </c>
      <c r="I3576" s="34" t="s">
        <v>1760</v>
      </c>
      <c r="J3576" s="48"/>
      <c r="K3576" s="48"/>
      <c r="L3576" s="48">
        <v>15000</v>
      </c>
      <c r="M3576" s="48">
        <v>5000</v>
      </c>
      <c r="N3576" s="59"/>
      <c r="O3576" s="59"/>
      <c r="P3576" s="59"/>
      <c r="Q3576" s="268">
        <f t="shared" si="169"/>
        <v>20000</v>
      </c>
      <c r="R3576" s="61">
        <f>IF(O3576=0,0,SUMIFS(Disbursements!$T:$T,Disbursements!$B:$B,'Live Collections'!D3576,Disbursements!$D:$D,'Live Collections'!F3576))</f>
        <v>0</v>
      </c>
      <c r="S3576" s="304">
        <f>IF(O3576&lt;=IF($O3576=0,0,SUMIFS(Disbursements!$W:$W,Disbursements!$B:$B,'Live Collections'!D3576,Disbursements!$D:$D,'Live Collections'!F3576)),O3576,IF($O3576=0,0,SUMIFS(Disbursements!$W:$W,Disbursements!$B:$B,'Live Collections'!D3576,Disbursements!$D:$D,'Live Collections'!F3576)))</f>
        <v>0</v>
      </c>
      <c r="T3576" s="304">
        <f t="shared" si="170"/>
        <v>0</v>
      </c>
      <c r="U3576" s="52"/>
      <c r="V3576" s="34"/>
      <c r="W3576" s="408"/>
    </row>
    <row r="3577" spans="1:23" ht="12.75" customHeight="1" x14ac:dyDescent="0.2">
      <c r="A3577" s="257">
        <v>3587</v>
      </c>
      <c r="B3577" s="44">
        <v>44643</v>
      </c>
      <c r="C3577" s="44">
        <f t="shared" si="168"/>
        <v>44643</v>
      </c>
      <c r="D3577" s="374">
        <v>345</v>
      </c>
      <c r="E3577" s="291" t="str">
        <f>IFERROR(VLOOKUP($D3577,'Clients-Live'!$A:$C,3,0),"")</f>
        <v>MENGE ABDURAHAMAN RATIB</v>
      </c>
      <c r="F3577" s="291" t="str">
        <f>IFERROR(INDEX(Disbursements!$D:$D,MATCH('Live Collections'!G3577,Disbursements!$C:$C,0)),"")</f>
        <v/>
      </c>
      <c r="G3577" s="34"/>
      <c r="H3577" s="34">
        <v>5362</v>
      </c>
      <c r="I3577" s="34" t="s">
        <v>1760</v>
      </c>
      <c r="J3577" s="48">
        <v>15000</v>
      </c>
      <c r="K3577" s="48">
        <v>5000</v>
      </c>
      <c r="L3577" s="48"/>
      <c r="M3577" s="48"/>
      <c r="N3577" s="59"/>
      <c r="O3577" s="59"/>
      <c r="P3577" s="59"/>
      <c r="Q3577" s="268">
        <f t="shared" si="169"/>
        <v>20000</v>
      </c>
      <c r="R3577" s="61">
        <f>IF(O3577=0,0,SUMIFS(Disbursements!$T:$T,Disbursements!$B:$B,'Live Collections'!D3577,Disbursements!$D:$D,'Live Collections'!F3577))</f>
        <v>0</v>
      </c>
      <c r="S3577" s="304">
        <f>IF(O3577&lt;=IF($O3577=0,0,SUMIFS(Disbursements!$W:$W,Disbursements!$B:$B,'Live Collections'!D3577,Disbursements!$D:$D,'Live Collections'!F3577)),O3577,IF($O3577=0,0,SUMIFS(Disbursements!$W:$W,Disbursements!$B:$B,'Live Collections'!D3577,Disbursements!$D:$D,'Live Collections'!F3577)))</f>
        <v>0</v>
      </c>
      <c r="T3577" s="304">
        <f t="shared" si="170"/>
        <v>0</v>
      </c>
      <c r="U3577" s="52"/>
      <c r="V3577" s="34"/>
      <c r="W3577" s="408"/>
    </row>
    <row r="3578" spans="1:23" ht="12.75" customHeight="1" x14ac:dyDescent="0.2">
      <c r="A3578" s="257">
        <v>3588</v>
      </c>
      <c r="B3578" s="44">
        <v>44643</v>
      </c>
      <c r="C3578" s="44">
        <f t="shared" si="168"/>
        <v>44643</v>
      </c>
      <c r="D3578" s="374">
        <v>343</v>
      </c>
      <c r="E3578" s="291" t="str">
        <f>IFERROR(VLOOKUP($D3578,'Clients-Live'!$A:$C,3,0),"")</f>
        <v>MAMBO EDWARD</v>
      </c>
      <c r="F3578" s="291" t="str">
        <f>IFERROR(INDEX(Disbursements!$D:$D,MATCH('Live Collections'!G3578,Disbursements!$C:$C,0)),"")</f>
        <v/>
      </c>
      <c r="G3578" s="34"/>
      <c r="H3578" s="34">
        <v>5360</v>
      </c>
      <c r="I3578" s="34" t="s">
        <v>1760</v>
      </c>
      <c r="J3578" s="48"/>
      <c r="K3578" s="48"/>
      <c r="L3578" s="48">
        <v>20000</v>
      </c>
      <c r="M3578" s="48">
        <v>5000</v>
      </c>
      <c r="N3578" s="59"/>
      <c r="O3578" s="59"/>
      <c r="P3578" s="59"/>
      <c r="Q3578" s="268">
        <f t="shared" si="169"/>
        <v>25000</v>
      </c>
      <c r="R3578" s="61">
        <f>IF(O3578=0,0,SUMIFS(Disbursements!$T:$T,Disbursements!$B:$B,'Live Collections'!D3578,Disbursements!$D:$D,'Live Collections'!F3578))</f>
        <v>0</v>
      </c>
      <c r="S3578" s="304">
        <f>IF(O3578&lt;=IF($O3578=0,0,SUMIFS(Disbursements!$W:$W,Disbursements!$B:$B,'Live Collections'!D3578,Disbursements!$D:$D,'Live Collections'!F3578)),O3578,IF($O3578=0,0,SUMIFS(Disbursements!$W:$W,Disbursements!$B:$B,'Live Collections'!D3578,Disbursements!$D:$D,'Live Collections'!F3578)))</f>
        <v>0</v>
      </c>
      <c r="T3578" s="304">
        <f t="shared" si="170"/>
        <v>0</v>
      </c>
      <c r="U3578" s="52"/>
      <c r="V3578" s="34"/>
      <c r="W3578" s="408"/>
    </row>
    <row r="3579" spans="1:23" ht="12.75" customHeight="1" x14ac:dyDescent="0.2">
      <c r="A3579" s="257">
        <v>3589</v>
      </c>
      <c r="B3579" s="44">
        <v>44643</v>
      </c>
      <c r="C3579" s="44">
        <f t="shared" si="168"/>
        <v>44643</v>
      </c>
      <c r="D3579" s="374">
        <v>343</v>
      </c>
      <c r="E3579" s="291" t="str">
        <f>IFERROR(VLOOKUP($D3579,'Clients-Live'!$A:$C,3,0),"")</f>
        <v>MAMBO EDWARD</v>
      </c>
      <c r="F3579" s="291" t="str">
        <f>IFERROR(INDEX(Disbursements!$D:$D,MATCH('Live Collections'!G3579,Disbursements!$C:$C,0)),"")</f>
        <v/>
      </c>
      <c r="G3579" s="34"/>
      <c r="H3579" s="34">
        <v>5359</v>
      </c>
      <c r="I3579" s="34" t="s">
        <v>1760</v>
      </c>
      <c r="J3579" s="48">
        <v>15000</v>
      </c>
      <c r="K3579" s="48">
        <v>5000</v>
      </c>
      <c r="L3579" s="48"/>
      <c r="M3579" s="48"/>
      <c r="N3579" s="59"/>
      <c r="O3579" s="59"/>
      <c r="P3579" s="59"/>
      <c r="Q3579" s="268">
        <f t="shared" si="169"/>
        <v>20000</v>
      </c>
      <c r="R3579" s="61">
        <f>IF(O3579=0,0,SUMIFS(Disbursements!$T:$T,Disbursements!$B:$B,'Live Collections'!D3579,Disbursements!$D:$D,'Live Collections'!F3579))</f>
        <v>0</v>
      </c>
      <c r="S3579" s="304">
        <f>IF(O3579&lt;=IF($O3579=0,0,SUMIFS(Disbursements!$W:$W,Disbursements!$B:$B,'Live Collections'!D3579,Disbursements!$D:$D,'Live Collections'!F3579)),O3579,IF($O3579=0,0,SUMIFS(Disbursements!$W:$W,Disbursements!$B:$B,'Live Collections'!D3579,Disbursements!$D:$D,'Live Collections'!F3579)))</f>
        <v>0</v>
      </c>
      <c r="T3579" s="304">
        <f t="shared" si="170"/>
        <v>0</v>
      </c>
      <c r="U3579" s="52"/>
      <c r="V3579" s="34"/>
      <c r="W3579" s="408"/>
    </row>
    <row r="3580" spans="1:23" ht="12.75" customHeight="1" x14ac:dyDescent="0.2">
      <c r="A3580" s="257">
        <v>3590</v>
      </c>
      <c r="B3580" s="44">
        <v>44643</v>
      </c>
      <c r="C3580" s="44">
        <f t="shared" si="168"/>
        <v>44643</v>
      </c>
      <c r="D3580" s="374">
        <v>344</v>
      </c>
      <c r="E3580" s="291" t="str">
        <f>IFERROR(VLOOKUP($D3580,'Clients-Live'!$A:$C,3,0),"")</f>
        <v>ADAM MUSA LEMERIGA</v>
      </c>
      <c r="F3580" s="291" t="str">
        <f>IFERROR(INDEX(Disbursements!$D:$D,MATCH('Live Collections'!G3580,Disbursements!$C:$C,0)),"")</f>
        <v/>
      </c>
      <c r="G3580" s="34"/>
      <c r="H3580" s="34">
        <v>5358</v>
      </c>
      <c r="I3580" s="34" t="s">
        <v>1760</v>
      </c>
      <c r="J3580" s="48"/>
      <c r="K3580" s="48"/>
      <c r="L3580" s="48">
        <v>20000</v>
      </c>
      <c r="M3580" s="48">
        <v>5000</v>
      </c>
      <c r="N3580" s="59"/>
      <c r="O3580" s="59"/>
      <c r="P3580" s="59"/>
      <c r="Q3580" s="268">
        <f t="shared" si="169"/>
        <v>25000</v>
      </c>
      <c r="R3580" s="61">
        <f>IF(O3580=0,0,SUMIFS(Disbursements!$T:$T,Disbursements!$B:$B,'Live Collections'!D3580,Disbursements!$D:$D,'Live Collections'!F3580))</f>
        <v>0</v>
      </c>
      <c r="S3580" s="304">
        <f>IF(O3580&lt;=IF($O3580=0,0,SUMIFS(Disbursements!$W:$W,Disbursements!$B:$B,'Live Collections'!D3580,Disbursements!$D:$D,'Live Collections'!F3580)),O3580,IF($O3580=0,0,SUMIFS(Disbursements!$W:$W,Disbursements!$B:$B,'Live Collections'!D3580,Disbursements!$D:$D,'Live Collections'!F3580)))</f>
        <v>0</v>
      </c>
      <c r="T3580" s="304">
        <f t="shared" si="170"/>
        <v>0</v>
      </c>
      <c r="U3580" s="52"/>
      <c r="V3580" s="34"/>
      <c r="W3580" s="408"/>
    </row>
    <row r="3581" spans="1:23" ht="12.75" customHeight="1" x14ac:dyDescent="0.2">
      <c r="A3581" s="257">
        <v>3591</v>
      </c>
      <c r="B3581" s="44">
        <v>44643</v>
      </c>
      <c r="C3581" s="44">
        <f t="shared" si="168"/>
        <v>44643</v>
      </c>
      <c r="D3581" s="374">
        <v>344</v>
      </c>
      <c r="E3581" s="291" t="str">
        <f>IFERROR(VLOOKUP($D3581,'Clients-Live'!$A:$C,3,0),"")</f>
        <v>ADAM MUSA LEMERIGA</v>
      </c>
      <c r="F3581" s="291" t="str">
        <f>IFERROR(INDEX(Disbursements!$D:$D,MATCH('Live Collections'!G3581,Disbursements!$C:$C,0)),"")</f>
        <v/>
      </c>
      <c r="G3581" s="34"/>
      <c r="H3581" s="34">
        <v>5357</v>
      </c>
      <c r="I3581" s="34" t="s">
        <v>1760</v>
      </c>
      <c r="J3581" s="48">
        <v>15000</v>
      </c>
      <c r="K3581" s="48">
        <v>5000</v>
      </c>
      <c r="L3581" s="48"/>
      <c r="M3581" s="48"/>
      <c r="N3581" s="59"/>
      <c r="O3581" s="59"/>
      <c r="P3581" s="59"/>
      <c r="Q3581" s="268">
        <f t="shared" si="169"/>
        <v>20000</v>
      </c>
      <c r="R3581" s="61">
        <f>IF(O3581=0,0,SUMIFS(Disbursements!$T:$T,Disbursements!$B:$B,'Live Collections'!D3581,Disbursements!$D:$D,'Live Collections'!F3581))</f>
        <v>0</v>
      </c>
      <c r="S3581" s="304">
        <f>IF(O3581&lt;=IF($O3581=0,0,SUMIFS(Disbursements!$W:$W,Disbursements!$B:$B,'Live Collections'!D3581,Disbursements!$D:$D,'Live Collections'!F3581)),O3581,IF($O3581=0,0,SUMIFS(Disbursements!$W:$W,Disbursements!$B:$B,'Live Collections'!D3581,Disbursements!$D:$D,'Live Collections'!F3581)))</f>
        <v>0</v>
      </c>
      <c r="T3581" s="304">
        <f t="shared" si="170"/>
        <v>0</v>
      </c>
      <c r="U3581" s="52"/>
      <c r="V3581" s="34"/>
      <c r="W3581" s="408"/>
    </row>
    <row r="3582" spans="1:23" ht="12.75" customHeight="1" x14ac:dyDescent="0.2">
      <c r="A3582" s="257">
        <v>3592</v>
      </c>
      <c r="B3582" s="44">
        <v>44643</v>
      </c>
      <c r="C3582" s="44">
        <f t="shared" si="168"/>
        <v>44643</v>
      </c>
      <c r="D3582" s="374">
        <v>346</v>
      </c>
      <c r="E3582" s="291" t="str">
        <f>IFERROR(VLOOKUP($D3582,'Clients-Live'!$A:$C,3,0),"")</f>
        <v>BAKO MASUMBUKA AJUGA</v>
      </c>
      <c r="F3582" s="291" t="str">
        <f>IFERROR(INDEX(Disbursements!$D:$D,MATCH('Live Collections'!G3582,Disbursements!$C:$C,0)),"")</f>
        <v/>
      </c>
      <c r="G3582" s="34"/>
      <c r="H3582" s="34">
        <v>5365</v>
      </c>
      <c r="I3582" s="34" t="s">
        <v>1760</v>
      </c>
      <c r="J3582" s="48"/>
      <c r="K3582" s="48"/>
      <c r="L3582" s="48">
        <v>30000</v>
      </c>
      <c r="M3582" s="48">
        <v>5000</v>
      </c>
      <c r="N3582" s="59"/>
      <c r="O3582" s="59"/>
      <c r="P3582" s="59"/>
      <c r="Q3582" s="268">
        <f t="shared" si="169"/>
        <v>35000</v>
      </c>
      <c r="R3582" s="61">
        <f>IF(O3582=0,0,SUMIFS(Disbursements!$T:$T,Disbursements!$B:$B,'Live Collections'!D3582,Disbursements!$D:$D,'Live Collections'!F3582))</f>
        <v>0</v>
      </c>
      <c r="S3582" s="304">
        <f>IF(O3582&lt;=IF($O3582=0,0,SUMIFS(Disbursements!$W:$W,Disbursements!$B:$B,'Live Collections'!D3582,Disbursements!$D:$D,'Live Collections'!F3582)),O3582,IF($O3582=0,0,SUMIFS(Disbursements!$W:$W,Disbursements!$B:$B,'Live Collections'!D3582,Disbursements!$D:$D,'Live Collections'!F3582)))</f>
        <v>0</v>
      </c>
      <c r="T3582" s="304">
        <f t="shared" si="170"/>
        <v>0</v>
      </c>
      <c r="U3582" s="52"/>
      <c r="V3582" s="34"/>
      <c r="W3582" s="408"/>
    </row>
    <row r="3583" spans="1:23" ht="12.75" customHeight="1" x14ac:dyDescent="0.2">
      <c r="A3583" s="257">
        <v>3593</v>
      </c>
      <c r="B3583" s="44">
        <v>44643</v>
      </c>
      <c r="C3583" s="44">
        <f t="shared" ref="C3583:C3646" si="171">B3583</f>
        <v>44643</v>
      </c>
      <c r="D3583" s="374">
        <v>346</v>
      </c>
      <c r="E3583" s="291" t="str">
        <f>IFERROR(VLOOKUP($D3583,'Clients-Live'!$A:$C,3,0),"")</f>
        <v>BAKO MASUMBUKA AJUGA</v>
      </c>
      <c r="F3583" s="291" t="str">
        <f>IFERROR(INDEX(Disbursements!$D:$D,MATCH('Live Collections'!G3583,Disbursements!$C:$C,0)),"")</f>
        <v/>
      </c>
      <c r="G3583" s="34"/>
      <c r="H3583" s="34">
        <v>5363</v>
      </c>
      <c r="I3583" s="34" t="s">
        <v>1760</v>
      </c>
      <c r="J3583" s="48">
        <v>15000</v>
      </c>
      <c r="K3583" s="48">
        <v>5000</v>
      </c>
      <c r="L3583" s="48"/>
      <c r="M3583" s="48"/>
      <c r="N3583" s="59"/>
      <c r="O3583" s="59"/>
      <c r="P3583" s="59"/>
      <c r="Q3583" s="268">
        <f t="shared" si="169"/>
        <v>20000</v>
      </c>
      <c r="R3583" s="61">
        <f>IF(O3583=0,0,SUMIFS(Disbursements!$T:$T,Disbursements!$B:$B,'Live Collections'!D3583,Disbursements!$D:$D,'Live Collections'!F3583))</f>
        <v>0</v>
      </c>
      <c r="S3583" s="304">
        <f>IF(O3583&lt;=IF($O3583=0,0,SUMIFS(Disbursements!$W:$W,Disbursements!$B:$B,'Live Collections'!D3583,Disbursements!$D:$D,'Live Collections'!F3583)),O3583,IF($O3583=0,0,SUMIFS(Disbursements!$W:$W,Disbursements!$B:$B,'Live Collections'!D3583,Disbursements!$D:$D,'Live Collections'!F3583)))</f>
        <v>0</v>
      </c>
      <c r="T3583" s="304">
        <f t="shared" si="170"/>
        <v>0</v>
      </c>
      <c r="U3583" s="52"/>
      <c r="V3583" s="34"/>
      <c r="W3583" s="408"/>
    </row>
    <row r="3584" spans="1:23" ht="12.75" customHeight="1" x14ac:dyDescent="0.2">
      <c r="A3584" s="257">
        <v>3594</v>
      </c>
      <c r="B3584" s="44">
        <v>44643</v>
      </c>
      <c r="C3584" s="44">
        <f t="shared" si="171"/>
        <v>44643</v>
      </c>
      <c r="D3584" s="374">
        <v>42</v>
      </c>
      <c r="E3584" s="291" t="str">
        <f>IFERROR(VLOOKUP($D3584,'Clients-Live'!$A:$C,3,0),"")</f>
        <v>ABAU   NOLA</v>
      </c>
      <c r="F3584" s="291" t="str">
        <f>IFERROR(INDEX(Disbursements!$D:$D,MATCH('Live Collections'!G3584,Disbursements!$C:$C,0)),"")</f>
        <v/>
      </c>
      <c r="G3584" s="34"/>
      <c r="H3584" s="34">
        <v>5424</v>
      </c>
      <c r="I3584" s="34" t="s">
        <v>1760</v>
      </c>
      <c r="J3584" s="48"/>
      <c r="K3584" s="48">
        <v>5000</v>
      </c>
      <c r="L3584" s="48"/>
      <c r="M3584" s="48"/>
      <c r="N3584" s="59"/>
      <c r="O3584" s="59"/>
      <c r="P3584" s="59"/>
      <c r="Q3584" s="268">
        <f t="shared" si="169"/>
        <v>5000</v>
      </c>
      <c r="R3584" s="61">
        <f>IF(O3584=0,0,SUMIFS(Disbursements!$T:$T,Disbursements!$B:$B,'Live Collections'!D3584,Disbursements!$D:$D,'Live Collections'!F3584))</f>
        <v>0</v>
      </c>
      <c r="S3584" s="304">
        <f>IF(O3584&lt;=IF($O3584=0,0,SUMIFS(Disbursements!$W:$W,Disbursements!$B:$B,'Live Collections'!D3584,Disbursements!$D:$D,'Live Collections'!F3584)),O3584,IF($O3584=0,0,SUMIFS(Disbursements!$W:$W,Disbursements!$B:$B,'Live Collections'!D3584,Disbursements!$D:$D,'Live Collections'!F3584)))</f>
        <v>0</v>
      </c>
      <c r="T3584" s="304">
        <f t="shared" si="170"/>
        <v>0</v>
      </c>
      <c r="U3584" s="52"/>
      <c r="V3584" s="34"/>
      <c r="W3584" s="408"/>
    </row>
    <row r="3585" spans="1:23" ht="12.75" customHeight="1" x14ac:dyDescent="0.2">
      <c r="A3585" s="257">
        <v>3595</v>
      </c>
      <c r="B3585" s="44">
        <v>44643</v>
      </c>
      <c r="C3585" s="44">
        <f t="shared" si="171"/>
        <v>44643</v>
      </c>
      <c r="D3585" s="374">
        <v>200</v>
      </c>
      <c r="E3585" s="291" t="str">
        <f>IFERROR(VLOOKUP($D3585,'Clients-Live'!$A:$C,3,0),"")</f>
        <v>SERIYA FLORENCE</v>
      </c>
      <c r="F3585" s="291">
        <f>IFERROR(INDEX(Disbursements!$D:$D,MATCH('Live Collections'!G3585,Disbursements!$C:$C,0)),"")</f>
        <v>2</v>
      </c>
      <c r="G3585" s="34">
        <v>342</v>
      </c>
      <c r="H3585" s="34">
        <v>5427</v>
      </c>
      <c r="I3585" s="34" t="s">
        <v>1359</v>
      </c>
      <c r="J3585" s="48"/>
      <c r="K3585" s="48"/>
      <c r="L3585" s="48"/>
      <c r="M3585" s="48"/>
      <c r="N3585" s="59"/>
      <c r="O3585" s="59">
        <v>50000</v>
      </c>
      <c r="P3585" s="59"/>
      <c r="Q3585" s="268">
        <f t="shared" si="169"/>
        <v>50000</v>
      </c>
      <c r="R3585" s="61">
        <f>IF(O3585=0,0,SUMIFS(Disbursements!$T:$T,Disbursements!$B:$B,'Live Collections'!D3585,Disbursements!$D:$D,'Live Collections'!F3585))</f>
        <v>125000</v>
      </c>
      <c r="S3585" s="304">
        <f>IF(O3585&lt;=IF($O3585=0,0,SUMIFS(Disbursements!$W:$W,Disbursements!$B:$B,'Live Collections'!D3585,Disbursements!$D:$D,'Live Collections'!F3585)),O3585,IF($O3585=0,0,SUMIFS(Disbursements!$W:$W,Disbursements!$B:$B,'Live Collections'!D3585,Disbursements!$D:$D,'Live Collections'!F3585)))</f>
        <v>25000</v>
      </c>
      <c r="T3585" s="304">
        <f t="shared" si="170"/>
        <v>25000</v>
      </c>
      <c r="U3585" s="52"/>
      <c r="V3585" s="34"/>
      <c r="W3585" s="408"/>
    </row>
    <row r="3586" spans="1:23" ht="12.75" customHeight="1" x14ac:dyDescent="0.2">
      <c r="A3586" s="257">
        <v>3596</v>
      </c>
      <c r="B3586" s="44">
        <v>44643</v>
      </c>
      <c r="C3586" s="44">
        <f t="shared" si="171"/>
        <v>44643</v>
      </c>
      <c r="D3586" s="374">
        <v>42</v>
      </c>
      <c r="E3586" s="291" t="str">
        <f>IFERROR(VLOOKUP($D3586,'Clients-Live'!$A:$C,3,0),"")</f>
        <v>ABAU   NOLA</v>
      </c>
      <c r="F3586" s="291">
        <f>IFERROR(INDEX(Disbursements!$D:$D,MATCH('Live Collections'!G3586,Disbursements!$C:$C,0)),"")</f>
        <v>3</v>
      </c>
      <c r="G3586" s="34">
        <v>405</v>
      </c>
      <c r="H3586" s="34">
        <v>5425</v>
      </c>
      <c r="I3586" s="34" t="s">
        <v>1359</v>
      </c>
      <c r="J3586" s="48"/>
      <c r="K3586" s="48"/>
      <c r="L3586" s="48"/>
      <c r="M3586" s="48"/>
      <c r="N3586" s="59"/>
      <c r="O3586" s="59">
        <v>13000</v>
      </c>
      <c r="P3586" s="59"/>
      <c r="Q3586" s="268">
        <f t="shared" si="169"/>
        <v>13000</v>
      </c>
      <c r="R3586" s="61">
        <f>IF(O3586=0,0,SUMIFS(Disbursements!$T:$T,Disbursements!$B:$B,'Live Collections'!D3586,Disbursements!$D:$D,'Live Collections'!F3586))</f>
        <v>20000</v>
      </c>
      <c r="S3586" s="304">
        <f>IF(O3586&lt;=IF($O3586=0,0,SUMIFS(Disbursements!$W:$W,Disbursements!$B:$B,'Live Collections'!D3586,Disbursements!$D:$D,'Live Collections'!F3586)),O3586,IF($O3586=0,0,SUMIFS(Disbursements!$W:$W,Disbursements!$B:$B,'Live Collections'!D3586,Disbursements!$D:$D,'Live Collections'!F3586)))</f>
        <v>4375</v>
      </c>
      <c r="T3586" s="304">
        <f t="shared" si="170"/>
        <v>8625</v>
      </c>
      <c r="U3586" s="52"/>
      <c r="V3586" s="34"/>
      <c r="W3586" s="408"/>
    </row>
    <row r="3587" spans="1:23" ht="12.75" customHeight="1" x14ac:dyDescent="0.2">
      <c r="A3587" s="257">
        <v>3597</v>
      </c>
      <c r="B3587" s="44">
        <v>44643</v>
      </c>
      <c r="C3587" s="44">
        <f t="shared" si="171"/>
        <v>44643</v>
      </c>
      <c r="D3587" s="374">
        <v>196</v>
      </c>
      <c r="E3587" s="291" t="str">
        <f>IFERROR(VLOOKUP($D3587,'Clients-Live'!$A:$C,3,0),"")</f>
        <v>AKISU JOICE</v>
      </c>
      <c r="F3587" s="291">
        <f>IFERROR(INDEX(Disbursements!$D:$D,MATCH('Live Collections'!G3587,Disbursements!$C:$C,0)),"")</f>
        <v>1</v>
      </c>
      <c r="G3587" s="34">
        <v>189</v>
      </c>
      <c r="H3587" s="34" t="s">
        <v>2255</v>
      </c>
      <c r="I3587" s="34" t="s">
        <v>1359</v>
      </c>
      <c r="J3587" s="48"/>
      <c r="K3587" s="48"/>
      <c r="L3587" s="48"/>
      <c r="M3587" s="48"/>
      <c r="N3587" s="59"/>
      <c r="O3587" s="59">
        <v>60000</v>
      </c>
      <c r="P3587" s="59">
        <v>-60000</v>
      </c>
      <c r="Q3587" s="268">
        <f t="shared" si="169"/>
        <v>0</v>
      </c>
      <c r="R3587" s="61">
        <f>IF(O3587=0,0,SUMIFS(Disbursements!$T:$T,Disbursements!$B:$B,'Live Collections'!D3587,Disbursements!$D:$D,'Live Collections'!F3587))</f>
        <v>180000</v>
      </c>
      <c r="S3587" s="304"/>
      <c r="T3587" s="304">
        <f t="shared" si="170"/>
        <v>60000</v>
      </c>
      <c r="U3587" s="52"/>
      <c r="V3587" s="34"/>
      <c r="W3587" s="408"/>
    </row>
    <row r="3588" spans="1:23" ht="12.75" customHeight="1" x14ac:dyDescent="0.2">
      <c r="A3588" s="257">
        <v>3598</v>
      </c>
      <c r="B3588" s="44">
        <v>44644</v>
      </c>
      <c r="C3588" s="44">
        <f t="shared" si="171"/>
        <v>44644</v>
      </c>
      <c r="D3588" s="374">
        <v>310</v>
      </c>
      <c r="E3588" s="291" t="str">
        <f>IFERROR(VLOOKUP($D3588,'Clients-Live'!$A:$C,3,0),"")</f>
        <v>TUKEI JOB</v>
      </c>
      <c r="F3588" s="291" t="str">
        <f>IFERROR(INDEX(Disbursements!$D:$D,MATCH('Live Collections'!G3588,Disbursements!$C:$C,0)),"")</f>
        <v/>
      </c>
      <c r="G3588" s="34"/>
      <c r="H3588" s="34">
        <v>5291</v>
      </c>
      <c r="I3588" s="34" t="s">
        <v>1359</v>
      </c>
      <c r="J3588" s="48"/>
      <c r="K3588" s="48"/>
      <c r="L3588" s="48">
        <v>30000</v>
      </c>
      <c r="M3588" s="48">
        <v>5000</v>
      </c>
      <c r="N3588" s="59"/>
      <c r="O3588" s="59"/>
      <c r="P3588" s="59"/>
      <c r="Q3588" s="268">
        <f t="shared" si="169"/>
        <v>35000</v>
      </c>
      <c r="R3588" s="61">
        <f>IF(O3588=0,0,SUMIFS(Disbursements!$T:$T,Disbursements!$B:$B,'Live Collections'!D3588,Disbursements!$D:$D,'Live Collections'!F3588))</f>
        <v>0</v>
      </c>
      <c r="S3588" s="304">
        <f>IF(O3588&lt;=IF($O3588=0,0,SUMIFS(Disbursements!$W:$W,Disbursements!$B:$B,'Live Collections'!D3588,Disbursements!$D:$D,'Live Collections'!F3588)),O3588,IF($O3588=0,0,SUMIFS(Disbursements!$W:$W,Disbursements!$B:$B,'Live Collections'!D3588,Disbursements!$D:$D,'Live Collections'!F3588)))</f>
        <v>0</v>
      </c>
      <c r="T3588" s="304">
        <f t="shared" si="170"/>
        <v>0</v>
      </c>
      <c r="U3588" s="52"/>
      <c r="V3588" s="34"/>
      <c r="W3588" s="408"/>
    </row>
    <row r="3589" spans="1:23" ht="12.75" customHeight="1" x14ac:dyDescent="0.2">
      <c r="A3589" s="257">
        <v>3599</v>
      </c>
      <c r="B3589" s="44">
        <v>44644</v>
      </c>
      <c r="C3589" s="44">
        <f t="shared" si="171"/>
        <v>44644</v>
      </c>
      <c r="D3589" s="374">
        <v>159</v>
      </c>
      <c r="E3589" s="291" t="str">
        <f>IFERROR(VLOOKUP($D3589,'Clients-Live'!$A:$C,3,0),"")</f>
        <v>ALICE AMINA</v>
      </c>
      <c r="F3589" s="291">
        <f>IFERROR(INDEX(Disbursements!$D:$D,MATCH('Live Collections'!G3589,Disbursements!$C:$C,0)),"")</f>
        <v>1</v>
      </c>
      <c r="G3589" s="34">
        <v>150</v>
      </c>
      <c r="H3589" s="34">
        <v>5428</v>
      </c>
      <c r="I3589" s="34" t="s">
        <v>1358</v>
      </c>
      <c r="J3589" s="48"/>
      <c r="K3589" s="48"/>
      <c r="L3589" s="48"/>
      <c r="M3589" s="48"/>
      <c r="N3589" s="59"/>
      <c r="O3589" s="59">
        <v>25000</v>
      </c>
      <c r="P3589" s="59"/>
      <c r="Q3589" s="268">
        <f t="shared" si="169"/>
        <v>25000</v>
      </c>
      <c r="R3589" s="61">
        <f>IF(O3589=0,0,SUMIFS(Disbursements!$T:$T,Disbursements!$B:$B,'Live Collections'!D3589,Disbursements!$D:$D,'Live Collections'!F3589))</f>
        <v>150000</v>
      </c>
      <c r="S3589" s="304"/>
      <c r="T3589" s="304">
        <f t="shared" si="170"/>
        <v>25000</v>
      </c>
      <c r="U3589" s="52"/>
      <c r="V3589" s="34"/>
      <c r="W3589" s="408"/>
    </row>
    <row r="3590" spans="1:23" ht="12.75" customHeight="1" x14ac:dyDescent="0.2">
      <c r="A3590" s="257">
        <v>3600</v>
      </c>
      <c r="B3590" s="44">
        <v>44644</v>
      </c>
      <c r="C3590" s="44">
        <f t="shared" si="171"/>
        <v>44644</v>
      </c>
      <c r="D3590" s="374">
        <v>85</v>
      </c>
      <c r="E3590" s="291" t="str">
        <f>IFERROR(VLOOKUP($D3590,'Clients-Live'!$A:$C,3,0),"")</f>
        <v>CEASER SWALEH</v>
      </c>
      <c r="F3590" s="291">
        <f>IFERROR(INDEX(Disbursements!$D:$D,MATCH('Live Collections'!G3590,Disbursements!$C:$C,0)),"")</f>
        <v>3</v>
      </c>
      <c r="G3590" s="34">
        <v>413</v>
      </c>
      <c r="H3590" s="34">
        <v>5289</v>
      </c>
      <c r="I3590" s="34" t="s">
        <v>1357</v>
      </c>
      <c r="J3590" s="48"/>
      <c r="K3590" s="48"/>
      <c r="L3590" s="48"/>
      <c r="M3590" s="48"/>
      <c r="N3590" s="59"/>
      <c r="O3590" s="59">
        <v>170000</v>
      </c>
      <c r="P3590" s="59"/>
      <c r="Q3590" s="268">
        <f t="shared" si="169"/>
        <v>170000</v>
      </c>
      <c r="R3590" s="61">
        <f>IF(O3590=0,0,SUMIFS(Disbursements!$T:$T,Disbursements!$B:$B,'Live Collections'!D3590,Disbursements!$D:$D,'Live Collections'!F3590))</f>
        <v>788000</v>
      </c>
      <c r="S3590" s="304">
        <v>101000</v>
      </c>
      <c r="T3590" s="304">
        <f t="shared" si="170"/>
        <v>69000</v>
      </c>
      <c r="U3590" s="52"/>
      <c r="V3590" s="34"/>
      <c r="W3590" s="408"/>
    </row>
    <row r="3591" spans="1:23" ht="12.75" customHeight="1" x14ac:dyDescent="0.2">
      <c r="A3591" s="257">
        <v>3601</v>
      </c>
      <c r="B3591" s="44">
        <v>44644</v>
      </c>
      <c r="C3591" s="44">
        <f t="shared" si="171"/>
        <v>44644</v>
      </c>
      <c r="D3591" s="374">
        <v>78</v>
      </c>
      <c r="E3591" s="291" t="str">
        <f>IFERROR(VLOOKUP($D3591,'Clients-Live'!$A:$C,3,0),"")</f>
        <v>DIPIYO BEATRICE JOHN</v>
      </c>
      <c r="F3591" s="291">
        <f>IFERROR(INDEX(Disbursements!$D:$D,MATCH('Live Collections'!G3591,Disbursements!$C:$C,0)),"")</f>
        <v>2</v>
      </c>
      <c r="G3591" s="34">
        <v>351</v>
      </c>
      <c r="H3591" s="34">
        <v>5288</v>
      </c>
      <c r="I3591" s="34" t="s">
        <v>1357</v>
      </c>
      <c r="J3591" s="48"/>
      <c r="K3591" s="48"/>
      <c r="L3591" s="48"/>
      <c r="M3591" s="48"/>
      <c r="N3591" s="59"/>
      <c r="O3591" s="59">
        <v>100000</v>
      </c>
      <c r="P3591" s="59"/>
      <c r="Q3591" s="268">
        <f t="shared" si="169"/>
        <v>100000</v>
      </c>
      <c r="R3591" s="61">
        <f>IF(O3591=0,0,SUMIFS(Disbursements!$T:$T,Disbursements!$B:$B,'Live Collections'!D3591,Disbursements!$D:$D,'Live Collections'!F3591))</f>
        <v>540000</v>
      </c>
      <c r="S3591" s="304">
        <f>IF(O3591&lt;=IF($O3591=0,0,SUMIFS(Disbursements!$W:$W,Disbursements!$B:$B,'Live Collections'!D3591,Disbursements!$D:$D,'Live Collections'!F3591)),O3591,IF($O3591=0,0,SUMIFS(Disbursements!$W:$W,Disbursements!$B:$B,'Live Collections'!D3591,Disbursements!$D:$D,'Live Collections'!F3591)))</f>
        <v>90000</v>
      </c>
      <c r="T3591" s="304">
        <f t="shared" si="170"/>
        <v>10000</v>
      </c>
      <c r="U3591" s="52"/>
      <c r="V3591" s="34"/>
      <c r="W3591" s="408"/>
    </row>
    <row r="3592" spans="1:23" ht="12.75" customHeight="1" x14ac:dyDescent="0.2">
      <c r="A3592" s="257">
        <v>3602</v>
      </c>
      <c r="B3592" s="44">
        <v>44644</v>
      </c>
      <c r="C3592" s="44">
        <f t="shared" si="171"/>
        <v>44644</v>
      </c>
      <c r="D3592" s="374">
        <v>9</v>
      </c>
      <c r="E3592" s="291" t="str">
        <f>IFERROR(VLOOKUP($D3592,'Clients-Live'!$A:$C,3,0),"")</f>
        <v>TABAN DAVID YAYA</v>
      </c>
      <c r="F3592" s="291">
        <f>IFERROR(INDEX(Disbursements!$D:$D,MATCH('Live Collections'!G3592,Disbursements!$C:$C,0)),"")</f>
        <v>3</v>
      </c>
      <c r="G3592" s="34">
        <v>423</v>
      </c>
      <c r="H3592" s="34">
        <v>5407</v>
      </c>
      <c r="I3592" s="34" t="s">
        <v>1357</v>
      </c>
      <c r="J3592" s="48"/>
      <c r="K3592" s="48"/>
      <c r="L3592" s="48"/>
      <c r="M3592" s="48"/>
      <c r="N3592" s="59"/>
      <c r="O3592" s="59">
        <v>100000</v>
      </c>
      <c r="P3592" s="59"/>
      <c r="Q3592" s="268">
        <f t="shared" si="169"/>
        <v>100000</v>
      </c>
      <c r="R3592" s="61">
        <f>IF(O3592=0,0,SUMIFS(Disbursements!$T:$T,Disbursements!$B:$B,'Live Collections'!D3592,Disbursements!$D:$D,'Live Collections'!F3592))</f>
        <v>189000</v>
      </c>
      <c r="S3592" s="304">
        <f>IF(O3592&lt;=IF($O3592=0,0,SUMIFS(Disbursements!$W:$W,Disbursements!$B:$B,'Live Collections'!D787,Disbursements!$D:$D,'Live Collections'!F787)),O3592,IF($O3592=0,0,SUMIFS(Disbursements!$W:$W,Disbursements!$B:$B,'Live Collections'!D787,Disbursements!$D:$D,'Live Collections'!F787)))</f>
        <v>25000</v>
      </c>
      <c r="T3592" s="304">
        <f t="shared" si="170"/>
        <v>75000</v>
      </c>
      <c r="U3592" s="52"/>
      <c r="V3592" s="34"/>
      <c r="W3592" s="408"/>
    </row>
    <row r="3593" spans="1:23" ht="12.75" customHeight="1" x14ac:dyDescent="0.2">
      <c r="A3593" s="257">
        <v>3603</v>
      </c>
      <c r="B3593" s="44">
        <v>44644</v>
      </c>
      <c r="C3593" s="44">
        <f t="shared" si="171"/>
        <v>44644</v>
      </c>
      <c r="D3593" s="374">
        <v>66</v>
      </c>
      <c r="E3593" s="291" t="str">
        <f>IFERROR(VLOOKUP($D3593,'Clients-Live'!$A:$C,3,0),"")</f>
        <v>DENAYA NYAMAZA</v>
      </c>
      <c r="F3593" s="291">
        <f>IFERROR(INDEX(Disbursements!$D:$D,MATCH('Live Collections'!G3593,Disbursements!$C:$C,0)),"")</f>
        <v>2</v>
      </c>
      <c r="G3593" s="34">
        <v>300</v>
      </c>
      <c r="H3593" s="34">
        <v>5519</v>
      </c>
      <c r="I3593" s="34" t="s">
        <v>1357</v>
      </c>
      <c r="J3593" s="48"/>
      <c r="K3593" s="48"/>
      <c r="L3593" s="48"/>
      <c r="M3593" s="48"/>
      <c r="N3593" s="59"/>
      <c r="O3593" s="59">
        <v>100000</v>
      </c>
      <c r="P3593" s="59"/>
      <c r="Q3593" s="268">
        <f t="shared" si="169"/>
        <v>100000</v>
      </c>
      <c r="R3593" s="61">
        <f>IF(O3593=0,0,SUMIFS(Disbursements!$T:$T,Disbursements!$B:$B,'Live Collections'!D3593,Disbursements!$D:$D,'Live Collections'!F3593))</f>
        <v>109000</v>
      </c>
      <c r="S3593" s="304">
        <f>IF(O3593&lt;=IF($O3593=0,0,SUMIFS(Disbursements!$W:$W,Disbursements!$B:$B,'Live Collections'!D3593,Disbursements!$D:$D,'Live Collections'!F3593)),O3593,IF($O3593=0,0,SUMIFS(Disbursements!$W:$W,Disbursements!$B:$B,'Live Collections'!D3593,Disbursements!$D:$D,'Live Collections'!F3593)))</f>
        <v>25666.666666666672</v>
      </c>
      <c r="T3593" s="304">
        <f t="shared" si="170"/>
        <v>74333.333333333328</v>
      </c>
      <c r="U3593" s="52"/>
      <c r="V3593" s="34"/>
      <c r="W3593" s="408"/>
    </row>
    <row r="3594" spans="1:23" ht="12.75" customHeight="1" x14ac:dyDescent="0.2">
      <c r="A3594" s="257">
        <v>3604</v>
      </c>
      <c r="B3594" s="44">
        <v>44644</v>
      </c>
      <c r="C3594" s="44">
        <f t="shared" si="171"/>
        <v>44644</v>
      </c>
      <c r="D3594" s="374">
        <v>156</v>
      </c>
      <c r="E3594" s="291" t="str">
        <f>IFERROR(VLOOKUP($D3594,'Clients-Live'!$A:$C,3,0),"")</f>
        <v xml:space="preserve">ONIBA AISHA </v>
      </c>
      <c r="F3594" s="291">
        <f>IFERROR(INDEX(Disbursements!$D:$D,MATCH('Live Collections'!G3594,Disbursements!$C:$C,0)),"")</f>
        <v>4</v>
      </c>
      <c r="G3594" s="34">
        <v>348</v>
      </c>
      <c r="H3594" s="34">
        <v>5429</v>
      </c>
      <c r="I3594" s="34" t="s">
        <v>1358</v>
      </c>
      <c r="J3594" s="48"/>
      <c r="K3594" s="48"/>
      <c r="L3594" s="48"/>
      <c r="M3594" s="48"/>
      <c r="N3594" s="59"/>
      <c r="O3594" s="59">
        <v>100000</v>
      </c>
      <c r="P3594" s="59"/>
      <c r="Q3594" s="268">
        <f t="shared" si="169"/>
        <v>100000</v>
      </c>
      <c r="R3594" s="61">
        <f>IF(O3594=0,0,SUMIFS(Disbursements!$T:$T,Disbursements!$B:$B,'Live Collections'!D3594,Disbursements!$D:$D,'Live Collections'!F3594))</f>
        <v>1925000</v>
      </c>
      <c r="S3594" s="304">
        <v>9666.6666666666279</v>
      </c>
      <c r="T3594" s="304">
        <f t="shared" si="170"/>
        <v>90333.333333333372</v>
      </c>
      <c r="U3594" s="52"/>
      <c r="V3594" s="34"/>
      <c r="W3594" s="408"/>
    </row>
    <row r="3595" spans="1:23" ht="12.75" customHeight="1" x14ac:dyDescent="0.2">
      <c r="A3595" s="257">
        <v>3605</v>
      </c>
      <c r="B3595" s="44">
        <v>44644</v>
      </c>
      <c r="C3595" s="44">
        <f t="shared" si="171"/>
        <v>44644</v>
      </c>
      <c r="D3595" s="374">
        <v>65</v>
      </c>
      <c r="E3595" s="291" t="str">
        <f>IFERROR(VLOOKUP($D3595,'Clients-Live'!$A:$C,3,0),"")</f>
        <v>NDAWULA GERALD</v>
      </c>
      <c r="F3595" s="291">
        <f>IFERROR(INDEX(Disbursements!$D:$D,MATCH('Live Collections'!G3595,Disbursements!$C:$C,0)),"")</f>
        <v>1</v>
      </c>
      <c r="G3595" s="34">
        <v>47</v>
      </c>
      <c r="H3595" s="34">
        <v>5290</v>
      </c>
      <c r="I3595" s="34" t="s">
        <v>1359</v>
      </c>
      <c r="J3595" s="48"/>
      <c r="K3595" s="48"/>
      <c r="L3595" s="48"/>
      <c r="M3595" s="48"/>
      <c r="N3595" s="59"/>
      <c r="O3595" s="59">
        <v>100000</v>
      </c>
      <c r="P3595" s="59"/>
      <c r="Q3595" s="268">
        <f t="shared" si="169"/>
        <v>100000</v>
      </c>
      <c r="R3595" s="61">
        <f>IF(O3595=0,0,SUMIFS(Disbursements!$T:$T,Disbursements!$B:$B,'Live Collections'!D3595,Disbursements!$D:$D,'Live Collections'!F3595))</f>
        <v>217000</v>
      </c>
      <c r="S3595" s="304">
        <f>IF(O3595&lt;=IF($O3595=0,0,SUMIFS(Disbursements!$W:$W,Disbursements!$B:$B,'Live Collections'!D3595,Disbursements!$D:$D,'Live Collections'!F3595)),O3595,IF($O3595=0,0,SUMIFS(Disbursements!$W:$W,Disbursements!$B:$B,'Live Collections'!D3595,Disbursements!$D:$D,'Live Collections'!F3595)))</f>
        <v>50333.333333333343</v>
      </c>
      <c r="T3595" s="304">
        <f t="shared" si="170"/>
        <v>49666.666666666657</v>
      </c>
      <c r="U3595" s="52"/>
      <c r="V3595" s="34"/>
      <c r="W3595" s="408"/>
    </row>
    <row r="3596" spans="1:23" ht="12.75" customHeight="1" x14ac:dyDescent="0.2">
      <c r="A3596" s="257">
        <v>3606</v>
      </c>
      <c r="B3596" s="44">
        <v>44644</v>
      </c>
      <c r="C3596" s="44">
        <f t="shared" si="171"/>
        <v>44644</v>
      </c>
      <c r="D3596" s="374">
        <v>108</v>
      </c>
      <c r="E3596" s="291" t="str">
        <f>IFERROR(VLOOKUP($D3596,'Clients-Live'!$A:$C,3,0),"")</f>
        <v>DUDU JOICE</v>
      </c>
      <c r="F3596" s="291">
        <f>IFERROR(INDEX(Disbursements!$D:$D,MATCH('Live Collections'!G3596,Disbursements!$C:$C,0)),"")</f>
        <v>2</v>
      </c>
      <c r="G3596" s="34">
        <v>314</v>
      </c>
      <c r="H3596" s="34">
        <v>5520</v>
      </c>
      <c r="I3596" s="34" t="s">
        <v>1359</v>
      </c>
      <c r="J3596" s="48"/>
      <c r="K3596" s="48"/>
      <c r="L3596" s="48"/>
      <c r="M3596" s="48"/>
      <c r="N3596" s="59"/>
      <c r="O3596" s="59">
        <v>50000</v>
      </c>
      <c r="P3596" s="59"/>
      <c r="Q3596" s="268">
        <f t="shared" si="169"/>
        <v>50000</v>
      </c>
      <c r="R3596" s="61">
        <f>IF(O3596=0,0,SUMIFS(Disbursements!$T:$T,Disbursements!$B:$B,'Live Collections'!D3596,Disbursements!$D:$D,'Live Collections'!F3596))</f>
        <v>250000</v>
      </c>
      <c r="S3596" s="304">
        <f>IF(O3596&lt;=IF($O3596=0,0,SUMIFS(Disbursements!$W:$W,Disbursements!$B:$B,'Live Collections'!D3596,Disbursements!$D:$D,'Live Collections'!F3596)),O3596,IF($O3596=0,0,SUMIFS(Disbursements!$W:$W,Disbursements!$B:$B,'Live Collections'!D3596,Disbursements!$D:$D,'Live Collections'!F3596)))</f>
        <v>50000</v>
      </c>
      <c r="T3596" s="304">
        <f t="shared" si="170"/>
        <v>0</v>
      </c>
      <c r="U3596" s="52"/>
      <c r="V3596" s="34"/>
      <c r="W3596" s="408"/>
    </row>
    <row r="3597" spans="1:23" ht="12.75" customHeight="1" x14ac:dyDescent="0.2">
      <c r="A3597" s="257">
        <v>3607</v>
      </c>
      <c r="B3597" s="44">
        <v>44644</v>
      </c>
      <c r="C3597" s="44">
        <f t="shared" si="171"/>
        <v>44644</v>
      </c>
      <c r="D3597" s="374">
        <v>3</v>
      </c>
      <c r="E3597" s="291" t="str">
        <f>IFERROR(VLOOKUP($D3597,'Clients-Live'!$A:$C,3,0),"")</f>
        <v>YEKA ARIJABU</v>
      </c>
      <c r="F3597" s="291">
        <f>IFERROR(INDEX(Disbursements!$D:$D,MATCH('Live Collections'!G3597,Disbursements!$C:$C,0)),"")</f>
        <v>2</v>
      </c>
      <c r="G3597" s="34">
        <v>443</v>
      </c>
      <c r="H3597" s="34">
        <v>5293</v>
      </c>
      <c r="I3597" s="34" t="s">
        <v>1357</v>
      </c>
      <c r="J3597" s="48"/>
      <c r="K3597" s="48"/>
      <c r="L3597" s="48"/>
      <c r="M3597" s="48"/>
      <c r="N3597" s="59"/>
      <c r="O3597" s="59">
        <v>100000</v>
      </c>
      <c r="P3597" s="59"/>
      <c r="Q3597" s="268">
        <f t="shared" si="169"/>
        <v>100000</v>
      </c>
      <c r="R3597" s="61">
        <f>IF(O3597=0,0,SUMIFS(Disbursements!$T:$T,Disbursements!$B:$B,'Live Collections'!D3597,Disbursements!$D:$D,'Live Collections'!F3597))</f>
        <v>116000</v>
      </c>
      <c r="S3597" s="304">
        <f>IF(O3597&lt;=IF($O3597=0,0,SUMIFS(Disbursements!$W:$W,Disbursements!$B:$B,'Live Collections'!D3597,Disbursements!$D:$D,'Live Collections'!F3597)),O3597,IF($O3597=0,0,SUMIFS(Disbursements!$W:$W,Disbursements!$B:$B,'Live Collections'!D3597,Disbursements!$D:$D,'Live Collections'!F3597)))</f>
        <v>32666.666666666672</v>
      </c>
      <c r="T3597" s="304">
        <f t="shared" si="170"/>
        <v>67333.333333333328</v>
      </c>
      <c r="U3597" s="52"/>
      <c r="V3597" s="34"/>
      <c r="W3597" s="408"/>
    </row>
    <row r="3598" spans="1:23" ht="12.75" customHeight="1" x14ac:dyDescent="0.2">
      <c r="A3598" s="257">
        <v>3608</v>
      </c>
      <c r="B3598" s="44">
        <v>44644</v>
      </c>
      <c r="C3598" s="44">
        <f t="shared" si="171"/>
        <v>44644</v>
      </c>
      <c r="D3598" s="374">
        <v>74</v>
      </c>
      <c r="E3598" s="291" t="str">
        <f>IFERROR(VLOOKUP($D3598,'Clients-Live'!$A:$C,3,0),"")</f>
        <v>YUKUWE AISHA</v>
      </c>
      <c r="F3598" s="291">
        <f>IFERROR(INDEX(Disbursements!$D:$D,MATCH('Live Collections'!G3598,Disbursements!$C:$C,0)),"")</f>
        <v>3</v>
      </c>
      <c r="G3598" s="34">
        <v>447</v>
      </c>
      <c r="H3598" s="34">
        <v>5292</v>
      </c>
      <c r="I3598" s="34" t="s">
        <v>1358</v>
      </c>
      <c r="J3598" s="48"/>
      <c r="K3598" s="48"/>
      <c r="L3598" s="48"/>
      <c r="M3598" s="48"/>
      <c r="N3598" s="59"/>
      <c r="O3598" s="59">
        <v>16000</v>
      </c>
      <c r="P3598" s="59"/>
      <c r="Q3598" s="268">
        <f t="shared" si="169"/>
        <v>16000</v>
      </c>
      <c r="R3598" s="61">
        <f>IF(O3598=0,0,SUMIFS(Disbursements!$T:$T,Disbursements!$B:$B,'Live Collections'!D3598,Disbursements!$D:$D,'Live Collections'!F3598))</f>
        <v>16000</v>
      </c>
      <c r="S3598" s="304">
        <f>IF(O3598&lt;=IF($O3598=0,0,SUMIFS(Disbursements!$W:$W,Disbursements!$B:$B,'Live Collections'!D3598,Disbursements!$D:$D,'Live Collections'!F3598)),O3598,IF($O3598=0,0,SUMIFS(Disbursements!$W:$W,Disbursements!$B:$B,'Live Collections'!D3598,Disbursements!$D:$D,'Live Collections'!F3598)))</f>
        <v>3500</v>
      </c>
      <c r="T3598" s="304">
        <f t="shared" si="170"/>
        <v>12500</v>
      </c>
      <c r="U3598" s="52"/>
      <c r="V3598" s="34"/>
      <c r="W3598" s="408"/>
    </row>
    <row r="3599" spans="1:23" ht="12.75" customHeight="1" x14ac:dyDescent="0.2">
      <c r="A3599" s="257">
        <v>3609</v>
      </c>
      <c r="B3599" s="44">
        <v>44378</v>
      </c>
      <c r="C3599" s="44">
        <f t="shared" si="171"/>
        <v>44378</v>
      </c>
      <c r="D3599" s="374">
        <v>109</v>
      </c>
      <c r="E3599" s="291" t="str">
        <f>IFERROR(VLOOKUP($D3599,'Clients-Live'!$A:$C,3,0),"")</f>
        <v>TABU KISA</v>
      </c>
      <c r="F3599" s="291">
        <f>IFERROR(INDEX(Disbursements!$D:$D,MATCH('Live Collections'!G3599,Disbursements!$C:$C,0)),"")</f>
        <v>1</v>
      </c>
      <c r="G3599" s="34">
        <v>93</v>
      </c>
      <c r="H3599" s="34">
        <v>461</v>
      </c>
      <c r="I3599" s="34" t="s">
        <v>1357</v>
      </c>
      <c r="J3599" s="48"/>
      <c r="K3599" s="48"/>
      <c r="L3599" s="48"/>
      <c r="M3599" s="48"/>
      <c r="N3599" s="59"/>
      <c r="O3599" s="59"/>
      <c r="P3599" s="59">
        <v>30000</v>
      </c>
      <c r="Q3599" s="268">
        <f t="shared" si="169"/>
        <v>30000</v>
      </c>
      <c r="R3599" s="61">
        <f>IF(O3599=0,0,SUMIFS(Disbursements!$T:$T,Disbursements!$B:$B,'Live Collections'!D3599,Disbursements!$D:$D,'Live Collections'!F3599))</f>
        <v>0</v>
      </c>
      <c r="S3599" s="304">
        <f>IF(O3599&lt;=IF($O3599=0,0,SUMIFS(Disbursements!$W:$W,Disbursements!$B:$B,'Live Collections'!D3599,Disbursements!$D:$D,'Live Collections'!F3599)),O3599,IF($O3599=0,0,SUMIFS(Disbursements!$W:$W,Disbursements!$B:$B,'Live Collections'!D3599,Disbursements!$D:$D,'Live Collections'!F3599)))</f>
        <v>0</v>
      </c>
      <c r="T3599" s="304">
        <f t="shared" si="170"/>
        <v>0</v>
      </c>
      <c r="U3599" s="52"/>
      <c r="V3599" s="34"/>
      <c r="W3599" s="408"/>
    </row>
    <row r="3600" spans="1:23" ht="12.75" customHeight="1" x14ac:dyDescent="0.2">
      <c r="A3600" s="257">
        <v>3610</v>
      </c>
      <c r="B3600" s="44">
        <v>44645</v>
      </c>
      <c r="C3600" s="44">
        <f t="shared" si="171"/>
        <v>44645</v>
      </c>
      <c r="D3600" s="374">
        <v>25</v>
      </c>
      <c r="E3600" s="291" t="str">
        <f>IFERROR(VLOOKUP($D3600,'Clients-Live'!$A:$C,3,0),"")</f>
        <v>AROMA BOSCO</v>
      </c>
      <c r="F3600" s="291">
        <f>IFERROR(INDEX(Disbursements!$D:$D,MATCH('Live Collections'!G3600,Disbursements!$C:$C,0)),"")</f>
        <v>1</v>
      </c>
      <c r="G3600" s="34">
        <v>386</v>
      </c>
      <c r="H3600" s="34">
        <v>5372</v>
      </c>
      <c r="I3600" s="34" t="s">
        <v>1359</v>
      </c>
      <c r="J3600" s="48"/>
      <c r="K3600" s="48"/>
      <c r="L3600" s="48"/>
      <c r="M3600" s="48"/>
      <c r="N3600" s="59"/>
      <c r="O3600" s="59">
        <v>130000</v>
      </c>
      <c r="P3600" s="59"/>
      <c r="Q3600" s="268">
        <f t="shared" si="169"/>
        <v>130000</v>
      </c>
      <c r="R3600" s="61">
        <f>IF(O3600=0,0,SUMIFS(Disbursements!$T:$T,Disbursements!$B:$B,'Live Collections'!D3600,Disbursements!$D:$D,'Live Collections'!F3600))</f>
        <v>130000</v>
      </c>
      <c r="S3600" s="304">
        <f>IF(O3600&lt;=IF($O3600=0,0,SUMIFS(Disbursements!$W:$W,Disbursements!$B:$B,'Live Collections'!D3600,Disbursements!$D:$D,'Live Collections'!F3600)),O3600,IF($O3600=0,0,SUMIFS(Disbursements!$W:$W,Disbursements!$B:$B,'Live Collections'!D3600,Disbursements!$D:$D,'Live Collections'!F3600)))</f>
        <v>30000</v>
      </c>
      <c r="T3600" s="304">
        <f t="shared" si="170"/>
        <v>100000</v>
      </c>
      <c r="U3600" s="52"/>
      <c r="V3600" s="34"/>
      <c r="W3600" s="408"/>
    </row>
    <row r="3601" spans="1:23" ht="12.75" customHeight="1" x14ac:dyDescent="0.2">
      <c r="A3601" s="257">
        <v>3611</v>
      </c>
      <c r="B3601" s="44">
        <v>44645</v>
      </c>
      <c r="C3601" s="44">
        <f t="shared" si="171"/>
        <v>44645</v>
      </c>
      <c r="D3601" s="374">
        <v>29</v>
      </c>
      <c r="E3601" s="291" t="str">
        <f>IFERROR(VLOOKUP($D3601,'Clients-Live'!$A:$C,3,0),"")</f>
        <v>AJIBA ROSEMARY EMMANUEL</v>
      </c>
      <c r="F3601" s="291">
        <f>IFERROR(INDEX(Disbursements!$D:$D,MATCH('Live Collections'!G3601,Disbursements!$C:$C,0)),"")</f>
        <v>1</v>
      </c>
      <c r="G3601" s="34">
        <v>389</v>
      </c>
      <c r="H3601" s="34">
        <v>5522</v>
      </c>
      <c r="I3601" s="34" t="s">
        <v>1357</v>
      </c>
      <c r="J3601" s="48"/>
      <c r="K3601" s="48"/>
      <c r="L3601" s="48"/>
      <c r="M3601" s="48"/>
      <c r="N3601" s="59"/>
      <c r="O3601" s="59">
        <v>195000</v>
      </c>
      <c r="P3601" s="59"/>
      <c r="Q3601" s="268">
        <f t="shared" si="169"/>
        <v>195000</v>
      </c>
      <c r="R3601" s="61">
        <f>IF(O3601=0,0,SUMIFS(Disbursements!$T:$T,Disbursements!$B:$B,'Live Collections'!D3601,Disbursements!$D:$D,'Live Collections'!F3601))</f>
        <v>195000</v>
      </c>
      <c r="S3601" s="304">
        <f>IF(O3601&lt;=IF($O3601=0,0,SUMIFS(Disbursements!$W:$W,Disbursements!$B:$B,'Live Collections'!D3601,Disbursements!$D:$D,'Live Collections'!F3601)),O3601,IF($O3601=0,0,SUMIFS(Disbursements!$W:$W,Disbursements!$B:$B,'Live Collections'!D3601,Disbursements!$D:$D,'Live Collections'!F3601)))</f>
        <v>45000</v>
      </c>
      <c r="T3601" s="304">
        <f t="shared" si="170"/>
        <v>150000</v>
      </c>
      <c r="U3601" s="52"/>
      <c r="V3601" s="34"/>
      <c r="W3601" s="408"/>
    </row>
    <row r="3602" spans="1:23" ht="12.75" customHeight="1" x14ac:dyDescent="0.2">
      <c r="A3602" s="257">
        <v>3612</v>
      </c>
      <c r="B3602" s="44">
        <v>44645</v>
      </c>
      <c r="C3602" s="44">
        <f t="shared" si="171"/>
        <v>44645</v>
      </c>
      <c r="D3602" s="374">
        <v>24</v>
      </c>
      <c r="E3602" s="291" t="str">
        <f>IFERROR(VLOOKUP($D3602,'Clients-Live'!$A:$C,3,0),"")</f>
        <v>VITA JEROME</v>
      </c>
      <c r="F3602" s="291">
        <f>IFERROR(INDEX(Disbursements!$D:$D,MATCH('Live Collections'!G3602,Disbursements!$C:$C,0)),"")</f>
        <v>2</v>
      </c>
      <c r="G3602" s="34">
        <v>415</v>
      </c>
      <c r="H3602" s="34">
        <v>5363</v>
      </c>
      <c r="I3602" s="34" t="s">
        <v>1357</v>
      </c>
      <c r="J3602" s="48"/>
      <c r="K3602" s="48"/>
      <c r="L3602" s="48"/>
      <c r="M3602" s="48"/>
      <c r="N3602" s="59"/>
      <c r="O3602" s="59">
        <v>135000</v>
      </c>
      <c r="P3602" s="59"/>
      <c r="Q3602" s="268">
        <f t="shared" si="169"/>
        <v>135000</v>
      </c>
      <c r="R3602" s="61">
        <f>IF(O3602=0,0,SUMIFS(Disbursements!$T:$T,Disbursements!$B:$B,'Live Collections'!D3602,Disbursements!$D:$D,'Live Collections'!F3602))</f>
        <v>135000</v>
      </c>
      <c r="S3602" s="304">
        <f>IF(O3602&lt;=IF($O3602=0,0,SUMIFS(Disbursements!$W:$W,Disbursements!$B:$B,'Live Collections'!D3602,Disbursements!$D:$D,'Live Collections'!F3602)),O3602,IF($O3602=0,0,SUMIFS(Disbursements!$W:$W,Disbursements!$B:$B,'Live Collections'!D3602,Disbursements!$D:$D,'Live Collections'!F3602)))</f>
        <v>20714.28571428571</v>
      </c>
      <c r="T3602" s="304">
        <f t="shared" si="170"/>
        <v>114285.71428571429</v>
      </c>
      <c r="U3602" s="52"/>
      <c r="V3602" s="34"/>
      <c r="W3602" s="408"/>
    </row>
    <row r="3603" spans="1:23" ht="12.75" customHeight="1" x14ac:dyDescent="0.2">
      <c r="A3603" s="257">
        <v>3613</v>
      </c>
      <c r="B3603" s="44">
        <v>44645</v>
      </c>
      <c r="C3603" s="44">
        <f t="shared" si="171"/>
        <v>44645</v>
      </c>
      <c r="D3603" s="374">
        <v>27</v>
      </c>
      <c r="E3603" s="291" t="str">
        <f>IFERROR(VLOOKUP($D3603,'Clients-Live'!$A:$C,3,0),"")</f>
        <v>KANA GIFT</v>
      </c>
      <c r="F3603" s="291">
        <f>IFERROR(INDEX(Disbursements!$D:$D,MATCH('Live Collections'!G3603,Disbursements!$C:$C,0)),"")</f>
        <v>1</v>
      </c>
      <c r="G3603" s="34">
        <v>436</v>
      </c>
      <c r="H3603" s="34">
        <v>5523</v>
      </c>
      <c r="I3603" s="34" t="s">
        <v>1359</v>
      </c>
      <c r="J3603" s="48"/>
      <c r="K3603" s="48"/>
      <c r="L3603" s="48"/>
      <c r="M3603" s="48"/>
      <c r="N3603" s="59"/>
      <c r="O3603" s="59">
        <v>195000</v>
      </c>
      <c r="P3603" s="59"/>
      <c r="Q3603" s="268">
        <f t="shared" si="169"/>
        <v>195000</v>
      </c>
      <c r="R3603" s="61">
        <f>IF(O3603=0,0,SUMIFS(Disbursements!$T:$T,Disbursements!$B:$B,'Live Collections'!D3603,Disbursements!$D:$D,'Live Collections'!F3603))</f>
        <v>195000</v>
      </c>
      <c r="S3603" s="304">
        <f>IF(O3603&lt;=IF($O3603=0,0,SUMIFS(Disbursements!$W:$W,Disbursements!$B:$B,'Live Collections'!D3603,Disbursements!$D:$D,'Live Collections'!F3603)),O3603,IF($O3603=0,0,SUMIFS(Disbursements!$W:$W,Disbursements!$B:$B,'Live Collections'!D3603,Disbursements!$D:$D,'Live Collections'!F3603)))</f>
        <v>45000</v>
      </c>
      <c r="T3603" s="304">
        <f t="shared" si="170"/>
        <v>150000</v>
      </c>
      <c r="U3603" s="52"/>
      <c r="V3603" s="34"/>
      <c r="W3603" s="408"/>
    </row>
    <row r="3604" spans="1:23" ht="12.75" customHeight="1" x14ac:dyDescent="0.2">
      <c r="A3604" s="257">
        <v>3614</v>
      </c>
      <c r="B3604" s="44">
        <v>44645</v>
      </c>
      <c r="C3604" s="44">
        <f t="shared" si="171"/>
        <v>44645</v>
      </c>
      <c r="D3604" s="374">
        <v>1</v>
      </c>
      <c r="E3604" s="291" t="str">
        <f>IFERROR(VLOOKUP($D3604,'Clients-Live'!$A:$C,3,0),"")</f>
        <v>TABAN NICHOLAS</v>
      </c>
      <c r="F3604" s="291">
        <f>IFERROR(INDEX(Disbursements!$D:$D,MATCH('Live Collections'!G3604,Disbursements!$C:$C,0)),"")</f>
        <v>1</v>
      </c>
      <c r="G3604" s="34">
        <v>387</v>
      </c>
      <c r="H3604" s="34">
        <v>5521</v>
      </c>
      <c r="I3604" s="34" t="s">
        <v>1359</v>
      </c>
      <c r="J3604" s="48"/>
      <c r="K3604" s="48"/>
      <c r="L3604" s="48"/>
      <c r="M3604" s="48"/>
      <c r="N3604" s="59"/>
      <c r="O3604" s="59">
        <v>650000</v>
      </c>
      <c r="P3604" s="59"/>
      <c r="Q3604" s="268">
        <f t="shared" si="169"/>
        <v>650000</v>
      </c>
      <c r="R3604" s="61">
        <f>IF(O3604=0,0,SUMIFS(Disbursements!$T:$T,Disbursements!$B:$B,'Live Collections'!D3604,Disbursements!$D:$D,'Live Collections'!F3604))</f>
        <v>325000</v>
      </c>
      <c r="S3604" s="304">
        <f>IF(O3604&lt;=IF($O3604=0,0,SUMIFS(Disbursements!$W:$W,Disbursements!$B:$B,'Live Collections'!D3604,Disbursements!$D:$D,'Live Collections'!F3604)),O3604,IF($O3604=0,0,SUMIFS(Disbursements!$W:$W,Disbursements!$B:$B,'Live Collections'!D3604,Disbursements!$D:$D,'Live Collections'!F3604)))</f>
        <v>75000</v>
      </c>
      <c r="T3604" s="304">
        <f t="shared" si="170"/>
        <v>575000</v>
      </c>
      <c r="U3604" s="52"/>
      <c r="V3604" s="34"/>
      <c r="W3604" s="408"/>
    </row>
    <row r="3605" spans="1:23" ht="12.75" customHeight="1" x14ac:dyDescent="0.2">
      <c r="A3605" s="257">
        <v>3615</v>
      </c>
      <c r="B3605" s="44">
        <v>44645</v>
      </c>
      <c r="C3605" s="44">
        <f t="shared" si="171"/>
        <v>44645</v>
      </c>
      <c r="D3605" s="374">
        <v>250</v>
      </c>
      <c r="E3605" s="291" t="str">
        <f>IFERROR(VLOOKUP($D3605,'Clients-Live'!$A:$C,3,0),"")</f>
        <v>SAKAYA AMINA</v>
      </c>
      <c r="F3605" s="291">
        <f>IFERROR(INDEX(Disbursements!$D:$D,MATCH('Live Collections'!G3605,Disbursements!$C:$C,0)),"")</f>
        <v>3</v>
      </c>
      <c r="G3605" s="34">
        <v>489</v>
      </c>
      <c r="H3605" s="34">
        <v>5380</v>
      </c>
      <c r="I3605" s="34" t="s">
        <v>1357</v>
      </c>
      <c r="J3605" s="48"/>
      <c r="K3605" s="48"/>
      <c r="L3605" s="48"/>
      <c r="M3605" s="48"/>
      <c r="N3605" s="59"/>
      <c r="O3605" s="59"/>
      <c r="P3605" s="59">
        <v>50000</v>
      </c>
      <c r="Q3605" s="268">
        <f t="shared" si="169"/>
        <v>50000</v>
      </c>
      <c r="R3605" s="61">
        <f>IF(O3605=0,0,SUMIFS(Disbursements!$T:$T,Disbursements!$B:$B,'Live Collections'!D3605,Disbursements!$D:$D,'Live Collections'!F3605))</f>
        <v>0</v>
      </c>
      <c r="S3605" s="304">
        <f>IF(O3605&lt;=IF($O3605=0,0,SUMIFS(Disbursements!$W:$W,Disbursements!$B:$B,'Live Collections'!D3605,Disbursements!$D:$D,'Live Collections'!F3605)),O3605,IF($O3605=0,0,SUMIFS(Disbursements!$W:$W,Disbursements!$B:$B,'Live Collections'!D3605,Disbursements!$D:$D,'Live Collections'!F3605)))</f>
        <v>0</v>
      </c>
      <c r="T3605" s="304">
        <f t="shared" si="170"/>
        <v>0</v>
      </c>
      <c r="U3605" s="52"/>
      <c r="V3605" s="34"/>
      <c r="W3605" s="408"/>
    </row>
    <row r="3606" spans="1:23" ht="12.75" customHeight="1" x14ac:dyDescent="0.2">
      <c r="A3606" s="257">
        <v>3616</v>
      </c>
      <c r="B3606" s="44">
        <v>44645</v>
      </c>
      <c r="C3606" s="44">
        <f t="shared" si="171"/>
        <v>44645</v>
      </c>
      <c r="D3606" s="374">
        <v>128</v>
      </c>
      <c r="E3606" s="291" t="str">
        <f>IFERROR(VLOOKUP($D3606,'Clients-Live'!$A:$C,3,0),"")</f>
        <v>AJONYE BETTY</v>
      </c>
      <c r="F3606" s="291">
        <f>IFERROR(INDEX(Disbursements!$D:$D,MATCH('Live Collections'!G3606,Disbursements!$C:$C,0)),"")</f>
        <v>3</v>
      </c>
      <c r="G3606" s="34">
        <v>463</v>
      </c>
      <c r="H3606" s="34">
        <v>5294</v>
      </c>
      <c r="I3606" s="34" t="s">
        <v>1359</v>
      </c>
      <c r="J3606" s="48"/>
      <c r="K3606" s="48"/>
      <c r="L3606" s="48"/>
      <c r="M3606" s="48"/>
      <c r="N3606" s="59"/>
      <c r="O3606" s="59">
        <v>25000</v>
      </c>
      <c r="P3606" s="59"/>
      <c r="Q3606" s="268">
        <f t="shared" si="169"/>
        <v>25000</v>
      </c>
      <c r="R3606" s="61">
        <f>IF(O3606=0,0,SUMIFS(Disbursements!$T:$T,Disbursements!$B:$B,'Live Collections'!D3606,Disbursements!$D:$D,'Live Collections'!F3606))</f>
        <v>25000</v>
      </c>
      <c r="S3606" s="304">
        <f>IF(O3606&lt;=IF($O3606=0,0,SUMIFS(Disbursements!$W:$W,Disbursements!$B:$B,'Live Collections'!D3606,Disbursements!$D:$D,'Live Collections'!F3606)),O3606,IF($O3606=0,0,SUMIFS(Disbursements!$W:$W,Disbursements!$B:$B,'Live Collections'!D3606,Disbursements!$D:$D,'Live Collections'!F3606)))</f>
        <v>4166.6666666666679</v>
      </c>
      <c r="T3606" s="304">
        <f t="shared" si="170"/>
        <v>20833.333333333332</v>
      </c>
      <c r="U3606" s="52"/>
      <c r="V3606" s="34"/>
      <c r="W3606" s="408"/>
    </row>
    <row r="3607" spans="1:23" ht="12.75" customHeight="1" x14ac:dyDescent="0.2">
      <c r="A3607" s="257">
        <v>3617</v>
      </c>
      <c r="B3607" s="44">
        <v>44645</v>
      </c>
      <c r="C3607" s="44">
        <f t="shared" si="171"/>
        <v>44645</v>
      </c>
      <c r="D3607" s="374">
        <v>314</v>
      </c>
      <c r="E3607" s="291" t="str">
        <f>IFERROR(VLOOKUP($D3607,'Clients-Live'!$A:$C,3,0),"")</f>
        <v>SHAMIM ALIGAH</v>
      </c>
      <c r="F3607" s="291">
        <f>IFERROR(INDEX(Disbursements!$D:$D,MATCH('Live Collections'!G3607,Disbursements!$C:$C,0)),"")</f>
        <v>3</v>
      </c>
      <c r="G3607" s="34">
        <v>488</v>
      </c>
      <c r="H3607" s="34">
        <v>5378</v>
      </c>
      <c r="I3607" s="34" t="s">
        <v>1357</v>
      </c>
      <c r="J3607" s="48"/>
      <c r="K3607" s="48"/>
      <c r="L3607" s="48"/>
      <c r="M3607" s="48"/>
      <c r="N3607" s="59"/>
      <c r="O3607" s="59"/>
      <c r="P3607" s="59">
        <v>250000</v>
      </c>
      <c r="Q3607" s="268">
        <f t="shared" si="169"/>
        <v>250000</v>
      </c>
      <c r="R3607" s="61">
        <f>IF(O3607=0,0,SUMIFS(Disbursements!$T:$T,Disbursements!$B:$B,'Live Collections'!D3607,Disbursements!$D:$D,'Live Collections'!F3607))</f>
        <v>0</v>
      </c>
      <c r="S3607" s="304">
        <f>IF(O3607&lt;=IF($O3607=0,0,SUMIFS(Disbursements!$W:$W,Disbursements!$B:$B,'Live Collections'!D3607,Disbursements!$D:$D,'Live Collections'!F3607)),O3607,IF($O3607=0,0,SUMIFS(Disbursements!$W:$W,Disbursements!$B:$B,'Live Collections'!D3607,Disbursements!$D:$D,'Live Collections'!F3607)))</f>
        <v>0</v>
      </c>
      <c r="T3607" s="304">
        <f t="shared" si="170"/>
        <v>0</v>
      </c>
      <c r="U3607" s="52"/>
      <c r="V3607" s="34"/>
      <c r="W3607" s="408"/>
    </row>
    <row r="3608" spans="1:23" ht="12.75" customHeight="1" x14ac:dyDescent="0.2">
      <c r="A3608" s="257">
        <v>3618</v>
      </c>
      <c r="B3608" s="44">
        <v>44645</v>
      </c>
      <c r="C3608" s="44">
        <f t="shared" si="171"/>
        <v>44645</v>
      </c>
      <c r="D3608" s="374">
        <v>345</v>
      </c>
      <c r="E3608" s="291" t="str">
        <f>IFERROR(VLOOKUP($D3608,'Clients-Live'!$A:$C,3,0),"")</f>
        <v>MENGE ABDURAHAMAN RATIB</v>
      </c>
      <c r="F3608" s="291">
        <f>IFERROR(INDEX(Disbursements!$D:$D,MATCH('Live Collections'!G3608,Disbursements!$C:$C,0)),"")</f>
        <v>1</v>
      </c>
      <c r="G3608" s="34">
        <v>490</v>
      </c>
      <c r="H3608" s="34">
        <v>5374</v>
      </c>
      <c r="I3608" s="34" t="s">
        <v>1357</v>
      </c>
      <c r="J3608" s="48"/>
      <c r="K3608" s="48"/>
      <c r="L3608" s="48"/>
      <c r="M3608" s="48"/>
      <c r="N3608" s="59"/>
      <c r="O3608" s="59"/>
      <c r="P3608" s="59">
        <v>30000</v>
      </c>
      <c r="Q3608" s="268">
        <f t="shared" si="169"/>
        <v>30000</v>
      </c>
      <c r="R3608" s="61">
        <f>IF(O3608=0,0,SUMIFS(Disbursements!$T:$T,Disbursements!$B:$B,'Live Collections'!D3608,Disbursements!$D:$D,'Live Collections'!F3608))</f>
        <v>0</v>
      </c>
      <c r="S3608" s="304">
        <f>IF(O3608&lt;=IF($O3608=0,0,SUMIFS(Disbursements!$W:$W,Disbursements!$B:$B,'Live Collections'!D3608,Disbursements!$D:$D,'Live Collections'!F3608)),O3608,IF($O3608=0,0,SUMIFS(Disbursements!$W:$W,Disbursements!$B:$B,'Live Collections'!D3608,Disbursements!$D:$D,'Live Collections'!F3608)))</f>
        <v>0</v>
      </c>
      <c r="T3608" s="304">
        <f t="shared" si="170"/>
        <v>0</v>
      </c>
      <c r="U3608" s="52"/>
      <c r="V3608" s="34"/>
      <c r="W3608" s="408"/>
    </row>
    <row r="3609" spans="1:23" ht="12.75" customHeight="1" x14ac:dyDescent="0.2">
      <c r="A3609" s="257">
        <v>3619</v>
      </c>
      <c r="B3609" s="44">
        <v>44645</v>
      </c>
      <c r="C3609" s="44">
        <f t="shared" si="171"/>
        <v>44645</v>
      </c>
      <c r="D3609" s="374">
        <v>311</v>
      </c>
      <c r="E3609" s="291" t="str">
        <f>IFERROR(VLOOKUP($D3609,'Clients-Live'!$A:$C,3,0),"")</f>
        <v>PATRICK OKUONZI</v>
      </c>
      <c r="F3609" s="291" t="str">
        <f>IFERROR(INDEX(Disbursements!$D:$D,MATCH('Live Collections'!G3609,Disbursements!$C:$C,0)),"")</f>
        <v/>
      </c>
      <c r="G3609" s="34"/>
      <c r="H3609" s="34">
        <v>5285</v>
      </c>
      <c r="I3609" s="34" t="s">
        <v>1358</v>
      </c>
      <c r="J3609" s="48"/>
      <c r="K3609" s="48"/>
      <c r="L3609" s="48">
        <v>15000</v>
      </c>
      <c r="M3609" s="48">
        <v>5000</v>
      </c>
      <c r="N3609" s="59"/>
      <c r="O3609" s="59"/>
      <c r="P3609" s="59"/>
      <c r="Q3609" s="268">
        <f t="shared" si="169"/>
        <v>20000</v>
      </c>
      <c r="R3609" s="61">
        <f>IF(O3609=0,0,SUMIFS(Disbursements!$T:$T,Disbursements!$B:$B,'Live Collections'!D3609,Disbursements!$D:$D,'Live Collections'!F3609))</f>
        <v>0</v>
      </c>
      <c r="S3609" s="304">
        <f>IF(O3609&lt;=IF($O3609=0,0,SUMIFS(Disbursements!$W:$W,Disbursements!$B:$B,'Live Collections'!D3609,Disbursements!$D:$D,'Live Collections'!F3609)),O3609,IF($O3609=0,0,SUMIFS(Disbursements!$W:$W,Disbursements!$B:$B,'Live Collections'!D3609,Disbursements!$D:$D,'Live Collections'!F3609)))</f>
        <v>0</v>
      </c>
      <c r="T3609" s="304">
        <f t="shared" si="170"/>
        <v>0</v>
      </c>
      <c r="U3609" s="52"/>
      <c r="V3609" s="34"/>
      <c r="W3609" s="408"/>
    </row>
    <row r="3610" spans="1:23" ht="12.75" customHeight="1" x14ac:dyDescent="0.2">
      <c r="A3610" s="257">
        <v>3620</v>
      </c>
      <c r="B3610" s="44">
        <v>44645</v>
      </c>
      <c r="C3610" s="44">
        <f t="shared" si="171"/>
        <v>44645</v>
      </c>
      <c r="D3610" s="374">
        <v>311</v>
      </c>
      <c r="E3610" s="291" t="str">
        <f>IFERROR(VLOOKUP($D3610,'Clients-Live'!$A:$C,3,0),"")</f>
        <v>PATRICK OKUONZI</v>
      </c>
      <c r="F3610" s="291">
        <f>IFERROR(INDEX(Disbursements!$D:$D,MATCH('Live Collections'!G3610,Disbursements!$C:$C,0)),"")</f>
        <v>3</v>
      </c>
      <c r="G3610" s="34">
        <v>491</v>
      </c>
      <c r="H3610" s="34">
        <v>5296</v>
      </c>
      <c r="I3610" s="34" t="s">
        <v>1358</v>
      </c>
      <c r="J3610" s="48"/>
      <c r="K3610" s="48"/>
      <c r="L3610" s="48"/>
      <c r="M3610" s="48"/>
      <c r="N3610" s="59"/>
      <c r="O3610" s="59"/>
      <c r="P3610" s="59">
        <v>40000</v>
      </c>
      <c r="Q3610" s="268">
        <f t="shared" si="169"/>
        <v>40000</v>
      </c>
      <c r="R3610" s="61">
        <f>IF(O3610=0,0,SUMIFS(Disbursements!$T:$T,Disbursements!$B:$B,'Live Collections'!D3610,Disbursements!$D:$D,'Live Collections'!F3610))</f>
        <v>0</v>
      </c>
      <c r="S3610" s="304">
        <f>IF(O3610&lt;=IF($O3610=0,0,SUMIFS(Disbursements!$W:$W,Disbursements!$B:$B,'Live Collections'!D3610,Disbursements!$D:$D,'Live Collections'!F3610)),O3610,IF($O3610=0,0,SUMIFS(Disbursements!$W:$W,Disbursements!$B:$B,'Live Collections'!D3610,Disbursements!$D:$D,'Live Collections'!F3610)))</f>
        <v>0</v>
      </c>
      <c r="T3610" s="304">
        <f t="shared" si="170"/>
        <v>0</v>
      </c>
      <c r="U3610" s="52"/>
      <c r="V3610" s="34"/>
      <c r="W3610" s="408"/>
    </row>
    <row r="3611" spans="1:23" ht="12.75" customHeight="1" x14ac:dyDescent="0.2">
      <c r="A3611" s="257">
        <v>3621</v>
      </c>
      <c r="B3611" s="44">
        <v>44645</v>
      </c>
      <c r="C3611" s="44">
        <f t="shared" si="171"/>
        <v>44645</v>
      </c>
      <c r="D3611" s="374">
        <v>343</v>
      </c>
      <c r="E3611" s="291" t="str">
        <f>IFERROR(VLOOKUP($D3611,'Clients-Live'!$A:$C,3,0),"")</f>
        <v>MAMBO EDWARD</v>
      </c>
      <c r="F3611" s="291">
        <f>IFERROR(INDEX(Disbursements!$D:$D,MATCH('Live Collections'!G3611,Disbursements!$C:$C,0)),"")</f>
        <v>1</v>
      </c>
      <c r="G3611" s="34">
        <v>485</v>
      </c>
      <c r="H3611" s="34">
        <v>5299</v>
      </c>
      <c r="I3611" s="34" t="s">
        <v>1358</v>
      </c>
      <c r="J3611" s="48"/>
      <c r="K3611" s="48"/>
      <c r="L3611" s="48"/>
      <c r="M3611" s="48"/>
      <c r="N3611" s="59"/>
      <c r="O3611" s="59"/>
      <c r="P3611" s="59">
        <v>300000</v>
      </c>
      <c r="Q3611" s="268">
        <f t="shared" si="169"/>
        <v>300000</v>
      </c>
      <c r="R3611" s="61">
        <f>IF(O3611=0,0,SUMIFS(Disbursements!$T:$T,Disbursements!$B:$B,'Live Collections'!D3611,Disbursements!$D:$D,'Live Collections'!F3611))</f>
        <v>0</v>
      </c>
      <c r="S3611" s="304">
        <f>IF(O3611&lt;=IF($O3611=0,0,SUMIFS(Disbursements!$W:$W,Disbursements!$B:$B,'Live Collections'!D3611,Disbursements!$D:$D,'Live Collections'!F3611)),O3611,IF($O3611=0,0,SUMIFS(Disbursements!$W:$W,Disbursements!$B:$B,'Live Collections'!D3611,Disbursements!$D:$D,'Live Collections'!F3611)))</f>
        <v>0</v>
      </c>
      <c r="T3611" s="304">
        <f t="shared" si="170"/>
        <v>0</v>
      </c>
      <c r="U3611" s="52"/>
      <c r="V3611" s="34"/>
      <c r="W3611" s="408"/>
    </row>
    <row r="3612" spans="1:23" ht="12.75" customHeight="1" x14ac:dyDescent="0.2">
      <c r="A3612" s="257">
        <v>3622</v>
      </c>
      <c r="B3612" s="44">
        <v>44645</v>
      </c>
      <c r="C3612" s="44">
        <f t="shared" si="171"/>
        <v>44645</v>
      </c>
      <c r="D3612" s="374">
        <v>109</v>
      </c>
      <c r="E3612" s="291" t="str">
        <f>IFERROR(VLOOKUP($D3612,'Clients-Live'!$A:$C,3,0),"")</f>
        <v>TABU KISA</v>
      </c>
      <c r="F3612" s="291">
        <f>IFERROR(INDEX(Disbursements!$D:$D,MATCH('Live Collections'!G3612,Disbursements!$C:$C,0)),"")</f>
        <v>2</v>
      </c>
      <c r="G3612" s="34">
        <v>237</v>
      </c>
      <c r="H3612" s="34">
        <v>5430</v>
      </c>
      <c r="I3612" s="34" t="s">
        <v>1357</v>
      </c>
      <c r="J3612" s="48"/>
      <c r="K3612" s="48"/>
      <c r="L3612" s="48"/>
      <c r="M3612" s="48"/>
      <c r="N3612" s="59"/>
      <c r="O3612" s="59">
        <v>75000</v>
      </c>
      <c r="P3612" s="59"/>
      <c r="Q3612" s="268">
        <f t="shared" si="169"/>
        <v>75000</v>
      </c>
      <c r="R3612" s="61">
        <f>IF(O3612=0,0,SUMIFS(Disbursements!$T:$T,Disbursements!$B:$B,'Live Collections'!D3612,Disbursements!$D:$D,'Live Collections'!F3612))</f>
        <v>275000</v>
      </c>
      <c r="S3612" s="304"/>
      <c r="T3612" s="304">
        <f t="shared" si="170"/>
        <v>75000</v>
      </c>
      <c r="U3612" s="52"/>
      <c r="V3612" s="34"/>
      <c r="W3612" s="408"/>
    </row>
    <row r="3613" spans="1:23" ht="12.75" customHeight="1" x14ac:dyDescent="0.2">
      <c r="A3613" s="257">
        <v>3623</v>
      </c>
      <c r="B3613" s="44">
        <v>44645</v>
      </c>
      <c r="C3613" s="44">
        <f t="shared" si="171"/>
        <v>44645</v>
      </c>
      <c r="D3613" s="374">
        <v>109</v>
      </c>
      <c r="E3613" s="291" t="str">
        <f>IFERROR(VLOOKUP($D3613,'Clients-Live'!$A:$C,3,0),"")</f>
        <v>TABU KISA</v>
      </c>
      <c r="F3613" s="291" t="str">
        <f>IFERROR(INDEX(Disbursements!$D:$D,MATCH('Live Collections'!G3613,Disbursements!$C:$C,0)),"")</f>
        <v/>
      </c>
      <c r="G3613" s="34"/>
      <c r="H3613" s="34">
        <v>5371</v>
      </c>
      <c r="I3613" s="34" t="s">
        <v>1357</v>
      </c>
      <c r="J3613" s="48"/>
      <c r="K3613" s="48"/>
      <c r="L3613" s="48">
        <v>15000</v>
      </c>
      <c r="M3613" s="48"/>
      <c r="N3613" s="59"/>
      <c r="O3613" s="59"/>
      <c r="P3613" s="59"/>
      <c r="Q3613" s="268">
        <f t="shared" si="169"/>
        <v>15000</v>
      </c>
      <c r="R3613" s="61">
        <f>IF(O3613=0,0,SUMIFS(Disbursements!$T:$T,Disbursements!$B:$B,'Live Collections'!D3613,Disbursements!$D:$D,'Live Collections'!F3613))</f>
        <v>0</v>
      </c>
      <c r="S3613" s="304">
        <f>IF(O3613&lt;=IF($O3613=0,0,SUMIFS(Disbursements!$W:$W,Disbursements!$B:$B,'Live Collections'!D3613,Disbursements!$D:$D,'Live Collections'!F3613)),O3613,IF($O3613=0,0,SUMIFS(Disbursements!$W:$W,Disbursements!$B:$B,'Live Collections'!D3613,Disbursements!$D:$D,'Live Collections'!F3613)))</f>
        <v>0</v>
      </c>
      <c r="T3613" s="304">
        <f t="shared" si="170"/>
        <v>0</v>
      </c>
      <c r="U3613" s="52"/>
      <c r="V3613" s="34"/>
      <c r="W3613" s="408"/>
    </row>
    <row r="3614" spans="1:23" ht="12.75" customHeight="1" x14ac:dyDescent="0.2">
      <c r="A3614" s="257">
        <v>3624</v>
      </c>
      <c r="B3614" s="44">
        <v>44645</v>
      </c>
      <c r="C3614" s="44">
        <f t="shared" si="171"/>
        <v>44645</v>
      </c>
      <c r="D3614" s="374">
        <v>71</v>
      </c>
      <c r="E3614" s="291" t="str">
        <f>IFERROR(VLOOKUP($D3614,'Clients-Live'!$A:$C,3,0),"")</f>
        <v>AYIKORU HARIET BAUDI</v>
      </c>
      <c r="F3614" s="291">
        <f>IFERROR(INDEX(Disbursements!$D:$D,MATCH('Live Collections'!G3614,Disbursements!$C:$C,0)),"")</f>
        <v>4</v>
      </c>
      <c r="G3614" s="34">
        <v>486</v>
      </c>
      <c r="H3614" s="34">
        <v>5385</v>
      </c>
      <c r="I3614" s="34" t="s">
        <v>1359</v>
      </c>
      <c r="J3614" s="48"/>
      <c r="K3614" s="48"/>
      <c r="L3614" s="48"/>
      <c r="M3614" s="48"/>
      <c r="N3614" s="59"/>
      <c r="O3614" s="59"/>
      <c r="P3614" s="59">
        <v>500000</v>
      </c>
      <c r="Q3614" s="268">
        <f t="shared" si="169"/>
        <v>500000</v>
      </c>
      <c r="R3614" s="61">
        <f>IF(O3614=0,0,SUMIFS(Disbursements!$T:$T,Disbursements!$B:$B,'Live Collections'!D3614,Disbursements!$D:$D,'Live Collections'!F3614))</f>
        <v>0</v>
      </c>
      <c r="S3614" s="304">
        <f>IF(O3614&lt;=IF($O3614=0,0,SUMIFS(Disbursements!$W:$W,Disbursements!$B:$B,'Live Collections'!D3614,Disbursements!$D:$D,'Live Collections'!F3614)),O3614,IF($O3614=0,0,SUMIFS(Disbursements!$W:$W,Disbursements!$B:$B,'Live Collections'!D3614,Disbursements!$D:$D,'Live Collections'!F3614)))</f>
        <v>0</v>
      </c>
      <c r="T3614" s="304">
        <f t="shared" si="170"/>
        <v>0</v>
      </c>
      <c r="U3614" s="52"/>
      <c r="V3614" s="34"/>
      <c r="W3614" s="408"/>
    </row>
    <row r="3615" spans="1:23" ht="12.75" customHeight="1" x14ac:dyDescent="0.2">
      <c r="A3615" s="257">
        <v>3625</v>
      </c>
      <c r="B3615" s="44">
        <v>44645</v>
      </c>
      <c r="C3615" s="44">
        <f t="shared" si="171"/>
        <v>44645</v>
      </c>
      <c r="D3615" s="374">
        <v>347</v>
      </c>
      <c r="E3615" s="291" t="str">
        <f>IFERROR(VLOOKUP($D3615,'Clients-Live'!$A:$C,3,0),"")</f>
        <v>AJONYE FATUMA</v>
      </c>
      <c r="F3615" s="291" t="str">
        <f>IFERROR(INDEX(Disbursements!$D:$D,MATCH('Live Collections'!G3615,Disbursements!$C:$C,0)),"")</f>
        <v/>
      </c>
      <c r="G3615" s="34"/>
      <c r="H3615" s="34">
        <v>5328</v>
      </c>
      <c r="I3615" s="34" t="s">
        <v>1760</v>
      </c>
      <c r="J3615" s="48">
        <v>15000</v>
      </c>
      <c r="K3615" s="48">
        <v>5000</v>
      </c>
      <c r="L3615" s="48"/>
      <c r="M3615" s="48"/>
      <c r="N3615" s="59"/>
      <c r="O3615" s="59"/>
      <c r="P3615" s="59"/>
      <c r="Q3615" s="268">
        <f t="shared" si="169"/>
        <v>20000</v>
      </c>
      <c r="R3615" s="61">
        <f>IF(O3615=0,0,SUMIFS(Disbursements!$T:$T,Disbursements!$B:$B,'Live Collections'!D3615,Disbursements!$D:$D,'Live Collections'!F3615))</f>
        <v>0</v>
      </c>
      <c r="S3615" s="304">
        <f>IF(O3615&lt;=IF($O3615=0,0,SUMIFS(Disbursements!$W:$W,Disbursements!$B:$B,'Live Collections'!D3615,Disbursements!$D:$D,'Live Collections'!F3615)),O3615,IF($O3615=0,0,SUMIFS(Disbursements!$W:$W,Disbursements!$B:$B,'Live Collections'!D3615,Disbursements!$D:$D,'Live Collections'!F3615)))</f>
        <v>0</v>
      </c>
      <c r="T3615" s="304">
        <f t="shared" si="170"/>
        <v>0</v>
      </c>
      <c r="U3615" s="52"/>
      <c r="V3615" s="34"/>
      <c r="W3615" s="408"/>
    </row>
    <row r="3616" spans="1:23" ht="12.75" customHeight="1" x14ac:dyDescent="0.2">
      <c r="A3616" s="257">
        <v>3626</v>
      </c>
      <c r="B3616" s="44">
        <v>44645</v>
      </c>
      <c r="C3616" s="44">
        <f t="shared" si="171"/>
        <v>44645</v>
      </c>
      <c r="D3616" s="374">
        <v>347</v>
      </c>
      <c r="E3616" s="291" t="str">
        <f>IFERROR(VLOOKUP($D3616,'Clients-Live'!$A:$C,3,0),"")</f>
        <v>AJONYE FATUMA</v>
      </c>
      <c r="F3616" s="291" t="str">
        <f>IFERROR(INDEX(Disbursements!$D:$D,MATCH('Live Collections'!G3616,Disbursements!$C:$C,0)),"")</f>
        <v/>
      </c>
      <c r="G3616" s="34"/>
      <c r="H3616" s="34">
        <v>5329</v>
      </c>
      <c r="I3616" s="34" t="s">
        <v>1760</v>
      </c>
      <c r="J3616" s="48"/>
      <c r="K3616" s="48"/>
      <c r="L3616" s="48">
        <v>15000</v>
      </c>
      <c r="M3616" s="48">
        <v>5000</v>
      </c>
      <c r="N3616" s="59"/>
      <c r="O3616" s="59"/>
      <c r="P3616" s="59"/>
      <c r="Q3616" s="268">
        <f t="shared" si="169"/>
        <v>20000</v>
      </c>
      <c r="R3616" s="61">
        <f>IF(O3616=0,0,SUMIFS(Disbursements!$T:$T,Disbursements!$B:$B,'Live Collections'!D3616,Disbursements!$D:$D,'Live Collections'!F3616))</f>
        <v>0</v>
      </c>
      <c r="S3616" s="304">
        <f>IF(O3616&lt;=IF($O3616=0,0,SUMIFS(Disbursements!$W:$W,Disbursements!$B:$B,'Live Collections'!D3616,Disbursements!$D:$D,'Live Collections'!F3616)),O3616,IF($O3616=0,0,SUMIFS(Disbursements!$W:$W,Disbursements!$B:$B,'Live Collections'!D3616,Disbursements!$D:$D,'Live Collections'!F3616)))</f>
        <v>0</v>
      </c>
      <c r="T3616" s="304">
        <f t="shared" si="170"/>
        <v>0</v>
      </c>
      <c r="U3616" s="52"/>
      <c r="V3616" s="34"/>
      <c r="W3616" s="408"/>
    </row>
    <row r="3617" spans="1:23" ht="12.75" customHeight="1" x14ac:dyDescent="0.2">
      <c r="A3617" s="257">
        <v>3627</v>
      </c>
      <c r="B3617" s="44">
        <v>44645</v>
      </c>
      <c r="C3617" s="44">
        <f t="shared" si="171"/>
        <v>44645</v>
      </c>
      <c r="D3617" s="374">
        <v>248</v>
      </c>
      <c r="E3617" s="291" t="str">
        <f>IFERROR(VLOOKUP($D3617,'Clients-Live'!$A:$C,3,0),"")</f>
        <v>LETARU GLORIA</v>
      </c>
      <c r="F3617" s="291">
        <f>IFERROR(INDEX(Disbursements!$D:$D,MATCH('Live Collections'!G3617,Disbursements!$C:$C,0)),"")</f>
        <v>2</v>
      </c>
      <c r="G3617" s="34">
        <v>487</v>
      </c>
      <c r="H3617" s="34">
        <v>5388</v>
      </c>
      <c r="I3617" s="34" t="s">
        <v>1359</v>
      </c>
      <c r="J3617" s="48"/>
      <c r="K3617" s="48"/>
      <c r="L3617" s="48"/>
      <c r="M3617" s="48"/>
      <c r="N3617" s="59"/>
      <c r="O3617" s="59"/>
      <c r="P3617" s="59">
        <v>500000</v>
      </c>
      <c r="Q3617" s="268">
        <f t="shared" si="169"/>
        <v>500000</v>
      </c>
      <c r="R3617" s="61">
        <f>IF(O3617=0,0,SUMIFS(Disbursements!$T:$T,Disbursements!$B:$B,'Live Collections'!D3617,Disbursements!$D:$D,'Live Collections'!F3617))</f>
        <v>0</v>
      </c>
      <c r="S3617" s="304">
        <f>IF(O3617&lt;=IF($O3617=0,0,SUMIFS(Disbursements!$W:$W,Disbursements!$B:$B,'Live Collections'!D3617,Disbursements!$D:$D,'Live Collections'!F3617)),O3617,IF($O3617=0,0,SUMIFS(Disbursements!$W:$W,Disbursements!$B:$B,'Live Collections'!D3617,Disbursements!$D:$D,'Live Collections'!F3617)))</f>
        <v>0</v>
      </c>
      <c r="T3617" s="304">
        <f t="shared" si="170"/>
        <v>0</v>
      </c>
      <c r="U3617" s="52"/>
      <c r="V3617" s="34"/>
      <c r="W3617" s="408"/>
    </row>
    <row r="3618" spans="1:23" ht="12.75" customHeight="1" x14ac:dyDescent="0.2">
      <c r="A3618" s="257">
        <v>3628</v>
      </c>
      <c r="B3618" s="44">
        <v>44645</v>
      </c>
      <c r="C3618" s="44">
        <f t="shared" si="171"/>
        <v>44645</v>
      </c>
      <c r="D3618" s="374">
        <v>1</v>
      </c>
      <c r="E3618" s="291" t="str">
        <f>IFERROR(VLOOKUP($D3618,'Clients-Live'!$A:$C,3,0),"")</f>
        <v>TABAN NICHOLAS</v>
      </c>
      <c r="F3618" s="291" t="str">
        <f>IFERROR(INDEX(Disbursements!$D:$D,MATCH('Live Collections'!G3618,Disbursements!$C:$C,0)),"")</f>
        <v/>
      </c>
      <c r="G3618" s="34"/>
      <c r="H3618" s="34">
        <v>5370</v>
      </c>
      <c r="I3618" s="34" t="s">
        <v>1358</v>
      </c>
      <c r="J3618" s="48"/>
      <c r="K3618" s="48"/>
      <c r="L3618" s="48">
        <v>10000</v>
      </c>
      <c r="M3618" s="48"/>
      <c r="N3618" s="59"/>
      <c r="O3618" s="59"/>
      <c r="P3618" s="59"/>
      <c r="Q3618" s="268">
        <f t="shared" si="169"/>
        <v>10000</v>
      </c>
      <c r="R3618" s="61">
        <f>IF(O3618=0,0,SUMIFS(Disbursements!$T:$T,Disbursements!$B:$B,'Live Collections'!D3618,Disbursements!$D:$D,'Live Collections'!F3618))</f>
        <v>0</v>
      </c>
      <c r="S3618" s="304">
        <f>IF(O3618&lt;=IF($O3618=0,0,SUMIFS(Disbursements!$W:$W,Disbursements!$B:$B,'Live Collections'!D3618,Disbursements!$D:$D,'Live Collections'!F3618)),O3618,IF($O3618=0,0,SUMIFS(Disbursements!$W:$W,Disbursements!$B:$B,'Live Collections'!D3618,Disbursements!$D:$D,'Live Collections'!F3618)))</f>
        <v>0</v>
      </c>
      <c r="T3618" s="304">
        <f t="shared" si="170"/>
        <v>0</v>
      </c>
      <c r="U3618" s="52"/>
      <c r="V3618" s="34"/>
      <c r="W3618" s="408"/>
    </row>
    <row r="3619" spans="1:23" ht="12.75" customHeight="1" x14ac:dyDescent="0.2">
      <c r="A3619" s="257">
        <v>3629</v>
      </c>
      <c r="B3619" s="44">
        <v>44645</v>
      </c>
      <c r="C3619" s="44">
        <f t="shared" si="171"/>
        <v>44645</v>
      </c>
      <c r="D3619" s="374">
        <v>135</v>
      </c>
      <c r="E3619" s="291" t="str">
        <f>IFERROR(VLOOKUP($D3619,'Clients-Live'!$A:$C,3,0),"")</f>
        <v>SARIF SAIDI</v>
      </c>
      <c r="F3619" s="291" t="str">
        <f>IFERROR(INDEX(Disbursements!$D:$D,MATCH('Live Collections'!G3619,Disbursements!$C:$C,0)),"")</f>
        <v/>
      </c>
      <c r="G3619" s="34"/>
      <c r="H3619" s="34">
        <v>5369</v>
      </c>
      <c r="I3619" s="34" t="s">
        <v>1357</v>
      </c>
      <c r="J3619" s="48"/>
      <c r="K3619" s="48"/>
      <c r="L3619" s="48">
        <v>20000</v>
      </c>
      <c r="M3619" s="48">
        <v>5000</v>
      </c>
      <c r="N3619" s="59"/>
      <c r="O3619" s="59"/>
      <c r="P3619" s="59"/>
      <c r="Q3619" s="268">
        <f t="shared" si="169"/>
        <v>25000</v>
      </c>
      <c r="R3619" s="61">
        <f>IF(O3619=0,0,SUMIFS(Disbursements!$T:$T,Disbursements!$B:$B,'Live Collections'!D3619,Disbursements!$D:$D,'Live Collections'!F3619))</f>
        <v>0</v>
      </c>
      <c r="S3619" s="304">
        <f>IF(O3619&lt;=IF($O3619=0,0,SUMIFS(Disbursements!$W:$W,Disbursements!$B:$B,'Live Collections'!D3619,Disbursements!$D:$D,'Live Collections'!F3619)),O3619,IF($O3619=0,0,SUMIFS(Disbursements!$W:$W,Disbursements!$B:$B,'Live Collections'!D3619,Disbursements!$D:$D,'Live Collections'!F3619)))</f>
        <v>0</v>
      </c>
      <c r="T3619" s="304">
        <f t="shared" si="170"/>
        <v>0</v>
      </c>
      <c r="U3619" s="52"/>
      <c r="V3619" s="34"/>
      <c r="W3619" s="408"/>
    </row>
    <row r="3620" spans="1:23" ht="12.75" customHeight="1" x14ac:dyDescent="0.2">
      <c r="A3620" s="257">
        <v>3630</v>
      </c>
      <c r="B3620" s="44">
        <v>44645</v>
      </c>
      <c r="C3620" s="44">
        <f t="shared" si="171"/>
        <v>44645</v>
      </c>
      <c r="D3620" s="374">
        <v>344</v>
      </c>
      <c r="E3620" s="291" t="str">
        <f>IFERROR(VLOOKUP($D3620,'Clients-Live'!$A:$C,3,0),"")</f>
        <v>ADAM MUSA LEMERIGA</v>
      </c>
      <c r="F3620" s="291">
        <f>IFERROR(INDEX(Disbursements!$D:$D,MATCH('Live Collections'!G3620,Disbursements!$C:$C,0)),"")</f>
        <v>1</v>
      </c>
      <c r="G3620" s="34">
        <v>484</v>
      </c>
      <c r="H3620" s="34">
        <v>5382</v>
      </c>
      <c r="I3620" s="34" t="s">
        <v>1358</v>
      </c>
      <c r="J3620" s="48"/>
      <c r="K3620" s="48"/>
      <c r="L3620" s="48"/>
      <c r="M3620" s="48"/>
      <c r="N3620" s="59"/>
      <c r="O3620" s="59"/>
      <c r="P3620" s="59">
        <v>100000</v>
      </c>
      <c r="Q3620" s="268">
        <f t="shared" si="169"/>
        <v>100000</v>
      </c>
      <c r="R3620" s="61">
        <f>IF(O3620=0,0,SUMIFS(Disbursements!$T:$T,Disbursements!$B:$B,'Live Collections'!D3620,Disbursements!$D:$D,'Live Collections'!F3620))</f>
        <v>0</v>
      </c>
      <c r="S3620" s="304">
        <f>IF(O3620&lt;=IF($O3620=0,0,SUMIFS(Disbursements!$W:$W,Disbursements!$B:$B,'Live Collections'!D3620,Disbursements!$D:$D,'Live Collections'!F3620)),O3620,IF($O3620=0,0,SUMIFS(Disbursements!$W:$W,Disbursements!$B:$B,'Live Collections'!D3620,Disbursements!$D:$D,'Live Collections'!F3620)))</f>
        <v>0</v>
      </c>
      <c r="T3620" s="304">
        <f t="shared" si="170"/>
        <v>0</v>
      </c>
      <c r="U3620" s="52"/>
      <c r="V3620" s="34"/>
      <c r="W3620" s="408"/>
    </row>
    <row r="3621" spans="1:23" ht="12.75" customHeight="1" x14ac:dyDescent="0.2">
      <c r="A3621" s="257">
        <v>3631</v>
      </c>
      <c r="B3621" s="44">
        <v>44645</v>
      </c>
      <c r="C3621" s="44">
        <f t="shared" si="171"/>
        <v>44645</v>
      </c>
      <c r="D3621" s="374">
        <v>135</v>
      </c>
      <c r="E3621" s="291" t="str">
        <f>IFERROR(VLOOKUP($D3621,'Clients-Live'!$A:$C,3,0),"")</f>
        <v>SARIF SAIDI</v>
      </c>
      <c r="F3621" s="291">
        <f>IFERROR(INDEX(Disbursements!$D:$D,MATCH('Live Collections'!G3621,Disbursements!$C:$C,0)),"")</f>
        <v>2</v>
      </c>
      <c r="G3621" s="34">
        <v>323</v>
      </c>
      <c r="H3621" s="34">
        <v>5367</v>
      </c>
      <c r="I3621" s="34" t="s">
        <v>1357</v>
      </c>
      <c r="J3621" s="48"/>
      <c r="K3621" s="48"/>
      <c r="L3621" s="48"/>
      <c r="M3621" s="48"/>
      <c r="N3621" s="59"/>
      <c r="O3621" s="59">
        <v>100000</v>
      </c>
      <c r="P3621" s="59"/>
      <c r="Q3621" s="268">
        <f t="shared" si="169"/>
        <v>100000</v>
      </c>
      <c r="R3621" s="61">
        <f>IF(O3621=0,0,SUMIFS(Disbursements!$T:$T,Disbursements!$B:$B,'Live Collections'!D3621,Disbursements!$D:$D,'Live Collections'!F3621))</f>
        <v>260000</v>
      </c>
      <c r="S3621" s="304">
        <f>IF(O3621&lt;=IF($O3621=0,0,SUMIFS(Disbursements!$W:$W,Disbursements!$B:$B,'Live Collections'!D3621,Disbursements!$D:$D,'Live Collections'!F3621)),O3621,IF($O3621=0,0,SUMIFS(Disbursements!$W:$W,Disbursements!$B:$B,'Live Collections'!D3621,Disbursements!$D:$D,'Live Collections'!F3621)))</f>
        <v>60000</v>
      </c>
      <c r="T3621" s="304">
        <f t="shared" si="170"/>
        <v>40000</v>
      </c>
      <c r="U3621" s="52"/>
      <c r="V3621" s="34"/>
      <c r="W3621" s="408"/>
    </row>
    <row r="3622" spans="1:23" ht="12.75" customHeight="1" x14ac:dyDescent="0.2">
      <c r="A3622" s="257">
        <v>3632</v>
      </c>
      <c r="B3622" s="44">
        <v>44645</v>
      </c>
      <c r="C3622" s="44">
        <f t="shared" si="171"/>
        <v>44645</v>
      </c>
      <c r="D3622" s="374">
        <v>1</v>
      </c>
      <c r="E3622" s="291" t="str">
        <f>IFERROR(VLOOKUP($D3622,'Clients-Live'!$A:$C,3,0),"")</f>
        <v>TABAN NICHOLAS</v>
      </c>
      <c r="F3622" s="291">
        <f>IFERROR(INDEX(Disbursements!$D:$D,MATCH('Live Collections'!G3622,Disbursements!$C:$C,0)),"")</f>
        <v>2</v>
      </c>
      <c r="G3622" s="34">
        <v>428</v>
      </c>
      <c r="H3622" s="34">
        <v>5432</v>
      </c>
      <c r="I3622" s="34" t="s">
        <v>1357</v>
      </c>
      <c r="J3622" s="48"/>
      <c r="K3622" s="48"/>
      <c r="L3622" s="48"/>
      <c r="M3622" s="48"/>
      <c r="N3622" s="59"/>
      <c r="O3622" s="59">
        <v>526000</v>
      </c>
      <c r="P3622" s="59"/>
      <c r="Q3622" s="268">
        <f t="shared" si="169"/>
        <v>526000</v>
      </c>
      <c r="R3622" s="61">
        <f>IF(O3622=0,0,SUMIFS(Disbursements!$T:$T,Disbursements!$B:$B,'Live Collections'!D3622,Disbursements!$D:$D,'Live Collections'!F3622))</f>
        <v>263000</v>
      </c>
      <c r="S3622" s="304">
        <v>26000</v>
      </c>
      <c r="T3622" s="304">
        <f t="shared" si="170"/>
        <v>500000</v>
      </c>
      <c r="U3622" s="52"/>
      <c r="V3622" s="34"/>
      <c r="W3622" s="408"/>
    </row>
    <row r="3623" spans="1:23" ht="12.75" customHeight="1" x14ac:dyDescent="0.2">
      <c r="A3623" s="257">
        <v>3633</v>
      </c>
      <c r="B3623" s="44">
        <v>44645</v>
      </c>
      <c r="C3623" s="44">
        <f t="shared" si="171"/>
        <v>44645</v>
      </c>
      <c r="D3623" s="374">
        <v>303</v>
      </c>
      <c r="E3623" s="291" t="str">
        <f>IFERROR(VLOOKUP($D3623,'Clients-Live'!$A:$C,3,0),"")</f>
        <v>APAYI DOROTHY</v>
      </c>
      <c r="F3623" s="291">
        <f>IFERROR(INDEX(Disbursements!$D:$D,MATCH('Live Collections'!G3623,Disbursements!$C:$C,0)),"")</f>
        <v>1</v>
      </c>
      <c r="G3623" s="34">
        <v>399</v>
      </c>
      <c r="H3623" s="34">
        <v>5389</v>
      </c>
      <c r="I3623" s="34" t="s">
        <v>1359</v>
      </c>
      <c r="J3623" s="48"/>
      <c r="K3623" s="48"/>
      <c r="L3623" s="48"/>
      <c r="M3623" s="48"/>
      <c r="N3623" s="59"/>
      <c r="O3623" s="59">
        <v>20000</v>
      </c>
      <c r="P3623" s="59"/>
      <c r="Q3623" s="268">
        <f t="shared" si="169"/>
        <v>20000</v>
      </c>
      <c r="R3623" s="61">
        <f>IF(O3623=0,0,SUMIFS(Disbursements!$T:$T,Disbursements!$B:$B,'Live Collections'!D3623,Disbursements!$D:$D,'Live Collections'!F3623))</f>
        <v>40000</v>
      </c>
      <c r="S3623" s="304"/>
      <c r="T3623" s="304">
        <f t="shared" si="170"/>
        <v>20000</v>
      </c>
      <c r="U3623" s="52"/>
      <c r="V3623" s="34"/>
      <c r="W3623" s="408"/>
    </row>
    <row r="3624" spans="1:23" ht="12.75" customHeight="1" x14ac:dyDescent="0.2">
      <c r="A3624" s="257">
        <v>3634</v>
      </c>
      <c r="B3624" s="44">
        <v>44645</v>
      </c>
      <c r="C3624" s="44">
        <f t="shared" si="171"/>
        <v>44645</v>
      </c>
      <c r="D3624" s="374">
        <v>135</v>
      </c>
      <c r="E3624" s="291" t="str">
        <f>IFERROR(VLOOKUP($D3624,'Clients-Live'!$A:$C,3,0),"")</f>
        <v>SARIF SAIDI</v>
      </c>
      <c r="F3624" s="291">
        <f>IFERROR(INDEX(Disbursements!$D:$D,MATCH('Live Collections'!G3624,Disbursements!$C:$C,0)),"")</f>
        <v>3</v>
      </c>
      <c r="G3624" s="34">
        <v>482</v>
      </c>
      <c r="H3624" s="34">
        <v>5376</v>
      </c>
      <c r="I3624" s="34" t="s">
        <v>1357</v>
      </c>
      <c r="J3624" s="48"/>
      <c r="K3624" s="48"/>
      <c r="L3624" s="48"/>
      <c r="M3624" s="48"/>
      <c r="N3624" s="59"/>
      <c r="O3624" s="59"/>
      <c r="P3624" s="59">
        <v>55000</v>
      </c>
      <c r="Q3624" s="268">
        <f t="shared" si="169"/>
        <v>55000</v>
      </c>
      <c r="R3624" s="61">
        <f>IF(O3624=0,0,SUMIFS(Disbursements!$T:$T,Disbursements!$B:$B,'Live Collections'!D3624,Disbursements!$D:$D,'Live Collections'!F3624))</f>
        <v>0</v>
      </c>
      <c r="S3624" s="304">
        <f>IF(O3624&lt;=IF($O3624=0,0,SUMIFS(Disbursements!$W:$W,Disbursements!$B:$B,'Live Collections'!D3624,Disbursements!$D:$D,'Live Collections'!F3624)),O3624,IF($O3624=0,0,SUMIFS(Disbursements!$W:$W,Disbursements!$B:$B,'Live Collections'!D3624,Disbursements!$D:$D,'Live Collections'!F3624)))</f>
        <v>0</v>
      </c>
      <c r="T3624" s="304">
        <f t="shared" si="170"/>
        <v>0</v>
      </c>
      <c r="U3624" s="52"/>
      <c r="V3624" s="34"/>
      <c r="W3624" s="408"/>
    </row>
    <row r="3625" spans="1:23" ht="12.75" customHeight="1" x14ac:dyDescent="0.2">
      <c r="A3625" s="257">
        <v>3635</v>
      </c>
      <c r="B3625" s="44">
        <v>44645</v>
      </c>
      <c r="C3625" s="44">
        <f t="shared" si="171"/>
        <v>44645</v>
      </c>
      <c r="D3625" s="374">
        <v>63</v>
      </c>
      <c r="E3625" s="291" t="str">
        <f>IFERROR(VLOOKUP($D3625,'Clients-Live'!$A:$C,3,0),"")</f>
        <v>AWURU KADARA</v>
      </c>
      <c r="F3625" s="291">
        <f>IFERROR(INDEX(Disbursements!$D:$D,MATCH('Live Collections'!G3625,Disbursements!$C:$C,0)),"")</f>
        <v>3</v>
      </c>
      <c r="G3625" s="34">
        <v>375</v>
      </c>
      <c r="H3625" s="34">
        <v>5433</v>
      </c>
      <c r="I3625" s="34" t="s">
        <v>1357</v>
      </c>
      <c r="J3625" s="48"/>
      <c r="K3625" s="48"/>
      <c r="L3625" s="48"/>
      <c r="M3625" s="48"/>
      <c r="N3625" s="59"/>
      <c r="O3625" s="59">
        <v>50000</v>
      </c>
      <c r="P3625" s="59"/>
      <c r="Q3625" s="268">
        <f t="shared" si="169"/>
        <v>50000</v>
      </c>
      <c r="R3625" s="61">
        <f>IF(O3625=0,0,SUMIFS(Disbursements!$T:$T,Disbursements!$B:$B,'Live Collections'!D3625,Disbursements!$D:$D,'Live Collections'!F3625))</f>
        <v>175000</v>
      </c>
      <c r="S3625" s="304">
        <f>IF(O3625&lt;=IF($O3625=0,0,SUMIFS(Disbursements!$W:$W,Disbursements!$B:$B,'Live Collections'!D3625,Disbursements!$D:$D,'Live Collections'!F3625)),O3625,IF($O3625=0,0,SUMIFS(Disbursements!$W:$W,Disbursements!$B:$B,'Live Collections'!D3625,Disbursements!$D:$D,'Live Collections'!F3625)))</f>
        <v>35000</v>
      </c>
      <c r="T3625" s="304">
        <f t="shared" si="170"/>
        <v>15000</v>
      </c>
      <c r="U3625" s="52"/>
      <c r="V3625" s="34"/>
      <c r="W3625" s="408"/>
    </row>
    <row r="3626" spans="1:23" ht="12.75" customHeight="1" x14ac:dyDescent="0.2">
      <c r="A3626" s="257">
        <v>3636</v>
      </c>
      <c r="B3626" s="44">
        <v>44645</v>
      </c>
      <c r="C3626" s="44">
        <f t="shared" si="171"/>
        <v>44645</v>
      </c>
      <c r="D3626" s="374">
        <v>152</v>
      </c>
      <c r="E3626" s="291" t="str">
        <f>IFERROR(VLOOKUP($D3626,'Clients-Live'!$A:$C,3,0),"")</f>
        <v>ASE ZAINABU</v>
      </c>
      <c r="F3626" s="291">
        <f>IFERROR(INDEX(Disbursements!$D:$D,MATCH('Live Collections'!G3626,Disbursements!$C:$C,0)),"")</f>
        <v>2</v>
      </c>
      <c r="G3626" s="34">
        <v>393</v>
      </c>
      <c r="H3626" s="34">
        <v>5434</v>
      </c>
      <c r="I3626" s="34" t="s">
        <v>1358</v>
      </c>
      <c r="J3626" s="48"/>
      <c r="K3626" s="48"/>
      <c r="L3626" s="48"/>
      <c r="M3626" s="48"/>
      <c r="N3626" s="59"/>
      <c r="O3626" s="59">
        <v>50000</v>
      </c>
      <c r="P3626" s="59"/>
      <c r="Q3626" s="268">
        <f t="shared" si="169"/>
        <v>50000</v>
      </c>
      <c r="R3626" s="61">
        <f>IF(O3626=0,0,SUMIFS(Disbursements!$T:$T,Disbursements!$B:$B,'Live Collections'!D3626,Disbursements!$D:$D,'Live Collections'!F3626))</f>
        <v>40000</v>
      </c>
      <c r="S3626" s="304">
        <f>IF(O3626&lt;=IF($O3626=0,0,SUMIFS(Disbursements!$W:$W,Disbursements!$B:$B,'Live Collections'!D3626,Disbursements!$D:$D,'Live Collections'!F3626)),O3626,IF($O3626=0,0,SUMIFS(Disbursements!$W:$W,Disbursements!$B:$B,'Live Collections'!D3626,Disbursements!$D:$D,'Live Collections'!F3626)))</f>
        <v>8750</v>
      </c>
      <c r="T3626" s="304">
        <f t="shared" si="170"/>
        <v>41250</v>
      </c>
      <c r="U3626" s="52"/>
      <c r="V3626" s="34"/>
      <c r="W3626" s="408"/>
    </row>
    <row r="3627" spans="1:23" ht="12.75" customHeight="1" x14ac:dyDescent="0.2">
      <c r="A3627" s="257">
        <v>3637</v>
      </c>
      <c r="B3627" s="44">
        <v>44646</v>
      </c>
      <c r="C3627" s="44">
        <f t="shared" si="171"/>
        <v>44646</v>
      </c>
      <c r="D3627" s="374">
        <v>139</v>
      </c>
      <c r="E3627" s="291" t="str">
        <f>IFERROR(VLOOKUP($D3627,'Clients-Live'!$A:$C,3,0),"")</f>
        <v xml:space="preserve">DRICHIRU MAIMUNA </v>
      </c>
      <c r="F3627" s="291">
        <f>IFERROR(INDEX(Disbursements!$D:$D,MATCH('Live Collections'!G3627,Disbursements!$C:$C,0)),"")</f>
        <v>2</v>
      </c>
      <c r="G3627" s="34">
        <v>451</v>
      </c>
      <c r="H3627" s="34">
        <v>5330</v>
      </c>
      <c r="I3627" s="34" t="s">
        <v>1359</v>
      </c>
      <c r="J3627" s="48"/>
      <c r="K3627" s="48"/>
      <c r="L3627" s="48"/>
      <c r="M3627" s="48"/>
      <c r="N3627" s="59"/>
      <c r="O3627" s="59">
        <v>25000</v>
      </c>
      <c r="P3627" s="59"/>
      <c r="Q3627" s="268">
        <f t="shared" si="169"/>
        <v>25000</v>
      </c>
      <c r="R3627" s="61">
        <f>IF(O3627=0,0,SUMIFS(Disbursements!$T:$T,Disbursements!$B:$B,'Live Collections'!D3627,Disbursements!$D:$D,'Live Collections'!F3627))</f>
        <v>30000</v>
      </c>
      <c r="S3627" s="304">
        <f>IF(O3627&lt;=IF($O3627=0,0,SUMIFS(Disbursements!$W:$W,Disbursements!$B:$B,'Live Collections'!D3627,Disbursements!$D:$D,'Live Collections'!F3627)),O3627,IF($O3627=0,0,SUMIFS(Disbursements!$W:$W,Disbursements!$B:$B,'Live Collections'!D3627,Disbursements!$D:$D,'Live Collections'!F3627)))</f>
        <v>5000</v>
      </c>
      <c r="T3627" s="304">
        <f t="shared" si="170"/>
        <v>20000</v>
      </c>
      <c r="U3627" s="52"/>
      <c r="V3627" s="34"/>
      <c r="W3627" s="408"/>
    </row>
    <row r="3628" spans="1:23" ht="12.75" customHeight="1" x14ac:dyDescent="0.2">
      <c r="A3628" s="257">
        <v>3638</v>
      </c>
      <c r="B3628" s="44">
        <v>44646</v>
      </c>
      <c r="C3628" s="44">
        <f t="shared" si="171"/>
        <v>44646</v>
      </c>
      <c r="D3628" s="374">
        <v>55</v>
      </c>
      <c r="E3628" s="291" t="str">
        <f>IFERROR(VLOOKUP($D3628,'Clients-Live'!$A:$C,3,0),"")</f>
        <v>SOKOLA SHARON</v>
      </c>
      <c r="F3628" s="291">
        <f>IFERROR(INDEX(Disbursements!$D:$D,MATCH('Live Collections'!G3628,Disbursements!$C:$C,0)),"")</f>
        <v>2</v>
      </c>
      <c r="G3628" s="34">
        <v>288</v>
      </c>
      <c r="H3628" s="34">
        <v>5436</v>
      </c>
      <c r="I3628" s="34" t="s">
        <v>1359</v>
      </c>
      <c r="J3628" s="48"/>
      <c r="K3628" s="48"/>
      <c r="L3628" s="48"/>
      <c r="M3628" s="48"/>
      <c r="N3628" s="59"/>
      <c r="O3628" s="59">
        <v>70000</v>
      </c>
      <c r="P3628" s="59"/>
      <c r="Q3628" s="268">
        <f t="shared" ref="Q3628:Q3691" si="172">SUM(J3628:P3628)</f>
        <v>70000</v>
      </c>
      <c r="R3628" s="61">
        <f>IF(O3628=0,0,SUMIFS(Disbursements!$T:$T,Disbursements!$B:$B,'Live Collections'!D3628,Disbursements!$D:$D,'Live Collections'!F3628))</f>
        <v>210000</v>
      </c>
      <c r="S3628" s="304"/>
      <c r="T3628" s="304">
        <f t="shared" si="170"/>
        <v>70000</v>
      </c>
      <c r="U3628" s="52"/>
      <c r="V3628" s="34"/>
      <c r="W3628" s="408"/>
    </row>
    <row r="3629" spans="1:23" ht="12.75" customHeight="1" x14ac:dyDescent="0.2">
      <c r="A3629" s="257">
        <v>3639</v>
      </c>
      <c r="B3629" s="44">
        <v>44646</v>
      </c>
      <c r="C3629" s="44">
        <f t="shared" si="171"/>
        <v>44646</v>
      </c>
      <c r="D3629" s="374">
        <v>86</v>
      </c>
      <c r="E3629" s="291" t="str">
        <f>IFERROR(VLOOKUP($D3629,'Clients-Live'!$A:$C,3,0),"")</f>
        <v>AMANIYO JOYCE</v>
      </c>
      <c r="F3629" s="291">
        <f>IFERROR(INDEX(Disbursements!$D:$D,MATCH('Live Collections'!G3629,Disbursements!$C:$C,0)),"")</f>
        <v>2</v>
      </c>
      <c r="G3629" s="34">
        <v>231</v>
      </c>
      <c r="H3629" s="34">
        <v>5435</v>
      </c>
      <c r="I3629" s="34" t="s">
        <v>1358</v>
      </c>
      <c r="J3629" s="48"/>
      <c r="K3629" s="48"/>
      <c r="L3629" s="48"/>
      <c r="M3629" s="48"/>
      <c r="N3629" s="59"/>
      <c r="O3629" s="59">
        <v>70000</v>
      </c>
      <c r="P3629" s="59"/>
      <c r="Q3629" s="268">
        <f t="shared" si="172"/>
        <v>70000</v>
      </c>
      <c r="R3629" s="61">
        <f>IF(O3629=0,0,SUMIFS(Disbursements!$T:$T,Disbursements!$B:$B,'Live Collections'!D3629,Disbursements!$D:$D,'Live Collections'!F3629))</f>
        <v>217000</v>
      </c>
      <c r="S3629" s="304">
        <v>24000.000000000058</v>
      </c>
      <c r="T3629" s="304">
        <f t="shared" si="170"/>
        <v>45999.999999999942</v>
      </c>
      <c r="U3629" s="52"/>
      <c r="V3629" s="34"/>
      <c r="W3629" s="408"/>
    </row>
    <row r="3630" spans="1:23" ht="12.75" customHeight="1" x14ac:dyDescent="0.2">
      <c r="A3630" s="257">
        <v>3640</v>
      </c>
      <c r="B3630" s="44">
        <v>44646</v>
      </c>
      <c r="C3630" s="44">
        <f t="shared" si="171"/>
        <v>44646</v>
      </c>
      <c r="D3630" s="374">
        <v>119</v>
      </c>
      <c r="E3630" s="291" t="str">
        <f>IFERROR(VLOOKUP($D3630,'Clients-Live'!$A:$C,3,0),"")</f>
        <v>STELLA KONGAI</v>
      </c>
      <c r="F3630" s="291">
        <f>IFERROR(INDEX(Disbursements!$D:$D,MATCH('Live Collections'!G3630,Disbursements!$C:$C,0)),"")</f>
        <v>3</v>
      </c>
      <c r="G3630" s="34">
        <v>430</v>
      </c>
      <c r="H3630" s="34">
        <v>5437</v>
      </c>
      <c r="I3630" s="34" t="s">
        <v>1359</v>
      </c>
      <c r="J3630" s="48"/>
      <c r="K3630" s="48"/>
      <c r="L3630" s="48"/>
      <c r="M3630" s="48"/>
      <c r="N3630" s="59"/>
      <c r="O3630" s="59">
        <v>500000</v>
      </c>
      <c r="P3630" s="59"/>
      <c r="Q3630" s="268">
        <f t="shared" si="172"/>
        <v>500000</v>
      </c>
      <c r="R3630" s="61">
        <f>IF(O3630=0,0,SUMIFS(Disbursements!$T:$T,Disbursements!$B:$B,'Live Collections'!D3630,Disbursements!$D:$D,'Live Collections'!F3630))</f>
        <v>645000</v>
      </c>
      <c r="S3630" s="304">
        <f>IF(O3630&lt;=IF($O3630=0,0,SUMIFS(Disbursements!$W:$W,Disbursements!$B:$B,'Live Collections'!D3630,Disbursements!$D:$D,'Live Collections'!F3630)),O3630,IF($O3630=0,0,SUMIFS(Disbursements!$W:$W,Disbursements!$B:$B,'Live Collections'!D3630,Disbursements!$D:$D,'Live Collections'!F3630)))</f>
        <v>45000</v>
      </c>
      <c r="T3630" s="304">
        <f t="shared" si="170"/>
        <v>455000</v>
      </c>
      <c r="U3630" s="52"/>
      <c r="V3630" s="34"/>
      <c r="W3630" s="408"/>
    </row>
    <row r="3631" spans="1:23" ht="12.75" customHeight="1" x14ac:dyDescent="0.2">
      <c r="A3631" s="257">
        <v>3641</v>
      </c>
      <c r="B3631" s="44">
        <v>44648</v>
      </c>
      <c r="C3631" s="44">
        <f t="shared" si="171"/>
        <v>44648</v>
      </c>
      <c r="D3631" s="374">
        <v>22</v>
      </c>
      <c r="E3631" s="291" t="str">
        <f>IFERROR(VLOOKUP($D3631,'Clients-Live'!$A:$C,3,0),"")</f>
        <v>DATA ISMAIL FATARI</v>
      </c>
      <c r="F3631" s="291">
        <f>IFERROR(INDEX(Disbursements!$D:$D,MATCH('Live Collections'!G3631,Disbursements!$C:$C,0)),"")</f>
        <v>2</v>
      </c>
      <c r="G3631" s="34">
        <v>381</v>
      </c>
      <c r="H3631" s="34">
        <v>5448</v>
      </c>
      <c r="I3631" s="34" t="s">
        <v>1359</v>
      </c>
      <c r="J3631" s="48"/>
      <c r="K3631" s="48"/>
      <c r="L3631" s="48"/>
      <c r="M3631" s="48"/>
      <c r="N3631" s="59"/>
      <c r="O3631" s="59">
        <v>20000</v>
      </c>
      <c r="P3631" s="59"/>
      <c r="Q3631" s="268">
        <f t="shared" si="172"/>
        <v>20000</v>
      </c>
      <c r="R3631" s="61">
        <f>IF(O3631=0,0,SUMIFS(Disbursements!$T:$T,Disbursements!$B:$B,'Live Collections'!D3631,Disbursements!$D:$D,'Live Collections'!F3631))</f>
        <v>210000</v>
      </c>
      <c r="S3631" s="304">
        <f>IF(O3631&lt;=IF($O3631=0,0,SUMIFS(Disbursements!$W:$W,Disbursements!$B:$B,'Live Collections'!D3631,Disbursements!$D:$D,'Live Collections'!F3631)),O3631,IF($O3631=0,0,SUMIFS(Disbursements!$W:$W,Disbursements!$B:$B,'Live Collections'!D3631,Disbursements!$D:$D,'Live Collections'!F3631)))</f>
        <v>20000</v>
      </c>
      <c r="T3631" s="304">
        <f t="shared" si="170"/>
        <v>0</v>
      </c>
      <c r="U3631" s="52"/>
      <c r="V3631" s="34"/>
      <c r="W3631" s="408"/>
    </row>
    <row r="3632" spans="1:23" ht="12.75" customHeight="1" x14ac:dyDescent="0.2">
      <c r="A3632" s="257">
        <v>3642</v>
      </c>
      <c r="B3632" s="44">
        <v>44648</v>
      </c>
      <c r="C3632" s="44">
        <f t="shared" si="171"/>
        <v>44648</v>
      </c>
      <c r="D3632" s="374">
        <v>200</v>
      </c>
      <c r="E3632" s="291" t="str">
        <f>IFERROR(VLOOKUP($D3632,'Clients-Live'!$A:$C,3,0),"")</f>
        <v>SERIYA FLORENCE</v>
      </c>
      <c r="F3632" s="291">
        <f>IFERROR(INDEX(Disbursements!$D:$D,MATCH('Live Collections'!G3632,Disbursements!$C:$C,0)),"")</f>
        <v>2</v>
      </c>
      <c r="G3632" s="34">
        <v>342</v>
      </c>
      <c r="H3632" s="34">
        <v>5447</v>
      </c>
      <c r="I3632" s="34" t="s">
        <v>1359</v>
      </c>
      <c r="J3632" s="48"/>
      <c r="K3632" s="48"/>
      <c r="L3632" s="48"/>
      <c r="M3632" s="48"/>
      <c r="N3632" s="59"/>
      <c r="O3632" s="59">
        <v>75000</v>
      </c>
      <c r="P3632" s="59"/>
      <c r="Q3632" s="268">
        <f t="shared" si="172"/>
        <v>75000</v>
      </c>
      <c r="R3632" s="61">
        <f>IF(O3632=0,0,SUMIFS(Disbursements!$T:$T,Disbursements!$B:$B,'Live Collections'!D3632,Disbursements!$D:$D,'Live Collections'!F3632))</f>
        <v>125000</v>
      </c>
      <c r="S3632" s="304">
        <f>IF(O3632&lt;=IF($O3632=0,0,SUMIFS(Disbursements!$W:$W,Disbursements!$B:$B,'Live Collections'!D3632,Disbursements!$D:$D,'Live Collections'!F3632)),O3632,IF($O3632=0,0,SUMIFS(Disbursements!$W:$W,Disbursements!$B:$B,'Live Collections'!D3632,Disbursements!$D:$D,'Live Collections'!F3632)))</f>
        <v>25000</v>
      </c>
      <c r="T3632" s="304">
        <f t="shared" si="170"/>
        <v>50000</v>
      </c>
      <c r="U3632" s="52"/>
      <c r="V3632" s="34"/>
      <c r="W3632" s="408"/>
    </row>
    <row r="3633" spans="1:23" ht="12.75" customHeight="1" x14ac:dyDescent="0.2">
      <c r="A3633" s="257">
        <v>3643</v>
      </c>
      <c r="B3633" s="44">
        <v>44648</v>
      </c>
      <c r="C3633" s="44">
        <f t="shared" si="171"/>
        <v>44648</v>
      </c>
      <c r="D3633" s="374">
        <v>321</v>
      </c>
      <c r="E3633" s="291" t="str">
        <f>IFERROR(VLOOKUP($D3633,'Clients-Live'!$A:$C,3,0),"")</f>
        <v>ANDERU MONICA</v>
      </c>
      <c r="F3633" s="291">
        <f>IFERROR(INDEX(Disbursements!$D:$D,MATCH('Live Collections'!G3633,Disbursements!$C:$C,0)),"")</f>
        <v>1</v>
      </c>
      <c r="G3633" s="34">
        <v>431</v>
      </c>
      <c r="H3633" s="34">
        <v>5443</v>
      </c>
      <c r="I3633" s="34" t="s">
        <v>1358</v>
      </c>
      <c r="J3633" s="48"/>
      <c r="K3633" s="48"/>
      <c r="L3633" s="48"/>
      <c r="M3633" s="48"/>
      <c r="N3633" s="59"/>
      <c r="O3633" s="59">
        <v>400000</v>
      </c>
      <c r="P3633" s="59"/>
      <c r="Q3633" s="268">
        <f t="shared" si="172"/>
        <v>400000</v>
      </c>
      <c r="R3633" s="61">
        <f>IF(O3633=0,0,SUMIFS(Disbursements!$T:$T,Disbursements!$B:$B,'Live Collections'!D3633,Disbursements!$D:$D,'Live Collections'!F3633))</f>
        <v>403000</v>
      </c>
      <c r="S3633" s="304">
        <f>IF(O3633&lt;=IF($O3633=0,0,SUMIFS(Disbursements!$W:$W,Disbursements!$B:$B,'Live Collections'!D3633,Disbursements!$D:$D,'Live Collections'!F3633)),O3633,IF($O3633=0,0,SUMIFS(Disbursements!$W:$W,Disbursements!$B:$B,'Live Collections'!D3633,Disbursements!$D:$D,'Live Collections'!F3633)))</f>
        <v>53000</v>
      </c>
      <c r="T3633" s="304">
        <f t="shared" si="170"/>
        <v>347000</v>
      </c>
      <c r="U3633" s="52"/>
      <c r="V3633" s="34"/>
      <c r="W3633" s="408"/>
    </row>
    <row r="3634" spans="1:23" ht="12.75" customHeight="1" x14ac:dyDescent="0.2">
      <c r="A3634" s="257">
        <v>3644</v>
      </c>
      <c r="B3634" s="44">
        <v>44648</v>
      </c>
      <c r="C3634" s="44">
        <f t="shared" si="171"/>
        <v>44648</v>
      </c>
      <c r="D3634" s="374">
        <v>99</v>
      </c>
      <c r="E3634" s="291" t="str">
        <f>IFERROR(VLOOKUP($D3634,'Clients-Live'!$A:$C,3,0),"")</f>
        <v>SIJALI ASINA SIS</v>
      </c>
      <c r="F3634" s="291" t="str">
        <f>IFERROR(INDEX(Disbursements!$D:$D,MATCH('Live Collections'!G3634,Disbursements!$C:$C,0)),"")</f>
        <v/>
      </c>
      <c r="G3634" s="34"/>
      <c r="H3634" s="34">
        <v>5444</v>
      </c>
      <c r="I3634" s="34" t="s">
        <v>1358</v>
      </c>
      <c r="J3634" s="48"/>
      <c r="K3634" s="48"/>
      <c r="L3634" s="48">
        <v>25000</v>
      </c>
      <c r="M3634" s="48">
        <v>5000</v>
      </c>
      <c r="N3634" s="59"/>
      <c r="O3634" s="59"/>
      <c r="P3634" s="59"/>
      <c r="Q3634" s="268">
        <f t="shared" si="172"/>
        <v>30000</v>
      </c>
      <c r="R3634" s="61">
        <f>IF(O3634=0,0,SUMIFS(Disbursements!$T:$T,Disbursements!$B:$B,'Live Collections'!D3634,Disbursements!$D:$D,'Live Collections'!F3634))</f>
        <v>0</v>
      </c>
      <c r="S3634" s="304">
        <f>IF(O3634&lt;=IF($O3634=0,0,SUMIFS(Disbursements!$W:$W,Disbursements!$B:$B,'Live Collections'!D3634,Disbursements!$D:$D,'Live Collections'!F3634)),O3634,IF($O3634=0,0,SUMIFS(Disbursements!$W:$W,Disbursements!$B:$B,'Live Collections'!D3634,Disbursements!$D:$D,'Live Collections'!F3634)))</f>
        <v>0</v>
      </c>
      <c r="T3634" s="304">
        <f t="shared" si="170"/>
        <v>0</v>
      </c>
      <c r="U3634" s="52"/>
      <c r="V3634" s="34"/>
      <c r="W3634" s="408"/>
    </row>
    <row r="3635" spans="1:23" ht="12.75" customHeight="1" x14ac:dyDescent="0.2">
      <c r="A3635" s="257">
        <v>3645</v>
      </c>
      <c r="B3635" s="44">
        <v>44648</v>
      </c>
      <c r="C3635" s="44">
        <f t="shared" si="171"/>
        <v>44648</v>
      </c>
      <c r="D3635" s="374">
        <v>300</v>
      </c>
      <c r="E3635" s="291" t="str">
        <f>IFERROR(VLOOKUP($D3635,'Clients-Live'!$A:$C,3,0),"")</f>
        <v>AYA ZAINABU</v>
      </c>
      <c r="F3635" s="291">
        <f>IFERROR(INDEX(Disbursements!$D:$D,MATCH('Live Collections'!G3635,Disbursements!$C:$C,0)),"")</f>
        <v>1</v>
      </c>
      <c r="G3635" s="34">
        <v>364</v>
      </c>
      <c r="H3635" s="34">
        <v>5446</v>
      </c>
      <c r="I3635" s="34" t="s">
        <v>1358</v>
      </c>
      <c r="J3635" s="48"/>
      <c r="K3635" s="48"/>
      <c r="L3635" s="48"/>
      <c r="M3635" s="48"/>
      <c r="N3635" s="59"/>
      <c r="O3635" s="59">
        <v>100000</v>
      </c>
      <c r="P3635" s="59"/>
      <c r="Q3635" s="268">
        <f t="shared" si="172"/>
        <v>100000</v>
      </c>
      <c r="R3635" s="61">
        <f>IF(O3635=0,0,SUMIFS(Disbursements!$T:$T,Disbursements!$B:$B,'Live Collections'!D3635,Disbursements!$D:$D,'Live Collections'!F3635))</f>
        <v>150000</v>
      </c>
      <c r="S3635" s="304"/>
      <c r="T3635" s="304">
        <f t="shared" si="170"/>
        <v>100000</v>
      </c>
      <c r="U3635" s="52"/>
      <c r="V3635" s="34"/>
      <c r="W3635" s="408"/>
    </row>
    <row r="3636" spans="1:23" ht="12.75" customHeight="1" x14ac:dyDescent="0.2">
      <c r="A3636" s="257">
        <v>3646</v>
      </c>
      <c r="B3636" s="44">
        <v>44648</v>
      </c>
      <c r="C3636" s="44">
        <f t="shared" si="171"/>
        <v>44648</v>
      </c>
      <c r="D3636" s="374">
        <v>99</v>
      </c>
      <c r="E3636" s="291" t="str">
        <f>IFERROR(VLOOKUP($D3636,'Clients-Live'!$A:$C,3,0),"")</f>
        <v>SIJALI ASINA SIS</v>
      </c>
      <c r="F3636" s="291">
        <f>IFERROR(INDEX(Disbursements!$D:$D,MATCH('Live Collections'!G3636,Disbursements!$C:$C,0)),"")</f>
        <v>2</v>
      </c>
      <c r="G3636" s="34">
        <v>278</v>
      </c>
      <c r="H3636" s="34">
        <v>5441</v>
      </c>
      <c r="I3636" s="34" t="s">
        <v>1358</v>
      </c>
      <c r="J3636" s="48"/>
      <c r="K3636" s="48"/>
      <c r="L3636" s="48"/>
      <c r="M3636" s="48"/>
      <c r="N3636" s="59"/>
      <c r="O3636" s="59">
        <v>166800</v>
      </c>
      <c r="P3636" s="59"/>
      <c r="Q3636" s="268">
        <f t="shared" si="172"/>
        <v>166800</v>
      </c>
      <c r="R3636" s="61">
        <f>IF(O3636=0,0,SUMIFS(Disbursements!$T:$T,Disbursements!$B:$B,'Live Collections'!D3636,Disbursements!$D:$D,'Live Collections'!F3636))</f>
        <v>174000</v>
      </c>
      <c r="S3636" s="304">
        <v>127666.66666666663</v>
      </c>
      <c r="T3636" s="304">
        <v>122733.33333333326</v>
      </c>
      <c r="U3636" s="52"/>
      <c r="V3636" s="34"/>
      <c r="W3636" s="408"/>
    </row>
    <row r="3637" spans="1:23" ht="12.75" customHeight="1" x14ac:dyDescent="0.2">
      <c r="A3637" s="257">
        <v>3647</v>
      </c>
      <c r="B3637" s="44">
        <v>44648</v>
      </c>
      <c r="C3637" s="44">
        <f t="shared" si="171"/>
        <v>44648</v>
      </c>
      <c r="D3637" s="374">
        <v>99</v>
      </c>
      <c r="E3637" s="291" t="str">
        <f>IFERROR(VLOOKUP($D3637,'Clients-Live'!$A:$C,3,0),"")</f>
        <v>SIJALI ASINA SIS</v>
      </c>
      <c r="F3637" s="291">
        <f>IFERROR(INDEX(Disbursements!$D:$D,MATCH('Live Collections'!G3637,Disbursements!$C:$C,0)),"")</f>
        <v>2</v>
      </c>
      <c r="G3637" s="34">
        <v>278</v>
      </c>
      <c r="H3637" s="34" t="s">
        <v>2264</v>
      </c>
      <c r="I3637" s="34" t="s">
        <v>1358</v>
      </c>
      <c r="J3637" s="48"/>
      <c r="K3637" s="48"/>
      <c r="L3637" s="48"/>
      <c r="M3637" s="48"/>
      <c r="N3637" s="59"/>
      <c r="O3637" s="59">
        <v>80000</v>
      </c>
      <c r="P3637" s="59">
        <v>-80000</v>
      </c>
      <c r="Q3637" s="268">
        <f t="shared" si="172"/>
        <v>0</v>
      </c>
      <c r="R3637" s="61">
        <f>IF(O3637=0,0,SUMIFS(Disbursements!$T:$T,Disbursements!$B:$B,'Live Collections'!D3637,Disbursements!$D:$D,'Live Collections'!F3637))</f>
        <v>174000</v>
      </c>
      <c r="S3637" s="304"/>
      <c r="T3637" s="304"/>
      <c r="U3637" s="52"/>
      <c r="V3637" s="34"/>
      <c r="W3637" s="408"/>
    </row>
    <row r="3638" spans="1:23" ht="12.75" customHeight="1" x14ac:dyDescent="0.2">
      <c r="A3638" s="257">
        <v>3648</v>
      </c>
      <c r="B3638" s="44">
        <v>44648</v>
      </c>
      <c r="C3638" s="44">
        <f t="shared" si="171"/>
        <v>44648</v>
      </c>
      <c r="D3638" s="374">
        <v>109</v>
      </c>
      <c r="E3638" s="291" t="str">
        <f>IFERROR(VLOOKUP($D3638,'Clients-Live'!$A:$C,3,0),"")</f>
        <v>TABU KISA</v>
      </c>
      <c r="F3638" s="291">
        <f>IFERROR(INDEX(Disbursements!$D:$D,MATCH('Live Collections'!G3638,Disbursements!$C:$C,0)),"")</f>
        <v>2</v>
      </c>
      <c r="G3638" s="34">
        <v>278</v>
      </c>
      <c r="H3638" s="34" t="s">
        <v>2265</v>
      </c>
      <c r="I3638" s="34" t="s">
        <v>1357</v>
      </c>
      <c r="J3638" s="48"/>
      <c r="K3638" s="48"/>
      <c r="L3638" s="48"/>
      <c r="M3638" s="48"/>
      <c r="N3638" s="59"/>
      <c r="O3638" s="59"/>
      <c r="P3638" s="59"/>
      <c r="Q3638" s="268">
        <f t="shared" si="172"/>
        <v>0</v>
      </c>
      <c r="R3638" s="61">
        <f>IF(O3638=0,0,SUMIFS(Disbursements!$T:$T,Disbursements!$B:$B,'Live Collections'!D3638,Disbursements!$D:$D,'Live Collections'!F3638))</f>
        <v>0</v>
      </c>
      <c r="S3638" s="304"/>
      <c r="T3638" s="304">
        <v>9900</v>
      </c>
      <c r="U3638" s="52"/>
      <c r="V3638" s="34"/>
      <c r="W3638" s="408"/>
    </row>
    <row r="3639" spans="1:23" ht="12.75" customHeight="1" x14ac:dyDescent="0.2">
      <c r="A3639" s="257">
        <v>3649</v>
      </c>
      <c r="B3639" s="44">
        <v>44648</v>
      </c>
      <c r="C3639" s="44">
        <f t="shared" si="171"/>
        <v>44648</v>
      </c>
      <c r="D3639" s="374">
        <v>73</v>
      </c>
      <c r="E3639" s="291" t="str">
        <f>IFERROR(VLOOKUP($D3639,'Clients-Live'!$A:$C,3,0),"")</f>
        <v>AJONYE DEBORA</v>
      </c>
      <c r="F3639" s="291">
        <f>IFERROR(INDEX(Disbursements!$D:$D,MATCH('Live Collections'!G3639,Disbursements!$C:$C,0)),"")</f>
        <v>3</v>
      </c>
      <c r="G3639" s="34">
        <v>426</v>
      </c>
      <c r="H3639" s="34">
        <v>5392</v>
      </c>
      <c r="I3639" s="34" t="s">
        <v>1357</v>
      </c>
      <c r="J3639" s="48"/>
      <c r="K3639" s="48"/>
      <c r="L3639" s="48"/>
      <c r="M3639" s="48"/>
      <c r="N3639" s="59"/>
      <c r="O3639" s="59">
        <v>53000</v>
      </c>
      <c r="P3639" s="59"/>
      <c r="Q3639" s="268">
        <f t="shared" si="172"/>
        <v>53000</v>
      </c>
      <c r="R3639" s="61">
        <f>IF(O3639=0,0,SUMIFS(Disbursements!$T:$T,Disbursements!$B:$B,'Live Collections'!D3639,Disbursements!$D:$D,'Live Collections'!F3639))</f>
        <v>53000</v>
      </c>
      <c r="S3639" s="304">
        <f>IF(O3639&lt;=IF($O3639=0,0,SUMIFS(Disbursements!$W:$W,Disbursements!$B:$B,'Live Collections'!D3639,Disbursements!$D:$D,'Live Collections'!F3639)),O3639,IF($O3639=0,0,SUMIFS(Disbursements!$W:$W,Disbursements!$B:$B,'Live Collections'!D3639,Disbursements!$D:$D,'Live Collections'!F3639)))</f>
        <v>13000</v>
      </c>
      <c r="T3639" s="304">
        <f t="shared" ref="T3639:T3702" si="173">IF(O3639=0,0,O3639-S3639)</f>
        <v>40000</v>
      </c>
      <c r="U3639" s="52"/>
      <c r="V3639" s="34"/>
      <c r="W3639" s="408"/>
    </row>
    <row r="3640" spans="1:23" ht="12.75" customHeight="1" x14ac:dyDescent="0.2">
      <c r="A3640" s="257">
        <v>3650</v>
      </c>
      <c r="B3640" s="44">
        <v>44648</v>
      </c>
      <c r="C3640" s="44">
        <f t="shared" si="171"/>
        <v>44648</v>
      </c>
      <c r="D3640" s="374">
        <v>317</v>
      </c>
      <c r="E3640" s="291" t="str">
        <f>IFERROR(VLOOKUP($D3640,'Clients-Live'!$A:$C,3,0),"")</f>
        <v>DRIWARU JANE</v>
      </c>
      <c r="F3640" s="291">
        <f>IFERROR(INDEX(Disbursements!$D:$D,MATCH('Live Collections'!G3640,Disbursements!$C:$C,0)),"")</f>
        <v>1</v>
      </c>
      <c r="G3640" s="34">
        <v>414</v>
      </c>
      <c r="H3640" s="34">
        <v>5438</v>
      </c>
      <c r="I3640" s="34" t="s">
        <v>1357</v>
      </c>
      <c r="J3640" s="48"/>
      <c r="K3640" s="48"/>
      <c r="L3640" s="48"/>
      <c r="M3640" s="48"/>
      <c r="N3640" s="59"/>
      <c r="O3640" s="59">
        <v>30000</v>
      </c>
      <c r="P3640" s="59"/>
      <c r="Q3640" s="268">
        <f t="shared" si="172"/>
        <v>30000</v>
      </c>
      <c r="R3640" s="61">
        <f>IF(O3640=0,0,SUMIFS(Disbursements!$T:$T,Disbursements!$B:$B,'Live Collections'!D3640,Disbursements!$D:$D,'Live Collections'!F3640))</f>
        <v>55000</v>
      </c>
      <c r="S3640" s="304">
        <f>IF(O3640&lt;=IF($O3640=0,0,SUMIFS(Disbursements!$W:$W,Disbursements!$B:$B,'Live Collections'!D3640,Disbursements!$D:$D,'Live Collections'!F3640)),O3640,IF($O3640=0,0,SUMIFS(Disbursements!$W:$W,Disbursements!$B:$B,'Live Collections'!D3640,Disbursements!$D:$D,'Live Collections'!F3640)))</f>
        <v>15000</v>
      </c>
      <c r="T3640" s="304">
        <f t="shared" si="173"/>
        <v>15000</v>
      </c>
      <c r="U3640" s="52"/>
      <c r="V3640" s="34"/>
      <c r="W3640" s="408"/>
    </row>
    <row r="3641" spans="1:23" ht="12.75" customHeight="1" x14ac:dyDescent="0.2">
      <c r="A3641" s="257">
        <v>3651</v>
      </c>
      <c r="B3641" s="44">
        <v>44648</v>
      </c>
      <c r="C3641" s="44">
        <f t="shared" si="171"/>
        <v>44648</v>
      </c>
      <c r="D3641" s="374">
        <v>109</v>
      </c>
      <c r="E3641" s="291" t="str">
        <f>IFERROR(VLOOKUP($D3641,'Clients-Live'!$A:$C,3,0),"")</f>
        <v>TABU KISA</v>
      </c>
      <c r="F3641" s="291" t="str">
        <f>IFERROR(INDEX(Disbursements!$D:$D,MATCH('Live Collections'!G3641,Disbursements!$C:$C,0)),"")</f>
        <v/>
      </c>
      <c r="G3641" s="34"/>
      <c r="H3641" s="34">
        <v>5391</v>
      </c>
      <c r="I3641" s="34" t="s">
        <v>1357</v>
      </c>
      <c r="J3641" s="48"/>
      <c r="K3641" s="48"/>
      <c r="L3641" s="48"/>
      <c r="M3641" s="48">
        <v>5000</v>
      </c>
      <c r="N3641" s="59"/>
      <c r="O3641" s="59"/>
      <c r="P3641" s="59"/>
      <c r="Q3641" s="268">
        <f t="shared" si="172"/>
        <v>5000</v>
      </c>
      <c r="R3641" s="61">
        <f>IF(O3641=0,0,SUMIFS(Disbursements!$T:$T,Disbursements!$B:$B,'Live Collections'!D3641,Disbursements!$D:$D,'Live Collections'!F3641))</f>
        <v>0</v>
      </c>
      <c r="S3641" s="304">
        <f>IF(O3641&lt;=IF($O3641=0,0,SUMIFS(Disbursements!$W:$W,Disbursements!$B:$B,'Live Collections'!D3641,Disbursements!$D:$D,'Live Collections'!F3641)),O3641,IF($O3641=0,0,SUMIFS(Disbursements!$W:$W,Disbursements!$B:$B,'Live Collections'!D3641,Disbursements!$D:$D,'Live Collections'!F3641)))</f>
        <v>0</v>
      </c>
      <c r="T3641" s="304">
        <f t="shared" si="173"/>
        <v>0</v>
      </c>
      <c r="U3641" s="52"/>
      <c r="V3641" s="34"/>
      <c r="W3641" s="408"/>
    </row>
    <row r="3642" spans="1:23" ht="12.75" customHeight="1" x14ac:dyDescent="0.2">
      <c r="A3642" s="257">
        <v>3652</v>
      </c>
      <c r="B3642" s="44">
        <v>44648</v>
      </c>
      <c r="C3642" s="44">
        <f t="shared" si="171"/>
        <v>44648</v>
      </c>
      <c r="D3642" s="374">
        <v>67</v>
      </c>
      <c r="E3642" s="291" t="str">
        <f>IFERROR(VLOOKUP($D3642,'Clients-Live'!$A:$C,3,0),"")</f>
        <v>KEBITA SAUDA</v>
      </c>
      <c r="F3642" s="291">
        <f>IFERROR(INDEX(Disbursements!$D:$D,MATCH('Live Collections'!G3642,Disbursements!$C:$C,0)),"")</f>
        <v>2</v>
      </c>
      <c r="G3642" s="34">
        <v>272</v>
      </c>
      <c r="H3642" s="34">
        <v>5526</v>
      </c>
      <c r="I3642" s="34" t="s">
        <v>1358</v>
      </c>
      <c r="J3642" s="48"/>
      <c r="K3642" s="48"/>
      <c r="L3642" s="48"/>
      <c r="M3642" s="48"/>
      <c r="N3642" s="59"/>
      <c r="O3642" s="59">
        <v>50000</v>
      </c>
      <c r="P3642" s="59"/>
      <c r="Q3642" s="268">
        <f t="shared" si="172"/>
        <v>50000</v>
      </c>
      <c r="R3642" s="61">
        <f>IF(O3642=0,0,SUMIFS(Disbursements!$T:$T,Disbursements!$B:$B,'Live Collections'!D3642,Disbursements!$D:$D,'Live Collections'!F3642))</f>
        <v>180000</v>
      </c>
      <c r="S3642" s="304"/>
      <c r="T3642" s="304">
        <f t="shared" si="173"/>
        <v>50000</v>
      </c>
      <c r="U3642" s="52"/>
      <c r="V3642" s="34"/>
      <c r="W3642" s="408"/>
    </row>
    <row r="3643" spans="1:23" ht="12.75" customHeight="1" x14ac:dyDescent="0.2">
      <c r="A3643" s="257">
        <v>3653</v>
      </c>
      <c r="B3643" s="44">
        <v>44648</v>
      </c>
      <c r="C3643" s="44">
        <f t="shared" si="171"/>
        <v>44648</v>
      </c>
      <c r="D3643" s="374">
        <v>124</v>
      </c>
      <c r="E3643" s="291" t="str">
        <f>IFERROR(VLOOKUP($D3643,'Clients-Live'!$A:$C,3,0),"")</f>
        <v>TIKO ZABIBU</v>
      </c>
      <c r="F3643" s="291">
        <f>IFERROR(INDEX(Disbursements!$D:$D,MATCH('Live Collections'!G3643,Disbursements!$C:$C,0)),"")</f>
        <v>2</v>
      </c>
      <c r="G3643" s="34">
        <v>335</v>
      </c>
      <c r="H3643" s="34">
        <v>5527</v>
      </c>
      <c r="I3643" s="34" t="s">
        <v>1358</v>
      </c>
      <c r="J3643" s="48"/>
      <c r="K3643" s="48"/>
      <c r="L3643" s="48"/>
      <c r="M3643" s="48"/>
      <c r="N3643" s="59"/>
      <c r="O3643" s="59">
        <v>100000</v>
      </c>
      <c r="P3643" s="59"/>
      <c r="Q3643" s="268">
        <f t="shared" si="172"/>
        <v>100000</v>
      </c>
      <c r="R3643" s="61">
        <f>IF(O3643=0,0,SUMIFS(Disbursements!$T:$T,Disbursements!$B:$B,'Live Collections'!D3643,Disbursements!$D:$D,'Live Collections'!F3643))</f>
        <v>200000</v>
      </c>
      <c r="S3643" s="304"/>
      <c r="T3643" s="304">
        <f t="shared" si="173"/>
        <v>100000</v>
      </c>
      <c r="U3643" s="52"/>
      <c r="V3643" s="34"/>
      <c r="W3643" s="408"/>
    </row>
    <row r="3644" spans="1:23" ht="12.75" customHeight="1" x14ac:dyDescent="0.2">
      <c r="A3644" s="257">
        <v>3654</v>
      </c>
      <c r="B3644" s="44">
        <v>44648</v>
      </c>
      <c r="C3644" s="44">
        <f t="shared" si="171"/>
        <v>44648</v>
      </c>
      <c r="D3644" s="374">
        <v>309</v>
      </c>
      <c r="E3644" s="291" t="str">
        <f>IFERROR(VLOOKUP($D3644,'Clients-Live'!$A:$C,3,0),"")</f>
        <v>NAMBOZO HALIMA</v>
      </c>
      <c r="F3644" s="291">
        <f>IFERROR(INDEX(Disbursements!$D:$D,MATCH('Live Collections'!G3644,Disbursements!$C:$C,0)),"")</f>
        <v>1</v>
      </c>
      <c r="G3644" s="34">
        <v>391</v>
      </c>
      <c r="H3644" s="34">
        <v>5525</v>
      </c>
      <c r="I3644" s="34" t="s">
        <v>1357</v>
      </c>
      <c r="J3644" s="48"/>
      <c r="K3644" s="48"/>
      <c r="L3644" s="48"/>
      <c r="M3644" s="48"/>
      <c r="N3644" s="59"/>
      <c r="O3644" s="59">
        <v>70000</v>
      </c>
      <c r="P3644" s="59"/>
      <c r="Q3644" s="268">
        <f t="shared" si="172"/>
        <v>70000</v>
      </c>
      <c r="R3644" s="61">
        <f>IF(O3644=0,0,SUMIFS(Disbursements!$T:$T,Disbursements!$B:$B,'Live Collections'!D3644,Disbursements!$D:$D,'Live Collections'!F3644))</f>
        <v>79000</v>
      </c>
      <c r="S3644" s="304"/>
      <c r="T3644" s="304">
        <f t="shared" si="173"/>
        <v>70000</v>
      </c>
      <c r="U3644" s="52"/>
      <c r="V3644" s="34"/>
      <c r="W3644" s="408"/>
    </row>
    <row r="3645" spans="1:23" ht="12.75" customHeight="1" x14ac:dyDescent="0.2">
      <c r="A3645" s="257">
        <v>3655</v>
      </c>
      <c r="B3645" s="44">
        <v>44648</v>
      </c>
      <c r="C3645" s="44">
        <f t="shared" si="171"/>
        <v>44648</v>
      </c>
      <c r="D3645" s="374">
        <v>333</v>
      </c>
      <c r="E3645" s="291" t="str">
        <f>IFERROR(VLOOKUP($D3645,'Clients-Live'!$A:$C,3,0),"")</f>
        <v>OSORU HELLEN</v>
      </c>
      <c r="F3645" s="291">
        <f>IFERROR(INDEX(Disbursements!$D:$D,MATCH('Live Collections'!G3645,Disbursements!$C:$C,0)),"")</f>
        <v>1</v>
      </c>
      <c r="G3645" s="34">
        <v>472</v>
      </c>
      <c r="H3645" s="34">
        <v>5524</v>
      </c>
      <c r="I3645" s="34" t="s">
        <v>1358</v>
      </c>
      <c r="J3645" s="48"/>
      <c r="K3645" s="48"/>
      <c r="L3645" s="48"/>
      <c r="M3645" s="48"/>
      <c r="N3645" s="59"/>
      <c r="O3645" s="59">
        <v>39400</v>
      </c>
      <c r="P3645" s="59"/>
      <c r="Q3645" s="268">
        <f t="shared" si="172"/>
        <v>39400</v>
      </c>
      <c r="R3645" s="61">
        <f>IF(O3645=0,0,SUMIFS(Disbursements!$T:$T,Disbursements!$B:$B,'Live Collections'!D3645,Disbursements!$D:$D,'Live Collections'!F3645))</f>
        <v>40000</v>
      </c>
      <c r="S3645" s="304">
        <f>IF(O3645&lt;=IF($O3645=0,0,SUMIFS(Disbursements!$W:$W,Disbursements!$B:$B,'Live Collections'!D3645,Disbursements!$D:$D,'Live Collections'!F3645)),O3645,IF($O3645=0,0,SUMIFS(Disbursements!$W:$W,Disbursements!$B:$B,'Live Collections'!D3645,Disbursements!$D:$D,'Live Collections'!F3645)))</f>
        <v>8750</v>
      </c>
      <c r="T3645" s="304">
        <f t="shared" si="173"/>
        <v>30650</v>
      </c>
      <c r="U3645" s="52"/>
      <c r="V3645" s="34"/>
      <c r="W3645" s="408"/>
    </row>
    <row r="3646" spans="1:23" ht="12.75" customHeight="1" x14ac:dyDescent="0.2">
      <c r="A3646" s="257">
        <v>3656</v>
      </c>
      <c r="B3646" s="44">
        <v>44649</v>
      </c>
      <c r="C3646" s="44">
        <f t="shared" si="171"/>
        <v>44649</v>
      </c>
      <c r="D3646" s="374">
        <v>338</v>
      </c>
      <c r="E3646" s="291" t="str">
        <f>IFERROR(VLOOKUP($D3646,'Clients-Live'!$A:$C,3,0),"")</f>
        <v>ASERU MARY</v>
      </c>
      <c r="F3646" s="291">
        <f>IFERROR(INDEX(Disbursements!$D:$D,MATCH('Live Collections'!G3646,Disbursements!$C:$C,0)),"")</f>
        <v>1</v>
      </c>
      <c r="G3646" s="34">
        <v>480</v>
      </c>
      <c r="H3646" s="34">
        <v>5335</v>
      </c>
      <c r="I3646" s="34" t="s">
        <v>1358</v>
      </c>
      <c r="J3646" s="48"/>
      <c r="K3646" s="48"/>
      <c r="L3646" s="48"/>
      <c r="M3646" s="48"/>
      <c r="N3646" s="59"/>
      <c r="O3646" s="59">
        <v>23700</v>
      </c>
      <c r="P3646" s="59"/>
      <c r="Q3646" s="268">
        <f t="shared" si="172"/>
        <v>23700</v>
      </c>
      <c r="R3646" s="61">
        <f>IF(O3646=0,0,SUMIFS(Disbursements!$T:$T,Disbursements!$B:$B,'Live Collections'!D3646,Disbursements!$D:$D,'Live Collections'!F3646))</f>
        <v>24000</v>
      </c>
      <c r="S3646" s="304">
        <f>IF(O3646&lt;=IF($O3646=0,0,SUMIFS(Disbursements!$W:$W,Disbursements!$B:$B,'Live Collections'!D3646,Disbursements!$D:$D,'Live Collections'!F3646)),O3646,IF($O3646=0,0,SUMIFS(Disbursements!$W:$W,Disbursements!$B:$B,'Live Collections'!D3646,Disbursements!$D:$D,'Live Collections'!F3646)))</f>
        <v>5250</v>
      </c>
      <c r="T3646" s="304">
        <f t="shared" si="173"/>
        <v>18450</v>
      </c>
      <c r="U3646" s="52"/>
      <c r="V3646" s="34"/>
      <c r="W3646" s="408"/>
    </row>
    <row r="3647" spans="1:23" ht="12.75" customHeight="1" x14ac:dyDescent="0.2">
      <c r="A3647" s="257">
        <v>3657</v>
      </c>
      <c r="B3647" s="44">
        <v>44649</v>
      </c>
      <c r="C3647" s="44">
        <f t="shared" ref="C3647:C3710" si="174">B3647</f>
        <v>44649</v>
      </c>
      <c r="D3647" s="374">
        <v>313</v>
      </c>
      <c r="E3647" s="291" t="str">
        <f>IFERROR(VLOOKUP($D3647,'Clients-Live'!$A:$C,3,0),"")</f>
        <v>TWAHA GBAGBE</v>
      </c>
      <c r="F3647" s="291">
        <f>IFERROR(INDEX(Disbursements!$D:$D,MATCH('Live Collections'!G3647,Disbursements!$C:$C,0)),"")</f>
        <v>1</v>
      </c>
      <c r="G3647" s="34">
        <v>410</v>
      </c>
      <c r="H3647" s="34">
        <v>5395</v>
      </c>
      <c r="I3647" s="34" t="s">
        <v>1357</v>
      </c>
      <c r="J3647" s="48"/>
      <c r="K3647" s="48"/>
      <c r="L3647" s="48"/>
      <c r="M3647" s="48"/>
      <c r="N3647" s="59"/>
      <c r="O3647" s="59">
        <v>340000</v>
      </c>
      <c r="P3647" s="59"/>
      <c r="Q3647" s="268">
        <f t="shared" si="172"/>
        <v>340000</v>
      </c>
      <c r="R3647" s="61">
        <f>IF(O3647=0,0,SUMIFS(Disbursements!$T:$T,Disbursements!$B:$B,'Live Collections'!D3647,Disbursements!$D:$D,'Live Collections'!F3647))</f>
        <v>339000</v>
      </c>
      <c r="S3647" s="304">
        <f>IF(O3647&lt;=IF($O3647=0,0,SUMIFS(Disbursements!$W:$W,Disbursements!$B:$B,'Live Collections'!D3647,Disbursements!$D:$D,'Live Collections'!F3647)),O3647,IF($O3647=0,0,SUMIFS(Disbursements!$W:$W,Disbursements!$B:$B,'Live Collections'!D3647,Disbursements!$D:$D,'Live Collections'!F3647)))</f>
        <v>105666.66666666666</v>
      </c>
      <c r="T3647" s="304">
        <f t="shared" si="173"/>
        <v>234333.33333333334</v>
      </c>
      <c r="U3647" s="52"/>
      <c r="V3647" s="34"/>
      <c r="W3647" s="408"/>
    </row>
    <row r="3648" spans="1:23" ht="12.75" customHeight="1" x14ac:dyDescent="0.2">
      <c r="A3648" s="257">
        <v>3658</v>
      </c>
      <c r="B3648" s="44">
        <v>44649</v>
      </c>
      <c r="C3648" s="44">
        <f t="shared" si="174"/>
        <v>44649</v>
      </c>
      <c r="D3648" s="374">
        <v>253</v>
      </c>
      <c r="E3648" s="291" t="str">
        <f>IFERROR(VLOOKUP($D3648,'Clients-Live'!$A:$C,3,0),"")</f>
        <v>JAKUMA VINCENT</v>
      </c>
      <c r="F3648" s="291">
        <f>IFERROR(INDEX(Disbursements!$D:$D,MATCH('Live Collections'!G3648,Disbursements!$C:$C,0)),"")</f>
        <v>1</v>
      </c>
      <c r="G3648" s="34">
        <v>359</v>
      </c>
      <c r="H3648" s="34">
        <v>5334</v>
      </c>
      <c r="I3648" s="34" t="s">
        <v>1359</v>
      </c>
      <c r="J3648" s="48"/>
      <c r="K3648" s="48"/>
      <c r="L3648" s="48"/>
      <c r="M3648" s="48"/>
      <c r="N3648" s="59"/>
      <c r="O3648" s="59">
        <v>100000</v>
      </c>
      <c r="P3648" s="59"/>
      <c r="Q3648" s="268">
        <f t="shared" si="172"/>
        <v>100000</v>
      </c>
      <c r="R3648" s="61">
        <f>IF(O3648=0,0,SUMIFS(Disbursements!$T:$T,Disbursements!$B:$B,'Live Collections'!D3648,Disbursements!$D:$D,'Live Collections'!F3648))</f>
        <v>613000</v>
      </c>
      <c r="S3648" s="304"/>
      <c r="T3648" s="304">
        <f t="shared" si="173"/>
        <v>100000</v>
      </c>
      <c r="U3648" s="52"/>
      <c r="V3648" s="34"/>
      <c r="W3648" s="408"/>
    </row>
    <row r="3649" spans="1:23" ht="12.75" customHeight="1" x14ac:dyDescent="0.2">
      <c r="A3649" s="257">
        <v>3659</v>
      </c>
      <c r="B3649" s="44">
        <v>44649</v>
      </c>
      <c r="C3649" s="44">
        <f t="shared" si="174"/>
        <v>44649</v>
      </c>
      <c r="D3649" s="374">
        <v>175</v>
      </c>
      <c r="E3649" s="291" t="str">
        <f>IFERROR(VLOOKUP($D3649,'Clients-Live'!$A:$C,3,0),"")</f>
        <v>ZUBEDA WAIGA</v>
      </c>
      <c r="F3649" s="291">
        <f>IFERROR(INDEX(Disbursements!$D:$D,MATCH('Live Collections'!G3649,Disbursements!$C:$C,0)),"")</f>
        <v>3</v>
      </c>
      <c r="G3649" s="34">
        <v>466</v>
      </c>
      <c r="H3649" s="34">
        <v>5332</v>
      </c>
      <c r="I3649" s="34" t="s">
        <v>1358</v>
      </c>
      <c r="J3649" s="48"/>
      <c r="K3649" s="48"/>
      <c r="L3649" s="48"/>
      <c r="M3649" s="48"/>
      <c r="N3649" s="59"/>
      <c r="O3649" s="59">
        <v>31500</v>
      </c>
      <c r="P3649" s="59"/>
      <c r="Q3649" s="268">
        <f t="shared" si="172"/>
        <v>31500</v>
      </c>
      <c r="R3649" s="61">
        <f>IF(O3649=0,0,SUMIFS(Disbursements!$T:$T,Disbursements!$B:$B,'Live Collections'!D3649,Disbursements!$D:$D,'Live Collections'!F3649))</f>
        <v>32000</v>
      </c>
      <c r="S3649" s="304">
        <f>IF(O3649&lt;=IF($O3649=0,0,SUMIFS(Disbursements!$W:$W,Disbursements!$B:$B,'Live Collections'!D3649,Disbursements!$D:$D,'Live Collections'!F3649)),O3649,IF($O3649=0,0,SUMIFS(Disbursements!$W:$W,Disbursements!$B:$B,'Live Collections'!D3649,Disbursements!$D:$D,'Live Collections'!F3649)))</f>
        <v>7000</v>
      </c>
      <c r="T3649" s="304">
        <f t="shared" si="173"/>
        <v>24500</v>
      </c>
      <c r="U3649" s="52"/>
      <c r="V3649" s="34"/>
      <c r="W3649" s="408"/>
    </row>
    <row r="3650" spans="1:23" ht="12.75" customHeight="1" x14ac:dyDescent="0.2">
      <c r="A3650" s="257">
        <v>3660</v>
      </c>
      <c r="B3650" s="44">
        <v>44649</v>
      </c>
      <c r="C3650" s="44">
        <f t="shared" si="174"/>
        <v>44649</v>
      </c>
      <c r="D3650" s="374">
        <v>157</v>
      </c>
      <c r="E3650" s="291" t="str">
        <f>IFERROR(VLOOKUP($D3650,'Clients-Live'!$A:$C,3,0),"")</f>
        <v>AYITE MARGERT</v>
      </c>
      <c r="F3650" s="291">
        <f>IFERROR(INDEX(Disbursements!$D:$D,MATCH('Live Collections'!G3650,Disbursements!$C:$C,0)),"")</f>
        <v>2</v>
      </c>
      <c r="G3650" s="34">
        <v>345</v>
      </c>
      <c r="H3650" s="34">
        <v>5333</v>
      </c>
      <c r="I3650" s="34" t="s">
        <v>1357</v>
      </c>
      <c r="J3650" s="48"/>
      <c r="K3650" s="48"/>
      <c r="L3650" s="48"/>
      <c r="M3650" s="48"/>
      <c r="N3650" s="59"/>
      <c r="O3650" s="59">
        <v>100000</v>
      </c>
      <c r="P3650" s="59"/>
      <c r="Q3650" s="268">
        <f t="shared" si="172"/>
        <v>100000</v>
      </c>
      <c r="R3650" s="61">
        <f>IF(O3650=0,0,SUMIFS(Disbursements!$T:$T,Disbursements!$B:$B,'Live Collections'!D3650,Disbursements!$D:$D,'Live Collections'!F3650))</f>
        <v>175000</v>
      </c>
      <c r="S3650" s="304"/>
      <c r="T3650" s="304">
        <f t="shared" si="173"/>
        <v>100000</v>
      </c>
      <c r="U3650" s="52"/>
      <c r="V3650" s="34"/>
      <c r="W3650" s="408"/>
    </row>
    <row r="3651" spans="1:23" ht="12.75" customHeight="1" x14ac:dyDescent="0.2">
      <c r="A3651" s="257">
        <v>3661</v>
      </c>
      <c r="B3651" s="44">
        <v>44649</v>
      </c>
      <c r="C3651" s="44">
        <f t="shared" si="174"/>
        <v>44649</v>
      </c>
      <c r="D3651" s="374">
        <v>288</v>
      </c>
      <c r="E3651" s="291" t="str">
        <f>IFERROR(VLOOKUP($D3651,'Clients-Live'!$A:$C,3,0),"")</f>
        <v>MITU LAWRENCE</v>
      </c>
      <c r="F3651" s="291">
        <f>IFERROR(INDEX(Disbursements!$D:$D,MATCH('Live Collections'!G3651,Disbursements!$C:$C,0)),"")</f>
        <v>1</v>
      </c>
      <c r="G3651" s="34">
        <v>347</v>
      </c>
      <c r="H3651" s="34">
        <v>5450</v>
      </c>
      <c r="I3651" s="34" t="s">
        <v>1359</v>
      </c>
      <c r="J3651" s="48"/>
      <c r="K3651" s="48"/>
      <c r="L3651" s="48"/>
      <c r="M3651" s="48"/>
      <c r="N3651" s="59"/>
      <c r="O3651" s="59">
        <v>130000</v>
      </c>
      <c r="P3651" s="59"/>
      <c r="Q3651" s="268">
        <f t="shared" si="172"/>
        <v>130000</v>
      </c>
      <c r="R3651" s="61">
        <f>IF(O3651=0,0,SUMIFS(Disbursements!$T:$T,Disbursements!$B:$B,'Live Collections'!D3651,Disbursements!$D:$D,'Live Collections'!F3651))</f>
        <v>304000</v>
      </c>
      <c r="S3651" s="304">
        <f>IF(O3651&lt;=IF($O3651=0,0,SUMIFS(Disbursements!$W:$W,Disbursements!$B:$B,'Live Collections'!D3651,Disbursements!$D:$D,'Live Collections'!F3651)),O3651,IF($O3651=0,0,SUMIFS(Disbursements!$W:$W,Disbursements!$B:$B,'Live Collections'!D3651,Disbursements!$D:$D,'Live Collections'!F3651)))</f>
        <v>70666.666666666657</v>
      </c>
      <c r="T3651" s="304">
        <f t="shared" si="173"/>
        <v>59333.333333333343</v>
      </c>
      <c r="U3651" s="52"/>
      <c r="V3651" s="34"/>
      <c r="W3651" s="408"/>
    </row>
    <row r="3652" spans="1:23" ht="12.75" customHeight="1" x14ac:dyDescent="0.2">
      <c r="A3652" s="257">
        <v>3662</v>
      </c>
      <c r="B3652" s="44">
        <v>44649</v>
      </c>
      <c r="C3652" s="44">
        <f t="shared" si="174"/>
        <v>44649</v>
      </c>
      <c r="D3652" s="374">
        <v>260</v>
      </c>
      <c r="E3652" s="291" t="str">
        <f>IFERROR(VLOOKUP($D3652,'Clients-Live'!$A:$C,3,0),"")</f>
        <v>ATAYI GRACE</v>
      </c>
      <c r="F3652" s="291">
        <f>IFERROR(INDEX(Disbursements!$D:$D,MATCH('Live Collections'!G3652,Disbursements!$C:$C,0)),"")</f>
        <v>2</v>
      </c>
      <c r="G3652" s="34">
        <v>476</v>
      </c>
      <c r="H3652" s="34">
        <v>5449</v>
      </c>
      <c r="I3652" s="34" t="s">
        <v>1359</v>
      </c>
      <c r="J3652" s="48"/>
      <c r="K3652" s="48"/>
      <c r="L3652" s="48"/>
      <c r="M3652" s="48"/>
      <c r="N3652" s="59"/>
      <c r="O3652" s="59">
        <v>30000</v>
      </c>
      <c r="P3652" s="59"/>
      <c r="Q3652" s="268">
        <f t="shared" si="172"/>
        <v>30000</v>
      </c>
      <c r="R3652" s="61">
        <f>IF(O3652=0,0,SUMIFS(Disbursements!$T:$T,Disbursements!$B:$B,'Live Collections'!D3652,Disbursements!$D:$D,'Live Collections'!F3652))</f>
        <v>111000</v>
      </c>
      <c r="S3652" s="304">
        <f>IF(O3652&lt;=IF($O3652=0,0,SUMIFS(Disbursements!$W:$W,Disbursements!$B:$B,'Live Collections'!D3652,Disbursements!$D:$D,'Live Collections'!F3652)),O3652,IF($O3652=0,0,SUMIFS(Disbursements!$W:$W,Disbursements!$B:$B,'Live Collections'!D3652,Disbursements!$D:$D,'Live Collections'!F3652)))</f>
        <v>23500</v>
      </c>
      <c r="T3652" s="304">
        <f t="shared" si="173"/>
        <v>6500</v>
      </c>
      <c r="U3652" s="52"/>
      <c r="V3652" s="34"/>
      <c r="W3652" s="408"/>
    </row>
    <row r="3653" spans="1:23" ht="12.75" customHeight="1" x14ac:dyDescent="0.2">
      <c r="A3653" s="257">
        <v>3663</v>
      </c>
      <c r="B3653" s="44">
        <v>44649</v>
      </c>
      <c r="C3653" s="44">
        <f t="shared" si="174"/>
        <v>44649</v>
      </c>
      <c r="D3653" s="374">
        <v>276</v>
      </c>
      <c r="E3653" s="291" t="str">
        <f>IFERROR(VLOOKUP($D3653,'Clients-Live'!$A:$C,3,0),"")</f>
        <v>MANDELA SWAIBU</v>
      </c>
      <c r="F3653" s="291">
        <f>IFERROR(INDEX(Disbursements!$D:$D,MATCH('Live Collections'!G3653,Disbursements!$C:$C,0)),"")</f>
        <v>1</v>
      </c>
      <c r="G3653" s="34">
        <v>358</v>
      </c>
      <c r="H3653" s="34">
        <v>5331</v>
      </c>
      <c r="I3653" s="34" t="s">
        <v>1359</v>
      </c>
      <c r="J3653" s="48"/>
      <c r="K3653" s="48"/>
      <c r="L3653" s="48"/>
      <c r="M3653" s="48"/>
      <c r="N3653" s="59"/>
      <c r="O3653" s="59">
        <v>60000</v>
      </c>
      <c r="P3653" s="59"/>
      <c r="Q3653" s="268">
        <f t="shared" si="172"/>
        <v>60000</v>
      </c>
      <c r="R3653" s="61">
        <f>IF(O3653=0,0,SUMIFS(Disbursements!$T:$T,Disbursements!$B:$B,'Live Collections'!D3653,Disbursements!$D:$D,'Live Collections'!F3653))</f>
        <v>325000</v>
      </c>
      <c r="S3653" s="304">
        <f>IF(O3653&lt;=IF($O3653=0,0,SUMIFS(Disbursements!$W:$W,Disbursements!$B:$B,'Live Collections'!D3653,Disbursements!$D:$D,'Live Collections'!F3653)),O3653,IF($O3653=0,0,SUMIFS(Disbursements!$W:$W,Disbursements!$B:$B,'Live Collections'!D3653,Disbursements!$D:$D,'Live Collections'!F3653)))</f>
        <v>60000</v>
      </c>
      <c r="T3653" s="304">
        <f t="shared" si="173"/>
        <v>0</v>
      </c>
      <c r="U3653" s="52"/>
      <c r="V3653" s="34"/>
      <c r="W3653" s="408"/>
    </row>
    <row r="3654" spans="1:23" ht="12.75" customHeight="1" x14ac:dyDescent="0.2">
      <c r="A3654" s="257">
        <v>3664</v>
      </c>
      <c r="B3654" s="44">
        <v>44649</v>
      </c>
      <c r="C3654" s="44">
        <f t="shared" si="174"/>
        <v>44649</v>
      </c>
      <c r="D3654" s="374">
        <v>18</v>
      </c>
      <c r="E3654" s="291" t="str">
        <f>IFERROR(VLOOKUP($D3654,'Clients-Live'!$A:$C,3,0),"")</f>
        <v>ARIYE PEACE</v>
      </c>
      <c r="F3654" s="291">
        <f>IFERROR(INDEX(Disbursements!$D:$D,MATCH('Live Collections'!G3654,Disbursements!$C:$C,0)),"")</f>
        <v>2</v>
      </c>
      <c r="G3654" s="34">
        <v>317</v>
      </c>
      <c r="H3654" s="34">
        <v>5393</v>
      </c>
      <c r="I3654" s="34" t="s">
        <v>1357</v>
      </c>
      <c r="J3654" s="48"/>
      <c r="K3654" s="48"/>
      <c r="L3654" s="48"/>
      <c r="M3654" s="48"/>
      <c r="N3654" s="59"/>
      <c r="O3654" s="59">
        <v>100000</v>
      </c>
      <c r="P3654" s="59"/>
      <c r="Q3654" s="268">
        <f t="shared" si="172"/>
        <v>100000</v>
      </c>
      <c r="R3654" s="61">
        <f>IF(O3654=0,0,SUMIFS(Disbursements!$T:$T,Disbursements!$B:$B,'Live Collections'!D3654,Disbursements!$D:$D,'Live Collections'!F3654))</f>
        <v>650000</v>
      </c>
      <c r="S3654" s="304">
        <f>IF(O3654&lt;=IF($O3654=0,0,SUMIFS(Disbursements!$W:$W,Disbursements!$B:$B,'Live Collections'!D3654,Disbursements!$D:$D,'Live Collections'!F3654)),O3654,IF($O3654=0,0,SUMIFS(Disbursements!$W:$W,Disbursements!$B:$B,'Live Collections'!D3654,Disbursements!$D:$D,'Live Collections'!F3654)))</f>
        <v>100000</v>
      </c>
      <c r="T3654" s="304">
        <f t="shared" si="173"/>
        <v>0</v>
      </c>
      <c r="U3654" s="52"/>
      <c r="V3654" s="34"/>
      <c r="W3654" s="408"/>
    </row>
    <row r="3655" spans="1:23" ht="12.75" customHeight="1" x14ac:dyDescent="0.2">
      <c r="A3655" s="257">
        <v>3665</v>
      </c>
      <c r="B3655" s="44">
        <v>44650</v>
      </c>
      <c r="C3655" s="44">
        <f t="shared" si="174"/>
        <v>44650</v>
      </c>
      <c r="D3655" s="374">
        <v>348</v>
      </c>
      <c r="E3655" s="291" t="str">
        <f>IFERROR(VLOOKUP($D3655,'Clients-Live'!$A:$C,3,0),"")</f>
        <v>ARIONZI BENARD</v>
      </c>
      <c r="F3655" s="291" t="str">
        <f>IFERROR(INDEX(Disbursements!$D:$D,MATCH('Live Collections'!G3655,Disbursements!$C:$C,0)),"")</f>
        <v/>
      </c>
      <c r="G3655" s="34"/>
      <c r="H3655" s="34">
        <v>5529</v>
      </c>
      <c r="I3655" s="34" t="s">
        <v>1760</v>
      </c>
      <c r="J3655" s="48"/>
      <c r="K3655" s="48"/>
      <c r="L3655" s="48">
        <v>20000</v>
      </c>
      <c r="M3655" s="48">
        <v>5000</v>
      </c>
      <c r="N3655" s="59"/>
      <c r="O3655" s="59"/>
      <c r="P3655" s="59"/>
      <c r="Q3655" s="268">
        <f t="shared" si="172"/>
        <v>25000</v>
      </c>
      <c r="R3655" s="61">
        <f>IF(O3655=0,0,SUMIFS(Disbursements!$T:$T,Disbursements!$B:$B,'Live Collections'!D3655,Disbursements!$D:$D,'Live Collections'!F3655))</f>
        <v>0</v>
      </c>
      <c r="S3655" s="304">
        <f>IF(O3655&lt;=IF($O3655=0,0,SUMIFS(Disbursements!$W:$W,Disbursements!$B:$B,'Live Collections'!D3655,Disbursements!$D:$D,'Live Collections'!F3655)),O3655,IF($O3655=0,0,SUMIFS(Disbursements!$W:$W,Disbursements!$B:$B,'Live Collections'!D3655,Disbursements!$D:$D,'Live Collections'!F3655)))</f>
        <v>0</v>
      </c>
      <c r="T3655" s="304">
        <f t="shared" si="173"/>
        <v>0</v>
      </c>
      <c r="U3655" s="52"/>
      <c r="V3655" s="34"/>
      <c r="W3655" s="408"/>
    </row>
    <row r="3656" spans="1:23" ht="12.75" customHeight="1" x14ac:dyDescent="0.2">
      <c r="A3656" s="257">
        <v>3666</v>
      </c>
      <c r="B3656" s="44">
        <v>44650</v>
      </c>
      <c r="C3656" s="44">
        <f t="shared" si="174"/>
        <v>44650</v>
      </c>
      <c r="D3656" s="374">
        <v>348</v>
      </c>
      <c r="E3656" s="291" t="str">
        <f>IFERROR(VLOOKUP($D3656,'Clients-Live'!$A:$C,3,0),"")</f>
        <v>ARIONZI BENARD</v>
      </c>
      <c r="F3656" s="291" t="str">
        <f>IFERROR(INDEX(Disbursements!$D:$D,MATCH('Live Collections'!G3656,Disbursements!$C:$C,0)),"")</f>
        <v/>
      </c>
      <c r="G3656" s="34"/>
      <c r="H3656" s="34">
        <v>5528</v>
      </c>
      <c r="I3656" s="34" t="s">
        <v>1760</v>
      </c>
      <c r="J3656" s="48">
        <v>15000</v>
      </c>
      <c r="K3656" s="48">
        <v>5000</v>
      </c>
      <c r="L3656" s="48"/>
      <c r="M3656" s="48"/>
      <c r="N3656" s="59"/>
      <c r="O3656" s="59"/>
      <c r="P3656" s="59"/>
      <c r="Q3656" s="268">
        <f t="shared" si="172"/>
        <v>20000</v>
      </c>
      <c r="R3656" s="61">
        <f>IF(O3656=0,0,SUMIFS(Disbursements!$T:$T,Disbursements!$B:$B,'Live Collections'!D3656,Disbursements!$D:$D,'Live Collections'!F3656))</f>
        <v>0</v>
      </c>
      <c r="S3656" s="304">
        <f>IF(O3656&lt;=IF($O3656=0,0,SUMIFS(Disbursements!$W:$W,Disbursements!$B:$B,'Live Collections'!D3656,Disbursements!$D:$D,'Live Collections'!F3656)),O3656,IF($O3656=0,0,SUMIFS(Disbursements!$W:$W,Disbursements!$B:$B,'Live Collections'!D3656,Disbursements!$D:$D,'Live Collections'!F3656)))</f>
        <v>0</v>
      </c>
      <c r="T3656" s="304">
        <f t="shared" si="173"/>
        <v>0</v>
      </c>
      <c r="U3656" s="52"/>
      <c r="V3656" s="34"/>
      <c r="W3656" s="408"/>
    </row>
    <row r="3657" spans="1:23" ht="12.75" customHeight="1" x14ac:dyDescent="0.2">
      <c r="A3657" s="257">
        <v>3667</v>
      </c>
      <c r="B3657" s="44">
        <v>44650</v>
      </c>
      <c r="C3657" s="44">
        <f t="shared" si="174"/>
        <v>44650</v>
      </c>
      <c r="D3657" s="374">
        <v>144</v>
      </c>
      <c r="E3657" s="291" t="str">
        <f>IFERROR(VLOOKUP($D3657,'Clients-Live'!$A:$C,3,0),"")</f>
        <v>GBENINGA RUKIA</v>
      </c>
      <c r="F3657" s="291">
        <f>IFERROR(INDEX(Disbursements!$D:$D,MATCH('Live Collections'!G3657,Disbursements!$C:$C,0)),"")</f>
        <v>1</v>
      </c>
      <c r="G3657" s="34">
        <v>131</v>
      </c>
      <c r="H3657" s="34">
        <v>5344</v>
      </c>
      <c r="I3657" s="34" t="s">
        <v>1359</v>
      </c>
      <c r="J3657" s="48"/>
      <c r="K3657" s="48"/>
      <c r="L3657" s="48"/>
      <c r="M3657" s="48"/>
      <c r="N3657" s="59"/>
      <c r="O3657" s="59">
        <v>20000</v>
      </c>
      <c r="P3657" s="59"/>
      <c r="Q3657" s="268">
        <f t="shared" si="172"/>
        <v>20000</v>
      </c>
      <c r="R3657" s="61">
        <f>IF(O3657=0,0,SUMIFS(Disbursements!$T:$T,Disbursements!$B:$B,'Live Collections'!D3657,Disbursements!$D:$D,'Live Collections'!F3657))</f>
        <v>125000</v>
      </c>
      <c r="S3657" s="304"/>
      <c r="T3657" s="304">
        <f t="shared" si="173"/>
        <v>20000</v>
      </c>
      <c r="U3657" s="52"/>
      <c r="V3657" s="34"/>
      <c r="W3657" s="408"/>
    </row>
    <row r="3658" spans="1:23" ht="12.75" customHeight="1" x14ac:dyDescent="0.2">
      <c r="A3658" s="257">
        <v>3668</v>
      </c>
      <c r="B3658" s="44">
        <v>44650</v>
      </c>
      <c r="C3658" s="44">
        <f t="shared" si="174"/>
        <v>44650</v>
      </c>
      <c r="D3658" s="374">
        <v>304</v>
      </c>
      <c r="E3658" s="291" t="str">
        <f>IFERROR(VLOOKUP($D3658,'Clients-Live'!$A:$C,3,0),"")</f>
        <v>ATAKO GLORIA</v>
      </c>
      <c r="F3658" s="291">
        <f>IFERROR(INDEX(Disbursements!$D:$D,MATCH('Live Collections'!G3658,Disbursements!$C:$C,0)),"")</f>
        <v>1</v>
      </c>
      <c r="G3658" s="34">
        <v>398</v>
      </c>
      <c r="H3658" s="34">
        <v>5194</v>
      </c>
      <c r="I3658" s="34" t="s">
        <v>1357</v>
      </c>
      <c r="J3658" s="48"/>
      <c r="K3658" s="48"/>
      <c r="L3658" s="48"/>
      <c r="M3658" s="48"/>
      <c r="N3658" s="59"/>
      <c r="O3658" s="59">
        <v>20000</v>
      </c>
      <c r="P3658" s="59"/>
      <c r="Q3658" s="268">
        <f t="shared" si="172"/>
        <v>20000</v>
      </c>
      <c r="R3658" s="61">
        <f>IF(O3658=0,0,SUMIFS(Disbursements!$T:$T,Disbursements!$B:$B,'Live Collections'!D3658,Disbursements!$D:$D,'Live Collections'!F3658))</f>
        <v>32000</v>
      </c>
      <c r="S3658" s="304"/>
      <c r="T3658" s="304">
        <f t="shared" si="173"/>
        <v>20000</v>
      </c>
      <c r="U3658" s="52"/>
      <c r="V3658" s="34"/>
      <c r="W3658" s="408"/>
    </row>
    <row r="3659" spans="1:23" ht="12.75" customHeight="1" x14ac:dyDescent="0.2">
      <c r="A3659" s="257">
        <v>3669</v>
      </c>
      <c r="B3659" s="44">
        <v>44650</v>
      </c>
      <c r="C3659" s="44">
        <f t="shared" si="174"/>
        <v>44650</v>
      </c>
      <c r="D3659" s="374">
        <v>35</v>
      </c>
      <c r="E3659" s="291" t="str">
        <f>IFERROR(VLOOKUP($D3659,'Clients-Live'!$A:$C,3,0),"")</f>
        <v>ALEZUYO DOCUS</v>
      </c>
      <c r="F3659" s="291">
        <f>IFERROR(INDEX(Disbursements!$D:$D,MATCH('Live Collections'!G3659,Disbursements!$C:$C,0)),"")</f>
        <v>2</v>
      </c>
      <c r="G3659" s="34">
        <v>155</v>
      </c>
      <c r="H3659" s="34">
        <v>5340</v>
      </c>
      <c r="I3659" s="34" t="s">
        <v>1359</v>
      </c>
      <c r="J3659" s="48"/>
      <c r="K3659" s="48"/>
      <c r="L3659" s="48"/>
      <c r="M3659" s="48"/>
      <c r="N3659" s="59"/>
      <c r="O3659" s="59">
        <v>40000</v>
      </c>
      <c r="P3659" s="59"/>
      <c r="Q3659" s="268">
        <f t="shared" si="172"/>
        <v>40000</v>
      </c>
      <c r="R3659" s="61">
        <f>IF(O3659=0,0,SUMIFS(Disbursements!$T:$T,Disbursements!$B:$B,'Live Collections'!D3659,Disbursements!$D:$D,'Live Collections'!F3659))</f>
        <v>250000</v>
      </c>
      <c r="S3659" s="304">
        <f>IF(O3659&lt;=IF($O3659=0,0,SUMIFS(Disbursements!$W:$W,Disbursements!$B:$B,'Live Collections'!D3659,Disbursements!$D:$D,'Live Collections'!F3659)),O3659,IF($O3659=0,0,SUMIFS(Disbursements!$W:$W,Disbursements!$B:$B,'Live Collections'!D3659,Disbursements!$D:$D,'Live Collections'!F3659)))</f>
        <v>40000</v>
      </c>
      <c r="T3659" s="304">
        <f t="shared" si="173"/>
        <v>0</v>
      </c>
      <c r="U3659" s="52"/>
      <c r="V3659" s="34"/>
      <c r="W3659" s="408"/>
    </row>
    <row r="3660" spans="1:23" ht="12.75" customHeight="1" x14ac:dyDescent="0.2">
      <c r="A3660" s="257">
        <v>3670</v>
      </c>
      <c r="B3660" s="44">
        <v>44650</v>
      </c>
      <c r="C3660" s="44">
        <f t="shared" si="174"/>
        <v>44650</v>
      </c>
      <c r="D3660" s="374">
        <v>40</v>
      </c>
      <c r="E3660" s="291" t="str">
        <f>IFERROR(VLOOKUP($D3660,'Clients-Live'!$A:$C,3,0),"")</f>
        <v>TABU JANE</v>
      </c>
      <c r="F3660" s="291">
        <f>IFERROR(INDEX(Disbursements!$D:$D,MATCH('Live Collections'!G3660,Disbursements!$C:$C,0)),"")</f>
        <v>2</v>
      </c>
      <c r="G3660" s="34">
        <v>230</v>
      </c>
      <c r="H3660" s="34">
        <v>5195</v>
      </c>
      <c r="I3660" s="34" t="s">
        <v>1358</v>
      </c>
      <c r="J3660" s="48"/>
      <c r="K3660" s="48"/>
      <c r="L3660" s="48"/>
      <c r="M3660" s="48"/>
      <c r="N3660" s="59"/>
      <c r="O3660" s="59">
        <v>60000</v>
      </c>
      <c r="P3660" s="59"/>
      <c r="Q3660" s="268">
        <f t="shared" si="172"/>
        <v>60000</v>
      </c>
      <c r="R3660" s="61">
        <f>IF(O3660=0,0,SUMIFS(Disbursements!$T:$T,Disbursements!$B:$B,'Live Collections'!D3660,Disbursements!$D:$D,'Live Collections'!F3660))</f>
        <v>217000</v>
      </c>
      <c r="S3660" s="304">
        <f>IF(O3660&lt;=IF($O3660=0,0,SUMIFS(Disbursements!$W:$W,Disbursements!$B:$B,'Live Collections'!D3660,Disbursements!$D:$D,'Live Collections'!F3660)),O3660,IF($O3660=0,0,SUMIFS(Disbursements!$W:$W,Disbursements!$B:$B,'Live Collections'!D3660,Disbursements!$D:$D,'Live Collections'!F3660)))</f>
        <v>50333.333333333343</v>
      </c>
      <c r="T3660" s="304">
        <f t="shared" si="173"/>
        <v>9666.666666666657</v>
      </c>
      <c r="U3660" s="52"/>
      <c r="V3660" s="34"/>
      <c r="W3660" s="408"/>
    </row>
    <row r="3661" spans="1:23" ht="12.75" customHeight="1" x14ac:dyDescent="0.2">
      <c r="A3661" s="257">
        <v>3671</v>
      </c>
      <c r="B3661" s="44">
        <v>44650</v>
      </c>
      <c r="C3661" s="44">
        <f t="shared" si="174"/>
        <v>44650</v>
      </c>
      <c r="D3661" s="374">
        <v>66</v>
      </c>
      <c r="E3661" s="291" t="str">
        <f>IFERROR(VLOOKUP($D3661,'Clients-Live'!$A:$C,3,0),"")</f>
        <v>DENAYA NYAMAZA</v>
      </c>
      <c r="F3661" s="291">
        <f>IFERROR(INDEX(Disbursements!$D:$D,MATCH('Live Collections'!G3661,Disbursements!$C:$C,0)),"")</f>
        <v>2</v>
      </c>
      <c r="G3661" s="34">
        <v>300</v>
      </c>
      <c r="H3661" s="34">
        <v>5341</v>
      </c>
      <c r="I3661" s="34" t="s">
        <v>1357</v>
      </c>
      <c r="J3661" s="48"/>
      <c r="K3661" s="48"/>
      <c r="L3661" s="48"/>
      <c r="M3661" s="48"/>
      <c r="N3661" s="59"/>
      <c r="O3661" s="59">
        <v>100000</v>
      </c>
      <c r="P3661" s="59"/>
      <c r="Q3661" s="268">
        <f t="shared" si="172"/>
        <v>100000</v>
      </c>
      <c r="R3661" s="61">
        <f>IF(O3661=0,0,SUMIFS(Disbursements!$T:$T,Disbursements!$B:$B,'Live Collections'!D3661,Disbursements!$D:$D,'Live Collections'!F3661))</f>
        <v>109000</v>
      </c>
      <c r="S3661" s="304">
        <f>IF(O3661&lt;=IF($O3661=0,0,SUMIFS(Disbursements!$W:$W,Disbursements!$B:$B,'Live Collections'!D3661,Disbursements!$D:$D,'Live Collections'!F3661)),O3661,IF($O3661=0,0,SUMIFS(Disbursements!$W:$W,Disbursements!$B:$B,'Live Collections'!D3661,Disbursements!$D:$D,'Live Collections'!F3661)))</f>
        <v>25666.666666666672</v>
      </c>
      <c r="T3661" s="304">
        <f t="shared" si="173"/>
        <v>74333.333333333328</v>
      </c>
      <c r="U3661" s="52"/>
      <c r="V3661" s="34"/>
      <c r="W3661" s="408"/>
    </row>
    <row r="3662" spans="1:23" ht="12.75" customHeight="1" x14ac:dyDescent="0.2">
      <c r="A3662" s="257">
        <v>3672</v>
      </c>
      <c r="B3662" s="44">
        <v>44650</v>
      </c>
      <c r="C3662" s="44">
        <f t="shared" si="174"/>
        <v>44650</v>
      </c>
      <c r="D3662" s="374">
        <v>188</v>
      </c>
      <c r="E3662" s="291" t="str">
        <f>IFERROR(VLOOKUP($D3662,'Clients-Live'!$A:$C,3,0),"")</f>
        <v>ADIRU HELLEN</v>
      </c>
      <c r="F3662" s="291">
        <f>IFERROR(INDEX(Disbursements!$D:$D,MATCH('Live Collections'!G3662,Disbursements!$C:$C,0)),"")</f>
        <v>2</v>
      </c>
      <c r="G3662" s="34">
        <v>328</v>
      </c>
      <c r="H3662" s="34">
        <v>5342</v>
      </c>
      <c r="I3662" s="34" t="s">
        <v>1358</v>
      </c>
      <c r="J3662" s="48"/>
      <c r="K3662" s="48"/>
      <c r="L3662" s="48"/>
      <c r="M3662" s="48"/>
      <c r="N3662" s="59"/>
      <c r="O3662" s="59">
        <v>100000</v>
      </c>
      <c r="P3662" s="59"/>
      <c r="Q3662" s="268">
        <f t="shared" si="172"/>
        <v>100000</v>
      </c>
      <c r="R3662" s="61">
        <f>IF(O3662=0,0,SUMIFS(Disbursements!$T:$T,Disbursements!$B:$B,'Live Collections'!D3662,Disbursements!$D:$D,'Live Collections'!F3662))</f>
        <v>180000</v>
      </c>
      <c r="S3662" s="304"/>
      <c r="T3662" s="304">
        <f t="shared" si="173"/>
        <v>100000</v>
      </c>
      <c r="U3662" s="52"/>
      <c r="V3662" s="34"/>
      <c r="W3662" s="408"/>
    </row>
    <row r="3663" spans="1:23" ht="12.75" customHeight="1" x14ac:dyDescent="0.2">
      <c r="A3663" s="257">
        <v>3673</v>
      </c>
      <c r="B3663" s="44">
        <v>44650</v>
      </c>
      <c r="C3663" s="44">
        <f t="shared" si="174"/>
        <v>44650</v>
      </c>
      <c r="D3663" s="374">
        <v>176</v>
      </c>
      <c r="E3663" s="291" t="str">
        <f>IFERROR(VLOOKUP($D3663,'Clients-Live'!$A:$C,3,0),"")</f>
        <v>AJONYE JANE SINANDUGU</v>
      </c>
      <c r="F3663" s="291" t="str">
        <f>IFERROR(INDEX(Disbursements!$D:$D,MATCH('Live Collections'!G3663,Disbursements!$C:$C,0)),"")</f>
        <v/>
      </c>
      <c r="G3663" s="34"/>
      <c r="H3663" s="34">
        <v>5343</v>
      </c>
      <c r="I3663" s="34" t="s">
        <v>1358</v>
      </c>
      <c r="J3663" s="48"/>
      <c r="K3663" s="48"/>
      <c r="L3663" s="48">
        <v>30000</v>
      </c>
      <c r="M3663" s="48">
        <v>5000</v>
      </c>
      <c r="N3663" s="59"/>
      <c r="O3663" s="59"/>
      <c r="P3663" s="59"/>
      <c r="Q3663" s="268">
        <f t="shared" si="172"/>
        <v>35000</v>
      </c>
      <c r="R3663" s="61">
        <f>IF(O3663=0,0,SUMIFS(Disbursements!$T:$T,Disbursements!$B:$B,'Live Collections'!D3663,Disbursements!$D:$D,'Live Collections'!F3663))</f>
        <v>0</v>
      </c>
      <c r="S3663" s="304">
        <f>IF(O3663&lt;=IF($O3663=0,0,SUMIFS(Disbursements!$W:$W,Disbursements!$B:$B,'Live Collections'!D3663,Disbursements!$D:$D,'Live Collections'!F3663)),O3663,IF($O3663=0,0,SUMIFS(Disbursements!$W:$W,Disbursements!$B:$B,'Live Collections'!D3663,Disbursements!$D:$D,'Live Collections'!F3663)))</f>
        <v>0</v>
      </c>
      <c r="T3663" s="304">
        <f t="shared" si="173"/>
        <v>0</v>
      </c>
      <c r="U3663" s="52"/>
      <c r="V3663" s="34"/>
      <c r="W3663" s="408"/>
    </row>
    <row r="3664" spans="1:23" ht="12.75" customHeight="1" x14ac:dyDescent="0.2">
      <c r="A3664" s="257">
        <v>3674</v>
      </c>
      <c r="B3664" s="44">
        <v>44650</v>
      </c>
      <c r="C3664" s="44">
        <f t="shared" si="174"/>
        <v>44650</v>
      </c>
      <c r="D3664" s="374">
        <v>176</v>
      </c>
      <c r="E3664" s="291" t="str">
        <f>IFERROR(VLOOKUP($D3664,'Clients-Live'!$A:$C,3,0),"")</f>
        <v>AJONYE JANE SINANDUGU</v>
      </c>
      <c r="F3664" s="291">
        <f>IFERROR(INDEX(Disbursements!$D:$D,MATCH('Live Collections'!G3664,Disbursements!$C:$C,0)),"")</f>
        <v>2</v>
      </c>
      <c r="G3664" s="34">
        <v>301</v>
      </c>
      <c r="H3664" s="34" t="s">
        <v>2267</v>
      </c>
      <c r="I3664" s="34" t="s">
        <v>1358</v>
      </c>
      <c r="J3664" s="48"/>
      <c r="K3664" s="48"/>
      <c r="L3664" s="48"/>
      <c r="M3664" s="48"/>
      <c r="N3664" s="59"/>
      <c r="O3664" s="59">
        <v>300000</v>
      </c>
      <c r="P3664" s="59">
        <v>-300000</v>
      </c>
      <c r="Q3664" s="268">
        <f t="shared" si="172"/>
        <v>0</v>
      </c>
      <c r="R3664" s="61">
        <f>IF(O3664=0,0,SUMIFS(Disbursements!$T:$T,Disbursements!$B:$B,'Live Collections'!D3664,Disbursements!$D:$D,'Live Collections'!F3664))</f>
        <v>650000</v>
      </c>
      <c r="S3664" s="304">
        <f>IF(O3664&lt;=IF($O3664=0,0,SUMIFS(Disbursements!$W:$W,Disbursements!$B:$B,'Live Collections'!D3664,Disbursements!$D:$D,'Live Collections'!F3664)),O3664,IF($O3664=0,0,SUMIFS(Disbursements!$W:$W,Disbursements!$B:$B,'Live Collections'!D3664,Disbursements!$D:$D,'Live Collections'!F3664)))</f>
        <v>150000</v>
      </c>
      <c r="T3664" s="304">
        <f t="shared" si="173"/>
        <v>150000</v>
      </c>
      <c r="U3664" s="52"/>
      <c r="V3664" s="34"/>
      <c r="W3664" s="408"/>
    </row>
    <row r="3665" spans="1:23" ht="12.75" customHeight="1" x14ac:dyDescent="0.2">
      <c r="A3665" s="257">
        <v>3675</v>
      </c>
      <c r="B3665" s="44">
        <v>44650</v>
      </c>
      <c r="C3665" s="44">
        <f t="shared" si="174"/>
        <v>44650</v>
      </c>
      <c r="D3665" s="374">
        <v>176</v>
      </c>
      <c r="E3665" s="291" t="str">
        <f>IFERROR(VLOOKUP($D3665,'Clients-Live'!$A:$C,3,0),"")</f>
        <v>AJONYE JANE SINANDUGU</v>
      </c>
      <c r="F3665" s="291">
        <f>IFERROR(INDEX(Disbursements!$D:$D,MATCH('Live Collections'!G3665,Disbursements!$C:$C,0)),"")</f>
        <v>2</v>
      </c>
      <c r="G3665" s="34">
        <v>301</v>
      </c>
      <c r="H3665" s="34">
        <v>5197</v>
      </c>
      <c r="I3665" s="34" t="s">
        <v>1358</v>
      </c>
      <c r="J3665" s="48"/>
      <c r="K3665" s="48"/>
      <c r="L3665" s="48"/>
      <c r="M3665" s="48"/>
      <c r="N3665" s="59"/>
      <c r="O3665" s="59">
        <v>300000</v>
      </c>
      <c r="P3665" s="59"/>
      <c r="Q3665" s="268">
        <f t="shared" si="172"/>
        <v>300000</v>
      </c>
      <c r="R3665" s="61">
        <f>IF(O3665=0,0,SUMIFS(Disbursements!$T:$T,Disbursements!$B:$B,'Live Collections'!D3665,Disbursements!$D:$D,'Live Collections'!F3665))</f>
        <v>650000</v>
      </c>
      <c r="S3665" s="304">
        <v>239000</v>
      </c>
      <c r="T3665" s="304">
        <v>61000</v>
      </c>
      <c r="U3665" s="52"/>
      <c r="V3665" s="34"/>
      <c r="W3665" s="408"/>
    </row>
    <row r="3666" spans="1:23" ht="12.75" customHeight="1" x14ac:dyDescent="0.2">
      <c r="A3666" s="257">
        <v>3676</v>
      </c>
      <c r="B3666" s="44">
        <v>44650</v>
      </c>
      <c r="C3666" s="44">
        <f t="shared" si="174"/>
        <v>44650</v>
      </c>
      <c r="D3666" s="374">
        <v>42</v>
      </c>
      <c r="E3666" s="291" t="str">
        <f>IFERROR(VLOOKUP($D3666,'Clients-Live'!$A:$C,3,0),"")</f>
        <v>ABAU   NOLA</v>
      </c>
      <c r="F3666" s="291">
        <f>IFERROR(INDEX(Disbursements!$D:$D,MATCH('Live Collections'!G3666,Disbursements!$C:$C,0)),"")</f>
        <v>3</v>
      </c>
      <c r="G3666" s="34">
        <v>405</v>
      </c>
      <c r="H3666" s="34">
        <v>5339</v>
      </c>
      <c r="I3666" s="34" t="s">
        <v>1359</v>
      </c>
      <c r="J3666" s="48"/>
      <c r="K3666" s="48"/>
      <c r="L3666" s="48"/>
      <c r="M3666" s="48"/>
      <c r="N3666" s="59"/>
      <c r="O3666" s="59">
        <v>30000</v>
      </c>
      <c r="P3666" s="59"/>
      <c r="Q3666" s="268">
        <f t="shared" si="172"/>
        <v>30000</v>
      </c>
      <c r="R3666" s="61">
        <f>IF(O3666=0,0,SUMIFS(Disbursements!$T:$T,Disbursements!$B:$B,'Live Collections'!D3666,Disbursements!$D:$D,'Live Collections'!F3666))</f>
        <v>20000</v>
      </c>
      <c r="S3666" s="304">
        <f>IF(O3666&lt;=IF($O3666=0,0,SUMIFS(Disbursements!$W:$W,Disbursements!$B:$B,'Live Collections'!D3666,Disbursements!$D:$D,'Live Collections'!F3666)),O3666,IF($O3666=0,0,SUMIFS(Disbursements!$W:$W,Disbursements!$B:$B,'Live Collections'!D3666,Disbursements!$D:$D,'Live Collections'!F3666)))</f>
        <v>4375</v>
      </c>
      <c r="T3666" s="304">
        <f t="shared" si="173"/>
        <v>25625</v>
      </c>
      <c r="U3666" s="52"/>
      <c r="V3666" s="34"/>
      <c r="W3666" s="408"/>
    </row>
    <row r="3667" spans="1:23" ht="12.75" customHeight="1" x14ac:dyDescent="0.2">
      <c r="A3667" s="257">
        <v>3677</v>
      </c>
      <c r="B3667" s="44">
        <v>44650</v>
      </c>
      <c r="C3667" s="44">
        <f t="shared" si="174"/>
        <v>44650</v>
      </c>
      <c r="D3667" s="374">
        <v>86</v>
      </c>
      <c r="E3667" s="291" t="str">
        <f>IFERROR(VLOOKUP($D3667,'Clients-Live'!$A:$C,3,0),"")</f>
        <v>AMANIYO JOYCE</v>
      </c>
      <c r="F3667" s="291">
        <f>IFERROR(INDEX(Disbursements!$D:$D,MATCH('Live Collections'!G3667,Disbursements!$C:$C,0)),"")</f>
        <v>2</v>
      </c>
      <c r="G3667" s="34">
        <v>231</v>
      </c>
      <c r="H3667" s="34">
        <v>5338</v>
      </c>
      <c r="I3667" s="34" t="s">
        <v>1358</v>
      </c>
      <c r="J3667" s="48"/>
      <c r="K3667" s="48"/>
      <c r="L3667" s="48"/>
      <c r="M3667" s="48"/>
      <c r="N3667" s="59"/>
      <c r="O3667" s="59">
        <v>60000</v>
      </c>
      <c r="P3667" s="59"/>
      <c r="Q3667" s="268">
        <f t="shared" si="172"/>
        <v>60000</v>
      </c>
      <c r="R3667" s="61">
        <f>IF(O3667=0,0,SUMIFS(Disbursements!$T:$T,Disbursements!$B:$B,'Live Collections'!D3667,Disbursements!$D:$D,'Live Collections'!F3667))</f>
        <v>217000</v>
      </c>
      <c r="S3667" s="304"/>
      <c r="T3667" s="304">
        <f t="shared" si="173"/>
        <v>60000</v>
      </c>
      <c r="U3667" s="52"/>
      <c r="V3667" s="34"/>
      <c r="W3667" s="408"/>
    </row>
    <row r="3668" spans="1:23" ht="12.75" customHeight="1" x14ac:dyDescent="0.2">
      <c r="A3668" s="257">
        <v>3678</v>
      </c>
      <c r="B3668" s="44">
        <v>44650</v>
      </c>
      <c r="C3668" s="44">
        <f t="shared" si="174"/>
        <v>44650</v>
      </c>
      <c r="D3668" s="374">
        <v>192</v>
      </c>
      <c r="E3668" s="291" t="str">
        <f>IFERROR(VLOOKUP($D3668,'Clients-Live'!$A:$C,3,0),"")</f>
        <v>MAZARAU AISHA</v>
      </c>
      <c r="F3668" s="291">
        <f>IFERROR(INDEX(Disbursements!$D:$D,MATCH('Live Collections'!G3668,Disbursements!$C:$C,0)),"")</f>
        <v>2</v>
      </c>
      <c r="G3668" s="34">
        <v>354</v>
      </c>
      <c r="H3668" s="34">
        <v>5193</v>
      </c>
      <c r="I3668" s="34" t="s">
        <v>1357</v>
      </c>
      <c r="J3668" s="48"/>
      <c r="K3668" s="48"/>
      <c r="L3668" s="48"/>
      <c r="M3668" s="48"/>
      <c r="N3668" s="59"/>
      <c r="O3668" s="59">
        <v>70000</v>
      </c>
      <c r="P3668" s="59"/>
      <c r="Q3668" s="268">
        <f t="shared" si="172"/>
        <v>70000</v>
      </c>
      <c r="R3668" s="61">
        <f>IF(O3668=0,0,SUMIFS(Disbursements!$T:$T,Disbursements!$B:$B,'Live Collections'!D3668,Disbursements!$D:$D,'Live Collections'!F3668))</f>
        <v>120000</v>
      </c>
      <c r="S3668" s="304"/>
      <c r="T3668" s="304">
        <f t="shared" si="173"/>
        <v>70000</v>
      </c>
      <c r="U3668" s="52"/>
      <c r="V3668" s="34"/>
      <c r="W3668" s="408"/>
    </row>
    <row r="3669" spans="1:23" ht="12.75" customHeight="1" x14ac:dyDescent="0.2">
      <c r="A3669" s="257">
        <v>3679</v>
      </c>
      <c r="B3669" s="44">
        <v>44650</v>
      </c>
      <c r="C3669" s="44">
        <f t="shared" si="174"/>
        <v>44650</v>
      </c>
      <c r="D3669" s="374">
        <v>6</v>
      </c>
      <c r="E3669" s="291" t="str">
        <f>IFERROR(VLOOKUP($D3669,'Clients-Live'!$A:$C,3,0),"")</f>
        <v>AMUTE BASHIR</v>
      </c>
      <c r="F3669" s="291">
        <f>IFERROR(INDEX(Disbursements!$D:$D,MATCH('Live Collections'!G3669,Disbursements!$C:$C,0)),"")</f>
        <v>3</v>
      </c>
      <c r="G3669" s="34">
        <v>418</v>
      </c>
      <c r="H3669" s="34">
        <v>5336</v>
      </c>
      <c r="I3669" s="34" t="s">
        <v>1358</v>
      </c>
      <c r="J3669" s="48"/>
      <c r="K3669" s="48"/>
      <c r="L3669" s="48"/>
      <c r="M3669" s="48"/>
      <c r="N3669" s="59"/>
      <c r="O3669" s="59">
        <v>100000</v>
      </c>
      <c r="P3669" s="59"/>
      <c r="Q3669" s="268">
        <f t="shared" si="172"/>
        <v>100000</v>
      </c>
      <c r="R3669" s="61">
        <f>IF(O3669=0,0,SUMIFS(Disbursements!$T:$T,Disbursements!$B:$B,'Live Collections'!D3669,Disbursements!$D:$D,'Live Collections'!F3669))</f>
        <v>1159000</v>
      </c>
      <c r="S3669" s="304">
        <f>IF(O3669&lt;=IF($O3669=0,0,SUMIFS(Disbursements!$W:$W,Disbursements!$B:$B,'Live Collections'!D3669,Disbursements!$D:$D,'Live Collections'!F3669)),O3669,IF($O3669=0,0,SUMIFS(Disbursements!$W:$W,Disbursements!$B:$B,'Live Collections'!D3669,Disbursements!$D:$D,'Live Collections'!F3669)))</f>
        <v>100000</v>
      </c>
      <c r="T3669" s="304">
        <f t="shared" si="173"/>
        <v>0</v>
      </c>
      <c r="U3669" s="52"/>
      <c r="V3669" s="34"/>
      <c r="W3669" s="408"/>
    </row>
    <row r="3670" spans="1:23" ht="12.75" customHeight="1" x14ac:dyDescent="0.2">
      <c r="A3670" s="257">
        <v>3680</v>
      </c>
      <c r="B3670" s="44">
        <v>44650</v>
      </c>
      <c r="C3670" s="44">
        <f t="shared" si="174"/>
        <v>44650</v>
      </c>
      <c r="D3670" s="374">
        <v>340</v>
      </c>
      <c r="E3670" s="291" t="str">
        <f>IFERROR(VLOOKUP($D3670,'Clients-Live'!$A:$C,3,0),"")</f>
        <v>NIGHT RAIMA</v>
      </c>
      <c r="F3670" s="291">
        <f>IFERROR(INDEX(Disbursements!$D:$D,MATCH('Live Collections'!G3670,Disbursements!$C:$C,0)),"")</f>
        <v>1</v>
      </c>
      <c r="G3670" s="34">
        <v>481</v>
      </c>
      <c r="H3670" s="34">
        <v>5337</v>
      </c>
      <c r="I3670" s="34" t="s">
        <v>1358</v>
      </c>
      <c r="J3670" s="48"/>
      <c r="K3670" s="48"/>
      <c r="L3670" s="48"/>
      <c r="M3670" s="48"/>
      <c r="N3670" s="59"/>
      <c r="O3670" s="59">
        <v>40000</v>
      </c>
      <c r="P3670" s="59"/>
      <c r="Q3670" s="268">
        <f t="shared" si="172"/>
        <v>40000</v>
      </c>
      <c r="R3670" s="61">
        <f>IF(O3670=0,0,SUMIFS(Disbursements!$T:$T,Disbursements!$B:$B,'Live Collections'!D3670,Disbursements!$D:$D,'Live Collections'!F3670))</f>
        <v>40000</v>
      </c>
      <c r="S3670" s="304">
        <f>IF(O3670&lt;=IF($O3670=0,0,SUMIFS(Disbursements!$W:$W,Disbursements!$B:$B,'Live Collections'!D3670,Disbursements!$D:$D,'Live Collections'!F3670)),O3670,IF($O3670=0,0,SUMIFS(Disbursements!$W:$W,Disbursements!$B:$B,'Live Collections'!D3670,Disbursements!$D:$D,'Live Collections'!F3670)))</f>
        <v>10000</v>
      </c>
      <c r="T3670" s="304">
        <f t="shared" si="173"/>
        <v>30000</v>
      </c>
      <c r="U3670" s="52"/>
      <c r="V3670" s="34"/>
      <c r="W3670" s="408"/>
    </row>
    <row r="3671" spans="1:23" ht="12.75" customHeight="1" x14ac:dyDescent="0.2">
      <c r="A3671" s="257">
        <v>3681</v>
      </c>
      <c r="B3671" s="44">
        <v>44651</v>
      </c>
      <c r="C3671" s="44">
        <f t="shared" si="174"/>
        <v>44651</v>
      </c>
      <c r="D3671" s="374">
        <v>155</v>
      </c>
      <c r="E3671" s="291" t="str">
        <f>IFERROR(VLOOKUP($D3671,'Clients-Live'!$A:$C,3,0),"")</f>
        <v>AROMBORAC SIAMA</v>
      </c>
      <c r="F3671" s="291">
        <f>IFERROR(INDEX(Disbursements!$D:$D,MATCH('Live Collections'!G3671,Disbursements!$C:$C,0)),"")</f>
        <v>2</v>
      </c>
      <c r="G3671" s="34">
        <v>355</v>
      </c>
      <c r="H3671" s="34" t="s">
        <v>2271</v>
      </c>
      <c r="I3671" s="34" t="s">
        <v>1358</v>
      </c>
      <c r="J3671" s="48"/>
      <c r="K3671" s="48"/>
      <c r="L3671" s="48"/>
      <c r="M3671" s="48"/>
      <c r="N3671" s="59"/>
      <c r="O3671" s="59">
        <v>20000</v>
      </c>
      <c r="P3671" s="59">
        <v>-20000</v>
      </c>
      <c r="Q3671" s="268">
        <f t="shared" si="172"/>
        <v>0</v>
      </c>
      <c r="R3671" s="61">
        <f>IF(O3671=0,0,SUMIFS(Disbursements!$T:$T,Disbursements!$B:$B,'Live Collections'!D3671,Disbursements!$D:$D,'Live Collections'!F3671))</f>
        <v>77000</v>
      </c>
      <c r="S3671" s="304"/>
      <c r="T3671" s="304">
        <f t="shared" si="173"/>
        <v>20000</v>
      </c>
      <c r="U3671" s="52"/>
      <c r="V3671" s="34"/>
      <c r="W3671" s="408"/>
    </row>
    <row r="3672" spans="1:23" ht="12.75" customHeight="1" x14ac:dyDescent="0.2">
      <c r="A3672" s="257">
        <v>3682</v>
      </c>
      <c r="B3672" s="44">
        <v>44651</v>
      </c>
      <c r="C3672" s="44">
        <f t="shared" si="174"/>
        <v>44651</v>
      </c>
      <c r="D3672" s="374">
        <v>74</v>
      </c>
      <c r="E3672" s="291" t="str">
        <f>IFERROR(VLOOKUP($D3672,'Clients-Live'!$A:$C,3,0),"")</f>
        <v>YUKUWE AISHA</v>
      </c>
      <c r="F3672" s="291">
        <f>IFERROR(INDEX(Disbursements!$D:$D,MATCH('Live Collections'!G3672,Disbursements!$C:$C,0)),"")</f>
        <v>3</v>
      </c>
      <c r="G3672" s="34">
        <v>447</v>
      </c>
      <c r="H3672" s="34">
        <v>5399</v>
      </c>
      <c r="I3672" s="34" t="s">
        <v>1358</v>
      </c>
      <c r="J3672" s="48"/>
      <c r="K3672" s="48"/>
      <c r="L3672" s="48"/>
      <c r="M3672" s="48"/>
      <c r="N3672" s="59"/>
      <c r="O3672" s="59">
        <v>16000</v>
      </c>
      <c r="P3672" s="59"/>
      <c r="Q3672" s="268">
        <f t="shared" si="172"/>
        <v>16000</v>
      </c>
      <c r="R3672" s="61">
        <f>IF(O3672=0,0,SUMIFS(Disbursements!$T:$T,Disbursements!$B:$B,'Live Collections'!D3672,Disbursements!$D:$D,'Live Collections'!F3672))</f>
        <v>16000</v>
      </c>
      <c r="S3672" s="304">
        <f>IF(O3672&lt;=IF($O3672=0,0,SUMIFS(Disbursements!$W:$W,Disbursements!$B:$B,'Live Collections'!D3672,Disbursements!$D:$D,'Live Collections'!F3672)),O3672,IF($O3672=0,0,SUMIFS(Disbursements!$W:$W,Disbursements!$B:$B,'Live Collections'!D3672,Disbursements!$D:$D,'Live Collections'!F3672)))</f>
        <v>3500</v>
      </c>
      <c r="T3672" s="304">
        <f t="shared" si="173"/>
        <v>12500</v>
      </c>
      <c r="U3672" s="52"/>
      <c r="V3672" s="34"/>
      <c r="W3672" s="408"/>
    </row>
    <row r="3673" spans="1:23" ht="12.75" customHeight="1" x14ac:dyDescent="0.2">
      <c r="A3673" s="257">
        <v>3683</v>
      </c>
      <c r="B3673" s="44">
        <v>44651</v>
      </c>
      <c r="C3673" s="44">
        <f t="shared" si="174"/>
        <v>44651</v>
      </c>
      <c r="D3673" s="374">
        <v>189</v>
      </c>
      <c r="E3673" s="291" t="str">
        <f>IFERROR(VLOOKUP($D3673,'Clients-Live'!$A:$C,3,0),"")</f>
        <v>AYIDA SELUWA</v>
      </c>
      <c r="F3673" s="291">
        <f>IFERROR(INDEX(Disbursements!$D:$D,MATCH('Live Collections'!G3673,Disbursements!$C:$C,0)),"")</f>
        <v>2</v>
      </c>
      <c r="G3673" s="34">
        <v>401</v>
      </c>
      <c r="H3673" s="34">
        <v>5398</v>
      </c>
      <c r="I3673" s="34" t="s">
        <v>1359</v>
      </c>
      <c r="J3673" s="48"/>
      <c r="K3673" s="48"/>
      <c r="L3673" s="48"/>
      <c r="M3673" s="48"/>
      <c r="N3673" s="59"/>
      <c r="O3673" s="59">
        <v>45000</v>
      </c>
      <c r="P3673" s="59"/>
      <c r="Q3673" s="268">
        <f t="shared" si="172"/>
        <v>45000</v>
      </c>
      <c r="R3673" s="61">
        <f>IF(O3673=0,0,SUMIFS(Disbursements!$T:$T,Disbursements!$B:$B,'Live Collections'!D3673,Disbursements!$D:$D,'Live Collections'!F3673))</f>
        <v>34000</v>
      </c>
      <c r="S3673" s="304">
        <f>IF(O3673&lt;=IF($O3673=0,0,SUMIFS(Disbursements!$W:$W,Disbursements!$B:$B,'Live Collections'!D3673,Disbursements!$D:$D,'Live Collections'!F3673)),O3673,IF($O3673=0,0,SUMIFS(Disbursements!$W:$W,Disbursements!$B:$B,'Live Collections'!D3673,Disbursements!$D:$D,'Live Collections'!F3673)))</f>
        <v>9000</v>
      </c>
      <c r="T3673" s="304">
        <f t="shared" si="173"/>
        <v>36000</v>
      </c>
      <c r="U3673" s="52"/>
      <c r="V3673" s="34"/>
      <c r="W3673" s="408"/>
    </row>
    <row r="3674" spans="1:23" ht="12.75" customHeight="1" x14ac:dyDescent="0.2">
      <c r="A3674" s="257">
        <v>3684</v>
      </c>
      <c r="B3674" s="44">
        <v>44651</v>
      </c>
      <c r="C3674" s="44">
        <f t="shared" si="174"/>
        <v>44651</v>
      </c>
      <c r="D3674" s="374">
        <v>47</v>
      </c>
      <c r="E3674" s="291" t="str">
        <f>IFERROR(VLOOKUP($D3674,'Clients-Live'!$A:$C,3,0),"")</f>
        <v>DAWA AMINA</v>
      </c>
      <c r="F3674" s="291">
        <f>IFERROR(INDEX(Disbursements!$D:$D,MATCH('Live Collections'!G3674,Disbursements!$C:$C,0)),"")</f>
        <v>1</v>
      </c>
      <c r="G3674" s="34">
        <v>29</v>
      </c>
      <c r="H3674" s="34">
        <v>5347</v>
      </c>
      <c r="I3674" s="34" t="s">
        <v>1357</v>
      </c>
      <c r="J3674" s="48"/>
      <c r="K3674" s="48"/>
      <c r="L3674" s="48"/>
      <c r="M3674" s="48"/>
      <c r="N3674" s="59"/>
      <c r="O3674" s="59">
        <v>150000</v>
      </c>
      <c r="P3674" s="59"/>
      <c r="Q3674" s="268">
        <f t="shared" si="172"/>
        <v>150000</v>
      </c>
      <c r="R3674" s="61">
        <f>IF(O3674=0,0,SUMIFS(Disbursements!$T:$T,Disbursements!$B:$B,'Live Collections'!D3674,Disbursements!$D:$D,'Live Collections'!F3674))</f>
        <v>0</v>
      </c>
      <c r="S3674" s="304">
        <f>IF(O3674&lt;=IF($O3674=0,0,SUMIFS(Disbursements!$W:$W,Disbursements!$B:$B,'Live Collections'!D3674,Disbursements!$D:$D,'Live Collections'!F3674)),O3674,IF($O3674=0,0,SUMIFS(Disbursements!$W:$W,Disbursements!$B:$B,'Live Collections'!D3674,Disbursements!$D:$D,'Live Collections'!F3674)))</f>
        <v>0</v>
      </c>
      <c r="T3674" s="304">
        <f t="shared" si="173"/>
        <v>150000</v>
      </c>
      <c r="U3674" s="52"/>
      <c r="V3674" s="34"/>
      <c r="W3674" s="408"/>
    </row>
    <row r="3675" spans="1:23" ht="12.75" customHeight="1" x14ac:dyDescent="0.2">
      <c r="A3675" s="257">
        <v>3685</v>
      </c>
      <c r="B3675" s="44">
        <v>44651</v>
      </c>
      <c r="C3675" s="44">
        <f t="shared" si="174"/>
        <v>44651</v>
      </c>
      <c r="D3675" s="374">
        <v>6</v>
      </c>
      <c r="E3675" s="291" t="str">
        <f>IFERROR(VLOOKUP($D3675,'Clients-Live'!$A:$C,3,0),"")</f>
        <v>AMUTE BASHIR</v>
      </c>
      <c r="F3675" s="291">
        <f>IFERROR(INDEX(Disbursements!$D:$D,MATCH('Live Collections'!G3675,Disbursements!$C:$C,0)),"")</f>
        <v>3</v>
      </c>
      <c r="G3675" s="34">
        <v>418</v>
      </c>
      <c r="H3675" s="34">
        <v>5198</v>
      </c>
      <c r="I3675" s="34" t="s">
        <v>1358</v>
      </c>
      <c r="J3675" s="48"/>
      <c r="K3675" s="48"/>
      <c r="L3675" s="48"/>
      <c r="M3675" s="48"/>
      <c r="N3675" s="59"/>
      <c r="O3675" s="59">
        <v>100000</v>
      </c>
      <c r="P3675" s="59"/>
      <c r="Q3675" s="268">
        <f t="shared" si="172"/>
        <v>100000</v>
      </c>
      <c r="R3675" s="61">
        <f>IF(O3675=0,0,SUMIFS(Disbursements!$T:$T,Disbursements!$B:$B,'Live Collections'!D3675,Disbursements!$D:$D,'Live Collections'!F3675))</f>
        <v>1159000</v>
      </c>
      <c r="S3675" s="304">
        <f>IF(O3675&lt;=IF($O3675=0,0,SUMIFS(Disbursements!$W:$W,Disbursements!$B:$B,'Live Collections'!D3675,Disbursements!$D:$D,'Live Collections'!F3675)),O3675,IF($O3675=0,0,SUMIFS(Disbursements!$W:$W,Disbursements!$B:$B,'Live Collections'!D3675,Disbursements!$D:$D,'Live Collections'!F3675)))</f>
        <v>100000</v>
      </c>
      <c r="T3675" s="304">
        <f t="shared" si="173"/>
        <v>0</v>
      </c>
      <c r="U3675" s="52"/>
      <c r="V3675" s="34"/>
      <c r="W3675" s="408"/>
    </row>
    <row r="3676" spans="1:23" ht="12.75" customHeight="1" x14ac:dyDescent="0.2">
      <c r="A3676" s="257">
        <v>3686</v>
      </c>
      <c r="B3676" s="44">
        <v>44651</v>
      </c>
      <c r="C3676" s="44">
        <f t="shared" si="174"/>
        <v>44651</v>
      </c>
      <c r="D3676" s="374">
        <v>306</v>
      </c>
      <c r="E3676" s="291" t="str">
        <f>IFERROR(VLOOKUP($D3676,'Clients-Live'!$A:$C,3,0),"")</f>
        <v>DEPAYA MARY</v>
      </c>
      <c r="F3676" s="291">
        <f>IFERROR(INDEX(Disbursements!$D:$D,MATCH('Live Collections'!G3676,Disbursements!$C:$C,0)),"")</f>
        <v>1</v>
      </c>
      <c r="G3676" s="34">
        <v>416</v>
      </c>
      <c r="H3676" s="34">
        <v>5346</v>
      </c>
      <c r="I3676" s="34" t="s">
        <v>1359</v>
      </c>
      <c r="J3676" s="48"/>
      <c r="K3676" s="48"/>
      <c r="L3676" s="48"/>
      <c r="M3676" s="48"/>
      <c r="N3676" s="59"/>
      <c r="O3676" s="59">
        <v>50000</v>
      </c>
      <c r="P3676" s="59"/>
      <c r="Q3676" s="268">
        <f t="shared" si="172"/>
        <v>50000</v>
      </c>
      <c r="R3676" s="61">
        <f>IF(O3676=0,0,SUMIFS(Disbursements!$T:$T,Disbursements!$B:$B,'Live Collections'!D3676,Disbursements!$D:$D,'Live Collections'!F3676))</f>
        <v>58000</v>
      </c>
      <c r="S3676" s="304">
        <f>IF(O3676&lt;=IF($O3676=0,0,SUMIFS(Disbursements!$W:$W,Disbursements!$B:$B,'Live Collections'!D3676,Disbursements!$D:$D,'Live Collections'!F3676)),O3676,IF($O3676=0,0,SUMIFS(Disbursements!$W:$W,Disbursements!$B:$B,'Live Collections'!D3676,Disbursements!$D:$D,'Live Collections'!F3676)))</f>
        <v>16333.333333333336</v>
      </c>
      <c r="T3676" s="304">
        <f t="shared" si="173"/>
        <v>33666.666666666664</v>
      </c>
      <c r="U3676" s="52"/>
      <c r="V3676" s="34"/>
      <c r="W3676" s="408"/>
    </row>
    <row r="3677" spans="1:23" ht="12.75" customHeight="1" x14ac:dyDescent="0.2">
      <c r="A3677" s="257">
        <v>3687</v>
      </c>
      <c r="B3677" s="44">
        <v>44651</v>
      </c>
      <c r="C3677" s="44">
        <f t="shared" si="174"/>
        <v>44651</v>
      </c>
      <c r="D3677" s="374">
        <v>292</v>
      </c>
      <c r="E3677" s="291" t="str">
        <f>IFERROR(VLOOKUP($D3677,'Clients-Live'!$A:$C,3,0),"")</f>
        <v>AFEKU DENIS</v>
      </c>
      <c r="F3677" s="291">
        <f>IFERROR(INDEX(Disbursements!$D:$D,MATCH('Live Collections'!G3677,Disbursements!$C:$C,0)),"")</f>
        <v>1</v>
      </c>
      <c r="G3677" s="34">
        <v>368</v>
      </c>
      <c r="H3677" s="34">
        <v>5345</v>
      </c>
      <c r="I3677" s="34" t="s">
        <v>1359</v>
      </c>
      <c r="J3677" s="48"/>
      <c r="K3677" s="48"/>
      <c r="L3677" s="48"/>
      <c r="M3677" s="48"/>
      <c r="N3677" s="59"/>
      <c r="O3677" s="59">
        <v>1000000</v>
      </c>
      <c r="P3677" s="59"/>
      <c r="Q3677" s="268">
        <f t="shared" si="172"/>
        <v>1000000</v>
      </c>
      <c r="R3677" s="61">
        <f>IF(O3677=0,0,SUMIFS(Disbursements!$T:$T,Disbursements!$B:$B,'Live Collections'!D3677,Disbursements!$D:$D,'Live Collections'!F3677))</f>
        <v>2600000</v>
      </c>
      <c r="S3677" s="304">
        <f>IF(O3677&lt;=IF($O3677=0,0,SUMIFS(Disbursements!$W:$W,Disbursements!$B:$B,'Live Collections'!D3677,Disbursements!$D:$D,'Live Collections'!F3677)),O3677,IF($O3677=0,0,SUMIFS(Disbursements!$W:$W,Disbursements!$B:$B,'Live Collections'!D3677,Disbursements!$D:$D,'Live Collections'!F3677)))</f>
        <v>600000</v>
      </c>
      <c r="T3677" s="304">
        <f t="shared" si="173"/>
        <v>400000</v>
      </c>
      <c r="U3677" s="52"/>
      <c r="V3677" s="34"/>
      <c r="W3677" s="408"/>
    </row>
    <row r="3678" spans="1:23" ht="12.75" customHeight="1" x14ac:dyDescent="0.2">
      <c r="A3678" s="257">
        <v>3688</v>
      </c>
      <c r="B3678" s="44">
        <v>44651</v>
      </c>
      <c r="C3678" s="44">
        <f t="shared" si="174"/>
        <v>44651</v>
      </c>
      <c r="D3678" s="374">
        <v>14</v>
      </c>
      <c r="E3678" s="291" t="str">
        <f>IFERROR(VLOOKUP($D3678,'Clients-Live'!$A:$C,3,0),"")</f>
        <v>ASIKU ROMANO ADEBUA</v>
      </c>
      <c r="F3678" s="291">
        <f>IFERROR(INDEX(Disbursements!$D:$D,MATCH('Live Collections'!G3678,Disbursements!$C:$C,0)),"")</f>
        <v>1</v>
      </c>
      <c r="G3678" s="34">
        <v>5</v>
      </c>
      <c r="H3678" s="34">
        <v>5348</v>
      </c>
      <c r="I3678" s="34" t="s">
        <v>1357</v>
      </c>
      <c r="J3678" s="48"/>
      <c r="K3678" s="48"/>
      <c r="L3678" s="48"/>
      <c r="M3678" s="48"/>
      <c r="N3678" s="59"/>
      <c r="O3678" s="59">
        <v>180000</v>
      </c>
      <c r="P3678" s="59"/>
      <c r="Q3678" s="268">
        <f t="shared" si="172"/>
        <v>180000</v>
      </c>
      <c r="R3678" s="61">
        <f>IF(O3678=0,0,SUMIFS(Disbursements!$T:$T,Disbursements!$B:$B,'Live Collections'!D3678,Disbursements!$D:$D,'Live Collections'!F3678))</f>
        <v>217000</v>
      </c>
      <c r="S3678" s="304">
        <f>IF(O3678&lt;=IF($O3678=0,0,SUMIFS(Disbursements!$W:$W,Disbursements!$B:$B,'Live Collections'!D3678,Disbursements!$D:$D,'Live Collections'!F3678)),O3678,IF($O3678=0,0,SUMIFS(Disbursements!$W:$W,Disbursements!$B:$B,'Live Collections'!D3678,Disbursements!$D:$D,'Live Collections'!F3678)))</f>
        <v>50333.333333333343</v>
      </c>
      <c r="T3678" s="304">
        <f t="shared" si="173"/>
        <v>129666.66666666666</v>
      </c>
      <c r="U3678" s="52"/>
      <c r="V3678" s="34"/>
      <c r="W3678" s="408"/>
    </row>
    <row r="3679" spans="1:23" ht="12.75" customHeight="1" x14ac:dyDescent="0.2">
      <c r="A3679" s="257">
        <v>3689</v>
      </c>
      <c r="B3679" s="44">
        <v>44651</v>
      </c>
      <c r="C3679" s="44">
        <f t="shared" si="174"/>
        <v>44651</v>
      </c>
      <c r="D3679" s="374">
        <v>324</v>
      </c>
      <c r="E3679" s="291" t="str">
        <f>IFERROR(VLOOKUP($D3679,'Clients-Live'!$A:$C,3,0),"")</f>
        <v>ARIKE KOKOLE YASSIN</v>
      </c>
      <c r="F3679" s="291">
        <f>IFERROR(INDEX(Disbursements!$D:$D,MATCH('Live Collections'!G3679,Disbursements!$C:$C,0)),"")</f>
        <v>1</v>
      </c>
      <c r="G3679" s="34">
        <v>450</v>
      </c>
      <c r="H3679" s="34">
        <v>5199</v>
      </c>
      <c r="I3679" s="34" t="s">
        <v>1357</v>
      </c>
      <c r="J3679" s="48"/>
      <c r="K3679" s="48"/>
      <c r="L3679" s="48"/>
      <c r="M3679" s="48"/>
      <c r="N3679" s="59"/>
      <c r="O3679" s="59">
        <v>60000</v>
      </c>
      <c r="P3679" s="59"/>
      <c r="Q3679" s="268">
        <f t="shared" si="172"/>
        <v>60000</v>
      </c>
      <c r="R3679" s="61">
        <f>IF(O3679=0,0,SUMIFS(Disbursements!$T:$T,Disbursements!$B:$B,'Live Collections'!D3679,Disbursements!$D:$D,'Live Collections'!F3679))</f>
        <v>58000</v>
      </c>
      <c r="S3679" s="304">
        <f>IF(O3679&lt;=IF($O3679=0,0,SUMIFS(Disbursements!$W:$W,Disbursements!$B:$B,'Live Collections'!D3679,Disbursements!$D:$D,'Live Collections'!F3679)),O3679,IF($O3679=0,0,SUMIFS(Disbursements!$W:$W,Disbursements!$B:$B,'Live Collections'!D3679,Disbursements!$D:$D,'Live Collections'!F3679)))</f>
        <v>16333.333333333336</v>
      </c>
      <c r="T3679" s="304">
        <f t="shared" si="173"/>
        <v>43666.666666666664</v>
      </c>
      <c r="U3679" s="52"/>
      <c r="V3679" s="34"/>
      <c r="W3679" s="408"/>
    </row>
    <row r="3680" spans="1:23" ht="12.75" customHeight="1" x14ac:dyDescent="0.2">
      <c r="A3680" s="257">
        <v>3690</v>
      </c>
      <c r="B3680" s="44">
        <v>44651</v>
      </c>
      <c r="C3680" s="44">
        <f t="shared" si="174"/>
        <v>44651</v>
      </c>
      <c r="D3680" s="374">
        <v>155</v>
      </c>
      <c r="E3680" s="291" t="str">
        <f>IFERROR(VLOOKUP($D3680,'Clients-Live'!$A:$C,3,0),"")</f>
        <v>AROMBORAC SIAMA</v>
      </c>
      <c r="F3680" s="291">
        <f>IFERROR(INDEX(Disbursements!$D:$D,MATCH('Live Collections'!G3680,Disbursements!$C:$C,0)),"")</f>
        <v>2</v>
      </c>
      <c r="G3680" s="34">
        <v>355</v>
      </c>
      <c r="H3680" s="34">
        <v>5349</v>
      </c>
      <c r="I3680" s="34" t="s">
        <v>1358</v>
      </c>
      <c r="J3680" s="48"/>
      <c r="K3680" s="48"/>
      <c r="L3680" s="48"/>
      <c r="M3680" s="48"/>
      <c r="N3680" s="59"/>
      <c r="O3680" s="59">
        <v>23500</v>
      </c>
      <c r="P3680" s="59"/>
      <c r="Q3680" s="268">
        <f t="shared" si="172"/>
        <v>23500</v>
      </c>
      <c r="R3680" s="61">
        <f>IF(O3680=0,0,SUMIFS(Disbursements!$T:$T,Disbursements!$B:$B,'Live Collections'!D3680,Disbursements!$D:$D,'Live Collections'!F3680))</f>
        <v>77000</v>
      </c>
      <c r="S3680" s="304"/>
      <c r="T3680" s="304">
        <f t="shared" si="173"/>
        <v>23500</v>
      </c>
      <c r="U3680" s="52"/>
      <c r="V3680" s="34"/>
      <c r="W3680" s="408"/>
    </row>
    <row r="3681" spans="1:23" ht="12.75" customHeight="1" x14ac:dyDescent="0.2">
      <c r="A3681" s="257">
        <v>3691</v>
      </c>
      <c r="B3681" s="44">
        <v>44651</v>
      </c>
      <c r="C3681" s="44">
        <f t="shared" si="174"/>
        <v>44651</v>
      </c>
      <c r="D3681" s="374">
        <v>177</v>
      </c>
      <c r="E3681" s="291" t="str">
        <f>IFERROR(VLOOKUP($D3681,'Clients-Live'!$A:$C,3,0),"")</f>
        <v>EFIT GIFT</v>
      </c>
      <c r="F3681" s="291">
        <f>IFERROR(INDEX(Disbursements!$D:$D,MATCH('Live Collections'!G3681,Disbursements!$C:$C,0)),"")</f>
        <v>2</v>
      </c>
      <c r="G3681" s="34">
        <v>444</v>
      </c>
      <c r="H3681" s="34">
        <v>5397</v>
      </c>
      <c r="I3681" s="34" t="s">
        <v>1358</v>
      </c>
      <c r="J3681" s="48"/>
      <c r="K3681" s="48"/>
      <c r="L3681" s="48"/>
      <c r="M3681" s="48"/>
      <c r="N3681" s="59"/>
      <c r="O3681" s="59">
        <v>80000</v>
      </c>
      <c r="P3681" s="59"/>
      <c r="Q3681" s="268">
        <f t="shared" si="172"/>
        <v>80000</v>
      </c>
      <c r="R3681" s="61">
        <f>IF(O3681=0,0,SUMIFS(Disbursements!$T:$T,Disbursements!$B:$B,'Live Collections'!D3681,Disbursements!$D:$D,'Live Collections'!F3681))</f>
        <v>87000</v>
      </c>
      <c r="S3681" s="304">
        <f>IF(O3681&lt;=IF($O3681=0,0,SUMIFS(Disbursements!$W:$W,Disbursements!$B:$B,'Live Collections'!D3681,Disbursements!$D:$D,'Live Collections'!F3681)),O3681,IF($O3681=0,0,SUMIFS(Disbursements!$W:$W,Disbursements!$B:$B,'Live Collections'!D3681,Disbursements!$D:$D,'Live Collections'!F3681)))</f>
        <v>24500</v>
      </c>
      <c r="T3681" s="304">
        <f t="shared" si="173"/>
        <v>55500</v>
      </c>
      <c r="U3681" s="52"/>
      <c r="V3681" s="34"/>
      <c r="W3681" s="408"/>
    </row>
    <row r="3682" spans="1:23" ht="12.75" customHeight="1" x14ac:dyDescent="0.2">
      <c r="A3682" s="257">
        <v>3692</v>
      </c>
      <c r="B3682" s="44">
        <v>44651</v>
      </c>
      <c r="C3682" s="44">
        <f t="shared" si="174"/>
        <v>44651</v>
      </c>
      <c r="D3682" s="374">
        <v>19</v>
      </c>
      <c r="E3682" s="291" t="str">
        <f>IFERROR(VLOOKUP($D3682,'Clients-Live'!$A:$C,3,0),"")</f>
        <v>ANGUPARU MOLLY</v>
      </c>
      <c r="F3682" s="291">
        <f>IFERROR(INDEX(Disbursements!$D:$D,MATCH('Live Collections'!G3682,Disbursements!$C:$C,0)),"")</f>
        <v>2</v>
      </c>
      <c r="G3682" s="34">
        <v>152</v>
      </c>
      <c r="H3682" s="34">
        <v>5396</v>
      </c>
      <c r="I3682" s="34" t="s">
        <v>1358</v>
      </c>
      <c r="J3682" s="48"/>
      <c r="K3682" s="48"/>
      <c r="L3682" s="48"/>
      <c r="M3682" s="48"/>
      <c r="N3682" s="59"/>
      <c r="O3682" s="59">
        <v>40000</v>
      </c>
      <c r="P3682" s="59"/>
      <c r="Q3682" s="268">
        <f t="shared" si="172"/>
        <v>40000</v>
      </c>
      <c r="R3682" s="61">
        <f>IF(O3682=0,0,SUMIFS(Disbursements!$T:$T,Disbursements!$B:$B,'Live Collections'!D3682,Disbursements!$D:$D,'Live Collections'!F3682))</f>
        <v>210000</v>
      </c>
      <c r="S3682" s="304">
        <v>9000</v>
      </c>
      <c r="T3682" s="304">
        <f t="shared" si="173"/>
        <v>31000</v>
      </c>
      <c r="U3682" s="52"/>
      <c r="V3682" s="34"/>
      <c r="W3682" s="408"/>
    </row>
    <row r="3683" spans="1:23" ht="12.75" customHeight="1" x14ac:dyDescent="0.2">
      <c r="A3683" s="257">
        <v>3693</v>
      </c>
      <c r="B3683" s="44">
        <v>44652</v>
      </c>
      <c r="C3683" s="44">
        <f t="shared" si="174"/>
        <v>44652</v>
      </c>
      <c r="D3683" s="374">
        <v>272</v>
      </c>
      <c r="E3683" s="291" t="str">
        <f>IFERROR(VLOOKUP($D3683,'Clients-Live'!$A:$C,3,0),"")</f>
        <v>AFEKU EMMANUEL</v>
      </c>
      <c r="F3683" s="291">
        <f>IFERROR(INDEX(Disbursements!$D:$D,MATCH('Live Collections'!G3683,Disbursements!$C:$C,0)),"")</f>
        <v>1</v>
      </c>
      <c r="G3683" s="34">
        <v>331</v>
      </c>
      <c r="H3683" s="34">
        <v>5706</v>
      </c>
      <c r="I3683" s="34" t="s">
        <v>1359</v>
      </c>
      <c r="J3683" s="48"/>
      <c r="K3683" s="48"/>
      <c r="L3683" s="48"/>
      <c r="M3683" s="48"/>
      <c r="N3683" s="59"/>
      <c r="O3683" s="59">
        <v>88000</v>
      </c>
      <c r="P3683" s="59"/>
      <c r="Q3683" s="268">
        <f t="shared" si="172"/>
        <v>88000</v>
      </c>
      <c r="R3683" s="61">
        <f>IF(O3683=0,0,SUMIFS(Disbursements!$T:$T,Disbursements!$B:$B,'Live Collections'!D3683,Disbursements!$D:$D,'Live Collections'!F3683))</f>
        <v>120000</v>
      </c>
      <c r="S3683" s="304">
        <f>IF(O3683&lt;=IF($O3683=0,0,SUMIFS(Disbursements!$W:$W,Disbursements!$B:$B,'Live Collections'!D3683,Disbursements!$D:$D,'Live Collections'!F3683)),O3683,IF($O3683=0,0,SUMIFS(Disbursements!$W:$W,Disbursements!$B:$B,'Live Collections'!D3683,Disbursements!$D:$D,'Live Collections'!F3683)))</f>
        <v>20000</v>
      </c>
      <c r="T3683" s="304">
        <f t="shared" si="173"/>
        <v>68000</v>
      </c>
      <c r="U3683" s="52"/>
      <c r="V3683" s="34"/>
      <c r="W3683" s="408"/>
    </row>
    <row r="3684" spans="1:23" ht="12.75" customHeight="1" x14ac:dyDescent="0.2">
      <c r="A3684" s="257">
        <v>3694</v>
      </c>
      <c r="B3684" s="44">
        <v>44652</v>
      </c>
      <c r="C3684" s="44">
        <f t="shared" si="174"/>
        <v>44652</v>
      </c>
      <c r="D3684" s="374">
        <v>272</v>
      </c>
      <c r="E3684" s="291" t="str">
        <f>IFERROR(VLOOKUP($D3684,'Clients-Live'!$A:$C,3,0),"")</f>
        <v>AFEKU EMMANUEL</v>
      </c>
      <c r="F3684" s="291">
        <f>IFERROR(INDEX(Disbursements!$D:$D,MATCH('Live Collections'!G3684,Disbursements!$C:$C,0)),"")</f>
        <v>1</v>
      </c>
      <c r="G3684" s="34">
        <v>331</v>
      </c>
      <c r="H3684" s="34" t="s">
        <v>2279</v>
      </c>
      <c r="I3684" s="34" t="s">
        <v>1359</v>
      </c>
      <c r="J3684" s="48"/>
      <c r="K3684" s="48"/>
      <c r="L3684" s="48"/>
      <c r="M3684" s="48"/>
      <c r="N3684" s="59"/>
      <c r="O3684" s="59">
        <v>40000</v>
      </c>
      <c r="P3684" s="59">
        <v>-40000</v>
      </c>
      <c r="Q3684" s="268">
        <f t="shared" si="172"/>
        <v>0</v>
      </c>
      <c r="R3684" s="61">
        <f>IF(O3684=0,0,SUMIFS(Disbursements!$T:$T,Disbursements!$B:$B,'Live Collections'!D3684,Disbursements!$D:$D,'Live Collections'!F3684))</f>
        <v>120000</v>
      </c>
      <c r="S3684" s="64">
        <v>4916.6666666666715</v>
      </c>
      <c r="T3684" s="304">
        <f t="shared" si="173"/>
        <v>35083.333333333328</v>
      </c>
      <c r="U3684" s="52"/>
      <c r="V3684" s="34"/>
      <c r="W3684" s="408"/>
    </row>
    <row r="3685" spans="1:23" ht="12.75" customHeight="1" x14ac:dyDescent="0.2">
      <c r="A3685" s="257">
        <v>3695</v>
      </c>
      <c r="B3685" s="44">
        <v>44652</v>
      </c>
      <c r="C3685" s="44">
        <f t="shared" si="174"/>
        <v>44652</v>
      </c>
      <c r="D3685" s="374">
        <v>116</v>
      </c>
      <c r="E3685" s="291" t="str">
        <f>IFERROR(VLOOKUP($D3685,'Clients-Live'!$A:$C,3,0),"")</f>
        <v>ONZIA LUCY</v>
      </c>
      <c r="F3685" s="291">
        <f>IFERROR(INDEX(Disbursements!$D:$D,MATCH('Live Collections'!G3685,Disbursements!$C:$C,0)),"")</f>
        <v>3</v>
      </c>
      <c r="G3685" s="34">
        <v>361</v>
      </c>
      <c r="H3685" s="34">
        <v>5721</v>
      </c>
      <c r="I3685" s="34" t="s">
        <v>1357</v>
      </c>
      <c r="J3685" s="48"/>
      <c r="K3685" s="48"/>
      <c r="L3685" s="48"/>
      <c r="M3685" s="48"/>
      <c r="N3685" s="59"/>
      <c r="O3685" s="59">
        <v>32000</v>
      </c>
      <c r="P3685" s="59"/>
      <c r="Q3685" s="268">
        <f t="shared" si="172"/>
        <v>32000</v>
      </c>
      <c r="R3685" s="61">
        <f>IF(O3685=0,0,SUMIFS(Disbursements!$T:$T,Disbursements!$B:$B,'Live Collections'!D3685,Disbursements!$D:$D,'Live Collections'!F3685))</f>
        <v>120000</v>
      </c>
      <c r="S3685" s="304"/>
      <c r="T3685" s="304">
        <f t="shared" si="173"/>
        <v>32000</v>
      </c>
      <c r="U3685" s="52"/>
      <c r="V3685" s="34"/>
      <c r="W3685" s="408"/>
    </row>
    <row r="3686" spans="1:23" ht="12.75" customHeight="1" x14ac:dyDescent="0.2">
      <c r="A3686" s="257">
        <v>3696</v>
      </c>
      <c r="B3686" s="44">
        <v>44652</v>
      </c>
      <c r="C3686" s="44">
        <f t="shared" si="174"/>
        <v>44652</v>
      </c>
      <c r="D3686" s="374">
        <v>9</v>
      </c>
      <c r="E3686" s="291" t="str">
        <f>IFERROR(VLOOKUP($D3686,'Clients-Live'!$A:$C,3,0),"")</f>
        <v>TABAN DAVID YAYA</v>
      </c>
      <c r="F3686" s="291">
        <f>IFERROR(INDEX(Disbursements!$D:$D,MATCH('Live Collections'!G3686,Disbursements!$C:$C,0)),"")</f>
        <v>3</v>
      </c>
      <c r="G3686" s="34">
        <v>423</v>
      </c>
      <c r="H3686" s="34">
        <v>5722</v>
      </c>
      <c r="I3686" s="34" t="s">
        <v>1357</v>
      </c>
      <c r="J3686" s="48"/>
      <c r="K3686" s="48"/>
      <c r="L3686" s="48"/>
      <c r="M3686" s="48"/>
      <c r="N3686" s="59"/>
      <c r="O3686" s="59">
        <v>89000</v>
      </c>
      <c r="P3686" s="59"/>
      <c r="Q3686" s="268">
        <f t="shared" si="172"/>
        <v>89000</v>
      </c>
      <c r="R3686" s="61">
        <f>IF(O3686=0,0,SUMIFS(Disbursements!$T:$T,Disbursements!$B:$B,'Live Collections'!D3686,Disbursements!$D:$D,'Live Collections'!F3686))</f>
        <v>189000</v>
      </c>
      <c r="S3686" s="304">
        <f>IF(O3686&lt;=IF($O3686=0,0,SUMIFS(Disbursements!$W:$W,Disbursements!$B:$B,'Live Collections'!D881,Disbursements!$D:$D,'Live Collections'!F881)),O3686,IF($O3686=0,0,SUMIFS(Disbursements!$W:$W,Disbursements!$B:$B,'Live Collections'!D881,Disbursements!$D:$D,'Live Collections'!F881)))</f>
        <v>20666.666666666657</v>
      </c>
      <c r="T3686" s="304">
        <f t="shared" si="173"/>
        <v>68333.333333333343</v>
      </c>
      <c r="U3686" s="52"/>
      <c r="V3686" s="34"/>
      <c r="W3686" s="408"/>
    </row>
    <row r="3687" spans="1:23" ht="12.75" customHeight="1" x14ac:dyDescent="0.2">
      <c r="A3687" s="257">
        <v>3697</v>
      </c>
      <c r="B3687" s="44">
        <v>44652</v>
      </c>
      <c r="C3687" s="44">
        <f t="shared" si="174"/>
        <v>44652</v>
      </c>
      <c r="D3687" s="374">
        <v>276</v>
      </c>
      <c r="E3687" s="291" t="str">
        <f>IFERROR(VLOOKUP($D3687,'Clients-Live'!$A:$C,3,0),"")</f>
        <v>MANDELA SWAIBU</v>
      </c>
      <c r="F3687" s="291">
        <f>IFERROR(INDEX(Disbursements!$D:$D,MATCH('Live Collections'!G3687,Disbursements!$C:$C,0)),"")</f>
        <v>1</v>
      </c>
      <c r="G3687" s="34">
        <v>358</v>
      </c>
      <c r="H3687" s="34">
        <v>5723</v>
      </c>
      <c r="I3687" s="34" t="s">
        <v>1359</v>
      </c>
      <c r="J3687" s="48"/>
      <c r="K3687" s="48"/>
      <c r="L3687" s="48"/>
      <c r="M3687" s="48"/>
      <c r="N3687" s="59"/>
      <c r="O3687" s="59">
        <v>40000</v>
      </c>
      <c r="P3687" s="59"/>
      <c r="Q3687" s="268">
        <f t="shared" si="172"/>
        <v>40000</v>
      </c>
      <c r="R3687" s="61">
        <f>IF(O3687=0,0,SUMIFS(Disbursements!$T:$T,Disbursements!$B:$B,'Live Collections'!D3687,Disbursements!$D:$D,'Live Collections'!F3687))</f>
        <v>325000</v>
      </c>
      <c r="S3687" s="304">
        <f>IF(O3687&lt;=IF($O3687=0,0,SUMIFS(Disbursements!$W:$W,Disbursements!$B:$B,'Live Collections'!D3687,Disbursements!$D:$D,'Live Collections'!F3687)),O3687,IF($O3687=0,0,SUMIFS(Disbursements!$W:$W,Disbursements!$B:$B,'Live Collections'!D3687,Disbursements!$D:$D,'Live Collections'!F3687)))</f>
        <v>40000</v>
      </c>
      <c r="T3687" s="304">
        <f t="shared" si="173"/>
        <v>0</v>
      </c>
      <c r="U3687" s="52"/>
      <c r="V3687" s="34"/>
      <c r="W3687" s="408"/>
    </row>
    <row r="3688" spans="1:23" ht="12.75" customHeight="1" x14ac:dyDescent="0.2">
      <c r="A3688" s="257">
        <v>3698</v>
      </c>
      <c r="B3688" s="44">
        <v>44652</v>
      </c>
      <c r="C3688" s="44">
        <f t="shared" si="174"/>
        <v>44652</v>
      </c>
      <c r="D3688" s="374">
        <v>238</v>
      </c>
      <c r="E3688" s="291" t="str">
        <f>IFERROR(VLOOKUP($D3688,'Clients-Live'!$A:$C,3,0),"")</f>
        <v>ANGAIKA SAID</v>
      </c>
      <c r="F3688" s="291">
        <f>IFERROR(INDEX(Disbursements!$D:$D,MATCH('Live Collections'!G3688,Disbursements!$C:$C,0)),"")</f>
        <v>2</v>
      </c>
      <c r="G3688" s="34">
        <v>441</v>
      </c>
      <c r="H3688" s="34">
        <v>5725</v>
      </c>
      <c r="I3688" s="34" t="s">
        <v>1359</v>
      </c>
      <c r="J3688" s="48"/>
      <c r="K3688" s="48"/>
      <c r="L3688" s="48"/>
      <c r="M3688" s="48"/>
      <c r="N3688" s="59"/>
      <c r="O3688" s="59">
        <v>40000</v>
      </c>
      <c r="P3688" s="59"/>
      <c r="Q3688" s="268">
        <f t="shared" si="172"/>
        <v>40000</v>
      </c>
      <c r="R3688" s="61">
        <f>IF(O3688=0,0,SUMIFS(Disbursements!$T:$T,Disbursements!$B:$B,'Live Collections'!D3688,Disbursements!$D:$D,'Live Collections'!F3688))</f>
        <v>41000</v>
      </c>
      <c r="S3688" s="304">
        <f>IF(O3688&lt;=IF($O3688=0,0,SUMIFS(Disbursements!$W:$W,Disbursements!$B:$B,'Live Collections'!D3688,Disbursements!$D:$D,'Live Collections'!F3688)),O3688,IF($O3688=0,0,SUMIFS(Disbursements!$W:$W,Disbursements!$B:$B,'Live Collections'!D3688,Disbursements!$D:$D,'Live Collections'!F3688)))</f>
        <v>11833.333333333332</v>
      </c>
      <c r="T3688" s="304">
        <f t="shared" si="173"/>
        <v>28166.666666666668</v>
      </c>
      <c r="U3688" s="52"/>
      <c r="V3688" s="34"/>
      <c r="W3688" s="408"/>
    </row>
    <row r="3689" spans="1:23" ht="12.75" customHeight="1" x14ac:dyDescent="0.2">
      <c r="A3689" s="257">
        <v>3699</v>
      </c>
      <c r="B3689" s="44">
        <v>44652</v>
      </c>
      <c r="C3689" s="44">
        <f t="shared" si="174"/>
        <v>44652</v>
      </c>
      <c r="D3689" s="374">
        <v>70</v>
      </c>
      <c r="E3689" s="291" t="str">
        <f>IFERROR(VLOOKUP($D3689,'Clients-Live'!$A:$C,3,0),"")</f>
        <v>BUGA ALIKIA PHILLIP</v>
      </c>
      <c r="F3689" s="291">
        <f>IFERROR(INDEX(Disbursements!$D:$D,MATCH('Live Collections'!G3689,Disbursements!$C:$C,0)),"")</f>
        <v>2</v>
      </c>
      <c r="G3689" s="34">
        <v>299</v>
      </c>
      <c r="H3689" s="34">
        <v>5724</v>
      </c>
      <c r="I3689" s="34" t="s">
        <v>1358</v>
      </c>
      <c r="J3689" s="48"/>
      <c r="K3689" s="48"/>
      <c r="L3689" s="48"/>
      <c r="M3689" s="48"/>
      <c r="N3689" s="59"/>
      <c r="O3689" s="59">
        <v>200000</v>
      </c>
      <c r="P3689" s="59"/>
      <c r="Q3689" s="268">
        <f t="shared" si="172"/>
        <v>200000</v>
      </c>
      <c r="R3689" s="61">
        <f>IF(O3689=0,0,SUMIFS(Disbursements!$T:$T,Disbursements!$B:$B,'Live Collections'!D3689,Disbursements!$D:$D,'Live Collections'!F3689))</f>
        <v>260000</v>
      </c>
      <c r="S3689" s="304"/>
      <c r="T3689" s="304">
        <f t="shared" si="173"/>
        <v>200000</v>
      </c>
      <c r="U3689" s="52"/>
      <c r="V3689" s="34"/>
      <c r="W3689" s="408"/>
    </row>
    <row r="3690" spans="1:23" ht="12.75" customHeight="1" x14ac:dyDescent="0.2">
      <c r="A3690" s="257">
        <v>3700</v>
      </c>
      <c r="B3690" s="44">
        <v>44652</v>
      </c>
      <c r="C3690" s="44">
        <f t="shared" si="174"/>
        <v>44652</v>
      </c>
      <c r="D3690" s="374">
        <v>14</v>
      </c>
      <c r="E3690" s="291" t="str">
        <f>IFERROR(VLOOKUP($D3690,'Clients-Live'!$A:$C,3,0),"")</f>
        <v>ASIKU ROMANO ADEBUA</v>
      </c>
      <c r="F3690" s="291">
        <f>IFERROR(INDEX(Disbursements!$D:$D,MATCH('Live Collections'!G3690,Disbursements!$C:$C,0)),"")</f>
        <v>1</v>
      </c>
      <c r="G3690" s="34">
        <v>5</v>
      </c>
      <c r="H3690" s="34">
        <v>5726</v>
      </c>
      <c r="I3690" s="34" t="s">
        <v>1357</v>
      </c>
      <c r="J3690" s="48"/>
      <c r="K3690" s="48"/>
      <c r="L3690" s="48"/>
      <c r="M3690" s="48"/>
      <c r="N3690" s="59"/>
      <c r="O3690" s="59">
        <v>152000</v>
      </c>
      <c r="P3690" s="59"/>
      <c r="Q3690" s="268">
        <f t="shared" si="172"/>
        <v>152000</v>
      </c>
      <c r="R3690" s="61">
        <f>IF(O3690=0,0,SUMIFS(Disbursements!$T:$T,Disbursements!$B:$B,'Live Collections'!D3690,Disbursements!$D:$D,'Live Collections'!F3690))</f>
        <v>217000</v>
      </c>
      <c r="S3690" s="304">
        <f>IF(O3690&lt;=IF($O3690=0,0,SUMIFS(Disbursements!$W:$W,Disbursements!$B:$B,'Live Collections'!D3690,Disbursements!$D:$D,'Live Collections'!F3690)),O3690,IF($O3690=0,0,SUMIFS(Disbursements!$W:$W,Disbursements!$B:$B,'Live Collections'!D3690,Disbursements!$D:$D,'Live Collections'!F3690)))</f>
        <v>50333.333333333343</v>
      </c>
      <c r="T3690" s="304">
        <f t="shared" si="173"/>
        <v>101666.66666666666</v>
      </c>
      <c r="U3690" s="52"/>
      <c r="V3690" s="34"/>
      <c r="W3690" s="408"/>
    </row>
    <row r="3691" spans="1:23" ht="12.75" customHeight="1" x14ac:dyDescent="0.2">
      <c r="A3691" s="257">
        <v>3701</v>
      </c>
      <c r="B3691" s="44">
        <v>44652</v>
      </c>
      <c r="C3691" s="44">
        <f t="shared" si="174"/>
        <v>44652</v>
      </c>
      <c r="D3691" s="374">
        <v>350</v>
      </c>
      <c r="E3691" s="291" t="str">
        <f>IFERROR(VLOOKUP($D3691,'Clients-Live'!$A:$C,3,0),"")</f>
        <v>YEKA EMMANUEL</v>
      </c>
      <c r="F3691" s="291" t="str">
        <f>IFERROR(INDEX(Disbursements!$D:$D,MATCH('Live Collections'!G3691,Disbursements!$C:$C,0)),"")</f>
        <v/>
      </c>
      <c r="G3691" s="34"/>
      <c r="H3691" s="34">
        <v>5704</v>
      </c>
      <c r="I3691" s="34" t="s">
        <v>1760</v>
      </c>
      <c r="J3691" s="48">
        <v>15000</v>
      </c>
      <c r="K3691" s="48">
        <v>5000</v>
      </c>
      <c r="L3691" s="48"/>
      <c r="M3691" s="48"/>
      <c r="N3691" s="59"/>
      <c r="O3691" s="59"/>
      <c r="P3691" s="59"/>
      <c r="Q3691" s="268">
        <f t="shared" si="172"/>
        <v>20000</v>
      </c>
      <c r="R3691" s="61">
        <f>IF(O3691=0,0,SUMIFS(Disbursements!$T:$T,Disbursements!$B:$B,'Live Collections'!D3691,Disbursements!$D:$D,'Live Collections'!F3691))</f>
        <v>0</v>
      </c>
      <c r="S3691" s="304">
        <f>IF(O3691&lt;=IF($O3691=0,0,SUMIFS(Disbursements!$W:$W,Disbursements!$B:$B,'Live Collections'!D3691,Disbursements!$D:$D,'Live Collections'!F3691)),O3691,IF($O3691=0,0,SUMIFS(Disbursements!$W:$W,Disbursements!$B:$B,'Live Collections'!D3691,Disbursements!$D:$D,'Live Collections'!F3691)))</f>
        <v>0</v>
      </c>
      <c r="T3691" s="304">
        <f t="shared" si="173"/>
        <v>0</v>
      </c>
      <c r="U3691" s="52"/>
      <c r="V3691" s="34"/>
      <c r="W3691" s="408"/>
    </row>
    <row r="3692" spans="1:23" ht="12.75" customHeight="1" x14ac:dyDescent="0.2">
      <c r="A3692" s="257">
        <v>3702</v>
      </c>
      <c r="B3692" s="44">
        <v>44652</v>
      </c>
      <c r="C3692" s="44">
        <f t="shared" si="174"/>
        <v>44652</v>
      </c>
      <c r="D3692" s="374">
        <v>349</v>
      </c>
      <c r="E3692" s="291" t="str">
        <f>IFERROR(VLOOKUP($D3692,'Clients-Live'!$A:$C,3,0),"")</f>
        <v>SONYE SCOVIA</v>
      </c>
      <c r="F3692" s="291" t="str">
        <f>IFERROR(INDEX(Disbursements!$D:$D,MATCH('Live Collections'!G3692,Disbursements!$C:$C,0)),"")</f>
        <v/>
      </c>
      <c r="G3692" s="34"/>
      <c r="H3692" s="34">
        <v>5703</v>
      </c>
      <c r="I3692" s="34" t="s">
        <v>1760</v>
      </c>
      <c r="J3692" s="48"/>
      <c r="K3692" s="48"/>
      <c r="L3692" s="48">
        <v>20000</v>
      </c>
      <c r="M3692" s="48">
        <v>5000</v>
      </c>
      <c r="N3692" s="59"/>
      <c r="O3692" s="59"/>
      <c r="P3692" s="59"/>
      <c r="Q3692" s="268">
        <f t="shared" ref="Q3692:Q3755" si="175">SUM(J3692:P3692)</f>
        <v>25000</v>
      </c>
      <c r="R3692" s="61">
        <f>IF(O3692=0,0,SUMIFS(Disbursements!$T:$T,Disbursements!$B:$B,'Live Collections'!D3692,Disbursements!$D:$D,'Live Collections'!F3692))</f>
        <v>0</v>
      </c>
      <c r="S3692" s="304">
        <f>IF(O3692&lt;=IF($O3692=0,0,SUMIFS(Disbursements!$W:$W,Disbursements!$B:$B,'Live Collections'!D3692,Disbursements!$D:$D,'Live Collections'!F3692)),O3692,IF($O3692=0,0,SUMIFS(Disbursements!$W:$W,Disbursements!$B:$B,'Live Collections'!D3692,Disbursements!$D:$D,'Live Collections'!F3692)))</f>
        <v>0</v>
      </c>
      <c r="T3692" s="304">
        <f t="shared" si="173"/>
        <v>0</v>
      </c>
      <c r="U3692" s="52"/>
      <c r="V3692" s="34"/>
      <c r="W3692" s="408"/>
    </row>
    <row r="3693" spans="1:23" ht="12.75" customHeight="1" x14ac:dyDescent="0.2">
      <c r="A3693" s="257">
        <v>3703</v>
      </c>
      <c r="B3693" s="44">
        <v>44652</v>
      </c>
      <c r="C3693" s="44">
        <f t="shared" si="174"/>
        <v>44652</v>
      </c>
      <c r="D3693" s="374">
        <v>349</v>
      </c>
      <c r="E3693" s="291" t="str">
        <f>IFERROR(VLOOKUP($D3693,'Clients-Live'!$A:$C,3,0),"")</f>
        <v>SONYE SCOVIA</v>
      </c>
      <c r="F3693" s="291" t="str">
        <f>IFERROR(INDEX(Disbursements!$D:$D,MATCH('Live Collections'!G3693,Disbursements!$C:$C,0)),"")</f>
        <v/>
      </c>
      <c r="G3693" s="34"/>
      <c r="H3693" s="34">
        <v>5702</v>
      </c>
      <c r="I3693" s="34" t="s">
        <v>1760</v>
      </c>
      <c r="J3693" s="48">
        <v>15000</v>
      </c>
      <c r="K3693" s="48">
        <v>5000</v>
      </c>
      <c r="L3693" s="48"/>
      <c r="M3693" s="48"/>
      <c r="N3693" s="59"/>
      <c r="O3693" s="59"/>
      <c r="P3693" s="59"/>
      <c r="Q3693" s="268">
        <f t="shared" si="175"/>
        <v>20000</v>
      </c>
      <c r="R3693" s="61">
        <f>IF(O3693=0,0,SUMIFS(Disbursements!$T:$T,Disbursements!$B:$B,'Live Collections'!D3693,Disbursements!$D:$D,'Live Collections'!F3693))</f>
        <v>0</v>
      </c>
      <c r="S3693" s="304">
        <f>IF(O3693&lt;=IF($O3693=0,0,SUMIFS(Disbursements!$W:$W,Disbursements!$B:$B,'Live Collections'!D3693,Disbursements!$D:$D,'Live Collections'!F3693)),O3693,IF($O3693=0,0,SUMIFS(Disbursements!$W:$W,Disbursements!$B:$B,'Live Collections'!D3693,Disbursements!$D:$D,'Live Collections'!F3693)))</f>
        <v>0</v>
      </c>
      <c r="T3693" s="304">
        <f t="shared" si="173"/>
        <v>0</v>
      </c>
      <c r="U3693" s="52"/>
      <c r="V3693" s="34"/>
      <c r="W3693" s="408"/>
    </row>
    <row r="3694" spans="1:23" ht="12.75" customHeight="1" x14ac:dyDescent="0.2">
      <c r="A3694" s="257">
        <v>3704</v>
      </c>
      <c r="B3694" s="44">
        <v>44652</v>
      </c>
      <c r="C3694" s="44">
        <f t="shared" si="174"/>
        <v>44652</v>
      </c>
      <c r="D3694" s="374">
        <v>128</v>
      </c>
      <c r="E3694" s="291" t="str">
        <f>IFERROR(VLOOKUP($D3694,'Clients-Live'!$A:$C,3,0),"")</f>
        <v>AJONYE BETTY</v>
      </c>
      <c r="F3694" s="291">
        <f>IFERROR(INDEX(Disbursements!$D:$D,MATCH('Live Collections'!G3694,Disbursements!$C:$C,0)),"")</f>
        <v>3</v>
      </c>
      <c r="G3694" s="34">
        <v>463</v>
      </c>
      <c r="H3694" s="34">
        <v>5718</v>
      </c>
      <c r="I3694" s="34" t="s">
        <v>1359</v>
      </c>
      <c r="J3694" s="48"/>
      <c r="K3694" s="48"/>
      <c r="L3694" s="48"/>
      <c r="M3694" s="48"/>
      <c r="N3694" s="59"/>
      <c r="O3694" s="59">
        <v>25000</v>
      </c>
      <c r="P3694" s="59"/>
      <c r="Q3694" s="268">
        <f t="shared" si="175"/>
        <v>25000</v>
      </c>
      <c r="R3694" s="61">
        <f>IF(O3694=0,0,SUMIFS(Disbursements!$T:$T,Disbursements!$B:$B,'Live Collections'!D3694,Disbursements!$D:$D,'Live Collections'!F3694))</f>
        <v>25000</v>
      </c>
      <c r="S3694" s="304">
        <f>IF(O3694&lt;=IF($O3694=0,0,SUMIFS(Disbursements!$W:$W,Disbursements!$B:$B,'Live Collections'!D3694,Disbursements!$D:$D,'Live Collections'!F3694)),O3694,IF($O3694=0,0,SUMIFS(Disbursements!$W:$W,Disbursements!$B:$B,'Live Collections'!D3694,Disbursements!$D:$D,'Live Collections'!F3694)))</f>
        <v>4166.6666666666679</v>
      </c>
      <c r="T3694" s="304">
        <f t="shared" si="173"/>
        <v>20833.333333333332</v>
      </c>
      <c r="U3694" s="52"/>
      <c r="V3694" s="34"/>
      <c r="W3694" s="408"/>
    </row>
    <row r="3695" spans="1:23" ht="12.75" customHeight="1" x14ac:dyDescent="0.2">
      <c r="A3695" s="257">
        <v>3705</v>
      </c>
      <c r="B3695" s="44">
        <v>44652</v>
      </c>
      <c r="C3695" s="44">
        <f t="shared" si="174"/>
        <v>44652</v>
      </c>
      <c r="D3695" s="374">
        <v>157</v>
      </c>
      <c r="E3695" s="291" t="str">
        <f>IFERROR(VLOOKUP($D3695,'Clients-Live'!$A:$C,3,0),"")</f>
        <v>AYITE MARGERT</v>
      </c>
      <c r="F3695" s="291">
        <f>IFERROR(INDEX(Disbursements!$D:$D,MATCH('Live Collections'!G3695,Disbursements!$C:$C,0)),"")</f>
        <v>2</v>
      </c>
      <c r="G3695" s="34">
        <v>345</v>
      </c>
      <c r="H3695" s="34">
        <v>5400</v>
      </c>
      <c r="I3695" s="34" t="s">
        <v>1357</v>
      </c>
      <c r="J3695" s="48"/>
      <c r="K3695" s="48"/>
      <c r="L3695" s="48"/>
      <c r="M3695" s="48"/>
      <c r="N3695" s="59"/>
      <c r="O3695" s="59">
        <v>75000</v>
      </c>
      <c r="P3695" s="59"/>
      <c r="Q3695" s="268">
        <f t="shared" si="175"/>
        <v>75000</v>
      </c>
      <c r="R3695" s="61">
        <f>IF(O3695=0,0,SUMIFS(Disbursements!$T:$T,Disbursements!$B:$B,'Live Collections'!D3695,Disbursements!$D:$D,'Live Collections'!F3695))</f>
        <v>175000</v>
      </c>
      <c r="S3695" s="304"/>
      <c r="T3695" s="304">
        <f t="shared" si="173"/>
        <v>75000</v>
      </c>
      <c r="U3695" s="52"/>
      <c r="V3695" s="34"/>
      <c r="W3695" s="408"/>
    </row>
    <row r="3696" spans="1:23" ht="12.75" customHeight="1" x14ac:dyDescent="0.2">
      <c r="A3696" s="257">
        <v>3706</v>
      </c>
      <c r="B3696" s="44">
        <v>44652</v>
      </c>
      <c r="C3696" s="44">
        <f t="shared" si="174"/>
        <v>44652</v>
      </c>
      <c r="D3696" s="374">
        <v>169</v>
      </c>
      <c r="E3696" s="291" t="str">
        <f>IFERROR(VLOOKUP($D3696,'Clients-Live'!$A:$C,3,0),"")</f>
        <v>KATO KENNEDY</v>
      </c>
      <c r="F3696" s="291">
        <f>IFERROR(INDEX(Disbursements!$D:$D,MATCH('Live Collections'!G3696,Disbursements!$C:$C,0)),"")</f>
        <v>2</v>
      </c>
      <c r="G3696" s="34">
        <v>394</v>
      </c>
      <c r="H3696" s="34">
        <v>5701</v>
      </c>
      <c r="I3696" s="34" t="s">
        <v>1357</v>
      </c>
      <c r="J3696" s="48"/>
      <c r="K3696" s="48"/>
      <c r="L3696" s="48"/>
      <c r="M3696" s="48"/>
      <c r="N3696" s="59"/>
      <c r="O3696" s="59">
        <v>58000</v>
      </c>
      <c r="P3696" s="59"/>
      <c r="Q3696" s="268">
        <f t="shared" si="175"/>
        <v>58000</v>
      </c>
      <c r="R3696" s="61">
        <f>IF(O3696=0,0,SUMIFS(Disbursements!$T:$T,Disbursements!$B:$B,'Live Collections'!D3696,Disbursements!$D:$D,'Live Collections'!F3696))</f>
        <v>58000</v>
      </c>
      <c r="S3696" s="304">
        <f>IF(O3696&lt;=IF($O3696=0,0,SUMIFS(Disbursements!$W:$W,Disbursements!$B:$B,'Live Collections'!D3696,Disbursements!$D:$D,'Live Collections'!F3696)),O3696,IF($O3696=0,0,SUMIFS(Disbursements!$W:$W,Disbursements!$B:$B,'Live Collections'!D3696,Disbursements!$D:$D,'Live Collections'!F3696)))</f>
        <v>16333.333333333336</v>
      </c>
      <c r="T3696" s="304">
        <f t="shared" si="173"/>
        <v>41666.666666666664</v>
      </c>
      <c r="U3696" s="52"/>
      <c r="V3696" s="34"/>
      <c r="W3696" s="408"/>
    </row>
    <row r="3697" spans="1:23" ht="12.75" customHeight="1" x14ac:dyDescent="0.2">
      <c r="A3697" s="257">
        <v>3707</v>
      </c>
      <c r="B3697" s="44">
        <v>44652</v>
      </c>
      <c r="C3697" s="44">
        <f t="shared" si="174"/>
        <v>44652</v>
      </c>
      <c r="D3697" s="374">
        <v>78</v>
      </c>
      <c r="E3697" s="291" t="str">
        <f>IFERROR(VLOOKUP($D3697,'Clients-Live'!$A:$C,3,0),"")</f>
        <v>DIPIYO BEATRICE JOHN</v>
      </c>
      <c r="F3697" s="291">
        <f>IFERROR(INDEX(Disbursements!$D:$D,MATCH('Live Collections'!G3697,Disbursements!$C:$C,0)),"")</f>
        <v>2</v>
      </c>
      <c r="G3697" s="34">
        <v>351</v>
      </c>
      <c r="H3697" s="34">
        <v>5720</v>
      </c>
      <c r="I3697" s="34" t="s">
        <v>1357</v>
      </c>
      <c r="J3697" s="48"/>
      <c r="K3697" s="48"/>
      <c r="L3697" s="48"/>
      <c r="M3697" s="48"/>
      <c r="N3697" s="59"/>
      <c r="O3697" s="59">
        <v>400000</v>
      </c>
      <c r="P3697" s="59"/>
      <c r="Q3697" s="268">
        <f t="shared" si="175"/>
        <v>400000</v>
      </c>
      <c r="R3697" s="61">
        <f>IF(O3697=0,0,SUMIFS(Disbursements!$T:$T,Disbursements!$B:$B,'Live Collections'!D3697,Disbursements!$D:$D,'Live Collections'!F3697))</f>
        <v>540000</v>
      </c>
      <c r="S3697" s="304">
        <f>IF(O3697&lt;=IF($O3697=0,0,SUMIFS(Disbursements!$W:$W,Disbursements!$B:$B,'Live Collections'!D3697,Disbursements!$D:$D,'Live Collections'!F3697)),O3697,IF($O3697=0,0,SUMIFS(Disbursements!$W:$W,Disbursements!$B:$B,'Live Collections'!D3697,Disbursements!$D:$D,'Live Collections'!F3697)))</f>
        <v>90000</v>
      </c>
      <c r="T3697" s="304">
        <f t="shared" si="173"/>
        <v>310000</v>
      </c>
      <c r="U3697" s="52"/>
      <c r="V3697" s="34"/>
      <c r="W3697" s="408"/>
    </row>
    <row r="3698" spans="1:23" ht="12.75" customHeight="1" x14ac:dyDescent="0.2">
      <c r="A3698" s="257">
        <v>3708</v>
      </c>
      <c r="B3698" s="44">
        <v>44652</v>
      </c>
      <c r="C3698" s="44">
        <f t="shared" si="174"/>
        <v>44652</v>
      </c>
      <c r="D3698" s="374">
        <v>197</v>
      </c>
      <c r="E3698" s="291" t="str">
        <f>IFERROR(VLOOKUP($D3698,'Clients-Live'!$A:$C,3,0),"")</f>
        <v>SIYESA JAMILA</v>
      </c>
      <c r="F3698" s="291">
        <f>IFERROR(INDEX(Disbursements!$D:$D,MATCH('Live Collections'!G3698,Disbursements!$C:$C,0)),"")</f>
        <v>1</v>
      </c>
      <c r="G3698" s="34">
        <v>192</v>
      </c>
      <c r="H3698" s="34">
        <v>5719</v>
      </c>
      <c r="I3698" s="34" t="s">
        <v>1358</v>
      </c>
      <c r="J3698" s="48"/>
      <c r="K3698" s="48"/>
      <c r="L3698" s="48"/>
      <c r="M3698" s="48"/>
      <c r="N3698" s="59"/>
      <c r="O3698" s="59">
        <v>40000</v>
      </c>
      <c r="P3698" s="59"/>
      <c r="Q3698" s="268">
        <f t="shared" si="175"/>
        <v>40000</v>
      </c>
      <c r="R3698" s="61">
        <f>IF(O3698=0,0,SUMIFS(Disbursements!$T:$T,Disbursements!$B:$B,'Live Collections'!D3698,Disbursements!$D:$D,'Live Collections'!F3698))</f>
        <v>120000</v>
      </c>
      <c r="S3698" s="304"/>
      <c r="T3698" s="304">
        <f t="shared" si="173"/>
        <v>40000</v>
      </c>
      <c r="U3698" s="52"/>
      <c r="V3698" s="34"/>
      <c r="W3698" s="408"/>
    </row>
    <row r="3699" spans="1:23" ht="12.75" customHeight="1" x14ac:dyDescent="0.2">
      <c r="A3699" s="257">
        <v>3709</v>
      </c>
      <c r="B3699" s="44">
        <v>44653</v>
      </c>
      <c r="C3699" s="44">
        <f t="shared" si="174"/>
        <v>44653</v>
      </c>
      <c r="D3699" s="374">
        <v>289</v>
      </c>
      <c r="E3699" s="291" t="str">
        <f>IFERROR(VLOOKUP($D3699,'Clients-Live'!$A:$C,3,0),"")</f>
        <v>NAUME NIGHT</v>
      </c>
      <c r="F3699" s="291" t="str">
        <f>IFERROR(INDEX(Disbursements!$D:$D,MATCH('Live Collections'!G3699,Disbursements!$C:$C,0)),"")</f>
        <v/>
      </c>
      <c r="G3699" s="34"/>
      <c r="H3699" s="34">
        <v>5727</v>
      </c>
      <c r="I3699" s="34" t="s">
        <v>1357</v>
      </c>
      <c r="J3699" s="48"/>
      <c r="K3699" s="48"/>
      <c r="L3699" s="48">
        <v>20000</v>
      </c>
      <c r="M3699" s="48">
        <v>5000</v>
      </c>
      <c r="N3699" s="59"/>
      <c r="O3699" s="59"/>
      <c r="P3699" s="59"/>
      <c r="Q3699" s="268">
        <f t="shared" si="175"/>
        <v>25000</v>
      </c>
      <c r="R3699" s="61">
        <f>IF(O3699=0,0,SUMIFS(Disbursements!$T:$T,Disbursements!$B:$B,'Live Collections'!D3699,Disbursements!$D:$D,'Live Collections'!F3699))</f>
        <v>0</v>
      </c>
      <c r="S3699" s="304">
        <f>IF(O3699&lt;=IF($O3699=0,0,SUMIFS(Disbursements!$W:$W,Disbursements!$B:$B,'Live Collections'!D3699,Disbursements!$D:$D,'Live Collections'!F3699)),O3699,IF($O3699=0,0,SUMIFS(Disbursements!$W:$W,Disbursements!$B:$B,'Live Collections'!D3699,Disbursements!$D:$D,'Live Collections'!F3699)))</f>
        <v>0</v>
      </c>
      <c r="T3699" s="304">
        <f t="shared" si="173"/>
        <v>0</v>
      </c>
      <c r="U3699" s="52"/>
      <c r="V3699" s="34"/>
      <c r="W3699" s="408"/>
    </row>
    <row r="3700" spans="1:23" ht="12.75" customHeight="1" x14ac:dyDescent="0.2">
      <c r="A3700" s="257">
        <v>3710</v>
      </c>
      <c r="B3700" s="44">
        <v>44653</v>
      </c>
      <c r="C3700" s="44">
        <f t="shared" si="174"/>
        <v>44653</v>
      </c>
      <c r="D3700" s="374">
        <v>289</v>
      </c>
      <c r="E3700" s="291" t="str">
        <f>IFERROR(VLOOKUP($D3700,'Clients-Live'!$A:$C,3,0),"")</f>
        <v>NAUME NIGHT</v>
      </c>
      <c r="F3700" s="291">
        <f>IFERROR(INDEX(Disbursements!$D:$D,MATCH('Live Collections'!G3700,Disbursements!$C:$C,0)),"")</f>
        <v>1</v>
      </c>
      <c r="G3700" s="34">
        <v>353</v>
      </c>
      <c r="H3700" s="34" t="s">
        <v>2280</v>
      </c>
      <c r="I3700" s="34" t="s">
        <v>1357</v>
      </c>
      <c r="J3700" s="48"/>
      <c r="K3700" s="48"/>
      <c r="L3700" s="48"/>
      <c r="M3700" s="48"/>
      <c r="N3700" s="59"/>
      <c r="O3700" s="59">
        <v>50000</v>
      </c>
      <c r="P3700" s="59">
        <v>-50000</v>
      </c>
      <c r="Q3700" s="268">
        <f t="shared" si="175"/>
        <v>0</v>
      </c>
      <c r="R3700" s="61">
        <f>IF(O3700=0,0,SUMIFS(Disbursements!$T:$T,Disbursements!$B:$B,'Live Collections'!D3700,Disbursements!$D:$D,'Live Collections'!F3700))</f>
        <v>150000</v>
      </c>
      <c r="S3700" s="304">
        <f>IF(O3700&lt;=IF($O3700=0,0,SUMIFS(Disbursements!$W:$W,Disbursements!$B:$B,'Live Collections'!D3700,Disbursements!$D:$D,'Live Collections'!F3700)),O3700,IF($O3700=0,0,SUMIFS(Disbursements!$W:$W,Disbursements!$B:$B,'Live Collections'!D3700,Disbursements!$D:$D,'Live Collections'!F3700)))</f>
        <v>25000</v>
      </c>
      <c r="T3700" s="304">
        <f t="shared" si="173"/>
        <v>25000</v>
      </c>
      <c r="U3700" s="52"/>
      <c r="V3700" s="34"/>
      <c r="W3700" s="408"/>
    </row>
    <row r="3701" spans="1:23" ht="12.75" customHeight="1" x14ac:dyDescent="0.2">
      <c r="A3701" s="257">
        <v>3711</v>
      </c>
      <c r="B3701" s="44">
        <v>44653</v>
      </c>
      <c r="C3701" s="44">
        <f t="shared" si="174"/>
        <v>44653</v>
      </c>
      <c r="D3701" s="374">
        <v>289</v>
      </c>
      <c r="E3701" s="291" t="str">
        <f>IFERROR(VLOOKUP($D3701,'Clients-Live'!$A:$C,3,0),"")</f>
        <v>NAUME NIGHT</v>
      </c>
      <c r="F3701" s="291">
        <f>IFERROR(INDEX(Disbursements!$D:$D,MATCH('Live Collections'!G3701,Disbursements!$C:$C,0)),"")</f>
        <v>1</v>
      </c>
      <c r="G3701" s="34">
        <v>353</v>
      </c>
      <c r="H3701" s="34">
        <v>5708</v>
      </c>
      <c r="I3701" s="34" t="s">
        <v>1357</v>
      </c>
      <c r="J3701" s="48"/>
      <c r="K3701" s="48"/>
      <c r="L3701" s="48"/>
      <c r="M3701" s="48"/>
      <c r="N3701" s="59"/>
      <c r="O3701" s="59">
        <v>100000</v>
      </c>
      <c r="P3701" s="59"/>
      <c r="Q3701" s="268">
        <f t="shared" si="175"/>
        <v>100000</v>
      </c>
      <c r="R3701" s="61">
        <f>IF(O3701=0,0,SUMIFS(Disbursements!$T:$T,Disbursements!$B:$B,'Live Collections'!D3701,Disbursements!$D:$D,'Live Collections'!F3701))</f>
        <v>150000</v>
      </c>
      <c r="S3701" s="64">
        <v>9666.6666666666715</v>
      </c>
      <c r="T3701" s="304">
        <f t="shared" si="173"/>
        <v>90333.333333333328</v>
      </c>
      <c r="U3701" s="52"/>
      <c r="V3701" s="34"/>
      <c r="W3701" s="408"/>
    </row>
    <row r="3702" spans="1:23" ht="12.75" customHeight="1" x14ac:dyDescent="0.2">
      <c r="A3702" s="257">
        <v>3712</v>
      </c>
      <c r="B3702" s="44">
        <v>44653</v>
      </c>
      <c r="C3702" s="44">
        <f t="shared" si="174"/>
        <v>44653</v>
      </c>
      <c r="D3702" s="374">
        <v>347</v>
      </c>
      <c r="E3702" s="291" t="str">
        <f>IFERROR(VLOOKUP($D3702,'Clients-Live'!$A:$C,3,0),"")</f>
        <v>AJONYE FATUMA</v>
      </c>
      <c r="F3702" s="291" t="str">
        <f>IFERROR(INDEX(Disbursements!$D:$D,MATCH('Live Collections'!G3702,Disbursements!$C:$C,0)),"")</f>
        <v/>
      </c>
      <c r="G3702" s="34"/>
      <c r="H3702" s="34">
        <v>5713</v>
      </c>
      <c r="I3702" s="34" t="s">
        <v>1358</v>
      </c>
      <c r="J3702" s="48"/>
      <c r="K3702" s="48"/>
      <c r="L3702" s="48"/>
      <c r="M3702" s="48"/>
      <c r="N3702" s="59"/>
      <c r="O3702" s="59"/>
      <c r="P3702" s="59">
        <v>40000</v>
      </c>
      <c r="Q3702" s="268">
        <f t="shared" si="175"/>
        <v>40000</v>
      </c>
      <c r="R3702" s="61">
        <f>IF(O3702=0,0,SUMIFS(Disbursements!$T:$T,Disbursements!$B:$B,'Live Collections'!D3702,Disbursements!$D:$D,'Live Collections'!F3702))</f>
        <v>0</v>
      </c>
      <c r="S3702" s="304">
        <f>IF(O3702&lt;=IF($O3702=0,0,SUMIFS(Disbursements!$W:$W,Disbursements!$B:$B,'Live Collections'!D3702,Disbursements!$D:$D,'Live Collections'!F3702)),O3702,IF($O3702=0,0,SUMIFS(Disbursements!$W:$W,Disbursements!$B:$B,'Live Collections'!D3702,Disbursements!$D:$D,'Live Collections'!F3702)))</f>
        <v>0</v>
      </c>
      <c r="T3702" s="304">
        <f t="shared" si="173"/>
        <v>0</v>
      </c>
      <c r="U3702" s="52"/>
      <c r="V3702" s="34"/>
      <c r="W3702" s="408"/>
    </row>
    <row r="3703" spans="1:23" ht="12.75" customHeight="1" x14ac:dyDescent="0.2">
      <c r="A3703" s="257">
        <v>3713</v>
      </c>
      <c r="B3703" s="44">
        <v>44653</v>
      </c>
      <c r="C3703" s="44">
        <f t="shared" si="174"/>
        <v>44653</v>
      </c>
      <c r="D3703" s="374">
        <v>228</v>
      </c>
      <c r="E3703" s="291" t="str">
        <f>IFERROR(VLOOKUP($D3703,'Clients-Live'!$A:$C,3,0),"")</f>
        <v>DADA ISAAC</v>
      </c>
      <c r="F3703" s="291">
        <f>IFERROR(INDEX(Disbursements!$D:$D,MATCH('Live Collections'!G3703,Disbursements!$C:$C,0)),"")</f>
        <v>6</v>
      </c>
      <c r="G3703" s="34">
        <v>421</v>
      </c>
      <c r="H3703" s="34">
        <v>5712</v>
      </c>
      <c r="I3703" s="34" t="s">
        <v>1358</v>
      </c>
      <c r="J3703" s="48"/>
      <c r="K3703" s="48"/>
      <c r="L3703" s="48"/>
      <c r="M3703" s="48"/>
      <c r="N3703" s="59"/>
      <c r="O3703" s="59">
        <v>170000</v>
      </c>
      <c r="P3703" s="59"/>
      <c r="Q3703" s="268">
        <f t="shared" si="175"/>
        <v>170000</v>
      </c>
      <c r="R3703" s="61">
        <f>IF(O3703=0,0,SUMIFS(Disbursements!$T:$T,Disbursements!$B:$B,'Live Collections'!D3703,Disbursements!$D:$D,'Live Collections'!F3703))</f>
        <v>158000</v>
      </c>
      <c r="S3703" s="304">
        <f>IF(O3703&lt;=IF($O3703=0,0,SUMIFS(Disbursements!$W:$W,Disbursements!$B:$B,'Live Collections'!D3443,Disbursements!$D:$D,'Live Collections'!F3443)),O3703,IF($O3703=0,0,SUMIFS(Disbursements!$W:$W,Disbursements!$B:$B,'Live Collections'!D3443,Disbursements!$D:$D,'Live Collections'!F3443)))</f>
        <v>20000</v>
      </c>
      <c r="T3703" s="304">
        <f t="shared" ref="T3703" si="176">IF(O3703=0,0,O3703-S3703)</f>
        <v>150000</v>
      </c>
      <c r="U3703" s="52"/>
      <c r="V3703" s="34"/>
      <c r="W3703" s="408"/>
    </row>
    <row r="3704" spans="1:23" ht="12.75" customHeight="1" x14ac:dyDescent="0.2">
      <c r="A3704" s="257">
        <v>3714</v>
      </c>
      <c r="B3704" s="44">
        <v>44653</v>
      </c>
      <c r="C3704" s="44">
        <f t="shared" si="174"/>
        <v>44653</v>
      </c>
      <c r="D3704" s="374">
        <v>73</v>
      </c>
      <c r="E3704" s="291" t="str">
        <f>IFERROR(VLOOKUP($D3704,'Clients-Live'!$A:$C,3,0),"")</f>
        <v>AJONYE DEBORA</v>
      </c>
      <c r="F3704" s="291">
        <f>IFERROR(INDEX(Disbursements!$D:$D,MATCH('Live Collections'!G3704,Disbursements!$C:$C,0)),"")</f>
        <v>3</v>
      </c>
      <c r="G3704" s="34">
        <v>426</v>
      </c>
      <c r="H3704" s="34">
        <v>5732</v>
      </c>
      <c r="I3704" s="34" t="s">
        <v>1357</v>
      </c>
      <c r="J3704" s="48"/>
      <c r="K3704" s="48"/>
      <c r="L3704" s="48"/>
      <c r="M3704" s="48"/>
      <c r="N3704" s="59"/>
      <c r="O3704" s="59">
        <v>52000</v>
      </c>
      <c r="P3704" s="59"/>
      <c r="Q3704" s="268">
        <f t="shared" si="175"/>
        <v>52000</v>
      </c>
      <c r="R3704" s="61">
        <f>IF(O3704=0,0,SUMIFS(Disbursements!$T:$T,Disbursements!$B:$B,'Live Collections'!D3704,Disbursements!$D:$D,'Live Collections'!F3704))</f>
        <v>53000</v>
      </c>
      <c r="S3704" s="304">
        <f>IF(O3704&lt;=IF($O3704=0,0,SUMIFS(Disbursements!$W:$W,Disbursements!$B:$B,'Live Collections'!D3704,Disbursements!$D:$D,'Live Collections'!F3704)),O3704,IF($O3704=0,0,SUMIFS(Disbursements!$W:$W,Disbursements!$B:$B,'Live Collections'!D3704,Disbursements!$D:$D,'Live Collections'!F3704)))</f>
        <v>13000</v>
      </c>
      <c r="T3704" s="304">
        <f t="shared" ref="T3704:T3766" si="177">IF(O3704=0,0,O3704-S3704)</f>
        <v>39000</v>
      </c>
      <c r="U3704" s="52"/>
      <c r="V3704" s="34"/>
      <c r="W3704" s="408"/>
    </row>
    <row r="3705" spans="1:23" ht="12.75" customHeight="1" x14ac:dyDescent="0.2">
      <c r="A3705" s="257">
        <v>3715</v>
      </c>
      <c r="B3705" s="44">
        <v>44653</v>
      </c>
      <c r="C3705" s="44">
        <f t="shared" si="174"/>
        <v>44653</v>
      </c>
      <c r="D3705" s="374">
        <v>170</v>
      </c>
      <c r="E3705" s="291" t="str">
        <f>IFERROR(VLOOKUP($D3705,'Clients-Live'!$A:$C,3,0),"")</f>
        <v xml:space="preserve">KABEBI RAIMA </v>
      </c>
      <c r="F3705" s="291">
        <f>IFERROR(INDEX(Disbursements!$D:$D,MATCH('Live Collections'!G3705,Disbursements!$C:$C,0)),"")</f>
        <v>2</v>
      </c>
      <c r="G3705" s="34">
        <v>302</v>
      </c>
      <c r="H3705" s="34">
        <v>5730</v>
      </c>
      <c r="I3705" s="34" t="s">
        <v>1359</v>
      </c>
      <c r="J3705" s="48"/>
      <c r="K3705" s="48"/>
      <c r="L3705" s="48"/>
      <c r="M3705" s="48"/>
      <c r="N3705" s="59"/>
      <c r="O3705" s="59">
        <v>50000</v>
      </c>
      <c r="P3705" s="59"/>
      <c r="Q3705" s="268">
        <f t="shared" si="175"/>
        <v>50000</v>
      </c>
      <c r="R3705" s="61">
        <f>IF(O3705=0,0,SUMIFS(Disbursements!$T:$T,Disbursements!$B:$B,'Live Collections'!D3705,Disbursements!$D:$D,'Live Collections'!F3705))</f>
        <v>125000</v>
      </c>
      <c r="S3705" s="304"/>
      <c r="T3705" s="304">
        <f t="shared" si="177"/>
        <v>50000</v>
      </c>
      <c r="U3705" s="52"/>
      <c r="V3705" s="34"/>
      <c r="W3705" s="408"/>
    </row>
    <row r="3706" spans="1:23" ht="12.75" customHeight="1" x14ac:dyDescent="0.2">
      <c r="A3706" s="257">
        <v>3716</v>
      </c>
      <c r="B3706" s="44">
        <v>44653</v>
      </c>
      <c r="C3706" s="44">
        <f t="shared" si="174"/>
        <v>44653</v>
      </c>
      <c r="D3706" s="374">
        <v>99</v>
      </c>
      <c r="E3706" s="291" t="str">
        <f>IFERROR(VLOOKUP($D3706,'Clients-Live'!$A:$C,3,0),"")</f>
        <v>SIJALI ASINA SIS</v>
      </c>
      <c r="F3706" s="291">
        <f>IFERROR(INDEX(Disbursements!$D:$D,MATCH('Live Collections'!G3706,Disbursements!$C:$C,0)),"")</f>
        <v>3</v>
      </c>
      <c r="G3706" s="34">
        <v>494</v>
      </c>
      <c r="H3706" s="34">
        <v>5709</v>
      </c>
      <c r="I3706" s="34" t="s">
        <v>1358</v>
      </c>
      <c r="J3706" s="48"/>
      <c r="K3706" s="48"/>
      <c r="L3706" s="48"/>
      <c r="M3706" s="48"/>
      <c r="N3706" s="59"/>
      <c r="O3706" s="59"/>
      <c r="P3706" s="59">
        <v>100000</v>
      </c>
      <c r="Q3706" s="268">
        <f t="shared" si="175"/>
        <v>100000</v>
      </c>
      <c r="R3706" s="61">
        <f>IF(O3706=0,0,SUMIFS(Disbursements!$T:$T,Disbursements!$B:$B,'Live Collections'!D3706,Disbursements!$D:$D,'Live Collections'!F3706))</f>
        <v>0</v>
      </c>
      <c r="S3706" s="304">
        <f>IF(O3706&lt;=IF($O3706=0,0,SUMIFS(Disbursements!$W:$W,Disbursements!$B:$B,'Live Collections'!D3706,Disbursements!$D:$D,'Live Collections'!F3706)),O3706,IF($O3706=0,0,SUMIFS(Disbursements!$W:$W,Disbursements!$B:$B,'Live Collections'!D3706,Disbursements!$D:$D,'Live Collections'!F3706)))</f>
        <v>0</v>
      </c>
      <c r="T3706" s="304">
        <f t="shared" si="177"/>
        <v>0</v>
      </c>
      <c r="U3706" s="52"/>
      <c r="V3706" s="34"/>
      <c r="W3706" s="408"/>
    </row>
    <row r="3707" spans="1:23" ht="12.75" customHeight="1" x14ac:dyDescent="0.2">
      <c r="A3707" s="257">
        <v>3717</v>
      </c>
      <c r="B3707" s="44">
        <v>44653</v>
      </c>
      <c r="C3707" s="44">
        <f t="shared" si="174"/>
        <v>44653</v>
      </c>
      <c r="D3707" s="374">
        <v>176</v>
      </c>
      <c r="E3707" s="291" t="str">
        <f>IFERROR(VLOOKUP($D3707,'Clients-Live'!$A:$C,3,0),"")</f>
        <v>AJONYE JANE SINANDUGU</v>
      </c>
      <c r="F3707" s="291">
        <f>IFERROR(INDEX(Disbursements!$D:$D,MATCH('Live Collections'!G3707,Disbursements!$C:$C,0)),"")</f>
        <v>3</v>
      </c>
      <c r="G3707" s="34">
        <v>493</v>
      </c>
      <c r="H3707" s="34">
        <v>5710</v>
      </c>
      <c r="I3707" s="34" t="s">
        <v>1358</v>
      </c>
      <c r="J3707" s="48"/>
      <c r="K3707" s="48"/>
      <c r="L3707" s="48"/>
      <c r="M3707" s="48"/>
      <c r="N3707" s="59"/>
      <c r="O3707" s="59"/>
      <c r="P3707" s="59">
        <v>500000</v>
      </c>
      <c r="Q3707" s="268">
        <f t="shared" si="175"/>
        <v>500000</v>
      </c>
      <c r="R3707" s="61">
        <f>IF(O3707=0,0,SUMIFS(Disbursements!$T:$T,Disbursements!$B:$B,'Live Collections'!D3707,Disbursements!$D:$D,'Live Collections'!F3707))</f>
        <v>0</v>
      </c>
      <c r="S3707" s="304">
        <f>IF(O3707&lt;=IF($O3707=0,0,SUMIFS(Disbursements!$W:$W,Disbursements!$B:$B,'Live Collections'!D3707,Disbursements!$D:$D,'Live Collections'!F3707)),O3707,IF($O3707=0,0,SUMIFS(Disbursements!$W:$W,Disbursements!$B:$B,'Live Collections'!D3707,Disbursements!$D:$D,'Live Collections'!F3707)))</f>
        <v>0</v>
      </c>
      <c r="T3707" s="304">
        <f t="shared" si="177"/>
        <v>0</v>
      </c>
      <c r="U3707" s="52"/>
      <c r="V3707" s="34"/>
      <c r="W3707" s="408"/>
    </row>
    <row r="3708" spans="1:23" ht="12.75" customHeight="1" x14ac:dyDescent="0.2">
      <c r="A3708" s="257">
        <v>3718</v>
      </c>
      <c r="B3708" s="44">
        <v>44653</v>
      </c>
      <c r="C3708" s="44">
        <f t="shared" si="174"/>
        <v>44653</v>
      </c>
      <c r="D3708" s="374">
        <v>310</v>
      </c>
      <c r="E3708" s="291" t="str">
        <f>IFERROR(VLOOKUP($D3708,'Clients-Live'!$A:$C,3,0),"")</f>
        <v>TUKEI JOB</v>
      </c>
      <c r="F3708" s="291">
        <f>IFERROR(INDEX(Disbursements!$D:$D,MATCH('Live Collections'!G3708,Disbursements!$C:$C,0)),"")</f>
        <v>1</v>
      </c>
      <c r="G3708" s="34">
        <v>492</v>
      </c>
      <c r="H3708" s="34">
        <v>5738</v>
      </c>
      <c r="I3708" s="34" t="s">
        <v>1359</v>
      </c>
      <c r="J3708" s="48"/>
      <c r="K3708" s="48"/>
      <c r="L3708" s="48"/>
      <c r="M3708" s="48"/>
      <c r="N3708" s="59"/>
      <c r="O3708" s="59"/>
      <c r="P3708" s="59">
        <v>300000</v>
      </c>
      <c r="Q3708" s="268">
        <f t="shared" si="175"/>
        <v>300000</v>
      </c>
      <c r="R3708" s="61">
        <f>IF(O3708=0,0,SUMIFS(Disbursements!$T:$T,Disbursements!$B:$B,'Live Collections'!D3708,Disbursements!$D:$D,'Live Collections'!F3708))</f>
        <v>0</v>
      </c>
      <c r="S3708" s="304">
        <f>IF(O3708&lt;=IF($O3708=0,0,SUMIFS(Disbursements!$W:$W,Disbursements!$B:$B,'Live Collections'!D3708,Disbursements!$D:$D,'Live Collections'!F3708)),O3708,IF($O3708=0,0,SUMIFS(Disbursements!$W:$W,Disbursements!$B:$B,'Live Collections'!D3708,Disbursements!$D:$D,'Live Collections'!F3708)))</f>
        <v>0</v>
      </c>
      <c r="T3708" s="304">
        <f t="shared" si="177"/>
        <v>0</v>
      </c>
      <c r="U3708" s="52"/>
      <c r="V3708" s="34"/>
      <c r="W3708" s="408"/>
    </row>
    <row r="3709" spans="1:23" ht="12.75" customHeight="1" x14ac:dyDescent="0.2">
      <c r="A3709" s="257">
        <v>3719</v>
      </c>
      <c r="B3709" s="44">
        <v>44653</v>
      </c>
      <c r="C3709" s="44">
        <f t="shared" si="174"/>
        <v>44653</v>
      </c>
      <c r="D3709" s="374">
        <v>171</v>
      </c>
      <c r="E3709" s="291" t="str">
        <f>IFERROR(VLOOKUP($D3709,'Clients-Live'!$A:$C,3,0),"")</f>
        <v>BADAKA GIFT JOEL</v>
      </c>
      <c r="F3709" s="291">
        <f>IFERROR(INDEX(Disbursements!$D:$D,MATCH('Live Collections'!G3709,Disbursements!$C:$C,0)),"")</f>
        <v>3</v>
      </c>
      <c r="G3709" s="34">
        <v>422</v>
      </c>
      <c r="H3709" s="34" t="s">
        <v>2281</v>
      </c>
      <c r="I3709" s="34" t="s">
        <v>1357</v>
      </c>
      <c r="J3709" s="48"/>
      <c r="K3709" s="48"/>
      <c r="L3709" s="48"/>
      <c r="M3709" s="48"/>
      <c r="N3709" s="59"/>
      <c r="O3709" s="59">
        <v>65000</v>
      </c>
      <c r="P3709" s="59">
        <v>-65000</v>
      </c>
      <c r="Q3709" s="268">
        <f t="shared" si="175"/>
        <v>0</v>
      </c>
      <c r="R3709" s="61">
        <f>IF(O3709=0,0,SUMIFS(Disbursements!$T:$T,Disbursements!$B:$B,'Live Collections'!D3709,Disbursements!$D:$D,'Live Collections'!F3709))</f>
        <v>374000</v>
      </c>
      <c r="S3709" s="304">
        <f>IF(O3709&lt;=IF($O3709=0,0,SUMIFS(Disbursements!$W:$W,Disbursements!$B:$B,'Live Collections'!D3709,Disbursements!$D:$D,'Live Collections'!F3709)),O3709,IF($O3709=0,0,SUMIFS(Disbursements!$W:$W,Disbursements!$B:$B,'Live Collections'!D3709,Disbursements!$D:$D,'Live Collections'!F3709)))</f>
        <v>49000</v>
      </c>
      <c r="T3709" s="304">
        <f t="shared" si="177"/>
        <v>16000</v>
      </c>
      <c r="U3709" s="52"/>
      <c r="V3709" s="34"/>
      <c r="W3709" s="408"/>
    </row>
    <row r="3710" spans="1:23" ht="12.75" customHeight="1" x14ac:dyDescent="0.2">
      <c r="A3710" s="257">
        <v>3720</v>
      </c>
      <c r="B3710" s="44">
        <v>44653</v>
      </c>
      <c r="C3710" s="44">
        <f t="shared" si="174"/>
        <v>44653</v>
      </c>
      <c r="D3710" s="374">
        <v>171</v>
      </c>
      <c r="E3710" s="291" t="str">
        <f>IFERROR(VLOOKUP($D3710,'Clients-Live'!$A:$C,3,0),"")</f>
        <v>BADAKA GIFT JOEL</v>
      </c>
      <c r="F3710" s="291">
        <f>IFERROR(INDEX(Disbursements!$D:$D,MATCH('Live Collections'!G3710,Disbursements!$C:$C,0)),"")</f>
        <v>3</v>
      </c>
      <c r="G3710" s="34">
        <v>422</v>
      </c>
      <c r="H3710" s="34">
        <v>5740</v>
      </c>
      <c r="I3710" s="34" t="s">
        <v>1357</v>
      </c>
      <c r="J3710" s="48"/>
      <c r="K3710" s="48"/>
      <c r="L3710" s="48"/>
      <c r="M3710" s="48"/>
      <c r="N3710" s="59"/>
      <c r="O3710" s="59">
        <v>308800</v>
      </c>
      <c r="P3710" s="59"/>
      <c r="Q3710" s="268">
        <f t="shared" si="175"/>
        <v>308800</v>
      </c>
      <c r="R3710" s="61">
        <f>IF(O3710=0,0,SUMIFS(Disbursements!$T:$T,Disbursements!$B:$B,'Live Collections'!D3710,Disbursements!$D:$D,'Live Collections'!F3710))</f>
        <v>374000</v>
      </c>
      <c r="S3710" s="304"/>
      <c r="T3710" s="304">
        <f t="shared" si="177"/>
        <v>308800</v>
      </c>
      <c r="U3710" s="52"/>
      <c r="V3710" s="34"/>
      <c r="W3710" s="408"/>
    </row>
    <row r="3711" spans="1:23" ht="12.75" customHeight="1" x14ac:dyDescent="0.2">
      <c r="A3711" s="257">
        <v>3721</v>
      </c>
      <c r="B3711" s="44">
        <v>44655</v>
      </c>
      <c r="C3711" s="44">
        <f t="shared" ref="C3711:C3774" si="178">B3711</f>
        <v>44655</v>
      </c>
      <c r="D3711" s="374">
        <v>168</v>
      </c>
      <c r="E3711" s="291" t="str">
        <f>IFERROR(VLOOKUP($D3711,'Clients-Live'!$A:$C,3,0),"")</f>
        <v>ALORO FREDERICK</v>
      </c>
      <c r="F3711" s="291">
        <f>IFERROR(INDEX(Disbursements!$D:$D,MATCH('Live Collections'!G3711,Disbursements!$C:$C,0)),"")</f>
        <v>2</v>
      </c>
      <c r="G3711" s="34">
        <v>385</v>
      </c>
      <c r="H3711" s="34">
        <v>5532</v>
      </c>
      <c r="I3711" s="34" t="s">
        <v>1357</v>
      </c>
      <c r="J3711" s="48"/>
      <c r="K3711" s="48"/>
      <c r="L3711" s="48"/>
      <c r="M3711" s="48"/>
      <c r="N3711" s="59"/>
      <c r="O3711" s="59">
        <v>1325000</v>
      </c>
      <c r="P3711" s="59"/>
      <c r="Q3711" s="268">
        <f t="shared" si="175"/>
        <v>1325000</v>
      </c>
      <c r="R3711" s="61">
        <f>IF(O3711=0,0,SUMIFS(Disbursements!$T:$T,Disbursements!$B:$B,'Live Collections'!D3711,Disbursements!$D:$D,'Live Collections'!F3711))</f>
        <v>1325000</v>
      </c>
      <c r="S3711" s="304">
        <f>IF(O3711&lt;=IF($O3711=0,0,SUMIFS(Disbursements!$W:$W,Disbursements!$B:$B,'Live Collections'!D3711,Disbursements!$D:$D,'Live Collections'!F3711)),O3711,IF($O3711=0,0,SUMIFS(Disbursements!$W:$W,Disbursements!$B:$B,'Live Collections'!D3711,Disbursements!$D:$D,'Live Collections'!F3711)))</f>
        <v>325000</v>
      </c>
      <c r="T3711" s="304">
        <f t="shared" si="177"/>
        <v>1000000</v>
      </c>
      <c r="U3711" s="52"/>
      <c r="V3711" s="34"/>
      <c r="W3711" s="408"/>
    </row>
    <row r="3712" spans="1:23" ht="12.75" customHeight="1" x14ac:dyDescent="0.2">
      <c r="A3712" s="257">
        <v>3722</v>
      </c>
      <c r="B3712" s="44">
        <v>44655</v>
      </c>
      <c r="C3712" s="44">
        <f t="shared" si="178"/>
        <v>44655</v>
      </c>
      <c r="D3712" s="374">
        <v>342</v>
      </c>
      <c r="E3712" s="291" t="str">
        <f>IFERROR(VLOOKUP($D3712,'Clients-Live'!$A:$C,3,0),"")</f>
        <v>NYAUSI SHABAN LAWRENCE</v>
      </c>
      <c r="F3712" s="291">
        <f>IFERROR(INDEX(Disbursements!$D:$D,MATCH('Live Collections'!G3712,Disbursements!$C:$C,0)),"")</f>
        <v>1</v>
      </c>
      <c r="G3712" s="34">
        <v>496</v>
      </c>
      <c r="H3712" s="34">
        <v>5748</v>
      </c>
      <c r="I3712" s="34" t="s">
        <v>1359</v>
      </c>
      <c r="J3712" s="48"/>
      <c r="K3712" s="48"/>
      <c r="L3712" s="48"/>
      <c r="M3712" s="48"/>
      <c r="N3712" s="59"/>
      <c r="O3712" s="59"/>
      <c r="P3712" s="59">
        <v>50000</v>
      </c>
      <c r="Q3712" s="268">
        <f t="shared" si="175"/>
        <v>50000</v>
      </c>
      <c r="R3712" s="61">
        <f>IF(O3712=0,0,SUMIFS(Disbursements!$T:$T,Disbursements!$B:$B,'Live Collections'!D3712,Disbursements!$D:$D,'Live Collections'!F3712))</f>
        <v>0</v>
      </c>
      <c r="S3712" s="304">
        <f>IF(O3712&lt;=IF($O3712=0,0,SUMIFS(Disbursements!$W:$W,Disbursements!$B:$B,'Live Collections'!D3712,Disbursements!$D:$D,'Live Collections'!F3712)),O3712,IF($O3712=0,0,SUMIFS(Disbursements!$W:$W,Disbursements!$B:$B,'Live Collections'!D3712,Disbursements!$D:$D,'Live Collections'!F3712)))</f>
        <v>0</v>
      </c>
      <c r="T3712" s="304">
        <f t="shared" si="177"/>
        <v>0</v>
      </c>
      <c r="U3712" s="52"/>
      <c r="V3712" s="34"/>
      <c r="W3712" s="408"/>
    </row>
    <row r="3713" spans="1:23" ht="12.75" customHeight="1" x14ac:dyDescent="0.2">
      <c r="A3713" s="257">
        <v>3723</v>
      </c>
      <c r="B3713" s="44">
        <v>44655</v>
      </c>
      <c r="C3713" s="44">
        <f t="shared" si="178"/>
        <v>44655</v>
      </c>
      <c r="D3713" s="374">
        <v>345</v>
      </c>
      <c r="E3713" s="291" t="str">
        <f>IFERROR(VLOOKUP($D3713,'Clients-Live'!$A:$C,3,0),"")</f>
        <v>MENGE ABDURAHAMAN RATIB</v>
      </c>
      <c r="F3713" s="291">
        <f>IFERROR(INDEX(Disbursements!$D:$D,MATCH('Live Collections'!G3713,Disbursements!$C:$C,0)),"")</f>
        <v>1</v>
      </c>
      <c r="G3713" s="34">
        <v>490</v>
      </c>
      <c r="H3713" s="34">
        <v>5651</v>
      </c>
      <c r="I3713" s="34" t="s">
        <v>1357</v>
      </c>
      <c r="J3713" s="48"/>
      <c r="K3713" s="48"/>
      <c r="L3713" s="48"/>
      <c r="M3713" s="48"/>
      <c r="N3713" s="59"/>
      <c r="O3713" s="59">
        <v>80000</v>
      </c>
      <c r="P3713" s="59"/>
      <c r="Q3713" s="268">
        <f t="shared" si="175"/>
        <v>80000</v>
      </c>
      <c r="R3713" s="61">
        <f>IF(O3713=0,0,SUMIFS(Disbursements!$T:$T,Disbursements!$B:$B,'Live Collections'!D3713,Disbursements!$D:$D,'Live Collections'!F3713))</f>
        <v>323000</v>
      </c>
      <c r="S3713" s="304">
        <f>IF(O3713&lt;=IF($O3713=0,0,SUMIFS(Disbursements!$W:$W,Disbursements!$B:$B,'Live Collections'!D3713,Disbursements!$D:$D,'Live Collections'!F3713)),O3713,IF($O3713=0,0,SUMIFS(Disbursements!$W:$W,Disbursements!$B:$B,'Live Collections'!D3713,Disbursements!$D:$D,'Live Collections'!F3713)))</f>
        <v>23000</v>
      </c>
      <c r="T3713" s="304">
        <f t="shared" si="177"/>
        <v>57000</v>
      </c>
      <c r="U3713" s="52"/>
      <c r="V3713" s="34"/>
      <c r="W3713" s="408"/>
    </row>
    <row r="3714" spans="1:23" ht="12.75" customHeight="1" x14ac:dyDescent="0.2">
      <c r="A3714" s="257">
        <v>3724</v>
      </c>
      <c r="B3714" s="44">
        <v>44655</v>
      </c>
      <c r="C3714" s="44">
        <f t="shared" si="178"/>
        <v>44655</v>
      </c>
      <c r="D3714" s="374">
        <v>330</v>
      </c>
      <c r="E3714" s="291" t="str">
        <f>IFERROR(VLOOKUP($D3714,'Clients-Live'!$A:$C,3,0),"")</f>
        <v>BACIA AISHA</v>
      </c>
      <c r="F3714" s="291">
        <f>IFERROR(INDEX(Disbursements!$D:$D,MATCH('Live Collections'!G3714,Disbursements!$C:$C,0)),"")</f>
        <v>1</v>
      </c>
      <c r="G3714" s="34">
        <v>462</v>
      </c>
      <c r="H3714" s="34">
        <v>5531</v>
      </c>
      <c r="I3714" s="34" t="s">
        <v>1357</v>
      </c>
      <c r="J3714" s="48"/>
      <c r="K3714" s="48"/>
      <c r="L3714" s="48"/>
      <c r="M3714" s="48"/>
      <c r="N3714" s="59"/>
      <c r="O3714" s="59">
        <v>139500</v>
      </c>
      <c r="P3714" s="59"/>
      <c r="Q3714" s="268">
        <f t="shared" si="175"/>
        <v>139500</v>
      </c>
      <c r="R3714" s="61">
        <f>IF(O3714=0,0,SUMIFS(Disbursements!$T:$T,Disbursements!$B:$B,'Live Collections'!D3714,Disbursements!$D:$D,'Live Collections'!F3714))</f>
        <v>140000</v>
      </c>
      <c r="S3714" s="304">
        <f>IF(O3714&lt;=IF($O3714=0,0,SUMIFS(Disbursements!$W:$W,Disbursements!$B:$B,'Live Collections'!D3714,Disbursements!$D:$D,'Live Collections'!F3714)),O3714,IF($O3714=0,0,SUMIFS(Disbursements!$W:$W,Disbursements!$B:$B,'Live Collections'!D3714,Disbursements!$D:$D,'Live Collections'!F3714)))</f>
        <v>23333.333333333328</v>
      </c>
      <c r="T3714" s="304">
        <f t="shared" si="177"/>
        <v>116166.66666666667</v>
      </c>
      <c r="U3714" s="52"/>
      <c r="V3714" s="34"/>
      <c r="W3714" s="408"/>
    </row>
    <row r="3715" spans="1:23" ht="12.75" customHeight="1" x14ac:dyDescent="0.2">
      <c r="A3715" s="257">
        <v>3725</v>
      </c>
      <c r="B3715" s="44">
        <v>44655</v>
      </c>
      <c r="C3715" s="44">
        <f t="shared" si="178"/>
        <v>44655</v>
      </c>
      <c r="D3715" s="374">
        <v>109</v>
      </c>
      <c r="E3715" s="291" t="str">
        <f>IFERROR(VLOOKUP($D3715,'Clients-Live'!$A:$C,3,0),"")</f>
        <v>TABU KISA</v>
      </c>
      <c r="F3715" s="291">
        <f>IFERROR(INDEX(Disbursements!$D:$D,MATCH('Live Collections'!G3715,Disbursements!$C:$C,0)),"")</f>
        <v>3</v>
      </c>
      <c r="G3715" s="34">
        <v>495</v>
      </c>
      <c r="H3715" s="34">
        <v>5749</v>
      </c>
      <c r="I3715" s="34" t="s">
        <v>1357</v>
      </c>
      <c r="J3715" s="48"/>
      <c r="K3715" s="48"/>
      <c r="L3715" s="48"/>
      <c r="M3715" s="48"/>
      <c r="N3715" s="59"/>
      <c r="O3715" s="59"/>
      <c r="P3715" s="59">
        <v>30000</v>
      </c>
      <c r="Q3715" s="268">
        <f t="shared" si="175"/>
        <v>30000</v>
      </c>
      <c r="R3715" s="61">
        <f>IF(O3715=0,0,SUMIFS(Disbursements!$T:$T,Disbursements!$B:$B,'Live Collections'!D3715,Disbursements!$D:$D,'Live Collections'!F3715))</f>
        <v>0</v>
      </c>
      <c r="S3715" s="304">
        <f>IF(O3715&lt;=IF($O3715=0,0,SUMIFS(Disbursements!$W:$W,Disbursements!$B:$B,'Live Collections'!D3715,Disbursements!$D:$D,'Live Collections'!F3715)),O3715,IF($O3715=0,0,SUMIFS(Disbursements!$W:$W,Disbursements!$B:$B,'Live Collections'!D3715,Disbursements!$D:$D,'Live Collections'!F3715)))</f>
        <v>0</v>
      </c>
      <c r="T3715" s="304">
        <f t="shared" si="177"/>
        <v>0</v>
      </c>
      <c r="U3715" s="52"/>
      <c r="V3715" s="34"/>
      <c r="W3715" s="408"/>
    </row>
    <row r="3716" spans="1:23" ht="12.75" customHeight="1" x14ac:dyDescent="0.2">
      <c r="A3716" s="257">
        <v>3726</v>
      </c>
      <c r="B3716" s="44">
        <v>44655</v>
      </c>
      <c r="C3716" s="44">
        <f t="shared" si="178"/>
        <v>44655</v>
      </c>
      <c r="D3716" s="374">
        <v>3</v>
      </c>
      <c r="E3716" s="291" t="str">
        <f>IFERROR(VLOOKUP($D3716,'Clients-Live'!$A:$C,3,0),"")</f>
        <v>YEKA ARIJABU</v>
      </c>
      <c r="F3716" s="291">
        <f>IFERROR(INDEX(Disbursements!$D:$D,MATCH('Live Collections'!G3716,Disbursements!$C:$C,0)),"")</f>
        <v>2</v>
      </c>
      <c r="G3716" s="34">
        <v>443</v>
      </c>
      <c r="H3716" s="34">
        <v>5746</v>
      </c>
      <c r="I3716" s="34" t="s">
        <v>1357</v>
      </c>
      <c r="J3716" s="48"/>
      <c r="K3716" s="48"/>
      <c r="L3716" s="48"/>
      <c r="M3716" s="48"/>
      <c r="N3716" s="59"/>
      <c r="O3716" s="59">
        <v>130000</v>
      </c>
      <c r="P3716" s="59"/>
      <c r="Q3716" s="268">
        <f t="shared" si="175"/>
        <v>130000</v>
      </c>
      <c r="R3716" s="61">
        <f>IF(O3716=0,0,SUMIFS(Disbursements!$T:$T,Disbursements!$B:$B,'Live Collections'!D3716,Disbursements!$D:$D,'Live Collections'!F3716))</f>
        <v>116000</v>
      </c>
      <c r="S3716" s="304">
        <f>IF(O3716&lt;=IF($O3716=0,0,SUMIFS(Disbursements!$W:$W,Disbursements!$B:$B,'Live Collections'!D3716,Disbursements!$D:$D,'Live Collections'!F3716)),O3716,IF($O3716=0,0,SUMIFS(Disbursements!$W:$W,Disbursements!$B:$B,'Live Collections'!D3716,Disbursements!$D:$D,'Live Collections'!F3716)))</f>
        <v>32666.666666666672</v>
      </c>
      <c r="T3716" s="304">
        <f t="shared" si="177"/>
        <v>97333.333333333328</v>
      </c>
      <c r="U3716" s="52"/>
      <c r="V3716" s="34"/>
      <c r="W3716" s="408"/>
    </row>
    <row r="3717" spans="1:23" ht="12.75" customHeight="1" x14ac:dyDescent="0.2">
      <c r="A3717" s="257">
        <v>3727</v>
      </c>
      <c r="B3717" s="44">
        <v>44655</v>
      </c>
      <c r="C3717" s="44">
        <f t="shared" si="178"/>
        <v>44655</v>
      </c>
      <c r="D3717" s="374">
        <v>10</v>
      </c>
      <c r="E3717" s="291" t="str">
        <f>IFERROR(VLOOKUP($D3717,'Clients-Live'!$A:$C,3,0),"")</f>
        <v>WARU ARIEYE VALENTINA CHARLES</v>
      </c>
      <c r="F3717" s="291">
        <f>IFERROR(INDEX(Disbursements!$D:$D,MATCH('Live Collections'!G3717,Disbursements!$C:$C,0)),"")</f>
        <v>1</v>
      </c>
      <c r="G3717" s="34">
        <v>334</v>
      </c>
      <c r="H3717" s="34">
        <v>5745</v>
      </c>
      <c r="I3717" s="34" t="s">
        <v>1357</v>
      </c>
      <c r="J3717" s="48"/>
      <c r="K3717" s="48"/>
      <c r="L3717" s="48"/>
      <c r="M3717" s="48"/>
      <c r="N3717" s="59"/>
      <c r="O3717" s="59">
        <v>125000</v>
      </c>
      <c r="P3717" s="59"/>
      <c r="Q3717" s="268">
        <f t="shared" si="175"/>
        <v>125000</v>
      </c>
      <c r="R3717" s="61">
        <f>IF(O3717=0,0,SUMIFS(Disbursements!$T:$T,Disbursements!$B:$B,'Live Collections'!D3717,Disbursements!$D:$D,'Live Collections'!F3717))</f>
        <v>125000</v>
      </c>
      <c r="S3717" s="304">
        <v>100000</v>
      </c>
      <c r="T3717" s="304">
        <v>25000</v>
      </c>
      <c r="U3717" s="52"/>
      <c r="V3717" s="34"/>
      <c r="W3717" s="408"/>
    </row>
    <row r="3718" spans="1:23" ht="12.75" customHeight="1" x14ac:dyDescent="0.2">
      <c r="A3718" s="257">
        <v>3728</v>
      </c>
      <c r="B3718" s="44">
        <v>44655</v>
      </c>
      <c r="C3718" s="44">
        <f t="shared" si="178"/>
        <v>44655</v>
      </c>
      <c r="D3718" s="374">
        <v>287</v>
      </c>
      <c r="E3718" s="291" t="str">
        <f>IFERROR(VLOOKUP($D3718,'Clients-Live'!$A:$C,3,0),"")</f>
        <v>FAITH JOSEPHINE</v>
      </c>
      <c r="F3718" s="291">
        <f>IFERROR(INDEX(Disbursements!$D:$D,MATCH('Live Collections'!G3718,Disbursements!$C:$C,0)),"")</f>
        <v>1</v>
      </c>
      <c r="G3718" s="34">
        <v>350</v>
      </c>
      <c r="H3718" s="34" t="s">
        <v>2282</v>
      </c>
      <c r="I3718" s="34" t="s">
        <v>1359</v>
      </c>
      <c r="J3718" s="48"/>
      <c r="K3718" s="48"/>
      <c r="L3718" s="48"/>
      <c r="M3718" s="48"/>
      <c r="N3718" s="59"/>
      <c r="O3718" s="59">
        <v>60000</v>
      </c>
      <c r="P3718" s="59">
        <v>-60000</v>
      </c>
      <c r="Q3718" s="268">
        <f t="shared" si="175"/>
        <v>0</v>
      </c>
      <c r="R3718" s="61">
        <f>IF(O3718=0,0,SUMIFS(Disbursements!$T:$T,Disbursements!$B:$B,'Live Collections'!D3718,Disbursements!$D:$D,'Live Collections'!F3718))</f>
        <v>150000</v>
      </c>
      <c r="S3718" s="304">
        <f>IF(O3718&lt;=IF($O3718=0,0,SUMIFS(Disbursements!$W:$W,Disbursements!$B:$B,'Live Collections'!D3718,Disbursements!$D:$D,'Live Collections'!F3718)),O3718,IF($O3718=0,0,SUMIFS(Disbursements!$W:$W,Disbursements!$B:$B,'Live Collections'!D3718,Disbursements!$D:$D,'Live Collections'!F3718)))</f>
        <v>30000</v>
      </c>
      <c r="T3718" s="304">
        <f t="shared" si="177"/>
        <v>30000</v>
      </c>
      <c r="U3718" s="52"/>
      <c r="V3718" s="34"/>
      <c r="W3718" s="408"/>
    </row>
    <row r="3719" spans="1:23" ht="12.75" customHeight="1" x14ac:dyDescent="0.2">
      <c r="A3719" s="257">
        <v>3729</v>
      </c>
      <c r="B3719" s="44">
        <v>44655</v>
      </c>
      <c r="C3719" s="44">
        <f t="shared" si="178"/>
        <v>44655</v>
      </c>
      <c r="D3719" s="374">
        <v>287</v>
      </c>
      <c r="E3719" s="291" t="str">
        <f>IFERROR(VLOOKUP($D3719,'Clients-Live'!$A:$C,3,0),"")</f>
        <v>FAITH JOSEPHINE</v>
      </c>
      <c r="F3719" s="291">
        <f>IFERROR(INDEX(Disbursements!$D:$D,MATCH('Live Collections'!G3719,Disbursements!$C:$C,0)),"")</f>
        <v>1</v>
      </c>
      <c r="G3719" s="34">
        <v>350</v>
      </c>
      <c r="H3719" s="34">
        <v>5743</v>
      </c>
      <c r="I3719" s="34" t="s">
        <v>1359</v>
      </c>
      <c r="J3719" s="48"/>
      <c r="K3719" s="48"/>
      <c r="L3719" s="48"/>
      <c r="M3719" s="48"/>
      <c r="N3719" s="59"/>
      <c r="O3719" s="59">
        <v>150000</v>
      </c>
      <c r="P3719" s="59"/>
      <c r="Q3719" s="268">
        <f t="shared" si="175"/>
        <v>150000</v>
      </c>
      <c r="R3719" s="61">
        <f>IF(O3719=0,0,SUMIFS(Disbursements!$T:$T,Disbursements!$B:$B,'Live Collections'!D3719,Disbursements!$D:$D,'Live Collections'!F3719))</f>
        <v>150000</v>
      </c>
      <c r="S3719" s="64">
        <v>20000</v>
      </c>
      <c r="T3719" s="304">
        <f t="shared" si="177"/>
        <v>130000</v>
      </c>
      <c r="U3719" s="52"/>
      <c r="V3719" s="34"/>
      <c r="W3719" s="408"/>
    </row>
    <row r="3720" spans="1:23" ht="12.75" customHeight="1" x14ac:dyDescent="0.2">
      <c r="A3720" s="257">
        <v>3730</v>
      </c>
      <c r="B3720" s="44">
        <v>44655</v>
      </c>
      <c r="C3720" s="44">
        <f t="shared" si="178"/>
        <v>44655</v>
      </c>
      <c r="D3720" s="374">
        <v>205</v>
      </c>
      <c r="E3720" s="291" t="str">
        <f>IFERROR(VLOOKUP($D3720,'Clients-Live'!$A:$C,3,0),"")</f>
        <v>OPIRU ALICE</v>
      </c>
      <c r="F3720" s="291">
        <f>IFERROR(INDEX(Disbursements!$D:$D,MATCH('Live Collections'!G3720,Disbursements!$C:$C,0)),"")</f>
        <v>2</v>
      </c>
      <c r="G3720" s="34">
        <v>396</v>
      </c>
      <c r="H3720" s="34">
        <v>5742</v>
      </c>
      <c r="I3720" s="34" t="s">
        <v>1359</v>
      </c>
      <c r="J3720" s="48"/>
      <c r="K3720" s="48"/>
      <c r="L3720" s="48"/>
      <c r="M3720" s="48"/>
      <c r="N3720" s="59"/>
      <c r="O3720" s="59">
        <v>10000</v>
      </c>
      <c r="P3720" s="59"/>
      <c r="Q3720" s="268">
        <f t="shared" si="175"/>
        <v>10000</v>
      </c>
      <c r="R3720" s="61">
        <f>IF(O3720=0,0,SUMIFS(Disbursements!$T:$T,Disbursements!$B:$B,'Live Collections'!D3720,Disbursements!$D:$D,'Live Collections'!F3720))</f>
        <v>40000</v>
      </c>
      <c r="S3720" s="304">
        <f>IF(O3720&lt;=IF($O3720=0,0,SUMIFS(Disbursements!$W:$W,Disbursements!$B:$B,'Live Collections'!D3720,Disbursements!$D:$D,'Live Collections'!F3720)),O3720,IF($O3720=0,0,SUMIFS(Disbursements!$W:$W,Disbursements!$B:$B,'Live Collections'!D3720,Disbursements!$D:$D,'Live Collections'!F3720)))</f>
        <v>8750</v>
      </c>
      <c r="T3720" s="304">
        <f t="shared" si="177"/>
        <v>1250</v>
      </c>
      <c r="U3720" s="52"/>
      <c r="V3720" s="34"/>
      <c r="W3720" s="408"/>
    </row>
    <row r="3721" spans="1:23" ht="12.75" customHeight="1" x14ac:dyDescent="0.2">
      <c r="A3721" s="257">
        <v>3731</v>
      </c>
      <c r="B3721" s="44">
        <v>44655</v>
      </c>
      <c r="C3721" s="44">
        <f t="shared" si="178"/>
        <v>44655</v>
      </c>
      <c r="D3721" s="374">
        <v>270</v>
      </c>
      <c r="E3721" s="291" t="str">
        <f>IFERROR(VLOOKUP($D3721,'Clients-Live'!$A:$C,3,0),"")</f>
        <v>AJOBE SAMUEL</v>
      </c>
      <c r="F3721" s="291">
        <f>IFERROR(INDEX(Disbursements!$D:$D,MATCH('Live Collections'!G3721,Disbursements!$C:$C,0)),"")</f>
        <v>2</v>
      </c>
      <c r="G3721" s="34">
        <v>435</v>
      </c>
      <c r="H3721" s="34">
        <v>5741</v>
      </c>
      <c r="I3721" s="34" t="s">
        <v>1359</v>
      </c>
      <c r="J3721" s="48"/>
      <c r="K3721" s="48"/>
      <c r="L3721" s="48"/>
      <c r="M3721" s="48"/>
      <c r="N3721" s="59"/>
      <c r="O3721" s="59">
        <v>100000</v>
      </c>
      <c r="P3721" s="59"/>
      <c r="Q3721" s="268">
        <f t="shared" si="175"/>
        <v>100000</v>
      </c>
      <c r="R3721" s="61">
        <f>IF(O3721=0,0,SUMIFS(Disbursements!$T:$T,Disbursements!$B:$B,'Live Collections'!D3721,Disbursements!$D:$D,'Live Collections'!F3721))</f>
        <v>245000</v>
      </c>
      <c r="S3721" s="304">
        <f>IF(O3721&lt;=IF($O3721=0,0,SUMIFS(Disbursements!$W:$W,Disbursements!$B:$B,'Live Collections'!D3721,Disbursements!$D:$D,'Live Collections'!F3721)),O3721,IF($O3721=0,0,SUMIFS(Disbursements!$W:$W,Disbursements!$B:$B,'Live Collections'!D3721,Disbursements!$D:$D,'Live Collections'!F3721)))</f>
        <v>45000</v>
      </c>
      <c r="T3721" s="304">
        <f t="shared" si="177"/>
        <v>55000</v>
      </c>
      <c r="U3721" s="52"/>
      <c r="V3721" s="34"/>
      <c r="W3721" s="408"/>
    </row>
    <row r="3722" spans="1:23" ht="12.75" customHeight="1" x14ac:dyDescent="0.2">
      <c r="A3722" s="257">
        <v>3732</v>
      </c>
      <c r="B3722" s="44">
        <v>44655</v>
      </c>
      <c r="C3722" s="44">
        <f t="shared" si="178"/>
        <v>44655</v>
      </c>
      <c r="D3722" s="374">
        <v>42</v>
      </c>
      <c r="E3722" s="291" t="str">
        <f>IFERROR(VLOOKUP($D3722,'Clients-Live'!$A:$C,3,0),"")</f>
        <v>ABAU   NOLA</v>
      </c>
      <c r="F3722" s="291" t="str">
        <f>IFERROR(INDEX(Disbursements!$D:$D,MATCH('Live Collections'!G3722,Disbursements!$C:$C,0)),"")</f>
        <v/>
      </c>
      <c r="G3722" s="34"/>
      <c r="H3722" s="34">
        <v>5705</v>
      </c>
      <c r="I3722" s="34" t="s">
        <v>1359</v>
      </c>
      <c r="J3722" s="48"/>
      <c r="K3722" s="48"/>
      <c r="L3722" s="48">
        <v>15000</v>
      </c>
      <c r="M3722" s="48">
        <v>5000</v>
      </c>
      <c r="N3722" s="59"/>
      <c r="O3722" s="59"/>
      <c r="P3722" s="59"/>
      <c r="Q3722" s="268">
        <f t="shared" si="175"/>
        <v>20000</v>
      </c>
      <c r="R3722" s="61">
        <f>IF(O3722=0,0,SUMIFS(Disbursements!$T:$T,Disbursements!$B:$B,'Live Collections'!D3722,Disbursements!$D:$D,'Live Collections'!F3722))</f>
        <v>0</v>
      </c>
      <c r="S3722" s="304">
        <f>IF(O3722&lt;=IF($O3722=0,0,SUMIFS(Disbursements!$W:$W,Disbursements!$B:$B,'Live Collections'!D3722,Disbursements!$D:$D,'Live Collections'!F3722)),O3722,IF($O3722=0,0,SUMIFS(Disbursements!$W:$W,Disbursements!$B:$B,'Live Collections'!D3722,Disbursements!$D:$D,'Live Collections'!F3722)))</f>
        <v>0</v>
      </c>
      <c r="T3722" s="304">
        <f t="shared" si="177"/>
        <v>0</v>
      </c>
      <c r="U3722" s="52"/>
      <c r="V3722" s="34"/>
      <c r="W3722" s="408"/>
    </row>
    <row r="3723" spans="1:23" ht="12.75" customHeight="1" x14ac:dyDescent="0.2">
      <c r="A3723" s="257">
        <v>3733</v>
      </c>
      <c r="B3723" s="44">
        <v>44655</v>
      </c>
      <c r="C3723" s="44">
        <f t="shared" si="178"/>
        <v>44655</v>
      </c>
      <c r="D3723" s="374">
        <v>309</v>
      </c>
      <c r="E3723" s="291" t="str">
        <f>IFERROR(VLOOKUP($D3723,'Clients-Live'!$A:$C,3,0),"")</f>
        <v>NAMBOZO HALIMA</v>
      </c>
      <c r="F3723" s="291">
        <f>IFERROR(INDEX(Disbursements!$D:$D,MATCH('Live Collections'!G3723,Disbursements!$C:$C,0)),"")</f>
        <v>1</v>
      </c>
      <c r="G3723" s="34">
        <v>391</v>
      </c>
      <c r="H3723" s="34">
        <v>5530</v>
      </c>
      <c r="I3723" s="34" t="s">
        <v>1357</v>
      </c>
      <c r="J3723" s="48"/>
      <c r="K3723" s="48"/>
      <c r="L3723" s="48"/>
      <c r="M3723" s="48"/>
      <c r="N3723" s="59"/>
      <c r="O3723" s="59">
        <v>70000</v>
      </c>
      <c r="P3723" s="59"/>
      <c r="Q3723" s="268">
        <f t="shared" si="175"/>
        <v>70000</v>
      </c>
      <c r="R3723" s="61">
        <f>IF(O3723=0,0,SUMIFS(Disbursements!$T:$T,Disbursements!$B:$B,'Live Collections'!D3723,Disbursements!$D:$D,'Live Collections'!F3723))</f>
        <v>79000</v>
      </c>
      <c r="S3723" s="304"/>
      <c r="T3723" s="304">
        <f t="shared" si="177"/>
        <v>70000</v>
      </c>
      <c r="U3723" s="52"/>
      <c r="V3723" s="34"/>
      <c r="W3723" s="408"/>
    </row>
    <row r="3724" spans="1:23" ht="12.75" customHeight="1" x14ac:dyDescent="0.2">
      <c r="A3724" s="257">
        <v>3734</v>
      </c>
      <c r="B3724" s="44">
        <v>44655</v>
      </c>
      <c r="C3724" s="44">
        <f t="shared" si="178"/>
        <v>44655</v>
      </c>
      <c r="D3724" s="374">
        <v>6</v>
      </c>
      <c r="E3724" s="291" t="str">
        <f>IFERROR(VLOOKUP($D3724,'Clients-Live'!$A:$C,3,0),"")</f>
        <v>AMUTE BASHIR</v>
      </c>
      <c r="F3724" s="291">
        <f>IFERROR(INDEX(Disbursements!$D:$D,MATCH('Live Collections'!G3724,Disbursements!$C:$C,0)),"")</f>
        <v>3</v>
      </c>
      <c r="G3724" s="34">
        <v>418</v>
      </c>
      <c r="H3724" s="34">
        <v>5714</v>
      </c>
      <c r="I3724" s="34" t="s">
        <v>1358</v>
      </c>
      <c r="J3724" s="48"/>
      <c r="K3724" s="48"/>
      <c r="L3724" s="48"/>
      <c r="M3724" s="48"/>
      <c r="N3724" s="59"/>
      <c r="O3724" s="59">
        <v>100000</v>
      </c>
      <c r="P3724" s="59"/>
      <c r="Q3724" s="268">
        <f t="shared" si="175"/>
        <v>100000</v>
      </c>
      <c r="R3724" s="61">
        <f>IF(O3724=0,0,SUMIFS(Disbursements!$T:$T,Disbursements!$B:$B,'Live Collections'!D3724,Disbursements!$D:$D,'Live Collections'!F3724))</f>
        <v>1159000</v>
      </c>
      <c r="S3724" s="304">
        <f>IF(O3724&lt;=IF($O3724=0,0,SUMIFS(Disbursements!$W:$W,Disbursements!$B:$B,'Live Collections'!D3724,Disbursements!$D:$D,'Live Collections'!F3724)),O3724,IF($O3724=0,0,SUMIFS(Disbursements!$W:$W,Disbursements!$B:$B,'Live Collections'!D3724,Disbursements!$D:$D,'Live Collections'!F3724)))</f>
        <v>100000</v>
      </c>
      <c r="T3724" s="304">
        <f t="shared" si="177"/>
        <v>0</v>
      </c>
      <c r="U3724" s="52"/>
      <c r="V3724" s="34"/>
      <c r="W3724" s="408"/>
    </row>
    <row r="3725" spans="1:23" ht="12.75" customHeight="1" x14ac:dyDescent="0.2">
      <c r="A3725" s="257">
        <v>3735</v>
      </c>
      <c r="B3725" s="44">
        <v>44656</v>
      </c>
      <c r="C3725" s="44">
        <f t="shared" si="178"/>
        <v>44656</v>
      </c>
      <c r="D3725" s="374">
        <v>40</v>
      </c>
      <c r="E3725" s="291" t="str">
        <f>IFERROR(VLOOKUP($D3725,'Clients-Live'!$A:$C,3,0),"")</f>
        <v>TABU JANE</v>
      </c>
      <c r="F3725" s="291">
        <f>IFERROR(INDEX(Disbursements!$D:$D,MATCH('Live Collections'!G3725,Disbursements!$C:$C,0)),"")</f>
        <v>2</v>
      </c>
      <c r="G3725" s="34">
        <v>230</v>
      </c>
      <c r="H3725" s="34">
        <v>5657</v>
      </c>
      <c r="I3725" s="34" t="s">
        <v>1358</v>
      </c>
      <c r="J3725" s="48"/>
      <c r="K3725" s="48"/>
      <c r="L3725" s="48"/>
      <c r="M3725" s="48"/>
      <c r="N3725" s="59"/>
      <c r="O3725" s="59">
        <v>20000</v>
      </c>
      <c r="P3725" s="59"/>
      <c r="Q3725" s="268">
        <f t="shared" si="175"/>
        <v>20000</v>
      </c>
      <c r="R3725" s="61">
        <f>IF(O3725=0,0,SUMIFS(Disbursements!$T:$T,Disbursements!$B:$B,'Live Collections'!D3725,Disbursements!$D:$D,'Live Collections'!F3725))</f>
        <v>217000</v>
      </c>
      <c r="S3725" s="304">
        <v>3333.3333333333721</v>
      </c>
      <c r="T3725" s="304">
        <f t="shared" si="177"/>
        <v>16666.666666666628</v>
      </c>
      <c r="U3725" s="52"/>
      <c r="V3725" s="34"/>
      <c r="W3725" s="408"/>
    </row>
    <row r="3726" spans="1:23" ht="12.75" customHeight="1" x14ac:dyDescent="0.2">
      <c r="A3726" s="257">
        <v>3736</v>
      </c>
      <c r="B3726" s="44">
        <v>44656</v>
      </c>
      <c r="C3726" s="44">
        <f t="shared" si="178"/>
        <v>44656</v>
      </c>
      <c r="D3726" s="374">
        <v>289</v>
      </c>
      <c r="E3726" s="291" t="str">
        <f>IFERROR(VLOOKUP($D3726,'Clients-Live'!$A:$C,3,0),"")</f>
        <v>NAUME NIGHT</v>
      </c>
      <c r="F3726" s="291">
        <f>IFERROR(INDEX(Disbursements!$D:$D,MATCH('Live Collections'!G3726,Disbursements!$C:$C,0)),"")</f>
        <v>2</v>
      </c>
      <c r="G3726" s="34">
        <v>497</v>
      </c>
      <c r="H3726" s="34">
        <v>5659</v>
      </c>
      <c r="I3726" s="34" t="s">
        <v>1357</v>
      </c>
      <c r="J3726" s="48"/>
      <c r="K3726" s="48"/>
      <c r="L3726" s="48"/>
      <c r="M3726" s="48"/>
      <c r="N3726" s="59"/>
      <c r="O3726" s="59"/>
      <c r="P3726" s="59">
        <v>60000</v>
      </c>
      <c r="Q3726" s="268">
        <f t="shared" si="175"/>
        <v>60000</v>
      </c>
      <c r="R3726" s="61">
        <f>IF(O3726=0,0,SUMIFS(Disbursements!$T:$T,Disbursements!$B:$B,'Live Collections'!D3726,Disbursements!$D:$D,'Live Collections'!F3726))</f>
        <v>0</v>
      </c>
      <c r="S3726" s="304">
        <f>IF(O3726&lt;=IF($O3726=0,0,SUMIFS(Disbursements!$W:$W,Disbursements!$B:$B,'Live Collections'!D3726,Disbursements!$D:$D,'Live Collections'!F3726)),O3726,IF($O3726=0,0,SUMIFS(Disbursements!$W:$W,Disbursements!$B:$B,'Live Collections'!D3726,Disbursements!$D:$D,'Live Collections'!F3726)))</f>
        <v>0</v>
      </c>
      <c r="T3726" s="304">
        <f t="shared" si="177"/>
        <v>0</v>
      </c>
      <c r="U3726" s="52"/>
      <c r="V3726" s="34"/>
      <c r="W3726" s="408"/>
    </row>
    <row r="3727" spans="1:23" ht="12.75" customHeight="1" x14ac:dyDescent="0.2">
      <c r="A3727" s="257">
        <v>3737</v>
      </c>
      <c r="B3727" s="44">
        <v>44656</v>
      </c>
      <c r="C3727" s="44">
        <f t="shared" si="178"/>
        <v>44656</v>
      </c>
      <c r="D3727" s="374">
        <v>85</v>
      </c>
      <c r="E3727" s="291" t="str">
        <f>IFERROR(VLOOKUP($D3727,'Clients-Live'!$A:$C,3,0),"")</f>
        <v>CEASER SWALEH</v>
      </c>
      <c r="F3727" s="291">
        <f>IFERROR(INDEX(Disbursements!$D:$D,MATCH('Live Collections'!G3727,Disbursements!$C:$C,0)),"")</f>
        <v>3</v>
      </c>
      <c r="G3727" s="34">
        <v>413</v>
      </c>
      <c r="H3727" s="34">
        <v>5547</v>
      </c>
      <c r="I3727" s="34" t="s">
        <v>1357</v>
      </c>
      <c r="J3727" s="48"/>
      <c r="K3727" s="48"/>
      <c r="L3727" s="48"/>
      <c r="M3727" s="48"/>
      <c r="N3727" s="59"/>
      <c r="O3727" s="59">
        <v>140000</v>
      </c>
      <c r="P3727" s="59"/>
      <c r="Q3727" s="268">
        <f t="shared" si="175"/>
        <v>140000</v>
      </c>
      <c r="R3727" s="61">
        <f>IF(O3727=0,0,SUMIFS(Disbursements!$T:$T,Disbursements!$B:$B,'Live Collections'!D3727,Disbursements!$D:$D,'Live Collections'!F3727))</f>
        <v>788000</v>
      </c>
      <c r="S3727" s="304"/>
      <c r="T3727" s="304">
        <f t="shared" si="177"/>
        <v>140000</v>
      </c>
      <c r="U3727" s="52"/>
      <c r="V3727" s="34"/>
      <c r="W3727" s="408"/>
    </row>
    <row r="3728" spans="1:23" ht="12.75" customHeight="1" x14ac:dyDescent="0.2">
      <c r="A3728" s="257">
        <v>3738</v>
      </c>
      <c r="B3728" s="44">
        <v>44656</v>
      </c>
      <c r="C3728" s="44">
        <f t="shared" si="178"/>
        <v>44656</v>
      </c>
      <c r="D3728" s="374">
        <v>42</v>
      </c>
      <c r="E3728" s="291" t="str">
        <f>IFERROR(VLOOKUP($D3728,'Clients-Live'!$A:$C,3,0),"")</f>
        <v>ABAU   NOLA</v>
      </c>
      <c r="F3728" s="291">
        <f>IFERROR(INDEX(Disbursements!$D:$D,MATCH('Live Collections'!G3728,Disbursements!$C:$C,0)),"")</f>
        <v>3</v>
      </c>
      <c r="G3728" s="34">
        <v>405</v>
      </c>
      <c r="H3728" s="34" t="s">
        <v>2294</v>
      </c>
      <c r="I3728" s="34" t="s">
        <v>1359</v>
      </c>
      <c r="J3728" s="48"/>
      <c r="K3728" s="48"/>
      <c r="L3728" s="48"/>
      <c r="M3728" s="48"/>
      <c r="N3728" s="59"/>
      <c r="O3728" s="59">
        <v>25000</v>
      </c>
      <c r="P3728" s="59">
        <v>-25000</v>
      </c>
      <c r="Q3728" s="268">
        <f t="shared" si="175"/>
        <v>0</v>
      </c>
      <c r="R3728" s="61">
        <f>IF(O3728=0,0,SUMIFS(Disbursements!$T:$T,Disbursements!$B:$B,'Live Collections'!D3728,Disbursements!$D:$D,'Live Collections'!F3728))</f>
        <v>20000</v>
      </c>
      <c r="S3728" s="304">
        <f>IF(O3728&lt;=IF($O3728=0,0,SUMIFS(Disbursements!$W:$W,Disbursements!$B:$B,'Live Collections'!D3728,Disbursements!$D:$D,'Live Collections'!F3728)),O3728,IF($O3728=0,0,SUMIFS(Disbursements!$W:$W,Disbursements!$B:$B,'Live Collections'!D3728,Disbursements!$D:$D,'Live Collections'!F3728)))</f>
        <v>4375</v>
      </c>
      <c r="T3728" s="304">
        <f t="shared" si="177"/>
        <v>20625</v>
      </c>
      <c r="U3728" s="52"/>
      <c r="V3728" s="34"/>
      <c r="W3728" s="408"/>
    </row>
    <row r="3729" spans="1:23" ht="12.75" customHeight="1" x14ac:dyDescent="0.2">
      <c r="A3729" s="257">
        <v>3739</v>
      </c>
      <c r="B3729" s="44">
        <v>44656</v>
      </c>
      <c r="C3729" s="44">
        <f t="shared" si="178"/>
        <v>44656</v>
      </c>
      <c r="D3729" s="374">
        <v>42</v>
      </c>
      <c r="E3729" s="291" t="str">
        <f>IFERROR(VLOOKUP($D3729,'Clients-Live'!$A:$C,3,0),"")</f>
        <v>ABAU   NOLA</v>
      </c>
      <c r="F3729" s="291">
        <f>IFERROR(INDEX(Disbursements!$D:$D,MATCH('Live Collections'!G3729,Disbursements!$C:$C,0)),"")</f>
        <v>3</v>
      </c>
      <c r="G3729" s="34">
        <v>405</v>
      </c>
      <c r="H3729" s="34">
        <v>5543</v>
      </c>
      <c r="I3729" s="34" t="s">
        <v>1359</v>
      </c>
      <c r="J3729" s="48"/>
      <c r="K3729" s="48"/>
      <c r="L3729" s="48"/>
      <c r="M3729" s="48"/>
      <c r="N3729" s="59"/>
      <c r="O3729" s="59">
        <v>57000</v>
      </c>
      <c r="P3729" s="59"/>
      <c r="Q3729" s="268">
        <f t="shared" si="175"/>
        <v>57000</v>
      </c>
      <c r="R3729" s="61">
        <f>IF(O3729=0,0,SUMIFS(Disbursements!$T:$T,Disbursements!$B:$B,'Live Collections'!D3729,Disbursements!$D:$D,'Live Collections'!F3729))</f>
        <v>20000</v>
      </c>
      <c r="S3729" s="304">
        <v>-625</v>
      </c>
      <c r="T3729" s="304">
        <v>62625</v>
      </c>
      <c r="U3729" s="52"/>
      <c r="V3729" s="34"/>
      <c r="W3729" s="408"/>
    </row>
    <row r="3730" spans="1:23" ht="12.75" customHeight="1" x14ac:dyDescent="0.2">
      <c r="A3730" s="257">
        <v>3740</v>
      </c>
      <c r="B3730" s="44">
        <v>44656</v>
      </c>
      <c r="C3730" s="44">
        <f t="shared" si="178"/>
        <v>44656</v>
      </c>
      <c r="D3730" s="374">
        <v>42</v>
      </c>
      <c r="E3730" s="291" t="str">
        <f>IFERROR(VLOOKUP($D3730,'Clients-Live'!$A:$C,3,0),"")</f>
        <v>ABAU   NOLA</v>
      </c>
      <c r="F3730" s="291">
        <f>IFERROR(INDEX(Disbursements!$D:$D,MATCH('Live Collections'!G3730,Disbursements!$C:$C,0)),"")</f>
        <v>4</v>
      </c>
      <c r="G3730" s="34">
        <v>498</v>
      </c>
      <c r="H3730" s="34">
        <v>5656</v>
      </c>
      <c r="I3730" s="34" t="s">
        <v>1359</v>
      </c>
      <c r="J3730" s="48"/>
      <c r="K3730" s="48"/>
      <c r="L3730" s="48"/>
      <c r="M3730" s="48"/>
      <c r="N3730" s="59"/>
      <c r="O3730" s="59"/>
      <c r="P3730" s="59">
        <v>25000</v>
      </c>
      <c r="Q3730" s="268">
        <f t="shared" si="175"/>
        <v>25000</v>
      </c>
      <c r="R3730" s="61">
        <f>IF(O3730=0,0,SUMIFS(Disbursements!$T:$T,Disbursements!$B:$B,'Live Collections'!D3730,Disbursements!$D:$D,'Live Collections'!F3730))</f>
        <v>0</v>
      </c>
      <c r="S3730" s="304">
        <f>IF(O3730&lt;=IF($O3730=0,0,SUMIFS(Disbursements!$W:$W,Disbursements!$B:$B,'Live Collections'!D3730,Disbursements!$D:$D,'Live Collections'!F3730)),O3730,IF($O3730=0,0,SUMIFS(Disbursements!$W:$W,Disbursements!$B:$B,'Live Collections'!D3730,Disbursements!$D:$D,'Live Collections'!F3730)))</f>
        <v>0</v>
      </c>
      <c r="T3730" s="304">
        <f t="shared" si="177"/>
        <v>0</v>
      </c>
      <c r="U3730" s="52"/>
      <c r="V3730" s="34"/>
      <c r="W3730" s="408"/>
    </row>
    <row r="3731" spans="1:23" ht="12.75" customHeight="1" x14ac:dyDescent="0.2">
      <c r="A3731" s="257">
        <v>3741</v>
      </c>
      <c r="B3731" s="44">
        <v>44656</v>
      </c>
      <c r="C3731" s="44">
        <f t="shared" si="178"/>
        <v>44656</v>
      </c>
      <c r="D3731" s="374">
        <v>346</v>
      </c>
      <c r="E3731" s="291" t="str">
        <f>IFERROR(VLOOKUP($D3731,'Clients-Live'!$A:$C,3,0),"")</f>
        <v>BAKO MASUMBUKA AJUGA</v>
      </c>
      <c r="F3731" s="291">
        <f>IFERROR(INDEX(Disbursements!$D:$D,MATCH('Live Collections'!G3731,Disbursements!$C:$C,0)),"")</f>
        <v>1</v>
      </c>
      <c r="G3731" s="34">
        <v>499</v>
      </c>
      <c r="H3731" s="34">
        <v>5661</v>
      </c>
      <c r="I3731" s="34" t="s">
        <v>1357</v>
      </c>
      <c r="J3731" s="48"/>
      <c r="K3731" s="48"/>
      <c r="L3731" s="48"/>
      <c r="M3731" s="48"/>
      <c r="N3731" s="59"/>
      <c r="O3731" s="59"/>
      <c r="P3731" s="59">
        <v>100000</v>
      </c>
      <c r="Q3731" s="268">
        <f t="shared" si="175"/>
        <v>100000</v>
      </c>
      <c r="R3731" s="61">
        <f>IF(O3731=0,0,SUMIFS(Disbursements!$T:$T,Disbursements!$B:$B,'Live Collections'!D3731,Disbursements!$D:$D,'Live Collections'!F3731))</f>
        <v>0</v>
      </c>
      <c r="S3731" s="304">
        <f>IF(O3731&lt;=IF($O3731=0,0,SUMIFS(Disbursements!$W:$W,Disbursements!$B:$B,'Live Collections'!D3731,Disbursements!$D:$D,'Live Collections'!F3731)),O3731,IF($O3731=0,0,SUMIFS(Disbursements!$W:$W,Disbursements!$B:$B,'Live Collections'!D3731,Disbursements!$D:$D,'Live Collections'!F3731)))</f>
        <v>0</v>
      </c>
      <c r="T3731" s="304">
        <f t="shared" si="177"/>
        <v>0</v>
      </c>
      <c r="U3731" s="52"/>
      <c r="V3731" s="34"/>
      <c r="W3731" s="408"/>
    </row>
    <row r="3732" spans="1:23" ht="12.75" customHeight="1" x14ac:dyDescent="0.2">
      <c r="A3732" s="257">
        <v>3742</v>
      </c>
      <c r="B3732" s="44">
        <v>44656</v>
      </c>
      <c r="C3732" s="44">
        <f t="shared" si="178"/>
        <v>44656</v>
      </c>
      <c r="D3732" s="374">
        <v>72</v>
      </c>
      <c r="E3732" s="291" t="str">
        <f>IFERROR(VLOOKUP($D3732,'Clients-Live'!$A:$C,3,0),"")</f>
        <v>MUNDURU MERCY</v>
      </c>
      <c r="F3732" s="291">
        <f>IFERROR(INDEX(Disbursements!$D:$D,MATCH('Live Collections'!G3732,Disbursements!$C:$C,0)),"")</f>
        <v>2</v>
      </c>
      <c r="G3732" s="34">
        <v>370</v>
      </c>
      <c r="H3732" s="34">
        <v>5546</v>
      </c>
      <c r="I3732" s="34" t="s">
        <v>1358</v>
      </c>
      <c r="J3732" s="48"/>
      <c r="K3732" s="48"/>
      <c r="L3732" s="48"/>
      <c r="M3732" s="48"/>
      <c r="N3732" s="59"/>
      <c r="O3732" s="59">
        <v>60000</v>
      </c>
      <c r="P3732" s="59"/>
      <c r="Q3732" s="268">
        <f t="shared" si="175"/>
        <v>60000</v>
      </c>
      <c r="R3732" s="61">
        <f>IF(O3732=0,0,SUMIFS(Disbursements!$T:$T,Disbursements!$B:$B,'Live Collections'!D3732,Disbursements!$D:$D,'Live Collections'!F3732))</f>
        <v>260000</v>
      </c>
      <c r="S3732" s="304">
        <f>IF(O3732&lt;=IF($O3732=0,0,SUMIFS(Disbursements!$W:$W,Disbursements!$B:$B,'Live Collections'!D3732,Disbursements!$D:$D,'Live Collections'!F3732)),O3732,IF($O3732=0,0,SUMIFS(Disbursements!$W:$W,Disbursements!$B:$B,'Live Collections'!D3732,Disbursements!$D:$D,'Live Collections'!F3732)))</f>
        <v>60000</v>
      </c>
      <c r="T3732" s="304">
        <f t="shared" si="177"/>
        <v>0</v>
      </c>
      <c r="U3732" s="52"/>
      <c r="V3732" s="34"/>
      <c r="W3732" s="408"/>
    </row>
    <row r="3733" spans="1:23" ht="12.75" customHeight="1" x14ac:dyDescent="0.2">
      <c r="A3733" s="257">
        <v>3743</v>
      </c>
      <c r="B3733" s="44">
        <v>44656</v>
      </c>
      <c r="C3733" s="44">
        <f t="shared" si="178"/>
        <v>44656</v>
      </c>
      <c r="D3733" s="374">
        <v>328</v>
      </c>
      <c r="E3733" s="291" t="str">
        <f>IFERROR(VLOOKUP($D3733,'Clients-Live'!$A:$C,3,0),"")</f>
        <v>AGOTIA JOYCE</v>
      </c>
      <c r="F3733" s="291" t="str">
        <f>IFERROR(INDEX(Disbursements!$D:$D,MATCH('Live Collections'!G3733,Disbursements!$C:$C,0)),"")</f>
        <v/>
      </c>
      <c r="G3733" s="34"/>
      <c r="H3733" s="34">
        <v>5658</v>
      </c>
      <c r="I3733" s="34" t="s">
        <v>1358</v>
      </c>
      <c r="J3733" s="48"/>
      <c r="K3733" s="48"/>
      <c r="L3733" s="48">
        <v>30000</v>
      </c>
      <c r="M3733" s="48">
        <v>5000</v>
      </c>
      <c r="N3733" s="59"/>
      <c r="O3733" s="59"/>
      <c r="P3733" s="59"/>
      <c r="Q3733" s="268">
        <f t="shared" si="175"/>
        <v>35000</v>
      </c>
      <c r="R3733" s="61">
        <f>IF(O3733=0,0,SUMIFS(Disbursements!$T:$T,Disbursements!$B:$B,'Live Collections'!D3733,Disbursements!$D:$D,'Live Collections'!F3733))</f>
        <v>0</v>
      </c>
      <c r="S3733" s="304">
        <f>IF(O3733&lt;=IF($O3733=0,0,SUMIFS(Disbursements!$W:$W,Disbursements!$B:$B,'Live Collections'!D3733,Disbursements!$D:$D,'Live Collections'!F3733)),O3733,IF($O3733=0,0,SUMIFS(Disbursements!$W:$W,Disbursements!$B:$B,'Live Collections'!D3733,Disbursements!$D:$D,'Live Collections'!F3733)))</f>
        <v>0</v>
      </c>
      <c r="T3733" s="304">
        <f t="shared" si="177"/>
        <v>0</v>
      </c>
      <c r="U3733" s="52"/>
      <c r="V3733" s="34"/>
      <c r="W3733" s="408"/>
    </row>
    <row r="3734" spans="1:23" ht="12.75" customHeight="1" x14ac:dyDescent="0.2">
      <c r="A3734" s="257">
        <v>3744</v>
      </c>
      <c r="B3734" s="44">
        <v>44656</v>
      </c>
      <c r="C3734" s="44">
        <f t="shared" si="178"/>
        <v>44656</v>
      </c>
      <c r="D3734" s="374">
        <v>308</v>
      </c>
      <c r="E3734" s="291" t="str">
        <f>IFERROR(VLOOKUP($D3734,'Clients-Live'!$A:$C,3,0),"")</f>
        <v>AYILA CHRISTOPHER</v>
      </c>
      <c r="F3734" s="291" t="str">
        <f>IFERROR(INDEX(Disbursements!$D:$D,MATCH('Live Collections'!G3734,Disbursements!$C:$C,0)),"")</f>
        <v/>
      </c>
      <c r="G3734" s="34"/>
      <c r="H3734" s="34">
        <v>5541</v>
      </c>
      <c r="I3734" s="34" t="s">
        <v>1357</v>
      </c>
      <c r="J3734" s="48"/>
      <c r="K3734" s="48"/>
      <c r="L3734" s="48"/>
      <c r="M3734" s="48"/>
      <c r="N3734" s="59">
        <v>100000</v>
      </c>
      <c r="O3734" s="59"/>
      <c r="P3734" s="59"/>
      <c r="Q3734" s="268">
        <f t="shared" si="175"/>
        <v>100000</v>
      </c>
      <c r="R3734" s="61">
        <f>IF(O3734=0,0,SUMIFS(Disbursements!$T:$T,Disbursements!$B:$B,'Live Collections'!D3734,Disbursements!$D:$D,'Live Collections'!F3734))</f>
        <v>0</v>
      </c>
      <c r="S3734" s="304">
        <f>IF(O3734&lt;=IF($O3734=0,0,SUMIFS(Disbursements!$W:$W,Disbursements!$B:$B,'Live Collections'!D3734,Disbursements!$D:$D,'Live Collections'!F3734)),O3734,IF($O3734=0,0,SUMIFS(Disbursements!$W:$W,Disbursements!$B:$B,'Live Collections'!D3734,Disbursements!$D:$D,'Live Collections'!F3734)))</f>
        <v>0</v>
      </c>
      <c r="T3734" s="304">
        <f t="shared" si="177"/>
        <v>0</v>
      </c>
      <c r="U3734" s="52"/>
      <c r="V3734" s="34"/>
      <c r="W3734" s="408"/>
    </row>
    <row r="3735" spans="1:23" ht="12.75" customHeight="1" x14ac:dyDescent="0.2">
      <c r="A3735" s="257">
        <v>3745</v>
      </c>
      <c r="B3735" s="44">
        <v>44656</v>
      </c>
      <c r="C3735" s="44">
        <f t="shared" si="178"/>
        <v>44656</v>
      </c>
      <c r="D3735" s="374">
        <v>308</v>
      </c>
      <c r="E3735" s="291" t="str">
        <f>IFERROR(VLOOKUP($D3735,'Clients-Live'!$A:$C,3,0),"")</f>
        <v>AYILA CHRISTOPHER</v>
      </c>
      <c r="F3735" s="291">
        <f>IFERROR(INDEX(Disbursements!$D:$D,MATCH('Live Collections'!G3735,Disbursements!$C:$C,0)),"")</f>
        <v>1</v>
      </c>
      <c r="G3735" s="34">
        <v>390</v>
      </c>
      <c r="H3735" s="34">
        <v>5654</v>
      </c>
      <c r="I3735" s="34" t="s">
        <v>1357</v>
      </c>
      <c r="J3735" s="48"/>
      <c r="K3735" s="48"/>
      <c r="L3735" s="48"/>
      <c r="M3735" s="48"/>
      <c r="N3735" s="59"/>
      <c r="O3735" s="59">
        <v>900000</v>
      </c>
      <c r="P3735" s="59"/>
      <c r="Q3735" s="268">
        <f t="shared" si="175"/>
        <v>900000</v>
      </c>
      <c r="R3735" s="61">
        <f>IF(O3735=0,0,SUMIFS(Disbursements!$T:$T,Disbursements!$B:$B,'Live Collections'!D3735,Disbursements!$D:$D,'Live Collections'!F3735))</f>
        <v>858000</v>
      </c>
      <c r="S3735" s="304">
        <f>IF(O3735&lt;=IF($O3735=0,0,SUMIFS(Disbursements!$W:$W,Disbursements!$B:$B,'Live Collections'!D3735,Disbursements!$D:$D,'Live Collections'!F3735)),O3735,IF($O3735=0,0,SUMIFS(Disbursements!$W:$W,Disbursements!$B:$B,'Live Collections'!D3735,Disbursements!$D:$D,'Live Collections'!F3735)))</f>
        <v>158000</v>
      </c>
      <c r="T3735" s="304">
        <f t="shared" si="177"/>
        <v>742000</v>
      </c>
      <c r="U3735" s="52"/>
      <c r="V3735" s="34"/>
      <c r="W3735" s="408"/>
    </row>
    <row r="3736" spans="1:23" ht="12.75" customHeight="1" x14ac:dyDescent="0.2">
      <c r="A3736" s="257">
        <v>3746</v>
      </c>
      <c r="B3736" s="44">
        <v>44656</v>
      </c>
      <c r="C3736" s="44">
        <f t="shared" si="178"/>
        <v>44656</v>
      </c>
      <c r="D3736" s="374">
        <v>229</v>
      </c>
      <c r="E3736" s="291" t="str">
        <f>IFERROR(VLOOKUP($D3736,'Clients-Live'!$A:$C,3,0),"")</f>
        <v>DAWA ANNET</v>
      </c>
      <c r="F3736" s="291">
        <f>IFERROR(INDEX(Disbursements!$D:$D,MATCH('Live Collections'!G3736,Disbursements!$C:$C,0)),"")</f>
        <v>2</v>
      </c>
      <c r="G3736" s="34">
        <v>454</v>
      </c>
      <c r="H3736" s="34">
        <v>5451</v>
      </c>
      <c r="I3736" s="34" t="s">
        <v>1357</v>
      </c>
      <c r="J3736" s="48"/>
      <c r="K3736" s="48"/>
      <c r="L3736" s="48"/>
      <c r="M3736" s="48"/>
      <c r="N3736" s="59"/>
      <c r="O3736" s="59">
        <v>278000</v>
      </c>
      <c r="P3736" s="59"/>
      <c r="Q3736" s="268">
        <f t="shared" si="175"/>
        <v>278000</v>
      </c>
      <c r="R3736" s="61">
        <f>IF(O3736=0,0,SUMIFS(Disbursements!$T:$T,Disbursements!$B:$B,'Live Collections'!D3736,Disbursements!$D:$D,'Live Collections'!F3736))</f>
        <v>278000</v>
      </c>
      <c r="S3736" s="304">
        <f>IF(O3736&lt;=IF($O3736=0,0,SUMIFS(Disbursements!$W:$W,Disbursements!$B:$B,'Live Collections'!D3736,Disbursements!$D:$D,'Live Collections'!F3736)),O3736,IF($O3736=0,0,SUMIFS(Disbursements!$W:$W,Disbursements!$B:$B,'Live Collections'!D3736,Disbursements!$D:$D,'Live Collections'!F3736)))</f>
        <v>78000</v>
      </c>
      <c r="T3736" s="304">
        <f t="shared" si="177"/>
        <v>200000</v>
      </c>
      <c r="U3736" s="52"/>
      <c r="V3736" s="34"/>
      <c r="W3736" s="408"/>
    </row>
    <row r="3737" spans="1:23" ht="12.75" customHeight="1" x14ac:dyDescent="0.2">
      <c r="A3737" s="257">
        <v>3747</v>
      </c>
      <c r="B3737" s="44">
        <v>44656</v>
      </c>
      <c r="C3737" s="44">
        <f t="shared" si="178"/>
        <v>44656</v>
      </c>
      <c r="D3737" s="374">
        <v>13</v>
      </c>
      <c r="E3737" s="291" t="str">
        <f>IFERROR(VLOOKUP($D3737,'Clients-Live'!$A:$C,3,0),"")</f>
        <v>ALLONE AMOS DAMAI</v>
      </c>
      <c r="F3737" s="291" t="str">
        <f>IFERROR(INDEX(Disbursements!$D:$D,MATCH('Live Collections'!G3737,Disbursements!$C:$C,0)),"")</f>
        <v/>
      </c>
      <c r="G3737" s="34"/>
      <c r="H3737" s="34">
        <v>5540</v>
      </c>
      <c r="I3737" s="34" t="s">
        <v>1359</v>
      </c>
      <c r="J3737" s="48"/>
      <c r="K3737" s="48"/>
      <c r="L3737" s="48">
        <v>20000</v>
      </c>
      <c r="M3737" s="48">
        <v>5000</v>
      </c>
      <c r="N3737" s="59"/>
      <c r="O3737" s="59"/>
      <c r="P3737" s="59"/>
      <c r="Q3737" s="268">
        <f t="shared" si="175"/>
        <v>25000</v>
      </c>
      <c r="R3737" s="61">
        <f>IF(O3737=0,0,SUMIFS(Disbursements!$T:$T,Disbursements!$B:$B,'Live Collections'!D3737,Disbursements!$D:$D,'Live Collections'!F3737))</f>
        <v>0</v>
      </c>
      <c r="S3737" s="304">
        <f>IF(O3737&lt;=IF($O3737=0,0,SUMIFS(Disbursements!$W:$W,Disbursements!$B:$B,'Live Collections'!D3737,Disbursements!$D:$D,'Live Collections'!F3737)),O3737,IF($O3737=0,0,SUMIFS(Disbursements!$W:$W,Disbursements!$B:$B,'Live Collections'!D3737,Disbursements!$D:$D,'Live Collections'!F3737)))</f>
        <v>0</v>
      </c>
      <c r="T3737" s="304">
        <f t="shared" si="177"/>
        <v>0</v>
      </c>
      <c r="U3737" s="52"/>
      <c r="V3737" s="34"/>
      <c r="W3737" s="408"/>
    </row>
    <row r="3738" spans="1:23" ht="12.75" customHeight="1" x14ac:dyDescent="0.2">
      <c r="A3738" s="257">
        <v>3748</v>
      </c>
      <c r="B3738" s="44">
        <v>44656</v>
      </c>
      <c r="C3738" s="44">
        <f t="shared" si="178"/>
        <v>44656</v>
      </c>
      <c r="D3738" s="374">
        <v>73</v>
      </c>
      <c r="E3738" s="291" t="str">
        <f>IFERROR(VLOOKUP($D3738,'Clients-Live'!$A:$C,3,0),"")</f>
        <v>AJONYE DEBORA</v>
      </c>
      <c r="F3738" s="291">
        <f>IFERROR(INDEX(Disbursements!$D:$D,MATCH('Live Collections'!G3738,Disbursements!$C:$C,0)),"")</f>
        <v>3</v>
      </c>
      <c r="G3738" s="34">
        <v>357</v>
      </c>
      <c r="H3738" s="34">
        <v>5539</v>
      </c>
      <c r="I3738" s="34" t="s">
        <v>1359</v>
      </c>
      <c r="J3738" s="48"/>
      <c r="K3738" s="48"/>
      <c r="L3738" s="48"/>
      <c r="M3738" s="48"/>
      <c r="N3738" s="59"/>
      <c r="O3738" s="59">
        <v>59000</v>
      </c>
      <c r="P3738" s="59"/>
      <c r="Q3738" s="268">
        <f t="shared" si="175"/>
        <v>59000</v>
      </c>
      <c r="R3738" s="61">
        <f>IF(O3738=0,0,SUMIFS(Disbursements!$T:$T,Disbursements!$B:$B,'Live Collections'!D3738,Disbursements!$D:$D,'Live Collections'!F3738))</f>
        <v>53000</v>
      </c>
      <c r="S3738" s="304">
        <f>IF(O3738&lt;=IF($O3738=0,0,SUMIFS(Disbursements!$W:$W,Disbursements!$B:$B,'Live Collections'!D3738,Disbursements!$D:$D,'Live Collections'!F3738)),O3738,IF($O3738=0,0,SUMIFS(Disbursements!$W:$W,Disbursements!$B:$B,'Live Collections'!D3738,Disbursements!$D:$D,'Live Collections'!F3738)))</f>
        <v>13000</v>
      </c>
      <c r="T3738" s="304">
        <f t="shared" si="177"/>
        <v>46000</v>
      </c>
      <c r="U3738" s="52"/>
      <c r="V3738" s="34"/>
      <c r="W3738" s="408"/>
    </row>
    <row r="3739" spans="1:23" ht="12.75" customHeight="1" x14ac:dyDescent="0.2">
      <c r="A3739" s="257">
        <v>3749</v>
      </c>
      <c r="B3739" s="44">
        <v>44656</v>
      </c>
      <c r="C3739" s="44">
        <f t="shared" si="178"/>
        <v>44656</v>
      </c>
      <c r="D3739" s="374">
        <v>191</v>
      </c>
      <c r="E3739" s="291" t="str">
        <f>IFERROR(VLOOKUP($D3739,'Clients-Live'!$A:$C,3,0),"")</f>
        <v>AYOZU JESCA TAIBO</v>
      </c>
      <c r="F3739" s="291" t="str">
        <f>IFERROR(INDEX(Disbursements!$D:$D,MATCH('Live Collections'!G3739,Disbursements!$C:$C,0)),"")</f>
        <v/>
      </c>
      <c r="G3739" s="34"/>
      <c r="H3739" s="34">
        <v>5538</v>
      </c>
      <c r="I3739" s="34" t="s">
        <v>1357</v>
      </c>
      <c r="J3739" s="48"/>
      <c r="K3739" s="48"/>
      <c r="L3739" s="48"/>
      <c r="M3739" s="48"/>
      <c r="N3739" s="59">
        <v>6000</v>
      </c>
      <c r="O3739" s="59"/>
      <c r="P3739" s="59"/>
      <c r="Q3739" s="268">
        <f t="shared" si="175"/>
        <v>6000</v>
      </c>
      <c r="R3739" s="61">
        <f>IF(O3739=0,0,SUMIFS(Disbursements!$T:$T,Disbursements!$B:$B,'Live Collections'!D3739,Disbursements!$D:$D,'Live Collections'!F3739))</f>
        <v>0</v>
      </c>
      <c r="S3739" s="304">
        <f>IF(O3739&lt;=IF($O3739=0,0,SUMIFS(Disbursements!$W:$W,Disbursements!$B:$B,'Live Collections'!D3739,Disbursements!$D:$D,'Live Collections'!F3739)),O3739,IF($O3739=0,0,SUMIFS(Disbursements!$W:$W,Disbursements!$B:$B,'Live Collections'!D3739,Disbursements!$D:$D,'Live Collections'!F3739)))</f>
        <v>0</v>
      </c>
      <c r="T3739" s="304">
        <f t="shared" si="177"/>
        <v>0</v>
      </c>
      <c r="U3739" s="52"/>
      <c r="V3739" s="34"/>
      <c r="W3739" s="408"/>
    </row>
    <row r="3740" spans="1:23" ht="12.75" customHeight="1" x14ac:dyDescent="0.2">
      <c r="A3740" s="257">
        <v>3750</v>
      </c>
      <c r="B3740" s="44">
        <v>44656</v>
      </c>
      <c r="C3740" s="44">
        <f t="shared" si="178"/>
        <v>44656</v>
      </c>
      <c r="D3740" s="374">
        <v>191</v>
      </c>
      <c r="E3740" s="291" t="str">
        <f>IFERROR(VLOOKUP($D3740,'Clients-Live'!$A:$C,3,0),"")</f>
        <v>AYOZU JESCA TAIBO</v>
      </c>
      <c r="F3740" s="291">
        <f>IFERROR(INDEX(Disbursements!$D:$D,MATCH('Live Collections'!G3740,Disbursements!$C:$C,0)),"")</f>
        <v>2</v>
      </c>
      <c r="G3740" s="34">
        <v>340</v>
      </c>
      <c r="H3740" s="34">
        <v>5537</v>
      </c>
      <c r="I3740" s="34" t="s">
        <v>1357</v>
      </c>
      <c r="J3740" s="48"/>
      <c r="K3740" s="48"/>
      <c r="L3740" s="48"/>
      <c r="M3740" s="48"/>
      <c r="N3740" s="59"/>
      <c r="O3740" s="59">
        <v>14000</v>
      </c>
      <c r="P3740" s="59"/>
      <c r="Q3740" s="268">
        <f t="shared" si="175"/>
        <v>14000</v>
      </c>
      <c r="R3740" s="61">
        <f>IF(O3740=0,0,SUMIFS(Disbursements!$T:$T,Disbursements!$B:$B,'Live Collections'!D3740,Disbursements!$D:$D,'Live Collections'!F3740))</f>
        <v>154000</v>
      </c>
      <c r="S3740" s="304">
        <f>IF(O3740&lt;=IF($O3740=0,0,SUMIFS(Disbursements!$W:$W,Disbursements!$B:$B,'Live Collections'!D3740,Disbursements!$D:$D,'Live Collections'!F3740)),O3740,IF($O3740=0,0,SUMIFS(Disbursements!$W:$W,Disbursements!$B:$B,'Live Collections'!D3740,Disbursements!$D:$D,'Live Collections'!F3740)))</f>
        <v>14000</v>
      </c>
      <c r="T3740" s="304">
        <f t="shared" si="177"/>
        <v>0</v>
      </c>
      <c r="U3740" s="52"/>
      <c r="V3740" s="34"/>
      <c r="W3740" s="408"/>
    </row>
    <row r="3741" spans="1:23" ht="12.75" customHeight="1" x14ac:dyDescent="0.2">
      <c r="A3741" s="257">
        <v>3751</v>
      </c>
      <c r="B3741" s="44">
        <v>44656</v>
      </c>
      <c r="C3741" s="44">
        <f t="shared" si="178"/>
        <v>44656</v>
      </c>
      <c r="D3741" s="374">
        <v>326</v>
      </c>
      <c r="E3741" s="291" t="str">
        <f>IFERROR(VLOOKUP($D3741,'Clients-Live'!$A:$C,3,0),"")</f>
        <v>AJUKI HARRIET</v>
      </c>
      <c r="F3741" s="291">
        <f>IFERROR(INDEX(Disbursements!$D:$D,MATCH('Live Collections'!G3741,Disbursements!$C:$C,0)),"")</f>
        <v>1</v>
      </c>
      <c r="G3741" s="34">
        <v>446</v>
      </c>
      <c r="H3741" s="34">
        <v>5653</v>
      </c>
      <c r="I3741" s="34" t="s">
        <v>1358</v>
      </c>
      <c r="J3741" s="48"/>
      <c r="K3741" s="48"/>
      <c r="L3741" s="48"/>
      <c r="M3741" s="48"/>
      <c r="N3741" s="59"/>
      <c r="O3741" s="59">
        <v>510000</v>
      </c>
      <c r="P3741" s="59"/>
      <c r="Q3741" s="268">
        <f t="shared" si="175"/>
        <v>510000</v>
      </c>
      <c r="R3741" s="61">
        <f>IF(O3741=0,0,SUMIFS(Disbursements!$T:$T,Disbursements!$B:$B,'Live Collections'!D3741,Disbursements!$D:$D,'Live Collections'!F3741))</f>
        <v>510000</v>
      </c>
      <c r="S3741" s="304">
        <f>IF(O3741&lt;=IF($O3741=0,0,SUMIFS(Disbursements!$W:$W,Disbursements!$B:$B,'Live Collections'!D3741,Disbursements!$D:$D,'Live Collections'!F3741)),O3741,IF($O3741=0,0,SUMIFS(Disbursements!$W:$W,Disbursements!$B:$B,'Live Collections'!D3741,Disbursements!$D:$D,'Live Collections'!F3741)))</f>
        <v>143333.33333333331</v>
      </c>
      <c r="T3741" s="304">
        <f t="shared" si="177"/>
        <v>366666.66666666669</v>
      </c>
      <c r="U3741" s="52"/>
      <c r="V3741" s="34"/>
      <c r="W3741" s="408"/>
    </row>
    <row r="3742" spans="1:23" ht="12.75" customHeight="1" x14ac:dyDescent="0.2">
      <c r="A3742" s="257">
        <v>3752</v>
      </c>
      <c r="B3742" s="44">
        <v>44656</v>
      </c>
      <c r="C3742" s="44">
        <f t="shared" si="178"/>
        <v>44656</v>
      </c>
      <c r="D3742" s="374">
        <v>139</v>
      </c>
      <c r="E3742" s="291" t="str">
        <f>IFERROR(VLOOKUP($D3742,'Clients-Live'!$A:$C,3,0),"")</f>
        <v xml:space="preserve">DRICHIRU MAIMUNA </v>
      </c>
      <c r="F3742" s="291">
        <f>IFERROR(INDEX(Disbursements!$D:$D,MATCH('Live Collections'!G3742,Disbursements!$C:$C,0)),"")</f>
        <v>2</v>
      </c>
      <c r="G3742" s="34">
        <v>451</v>
      </c>
      <c r="H3742" s="34">
        <v>5652</v>
      </c>
      <c r="I3742" s="34" t="s">
        <v>1359</v>
      </c>
      <c r="J3742" s="48"/>
      <c r="K3742" s="48"/>
      <c r="L3742" s="48"/>
      <c r="M3742" s="48"/>
      <c r="N3742" s="59"/>
      <c r="O3742" s="59">
        <v>23000</v>
      </c>
      <c r="P3742" s="59"/>
      <c r="Q3742" s="268">
        <f t="shared" si="175"/>
        <v>23000</v>
      </c>
      <c r="R3742" s="61">
        <f>IF(O3742=0,0,SUMIFS(Disbursements!$T:$T,Disbursements!$B:$B,'Live Collections'!D3742,Disbursements!$D:$D,'Live Collections'!F3742))</f>
        <v>30000</v>
      </c>
      <c r="S3742" s="304">
        <f>IF(O3742&lt;=IF($O3742=0,0,SUMIFS(Disbursements!$W:$W,Disbursements!$B:$B,'Live Collections'!D3742,Disbursements!$D:$D,'Live Collections'!F3742)),O3742,IF($O3742=0,0,SUMIFS(Disbursements!$W:$W,Disbursements!$B:$B,'Live Collections'!D3742,Disbursements!$D:$D,'Live Collections'!F3742)))</f>
        <v>5000</v>
      </c>
      <c r="T3742" s="304">
        <f t="shared" si="177"/>
        <v>18000</v>
      </c>
      <c r="U3742" s="52"/>
      <c r="V3742" s="34"/>
      <c r="W3742" s="408"/>
    </row>
    <row r="3743" spans="1:23" ht="12.75" customHeight="1" x14ac:dyDescent="0.2">
      <c r="A3743" s="257">
        <v>3753</v>
      </c>
      <c r="B3743" s="44">
        <v>44656</v>
      </c>
      <c r="C3743" s="44">
        <f t="shared" si="178"/>
        <v>44656</v>
      </c>
      <c r="D3743" s="374">
        <v>328</v>
      </c>
      <c r="E3743" s="291" t="str">
        <f>IFERROR(VLOOKUP($D3743,'Clients-Live'!$A:$C,3,0),"")</f>
        <v>AGOTIA JOYCE</v>
      </c>
      <c r="F3743" s="291">
        <f>IFERROR(INDEX(Disbursements!$D:$D,MATCH('Live Collections'!G3743,Disbursements!$C:$C,0)),"")</f>
        <v>1</v>
      </c>
      <c r="G3743" s="34">
        <v>449</v>
      </c>
      <c r="H3743" s="34" t="s">
        <v>2295</v>
      </c>
      <c r="I3743" s="34" t="s">
        <v>1357</v>
      </c>
      <c r="J3743" s="48"/>
      <c r="K3743" s="48"/>
      <c r="L3743" s="48"/>
      <c r="M3743" s="48"/>
      <c r="N3743" s="59"/>
      <c r="O3743" s="59">
        <v>200000</v>
      </c>
      <c r="P3743" s="59">
        <v>-200000</v>
      </c>
      <c r="Q3743" s="268">
        <f t="shared" si="175"/>
        <v>0</v>
      </c>
      <c r="R3743" s="61">
        <f>IF(O3743=0,0,SUMIFS(Disbursements!$T:$T,Disbursements!$B:$B,'Live Collections'!D3743,Disbursements!$D:$D,'Live Collections'!F3743))</f>
        <v>1130000</v>
      </c>
      <c r="S3743" s="304">
        <f>IF(O3743&lt;=IF($O3743=0,0,SUMIFS(Disbursements!$W:$W,Disbursements!$B:$B,'Live Collections'!D3743,Disbursements!$D:$D,'Live Collections'!F3743)),O3743,IF($O3743=0,0,SUMIFS(Disbursements!$W:$W,Disbursements!$B:$B,'Live Collections'!D3743,Disbursements!$D:$D,'Live Collections'!F3743)))</f>
        <v>130000</v>
      </c>
      <c r="T3743" s="304">
        <f t="shared" si="177"/>
        <v>70000</v>
      </c>
      <c r="U3743" s="52"/>
      <c r="V3743" s="34"/>
      <c r="W3743" s="408"/>
    </row>
    <row r="3744" spans="1:23" ht="12.75" customHeight="1" x14ac:dyDescent="0.2">
      <c r="A3744" s="257">
        <v>3754</v>
      </c>
      <c r="B3744" s="44">
        <v>44656</v>
      </c>
      <c r="C3744" s="44">
        <f t="shared" si="178"/>
        <v>44656</v>
      </c>
      <c r="D3744" s="374">
        <v>328</v>
      </c>
      <c r="E3744" s="291" t="str">
        <f>IFERROR(VLOOKUP($D3744,'Clients-Live'!$A:$C,3,0),"")</f>
        <v>AGOTIA JOYCE</v>
      </c>
      <c r="F3744" s="291">
        <f>IFERROR(INDEX(Disbursements!$D:$D,MATCH('Live Collections'!G3744,Disbursements!$C:$C,0)),"")</f>
        <v>1</v>
      </c>
      <c r="G3744" s="34">
        <v>449</v>
      </c>
      <c r="H3744" s="34">
        <v>5534</v>
      </c>
      <c r="I3744" s="34" t="s">
        <v>1357</v>
      </c>
      <c r="J3744" s="48"/>
      <c r="K3744" s="48"/>
      <c r="L3744" s="48"/>
      <c r="M3744" s="48"/>
      <c r="N3744" s="59"/>
      <c r="O3744" s="59">
        <v>2060000</v>
      </c>
      <c r="P3744" s="59"/>
      <c r="Q3744" s="268">
        <f t="shared" si="175"/>
        <v>2060000</v>
      </c>
      <c r="R3744" s="61">
        <f>IF(O3744=0,0,SUMIFS(Disbursements!$T:$T,Disbursements!$B:$B,'Live Collections'!D3744,Disbursements!$D:$D,'Live Collections'!F3744))</f>
        <v>1130000</v>
      </c>
      <c r="S3744" s="304">
        <f>IF(O3744&lt;=IF($O3744=0,0,SUMIFS(Disbursements!$W:$W,Disbursements!$B:$B,'Live Collections'!D3744,Disbursements!$D:$D,'Live Collections'!F3744)),O3744,IF($O3744=0,0,SUMIFS(Disbursements!$W:$W,Disbursements!$B:$B,'Live Collections'!D3744,Disbursements!$D:$D,'Live Collections'!F3744)))</f>
        <v>130000</v>
      </c>
      <c r="T3744" s="304">
        <f t="shared" si="177"/>
        <v>1930000</v>
      </c>
      <c r="U3744" s="52"/>
      <c r="V3744" s="34"/>
      <c r="W3744" s="408"/>
    </row>
    <row r="3745" spans="1:23" ht="12.75" customHeight="1" x14ac:dyDescent="0.2">
      <c r="A3745" s="257">
        <v>3755</v>
      </c>
      <c r="B3745" s="44">
        <v>44656</v>
      </c>
      <c r="C3745" s="44">
        <f t="shared" si="178"/>
        <v>44656</v>
      </c>
      <c r="D3745" s="374">
        <v>324</v>
      </c>
      <c r="E3745" s="291" t="str">
        <f>IFERROR(VLOOKUP($D3745,'Clients-Live'!$A:$C,3,0),"")</f>
        <v>ARIKE KOKOLE YASSIN</v>
      </c>
      <c r="F3745" s="291">
        <f>IFERROR(INDEX(Disbursements!$D:$D,MATCH('Live Collections'!G3745,Disbursements!$C:$C,0)),"")</f>
        <v>1</v>
      </c>
      <c r="G3745" s="34">
        <v>450</v>
      </c>
      <c r="H3745" s="34">
        <v>5535</v>
      </c>
      <c r="I3745" s="34" t="s">
        <v>1357</v>
      </c>
      <c r="J3745" s="48"/>
      <c r="K3745" s="48"/>
      <c r="L3745" s="48"/>
      <c r="M3745" s="48"/>
      <c r="N3745" s="59"/>
      <c r="O3745" s="59">
        <v>60000</v>
      </c>
      <c r="P3745" s="59"/>
      <c r="Q3745" s="268">
        <f t="shared" si="175"/>
        <v>60000</v>
      </c>
      <c r="R3745" s="61">
        <f>IF(O3745=0,0,SUMIFS(Disbursements!$T:$T,Disbursements!$B:$B,'Live Collections'!D3745,Disbursements!$D:$D,'Live Collections'!F3745))</f>
        <v>58000</v>
      </c>
      <c r="S3745" s="304">
        <f>IF(O3745&lt;=IF($O3745=0,0,SUMIFS(Disbursements!$W:$W,Disbursements!$B:$B,'Live Collections'!D3745,Disbursements!$D:$D,'Live Collections'!F3745)),O3745,IF($O3745=0,0,SUMIFS(Disbursements!$W:$W,Disbursements!$B:$B,'Live Collections'!D3745,Disbursements!$D:$D,'Live Collections'!F3745)))</f>
        <v>16333.333333333336</v>
      </c>
      <c r="T3745" s="304">
        <f t="shared" si="177"/>
        <v>43666.666666666664</v>
      </c>
      <c r="U3745" s="52"/>
      <c r="V3745" s="34"/>
      <c r="W3745" s="408"/>
    </row>
    <row r="3746" spans="1:23" ht="12.75" customHeight="1" x14ac:dyDescent="0.2">
      <c r="A3746" s="257">
        <v>3756</v>
      </c>
      <c r="B3746" s="44">
        <v>44656</v>
      </c>
      <c r="C3746" s="44">
        <f t="shared" si="178"/>
        <v>44656</v>
      </c>
      <c r="D3746" s="374">
        <v>211</v>
      </c>
      <c r="E3746" s="291" t="str">
        <f>IFERROR(VLOOKUP($D3746,'Clients-Live'!$A:$C,3,0),"")</f>
        <v>WILARU JOYCE</v>
      </c>
      <c r="F3746" s="291">
        <f>IFERROR(INDEX(Disbursements!$D:$D,MATCH('Live Collections'!G3746,Disbursements!$C:$C,0)),"")</f>
        <v>2</v>
      </c>
      <c r="G3746" s="34">
        <v>403</v>
      </c>
      <c r="H3746" s="34">
        <v>5536</v>
      </c>
      <c r="I3746" s="34" t="s">
        <v>1358</v>
      </c>
      <c r="J3746" s="48"/>
      <c r="K3746" s="48"/>
      <c r="L3746" s="48"/>
      <c r="M3746" s="48"/>
      <c r="N3746" s="59"/>
      <c r="O3746" s="59">
        <v>100000</v>
      </c>
      <c r="P3746" s="59"/>
      <c r="Q3746" s="268">
        <f t="shared" si="175"/>
        <v>100000</v>
      </c>
      <c r="R3746" s="61">
        <f>IF(O3746=0,0,SUMIFS(Disbursements!$T:$T,Disbursements!$B:$B,'Live Collections'!D3746,Disbursements!$D:$D,'Live Collections'!F3746))</f>
        <v>87000</v>
      </c>
      <c r="S3746" s="304">
        <f>IF(O3746&lt;=IF($O3746=0,0,SUMIFS(Disbursements!$W:$W,Disbursements!$B:$B,'Live Collections'!D3746,Disbursements!$D:$D,'Live Collections'!F3746)),O3746,IF($O3746=0,0,SUMIFS(Disbursements!$W:$W,Disbursements!$B:$B,'Live Collections'!D3746,Disbursements!$D:$D,'Live Collections'!F3746)))</f>
        <v>22000</v>
      </c>
      <c r="T3746" s="304">
        <f t="shared" si="177"/>
        <v>78000</v>
      </c>
      <c r="U3746" s="52"/>
      <c r="V3746" s="34"/>
      <c r="W3746" s="408"/>
    </row>
    <row r="3747" spans="1:23" ht="12.75" customHeight="1" x14ac:dyDescent="0.2">
      <c r="A3747" s="257">
        <v>3757</v>
      </c>
      <c r="B3747" s="44">
        <v>44656</v>
      </c>
      <c r="C3747" s="44">
        <f t="shared" si="178"/>
        <v>44656</v>
      </c>
      <c r="D3747" s="374">
        <v>116</v>
      </c>
      <c r="E3747" s="291" t="str">
        <f>IFERROR(VLOOKUP($D3747,'Clients-Live'!$A:$C,3,0),"")</f>
        <v>ONZIA LUCY</v>
      </c>
      <c r="F3747" s="291">
        <f>IFERROR(INDEX(Disbursements!$D:$D,MATCH('Live Collections'!G3747,Disbursements!$C:$C,0)),"")</f>
        <v>1</v>
      </c>
      <c r="G3747" s="34">
        <v>95</v>
      </c>
      <c r="H3747" s="34"/>
      <c r="I3747" s="34" t="s">
        <v>1357</v>
      </c>
      <c r="J3747" s="48"/>
      <c r="K3747" s="48"/>
      <c r="L3747" s="48"/>
      <c r="M3747" s="48"/>
      <c r="N3747" s="59"/>
      <c r="O3747" s="59">
        <v>10000</v>
      </c>
      <c r="P3747" s="59">
        <v>-10000</v>
      </c>
      <c r="Q3747" s="268">
        <f t="shared" si="175"/>
        <v>0</v>
      </c>
      <c r="R3747" s="61">
        <f>IF(O3747=0,0,SUMIFS(Disbursements!$T:$T,Disbursements!$B:$B,'Live Collections'!D3747,Disbursements!$D:$D,'Live Collections'!F3747))</f>
        <v>20000</v>
      </c>
      <c r="S3747" s="304"/>
      <c r="T3747" s="304">
        <f t="shared" si="177"/>
        <v>10000</v>
      </c>
      <c r="U3747" s="52"/>
      <c r="V3747" s="34"/>
      <c r="W3747" s="408"/>
    </row>
    <row r="3748" spans="1:23" ht="12.75" customHeight="1" x14ac:dyDescent="0.2">
      <c r="A3748" s="257">
        <v>3758</v>
      </c>
      <c r="B3748" s="44">
        <v>44657</v>
      </c>
      <c r="C3748" s="44">
        <f t="shared" si="178"/>
        <v>44657</v>
      </c>
      <c r="D3748" s="374">
        <v>46</v>
      </c>
      <c r="E3748" s="291" t="str">
        <f>IFERROR(VLOOKUP($D3748,'Clients-Live'!$A:$C,3,0),"")</f>
        <v>ALIO YUDA</v>
      </c>
      <c r="F3748" s="291">
        <f>IFERROR(INDEX(Disbursements!$D:$D,MATCH('Live Collections'!G3748,Disbursements!$C:$C,0)),"")</f>
        <v>2</v>
      </c>
      <c r="G3748" s="34">
        <v>400</v>
      </c>
      <c r="H3748" s="34">
        <v>5675</v>
      </c>
      <c r="I3748" s="34" t="s">
        <v>1357</v>
      </c>
      <c r="J3748" s="48"/>
      <c r="K3748" s="48"/>
      <c r="L3748" s="48"/>
      <c r="M3748" s="48"/>
      <c r="N3748" s="59"/>
      <c r="O3748" s="59">
        <v>130000</v>
      </c>
      <c r="P3748" s="59"/>
      <c r="Q3748" s="268">
        <f t="shared" si="175"/>
        <v>130000</v>
      </c>
      <c r="R3748" s="61">
        <f>IF(O3748=0,0,SUMIFS(Disbursements!$T:$T,Disbursements!$B:$B,'Live Collections'!D3748,Disbursements!$D:$D,'Live Collections'!F3748))</f>
        <v>76000</v>
      </c>
      <c r="S3748" s="304">
        <f>IF(O3748&lt;=IF($O3748=0,0,SUMIFS(Disbursements!$W:$W,Disbursements!$B:$B,'Live Collections'!D3748,Disbursements!$D:$D,'Live Collections'!F3748)),O3748,IF($O3748=0,0,SUMIFS(Disbursements!$W:$W,Disbursements!$B:$B,'Live Collections'!D3748,Disbursements!$D:$D,'Live Collections'!F3748)))</f>
        <v>21833.333333333336</v>
      </c>
      <c r="T3748" s="304">
        <f t="shared" si="177"/>
        <v>108166.66666666666</v>
      </c>
      <c r="U3748" s="52"/>
      <c r="V3748" s="34"/>
      <c r="W3748" s="408"/>
    </row>
    <row r="3749" spans="1:23" ht="12.75" customHeight="1" x14ac:dyDescent="0.2">
      <c r="A3749" s="257">
        <v>3759</v>
      </c>
      <c r="B3749" s="44">
        <v>44657</v>
      </c>
      <c r="C3749" s="44">
        <f t="shared" si="178"/>
        <v>44657</v>
      </c>
      <c r="D3749" s="374">
        <v>333</v>
      </c>
      <c r="E3749" s="291" t="str">
        <f>IFERROR(VLOOKUP($D3749,'Clients-Live'!$A:$C,3,0),"")</f>
        <v>OSORU HELLEN</v>
      </c>
      <c r="F3749" s="291">
        <f>IFERROR(INDEX(Disbursements!$D:$D,MATCH('Live Collections'!G3749,Disbursements!$C:$C,0)),"")</f>
        <v>1</v>
      </c>
      <c r="G3749" s="34">
        <v>472</v>
      </c>
      <c r="H3749" s="34">
        <v>5716</v>
      </c>
      <c r="I3749" s="34" t="s">
        <v>1358</v>
      </c>
      <c r="J3749" s="48"/>
      <c r="K3749" s="48"/>
      <c r="L3749" s="48"/>
      <c r="M3749" s="48"/>
      <c r="N3749" s="59"/>
      <c r="O3749" s="59">
        <v>39400</v>
      </c>
      <c r="P3749" s="59"/>
      <c r="Q3749" s="268">
        <f t="shared" si="175"/>
        <v>39400</v>
      </c>
      <c r="R3749" s="61">
        <f>IF(O3749=0,0,SUMIFS(Disbursements!$T:$T,Disbursements!$B:$B,'Live Collections'!D3749,Disbursements!$D:$D,'Live Collections'!F3749))</f>
        <v>40000</v>
      </c>
      <c r="S3749" s="304">
        <f>IF(O3749&lt;=IF($O3749=0,0,SUMIFS(Disbursements!$W:$W,Disbursements!$B:$B,'Live Collections'!D3749,Disbursements!$D:$D,'Live Collections'!F3749)),O3749,IF($O3749=0,0,SUMIFS(Disbursements!$W:$W,Disbursements!$B:$B,'Live Collections'!D3749,Disbursements!$D:$D,'Live Collections'!F3749)))</f>
        <v>8750</v>
      </c>
      <c r="T3749" s="304">
        <f t="shared" si="177"/>
        <v>30650</v>
      </c>
      <c r="U3749" s="52"/>
      <c r="V3749" s="34"/>
      <c r="W3749" s="408"/>
    </row>
    <row r="3750" spans="1:23" ht="12.75" customHeight="1" x14ac:dyDescent="0.2">
      <c r="A3750" s="257">
        <v>3760</v>
      </c>
      <c r="B3750" s="44">
        <v>44657</v>
      </c>
      <c r="C3750" s="44">
        <f t="shared" si="178"/>
        <v>44657</v>
      </c>
      <c r="D3750" s="374">
        <v>205</v>
      </c>
      <c r="E3750" s="291" t="str">
        <f>IFERROR(VLOOKUP($D3750,'Clients-Live'!$A:$C,3,0),"")</f>
        <v>OPIRU ALICE</v>
      </c>
      <c r="F3750" s="291">
        <f>IFERROR(INDEX(Disbursements!$D:$D,MATCH('Live Collections'!G3750,Disbursements!$C:$C,0)),"")</f>
        <v>2</v>
      </c>
      <c r="G3750" s="34">
        <v>396</v>
      </c>
      <c r="H3750" s="34">
        <v>5715</v>
      </c>
      <c r="I3750" s="34" t="s">
        <v>1359</v>
      </c>
      <c r="J3750" s="48"/>
      <c r="K3750" s="48"/>
      <c r="L3750" s="48"/>
      <c r="M3750" s="48"/>
      <c r="N3750" s="59"/>
      <c r="O3750" s="59">
        <v>7000</v>
      </c>
      <c r="P3750" s="59"/>
      <c r="Q3750" s="268">
        <f t="shared" si="175"/>
        <v>7000</v>
      </c>
      <c r="R3750" s="61">
        <f>IF(O3750=0,0,SUMIFS(Disbursements!$T:$T,Disbursements!$B:$B,'Live Collections'!D3750,Disbursements!$D:$D,'Live Collections'!F3750))</f>
        <v>40000</v>
      </c>
      <c r="S3750" s="304">
        <f>IF(O3750&lt;=IF($O3750=0,0,SUMIFS(Disbursements!$W:$W,Disbursements!$B:$B,'Live Collections'!D3750,Disbursements!$D:$D,'Live Collections'!F3750)),O3750,IF($O3750=0,0,SUMIFS(Disbursements!$W:$W,Disbursements!$B:$B,'Live Collections'!D3750,Disbursements!$D:$D,'Live Collections'!F3750)))</f>
        <v>7000</v>
      </c>
      <c r="T3750" s="304">
        <f t="shared" si="177"/>
        <v>0</v>
      </c>
      <c r="U3750" s="52"/>
      <c r="V3750" s="34"/>
      <c r="W3750" s="408"/>
    </row>
    <row r="3751" spans="1:23" ht="12.75" customHeight="1" x14ac:dyDescent="0.2">
      <c r="A3751" s="257">
        <v>3761</v>
      </c>
      <c r="B3751" s="44">
        <v>44657</v>
      </c>
      <c r="C3751" s="44">
        <f t="shared" si="178"/>
        <v>44657</v>
      </c>
      <c r="D3751" s="374">
        <v>169</v>
      </c>
      <c r="E3751" s="291" t="str">
        <f>IFERROR(VLOOKUP($D3751,'Clients-Live'!$A:$C,3,0),"")</f>
        <v>KATO KENNEDY</v>
      </c>
      <c r="F3751" s="291">
        <f>IFERROR(INDEX(Disbursements!$D:$D,MATCH('Live Collections'!G3751,Disbursements!$C:$C,0)),"")</f>
        <v>2</v>
      </c>
      <c r="G3751" s="34">
        <v>394</v>
      </c>
      <c r="H3751" s="34">
        <v>5670</v>
      </c>
      <c r="I3751" s="34" t="s">
        <v>1357</v>
      </c>
      <c r="J3751" s="48"/>
      <c r="K3751" s="48"/>
      <c r="L3751" s="48"/>
      <c r="M3751" s="48"/>
      <c r="N3751" s="59"/>
      <c r="O3751" s="59">
        <v>58000</v>
      </c>
      <c r="P3751" s="59"/>
      <c r="Q3751" s="268">
        <f t="shared" si="175"/>
        <v>58000</v>
      </c>
      <c r="R3751" s="61">
        <f>IF(O3751=0,0,SUMIFS(Disbursements!$T:$T,Disbursements!$B:$B,'Live Collections'!D3751,Disbursements!$D:$D,'Live Collections'!F3751))</f>
        <v>58000</v>
      </c>
      <c r="S3751" s="304">
        <f>IF(O3751&lt;=IF($O3751=0,0,SUMIFS(Disbursements!$W:$W,Disbursements!$B:$B,'Live Collections'!D3751,Disbursements!$D:$D,'Live Collections'!F3751)),O3751,IF($O3751=0,0,SUMIFS(Disbursements!$W:$W,Disbursements!$B:$B,'Live Collections'!D3751,Disbursements!$D:$D,'Live Collections'!F3751)))</f>
        <v>16333.333333333336</v>
      </c>
      <c r="T3751" s="304">
        <f t="shared" si="177"/>
        <v>41666.666666666664</v>
      </c>
      <c r="U3751" s="52"/>
      <c r="V3751" s="34"/>
      <c r="W3751" s="408"/>
    </row>
    <row r="3752" spans="1:23" ht="12.75" customHeight="1" x14ac:dyDescent="0.2">
      <c r="A3752" s="257">
        <v>3762</v>
      </c>
      <c r="B3752" s="44">
        <v>44657</v>
      </c>
      <c r="C3752" s="44">
        <f t="shared" si="178"/>
        <v>44657</v>
      </c>
      <c r="D3752" s="374">
        <v>161</v>
      </c>
      <c r="E3752" s="291" t="str">
        <f>IFERROR(VLOOKUP($D3752,'Clients-Live'!$A:$C,3,0),"")</f>
        <v>OKUYO BERNARD</v>
      </c>
      <c r="F3752" s="291">
        <f>IFERROR(INDEX(Disbursements!$D:$D,MATCH('Live Collections'!G3752,Disbursements!$C:$C,0)),"")</f>
        <v>3</v>
      </c>
      <c r="G3752" s="34">
        <v>501</v>
      </c>
      <c r="H3752" s="34">
        <v>5672</v>
      </c>
      <c r="I3752" s="34" t="s">
        <v>1357</v>
      </c>
      <c r="J3752" s="48"/>
      <c r="K3752" s="48"/>
      <c r="L3752" s="48"/>
      <c r="M3752" s="48"/>
      <c r="N3752" s="59"/>
      <c r="O3752" s="59"/>
      <c r="P3752" s="59">
        <v>500000</v>
      </c>
      <c r="Q3752" s="268">
        <f t="shared" si="175"/>
        <v>500000</v>
      </c>
      <c r="R3752" s="61">
        <f>IF(O3752=0,0,SUMIFS(Disbursements!$T:$T,Disbursements!$B:$B,'Live Collections'!D3752,Disbursements!$D:$D,'Live Collections'!F3752))</f>
        <v>0</v>
      </c>
      <c r="S3752" s="304">
        <f>IF(O3752&lt;=IF($O3752=0,0,SUMIFS(Disbursements!$W:$W,Disbursements!$B:$B,'Live Collections'!D3752,Disbursements!$D:$D,'Live Collections'!F3752)),O3752,IF($O3752=0,0,SUMIFS(Disbursements!$W:$W,Disbursements!$B:$B,'Live Collections'!D3752,Disbursements!$D:$D,'Live Collections'!F3752)))</f>
        <v>0</v>
      </c>
      <c r="T3752" s="304">
        <f t="shared" si="177"/>
        <v>0</v>
      </c>
      <c r="U3752" s="52"/>
      <c r="V3752" s="34"/>
      <c r="W3752" s="408"/>
    </row>
    <row r="3753" spans="1:23" ht="12.75" customHeight="1" x14ac:dyDescent="0.2">
      <c r="A3753" s="257">
        <v>3763</v>
      </c>
      <c r="B3753" s="44">
        <v>44657</v>
      </c>
      <c r="C3753" s="44">
        <f t="shared" si="178"/>
        <v>44657</v>
      </c>
      <c r="D3753" s="374">
        <v>161</v>
      </c>
      <c r="E3753" s="291" t="str">
        <f>IFERROR(VLOOKUP($D3753,'Clients-Live'!$A:$C,3,0),"")</f>
        <v>OKUYO BERNARD</v>
      </c>
      <c r="F3753" s="291" t="str">
        <f>IFERROR(INDEX(Disbursements!$D:$D,MATCH('Live Collections'!G3753,Disbursements!$C:$C,0)),"")</f>
        <v/>
      </c>
      <c r="G3753" s="34"/>
      <c r="H3753" s="34">
        <v>5671</v>
      </c>
      <c r="I3753" s="34" t="s">
        <v>1357</v>
      </c>
      <c r="J3753" s="48"/>
      <c r="K3753" s="48"/>
      <c r="L3753" s="48">
        <v>30000</v>
      </c>
      <c r="M3753" s="48">
        <v>5000</v>
      </c>
      <c r="N3753" s="59"/>
      <c r="O3753" s="59"/>
      <c r="P3753" s="59"/>
      <c r="Q3753" s="268">
        <f t="shared" si="175"/>
        <v>35000</v>
      </c>
      <c r="R3753" s="61">
        <f>IF(O3753=0,0,SUMIFS(Disbursements!$T:$T,Disbursements!$B:$B,'Live Collections'!D3753,Disbursements!$D:$D,'Live Collections'!F3753))</f>
        <v>0</v>
      </c>
      <c r="S3753" s="304">
        <f>IF(O3753&lt;=IF($O3753=0,0,SUMIFS(Disbursements!$W:$W,Disbursements!$B:$B,'Live Collections'!D3753,Disbursements!$D:$D,'Live Collections'!F3753)),O3753,IF($O3753=0,0,SUMIFS(Disbursements!$W:$W,Disbursements!$B:$B,'Live Collections'!D3753,Disbursements!$D:$D,'Live Collections'!F3753)))</f>
        <v>0</v>
      </c>
      <c r="T3753" s="304">
        <f t="shared" si="177"/>
        <v>0</v>
      </c>
      <c r="U3753" s="52"/>
      <c r="V3753" s="34"/>
      <c r="W3753" s="408"/>
    </row>
    <row r="3754" spans="1:23" ht="12.75" customHeight="1" x14ac:dyDescent="0.2">
      <c r="A3754" s="257">
        <v>3764</v>
      </c>
      <c r="B3754" s="44">
        <v>44657</v>
      </c>
      <c r="C3754" s="44">
        <f t="shared" si="178"/>
        <v>44657</v>
      </c>
      <c r="D3754" s="374">
        <v>260</v>
      </c>
      <c r="E3754" s="291" t="str">
        <f>IFERROR(VLOOKUP($D3754,'Clients-Live'!$A:$C,3,0),"")</f>
        <v>ATAYI GRACE</v>
      </c>
      <c r="F3754" s="291">
        <f>IFERROR(INDEX(Disbursements!$D:$D,MATCH('Live Collections'!G3754,Disbursements!$C:$C,0)),"")</f>
        <v>2</v>
      </c>
      <c r="G3754" s="34">
        <v>476</v>
      </c>
      <c r="H3754" s="34">
        <v>5669</v>
      </c>
      <c r="I3754" s="34" t="s">
        <v>1359</v>
      </c>
      <c r="J3754" s="48"/>
      <c r="K3754" s="48"/>
      <c r="L3754" s="48"/>
      <c r="M3754" s="48"/>
      <c r="N3754" s="59"/>
      <c r="O3754" s="59">
        <v>35000</v>
      </c>
      <c r="P3754" s="59"/>
      <c r="Q3754" s="268">
        <f t="shared" si="175"/>
        <v>35000</v>
      </c>
      <c r="R3754" s="61">
        <f>IF(O3754=0,0,SUMIFS(Disbursements!$T:$T,Disbursements!$B:$B,'Live Collections'!D3754,Disbursements!$D:$D,'Live Collections'!F3754))</f>
        <v>111000</v>
      </c>
      <c r="S3754" s="304">
        <f>IF(O3754&lt;=IF($O3754=0,0,SUMIFS(Disbursements!$W:$W,Disbursements!$B:$B,'Live Collections'!D3754,Disbursements!$D:$D,'Live Collections'!F3754)),O3754,IF($O3754=0,0,SUMIFS(Disbursements!$W:$W,Disbursements!$B:$B,'Live Collections'!D3754,Disbursements!$D:$D,'Live Collections'!F3754)))</f>
        <v>23500</v>
      </c>
      <c r="T3754" s="304">
        <f t="shared" si="177"/>
        <v>11500</v>
      </c>
      <c r="U3754" s="52"/>
      <c r="V3754" s="34"/>
      <c r="W3754" s="408"/>
    </row>
    <row r="3755" spans="1:23" ht="12.75" customHeight="1" x14ac:dyDescent="0.2">
      <c r="A3755" s="257">
        <v>3765</v>
      </c>
      <c r="B3755" s="44">
        <v>44657</v>
      </c>
      <c r="C3755" s="44">
        <f t="shared" si="178"/>
        <v>44657</v>
      </c>
      <c r="D3755" s="374">
        <v>340</v>
      </c>
      <c r="E3755" s="291" t="str">
        <f>IFERROR(VLOOKUP($D3755,'Clients-Live'!$A:$C,3,0),"")</f>
        <v>NIGHT RAIMA</v>
      </c>
      <c r="F3755" s="291">
        <f>IFERROR(INDEX(Disbursements!$D:$D,MATCH('Live Collections'!G3755,Disbursements!$C:$C,0)),"")</f>
        <v>1</v>
      </c>
      <c r="G3755" s="34">
        <v>481</v>
      </c>
      <c r="H3755" s="34">
        <v>5666</v>
      </c>
      <c r="I3755" s="34" t="s">
        <v>1358</v>
      </c>
      <c r="J3755" s="48"/>
      <c r="K3755" s="48"/>
      <c r="L3755" s="48"/>
      <c r="M3755" s="48"/>
      <c r="N3755" s="59"/>
      <c r="O3755" s="59">
        <v>40000</v>
      </c>
      <c r="P3755" s="59"/>
      <c r="Q3755" s="268">
        <f t="shared" si="175"/>
        <v>40000</v>
      </c>
      <c r="R3755" s="61">
        <f>IF(O3755=0,0,SUMIFS(Disbursements!$T:$T,Disbursements!$B:$B,'Live Collections'!D3755,Disbursements!$D:$D,'Live Collections'!F3755))</f>
        <v>40000</v>
      </c>
      <c r="S3755" s="304">
        <f>IF(O3755&lt;=IF($O3755=0,0,SUMIFS(Disbursements!$W:$W,Disbursements!$B:$B,'Live Collections'!D3755,Disbursements!$D:$D,'Live Collections'!F3755)),O3755,IF($O3755=0,0,SUMIFS(Disbursements!$W:$W,Disbursements!$B:$B,'Live Collections'!D3755,Disbursements!$D:$D,'Live Collections'!F3755)))</f>
        <v>10000</v>
      </c>
      <c r="T3755" s="304">
        <f t="shared" si="177"/>
        <v>30000</v>
      </c>
      <c r="U3755" s="52"/>
      <c r="V3755" s="34"/>
      <c r="W3755" s="408"/>
    </row>
    <row r="3756" spans="1:23" ht="12.75" customHeight="1" x14ac:dyDescent="0.2">
      <c r="A3756" s="257">
        <v>3766</v>
      </c>
      <c r="B3756" s="44">
        <v>44657</v>
      </c>
      <c r="C3756" s="44">
        <f t="shared" si="178"/>
        <v>44657</v>
      </c>
      <c r="D3756" s="374">
        <v>152</v>
      </c>
      <c r="E3756" s="291" t="str">
        <f>IFERROR(VLOOKUP($D3756,'Clients-Live'!$A:$C,3,0),"")</f>
        <v>ASE ZAINABU</v>
      </c>
      <c r="F3756" s="291">
        <f>IFERROR(INDEX(Disbursements!$D:$D,MATCH('Live Collections'!G3756,Disbursements!$C:$C,0)),"")</f>
        <v>2</v>
      </c>
      <c r="G3756" s="34">
        <v>393</v>
      </c>
      <c r="H3756" s="34">
        <v>5665</v>
      </c>
      <c r="I3756" s="34" t="s">
        <v>1358</v>
      </c>
      <c r="J3756" s="48"/>
      <c r="K3756" s="48"/>
      <c r="L3756" s="48"/>
      <c r="M3756" s="48"/>
      <c r="N3756" s="59"/>
      <c r="O3756" s="59">
        <v>60000</v>
      </c>
      <c r="P3756" s="59"/>
      <c r="Q3756" s="268">
        <f t="shared" ref="Q3756:Q3819" si="179">SUM(J3756:P3756)</f>
        <v>60000</v>
      </c>
      <c r="R3756" s="61">
        <f>IF(O3756=0,0,SUMIFS(Disbursements!$T:$T,Disbursements!$B:$B,'Live Collections'!D3756,Disbursements!$D:$D,'Live Collections'!F3756))</f>
        <v>40000</v>
      </c>
      <c r="S3756" s="304">
        <f>IF(O3756&lt;=IF($O3756=0,0,SUMIFS(Disbursements!$W:$W,Disbursements!$B:$B,'Live Collections'!D3756,Disbursements!$D:$D,'Live Collections'!F3756)),O3756,IF($O3756=0,0,SUMIFS(Disbursements!$W:$W,Disbursements!$B:$B,'Live Collections'!D3756,Disbursements!$D:$D,'Live Collections'!F3756)))</f>
        <v>8750</v>
      </c>
      <c r="T3756" s="304">
        <f t="shared" si="177"/>
        <v>51250</v>
      </c>
      <c r="U3756" s="52"/>
      <c r="V3756" s="34"/>
      <c r="W3756" s="408"/>
    </row>
    <row r="3757" spans="1:23" ht="12.75" customHeight="1" x14ac:dyDescent="0.2">
      <c r="A3757" s="257">
        <v>3767</v>
      </c>
      <c r="B3757" s="44">
        <v>44657</v>
      </c>
      <c r="C3757" s="44">
        <f t="shared" si="178"/>
        <v>44657</v>
      </c>
      <c r="D3757" s="374">
        <v>276</v>
      </c>
      <c r="E3757" s="291" t="str">
        <f>IFERROR(VLOOKUP($D3757,'Clients-Live'!$A:$C,3,0),"")</f>
        <v>MANDELA SWAIBU</v>
      </c>
      <c r="F3757" s="291">
        <f>IFERROR(INDEX(Disbursements!$D:$D,MATCH('Live Collections'!G3757,Disbursements!$C:$C,0)),"")</f>
        <v>1</v>
      </c>
      <c r="G3757" s="34">
        <v>358</v>
      </c>
      <c r="H3757" s="34">
        <v>5667</v>
      </c>
      <c r="I3757" s="34" t="s">
        <v>1359</v>
      </c>
      <c r="J3757" s="48"/>
      <c r="K3757" s="48"/>
      <c r="L3757" s="48"/>
      <c r="M3757" s="48"/>
      <c r="N3757" s="59"/>
      <c r="O3757" s="59">
        <v>10000</v>
      </c>
      <c r="P3757" s="59"/>
      <c r="Q3757" s="268">
        <f t="shared" si="179"/>
        <v>10000</v>
      </c>
      <c r="R3757" s="61">
        <f>IF(O3757=0,0,SUMIFS(Disbursements!$T:$T,Disbursements!$B:$B,'Live Collections'!D3757,Disbursements!$D:$D,'Live Collections'!F3757))</f>
        <v>325000</v>
      </c>
      <c r="S3757" s="304">
        <f>IF(O3757&lt;=IF($O3757=0,0,SUMIFS(Disbursements!$W:$W,Disbursements!$B:$B,'Live Collections'!D3757,Disbursements!$D:$D,'Live Collections'!F3757)),O3757,IF($O3757=0,0,SUMIFS(Disbursements!$W:$W,Disbursements!$B:$B,'Live Collections'!D3757,Disbursements!$D:$D,'Live Collections'!F3757)))</f>
        <v>10000</v>
      </c>
      <c r="T3757" s="304">
        <f t="shared" si="177"/>
        <v>0</v>
      </c>
      <c r="U3757" s="52"/>
      <c r="V3757" s="34"/>
      <c r="W3757" s="408"/>
    </row>
    <row r="3758" spans="1:23" ht="12.75" customHeight="1" x14ac:dyDescent="0.2">
      <c r="A3758" s="257">
        <v>3768</v>
      </c>
      <c r="B3758" s="44">
        <v>44657</v>
      </c>
      <c r="C3758" s="44">
        <f t="shared" si="178"/>
        <v>44657</v>
      </c>
      <c r="D3758" s="374">
        <v>255</v>
      </c>
      <c r="E3758" s="291" t="str">
        <f>IFERROR(VLOOKUP($D3758,'Clients-Live'!$A:$C,3,0),"")</f>
        <v>YOBUTA JOHN</v>
      </c>
      <c r="F3758" s="291">
        <f>IFERROR(INDEX(Disbursements!$D:$D,MATCH('Live Collections'!G3758,Disbursements!$C:$C,0)),"")</f>
        <v>1</v>
      </c>
      <c r="G3758" s="34">
        <v>280</v>
      </c>
      <c r="H3758" s="34">
        <v>5668</v>
      </c>
      <c r="I3758" s="34" t="s">
        <v>1359</v>
      </c>
      <c r="J3758" s="48"/>
      <c r="K3758" s="48"/>
      <c r="L3758" s="48"/>
      <c r="M3758" s="48"/>
      <c r="N3758" s="59"/>
      <c r="O3758" s="59">
        <v>200000</v>
      </c>
      <c r="P3758" s="59"/>
      <c r="Q3758" s="268">
        <f t="shared" si="179"/>
        <v>200000</v>
      </c>
      <c r="R3758" s="61">
        <f>IF(O3758=0,0,SUMIFS(Disbursements!$T:$T,Disbursements!$B:$B,'Live Collections'!D3758,Disbursements!$D:$D,'Live Collections'!F3758))</f>
        <v>217000</v>
      </c>
      <c r="S3758" s="304">
        <f>IF(O3758&lt;=IF($O3758=0,0,SUMIFS(Disbursements!$W:$W,Disbursements!$B:$B,'Live Collections'!D3758,Disbursements!$D:$D,'Live Collections'!F3758)),O3758,IF($O3758=0,0,SUMIFS(Disbursements!$W:$W,Disbursements!$B:$B,'Live Collections'!D3758,Disbursements!$D:$D,'Live Collections'!F3758)))</f>
        <v>50333.333333333343</v>
      </c>
      <c r="T3758" s="304">
        <f t="shared" si="177"/>
        <v>149666.66666666666</v>
      </c>
      <c r="U3758" s="52"/>
      <c r="V3758" s="34"/>
      <c r="W3758" s="408"/>
    </row>
    <row r="3759" spans="1:23" ht="12.75" customHeight="1" x14ac:dyDescent="0.2">
      <c r="A3759" s="257">
        <v>3769</v>
      </c>
      <c r="B3759" s="44">
        <v>44657</v>
      </c>
      <c r="C3759" s="44">
        <f t="shared" si="178"/>
        <v>44657</v>
      </c>
      <c r="D3759" s="374">
        <v>212</v>
      </c>
      <c r="E3759" s="291" t="str">
        <f>IFERROR(VLOOKUP($D3759,'Clients-Live'!$A:$C,3,0),"")</f>
        <v>ACIDRI WILLIAM</v>
      </c>
      <c r="F3759" s="291">
        <f>IFERROR(INDEX(Disbursements!$D:$D,MATCH('Live Collections'!G3759,Disbursements!$C:$C,0)),"")</f>
        <v>2</v>
      </c>
      <c r="G3759" s="34">
        <v>365</v>
      </c>
      <c r="H3759" s="34" t="s">
        <v>2296</v>
      </c>
      <c r="I3759" s="34" t="s">
        <v>1358</v>
      </c>
      <c r="J3759" s="48"/>
      <c r="K3759" s="48"/>
      <c r="L3759" s="48"/>
      <c r="M3759" s="48"/>
      <c r="N3759" s="59"/>
      <c r="O3759" s="59">
        <v>75000</v>
      </c>
      <c r="P3759" s="59">
        <v>-75000</v>
      </c>
      <c r="Q3759" s="268">
        <f t="shared" si="179"/>
        <v>0</v>
      </c>
      <c r="R3759" s="61">
        <f>IF(O3759=0,0,SUMIFS(Disbursements!$T:$T,Disbursements!$B:$B,'Live Collections'!D3759,Disbursements!$D:$D,'Live Collections'!F3759))</f>
        <v>307000</v>
      </c>
      <c r="S3759" s="304">
        <f>IF(O3759&lt;=IF($O3759=0,0,SUMIFS(Disbursements!$W:$W,Disbursements!$B:$B,'Live Collections'!D3759,Disbursements!$D:$D,'Live Collections'!F3759)),O3759,IF($O3759=0,0,SUMIFS(Disbursements!$W:$W,Disbursements!$B:$B,'Live Collections'!D3759,Disbursements!$D:$D,'Live Collections'!F3759)))</f>
        <v>57000</v>
      </c>
      <c r="T3759" s="304">
        <f t="shared" si="177"/>
        <v>18000</v>
      </c>
      <c r="U3759" s="52"/>
      <c r="V3759" s="34"/>
      <c r="W3759" s="408"/>
    </row>
    <row r="3760" spans="1:23" ht="12.75" customHeight="1" x14ac:dyDescent="0.2">
      <c r="A3760" s="257">
        <v>3770</v>
      </c>
      <c r="B3760" s="44">
        <v>44657</v>
      </c>
      <c r="C3760" s="44">
        <f t="shared" si="178"/>
        <v>44657</v>
      </c>
      <c r="D3760" s="374">
        <v>212</v>
      </c>
      <c r="E3760" s="291" t="str">
        <f>IFERROR(VLOOKUP($D3760,'Clients-Live'!$A:$C,3,0),"")</f>
        <v>ACIDRI WILLIAM</v>
      </c>
      <c r="F3760" s="291">
        <f>IFERROR(INDEX(Disbursements!$D:$D,MATCH('Live Collections'!G3760,Disbursements!$C:$C,0)),"")</f>
        <v>2</v>
      </c>
      <c r="G3760" s="34">
        <v>365</v>
      </c>
      <c r="H3760" s="34">
        <v>5663</v>
      </c>
      <c r="I3760" s="34" t="s">
        <v>1358</v>
      </c>
      <c r="J3760" s="48"/>
      <c r="K3760" s="48"/>
      <c r="L3760" s="48"/>
      <c r="M3760" s="48"/>
      <c r="N3760" s="59"/>
      <c r="O3760" s="59">
        <v>371400</v>
      </c>
      <c r="P3760" s="59"/>
      <c r="Q3760" s="268">
        <f t="shared" si="179"/>
        <v>371400</v>
      </c>
      <c r="R3760" s="61">
        <f>IF(O3760=0,0,SUMIFS(Disbursements!$T:$T,Disbursements!$B:$B,'Live Collections'!D3760,Disbursements!$D:$D,'Live Collections'!F3760))</f>
        <v>307000</v>
      </c>
      <c r="S3760" s="304">
        <v>37000</v>
      </c>
      <c r="T3760" s="304">
        <f t="shared" si="177"/>
        <v>334400</v>
      </c>
      <c r="U3760" s="52"/>
      <c r="V3760" s="34"/>
      <c r="W3760" s="408"/>
    </row>
    <row r="3761" spans="1:23" ht="12.75" customHeight="1" x14ac:dyDescent="0.2">
      <c r="A3761" s="257">
        <v>3771</v>
      </c>
      <c r="B3761" s="44">
        <v>44657</v>
      </c>
      <c r="C3761" s="44">
        <f t="shared" si="178"/>
        <v>44657</v>
      </c>
      <c r="D3761" s="374">
        <v>338</v>
      </c>
      <c r="E3761" s="291" t="str">
        <f>IFERROR(VLOOKUP($D3761,'Clients-Live'!$A:$C,3,0),"")</f>
        <v>ASERU MARY</v>
      </c>
      <c r="F3761" s="291">
        <f>IFERROR(INDEX(Disbursements!$D:$D,MATCH('Live Collections'!G3761,Disbursements!$C:$C,0)),"")</f>
        <v>1</v>
      </c>
      <c r="G3761" s="34">
        <v>480</v>
      </c>
      <c r="H3761" s="34">
        <v>5548</v>
      </c>
      <c r="I3761" s="34" t="s">
        <v>1358</v>
      </c>
      <c r="J3761" s="48"/>
      <c r="K3761" s="48"/>
      <c r="L3761" s="48"/>
      <c r="M3761" s="48"/>
      <c r="N3761" s="59"/>
      <c r="O3761" s="59">
        <v>23700</v>
      </c>
      <c r="P3761" s="59"/>
      <c r="Q3761" s="268">
        <f t="shared" si="179"/>
        <v>23700</v>
      </c>
      <c r="R3761" s="61">
        <f>IF(O3761=0,0,SUMIFS(Disbursements!$T:$T,Disbursements!$B:$B,'Live Collections'!D3761,Disbursements!$D:$D,'Live Collections'!F3761))</f>
        <v>24000</v>
      </c>
      <c r="S3761" s="304">
        <f>IF(O3761&lt;=IF($O3761=0,0,SUMIFS(Disbursements!$W:$W,Disbursements!$B:$B,'Live Collections'!D3761,Disbursements!$D:$D,'Live Collections'!F3761)),O3761,IF($O3761=0,0,SUMIFS(Disbursements!$W:$W,Disbursements!$B:$B,'Live Collections'!D3761,Disbursements!$D:$D,'Live Collections'!F3761)))</f>
        <v>5250</v>
      </c>
      <c r="T3761" s="304">
        <f t="shared" si="177"/>
        <v>18450</v>
      </c>
      <c r="U3761" s="52"/>
      <c r="V3761" s="34"/>
      <c r="W3761" s="408"/>
    </row>
    <row r="3762" spans="1:23" ht="12.75" customHeight="1" x14ac:dyDescent="0.2">
      <c r="A3762" s="257">
        <v>3772</v>
      </c>
      <c r="B3762" s="44">
        <v>44657</v>
      </c>
      <c r="C3762" s="44">
        <f t="shared" si="178"/>
        <v>44657</v>
      </c>
      <c r="D3762" s="374">
        <v>72</v>
      </c>
      <c r="E3762" s="291" t="str">
        <f>IFERROR(VLOOKUP($D3762,'Clients-Live'!$A:$C,3,0),"")</f>
        <v>MUNDURU MERCY</v>
      </c>
      <c r="F3762" s="291">
        <f>IFERROR(INDEX(Disbursements!$D:$D,MATCH('Live Collections'!G3762,Disbursements!$C:$C,0)),"")</f>
        <v>2</v>
      </c>
      <c r="G3762" s="34">
        <v>370</v>
      </c>
      <c r="H3762" s="34">
        <v>5576</v>
      </c>
      <c r="I3762" s="34" t="s">
        <v>1358</v>
      </c>
      <c r="J3762" s="48"/>
      <c r="K3762" s="48"/>
      <c r="L3762" s="48"/>
      <c r="M3762" s="48"/>
      <c r="N3762" s="59"/>
      <c r="O3762" s="59">
        <v>520000</v>
      </c>
      <c r="P3762" s="59"/>
      <c r="Q3762" s="268">
        <f t="shared" si="179"/>
        <v>520000</v>
      </c>
      <c r="R3762" s="61">
        <f>IF(O3762=0,0,SUMIFS(Disbursements!$T:$T,Disbursements!$B:$B,'Live Collections'!D3762,Disbursements!$D:$D,'Live Collections'!F3762))</f>
        <v>260000</v>
      </c>
      <c r="S3762" s="304">
        <f>IF(O3762&lt;=IF($O3762=0,0,SUMIFS(Disbursements!$W:$W,Disbursements!$B:$B,'Live Collections'!D3762,Disbursements!$D:$D,'Live Collections'!F3762)),O3762,IF($O3762=0,0,SUMIFS(Disbursements!$W:$W,Disbursements!$B:$B,'Live Collections'!D3762,Disbursements!$D:$D,'Live Collections'!F3762)))</f>
        <v>60000</v>
      </c>
      <c r="T3762" s="304">
        <f t="shared" si="177"/>
        <v>460000</v>
      </c>
      <c r="U3762" s="52"/>
      <c r="V3762" s="34"/>
      <c r="W3762" s="408"/>
    </row>
    <row r="3763" spans="1:23" ht="12.75" customHeight="1" x14ac:dyDescent="0.2">
      <c r="A3763" s="257">
        <v>3773</v>
      </c>
      <c r="B3763" s="44">
        <v>44658</v>
      </c>
      <c r="C3763" s="44">
        <f t="shared" si="178"/>
        <v>44658</v>
      </c>
      <c r="D3763" s="374">
        <v>242</v>
      </c>
      <c r="E3763" s="291" t="str">
        <f>IFERROR(VLOOKUP($D3763,'Clients-Live'!$A:$C,3,0),"")</f>
        <v>BAKOKO FLAVIA</v>
      </c>
      <c r="F3763" s="291">
        <f>IFERROR(INDEX(Disbursements!$D:$D,MATCH('Live Collections'!G3763,Disbursements!$C:$C,0)),"")</f>
        <v>1</v>
      </c>
      <c r="G3763" s="34">
        <v>277</v>
      </c>
      <c r="H3763" s="34">
        <v>5200</v>
      </c>
      <c r="I3763" s="34" t="s">
        <v>1359</v>
      </c>
      <c r="J3763" s="48"/>
      <c r="K3763" s="48"/>
      <c r="L3763" s="48"/>
      <c r="M3763" s="48"/>
      <c r="N3763" s="59"/>
      <c r="O3763" s="59">
        <v>50000</v>
      </c>
      <c r="P3763" s="59"/>
      <c r="Q3763" s="268">
        <f t="shared" si="179"/>
        <v>50000</v>
      </c>
      <c r="R3763" s="61">
        <f>IF(O3763=0,0,SUMIFS(Disbursements!$T:$T,Disbursements!$B:$B,'Live Collections'!D3763,Disbursements!$D:$D,'Live Collections'!F3763))</f>
        <v>217000</v>
      </c>
      <c r="S3763" s="304">
        <f>IF(O3763&lt;=IF($O3763=0,0,SUMIFS(Disbursements!$W:$W,Disbursements!$B:$B,'Live Collections'!D3763,Disbursements!$D:$D,'Live Collections'!F3763)),O3763,IF($O3763=0,0,SUMIFS(Disbursements!$W:$W,Disbursements!$B:$B,'Live Collections'!D3763,Disbursements!$D:$D,'Live Collections'!F3763)))</f>
        <v>50000</v>
      </c>
      <c r="T3763" s="304">
        <f t="shared" si="177"/>
        <v>0</v>
      </c>
      <c r="U3763" s="52"/>
      <c r="V3763" s="34"/>
      <c r="W3763" s="408"/>
    </row>
    <row r="3764" spans="1:23" ht="12.75" customHeight="1" x14ac:dyDescent="0.2">
      <c r="A3764" s="257">
        <v>3774</v>
      </c>
      <c r="B3764" s="44">
        <v>44658</v>
      </c>
      <c r="C3764" s="44">
        <f t="shared" si="178"/>
        <v>44658</v>
      </c>
      <c r="D3764" s="374">
        <v>74</v>
      </c>
      <c r="E3764" s="291" t="str">
        <f>IFERROR(VLOOKUP($D3764,'Clients-Live'!$A:$C,3,0),"")</f>
        <v>YUKUWE AISHA</v>
      </c>
      <c r="F3764" s="291">
        <f>IFERROR(INDEX(Disbursements!$D:$D,MATCH('Live Collections'!G3764,Disbursements!$C:$C,0)),"")</f>
        <v>3</v>
      </c>
      <c r="G3764" s="34">
        <v>447</v>
      </c>
      <c r="H3764" s="34">
        <v>5691</v>
      </c>
      <c r="I3764" s="34" t="s">
        <v>1358</v>
      </c>
      <c r="J3764" s="48"/>
      <c r="K3764" s="48"/>
      <c r="L3764" s="48"/>
      <c r="M3764" s="48"/>
      <c r="N3764" s="59"/>
      <c r="O3764" s="59">
        <v>15000</v>
      </c>
      <c r="P3764" s="59"/>
      <c r="Q3764" s="268">
        <f t="shared" si="179"/>
        <v>15000</v>
      </c>
      <c r="R3764" s="61">
        <f>IF(O3764=0,0,SUMIFS(Disbursements!$T:$T,Disbursements!$B:$B,'Live Collections'!D3764,Disbursements!$D:$D,'Live Collections'!F3764))</f>
        <v>16000</v>
      </c>
      <c r="S3764" s="304">
        <f>IF(O3764&lt;=IF($O3764=0,0,SUMIFS(Disbursements!$W:$W,Disbursements!$B:$B,'Live Collections'!D3764,Disbursements!$D:$D,'Live Collections'!F3764)),O3764,IF($O3764=0,0,SUMIFS(Disbursements!$W:$W,Disbursements!$B:$B,'Live Collections'!D3764,Disbursements!$D:$D,'Live Collections'!F3764)))</f>
        <v>3500</v>
      </c>
      <c r="T3764" s="304">
        <f t="shared" si="177"/>
        <v>11500</v>
      </c>
      <c r="U3764" s="52"/>
      <c r="V3764" s="34"/>
      <c r="W3764" s="408"/>
    </row>
    <row r="3765" spans="1:23" ht="12.75" customHeight="1" x14ac:dyDescent="0.2">
      <c r="A3765" s="257">
        <v>3775</v>
      </c>
      <c r="B3765" s="44">
        <v>44658</v>
      </c>
      <c r="C3765" s="44">
        <f t="shared" si="178"/>
        <v>44658</v>
      </c>
      <c r="D3765" s="374">
        <v>18</v>
      </c>
      <c r="E3765" s="291" t="str">
        <f>IFERROR(VLOOKUP($D3765,'Clients-Live'!$A:$C,3,0),"")</f>
        <v>ARIYE PEACE</v>
      </c>
      <c r="F3765" s="291">
        <f>IFERROR(INDEX(Disbursements!$D:$D,MATCH('Live Collections'!G3765,Disbursements!$C:$C,0)),"")</f>
        <v>2</v>
      </c>
      <c r="G3765" s="34">
        <v>317</v>
      </c>
      <c r="H3765" s="34">
        <v>5694</v>
      </c>
      <c r="I3765" s="34" t="s">
        <v>1357</v>
      </c>
      <c r="J3765" s="48"/>
      <c r="K3765" s="48"/>
      <c r="L3765" s="48"/>
      <c r="M3765" s="48"/>
      <c r="N3765" s="59"/>
      <c r="O3765" s="59">
        <v>100000</v>
      </c>
      <c r="P3765" s="59"/>
      <c r="Q3765" s="268">
        <f t="shared" si="179"/>
        <v>100000</v>
      </c>
      <c r="R3765" s="61">
        <f>IF(O3765=0,0,SUMIFS(Disbursements!$T:$T,Disbursements!$B:$B,'Live Collections'!D3765,Disbursements!$D:$D,'Live Collections'!F3765))</f>
        <v>650000</v>
      </c>
      <c r="S3765" s="304">
        <f>IF(O3765&lt;=IF($O3765=0,0,SUMIFS(Disbursements!$W:$W,Disbursements!$B:$B,'Live Collections'!D3765,Disbursements!$D:$D,'Live Collections'!F3765)),O3765,IF($O3765=0,0,SUMIFS(Disbursements!$W:$W,Disbursements!$B:$B,'Live Collections'!D3765,Disbursements!$D:$D,'Live Collections'!F3765)))</f>
        <v>100000</v>
      </c>
      <c r="T3765" s="304">
        <f t="shared" si="177"/>
        <v>0</v>
      </c>
      <c r="U3765" s="52"/>
      <c r="V3765" s="34"/>
      <c r="W3765" s="408"/>
    </row>
    <row r="3766" spans="1:23" ht="12.75" customHeight="1" x14ac:dyDescent="0.2">
      <c r="A3766" s="257">
        <v>3776</v>
      </c>
      <c r="B3766" s="44">
        <v>44658</v>
      </c>
      <c r="C3766" s="44">
        <f t="shared" si="178"/>
        <v>44658</v>
      </c>
      <c r="D3766" s="374">
        <v>72</v>
      </c>
      <c r="E3766" s="291" t="str">
        <f>IFERROR(VLOOKUP($D3766,'Clients-Live'!$A:$C,3,0),"")</f>
        <v>MUNDURU MERCY</v>
      </c>
      <c r="F3766" s="291" t="str">
        <f>IFERROR(INDEX(Disbursements!$D:$D,MATCH('Live Collections'!G3766,Disbursements!$C:$C,0)),"")</f>
        <v/>
      </c>
      <c r="G3766" s="34"/>
      <c r="H3766" s="34">
        <v>5680</v>
      </c>
      <c r="I3766" s="34" t="s">
        <v>1358</v>
      </c>
      <c r="J3766" s="48"/>
      <c r="K3766" s="48"/>
      <c r="L3766" s="48">
        <v>15000</v>
      </c>
      <c r="M3766" s="48">
        <v>5000</v>
      </c>
      <c r="N3766" s="59"/>
      <c r="O3766" s="59"/>
      <c r="P3766" s="59"/>
      <c r="Q3766" s="268">
        <f t="shared" si="179"/>
        <v>20000</v>
      </c>
      <c r="R3766" s="61">
        <f>IF(O3766=0,0,SUMIFS(Disbursements!$T:$T,Disbursements!$B:$B,'Live Collections'!D3766,Disbursements!$D:$D,'Live Collections'!F3766))</f>
        <v>0</v>
      </c>
      <c r="S3766" s="304">
        <f>IF(O3766&lt;=IF($O3766=0,0,SUMIFS(Disbursements!$W:$W,Disbursements!$B:$B,'Live Collections'!D3766,Disbursements!$D:$D,'Live Collections'!F3766)),O3766,IF($O3766=0,0,SUMIFS(Disbursements!$W:$W,Disbursements!$B:$B,'Live Collections'!D3766,Disbursements!$D:$D,'Live Collections'!F3766)))</f>
        <v>0</v>
      </c>
      <c r="T3766" s="304">
        <f t="shared" si="177"/>
        <v>0</v>
      </c>
      <c r="U3766" s="52"/>
      <c r="V3766" s="34"/>
      <c r="W3766" s="408"/>
    </row>
    <row r="3767" spans="1:23" ht="12.75" customHeight="1" x14ac:dyDescent="0.2">
      <c r="A3767" s="257">
        <v>3777</v>
      </c>
      <c r="B3767" s="44">
        <v>44658</v>
      </c>
      <c r="C3767" s="44">
        <f t="shared" si="178"/>
        <v>44658</v>
      </c>
      <c r="D3767" s="374">
        <v>325</v>
      </c>
      <c r="E3767" s="291" t="str">
        <f>IFERROR(VLOOKUP($D3767,'Clients-Live'!$A:$C,3,0),"")</f>
        <v>MUNGUFENI RAMSEY</v>
      </c>
      <c r="F3767" s="291">
        <f>IFERROR(INDEX(Disbursements!$D:$D,MATCH('Live Collections'!G3767,Disbursements!$C:$C,0)),"")</f>
        <v>1</v>
      </c>
      <c r="G3767" s="34">
        <v>448</v>
      </c>
      <c r="H3767" s="34">
        <v>5689</v>
      </c>
      <c r="I3767" s="34" t="s">
        <v>1359</v>
      </c>
      <c r="J3767" s="48"/>
      <c r="K3767" s="48"/>
      <c r="L3767" s="48"/>
      <c r="M3767" s="48"/>
      <c r="N3767" s="59"/>
      <c r="O3767" s="59">
        <v>100000</v>
      </c>
      <c r="P3767" s="59"/>
      <c r="Q3767" s="268">
        <f t="shared" si="179"/>
        <v>100000</v>
      </c>
      <c r="R3767" s="61">
        <f>IF(O3767=0,0,SUMIFS(Disbursements!$T:$T,Disbursements!$B:$B,'Live Collections'!D3767,Disbursements!$D:$D,'Live Collections'!F3767))</f>
        <v>40000</v>
      </c>
      <c r="S3767" s="304">
        <f>IF(O3767&lt;=IF($O3767=0,0,SUMIFS(Disbursements!$W:$W,Disbursements!$B:$B,'Live Collections'!D3767,Disbursements!$D:$D,'Live Collections'!F3767)),O3767,IF($O3767=0,0,SUMIFS(Disbursements!$W:$W,Disbursements!$B:$B,'Live Collections'!D3767,Disbursements!$D:$D,'Live Collections'!F3767)))</f>
        <v>6666.6666666666642</v>
      </c>
      <c r="T3767" s="304">
        <f t="shared" ref="T3767:T3828" si="180">IF(O3767=0,0,O3767-S3767)</f>
        <v>93333.333333333343</v>
      </c>
      <c r="U3767" s="52"/>
      <c r="V3767" s="34"/>
      <c r="W3767" s="408"/>
    </row>
    <row r="3768" spans="1:23" ht="12.75" customHeight="1" x14ac:dyDescent="0.2">
      <c r="A3768" s="257">
        <v>3778</v>
      </c>
      <c r="B3768" s="44">
        <v>44658</v>
      </c>
      <c r="C3768" s="44">
        <f t="shared" si="178"/>
        <v>44658</v>
      </c>
      <c r="D3768" s="374">
        <v>144</v>
      </c>
      <c r="E3768" s="291" t="str">
        <f>IFERROR(VLOOKUP($D3768,'Clients-Live'!$A:$C,3,0),"")</f>
        <v>GBENINGA RUKIA</v>
      </c>
      <c r="F3768" s="291">
        <f>IFERROR(INDEX(Disbursements!$D:$D,MATCH('Live Collections'!G3768,Disbursements!$C:$C,0)),"")</f>
        <v>1</v>
      </c>
      <c r="G3768" s="34">
        <v>131</v>
      </c>
      <c r="H3768" s="34">
        <v>5687</v>
      </c>
      <c r="I3768" s="34" t="s">
        <v>1359</v>
      </c>
      <c r="J3768" s="48"/>
      <c r="K3768" s="48"/>
      <c r="L3768" s="48"/>
      <c r="M3768" s="48"/>
      <c r="N3768" s="59"/>
      <c r="O3768" s="59">
        <v>15000</v>
      </c>
      <c r="P3768" s="59"/>
      <c r="Q3768" s="268">
        <f t="shared" si="179"/>
        <v>15000</v>
      </c>
      <c r="R3768" s="61">
        <f>IF(O3768=0,0,SUMIFS(Disbursements!$T:$T,Disbursements!$B:$B,'Live Collections'!D3768,Disbursements!$D:$D,'Live Collections'!F3768))</f>
        <v>125000</v>
      </c>
      <c r="S3768" s="304"/>
      <c r="T3768" s="304">
        <f t="shared" si="180"/>
        <v>15000</v>
      </c>
      <c r="U3768" s="52"/>
      <c r="V3768" s="34"/>
      <c r="W3768" s="408"/>
    </row>
    <row r="3769" spans="1:23" ht="12.75" customHeight="1" x14ac:dyDescent="0.2">
      <c r="A3769" s="257">
        <v>3779</v>
      </c>
      <c r="B3769" s="44">
        <v>44658</v>
      </c>
      <c r="C3769" s="44">
        <f t="shared" si="178"/>
        <v>44658</v>
      </c>
      <c r="D3769" s="374">
        <v>179</v>
      </c>
      <c r="E3769" s="291" t="str">
        <f>IFERROR(VLOOKUP($D3769,'Clients-Live'!$A:$C,3,0),"")</f>
        <v>GERIA VIOLA</v>
      </c>
      <c r="F3769" s="291">
        <f>IFERROR(INDEX(Disbursements!$D:$D,MATCH('Live Collections'!G3769,Disbursements!$C:$C,0)),"")</f>
        <v>2</v>
      </c>
      <c r="G3769" s="34">
        <v>330</v>
      </c>
      <c r="H3769" s="34">
        <v>5684</v>
      </c>
      <c r="I3769" s="34" t="s">
        <v>1359</v>
      </c>
      <c r="J3769" s="48"/>
      <c r="K3769" s="48"/>
      <c r="L3769" s="48"/>
      <c r="M3769" s="48"/>
      <c r="N3769" s="59"/>
      <c r="O3769" s="59">
        <v>110000</v>
      </c>
      <c r="P3769" s="59"/>
      <c r="Q3769" s="268">
        <f t="shared" si="179"/>
        <v>110000</v>
      </c>
      <c r="R3769" s="61">
        <f>IF(O3769=0,0,SUMIFS(Disbursements!$T:$T,Disbursements!$B:$B,'Live Collections'!D3769,Disbursements!$D:$D,'Live Collections'!F3769))</f>
        <v>100000</v>
      </c>
      <c r="S3769" s="304"/>
      <c r="T3769" s="304">
        <f t="shared" si="180"/>
        <v>110000</v>
      </c>
      <c r="U3769" s="52"/>
      <c r="V3769" s="34"/>
      <c r="W3769" s="408"/>
    </row>
    <row r="3770" spans="1:23" ht="12.75" customHeight="1" x14ac:dyDescent="0.2">
      <c r="A3770" s="257">
        <v>3780</v>
      </c>
      <c r="B3770" s="44">
        <v>44658</v>
      </c>
      <c r="C3770" s="44">
        <f t="shared" si="178"/>
        <v>44658</v>
      </c>
      <c r="D3770" s="374">
        <v>175</v>
      </c>
      <c r="E3770" s="291" t="str">
        <f>IFERROR(VLOOKUP($D3770,'Clients-Live'!$A:$C,3,0),"")</f>
        <v>ZUBEDA WAIGA</v>
      </c>
      <c r="F3770" s="291">
        <f>IFERROR(INDEX(Disbursements!$D:$D,MATCH('Live Collections'!G3770,Disbursements!$C:$C,0)),"")</f>
        <v>3</v>
      </c>
      <c r="G3770" s="34">
        <v>466</v>
      </c>
      <c r="H3770" s="34">
        <v>5682</v>
      </c>
      <c r="I3770" s="34" t="s">
        <v>1358</v>
      </c>
      <c r="J3770" s="48"/>
      <c r="K3770" s="48"/>
      <c r="L3770" s="48"/>
      <c r="M3770" s="48"/>
      <c r="N3770" s="59"/>
      <c r="O3770" s="59">
        <v>31500</v>
      </c>
      <c r="P3770" s="59"/>
      <c r="Q3770" s="268">
        <f t="shared" si="179"/>
        <v>31500</v>
      </c>
      <c r="R3770" s="61">
        <f>IF(O3770=0,0,SUMIFS(Disbursements!$T:$T,Disbursements!$B:$B,'Live Collections'!D3770,Disbursements!$D:$D,'Live Collections'!F3770))</f>
        <v>32000</v>
      </c>
      <c r="S3770" s="304">
        <f>IF(O3770&lt;=IF($O3770=0,0,SUMIFS(Disbursements!$W:$W,Disbursements!$B:$B,'Live Collections'!D3770,Disbursements!$D:$D,'Live Collections'!F3770)),O3770,IF($O3770=0,0,SUMIFS(Disbursements!$W:$W,Disbursements!$B:$B,'Live Collections'!D3770,Disbursements!$D:$D,'Live Collections'!F3770)))</f>
        <v>7000</v>
      </c>
      <c r="T3770" s="304">
        <f t="shared" si="180"/>
        <v>24500</v>
      </c>
      <c r="U3770" s="52"/>
      <c r="V3770" s="34"/>
      <c r="W3770" s="408"/>
    </row>
    <row r="3771" spans="1:23" ht="12.75" customHeight="1" x14ac:dyDescent="0.2">
      <c r="A3771" s="257">
        <v>3781</v>
      </c>
      <c r="B3771" s="44">
        <v>44658</v>
      </c>
      <c r="C3771" s="44">
        <f t="shared" si="178"/>
        <v>44658</v>
      </c>
      <c r="D3771" s="374">
        <v>55</v>
      </c>
      <c r="E3771" s="291" t="str">
        <f>IFERROR(VLOOKUP($D3771,'Clients-Live'!$A:$C,3,0),"")</f>
        <v>SOKOLA SHARON</v>
      </c>
      <c r="F3771" s="291">
        <f>IFERROR(INDEX(Disbursements!$D:$D,MATCH('Live Collections'!G3771,Disbursements!$C:$C,0)),"")</f>
        <v>2</v>
      </c>
      <c r="G3771" s="34">
        <v>288</v>
      </c>
      <c r="H3771" s="34">
        <v>5683</v>
      </c>
      <c r="I3771" s="34" t="s">
        <v>1359</v>
      </c>
      <c r="J3771" s="48"/>
      <c r="K3771" s="48"/>
      <c r="L3771" s="48"/>
      <c r="M3771" s="48"/>
      <c r="N3771" s="59"/>
      <c r="O3771" s="59">
        <v>20000</v>
      </c>
      <c r="P3771" s="59"/>
      <c r="Q3771" s="268">
        <f t="shared" si="179"/>
        <v>20000</v>
      </c>
      <c r="R3771" s="61">
        <f>IF(O3771=0,0,SUMIFS(Disbursements!$T:$T,Disbursements!$B:$B,'Live Collections'!D3771,Disbursements!$D:$D,'Live Collections'!F3771))</f>
        <v>210000</v>
      </c>
      <c r="S3771" s="304"/>
      <c r="T3771" s="304">
        <f t="shared" si="180"/>
        <v>20000</v>
      </c>
      <c r="U3771" s="52"/>
      <c r="V3771" s="34"/>
      <c r="W3771" s="408"/>
    </row>
    <row r="3772" spans="1:23" ht="12.75" customHeight="1" x14ac:dyDescent="0.2">
      <c r="A3772" s="257">
        <v>3782</v>
      </c>
      <c r="B3772" s="44">
        <v>44658</v>
      </c>
      <c r="C3772" s="44">
        <f t="shared" si="178"/>
        <v>44658</v>
      </c>
      <c r="D3772" s="374">
        <v>72</v>
      </c>
      <c r="E3772" s="291" t="str">
        <f>IFERROR(VLOOKUP($D3772,'Clients-Live'!$A:$C,3,0),"")</f>
        <v>MUNDURU MERCY</v>
      </c>
      <c r="F3772" s="291">
        <f>IFERROR(INDEX(Disbursements!$D:$D,MATCH('Live Collections'!G3772,Disbursements!$C:$C,0)),"")</f>
        <v>2</v>
      </c>
      <c r="G3772" s="34">
        <v>370</v>
      </c>
      <c r="H3772" s="34">
        <v>5678</v>
      </c>
      <c r="I3772" s="34" t="s">
        <v>1358</v>
      </c>
      <c r="J3772" s="48"/>
      <c r="K3772" s="48"/>
      <c r="L3772" s="48"/>
      <c r="M3772" s="48"/>
      <c r="N3772" s="59"/>
      <c r="O3772" s="59">
        <v>140000</v>
      </c>
      <c r="P3772" s="59"/>
      <c r="Q3772" s="268">
        <f t="shared" si="179"/>
        <v>140000</v>
      </c>
      <c r="R3772" s="61">
        <f>IF(O3772=0,0,SUMIFS(Disbursements!$T:$T,Disbursements!$B:$B,'Live Collections'!D3772,Disbursements!$D:$D,'Live Collections'!F3772))</f>
        <v>260000</v>
      </c>
      <c r="S3772" s="304">
        <f>IF(O3772&lt;=IF($O3772=0,0,SUMIFS(Disbursements!$W:$W,Disbursements!$B:$B,'Live Collections'!D3772,Disbursements!$D:$D,'Live Collections'!F3772)),O3772,IF($O3772=0,0,SUMIFS(Disbursements!$W:$W,Disbursements!$B:$B,'Live Collections'!D3772,Disbursements!$D:$D,'Live Collections'!F3772)))</f>
        <v>60000</v>
      </c>
      <c r="T3772" s="304">
        <f t="shared" si="180"/>
        <v>80000</v>
      </c>
      <c r="U3772" s="52"/>
      <c r="V3772" s="34"/>
      <c r="W3772" s="408"/>
    </row>
    <row r="3773" spans="1:23" ht="12.75" customHeight="1" x14ac:dyDescent="0.2">
      <c r="A3773" s="257">
        <v>3783</v>
      </c>
      <c r="B3773" s="44">
        <v>44658</v>
      </c>
      <c r="C3773" s="44">
        <f t="shared" si="178"/>
        <v>44658</v>
      </c>
      <c r="D3773" s="374">
        <v>66</v>
      </c>
      <c r="E3773" s="291" t="str">
        <f>IFERROR(VLOOKUP($D3773,'Clients-Live'!$A:$C,3,0),"")</f>
        <v>DENAYA NYAMAZA</v>
      </c>
      <c r="F3773" s="291">
        <f>IFERROR(INDEX(Disbursements!$D:$D,MATCH('Live Collections'!G3773,Disbursements!$C:$C,0)),"")</f>
        <v>2</v>
      </c>
      <c r="G3773" s="34">
        <v>300</v>
      </c>
      <c r="H3773" s="34">
        <v>5681</v>
      </c>
      <c r="I3773" s="34" t="s">
        <v>1357</v>
      </c>
      <c r="J3773" s="48"/>
      <c r="K3773" s="48"/>
      <c r="L3773" s="48"/>
      <c r="M3773" s="48"/>
      <c r="N3773" s="59"/>
      <c r="O3773" s="59">
        <v>100000</v>
      </c>
      <c r="P3773" s="59"/>
      <c r="Q3773" s="268">
        <f t="shared" si="179"/>
        <v>100000</v>
      </c>
      <c r="R3773" s="61">
        <f>IF(O3773=0,0,SUMIFS(Disbursements!$T:$T,Disbursements!$B:$B,'Live Collections'!D3773,Disbursements!$D:$D,'Live Collections'!F3773))</f>
        <v>109000</v>
      </c>
      <c r="S3773" s="304">
        <f>IF(O3773&lt;=IF($O3773=0,0,SUMIFS(Disbursements!$W:$W,Disbursements!$B:$B,'Live Collections'!D3773,Disbursements!$D:$D,'Live Collections'!F3773)),O3773,IF($O3773=0,0,SUMIFS(Disbursements!$W:$W,Disbursements!$B:$B,'Live Collections'!D3773,Disbursements!$D:$D,'Live Collections'!F3773)))</f>
        <v>25666.666666666672</v>
      </c>
      <c r="T3773" s="304">
        <f t="shared" si="180"/>
        <v>74333.333333333328</v>
      </c>
      <c r="U3773" s="52"/>
      <c r="V3773" s="34"/>
      <c r="W3773" s="408"/>
    </row>
    <row r="3774" spans="1:23" ht="12.75" customHeight="1" x14ac:dyDescent="0.2">
      <c r="A3774" s="257">
        <v>3784</v>
      </c>
      <c r="B3774" s="44">
        <v>44658</v>
      </c>
      <c r="C3774" s="44">
        <f t="shared" si="178"/>
        <v>44658</v>
      </c>
      <c r="D3774" s="374">
        <v>72</v>
      </c>
      <c r="E3774" s="291" t="str">
        <f>IFERROR(VLOOKUP($D3774,'Clients-Live'!$A:$C,3,0),"")</f>
        <v>MUNDURU MERCY</v>
      </c>
      <c r="F3774" s="291">
        <f>IFERROR(INDEX(Disbursements!$D:$D,MATCH('Live Collections'!G3774,Disbursements!$C:$C,0)),"")</f>
        <v>2</v>
      </c>
      <c r="G3774" s="34">
        <v>370</v>
      </c>
      <c r="H3774" s="34" t="s">
        <v>2297</v>
      </c>
      <c r="I3774" s="34" t="s">
        <v>1358</v>
      </c>
      <c r="J3774" s="48"/>
      <c r="K3774" s="48"/>
      <c r="L3774" s="48"/>
      <c r="M3774" s="48"/>
      <c r="N3774" s="59"/>
      <c r="O3774" s="59">
        <v>120000</v>
      </c>
      <c r="P3774" s="59">
        <v>-120000</v>
      </c>
      <c r="Q3774" s="268">
        <f t="shared" si="179"/>
        <v>0</v>
      </c>
      <c r="R3774" s="61">
        <f>IF(O3774=0,0,SUMIFS(Disbursements!$T:$T,Disbursements!$B:$B,'Live Collections'!D3774,Disbursements!$D:$D,'Live Collections'!F3774))</f>
        <v>260000</v>
      </c>
      <c r="S3774" s="64">
        <v>81333.333333333314</v>
      </c>
      <c r="T3774" s="304">
        <f t="shared" si="180"/>
        <v>38666.666666666686</v>
      </c>
      <c r="U3774" s="52"/>
      <c r="V3774" s="34"/>
      <c r="W3774" s="408"/>
    </row>
    <row r="3775" spans="1:23" ht="12.75" customHeight="1" x14ac:dyDescent="0.2">
      <c r="A3775" s="257">
        <v>3785</v>
      </c>
      <c r="B3775" s="44">
        <v>44658</v>
      </c>
      <c r="C3775" s="44">
        <f t="shared" ref="C3775:C3838" si="181">B3775</f>
        <v>44658</v>
      </c>
      <c r="D3775" s="374">
        <v>179</v>
      </c>
      <c r="E3775" s="291" t="str">
        <f>IFERROR(VLOOKUP($D3775,'Clients-Live'!$A:$C,3,0),"")</f>
        <v>GERIA VIOLA</v>
      </c>
      <c r="F3775" s="291">
        <f>IFERROR(INDEX(Disbursements!$D:$D,MATCH('Live Collections'!G3775,Disbursements!$C:$C,0)),"")</f>
        <v>2</v>
      </c>
      <c r="G3775" s="34">
        <v>330</v>
      </c>
      <c r="H3775" s="34" t="s">
        <v>2298</v>
      </c>
      <c r="I3775" s="34" t="s">
        <v>1359</v>
      </c>
      <c r="J3775" s="48"/>
      <c r="K3775" s="48"/>
      <c r="L3775" s="48"/>
      <c r="M3775" s="48"/>
      <c r="N3775" s="59"/>
      <c r="O3775" s="59">
        <v>40000</v>
      </c>
      <c r="P3775" s="59">
        <v>-40000</v>
      </c>
      <c r="Q3775" s="268">
        <f t="shared" si="179"/>
        <v>0</v>
      </c>
      <c r="R3775" s="61">
        <f>IF(O3775=0,0,SUMIFS(Disbursements!$T:$T,Disbursements!$B:$B,'Live Collections'!D3775,Disbursements!$D:$D,'Live Collections'!F3775))</f>
        <v>100000</v>
      </c>
      <c r="S3775" s="304"/>
      <c r="T3775" s="304">
        <f t="shared" si="180"/>
        <v>40000</v>
      </c>
      <c r="U3775" s="52"/>
      <c r="V3775" s="34"/>
      <c r="W3775" s="408"/>
    </row>
    <row r="3776" spans="1:23" ht="12.75" customHeight="1" x14ac:dyDescent="0.2">
      <c r="A3776" s="257">
        <v>3786</v>
      </c>
      <c r="B3776" s="44">
        <v>44660</v>
      </c>
      <c r="C3776" s="44">
        <f t="shared" si="181"/>
        <v>44660</v>
      </c>
      <c r="D3776" s="374">
        <v>328</v>
      </c>
      <c r="E3776" s="291" t="str">
        <f>IFERROR(VLOOKUP($D3776,'Clients-Live'!$A:$C,3,0),"")</f>
        <v>AGOTIA JOYCE</v>
      </c>
      <c r="F3776" s="291">
        <f>IFERROR(INDEX(Disbursements!$D:$D,MATCH('Live Collections'!G3776,Disbursements!$C:$C,0)),"")</f>
        <v>2</v>
      </c>
      <c r="G3776" s="34">
        <v>503</v>
      </c>
      <c r="H3776" s="34">
        <v>5603</v>
      </c>
      <c r="I3776" s="34" t="s">
        <v>1357</v>
      </c>
      <c r="J3776" s="48"/>
      <c r="K3776" s="48"/>
      <c r="L3776" s="48"/>
      <c r="M3776" s="48"/>
      <c r="N3776" s="59"/>
      <c r="O3776" s="59"/>
      <c r="P3776" s="59">
        <v>300000</v>
      </c>
      <c r="Q3776" s="268">
        <f t="shared" si="179"/>
        <v>300000</v>
      </c>
      <c r="R3776" s="61">
        <f>IF(O3776=0,0,SUMIFS(Disbursements!$T:$T,Disbursements!$B:$B,'Live Collections'!D3776,Disbursements!$D:$D,'Live Collections'!F3776))</f>
        <v>0</v>
      </c>
      <c r="S3776" s="304">
        <f>IF(O3776&lt;=IF($O3776=0,0,SUMIFS(Disbursements!$W:$W,Disbursements!$B:$B,'Live Collections'!D3776,Disbursements!$D:$D,'Live Collections'!F3776)),O3776,IF($O3776=0,0,SUMIFS(Disbursements!$W:$W,Disbursements!$B:$B,'Live Collections'!D3776,Disbursements!$D:$D,'Live Collections'!F3776)))</f>
        <v>0</v>
      </c>
      <c r="T3776" s="304">
        <f t="shared" si="180"/>
        <v>0</v>
      </c>
      <c r="U3776" s="52"/>
      <c r="V3776" s="34"/>
      <c r="W3776" s="408"/>
    </row>
    <row r="3777" spans="1:23" ht="12.75" customHeight="1" x14ac:dyDescent="0.2">
      <c r="A3777" s="257">
        <v>3787</v>
      </c>
      <c r="B3777" s="44">
        <v>44660</v>
      </c>
      <c r="C3777" s="44">
        <f t="shared" si="181"/>
        <v>44660</v>
      </c>
      <c r="D3777" s="374">
        <v>201</v>
      </c>
      <c r="E3777" s="291" t="str">
        <f>IFERROR(VLOOKUP($D3777,'Clients-Live'!$A:$C,3,0),"")</f>
        <v>DALILI HASSAN</v>
      </c>
      <c r="F3777" s="291">
        <f>IFERROR(INDEX(Disbursements!$D:$D,MATCH('Live Collections'!G3777,Disbursements!$C:$C,0)),"")</f>
        <v>1</v>
      </c>
      <c r="G3777" s="34">
        <v>419</v>
      </c>
      <c r="H3777" s="34">
        <v>5604</v>
      </c>
      <c r="I3777" s="34" t="s">
        <v>1359</v>
      </c>
      <c r="J3777" s="48"/>
      <c r="K3777" s="48"/>
      <c r="L3777" s="48"/>
      <c r="M3777" s="48"/>
      <c r="N3777" s="59"/>
      <c r="O3777" s="59">
        <v>50000</v>
      </c>
      <c r="P3777" s="59"/>
      <c r="Q3777" s="268">
        <f t="shared" si="179"/>
        <v>50000</v>
      </c>
      <c r="R3777" s="61">
        <f>IF(O3777=0,0,SUMIFS(Disbursements!$T:$T,Disbursements!$B:$B,'Live Collections'!D3777,Disbursements!$D:$D,'Live Collections'!F3777))</f>
        <v>47000</v>
      </c>
      <c r="S3777" s="304">
        <f>IF(O3777&lt;=IF($O3777=0,0,SUMIFS(Disbursements!$W:$W,Disbursements!$B:$B,'Live Collections'!D3777,Disbursements!$D:$D,'Live Collections'!F3777)),O3777,IF($O3777=0,0,SUMIFS(Disbursements!$W:$W,Disbursements!$B:$B,'Live Collections'!D3777,Disbursements!$D:$D,'Live Collections'!F3777)))</f>
        <v>13666.666666666664</v>
      </c>
      <c r="T3777" s="304">
        <f t="shared" si="180"/>
        <v>36333.333333333336</v>
      </c>
      <c r="U3777" s="52"/>
      <c r="V3777" s="34"/>
      <c r="W3777" s="408"/>
    </row>
    <row r="3778" spans="1:23" ht="12.75" customHeight="1" x14ac:dyDescent="0.2">
      <c r="A3778" s="257">
        <v>3788</v>
      </c>
      <c r="B3778" s="44">
        <v>44660</v>
      </c>
      <c r="C3778" s="44">
        <f t="shared" si="181"/>
        <v>44660</v>
      </c>
      <c r="D3778" s="374">
        <v>281</v>
      </c>
      <c r="E3778" s="291" t="str">
        <f>IFERROR(VLOOKUP($D3778,'Clients-Live'!$A:$C,3,0),"")</f>
        <v>BAKO ZUBEDA</v>
      </c>
      <c r="F3778" s="291">
        <f>IFERROR(INDEX(Disbursements!$D:$D,MATCH('Live Collections'!G3778,Disbursements!$C:$C,0)),"")</f>
        <v>1</v>
      </c>
      <c r="G3778" s="34">
        <v>406</v>
      </c>
      <c r="H3778" s="34" t="s">
        <v>2299</v>
      </c>
      <c r="I3778" s="34" t="s">
        <v>1359</v>
      </c>
      <c r="J3778" s="48"/>
      <c r="K3778" s="48"/>
      <c r="L3778" s="48"/>
      <c r="M3778" s="48"/>
      <c r="N3778" s="59"/>
      <c r="O3778" s="59">
        <v>35000</v>
      </c>
      <c r="P3778" s="59">
        <v>-35000</v>
      </c>
      <c r="Q3778" s="268">
        <f t="shared" si="179"/>
        <v>0</v>
      </c>
      <c r="R3778" s="61">
        <f>IF(O3778=0,0,SUMIFS(Disbursements!$T:$T,Disbursements!$B:$B,'Live Collections'!D3778,Disbursements!$D:$D,'Live Collections'!F3778))</f>
        <v>28000</v>
      </c>
      <c r="S3778" s="304">
        <f>IF(O3778&lt;=IF($O3778=0,0,SUMIFS(Disbursements!$W:$W,Disbursements!$B:$B,'Live Collections'!D3778,Disbursements!$D:$D,'Live Collections'!F3778)),O3778,IF($O3778=0,0,SUMIFS(Disbursements!$W:$W,Disbursements!$B:$B,'Live Collections'!D3778,Disbursements!$D:$D,'Live Collections'!F3778)))</f>
        <v>6125</v>
      </c>
      <c r="T3778" s="304">
        <f t="shared" si="180"/>
        <v>28875</v>
      </c>
      <c r="U3778" s="52"/>
      <c r="V3778" s="34"/>
      <c r="W3778" s="408"/>
    </row>
    <row r="3779" spans="1:23" ht="12.75" customHeight="1" x14ac:dyDescent="0.2">
      <c r="A3779" s="257">
        <v>3789</v>
      </c>
      <c r="B3779" s="44">
        <v>44660</v>
      </c>
      <c r="C3779" s="44">
        <f t="shared" si="181"/>
        <v>44660</v>
      </c>
      <c r="D3779" s="374">
        <v>281</v>
      </c>
      <c r="E3779" s="291" t="str">
        <f>IFERROR(VLOOKUP($D3779,'Clients-Live'!$A:$C,3,0),"")</f>
        <v>BAKO ZUBEDA</v>
      </c>
      <c r="F3779" s="291">
        <f>IFERROR(INDEX(Disbursements!$D:$D,MATCH('Live Collections'!G3779,Disbursements!$C:$C,0)),"")</f>
        <v>1</v>
      </c>
      <c r="G3779" s="34">
        <v>406</v>
      </c>
      <c r="H3779" s="34">
        <v>5693</v>
      </c>
      <c r="I3779" s="34" t="s">
        <v>1359</v>
      </c>
      <c r="J3779" s="48"/>
      <c r="K3779" s="48"/>
      <c r="L3779" s="48"/>
      <c r="M3779" s="48"/>
      <c r="N3779" s="59"/>
      <c r="O3779" s="59">
        <v>213400</v>
      </c>
      <c r="P3779" s="59"/>
      <c r="Q3779" s="268">
        <f t="shared" si="179"/>
        <v>213400</v>
      </c>
      <c r="R3779" s="61">
        <f>IF(O3779=0,0,SUMIFS(Disbursements!$T:$T,Disbursements!$B:$B,'Live Collections'!D3779,Disbursements!$D:$D,'Live Collections'!F3779))</f>
        <v>28000</v>
      </c>
      <c r="S3779" s="64">
        <v>57750</v>
      </c>
      <c r="T3779" s="304">
        <f t="shared" si="180"/>
        <v>155650</v>
      </c>
      <c r="U3779" s="52"/>
      <c r="V3779" s="34"/>
      <c r="W3779" s="408"/>
    </row>
    <row r="3780" spans="1:23" ht="12.75" customHeight="1" x14ac:dyDescent="0.2">
      <c r="A3780" s="257">
        <v>3790</v>
      </c>
      <c r="B3780" s="44">
        <v>44660</v>
      </c>
      <c r="C3780" s="44">
        <f t="shared" si="181"/>
        <v>44660</v>
      </c>
      <c r="D3780" s="374">
        <v>72</v>
      </c>
      <c r="E3780" s="291" t="str">
        <f>IFERROR(VLOOKUP($D3780,'Clients-Live'!$A:$C,3,0),"")</f>
        <v>MUNDURU MERCY</v>
      </c>
      <c r="F3780" s="291"/>
      <c r="G3780" s="34">
        <v>502</v>
      </c>
      <c r="H3780" s="34">
        <v>5696</v>
      </c>
      <c r="I3780" s="34" t="s">
        <v>1358</v>
      </c>
      <c r="J3780" s="48"/>
      <c r="K3780" s="48"/>
      <c r="L3780" s="48"/>
      <c r="M3780" s="48"/>
      <c r="N3780" s="59"/>
      <c r="O3780" s="59"/>
      <c r="P3780" s="59">
        <v>180000</v>
      </c>
      <c r="Q3780" s="268">
        <f t="shared" si="179"/>
        <v>180000</v>
      </c>
      <c r="R3780" s="61">
        <f>IF(O3780=0,0,SUMIFS(Disbursements!$T:$T,Disbursements!$B:$B,'Live Collections'!D3780,Disbursements!$D:$D,'Live Collections'!F3780))</f>
        <v>0</v>
      </c>
      <c r="S3780" s="304">
        <f>IF(O3780&lt;=IF($O3780=0,0,SUMIFS(Disbursements!$W:$W,Disbursements!$B:$B,'Live Collections'!D3780,Disbursements!$D:$D,'Live Collections'!F3780)),O3780,IF($O3780=0,0,SUMIFS(Disbursements!$W:$W,Disbursements!$B:$B,'Live Collections'!D3780,Disbursements!$D:$D,'Live Collections'!F3780)))</f>
        <v>0</v>
      </c>
      <c r="T3780" s="304">
        <f t="shared" si="180"/>
        <v>0</v>
      </c>
      <c r="U3780" s="52"/>
      <c r="V3780" s="34"/>
      <c r="W3780" s="408"/>
    </row>
    <row r="3781" spans="1:23" ht="12.75" customHeight="1" x14ac:dyDescent="0.2">
      <c r="A3781" s="257">
        <v>3791</v>
      </c>
      <c r="B3781" s="44">
        <v>44660</v>
      </c>
      <c r="C3781" s="44">
        <f t="shared" si="181"/>
        <v>44660</v>
      </c>
      <c r="D3781" s="374">
        <v>72</v>
      </c>
      <c r="E3781" s="291" t="str">
        <f>IFERROR(VLOOKUP($D3781,'Clients-Live'!$A:$C,3,0),"")</f>
        <v>MUNDURU MERCY</v>
      </c>
      <c r="F3781" s="291">
        <f>IFERROR(INDEX(Disbursements!$D:$D,MATCH('Live Collections'!G3781,Disbursements!$C:$C,0)),"")</f>
        <v>3</v>
      </c>
      <c r="G3781" s="34">
        <v>502</v>
      </c>
      <c r="H3781" s="34">
        <v>5700</v>
      </c>
      <c r="I3781" s="34" t="s">
        <v>1358</v>
      </c>
      <c r="J3781" s="48"/>
      <c r="K3781" s="48">
        <v>5000</v>
      </c>
      <c r="L3781" s="48"/>
      <c r="M3781" s="48"/>
      <c r="N3781" s="59"/>
      <c r="O3781" s="59"/>
      <c r="P3781" s="59"/>
      <c r="Q3781" s="268">
        <f t="shared" si="179"/>
        <v>5000</v>
      </c>
      <c r="R3781" s="61">
        <f>IF(O3781=0,0,SUMIFS(Disbursements!$T:$T,Disbursements!$B:$B,'Live Collections'!D3781,Disbursements!$D:$D,'Live Collections'!F3781))</f>
        <v>0</v>
      </c>
      <c r="S3781" s="304">
        <f>IF(O3781&lt;=IF($O3781=0,0,SUMIFS(Disbursements!$W:$W,Disbursements!$B:$B,'Live Collections'!D3781,Disbursements!$D:$D,'Live Collections'!F3781)),O3781,IF($O3781=0,0,SUMIFS(Disbursements!$W:$W,Disbursements!$B:$B,'Live Collections'!D3781,Disbursements!$D:$D,'Live Collections'!F3781)))</f>
        <v>0</v>
      </c>
      <c r="T3781" s="304">
        <f t="shared" si="180"/>
        <v>0</v>
      </c>
      <c r="U3781" s="52"/>
      <c r="V3781" s="34"/>
      <c r="W3781" s="408"/>
    </row>
    <row r="3782" spans="1:23" ht="12.75" customHeight="1" x14ac:dyDescent="0.2">
      <c r="A3782" s="257">
        <v>3792</v>
      </c>
      <c r="B3782" s="44">
        <v>44660</v>
      </c>
      <c r="C3782" s="44">
        <f t="shared" si="181"/>
        <v>44660</v>
      </c>
      <c r="D3782" s="374">
        <v>72</v>
      </c>
      <c r="E3782" s="291" t="str">
        <f>IFERROR(VLOOKUP($D3782,'Clients-Live'!$A:$C,3,0),"")</f>
        <v>MUNDURU MERCY</v>
      </c>
      <c r="F3782" s="291">
        <f>IFERROR(INDEX(Disbursements!$D:$D,MATCH('Live Collections'!G3782,Disbursements!$C:$C,0)),"")</f>
        <v>3</v>
      </c>
      <c r="G3782" s="34">
        <v>502</v>
      </c>
      <c r="H3782" s="34">
        <v>5602</v>
      </c>
      <c r="I3782" s="34" t="s">
        <v>1358</v>
      </c>
      <c r="J3782" s="48"/>
      <c r="K3782" s="48"/>
      <c r="L3782" s="48">
        <v>10000</v>
      </c>
      <c r="M3782" s="48"/>
      <c r="N3782" s="59"/>
      <c r="O3782" s="59"/>
      <c r="P3782" s="59"/>
      <c r="Q3782" s="268">
        <f t="shared" si="179"/>
        <v>10000</v>
      </c>
      <c r="R3782" s="61">
        <f>IF(O3782=0,0,SUMIFS(Disbursements!$T:$T,Disbursements!$B:$B,'Live Collections'!D3782,Disbursements!$D:$D,'Live Collections'!F3782))</f>
        <v>0</v>
      </c>
      <c r="S3782" s="304">
        <f>IF(O3782&lt;=IF($O3782=0,0,SUMIFS(Disbursements!$W:$W,Disbursements!$B:$B,'Live Collections'!D3782,Disbursements!$D:$D,'Live Collections'!F3782)),O3782,IF($O3782=0,0,SUMIFS(Disbursements!$W:$W,Disbursements!$B:$B,'Live Collections'!D3782,Disbursements!$D:$D,'Live Collections'!F3782)))</f>
        <v>0</v>
      </c>
      <c r="T3782" s="304">
        <f t="shared" si="180"/>
        <v>0</v>
      </c>
      <c r="U3782" s="52"/>
      <c r="V3782" s="34"/>
      <c r="W3782" s="408"/>
    </row>
    <row r="3783" spans="1:23" ht="12.75" customHeight="1" x14ac:dyDescent="0.2">
      <c r="A3783" s="257">
        <v>3793</v>
      </c>
      <c r="B3783" s="44">
        <v>44660</v>
      </c>
      <c r="C3783" s="44">
        <f t="shared" si="181"/>
        <v>44660</v>
      </c>
      <c r="D3783" s="374">
        <v>211</v>
      </c>
      <c r="E3783" s="291" t="str">
        <f>IFERROR(VLOOKUP($D3783,'Clients-Live'!$A:$C,3,0),"")</f>
        <v>WILARU JOYCE</v>
      </c>
      <c r="F3783" s="291">
        <f>IFERROR(INDEX(Disbursements!$D:$D,MATCH('Live Collections'!G3783,Disbursements!$C:$C,0)),"")</f>
        <v>2</v>
      </c>
      <c r="G3783" s="34">
        <v>403</v>
      </c>
      <c r="H3783" s="34">
        <v>5695</v>
      </c>
      <c r="I3783" s="34" t="s">
        <v>1358</v>
      </c>
      <c r="J3783" s="48"/>
      <c r="K3783" s="48"/>
      <c r="L3783" s="48"/>
      <c r="M3783" s="48"/>
      <c r="N3783" s="59"/>
      <c r="O3783" s="59">
        <v>100000</v>
      </c>
      <c r="P3783" s="59"/>
      <c r="Q3783" s="268">
        <f t="shared" si="179"/>
        <v>100000</v>
      </c>
      <c r="R3783" s="61">
        <f>IF(O3783=0,0,SUMIFS(Disbursements!$T:$T,Disbursements!$B:$B,'Live Collections'!D3783,Disbursements!$D:$D,'Live Collections'!F3783))</f>
        <v>87000</v>
      </c>
      <c r="S3783" s="304">
        <f>IF(O3783&lt;=IF($O3783=0,0,SUMIFS(Disbursements!$W:$W,Disbursements!$B:$B,'Live Collections'!D3783,Disbursements!$D:$D,'Live Collections'!F3783)),O3783,IF($O3783=0,0,SUMIFS(Disbursements!$W:$W,Disbursements!$B:$B,'Live Collections'!D3783,Disbursements!$D:$D,'Live Collections'!F3783)))</f>
        <v>22000</v>
      </c>
      <c r="T3783" s="304">
        <f t="shared" si="180"/>
        <v>78000</v>
      </c>
      <c r="U3783" s="52"/>
      <c r="V3783" s="34"/>
      <c r="W3783" s="408"/>
    </row>
    <row r="3784" spans="1:23" ht="12.75" customHeight="1" x14ac:dyDescent="0.2">
      <c r="A3784" s="257">
        <v>3794</v>
      </c>
      <c r="B3784" s="44">
        <v>44660</v>
      </c>
      <c r="C3784" s="44">
        <f t="shared" si="181"/>
        <v>44660</v>
      </c>
      <c r="D3784" s="374">
        <v>65</v>
      </c>
      <c r="E3784" s="291" t="str">
        <f>IFERROR(VLOOKUP($D3784,'Clients-Live'!$A:$C,3,0),"")</f>
        <v>NDAWULA GERALD</v>
      </c>
      <c r="F3784" s="291">
        <f>IFERROR(INDEX(Disbursements!$D:$D,MATCH('Live Collections'!G3784,Disbursements!$C:$C,0)),"")</f>
        <v>1</v>
      </c>
      <c r="G3784" s="34">
        <v>47</v>
      </c>
      <c r="H3784" s="34">
        <v>5692</v>
      </c>
      <c r="I3784" s="34" t="s">
        <v>1359</v>
      </c>
      <c r="J3784" s="48"/>
      <c r="K3784" s="48"/>
      <c r="L3784" s="48"/>
      <c r="M3784" s="48"/>
      <c r="N3784" s="59"/>
      <c r="O3784" s="59">
        <v>70000</v>
      </c>
      <c r="P3784" s="59"/>
      <c r="Q3784" s="268">
        <f t="shared" si="179"/>
        <v>70000</v>
      </c>
      <c r="R3784" s="61">
        <f>IF(O3784=0,0,SUMIFS(Disbursements!$T:$T,Disbursements!$B:$B,'Live Collections'!D3784,Disbursements!$D:$D,'Live Collections'!F3784))</f>
        <v>217000</v>
      </c>
      <c r="S3784" s="304">
        <v>25666.666666666686</v>
      </c>
      <c r="T3784" s="304">
        <f t="shared" si="180"/>
        <v>44333.333333333314</v>
      </c>
      <c r="U3784" s="52"/>
      <c r="V3784" s="34"/>
      <c r="W3784" s="408" t="s">
        <v>2086</v>
      </c>
    </row>
    <row r="3785" spans="1:23" ht="12.75" customHeight="1" x14ac:dyDescent="0.2">
      <c r="A3785" s="257">
        <v>3795</v>
      </c>
      <c r="B3785" s="44">
        <v>44662</v>
      </c>
      <c r="C3785" s="44">
        <f t="shared" si="181"/>
        <v>44662</v>
      </c>
      <c r="D3785" s="374">
        <v>345</v>
      </c>
      <c r="E3785" s="291" t="str">
        <f>IFERROR(VLOOKUP($D3785,'Clients-Live'!$A:$C,3,0),"")</f>
        <v>MENGE ABDURAHAMAN RATIB</v>
      </c>
      <c r="F3785" s="291">
        <f>IFERROR(INDEX(Disbursements!$D:$D,MATCH('Live Collections'!G3785,Disbursements!$C:$C,0)),"")</f>
        <v>1</v>
      </c>
      <c r="G3785" s="34">
        <v>490</v>
      </c>
      <c r="H3785" s="34">
        <v>5618</v>
      </c>
      <c r="I3785" s="34" t="s">
        <v>1357</v>
      </c>
      <c r="J3785" s="48"/>
      <c r="K3785" s="48"/>
      <c r="L3785" s="48"/>
      <c r="M3785" s="48"/>
      <c r="N3785" s="59"/>
      <c r="O3785" s="59">
        <v>80000</v>
      </c>
      <c r="P3785" s="59"/>
      <c r="Q3785" s="268">
        <f t="shared" si="179"/>
        <v>80000</v>
      </c>
      <c r="R3785" s="61">
        <f>IF(O3785=0,0,SUMIFS(Disbursements!$T:$T,Disbursements!$B:$B,'Live Collections'!D3785,Disbursements!$D:$D,'Live Collections'!F3785))</f>
        <v>323000</v>
      </c>
      <c r="S3785" s="304"/>
      <c r="T3785" s="304">
        <f t="shared" si="180"/>
        <v>80000</v>
      </c>
      <c r="U3785" s="52"/>
      <c r="V3785" s="34"/>
      <c r="W3785" s="408"/>
    </row>
    <row r="3786" spans="1:23" ht="12.75" customHeight="1" x14ac:dyDescent="0.2">
      <c r="A3786" s="257">
        <v>3796</v>
      </c>
      <c r="B3786" s="44">
        <v>44662</v>
      </c>
      <c r="C3786" s="44">
        <f t="shared" si="181"/>
        <v>44662</v>
      </c>
      <c r="D3786" s="374">
        <v>24</v>
      </c>
      <c r="E3786" s="291" t="str">
        <f>IFERROR(VLOOKUP($D3786,'Clients-Live'!$A:$C,3,0),"")</f>
        <v>VITA JEROME</v>
      </c>
      <c r="F3786" s="291" t="str">
        <f>IFERROR(INDEX(Disbursements!$D:$D,MATCH('Live Collections'!G3786,Disbursements!$C:$C,0)),"")</f>
        <v/>
      </c>
      <c r="G3786" s="34"/>
      <c r="H3786" s="34">
        <v>5617</v>
      </c>
      <c r="I3786" s="34" t="s">
        <v>1358</v>
      </c>
      <c r="J3786" s="48"/>
      <c r="K3786" s="48"/>
      <c r="L3786" s="48"/>
      <c r="M3786" s="48">
        <v>10000</v>
      </c>
      <c r="N3786" s="59"/>
      <c r="O3786" s="59"/>
      <c r="P3786" s="59"/>
      <c r="Q3786" s="268">
        <f t="shared" si="179"/>
        <v>10000</v>
      </c>
      <c r="R3786" s="61">
        <f>IF(O3786=0,0,SUMIFS(Disbursements!$T:$T,Disbursements!$B:$B,'Live Collections'!D3786,Disbursements!$D:$D,'Live Collections'!F3786))</f>
        <v>0</v>
      </c>
      <c r="S3786" s="304">
        <f>IF(O3786&lt;=IF($O3786=0,0,SUMIFS(Disbursements!$W:$W,Disbursements!$B:$B,'Live Collections'!D3786,Disbursements!$D:$D,'Live Collections'!F3786)),O3786,IF($O3786=0,0,SUMIFS(Disbursements!$W:$W,Disbursements!$B:$B,'Live Collections'!D3786,Disbursements!$D:$D,'Live Collections'!F3786)))</f>
        <v>0</v>
      </c>
      <c r="T3786" s="304">
        <f t="shared" si="180"/>
        <v>0</v>
      </c>
      <c r="U3786" s="52"/>
      <c r="V3786" s="34"/>
      <c r="W3786" s="408"/>
    </row>
    <row r="3787" spans="1:23" ht="12.75" customHeight="1" x14ac:dyDescent="0.2">
      <c r="A3787" s="257">
        <v>3797</v>
      </c>
      <c r="B3787" s="44">
        <v>44662</v>
      </c>
      <c r="C3787" s="44">
        <f t="shared" si="181"/>
        <v>44662</v>
      </c>
      <c r="D3787" s="374">
        <v>22</v>
      </c>
      <c r="E3787" s="291" t="str">
        <f>IFERROR(VLOOKUP($D3787,'Clients-Live'!$A:$C,3,0),"")</f>
        <v>DATA ISMAIL FATARI</v>
      </c>
      <c r="F3787" s="291">
        <f>IFERROR(INDEX(Disbursements!$D:$D,MATCH('Live Collections'!G3787,Disbursements!$C:$C,0)),"")</f>
        <v>2</v>
      </c>
      <c r="G3787" s="34">
        <v>381</v>
      </c>
      <c r="H3787" s="34">
        <v>5616</v>
      </c>
      <c r="I3787" s="34" t="s">
        <v>1359</v>
      </c>
      <c r="J3787" s="48"/>
      <c r="K3787" s="48"/>
      <c r="L3787" s="48"/>
      <c r="M3787" s="48"/>
      <c r="N3787" s="59"/>
      <c r="O3787" s="59">
        <v>20000</v>
      </c>
      <c r="P3787" s="59"/>
      <c r="Q3787" s="268">
        <f t="shared" si="179"/>
        <v>20000</v>
      </c>
      <c r="R3787" s="61">
        <f>IF(O3787=0,0,SUMIFS(Disbursements!$T:$T,Disbursements!$B:$B,'Live Collections'!D3787,Disbursements!$D:$D,'Live Collections'!F3787))</f>
        <v>210000</v>
      </c>
      <c r="S3787" s="304"/>
      <c r="T3787" s="304">
        <f t="shared" si="180"/>
        <v>20000</v>
      </c>
      <c r="U3787" s="52"/>
      <c r="V3787" s="34"/>
      <c r="W3787" s="408"/>
    </row>
    <row r="3788" spans="1:23" ht="12.75" customHeight="1" x14ac:dyDescent="0.2">
      <c r="A3788" s="257">
        <v>3798</v>
      </c>
      <c r="B3788" s="44">
        <v>44662</v>
      </c>
      <c r="C3788" s="44">
        <f t="shared" si="181"/>
        <v>44662</v>
      </c>
      <c r="D3788" s="374">
        <v>85</v>
      </c>
      <c r="E3788" s="291" t="str">
        <f>IFERROR(VLOOKUP($D3788,'Clients-Live'!$A:$C,3,0),"")</f>
        <v>CEASER SWALEH</v>
      </c>
      <c r="F3788" s="291">
        <f>IFERROR(INDEX(Disbursements!$D:$D,MATCH('Live Collections'!G3788,Disbursements!$C:$C,0)),"")</f>
        <v>3</v>
      </c>
      <c r="G3788" s="34">
        <v>413</v>
      </c>
      <c r="H3788" s="34">
        <v>5615</v>
      </c>
      <c r="I3788" s="34" t="s">
        <v>1357</v>
      </c>
      <c r="J3788" s="48"/>
      <c r="K3788" s="48"/>
      <c r="L3788" s="48"/>
      <c r="M3788" s="48"/>
      <c r="N3788" s="59"/>
      <c r="O3788" s="59">
        <v>170000</v>
      </c>
      <c r="P3788" s="59"/>
      <c r="Q3788" s="268">
        <f t="shared" si="179"/>
        <v>170000</v>
      </c>
      <c r="R3788" s="61">
        <f>IF(O3788=0,0,SUMIFS(Disbursements!$T:$T,Disbursements!$B:$B,'Live Collections'!D3788,Disbursements!$D:$D,'Live Collections'!F3788))</f>
        <v>788000</v>
      </c>
      <c r="S3788" s="304"/>
      <c r="T3788" s="304">
        <f t="shared" si="180"/>
        <v>170000</v>
      </c>
      <c r="U3788" s="52"/>
      <c r="V3788" s="34"/>
      <c r="W3788" s="408"/>
    </row>
    <row r="3789" spans="1:23" ht="12.75" customHeight="1" x14ac:dyDescent="0.2">
      <c r="A3789" s="257">
        <v>3799</v>
      </c>
      <c r="B3789" s="44">
        <v>44662</v>
      </c>
      <c r="C3789" s="44">
        <f t="shared" si="181"/>
        <v>44662</v>
      </c>
      <c r="D3789" s="374">
        <v>75</v>
      </c>
      <c r="E3789" s="291" t="str">
        <f>IFERROR(VLOOKUP($D3789,'Clients-Live'!$A:$C,3,0),"")</f>
        <v>MUKULIA JAMES</v>
      </c>
      <c r="F3789" s="291">
        <f>IFERROR(INDEX(Disbursements!$D:$D,MATCH('Live Collections'!G3789,Disbursements!$C:$C,0)),"")</f>
        <v>3</v>
      </c>
      <c r="G3789" s="34">
        <v>357</v>
      </c>
      <c r="H3789" s="34">
        <v>5614</v>
      </c>
      <c r="I3789" s="34" t="s">
        <v>1359</v>
      </c>
      <c r="J3789" s="48"/>
      <c r="K3789" s="48"/>
      <c r="L3789" s="48"/>
      <c r="M3789" s="48"/>
      <c r="N3789" s="59"/>
      <c r="O3789" s="59">
        <v>50000</v>
      </c>
      <c r="P3789" s="59"/>
      <c r="Q3789" s="268">
        <f t="shared" si="179"/>
        <v>50000</v>
      </c>
      <c r="R3789" s="61">
        <f>IF(O3789=0,0,SUMIFS(Disbursements!$T:$T,Disbursements!$B:$B,'Live Collections'!D3789,Disbursements!$D:$D,'Live Collections'!F3789))</f>
        <v>175000</v>
      </c>
      <c r="S3789" s="304">
        <f>IF(O3789&lt;=IF($O3789=0,0,SUMIFS(Disbursements!$W:$W,Disbursements!$B:$B,'Live Collections'!D3789,Disbursements!$D:$D,'Live Collections'!F3789)),O3789,IF($O3789=0,0,SUMIFS(Disbursements!$W:$W,Disbursements!$B:$B,'Live Collections'!D3789,Disbursements!$D:$D,'Live Collections'!F3789)))</f>
        <v>35000</v>
      </c>
      <c r="T3789" s="304">
        <f t="shared" si="180"/>
        <v>15000</v>
      </c>
      <c r="U3789" s="52"/>
      <c r="V3789" s="34"/>
      <c r="W3789" s="408"/>
    </row>
    <row r="3790" spans="1:23" ht="12.75" customHeight="1" x14ac:dyDescent="0.2">
      <c r="A3790" s="257">
        <v>3800</v>
      </c>
      <c r="B3790" s="44">
        <v>44662</v>
      </c>
      <c r="C3790" s="44">
        <f t="shared" si="181"/>
        <v>44662</v>
      </c>
      <c r="D3790" s="374">
        <v>177</v>
      </c>
      <c r="E3790" s="291" t="str">
        <f>IFERROR(VLOOKUP($D3790,'Clients-Live'!$A:$C,3,0),"")</f>
        <v>EFIT GIFT</v>
      </c>
      <c r="F3790" s="291">
        <f>IFERROR(INDEX(Disbursements!$D:$D,MATCH('Live Collections'!G3790,Disbursements!$C:$C,0)),"")</f>
        <v>2</v>
      </c>
      <c r="G3790" s="34">
        <v>444</v>
      </c>
      <c r="H3790" s="34">
        <v>5613</v>
      </c>
      <c r="I3790" s="34" t="s">
        <v>1358</v>
      </c>
      <c r="J3790" s="48"/>
      <c r="K3790" s="48"/>
      <c r="L3790" s="48"/>
      <c r="M3790" s="48"/>
      <c r="N3790" s="59"/>
      <c r="O3790" s="59">
        <v>60000</v>
      </c>
      <c r="P3790" s="59"/>
      <c r="Q3790" s="268">
        <f t="shared" si="179"/>
        <v>60000</v>
      </c>
      <c r="R3790" s="61">
        <f>IF(O3790=0,0,SUMIFS(Disbursements!$T:$T,Disbursements!$B:$B,'Live Collections'!D3790,Disbursements!$D:$D,'Live Collections'!F3790))</f>
        <v>87000</v>
      </c>
      <c r="S3790" s="304">
        <f>IF(O3790&lt;=IF($O3790=0,0,SUMIFS(Disbursements!$W:$W,Disbursements!$B:$B,'Live Collections'!D3790,Disbursements!$D:$D,'Live Collections'!F3790)),O3790,IF($O3790=0,0,SUMIFS(Disbursements!$W:$W,Disbursements!$B:$B,'Live Collections'!D3790,Disbursements!$D:$D,'Live Collections'!F3790)))</f>
        <v>24500</v>
      </c>
      <c r="T3790" s="304">
        <f t="shared" si="180"/>
        <v>35500</v>
      </c>
      <c r="U3790" s="52"/>
      <c r="V3790" s="34"/>
      <c r="W3790" s="408"/>
    </row>
    <row r="3791" spans="1:23" ht="12.75" customHeight="1" x14ac:dyDescent="0.2">
      <c r="A3791" s="257">
        <v>3801</v>
      </c>
      <c r="B3791" s="44">
        <v>44662</v>
      </c>
      <c r="C3791" s="44">
        <f t="shared" si="181"/>
        <v>44662</v>
      </c>
      <c r="D3791" s="374">
        <v>336</v>
      </c>
      <c r="E3791" s="291" t="str">
        <f>IFERROR(VLOOKUP($D3791,'Clients-Live'!$A:$C,3,0),"")</f>
        <v>BONGO PATRICK NAMISI</v>
      </c>
      <c r="F3791" s="291">
        <f>IFERROR(INDEX(Disbursements!$D:$D,MATCH('Live Collections'!G3791,Disbursements!$C:$C,0)),"")</f>
        <v>1</v>
      </c>
      <c r="G3791" s="34">
        <v>465</v>
      </c>
      <c r="H3791" s="34">
        <v>5612</v>
      </c>
      <c r="I3791" s="34" t="s">
        <v>1358</v>
      </c>
      <c r="J3791" s="48"/>
      <c r="K3791" s="48"/>
      <c r="L3791" s="48"/>
      <c r="M3791" s="48"/>
      <c r="N3791" s="59"/>
      <c r="O3791" s="59">
        <v>1150000</v>
      </c>
      <c r="P3791" s="59"/>
      <c r="Q3791" s="268">
        <f t="shared" si="179"/>
        <v>1150000</v>
      </c>
      <c r="R3791" s="61">
        <f>IF(O3791=0,0,SUMIFS(Disbursements!$T:$T,Disbursements!$B:$B,'Live Collections'!D3791,Disbursements!$D:$D,'Live Collections'!F3791))</f>
        <v>1150000</v>
      </c>
      <c r="S3791" s="304">
        <f>IF(O3791&lt;=IF($O3791=0,0,SUMIFS(Disbursements!$W:$W,Disbursements!$B:$B,'Live Collections'!D3791,Disbursements!$D:$D,'Live Collections'!F3791)),O3791,IF($O3791=0,0,SUMIFS(Disbursements!$W:$W,Disbursements!$B:$B,'Live Collections'!D3791,Disbursements!$D:$D,'Live Collections'!F3791)))</f>
        <v>150000</v>
      </c>
      <c r="T3791" s="304">
        <f t="shared" si="180"/>
        <v>1000000</v>
      </c>
      <c r="U3791" s="52"/>
      <c r="V3791" s="34"/>
      <c r="W3791" s="408"/>
    </row>
    <row r="3792" spans="1:23" ht="12.75" customHeight="1" x14ac:dyDescent="0.2">
      <c r="A3792" s="257">
        <v>3802</v>
      </c>
      <c r="B3792" s="44">
        <v>44662</v>
      </c>
      <c r="C3792" s="44">
        <f t="shared" si="181"/>
        <v>44662</v>
      </c>
      <c r="D3792" s="374">
        <v>53</v>
      </c>
      <c r="E3792" s="291" t="str">
        <f>IFERROR(VLOOKUP($D3792,'Clients-Live'!$A:$C,3,0),"")</f>
        <v>KALSUMU INNOCENT</v>
      </c>
      <c r="F3792" s="291">
        <f>IFERROR(INDEX(Disbursements!$D:$D,MATCH('Live Collections'!G3792,Disbursements!$C:$C,0)),"")</f>
        <v>2</v>
      </c>
      <c r="G3792" s="34">
        <v>329</v>
      </c>
      <c r="H3792" s="34">
        <v>5611</v>
      </c>
      <c r="I3792" s="34" t="s">
        <v>1358</v>
      </c>
      <c r="J3792" s="48"/>
      <c r="K3792" s="48"/>
      <c r="L3792" s="48"/>
      <c r="M3792" s="48"/>
      <c r="N3792" s="59"/>
      <c r="O3792" s="59">
        <v>195000</v>
      </c>
      <c r="P3792" s="59"/>
      <c r="Q3792" s="268">
        <f t="shared" si="179"/>
        <v>195000</v>
      </c>
      <c r="R3792" s="61">
        <f>IF(O3792=0,0,SUMIFS(Disbursements!$T:$T,Disbursements!$B:$B,'Live Collections'!D3792,Disbursements!$D:$D,'Live Collections'!F3792))</f>
        <v>195000</v>
      </c>
      <c r="S3792" s="304">
        <v>21333.333333333314</v>
      </c>
      <c r="T3792" s="304">
        <f t="shared" si="180"/>
        <v>173666.66666666669</v>
      </c>
      <c r="U3792" s="52"/>
      <c r="V3792" s="34"/>
      <c r="W3792" s="408"/>
    </row>
    <row r="3793" spans="1:23" ht="12.75" customHeight="1" x14ac:dyDescent="0.2">
      <c r="A3793" s="257">
        <v>3803</v>
      </c>
      <c r="B3793" s="44">
        <v>44662</v>
      </c>
      <c r="C3793" s="44">
        <f t="shared" si="181"/>
        <v>44662</v>
      </c>
      <c r="D3793" s="374">
        <v>124</v>
      </c>
      <c r="E3793" s="291" t="str">
        <f>IFERROR(VLOOKUP($D3793,'Clients-Live'!$A:$C,3,0),"")</f>
        <v>TIKO ZABIBU</v>
      </c>
      <c r="F3793" s="291">
        <f>IFERROR(INDEX(Disbursements!$D:$D,MATCH('Live Collections'!G3793,Disbursements!$C:$C,0)),"")</f>
        <v>2</v>
      </c>
      <c r="G3793" s="34">
        <v>335</v>
      </c>
      <c r="H3793" s="34">
        <v>5609</v>
      </c>
      <c r="I3793" s="34" t="s">
        <v>1358</v>
      </c>
      <c r="J3793" s="48"/>
      <c r="K3793" s="48"/>
      <c r="L3793" s="48"/>
      <c r="M3793" s="48"/>
      <c r="N3793" s="59"/>
      <c r="O3793" s="59">
        <v>50000</v>
      </c>
      <c r="P3793" s="59"/>
      <c r="Q3793" s="268">
        <f t="shared" si="179"/>
        <v>50000</v>
      </c>
      <c r="R3793" s="61">
        <f>IF(O3793=0,0,SUMIFS(Disbursements!$T:$T,Disbursements!$B:$B,'Live Collections'!D3793,Disbursements!$D:$D,'Live Collections'!F3793))</f>
        <v>200000</v>
      </c>
      <c r="S3793" s="304"/>
      <c r="T3793" s="304">
        <f t="shared" si="180"/>
        <v>50000</v>
      </c>
      <c r="U3793" s="52"/>
      <c r="V3793" s="34"/>
      <c r="W3793" s="408"/>
    </row>
    <row r="3794" spans="1:23" ht="12.75" customHeight="1" x14ac:dyDescent="0.2">
      <c r="A3794" s="257">
        <v>3804</v>
      </c>
      <c r="B3794" s="44">
        <v>44662</v>
      </c>
      <c r="C3794" s="44">
        <f t="shared" si="181"/>
        <v>44662</v>
      </c>
      <c r="D3794" s="374">
        <v>19</v>
      </c>
      <c r="E3794" s="291" t="str">
        <f>IFERROR(VLOOKUP($D3794,'Clients-Live'!$A:$C,3,0),"")</f>
        <v>ANGUPARU MOLLY</v>
      </c>
      <c r="F3794" s="291">
        <f>IFERROR(INDEX(Disbursements!$D:$D,MATCH('Live Collections'!G3794,Disbursements!$C:$C,0)),"")</f>
        <v>2</v>
      </c>
      <c r="G3794" s="34">
        <v>152</v>
      </c>
      <c r="H3794" s="34">
        <v>5610</v>
      </c>
      <c r="I3794" s="34" t="s">
        <v>1358</v>
      </c>
      <c r="J3794" s="48"/>
      <c r="K3794" s="48"/>
      <c r="L3794" s="48"/>
      <c r="M3794" s="48"/>
      <c r="N3794" s="59"/>
      <c r="O3794" s="59">
        <v>30000</v>
      </c>
      <c r="P3794" s="59"/>
      <c r="Q3794" s="268">
        <f t="shared" si="179"/>
        <v>30000</v>
      </c>
      <c r="R3794" s="61">
        <f>IF(O3794=0,0,SUMIFS(Disbursements!$T:$T,Disbursements!$B:$B,'Live Collections'!D3794,Disbursements!$D:$D,'Live Collections'!F3794))</f>
        <v>210000</v>
      </c>
      <c r="S3794" s="304"/>
      <c r="T3794" s="304">
        <f t="shared" si="180"/>
        <v>30000</v>
      </c>
      <c r="U3794" s="52"/>
      <c r="V3794" s="34"/>
      <c r="W3794" s="408"/>
    </row>
    <row r="3795" spans="1:23" ht="12.75" customHeight="1" x14ac:dyDescent="0.2">
      <c r="A3795" s="257">
        <v>3805</v>
      </c>
      <c r="B3795" s="44">
        <v>44662</v>
      </c>
      <c r="C3795" s="44">
        <f t="shared" si="181"/>
        <v>44662</v>
      </c>
      <c r="D3795" s="374">
        <v>309</v>
      </c>
      <c r="E3795" s="291" t="str">
        <f>IFERROR(VLOOKUP($D3795,'Clients-Live'!$A:$C,3,0),"")</f>
        <v>NAMBOZO HALIMA</v>
      </c>
      <c r="F3795" s="291">
        <f>IFERROR(INDEX(Disbursements!$D:$D,MATCH('Live Collections'!G3795,Disbursements!$C:$C,0)),"")</f>
        <v>1</v>
      </c>
      <c r="G3795" s="34">
        <v>391</v>
      </c>
      <c r="H3795" s="34">
        <v>5605</v>
      </c>
      <c r="I3795" s="34" t="s">
        <v>1357</v>
      </c>
      <c r="J3795" s="48"/>
      <c r="K3795" s="48"/>
      <c r="L3795" s="48"/>
      <c r="M3795" s="48"/>
      <c r="N3795" s="59"/>
      <c r="O3795" s="59">
        <v>70000</v>
      </c>
      <c r="P3795" s="59"/>
      <c r="Q3795" s="268">
        <f t="shared" si="179"/>
        <v>70000</v>
      </c>
      <c r="R3795" s="61">
        <f>IF(O3795=0,0,SUMIFS(Disbursements!$T:$T,Disbursements!$B:$B,'Live Collections'!D3795,Disbursements!$D:$D,'Live Collections'!F3795))</f>
        <v>79000</v>
      </c>
      <c r="S3795" s="304"/>
      <c r="T3795" s="304">
        <f t="shared" si="180"/>
        <v>70000</v>
      </c>
      <c r="U3795" s="52"/>
      <c r="V3795" s="34"/>
      <c r="W3795" s="408"/>
    </row>
    <row r="3796" spans="1:23" ht="12.75" customHeight="1" x14ac:dyDescent="0.2">
      <c r="A3796" s="257">
        <v>3806</v>
      </c>
      <c r="B3796" s="44">
        <v>44662</v>
      </c>
      <c r="C3796" s="44">
        <f t="shared" si="181"/>
        <v>44662</v>
      </c>
      <c r="D3796" s="374">
        <v>179</v>
      </c>
      <c r="E3796" s="291" t="str">
        <f>IFERROR(VLOOKUP($D3796,'Clients-Live'!$A:$C,3,0),"")</f>
        <v>GERIA VIOLA</v>
      </c>
      <c r="F3796" s="291">
        <f>IFERROR(INDEX(Disbursements!$D:$D,MATCH('Live Collections'!G3796,Disbursements!$C:$C,0)),"")</f>
        <v>2</v>
      </c>
      <c r="G3796" s="34">
        <v>330</v>
      </c>
      <c r="H3796" s="34">
        <v>5606</v>
      </c>
      <c r="I3796" s="34" t="s">
        <v>1359</v>
      </c>
      <c r="J3796" s="48"/>
      <c r="K3796" s="48"/>
      <c r="L3796" s="48">
        <v>20000</v>
      </c>
      <c r="M3796" s="48">
        <v>5000</v>
      </c>
      <c r="N3796" s="59"/>
      <c r="O3796" s="59"/>
      <c r="P3796" s="59"/>
      <c r="Q3796" s="268">
        <f t="shared" si="179"/>
        <v>25000</v>
      </c>
      <c r="R3796" s="61">
        <f>IF(O3796=0,0,SUMIFS(Disbursements!$T:$T,Disbursements!$B:$B,'Live Collections'!D3796,Disbursements!$D:$D,'Live Collections'!F3796))</f>
        <v>0</v>
      </c>
      <c r="S3796" s="304">
        <f>IF(O3796&lt;=IF($O3796=0,0,SUMIFS(Disbursements!$W:$W,Disbursements!$B:$B,'Live Collections'!D3796,Disbursements!$D:$D,'Live Collections'!F3796)),O3796,IF($O3796=0,0,SUMIFS(Disbursements!$W:$W,Disbursements!$B:$B,'Live Collections'!D3796,Disbursements!$D:$D,'Live Collections'!F3796)))</f>
        <v>0</v>
      </c>
      <c r="T3796" s="304">
        <f t="shared" si="180"/>
        <v>0</v>
      </c>
      <c r="U3796" s="52"/>
      <c r="V3796" s="34"/>
      <c r="W3796" s="408"/>
    </row>
    <row r="3797" spans="1:23" ht="12.75" customHeight="1" x14ac:dyDescent="0.2">
      <c r="A3797" s="257">
        <v>3807</v>
      </c>
      <c r="B3797" s="44">
        <v>44662</v>
      </c>
      <c r="C3797" s="44">
        <f t="shared" si="181"/>
        <v>44662</v>
      </c>
      <c r="D3797" s="374">
        <v>73</v>
      </c>
      <c r="E3797" s="291" t="str">
        <f>IFERROR(VLOOKUP($D3797,'Clients-Live'!$A:$C,3,0),"")</f>
        <v>AJONYE DEBORA</v>
      </c>
      <c r="F3797" s="291">
        <f>IFERROR(INDEX(Disbursements!$D:$D,MATCH('Live Collections'!G3797,Disbursements!$C:$C,0)),"")</f>
        <v>3</v>
      </c>
      <c r="G3797" s="34">
        <v>426</v>
      </c>
      <c r="H3797" s="34">
        <v>5608</v>
      </c>
      <c r="I3797" s="34" t="s">
        <v>1357</v>
      </c>
      <c r="J3797" s="48"/>
      <c r="K3797" s="48"/>
      <c r="L3797" s="48"/>
      <c r="M3797" s="48"/>
      <c r="N3797" s="59"/>
      <c r="O3797" s="59">
        <v>53000</v>
      </c>
      <c r="P3797" s="59"/>
      <c r="Q3797" s="268">
        <f t="shared" si="179"/>
        <v>53000</v>
      </c>
      <c r="R3797" s="61">
        <f>IF(O3797=0,0,SUMIFS(Disbursements!$T:$T,Disbursements!$B:$B,'Live Collections'!D3797,Disbursements!$D:$D,'Live Collections'!F3797))</f>
        <v>53000</v>
      </c>
      <c r="S3797" s="304">
        <f>IF(O3797&lt;=IF($O3797=0,0,SUMIFS(Disbursements!$W:$W,Disbursements!$B:$B,'Live Collections'!D3797,Disbursements!$D:$D,'Live Collections'!F3797)),O3797,IF($O3797=0,0,SUMIFS(Disbursements!$W:$W,Disbursements!$B:$B,'Live Collections'!D3797,Disbursements!$D:$D,'Live Collections'!F3797)))</f>
        <v>13000</v>
      </c>
      <c r="T3797" s="304">
        <f t="shared" si="180"/>
        <v>40000</v>
      </c>
      <c r="U3797" s="52"/>
      <c r="V3797" s="34"/>
      <c r="W3797" s="408"/>
    </row>
    <row r="3798" spans="1:23" ht="12.75" customHeight="1" x14ac:dyDescent="0.2">
      <c r="A3798" s="257">
        <v>3808</v>
      </c>
      <c r="B3798" s="44">
        <v>44662</v>
      </c>
      <c r="C3798" s="44">
        <f t="shared" si="181"/>
        <v>44662</v>
      </c>
      <c r="D3798" s="374">
        <v>164</v>
      </c>
      <c r="E3798" s="291" t="str">
        <f>IFERROR(VLOOKUP($D3798,'Clients-Live'!$A:$C,3,0),"")</f>
        <v>ARIKE SWAIB</v>
      </c>
      <c r="F3798" s="291">
        <f>IFERROR(INDEX(Disbursements!$D:$D,MATCH('Live Collections'!G3798,Disbursements!$C:$C,0)),"")</f>
        <v>1</v>
      </c>
      <c r="G3798" s="34">
        <v>154</v>
      </c>
      <c r="H3798" s="34">
        <v>5607</v>
      </c>
      <c r="I3798" s="34" t="s">
        <v>1357</v>
      </c>
      <c r="J3798" s="48"/>
      <c r="K3798" s="48"/>
      <c r="L3798" s="48"/>
      <c r="M3798" s="48">
        <v>5000</v>
      </c>
      <c r="N3798" s="59"/>
      <c r="O3798" s="59"/>
      <c r="P3798" s="59"/>
      <c r="Q3798" s="268">
        <f t="shared" si="179"/>
        <v>5000</v>
      </c>
      <c r="R3798" s="61">
        <f>IF(O3798=0,0,SUMIFS(Disbursements!$T:$T,Disbursements!$B:$B,'Live Collections'!D3798,Disbursements!$D:$D,'Live Collections'!F3798))</f>
        <v>0</v>
      </c>
      <c r="S3798" s="304">
        <f>IF(O3798&lt;=IF($O3798=0,0,SUMIFS(Disbursements!$W:$W,Disbursements!$B:$B,'Live Collections'!D3798,Disbursements!$D:$D,'Live Collections'!F3798)),O3798,IF($O3798=0,0,SUMIFS(Disbursements!$W:$W,Disbursements!$B:$B,'Live Collections'!D3798,Disbursements!$D:$D,'Live Collections'!F3798)))</f>
        <v>0</v>
      </c>
      <c r="T3798" s="304">
        <f t="shared" si="180"/>
        <v>0</v>
      </c>
      <c r="U3798" s="52"/>
      <c r="V3798" s="34"/>
      <c r="W3798" s="408"/>
    </row>
    <row r="3799" spans="1:23" ht="12.75" customHeight="1" x14ac:dyDescent="0.2">
      <c r="A3799" s="257">
        <v>3809</v>
      </c>
      <c r="B3799" s="44">
        <v>44662</v>
      </c>
      <c r="C3799" s="44">
        <f t="shared" si="181"/>
        <v>44662</v>
      </c>
      <c r="D3799" s="374">
        <v>137</v>
      </c>
      <c r="E3799" s="291" t="str">
        <f>IFERROR(VLOOKUP($D3799,'Clients-Live'!$A:$C,3,0),"")</f>
        <v>YAKANI CHARLES</v>
      </c>
      <c r="F3799" s="291">
        <f>IFERROR(INDEX(Disbursements!$D:$D,MATCH('Live Collections'!G3799,Disbursements!$C:$C,0)),"")</f>
        <v>3</v>
      </c>
      <c r="G3799" s="34">
        <v>408</v>
      </c>
      <c r="H3799" s="34">
        <v>5697</v>
      </c>
      <c r="I3799" s="34" t="s">
        <v>1359</v>
      </c>
      <c r="J3799" s="48"/>
      <c r="K3799" s="48"/>
      <c r="L3799" s="48"/>
      <c r="M3799" s="48"/>
      <c r="N3799" s="59"/>
      <c r="O3799" s="59">
        <v>200000</v>
      </c>
      <c r="P3799" s="59"/>
      <c r="Q3799" s="268">
        <f t="shared" si="179"/>
        <v>200000</v>
      </c>
      <c r="R3799" s="61">
        <f>IF(O3799=0,0,SUMIFS(Disbursements!$T:$T,Disbursements!$B:$B,'Live Collections'!D3799,Disbursements!$D:$D,'Live Collections'!F3799))</f>
        <v>106000</v>
      </c>
      <c r="S3799" s="304">
        <f>IF(O3799&lt;=IF($O3799=0,0,SUMIFS(Disbursements!$W:$W,Disbursements!$B:$B,'Live Collections'!D3799,Disbursements!$D:$D,'Live Collections'!F3799)),O3799,IF($O3799=0,0,SUMIFS(Disbursements!$W:$W,Disbursements!$B:$B,'Live Collections'!D3799,Disbursements!$D:$D,'Live Collections'!F3799)))</f>
        <v>26000</v>
      </c>
      <c r="T3799" s="304">
        <f t="shared" si="180"/>
        <v>174000</v>
      </c>
      <c r="U3799" s="52"/>
      <c r="V3799" s="34"/>
      <c r="W3799" s="408"/>
    </row>
    <row r="3800" spans="1:23" ht="12.75" customHeight="1" x14ac:dyDescent="0.2">
      <c r="A3800" s="257">
        <v>3810</v>
      </c>
      <c r="B3800" s="44">
        <v>44662</v>
      </c>
      <c r="C3800" s="44">
        <f t="shared" si="181"/>
        <v>44662</v>
      </c>
      <c r="D3800" s="374">
        <v>44</v>
      </c>
      <c r="E3800" s="291" t="str">
        <f>IFERROR(VLOOKUP($D3800,'Clients-Live'!$A:$C,3,0),"")</f>
        <v>CANDIRU HELLEN</v>
      </c>
      <c r="F3800" s="291">
        <f>IFERROR(INDEX(Disbursements!$D:$D,MATCH('Live Collections'!G3800,Disbursements!$C:$C,0)),"")</f>
        <v>3</v>
      </c>
      <c r="G3800" s="34">
        <v>362</v>
      </c>
      <c r="H3800" s="34">
        <v>5619</v>
      </c>
      <c r="I3800" s="34" t="s">
        <v>1358</v>
      </c>
      <c r="J3800" s="48"/>
      <c r="K3800" s="48"/>
      <c r="L3800" s="48"/>
      <c r="M3800" s="48"/>
      <c r="N3800" s="59"/>
      <c r="O3800" s="59">
        <v>100000</v>
      </c>
      <c r="P3800" s="59"/>
      <c r="Q3800" s="268">
        <f t="shared" si="179"/>
        <v>100000</v>
      </c>
      <c r="R3800" s="61">
        <f>IF(O3800=0,0,SUMIFS(Disbursements!$T:$T,Disbursements!$B:$B,'Live Collections'!D3800,Disbursements!$D:$D,'Live Collections'!F3800))</f>
        <v>325000</v>
      </c>
      <c r="S3800" s="304">
        <f>IF(O3800&lt;=IF($O3800=0,0,SUMIFS(Disbursements!$W:$W,Disbursements!$B:$B,'Live Collections'!D3800,Disbursements!$D:$D,'Live Collections'!F3800)),O3800,IF($O3800=0,0,SUMIFS(Disbursements!$W:$W,Disbursements!$B:$B,'Live Collections'!D3800,Disbursements!$D:$D,'Live Collections'!F3800)))</f>
        <v>75000</v>
      </c>
      <c r="T3800" s="304">
        <f t="shared" si="180"/>
        <v>25000</v>
      </c>
      <c r="U3800" s="52"/>
      <c r="V3800" s="34"/>
      <c r="W3800" s="408"/>
    </row>
    <row r="3801" spans="1:23" ht="12.75" customHeight="1" x14ac:dyDescent="0.2">
      <c r="A3801" s="257">
        <v>3811</v>
      </c>
      <c r="B3801" s="44">
        <v>44663</v>
      </c>
      <c r="C3801" s="44">
        <f t="shared" si="181"/>
        <v>44663</v>
      </c>
      <c r="D3801" s="374">
        <v>351</v>
      </c>
      <c r="E3801" s="291" t="str">
        <f>IFERROR(VLOOKUP($D3801,'Clients-Live'!$A:$C,3,0),"")</f>
        <v>KAGGWA ROBERT</v>
      </c>
      <c r="F3801" s="291">
        <f>IFERROR(INDEX(Disbursements!$D:$D,MATCH('Live Collections'!G3801,Disbursements!$C:$C,0)),"")</f>
        <v>1</v>
      </c>
      <c r="G3801" s="34">
        <v>504</v>
      </c>
      <c r="H3801" s="34">
        <v>5639</v>
      </c>
      <c r="I3801" s="34" t="s">
        <v>1357</v>
      </c>
      <c r="J3801" s="48"/>
      <c r="K3801" s="48"/>
      <c r="L3801" s="48"/>
      <c r="M3801" s="48"/>
      <c r="N3801" s="59"/>
      <c r="O3801" s="59"/>
      <c r="P3801" s="59">
        <v>100000</v>
      </c>
      <c r="Q3801" s="268">
        <f t="shared" si="179"/>
        <v>100000</v>
      </c>
      <c r="R3801" s="61">
        <f>IF(O3801=0,0,SUMIFS(Disbursements!$T:$T,Disbursements!$B:$B,'Live Collections'!D3801,Disbursements!$D:$D,'Live Collections'!F3801))</f>
        <v>0</v>
      </c>
      <c r="S3801" s="304">
        <f>IF(O3801&lt;=IF($O3801=0,0,SUMIFS(Disbursements!$W:$W,Disbursements!$B:$B,'Live Collections'!D3801,Disbursements!$D:$D,'Live Collections'!F3801)),O3801,IF($O3801=0,0,SUMIFS(Disbursements!$W:$W,Disbursements!$B:$B,'Live Collections'!D3801,Disbursements!$D:$D,'Live Collections'!F3801)))</f>
        <v>0</v>
      </c>
      <c r="T3801" s="304">
        <f t="shared" si="180"/>
        <v>0</v>
      </c>
      <c r="U3801" s="52"/>
      <c r="V3801" s="34"/>
      <c r="W3801" s="408"/>
    </row>
    <row r="3802" spans="1:23" ht="12.75" customHeight="1" x14ac:dyDescent="0.2">
      <c r="A3802" s="257">
        <v>3812</v>
      </c>
      <c r="B3802" s="44">
        <v>44663</v>
      </c>
      <c r="C3802" s="44">
        <f t="shared" si="181"/>
        <v>44663</v>
      </c>
      <c r="D3802" s="374">
        <v>351</v>
      </c>
      <c r="E3802" s="291" t="str">
        <f>IFERROR(VLOOKUP($D3802,'Clients-Live'!$A:$C,3,0),"")</f>
        <v>KAGGWA ROBERT</v>
      </c>
      <c r="F3802" s="291" t="str">
        <f>IFERROR(INDEX(Disbursements!$D:$D,MATCH('Live Collections'!G3802,Disbursements!$C:$C,0)),"")</f>
        <v/>
      </c>
      <c r="G3802" s="34"/>
      <c r="H3802" s="34">
        <v>5633</v>
      </c>
      <c r="I3802" s="34" t="s">
        <v>1357</v>
      </c>
      <c r="J3802" s="48"/>
      <c r="K3802" s="48"/>
      <c r="L3802" s="48">
        <v>20000</v>
      </c>
      <c r="M3802" s="48">
        <v>5000</v>
      </c>
      <c r="N3802" s="59"/>
      <c r="O3802" s="59"/>
      <c r="P3802" s="59"/>
      <c r="Q3802" s="268">
        <f t="shared" si="179"/>
        <v>25000</v>
      </c>
      <c r="R3802" s="61">
        <f>IF(O3802=0,0,SUMIFS(Disbursements!$T:$T,Disbursements!$B:$B,'Live Collections'!D3802,Disbursements!$D:$D,'Live Collections'!F3802))</f>
        <v>0</v>
      </c>
      <c r="S3802" s="304">
        <f>IF(O3802&lt;=IF($O3802=0,0,SUMIFS(Disbursements!$W:$W,Disbursements!$B:$B,'Live Collections'!D3802,Disbursements!$D:$D,'Live Collections'!F3802)),O3802,IF($O3802=0,0,SUMIFS(Disbursements!$W:$W,Disbursements!$B:$B,'Live Collections'!D3802,Disbursements!$D:$D,'Live Collections'!F3802)))</f>
        <v>0</v>
      </c>
      <c r="T3802" s="304">
        <f t="shared" si="180"/>
        <v>0</v>
      </c>
      <c r="U3802" s="52"/>
      <c r="V3802" s="34"/>
      <c r="W3802" s="408"/>
    </row>
    <row r="3803" spans="1:23" ht="12.75" customHeight="1" x14ac:dyDescent="0.2">
      <c r="A3803" s="257">
        <v>3813</v>
      </c>
      <c r="B3803" s="44">
        <v>44663</v>
      </c>
      <c r="C3803" s="44">
        <f t="shared" si="181"/>
        <v>44663</v>
      </c>
      <c r="D3803" s="374">
        <v>351</v>
      </c>
      <c r="E3803" s="291" t="str">
        <f>IFERROR(VLOOKUP($D3803,'Clients-Live'!$A:$C,3,0),"")</f>
        <v>KAGGWA ROBERT</v>
      </c>
      <c r="F3803" s="291" t="str">
        <f>IFERROR(INDEX(Disbursements!$D:$D,MATCH('Live Collections'!G3803,Disbursements!$C:$C,0)),"")</f>
        <v/>
      </c>
      <c r="G3803" s="34"/>
      <c r="H3803" s="34">
        <v>5637</v>
      </c>
      <c r="I3803" s="34" t="s">
        <v>1760</v>
      </c>
      <c r="J3803" s="48">
        <v>15000</v>
      </c>
      <c r="K3803" s="48">
        <v>5000</v>
      </c>
      <c r="L3803" s="48"/>
      <c r="M3803" s="48"/>
      <c r="N3803" s="59"/>
      <c r="O3803" s="59"/>
      <c r="P3803" s="59"/>
      <c r="Q3803" s="268">
        <f t="shared" si="179"/>
        <v>20000</v>
      </c>
      <c r="R3803" s="61">
        <f>IF(O3803=0,0,SUMIFS(Disbursements!$T:$T,Disbursements!$B:$B,'Live Collections'!D3803,Disbursements!$D:$D,'Live Collections'!F3803))</f>
        <v>0</v>
      </c>
      <c r="S3803" s="304">
        <f>IF(O3803&lt;=IF($O3803=0,0,SUMIFS(Disbursements!$W:$W,Disbursements!$B:$B,'Live Collections'!D3803,Disbursements!$D:$D,'Live Collections'!F3803)),O3803,IF($O3803=0,0,SUMIFS(Disbursements!$W:$W,Disbursements!$B:$B,'Live Collections'!D3803,Disbursements!$D:$D,'Live Collections'!F3803)))</f>
        <v>0</v>
      </c>
      <c r="T3803" s="304">
        <f t="shared" si="180"/>
        <v>0</v>
      </c>
      <c r="U3803" s="52"/>
      <c r="V3803" s="34"/>
      <c r="W3803" s="408"/>
    </row>
    <row r="3804" spans="1:23" ht="12.75" customHeight="1" x14ac:dyDescent="0.2">
      <c r="A3804" s="257">
        <v>3814</v>
      </c>
      <c r="B3804" s="44">
        <v>44663</v>
      </c>
      <c r="C3804" s="44">
        <f t="shared" si="181"/>
        <v>44663</v>
      </c>
      <c r="D3804" s="374">
        <v>179</v>
      </c>
      <c r="E3804" s="291" t="str">
        <f>IFERROR(VLOOKUP($D3804,'Clients-Live'!$A:$C,3,0),"")</f>
        <v>GERIA VIOLA</v>
      </c>
      <c r="F3804" s="291">
        <f>IFERROR(INDEX(Disbursements!$D:$D,MATCH('Live Collections'!G3804,Disbursements!$C:$C,0)),"")</f>
        <v>3</v>
      </c>
      <c r="G3804" s="34">
        <v>506</v>
      </c>
      <c r="H3804" s="34">
        <v>5623</v>
      </c>
      <c r="I3804" s="34" t="s">
        <v>1359</v>
      </c>
      <c r="J3804" s="48"/>
      <c r="K3804" s="48"/>
      <c r="L3804" s="48"/>
      <c r="M3804" s="48"/>
      <c r="N3804" s="59"/>
      <c r="O3804" s="59"/>
      <c r="P3804" s="59">
        <v>70000</v>
      </c>
      <c r="Q3804" s="268">
        <f t="shared" si="179"/>
        <v>70000</v>
      </c>
      <c r="R3804" s="61">
        <f>IF(O3804=0,0,SUMIFS(Disbursements!$T:$T,Disbursements!$B:$B,'Live Collections'!D3804,Disbursements!$D:$D,'Live Collections'!F3804))</f>
        <v>0</v>
      </c>
      <c r="S3804" s="304">
        <f>IF(O3804&lt;=IF($O3804=0,0,SUMIFS(Disbursements!$W:$W,Disbursements!$B:$B,'Live Collections'!D3804,Disbursements!$D:$D,'Live Collections'!F3804)),O3804,IF($O3804=0,0,SUMIFS(Disbursements!$W:$W,Disbursements!$B:$B,'Live Collections'!D3804,Disbursements!$D:$D,'Live Collections'!F3804)))</f>
        <v>0</v>
      </c>
      <c r="T3804" s="304">
        <f t="shared" si="180"/>
        <v>0</v>
      </c>
      <c r="U3804" s="52"/>
      <c r="V3804" s="34"/>
      <c r="W3804" s="408"/>
    </row>
    <row r="3805" spans="1:23" ht="12.75" customHeight="1" x14ac:dyDescent="0.2">
      <c r="A3805" s="257">
        <v>3815</v>
      </c>
      <c r="B3805" s="44">
        <v>44663</v>
      </c>
      <c r="C3805" s="44">
        <f t="shared" si="181"/>
        <v>44663</v>
      </c>
      <c r="D3805" s="374">
        <v>287</v>
      </c>
      <c r="E3805" s="291" t="str">
        <f>IFERROR(VLOOKUP($D3805,'Clients-Live'!$A:$C,3,0),"")</f>
        <v>FAITH JOSEPHINE</v>
      </c>
      <c r="F3805" s="291" t="str">
        <f>IFERROR(INDEX(Disbursements!$D:$D,MATCH('Live Collections'!G3805,Disbursements!$C:$C,0)),"")</f>
        <v/>
      </c>
      <c r="G3805" s="34"/>
      <c r="H3805" s="34">
        <v>5633</v>
      </c>
      <c r="I3805" s="34" t="s">
        <v>1760</v>
      </c>
      <c r="J3805" s="48"/>
      <c r="K3805" s="48"/>
      <c r="L3805" s="48">
        <v>20000</v>
      </c>
      <c r="M3805" s="48">
        <v>5000</v>
      </c>
      <c r="N3805" s="59"/>
      <c r="O3805" s="59"/>
      <c r="P3805" s="59"/>
      <c r="Q3805" s="268">
        <f t="shared" si="179"/>
        <v>25000</v>
      </c>
      <c r="R3805" s="61">
        <f>IF(O3805=0,0,SUMIFS(Disbursements!$T:$T,Disbursements!$B:$B,'Live Collections'!D3805,Disbursements!$D:$D,'Live Collections'!F3805))</f>
        <v>0</v>
      </c>
      <c r="S3805" s="304">
        <f>IF(O3805&lt;=IF($O3805=0,0,SUMIFS(Disbursements!$W:$W,Disbursements!$B:$B,'Live Collections'!D3805,Disbursements!$D:$D,'Live Collections'!F3805)),O3805,IF($O3805=0,0,SUMIFS(Disbursements!$W:$W,Disbursements!$B:$B,'Live Collections'!D3805,Disbursements!$D:$D,'Live Collections'!F3805)))</f>
        <v>0</v>
      </c>
      <c r="T3805" s="304">
        <f t="shared" si="180"/>
        <v>0</v>
      </c>
      <c r="U3805" s="52"/>
      <c r="V3805" s="34"/>
      <c r="W3805" s="408"/>
    </row>
    <row r="3806" spans="1:23" ht="12.75" customHeight="1" x14ac:dyDescent="0.2">
      <c r="A3806" s="257">
        <v>3816</v>
      </c>
      <c r="B3806" s="44">
        <v>44663</v>
      </c>
      <c r="C3806" s="44">
        <f t="shared" si="181"/>
        <v>44663</v>
      </c>
      <c r="D3806" s="374">
        <v>24</v>
      </c>
      <c r="E3806" s="291" t="str">
        <f>IFERROR(VLOOKUP($D3806,'Clients-Live'!$A:$C,3,0),"")</f>
        <v>VITA JEROME</v>
      </c>
      <c r="F3806" s="291">
        <f>IFERROR(INDEX(Disbursements!$D:$D,MATCH('Live Collections'!G3806,Disbursements!$C:$C,0)),"")</f>
        <v>2</v>
      </c>
      <c r="G3806" s="34">
        <v>415</v>
      </c>
      <c r="H3806" s="34">
        <v>5632</v>
      </c>
      <c r="I3806" s="34" t="s">
        <v>1357</v>
      </c>
      <c r="J3806" s="48"/>
      <c r="K3806" s="48"/>
      <c r="L3806" s="48"/>
      <c r="M3806" s="48"/>
      <c r="N3806" s="59"/>
      <c r="O3806" s="59">
        <v>805000</v>
      </c>
      <c r="P3806" s="59"/>
      <c r="Q3806" s="268">
        <f t="shared" si="179"/>
        <v>805000</v>
      </c>
      <c r="R3806" s="61">
        <f>IF(O3806=0,0,SUMIFS(Disbursements!$T:$T,Disbursements!$B:$B,'Live Collections'!D3806,Disbursements!$D:$D,'Live Collections'!F3806))</f>
        <v>135000</v>
      </c>
      <c r="S3806" s="304">
        <v>124285.71428571426</v>
      </c>
      <c r="T3806" s="304">
        <f t="shared" si="180"/>
        <v>680714.28571428568</v>
      </c>
      <c r="U3806" s="52"/>
      <c r="V3806" s="34"/>
      <c r="W3806" s="408"/>
    </row>
    <row r="3807" spans="1:23" ht="12.75" customHeight="1" x14ac:dyDescent="0.2">
      <c r="A3807" s="257">
        <v>3817</v>
      </c>
      <c r="B3807" s="44">
        <v>44663</v>
      </c>
      <c r="C3807" s="44">
        <f t="shared" si="181"/>
        <v>44663</v>
      </c>
      <c r="D3807" s="374">
        <v>338</v>
      </c>
      <c r="E3807" s="291" t="str">
        <f>IFERROR(VLOOKUP($D3807,'Clients-Live'!$A:$C,3,0),"")</f>
        <v>ASERU MARY</v>
      </c>
      <c r="F3807" s="291">
        <f>IFERROR(INDEX(Disbursements!$D:$D,MATCH('Live Collections'!G3807,Disbursements!$C:$C,0)),"")</f>
        <v>1</v>
      </c>
      <c r="G3807" s="34">
        <v>480</v>
      </c>
      <c r="H3807" s="34">
        <v>5635</v>
      </c>
      <c r="I3807" s="34" t="s">
        <v>1358</v>
      </c>
      <c r="J3807" s="48"/>
      <c r="K3807" s="48"/>
      <c r="L3807" s="48"/>
      <c r="M3807" s="48"/>
      <c r="N3807" s="59"/>
      <c r="O3807" s="59">
        <v>23700</v>
      </c>
      <c r="P3807" s="59"/>
      <c r="Q3807" s="268">
        <f t="shared" si="179"/>
        <v>23700</v>
      </c>
      <c r="R3807" s="61">
        <f>IF(O3807=0,0,SUMIFS(Disbursements!$T:$T,Disbursements!$B:$B,'Live Collections'!D3807,Disbursements!$D:$D,'Live Collections'!F3807))</f>
        <v>24000</v>
      </c>
      <c r="S3807" s="304">
        <f>IF(O3807&lt;=IF($O3807=0,0,SUMIFS(Disbursements!$W:$W,Disbursements!$B:$B,'Live Collections'!D3807,Disbursements!$D:$D,'Live Collections'!F3807)),O3807,IF($O3807=0,0,SUMIFS(Disbursements!$W:$W,Disbursements!$B:$B,'Live Collections'!D3807,Disbursements!$D:$D,'Live Collections'!F3807)))</f>
        <v>5250</v>
      </c>
      <c r="T3807" s="304">
        <f t="shared" si="180"/>
        <v>18450</v>
      </c>
      <c r="U3807" s="52"/>
      <c r="V3807" s="34"/>
      <c r="W3807" s="408"/>
    </row>
    <row r="3808" spans="1:23" ht="12.75" customHeight="1" x14ac:dyDescent="0.2">
      <c r="A3808" s="257">
        <v>3818</v>
      </c>
      <c r="B3808" s="44">
        <v>44663</v>
      </c>
      <c r="C3808" s="44">
        <f t="shared" si="181"/>
        <v>44663</v>
      </c>
      <c r="D3808" s="374">
        <v>94</v>
      </c>
      <c r="E3808" s="291" t="str">
        <f>IFERROR(VLOOKUP($D3808,'Clients-Live'!$A:$C,3,0),"")</f>
        <v>NGINYA RICHARD</v>
      </c>
      <c r="F3808" s="291">
        <f>IFERROR(INDEX(Disbursements!$D:$D,MATCH('Live Collections'!G3808,Disbursements!$C:$C,0)),"")</f>
        <v>3</v>
      </c>
      <c r="G3808" s="34">
        <v>464</v>
      </c>
      <c r="H3808" s="34">
        <v>5634</v>
      </c>
      <c r="I3808" s="34" t="s">
        <v>1357</v>
      </c>
      <c r="J3808" s="48"/>
      <c r="K3808" s="48"/>
      <c r="L3808" s="48"/>
      <c r="M3808" s="48"/>
      <c r="N3808" s="59"/>
      <c r="O3808" s="59">
        <v>94500</v>
      </c>
      <c r="P3808" s="59"/>
      <c r="Q3808" s="268">
        <f t="shared" si="179"/>
        <v>94500</v>
      </c>
      <c r="R3808" s="61">
        <f>IF(O3808=0,0,SUMIFS(Disbursements!$T:$T,Disbursements!$B:$B,'Live Collections'!D3808,Disbursements!$D:$D,'Live Collections'!F3808))</f>
        <v>95000</v>
      </c>
      <c r="S3808" s="304">
        <f>IF(O3808&lt;=IF($O3808=0,0,SUMIFS(Disbursements!$W:$W,Disbursements!$B:$B,'Live Collections'!D3808,Disbursements!$D:$D,'Live Collections'!F3808)),O3808,IF($O3808=0,0,SUMIFS(Disbursements!$W:$W,Disbursements!$B:$B,'Live Collections'!D3808,Disbursements!$D:$D,'Live Collections'!F3808)))</f>
        <v>20000</v>
      </c>
      <c r="T3808" s="304">
        <f t="shared" si="180"/>
        <v>74500</v>
      </c>
      <c r="U3808" s="52"/>
      <c r="V3808" s="34"/>
      <c r="W3808" s="408"/>
    </row>
    <row r="3809" spans="1:23" ht="12.75" customHeight="1" x14ac:dyDescent="0.2">
      <c r="A3809" s="257">
        <v>3819</v>
      </c>
      <c r="B3809" s="44">
        <v>44663</v>
      </c>
      <c r="C3809" s="44">
        <f t="shared" si="181"/>
        <v>44663</v>
      </c>
      <c r="D3809" s="374">
        <v>238</v>
      </c>
      <c r="E3809" s="291" t="str">
        <f>IFERROR(VLOOKUP($D3809,'Clients-Live'!$A:$C,3,0),"")</f>
        <v>ANGAIKA SAID</v>
      </c>
      <c r="F3809" s="291">
        <f>IFERROR(INDEX(Disbursements!$D:$D,MATCH('Live Collections'!G3809,Disbursements!$C:$C,0)),"")</f>
        <v>2</v>
      </c>
      <c r="G3809" s="34">
        <v>441</v>
      </c>
      <c r="H3809" s="34">
        <v>5631</v>
      </c>
      <c r="I3809" s="34" t="s">
        <v>1359</v>
      </c>
      <c r="J3809" s="48"/>
      <c r="K3809" s="48"/>
      <c r="L3809" s="48"/>
      <c r="M3809" s="48"/>
      <c r="N3809" s="59"/>
      <c r="O3809" s="59">
        <v>40600</v>
      </c>
      <c r="P3809" s="59"/>
      <c r="Q3809" s="268">
        <f t="shared" si="179"/>
        <v>40600</v>
      </c>
      <c r="R3809" s="61">
        <f>IF(O3809=0,0,SUMIFS(Disbursements!$T:$T,Disbursements!$B:$B,'Live Collections'!D3809,Disbursements!$D:$D,'Live Collections'!F3809))</f>
        <v>41000</v>
      </c>
      <c r="S3809" s="304">
        <f>IF(O3809&lt;=IF($O3809=0,0,SUMIFS(Disbursements!$W:$W,Disbursements!$B:$B,'Live Collections'!D3809,Disbursements!$D:$D,'Live Collections'!F3809)),O3809,IF($O3809=0,0,SUMIFS(Disbursements!$W:$W,Disbursements!$B:$B,'Live Collections'!D3809,Disbursements!$D:$D,'Live Collections'!F3809)))</f>
        <v>11833.333333333332</v>
      </c>
      <c r="T3809" s="304">
        <f t="shared" si="180"/>
        <v>28766.666666666668</v>
      </c>
      <c r="U3809" s="52"/>
      <c r="V3809" s="34"/>
      <c r="W3809" s="408"/>
    </row>
    <row r="3810" spans="1:23" ht="12.75" customHeight="1" x14ac:dyDescent="0.2">
      <c r="A3810" s="257">
        <v>3820</v>
      </c>
      <c r="B3810" s="44">
        <v>44663</v>
      </c>
      <c r="C3810" s="44">
        <f t="shared" si="181"/>
        <v>44663</v>
      </c>
      <c r="D3810" s="374">
        <v>124</v>
      </c>
      <c r="E3810" s="291" t="str">
        <f>IFERROR(VLOOKUP($D3810,'Clients-Live'!$A:$C,3,0),"")</f>
        <v>TIKO ZABIBU</v>
      </c>
      <c r="F3810" s="291">
        <f>IFERROR(INDEX(Disbursements!$D:$D,MATCH('Live Collections'!G3810,Disbursements!$C:$C,0)),"")</f>
        <v>2</v>
      </c>
      <c r="G3810" s="34">
        <v>335</v>
      </c>
      <c r="H3810" s="34">
        <v>5630</v>
      </c>
      <c r="I3810" s="34" t="s">
        <v>1358</v>
      </c>
      <c r="J3810" s="48"/>
      <c r="K3810" s="48"/>
      <c r="L3810" s="48">
        <v>20000</v>
      </c>
      <c r="M3810" s="48">
        <v>5000</v>
      </c>
      <c r="N3810" s="59"/>
      <c r="O3810" s="59"/>
      <c r="P3810" s="59"/>
      <c r="Q3810" s="268">
        <f t="shared" si="179"/>
        <v>25000</v>
      </c>
      <c r="R3810" s="61">
        <f>IF(O3810=0,0,SUMIFS(Disbursements!$T:$T,Disbursements!$B:$B,'Live Collections'!D3810,Disbursements!$D:$D,'Live Collections'!F3810))</f>
        <v>0</v>
      </c>
      <c r="S3810" s="304">
        <f>IF(O3810&lt;=IF($O3810=0,0,SUMIFS(Disbursements!$W:$W,Disbursements!$B:$B,'Live Collections'!D3810,Disbursements!$D:$D,'Live Collections'!F3810)),O3810,IF($O3810=0,0,SUMIFS(Disbursements!$W:$W,Disbursements!$B:$B,'Live Collections'!D3810,Disbursements!$D:$D,'Live Collections'!F3810)))</f>
        <v>0</v>
      </c>
      <c r="T3810" s="304">
        <f t="shared" si="180"/>
        <v>0</v>
      </c>
      <c r="U3810" s="52"/>
      <c r="V3810" s="34"/>
      <c r="W3810" s="408"/>
    </row>
    <row r="3811" spans="1:23" ht="12.75" customHeight="1" x14ac:dyDescent="0.2">
      <c r="A3811" s="257">
        <v>3821</v>
      </c>
      <c r="B3811" s="44">
        <v>44663</v>
      </c>
      <c r="C3811" s="44">
        <f t="shared" si="181"/>
        <v>44663</v>
      </c>
      <c r="D3811" s="374">
        <v>124</v>
      </c>
      <c r="E3811" s="291" t="str">
        <f>IFERROR(VLOOKUP($D3811,'Clients-Live'!$A:$C,3,0),"")</f>
        <v>TIKO ZABIBU</v>
      </c>
      <c r="F3811" s="291" t="str">
        <f>IFERROR(INDEX(Disbursements!$D:$D,MATCH('Live Collections'!G3811,Disbursements!$C:$C,0)),"")</f>
        <v/>
      </c>
      <c r="G3811" s="34"/>
      <c r="H3811" s="34">
        <v>5627</v>
      </c>
      <c r="I3811" s="34" t="s">
        <v>1358</v>
      </c>
      <c r="J3811" s="48"/>
      <c r="K3811" s="48"/>
      <c r="L3811" s="48"/>
      <c r="M3811" s="48"/>
      <c r="N3811" s="59"/>
      <c r="O3811" s="59">
        <v>20000</v>
      </c>
      <c r="P3811" s="59"/>
      <c r="Q3811" s="268">
        <f t="shared" si="179"/>
        <v>20000</v>
      </c>
      <c r="R3811" s="61">
        <f>IF(O3811=0,0,SUMIFS(Disbursements!$T:$T,Disbursements!$B:$B,'Live Collections'!D3811,Disbursements!$D:$D,'Live Collections'!F3811))</f>
        <v>0</v>
      </c>
      <c r="S3811" s="304">
        <f>IF(O3811&lt;=IF($O3811=0,0,SUMIFS(Disbursements!$W:$W,Disbursements!$B:$B,'Live Collections'!D3811,Disbursements!$D:$D,'Live Collections'!F3811)),O3811,IF($O3811=0,0,SUMIFS(Disbursements!$W:$W,Disbursements!$B:$B,'Live Collections'!D3811,Disbursements!$D:$D,'Live Collections'!F3811)))</f>
        <v>0</v>
      </c>
      <c r="T3811" s="304">
        <f t="shared" si="180"/>
        <v>20000</v>
      </c>
      <c r="U3811" s="52"/>
      <c r="V3811" s="34"/>
      <c r="W3811" s="408"/>
    </row>
    <row r="3812" spans="1:23" ht="12.75" customHeight="1" x14ac:dyDescent="0.2">
      <c r="A3812" s="257">
        <v>3822</v>
      </c>
      <c r="B3812" s="44">
        <v>44663</v>
      </c>
      <c r="C3812" s="44">
        <f t="shared" si="181"/>
        <v>44663</v>
      </c>
      <c r="D3812" s="374">
        <v>147</v>
      </c>
      <c r="E3812" s="291" t="str">
        <f>IFERROR(VLOOKUP($D3812,'Clients-Live'!$A:$C,3,0),"")</f>
        <v>DRICIRU MARGRET</v>
      </c>
      <c r="F3812" s="291">
        <f>IFERROR(INDEX(Disbursements!$D:$D,MATCH('Live Collections'!G3812,Disbursements!$C:$C,0)),"")</f>
        <v>3</v>
      </c>
      <c r="G3812" s="34">
        <v>434</v>
      </c>
      <c r="H3812" s="34">
        <v>5626</v>
      </c>
      <c r="I3812" s="34" t="s">
        <v>1359</v>
      </c>
      <c r="J3812" s="48"/>
      <c r="K3812" s="48"/>
      <c r="L3812" s="48"/>
      <c r="M3812" s="48"/>
      <c r="N3812" s="59"/>
      <c r="O3812" s="59">
        <v>318000</v>
      </c>
      <c r="P3812" s="59"/>
      <c r="Q3812" s="268">
        <f t="shared" si="179"/>
        <v>318000</v>
      </c>
      <c r="R3812" s="61">
        <f>IF(O3812=0,0,SUMIFS(Disbursements!$T:$T,Disbursements!$B:$B,'Live Collections'!D3812,Disbursements!$D:$D,'Live Collections'!F3812))</f>
        <v>318000</v>
      </c>
      <c r="S3812" s="304">
        <f>IF(O3812&lt;=IF($O3812=0,0,SUMIFS(Disbursements!$W:$W,Disbursements!$B:$B,'Live Collections'!D3812,Disbursements!$D:$D,'Live Collections'!F3812)),O3812,IF($O3812=0,0,SUMIFS(Disbursements!$W:$W,Disbursements!$B:$B,'Live Collections'!D3812,Disbursements!$D:$D,'Live Collections'!F3812)))</f>
        <v>78000</v>
      </c>
      <c r="T3812" s="304">
        <f t="shared" si="180"/>
        <v>240000</v>
      </c>
      <c r="U3812" s="52"/>
      <c r="V3812" s="34"/>
      <c r="W3812" s="408"/>
    </row>
    <row r="3813" spans="1:23" ht="12.75" customHeight="1" x14ac:dyDescent="0.2">
      <c r="A3813" s="257">
        <v>3823</v>
      </c>
      <c r="B3813" s="44">
        <v>44663</v>
      </c>
      <c r="C3813" s="44">
        <f t="shared" si="181"/>
        <v>44663</v>
      </c>
      <c r="D3813" s="374">
        <v>267</v>
      </c>
      <c r="E3813" s="291" t="str">
        <f>IFERROR(VLOOKUP($D3813,'Clients-Live'!$A:$C,3,0),"")</f>
        <v>KAMUSIRI JULIUS</v>
      </c>
      <c r="F3813" s="291">
        <f>IFERROR(INDEX(Disbursements!$D:$D,MATCH('Live Collections'!G3813,Disbursements!$C:$C,0)),"")</f>
        <v>1</v>
      </c>
      <c r="G3813" s="34">
        <v>346</v>
      </c>
      <c r="H3813" s="34">
        <v>5624</v>
      </c>
      <c r="I3813" s="34" t="s">
        <v>1357</v>
      </c>
      <c r="J3813" s="48"/>
      <c r="K3813" s="48"/>
      <c r="L3813" s="48"/>
      <c r="M3813" s="48"/>
      <c r="N3813" s="59"/>
      <c r="O3813" s="59">
        <v>28500</v>
      </c>
      <c r="P3813" s="59"/>
      <c r="Q3813" s="268">
        <f t="shared" si="179"/>
        <v>28500</v>
      </c>
      <c r="R3813" s="61">
        <f>IF(O3813=0,0,SUMIFS(Disbursements!$T:$T,Disbursements!$B:$B,'Live Collections'!D3813,Disbursements!$D:$D,'Live Collections'!F3813))</f>
        <v>83000</v>
      </c>
      <c r="S3813" s="304"/>
      <c r="T3813" s="304">
        <f t="shared" si="180"/>
        <v>28500</v>
      </c>
      <c r="U3813" s="52"/>
      <c r="V3813" s="34"/>
      <c r="W3813" s="408"/>
    </row>
    <row r="3814" spans="1:23" ht="12.75" customHeight="1" x14ac:dyDescent="0.2">
      <c r="A3814" s="257">
        <v>3824</v>
      </c>
      <c r="B3814" s="44">
        <v>44663</v>
      </c>
      <c r="C3814" s="44">
        <f t="shared" si="181"/>
        <v>44663</v>
      </c>
      <c r="D3814" s="374">
        <v>32</v>
      </c>
      <c r="E3814" s="291" t="str">
        <f>IFERROR(VLOOKUP($D3814,'Clients-Live'!$A:$C,3,0),"")</f>
        <v>BAKO LINA ESERU</v>
      </c>
      <c r="F3814" s="291">
        <f>IFERROR(INDEX(Disbursements!$D:$D,MATCH('Live Collections'!G3814,Disbursements!$C:$C,0)),"")</f>
        <v>3</v>
      </c>
      <c r="G3814" s="34">
        <v>461</v>
      </c>
      <c r="H3814" s="34">
        <v>5550</v>
      </c>
      <c r="I3814" s="34" t="s">
        <v>1359</v>
      </c>
      <c r="J3814" s="48"/>
      <c r="K3814" s="48"/>
      <c r="L3814" s="48"/>
      <c r="M3814" s="48"/>
      <c r="N3814" s="59"/>
      <c r="O3814" s="59">
        <v>132500</v>
      </c>
      <c r="P3814" s="59"/>
      <c r="Q3814" s="268">
        <f t="shared" si="179"/>
        <v>132500</v>
      </c>
      <c r="R3814" s="61">
        <f>IF(O3814=0,0,SUMIFS(Disbursements!$T:$T,Disbursements!$B:$B,'Live Collections'!D3814,Disbursements!$D:$D,'Live Collections'!F3814))</f>
        <v>133000</v>
      </c>
      <c r="S3814" s="304">
        <f>IF(O3814&lt;=IF($O3814=0,0,SUMIFS(Disbursements!$W:$W,Disbursements!$B:$B,'Live Collections'!D3814,Disbursements!$D:$D,'Live Collections'!F3814)),O3814,IF($O3814=0,0,SUMIFS(Disbursements!$W:$W,Disbursements!$B:$B,'Live Collections'!D3814,Disbursements!$D:$D,'Live Collections'!F3814)))</f>
        <v>33000</v>
      </c>
      <c r="T3814" s="304">
        <f t="shared" si="180"/>
        <v>99500</v>
      </c>
      <c r="U3814" s="52"/>
      <c r="V3814" s="34"/>
      <c r="W3814" s="408"/>
    </row>
    <row r="3815" spans="1:23" ht="12.75" customHeight="1" x14ac:dyDescent="0.2">
      <c r="A3815" s="257">
        <v>3825</v>
      </c>
      <c r="B3815" s="44">
        <v>44663</v>
      </c>
      <c r="C3815" s="44">
        <f t="shared" si="181"/>
        <v>44663</v>
      </c>
      <c r="D3815" s="374">
        <v>306</v>
      </c>
      <c r="E3815" s="291" t="str">
        <f>IFERROR(VLOOKUP($D3815,'Clients-Live'!$A:$C,3,0),"")</f>
        <v>DEPAYA MARY</v>
      </c>
      <c r="F3815" s="291">
        <f>IFERROR(INDEX(Disbursements!$D:$D,MATCH('Live Collections'!G3815,Disbursements!$C:$C,0)),"")</f>
        <v>1</v>
      </c>
      <c r="G3815" s="34">
        <v>416</v>
      </c>
      <c r="H3815" s="34">
        <v>5717</v>
      </c>
      <c r="I3815" s="34" t="s">
        <v>1359</v>
      </c>
      <c r="J3815" s="48"/>
      <c r="K3815" s="48"/>
      <c r="L3815" s="48"/>
      <c r="M3815" s="48"/>
      <c r="N3815" s="59"/>
      <c r="O3815" s="59">
        <v>60000</v>
      </c>
      <c r="P3815" s="59"/>
      <c r="Q3815" s="268">
        <f t="shared" si="179"/>
        <v>60000</v>
      </c>
      <c r="R3815" s="61">
        <f>IF(O3815=0,0,SUMIFS(Disbursements!$T:$T,Disbursements!$B:$B,'Live Collections'!D3815,Disbursements!$D:$D,'Live Collections'!F3815))</f>
        <v>58000</v>
      </c>
      <c r="S3815" s="304">
        <f>IF(O3815&lt;=IF($O3815=0,0,SUMIFS(Disbursements!$W:$W,Disbursements!$B:$B,'Live Collections'!D3815,Disbursements!$D:$D,'Live Collections'!F3815)),O3815,IF($O3815=0,0,SUMIFS(Disbursements!$W:$W,Disbursements!$B:$B,'Live Collections'!D3815,Disbursements!$D:$D,'Live Collections'!F3815)))</f>
        <v>16333.333333333336</v>
      </c>
      <c r="T3815" s="304">
        <f t="shared" si="180"/>
        <v>43666.666666666664</v>
      </c>
      <c r="U3815" s="52"/>
      <c r="V3815" s="34"/>
      <c r="W3815" s="408"/>
    </row>
    <row r="3816" spans="1:23" ht="12.75" customHeight="1" x14ac:dyDescent="0.2">
      <c r="A3816" s="257">
        <v>3826</v>
      </c>
      <c r="B3816" s="44">
        <v>44663</v>
      </c>
      <c r="C3816" s="44">
        <f t="shared" si="181"/>
        <v>44663</v>
      </c>
      <c r="D3816" s="374">
        <v>148</v>
      </c>
      <c r="E3816" s="291" t="str">
        <f>IFERROR(VLOOKUP($D3816,'Clients-Live'!$A:$C,3,0),"")</f>
        <v>GBOKA ZAIDA</v>
      </c>
      <c r="F3816" s="291">
        <f>IFERROR(INDEX(Disbursements!$D:$D,MATCH('Live Collections'!G3816,Disbursements!$C:$C,0)),"")</f>
        <v>2</v>
      </c>
      <c r="G3816" s="34">
        <v>304</v>
      </c>
      <c r="H3816" s="34">
        <v>5549</v>
      </c>
      <c r="I3816" s="34" t="s">
        <v>1359</v>
      </c>
      <c r="J3816" s="48"/>
      <c r="K3816" s="48"/>
      <c r="L3816" s="48"/>
      <c r="M3816" s="48"/>
      <c r="N3816" s="59"/>
      <c r="O3816" s="59">
        <v>35000</v>
      </c>
      <c r="P3816" s="59"/>
      <c r="Q3816" s="268">
        <f t="shared" si="179"/>
        <v>35000</v>
      </c>
      <c r="R3816" s="61">
        <f>IF(O3816=0,0,SUMIFS(Disbursements!$T:$T,Disbursements!$B:$B,'Live Collections'!D3816,Disbursements!$D:$D,'Live Collections'!F3816))</f>
        <v>125000</v>
      </c>
      <c r="S3816" s="304"/>
      <c r="T3816" s="304">
        <f t="shared" si="180"/>
        <v>35000</v>
      </c>
      <c r="U3816" s="52"/>
      <c r="V3816" s="34"/>
      <c r="W3816" s="408"/>
    </row>
    <row r="3817" spans="1:23" ht="12.75" customHeight="1" x14ac:dyDescent="0.2">
      <c r="A3817" s="257">
        <v>3827</v>
      </c>
      <c r="B3817" s="44">
        <v>44663</v>
      </c>
      <c r="C3817" s="44">
        <f t="shared" si="181"/>
        <v>44663</v>
      </c>
      <c r="D3817" s="374">
        <v>97</v>
      </c>
      <c r="E3817" s="291" t="str">
        <f>IFERROR(VLOOKUP($D3817,'Clients-Live'!$A:$C,3,0),"")</f>
        <v>DRANDUA JOB CHRISPUS</v>
      </c>
      <c r="F3817" s="291" t="str">
        <f>IFERROR(INDEX(Disbursements!$D:$D,MATCH('Live Collections'!G3817,Disbursements!$C:$C,0)),"")</f>
        <v/>
      </c>
      <c r="G3817" s="34"/>
      <c r="H3817" s="34">
        <v>5554</v>
      </c>
      <c r="I3817" s="34" t="s">
        <v>1359</v>
      </c>
      <c r="J3817" s="48"/>
      <c r="K3817" s="48"/>
      <c r="L3817" s="48">
        <v>30000</v>
      </c>
      <c r="M3817" s="48">
        <v>5000</v>
      </c>
      <c r="N3817" s="59"/>
      <c r="O3817" s="59"/>
      <c r="P3817" s="59"/>
      <c r="Q3817" s="268">
        <f t="shared" si="179"/>
        <v>35000</v>
      </c>
      <c r="R3817" s="61">
        <f>IF(O3817=0,0,SUMIFS(Disbursements!$T:$T,Disbursements!$B:$B,'Live Collections'!D3817,Disbursements!$D:$D,'Live Collections'!F3817))</f>
        <v>0</v>
      </c>
      <c r="S3817" s="304">
        <f>IF(O3817&lt;=IF($O3817=0,0,SUMIFS(Disbursements!$W:$W,Disbursements!$B:$B,'Live Collections'!D3817,Disbursements!$D:$D,'Live Collections'!F3817)),O3817,IF($O3817=0,0,SUMIFS(Disbursements!$W:$W,Disbursements!$B:$B,'Live Collections'!D3817,Disbursements!$D:$D,'Live Collections'!F3817)))</f>
        <v>0</v>
      </c>
      <c r="T3817" s="304">
        <f t="shared" si="180"/>
        <v>0</v>
      </c>
      <c r="U3817" s="52"/>
      <c r="V3817" s="34"/>
      <c r="W3817" s="408"/>
    </row>
    <row r="3818" spans="1:23" ht="12.75" customHeight="1" x14ac:dyDescent="0.2">
      <c r="A3818" s="257">
        <v>3828</v>
      </c>
      <c r="B3818" s="44">
        <v>44663</v>
      </c>
      <c r="C3818" s="44">
        <f t="shared" si="181"/>
        <v>44663</v>
      </c>
      <c r="D3818" s="374">
        <v>97</v>
      </c>
      <c r="E3818" s="291" t="str">
        <f>IFERROR(VLOOKUP($D3818,'Clients-Live'!$A:$C,3,0),"")</f>
        <v>DRANDUA JOB CHRISPUS</v>
      </c>
      <c r="F3818" s="291">
        <f>IFERROR(INDEX(Disbursements!$D:$D,MATCH('Live Collections'!G3818,Disbursements!$C:$C,0)),"")</f>
        <v>5</v>
      </c>
      <c r="G3818" s="34">
        <v>453</v>
      </c>
      <c r="H3818" s="34" t="s">
        <v>2302</v>
      </c>
      <c r="I3818" s="34" t="s">
        <v>1359</v>
      </c>
      <c r="J3818" s="48"/>
      <c r="K3818" s="48"/>
      <c r="L3818" s="48"/>
      <c r="M3818" s="48"/>
      <c r="N3818" s="59"/>
      <c r="O3818" s="59">
        <v>600000</v>
      </c>
      <c r="P3818" s="59">
        <v>-600000</v>
      </c>
      <c r="Q3818" s="268">
        <f t="shared" si="179"/>
        <v>0</v>
      </c>
      <c r="R3818" s="61">
        <f>IF(O3818=0,0,SUMIFS(Disbursements!$T:$T,Disbursements!$B:$B,'Live Collections'!D3818,Disbursements!$D:$D,'Live Collections'!F3818))</f>
        <v>6390000</v>
      </c>
      <c r="S3818" s="304">
        <f>IF(O3818&lt;=IF($O3818=0,0,SUMIFS(Disbursements!$W:$W,Disbursements!$B:$B,'Live Collections'!D3818,Disbursements!$D:$D,'Live Collections'!F3818)),O3818,IF($O3818=0,0,SUMIFS(Disbursements!$W:$W,Disbursements!$B:$B,'Live Collections'!D3818,Disbursements!$D:$D,'Live Collections'!F3818)))</f>
        <v>390000</v>
      </c>
      <c r="T3818" s="304">
        <f t="shared" si="180"/>
        <v>210000</v>
      </c>
      <c r="U3818" s="52"/>
      <c r="V3818" s="34"/>
      <c r="W3818" s="408"/>
    </row>
    <row r="3819" spans="1:23" ht="12.75" customHeight="1" x14ac:dyDescent="0.2">
      <c r="A3819" s="257">
        <v>3829</v>
      </c>
      <c r="B3819" s="44">
        <v>44663</v>
      </c>
      <c r="C3819" s="44">
        <f t="shared" si="181"/>
        <v>44663</v>
      </c>
      <c r="D3819" s="374">
        <v>97</v>
      </c>
      <c r="E3819" s="291" t="str">
        <f>IFERROR(VLOOKUP($D3819,'Clients-Live'!$A:$C,3,0),"")</f>
        <v>DRANDUA JOB CHRISPUS</v>
      </c>
      <c r="F3819" s="291">
        <f>IFERROR(INDEX(Disbursements!$D:$D,MATCH('Live Collections'!G3819,Disbursements!$C:$C,0)),"")</f>
        <v>5</v>
      </c>
      <c r="G3819" s="34">
        <v>453</v>
      </c>
      <c r="H3819" s="34">
        <v>5620</v>
      </c>
      <c r="I3819" s="34" t="s">
        <v>1359</v>
      </c>
      <c r="J3819" s="48"/>
      <c r="K3819" s="48"/>
      <c r="L3819" s="48"/>
      <c r="M3819" s="48"/>
      <c r="N3819" s="59"/>
      <c r="O3819" s="59">
        <v>5790000</v>
      </c>
      <c r="P3819" s="59"/>
      <c r="Q3819" s="268">
        <f t="shared" si="179"/>
        <v>5790000</v>
      </c>
      <c r="R3819" s="61">
        <f>IF(O3819=0,0,SUMIFS(Disbursements!$T:$T,Disbursements!$B:$B,'Live Collections'!D3819,Disbursements!$D:$D,'Live Collections'!F3819))</f>
        <v>6390000</v>
      </c>
      <c r="S3819" s="304"/>
      <c r="T3819" s="304">
        <f t="shared" si="180"/>
        <v>5790000</v>
      </c>
      <c r="U3819" s="52"/>
      <c r="V3819" s="34"/>
      <c r="W3819" s="408"/>
    </row>
    <row r="3820" spans="1:23" ht="12.75" customHeight="1" x14ac:dyDescent="0.2">
      <c r="A3820" s="257">
        <v>3830</v>
      </c>
      <c r="B3820" s="44">
        <v>44663</v>
      </c>
      <c r="C3820" s="44">
        <f t="shared" si="181"/>
        <v>44663</v>
      </c>
      <c r="D3820" s="374">
        <v>9</v>
      </c>
      <c r="E3820" s="291" t="str">
        <f>IFERROR(VLOOKUP($D3820,'Clients-Live'!$A:$C,3,0),"")</f>
        <v>TABAN DAVID YAYA</v>
      </c>
      <c r="F3820" s="291" t="str">
        <f>IFERROR(INDEX(Disbursements!$D:$D,MATCH('Live Collections'!G3820,Disbursements!$C:$C,0)),"")</f>
        <v/>
      </c>
      <c r="G3820" s="34"/>
      <c r="H3820" s="34">
        <v>5553</v>
      </c>
      <c r="I3820" s="34" t="s">
        <v>1357</v>
      </c>
      <c r="J3820" s="48"/>
      <c r="K3820" s="48"/>
      <c r="L3820" s="48">
        <v>20000</v>
      </c>
      <c r="M3820" s="48">
        <v>5000</v>
      </c>
      <c r="N3820" s="59"/>
      <c r="O3820" s="59"/>
      <c r="P3820" s="59"/>
      <c r="Q3820" s="268">
        <f t="shared" ref="Q3820:Q3883" si="182">SUM(J3820:P3820)</f>
        <v>25000</v>
      </c>
      <c r="R3820" s="61">
        <f>IF(O3820=0,0,SUMIFS(Disbursements!$T:$T,Disbursements!$B:$B,'Live Collections'!D3820,Disbursements!$D:$D,'Live Collections'!F3820))</f>
        <v>0</v>
      </c>
      <c r="S3820" s="304">
        <f>IF(O3820&lt;=IF($O3820=0,0,SUMIFS(Disbursements!$W:$W,Disbursements!$B:$B,'Live Collections'!D3820,Disbursements!$D:$D,'Live Collections'!F3820)),O3820,IF($O3820=0,0,SUMIFS(Disbursements!$W:$W,Disbursements!$B:$B,'Live Collections'!D3820,Disbursements!$D:$D,'Live Collections'!F3820)))</f>
        <v>0</v>
      </c>
      <c r="T3820" s="304">
        <f t="shared" si="180"/>
        <v>0</v>
      </c>
      <c r="U3820" s="52"/>
      <c r="V3820" s="34"/>
      <c r="W3820" s="408"/>
    </row>
    <row r="3821" spans="1:23" ht="12.75" customHeight="1" x14ac:dyDescent="0.2">
      <c r="A3821" s="257">
        <v>3831</v>
      </c>
      <c r="B3821" s="44">
        <v>44663</v>
      </c>
      <c r="C3821" s="44">
        <f t="shared" si="181"/>
        <v>44663</v>
      </c>
      <c r="D3821" s="374">
        <v>2</v>
      </c>
      <c r="E3821" s="291" t="str">
        <f>IFERROR(VLOOKUP($D3821,'Clients-Live'!$A:$C,3,0),"")</f>
        <v>LEYA ROSE</v>
      </c>
      <c r="F3821" s="291">
        <f>IFERROR(INDEX(Disbursements!$D:$D,MATCH('Live Collections'!G3821,Disbursements!$C:$C,0)),"")</f>
        <v>3</v>
      </c>
      <c r="G3821" s="34">
        <v>460</v>
      </c>
      <c r="H3821" s="34">
        <v>5552</v>
      </c>
      <c r="I3821" s="34" t="s">
        <v>1359</v>
      </c>
      <c r="J3821" s="48"/>
      <c r="K3821" s="48"/>
      <c r="L3821" s="48"/>
      <c r="M3821" s="48"/>
      <c r="N3821" s="59"/>
      <c r="O3821" s="59">
        <v>220000</v>
      </c>
      <c r="P3821" s="59"/>
      <c r="Q3821" s="268">
        <f t="shared" si="182"/>
        <v>220000</v>
      </c>
      <c r="R3821" s="61">
        <f>IF(O3821=0,0,SUMIFS(Disbursements!$T:$T,Disbursements!$B:$B,'Live Collections'!D3821,Disbursements!$D:$D,'Live Collections'!F3821))</f>
        <v>320000</v>
      </c>
      <c r="S3821" s="304">
        <f>IF(O3821&lt;=IF($O3821=0,0,SUMIFS(Disbursements!$W:$W,Disbursements!$B:$B,'Live Collections'!D3821,Disbursements!$D:$D,'Live Collections'!F3821)),O3821,IF($O3821=0,0,SUMIFS(Disbursements!$W:$W,Disbursements!$B:$B,'Live Collections'!D3821,Disbursements!$D:$D,'Live Collections'!F3821)))</f>
        <v>20000</v>
      </c>
      <c r="T3821" s="304">
        <f t="shared" si="180"/>
        <v>200000</v>
      </c>
      <c r="U3821" s="52"/>
      <c r="V3821" s="34"/>
      <c r="W3821" s="408"/>
    </row>
    <row r="3822" spans="1:23" ht="12.75" customHeight="1" x14ac:dyDescent="0.2">
      <c r="A3822" s="257">
        <v>3832</v>
      </c>
      <c r="B3822" s="44">
        <v>44664</v>
      </c>
      <c r="C3822" s="44">
        <f t="shared" si="181"/>
        <v>44664</v>
      </c>
      <c r="D3822" s="374">
        <v>13</v>
      </c>
      <c r="E3822" s="291" t="str">
        <f>IFERROR(VLOOKUP($D3822,'Clients-Live'!$A:$C,3,0),"")</f>
        <v>ALLONE AMOS DAMAI</v>
      </c>
      <c r="F3822" s="291">
        <f>IFERROR(INDEX(Disbursements!$D:$D,MATCH('Live Collections'!G3822,Disbursements!$C:$C,0)),"")</f>
        <v>2</v>
      </c>
      <c r="G3822" s="34">
        <v>509</v>
      </c>
      <c r="H3822" s="34">
        <v>5559</v>
      </c>
      <c r="I3822" s="34" t="s">
        <v>1359</v>
      </c>
      <c r="J3822" s="48"/>
      <c r="K3822" s="48"/>
      <c r="L3822" s="48"/>
      <c r="M3822" s="48"/>
      <c r="N3822" s="59"/>
      <c r="O3822" s="59"/>
      <c r="P3822" s="59">
        <v>100000</v>
      </c>
      <c r="Q3822" s="268">
        <f t="shared" si="182"/>
        <v>100000</v>
      </c>
      <c r="R3822" s="61">
        <f>IF(O3822=0,0,SUMIFS(Disbursements!$T:$T,Disbursements!$B:$B,'Live Collections'!D3822,Disbursements!$D:$D,'Live Collections'!F3822))</f>
        <v>0</v>
      </c>
      <c r="S3822" s="304">
        <f>IF(O3822&lt;=IF($O3822=0,0,SUMIFS(Disbursements!$W:$W,Disbursements!$B:$B,'Live Collections'!D3822,Disbursements!$D:$D,'Live Collections'!F3822)),O3822,IF($O3822=0,0,SUMIFS(Disbursements!$W:$W,Disbursements!$B:$B,'Live Collections'!D3822,Disbursements!$D:$D,'Live Collections'!F3822)))</f>
        <v>0</v>
      </c>
      <c r="T3822" s="304">
        <f t="shared" si="180"/>
        <v>0</v>
      </c>
      <c r="U3822" s="52"/>
      <c r="V3822" s="34"/>
      <c r="W3822" s="408"/>
    </row>
    <row r="3823" spans="1:23" ht="12.75" customHeight="1" x14ac:dyDescent="0.2">
      <c r="A3823" s="257">
        <v>3833</v>
      </c>
      <c r="B3823" s="44">
        <v>44664</v>
      </c>
      <c r="C3823" s="44">
        <f t="shared" si="181"/>
        <v>44664</v>
      </c>
      <c r="D3823" s="374">
        <v>134</v>
      </c>
      <c r="E3823" s="291" t="str">
        <f>IFERROR(VLOOKUP($D3823,'Clients-Live'!$A:$C,3,0),"")</f>
        <v>TABU NATALIYA</v>
      </c>
      <c r="F3823" s="291">
        <f>IFERROR(INDEX(Disbursements!$D:$D,MATCH('Live Collections'!G3823,Disbursements!$C:$C,0)),"")</f>
        <v>2</v>
      </c>
      <c r="G3823" s="34">
        <v>324</v>
      </c>
      <c r="H3823" s="34">
        <v>5570</v>
      </c>
      <c r="I3823" s="34" t="s">
        <v>1359</v>
      </c>
      <c r="J3823" s="48"/>
      <c r="K3823" s="48"/>
      <c r="L3823" s="48"/>
      <c r="M3823" s="48"/>
      <c r="N3823" s="59"/>
      <c r="O3823" s="59">
        <v>30000</v>
      </c>
      <c r="P3823" s="59"/>
      <c r="Q3823" s="268">
        <f t="shared" si="182"/>
        <v>30000</v>
      </c>
      <c r="R3823" s="61">
        <f>IF(O3823=0,0,SUMIFS(Disbursements!$T:$T,Disbursements!$B:$B,'Live Collections'!D3823,Disbursements!$D:$D,'Live Collections'!F3823))</f>
        <v>120000</v>
      </c>
      <c r="S3823" s="304"/>
      <c r="T3823" s="304">
        <f t="shared" si="180"/>
        <v>30000</v>
      </c>
      <c r="U3823" s="52"/>
      <c r="V3823" s="34"/>
      <c r="W3823" s="408"/>
    </row>
    <row r="3824" spans="1:23" ht="12.75" customHeight="1" x14ac:dyDescent="0.2">
      <c r="A3824" s="257">
        <v>3834</v>
      </c>
      <c r="B3824" s="44">
        <v>44664</v>
      </c>
      <c r="C3824" s="44">
        <f t="shared" si="181"/>
        <v>44664</v>
      </c>
      <c r="D3824" s="374">
        <v>276</v>
      </c>
      <c r="E3824" s="291" t="str">
        <f>IFERROR(VLOOKUP($D3824,'Clients-Live'!$A:$C,3,0),"")</f>
        <v>MANDELA SWAIBU</v>
      </c>
      <c r="F3824" s="291">
        <f>IFERROR(INDEX(Disbursements!$D:$D,MATCH('Live Collections'!G3824,Disbursements!$C:$C,0)),"")</f>
        <v>1</v>
      </c>
      <c r="G3824" s="34">
        <v>358</v>
      </c>
      <c r="H3824" s="34">
        <v>5561</v>
      </c>
      <c r="I3824" s="34" t="s">
        <v>1359</v>
      </c>
      <c r="J3824" s="48"/>
      <c r="K3824" s="48"/>
      <c r="L3824" s="48"/>
      <c r="M3824" s="48"/>
      <c r="N3824" s="59"/>
      <c r="O3824" s="59">
        <v>50000</v>
      </c>
      <c r="P3824" s="59"/>
      <c r="Q3824" s="268">
        <f t="shared" si="182"/>
        <v>50000</v>
      </c>
      <c r="R3824" s="61">
        <f>IF(O3824=0,0,SUMIFS(Disbursements!$T:$T,Disbursements!$B:$B,'Live Collections'!D3824,Disbursements!$D:$D,'Live Collections'!F3824))</f>
        <v>325000</v>
      </c>
      <c r="S3824" s="304">
        <f>IF(O3824&lt;=IF($O3824=0,0,SUMIFS(Disbursements!$W:$W,Disbursements!$B:$B,'Live Collections'!D3824,Disbursements!$D:$D,'Live Collections'!F3824)),O3824,IF($O3824=0,0,SUMIFS(Disbursements!$W:$W,Disbursements!$B:$B,'Live Collections'!D3824,Disbursements!$D:$D,'Live Collections'!F3824)))</f>
        <v>50000</v>
      </c>
      <c r="T3824" s="304">
        <f t="shared" si="180"/>
        <v>0</v>
      </c>
      <c r="U3824" s="52"/>
      <c r="V3824" s="34"/>
      <c r="W3824" s="408"/>
    </row>
    <row r="3825" spans="1:23" ht="12.75" customHeight="1" x14ac:dyDescent="0.2">
      <c r="A3825" s="257">
        <v>3835</v>
      </c>
      <c r="B3825" s="44">
        <v>44664</v>
      </c>
      <c r="C3825" s="44">
        <f t="shared" si="181"/>
        <v>44664</v>
      </c>
      <c r="D3825" s="374">
        <v>205</v>
      </c>
      <c r="E3825" s="291" t="str">
        <f>IFERROR(VLOOKUP($D3825,'Clients-Live'!$A:$C,3,0),"")</f>
        <v>OPIRU ALICE</v>
      </c>
      <c r="F3825" s="291">
        <f>IFERROR(INDEX(Disbursements!$D:$D,MATCH('Live Collections'!G3825,Disbursements!$C:$C,0)),"")</f>
        <v>2</v>
      </c>
      <c r="G3825" s="34">
        <v>396</v>
      </c>
      <c r="H3825" s="34">
        <v>5568</v>
      </c>
      <c r="I3825" s="34" t="s">
        <v>1359</v>
      </c>
      <c r="J3825" s="48"/>
      <c r="K3825" s="48"/>
      <c r="L3825" s="48"/>
      <c r="M3825" s="48"/>
      <c r="N3825" s="59"/>
      <c r="O3825" s="59">
        <v>10000</v>
      </c>
      <c r="P3825" s="59"/>
      <c r="Q3825" s="268">
        <f t="shared" si="182"/>
        <v>10000</v>
      </c>
      <c r="R3825" s="61">
        <f>IF(O3825=0,0,SUMIFS(Disbursements!$T:$T,Disbursements!$B:$B,'Live Collections'!D3825,Disbursements!$D:$D,'Live Collections'!F3825))</f>
        <v>40000</v>
      </c>
      <c r="S3825" s="304">
        <v>3000</v>
      </c>
      <c r="T3825" s="304">
        <f t="shared" si="180"/>
        <v>7000</v>
      </c>
      <c r="U3825" s="52"/>
      <c r="V3825" s="34"/>
      <c r="W3825" s="408"/>
    </row>
    <row r="3826" spans="1:23" ht="12.75" customHeight="1" x14ac:dyDescent="0.2">
      <c r="A3826" s="257">
        <v>3836</v>
      </c>
      <c r="B3826" s="44">
        <v>44664</v>
      </c>
      <c r="C3826" s="44">
        <f t="shared" si="181"/>
        <v>44664</v>
      </c>
      <c r="D3826" s="374">
        <v>104</v>
      </c>
      <c r="E3826" s="291" t="str">
        <f>IFERROR(VLOOKUP($D3826,'Clients-Live'!$A:$C,3,0),"")</f>
        <v>IDIRA ALIMA</v>
      </c>
      <c r="F3826" s="291">
        <f>IFERROR(INDEX(Disbursements!$D:$D,MATCH('Live Collections'!G3826,Disbursements!$C:$C,0)),"")</f>
        <v>2</v>
      </c>
      <c r="G3826" s="34">
        <v>252</v>
      </c>
      <c r="H3826" s="34">
        <v>5452</v>
      </c>
      <c r="I3826" s="34" t="s">
        <v>1359</v>
      </c>
      <c r="J3826" s="48"/>
      <c r="K3826" s="48"/>
      <c r="L3826" s="48"/>
      <c r="M3826" s="48"/>
      <c r="N3826" s="59"/>
      <c r="O3826" s="59">
        <v>30000</v>
      </c>
      <c r="P3826" s="59"/>
      <c r="Q3826" s="268">
        <f t="shared" si="182"/>
        <v>30000</v>
      </c>
      <c r="R3826" s="61">
        <f>IF(O3826=0,0,SUMIFS(Disbursements!$T:$T,Disbursements!$B:$B,'Live Collections'!D3826,Disbursements!$D:$D,'Live Collections'!F3826))</f>
        <v>175000</v>
      </c>
      <c r="S3826" s="304">
        <v>25000</v>
      </c>
      <c r="T3826" s="304">
        <f t="shared" si="180"/>
        <v>5000</v>
      </c>
      <c r="U3826" s="52"/>
      <c r="V3826" s="34"/>
      <c r="W3826" s="408"/>
    </row>
    <row r="3827" spans="1:23" ht="12.75" customHeight="1" x14ac:dyDescent="0.2">
      <c r="A3827" s="257">
        <v>3837</v>
      </c>
      <c r="B3827" s="44">
        <v>44664</v>
      </c>
      <c r="C3827" s="44">
        <f t="shared" si="181"/>
        <v>44664</v>
      </c>
      <c r="D3827" s="374">
        <v>187</v>
      </c>
      <c r="E3827" s="291" t="str">
        <f>IFERROR(VLOOKUP($D3827,'Clients-Live'!$A:$C,3,0),"")</f>
        <v xml:space="preserve">AJIO HARRIET </v>
      </c>
      <c r="F3827" s="291">
        <f>IFERROR(INDEX(Disbursements!$D:$D,MATCH('Live Collections'!G3827,Disbursements!$C:$C,0)),"")</f>
        <v>2</v>
      </c>
      <c r="G3827" s="34">
        <v>458</v>
      </c>
      <c r="H3827" s="34">
        <v>5564</v>
      </c>
      <c r="I3827" s="34" t="s">
        <v>1358</v>
      </c>
      <c r="J3827" s="48"/>
      <c r="K3827" s="48"/>
      <c r="L3827" s="48"/>
      <c r="M3827" s="48"/>
      <c r="N3827" s="59"/>
      <c r="O3827" s="59">
        <v>157000</v>
      </c>
      <c r="P3827" s="59"/>
      <c r="Q3827" s="268">
        <f t="shared" si="182"/>
        <v>157000</v>
      </c>
      <c r="R3827" s="61">
        <f>IF(O3827=0,0,SUMIFS(Disbursements!$T:$T,Disbursements!$B:$B,'Live Collections'!D3827,Disbursements!$D:$D,'Live Collections'!F3827))</f>
        <v>158000</v>
      </c>
      <c r="S3827" s="304">
        <f>IF(O3827&lt;=IF($O3827=0,0,SUMIFS(Disbursements!$W:$W,Disbursements!$B:$B,'Live Collections'!D3827,Disbursements!$D:$D,'Live Collections'!F3827)),O3827,IF($O3827=0,0,SUMIFS(Disbursements!$W:$W,Disbursements!$B:$B,'Live Collections'!D3827,Disbursements!$D:$D,'Live Collections'!F3827)))</f>
        <v>33000</v>
      </c>
      <c r="T3827" s="304">
        <f t="shared" si="180"/>
        <v>124000</v>
      </c>
      <c r="U3827" s="52"/>
      <c r="V3827" s="34"/>
      <c r="W3827" s="408"/>
    </row>
    <row r="3828" spans="1:23" ht="12.75" customHeight="1" x14ac:dyDescent="0.2">
      <c r="A3828" s="257">
        <v>3838</v>
      </c>
      <c r="B3828" s="44">
        <v>44664</v>
      </c>
      <c r="C3828" s="44">
        <f t="shared" si="181"/>
        <v>44664</v>
      </c>
      <c r="D3828" s="374">
        <v>9</v>
      </c>
      <c r="E3828" s="291" t="str">
        <f>IFERROR(VLOOKUP($D3828,'Clients-Live'!$A:$C,3,0),"")</f>
        <v>TABAN DAVID YAYA</v>
      </c>
      <c r="F3828" s="291">
        <f>IFERROR(INDEX(Disbursements!$D:$D,MATCH('Live Collections'!G3828,Disbursements!$C:$C,0)),"")</f>
        <v>4</v>
      </c>
      <c r="G3828" s="34">
        <v>507</v>
      </c>
      <c r="H3828" s="34">
        <v>5562</v>
      </c>
      <c r="I3828" s="34" t="s">
        <v>1357</v>
      </c>
      <c r="J3828" s="48"/>
      <c r="K3828" s="48"/>
      <c r="L3828" s="48"/>
      <c r="M3828" s="48"/>
      <c r="N3828" s="59"/>
      <c r="O3828" s="59"/>
      <c r="P3828" s="59">
        <v>55000</v>
      </c>
      <c r="Q3828" s="268">
        <f t="shared" si="182"/>
        <v>55000</v>
      </c>
      <c r="R3828" s="61">
        <f>IF(O3828=0,0,SUMIFS(Disbursements!$T:$T,Disbursements!$B:$B,'Live Collections'!D3828,Disbursements!$D:$D,'Live Collections'!F3828))</f>
        <v>0</v>
      </c>
      <c r="S3828" s="304">
        <f>IF(O3828&lt;=IF($O3828=0,0,SUMIFS(Disbursements!$W:$W,Disbursements!$B:$B,'Live Collections'!D3828,Disbursements!$D:$D,'Live Collections'!F3828)),O3828,IF($O3828=0,0,SUMIFS(Disbursements!$W:$W,Disbursements!$B:$B,'Live Collections'!D3828,Disbursements!$D:$D,'Live Collections'!F3828)))</f>
        <v>0</v>
      </c>
      <c r="T3828" s="304">
        <f t="shared" si="180"/>
        <v>0</v>
      </c>
      <c r="U3828" s="52"/>
      <c r="V3828" s="34"/>
      <c r="W3828" s="408"/>
    </row>
    <row r="3829" spans="1:23" ht="12.75" customHeight="1" x14ac:dyDescent="0.2">
      <c r="A3829" s="257">
        <v>3839</v>
      </c>
      <c r="B3829" s="44">
        <v>44664</v>
      </c>
      <c r="C3829" s="44">
        <f t="shared" si="181"/>
        <v>44664</v>
      </c>
      <c r="D3829" s="374">
        <v>9</v>
      </c>
      <c r="E3829" s="291" t="str">
        <f>IFERROR(VLOOKUP($D3829,'Clients-Live'!$A:$C,3,0),"")</f>
        <v>TABAN DAVID YAYA</v>
      </c>
      <c r="F3829" s="291">
        <f>IFERROR(INDEX(Disbursements!$D:$D,MATCH('Live Collections'!G3829,Disbursements!$C:$C,0)),"")</f>
        <v>3</v>
      </c>
      <c r="G3829" s="34">
        <v>423</v>
      </c>
      <c r="H3829" s="34" t="s">
        <v>2307</v>
      </c>
      <c r="I3829" s="34" t="s">
        <v>1357</v>
      </c>
      <c r="J3829" s="48"/>
      <c r="K3829" s="48"/>
      <c r="L3829" s="48"/>
      <c r="M3829" s="48"/>
      <c r="N3829" s="59"/>
      <c r="O3829" s="59">
        <v>60000</v>
      </c>
      <c r="P3829" s="59">
        <v>-60000</v>
      </c>
      <c r="Q3829" s="268">
        <f t="shared" si="182"/>
        <v>0</v>
      </c>
      <c r="R3829" s="61">
        <f>IF(O3829=0,0,SUMIFS(Disbursements!$T:$T,Disbursements!$B:$B,'Live Collections'!D3829,Disbursements!$D:$D,'Live Collections'!F3829))</f>
        <v>189000</v>
      </c>
      <c r="S3829" s="304">
        <v>56333.333333333343</v>
      </c>
      <c r="T3829" s="304"/>
      <c r="U3829" s="52"/>
      <c r="V3829" s="34"/>
      <c r="W3829" s="408"/>
    </row>
    <row r="3830" spans="1:23" ht="12.75" customHeight="1" x14ac:dyDescent="0.2">
      <c r="A3830" s="257">
        <v>3840</v>
      </c>
      <c r="B3830" s="44">
        <v>44664</v>
      </c>
      <c r="C3830" s="44">
        <f t="shared" si="181"/>
        <v>44664</v>
      </c>
      <c r="D3830" s="374">
        <v>9</v>
      </c>
      <c r="E3830" s="291" t="str">
        <f>IFERROR(VLOOKUP($D3830,'Clients-Live'!$A:$C,3,0),"")</f>
        <v>TABAN DAVID YAYA</v>
      </c>
      <c r="F3830" s="291">
        <f>IFERROR(INDEX(Disbursements!$D:$D,MATCH('Live Collections'!G3830,Disbursements!$C:$C,0)),"")</f>
        <v>3</v>
      </c>
      <c r="G3830" s="34">
        <v>423</v>
      </c>
      <c r="H3830" s="34">
        <v>5566</v>
      </c>
      <c r="I3830" s="34" t="s">
        <v>1357</v>
      </c>
      <c r="J3830" s="48"/>
      <c r="K3830" s="48"/>
      <c r="L3830" s="48"/>
      <c r="M3830" s="48"/>
      <c r="N3830" s="59"/>
      <c r="O3830" s="59">
        <v>318000</v>
      </c>
      <c r="P3830" s="59"/>
      <c r="Q3830" s="268">
        <f t="shared" si="182"/>
        <v>318000</v>
      </c>
      <c r="R3830" s="61">
        <f>IF(O3830=0,0,SUMIFS(Disbursements!$T:$T,Disbursements!$B:$B,'Live Collections'!D3830,Disbursements!$D:$D,'Live Collections'!F3830))</f>
        <v>189000</v>
      </c>
      <c r="S3830" s="304"/>
      <c r="T3830" s="304">
        <v>321666.66666666663</v>
      </c>
      <c r="U3830" s="52"/>
      <c r="V3830" s="34"/>
      <c r="W3830" s="408"/>
    </row>
    <row r="3831" spans="1:23" ht="12.75" customHeight="1" x14ac:dyDescent="0.2">
      <c r="A3831" s="257">
        <v>3841</v>
      </c>
      <c r="B3831" s="44">
        <v>44664</v>
      </c>
      <c r="C3831" s="44">
        <f t="shared" si="181"/>
        <v>44664</v>
      </c>
      <c r="D3831" s="374">
        <v>164</v>
      </c>
      <c r="E3831" s="291" t="str">
        <f>IFERROR(VLOOKUP($D3831,'Clients-Live'!$A:$C,3,0),"")</f>
        <v>ARIKE SWAIB</v>
      </c>
      <c r="F3831" s="291">
        <f>IFERROR(INDEX(Disbursements!$D:$D,MATCH('Live Collections'!G3831,Disbursements!$C:$C,0)),"")</f>
        <v>2</v>
      </c>
      <c r="G3831" s="34">
        <v>508</v>
      </c>
      <c r="H3831" s="34">
        <v>5649</v>
      </c>
      <c r="I3831" s="34" t="s">
        <v>1357</v>
      </c>
      <c r="J3831" s="48"/>
      <c r="K3831" s="48"/>
      <c r="L3831" s="48"/>
      <c r="M3831" s="48"/>
      <c r="N3831" s="59"/>
      <c r="O3831" s="59"/>
      <c r="P3831" s="59">
        <v>155000</v>
      </c>
      <c r="Q3831" s="268">
        <f t="shared" si="182"/>
        <v>155000</v>
      </c>
      <c r="R3831" s="61">
        <f>IF(O3831=0,0,SUMIFS(Disbursements!$T:$T,Disbursements!$B:$B,'Live Collections'!D3831,Disbursements!$D:$D,'Live Collections'!F3831))</f>
        <v>0</v>
      </c>
      <c r="S3831" s="304">
        <f>IF(O3831&lt;=IF($O3831=0,0,SUMIFS(Disbursements!$W:$W,Disbursements!$B:$B,'Live Collections'!D3831,Disbursements!$D:$D,'Live Collections'!F3831)),O3831,IF($O3831=0,0,SUMIFS(Disbursements!$W:$W,Disbursements!$B:$B,'Live Collections'!D3831,Disbursements!$D:$D,'Live Collections'!F3831)))</f>
        <v>0</v>
      </c>
      <c r="T3831" s="304">
        <f t="shared" ref="T3831:T3894" si="183">IF(O3831=0,0,O3831-S3831)</f>
        <v>0</v>
      </c>
      <c r="U3831" s="52"/>
      <c r="V3831" s="34"/>
      <c r="W3831" s="408"/>
    </row>
    <row r="3832" spans="1:23" ht="12.75" customHeight="1" x14ac:dyDescent="0.2">
      <c r="A3832" s="257">
        <v>3842</v>
      </c>
      <c r="B3832" s="44">
        <v>44664</v>
      </c>
      <c r="C3832" s="44">
        <f t="shared" si="181"/>
        <v>44664</v>
      </c>
      <c r="D3832" s="374">
        <v>266</v>
      </c>
      <c r="E3832" s="291" t="str">
        <f>IFERROR(VLOOKUP($D3832,'Clients-Live'!$A:$C,3,0),"")</f>
        <v>TAIBO AMANA</v>
      </c>
      <c r="F3832" s="291">
        <f>IFERROR(INDEX(Disbursements!$D:$D,MATCH('Live Collections'!G3832,Disbursements!$C:$C,0)),"")</f>
        <v>1</v>
      </c>
      <c r="G3832" s="34">
        <v>336</v>
      </c>
      <c r="H3832" s="34">
        <v>5648</v>
      </c>
      <c r="I3832" s="34" t="s">
        <v>1358</v>
      </c>
      <c r="J3832" s="48"/>
      <c r="K3832" s="48"/>
      <c r="L3832" s="48"/>
      <c r="M3832" s="48"/>
      <c r="N3832" s="59"/>
      <c r="O3832" s="59">
        <v>30000</v>
      </c>
      <c r="P3832" s="59"/>
      <c r="Q3832" s="268">
        <f t="shared" si="182"/>
        <v>30000</v>
      </c>
      <c r="R3832" s="61">
        <f>IF(O3832=0,0,SUMIFS(Disbursements!$T:$T,Disbursements!$B:$B,'Live Collections'!D3832,Disbursements!$D:$D,'Live Collections'!F3832))</f>
        <v>120000</v>
      </c>
      <c r="S3832" s="304"/>
      <c r="T3832" s="304">
        <f t="shared" si="183"/>
        <v>30000</v>
      </c>
      <c r="U3832" s="52"/>
      <c r="V3832" s="34"/>
      <c r="W3832" s="408"/>
    </row>
    <row r="3833" spans="1:23" ht="12.75" customHeight="1" x14ac:dyDescent="0.2">
      <c r="A3833" s="257">
        <v>3843</v>
      </c>
      <c r="B3833" s="44">
        <v>44664</v>
      </c>
      <c r="C3833" s="44">
        <f t="shared" si="181"/>
        <v>44664</v>
      </c>
      <c r="D3833" s="374">
        <v>333</v>
      </c>
      <c r="E3833" s="291" t="str">
        <f>IFERROR(VLOOKUP($D3833,'Clients-Live'!$A:$C,3,0),"")</f>
        <v>OSORU HELLEN</v>
      </c>
      <c r="F3833" s="291">
        <f>IFERROR(INDEX(Disbursements!$D:$D,MATCH('Live Collections'!G3833,Disbursements!$C:$C,0)),"")</f>
        <v>1</v>
      </c>
      <c r="G3833" s="34">
        <v>472</v>
      </c>
      <c r="H3833" s="34">
        <v>5644</v>
      </c>
      <c r="I3833" s="34" t="s">
        <v>1358</v>
      </c>
      <c r="J3833" s="48"/>
      <c r="K3833" s="48"/>
      <c r="L3833" s="48"/>
      <c r="M3833" s="48"/>
      <c r="N3833" s="59"/>
      <c r="O3833" s="59">
        <v>39400</v>
      </c>
      <c r="P3833" s="59"/>
      <c r="Q3833" s="268">
        <f t="shared" si="182"/>
        <v>39400</v>
      </c>
      <c r="R3833" s="61">
        <f>IF(O3833=0,0,SUMIFS(Disbursements!$T:$T,Disbursements!$B:$B,'Live Collections'!D3833,Disbursements!$D:$D,'Live Collections'!F3833))</f>
        <v>40000</v>
      </c>
      <c r="S3833" s="304">
        <f>IF(O3833&lt;=IF($O3833=0,0,SUMIFS(Disbursements!$W:$W,Disbursements!$B:$B,'Live Collections'!D3833,Disbursements!$D:$D,'Live Collections'!F3833)),O3833,IF($O3833=0,0,SUMIFS(Disbursements!$W:$W,Disbursements!$B:$B,'Live Collections'!D3833,Disbursements!$D:$D,'Live Collections'!F3833)))</f>
        <v>8750</v>
      </c>
      <c r="T3833" s="304">
        <f t="shared" si="183"/>
        <v>30650</v>
      </c>
      <c r="U3833" s="52"/>
      <c r="V3833" s="34"/>
      <c r="W3833" s="408"/>
    </row>
    <row r="3834" spans="1:23" ht="12.75" customHeight="1" x14ac:dyDescent="0.2">
      <c r="A3834" s="257">
        <v>3844</v>
      </c>
      <c r="B3834" s="44">
        <v>44664</v>
      </c>
      <c r="C3834" s="44">
        <f t="shared" si="181"/>
        <v>44664</v>
      </c>
      <c r="D3834" s="374">
        <v>46</v>
      </c>
      <c r="E3834" s="291" t="str">
        <f>IFERROR(VLOOKUP($D3834,'Clients-Live'!$A:$C,3,0),"")</f>
        <v>ALIO YUDA</v>
      </c>
      <c r="F3834" s="291">
        <f>IFERROR(INDEX(Disbursements!$D:$D,MATCH('Live Collections'!G3834,Disbursements!$C:$C,0)),"")</f>
        <v>2</v>
      </c>
      <c r="G3834" s="34">
        <v>400</v>
      </c>
      <c r="H3834" s="34">
        <v>5647</v>
      </c>
      <c r="I3834" s="34" t="s">
        <v>1357</v>
      </c>
      <c r="J3834" s="48"/>
      <c r="K3834" s="48"/>
      <c r="L3834" s="48"/>
      <c r="M3834" s="48"/>
      <c r="N3834" s="59"/>
      <c r="O3834" s="59">
        <v>100000</v>
      </c>
      <c r="P3834" s="59"/>
      <c r="Q3834" s="268">
        <f t="shared" si="182"/>
        <v>100000</v>
      </c>
      <c r="R3834" s="61">
        <f>IF(O3834=0,0,SUMIFS(Disbursements!$T:$T,Disbursements!$B:$B,'Live Collections'!D3834,Disbursements!$D:$D,'Live Collections'!F3834))</f>
        <v>76000</v>
      </c>
      <c r="S3834" s="304">
        <f>IF(O3834&lt;=IF($O3834=0,0,SUMIFS(Disbursements!$W:$W,Disbursements!$B:$B,'Live Collections'!D3834,Disbursements!$D:$D,'Live Collections'!F3834)),O3834,IF($O3834=0,0,SUMIFS(Disbursements!$W:$W,Disbursements!$B:$B,'Live Collections'!D3834,Disbursements!$D:$D,'Live Collections'!F3834)))</f>
        <v>21833.333333333336</v>
      </c>
      <c r="T3834" s="304">
        <f t="shared" si="183"/>
        <v>78166.666666666657</v>
      </c>
      <c r="U3834" s="52"/>
      <c r="V3834" s="34"/>
      <c r="W3834" s="408"/>
    </row>
    <row r="3835" spans="1:23" ht="12.75" customHeight="1" x14ac:dyDescent="0.2">
      <c r="A3835" s="257">
        <v>3845</v>
      </c>
      <c r="B3835" s="44">
        <v>44664</v>
      </c>
      <c r="C3835" s="44">
        <f t="shared" si="181"/>
        <v>44664</v>
      </c>
      <c r="D3835" s="374">
        <v>109</v>
      </c>
      <c r="E3835" s="291" t="str">
        <f>IFERROR(VLOOKUP($D3835,'Clients-Live'!$A:$C,3,0),"")</f>
        <v>TABU KISA</v>
      </c>
      <c r="F3835" s="291">
        <f>IFERROR(INDEX(Disbursements!$D:$D,MATCH('Live Collections'!G3835,Disbursements!$C:$C,0)),"")</f>
        <v>3</v>
      </c>
      <c r="G3835" s="34">
        <v>495</v>
      </c>
      <c r="H3835" s="34">
        <v>5646</v>
      </c>
      <c r="I3835" s="34" t="s">
        <v>1357</v>
      </c>
      <c r="J3835" s="48"/>
      <c r="K3835" s="48"/>
      <c r="L3835" s="48"/>
      <c r="M3835" s="48"/>
      <c r="N3835" s="59"/>
      <c r="O3835" s="59">
        <v>30000</v>
      </c>
      <c r="P3835" s="59"/>
      <c r="Q3835" s="268">
        <f t="shared" si="182"/>
        <v>30000</v>
      </c>
      <c r="R3835" s="61">
        <f>IF(O3835=0,0,SUMIFS(Disbursements!$T:$T,Disbursements!$B:$B,'Live Collections'!D3835,Disbursements!$D:$D,'Live Collections'!F3835))</f>
        <v>30000</v>
      </c>
      <c r="S3835" s="304">
        <f>IF(O3835&lt;=IF($O3835=0,0,SUMIFS(Disbursements!$W:$W,Disbursements!$B:$B,'Live Collections'!D3835,Disbursements!$D:$D,'Live Collections'!F3835)),O3835,IF($O3835=0,0,SUMIFS(Disbursements!$W:$W,Disbursements!$B:$B,'Live Collections'!D3835,Disbursements!$D:$D,'Live Collections'!F3835)))</f>
        <v>5000</v>
      </c>
      <c r="T3835" s="304">
        <f t="shared" si="183"/>
        <v>25000</v>
      </c>
      <c r="U3835" s="52"/>
      <c r="V3835" s="34"/>
      <c r="W3835" s="408"/>
    </row>
    <row r="3836" spans="1:23" ht="12.75" customHeight="1" x14ac:dyDescent="0.2">
      <c r="A3836" s="257">
        <v>3846</v>
      </c>
      <c r="B3836" s="44">
        <v>44664</v>
      </c>
      <c r="C3836" s="44">
        <f t="shared" si="181"/>
        <v>44664</v>
      </c>
      <c r="D3836" s="374">
        <v>77</v>
      </c>
      <c r="E3836" s="291" t="str">
        <f>IFERROR(VLOOKUP($D3836,'Clients-Live'!$A:$C,3,0),"")</f>
        <v>CACA FATUMA</v>
      </c>
      <c r="F3836" s="291">
        <f>IFERROR(INDEX(Disbursements!$D:$D,MATCH('Live Collections'!G3836,Disbursements!$C:$C,0)),"")</f>
        <v>2</v>
      </c>
      <c r="G3836" s="34">
        <v>315</v>
      </c>
      <c r="H3836" s="34">
        <v>5643</v>
      </c>
      <c r="I3836" s="34" t="s">
        <v>1357</v>
      </c>
      <c r="J3836" s="48"/>
      <c r="K3836" s="48"/>
      <c r="L3836" s="48"/>
      <c r="M3836" s="48"/>
      <c r="N3836" s="59"/>
      <c r="O3836" s="59">
        <v>140000</v>
      </c>
      <c r="P3836" s="59"/>
      <c r="Q3836" s="268">
        <f t="shared" si="182"/>
        <v>140000</v>
      </c>
      <c r="R3836" s="61">
        <f>IF(O3836=0,0,SUMIFS(Disbursements!$T:$T,Disbursements!$B:$B,'Live Collections'!D3836,Disbursements!$D:$D,'Live Collections'!F3836))</f>
        <v>325000</v>
      </c>
      <c r="S3836" s="304">
        <v>59333.333333333314</v>
      </c>
      <c r="T3836" s="304">
        <f t="shared" si="183"/>
        <v>80666.666666666686</v>
      </c>
      <c r="U3836" s="52"/>
      <c r="V3836" s="34"/>
      <c r="W3836" s="408"/>
    </row>
    <row r="3837" spans="1:23" ht="12.75" customHeight="1" x14ac:dyDescent="0.2">
      <c r="A3837" s="257">
        <v>3847</v>
      </c>
      <c r="B3837" s="44">
        <v>44664</v>
      </c>
      <c r="C3837" s="44">
        <f t="shared" si="181"/>
        <v>44664</v>
      </c>
      <c r="D3837" s="374">
        <v>352</v>
      </c>
      <c r="E3837" s="291" t="str">
        <f>IFERROR(VLOOKUP($D3837,'Clients-Live'!$A:$C,3,0),"")</f>
        <v>AHMEDSALIM</v>
      </c>
      <c r="F3837" s="291" t="str">
        <f>IFERROR(INDEX(Disbursements!$D:$D,MATCH('Live Collections'!G3837,Disbursements!$C:$C,0)),"")</f>
        <v/>
      </c>
      <c r="G3837" s="34"/>
      <c r="H3837" s="34">
        <v>5556</v>
      </c>
      <c r="I3837" s="34" t="s">
        <v>1760</v>
      </c>
      <c r="J3837" s="48">
        <v>15000</v>
      </c>
      <c r="K3837" s="48">
        <v>5000</v>
      </c>
      <c r="L3837" s="48"/>
      <c r="M3837" s="48"/>
      <c r="N3837" s="59"/>
      <c r="O3837" s="59"/>
      <c r="P3837" s="59"/>
      <c r="Q3837" s="268">
        <f t="shared" si="182"/>
        <v>20000</v>
      </c>
      <c r="R3837" s="61">
        <f>IF(O3837=0,0,SUMIFS(Disbursements!$T:$T,Disbursements!$B:$B,'Live Collections'!D3837,Disbursements!$D:$D,'Live Collections'!F3837))</f>
        <v>0</v>
      </c>
      <c r="S3837" s="304">
        <f>IF(O3837&lt;=IF($O3837=0,0,SUMIFS(Disbursements!$W:$W,Disbursements!$B:$B,'Live Collections'!D3837,Disbursements!$D:$D,'Live Collections'!F3837)),O3837,IF($O3837=0,0,SUMIFS(Disbursements!$W:$W,Disbursements!$B:$B,'Live Collections'!D3837,Disbursements!$D:$D,'Live Collections'!F3837)))</f>
        <v>0</v>
      </c>
      <c r="T3837" s="304">
        <f t="shared" si="183"/>
        <v>0</v>
      </c>
      <c r="U3837" s="52"/>
      <c r="V3837" s="34"/>
      <c r="W3837" s="408"/>
    </row>
    <row r="3838" spans="1:23" ht="12.75" customHeight="1" x14ac:dyDescent="0.2">
      <c r="A3838" s="257">
        <v>3848</v>
      </c>
      <c r="B3838" s="44">
        <v>44664</v>
      </c>
      <c r="C3838" s="44">
        <f t="shared" si="181"/>
        <v>44664</v>
      </c>
      <c r="D3838" s="374">
        <v>35</v>
      </c>
      <c r="E3838" s="291" t="str">
        <f>IFERROR(VLOOKUP($D3838,'Clients-Live'!$A:$C,3,0),"")</f>
        <v>ALEZUYO DOCUS</v>
      </c>
      <c r="F3838" s="291">
        <f>IFERROR(INDEX(Disbursements!$D:$D,MATCH('Live Collections'!G3838,Disbursements!$C:$C,0)),"")</f>
        <v>2</v>
      </c>
      <c r="G3838" s="34">
        <v>155</v>
      </c>
      <c r="H3838" s="34">
        <v>5642</v>
      </c>
      <c r="I3838" s="34" t="s">
        <v>1359</v>
      </c>
      <c r="J3838" s="48"/>
      <c r="K3838" s="48"/>
      <c r="L3838" s="48"/>
      <c r="M3838" s="48"/>
      <c r="N3838" s="59"/>
      <c r="O3838" s="59">
        <v>30000</v>
      </c>
      <c r="P3838" s="59"/>
      <c r="Q3838" s="268">
        <f t="shared" si="182"/>
        <v>30000</v>
      </c>
      <c r="R3838" s="61">
        <f>IF(O3838=0,0,SUMIFS(Disbursements!$T:$T,Disbursements!$B:$B,'Live Collections'!D3838,Disbursements!$D:$D,'Live Collections'!F3838))</f>
        <v>250000</v>
      </c>
      <c r="S3838" s="304">
        <f>IF(O3838&lt;=IF($O3838=0,0,SUMIFS(Disbursements!$W:$W,Disbursements!$B:$B,'Live Collections'!D3838,Disbursements!$D:$D,'Live Collections'!F3838)),O3838,IF($O3838=0,0,SUMIFS(Disbursements!$W:$W,Disbursements!$B:$B,'Live Collections'!D3838,Disbursements!$D:$D,'Live Collections'!F3838)))</f>
        <v>30000</v>
      </c>
      <c r="T3838" s="304">
        <f t="shared" si="183"/>
        <v>0</v>
      </c>
      <c r="U3838" s="52"/>
      <c r="V3838" s="34"/>
      <c r="W3838" s="408"/>
    </row>
    <row r="3839" spans="1:23" ht="12.75" customHeight="1" x14ac:dyDescent="0.2">
      <c r="A3839" s="257">
        <v>3849</v>
      </c>
      <c r="B3839" s="44">
        <v>44665</v>
      </c>
      <c r="C3839" s="44">
        <f t="shared" ref="C3839:C3902" si="184">B3839</f>
        <v>44665</v>
      </c>
      <c r="D3839" s="374">
        <v>74</v>
      </c>
      <c r="E3839" s="291" t="str">
        <f>IFERROR(VLOOKUP($D3839,'Clients-Live'!$A:$C,3,0),"")</f>
        <v>YUKUWE AISHA</v>
      </c>
      <c r="F3839" s="291">
        <f>IFERROR(INDEX(Disbursements!$D:$D,MATCH('Live Collections'!G3839,Disbursements!$C:$C,0)),"")</f>
        <v>3</v>
      </c>
      <c r="G3839" s="34">
        <v>447</v>
      </c>
      <c r="H3839" s="34">
        <v>5462</v>
      </c>
      <c r="I3839" s="34" t="s">
        <v>1358</v>
      </c>
      <c r="J3839" s="48"/>
      <c r="K3839" s="48"/>
      <c r="L3839" s="48"/>
      <c r="M3839" s="48"/>
      <c r="N3839" s="59"/>
      <c r="O3839" s="59">
        <v>16000</v>
      </c>
      <c r="P3839" s="59"/>
      <c r="Q3839" s="268">
        <f t="shared" si="182"/>
        <v>16000</v>
      </c>
      <c r="R3839" s="61">
        <f>IF(O3839=0,0,SUMIFS(Disbursements!$T:$T,Disbursements!$B:$B,'Live Collections'!D3839,Disbursements!$D:$D,'Live Collections'!F3839))</f>
        <v>16000</v>
      </c>
      <c r="S3839" s="304">
        <f>IF(O3839&lt;=IF($O3839=0,0,SUMIFS(Disbursements!$W:$W,Disbursements!$B:$B,'Live Collections'!D3839,Disbursements!$D:$D,'Live Collections'!F3839)),O3839,IF($O3839=0,0,SUMIFS(Disbursements!$W:$W,Disbursements!$B:$B,'Live Collections'!D3839,Disbursements!$D:$D,'Live Collections'!F3839)))</f>
        <v>3500</v>
      </c>
      <c r="T3839" s="304">
        <f t="shared" si="183"/>
        <v>12500</v>
      </c>
      <c r="U3839" s="52"/>
      <c r="V3839" s="34"/>
      <c r="W3839" s="408"/>
    </row>
    <row r="3840" spans="1:23" ht="12.75" customHeight="1" x14ac:dyDescent="0.2">
      <c r="A3840" s="257">
        <v>3850</v>
      </c>
      <c r="B3840" s="44">
        <v>44665</v>
      </c>
      <c r="C3840" s="44">
        <f t="shared" si="184"/>
        <v>44665</v>
      </c>
      <c r="D3840" s="374">
        <v>126</v>
      </c>
      <c r="E3840" s="291" t="str">
        <f>IFERROR(VLOOKUP($D3840,'Clients-Live'!$A:$C,3,0),"")</f>
        <v>OGWAL STEPHEN GERALD</v>
      </c>
      <c r="F3840" s="291">
        <f>IFERROR(INDEX(Disbursements!$D:$D,MATCH('Live Collections'!G3840,Disbursements!$C:$C,0)),"")</f>
        <v>4</v>
      </c>
      <c r="G3840" s="34">
        <v>445</v>
      </c>
      <c r="H3840" s="34">
        <v>5461</v>
      </c>
      <c r="I3840" s="34" t="s">
        <v>1359</v>
      </c>
      <c r="J3840" s="48"/>
      <c r="K3840" s="48"/>
      <c r="L3840" s="48"/>
      <c r="M3840" s="48"/>
      <c r="N3840" s="59"/>
      <c r="O3840" s="59">
        <v>800000</v>
      </c>
      <c r="P3840" s="59"/>
      <c r="Q3840" s="268">
        <f t="shared" si="182"/>
        <v>800000</v>
      </c>
      <c r="R3840" s="61">
        <f>IF(O3840=0,0,SUMIFS(Disbursements!$T:$T,Disbursements!$B:$B,'Live Collections'!D3840,Disbursements!$D:$D,'Live Collections'!F3840))</f>
        <v>613000</v>
      </c>
      <c r="S3840" s="304">
        <f>IF(O3840&lt;=IF($O3840=0,0,SUMIFS(Disbursements!$W:$W,Disbursements!$B:$B,'Live Collections'!D3840,Disbursements!$D:$D,'Live Collections'!F3840)),O3840,IF($O3840=0,0,SUMIFS(Disbursements!$W:$W,Disbursements!$B:$B,'Live Collections'!D3840,Disbursements!$D:$D,'Live Collections'!F3840)))</f>
        <v>113000</v>
      </c>
      <c r="T3840" s="304">
        <f t="shared" si="183"/>
        <v>687000</v>
      </c>
      <c r="U3840" s="52"/>
      <c r="V3840" s="34"/>
      <c r="W3840" s="408"/>
    </row>
    <row r="3841" spans="1:23" ht="12.75" customHeight="1" x14ac:dyDescent="0.2">
      <c r="A3841" s="257">
        <v>3851</v>
      </c>
      <c r="B3841" s="44">
        <v>44665</v>
      </c>
      <c r="C3841" s="44">
        <f t="shared" si="184"/>
        <v>44665</v>
      </c>
      <c r="D3841" s="374">
        <v>303</v>
      </c>
      <c r="E3841" s="291" t="str">
        <f>IFERROR(VLOOKUP($D3841,'Clients-Live'!$A:$C,3,0),"")</f>
        <v>APAYI DOROTHY</v>
      </c>
      <c r="F3841" s="291">
        <f>IFERROR(INDEX(Disbursements!$D:$D,MATCH('Live Collections'!G3841,Disbursements!$C:$C,0)),"")</f>
        <v>1</v>
      </c>
      <c r="G3841" s="34">
        <v>399</v>
      </c>
      <c r="H3841" s="34">
        <v>5458</v>
      </c>
      <c r="I3841" s="34" t="s">
        <v>1359</v>
      </c>
      <c r="J3841" s="48"/>
      <c r="K3841" s="48"/>
      <c r="L3841" s="48"/>
      <c r="M3841" s="48"/>
      <c r="N3841" s="59"/>
      <c r="O3841" s="59">
        <v>30000</v>
      </c>
      <c r="P3841" s="59"/>
      <c r="Q3841" s="268">
        <f t="shared" si="182"/>
        <v>30000</v>
      </c>
      <c r="R3841" s="61">
        <f>IF(O3841=0,0,SUMIFS(Disbursements!$T:$T,Disbursements!$B:$B,'Live Collections'!D3841,Disbursements!$D:$D,'Live Collections'!F3841))</f>
        <v>40000</v>
      </c>
      <c r="S3841" s="304"/>
      <c r="T3841" s="304">
        <f t="shared" si="183"/>
        <v>30000</v>
      </c>
      <c r="U3841" s="52"/>
      <c r="V3841" s="34"/>
      <c r="W3841" s="408"/>
    </row>
    <row r="3842" spans="1:23" ht="12.75" customHeight="1" x14ac:dyDescent="0.2">
      <c r="A3842" s="257">
        <v>3852</v>
      </c>
      <c r="B3842" s="44">
        <v>44665</v>
      </c>
      <c r="C3842" s="44">
        <f t="shared" si="184"/>
        <v>44665</v>
      </c>
      <c r="D3842" s="374">
        <v>55</v>
      </c>
      <c r="E3842" s="291" t="str">
        <f>IFERROR(VLOOKUP($D3842,'Clients-Live'!$A:$C,3,0),"")</f>
        <v>SOKOLA SHARON</v>
      </c>
      <c r="F3842" s="291">
        <f>IFERROR(INDEX(Disbursements!$D:$D,MATCH('Live Collections'!G3842,Disbursements!$C:$C,0)),"")</f>
        <v>2</v>
      </c>
      <c r="G3842" s="34">
        <v>288</v>
      </c>
      <c r="H3842" s="34">
        <v>5460</v>
      </c>
      <c r="I3842" s="34" t="s">
        <v>1359</v>
      </c>
      <c r="J3842" s="48"/>
      <c r="K3842" s="48"/>
      <c r="L3842" s="48"/>
      <c r="M3842" s="48"/>
      <c r="N3842" s="59"/>
      <c r="O3842" s="59">
        <v>10000</v>
      </c>
      <c r="P3842" s="59"/>
      <c r="Q3842" s="268">
        <f t="shared" si="182"/>
        <v>10000</v>
      </c>
      <c r="R3842" s="61">
        <f>IF(O3842=0,0,SUMIFS(Disbursements!$T:$T,Disbursements!$B:$B,'Live Collections'!D3842,Disbursements!$D:$D,'Live Collections'!F3842))</f>
        <v>210000</v>
      </c>
      <c r="S3842" s="304"/>
      <c r="T3842" s="304">
        <f t="shared" si="183"/>
        <v>10000</v>
      </c>
      <c r="U3842" s="52"/>
      <c r="V3842" s="34"/>
      <c r="W3842" s="408"/>
    </row>
    <row r="3843" spans="1:23" ht="12.75" customHeight="1" x14ac:dyDescent="0.2">
      <c r="A3843" s="257">
        <v>3853</v>
      </c>
      <c r="B3843" s="44">
        <v>44665</v>
      </c>
      <c r="C3843" s="44">
        <f t="shared" si="184"/>
        <v>44665</v>
      </c>
      <c r="D3843" s="374">
        <v>218</v>
      </c>
      <c r="E3843" s="291" t="str">
        <f>IFERROR(VLOOKUP($D3843,'Clients-Live'!$A:$C,3,0),"")</f>
        <v>BUSURA OMAR</v>
      </c>
      <c r="F3843" s="291">
        <f>IFERROR(INDEX(Disbursements!$D:$D,MATCH('Live Collections'!G3843,Disbursements!$C:$C,0)),"")</f>
        <v>2</v>
      </c>
      <c r="G3843" s="34">
        <v>456</v>
      </c>
      <c r="H3843" s="34">
        <v>5459</v>
      </c>
      <c r="I3843" s="34" t="s">
        <v>1357</v>
      </c>
      <c r="J3843" s="48"/>
      <c r="K3843" s="48"/>
      <c r="L3843" s="48"/>
      <c r="M3843" s="48"/>
      <c r="N3843" s="59"/>
      <c r="O3843" s="59">
        <v>100000</v>
      </c>
      <c r="P3843" s="59"/>
      <c r="Q3843" s="268">
        <f t="shared" si="182"/>
        <v>100000</v>
      </c>
      <c r="R3843" s="61">
        <f>IF(O3843=0,0,SUMIFS(Disbursements!$T:$T,Disbursements!$B:$B,'Live Collections'!D3843,Disbursements!$D:$D,'Live Collections'!F3843))</f>
        <v>35000</v>
      </c>
      <c r="S3843" s="304">
        <f>IF(O3843&lt;=IF($O3843=0,0,SUMIFS(Disbursements!$W:$W,Disbursements!$B:$B,'Live Collections'!D3843,Disbursements!$D:$D,'Live Collections'!F3843)),O3843,IF($O3843=0,0,SUMIFS(Disbursements!$W:$W,Disbursements!$B:$B,'Live Collections'!D3843,Disbursements!$D:$D,'Live Collections'!F3843)))</f>
        <v>10000</v>
      </c>
      <c r="T3843" s="304">
        <f t="shared" si="183"/>
        <v>90000</v>
      </c>
      <c r="U3843" s="52"/>
      <c r="V3843" s="34"/>
      <c r="W3843" s="408"/>
    </row>
    <row r="3844" spans="1:23" ht="12.75" customHeight="1" x14ac:dyDescent="0.2">
      <c r="A3844" s="257">
        <v>3854</v>
      </c>
      <c r="B3844" s="44">
        <v>44665</v>
      </c>
      <c r="C3844" s="44">
        <f t="shared" si="184"/>
        <v>44665</v>
      </c>
      <c r="D3844" s="374">
        <v>352</v>
      </c>
      <c r="E3844" s="291" t="str">
        <f>IFERROR(VLOOKUP($D3844,'Clients-Live'!$A:$C,3,0),"")</f>
        <v>AHMEDSALIM</v>
      </c>
      <c r="F3844" s="291" t="str">
        <f>IFERROR(INDEX(Disbursements!$D:$D,MATCH('Live Collections'!G3844,Disbursements!$C:$C,0)),"")</f>
        <v/>
      </c>
      <c r="G3844" s="34"/>
      <c r="H3844" s="34">
        <v>5457</v>
      </c>
      <c r="I3844" s="34" t="s">
        <v>1358</v>
      </c>
      <c r="J3844" s="48"/>
      <c r="K3844" s="48"/>
      <c r="L3844" s="48">
        <v>20000</v>
      </c>
      <c r="M3844" s="48">
        <v>5000</v>
      </c>
      <c r="N3844" s="59"/>
      <c r="O3844" s="59"/>
      <c r="P3844" s="59"/>
      <c r="Q3844" s="268">
        <f t="shared" si="182"/>
        <v>25000</v>
      </c>
      <c r="R3844" s="61">
        <f>IF(O3844=0,0,SUMIFS(Disbursements!$T:$T,Disbursements!$B:$B,'Live Collections'!D3844,Disbursements!$D:$D,'Live Collections'!F3844))</f>
        <v>0</v>
      </c>
      <c r="S3844" s="304">
        <f>IF(O3844&lt;=IF($O3844=0,0,SUMIFS(Disbursements!$W:$W,Disbursements!$B:$B,'Live Collections'!D3844,Disbursements!$D:$D,'Live Collections'!F3844)),O3844,IF($O3844=0,0,SUMIFS(Disbursements!$W:$W,Disbursements!$B:$B,'Live Collections'!D3844,Disbursements!$D:$D,'Live Collections'!F3844)))</f>
        <v>0</v>
      </c>
      <c r="T3844" s="304">
        <f t="shared" si="183"/>
        <v>0</v>
      </c>
      <c r="U3844" s="52"/>
      <c r="V3844" s="34"/>
      <c r="W3844" s="408"/>
    </row>
    <row r="3845" spans="1:23" ht="12.75" customHeight="1" x14ac:dyDescent="0.2">
      <c r="A3845" s="257">
        <v>3855</v>
      </c>
      <c r="B3845" s="44">
        <v>44665</v>
      </c>
      <c r="C3845" s="44">
        <f t="shared" si="184"/>
        <v>44665</v>
      </c>
      <c r="D3845" s="374">
        <v>119</v>
      </c>
      <c r="E3845" s="291" t="str">
        <f>IFERROR(VLOOKUP($D3845,'Clients-Live'!$A:$C,3,0),"")</f>
        <v>STELLA KONGAI</v>
      </c>
      <c r="F3845" s="291" t="str">
        <f>IFERROR(INDEX(Disbursements!$D:$D,MATCH('Live Collections'!G3845,Disbursements!$C:$C,0)),"")</f>
        <v/>
      </c>
      <c r="G3845" s="34"/>
      <c r="H3845" s="34">
        <v>5455</v>
      </c>
      <c r="I3845" s="34" t="s">
        <v>1359</v>
      </c>
      <c r="J3845" s="48"/>
      <c r="K3845" s="48"/>
      <c r="L3845" s="48"/>
      <c r="M3845" s="48"/>
      <c r="N3845" s="59">
        <v>30000</v>
      </c>
      <c r="O3845" s="59"/>
      <c r="P3845" s="59"/>
      <c r="Q3845" s="268">
        <f t="shared" si="182"/>
        <v>30000</v>
      </c>
      <c r="R3845" s="61">
        <f>IF(O3845=0,0,SUMIFS(Disbursements!$T:$T,Disbursements!$B:$B,'Live Collections'!D3845,Disbursements!$D:$D,'Live Collections'!F3845))</f>
        <v>0</v>
      </c>
      <c r="S3845" s="304">
        <f>IF(O3845&lt;=IF($O3845=0,0,SUMIFS(Disbursements!$W:$W,Disbursements!$B:$B,'Live Collections'!D3845,Disbursements!$D:$D,'Live Collections'!F3845)),O3845,IF($O3845=0,0,SUMIFS(Disbursements!$W:$W,Disbursements!$B:$B,'Live Collections'!D3845,Disbursements!$D:$D,'Live Collections'!F3845)))</f>
        <v>0</v>
      </c>
      <c r="T3845" s="304">
        <f t="shared" si="183"/>
        <v>0</v>
      </c>
      <c r="U3845" s="52"/>
      <c r="V3845" s="34"/>
      <c r="W3845" s="408"/>
    </row>
    <row r="3846" spans="1:23" ht="12.75" customHeight="1" x14ac:dyDescent="0.2">
      <c r="A3846" s="257">
        <v>3856</v>
      </c>
      <c r="B3846" s="44">
        <v>44665</v>
      </c>
      <c r="C3846" s="44">
        <f t="shared" si="184"/>
        <v>44665</v>
      </c>
      <c r="D3846" s="374">
        <v>119</v>
      </c>
      <c r="E3846" s="291" t="str">
        <f>IFERROR(VLOOKUP($D3846,'Clients-Live'!$A:$C,3,0),"")</f>
        <v>STELLA KONGAI</v>
      </c>
      <c r="F3846" s="291">
        <f>IFERROR(INDEX(Disbursements!$D:$D,MATCH('Live Collections'!G3846,Disbursements!$C:$C,0)),"")</f>
        <v>3</v>
      </c>
      <c r="G3846" s="34">
        <v>430</v>
      </c>
      <c r="H3846" s="34">
        <v>4799</v>
      </c>
      <c r="I3846" s="34" t="s">
        <v>1359</v>
      </c>
      <c r="J3846" s="48"/>
      <c r="K3846" s="48"/>
      <c r="L3846" s="48"/>
      <c r="M3846" s="48"/>
      <c r="N3846" s="59"/>
      <c r="O3846" s="59">
        <v>85000</v>
      </c>
      <c r="P3846" s="59"/>
      <c r="Q3846" s="268">
        <f t="shared" si="182"/>
        <v>85000</v>
      </c>
      <c r="R3846" s="61">
        <f>IF(O3846=0,0,SUMIFS(Disbursements!$T:$T,Disbursements!$B:$B,'Live Collections'!D3846,Disbursements!$D:$D,'Live Collections'!F3846))</f>
        <v>645000</v>
      </c>
      <c r="S3846" s="304"/>
      <c r="T3846" s="304">
        <f t="shared" si="183"/>
        <v>85000</v>
      </c>
      <c r="U3846" s="52"/>
      <c r="V3846" s="34"/>
      <c r="W3846" s="408"/>
    </row>
    <row r="3847" spans="1:23" ht="12.75" customHeight="1" x14ac:dyDescent="0.2">
      <c r="A3847" s="257">
        <v>3857</v>
      </c>
      <c r="B3847" s="44">
        <v>44665</v>
      </c>
      <c r="C3847" s="44">
        <f t="shared" si="184"/>
        <v>44665</v>
      </c>
      <c r="D3847" s="374">
        <v>151</v>
      </c>
      <c r="E3847" s="291" t="str">
        <f>IFERROR(VLOOKUP($D3847,'Clients-Live'!$A:$C,3,0),"")</f>
        <v>MORRO HASSAN</v>
      </c>
      <c r="F3847" s="291">
        <f>IFERROR(INDEX(Disbursements!$D:$D,MATCH('Live Collections'!G3847,Disbursements!$C:$C,0)),"")</f>
        <v>3</v>
      </c>
      <c r="G3847" s="34">
        <v>312</v>
      </c>
      <c r="H3847" s="34">
        <v>5456</v>
      </c>
      <c r="I3847" s="34" t="s">
        <v>1359</v>
      </c>
      <c r="J3847" s="48"/>
      <c r="K3847" s="48"/>
      <c r="L3847" s="48"/>
      <c r="M3847" s="48"/>
      <c r="N3847" s="59"/>
      <c r="O3847" s="59">
        <v>120000</v>
      </c>
      <c r="P3847" s="59"/>
      <c r="Q3847" s="268">
        <f t="shared" si="182"/>
        <v>120000</v>
      </c>
      <c r="R3847" s="61">
        <f>IF(O3847=0,0,SUMIFS(Disbursements!$T:$T,Disbursements!$B:$B,'Live Collections'!D3847,Disbursements!$D:$D,'Live Collections'!F3847))</f>
        <v>600000</v>
      </c>
      <c r="S3847" s="304"/>
      <c r="T3847" s="304">
        <f t="shared" si="183"/>
        <v>120000</v>
      </c>
      <c r="U3847" s="52"/>
      <c r="V3847" s="34"/>
      <c r="W3847" s="408"/>
    </row>
    <row r="3848" spans="1:23" ht="12.75" customHeight="1" x14ac:dyDescent="0.2">
      <c r="A3848" s="257">
        <v>3858</v>
      </c>
      <c r="B3848" s="44">
        <v>44665</v>
      </c>
      <c r="C3848" s="44">
        <f t="shared" si="184"/>
        <v>44665</v>
      </c>
      <c r="D3848" s="374">
        <v>119</v>
      </c>
      <c r="E3848" s="291" t="str">
        <f>IFERROR(VLOOKUP($D3848,'Clients-Live'!$A:$C,3,0),"")</f>
        <v>STELLA KONGAI</v>
      </c>
      <c r="F3848" s="291">
        <f>IFERROR(INDEX(Disbursements!$D:$D,MATCH('Live Collections'!G3848,Disbursements!$C:$C,0)),"")</f>
        <v>3</v>
      </c>
      <c r="G3848" s="34">
        <v>430</v>
      </c>
      <c r="H3848" s="34" t="s">
        <v>2308</v>
      </c>
      <c r="I3848" s="34" t="s">
        <v>1359</v>
      </c>
      <c r="J3848" s="48"/>
      <c r="K3848" s="48"/>
      <c r="L3848" s="48"/>
      <c r="M3848" s="48"/>
      <c r="N3848" s="59"/>
      <c r="O3848" s="59">
        <v>60000</v>
      </c>
      <c r="P3848" s="59">
        <v>-60000</v>
      </c>
      <c r="Q3848" s="268">
        <f t="shared" si="182"/>
        <v>0</v>
      </c>
      <c r="R3848" s="61">
        <f>IF(O3848=0,0,SUMIFS(Disbursements!$T:$T,Disbursements!$B:$B,'Live Collections'!D3848,Disbursements!$D:$D,'Live Collections'!F3848))</f>
        <v>645000</v>
      </c>
      <c r="S3848" s="304"/>
      <c r="T3848" s="304">
        <f t="shared" si="183"/>
        <v>60000</v>
      </c>
      <c r="U3848" s="52"/>
      <c r="V3848" s="34"/>
      <c r="W3848" s="408"/>
    </row>
    <row r="3849" spans="1:23" ht="12.75" customHeight="1" x14ac:dyDescent="0.2">
      <c r="A3849" s="257">
        <v>3859</v>
      </c>
      <c r="B3849" s="44">
        <v>44665</v>
      </c>
      <c r="C3849" s="44">
        <f t="shared" si="184"/>
        <v>44665</v>
      </c>
      <c r="D3849" s="374">
        <v>340</v>
      </c>
      <c r="E3849" s="291" t="str">
        <f>IFERROR(VLOOKUP($D3849,'Clients-Live'!$A:$C,3,0),"")</f>
        <v>NIGHT RAIMA</v>
      </c>
      <c r="F3849" s="291">
        <f>IFERROR(INDEX(Disbursements!$D:$D,MATCH('Live Collections'!G3849,Disbursements!$C:$C,0)),"")</f>
        <v>1</v>
      </c>
      <c r="G3849" s="34">
        <v>481</v>
      </c>
      <c r="H3849" s="34">
        <v>5573</v>
      </c>
      <c r="I3849" s="34" t="s">
        <v>1358</v>
      </c>
      <c r="J3849" s="48"/>
      <c r="K3849" s="48"/>
      <c r="L3849" s="48"/>
      <c r="M3849" s="48"/>
      <c r="N3849" s="59"/>
      <c r="O3849" s="59">
        <v>40000</v>
      </c>
      <c r="P3849" s="59"/>
      <c r="Q3849" s="268">
        <f t="shared" si="182"/>
        <v>40000</v>
      </c>
      <c r="R3849" s="61">
        <f>IF(O3849=0,0,SUMIFS(Disbursements!$T:$T,Disbursements!$B:$B,'Live Collections'!D3849,Disbursements!$D:$D,'Live Collections'!F3849))</f>
        <v>40000</v>
      </c>
      <c r="S3849" s="304">
        <f>IF(O3849&lt;=IF($O3849=0,0,SUMIFS(Disbursements!$W:$W,Disbursements!$B:$B,'Live Collections'!D3849,Disbursements!$D:$D,'Live Collections'!F3849)),O3849,IF($O3849=0,0,SUMIFS(Disbursements!$W:$W,Disbursements!$B:$B,'Live Collections'!D3849,Disbursements!$D:$D,'Live Collections'!F3849)))</f>
        <v>10000</v>
      </c>
      <c r="T3849" s="304">
        <f t="shared" si="183"/>
        <v>30000</v>
      </c>
      <c r="U3849" s="52"/>
      <c r="V3849" s="34"/>
      <c r="W3849" s="408"/>
    </row>
    <row r="3850" spans="1:23" ht="12.75" customHeight="1" x14ac:dyDescent="0.2">
      <c r="A3850" s="257">
        <v>3860</v>
      </c>
      <c r="B3850" s="44">
        <v>44665</v>
      </c>
      <c r="C3850" s="44">
        <f t="shared" si="184"/>
        <v>44665</v>
      </c>
      <c r="D3850" s="374">
        <v>164</v>
      </c>
      <c r="E3850" s="291" t="str">
        <f>IFERROR(VLOOKUP($D3850,'Clients-Live'!$A:$C,3,0),"")</f>
        <v>ARIKE SWAIB</v>
      </c>
      <c r="F3850" s="291">
        <f>IFERROR(INDEX(Disbursements!$D:$D,MATCH('Live Collections'!G3850,Disbursements!$C:$C,0)),"")</f>
        <v>2</v>
      </c>
      <c r="G3850" s="34">
        <v>508</v>
      </c>
      <c r="H3850" s="34">
        <v>5572</v>
      </c>
      <c r="I3850" s="34" t="s">
        <v>1357</v>
      </c>
      <c r="J3850" s="48"/>
      <c r="K3850" s="48"/>
      <c r="L3850" s="48"/>
      <c r="M3850" s="48"/>
      <c r="N3850" s="59"/>
      <c r="O3850" s="59">
        <v>100000</v>
      </c>
      <c r="P3850" s="59"/>
      <c r="Q3850" s="268">
        <f t="shared" si="182"/>
        <v>100000</v>
      </c>
      <c r="R3850" s="61">
        <f>IF(O3850=0,0,SUMIFS(Disbursements!$T:$T,Disbursements!$B:$B,'Live Collections'!D3850,Disbursements!$D:$D,'Live Collections'!F3850))</f>
        <v>90000</v>
      </c>
      <c r="S3850" s="304">
        <f>IF(O3850&lt;=IF($O3850=0,0,SUMIFS(Disbursements!$W:$W,Disbursements!$B:$B,'Live Collections'!D3850,Disbursements!$D:$D,'Live Collections'!F3850)),O3850,IF($O3850=0,0,SUMIFS(Disbursements!$W:$W,Disbursements!$B:$B,'Live Collections'!D3850,Disbursements!$D:$D,'Live Collections'!F3850)))</f>
        <v>25416.666666666664</v>
      </c>
      <c r="T3850" s="304">
        <f t="shared" si="183"/>
        <v>74583.333333333343</v>
      </c>
      <c r="U3850" s="52"/>
      <c r="V3850" s="34"/>
      <c r="W3850" s="408"/>
    </row>
    <row r="3851" spans="1:23" ht="12.75" customHeight="1" x14ac:dyDescent="0.2">
      <c r="A3851" s="257">
        <v>3861</v>
      </c>
      <c r="B3851" s="44">
        <v>44665</v>
      </c>
      <c r="C3851" s="44">
        <f t="shared" si="184"/>
        <v>44665</v>
      </c>
      <c r="D3851" s="374">
        <v>9</v>
      </c>
      <c r="E3851" s="291" t="str">
        <f>IFERROR(VLOOKUP($D3851,'Clients-Live'!$A:$C,3,0),"")</f>
        <v>TABAN DAVID YAYA</v>
      </c>
      <c r="F3851" s="291" t="str">
        <f>IFERROR(INDEX(Disbursements!$D:$D,MATCH('Live Collections'!G3851,Disbursements!$C:$C,0)),"")</f>
        <v/>
      </c>
      <c r="G3851" s="34"/>
      <c r="H3851" s="34">
        <v>4798</v>
      </c>
      <c r="I3851" s="34" t="s">
        <v>1357</v>
      </c>
      <c r="J3851" s="48"/>
      <c r="K3851" s="48">
        <v>5000</v>
      </c>
      <c r="L3851" s="48"/>
      <c r="M3851" s="48"/>
      <c r="N3851" s="59"/>
      <c r="O3851" s="59"/>
      <c r="P3851" s="59"/>
      <c r="Q3851" s="268">
        <f t="shared" si="182"/>
        <v>5000</v>
      </c>
      <c r="R3851" s="61">
        <f>IF(O3851=0,0,SUMIFS(Disbursements!$T:$T,Disbursements!$B:$B,'Live Collections'!D3851,Disbursements!$D:$D,'Live Collections'!F3851))</f>
        <v>0</v>
      </c>
      <c r="S3851" s="304">
        <f>IF(O3851&lt;=IF($O3851=0,0,SUMIFS(Disbursements!$W:$W,Disbursements!$B:$B,'Live Collections'!D3851,Disbursements!$D:$D,'Live Collections'!F3851)),O3851,IF($O3851=0,0,SUMIFS(Disbursements!$W:$W,Disbursements!$B:$B,'Live Collections'!D3851,Disbursements!$D:$D,'Live Collections'!F3851)))</f>
        <v>0</v>
      </c>
      <c r="T3851" s="304">
        <f t="shared" si="183"/>
        <v>0</v>
      </c>
      <c r="U3851" s="52"/>
      <c r="V3851" s="34"/>
      <c r="W3851" s="408"/>
    </row>
    <row r="3852" spans="1:23" ht="12.75" customHeight="1" x14ac:dyDescent="0.2">
      <c r="A3852" s="257">
        <v>3862</v>
      </c>
      <c r="B3852" s="44">
        <v>44665</v>
      </c>
      <c r="C3852" s="44">
        <f t="shared" si="184"/>
        <v>44665</v>
      </c>
      <c r="D3852" s="374">
        <v>169</v>
      </c>
      <c r="E3852" s="291" t="str">
        <f>IFERROR(VLOOKUP($D3852,'Clients-Live'!$A:$C,3,0),"")</f>
        <v>KATO KENNEDY</v>
      </c>
      <c r="F3852" s="291">
        <f>IFERROR(INDEX(Disbursements!$D:$D,MATCH('Live Collections'!G3852,Disbursements!$C:$C,0)),"")</f>
        <v>2</v>
      </c>
      <c r="G3852" s="34">
        <v>394</v>
      </c>
      <c r="H3852" s="34">
        <v>5571</v>
      </c>
      <c r="I3852" s="34" t="s">
        <v>1357</v>
      </c>
      <c r="J3852" s="48"/>
      <c r="K3852" s="48"/>
      <c r="L3852" s="48"/>
      <c r="M3852" s="48"/>
      <c r="N3852" s="59"/>
      <c r="O3852" s="59">
        <v>58000</v>
      </c>
      <c r="P3852" s="59"/>
      <c r="Q3852" s="268">
        <f t="shared" si="182"/>
        <v>58000</v>
      </c>
      <c r="R3852" s="61">
        <f>IF(O3852=0,0,SUMIFS(Disbursements!$T:$T,Disbursements!$B:$B,'Live Collections'!D3852,Disbursements!$D:$D,'Live Collections'!F3852))</f>
        <v>58000</v>
      </c>
      <c r="S3852" s="304">
        <f>IF(O3852&lt;=IF($O3852=0,0,SUMIFS(Disbursements!$W:$W,Disbursements!$B:$B,'Live Collections'!D3852,Disbursements!$D:$D,'Live Collections'!F3852)),O3852,IF($O3852=0,0,SUMIFS(Disbursements!$W:$W,Disbursements!$B:$B,'Live Collections'!D3852,Disbursements!$D:$D,'Live Collections'!F3852)))</f>
        <v>16333.333333333336</v>
      </c>
      <c r="T3852" s="304">
        <f t="shared" si="183"/>
        <v>41666.666666666664</v>
      </c>
      <c r="U3852" s="52"/>
      <c r="V3852" s="34"/>
      <c r="W3852" s="408"/>
    </row>
    <row r="3853" spans="1:23" ht="12.75" customHeight="1" x14ac:dyDescent="0.2">
      <c r="A3853" s="257">
        <v>3863</v>
      </c>
      <c r="B3853" s="44">
        <v>44670</v>
      </c>
      <c r="C3853" s="44">
        <f t="shared" si="184"/>
        <v>44670</v>
      </c>
      <c r="D3853" s="374">
        <v>78</v>
      </c>
      <c r="E3853" s="291" t="str">
        <f>IFERROR(VLOOKUP($D3853,'Clients-Live'!$A:$C,3,0),"")</f>
        <v>DIPIYO BEATRICE JOHN</v>
      </c>
      <c r="F3853" s="291">
        <f>IFERROR(INDEX(Disbursements!$D:$D,MATCH('Live Collections'!G3853,Disbursements!$C:$C,0)),"")</f>
        <v>2</v>
      </c>
      <c r="G3853" s="34">
        <v>351</v>
      </c>
      <c r="H3853" s="34" t="s">
        <v>2309</v>
      </c>
      <c r="I3853" s="34" t="s">
        <v>1357</v>
      </c>
      <c r="J3853" s="48"/>
      <c r="K3853" s="48"/>
      <c r="L3853" s="48"/>
      <c r="M3853" s="48"/>
      <c r="N3853" s="59"/>
      <c r="O3853" s="59">
        <v>180000</v>
      </c>
      <c r="P3853" s="59">
        <v>-180000</v>
      </c>
      <c r="Q3853" s="268">
        <f t="shared" si="182"/>
        <v>0</v>
      </c>
      <c r="R3853" s="61">
        <f>IF(O3853=0,0,SUMIFS(Disbursements!$T:$T,Disbursements!$B:$B,'Live Collections'!D3853,Disbursements!$D:$D,'Live Collections'!F3853))</f>
        <v>540000</v>
      </c>
      <c r="S3853" s="304">
        <v>34666.666666666686</v>
      </c>
      <c r="T3853" s="304">
        <f t="shared" si="183"/>
        <v>145333.33333333331</v>
      </c>
      <c r="U3853" s="52"/>
      <c r="V3853" s="34"/>
      <c r="W3853" s="408"/>
    </row>
    <row r="3854" spans="1:23" ht="12.75" customHeight="1" x14ac:dyDescent="0.2">
      <c r="A3854" s="257">
        <v>3864</v>
      </c>
      <c r="B3854" s="44">
        <v>44670</v>
      </c>
      <c r="C3854" s="44">
        <f t="shared" si="184"/>
        <v>44670</v>
      </c>
      <c r="D3854" s="374">
        <v>129</v>
      </c>
      <c r="E3854" s="291" t="str">
        <f>IFERROR(VLOOKUP($D3854,'Clients-Live'!$A:$C,3,0),"")</f>
        <v>BAKO ASINA</v>
      </c>
      <c r="F3854" s="291">
        <f>IFERROR(INDEX(Disbursements!$D:$D,MATCH('Live Collections'!G3854,Disbursements!$C:$C,0)),"")</f>
        <v>3</v>
      </c>
      <c r="G3854" s="34">
        <v>409</v>
      </c>
      <c r="H3854" s="34">
        <v>5580</v>
      </c>
      <c r="I3854" s="34" t="s">
        <v>1358</v>
      </c>
      <c r="J3854" s="48"/>
      <c r="K3854" s="48"/>
      <c r="L3854" s="48"/>
      <c r="M3854" s="48"/>
      <c r="N3854" s="59"/>
      <c r="O3854" s="59">
        <v>85000</v>
      </c>
      <c r="P3854" s="59"/>
      <c r="Q3854" s="268">
        <f t="shared" si="182"/>
        <v>85000</v>
      </c>
      <c r="R3854" s="61">
        <f>IF(O3854=0,0,SUMIFS(Disbursements!$T:$T,Disbursements!$B:$B,'Live Collections'!D3854,Disbursements!$D:$D,'Live Collections'!F3854))</f>
        <v>1195000</v>
      </c>
      <c r="S3854" s="304">
        <f>IF(O3854&lt;=IF($O3854=0,0,SUMIFS(Disbursements!$W:$W,Disbursements!$B:$B,'Live Collections'!D3854,Disbursements!$D:$D,'Live Collections'!F3854)),O3854,IF($O3854=0,0,SUMIFS(Disbursements!$W:$W,Disbursements!$B:$B,'Live Collections'!D3854,Disbursements!$D:$D,'Live Collections'!F3854)))</f>
        <v>85000</v>
      </c>
      <c r="T3854" s="304">
        <f t="shared" si="183"/>
        <v>0</v>
      </c>
      <c r="U3854" s="52"/>
      <c r="V3854" s="34"/>
      <c r="W3854" s="408"/>
    </row>
    <row r="3855" spans="1:23" ht="12.75" customHeight="1" x14ac:dyDescent="0.2">
      <c r="A3855" s="257">
        <v>3865</v>
      </c>
      <c r="B3855" s="44">
        <v>44670</v>
      </c>
      <c r="C3855" s="44">
        <f t="shared" si="184"/>
        <v>44670</v>
      </c>
      <c r="D3855" s="374">
        <v>76</v>
      </c>
      <c r="E3855" s="291" t="str">
        <f>IFERROR(VLOOKUP($D3855,'Clients-Live'!$A:$C,3,0),"")</f>
        <v>DAWA AISHA</v>
      </c>
      <c r="F3855" s="291">
        <f>IFERROR(INDEX(Disbursements!$D:$D,MATCH('Live Collections'!G3855,Disbursements!$C:$C,0)),"")</f>
        <v>2</v>
      </c>
      <c r="G3855" s="34">
        <v>187</v>
      </c>
      <c r="H3855" s="34">
        <v>5579</v>
      </c>
      <c r="I3855" s="34" t="s">
        <v>1358</v>
      </c>
      <c r="J3855" s="48"/>
      <c r="K3855" s="48"/>
      <c r="L3855" s="48"/>
      <c r="M3855" s="48"/>
      <c r="N3855" s="59"/>
      <c r="O3855" s="59">
        <v>50000</v>
      </c>
      <c r="P3855" s="59"/>
      <c r="Q3855" s="268">
        <f t="shared" si="182"/>
        <v>50000</v>
      </c>
      <c r="R3855" s="61">
        <f>IF(O3855=0,0,SUMIFS(Disbursements!$T:$T,Disbursements!$B:$B,'Live Collections'!D3855,Disbursements!$D:$D,'Live Collections'!F3855))</f>
        <v>180000</v>
      </c>
      <c r="S3855" s="304"/>
      <c r="T3855" s="304">
        <f t="shared" si="183"/>
        <v>50000</v>
      </c>
      <c r="U3855" s="52"/>
      <c r="V3855" s="34"/>
      <c r="W3855" s="408"/>
    </row>
    <row r="3856" spans="1:23" ht="12.75" customHeight="1" x14ac:dyDescent="0.2">
      <c r="A3856" s="257">
        <v>3866</v>
      </c>
      <c r="B3856" s="44">
        <v>44670</v>
      </c>
      <c r="C3856" s="44">
        <f t="shared" si="184"/>
        <v>44670</v>
      </c>
      <c r="D3856" s="374">
        <v>44</v>
      </c>
      <c r="E3856" s="291" t="str">
        <f>IFERROR(VLOOKUP($D3856,'Clients-Live'!$A:$C,3,0),"")</f>
        <v>CANDIRU HELLEN</v>
      </c>
      <c r="F3856" s="291">
        <f>IFERROR(INDEX(Disbursements!$D:$D,MATCH('Live Collections'!G3856,Disbursements!$C:$C,0)),"")</f>
        <v>3</v>
      </c>
      <c r="G3856" s="34">
        <v>362</v>
      </c>
      <c r="H3856" s="34">
        <v>5575</v>
      </c>
      <c r="I3856" s="34" t="s">
        <v>1358</v>
      </c>
      <c r="J3856" s="48"/>
      <c r="K3856" s="48"/>
      <c r="L3856" s="48"/>
      <c r="M3856" s="48"/>
      <c r="N3856" s="59"/>
      <c r="O3856" s="59">
        <v>100000</v>
      </c>
      <c r="P3856" s="59"/>
      <c r="Q3856" s="268">
        <f t="shared" si="182"/>
        <v>100000</v>
      </c>
      <c r="R3856" s="61">
        <f>IF(O3856=0,0,SUMIFS(Disbursements!$T:$T,Disbursements!$B:$B,'Live Collections'!D3856,Disbursements!$D:$D,'Live Collections'!F3856))</f>
        <v>325000</v>
      </c>
      <c r="S3856" s="304">
        <f>IF(O3856&lt;=IF($O3856=0,0,SUMIFS(Disbursements!$W:$W,Disbursements!$B:$B,'Live Collections'!D3856,Disbursements!$D:$D,'Live Collections'!F3856)),O3856,IF($O3856=0,0,SUMIFS(Disbursements!$W:$W,Disbursements!$B:$B,'Live Collections'!D3856,Disbursements!$D:$D,'Live Collections'!F3856)))</f>
        <v>75000</v>
      </c>
      <c r="T3856" s="304">
        <f t="shared" si="183"/>
        <v>25000</v>
      </c>
      <c r="U3856" s="52"/>
      <c r="V3856" s="34"/>
      <c r="W3856" s="408"/>
    </row>
    <row r="3857" spans="1:23" ht="12.75" customHeight="1" x14ac:dyDescent="0.2">
      <c r="A3857" s="257">
        <v>3867</v>
      </c>
      <c r="B3857" s="44">
        <v>44670</v>
      </c>
      <c r="C3857" s="44">
        <f t="shared" si="184"/>
        <v>44670</v>
      </c>
      <c r="D3857" s="374">
        <v>152</v>
      </c>
      <c r="E3857" s="291" t="str">
        <f>IFERROR(VLOOKUP($D3857,'Clients-Live'!$A:$C,3,0),"")</f>
        <v>ASE ZAINABU</v>
      </c>
      <c r="F3857" s="291">
        <f>IFERROR(INDEX(Disbursements!$D:$D,MATCH('Live Collections'!G3857,Disbursements!$C:$C,0)),"")</f>
        <v>2</v>
      </c>
      <c r="G3857" s="34">
        <v>393</v>
      </c>
      <c r="H3857" s="34">
        <v>5574</v>
      </c>
      <c r="I3857" s="34" t="s">
        <v>1358</v>
      </c>
      <c r="J3857" s="48"/>
      <c r="K3857" s="48"/>
      <c r="L3857" s="48"/>
      <c r="M3857" s="48"/>
      <c r="N3857" s="59"/>
      <c r="O3857" s="59">
        <v>80000</v>
      </c>
      <c r="P3857" s="59"/>
      <c r="Q3857" s="268">
        <f t="shared" si="182"/>
        <v>80000</v>
      </c>
      <c r="R3857" s="61">
        <f>IF(O3857=0,0,SUMIFS(Disbursements!$T:$T,Disbursements!$B:$B,'Live Collections'!D3857,Disbursements!$D:$D,'Live Collections'!F3857))</f>
        <v>40000</v>
      </c>
      <c r="S3857" s="304">
        <f>IF(O3857&lt;=IF($O3857=0,0,SUMIFS(Disbursements!$W:$W,Disbursements!$B:$B,'Live Collections'!D3857,Disbursements!$D:$D,'Live Collections'!F3857)),O3857,IF($O3857=0,0,SUMIFS(Disbursements!$W:$W,Disbursements!$B:$B,'Live Collections'!D3857,Disbursements!$D:$D,'Live Collections'!F3857)))</f>
        <v>8750</v>
      </c>
      <c r="T3857" s="304">
        <f t="shared" si="183"/>
        <v>71250</v>
      </c>
      <c r="U3857" s="52"/>
      <c r="V3857" s="34"/>
      <c r="W3857" s="408"/>
    </row>
    <row r="3858" spans="1:23" ht="12.75" customHeight="1" x14ac:dyDescent="0.2">
      <c r="A3858" s="257">
        <v>3868</v>
      </c>
      <c r="B3858" s="44">
        <v>44670</v>
      </c>
      <c r="C3858" s="44">
        <f t="shared" si="184"/>
        <v>44670</v>
      </c>
      <c r="D3858" s="374">
        <v>78</v>
      </c>
      <c r="E3858" s="291" t="str">
        <f>IFERROR(VLOOKUP($D3858,'Clients-Live'!$A:$C,3,0),"")</f>
        <v>DIPIYO BEATRICE JOHN</v>
      </c>
      <c r="F3858" s="291">
        <f>IFERROR(INDEX(Disbursements!$D:$D,MATCH('Live Collections'!G3858,Disbursements!$C:$C,0)),"")</f>
        <v>2</v>
      </c>
      <c r="G3858" s="34">
        <v>351</v>
      </c>
      <c r="H3858" s="34">
        <v>5576</v>
      </c>
      <c r="I3858" s="34" t="s">
        <v>1357</v>
      </c>
      <c r="J3858" s="48"/>
      <c r="K3858" s="48"/>
      <c r="L3858" s="48"/>
      <c r="M3858" s="48"/>
      <c r="N3858" s="59"/>
      <c r="O3858" s="59">
        <v>30000</v>
      </c>
      <c r="P3858" s="59"/>
      <c r="Q3858" s="268">
        <f t="shared" si="182"/>
        <v>30000</v>
      </c>
      <c r="R3858" s="61">
        <f>IF(O3858=0,0,SUMIFS(Disbursements!$T:$T,Disbursements!$B:$B,'Live Collections'!D3858,Disbursements!$D:$D,'Live Collections'!F3858))</f>
        <v>540000</v>
      </c>
      <c r="S3858" s="304"/>
      <c r="T3858" s="304">
        <f t="shared" si="183"/>
        <v>30000</v>
      </c>
      <c r="U3858" s="52"/>
      <c r="V3858" s="34"/>
      <c r="W3858" s="408"/>
    </row>
    <row r="3859" spans="1:23" ht="12.75" customHeight="1" x14ac:dyDescent="0.2">
      <c r="A3859" s="257">
        <v>3869</v>
      </c>
      <c r="B3859" s="44">
        <v>44670</v>
      </c>
      <c r="C3859" s="44">
        <f t="shared" si="184"/>
        <v>44670</v>
      </c>
      <c r="D3859" s="374">
        <v>140</v>
      </c>
      <c r="E3859" s="291" t="str">
        <f>IFERROR(VLOOKUP($D3859,'Clients-Live'!$A:$C,3,0),"")</f>
        <v>AYIKORU MARIAM</v>
      </c>
      <c r="F3859" s="291" t="str">
        <f>IFERROR(INDEX(Disbursements!$D:$D,MATCH('Live Collections'!G3859,Disbursements!$C:$C,0)),"")</f>
        <v/>
      </c>
      <c r="G3859" s="34"/>
      <c r="H3859" s="34">
        <v>5473</v>
      </c>
      <c r="I3859" s="34" t="s">
        <v>1358</v>
      </c>
      <c r="J3859" s="48"/>
      <c r="K3859" s="48"/>
      <c r="L3859" s="48">
        <v>15000</v>
      </c>
      <c r="M3859" s="48">
        <v>5000</v>
      </c>
      <c r="N3859" s="59"/>
      <c r="O3859" s="59"/>
      <c r="P3859" s="59"/>
      <c r="Q3859" s="268">
        <f t="shared" si="182"/>
        <v>20000</v>
      </c>
      <c r="R3859" s="61">
        <f>IF(O3859=0,0,SUMIFS(Disbursements!$T:$T,Disbursements!$B:$B,'Live Collections'!D3859,Disbursements!$D:$D,'Live Collections'!F3859))</f>
        <v>0</v>
      </c>
      <c r="S3859" s="304">
        <f>IF(O3859&lt;=IF($O3859=0,0,SUMIFS(Disbursements!$W:$W,Disbursements!$B:$B,'Live Collections'!D3859,Disbursements!$D:$D,'Live Collections'!F3859)),O3859,IF($O3859=0,0,SUMIFS(Disbursements!$W:$W,Disbursements!$B:$B,'Live Collections'!D3859,Disbursements!$D:$D,'Live Collections'!F3859)))</f>
        <v>0</v>
      </c>
      <c r="T3859" s="304">
        <f t="shared" si="183"/>
        <v>0</v>
      </c>
      <c r="U3859" s="52"/>
      <c r="V3859" s="34"/>
      <c r="W3859" s="408"/>
    </row>
    <row r="3860" spans="1:23" ht="12.75" customHeight="1" x14ac:dyDescent="0.2">
      <c r="A3860" s="257">
        <v>3870</v>
      </c>
      <c r="B3860" s="44">
        <v>44670</v>
      </c>
      <c r="C3860" s="44">
        <f t="shared" si="184"/>
        <v>44670</v>
      </c>
      <c r="D3860" s="374">
        <v>205</v>
      </c>
      <c r="E3860" s="291" t="str">
        <f>IFERROR(VLOOKUP($D3860,'Clients-Live'!$A:$C,3,0),"")</f>
        <v>OPIRU ALICE</v>
      </c>
      <c r="F3860" s="291">
        <f>IFERROR(INDEX(Disbursements!$D:$D,MATCH('Live Collections'!G3860,Disbursements!$C:$C,0)),"")</f>
        <v>2</v>
      </c>
      <c r="G3860" s="34">
        <v>396</v>
      </c>
      <c r="H3860" s="34">
        <v>5474</v>
      </c>
      <c r="I3860" s="34" t="s">
        <v>1359</v>
      </c>
      <c r="J3860" s="48"/>
      <c r="K3860" s="48"/>
      <c r="L3860" s="48"/>
      <c r="M3860" s="48"/>
      <c r="N3860" s="59"/>
      <c r="O3860" s="59">
        <v>10000</v>
      </c>
      <c r="P3860" s="59"/>
      <c r="Q3860" s="268">
        <f t="shared" si="182"/>
        <v>10000</v>
      </c>
      <c r="R3860" s="61">
        <f>IF(O3860=0,0,SUMIFS(Disbursements!$T:$T,Disbursements!$B:$B,'Live Collections'!D3860,Disbursements!$D:$D,'Live Collections'!F3860))</f>
        <v>40000</v>
      </c>
      <c r="S3860" s="304"/>
      <c r="T3860" s="304">
        <f t="shared" si="183"/>
        <v>10000</v>
      </c>
      <c r="U3860" s="52"/>
      <c r="V3860" s="34"/>
      <c r="W3860" s="408"/>
    </row>
    <row r="3861" spans="1:23" ht="12.75" customHeight="1" x14ac:dyDescent="0.2">
      <c r="A3861" s="257">
        <v>3871</v>
      </c>
      <c r="B3861" s="44">
        <v>44670</v>
      </c>
      <c r="C3861" s="44">
        <f t="shared" si="184"/>
        <v>44670</v>
      </c>
      <c r="D3861" s="374">
        <v>142</v>
      </c>
      <c r="E3861" s="291" t="str">
        <f>IFERROR(VLOOKUP($D3861,'Clients-Live'!$A:$C,3,0),"")</f>
        <v>TABU MARY</v>
      </c>
      <c r="F3861" s="291">
        <f>IFERROR(INDEX(Disbursements!$D:$D,MATCH('Live Collections'!G3861,Disbursements!$C:$C,0)),"")</f>
        <v>6</v>
      </c>
      <c r="G3861" s="34">
        <v>383</v>
      </c>
      <c r="H3861" s="34">
        <v>5475</v>
      </c>
      <c r="I3861" s="34" t="s">
        <v>1357</v>
      </c>
      <c r="J3861" s="48"/>
      <c r="K3861" s="48"/>
      <c r="L3861" s="48"/>
      <c r="M3861" s="48"/>
      <c r="N3861" s="59"/>
      <c r="O3861" s="59">
        <v>325000</v>
      </c>
      <c r="P3861" s="59"/>
      <c r="Q3861" s="268">
        <f t="shared" si="182"/>
        <v>325000</v>
      </c>
      <c r="R3861" s="61">
        <f>IF(O3861=0,0,SUMIFS(Disbursements!$T:$T,Disbursements!$B:$B,'Live Collections'!D3861,Disbursements!$D:$D,'Live Collections'!F3861))</f>
        <v>325000</v>
      </c>
      <c r="S3861" s="304">
        <f>IF(O3861&lt;=IF($O3861=0,0,SUMIFS(Disbursements!$W:$W,Disbursements!$B:$B,'Live Collections'!D3861,Disbursements!$D:$D,'Live Collections'!F3861)),O3861,IF($O3861=0,0,SUMIFS(Disbursements!$W:$W,Disbursements!$B:$B,'Live Collections'!D3861,Disbursements!$D:$D,'Live Collections'!F3861)))</f>
        <v>75000</v>
      </c>
      <c r="T3861" s="304">
        <f t="shared" si="183"/>
        <v>250000</v>
      </c>
      <c r="U3861" s="52"/>
      <c r="V3861" s="34"/>
      <c r="W3861" s="408"/>
    </row>
    <row r="3862" spans="1:23" ht="12.75" customHeight="1" x14ac:dyDescent="0.2">
      <c r="A3862" s="257">
        <v>3872</v>
      </c>
      <c r="B3862" s="44">
        <v>44670</v>
      </c>
      <c r="C3862" s="44">
        <f t="shared" si="184"/>
        <v>44670</v>
      </c>
      <c r="D3862" s="374">
        <v>309</v>
      </c>
      <c r="E3862" s="291" t="str">
        <f>IFERROR(VLOOKUP($D3862,'Clients-Live'!$A:$C,3,0),"")</f>
        <v>NAMBOZO HALIMA</v>
      </c>
      <c r="F3862" s="291">
        <f>IFERROR(INDEX(Disbursements!$D:$D,MATCH('Live Collections'!G3862,Disbursements!$C:$C,0)),"")</f>
        <v>1</v>
      </c>
      <c r="G3862" s="34">
        <v>391</v>
      </c>
      <c r="H3862" s="34">
        <v>5476</v>
      </c>
      <c r="I3862" s="34" t="s">
        <v>1357</v>
      </c>
      <c r="J3862" s="48"/>
      <c r="K3862" s="48"/>
      <c r="L3862" s="48"/>
      <c r="M3862" s="48"/>
      <c r="N3862" s="59"/>
      <c r="O3862" s="59">
        <v>70000</v>
      </c>
      <c r="P3862" s="59"/>
      <c r="Q3862" s="268">
        <f t="shared" si="182"/>
        <v>70000</v>
      </c>
      <c r="R3862" s="61">
        <f>IF(O3862=0,0,SUMIFS(Disbursements!$T:$T,Disbursements!$B:$B,'Live Collections'!D3862,Disbursements!$D:$D,'Live Collections'!F3862))</f>
        <v>79000</v>
      </c>
      <c r="S3862" s="304">
        <f>IF(O3862&lt;=IF($O3862=0,0,SUMIFS(Disbursements!$W:$W,Disbursements!$B:$B,'Live Collections'!D3862,Disbursements!$D:$D,'Live Collections'!F3862)),O3862,IF($O3862=0,0,SUMIFS(Disbursements!$W:$W,Disbursements!$B:$B,'Live Collections'!D3862,Disbursements!$D:$D,'Live Collections'!F3862)))</f>
        <v>16500</v>
      </c>
      <c r="T3862" s="304">
        <f t="shared" si="183"/>
        <v>53500</v>
      </c>
      <c r="U3862" s="52"/>
      <c r="V3862" s="34"/>
      <c r="W3862" s="408"/>
    </row>
    <row r="3863" spans="1:23" ht="12.75" customHeight="1" x14ac:dyDescent="0.2">
      <c r="A3863" s="257">
        <v>3873</v>
      </c>
      <c r="B3863" s="44">
        <v>44670</v>
      </c>
      <c r="C3863" s="44">
        <f t="shared" si="184"/>
        <v>44670</v>
      </c>
      <c r="D3863" s="374">
        <v>86</v>
      </c>
      <c r="E3863" s="291" t="str">
        <f>IFERROR(VLOOKUP($D3863,'Clients-Live'!$A:$C,3,0),"")</f>
        <v>AMANIYO JOYCE</v>
      </c>
      <c r="F3863" s="291">
        <f>IFERROR(INDEX(Disbursements!$D:$D,MATCH('Live Collections'!G3863,Disbursements!$C:$C,0)),"")</f>
        <v>2</v>
      </c>
      <c r="G3863" s="34">
        <v>231</v>
      </c>
      <c r="H3863" s="34">
        <v>5472</v>
      </c>
      <c r="I3863" s="34" t="s">
        <v>1358</v>
      </c>
      <c r="J3863" s="48"/>
      <c r="K3863" s="48"/>
      <c r="L3863" s="48"/>
      <c r="M3863" s="48"/>
      <c r="N3863" s="59"/>
      <c r="O3863" s="59">
        <v>60000</v>
      </c>
      <c r="P3863" s="59"/>
      <c r="Q3863" s="268">
        <f t="shared" si="182"/>
        <v>60000</v>
      </c>
      <c r="R3863" s="61">
        <f>IF(O3863=0,0,SUMIFS(Disbursements!$T:$T,Disbursements!$B:$B,'Live Collections'!D3863,Disbursements!$D:$D,'Live Collections'!F3863))</f>
        <v>217000</v>
      </c>
      <c r="S3863" s="304"/>
      <c r="T3863" s="304">
        <f t="shared" si="183"/>
        <v>60000</v>
      </c>
      <c r="U3863" s="52"/>
      <c r="V3863" s="34"/>
      <c r="W3863" s="408"/>
    </row>
    <row r="3864" spans="1:23" ht="12.75" customHeight="1" x14ac:dyDescent="0.2">
      <c r="A3864" s="257">
        <v>3874</v>
      </c>
      <c r="B3864" s="44">
        <v>44670</v>
      </c>
      <c r="C3864" s="44">
        <f t="shared" si="184"/>
        <v>44670</v>
      </c>
      <c r="D3864" s="374">
        <v>338</v>
      </c>
      <c r="E3864" s="291" t="str">
        <f>IFERROR(VLOOKUP($D3864,'Clients-Live'!$A:$C,3,0),"")</f>
        <v>ASERU MARY</v>
      </c>
      <c r="F3864" s="291">
        <f>IFERROR(INDEX(Disbursements!$D:$D,MATCH('Live Collections'!G3864,Disbursements!$C:$C,0)),"")</f>
        <v>1</v>
      </c>
      <c r="G3864" s="34">
        <v>480</v>
      </c>
      <c r="H3864" s="34">
        <v>5467</v>
      </c>
      <c r="I3864" s="34" t="s">
        <v>1358</v>
      </c>
      <c r="J3864" s="48"/>
      <c r="K3864" s="48"/>
      <c r="L3864" s="48"/>
      <c r="M3864" s="48"/>
      <c r="N3864" s="59"/>
      <c r="O3864" s="59">
        <v>23700</v>
      </c>
      <c r="P3864" s="59"/>
      <c r="Q3864" s="268">
        <f t="shared" si="182"/>
        <v>23700</v>
      </c>
      <c r="R3864" s="61">
        <f>IF(O3864=0,0,SUMIFS(Disbursements!$T:$T,Disbursements!$B:$B,'Live Collections'!D3864,Disbursements!$D:$D,'Live Collections'!F3864))</f>
        <v>24000</v>
      </c>
      <c r="S3864" s="304">
        <f>IF(O3864&lt;=IF($O3864=0,0,SUMIFS(Disbursements!$W:$W,Disbursements!$B:$B,'Live Collections'!D3864,Disbursements!$D:$D,'Live Collections'!F3864)),O3864,IF($O3864=0,0,SUMIFS(Disbursements!$W:$W,Disbursements!$B:$B,'Live Collections'!D3864,Disbursements!$D:$D,'Live Collections'!F3864)))</f>
        <v>5250</v>
      </c>
      <c r="T3864" s="304">
        <f t="shared" si="183"/>
        <v>18450</v>
      </c>
      <c r="U3864" s="52"/>
      <c r="V3864" s="34"/>
      <c r="W3864" s="408"/>
    </row>
    <row r="3865" spans="1:23" ht="12.75" customHeight="1" x14ac:dyDescent="0.2">
      <c r="A3865" s="257">
        <v>3875</v>
      </c>
      <c r="B3865" s="44">
        <v>44670</v>
      </c>
      <c r="C3865" s="44">
        <f t="shared" si="184"/>
        <v>44670</v>
      </c>
      <c r="D3865" s="374">
        <v>329</v>
      </c>
      <c r="E3865" s="291" t="str">
        <f>IFERROR(VLOOKUP($D3865,'Clients-Live'!$A:$C,3,0),"")</f>
        <v>NSUBUGA DAVID</v>
      </c>
      <c r="F3865" s="291">
        <f>IFERROR(INDEX(Disbursements!$D:$D,MATCH('Live Collections'!G3865,Disbursements!$C:$C,0)),"")</f>
        <v>1</v>
      </c>
      <c r="G3865" s="34">
        <v>455</v>
      </c>
      <c r="H3865" s="34">
        <v>5468</v>
      </c>
      <c r="I3865" s="34" t="s">
        <v>1357</v>
      </c>
      <c r="J3865" s="48"/>
      <c r="K3865" s="48"/>
      <c r="L3865" s="48"/>
      <c r="M3865" s="48"/>
      <c r="N3865" s="59"/>
      <c r="O3865" s="59">
        <v>800000</v>
      </c>
      <c r="P3865" s="59"/>
      <c r="Q3865" s="268">
        <f t="shared" si="182"/>
        <v>800000</v>
      </c>
      <c r="R3865" s="61">
        <f>IF(O3865=0,0,SUMIFS(Disbursements!$T:$T,Disbursements!$B:$B,'Live Collections'!D3865,Disbursements!$D:$D,'Live Collections'!F3865))</f>
        <v>848000</v>
      </c>
      <c r="S3865" s="304">
        <f>IF(O3865&lt;=IF($O3865=0,0,SUMIFS(Disbursements!$W:$W,Disbursements!$B:$B,'Live Collections'!D3865,Disbursements!$D:$D,'Live Collections'!F3865)),O3865,IF($O3865=0,0,SUMIFS(Disbursements!$W:$W,Disbursements!$B:$B,'Live Collections'!D3865,Disbursements!$D:$D,'Live Collections'!F3865)))</f>
        <v>98000</v>
      </c>
      <c r="T3865" s="304">
        <f t="shared" si="183"/>
        <v>702000</v>
      </c>
      <c r="U3865" s="52"/>
      <c r="V3865" s="34"/>
      <c r="W3865" s="408"/>
    </row>
    <row r="3866" spans="1:23" ht="12.75" customHeight="1" x14ac:dyDescent="0.2">
      <c r="A3866" s="257">
        <v>3876</v>
      </c>
      <c r="B3866" s="44">
        <v>44670</v>
      </c>
      <c r="C3866" s="44">
        <f t="shared" si="184"/>
        <v>44670</v>
      </c>
      <c r="D3866" s="374">
        <v>260</v>
      </c>
      <c r="E3866" s="291" t="str">
        <f>IFERROR(VLOOKUP($D3866,'Clients-Live'!$A:$C,3,0),"")</f>
        <v>ATAYI GRACE</v>
      </c>
      <c r="F3866" s="291">
        <f>IFERROR(INDEX(Disbursements!$D:$D,MATCH('Live Collections'!G3866,Disbursements!$C:$C,0)),"")</f>
        <v>2</v>
      </c>
      <c r="G3866" s="34">
        <v>476</v>
      </c>
      <c r="H3866" s="34">
        <v>5469</v>
      </c>
      <c r="I3866" s="34" t="s">
        <v>1359</v>
      </c>
      <c r="J3866" s="48"/>
      <c r="K3866" s="48"/>
      <c r="L3866" s="48"/>
      <c r="M3866" s="48"/>
      <c r="N3866" s="59"/>
      <c r="O3866" s="59">
        <v>35000</v>
      </c>
      <c r="P3866" s="59"/>
      <c r="Q3866" s="268">
        <f t="shared" si="182"/>
        <v>35000</v>
      </c>
      <c r="R3866" s="61">
        <f>IF(O3866=0,0,SUMIFS(Disbursements!$T:$T,Disbursements!$B:$B,'Live Collections'!D3866,Disbursements!$D:$D,'Live Collections'!F3866))</f>
        <v>111000</v>
      </c>
      <c r="S3866" s="304">
        <f>IF(O3866&lt;=IF($O3866=0,0,SUMIFS(Disbursements!$W:$W,Disbursements!$B:$B,'Live Collections'!D3866,Disbursements!$D:$D,'Live Collections'!F3866)),O3866,IF($O3866=0,0,SUMIFS(Disbursements!$W:$W,Disbursements!$B:$B,'Live Collections'!D3866,Disbursements!$D:$D,'Live Collections'!F3866)))</f>
        <v>23500</v>
      </c>
      <c r="T3866" s="304">
        <f t="shared" si="183"/>
        <v>11500</v>
      </c>
      <c r="U3866" s="52"/>
      <c r="V3866" s="34"/>
      <c r="W3866" s="408"/>
    </row>
    <row r="3867" spans="1:23" ht="12.75" customHeight="1" x14ac:dyDescent="0.2">
      <c r="A3867" s="257">
        <v>3877</v>
      </c>
      <c r="B3867" s="44">
        <v>44670</v>
      </c>
      <c r="C3867" s="44">
        <f t="shared" si="184"/>
        <v>44670</v>
      </c>
      <c r="D3867" s="374">
        <v>335</v>
      </c>
      <c r="E3867" s="291" t="str">
        <f>IFERROR(VLOOKUP($D3867,'Clients-Live'!$A:$C,3,0),"")</f>
        <v>FOGO FRANCIS DRANI</v>
      </c>
      <c r="F3867" s="291">
        <f>IFERROR(INDEX(Disbursements!$D:$D,MATCH('Live Collections'!G3867,Disbursements!$C:$C,0)),"")</f>
        <v>1</v>
      </c>
      <c r="G3867" s="34">
        <v>467</v>
      </c>
      <c r="H3867" s="34">
        <v>5466</v>
      </c>
      <c r="I3867" s="34" t="s">
        <v>1357</v>
      </c>
      <c r="J3867" s="48"/>
      <c r="K3867" s="48"/>
      <c r="L3867" s="48"/>
      <c r="M3867" s="48"/>
      <c r="N3867" s="59"/>
      <c r="O3867" s="59">
        <v>300000</v>
      </c>
      <c r="P3867" s="59"/>
      <c r="Q3867" s="268">
        <f t="shared" si="182"/>
        <v>300000</v>
      </c>
      <c r="R3867" s="61">
        <f>IF(O3867=0,0,SUMIFS(Disbursements!$T:$T,Disbursements!$B:$B,'Live Collections'!D3867,Disbursements!$D:$D,'Live Collections'!F3867))</f>
        <v>613000</v>
      </c>
      <c r="S3867" s="304">
        <f>IF(O3867&lt;=IF($O3867=0,0,SUMIFS(Disbursements!$W:$W,Disbursements!$B:$B,'Live Collections'!D3867,Disbursements!$D:$D,'Live Collections'!F3867)),O3867,IF($O3867=0,0,SUMIFS(Disbursements!$W:$W,Disbursements!$B:$B,'Live Collections'!D3867,Disbursements!$D:$D,'Live Collections'!F3867)))</f>
        <v>113000</v>
      </c>
      <c r="T3867" s="304">
        <f t="shared" si="183"/>
        <v>187000</v>
      </c>
      <c r="U3867" s="52"/>
      <c r="V3867" s="34"/>
      <c r="W3867" s="408"/>
    </row>
    <row r="3868" spans="1:23" ht="12.75" customHeight="1" x14ac:dyDescent="0.2">
      <c r="A3868" s="257">
        <v>3878</v>
      </c>
      <c r="B3868" s="44">
        <v>44670</v>
      </c>
      <c r="C3868" s="44">
        <f t="shared" si="184"/>
        <v>44670</v>
      </c>
      <c r="D3868" s="374">
        <v>129</v>
      </c>
      <c r="E3868" s="291" t="str">
        <f>IFERROR(VLOOKUP($D3868,'Clients-Live'!$A:$C,3,0),"")</f>
        <v>BAKO ASINA</v>
      </c>
      <c r="F3868" s="291">
        <f>IFERROR(INDEX(Disbursements!$D:$D,MATCH('Live Collections'!G3868,Disbursements!$C:$C,0)),"")</f>
        <v>3</v>
      </c>
      <c r="G3868" s="34">
        <v>409</v>
      </c>
      <c r="H3868" s="34">
        <v>5463</v>
      </c>
      <c r="I3868" s="34" t="s">
        <v>1358</v>
      </c>
      <c r="J3868" s="48"/>
      <c r="K3868" s="48"/>
      <c r="L3868" s="48"/>
      <c r="M3868" s="48"/>
      <c r="N3868" s="59"/>
      <c r="O3868" s="59">
        <v>1000000</v>
      </c>
      <c r="P3868" s="59"/>
      <c r="Q3868" s="268">
        <f t="shared" si="182"/>
        <v>1000000</v>
      </c>
      <c r="R3868" s="61">
        <f>IF(O3868=0,0,SUMIFS(Disbursements!$T:$T,Disbursements!$B:$B,'Live Collections'!D3868,Disbursements!$D:$D,'Live Collections'!F3868))</f>
        <v>1195000</v>
      </c>
      <c r="S3868" s="304">
        <f>IF(O3868&lt;=IF($O3868=0,0,SUMIFS(Disbursements!$W:$W,Disbursements!$B:$B,'Live Collections'!D3868,Disbursements!$D:$D,'Live Collections'!F3868)),O3868,IF($O3868=0,0,SUMIFS(Disbursements!$W:$W,Disbursements!$B:$B,'Live Collections'!D3868,Disbursements!$D:$D,'Live Collections'!F3868)))</f>
        <v>195000</v>
      </c>
      <c r="T3868" s="304">
        <f t="shared" si="183"/>
        <v>805000</v>
      </c>
      <c r="U3868" s="52"/>
      <c r="V3868" s="34"/>
      <c r="W3868" s="408"/>
    </row>
    <row r="3869" spans="1:23" ht="12.75" customHeight="1" x14ac:dyDescent="0.2">
      <c r="A3869" s="257">
        <v>3879</v>
      </c>
      <c r="B3869" s="44">
        <v>44670</v>
      </c>
      <c r="C3869" s="44">
        <f t="shared" si="184"/>
        <v>44670</v>
      </c>
      <c r="D3869" s="374">
        <v>233</v>
      </c>
      <c r="E3869" s="291" t="str">
        <f>IFERROR(VLOOKUP($D3869,'Clients-Live'!$A:$C,3,0),"")</f>
        <v>KAMOYO HARRIET</v>
      </c>
      <c r="F3869" s="291">
        <f>IFERROR(INDEX(Disbursements!$D:$D,MATCH('Live Collections'!G3869,Disbursements!$C:$C,0)),"")</f>
        <v>2</v>
      </c>
      <c r="G3869" s="34">
        <v>469</v>
      </c>
      <c r="H3869" s="34">
        <v>5465</v>
      </c>
      <c r="I3869" s="34" t="s">
        <v>1358</v>
      </c>
      <c r="J3869" s="48"/>
      <c r="K3869" s="48"/>
      <c r="L3869" s="48"/>
      <c r="M3869" s="48"/>
      <c r="N3869" s="59"/>
      <c r="O3869" s="59">
        <v>160000</v>
      </c>
      <c r="P3869" s="59"/>
      <c r="Q3869" s="268">
        <f t="shared" si="182"/>
        <v>160000</v>
      </c>
      <c r="R3869" s="61">
        <f>IF(O3869=0,0,SUMIFS(Disbursements!$T:$T,Disbursements!$B:$B,'Live Collections'!D3869,Disbursements!$D:$D,'Live Collections'!F3869))</f>
        <v>158000</v>
      </c>
      <c r="S3869" s="304">
        <f>IF(O3869&lt;=IF($O3869=0,0,SUMIFS(Disbursements!$W:$W,Disbursements!$B:$B,'Live Collections'!D3869,Disbursements!$D:$D,'Live Collections'!F3869)),O3869,IF($O3869=0,0,SUMIFS(Disbursements!$W:$W,Disbursements!$B:$B,'Live Collections'!D3869,Disbursements!$D:$D,'Live Collections'!F3869)))</f>
        <v>33000</v>
      </c>
      <c r="T3869" s="304">
        <f t="shared" si="183"/>
        <v>127000</v>
      </c>
      <c r="U3869" s="52"/>
      <c r="V3869" s="34"/>
      <c r="W3869" s="408"/>
    </row>
    <row r="3870" spans="1:23" ht="12.75" customHeight="1" x14ac:dyDescent="0.2">
      <c r="A3870" s="257">
        <v>3880</v>
      </c>
      <c r="B3870" s="44">
        <v>44670</v>
      </c>
      <c r="C3870" s="44">
        <f t="shared" si="184"/>
        <v>44670</v>
      </c>
      <c r="D3870" s="374">
        <v>345</v>
      </c>
      <c r="E3870" s="291" t="str">
        <f>IFERROR(VLOOKUP($D3870,'Clients-Live'!$A:$C,3,0),"")</f>
        <v>MENGE ABDURAHAMAN RATIB</v>
      </c>
      <c r="F3870" s="291">
        <f>IFERROR(INDEX(Disbursements!$D:$D,MATCH('Live Collections'!G3870,Disbursements!$C:$C,0)),"")</f>
        <v>1</v>
      </c>
      <c r="G3870" s="34">
        <v>490</v>
      </c>
      <c r="H3870" s="34">
        <v>5464</v>
      </c>
      <c r="I3870" s="34" t="s">
        <v>1357</v>
      </c>
      <c r="J3870" s="48"/>
      <c r="K3870" s="48"/>
      <c r="L3870" s="48"/>
      <c r="M3870" s="48"/>
      <c r="N3870" s="59"/>
      <c r="O3870" s="59">
        <v>80000</v>
      </c>
      <c r="P3870" s="59"/>
      <c r="Q3870" s="268">
        <f t="shared" si="182"/>
        <v>80000</v>
      </c>
      <c r="R3870" s="61">
        <f>IF(O3870=0,0,SUMIFS(Disbursements!$T:$T,Disbursements!$B:$B,'Live Collections'!D3870,Disbursements!$D:$D,'Live Collections'!F3870))</f>
        <v>323000</v>
      </c>
      <c r="S3870" s="304"/>
      <c r="T3870" s="304">
        <f t="shared" si="183"/>
        <v>80000</v>
      </c>
      <c r="U3870" s="52"/>
      <c r="V3870" s="34"/>
      <c r="W3870" s="408"/>
    </row>
    <row r="3871" spans="1:23" ht="12.75" customHeight="1" x14ac:dyDescent="0.2">
      <c r="A3871" s="257">
        <v>3881</v>
      </c>
      <c r="B3871" s="44">
        <v>44670</v>
      </c>
      <c r="C3871" s="44">
        <f t="shared" si="184"/>
        <v>44670</v>
      </c>
      <c r="D3871" s="374">
        <v>353</v>
      </c>
      <c r="E3871" s="291" t="str">
        <f>IFERROR(VLOOKUP($D3871,'Clients-Live'!$A:$C,3,0),"")</f>
        <v>ANITE MARGRET</v>
      </c>
      <c r="F3871" s="291" t="str">
        <f>IFERROR(INDEX(Disbursements!$D:$D,MATCH('Live Collections'!G3871,Disbursements!$C:$C,0)),"")</f>
        <v/>
      </c>
      <c r="G3871" s="34"/>
      <c r="H3871" s="34">
        <v>5578</v>
      </c>
      <c r="I3871" s="34" t="s">
        <v>1760</v>
      </c>
      <c r="J3871" s="48"/>
      <c r="K3871" s="48"/>
      <c r="L3871" s="48">
        <v>15000</v>
      </c>
      <c r="M3871" s="48">
        <v>5000</v>
      </c>
      <c r="N3871" s="59"/>
      <c r="O3871" s="59"/>
      <c r="P3871" s="59"/>
      <c r="Q3871" s="268">
        <f t="shared" si="182"/>
        <v>20000</v>
      </c>
      <c r="R3871" s="61">
        <f>IF(O3871=0,0,SUMIFS(Disbursements!$T:$T,Disbursements!$B:$B,'Live Collections'!D3871,Disbursements!$D:$D,'Live Collections'!F3871))</f>
        <v>0</v>
      </c>
      <c r="S3871" s="304">
        <f>IF(O3871&lt;=IF($O3871=0,0,SUMIFS(Disbursements!$W:$W,Disbursements!$B:$B,'Live Collections'!D3871,Disbursements!$D:$D,'Live Collections'!F3871)),O3871,IF($O3871=0,0,SUMIFS(Disbursements!$W:$W,Disbursements!$B:$B,'Live Collections'!D3871,Disbursements!$D:$D,'Live Collections'!F3871)))</f>
        <v>0</v>
      </c>
      <c r="T3871" s="304">
        <f t="shared" si="183"/>
        <v>0</v>
      </c>
      <c r="U3871" s="52"/>
      <c r="V3871" s="34"/>
      <c r="W3871" s="408"/>
    </row>
    <row r="3872" spans="1:23" ht="12.75" customHeight="1" x14ac:dyDescent="0.2">
      <c r="A3872" s="257">
        <v>3882</v>
      </c>
      <c r="B3872" s="44">
        <v>44670</v>
      </c>
      <c r="C3872" s="44">
        <f t="shared" si="184"/>
        <v>44670</v>
      </c>
      <c r="D3872" s="374">
        <v>353</v>
      </c>
      <c r="E3872" s="291" t="str">
        <f>IFERROR(VLOOKUP($D3872,'Clients-Live'!$A:$C,3,0),"")</f>
        <v>ANITE MARGRET</v>
      </c>
      <c r="F3872" s="291" t="str">
        <f>IFERROR(INDEX(Disbursements!$D:$D,MATCH('Live Collections'!G3872,Disbursements!$C:$C,0)),"")</f>
        <v/>
      </c>
      <c r="G3872" s="34"/>
      <c r="H3872" s="34">
        <v>5577</v>
      </c>
      <c r="I3872" s="34" t="s">
        <v>1760</v>
      </c>
      <c r="J3872" s="48">
        <v>15000</v>
      </c>
      <c r="K3872" s="48">
        <v>5000</v>
      </c>
      <c r="L3872" s="48"/>
      <c r="M3872" s="48"/>
      <c r="N3872" s="59"/>
      <c r="O3872" s="59"/>
      <c r="P3872" s="59"/>
      <c r="Q3872" s="268">
        <f t="shared" si="182"/>
        <v>20000</v>
      </c>
      <c r="R3872" s="61">
        <f>IF(O3872=0,0,SUMIFS(Disbursements!$T:$T,Disbursements!$B:$B,'Live Collections'!D3872,Disbursements!$D:$D,'Live Collections'!F3872))</f>
        <v>0</v>
      </c>
      <c r="S3872" s="304">
        <f>IF(O3872&lt;=IF($O3872=0,0,SUMIFS(Disbursements!$W:$W,Disbursements!$B:$B,'Live Collections'!D3872,Disbursements!$D:$D,'Live Collections'!F3872)),O3872,IF($O3872=0,0,SUMIFS(Disbursements!$W:$W,Disbursements!$B:$B,'Live Collections'!D3872,Disbursements!$D:$D,'Live Collections'!F3872)))</f>
        <v>0</v>
      </c>
      <c r="T3872" s="304">
        <f t="shared" si="183"/>
        <v>0</v>
      </c>
      <c r="U3872" s="52"/>
      <c r="V3872" s="34"/>
      <c r="W3872" s="408"/>
    </row>
    <row r="3873" spans="1:23" ht="12.75" customHeight="1" x14ac:dyDescent="0.2">
      <c r="A3873" s="257">
        <v>3883</v>
      </c>
      <c r="B3873" s="44">
        <v>44663</v>
      </c>
      <c r="C3873" s="44">
        <f t="shared" si="184"/>
        <v>44663</v>
      </c>
      <c r="D3873" s="374">
        <v>124</v>
      </c>
      <c r="E3873" s="291" t="str">
        <f>IFERROR(VLOOKUP($D3873,'Clients-Live'!$A:$C,3,0),"")</f>
        <v>TIKO ZABIBU</v>
      </c>
      <c r="F3873" s="291">
        <f>IFERROR(INDEX(Disbursements!$D:$D,MATCH('Live Collections'!G3873,Disbursements!$C:$C,0)),"")</f>
        <v>2</v>
      </c>
      <c r="G3873" s="34">
        <v>335</v>
      </c>
      <c r="H3873" s="34">
        <v>5627</v>
      </c>
      <c r="I3873" s="34" t="s">
        <v>1358</v>
      </c>
      <c r="J3873" s="48"/>
      <c r="K3873" s="48"/>
      <c r="L3873" s="48"/>
      <c r="M3873" s="48"/>
      <c r="N3873" s="59"/>
      <c r="O3873" s="59">
        <v>20000</v>
      </c>
      <c r="P3873" s="59"/>
      <c r="Q3873" s="268">
        <f t="shared" si="182"/>
        <v>20000</v>
      </c>
      <c r="R3873" s="61">
        <f>IF(O3873=0,0,SUMIFS(Disbursements!$T:$T,Disbursements!$B:$B,'Live Collections'!D3873,Disbursements!$D:$D,'Live Collections'!F3873))</f>
        <v>200000</v>
      </c>
      <c r="S3873" s="304"/>
      <c r="T3873" s="304">
        <f t="shared" si="183"/>
        <v>20000</v>
      </c>
      <c r="U3873" s="52"/>
      <c r="V3873" s="34"/>
      <c r="W3873" s="408"/>
    </row>
    <row r="3874" spans="1:23" ht="12.75" customHeight="1" x14ac:dyDescent="0.2">
      <c r="A3874" s="257">
        <v>3884</v>
      </c>
      <c r="B3874" s="44">
        <v>44671</v>
      </c>
      <c r="C3874" s="44">
        <f t="shared" si="184"/>
        <v>44671</v>
      </c>
      <c r="D3874" s="374">
        <v>63</v>
      </c>
      <c r="E3874" s="291" t="str">
        <f>IFERROR(VLOOKUP($D3874,'Clients-Live'!$A:$C,3,0),"")</f>
        <v>AWURU KADARA</v>
      </c>
      <c r="F3874" s="291">
        <f>IFERROR(INDEX(Disbursements!$D:$D,MATCH('Live Collections'!G3874,Disbursements!$C:$C,0)),"")</f>
        <v>3</v>
      </c>
      <c r="G3874" s="34">
        <v>375</v>
      </c>
      <c r="H3874" s="34">
        <v>5595</v>
      </c>
      <c r="I3874" s="34" t="s">
        <v>1357</v>
      </c>
      <c r="J3874" s="48"/>
      <c r="K3874" s="48"/>
      <c r="L3874" s="48"/>
      <c r="M3874" s="48"/>
      <c r="N3874" s="59"/>
      <c r="O3874" s="59">
        <v>30000</v>
      </c>
      <c r="P3874" s="59"/>
      <c r="Q3874" s="268">
        <f t="shared" si="182"/>
        <v>30000</v>
      </c>
      <c r="R3874" s="61">
        <f>IF(O3874=0,0,SUMIFS(Disbursements!$T:$T,Disbursements!$B:$B,'Live Collections'!D3874,Disbursements!$D:$D,'Live Collections'!F3874))</f>
        <v>175000</v>
      </c>
      <c r="S3874" s="304">
        <v>17000</v>
      </c>
      <c r="T3874" s="304">
        <f t="shared" si="183"/>
        <v>13000</v>
      </c>
      <c r="U3874" s="52"/>
      <c r="V3874" s="34"/>
      <c r="W3874" s="408"/>
    </row>
    <row r="3875" spans="1:23" ht="12.75" customHeight="1" x14ac:dyDescent="0.2">
      <c r="A3875" s="257">
        <v>3885</v>
      </c>
      <c r="B3875" s="44">
        <v>44671</v>
      </c>
      <c r="C3875" s="44">
        <f t="shared" si="184"/>
        <v>44671</v>
      </c>
      <c r="D3875" s="374">
        <v>304</v>
      </c>
      <c r="E3875" s="291" t="str">
        <f>IFERROR(VLOOKUP($D3875,'Clients-Live'!$A:$C,3,0),"")</f>
        <v>ATAKO GLORIA</v>
      </c>
      <c r="F3875" s="291">
        <f>IFERROR(INDEX(Disbursements!$D:$D,MATCH('Live Collections'!G3875,Disbursements!$C:$C,0)),"")</f>
        <v>1</v>
      </c>
      <c r="G3875" s="34">
        <v>398</v>
      </c>
      <c r="H3875" s="34">
        <v>5594</v>
      </c>
      <c r="I3875" s="34" t="s">
        <v>1357</v>
      </c>
      <c r="J3875" s="48"/>
      <c r="K3875" s="48"/>
      <c r="L3875" s="48"/>
      <c r="M3875" s="48"/>
      <c r="N3875" s="59"/>
      <c r="O3875" s="59">
        <v>50000</v>
      </c>
      <c r="P3875" s="59"/>
      <c r="Q3875" s="268">
        <f t="shared" si="182"/>
        <v>50000</v>
      </c>
      <c r="R3875" s="61">
        <f>IF(O3875=0,0,SUMIFS(Disbursements!$T:$T,Disbursements!$B:$B,'Live Collections'!D3875,Disbursements!$D:$D,'Live Collections'!F3875))</f>
        <v>32000</v>
      </c>
      <c r="S3875" s="304"/>
      <c r="T3875" s="304">
        <f t="shared" si="183"/>
        <v>50000</v>
      </c>
      <c r="U3875" s="52"/>
      <c r="V3875" s="34"/>
      <c r="W3875" s="408"/>
    </row>
    <row r="3876" spans="1:23" ht="12.75" customHeight="1" x14ac:dyDescent="0.2">
      <c r="A3876" s="257">
        <v>3886</v>
      </c>
      <c r="B3876" s="44">
        <v>44671</v>
      </c>
      <c r="C3876" s="44">
        <f t="shared" si="184"/>
        <v>44671</v>
      </c>
      <c r="D3876" s="374">
        <v>66</v>
      </c>
      <c r="E3876" s="291" t="str">
        <f>IFERROR(VLOOKUP($D3876,'Clients-Live'!$A:$C,3,0),"")</f>
        <v>DENAYA NYAMAZA</v>
      </c>
      <c r="F3876" s="291">
        <f>IFERROR(INDEX(Disbursements!$D:$D,MATCH('Live Collections'!G3876,Disbursements!$C:$C,0)),"")</f>
        <v>2</v>
      </c>
      <c r="G3876" s="34">
        <v>300</v>
      </c>
      <c r="H3876" s="34">
        <v>5593</v>
      </c>
      <c r="I3876" s="34" t="s">
        <v>1357</v>
      </c>
      <c r="J3876" s="48"/>
      <c r="K3876" s="48"/>
      <c r="L3876" s="48"/>
      <c r="M3876" s="48"/>
      <c r="N3876" s="59"/>
      <c r="O3876" s="59">
        <v>125000</v>
      </c>
      <c r="P3876" s="59"/>
      <c r="Q3876" s="268">
        <f t="shared" si="182"/>
        <v>125000</v>
      </c>
      <c r="R3876" s="61">
        <f>IF(O3876=0,0,SUMIFS(Disbursements!$T:$T,Disbursements!$B:$B,'Live Collections'!D3876,Disbursements!$D:$D,'Live Collections'!F3876))</f>
        <v>109000</v>
      </c>
      <c r="S3876" s="304">
        <f>IF(O3876&lt;=IF($O3876=0,0,SUMIFS(Disbursements!$W:$W,Disbursements!$B:$B,'Live Collections'!D3876,Disbursements!$D:$D,'Live Collections'!F3876)),O3876,IF($O3876=0,0,SUMIFS(Disbursements!$W:$W,Disbursements!$B:$B,'Live Collections'!D3876,Disbursements!$D:$D,'Live Collections'!F3876)))</f>
        <v>25666.666666666672</v>
      </c>
      <c r="T3876" s="304">
        <f t="shared" si="183"/>
        <v>99333.333333333328</v>
      </c>
      <c r="U3876" s="52"/>
      <c r="V3876" s="34"/>
      <c r="W3876" s="408"/>
    </row>
    <row r="3877" spans="1:23" ht="12.75" customHeight="1" x14ac:dyDescent="0.2">
      <c r="A3877" s="257">
        <v>3887</v>
      </c>
      <c r="B3877" s="44">
        <v>44671</v>
      </c>
      <c r="C3877" s="44">
        <f t="shared" si="184"/>
        <v>44671</v>
      </c>
      <c r="D3877" s="374">
        <v>335</v>
      </c>
      <c r="E3877" s="291" t="str">
        <f>IFERROR(VLOOKUP($D3877,'Clients-Live'!$A:$C,3,0),"")</f>
        <v>FOGO FRANCIS DRANI</v>
      </c>
      <c r="F3877" s="291">
        <f>IFERROR(INDEX(Disbursements!$D:$D,MATCH('Live Collections'!G3877,Disbursements!$C:$C,0)),"")</f>
        <v>1</v>
      </c>
      <c r="G3877" s="34">
        <v>467</v>
      </c>
      <c r="H3877" s="34">
        <v>5592</v>
      </c>
      <c r="I3877" s="34" t="s">
        <v>1357</v>
      </c>
      <c r="J3877" s="48"/>
      <c r="K3877" s="48"/>
      <c r="L3877" s="48"/>
      <c r="M3877" s="48"/>
      <c r="N3877" s="59"/>
      <c r="O3877" s="59">
        <v>100000</v>
      </c>
      <c r="P3877" s="59"/>
      <c r="Q3877" s="268">
        <f t="shared" si="182"/>
        <v>100000</v>
      </c>
      <c r="R3877" s="61">
        <f>IF(O3877=0,0,SUMIFS(Disbursements!$T:$T,Disbursements!$B:$B,'Live Collections'!D3877,Disbursements!$D:$D,'Live Collections'!F3877))</f>
        <v>613000</v>
      </c>
      <c r="S3877" s="304">
        <f>IF(O3877&lt;=IF($O3877=0,0,SUMIFS(Disbursements!$W:$W,Disbursements!$B:$B,'Live Collections'!D3877,Disbursements!$D:$D,'Live Collections'!F3877)),O3877,IF($O3877=0,0,SUMIFS(Disbursements!$W:$W,Disbursements!$B:$B,'Live Collections'!D3877,Disbursements!$D:$D,'Live Collections'!F3877)))</f>
        <v>100000</v>
      </c>
      <c r="T3877" s="304">
        <f t="shared" si="183"/>
        <v>0</v>
      </c>
      <c r="U3877" s="52"/>
      <c r="V3877" s="34"/>
      <c r="W3877" s="408"/>
    </row>
    <row r="3878" spans="1:23" ht="12.75" customHeight="1" x14ac:dyDescent="0.2">
      <c r="A3878" s="257">
        <v>3888</v>
      </c>
      <c r="B3878" s="44">
        <v>44671</v>
      </c>
      <c r="C3878" s="44">
        <f t="shared" si="184"/>
        <v>44671</v>
      </c>
      <c r="D3878" s="374">
        <v>18</v>
      </c>
      <c r="E3878" s="291" t="str">
        <f>IFERROR(VLOOKUP($D3878,'Clients-Live'!$A:$C,3,0),"")</f>
        <v>ARIYE PEACE</v>
      </c>
      <c r="F3878" s="291">
        <f>IFERROR(INDEX(Disbursements!$D:$D,MATCH('Live Collections'!G3878,Disbursements!$C:$C,0)),"")</f>
        <v>2</v>
      </c>
      <c r="G3878" s="34">
        <v>317</v>
      </c>
      <c r="H3878" s="34">
        <v>5591</v>
      </c>
      <c r="I3878" s="34" t="s">
        <v>1357</v>
      </c>
      <c r="J3878" s="48"/>
      <c r="K3878" s="48"/>
      <c r="L3878" s="48"/>
      <c r="M3878" s="48"/>
      <c r="N3878" s="59"/>
      <c r="O3878" s="59">
        <v>100000</v>
      </c>
      <c r="P3878" s="59"/>
      <c r="Q3878" s="268">
        <f t="shared" si="182"/>
        <v>100000</v>
      </c>
      <c r="R3878" s="61">
        <f>IF(O3878=0,0,SUMIFS(Disbursements!$T:$T,Disbursements!$B:$B,'Live Collections'!D3878,Disbursements!$D:$D,'Live Collections'!F3878))</f>
        <v>650000</v>
      </c>
      <c r="S3878" s="304">
        <f>IF(O3878&lt;=IF($O3878=0,0,SUMIFS(Disbursements!$W:$W,Disbursements!$B:$B,'Live Collections'!D3878,Disbursements!$D:$D,'Live Collections'!F3878)),O3878,IF($O3878=0,0,SUMIFS(Disbursements!$W:$W,Disbursements!$B:$B,'Live Collections'!D3878,Disbursements!$D:$D,'Live Collections'!F3878)))</f>
        <v>100000</v>
      </c>
      <c r="T3878" s="304">
        <f t="shared" si="183"/>
        <v>0</v>
      </c>
      <c r="U3878" s="52"/>
      <c r="V3878" s="34"/>
      <c r="W3878" s="408"/>
    </row>
    <row r="3879" spans="1:23" ht="12.75" customHeight="1" x14ac:dyDescent="0.2">
      <c r="A3879" s="257">
        <v>3889</v>
      </c>
      <c r="B3879" s="44">
        <v>44671</v>
      </c>
      <c r="C3879" s="44">
        <f t="shared" si="184"/>
        <v>44671</v>
      </c>
      <c r="D3879" s="374">
        <v>295</v>
      </c>
      <c r="E3879" s="291" t="str">
        <f>IFERROR(VLOOKUP($D3879,'Clients-Live'!$A:$C,3,0),"")</f>
        <v>ABIYO RICHARD ENAKU</v>
      </c>
      <c r="F3879" s="291">
        <f>IFERROR(INDEX(Disbursements!$D:$D,MATCH('Live Collections'!G3879,Disbursements!$C:$C,0)),"")</f>
        <v>1</v>
      </c>
      <c r="G3879" s="34">
        <v>377</v>
      </c>
      <c r="H3879" s="34">
        <v>5590</v>
      </c>
      <c r="I3879" s="34" t="s">
        <v>1359</v>
      </c>
      <c r="J3879" s="48"/>
      <c r="K3879" s="48"/>
      <c r="L3879" s="48"/>
      <c r="M3879" s="48"/>
      <c r="N3879" s="59"/>
      <c r="O3879" s="59">
        <v>217000</v>
      </c>
      <c r="P3879" s="59"/>
      <c r="Q3879" s="268">
        <f t="shared" si="182"/>
        <v>217000</v>
      </c>
      <c r="R3879" s="61">
        <f>IF(O3879=0,0,SUMIFS(Disbursements!$T:$T,Disbursements!$B:$B,'Live Collections'!D3879,Disbursements!$D:$D,'Live Collections'!F3879))</f>
        <v>217000</v>
      </c>
      <c r="S3879" s="304">
        <f>IF(O3879&lt;=IF($O3879=0,0,SUMIFS(Disbursements!$W:$W,Disbursements!$B:$B,'Live Collections'!D3879,Disbursements!$D:$D,'Live Collections'!F3879)),O3879,IF($O3879=0,0,SUMIFS(Disbursements!$W:$W,Disbursements!$B:$B,'Live Collections'!D3879,Disbursements!$D:$D,'Live Collections'!F3879)))</f>
        <v>50333.333333333343</v>
      </c>
      <c r="T3879" s="304">
        <f t="shared" si="183"/>
        <v>166666.66666666666</v>
      </c>
      <c r="U3879" s="52"/>
      <c r="V3879" s="34"/>
      <c r="W3879" s="408"/>
    </row>
    <row r="3880" spans="1:23" ht="12.75" customHeight="1" x14ac:dyDescent="0.2">
      <c r="A3880" s="257">
        <v>3890</v>
      </c>
      <c r="B3880" s="44">
        <v>44671</v>
      </c>
      <c r="C3880" s="44">
        <f t="shared" si="184"/>
        <v>44671</v>
      </c>
      <c r="D3880" s="374">
        <v>109</v>
      </c>
      <c r="E3880" s="291" t="str">
        <f>IFERROR(VLOOKUP($D3880,'Clients-Live'!$A:$C,3,0),"")</f>
        <v>TABU KISA</v>
      </c>
      <c r="F3880" s="291" t="str">
        <f>IFERROR(INDEX(Disbursements!$D:$D,MATCH('Live Collections'!G3880,Disbursements!$C:$C,0)),"")</f>
        <v/>
      </c>
      <c r="G3880" s="34"/>
      <c r="H3880" s="34">
        <v>5492</v>
      </c>
      <c r="I3880" s="34" t="s">
        <v>1357</v>
      </c>
      <c r="J3880" s="48"/>
      <c r="K3880" s="48">
        <v>5000</v>
      </c>
      <c r="L3880" s="48"/>
      <c r="M3880" s="48"/>
      <c r="N3880" s="59"/>
      <c r="O3880" s="59"/>
      <c r="P3880" s="59"/>
      <c r="Q3880" s="268">
        <f t="shared" si="182"/>
        <v>5000</v>
      </c>
      <c r="R3880" s="61">
        <f>IF(O3880=0,0,SUMIFS(Disbursements!$T:$T,Disbursements!$B:$B,'Live Collections'!D3880,Disbursements!$D:$D,'Live Collections'!F3880))</f>
        <v>0</v>
      </c>
      <c r="S3880" s="304">
        <f>IF(O3880&lt;=IF($O3880=0,0,SUMIFS(Disbursements!$W:$W,Disbursements!$B:$B,'Live Collections'!D3880,Disbursements!$D:$D,'Live Collections'!F3880)),O3880,IF($O3880=0,0,SUMIFS(Disbursements!$W:$W,Disbursements!$B:$B,'Live Collections'!D3880,Disbursements!$D:$D,'Live Collections'!F3880)))</f>
        <v>0</v>
      </c>
      <c r="T3880" s="304">
        <f t="shared" si="183"/>
        <v>0</v>
      </c>
      <c r="U3880" s="52"/>
      <c r="V3880" s="34"/>
      <c r="W3880" s="408"/>
    </row>
    <row r="3881" spans="1:23" ht="12.75" customHeight="1" x14ac:dyDescent="0.2">
      <c r="A3881" s="257">
        <v>3891</v>
      </c>
      <c r="B3881" s="44">
        <v>44671</v>
      </c>
      <c r="C3881" s="44">
        <f t="shared" si="184"/>
        <v>44671</v>
      </c>
      <c r="D3881" s="374">
        <v>109</v>
      </c>
      <c r="E3881" s="291" t="str">
        <f>IFERROR(VLOOKUP($D3881,'Clients-Live'!$A:$C,3,0),"")</f>
        <v>TABU KISA</v>
      </c>
      <c r="F3881" s="291">
        <f>IFERROR(INDEX(Disbursements!$D:$D,MATCH('Live Collections'!G3881,Disbursements!$C:$C,0)),"")</f>
        <v>3</v>
      </c>
      <c r="G3881" s="34">
        <v>495</v>
      </c>
      <c r="H3881" s="34">
        <v>5491</v>
      </c>
      <c r="I3881" s="34" t="s">
        <v>1357</v>
      </c>
      <c r="J3881" s="48"/>
      <c r="K3881" s="48"/>
      <c r="L3881" s="48"/>
      <c r="M3881" s="48"/>
      <c r="N3881" s="59"/>
      <c r="O3881" s="59">
        <v>25000</v>
      </c>
      <c r="P3881" s="59"/>
      <c r="Q3881" s="268">
        <f t="shared" si="182"/>
        <v>25000</v>
      </c>
      <c r="R3881" s="61">
        <f>IF(O3881=0,0,SUMIFS(Disbursements!$T:$T,Disbursements!$B:$B,'Live Collections'!D3881,Disbursements!$D:$D,'Live Collections'!F3881))</f>
        <v>30000</v>
      </c>
      <c r="S3881" s="304">
        <f>IF(O3881&lt;=IF($O3881=0,0,SUMIFS(Disbursements!$W:$W,Disbursements!$B:$B,'Live Collections'!D3881,Disbursements!$D:$D,'Live Collections'!F3881)),O3881,IF($O3881=0,0,SUMIFS(Disbursements!$W:$W,Disbursements!$B:$B,'Live Collections'!D3881,Disbursements!$D:$D,'Live Collections'!F3881)))</f>
        <v>5000</v>
      </c>
      <c r="T3881" s="304">
        <f t="shared" si="183"/>
        <v>20000</v>
      </c>
      <c r="U3881" s="52"/>
      <c r="V3881" s="34"/>
      <c r="W3881" s="408"/>
    </row>
    <row r="3882" spans="1:23" ht="12.75" customHeight="1" x14ac:dyDescent="0.2">
      <c r="A3882" s="257">
        <v>3892</v>
      </c>
      <c r="B3882" s="44">
        <v>44671</v>
      </c>
      <c r="C3882" s="44">
        <f t="shared" si="184"/>
        <v>44671</v>
      </c>
      <c r="D3882" s="374">
        <v>210</v>
      </c>
      <c r="E3882" s="291" t="str">
        <f>IFERROR(VLOOKUP($D3882,'Clients-Live'!$A:$C,3,0),"")</f>
        <v>ADRILI ZAHARA</v>
      </c>
      <c r="F3882" s="291">
        <f>IFERROR(INDEX(Disbursements!$D:$D,MATCH('Live Collections'!G3882,Disbursements!$C:$C,0)),"")</f>
        <v>2</v>
      </c>
      <c r="G3882" s="34">
        <v>379</v>
      </c>
      <c r="H3882" s="34">
        <v>5490</v>
      </c>
      <c r="I3882" s="34" t="s">
        <v>1357</v>
      </c>
      <c r="J3882" s="48"/>
      <c r="K3882" s="48"/>
      <c r="L3882" s="48"/>
      <c r="M3882" s="48"/>
      <c r="N3882" s="59"/>
      <c r="O3882" s="59">
        <v>175000</v>
      </c>
      <c r="P3882" s="59"/>
      <c r="Q3882" s="268">
        <f t="shared" si="182"/>
        <v>175000</v>
      </c>
      <c r="R3882" s="61">
        <f>IF(O3882=0,0,SUMIFS(Disbursements!$T:$T,Disbursements!$B:$B,'Live Collections'!D3882,Disbursements!$D:$D,'Live Collections'!F3882))</f>
        <v>175000</v>
      </c>
      <c r="S3882" s="304">
        <f>IF(O3882&lt;=IF($O3882=0,0,SUMIFS(Disbursements!$W:$W,Disbursements!$B:$B,'Live Collections'!D3882,Disbursements!$D:$D,'Live Collections'!F3882)),O3882,IF($O3882=0,0,SUMIFS(Disbursements!$W:$W,Disbursements!$B:$B,'Live Collections'!D3882,Disbursements!$D:$D,'Live Collections'!F3882)))</f>
        <v>35000</v>
      </c>
      <c r="T3882" s="304">
        <f t="shared" si="183"/>
        <v>140000</v>
      </c>
      <c r="U3882" s="52"/>
      <c r="V3882" s="34"/>
      <c r="W3882" s="408"/>
    </row>
    <row r="3883" spans="1:23" ht="12.75" customHeight="1" x14ac:dyDescent="0.2">
      <c r="A3883" s="257">
        <v>3893</v>
      </c>
      <c r="B3883" s="44">
        <v>44671</v>
      </c>
      <c r="C3883" s="44">
        <f t="shared" si="184"/>
        <v>44671</v>
      </c>
      <c r="D3883" s="374">
        <v>88</v>
      </c>
      <c r="E3883" s="291" t="str">
        <f>IFERROR(VLOOKUP($D3883,'Clients-Live'!$A:$C,3,0),"")</f>
        <v>FAIDA HARRIET</v>
      </c>
      <c r="F3883" s="291">
        <f>IFERROR(INDEX(Disbursements!$D:$D,MATCH('Live Collections'!G3883,Disbursements!$C:$C,0)),"")</f>
        <v>3</v>
      </c>
      <c r="G3883" s="34">
        <v>380</v>
      </c>
      <c r="H3883" s="34">
        <v>5589</v>
      </c>
      <c r="I3883" s="34" t="s">
        <v>1357</v>
      </c>
      <c r="J3883" s="48"/>
      <c r="K3883" s="48"/>
      <c r="L3883" s="48"/>
      <c r="M3883" s="48"/>
      <c r="N3883" s="59"/>
      <c r="O3883" s="59">
        <v>110000</v>
      </c>
      <c r="P3883" s="59"/>
      <c r="Q3883" s="268">
        <f t="shared" si="182"/>
        <v>110000</v>
      </c>
      <c r="R3883" s="61">
        <f>IF(O3883=0,0,SUMIFS(Disbursements!$T:$T,Disbursements!$B:$B,'Live Collections'!D3883,Disbursements!$D:$D,'Live Collections'!F3883))</f>
        <v>90000</v>
      </c>
      <c r="S3883" s="304"/>
      <c r="T3883" s="304">
        <f t="shared" si="183"/>
        <v>110000</v>
      </c>
      <c r="U3883" s="52"/>
      <c r="V3883" s="34"/>
      <c r="W3883" s="408"/>
    </row>
    <row r="3884" spans="1:23" ht="12.75" customHeight="1" x14ac:dyDescent="0.2">
      <c r="A3884" s="257">
        <v>3894</v>
      </c>
      <c r="B3884" s="44">
        <v>44671</v>
      </c>
      <c r="C3884" s="44">
        <f t="shared" si="184"/>
        <v>44671</v>
      </c>
      <c r="D3884" s="374">
        <v>333</v>
      </c>
      <c r="E3884" s="291" t="str">
        <f>IFERROR(VLOOKUP($D3884,'Clients-Live'!$A:$C,3,0),"")</f>
        <v>OSORU HELLEN</v>
      </c>
      <c r="F3884" s="291">
        <f>IFERROR(INDEX(Disbursements!$D:$D,MATCH('Live Collections'!G3884,Disbursements!$C:$C,0)),"")</f>
        <v>1</v>
      </c>
      <c r="G3884" s="34">
        <v>472</v>
      </c>
      <c r="H3884" s="34">
        <v>5587</v>
      </c>
      <c r="I3884" s="34" t="s">
        <v>1358</v>
      </c>
      <c r="J3884" s="48"/>
      <c r="K3884" s="48"/>
      <c r="L3884" s="48"/>
      <c r="M3884" s="48"/>
      <c r="N3884" s="59"/>
      <c r="O3884" s="59">
        <v>39400</v>
      </c>
      <c r="P3884" s="59"/>
      <c r="Q3884" s="268">
        <f t="shared" ref="Q3884:Q3947" si="185">SUM(J3884:P3884)</f>
        <v>39400</v>
      </c>
      <c r="R3884" s="61">
        <f>IF(O3884=0,0,SUMIFS(Disbursements!$T:$T,Disbursements!$B:$B,'Live Collections'!D3884,Disbursements!$D:$D,'Live Collections'!F3884))</f>
        <v>40000</v>
      </c>
      <c r="S3884" s="304">
        <f>IF(O3884&lt;=IF($O3884=0,0,SUMIFS(Disbursements!$W:$W,Disbursements!$B:$B,'Live Collections'!D3884,Disbursements!$D:$D,'Live Collections'!F3884)),O3884,IF($O3884=0,0,SUMIFS(Disbursements!$W:$W,Disbursements!$B:$B,'Live Collections'!D3884,Disbursements!$D:$D,'Live Collections'!F3884)))</f>
        <v>8750</v>
      </c>
      <c r="T3884" s="304">
        <f t="shared" si="183"/>
        <v>30650</v>
      </c>
      <c r="U3884" s="52"/>
      <c r="V3884" s="34"/>
      <c r="W3884" s="408"/>
    </row>
    <row r="3885" spans="1:23" ht="12.75" customHeight="1" x14ac:dyDescent="0.2">
      <c r="A3885" s="257">
        <v>3895</v>
      </c>
      <c r="B3885" s="44">
        <v>44671</v>
      </c>
      <c r="C3885" s="44">
        <f t="shared" si="184"/>
        <v>44671</v>
      </c>
      <c r="D3885" s="374">
        <v>301</v>
      </c>
      <c r="E3885" s="291" t="str">
        <f>IFERROR(VLOOKUP($D3885,'Clients-Live'!$A:$C,3,0),"")</f>
        <v>MAYANJA DAVID</v>
      </c>
      <c r="F3885" s="291">
        <f>IFERROR(INDEX(Disbursements!$D:$D,MATCH('Live Collections'!G3885,Disbursements!$C:$C,0)),"")</f>
        <v>1</v>
      </c>
      <c r="G3885" s="34">
        <v>372</v>
      </c>
      <c r="H3885" s="34">
        <v>5588</v>
      </c>
      <c r="I3885" s="34" t="s">
        <v>1359</v>
      </c>
      <c r="J3885" s="48"/>
      <c r="K3885" s="48"/>
      <c r="L3885" s="48"/>
      <c r="M3885" s="48"/>
      <c r="N3885" s="59"/>
      <c r="O3885" s="59">
        <v>300000</v>
      </c>
      <c r="P3885" s="59"/>
      <c r="Q3885" s="268">
        <f t="shared" si="185"/>
        <v>300000</v>
      </c>
      <c r="R3885" s="61">
        <f>IF(O3885=0,0,SUMIFS(Disbursements!$T:$T,Disbursements!$B:$B,'Live Collections'!D3885,Disbursements!$D:$D,'Live Collections'!F3885))</f>
        <v>325000</v>
      </c>
      <c r="S3885" s="304">
        <f>IF(O3885&lt;=IF($O3885=0,0,SUMIFS(Disbursements!$W:$W,Disbursements!$B:$B,'Live Collections'!D3885,Disbursements!$D:$D,'Live Collections'!F3885)),O3885,IF($O3885=0,0,SUMIFS(Disbursements!$W:$W,Disbursements!$B:$B,'Live Collections'!D3885,Disbursements!$D:$D,'Live Collections'!F3885)))</f>
        <v>75000</v>
      </c>
      <c r="T3885" s="304">
        <f t="shared" si="183"/>
        <v>225000</v>
      </c>
      <c r="U3885" s="52"/>
      <c r="V3885" s="34"/>
      <c r="W3885" s="408"/>
    </row>
    <row r="3886" spans="1:23" ht="12.75" customHeight="1" x14ac:dyDescent="0.2">
      <c r="A3886" s="257">
        <v>3896</v>
      </c>
      <c r="B3886" s="44">
        <v>44671</v>
      </c>
      <c r="C3886" s="44">
        <f t="shared" si="184"/>
        <v>44671</v>
      </c>
      <c r="D3886" s="374">
        <v>116</v>
      </c>
      <c r="E3886" s="291" t="str">
        <f>IFERROR(VLOOKUP($D3886,'Clients-Live'!$A:$C,3,0),"")</f>
        <v>ONZIA LUCY</v>
      </c>
      <c r="F3886" s="291">
        <f>IFERROR(INDEX(Disbursements!$D:$D,MATCH('Live Collections'!G3886,Disbursements!$C:$C,0)),"")</f>
        <v>3</v>
      </c>
      <c r="G3886" s="34">
        <v>361</v>
      </c>
      <c r="H3886" s="34">
        <v>5489</v>
      </c>
      <c r="I3886" s="34" t="s">
        <v>1357</v>
      </c>
      <c r="J3886" s="48"/>
      <c r="K3886" s="48"/>
      <c r="L3886" s="48"/>
      <c r="M3886" s="48"/>
      <c r="N3886" s="59"/>
      <c r="O3886" s="59">
        <v>25000</v>
      </c>
      <c r="P3886" s="59"/>
      <c r="Q3886" s="268">
        <f t="shared" si="185"/>
        <v>25000</v>
      </c>
      <c r="R3886" s="61">
        <f>IF(O3886=0,0,SUMIFS(Disbursements!$T:$T,Disbursements!$B:$B,'Live Collections'!D3886,Disbursements!$D:$D,'Live Collections'!F3886))</f>
        <v>120000</v>
      </c>
      <c r="S3886" s="304"/>
      <c r="T3886" s="304">
        <f t="shared" si="183"/>
        <v>25000</v>
      </c>
      <c r="U3886" s="52"/>
      <c r="V3886" s="34"/>
      <c r="W3886" s="408"/>
    </row>
    <row r="3887" spans="1:23" ht="12.75" customHeight="1" x14ac:dyDescent="0.2">
      <c r="A3887" s="257">
        <v>3897</v>
      </c>
      <c r="B3887" s="44">
        <v>44671</v>
      </c>
      <c r="C3887" s="44">
        <f t="shared" si="184"/>
        <v>44671</v>
      </c>
      <c r="D3887" s="374">
        <v>208</v>
      </c>
      <c r="E3887" s="291" t="str">
        <f>IFERROR(VLOOKUP($D3887,'Clients-Live'!$A:$C,3,0),"")</f>
        <v>TIKO RAIMA</v>
      </c>
      <c r="F3887" s="291" t="str">
        <f>IFERROR(INDEX(Disbursements!$D:$D,MATCH('Live Collections'!G3887,Disbursements!$C:$C,0)),"")</f>
        <v/>
      </c>
      <c r="G3887" s="34"/>
      <c r="H3887" s="34">
        <v>5585</v>
      </c>
      <c r="I3887" s="34" t="s">
        <v>1357</v>
      </c>
      <c r="J3887" s="48"/>
      <c r="K3887" s="48"/>
      <c r="L3887" s="48"/>
      <c r="M3887" s="48"/>
      <c r="N3887" s="59">
        <v>5000</v>
      </c>
      <c r="O3887" s="59"/>
      <c r="P3887" s="59"/>
      <c r="Q3887" s="268">
        <f t="shared" si="185"/>
        <v>5000</v>
      </c>
      <c r="R3887" s="61">
        <f>IF(O3887=0,0,SUMIFS(Disbursements!$T:$T,Disbursements!$B:$B,'Live Collections'!D3887,Disbursements!$D:$D,'Live Collections'!F3887))</f>
        <v>0</v>
      </c>
      <c r="S3887" s="304">
        <f>IF(O3887&lt;=IF($O3887=0,0,SUMIFS(Disbursements!$W:$W,Disbursements!$B:$B,'Live Collections'!D3887,Disbursements!$D:$D,'Live Collections'!F3887)),O3887,IF($O3887=0,0,SUMIFS(Disbursements!$W:$W,Disbursements!$B:$B,'Live Collections'!D3887,Disbursements!$D:$D,'Live Collections'!F3887)))</f>
        <v>0</v>
      </c>
      <c r="T3887" s="304">
        <f t="shared" si="183"/>
        <v>0</v>
      </c>
      <c r="U3887" s="52"/>
      <c r="V3887" s="34"/>
      <c r="W3887" s="408"/>
    </row>
    <row r="3888" spans="1:23" ht="12.75" customHeight="1" x14ac:dyDescent="0.2">
      <c r="A3888" s="257">
        <v>3898</v>
      </c>
      <c r="B3888" s="44">
        <v>44671</v>
      </c>
      <c r="C3888" s="44">
        <f t="shared" si="184"/>
        <v>44671</v>
      </c>
      <c r="D3888" s="374">
        <v>208</v>
      </c>
      <c r="E3888" s="291" t="str">
        <f>IFERROR(VLOOKUP($D3888,'Clients-Live'!$A:$C,3,0),"")</f>
        <v>TIKO RAIMA</v>
      </c>
      <c r="F3888" s="291">
        <f>IFERROR(INDEX(Disbursements!$D:$D,MATCH('Live Collections'!G3888,Disbursements!$C:$C,0)),"")</f>
        <v>2</v>
      </c>
      <c r="G3888" s="34">
        <v>322</v>
      </c>
      <c r="H3888" s="34" t="s">
        <v>2312</v>
      </c>
      <c r="I3888" s="34" t="s">
        <v>1357</v>
      </c>
      <c r="J3888" s="48"/>
      <c r="K3888" s="48"/>
      <c r="L3888" s="48"/>
      <c r="M3888" s="48"/>
      <c r="N3888" s="59"/>
      <c r="O3888" s="59">
        <v>30000</v>
      </c>
      <c r="P3888" s="59">
        <v>-30000</v>
      </c>
      <c r="Q3888" s="268">
        <f t="shared" si="185"/>
        <v>0</v>
      </c>
      <c r="R3888" s="61">
        <f>IF(O3888=0,0,SUMIFS(Disbursements!$T:$T,Disbursements!$B:$B,'Live Collections'!D3888,Disbursements!$D:$D,'Live Collections'!F3888))</f>
        <v>115000</v>
      </c>
      <c r="S3888" s="304"/>
      <c r="T3888" s="304">
        <f t="shared" si="183"/>
        <v>30000</v>
      </c>
      <c r="U3888" s="52"/>
      <c r="V3888" s="34"/>
      <c r="W3888" s="408"/>
    </row>
    <row r="3889" spans="1:23" ht="12.75" customHeight="1" x14ac:dyDescent="0.2">
      <c r="A3889" s="257">
        <v>3899</v>
      </c>
      <c r="B3889" s="44">
        <v>44671</v>
      </c>
      <c r="C3889" s="44">
        <f t="shared" si="184"/>
        <v>44671</v>
      </c>
      <c r="D3889" s="374">
        <v>208</v>
      </c>
      <c r="E3889" s="291" t="str">
        <f>IFERROR(VLOOKUP($D3889,'Clients-Live'!$A:$C,3,0),"")</f>
        <v>TIKO RAIMA</v>
      </c>
      <c r="F3889" s="291">
        <f>IFERROR(INDEX(Disbursements!$D:$D,MATCH('Live Collections'!G3889,Disbursements!$C:$C,0)),"")</f>
        <v>2</v>
      </c>
      <c r="G3889" s="34">
        <v>322</v>
      </c>
      <c r="H3889" s="34">
        <v>5485</v>
      </c>
      <c r="I3889" s="34" t="s">
        <v>1357</v>
      </c>
      <c r="J3889" s="48"/>
      <c r="K3889" s="48"/>
      <c r="L3889" s="48"/>
      <c r="M3889" s="48"/>
      <c r="N3889" s="59"/>
      <c r="O3889" s="59">
        <v>20000</v>
      </c>
      <c r="P3889" s="59"/>
      <c r="Q3889" s="268">
        <f t="shared" si="185"/>
        <v>20000</v>
      </c>
      <c r="R3889" s="61">
        <f>IF(O3889=0,0,SUMIFS(Disbursements!$T:$T,Disbursements!$B:$B,'Live Collections'!D3889,Disbursements!$D:$D,'Live Collections'!F3889))</f>
        <v>115000</v>
      </c>
      <c r="S3889" s="304"/>
      <c r="T3889" s="304">
        <f t="shared" si="183"/>
        <v>20000</v>
      </c>
      <c r="U3889" s="52"/>
      <c r="V3889" s="34"/>
      <c r="W3889" s="408"/>
    </row>
    <row r="3890" spans="1:23" ht="12.75" customHeight="1" x14ac:dyDescent="0.2">
      <c r="A3890" s="257">
        <v>3900</v>
      </c>
      <c r="B3890" s="44">
        <v>44671</v>
      </c>
      <c r="C3890" s="44">
        <f t="shared" si="184"/>
        <v>44671</v>
      </c>
      <c r="D3890" s="374">
        <v>292</v>
      </c>
      <c r="E3890" s="291" t="str">
        <f>IFERROR(VLOOKUP($D3890,'Clients-Live'!$A:$C,3,0),"")</f>
        <v>AFEKU DENIS</v>
      </c>
      <c r="F3890" s="291">
        <f>IFERROR(INDEX(Disbursements!$D:$D,MATCH('Live Collections'!G3890,Disbursements!$C:$C,0)),"")</f>
        <v>1</v>
      </c>
      <c r="G3890" s="34">
        <v>368</v>
      </c>
      <c r="H3890" s="34">
        <v>5486</v>
      </c>
      <c r="I3890" s="34" t="s">
        <v>1359</v>
      </c>
      <c r="J3890" s="48"/>
      <c r="K3890" s="48"/>
      <c r="L3890" s="48"/>
      <c r="M3890" s="48"/>
      <c r="N3890" s="59"/>
      <c r="O3890" s="59">
        <v>980000</v>
      </c>
      <c r="P3890" s="59"/>
      <c r="Q3890" s="268">
        <f t="shared" si="185"/>
        <v>980000</v>
      </c>
      <c r="R3890" s="61">
        <f>IF(O3890=0,0,SUMIFS(Disbursements!$T:$T,Disbursements!$B:$B,'Live Collections'!D3890,Disbursements!$D:$D,'Live Collections'!F3890))</f>
        <v>2600000</v>
      </c>
      <c r="S3890" s="304">
        <f>IF(O3890&lt;=IF($O3890=0,0,SUMIFS(Disbursements!$W:$W,Disbursements!$B:$B,'Live Collections'!D3890,Disbursements!$D:$D,'Live Collections'!F3890)),O3890,IF($O3890=0,0,SUMIFS(Disbursements!$W:$W,Disbursements!$B:$B,'Live Collections'!D3890,Disbursements!$D:$D,'Live Collections'!F3890)))</f>
        <v>600000</v>
      </c>
      <c r="T3890" s="304">
        <f t="shared" si="183"/>
        <v>380000</v>
      </c>
      <c r="U3890" s="52"/>
      <c r="V3890" s="34"/>
      <c r="W3890" s="408"/>
    </row>
    <row r="3891" spans="1:23" ht="12.75" customHeight="1" x14ac:dyDescent="0.2">
      <c r="A3891" s="257">
        <v>3901</v>
      </c>
      <c r="B3891" s="44">
        <v>44671</v>
      </c>
      <c r="C3891" s="44">
        <f t="shared" si="184"/>
        <v>44671</v>
      </c>
      <c r="D3891" s="374">
        <v>340</v>
      </c>
      <c r="E3891" s="291" t="str">
        <f>IFERROR(VLOOKUP($D3891,'Clients-Live'!$A:$C,3,0),"")</f>
        <v>NIGHT RAIMA</v>
      </c>
      <c r="F3891" s="291">
        <f>IFERROR(INDEX(Disbursements!$D:$D,MATCH('Live Collections'!G3891,Disbursements!$C:$C,0)),"")</f>
        <v>1</v>
      </c>
      <c r="G3891" s="34">
        <v>481</v>
      </c>
      <c r="H3891" s="34">
        <v>5488</v>
      </c>
      <c r="I3891" s="34" t="s">
        <v>1358</v>
      </c>
      <c r="J3891" s="48"/>
      <c r="K3891" s="48"/>
      <c r="L3891" s="48"/>
      <c r="M3891" s="48"/>
      <c r="N3891" s="59"/>
      <c r="O3891" s="59">
        <v>40000</v>
      </c>
      <c r="P3891" s="59"/>
      <c r="Q3891" s="268">
        <f t="shared" si="185"/>
        <v>40000</v>
      </c>
      <c r="R3891" s="61">
        <f>IF(O3891=0,0,SUMIFS(Disbursements!$T:$T,Disbursements!$B:$B,'Live Collections'!D3891,Disbursements!$D:$D,'Live Collections'!F3891))</f>
        <v>40000</v>
      </c>
      <c r="S3891" s="304">
        <f>IF(O3891&lt;=IF($O3891=0,0,SUMIFS(Disbursements!$W:$W,Disbursements!$B:$B,'Live Collections'!D3891,Disbursements!$D:$D,'Live Collections'!F3891)),O3891,IF($O3891=0,0,SUMIFS(Disbursements!$W:$W,Disbursements!$B:$B,'Live Collections'!D3891,Disbursements!$D:$D,'Live Collections'!F3891)))</f>
        <v>10000</v>
      </c>
      <c r="T3891" s="304">
        <f t="shared" si="183"/>
        <v>30000</v>
      </c>
      <c r="U3891" s="52"/>
      <c r="V3891" s="34"/>
      <c r="W3891" s="408"/>
    </row>
    <row r="3892" spans="1:23" ht="12.75" customHeight="1" x14ac:dyDescent="0.2">
      <c r="A3892" s="257">
        <v>3902</v>
      </c>
      <c r="B3892" s="44">
        <v>44671</v>
      </c>
      <c r="C3892" s="44">
        <f t="shared" si="184"/>
        <v>44671</v>
      </c>
      <c r="D3892" s="374">
        <v>291</v>
      </c>
      <c r="E3892" s="291" t="str">
        <f>IFERROR(VLOOKUP($D3892,'Clients-Live'!$A:$C,3,0),"")</f>
        <v>LEMAKU SWAIB</v>
      </c>
      <c r="F3892" s="291" t="str">
        <f>IFERROR(INDEX(Disbursements!$D:$D,MATCH('Live Collections'!G3892,Disbursements!$C:$C,0)),"")</f>
        <v/>
      </c>
      <c r="G3892" s="34"/>
      <c r="H3892" s="34">
        <v>5484</v>
      </c>
      <c r="I3892" s="34" t="s">
        <v>1359</v>
      </c>
      <c r="J3892" s="48"/>
      <c r="K3892" s="48"/>
      <c r="L3892" s="48">
        <v>15000</v>
      </c>
      <c r="M3892" s="48">
        <v>5000</v>
      </c>
      <c r="N3892" s="59"/>
      <c r="O3892" s="59"/>
      <c r="P3892" s="59"/>
      <c r="Q3892" s="268">
        <f t="shared" si="185"/>
        <v>20000</v>
      </c>
      <c r="R3892" s="61">
        <f>IF(O3892=0,0,SUMIFS(Disbursements!$T:$T,Disbursements!$B:$B,'Live Collections'!D3892,Disbursements!$D:$D,'Live Collections'!F3892))</f>
        <v>0</v>
      </c>
      <c r="S3892" s="304">
        <f>IF(O3892&lt;=IF($O3892=0,0,SUMIFS(Disbursements!$W:$W,Disbursements!$B:$B,'Live Collections'!D3892,Disbursements!$D:$D,'Live Collections'!F3892)),O3892,IF($O3892=0,0,SUMIFS(Disbursements!$W:$W,Disbursements!$B:$B,'Live Collections'!D3892,Disbursements!$D:$D,'Live Collections'!F3892)))</f>
        <v>0</v>
      </c>
      <c r="T3892" s="304">
        <f t="shared" si="183"/>
        <v>0</v>
      </c>
      <c r="U3892" s="52"/>
      <c r="V3892" s="34"/>
      <c r="W3892" s="408"/>
    </row>
    <row r="3893" spans="1:23" ht="12.75" customHeight="1" x14ac:dyDescent="0.2">
      <c r="A3893" s="257">
        <v>3903</v>
      </c>
      <c r="B3893" s="44">
        <v>44671</v>
      </c>
      <c r="C3893" s="44">
        <f t="shared" si="184"/>
        <v>44671</v>
      </c>
      <c r="D3893" s="374">
        <v>103</v>
      </c>
      <c r="E3893" s="291" t="str">
        <f>IFERROR(VLOOKUP($D3893,'Clients-Live'!$A:$C,3,0),"")</f>
        <v>CHANDIRU ZABIB</v>
      </c>
      <c r="F3893" s="291">
        <f>IFERROR(INDEX(Disbursements!$D:$D,MATCH('Live Collections'!G3893,Disbursements!$C:$C,0)),"")</f>
        <v>3</v>
      </c>
      <c r="G3893" s="34">
        <v>459</v>
      </c>
      <c r="H3893" s="34">
        <v>5483</v>
      </c>
      <c r="I3893" s="34" t="s">
        <v>1358</v>
      </c>
      <c r="J3893" s="48"/>
      <c r="K3893" s="48"/>
      <c r="L3893" s="48"/>
      <c r="M3893" s="48"/>
      <c r="N3893" s="59"/>
      <c r="O3893" s="59">
        <v>150000</v>
      </c>
      <c r="P3893" s="59"/>
      <c r="Q3893" s="268">
        <f t="shared" si="185"/>
        <v>150000</v>
      </c>
      <c r="R3893" s="61">
        <f>IF(O3893=0,0,SUMIFS(Disbursements!$T:$T,Disbursements!$B:$B,'Live Collections'!D3893,Disbursements!$D:$D,'Live Collections'!F3893))</f>
        <v>158000</v>
      </c>
      <c r="S3893" s="304">
        <f>IF(O3893&lt;=IF($O3893=0,0,SUMIFS(Disbursements!$W:$W,Disbursements!$B:$B,'Live Collections'!D3893,Disbursements!$D:$D,'Live Collections'!F3893)),O3893,IF($O3893=0,0,SUMIFS(Disbursements!$W:$W,Disbursements!$B:$B,'Live Collections'!D3893,Disbursements!$D:$D,'Live Collections'!F3893)))</f>
        <v>33000</v>
      </c>
      <c r="T3893" s="304">
        <f t="shared" si="183"/>
        <v>117000</v>
      </c>
      <c r="U3893" s="52"/>
      <c r="V3893" s="34"/>
      <c r="W3893" s="408"/>
    </row>
    <row r="3894" spans="1:23" ht="12.75" customHeight="1" x14ac:dyDescent="0.2">
      <c r="A3894" s="257">
        <v>3904</v>
      </c>
      <c r="B3894" s="44">
        <v>44671</v>
      </c>
      <c r="C3894" s="44">
        <f t="shared" si="184"/>
        <v>44671</v>
      </c>
      <c r="D3894" s="374">
        <v>77</v>
      </c>
      <c r="E3894" s="291" t="str">
        <f>IFERROR(VLOOKUP($D3894,'Clients-Live'!$A:$C,3,0),"")</f>
        <v>CACA FATUMA</v>
      </c>
      <c r="F3894" s="291">
        <f>IFERROR(INDEX(Disbursements!$D:$D,MATCH('Live Collections'!G3894,Disbursements!$C:$C,0)),"")</f>
        <v>2</v>
      </c>
      <c r="G3894" s="34">
        <v>315</v>
      </c>
      <c r="H3894" s="34">
        <v>5584</v>
      </c>
      <c r="I3894" s="34" t="s">
        <v>1357</v>
      </c>
      <c r="J3894" s="48"/>
      <c r="K3894" s="48"/>
      <c r="L3894" s="48"/>
      <c r="M3894" s="48"/>
      <c r="N3894" s="59"/>
      <c r="O3894" s="59">
        <v>150000</v>
      </c>
      <c r="P3894" s="59"/>
      <c r="Q3894" s="268">
        <f t="shared" si="185"/>
        <v>150000</v>
      </c>
      <c r="R3894" s="61">
        <f>IF(O3894=0,0,SUMIFS(Disbursements!$T:$T,Disbursements!$B:$B,'Live Collections'!D3894,Disbursements!$D:$D,'Live Collections'!F3894))</f>
        <v>325000</v>
      </c>
      <c r="S3894" s="304"/>
      <c r="T3894" s="304">
        <f t="shared" si="183"/>
        <v>150000</v>
      </c>
      <c r="U3894" s="52"/>
      <c r="V3894" s="34"/>
      <c r="W3894" s="408"/>
    </row>
    <row r="3895" spans="1:23" ht="12.75" customHeight="1" x14ac:dyDescent="0.2">
      <c r="A3895" s="257">
        <v>3905</v>
      </c>
      <c r="B3895" s="44">
        <v>44671</v>
      </c>
      <c r="C3895" s="44">
        <f t="shared" si="184"/>
        <v>44671</v>
      </c>
      <c r="D3895" s="374">
        <v>242</v>
      </c>
      <c r="E3895" s="291" t="str">
        <f>IFERROR(VLOOKUP($D3895,'Clients-Live'!$A:$C,3,0),"")</f>
        <v>BAKOKO FLAVIA</v>
      </c>
      <c r="F3895" s="291">
        <f>IFERROR(INDEX(Disbursements!$D:$D,MATCH('Live Collections'!G3895,Disbursements!$C:$C,0)),"")</f>
        <v>1</v>
      </c>
      <c r="G3895" s="34">
        <v>277</v>
      </c>
      <c r="H3895" s="34">
        <v>5583</v>
      </c>
      <c r="I3895" s="34" t="s">
        <v>1359</v>
      </c>
      <c r="J3895" s="48"/>
      <c r="K3895" s="48"/>
      <c r="L3895" s="48"/>
      <c r="M3895" s="48"/>
      <c r="N3895" s="59"/>
      <c r="O3895" s="59">
        <v>80000</v>
      </c>
      <c r="P3895" s="59"/>
      <c r="Q3895" s="268">
        <f t="shared" si="185"/>
        <v>80000</v>
      </c>
      <c r="R3895" s="61">
        <f>IF(O3895=0,0,SUMIFS(Disbursements!$T:$T,Disbursements!$B:$B,'Live Collections'!D3895,Disbursements!$D:$D,'Live Collections'!F3895))</f>
        <v>217000</v>
      </c>
      <c r="S3895" s="304">
        <f>IF(O3895&lt;=IF($O3895=0,0,SUMIFS(Disbursements!$W:$W,Disbursements!$B:$B,'Live Collections'!D3895,Disbursements!$D:$D,'Live Collections'!F3895)),O3895,IF($O3895=0,0,SUMIFS(Disbursements!$W:$W,Disbursements!$B:$B,'Live Collections'!D3895,Disbursements!$D:$D,'Live Collections'!F3895)))</f>
        <v>50333.333333333343</v>
      </c>
      <c r="T3895" s="304">
        <f t="shared" ref="T3895" si="186">IF(O3895=0,0,O3895-S3895)</f>
        <v>29666.666666666657</v>
      </c>
      <c r="U3895" s="52"/>
      <c r="V3895" s="34"/>
      <c r="W3895" s="408"/>
    </row>
    <row r="3896" spans="1:23" ht="12.75" customHeight="1" x14ac:dyDescent="0.2">
      <c r="A3896" s="257">
        <v>3906</v>
      </c>
      <c r="B3896" s="44">
        <v>44671</v>
      </c>
      <c r="C3896" s="44">
        <f t="shared" si="184"/>
        <v>44671</v>
      </c>
      <c r="D3896" s="374">
        <v>291</v>
      </c>
      <c r="E3896" s="291" t="str">
        <f>IFERROR(VLOOKUP($D3896,'Clients-Live'!$A:$C,3,0),"")</f>
        <v>LEMAKU SWAIB</v>
      </c>
      <c r="F3896" s="291">
        <f>IFERROR(INDEX(Disbursements!$D:$D,MATCH('Live Collections'!G3896,Disbursements!$C:$C,0)),"")</f>
        <v>1</v>
      </c>
      <c r="G3896" s="34">
        <v>397</v>
      </c>
      <c r="H3896" s="34" t="s">
        <v>2313</v>
      </c>
      <c r="I3896" s="34" t="s">
        <v>1359</v>
      </c>
      <c r="J3896" s="48"/>
      <c r="K3896" s="48"/>
      <c r="L3896" s="48"/>
      <c r="M3896" s="48"/>
      <c r="N3896" s="59"/>
      <c r="O3896" s="59">
        <v>50000</v>
      </c>
      <c r="P3896" s="59">
        <v>-50000</v>
      </c>
      <c r="Q3896" s="268">
        <f t="shared" si="185"/>
        <v>0</v>
      </c>
      <c r="R3896" s="61">
        <f>IF(O3896=0,0,SUMIFS(Disbursements!$T:$T,Disbursements!$B:$B,'Live Collections'!D3896,Disbursements!$D:$D,'Live Collections'!F3896))</f>
        <v>205000</v>
      </c>
      <c r="S3896" s="304">
        <f>IF(O3896&lt;=IF($O3896=0,0,SUMIFS(Disbursements!$W:$W,Disbursements!$B:$B,'Live Collections'!D3896,Disbursements!$D:$D,'Live Collections'!F3896)),O3896,IF($O3896=0,0,SUMIFS(Disbursements!$W:$W,Disbursements!$B:$B,'Live Collections'!D3896,Disbursements!$D:$D,'Live Collections'!F3896)))</f>
        <v>38333.333333333343</v>
      </c>
      <c r="T3896" s="304">
        <f t="shared" ref="T3896:T3958" si="187">IF(O3896=0,0,O3896-S3896)</f>
        <v>11666.666666666657</v>
      </c>
      <c r="U3896" s="52"/>
      <c r="V3896" s="34"/>
      <c r="W3896" s="408"/>
    </row>
    <row r="3897" spans="1:23" ht="12.75" customHeight="1" x14ac:dyDescent="0.2">
      <c r="A3897" s="257">
        <v>3907</v>
      </c>
      <c r="B3897" s="44">
        <v>44671</v>
      </c>
      <c r="C3897" s="44">
        <f t="shared" si="184"/>
        <v>44671</v>
      </c>
      <c r="D3897" s="374">
        <v>291</v>
      </c>
      <c r="E3897" s="291" t="str">
        <f>IFERROR(VLOOKUP($D3897,'Clients-Live'!$A:$C,3,0),"")</f>
        <v>LEMAKU SWAIB</v>
      </c>
      <c r="F3897" s="291">
        <f>IFERROR(INDEX(Disbursements!$D:$D,MATCH('Live Collections'!G3897,Disbursements!$C:$C,0)),"")</f>
        <v>1</v>
      </c>
      <c r="G3897" s="34">
        <v>397</v>
      </c>
      <c r="H3897" s="34">
        <v>5480</v>
      </c>
      <c r="I3897" s="34" t="s">
        <v>1359</v>
      </c>
      <c r="J3897" s="48"/>
      <c r="K3897" s="48"/>
      <c r="L3897" s="48"/>
      <c r="M3897" s="48"/>
      <c r="N3897" s="59"/>
      <c r="O3897" s="59">
        <v>147600</v>
      </c>
      <c r="P3897" s="59"/>
      <c r="Q3897" s="268">
        <f t="shared" si="185"/>
        <v>147600</v>
      </c>
      <c r="R3897" s="61">
        <f>IF(O3897=0,0,SUMIFS(Disbursements!$T:$T,Disbursements!$B:$B,'Live Collections'!D3897,Disbursements!$D:$D,'Live Collections'!F3897))</f>
        <v>205000</v>
      </c>
      <c r="S3897" s="304">
        <v>19333.333333333343</v>
      </c>
      <c r="T3897" s="304">
        <v>130666.66666666674</v>
      </c>
      <c r="U3897" s="52"/>
      <c r="V3897" s="34"/>
      <c r="W3897" s="408"/>
    </row>
    <row r="3898" spans="1:23" ht="12.75" customHeight="1" x14ac:dyDescent="0.2">
      <c r="A3898" s="257">
        <v>3908</v>
      </c>
      <c r="B3898" s="44">
        <v>44671</v>
      </c>
      <c r="C3898" s="44">
        <f t="shared" si="184"/>
        <v>44671</v>
      </c>
      <c r="D3898" s="374">
        <v>129</v>
      </c>
      <c r="E3898" s="291" t="str">
        <f>IFERROR(VLOOKUP($D3898,'Clients-Live'!$A:$C,3,0),"")</f>
        <v>BAKO ASINA</v>
      </c>
      <c r="F3898" s="291" t="str">
        <f>IFERROR(INDEX(Disbursements!$D:$D,MATCH('Live Collections'!G3898,Disbursements!$C:$C,0)),"")</f>
        <v/>
      </c>
      <c r="G3898" s="34"/>
      <c r="H3898" s="34">
        <v>5582</v>
      </c>
      <c r="I3898" s="34" t="s">
        <v>1358</v>
      </c>
      <c r="J3898" s="48"/>
      <c r="K3898" s="48"/>
      <c r="L3898" s="48">
        <v>30000</v>
      </c>
      <c r="M3898" s="48">
        <v>5000</v>
      </c>
      <c r="N3898" s="59"/>
      <c r="O3898" s="59"/>
      <c r="P3898" s="59"/>
      <c r="Q3898" s="268">
        <f t="shared" si="185"/>
        <v>35000</v>
      </c>
      <c r="R3898" s="61">
        <f>IF(O3898=0,0,SUMIFS(Disbursements!$T:$T,Disbursements!$B:$B,'Live Collections'!D3898,Disbursements!$D:$D,'Live Collections'!F3898))</f>
        <v>0</v>
      </c>
      <c r="S3898" s="304">
        <f>IF(O3898&lt;=IF($O3898=0,0,SUMIFS(Disbursements!$W:$W,Disbursements!$B:$B,'Live Collections'!D3898,Disbursements!$D:$D,'Live Collections'!F3898)),O3898,IF($O3898=0,0,SUMIFS(Disbursements!$W:$W,Disbursements!$B:$B,'Live Collections'!D3898,Disbursements!$D:$D,'Live Collections'!F3898)))</f>
        <v>0</v>
      </c>
      <c r="T3898" s="304">
        <f t="shared" si="187"/>
        <v>0</v>
      </c>
      <c r="U3898" s="52"/>
      <c r="V3898" s="34"/>
      <c r="W3898" s="408"/>
    </row>
    <row r="3899" spans="1:23" ht="12.75" customHeight="1" x14ac:dyDescent="0.2">
      <c r="A3899" s="257">
        <v>3909</v>
      </c>
      <c r="B3899" s="44">
        <v>44671</v>
      </c>
      <c r="C3899" s="44">
        <f t="shared" si="184"/>
        <v>44671</v>
      </c>
      <c r="D3899" s="374">
        <v>129</v>
      </c>
      <c r="E3899" s="291" t="str">
        <f>IFERROR(VLOOKUP($D3899,'Clients-Live'!$A:$C,3,0),"")</f>
        <v>BAKO ASINA</v>
      </c>
      <c r="F3899" s="291">
        <f>IFERROR(INDEX(Disbursements!$D:$D,MATCH('Live Collections'!G3899,Disbursements!$C:$C,0)),"")</f>
        <v>3</v>
      </c>
      <c r="G3899" s="34">
        <v>409</v>
      </c>
      <c r="H3899" s="34" t="s">
        <v>2314</v>
      </c>
      <c r="I3899" s="34" t="s">
        <v>1358</v>
      </c>
      <c r="J3899" s="48"/>
      <c r="K3899" s="48"/>
      <c r="L3899" s="48"/>
      <c r="M3899" s="48"/>
      <c r="N3899" s="59"/>
      <c r="O3899" s="59">
        <v>300000</v>
      </c>
      <c r="P3899" s="59">
        <v>-300000</v>
      </c>
      <c r="Q3899" s="268">
        <f t="shared" si="185"/>
        <v>0</v>
      </c>
      <c r="R3899" s="61">
        <f>IF(O3899=0,0,SUMIFS(Disbursements!$T:$T,Disbursements!$B:$B,'Live Collections'!D3899,Disbursements!$D:$D,'Live Collections'!F3899))</f>
        <v>1195000</v>
      </c>
      <c r="S3899" s="304">
        <v>59666.666666666628</v>
      </c>
      <c r="T3899" s="304">
        <v>240333.33333333302</v>
      </c>
      <c r="U3899" s="52"/>
      <c r="V3899" s="34"/>
      <c r="W3899" s="408"/>
    </row>
    <row r="3900" spans="1:23" ht="12.75" customHeight="1" x14ac:dyDescent="0.2">
      <c r="A3900" s="257">
        <v>3910</v>
      </c>
      <c r="B3900" s="44">
        <v>44671</v>
      </c>
      <c r="C3900" s="44">
        <f t="shared" si="184"/>
        <v>44671</v>
      </c>
      <c r="D3900" s="374">
        <v>251</v>
      </c>
      <c r="E3900" s="291" t="str">
        <f>IFERROR(VLOOKUP($D3900,'Clients-Live'!$A:$C,3,0),"")</f>
        <v>SIDA ZAINABU</v>
      </c>
      <c r="F3900" s="291">
        <f>IFERROR(INDEX(Disbursements!$D:$D,MATCH('Live Collections'!G3900,Disbursements!$C:$C,0)),"")</f>
        <v>2</v>
      </c>
      <c r="G3900" s="34">
        <v>425</v>
      </c>
      <c r="H3900" s="34">
        <v>5478</v>
      </c>
      <c r="I3900" s="34" t="s">
        <v>1359</v>
      </c>
      <c r="J3900" s="48"/>
      <c r="K3900" s="48"/>
      <c r="L3900" s="48"/>
      <c r="M3900" s="48"/>
      <c r="N3900" s="59"/>
      <c r="O3900" s="59">
        <v>190000</v>
      </c>
      <c r="P3900" s="59"/>
      <c r="Q3900" s="268">
        <f t="shared" si="185"/>
        <v>190000</v>
      </c>
      <c r="R3900" s="61">
        <f>IF(O3900=0,0,SUMIFS(Disbursements!$T:$T,Disbursements!$B:$B,'Live Collections'!D3900,Disbursements!$D:$D,'Live Collections'!F3900))</f>
        <v>283000</v>
      </c>
      <c r="S3900" s="304">
        <f>IF(O3900&lt;=IF($O3900=0,0,SUMIFS(Disbursements!$W:$W,Disbursements!$B:$B,'Live Collections'!D3900,Disbursements!$D:$D,'Live Collections'!F3900)),O3900,IF($O3900=0,0,SUMIFS(Disbursements!$W:$W,Disbursements!$B:$B,'Live Collections'!D3900,Disbursements!$D:$D,'Live Collections'!F3900)))</f>
        <v>33000</v>
      </c>
      <c r="T3900" s="304">
        <f t="shared" si="187"/>
        <v>157000</v>
      </c>
      <c r="U3900" s="52"/>
      <c r="V3900" s="34"/>
      <c r="W3900" s="408"/>
    </row>
    <row r="3901" spans="1:23" ht="12.75" customHeight="1" x14ac:dyDescent="0.2">
      <c r="A3901" s="257">
        <v>3911</v>
      </c>
      <c r="B3901" s="44">
        <v>44671</v>
      </c>
      <c r="C3901" s="44">
        <f t="shared" si="184"/>
        <v>44671</v>
      </c>
      <c r="D3901" s="374">
        <v>6</v>
      </c>
      <c r="E3901" s="291" t="str">
        <f>IFERROR(VLOOKUP($D3901,'Clients-Live'!$A:$C,3,0),"")</f>
        <v>AMUTE BASHIR</v>
      </c>
      <c r="F3901" s="291">
        <f>IFERROR(INDEX(Disbursements!$D:$D,MATCH('Live Collections'!G3901,Disbursements!$C:$C,0)),"")</f>
        <v>3</v>
      </c>
      <c r="G3901" s="34">
        <v>418</v>
      </c>
      <c r="H3901" s="34">
        <v>5479</v>
      </c>
      <c r="I3901" s="34" t="s">
        <v>1358</v>
      </c>
      <c r="J3901" s="48"/>
      <c r="K3901" s="48"/>
      <c r="L3901" s="48"/>
      <c r="M3901" s="48"/>
      <c r="N3901" s="59"/>
      <c r="O3901" s="59">
        <v>300000</v>
      </c>
      <c r="P3901" s="59"/>
      <c r="Q3901" s="268">
        <f t="shared" si="185"/>
        <v>300000</v>
      </c>
      <c r="R3901" s="61">
        <f>IF(O3901=0,0,SUMIFS(Disbursements!$T:$T,Disbursements!$B:$B,'Live Collections'!D3901,Disbursements!$D:$D,'Live Collections'!F3901))</f>
        <v>1159000</v>
      </c>
      <c r="S3901" s="304">
        <f>IF(O3901&lt;=IF($O3901=0,0,SUMIFS(Disbursements!$W:$W,Disbursements!$B:$B,'Live Collections'!D3901,Disbursements!$D:$D,'Live Collections'!F3901)),O3901,IF($O3901=0,0,SUMIFS(Disbursements!$W:$W,Disbursements!$B:$B,'Live Collections'!D3901,Disbursements!$D:$D,'Live Collections'!F3901)))</f>
        <v>300000</v>
      </c>
      <c r="T3901" s="304">
        <f t="shared" si="187"/>
        <v>0</v>
      </c>
      <c r="U3901" s="52"/>
      <c r="V3901" s="34"/>
      <c r="W3901" s="408"/>
    </row>
    <row r="3902" spans="1:23" ht="12.75" customHeight="1" x14ac:dyDescent="0.2">
      <c r="A3902" s="257">
        <v>3912</v>
      </c>
      <c r="B3902" s="44">
        <v>44671</v>
      </c>
      <c r="C3902" s="44">
        <f t="shared" si="184"/>
        <v>44671</v>
      </c>
      <c r="D3902" s="374">
        <v>54</v>
      </c>
      <c r="E3902" s="291" t="str">
        <f>IFERROR(VLOOKUP($D3902,'Clients-Live'!$A:$C,3,0),"")</f>
        <v>MANENO ANIFA</v>
      </c>
      <c r="F3902" s="291">
        <f>IFERROR(INDEX(Disbursements!$D:$D,MATCH('Live Collections'!G3902,Disbursements!$C:$C,0)),"")</f>
        <v>2</v>
      </c>
      <c r="G3902" s="34">
        <v>195</v>
      </c>
      <c r="H3902" s="34">
        <v>5493</v>
      </c>
      <c r="I3902" s="34" t="s">
        <v>1357</v>
      </c>
      <c r="J3902" s="48"/>
      <c r="K3902" s="48"/>
      <c r="L3902" s="48"/>
      <c r="M3902" s="48"/>
      <c r="N3902" s="59"/>
      <c r="O3902" s="59">
        <v>30000</v>
      </c>
      <c r="P3902" s="59"/>
      <c r="Q3902" s="268">
        <f t="shared" si="185"/>
        <v>30000</v>
      </c>
      <c r="R3902" s="61">
        <f>IF(O3902=0,0,SUMIFS(Disbursements!$T:$T,Disbursements!$B:$B,'Live Collections'!D3902,Disbursements!$D:$D,'Live Collections'!F3902))</f>
        <v>200000</v>
      </c>
      <c r="S3902" s="304">
        <f>IF(O3902&lt;=IF($O3902=0,0,SUMIFS(Disbursements!$W:$W,Disbursements!$B:$B,'Live Collections'!D3902,Disbursements!$D:$D,'Live Collections'!F3902)),O3902,IF($O3902=0,0,SUMIFS(Disbursements!$W:$W,Disbursements!$B:$B,'Live Collections'!D3902,Disbursements!$D:$D,'Live Collections'!F3902)))</f>
        <v>30000</v>
      </c>
      <c r="T3902" s="304">
        <f t="shared" si="187"/>
        <v>0</v>
      </c>
      <c r="U3902" s="52"/>
      <c r="V3902" s="34"/>
      <c r="W3902" s="408"/>
    </row>
    <row r="3903" spans="1:23" ht="12.75" customHeight="1" x14ac:dyDescent="0.2">
      <c r="A3903" s="257">
        <v>3913</v>
      </c>
      <c r="B3903" s="44">
        <v>44672</v>
      </c>
      <c r="C3903" s="44">
        <f t="shared" ref="C3903:C3967" si="188">B3903</f>
        <v>44672</v>
      </c>
      <c r="D3903" s="374">
        <v>337</v>
      </c>
      <c r="E3903" s="291" t="str">
        <f>IFERROR(VLOOKUP($D3903,'Clients-Live'!$A:$C,3,0),"")</f>
        <v>AYISA AJONYE</v>
      </c>
      <c r="F3903" s="291">
        <f>IFERROR(INDEX(Disbursements!$D:$D,MATCH('Live Collections'!G3903,Disbursements!$C:$C,0)),"")</f>
        <v>1</v>
      </c>
      <c r="G3903" s="34">
        <v>471</v>
      </c>
      <c r="H3903" s="34">
        <v>5867</v>
      </c>
      <c r="I3903" s="34" t="s">
        <v>1359</v>
      </c>
      <c r="J3903" s="48"/>
      <c r="K3903" s="48"/>
      <c r="L3903" s="48"/>
      <c r="M3903" s="48"/>
      <c r="N3903" s="59"/>
      <c r="O3903" s="59">
        <v>80000</v>
      </c>
      <c r="P3903" s="59"/>
      <c r="Q3903" s="268">
        <f t="shared" si="185"/>
        <v>80000</v>
      </c>
      <c r="R3903" s="61">
        <f>IF(O3903=0,0,SUMIFS(Disbursements!$T:$T,Disbursements!$B:$B,'Live Collections'!D3903,Disbursements!$D:$D,'Live Collections'!F3903))</f>
        <v>126000</v>
      </c>
      <c r="S3903" s="304">
        <f>IF(O3903&lt;=IF($O3903=0,0,SUMIFS(Disbursements!$W:$W,Disbursements!$B:$B,'Live Collections'!D3903,Disbursements!$D:$D,'Live Collections'!F3903)),O3903,IF($O3903=0,0,SUMIFS(Disbursements!$W:$W,Disbursements!$B:$B,'Live Collections'!D3903,Disbursements!$D:$D,'Live Collections'!F3903)))</f>
        <v>26000</v>
      </c>
      <c r="T3903" s="304">
        <f t="shared" si="187"/>
        <v>54000</v>
      </c>
      <c r="U3903" s="52"/>
      <c r="V3903" s="34"/>
      <c r="W3903" s="408"/>
    </row>
    <row r="3904" spans="1:23" ht="12.75" customHeight="1" x14ac:dyDescent="0.2">
      <c r="A3904" s="257">
        <v>3914</v>
      </c>
      <c r="B3904" s="44">
        <v>44672</v>
      </c>
      <c r="C3904" s="44">
        <f t="shared" si="188"/>
        <v>44672</v>
      </c>
      <c r="D3904" s="374">
        <v>238</v>
      </c>
      <c r="E3904" s="291" t="str">
        <f>IFERROR(VLOOKUP($D3904,'Clients-Live'!$A:$C,3,0),"")</f>
        <v>ANGAIKA SAID</v>
      </c>
      <c r="F3904" s="291">
        <f>IFERROR(INDEX(Disbursements!$D:$D,MATCH('Live Collections'!G3904,Disbursements!$C:$C,0)),"")</f>
        <v>2</v>
      </c>
      <c r="G3904" s="34">
        <v>441</v>
      </c>
      <c r="H3904" s="34">
        <v>5856</v>
      </c>
      <c r="I3904" s="34" t="s">
        <v>1359</v>
      </c>
      <c r="J3904" s="48"/>
      <c r="K3904" s="48"/>
      <c r="L3904" s="48"/>
      <c r="M3904" s="48"/>
      <c r="N3904" s="59"/>
      <c r="O3904" s="59">
        <v>40000</v>
      </c>
      <c r="P3904" s="59"/>
      <c r="Q3904" s="268">
        <f t="shared" si="185"/>
        <v>40000</v>
      </c>
      <c r="R3904" s="61">
        <f>IF(O3904=0,0,SUMIFS(Disbursements!$T:$T,Disbursements!$B:$B,'Live Collections'!D3904,Disbursements!$D:$D,'Live Collections'!F3904))</f>
        <v>41000</v>
      </c>
      <c r="S3904" s="304">
        <f>IF(O3904&lt;=IF($O3904=0,0,SUMIFS(Disbursements!$W:$W,Disbursements!$B:$B,'Live Collections'!D3904,Disbursements!$D:$D,'Live Collections'!F3904)),O3904,IF($O3904=0,0,SUMIFS(Disbursements!$W:$W,Disbursements!$B:$B,'Live Collections'!D3904,Disbursements!$D:$D,'Live Collections'!F3904)))</f>
        <v>11833.333333333332</v>
      </c>
      <c r="T3904" s="304">
        <f t="shared" si="187"/>
        <v>28166.666666666668</v>
      </c>
      <c r="U3904" s="52"/>
      <c r="V3904" s="34"/>
      <c r="W3904" s="408"/>
    </row>
    <row r="3905" spans="1:23" ht="12.75" customHeight="1" x14ac:dyDescent="0.2">
      <c r="A3905" s="257">
        <v>3915</v>
      </c>
      <c r="B3905" s="44">
        <v>44672</v>
      </c>
      <c r="C3905" s="44">
        <f t="shared" si="188"/>
        <v>44672</v>
      </c>
      <c r="D3905" s="374">
        <v>308</v>
      </c>
      <c r="E3905" s="291" t="str">
        <f>IFERROR(VLOOKUP($D3905,'Clients-Live'!$A:$C,3,0),"")</f>
        <v>AYILA CHRISTOPHER</v>
      </c>
      <c r="F3905" s="291">
        <f>IFERROR(INDEX(Disbursements!$D:$D,MATCH('Live Collections'!G3905,Disbursements!$C:$C,0)),"")</f>
        <v>1</v>
      </c>
      <c r="G3905" s="34">
        <v>390</v>
      </c>
      <c r="H3905" s="34">
        <v>5857</v>
      </c>
      <c r="I3905" s="34" t="s">
        <v>1357</v>
      </c>
      <c r="J3905" s="48"/>
      <c r="K3905" s="48"/>
      <c r="L3905" s="48"/>
      <c r="M3905" s="48"/>
      <c r="N3905" s="59"/>
      <c r="O3905" s="59">
        <v>300000</v>
      </c>
      <c r="P3905" s="59"/>
      <c r="Q3905" s="268">
        <f t="shared" si="185"/>
        <v>300000</v>
      </c>
      <c r="R3905" s="61">
        <f>IF(O3905=0,0,SUMIFS(Disbursements!$T:$T,Disbursements!$B:$B,'Live Collections'!D3905,Disbursements!$D:$D,'Live Collections'!F3905))</f>
        <v>858000</v>
      </c>
      <c r="S3905" s="304">
        <v>241000</v>
      </c>
      <c r="T3905" s="304">
        <f t="shared" si="187"/>
        <v>59000</v>
      </c>
      <c r="U3905" s="52"/>
      <c r="V3905" s="34"/>
      <c r="W3905" s="408"/>
    </row>
    <row r="3906" spans="1:23" ht="12.75" customHeight="1" x14ac:dyDescent="0.2">
      <c r="A3906" s="257">
        <v>3916</v>
      </c>
      <c r="B3906" s="44">
        <v>44672</v>
      </c>
      <c r="C3906" s="44">
        <f t="shared" si="188"/>
        <v>44672</v>
      </c>
      <c r="D3906" s="374">
        <v>291</v>
      </c>
      <c r="E3906" s="291" t="str">
        <f>IFERROR(VLOOKUP($D3906,'Clients-Live'!$A:$C,3,0),"")</f>
        <v>LEMAKU SWAIB</v>
      </c>
      <c r="F3906" s="291">
        <f>IFERROR(INDEX(Disbursements!$D:$D,MATCH('Live Collections'!G3906,Disbursements!$C:$C,0)),"")</f>
        <v>2</v>
      </c>
      <c r="G3906" s="34">
        <v>511</v>
      </c>
      <c r="H3906" s="34">
        <v>5951</v>
      </c>
      <c r="I3906" s="34" t="s">
        <v>1359</v>
      </c>
      <c r="J3906" s="48"/>
      <c r="K3906" s="48"/>
      <c r="L3906" s="48"/>
      <c r="M3906" s="48"/>
      <c r="N3906" s="59"/>
      <c r="O3906" s="59"/>
      <c r="P3906" s="59">
        <v>45000</v>
      </c>
      <c r="Q3906" s="268">
        <f t="shared" si="185"/>
        <v>45000</v>
      </c>
      <c r="R3906" s="61">
        <f>IF(O3906=0,0,SUMIFS(Disbursements!$T:$T,Disbursements!$B:$B,'Live Collections'!D3906,Disbursements!$D:$D,'Live Collections'!F3906))</f>
        <v>0</v>
      </c>
      <c r="S3906" s="304">
        <f>IF(O3906&lt;=IF($O3906=0,0,SUMIFS(Disbursements!$W:$W,Disbursements!$B:$B,'Live Collections'!D3906,Disbursements!$D:$D,'Live Collections'!F3906)),O3906,IF($O3906=0,0,SUMIFS(Disbursements!$W:$W,Disbursements!$B:$B,'Live Collections'!D3906,Disbursements!$D:$D,'Live Collections'!F3906)))</f>
        <v>0</v>
      </c>
      <c r="T3906" s="304">
        <f t="shared" si="187"/>
        <v>0</v>
      </c>
      <c r="U3906" s="52"/>
      <c r="V3906" s="34"/>
      <c r="W3906" s="408"/>
    </row>
    <row r="3907" spans="1:23" ht="12.75" customHeight="1" x14ac:dyDescent="0.2">
      <c r="A3907" s="257">
        <v>3917</v>
      </c>
      <c r="B3907" s="44">
        <v>44672</v>
      </c>
      <c r="C3907" s="44">
        <f t="shared" si="188"/>
        <v>44672</v>
      </c>
      <c r="D3907" s="374">
        <v>305</v>
      </c>
      <c r="E3907" s="291" t="str">
        <f>IFERROR(VLOOKUP($D3907,'Clients-Live'!$A:$C,3,0),"")</f>
        <v>ANDIKU KALOLI</v>
      </c>
      <c r="F3907" s="291">
        <f>IFERROR(INDEX(Disbursements!$D:$D,MATCH('Live Collections'!G3907,Disbursements!$C:$C,0)),"")</f>
        <v>1</v>
      </c>
      <c r="G3907" s="34">
        <v>384</v>
      </c>
      <c r="H3907" s="34" t="s">
        <v>2315</v>
      </c>
      <c r="I3907" s="34" t="s">
        <v>1357</v>
      </c>
      <c r="J3907" s="48"/>
      <c r="K3907" s="48"/>
      <c r="L3907" s="48"/>
      <c r="M3907" s="48"/>
      <c r="N3907" s="59"/>
      <c r="O3907" s="59">
        <v>40000</v>
      </c>
      <c r="P3907" s="59">
        <v>-40000</v>
      </c>
      <c r="Q3907" s="268">
        <f t="shared" si="185"/>
        <v>0</v>
      </c>
      <c r="R3907" s="61">
        <f>IF(O3907=0,0,SUMIFS(Disbursements!$T:$T,Disbursements!$B:$B,'Live Collections'!D3907,Disbursements!$D:$D,'Live Collections'!F3907))</f>
        <v>130000</v>
      </c>
      <c r="S3907" s="304"/>
      <c r="T3907" s="304">
        <f t="shared" si="187"/>
        <v>40000</v>
      </c>
      <c r="U3907" s="52"/>
      <c r="V3907" s="34"/>
      <c r="W3907" s="408"/>
    </row>
    <row r="3908" spans="1:23" ht="12.75" customHeight="1" x14ac:dyDescent="0.2">
      <c r="A3908" s="257">
        <v>3918</v>
      </c>
      <c r="B3908" s="44">
        <v>44672</v>
      </c>
      <c r="C3908" s="44">
        <f t="shared" si="188"/>
        <v>44672</v>
      </c>
      <c r="D3908" s="374">
        <v>305</v>
      </c>
      <c r="E3908" s="291" t="str">
        <f>IFERROR(VLOOKUP($D3908,'Clients-Live'!$A:$C,3,0),"")</f>
        <v>ANDIKU KALOLI</v>
      </c>
      <c r="F3908" s="291">
        <f>IFERROR(INDEX(Disbursements!$D:$D,MATCH('Live Collections'!G3908,Disbursements!$C:$C,0)),"")</f>
        <v>1</v>
      </c>
      <c r="G3908" s="34">
        <v>384</v>
      </c>
      <c r="H3908" s="34">
        <v>5901</v>
      </c>
      <c r="I3908" s="34" t="s">
        <v>1357</v>
      </c>
      <c r="J3908" s="48"/>
      <c r="K3908" s="48"/>
      <c r="L3908" s="48"/>
      <c r="M3908" s="48"/>
      <c r="N3908" s="59"/>
      <c r="O3908" s="59">
        <v>90000</v>
      </c>
      <c r="P3908" s="59"/>
      <c r="Q3908" s="268">
        <f t="shared" si="185"/>
        <v>90000</v>
      </c>
      <c r="R3908" s="61">
        <f>IF(O3908=0,0,SUMIFS(Disbursements!$T:$T,Disbursements!$B:$B,'Live Collections'!D3908,Disbursements!$D:$D,'Live Collections'!F3908))</f>
        <v>130000</v>
      </c>
      <c r="S3908" s="304"/>
      <c r="T3908" s="304">
        <f t="shared" si="187"/>
        <v>90000</v>
      </c>
      <c r="U3908" s="52"/>
      <c r="V3908" s="34"/>
      <c r="W3908" s="408"/>
    </row>
    <row r="3909" spans="1:23" ht="12.75" customHeight="1" x14ac:dyDescent="0.2">
      <c r="A3909" s="257">
        <v>3919</v>
      </c>
      <c r="B3909" s="44">
        <v>44672</v>
      </c>
      <c r="C3909" s="44">
        <f t="shared" si="188"/>
        <v>44672</v>
      </c>
      <c r="D3909" s="374">
        <v>198</v>
      </c>
      <c r="E3909" s="291" t="str">
        <f>IFERROR(VLOOKUP($D3909,'Clients-Live'!$A:$C,3,0),"")</f>
        <v>ETOLE BIAJO</v>
      </c>
      <c r="F3909" s="291">
        <f>IFERROR(INDEX(Disbursements!$D:$D,MATCH('Live Collections'!G3909,Disbursements!$C:$C,0)),"")</f>
        <v>1</v>
      </c>
      <c r="G3909" s="34">
        <v>191</v>
      </c>
      <c r="H3909" s="34">
        <v>5495</v>
      </c>
      <c r="I3909" s="34" t="s">
        <v>1358</v>
      </c>
      <c r="J3909" s="48"/>
      <c r="K3909" s="48"/>
      <c r="L3909" s="48"/>
      <c r="M3909" s="48"/>
      <c r="N3909" s="59"/>
      <c r="O3909" s="59">
        <v>50000</v>
      </c>
      <c r="P3909" s="59"/>
      <c r="Q3909" s="268">
        <f t="shared" si="185"/>
        <v>50000</v>
      </c>
      <c r="R3909" s="61">
        <f>IF(O3909=0,0,SUMIFS(Disbursements!$T:$T,Disbursements!$B:$B,'Live Collections'!D3909,Disbursements!$D:$D,'Live Collections'!F3909))</f>
        <v>150000</v>
      </c>
      <c r="S3909" s="304"/>
      <c r="T3909" s="304">
        <f t="shared" si="187"/>
        <v>50000</v>
      </c>
      <c r="U3909" s="52"/>
      <c r="V3909" s="34"/>
      <c r="W3909" s="408"/>
    </row>
    <row r="3910" spans="1:23" ht="12.75" customHeight="1" x14ac:dyDescent="0.2">
      <c r="A3910" s="257">
        <v>3920</v>
      </c>
      <c r="B3910" s="44">
        <v>44672</v>
      </c>
      <c r="C3910" s="44">
        <f t="shared" si="188"/>
        <v>44672</v>
      </c>
      <c r="D3910" s="374">
        <v>73</v>
      </c>
      <c r="E3910" s="291" t="str">
        <f>IFERROR(VLOOKUP($D3910,'Clients-Live'!$A:$C,3,0),"")</f>
        <v>AJONYE DEBORA</v>
      </c>
      <c r="F3910" s="291">
        <f>IFERROR(INDEX(Disbursements!$D:$D,MATCH('Live Collections'!G3910,Disbursements!$C:$C,0)),"")</f>
        <v>3</v>
      </c>
      <c r="G3910" s="34">
        <v>426</v>
      </c>
      <c r="H3910" s="34">
        <v>5863</v>
      </c>
      <c r="I3910" s="34" t="s">
        <v>1357</v>
      </c>
      <c r="J3910" s="48"/>
      <c r="K3910" s="48"/>
      <c r="L3910" s="48"/>
      <c r="M3910" s="48"/>
      <c r="N3910" s="59"/>
      <c r="O3910" s="59">
        <v>53000</v>
      </c>
      <c r="P3910" s="59"/>
      <c r="Q3910" s="268">
        <f t="shared" si="185"/>
        <v>53000</v>
      </c>
      <c r="R3910" s="61">
        <f>IF(O3910=0,0,SUMIFS(Disbursements!$T:$T,Disbursements!$B:$B,'Live Collections'!D3910,Disbursements!$D:$D,'Live Collections'!F3910))</f>
        <v>53000</v>
      </c>
      <c r="S3910" s="304">
        <f>IF(O3910&lt;=IF($O3910=0,0,SUMIFS(Disbursements!$W:$W,Disbursements!$B:$B,'Live Collections'!D3910,Disbursements!$D:$D,'Live Collections'!F3910)),O3910,IF($O3910=0,0,SUMIFS(Disbursements!$W:$W,Disbursements!$B:$B,'Live Collections'!D3910,Disbursements!$D:$D,'Live Collections'!F3910)))</f>
        <v>13000</v>
      </c>
      <c r="T3910" s="304">
        <f t="shared" si="187"/>
        <v>40000</v>
      </c>
      <c r="U3910" s="52"/>
      <c r="V3910" s="34"/>
      <c r="W3910" s="408"/>
    </row>
    <row r="3911" spans="1:23" ht="12.75" customHeight="1" x14ac:dyDescent="0.2">
      <c r="A3911" s="257">
        <v>3921</v>
      </c>
      <c r="B3911" s="44">
        <v>44672</v>
      </c>
      <c r="C3911" s="44">
        <f t="shared" si="188"/>
        <v>44672</v>
      </c>
      <c r="D3911" s="374">
        <v>164</v>
      </c>
      <c r="E3911" s="291" t="str">
        <f>IFERROR(VLOOKUP($D3911,'Clients-Live'!$A:$C,3,0),"")</f>
        <v>ARIKE SWAIB</v>
      </c>
      <c r="F3911" s="291">
        <f>IFERROR(INDEX(Disbursements!$D:$D,MATCH('Live Collections'!G3911,Disbursements!$C:$C,0)),"")</f>
        <v>2</v>
      </c>
      <c r="G3911" s="34">
        <v>508</v>
      </c>
      <c r="H3911" s="34">
        <v>5904</v>
      </c>
      <c r="I3911" s="34" t="s">
        <v>1357</v>
      </c>
      <c r="J3911" s="48"/>
      <c r="K3911" s="48"/>
      <c r="L3911" s="48"/>
      <c r="M3911" s="48"/>
      <c r="N3911" s="59"/>
      <c r="O3911" s="59">
        <v>70000</v>
      </c>
      <c r="P3911" s="59"/>
      <c r="Q3911" s="268">
        <f t="shared" si="185"/>
        <v>70000</v>
      </c>
      <c r="R3911" s="61">
        <f>IF(O3911=0,0,SUMIFS(Disbursements!$T:$T,Disbursements!$B:$B,'Live Collections'!D3911,Disbursements!$D:$D,'Live Collections'!F3911))</f>
        <v>90000</v>
      </c>
      <c r="S3911" s="304">
        <f>IF(O3911&lt;=IF($O3911=0,0,SUMIFS(Disbursements!$W:$W,Disbursements!$B:$B,'Live Collections'!D3911,Disbursements!$D:$D,'Live Collections'!F3911)),O3911,IF($O3911=0,0,SUMIFS(Disbursements!$W:$W,Disbursements!$B:$B,'Live Collections'!D3911,Disbursements!$D:$D,'Live Collections'!F3911)))</f>
        <v>25416.666666666664</v>
      </c>
      <c r="T3911" s="304">
        <f t="shared" si="187"/>
        <v>44583.333333333336</v>
      </c>
      <c r="U3911" s="52"/>
      <c r="V3911" s="34"/>
      <c r="W3911" s="408"/>
    </row>
    <row r="3912" spans="1:23" ht="12.75" customHeight="1" x14ac:dyDescent="0.2">
      <c r="A3912" s="257">
        <v>3922</v>
      </c>
      <c r="B3912" s="44">
        <v>44672</v>
      </c>
      <c r="C3912" s="44">
        <f t="shared" si="188"/>
        <v>44672</v>
      </c>
      <c r="D3912" s="374">
        <v>46</v>
      </c>
      <c r="E3912" s="291" t="str">
        <f>IFERROR(VLOOKUP($D3912,'Clients-Live'!$A:$C,3,0),"")</f>
        <v>ALIO YUDA</v>
      </c>
      <c r="F3912" s="291">
        <f>IFERROR(INDEX(Disbursements!$D:$D,MATCH('Live Collections'!G3912,Disbursements!$C:$C,0)),"")</f>
        <v>2</v>
      </c>
      <c r="G3912" s="34">
        <v>400</v>
      </c>
      <c r="H3912" s="34">
        <v>5855</v>
      </c>
      <c r="I3912" s="34" t="s">
        <v>1357</v>
      </c>
      <c r="J3912" s="48"/>
      <c r="K3912" s="48"/>
      <c r="L3912" s="48"/>
      <c r="M3912" s="48"/>
      <c r="N3912" s="59"/>
      <c r="O3912" s="59">
        <v>100000</v>
      </c>
      <c r="P3912" s="59"/>
      <c r="Q3912" s="268">
        <f t="shared" si="185"/>
        <v>100000</v>
      </c>
      <c r="R3912" s="61">
        <f>IF(O3912=0,0,SUMIFS(Disbursements!$T:$T,Disbursements!$B:$B,'Live Collections'!D3912,Disbursements!$D:$D,'Live Collections'!F3912))</f>
        <v>76000</v>
      </c>
      <c r="S3912" s="304">
        <f>IF(O3912&lt;=IF($O3912=0,0,SUMIFS(Disbursements!$W:$W,Disbursements!$B:$B,'Live Collections'!D3912,Disbursements!$D:$D,'Live Collections'!F3912)),O3912,IF($O3912=0,0,SUMIFS(Disbursements!$W:$W,Disbursements!$B:$B,'Live Collections'!D3912,Disbursements!$D:$D,'Live Collections'!F3912)))</f>
        <v>21833.333333333336</v>
      </c>
      <c r="T3912" s="304">
        <f t="shared" si="187"/>
        <v>78166.666666666657</v>
      </c>
      <c r="U3912" s="52"/>
      <c r="V3912" s="34"/>
      <c r="W3912" s="408"/>
    </row>
    <row r="3913" spans="1:23" ht="12.75" customHeight="1" x14ac:dyDescent="0.2">
      <c r="A3913" s="257">
        <v>3923</v>
      </c>
      <c r="B3913" s="44">
        <v>44672</v>
      </c>
      <c r="C3913" s="44">
        <f t="shared" si="188"/>
        <v>44672</v>
      </c>
      <c r="D3913" s="374">
        <v>251</v>
      </c>
      <c r="E3913" s="291" t="str">
        <f>IFERROR(VLOOKUP($D3913,'Clients-Live'!$A:$C,3,0),"")</f>
        <v>SIDA ZAINABU</v>
      </c>
      <c r="F3913" s="291" t="str">
        <f>IFERROR(INDEX(Disbursements!$D:$D,MATCH('Live Collections'!G3913,Disbursements!$C:$C,0)),"")</f>
        <v/>
      </c>
      <c r="G3913" s="34"/>
      <c r="H3913" s="34">
        <v>5865</v>
      </c>
      <c r="I3913" s="34" t="s">
        <v>1359</v>
      </c>
      <c r="J3913" s="48"/>
      <c r="K3913" s="48"/>
      <c r="L3913" s="48">
        <v>20000</v>
      </c>
      <c r="M3913" s="48">
        <v>5000</v>
      </c>
      <c r="N3913" s="59"/>
      <c r="O3913" s="59"/>
      <c r="P3913" s="59"/>
      <c r="Q3913" s="268">
        <f t="shared" si="185"/>
        <v>25000</v>
      </c>
      <c r="R3913" s="61">
        <f>IF(O3913=0,0,SUMIFS(Disbursements!$T:$T,Disbursements!$B:$B,'Live Collections'!D3913,Disbursements!$D:$D,'Live Collections'!F3913))</f>
        <v>0</v>
      </c>
      <c r="S3913" s="304">
        <f>IF(O3913&lt;=IF($O3913=0,0,SUMIFS(Disbursements!$W:$W,Disbursements!$B:$B,'Live Collections'!D3913,Disbursements!$D:$D,'Live Collections'!F3913)),O3913,IF($O3913=0,0,SUMIFS(Disbursements!$W:$W,Disbursements!$B:$B,'Live Collections'!D3913,Disbursements!$D:$D,'Live Collections'!F3913)))</f>
        <v>0</v>
      </c>
      <c r="T3913" s="304">
        <f t="shared" si="187"/>
        <v>0</v>
      </c>
      <c r="U3913" s="52"/>
      <c r="V3913" s="34"/>
      <c r="W3913" s="408"/>
    </row>
    <row r="3914" spans="1:23" ht="12.75" customHeight="1" x14ac:dyDescent="0.2">
      <c r="A3914" s="257">
        <v>3924</v>
      </c>
      <c r="B3914" s="44">
        <v>44672</v>
      </c>
      <c r="C3914" s="44">
        <f t="shared" si="188"/>
        <v>44672</v>
      </c>
      <c r="D3914" s="374">
        <v>251</v>
      </c>
      <c r="E3914" s="291" t="str">
        <f>IFERROR(VLOOKUP($D3914,'Clients-Live'!$A:$C,3,0),"")</f>
        <v>SIDA ZAINABU</v>
      </c>
      <c r="F3914" s="291">
        <f>IFERROR(INDEX(Disbursements!$D:$D,MATCH('Live Collections'!G3914,Disbursements!$C:$C,0)),"")</f>
        <v>2</v>
      </c>
      <c r="G3914" s="34">
        <v>425</v>
      </c>
      <c r="H3914" s="34" t="s">
        <v>2316</v>
      </c>
      <c r="I3914" s="34" t="s">
        <v>1359</v>
      </c>
      <c r="J3914" s="48"/>
      <c r="K3914" s="48"/>
      <c r="L3914" s="48"/>
      <c r="M3914" s="48"/>
      <c r="N3914" s="59"/>
      <c r="O3914" s="59">
        <v>50000</v>
      </c>
      <c r="P3914" s="59">
        <v>-50000</v>
      </c>
      <c r="Q3914" s="268">
        <f t="shared" si="185"/>
        <v>0</v>
      </c>
      <c r="R3914" s="61">
        <f>IF(O3914=0,0,SUMIFS(Disbursements!$T:$T,Disbursements!$B:$B,'Live Collections'!D3914,Disbursements!$D:$D,'Live Collections'!F3914))</f>
        <v>283000</v>
      </c>
      <c r="S3914" s="304"/>
      <c r="T3914" s="304">
        <f t="shared" si="187"/>
        <v>50000</v>
      </c>
      <c r="U3914" s="52"/>
      <c r="V3914" s="34"/>
      <c r="W3914" s="408"/>
    </row>
    <row r="3915" spans="1:23" ht="12.75" customHeight="1" x14ac:dyDescent="0.2">
      <c r="A3915" s="257">
        <v>3925</v>
      </c>
      <c r="B3915" s="44">
        <v>44672</v>
      </c>
      <c r="C3915" s="44">
        <f t="shared" si="188"/>
        <v>44672</v>
      </c>
      <c r="D3915" s="374">
        <v>251</v>
      </c>
      <c r="E3915" s="291" t="str">
        <f>IFERROR(VLOOKUP($D3915,'Clients-Live'!$A:$C,3,0),"")</f>
        <v>SIDA ZAINABU</v>
      </c>
      <c r="F3915" s="291">
        <f>IFERROR(INDEX(Disbursements!$D:$D,MATCH('Live Collections'!G3915,Disbursements!$C:$C,0)),"")</f>
        <v>2</v>
      </c>
      <c r="G3915" s="34">
        <v>425</v>
      </c>
      <c r="H3915" s="34">
        <v>5955</v>
      </c>
      <c r="I3915" s="34" t="s">
        <v>1359</v>
      </c>
      <c r="J3915" s="48"/>
      <c r="K3915" s="48"/>
      <c r="L3915" s="48"/>
      <c r="M3915" s="48"/>
      <c r="N3915" s="59"/>
      <c r="O3915" s="59">
        <v>42500</v>
      </c>
      <c r="P3915" s="59"/>
      <c r="Q3915" s="268">
        <f t="shared" si="185"/>
        <v>42500</v>
      </c>
      <c r="R3915" s="61">
        <f>IF(O3915=0,0,SUMIFS(Disbursements!$T:$T,Disbursements!$B:$B,'Live Collections'!D3915,Disbursements!$D:$D,'Live Collections'!F3915))</f>
        <v>283000</v>
      </c>
      <c r="S3915" s="304"/>
      <c r="T3915" s="304">
        <f t="shared" si="187"/>
        <v>42500</v>
      </c>
      <c r="U3915" s="52"/>
      <c r="V3915" s="34"/>
      <c r="W3915" s="408"/>
    </row>
    <row r="3916" spans="1:23" ht="12.75" customHeight="1" x14ac:dyDescent="0.2">
      <c r="A3916" s="257">
        <v>3926</v>
      </c>
      <c r="B3916" s="44">
        <v>44672</v>
      </c>
      <c r="C3916" s="44">
        <f t="shared" si="188"/>
        <v>44672</v>
      </c>
      <c r="D3916" s="374">
        <v>109</v>
      </c>
      <c r="E3916" s="291" t="str">
        <f>IFERROR(VLOOKUP($D3916,'Clients-Live'!$A:$C,3,0),"")</f>
        <v>TABU KISA</v>
      </c>
      <c r="F3916" s="291">
        <f>IFERROR(INDEX(Disbursements!$D:$D,MATCH('Live Collections'!G3916,Disbursements!$C:$C,0)),"")</f>
        <v>3</v>
      </c>
      <c r="G3916" s="34">
        <v>495</v>
      </c>
      <c r="H3916" s="34">
        <v>5854</v>
      </c>
      <c r="I3916" s="34" t="s">
        <v>1357</v>
      </c>
      <c r="J3916" s="48"/>
      <c r="K3916" s="48"/>
      <c r="L3916" s="48"/>
      <c r="M3916" s="48"/>
      <c r="N3916" s="59"/>
      <c r="O3916" s="59">
        <v>30000</v>
      </c>
      <c r="P3916" s="59"/>
      <c r="Q3916" s="268">
        <f t="shared" si="185"/>
        <v>30000</v>
      </c>
      <c r="R3916" s="61">
        <f>IF(O3916=0,0,SUMIFS(Disbursements!$T:$T,Disbursements!$B:$B,'Live Collections'!D3916,Disbursements!$D:$D,'Live Collections'!F3916))</f>
        <v>30000</v>
      </c>
      <c r="S3916" s="304">
        <f>IF(O3916&lt;=IF($O3916=0,0,SUMIFS(Disbursements!$W:$W,Disbursements!$B:$B,'Live Collections'!D3916,Disbursements!$D:$D,'Live Collections'!F3916)),O3916,IF($O3916=0,0,SUMIFS(Disbursements!$W:$W,Disbursements!$B:$B,'Live Collections'!D3916,Disbursements!$D:$D,'Live Collections'!F3916)))</f>
        <v>5000</v>
      </c>
      <c r="T3916" s="304">
        <f t="shared" si="187"/>
        <v>25000</v>
      </c>
      <c r="U3916" s="52"/>
      <c r="V3916" s="34"/>
      <c r="W3916" s="408"/>
    </row>
    <row r="3917" spans="1:23" ht="12.75" customHeight="1" x14ac:dyDescent="0.2">
      <c r="A3917" s="257">
        <v>3927</v>
      </c>
      <c r="B3917" s="44">
        <v>44672</v>
      </c>
      <c r="C3917" s="44">
        <f t="shared" si="188"/>
        <v>44672</v>
      </c>
      <c r="D3917" s="374">
        <v>251</v>
      </c>
      <c r="E3917" s="291" t="str">
        <f>IFERROR(VLOOKUP($D3917,'Clients-Live'!$A:$C,3,0),"")</f>
        <v>SIDA ZAINABU</v>
      </c>
      <c r="F3917" s="291" t="str">
        <f>IFERROR(INDEX(Disbursements!$D:$D,MATCH('Live Collections'!G3917,Disbursements!$C:$C,0)),"")</f>
        <v/>
      </c>
      <c r="G3917" s="34"/>
      <c r="H3917" s="34">
        <v>5864</v>
      </c>
      <c r="I3917" s="34" t="s">
        <v>1359</v>
      </c>
      <c r="J3917" s="48"/>
      <c r="K3917" s="48"/>
      <c r="L3917" s="48"/>
      <c r="M3917" s="48"/>
      <c r="N3917" s="59">
        <v>10000</v>
      </c>
      <c r="O3917" s="59"/>
      <c r="P3917" s="59"/>
      <c r="Q3917" s="268">
        <f t="shared" si="185"/>
        <v>10000</v>
      </c>
      <c r="R3917" s="61">
        <f>IF(O3917=0,0,SUMIFS(Disbursements!$T:$T,Disbursements!$B:$B,'Live Collections'!D3917,Disbursements!$D:$D,'Live Collections'!F3917))</f>
        <v>0</v>
      </c>
      <c r="S3917" s="304">
        <f>IF(O3917&lt;=IF($O3917=0,0,SUMIFS(Disbursements!$W:$W,Disbursements!$B:$B,'Live Collections'!D3917,Disbursements!$D:$D,'Live Collections'!F3917)),O3917,IF($O3917=0,0,SUMIFS(Disbursements!$W:$W,Disbursements!$B:$B,'Live Collections'!D3917,Disbursements!$D:$D,'Live Collections'!F3917)))</f>
        <v>0</v>
      </c>
      <c r="T3917" s="304">
        <f t="shared" si="187"/>
        <v>0</v>
      </c>
      <c r="U3917" s="52"/>
      <c r="V3917" s="34"/>
      <c r="W3917" s="408"/>
    </row>
    <row r="3918" spans="1:23" ht="12.75" customHeight="1" x14ac:dyDescent="0.2">
      <c r="A3918" s="257">
        <v>3928</v>
      </c>
      <c r="B3918" s="44">
        <v>44672</v>
      </c>
      <c r="C3918" s="44">
        <f t="shared" si="188"/>
        <v>44672</v>
      </c>
      <c r="D3918" s="374">
        <v>140</v>
      </c>
      <c r="E3918" s="291" t="str">
        <f>IFERROR(VLOOKUP($D3918,'Clients-Live'!$A:$C,3,0),"")</f>
        <v>AYIKORU MARIAM</v>
      </c>
      <c r="F3918" s="291">
        <f>IFERROR(INDEX(Disbursements!$D:$D,MATCH('Live Collections'!G3918,Disbursements!$C:$C,0)),"")</f>
        <v>2</v>
      </c>
      <c r="G3918" s="34">
        <v>512</v>
      </c>
      <c r="H3918" s="34">
        <v>5500</v>
      </c>
      <c r="I3918" s="34" t="s">
        <v>1358</v>
      </c>
      <c r="J3918" s="48"/>
      <c r="K3918" s="48"/>
      <c r="L3918" s="48"/>
      <c r="M3918" s="48"/>
      <c r="N3918" s="59"/>
      <c r="O3918" s="59"/>
      <c r="P3918" s="59">
        <v>50000</v>
      </c>
      <c r="Q3918" s="268">
        <f t="shared" si="185"/>
        <v>50000</v>
      </c>
      <c r="R3918" s="61">
        <f>IF(O3918=0,0,SUMIFS(Disbursements!$T:$T,Disbursements!$B:$B,'Live Collections'!D3918,Disbursements!$D:$D,'Live Collections'!F3918))</f>
        <v>0</v>
      </c>
      <c r="S3918" s="304">
        <f>IF(O3918&lt;=IF($O3918=0,0,SUMIFS(Disbursements!$W:$W,Disbursements!$B:$B,'Live Collections'!D3918,Disbursements!$D:$D,'Live Collections'!F3918)),O3918,IF($O3918=0,0,SUMIFS(Disbursements!$W:$W,Disbursements!$B:$B,'Live Collections'!D3918,Disbursements!$D:$D,'Live Collections'!F3918)))</f>
        <v>0</v>
      </c>
      <c r="T3918" s="304">
        <f t="shared" si="187"/>
        <v>0</v>
      </c>
      <c r="U3918" s="52"/>
      <c r="V3918" s="34"/>
      <c r="W3918" s="408"/>
    </row>
    <row r="3919" spans="1:23" ht="12.75" customHeight="1" x14ac:dyDescent="0.2">
      <c r="A3919" s="257">
        <v>3929</v>
      </c>
      <c r="B3919" s="44">
        <v>44672</v>
      </c>
      <c r="C3919" s="44">
        <f t="shared" si="188"/>
        <v>44672</v>
      </c>
      <c r="D3919" s="374">
        <v>140</v>
      </c>
      <c r="E3919" s="291" t="str">
        <f>IFERROR(VLOOKUP($D3919,'Clients-Live'!$A:$C,3,0),"")</f>
        <v>AYIKORU MARIAM</v>
      </c>
      <c r="F3919" s="291">
        <f>IFERROR(INDEX(Disbursements!$D:$D,MATCH('Live Collections'!G3919,Disbursements!$C:$C,0)),"")</f>
        <v>1</v>
      </c>
      <c r="G3919" s="34">
        <v>125</v>
      </c>
      <c r="H3919" s="34">
        <v>5953</v>
      </c>
      <c r="I3919" s="34" t="s">
        <v>1358</v>
      </c>
      <c r="J3919" s="48"/>
      <c r="K3919" s="48"/>
      <c r="L3919" s="48"/>
      <c r="M3919" s="48"/>
      <c r="N3919" s="59"/>
      <c r="O3919" s="59">
        <v>3000</v>
      </c>
      <c r="P3919" s="59"/>
      <c r="Q3919" s="268">
        <f t="shared" si="185"/>
        <v>3000</v>
      </c>
      <c r="R3919" s="61">
        <f>IF(O3919=0,0,SUMIFS(Disbursements!$T:$T,Disbursements!$B:$B,'Live Collections'!D3919,Disbursements!$D:$D,'Live Collections'!F3919))</f>
        <v>192000</v>
      </c>
      <c r="S3919" s="304"/>
      <c r="T3919" s="304">
        <f t="shared" si="187"/>
        <v>3000</v>
      </c>
      <c r="U3919" s="52"/>
      <c r="V3919" s="34"/>
      <c r="W3919" s="408"/>
    </row>
    <row r="3920" spans="1:23" ht="12.75" customHeight="1" x14ac:dyDescent="0.2">
      <c r="A3920" s="257">
        <v>3930</v>
      </c>
      <c r="B3920" s="44">
        <v>44672</v>
      </c>
      <c r="C3920" s="44">
        <f t="shared" si="188"/>
        <v>44672</v>
      </c>
      <c r="D3920" s="374">
        <v>51</v>
      </c>
      <c r="E3920" s="291" t="str">
        <f>IFERROR(VLOOKUP($D3920,'Clients-Live'!$A:$C,3,0),"")</f>
        <v>AYILE STEPHEN</v>
      </c>
      <c r="F3920" s="291">
        <f>IFERROR(INDEX(Disbursements!$D:$D,MATCH('Live Collections'!G3920,Disbursements!$C:$C,0)),"")</f>
        <v>2</v>
      </c>
      <c r="G3920" s="34">
        <v>473</v>
      </c>
      <c r="H3920" s="34">
        <v>5498</v>
      </c>
      <c r="I3920" s="34" t="s">
        <v>1359</v>
      </c>
      <c r="J3920" s="48"/>
      <c r="K3920" s="48"/>
      <c r="L3920" s="48"/>
      <c r="M3920" s="48"/>
      <c r="N3920" s="59"/>
      <c r="O3920" s="59">
        <v>141000</v>
      </c>
      <c r="P3920" s="59"/>
      <c r="Q3920" s="268">
        <f t="shared" si="185"/>
        <v>141000</v>
      </c>
      <c r="R3920" s="61">
        <f>IF(O3920=0,0,SUMIFS(Disbursements!$T:$T,Disbursements!$B:$B,'Live Collections'!D3920,Disbursements!$D:$D,'Live Collections'!F3920))</f>
        <v>139000</v>
      </c>
      <c r="S3920" s="304">
        <f>IF(O3920&lt;=IF($O3920=0,0,SUMIFS(Disbursements!$W:$W,Disbursements!$B:$B,'Live Collections'!D3920,Disbursements!$D:$D,'Live Collections'!F3920)),O3920,IF($O3920=0,0,SUMIFS(Disbursements!$W:$W,Disbursements!$B:$B,'Live Collections'!D3920,Disbursements!$D:$D,'Live Collections'!F3920)))</f>
        <v>39000</v>
      </c>
      <c r="T3920" s="304">
        <f t="shared" si="187"/>
        <v>102000</v>
      </c>
      <c r="U3920" s="52"/>
      <c r="V3920" s="34"/>
      <c r="W3920" s="408"/>
    </row>
    <row r="3921" spans="1:23" ht="12.75" customHeight="1" x14ac:dyDescent="0.2">
      <c r="A3921" s="257">
        <v>3931</v>
      </c>
      <c r="B3921" s="44">
        <v>44672</v>
      </c>
      <c r="C3921" s="44">
        <f t="shared" si="188"/>
        <v>44672</v>
      </c>
      <c r="D3921" s="374">
        <v>339</v>
      </c>
      <c r="E3921" s="291" t="str">
        <f>IFERROR(VLOOKUP($D3921,'Clients-Live'!$A:$C,3,0),"")</f>
        <v>GIRE ELIZABETH</v>
      </c>
      <c r="F3921" s="291">
        <f>IFERROR(INDEX(Disbursements!$D:$D,MATCH('Live Collections'!G3921,Disbursements!$C:$C,0)),"")</f>
        <v>1</v>
      </c>
      <c r="G3921" s="34">
        <v>475</v>
      </c>
      <c r="H3921" s="34">
        <v>5600</v>
      </c>
      <c r="I3921" s="34" t="s">
        <v>1357</v>
      </c>
      <c r="J3921" s="48"/>
      <c r="K3921" s="48"/>
      <c r="L3921" s="48"/>
      <c r="M3921" s="48"/>
      <c r="N3921" s="59"/>
      <c r="O3921" s="59">
        <v>695000</v>
      </c>
      <c r="P3921" s="59"/>
      <c r="Q3921" s="268">
        <f t="shared" si="185"/>
        <v>695000</v>
      </c>
      <c r="R3921" s="61">
        <f>IF(O3921=0,0,SUMIFS(Disbursements!$T:$T,Disbursements!$B:$B,'Live Collections'!D3921,Disbursements!$D:$D,'Live Collections'!F3921))</f>
        <v>695000</v>
      </c>
      <c r="S3921" s="304">
        <f>IF(O3921&lt;=IF($O3921=0,0,SUMIFS(Disbursements!$W:$W,Disbursements!$B:$B,'Live Collections'!D3921,Disbursements!$D:$D,'Live Collections'!F3921)),O3921,IF($O3921=0,0,SUMIFS(Disbursements!$W:$W,Disbursements!$B:$B,'Live Collections'!D3921,Disbursements!$D:$D,'Live Collections'!F3921)))</f>
        <v>195000</v>
      </c>
      <c r="T3921" s="304">
        <f t="shared" si="187"/>
        <v>500000</v>
      </c>
      <c r="U3921" s="52"/>
      <c r="V3921" s="34"/>
      <c r="W3921" s="408"/>
    </row>
    <row r="3922" spans="1:23" ht="12.75" customHeight="1" x14ac:dyDescent="0.2">
      <c r="A3922" s="257">
        <v>3932</v>
      </c>
      <c r="B3922" s="44">
        <v>44672</v>
      </c>
      <c r="C3922" s="44">
        <f t="shared" si="188"/>
        <v>44672</v>
      </c>
      <c r="D3922" s="374">
        <v>143</v>
      </c>
      <c r="E3922" s="291" t="str">
        <f>IFERROR(VLOOKUP($D3922,'Clients-Live'!$A:$C,3,0),"")</f>
        <v>MORO HAKIM</v>
      </c>
      <c r="F3922" s="291">
        <f>IFERROR(INDEX(Disbursements!$D:$D,MATCH('Live Collections'!G3922,Disbursements!$C:$C,0)),"")</f>
        <v>3</v>
      </c>
      <c r="G3922" s="34">
        <v>477</v>
      </c>
      <c r="H3922" s="34">
        <v>5497</v>
      </c>
      <c r="I3922" s="34" t="s">
        <v>1357</v>
      </c>
      <c r="J3922" s="48"/>
      <c r="K3922" s="48"/>
      <c r="L3922" s="48"/>
      <c r="M3922" s="48"/>
      <c r="N3922" s="59"/>
      <c r="O3922" s="59">
        <v>1325000</v>
      </c>
      <c r="P3922" s="59"/>
      <c r="Q3922" s="268">
        <f t="shared" si="185"/>
        <v>1325000</v>
      </c>
      <c r="R3922" s="61">
        <f>IF(O3922=0,0,SUMIFS(Disbursements!$T:$T,Disbursements!$B:$B,'Live Collections'!D3922,Disbursements!$D:$D,'Live Collections'!F3922))</f>
        <v>1325000</v>
      </c>
      <c r="S3922" s="304">
        <f>IF(O3922&lt;=IF($O3922=0,0,SUMIFS(Disbursements!$W:$W,Disbursements!$B:$B,'Live Collections'!D3922,Disbursements!$D:$D,'Live Collections'!F3922)),O3922,IF($O3922=0,0,SUMIFS(Disbursements!$W:$W,Disbursements!$B:$B,'Live Collections'!D3922,Disbursements!$D:$D,'Live Collections'!F3922)))</f>
        <v>325000</v>
      </c>
      <c r="T3922" s="304">
        <f t="shared" si="187"/>
        <v>1000000</v>
      </c>
      <c r="U3922" s="52"/>
      <c r="V3922" s="34"/>
      <c r="W3922" s="408"/>
    </row>
    <row r="3923" spans="1:23" ht="12.75" customHeight="1" x14ac:dyDescent="0.2">
      <c r="A3923" s="257">
        <v>3933</v>
      </c>
      <c r="B3923" s="44">
        <v>44672</v>
      </c>
      <c r="C3923" s="44">
        <f t="shared" si="188"/>
        <v>44672</v>
      </c>
      <c r="D3923" s="374">
        <v>129</v>
      </c>
      <c r="E3923" s="291" t="str">
        <f>IFERROR(VLOOKUP($D3923,'Clients-Live'!$A:$C,3,0),"")</f>
        <v>BAKO ASINA</v>
      </c>
      <c r="F3923" s="291">
        <f>IFERROR(INDEX(Disbursements!$D:$D,MATCH('Live Collections'!G3923,Disbursements!$C:$C,0)),"")</f>
        <v>4</v>
      </c>
      <c r="G3923" s="34">
        <v>513</v>
      </c>
      <c r="H3923" s="34">
        <v>5494</v>
      </c>
      <c r="I3923" s="34" t="s">
        <v>1358</v>
      </c>
      <c r="J3923" s="48"/>
      <c r="K3923" s="48"/>
      <c r="L3923" s="48"/>
      <c r="M3923" s="48"/>
      <c r="N3923" s="59"/>
      <c r="O3923" s="59"/>
      <c r="P3923" s="59">
        <v>280000</v>
      </c>
      <c r="Q3923" s="268">
        <f t="shared" si="185"/>
        <v>280000</v>
      </c>
      <c r="R3923" s="61">
        <f>IF(O3923=0,0,SUMIFS(Disbursements!$T:$T,Disbursements!$B:$B,'Live Collections'!D3923,Disbursements!$D:$D,'Live Collections'!F3923))</f>
        <v>0</v>
      </c>
      <c r="S3923" s="304">
        <f>IF(O3923&lt;=IF($O3923=0,0,SUMIFS(Disbursements!$W:$W,Disbursements!$B:$B,'Live Collections'!D3923,Disbursements!$D:$D,'Live Collections'!F3923)),O3923,IF($O3923=0,0,SUMIFS(Disbursements!$W:$W,Disbursements!$B:$B,'Live Collections'!D3923,Disbursements!$D:$D,'Live Collections'!F3923)))</f>
        <v>0</v>
      </c>
      <c r="T3923" s="304">
        <f t="shared" si="187"/>
        <v>0</v>
      </c>
      <c r="U3923" s="52"/>
      <c r="V3923" s="34"/>
      <c r="W3923" s="408"/>
    </row>
    <row r="3924" spans="1:23" ht="12.75" customHeight="1" x14ac:dyDescent="0.2">
      <c r="A3924" s="257">
        <v>3934</v>
      </c>
      <c r="B3924" s="44">
        <v>44672</v>
      </c>
      <c r="C3924" s="44">
        <f t="shared" si="188"/>
        <v>44672</v>
      </c>
      <c r="D3924" s="374">
        <v>175</v>
      </c>
      <c r="E3924" s="291" t="str">
        <f>IFERROR(VLOOKUP($D3924,'Clients-Live'!$A:$C,3,0),"")</f>
        <v>ZUBEDA WAIGA</v>
      </c>
      <c r="F3924" s="291">
        <f>IFERROR(INDEX(Disbursements!$D:$D,MATCH('Live Collections'!G3924,Disbursements!$C:$C,0)),"")</f>
        <v>3</v>
      </c>
      <c r="G3924" s="34">
        <v>466</v>
      </c>
      <c r="H3924" s="34">
        <v>5496</v>
      </c>
      <c r="I3924" s="34" t="s">
        <v>1358</v>
      </c>
      <c r="J3924" s="48"/>
      <c r="K3924" s="48"/>
      <c r="L3924" s="48"/>
      <c r="M3924" s="48"/>
      <c r="N3924" s="59"/>
      <c r="O3924" s="59">
        <v>30000</v>
      </c>
      <c r="P3924" s="59"/>
      <c r="Q3924" s="268">
        <f t="shared" si="185"/>
        <v>30000</v>
      </c>
      <c r="R3924" s="61">
        <f>IF(O3924=0,0,SUMIFS(Disbursements!$T:$T,Disbursements!$B:$B,'Live Collections'!D3924,Disbursements!$D:$D,'Live Collections'!F3924))</f>
        <v>32000</v>
      </c>
      <c r="S3924" s="304">
        <f>IF(O3924&lt;=IF($O3924=0,0,SUMIFS(Disbursements!$W:$W,Disbursements!$B:$B,'Live Collections'!D3924,Disbursements!$D:$D,'Live Collections'!F3924)),O3924,IF($O3924=0,0,SUMIFS(Disbursements!$W:$W,Disbursements!$B:$B,'Live Collections'!D3924,Disbursements!$D:$D,'Live Collections'!F3924)))</f>
        <v>7000</v>
      </c>
      <c r="T3924" s="304">
        <f t="shared" si="187"/>
        <v>23000</v>
      </c>
      <c r="U3924" s="52"/>
      <c r="V3924" s="34"/>
      <c r="W3924" s="408"/>
    </row>
    <row r="3925" spans="1:23" ht="12.75" customHeight="1" x14ac:dyDescent="0.2">
      <c r="A3925" s="257">
        <v>3935</v>
      </c>
      <c r="B3925" s="44">
        <v>44672</v>
      </c>
      <c r="C3925" s="44">
        <f t="shared" si="188"/>
        <v>44672</v>
      </c>
      <c r="D3925" s="374">
        <v>169</v>
      </c>
      <c r="E3925" s="291" t="str">
        <f>IFERROR(VLOOKUP($D3925,'Clients-Live'!$A:$C,3,0),"")</f>
        <v>KATO KENNEDY</v>
      </c>
      <c r="F3925" s="291">
        <f>IFERROR(INDEX(Disbursements!$D:$D,MATCH('Live Collections'!G3925,Disbursements!$C:$C,0)),"")</f>
        <v>2</v>
      </c>
      <c r="G3925" s="34">
        <v>394</v>
      </c>
      <c r="H3925" s="34">
        <v>5599</v>
      </c>
      <c r="I3925" s="34" t="s">
        <v>1357</v>
      </c>
      <c r="J3925" s="48"/>
      <c r="K3925" s="48"/>
      <c r="L3925" s="48"/>
      <c r="M3925" s="48"/>
      <c r="N3925" s="59"/>
      <c r="O3925" s="59">
        <v>58000</v>
      </c>
      <c r="P3925" s="59"/>
      <c r="Q3925" s="268">
        <f t="shared" si="185"/>
        <v>58000</v>
      </c>
      <c r="R3925" s="61">
        <f>IF(O3925=0,0,SUMIFS(Disbursements!$T:$T,Disbursements!$B:$B,'Live Collections'!D3925,Disbursements!$D:$D,'Live Collections'!F3925))</f>
        <v>58000</v>
      </c>
      <c r="S3925" s="304">
        <f>IF(O3925&lt;=IF($O3925=0,0,SUMIFS(Disbursements!$W:$W,Disbursements!$B:$B,'Live Collections'!D3925,Disbursements!$D:$D,'Live Collections'!F3925)),O3925,IF($O3925=0,0,SUMIFS(Disbursements!$W:$W,Disbursements!$B:$B,'Live Collections'!D3925,Disbursements!$D:$D,'Live Collections'!F3925)))</f>
        <v>16333.333333333336</v>
      </c>
      <c r="T3925" s="304">
        <f t="shared" si="187"/>
        <v>41666.666666666664</v>
      </c>
      <c r="U3925" s="52"/>
      <c r="V3925" s="34"/>
      <c r="W3925" s="408"/>
    </row>
    <row r="3926" spans="1:23" ht="12.75" customHeight="1" x14ac:dyDescent="0.2">
      <c r="A3926" s="257">
        <v>3936</v>
      </c>
      <c r="B3926" s="44">
        <v>44672</v>
      </c>
      <c r="C3926" s="44">
        <f t="shared" si="188"/>
        <v>44672</v>
      </c>
      <c r="D3926" s="374">
        <v>42</v>
      </c>
      <c r="E3926" s="291" t="str">
        <f>IFERROR(VLOOKUP($D3926,'Clients-Live'!$A:$C,3,0),"")</f>
        <v>ABAU   NOLA</v>
      </c>
      <c r="F3926" s="291">
        <f>IFERROR(INDEX(Disbursements!$D:$D,MATCH('Live Collections'!G3926,Disbursements!$C:$C,0)),"")</f>
        <v>4</v>
      </c>
      <c r="G3926" s="34">
        <v>498</v>
      </c>
      <c r="H3926" s="34">
        <v>5596</v>
      </c>
      <c r="I3926" s="34" t="s">
        <v>1359</v>
      </c>
      <c r="J3926" s="48"/>
      <c r="K3926" s="48"/>
      <c r="L3926" s="48"/>
      <c r="M3926" s="48"/>
      <c r="N3926" s="59"/>
      <c r="O3926" s="59">
        <v>20000</v>
      </c>
      <c r="P3926" s="59"/>
      <c r="Q3926" s="268">
        <f t="shared" si="185"/>
        <v>20000</v>
      </c>
      <c r="R3926" s="61">
        <f>IF(O3926=0,0,SUMIFS(Disbursements!$T:$T,Disbursements!$B:$B,'Live Collections'!D3926,Disbursements!$D:$D,'Live Collections'!F3926))</f>
        <v>100000</v>
      </c>
      <c r="S3926" s="304">
        <f>IF(O3926&lt;=IF($O3926=0,0,SUMIFS(Disbursements!$W:$W,Disbursements!$B:$B,'Live Collections'!D3926,Disbursements!$D:$D,'Live Collections'!F3926)),O3926,IF($O3926=0,0,SUMIFS(Disbursements!$W:$W,Disbursements!$B:$B,'Live Collections'!D3926,Disbursements!$D:$D,'Live Collections'!F3926)))</f>
        <v>16666.666666666672</v>
      </c>
      <c r="T3926" s="304">
        <f t="shared" si="187"/>
        <v>3333.3333333333285</v>
      </c>
      <c r="U3926" s="52"/>
      <c r="V3926" s="34"/>
      <c r="W3926" s="408"/>
    </row>
    <row r="3927" spans="1:23" ht="12.75" customHeight="1" x14ac:dyDescent="0.2">
      <c r="A3927" s="257">
        <v>3937</v>
      </c>
      <c r="B3927" s="44">
        <v>44672</v>
      </c>
      <c r="C3927" s="44">
        <f t="shared" si="188"/>
        <v>44672</v>
      </c>
      <c r="D3927" s="374">
        <v>55</v>
      </c>
      <c r="E3927" s="291" t="str">
        <f>IFERROR(VLOOKUP($D3927,'Clients-Live'!$A:$C,3,0),"")</f>
        <v>SOKOLA SHARON</v>
      </c>
      <c r="F3927" s="291">
        <f>IFERROR(INDEX(Disbursements!$D:$D,MATCH('Live Collections'!G3927,Disbursements!$C:$C,0)),"")</f>
        <v>2</v>
      </c>
      <c r="G3927" s="34">
        <v>288</v>
      </c>
      <c r="H3927" s="34">
        <v>5597</v>
      </c>
      <c r="I3927" s="34" t="s">
        <v>1359</v>
      </c>
      <c r="J3927" s="48"/>
      <c r="K3927" s="48"/>
      <c r="L3927" s="48"/>
      <c r="M3927" s="48"/>
      <c r="N3927" s="59"/>
      <c r="O3927" s="59">
        <v>20000</v>
      </c>
      <c r="P3927" s="59"/>
      <c r="Q3927" s="268">
        <f t="shared" si="185"/>
        <v>20000</v>
      </c>
      <c r="R3927" s="61">
        <f>IF(O3927=0,0,SUMIFS(Disbursements!$T:$T,Disbursements!$B:$B,'Live Collections'!D3927,Disbursements!$D:$D,'Live Collections'!F3927))</f>
        <v>210000</v>
      </c>
      <c r="S3927" s="304"/>
      <c r="T3927" s="304">
        <f t="shared" si="187"/>
        <v>20000</v>
      </c>
      <c r="U3927" s="52"/>
      <c r="V3927" s="34"/>
      <c r="W3927" s="408"/>
    </row>
    <row r="3928" spans="1:23" ht="12.75" customHeight="1" x14ac:dyDescent="0.2">
      <c r="A3928" s="257">
        <v>3938</v>
      </c>
      <c r="B3928" s="44">
        <v>44672</v>
      </c>
      <c r="C3928" s="44">
        <f t="shared" si="188"/>
        <v>44672</v>
      </c>
      <c r="D3928" s="374">
        <v>129</v>
      </c>
      <c r="E3928" s="291" t="str">
        <f>IFERROR(VLOOKUP($D3928,'Clients-Live'!$A:$C,3,0),"")</f>
        <v>BAKO ASINA</v>
      </c>
      <c r="F3928" s="291">
        <f>IFERROR(INDEX(Disbursements!$D:$D,MATCH('Live Collections'!G3928,Disbursements!$C:$C,0)),"")</f>
        <v>4</v>
      </c>
      <c r="G3928" s="34">
        <v>513</v>
      </c>
      <c r="H3928" s="34">
        <v>5853</v>
      </c>
      <c r="I3928" s="34" t="s">
        <v>1358</v>
      </c>
      <c r="J3928" s="48"/>
      <c r="K3928" s="48"/>
      <c r="L3928" s="48"/>
      <c r="M3928" s="48"/>
      <c r="N3928" s="59"/>
      <c r="O3928" s="59"/>
      <c r="P3928" s="59">
        <v>20000</v>
      </c>
      <c r="Q3928" s="268">
        <f t="shared" si="185"/>
        <v>20000</v>
      </c>
      <c r="R3928" s="61">
        <f>IF(O3928=0,0,SUMIFS(Disbursements!$T:$T,Disbursements!$B:$B,'Live Collections'!D3928,Disbursements!$D:$D,'Live Collections'!F3928))</f>
        <v>0</v>
      </c>
      <c r="S3928" s="304">
        <f>IF(O3928&lt;=IF($O3928=0,0,SUMIFS(Disbursements!$W:$W,Disbursements!$B:$B,'Live Collections'!D3928,Disbursements!$D:$D,'Live Collections'!F3928)),O3928,IF($O3928=0,0,SUMIFS(Disbursements!$W:$W,Disbursements!$B:$B,'Live Collections'!D3928,Disbursements!$D:$D,'Live Collections'!F3928)))</f>
        <v>0</v>
      </c>
      <c r="T3928" s="304">
        <f t="shared" si="187"/>
        <v>0</v>
      </c>
      <c r="U3928" s="52"/>
      <c r="V3928" s="34"/>
      <c r="W3928" s="408"/>
    </row>
    <row r="3929" spans="1:23" ht="12.75" customHeight="1" x14ac:dyDescent="0.2">
      <c r="A3929" s="257">
        <v>3939</v>
      </c>
      <c r="B3929" s="44">
        <v>44672</v>
      </c>
      <c r="C3929" s="44">
        <f t="shared" si="188"/>
        <v>44672</v>
      </c>
      <c r="D3929" s="374">
        <v>355</v>
      </c>
      <c r="E3929" s="291" t="str">
        <f>IFERROR(VLOOKUP($D3929,'Clients-Live'!$A:$C,3,0),"")</f>
        <v>KANYA NAIMA</v>
      </c>
      <c r="F3929" s="291" t="str">
        <f>IFERROR(INDEX(Disbursements!$D:$D,MATCH('Live Collections'!G3929,Disbursements!$C:$C,0)),"")</f>
        <v/>
      </c>
      <c r="G3929" s="34"/>
      <c r="H3929" s="34">
        <v>5801</v>
      </c>
      <c r="I3929" s="34" t="s">
        <v>1358</v>
      </c>
      <c r="J3929" s="48"/>
      <c r="K3929" s="48"/>
      <c r="L3929" s="48">
        <v>25000</v>
      </c>
      <c r="M3929" s="48">
        <v>5000</v>
      </c>
      <c r="N3929" s="59"/>
      <c r="O3929" s="59"/>
      <c r="P3929" s="59"/>
      <c r="Q3929" s="268">
        <f t="shared" si="185"/>
        <v>30000</v>
      </c>
      <c r="R3929" s="61">
        <f>IF(O3929=0,0,SUMIFS(Disbursements!$T:$T,Disbursements!$B:$B,'Live Collections'!D3929,Disbursements!$D:$D,'Live Collections'!F3929))</f>
        <v>0</v>
      </c>
      <c r="S3929" s="304">
        <f>IF(O3929&lt;=IF($O3929=0,0,SUMIFS(Disbursements!$W:$W,Disbursements!$B:$B,'Live Collections'!D3929,Disbursements!$D:$D,'Live Collections'!F3929)),O3929,IF($O3929=0,0,SUMIFS(Disbursements!$W:$W,Disbursements!$B:$B,'Live Collections'!D3929,Disbursements!$D:$D,'Live Collections'!F3929)))</f>
        <v>0</v>
      </c>
      <c r="T3929" s="304">
        <f t="shared" si="187"/>
        <v>0</v>
      </c>
      <c r="U3929" s="52"/>
      <c r="V3929" s="34"/>
      <c r="W3929" s="408"/>
    </row>
    <row r="3930" spans="1:23" ht="12.75" customHeight="1" x14ac:dyDescent="0.2">
      <c r="A3930" s="257">
        <v>3940</v>
      </c>
      <c r="B3930" s="44">
        <v>44672</v>
      </c>
      <c r="C3930" s="44">
        <f t="shared" si="188"/>
        <v>44672</v>
      </c>
      <c r="D3930" s="374">
        <v>355</v>
      </c>
      <c r="E3930" s="291" t="str">
        <f>IFERROR(VLOOKUP($D3930,'Clients-Live'!$A:$C,3,0),"")</f>
        <v>KANYA NAIMA</v>
      </c>
      <c r="F3930" s="291" t="str">
        <f>IFERROR(INDEX(Disbursements!$D:$D,MATCH('Live Collections'!G3930,Disbursements!$C:$C,0)),"")</f>
        <v/>
      </c>
      <c r="G3930" s="34"/>
      <c r="H3930" s="34">
        <v>5866</v>
      </c>
      <c r="I3930" s="34" t="s">
        <v>1760</v>
      </c>
      <c r="J3930" s="48">
        <v>15000</v>
      </c>
      <c r="K3930" s="48">
        <v>5000</v>
      </c>
      <c r="L3930" s="48"/>
      <c r="M3930" s="48"/>
      <c r="N3930" s="59"/>
      <c r="O3930" s="59"/>
      <c r="P3930" s="59"/>
      <c r="Q3930" s="268">
        <f t="shared" si="185"/>
        <v>20000</v>
      </c>
      <c r="R3930" s="61">
        <f>IF(O3930=0,0,SUMIFS(Disbursements!$T:$T,Disbursements!$B:$B,'Live Collections'!D3930,Disbursements!$D:$D,'Live Collections'!F3930))</f>
        <v>0</v>
      </c>
      <c r="S3930" s="304">
        <f>IF(O3930&lt;=IF($O3930=0,0,SUMIFS(Disbursements!$W:$W,Disbursements!$B:$B,'Live Collections'!D3930,Disbursements!$D:$D,'Live Collections'!F3930)),O3930,IF($O3930=0,0,SUMIFS(Disbursements!$W:$W,Disbursements!$B:$B,'Live Collections'!D3930,Disbursements!$D:$D,'Live Collections'!F3930)))</f>
        <v>0</v>
      </c>
      <c r="T3930" s="304">
        <f t="shared" si="187"/>
        <v>0</v>
      </c>
      <c r="U3930" s="52"/>
      <c r="V3930" s="34"/>
      <c r="W3930" s="408"/>
    </row>
    <row r="3931" spans="1:23" ht="12.75" customHeight="1" x14ac:dyDescent="0.2">
      <c r="A3931" s="257">
        <v>3941</v>
      </c>
      <c r="B3931" s="44">
        <v>44672</v>
      </c>
      <c r="C3931" s="44">
        <f t="shared" si="188"/>
        <v>44672</v>
      </c>
      <c r="D3931" s="374">
        <v>354</v>
      </c>
      <c r="E3931" s="291" t="str">
        <f>IFERROR(VLOOKUP($D3931,'Clients-Live'!$A:$C,3,0),"")</f>
        <v>EYOTARU DORCUS</v>
      </c>
      <c r="F3931" s="291" t="str">
        <f>IFERROR(INDEX(Disbursements!$D:$D,MATCH('Live Collections'!G3931,Disbursements!$C:$C,0)),"")</f>
        <v/>
      </c>
      <c r="G3931" s="34"/>
      <c r="H3931" s="34">
        <v>5499</v>
      </c>
      <c r="I3931" s="34" t="s">
        <v>1358</v>
      </c>
      <c r="J3931" s="48"/>
      <c r="K3931" s="48"/>
      <c r="L3931" s="48">
        <v>15000</v>
      </c>
      <c r="M3931" s="48">
        <v>5000</v>
      </c>
      <c r="N3931" s="59"/>
      <c r="O3931" s="59"/>
      <c r="P3931" s="59"/>
      <c r="Q3931" s="268">
        <f t="shared" si="185"/>
        <v>20000</v>
      </c>
      <c r="R3931" s="61">
        <f>IF(O3931=0,0,SUMIFS(Disbursements!$T:$T,Disbursements!$B:$B,'Live Collections'!D3931,Disbursements!$D:$D,'Live Collections'!F3931))</f>
        <v>0</v>
      </c>
      <c r="S3931" s="304">
        <f>IF(O3931&lt;=IF($O3931=0,0,SUMIFS(Disbursements!$W:$W,Disbursements!$B:$B,'Live Collections'!D3931,Disbursements!$D:$D,'Live Collections'!F3931)),O3931,IF($O3931=0,0,SUMIFS(Disbursements!$W:$W,Disbursements!$B:$B,'Live Collections'!D3931,Disbursements!$D:$D,'Live Collections'!F3931)))</f>
        <v>0</v>
      </c>
      <c r="T3931" s="304">
        <f t="shared" si="187"/>
        <v>0</v>
      </c>
      <c r="U3931" s="52"/>
      <c r="V3931" s="34"/>
      <c r="W3931" s="408"/>
    </row>
    <row r="3932" spans="1:23" ht="12.75" customHeight="1" x14ac:dyDescent="0.2">
      <c r="A3932" s="257">
        <v>3942</v>
      </c>
      <c r="B3932" s="44">
        <v>44672</v>
      </c>
      <c r="C3932" s="44">
        <f t="shared" si="188"/>
        <v>44672</v>
      </c>
      <c r="D3932" s="374">
        <v>354</v>
      </c>
      <c r="E3932" s="291" t="str">
        <f>IFERROR(VLOOKUP($D3932,'Clients-Live'!$A:$C,3,0),"")</f>
        <v>EYOTARU DORCUS</v>
      </c>
      <c r="F3932" s="291" t="str">
        <f>IFERROR(INDEX(Disbursements!$D:$D,MATCH('Live Collections'!G3932,Disbursements!$C:$C,0)),"")</f>
        <v/>
      </c>
      <c r="G3932" s="34"/>
      <c r="H3932" s="34">
        <v>5499</v>
      </c>
      <c r="I3932" s="34" t="s">
        <v>1760</v>
      </c>
      <c r="J3932" s="48">
        <v>15000</v>
      </c>
      <c r="K3932" s="48">
        <v>5000</v>
      </c>
      <c r="L3932" s="48"/>
      <c r="M3932" s="48"/>
      <c r="N3932" s="59"/>
      <c r="O3932" s="59"/>
      <c r="P3932" s="59"/>
      <c r="Q3932" s="268">
        <f t="shared" si="185"/>
        <v>20000</v>
      </c>
      <c r="R3932" s="61">
        <f>IF(O3932=0,0,SUMIFS(Disbursements!$T:$T,Disbursements!$B:$B,'Live Collections'!D3932,Disbursements!$D:$D,'Live Collections'!F3932))</f>
        <v>0</v>
      </c>
      <c r="S3932" s="304">
        <f>IF(O3932&lt;=IF($O3932=0,0,SUMIFS(Disbursements!$W:$W,Disbursements!$B:$B,'Live Collections'!D3932,Disbursements!$D:$D,'Live Collections'!F3932)),O3932,IF($O3932=0,0,SUMIFS(Disbursements!$W:$W,Disbursements!$B:$B,'Live Collections'!D3932,Disbursements!$D:$D,'Live Collections'!F3932)))</f>
        <v>0</v>
      </c>
      <c r="T3932" s="304">
        <f t="shared" si="187"/>
        <v>0</v>
      </c>
      <c r="U3932" s="52"/>
      <c r="V3932" s="34"/>
      <c r="W3932" s="408"/>
    </row>
    <row r="3933" spans="1:23" ht="12.75" customHeight="1" x14ac:dyDescent="0.2">
      <c r="A3933" s="257">
        <v>3943</v>
      </c>
      <c r="B3933" s="44">
        <v>44518</v>
      </c>
      <c r="C3933" s="44">
        <f t="shared" si="188"/>
        <v>44518</v>
      </c>
      <c r="D3933" s="374">
        <v>124</v>
      </c>
      <c r="E3933" s="291" t="str">
        <f>IFERROR(VLOOKUP($D3933,'Clients-Live'!$A:$C,3,0),"")</f>
        <v>TIKO ZABIBU</v>
      </c>
      <c r="F3933" s="291">
        <f>IFERROR(INDEX(Disbursements!$D:$D,MATCH('Live Collections'!G3933,Disbursements!$C:$C,0)),"")</f>
        <v>2</v>
      </c>
      <c r="G3933" s="34">
        <v>335</v>
      </c>
      <c r="H3933" s="34">
        <v>3437</v>
      </c>
      <c r="I3933" s="34" t="s">
        <v>1358</v>
      </c>
      <c r="J3933" s="48"/>
      <c r="K3933" s="48"/>
      <c r="L3933" s="48"/>
      <c r="M3933" s="48"/>
      <c r="N3933" s="59"/>
      <c r="O3933" s="59"/>
      <c r="P3933" s="59">
        <v>80000</v>
      </c>
      <c r="Q3933" s="268">
        <f t="shared" si="185"/>
        <v>80000</v>
      </c>
      <c r="R3933" s="61">
        <f>IF(O3933=0,0,SUMIFS(Disbursements!$T:$T,Disbursements!$B:$B,'Live Collections'!D3933,Disbursements!$D:$D,'Live Collections'!F3933))</f>
        <v>0</v>
      </c>
      <c r="S3933" s="304"/>
      <c r="T3933" s="304">
        <f t="shared" si="187"/>
        <v>0</v>
      </c>
      <c r="U3933" s="52"/>
      <c r="V3933" s="34"/>
      <c r="W3933" s="408"/>
    </row>
    <row r="3934" spans="1:23" ht="12.75" customHeight="1" x14ac:dyDescent="0.2">
      <c r="A3934" s="257">
        <v>3944</v>
      </c>
      <c r="B3934" s="44">
        <v>44673</v>
      </c>
      <c r="C3934" s="44">
        <f t="shared" si="188"/>
        <v>44673</v>
      </c>
      <c r="D3934" s="374">
        <v>74</v>
      </c>
      <c r="E3934" s="291" t="str">
        <f>IFERROR(VLOOKUP($D3934,'Clients-Live'!$A:$C,3,0),"")</f>
        <v>YUKUWE AISHA</v>
      </c>
      <c r="F3934" s="291">
        <f>IFERROR(INDEX(Disbursements!$D:$D,MATCH('Live Collections'!G3934,Disbursements!$C:$C,0)),"")</f>
        <v>3</v>
      </c>
      <c r="G3934" s="34">
        <v>447</v>
      </c>
      <c r="H3934" s="34">
        <v>5956</v>
      </c>
      <c r="I3934" s="34" t="s">
        <v>1358</v>
      </c>
      <c r="J3934" s="48"/>
      <c r="K3934" s="48"/>
      <c r="L3934" s="48"/>
      <c r="M3934" s="48"/>
      <c r="N3934" s="59"/>
      <c r="O3934" s="59">
        <v>16000</v>
      </c>
      <c r="P3934" s="59"/>
      <c r="Q3934" s="268">
        <f t="shared" si="185"/>
        <v>16000</v>
      </c>
      <c r="R3934" s="61">
        <f>IF(O3934=0,0,SUMIFS(Disbursements!$T:$T,Disbursements!$B:$B,'Live Collections'!D3934,Disbursements!$D:$D,'Live Collections'!F3934))</f>
        <v>16000</v>
      </c>
      <c r="S3934" s="304">
        <f>IF(O3934&lt;=IF($O3934=0,0,SUMIFS(Disbursements!$W:$W,Disbursements!$B:$B,'Live Collections'!D3934,Disbursements!$D:$D,'Live Collections'!F3934)),O3934,IF($O3934=0,0,SUMIFS(Disbursements!$W:$W,Disbursements!$B:$B,'Live Collections'!D3934,Disbursements!$D:$D,'Live Collections'!F3934)))</f>
        <v>3500</v>
      </c>
      <c r="T3934" s="304">
        <f t="shared" si="187"/>
        <v>12500</v>
      </c>
      <c r="U3934" s="52"/>
      <c r="V3934" s="34"/>
      <c r="W3934" s="408"/>
    </row>
    <row r="3935" spans="1:23" ht="12.75" customHeight="1" x14ac:dyDescent="0.2">
      <c r="A3935" s="257">
        <v>3945</v>
      </c>
      <c r="B3935" s="44">
        <v>44673</v>
      </c>
      <c r="C3935" s="44">
        <f t="shared" si="188"/>
        <v>44673</v>
      </c>
      <c r="D3935" s="374">
        <v>356</v>
      </c>
      <c r="E3935" s="291" t="str">
        <f>IFERROR(VLOOKUP($D3935,'Clients-Live'!$A:$C,3,0),"")</f>
        <v>IDORU DRAMUKE</v>
      </c>
      <c r="F3935" s="291" t="str">
        <f>IFERROR(INDEX(Disbursements!$D:$D,MATCH('Live Collections'!G3935,Disbursements!$C:$C,0)),"")</f>
        <v/>
      </c>
      <c r="G3935" s="34"/>
      <c r="H3935" s="34">
        <v>5962</v>
      </c>
      <c r="I3935" s="34" t="s">
        <v>1359</v>
      </c>
      <c r="J3935" s="48"/>
      <c r="K3935" s="48"/>
      <c r="L3935" s="48">
        <v>20000</v>
      </c>
      <c r="M3935" s="48">
        <v>5000</v>
      </c>
      <c r="N3935" s="59"/>
      <c r="O3935" s="59"/>
      <c r="P3935" s="59"/>
      <c r="Q3935" s="268">
        <f t="shared" si="185"/>
        <v>25000</v>
      </c>
      <c r="R3935" s="61">
        <f>IF(O3935=0,0,SUMIFS(Disbursements!$T:$T,Disbursements!$B:$B,'Live Collections'!D3935,Disbursements!$D:$D,'Live Collections'!F3935))</f>
        <v>0</v>
      </c>
      <c r="S3935" s="304">
        <f>IF(O3935&lt;=IF($O3935=0,0,SUMIFS(Disbursements!$W:$W,Disbursements!$B:$B,'Live Collections'!D3935,Disbursements!$D:$D,'Live Collections'!F3935)),O3935,IF($O3935=0,0,SUMIFS(Disbursements!$W:$W,Disbursements!$B:$B,'Live Collections'!D3935,Disbursements!$D:$D,'Live Collections'!F3935)))</f>
        <v>0</v>
      </c>
      <c r="T3935" s="304">
        <f t="shared" si="187"/>
        <v>0</v>
      </c>
      <c r="U3935" s="52"/>
      <c r="V3935" s="34"/>
      <c r="W3935" s="408"/>
    </row>
    <row r="3936" spans="1:23" ht="12.75" customHeight="1" x14ac:dyDescent="0.2">
      <c r="A3936" s="257">
        <v>3946</v>
      </c>
      <c r="B3936" s="44">
        <v>44673</v>
      </c>
      <c r="C3936" s="44">
        <f t="shared" si="188"/>
        <v>44673</v>
      </c>
      <c r="D3936" s="374">
        <v>356</v>
      </c>
      <c r="E3936" s="291" t="str">
        <f>IFERROR(VLOOKUP($D3936,'Clients-Live'!$A:$C,3,0),"")</f>
        <v>IDORU DRAMUKE</v>
      </c>
      <c r="F3936" s="291" t="str">
        <f>IFERROR(INDEX(Disbursements!$D:$D,MATCH('Live Collections'!G3936,Disbursements!$C:$C,0)),"")</f>
        <v/>
      </c>
      <c r="G3936" s="34"/>
      <c r="H3936" s="34">
        <v>5962</v>
      </c>
      <c r="I3936" s="34" t="s">
        <v>1760</v>
      </c>
      <c r="J3936" s="48">
        <v>15000</v>
      </c>
      <c r="K3936" s="48">
        <v>5000</v>
      </c>
      <c r="L3936" s="48"/>
      <c r="M3936" s="48"/>
      <c r="N3936" s="59"/>
      <c r="O3936" s="59"/>
      <c r="P3936" s="59"/>
      <c r="Q3936" s="268">
        <f t="shared" si="185"/>
        <v>20000</v>
      </c>
      <c r="R3936" s="61">
        <f>IF(O3936=0,0,SUMIFS(Disbursements!$T:$T,Disbursements!$B:$B,'Live Collections'!D3936,Disbursements!$D:$D,'Live Collections'!F3936))</f>
        <v>0</v>
      </c>
      <c r="S3936" s="304">
        <f>IF(O3936&lt;=IF($O3936=0,0,SUMIFS(Disbursements!$W:$W,Disbursements!$B:$B,'Live Collections'!D3936,Disbursements!$D:$D,'Live Collections'!F3936)),O3936,IF($O3936=0,0,SUMIFS(Disbursements!$W:$W,Disbursements!$B:$B,'Live Collections'!D3936,Disbursements!$D:$D,'Live Collections'!F3936)))</f>
        <v>0</v>
      </c>
      <c r="T3936" s="304">
        <f t="shared" si="187"/>
        <v>0</v>
      </c>
      <c r="U3936" s="52"/>
      <c r="V3936" s="34"/>
      <c r="W3936" s="408"/>
    </row>
    <row r="3937" spans="1:23" ht="12.75" customHeight="1" x14ac:dyDescent="0.2">
      <c r="A3937" s="257">
        <v>3947</v>
      </c>
      <c r="B3937" s="44">
        <v>44673</v>
      </c>
      <c r="C3937" s="44">
        <f t="shared" si="188"/>
        <v>44673</v>
      </c>
      <c r="D3937" s="374">
        <v>19</v>
      </c>
      <c r="E3937" s="291" t="str">
        <f>IFERROR(VLOOKUP($D3937,'Clients-Live'!$A:$C,3,0),"")</f>
        <v>ANGUPARU MOLLY</v>
      </c>
      <c r="F3937" s="291">
        <f>IFERROR(INDEX(Disbursements!$D:$D,MATCH('Live Collections'!G3937,Disbursements!$C:$C,0)),"")</f>
        <v>2</v>
      </c>
      <c r="G3937" s="34">
        <v>152</v>
      </c>
      <c r="H3937" s="34" t="s">
        <v>2324</v>
      </c>
      <c r="I3937" s="34" t="s">
        <v>1358</v>
      </c>
      <c r="J3937" s="48"/>
      <c r="K3937" s="48"/>
      <c r="L3937" s="48"/>
      <c r="M3937" s="48"/>
      <c r="N3937" s="59"/>
      <c r="O3937" s="59">
        <v>70000</v>
      </c>
      <c r="P3937" s="59">
        <v>-70000</v>
      </c>
      <c r="Q3937" s="268">
        <f t="shared" si="185"/>
        <v>0</v>
      </c>
      <c r="R3937" s="61">
        <f>IF(O3937=0,0,SUMIFS(Disbursements!$T:$T,Disbursements!$B:$B,'Live Collections'!D3937,Disbursements!$D:$D,'Live Collections'!F3937))</f>
        <v>210000</v>
      </c>
      <c r="S3937" s="304"/>
      <c r="T3937" s="304">
        <f t="shared" si="187"/>
        <v>70000</v>
      </c>
      <c r="U3937" s="52"/>
      <c r="V3937" s="34"/>
      <c r="W3937" s="408"/>
    </row>
    <row r="3938" spans="1:23" ht="12.75" customHeight="1" x14ac:dyDescent="0.2">
      <c r="A3938" s="257">
        <v>3948</v>
      </c>
      <c r="B3938" s="44">
        <v>44673</v>
      </c>
      <c r="C3938" s="44">
        <f t="shared" si="188"/>
        <v>44673</v>
      </c>
      <c r="D3938" s="374">
        <v>19</v>
      </c>
      <c r="E3938" s="291" t="str">
        <f>IFERROR(VLOOKUP($D3938,'Clients-Live'!$A:$C,3,0),"")</f>
        <v>ANGUPARU MOLLY</v>
      </c>
      <c r="F3938" s="291">
        <f>IFERROR(INDEX(Disbursements!$D:$D,MATCH('Live Collections'!G3938,Disbursements!$C:$C,0)),"")</f>
        <v>2</v>
      </c>
      <c r="G3938" s="34">
        <v>152</v>
      </c>
      <c r="H3938" s="34">
        <v>5957</v>
      </c>
      <c r="I3938" s="34" t="s">
        <v>1358</v>
      </c>
      <c r="J3938" s="48"/>
      <c r="K3938" s="48"/>
      <c r="L3938" s="48"/>
      <c r="M3938" s="48"/>
      <c r="N3938" s="59"/>
      <c r="O3938" s="59">
        <v>30000</v>
      </c>
      <c r="P3938" s="59"/>
      <c r="Q3938" s="268">
        <f t="shared" si="185"/>
        <v>30000</v>
      </c>
      <c r="R3938" s="61">
        <f>IF(O3938=0,0,SUMIFS(Disbursements!$T:$T,Disbursements!$B:$B,'Live Collections'!D3938,Disbursements!$D:$D,'Live Collections'!F3938))</f>
        <v>210000</v>
      </c>
      <c r="S3938" s="304"/>
      <c r="T3938" s="304">
        <f t="shared" si="187"/>
        <v>30000</v>
      </c>
      <c r="U3938" s="52"/>
      <c r="V3938" s="34"/>
      <c r="W3938" s="408"/>
    </row>
    <row r="3939" spans="1:23" ht="12.75" customHeight="1" x14ac:dyDescent="0.2">
      <c r="A3939" s="257">
        <v>3949</v>
      </c>
      <c r="B3939" s="44">
        <v>44673</v>
      </c>
      <c r="C3939" s="44">
        <f t="shared" si="188"/>
        <v>44673</v>
      </c>
      <c r="D3939" s="374">
        <v>128</v>
      </c>
      <c r="E3939" s="291" t="str">
        <f>IFERROR(VLOOKUP($D3939,'Clients-Live'!$A:$C,3,0),"")</f>
        <v>AJONYE BETTY</v>
      </c>
      <c r="F3939" s="291">
        <f>IFERROR(INDEX(Disbursements!$D:$D,MATCH('Live Collections'!G3939,Disbursements!$C:$C,0)),"")</f>
        <v>3</v>
      </c>
      <c r="G3939" s="34">
        <v>463</v>
      </c>
      <c r="H3939" s="34">
        <v>5751</v>
      </c>
      <c r="I3939" s="34" t="s">
        <v>1359</v>
      </c>
      <c r="J3939" s="48"/>
      <c r="K3939" s="48"/>
      <c r="L3939" s="48"/>
      <c r="M3939" s="48"/>
      <c r="N3939" s="59"/>
      <c r="O3939" s="59">
        <v>50000</v>
      </c>
      <c r="P3939" s="59"/>
      <c r="Q3939" s="268">
        <f t="shared" si="185"/>
        <v>50000</v>
      </c>
      <c r="R3939" s="61">
        <f>IF(O3939=0,0,SUMIFS(Disbursements!$T:$T,Disbursements!$B:$B,'Live Collections'!D3939,Disbursements!$D:$D,'Live Collections'!F3939))</f>
        <v>25000</v>
      </c>
      <c r="S3939" s="304">
        <f>IF(O3939&lt;=IF($O3939=0,0,SUMIFS(Disbursements!$W:$W,Disbursements!$B:$B,'Live Collections'!D3939,Disbursements!$D:$D,'Live Collections'!F3939)),O3939,IF($O3939=0,0,SUMIFS(Disbursements!$W:$W,Disbursements!$B:$B,'Live Collections'!D3939,Disbursements!$D:$D,'Live Collections'!F3939)))</f>
        <v>4166.6666666666679</v>
      </c>
      <c r="T3939" s="304">
        <f t="shared" si="187"/>
        <v>45833.333333333328</v>
      </c>
      <c r="U3939" s="52"/>
      <c r="V3939" s="34"/>
      <c r="W3939" s="408"/>
    </row>
    <row r="3940" spans="1:23" ht="12.75" customHeight="1" x14ac:dyDescent="0.2">
      <c r="A3940" s="257">
        <v>3950</v>
      </c>
      <c r="B3940" s="44">
        <v>44673</v>
      </c>
      <c r="C3940" s="44">
        <f t="shared" si="188"/>
        <v>44673</v>
      </c>
      <c r="D3940" s="374">
        <v>324</v>
      </c>
      <c r="E3940" s="291" t="str">
        <f>IFERROR(VLOOKUP($D3940,'Clients-Live'!$A:$C,3,0),"")</f>
        <v>ARIKE KOKOLE YASSIN</v>
      </c>
      <c r="F3940" s="291">
        <f>IFERROR(INDEX(Disbursements!$D:$D,MATCH('Live Collections'!G3940,Disbursements!$C:$C,0)),"")</f>
        <v>1</v>
      </c>
      <c r="G3940" s="34">
        <v>450</v>
      </c>
      <c r="H3940" s="34">
        <v>5752</v>
      </c>
      <c r="I3940" s="34" t="s">
        <v>1357</v>
      </c>
      <c r="J3940" s="48"/>
      <c r="K3940" s="48"/>
      <c r="L3940" s="48"/>
      <c r="M3940" s="48"/>
      <c r="N3940" s="59"/>
      <c r="O3940" s="59">
        <v>60000</v>
      </c>
      <c r="P3940" s="59"/>
      <c r="Q3940" s="268">
        <f t="shared" si="185"/>
        <v>60000</v>
      </c>
      <c r="R3940" s="61">
        <f>IF(O3940=0,0,SUMIFS(Disbursements!$T:$T,Disbursements!$B:$B,'Live Collections'!D3940,Disbursements!$D:$D,'Live Collections'!F3940))</f>
        <v>58000</v>
      </c>
      <c r="S3940" s="304">
        <f>IF(O3940&lt;=IF($O3940=0,0,SUMIFS(Disbursements!$W:$W,Disbursements!$B:$B,'Live Collections'!D3940,Disbursements!$D:$D,'Live Collections'!F3940)),O3940,IF($O3940=0,0,SUMIFS(Disbursements!$W:$W,Disbursements!$B:$B,'Live Collections'!D3940,Disbursements!$D:$D,'Live Collections'!F3940)))</f>
        <v>16333.333333333336</v>
      </c>
      <c r="T3940" s="304">
        <f t="shared" si="187"/>
        <v>43666.666666666664</v>
      </c>
      <c r="U3940" s="52"/>
      <c r="V3940" s="34"/>
      <c r="W3940" s="408"/>
    </row>
    <row r="3941" spans="1:23" ht="12.75" customHeight="1" x14ac:dyDescent="0.2">
      <c r="A3941" s="257">
        <v>3951</v>
      </c>
      <c r="B3941" s="44">
        <v>44673</v>
      </c>
      <c r="C3941" s="44">
        <f t="shared" si="188"/>
        <v>44673</v>
      </c>
      <c r="D3941" s="374">
        <v>200</v>
      </c>
      <c r="E3941" s="291" t="str">
        <f>IFERROR(VLOOKUP($D3941,'Clients-Live'!$A:$C,3,0),"")</f>
        <v>SERIYA FLORENCE</v>
      </c>
      <c r="F3941" s="291">
        <f>IFERROR(INDEX(Disbursements!$D:$D,MATCH('Live Collections'!G3941,Disbursements!$C:$C,0)),"")</f>
        <v>2</v>
      </c>
      <c r="G3941" s="34">
        <v>342</v>
      </c>
      <c r="H3941" s="34">
        <v>5960</v>
      </c>
      <c r="I3941" s="34" t="s">
        <v>1359</v>
      </c>
      <c r="J3941" s="48"/>
      <c r="K3941" s="48"/>
      <c r="L3941" s="48"/>
      <c r="M3941" s="48"/>
      <c r="N3941" s="59"/>
      <c r="O3941" s="59">
        <v>75000</v>
      </c>
      <c r="P3941" s="59"/>
      <c r="Q3941" s="268">
        <f t="shared" si="185"/>
        <v>75000</v>
      </c>
      <c r="R3941" s="61">
        <f>IF(O3941=0,0,SUMIFS(Disbursements!$T:$T,Disbursements!$B:$B,'Live Collections'!D3941,Disbursements!$D:$D,'Live Collections'!F3941))</f>
        <v>125000</v>
      </c>
      <c r="S3941" s="304">
        <v>9333.3333333333285</v>
      </c>
      <c r="T3941" s="304">
        <f t="shared" si="187"/>
        <v>65666.666666666672</v>
      </c>
      <c r="U3941" s="52"/>
      <c r="V3941" s="34"/>
      <c r="W3941" s="408"/>
    </row>
    <row r="3942" spans="1:23" ht="12.75" customHeight="1" x14ac:dyDescent="0.2">
      <c r="A3942" s="257">
        <v>3952</v>
      </c>
      <c r="B3942" s="44">
        <v>44673</v>
      </c>
      <c r="C3942" s="44">
        <f t="shared" si="188"/>
        <v>44673</v>
      </c>
      <c r="D3942" s="374">
        <v>248</v>
      </c>
      <c r="E3942" s="291" t="str">
        <f>IFERROR(VLOOKUP($D3942,'Clients-Live'!$A:$C,3,0),"")</f>
        <v>LETARU GLORIA</v>
      </c>
      <c r="F3942" s="291">
        <f>IFERROR(INDEX(Disbursements!$D:$D,MATCH('Live Collections'!G3942,Disbursements!$C:$C,0)),"")</f>
        <v>2</v>
      </c>
      <c r="G3942" s="34">
        <v>487</v>
      </c>
      <c r="H3942" s="34">
        <v>5858</v>
      </c>
      <c r="I3942" s="34" t="s">
        <v>1359</v>
      </c>
      <c r="J3942" s="48"/>
      <c r="K3942" s="48"/>
      <c r="L3942" s="48"/>
      <c r="M3942" s="48"/>
      <c r="N3942" s="59"/>
      <c r="O3942" s="59">
        <v>400000</v>
      </c>
      <c r="P3942" s="59"/>
      <c r="Q3942" s="268">
        <f t="shared" si="185"/>
        <v>400000</v>
      </c>
      <c r="R3942" s="61">
        <f>IF(O3942=0,0,SUMIFS(Disbursements!$T:$T,Disbursements!$B:$B,'Live Collections'!D3942,Disbursements!$D:$D,'Live Collections'!F3942))</f>
        <v>1090000</v>
      </c>
      <c r="S3942" s="304">
        <f>IF(O3942&lt;=IF($O3942=0,0,SUMIFS(Disbursements!$W:$W,Disbursements!$B:$B,'Live Collections'!D3942,Disbursements!$D:$D,'Live Collections'!F3942)),O3942,IF($O3942=0,0,SUMIFS(Disbursements!$W:$W,Disbursements!$B:$B,'Live Collections'!D3942,Disbursements!$D:$D,'Live Collections'!F3942)))</f>
        <v>375714.28571428568</v>
      </c>
      <c r="T3942" s="304">
        <f t="shared" si="187"/>
        <v>24285.714285714319</v>
      </c>
      <c r="U3942" s="52"/>
      <c r="V3942" s="34"/>
      <c r="W3942" s="408"/>
    </row>
    <row r="3943" spans="1:23" ht="12.75" customHeight="1" x14ac:dyDescent="0.2">
      <c r="A3943" s="257">
        <v>3953</v>
      </c>
      <c r="B3943" s="44">
        <v>44673</v>
      </c>
      <c r="C3943" s="44">
        <f t="shared" si="188"/>
        <v>44673</v>
      </c>
      <c r="D3943" s="374">
        <v>88</v>
      </c>
      <c r="E3943" s="291" t="str">
        <f>IFERROR(VLOOKUP($D3943,'Clients-Live'!$A:$C,3,0),"")</f>
        <v>FAIDA HARRIET</v>
      </c>
      <c r="F3943" s="291">
        <f>IFERROR(INDEX(Disbursements!$D:$D,MATCH('Live Collections'!G3943,Disbursements!$C:$C,0)),"")</f>
        <v>3</v>
      </c>
      <c r="G3943" s="34">
        <v>380</v>
      </c>
      <c r="H3943" s="34" t="s">
        <v>2325</v>
      </c>
      <c r="I3943" s="34" t="s">
        <v>1357</v>
      </c>
      <c r="J3943" s="48"/>
      <c r="K3943" s="48"/>
      <c r="L3943" s="48"/>
      <c r="M3943" s="48"/>
      <c r="N3943" s="59"/>
      <c r="O3943" s="59">
        <v>30000</v>
      </c>
      <c r="P3943" s="59">
        <v>-30000</v>
      </c>
      <c r="Q3943" s="268">
        <f t="shared" si="185"/>
        <v>0</v>
      </c>
      <c r="R3943" s="61">
        <f>IF(O3943=0,0,SUMIFS(Disbursements!$T:$T,Disbursements!$B:$B,'Live Collections'!D3943,Disbursements!$D:$D,'Live Collections'!F3943))</f>
        <v>90000</v>
      </c>
      <c r="S3943" s="304"/>
      <c r="T3943" s="304">
        <f t="shared" si="187"/>
        <v>30000</v>
      </c>
      <c r="U3943" s="52"/>
      <c r="V3943" s="34"/>
      <c r="W3943" s="408"/>
    </row>
    <row r="3944" spans="1:23" ht="12.75" customHeight="1" x14ac:dyDescent="0.2">
      <c r="A3944" s="257">
        <v>3954</v>
      </c>
      <c r="B3944" s="44">
        <v>44673</v>
      </c>
      <c r="C3944" s="44">
        <f t="shared" si="188"/>
        <v>44673</v>
      </c>
      <c r="D3944" s="374">
        <v>88</v>
      </c>
      <c r="E3944" s="291" t="str">
        <f>IFERROR(VLOOKUP($D3944,'Clients-Live'!$A:$C,3,0),"")</f>
        <v>FAIDA HARRIET</v>
      </c>
      <c r="F3944" s="291">
        <f>IFERROR(INDEX(Disbursements!$D:$D,MATCH('Live Collections'!G3944,Disbursements!$C:$C,0)),"")</f>
        <v>3</v>
      </c>
      <c r="G3944" s="34">
        <v>380</v>
      </c>
      <c r="H3944" s="34">
        <v>5964</v>
      </c>
      <c r="I3944" s="34" t="s">
        <v>1357</v>
      </c>
      <c r="J3944" s="48"/>
      <c r="K3944" s="48"/>
      <c r="L3944" s="48"/>
      <c r="M3944" s="48"/>
      <c r="N3944" s="59"/>
      <c r="O3944" s="59">
        <v>10000</v>
      </c>
      <c r="P3944" s="59"/>
      <c r="Q3944" s="268">
        <f t="shared" si="185"/>
        <v>10000</v>
      </c>
      <c r="R3944" s="61">
        <f>IF(O3944=0,0,SUMIFS(Disbursements!$T:$T,Disbursements!$B:$B,'Live Collections'!D3944,Disbursements!$D:$D,'Live Collections'!F3944))</f>
        <v>90000</v>
      </c>
      <c r="S3944" s="304"/>
      <c r="T3944" s="304">
        <f t="shared" si="187"/>
        <v>10000</v>
      </c>
      <c r="U3944" s="52"/>
      <c r="V3944" s="34"/>
      <c r="W3944" s="408"/>
    </row>
    <row r="3945" spans="1:23" ht="12.75" customHeight="1" x14ac:dyDescent="0.2">
      <c r="A3945" s="257">
        <v>3955</v>
      </c>
      <c r="B3945" s="44">
        <v>44673</v>
      </c>
      <c r="C3945" s="44">
        <f t="shared" si="188"/>
        <v>44673</v>
      </c>
      <c r="D3945" s="374">
        <v>88</v>
      </c>
      <c r="E3945" s="291" t="str">
        <f>IFERROR(VLOOKUP($D3945,'Clients-Live'!$A:$C,3,0),"")</f>
        <v>FAIDA HARRIET</v>
      </c>
      <c r="F3945" s="291" t="str">
        <f>IFERROR(INDEX(Disbursements!$D:$D,MATCH('Live Collections'!G3945,Disbursements!$C:$C,0)),"")</f>
        <v/>
      </c>
      <c r="G3945" s="34"/>
      <c r="H3945" s="34">
        <v>5753</v>
      </c>
      <c r="I3945" s="34" t="s">
        <v>1357</v>
      </c>
      <c r="J3945" s="48"/>
      <c r="K3945" s="48"/>
      <c r="L3945" s="48"/>
      <c r="M3945" s="48"/>
      <c r="N3945" s="59">
        <v>8400</v>
      </c>
      <c r="O3945" s="59"/>
      <c r="P3945" s="59"/>
      <c r="Q3945" s="268">
        <f t="shared" si="185"/>
        <v>8400</v>
      </c>
      <c r="R3945" s="61">
        <f>IF(O3945=0,0,SUMIFS(Disbursements!$T:$T,Disbursements!$B:$B,'Live Collections'!D3945,Disbursements!$D:$D,'Live Collections'!F3945))</f>
        <v>0</v>
      </c>
      <c r="S3945" s="304">
        <f>IF(O3945&lt;=IF($O3945=0,0,SUMIFS(Disbursements!$W:$W,Disbursements!$B:$B,'Live Collections'!D3945,Disbursements!$D:$D,'Live Collections'!F3945)),O3945,IF($O3945=0,0,SUMIFS(Disbursements!$W:$W,Disbursements!$B:$B,'Live Collections'!D3945,Disbursements!$D:$D,'Live Collections'!F3945)))</f>
        <v>0</v>
      </c>
      <c r="T3945" s="304">
        <f t="shared" si="187"/>
        <v>0</v>
      </c>
      <c r="U3945" s="52"/>
      <c r="V3945" s="34"/>
      <c r="W3945" s="408"/>
    </row>
    <row r="3946" spans="1:23" ht="12.75" customHeight="1" x14ac:dyDescent="0.2">
      <c r="A3946" s="257">
        <v>3956</v>
      </c>
      <c r="B3946" s="44">
        <v>44674</v>
      </c>
      <c r="C3946" s="44">
        <f t="shared" si="188"/>
        <v>44674</v>
      </c>
      <c r="D3946" s="374">
        <v>252</v>
      </c>
      <c r="E3946" s="291" t="str">
        <f>IFERROR(VLOOKUP($D3946,'Clients-Live'!$A:$C,3,0),"")</f>
        <v>ANGUCIA JESCA</v>
      </c>
      <c r="F3946" s="291">
        <f>IFERROR(INDEX(Disbursements!$D:$D,MATCH('Live Collections'!G3946,Disbursements!$C:$C,0)),"")</f>
        <v>1</v>
      </c>
      <c r="G3946" s="34">
        <v>286</v>
      </c>
      <c r="H3946" s="34">
        <v>5762</v>
      </c>
      <c r="I3946" s="34" t="s">
        <v>1359</v>
      </c>
      <c r="J3946" s="48"/>
      <c r="K3946" s="48"/>
      <c r="L3946" s="48"/>
      <c r="M3946" s="48"/>
      <c r="N3946" s="59"/>
      <c r="O3946" s="59">
        <v>50000</v>
      </c>
      <c r="P3946" s="59"/>
      <c r="Q3946" s="268">
        <f t="shared" si="185"/>
        <v>50000</v>
      </c>
      <c r="R3946" s="61">
        <f>IF(O3946=0,0,SUMIFS(Disbursements!$T:$T,Disbursements!$B:$B,'Live Collections'!D3946,Disbursements!$D:$D,'Live Collections'!F3946))</f>
        <v>120000</v>
      </c>
      <c r="S3946" s="304"/>
      <c r="T3946" s="304">
        <f t="shared" si="187"/>
        <v>50000</v>
      </c>
      <c r="U3946" s="52"/>
      <c r="V3946" s="34"/>
      <c r="W3946" s="408"/>
    </row>
    <row r="3947" spans="1:23" ht="12.75" customHeight="1" x14ac:dyDescent="0.2">
      <c r="A3947" s="257">
        <v>3957</v>
      </c>
      <c r="B3947" s="44">
        <v>44674</v>
      </c>
      <c r="C3947" s="44">
        <f t="shared" si="188"/>
        <v>44674</v>
      </c>
      <c r="D3947" s="374">
        <v>251</v>
      </c>
      <c r="E3947" s="291" t="str">
        <f>IFERROR(VLOOKUP($D3947,'Clients-Live'!$A:$C,3,0),"")</f>
        <v>SIDA ZAINABU</v>
      </c>
      <c r="F3947" s="291">
        <f>IFERROR(INDEX(Disbursements!$D:$D,MATCH('Live Collections'!G3947,Disbursements!$C:$C,0)),"")</f>
        <v>4</v>
      </c>
      <c r="G3947" s="34">
        <v>514</v>
      </c>
      <c r="H3947" s="34">
        <v>5760</v>
      </c>
      <c r="I3947" s="34" t="s">
        <v>1359</v>
      </c>
      <c r="J3947" s="48"/>
      <c r="K3947" s="48"/>
      <c r="L3947" s="48"/>
      <c r="M3947" s="48"/>
      <c r="N3947" s="59"/>
      <c r="O3947" s="59"/>
      <c r="P3947" s="59">
        <v>50000</v>
      </c>
      <c r="Q3947" s="268">
        <f t="shared" si="185"/>
        <v>50000</v>
      </c>
      <c r="R3947" s="61">
        <f>IF(O3947=0,0,SUMIFS(Disbursements!$T:$T,Disbursements!$B:$B,'Live Collections'!D3947,Disbursements!$D:$D,'Live Collections'!F3947))</f>
        <v>0</v>
      </c>
      <c r="S3947" s="304">
        <f>IF(O3947&lt;=IF($O3947=0,0,SUMIFS(Disbursements!$W:$W,Disbursements!$B:$B,'Live Collections'!D3947,Disbursements!$D:$D,'Live Collections'!F3947)),O3947,IF($O3947=0,0,SUMIFS(Disbursements!$W:$W,Disbursements!$B:$B,'Live Collections'!D3947,Disbursements!$D:$D,'Live Collections'!F3947)))</f>
        <v>0</v>
      </c>
      <c r="T3947" s="304">
        <f t="shared" si="187"/>
        <v>0</v>
      </c>
      <c r="U3947" s="52"/>
      <c r="V3947" s="34"/>
      <c r="W3947" s="408"/>
    </row>
    <row r="3948" spans="1:23" ht="12.75" customHeight="1" x14ac:dyDescent="0.2">
      <c r="A3948" s="257">
        <v>3958</v>
      </c>
      <c r="B3948" s="44">
        <v>44674</v>
      </c>
      <c r="C3948" s="44">
        <f t="shared" si="188"/>
        <v>44674</v>
      </c>
      <c r="D3948" s="374">
        <v>124</v>
      </c>
      <c r="E3948" s="291" t="str">
        <f>IFERROR(VLOOKUP($D3948,'Clients-Live'!$A:$C,3,0),"")</f>
        <v>TIKO ZABIBU</v>
      </c>
      <c r="F3948" s="291">
        <f>IFERROR(INDEX(Disbursements!$D:$D,MATCH('Live Collections'!G3948,Disbursements!$C:$C,0)),"")</f>
        <v>2</v>
      </c>
      <c r="G3948" s="34">
        <v>335</v>
      </c>
      <c r="H3948" s="34" t="s">
        <v>2326</v>
      </c>
      <c r="I3948" s="34" t="s">
        <v>1358</v>
      </c>
      <c r="J3948" s="48"/>
      <c r="K3948" s="48"/>
      <c r="L3948" s="48"/>
      <c r="M3948" s="48"/>
      <c r="N3948" s="59"/>
      <c r="O3948" s="59">
        <v>80000</v>
      </c>
      <c r="P3948" s="59">
        <v>-80000</v>
      </c>
      <c r="Q3948" s="268">
        <f t="shared" ref="Q3948:Q4011" si="189">SUM(J3948:P3948)</f>
        <v>0</v>
      </c>
      <c r="R3948" s="61">
        <f>IF(O3948=0,0,SUMIFS(Disbursements!$T:$T,Disbursements!$B:$B,'Live Collections'!D3948,Disbursements!$D:$D,'Live Collections'!F3948))</f>
        <v>200000</v>
      </c>
      <c r="S3948" s="304"/>
      <c r="T3948" s="304">
        <f t="shared" si="187"/>
        <v>80000</v>
      </c>
      <c r="U3948" s="52"/>
      <c r="V3948" s="34"/>
      <c r="W3948" s="408"/>
    </row>
    <row r="3949" spans="1:23" ht="12.75" customHeight="1" x14ac:dyDescent="0.2">
      <c r="A3949" s="257">
        <v>3959</v>
      </c>
      <c r="B3949" s="44">
        <v>44674</v>
      </c>
      <c r="C3949" s="44">
        <f t="shared" si="188"/>
        <v>44674</v>
      </c>
      <c r="D3949" s="374">
        <v>124</v>
      </c>
      <c r="E3949" s="291" t="str">
        <f>IFERROR(VLOOKUP($D3949,'Clients-Live'!$A:$C,3,0),"")</f>
        <v>TIKO ZABIBU</v>
      </c>
      <c r="F3949" s="291" t="str">
        <f>IFERROR(INDEX(Disbursements!$D:$D,MATCH('Live Collections'!G3949,Disbursements!$C:$C,0)),"")</f>
        <v/>
      </c>
      <c r="G3949" s="34"/>
      <c r="H3949" s="34">
        <v>5963</v>
      </c>
      <c r="I3949" s="34" t="s">
        <v>1760</v>
      </c>
      <c r="J3949" s="48"/>
      <c r="K3949" s="48">
        <v>5000</v>
      </c>
      <c r="L3949" s="48"/>
      <c r="M3949" s="48"/>
      <c r="N3949" s="59"/>
      <c r="O3949" s="59"/>
      <c r="P3949" s="59"/>
      <c r="Q3949" s="268">
        <f t="shared" si="189"/>
        <v>5000</v>
      </c>
      <c r="R3949" s="61">
        <f>IF(O3949=0,0,SUMIFS(Disbursements!$T:$T,Disbursements!$B:$B,'Live Collections'!D3949,Disbursements!$D:$D,'Live Collections'!F3949))</f>
        <v>0</v>
      </c>
      <c r="S3949" s="304">
        <f>IF(O3949&lt;=IF($O3949=0,0,SUMIFS(Disbursements!$W:$W,Disbursements!$B:$B,'Live Collections'!D3949,Disbursements!$D:$D,'Live Collections'!F3949)),O3949,IF($O3949=0,0,SUMIFS(Disbursements!$W:$W,Disbursements!$B:$B,'Live Collections'!D3949,Disbursements!$D:$D,'Live Collections'!F3949)))</f>
        <v>0</v>
      </c>
      <c r="T3949" s="304">
        <f t="shared" si="187"/>
        <v>0</v>
      </c>
      <c r="U3949" s="52"/>
      <c r="V3949" s="34"/>
      <c r="W3949" s="408"/>
    </row>
    <row r="3950" spans="1:23" ht="12.75" customHeight="1" x14ac:dyDescent="0.2">
      <c r="A3950" s="257">
        <v>3960</v>
      </c>
      <c r="B3950" s="44">
        <v>44674</v>
      </c>
      <c r="C3950" s="44">
        <f t="shared" si="188"/>
        <v>44674</v>
      </c>
      <c r="D3950" s="374">
        <v>124</v>
      </c>
      <c r="E3950" s="291" t="str">
        <f>IFERROR(VLOOKUP($D3950,'Clients-Live'!$A:$C,3,0),"")</f>
        <v>TIKO ZABIBU</v>
      </c>
      <c r="F3950" s="291">
        <f>IFERROR(INDEX(Disbursements!$D:$D,MATCH('Live Collections'!G3950,Disbursements!$C:$C,0)),"")</f>
        <v>2</v>
      </c>
      <c r="G3950" s="34">
        <v>335</v>
      </c>
      <c r="H3950" s="34">
        <v>5907</v>
      </c>
      <c r="I3950" s="34" t="s">
        <v>1358</v>
      </c>
      <c r="J3950" s="48"/>
      <c r="K3950" s="48"/>
      <c r="L3950" s="48"/>
      <c r="M3950" s="48"/>
      <c r="N3950" s="59"/>
      <c r="O3950" s="59">
        <v>300000</v>
      </c>
      <c r="P3950" s="59"/>
      <c r="Q3950" s="268">
        <f t="shared" si="189"/>
        <v>300000</v>
      </c>
      <c r="R3950" s="61">
        <f>IF(O3950=0,0,SUMIFS(Disbursements!$T:$T,Disbursements!$B:$B,'Live Collections'!D3950,Disbursements!$D:$D,'Live Collections'!F3950))</f>
        <v>200000</v>
      </c>
      <c r="S3950" s="304"/>
      <c r="T3950" s="304">
        <f t="shared" si="187"/>
        <v>300000</v>
      </c>
      <c r="U3950" s="52"/>
      <c r="V3950" s="34"/>
      <c r="W3950" s="408"/>
    </row>
    <row r="3951" spans="1:23" ht="12.75" customHeight="1" x14ac:dyDescent="0.2">
      <c r="A3951" s="257">
        <v>3961</v>
      </c>
      <c r="B3951" s="44">
        <v>44674</v>
      </c>
      <c r="C3951" s="44">
        <f t="shared" si="188"/>
        <v>44674</v>
      </c>
      <c r="D3951" s="374">
        <v>197</v>
      </c>
      <c r="E3951" s="291" t="str">
        <f>IFERROR(VLOOKUP($D3951,'Clients-Live'!$A:$C,3,0),"")</f>
        <v>SIYESA JAMILA</v>
      </c>
      <c r="F3951" s="291">
        <f>IFERROR(INDEX(Disbursements!$D:$D,MATCH('Live Collections'!G3951,Disbursements!$C:$C,0)),"")</f>
        <v>1</v>
      </c>
      <c r="G3951" s="34">
        <v>192</v>
      </c>
      <c r="H3951" s="34">
        <v>5909</v>
      </c>
      <c r="I3951" s="34" t="s">
        <v>1358</v>
      </c>
      <c r="J3951" s="48"/>
      <c r="K3951" s="48"/>
      <c r="L3951" s="48"/>
      <c r="M3951" s="48"/>
      <c r="N3951" s="59"/>
      <c r="O3951" s="59">
        <v>50000</v>
      </c>
      <c r="P3951" s="59"/>
      <c r="Q3951" s="268">
        <f t="shared" si="189"/>
        <v>50000</v>
      </c>
      <c r="R3951" s="61">
        <f>IF(O3951=0,0,SUMIFS(Disbursements!$T:$T,Disbursements!$B:$B,'Live Collections'!D3951,Disbursements!$D:$D,'Live Collections'!F3951))</f>
        <v>120000</v>
      </c>
      <c r="S3951" s="304"/>
      <c r="T3951" s="304">
        <f t="shared" si="187"/>
        <v>50000</v>
      </c>
      <c r="U3951" s="52"/>
      <c r="V3951" s="34"/>
      <c r="W3951" s="408"/>
    </row>
    <row r="3952" spans="1:23" ht="12.75" customHeight="1" x14ac:dyDescent="0.2">
      <c r="A3952" s="257">
        <v>3962</v>
      </c>
      <c r="B3952" s="44">
        <v>44674</v>
      </c>
      <c r="C3952" s="44">
        <f t="shared" si="188"/>
        <v>44674</v>
      </c>
      <c r="D3952" s="374">
        <v>313</v>
      </c>
      <c r="E3952" s="291" t="str">
        <f>IFERROR(VLOOKUP($D3952,'Clients-Live'!$A:$C,3,0),"")</f>
        <v>TWAHA GBAGBE</v>
      </c>
      <c r="F3952" s="291">
        <f>IFERROR(INDEX(Disbursements!$D:$D,MATCH('Live Collections'!G3952,Disbursements!$C:$C,0)),"")</f>
        <v>1</v>
      </c>
      <c r="G3952" s="34">
        <v>410</v>
      </c>
      <c r="H3952" s="34">
        <v>5910</v>
      </c>
      <c r="I3952" s="34" t="s">
        <v>1357</v>
      </c>
      <c r="J3952" s="48"/>
      <c r="K3952" s="48"/>
      <c r="L3952" s="48"/>
      <c r="M3952" s="48"/>
      <c r="N3952" s="59"/>
      <c r="O3952" s="59">
        <v>330000</v>
      </c>
      <c r="P3952" s="59"/>
      <c r="Q3952" s="268">
        <f t="shared" si="189"/>
        <v>330000</v>
      </c>
      <c r="R3952" s="61">
        <f>IF(O3952=0,0,SUMIFS(Disbursements!$T:$T,Disbursements!$B:$B,'Live Collections'!D3952,Disbursements!$D:$D,'Live Collections'!F3952))</f>
        <v>339000</v>
      </c>
      <c r="S3952" s="304">
        <f>IF(O3952&lt;=IF($O3952=0,0,SUMIFS(Disbursements!$W:$W,Disbursements!$B:$B,'Live Collections'!D3952,Disbursements!$D:$D,'Live Collections'!F3952)),O3952,IF($O3952=0,0,SUMIFS(Disbursements!$W:$W,Disbursements!$B:$B,'Live Collections'!D3952,Disbursements!$D:$D,'Live Collections'!F3952)))</f>
        <v>105666.66666666666</v>
      </c>
      <c r="T3952" s="304">
        <f t="shared" si="187"/>
        <v>224333.33333333334</v>
      </c>
      <c r="U3952" s="52"/>
      <c r="V3952" s="34"/>
      <c r="W3952" s="408"/>
    </row>
    <row r="3953" spans="1:23" ht="12.75" customHeight="1" x14ac:dyDescent="0.2">
      <c r="A3953" s="257">
        <v>3963</v>
      </c>
      <c r="B3953" s="44">
        <v>44674</v>
      </c>
      <c r="C3953" s="44">
        <f t="shared" si="188"/>
        <v>44674</v>
      </c>
      <c r="D3953" s="374">
        <v>100</v>
      </c>
      <c r="E3953" s="291" t="str">
        <f>IFERROR(VLOOKUP($D3953,'Clients-Live'!$A:$C,3,0),"")</f>
        <v>LETAYO DORCUS</v>
      </c>
      <c r="F3953" s="291">
        <f>IFERROR(INDEX(Disbursements!$D:$D,MATCH('Live Collections'!G3953,Disbursements!$C:$C,0)),"")</f>
        <v>2</v>
      </c>
      <c r="G3953" s="34">
        <v>184</v>
      </c>
      <c r="H3953" s="34">
        <v>5913</v>
      </c>
      <c r="I3953" s="34" t="s">
        <v>1357</v>
      </c>
      <c r="J3953" s="48"/>
      <c r="K3953" s="48"/>
      <c r="L3953" s="48"/>
      <c r="M3953" s="48"/>
      <c r="N3953" s="59"/>
      <c r="O3953" s="59">
        <v>15000</v>
      </c>
      <c r="P3953" s="59"/>
      <c r="Q3953" s="268">
        <f t="shared" si="189"/>
        <v>15000</v>
      </c>
      <c r="R3953" s="61">
        <f>IF(O3953=0,0,SUMIFS(Disbursements!$T:$T,Disbursements!$B:$B,'Live Collections'!D3953,Disbursements!$D:$D,'Live Collections'!F3953))</f>
        <v>150000</v>
      </c>
      <c r="S3953" s="304"/>
      <c r="T3953" s="304">
        <f t="shared" si="187"/>
        <v>15000</v>
      </c>
      <c r="U3953" s="52"/>
      <c r="V3953" s="34"/>
      <c r="W3953" s="408"/>
    </row>
    <row r="3954" spans="1:23" ht="12.75" customHeight="1" x14ac:dyDescent="0.2">
      <c r="A3954" s="257">
        <v>3964</v>
      </c>
      <c r="B3954" s="44">
        <v>44674</v>
      </c>
      <c r="C3954" s="44">
        <f t="shared" si="188"/>
        <v>44674</v>
      </c>
      <c r="D3954" s="374">
        <v>89</v>
      </c>
      <c r="E3954" s="291" t="str">
        <f>IFERROR(VLOOKUP($D3954,'Clients-Live'!$A:$C,3,0),"")</f>
        <v>ANDA FLORENCE</v>
      </c>
      <c r="F3954" s="291">
        <f>IFERROR(INDEX(Disbursements!$D:$D,MATCH('Live Collections'!G3954,Disbursements!$C:$C,0)),"")</f>
        <v>2</v>
      </c>
      <c r="G3954" s="34">
        <v>356</v>
      </c>
      <c r="H3954" s="34">
        <v>5759</v>
      </c>
      <c r="I3954" s="34" t="s">
        <v>1359</v>
      </c>
      <c r="J3954" s="48"/>
      <c r="K3954" s="48"/>
      <c r="L3954" s="48"/>
      <c r="M3954" s="48"/>
      <c r="N3954" s="59"/>
      <c r="O3954" s="59">
        <v>190000</v>
      </c>
      <c r="P3954" s="59"/>
      <c r="Q3954" s="268">
        <f t="shared" si="189"/>
        <v>190000</v>
      </c>
      <c r="R3954" s="61">
        <f>IF(O3954=0,0,SUMIFS(Disbursements!$T:$T,Disbursements!$B:$B,'Live Collections'!D3954,Disbursements!$D:$D,'Live Collections'!F3954))</f>
        <v>210000</v>
      </c>
      <c r="S3954" s="304">
        <f>IF(O3954&lt;=IF($O3954=0,0,SUMIFS(Disbursements!$W:$W,Disbursements!$B:$B,'Live Collections'!D3954,Disbursements!$D:$D,'Live Collections'!F3954)),O3954,IF($O3954=0,0,SUMIFS(Disbursements!$W:$W,Disbursements!$B:$B,'Live Collections'!D3954,Disbursements!$D:$D,'Live Collections'!F3954)))</f>
        <v>35000</v>
      </c>
      <c r="T3954" s="304"/>
      <c r="U3954" s="52"/>
      <c r="V3954" s="34"/>
      <c r="W3954" s="408"/>
    </row>
    <row r="3955" spans="1:23" ht="12.75" customHeight="1" x14ac:dyDescent="0.2">
      <c r="A3955" s="257">
        <v>3965</v>
      </c>
      <c r="B3955" s="44">
        <v>44674</v>
      </c>
      <c r="C3955" s="44">
        <f t="shared" si="188"/>
        <v>44674</v>
      </c>
      <c r="D3955" s="374">
        <v>201</v>
      </c>
      <c r="E3955" s="291" t="str">
        <f>IFERROR(VLOOKUP($D3955,'Clients-Live'!$A:$C,3,0),"")</f>
        <v>DALILI HASSAN</v>
      </c>
      <c r="F3955" s="291">
        <f>IFERROR(INDEX(Disbursements!$D:$D,MATCH('Live Collections'!G3955,Disbursements!$C:$C,0)),"")</f>
        <v>1</v>
      </c>
      <c r="G3955" s="34">
        <v>419</v>
      </c>
      <c r="H3955" s="34">
        <v>5967</v>
      </c>
      <c r="I3955" s="34" t="s">
        <v>1359</v>
      </c>
      <c r="J3955" s="48"/>
      <c r="K3955" s="48"/>
      <c r="L3955" s="48"/>
      <c r="M3955" s="48"/>
      <c r="N3955" s="59"/>
      <c r="O3955" s="59">
        <v>50000</v>
      </c>
      <c r="P3955" s="59"/>
      <c r="Q3955" s="268">
        <f t="shared" si="189"/>
        <v>50000</v>
      </c>
      <c r="R3955" s="61">
        <f>IF(O3955=0,0,SUMIFS(Disbursements!$T:$T,Disbursements!$B:$B,'Live Collections'!D3955,Disbursements!$D:$D,'Live Collections'!F3955))</f>
        <v>47000</v>
      </c>
      <c r="S3955" s="304">
        <f>IF(O3955&lt;=IF($O3955=0,0,SUMIFS(Disbursements!$W:$W,Disbursements!$B:$B,'Live Collections'!D3955,Disbursements!$D:$D,'Live Collections'!F3955)),O3955,IF($O3955=0,0,SUMIFS(Disbursements!$W:$W,Disbursements!$B:$B,'Live Collections'!D3955,Disbursements!$D:$D,'Live Collections'!F3955)))</f>
        <v>13666.666666666664</v>
      </c>
      <c r="T3955" s="304">
        <f t="shared" si="187"/>
        <v>36333.333333333336</v>
      </c>
      <c r="U3955" s="52"/>
      <c r="V3955" s="34"/>
      <c r="W3955" s="408"/>
    </row>
    <row r="3956" spans="1:23" ht="12.75" customHeight="1" x14ac:dyDescent="0.2">
      <c r="A3956" s="257">
        <v>3966</v>
      </c>
      <c r="B3956" s="44">
        <v>44674</v>
      </c>
      <c r="C3956" s="44">
        <f t="shared" si="188"/>
        <v>44674</v>
      </c>
      <c r="D3956" s="374">
        <v>78</v>
      </c>
      <c r="E3956" s="291" t="str">
        <f>IFERROR(VLOOKUP($D3956,'Clients-Live'!$A:$C,3,0),"")</f>
        <v>DIPIYO BEATRICE JOHN</v>
      </c>
      <c r="F3956" s="291">
        <f>IFERROR(INDEX(Disbursements!$D:$D,MATCH('Live Collections'!G3956,Disbursements!$C:$C,0)),"")</f>
        <v>3</v>
      </c>
      <c r="G3956" s="34">
        <v>515</v>
      </c>
      <c r="H3956" s="34">
        <v>5756</v>
      </c>
      <c r="I3956" s="34" t="s">
        <v>1359</v>
      </c>
      <c r="J3956" s="48"/>
      <c r="K3956" s="48"/>
      <c r="L3956" s="48"/>
      <c r="M3956" s="48"/>
      <c r="N3956" s="59"/>
      <c r="O3956" s="59"/>
      <c r="P3956" s="59">
        <v>60000</v>
      </c>
      <c r="Q3956" s="268">
        <f t="shared" si="189"/>
        <v>60000</v>
      </c>
      <c r="R3956" s="61">
        <f>IF(O3956=0,0,SUMIFS(Disbursements!$T:$T,Disbursements!$B:$B,'Live Collections'!D3956,Disbursements!$D:$D,'Live Collections'!F3956))</f>
        <v>0</v>
      </c>
      <c r="S3956" s="304">
        <f>IF(O3956&lt;=IF($O3956=0,0,SUMIFS(Disbursements!$W:$W,Disbursements!$B:$B,'Live Collections'!D3956,Disbursements!$D:$D,'Live Collections'!F3956)),O3956,IF($O3956=0,0,SUMIFS(Disbursements!$W:$W,Disbursements!$B:$B,'Live Collections'!D3956,Disbursements!$D:$D,'Live Collections'!F3956)))</f>
        <v>0</v>
      </c>
      <c r="T3956" s="304">
        <f t="shared" si="187"/>
        <v>0</v>
      </c>
      <c r="U3956" s="52"/>
      <c r="V3956" s="34"/>
      <c r="W3956" s="408"/>
    </row>
    <row r="3957" spans="1:23" ht="12.75" customHeight="1" x14ac:dyDescent="0.2">
      <c r="A3957" s="257">
        <v>3967</v>
      </c>
      <c r="B3957" s="44">
        <v>44674</v>
      </c>
      <c r="C3957" s="44">
        <f t="shared" si="188"/>
        <v>44674</v>
      </c>
      <c r="D3957" s="374">
        <v>124</v>
      </c>
      <c r="E3957" s="291" t="str">
        <f>IFERROR(VLOOKUP($D3957,'Clients-Live'!$A:$C,3,0),"")</f>
        <v>TIKO ZABIBU</v>
      </c>
      <c r="F3957" s="291">
        <f>IFERROR(INDEX(Disbursements!$D:$D,MATCH('Live Collections'!G3957,Disbursements!$C:$C,0)),"")</f>
        <v>3</v>
      </c>
      <c r="G3957" s="34">
        <v>516</v>
      </c>
      <c r="H3957" s="34">
        <v>5908</v>
      </c>
      <c r="I3957" s="34" t="s">
        <v>1358</v>
      </c>
      <c r="J3957" s="48"/>
      <c r="K3957" s="48"/>
      <c r="L3957" s="48"/>
      <c r="M3957" s="48"/>
      <c r="N3957" s="59"/>
      <c r="O3957" s="59"/>
      <c r="P3957" s="59">
        <v>70000</v>
      </c>
      <c r="Q3957" s="268">
        <f t="shared" si="189"/>
        <v>70000</v>
      </c>
      <c r="R3957" s="61">
        <f>IF(O3957=0,0,SUMIFS(Disbursements!$T:$T,Disbursements!$B:$B,'Live Collections'!D3957,Disbursements!$D:$D,'Live Collections'!F3957))</f>
        <v>0</v>
      </c>
      <c r="S3957" s="304">
        <f>IF(O3957&lt;=IF($O3957=0,0,SUMIFS(Disbursements!$W:$W,Disbursements!$B:$B,'Live Collections'!D3957,Disbursements!$D:$D,'Live Collections'!F3957)),O3957,IF($O3957=0,0,SUMIFS(Disbursements!$W:$W,Disbursements!$B:$B,'Live Collections'!D3957,Disbursements!$D:$D,'Live Collections'!F3957)))</f>
        <v>0</v>
      </c>
      <c r="T3957" s="304">
        <f t="shared" si="187"/>
        <v>0</v>
      </c>
      <c r="U3957" s="52"/>
      <c r="V3957" s="34"/>
      <c r="W3957" s="408"/>
    </row>
    <row r="3958" spans="1:23" ht="12.75" customHeight="1" x14ac:dyDescent="0.2">
      <c r="A3958" s="257">
        <v>3968</v>
      </c>
      <c r="B3958" s="44">
        <v>44674</v>
      </c>
      <c r="C3958" s="44">
        <f t="shared" si="188"/>
        <v>44674</v>
      </c>
      <c r="D3958" s="374">
        <v>200</v>
      </c>
      <c r="E3958" s="291" t="str">
        <f>IFERROR(VLOOKUP($D3958,'Clients-Live'!$A:$C,3,0),"")</f>
        <v>SERIYA FLORENCE</v>
      </c>
      <c r="F3958" s="291" t="str">
        <f>IFERROR(INDEX(Disbursements!$D:$D,MATCH('Live Collections'!G3958,Disbursements!$C:$C,0)),"")</f>
        <v/>
      </c>
      <c r="G3958" s="34"/>
      <c r="H3958" s="34">
        <v>5755</v>
      </c>
      <c r="I3958" s="34" t="s">
        <v>1359</v>
      </c>
      <c r="J3958" s="48"/>
      <c r="K3958" s="48"/>
      <c r="L3958" s="48">
        <v>20000</v>
      </c>
      <c r="M3958" s="48">
        <v>5000</v>
      </c>
      <c r="N3958" s="59"/>
      <c r="O3958" s="59"/>
      <c r="P3958" s="59"/>
      <c r="Q3958" s="268">
        <f t="shared" si="189"/>
        <v>25000</v>
      </c>
      <c r="R3958" s="61">
        <f>IF(O3958=0,0,SUMIFS(Disbursements!$T:$T,Disbursements!$B:$B,'Live Collections'!D3958,Disbursements!$D:$D,'Live Collections'!F3958))</f>
        <v>0</v>
      </c>
      <c r="S3958" s="304">
        <f>IF(O3958&lt;=IF($O3958=0,0,SUMIFS(Disbursements!$W:$W,Disbursements!$B:$B,'Live Collections'!D3958,Disbursements!$D:$D,'Live Collections'!F3958)),O3958,IF($O3958=0,0,SUMIFS(Disbursements!$W:$W,Disbursements!$B:$B,'Live Collections'!D3958,Disbursements!$D:$D,'Live Collections'!F3958)))</f>
        <v>0</v>
      </c>
      <c r="T3958" s="304">
        <f t="shared" si="187"/>
        <v>0</v>
      </c>
      <c r="U3958" s="52"/>
      <c r="V3958" s="34"/>
      <c r="W3958" s="408"/>
    </row>
    <row r="3959" spans="1:23" ht="12.75" customHeight="1" x14ac:dyDescent="0.2">
      <c r="A3959" s="257">
        <v>3969</v>
      </c>
      <c r="B3959" s="44">
        <v>44674</v>
      </c>
      <c r="C3959" s="44">
        <f t="shared" si="188"/>
        <v>44674</v>
      </c>
      <c r="D3959" s="374">
        <v>200</v>
      </c>
      <c r="E3959" s="291" t="str">
        <f>IFERROR(VLOOKUP($D3959,'Clients-Live'!$A:$C,3,0),"")</f>
        <v>SERIYA FLORENCE</v>
      </c>
      <c r="F3959" s="291">
        <f>IFERROR(INDEX(Disbursements!$D:$D,MATCH('Live Collections'!G3959,Disbursements!$C:$C,0)),"")</f>
        <v>2</v>
      </c>
      <c r="G3959" s="34">
        <v>342</v>
      </c>
      <c r="H3959" s="34" t="s">
        <v>2327</v>
      </c>
      <c r="I3959" s="34" t="s">
        <v>1359</v>
      </c>
      <c r="J3959" s="48"/>
      <c r="K3959" s="48"/>
      <c r="L3959" s="48"/>
      <c r="M3959" s="48"/>
      <c r="N3959" s="59"/>
      <c r="O3959" s="59">
        <v>50000</v>
      </c>
      <c r="P3959" s="59">
        <v>-50000</v>
      </c>
      <c r="Q3959" s="268">
        <f t="shared" si="189"/>
        <v>0</v>
      </c>
      <c r="R3959" s="61">
        <f>IF(O3959=0,0,SUMIFS(Disbursements!$T:$T,Disbursements!$B:$B,'Live Collections'!D3959,Disbursements!$D:$D,'Live Collections'!F3959))</f>
        <v>125000</v>
      </c>
      <c r="S3959" s="304"/>
      <c r="T3959" s="304">
        <f t="shared" ref="T3959:T4022" si="190">IF(O3959=0,0,O3959-S3959)</f>
        <v>50000</v>
      </c>
      <c r="U3959" s="52"/>
      <c r="V3959" s="34"/>
      <c r="W3959" s="408"/>
    </row>
    <row r="3960" spans="1:23" ht="12.75" customHeight="1" x14ac:dyDescent="0.2">
      <c r="A3960" s="257">
        <v>3970</v>
      </c>
      <c r="B3960" s="44">
        <v>44674</v>
      </c>
      <c r="C3960" s="44">
        <f t="shared" si="188"/>
        <v>44674</v>
      </c>
      <c r="D3960" s="374">
        <v>78</v>
      </c>
      <c r="E3960" s="291" t="str">
        <f>IFERROR(VLOOKUP($D3960,'Clients-Live'!$A:$C,3,0),"")</f>
        <v>DIPIYO BEATRICE JOHN</v>
      </c>
      <c r="F3960" s="291" t="str">
        <f>IFERROR(INDEX(Disbursements!$D:$D,MATCH('Live Collections'!G3960,Disbursements!$C:$C,0)),"")</f>
        <v/>
      </c>
      <c r="G3960" s="34"/>
      <c r="H3960" s="34">
        <v>5966</v>
      </c>
      <c r="I3960" s="34" t="s">
        <v>1357</v>
      </c>
      <c r="J3960" s="48"/>
      <c r="K3960" s="48"/>
      <c r="L3960" s="48">
        <v>20000</v>
      </c>
      <c r="M3960" s="48">
        <v>5000</v>
      </c>
      <c r="N3960" s="59"/>
      <c r="O3960" s="59"/>
      <c r="P3960" s="59"/>
      <c r="Q3960" s="268">
        <f t="shared" si="189"/>
        <v>25000</v>
      </c>
      <c r="R3960" s="61">
        <f>IF(O3960=0,0,SUMIFS(Disbursements!$T:$T,Disbursements!$B:$B,'Live Collections'!D3960,Disbursements!$D:$D,'Live Collections'!F3960))</f>
        <v>0</v>
      </c>
      <c r="S3960" s="304">
        <f>IF(O3960&lt;=IF($O3960=0,0,SUMIFS(Disbursements!$W:$W,Disbursements!$B:$B,'Live Collections'!D3960,Disbursements!$D:$D,'Live Collections'!F3960)),O3960,IF($O3960=0,0,SUMIFS(Disbursements!$W:$W,Disbursements!$B:$B,'Live Collections'!D3960,Disbursements!$D:$D,'Live Collections'!F3960)))</f>
        <v>0</v>
      </c>
      <c r="T3960" s="304">
        <f t="shared" si="190"/>
        <v>0</v>
      </c>
      <c r="U3960" s="52"/>
      <c r="V3960" s="34"/>
      <c r="W3960" s="408"/>
    </row>
    <row r="3961" spans="1:23" ht="12.75" customHeight="1" x14ac:dyDescent="0.2">
      <c r="A3961" s="257">
        <v>3971</v>
      </c>
      <c r="B3961" s="44">
        <v>44674</v>
      </c>
      <c r="C3961" s="44">
        <f t="shared" si="188"/>
        <v>44674</v>
      </c>
      <c r="D3961" s="374">
        <v>317</v>
      </c>
      <c r="E3961" s="291" t="str">
        <f>IFERROR(VLOOKUP($D3961,'Clients-Live'!$A:$C,3,0),"")</f>
        <v>DRIWARU JANE</v>
      </c>
      <c r="F3961" s="291">
        <f>IFERROR(INDEX(Disbursements!$D:$D,MATCH('Live Collections'!G3961,Disbursements!$C:$C,0)),"")</f>
        <v>1</v>
      </c>
      <c r="G3961" s="34">
        <v>414</v>
      </c>
      <c r="H3961" s="34">
        <v>5911</v>
      </c>
      <c r="I3961" s="34" t="s">
        <v>1357</v>
      </c>
      <c r="J3961" s="48"/>
      <c r="K3961" s="48"/>
      <c r="L3961" s="48"/>
      <c r="M3961" s="48"/>
      <c r="N3961" s="59"/>
      <c r="O3961" s="59">
        <v>50000</v>
      </c>
      <c r="P3961" s="59"/>
      <c r="Q3961" s="268">
        <f t="shared" si="189"/>
        <v>50000</v>
      </c>
      <c r="R3961" s="61">
        <f>IF(O3961=0,0,SUMIFS(Disbursements!$T:$T,Disbursements!$B:$B,'Live Collections'!D3961,Disbursements!$D:$D,'Live Collections'!F3961))</f>
        <v>55000</v>
      </c>
      <c r="S3961" s="304">
        <f>IF(O3961&lt;=IF($O3961=0,0,SUMIFS(Disbursements!$W:$W,Disbursements!$B:$B,'Live Collections'!D3961,Disbursements!$D:$D,'Live Collections'!F3961)),O3961,IF($O3961=0,0,SUMIFS(Disbursements!$W:$W,Disbursements!$B:$B,'Live Collections'!D3961,Disbursements!$D:$D,'Live Collections'!F3961)))</f>
        <v>15000</v>
      </c>
      <c r="T3961" s="304">
        <f t="shared" si="190"/>
        <v>35000</v>
      </c>
      <c r="U3961" s="52"/>
      <c r="V3961" s="34"/>
      <c r="W3961" s="408"/>
    </row>
    <row r="3962" spans="1:23" ht="12.75" customHeight="1" x14ac:dyDescent="0.2">
      <c r="A3962" s="257">
        <v>3972</v>
      </c>
      <c r="B3962" s="44">
        <v>44674</v>
      </c>
      <c r="C3962" s="44">
        <f t="shared" si="188"/>
        <v>44674</v>
      </c>
      <c r="D3962" s="374">
        <v>31</v>
      </c>
      <c r="E3962" s="291" t="str">
        <f>IFERROR(VLOOKUP($D3962,'Clients-Live'!$A:$C,3,0),"")</f>
        <v>MUNDURU HARRIET</v>
      </c>
      <c r="F3962" s="291">
        <f>IFERROR(INDEX(Disbursements!$D:$D,MATCH('Live Collections'!G3962,Disbursements!$C:$C,0)),"")</f>
        <v>3</v>
      </c>
      <c r="G3962" s="34">
        <v>474</v>
      </c>
      <c r="H3962" s="34">
        <v>5912</v>
      </c>
      <c r="I3962" s="34" t="s">
        <v>1359</v>
      </c>
      <c r="J3962" s="48"/>
      <c r="K3962" s="48"/>
      <c r="L3962" s="48"/>
      <c r="M3962" s="48"/>
      <c r="N3962" s="59"/>
      <c r="O3962" s="59">
        <v>115000</v>
      </c>
      <c r="P3962" s="59"/>
      <c r="Q3962" s="268">
        <f t="shared" si="189"/>
        <v>115000</v>
      </c>
      <c r="R3962" s="61">
        <f>IF(O3962=0,0,SUMIFS(Disbursements!$T:$T,Disbursements!$B:$B,'Live Collections'!D3962,Disbursements!$D:$D,'Live Collections'!F3962))</f>
        <v>140000</v>
      </c>
      <c r="S3962" s="304">
        <v>45000</v>
      </c>
      <c r="T3962" s="304">
        <f t="shared" si="190"/>
        <v>70000</v>
      </c>
      <c r="U3962" s="52"/>
      <c r="V3962" s="34"/>
      <c r="W3962" s="408"/>
    </row>
    <row r="3963" spans="1:23" ht="12.75" customHeight="1" x14ac:dyDescent="0.2">
      <c r="A3963" s="257">
        <v>3973</v>
      </c>
      <c r="B3963" s="44">
        <v>44676</v>
      </c>
      <c r="C3963" s="44">
        <f t="shared" si="188"/>
        <v>44676</v>
      </c>
      <c r="D3963" s="374">
        <v>25</v>
      </c>
      <c r="E3963" s="291" t="str">
        <f>IFERROR(VLOOKUP($D3963,'Clients-Live'!$A:$C,3,0),"")</f>
        <v>AROMA BOSCO</v>
      </c>
      <c r="F3963" s="291">
        <f>IFERROR(INDEX(Disbursements!$D:$D,MATCH('Live Collections'!G3963,Disbursements!$C:$C,0)),"")</f>
        <v>1</v>
      </c>
      <c r="G3963" s="34">
        <v>386</v>
      </c>
      <c r="H3963" s="34">
        <v>5919</v>
      </c>
      <c r="I3963" s="34" t="s">
        <v>1359</v>
      </c>
      <c r="J3963" s="48"/>
      <c r="K3963" s="48"/>
      <c r="L3963" s="48"/>
      <c r="M3963" s="48"/>
      <c r="N3963" s="59"/>
      <c r="O3963" s="59">
        <v>130000</v>
      </c>
      <c r="P3963" s="59"/>
      <c r="Q3963" s="268">
        <f t="shared" si="189"/>
        <v>130000</v>
      </c>
      <c r="R3963" s="61">
        <f>IF(O3963=0,0,SUMIFS(Disbursements!$T:$T,Disbursements!$B:$B,'Live Collections'!D3963,Disbursements!$D:$D,'Live Collections'!F3963))</f>
        <v>130000</v>
      </c>
      <c r="S3963" s="304">
        <f>IF(O3963&lt;=IF($O3963=0,0,SUMIFS(Disbursements!$W:$W,Disbursements!$B:$B,'Live Collections'!D3963,Disbursements!$D:$D,'Live Collections'!F3963)),O3963,IF($O3963=0,0,SUMIFS(Disbursements!$W:$W,Disbursements!$B:$B,'Live Collections'!D3963,Disbursements!$D:$D,'Live Collections'!F3963)))</f>
        <v>30000</v>
      </c>
      <c r="T3963" s="304">
        <f t="shared" si="190"/>
        <v>100000</v>
      </c>
      <c r="U3963" s="52"/>
      <c r="V3963" s="34"/>
      <c r="W3963" s="408"/>
    </row>
    <row r="3964" spans="1:23" ht="12.75" customHeight="1" x14ac:dyDescent="0.2">
      <c r="A3964" s="257">
        <v>3974</v>
      </c>
      <c r="B3964" s="44">
        <v>44676</v>
      </c>
      <c r="C3964" s="44">
        <f t="shared" si="188"/>
        <v>44676</v>
      </c>
      <c r="D3964" s="374">
        <v>27</v>
      </c>
      <c r="E3964" s="291" t="str">
        <f>IFERROR(VLOOKUP($D3964,'Clients-Live'!$A:$C,3,0),"")</f>
        <v>KANA GIFT</v>
      </c>
      <c r="F3964" s="291">
        <f>IFERROR(INDEX(Disbursements!$D:$D,MATCH('Live Collections'!G3964,Disbursements!$C:$C,0)),"")</f>
        <v>1</v>
      </c>
      <c r="G3964" s="34">
        <v>436</v>
      </c>
      <c r="H3964" s="34">
        <v>5921</v>
      </c>
      <c r="I3964" s="34" t="s">
        <v>1359</v>
      </c>
      <c r="J3964" s="48"/>
      <c r="K3964" s="48"/>
      <c r="L3964" s="48"/>
      <c r="M3964" s="48"/>
      <c r="N3964" s="59"/>
      <c r="O3964" s="59">
        <v>195000</v>
      </c>
      <c r="P3964" s="59"/>
      <c r="Q3964" s="268">
        <f t="shared" si="189"/>
        <v>195000</v>
      </c>
      <c r="R3964" s="61">
        <f>IF(O3964=0,0,SUMIFS(Disbursements!$T:$T,Disbursements!$B:$B,'Live Collections'!D3964,Disbursements!$D:$D,'Live Collections'!F3964))</f>
        <v>195000</v>
      </c>
      <c r="S3964" s="304">
        <f>IF(O3964&lt;=IF($O3964=0,0,SUMIFS(Disbursements!$W:$W,Disbursements!$B:$B,'Live Collections'!D3964,Disbursements!$D:$D,'Live Collections'!F3964)),O3964,IF($O3964=0,0,SUMIFS(Disbursements!$W:$W,Disbursements!$B:$B,'Live Collections'!D3964,Disbursements!$D:$D,'Live Collections'!F3964)))</f>
        <v>45000</v>
      </c>
      <c r="T3964" s="304">
        <f t="shared" si="190"/>
        <v>150000</v>
      </c>
      <c r="U3964" s="52"/>
      <c r="V3964" s="34"/>
      <c r="W3964" s="408"/>
    </row>
    <row r="3965" spans="1:23" ht="12.75" customHeight="1" x14ac:dyDescent="0.2">
      <c r="A3965" s="257">
        <v>3975</v>
      </c>
      <c r="B3965" s="44">
        <v>44676</v>
      </c>
      <c r="C3965" s="44">
        <f t="shared" si="188"/>
        <v>44676</v>
      </c>
      <c r="D3965" s="374">
        <v>1</v>
      </c>
      <c r="E3965" s="291" t="str">
        <f>IFERROR(VLOOKUP($D3965,'Clients-Live'!$A:$C,3,0),"")</f>
        <v>TABAN NICHOLAS</v>
      </c>
      <c r="F3965" s="291">
        <f>IFERROR(INDEX(Disbursements!$D:$D,MATCH('Live Collections'!G3965,Disbursements!$C:$C,0)),"")</f>
        <v>1</v>
      </c>
      <c r="G3965" s="34">
        <v>387</v>
      </c>
      <c r="H3965" s="34">
        <v>5920</v>
      </c>
      <c r="I3965" s="34" t="s">
        <v>1357</v>
      </c>
      <c r="J3965" s="48"/>
      <c r="K3965" s="48"/>
      <c r="L3965" s="48"/>
      <c r="M3965" s="48"/>
      <c r="N3965" s="59"/>
      <c r="O3965" s="59">
        <v>325000</v>
      </c>
      <c r="P3965" s="59"/>
      <c r="Q3965" s="268">
        <f t="shared" si="189"/>
        <v>325000</v>
      </c>
      <c r="R3965" s="61">
        <f>IF(O3965=0,0,SUMIFS(Disbursements!$T:$T,Disbursements!$B:$B,'Live Collections'!D3965,Disbursements!$D:$D,'Live Collections'!F3965))</f>
        <v>325000</v>
      </c>
      <c r="S3965" s="304">
        <f>IF(O3965&lt;=IF($O3965=0,0,SUMIFS(Disbursements!$W:$W,Disbursements!$B:$B,'Live Collections'!D3965,Disbursements!$D:$D,'Live Collections'!F3965)),O3965,IF($O3965=0,0,SUMIFS(Disbursements!$W:$W,Disbursements!$B:$B,'Live Collections'!D3965,Disbursements!$D:$D,'Live Collections'!F3965)))</f>
        <v>75000</v>
      </c>
      <c r="T3965" s="304">
        <f t="shared" si="190"/>
        <v>250000</v>
      </c>
      <c r="U3965" s="52"/>
      <c r="V3965" s="34"/>
      <c r="W3965" s="408"/>
    </row>
    <row r="3966" spans="1:23" ht="12.75" customHeight="1" x14ac:dyDescent="0.2">
      <c r="A3966" s="257">
        <v>3976</v>
      </c>
      <c r="B3966" s="44">
        <v>44676</v>
      </c>
      <c r="C3966" s="44">
        <f t="shared" si="188"/>
        <v>44676</v>
      </c>
      <c r="D3966" s="374">
        <v>24</v>
      </c>
      <c r="E3966" s="291" t="str">
        <f>IFERROR(VLOOKUP($D3966,'Clients-Live'!$A:$C,3,0),"")</f>
        <v>VITA JEROME</v>
      </c>
      <c r="F3966" s="291">
        <f>IFERROR(INDEX(Disbursements!$D:$D,MATCH('Live Collections'!G3966,Disbursements!$C:$C,0)),"")</f>
        <v>3</v>
      </c>
      <c r="G3966" s="34">
        <v>505</v>
      </c>
      <c r="H3966" s="34">
        <v>5874</v>
      </c>
      <c r="I3966" s="34" t="s">
        <v>1357</v>
      </c>
      <c r="J3966" s="48"/>
      <c r="K3966" s="48"/>
      <c r="L3966" s="48"/>
      <c r="M3966" s="48"/>
      <c r="N3966" s="59"/>
      <c r="O3966" s="59">
        <v>191000</v>
      </c>
      <c r="P3966" s="59"/>
      <c r="Q3966" s="268">
        <f t="shared" si="189"/>
        <v>191000</v>
      </c>
      <c r="R3966" s="61">
        <f>IF(O3966=0,0,SUMIFS(Disbursements!$T:$T,Disbursements!$B:$B,'Live Collections'!D3966,Disbursements!$D:$D,'Live Collections'!F3966))</f>
        <v>191000</v>
      </c>
      <c r="S3966" s="304">
        <f>IF(O3966&lt;=IF($O3966=0,0,SUMIFS(Disbursements!$W:$W,Disbursements!$B:$B,'Live Collections'!D3966,Disbursements!$D:$D,'Live Collections'!F3966)),O3966,IF($O3966=0,0,SUMIFS(Disbursements!$W:$W,Disbursements!$B:$B,'Live Collections'!D3966,Disbursements!$D:$D,'Live Collections'!F3966)))</f>
        <v>35444.444444444438</v>
      </c>
      <c r="T3966" s="304">
        <f t="shared" si="190"/>
        <v>155555.55555555556</v>
      </c>
      <c r="U3966" s="52"/>
      <c r="V3966" s="34"/>
      <c r="W3966" s="408"/>
    </row>
    <row r="3967" spans="1:23" ht="12.75" customHeight="1" x14ac:dyDescent="0.2">
      <c r="A3967" s="257">
        <v>3977</v>
      </c>
      <c r="B3967" s="44">
        <v>44676</v>
      </c>
      <c r="C3967" s="44">
        <f t="shared" si="188"/>
        <v>44676</v>
      </c>
      <c r="D3967" s="374">
        <v>29</v>
      </c>
      <c r="E3967" s="291" t="str">
        <f>IFERROR(VLOOKUP($D3967,'Clients-Live'!$A:$C,3,0),"")</f>
        <v>AJIBA ROSEMARY EMMANUEL</v>
      </c>
      <c r="F3967" s="291">
        <f>IFERROR(INDEX(Disbursements!$D:$D,MATCH('Live Collections'!G3967,Disbursements!$C:$C,0)),"")</f>
        <v>1</v>
      </c>
      <c r="G3967" s="34">
        <v>389</v>
      </c>
      <c r="H3967" s="34">
        <v>5970</v>
      </c>
      <c r="I3967" s="34" t="s">
        <v>1357</v>
      </c>
      <c r="J3967" s="48"/>
      <c r="K3967" s="48"/>
      <c r="L3967" s="48"/>
      <c r="M3967" s="48"/>
      <c r="N3967" s="59"/>
      <c r="O3967" s="59">
        <v>195000</v>
      </c>
      <c r="P3967" s="59"/>
      <c r="Q3967" s="268">
        <f t="shared" si="189"/>
        <v>195000</v>
      </c>
      <c r="R3967" s="61">
        <f>IF(O3967=0,0,SUMIFS(Disbursements!$T:$T,Disbursements!$B:$B,'Live Collections'!D3967,Disbursements!$D:$D,'Live Collections'!F3967))</f>
        <v>195000</v>
      </c>
      <c r="S3967" s="304">
        <f>IF(O3967&lt;=IF($O3967=0,0,SUMIFS(Disbursements!$W:$W,Disbursements!$B:$B,'Live Collections'!D3967,Disbursements!$D:$D,'Live Collections'!F3967)),O3967,IF($O3967=0,0,SUMIFS(Disbursements!$W:$W,Disbursements!$B:$B,'Live Collections'!D3967,Disbursements!$D:$D,'Live Collections'!F3967)))</f>
        <v>45000</v>
      </c>
      <c r="T3967" s="304">
        <f t="shared" si="190"/>
        <v>150000</v>
      </c>
      <c r="U3967" s="52"/>
      <c r="V3967" s="34"/>
      <c r="W3967" s="408"/>
    </row>
    <row r="3968" spans="1:23" ht="12.75" customHeight="1" x14ac:dyDescent="0.2">
      <c r="A3968" s="257">
        <v>3978</v>
      </c>
      <c r="B3968" s="44">
        <v>44676</v>
      </c>
      <c r="C3968" s="44">
        <f t="shared" ref="C3968:C4031" si="191">B3968</f>
        <v>44676</v>
      </c>
      <c r="D3968" s="374">
        <v>121</v>
      </c>
      <c r="E3968" s="291" t="str">
        <f>IFERROR(VLOOKUP($D3968,'Clients-Live'!$A:$C,3,0),"")</f>
        <v>AMAYO CHARLES</v>
      </c>
      <c r="F3968" s="291">
        <f>IFERROR(INDEX(Disbursements!$D:$D,MATCH('Live Collections'!G3968,Disbursements!$C:$C,0)),"")</f>
        <v>1</v>
      </c>
      <c r="G3968" s="34">
        <v>105</v>
      </c>
      <c r="H3968" s="34">
        <v>5915</v>
      </c>
      <c r="I3968" s="34" t="s">
        <v>1358</v>
      </c>
      <c r="J3968" s="48"/>
      <c r="K3968" s="48"/>
      <c r="L3968" s="48"/>
      <c r="M3968" s="48"/>
      <c r="N3968" s="59"/>
      <c r="O3968" s="59">
        <v>30000</v>
      </c>
      <c r="P3968" s="59"/>
      <c r="Q3968" s="268">
        <f t="shared" si="189"/>
        <v>30000</v>
      </c>
      <c r="R3968" s="61">
        <f>IF(O3968=0,0,SUMIFS(Disbursements!$T:$T,Disbursements!$B:$B,'Live Collections'!D3968,Disbursements!$D:$D,'Live Collections'!F3968))</f>
        <v>240000</v>
      </c>
      <c r="S3968" s="304"/>
      <c r="T3968" s="304">
        <f t="shared" si="190"/>
        <v>30000</v>
      </c>
      <c r="U3968" s="52"/>
      <c r="V3968" s="34"/>
      <c r="W3968" s="408"/>
    </row>
    <row r="3969" spans="1:23" ht="12.75" customHeight="1" x14ac:dyDescent="0.2">
      <c r="A3969" s="257">
        <v>3979</v>
      </c>
      <c r="B3969" s="44">
        <v>44676</v>
      </c>
      <c r="C3969" s="44">
        <f t="shared" si="191"/>
        <v>44676</v>
      </c>
      <c r="D3969" s="374">
        <v>266</v>
      </c>
      <c r="E3969" s="291" t="str">
        <f>IFERROR(VLOOKUP($D3969,'Clients-Live'!$A:$C,3,0),"")</f>
        <v>TAIBO AMANA</v>
      </c>
      <c r="F3969" s="291">
        <f>IFERROR(INDEX(Disbursements!$D:$D,MATCH('Live Collections'!G3969,Disbursements!$C:$C,0)),"")</f>
        <v>1</v>
      </c>
      <c r="G3969" s="34">
        <v>336</v>
      </c>
      <c r="H3969" s="34">
        <v>5914</v>
      </c>
      <c r="I3969" s="34" t="s">
        <v>1358</v>
      </c>
      <c r="J3969" s="48"/>
      <c r="K3969" s="48"/>
      <c r="L3969" s="48"/>
      <c r="M3969" s="48"/>
      <c r="N3969" s="59"/>
      <c r="O3969" s="59">
        <v>15000</v>
      </c>
      <c r="P3969" s="59"/>
      <c r="Q3969" s="268">
        <f t="shared" si="189"/>
        <v>15000</v>
      </c>
      <c r="R3969" s="61">
        <f>IF(O3969=0,0,SUMIFS(Disbursements!$T:$T,Disbursements!$B:$B,'Live Collections'!D3969,Disbursements!$D:$D,'Live Collections'!F3969))</f>
        <v>120000</v>
      </c>
      <c r="S3969" s="304"/>
      <c r="T3969" s="304">
        <f t="shared" si="190"/>
        <v>15000</v>
      </c>
      <c r="U3969" s="52"/>
      <c r="V3969" s="34"/>
      <c r="W3969" s="408"/>
    </row>
    <row r="3970" spans="1:23" ht="12.75" customHeight="1" x14ac:dyDescent="0.2">
      <c r="A3970" s="257">
        <v>3980</v>
      </c>
      <c r="B3970" s="44">
        <v>44676</v>
      </c>
      <c r="C3970" s="44">
        <f t="shared" si="191"/>
        <v>44676</v>
      </c>
      <c r="D3970" s="374">
        <v>355</v>
      </c>
      <c r="E3970" s="291" t="str">
        <f>IFERROR(VLOOKUP($D3970,'Clients-Live'!$A:$C,3,0),"")</f>
        <v>KANYA NAIMA</v>
      </c>
      <c r="F3970" s="291">
        <f>IFERROR(INDEX(Disbursements!$D:$D,MATCH('Live Collections'!G3970,Disbursements!$C:$C,0)),"")</f>
        <v>1</v>
      </c>
      <c r="G3970" s="34">
        <v>517</v>
      </c>
      <c r="H3970" s="34">
        <v>5872</v>
      </c>
      <c r="I3970" s="34" t="s">
        <v>1358</v>
      </c>
      <c r="J3970" s="48"/>
      <c r="K3970" s="48"/>
      <c r="L3970" s="48"/>
      <c r="M3970" s="48"/>
      <c r="N3970" s="59"/>
      <c r="O3970" s="59"/>
      <c r="P3970" s="59">
        <v>120000</v>
      </c>
      <c r="Q3970" s="268">
        <f t="shared" si="189"/>
        <v>120000</v>
      </c>
      <c r="R3970" s="61">
        <f>IF(O3970=0,0,SUMIFS(Disbursements!$T:$T,Disbursements!$B:$B,'Live Collections'!D3970,Disbursements!$D:$D,'Live Collections'!F3970))</f>
        <v>0</v>
      </c>
      <c r="S3970" s="304">
        <f>IF(O3970&lt;=IF($O3970=0,0,SUMIFS(Disbursements!$W:$W,Disbursements!$B:$B,'Live Collections'!D3970,Disbursements!$D:$D,'Live Collections'!F3970)),O3970,IF($O3970=0,0,SUMIFS(Disbursements!$W:$W,Disbursements!$B:$B,'Live Collections'!D3970,Disbursements!$D:$D,'Live Collections'!F3970)))</f>
        <v>0</v>
      </c>
      <c r="T3970" s="304">
        <f t="shared" si="190"/>
        <v>0</v>
      </c>
      <c r="U3970" s="52"/>
      <c r="V3970" s="34"/>
      <c r="W3970" s="408"/>
    </row>
    <row r="3971" spans="1:23" ht="12.75" customHeight="1" x14ac:dyDescent="0.2">
      <c r="A3971" s="257">
        <v>3981</v>
      </c>
      <c r="B3971" s="44">
        <v>44676</v>
      </c>
      <c r="C3971" s="44">
        <f t="shared" si="191"/>
        <v>44676</v>
      </c>
      <c r="D3971" s="374">
        <v>345</v>
      </c>
      <c r="E3971" s="291" t="str">
        <f>IFERROR(VLOOKUP($D3971,'Clients-Live'!$A:$C,3,0),"")</f>
        <v>MENGE ABDURAHAMAN RATIB</v>
      </c>
      <c r="F3971" s="291">
        <f>IFERROR(INDEX(Disbursements!$D:$D,MATCH('Live Collections'!G3971,Disbursements!$C:$C,0)),"")</f>
        <v>1</v>
      </c>
      <c r="G3971" s="34">
        <v>490</v>
      </c>
      <c r="H3971" s="34">
        <v>5918</v>
      </c>
      <c r="I3971" s="34" t="s">
        <v>1357</v>
      </c>
      <c r="J3971" s="48"/>
      <c r="K3971" s="48"/>
      <c r="L3971" s="48"/>
      <c r="M3971" s="48"/>
      <c r="N3971" s="59"/>
      <c r="O3971" s="59">
        <v>52500</v>
      </c>
      <c r="P3971" s="59"/>
      <c r="Q3971" s="268">
        <f t="shared" si="189"/>
        <v>52500</v>
      </c>
      <c r="R3971" s="61">
        <f>IF(O3971=0,0,SUMIFS(Disbursements!$T:$T,Disbursements!$B:$B,'Live Collections'!D3971,Disbursements!$D:$D,'Live Collections'!F3971))</f>
        <v>323000</v>
      </c>
      <c r="S3971" s="304"/>
      <c r="T3971" s="304">
        <f t="shared" si="190"/>
        <v>52500</v>
      </c>
      <c r="U3971" s="52"/>
      <c r="V3971" s="34"/>
      <c r="W3971" s="408"/>
    </row>
    <row r="3972" spans="1:23" ht="12.75" customHeight="1" x14ac:dyDescent="0.2">
      <c r="A3972" s="257">
        <v>3982</v>
      </c>
      <c r="B3972" s="44">
        <v>44676</v>
      </c>
      <c r="C3972" s="44">
        <f t="shared" si="191"/>
        <v>44676</v>
      </c>
      <c r="D3972" s="374">
        <v>250</v>
      </c>
      <c r="E3972" s="291" t="str">
        <f>IFERROR(VLOOKUP($D3972,'Clients-Live'!$A:$C,3,0),"")</f>
        <v>SAKAYA AMINA</v>
      </c>
      <c r="F3972" s="291">
        <f>IFERROR(INDEX(Disbursements!$D:$D,MATCH('Live Collections'!G3972,Disbursements!$C:$C,0)),"")</f>
        <v>3</v>
      </c>
      <c r="G3972" s="34">
        <v>489</v>
      </c>
      <c r="H3972" s="34">
        <v>5917</v>
      </c>
      <c r="I3972" s="34" t="s">
        <v>1357</v>
      </c>
      <c r="J3972" s="48"/>
      <c r="K3972" s="48"/>
      <c r="L3972" s="48"/>
      <c r="M3972" s="48"/>
      <c r="N3972" s="59"/>
      <c r="O3972" s="59">
        <v>157500</v>
      </c>
      <c r="P3972" s="59"/>
      <c r="Q3972" s="268">
        <f t="shared" si="189"/>
        <v>157500</v>
      </c>
      <c r="R3972" s="61">
        <f>IF(O3972=0,0,SUMIFS(Disbursements!$T:$T,Disbursements!$B:$B,'Live Collections'!D3972,Disbursements!$D:$D,'Live Collections'!F3972))</f>
        <v>158000</v>
      </c>
      <c r="S3972" s="304">
        <f>IF(O3972&lt;=IF($O3972=0,0,SUMIFS(Disbursements!$W:$W,Disbursements!$B:$B,'Live Collections'!D3972,Disbursements!$D:$D,'Live Collections'!F3972)),O3972,IF($O3972=0,0,SUMIFS(Disbursements!$W:$W,Disbursements!$B:$B,'Live Collections'!D3972,Disbursements!$D:$D,'Live Collections'!F3972)))</f>
        <v>33000</v>
      </c>
      <c r="T3972" s="304">
        <f t="shared" si="190"/>
        <v>124500</v>
      </c>
      <c r="U3972" s="52"/>
      <c r="V3972" s="34"/>
      <c r="W3972" s="408"/>
    </row>
    <row r="3973" spans="1:23" ht="12.75" customHeight="1" x14ac:dyDescent="0.2">
      <c r="A3973" s="257">
        <v>3983</v>
      </c>
      <c r="B3973" s="44">
        <v>44676</v>
      </c>
      <c r="C3973" s="44">
        <f t="shared" si="191"/>
        <v>44676</v>
      </c>
      <c r="D3973" s="374">
        <v>197</v>
      </c>
      <c r="E3973" s="291" t="str">
        <f>IFERROR(VLOOKUP($D3973,'Clients-Live'!$A:$C,3,0),"")</f>
        <v>SIYESA JAMILA</v>
      </c>
      <c r="F3973" s="291">
        <f>IFERROR(INDEX(Disbursements!$D:$D,MATCH('Live Collections'!G3973,Disbursements!$C:$C,0)),"")</f>
        <v>1</v>
      </c>
      <c r="G3973" s="34">
        <v>192</v>
      </c>
      <c r="H3973" s="34" t="s">
        <v>2328</v>
      </c>
      <c r="I3973" s="34" t="s">
        <v>1358</v>
      </c>
      <c r="J3973" s="48"/>
      <c r="K3973" s="48"/>
      <c r="L3973" s="48"/>
      <c r="M3973" s="48"/>
      <c r="N3973" s="59"/>
      <c r="O3973" s="59">
        <v>40000</v>
      </c>
      <c r="P3973" s="59">
        <v>-40000</v>
      </c>
      <c r="Q3973" s="268">
        <f t="shared" si="189"/>
        <v>0</v>
      </c>
      <c r="R3973" s="61">
        <f>IF(O3973=0,0,SUMIFS(Disbursements!$T:$T,Disbursements!$B:$B,'Live Collections'!D3973,Disbursements!$D:$D,'Live Collections'!F3973))</f>
        <v>120000</v>
      </c>
      <c r="S3973" s="304"/>
      <c r="T3973" s="304">
        <f t="shared" si="190"/>
        <v>40000</v>
      </c>
      <c r="U3973" s="52"/>
      <c r="V3973" s="34"/>
      <c r="W3973" s="408"/>
    </row>
    <row r="3974" spans="1:23" ht="12.75" customHeight="1" x14ac:dyDescent="0.2">
      <c r="A3974" s="257">
        <v>3984</v>
      </c>
      <c r="B3974" s="44">
        <v>44676</v>
      </c>
      <c r="C3974" s="44">
        <f t="shared" si="191"/>
        <v>44676</v>
      </c>
      <c r="D3974" s="374">
        <v>134</v>
      </c>
      <c r="E3974" s="291" t="str">
        <f>IFERROR(VLOOKUP($D3974,'Clients-Live'!$A:$C,3,0),"")</f>
        <v>TABU NATALIYA</v>
      </c>
      <c r="F3974" s="291">
        <f>IFERROR(INDEX(Disbursements!$D:$D,MATCH('Live Collections'!G3974,Disbursements!$C:$C,0)),"")</f>
        <v>2</v>
      </c>
      <c r="G3974" s="34">
        <v>324</v>
      </c>
      <c r="H3974" s="34">
        <v>5871</v>
      </c>
      <c r="I3974" s="34" t="s">
        <v>1359</v>
      </c>
      <c r="J3974" s="48"/>
      <c r="K3974" s="48"/>
      <c r="L3974" s="48"/>
      <c r="M3974" s="48"/>
      <c r="N3974" s="59"/>
      <c r="O3974" s="59">
        <v>30000</v>
      </c>
      <c r="P3974" s="59"/>
      <c r="Q3974" s="268">
        <f t="shared" si="189"/>
        <v>30000</v>
      </c>
      <c r="R3974" s="61">
        <f>IF(O3974=0,0,SUMIFS(Disbursements!$T:$T,Disbursements!$B:$B,'Live Collections'!D3974,Disbursements!$D:$D,'Live Collections'!F3974))</f>
        <v>120000</v>
      </c>
      <c r="S3974" s="304"/>
      <c r="T3974" s="304">
        <f t="shared" si="190"/>
        <v>30000</v>
      </c>
      <c r="U3974" s="52"/>
      <c r="V3974" s="34"/>
      <c r="W3974" s="408"/>
    </row>
    <row r="3975" spans="1:23" ht="12.75" customHeight="1" x14ac:dyDescent="0.2">
      <c r="A3975" s="257">
        <v>3985</v>
      </c>
      <c r="B3975" s="44">
        <v>44676</v>
      </c>
      <c r="C3975" s="44">
        <f t="shared" si="191"/>
        <v>44676</v>
      </c>
      <c r="D3975" s="374">
        <v>61</v>
      </c>
      <c r="E3975" s="291" t="str">
        <f>IFERROR(VLOOKUP($D3975,'Clients-Live'!$A:$C,3,0),"")</f>
        <v>AREDU RUKIA</v>
      </c>
      <c r="F3975" s="291">
        <f>IFERROR(INDEX(Disbursements!$D:$D,MATCH('Live Collections'!G3975,Disbursements!$C:$C,0)),"")</f>
        <v>3</v>
      </c>
      <c r="G3975" s="34">
        <v>479</v>
      </c>
      <c r="H3975" s="34">
        <v>5766</v>
      </c>
      <c r="I3975" s="34" t="s">
        <v>1359</v>
      </c>
      <c r="J3975" s="48"/>
      <c r="K3975" s="48"/>
      <c r="L3975" s="48"/>
      <c r="M3975" s="48"/>
      <c r="N3975" s="59"/>
      <c r="O3975" s="59">
        <v>94500</v>
      </c>
      <c r="P3975" s="59"/>
      <c r="Q3975" s="268">
        <f t="shared" si="189"/>
        <v>94500</v>
      </c>
      <c r="R3975" s="61">
        <f>IF(O3975=0,0,SUMIFS(Disbursements!$T:$T,Disbursements!$B:$B,'Live Collections'!D3975,Disbursements!$D:$D,'Live Collections'!F3975))</f>
        <v>95000</v>
      </c>
      <c r="S3975" s="304">
        <f>IF(O3975&lt;=IF($O3975=0,0,SUMIFS(Disbursements!$W:$W,Disbursements!$B:$B,'Live Collections'!D3975,Disbursements!$D:$D,'Live Collections'!F3975)),O3975,IF($O3975=0,0,SUMIFS(Disbursements!$W:$W,Disbursements!$B:$B,'Live Collections'!D3975,Disbursements!$D:$D,'Live Collections'!F3975)))</f>
        <v>20000</v>
      </c>
      <c r="T3975" s="304">
        <f t="shared" si="190"/>
        <v>74500</v>
      </c>
      <c r="U3975" s="52"/>
      <c r="V3975" s="34"/>
      <c r="W3975" s="408"/>
    </row>
    <row r="3976" spans="1:23" ht="12.75" customHeight="1" x14ac:dyDescent="0.2">
      <c r="A3976" s="257">
        <v>3986</v>
      </c>
      <c r="B3976" s="44">
        <v>44676</v>
      </c>
      <c r="C3976" s="44">
        <f t="shared" si="191"/>
        <v>44676</v>
      </c>
      <c r="D3976" s="374">
        <v>157</v>
      </c>
      <c r="E3976" s="291" t="str">
        <f>IFERROR(VLOOKUP($D3976,'Clients-Live'!$A:$C,3,0),"")</f>
        <v>AYITE MARGERT</v>
      </c>
      <c r="F3976" s="291">
        <f>IFERROR(INDEX(Disbursements!$D:$D,MATCH('Live Collections'!G3976,Disbursements!$C:$C,0)),"")</f>
        <v>2</v>
      </c>
      <c r="G3976" s="34">
        <v>345</v>
      </c>
      <c r="H3976" s="34" t="s">
        <v>2329</v>
      </c>
      <c r="I3976" s="34" t="s">
        <v>1357</v>
      </c>
      <c r="J3976" s="48"/>
      <c r="K3976" s="48"/>
      <c r="L3976" s="48"/>
      <c r="M3976" s="48"/>
      <c r="N3976" s="59"/>
      <c r="O3976" s="59">
        <v>70000</v>
      </c>
      <c r="P3976" s="59">
        <v>-70000</v>
      </c>
      <c r="Q3976" s="268">
        <f t="shared" si="189"/>
        <v>0</v>
      </c>
      <c r="R3976" s="61">
        <f>IF(O3976=0,0,SUMIFS(Disbursements!$T:$T,Disbursements!$B:$B,'Live Collections'!D3976,Disbursements!$D:$D,'Live Collections'!F3976))</f>
        <v>175000</v>
      </c>
      <c r="S3976" s="304"/>
      <c r="T3976" s="304">
        <f t="shared" si="190"/>
        <v>70000</v>
      </c>
      <c r="U3976" s="52"/>
      <c r="V3976" s="34"/>
      <c r="W3976" s="408"/>
    </row>
    <row r="3977" spans="1:23" ht="12.75" customHeight="1" x14ac:dyDescent="0.2">
      <c r="A3977" s="257">
        <v>3987</v>
      </c>
      <c r="B3977" s="44">
        <v>44676</v>
      </c>
      <c r="C3977" s="44">
        <f t="shared" si="191"/>
        <v>44676</v>
      </c>
      <c r="D3977" s="374">
        <v>157</v>
      </c>
      <c r="E3977" s="291" t="str">
        <f>IFERROR(VLOOKUP($D3977,'Clients-Live'!$A:$C,3,0),"")</f>
        <v>AYITE MARGERT</v>
      </c>
      <c r="F3977" s="291">
        <f>IFERROR(INDEX(Disbursements!$D:$D,MATCH('Live Collections'!G3977,Disbursements!$C:$C,0)),"")</f>
        <v>2</v>
      </c>
      <c r="G3977" s="34">
        <v>345</v>
      </c>
      <c r="H3977" s="34">
        <v>5764</v>
      </c>
      <c r="I3977" s="34" t="s">
        <v>1357</v>
      </c>
      <c r="J3977" s="48"/>
      <c r="K3977" s="48"/>
      <c r="L3977" s="48"/>
      <c r="M3977" s="48"/>
      <c r="N3977" s="59"/>
      <c r="O3977" s="59">
        <v>105000</v>
      </c>
      <c r="P3977" s="59"/>
      <c r="Q3977" s="268">
        <f t="shared" si="189"/>
        <v>105000</v>
      </c>
      <c r="R3977" s="61">
        <f>IF(O3977=0,0,SUMIFS(Disbursements!$T:$T,Disbursements!$B:$B,'Live Collections'!D3977,Disbursements!$D:$D,'Live Collections'!F3977))</f>
        <v>175000</v>
      </c>
      <c r="S3977" s="304"/>
      <c r="T3977" s="304">
        <f t="shared" si="190"/>
        <v>105000</v>
      </c>
      <c r="U3977" s="52"/>
      <c r="V3977" s="34"/>
      <c r="W3977" s="408"/>
    </row>
    <row r="3978" spans="1:23" ht="12.75" customHeight="1" x14ac:dyDescent="0.2">
      <c r="A3978" s="257">
        <v>3988</v>
      </c>
      <c r="B3978" s="44">
        <v>44676</v>
      </c>
      <c r="C3978" s="44">
        <f t="shared" si="191"/>
        <v>44676</v>
      </c>
      <c r="D3978" s="374">
        <v>303</v>
      </c>
      <c r="E3978" s="291" t="str">
        <f>IFERROR(VLOOKUP($D3978,'Clients-Live'!$A:$C,3,0),"")</f>
        <v>APAYI DOROTHY</v>
      </c>
      <c r="F3978" s="291">
        <f>IFERROR(INDEX(Disbursements!$D:$D,MATCH('Live Collections'!G3978,Disbursements!$C:$C,0)),"")</f>
        <v>1</v>
      </c>
      <c r="G3978" s="34">
        <v>399</v>
      </c>
      <c r="H3978" s="34">
        <v>5763</v>
      </c>
      <c r="I3978" s="34" t="s">
        <v>1359</v>
      </c>
      <c r="J3978" s="48"/>
      <c r="K3978" s="48"/>
      <c r="L3978" s="48"/>
      <c r="M3978" s="48"/>
      <c r="N3978" s="59"/>
      <c r="O3978" s="59">
        <v>20000</v>
      </c>
      <c r="P3978" s="59"/>
      <c r="Q3978" s="268">
        <f t="shared" si="189"/>
        <v>20000</v>
      </c>
      <c r="R3978" s="61">
        <f>IF(O3978=0,0,SUMIFS(Disbursements!$T:$T,Disbursements!$B:$B,'Live Collections'!D3978,Disbursements!$D:$D,'Live Collections'!F3978))</f>
        <v>40000</v>
      </c>
      <c r="S3978" s="304"/>
      <c r="T3978" s="304">
        <f t="shared" si="190"/>
        <v>20000</v>
      </c>
      <c r="U3978" s="52"/>
      <c r="V3978" s="34"/>
      <c r="W3978" s="408"/>
    </row>
    <row r="3979" spans="1:23" ht="12.75" customHeight="1" x14ac:dyDescent="0.2">
      <c r="A3979" s="257">
        <v>3989</v>
      </c>
      <c r="B3979" s="44">
        <v>44676</v>
      </c>
      <c r="C3979" s="44">
        <f t="shared" si="191"/>
        <v>44676</v>
      </c>
      <c r="D3979" s="374">
        <v>242</v>
      </c>
      <c r="E3979" s="291" t="str">
        <f>IFERROR(VLOOKUP($D3979,'Clients-Live'!$A:$C,3,0),"")</f>
        <v>BAKOKO FLAVIA</v>
      </c>
      <c r="F3979" s="291">
        <f>IFERROR(INDEX(Disbursements!$D:$D,MATCH('Live Collections'!G3979,Disbursements!$C:$C,0)),"")</f>
        <v>1</v>
      </c>
      <c r="G3979" s="34">
        <v>277</v>
      </c>
      <c r="H3979" s="34" t="s">
        <v>2330</v>
      </c>
      <c r="I3979" s="34" t="s">
        <v>1359</v>
      </c>
      <c r="J3979" s="48"/>
      <c r="K3979" s="48"/>
      <c r="L3979" s="48"/>
      <c r="M3979" s="48"/>
      <c r="N3979" s="59"/>
      <c r="O3979" s="59">
        <v>100000</v>
      </c>
      <c r="P3979" s="59">
        <v>-100000</v>
      </c>
      <c r="Q3979" s="268">
        <f t="shared" si="189"/>
        <v>0</v>
      </c>
      <c r="R3979" s="61">
        <f>IF(O3979=0,0,SUMIFS(Disbursements!$T:$T,Disbursements!$B:$B,'Live Collections'!D3979,Disbursements!$D:$D,'Live Collections'!F3979))</f>
        <v>217000</v>
      </c>
      <c r="S3979" s="304">
        <v>31333.333333333401</v>
      </c>
      <c r="T3979" s="304">
        <f t="shared" si="190"/>
        <v>68666.666666666599</v>
      </c>
      <c r="U3979" s="52"/>
      <c r="V3979" s="34"/>
      <c r="W3979" s="408"/>
    </row>
    <row r="3980" spans="1:23" ht="12.75" customHeight="1" x14ac:dyDescent="0.2">
      <c r="A3980" s="257">
        <v>3990</v>
      </c>
      <c r="B3980" s="44">
        <v>44676</v>
      </c>
      <c r="C3980" s="44">
        <f t="shared" si="191"/>
        <v>44676</v>
      </c>
      <c r="D3980" s="374">
        <v>242</v>
      </c>
      <c r="E3980" s="291" t="str">
        <f>IFERROR(VLOOKUP($D3980,'Clients-Live'!$A:$C,3,0),"")</f>
        <v>BAKOKO FLAVIA</v>
      </c>
      <c r="F3980" s="291">
        <f>IFERROR(INDEX(Disbursements!$D:$D,MATCH('Live Collections'!G3980,Disbursements!$C:$C,0)),"")</f>
        <v>1</v>
      </c>
      <c r="G3980" s="34">
        <v>277</v>
      </c>
      <c r="H3980" s="34">
        <v>5860</v>
      </c>
      <c r="I3980" s="34" t="s">
        <v>1359</v>
      </c>
      <c r="J3980" s="48"/>
      <c r="K3980" s="48"/>
      <c r="L3980" s="48"/>
      <c r="M3980" s="48"/>
      <c r="N3980" s="59"/>
      <c r="O3980" s="59">
        <v>169900</v>
      </c>
      <c r="P3980" s="59"/>
      <c r="Q3980" s="268">
        <f t="shared" si="189"/>
        <v>169900</v>
      </c>
      <c r="R3980" s="61">
        <f>IF(O3980=0,0,SUMIFS(Disbursements!$T:$T,Disbursements!$B:$B,'Live Collections'!D3980,Disbursements!$D:$D,'Live Collections'!F3980))</f>
        <v>217000</v>
      </c>
      <c r="S3980" s="304"/>
      <c r="T3980" s="304">
        <f t="shared" si="190"/>
        <v>169900</v>
      </c>
      <c r="U3980" s="52"/>
      <c r="V3980" s="34"/>
      <c r="W3980" s="408"/>
    </row>
    <row r="3981" spans="1:23" ht="12.75" customHeight="1" x14ac:dyDescent="0.2">
      <c r="A3981" s="257">
        <v>3991</v>
      </c>
      <c r="B3981" s="44">
        <v>44676</v>
      </c>
      <c r="C3981" s="44">
        <f t="shared" si="191"/>
        <v>44676</v>
      </c>
      <c r="D3981" s="374">
        <v>241</v>
      </c>
      <c r="E3981" s="291" t="str">
        <f>IFERROR(VLOOKUP($D3981,'Clients-Live'!$A:$C,3,0),"")</f>
        <v>SIRIKA FARIDA</v>
      </c>
      <c r="F3981" s="291">
        <f>IFERROR(INDEX(Disbursements!$D:$D,MATCH('Live Collections'!G3981,Disbursements!$C:$C,0)),"")</f>
        <v>1</v>
      </c>
      <c r="G3981" s="34">
        <v>282</v>
      </c>
      <c r="H3981" s="34">
        <v>5862</v>
      </c>
      <c r="I3981" s="34" t="s">
        <v>1359</v>
      </c>
      <c r="J3981" s="48"/>
      <c r="K3981" s="48"/>
      <c r="L3981" s="48"/>
      <c r="M3981" s="48"/>
      <c r="N3981" s="59"/>
      <c r="O3981" s="59">
        <v>50000</v>
      </c>
      <c r="P3981" s="59"/>
      <c r="Q3981" s="268">
        <f t="shared" si="189"/>
        <v>50000</v>
      </c>
      <c r="R3981" s="61">
        <f>IF(O3981=0,0,SUMIFS(Disbursements!$T:$T,Disbursements!$B:$B,'Live Collections'!D3981,Disbursements!$D:$D,'Live Collections'!F3981))</f>
        <v>125000</v>
      </c>
      <c r="S3981" s="304"/>
      <c r="T3981" s="304">
        <f t="shared" si="190"/>
        <v>50000</v>
      </c>
      <c r="U3981" s="52"/>
      <c r="V3981" s="34"/>
      <c r="W3981" s="408"/>
    </row>
    <row r="3982" spans="1:23" ht="12.75" customHeight="1" x14ac:dyDescent="0.2">
      <c r="A3982" s="257">
        <v>3992</v>
      </c>
      <c r="B3982" s="44">
        <v>44676</v>
      </c>
      <c r="C3982" s="44">
        <f t="shared" si="191"/>
        <v>44676</v>
      </c>
      <c r="D3982" s="374">
        <v>255</v>
      </c>
      <c r="E3982" s="291" t="str">
        <f>IFERROR(VLOOKUP($D3982,'Clients-Live'!$A:$C,3,0),"")</f>
        <v>YOBUTA JOHN</v>
      </c>
      <c r="F3982" s="291">
        <f>IFERROR(INDEX(Disbursements!$D:$D,MATCH('Live Collections'!G3982,Disbursements!$C:$C,0)),"")</f>
        <v>1</v>
      </c>
      <c r="G3982" s="34">
        <v>280</v>
      </c>
      <c r="H3982" s="34">
        <v>5859</v>
      </c>
      <c r="I3982" s="34" t="s">
        <v>1359</v>
      </c>
      <c r="J3982" s="48"/>
      <c r="K3982" s="48"/>
      <c r="L3982" s="48"/>
      <c r="M3982" s="48"/>
      <c r="N3982" s="59"/>
      <c r="O3982" s="59">
        <v>50000</v>
      </c>
      <c r="P3982" s="59"/>
      <c r="Q3982" s="268">
        <f t="shared" si="189"/>
        <v>50000</v>
      </c>
      <c r="R3982" s="61">
        <f>IF(O3982=0,0,SUMIFS(Disbursements!$T:$T,Disbursements!$B:$B,'Live Collections'!D3982,Disbursements!$D:$D,'Live Collections'!F3982))</f>
        <v>217000</v>
      </c>
      <c r="S3982" s="304">
        <v>36333.333333333372</v>
      </c>
      <c r="T3982" s="304">
        <f t="shared" si="190"/>
        <v>13666.666666666628</v>
      </c>
      <c r="U3982" s="52"/>
      <c r="V3982" s="34"/>
      <c r="W3982" s="408"/>
    </row>
    <row r="3983" spans="1:23" ht="12.75" customHeight="1" x14ac:dyDescent="0.2">
      <c r="A3983" s="257">
        <v>3993</v>
      </c>
      <c r="B3983" s="44">
        <v>44676</v>
      </c>
      <c r="C3983" s="44">
        <f t="shared" si="191"/>
        <v>44676</v>
      </c>
      <c r="D3983" s="374">
        <v>77</v>
      </c>
      <c r="E3983" s="291" t="str">
        <f>IFERROR(VLOOKUP($D3983,'Clients-Live'!$A:$C,3,0),"")</f>
        <v>CACA FATUMA</v>
      </c>
      <c r="F3983" s="291">
        <f>IFERROR(INDEX(Disbursements!$D:$D,MATCH('Live Collections'!G3983,Disbursements!$C:$C,0)),"")</f>
        <v>2</v>
      </c>
      <c r="G3983" s="34">
        <v>315</v>
      </c>
      <c r="H3983" s="34">
        <v>5868</v>
      </c>
      <c r="I3983" s="34" t="s">
        <v>1357</v>
      </c>
      <c r="J3983" s="48"/>
      <c r="K3983" s="48"/>
      <c r="L3983" s="48"/>
      <c r="M3983" s="48"/>
      <c r="N3983" s="59"/>
      <c r="O3983" s="59">
        <v>30000</v>
      </c>
      <c r="P3983" s="59"/>
      <c r="Q3983" s="268">
        <f t="shared" si="189"/>
        <v>30000</v>
      </c>
      <c r="R3983" s="61">
        <f>IF(O3983=0,0,SUMIFS(Disbursements!$T:$T,Disbursements!$B:$B,'Live Collections'!D3983,Disbursements!$D:$D,'Live Collections'!F3983))</f>
        <v>325000</v>
      </c>
      <c r="S3983" s="304"/>
      <c r="T3983" s="304">
        <f t="shared" si="190"/>
        <v>30000</v>
      </c>
      <c r="U3983" s="52"/>
      <c r="V3983" s="34"/>
      <c r="W3983" s="408"/>
    </row>
    <row r="3984" spans="1:23" ht="12.75" customHeight="1" x14ac:dyDescent="0.2">
      <c r="A3984" s="257">
        <v>3994</v>
      </c>
      <c r="B3984" s="44">
        <v>44676</v>
      </c>
      <c r="C3984" s="44">
        <f t="shared" si="191"/>
        <v>44676</v>
      </c>
      <c r="D3984" s="374">
        <v>309</v>
      </c>
      <c r="E3984" s="291" t="str">
        <f>IFERROR(VLOOKUP($D3984,'Clients-Live'!$A:$C,3,0),"")</f>
        <v>NAMBOZO HALIMA</v>
      </c>
      <c r="F3984" s="291">
        <f>IFERROR(INDEX(Disbursements!$D:$D,MATCH('Live Collections'!G3984,Disbursements!$C:$C,0)),"")</f>
        <v>1</v>
      </c>
      <c r="G3984" s="34">
        <v>391</v>
      </c>
      <c r="H3984" s="34">
        <v>5869</v>
      </c>
      <c r="I3984" s="34" t="s">
        <v>1357</v>
      </c>
      <c r="J3984" s="48"/>
      <c r="K3984" s="48"/>
      <c r="L3984" s="48"/>
      <c r="M3984" s="48"/>
      <c r="N3984" s="59"/>
      <c r="O3984" s="59">
        <v>70000</v>
      </c>
      <c r="P3984" s="59"/>
      <c r="Q3984" s="268">
        <f t="shared" si="189"/>
        <v>70000</v>
      </c>
      <c r="R3984" s="61">
        <f>IF(O3984=0,0,SUMIFS(Disbursements!$T:$T,Disbursements!$B:$B,'Live Collections'!D3984,Disbursements!$D:$D,'Live Collections'!F3984))</f>
        <v>79000</v>
      </c>
      <c r="S3984" s="304">
        <v>7500</v>
      </c>
      <c r="T3984" s="304">
        <f t="shared" si="190"/>
        <v>62500</v>
      </c>
      <c r="U3984" s="52"/>
      <c r="V3984" s="34"/>
      <c r="W3984" s="408"/>
    </row>
    <row r="3985" spans="1:23" ht="12.75" customHeight="1" x14ac:dyDescent="0.2">
      <c r="A3985" s="257">
        <v>3995</v>
      </c>
      <c r="B3985" s="44">
        <v>44677</v>
      </c>
      <c r="C3985" s="44">
        <f t="shared" si="191"/>
        <v>44677</v>
      </c>
      <c r="D3985" s="374">
        <v>271</v>
      </c>
      <c r="E3985" s="291" t="str">
        <f>IFERROR(VLOOKUP($D3985,'Clients-Live'!$A:$C,3,0),"")</f>
        <v>ALORO SAIDI</v>
      </c>
      <c r="F3985" s="291">
        <f>IFERROR(INDEX(Disbursements!$D:$D,MATCH('Live Collections'!G3985,Disbursements!$C:$C,0)),"")</f>
        <v>1</v>
      </c>
      <c r="G3985" s="34">
        <v>319</v>
      </c>
      <c r="H3985" s="34" t="s">
        <v>2331</v>
      </c>
      <c r="I3985" s="34" t="s">
        <v>1357</v>
      </c>
      <c r="J3985" s="48"/>
      <c r="K3985" s="48"/>
      <c r="L3985" s="48"/>
      <c r="M3985" s="48"/>
      <c r="N3985" s="59"/>
      <c r="O3985" s="59">
        <v>40000</v>
      </c>
      <c r="P3985" s="59">
        <v>-40000</v>
      </c>
      <c r="Q3985" s="268">
        <f t="shared" si="189"/>
        <v>0</v>
      </c>
      <c r="R3985" s="61">
        <f>IF(O3985=0,0,SUMIFS(Disbursements!$T:$T,Disbursements!$B:$B,'Live Collections'!D3985,Disbursements!$D:$D,'Live Collections'!F3985))</f>
        <v>120000</v>
      </c>
      <c r="S3985" s="304"/>
      <c r="T3985" s="304">
        <f t="shared" si="190"/>
        <v>40000</v>
      </c>
      <c r="U3985" s="52"/>
      <c r="V3985" s="34"/>
      <c r="W3985" s="408"/>
    </row>
    <row r="3986" spans="1:23" ht="12.75" customHeight="1" x14ac:dyDescent="0.2">
      <c r="A3986" s="257">
        <v>3996</v>
      </c>
      <c r="B3986" s="44">
        <v>44677</v>
      </c>
      <c r="C3986" s="44">
        <f t="shared" si="191"/>
        <v>44677</v>
      </c>
      <c r="D3986" s="374">
        <v>271</v>
      </c>
      <c r="E3986" s="291" t="str">
        <f>IFERROR(VLOOKUP($D3986,'Clients-Live'!$A:$C,3,0),"")</f>
        <v>ALORO SAIDI</v>
      </c>
      <c r="F3986" s="291">
        <f>IFERROR(INDEX(Disbursements!$D:$D,MATCH('Live Collections'!G3986,Disbursements!$C:$C,0)),"")</f>
        <v>1</v>
      </c>
      <c r="G3986" s="34">
        <v>319</v>
      </c>
      <c r="H3986" s="34">
        <v>5971</v>
      </c>
      <c r="I3986" s="34" t="s">
        <v>1357</v>
      </c>
      <c r="J3986" s="48"/>
      <c r="K3986" s="48"/>
      <c r="L3986" s="48"/>
      <c r="M3986" s="48"/>
      <c r="N3986" s="59">
        <v>5000</v>
      </c>
      <c r="O3986" s="59"/>
      <c r="P3986" s="59"/>
      <c r="Q3986" s="268">
        <f t="shared" si="189"/>
        <v>5000</v>
      </c>
      <c r="R3986" s="61">
        <f>IF(O3986=0,0,SUMIFS(Disbursements!$T:$T,Disbursements!$B:$B,'Live Collections'!D3986,Disbursements!$D:$D,'Live Collections'!F3986))</f>
        <v>0</v>
      </c>
      <c r="S3986" s="304">
        <f>IF(O3986&lt;=IF($O3986=0,0,SUMIFS(Disbursements!$W:$W,Disbursements!$B:$B,'Live Collections'!D3986,Disbursements!$D:$D,'Live Collections'!F3986)),O3986,IF($O3986=0,0,SUMIFS(Disbursements!$W:$W,Disbursements!$B:$B,'Live Collections'!D3986,Disbursements!$D:$D,'Live Collections'!F3986)))</f>
        <v>0</v>
      </c>
      <c r="T3986" s="304">
        <f t="shared" si="190"/>
        <v>0</v>
      </c>
      <c r="U3986" s="52"/>
      <c r="V3986" s="34"/>
      <c r="W3986" s="408"/>
    </row>
    <row r="3987" spans="1:23" ht="12.75" customHeight="1" x14ac:dyDescent="0.2">
      <c r="A3987" s="257">
        <v>3997</v>
      </c>
      <c r="B3987" s="44">
        <v>44677</v>
      </c>
      <c r="C3987" s="44">
        <f t="shared" si="191"/>
        <v>44677</v>
      </c>
      <c r="D3987" s="374">
        <v>271</v>
      </c>
      <c r="E3987" s="291" t="str">
        <f>IFERROR(VLOOKUP($D3987,'Clients-Live'!$A:$C,3,0),"")</f>
        <v>ALORO SAIDI</v>
      </c>
      <c r="F3987" s="291">
        <f>IFERROR(INDEX(Disbursements!$D:$D,MATCH('Live Collections'!G3987,Disbursements!$C:$C,0)),"")</f>
        <v>1</v>
      </c>
      <c r="G3987" s="34">
        <v>319</v>
      </c>
      <c r="H3987" s="34">
        <v>5972</v>
      </c>
      <c r="I3987" s="34" t="s">
        <v>1357</v>
      </c>
      <c r="J3987" s="48"/>
      <c r="K3987" s="48"/>
      <c r="L3987" s="48"/>
      <c r="M3987" s="48"/>
      <c r="N3987" s="59"/>
      <c r="O3987" s="59">
        <v>5000</v>
      </c>
      <c r="P3987" s="59"/>
      <c r="Q3987" s="268">
        <f t="shared" si="189"/>
        <v>5000</v>
      </c>
      <c r="R3987" s="61">
        <f>IF(O3987=0,0,SUMIFS(Disbursements!$T:$T,Disbursements!$B:$B,'Live Collections'!D3987,Disbursements!$D:$D,'Live Collections'!F3987))</f>
        <v>120000</v>
      </c>
      <c r="S3987" s="304"/>
      <c r="T3987" s="304">
        <f t="shared" si="190"/>
        <v>5000</v>
      </c>
      <c r="U3987" s="52"/>
      <c r="V3987" s="34"/>
      <c r="W3987" s="408"/>
    </row>
    <row r="3988" spans="1:23" ht="12.75" customHeight="1" x14ac:dyDescent="0.2">
      <c r="A3988" s="257">
        <v>3998</v>
      </c>
      <c r="B3988" s="44">
        <v>44677</v>
      </c>
      <c r="C3988" s="44">
        <f t="shared" si="191"/>
        <v>44677</v>
      </c>
      <c r="D3988" s="374">
        <v>71</v>
      </c>
      <c r="E3988" s="291" t="str">
        <f>IFERROR(VLOOKUP($D3988,'Clients-Live'!$A:$C,3,0),"")</f>
        <v>AYIKORU HARIET BAUDI</v>
      </c>
      <c r="F3988" s="291">
        <f>IFERROR(INDEX(Disbursements!$D:$D,MATCH('Live Collections'!G3988,Disbursements!$C:$C,0)),"")</f>
        <v>4</v>
      </c>
      <c r="G3988" s="34">
        <v>486</v>
      </c>
      <c r="H3988" s="34">
        <v>5922</v>
      </c>
      <c r="I3988" s="34" t="s">
        <v>1359</v>
      </c>
      <c r="J3988" s="48"/>
      <c r="K3988" s="48"/>
      <c r="L3988" s="48"/>
      <c r="M3988" s="48"/>
      <c r="N3988" s="59"/>
      <c r="O3988" s="59">
        <v>1500000</v>
      </c>
      <c r="P3988" s="59"/>
      <c r="Q3988" s="268">
        <f t="shared" si="189"/>
        <v>1500000</v>
      </c>
      <c r="R3988" s="61">
        <f>IF(O3988=0,0,SUMIFS(Disbursements!$T:$T,Disbursements!$B:$B,'Live Collections'!D3988,Disbursements!$D:$D,'Live Collections'!F3988))</f>
        <v>5325000</v>
      </c>
      <c r="S3988" s="304">
        <f>IF(O3988&lt;=IF($O3988=0,0,SUMIFS(Disbursements!$W:$W,Disbursements!$B:$B,'Live Collections'!D3988,Disbursements!$D:$D,'Live Collections'!F3988)),O3988,IF($O3988=0,0,SUMIFS(Disbursements!$W:$W,Disbursements!$B:$B,'Live Collections'!D3988,Disbursements!$D:$D,'Live Collections'!F3988)))</f>
        <v>325000</v>
      </c>
      <c r="T3988" s="304">
        <f t="shared" si="190"/>
        <v>1175000</v>
      </c>
      <c r="U3988" s="52"/>
      <c r="V3988" s="34"/>
      <c r="W3988" s="408"/>
    </row>
    <row r="3989" spans="1:23" ht="12.75" customHeight="1" x14ac:dyDescent="0.2">
      <c r="A3989" s="257">
        <v>3999</v>
      </c>
      <c r="B3989" s="44">
        <v>44677</v>
      </c>
      <c r="C3989" s="44">
        <f t="shared" si="191"/>
        <v>44677</v>
      </c>
      <c r="D3989" s="374">
        <v>271</v>
      </c>
      <c r="E3989" s="291" t="str">
        <f>IFERROR(VLOOKUP($D3989,'Clients-Live'!$A:$C,3,0),"")</f>
        <v>ALORO SAIDI</v>
      </c>
      <c r="F3989" s="291">
        <f>IFERROR(INDEX(Disbursements!$D:$D,MATCH('Live Collections'!G3989,Disbursements!$C:$C,0)),"")</f>
        <v>1</v>
      </c>
      <c r="G3989" s="34">
        <v>319</v>
      </c>
      <c r="H3989" s="34">
        <v>5891</v>
      </c>
      <c r="I3989" s="34" t="s">
        <v>1357</v>
      </c>
      <c r="J3989" s="48"/>
      <c r="K3989" s="48"/>
      <c r="L3989" s="48"/>
      <c r="M3989" s="48"/>
      <c r="N3989" s="59"/>
      <c r="O3989" s="59">
        <v>15000</v>
      </c>
      <c r="P3989" s="59"/>
      <c r="Q3989" s="268">
        <f t="shared" si="189"/>
        <v>15000</v>
      </c>
      <c r="R3989" s="61">
        <f>IF(O3989=0,0,SUMIFS(Disbursements!$T:$T,Disbursements!$B:$B,'Live Collections'!D3989,Disbursements!$D:$D,'Live Collections'!F3989))</f>
        <v>120000</v>
      </c>
      <c r="S3989" s="304"/>
      <c r="T3989" s="304">
        <f t="shared" si="190"/>
        <v>15000</v>
      </c>
      <c r="U3989" s="52"/>
      <c r="V3989" s="34"/>
      <c r="W3989" s="408"/>
    </row>
    <row r="3990" spans="1:23" ht="12.75" customHeight="1" x14ac:dyDescent="0.2">
      <c r="A3990" s="257">
        <v>4000</v>
      </c>
      <c r="B3990" s="44">
        <v>44677</v>
      </c>
      <c r="C3990" s="44">
        <f t="shared" si="191"/>
        <v>44677</v>
      </c>
      <c r="D3990" s="374">
        <v>84</v>
      </c>
      <c r="E3990" s="291" t="str">
        <f>IFERROR(VLOOKUP($D3990,'Clients-Live'!$A:$C,3,0),"")</f>
        <v>OMEGA  CHARLES</v>
      </c>
      <c r="F3990" s="291">
        <f>IFERROR(INDEX(Disbursements!$D:$D,MATCH('Live Collections'!G3990,Disbursements!$C:$C,0)),"")</f>
        <v>1</v>
      </c>
      <c r="G3990" s="34">
        <v>66</v>
      </c>
      <c r="H3990" s="34">
        <v>5892</v>
      </c>
      <c r="I3990" s="34" t="s">
        <v>1359</v>
      </c>
      <c r="J3990" s="48"/>
      <c r="K3990" s="48"/>
      <c r="L3990" s="48"/>
      <c r="M3990" s="48"/>
      <c r="N3990" s="59"/>
      <c r="O3990" s="59">
        <v>100000</v>
      </c>
      <c r="P3990" s="59"/>
      <c r="Q3990" s="268">
        <f t="shared" si="189"/>
        <v>100000</v>
      </c>
      <c r="R3990" s="61">
        <f>IF(O3990=0,0,SUMIFS(Disbursements!$T:$T,Disbursements!$B:$B,'Live Collections'!D3990,Disbursements!$D:$D,'Live Collections'!F3990))</f>
        <v>434000</v>
      </c>
      <c r="S3990" s="304"/>
      <c r="T3990" s="304">
        <f t="shared" si="190"/>
        <v>100000</v>
      </c>
      <c r="U3990" s="52"/>
      <c r="V3990" s="34"/>
      <c r="W3990" s="408"/>
    </row>
    <row r="3991" spans="1:23" ht="12.75" customHeight="1" x14ac:dyDescent="0.2">
      <c r="A3991" s="257">
        <v>4001</v>
      </c>
      <c r="B3991" s="44">
        <v>44677</v>
      </c>
      <c r="C3991" s="44">
        <f t="shared" si="191"/>
        <v>44677</v>
      </c>
      <c r="D3991" s="374">
        <v>321</v>
      </c>
      <c r="E3991" s="291" t="str">
        <f>IFERROR(VLOOKUP($D3991,'Clients-Live'!$A:$C,3,0),"")</f>
        <v>ANDERU MONICA</v>
      </c>
      <c r="F3991" s="291" t="str">
        <f>IFERROR(INDEX(Disbursements!$D:$D,MATCH('Live Collections'!G3991,Disbursements!$C:$C,0)),"")</f>
        <v/>
      </c>
      <c r="G3991" s="34"/>
      <c r="H3991" s="34">
        <v>5889</v>
      </c>
      <c r="I3991" s="34" t="s">
        <v>1358</v>
      </c>
      <c r="J3991" s="48"/>
      <c r="K3991" s="48"/>
      <c r="L3991" s="48">
        <v>25000</v>
      </c>
      <c r="M3991" s="48">
        <v>5000</v>
      </c>
      <c r="N3991" s="59"/>
      <c r="O3991" s="59"/>
      <c r="P3991" s="59"/>
      <c r="Q3991" s="268">
        <f t="shared" si="189"/>
        <v>30000</v>
      </c>
      <c r="R3991" s="61">
        <f>IF(O3991=0,0,SUMIFS(Disbursements!$T:$T,Disbursements!$B:$B,'Live Collections'!D3991,Disbursements!$D:$D,'Live Collections'!F3991))</f>
        <v>0</v>
      </c>
      <c r="S3991" s="304">
        <f>IF(O3991&lt;=IF($O3991=0,0,SUMIFS(Disbursements!$W:$W,Disbursements!$B:$B,'Live Collections'!D3991,Disbursements!$D:$D,'Live Collections'!F3991)),O3991,IF($O3991=0,0,SUMIFS(Disbursements!$W:$W,Disbursements!$B:$B,'Live Collections'!D3991,Disbursements!$D:$D,'Live Collections'!F3991)))</f>
        <v>0</v>
      </c>
      <c r="T3991" s="304">
        <f t="shared" si="190"/>
        <v>0</v>
      </c>
      <c r="U3991" s="52"/>
      <c r="V3991" s="34"/>
      <c r="W3991" s="408"/>
    </row>
    <row r="3992" spans="1:23" ht="12.75" customHeight="1" x14ac:dyDescent="0.2">
      <c r="A3992" s="257">
        <v>4002</v>
      </c>
      <c r="B3992" s="44">
        <v>44677</v>
      </c>
      <c r="C3992" s="44">
        <f t="shared" si="191"/>
        <v>44677</v>
      </c>
      <c r="D3992" s="374">
        <v>321</v>
      </c>
      <c r="E3992" s="291" t="str">
        <f>IFERROR(VLOOKUP($D3992,'Clients-Live'!$A:$C,3,0),"")</f>
        <v>ANDERU MONICA</v>
      </c>
      <c r="F3992" s="291">
        <f>IFERROR(INDEX(Disbursements!$D:$D,MATCH('Live Collections'!G3992,Disbursements!$C:$C,0)),"")</f>
        <v>1</v>
      </c>
      <c r="G3992" s="34">
        <v>431</v>
      </c>
      <c r="H3992" s="34" t="s">
        <v>2332</v>
      </c>
      <c r="I3992" s="34" t="s">
        <v>1358</v>
      </c>
      <c r="J3992" s="48"/>
      <c r="K3992" s="48"/>
      <c r="L3992" s="48"/>
      <c r="M3992" s="48"/>
      <c r="N3992" s="59"/>
      <c r="O3992" s="59">
        <v>70000</v>
      </c>
      <c r="P3992" s="59">
        <v>-70000</v>
      </c>
      <c r="Q3992" s="268">
        <f t="shared" si="189"/>
        <v>0</v>
      </c>
      <c r="R3992" s="61">
        <f>IF(O3992=0,0,SUMIFS(Disbursements!$T:$T,Disbursements!$B:$B,'Live Collections'!D3992,Disbursements!$D:$D,'Live Collections'!F3992))</f>
        <v>403000</v>
      </c>
      <c r="S3992" s="304">
        <f>IF(O3992&lt;=IF($O3992=0,0,SUMIFS(Disbursements!$W:$W,Disbursements!$B:$B,'Live Collections'!D3992,Disbursements!$D:$D,'Live Collections'!F3992)),O3992,IF($O3992=0,0,SUMIFS(Disbursements!$W:$W,Disbursements!$B:$B,'Live Collections'!D3992,Disbursements!$D:$D,'Live Collections'!F3992)))</f>
        <v>53000</v>
      </c>
      <c r="T3992" s="304">
        <f t="shared" si="190"/>
        <v>17000</v>
      </c>
      <c r="U3992" s="52"/>
      <c r="V3992" s="34"/>
      <c r="W3992" s="408"/>
    </row>
    <row r="3993" spans="1:23" ht="12.75" customHeight="1" x14ac:dyDescent="0.2">
      <c r="A3993" s="257">
        <v>4003</v>
      </c>
      <c r="B3993" s="44">
        <v>44677</v>
      </c>
      <c r="C3993" s="44">
        <f t="shared" si="191"/>
        <v>44677</v>
      </c>
      <c r="D3993" s="374">
        <v>321</v>
      </c>
      <c r="E3993" s="291" t="str">
        <f>IFERROR(VLOOKUP($D3993,'Clients-Live'!$A:$C,3,0),"")</f>
        <v>ANDERU MONICA</v>
      </c>
      <c r="F3993" s="291">
        <f>IFERROR(INDEX(Disbursements!$D:$D,MATCH('Live Collections'!G3993,Disbursements!$C:$C,0)),"")</f>
        <v>1</v>
      </c>
      <c r="G3993" s="34">
        <v>431</v>
      </c>
      <c r="H3993" s="34">
        <v>5884</v>
      </c>
      <c r="I3993" s="34" t="s">
        <v>1358</v>
      </c>
      <c r="J3993" s="48"/>
      <c r="K3993" s="48"/>
      <c r="L3993" s="48"/>
      <c r="M3993" s="48"/>
      <c r="N3993" s="59"/>
      <c r="O3993" s="59">
        <v>336000</v>
      </c>
      <c r="P3993" s="59"/>
      <c r="Q3993" s="268">
        <f t="shared" si="189"/>
        <v>336000</v>
      </c>
      <c r="R3993" s="61">
        <f>IF(O3993=0,0,SUMIFS(Disbursements!$T:$T,Disbursements!$B:$B,'Live Collections'!D3993,Disbursements!$D:$D,'Live Collections'!F3993))</f>
        <v>403000</v>
      </c>
      <c r="S3993" s="304"/>
      <c r="T3993" s="304">
        <f t="shared" si="190"/>
        <v>336000</v>
      </c>
      <c r="U3993" s="52"/>
      <c r="V3993" s="34"/>
      <c r="W3993" s="408"/>
    </row>
    <row r="3994" spans="1:23" ht="12.75" customHeight="1" x14ac:dyDescent="0.2">
      <c r="A3994" s="257">
        <v>4004</v>
      </c>
      <c r="B3994" s="44">
        <v>44677</v>
      </c>
      <c r="C3994" s="44">
        <f t="shared" si="191"/>
        <v>44677</v>
      </c>
      <c r="D3994" s="374">
        <v>31</v>
      </c>
      <c r="E3994" s="291" t="str">
        <f>IFERROR(VLOOKUP($D3994,'Clients-Live'!$A:$C,3,0),"")</f>
        <v>MUNDURU HARRIET</v>
      </c>
      <c r="F3994" s="291">
        <f>IFERROR(INDEX(Disbursements!$D:$D,MATCH('Live Collections'!G3994,Disbursements!$C:$C,0)),"")</f>
        <v>3</v>
      </c>
      <c r="G3994" s="34">
        <v>474</v>
      </c>
      <c r="H3994" s="34">
        <v>5887</v>
      </c>
      <c r="I3994" s="34" t="s">
        <v>1359</v>
      </c>
      <c r="J3994" s="48"/>
      <c r="K3994" s="48"/>
      <c r="L3994" s="48"/>
      <c r="M3994" s="48"/>
      <c r="N3994" s="59"/>
      <c r="O3994" s="59">
        <v>25000</v>
      </c>
      <c r="P3994" s="59"/>
      <c r="Q3994" s="268">
        <f t="shared" si="189"/>
        <v>25000</v>
      </c>
      <c r="R3994" s="61">
        <f>IF(O3994=0,0,SUMIFS(Disbursements!$T:$T,Disbursements!$B:$B,'Live Collections'!D3994,Disbursements!$D:$D,'Live Collections'!F3994))</f>
        <v>140000</v>
      </c>
      <c r="S3994" s="304">
        <f>IF(O3994&lt;=IF($O3994=0,0,SUMIFS(Disbursements!$W:$W,Disbursements!$B:$B,'Live Collections'!D3994,Disbursements!$D:$D,'Live Collections'!F3994)),O3994,IF($O3994=0,0,SUMIFS(Disbursements!$W:$W,Disbursements!$B:$B,'Live Collections'!D3994,Disbursements!$D:$D,'Live Collections'!F3994)))</f>
        <v>23333.333333333328</v>
      </c>
      <c r="T3994" s="304">
        <f t="shared" si="190"/>
        <v>1666.6666666666715</v>
      </c>
      <c r="U3994" s="52"/>
      <c r="V3994" s="34"/>
      <c r="W3994" s="408"/>
    </row>
    <row r="3995" spans="1:23" ht="12.75" customHeight="1" x14ac:dyDescent="0.2">
      <c r="A3995" s="257">
        <v>4005</v>
      </c>
      <c r="B3995" s="44">
        <v>44677</v>
      </c>
      <c r="C3995" s="44">
        <f t="shared" si="191"/>
        <v>44677</v>
      </c>
      <c r="D3995" s="374">
        <v>184</v>
      </c>
      <c r="E3995" s="291" t="str">
        <f>IFERROR(VLOOKUP($D3995,'Clients-Live'!$A:$C,3,0),"")</f>
        <v>OCOKORU GLORIA</v>
      </c>
      <c r="F3995" s="291">
        <f>IFERROR(INDEX(Disbursements!$D:$D,MATCH('Live Collections'!G3995,Disbursements!$C:$C,0)),"")</f>
        <v>1</v>
      </c>
      <c r="G3995" s="34">
        <v>170</v>
      </c>
      <c r="H3995" s="34" t="s">
        <v>2333</v>
      </c>
      <c r="I3995" s="34" t="s">
        <v>1358</v>
      </c>
      <c r="J3995" s="48"/>
      <c r="K3995" s="48"/>
      <c r="L3995" s="48"/>
      <c r="M3995" s="48"/>
      <c r="N3995" s="59"/>
      <c r="O3995" s="59">
        <v>80000</v>
      </c>
      <c r="P3995" s="59">
        <v>-80000</v>
      </c>
      <c r="Q3995" s="268">
        <f t="shared" si="189"/>
        <v>0</v>
      </c>
      <c r="R3995" s="61">
        <f>IF(O3995=0,0,SUMIFS(Disbursements!$T:$T,Disbursements!$B:$B,'Live Collections'!D3995,Disbursements!$D:$D,'Live Collections'!F3995))</f>
        <v>240000</v>
      </c>
      <c r="S3995" s="304">
        <v>80000</v>
      </c>
      <c r="T3995" s="304">
        <f t="shared" si="190"/>
        <v>0</v>
      </c>
      <c r="U3995" s="52"/>
      <c r="V3995" s="34"/>
      <c r="W3995" s="408"/>
    </row>
    <row r="3996" spans="1:23" ht="12.75" customHeight="1" x14ac:dyDescent="0.2">
      <c r="A3996" s="257">
        <v>4006</v>
      </c>
      <c r="B3996" s="44">
        <v>44677</v>
      </c>
      <c r="C3996" s="44">
        <f t="shared" si="191"/>
        <v>44677</v>
      </c>
      <c r="D3996" s="374">
        <v>184</v>
      </c>
      <c r="E3996" s="291" t="str">
        <f>IFERROR(VLOOKUP($D3996,'Clients-Live'!$A:$C,3,0),"")</f>
        <v>OCOKORU GLORIA</v>
      </c>
      <c r="F3996" s="291">
        <f>IFERROR(INDEX(Disbursements!$D:$D,MATCH('Live Collections'!G3996,Disbursements!$C:$C,0)),"")</f>
        <v>1</v>
      </c>
      <c r="G3996" s="34">
        <v>170</v>
      </c>
      <c r="H3996" s="34">
        <v>5880</v>
      </c>
      <c r="I3996" s="34" t="s">
        <v>1358</v>
      </c>
      <c r="J3996" s="48"/>
      <c r="K3996" s="48"/>
      <c r="L3996" s="48"/>
      <c r="M3996" s="48"/>
      <c r="N3996" s="59"/>
      <c r="O3996" s="59">
        <v>10000</v>
      </c>
      <c r="P3996" s="59"/>
      <c r="Q3996" s="268">
        <f t="shared" si="189"/>
        <v>10000</v>
      </c>
      <c r="R3996" s="61">
        <f>IF(O3996=0,0,SUMIFS(Disbursements!$T:$T,Disbursements!$B:$B,'Live Collections'!D3996,Disbursements!$D:$D,'Live Collections'!F3996))</f>
        <v>240000</v>
      </c>
      <c r="S3996" s="304"/>
      <c r="T3996" s="304">
        <f t="shared" si="190"/>
        <v>10000</v>
      </c>
      <c r="U3996" s="52"/>
      <c r="V3996" s="34"/>
      <c r="W3996" s="408"/>
    </row>
    <row r="3997" spans="1:23" ht="12.75" customHeight="1" x14ac:dyDescent="0.2">
      <c r="A3997" s="257">
        <v>4007</v>
      </c>
      <c r="B3997" s="44">
        <v>44677</v>
      </c>
      <c r="C3997" s="44">
        <f t="shared" si="191"/>
        <v>44677</v>
      </c>
      <c r="D3997" s="374">
        <v>267</v>
      </c>
      <c r="E3997" s="291" t="str">
        <f>IFERROR(VLOOKUP($D3997,'Clients-Live'!$A:$C,3,0),"")</f>
        <v>KAMUSIRI JULIUS</v>
      </c>
      <c r="F3997" s="291">
        <f>IFERROR(INDEX(Disbursements!$D:$D,MATCH('Live Collections'!G3997,Disbursements!$C:$C,0)),"")</f>
        <v>1</v>
      </c>
      <c r="G3997" s="34">
        <v>346</v>
      </c>
      <c r="H3997" s="34">
        <v>5882</v>
      </c>
      <c r="I3997" s="34" t="s">
        <v>1357</v>
      </c>
      <c r="J3997" s="48"/>
      <c r="K3997" s="48"/>
      <c r="L3997" s="48"/>
      <c r="M3997" s="48"/>
      <c r="N3997" s="59"/>
      <c r="O3997" s="59">
        <v>10500</v>
      </c>
      <c r="P3997" s="59"/>
      <c r="Q3997" s="268">
        <f t="shared" si="189"/>
        <v>10500</v>
      </c>
      <c r="R3997" s="61">
        <f>IF(O3997=0,0,SUMIFS(Disbursements!$T:$T,Disbursements!$B:$B,'Live Collections'!D3997,Disbursements!$D:$D,'Live Collections'!F3997))</f>
        <v>83000</v>
      </c>
      <c r="S3997" s="304"/>
      <c r="T3997" s="304">
        <f t="shared" si="190"/>
        <v>10500</v>
      </c>
      <c r="U3997" s="52"/>
      <c r="V3997" s="34"/>
      <c r="W3997" s="408"/>
    </row>
    <row r="3998" spans="1:23" ht="12.75" customHeight="1" x14ac:dyDescent="0.2">
      <c r="A3998" s="257">
        <v>4008</v>
      </c>
      <c r="B3998" s="44">
        <v>44677</v>
      </c>
      <c r="C3998" s="44">
        <f t="shared" si="191"/>
        <v>44677</v>
      </c>
      <c r="D3998" s="374">
        <v>2</v>
      </c>
      <c r="E3998" s="291" t="str">
        <f>IFERROR(VLOOKUP($D3998,'Clients-Live'!$A:$C,3,0),"")</f>
        <v>LEYA ROSE</v>
      </c>
      <c r="F3998" s="291">
        <f>IFERROR(INDEX(Disbursements!$D:$D,MATCH('Live Collections'!G3998,Disbursements!$C:$C,0)),"")</f>
        <v>3</v>
      </c>
      <c r="G3998" s="34">
        <v>460</v>
      </c>
      <c r="H3998" s="34">
        <v>5879</v>
      </c>
      <c r="I3998" s="34" t="s">
        <v>1358</v>
      </c>
      <c r="J3998" s="48"/>
      <c r="K3998" s="48"/>
      <c r="L3998" s="48"/>
      <c r="M3998" s="48"/>
      <c r="N3998" s="59"/>
      <c r="O3998" s="59">
        <v>500</v>
      </c>
      <c r="P3998" s="59"/>
      <c r="Q3998" s="268">
        <f t="shared" si="189"/>
        <v>500</v>
      </c>
      <c r="R3998" s="61">
        <f>IF(O3998=0,0,SUMIFS(Disbursements!$T:$T,Disbursements!$B:$B,'Live Collections'!D3998,Disbursements!$D:$D,'Live Collections'!F3998))</f>
        <v>320000</v>
      </c>
      <c r="S3998" s="304"/>
      <c r="T3998" s="304">
        <f t="shared" si="190"/>
        <v>500</v>
      </c>
      <c r="U3998" s="52"/>
      <c r="V3998" s="34"/>
      <c r="W3998" s="408"/>
    </row>
    <row r="3999" spans="1:23" ht="12.75" customHeight="1" x14ac:dyDescent="0.2">
      <c r="A3999" s="257">
        <v>4009</v>
      </c>
      <c r="B3999" s="44">
        <v>44677</v>
      </c>
      <c r="C3999" s="44">
        <f t="shared" si="191"/>
        <v>44677</v>
      </c>
      <c r="D3999" s="374">
        <v>338</v>
      </c>
      <c r="E3999" s="291" t="str">
        <f>IFERROR(VLOOKUP($D3999,'Clients-Live'!$A:$C,3,0),"")</f>
        <v>ASERU MARY</v>
      </c>
      <c r="F3999" s="291">
        <f>IFERROR(INDEX(Disbursements!$D:$D,MATCH('Live Collections'!G3999,Disbursements!$C:$C,0)),"")</f>
        <v>1</v>
      </c>
      <c r="G3999" s="34">
        <v>480</v>
      </c>
      <c r="H3999" s="34">
        <v>5800</v>
      </c>
      <c r="I3999" s="34" t="s">
        <v>1358</v>
      </c>
      <c r="J3999" s="48"/>
      <c r="K3999" s="48"/>
      <c r="L3999" s="48"/>
      <c r="M3999" s="48"/>
      <c r="N3999" s="59"/>
      <c r="O3999" s="59">
        <v>23600</v>
      </c>
      <c r="P3999" s="59"/>
      <c r="Q3999" s="268">
        <f t="shared" si="189"/>
        <v>23600</v>
      </c>
      <c r="R3999" s="61">
        <f>IF(O3999=0,0,SUMIFS(Disbursements!$T:$T,Disbursements!$B:$B,'Live Collections'!D3999,Disbursements!$D:$D,'Live Collections'!F3999))</f>
        <v>24000</v>
      </c>
      <c r="S3999" s="304">
        <f>IF(O3999&lt;=IF($O3999=0,0,SUMIFS(Disbursements!$W:$W,Disbursements!$B:$B,'Live Collections'!D3999,Disbursements!$D:$D,'Live Collections'!F3999)),O3999,IF($O3999=0,0,SUMIFS(Disbursements!$W:$W,Disbursements!$B:$B,'Live Collections'!D3999,Disbursements!$D:$D,'Live Collections'!F3999)))</f>
        <v>5250</v>
      </c>
      <c r="T3999" s="304">
        <f t="shared" si="190"/>
        <v>18350</v>
      </c>
      <c r="U3999" s="52"/>
      <c r="V3999" s="34"/>
      <c r="W3999" s="408"/>
    </row>
    <row r="4000" spans="1:23" ht="12.75" customHeight="1" x14ac:dyDescent="0.2">
      <c r="A4000" s="257">
        <v>4010</v>
      </c>
      <c r="B4000" s="44">
        <v>44677</v>
      </c>
      <c r="C4000" s="44">
        <f t="shared" si="191"/>
        <v>44677</v>
      </c>
      <c r="D4000" s="374">
        <v>3</v>
      </c>
      <c r="E4000" s="291" t="str">
        <f>IFERROR(VLOOKUP($D4000,'Clients-Live'!$A:$C,3,0),"")</f>
        <v>YEKA ARIJABU</v>
      </c>
      <c r="F4000" s="291">
        <f>IFERROR(INDEX(Disbursements!$D:$D,MATCH('Live Collections'!G4000,Disbursements!$C:$C,0)),"")</f>
        <v>2</v>
      </c>
      <c r="G4000" s="34">
        <v>443</v>
      </c>
      <c r="H4000" s="34">
        <v>5888</v>
      </c>
      <c r="I4000" s="34" t="s">
        <v>1357</v>
      </c>
      <c r="J4000" s="48"/>
      <c r="K4000" s="48"/>
      <c r="L4000" s="48"/>
      <c r="M4000" s="48"/>
      <c r="N4000" s="59"/>
      <c r="O4000" s="59">
        <v>100000</v>
      </c>
      <c r="P4000" s="59"/>
      <c r="Q4000" s="268">
        <f t="shared" si="189"/>
        <v>100000</v>
      </c>
      <c r="R4000" s="61">
        <f>IF(O4000=0,0,SUMIFS(Disbursements!$T:$T,Disbursements!$B:$B,'Live Collections'!D4000,Disbursements!$D:$D,'Live Collections'!F4000))</f>
        <v>116000</v>
      </c>
      <c r="S4000" s="304">
        <f>IF(O4000&lt;=IF($O4000=0,0,SUMIFS(Disbursements!$W:$W,Disbursements!$B:$B,'Live Collections'!D4000,Disbursements!$D:$D,'Live Collections'!F4000)),O4000,IF($O4000=0,0,SUMIFS(Disbursements!$W:$W,Disbursements!$B:$B,'Live Collections'!D4000,Disbursements!$D:$D,'Live Collections'!F4000)))</f>
        <v>32666.666666666672</v>
      </c>
      <c r="T4000" s="304">
        <f t="shared" si="190"/>
        <v>67333.333333333328</v>
      </c>
      <c r="U4000" s="52"/>
      <c r="V4000" s="34"/>
      <c r="W4000" s="408"/>
    </row>
    <row r="4001" spans="1:23" ht="12.75" customHeight="1" x14ac:dyDescent="0.2">
      <c r="A4001" s="257">
        <v>4011</v>
      </c>
      <c r="B4001" s="44">
        <v>44677</v>
      </c>
      <c r="C4001" s="44">
        <f t="shared" si="191"/>
        <v>44677</v>
      </c>
      <c r="D4001" s="374">
        <v>156</v>
      </c>
      <c r="E4001" s="291" t="str">
        <f>IFERROR(VLOOKUP($D4001,'Clients-Live'!$A:$C,3,0),"")</f>
        <v xml:space="preserve">ONIBA AISHA </v>
      </c>
      <c r="F4001" s="291">
        <f>IFERROR(INDEX(Disbursements!$D:$D,MATCH('Live Collections'!G4001,Disbursements!$C:$C,0)),"")</f>
        <v>4</v>
      </c>
      <c r="G4001" s="34">
        <v>348</v>
      </c>
      <c r="H4001" s="34">
        <v>5870</v>
      </c>
      <c r="I4001" s="34" t="s">
        <v>1358</v>
      </c>
      <c r="J4001" s="48"/>
      <c r="K4001" s="48"/>
      <c r="L4001" s="48"/>
      <c r="M4001" s="48"/>
      <c r="N4001" s="59"/>
      <c r="O4001" s="59">
        <v>100000</v>
      </c>
      <c r="P4001" s="59"/>
      <c r="Q4001" s="268">
        <f t="shared" si="189"/>
        <v>100000</v>
      </c>
      <c r="R4001" s="61">
        <f>IF(O4001=0,0,SUMIFS(Disbursements!$T:$T,Disbursements!$B:$B,'Live Collections'!D4001,Disbursements!$D:$D,'Live Collections'!F4001))</f>
        <v>1925000</v>
      </c>
      <c r="S4001" s="304"/>
      <c r="T4001" s="304">
        <f t="shared" si="190"/>
        <v>100000</v>
      </c>
      <c r="U4001" s="52"/>
      <c r="V4001" s="34"/>
      <c r="W4001" s="408"/>
    </row>
    <row r="4002" spans="1:23" ht="12.75" customHeight="1" x14ac:dyDescent="0.2">
      <c r="A4002" s="257">
        <v>4012</v>
      </c>
      <c r="B4002" s="44">
        <v>44677</v>
      </c>
      <c r="C4002" s="44">
        <f t="shared" si="191"/>
        <v>44677</v>
      </c>
      <c r="D4002" s="374">
        <v>2</v>
      </c>
      <c r="E4002" s="291" t="str">
        <f>IFERROR(VLOOKUP($D4002,'Clients-Live'!$A:$C,3,0),"")</f>
        <v>LEYA ROSE</v>
      </c>
      <c r="F4002" s="291">
        <f>IFERROR(INDEX(Disbursements!$D:$D,MATCH('Live Collections'!G4002,Disbursements!$C:$C,0)),"")</f>
        <v>3</v>
      </c>
      <c r="G4002" s="34">
        <v>460</v>
      </c>
      <c r="H4002" s="34">
        <v>5878</v>
      </c>
      <c r="I4002" s="34" t="s">
        <v>1358</v>
      </c>
      <c r="J4002" s="48"/>
      <c r="K4002" s="48"/>
      <c r="L4002" s="48"/>
      <c r="M4002" s="48"/>
      <c r="N4002" s="59"/>
      <c r="O4002" s="59">
        <v>69000</v>
      </c>
      <c r="P4002" s="59"/>
      <c r="Q4002" s="268">
        <f t="shared" si="189"/>
        <v>69000</v>
      </c>
      <c r="R4002" s="61">
        <f>IF(O4002=0,0,SUMIFS(Disbursements!$T:$T,Disbursements!$B:$B,'Live Collections'!D4002,Disbursements!$D:$D,'Live Collections'!F4002))</f>
        <v>320000</v>
      </c>
      <c r="S4002" s="304"/>
      <c r="T4002" s="304">
        <f t="shared" si="190"/>
        <v>69000</v>
      </c>
      <c r="U4002" s="52"/>
      <c r="V4002" s="34"/>
      <c r="W4002" s="408"/>
    </row>
    <row r="4003" spans="1:23" ht="12.75" customHeight="1" x14ac:dyDescent="0.2">
      <c r="A4003" s="257">
        <v>4013</v>
      </c>
      <c r="B4003" s="44">
        <v>44677</v>
      </c>
      <c r="C4003" s="44">
        <f t="shared" si="191"/>
        <v>44677</v>
      </c>
      <c r="D4003" s="374">
        <v>40</v>
      </c>
      <c r="E4003" s="291" t="str">
        <f>IFERROR(VLOOKUP($D4003,'Clients-Live'!$A:$C,3,0),"")</f>
        <v>TABU JANE</v>
      </c>
      <c r="F4003" s="291">
        <f>IFERROR(INDEX(Disbursements!$D:$D,MATCH('Live Collections'!G4003,Disbursements!$C:$C,0)),"")</f>
        <v>2</v>
      </c>
      <c r="G4003" s="34">
        <v>230</v>
      </c>
      <c r="H4003" s="34">
        <v>5877</v>
      </c>
      <c r="I4003" s="34" t="s">
        <v>1358</v>
      </c>
      <c r="J4003" s="48"/>
      <c r="K4003" s="48"/>
      <c r="L4003" s="48"/>
      <c r="M4003" s="48"/>
      <c r="N4003" s="59"/>
      <c r="O4003" s="59">
        <v>20000</v>
      </c>
      <c r="P4003" s="59"/>
      <c r="Q4003" s="268">
        <f t="shared" si="189"/>
        <v>20000</v>
      </c>
      <c r="R4003" s="61">
        <f>IF(O4003=0,0,SUMIFS(Disbursements!$T:$T,Disbursements!$B:$B,'Live Collections'!D4003,Disbursements!$D:$D,'Live Collections'!F4003))</f>
        <v>217000</v>
      </c>
      <c r="S4003" s="304"/>
      <c r="T4003" s="304">
        <f t="shared" si="190"/>
        <v>20000</v>
      </c>
      <c r="U4003" s="52"/>
      <c r="V4003" s="34"/>
      <c r="W4003" s="408"/>
    </row>
    <row r="4004" spans="1:23" ht="12.75" customHeight="1" x14ac:dyDescent="0.2">
      <c r="A4004" s="257">
        <v>4014</v>
      </c>
      <c r="B4004" s="44">
        <v>44677</v>
      </c>
      <c r="C4004" s="44">
        <f t="shared" si="191"/>
        <v>44677</v>
      </c>
      <c r="D4004" s="374">
        <v>139</v>
      </c>
      <c r="E4004" s="291" t="str">
        <f>IFERROR(VLOOKUP($D4004,'Clients-Live'!$A:$C,3,0),"")</f>
        <v xml:space="preserve">DRICHIRU MAIMUNA </v>
      </c>
      <c r="F4004" s="291">
        <f>IFERROR(INDEX(Disbursements!$D:$D,MATCH('Live Collections'!G4004,Disbursements!$C:$C,0)),"")</f>
        <v>2</v>
      </c>
      <c r="G4004" s="34">
        <v>451</v>
      </c>
      <c r="H4004" s="34">
        <v>5875</v>
      </c>
      <c r="I4004" s="34" t="s">
        <v>1359</v>
      </c>
      <c r="J4004" s="48"/>
      <c r="K4004" s="48"/>
      <c r="L4004" s="48"/>
      <c r="M4004" s="48"/>
      <c r="N4004" s="59"/>
      <c r="O4004" s="59">
        <v>40000</v>
      </c>
      <c r="P4004" s="59"/>
      <c r="Q4004" s="268">
        <f t="shared" si="189"/>
        <v>40000</v>
      </c>
      <c r="R4004" s="61">
        <f>IF(O4004=0,0,SUMIFS(Disbursements!$T:$T,Disbursements!$B:$B,'Live Collections'!D4004,Disbursements!$D:$D,'Live Collections'!F4004))</f>
        <v>30000</v>
      </c>
      <c r="S4004" s="304">
        <f>IF(O4004&lt;=IF($O4004=0,0,SUMIFS(Disbursements!$W:$W,Disbursements!$B:$B,'Live Collections'!D4004,Disbursements!$D:$D,'Live Collections'!F4004)),O4004,IF($O4004=0,0,SUMIFS(Disbursements!$W:$W,Disbursements!$B:$B,'Live Collections'!D4004,Disbursements!$D:$D,'Live Collections'!F4004)))</f>
        <v>5000</v>
      </c>
      <c r="T4004" s="304">
        <f t="shared" si="190"/>
        <v>35000</v>
      </c>
      <c r="U4004" s="52"/>
      <c r="V4004" s="34"/>
      <c r="W4004" s="408"/>
    </row>
    <row r="4005" spans="1:23" ht="12.75" customHeight="1" x14ac:dyDescent="0.2">
      <c r="A4005" s="257">
        <v>4015</v>
      </c>
      <c r="B4005" s="44">
        <v>44677</v>
      </c>
      <c r="C4005" s="44">
        <f t="shared" si="191"/>
        <v>44677</v>
      </c>
      <c r="D4005" s="374">
        <v>144</v>
      </c>
      <c r="E4005" s="291" t="str">
        <f>IFERROR(VLOOKUP($D4005,'Clients-Live'!$A:$C,3,0),"")</f>
        <v>GBENINGA RUKIA</v>
      </c>
      <c r="F4005" s="291">
        <f>IFERROR(INDEX(Disbursements!$D:$D,MATCH('Live Collections'!G4005,Disbursements!$C:$C,0)),"")</f>
        <v>1</v>
      </c>
      <c r="G4005" s="34">
        <v>131</v>
      </c>
      <c r="H4005" s="34">
        <v>5876</v>
      </c>
      <c r="I4005" s="34" t="s">
        <v>1359</v>
      </c>
      <c r="J4005" s="48"/>
      <c r="K4005" s="48"/>
      <c r="L4005" s="48"/>
      <c r="M4005" s="48"/>
      <c r="N4005" s="59"/>
      <c r="O4005" s="59">
        <v>20000</v>
      </c>
      <c r="P4005" s="59"/>
      <c r="Q4005" s="268">
        <f t="shared" si="189"/>
        <v>20000</v>
      </c>
      <c r="R4005" s="61">
        <f>IF(O4005=0,0,SUMIFS(Disbursements!$T:$T,Disbursements!$B:$B,'Live Collections'!D4005,Disbursements!$D:$D,'Live Collections'!F4005))</f>
        <v>125000</v>
      </c>
      <c r="S4005" s="304"/>
      <c r="T4005" s="304">
        <f t="shared" si="190"/>
        <v>20000</v>
      </c>
      <c r="U4005" s="52"/>
      <c r="V4005" s="34"/>
      <c r="W4005" s="408"/>
    </row>
    <row r="4006" spans="1:23" ht="12.75" customHeight="1" x14ac:dyDescent="0.2">
      <c r="A4006" s="257">
        <v>4016</v>
      </c>
      <c r="B4006" s="44">
        <v>44678</v>
      </c>
      <c r="C4006" s="44">
        <f t="shared" si="191"/>
        <v>44678</v>
      </c>
      <c r="D4006" s="374">
        <v>357</v>
      </c>
      <c r="E4006" s="291" t="str">
        <f>IFERROR(VLOOKUP($D4006,'Clients-Live'!$A:$C,3,0),"")</f>
        <v>MAWA PETER</v>
      </c>
      <c r="F4006" s="291" t="str">
        <f>IFERROR(INDEX(Disbursements!$D:$D,MATCH('Live Collections'!G4006,Disbursements!$C:$C,0)),"")</f>
        <v/>
      </c>
      <c r="G4006" s="34"/>
      <c r="H4006" s="34">
        <v>5804</v>
      </c>
      <c r="I4006" s="34" t="s">
        <v>1358</v>
      </c>
      <c r="J4006" s="48"/>
      <c r="K4006" s="48"/>
      <c r="L4006" s="48">
        <v>25000</v>
      </c>
      <c r="M4006" s="48">
        <v>5000</v>
      </c>
      <c r="N4006" s="59"/>
      <c r="O4006" s="59"/>
      <c r="P4006" s="59"/>
      <c r="Q4006" s="268">
        <f t="shared" si="189"/>
        <v>30000</v>
      </c>
      <c r="R4006" s="61">
        <f>IF(O4006=0,0,SUMIFS(Disbursements!$T:$T,Disbursements!$B:$B,'Live Collections'!D4006,Disbursements!$D:$D,'Live Collections'!F4006))</f>
        <v>0</v>
      </c>
      <c r="S4006" s="304">
        <f>IF(O4006&lt;=IF($O4006=0,0,SUMIFS(Disbursements!$W:$W,Disbursements!$B:$B,'Live Collections'!D4006,Disbursements!$D:$D,'Live Collections'!F4006)),O4006,IF($O4006=0,0,SUMIFS(Disbursements!$W:$W,Disbursements!$B:$B,'Live Collections'!D4006,Disbursements!$D:$D,'Live Collections'!F4006)))</f>
        <v>0</v>
      </c>
      <c r="T4006" s="304">
        <f t="shared" si="190"/>
        <v>0</v>
      </c>
      <c r="U4006" s="52"/>
      <c r="V4006" s="34"/>
      <c r="W4006" s="408"/>
    </row>
    <row r="4007" spans="1:23" ht="12.75" customHeight="1" x14ac:dyDescent="0.2">
      <c r="A4007" s="257">
        <v>4017</v>
      </c>
      <c r="B4007" s="44">
        <v>44678</v>
      </c>
      <c r="C4007" s="44">
        <f t="shared" si="191"/>
        <v>44678</v>
      </c>
      <c r="D4007" s="374">
        <v>357</v>
      </c>
      <c r="E4007" s="291" t="str">
        <f>IFERROR(VLOOKUP($D4007,'Clients-Live'!$A:$C,3,0),"")</f>
        <v>MAWA PETER</v>
      </c>
      <c r="F4007" s="291" t="str">
        <f>IFERROR(INDEX(Disbursements!$D:$D,MATCH('Live Collections'!G4007,Disbursements!$C:$C,0)),"")</f>
        <v/>
      </c>
      <c r="G4007" s="34"/>
      <c r="H4007" s="34">
        <v>5803</v>
      </c>
      <c r="I4007" s="34" t="s">
        <v>1760</v>
      </c>
      <c r="J4007" s="48">
        <v>15000</v>
      </c>
      <c r="K4007" s="48">
        <v>5000</v>
      </c>
      <c r="L4007" s="48"/>
      <c r="M4007" s="48"/>
      <c r="N4007" s="59"/>
      <c r="O4007" s="59"/>
      <c r="P4007" s="59"/>
      <c r="Q4007" s="268">
        <f t="shared" si="189"/>
        <v>20000</v>
      </c>
      <c r="R4007" s="61">
        <f>IF(O4007=0,0,SUMIFS(Disbursements!$T:$T,Disbursements!$B:$B,'Live Collections'!D4007,Disbursements!$D:$D,'Live Collections'!F4007))</f>
        <v>0</v>
      </c>
      <c r="S4007" s="304">
        <f>IF(O4007&lt;=IF($O4007=0,0,SUMIFS(Disbursements!$W:$W,Disbursements!$B:$B,'Live Collections'!D4007,Disbursements!$D:$D,'Live Collections'!F4007)),O4007,IF($O4007=0,0,SUMIFS(Disbursements!$W:$W,Disbursements!$B:$B,'Live Collections'!D4007,Disbursements!$D:$D,'Live Collections'!F4007)))</f>
        <v>0</v>
      </c>
      <c r="T4007" s="304">
        <f t="shared" si="190"/>
        <v>0</v>
      </c>
      <c r="U4007" s="52"/>
      <c r="V4007" s="34"/>
      <c r="W4007" s="408"/>
    </row>
    <row r="4008" spans="1:23" ht="12.75" customHeight="1" x14ac:dyDescent="0.2">
      <c r="A4008" s="257">
        <v>4018</v>
      </c>
      <c r="B4008" s="44">
        <v>44678</v>
      </c>
      <c r="C4008" s="44">
        <f t="shared" si="191"/>
        <v>44678</v>
      </c>
      <c r="D4008" s="374">
        <v>311</v>
      </c>
      <c r="E4008" s="291" t="str">
        <f>IFERROR(VLOOKUP($D4008,'Clients-Live'!$A:$C,3,0),"")</f>
        <v>PATRICK OKUONZI</v>
      </c>
      <c r="F4008" s="291">
        <f>IFERROR(INDEX(Disbursements!$D:$D,MATCH('Live Collections'!G4008,Disbursements!$C:$C,0)),"")</f>
        <v>3</v>
      </c>
      <c r="G4008" s="34">
        <v>491</v>
      </c>
      <c r="H4008" s="34">
        <v>5980</v>
      </c>
      <c r="I4008" s="34" t="s">
        <v>1358</v>
      </c>
      <c r="J4008" s="48"/>
      <c r="K4008" s="48"/>
      <c r="L4008" s="48"/>
      <c r="M4008" s="48"/>
      <c r="N4008" s="59"/>
      <c r="O4008" s="59">
        <v>390000</v>
      </c>
      <c r="P4008" s="59"/>
      <c r="Q4008" s="268">
        <f t="shared" si="189"/>
        <v>390000</v>
      </c>
      <c r="R4008" s="61">
        <f>IF(O4008=0,0,SUMIFS(Disbursements!$T:$T,Disbursements!$B:$B,'Live Collections'!D4008,Disbursements!$D:$D,'Live Collections'!F4008))</f>
        <v>430000</v>
      </c>
      <c r="S4008" s="304">
        <f>IF(O4008&lt;=IF($O4008=0,0,SUMIFS(Disbursements!$W:$W,Disbursements!$B:$B,'Live Collections'!D4008,Disbursements!$D:$D,'Live Collections'!F4008)),O4008,IF($O4008=0,0,SUMIFS(Disbursements!$W:$W,Disbursements!$B:$B,'Live Collections'!D4008,Disbursements!$D:$D,'Live Collections'!F4008)))</f>
        <v>30000</v>
      </c>
      <c r="T4008" s="304">
        <f t="shared" si="190"/>
        <v>360000</v>
      </c>
      <c r="U4008" s="52"/>
      <c r="V4008" s="34"/>
      <c r="W4008" s="408"/>
    </row>
    <row r="4009" spans="1:23" ht="12.75" customHeight="1" x14ac:dyDescent="0.2">
      <c r="A4009" s="257">
        <v>4019</v>
      </c>
      <c r="B4009" s="44">
        <v>44678</v>
      </c>
      <c r="C4009" s="44">
        <f t="shared" si="191"/>
        <v>44678</v>
      </c>
      <c r="D4009" s="374">
        <v>183</v>
      </c>
      <c r="E4009" s="291" t="str">
        <f>IFERROR(VLOOKUP($D4009,'Clients-Live'!$A:$C,3,0),"")</f>
        <v>NIGHT AMINA HUSSEIN</v>
      </c>
      <c r="F4009" s="291" t="str">
        <f>IFERROR(INDEX(Disbursements!$D:$D,MATCH('Live Collections'!G4009,Disbursements!$C:$C,0)),"")</f>
        <v/>
      </c>
      <c r="G4009" s="34"/>
      <c r="H4009" s="34">
        <v>5769</v>
      </c>
      <c r="I4009" s="34" t="s">
        <v>1359</v>
      </c>
      <c r="J4009" s="48"/>
      <c r="K4009" s="48"/>
      <c r="L4009" s="48"/>
      <c r="M4009" s="48"/>
      <c r="N4009" s="59">
        <v>11000</v>
      </c>
      <c r="O4009" s="59"/>
      <c r="P4009" s="59"/>
      <c r="Q4009" s="268">
        <f t="shared" si="189"/>
        <v>11000</v>
      </c>
      <c r="R4009" s="61">
        <f>IF(O4009=0,0,SUMIFS(Disbursements!$T:$T,Disbursements!$B:$B,'Live Collections'!D4009,Disbursements!$D:$D,'Live Collections'!F4009))</f>
        <v>0</v>
      </c>
      <c r="S4009" s="304">
        <f>IF(O4009&lt;=IF($O4009=0,0,SUMIFS(Disbursements!$W:$W,Disbursements!$B:$B,'Live Collections'!D4009,Disbursements!$D:$D,'Live Collections'!F4009)),O4009,IF($O4009=0,0,SUMIFS(Disbursements!$W:$W,Disbursements!$B:$B,'Live Collections'!D4009,Disbursements!$D:$D,'Live Collections'!F4009)))</f>
        <v>0</v>
      </c>
      <c r="T4009" s="304">
        <f t="shared" si="190"/>
        <v>0</v>
      </c>
      <c r="U4009" s="52"/>
      <c r="V4009" s="34"/>
      <c r="W4009" s="408"/>
    </row>
    <row r="4010" spans="1:23" ht="12.75" customHeight="1" x14ac:dyDescent="0.2">
      <c r="A4010" s="257">
        <v>4020</v>
      </c>
      <c r="B4010" s="44">
        <v>44678</v>
      </c>
      <c r="C4010" s="44">
        <f t="shared" si="191"/>
        <v>44678</v>
      </c>
      <c r="D4010" s="374">
        <v>183</v>
      </c>
      <c r="E4010" s="291" t="str">
        <f>IFERROR(VLOOKUP($D4010,'Clients-Live'!$A:$C,3,0),"")</f>
        <v>NIGHT AMINA HUSSEIN</v>
      </c>
      <c r="F4010" s="291">
        <f>IFERROR(INDEX(Disbursements!$D:$D,MATCH('Live Collections'!G4010,Disbursements!$C:$C,0)),"")</f>
        <v>2</v>
      </c>
      <c r="G4010" s="34">
        <v>440</v>
      </c>
      <c r="H4010" s="34">
        <v>5978</v>
      </c>
      <c r="I4010" s="34" t="s">
        <v>1359</v>
      </c>
      <c r="J4010" s="48"/>
      <c r="K4010" s="48"/>
      <c r="L4010" s="48"/>
      <c r="M4010" s="48"/>
      <c r="N4010" s="59"/>
      <c r="O4010" s="59">
        <v>240000</v>
      </c>
      <c r="P4010" s="59"/>
      <c r="Q4010" s="268">
        <f t="shared" si="189"/>
        <v>240000</v>
      </c>
      <c r="R4010" s="61">
        <f>IF(O4010=0,0,SUMIFS(Disbursements!$T:$T,Disbursements!$B:$B,'Live Collections'!D4010,Disbursements!$D:$D,'Live Collections'!F4010))</f>
        <v>40000</v>
      </c>
      <c r="S4010" s="304">
        <f>IF(O4010&lt;=IF($O4010=0,0,SUMIFS(Disbursements!$W:$W,Disbursements!$B:$B,'Live Collections'!D4010,Disbursements!$D:$D,'Live Collections'!F4010)),O4010,IF($O4010=0,0,SUMIFS(Disbursements!$W:$W,Disbursements!$B:$B,'Live Collections'!D4010,Disbursements!$D:$D,'Live Collections'!F4010)))</f>
        <v>6666.6666666666642</v>
      </c>
      <c r="T4010" s="304">
        <f t="shared" si="190"/>
        <v>233333.33333333334</v>
      </c>
      <c r="U4010" s="52"/>
      <c r="V4010" s="34"/>
      <c r="W4010" s="408"/>
    </row>
    <row r="4011" spans="1:23" ht="12.75" customHeight="1" x14ac:dyDescent="0.2">
      <c r="A4011" s="257">
        <v>4021</v>
      </c>
      <c r="B4011" s="44">
        <v>44678</v>
      </c>
      <c r="C4011" s="44">
        <f t="shared" si="191"/>
        <v>44678</v>
      </c>
      <c r="D4011" s="374">
        <v>98</v>
      </c>
      <c r="E4011" s="291" t="str">
        <f>IFERROR(VLOOKUP($D4011,'Clients-Live'!$A:$C,3,0),"")</f>
        <v>AMANIYO CLARA</v>
      </c>
      <c r="F4011" s="291">
        <f>IFERROR(INDEX(Disbursements!$D:$D,MATCH('Live Collections'!G4011,Disbursements!$C:$C,0)),"")</f>
        <v>2</v>
      </c>
      <c r="G4011" s="34">
        <v>232</v>
      </c>
      <c r="H4011" s="34">
        <v>5979</v>
      </c>
      <c r="I4011" s="34" t="s">
        <v>1357</v>
      </c>
      <c r="J4011" s="48"/>
      <c r="K4011" s="48"/>
      <c r="L4011" s="48"/>
      <c r="M4011" s="48"/>
      <c r="N4011" s="59"/>
      <c r="O4011" s="59">
        <v>40000</v>
      </c>
      <c r="P4011" s="59"/>
      <c r="Q4011" s="268">
        <f t="shared" si="189"/>
        <v>40000</v>
      </c>
      <c r="R4011" s="61">
        <f>IF(O4011=0,0,SUMIFS(Disbursements!$T:$T,Disbursements!$B:$B,'Live Collections'!D4011,Disbursements!$D:$D,'Live Collections'!F4011))</f>
        <v>175000</v>
      </c>
      <c r="S4011" s="304"/>
      <c r="T4011" s="304">
        <f t="shared" si="190"/>
        <v>40000</v>
      </c>
      <c r="U4011" s="52"/>
      <c r="V4011" s="34"/>
      <c r="W4011" s="408"/>
    </row>
    <row r="4012" spans="1:23" ht="12.75" customHeight="1" x14ac:dyDescent="0.2">
      <c r="A4012" s="257">
        <v>4022</v>
      </c>
      <c r="B4012" s="44">
        <v>44678</v>
      </c>
      <c r="C4012" s="44">
        <f t="shared" si="191"/>
        <v>44678</v>
      </c>
      <c r="D4012" s="374">
        <v>270</v>
      </c>
      <c r="E4012" s="291" t="str">
        <f>IFERROR(VLOOKUP($D4012,'Clients-Live'!$A:$C,3,0),"")</f>
        <v>AJOBE SAMUEL</v>
      </c>
      <c r="F4012" s="291">
        <f>IFERROR(INDEX(Disbursements!$D:$D,MATCH('Live Collections'!G4012,Disbursements!$C:$C,0)),"")</f>
        <v>2</v>
      </c>
      <c r="G4012" s="34">
        <v>299</v>
      </c>
      <c r="H4012" s="34">
        <v>5768</v>
      </c>
      <c r="I4012" s="34" t="s">
        <v>1358</v>
      </c>
      <c r="J4012" s="48"/>
      <c r="K4012" s="48"/>
      <c r="L4012" s="48"/>
      <c r="M4012" s="48"/>
      <c r="N4012" s="59"/>
      <c r="O4012" s="59">
        <v>100000</v>
      </c>
      <c r="P4012" s="59"/>
      <c r="Q4012" s="268">
        <f t="shared" ref="Q4012:Q4075" si="192">SUM(J4012:P4012)</f>
        <v>100000</v>
      </c>
      <c r="R4012" s="61">
        <f>IF(O4012=0,0,SUMIFS(Disbursements!$T:$T,Disbursements!$B:$B,'Live Collections'!D4012,Disbursements!$D:$D,'Live Collections'!F4012))</f>
        <v>245000</v>
      </c>
      <c r="S4012" s="304">
        <f>IF(O4012&lt;=IF($O4012=0,0,SUMIFS(Disbursements!$W:$W,Disbursements!$B:$B,'Live Collections'!D4012,Disbursements!$D:$D,'Live Collections'!F4012)),O4012,IF($O4012=0,0,SUMIFS(Disbursements!$W:$W,Disbursements!$B:$B,'Live Collections'!D4012,Disbursements!$D:$D,'Live Collections'!F4012)))</f>
        <v>45000</v>
      </c>
      <c r="T4012" s="304">
        <f t="shared" si="190"/>
        <v>55000</v>
      </c>
      <c r="U4012" s="52"/>
      <c r="V4012" s="34"/>
      <c r="W4012" s="408"/>
    </row>
    <row r="4013" spans="1:23" ht="12.75" customHeight="1" x14ac:dyDescent="0.2">
      <c r="A4013" s="257">
        <v>4023</v>
      </c>
      <c r="B4013" s="44">
        <v>44678</v>
      </c>
      <c r="C4013" s="44">
        <f t="shared" si="191"/>
        <v>44678</v>
      </c>
      <c r="D4013" s="374">
        <v>9</v>
      </c>
      <c r="E4013" s="291" t="str">
        <f>IFERROR(VLOOKUP($D4013,'Clients-Live'!$A:$C,3,0),"")</f>
        <v>TABAN DAVID YAYA</v>
      </c>
      <c r="F4013" s="291">
        <f>IFERROR(INDEX(Disbursements!$D:$D,MATCH('Live Collections'!G4013,Disbursements!$C:$C,0)),"")</f>
        <v>4</v>
      </c>
      <c r="G4013" s="34">
        <v>507</v>
      </c>
      <c r="H4013" s="34">
        <v>5976</v>
      </c>
      <c r="I4013" s="34" t="s">
        <v>1357</v>
      </c>
      <c r="J4013" s="48"/>
      <c r="K4013" s="48"/>
      <c r="L4013" s="48"/>
      <c r="M4013" s="48"/>
      <c r="N4013" s="59"/>
      <c r="O4013" s="59">
        <v>100000</v>
      </c>
      <c r="P4013" s="59"/>
      <c r="Q4013" s="268">
        <f t="shared" si="192"/>
        <v>100000</v>
      </c>
      <c r="R4013" s="61">
        <f>IF(O4013=0,0,SUMIFS(Disbursements!$T:$T,Disbursements!$B:$B,'Live Collections'!D4013,Disbursements!$D:$D,'Live Collections'!F4013))</f>
        <v>174000</v>
      </c>
      <c r="S4013" s="304">
        <f>IF(O4013&lt;=IF($O4013=0,0,SUMIFS(Disbursements!$W:$W,Disbursements!$B:$B,'Live Collections'!D4013,Disbursements!$D:$D,'Live Collections'!F4013)),O4013,IF($O4013=0,0,SUMIFS(Disbursements!$W:$W,Disbursements!$B:$B,'Live Collections'!D4013,Disbursements!$D:$D,'Live Collections'!F4013)))</f>
        <v>36500</v>
      </c>
      <c r="T4013" s="304">
        <f t="shared" si="190"/>
        <v>63500</v>
      </c>
      <c r="U4013" s="52"/>
      <c r="V4013" s="34"/>
      <c r="W4013" s="408"/>
    </row>
    <row r="4014" spans="1:23" ht="12.75" customHeight="1" x14ac:dyDescent="0.2">
      <c r="A4014" s="257">
        <v>4024</v>
      </c>
      <c r="B4014" s="44">
        <v>44678</v>
      </c>
      <c r="C4014" s="44">
        <f t="shared" si="191"/>
        <v>44678</v>
      </c>
      <c r="D4014" s="374">
        <v>164</v>
      </c>
      <c r="E4014" s="291" t="str">
        <f>IFERROR(VLOOKUP($D4014,'Clients-Live'!$A:$C,3,0),"")</f>
        <v>ARIKE SWAIB</v>
      </c>
      <c r="F4014" s="291">
        <f>IFERROR(INDEX(Disbursements!$D:$D,MATCH('Live Collections'!G4014,Disbursements!$C:$C,0)),"")</f>
        <v>2</v>
      </c>
      <c r="G4014" s="34">
        <v>508</v>
      </c>
      <c r="H4014" s="34">
        <v>5767</v>
      </c>
      <c r="I4014" s="34" t="s">
        <v>1357</v>
      </c>
      <c r="J4014" s="48"/>
      <c r="K4014" s="48"/>
      <c r="L4014" s="48"/>
      <c r="M4014" s="48"/>
      <c r="N4014" s="59"/>
      <c r="O4014" s="59">
        <v>95000</v>
      </c>
      <c r="P4014" s="59"/>
      <c r="Q4014" s="268">
        <f t="shared" si="192"/>
        <v>95000</v>
      </c>
      <c r="R4014" s="61">
        <f>IF(O4014=0,0,SUMIFS(Disbursements!$T:$T,Disbursements!$B:$B,'Live Collections'!D4014,Disbursements!$D:$D,'Live Collections'!F4014))</f>
        <v>90000</v>
      </c>
      <c r="S4014" s="304">
        <f>IF(O4014&lt;=IF($O4014=0,0,SUMIFS(Disbursements!$W:$W,Disbursements!$B:$B,'Live Collections'!D4014,Disbursements!$D:$D,'Live Collections'!F4014)),O4014,IF($O4014=0,0,SUMIFS(Disbursements!$W:$W,Disbursements!$B:$B,'Live Collections'!D4014,Disbursements!$D:$D,'Live Collections'!F4014)))</f>
        <v>25416.666666666664</v>
      </c>
      <c r="T4014" s="304">
        <f t="shared" si="190"/>
        <v>69583.333333333343</v>
      </c>
      <c r="U4014" s="52"/>
      <c r="V4014" s="34"/>
      <c r="W4014" s="408"/>
    </row>
    <row r="4015" spans="1:23" ht="12.75" customHeight="1" x14ac:dyDescent="0.2">
      <c r="A4015" s="257">
        <v>4025</v>
      </c>
      <c r="B4015" s="44">
        <v>44678</v>
      </c>
      <c r="C4015" s="44">
        <f t="shared" si="191"/>
        <v>44678</v>
      </c>
      <c r="D4015" s="374">
        <v>67</v>
      </c>
      <c r="E4015" s="291" t="str">
        <f>IFERROR(VLOOKUP($D4015,'Clients-Live'!$A:$C,3,0),"")</f>
        <v>KEBITA SAUDA</v>
      </c>
      <c r="F4015" s="291">
        <f>IFERROR(INDEX(Disbursements!$D:$D,MATCH('Live Collections'!G4015,Disbursements!$C:$C,0)),"")</f>
        <v>2</v>
      </c>
      <c r="G4015" s="34">
        <v>272</v>
      </c>
      <c r="H4015" s="34" t="s">
        <v>2336</v>
      </c>
      <c r="I4015" s="34" t="s">
        <v>1358</v>
      </c>
      <c r="J4015" s="48"/>
      <c r="K4015" s="48"/>
      <c r="L4015" s="48"/>
      <c r="M4015" s="48"/>
      <c r="N4015" s="59"/>
      <c r="O4015" s="59">
        <v>60000</v>
      </c>
      <c r="P4015" s="59">
        <v>-60000</v>
      </c>
      <c r="Q4015" s="268">
        <f t="shared" si="192"/>
        <v>0</v>
      </c>
      <c r="R4015" s="61">
        <f>IF(O4015=0,0,SUMIFS(Disbursements!$T:$T,Disbursements!$B:$B,'Live Collections'!D4015,Disbursements!$D:$D,'Live Collections'!F4015))</f>
        <v>180000</v>
      </c>
      <c r="S4015" s="304"/>
      <c r="T4015" s="304">
        <f t="shared" si="190"/>
        <v>60000</v>
      </c>
      <c r="U4015" s="52"/>
      <c r="V4015" s="34"/>
      <c r="W4015" s="408"/>
    </row>
    <row r="4016" spans="1:23" ht="12.75" customHeight="1" x14ac:dyDescent="0.2">
      <c r="A4016" s="257">
        <v>4026</v>
      </c>
      <c r="B4016" s="44">
        <v>44678</v>
      </c>
      <c r="C4016" s="44">
        <f t="shared" si="191"/>
        <v>44678</v>
      </c>
      <c r="D4016" s="374">
        <v>67</v>
      </c>
      <c r="E4016" s="291" t="str">
        <f>IFERROR(VLOOKUP($D4016,'Clients-Live'!$A:$C,3,0),"")</f>
        <v>KEBITA SAUDA</v>
      </c>
      <c r="F4016" s="291" t="str">
        <f>IFERROR(INDEX(Disbursements!$D:$D,MATCH('Live Collections'!G4016,Disbursements!$C:$C,0)),"")</f>
        <v/>
      </c>
      <c r="G4016" s="34"/>
      <c r="H4016" s="34">
        <v>5974</v>
      </c>
      <c r="I4016" s="34" t="s">
        <v>1358</v>
      </c>
      <c r="J4016" s="48"/>
      <c r="K4016" s="48">
        <v>5000</v>
      </c>
      <c r="L4016" s="48"/>
      <c r="M4016" s="48"/>
      <c r="N4016" s="59"/>
      <c r="O4016" s="59"/>
      <c r="P4016" s="59"/>
      <c r="Q4016" s="268">
        <f t="shared" si="192"/>
        <v>5000</v>
      </c>
      <c r="R4016" s="61">
        <f>IF(O4016=0,0,SUMIFS(Disbursements!$T:$T,Disbursements!$B:$B,'Live Collections'!D4016,Disbursements!$D:$D,'Live Collections'!F4016))</f>
        <v>0</v>
      </c>
      <c r="S4016" s="304">
        <f>IF(O4016&lt;=IF($O4016=0,0,SUMIFS(Disbursements!$W:$W,Disbursements!$B:$B,'Live Collections'!D4016,Disbursements!$D:$D,'Live Collections'!F4016)),O4016,IF($O4016=0,0,SUMIFS(Disbursements!$W:$W,Disbursements!$B:$B,'Live Collections'!D4016,Disbursements!$D:$D,'Live Collections'!F4016)))</f>
        <v>0</v>
      </c>
      <c r="T4016" s="304">
        <f t="shared" si="190"/>
        <v>0</v>
      </c>
      <c r="U4016" s="52"/>
      <c r="V4016" s="34"/>
      <c r="W4016" s="408"/>
    </row>
    <row r="4017" spans="1:23" ht="12.75" customHeight="1" x14ac:dyDescent="0.2">
      <c r="A4017" s="257">
        <v>4027</v>
      </c>
      <c r="B4017" s="44">
        <v>44678</v>
      </c>
      <c r="C4017" s="44">
        <f t="shared" si="191"/>
        <v>44678</v>
      </c>
      <c r="D4017" s="374">
        <v>335</v>
      </c>
      <c r="E4017" s="291" t="str">
        <f>IFERROR(VLOOKUP($D4017,'Clients-Live'!$A:$C,3,0),"")</f>
        <v>FOGO FRANCIS DRANI</v>
      </c>
      <c r="F4017" s="291">
        <f>IFERROR(INDEX(Disbursements!$D:$D,MATCH('Live Collections'!G4017,Disbursements!$C:$C,0)),"")</f>
        <v>1</v>
      </c>
      <c r="G4017" s="34">
        <v>467</v>
      </c>
      <c r="H4017" s="34">
        <v>5975</v>
      </c>
      <c r="I4017" s="34" t="s">
        <v>1357</v>
      </c>
      <c r="J4017" s="48"/>
      <c r="K4017" s="48"/>
      <c r="L4017" s="48"/>
      <c r="M4017" s="48"/>
      <c r="N4017" s="59"/>
      <c r="O4017" s="59">
        <v>100000</v>
      </c>
      <c r="P4017" s="59"/>
      <c r="Q4017" s="268">
        <f t="shared" si="192"/>
        <v>100000</v>
      </c>
      <c r="R4017" s="61">
        <f>IF(O4017=0,0,SUMIFS(Disbursements!$T:$T,Disbursements!$B:$B,'Live Collections'!D4017,Disbursements!$D:$D,'Live Collections'!F4017))</f>
        <v>613000</v>
      </c>
      <c r="S4017" s="304">
        <f>IF(O4017&lt;=IF($O4017=0,0,SUMIFS(Disbursements!$W:$W,Disbursements!$B:$B,'Live Collections'!D4017,Disbursements!$D:$D,'Live Collections'!F4017)),O4017,IF($O4017=0,0,SUMIFS(Disbursements!$W:$W,Disbursements!$B:$B,'Live Collections'!D4017,Disbursements!$D:$D,'Live Collections'!F4017)))</f>
        <v>100000</v>
      </c>
      <c r="T4017" s="304">
        <f t="shared" si="190"/>
        <v>0</v>
      </c>
      <c r="U4017" s="52"/>
      <c r="V4017" s="34"/>
      <c r="W4017" s="408"/>
    </row>
    <row r="4018" spans="1:23" ht="12.75" customHeight="1" x14ac:dyDescent="0.2">
      <c r="A4018" s="257">
        <v>4028</v>
      </c>
      <c r="B4018" s="44">
        <v>44678</v>
      </c>
      <c r="C4018" s="44">
        <f t="shared" si="191"/>
        <v>44678</v>
      </c>
      <c r="D4018" s="374">
        <v>71</v>
      </c>
      <c r="E4018" s="291" t="str">
        <f>IFERROR(VLOOKUP($D4018,'Clients-Live'!$A:$C,3,0),"")</f>
        <v>AYIKORU HARIET BAUDI</v>
      </c>
      <c r="F4018" s="291">
        <f>IFERROR(INDEX(Disbursements!$D:$D,MATCH('Live Collections'!G4018,Disbursements!$C:$C,0)),"")</f>
        <v>4</v>
      </c>
      <c r="G4018" s="34">
        <v>486</v>
      </c>
      <c r="H4018" s="34">
        <v>5924</v>
      </c>
      <c r="I4018" s="34" t="s">
        <v>1359</v>
      </c>
      <c r="J4018" s="48"/>
      <c r="K4018" s="48"/>
      <c r="L4018" s="48"/>
      <c r="M4018" s="48"/>
      <c r="N4018" s="59"/>
      <c r="O4018" s="59">
        <v>1500000</v>
      </c>
      <c r="P4018" s="59"/>
      <c r="Q4018" s="268">
        <f t="shared" si="192"/>
        <v>1500000</v>
      </c>
      <c r="R4018" s="61">
        <f>IF(O4018=0,0,SUMIFS(Disbursements!$T:$T,Disbursements!$B:$B,'Live Collections'!D4018,Disbursements!$D:$D,'Live Collections'!F4018))</f>
        <v>5325000</v>
      </c>
      <c r="S4018" s="304"/>
      <c r="T4018" s="304">
        <f t="shared" si="190"/>
        <v>1500000</v>
      </c>
      <c r="U4018" s="52"/>
      <c r="V4018" s="34"/>
      <c r="W4018" s="408"/>
    </row>
    <row r="4019" spans="1:23" ht="12.75" customHeight="1" x14ac:dyDescent="0.2">
      <c r="A4019" s="257">
        <v>4029</v>
      </c>
      <c r="B4019" s="44">
        <v>44678</v>
      </c>
      <c r="C4019" s="44">
        <f t="shared" si="191"/>
        <v>44678</v>
      </c>
      <c r="D4019" s="374">
        <v>67</v>
      </c>
      <c r="E4019" s="291" t="str">
        <f>IFERROR(VLOOKUP($D4019,'Clients-Live'!$A:$C,3,0),"")</f>
        <v>KEBITA SAUDA</v>
      </c>
      <c r="F4019" s="291" t="str">
        <f>IFERROR(INDEX(Disbursements!$D:$D,MATCH('Live Collections'!G4019,Disbursements!$C:$C,0)),"")</f>
        <v/>
      </c>
      <c r="G4019" s="34"/>
      <c r="H4019" s="34">
        <v>5899</v>
      </c>
      <c r="I4019" s="34" t="s">
        <v>1358</v>
      </c>
      <c r="J4019" s="48"/>
      <c r="K4019" s="48"/>
      <c r="L4019" s="48">
        <v>15000</v>
      </c>
      <c r="M4019" s="48">
        <v>5000</v>
      </c>
      <c r="N4019" s="59"/>
      <c r="O4019" s="59"/>
      <c r="P4019" s="59"/>
      <c r="Q4019" s="268">
        <f t="shared" si="192"/>
        <v>20000</v>
      </c>
      <c r="R4019" s="61">
        <f>IF(O4019=0,0,SUMIFS(Disbursements!$T:$T,Disbursements!$B:$B,'Live Collections'!D4019,Disbursements!$D:$D,'Live Collections'!F4019))</f>
        <v>0</v>
      </c>
      <c r="S4019" s="304">
        <f>IF(O4019&lt;=IF($O4019=0,0,SUMIFS(Disbursements!$W:$W,Disbursements!$B:$B,'Live Collections'!D4019,Disbursements!$D:$D,'Live Collections'!F4019)),O4019,IF($O4019=0,0,SUMIFS(Disbursements!$W:$W,Disbursements!$B:$B,'Live Collections'!D4019,Disbursements!$D:$D,'Live Collections'!F4019)))</f>
        <v>0</v>
      </c>
      <c r="T4019" s="304">
        <f t="shared" si="190"/>
        <v>0</v>
      </c>
      <c r="U4019" s="52"/>
      <c r="V4019" s="34"/>
      <c r="W4019" s="408"/>
    </row>
    <row r="4020" spans="1:23" ht="12.75" customHeight="1" x14ac:dyDescent="0.2">
      <c r="A4020" s="257">
        <v>4030</v>
      </c>
      <c r="B4020" s="44">
        <v>44678</v>
      </c>
      <c r="C4020" s="44">
        <f t="shared" si="191"/>
        <v>44678</v>
      </c>
      <c r="D4020" s="374">
        <v>67</v>
      </c>
      <c r="E4020" s="291" t="str">
        <f>IFERROR(VLOOKUP($D4020,'Clients-Live'!$A:$C,3,0),"")</f>
        <v>KEBITA SAUDA</v>
      </c>
      <c r="F4020" s="291">
        <f>IFERROR(INDEX(Disbursements!$D:$D,MATCH('Live Collections'!G4020,Disbursements!$C:$C,0)),"")</f>
        <v>2</v>
      </c>
      <c r="G4020" s="34">
        <v>272</v>
      </c>
      <c r="H4020" s="34">
        <v>5896</v>
      </c>
      <c r="I4020" s="34" t="s">
        <v>1358</v>
      </c>
      <c r="J4020" s="48"/>
      <c r="K4020" s="48"/>
      <c r="L4020" s="48"/>
      <c r="M4020" s="48"/>
      <c r="N4020" s="59"/>
      <c r="O4020" s="59">
        <v>40000</v>
      </c>
      <c r="P4020" s="59"/>
      <c r="Q4020" s="268">
        <f t="shared" si="192"/>
        <v>40000</v>
      </c>
      <c r="R4020" s="61">
        <f>IF(O4020=0,0,SUMIFS(Disbursements!$T:$T,Disbursements!$B:$B,'Live Collections'!D4020,Disbursements!$D:$D,'Live Collections'!F4020))</f>
        <v>180000</v>
      </c>
      <c r="S4020" s="304"/>
      <c r="T4020" s="304">
        <f t="shared" si="190"/>
        <v>40000</v>
      </c>
      <c r="U4020" s="52"/>
      <c r="V4020" s="34"/>
      <c r="W4020" s="408"/>
    </row>
    <row r="4021" spans="1:23" ht="12.75" customHeight="1" x14ac:dyDescent="0.2">
      <c r="A4021" s="257">
        <v>4031</v>
      </c>
      <c r="B4021" s="44">
        <v>44678</v>
      </c>
      <c r="C4021" s="44">
        <f t="shared" si="191"/>
        <v>44678</v>
      </c>
      <c r="D4021" s="374">
        <v>329</v>
      </c>
      <c r="E4021" s="291" t="str">
        <f>IFERROR(VLOOKUP($D4021,'Clients-Live'!$A:$C,3,0),"")</f>
        <v>NSUBUGA DAVID</v>
      </c>
      <c r="F4021" s="291">
        <f>IFERROR(INDEX(Disbursements!$D:$D,MATCH('Live Collections'!G4021,Disbursements!$C:$C,0)),"")</f>
        <v>1</v>
      </c>
      <c r="G4021" s="34">
        <v>455</v>
      </c>
      <c r="H4021" s="34">
        <v>5895</v>
      </c>
      <c r="I4021" s="34" t="s">
        <v>1357</v>
      </c>
      <c r="J4021" s="48"/>
      <c r="K4021" s="48"/>
      <c r="L4021" s="48"/>
      <c r="M4021" s="48"/>
      <c r="N4021" s="59"/>
      <c r="O4021" s="59">
        <v>80000</v>
      </c>
      <c r="P4021" s="59"/>
      <c r="Q4021" s="268">
        <f t="shared" si="192"/>
        <v>80000</v>
      </c>
      <c r="R4021" s="61">
        <f>IF(O4021=0,0,SUMIFS(Disbursements!$T:$T,Disbursements!$B:$B,'Live Collections'!D4021,Disbursements!$D:$D,'Live Collections'!F4021))</f>
        <v>848000</v>
      </c>
      <c r="S4021" s="304">
        <f>IF(O4021&lt;=IF($O4021=0,0,SUMIFS(Disbursements!$W:$W,Disbursements!$B:$B,'Live Collections'!D4021,Disbursements!$D:$D,'Live Collections'!F4021)),O4021,IF($O4021=0,0,SUMIFS(Disbursements!$W:$W,Disbursements!$B:$B,'Live Collections'!D4021,Disbursements!$D:$D,'Live Collections'!F4021)))</f>
        <v>80000</v>
      </c>
      <c r="T4021" s="304">
        <f t="shared" si="190"/>
        <v>0</v>
      </c>
      <c r="U4021" s="52"/>
      <c r="V4021" s="34"/>
      <c r="W4021" s="408"/>
    </row>
    <row r="4022" spans="1:23" ht="12.75" customHeight="1" x14ac:dyDescent="0.2">
      <c r="A4022" s="257">
        <v>4032</v>
      </c>
      <c r="B4022" s="44">
        <v>44678</v>
      </c>
      <c r="C4022" s="44">
        <f t="shared" si="191"/>
        <v>44678</v>
      </c>
      <c r="D4022" s="374">
        <v>169</v>
      </c>
      <c r="E4022" s="291" t="str">
        <f>IFERROR(VLOOKUP($D4022,'Clients-Live'!$A:$C,3,0),"")</f>
        <v>KATO KENNEDY</v>
      </c>
      <c r="F4022" s="291">
        <f>IFERROR(INDEX(Disbursements!$D:$D,MATCH('Live Collections'!G4022,Disbursements!$C:$C,0)),"")</f>
        <v>2</v>
      </c>
      <c r="G4022" s="34">
        <v>394</v>
      </c>
      <c r="H4022" s="34">
        <v>5923</v>
      </c>
      <c r="I4022" s="34" t="s">
        <v>1357</v>
      </c>
      <c r="J4022" s="48"/>
      <c r="K4022" s="48"/>
      <c r="L4022" s="48"/>
      <c r="M4022" s="48"/>
      <c r="N4022" s="59"/>
      <c r="O4022" s="59">
        <v>58000</v>
      </c>
      <c r="P4022" s="59"/>
      <c r="Q4022" s="268">
        <f t="shared" si="192"/>
        <v>58000</v>
      </c>
      <c r="R4022" s="61">
        <f>IF(O4022=0,0,SUMIFS(Disbursements!$T:$T,Disbursements!$B:$B,'Live Collections'!D4022,Disbursements!$D:$D,'Live Collections'!F4022))</f>
        <v>58000</v>
      </c>
      <c r="S4022" s="304">
        <f>IF(O4022&lt;=IF($O4022=0,0,SUMIFS(Disbursements!$W:$W,Disbursements!$B:$B,'Live Collections'!D4022,Disbursements!$D:$D,'Live Collections'!F4022)),O4022,IF($O4022=0,0,SUMIFS(Disbursements!$W:$W,Disbursements!$B:$B,'Live Collections'!D4022,Disbursements!$D:$D,'Live Collections'!F4022)))</f>
        <v>16333.333333333336</v>
      </c>
      <c r="T4022" s="304">
        <f t="shared" si="190"/>
        <v>41666.666666666664</v>
      </c>
      <c r="U4022" s="52"/>
      <c r="V4022" s="34"/>
      <c r="W4022" s="408"/>
    </row>
    <row r="4023" spans="1:23" ht="12.75" customHeight="1" x14ac:dyDescent="0.2">
      <c r="A4023" s="257">
        <v>4033</v>
      </c>
      <c r="B4023" s="44">
        <v>44678</v>
      </c>
      <c r="C4023" s="44">
        <f t="shared" si="191"/>
        <v>44678</v>
      </c>
      <c r="D4023" s="374">
        <v>292</v>
      </c>
      <c r="E4023" s="291" t="str">
        <f>IFERROR(VLOOKUP($D4023,'Clients-Live'!$A:$C,3,0),"")</f>
        <v>AFEKU DENIS</v>
      </c>
      <c r="F4023" s="291">
        <f>IFERROR(INDEX(Disbursements!$D:$D,MATCH('Live Collections'!G4023,Disbursements!$C:$C,0)),"")</f>
        <v>1</v>
      </c>
      <c r="G4023" s="34">
        <v>368</v>
      </c>
      <c r="H4023" s="34">
        <v>5894</v>
      </c>
      <c r="I4023" s="34" t="s">
        <v>1359</v>
      </c>
      <c r="J4023" s="48"/>
      <c r="K4023" s="48"/>
      <c r="L4023" s="48"/>
      <c r="M4023" s="48"/>
      <c r="N4023" s="59"/>
      <c r="O4023" s="59">
        <v>500000</v>
      </c>
      <c r="P4023" s="59"/>
      <c r="Q4023" s="268">
        <f t="shared" si="192"/>
        <v>500000</v>
      </c>
      <c r="R4023" s="61">
        <f>IF(O4023=0,0,SUMIFS(Disbursements!$T:$T,Disbursements!$B:$B,'Live Collections'!D4023,Disbursements!$D:$D,'Live Collections'!F4023))</f>
        <v>2600000</v>
      </c>
      <c r="S4023" s="304">
        <v>68166.666666666511</v>
      </c>
      <c r="T4023" s="304">
        <f t="shared" ref="T4023:T4086" si="193">IF(O4023=0,0,O4023-S4023)</f>
        <v>431833.33333333349</v>
      </c>
      <c r="U4023" s="52"/>
      <c r="V4023" s="34"/>
      <c r="W4023" s="408"/>
    </row>
    <row r="4024" spans="1:23" ht="12.75" customHeight="1" x14ac:dyDescent="0.2">
      <c r="A4024" s="257">
        <v>4034</v>
      </c>
      <c r="B4024" s="44">
        <v>44678</v>
      </c>
      <c r="C4024" s="44">
        <f t="shared" si="191"/>
        <v>44678</v>
      </c>
      <c r="D4024" s="374">
        <v>138</v>
      </c>
      <c r="E4024" s="291" t="str">
        <f>IFERROR(VLOOKUP($D4024,'Clients-Live'!$A:$C,3,0),"")</f>
        <v>BEATRICE AMANDRU</v>
      </c>
      <c r="F4024" s="291">
        <f>IFERROR(INDEX(Disbursements!$D:$D,MATCH('Live Collections'!G4024,Disbursements!$C:$C,0)),"")</f>
        <v>4</v>
      </c>
      <c r="G4024" s="34">
        <v>442</v>
      </c>
      <c r="H4024" s="34">
        <v>5893</v>
      </c>
      <c r="I4024" s="34" t="s">
        <v>1357</v>
      </c>
      <c r="J4024" s="48"/>
      <c r="K4024" s="48"/>
      <c r="L4024" s="48"/>
      <c r="M4024" s="48"/>
      <c r="N4024" s="59"/>
      <c r="O4024" s="59">
        <v>100000</v>
      </c>
      <c r="P4024" s="59"/>
      <c r="Q4024" s="268">
        <f t="shared" si="192"/>
        <v>100000</v>
      </c>
      <c r="R4024" s="61">
        <f>IF(O4024=0,0,SUMIFS(Disbursements!$T:$T,Disbursements!$B:$B,'Live Collections'!D4024,Disbursements!$D:$D,'Live Collections'!F4024))</f>
        <v>565000</v>
      </c>
      <c r="S4024" s="304">
        <f>IF(O4024&lt;=IF($O4024=0,0,SUMIFS(Disbursements!$W:$W,Disbursements!$B:$B,'Live Collections'!D4024,Disbursements!$D:$D,'Live Collections'!F4024)),O4024,IF($O4024=0,0,SUMIFS(Disbursements!$W:$W,Disbursements!$B:$B,'Live Collections'!D4024,Disbursements!$D:$D,'Live Collections'!F4024)))</f>
        <v>65000</v>
      </c>
      <c r="T4024" s="304">
        <f t="shared" si="193"/>
        <v>35000</v>
      </c>
      <c r="U4024" s="52"/>
      <c r="V4024" s="34"/>
      <c r="W4024" s="408"/>
    </row>
    <row r="4025" spans="1:23" ht="12.75" customHeight="1" x14ac:dyDescent="0.2">
      <c r="A4025" s="257">
        <v>4035</v>
      </c>
      <c r="B4025" s="44">
        <v>44678</v>
      </c>
      <c r="C4025" s="44">
        <f t="shared" si="191"/>
        <v>44678</v>
      </c>
      <c r="D4025" s="374">
        <v>311</v>
      </c>
      <c r="E4025" s="291" t="str">
        <f>IFERROR(VLOOKUP($D4025,'Clients-Live'!$A:$C,3,0),"")</f>
        <v>PATRICK OKUONZI</v>
      </c>
      <c r="F4025" s="291">
        <f>IFERROR(INDEX(Disbursements!$D:$D,MATCH('Live Collections'!G4025,Disbursements!$C:$C,0)),"")</f>
        <v>3</v>
      </c>
      <c r="G4025" s="34">
        <v>491</v>
      </c>
      <c r="H4025" s="34" t="s">
        <v>2337</v>
      </c>
      <c r="I4025" s="34" t="s">
        <v>1358</v>
      </c>
      <c r="J4025" s="48"/>
      <c r="K4025" s="48"/>
      <c r="L4025" s="48"/>
      <c r="M4025" s="48"/>
      <c r="N4025" s="59"/>
      <c r="O4025" s="59">
        <v>40000</v>
      </c>
      <c r="P4025" s="59">
        <v>-40000</v>
      </c>
      <c r="Q4025" s="268">
        <f t="shared" si="192"/>
        <v>0</v>
      </c>
      <c r="R4025" s="61">
        <f>IF(O4025=0,0,SUMIFS(Disbursements!$T:$T,Disbursements!$B:$B,'Live Collections'!D4025,Disbursements!$D:$D,'Live Collections'!F4025))</f>
        <v>430000</v>
      </c>
      <c r="S4025" s="304"/>
      <c r="T4025" s="304">
        <f t="shared" si="193"/>
        <v>40000</v>
      </c>
      <c r="U4025" s="52"/>
      <c r="V4025" s="34"/>
      <c r="W4025" s="408"/>
    </row>
    <row r="4026" spans="1:23" ht="12.75" customHeight="1" x14ac:dyDescent="0.2">
      <c r="A4026" s="257">
        <v>4036</v>
      </c>
      <c r="B4026" s="44">
        <v>44679</v>
      </c>
      <c r="C4026" s="44">
        <f t="shared" si="191"/>
        <v>44679</v>
      </c>
      <c r="D4026" s="374">
        <v>63</v>
      </c>
      <c r="E4026" s="291" t="str">
        <f>IFERROR(VLOOKUP($D4026,'Clients-Live'!$A:$C,3,0),"")</f>
        <v>AWURU KADARA</v>
      </c>
      <c r="F4026" s="291">
        <f>IFERROR(INDEX(Disbursements!$D:$D,MATCH('Live Collections'!G4026,Disbursements!$C:$C,0)),"")</f>
        <v>3</v>
      </c>
      <c r="G4026" s="34">
        <v>375</v>
      </c>
      <c r="H4026" s="34">
        <v>5786</v>
      </c>
      <c r="I4026" s="34" t="s">
        <v>1357</v>
      </c>
      <c r="J4026" s="48"/>
      <c r="K4026" s="48"/>
      <c r="L4026" s="48"/>
      <c r="M4026" s="48"/>
      <c r="N4026" s="59"/>
      <c r="O4026" s="59">
        <v>50000</v>
      </c>
      <c r="P4026" s="59"/>
      <c r="Q4026" s="268">
        <f t="shared" si="192"/>
        <v>50000</v>
      </c>
      <c r="R4026" s="61">
        <f>IF(O4026=0,0,SUMIFS(Disbursements!$T:$T,Disbursements!$B:$B,'Live Collections'!D4026,Disbursements!$D:$D,'Live Collections'!F4026))</f>
        <v>175000</v>
      </c>
      <c r="S4026" s="304"/>
      <c r="T4026" s="304">
        <f t="shared" si="193"/>
        <v>50000</v>
      </c>
      <c r="U4026" s="52"/>
      <c r="V4026" s="34"/>
      <c r="W4026" s="408"/>
    </row>
    <row r="4027" spans="1:23" ht="12.75" customHeight="1" x14ac:dyDescent="0.2">
      <c r="A4027" s="257">
        <v>4037</v>
      </c>
      <c r="B4027" s="44">
        <v>44679</v>
      </c>
      <c r="C4027" s="44">
        <f t="shared" si="191"/>
        <v>44679</v>
      </c>
      <c r="D4027" s="374">
        <v>55</v>
      </c>
      <c r="E4027" s="291" t="str">
        <f>IFERROR(VLOOKUP($D4027,'Clients-Live'!$A:$C,3,0),"")</f>
        <v>SOKOLA SHARON</v>
      </c>
      <c r="F4027" s="291">
        <f>IFERROR(INDEX(Disbursements!$D:$D,MATCH('Live Collections'!G4027,Disbursements!$C:$C,0)),"")</f>
        <v>2</v>
      </c>
      <c r="G4027" s="34">
        <v>288</v>
      </c>
      <c r="H4027" s="34">
        <v>5794</v>
      </c>
      <c r="I4027" s="34" t="s">
        <v>1359</v>
      </c>
      <c r="J4027" s="48"/>
      <c r="K4027" s="48"/>
      <c r="L4027" s="48"/>
      <c r="M4027" s="48"/>
      <c r="N4027" s="59"/>
      <c r="O4027" s="59">
        <v>10000</v>
      </c>
      <c r="P4027" s="59"/>
      <c r="Q4027" s="268">
        <f t="shared" si="192"/>
        <v>10000</v>
      </c>
      <c r="R4027" s="61">
        <f>IF(O4027=0,0,SUMIFS(Disbursements!$T:$T,Disbursements!$B:$B,'Live Collections'!D4027,Disbursements!$D:$D,'Live Collections'!F4027))</f>
        <v>210000</v>
      </c>
      <c r="S4027" s="304"/>
      <c r="T4027" s="304">
        <f t="shared" si="193"/>
        <v>10000</v>
      </c>
      <c r="U4027" s="52"/>
      <c r="V4027" s="34"/>
      <c r="W4027" s="408"/>
    </row>
    <row r="4028" spans="1:23" ht="12.75" customHeight="1" x14ac:dyDescent="0.2">
      <c r="A4028" s="257">
        <v>4038</v>
      </c>
      <c r="B4028" s="44">
        <v>44679</v>
      </c>
      <c r="C4028" s="44">
        <f t="shared" si="191"/>
        <v>44679</v>
      </c>
      <c r="D4028" s="374">
        <v>340</v>
      </c>
      <c r="E4028" s="291" t="str">
        <f>IFERROR(VLOOKUP($D4028,'Clients-Live'!$A:$C,3,0),"")</f>
        <v>NIGHT RAIMA</v>
      </c>
      <c r="F4028" s="291">
        <f>IFERROR(INDEX(Disbursements!$D:$D,MATCH('Live Collections'!G4028,Disbursements!$C:$C,0)),"")</f>
        <v>1</v>
      </c>
      <c r="G4028" s="34">
        <v>481</v>
      </c>
      <c r="H4028" s="34">
        <v>5792</v>
      </c>
      <c r="I4028" s="34" t="s">
        <v>1358</v>
      </c>
      <c r="J4028" s="48"/>
      <c r="K4028" s="48"/>
      <c r="L4028" s="48"/>
      <c r="M4028" s="48"/>
      <c r="N4028" s="59"/>
      <c r="O4028" s="59">
        <v>40000</v>
      </c>
      <c r="P4028" s="59"/>
      <c r="Q4028" s="268">
        <f t="shared" si="192"/>
        <v>40000</v>
      </c>
      <c r="R4028" s="61">
        <f>IF(O4028=0,0,SUMIFS(Disbursements!$T:$T,Disbursements!$B:$B,'Live Collections'!D4028,Disbursements!$D:$D,'Live Collections'!F4028))</f>
        <v>40000</v>
      </c>
      <c r="S4028" s="304">
        <f>IF(O4028&lt;=IF($O4028=0,0,SUMIFS(Disbursements!$W:$W,Disbursements!$B:$B,'Live Collections'!D4028,Disbursements!$D:$D,'Live Collections'!F4028)),O4028,IF($O4028=0,0,SUMIFS(Disbursements!$W:$W,Disbursements!$B:$B,'Live Collections'!D4028,Disbursements!$D:$D,'Live Collections'!F4028)))</f>
        <v>10000</v>
      </c>
      <c r="T4028" s="304">
        <f t="shared" si="193"/>
        <v>30000</v>
      </c>
      <c r="U4028" s="52"/>
      <c r="V4028" s="34"/>
      <c r="W4028" s="408"/>
    </row>
    <row r="4029" spans="1:23" ht="12.75" customHeight="1" x14ac:dyDescent="0.2">
      <c r="A4029" s="257">
        <v>4039</v>
      </c>
      <c r="B4029" s="44">
        <v>44679</v>
      </c>
      <c r="C4029" s="44">
        <f t="shared" si="191"/>
        <v>44679</v>
      </c>
      <c r="D4029" s="374">
        <v>74</v>
      </c>
      <c r="E4029" s="291" t="str">
        <f>IFERROR(VLOOKUP($D4029,'Clients-Live'!$A:$C,3,0),"")</f>
        <v>YUKUWE AISHA</v>
      </c>
      <c r="F4029" s="291">
        <f>IFERROR(INDEX(Disbursements!$D:$D,MATCH('Live Collections'!G4029,Disbursements!$C:$C,0)),"")</f>
        <v>3</v>
      </c>
      <c r="G4029" s="34">
        <v>447</v>
      </c>
      <c r="H4029" s="34">
        <v>5984</v>
      </c>
      <c r="I4029" s="34" t="s">
        <v>1358</v>
      </c>
      <c r="J4029" s="48"/>
      <c r="K4029" s="48"/>
      <c r="L4029" s="48"/>
      <c r="M4029" s="48"/>
      <c r="N4029" s="59"/>
      <c r="O4029" s="59">
        <v>16000</v>
      </c>
      <c r="P4029" s="59"/>
      <c r="Q4029" s="268">
        <f t="shared" si="192"/>
        <v>16000</v>
      </c>
      <c r="R4029" s="61">
        <f>IF(O4029=0,0,SUMIFS(Disbursements!$T:$T,Disbursements!$B:$B,'Live Collections'!D4029,Disbursements!$D:$D,'Live Collections'!F4029))</f>
        <v>16000</v>
      </c>
      <c r="S4029" s="304">
        <f>IF(O4029&lt;=IF($O4029=0,0,SUMIFS(Disbursements!$W:$W,Disbursements!$B:$B,'Live Collections'!D4029,Disbursements!$D:$D,'Live Collections'!F4029)),O4029,IF($O4029=0,0,SUMIFS(Disbursements!$W:$W,Disbursements!$B:$B,'Live Collections'!D4029,Disbursements!$D:$D,'Live Collections'!F4029)))</f>
        <v>3500</v>
      </c>
      <c r="T4029" s="304">
        <f t="shared" si="193"/>
        <v>12500</v>
      </c>
      <c r="U4029" s="52"/>
      <c r="V4029" s="34"/>
      <c r="W4029" s="408"/>
    </row>
    <row r="4030" spans="1:23" ht="12.75" customHeight="1" x14ac:dyDescent="0.2">
      <c r="A4030" s="257">
        <v>4040</v>
      </c>
      <c r="B4030" s="44">
        <v>44679</v>
      </c>
      <c r="C4030" s="44">
        <f t="shared" si="191"/>
        <v>44679</v>
      </c>
      <c r="D4030" s="374">
        <v>287</v>
      </c>
      <c r="E4030" s="291" t="str">
        <f>IFERROR(VLOOKUP($D4030,'Clients-Live'!$A:$C,3,0),"")</f>
        <v>FAITH JOSEPHINE</v>
      </c>
      <c r="F4030" s="291">
        <f>IFERROR(INDEX(Disbursements!$D:$D,MATCH('Live Collections'!G4030,Disbursements!$C:$C,0)),"")</f>
        <v>2</v>
      </c>
      <c r="G4030" s="34">
        <v>522</v>
      </c>
      <c r="H4030" s="34">
        <v>5778</v>
      </c>
      <c r="I4030" s="34" t="s">
        <v>1359</v>
      </c>
      <c r="J4030" s="48"/>
      <c r="K4030" s="48"/>
      <c r="L4030" s="48"/>
      <c r="M4030" s="48"/>
      <c r="N4030" s="59"/>
      <c r="O4030" s="59"/>
      <c r="P4030" s="59">
        <v>60000</v>
      </c>
      <c r="Q4030" s="268">
        <f t="shared" si="192"/>
        <v>60000</v>
      </c>
      <c r="R4030" s="61">
        <f>IF(O4030=0,0,SUMIFS(Disbursements!$T:$T,Disbursements!$B:$B,'Live Collections'!D4030,Disbursements!$D:$D,'Live Collections'!F4030))</f>
        <v>0</v>
      </c>
      <c r="S4030" s="304">
        <f>IF(O4030&lt;=IF($O4030=0,0,SUMIFS(Disbursements!$W:$W,Disbursements!$B:$B,'Live Collections'!D4030,Disbursements!$D:$D,'Live Collections'!F4030)),O4030,IF($O4030=0,0,SUMIFS(Disbursements!$W:$W,Disbursements!$B:$B,'Live Collections'!D4030,Disbursements!$D:$D,'Live Collections'!F4030)))</f>
        <v>0</v>
      </c>
      <c r="T4030" s="304">
        <f t="shared" si="193"/>
        <v>0</v>
      </c>
      <c r="U4030" s="52"/>
      <c r="V4030" s="34"/>
      <c r="W4030" s="408"/>
    </row>
    <row r="4031" spans="1:23" ht="12.75" customHeight="1" x14ac:dyDescent="0.2">
      <c r="A4031" s="257">
        <v>4041</v>
      </c>
      <c r="B4031" s="44">
        <v>44679</v>
      </c>
      <c r="C4031" s="44">
        <f t="shared" si="191"/>
        <v>44679</v>
      </c>
      <c r="D4031" s="374">
        <v>200</v>
      </c>
      <c r="E4031" s="291" t="str">
        <f>IFERROR(VLOOKUP($D4031,'Clients-Live'!$A:$C,3,0),"")</f>
        <v>SERIYA FLORENCE</v>
      </c>
      <c r="F4031" s="291">
        <f>IFERROR(INDEX(Disbursements!$D:$D,MATCH('Live Collections'!G4031,Disbursements!$C:$C,0)),"")</f>
        <v>3</v>
      </c>
      <c r="G4031" s="34">
        <v>518</v>
      </c>
      <c r="H4031" s="34">
        <v>5773</v>
      </c>
      <c r="I4031" s="34" t="s">
        <v>1359</v>
      </c>
      <c r="J4031" s="48"/>
      <c r="K4031" s="48"/>
      <c r="L4031" s="48"/>
      <c r="M4031" s="48"/>
      <c r="N4031" s="59"/>
      <c r="O4031" s="59"/>
      <c r="P4031" s="59">
        <v>60000</v>
      </c>
      <c r="Q4031" s="268">
        <f t="shared" si="192"/>
        <v>60000</v>
      </c>
      <c r="R4031" s="61">
        <f>IF(O4031=0,0,SUMIFS(Disbursements!$T:$T,Disbursements!$B:$B,'Live Collections'!D4031,Disbursements!$D:$D,'Live Collections'!F4031))</f>
        <v>0</v>
      </c>
      <c r="S4031" s="304">
        <f>IF(O4031&lt;=IF($O4031=0,0,SUMIFS(Disbursements!$W:$W,Disbursements!$B:$B,'Live Collections'!D4031,Disbursements!$D:$D,'Live Collections'!F4031)),O4031,IF($O4031=0,0,SUMIFS(Disbursements!$W:$W,Disbursements!$B:$B,'Live Collections'!D4031,Disbursements!$D:$D,'Live Collections'!F4031)))</f>
        <v>0</v>
      </c>
      <c r="T4031" s="304">
        <f t="shared" si="193"/>
        <v>0</v>
      </c>
      <c r="U4031" s="52"/>
      <c r="V4031" s="34"/>
      <c r="W4031" s="408"/>
    </row>
    <row r="4032" spans="1:23" ht="12.75" customHeight="1" x14ac:dyDescent="0.2">
      <c r="A4032" s="257">
        <v>4042</v>
      </c>
      <c r="B4032" s="44">
        <v>44679</v>
      </c>
      <c r="C4032" s="44">
        <f t="shared" ref="C4032:C4095" si="194">B4032</f>
        <v>44679</v>
      </c>
      <c r="D4032" s="374">
        <v>65</v>
      </c>
      <c r="E4032" s="291" t="str">
        <f>IFERROR(VLOOKUP($D4032,'Clients-Live'!$A:$C,3,0),"")</f>
        <v>NDAWULA GERALD</v>
      </c>
      <c r="F4032" s="291">
        <f>IFERROR(INDEX(Disbursements!$D:$D,MATCH('Live Collections'!G4032,Disbursements!$C:$C,0)),"")</f>
        <v>1</v>
      </c>
      <c r="G4032" s="34">
        <v>47</v>
      </c>
      <c r="H4032" s="34">
        <v>5985</v>
      </c>
      <c r="I4032" s="34" t="s">
        <v>1359</v>
      </c>
      <c r="J4032" s="48"/>
      <c r="K4032" s="48"/>
      <c r="L4032" s="48"/>
      <c r="M4032" s="48"/>
      <c r="N4032" s="59"/>
      <c r="O4032" s="59">
        <v>50000</v>
      </c>
      <c r="P4032" s="59"/>
      <c r="Q4032" s="268">
        <f t="shared" si="192"/>
        <v>50000</v>
      </c>
      <c r="R4032" s="61">
        <f>IF(O4032=0,0,SUMIFS(Disbursements!$T:$T,Disbursements!$B:$B,'Live Collections'!D4032,Disbursements!$D:$D,'Live Collections'!F4032))</f>
        <v>217000</v>
      </c>
      <c r="S4032" s="304"/>
      <c r="T4032" s="304">
        <f t="shared" si="193"/>
        <v>50000</v>
      </c>
      <c r="U4032" s="52"/>
      <c r="V4032" s="34"/>
      <c r="W4032" s="408"/>
    </row>
    <row r="4033" spans="1:23" ht="12.75" customHeight="1" x14ac:dyDescent="0.2">
      <c r="A4033" s="257">
        <v>4043</v>
      </c>
      <c r="B4033" s="44">
        <v>44679</v>
      </c>
      <c r="C4033" s="44">
        <f t="shared" si="194"/>
        <v>44679</v>
      </c>
      <c r="D4033" s="374">
        <v>159</v>
      </c>
      <c r="E4033" s="291" t="str">
        <f>IFERROR(VLOOKUP($D4033,'Clients-Live'!$A:$C,3,0),"")</f>
        <v>ALICE AMINA</v>
      </c>
      <c r="F4033" s="291">
        <f>IFERROR(INDEX(Disbursements!$D:$D,MATCH('Live Collections'!G4033,Disbursements!$C:$C,0)),"")</f>
        <v>1</v>
      </c>
      <c r="G4033" s="34">
        <v>150</v>
      </c>
      <c r="H4033" s="34" t="s">
        <v>2384</v>
      </c>
      <c r="I4033" s="34" t="s">
        <v>1358</v>
      </c>
      <c r="J4033" s="48"/>
      <c r="K4033" s="48"/>
      <c r="L4033" s="48"/>
      <c r="M4033" s="48"/>
      <c r="N4033" s="59"/>
      <c r="O4033" s="59">
        <v>80000</v>
      </c>
      <c r="P4033" s="59">
        <v>-80000</v>
      </c>
      <c r="Q4033" s="268">
        <f t="shared" si="192"/>
        <v>0</v>
      </c>
      <c r="R4033" s="61">
        <f>IF(O4033=0,0,SUMIFS(Disbursements!$T:$T,Disbursements!$B:$B,'Live Collections'!D4033,Disbursements!$D:$D,'Live Collections'!F4033))</f>
        <v>150000</v>
      </c>
      <c r="S4033" s="304"/>
      <c r="T4033" s="304">
        <f t="shared" si="193"/>
        <v>80000</v>
      </c>
      <c r="U4033" s="52"/>
      <c r="V4033" s="34"/>
      <c r="W4033" s="408"/>
    </row>
    <row r="4034" spans="1:23" ht="12.75" customHeight="1" x14ac:dyDescent="0.2">
      <c r="A4034" s="257">
        <v>4044</v>
      </c>
      <c r="B4034" s="44">
        <v>44679</v>
      </c>
      <c r="C4034" s="44">
        <f t="shared" si="194"/>
        <v>44679</v>
      </c>
      <c r="D4034" s="374">
        <v>160</v>
      </c>
      <c r="E4034" s="291" t="str">
        <f>IFERROR(VLOOKUP($D4034,'Clients-Live'!$A:$C,3,0),"")</f>
        <v>CHANDI ZANABU</v>
      </c>
      <c r="F4034" s="291">
        <f>IFERROR(INDEX(Disbursements!$D:$D,MATCH('Live Collections'!G4034,Disbursements!$C:$C,0)),"")</f>
        <v>3</v>
      </c>
      <c r="G4034" s="34">
        <v>519</v>
      </c>
      <c r="H4034" s="34">
        <v>5780</v>
      </c>
      <c r="I4034" s="34" t="s">
        <v>1358</v>
      </c>
      <c r="J4034" s="48"/>
      <c r="K4034" s="48"/>
      <c r="L4034" s="48"/>
      <c r="M4034" s="48"/>
      <c r="N4034" s="59"/>
      <c r="O4034" s="59"/>
      <c r="P4034" s="59">
        <v>50000</v>
      </c>
      <c r="Q4034" s="268">
        <f t="shared" si="192"/>
        <v>50000</v>
      </c>
      <c r="R4034" s="61">
        <f>IF(O4034=0,0,SUMIFS(Disbursements!$T:$T,Disbursements!$B:$B,'Live Collections'!D4034,Disbursements!$D:$D,'Live Collections'!F4034))</f>
        <v>0</v>
      </c>
      <c r="S4034" s="304">
        <f>IF(O4034&lt;=IF($O4034=0,0,SUMIFS(Disbursements!$W:$W,Disbursements!$B:$B,'Live Collections'!D4034,Disbursements!$D:$D,'Live Collections'!F4034)),O4034,IF($O4034=0,0,SUMIFS(Disbursements!$W:$W,Disbursements!$B:$B,'Live Collections'!D4034,Disbursements!$D:$D,'Live Collections'!F4034)))</f>
        <v>0</v>
      </c>
      <c r="T4034" s="304">
        <f t="shared" si="193"/>
        <v>0</v>
      </c>
      <c r="U4034" s="52"/>
      <c r="V4034" s="34"/>
      <c r="W4034" s="408"/>
    </row>
    <row r="4035" spans="1:23" ht="12.75" customHeight="1" x14ac:dyDescent="0.2">
      <c r="A4035" s="257">
        <v>4045</v>
      </c>
      <c r="B4035" s="44">
        <v>44679</v>
      </c>
      <c r="C4035" s="44">
        <f t="shared" si="194"/>
        <v>44679</v>
      </c>
      <c r="D4035" s="374">
        <v>159</v>
      </c>
      <c r="E4035" s="291" t="str">
        <f>IFERROR(VLOOKUP($D4035,'Clients-Live'!$A:$C,3,0),"")</f>
        <v>ALICE AMINA</v>
      </c>
      <c r="F4035" s="291">
        <f>IFERROR(INDEX(Disbursements!$D:$D,MATCH('Live Collections'!G4035,Disbursements!$C:$C,0)),"")</f>
        <v>1</v>
      </c>
      <c r="G4035" s="34">
        <v>150</v>
      </c>
      <c r="H4035" s="34">
        <v>5784</v>
      </c>
      <c r="I4035" s="34" t="s">
        <v>1358</v>
      </c>
      <c r="J4035" s="48"/>
      <c r="K4035" s="48"/>
      <c r="L4035" s="48"/>
      <c r="M4035" s="48"/>
      <c r="N4035" s="59"/>
      <c r="O4035" s="59">
        <v>65000</v>
      </c>
      <c r="P4035" s="59"/>
      <c r="Q4035" s="268">
        <f t="shared" si="192"/>
        <v>65000</v>
      </c>
      <c r="R4035" s="61">
        <f>IF(O4035=0,0,SUMIFS(Disbursements!$T:$T,Disbursements!$B:$B,'Live Collections'!D4035,Disbursements!$D:$D,'Live Collections'!F4035))</f>
        <v>150000</v>
      </c>
      <c r="S4035" s="304"/>
      <c r="T4035" s="304">
        <f t="shared" si="193"/>
        <v>65000</v>
      </c>
      <c r="U4035" s="52"/>
      <c r="V4035" s="34"/>
      <c r="W4035" s="408"/>
    </row>
    <row r="4036" spans="1:23" ht="12.75" customHeight="1" x14ac:dyDescent="0.2">
      <c r="A4036" s="257">
        <v>4046</v>
      </c>
      <c r="B4036" s="44">
        <v>44679</v>
      </c>
      <c r="C4036" s="44">
        <f t="shared" si="194"/>
        <v>44679</v>
      </c>
      <c r="D4036" s="374">
        <v>198</v>
      </c>
      <c r="E4036" s="291" t="str">
        <f>IFERROR(VLOOKUP($D4036,'Clients-Live'!$A:$C,3,0),"")</f>
        <v>ETOLE BIAJO</v>
      </c>
      <c r="F4036" s="291">
        <f>IFERROR(INDEX(Disbursements!$D:$D,MATCH('Live Collections'!G4036,Disbursements!$C:$C,0)),"")</f>
        <v>1</v>
      </c>
      <c r="G4036" s="34">
        <v>191</v>
      </c>
      <c r="H4036" s="34" t="s">
        <v>2385</v>
      </c>
      <c r="I4036" s="34" t="s">
        <v>1358</v>
      </c>
      <c r="J4036" s="48"/>
      <c r="K4036" s="48"/>
      <c r="L4036" s="48"/>
      <c r="M4036" s="48"/>
      <c r="N4036" s="59"/>
      <c r="O4036" s="59">
        <v>50000</v>
      </c>
      <c r="P4036" s="59">
        <v>-50000</v>
      </c>
      <c r="Q4036" s="268">
        <f t="shared" si="192"/>
        <v>0</v>
      </c>
      <c r="R4036" s="61">
        <f>IF(O4036=0,0,SUMIFS(Disbursements!$T:$T,Disbursements!$B:$B,'Live Collections'!D4036,Disbursements!$D:$D,'Live Collections'!F4036))</f>
        <v>150000</v>
      </c>
      <c r="S4036" s="304"/>
      <c r="T4036" s="304">
        <f t="shared" si="193"/>
        <v>50000</v>
      </c>
      <c r="U4036" s="52"/>
      <c r="V4036" s="34"/>
      <c r="W4036" s="408"/>
    </row>
    <row r="4037" spans="1:23" ht="12.75" customHeight="1" x14ac:dyDescent="0.2">
      <c r="A4037" s="257">
        <v>4047</v>
      </c>
      <c r="B4037" s="44">
        <v>44679</v>
      </c>
      <c r="C4037" s="44">
        <f t="shared" si="194"/>
        <v>44679</v>
      </c>
      <c r="D4037" s="374">
        <v>198</v>
      </c>
      <c r="E4037" s="291" t="str">
        <f>IFERROR(VLOOKUP($D4037,'Clients-Live'!$A:$C,3,0),"")</f>
        <v>ETOLE BIAJO</v>
      </c>
      <c r="F4037" s="291">
        <f>IFERROR(INDEX(Disbursements!$D:$D,MATCH('Live Collections'!G4037,Disbursements!$C:$C,0)),"")</f>
        <v>1</v>
      </c>
      <c r="G4037" s="34">
        <v>191</v>
      </c>
      <c r="H4037" s="34">
        <v>5787</v>
      </c>
      <c r="I4037" s="34" t="s">
        <v>1358</v>
      </c>
      <c r="J4037" s="48"/>
      <c r="K4037" s="48"/>
      <c r="L4037" s="48"/>
      <c r="M4037" s="48"/>
      <c r="N4037" s="59"/>
      <c r="O4037" s="59">
        <v>50000</v>
      </c>
      <c r="P4037" s="59"/>
      <c r="Q4037" s="268">
        <f t="shared" si="192"/>
        <v>50000</v>
      </c>
      <c r="R4037" s="61">
        <f>IF(O4037=0,0,SUMIFS(Disbursements!$T:$T,Disbursements!$B:$B,'Live Collections'!D4037,Disbursements!$D:$D,'Live Collections'!F4037))</f>
        <v>150000</v>
      </c>
      <c r="S4037" s="304"/>
      <c r="T4037" s="304">
        <f t="shared" si="193"/>
        <v>50000</v>
      </c>
      <c r="U4037" s="52"/>
      <c r="V4037" s="34"/>
      <c r="W4037" s="408"/>
    </row>
    <row r="4038" spans="1:23" ht="12.75" customHeight="1" x14ac:dyDescent="0.2">
      <c r="A4038" s="257">
        <v>4048</v>
      </c>
      <c r="B4038" s="44">
        <v>44679</v>
      </c>
      <c r="C4038" s="44">
        <f t="shared" si="194"/>
        <v>44679</v>
      </c>
      <c r="D4038" s="374">
        <v>198</v>
      </c>
      <c r="E4038" s="291" t="str">
        <f>IFERROR(VLOOKUP($D4038,'Clients-Live'!$A:$C,3,0),"")</f>
        <v>ETOLE BIAJO</v>
      </c>
      <c r="F4038" s="291" t="str">
        <f>IFERROR(INDEX(Disbursements!$D:$D,MATCH('Live Collections'!G4038,Disbursements!$C:$C,0)),"")</f>
        <v/>
      </c>
      <c r="G4038" s="34"/>
      <c r="H4038" s="34">
        <v>5790</v>
      </c>
      <c r="I4038" s="34" t="s">
        <v>1358</v>
      </c>
      <c r="J4038" s="48"/>
      <c r="K4038" s="48"/>
      <c r="L4038" s="48"/>
      <c r="M4038" s="48"/>
      <c r="N4038" s="59">
        <v>30000</v>
      </c>
      <c r="O4038" s="59"/>
      <c r="P4038" s="59"/>
      <c r="Q4038" s="268">
        <f t="shared" si="192"/>
        <v>30000</v>
      </c>
      <c r="R4038" s="61">
        <f>IF(O4038=0,0,SUMIFS(Disbursements!$T:$T,Disbursements!$B:$B,'Live Collections'!D4038,Disbursements!$D:$D,'Live Collections'!F4038))</f>
        <v>0</v>
      </c>
      <c r="S4038" s="304">
        <f>IF(O4038&lt;=IF($O4038=0,0,SUMIFS(Disbursements!$W:$W,Disbursements!$B:$B,'Live Collections'!D4038,Disbursements!$D:$D,'Live Collections'!F4038)),O4038,IF($O4038=0,0,SUMIFS(Disbursements!$W:$W,Disbursements!$B:$B,'Live Collections'!D4038,Disbursements!$D:$D,'Live Collections'!F4038)))</f>
        <v>0</v>
      </c>
      <c r="T4038" s="304">
        <f t="shared" si="193"/>
        <v>0</v>
      </c>
      <c r="U4038" s="52"/>
      <c r="V4038" s="34"/>
      <c r="W4038" s="408"/>
    </row>
    <row r="4039" spans="1:23" ht="12.75" customHeight="1" x14ac:dyDescent="0.2">
      <c r="A4039" s="257">
        <v>4049</v>
      </c>
      <c r="B4039" s="44">
        <v>44679</v>
      </c>
      <c r="C4039" s="44">
        <f t="shared" si="194"/>
        <v>44679</v>
      </c>
      <c r="D4039" s="374">
        <v>321</v>
      </c>
      <c r="E4039" s="291" t="str">
        <f>IFERROR(VLOOKUP($D4039,'Clients-Live'!$A:$C,3,0),"")</f>
        <v>ANDERU MONICA</v>
      </c>
      <c r="F4039" s="291">
        <f>IFERROR(INDEX(Disbursements!$D:$D,MATCH('Live Collections'!G4039,Disbursements!$C:$C,0)),"")</f>
        <v>2</v>
      </c>
      <c r="G4039" s="34">
        <v>521</v>
      </c>
      <c r="H4039" s="34">
        <v>5782</v>
      </c>
      <c r="I4039" s="34" t="s">
        <v>1358</v>
      </c>
      <c r="J4039" s="48"/>
      <c r="K4039" s="48"/>
      <c r="L4039" s="48"/>
      <c r="M4039" s="48"/>
      <c r="N4039" s="59"/>
      <c r="O4039" s="59"/>
      <c r="P4039" s="59">
        <v>100000</v>
      </c>
      <c r="Q4039" s="268">
        <f t="shared" si="192"/>
        <v>100000</v>
      </c>
      <c r="R4039" s="61">
        <f>IF(O4039=0,0,SUMIFS(Disbursements!$T:$T,Disbursements!$B:$B,'Live Collections'!D4039,Disbursements!$D:$D,'Live Collections'!F4039))</f>
        <v>0</v>
      </c>
      <c r="S4039" s="304">
        <f>IF(O4039&lt;=IF($O4039=0,0,SUMIFS(Disbursements!$W:$W,Disbursements!$B:$B,'Live Collections'!D4039,Disbursements!$D:$D,'Live Collections'!F4039)),O4039,IF($O4039=0,0,SUMIFS(Disbursements!$W:$W,Disbursements!$B:$B,'Live Collections'!D4039,Disbursements!$D:$D,'Live Collections'!F4039)))</f>
        <v>0</v>
      </c>
      <c r="T4039" s="304">
        <f t="shared" si="193"/>
        <v>0</v>
      </c>
      <c r="U4039" s="52"/>
      <c r="V4039" s="34"/>
      <c r="W4039" s="408"/>
    </row>
    <row r="4040" spans="1:23" ht="12.75" customHeight="1" x14ac:dyDescent="0.2">
      <c r="A4040" s="257">
        <v>4050</v>
      </c>
      <c r="B4040" s="44">
        <v>44679</v>
      </c>
      <c r="C4040" s="44">
        <f t="shared" si="194"/>
        <v>44679</v>
      </c>
      <c r="D4040" s="374">
        <v>288</v>
      </c>
      <c r="E4040" s="291" t="str">
        <f>IFERROR(VLOOKUP($D4040,'Clients-Live'!$A:$C,3,0),"")</f>
        <v>MITU LAWRENCE</v>
      </c>
      <c r="F4040" s="291">
        <f>IFERROR(INDEX(Disbursements!$D:$D,MATCH('Live Collections'!G4040,Disbursements!$C:$C,0)),"")</f>
        <v>1</v>
      </c>
      <c r="G4040" s="34">
        <v>347</v>
      </c>
      <c r="H4040" s="34">
        <v>5785</v>
      </c>
      <c r="I4040" s="34" t="s">
        <v>1359</v>
      </c>
      <c r="J4040" s="48"/>
      <c r="K4040" s="48"/>
      <c r="L4040" s="48"/>
      <c r="M4040" s="48"/>
      <c r="N4040" s="59"/>
      <c r="O4040" s="59">
        <v>150000</v>
      </c>
      <c r="P4040" s="59"/>
      <c r="Q4040" s="268">
        <f t="shared" si="192"/>
        <v>150000</v>
      </c>
      <c r="R4040" s="61">
        <f>IF(O4040=0,0,SUMIFS(Disbursements!$T:$T,Disbursements!$B:$B,'Live Collections'!D4040,Disbursements!$D:$D,'Live Collections'!F4040))</f>
        <v>304000</v>
      </c>
      <c r="S4040" s="304">
        <f>IF(O4040&lt;=IF($O4040=0,0,SUMIFS(Disbursements!$W:$W,Disbursements!$B:$B,'Live Collections'!D4040,Disbursements!$D:$D,'Live Collections'!F4040)),O4040,IF($O4040=0,0,SUMIFS(Disbursements!$W:$W,Disbursements!$B:$B,'Live Collections'!D4040,Disbursements!$D:$D,'Live Collections'!F4040)))</f>
        <v>70666.666666666657</v>
      </c>
      <c r="T4040" s="304">
        <f t="shared" si="193"/>
        <v>79333.333333333343</v>
      </c>
      <c r="U4040" s="52"/>
      <c r="V4040" s="34"/>
      <c r="W4040" s="408"/>
    </row>
    <row r="4041" spans="1:23" ht="12.75" customHeight="1" x14ac:dyDescent="0.2">
      <c r="A4041" s="257">
        <v>4051</v>
      </c>
      <c r="B4041" s="44">
        <v>44679</v>
      </c>
      <c r="C4041" s="44">
        <f t="shared" si="194"/>
        <v>44679</v>
      </c>
      <c r="D4041" s="374">
        <v>358</v>
      </c>
      <c r="E4041" s="291" t="str">
        <f>IFERROR(VLOOKUP($D4041,'Clients-Live'!$A:$C,3,0),"")</f>
        <v>JUMBA BEN DADA</v>
      </c>
      <c r="F4041" s="291" t="str">
        <f>IFERROR(INDEX(Disbursements!$D:$D,MATCH('Live Collections'!G4041,Disbursements!$C:$C,0)),"")</f>
        <v/>
      </c>
      <c r="G4041" s="34"/>
      <c r="H4041" s="34">
        <v>5806</v>
      </c>
      <c r="I4041" s="34" t="s">
        <v>1760</v>
      </c>
      <c r="J4041" s="48">
        <v>15000</v>
      </c>
      <c r="K4041" s="48">
        <v>5000</v>
      </c>
      <c r="L4041" s="48"/>
      <c r="M4041" s="48"/>
      <c r="N4041" s="59"/>
      <c r="O4041" s="59"/>
      <c r="P4041" s="59"/>
      <c r="Q4041" s="268">
        <f t="shared" si="192"/>
        <v>20000</v>
      </c>
      <c r="R4041" s="61">
        <f>IF(O4041=0,0,SUMIFS(Disbursements!$T:$T,Disbursements!$B:$B,'Live Collections'!D4041,Disbursements!$D:$D,'Live Collections'!F4041))</f>
        <v>0</v>
      </c>
      <c r="S4041" s="304">
        <f>IF(O4041&lt;=IF($O4041=0,0,SUMIFS(Disbursements!$W:$W,Disbursements!$B:$B,'Live Collections'!D4041,Disbursements!$D:$D,'Live Collections'!F4041)),O4041,IF($O4041=0,0,SUMIFS(Disbursements!$W:$W,Disbursements!$B:$B,'Live Collections'!D4041,Disbursements!$D:$D,'Live Collections'!F4041)))</f>
        <v>0</v>
      </c>
      <c r="T4041" s="304">
        <f t="shared" si="193"/>
        <v>0</v>
      </c>
      <c r="U4041" s="52"/>
      <c r="V4041" s="34"/>
      <c r="W4041" s="408"/>
    </row>
    <row r="4042" spans="1:23" ht="12.75" customHeight="1" x14ac:dyDescent="0.2">
      <c r="A4042" s="257">
        <v>4052</v>
      </c>
      <c r="B4042" s="44">
        <v>44679</v>
      </c>
      <c r="C4042" s="44">
        <f t="shared" si="194"/>
        <v>44679</v>
      </c>
      <c r="D4042" s="374">
        <v>157</v>
      </c>
      <c r="E4042" s="291" t="str">
        <f>IFERROR(VLOOKUP($D4042,'Clients-Live'!$A:$C,3,0),"")</f>
        <v>AYITE MARGERT</v>
      </c>
      <c r="F4042" s="291">
        <f>IFERROR(INDEX(Disbursements!$D:$D,MATCH('Live Collections'!G4042,Disbursements!$C:$C,0)),"")</f>
        <v>3</v>
      </c>
      <c r="G4042" s="34">
        <v>520</v>
      </c>
      <c r="H4042" s="34">
        <v>5777</v>
      </c>
      <c r="I4042" s="34" t="s">
        <v>1357</v>
      </c>
      <c r="J4042" s="48"/>
      <c r="K4042" s="48"/>
      <c r="L4042" s="48"/>
      <c r="M4042" s="48"/>
      <c r="N4042" s="59"/>
      <c r="O4042" s="59"/>
      <c r="P4042" s="59">
        <v>70000</v>
      </c>
      <c r="Q4042" s="268">
        <f t="shared" si="192"/>
        <v>70000</v>
      </c>
      <c r="R4042" s="61">
        <f>IF(O4042=0,0,SUMIFS(Disbursements!$T:$T,Disbursements!$B:$B,'Live Collections'!D4042,Disbursements!$D:$D,'Live Collections'!F4042))</f>
        <v>0</v>
      </c>
      <c r="S4042" s="304">
        <f>IF(O4042&lt;=IF($O4042=0,0,SUMIFS(Disbursements!$W:$W,Disbursements!$B:$B,'Live Collections'!D4042,Disbursements!$D:$D,'Live Collections'!F4042)),O4042,IF($O4042=0,0,SUMIFS(Disbursements!$W:$W,Disbursements!$B:$B,'Live Collections'!D4042,Disbursements!$D:$D,'Live Collections'!F4042)))</f>
        <v>0</v>
      </c>
      <c r="T4042" s="304">
        <f t="shared" si="193"/>
        <v>0</v>
      </c>
      <c r="U4042" s="52"/>
      <c r="V4042" s="34"/>
      <c r="W4042" s="408"/>
    </row>
    <row r="4043" spans="1:23" ht="12.75" customHeight="1" x14ac:dyDescent="0.2">
      <c r="A4043" s="257">
        <v>4053</v>
      </c>
      <c r="B4043" s="44">
        <v>44679</v>
      </c>
      <c r="C4043" s="44">
        <f t="shared" si="194"/>
        <v>44679</v>
      </c>
      <c r="D4043" s="374">
        <v>157</v>
      </c>
      <c r="E4043" s="291" t="str">
        <f>IFERROR(VLOOKUP($D4043,'Clients-Live'!$A:$C,3,0),"")</f>
        <v>AYITE MARGERT</v>
      </c>
      <c r="F4043" s="291" t="str">
        <f>IFERROR(INDEX(Disbursements!$D:$D,MATCH('Live Collections'!G4043,Disbursements!$C:$C,0)),"")</f>
        <v/>
      </c>
      <c r="G4043" s="34"/>
      <c r="H4043" s="34">
        <v>5775</v>
      </c>
      <c r="I4043" s="34" t="s">
        <v>1357</v>
      </c>
      <c r="J4043" s="48"/>
      <c r="K4043" s="48"/>
      <c r="L4043" s="48">
        <v>20000</v>
      </c>
      <c r="M4043" s="48">
        <v>5000</v>
      </c>
      <c r="N4043" s="59"/>
      <c r="O4043" s="59"/>
      <c r="P4043" s="59"/>
      <c r="Q4043" s="268">
        <f t="shared" si="192"/>
        <v>25000</v>
      </c>
      <c r="R4043" s="61">
        <f>IF(O4043=0,0,SUMIFS(Disbursements!$T:$T,Disbursements!$B:$B,'Live Collections'!D4043,Disbursements!$D:$D,'Live Collections'!F4043))</f>
        <v>0</v>
      </c>
      <c r="S4043" s="304">
        <f>IF(O4043&lt;=IF($O4043=0,0,SUMIFS(Disbursements!$W:$W,Disbursements!$B:$B,'Live Collections'!D4043,Disbursements!$D:$D,'Live Collections'!F4043)),O4043,IF($O4043=0,0,SUMIFS(Disbursements!$W:$W,Disbursements!$B:$B,'Live Collections'!D4043,Disbursements!$D:$D,'Live Collections'!F4043)))</f>
        <v>0</v>
      </c>
      <c r="T4043" s="304">
        <f t="shared" si="193"/>
        <v>0</v>
      </c>
      <c r="U4043" s="52"/>
      <c r="V4043" s="34"/>
      <c r="W4043" s="408"/>
    </row>
    <row r="4044" spans="1:23" ht="12.75" customHeight="1" x14ac:dyDescent="0.2">
      <c r="A4044" s="257">
        <v>4054</v>
      </c>
      <c r="B4044" s="44">
        <v>44679</v>
      </c>
      <c r="C4044" s="44">
        <f t="shared" si="194"/>
        <v>44679</v>
      </c>
      <c r="D4044" s="374">
        <v>54</v>
      </c>
      <c r="E4044" s="291" t="str">
        <f>IFERROR(VLOOKUP($D4044,'Clients-Live'!$A:$C,3,0),"")</f>
        <v>MANENO ANIFA</v>
      </c>
      <c r="F4044" s="291">
        <f>IFERROR(INDEX(Disbursements!$D:$D,MATCH('Live Collections'!G4044,Disbursements!$C:$C,0)),"")</f>
        <v>2</v>
      </c>
      <c r="G4044" s="34">
        <v>195</v>
      </c>
      <c r="H4044" s="34">
        <v>5982</v>
      </c>
      <c r="I4044" s="34" t="s">
        <v>1357</v>
      </c>
      <c r="J4044" s="48"/>
      <c r="K4044" s="48"/>
      <c r="L4044" s="48"/>
      <c r="M4044" s="48"/>
      <c r="N4044" s="59"/>
      <c r="O4044" s="59">
        <v>20000</v>
      </c>
      <c r="P4044" s="59"/>
      <c r="Q4044" s="268">
        <f t="shared" si="192"/>
        <v>20000</v>
      </c>
      <c r="R4044" s="61">
        <f>IF(O4044=0,0,SUMIFS(Disbursements!$T:$T,Disbursements!$B:$B,'Live Collections'!D4044,Disbursements!$D:$D,'Live Collections'!F4044))</f>
        <v>200000</v>
      </c>
      <c r="S4044" s="304">
        <f>IF(O4044&lt;=IF($O4044=0,0,SUMIFS(Disbursements!$W:$W,Disbursements!$B:$B,'Live Collections'!D4044,Disbursements!$D:$D,'Live Collections'!F4044)),O4044,IF($O4044=0,0,SUMIFS(Disbursements!$W:$W,Disbursements!$B:$B,'Live Collections'!D4044,Disbursements!$D:$D,'Live Collections'!F4044)))</f>
        <v>20000</v>
      </c>
      <c r="T4044" s="304">
        <f t="shared" si="193"/>
        <v>0</v>
      </c>
      <c r="U4044" s="52"/>
      <c r="V4044" s="34"/>
      <c r="W4044" s="408"/>
    </row>
    <row r="4045" spans="1:23" ht="12.75" customHeight="1" x14ac:dyDescent="0.2">
      <c r="A4045" s="257">
        <v>4055</v>
      </c>
      <c r="B4045" s="44">
        <v>44679</v>
      </c>
      <c r="C4045" s="44">
        <f t="shared" si="194"/>
        <v>44679</v>
      </c>
      <c r="D4045" s="374">
        <v>85</v>
      </c>
      <c r="E4045" s="291" t="str">
        <f>IFERROR(VLOOKUP($D4045,'Clients-Live'!$A:$C,3,0),"")</f>
        <v>CEASER SWALEH</v>
      </c>
      <c r="F4045" s="291">
        <f>IFERROR(INDEX(Disbursements!$D:$D,MATCH('Live Collections'!G4045,Disbursements!$C:$C,0)),"")</f>
        <v>3</v>
      </c>
      <c r="G4045" s="34">
        <v>413</v>
      </c>
      <c r="H4045" s="34">
        <v>5805</v>
      </c>
      <c r="I4045" s="34" t="s">
        <v>1357</v>
      </c>
      <c r="J4045" s="48"/>
      <c r="K4045" s="48"/>
      <c r="L4045" s="48"/>
      <c r="M4045" s="48"/>
      <c r="N4045" s="59"/>
      <c r="O4045" s="59">
        <v>100000</v>
      </c>
      <c r="P4045" s="59"/>
      <c r="Q4045" s="268">
        <f t="shared" si="192"/>
        <v>100000</v>
      </c>
      <c r="R4045" s="61">
        <f>IF(O4045=0,0,SUMIFS(Disbursements!$T:$T,Disbursements!$B:$B,'Live Collections'!D4045,Disbursements!$D:$D,'Live Collections'!F4045))</f>
        <v>788000</v>
      </c>
      <c r="S4045" s="304"/>
      <c r="T4045" s="304">
        <f t="shared" si="193"/>
        <v>100000</v>
      </c>
      <c r="U4045" s="52"/>
      <c r="V4045" s="34"/>
      <c r="W4045" s="408"/>
    </row>
    <row r="4046" spans="1:23" ht="12.75" customHeight="1" x14ac:dyDescent="0.2">
      <c r="A4046" s="257">
        <v>4056</v>
      </c>
      <c r="B4046" s="44">
        <v>44679</v>
      </c>
      <c r="C4046" s="44">
        <f t="shared" si="194"/>
        <v>44679</v>
      </c>
      <c r="D4046" s="374">
        <v>221</v>
      </c>
      <c r="E4046" s="291" t="str">
        <f>IFERROR(VLOOKUP($D4046,'Clients-Live'!$A:$C,3,0),"")</f>
        <v>NAMUDDU MARY</v>
      </c>
      <c r="F4046" s="291">
        <f>IFERROR(INDEX(Disbursements!$D:$D,MATCH('Live Collections'!G4046,Disbursements!$C:$C,0)),"")</f>
        <v>2</v>
      </c>
      <c r="G4046" s="34">
        <v>407</v>
      </c>
      <c r="H4046" s="34">
        <v>5772</v>
      </c>
      <c r="I4046" s="34" t="s">
        <v>1359</v>
      </c>
      <c r="J4046" s="48"/>
      <c r="K4046" s="48"/>
      <c r="L4046" s="48"/>
      <c r="M4046" s="48"/>
      <c r="N4046" s="59"/>
      <c r="O4046" s="59">
        <v>200000</v>
      </c>
      <c r="P4046" s="59"/>
      <c r="Q4046" s="268">
        <f t="shared" si="192"/>
        <v>200000</v>
      </c>
      <c r="R4046" s="61">
        <f>IF(O4046=0,0,SUMIFS(Disbursements!$T:$T,Disbursements!$B:$B,'Live Collections'!D4046,Disbursements!$D:$D,'Live Collections'!F4046))</f>
        <v>79000</v>
      </c>
      <c r="S4046" s="304">
        <f>IF(O4046&lt;=IF($O4046=0,0,SUMIFS(Disbursements!$W:$W,Disbursements!$B:$B,'Live Collections'!D4046,Disbursements!$D:$D,'Live Collections'!F4046)),O4046,IF($O4046=0,0,SUMIFS(Disbursements!$W:$W,Disbursements!$B:$B,'Live Collections'!D4046,Disbursements!$D:$D,'Live Collections'!F4046)))</f>
        <v>16500</v>
      </c>
      <c r="T4046" s="304">
        <f t="shared" si="193"/>
        <v>183500</v>
      </c>
      <c r="U4046" s="52"/>
      <c r="V4046" s="34"/>
      <c r="W4046" s="408"/>
    </row>
    <row r="4047" spans="1:23" ht="12.75" customHeight="1" x14ac:dyDescent="0.2">
      <c r="A4047" s="257">
        <v>4057</v>
      </c>
      <c r="B4047" s="44">
        <v>44679</v>
      </c>
      <c r="C4047" s="44">
        <f t="shared" si="194"/>
        <v>44679</v>
      </c>
      <c r="D4047" s="374">
        <v>264</v>
      </c>
      <c r="E4047" s="291" t="str">
        <f>IFERROR(VLOOKUP($D4047,'Clients-Live'!$A:$C,3,0),"")</f>
        <v>AMORI JOHN BAPTIST</v>
      </c>
      <c r="F4047" s="291">
        <f>IFERROR(INDEX(Disbursements!$D:$D,MATCH('Live Collections'!G4047,Disbursements!$C:$C,0)),"")</f>
        <v>1</v>
      </c>
      <c r="G4047" s="34">
        <v>298</v>
      </c>
      <c r="H4047" s="34" t="s">
        <v>2386</v>
      </c>
      <c r="I4047" s="34" t="s">
        <v>1359</v>
      </c>
      <c r="J4047" s="48"/>
      <c r="K4047" s="48"/>
      <c r="L4047" s="48"/>
      <c r="M4047" s="48"/>
      <c r="N4047" s="59"/>
      <c r="O4047" s="59">
        <v>500000</v>
      </c>
      <c r="P4047" s="59">
        <v>-500000</v>
      </c>
      <c r="Q4047" s="268">
        <f t="shared" si="192"/>
        <v>0</v>
      </c>
      <c r="R4047" s="61">
        <f>IF(O4047=0,0,SUMIFS(Disbursements!$T:$T,Disbursements!$B:$B,'Live Collections'!D4047,Disbursements!$D:$D,'Live Collections'!F4047))</f>
        <v>1084000</v>
      </c>
      <c r="S4047" s="304">
        <f>IF(O4047&lt;=IF($O4047=0,0,SUMIFS(Disbursements!$W:$W,Disbursements!$B:$B,'Live Collections'!D4047,Disbursements!$D:$D,'Live Collections'!F4047)),O4047,IF($O4047=0,0,SUMIFS(Disbursements!$W:$W,Disbursements!$B:$B,'Live Collections'!D4047,Disbursements!$D:$D,'Live Collections'!F4047)))</f>
        <v>250666.66666666663</v>
      </c>
      <c r="T4047" s="304">
        <f t="shared" si="193"/>
        <v>249333.33333333337</v>
      </c>
      <c r="U4047" s="52"/>
      <c r="V4047" s="34"/>
      <c r="W4047" s="408"/>
    </row>
    <row r="4048" spans="1:23" ht="12.75" customHeight="1" x14ac:dyDescent="0.2">
      <c r="A4048" s="257">
        <v>4058</v>
      </c>
      <c r="B4048" s="44">
        <v>44679</v>
      </c>
      <c r="C4048" s="44">
        <f t="shared" si="194"/>
        <v>44679</v>
      </c>
      <c r="D4048" s="374">
        <v>264</v>
      </c>
      <c r="E4048" s="291" t="str">
        <f>IFERROR(VLOOKUP($D4048,'Clients-Live'!$A:$C,3,0),"")</f>
        <v>AMORI JOHN BAPTIST</v>
      </c>
      <c r="F4048" s="291">
        <f>IFERROR(INDEX(Disbursements!$D:$D,MATCH('Live Collections'!G4048,Disbursements!$C:$C,0)),"")</f>
        <v>1</v>
      </c>
      <c r="G4048" s="34">
        <v>298</v>
      </c>
      <c r="H4048" s="34">
        <v>5770</v>
      </c>
      <c r="I4048" s="34" t="s">
        <v>1359</v>
      </c>
      <c r="J4048" s="48"/>
      <c r="K4048" s="48"/>
      <c r="L4048" s="48"/>
      <c r="M4048" s="48"/>
      <c r="N4048" s="59"/>
      <c r="O4048" s="59">
        <v>1545600</v>
      </c>
      <c r="P4048" s="59"/>
      <c r="Q4048" s="268">
        <f t="shared" si="192"/>
        <v>1545600</v>
      </c>
      <c r="R4048" s="61">
        <f>IF(O4048=0,0,SUMIFS(Disbursements!$T:$T,Disbursements!$B:$B,'Live Collections'!D4048,Disbursements!$D:$D,'Live Collections'!F4048))</f>
        <v>1084000</v>
      </c>
      <c r="S4048" s="304">
        <v>721999.99999999977</v>
      </c>
      <c r="T4048" s="304">
        <v>823600</v>
      </c>
      <c r="U4048" s="52"/>
      <c r="V4048" s="34"/>
      <c r="W4048" s="408"/>
    </row>
    <row r="4049" spans="1:23" ht="12.75" customHeight="1" x14ac:dyDescent="0.2">
      <c r="A4049" s="257">
        <v>4059</v>
      </c>
      <c r="B4049" s="44">
        <v>44680</v>
      </c>
      <c r="C4049" s="44">
        <f t="shared" si="194"/>
        <v>44680</v>
      </c>
      <c r="D4049" s="374">
        <v>65</v>
      </c>
      <c r="E4049" s="291" t="str">
        <f>IFERROR(VLOOKUP($D4049,'Clients-Live'!$A:$C,3,0),"")</f>
        <v>NDAWULA GERALD</v>
      </c>
      <c r="F4049" s="291">
        <f>IFERROR(INDEX(Disbursements!$D:$D,MATCH('Live Collections'!G4049,Disbursements!$C:$C,0)),"")</f>
        <v>1</v>
      </c>
      <c r="G4049" s="34">
        <v>47</v>
      </c>
      <c r="H4049" s="34" t="s">
        <v>2388</v>
      </c>
      <c r="I4049" s="34" t="s">
        <v>1359</v>
      </c>
      <c r="J4049" s="48"/>
      <c r="K4049" s="48"/>
      <c r="L4049" s="48"/>
      <c r="M4049" s="48"/>
      <c r="N4049" s="59"/>
      <c r="O4049" s="59">
        <v>100000</v>
      </c>
      <c r="P4049" s="59">
        <v>-100000</v>
      </c>
      <c r="Q4049" s="268">
        <f t="shared" si="192"/>
        <v>0</v>
      </c>
      <c r="R4049" s="61">
        <f>IF(O4049=0,0,SUMIFS(Disbursements!$T:$T,Disbursements!$B:$B,'Live Collections'!D4049,Disbursements!$D:$D,'Live Collections'!F4049))</f>
        <v>217000</v>
      </c>
      <c r="S4049" s="304"/>
      <c r="T4049" s="304">
        <f t="shared" si="193"/>
        <v>100000</v>
      </c>
      <c r="U4049" s="52"/>
      <c r="V4049" s="34"/>
      <c r="W4049" s="408"/>
    </row>
    <row r="4050" spans="1:23" ht="12.75" customHeight="1" x14ac:dyDescent="0.2">
      <c r="A4050" s="257">
        <v>4060</v>
      </c>
      <c r="B4050" s="44">
        <v>44680</v>
      </c>
      <c r="C4050" s="44">
        <f t="shared" si="194"/>
        <v>44680</v>
      </c>
      <c r="D4050" s="374">
        <v>65</v>
      </c>
      <c r="E4050" s="291" t="str">
        <f>IFERROR(VLOOKUP($D4050,'Clients-Live'!$A:$C,3,0),"")</f>
        <v>NDAWULA GERALD</v>
      </c>
      <c r="F4050" s="291">
        <f>IFERROR(INDEX(Disbursements!$D:$D,MATCH('Live Collections'!G4050,Disbursements!$C:$C,0)),"")</f>
        <v>1</v>
      </c>
      <c r="G4050" s="34">
        <v>47</v>
      </c>
      <c r="H4050" s="34">
        <v>5807</v>
      </c>
      <c r="I4050" s="34" t="s">
        <v>1359</v>
      </c>
      <c r="J4050" s="48"/>
      <c r="K4050" s="48"/>
      <c r="L4050" s="48"/>
      <c r="M4050" s="48"/>
      <c r="N4050" s="59"/>
      <c r="O4050" s="59">
        <v>2000</v>
      </c>
      <c r="P4050" s="59"/>
      <c r="Q4050" s="268">
        <f t="shared" si="192"/>
        <v>2000</v>
      </c>
      <c r="R4050" s="61">
        <f>IF(O4050=0,0,SUMIFS(Disbursements!$T:$T,Disbursements!$B:$B,'Live Collections'!D4050,Disbursements!$D:$D,'Live Collections'!F4050))</f>
        <v>217000</v>
      </c>
      <c r="S4050" s="304"/>
      <c r="T4050" s="304">
        <f t="shared" si="193"/>
        <v>2000</v>
      </c>
      <c r="U4050" s="52"/>
      <c r="V4050" s="34"/>
      <c r="W4050" s="408"/>
    </row>
    <row r="4051" spans="1:23" ht="12.75" customHeight="1" x14ac:dyDescent="0.2">
      <c r="A4051" s="257">
        <v>4061</v>
      </c>
      <c r="B4051" s="44">
        <v>44680</v>
      </c>
      <c r="C4051" s="44">
        <f t="shared" si="194"/>
        <v>44680</v>
      </c>
      <c r="D4051" s="374">
        <v>304</v>
      </c>
      <c r="E4051" s="291" t="str">
        <f>IFERROR(VLOOKUP($D4051,'Clients-Live'!$A:$C,3,0),"")</f>
        <v>ATAKO GLORIA</v>
      </c>
      <c r="F4051" s="291">
        <f>IFERROR(INDEX(Disbursements!$D:$D,MATCH('Live Collections'!G4051,Disbursements!$C:$C,0)),"")</f>
        <v>1</v>
      </c>
      <c r="G4051" s="34">
        <v>398</v>
      </c>
      <c r="H4051" s="34">
        <v>5808</v>
      </c>
      <c r="I4051" s="34" t="s">
        <v>1357</v>
      </c>
      <c r="J4051" s="48"/>
      <c r="K4051" s="48"/>
      <c r="L4051" s="48"/>
      <c r="M4051" s="48"/>
      <c r="N4051" s="59"/>
      <c r="O4051" s="59">
        <v>60000</v>
      </c>
      <c r="P4051" s="59"/>
      <c r="Q4051" s="268">
        <f t="shared" si="192"/>
        <v>60000</v>
      </c>
      <c r="R4051" s="61">
        <f>IF(O4051=0,0,SUMIFS(Disbursements!$T:$T,Disbursements!$B:$B,'Live Collections'!D4051,Disbursements!$D:$D,'Live Collections'!F4051))</f>
        <v>32000</v>
      </c>
      <c r="S4051" s="304"/>
      <c r="T4051" s="304">
        <f t="shared" si="193"/>
        <v>60000</v>
      </c>
      <c r="U4051" s="52"/>
      <c r="V4051" s="34"/>
      <c r="W4051" s="408"/>
    </row>
    <row r="4052" spans="1:23" ht="12.75" customHeight="1" x14ac:dyDescent="0.2">
      <c r="A4052" s="257">
        <v>4062</v>
      </c>
      <c r="B4052" s="44">
        <v>44680</v>
      </c>
      <c r="C4052" s="44">
        <f t="shared" si="194"/>
        <v>44680</v>
      </c>
      <c r="D4052" s="374">
        <v>108</v>
      </c>
      <c r="E4052" s="291" t="str">
        <f>IFERROR(VLOOKUP($D4052,'Clients-Live'!$A:$C,3,0),"")</f>
        <v>DUDU JOICE</v>
      </c>
      <c r="F4052" s="291">
        <f>IFERROR(INDEX(Disbursements!$D:$D,MATCH('Live Collections'!G4052,Disbursements!$C:$C,0)),"")</f>
        <v>2</v>
      </c>
      <c r="G4052" s="34">
        <v>314</v>
      </c>
      <c r="H4052" s="34">
        <v>5925</v>
      </c>
      <c r="I4052" s="34" t="s">
        <v>1359</v>
      </c>
      <c r="J4052" s="48"/>
      <c r="K4052" s="48"/>
      <c r="L4052" s="48"/>
      <c r="M4052" s="48"/>
      <c r="N4052" s="59"/>
      <c r="O4052" s="59">
        <v>50000</v>
      </c>
      <c r="P4052" s="59"/>
      <c r="Q4052" s="268">
        <f t="shared" si="192"/>
        <v>50000</v>
      </c>
      <c r="R4052" s="61">
        <f>IF(O4052=0,0,SUMIFS(Disbursements!$T:$T,Disbursements!$B:$B,'Live Collections'!D4052,Disbursements!$D:$D,'Live Collections'!F4052))</f>
        <v>250000</v>
      </c>
      <c r="S4052" s="304">
        <f>IF(O4052&lt;=IF($O4052=0,0,SUMIFS(Disbursements!$W:$W,Disbursements!$B:$B,'Live Collections'!D4052,Disbursements!$D:$D,'Live Collections'!F4052)),O4052,IF($O4052=0,0,SUMIFS(Disbursements!$W:$W,Disbursements!$B:$B,'Live Collections'!D4052,Disbursements!$D:$D,'Live Collections'!F4052)))</f>
        <v>50000</v>
      </c>
      <c r="T4052" s="304">
        <f t="shared" si="193"/>
        <v>0</v>
      </c>
      <c r="U4052" s="52"/>
      <c r="V4052" s="34"/>
      <c r="W4052" s="408"/>
    </row>
    <row r="4053" spans="1:23" ht="12.75" customHeight="1" x14ac:dyDescent="0.2">
      <c r="A4053" s="257">
        <v>4063</v>
      </c>
      <c r="B4053" s="44">
        <v>44680</v>
      </c>
      <c r="C4053" s="44">
        <f t="shared" si="194"/>
        <v>44680</v>
      </c>
      <c r="D4053" s="374">
        <v>73</v>
      </c>
      <c r="E4053" s="291" t="str">
        <f>IFERROR(VLOOKUP($D4053,'Clients-Live'!$A:$C,3,0),"")</f>
        <v>AJONYE DEBORA</v>
      </c>
      <c r="F4053" s="291">
        <f>IFERROR(INDEX(Disbursements!$D:$D,MATCH('Live Collections'!G4053,Disbursements!$C:$C,0)),"")</f>
        <v>3</v>
      </c>
      <c r="G4053" s="34">
        <v>426</v>
      </c>
      <c r="H4053" s="34">
        <v>5986</v>
      </c>
      <c r="I4053" s="34" t="s">
        <v>1357</v>
      </c>
      <c r="J4053" s="48"/>
      <c r="K4053" s="48"/>
      <c r="L4053" s="48"/>
      <c r="M4053" s="48"/>
      <c r="N4053" s="59"/>
      <c r="O4053" s="59">
        <v>53000</v>
      </c>
      <c r="P4053" s="59"/>
      <c r="Q4053" s="268">
        <f t="shared" si="192"/>
        <v>53000</v>
      </c>
      <c r="R4053" s="61">
        <f>IF(O4053=0,0,SUMIFS(Disbursements!$T:$T,Disbursements!$B:$B,'Live Collections'!D4053,Disbursements!$D:$D,'Live Collections'!F4053))</f>
        <v>53000</v>
      </c>
      <c r="S4053" s="304">
        <f>IF(O4053&lt;=IF($O4053=0,0,SUMIFS(Disbursements!$W:$W,Disbursements!$B:$B,'Live Collections'!D4053,Disbursements!$D:$D,'Live Collections'!F4053)),O4053,IF($O4053=0,0,SUMIFS(Disbursements!$W:$W,Disbursements!$B:$B,'Live Collections'!D4053,Disbursements!$D:$D,'Live Collections'!F4053)))</f>
        <v>13000</v>
      </c>
      <c r="T4053" s="304">
        <f t="shared" si="193"/>
        <v>40000</v>
      </c>
      <c r="U4053" s="52"/>
      <c r="V4053" s="34"/>
      <c r="W4053" s="408"/>
    </row>
    <row r="4054" spans="1:23" ht="12.75" customHeight="1" x14ac:dyDescent="0.2">
      <c r="A4054" s="257">
        <v>4064</v>
      </c>
      <c r="B4054" s="44">
        <v>44680</v>
      </c>
      <c r="C4054" s="44">
        <f t="shared" si="194"/>
        <v>44680</v>
      </c>
      <c r="D4054" s="374">
        <v>86</v>
      </c>
      <c r="E4054" s="291" t="str">
        <f>IFERROR(VLOOKUP($D4054,'Clients-Live'!$A:$C,3,0),"")</f>
        <v>AMANIYO JOYCE</v>
      </c>
      <c r="F4054" s="291">
        <f>IFERROR(INDEX(Disbursements!$D:$D,MATCH('Live Collections'!G4054,Disbursements!$C:$C,0)),"")</f>
        <v>1</v>
      </c>
      <c r="G4054" s="34">
        <v>73</v>
      </c>
      <c r="H4054" s="34">
        <v>5798</v>
      </c>
      <c r="I4054" s="34" t="s">
        <v>1358</v>
      </c>
      <c r="J4054" s="48"/>
      <c r="K4054" s="48"/>
      <c r="L4054" s="48"/>
      <c r="M4054" s="48"/>
      <c r="N4054" s="59"/>
      <c r="O4054" s="59">
        <v>10000</v>
      </c>
      <c r="P4054" s="59"/>
      <c r="Q4054" s="268">
        <f t="shared" si="192"/>
        <v>10000</v>
      </c>
      <c r="R4054" s="61">
        <f>IF(O4054=0,0,SUMIFS(Disbursements!$T:$T,Disbursements!$B:$B,'Live Collections'!D4054,Disbursements!$D:$D,'Live Collections'!F4054))</f>
        <v>150000</v>
      </c>
      <c r="S4054" s="304"/>
      <c r="T4054" s="304">
        <f t="shared" si="193"/>
        <v>10000</v>
      </c>
      <c r="U4054" s="52"/>
      <c r="V4054" s="34"/>
      <c r="W4054" s="408"/>
    </row>
    <row r="4055" spans="1:23" ht="12.75" customHeight="1" x14ac:dyDescent="0.2">
      <c r="A4055" s="257">
        <v>4065</v>
      </c>
      <c r="B4055" s="44">
        <v>44680</v>
      </c>
      <c r="C4055" s="44">
        <f t="shared" si="194"/>
        <v>44680</v>
      </c>
      <c r="D4055" s="374">
        <v>134</v>
      </c>
      <c r="E4055" s="291" t="str">
        <f>IFERROR(VLOOKUP($D4055,'Clients-Live'!$A:$C,3,0),"")</f>
        <v>TABU NATALIYA</v>
      </c>
      <c r="F4055" s="291">
        <f>IFERROR(INDEX(Disbursements!$D:$D,MATCH('Live Collections'!G4055,Disbursements!$C:$C,0)),"")</f>
        <v>2</v>
      </c>
      <c r="G4055" s="34">
        <v>324</v>
      </c>
      <c r="H4055" s="34">
        <v>5797</v>
      </c>
      <c r="I4055" s="34" t="s">
        <v>1359</v>
      </c>
      <c r="J4055" s="48"/>
      <c r="K4055" s="48"/>
      <c r="L4055" s="48"/>
      <c r="M4055" s="48"/>
      <c r="N4055" s="59"/>
      <c r="O4055" s="59">
        <v>30000</v>
      </c>
      <c r="P4055" s="59"/>
      <c r="Q4055" s="268">
        <f t="shared" si="192"/>
        <v>30000</v>
      </c>
      <c r="R4055" s="61">
        <f>IF(O4055=0,0,SUMIFS(Disbursements!$T:$T,Disbursements!$B:$B,'Live Collections'!D4055,Disbursements!$D:$D,'Live Collections'!F4055))</f>
        <v>120000</v>
      </c>
      <c r="S4055" s="304"/>
      <c r="T4055" s="304">
        <f t="shared" si="193"/>
        <v>30000</v>
      </c>
      <c r="U4055" s="52"/>
      <c r="V4055" s="34"/>
      <c r="W4055" s="408"/>
    </row>
    <row r="4056" spans="1:23" ht="12.75" customHeight="1" x14ac:dyDescent="0.2">
      <c r="A4056" s="257">
        <v>4066</v>
      </c>
      <c r="B4056" s="44">
        <v>44680</v>
      </c>
      <c r="C4056" s="44">
        <f t="shared" si="194"/>
        <v>44680</v>
      </c>
      <c r="D4056" s="374">
        <v>217</v>
      </c>
      <c r="E4056" s="291" t="str">
        <f>IFERROR(VLOOKUP($D4056,'Clients-Live'!$A:$C,3,0),"")</f>
        <v>JAMBA MOSES</v>
      </c>
      <c r="F4056" s="291">
        <f>IFERROR(INDEX(Disbursements!$D:$D,MATCH('Live Collections'!G4056,Disbursements!$C:$C,0)),"")</f>
        <v>3</v>
      </c>
      <c r="G4056" s="34">
        <v>468</v>
      </c>
      <c r="H4056" s="34">
        <v>5795</v>
      </c>
      <c r="I4056" s="34" t="s">
        <v>1357</v>
      </c>
      <c r="J4056" s="48"/>
      <c r="K4056" s="48"/>
      <c r="L4056" s="48"/>
      <c r="M4056" s="48"/>
      <c r="N4056" s="59"/>
      <c r="O4056" s="59">
        <v>85000</v>
      </c>
      <c r="P4056" s="59"/>
      <c r="Q4056" s="268">
        <f t="shared" si="192"/>
        <v>85000</v>
      </c>
      <c r="R4056" s="61">
        <f>IF(O4056=0,0,SUMIFS(Disbursements!$T:$T,Disbursements!$B:$B,'Live Collections'!D4056,Disbursements!$D:$D,'Live Collections'!F4056))</f>
        <v>85000</v>
      </c>
      <c r="S4056" s="304">
        <f>IF(O4056&lt;=IF($O4056=0,0,SUMIFS(Disbursements!$W:$W,Disbursements!$B:$B,'Live Collections'!D4056,Disbursements!$D:$D,'Live Collections'!F4056)),O4056,IF($O4056=0,0,SUMIFS(Disbursements!$W:$W,Disbursements!$B:$B,'Live Collections'!D4056,Disbursements!$D:$D,'Live Collections'!F4056)))</f>
        <v>10000</v>
      </c>
      <c r="T4056" s="304">
        <f t="shared" si="193"/>
        <v>75000</v>
      </c>
      <c r="U4056" s="52"/>
      <c r="V4056" s="34"/>
      <c r="W4056" s="408"/>
    </row>
    <row r="4057" spans="1:23" ht="12.75" customHeight="1" x14ac:dyDescent="0.2">
      <c r="A4057" s="257">
        <v>4067</v>
      </c>
      <c r="B4057" s="44">
        <v>44680</v>
      </c>
      <c r="C4057" s="44">
        <f t="shared" si="194"/>
        <v>44680</v>
      </c>
      <c r="D4057" s="374">
        <v>128</v>
      </c>
      <c r="E4057" s="291" t="str">
        <f>IFERROR(VLOOKUP($D4057,'Clients-Live'!$A:$C,3,0),"")</f>
        <v>AJONYE BETTY</v>
      </c>
      <c r="F4057" s="291">
        <f>IFERROR(INDEX(Disbursements!$D:$D,MATCH('Live Collections'!G4057,Disbursements!$C:$C,0)),"")</f>
        <v>3</v>
      </c>
      <c r="G4057" s="34">
        <v>463</v>
      </c>
      <c r="H4057" s="34">
        <v>5796</v>
      </c>
      <c r="I4057" s="34" t="s">
        <v>1359</v>
      </c>
      <c r="J4057" s="48"/>
      <c r="K4057" s="48"/>
      <c r="L4057" s="48"/>
      <c r="M4057" s="48"/>
      <c r="N4057" s="59"/>
      <c r="O4057" s="59">
        <v>25000</v>
      </c>
      <c r="P4057" s="59"/>
      <c r="Q4057" s="268">
        <f t="shared" si="192"/>
        <v>25000</v>
      </c>
      <c r="R4057" s="61">
        <f>IF(O4057=0,0,SUMIFS(Disbursements!$T:$T,Disbursements!$B:$B,'Live Collections'!D4057,Disbursements!$D:$D,'Live Collections'!F4057))</f>
        <v>25000</v>
      </c>
      <c r="S4057" s="304">
        <f>IF(O4057&lt;=IF($O4057=0,0,SUMIFS(Disbursements!$W:$W,Disbursements!$B:$B,'Live Collections'!D4057,Disbursements!$D:$D,'Live Collections'!F4057)),O4057,IF($O4057=0,0,SUMIFS(Disbursements!$W:$W,Disbursements!$B:$B,'Live Collections'!D4057,Disbursements!$D:$D,'Live Collections'!F4057)))</f>
        <v>4166.6666666666679</v>
      </c>
      <c r="T4057" s="304">
        <f t="shared" si="193"/>
        <v>20833.333333333332</v>
      </c>
      <c r="U4057" s="52"/>
      <c r="V4057" s="34"/>
      <c r="W4057" s="408"/>
    </row>
    <row r="4058" spans="1:23" ht="12.75" customHeight="1" x14ac:dyDescent="0.2">
      <c r="A4058" s="257">
        <v>4068</v>
      </c>
      <c r="B4058" s="44">
        <v>44681</v>
      </c>
      <c r="C4058" s="44">
        <f t="shared" si="194"/>
        <v>44681</v>
      </c>
      <c r="D4058" s="374">
        <v>86</v>
      </c>
      <c r="E4058" s="291" t="str">
        <f>IFERROR(VLOOKUP($D4058,'Clients-Live'!$A:$C,3,0),"")</f>
        <v>AMANIYO JOYCE</v>
      </c>
      <c r="F4058" s="291" t="str">
        <f>IFERROR(INDEX(Disbursements!$D:$D,MATCH('Live Collections'!G4058,Disbursements!$C:$C,0)),"")</f>
        <v/>
      </c>
      <c r="G4058" s="34"/>
      <c r="H4058" s="34"/>
      <c r="I4058" s="34" t="s">
        <v>1358</v>
      </c>
      <c r="J4058" s="48"/>
      <c r="K4058" s="48"/>
      <c r="L4058" s="48"/>
      <c r="M4058" s="48"/>
      <c r="N4058" s="59"/>
      <c r="O4058" s="59"/>
      <c r="P4058" s="59"/>
      <c r="Q4058" s="268">
        <f t="shared" si="192"/>
        <v>0</v>
      </c>
      <c r="R4058" s="61">
        <f>IF(O4058=0,0,SUMIFS(Disbursements!$T:$T,Disbursements!$B:$B,'Live Collections'!D4058,Disbursements!$D:$D,'Live Collections'!F4058))</f>
        <v>0</v>
      </c>
      <c r="S4058" s="304"/>
      <c r="T4058" s="304">
        <f t="shared" si="193"/>
        <v>0</v>
      </c>
      <c r="U4058" s="52"/>
      <c r="V4058" s="34"/>
      <c r="W4058" s="408"/>
    </row>
    <row r="4059" spans="1:23" ht="12.75" customHeight="1" x14ac:dyDescent="0.2">
      <c r="A4059" s="257">
        <v>4069</v>
      </c>
      <c r="B4059" s="44">
        <v>44681</v>
      </c>
      <c r="C4059" s="44">
        <f t="shared" si="194"/>
        <v>44681</v>
      </c>
      <c r="D4059" s="374">
        <v>86</v>
      </c>
      <c r="E4059" s="291" t="str">
        <f>IFERROR(VLOOKUP($D4059,'Clients-Live'!$A:$C,3,0),"")</f>
        <v>AMANIYO JOYCE</v>
      </c>
      <c r="F4059" s="291">
        <f>IFERROR(INDEX(Disbursements!$D:$D,MATCH('Live Collections'!G4059,Disbursements!$C:$C,0)),"")</f>
        <v>2</v>
      </c>
      <c r="G4059" s="34">
        <v>231</v>
      </c>
      <c r="H4059" s="34"/>
      <c r="I4059" s="34" t="s">
        <v>1358</v>
      </c>
      <c r="J4059" s="48"/>
      <c r="K4059" s="48"/>
      <c r="L4059" s="48"/>
      <c r="M4059" s="48"/>
      <c r="N4059" s="59"/>
      <c r="O4059" s="59">
        <v>10000</v>
      </c>
      <c r="P4059" s="59">
        <v>-10000</v>
      </c>
      <c r="Q4059" s="268">
        <f t="shared" si="192"/>
        <v>0</v>
      </c>
      <c r="R4059" s="61">
        <f>IF(O4059=0,0,SUMIFS(Disbursements!$T:$T,Disbursements!$B:$B,'Live Collections'!D4059,Disbursements!$D:$D,'Live Collections'!F4059))</f>
        <v>217000</v>
      </c>
      <c r="S4059" s="304"/>
      <c r="T4059" s="304">
        <f t="shared" si="193"/>
        <v>10000</v>
      </c>
      <c r="U4059" s="52"/>
      <c r="V4059" s="34"/>
      <c r="W4059" s="408"/>
    </row>
    <row r="4060" spans="1:23" ht="12.75" customHeight="1" x14ac:dyDescent="0.2">
      <c r="A4060" s="257">
        <v>4070</v>
      </c>
      <c r="B4060" s="44">
        <v>44681</v>
      </c>
      <c r="C4060" s="44">
        <f t="shared" si="194"/>
        <v>44681</v>
      </c>
      <c r="D4060" s="374">
        <v>344</v>
      </c>
      <c r="E4060" s="291" t="str">
        <f>IFERROR(VLOOKUP($D4060,'Clients-Live'!$A:$C,3,0),"")</f>
        <v>ADAM MUSA LEMERIGA</v>
      </c>
      <c r="F4060" s="291">
        <f>IFERROR(INDEX(Disbursements!$D:$D,MATCH('Live Collections'!G4060,Disbursements!$C:$C,0)),"")</f>
        <v>1</v>
      </c>
      <c r="G4060" s="34">
        <v>484</v>
      </c>
      <c r="H4060" s="34">
        <v>5992</v>
      </c>
      <c r="I4060" s="34" t="s">
        <v>1358</v>
      </c>
      <c r="J4060" s="48"/>
      <c r="K4060" s="48"/>
      <c r="L4060" s="48"/>
      <c r="M4060" s="48"/>
      <c r="N4060" s="59"/>
      <c r="O4060" s="59">
        <v>200000</v>
      </c>
      <c r="P4060" s="59"/>
      <c r="Q4060" s="268">
        <f t="shared" si="192"/>
        <v>200000</v>
      </c>
      <c r="R4060" s="61">
        <f>IF(O4060=0,0,SUMIFS(Disbursements!$T:$T,Disbursements!$B:$B,'Live Collections'!D4060,Disbursements!$D:$D,'Live Collections'!F4060))</f>
        <v>315000</v>
      </c>
      <c r="S4060" s="304">
        <f>IF(O4060&lt;=IF($O4060=0,0,SUMIFS(Disbursements!$W:$W,Disbursements!$B:$B,'Live Collections'!D4060,Disbursements!$D:$D,'Live Collections'!F4060)),O4060,IF($O4060=0,0,SUMIFS(Disbursements!$W:$W,Disbursements!$B:$B,'Live Collections'!D4060,Disbursements!$D:$D,'Live Collections'!F4060)))</f>
        <v>65000</v>
      </c>
      <c r="T4060" s="304">
        <f t="shared" si="193"/>
        <v>135000</v>
      </c>
      <c r="U4060" s="52"/>
      <c r="V4060" s="34"/>
      <c r="W4060" s="408"/>
    </row>
    <row r="4061" spans="1:23" ht="12.75" customHeight="1" x14ac:dyDescent="0.2">
      <c r="A4061" s="257">
        <v>4071</v>
      </c>
      <c r="B4061" s="44">
        <v>44681</v>
      </c>
      <c r="C4061" s="44">
        <f t="shared" si="194"/>
        <v>44681</v>
      </c>
      <c r="D4061" s="374">
        <v>235</v>
      </c>
      <c r="E4061" s="291" t="str">
        <f>IFERROR(VLOOKUP($D4061,'Clients-Live'!$A:$C,3,0),"")</f>
        <v>AMULE ISAAC</v>
      </c>
      <c r="F4061" s="291">
        <f>IFERROR(INDEX(Disbursements!$D:$D,MATCH('Live Collections'!G4061,Disbursements!$C:$C,0)),"")</f>
        <v>3</v>
      </c>
      <c r="G4061" s="34">
        <v>478</v>
      </c>
      <c r="H4061" s="34">
        <v>5991</v>
      </c>
      <c r="I4061" s="34" t="s">
        <v>1358</v>
      </c>
      <c r="J4061" s="48"/>
      <c r="K4061" s="48"/>
      <c r="L4061" s="48"/>
      <c r="M4061" s="48"/>
      <c r="N4061" s="59"/>
      <c r="O4061" s="59">
        <v>350000</v>
      </c>
      <c r="P4061" s="59"/>
      <c r="Q4061" s="268">
        <f t="shared" si="192"/>
        <v>350000</v>
      </c>
      <c r="R4061" s="61">
        <f>IF(O4061=0,0,SUMIFS(Disbursements!$T:$T,Disbursements!$B:$B,'Live Collections'!D4061,Disbursements!$D:$D,'Live Collections'!F4061))</f>
        <v>690000</v>
      </c>
      <c r="S4061" s="304">
        <f>IF(O4061&lt;=IF($O4061=0,0,SUMIFS(Disbursements!$W:$W,Disbursements!$B:$B,'Live Collections'!D4061,Disbursements!$D:$D,'Live Collections'!F4061)),O4061,IF($O4061=0,0,SUMIFS(Disbursements!$W:$W,Disbursements!$B:$B,'Live Collections'!D4061,Disbursements!$D:$D,'Live Collections'!F4061)))</f>
        <v>90000</v>
      </c>
      <c r="T4061" s="304">
        <f t="shared" si="193"/>
        <v>260000</v>
      </c>
      <c r="U4061" s="52"/>
      <c r="V4061" s="34"/>
      <c r="W4061" s="408"/>
    </row>
    <row r="4062" spans="1:23" ht="12.75" customHeight="1" x14ac:dyDescent="0.2">
      <c r="A4062" s="257">
        <v>4072</v>
      </c>
      <c r="B4062" s="44">
        <v>44681</v>
      </c>
      <c r="C4062" s="44">
        <f t="shared" si="194"/>
        <v>44681</v>
      </c>
      <c r="D4062" s="374">
        <v>211</v>
      </c>
      <c r="E4062" s="291" t="str">
        <f>IFERROR(VLOOKUP($D4062,'Clients-Live'!$A:$C,3,0),"")</f>
        <v>WILARU JOYCE</v>
      </c>
      <c r="F4062" s="291">
        <f>IFERROR(INDEX(Disbursements!$D:$D,MATCH('Live Collections'!G4062,Disbursements!$C:$C,0)),"")</f>
        <v>2</v>
      </c>
      <c r="G4062" s="34">
        <v>403</v>
      </c>
      <c r="H4062" s="34">
        <v>5990</v>
      </c>
      <c r="I4062" s="34" t="s">
        <v>1358</v>
      </c>
      <c r="J4062" s="48"/>
      <c r="K4062" s="48"/>
      <c r="L4062" s="48"/>
      <c r="M4062" s="48"/>
      <c r="N4062" s="59"/>
      <c r="O4062" s="59">
        <v>100000</v>
      </c>
      <c r="P4062" s="59"/>
      <c r="Q4062" s="268">
        <f t="shared" si="192"/>
        <v>100000</v>
      </c>
      <c r="R4062" s="61">
        <f>IF(O4062=0,0,SUMIFS(Disbursements!$T:$T,Disbursements!$B:$B,'Live Collections'!D4062,Disbursements!$D:$D,'Live Collections'!F4062))</f>
        <v>87000</v>
      </c>
      <c r="S4062" s="304">
        <f>IF(O4062&lt;=IF($O4062=0,0,SUMIFS(Disbursements!$W:$W,Disbursements!$B:$B,'Live Collections'!D4062,Disbursements!$D:$D,'Live Collections'!F4062)),O4062,IF($O4062=0,0,SUMIFS(Disbursements!$W:$W,Disbursements!$B:$B,'Live Collections'!D4062,Disbursements!$D:$D,'Live Collections'!F4062)))</f>
        <v>22000</v>
      </c>
      <c r="T4062" s="304">
        <f t="shared" si="193"/>
        <v>78000</v>
      </c>
      <c r="U4062" s="52"/>
      <c r="V4062" s="34"/>
      <c r="W4062" s="408"/>
    </row>
    <row r="4063" spans="1:23" ht="12.75" customHeight="1" x14ac:dyDescent="0.2">
      <c r="A4063" s="257">
        <v>4073</v>
      </c>
      <c r="B4063" s="44">
        <v>44681</v>
      </c>
      <c r="C4063" s="44">
        <f t="shared" si="194"/>
        <v>44681</v>
      </c>
      <c r="D4063" s="374">
        <v>311</v>
      </c>
      <c r="E4063" s="291" t="str">
        <f>IFERROR(VLOOKUP($D4063,'Clients-Live'!$A:$C,3,0),"")</f>
        <v>PATRICK OKUONZI</v>
      </c>
      <c r="F4063" s="291">
        <f>IFERROR(INDEX(Disbursements!$D:$D,MATCH('Live Collections'!G4063,Disbursements!$C:$C,0)),"")</f>
        <v>3</v>
      </c>
      <c r="G4063" s="34">
        <v>491</v>
      </c>
      <c r="H4063" s="34">
        <v>1564</v>
      </c>
      <c r="I4063" s="34" t="s">
        <v>1358</v>
      </c>
      <c r="J4063" s="48"/>
      <c r="K4063" s="48"/>
      <c r="L4063" s="48"/>
      <c r="M4063" s="48"/>
      <c r="N4063" s="59"/>
      <c r="O4063" s="59"/>
      <c r="P4063" s="59">
        <v>-30000</v>
      </c>
      <c r="Q4063" s="268">
        <f t="shared" si="192"/>
        <v>-30000</v>
      </c>
      <c r="R4063" s="61">
        <f>IF(O4063=0,0,SUMIFS(Disbursements!$T:$T,Disbursements!$B:$B,'Live Collections'!D4063,Disbursements!$D:$D,'Live Collections'!F4063))</f>
        <v>0</v>
      </c>
      <c r="S4063" s="304">
        <f>IF(O4063&lt;=IF($O4063=0,0,SUMIFS(Disbursements!$W:$W,Disbursements!$B:$B,'Live Collections'!D4063,Disbursements!$D:$D,'Live Collections'!F4063)),O4063,IF($O4063=0,0,SUMIFS(Disbursements!$W:$W,Disbursements!$B:$B,'Live Collections'!D4063,Disbursements!$D:$D,'Live Collections'!F4063)))</f>
        <v>0</v>
      </c>
      <c r="T4063" s="304">
        <f t="shared" si="193"/>
        <v>0</v>
      </c>
      <c r="U4063" s="52"/>
      <c r="V4063" s="34"/>
      <c r="W4063" s="408"/>
    </row>
    <row r="4064" spans="1:23" ht="12.75" customHeight="1" x14ac:dyDescent="0.2">
      <c r="A4064" s="257">
        <v>4074</v>
      </c>
      <c r="B4064" s="44">
        <v>44681</v>
      </c>
      <c r="C4064" s="44">
        <f t="shared" si="194"/>
        <v>44681</v>
      </c>
      <c r="D4064" s="374">
        <v>170</v>
      </c>
      <c r="E4064" s="291" t="str">
        <f>IFERROR(VLOOKUP($D4064,'Clients-Live'!$A:$C,3,0),"")</f>
        <v xml:space="preserve">KABEBI RAIMA </v>
      </c>
      <c r="F4064" s="291">
        <f>IFERROR(INDEX(Disbursements!$D:$D,MATCH('Live Collections'!G4064,Disbursements!$C:$C,0)),"")</f>
        <v>2</v>
      </c>
      <c r="G4064" s="34">
        <v>302</v>
      </c>
      <c r="H4064" s="34" t="s">
        <v>2389</v>
      </c>
      <c r="I4064" s="34" t="s">
        <v>1359</v>
      </c>
      <c r="J4064" s="48"/>
      <c r="K4064" s="48"/>
      <c r="L4064" s="48"/>
      <c r="M4064" s="48"/>
      <c r="N4064" s="59"/>
      <c r="O4064" s="59">
        <v>50000</v>
      </c>
      <c r="P4064" s="59">
        <v>-50000</v>
      </c>
      <c r="Q4064" s="268">
        <f t="shared" si="192"/>
        <v>0</v>
      </c>
      <c r="R4064" s="61">
        <f>IF(O4064=0,0,SUMIFS(Disbursements!$T:$T,Disbursements!$B:$B,'Live Collections'!D4064,Disbursements!$D:$D,'Live Collections'!F4064))</f>
        <v>125000</v>
      </c>
      <c r="S4064" s="304"/>
      <c r="T4064" s="304">
        <f t="shared" si="193"/>
        <v>50000</v>
      </c>
      <c r="U4064" s="52"/>
      <c r="V4064" s="34"/>
      <c r="W4064" s="408"/>
    </row>
    <row r="4065" spans="1:23" ht="12.75" customHeight="1" x14ac:dyDescent="0.2">
      <c r="A4065" s="257">
        <v>4075</v>
      </c>
      <c r="B4065" s="44">
        <v>44681</v>
      </c>
      <c r="C4065" s="44">
        <f t="shared" si="194"/>
        <v>44681</v>
      </c>
      <c r="D4065" s="374">
        <v>170</v>
      </c>
      <c r="E4065" s="291" t="str">
        <f>IFERROR(VLOOKUP($D4065,'Clients-Live'!$A:$C,3,0),"")</f>
        <v xml:space="preserve">KABEBI RAIMA </v>
      </c>
      <c r="F4065" s="291">
        <f>IFERROR(INDEX(Disbursements!$D:$D,MATCH('Live Collections'!G4065,Disbursements!$C:$C,0)),"")</f>
        <v>2</v>
      </c>
      <c r="G4065" s="34">
        <v>302</v>
      </c>
      <c r="H4065" s="34">
        <v>5799</v>
      </c>
      <c r="I4065" s="34" t="s">
        <v>1359</v>
      </c>
      <c r="J4065" s="48"/>
      <c r="K4065" s="48"/>
      <c r="L4065" s="48"/>
      <c r="M4065" s="48"/>
      <c r="N4065" s="59"/>
      <c r="O4065" s="59">
        <v>30000</v>
      </c>
      <c r="P4065" s="59"/>
      <c r="Q4065" s="268">
        <f t="shared" si="192"/>
        <v>30000</v>
      </c>
      <c r="R4065" s="61">
        <f>IF(O4065=0,0,SUMIFS(Disbursements!$T:$T,Disbursements!$B:$B,'Live Collections'!D4065,Disbursements!$D:$D,'Live Collections'!F4065))</f>
        <v>125000</v>
      </c>
      <c r="S4065" s="304"/>
      <c r="T4065" s="304">
        <f t="shared" si="193"/>
        <v>30000</v>
      </c>
      <c r="U4065" s="52"/>
      <c r="V4065" s="34"/>
      <c r="W4065" s="408"/>
    </row>
    <row r="4066" spans="1:23" ht="12.75" customHeight="1" x14ac:dyDescent="0.2">
      <c r="A4066" s="257">
        <v>4076</v>
      </c>
      <c r="B4066" s="44">
        <v>44681</v>
      </c>
      <c r="C4066" s="44">
        <f t="shared" si="194"/>
        <v>44681</v>
      </c>
      <c r="D4066" s="374">
        <v>343</v>
      </c>
      <c r="E4066" s="291" t="str">
        <f>IFERROR(VLOOKUP($D4066,'Clients-Live'!$A:$C,3,0),"")</f>
        <v>MAMBO EDWARD</v>
      </c>
      <c r="F4066" s="291">
        <f>IFERROR(INDEX(Disbursements!$D:$D,MATCH('Live Collections'!G4066,Disbursements!$C:$C,0)),"")</f>
        <v>1</v>
      </c>
      <c r="G4066" s="34">
        <v>485</v>
      </c>
      <c r="H4066" s="34">
        <v>5988</v>
      </c>
      <c r="I4066" s="34" t="s">
        <v>1358</v>
      </c>
      <c r="J4066" s="48"/>
      <c r="K4066" s="48"/>
      <c r="L4066" s="48"/>
      <c r="M4066" s="48"/>
      <c r="N4066" s="59"/>
      <c r="O4066" s="59">
        <v>199500</v>
      </c>
      <c r="P4066" s="59"/>
      <c r="Q4066" s="268">
        <f t="shared" si="192"/>
        <v>199500</v>
      </c>
      <c r="R4066" s="61">
        <f>IF(O4066=0,0,SUMIFS(Disbursements!$T:$T,Disbursements!$B:$B,'Live Collections'!D4066,Disbursements!$D:$D,'Live Collections'!F4066))</f>
        <v>695000</v>
      </c>
      <c r="S4066" s="304">
        <f>IF(O4066&lt;=IF($O4066=0,0,SUMIFS(Disbursements!$W:$W,Disbursements!$B:$B,'Live Collections'!D4066,Disbursements!$D:$D,'Live Collections'!F4066)),O4066,IF($O4066=0,0,SUMIFS(Disbursements!$W:$W,Disbursements!$B:$B,'Live Collections'!D4066,Disbursements!$D:$D,'Live Collections'!F4066)))</f>
        <v>195000</v>
      </c>
      <c r="T4066" s="304">
        <f t="shared" si="193"/>
        <v>4500</v>
      </c>
      <c r="U4066" s="52"/>
      <c r="V4066" s="34"/>
      <c r="W4066" s="408"/>
    </row>
    <row r="4067" spans="1:23" ht="12.75" customHeight="1" x14ac:dyDescent="0.2">
      <c r="A4067" s="257">
        <v>4077</v>
      </c>
      <c r="B4067" s="44">
        <v>44684</v>
      </c>
      <c r="C4067" s="44">
        <f t="shared" si="194"/>
        <v>44684</v>
      </c>
      <c r="D4067" s="374">
        <v>359</v>
      </c>
      <c r="E4067" s="291" t="str">
        <f>IFERROR(VLOOKUP($D4067,'Clients-Live'!$A:$C,3,0),"")</f>
        <v>JANE JOSEPH</v>
      </c>
      <c r="F4067" s="291" t="str">
        <f>IFERROR(INDEX(Disbursements!$D:$D,MATCH('Live Collections'!G4067,Disbursements!$C:$C,0)),"")</f>
        <v/>
      </c>
      <c r="G4067" s="34"/>
      <c r="H4067" s="34">
        <v>5820</v>
      </c>
      <c r="I4067" s="34" t="s">
        <v>1760</v>
      </c>
      <c r="J4067" s="48"/>
      <c r="K4067" s="48"/>
      <c r="L4067" s="48">
        <v>30000</v>
      </c>
      <c r="M4067" s="48">
        <v>5000</v>
      </c>
      <c r="N4067" s="59"/>
      <c r="O4067" s="59"/>
      <c r="P4067" s="59"/>
      <c r="Q4067" s="268">
        <f t="shared" si="192"/>
        <v>35000</v>
      </c>
      <c r="R4067" s="61">
        <f>IF(O4067=0,0,SUMIFS(Disbursements!$T:$T,Disbursements!$B:$B,'Live Collections'!D4067,Disbursements!$D:$D,'Live Collections'!F4067))</f>
        <v>0</v>
      </c>
      <c r="S4067" s="304">
        <f>IF(O4067&lt;=IF($O4067=0,0,SUMIFS(Disbursements!$W:$W,Disbursements!$B:$B,'Live Collections'!D4067,Disbursements!$D:$D,'Live Collections'!F4067)),O4067,IF($O4067=0,0,SUMIFS(Disbursements!$W:$W,Disbursements!$B:$B,'Live Collections'!D4067,Disbursements!$D:$D,'Live Collections'!F4067)))</f>
        <v>0</v>
      </c>
      <c r="T4067" s="304">
        <f t="shared" si="193"/>
        <v>0</v>
      </c>
      <c r="U4067" s="52"/>
      <c r="V4067" s="34"/>
      <c r="W4067" s="408"/>
    </row>
    <row r="4068" spans="1:23" ht="12.75" customHeight="1" x14ac:dyDescent="0.2">
      <c r="A4068" s="257">
        <v>4078</v>
      </c>
      <c r="B4068" s="44">
        <v>44684</v>
      </c>
      <c r="C4068" s="44">
        <f t="shared" si="194"/>
        <v>44684</v>
      </c>
      <c r="D4068" s="374">
        <v>228</v>
      </c>
      <c r="E4068" s="291" t="str">
        <f>IFERROR(VLOOKUP($D4068,'Clients-Live'!$A:$C,3,0),"")</f>
        <v>DADA ISAAC</v>
      </c>
      <c r="F4068" s="291" t="str">
        <f>IFERROR(INDEX(Disbursements!$D:$D,MATCH('Live Collections'!G4068,Disbursements!$C:$C,0)),"")</f>
        <v/>
      </c>
      <c r="G4068" s="34"/>
      <c r="H4068" s="34">
        <v>5819</v>
      </c>
      <c r="I4068" s="34" t="s">
        <v>1358</v>
      </c>
      <c r="J4068" s="48"/>
      <c r="K4068" s="48"/>
      <c r="L4068" s="48"/>
      <c r="M4068" s="48"/>
      <c r="N4068" s="59"/>
      <c r="O4068" s="59"/>
      <c r="P4068" s="59">
        <v>30000</v>
      </c>
      <c r="Q4068" s="268">
        <f t="shared" si="192"/>
        <v>30000</v>
      </c>
      <c r="R4068" s="61">
        <f>IF(O4068=0,0,SUMIFS(Disbursements!$T:$T,Disbursements!$B:$B,'Live Collections'!D4068,Disbursements!$D:$D,'Live Collections'!F4068))</f>
        <v>0</v>
      </c>
      <c r="S4068" s="304">
        <f>IF(O4068&lt;=IF($O4068=0,0,SUMIFS(Disbursements!$W:$W,Disbursements!$B:$B,'Live Collections'!D4068,Disbursements!$D:$D,'Live Collections'!F4068)),O4068,IF($O4068=0,0,SUMIFS(Disbursements!$W:$W,Disbursements!$B:$B,'Live Collections'!D4068,Disbursements!$D:$D,'Live Collections'!F4068)))</f>
        <v>0</v>
      </c>
      <c r="T4068" s="304">
        <f t="shared" si="193"/>
        <v>0</v>
      </c>
      <c r="U4068" s="52"/>
      <c r="V4068" s="34"/>
      <c r="W4068" s="408"/>
    </row>
    <row r="4069" spans="1:23" ht="12.75" customHeight="1" x14ac:dyDescent="0.2">
      <c r="A4069" s="257">
        <v>4079</v>
      </c>
      <c r="B4069" s="44">
        <v>44684</v>
      </c>
      <c r="C4069" s="44">
        <f t="shared" si="194"/>
        <v>44684</v>
      </c>
      <c r="D4069" s="374">
        <v>228</v>
      </c>
      <c r="E4069" s="291" t="str">
        <f>IFERROR(VLOOKUP($D4069,'Clients-Live'!$A:$C,3,0),"")</f>
        <v>DADA ISAAC</v>
      </c>
      <c r="F4069" s="291" t="str">
        <f>IFERROR(INDEX(Disbursements!$D:$D,MATCH('Live Collections'!G4069,Disbursements!$C:$C,0)),"")</f>
        <v/>
      </c>
      <c r="G4069" s="34"/>
      <c r="H4069" s="34">
        <v>5818</v>
      </c>
      <c r="I4069" s="34" t="s">
        <v>1358</v>
      </c>
      <c r="J4069" s="48"/>
      <c r="K4069" s="48"/>
      <c r="L4069" s="48">
        <v>20000</v>
      </c>
      <c r="M4069" s="48">
        <v>5000</v>
      </c>
      <c r="N4069" s="59"/>
      <c r="O4069" s="59"/>
      <c r="P4069" s="59"/>
      <c r="Q4069" s="268">
        <f t="shared" si="192"/>
        <v>25000</v>
      </c>
      <c r="R4069" s="61">
        <f>IF(O4069=0,0,SUMIFS(Disbursements!$T:$T,Disbursements!$B:$B,'Live Collections'!D4069,Disbursements!$D:$D,'Live Collections'!F4069))</f>
        <v>0</v>
      </c>
      <c r="S4069" s="304">
        <f>IF(O4069&lt;=IF($O4069=0,0,SUMIFS(Disbursements!$W:$W,Disbursements!$B:$B,'Live Collections'!D4069,Disbursements!$D:$D,'Live Collections'!F4069)),O4069,IF($O4069=0,0,SUMIFS(Disbursements!$W:$W,Disbursements!$B:$B,'Live Collections'!D4069,Disbursements!$D:$D,'Live Collections'!F4069)))</f>
        <v>0</v>
      </c>
      <c r="T4069" s="304">
        <f t="shared" si="193"/>
        <v>0</v>
      </c>
      <c r="U4069" s="52"/>
      <c r="V4069" s="34"/>
      <c r="W4069" s="408"/>
    </row>
    <row r="4070" spans="1:23" ht="12.75" customHeight="1" x14ac:dyDescent="0.2">
      <c r="A4070" s="257">
        <v>4080</v>
      </c>
      <c r="B4070" s="44">
        <v>44684</v>
      </c>
      <c r="C4070" s="44">
        <f t="shared" si="194"/>
        <v>44684</v>
      </c>
      <c r="D4070" s="374">
        <v>228</v>
      </c>
      <c r="E4070" s="291" t="str">
        <f>IFERROR(VLOOKUP($D4070,'Clients-Live'!$A:$C,3,0),"")</f>
        <v>DADA ISAAC</v>
      </c>
      <c r="F4070" s="291">
        <f>IFERROR(INDEX(Disbursements!$D:$D,MATCH('Live Collections'!G4070,Disbursements!$C:$C,0)),"")</f>
        <v>6</v>
      </c>
      <c r="G4070" s="34">
        <v>421</v>
      </c>
      <c r="H4070" s="34">
        <v>5817</v>
      </c>
      <c r="I4070" s="34" t="s">
        <v>1358</v>
      </c>
      <c r="J4070" s="48"/>
      <c r="K4070" s="48"/>
      <c r="L4070" s="48"/>
      <c r="M4070" s="48"/>
      <c r="N4070" s="59"/>
      <c r="O4070" s="59">
        <v>304000</v>
      </c>
      <c r="P4070" s="59"/>
      <c r="Q4070" s="268">
        <f t="shared" si="192"/>
        <v>304000</v>
      </c>
      <c r="R4070" s="61">
        <f>IF(O4070=0,0,SUMIFS(Disbursements!$T:$T,Disbursements!$B:$B,'Live Collections'!D4070,Disbursements!$D:$D,'Live Collections'!F4070))</f>
        <v>158000</v>
      </c>
      <c r="S4070" s="304">
        <v>105875</v>
      </c>
      <c r="T4070" s="304">
        <f t="shared" si="193"/>
        <v>198125</v>
      </c>
      <c r="U4070" s="52"/>
      <c r="V4070" s="34"/>
      <c r="W4070" s="408"/>
    </row>
    <row r="4071" spans="1:23" ht="12.75" customHeight="1" x14ac:dyDescent="0.2">
      <c r="A4071" s="257">
        <v>4081</v>
      </c>
      <c r="B4071" s="44">
        <v>44684</v>
      </c>
      <c r="C4071" s="44">
        <f t="shared" si="194"/>
        <v>44684</v>
      </c>
      <c r="D4071" s="374">
        <v>189</v>
      </c>
      <c r="E4071" s="291" t="str">
        <f>IFERROR(VLOOKUP($D4071,'Clients-Live'!$A:$C,3,0),"")</f>
        <v>AYIDA SELUWA</v>
      </c>
      <c r="F4071" s="291">
        <f>IFERROR(INDEX(Disbursements!$D:$D,MATCH('Live Collections'!G4071,Disbursements!$C:$C,0)),"")</f>
        <v>2</v>
      </c>
      <c r="G4071" s="34">
        <v>401</v>
      </c>
      <c r="H4071" s="34">
        <v>5816</v>
      </c>
      <c r="I4071" s="34" t="s">
        <v>1359</v>
      </c>
      <c r="J4071" s="48"/>
      <c r="K4071" s="48"/>
      <c r="L4071" s="48"/>
      <c r="M4071" s="48"/>
      <c r="N4071" s="59"/>
      <c r="O4071" s="59">
        <v>50000</v>
      </c>
      <c r="P4071" s="59"/>
      <c r="Q4071" s="268">
        <f t="shared" si="192"/>
        <v>50000</v>
      </c>
      <c r="R4071" s="61">
        <f>IF(O4071=0,0,SUMIFS(Disbursements!$T:$T,Disbursements!$B:$B,'Live Collections'!D4071,Disbursements!$D:$D,'Live Collections'!F4071))</f>
        <v>34000</v>
      </c>
      <c r="S4071" s="304">
        <f>IF(O4071&lt;=IF($O4071=0,0,SUMIFS(Disbursements!$W:$W,Disbursements!$B:$B,'Live Collections'!D4071,Disbursements!$D:$D,'Live Collections'!F4071)),O4071,IF($O4071=0,0,SUMIFS(Disbursements!$W:$W,Disbursements!$B:$B,'Live Collections'!D4071,Disbursements!$D:$D,'Live Collections'!F4071)))</f>
        <v>9000</v>
      </c>
      <c r="T4071" s="304">
        <f t="shared" si="193"/>
        <v>41000</v>
      </c>
      <c r="U4071" s="52"/>
      <c r="V4071" s="34"/>
      <c r="W4071" s="408"/>
    </row>
    <row r="4072" spans="1:23" ht="12.75" customHeight="1" x14ac:dyDescent="0.2">
      <c r="A4072" s="257">
        <v>4082</v>
      </c>
      <c r="B4072" s="44">
        <v>44684</v>
      </c>
      <c r="C4072" s="44">
        <f t="shared" si="194"/>
        <v>44684</v>
      </c>
      <c r="D4072" s="374">
        <v>69</v>
      </c>
      <c r="E4072" s="291" t="str">
        <f>IFERROR(VLOOKUP($D4072,'Clients-Live'!$A:$C,3,0),"")</f>
        <v>SADIA JOYCE</v>
      </c>
      <c r="F4072" s="291">
        <f>IFERROR(INDEX(Disbursements!$D:$D,MATCH('Live Collections'!G4072,Disbursements!$C:$C,0)),"")</f>
        <v>3</v>
      </c>
      <c r="G4072" s="34">
        <v>411</v>
      </c>
      <c r="H4072" s="34">
        <v>5815</v>
      </c>
      <c r="I4072" s="34" t="s">
        <v>1359</v>
      </c>
      <c r="J4072" s="48"/>
      <c r="K4072" s="48"/>
      <c r="L4072" s="48"/>
      <c r="M4072" s="48"/>
      <c r="N4072" s="59"/>
      <c r="O4072" s="59">
        <v>160000</v>
      </c>
      <c r="P4072" s="59"/>
      <c r="Q4072" s="268">
        <f t="shared" si="192"/>
        <v>160000</v>
      </c>
      <c r="R4072" s="61">
        <f>IF(O4072=0,0,SUMIFS(Disbursements!$T:$T,Disbursements!$B:$B,'Live Collections'!D4072,Disbursements!$D:$D,'Live Collections'!F4072))</f>
        <v>35000</v>
      </c>
      <c r="S4072" s="304">
        <f>IF(O4072&lt;=IF($O4072=0,0,SUMIFS(Disbursements!$W:$W,Disbursements!$B:$B,'Live Collections'!D4072,Disbursements!$D:$D,'Live Collections'!F4072)),O4072,IF($O4072=0,0,SUMIFS(Disbursements!$W:$W,Disbursements!$B:$B,'Live Collections'!D4072,Disbursements!$D:$D,'Live Collections'!F4072)))</f>
        <v>10000</v>
      </c>
      <c r="T4072" s="304">
        <f t="shared" si="193"/>
        <v>150000</v>
      </c>
      <c r="U4072" s="52"/>
      <c r="V4072" s="34"/>
      <c r="W4072" s="408"/>
    </row>
    <row r="4073" spans="1:23" ht="12.75" customHeight="1" x14ac:dyDescent="0.2">
      <c r="A4073" s="257">
        <v>4083</v>
      </c>
      <c r="B4073" s="44">
        <v>44684</v>
      </c>
      <c r="C4073" s="44">
        <f t="shared" si="194"/>
        <v>44684</v>
      </c>
      <c r="D4073" s="374">
        <v>96</v>
      </c>
      <c r="E4073" s="291" t="str">
        <f>IFERROR(VLOOKUP($D4073,'Clients-Live'!$A:$C,3,0),"")</f>
        <v>AKANDU NIGHT YONGORO</v>
      </c>
      <c r="F4073" s="291">
        <f>IFERROR(INDEX(Disbursements!$D:$D,MATCH('Live Collections'!G4073,Disbursements!$C:$C,0)),"")</f>
        <v>3</v>
      </c>
      <c r="G4073" s="34">
        <v>432</v>
      </c>
      <c r="H4073" s="34">
        <v>5814</v>
      </c>
      <c r="I4073" s="34" t="s">
        <v>1358</v>
      </c>
      <c r="J4073" s="48"/>
      <c r="K4073" s="48"/>
      <c r="L4073" s="48"/>
      <c r="M4073" s="48"/>
      <c r="N4073" s="59"/>
      <c r="O4073" s="59">
        <v>200000</v>
      </c>
      <c r="P4073" s="59"/>
      <c r="Q4073" s="268">
        <f t="shared" si="192"/>
        <v>200000</v>
      </c>
      <c r="R4073" s="61">
        <f>IF(O4073=0,0,SUMIFS(Disbursements!$T:$T,Disbursements!$B:$B,'Live Collections'!D4073,Disbursements!$D:$D,'Live Collections'!F4073))</f>
        <v>60000</v>
      </c>
      <c r="S4073" s="304">
        <f>IF(O4073&lt;=IF($O4073=0,0,SUMIFS(Disbursements!$W:$W,Disbursements!$B:$B,'Live Collections'!D4073,Disbursements!$D:$D,'Live Collections'!F4073)),O4073,IF($O4073=0,0,SUMIFS(Disbursements!$W:$W,Disbursements!$B:$B,'Live Collections'!D4073,Disbursements!$D:$D,'Live Collections'!F4073)))</f>
        <v>15000</v>
      </c>
      <c r="T4073" s="304">
        <f t="shared" si="193"/>
        <v>185000</v>
      </c>
      <c r="U4073" s="52"/>
      <c r="V4073" s="34"/>
      <c r="W4073" s="408"/>
    </row>
    <row r="4074" spans="1:23" ht="12.75" customHeight="1" x14ac:dyDescent="0.2">
      <c r="A4074" s="257">
        <v>4084</v>
      </c>
      <c r="B4074" s="44">
        <v>44684</v>
      </c>
      <c r="C4074" s="44">
        <f t="shared" si="194"/>
        <v>44684</v>
      </c>
      <c r="D4074" s="374">
        <v>292</v>
      </c>
      <c r="E4074" s="291" t="str">
        <f>IFERROR(VLOOKUP($D4074,'Clients-Live'!$A:$C,3,0),"")</f>
        <v>AFEKU DENIS</v>
      </c>
      <c r="F4074" s="291">
        <f>IFERROR(INDEX(Disbursements!$D:$D,MATCH('Live Collections'!G4074,Disbursements!$C:$C,0)),"")</f>
        <v>1</v>
      </c>
      <c r="G4074" s="34">
        <v>368</v>
      </c>
      <c r="H4074" s="34">
        <v>5813</v>
      </c>
      <c r="I4074" s="34" t="s">
        <v>1359</v>
      </c>
      <c r="J4074" s="48"/>
      <c r="K4074" s="48"/>
      <c r="L4074" s="48"/>
      <c r="M4074" s="48"/>
      <c r="N4074" s="59"/>
      <c r="O4074" s="59">
        <v>300000</v>
      </c>
      <c r="P4074" s="59"/>
      <c r="Q4074" s="268">
        <f t="shared" si="192"/>
        <v>300000</v>
      </c>
      <c r="R4074" s="61">
        <f>IF(O4074=0,0,SUMIFS(Disbursements!$T:$T,Disbursements!$B:$B,'Live Collections'!D4074,Disbursements!$D:$D,'Live Collections'!F4074))</f>
        <v>2600000</v>
      </c>
      <c r="S4074" s="304"/>
      <c r="T4074" s="304">
        <f t="shared" si="193"/>
        <v>300000</v>
      </c>
      <c r="U4074" s="52"/>
      <c r="V4074" s="34"/>
      <c r="W4074" s="408"/>
    </row>
    <row r="4075" spans="1:23" ht="12.75" customHeight="1" x14ac:dyDescent="0.2">
      <c r="A4075" s="257">
        <v>4085</v>
      </c>
      <c r="B4075" s="44">
        <v>44684</v>
      </c>
      <c r="C4075" s="44">
        <f t="shared" si="194"/>
        <v>44684</v>
      </c>
      <c r="D4075" s="374">
        <v>338</v>
      </c>
      <c r="E4075" s="291" t="str">
        <f>IFERROR(VLOOKUP($D4075,'Clients-Live'!$A:$C,3,0),"")</f>
        <v>ASERU MARY</v>
      </c>
      <c r="F4075" s="291">
        <f>IFERROR(INDEX(Disbursements!$D:$D,MATCH('Live Collections'!G4075,Disbursements!$C:$C,0)),"")</f>
        <v>1</v>
      </c>
      <c r="G4075" s="34">
        <v>480</v>
      </c>
      <c r="H4075" s="34">
        <v>5812</v>
      </c>
      <c r="I4075" s="34" t="s">
        <v>1358</v>
      </c>
      <c r="J4075" s="48"/>
      <c r="K4075" s="48"/>
      <c r="L4075" s="48"/>
      <c r="M4075" s="48"/>
      <c r="N4075" s="59"/>
      <c r="O4075" s="59">
        <v>23700</v>
      </c>
      <c r="P4075" s="59"/>
      <c r="Q4075" s="268">
        <f t="shared" si="192"/>
        <v>23700</v>
      </c>
      <c r="R4075" s="61">
        <f>IF(O4075=0,0,SUMIFS(Disbursements!$T:$T,Disbursements!$B:$B,'Live Collections'!D4075,Disbursements!$D:$D,'Live Collections'!F4075))</f>
        <v>24000</v>
      </c>
      <c r="S4075" s="304">
        <f>IF(O4075&lt;=IF($O4075=0,0,SUMIFS(Disbursements!$W:$W,Disbursements!$B:$B,'Live Collections'!D4075,Disbursements!$D:$D,'Live Collections'!F4075)),O4075,IF($O4075=0,0,SUMIFS(Disbursements!$W:$W,Disbursements!$B:$B,'Live Collections'!D4075,Disbursements!$D:$D,'Live Collections'!F4075)))</f>
        <v>5250</v>
      </c>
      <c r="T4075" s="304">
        <f t="shared" si="193"/>
        <v>18450</v>
      </c>
      <c r="U4075" s="52"/>
      <c r="V4075" s="34"/>
      <c r="W4075" s="408"/>
    </row>
    <row r="4076" spans="1:23" ht="12.75" customHeight="1" x14ac:dyDescent="0.2">
      <c r="A4076" s="257">
        <v>4086</v>
      </c>
      <c r="B4076" s="44">
        <v>44684</v>
      </c>
      <c r="C4076" s="44">
        <f t="shared" si="194"/>
        <v>44684</v>
      </c>
      <c r="D4076" s="374">
        <v>239</v>
      </c>
      <c r="E4076" s="291" t="str">
        <f>IFERROR(VLOOKUP($D4076,'Clients-Live'!$A:$C,3,0),"")</f>
        <v>HABIBU ABOYI ALLI</v>
      </c>
      <c r="F4076" s="291">
        <f>IFERROR(INDEX(Disbursements!$D:$D,MATCH('Live Collections'!G4076,Disbursements!$C:$C,0)),"")</f>
        <v>2</v>
      </c>
      <c r="G4076" s="34">
        <v>470</v>
      </c>
      <c r="H4076" s="34">
        <v>5834</v>
      </c>
      <c r="I4076" s="34" t="s">
        <v>1357</v>
      </c>
      <c r="J4076" s="48"/>
      <c r="K4076" s="48"/>
      <c r="L4076" s="48"/>
      <c r="M4076" s="48"/>
      <c r="N4076" s="59"/>
      <c r="O4076" s="59">
        <v>175000</v>
      </c>
      <c r="P4076" s="59"/>
      <c r="Q4076" s="268">
        <f t="shared" ref="Q4076:Q4139" si="195">SUM(J4076:P4076)</f>
        <v>175000</v>
      </c>
      <c r="R4076" s="61">
        <f>IF(O4076=0,0,SUMIFS(Disbursements!$T:$T,Disbursements!$B:$B,'Live Collections'!D4076,Disbursements!$D:$D,'Live Collections'!F4076))</f>
        <v>175000</v>
      </c>
      <c r="S4076" s="304">
        <f>IF(O4076&lt;=IF($O4076=0,0,SUMIFS(Disbursements!$W:$W,Disbursements!$B:$B,'Live Collections'!D4076,Disbursements!$D:$D,'Live Collections'!F4076)),O4076,IF($O4076=0,0,SUMIFS(Disbursements!$W:$W,Disbursements!$B:$B,'Live Collections'!D4076,Disbursements!$D:$D,'Live Collections'!F4076)))</f>
        <v>75000</v>
      </c>
      <c r="T4076" s="304">
        <f t="shared" si="193"/>
        <v>100000</v>
      </c>
      <c r="U4076" s="52"/>
      <c r="V4076" s="34"/>
      <c r="W4076" s="408"/>
    </row>
    <row r="4077" spans="1:23" ht="12.75" customHeight="1" x14ac:dyDescent="0.2">
      <c r="A4077" s="257">
        <v>4087</v>
      </c>
      <c r="B4077" s="44">
        <v>44684</v>
      </c>
      <c r="C4077" s="44">
        <f t="shared" si="194"/>
        <v>44684</v>
      </c>
      <c r="D4077" s="374">
        <v>360</v>
      </c>
      <c r="E4077" s="291" t="str">
        <f>IFERROR(VLOOKUP($D4077,'Clients-Live'!$A:$C,3,0),"")</f>
        <v>AYIKORU FLORENCE</v>
      </c>
      <c r="F4077" s="291" t="str">
        <f>IFERROR(INDEX(Disbursements!$D:$D,MATCH('Live Collections'!G4077,Disbursements!$C:$C,0)),"")</f>
        <v/>
      </c>
      <c r="G4077" s="34"/>
      <c r="H4077" s="34">
        <v>5811</v>
      </c>
      <c r="I4077" s="34" t="s">
        <v>1760</v>
      </c>
      <c r="J4077" s="48">
        <v>15000</v>
      </c>
      <c r="K4077" s="48">
        <v>5000</v>
      </c>
      <c r="L4077" s="48"/>
      <c r="M4077" s="48"/>
      <c r="N4077" s="59"/>
      <c r="O4077" s="59"/>
      <c r="P4077" s="59"/>
      <c r="Q4077" s="268">
        <f t="shared" si="195"/>
        <v>20000</v>
      </c>
      <c r="R4077" s="61">
        <f>IF(O4077=0,0,SUMIFS(Disbursements!$T:$T,Disbursements!$B:$B,'Live Collections'!D4077,Disbursements!$D:$D,'Live Collections'!F4077))</f>
        <v>0</v>
      </c>
      <c r="S4077" s="304">
        <f>IF(O4077&lt;=IF($O4077=0,0,SUMIFS(Disbursements!$W:$W,Disbursements!$B:$B,'Live Collections'!D4077,Disbursements!$D:$D,'Live Collections'!F4077)),O4077,IF($O4077=0,0,SUMIFS(Disbursements!$W:$W,Disbursements!$B:$B,'Live Collections'!D4077,Disbursements!$D:$D,'Live Collections'!F4077)))</f>
        <v>0</v>
      </c>
      <c r="T4077" s="304">
        <f t="shared" si="193"/>
        <v>0</v>
      </c>
      <c r="U4077" s="52"/>
      <c r="V4077" s="34"/>
      <c r="W4077" s="408"/>
    </row>
    <row r="4078" spans="1:23" ht="12.75" customHeight="1" x14ac:dyDescent="0.2">
      <c r="A4078" s="257">
        <v>4088</v>
      </c>
      <c r="B4078" s="44">
        <v>44684</v>
      </c>
      <c r="C4078" s="44">
        <f t="shared" si="194"/>
        <v>44684</v>
      </c>
      <c r="D4078" s="374">
        <v>360</v>
      </c>
      <c r="E4078" s="291" t="str">
        <f>IFERROR(VLOOKUP($D4078,'Clients-Live'!$A:$C,3,0),"")</f>
        <v>AYIKORU FLORENCE</v>
      </c>
      <c r="F4078" s="291" t="str">
        <f>IFERROR(INDEX(Disbursements!$D:$D,MATCH('Live Collections'!G4078,Disbursements!$C:$C,0)),"")</f>
        <v/>
      </c>
      <c r="G4078" s="34"/>
      <c r="H4078" s="34">
        <v>5810</v>
      </c>
      <c r="I4078" s="34" t="s">
        <v>1760</v>
      </c>
      <c r="J4078" s="48"/>
      <c r="K4078" s="48"/>
      <c r="L4078" s="48">
        <v>15000</v>
      </c>
      <c r="M4078" s="48">
        <v>5000</v>
      </c>
      <c r="N4078" s="59"/>
      <c r="O4078" s="59"/>
      <c r="P4078" s="59"/>
      <c r="Q4078" s="268">
        <f t="shared" si="195"/>
        <v>20000</v>
      </c>
      <c r="R4078" s="61">
        <f>IF(O4078=0,0,SUMIFS(Disbursements!$T:$T,Disbursements!$B:$B,'Live Collections'!D4078,Disbursements!$D:$D,'Live Collections'!F4078))</f>
        <v>0</v>
      </c>
      <c r="S4078" s="304">
        <f>IF(O4078&lt;=IF($O4078=0,0,SUMIFS(Disbursements!$W:$W,Disbursements!$B:$B,'Live Collections'!D4078,Disbursements!$D:$D,'Live Collections'!F4078)),O4078,IF($O4078=0,0,SUMIFS(Disbursements!$W:$W,Disbursements!$B:$B,'Live Collections'!D4078,Disbursements!$D:$D,'Live Collections'!F4078)))</f>
        <v>0</v>
      </c>
      <c r="T4078" s="304">
        <f t="shared" si="193"/>
        <v>0</v>
      </c>
      <c r="U4078" s="52"/>
      <c r="V4078" s="34"/>
      <c r="W4078" s="408"/>
    </row>
    <row r="4079" spans="1:23" ht="12.75" customHeight="1" x14ac:dyDescent="0.2">
      <c r="A4079" s="257">
        <v>4089</v>
      </c>
      <c r="B4079" s="44">
        <v>44684</v>
      </c>
      <c r="C4079" s="44">
        <f t="shared" si="194"/>
        <v>44684</v>
      </c>
      <c r="D4079" s="374">
        <v>177</v>
      </c>
      <c r="E4079" s="291" t="str">
        <f>IFERROR(VLOOKUP($D4079,'Clients-Live'!$A:$C,3,0),"")</f>
        <v>EFIT GIFT</v>
      </c>
      <c r="F4079" s="291">
        <f>IFERROR(INDEX(Disbursements!$D:$D,MATCH('Live Collections'!G4079,Disbursements!$C:$C,0)),"")</f>
        <v>2</v>
      </c>
      <c r="G4079" s="34">
        <v>444</v>
      </c>
      <c r="H4079" s="34">
        <v>5833</v>
      </c>
      <c r="I4079" s="34" t="s">
        <v>1358</v>
      </c>
      <c r="J4079" s="48"/>
      <c r="K4079" s="48"/>
      <c r="L4079" s="48"/>
      <c r="M4079" s="48"/>
      <c r="N4079" s="59"/>
      <c r="O4079" s="59">
        <v>80000</v>
      </c>
      <c r="P4079" s="59"/>
      <c r="Q4079" s="268">
        <f t="shared" si="195"/>
        <v>80000</v>
      </c>
      <c r="R4079" s="61">
        <f>IF(O4079=0,0,SUMIFS(Disbursements!$T:$T,Disbursements!$B:$B,'Live Collections'!D4079,Disbursements!$D:$D,'Live Collections'!F4079))</f>
        <v>87000</v>
      </c>
      <c r="S4079" s="304">
        <f>IF(O4079&lt;=IF($O4079=0,0,SUMIFS(Disbursements!$W:$W,Disbursements!$B:$B,'Live Collections'!D4079,Disbursements!$D:$D,'Live Collections'!F4079)),O4079,IF($O4079=0,0,SUMIFS(Disbursements!$W:$W,Disbursements!$B:$B,'Live Collections'!D4079,Disbursements!$D:$D,'Live Collections'!F4079)))</f>
        <v>24500</v>
      </c>
      <c r="T4079" s="304">
        <f t="shared" si="193"/>
        <v>55500</v>
      </c>
      <c r="U4079" s="52"/>
      <c r="V4079" s="34"/>
      <c r="W4079" s="408"/>
    </row>
    <row r="4080" spans="1:23" ht="12.75" customHeight="1" x14ac:dyDescent="0.2">
      <c r="A4080" s="257">
        <v>4090</v>
      </c>
      <c r="B4080" s="44">
        <v>44684</v>
      </c>
      <c r="C4080" s="44">
        <f t="shared" si="194"/>
        <v>44684</v>
      </c>
      <c r="D4080" s="374">
        <v>42</v>
      </c>
      <c r="E4080" s="291" t="str">
        <f>IFERROR(VLOOKUP($D4080,'Clients-Live'!$A:$C,3,0),"")</f>
        <v>ABAU   NOLA</v>
      </c>
      <c r="F4080" s="291">
        <f>IFERROR(INDEX(Disbursements!$D:$D,MATCH('Live Collections'!G4080,Disbursements!$C:$C,0)),"")</f>
        <v>4</v>
      </c>
      <c r="G4080" s="34">
        <v>498</v>
      </c>
      <c r="H4080" s="34">
        <v>5832</v>
      </c>
      <c r="I4080" s="34" t="s">
        <v>1359</v>
      </c>
      <c r="J4080" s="48"/>
      <c r="K4080" s="48"/>
      <c r="L4080" s="48"/>
      <c r="M4080" s="48"/>
      <c r="N4080" s="59"/>
      <c r="O4080" s="59">
        <v>24000</v>
      </c>
      <c r="P4080" s="59"/>
      <c r="Q4080" s="268">
        <f t="shared" si="195"/>
        <v>24000</v>
      </c>
      <c r="R4080" s="61">
        <f>IF(O4080=0,0,SUMIFS(Disbursements!$T:$T,Disbursements!$B:$B,'Live Collections'!D4080,Disbursements!$D:$D,'Live Collections'!F4080))</f>
        <v>100000</v>
      </c>
      <c r="S4080" s="304">
        <f>IF(O4080&lt;=IF($O4080=0,0,SUMIFS(Disbursements!$W:$W,Disbursements!$B:$B,'Live Collections'!D4080,Disbursements!$D:$D,'Live Collections'!F4080)),O4080,IF($O4080=0,0,SUMIFS(Disbursements!$W:$W,Disbursements!$B:$B,'Live Collections'!D4080,Disbursements!$D:$D,'Live Collections'!F4080)))</f>
        <v>16666.666666666672</v>
      </c>
      <c r="T4080" s="304">
        <f t="shared" si="193"/>
        <v>7333.3333333333285</v>
      </c>
      <c r="U4080" s="52"/>
      <c r="V4080" s="34"/>
      <c r="W4080" s="408"/>
    </row>
    <row r="4081" spans="1:23" ht="12.75" customHeight="1" x14ac:dyDescent="0.2">
      <c r="A4081" s="257">
        <v>4091</v>
      </c>
      <c r="B4081" s="44">
        <v>44684</v>
      </c>
      <c r="C4081" s="44">
        <f t="shared" si="194"/>
        <v>44684</v>
      </c>
      <c r="D4081" s="374">
        <v>176</v>
      </c>
      <c r="E4081" s="291" t="str">
        <f>IFERROR(VLOOKUP($D4081,'Clients-Live'!$A:$C,3,0),"")</f>
        <v>AJONYE JANE SINANDUGU</v>
      </c>
      <c r="F4081" s="291">
        <f>IFERROR(INDEX(Disbursements!$D:$D,MATCH('Live Collections'!G4081,Disbursements!$C:$C,0)),"")</f>
        <v>3</v>
      </c>
      <c r="G4081" s="34">
        <v>493</v>
      </c>
      <c r="H4081" s="34">
        <v>5831</v>
      </c>
      <c r="I4081" s="34" t="s">
        <v>1358</v>
      </c>
      <c r="J4081" s="48"/>
      <c r="K4081" s="48"/>
      <c r="L4081" s="48"/>
      <c r="M4081" s="48"/>
      <c r="N4081" s="59"/>
      <c r="O4081" s="59">
        <v>1159000</v>
      </c>
      <c r="P4081" s="59"/>
      <c r="Q4081" s="268">
        <f t="shared" si="195"/>
        <v>1159000</v>
      </c>
      <c r="R4081" s="61">
        <f>IF(O4081=0,0,SUMIFS(Disbursements!$T:$T,Disbursements!$B:$B,'Live Collections'!D4081,Disbursements!$D:$D,'Live Collections'!F4081))</f>
        <v>1159000</v>
      </c>
      <c r="S4081" s="304">
        <f>IF(O4081&lt;=IF($O4081=0,0,SUMIFS(Disbursements!$W:$W,Disbursements!$B:$B,'Live Collections'!D4081,Disbursements!$D:$D,'Live Collections'!F4081)),O4081,IF($O4081=0,0,SUMIFS(Disbursements!$W:$W,Disbursements!$B:$B,'Live Collections'!D4081,Disbursements!$D:$D,'Live Collections'!F4081)))</f>
        <v>325666.66666666663</v>
      </c>
      <c r="T4081" s="304">
        <f t="shared" si="193"/>
        <v>833333.33333333337</v>
      </c>
      <c r="U4081" s="52"/>
      <c r="V4081" s="34"/>
      <c r="W4081" s="408"/>
    </row>
    <row r="4082" spans="1:23" ht="12.75" customHeight="1" x14ac:dyDescent="0.2">
      <c r="A4082" s="257">
        <v>4092</v>
      </c>
      <c r="B4082" s="44">
        <v>44684</v>
      </c>
      <c r="C4082" s="44">
        <f t="shared" si="194"/>
        <v>44684</v>
      </c>
      <c r="D4082" s="374">
        <v>99</v>
      </c>
      <c r="E4082" s="291" t="str">
        <f>IFERROR(VLOOKUP($D4082,'Clients-Live'!$A:$C,3,0),"")</f>
        <v>SIJALI ASINA SIS</v>
      </c>
      <c r="F4082" s="291">
        <f>IFERROR(INDEX(Disbursements!$D:$D,MATCH('Live Collections'!G4082,Disbursements!$C:$C,0)),"")</f>
        <v>3</v>
      </c>
      <c r="G4082" s="34">
        <v>494</v>
      </c>
      <c r="H4082" s="34">
        <v>5830</v>
      </c>
      <c r="I4082" s="34" t="s">
        <v>1358</v>
      </c>
      <c r="J4082" s="48"/>
      <c r="K4082" s="48"/>
      <c r="L4082" s="48"/>
      <c r="M4082" s="48"/>
      <c r="N4082" s="59"/>
      <c r="O4082" s="59">
        <v>200000</v>
      </c>
      <c r="P4082" s="59"/>
      <c r="Q4082" s="268">
        <f t="shared" si="195"/>
        <v>200000</v>
      </c>
      <c r="R4082" s="61">
        <f>IF(O4082=0,0,SUMIFS(Disbursements!$T:$T,Disbursements!$B:$B,'Live Collections'!D4082,Disbursements!$D:$D,'Live Collections'!F4082))</f>
        <v>232000</v>
      </c>
      <c r="S4082" s="304">
        <f>IF(O4082&lt;=IF($O4082=0,0,SUMIFS(Disbursements!$W:$W,Disbursements!$B:$B,'Live Collections'!D4082,Disbursements!$D:$D,'Live Collections'!F4082)),O4082,IF($O4082=0,0,SUMIFS(Disbursements!$W:$W,Disbursements!$B:$B,'Live Collections'!D4082,Disbursements!$D:$D,'Live Collections'!F4082)))</f>
        <v>65333.333333333343</v>
      </c>
      <c r="T4082" s="304">
        <f t="shared" si="193"/>
        <v>134666.66666666666</v>
      </c>
      <c r="U4082" s="52"/>
      <c r="V4082" s="34"/>
      <c r="W4082" s="408"/>
    </row>
    <row r="4083" spans="1:23" ht="12.75" customHeight="1" x14ac:dyDescent="0.2">
      <c r="A4083" s="257">
        <v>4093</v>
      </c>
      <c r="B4083" s="44">
        <v>44684</v>
      </c>
      <c r="C4083" s="44">
        <f t="shared" si="194"/>
        <v>44684</v>
      </c>
      <c r="D4083" s="374">
        <v>309</v>
      </c>
      <c r="E4083" s="291" t="str">
        <f>IFERROR(VLOOKUP($D4083,'Clients-Live'!$A:$C,3,0),"")</f>
        <v>NAMBOZO HALIMA</v>
      </c>
      <c r="F4083" s="291">
        <f>IFERROR(INDEX(Disbursements!$D:$D,MATCH('Live Collections'!G4083,Disbursements!$C:$C,0)),"")</f>
        <v>1</v>
      </c>
      <c r="G4083" s="34">
        <v>391</v>
      </c>
      <c r="H4083" s="34" t="s">
        <v>2396</v>
      </c>
      <c r="I4083" s="34" t="s">
        <v>1357</v>
      </c>
      <c r="J4083" s="48"/>
      <c r="K4083" s="48"/>
      <c r="L4083" s="48"/>
      <c r="M4083" s="48"/>
      <c r="N4083" s="59"/>
      <c r="O4083" s="59">
        <v>34000</v>
      </c>
      <c r="P4083" s="59">
        <v>-34000</v>
      </c>
      <c r="Q4083" s="268">
        <f t="shared" si="195"/>
        <v>0</v>
      </c>
      <c r="R4083" s="61">
        <f>IF(O4083=0,0,SUMIFS(Disbursements!$T:$T,Disbursements!$B:$B,'Live Collections'!D4083,Disbursements!$D:$D,'Live Collections'!F4083))</f>
        <v>79000</v>
      </c>
      <c r="S4083" s="304"/>
      <c r="T4083" s="304">
        <f t="shared" si="193"/>
        <v>34000</v>
      </c>
      <c r="U4083" s="52"/>
      <c r="V4083" s="34"/>
      <c r="W4083" s="408"/>
    </row>
    <row r="4084" spans="1:23" ht="12.75" customHeight="1" x14ac:dyDescent="0.2">
      <c r="A4084" s="257">
        <v>4094</v>
      </c>
      <c r="B4084" s="44">
        <v>44684</v>
      </c>
      <c r="C4084" s="44">
        <f t="shared" si="194"/>
        <v>44684</v>
      </c>
      <c r="D4084" s="374">
        <v>309</v>
      </c>
      <c r="E4084" s="291" t="str">
        <f>IFERROR(VLOOKUP($D4084,'Clients-Live'!$A:$C,3,0),"")</f>
        <v>NAMBOZO HALIMA</v>
      </c>
      <c r="F4084" s="291">
        <f>IFERROR(INDEX(Disbursements!$D:$D,MATCH('Live Collections'!G4084,Disbursements!$C:$C,0)),"")</f>
        <v>1</v>
      </c>
      <c r="G4084" s="34">
        <v>391</v>
      </c>
      <c r="H4084" s="34">
        <v>5828</v>
      </c>
      <c r="I4084" s="34" t="s">
        <v>1357</v>
      </c>
      <c r="J4084" s="48"/>
      <c r="K4084" s="48"/>
      <c r="L4084" s="48"/>
      <c r="M4084" s="48"/>
      <c r="N4084" s="59"/>
      <c r="O4084" s="59">
        <v>150000</v>
      </c>
      <c r="P4084" s="59"/>
      <c r="Q4084" s="268">
        <f t="shared" si="195"/>
        <v>150000</v>
      </c>
      <c r="R4084" s="61">
        <f>IF(O4084=0,0,SUMIFS(Disbursements!$T:$T,Disbursements!$B:$B,'Live Collections'!D4084,Disbursements!$D:$D,'Live Collections'!F4084))</f>
        <v>79000</v>
      </c>
      <c r="S4084" s="304"/>
      <c r="T4084" s="304">
        <f t="shared" si="193"/>
        <v>150000</v>
      </c>
      <c r="U4084" s="52"/>
      <c r="V4084" s="34"/>
      <c r="W4084" s="408"/>
    </row>
    <row r="4085" spans="1:23" ht="12.75" customHeight="1" x14ac:dyDescent="0.2">
      <c r="A4085" s="257">
        <v>4095</v>
      </c>
      <c r="B4085" s="44">
        <v>44684</v>
      </c>
      <c r="C4085" s="44">
        <f t="shared" si="194"/>
        <v>44684</v>
      </c>
      <c r="D4085" s="374">
        <v>359</v>
      </c>
      <c r="E4085" s="291" t="str">
        <f>IFERROR(VLOOKUP($D4085,'Clients-Live'!$A:$C,3,0),"")</f>
        <v>JANE JOSEPH</v>
      </c>
      <c r="F4085" s="291" t="str">
        <f>IFERROR(INDEX(Disbursements!$D:$D,MATCH('Live Collections'!G4085,Disbursements!$C:$C,0)),"")</f>
        <v/>
      </c>
      <c r="G4085" s="34"/>
      <c r="H4085" s="34">
        <v>5809</v>
      </c>
      <c r="I4085" s="34" t="s">
        <v>1760</v>
      </c>
      <c r="J4085" s="48">
        <v>15000</v>
      </c>
      <c r="K4085" s="48">
        <v>5000</v>
      </c>
      <c r="L4085" s="48"/>
      <c r="M4085" s="48"/>
      <c r="N4085" s="59"/>
      <c r="O4085" s="59"/>
      <c r="P4085" s="59"/>
      <c r="Q4085" s="268">
        <f t="shared" si="195"/>
        <v>20000</v>
      </c>
      <c r="R4085" s="61">
        <f>IF(O4085=0,0,SUMIFS(Disbursements!$T:$T,Disbursements!$B:$B,'Live Collections'!D4085,Disbursements!$D:$D,'Live Collections'!F4085))</f>
        <v>0</v>
      </c>
      <c r="S4085" s="304">
        <f>IF(O4085&lt;=IF($O4085=0,0,SUMIFS(Disbursements!$W:$W,Disbursements!$B:$B,'Live Collections'!D4085,Disbursements!$D:$D,'Live Collections'!F4085)),O4085,IF($O4085=0,0,SUMIFS(Disbursements!$W:$W,Disbursements!$B:$B,'Live Collections'!D4085,Disbursements!$D:$D,'Live Collections'!F4085)))</f>
        <v>0</v>
      </c>
      <c r="T4085" s="304">
        <f t="shared" si="193"/>
        <v>0</v>
      </c>
      <c r="U4085" s="52"/>
      <c r="V4085" s="34"/>
      <c r="W4085" s="408"/>
    </row>
    <row r="4086" spans="1:23" ht="12.75" customHeight="1" x14ac:dyDescent="0.2">
      <c r="A4086" s="257">
        <v>4096</v>
      </c>
      <c r="B4086" s="44">
        <v>44684</v>
      </c>
      <c r="C4086" s="44">
        <f t="shared" si="194"/>
        <v>44684</v>
      </c>
      <c r="D4086" s="374">
        <v>337</v>
      </c>
      <c r="E4086" s="291" t="str">
        <f>IFERROR(VLOOKUP($D4086,'Clients-Live'!$A:$C,3,0),"")</f>
        <v>AYISA AJONYE</v>
      </c>
      <c r="F4086" s="291">
        <f>IFERROR(INDEX(Disbursements!$D:$D,MATCH('Live Collections'!G4086,Disbursements!$C:$C,0)),"")</f>
        <v>1</v>
      </c>
      <c r="G4086" s="34">
        <v>471</v>
      </c>
      <c r="H4086" s="34">
        <v>5827</v>
      </c>
      <c r="I4086" s="34" t="s">
        <v>1359</v>
      </c>
      <c r="J4086" s="48"/>
      <c r="K4086" s="48"/>
      <c r="L4086" s="48"/>
      <c r="M4086" s="48"/>
      <c r="N4086" s="59"/>
      <c r="O4086" s="59">
        <v>50000</v>
      </c>
      <c r="P4086" s="59"/>
      <c r="Q4086" s="268">
        <f t="shared" si="195"/>
        <v>50000</v>
      </c>
      <c r="R4086" s="61">
        <f>IF(O4086=0,0,SUMIFS(Disbursements!$T:$T,Disbursements!$B:$B,'Live Collections'!D4086,Disbursements!$D:$D,'Live Collections'!F4086))</f>
        <v>126000</v>
      </c>
      <c r="S4086" s="304">
        <f>IF(O4086&lt;=IF($O4086=0,0,SUMIFS(Disbursements!$W:$W,Disbursements!$B:$B,'Live Collections'!D4086,Disbursements!$D:$D,'Live Collections'!F4086)),O4086,IF($O4086=0,0,SUMIFS(Disbursements!$W:$W,Disbursements!$B:$B,'Live Collections'!D4086,Disbursements!$D:$D,'Live Collections'!F4086)))</f>
        <v>26000</v>
      </c>
      <c r="T4086" s="304">
        <f t="shared" si="193"/>
        <v>24000</v>
      </c>
      <c r="U4086" s="52"/>
      <c r="V4086" s="34"/>
      <c r="W4086" s="408"/>
    </row>
    <row r="4087" spans="1:23" ht="12.75" customHeight="1" x14ac:dyDescent="0.2">
      <c r="A4087" s="257">
        <v>4097</v>
      </c>
      <c r="B4087" s="44">
        <v>44684</v>
      </c>
      <c r="C4087" s="44">
        <f t="shared" si="194"/>
        <v>44684</v>
      </c>
      <c r="D4087" s="374">
        <v>46</v>
      </c>
      <c r="E4087" s="291" t="str">
        <f>IFERROR(VLOOKUP($D4087,'Clients-Live'!$A:$C,3,0),"")</f>
        <v>ALIO YUDA</v>
      </c>
      <c r="F4087" s="291">
        <f>IFERROR(INDEX(Disbursements!$D:$D,MATCH('Live Collections'!G4087,Disbursements!$C:$C,0)),"")</f>
        <v>2</v>
      </c>
      <c r="G4087" s="34">
        <v>400</v>
      </c>
      <c r="H4087" s="34">
        <v>5826</v>
      </c>
      <c r="I4087" s="34" t="s">
        <v>1357</v>
      </c>
      <c r="J4087" s="48"/>
      <c r="K4087" s="48"/>
      <c r="L4087" s="48"/>
      <c r="M4087" s="48"/>
      <c r="N4087" s="59"/>
      <c r="O4087" s="59">
        <v>80000</v>
      </c>
      <c r="P4087" s="59"/>
      <c r="Q4087" s="268">
        <f t="shared" si="195"/>
        <v>80000</v>
      </c>
      <c r="R4087" s="61">
        <f>IF(O4087=0,0,SUMIFS(Disbursements!$T:$T,Disbursements!$B:$B,'Live Collections'!D4087,Disbursements!$D:$D,'Live Collections'!F4087))</f>
        <v>76000</v>
      </c>
      <c r="S4087" s="304">
        <f>IF(O4087&lt;=IF($O4087=0,0,SUMIFS(Disbursements!$W:$W,Disbursements!$B:$B,'Live Collections'!D4087,Disbursements!$D:$D,'Live Collections'!F4087)),O4087,IF($O4087=0,0,SUMIFS(Disbursements!$W:$W,Disbursements!$B:$B,'Live Collections'!D4087,Disbursements!$D:$D,'Live Collections'!F4087)))</f>
        <v>21833.333333333336</v>
      </c>
      <c r="T4087" s="304">
        <f t="shared" ref="T4087:T4150" si="196">IF(O4087=0,0,O4087-S4087)</f>
        <v>58166.666666666664</v>
      </c>
      <c r="U4087" s="52"/>
      <c r="V4087" s="34"/>
      <c r="W4087" s="408"/>
    </row>
    <row r="4088" spans="1:23" ht="12.75" customHeight="1" x14ac:dyDescent="0.2">
      <c r="A4088" s="257">
        <v>4098</v>
      </c>
      <c r="B4088" s="44">
        <v>44684</v>
      </c>
      <c r="C4088" s="44">
        <f t="shared" si="194"/>
        <v>44684</v>
      </c>
      <c r="D4088" s="374">
        <v>112</v>
      </c>
      <c r="E4088" s="291" t="str">
        <f>IFERROR(VLOOKUP($D4088,'Clients-Live'!$A:$C,3,0),"")</f>
        <v>NURA JOYCE</v>
      </c>
      <c r="F4088" s="291">
        <f>IFERROR(INDEX(Disbursements!$D:$D,MATCH('Live Collections'!G4088,Disbursements!$C:$C,0)),"")</f>
        <v>2</v>
      </c>
      <c r="G4088" s="34">
        <v>337</v>
      </c>
      <c r="H4088" s="34">
        <v>6000</v>
      </c>
      <c r="I4088" s="34" t="s">
        <v>1359</v>
      </c>
      <c r="J4088" s="48"/>
      <c r="K4088" s="48"/>
      <c r="L4088" s="48"/>
      <c r="M4088" s="48"/>
      <c r="N4088" s="59"/>
      <c r="O4088" s="59">
        <v>150000</v>
      </c>
      <c r="P4088" s="59"/>
      <c r="Q4088" s="268">
        <f t="shared" si="195"/>
        <v>150000</v>
      </c>
      <c r="R4088" s="61">
        <f>IF(O4088=0,0,SUMIFS(Disbursements!$T:$T,Disbursements!$B:$B,'Live Collections'!D4088,Disbursements!$D:$D,'Live Collections'!F4088))</f>
        <v>150000</v>
      </c>
      <c r="S4088" s="304"/>
      <c r="T4088" s="304">
        <f t="shared" si="196"/>
        <v>150000</v>
      </c>
      <c r="U4088" s="52"/>
      <c r="V4088" s="34"/>
      <c r="W4088" s="408"/>
    </row>
    <row r="4089" spans="1:23" ht="12.75" customHeight="1" x14ac:dyDescent="0.2">
      <c r="A4089" s="257">
        <v>4099</v>
      </c>
      <c r="B4089" s="44">
        <v>44684</v>
      </c>
      <c r="C4089" s="44">
        <f t="shared" si="194"/>
        <v>44684</v>
      </c>
      <c r="D4089" s="374">
        <v>63</v>
      </c>
      <c r="E4089" s="291" t="str">
        <f>IFERROR(VLOOKUP($D4089,'Clients-Live'!$A:$C,3,0),"")</f>
        <v>AWURU KADARA</v>
      </c>
      <c r="F4089" s="291">
        <f>IFERROR(INDEX(Disbursements!$D:$D,MATCH('Live Collections'!G4089,Disbursements!$C:$C,0)),"")</f>
        <v>3</v>
      </c>
      <c r="G4089" s="34">
        <v>375</v>
      </c>
      <c r="H4089" s="34">
        <v>5999</v>
      </c>
      <c r="I4089" s="34" t="s">
        <v>1357</v>
      </c>
      <c r="J4089" s="48"/>
      <c r="K4089" s="48"/>
      <c r="L4089" s="48"/>
      <c r="M4089" s="48"/>
      <c r="N4089" s="59"/>
      <c r="O4089" s="59">
        <v>20000</v>
      </c>
      <c r="P4089" s="59"/>
      <c r="Q4089" s="268">
        <f t="shared" si="195"/>
        <v>20000</v>
      </c>
      <c r="R4089" s="61">
        <f>IF(O4089=0,0,SUMIFS(Disbursements!$T:$T,Disbursements!$B:$B,'Live Collections'!D4089,Disbursements!$D:$D,'Live Collections'!F4089))</f>
        <v>175000</v>
      </c>
      <c r="S4089" s="304"/>
      <c r="T4089" s="304">
        <f t="shared" si="196"/>
        <v>20000</v>
      </c>
      <c r="U4089" s="52"/>
      <c r="V4089" s="34"/>
      <c r="W4089" s="408"/>
    </row>
    <row r="4090" spans="1:23" ht="12.75" customHeight="1" x14ac:dyDescent="0.2">
      <c r="A4090" s="257">
        <v>4100</v>
      </c>
      <c r="B4090" s="44">
        <v>44685</v>
      </c>
      <c r="C4090" s="44">
        <f t="shared" si="194"/>
        <v>44685</v>
      </c>
      <c r="D4090" s="374">
        <v>144</v>
      </c>
      <c r="E4090" s="291" t="str">
        <f>IFERROR(VLOOKUP($D4090,'Clients-Live'!$A:$C,3,0),"")</f>
        <v>GBENINGA RUKIA</v>
      </c>
      <c r="F4090" s="291">
        <f>IFERROR(INDEX(Disbursements!$D:$D,MATCH('Live Collections'!G4090,Disbursements!$C:$C,0)),"")</f>
        <v>1</v>
      </c>
      <c r="G4090" s="34">
        <v>131</v>
      </c>
      <c r="H4090" s="34" t="s">
        <v>2397</v>
      </c>
      <c r="I4090" s="34" t="s">
        <v>1359</v>
      </c>
      <c r="J4090" s="48"/>
      <c r="K4090" s="48"/>
      <c r="L4090" s="48"/>
      <c r="M4090" s="48"/>
      <c r="N4090" s="59"/>
      <c r="O4090" s="59">
        <v>50000</v>
      </c>
      <c r="P4090" s="59">
        <v>-50000</v>
      </c>
      <c r="Q4090" s="268">
        <f t="shared" si="195"/>
        <v>0</v>
      </c>
      <c r="R4090" s="61">
        <f>IF(O4090=0,0,SUMIFS(Disbursements!$T:$T,Disbursements!$B:$B,'Live Collections'!D4090,Disbursements!$D:$D,'Live Collections'!F4090))</f>
        <v>125000</v>
      </c>
      <c r="S4090" s="304"/>
      <c r="T4090" s="304">
        <f t="shared" si="196"/>
        <v>50000</v>
      </c>
      <c r="U4090" s="52"/>
      <c r="V4090" s="34"/>
      <c r="W4090" s="408"/>
    </row>
    <row r="4091" spans="1:23" ht="12.75" customHeight="1" x14ac:dyDescent="0.2">
      <c r="A4091" s="257">
        <v>4101</v>
      </c>
      <c r="B4091" s="44">
        <v>44685</v>
      </c>
      <c r="C4091" s="44">
        <f t="shared" si="194"/>
        <v>44685</v>
      </c>
      <c r="D4091" s="374">
        <v>144</v>
      </c>
      <c r="E4091" s="291" t="str">
        <f>IFERROR(VLOOKUP($D4091,'Clients-Live'!$A:$C,3,0),"")</f>
        <v>GBENINGA RUKIA</v>
      </c>
      <c r="F4091" s="291" t="str">
        <f>IFERROR(INDEX(Disbursements!$D:$D,MATCH('Live Collections'!G4091,Disbursements!$C:$C,0)),"")</f>
        <v/>
      </c>
      <c r="G4091" s="34"/>
      <c r="H4091" s="34">
        <v>5933</v>
      </c>
      <c r="I4091" s="34" t="s">
        <v>1359</v>
      </c>
      <c r="J4091" s="48"/>
      <c r="K4091" s="48"/>
      <c r="L4091" s="48"/>
      <c r="M4091" s="48"/>
      <c r="N4091" s="59">
        <v>15000</v>
      </c>
      <c r="O4091" s="59"/>
      <c r="P4091" s="59"/>
      <c r="Q4091" s="268">
        <f t="shared" si="195"/>
        <v>15000</v>
      </c>
      <c r="R4091" s="61">
        <f>IF(O4091=0,0,SUMIFS(Disbursements!$T:$T,Disbursements!$B:$B,'Live Collections'!D4091,Disbursements!$D:$D,'Live Collections'!F4091))</f>
        <v>0</v>
      </c>
      <c r="S4091" s="304">
        <f>IF(O4091&lt;=IF($O4091=0,0,SUMIFS(Disbursements!$W:$W,Disbursements!$B:$B,'Live Collections'!D4091,Disbursements!$D:$D,'Live Collections'!F4091)),O4091,IF($O4091=0,0,SUMIFS(Disbursements!$W:$W,Disbursements!$B:$B,'Live Collections'!D4091,Disbursements!$D:$D,'Live Collections'!F4091)))</f>
        <v>0</v>
      </c>
      <c r="T4091" s="304">
        <f t="shared" si="196"/>
        <v>0</v>
      </c>
      <c r="U4091" s="52"/>
      <c r="V4091" s="34"/>
      <c r="W4091" s="408"/>
    </row>
    <row r="4092" spans="1:23" ht="12.75" customHeight="1" x14ac:dyDescent="0.2">
      <c r="A4092" s="257">
        <v>4102</v>
      </c>
      <c r="B4092" s="44">
        <v>44685</v>
      </c>
      <c r="C4092" s="44">
        <f t="shared" si="194"/>
        <v>44685</v>
      </c>
      <c r="D4092" s="374">
        <v>144</v>
      </c>
      <c r="E4092" s="291" t="str">
        <f>IFERROR(VLOOKUP($D4092,'Clients-Live'!$A:$C,3,0),"")</f>
        <v>GBENINGA RUKIA</v>
      </c>
      <c r="F4092" s="291">
        <f>IFERROR(INDEX(Disbursements!$D:$D,MATCH('Live Collections'!G4092,Disbursements!$C:$C,0)),"")</f>
        <v>1</v>
      </c>
      <c r="G4092" s="34">
        <v>131</v>
      </c>
      <c r="H4092" s="34">
        <v>5931</v>
      </c>
      <c r="I4092" s="34" t="s">
        <v>1359</v>
      </c>
      <c r="J4092" s="48"/>
      <c r="K4092" s="48"/>
      <c r="L4092" s="48"/>
      <c r="M4092" s="48"/>
      <c r="N4092" s="59"/>
      <c r="O4092" s="59">
        <v>5000</v>
      </c>
      <c r="P4092" s="59"/>
      <c r="Q4092" s="268">
        <f t="shared" si="195"/>
        <v>5000</v>
      </c>
      <c r="R4092" s="61">
        <f>IF(O4092=0,0,SUMIFS(Disbursements!$T:$T,Disbursements!$B:$B,'Live Collections'!D4092,Disbursements!$D:$D,'Live Collections'!F4092))</f>
        <v>125000</v>
      </c>
      <c r="S4092" s="304"/>
      <c r="T4092" s="304">
        <f t="shared" si="196"/>
        <v>5000</v>
      </c>
      <c r="U4092" s="52"/>
      <c r="V4092" s="34"/>
      <c r="W4092" s="408"/>
    </row>
    <row r="4093" spans="1:23" ht="12.75" customHeight="1" x14ac:dyDescent="0.2">
      <c r="A4093" s="257">
        <v>4103</v>
      </c>
      <c r="B4093" s="44">
        <v>44685</v>
      </c>
      <c r="C4093" s="44">
        <f t="shared" si="194"/>
        <v>44685</v>
      </c>
      <c r="D4093" s="374">
        <v>164</v>
      </c>
      <c r="E4093" s="291" t="str">
        <f>IFERROR(VLOOKUP($D4093,'Clients-Live'!$A:$C,3,0),"")</f>
        <v>ARIKE SWAIB</v>
      </c>
      <c r="F4093" s="291">
        <f>IFERROR(INDEX(Disbursements!$D:$D,MATCH('Live Collections'!G4093,Disbursements!$C:$C,0)),"")</f>
        <v>2</v>
      </c>
      <c r="G4093" s="34">
        <v>508</v>
      </c>
      <c r="H4093" s="34">
        <v>5930</v>
      </c>
      <c r="I4093" s="34" t="s">
        <v>1357</v>
      </c>
      <c r="J4093" s="48"/>
      <c r="K4093" s="48"/>
      <c r="L4093" s="48"/>
      <c r="M4093" s="48"/>
      <c r="N4093" s="59"/>
      <c r="O4093" s="59">
        <v>90000</v>
      </c>
      <c r="P4093" s="59"/>
      <c r="Q4093" s="268">
        <f t="shared" si="195"/>
        <v>90000</v>
      </c>
      <c r="R4093" s="61">
        <f>IF(O4093=0,0,SUMIFS(Disbursements!$T:$T,Disbursements!$B:$B,'Live Collections'!D4093,Disbursements!$D:$D,'Live Collections'!F4093))</f>
        <v>90000</v>
      </c>
      <c r="S4093" s="304">
        <f>IF(O4093&lt;=IF($O4093=0,0,SUMIFS(Disbursements!$W:$W,Disbursements!$B:$B,'Live Collections'!D4093,Disbursements!$D:$D,'Live Collections'!F4093)),O4093,IF($O4093=0,0,SUMIFS(Disbursements!$W:$W,Disbursements!$B:$B,'Live Collections'!D4093,Disbursements!$D:$D,'Live Collections'!F4093)))</f>
        <v>25416.666666666664</v>
      </c>
      <c r="T4093" s="304">
        <f t="shared" si="196"/>
        <v>64583.333333333336</v>
      </c>
      <c r="U4093" s="52"/>
      <c r="V4093" s="34"/>
      <c r="W4093" s="408"/>
    </row>
    <row r="4094" spans="1:23" ht="12.75" customHeight="1" x14ac:dyDescent="0.2">
      <c r="A4094" s="257">
        <v>4104</v>
      </c>
      <c r="B4094" s="44">
        <v>44685</v>
      </c>
      <c r="C4094" s="44">
        <f t="shared" si="194"/>
        <v>44685</v>
      </c>
      <c r="D4094" s="374">
        <v>238</v>
      </c>
      <c r="E4094" s="291" t="str">
        <f>IFERROR(VLOOKUP($D4094,'Clients-Live'!$A:$C,3,0),"")</f>
        <v>ANGAIKA SAID</v>
      </c>
      <c r="F4094" s="291">
        <f>IFERROR(INDEX(Disbursements!$D:$D,MATCH('Live Collections'!G4094,Disbursements!$C:$C,0)),"")</f>
        <v>2</v>
      </c>
      <c r="G4094" s="34">
        <v>441</v>
      </c>
      <c r="H4094" s="34">
        <v>5934</v>
      </c>
      <c r="I4094" s="34" t="s">
        <v>1359</v>
      </c>
      <c r="J4094" s="48"/>
      <c r="K4094" s="48"/>
      <c r="L4094" s="48"/>
      <c r="M4094" s="48"/>
      <c r="N4094" s="59"/>
      <c r="O4094" s="59">
        <v>40600</v>
      </c>
      <c r="P4094" s="59"/>
      <c r="Q4094" s="268">
        <f t="shared" si="195"/>
        <v>40600</v>
      </c>
      <c r="R4094" s="61">
        <f>IF(O4094=0,0,SUMIFS(Disbursements!$T:$T,Disbursements!$B:$B,'Live Collections'!D4094,Disbursements!$D:$D,'Live Collections'!F4094))</f>
        <v>41000</v>
      </c>
      <c r="S4094" s="304">
        <f>IF(O4094&lt;=IF($O4094=0,0,SUMIFS(Disbursements!$W:$W,Disbursements!$B:$B,'Live Collections'!D4094,Disbursements!$D:$D,'Live Collections'!F4094)),O4094,IF($O4094=0,0,SUMIFS(Disbursements!$W:$W,Disbursements!$B:$B,'Live Collections'!D4094,Disbursements!$D:$D,'Live Collections'!F4094)))</f>
        <v>11833.333333333332</v>
      </c>
      <c r="T4094" s="304">
        <f t="shared" si="196"/>
        <v>28766.666666666668</v>
      </c>
      <c r="U4094" s="52"/>
      <c r="V4094" s="34"/>
      <c r="W4094" s="408"/>
    </row>
    <row r="4095" spans="1:23" ht="12.75" customHeight="1" x14ac:dyDescent="0.2">
      <c r="A4095" s="257">
        <v>4105</v>
      </c>
      <c r="B4095" s="44">
        <v>44685</v>
      </c>
      <c r="C4095" s="44">
        <f t="shared" si="194"/>
        <v>44685</v>
      </c>
      <c r="D4095" s="374">
        <v>340</v>
      </c>
      <c r="E4095" s="291" t="str">
        <f>IFERROR(VLOOKUP($D4095,'Clients-Live'!$A:$C,3,0),"")</f>
        <v>NIGHT RAIMA</v>
      </c>
      <c r="F4095" s="291">
        <f>IFERROR(INDEX(Disbursements!$D:$D,MATCH('Live Collections'!G4095,Disbursements!$C:$C,0)),"")</f>
        <v>1</v>
      </c>
      <c r="G4095" s="34">
        <v>481</v>
      </c>
      <c r="H4095" s="34">
        <v>5935</v>
      </c>
      <c r="I4095" s="34" t="s">
        <v>1358</v>
      </c>
      <c r="J4095" s="48"/>
      <c r="K4095" s="48"/>
      <c r="L4095" s="48"/>
      <c r="M4095" s="48"/>
      <c r="N4095" s="59"/>
      <c r="O4095" s="59">
        <v>40000</v>
      </c>
      <c r="P4095" s="59"/>
      <c r="Q4095" s="268">
        <f t="shared" si="195"/>
        <v>40000</v>
      </c>
      <c r="R4095" s="61">
        <f>IF(O4095=0,0,SUMIFS(Disbursements!$T:$T,Disbursements!$B:$B,'Live Collections'!D4095,Disbursements!$D:$D,'Live Collections'!F4095))</f>
        <v>40000</v>
      </c>
      <c r="S4095" s="304">
        <f>IF(O4095&lt;=IF($O4095=0,0,SUMIFS(Disbursements!$W:$W,Disbursements!$B:$B,'Live Collections'!D4095,Disbursements!$D:$D,'Live Collections'!F4095)),O4095,IF($O4095=0,0,SUMIFS(Disbursements!$W:$W,Disbursements!$B:$B,'Live Collections'!D4095,Disbursements!$D:$D,'Live Collections'!F4095)))</f>
        <v>10000</v>
      </c>
      <c r="T4095" s="304">
        <f t="shared" si="196"/>
        <v>30000</v>
      </c>
      <c r="U4095" s="52"/>
      <c r="V4095" s="34"/>
      <c r="W4095" s="408"/>
    </row>
    <row r="4096" spans="1:23" ht="12.75" customHeight="1" x14ac:dyDescent="0.2">
      <c r="A4096" s="257">
        <v>4106</v>
      </c>
      <c r="B4096" s="44">
        <v>44685</v>
      </c>
      <c r="C4096" s="44">
        <f t="shared" ref="C4096:C4159" si="197">B4096</f>
        <v>44685</v>
      </c>
      <c r="D4096" s="374">
        <v>326</v>
      </c>
      <c r="E4096" s="291" t="str">
        <f>IFERROR(VLOOKUP($D4096,'Clients-Live'!$A:$C,3,0),"")</f>
        <v>AJUKI HARRIET</v>
      </c>
      <c r="F4096" s="291">
        <f>IFERROR(INDEX(Disbursements!$D:$D,MATCH('Live Collections'!G4096,Disbursements!$C:$C,0)),"")</f>
        <v>1</v>
      </c>
      <c r="G4096" s="34">
        <v>446</v>
      </c>
      <c r="H4096" s="34">
        <v>5929</v>
      </c>
      <c r="I4096" s="34" t="s">
        <v>1358</v>
      </c>
      <c r="J4096" s="48"/>
      <c r="K4096" s="48"/>
      <c r="L4096" s="48"/>
      <c r="M4096" s="48"/>
      <c r="N4096" s="59"/>
      <c r="O4096" s="59">
        <v>510000</v>
      </c>
      <c r="P4096" s="59"/>
      <c r="Q4096" s="268">
        <f t="shared" si="195"/>
        <v>510000</v>
      </c>
      <c r="R4096" s="61">
        <f>IF(O4096=0,0,SUMIFS(Disbursements!$T:$T,Disbursements!$B:$B,'Live Collections'!D4096,Disbursements!$D:$D,'Live Collections'!F4096))</f>
        <v>510000</v>
      </c>
      <c r="S4096" s="304">
        <f>IF(O4096&lt;=IF($O4096=0,0,SUMIFS(Disbursements!$W:$W,Disbursements!$B:$B,'Live Collections'!D4096,Disbursements!$D:$D,'Live Collections'!F4096)),O4096,IF($O4096=0,0,SUMIFS(Disbursements!$W:$W,Disbursements!$B:$B,'Live Collections'!D4096,Disbursements!$D:$D,'Live Collections'!F4096)))</f>
        <v>143333.33333333331</v>
      </c>
      <c r="T4096" s="304">
        <f t="shared" si="196"/>
        <v>366666.66666666669</v>
      </c>
      <c r="U4096" s="52"/>
      <c r="V4096" s="34"/>
      <c r="W4096" s="408"/>
    </row>
    <row r="4097" spans="1:23" ht="12.75" customHeight="1" x14ac:dyDescent="0.2">
      <c r="A4097" s="257">
        <v>4107</v>
      </c>
      <c r="B4097" s="44">
        <v>44685</v>
      </c>
      <c r="C4097" s="44">
        <f t="shared" si="197"/>
        <v>44685</v>
      </c>
      <c r="D4097" s="374">
        <v>205</v>
      </c>
      <c r="E4097" s="291" t="str">
        <f>IFERROR(VLOOKUP($D4097,'Clients-Live'!$A:$C,3,0),"")</f>
        <v>OPIRU ALICE</v>
      </c>
      <c r="F4097" s="291">
        <f>IFERROR(INDEX(Disbursements!$D:$D,MATCH('Live Collections'!G4097,Disbursements!$C:$C,0)),"")</f>
        <v>2</v>
      </c>
      <c r="G4097" s="34">
        <v>396</v>
      </c>
      <c r="H4097" s="34">
        <v>5928</v>
      </c>
      <c r="I4097" s="34" t="s">
        <v>1359</v>
      </c>
      <c r="J4097" s="48"/>
      <c r="K4097" s="48"/>
      <c r="L4097" s="48"/>
      <c r="M4097" s="48"/>
      <c r="N4097" s="59"/>
      <c r="O4097" s="59">
        <v>10000</v>
      </c>
      <c r="P4097" s="59"/>
      <c r="Q4097" s="268">
        <f t="shared" si="195"/>
        <v>10000</v>
      </c>
      <c r="R4097" s="61">
        <f>IF(O4097=0,0,SUMIFS(Disbursements!$T:$T,Disbursements!$B:$B,'Live Collections'!D4097,Disbursements!$D:$D,'Live Collections'!F4097))</f>
        <v>40000</v>
      </c>
      <c r="S4097" s="304"/>
      <c r="T4097" s="304">
        <f t="shared" si="196"/>
        <v>10000</v>
      </c>
      <c r="U4097" s="52"/>
      <c r="V4097" s="34"/>
      <c r="W4097" s="408"/>
    </row>
    <row r="4098" spans="1:23" ht="12.75" customHeight="1" x14ac:dyDescent="0.2">
      <c r="A4098" s="257">
        <v>4108</v>
      </c>
      <c r="B4098" s="44">
        <v>44685</v>
      </c>
      <c r="C4098" s="44">
        <f t="shared" si="197"/>
        <v>44685</v>
      </c>
      <c r="D4098" s="374">
        <v>213</v>
      </c>
      <c r="E4098" s="291" t="str">
        <f>IFERROR(VLOOKUP($D4098,'Clients-Live'!$A:$C,3,0),"")</f>
        <v>ATIKURU NADIA</v>
      </c>
      <c r="F4098" s="291">
        <f>IFERROR(INDEX(Disbursements!$D:$D,MATCH('Live Collections'!G4098,Disbursements!$C:$C,0)),"")</f>
        <v>2</v>
      </c>
      <c r="G4098" s="34">
        <v>378</v>
      </c>
      <c r="H4098" s="34">
        <v>5927</v>
      </c>
      <c r="I4098" s="34" t="s">
        <v>1358</v>
      </c>
      <c r="J4098" s="48"/>
      <c r="K4098" s="48"/>
      <c r="L4098" s="48"/>
      <c r="M4098" s="48"/>
      <c r="N4098" s="59"/>
      <c r="O4098" s="59">
        <v>100000</v>
      </c>
      <c r="P4098" s="59"/>
      <c r="Q4098" s="268">
        <f t="shared" si="195"/>
        <v>100000</v>
      </c>
      <c r="R4098" s="61">
        <f>IF(O4098=0,0,SUMIFS(Disbursements!$T:$T,Disbursements!$B:$B,'Live Collections'!D4098,Disbursements!$D:$D,'Live Collections'!F4098))</f>
        <v>300000</v>
      </c>
      <c r="S4098" s="304"/>
      <c r="T4098" s="304">
        <f t="shared" si="196"/>
        <v>100000</v>
      </c>
      <c r="U4098" s="52"/>
      <c r="V4098" s="34"/>
      <c r="W4098" s="408"/>
    </row>
    <row r="4099" spans="1:23" ht="12.75" customHeight="1" x14ac:dyDescent="0.2">
      <c r="A4099" s="257">
        <v>4109</v>
      </c>
      <c r="B4099" s="44">
        <v>44685</v>
      </c>
      <c r="C4099" s="44">
        <f t="shared" si="197"/>
        <v>44685</v>
      </c>
      <c r="D4099" s="374">
        <v>85</v>
      </c>
      <c r="E4099" s="291" t="str">
        <f>IFERROR(VLOOKUP($D4099,'Clients-Live'!$A:$C,3,0),"")</f>
        <v>CEASER SWALEH</v>
      </c>
      <c r="F4099" s="291">
        <f>IFERROR(INDEX(Disbursements!$D:$D,MATCH('Live Collections'!G4099,Disbursements!$C:$C,0)),"")</f>
        <v>3</v>
      </c>
      <c r="G4099" s="34">
        <v>413</v>
      </c>
      <c r="H4099" s="34">
        <v>5824</v>
      </c>
      <c r="I4099" s="34" t="s">
        <v>1357</v>
      </c>
      <c r="J4099" s="48"/>
      <c r="K4099" s="48"/>
      <c r="L4099" s="48"/>
      <c r="M4099" s="48"/>
      <c r="N4099" s="59"/>
      <c r="O4099" s="59">
        <v>100000</v>
      </c>
      <c r="P4099" s="59"/>
      <c r="Q4099" s="268">
        <f t="shared" si="195"/>
        <v>100000</v>
      </c>
      <c r="R4099" s="61">
        <f>IF(O4099=0,0,SUMIFS(Disbursements!$T:$T,Disbursements!$B:$B,'Live Collections'!D4099,Disbursements!$D:$D,'Live Collections'!F4099))</f>
        <v>788000</v>
      </c>
      <c r="S4099" s="304"/>
      <c r="T4099" s="304">
        <f t="shared" si="196"/>
        <v>100000</v>
      </c>
      <c r="U4099" s="52"/>
      <c r="V4099" s="34"/>
      <c r="W4099" s="408"/>
    </row>
    <row r="4100" spans="1:23" ht="12.75" customHeight="1" x14ac:dyDescent="0.2">
      <c r="A4100" s="257">
        <v>4110</v>
      </c>
      <c r="B4100" s="44">
        <v>44685</v>
      </c>
      <c r="C4100" s="44">
        <f t="shared" si="197"/>
        <v>44685</v>
      </c>
      <c r="D4100" s="374">
        <v>139</v>
      </c>
      <c r="E4100" s="291" t="str">
        <f>IFERROR(VLOOKUP($D4100,'Clients-Live'!$A:$C,3,0),"")</f>
        <v xml:space="preserve">DRICHIRU MAIMUNA </v>
      </c>
      <c r="F4100" s="291">
        <f>IFERROR(INDEX(Disbursements!$D:$D,MATCH('Live Collections'!G4100,Disbursements!$C:$C,0)),"")</f>
        <v>2</v>
      </c>
      <c r="G4100" s="34">
        <v>451</v>
      </c>
      <c r="H4100" s="34">
        <v>5926</v>
      </c>
      <c r="I4100" s="34" t="s">
        <v>1359</v>
      </c>
      <c r="J4100" s="48"/>
      <c r="K4100" s="48"/>
      <c r="L4100" s="48"/>
      <c r="M4100" s="48"/>
      <c r="N4100" s="59"/>
      <c r="O4100" s="59">
        <v>50000</v>
      </c>
      <c r="P4100" s="59"/>
      <c r="Q4100" s="268">
        <f t="shared" si="195"/>
        <v>50000</v>
      </c>
      <c r="R4100" s="61">
        <f>IF(O4100=0,0,SUMIFS(Disbursements!$T:$T,Disbursements!$B:$B,'Live Collections'!D4100,Disbursements!$D:$D,'Live Collections'!F4100))</f>
        <v>30000</v>
      </c>
      <c r="S4100" s="304">
        <f>IF(O4100&lt;=IF($O4100=0,0,SUMIFS(Disbursements!$W:$W,Disbursements!$B:$B,'Live Collections'!D4100,Disbursements!$D:$D,'Live Collections'!F4100)),O4100,IF($O4100=0,0,SUMIFS(Disbursements!$W:$W,Disbursements!$B:$B,'Live Collections'!D4100,Disbursements!$D:$D,'Live Collections'!F4100)))</f>
        <v>5000</v>
      </c>
      <c r="T4100" s="304">
        <f t="shared" si="196"/>
        <v>45000</v>
      </c>
      <c r="U4100" s="52"/>
      <c r="V4100" s="34"/>
      <c r="W4100" s="408"/>
    </row>
    <row r="4101" spans="1:23" ht="12.75" customHeight="1" x14ac:dyDescent="0.2">
      <c r="A4101" s="257">
        <v>4111</v>
      </c>
      <c r="B4101" s="44">
        <v>44685</v>
      </c>
      <c r="C4101" s="44">
        <f t="shared" si="197"/>
        <v>44685</v>
      </c>
      <c r="D4101" s="374">
        <v>229</v>
      </c>
      <c r="E4101" s="291" t="str">
        <f>IFERROR(VLOOKUP($D4101,'Clients-Live'!$A:$C,3,0),"")</f>
        <v>DAWA ANNET</v>
      </c>
      <c r="F4101" s="291">
        <f>IFERROR(INDEX(Disbursements!$D:$D,MATCH('Live Collections'!G4101,Disbursements!$C:$C,0)),"")</f>
        <v>2</v>
      </c>
      <c r="G4101" s="34">
        <v>454</v>
      </c>
      <c r="H4101" s="34">
        <v>5823</v>
      </c>
      <c r="I4101" s="34" t="s">
        <v>1357</v>
      </c>
      <c r="J4101" s="48"/>
      <c r="K4101" s="48"/>
      <c r="L4101" s="48"/>
      <c r="M4101" s="48"/>
      <c r="N4101" s="59"/>
      <c r="O4101" s="59">
        <v>278000</v>
      </c>
      <c r="P4101" s="59"/>
      <c r="Q4101" s="268">
        <f t="shared" si="195"/>
        <v>278000</v>
      </c>
      <c r="R4101" s="61">
        <f>IF(O4101=0,0,SUMIFS(Disbursements!$T:$T,Disbursements!$B:$B,'Live Collections'!D4101,Disbursements!$D:$D,'Live Collections'!F4101))</f>
        <v>278000</v>
      </c>
      <c r="S4101" s="304">
        <f>IF(O4101&lt;=IF($O4101=0,0,SUMIFS(Disbursements!$W:$W,Disbursements!$B:$B,'Live Collections'!D4101,Disbursements!$D:$D,'Live Collections'!F4101)),O4101,IF($O4101=0,0,SUMIFS(Disbursements!$W:$W,Disbursements!$B:$B,'Live Collections'!D4101,Disbursements!$D:$D,'Live Collections'!F4101)))</f>
        <v>78000</v>
      </c>
      <c r="T4101" s="304">
        <f t="shared" si="196"/>
        <v>200000</v>
      </c>
      <c r="U4101" s="52"/>
      <c r="V4101" s="34"/>
      <c r="W4101" s="408"/>
    </row>
    <row r="4102" spans="1:23" ht="12.75" customHeight="1" x14ac:dyDescent="0.2">
      <c r="A4102" s="257">
        <v>4112</v>
      </c>
      <c r="B4102" s="44">
        <v>44685</v>
      </c>
      <c r="C4102" s="44">
        <f t="shared" si="197"/>
        <v>44685</v>
      </c>
      <c r="D4102" s="374">
        <v>138</v>
      </c>
      <c r="E4102" s="291" t="str">
        <f>IFERROR(VLOOKUP($D4102,'Clients-Live'!$A:$C,3,0),"")</f>
        <v>BEATRICE AMANDRU</v>
      </c>
      <c r="F4102" s="291">
        <f>IFERROR(INDEX(Disbursements!$D:$D,MATCH('Live Collections'!G4102,Disbursements!$C:$C,0)),"")</f>
        <v>4</v>
      </c>
      <c r="G4102" s="34">
        <v>442</v>
      </c>
      <c r="H4102" s="34">
        <v>5821</v>
      </c>
      <c r="I4102" s="34" t="s">
        <v>1357</v>
      </c>
      <c r="J4102" s="48"/>
      <c r="K4102" s="48"/>
      <c r="L4102" s="48"/>
      <c r="M4102" s="48"/>
      <c r="N4102" s="59"/>
      <c r="O4102" s="59">
        <v>100000</v>
      </c>
      <c r="P4102" s="59"/>
      <c r="Q4102" s="268">
        <f t="shared" si="195"/>
        <v>100000</v>
      </c>
      <c r="R4102" s="61">
        <f>IF(O4102=0,0,SUMIFS(Disbursements!$T:$T,Disbursements!$B:$B,'Live Collections'!D4102,Disbursements!$D:$D,'Live Collections'!F4102))</f>
        <v>565000</v>
      </c>
      <c r="S4102" s="304">
        <f>IF(O4102&lt;=IF($O4102=0,0,SUMIFS(Disbursements!$W:$W,Disbursements!$B:$B,'Live Collections'!D4102,Disbursements!$D:$D,'Live Collections'!F4102)),O4102,IF($O4102=0,0,SUMIFS(Disbursements!$W:$W,Disbursements!$B:$B,'Live Collections'!D4102,Disbursements!$D:$D,'Live Collections'!F4102)))</f>
        <v>65000</v>
      </c>
      <c r="T4102" s="304">
        <f t="shared" si="196"/>
        <v>35000</v>
      </c>
      <c r="U4102" s="52"/>
      <c r="V4102" s="34"/>
      <c r="W4102" s="408"/>
    </row>
    <row r="4103" spans="1:23" ht="12.75" customHeight="1" x14ac:dyDescent="0.2">
      <c r="A4103" s="257">
        <v>4113</v>
      </c>
      <c r="B4103" s="44">
        <v>44685</v>
      </c>
      <c r="C4103" s="44">
        <f t="shared" si="197"/>
        <v>44685</v>
      </c>
      <c r="D4103" s="374">
        <v>335</v>
      </c>
      <c r="E4103" s="291" t="str">
        <f>IFERROR(VLOOKUP($D4103,'Clients-Live'!$A:$C,3,0),"")</f>
        <v>FOGO FRANCIS DRANI</v>
      </c>
      <c r="F4103" s="291">
        <f>IFERROR(INDEX(Disbursements!$D:$D,MATCH('Live Collections'!G4103,Disbursements!$C:$C,0)),"")</f>
        <v>1</v>
      </c>
      <c r="G4103" s="34">
        <v>467</v>
      </c>
      <c r="H4103" s="34">
        <v>5822</v>
      </c>
      <c r="I4103" s="34" t="s">
        <v>1357</v>
      </c>
      <c r="J4103" s="48"/>
      <c r="K4103" s="48"/>
      <c r="L4103" s="48"/>
      <c r="M4103" s="48"/>
      <c r="N4103" s="59"/>
      <c r="O4103" s="59">
        <v>80000</v>
      </c>
      <c r="P4103" s="59"/>
      <c r="Q4103" s="268">
        <f t="shared" si="195"/>
        <v>80000</v>
      </c>
      <c r="R4103" s="61">
        <f>IF(O4103=0,0,SUMIFS(Disbursements!$T:$T,Disbursements!$B:$B,'Live Collections'!D4103,Disbursements!$D:$D,'Live Collections'!F4103))</f>
        <v>613000</v>
      </c>
      <c r="S4103" s="304"/>
      <c r="T4103" s="304">
        <f t="shared" si="196"/>
        <v>80000</v>
      </c>
      <c r="U4103" s="52"/>
      <c r="V4103" s="34"/>
      <c r="W4103" s="408"/>
    </row>
    <row r="4104" spans="1:23" ht="12.75" customHeight="1" x14ac:dyDescent="0.2">
      <c r="A4104" s="257">
        <v>4114</v>
      </c>
      <c r="B4104" s="44">
        <v>44686</v>
      </c>
      <c r="C4104" s="44">
        <f t="shared" si="197"/>
        <v>44686</v>
      </c>
      <c r="D4104" s="374">
        <v>304</v>
      </c>
      <c r="E4104" s="291" t="str">
        <f>IFERROR(VLOOKUP($D4104,'Clients-Live'!$A:$C,3,0),"")</f>
        <v>ATAKO GLORIA</v>
      </c>
      <c r="F4104" s="291">
        <f>IFERROR(INDEX(Disbursements!$D:$D,MATCH('Live Collections'!G4104,Disbursements!$C:$C,0)),"")</f>
        <v>1</v>
      </c>
      <c r="G4104" s="34">
        <v>398</v>
      </c>
      <c r="H4104" s="34" t="s">
        <v>2402</v>
      </c>
      <c r="I4104" s="34" t="s">
        <v>1357</v>
      </c>
      <c r="J4104" s="48"/>
      <c r="K4104" s="48"/>
      <c r="L4104" s="48"/>
      <c r="M4104" s="48"/>
      <c r="N4104" s="59"/>
      <c r="O4104" s="59">
        <v>40000</v>
      </c>
      <c r="P4104" s="59">
        <v>-40000</v>
      </c>
      <c r="Q4104" s="268">
        <f t="shared" si="195"/>
        <v>0</v>
      </c>
      <c r="R4104" s="61">
        <f>IF(O4104=0,0,SUMIFS(Disbursements!$T:$T,Disbursements!$B:$B,'Live Collections'!D4104,Disbursements!$D:$D,'Live Collections'!F4104))</f>
        <v>32000</v>
      </c>
      <c r="S4104" s="304"/>
      <c r="T4104" s="304">
        <f t="shared" si="196"/>
        <v>40000</v>
      </c>
      <c r="U4104" s="52"/>
      <c r="V4104" s="34"/>
      <c r="W4104" s="408"/>
    </row>
    <row r="4105" spans="1:23" ht="12.75" customHeight="1" x14ac:dyDescent="0.2">
      <c r="A4105" s="257">
        <v>4115</v>
      </c>
      <c r="B4105" s="44">
        <v>44686</v>
      </c>
      <c r="C4105" s="44">
        <f t="shared" si="197"/>
        <v>44686</v>
      </c>
      <c r="D4105" s="374">
        <v>304</v>
      </c>
      <c r="E4105" s="291" t="str">
        <f>IFERROR(VLOOKUP($D4105,'Clients-Live'!$A:$C,3,0),"")</f>
        <v>ATAKO GLORIA</v>
      </c>
      <c r="F4105" s="291">
        <f>IFERROR(INDEX(Disbursements!$D:$D,MATCH('Live Collections'!G4105,Disbursements!$C:$C,0)),"")</f>
        <v>1</v>
      </c>
      <c r="G4105" s="34">
        <v>398</v>
      </c>
      <c r="H4105" s="34">
        <v>7460</v>
      </c>
      <c r="I4105" s="34" t="s">
        <v>1357</v>
      </c>
      <c r="J4105" s="48"/>
      <c r="K4105" s="48"/>
      <c r="L4105" s="48"/>
      <c r="M4105" s="48"/>
      <c r="N4105" s="59"/>
      <c r="O4105" s="59">
        <v>111500</v>
      </c>
      <c r="P4105" s="59"/>
      <c r="Q4105" s="268">
        <f t="shared" si="195"/>
        <v>111500</v>
      </c>
      <c r="R4105" s="61">
        <f>IF(O4105=0,0,SUMIFS(Disbursements!$T:$T,Disbursements!$B:$B,'Live Collections'!D4105,Disbursements!$D:$D,'Live Collections'!F4105))</f>
        <v>32000</v>
      </c>
      <c r="S4105" s="304"/>
      <c r="T4105" s="304">
        <f t="shared" si="196"/>
        <v>111500</v>
      </c>
      <c r="U4105" s="52"/>
      <c r="V4105" s="34"/>
      <c r="W4105" s="408"/>
    </row>
    <row r="4106" spans="1:23" ht="12.75" customHeight="1" x14ac:dyDescent="0.2">
      <c r="A4106" s="257">
        <v>4116</v>
      </c>
      <c r="B4106" s="44">
        <v>44686</v>
      </c>
      <c r="C4106" s="44">
        <f t="shared" si="197"/>
        <v>44686</v>
      </c>
      <c r="D4106" s="374">
        <v>9</v>
      </c>
      <c r="E4106" s="291" t="str">
        <f>IFERROR(VLOOKUP($D4106,'Clients-Live'!$A:$C,3,0),"")</f>
        <v>TABAN DAVID YAYA</v>
      </c>
      <c r="F4106" s="291">
        <f>IFERROR(INDEX(Disbursements!$D:$D,MATCH('Live Collections'!G4106,Disbursements!$C:$C,0)),"")</f>
        <v>4</v>
      </c>
      <c r="G4106" s="34">
        <v>507</v>
      </c>
      <c r="H4106" s="34">
        <v>7457</v>
      </c>
      <c r="I4106" s="34" t="s">
        <v>1357</v>
      </c>
      <c r="J4106" s="48"/>
      <c r="K4106" s="48"/>
      <c r="L4106" s="48"/>
      <c r="M4106" s="48"/>
      <c r="N4106" s="59"/>
      <c r="O4106" s="59">
        <v>30000</v>
      </c>
      <c r="P4106" s="59"/>
      <c r="Q4106" s="268">
        <f t="shared" si="195"/>
        <v>30000</v>
      </c>
      <c r="R4106" s="61">
        <f>IF(O4106=0,0,SUMIFS(Disbursements!$T:$T,Disbursements!$B:$B,'Live Collections'!D4106,Disbursements!$D:$D,'Live Collections'!F4106))</f>
        <v>174000</v>
      </c>
      <c r="S4106" s="304">
        <f>IF(O4106&lt;=IF($O4106=0,0,SUMIFS(Disbursements!$W:$W,Disbursements!$B:$B,'Live Collections'!D4106,Disbursements!$D:$D,'Live Collections'!F4106)),O4106,IF($O4106=0,0,SUMIFS(Disbursements!$W:$W,Disbursements!$B:$B,'Live Collections'!D4106,Disbursements!$D:$D,'Live Collections'!F4106)))</f>
        <v>30000</v>
      </c>
      <c r="T4106" s="304">
        <f t="shared" si="196"/>
        <v>0</v>
      </c>
      <c r="U4106" s="52"/>
      <c r="V4106" s="34"/>
      <c r="W4106" s="408"/>
    </row>
    <row r="4107" spans="1:23" ht="12.75" customHeight="1" x14ac:dyDescent="0.2">
      <c r="A4107" s="257">
        <v>4117</v>
      </c>
      <c r="B4107" s="44">
        <v>44686</v>
      </c>
      <c r="C4107" s="44">
        <f t="shared" si="197"/>
        <v>44686</v>
      </c>
      <c r="D4107" s="374">
        <v>18</v>
      </c>
      <c r="E4107" s="291" t="str">
        <f>IFERROR(VLOOKUP($D4107,'Clients-Live'!$A:$C,3,0),"")</f>
        <v>ARIYE PEACE</v>
      </c>
      <c r="F4107" s="291" t="str">
        <f>IFERROR(INDEX(Disbursements!$D:$D,MATCH('Live Collections'!G4107,Disbursements!$C:$C,0)),"")</f>
        <v/>
      </c>
      <c r="G4107" s="34"/>
      <c r="H4107" s="34">
        <v>7459</v>
      </c>
      <c r="I4107" s="34" t="s">
        <v>1357</v>
      </c>
      <c r="J4107" s="48"/>
      <c r="K4107" s="48">
        <v>5000</v>
      </c>
      <c r="L4107" s="48"/>
      <c r="M4107" s="48"/>
      <c r="N4107" s="59"/>
      <c r="O4107" s="59"/>
      <c r="P4107" s="59"/>
      <c r="Q4107" s="268">
        <f t="shared" si="195"/>
        <v>5000</v>
      </c>
      <c r="R4107" s="61">
        <f>IF(O4107=0,0,SUMIFS(Disbursements!$T:$T,Disbursements!$B:$B,'Live Collections'!D4107,Disbursements!$D:$D,'Live Collections'!F4107))</f>
        <v>0</v>
      </c>
      <c r="S4107" s="304">
        <f>IF(O4107&lt;=IF($O4107=0,0,SUMIFS(Disbursements!$W:$W,Disbursements!$B:$B,'Live Collections'!D4107,Disbursements!$D:$D,'Live Collections'!F4107)),O4107,IF($O4107=0,0,SUMIFS(Disbursements!$W:$W,Disbursements!$B:$B,'Live Collections'!D4107,Disbursements!$D:$D,'Live Collections'!F4107)))</f>
        <v>0</v>
      </c>
      <c r="T4107" s="304">
        <f t="shared" si="196"/>
        <v>0</v>
      </c>
      <c r="U4107" s="52"/>
      <c r="V4107" s="34"/>
      <c r="W4107" s="408"/>
    </row>
    <row r="4108" spans="1:23" ht="12.75" customHeight="1" x14ac:dyDescent="0.2">
      <c r="A4108" s="257">
        <v>4118</v>
      </c>
      <c r="B4108" s="44">
        <v>44686</v>
      </c>
      <c r="C4108" s="44">
        <f t="shared" si="197"/>
        <v>44686</v>
      </c>
      <c r="D4108" s="374">
        <v>18</v>
      </c>
      <c r="E4108" s="291" t="str">
        <f>IFERROR(VLOOKUP($D4108,'Clients-Live'!$A:$C,3,0),"")</f>
        <v>ARIYE PEACE</v>
      </c>
      <c r="F4108" s="291">
        <f>IFERROR(INDEX(Disbursements!$D:$D,MATCH('Live Collections'!G4108,Disbursements!$C:$C,0)),"")</f>
        <v>2</v>
      </c>
      <c r="G4108" s="34">
        <v>317</v>
      </c>
      <c r="H4108" s="34">
        <v>7456</v>
      </c>
      <c r="I4108" s="34" t="s">
        <v>1357</v>
      </c>
      <c r="J4108" s="48"/>
      <c r="K4108" s="48"/>
      <c r="L4108" s="48"/>
      <c r="M4108" s="48"/>
      <c r="N4108" s="59"/>
      <c r="O4108" s="59">
        <v>95000</v>
      </c>
      <c r="P4108" s="59"/>
      <c r="Q4108" s="268">
        <f t="shared" si="195"/>
        <v>95000</v>
      </c>
      <c r="R4108" s="61">
        <f>IF(O4108=0,0,SUMIFS(Disbursements!$T:$T,Disbursements!$B:$B,'Live Collections'!D4108,Disbursements!$D:$D,'Live Collections'!F4108))</f>
        <v>650000</v>
      </c>
      <c r="S4108" s="304">
        <v>26000</v>
      </c>
      <c r="T4108" s="304">
        <f t="shared" si="196"/>
        <v>69000</v>
      </c>
      <c r="U4108" s="52"/>
      <c r="V4108" s="34"/>
      <c r="W4108" s="408"/>
    </row>
    <row r="4109" spans="1:23" ht="12.75" customHeight="1" x14ac:dyDescent="0.2">
      <c r="A4109" s="257">
        <v>4119</v>
      </c>
      <c r="B4109" s="44">
        <v>44686</v>
      </c>
      <c r="C4109" s="44">
        <f t="shared" si="197"/>
        <v>44686</v>
      </c>
      <c r="D4109" s="374">
        <v>42</v>
      </c>
      <c r="E4109" s="291" t="str">
        <f>IFERROR(VLOOKUP($D4109,'Clients-Live'!$A:$C,3,0),"")</f>
        <v>ABAU   NOLA</v>
      </c>
      <c r="F4109" s="291">
        <f>IFERROR(INDEX(Disbursements!$D:$D,MATCH('Live Collections'!G4109,Disbursements!$C:$C,0)),"")</f>
        <v>4</v>
      </c>
      <c r="G4109" s="34">
        <v>498</v>
      </c>
      <c r="H4109" s="34">
        <v>7453</v>
      </c>
      <c r="I4109" s="34" t="s">
        <v>1359</v>
      </c>
      <c r="J4109" s="48"/>
      <c r="K4109" s="48"/>
      <c r="L4109" s="48"/>
      <c r="M4109" s="48"/>
      <c r="N4109" s="59"/>
      <c r="O4109" s="59">
        <v>15000</v>
      </c>
      <c r="P4109" s="59"/>
      <c r="Q4109" s="268">
        <f t="shared" si="195"/>
        <v>15000</v>
      </c>
      <c r="R4109" s="61">
        <f>IF(O4109=0,0,SUMIFS(Disbursements!$T:$T,Disbursements!$B:$B,'Live Collections'!D4109,Disbursements!$D:$D,'Live Collections'!F4109))</f>
        <v>100000</v>
      </c>
      <c r="S4109" s="304">
        <f>IF(O4109&lt;=IF($O4109=0,0,SUMIFS(Disbursements!$W:$W,Disbursements!$B:$B,'Live Collections'!D4109,Disbursements!$D:$D,'Live Collections'!F4109)),O4109,IF($O4109=0,0,SUMIFS(Disbursements!$W:$W,Disbursements!$B:$B,'Live Collections'!D4109,Disbursements!$D:$D,'Live Collections'!F4109)))</f>
        <v>15000</v>
      </c>
      <c r="T4109" s="304">
        <f t="shared" si="196"/>
        <v>0</v>
      </c>
      <c r="U4109" s="52"/>
      <c r="V4109" s="34"/>
      <c r="W4109" s="408"/>
    </row>
    <row r="4110" spans="1:23" ht="12.75" customHeight="1" x14ac:dyDescent="0.2">
      <c r="A4110" s="257">
        <v>4120</v>
      </c>
      <c r="B4110" s="44">
        <v>44686</v>
      </c>
      <c r="C4110" s="44">
        <f t="shared" si="197"/>
        <v>44686</v>
      </c>
      <c r="D4110" s="374">
        <v>361</v>
      </c>
      <c r="E4110" s="291" t="str">
        <f>IFERROR(VLOOKUP($D4110,'Clients-Live'!$A:$C,3,0),"")</f>
        <v>MUSA ZAKARIA</v>
      </c>
      <c r="F4110" s="291" t="str">
        <f>IFERROR(INDEX(Disbursements!$D:$D,MATCH('Live Collections'!G4110,Disbursements!$C:$C,0)),"")</f>
        <v/>
      </c>
      <c r="G4110" s="34"/>
      <c r="H4110" s="34">
        <v>7467</v>
      </c>
      <c r="I4110" s="34" t="s">
        <v>1760</v>
      </c>
      <c r="J4110" s="48"/>
      <c r="K4110" s="48"/>
      <c r="L4110" s="48"/>
      <c r="M4110" s="48"/>
      <c r="N4110" s="59"/>
      <c r="O4110" s="59"/>
      <c r="P4110" s="59">
        <v>50000</v>
      </c>
      <c r="Q4110" s="268">
        <f t="shared" si="195"/>
        <v>50000</v>
      </c>
      <c r="R4110" s="61">
        <f>IF(O4110=0,0,SUMIFS(Disbursements!$T:$T,Disbursements!$B:$B,'Live Collections'!D4110,Disbursements!$D:$D,'Live Collections'!F4110))</f>
        <v>0</v>
      </c>
      <c r="S4110" s="304">
        <f>IF(O4110&lt;=IF($O4110=0,0,SUMIFS(Disbursements!$W:$W,Disbursements!$B:$B,'Live Collections'!D4110,Disbursements!$D:$D,'Live Collections'!F4110)),O4110,IF($O4110=0,0,SUMIFS(Disbursements!$W:$W,Disbursements!$B:$B,'Live Collections'!D4110,Disbursements!$D:$D,'Live Collections'!F4110)))</f>
        <v>0</v>
      </c>
      <c r="T4110" s="304">
        <f t="shared" si="196"/>
        <v>0</v>
      </c>
      <c r="U4110" s="52"/>
      <c r="V4110" s="34"/>
      <c r="W4110" s="408"/>
    </row>
    <row r="4111" spans="1:23" ht="12.75" customHeight="1" x14ac:dyDescent="0.2">
      <c r="A4111" s="257">
        <v>4121</v>
      </c>
      <c r="B4111" s="44">
        <v>44686</v>
      </c>
      <c r="C4111" s="44">
        <f t="shared" si="197"/>
        <v>44686</v>
      </c>
      <c r="D4111" s="374">
        <v>361</v>
      </c>
      <c r="E4111" s="291" t="str">
        <f>IFERROR(VLOOKUP($D4111,'Clients-Live'!$A:$C,3,0),"")</f>
        <v>MUSA ZAKARIA</v>
      </c>
      <c r="F4111" s="291" t="str">
        <f>IFERROR(INDEX(Disbursements!$D:$D,MATCH('Live Collections'!G4111,Disbursements!$C:$C,0)),"")</f>
        <v/>
      </c>
      <c r="G4111" s="34"/>
      <c r="H4111" s="34">
        <v>7466</v>
      </c>
      <c r="I4111" s="34" t="s">
        <v>1760</v>
      </c>
      <c r="J4111" s="48"/>
      <c r="K4111" s="48"/>
      <c r="L4111" s="48">
        <v>15000</v>
      </c>
      <c r="M4111" s="48">
        <v>5000</v>
      </c>
      <c r="N4111" s="59"/>
      <c r="O4111" s="59"/>
      <c r="P4111" s="59"/>
      <c r="Q4111" s="268">
        <f t="shared" si="195"/>
        <v>20000</v>
      </c>
      <c r="R4111" s="61">
        <f>IF(O4111=0,0,SUMIFS(Disbursements!$T:$T,Disbursements!$B:$B,'Live Collections'!D4111,Disbursements!$D:$D,'Live Collections'!F4111))</f>
        <v>0</v>
      </c>
      <c r="S4111" s="304">
        <f>IF(O4111&lt;=IF($O4111=0,0,SUMIFS(Disbursements!$W:$W,Disbursements!$B:$B,'Live Collections'!D4111,Disbursements!$D:$D,'Live Collections'!F4111)),O4111,IF($O4111=0,0,SUMIFS(Disbursements!$W:$W,Disbursements!$B:$B,'Live Collections'!D4111,Disbursements!$D:$D,'Live Collections'!F4111)))</f>
        <v>0</v>
      </c>
      <c r="T4111" s="304">
        <f t="shared" si="196"/>
        <v>0</v>
      </c>
      <c r="U4111" s="52"/>
      <c r="V4111" s="34"/>
      <c r="W4111" s="408"/>
    </row>
    <row r="4112" spans="1:23" ht="12.75" customHeight="1" x14ac:dyDescent="0.2">
      <c r="A4112" s="257">
        <v>4122</v>
      </c>
      <c r="B4112" s="44">
        <v>44686</v>
      </c>
      <c r="C4112" s="44">
        <f t="shared" si="197"/>
        <v>44686</v>
      </c>
      <c r="D4112" s="374">
        <v>361</v>
      </c>
      <c r="E4112" s="291" t="str">
        <f>IFERROR(VLOOKUP($D4112,'Clients-Live'!$A:$C,3,0),"")</f>
        <v>MUSA ZAKARIA</v>
      </c>
      <c r="F4112" s="291" t="str">
        <f>IFERROR(INDEX(Disbursements!$D:$D,MATCH('Live Collections'!G4112,Disbursements!$C:$C,0)),"")</f>
        <v/>
      </c>
      <c r="G4112" s="34"/>
      <c r="H4112" s="34">
        <v>7465</v>
      </c>
      <c r="I4112" s="34" t="s">
        <v>1760</v>
      </c>
      <c r="J4112" s="48">
        <v>15000</v>
      </c>
      <c r="K4112" s="48">
        <v>5000</v>
      </c>
      <c r="L4112" s="48"/>
      <c r="M4112" s="48"/>
      <c r="N4112" s="59"/>
      <c r="O4112" s="59"/>
      <c r="P4112" s="59"/>
      <c r="Q4112" s="268">
        <f t="shared" si="195"/>
        <v>20000</v>
      </c>
      <c r="R4112" s="61">
        <f>IF(O4112=0,0,SUMIFS(Disbursements!$T:$T,Disbursements!$B:$B,'Live Collections'!D4112,Disbursements!$D:$D,'Live Collections'!F4112))</f>
        <v>0</v>
      </c>
      <c r="S4112" s="304">
        <f>IF(O4112&lt;=IF($O4112=0,0,SUMIFS(Disbursements!$W:$W,Disbursements!$B:$B,'Live Collections'!D4112,Disbursements!$D:$D,'Live Collections'!F4112)),O4112,IF($O4112=0,0,SUMIFS(Disbursements!$W:$W,Disbursements!$B:$B,'Live Collections'!D4112,Disbursements!$D:$D,'Live Collections'!F4112)))</f>
        <v>0</v>
      </c>
      <c r="T4112" s="304">
        <f t="shared" si="196"/>
        <v>0</v>
      </c>
      <c r="U4112" s="52"/>
      <c r="V4112" s="34"/>
      <c r="W4112" s="408"/>
    </row>
    <row r="4113" spans="1:23" ht="12.75" customHeight="1" x14ac:dyDescent="0.2">
      <c r="A4113" s="257">
        <v>4123</v>
      </c>
      <c r="B4113" s="44">
        <v>44686</v>
      </c>
      <c r="C4113" s="44">
        <f t="shared" si="197"/>
        <v>44686</v>
      </c>
      <c r="D4113" s="374">
        <v>252</v>
      </c>
      <c r="E4113" s="291" t="str">
        <f>IFERROR(VLOOKUP($D4113,'Clients-Live'!$A:$C,3,0),"")</f>
        <v>ANGUCIA JESCA</v>
      </c>
      <c r="F4113" s="291">
        <f>IFERROR(INDEX(Disbursements!$D:$D,MATCH('Live Collections'!G4113,Disbursements!$C:$C,0)),"")</f>
        <v>1</v>
      </c>
      <c r="G4113" s="34">
        <v>286</v>
      </c>
      <c r="H4113" s="34">
        <v>7458</v>
      </c>
      <c r="I4113" s="34" t="s">
        <v>1359</v>
      </c>
      <c r="J4113" s="48"/>
      <c r="K4113" s="48"/>
      <c r="L4113" s="48"/>
      <c r="M4113" s="48"/>
      <c r="N4113" s="59"/>
      <c r="O4113" s="59">
        <v>30000</v>
      </c>
      <c r="P4113" s="59"/>
      <c r="Q4113" s="268">
        <f t="shared" si="195"/>
        <v>30000</v>
      </c>
      <c r="R4113" s="61">
        <f>IF(O4113=0,0,SUMIFS(Disbursements!$T:$T,Disbursements!$B:$B,'Live Collections'!D4113,Disbursements!$D:$D,'Live Collections'!F4113))</f>
        <v>120000</v>
      </c>
      <c r="S4113" s="304"/>
      <c r="T4113" s="304">
        <f t="shared" si="196"/>
        <v>30000</v>
      </c>
      <c r="U4113" s="52"/>
      <c r="V4113" s="34"/>
      <c r="W4113" s="408"/>
    </row>
    <row r="4114" spans="1:23" ht="12.75" customHeight="1" x14ac:dyDescent="0.2">
      <c r="A4114" s="257">
        <v>4124</v>
      </c>
      <c r="B4114" s="44">
        <v>44686</v>
      </c>
      <c r="C4114" s="44">
        <f t="shared" si="197"/>
        <v>44686</v>
      </c>
      <c r="D4114" s="374">
        <v>67</v>
      </c>
      <c r="E4114" s="291" t="str">
        <f>IFERROR(VLOOKUP($D4114,'Clients-Live'!$A:$C,3,0),"")</f>
        <v>KEBITA SAUDA</v>
      </c>
      <c r="F4114" s="291">
        <f>IFERROR(INDEX(Disbursements!$D:$D,MATCH('Live Collections'!G4114,Disbursements!$C:$C,0)),"")</f>
        <v>3</v>
      </c>
      <c r="G4114" s="34">
        <v>523</v>
      </c>
      <c r="H4114" s="34">
        <v>7454</v>
      </c>
      <c r="I4114" s="34" t="s">
        <v>1358</v>
      </c>
      <c r="J4114" s="48"/>
      <c r="K4114" s="48"/>
      <c r="L4114" s="48"/>
      <c r="M4114" s="48"/>
      <c r="N4114" s="59"/>
      <c r="O4114" s="59">
        <v>40000</v>
      </c>
      <c r="P4114" s="59"/>
      <c r="Q4114" s="268">
        <f t="shared" si="195"/>
        <v>40000</v>
      </c>
      <c r="R4114" s="61">
        <f>IF(O4114=0,0,SUMIFS(Disbursements!$T:$T,Disbursements!$B:$B,'Live Collections'!D4114,Disbursements!$D:$D,'Live Collections'!F4114))</f>
        <v>126000</v>
      </c>
      <c r="S4114" s="304">
        <f>IF(O4114&lt;=IF($O4114=0,0,SUMIFS(Disbursements!$W:$W,Disbursements!$B:$B,'Live Collections'!D4114,Disbursements!$D:$D,'Live Collections'!F4114)),O4114,IF($O4114=0,0,SUMIFS(Disbursements!$W:$W,Disbursements!$B:$B,'Live Collections'!D4114,Disbursements!$D:$D,'Live Collections'!F4114)))</f>
        <v>26000</v>
      </c>
      <c r="T4114" s="304">
        <f t="shared" si="196"/>
        <v>14000</v>
      </c>
      <c r="U4114" s="52"/>
      <c r="V4114" s="34"/>
      <c r="W4114" s="408"/>
    </row>
    <row r="4115" spans="1:23" ht="12.75" customHeight="1" x14ac:dyDescent="0.2">
      <c r="A4115" s="257">
        <v>4125</v>
      </c>
      <c r="B4115" s="44">
        <v>44686</v>
      </c>
      <c r="C4115" s="44">
        <f t="shared" si="197"/>
        <v>44686</v>
      </c>
      <c r="D4115" s="374">
        <v>168</v>
      </c>
      <c r="E4115" s="291" t="str">
        <f>IFERROR(VLOOKUP($D4115,'Clients-Live'!$A:$C,3,0),"")</f>
        <v>ALORO FREDERICK</v>
      </c>
      <c r="F4115" s="291">
        <f>IFERROR(INDEX(Disbursements!$D:$D,MATCH('Live Collections'!G4115,Disbursements!$C:$C,0)),"")</f>
        <v>2</v>
      </c>
      <c r="G4115" s="34">
        <v>385</v>
      </c>
      <c r="H4115" s="34">
        <v>7468</v>
      </c>
      <c r="I4115" s="34" t="s">
        <v>1357</v>
      </c>
      <c r="J4115" s="48"/>
      <c r="K4115" s="48"/>
      <c r="L4115" s="48"/>
      <c r="M4115" s="48"/>
      <c r="N4115" s="59"/>
      <c r="O4115" s="59">
        <v>1325000</v>
      </c>
      <c r="P4115" s="59"/>
      <c r="Q4115" s="268">
        <f t="shared" si="195"/>
        <v>1325000</v>
      </c>
      <c r="R4115" s="61">
        <f>IF(O4115=0,0,SUMIFS(Disbursements!$T:$T,Disbursements!$B:$B,'Live Collections'!D4115,Disbursements!$D:$D,'Live Collections'!F4115))</f>
        <v>1325000</v>
      </c>
      <c r="S4115" s="304">
        <f>IF(O4115&lt;=IF($O4115=0,0,SUMIFS(Disbursements!$W:$W,Disbursements!$B:$B,'Live Collections'!D4115,Disbursements!$D:$D,'Live Collections'!F4115)),O4115,IF($O4115=0,0,SUMIFS(Disbursements!$W:$W,Disbursements!$B:$B,'Live Collections'!D4115,Disbursements!$D:$D,'Live Collections'!F4115)))</f>
        <v>325000</v>
      </c>
      <c r="T4115" s="304">
        <f t="shared" si="196"/>
        <v>1000000</v>
      </c>
      <c r="U4115" s="52"/>
      <c r="V4115" s="34"/>
      <c r="W4115" s="408"/>
    </row>
    <row r="4116" spans="1:23" ht="12.75" customHeight="1" x14ac:dyDescent="0.2">
      <c r="A4116" s="257">
        <v>4126</v>
      </c>
      <c r="B4116" s="44">
        <v>44686</v>
      </c>
      <c r="C4116" s="44">
        <f t="shared" si="197"/>
        <v>44686</v>
      </c>
      <c r="D4116" s="374">
        <v>276</v>
      </c>
      <c r="E4116" s="291" t="str">
        <f>IFERROR(VLOOKUP($D4116,'Clients-Live'!$A:$C,3,0),"")</f>
        <v>MANDELA SWAIBU</v>
      </c>
      <c r="F4116" s="291">
        <f>IFERROR(INDEX(Disbursements!$D:$D,MATCH('Live Collections'!G4116,Disbursements!$C:$C,0)),"")</f>
        <v>1</v>
      </c>
      <c r="G4116" s="34">
        <v>358</v>
      </c>
      <c r="H4116" s="34">
        <v>7451</v>
      </c>
      <c r="I4116" s="34" t="s">
        <v>1359</v>
      </c>
      <c r="J4116" s="48"/>
      <c r="K4116" s="48"/>
      <c r="L4116" s="48"/>
      <c r="M4116" s="48"/>
      <c r="N4116" s="59"/>
      <c r="O4116" s="59">
        <v>60000</v>
      </c>
      <c r="P4116" s="59"/>
      <c r="Q4116" s="268">
        <f t="shared" si="195"/>
        <v>60000</v>
      </c>
      <c r="R4116" s="61">
        <f>IF(O4116=0,0,SUMIFS(Disbursements!$T:$T,Disbursements!$B:$B,'Live Collections'!D4116,Disbursements!$D:$D,'Live Collections'!F4116))</f>
        <v>325000</v>
      </c>
      <c r="S4116" s="304">
        <f>IF(O4116&lt;=IF($O4116=0,0,SUMIFS(Disbursements!$W:$W,Disbursements!$B:$B,'Live Collections'!D4116,Disbursements!$D:$D,'Live Collections'!F4116)),O4116,IF($O4116=0,0,SUMIFS(Disbursements!$W:$W,Disbursements!$B:$B,'Live Collections'!D4116,Disbursements!$D:$D,'Live Collections'!F4116)))</f>
        <v>60000</v>
      </c>
      <c r="T4116" s="304">
        <f t="shared" si="196"/>
        <v>0</v>
      </c>
      <c r="U4116" s="52"/>
      <c r="V4116" s="34"/>
      <c r="W4116" s="408"/>
    </row>
    <row r="4117" spans="1:23" ht="12.75" customHeight="1" x14ac:dyDescent="0.2">
      <c r="A4117" s="257">
        <v>4127</v>
      </c>
      <c r="B4117" s="44">
        <v>44687</v>
      </c>
      <c r="C4117" s="44">
        <f t="shared" si="197"/>
        <v>44687</v>
      </c>
      <c r="D4117" s="374">
        <v>309</v>
      </c>
      <c r="E4117" s="291" t="str">
        <f>IFERROR(VLOOKUP($D4117,'Clients-Live'!$A:$C,3,0),"")</f>
        <v>NAMBOZO HALIMA</v>
      </c>
      <c r="F4117" s="291">
        <f>IFERROR(INDEX(Disbursements!$D:$D,MATCH('Live Collections'!G4117,Disbursements!$C:$C,0)),"")</f>
        <v>2</v>
      </c>
      <c r="G4117" s="34">
        <v>525</v>
      </c>
      <c r="H4117" s="34">
        <v>7472</v>
      </c>
      <c r="I4117" s="34" t="s">
        <v>1357</v>
      </c>
      <c r="J4117" s="48"/>
      <c r="K4117" s="48"/>
      <c r="L4117" s="48"/>
      <c r="M4117" s="48"/>
      <c r="N4117" s="59"/>
      <c r="O4117" s="59"/>
      <c r="P4117" s="59">
        <v>150000</v>
      </c>
      <c r="Q4117" s="268">
        <f t="shared" si="195"/>
        <v>150000</v>
      </c>
      <c r="R4117" s="61">
        <f>IF(O4117=0,0,SUMIFS(Disbursements!$T:$T,Disbursements!$B:$B,'Live Collections'!D4117,Disbursements!$D:$D,'Live Collections'!F4117))</f>
        <v>0</v>
      </c>
      <c r="S4117" s="304">
        <f>IF(O4117&lt;=IF($O4117=0,0,SUMIFS(Disbursements!$W:$W,Disbursements!$B:$B,'Live Collections'!D4117,Disbursements!$D:$D,'Live Collections'!F4117)),O4117,IF($O4117=0,0,SUMIFS(Disbursements!$W:$W,Disbursements!$B:$B,'Live Collections'!D4117,Disbursements!$D:$D,'Live Collections'!F4117)))</f>
        <v>0</v>
      </c>
      <c r="T4117" s="304">
        <f t="shared" si="196"/>
        <v>0</v>
      </c>
      <c r="U4117" s="52"/>
      <c r="V4117" s="34"/>
      <c r="W4117" s="408"/>
    </row>
    <row r="4118" spans="1:23" ht="12.75" customHeight="1" x14ac:dyDescent="0.2">
      <c r="A4118" s="257">
        <v>4128</v>
      </c>
      <c r="B4118" s="44">
        <v>44687</v>
      </c>
      <c r="C4118" s="44">
        <f t="shared" si="197"/>
        <v>44687</v>
      </c>
      <c r="D4118" s="374">
        <v>342</v>
      </c>
      <c r="E4118" s="291" t="str">
        <f>IFERROR(VLOOKUP($D4118,'Clients-Live'!$A:$C,3,0),"")</f>
        <v>NYAUSI SHABAN LAWRENCE</v>
      </c>
      <c r="F4118" s="291">
        <f>IFERROR(INDEX(Disbursements!$D:$D,MATCH('Live Collections'!G4118,Disbursements!$C:$C,0)),"")</f>
        <v>1</v>
      </c>
      <c r="G4118" s="34">
        <v>496</v>
      </c>
      <c r="H4118" s="34">
        <v>7463</v>
      </c>
      <c r="I4118" s="34" t="s">
        <v>1359</v>
      </c>
      <c r="J4118" s="48"/>
      <c r="K4118" s="48"/>
      <c r="L4118" s="48"/>
      <c r="M4118" s="48"/>
      <c r="N4118" s="59"/>
      <c r="O4118" s="59">
        <v>120000</v>
      </c>
      <c r="P4118" s="59"/>
      <c r="Q4118" s="268">
        <f t="shared" si="195"/>
        <v>120000</v>
      </c>
      <c r="R4118" s="61">
        <f>IF(O4118=0,0,SUMIFS(Disbursements!$T:$T,Disbursements!$B:$B,'Live Collections'!D4118,Disbursements!$D:$D,'Live Collections'!F4118))</f>
        <v>133000</v>
      </c>
      <c r="S4118" s="304">
        <f>IF(O4118&lt;=IF($O4118=0,0,SUMIFS(Disbursements!$W:$W,Disbursements!$B:$B,'Live Collections'!D4118,Disbursements!$D:$D,'Live Collections'!F4118)),O4118,IF($O4118=0,0,SUMIFS(Disbursements!$W:$W,Disbursements!$B:$B,'Live Collections'!D4118,Disbursements!$D:$D,'Live Collections'!F4118)))</f>
        <v>33000</v>
      </c>
      <c r="T4118" s="304">
        <f t="shared" si="196"/>
        <v>87000</v>
      </c>
      <c r="U4118" s="52"/>
      <c r="V4118" s="34"/>
      <c r="W4118" s="408"/>
    </row>
    <row r="4119" spans="1:23" ht="12.75" customHeight="1" x14ac:dyDescent="0.2">
      <c r="A4119" s="257">
        <v>4129</v>
      </c>
      <c r="B4119" s="44">
        <v>44687</v>
      </c>
      <c r="C4119" s="44">
        <f t="shared" si="197"/>
        <v>44687</v>
      </c>
      <c r="D4119" s="374">
        <v>73</v>
      </c>
      <c r="E4119" s="291" t="str">
        <f>IFERROR(VLOOKUP($D4119,'Clients-Live'!$A:$C,3,0),"")</f>
        <v>AJONYE DEBORA</v>
      </c>
      <c r="F4119" s="291">
        <f>IFERROR(INDEX(Disbursements!$D:$D,MATCH('Live Collections'!G4119,Disbursements!$C:$C,0)),"")</f>
        <v>3</v>
      </c>
      <c r="G4119" s="34">
        <v>426</v>
      </c>
      <c r="H4119" s="34">
        <v>7479</v>
      </c>
      <c r="I4119" s="34" t="s">
        <v>1357</v>
      </c>
      <c r="J4119" s="48"/>
      <c r="K4119" s="48"/>
      <c r="L4119" s="48"/>
      <c r="M4119" s="48"/>
      <c r="N4119" s="59"/>
      <c r="O4119" s="59">
        <v>53000</v>
      </c>
      <c r="P4119" s="59"/>
      <c r="Q4119" s="268">
        <f t="shared" si="195"/>
        <v>53000</v>
      </c>
      <c r="R4119" s="61">
        <f>IF(O4119=0,0,SUMIFS(Disbursements!$T:$T,Disbursements!$B:$B,'Live Collections'!D4119,Disbursements!$D:$D,'Live Collections'!F4119))</f>
        <v>53000</v>
      </c>
      <c r="S4119" s="304">
        <f>IF(O4119&lt;=IF($O4119=0,0,SUMIFS(Disbursements!$W:$W,Disbursements!$B:$B,'Live Collections'!D4119,Disbursements!$D:$D,'Live Collections'!F4119)),O4119,IF($O4119=0,0,SUMIFS(Disbursements!$W:$W,Disbursements!$B:$B,'Live Collections'!D4119,Disbursements!$D:$D,'Live Collections'!F4119)))</f>
        <v>13000</v>
      </c>
      <c r="T4119" s="304">
        <f t="shared" si="196"/>
        <v>40000</v>
      </c>
      <c r="U4119" s="52"/>
      <c r="V4119" s="34"/>
      <c r="W4119" s="408"/>
    </row>
    <row r="4120" spans="1:23" ht="12.75" customHeight="1" x14ac:dyDescent="0.2">
      <c r="A4120" s="257">
        <v>4130</v>
      </c>
      <c r="B4120" s="44">
        <v>44687</v>
      </c>
      <c r="C4120" s="44">
        <f t="shared" si="197"/>
        <v>44687</v>
      </c>
      <c r="D4120" s="374">
        <v>134</v>
      </c>
      <c r="E4120" s="291" t="str">
        <f>IFERROR(VLOOKUP($D4120,'Clients-Live'!$A:$C,3,0),"")</f>
        <v>TABU NATALIYA</v>
      </c>
      <c r="F4120" s="291">
        <f>IFERROR(INDEX(Disbursements!$D:$D,MATCH('Live Collections'!G4120,Disbursements!$C:$C,0)),"")</f>
        <v>2</v>
      </c>
      <c r="G4120" s="34">
        <v>324</v>
      </c>
      <c r="H4120" s="34">
        <v>7478</v>
      </c>
      <c r="I4120" s="34" t="s">
        <v>1359</v>
      </c>
      <c r="J4120" s="48"/>
      <c r="K4120" s="48"/>
      <c r="L4120" s="48"/>
      <c r="M4120" s="48"/>
      <c r="N4120" s="59"/>
      <c r="O4120" s="59">
        <v>20000</v>
      </c>
      <c r="P4120" s="59"/>
      <c r="Q4120" s="268">
        <f t="shared" si="195"/>
        <v>20000</v>
      </c>
      <c r="R4120" s="61">
        <f>IF(O4120=0,0,SUMIFS(Disbursements!$T:$T,Disbursements!$B:$B,'Live Collections'!D4120,Disbursements!$D:$D,'Live Collections'!F4120))</f>
        <v>120000</v>
      </c>
      <c r="S4120" s="304"/>
      <c r="T4120" s="304">
        <f t="shared" si="196"/>
        <v>20000</v>
      </c>
      <c r="U4120" s="52"/>
      <c r="V4120" s="34"/>
      <c r="W4120" s="408"/>
    </row>
    <row r="4121" spans="1:23" ht="12.75" customHeight="1" x14ac:dyDescent="0.2">
      <c r="A4121" s="257">
        <v>4131</v>
      </c>
      <c r="B4121" s="44">
        <v>44687</v>
      </c>
      <c r="C4121" s="44">
        <f t="shared" si="197"/>
        <v>44687</v>
      </c>
      <c r="D4121" s="374">
        <v>347</v>
      </c>
      <c r="E4121" s="291" t="str">
        <f>IFERROR(VLOOKUP($D4121,'Clients-Live'!$A:$C,3,0),"")</f>
        <v>AJONYE FATUMA</v>
      </c>
      <c r="F4121" s="291">
        <f>IFERROR(INDEX(Disbursements!$D:$D,MATCH('Live Collections'!G4121,Disbursements!$C:$C,0)),"")</f>
        <v>1</v>
      </c>
      <c r="G4121" s="34">
        <v>500</v>
      </c>
      <c r="H4121" s="34">
        <v>7471</v>
      </c>
      <c r="I4121" s="34" t="s">
        <v>1358</v>
      </c>
      <c r="J4121" s="48"/>
      <c r="K4121" s="48"/>
      <c r="L4121" s="48"/>
      <c r="M4121" s="48"/>
      <c r="N4121" s="59"/>
      <c r="O4121" s="59">
        <v>126000</v>
      </c>
      <c r="P4121" s="59"/>
      <c r="Q4121" s="268">
        <f t="shared" si="195"/>
        <v>126000</v>
      </c>
      <c r="R4121" s="61">
        <f>IF(O4121=0,0,SUMIFS(Disbursements!$T:$T,Disbursements!$B:$B,'Live Collections'!D4121,Disbursements!$D:$D,'Live Collections'!F4121))</f>
        <v>126000</v>
      </c>
      <c r="S4121" s="304">
        <f>IF(O4121&lt;=IF($O4121=0,0,SUMIFS(Disbursements!$W:$W,Disbursements!$B:$B,'Live Collections'!D4121,Disbursements!$D:$D,'Live Collections'!F4121)),O4121,IF($O4121=0,0,SUMIFS(Disbursements!$W:$W,Disbursements!$B:$B,'Live Collections'!D4121,Disbursements!$D:$D,'Live Collections'!F4121)))</f>
        <v>26000</v>
      </c>
      <c r="T4121" s="304">
        <f t="shared" si="196"/>
        <v>100000</v>
      </c>
      <c r="U4121" s="52"/>
      <c r="V4121" s="34"/>
      <c r="W4121" s="408"/>
    </row>
    <row r="4122" spans="1:23" ht="12.75" customHeight="1" x14ac:dyDescent="0.2">
      <c r="A4122" s="257">
        <v>4132</v>
      </c>
      <c r="B4122" s="44">
        <v>44687</v>
      </c>
      <c r="C4122" s="44">
        <f t="shared" si="197"/>
        <v>44687</v>
      </c>
      <c r="D4122" s="374">
        <v>55</v>
      </c>
      <c r="E4122" s="291" t="str">
        <f>IFERROR(VLOOKUP($D4122,'Clients-Live'!$A:$C,3,0),"")</f>
        <v>SOKOLA SHARON</v>
      </c>
      <c r="F4122" s="291">
        <f>IFERROR(INDEX(Disbursements!$D:$D,MATCH('Live Collections'!G4122,Disbursements!$C:$C,0)),"")</f>
        <v>2</v>
      </c>
      <c r="G4122" s="34">
        <v>288</v>
      </c>
      <c r="H4122" s="34">
        <v>7464</v>
      </c>
      <c r="I4122" s="34" t="s">
        <v>1359</v>
      </c>
      <c r="J4122" s="48"/>
      <c r="K4122" s="48"/>
      <c r="L4122" s="48"/>
      <c r="M4122" s="48"/>
      <c r="N4122" s="59"/>
      <c r="O4122" s="59">
        <v>15000</v>
      </c>
      <c r="P4122" s="59"/>
      <c r="Q4122" s="268">
        <f t="shared" si="195"/>
        <v>15000</v>
      </c>
      <c r="R4122" s="61">
        <f>IF(O4122=0,0,SUMIFS(Disbursements!$T:$T,Disbursements!$B:$B,'Live Collections'!D4122,Disbursements!$D:$D,'Live Collections'!F4122))</f>
        <v>210000</v>
      </c>
      <c r="S4122" s="304"/>
      <c r="T4122" s="304">
        <f t="shared" si="196"/>
        <v>15000</v>
      </c>
      <c r="U4122" s="52"/>
      <c r="V4122" s="34"/>
      <c r="W4122" s="408"/>
    </row>
    <row r="4123" spans="1:23" ht="12.75" customHeight="1" x14ac:dyDescent="0.2">
      <c r="A4123" s="257">
        <v>4133</v>
      </c>
      <c r="B4123" s="44">
        <v>44687</v>
      </c>
      <c r="C4123" s="44">
        <f t="shared" si="197"/>
        <v>44687</v>
      </c>
      <c r="D4123" s="374">
        <v>346</v>
      </c>
      <c r="E4123" s="291" t="str">
        <f>IFERROR(VLOOKUP($D4123,'Clients-Live'!$A:$C,3,0),"")</f>
        <v>BAKO MASUMBUKA AJUGA</v>
      </c>
      <c r="F4123" s="291">
        <f>IFERROR(INDEX(Disbursements!$D:$D,MATCH('Live Collections'!G4123,Disbursements!$C:$C,0)),"")</f>
        <v>1</v>
      </c>
      <c r="G4123" s="34">
        <v>499</v>
      </c>
      <c r="H4123" s="34">
        <v>7462</v>
      </c>
      <c r="I4123" s="34" t="s">
        <v>1357</v>
      </c>
      <c r="J4123" s="48"/>
      <c r="K4123" s="48"/>
      <c r="L4123" s="48"/>
      <c r="M4123" s="48"/>
      <c r="N4123" s="59"/>
      <c r="O4123" s="59">
        <v>315000</v>
      </c>
      <c r="P4123" s="59"/>
      <c r="Q4123" s="268">
        <f t="shared" si="195"/>
        <v>315000</v>
      </c>
      <c r="R4123" s="61">
        <f>IF(O4123=0,0,SUMIFS(Disbursements!$T:$T,Disbursements!$B:$B,'Live Collections'!D4123,Disbursements!$D:$D,'Live Collections'!F4123))</f>
        <v>315000</v>
      </c>
      <c r="S4123" s="304">
        <f>IF(O4123&lt;=IF($O4123=0,0,SUMIFS(Disbursements!$W:$W,Disbursements!$B:$B,'Live Collections'!D4123,Disbursements!$D:$D,'Live Collections'!F4123)),O4123,IF($O4123=0,0,SUMIFS(Disbursements!$W:$W,Disbursements!$B:$B,'Live Collections'!D4123,Disbursements!$D:$D,'Live Collections'!F4123)))</f>
        <v>65000</v>
      </c>
      <c r="T4123" s="304">
        <f t="shared" si="196"/>
        <v>250000</v>
      </c>
      <c r="U4123" s="52"/>
      <c r="V4123" s="34"/>
      <c r="W4123" s="408"/>
    </row>
    <row r="4124" spans="1:23" ht="12.75" customHeight="1" x14ac:dyDescent="0.2">
      <c r="A4124" s="257">
        <v>4134</v>
      </c>
      <c r="B4124" s="44">
        <v>44687</v>
      </c>
      <c r="C4124" s="44">
        <f t="shared" si="197"/>
        <v>44687</v>
      </c>
      <c r="D4124" s="374">
        <v>343</v>
      </c>
      <c r="E4124" s="291" t="str">
        <f>IFERROR(VLOOKUP($D4124,'Clients-Live'!$A:$C,3,0),"")</f>
        <v>MAMBO EDWARD</v>
      </c>
      <c r="F4124" s="291">
        <f>IFERROR(INDEX(Disbursements!$D:$D,MATCH('Live Collections'!G4124,Disbursements!$C:$C,0)),"")</f>
        <v>1</v>
      </c>
      <c r="G4124" s="34">
        <v>485</v>
      </c>
      <c r="H4124" s="34">
        <v>7474</v>
      </c>
      <c r="I4124" s="34" t="s">
        <v>1358</v>
      </c>
      <c r="J4124" s="48"/>
      <c r="K4124" s="48"/>
      <c r="L4124" s="48"/>
      <c r="M4124" s="48"/>
      <c r="N4124" s="59"/>
      <c r="O4124" s="59">
        <v>200000</v>
      </c>
      <c r="P4124" s="59"/>
      <c r="Q4124" s="268">
        <f t="shared" si="195"/>
        <v>200000</v>
      </c>
      <c r="R4124" s="61">
        <f>IF(O4124=0,0,SUMIFS(Disbursements!$T:$T,Disbursements!$B:$B,'Live Collections'!D4124,Disbursements!$D:$D,'Live Collections'!F4124))</f>
        <v>695000</v>
      </c>
      <c r="S4124" s="304">
        <f>IF(O4124&lt;=IF($O4124=0,0,SUMIFS(Disbursements!$W:$W,Disbursements!$B:$B,'Live Collections'!D4124,Disbursements!$D:$D,'Live Collections'!F4124)),O4124,IF($O4124=0,0,SUMIFS(Disbursements!$W:$W,Disbursements!$B:$B,'Live Collections'!D4124,Disbursements!$D:$D,'Live Collections'!F4124)))</f>
        <v>195000</v>
      </c>
      <c r="T4124" s="304">
        <f t="shared" si="196"/>
        <v>5000</v>
      </c>
      <c r="U4124" s="52"/>
      <c r="V4124" s="34"/>
      <c r="W4124" s="408"/>
    </row>
    <row r="4125" spans="1:23" ht="12.75" customHeight="1" x14ac:dyDescent="0.2">
      <c r="A4125" s="257">
        <v>4135</v>
      </c>
      <c r="B4125" s="44">
        <v>44687</v>
      </c>
      <c r="C4125" s="44">
        <f t="shared" si="197"/>
        <v>44687</v>
      </c>
      <c r="D4125" s="374">
        <v>35</v>
      </c>
      <c r="E4125" s="291" t="str">
        <f>IFERROR(VLOOKUP($D4125,'Clients-Live'!$A:$C,3,0),"")</f>
        <v>ALEZUYO DOCUS</v>
      </c>
      <c r="F4125" s="291">
        <f>IFERROR(INDEX(Disbursements!$D:$D,MATCH('Live Collections'!G4125,Disbursements!$C:$C,0)),"")</f>
        <v>2</v>
      </c>
      <c r="G4125" s="34">
        <v>155</v>
      </c>
      <c r="H4125" s="34">
        <v>7473</v>
      </c>
      <c r="I4125" s="34" t="s">
        <v>1359</v>
      </c>
      <c r="J4125" s="48"/>
      <c r="K4125" s="48"/>
      <c r="L4125" s="48"/>
      <c r="M4125" s="48"/>
      <c r="N4125" s="59"/>
      <c r="O4125" s="59">
        <v>50000</v>
      </c>
      <c r="P4125" s="59"/>
      <c r="Q4125" s="268">
        <f t="shared" si="195"/>
        <v>50000</v>
      </c>
      <c r="R4125" s="61">
        <f>IF(O4125=0,0,SUMIFS(Disbursements!$T:$T,Disbursements!$B:$B,'Live Collections'!D4125,Disbursements!$D:$D,'Live Collections'!F4125))</f>
        <v>250000</v>
      </c>
      <c r="S4125" s="304"/>
      <c r="T4125" s="304">
        <f t="shared" si="196"/>
        <v>50000</v>
      </c>
      <c r="U4125" s="52"/>
      <c r="V4125" s="34"/>
      <c r="W4125" s="408"/>
    </row>
    <row r="4126" spans="1:23" ht="12.75" customHeight="1" x14ac:dyDescent="0.2">
      <c r="A4126" s="257">
        <v>4136</v>
      </c>
      <c r="B4126" s="44">
        <v>44687</v>
      </c>
      <c r="C4126" s="44">
        <f t="shared" si="197"/>
        <v>44687</v>
      </c>
      <c r="D4126" s="374">
        <v>289</v>
      </c>
      <c r="E4126" s="291" t="str">
        <f>IFERROR(VLOOKUP($D4126,'Clients-Live'!$A:$C,3,0),"")</f>
        <v>NAUME NIGHT</v>
      </c>
      <c r="F4126" s="291">
        <f>IFERROR(INDEX(Disbursements!$D:$D,MATCH('Live Collections'!G4126,Disbursements!$C:$C,0)),"")</f>
        <v>2</v>
      </c>
      <c r="G4126" s="34">
        <v>497</v>
      </c>
      <c r="H4126" s="34">
        <v>7477</v>
      </c>
      <c r="I4126" s="34" t="s">
        <v>1357</v>
      </c>
      <c r="J4126" s="48"/>
      <c r="K4126" s="48"/>
      <c r="L4126" s="48"/>
      <c r="M4126" s="48"/>
      <c r="N4126" s="59"/>
      <c r="O4126" s="59">
        <v>159000</v>
      </c>
      <c r="P4126" s="59"/>
      <c r="Q4126" s="268">
        <f t="shared" si="195"/>
        <v>159000</v>
      </c>
      <c r="R4126" s="61">
        <f>IF(O4126=0,0,SUMIFS(Disbursements!$T:$T,Disbursements!$B:$B,'Live Collections'!D4126,Disbursements!$D:$D,'Live Collections'!F4126))</f>
        <v>159000</v>
      </c>
      <c r="S4126" s="304">
        <f>IF(O4126&lt;=IF($O4126=0,0,SUMIFS(Disbursements!$W:$W,Disbursements!$B:$B,'Live Collections'!D4126,Disbursements!$D:$D,'Live Collections'!F4126)),O4126,IF($O4126=0,0,SUMIFS(Disbursements!$W:$W,Disbursements!$B:$B,'Live Collections'!D4126,Disbursements!$D:$D,'Live Collections'!F4126)))</f>
        <v>39000</v>
      </c>
      <c r="T4126" s="304">
        <f t="shared" si="196"/>
        <v>120000</v>
      </c>
      <c r="U4126" s="52"/>
      <c r="V4126" s="34"/>
      <c r="W4126" s="408"/>
    </row>
    <row r="4127" spans="1:23" ht="12.75" customHeight="1" x14ac:dyDescent="0.2">
      <c r="A4127" s="257">
        <v>4137</v>
      </c>
      <c r="B4127" s="44">
        <v>44687</v>
      </c>
      <c r="C4127" s="44">
        <f t="shared" si="197"/>
        <v>44687</v>
      </c>
      <c r="D4127" s="374">
        <v>3</v>
      </c>
      <c r="E4127" s="291" t="str">
        <f>IFERROR(VLOOKUP($D4127,'Clients-Live'!$A:$C,3,0),"")</f>
        <v>YEKA ARIJABU</v>
      </c>
      <c r="F4127" s="291">
        <f>IFERROR(INDEX(Disbursements!$D:$D,MATCH('Live Collections'!G4127,Disbursements!$C:$C,0)),"")</f>
        <v>2</v>
      </c>
      <c r="G4127" s="34">
        <v>443</v>
      </c>
      <c r="H4127" s="34">
        <v>7484</v>
      </c>
      <c r="I4127" s="34" t="s">
        <v>1357</v>
      </c>
      <c r="J4127" s="48"/>
      <c r="K4127" s="48"/>
      <c r="L4127" s="48"/>
      <c r="M4127" s="48"/>
      <c r="N4127" s="59"/>
      <c r="O4127" s="59">
        <v>100000</v>
      </c>
      <c r="P4127" s="59"/>
      <c r="Q4127" s="268">
        <f t="shared" si="195"/>
        <v>100000</v>
      </c>
      <c r="R4127" s="61">
        <f>IF(O4127=0,0,SUMIFS(Disbursements!$T:$T,Disbursements!$B:$B,'Live Collections'!D4127,Disbursements!$D:$D,'Live Collections'!F4127))</f>
        <v>116000</v>
      </c>
      <c r="S4127" s="304">
        <f>IF(O4127&lt;=IF($O4127=0,0,SUMIFS(Disbursements!$W:$W,Disbursements!$B:$B,'Live Collections'!D4127,Disbursements!$D:$D,'Live Collections'!F4127)),O4127,IF($O4127=0,0,SUMIFS(Disbursements!$W:$W,Disbursements!$B:$B,'Live Collections'!D4127,Disbursements!$D:$D,'Live Collections'!F4127)))</f>
        <v>32666.666666666672</v>
      </c>
      <c r="T4127" s="304">
        <f t="shared" si="196"/>
        <v>67333.333333333328</v>
      </c>
      <c r="U4127" s="52"/>
      <c r="V4127" s="34"/>
      <c r="W4127" s="408"/>
    </row>
    <row r="4128" spans="1:23" ht="12.75" customHeight="1" x14ac:dyDescent="0.2">
      <c r="A4128" s="257">
        <v>4138</v>
      </c>
      <c r="B4128" s="44">
        <v>44687</v>
      </c>
      <c r="C4128" s="44">
        <f t="shared" si="197"/>
        <v>44687</v>
      </c>
      <c r="D4128" s="374">
        <v>185</v>
      </c>
      <c r="E4128" s="291" t="str">
        <f>IFERROR(VLOOKUP($D4128,'Clients-Live'!$A:$C,3,0),"")</f>
        <v>APAYI HARRIET</v>
      </c>
      <c r="F4128" s="291">
        <f>IFERROR(INDEX(Disbursements!$D:$D,MATCH('Live Collections'!G4128,Disbursements!$C:$C,0)),"")</f>
        <v>2</v>
      </c>
      <c r="G4128" s="34">
        <v>360</v>
      </c>
      <c r="H4128" s="34">
        <v>7483</v>
      </c>
      <c r="I4128" s="34" t="s">
        <v>1357</v>
      </c>
      <c r="J4128" s="48"/>
      <c r="K4128" s="48"/>
      <c r="L4128" s="48"/>
      <c r="M4128" s="48"/>
      <c r="N4128" s="59"/>
      <c r="O4128" s="59">
        <v>500000</v>
      </c>
      <c r="P4128" s="59"/>
      <c r="Q4128" s="268">
        <f t="shared" si="195"/>
        <v>500000</v>
      </c>
      <c r="R4128" s="61">
        <f>IF(O4128=0,0,SUMIFS(Disbursements!$T:$T,Disbursements!$B:$B,'Live Collections'!D4128,Disbursements!$D:$D,'Live Collections'!F4128))</f>
        <v>325000</v>
      </c>
      <c r="S4128" s="304">
        <f>IF(O4128&lt;=IF($O4128=0,0,SUMIFS(Disbursements!$W:$W,Disbursements!$B:$B,'Live Collections'!D4128,Disbursements!$D:$D,'Live Collections'!F4128)),O4128,IF($O4128=0,0,SUMIFS(Disbursements!$W:$W,Disbursements!$B:$B,'Live Collections'!D4128,Disbursements!$D:$D,'Live Collections'!F4128)))</f>
        <v>75000</v>
      </c>
      <c r="T4128" s="304">
        <f t="shared" si="196"/>
        <v>425000</v>
      </c>
      <c r="U4128" s="52"/>
      <c r="V4128" s="34"/>
      <c r="W4128" s="408"/>
    </row>
    <row r="4129" spans="1:23" ht="12.75" customHeight="1" x14ac:dyDescent="0.2">
      <c r="A4129" s="257">
        <v>4139</v>
      </c>
      <c r="B4129" s="44">
        <v>44687</v>
      </c>
      <c r="C4129" s="44">
        <f t="shared" si="197"/>
        <v>44687</v>
      </c>
      <c r="D4129" s="374">
        <v>185</v>
      </c>
      <c r="E4129" s="291" t="str">
        <f>IFERROR(VLOOKUP($D4129,'Clients-Live'!$A:$C,3,0),"")</f>
        <v>APAYI HARRIET</v>
      </c>
      <c r="F4129" s="291" t="str">
        <f>IFERROR(INDEX(Disbursements!$D:$D,MATCH('Live Collections'!G4129,Disbursements!$C:$C,0)),"")</f>
        <v/>
      </c>
      <c r="G4129" s="34"/>
      <c r="H4129" s="34">
        <v>7482</v>
      </c>
      <c r="I4129" s="34" t="s">
        <v>1357</v>
      </c>
      <c r="J4129" s="48"/>
      <c r="K4129" s="48"/>
      <c r="L4129" s="48"/>
      <c r="M4129" s="48"/>
      <c r="N4129" s="59">
        <v>12000</v>
      </c>
      <c r="O4129" s="59"/>
      <c r="P4129" s="59"/>
      <c r="Q4129" s="268">
        <f t="shared" si="195"/>
        <v>12000</v>
      </c>
      <c r="R4129" s="61">
        <f>IF(O4129=0,0,SUMIFS(Disbursements!$T:$T,Disbursements!$B:$B,'Live Collections'!D4129,Disbursements!$D:$D,'Live Collections'!F4129))</f>
        <v>0</v>
      </c>
      <c r="S4129" s="304">
        <f>IF(O4129&lt;=IF($O4129=0,0,SUMIFS(Disbursements!$W:$W,Disbursements!$B:$B,'Live Collections'!D4129,Disbursements!$D:$D,'Live Collections'!F4129)),O4129,IF($O4129=0,0,SUMIFS(Disbursements!$W:$W,Disbursements!$B:$B,'Live Collections'!D4129,Disbursements!$D:$D,'Live Collections'!F4129)))</f>
        <v>0</v>
      </c>
      <c r="T4129" s="304">
        <f t="shared" si="196"/>
        <v>0</v>
      </c>
      <c r="U4129" s="52"/>
      <c r="V4129" s="34"/>
      <c r="W4129" s="408"/>
    </row>
    <row r="4130" spans="1:23" ht="12.75" customHeight="1" x14ac:dyDescent="0.2">
      <c r="A4130" s="257">
        <v>4140</v>
      </c>
      <c r="B4130" s="44">
        <v>44688</v>
      </c>
      <c r="C4130" s="44">
        <f t="shared" si="197"/>
        <v>44688</v>
      </c>
      <c r="D4130" s="374">
        <v>137</v>
      </c>
      <c r="E4130" s="291" t="str">
        <f>IFERROR(VLOOKUP($D4130,'Clients-Live'!$A:$C,3,0),"")</f>
        <v>YAKANI CHARLES</v>
      </c>
      <c r="F4130" s="291">
        <f>IFERROR(INDEX(Disbursements!$D:$D,MATCH('Live Collections'!G4130,Disbursements!$C:$C,0)),"")</f>
        <v>3</v>
      </c>
      <c r="G4130" s="34">
        <v>408</v>
      </c>
      <c r="H4130" s="34">
        <v>5941</v>
      </c>
      <c r="I4130" s="34" t="s">
        <v>1359</v>
      </c>
      <c r="J4130" s="48"/>
      <c r="K4130" s="48"/>
      <c r="L4130" s="48"/>
      <c r="M4130" s="48"/>
      <c r="N4130" s="59"/>
      <c r="O4130" s="59">
        <v>300000</v>
      </c>
      <c r="P4130" s="59"/>
      <c r="Q4130" s="268">
        <f t="shared" si="195"/>
        <v>300000</v>
      </c>
      <c r="R4130" s="61">
        <f>IF(O4130=0,0,SUMIFS(Disbursements!$T:$T,Disbursements!$B:$B,'Live Collections'!D4130,Disbursements!$D:$D,'Live Collections'!F4130))</f>
        <v>106000</v>
      </c>
      <c r="S4130" s="304">
        <f>IF(O4130&lt;=IF($O4130=0,0,SUMIFS(Disbursements!$W:$W,Disbursements!$B:$B,'Live Collections'!D4130,Disbursements!$D:$D,'Live Collections'!F4130)),O4130,IF($O4130=0,0,SUMIFS(Disbursements!$W:$W,Disbursements!$B:$B,'Live Collections'!D4130,Disbursements!$D:$D,'Live Collections'!F4130)))</f>
        <v>26000</v>
      </c>
      <c r="T4130" s="304">
        <f t="shared" si="196"/>
        <v>274000</v>
      </c>
      <c r="U4130" s="52"/>
      <c r="V4130" s="34"/>
      <c r="W4130" s="408"/>
    </row>
    <row r="4131" spans="1:23" ht="12.75" customHeight="1" x14ac:dyDescent="0.2">
      <c r="A4131" s="257">
        <v>4141</v>
      </c>
      <c r="B4131" s="44">
        <v>44688</v>
      </c>
      <c r="C4131" s="44">
        <f t="shared" si="197"/>
        <v>44688</v>
      </c>
      <c r="D4131" s="374">
        <v>97</v>
      </c>
      <c r="E4131" s="291" t="str">
        <f>IFERROR(VLOOKUP($D4131,'Clients-Live'!$A:$C,3,0),"")</f>
        <v>DRANDUA JOB CHRISPUS</v>
      </c>
      <c r="F4131" s="291">
        <f>IFERROR(INDEX(Disbursements!$D:$D,MATCH('Live Collections'!G4131,Disbursements!$C:$C,0)),"")</f>
        <v>6</v>
      </c>
      <c r="G4131" s="34">
        <v>510</v>
      </c>
      <c r="H4131" s="34">
        <v>7492</v>
      </c>
      <c r="I4131" s="34" t="s">
        <v>1359</v>
      </c>
      <c r="J4131" s="48"/>
      <c r="K4131" s="48"/>
      <c r="L4131" s="48"/>
      <c r="M4131" s="48"/>
      <c r="N4131" s="59"/>
      <c r="O4131" s="59"/>
      <c r="P4131" s="59">
        <v>800000</v>
      </c>
      <c r="Q4131" s="268">
        <f t="shared" si="195"/>
        <v>800000</v>
      </c>
      <c r="R4131" s="61">
        <f>IF(O4131=0,0,SUMIFS(Disbursements!$T:$T,Disbursements!$B:$B,'Live Collections'!D4131,Disbursements!$D:$D,'Live Collections'!F4131))</f>
        <v>0</v>
      </c>
      <c r="S4131" s="304">
        <f>IF(O4131&lt;=IF($O4131=0,0,SUMIFS(Disbursements!$W:$W,Disbursements!$B:$B,'Live Collections'!D4131,Disbursements!$D:$D,'Live Collections'!F4131)),O4131,IF($O4131=0,0,SUMIFS(Disbursements!$W:$W,Disbursements!$B:$B,'Live Collections'!D4131,Disbursements!$D:$D,'Live Collections'!F4131)))</f>
        <v>0</v>
      </c>
      <c r="T4131" s="304">
        <f t="shared" si="196"/>
        <v>0</v>
      </c>
      <c r="U4131" s="52"/>
      <c r="V4131" s="34"/>
      <c r="W4131" s="408"/>
    </row>
    <row r="4132" spans="1:23" ht="12.75" customHeight="1" x14ac:dyDescent="0.2">
      <c r="A4132" s="257">
        <v>4142</v>
      </c>
      <c r="B4132" s="44">
        <v>44688</v>
      </c>
      <c r="C4132" s="44">
        <f t="shared" si="197"/>
        <v>44688</v>
      </c>
      <c r="D4132" s="374">
        <v>303</v>
      </c>
      <c r="E4132" s="291" t="str">
        <f>IFERROR(VLOOKUP($D4132,'Clients-Live'!$A:$C,3,0),"")</f>
        <v>APAYI DOROTHY</v>
      </c>
      <c r="F4132" s="291">
        <f>IFERROR(INDEX(Disbursements!$D:$D,MATCH('Live Collections'!G4132,Disbursements!$C:$C,0)),"")</f>
        <v>1</v>
      </c>
      <c r="G4132" s="34">
        <v>399</v>
      </c>
      <c r="H4132" s="34">
        <v>5940</v>
      </c>
      <c r="I4132" s="34" t="s">
        <v>1359</v>
      </c>
      <c r="J4132" s="48"/>
      <c r="K4132" s="48"/>
      <c r="L4132" s="48"/>
      <c r="M4132" s="48"/>
      <c r="N4132" s="59"/>
      <c r="O4132" s="59">
        <v>40000</v>
      </c>
      <c r="P4132" s="59"/>
      <c r="Q4132" s="268">
        <f t="shared" si="195"/>
        <v>40000</v>
      </c>
      <c r="R4132" s="61">
        <f>IF(O4132=0,0,SUMIFS(Disbursements!$T:$T,Disbursements!$B:$B,'Live Collections'!D4132,Disbursements!$D:$D,'Live Collections'!F4132))</f>
        <v>40000</v>
      </c>
      <c r="S4132" s="304"/>
      <c r="T4132" s="304">
        <f t="shared" si="196"/>
        <v>40000</v>
      </c>
      <c r="U4132" s="52"/>
      <c r="V4132" s="34"/>
      <c r="W4132" s="408"/>
    </row>
    <row r="4133" spans="1:23" ht="12.75" customHeight="1" x14ac:dyDescent="0.2">
      <c r="A4133" s="257">
        <v>4143</v>
      </c>
      <c r="B4133" s="44">
        <v>44688</v>
      </c>
      <c r="C4133" s="44">
        <f t="shared" si="197"/>
        <v>44688</v>
      </c>
      <c r="D4133" s="374">
        <v>201</v>
      </c>
      <c r="E4133" s="291" t="str">
        <f>IFERROR(VLOOKUP($D4133,'Clients-Live'!$A:$C,3,0),"")</f>
        <v>DALILI HASSAN</v>
      </c>
      <c r="F4133" s="291">
        <f>IFERROR(INDEX(Disbursements!$D:$D,MATCH('Live Collections'!G4133,Disbursements!$C:$C,0)),"")</f>
        <v>1</v>
      </c>
      <c r="G4133" s="34">
        <v>419</v>
      </c>
      <c r="H4133" s="34">
        <v>5939</v>
      </c>
      <c r="I4133" s="34" t="s">
        <v>1359</v>
      </c>
      <c r="J4133" s="48"/>
      <c r="K4133" s="48"/>
      <c r="L4133" s="48"/>
      <c r="M4133" s="48"/>
      <c r="N4133" s="59"/>
      <c r="O4133" s="59">
        <v>50000</v>
      </c>
      <c r="P4133" s="59"/>
      <c r="Q4133" s="268">
        <f t="shared" si="195"/>
        <v>50000</v>
      </c>
      <c r="R4133" s="61">
        <f>IF(O4133=0,0,SUMIFS(Disbursements!$T:$T,Disbursements!$B:$B,'Live Collections'!D4133,Disbursements!$D:$D,'Live Collections'!F4133))</f>
        <v>47000</v>
      </c>
      <c r="S4133" s="304">
        <f>IF(O4133&lt;=IF($O4133=0,0,SUMIFS(Disbursements!$W:$W,Disbursements!$B:$B,'Live Collections'!D4133,Disbursements!$D:$D,'Live Collections'!F4133)),O4133,IF($O4133=0,0,SUMIFS(Disbursements!$W:$W,Disbursements!$B:$B,'Live Collections'!D4133,Disbursements!$D:$D,'Live Collections'!F4133)))</f>
        <v>13666.666666666664</v>
      </c>
      <c r="T4133" s="304">
        <f t="shared" si="196"/>
        <v>36333.333333333336</v>
      </c>
      <c r="U4133" s="52"/>
      <c r="V4133" s="34"/>
      <c r="W4133" s="408"/>
    </row>
    <row r="4134" spans="1:23" ht="12.75" customHeight="1" x14ac:dyDescent="0.2">
      <c r="A4134" s="257">
        <v>4144</v>
      </c>
      <c r="B4134" s="44">
        <v>44688</v>
      </c>
      <c r="C4134" s="44">
        <f t="shared" si="197"/>
        <v>44688</v>
      </c>
      <c r="D4134" s="374">
        <v>71</v>
      </c>
      <c r="E4134" s="291" t="str">
        <f>IFERROR(VLOOKUP($D4134,'Clients-Live'!$A:$C,3,0),"")</f>
        <v>AYIKORU HARIET BAUDI</v>
      </c>
      <c r="F4134" s="291">
        <f>IFERROR(INDEX(Disbursements!$D:$D,MATCH('Live Collections'!G4134,Disbursements!$C:$C,0)),"")</f>
        <v>4</v>
      </c>
      <c r="G4134" s="34">
        <v>486</v>
      </c>
      <c r="H4134" s="34">
        <v>5938</v>
      </c>
      <c r="I4134" s="34" t="s">
        <v>1359</v>
      </c>
      <c r="J4134" s="48"/>
      <c r="K4134" s="48"/>
      <c r="L4134" s="48"/>
      <c r="M4134" s="48"/>
      <c r="N4134" s="59"/>
      <c r="O4134" s="59">
        <v>700000</v>
      </c>
      <c r="P4134" s="59"/>
      <c r="Q4134" s="268">
        <f t="shared" si="195"/>
        <v>700000</v>
      </c>
      <c r="R4134" s="61">
        <f>IF(O4134=0,0,SUMIFS(Disbursements!$T:$T,Disbursements!$B:$B,'Live Collections'!D4134,Disbursements!$D:$D,'Live Collections'!F4134))</f>
        <v>5325000</v>
      </c>
      <c r="S4134" s="304"/>
      <c r="T4134" s="304">
        <f t="shared" si="196"/>
        <v>700000</v>
      </c>
      <c r="U4134" s="52"/>
      <c r="V4134" s="34"/>
      <c r="W4134" s="408"/>
    </row>
    <row r="4135" spans="1:23" ht="12.75" customHeight="1" x14ac:dyDescent="0.2">
      <c r="A4135" s="257">
        <v>4145</v>
      </c>
      <c r="B4135" s="44">
        <v>44688</v>
      </c>
      <c r="C4135" s="44">
        <f t="shared" si="197"/>
        <v>44688</v>
      </c>
      <c r="D4135" s="374">
        <v>86</v>
      </c>
      <c r="E4135" s="291" t="str">
        <f>IFERROR(VLOOKUP($D4135,'Clients-Live'!$A:$C,3,0),"")</f>
        <v>AMANIYO JOYCE</v>
      </c>
      <c r="F4135" s="291">
        <f>IFERROR(INDEX(Disbursements!$D:$D,MATCH('Live Collections'!G4135,Disbursements!$C:$C,0)),"")</f>
        <v>2</v>
      </c>
      <c r="G4135" s="34">
        <v>231</v>
      </c>
      <c r="H4135" s="34">
        <v>7485</v>
      </c>
      <c r="I4135" s="34" t="s">
        <v>1358</v>
      </c>
      <c r="J4135" s="48"/>
      <c r="K4135" s="48"/>
      <c r="L4135" s="48"/>
      <c r="M4135" s="48"/>
      <c r="N4135" s="59"/>
      <c r="O4135" s="59">
        <v>35000</v>
      </c>
      <c r="P4135" s="59"/>
      <c r="Q4135" s="268">
        <f t="shared" si="195"/>
        <v>35000</v>
      </c>
      <c r="R4135" s="61">
        <f>IF(O4135=0,0,SUMIFS(Disbursements!$T:$T,Disbursements!$B:$B,'Live Collections'!D4135,Disbursements!$D:$D,'Live Collections'!F4135))</f>
        <v>217000</v>
      </c>
      <c r="S4135" s="304"/>
      <c r="T4135" s="304">
        <f t="shared" si="196"/>
        <v>35000</v>
      </c>
      <c r="U4135" s="52"/>
      <c r="V4135" s="34"/>
      <c r="W4135" s="408"/>
    </row>
    <row r="4136" spans="1:23" ht="12.75" customHeight="1" x14ac:dyDescent="0.2">
      <c r="A4136" s="257">
        <v>4146</v>
      </c>
      <c r="B4136" s="44">
        <v>44688</v>
      </c>
      <c r="C4136" s="44">
        <f t="shared" si="197"/>
        <v>44688</v>
      </c>
      <c r="D4136" s="374">
        <v>128</v>
      </c>
      <c r="E4136" s="291" t="str">
        <f>IFERROR(VLOOKUP($D4136,'Clients-Live'!$A:$C,3,0),"")</f>
        <v>AJONYE BETTY</v>
      </c>
      <c r="F4136" s="291">
        <f>IFERROR(INDEX(Disbursements!$D:$D,MATCH('Live Collections'!G4136,Disbursements!$C:$C,0)),"")</f>
        <v>3</v>
      </c>
      <c r="G4136" s="34">
        <v>463</v>
      </c>
      <c r="H4136" s="34">
        <v>7488</v>
      </c>
      <c r="I4136" s="34" t="s">
        <v>1359</v>
      </c>
      <c r="J4136" s="48"/>
      <c r="K4136" s="48"/>
      <c r="L4136" s="48"/>
      <c r="M4136" s="48"/>
      <c r="N4136" s="59"/>
      <c r="O4136" s="59">
        <v>25000</v>
      </c>
      <c r="P4136" s="59"/>
      <c r="Q4136" s="268">
        <f t="shared" si="195"/>
        <v>25000</v>
      </c>
      <c r="R4136" s="61">
        <f>IF(O4136=0,0,SUMIFS(Disbursements!$T:$T,Disbursements!$B:$B,'Live Collections'!D4136,Disbursements!$D:$D,'Live Collections'!F4136))</f>
        <v>25000</v>
      </c>
      <c r="S4136" s="304">
        <f>IF(O4136&lt;=IF($O4136=0,0,SUMIFS(Disbursements!$W:$W,Disbursements!$B:$B,'Live Collections'!D4136,Disbursements!$D:$D,'Live Collections'!F4136)),O4136,IF($O4136=0,0,SUMIFS(Disbursements!$W:$W,Disbursements!$B:$B,'Live Collections'!D4136,Disbursements!$D:$D,'Live Collections'!F4136)))</f>
        <v>4166.6666666666679</v>
      </c>
      <c r="T4136" s="304">
        <f t="shared" si="196"/>
        <v>20833.333333333332</v>
      </c>
      <c r="U4136" s="52"/>
      <c r="V4136" s="34"/>
      <c r="W4136" s="408"/>
    </row>
    <row r="4137" spans="1:23" ht="12.75" customHeight="1" x14ac:dyDescent="0.2">
      <c r="A4137" s="257">
        <v>4147</v>
      </c>
      <c r="B4137" s="44">
        <v>44688</v>
      </c>
      <c r="C4137" s="44">
        <f t="shared" si="197"/>
        <v>44688</v>
      </c>
      <c r="D4137" s="374">
        <v>169</v>
      </c>
      <c r="E4137" s="291" t="str">
        <f>IFERROR(VLOOKUP($D4137,'Clients-Live'!$A:$C,3,0),"")</f>
        <v>KATO KENNEDY</v>
      </c>
      <c r="F4137" s="291">
        <f>IFERROR(INDEX(Disbursements!$D:$D,MATCH('Live Collections'!G4137,Disbursements!$C:$C,0)),"")</f>
        <v>2</v>
      </c>
      <c r="G4137" s="34">
        <v>394</v>
      </c>
      <c r="H4137" s="34">
        <v>7491</v>
      </c>
      <c r="I4137" s="34" t="s">
        <v>1357</v>
      </c>
      <c r="J4137" s="48"/>
      <c r="K4137" s="48"/>
      <c r="L4137" s="48"/>
      <c r="M4137" s="48"/>
      <c r="N4137" s="59"/>
      <c r="O4137" s="59">
        <v>58000</v>
      </c>
      <c r="P4137" s="59"/>
      <c r="Q4137" s="268">
        <f t="shared" si="195"/>
        <v>58000</v>
      </c>
      <c r="R4137" s="61">
        <f>IF(O4137=0,0,SUMIFS(Disbursements!$T:$T,Disbursements!$B:$B,'Live Collections'!D4137,Disbursements!$D:$D,'Live Collections'!F4137))</f>
        <v>58000</v>
      </c>
      <c r="S4137" s="304">
        <f>IF(O4137&lt;=IF($O4137=0,0,SUMIFS(Disbursements!$W:$W,Disbursements!$B:$B,'Live Collections'!D4137,Disbursements!$D:$D,'Live Collections'!F4137)),O4137,IF($O4137=0,0,SUMIFS(Disbursements!$W:$W,Disbursements!$B:$B,'Live Collections'!D4137,Disbursements!$D:$D,'Live Collections'!F4137)))</f>
        <v>16333.333333333336</v>
      </c>
      <c r="T4137" s="304">
        <f t="shared" si="196"/>
        <v>41666.666666666664</v>
      </c>
      <c r="U4137" s="52"/>
      <c r="V4137" s="34"/>
      <c r="W4137" s="408"/>
    </row>
    <row r="4138" spans="1:23" ht="12.75" customHeight="1" x14ac:dyDescent="0.2">
      <c r="A4138" s="257">
        <v>4148</v>
      </c>
      <c r="B4138" s="44">
        <v>44688</v>
      </c>
      <c r="C4138" s="44">
        <f t="shared" si="197"/>
        <v>44688</v>
      </c>
      <c r="D4138" s="374">
        <v>74</v>
      </c>
      <c r="E4138" s="291" t="str">
        <f>IFERROR(VLOOKUP($D4138,'Clients-Live'!$A:$C,3,0),"")</f>
        <v>YUKUWE AISHA</v>
      </c>
      <c r="F4138" s="291">
        <f>IFERROR(INDEX(Disbursements!$D:$D,MATCH('Live Collections'!G4138,Disbursements!$C:$C,0)),"")</f>
        <v>3</v>
      </c>
      <c r="G4138" s="34">
        <v>447</v>
      </c>
      <c r="H4138" s="34">
        <v>5937</v>
      </c>
      <c r="I4138" s="34" t="s">
        <v>1358</v>
      </c>
      <c r="J4138" s="48"/>
      <c r="K4138" s="48"/>
      <c r="L4138" s="48"/>
      <c r="M4138" s="48"/>
      <c r="N4138" s="59"/>
      <c r="O4138" s="59">
        <v>16000</v>
      </c>
      <c r="P4138" s="59"/>
      <c r="Q4138" s="268">
        <f t="shared" si="195"/>
        <v>16000</v>
      </c>
      <c r="R4138" s="61">
        <f>IF(O4138=0,0,SUMIFS(Disbursements!$T:$T,Disbursements!$B:$B,'Live Collections'!D4138,Disbursements!$D:$D,'Live Collections'!F4138))</f>
        <v>16000</v>
      </c>
      <c r="S4138" s="304">
        <f>IF(O4138&lt;=IF($O4138=0,0,SUMIFS(Disbursements!$W:$W,Disbursements!$B:$B,'Live Collections'!D4138,Disbursements!$D:$D,'Live Collections'!F4138)),O4138,IF($O4138=0,0,SUMIFS(Disbursements!$W:$W,Disbursements!$B:$B,'Live Collections'!D4138,Disbursements!$D:$D,'Live Collections'!F4138)))</f>
        <v>3500</v>
      </c>
      <c r="T4138" s="304">
        <f t="shared" si="196"/>
        <v>12500</v>
      </c>
      <c r="U4138" s="52"/>
      <c r="V4138" s="34"/>
      <c r="W4138" s="408"/>
    </row>
    <row r="4139" spans="1:23" ht="12.75" customHeight="1" x14ac:dyDescent="0.2">
      <c r="A4139" s="257">
        <v>4149</v>
      </c>
      <c r="B4139" s="44">
        <v>44688</v>
      </c>
      <c r="C4139" s="44">
        <f t="shared" si="197"/>
        <v>44688</v>
      </c>
      <c r="D4139" s="374">
        <v>362</v>
      </c>
      <c r="E4139" s="291" t="str">
        <f>IFERROR(VLOOKUP($D4139,'Clients-Live'!$A:$C,3,0),"")</f>
        <v>LUPAI DAVID</v>
      </c>
      <c r="F4139" s="291" t="str">
        <f>IFERROR(INDEX(Disbursements!$D:$D,MATCH('Live Collections'!G4139,Disbursements!$C:$C,0)),"")</f>
        <v/>
      </c>
      <c r="G4139" s="34"/>
      <c r="H4139" s="34">
        <v>7489</v>
      </c>
      <c r="I4139" s="34" t="s">
        <v>1359</v>
      </c>
      <c r="J4139" s="48"/>
      <c r="K4139" s="48"/>
      <c r="L4139" s="48">
        <v>15000</v>
      </c>
      <c r="M4139" s="48">
        <v>5000</v>
      </c>
      <c r="N4139" s="59"/>
      <c r="O4139" s="59"/>
      <c r="P4139" s="59"/>
      <c r="Q4139" s="268">
        <f t="shared" si="195"/>
        <v>20000</v>
      </c>
      <c r="R4139" s="61">
        <f>IF(O4139=0,0,SUMIFS(Disbursements!$T:$T,Disbursements!$B:$B,'Live Collections'!D4139,Disbursements!$D:$D,'Live Collections'!F4139))</f>
        <v>0</v>
      </c>
      <c r="S4139" s="304">
        <f>IF(O4139&lt;=IF($O4139=0,0,SUMIFS(Disbursements!$W:$W,Disbursements!$B:$B,'Live Collections'!D4139,Disbursements!$D:$D,'Live Collections'!F4139)),O4139,IF($O4139=0,0,SUMIFS(Disbursements!$W:$W,Disbursements!$B:$B,'Live Collections'!D4139,Disbursements!$D:$D,'Live Collections'!F4139)))</f>
        <v>0</v>
      </c>
      <c r="T4139" s="304">
        <f t="shared" si="196"/>
        <v>0</v>
      </c>
      <c r="U4139" s="52"/>
      <c r="V4139" s="34"/>
      <c r="W4139" s="408"/>
    </row>
    <row r="4140" spans="1:23" ht="12.75" customHeight="1" x14ac:dyDescent="0.2">
      <c r="A4140" s="257">
        <v>4150</v>
      </c>
      <c r="B4140" s="44">
        <v>44688</v>
      </c>
      <c r="C4140" s="44">
        <f t="shared" si="197"/>
        <v>44688</v>
      </c>
      <c r="D4140" s="374">
        <v>362</v>
      </c>
      <c r="E4140" s="291" t="str">
        <f>IFERROR(VLOOKUP($D4140,'Clients-Live'!$A:$C,3,0),"")</f>
        <v>LUPAI DAVID</v>
      </c>
      <c r="F4140" s="291" t="str">
        <f>IFERROR(INDEX(Disbursements!$D:$D,MATCH('Live Collections'!G4140,Disbursements!$C:$C,0)),"")</f>
        <v/>
      </c>
      <c r="G4140" s="34"/>
      <c r="H4140" s="34">
        <v>7487</v>
      </c>
      <c r="I4140" s="34" t="s">
        <v>1760</v>
      </c>
      <c r="J4140" s="48">
        <v>15000</v>
      </c>
      <c r="K4140" s="48">
        <v>5000</v>
      </c>
      <c r="L4140" s="48"/>
      <c r="M4140" s="48"/>
      <c r="N4140" s="59"/>
      <c r="O4140" s="59"/>
      <c r="P4140" s="59"/>
      <c r="Q4140" s="268">
        <f t="shared" ref="Q4140:Q4203" si="198">SUM(J4140:P4140)</f>
        <v>20000</v>
      </c>
      <c r="R4140" s="61">
        <f>IF(O4140=0,0,SUMIFS(Disbursements!$T:$T,Disbursements!$B:$B,'Live Collections'!D4140,Disbursements!$D:$D,'Live Collections'!F4140))</f>
        <v>0</v>
      </c>
      <c r="S4140" s="304">
        <f>IF(O4140&lt;=IF($O4140=0,0,SUMIFS(Disbursements!$W:$W,Disbursements!$B:$B,'Live Collections'!D4140,Disbursements!$D:$D,'Live Collections'!F4140)),O4140,IF($O4140=0,0,SUMIFS(Disbursements!$W:$W,Disbursements!$B:$B,'Live Collections'!D4140,Disbursements!$D:$D,'Live Collections'!F4140)))</f>
        <v>0</v>
      </c>
      <c r="T4140" s="304">
        <f t="shared" si="196"/>
        <v>0</v>
      </c>
      <c r="U4140" s="52"/>
      <c r="V4140" s="34"/>
      <c r="W4140" s="408"/>
    </row>
    <row r="4141" spans="1:23" ht="12.75" customHeight="1" x14ac:dyDescent="0.2">
      <c r="A4141" s="257">
        <v>4151</v>
      </c>
      <c r="B4141" s="44">
        <v>44239</v>
      </c>
      <c r="C4141" s="44">
        <f t="shared" si="197"/>
        <v>44239</v>
      </c>
      <c r="D4141" s="374">
        <v>52</v>
      </c>
      <c r="E4141" s="291" t="str">
        <f>IFERROR(VLOOKUP($D4141,'Clients-Live'!$A:$C,3,0),"")</f>
        <v>EDEZU PEACE IRENE</v>
      </c>
      <c r="F4141" s="291">
        <f>IFERROR(INDEX(Disbursements!$D:$D,MATCH('Live Collections'!G4141,Disbursements!$C:$C,0)),"")</f>
        <v>2</v>
      </c>
      <c r="G4141" s="34">
        <v>275</v>
      </c>
      <c r="H4141" s="34">
        <v>3693</v>
      </c>
      <c r="I4141" s="34" t="s">
        <v>1357</v>
      </c>
      <c r="J4141" s="48"/>
      <c r="K4141" s="48"/>
      <c r="L4141" s="48"/>
      <c r="M4141" s="48"/>
      <c r="N4141" s="59"/>
      <c r="O4141" s="59">
        <v>60000</v>
      </c>
      <c r="P4141" s="59"/>
      <c r="Q4141" s="268">
        <f t="shared" si="198"/>
        <v>60000</v>
      </c>
      <c r="R4141" s="61">
        <f>IF(O4141=0,0,SUMIFS(Disbursements!$T:$T,Disbursements!$B:$B,'Live Collections'!D4141,Disbursements!$D:$D,'Live Collections'!F4141))</f>
        <v>150000</v>
      </c>
      <c r="S4141" s="304"/>
      <c r="T4141" s="304">
        <f t="shared" si="196"/>
        <v>60000</v>
      </c>
      <c r="U4141" s="52"/>
      <c r="V4141" s="34"/>
      <c r="W4141" s="408"/>
    </row>
    <row r="4142" spans="1:23" ht="12.75" customHeight="1" x14ac:dyDescent="0.2">
      <c r="A4142" s="257">
        <v>4152</v>
      </c>
      <c r="B4142" s="44">
        <v>44690</v>
      </c>
      <c r="C4142" s="44">
        <f t="shared" si="197"/>
        <v>44690</v>
      </c>
      <c r="D4142" s="374">
        <v>222</v>
      </c>
      <c r="E4142" s="291" t="str">
        <f>IFERROR(VLOOKUP($D4142,'Clients-Live'!$A:$C,3,0),"")</f>
        <v>ITITU ZAIDA</v>
      </c>
      <c r="F4142" s="291" t="str">
        <f>IFERROR(INDEX(Disbursements!$D:$D,MATCH('Live Collections'!G4142,Disbursements!$C:$C,0)),"")</f>
        <v/>
      </c>
      <c r="G4142" s="34"/>
      <c r="H4142" s="34">
        <v>7357</v>
      </c>
      <c r="I4142" s="34" t="s">
        <v>1358</v>
      </c>
      <c r="J4142" s="48"/>
      <c r="K4142" s="48"/>
      <c r="L4142" s="48">
        <v>20000</v>
      </c>
      <c r="M4142" s="48">
        <v>5000</v>
      </c>
      <c r="N4142" s="59"/>
      <c r="O4142" s="59"/>
      <c r="P4142" s="59"/>
      <c r="Q4142" s="268">
        <f t="shared" si="198"/>
        <v>25000</v>
      </c>
      <c r="R4142" s="61">
        <f>IF(O4142=0,0,SUMIFS(Disbursements!$T:$T,Disbursements!$B:$B,'Live Collections'!D4142,Disbursements!$D:$D,'Live Collections'!F4142))</f>
        <v>0</v>
      </c>
      <c r="S4142" s="304">
        <f>IF(O4142&lt;=IF($O4142=0,0,SUMIFS(Disbursements!$W:$W,Disbursements!$B:$B,'Live Collections'!D4142,Disbursements!$D:$D,'Live Collections'!F4142)),O4142,IF($O4142=0,0,SUMIFS(Disbursements!$W:$W,Disbursements!$B:$B,'Live Collections'!D4142,Disbursements!$D:$D,'Live Collections'!F4142)))</f>
        <v>0</v>
      </c>
      <c r="T4142" s="304">
        <f t="shared" si="196"/>
        <v>0</v>
      </c>
      <c r="U4142" s="52"/>
      <c r="V4142" s="34"/>
      <c r="W4142" s="408"/>
    </row>
    <row r="4143" spans="1:23" ht="12.75" customHeight="1" x14ac:dyDescent="0.2">
      <c r="A4143" s="257">
        <v>4153</v>
      </c>
      <c r="B4143" s="44">
        <v>44690</v>
      </c>
      <c r="C4143" s="44">
        <f t="shared" si="197"/>
        <v>44690</v>
      </c>
      <c r="D4143" s="374">
        <v>205</v>
      </c>
      <c r="E4143" s="291" t="str">
        <f>IFERROR(VLOOKUP($D4143,'Clients-Live'!$A:$C,3,0),"")</f>
        <v>OPIRU ALICE</v>
      </c>
      <c r="F4143" s="291">
        <f>IFERROR(INDEX(Disbursements!$D:$D,MATCH('Live Collections'!G4143,Disbursements!$C:$C,0)),"")</f>
        <v>2</v>
      </c>
      <c r="G4143" s="34">
        <v>396</v>
      </c>
      <c r="H4143" s="34">
        <v>7356</v>
      </c>
      <c r="I4143" s="34" t="s">
        <v>1359</v>
      </c>
      <c r="J4143" s="48"/>
      <c r="K4143" s="48"/>
      <c r="L4143" s="48"/>
      <c r="M4143" s="48"/>
      <c r="N4143" s="59"/>
      <c r="O4143" s="59">
        <v>10000</v>
      </c>
      <c r="P4143" s="59"/>
      <c r="Q4143" s="268">
        <f t="shared" si="198"/>
        <v>10000</v>
      </c>
      <c r="R4143" s="61">
        <f>IF(O4143=0,0,SUMIFS(Disbursements!$T:$T,Disbursements!$B:$B,'Live Collections'!D4143,Disbursements!$D:$D,'Live Collections'!F4143))</f>
        <v>40000</v>
      </c>
      <c r="S4143" s="304"/>
      <c r="T4143" s="304">
        <f t="shared" si="196"/>
        <v>10000</v>
      </c>
      <c r="U4143" s="52"/>
      <c r="V4143" s="34"/>
      <c r="W4143" s="408"/>
    </row>
    <row r="4144" spans="1:23" ht="12.75" customHeight="1" x14ac:dyDescent="0.2">
      <c r="A4144" s="257">
        <v>4154</v>
      </c>
      <c r="B4144" s="44">
        <v>44690</v>
      </c>
      <c r="C4144" s="44">
        <f t="shared" si="197"/>
        <v>44690</v>
      </c>
      <c r="D4144" s="374">
        <v>253</v>
      </c>
      <c r="E4144" s="291" t="str">
        <f>IFERROR(VLOOKUP($D4144,'Clients-Live'!$A:$C,3,0),"")</f>
        <v>JAKUMA VINCENT</v>
      </c>
      <c r="F4144" s="291">
        <f>IFERROR(INDEX(Disbursements!$D:$D,MATCH('Live Collections'!G4144,Disbursements!$C:$C,0)),"")</f>
        <v>1</v>
      </c>
      <c r="G4144" s="34">
        <v>359</v>
      </c>
      <c r="H4144" s="34">
        <v>5946</v>
      </c>
      <c r="I4144" s="34" t="s">
        <v>1359</v>
      </c>
      <c r="J4144" s="48"/>
      <c r="K4144" s="48"/>
      <c r="L4144" s="48"/>
      <c r="M4144" s="48"/>
      <c r="N4144" s="59"/>
      <c r="O4144" s="59">
        <v>100000</v>
      </c>
      <c r="P4144" s="59"/>
      <c r="Q4144" s="268">
        <f t="shared" si="198"/>
        <v>100000</v>
      </c>
      <c r="R4144" s="61">
        <f>IF(O4144=0,0,SUMIFS(Disbursements!$T:$T,Disbursements!$B:$B,'Live Collections'!D4144,Disbursements!$D:$D,'Live Collections'!F4144))</f>
        <v>613000</v>
      </c>
      <c r="S4144" s="304"/>
      <c r="T4144" s="304">
        <f t="shared" si="196"/>
        <v>100000</v>
      </c>
      <c r="U4144" s="52"/>
      <c r="V4144" s="34"/>
      <c r="W4144" s="408"/>
    </row>
    <row r="4145" spans="1:23" ht="12.75" customHeight="1" x14ac:dyDescent="0.2">
      <c r="A4145" s="257">
        <v>4155</v>
      </c>
      <c r="B4145" s="44">
        <v>44690</v>
      </c>
      <c r="C4145" s="44">
        <f t="shared" si="197"/>
        <v>44690</v>
      </c>
      <c r="D4145" s="374">
        <v>76</v>
      </c>
      <c r="E4145" s="291" t="str">
        <f>IFERROR(VLOOKUP($D4145,'Clients-Live'!$A:$C,3,0),"")</f>
        <v>DAWA AISHA</v>
      </c>
      <c r="F4145" s="291">
        <f>IFERROR(INDEX(Disbursements!$D:$D,MATCH('Live Collections'!G4145,Disbursements!$C:$C,0)),"")</f>
        <v>2</v>
      </c>
      <c r="G4145" s="34">
        <v>187</v>
      </c>
      <c r="H4145" s="34">
        <v>7499</v>
      </c>
      <c r="I4145" s="34" t="s">
        <v>1358</v>
      </c>
      <c r="J4145" s="48"/>
      <c r="K4145" s="48"/>
      <c r="L4145" s="48"/>
      <c r="M4145" s="48"/>
      <c r="N4145" s="59"/>
      <c r="O4145" s="59">
        <v>50000</v>
      </c>
      <c r="P4145" s="59"/>
      <c r="Q4145" s="268">
        <f t="shared" si="198"/>
        <v>50000</v>
      </c>
      <c r="R4145" s="61">
        <f>IF(O4145=0,0,SUMIFS(Disbursements!$T:$T,Disbursements!$B:$B,'Live Collections'!D4145,Disbursements!$D:$D,'Live Collections'!F4145))</f>
        <v>180000</v>
      </c>
      <c r="S4145" s="304"/>
      <c r="T4145" s="304">
        <f t="shared" si="196"/>
        <v>50000</v>
      </c>
      <c r="U4145" s="52"/>
      <c r="V4145" s="34"/>
      <c r="W4145" s="408"/>
    </row>
    <row r="4146" spans="1:23" ht="12.75" customHeight="1" x14ac:dyDescent="0.2">
      <c r="A4146" s="257">
        <v>4156</v>
      </c>
      <c r="B4146" s="44">
        <v>44690</v>
      </c>
      <c r="C4146" s="44">
        <f t="shared" si="197"/>
        <v>44690</v>
      </c>
      <c r="D4146" s="374">
        <v>77</v>
      </c>
      <c r="E4146" s="291" t="str">
        <f>IFERROR(VLOOKUP($D4146,'Clients-Live'!$A:$C,3,0),"")</f>
        <v>CACA FATUMA</v>
      </c>
      <c r="F4146" s="291">
        <f>IFERROR(INDEX(Disbursements!$D:$D,MATCH('Live Collections'!G4146,Disbursements!$C:$C,0)),"")</f>
        <v>2</v>
      </c>
      <c r="G4146" s="34">
        <v>315</v>
      </c>
      <c r="H4146" s="34">
        <v>7493</v>
      </c>
      <c r="I4146" s="34" t="s">
        <v>1357</v>
      </c>
      <c r="J4146" s="48"/>
      <c r="K4146" s="48"/>
      <c r="L4146" s="48"/>
      <c r="M4146" s="48"/>
      <c r="N4146" s="59"/>
      <c r="O4146" s="59">
        <v>200000</v>
      </c>
      <c r="P4146" s="59"/>
      <c r="Q4146" s="268">
        <f t="shared" si="198"/>
        <v>200000</v>
      </c>
      <c r="R4146" s="61">
        <f>IF(O4146=0,0,SUMIFS(Disbursements!$T:$T,Disbursements!$B:$B,'Live Collections'!D4146,Disbursements!$D:$D,'Live Collections'!F4146))</f>
        <v>325000</v>
      </c>
      <c r="S4146" s="304"/>
      <c r="T4146" s="304">
        <f t="shared" si="196"/>
        <v>200000</v>
      </c>
      <c r="U4146" s="52"/>
      <c r="V4146" s="34"/>
      <c r="W4146" s="408"/>
    </row>
    <row r="4147" spans="1:23" ht="12.75" customHeight="1" x14ac:dyDescent="0.2">
      <c r="A4147" s="257">
        <v>4157</v>
      </c>
      <c r="B4147" s="44">
        <v>44690</v>
      </c>
      <c r="C4147" s="44">
        <f t="shared" si="197"/>
        <v>44690</v>
      </c>
      <c r="D4147" s="374">
        <v>127</v>
      </c>
      <c r="E4147" s="291" t="str">
        <f>IFERROR(VLOOKUP($D4147,'Clients-Live'!$A:$C,3,0),"")</f>
        <v>TIKO RUKIA</v>
      </c>
      <c r="F4147" s="291">
        <f>IFERROR(INDEX(Disbursements!$D:$D,MATCH('Live Collections'!G4147,Disbursements!$C:$C,0)),"")</f>
        <v>1</v>
      </c>
      <c r="G4147" s="34">
        <v>110</v>
      </c>
      <c r="H4147" s="34">
        <v>5943</v>
      </c>
      <c r="I4147" s="34" t="s">
        <v>1358</v>
      </c>
      <c r="J4147" s="48"/>
      <c r="K4147" s="48"/>
      <c r="L4147" s="48"/>
      <c r="M4147" s="48"/>
      <c r="N4147" s="59"/>
      <c r="O4147" s="59">
        <v>10000</v>
      </c>
      <c r="P4147" s="59"/>
      <c r="Q4147" s="268">
        <f t="shared" si="198"/>
        <v>10000</v>
      </c>
      <c r="R4147" s="61">
        <f>IF(O4147=0,0,SUMIFS(Disbursements!$T:$T,Disbursements!$B:$B,'Live Collections'!D4147,Disbursements!$D:$D,'Live Collections'!F4147))</f>
        <v>154000</v>
      </c>
      <c r="S4147" s="304"/>
      <c r="T4147" s="304">
        <f t="shared" si="196"/>
        <v>10000</v>
      </c>
      <c r="U4147" s="52"/>
      <c r="V4147" s="34"/>
      <c r="W4147" s="408"/>
    </row>
    <row r="4148" spans="1:23" ht="12.75" customHeight="1" x14ac:dyDescent="0.2">
      <c r="A4148" s="257">
        <v>4158</v>
      </c>
      <c r="B4148" s="44">
        <v>44690</v>
      </c>
      <c r="C4148" s="44">
        <f t="shared" si="197"/>
        <v>44690</v>
      </c>
      <c r="D4148" s="374">
        <v>329</v>
      </c>
      <c r="E4148" s="291" t="str">
        <f>IFERROR(VLOOKUP($D4148,'Clients-Live'!$A:$C,3,0),"")</f>
        <v>NSUBUGA DAVID</v>
      </c>
      <c r="F4148" s="291">
        <f>IFERROR(INDEX(Disbursements!$D:$D,MATCH('Live Collections'!G4148,Disbursements!$C:$C,0)),"")</f>
        <v>1</v>
      </c>
      <c r="G4148" s="34">
        <v>455</v>
      </c>
      <c r="H4148" s="34">
        <v>7494</v>
      </c>
      <c r="I4148" s="34" t="s">
        <v>1357</v>
      </c>
      <c r="J4148" s="48"/>
      <c r="K4148" s="48"/>
      <c r="L4148" s="48"/>
      <c r="M4148" s="48"/>
      <c r="N4148" s="59"/>
      <c r="O4148" s="59">
        <v>400000</v>
      </c>
      <c r="P4148" s="59"/>
      <c r="Q4148" s="268">
        <f t="shared" si="198"/>
        <v>400000</v>
      </c>
      <c r="R4148" s="61">
        <f>IF(O4148=0,0,SUMIFS(Disbursements!$T:$T,Disbursements!$B:$B,'Live Collections'!D4148,Disbursements!$D:$D,'Live Collections'!F4148))</f>
        <v>848000</v>
      </c>
      <c r="S4148" s="304">
        <v>18000</v>
      </c>
      <c r="T4148" s="304">
        <f t="shared" si="196"/>
        <v>382000</v>
      </c>
      <c r="U4148" s="52"/>
      <c r="V4148" s="34"/>
      <c r="W4148" s="408"/>
    </row>
    <row r="4149" spans="1:23" ht="12.75" customHeight="1" x14ac:dyDescent="0.2">
      <c r="A4149" s="257">
        <v>4159</v>
      </c>
      <c r="B4149" s="44">
        <v>44690</v>
      </c>
      <c r="C4149" s="44">
        <f t="shared" si="197"/>
        <v>44690</v>
      </c>
      <c r="D4149" s="374">
        <v>261</v>
      </c>
      <c r="E4149" s="291" t="str">
        <f>IFERROR(VLOOKUP($D4149,'Clients-Live'!$A:$C,3,0),"")</f>
        <v>AMANIYO STELLA</v>
      </c>
      <c r="F4149" s="291">
        <f>IFERROR(INDEX(Disbursements!$D:$D,MATCH('Live Collections'!G4149,Disbursements!$C:$C,0)),"")</f>
        <v>2</v>
      </c>
      <c r="G4149" s="34">
        <v>429</v>
      </c>
      <c r="H4149" s="34">
        <v>7371</v>
      </c>
      <c r="I4149" s="34" t="s">
        <v>1359</v>
      </c>
      <c r="J4149" s="48"/>
      <c r="K4149" s="48" t="s">
        <v>2433</v>
      </c>
      <c r="L4149" s="48"/>
      <c r="M4149" s="48"/>
      <c r="N4149" s="59"/>
      <c r="O4149" s="59">
        <v>100000</v>
      </c>
      <c r="P4149" s="59"/>
      <c r="Q4149" s="268">
        <f t="shared" si="198"/>
        <v>100000</v>
      </c>
      <c r="R4149" s="61">
        <f>IF(O4149=0,0,SUMIFS(Disbursements!$T:$T,Disbursements!$B:$B,'Live Collections'!D4149,Disbursements!$D:$D,'Live Collections'!F4149))</f>
        <v>142000</v>
      </c>
      <c r="S4149" s="304">
        <f>IF(O4149&lt;=IF($O4149=0,0,SUMIFS(Disbursements!$W:$W,Disbursements!$B:$B,'Live Collections'!D4149,Disbursements!$D:$D,'Live Collections'!F4149)),O4149,IF($O4149=0,0,SUMIFS(Disbursements!$W:$W,Disbursements!$B:$B,'Live Collections'!D4149,Disbursements!$D:$D,'Live Collections'!F4149)))</f>
        <v>17000</v>
      </c>
      <c r="T4149" s="304">
        <f t="shared" si="196"/>
        <v>83000</v>
      </c>
      <c r="U4149" s="52"/>
      <c r="V4149" s="34"/>
      <c r="W4149" s="408"/>
    </row>
    <row r="4150" spans="1:23" ht="12.75" customHeight="1" x14ac:dyDescent="0.2">
      <c r="A4150" s="257">
        <v>4160</v>
      </c>
      <c r="B4150" s="44">
        <v>44690</v>
      </c>
      <c r="C4150" s="44">
        <f t="shared" si="197"/>
        <v>44690</v>
      </c>
      <c r="D4150" s="374">
        <v>333</v>
      </c>
      <c r="E4150" s="291" t="str">
        <f>IFERROR(VLOOKUP($D4150,'Clients-Live'!$A:$C,3,0),"")</f>
        <v>OSORU HELLEN</v>
      </c>
      <c r="F4150" s="291">
        <f>IFERROR(INDEX(Disbursements!$D:$D,MATCH('Live Collections'!G4150,Disbursements!$C:$C,0)),"")</f>
        <v>1</v>
      </c>
      <c r="G4150" s="34">
        <v>472</v>
      </c>
      <c r="H4150" s="34">
        <v>7355</v>
      </c>
      <c r="I4150" s="34" t="s">
        <v>1358</v>
      </c>
      <c r="J4150" s="48"/>
      <c r="K4150" s="48"/>
      <c r="L4150" s="48"/>
      <c r="M4150" s="48"/>
      <c r="N4150" s="59"/>
      <c r="O4150" s="59">
        <v>50000</v>
      </c>
      <c r="P4150" s="59"/>
      <c r="Q4150" s="268">
        <f t="shared" si="198"/>
        <v>50000</v>
      </c>
      <c r="R4150" s="61">
        <f>IF(O4150=0,0,SUMIFS(Disbursements!$T:$T,Disbursements!$B:$B,'Live Collections'!D4150,Disbursements!$D:$D,'Live Collections'!F4150))</f>
        <v>40000</v>
      </c>
      <c r="S4150" s="304">
        <f>IF(O4150&lt;=IF($O4150=0,0,SUMIFS(Disbursements!$W:$W,Disbursements!$B:$B,'Live Collections'!D4150,Disbursements!$D:$D,'Live Collections'!F4150)),O4150,IF($O4150=0,0,SUMIFS(Disbursements!$W:$W,Disbursements!$B:$B,'Live Collections'!D4150,Disbursements!$D:$D,'Live Collections'!F4150)))</f>
        <v>8750</v>
      </c>
      <c r="T4150" s="304">
        <f t="shared" si="196"/>
        <v>41250</v>
      </c>
      <c r="U4150" s="52"/>
      <c r="V4150" s="34"/>
      <c r="W4150" s="408"/>
    </row>
    <row r="4151" spans="1:23" ht="12.75" customHeight="1" x14ac:dyDescent="0.2">
      <c r="A4151" s="257">
        <v>4161</v>
      </c>
      <c r="B4151" s="44">
        <v>44690</v>
      </c>
      <c r="C4151" s="44">
        <f t="shared" si="197"/>
        <v>44690</v>
      </c>
      <c r="D4151" s="374">
        <v>304</v>
      </c>
      <c r="E4151" s="291" t="str">
        <f>IFERROR(VLOOKUP($D4151,'Clients-Live'!$A:$C,3,0),"")</f>
        <v>ATAKO GLORIA</v>
      </c>
      <c r="F4151" s="291">
        <f>IFERROR(INDEX(Disbursements!$D:$D,MATCH('Live Collections'!G4151,Disbursements!$C:$C,0)),"")</f>
        <v>1</v>
      </c>
      <c r="G4151" s="34">
        <v>398</v>
      </c>
      <c r="H4151" s="34">
        <v>7352</v>
      </c>
      <c r="I4151" s="34" t="s">
        <v>1357</v>
      </c>
      <c r="J4151" s="48"/>
      <c r="K4151" s="48"/>
      <c r="L4151" s="48"/>
      <c r="M4151" s="48"/>
      <c r="N4151" s="59"/>
      <c r="O4151" s="59">
        <v>3500</v>
      </c>
      <c r="P4151" s="59"/>
      <c r="Q4151" s="268">
        <f t="shared" si="198"/>
        <v>3500</v>
      </c>
      <c r="R4151" s="61">
        <f>IF(O4151=0,0,SUMIFS(Disbursements!$T:$T,Disbursements!$B:$B,'Live Collections'!D4151,Disbursements!$D:$D,'Live Collections'!F4151))</f>
        <v>32000</v>
      </c>
      <c r="S4151" s="304"/>
      <c r="T4151" s="304">
        <f t="shared" ref="T4151:T4214" si="199">IF(O4151=0,0,O4151-S4151)</f>
        <v>3500</v>
      </c>
      <c r="U4151" s="52"/>
      <c r="V4151" s="34"/>
      <c r="W4151" s="408"/>
    </row>
    <row r="4152" spans="1:23" ht="12.75" customHeight="1" x14ac:dyDescent="0.2">
      <c r="A4152" s="257">
        <v>4162</v>
      </c>
      <c r="B4152" s="44">
        <v>44690</v>
      </c>
      <c r="C4152" s="44">
        <f t="shared" si="197"/>
        <v>44690</v>
      </c>
      <c r="D4152" s="374">
        <v>211</v>
      </c>
      <c r="E4152" s="291" t="str">
        <f>IFERROR(VLOOKUP($D4152,'Clients-Live'!$A:$C,3,0),"")</f>
        <v>WILARU JOYCE</v>
      </c>
      <c r="F4152" s="291">
        <f>IFERROR(INDEX(Disbursements!$D:$D,MATCH('Live Collections'!G4152,Disbursements!$C:$C,0)),"")</f>
        <v>2</v>
      </c>
      <c r="G4152" s="34">
        <v>403</v>
      </c>
      <c r="H4152" s="34">
        <v>5949</v>
      </c>
      <c r="I4152" s="34" t="s">
        <v>1358</v>
      </c>
      <c r="J4152" s="48"/>
      <c r="K4152" s="48"/>
      <c r="L4152" s="48"/>
      <c r="M4152" s="48"/>
      <c r="N4152" s="59"/>
      <c r="O4152" s="59">
        <v>100000</v>
      </c>
      <c r="P4152" s="59"/>
      <c r="Q4152" s="268">
        <f t="shared" si="198"/>
        <v>100000</v>
      </c>
      <c r="R4152" s="61">
        <f>IF(O4152=0,0,SUMIFS(Disbursements!$T:$T,Disbursements!$B:$B,'Live Collections'!D4152,Disbursements!$D:$D,'Live Collections'!F4152))</f>
        <v>87000</v>
      </c>
      <c r="S4152" s="304">
        <f>IF(O4152&lt;=IF($O4152=0,0,SUMIFS(Disbursements!$W:$W,Disbursements!$B:$B,'Live Collections'!D4152,Disbursements!$D:$D,'Live Collections'!F4152)),O4152,IF($O4152=0,0,SUMIFS(Disbursements!$W:$W,Disbursements!$B:$B,'Live Collections'!D4152,Disbursements!$D:$D,'Live Collections'!F4152)))</f>
        <v>22000</v>
      </c>
      <c r="T4152" s="304">
        <f t="shared" si="199"/>
        <v>78000</v>
      </c>
      <c r="U4152" s="52"/>
      <c r="V4152" s="34"/>
      <c r="W4152" s="408"/>
    </row>
    <row r="4153" spans="1:23" ht="12.75" customHeight="1" x14ac:dyDescent="0.2">
      <c r="A4153" s="257">
        <v>4163</v>
      </c>
      <c r="B4153" s="44">
        <v>44690</v>
      </c>
      <c r="C4153" s="44">
        <f t="shared" si="197"/>
        <v>44690</v>
      </c>
      <c r="D4153" s="374">
        <v>344</v>
      </c>
      <c r="E4153" s="291" t="str">
        <f>IFERROR(VLOOKUP($D4153,'Clients-Live'!$A:$C,3,0),"")</f>
        <v>ADAM MUSA LEMERIGA</v>
      </c>
      <c r="F4153" s="291">
        <f>IFERROR(INDEX(Disbursements!$D:$D,MATCH('Live Collections'!G4153,Disbursements!$C:$C,0)),"")</f>
        <v>1</v>
      </c>
      <c r="G4153" s="34">
        <v>484</v>
      </c>
      <c r="H4153" s="34">
        <v>7496</v>
      </c>
      <c r="I4153" s="34" t="s">
        <v>1358</v>
      </c>
      <c r="J4153" s="48"/>
      <c r="K4153" s="48"/>
      <c r="L4153" s="48"/>
      <c r="M4153" s="48"/>
      <c r="N4153" s="59"/>
      <c r="O4153" s="59">
        <v>120000</v>
      </c>
      <c r="P4153" s="59"/>
      <c r="Q4153" s="268">
        <f t="shared" si="198"/>
        <v>120000</v>
      </c>
      <c r="R4153" s="61">
        <f>IF(O4153=0,0,SUMIFS(Disbursements!$T:$T,Disbursements!$B:$B,'Live Collections'!D4153,Disbursements!$D:$D,'Live Collections'!F4153))</f>
        <v>315000</v>
      </c>
      <c r="S4153" s="304">
        <f>IF(O4153&lt;=IF($O4153=0,0,SUMIFS(Disbursements!$W:$W,Disbursements!$B:$B,'Live Collections'!D4153,Disbursements!$D:$D,'Live Collections'!F4153)),O4153,IF($O4153=0,0,SUMIFS(Disbursements!$W:$W,Disbursements!$B:$B,'Live Collections'!D4153,Disbursements!$D:$D,'Live Collections'!F4153)))</f>
        <v>65000</v>
      </c>
      <c r="T4153" s="304">
        <f t="shared" si="199"/>
        <v>55000</v>
      </c>
      <c r="U4153" s="52"/>
      <c r="V4153" s="34"/>
      <c r="W4153" s="408"/>
    </row>
    <row r="4154" spans="1:23" ht="12.75" customHeight="1" x14ac:dyDescent="0.2">
      <c r="A4154" s="257">
        <v>4164</v>
      </c>
      <c r="B4154" s="44">
        <v>44690</v>
      </c>
      <c r="C4154" s="44">
        <f t="shared" si="197"/>
        <v>44690</v>
      </c>
      <c r="D4154" s="374">
        <v>52</v>
      </c>
      <c r="E4154" s="291" t="str">
        <f>IFERROR(VLOOKUP($D4154,'Clients-Live'!$A:$C,3,0),"")</f>
        <v>EDEZU PEACE IRENE</v>
      </c>
      <c r="F4154" s="291">
        <f>IFERROR(INDEX(Disbursements!$D:$D,MATCH('Live Collections'!G4154,Disbursements!$C:$C,0)),"")</f>
        <v>2</v>
      </c>
      <c r="G4154" s="34">
        <v>275</v>
      </c>
      <c r="H4154" s="34">
        <v>7500</v>
      </c>
      <c r="I4154" s="34" t="s">
        <v>1357</v>
      </c>
      <c r="J4154" s="48"/>
      <c r="K4154" s="48"/>
      <c r="L4154" s="48"/>
      <c r="M4154" s="48"/>
      <c r="N4154" s="59"/>
      <c r="O4154" s="59">
        <v>60000</v>
      </c>
      <c r="P4154" s="59"/>
      <c r="Q4154" s="268">
        <f t="shared" si="198"/>
        <v>60000</v>
      </c>
      <c r="R4154" s="61">
        <f>IF(O4154=0,0,SUMIFS(Disbursements!$T:$T,Disbursements!$B:$B,'Live Collections'!D4154,Disbursements!$D:$D,'Live Collections'!F4154))</f>
        <v>150000</v>
      </c>
      <c r="S4154" s="304"/>
      <c r="T4154" s="304">
        <f t="shared" si="199"/>
        <v>60000</v>
      </c>
      <c r="U4154" s="52"/>
      <c r="V4154" s="34"/>
      <c r="W4154" s="408"/>
    </row>
    <row r="4155" spans="1:23" ht="12.75" customHeight="1" x14ac:dyDescent="0.2">
      <c r="A4155" s="257">
        <v>4165</v>
      </c>
      <c r="B4155" s="44">
        <v>44690</v>
      </c>
      <c r="C4155" s="44">
        <f t="shared" si="197"/>
        <v>44690</v>
      </c>
      <c r="D4155" s="374">
        <v>9</v>
      </c>
      <c r="E4155" s="291" t="str">
        <f>IFERROR(VLOOKUP($D4155,'Clients-Live'!$A:$C,3,0),"")</f>
        <v>TABAN DAVID YAYA</v>
      </c>
      <c r="F4155" s="291">
        <f>IFERROR(INDEX(Disbursements!$D:$D,MATCH('Live Collections'!G4155,Disbursements!$C:$C,0)),"")</f>
        <v>4</v>
      </c>
      <c r="G4155" s="34">
        <v>507</v>
      </c>
      <c r="H4155" s="34">
        <v>5950</v>
      </c>
      <c r="I4155" s="34" t="s">
        <v>1357</v>
      </c>
      <c r="J4155" s="48"/>
      <c r="K4155" s="48"/>
      <c r="L4155" s="48"/>
      <c r="M4155" s="48"/>
      <c r="N4155" s="59"/>
      <c r="O4155" s="59">
        <v>40000</v>
      </c>
      <c r="P4155" s="59"/>
      <c r="Q4155" s="268">
        <f t="shared" si="198"/>
        <v>40000</v>
      </c>
      <c r="R4155" s="61">
        <f>IF(O4155=0,0,SUMIFS(Disbursements!$T:$T,Disbursements!$B:$B,'Live Collections'!D4155,Disbursements!$D:$D,'Live Collections'!F4155))</f>
        <v>174000</v>
      </c>
      <c r="S4155" s="304">
        <f>IF(O4155&lt;=IF($O4155=0,0,SUMIFS(Disbursements!$W:$W,Disbursements!$B:$B,'Live Collections'!D4155,Disbursements!$D:$D,'Live Collections'!F4155)),O4155,IF($O4155=0,0,SUMIFS(Disbursements!$W:$W,Disbursements!$B:$B,'Live Collections'!D4155,Disbursements!$D:$D,'Live Collections'!F4155)))</f>
        <v>36500</v>
      </c>
      <c r="T4155" s="304">
        <f t="shared" si="199"/>
        <v>3500</v>
      </c>
      <c r="U4155" s="52"/>
      <c r="V4155" s="34"/>
      <c r="W4155" s="408"/>
    </row>
    <row r="4156" spans="1:23" ht="12.75" customHeight="1" x14ac:dyDescent="0.2">
      <c r="A4156" s="257">
        <v>4166</v>
      </c>
      <c r="B4156" s="44">
        <v>44690</v>
      </c>
      <c r="C4156" s="44">
        <f t="shared" si="197"/>
        <v>44690</v>
      </c>
      <c r="D4156" s="374">
        <v>304</v>
      </c>
      <c r="E4156" s="291" t="str">
        <f>IFERROR(VLOOKUP($D4156,'Clients-Live'!$A:$C,3,0),"")</f>
        <v>ATAKO GLORIA</v>
      </c>
      <c r="F4156" s="291" t="str">
        <f>IFERROR(INDEX(Disbursements!$D:$D,MATCH('Live Collections'!G4156,Disbursements!$C:$C,0)),"")</f>
        <v/>
      </c>
      <c r="G4156" s="34"/>
      <c r="H4156" s="34">
        <v>7351</v>
      </c>
      <c r="I4156" s="34" t="s">
        <v>1357</v>
      </c>
      <c r="J4156" s="48"/>
      <c r="K4156" s="48"/>
      <c r="L4156" s="48">
        <v>20000</v>
      </c>
      <c r="M4156" s="48">
        <v>5000</v>
      </c>
      <c r="N4156" s="59"/>
      <c r="O4156" s="59"/>
      <c r="P4156" s="59"/>
      <c r="Q4156" s="268">
        <f t="shared" si="198"/>
        <v>25000</v>
      </c>
      <c r="R4156" s="61">
        <f>IF(O4156=0,0,SUMIFS(Disbursements!$T:$T,Disbursements!$B:$B,'Live Collections'!D4156,Disbursements!$D:$D,'Live Collections'!F4156))</f>
        <v>0</v>
      </c>
      <c r="S4156" s="304">
        <f>IF(O4156&lt;=IF($O4156=0,0,SUMIFS(Disbursements!$W:$W,Disbursements!$B:$B,'Live Collections'!D4156,Disbursements!$D:$D,'Live Collections'!F4156)),O4156,IF($O4156=0,0,SUMIFS(Disbursements!$W:$W,Disbursements!$B:$B,'Live Collections'!D4156,Disbursements!$D:$D,'Live Collections'!F4156)))</f>
        <v>0</v>
      </c>
      <c r="T4156" s="304">
        <f t="shared" si="199"/>
        <v>0</v>
      </c>
      <c r="U4156" s="52"/>
      <c r="V4156" s="34"/>
      <c r="W4156" s="408"/>
    </row>
    <row r="4157" spans="1:23" ht="12.75" customHeight="1" x14ac:dyDescent="0.2">
      <c r="A4157" s="257">
        <v>4167</v>
      </c>
      <c r="B4157" s="44">
        <v>44690</v>
      </c>
      <c r="C4157" s="44">
        <f t="shared" si="197"/>
        <v>44690</v>
      </c>
      <c r="D4157" s="374">
        <v>308</v>
      </c>
      <c r="E4157" s="291" t="str">
        <f>IFERROR(VLOOKUP($D4157,'Clients-Live'!$A:$C,3,0),"")</f>
        <v>AYILA CHRISTOPHER</v>
      </c>
      <c r="F4157" s="291">
        <f>IFERROR(INDEX(Disbursements!$D:$D,MATCH('Live Collections'!G4157,Disbursements!$C:$C,0)),"")</f>
        <v>1</v>
      </c>
      <c r="G4157" s="34">
        <v>390</v>
      </c>
      <c r="H4157" s="34">
        <v>7402</v>
      </c>
      <c r="I4157" s="34" t="s">
        <v>1357</v>
      </c>
      <c r="J4157" s="48"/>
      <c r="K4157" s="48"/>
      <c r="L4157" s="48"/>
      <c r="M4157" s="48"/>
      <c r="N4157" s="59"/>
      <c r="O4157" s="59">
        <v>664000</v>
      </c>
      <c r="P4157" s="59"/>
      <c r="Q4157" s="268">
        <f t="shared" si="198"/>
        <v>664000</v>
      </c>
      <c r="R4157" s="61">
        <f>IF(O4157=0,0,SUMIFS(Disbursements!$T:$T,Disbursements!$B:$B,'Live Collections'!D4157,Disbursements!$D:$D,'Live Collections'!F4157))</f>
        <v>858000</v>
      </c>
      <c r="S4157" s="304"/>
      <c r="T4157" s="304">
        <f t="shared" si="199"/>
        <v>664000</v>
      </c>
      <c r="U4157" s="52"/>
      <c r="V4157" s="34"/>
      <c r="W4157" s="408"/>
    </row>
    <row r="4158" spans="1:23" ht="12.75" customHeight="1" x14ac:dyDescent="0.2">
      <c r="A4158" s="257">
        <v>4168</v>
      </c>
      <c r="B4158" s="44">
        <v>44690</v>
      </c>
      <c r="C4158" s="44">
        <f t="shared" si="197"/>
        <v>44690</v>
      </c>
      <c r="D4158" s="374">
        <v>123</v>
      </c>
      <c r="E4158" s="291" t="str">
        <f>IFERROR(VLOOKUP($D4158,'Clients-Live'!$A:$C,3,0),"")</f>
        <v>INZIKURU JANET</v>
      </c>
      <c r="F4158" s="291">
        <f>IFERROR(INDEX(Disbursements!$D:$D,MATCH('Live Collections'!G4158,Disbursements!$C:$C,0)),"")</f>
        <v>1</v>
      </c>
      <c r="G4158" s="34">
        <v>107</v>
      </c>
      <c r="H4158" s="34">
        <v>5944</v>
      </c>
      <c r="I4158" s="34" t="s">
        <v>1358</v>
      </c>
      <c r="J4158" s="48"/>
      <c r="K4158" s="48"/>
      <c r="L4158" s="48"/>
      <c r="M4158" s="48"/>
      <c r="N4158" s="59"/>
      <c r="O4158" s="59">
        <v>30000</v>
      </c>
      <c r="P4158" s="59"/>
      <c r="Q4158" s="268">
        <f t="shared" si="198"/>
        <v>30000</v>
      </c>
      <c r="R4158" s="61">
        <f>IF(O4158=0,0,SUMIFS(Disbursements!$T:$T,Disbursements!$B:$B,'Live Collections'!D4158,Disbursements!$D:$D,'Live Collections'!F4158))</f>
        <v>150000</v>
      </c>
      <c r="S4158" s="304">
        <f>IF(O4158&lt;=IF($O4158=0,0,SUMIFS(Disbursements!$W:$W,Disbursements!$B:$B,'Live Collections'!D4158,Disbursements!$D:$D,'Live Collections'!F4158)),O4158,IF($O4158=0,0,SUMIFS(Disbursements!$W:$W,Disbursements!$B:$B,'Live Collections'!D4158,Disbursements!$D:$D,'Live Collections'!F4158)))</f>
        <v>25000</v>
      </c>
      <c r="T4158" s="304">
        <f t="shared" si="199"/>
        <v>5000</v>
      </c>
      <c r="U4158" s="52"/>
      <c r="V4158" s="34"/>
      <c r="W4158" s="408"/>
    </row>
    <row r="4159" spans="1:23" ht="12.75" customHeight="1" x14ac:dyDescent="0.2">
      <c r="A4159" s="257">
        <v>4169</v>
      </c>
      <c r="B4159" s="44">
        <v>44690</v>
      </c>
      <c r="C4159" s="44">
        <f t="shared" si="197"/>
        <v>44690</v>
      </c>
      <c r="D4159" s="374">
        <v>113</v>
      </c>
      <c r="E4159" s="291" t="str">
        <f>IFERROR(VLOOKUP($D4159,'Clients-Live'!$A:$C,3,0),"")</f>
        <v>ATIKU AMULE ISAAC</v>
      </c>
      <c r="F4159" s="291">
        <f>IFERROR(INDEX(Disbursements!$D:$D,MATCH('Live Collections'!G4159,Disbursements!$C:$C,0)),"")</f>
        <v>2</v>
      </c>
      <c r="G4159" s="34">
        <v>263</v>
      </c>
      <c r="H4159" s="34">
        <v>5945</v>
      </c>
      <c r="I4159" s="34" t="s">
        <v>1358</v>
      </c>
      <c r="J4159" s="48"/>
      <c r="K4159" s="48"/>
      <c r="L4159" s="48"/>
      <c r="M4159" s="48"/>
      <c r="N4159" s="59"/>
      <c r="O4159" s="59">
        <v>90200</v>
      </c>
      <c r="P4159" s="59"/>
      <c r="Q4159" s="268">
        <f t="shared" si="198"/>
        <v>90200</v>
      </c>
      <c r="R4159" s="61">
        <f>IF(O4159=0,0,SUMIFS(Disbursements!$T:$T,Disbursements!$B:$B,'Live Collections'!D4159,Disbursements!$D:$D,'Live Collections'!F4159))</f>
        <v>152000</v>
      </c>
      <c r="S4159" s="304">
        <f>IF(O4159&lt;=IF($O4159=0,0,SUMIFS(Disbursements!$W:$W,Disbursements!$B:$B,'Live Collections'!D4529,Disbursements!$D:$D,'Live Collections'!I4521)),O4159,IF($O4159=0,0,SUMIFS(Disbursements!$W:$W,Disbursements!$B:$B,'Live Collections'!D4529,Disbursements!$D:$D,'Live Collections'!I4521)))</f>
        <v>0</v>
      </c>
      <c r="T4159" s="304">
        <f t="shared" si="199"/>
        <v>90200</v>
      </c>
      <c r="U4159" s="52"/>
      <c r="V4159" s="34"/>
      <c r="W4159" s="408"/>
    </row>
    <row r="4160" spans="1:23" ht="12.75" customHeight="1" x14ac:dyDescent="0.2">
      <c r="A4160" s="257">
        <v>4170</v>
      </c>
      <c r="B4160" s="44">
        <v>44690</v>
      </c>
      <c r="C4160" s="44">
        <f t="shared" ref="C4160:C4223" si="200">B4160</f>
        <v>44690</v>
      </c>
      <c r="D4160" s="374">
        <v>126</v>
      </c>
      <c r="E4160" s="291" t="str">
        <f>IFERROR(VLOOKUP($D4160,'Clients-Live'!$A:$C,3,0),"")</f>
        <v>OGWAL STEPHEN GERALD</v>
      </c>
      <c r="F4160" s="291">
        <f>IFERROR(INDEX(Disbursements!$D:$D,MATCH('Live Collections'!G4160,Disbursements!$C:$C,0)),"")</f>
        <v>4</v>
      </c>
      <c r="G4160" s="34">
        <v>445</v>
      </c>
      <c r="H4160" s="34">
        <v>5942</v>
      </c>
      <c r="I4160" s="34" t="s">
        <v>1359</v>
      </c>
      <c r="J4160" s="48"/>
      <c r="K4160" s="48"/>
      <c r="L4160" s="48"/>
      <c r="M4160" s="48"/>
      <c r="N4160" s="59"/>
      <c r="O4160" s="59">
        <v>423000</v>
      </c>
      <c r="P4160" s="59"/>
      <c r="Q4160" s="268">
        <f t="shared" si="198"/>
        <v>423000</v>
      </c>
      <c r="R4160" s="61">
        <f>IF(O4160=0,0,SUMIFS(Disbursements!$T:$T,Disbursements!$B:$B,'Live Collections'!D4160,Disbursements!$D:$D,'Live Collections'!F4160))</f>
        <v>613000</v>
      </c>
      <c r="S4160" s="304">
        <f>IF(O4160&lt;=IF($O4160=0,0,SUMIFS(Disbursements!$W:$W,Disbursements!$B:$B,'Live Collections'!D4160,Disbursements!$D:$D,'Live Collections'!F4160)),O4160,IF($O4160=0,0,SUMIFS(Disbursements!$W:$W,Disbursements!$B:$B,'Live Collections'!D4160,Disbursements!$D:$D,'Live Collections'!F4160)))</f>
        <v>113000</v>
      </c>
      <c r="T4160" s="304">
        <f t="shared" si="199"/>
        <v>310000</v>
      </c>
      <c r="U4160" s="52"/>
      <c r="V4160" s="34"/>
      <c r="W4160" s="408"/>
    </row>
    <row r="4161" spans="1:23" ht="12.75" customHeight="1" x14ac:dyDescent="0.2">
      <c r="A4161" s="257">
        <v>4171</v>
      </c>
      <c r="B4161" s="44">
        <v>44690</v>
      </c>
      <c r="C4161" s="44">
        <f t="shared" si="200"/>
        <v>44690</v>
      </c>
      <c r="D4161" s="374">
        <v>63</v>
      </c>
      <c r="E4161" s="291" t="str">
        <f>IFERROR(VLOOKUP($D4161,'Clients-Live'!$A:$C,3,0),"")</f>
        <v>AWURU KADARA</v>
      </c>
      <c r="F4161" s="291">
        <f>IFERROR(INDEX(Disbursements!$D:$D,MATCH('Live Collections'!G4161,Disbursements!$C:$C,0)),"")</f>
        <v>3</v>
      </c>
      <c r="G4161" s="34">
        <v>375</v>
      </c>
      <c r="H4161" s="34">
        <v>7495</v>
      </c>
      <c r="I4161" s="34" t="s">
        <v>1357</v>
      </c>
      <c r="J4161" s="48"/>
      <c r="K4161" s="48"/>
      <c r="L4161" s="48"/>
      <c r="M4161" s="48"/>
      <c r="N4161" s="59"/>
      <c r="O4161" s="59">
        <v>25000</v>
      </c>
      <c r="P4161" s="59"/>
      <c r="Q4161" s="268">
        <f t="shared" si="198"/>
        <v>25000</v>
      </c>
      <c r="R4161" s="61">
        <f>IF(O4161=0,0,SUMIFS(Disbursements!$T:$T,Disbursements!$B:$B,'Live Collections'!D4161,Disbursements!$D:$D,'Live Collections'!F4161))</f>
        <v>175000</v>
      </c>
      <c r="S4161" s="304"/>
      <c r="T4161" s="304">
        <f t="shared" si="199"/>
        <v>25000</v>
      </c>
      <c r="U4161" s="52"/>
      <c r="V4161" s="34"/>
      <c r="W4161" s="408"/>
    </row>
    <row r="4162" spans="1:23" ht="12.75" customHeight="1" x14ac:dyDescent="0.2">
      <c r="A4162" s="257">
        <v>4172</v>
      </c>
      <c r="B4162" s="44">
        <v>44690</v>
      </c>
      <c r="C4162" s="44">
        <f t="shared" si="200"/>
        <v>44690</v>
      </c>
      <c r="D4162" s="374">
        <v>3</v>
      </c>
      <c r="E4162" s="291" t="str">
        <f>IFERROR(VLOOKUP($D4162,'Clients-Live'!$A:$C,3,0),"")</f>
        <v>YEKA ARIJABU</v>
      </c>
      <c r="F4162" s="291">
        <f>IFERROR(INDEX(Disbursements!$D:$D,MATCH('Live Collections'!G4162,Disbursements!$C:$C,0)),"")</f>
        <v>2</v>
      </c>
      <c r="G4162" s="34">
        <v>443</v>
      </c>
      <c r="H4162" s="34">
        <v>7497</v>
      </c>
      <c r="I4162" s="34" t="s">
        <v>1357</v>
      </c>
      <c r="J4162" s="48"/>
      <c r="K4162" s="48"/>
      <c r="L4162" s="48"/>
      <c r="M4162" s="48"/>
      <c r="N4162" s="59"/>
      <c r="O4162" s="59">
        <v>100000</v>
      </c>
      <c r="P4162" s="59"/>
      <c r="Q4162" s="268">
        <f t="shared" si="198"/>
        <v>100000</v>
      </c>
      <c r="R4162" s="61">
        <f>IF(O4162=0,0,SUMIFS(Disbursements!$T:$T,Disbursements!$B:$B,'Live Collections'!D4162,Disbursements!$D:$D,'Live Collections'!F4162))</f>
        <v>116000</v>
      </c>
      <c r="S4162" s="304">
        <f>IF(O4162&lt;=IF($O4162=0,0,SUMIFS(Disbursements!$W:$W,Disbursements!$B:$B,'Live Collections'!D4162,Disbursements!$D:$D,'Live Collections'!F4162)),O4162,IF($O4162=0,0,SUMIFS(Disbursements!$W:$W,Disbursements!$B:$B,'Live Collections'!D4162,Disbursements!$D:$D,'Live Collections'!F4162)))</f>
        <v>32666.666666666672</v>
      </c>
      <c r="T4162" s="304">
        <f t="shared" si="199"/>
        <v>67333.333333333328</v>
      </c>
      <c r="U4162" s="52"/>
      <c r="V4162" s="34"/>
      <c r="W4162" s="408"/>
    </row>
    <row r="4163" spans="1:23" ht="12.75" customHeight="1" x14ac:dyDescent="0.2">
      <c r="A4163" s="257">
        <v>4173</v>
      </c>
      <c r="B4163" s="44">
        <v>44690</v>
      </c>
      <c r="C4163" s="44">
        <f t="shared" si="200"/>
        <v>44690</v>
      </c>
      <c r="D4163" s="374">
        <v>94</v>
      </c>
      <c r="E4163" s="291" t="str">
        <f>IFERROR(VLOOKUP($D4163,'Clients-Live'!$A:$C,3,0),"")</f>
        <v>NGINYA RICHARD</v>
      </c>
      <c r="F4163" s="291">
        <f>IFERROR(INDEX(Disbursements!$D:$D,MATCH('Live Collections'!G4163,Disbursements!$C:$C,0)),"")</f>
        <v>3</v>
      </c>
      <c r="G4163" s="34">
        <v>464</v>
      </c>
      <c r="H4163" s="34">
        <v>7358</v>
      </c>
      <c r="I4163" s="34" t="s">
        <v>1357</v>
      </c>
      <c r="J4163" s="48"/>
      <c r="K4163" s="48"/>
      <c r="L4163" s="48"/>
      <c r="M4163" s="48"/>
      <c r="N4163" s="59"/>
      <c r="O4163" s="59">
        <v>94500</v>
      </c>
      <c r="P4163" s="59"/>
      <c r="Q4163" s="268">
        <f t="shared" si="198"/>
        <v>94500</v>
      </c>
      <c r="R4163" s="61">
        <f>IF(O4163=0,0,SUMIFS(Disbursements!$T:$T,Disbursements!$B:$B,'Live Collections'!D4163,Disbursements!$D:$D,'Live Collections'!F4163))</f>
        <v>95000</v>
      </c>
      <c r="S4163" s="304">
        <f>IF(O4163&lt;=IF($O4163=0,0,SUMIFS(Disbursements!$W:$W,Disbursements!$B:$B,'Live Collections'!D4163,Disbursements!$D:$D,'Live Collections'!F4163)),O4163,IF($O4163=0,0,SUMIFS(Disbursements!$W:$W,Disbursements!$B:$B,'Live Collections'!D4163,Disbursements!$D:$D,'Live Collections'!F4163)))</f>
        <v>20000</v>
      </c>
      <c r="T4163" s="304">
        <f t="shared" si="199"/>
        <v>74500</v>
      </c>
      <c r="U4163" s="52"/>
      <c r="V4163" s="34"/>
      <c r="W4163" s="408"/>
    </row>
    <row r="4164" spans="1:23" ht="12.75" customHeight="1" x14ac:dyDescent="0.2">
      <c r="A4164" s="257">
        <v>4174</v>
      </c>
      <c r="B4164" s="44">
        <v>44690</v>
      </c>
      <c r="C4164" s="44">
        <f t="shared" si="200"/>
        <v>44690</v>
      </c>
      <c r="D4164" s="374">
        <v>308</v>
      </c>
      <c r="E4164" s="291" t="str">
        <f>IFERROR(VLOOKUP($D4164,'Clients-Live'!$A:$C,3,0),"")</f>
        <v>AYILA CHRISTOPHER</v>
      </c>
      <c r="F4164" s="291">
        <f>IFERROR(INDEX(Disbursements!$D:$D,MATCH('Live Collections'!G4164,Disbursements!$C:$C,0)),"")</f>
        <v>1</v>
      </c>
      <c r="G4164" s="34">
        <v>390</v>
      </c>
      <c r="H4164" s="34" t="s">
        <v>2407</v>
      </c>
      <c r="I4164" s="34" t="s">
        <v>1357</v>
      </c>
      <c r="J4164" s="48"/>
      <c r="K4164" s="48"/>
      <c r="L4164" s="48"/>
      <c r="M4164" s="48"/>
      <c r="N4164" s="59"/>
      <c r="O4164" s="59">
        <v>210000</v>
      </c>
      <c r="P4164" s="59">
        <v>-210000</v>
      </c>
      <c r="Q4164" s="268">
        <f t="shared" si="198"/>
        <v>0</v>
      </c>
      <c r="R4164" s="61">
        <f>IF(O4164=0,0,SUMIFS(Disbursements!$T:$T,Disbursements!$B:$B,'Live Collections'!D4164,Disbursements!$D:$D,'Live Collections'!F4164))</f>
        <v>858000</v>
      </c>
      <c r="S4164" s="304"/>
      <c r="T4164" s="304">
        <f t="shared" si="199"/>
        <v>210000</v>
      </c>
      <c r="U4164" s="52"/>
      <c r="V4164" s="34"/>
      <c r="W4164" s="408"/>
    </row>
    <row r="4165" spans="1:23" ht="12.75" customHeight="1" x14ac:dyDescent="0.2">
      <c r="A4165" s="257">
        <v>4175</v>
      </c>
      <c r="B4165" s="44">
        <v>44690</v>
      </c>
      <c r="C4165" s="44">
        <f t="shared" si="200"/>
        <v>44690</v>
      </c>
      <c r="D4165" s="374">
        <v>14</v>
      </c>
      <c r="E4165" s="291" t="str">
        <f>IFERROR(VLOOKUP($D4165,'Clients-Live'!$A:$C,3,0),"")</f>
        <v>ASIKU ROMANO ADEBUA</v>
      </c>
      <c r="F4165" s="291">
        <f>IFERROR(INDEX(Disbursements!$D:$D,MATCH('Live Collections'!G4165,Disbursements!$C:$C,0)),"")</f>
        <v>1</v>
      </c>
      <c r="G4165" s="34">
        <v>5</v>
      </c>
      <c r="H4165" s="34">
        <v>7360</v>
      </c>
      <c r="I4165" s="34" t="s">
        <v>1357</v>
      </c>
      <c r="J4165" s="48"/>
      <c r="K4165" s="48"/>
      <c r="L4165" s="48"/>
      <c r="M4165" s="48"/>
      <c r="N4165" s="59"/>
      <c r="O4165" s="59">
        <v>268300</v>
      </c>
      <c r="P4165" s="59"/>
      <c r="Q4165" s="268">
        <f t="shared" si="198"/>
        <v>268300</v>
      </c>
      <c r="R4165" s="61">
        <f>IF(O4165=0,0,SUMIFS(Disbursements!$T:$T,Disbursements!$B:$B,'Live Collections'!D4165,Disbursements!$D:$D,'Live Collections'!F4165))</f>
        <v>217000</v>
      </c>
      <c r="S4165" s="304">
        <f>IF(O4165&lt;=IF($O4165=0,0,SUMIFS(Disbursements!$W:$W,Disbursements!$B:$B,'Live Collections'!D4165,Disbursements!$D:$D,'Live Collections'!F4165)),O4165,IF($O4165=0,0,SUMIFS(Disbursements!$W:$W,Disbursements!$B:$B,'Live Collections'!D4165,Disbursements!$D:$D,'Live Collections'!F4165)))</f>
        <v>50333.333333333343</v>
      </c>
      <c r="T4165" s="304">
        <f t="shared" si="199"/>
        <v>217966.66666666666</v>
      </c>
      <c r="U4165" s="52"/>
      <c r="V4165" s="34"/>
      <c r="W4165" s="408"/>
    </row>
    <row r="4166" spans="1:23" ht="12.75" customHeight="1" x14ac:dyDescent="0.2">
      <c r="A4166" s="257">
        <v>4176</v>
      </c>
      <c r="B4166" s="44">
        <v>44690</v>
      </c>
      <c r="C4166" s="44">
        <f t="shared" si="200"/>
        <v>44690</v>
      </c>
      <c r="D4166" s="374">
        <v>362</v>
      </c>
      <c r="E4166" s="291" t="str">
        <f>IFERROR(VLOOKUP($D4166,'Clients-Live'!$A:$C,3,0),"")</f>
        <v>LUPAI DAVID</v>
      </c>
      <c r="F4166" s="291">
        <f>IFERROR(INDEX(Disbursements!$D:$D,MATCH('Live Collections'!G4166,Disbursements!$C:$C,0)),"")</f>
        <v>1</v>
      </c>
      <c r="G4166" s="34">
        <v>527</v>
      </c>
      <c r="H4166" s="34">
        <v>7353</v>
      </c>
      <c r="I4166" s="34" t="s">
        <v>1359</v>
      </c>
      <c r="J4166" s="48"/>
      <c r="K4166" s="48"/>
      <c r="L4166" s="48"/>
      <c r="M4166" s="48"/>
      <c r="N4166" s="59"/>
      <c r="O4166" s="59"/>
      <c r="P4166" s="59">
        <v>30000</v>
      </c>
      <c r="Q4166" s="268">
        <f t="shared" si="198"/>
        <v>30000</v>
      </c>
      <c r="R4166" s="61">
        <f>IF(O4166=0,0,SUMIFS(Disbursements!$T:$T,Disbursements!$B:$B,'Live Collections'!D4166,Disbursements!$D:$D,'Live Collections'!F4166))</f>
        <v>0</v>
      </c>
      <c r="S4166" s="304">
        <f>IF(O4166&lt;=IF($O4166=0,0,SUMIFS(Disbursements!$W:$W,Disbursements!$B:$B,'Live Collections'!D4166,Disbursements!$D:$D,'Live Collections'!F4166)),O4166,IF($O4166=0,0,SUMIFS(Disbursements!$W:$W,Disbursements!$B:$B,'Live Collections'!D4166,Disbursements!$D:$D,'Live Collections'!F4166)))</f>
        <v>0</v>
      </c>
      <c r="T4166" s="304">
        <f t="shared" si="199"/>
        <v>0</v>
      </c>
      <c r="U4166" s="52"/>
      <c r="V4166" s="34"/>
      <c r="W4166" s="408"/>
    </row>
    <row r="4167" spans="1:23" ht="12.75" customHeight="1" x14ac:dyDescent="0.2">
      <c r="A4167" s="257">
        <v>4177</v>
      </c>
      <c r="B4167" s="44">
        <v>44690</v>
      </c>
      <c r="C4167" s="44">
        <f t="shared" si="200"/>
        <v>44690</v>
      </c>
      <c r="D4167" s="374">
        <v>52</v>
      </c>
      <c r="E4167" s="291" t="str">
        <f>IFERROR(VLOOKUP($D4167,'Clients-Live'!$A:$C,3,0),"")</f>
        <v>EDEZU PEACE IRENE</v>
      </c>
      <c r="F4167" s="291">
        <f>IFERROR(INDEX(Disbursements!$D:$D,MATCH('Live Collections'!G4167,Disbursements!$C:$C,0)),"")</f>
        <v>2</v>
      </c>
      <c r="G4167" s="34">
        <v>275</v>
      </c>
      <c r="H4167" s="34" t="s">
        <v>2408</v>
      </c>
      <c r="I4167" s="34" t="s">
        <v>1357</v>
      </c>
      <c r="J4167" s="48"/>
      <c r="K4167" s="48"/>
      <c r="L4167" s="48"/>
      <c r="M4167" s="48"/>
      <c r="N4167" s="59"/>
      <c r="O4167" s="59">
        <v>50000</v>
      </c>
      <c r="P4167" s="59">
        <v>-50000</v>
      </c>
      <c r="Q4167" s="268">
        <f t="shared" si="198"/>
        <v>0</v>
      </c>
      <c r="R4167" s="61">
        <f>IF(O4167=0,0,SUMIFS(Disbursements!$T:$T,Disbursements!$B:$B,'Live Collections'!D4167,Disbursements!$D:$D,'Live Collections'!F4167))</f>
        <v>150000</v>
      </c>
      <c r="S4167" s="304"/>
      <c r="T4167" s="304">
        <f t="shared" si="199"/>
        <v>50000</v>
      </c>
      <c r="U4167" s="52"/>
      <c r="V4167" s="34"/>
      <c r="W4167" s="408"/>
    </row>
    <row r="4168" spans="1:23" ht="12.75" customHeight="1" x14ac:dyDescent="0.2">
      <c r="A4168" s="257">
        <v>4178</v>
      </c>
      <c r="B4168" s="44">
        <v>44690</v>
      </c>
      <c r="C4168" s="44">
        <f t="shared" si="200"/>
        <v>44690</v>
      </c>
      <c r="D4168" s="374">
        <v>113</v>
      </c>
      <c r="E4168" s="291" t="str">
        <f>IFERROR(VLOOKUP($D4168,'Clients-Live'!$A:$C,3,0),"")</f>
        <v>ATIKU AMULE ISAAC</v>
      </c>
      <c r="F4168" s="291">
        <f>IFERROR(INDEX(Disbursements!$D:$D,MATCH('Live Collections'!G4168,Disbursements!$C:$C,0)),"")</f>
        <v>2</v>
      </c>
      <c r="G4168" s="34">
        <v>263</v>
      </c>
      <c r="H4168" s="34" t="s">
        <v>2409</v>
      </c>
      <c r="I4168" s="34" t="s">
        <v>1358</v>
      </c>
      <c r="J4168" s="48"/>
      <c r="K4168" s="48"/>
      <c r="L4168" s="48"/>
      <c r="M4168" s="48"/>
      <c r="N4168" s="59"/>
      <c r="O4168" s="59">
        <v>70000</v>
      </c>
      <c r="P4168" s="59">
        <v>-70000</v>
      </c>
      <c r="Q4168" s="268">
        <f t="shared" si="198"/>
        <v>0</v>
      </c>
      <c r="R4168" s="61">
        <f>IF(O4168=0,0,SUMIFS(Disbursements!$T:$T,Disbursements!$B:$B,'Live Collections'!D4168,Disbursements!$D:$D,'Live Collections'!F4168))</f>
        <v>152000</v>
      </c>
      <c r="S4168" s="304">
        <f>IF(O4168&lt;=IF($O4168=0,0,SUMIFS(Disbursements!$W:$W,Disbursements!$B:$B,'Live Collections'!D4538,Disbursements!$D:$D,'Live Collections'!I4530)),O4168,IF($O4168=0,0,SUMIFS(Disbursements!$W:$W,Disbursements!$B:$B,'Live Collections'!D4538,Disbursements!$D:$D,'Live Collections'!I4530)))</f>
        <v>0</v>
      </c>
      <c r="T4168" s="304"/>
      <c r="U4168" s="52"/>
      <c r="V4168" s="34"/>
      <c r="W4168" s="408"/>
    </row>
    <row r="4169" spans="1:23" ht="12.75" customHeight="1" x14ac:dyDescent="0.2">
      <c r="A4169" s="257">
        <v>4179</v>
      </c>
      <c r="B4169" s="44">
        <v>44690</v>
      </c>
      <c r="C4169" s="44">
        <f t="shared" si="200"/>
        <v>44690</v>
      </c>
      <c r="D4169" s="374">
        <v>15</v>
      </c>
      <c r="E4169" s="291" t="str">
        <f>IFERROR(VLOOKUP($D4169,'Clients-Live'!$A:$C,3,0),"")</f>
        <v>NATOSHA LUCY</v>
      </c>
      <c r="F4169" s="291">
        <f>IFERROR(INDEX(Disbursements!$D:$D,MATCH('Live Collections'!G4169,Disbursements!$C:$C,0)),"")</f>
        <v>1</v>
      </c>
      <c r="G4169" s="34">
        <v>5</v>
      </c>
      <c r="H4169" s="34" t="s">
        <v>2410</v>
      </c>
      <c r="I4169" s="34" t="s">
        <v>1357</v>
      </c>
      <c r="J4169" s="48"/>
      <c r="K4169" s="48"/>
      <c r="L4169" s="48"/>
      <c r="M4169" s="48"/>
      <c r="N4169" s="59"/>
      <c r="O4169" s="59">
        <v>98000</v>
      </c>
      <c r="P4169" s="59">
        <v>-98000</v>
      </c>
      <c r="Q4169" s="268">
        <f t="shared" si="198"/>
        <v>0</v>
      </c>
      <c r="R4169" s="61">
        <f>IF(O4169=0,0,SUMIFS(Disbursements!$T:$T,Disbursements!$B:$B,'Live Collections'!D4169,Disbursements!$D:$D,'Live Collections'!F4169))</f>
        <v>434000</v>
      </c>
      <c r="S4169" s="304">
        <f>IF(O4169&lt;=IF($O4169=0,0,SUMIFS(Disbursements!$W:$W,Disbursements!$B:$B,'Live Collections'!D4169,Disbursements!$D:$D,'Live Collections'!F4169)),O4169,IF($O4169=0,0,SUMIFS(Disbursements!$W:$W,Disbursements!$B:$B,'Live Collections'!D4169,Disbursements!$D:$D,'Live Collections'!F4169)))</f>
        <v>98000</v>
      </c>
      <c r="T4169" s="304">
        <f t="shared" si="199"/>
        <v>0</v>
      </c>
      <c r="U4169" s="52"/>
      <c r="V4169" s="34"/>
      <c r="W4169" s="408"/>
    </row>
    <row r="4170" spans="1:23" ht="12.75" customHeight="1" x14ac:dyDescent="0.2">
      <c r="A4170" s="257">
        <v>4180</v>
      </c>
      <c r="B4170" s="44">
        <v>44690</v>
      </c>
      <c r="C4170" s="44">
        <f t="shared" si="200"/>
        <v>44690</v>
      </c>
      <c r="D4170" s="374">
        <v>76</v>
      </c>
      <c r="E4170" s="291" t="str">
        <f>IFERROR(VLOOKUP($D4170,'Clients-Live'!$A:$C,3,0),"")</f>
        <v>DAWA AISHA</v>
      </c>
      <c r="F4170" s="291">
        <f>IFERROR(INDEX(Disbursements!$D:$D,MATCH('Live Collections'!G4170,Disbursements!$C:$C,0)),"")</f>
        <v>2</v>
      </c>
      <c r="G4170" s="34">
        <v>187</v>
      </c>
      <c r="H4170" s="34" t="s">
        <v>2411</v>
      </c>
      <c r="I4170" s="34" t="s">
        <v>1358</v>
      </c>
      <c r="J4170" s="48"/>
      <c r="K4170" s="48"/>
      <c r="L4170" s="48"/>
      <c r="M4170" s="48"/>
      <c r="N4170" s="59"/>
      <c r="O4170" s="59">
        <v>60000</v>
      </c>
      <c r="P4170" s="59">
        <v>-60000</v>
      </c>
      <c r="Q4170" s="268">
        <f t="shared" si="198"/>
        <v>0</v>
      </c>
      <c r="R4170" s="61">
        <f>IF(O4170=0,0,SUMIFS(Disbursements!$T:$T,Disbursements!$B:$B,'Live Collections'!D4170,Disbursements!$D:$D,'Live Collections'!F4170))</f>
        <v>180000</v>
      </c>
      <c r="S4170" s="304"/>
      <c r="T4170" s="304">
        <f t="shared" si="199"/>
        <v>60000</v>
      </c>
      <c r="U4170" s="52"/>
      <c r="V4170" s="34"/>
      <c r="W4170" s="408"/>
    </row>
    <row r="4171" spans="1:23" ht="12.75" customHeight="1" x14ac:dyDescent="0.2">
      <c r="A4171" s="257">
        <v>4181</v>
      </c>
      <c r="B4171" s="44">
        <v>44691</v>
      </c>
      <c r="C4171" s="44">
        <f t="shared" si="200"/>
        <v>44691</v>
      </c>
      <c r="D4171" s="374">
        <v>314</v>
      </c>
      <c r="E4171" s="291" t="str">
        <f>IFERROR(VLOOKUP($D4171,'Clients-Live'!$A:$C,3,0),"")</f>
        <v>SHAMIM ALIGAH</v>
      </c>
      <c r="F4171" s="291">
        <f>IFERROR(INDEX(Disbursements!$D:$D,MATCH('Live Collections'!G4171,Disbursements!$C:$C,0)),"")</f>
        <v>3</v>
      </c>
      <c r="G4171" s="34">
        <v>488</v>
      </c>
      <c r="H4171" s="34">
        <v>7387</v>
      </c>
      <c r="I4171" s="34" t="s">
        <v>1357</v>
      </c>
      <c r="J4171" s="48"/>
      <c r="K4171" s="48"/>
      <c r="L4171" s="48"/>
      <c r="M4171" s="48"/>
      <c r="N4171" s="59"/>
      <c r="O4171" s="59">
        <v>1400000</v>
      </c>
      <c r="P4171" s="59"/>
      <c r="Q4171" s="268">
        <f t="shared" si="198"/>
        <v>1400000</v>
      </c>
      <c r="R4171" s="61">
        <f>IF(O4171=0,0,SUMIFS(Disbursements!$T:$T,Disbursements!$B:$B,'Live Collections'!D4171,Disbursements!$D:$D,'Live Collections'!F4171))</f>
        <v>1413000</v>
      </c>
      <c r="S4171" s="304">
        <f>IF(O4171&lt;=IF($O4171=0,0,SUMIFS(Disbursements!$W:$W,Disbursements!$B:$B,'Live Collections'!D4171,Disbursements!$D:$D,'Live Collections'!F4171)),O4171,IF($O4171=0,0,SUMIFS(Disbursements!$W:$W,Disbursements!$B:$B,'Live Collections'!D4171,Disbursements!$D:$D,'Live Collections'!F4171)))</f>
        <v>163000</v>
      </c>
      <c r="T4171" s="304">
        <f t="shared" si="199"/>
        <v>1237000</v>
      </c>
      <c r="U4171" s="52"/>
      <c r="V4171" s="34"/>
      <c r="W4171" s="408"/>
    </row>
    <row r="4172" spans="1:23" ht="12.75" customHeight="1" x14ac:dyDescent="0.2">
      <c r="A4172" s="257">
        <v>4182</v>
      </c>
      <c r="B4172" s="44">
        <v>44691</v>
      </c>
      <c r="C4172" s="44">
        <f t="shared" si="200"/>
        <v>44691</v>
      </c>
      <c r="D4172" s="374">
        <v>218</v>
      </c>
      <c r="E4172" s="291" t="str">
        <f>IFERROR(VLOOKUP($D4172,'Clients-Live'!$A:$C,3,0),"")</f>
        <v>BUSURA OMAR</v>
      </c>
      <c r="F4172" s="291">
        <f>IFERROR(INDEX(Disbursements!$D:$D,MATCH('Live Collections'!G4172,Disbursements!$C:$C,0)),"")</f>
        <v>2</v>
      </c>
      <c r="G4172" s="34">
        <v>456</v>
      </c>
      <c r="H4172" s="34">
        <v>7383</v>
      </c>
      <c r="I4172" s="34" t="s">
        <v>1357</v>
      </c>
      <c r="J4172" s="48"/>
      <c r="K4172" s="48"/>
      <c r="L4172" s="48"/>
      <c r="M4172" s="48"/>
      <c r="N4172" s="59"/>
      <c r="O4172" s="59">
        <v>140000</v>
      </c>
      <c r="P4172" s="59"/>
      <c r="Q4172" s="268">
        <f t="shared" si="198"/>
        <v>140000</v>
      </c>
      <c r="R4172" s="61">
        <f>IF(O4172=0,0,SUMIFS(Disbursements!$T:$T,Disbursements!$B:$B,'Live Collections'!D4172,Disbursements!$D:$D,'Live Collections'!F4172))</f>
        <v>35000</v>
      </c>
      <c r="S4172" s="304">
        <f>IF(O4172&lt;=IF($O4172=0,0,SUMIFS(Disbursements!$W:$W,Disbursements!$B:$B,'Live Collections'!D4172,Disbursements!$D:$D,'Live Collections'!F4172)),O4172,IF($O4172=0,0,SUMIFS(Disbursements!$W:$W,Disbursements!$B:$B,'Live Collections'!D4172,Disbursements!$D:$D,'Live Collections'!F4172)))</f>
        <v>10000</v>
      </c>
      <c r="T4172" s="304">
        <f t="shared" si="199"/>
        <v>130000</v>
      </c>
      <c r="U4172" s="52"/>
      <c r="V4172" s="34"/>
      <c r="W4172" s="408"/>
    </row>
    <row r="4173" spans="1:23" ht="12.75" customHeight="1" x14ac:dyDescent="0.2">
      <c r="A4173" s="257">
        <v>4183</v>
      </c>
      <c r="B4173" s="44">
        <v>44691</v>
      </c>
      <c r="C4173" s="44">
        <f t="shared" si="200"/>
        <v>44691</v>
      </c>
      <c r="D4173" s="374">
        <v>86</v>
      </c>
      <c r="E4173" s="291" t="str">
        <f>IFERROR(VLOOKUP($D4173,'Clients-Live'!$A:$C,3,0),"")</f>
        <v>AMANIYO JOYCE</v>
      </c>
      <c r="F4173" s="291">
        <f>IFERROR(INDEX(Disbursements!$D:$D,MATCH('Live Collections'!G4173,Disbursements!$C:$C,0)),"")</f>
        <v>2</v>
      </c>
      <c r="G4173" s="34">
        <v>231</v>
      </c>
      <c r="H4173" s="34" t="s">
        <v>2412</v>
      </c>
      <c r="I4173" s="34" t="s">
        <v>1358</v>
      </c>
      <c r="J4173" s="48"/>
      <c r="K4173" s="48"/>
      <c r="L4173" s="48"/>
      <c r="M4173" s="48"/>
      <c r="N4173" s="59"/>
      <c r="O4173" s="59">
        <v>90000</v>
      </c>
      <c r="P4173" s="59">
        <v>-90000</v>
      </c>
      <c r="Q4173" s="268">
        <f t="shared" si="198"/>
        <v>0</v>
      </c>
      <c r="R4173" s="61">
        <f>IF(O4173=0,0,SUMIFS(Disbursements!$T:$T,Disbursements!$B:$B,'Live Collections'!D4173,Disbursements!$D:$D,'Live Collections'!F4173))</f>
        <v>217000</v>
      </c>
      <c r="S4173" s="304"/>
      <c r="T4173" s="304">
        <f t="shared" si="199"/>
        <v>90000</v>
      </c>
      <c r="U4173" s="52"/>
      <c r="V4173" s="34"/>
      <c r="W4173" s="408"/>
    </row>
    <row r="4174" spans="1:23" ht="12.75" customHeight="1" x14ac:dyDescent="0.2">
      <c r="A4174" s="257">
        <v>4184</v>
      </c>
      <c r="B4174" s="44">
        <v>44691</v>
      </c>
      <c r="C4174" s="44">
        <f t="shared" si="200"/>
        <v>44691</v>
      </c>
      <c r="D4174" s="374">
        <v>86</v>
      </c>
      <c r="E4174" s="291" t="str">
        <f>IFERROR(VLOOKUP($D4174,'Clients-Live'!$A:$C,3,0),"")</f>
        <v>AMANIYO JOYCE</v>
      </c>
      <c r="F4174" s="291" t="str">
        <f>IFERROR(INDEX(Disbursements!$D:$D,MATCH('Live Collections'!G4174,Disbursements!$C:$C,0)),"")</f>
        <v/>
      </c>
      <c r="G4174" s="34"/>
      <c r="H4174" s="34" t="s">
        <v>2413</v>
      </c>
      <c r="I4174" s="34" t="s">
        <v>1358</v>
      </c>
      <c r="J4174" s="48"/>
      <c r="K4174" s="48"/>
      <c r="L4174" s="48"/>
      <c r="M4174" s="48"/>
      <c r="N4174" s="59"/>
      <c r="O4174" s="59"/>
      <c r="P4174" s="59"/>
      <c r="Q4174" s="268">
        <f t="shared" si="198"/>
        <v>0</v>
      </c>
      <c r="R4174" s="61">
        <f>IF(O4174=0,0,SUMIFS(Disbursements!$T:$T,Disbursements!$B:$B,'Live Collections'!D4174,Disbursements!$D:$D,'Live Collections'!F4174))</f>
        <v>0</v>
      </c>
      <c r="S4174" s="304">
        <f>IF(O4174&lt;=IF($O4174=0,0,SUMIFS(Disbursements!$W:$W,Disbursements!$B:$B,'Live Collections'!D4174,Disbursements!$D:$D,'Live Collections'!F4174)),O4174,IF($O4174=0,0,SUMIFS(Disbursements!$W:$W,Disbursements!$B:$B,'Live Collections'!D4174,Disbursements!$D:$D,'Live Collections'!F4174)))</f>
        <v>0</v>
      </c>
      <c r="T4174" s="304">
        <f t="shared" si="199"/>
        <v>0</v>
      </c>
      <c r="U4174" s="52"/>
      <c r="V4174" s="34"/>
      <c r="W4174" s="408"/>
    </row>
    <row r="4175" spans="1:23" ht="12.75" customHeight="1" x14ac:dyDescent="0.2">
      <c r="A4175" s="257">
        <v>4185</v>
      </c>
      <c r="B4175" s="44">
        <v>44691</v>
      </c>
      <c r="C4175" s="44">
        <f t="shared" si="200"/>
        <v>44691</v>
      </c>
      <c r="D4175" s="374">
        <v>42</v>
      </c>
      <c r="E4175" s="291" t="str">
        <f>IFERROR(VLOOKUP($D4175,'Clients-Live'!$A:$C,3,0),"")</f>
        <v>ABAU   NOLA</v>
      </c>
      <c r="F4175" s="291">
        <f>IFERROR(INDEX(Disbursements!$D:$D,MATCH('Live Collections'!G4175,Disbursements!$C:$C,0)),"")</f>
        <v>4</v>
      </c>
      <c r="G4175" s="34">
        <v>498</v>
      </c>
      <c r="H4175" s="34">
        <v>7385</v>
      </c>
      <c r="I4175" s="34" t="s">
        <v>1359</v>
      </c>
      <c r="J4175" s="48"/>
      <c r="K4175" s="48"/>
      <c r="L4175" s="48"/>
      <c r="M4175" s="48"/>
      <c r="N4175" s="59"/>
      <c r="O4175" s="59">
        <v>20000</v>
      </c>
      <c r="P4175" s="59"/>
      <c r="Q4175" s="268">
        <f t="shared" si="198"/>
        <v>20000</v>
      </c>
      <c r="R4175" s="61">
        <f>IF(O4175=0,0,SUMIFS(Disbursements!$T:$T,Disbursements!$B:$B,'Live Collections'!D4175,Disbursements!$D:$D,'Live Collections'!F4175))</f>
        <v>100000</v>
      </c>
      <c r="S4175" s="304"/>
      <c r="T4175" s="304">
        <f t="shared" si="199"/>
        <v>20000</v>
      </c>
      <c r="U4175" s="52"/>
      <c r="V4175" s="34"/>
      <c r="W4175" s="408"/>
    </row>
    <row r="4176" spans="1:23" ht="12.75" customHeight="1" x14ac:dyDescent="0.2">
      <c r="A4176" s="257">
        <v>4186</v>
      </c>
      <c r="B4176" s="44">
        <v>44691</v>
      </c>
      <c r="C4176" s="44">
        <f t="shared" si="200"/>
        <v>44691</v>
      </c>
      <c r="D4176" s="374">
        <v>272</v>
      </c>
      <c r="E4176" s="291" t="str">
        <f>IFERROR(VLOOKUP($D4176,'Clients-Live'!$A:$C,3,0),"")</f>
        <v>AFEKU EMMANUEL</v>
      </c>
      <c r="F4176" s="291" t="str">
        <f>IFERROR(INDEX(Disbursements!$D:$D,MATCH('Live Collections'!G4176,Disbursements!$C:$C,0)),"")</f>
        <v/>
      </c>
      <c r="G4176" s="34"/>
      <c r="H4176" s="34">
        <v>7386</v>
      </c>
      <c r="I4176" s="34" t="s">
        <v>1359</v>
      </c>
      <c r="J4176" s="48"/>
      <c r="K4176" s="48"/>
      <c r="L4176" s="48">
        <v>15000</v>
      </c>
      <c r="M4176" s="48">
        <v>5000</v>
      </c>
      <c r="N4176" s="59"/>
      <c r="O4176" s="59"/>
      <c r="P4176" s="59"/>
      <c r="Q4176" s="268">
        <f t="shared" si="198"/>
        <v>20000</v>
      </c>
      <c r="R4176" s="61">
        <f>IF(O4176=0,0,SUMIFS(Disbursements!$T:$T,Disbursements!$B:$B,'Live Collections'!D4176,Disbursements!$D:$D,'Live Collections'!F4176))</f>
        <v>0</v>
      </c>
      <c r="S4176" s="304">
        <f>IF(O4176&lt;=IF($O4176=0,0,SUMIFS(Disbursements!$W:$W,Disbursements!$B:$B,'Live Collections'!D4176,Disbursements!$D:$D,'Live Collections'!F4176)),O4176,IF($O4176=0,0,SUMIFS(Disbursements!$W:$W,Disbursements!$B:$B,'Live Collections'!D4176,Disbursements!$D:$D,'Live Collections'!F4176)))</f>
        <v>0</v>
      </c>
      <c r="T4176" s="304">
        <f t="shared" si="199"/>
        <v>0</v>
      </c>
      <c r="U4176" s="52"/>
      <c r="V4176" s="34"/>
      <c r="W4176" s="408"/>
    </row>
    <row r="4177" spans="1:23" ht="12.75" customHeight="1" x14ac:dyDescent="0.2">
      <c r="A4177" s="257">
        <v>4187</v>
      </c>
      <c r="B4177" s="44">
        <v>44691</v>
      </c>
      <c r="C4177" s="44">
        <f t="shared" si="200"/>
        <v>44691</v>
      </c>
      <c r="D4177" s="374">
        <v>329</v>
      </c>
      <c r="E4177" s="291" t="str">
        <f>IFERROR(VLOOKUP($D4177,'Clients-Live'!$A:$C,3,0),"")</f>
        <v>NSUBUGA DAVID</v>
      </c>
      <c r="F4177" s="291">
        <f>IFERROR(INDEX(Disbursements!$D:$D,MATCH('Live Collections'!G4177,Disbursements!$C:$C,0)),"")</f>
        <v>1</v>
      </c>
      <c r="G4177" s="34">
        <v>455</v>
      </c>
      <c r="H4177" s="34">
        <v>7384</v>
      </c>
      <c r="I4177" s="34" t="s">
        <v>1357</v>
      </c>
      <c r="J4177" s="48"/>
      <c r="K4177" s="48"/>
      <c r="L4177" s="48"/>
      <c r="M4177" s="48"/>
      <c r="N4177" s="59"/>
      <c r="O4177" s="59">
        <v>265000</v>
      </c>
      <c r="P4177" s="59"/>
      <c r="Q4177" s="268">
        <f t="shared" si="198"/>
        <v>265000</v>
      </c>
      <c r="R4177" s="61">
        <f>IF(O4177=0,0,SUMIFS(Disbursements!$T:$T,Disbursements!$B:$B,'Live Collections'!D4177,Disbursements!$D:$D,'Live Collections'!F4177))</f>
        <v>848000</v>
      </c>
      <c r="S4177" s="304"/>
      <c r="T4177" s="304">
        <f t="shared" si="199"/>
        <v>265000</v>
      </c>
      <c r="U4177" s="52"/>
      <c r="V4177" s="34"/>
      <c r="W4177" s="408"/>
    </row>
    <row r="4178" spans="1:23" ht="12.75" customHeight="1" x14ac:dyDescent="0.2">
      <c r="A4178" s="257">
        <v>4188</v>
      </c>
      <c r="B4178" s="44">
        <v>44691</v>
      </c>
      <c r="C4178" s="44">
        <f t="shared" si="200"/>
        <v>44691</v>
      </c>
      <c r="D4178" s="374">
        <v>329</v>
      </c>
      <c r="E4178" s="291" t="str">
        <f>IFERROR(VLOOKUP($D4178,'Clients-Live'!$A:$C,3,0),"")</f>
        <v>NSUBUGA DAVID</v>
      </c>
      <c r="F4178" s="291">
        <f>IFERROR(INDEX(Disbursements!$D:$D,MATCH('Live Collections'!G4178,Disbursements!$C:$C,0)),"")</f>
        <v>1</v>
      </c>
      <c r="G4178" s="34">
        <v>455</v>
      </c>
      <c r="H4178" s="34" t="s">
        <v>2414</v>
      </c>
      <c r="I4178" s="34" t="s">
        <v>1357</v>
      </c>
      <c r="J4178" s="48"/>
      <c r="K4178" s="48"/>
      <c r="L4178" s="48"/>
      <c r="M4178" s="48"/>
      <c r="N4178" s="59"/>
      <c r="O4178" s="59">
        <v>150000</v>
      </c>
      <c r="P4178" s="59">
        <v>-150000</v>
      </c>
      <c r="Q4178" s="268">
        <f t="shared" si="198"/>
        <v>0</v>
      </c>
      <c r="R4178" s="61">
        <f>IF(O4178=0,0,SUMIFS(Disbursements!$T:$T,Disbursements!$B:$B,'Live Collections'!D4178,Disbursements!$D:$D,'Live Collections'!F4178))</f>
        <v>848000</v>
      </c>
      <c r="S4178" s="304"/>
      <c r="T4178" s="304">
        <f t="shared" si="199"/>
        <v>150000</v>
      </c>
      <c r="U4178" s="52"/>
      <c r="V4178" s="34"/>
      <c r="W4178" s="408"/>
    </row>
    <row r="4179" spans="1:23" ht="12.75" customHeight="1" x14ac:dyDescent="0.2">
      <c r="A4179" s="257">
        <v>4189</v>
      </c>
      <c r="B4179" s="44">
        <v>44691</v>
      </c>
      <c r="C4179" s="44">
        <f t="shared" si="200"/>
        <v>44691</v>
      </c>
      <c r="D4179" s="374">
        <v>329</v>
      </c>
      <c r="E4179" s="291" t="str">
        <f>IFERROR(VLOOKUP($D4179,'Clients-Live'!$A:$C,3,0),"")</f>
        <v>NSUBUGA DAVID</v>
      </c>
      <c r="F4179" s="291" t="str">
        <f>IFERROR(INDEX(Disbursements!$D:$D,MATCH('Live Collections'!G4179,Disbursements!$C:$C,0)),"")</f>
        <v/>
      </c>
      <c r="G4179" s="34"/>
      <c r="H4179" s="34">
        <v>7382</v>
      </c>
      <c r="I4179" s="34" t="s">
        <v>1357</v>
      </c>
      <c r="J4179" s="48"/>
      <c r="K4179" s="48"/>
      <c r="L4179" s="48">
        <v>20000</v>
      </c>
      <c r="M4179" s="48">
        <v>5000</v>
      </c>
      <c r="N4179" s="59"/>
      <c r="O4179" s="59"/>
      <c r="P4179" s="59"/>
      <c r="Q4179" s="268">
        <f t="shared" si="198"/>
        <v>25000</v>
      </c>
      <c r="R4179" s="61">
        <f>IF(O4179=0,0,SUMIFS(Disbursements!$T:$T,Disbursements!$B:$B,'Live Collections'!D4179,Disbursements!$D:$D,'Live Collections'!F4179))</f>
        <v>0</v>
      </c>
      <c r="S4179" s="304">
        <f>IF(O4179&lt;=IF($O4179=0,0,SUMIFS(Disbursements!$W:$W,Disbursements!$B:$B,'Live Collections'!D4179,Disbursements!$D:$D,'Live Collections'!F4179)),O4179,IF($O4179=0,0,SUMIFS(Disbursements!$W:$W,Disbursements!$B:$B,'Live Collections'!D4179,Disbursements!$D:$D,'Live Collections'!F4179)))</f>
        <v>0</v>
      </c>
      <c r="T4179" s="304">
        <f t="shared" si="199"/>
        <v>0</v>
      </c>
      <c r="U4179" s="52"/>
      <c r="V4179" s="34"/>
      <c r="W4179" s="408"/>
    </row>
    <row r="4180" spans="1:23" ht="12.75" customHeight="1" x14ac:dyDescent="0.2">
      <c r="A4180" s="257">
        <v>4190</v>
      </c>
      <c r="B4180" s="44">
        <v>44691</v>
      </c>
      <c r="C4180" s="44">
        <f t="shared" si="200"/>
        <v>44691</v>
      </c>
      <c r="D4180" s="374">
        <v>70</v>
      </c>
      <c r="E4180" s="291" t="str">
        <f>IFERROR(VLOOKUP($D4180,'Clients-Live'!$A:$C,3,0),"")</f>
        <v>BUGA ALIKIA PHILLIP</v>
      </c>
      <c r="F4180" s="291">
        <f>IFERROR(INDEX(Disbursements!$D:$D,MATCH('Live Collections'!G4180,Disbursements!$C:$C,0)),"")</f>
        <v>2</v>
      </c>
      <c r="G4180" s="34">
        <v>299</v>
      </c>
      <c r="H4180" s="34">
        <v>7374</v>
      </c>
      <c r="I4180" s="34" t="s">
        <v>1358</v>
      </c>
      <c r="J4180" s="48"/>
      <c r="K4180" s="48"/>
      <c r="L4180" s="48"/>
      <c r="M4180" s="48"/>
      <c r="N4180" s="59"/>
      <c r="O4180" s="59">
        <v>160000</v>
      </c>
      <c r="P4180" s="59"/>
      <c r="Q4180" s="268">
        <f t="shared" si="198"/>
        <v>160000</v>
      </c>
      <c r="R4180" s="61">
        <f>IF(O4180=0,0,SUMIFS(Disbursements!$T:$T,Disbursements!$B:$B,'Live Collections'!D4180,Disbursements!$D:$D,'Live Collections'!F4180))</f>
        <v>260000</v>
      </c>
      <c r="S4180" s="304"/>
      <c r="T4180" s="304">
        <f t="shared" si="199"/>
        <v>160000</v>
      </c>
      <c r="U4180" s="52"/>
      <c r="V4180" s="34"/>
      <c r="W4180" s="408"/>
    </row>
    <row r="4181" spans="1:23" ht="12.75" customHeight="1" x14ac:dyDescent="0.2">
      <c r="A4181" s="257">
        <v>4191</v>
      </c>
      <c r="B4181" s="44">
        <v>44691</v>
      </c>
      <c r="C4181" s="44">
        <f t="shared" si="200"/>
        <v>44691</v>
      </c>
      <c r="D4181" s="374">
        <v>177</v>
      </c>
      <c r="E4181" s="291" t="str">
        <f>IFERROR(VLOOKUP($D4181,'Clients-Live'!$A:$C,3,0),"")</f>
        <v>EFIT GIFT</v>
      </c>
      <c r="F4181" s="291">
        <f>IFERROR(INDEX(Disbursements!$D:$D,MATCH('Live Collections'!G4181,Disbursements!$C:$C,0)),"")</f>
        <v>2</v>
      </c>
      <c r="G4181" s="34">
        <v>444</v>
      </c>
      <c r="H4181" s="34">
        <v>7369</v>
      </c>
      <c r="I4181" s="34" t="s">
        <v>1358</v>
      </c>
      <c r="J4181" s="48"/>
      <c r="K4181" s="48"/>
      <c r="L4181" s="48"/>
      <c r="M4181" s="48"/>
      <c r="N4181" s="59"/>
      <c r="O4181" s="59">
        <v>80000</v>
      </c>
      <c r="P4181" s="59"/>
      <c r="Q4181" s="268">
        <f t="shared" si="198"/>
        <v>80000</v>
      </c>
      <c r="R4181" s="61">
        <f>IF(O4181=0,0,SUMIFS(Disbursements!$T:$T,Disbursements!$B:$B,'Live Collections'!D4181,Disbursements!$D:$D,'Live Collections'!F4181))</f>
        <v>87000</v>
      </c>
      <c r="S4181" s="304">
        <f>IF(O4181&lt;=IF($O4181=0,0,SUMIFS(Disbursements!$W:$W,Disbursements!$B:$B,'Live Collections'!D4181,Disbursements!$D:$D,'Live Collections'!F4181)),O4181,IF($O4181=0,0,SUMIFS(Disbursements!$W:$W,Disbursements!$B:$B,'Live Collections'!D4181,Disbursements!$D:$D,'Live Collections'!F4181)))</f>
        <v>24500</v>
      </c>
      <c r="T4181" s="304">
        <f t="shared" si="199"/>
        <v>55500</v>
      </c>
      <c r="U4181" s="52"/>
      <c r="V4181" s="34"/>
      <c r="W4181" s="408"/>
    </row>
    <row r="4182" spans="1:23" ht="12.75" customHeight="1" x14ac:dyDescent="0.2">
      <c r="A4182" s="257">
        <v>4192</v>
      </c>
      <c r="B4182" s="44">
        <v>44691</v>
      </c>
      <c r="C4182" s="44">
        <f t="shared" si="200"/>
        <v>44691</v>
      </c>
      <c r="D4182" s="374">
        <v>75</v>
      </c>
      <c r="E4182" s="291" t="str">
        <f>IFERROR(VLOOKUP($D4182,'Clients-Live'!$A:$C,3,0),"")</f>
        <v>MUKULIA JAMES</v>
      </c>
      <c r="F4182" s="291">
        <f>IFERROR(INDEX(Disbursements!$D:$D,MATCH('Live Collections'!G4182,Disbursements!$C:$C,0)),"")</f>
        <v>3</v>
      </c>
      <c r="G4182" s="34">
        <v>357</v>
      </c>
      <c r="H4182" s="34">
        <v>7377</v>
      </c>
      <c r="I4182" s="34" t="s">
        <v>1359</v>
      </c>
      <c r="J4182" s="48"/>
      <c r="K4182" s="48"/>
      <c r="L4182" s="48"/>
      <c r="M4182" s="48"/>
      <c r="N4182" s="59"/>
      <c r="O4182" s="59">
        <v>95000</v>
      </c>
      <c r="P4182" s="59"/>
      <c r="Q4182" s="268">
        <f t="shared" si="198"/>
        <v>95000</v>
      </c>
      <c r="R4182" s="61">
        <f>IF(O4182=0,0,SUMIFS(Disbursements!$T:$T,Disbursements!$B:$B,'Live Collections'!D4182,Disbursements!$D:$D,'Live Collections'!F4182))</f>
        <v>175000</v>
      </c>
      <c r="S4182" s="304"/>
      <c r="T4182" s="304">
        <f t="shared" si="199"/>
        <v>95000</v>
      </c>
      <c r="U4182" s="52"/>
      <c r="V4182" s="34"/>
      <c r="W4182" s="408"/>
    </row>
    <row r="4183" spans="1:23" ht="12.75" customHeight="1" x14ac:dyDescent="0.2">
      <c r="A4183" s="257">
        <v>4193</v>
      </c>
      <c r="B4183" s="44">
        <v>44691</v>
      </c>
      <c r="C4183" s="44">
        <f t="shared" si="200"/>
        <v>44691</v>
      </c>
      <c r="D4183" s="374">
        <v>75</v>
      </c>
      <c r="E4183" s="291" t="str">
        <f>IFERROR(VLOOKUP($D4183,'Clients-Live'!$A:$C,3,0),"")</f>
        <v>MUKULIA JAMES</v>
      </c>
      <c r="F4183" s="291" t="str">
        <f>IFERROR(INDEX(Disbursements!$D:$D,MATCH('Live Collections'!G4183,Disbursements!$C:$C,0)),"")</f>
        <v/>
      </c>
      <c r="G4183" s="34"/>
      <c r="H4183" s="34">
        <v>7376</v>
      </c>
      <c r="I4183" s="34" t="s">
        <v>1359</v>
      </c>
      <c r="J4183" s="48"/>
      <c r="K4183" s="48">
        <v>5000</v>
      </c>
      <c r="L4183" s="48"/>
      <c r="M4183" s="48"/>
      <c r="N4183" s="59"/>
      <c r="O4183" s="59"/>
      <c r="P4183" s="59"/>
      <c r="Q4183" s="268">
        <f t="shared" si="198"/>
        <v>5000</v>
      </c>
      <c r="R4183" s="61">
        <f>IF(O4183=0,0,SUMIFS(Disbursements!$T:$T,Disbursements!$B:$B,'Live Collections'!D4183,Disbursements!$D:$D,'Live Collections'!F4183))</f>
        <v>0</v>
      </c>
      <c r="S4183" s="304">
        <f>IF(O4183&lt;=IF($O4183=0,0,SUMIFS(Disbursements!$W:$W,Disbursements!$B:$B,'Live Collections'!D4183,Disbursements!$D:$D,'Live Collections'!F4183)),O4183,IF($O4183=0,0,SUMIFS(Disbursements!$W:$W,Disbursements!$B:$B,'Live Collections'!D4183,Disbursements!$D:$D,'Live Collections'!F4183)))</f>
        <v>0</v>
      </c>
      <c r="T4183" s="304">
        <f t="shared" si="199"/>
        <v>0</v>
      </c>
      <c r="U4183" s="52"/>
      <c r="V4183" s="34"/>
      <c r="W4183" s="408"/>
    </row>
    <row r="4184" spans="1:23" ht="12.75" customHeight="1" x14ac:dyDescent="0.2">
      <c r="A4184" s="257">
        <v>4194</v>
      </c>
      <c r="B4184" s="44">
        <v>44691</v>
      </c>
      <c r="C4184" s="44">
        <f t="shared" si="200"/>
        <v>44691</v>
      </c>
      <c r="D4184" s="374">
        <v>338</v>
      </c>
      <c r="E4184" s="291" t="str">
        <f>IFERROR(VLOOKUP($D4184,'Clients-Live'!$A:$C,3,0),"")</f>
        <v>ASERU MARY</v>
      </c>
      <c r="F4184" s="291">
        <f>IFERROR(INDEX(Disbursements!$D:$D,MATCH('Live Collections'!G4184,Disbursements!$C:$C,0)),"")</f>
        <v>1</v>
      </c>
      <c r="G4184" s="34">
        <v>480</v>
      </c>
      <c r="H4184" s="34">
        <v>7373</v>
      </c>
      <c r="I4184" s="34" t="s">
        <v>1358</v>
      </c>
      <c r="J4184" s="48"/>
      <c r="K4184" s="48"/>
      <c r="L4184" s="48"/>
      <c r="M4184" s="48"/>
      <c r="N4184" s="59"/>
      <c r="O4184" s="59">
        <v>24000</v>
      </c>
      <c r="P4184" s="59"/>
      <c r="Q4184" s="268">
        <f t="shared" si="198"/>
        <v>24000</v>
      </c>
      <c r="R4184" s="61">
        <f>IF(O4184=0,0,SUMIFS(Disbursements!$T:$T,Disbursements!$B:$B,'Live Collections'!D4184,Disbursements!$D:$D,'Live Collections'!F4184))</f>
        <v>24000</v>
      </c>
      <c r="S4184" s="304">
        <f>IF(O4184&lt;=IF($O4184=0,0,SUMIFS(Disbursements!$W:$W,Disbursements!$B:$B,'Live Collections'!D4184,Disbursements!$D:$D,'Live Collections'!F4184)),O4184,IF($O4184=0,0,SUMIFS(Disbursements!$W:$W,Disbursements!$B:$B,'Live Collections'!D4184,Disbursements!$D:$D,'Live Collections'!F4184)))</f>
        <v>5250</v>
      </c>
      <c r="T4184" s="304">
        <f t="shared" si="199"/>
        <v>18750</v>
      </c>
      <c r="U4184" s="52"/>
      <c r="V4184" s="34"/>
      <c r="W4184" s="408"/>
    </row>
    <row r="4185" spans="1:23" ht="12.75" customHeight="1" x14ac:dyDescent="0.2">
      <c r="A4185" s="257">
        <v>4195</v>
      </c>
      <c r="B4185" s="44">
        <v>44691</v>
      </c>
      <c r="C4185" s="44">
        <f t="shared" si="200"/>
        <v>44691</v>
      </c>
      <c r="D4185" s="374">
        <v>328</v>
      </c>
      <c r="E4185" s="291" t="str">
        <f>IFERROR(VLOOKUP($D4185,'Clients-Live'!$A:$C,3,0),"")</f>
        <v>AGOTIA JOYCE</v>
      </c>
      <c r="F4185" s="291">
        <f>IFERROR(INDEX(Disbursements!$D:$D,MATCH('Live Collections'!G4185,Disbursements!$C:$C,0)),"")</f>
        <v>2</v>
      </c>
      <c r="G4185" s="34">
        <v>503</v>
      </c>
      <c r="H4185" s="34">
        <v>7370</v>
      </c>
      <c r="I4185" s="34" t="s">
        <v>1358</v>
      </c>
      <c r="J4185" s="48"/>
      <c r="K4185" s="48"/>
      <c r="L4185" s="48"/>
      <c r="M4185" s="48"/>
      <c r="N4185" s="59"/>
      <c r="O4185" s="59">
        <v>1195000</v>
      </c>
      <c r="P4185" s="59"/>
      <c r="Q4185" s="268">
        <f t="shared" si="198"/>
        <v>1195000</v>
      </c>
      <c r="R4185" s="61">
        <f>IF(O4185=0,0,SUMIFS(Disbursements!$T:$T,Disbursements!$B:$B,'Live Collections'!D4185,Disbursements!$D:$D,'Live Collections'!F4185))</f>
        <v>945000</v>
      </c>
      <c r="S4185" s="304">
        <f>IF(O4185&lt;=IF($O4185=0,0,SUMIFS(Disbursements!$W:$W,Disbursements!$B:$B,'Live Collections'!D4185,Disbursements!$D:$D,'Live Collections'!F4185)),O4185,IF($O4185=0,0,SUMIFS(Disbursements!$W:$W,Disbursements!$B:$B,'Live Collections'!D4185,Disbursements!$D:$D,'Live Collections'!F4185)))</f>
        <v>195000</v>
      </c>
      <c r="T4185" s="304">
        <f t="shared" si="199"/>
        <v>1000000</v>
      </c>
      <c r="U4185" s="52"/>
      <c r="V4185" s="34"/>
      <c r="W4185" s="408"/>
    </row>
    <row r="4186" spans="1:23" ht="12.75" customHeight="1" x14ac:dyDescent="0.2">
      <c r="A4186" s="257">
        <v>4196</v>
      </c>
      <c r="B4186" s="44">
        <v>44691</v>
      </c>
      <c r="C4186" s="44">
        <f t="shared" si="200"/>
        <v>44691</v>
      </c>
      <c r="D4186" s="374">
        <v>300</v>
      </c>
      <c r="E4186" s="291" t="str">
        <f>IFERROR(VLOOKUP($D4186,'Clients-Live'!$A:$C,3,0),"")</f>
        <v>AYA ZAINABU</v>
      </c>
      <c r="F4186" s="291">
        <f>IFERROR(INDEX(Disbursements!$D:$D,MATCH('Live Collections'!G4186,Disbursements!$C:$C,0)),"")</f>
        <v>1</v>
      </c>
      <c r="G4186" s="34">
        <v>364</v>
      </c>
      <c r="H4186" s="34">
        <v>7365</v>
      </c>
      <c r="I4186" s="34" t="s">
        <v>1358</v>
      </c>
      <c r="J4186" s="48"/>
      <c r="K4186" s="48"/>
      <c r="L4186" s="48"/>
      <c r="M4186" s="48"/>
      <c r="N4186" s="59"/>
      <c r="O4186" s="59">
        <v>10000</v>
      </c>
      <c r="P4186" s="59"/>
      <c r="Q4186" s="268">
        <f t="shared" si="198"/>
        <v>10000</v>
      </c>
      <c r="R4186" s="61">
        <f>IF(O4186=0,0,SUMIFS(Disbursements!$T:$T,Disbursements!$B:$B,'Live Collections'!D4186,Disbursements!$D:$D,'Live Collections'!F4186))</f>
        <v>150000</v>
      </c>
      <c r="S4186" s="304"/>
      <c r="T4186" s="304">
        <f t="shared" si="199"/>
        <v>10000</v>
      </c>
      <c r="U4186" s="52"/>
      <c r="V4186" s="34"/>
      <c r="W4186" s="408"/>
    </row>
    <row r="4187" spans="1:23" ht="12.75" customHeight="1" x14ac:dyDescent="0.2">
      <c r="A4187" s="257">
        <v>4197</v>
      </c>
      <c r="B4187" s="44">
        <v>44691</v>
      </c>
      <c r="C4187" s="44">
        <f t="shared" si="200"/>
        <v>44691</v>
      </c>
      <c r="D4187" s="374">
        <v>77</v>
      </c>
      <c r="E4187" s="291" t="str">
        <f>IFERROR(VLOOKUP($D4187,'Clients-Live'!$A:$C,3,0),"")</f>
        <v>CACA FATUMA</v>
      </c>
      <c r="F4187" s="291">
        <f>IFERROR(INDEX(Disbursements!$D:$D,MATCH('Live Collections'!G4187,Disbursements!$C:$C,0)),"")</f>
        <v>2</v>
      </c>
      <c r="G4187" s="34">
        <v>315</v>
      </c>
      <c r="H4187" s="34">
        <v>73671587</v>
      </c>
      <c r="I4187" s="34" t="s">
        <v>1357</v>
      </c>
      <c r="J4187" s="48"/>
      <c r="K4187" s="48"/>
      <c r="L4187" s="48"/>
      <c r="M4187" s="48"/>
      <c r="N4187" s="59"/>
      <c r="O4187" s="59">
        <v>130000</v>
      </c>
      <c r="P4187" s="59">
        <v>-130000</v>
      </c>
      <c r="Q4187" s="268">
        <f t="shared" si="198"/>
        <v>0</v>
      </c>
      <c r="R4187" s="61">
        <f>IF(O4187=0,0,SUMIFS(Disbursements!$T:$T,Disbursements!$B:$B,'Live Collections'!D4187,Disbursements!$D:$D,'Live Collections'!F4187))</f>
        <v>325000</v>
      </c>
      <c r="S4187" s="304"/>
      <c r="T4187" s="304">
        <f t="shared" si="199"/>
        <v>130000</v>
      </c>
      <c r="U4187" s="52"/>
      <c r="V4187" s="34"/>
      <c r="W4187" s="408"/>
    </row>
    <row r="4188" spans="1:23" ht="12.75" customHeight="1" x14ac:dyDescent="0.2">
      <c r="A4188" s="257">
        <v>4198</v>
      </c>
      <c r="B4188" s="44">
        <v>44691</v>
      </c>
      <c r="C4188" s="44">
        <f t="shared" si="200"/>
        <v>44691</v>
      </c>
      <c r="D4188" s="374">
        <v>77</v>
      </c>
      <c r="E4188" s="291" t="str">
        <f>IFERROR(VLOOKUP($D4188,'Clients-Live'!$A:$C,3,0),"")</f>
        <v>CACA FATUMA</v>
      </c>
      <c r="F4188" s="291" t="str">
        <f>IFERROR(INDEX(Disbursements!$D:$D,MATCH('Live Collections'!G4188,Disbursements!$C:$C,0)),"")</f>
        <v/>
      </c>
      <c r="G4188" s="34"/>
      <c r="H4188" s="34">
        <v>7368</v>
      </c>
      <c r="I4188" s="34" t="s">
        <v>1357</v>
      </c>
      <c r="J4188" s="48"/>
      <c r="K4188" s="48"/>
      <c r="L4188" s="48">
        <v>25000</v>
      </c>
      <c r="M4188" s="48">
        <v>5000</v>
      </c>
      <c r="N4188" s="59"/>
      <c r="O4188" s="59"/>
      <c r="P4188" s="59"/>
      <c r="Q4188" s="268">
        <f t="shared" si="198"/>
        <v>30000</v>
      </c>
      <c r="R4188" s="61">
        <f>IF(O4188=0,0,SUMIFS(Disbursements!$T:$T,Disbursements!$B:$B,'Live Collections'!D4188,Disbursements!$D:$D,'Live Collections'!F4188))</f>
        <v>0</v>
      </c>
      <c r="S4188" s="304">
        <f>IF(O4188&lt;=IF($O4188=0,0,SUMIFS(Disbursements!$W:$W,Disbursements!$B:$B,'Live Collections'!D4188,Disbursements!$D:$D,'Live Collections'!F4188)),O4188,IF($O4188=0,0,SUMIFS(Disbursements!$W:$W,Disbursements!$B:$B,'Live Collections'!D4188,Disbursements!$D:$D,'Live Collections'!F4188)))</f>
        <v>0</v>
      </c>
      <c r="T4188" s="304">
        <f t="shared" si="199"/>
        <v>0</v>
      </c>
      <c r="U4188" s="52"/>
      <c r="V4188" s="34"/>
      <c r="W4188" s="408"/>
    </row>
    <row r="4189" spans="1:23" ht="12.75" customHeight="1" x14ac:dyDescent="0.2">
      <c r="A4189" s="257">
        <v>4199</v>
      </c>
      <c r="B4189" s="44">
        <v>44692</v>
      </c>
      <c r="C4189" s="44">
        <f t="shared" si="200"/>
        <v>44692</v>
      </c>
      <c r="D4189" s="374">
        <v>336</v>
      </c>
      <c r="E4189" s="291" t="str">
        <f>IFERROR(VLOOKUP($D4189,'Clients-Live'!$A:$C,3,0),"")</f>
        <v>BONGO PATRICK NAMISI</v>
      </c>
      <c r="F4189" s="291">
        <f>IFERROR(INDEX(Disbursements!$D:$D,MATCH('Live Collections'!G4189,Disbursements!$C:$C,0)),"")</f>
        <v>1</v>
      </c>
      <c r="G4189" s="34">
        <v>465</v>
      </c>
      <c r="H4189" s="34" t="s">
        <v>2417</v>
      </c>
      <c r="I4189" s="34" t="s">
        <v>1358</v>
      </c>
      <c r="J4189" s="48"/>
      <c r="K4189" s="48"/>
      <c r="L4189" s="48"/>
      <c r="M4189" s="48"/>
      <c r="N4189" s="59"/>
      <c r="O4189" s="59">
        <v>200000</v>
      </c>
      <c r="P4189" s="59">
        <v>-200000</v>
      </c>
      <c r="Q4189" s="268">
        <f t="shared" si="198"/>
        <v>0</v>
      </c>
      <c r="R4189" s="61">
        <f>IF(O4189=0,0,SUMIFS(Disbursements!$T:$T,Disbursements!$B:$B,'Live Collections'!D4189,Disbursements!$D:$D,'Live Collections'!F4189))</f>
        <v>1150000</v>
      </c>
      <c r="S4189" s="304">
        <f>IF(O4189&lt;=IF($O4189=0,0,SUMIFS(Disbursements!$W:$W,Disbursements!$B:$B,'Live Collections'!D4189,Disbursements!$D:$D,'Live Collections'!F4189)),O4189,IF($O4189=0,0,SUMIFS(Disbursements!$W:$W,Disbursements!$B:$B,'Live Collections'!D4189,Disbursements!$D:$D,'Live Collections'!F4189)))</f>
        <v>150000</v>
      </c>
      <c r="T4189" s="304">
        <f t="shared" si="199"/>
        <v>50000</v>
      </c>
      <c r="U4189" s="52"/>
      <c r="V4189" s="34"/>
      <c r="W4189" s="408"/>
    </row>
    <row r="4190" spans="1:23" ht="12.75" customHeight="1" x14ac:dyDescent="0.2">
      <c r="A4190" s="257">
        <v>4200</v>
      </c>
      <c r="B4190" s="44">
        <v>44692</v>
      </c>
      <c r="C4190" s="44">
        <f t="shared" si="200"/>
        <v>44692</v>
      </c>
      <c r="D4190" s="374">
        <v>336</v>
      </c>
      <c r="E4190" s="291" t="str">
        <f>IFERROR(VLOOKUP($D4190,'Clients-Live'!$A:$C,3,0),"")</f>
        <v>BONGO PATRICK NAMISI</v>
      </c>
      <c r="F4190" s="291">
        <f>IFERROR(INDEX(Disbursements!$D:$D,MATCH('Live Collections'!G4190,Disbursements!$C:$C,0)),"")</f>
        <v>1</v>
      </c>
      <c r="G4190" s="34">
        <v>465</v>
      </c>
      <c r="H4190" s="34">
        <v>7394</v>
      </c>
      <c r="I4190" s="34" t="s">
        <v>1358</v>
      </c>
      <c r="J4190" s="48"/>
      <c r="K4190" s="48"/>
      <c r="L4190" s="48"/>
      <c r="M4190" s="48"/>
      <c r="N4190" s="59"/>
      <c r="O4190" s="59">
        <v>950000</v>
      </c>
      <c r="P4190" s="59"/>
      <c r="Q4190" s="268">
        <f t="shared" si="198"/>
        <v>950000</v>
      </c>
      <c r="R4190" s="61">
        <f>IF(O4190=0,0,SUMIFS(Disbursements!$T:$T,Disbursements!$B:$B,'Live Collections'!D4190,Disbursements!$D:$D,'Live Collections'!F4190))</f>
        <v>1150000</v>
      </c>
      <c r="S4190" s="304"/>
      <c r="T4190" s="304">
        <f t="shared" si="199"/>
        <v>950000</v>
      </c>
      <c r="U4190" s="52"/>
      <c r="V4190" s="34"/>
      <c r="W4190" s="408"/>
    </row>
    <row r="4191" spans="1:23" ht="12.75" customHeight="1" x14ac:dyDescent="0.2">
      <c r="A4191" s="257">
        <v>4201</v>
      </c>
      <c r="B4191" s="44">
        <v>44692</v>
      </c>
      <c r="C4191" s="44">
        <f t="shared" si="200"/>
        <v>44692</v>
      </c>
      <c r="D4191" s="374">
        <v>71</v>
      </c>
      <c r="E4191" s="291" t="str">
        <f>IFERROR(VLOOKUP($D4191,'Clients-Live'!$A:$C,3,0),"")</f>
        <v>AYIKORU HARIET BAUDI</v>
      </c>
      <c r="F4191" s="291">
        <f>IFERROR(INDEX(Disbursements!$D:$D,MATCH('Live Collections'!G4191,Disbursements!$C:$C,0)),"")</f>
        <v>4</v>
      </c>
      <c r="G4191" s="34">
        <v>486</v>
      </c>
      <c r="H4191" s="34">
        <v>7400</v>
      </c>
      <c r="I4191" s="34" t="s">
        <v>1359</v>
      </c>
      <c r="J4191" s="48"/>
      <c r="K4191" s="48"/>
      <c r="L4191" s="48"/>
      <c r="M4191" s="48"/>
      <c r="N4191" s="59"/>
      <c r="O4191" s="59">
        <v>500000</v>
      </c>
      <c r="P4191" s="59"/>
      <c r="Q4191" s="268">
        <f t="shared" si="198"/>
        <v>500000</v>
      </c>
      <c r="R4191" s="61">
        <f>IF(O4191=0,0,SUMIFS(Disbursements!$T:$T,Disbursements!$B:$B,'Live Collections'!D4191,Disbursements!$D:$D,'Live Collections'!F4191))</f>
        <v>5325000</v>
      </c>
      <c r="S4191" s="304"/>
      <c r="T4191" s="304">
        <f t="shared" si="199"/>
        <v>500000</v>
      </c>
      <c r="U4191" s="52"/>
      <c r="V4191" s="34"/>
      <c r="W4191" s="408"/>
    </row>
    <row r="4192" spans="1:23" ht="12.75" customHeight="1" x14ac:dyDescent="0.2">
      <c r="A4192" s="257">
        <v>4202</v>
      </c>
      <c r="B4192" s="44">
        <v>44692</v>
      </c>
      <c r="C4192" s="44">
        <f t="shared" si="200"/>
        <v>44692</v>
      </c>
      <c r="D4192" s="374">
        <v>109</v>
      </c>
      <c r="E4192" s="291" t="str">
        <f>IFERROR(VLOOKUP($D4192,'Clients-Live'!$A:$C,3,0),"")</f>
        <v>TABU KISA</v>
      </c>
      <c r="F4192" s="291">
        <f>IFERROR(INDEX(Disbursements!$D:$D,MATCH('Live Collections'!G4192,Disbursements!$C:$C,0)),"")</f>
        <v>3</v>
      </c>
      <c r="G4192" s="34">
        <v>495</v>
      </c>
      <c r="H4192" s="34">
        <v>7399</v>
      </c>
      <c r="I4192" s="34" t="s">
        <v>1357</v>
      </c>
      <c r="J4192" s="48"/>
      <c r="K4192" s="48"/>
      <c r="L4192" s="48"/>
      <c r="M4192" s="48"/>
      <c r="N4192" s="59"/>
      <c r="O4192" s="59">
        <v>30000</v>
      </c>
      <c r="P4192" s="59"/>
      <c r="Q4192" s="268">
        <f t="shared" si="198"/>
        <v>30000</v>
      </c>
      <c r="R4192" s="61">
        <f>IF(O4192=0,0,SUMIFS(Disbursements!$T:$T,Disbursements!$B:$B,'Live Collections'!D4192,Disbursements!$D:$D,'Live Collections'!F4192))</f>
        <v>30000</v>
      </c>
      <c r="S4192" s="304">
        <f>IF(O4192&lt;=IF($O4192=0,0,SUMIFS(Disbursements!$W:$W,Disbursements!$B:$B,'Live Collections'!D4192,Disbursements!$D:$D,'Live Collections'!F4192)),O4192,IF($O4192=0,0,SUMIFS(Disbursements!$W:$W,Disbursements!$B:$B,'Live Collections'!D4192,Disbursements!$D:$D,'Live Collections'!F4192)))</f>
        <v>5000</v>
      </c>
      <c r="T4192" s="304">
        <f t="shared" si="199"/>
        <v>25000</v>
      </c>
      <c r="U4192" s="52"/>
      <c r="V4192" s="34"/>
      <c r="W4192" s="408"/>
    </row>
    <row r="4193" spans="1:23" ht="12.75" customHeight="1" x14ac:dyDescent="0.2">
      <c r="A4193" s="257">
        <v>4203</v>
      </c>
      <c r="B4193" s="44">
        <v>44692</v>
      </c>
      <c r="C4193" s="44">
        <f t="shared" si="200"/>
        <v>44692</v>
      </c>
      <c r="D4193" s="374">
        <v>189</v>
      </c>
      <c r="E4193" s="291" t="str">
        <f>IFERROR(VLOOKUP($D4193,'Clients-Live'!$A:$C,3,0),"")</f>
        <v>AYIDA SELUWA</v>
      </c>
      <c r="F4193" s="291">
        <f>IFERROR(INDEX(Disbursements!$D:$D,MATCH('Live Collections'!G4193,Disbursements!$C:$C,0)),"")</f>
        <v>2</v>
      </c>
      <c r="G4193" s="34">
        <v>401</v>
      </c>
      <c r="H4193" s="34">
        <v>7398</v>
      </c>
      <c r="I4193" s="34" t="s">
        <v>1359</v>
      </c>
      <c r="J4193" s="48"/>
      <c r="K4193" s="48"/>
      <c r="L4193" s="48"/>
      <c r="M4193" s="48"/>
      <c r="N4193" s="59"/>
      <c r="O4193" s="59">
        <v>50000</v>
      </c>
      <c r="P4193" s="59"/>
      <c r="Q4193" s="268">
        <f t="shared" si="198"/>
        <v>50000</v>
      </c>
      <c r="R4193" s="61">
        <f>IF(O4193=0,0,SUMIFS(Disbursements!$T:$T,Disbursements!$B:$B,'Live Collections'!D4193,Disbursements!$D:$D,'Live Collections'!F4193))</f>
        <v>34000</v>
      </c>
      <c r="S4193" s="304">
        <f>IF(O4193&lt;=IF($O4193=0,0,SUMIFS(Disbursements!$W:$W,Disbursements!$B:$B,'Live Collections'!D4193,Disbursements!$D:$D,'Live Collections'!F4193)),O4193,IF($O4193=0,0,SUMIFS(Disbursements!$W:$W,Disbursements!$B:$B,'Live Collections'!D4193,Disbursements!$D:$D,'Live Collections'!F4193)))</f>
        <v>9000</v>
      </c>
      <c r="T4193" s="304">
        <f t="shared" si="199"/>
        <v>41000</v>
      </c>
      <c r="U4193" s="52"/>
      <c r="V4193" s="34"/>
      <c r="W4193" s="408"/>
    </row>
    <row r="4194" spans="1:23" ht="12.75" customHeight="1" x14ac:dyDescent="0.2">
      <c r="A4194" s="257">
        <v>4204</v>
      </c>
      <c r="B4194" s="44">
        <v>44692</v>
      </c>
      <c r="C4194" s="44">
        <f t="shared" si="200"/>
        <v>44692</v>
      </c>
      <c r="D4194" s="374">
        <v>53</v>
      </c>
      <c r="E4194" s="291" t="str">
        <f>IFERROR(VLOOKUP($D4194,'Clients-Live'!$A:$C,3,0),"")</f>
        <v>KALSUMU INNOCENT</v>
      </c>
      <c r="F4194" s="291">
        <f>IFERROR(INDEX(Disbursements!$D:$D,MATCH('Live Collections'!G4194,Disbursements!$C:$C,0)),"")</f>
        <v>2</v>
      </c>
      <c r="G4194" s="34">
        <v>329</v>
      </c>
      <c r="H4194" s="34" t="s">
        <v>2418</v>
      </c>
      <c r="I4194" s="34" t="s">
        <v>1358</v>
      </c>
      <c r="J4194" s="48"/>
      <c r="K4194" s="48"/>
      <c r="L4194" s="48"/>
      <c r="M4194" s="48"/>
      <c r="N4194" s="59"/>
      <c r="O4194" s="59">
        <v>90000</v>
      </c>
      <c r="P4194" s="59">
        <v>-90000</v>
      </c>
      <c r="Q4194" s="268">
        <f t="shared" si="198"/>
        <v>0</v>
      </c>
      <c r="R4194" s="61">
        <f>IF(O4194=0,0,SUMIFS(Disbursements!$T:$T,Disbursements!$B:$B,'Live Collections'!D4194,Disbursements!$D:$D,'Live Collections'!F4194))</f>
        <v>195000</v>
      </c>
      <c r="S4194" s="304"/>
      <c r="T4194" s="304">
        <f t="shared" si="199"/>
        <v>90000</v>
      </c>
      <c r="U4194" s="52"/>
      <c r="V4194" s="34"/>
      <c r="W4194" s="408"/>
    </row>
    <row r="4195" spans="1:23" ht="12.75" customHeight="1" x14ac:dyDescent="0.2">
      <c r="A4195" s="257">
        <v>4205</v>
      </c>
      <c r="B4195" s="44">
        <v>44692</v>
      </c>
      <c r="C4195" s="44">
        <f t="shared" si="200"/>
        <v>44692</v>
      </c>
      <c r="D4195" s="374">
        <v>53</v>
      </c>
      <c r="E4195" s="291" t="str">
        <f>IFERROR(VLOOKUP($D4195,'Clients-Live'!$A:$C,3,0),"")</f>
        <v>KALSUMU INNOCENT</v>
      </c>
      <c r="F4195" s="291">
        <f>IFERROR(INDEX(Disbursements!$D:$D,MATCH('Live Collections'!G4195,Disbursements!$C:$C,0)),"")</f>
        <v>2</v>
      </c>
      <c r="G4195" s="34">
        <v>329</v>
      </c>
      <c r="H4195" s="34">
        <v>7396</v>
      </c>
      <c r="I4195" s="34" t="s">
        <v>1358</v>
      </c>
      <c r="J4195" s="48"/>
      <c r="K4195" s="48"/>
      <c r="L4195" s="48"/>
      <c r="M4195" s="48"/>
      <c r="N4195" s="59"/>
      <c r="O4195" s="59">
        <v>105000</v>
      </c>
      <c r="P4195" s="59"/>
      <c r="Q4195" s="268">
        <f t="shared" si="198"/>
        <v>105000</v>
      </c>
      <c r="R4195" s="61">
        <f>IF(O4195=0,0,SUMIFS(Disbursements!$T:$T,Disbursements!$B:$B,'Live Collections'!D4195,Disbursements!$D:$D,'Live Collections'!F4195))</f>
        <v>195000</v>
      </c>
      <c r="S4195" s="304"/>
      <c r="T4195" s="304">
        <f t="shared" si="199"/>
        <v>105000</v>
      </c>
      <c r="U4195" s="52"/>
      <c r="V4195" s="34"/>
      <c r="W4195" s="408"/>
    </row>
    <row r="4196" spans="1:23" ht="12.75" customHeight="1" x14ac:dyDescent="0.2">
      <c r="A4196" s="257">
        <v>4206</v>
      </c>
      <c r="B4196" s="44">
        <v>44692</v>
      </c>
      <c r="C4196" s="44">
        <f t="shared" si="200"/>
        <v>44692</v>
      </c>
      <c r="D4196" s="374">
        <v>363</v>
      </c>
      <c r="E4196" s="291" t="str">
        <f>IFERROR(VLOOKUP($D4196,'Clients-Live'!$A:$C,3,0),"")</f>
        <v>LEMERIGA JUSTIN</v>
      </c>
      <c r="F4196" s="291" t="str">
        <f>IFERROR(INDEX(Disbursements!$D:$D,MATCH('Live Collections'!G4196,Disbursements!$C:$C,0)),"")</f>
        <v/>
      </c>
      <c r="G4196" s="34"/>
      <c r="H4196" s="34">
        <v>7390</v>
      </c>
      <c r="I4196" s="34" t="s">
        <v>1359</v>
      </c>
      <c r="J4196" s="48"/>
      <c r="K4196" s="48"/>
      <c r="L4196" s="48">
        <v>20000</v>
      </c>
      <c r="M4196" s="48">
        <v>5000</v>
      </c>
      <c r="N4196" s="59"/>
      <c r="O4196" s="59"/>
      <c r="P4196" s="59"/>
      <c r="Q4196" s="268">
        <f t="shared" si="198"/>
        <v>25000</v>
      </c>
      <c r="R4196" s="61">
        <f>IF(O4196=0,0,SUMIFS(Disbursements!$T:$T,Disbursements!$B:$B,'Live Collections'!D4196,Disbursements!$D:$D,'Live Collections'!F4196))</f>
        <v>0</v>
      </c>
      <c r="S4196" s="304">
        <f>IF(O4196&lt;=IF($O4196=0,0,SUMIFS(Disbursements!$W:$W,Disbursements!$B:$B,'Live Collections'!D4196,Disbursements!$D:$D,'Live Collections'!F4196)),O4196,IF($O4196=0,0,SUMIFS(Disbursements!$W:$W,Disbursements!$B:$B,'Live Collections'!D4196,Disbursements!$D:$D,'Live Collections'!F4196)))</f>
        <v>0</v>
      </c>
      <c r="T4196" s="304">
        <f t="shared" si="199"/>
        <v>0</v>
      </c>
      <c r="U4196" s="52"/>
      <c r="V4196" s="34"/>
      <c r="W4196" s="408"/>
    </row>
    <row r="4197" spans="1:23" ht="12.75" customHeight="1" x14ac:dyDescent="0.2">
      <c r="A4197" s="257">
        <v>4207</v>
      </c>
      <c r="B4197" s="44">
        <v>44692</v>
      </c>
      <c r="C4197" s="44">
        <f t="shared" si="200"/>
        <v>44692</v>
      </c>
      <c r="D4197" s="374">
        <v>363</v>
      </c>
      <c r="E4197" s="291" t="str">
        <f>IFERROR(VLOOKUP($D4197,'Clients-Live'!$A:$C,3,0),"")</f>
        <v>LEMERIGA JUSTIN</v>
      </c>
      <c r="F4197" s="291" t="str">
        <f>IFERROR(INDEX(Disbursements!$D:$D,MATCH('Live Collections'!G4197,Disbursements!$C:$C,0)),"")</f>
        <v/>
      </c>
      <c r="G4197" s="34"/>
      <c r="H4197" s="34">
        <v>7389</v>
      </c>
      <c r="I4197" s="34" t="s">
        <v>1359</v>
      </c>
      <c r="J4197" s="48">
        <v>15000</v>
      </c>
      <c r="K4197" s="48">
        <v>5000</v>
      </c>
      <c r="L4197" s="48"/>
      <c r="M4197" s="48"/>
      <c r="N4197" s="59"/>
      <c r="O4197" s="59"/>
      <c r="P4197" s="59"/>
      <c r="Q4197" s="268">
        <f t="shared" si="198"/>
        <v>20000</v>
      </c>
      <c r="R4197" s="61">
        <f>IF(O4197=0,0,SUMIFS(Disbursements!$T:$T,Disbursements!$B:$B,'Live Collections'!D4197,Disbursements!$D:$D,'Live Collections'!F4197))</f>
        <v>0</v>
      </c>
      <c r="S4197" s="304">
        <f>IF(O4197&lt;=IF($O4197=0,0,SUMIFS(Disbursements!$W:$W,Disbursements!$B:$B,'Live Collections'!D4197,Disbursements!$D:$D,'Live Collections'!F4197)),O4197,IF($O4197=0,0,SUMIFS(Disbursements!$W:$W,Disbursements!$B:$B,'Live Collections'!D4197,Disbursements!$D:$D,'Live Collections'!F4197)))</f>
        <v>0</v>
      </c>
      <c r="T4197" s="304">
        <f t="shared" si="199"/>
        <v>0</v>
      </c>
      <c r="U4197" s="52"/>
      <c r="V4197" s="34"/>
      <c r="W4197" s="408"/>
    </row>
    <row r="4198" spans="1:23" ht="12.75" customHeight="1" x14ac:dyDescent="0.2">
      <c r="A4198" s="257">
        <v>4208</v>
      </c>
      <c r="B4198" s="44">
        <v>44692</v>
      </c>
      <c r="C4198" s="44">
        <f t="shared" si="200"/>
        <v>44692</v>
      </c>
      <c r="D4198" s="374">
        <v>138</v>
      </c>
      <c r="E4198" s="291" t="str">
        <f>IFERROR(VLOOKUP($D4198,'Clients-Live'!$A:$C,3,0),"")</f>
        <v>BEATRICE AMANDRU</v>
      </c>
      <c r="F4198" s="291">
        <f>IFERROR(INDEX(Disbursements!$D:$D,MATCH('Live Collections'!G4198,Disbursements!$C:$C,0)),"")</f>
        <v>4</v>
      </c>
      <c r="G4198" s="34">
        <v>442</v>
      </c>
      <c r="H4198" s="34">
        <v>7393</v>
      </c>
      <c r="I4198" s="34" t="s">
        <v>1357</v>
      </c>
      <c r="J4198" s="48"/>
      <c r="K4198" s="48"/>
      <c r="L4198" s="48"/>
      <c r="M4198" s="48"/>
      <c r="N4198" s="59"/>
      <c r="O4198" s="59">
        <v>100000</v>
      </c>
      <c r="P4198" s="59"/>
      <c r="Q4198" s="268">
        <f t="shared" si="198"/>
        <v>100000</v>
      </c>
      <c r="R4198" s="61">
        <f>IF(O4198=0,0,SUMIFS(Disbursements!$T:$T,Disbursements!$B:$B,'Live Collections'!D4198,Disbursements!$D:$D,'Live Collections'!F4198))</f>
        <v>565000</v>
      </c>
      <c r="S4198" s="304"/>
      <c r="T4198" s="304">
        <f t="shared" si="199"/>
        <v>100000</v>
      </c>
      <c r="U4198" s="52"/>
      <c r="V4198" s="34"/>
      <c r="W4198" s="408"/>
    </row>
    <row r="4199" spans="1:23" ht="12.75" customHeight="1" x14ac:dyDescent="0.2">
      <c r="A4199" s="257">
        <v>4209</v>
      </c>
      <c r="B4199" s="44">
        <v>44692</v>
      </c>
      <c r="C4199" s="44">
        <f t="shared" si="200"/>
        <v>44692</v>
      </c>
      <c r="D4199" s="374">
        <v>300</v>
      </c>
      <c r="E4199" s="291" t="str">
        <f>IFERROR(VLOOKUP($D4199,'Clients-Live'!$A:$C,3,0),"")</f>
        <v>AYA ZAINABU</v>
      </c>
      <c r="F4199" s="291">
        <f>IFERROR(INDEX(Disbursements!$D:$D,MATCH('Live Collections'!G4199,Disbursements!$C:$C,0)),"")</f>
        <v>1</v>
      </c>
      <c r="G4199" s="34">
        <v>364</v>
      </c>
      <c r="H4199" s="34">
        <v>7392</v>
      </c>
      <c r="I4199" s="34" t="s">
        <v>1358</v>
      </c>
      <c r="J4199" s="48"/>
      <c r="K4199" s="48"/>
      <c r="L4199" s="48"/>
      <c r="M4199" s="48"/>
      <c r="N4199" s="59"/>
      <c r="O4199" s="59">
        <v>10000</v>
      </c>
      <c r="P4199" s="59"/>
      <c r="Q4199" s="268">
        <f t="shared" si="198"/>
        <v>10000</v>
      </c>
      <c r="R4199" s="61">
        <f>IF(O4199=0,0,SUMIFS(Disbursements!$T:$T,Disbursements!$B:$B,'Live Collections'!D4199,Disbursements!$D:$D,'Live Collections'!F4199))</f>
        <v>150000</v>
      </c>
      <c r="S4199" s="304"/>
      <c r="T4199" s="304">
        <f t="shared" si="199"/>
        <v>10000</v>
      </c>
      <c r="U4199" s="52"/>
      <c r="V4199" s="34"/>
      <c r="W4199" s="408"/>
    </row>
    <row r="4200" spans="1:23" ht="12.75" customHeight="1" x14ac:dyDescent="0.2">
      <c r="A4200" s="257">
        <v>4210</v>
      </c>
      <c r="B4200" s="44">
        <v>44692</v>
      </c>
      <c r="C4200" s="44">
        <f t="shared" si="200"/>
        <v>44692</v>
      </c>
      <c r="D4200" s="374">
        <v>108</v>
      </c>
      <c r="E4200" s="291" t="str">
        <f>IFERROR(VLOOKUP($D4200,'Clients-Live'!$A:$C,3,0),"")</f>
        <v>DUDU JOICE</v>
      </c>
      <c r="F4200" s="291">
        <f>IFERROR(INDEX(Disbursements!$D:$D,MATCH('Live Collections'!G4200,Disbursements!$C:$C,0)),"")</f>
        <v>2</v>
      </c>
      <c r="G4200" s="34">
        <v>314</v>
      </c>
      <c r="H4200" s="34">
        <v>7388</v>
      </c>
      <c r="I4200" s="34" t="s">
        <v>1359</v>
      </c>
      <c r="J4200" s="48"/>
      <c r="K4200" s="48"/>
      <c r="L4200" s="48"/>
      <c r="M4200" s="48"/>
      <c r="N4200" s="59"/>
      <c r="O4200" s="59">
        <v>50000</v>
      </c>
      <c r="P4200" s="59"/>
      <c r="Q4200" s="268">
        <f t="shared" si="198"/>
        <v>50000</v>
      </c>
      <c r="R4200" s="61">
        <f>IF(O4200=0,0,SUMIFS(Disbursements!$T:$T,Disbursements!$B:$B,'Live Collections'!D4200,Disbursements!$D:$D,'Live Collections'!F4200))</f>
        <v>250000</v>
      </c>
      <c r="S4200" s="304">
        <f>IF(O4200&lt;=IF($O4200=0,0,SUMIFS(Disbursements!$W:$W,Disbursements!$B:$B,'Live Collections'!D4200,Disbursements!$D:$D,'Live Collections'!F4200)),O4200,IF($O4200=0,0,SUMIFS(Disbursements!$W:$W,Disbursements!$B:$B,'Live Collections'!D4200,Disbursements!$D:$D,'Live Collections'!F4200)))</f>
        <v>50000</v>
      </c>
      <c r="T4200" s="304">
        <f t="shared" si="199"/>
        <v>0</v>
      </c>
      <c r="U4200" s="52"/>
      <c r="V4200" s="34"/>
      <c r="W4200" s="408"/>
    </row>
    <row r="4201" spans="1:23" ht="12.75" customHeight="1" x14ac:dyDescent="0.2">
      <c r="A4201" s="257">
        <v>4211</v>
      </c>
      <c r="B4201" s="44">
        <v>44693</v>
      </c>
      <c r="C4201" s="44">
        <f t="shared" si="200"/>
        <v>44693</v>
      </c>
      <c r="D4201" s="374">
        <v>364</v>
      </c>
      <c r="E4201" s="291" t="str">
        <f>IFERROR(VLOOKUP($D4201,'Clients-Live'!$A:$C,3,0),"")</f>
        <v>BAKO FLORENCE</v>
      </c>
      <c r="F4201" s="291" t="str">
        <f>IFERROR(INDEX(Disbursements!$D:$D,MATCH('Live Collections'!G4201,Disbursements!$C:$C,0)),"")</f>
        <v/>
      </c>
      <c r="G4201" s="34"/>
      <c r="H4201" s="34">
        <v>7429</v>
      </c>
      <c r="I4201" s="34" t="s">
        <v>1358</v>
      </c>
      <c r="J4201" s="48"/>
      <c r="K4201" s="48"/>
      <c r="L4201" s="48">
        <v>30000</v>
      </c>
      <c r="M4201" s="48">
        <v>5000</v>
      </c>
      <c r="N4201" s="59"/>
      <c r="O4201" s="59"/>
      <c r="P4201" s="59"/>
      <c r="Q4201" s="268">
        <f t="shared" si="198"/>
        <v>35000</v>
      </c>
      <c r="R4201" s="61">
        <f>IF(O4201=0,0,SUMIFS(Disbursements!$T:$T,Disbursements!$B:$B,'Live Collections'!D4201,Disbursements!$D:$D,'Live Collections'!F4201))</f>
        <v>0</v>
      </c>
      <c r="S4201" s="304">
        <f>IF(O4201&lt;=IF($O4201=0,0,SUMIFS(Disbursements!$W:$W,Disbursements!$B:$B,'Live Collections'!D4201,Disbursements!$D:$D,'Live Collections'!F4201)),O4201,IF($O4201=0,0,SUMIFS(Disbursements!$W:$W,Disbursements!$B:$B,'Live Collections'!D4201,Disbursements!$D:$D,'Live Collections'!F4201)))</f>
        <v>0</v>
      </c>
      <c r="T4201" s="304">
        <f t="shared" si="199"/>
        <v>0</v>
      </c>
      <c r="U4201" s="52"/>
      <c r="V4201" s="34"/>
      <c r="W4201" s="408"/>
    </row>
    <row r="4202" spans="1:23" ht="12.75" customHeight="1" x14ac:dyDescent="0.2">
      <c r="A4202" s="257">
        <v>4212</v>
      </c>
      <c r="B4202" s="44">
        <v>44693</v>
      </c>
      <c r="C4202" s="44">
        <f t="shared" si="200"/>
        <v>44693</v>
      </c>
      <c r="D4202" s="374">
        <v>364</v>
      </c>
      <c r="E4202" s="291" t="str">
        <f>IFERROR(VLOOKUP($D4202,'Clients-Live'!$A:$C,3,0),"")</f>
        <v>BAKO FLORENCE</v>
      </c>
      <c r="F4202" s="291" t="str">
        <f>IFERROR(INDEX(Disbursements!$D:$D,MATCH('Live Collections'!G4202,Disbursements!$C:$C,0)),"")</f>
        <v/>
      </c>
      <c r="G4202" s="34"/>
      <c r="H4202" s="34">
        <v>7427</v>
      </c>
      <c r="I4202" s="34" t="s">
        <v>1736</v>
      </c>
      <c r="J4202" s="48">
        <v>15000</v>
      </c>
      <c r="K4202" s="48">
        <v>5000</v>
      </c>
      <c r="L4202" s="48"/>
      <c r="M4202" s="48"/>
      <c r="N4202" s="59"/>
      <c r="O4202" s="59"/>
      <c r="P4202" s="59"/>
      <c r="Q4202" s="268">
        <f t="shared" si="198"/>
        <v>20000</v>
      </c>
      <c r="R4202" s="61">
        <f>IF(O4202=0,0,SUMIFS(Disbursements!$T:$T,Disbursements!$B:$B,'Live Collections'!D4202,Disbursements!$D:$D,'Live Collections'!F4202))</f>
        <v>0</v>
      </c>
      <c r="S4202" s="304">
        <f>IF(O4202&lt;=IF($O4202=0,0,SUMIFS(Disbursements!$W:$W,Disbursements!$B:$B,'Live Collections'!D4202,Disbursements!$D:$D,'Live Collections'!F4202)),O4202,IF($O4202=0,0,SUMIFS(Disbursements!$W:$W,Disbursements!$B:$B,'Live Collections'!D4202,Disbursements!$D:$D,'Live Collections'!F4202)))</f>
        <v>0</v>
      </c>
      <c r="T4202" s="304">
        <f t="shared" si="199"/>
        <v>0</v>
      </c>
      <c r="U4202" s="52"/>
      <c r="V4202" s="34"/>
      <c r="W4202" s="408"/>
    </row>
    <row r="4203" spans="1:23" ht="12.75" customHeight="1" x14ac:dyDescent="0.2">
      <c r="A4203" s="257">
        <v>4213</v>
      </c>
      <c r="B4203" s="44">
        <v>44693</v>
      </c>
      <c r="C4203" s="44">
        <f t="shared" si="200"/>
        <v>44693</v>
      </c>
      <c r="D4203" s="374">
        <v>147</v>
      </c>
      <c r="E4203" s="291" t="str">
        <f>IFERROR(VLOOKUP($D4203,'Clients-Live'!$A:$C,3,0),"")</f>
        <v>DRICIRU MARGRET</v>
      </c>
      <c r="F4203" s="291">
        <f>IFERROR(INDEX(Disbursements!$D:$D,MATCH('Live Collections'!G4203,Disbursements!$C:$C,0)),"")</f>
        <v>3</v>
      </c>
      <c r="G4203" s="34">
        <v>434</v>
      </c>
      <c r="H4203" s="34">
        <v>7417</v>
      </c>
      <c r="I4203" s="34" t="s">
        <v>1359</v>
      </c>
      <c r="J4203" s="48"/>
      <c r="K4203" s="48"/>
      <c r="L4203" s="48"/>
      <c r="M4203" s="48"/>
      <c r="N4203" s="59"/>
      <c r="O4203" s="59">
        <v>318000</v>
      </c>
      <c r="P4203" s="59"/>
      <c r="Q4203" s="268">
        <f t="shared" si="198"/>
        <v>318000</v>
      </c>
      <c r="R4203" s="61">
        <f>IF(O4203=0,0,SUMIFS(Disbursements!$T:$T,Disbursements!$B:$B,'Live Collections'!D4203,Disbursements!$D:$D,'Live Collections'!F4203))</f>
        <v>318000</v>
      </c>
      <c r="S4203" s="304">
        <f>IF(O4203&lt;=IF($O4203=0,0,SUMIFS(Disbursements!$W:$W,Disbursements!$B:$B,'Live Collections'!D4203,Disbursements!$D:$D,'Live Collections'!F4203)),O4203,IF($O4203=0,0,SUMIFS(Disbursements!$W:$W,Disbursements!$B:$B,'Live Collections'!D4203,Disbursements!$D:$D,'Live Collections'!F4203)))</f>
        <v>78000</v>
      </c>
      <c r="T4203" s="304">
        <f t="shared" si="199"/>
        <v>240000</v>
      </c>
      <c r="U4203" s="52"/>
      <c r="V4203" s="34"/>
      <c r="W4203" s="408"/>
    </row>
    <row r="4204" spans="1:23" ht="12.75" customHeight="1" x14ac:dyDescent="0.2">
      <c r="A4204" s="257">
        <v>4214</v>
      </c>
      <c r="B4204" s="44">
        <v>44693</v>
      </c>
      <c r="C4204" s="44">
        <f t="shared" si="200"/>
        <v>44693</v>
      </c>
      <c r="D4204" s="374">
        <v>215</v>
      </c>
      <c r="E4204" s="291" t="str">
        <f>IFERROR(VLOOKUP($D4204,'Clients-Live'!$A:$C,3,0),"")</f>
        <v>BRANI MUSA</v>
      </c>
      <c r="F4204" s="291">
        <f>IFERROR(INDEX(Disbursements!$D:$D,MATCH('Live Collections'!G4204,Disbursements!$C:$C,0)),"")</f>
        <v>2</v>
      </c>
      <c r="G4204" s="34">
        <v>343</v>
      </c>
      <c r="H4204" s="34">
        <v>7418</v>
      </c>
      <c r="I4204" s="34" t="s">
        <v>1357</v>
      </c>
      <c r="J4204" s="48"/>
      <c r="K4204" s="48"/>
      <c r="L4204" s="48"/>
      <c r="M4204" s="48"/>
      <c r="N4204" s="59"/>
      <c r="O4204" s="59">
        <v>100000</v>
      </c>
      <c r="P4204" s="59"/>
      <c r="Q4204" s="268">
        <f t="shared" ref="Q4204:Q4266" si="201">SUM(J4204:P4204)</f>
        <v>100000</v>
      </c>
      <c r="R4204" s="61">
        <f>IF(O4204=0,0,SUMIFS(Disbursements!$T:$T,Disbursements!$B:$B,'Live Collections'!D4204,Disbursements!$D:$D,'Live Collections'!F4204))</f>
        <v>369000</v>
      </c>
      <c r="S4204" s="304">
        <f>IF(O4204&lt;=IF($O4204=0,0,SUMIFS(Disbursements!$W:$W,Disbursements!$B:$B,'Live Collections'!D4204,Disbursements!$D:$D,'Live Collections'!F4204)),O4204,IF($O4204=0,0,SUMIFS(Disbursements!$W:$W,Disbursements!$B:$B,'Live Collections'!D4204,Disbursements!$D:$D,'Live Collections'!F4204)))</f>
        <v>85666.666666666686</v>
      </c>
      <c r="T4204" s="304">
        <f t="shared" si="199"/>
        <v>14333.333333333314</v>
      </c>
      <c r="U4204" s="52"/>
      <c r="V4204" s="34"/>
      <c r="W4204" s="408"/>
    </row>
    <row r="4205" spans="1:23" ht="12.75" customHeight="1" x14ac:dyDescent="0.2">
      <c r="A4205" s="257">
        <v>4215</v>
      </c>
      <c r="B4205" s="44">
        <v>44693</v>
      </c>
      <c r="C4205" s="44">
        <f t="shared" si="200"/>
        <v>44693</v>
      </c>
      <c r="D4205" s="374">
        <v>18</v>
      </c>
      <c r="E4205" s="291" t="str">
        <f>IFERROR(VLOOKUP($D4205,'Clients-Live'!$A:$C,3,0),"")</f>
        <v>ARIYE PEACE</v>
      </c>
      <c r="F4205" s="291">
        <f>IFERROR(INDEX(Disbursements!$D:$D,MATCH('Live Collections'!G4205,Disbursements!$C:$C,0)),"")</f>
        <v>2</v>
      </c>
      <c r="G4205" s="34">
        <v>317</v>
      </c>
      <c r="H4205" s="34">
        <v>7416</v>
      </c>
      <c r="I4205" s="34" t="s">
        <v>1357</v>
      </c>
      <c r="J4205" s="48"/>
      <c r="K4205" s="48"/>
      <c r="L4205" s="48"/>
      <c r="M4205" s="48"/>
      <c r="N4205" s="59"/>
      <c r="O4205" s="59">
        <v>100000</v>
      </c>
      <c r="P4205" s="59"/>
      <c r="Q4205" s="268">
        <f t="shared" si="201"/>
        <v>100000</v>
      </c>
      <c r="R4205" s="61">
        <f>IF(O4205=0,0,SUMIFS(Disbursements!$T:$T,Disbursements!$B:$B,'Live Collections'!D4205,Disbursements!$D:$D,'Live Collections'!F4205))</f>
        <v>650000</v>
      </c>
      <c r="S4205" s="304"/>
      <c r="T4205" s="304">
        <f t="shared" si="199"/>
        <v>100000</v>
      </c>
      <c r="U4205" s="52"/>
      <c r="V4205" s="34"/>
      <c r="W4205" s="408"/>
    </row>
    <row r="4206" spans="1:23" ht="12.75" customHeight="1" x14ac:dyDescent="0.2">
      <c r="A4206" s="257">
        <v>4216</v>
      </c>
      <c r="B4206" s="44">
        <v>44693</v>
      </c>
      <c r="C4206" s="44">
        <f t="shared" si="200"/>
        <v>44693</v>
      </c>
      <c r="D4206" s="374">
        <v>66</v>
      </c>
      <c r="E4206" s="291" t="str">
        <f>IFERROR(VLOOKUP($D4206,'Clients-Live'!$A:$C,3,0),"")</f>
        <v>DENAYA NYAMAZA</v>
      </c>
      <c r="F4206" s="291">
        <f>IFERROR(INDEX(Disbursements!$D:$D,MATCH('Live Collections'!G4206,Disbursements!$C:$C,0)),"")</f>
        <v>2</v>
      </c>
      <c r="G4206" s="34">
        <v>300</v>
      </c>
      <c r="H4206" s="34">
        <v>7419</v>
      </c>
      <c r="I4206" s="34" t="s">
        <v>1357</v>
      </c>
      <c r="J4206" s="48"/>
      <c r="K4206" s="48"/>
      <c r="L4206" s="48"/>
      <c r="M4206" s="48"/>
      <c r="N4206" s="59"/>
      <c r="O4206" s="59">
        <v>50000</v>
      </c>
      <c r="P4206" s="59"/>
      <c r="Q4206" s="268">
        <f t="shared" si="201"/>
        <v>50000</v>
      </c>
      <c r="R4206" s="61">
        <f>IF(O4206=0,0,SUMIFS(Disbursements!$T:$T,Disbursements!$B:$B,'Live Collections'!D4206,Disbursements!$D:$D,'Live Collections'!F4206))</f>
        <v>109000</v>
      </c>
      <c r="S4206" s="304">
        <f>IF(O4206&lt;=IF($O4206=0,0,SUMIFS(Disbursements!$W:$W,Disbursements!$B:$B,'Live Collections'!D4206,Disbursements!$D:$D,'Live Collections'!F4206)),O4206,IF($O4206=0,0,SUMIFS(Disbursements!$W:$W,Disbursements!$B:$B,'Live Collections'!D4206,Disbursements!$D:$D,'Live Collections'!F4206)))</f>
        <v>25666.666666666672</v>
      </c>
      <c r="T4206" s="304">
        <f t="shared" si="199"/>
        <v>24333.333333333328</v>
      </c>
      <c r="U4206" s="52"/>
      <c r="V4206" s="34"/>
      <c r="W4206" s="408"/>
    </row>
    <row r="4207" spans="1:23" ht="12.75" customHeight="1" x14ac:dyDescent="0.2">
      <c r="A4207" s="257">
        <v>4217</v>
      </c>
      <c r="B4207" s="44">
        <v>44693</v>
      </c>
      <c r="C4207" s="44">
        <f t="shared" si="200"/>
        <v>44693</v>
      </c>
      <c r="D4207" s="374">
        <v>324</v>
      </c>
      <c r="E4207" s="291" t="str">
        <f>IFERROR(VLOOKUP($D4207,'Clients-Live'!$A:$C,3,0),"")</f>
        <v>ARIKE KOKOLE YASSIN</v>
      </c>
      <c r="F4207" s="291">
        <f>IFERROR(INDEX(Disbursements!$D:$D,MATCH('Live Collections'!G4207,Disbursements!$C:$C,0)),"")</f>
        <v>1</v>
      </c>
      <c r="G4207" s="34">
        <v>450</v>
      </c>
      <c r="H4207" s="34">
        <v>7430</v>
      </c>
      <c r="I4207" s="34" t="s">
        <v>1357</v>
      </c>
      <c r="J4207" s="48"/>
      <c r="K4207" s="48"/>
      <c r="L4207" s="48"/>
      <c r="M4207" s="48"/>
      <c r="N4207" s="59"/>
      <c r="O4207" s="59">
        <v>120000</v>
      </c>
      <c r="P4207" s="59"/>
      <c r="Q4207" s="268">
        <f t="shared" si="201"/>
        <v>120000</v>
      </c>
      <c r="R4207" s="61">
        <f>IF(O4207=0,0,SUMIFS(Disbursements!$T:$T,Disbursements!$B:$B,'Live Collections'!D4207,Disbursements!$D:$D,'Live Collections'!F4207))</f>
        <v>58000</v>
      </c>
      <c r="S4207" s="304">
        <f>IF(O4207&lt;=IF($O4207=0,0,SUMIFS(Disbursements!$W:$W,Disbursements!$B:$B,'Live Collections'!D4207,Disbursements!$D:$D,'Live Collections'!F4207)),O4207,IF($O4207=0,0,SUMIFS(Disbursements!$W:$W,Disbursements!$B:$B,'Live Collections'!D4207,Disbursements!$D:$D,'Live Collections'!F4207)))</f>
        <v>16333.333333333336</v>
      </c>
      <c r="T4207" s="304">
        <f t="shared" si="199"/>
        <v>103666.66666666666</v>
      </c>
      <c r="U4207" s="52"/>
      <c r="V4207" s="34"/>
      <c r="W4207" s="408"/>
    </row>
    <row r="4208" spans="1:23" ht="12.75" customHeight="1" x14ac:dyDescent="0.2">
      <c r="A4208" s="257">
        <v>4218</v>
      </c>
      <c r="B4208" s="44">
        <v>44693</v>
      </c>
      <c r="C4208" s="44">
        <f t="shared" si="200"/>
        <v>44693</v>
      </c>
      <c r="D4208" s="374">
        <v>77</v>
      </c>
      <c r="E4208" s="291" t="str">
        <f>IFERROR(VLOOKUP($D4208,'Clients-Live'!$A:$C,3,0),"")</f>
        <v>CACA FATUMA</v>
      </c>
      <c r="F4208" s="291">
        <f>IFERROR(INDEX(Disbursements!$D:$D,MATCH('Live Collections'!G4208,Disbursements!$C:$C,0)),"")</f>
        <v>3</v>
      </c>
      <c r="G4208" s="34">
        <v>529</v>
      </c>
      <c r="H4208" s="34">
        <v>7428</v>
      </c>
      <c r="I4208" s="34" t="s">
        <v>1357</v>
      </c>
      <c r="J4208" s="48"/>
      <c r="K4208" s="48"/>
      <c r="L4208" s="48"/>
      <c r="M4208" s="48"/>
      <c r="N4208" s="59"/>
      <c r="O4208" s="59"/>
      <c r="P4208" s="59">
        <v>180000</v>
      </c>
      <c r="Q4208" s="268">
        <f t="shared" si="201"/>
        <v>180000</v>
      </c>
      <c r="R4208" s="61">
        <f>IF(O4208=0,0,SUMIFS(Disbursements!$T:$T,Disbursements!$B:$B,'Live Collections'!D4208,Disbursements!$D:$D,'Live Collections'!F4208))</f>
        <v>0</v>
      </c>
      <c r="S4208" s="304">
        <f>IF(O4208&lt;=IF($O4208=0,0,SUMIFS(Disbursements!$W:$W,Disbursements!$B:$B,'Live Collections'!D4208,Disbursements!$D:$D,'Live Collections'!F4208)),O4208,IF($O4208=0,0,SUMIFS(Disbursements!$W:$W,Disbursements!$B:$B,'Live Collections'!D4208,Disbursements!$D:$D,'Live Collections'!F4208)))</f>
        <v>0</v>
      </c>
      <c r="T4208" s="304">
        <f t="shared" si="199"/>
        <v>0</v>
      </c>
      <c r="U4208" s="52"/>
      <c r="V4208" s="34"/>
      <c r="W4208" s="408"/>
    </row>
    <row r="4209" spans="1:23" ht="12.75" customHeight="1" x14ac:dyDescent="0.2">
      <c r="A4209" s="257">
        <v>4219</v>
      </c>
      <c r="B4209" s="44">
        <v>44693</v>
      </c>
      <c r="C4209" s="44">
        <f t="shared" si="200"/>
        <v>44693</v>
      </c>
      <c r="D4209" s="374">
        <v>77</v>
      </c>
      <c r="E4209" s="291" t="str">
        <f>IFERROR(VLOOKUP($D4209,'Clients-Live'!$A:$C,3,0),"")</f>
        <v>CACA FATUMA</v>
      </c>
      <c r="F4209" s="291" t="str">
        <f>IFERROR(INDEX(Disbursements!$D:$D,MATCH('Live Collections'!G4209,Disbursements!$C:$C,0)),"")</f>
        <v/>
      </c>
      <c r="G4209" s="34"/>
      <c r="H4209" s="34">
        <v>7424</v>
      </c>
      <c r="I4209" s="34" t="s">
        <v>1357</v>
      </c>
      <c r="J4209" s="48"/>
      <c r="K4209" s="48">
        <v>5000</v>
      </c>
      <c r="L4209" s="48"/>
      <c r="M4209" s="48"/>
      <c r="N4209" s="59"/>
      <c r="O4209" s="59"/>
      <c r="P4209" s="59"/>
      <c r="Q4209" s="268">
        <f t="shared" si="201"/>
        <v>5000</v>
      </c>
      <c r="R4209" s="61">
        <f>IF(O4209=0,0,SUMIFS(Disbursements!$T:$T,Disbursements!$B:$B,'Live Collections'!D4209,Disbursements!$D:$D,'Live Collections'!F4209))</f>
        <v>0</v>
      </c>
      <c r="S4209" s="304">
        <f>IF(O4209&lt;=IF($O4209=0,0,SUMIFS(Disbursements!$W:$W,Disbursements!$B:$B,'Live Collections'!D4209,Disbursements!$D:$D,'Live Collections'!F4209)),O4209,IF($O4209=0,0,SUMIFS(Disbursements!$W:$W,Disbursements!$B:$B,'Live Collections'!D4209,Disbursements!$D:$D,'Live Collections'!F4209)))</f>
        <v>0</v>
      </c>
      <c r="T4209" s="304">
        <f t="shared" si="199"/>
        <v>0</v>
      </c>
      <c r="U4209" s="52"/>
      <c r="V4209" s="34"/>
      <c r="W4209" s="408"/>
    </row>
    <row r="4210" spans="1:23" ht="12.75" customHeight="1" x14ac:dyDescent="0.2">
      <c r="A4210" s="257">
        <v>4220</v>
      </c>
      <c r="B4210" s="44">
        <v>44693</v>
      </c>
      <c r="C4210" s="44">
        <f t="shared" si="200"/>
        <v>44693</v>
      </c>
      <c r="D4210" s="374">
        <v>11</v>
      </c>
      <c r="E4210" s="291" t="str">
        <f>IFERROR(VLOOKUP($D4210,'Clients-Live'!$A:$C,3,0),"")</f>
        <v>ARIME JUMA</v>
      </c>
      <c r="F4210" s="291">
        <f>IFERROR(INDEX(Disbursements!$D:$D,MATCH('Live Collections'!G4210,Disbursements!$C:$C,0)),"")</f>
        <v>3</v>
      </c>
      <c r="G4210" s="34">
        <v>530</v>
      </c>
      <c r="H4210" s="34">
        <v>7422</v>
      </c>
      <c r="I4210" s="34" t="s">
        <v>1359</v>
      </c>
      <c r="J4210" s="48"/>
      <c r="K4210" s="48"/>
      <c r="L4210" s="48"/>
      <c r="M4210" s="48"/>
      <c r="N4210" s="59"/>
      <c r="O4210" s="59"/>
      <c r="P4210" s="59">
        <v>40000</v>
      </c>
      <c r="Q4210" s="268">
        <f t="shared" si="201"/>
        <v>40000</v>
      </c>
      <c r="R4210" s="61">
        <f>IF(O4210=0,0,SUMIFS(Disbursements!$T:$T,Disbursements!$B:$B,'Live Collections'!D4210,Disbursements!$D:$D,'Live Collections'!F4210))</f>
        <v>0</v>
      </c>
      <c r="S4210" s="304">
        <f>IF(O4210&lt;=IF($O4210=0,0,SUMIFS(Disbursements!$W:$W,Disbursements!$B:$B,'Live Collections'!D4210,Disbursements!$D:$D,'Live Collections'!F4210)),O4210,IF($O4210=0,0,SUMIFS(Disbursements!$W:$W,Disbursements!$B:$B,'Live Collections'!D4210,Disbursements!$D:$D,'Live Collections'!F4210)))</f>
        <v>0</v>
      </c>
      <c r="T4210" s="304">
        <f t="shared" si="199"/>
        <v>0</v>
      </c>
      <c r="U4210" s="52"/>
      <c r="V4210" s="34"/>
      <c r="W4210" s="408"/>
    </row>
    <row r="4211" spans="1:23" ht="12.75" customHeight="1" x14ac:dyDescent="0.2">
      <c r="A4211" s="257">
        <v>4221</v>
      </c>
      <c r="B4211" s="44">
        <v>44693</v>
      </c>
      <c r="C4211" s="44">
        <f t="shared" si="200"/>
        <v>44693</v>
      </c>
      <c r="D4211" s="374">
        <v>329</v>
      </c>
      <c r="E4211" s="291" t="str">
        <f>IFERROR(VLOOKUP($D4211,'Clients-Live'!$A:$C,3,0),"")</f>
        <v>NSUBUGA DAVID</v>
      </c>
      <c r="F4211" s="291">
        <f>IFERROR(INDEX(Disbursements!$D:$D,MATCH('Live Collections'!G4211,Disbursements!$C:$C,0)),"")</f>
        <v>2</v>
      </c>
      <c r="G4211" s="34">
        <v>528</v>
      </c>
      <c r="H4211" s="34">
        <v>7414</v>
      </c>
      <c r="I4211" s="34" t="s">
        <v>1357</v>
      </c>
      <c r="J4211" s="48"/>
      <c r="K4211" s="48"/>
      <c r="L4211" s="48"/>
      <c r="M4211" s="48"/>
      <c r="N4211" s="59"/>
      <c r="O4211" s="59"/>
      <c r="P4211" s="59">
        <v>100000</v>
      </c>
      <c r="Q4211" s="268">
        <f t="shared" si="201"/>
        <v>100000</v>
      </c>
      <c r="R4211" s="61">
        <f>IF(O4211=0,0,SUMIFS(Disbursements!$T:$T,Disbursements!$B:$B,'Live Collections'!D4211,Disbursements!$D:$D,'Live Collections'!F4211))</f>
        <v>0</v>
      </c>
      <c r="S4211" s="304">
        <f>IF(O4211&lt;=IF($O4211=0,0,SUMIFS(Disbursements!$W:$W,Disbursements!$B:$B,'Live Collections'!D4211,Disbursements!$D:$D,'Live Collections'!F4211)),O4211,IF($O4211=0,0,SUMIFS(Disbursements!$W:$W,Disbursements!$B:$B,'Live Collections'!D4211,Disbursements!$D:$D,'Live Collections'!F4211)))</f>
        <v>0</v>
      </c>
      <c r="T4211" s="304">
        <f t="shared" si="199"/>
        <v>0</v>
      </c>
      <c r="U4211" s="52"/>
      <c r="V4211" s="34"/>
      <c r="W4211" s="408"/>
    </row>
    <row r="4212" spans="1:23" ht="12.75" customHeight="1" x14ac:dyDescent="0.2">
      <c r="A4212" s="257">
        <v>4222</v>
      </c>
      <c r="B4212" s="44">
        <v>44693</v>
      </c>
      <c r="C4212" s="44">
        <f t="shared" si="200"/>
        <v>44693</v>
      </c>
      <c r="D4212" s="374">
        <v>164</v>
      </c>
      <c r="E4212" s="291" t="str">
        <f>IFERROR(VLOOKUP($D4212,'Clients-Live'!$A:$C,3,0),"")</f>
        <v>ARIKE SWAIB</v>
      </c>
      <c r="F4212" s="291">
        <f>IFERROR(INDEX(Disbursements!$D:$D,MATCH('Live Collections'!G4212,Disbursements!$C:$C,0)),"")</f>
        <v>2</v>
      </c>
      <c r="G4212" s="34">
        <v>508</v>
      </c>
      <c r="H4212" s="34">
        <v>7413</v>
      </c>
      <c r="I4212" s="34" t="s">
        <v>1357</v>
      </c>
      <c r="J4212" s="48"/>
      <c r="K4212" s="48"/>
      <c r="L4212" s="48"/>
      <c r="M4212" s="48"/>
      <c r="N4212" s="59"/>
      <c r="O4212" s="59">
        <v>80000</v>
      </c>
      <c r="P4212" s="59"/>
      <c r="Q4212" s="268">
        <f t="shared" si="201"/>
        <v>80000</v>
      </c>
      <c r="R4212" s="61">
        <f>IF(O4212=0,0,SUMIFS(Disbursements!$T:$T,Disbursements!$B:$B,'Live Collections'!D4212,Disbursements!$D:$D,'Live Collections'!F4212))</f>
        <v>90000</v>
      </c>
      <c r="S4212" s="304">
        <f>IF(O4212&lt;=IF($O4212=0,0,SUMIFS(Disbursements!$W:$W,Disbursements!$B:$B,'Live Collections'!D4212,Disbursements!$D:$D,'Live Collections'!F4212)),O4212,IF($O4212=0,0,SUMIFS(Disbursements!$W:$W,Disbursements!$B:$B,'Live Collections'!D4212,Disbursements!$D:$D,'Live Collections'!F4212)))</f>
        <v>25416.666666666664</v>
      </c>
      <c r="T4212" s="304">
        <f t="shared" si="199"/>
        <v>54583.333333333336</v>
      </c>
      <c r="U4212" s="52"/>
      <c r="V4212" s="34"/>
      <c r="W4212" s="408"/>
    </row>
    <row r="4213" spans="1:23" ht="12.75" customHeight="1" x14ac:dyDescent="0.2">
      <c r="A4213" s="257">
        <v>4223</v>
      </c>
      <c r="B4213" s="44">
        <v>44693</v>
      </c>
      <c r="C4213" s="44">
        <f t="shared" si="200"/>
        <v>44693</v>
      </c>
      <c r="D4213" s="374">
        <v>11</v>
      </c>
      <c r="E4213" s="291" t="str">
        <f>IFERROR(VLOOKUP($D4213,'Clients-Live'!$A:$C,3,0),"")</f>
        <v>ARIME JUMA</v>
      </c>
      <c r="F4213" s="291" t="str">
        <f>IFERROR(INDEX(Disbursements!$D:$D,MATCH('Live Collections'!G4213,Disbursements!$C:$C,0)),"")</f>
        <v/>
      </c>
      <c r="G4213" s="34"/>
      <c r="H4213" s="34">
        <v>7411</v>
      </c>
      <c r="I4213" s="34" t="s">
        <v>1359</v>
      </c>
      <c r="J4213" s="48"/>
      <c r="K4213" s="48"/>
      <c r="L4213" s="48">
        <v>15000</v>
      </c>
      <c r="M4213" s="48">
        <v>5000</v>
      </c>
      <c r="N4213" s="59"/>
      <c r="O4213" s="59"/>
      <c r="P4213" s="59"/>
      <c r="Q4213" s="268">
        <f t="shared" si="201"/>
        <v>20000</v>
      </c>
      <c r="R4213" s="61">
        <f>IF(O4213=0,0,SUMIFS(Disbursements!$T:$T,Disbursements!$B:$B,'Live Collections'!D4213,Disbursements!$D:$D,'Live Collections'!F4213))</f>
        <v>0</v>
      </c>
      <c r="S4213" s="304">
        <f>IF(O4213&lt;=IF($O4213=0,0,SUMIFS(Disbursements!$W:$W,Disbursements!$B:$B,'Live Collections'!D4213,Disbursements!$D:$D,'Live Collections'!F4213)),O4213,IF($O4213=0,0,SUMIFS(Disbursements!$W:$W,Disbursements!$B:$B,'Live Collections'!D4213,Disbursements!$D:$D,'Live Collections'!F4213)))</f>
        <v>0</v>
      </c>
      <c r="T4213" s="304">
        <f t="shared" si="199"/>
        <v>0</v>
      </c>
      <c r="U4213" s="52"/>
      <c r="V4213" s="34"/>
      <c r="W4213" s="408"/>
    </row>
    <row r="4214" spans="1:23" ht="12.75" customHeight="1" x14ac:dyDescent="0.2">
      <c r="A4214" s="257">
        <v>4224</v>
      </c>
      <c r="B4214" s="44">
        <v>44693</v>
      </c>
      <c r="C4214" s="44">
        <f t="shared" si="200"/>
        <v>44693</v>
      </c>
      <c r="D4214" s="374">
        <v>343</v>
      </c>
      <c r="E4214" s="291" t="str">
        <f>IFERROR(VLOOKUP($D4214,'Clients-Live'!$A:$C,3,0),"")</f>
        <v>MAMBO EDWARD</v>
      </c>
      <c r="F4214" s="291">
        <f>IFERROR(INDEX(Disbursements!$D:$D,MATCH('Live Collections'!G4214,Disbursements!$C:$C,0)),"")</f>
        <v>1</v>
      </c>
      <c r="G4214" s="34">
        <v>485</v>
      </c>
      <c r="H4214" s="34">
        <v>7408</v>
      </c>
      <c r="I4214" s="34" t="s">
        <v>1358</v>
      </c>
      <c r="J4214" s="48"/>
      <c r="K4214" s="48"/>
      <c r="L4214" s="48"/>
      <c r="M4214" s="48"/>
      <c r="N4214" s="59"/>
      <c r="O4214" s="59">
        <v>300000</v>
      </c>
      <c r="P4214" s="59"/>
      <c r="Q4214" s="268">
        <f t="shared" si="201"/>
        <v>300000</v>
      </c>
      <c r="R4214" s="61">
        <f>IF(O4214=0,0,SUMIFS(Disbursements!$T:$T,Disbursements!$B:$B,'Live Collections'!D4214,Disbursements!$D:$D,'Live Collections'!F4214))</f>
        <v>695000</v>
      </c>
      <c r="S4214" s="304">
        <f>IF(O4214&lt;=IF($O4214=0,0,SUMIFS(Disbursements!$W:$W,Disbursements!$B:$B,'Live Collections'!D4214,Disbursements!$D:$D,'Live Collections'!F4214)),O4214,IF($O4214=0,0,SUMIFS(Disbursements!$W:$W,Disbursements!$B:$B,'Live Collections'!D4214,Disbursements!$D:$D,'Live Collections'!F4214)))</f>
        <v>195000</v>
      </c>
      <c r="T4214" s="304">
        <f t="shared" si="199"/>
        <v>105000</v>
      </c>
      <c r="U4214" s="52"/>
      <c r="V4214" s="34"/>
      <c r="W4214" s="408"/>
    </row>
    <row r="4215" spans="1:23" ht="12.75" customHeight="1" x14ac:dyDescent="0.2">
      <c r="A4215" s="257">
        <v>4225</v>
      </c>
      <c r="B4215" s="44">
        <v>44693</v>
      </c>
      <c r="C4215" s="44">
        <f t="shared" si="200"/>
        <v>44693</v>
      </c>
      <c r="D4215" s="374">
        <v>99</v>
      </c>
      <c r="E4215" s="291" t="str">
        <f>IFERROR(VLOOKUP($D4215,'Clients-Live'!$A:$C,3,0),"")</f>
        <v>SIJALI ASINA SIS</v>
      </c>
      <c r="F4215" s="291">
        <f>IFERROR(INDEX(Disbursements!$D:$D,MATCH('Live Collections'!G4215,Disbursements!$C:$C,0)),"")</f>
        <v>3</v>
      </c>
      <c r="G4215" s="34">
        <v>494</v>
      </c>
      <c r="H4215" s="34">
        <v>7410</v>
      </c>
      <c r="I4215" s="34" t="s">
        <v>1358</v>
      </c>
      <c r="J4215" s="48"/>
      <c r="K4215" s="48"/>
      <c r="L4215" s="48"/>
      <c r="M4215" s="48"/>
      <c r="N4215" s="59"/>
      <c r="O4215" s="59">
        <v>31700</v>
      </c>
      <c r="P4215" s="59"/>
      <c r="Q4215" s="268">
        <f t="shared" si="201"/>
        <v>31700</v>
      </c>
      <c r="R4215" s="61">
        <f>IF(O4215=0,0,SUMIFS(Disbursements!$T:$T,Disbursements!$B:$B,'Live Collections'!D4215,Disbursements!$D:$D,'Live Collections'!F4215))</f>
        <v>232000</v>
      </c>
      <c r="S4215" s="304">
        <f>IF(O4215&lt;=IF($O4215=0,0,SUMIFS(Disbursements!$W:$W,Disbursements!$B:$B,'Live Collections'!D4215,Disbursements!$D:$D,'Live Collections'!F4215)),O4215,IF($O4215=0,0,SUMIFS(Disbursements!$W:$W,Disbursements!$B:$B,'Live Collections'!D4215,Disbursements!$D:$D,'Live Collections'!F4215)))</f>
        <v>31700</v>
      </c>
      <c r="T4215" s="304">
        <f t="shared" ref="T4215:T4277" si="202">IF(O4215=0,0,O4215-S4215)</f>
        <v>0</v>
      </c>
      <c r="U4215" s="52"/>
      <c r="V4215" s="34"/>
      <c r="W4215" s="408"/>
    </row>
    <row r="4216" spans="1:23" ht="12.75" customHeight="1" x14ac:dyDescent="0.2">
      <c r="A4216" s="257">
        <v>4226</v>
      </c>
      <c r="B4216" s="44">
        <v>44693</v>
      </c>
      <c r="C4216" s="44">
        <f t="shared" si="200"/>
        <v>44693</v>
      </c>
      <c r="D4216" s="374">
        <v>53</v>
      </c>
      <c r="E4216" s="291" t="str">
        <f>IFERROR(VLOOKUP($D4216,'Clients-Live'!$A:$C,3,0),"")</f>
        <v>KALSUMU INNOCENT</v>
      </c>
      <c r="F4216" s="291" t="str">
        <f>IFERROR(INDEX(Disbursements!$D:$D,MATCH('Live Collections'!G4216,Disbursements!$C:$C,0)),"")</f>
        <v/>
      </c>
      <c r="G4216" s="34"/>
      <c r="H4216" s="34">
        <v>7409</v>
      </c>
      <c r="I4216" s="34" t="s">
        <v>1358</v>
      </c>
      <c r="J4216" s="48"/>
      <c r="K4216" s="48"/>
      <c r="L4216" s="48">
        <v>20000</v>
      </c>
      <c r="M4216" s="48">
        <v>5000</v>
      </c>
      <c r="N4216" s="59"/>
      <c r="O4216" s="59"/>
      <c r="P4216" s="59"/>
      <c r="Q4216" s="268">
        <f t="shared" si="201"/>
        <v>25000</v>
      </c>
      <c r="R4216" s="61">
        <f>IF(O4216=0,0,SUMIFS(Disbursements!$T:$T,Disbursements!$B:$B,'Live Collections'!D4216,Disbursements!$D:$D,'Live Collections'!F4216))</f>
        <v>0</v>
      </c>
      <c r="S4216" s="304">
        <f>IF(O4216&lt;=IF($O4216=0,0,SUMIFS(Disbursements!$W:$W,Disbursements!$B:$B,'Live Collections'!D4216,Disbursements!$D:$D,'Live Collections'!F4216)),O4216,IF($O4216=0,0,SUMIFS(Disbursements!$W:$W,Disbursements!$B:$B,'Live Collections'!D4216,Disbursements!$D:$D,'Live Collections'!F4216)))</f>
        <v>0</v>
      </c>
      <c r="T4216" s="304">
        <f t="shared" si="202"/>
        <v>0</v>
      </c>
      <c r="U4216" s="52"/>
      <c r="V4216" s="34"/>
      <c r="W4216" s="408"/>
    </row>
    <row r="4217" spans="1:23" ht="12.75" customHeight="1" x14ac:dyDescent="0.2">
      <c r="A4217" s="257">
        <v>4227</v>
      </c>
      <c r="B4217" s="44">
        <v>44693</v>
      </c>
      <c r="C4217" s="44">
        <f t="shared" si="200"/>
        <v>44693</v>
      </c>
      <c r="D4217" s="374">
        <v>318</v>
      </c>
      <c r="E4217" s="291" t="str">
        <f>IFERROR(VLOOKUP($D4217,'Clients-Live'!$A:$C,3,0),"")</f>
        <v>ARUBE PETER</v>
      </c>
      <c r="F4217" s="291">
        <f>IFERROR(INDEX(Disbursements!$D:$D,MATCH('Live Collections'!G4217,Disbursements!$C:$C,0)),"")</f>
        <v>1</v>
      </c>
      <c r="G4217" s="34">
        <v>417</v>
      </c>
      <c r="H4217" s="34">
        <v>7404</v>
      </c>
      <c r="I4217" s="34" t="s">
        <v>1357</v>
      </c>
      <c r="J4217" s="48"/>
      <c r="K4217" s="48"/>
      <c r="L4217" s="48"/>
      <c r="M4217" s="48"/>
      <c r="N4217" s="59"/>
      <c r="O4217" s="59">
        <v>250000</v>
      </c>
      <c r="P4217" s="59"/>
      <c r="Q4217" s="268">
        <f t="shared" si="201"/>
        <v>250000</v>
      </c>
      <c r="R4217" s="61">
        <f>IF(O4217=0,0,SUMIFS(Disbursements!$T:$T,Disbursements!$B:$B,'Live Collections'!D4217,Disbursements!$D:$D,'Live Collections'!F4217))</f>
        <v>286000</v>
      </c>
      <c r="S4217" s="304">
        <f>IF(O4217&lt;=IF($O4217=0,0,SUMIFS(Disbursements!$W:$W,Disbursements!$B:$B,'Live Collections'!D4217,Disbursements!$D:$D,'Live Collections'!F4217)),O4217,IF($O4217=0,0,SUMIFS(Disbursements!$W:$W,Disbursements!$B:$B,'Live Collections'!D4217,Disbursements!$D:$D,'Live Collections'!F4217)))</f>
        <v>52666.666666666657</v>
      </c>
      <c r="T4217" s="304">
        <f t="shared" si="202"/>
        <v>197333.33333333334</v>
      </c>
      <c r="U4217" s="52"/>
      <c r="V4217" s="34"/>
      <c r="W4217" s="408"/>
    </row>
    <row r="4218" spans="1:23" ht="12.75" customHeight="1" x14ac:dyDescent="0.2">
      <c r="A4218" s="257">
        <v>4228</v>
      </c>
      <c r="B4218" s="44">
        <v>44693</v>
      </c>
      <c r="C4218" s="44">
        <f t="shared" si="200"/>
        <v>44693</v>
      </c>
      <c r="D4218" s="374">
        <v>337</v>
      </c>
      <c r="E4218" s="291" t="str">
        <f>IFERROR(VLOOKUP($D4218,'Clients-Live'!$A:$C,3,0),"")</f>
        <v>AYISA AJONYE</v>
      </c>
      <c r="F4218" s="291">
        <f>IFERROR(INDEX(Disbursements!$D:$D,MATCH('Live Collections'!G4218,Disbursements!$C:$C,0)),"")</f>
        <v>1</v>
      </c>
      <c r="G4218" s="34">
        <v>471</v>
      </c>
      <c r="H4218" s="34">
        <v>7405</v>
      </c>
      <c r="I4218" s="34" t="s">
        <v>1359</v>
      </c>
      <c r="J4218" s="48"/>
      <c r="K4218" s="48"/>
      <c r="L4218" s="48"/>
      <c r="M4218" s="48"/>
      <c r="N4218" s="59"/>
      <c r="O4218" s="59">
        <v>50000</v>
      </c>
      <c r="P4218" s="59"/>
      <c r="Q4218" s="268">
        <f t="shared" si="201"/>
        <v>50000</v>
      </c>
      <c r="R4218" s="61">
        <f>IF(O4218=0,0,SUMIFS(Disbursements!$T:$T,Disbursements!$B:$B,'Live Collections'!D4218,Disbursements!$D:$D,'Live Collections'!F4218))</f>
        <v>126000</v>
      </c>
      <c r="S4218" s="304">
        <f>IF(O4218&lt;=IF($O4218=0,0,SUMIFS(Disbursements!$W:$W,Disbursements!$B:$B,'Live Collections'!D4218,Disbursements!$D:$D,'Live Collections'!F4218)),O4218,IF($O4218=0,0,SUMIFS(Disbursements!$W:$W,Disbursements!$B:$B,'Live Collections'!D4218,Disbursements!$D:$D,'Live Collections'!F4218)))</f>
        <v>26000</v>
      </c>
      <c r="T4218" s="304">
        <f t="shared" si="202"/>
        <v>24000</v>
      </c>
      <c r="U4218" s="52"/>
      <c r="V4218" s="34"/>
      <c r="W4218" s="408"/>
    </row>
    <row r="4219" spans="1:23" ht="12.75" customHeight="1" x14ac:dyDescent="0.2">
      <c r="A4219" s="257">
        <v>4229</v>
      </c>
      <c r="B4219" s="44">
        <v>44693</v>
      </c>
      <c r="C4219" s="44">
        <f t="shared" si="200"/>
        <v>44693</v>
      </c>
      <c r="D4219" s="374">
        <v>46</v>
      </c>
      <c r="E4219" s="291" t="str">
        <f>IFERROR(VLOOKUP($D4219,'Clients-Live'!$A:$C,3,0),"")</f>
        <v>ALIO YUDA</v>
      </c>
      <c r="F4219" s="291">
        <f>IFERROR(INDEX(Disbursements!$D:$D,MATCH('Live Collections'!G4219,Disbursements!$C:$C,0)),"")</f>
        <v>2</v>
      </c>
      <c r="G4219" s="34">
        <v>400</v>
      </c>
      <c r="H4219" s="34">
        <v>7406</v>
      </c>
      <c r="I4219" s="34" t="s">
        <v>1357</v>
      </c>
      <c r="J4219" s="48"/>
      <c r="K4219" s="48"/>
      <c r="L4219" s="48"/>
      <c r="M4219" s="48"/>
      <c r="N4219" s="59"/>
      <c r="O4219" s="59">
        <v>80000</v>
      </c>
      <c r="P4219" s="59"/>
      <c r="Q4219" s="268">
        <f t="shared" si="201"/>
        <v>80000</v>
      </c>
      <c r="R4219" s="61">
        <f>IF(O4219=0,0,SUMIFS(Disbursements!$T:$T,Disbursements!$B:$B,'Live Collections'!D4219,Disbursements!$D:$D,'Live Collections'!F4219))</f>
        <v>76000</v>
      </c>
      <c r="S4219" s="304">
        <f>IF(O4219&lt;=IF($O4219=0,0,SUMIFS(Disbursements!$W:$W,Disbursements!$B:$B,'Live Collections'!D4219,Disbursements!$D:$D,'Live Collections'!F4219)),O4219,IF($O4219=0,0,SUMIFS(Disbursements!$W:$W,Disbursements!$B:$B,'Live Collections'!D4219,Disbursements!$D:$D,'Live Collections'!F4219)))</f>
        <v>21833.333333333336</v>
      </c>
      <c r="T4219" s="304">
        <f t="shared" si="202"/>
        <v>58166.666666666664</v>
      </c>
      <c r="U4219" s="52"/>
      <c r="V4219" s="34"/>
      <c r="W4219" s="408"/>
    </row>
    <row r="4220" spans="1:23" ht="12.75" customHeight="1" x14ac:dyDescent="0.2">
      <c r="A4220" s="257">
        <v>4230</v>
      </c>
      <c r="B4220" s="44">
        <v>44693</v>
      </c>
      <c r="C4220" s="44">
        <f t="shared" si="200"/>
        <v>44693</v>
      </c>
      <c r="D4220" s="374">
        <v>109</v>
      </c>
      <c r="E4220" s="291" t="str">
        <f>IFERROR(VLOOKUP($D4220,'Clients-Live'!$A:$C,3,0),"")</f>
        <v>TABU KISA</v>
      </c>
      <c r="F4220" s="291">
        <f>IFERROR(INDEX(Disbursements!$D:$D,MATCH('Live Collections'!G4220,Disbursements!$C:$C,0)),"")</f>
        <v>3</v>
      </c>
      <c r="G4220" s="34">
        <v>495</v>
      </c>
      <c r="H4220" s="34">
        <v>7407</v>
      </c>
      <c r="I4220" s="34" t="s">
        <v>1357</v>
      </c>
      <c r="J4220" s="48"/>
      <c r="K4220" s="48"/>
      <c r="L4220" s="48"/>
      <c r="M4220" s="48"/>
      <c r="N4220" s="59"/>
      <c r="O4220" s="59">
        <v>44000</v>
      </c>
      <c r="P4220" s="59"/>
      <c r="Q4220" s="268">
        <f t="shared" si="201"/>
        <v>44000</v>
      </c>
      <c r="R4220" s="61">
        <f>IF(O4220=0,0,SUMIFS(Disbursements!$T:$T,Disbursements!$B:$B,'Live Collections'!D4220,Disbursements!$D:$D,'Live Collections'!F4220))</f>
        <v>30000</v>
      </c>
      <c r="S4220" s="304">
        <f>IF(O4220&lt;=IF($O4220=0,0,SUMIFS(Disbursements!$W:$W,Disbursements!$B:$B,'Live Collections'!D4220,Disbursements!$D:$D,'Live Collections'!F4220)),O4220,IF($O4220=0,0,SUMIFS(Disbursements!$W:$W,Disbursements!$B:$B,'Live Collections'!D4220,Disbursements!$D:$D,'Live Collections'!F4220)))</f>
        <v>5000</v>
      </c>
      <c r="T4220" s="304">
        <f t="shared" si="202"/>
        <v>39000</v>
      </c>
      <c r="U4220" s="52"/>
      <c r="V4220" s="34"/>
      <c r="W4220" s="408"/>
    </row>
    <row r="4221" spans="1:23" ht="12.75" customHeight="1" x14ac:dyDescent="0.2">
      <c r="A4221" s="257">
        <v>4231</v>
      </c>
      <c r="B4221" s="44">
        <v>44693</v>
      </c>
      <c r="C4221" s="44">
        <f t="shared" si="200"/>
        <v>44693</v>
      </c>
      <c r="D4221" s="374">
        <v>354</v>
      </c>
      <c r="E4221" s="291" t="str">
        <f>IFERROR(VLOOKUP($D4221,'Clients-Live'!$A:$C,3,0),"")</f>
        <v>EYOTARU DORCUS</v>
      </c>
      <c r="F4221" s="291">
        <f>IFERROR(INDEX(Disbursements!$D:$D,MATCH('Live Collections'!G4221,Disbursements!$C:$C,0)),"")</f>
        <v>1</v>
      </c>
      <c r="G4221" s="34">
        <v>531</v>
      </c>
      <c r="H4221" s="34">
        <v>7420</v>
      </c>
      <c r="I4221" s="34" t="s">
        <v>1359</v>
      </c>
      <c r="J4221" s="48"/>
      <c r="K4221" s="48"/>
      <c r="L4221" s="48"/>
      <c r="M4221" s="48"/>
      <c r="N4221" s="59"/>
      <c r="O4221" s="59"/>
      <c r="P4221" s="59">
        <v>20000</v>
      </c>
      <c r="Q4221" s="268">
        <f t="shared" si="201"/>
        <v>20000</v>
      </c>
      <c r="R4221" s="61">
        <f>IF(O4221=0,0,SUMIFS(Disbursements!$T:$T,Disbursements!$B:$B,'Live Collections'!D4221,Disbursements!$D:$D,'Live Collections'!F4221))</f>
        <v>0</v>
      </c>
      <c r="S4221" s="304">
        <f>IF(O4221&lt;=IF($O4221=0,0,SUMIFS(Disbursements!$W:$W,Disbursements!$B:$B,'Live Collections'!D4221,Disbursements!$D:$D,'Live Collections'!F4221)),O4221,IF($O4221=0,0,SUMIFS(Disbursements!$W:$W,Disbursements!$B:$B,'Live Collections'!D4221,Disbursements!$D:$D,'Live Collections'!F4221)))</f>
        <v>0</v>
      </c>
      <c r="T4221" s="304">
        <f t="shared" si="202"/>
        <v>0</v>
      </c>
      <c r="U4221" s="52"/>
      <c r="V4221" s="34"/>
      <c r="W4221" s="408"/>
    </row>
    <row r="4222" spans="1:23" ht="12.75" customHeight="1" x14ac:dyDescent="0.2">
      <c r="A4222" s="257">
        <v>4232</v>
      </c>
      <c r="B4222" s="44">
        <v>44693</v>
      </c>
      <c r="C4222" s="44">
        <f t="shared" si="200"/>
        <v>44693</v>
      </c>
      <c r="D4222" s="374">
        <v>205</v>
      </c>
      <c r="E4222" s="291" t="str">
        <f>IFERROR(VLOOKUP($D4222,'Clients-Live'!$A:$C,3,0),"")</f>
        <v>OPIRU ALICE</v>
      </c>
      <c r="F4222" s="291">
        <f>IFERROR(INDEX(Disbursements!$D:$D,MATCH('Live Collections'!G4222,Disbursements!$C:$C,0)),"")</f>
        <v>2</v>
      </c>
      <c r="G4222" s="34">
        <v>396</v>
      </c>
      <c r="H4222" s="34">
        <v>7431</v>
      </c>
      <c r="I4222" s="34" t="s">
        <v>1359</v>
      </c>
      <c r="J4222" s="48"/>
      <c r="K4222" s="48"/>
      <c r="L4222" s="48"/>
      <c r="M4222" s="48"/>
      <c r="N4222" s="59"/>
      <c r="O4222" s="59">
        <v>10000</v>
      </c>
      <c r="P4222" s="59"/>
      <c r="Q4222" s="268">
        <f t="shared" si="201"/>
        <v>10000</v>
      </c>
      <c r="R4222" s="61">
        <f>IF(O4222=0,0,SUMIFS(Disbursements!$T:$T,Disbursements!$B:$B,'Live Collections'!D4222,Disbursements!$D:$D,'Live Collections'!F4222))</f>
        <v>40000</v>
      </c>
      <c r="S4222" s="304"/>
      <c r="T4222" s="304">
        <f t="shared" si="202"/>
        <v>10000</v>
      </c>
      <c r="U4222" s="52"/>
      <c r="V4222" s="34"/>
      <c r="W4222" s="408"/>
    </row>
    <row r="4223" spans="1:23" ht="12.75" customHeight="1" x14ac:dyDescent="0.2">
      <c r="A4223" s="257">
        <v>4233</v>
      </c>
      <c r="B4223" s="44">
        <v>44694</v>
      </c>
      <c r="C4223" s="44">
        <f t="shared" si="200"/>
        <v>44694</v>
      </c>
      <c r="D4223" s="374">
        <v>63</v>
      </c>
      <c r="E4223" s="291" t="str">
        <f>IFERROR(VLOOKUP($D4223,'Clients-Live'!$A:$C,3,0),"")</f>
        <v>AWURU KADARA</v>
      </c>
      <c r="F4223" s="291">
        <f>IFERROR(INDEX(Disbursements!$D:$D,MATCH('Live Collections'!G4223,Disbursements!$C:$C,0)),"")</f>
        <v>3</v>
      </c>
      <c r="G4223" s="34">
        <v>375</v>
      </c>
      <c r="H4223" s="34">
        <v>6010</v>
      </c>
      <c r="I4223" s="34" t="s">
        <v>1357</v>
      </c>
      <c r="J4223" s="48"/>
      <c r="K4223" s="48"/>
      <c r="L4223" s="48"/>
      <c r="M4223" s="48"/>
      <c r="N4223" s="59"/>
      <c r="O4223" s="59">
        <v>50000</v>
      </c>
      <c r="P4223" s="59"/>
      <c r="Q4223" s="268">
        <f t="shared" si="201"/>
        <v>50000</v>
      </c>
      <c r="R4223" s="61">
        <f>IF(O4223=0,0,SUMIFS(Disbursements!$T:$T,Disbursements!$B:$B,'Live Collections'!D4223,Disbursements!$D:$D,'Live Collections'!F4223))</f>
        <v>175000</v>
      </c>
      <c r="S4223" s="304"/>
      <c r="T4223" s="304">
        <f t="shared" si="202"/>
        <v>50000</v>
      </c>
      <c r="U4223" s="52"/>
      <c r="V4223" s="34"/>
      <c r="W4223" s="408"/>
    </row>
    <row r="4224" spans="1:23" ht="12.75" customHeight="1" x14ac:dyDescent="0.2">
      <c r="A4224" s="257">
        <v>4234</v>
      </c>
      <c r="B4224" s="44">
        <v>44694</v>
      </c>
      <c r="C4224" s="44">
        <f t="shared" ref="C4224:C4286" si="203">B4224</f>
        <v>44694</v>
      </c>
      <c r="D4224" s="374">
        <v>270</v>
      </c>
      <c r="E4224" s="291" t="str">
        <f>IFERROR(VLOOKUP($D4224,'Clients-Live'!$A:$C,3,0),"")</f>
        <v>AJOBE SAMUEL</v>
      </c>
      <c r="F4224" s="291">
        <f>IFERROR(INDEX(Disbursements!$D:$D,MATCH('Live Collections'!G4224,Disbursements!$C:$C,0)),"")</f>
        <v>2</v>
      </c>
      <c r="G4224" s="34">
        <v>435</v>
      </c>
      <c r="H4224" s="34">
        <v>6006</v>
      </c>
      <c r="I4224" s="34" t="s">
        <v>1359</v>
      </c>
      <c r="J4224" s="48"/>
      <c r="K4224" s="48"/>
      <c r="L4224" s="48"/>
      <c r="M4224" s="48"/>
      <c r="N4224" s="59"/>
      <c r="O4224" s="59">
        <v>100000</v>
      </c>
      <c r="P4224" s="59"/>
      <c r="Q4224" s="268">
        <f t="shared" si="201"/>
        <v>100000</v>
      </c>
      <c r="R4224" s="61">
        <f>IF(O4224=0,0,SUMIFS(Disbursements!$T:$T,Disbursements!$B:$B,'Live Collections'!D4224,Disbursements!$D:$D,'Live Collections'!F4224))</f>
        <v>245000</v>
      </c>
      <c r="S4224" s="304"/>
      <c r="T4224" s="304">
        <f t="shared" si="202"/>
        <v>100000</v>
      </c>
      <c r="U4224" s="52"/>
      <c r="V4224" s="34"/>
      <c r="W4224" s="408"/>
    </row>
    <row r="4225" spans="1:23" ht="12.75" customHeight="1" x14ac:dyDescent="0.2">
      <c r="A4225" s="257">
        <v>4235</v>
      </c>
      <c r="B4225" s="44">
        <v>44694</v>
      </c>
      <c r="C4225" s="44">
        <f t="shared" si="203"/>
        <v>44694</v>
      </c>
      <c r="D4225" s="374">
        <v>74</v>
      </c>
      <c r="E4225" s="291" t="str">
        <f>IFERROR(VLOOKUP($D4225,'Clients-Live'!$A:$C,3,0),"")</f>
        <v>YUKUWE AISHA</v>
      </c>
      <c r="F4225" s="291">
        <f>IFERROR(INDEX(Disbursements!$D:$D,MATCH('Live Collections'!G4225,Disbursements!$C:$C,0)),"")</f>
        <v>3</v>
      </c>
      <c r="G4225" s="34">
        <v>447</v>
      </c>
      <c r="H4225" s="34">
        <v>6008</v>
      </c>
      <c r="I4225" s="34" t="s">
        <v>1358</v>
      </c>
      <c r="J4225" s="48"/>
      <c r="K4225" s="48"/>
      <c r="L4225" s="48"/>
      <c r="M4225" s="48"/>
      <c r="N4225" s="59"/>
      <c r="O4225" s="59">
        <v>16000</v>
      </c>
      <c r="P4225" s="59"/>
      <c r="Q4225" s="268">
        <f t="shared" si="201"/>
        <v>16000</v>
      </c>
      <c r="R4225" s="61">
        <f>IF(O4225=0,0,SUMIFS(Disbursements!$T:$T,Disbursements!$B:$B,'Live Collections'!D4225,Disbursements!$D:$D,'Live Collections'!F4225))</f>
        <v>16000</v>
      </c>
      <c r="S4225" s="304">
        <f>IF(O4225&lt;=IF($O4225=0,0,SUMIFS(Disbursements!$W:$W,Disbursements!$B:$B,'Live Collections'!D4225,Disbursements!$D:$D,'Live Collections'!F4225)),O4225,IF($O4225=0,0,SUMIFS(Disbursements!$W:$W,Disbursements!$B:$B,'Live Collections'!D4225,Disbursements!$D:$D,'Live Collections'!F4225)))</f>
        <v>3500</v>
      </c>
      <c r="T4225" s="304">
        <f t="shared" si="202"/>
        <v>12500</v>
      </c>
      <c r="U4225" s="52"/>
      <c r="V4225" s="34"/>
      <c r="W4225" s="408"/>
    </row>
    <row r="4226" spans="1:23" ht="12.75" customHeight="1" x14ac:dyDescent="0.2">
      <c r="A4226" s="257">
        <v>4236</v>
      </c>
      <c r="B4226" s="44">
        <v>44694</v>
      </c>
      <c r="C4226" s="44">
        <f t="shared" si="203"/>
        <v>44694</v>
      </c>
      <c r="D4226" s="374">
        <v>342</v>
      </c>
      <c r="E4226" s="291" t="str">
        <f>IFERROR(VLOOKUP($D4226,'Clients-Live'!$A:$C,3,0),"")</f>
        <v>NYAUSI SHABAN LAWRENCE</v>
      </c>
      <c r="F4226" s="291">
        <f>IFERROR(INDEX(Disbursements!$D:$D,MATCH('Live Collections'!G4226,Disbursements!$C:$C,0)),"")</f>
        <v>1</v>
      </c>
      <c r="G4226" s="34">
        <v>496</v>
      </c>
      <c r="H4226" s="34">
        <v>6009</v>
      </c>
      <c r="I4226" s="34" t="s">
        <v>1359</v>
      </c>
      <c r="J4226" s="48"/>
      <c r="K4226" s="48"/>
      <c r="L4226" s="48"/>
      <c r="M4226" s="48"/>
      <c r="N4226" s="59"/>
      <c r="O4226" s="59">
        <v>13000</v>
      </c>
      <c r="P4226" s="59"/>
      <c r="Q4226" s="268">
        <f t="shared" si="201"/>
        <v>13000</v>
      </c>
      <c r="R4226" s="61">
        <f>IF(O4226=0,0,SUMIFS(Disbursements!$T:$T,Disbursements!$B:$B,'Live Collections'!D4226,Disbursements!$D:$D,'Live Collections'!F4226))</f>
        <v>133000</v>
      </c>
      <c r="S4226" s="304">
        <f>IF(O4226&lt;=IF($O4226=0,0,SUMIFS(Disbursements!$W:$W,Disbursements!$B:$B,'Live Collections'!D4226,Disbursements!$D:$D,'Live Collections'!F4226)),O4226,IF($O4226=0,0,SUMIFS(Disbursements!$W:$W,Disbursements!$B:$B,'Live Collections'!D4226,Disbursements!$D:$D,'Live Collections'!F4226)))</f>
        <v>13000</v>
      </c>
      <c r="T4226" s="304">
        <f t="shared" si="202"/>
        <v>0</v>
      </c>
      <c r="U4226" s="52"/>
      <c r="V4226" s="34"/>
      <c r="W4226" s="408"/>
    </row>
    <row r="4227" spans="1:23" ht="12.75" customHeight="1" x14ac:dyDescent="0.2">
      <c r="A4227" s="257">
        <v>4237</v>
      </c>
      <c r="B4227" s="44">
        <v>44694</v>
      </c>
      <c r="C4227" s="44">
        <f t="shared" si="203"/>
        <v>44694</v>
      </c>
      <c r="D4227" s="374">
        <v>156</v>
      </c>
      <c r="E4227" s="291" t="str">
        <f>IFERROR(VLOOKUP($D4227,'Clients-Live'!$A:$C,3,0),"")</f>
        <v xml:space="preserve">ONIBA AISHA </v>
      </c>
      <c r="F4227" s="291">
        <f>IFERROR(INDEX(Disbursements!$D:$D,MATCH('Live Collections'!G4227,Disbursements!$C:$C,0)),"")</f>
        <v>4</v>
      </c>
      <c r="G4227" s="34">
        <v>348</v>
      </c>
      <c r="H4227" s="34" t="s">
        <v>2422</v>
      </c>
      <c r="I4227" s="34" t="s">
        <v>1358</v>
      </c>
      <c r="J4227" s="48"/>
      <c r="K4227" s="48"/>
      <c r="L4227" s="48"/>
      <c r="M4227" s="48"/>
      <c r="N4227" s="59"/>
      <c r="O4227" s="59">
        <v>350000</v>
      </c>
      <c r="P4227" s="59">
        <v>-350000</v>
      </c>
      <c r="Q4227" s="268">
        <f t="shared" si="201"/>
        <v>0</v>
      </c>
      <c r="R4227" s="61">
        <f>IF(O4227=0,0,SUMIFS(Disbursements!$T:$T,Disbursements!$B:$B,'Live Collections'!D4227,Disbursements!$D:$D,'Live Collections'!F4227))</f>
        <v>1925000</v>
      </c>
      <c r="S4227" s="304"/>
      <c r="T4227" s="304">
        <f t="shared" si="202"/>
        <v>350000</v>
      </c>
      <c r="U4227" s="52"/>
      <c r="V4227" s="34"/>
      <c r="W4227" s="408"/>
    </row>
    <row r="4228" spans="1:23" ht="12.75" customHeight="1" x14ac:dyDescent="0.2">
      <c r="A4228" s="257">
        <v>4238</v>
      </c>
      <c r="B4228" s="44">
        <v>44694</v>
      </c>
      <c r="C4228" s="44">
        <f t="shared" si="203"/>
        <v>44694</v>
      </c>
      <c r="D4228" s="374">
        <v>72</v>
      </c>
      <c r="E4228" s="291" t="str">
        <f>IFERROR(VLOOKUP($D4228,'Clients-Live'!$A:$C,3,0),"")</f>
        <v>MUNDURU MERCY</v>
      </c>
      <c r="F4228" s="291">
        <f>IFERROR(INDEX(Disbursements!$D:$D,MATCH('Live Collections'!G4228,Disbursements!$C:$C,0)),"")</f>
        <v>3</v>
      </c>
      <c r="G4228" s="34">
        <v>502</v>
      </c>
      <c r="H4228" s="34">
        <v>6002</v>
      </c>
      <c r="I4228" s="34" t="s">
        <v>1358</v>
      </c>
      <c r="J4228" s="48"/>
      <c r="K4228" s="48"/>
      <c r="L4228" s="48"/>
      <c r="M4228" s="48"/>
      <c r="N4228" s="59"/>
      <c r="O4228" s="59">
        <v>417000</v>
      </c>
      <c r="P4228" s="59"/>
      <c r="Q4228" s="268">
        <f t="shared" si="201"/>
        <v>417000</v>
      </c>
      <c r="R4228" s="61">
        <f>IF(O4228=0,0,SUMIFS(Disbursements!$T:$T,Disbursements!$B:$B,'Live Collections'!D4228,Disbursements!$D:$D,'Live Collections'!F4228))</f>
        <v>417000</v>
      </c>
      <c r="S4228" s="304">
        <f>IF(O4228&lt;=IF($O4228=0,0,SUMIFS(Disbursements!$W:$W,Disbursements!$B:$B,'Live Collections'!D4228,Disbursements!$D:$D,'Live Collections'!F4228)),O4228,IF($O4228=0,0,SUMIFS(Disbursements!$W:$W,Disbursements!$B:$B,'Live Collections'!D4228,Disbursements!$D:$D,'Live Collections'!F4228)))</f>
        <v>117000</v>
      </c>
      <c r="T4228" s="304">
        <f t="shared" si="202"/>
        <v>300000</v>
      </c>
      <c r="U4228" s="52"/>
      <c r="V4228" s="34"/>
      <c r="W4228" s="408"/>
    </row>
    <row r="4229" spans="1:23" ht="12.75" customHeight="1" x14ac:dyDescent="0.2">
      <c r="A4229" s="257">
        <v>4239</v>
      </c>
      <c r="B4229" s="44">
        <v>44694</v>
      </c>
      <c r="C4229" s="44">
        <f t="shared" si="203"/>
        <v>44694</v>
      </c>
      <c r="D4229" s="374">
        <v>30</v>
      </c>
      <c r="E4229" s="291" t="str">
        <f>IFERROR(VLOOKUP($D4229,'Clients-Live'!$A:$C,3,0),"")</f>
        <v>SITARAYA PATRICIA IDERU</v>
      </c>
      <c r="F4229" s="291" t="str">
        <f>IFERROR(INDEX(Disbursements!$D:$D,MATCH('Live Collections'!G4229,Disbursements!$C:$C,0)),"")</f>
        <v/>
      </c>
      <c r="G4229" s="34"/>
      <c r="H4229" s="34">
        <v>6003</v>
      </c>
      <c r="I4229" s="34" t="s">
        <v>1358</v>
      </c>
      <c r="J4229" s="48"/>
      <c r="K4229" s="48"/>
      <c r="L4229" s="48">
        <v>15000</v>
      </c>
      <c r="M4229" s="48">
        <v>5000</v>
      </c>
      <c r="N4229" s="59"/>
      <c r="O4229" s="59"/>
      <c r="P4229" s="59"/>
      <c r="Q4229" s="268">
        <f t="shared" si="201"/>
        <v>20000</v>
      </c>
      <c r="R4229" s="61">
        <f>IF(O4229=0,0,SUMIFS(Disbursements!$T:$T,Disbursements!$B:$B,'Live Collections'!D4229,Disbursements!$D:$D,'Live Collections'!F4229))</f>
        <v>0</v>
      </c>
      <c r="S4229" s="304">
        <f>IF(O4229&lt;=IF($O4229=0,0,SUMIFS(Disbursements!$W:$W,Disbursements!$B:$B,'Live Collections'!D4229,Disbursements!$D:$D,'Live Collections'!F4229)),O4229,IF($O4229=0,0,SUMIFS(Disbursements!$W:$W,Disbursements!$B:$B,'Live Collections'!D4229,Disbursements!$D:$D,'Live Collections'!F4229)))</f>
        <v>0</v>
      </c>
      <c r="T4229" s="304">
        <f t="shared" si="202"/>
        <v>0</v>
      </c>
      <c r="U4229" s="52"/>
      <c r="V4229" s="34"/>
      <c r="W4229" s="408"/>
    </row>
    <row r="4230" spans="1:23" ht="12.75" customHeight="1" x14ac:dyDescent="0.2">
      <c r="A4230" s="257">
        <v>4240</v>
      </c>
      <c r="B4230" s="44">
        <v>44694</v>
      </c>
      <c r="C4230" s="44">
        <f t="shared" si="203"/>
        <v>44694</v>
      </c>
      <c r="D4230" s="374">
        <v>13</v>
      </c>
      <c r="E4230" s="291" t="str">
        <f>IFERROR(VLOOKUP($D4230,'Clients-Live'!$A:$C,3,0),"")</f>
        <v>ALLONE AMOS DAMAI</v>
      </c>
      <c r="F4230" s="291">
        <f>IFERROR(INDEX(Disbursements!$D:$D,MATCH('Live Collections'!G4230,Disbursements!$C:$C,0)),"")</f>
        <v>2</v>
      </c>
      <c r="G4230" s="34">
        <v>509</v>
      </c>
      <c r="H4230" s="34">
        <v>6004</v>
      </c>
      <c r="I4230" s="34" t="s">
        <v>1359</v>
      </c>
      <c r="J4230" s="48"/>
      <c r="K4230" s="48"/>
      <c r="L4230" s="48"/>
      <c r="M4230" s="48"/>
      <c r="N4230" s="59"/>
      <c r="O4230" s="59">
        <v>231700</v>
      </c>
      <c r="P4230" s="59"/>
      <c r="Q4230" s="268">
        <f t="shared" si="201"/>
        <v>231700</v>
      </c>
      <c r="R4230" s="61">
        <f>IF(O4230=0,0,SUMIFS(Disbursements!$T:$T,Disbursements!$B:$B,'Live Collections'!D4230,Disbursements!$D:$D,'Live Collections'!F4230))</f>
        <v>232000</v>
      </c>
      <c r="S4230" s="304">
        <f>IF(O4230&lt;=IF($O4230=0,0,SUMIFS(Disbursements!$W:$W,Disbursements!$B:$B,'Live Collections'!D4230,Disbursements!$D:$D,'Live Collections'!F4230)),O4230,IF($O4230=0,0,SUMIFS(Disbursements!$W:$W,Disbursements!$B:$B,'Live Collections'!D4230,Disbursements!$D:$D,'Live Collections'!F4230)))</f>
        <v>65333.333333333343</v>
      </c>
      <c r="T4230" s="304">
        <f t="shared" si="202"/>
        <v>166366.66666666666</v>
      </c>
      <c r="U4230" s="52"/>
      <c r="V4230" s="34"/>
      <c r="W4230" s="408"/>
    </row>
    <row r="4231" spans="1:23" ht="12.75" customHeight="1" x14ac:dyDescent="0.2">
      <c r="A4231" s="257">
        <v>4241</v>
      </c>
      <c r="B4231" s="44">
        <v>44694</v>
      </c>
      <c r="C4231" s="44">
        <f t="shared" si="203"/>
        <v>44694</v>
      </c>
      <c r="D4231" s="374">
        <v>156</v>
      </c>
      <c r="E4231" s="291" t="str">
        <f>IFERROR(VLOOKUP($D4231,'Clients-Live'!$A:$C,3,0),"")</f>
        <v xml:space="preserve">ONIBA AISHA </v>
      </c>
      <c r="F4231" s="291">
        <f>IFERROR(INDEX(Disbursements!$D:$D,MATCH('Live Collections'!G4231,Disbursements!$C:$C,0)),"")</f>
        <v>4</v>
      </c>
      <c r="G4231" s="34">
        <v>348</v>
      </c>
      <c r="H4231" s="34">
        <v>6005</v>
      </c>
      <c r="I4231" s="34" t="s">
        <v>1358</v>
      </c>
      <c r="J4231" s="48"/>
      <c r="K4231" s="48"/>
      <c r="L4231" s="48"/>
      <c r="M4231" s="48"/>
      <c r="N4231" s="59"/>
      <c r="O4231" s="59">
        <v>100000</v>
      </c>
      <c r="P4231" s="59"/>
      <c r="Q4231" s="268">
        <f t="shared" si="201"/>
        <v>100000</v>
      </c>
      <c r="R4231" s="61">
        <f>IF(O4231=0,0,SUMIFS(Disbursements!$T:$T,Disbursements!$B:$B,'Live Collections'!D4231,Disbursements!$D:$D,'Live Collections'!F4231))</f>
        <v>1925000</v>
      </c>
      <c r="S4231" s="304"/>
      <c r="T4231" s="304">
        <f t="shared" si="202"/>
        <v>100000</v>
      </c>
      <c r="U4231" s="52"/>
      <c r="V4231" s="34"/>
      <c r="W4231" s="408"/>
    </row>
    <row r="4232" spans="1:23" ht="12.75" customHeight="1" x14ac:dyDescent="0.2">
      <c r="A4232" s="257">
        <v>4242</v>
      </c>
      <c r="B4232" s="44">
        <v>44694</v>
      </c>
      <c r="C4232" s="44">
        <f t="shared" si="203"/>
        <v>44694</v>
      </c>
      <c r="D4232" s="374">
        <v>300</v>
      </c>
      <c r="E4232" s="291" t="str">
        <f>IFERROR(VLOOKUP($D4232,'Clients-Live'!$A:$C,3,0),"")</f>
        <v>AYA ZAINABU</v>
      </c>
      <c r="F4232" s="291">
        <f>IFERROR(INDEX(Disbursements!$D:$D,MATCH('Live Collections'!G4232,Disbursements!$C:$C,0)),"")</f>
        <v>1</v>
      </c>
      <c r="G4232" s="34">
        <v>364</v>
      </c>
      <c r="H4232" s="34">
        <v>7433</v>
      </c>
      <c r="I4232" s="34" t="s">
        <v>1358</v>
      </c>
      <c r="J4232" s="48"/>
      <c r="K4232" s="48"/>
      <c r="L4232" s="48"/>
      <c r="M4232" s="48"/>
      <c r="N4232" s="59"/>
      <c r="O4232" s="59">
        <v>20000</v>
      </c>
      <c r="P4232" s="59"/>
      <c r="Q4232" s="268">
        <f t="shared" si="201"/>
        <v>20000</v>
      </c>
      <c r="R4232" s="61">
        <f>IF(O4232=0,0,SUMIFS(Disbursements!$T:$T,Disbursements!$B:$B,'Live Collections'!D4232,Disbursements!$D:$D,'Live Collections'!F4232))</f>
        <v>150000</v>
      </c>
      <c r="S4232" s="304"/>
      <c r="T4232" s="304">
        <f t="shared" si="202"/>
        <v>20000</v>
      </c>
      <c r="U4232" s="52"/>
      <c r="V4232" s="34"/>
      <c r="W4232" s="408"/>
    </row>
    <row r="4233" spans="1:23" ht="12.75" customHeight="1" x14ac:dyDescent="0.2">
      <c r="A4233" s="257">
        <v>4243</v>
      </c>
      <c r="B4233" s="44">
        <v>44694</v>
      </c>
      <c r="C4233" s="44">
        <f t="shared" si="203"/>
        <v>44694</v>
      </c>
      <c r="D4233" s="374">
        <v>340</v>
      </c>
      <c r="E4233" s="291" t="str">
        <f>IFERROR(VLOOKUP($D4233,'Clients-Live'!$A:$C,3,0),"")</f>
        <v>NIGHT RAIMA</v>
      </c>
      <c r="F4233" s="291">
        <f>IFERROR(INDEX(Disbursements!$D:$D,MATCH('Live Collections'!G4233,Disbursements!$C:$C,0)),"")</f>
        <v>1</v>
      </c>
      <c r="G4233" s="34">
        <v>481</v>
      </c>
      <c r="H4233" s="34">
        <v>7434</v>
      </c>
      <c r="I4233" s="34" t="s">
        <v>1358</v>
      </c>
      <c r="J4233" s="48"/>
      <c r="K4233" s="48"/>
      <c r="L4233" s="48"/>
      <c r="M4233" s="48"/>
      <c r="N4233" s="59"/>
      <c r="O4233" s="59">
        <v>40000</v>
      </c>
      <c r="P4233" s="59"/>
      <c r="Q4233" s="268">
        <f t="shared" si="201"/>
        <v>40000</v>
      </c>
      <c r="R4233" s="61">
        <f>IF(O4233=0,0,SUMIFS(Disbursements!$T:$T,Disbursements!$B:$B,'Live Collections'!D4233,Disbursements!$D:$D,'Live Collections'!F4233))</f>
        <v>40000</v>
      </c>
      <c r="S4233" s="304">
        <f>IF(O4233&lt;=IF($O4233=0,0,SUMIFS(Disbursements!$W:$W,Disbursements!$B:$B,'Live Collections'!D4233,Disbursements!$D:$D,'Live Collections'!F4233)),O4233,IF($O4233=0,0,SUMIFS(Disbursements!$W:$W,Disbursements!$B:$B,'Live Collections'!D4233,Disbursements!$D:$D,'Live Collections'!F4233)))</f>
        <v>10000</v>
      </c>
      <c r="T4233" s="304">
        <f t="shared" si="202"/>
        <v>30000</v>
      </c>
      <c r="U4233" s="52"/>
      <c r="V4233" s="34"/>
      <c r="W4233" s="408"/>
    </row>
    <row r="4234" spans="1:23" ht="12.75" customHeight="1" x14ac:dyDescent="0.2">
      <c r="A4234" s="257">
        <v>4244</v>
      </c>
      <c r="B4234" s="44">
        <v>44694</v>
      </c>
      <c r="C4234" s="44">
        <f t="shared" si="203"/>
        <v>44694</v>
      </c>
      <c r="D4234" s="374">
        <v>179</v>
      </c>
      <c r="E4234" s="291" t="str">
        <f>IFERROR(VLOOKUP($D4234,'Clients-Live'!$A:$C,3,0),"")</f>
        <v>GERIA VIOLA</v>
      </c>
      <c r="F4234" s="291">
        <f>IFERROR(INDEX(Disbursements!$D:$D,MATCH('Live Collections'!G4234,Disbursements!$C:$C,0)),"")</f>
        <v>3</v>
      </c>
      <c r="G4234" s="34">
        <v>506</v>
      </c>
      <c r="H4234" s="34">
        <v>7436</v>
      </c>
      <c r="I4234" s="34" t="s">
        <v>1359</v>
      </c>
      <c r="J4234" s="48"/>
      <c r="K4234" s="48"/>
      <c r="L4234" s="48"/>
      <c r="M4234" s="48"/>
      <c r="N4234" s="59"/>
      <c r="O4234" s="59">
        <v>200000</v>
      </c>
      <c r="P4234" s="59"/>
      <c r="Q4234" s="268">
        <f t="shared" si="201"/>
        <v>200000</v>
      </c>
      <c r="R4234" s="61">
        <f>IF(O4234=0,0,SUMIFS(Disbursements!$T:$T,Disbursements!$B:$B,'Live Collections'!D4234,Disbursements!$D:$D,'Live Collections'!F4234))</f>
        <v>221000</v>
      </c>
      <c r="S4234" s="304">
        <f>IF(O4234&lt;=IF($O4234=0,0,SUMIFS(Disbursements!$W:$W,Disbursements!$B:$B,'Live Collections'!D4234,Disbursements!$D:$D,'Live Collections'!F4234)),O4234,IF($O4234=0,0,SUMIFS(Disbursements!$W:$W,Disbursements!$B:$B,'Live Collections'!D4234,Disbursements!$D:$D,'Live Collections'!F4234)))</f>
        <v>46000</v>
      </c>
      <c r="T4234" s="304">
        <f t="shared" si="202"/>
        <v>154000</v>
      </c>
      <c r="U4234" s="52"/>
      <c r="V4234" s="34"/>
      <c r="W4234" s="408"/>
    </row>
    <row r="4235" spans="1:23" ht="12.75" customHeight="1" x14ac:dyDescent="0.2">
      <c r="A4235" s="257">
        <v>4245</v>
      </c>
      <c r="B4235" s="44">
        <v>44694</v>
      </c>
      <c r="C4235" s="44">
        <f t="shared" si="203"/>
        <v>44694</v>
      </c>
      <c r="D4235" s="374">
        <v>213</v>
      </c>
      <c r="E4235" s="291" t="str">
        <f>IFERROR(VLOOKUP($D4235,'Clients-Live'!$A:$C,3,0),"")</f>
        <v>ATIKURU NADIA</v>
      </c>
      <c r="F4235" s="291">
        <f>IFERROR(INDEX(Disbursements!$D:$D,MATCH('Live Collections'!G4235,Disbursements!$C:$C,0)),"")</f>
        <v>2</v>
      </c>
      <c r="G4235" s="34">
        <v>378</v>
      </c>
      <c r="H4235" s="34">
        <v>7437</v>
      </c>
      <c r="I4235" s="34" t="s">
        <v>1358</v>
      </c>
      <c r="J4235" s="48"/>
      <c r="K4235" s="48"/>
      <c r="L4235" s="48"/>
      <c r="M4235" s="48"/>
      <c r="N4235" s="59"/>
      <c r="O4235" s="59">
        <v>30000</v>
      </c>
      <c r="P4235" s="59"/>
      <c r="Q4235" s="268">
        <f t="shared" si="201"/>
        <v>30000</v>
      </c>
      <c r="R4235" s="61">
        <f>IF(O4235=0,0,SUMIFS(Disbursements!$T:$T,Disbursements!$B:$B,'Live Collections'!D4235,Disbursements!$D:$D,'Live Collections'!F4235))</f>
        <v>300000</v>
      </c>
      <c r="S4235" s="304"/>
      <c r="T4235" s="304">
        <f t="shared" si="202"/>
        <v>30000</v>
      </c>
      <c r="U4235" s="52"/>
      <c r="V4235" s="34"/>
      <c r="W4235" s="408"/>
    </row>
    <row r="4236" spans="1:23" ht="12.75" customHeight="1" x14ac:dyDescent="0.2">
      <c r="A4236" s="257">
        <v>4246</v>
      </c>
      <c r="B4236" s="44">
        <v>44694</v>
      </c>
      <c r="C4236" s="44">
        <f t="shared" si="203"/>
        <v>44694</v>
      </c>
      <c r="D4236" s="374">
        <v>40</v>
      </c>
      <c r="E4236" s="291" t="str">
        <f>IFERROR(VLOOKUP($D4236,'Clients-Live'!$A:$C,3,0),"")</f>
        <v>TABU JANE</v>
      </c>
      <c r="F4236" s="291">
        <f>IFERROR(INDEX(Disbursements!$D:$D,MATCH('Live Collections'!G4236,Disbursements!$C:$C,0)),"")</f>
        <v>2</v>
      </c>
      <c r="G4236" s="34">
        <v>230</v>
      </c>
      <c r="H4236" s="34">
        <v>7438</v>
      </c>
      <c r="I4236" s="34" t="s">
        <v>1358</v>
      </c>
      <c r="J4236" s="48"/>
      <c r="K4236" s="48"/>
      <c r="L4236" s="48"/>
      <c r="M4236" s="48"/>
      <c r="N4236" s="59"/>
      <c r="O4236" s="59">
        <v>20000</v>
      </c>
      <c r="P4236" s="59"/>
      <c r="Q4236" s="268">
        <f t="shared" si="201"/>
        <v>20000</v>
      </c>
      <c r="R4236" s="61">
        <f>IF(O4236=0,0,SUMIFS(Disbursements!$T:$T,Disbursements!$B:$B,'Live Collections'!D4236,Disbursements!$D:$D,'Live Collections'!F4236))</f>
        <v>217000</v>
      </c>
      <c r="S4236" s="304"/>
      <c r="T4236" s="304">
        <f t="shared" si="202"/>
        <v>20000</v>
      </c>
      <c r="U4236" s="52"/>
      <c r="V4236" s="34"/>
      <c r="W4236" s="408"/>
    </row>
    <row r="4237" spans="1:23" ht="12.75" customHeight="1" x14ac:dyDescent="0.2">
      <c r="A4237" s="257">
        <v>4247</v>
      </c>
      <c r="B4237" s="44">
        <v>44694</v>
      </c>
      <c r="C4237" s="44">
        <f t="shared" si="203"/>
        <v>44694</v>
      </c>
      <c r="D4237" s="374">
        <v>85</v>
      </c>
      <c r="E4237" s="291" t="str">
        <f>IFERROR(VLOOKUP($D4237,'Clients-Live'!$A:$C,3,0),"")</f>
        <v>CEASER SWALEH</v>
      </c>
      <c r="F4237" s="291">
        <f>IFERROR(INDEX(Disbursements!$D:$D,MATCH('Live Collections'!G4237,Disbursements!$C:$C,0)),"")</f>
        <v>3</v>
      </c>
      <c r="G4237" s="34">
        <v>413</v>
      </c>
      <c r="H4237" s="34">
        <v>7439</v>
      </c>
      <c r="I4237" s="34" t="s">
        <v>1357</v>
      </c>
      <c r="J4237" s="48"/>
      <c r="K4237" s="48"/>
      <c r="L4237" s="48"/>
      <c r="M4237" s="48"/>
      <c r="N4237" s="59"/>
      <c r="O4237" s="59">
        <v>150000</v>
      </c>
      <c r="P4237" s="59"/>
      <c r="Q4237" s="268">
        <f t="shared" si="201"/>
        <v>150000</v>
      </c>
      <c r="R4237" s="61">
        <f>IF(O4237=0,0,SUMIFS(Disbursements!$T:$T,Disbursements!$B:$B,'Live Collections'!D4237,Disbursements!$D:$D,'Live Collections'!F4237))</f>
        <v>788000</v>
      </c>
      <c r="S4237" s="304"/>
      <c r="T4237" s="304">
        <f t="shared" si="202"/>
        <v>150000</v>
      </c>
      <c r="U4237" s="52"/>
      <c r="V4237" s="34"/>
      <c r="W4237" s="408"/>
    </row>
    <row r="4238" spans="1:23" ht="12.75" customHeight="1" x14ac:dyDescent="0.2">
      <c r="A4238" s="257">
        <v>4248</v>
      </c>
      <c r="B4238" s="44">
        <v>44695</v>
      </c>
      <c r="C4238" s="44">
        <f t="shared" si="203"/>
        <v>44695</v>
      </c>
      <c r="D4238" s="374">
        <v>261</v>
      </c>
      <c r="E4238" s="291" t="str">
        <f>IFERROR(VLOOKUP($D4238,'Clients-Live'!$A:$C,3,0),"")</f>
        <v>AMANIYO STELLA</v>
      </c>
      <c r="F4238" s="291">
        <f>IFERROR(INDEX(Disbursements!$D:$D,MATCH('Live Collections'!G4238,Disbursements!$C:$C,0)),"")</f>
        <v>2</v>
      </c>
      <c r="G4238" s="34">
        <v>429</v>
      </c>
      <c r="H4238" s="34">
        <v>6015</v>
      </c>
      <c r="I4238" s="34" t="s">
        <v>1359</v>
      </c>
      <c r="J4238" s="48"/>
      <c r="K4238" s="48"/>
      <c r="L4238" s="48"/>
      <c r="M4238" s="48"/>
      <c r="N4238" s="59"/>
      <c r="O4238" s="59">
        <v>57600</v>
      </c>
      <c r="P4238" s="59"/>
      <c r="Q4238" s="268">
        <f t="shared" si="201"/>
        <v>57600</v>
      </c>
      <c r="R4238" s="61">
        <f>IF(O4238=0,0,SUMIFS(Disbursements!$T:$T,Disbursements!$B:$B,'Live Collections'!D4238,Disbursements!$D:$D,'Live Collections'!F4238))</f>
        <v>142000</v>
      </c>
      <c r="S4238" s="304"/>
      <c r="T4238" s="304">
        <f t="shared" si="202"/>
        <v>57600</v>
      </c>
      <c r="U4238" s="52"/>
      <c r="V4238" s="34"/>
      <c r="W4238" s="408"/>
    </row>
    <row r="4239" spans="1:23" ht="12.75" customHeight="1" x14ac:dyDescent="0.2">
      <c r="A4239" s="257">
        <v>4249</v>
      </c>
      <c r="B4239" s="44">
        <v>44695</v>
      </c>
      <c r="C4239" s="44">
        <f t="shared" si="203"/>
        <v>44695</v>
      </c>
      <c r="D4239" s="374">
        <v>261</v>
      </c>
      <c r="E4239" s="291" t="str">
        <f>IFERROR(VLOOKUP($D4239,'Clients-Live'!$A:$C,3,0),"")</f>
        <v>AMANIYO STELLA</v>
      </c>
      <c r="F4239" s="291">
        <f>IFERROR(INDEX(Disbursements!$D:$D,MATCH('Live Collections'!G4239,Disbursements!$C:$C,0)),"")</f>
        <v>2</v>
      </c>
      <c r="G4239" s="34">
        <v>429</v>
      </c>
      <c r="H4239" s="34" t="s">
        <v>2423</v>
      </c>
      <c r="I4239" s="34" t="s">
        <v>1359</v>
      </c>
      <c r="J4239" s="48"/>
      <c r="K4239" s="48"/>
      <c r="L4239" s="48"/>
      <c r="M4239" s="48"/>
      <c r="N4239" s="59"/>
      <c r="O4239" s="59">
        <v>25000</v>
      </c>
      <c r="P4239" s="59">
        <v>-25000</v>
      </c>
      <c r="Q4239" s="268">
        <f t="shared" si="201"/>
        <v>0</v>
      </c>
      <c r="R4239" s="61">
        <f>IF(O4239=0,0,SUMIFS(Disbursements!$T:$T,Disbursements!$B:$B,'Live Collections'!D4239,Disbursements!$D:$D,'Live Collections'!F4239))</f>
        <v>142000</v>
      </c>
      <c r="S4239" s="304"/>
      <c r="T4239" s="304">
        <f t="shared" si="202"/>
        <v>25000</v>
      </c>
      <c r="U4239" s="52"/>
      <c r="V4239" s="34"/>
      <c r="W4239" s="408"/>
    </row>
    <row r="4240" spans="1:23" ht="12.75" customHeight="1" x14ac:dyDescent="0.2">
      <c r="A4240" s="257">
        <v>4250</v>
      </c>
      <c r="B4240" s="44">
        <v>44695</v>
      </c>
      <c r="C4240" s="44">
        <f t="shared" si="203"/>
        <v>44695</v>
      </c>
      <c r="D4240" s="374">
        <v>257</v>
      </c>
      <c r="E4240" s="291" t="str">
        <f>IFERROR(VLOOKUP($D4240,'Clients-Live'!$A:$C,3,0),"")</f>
        <v>CHANDIGA CYRUS</v>
      </c>
      <c r="F4240" s="291">
        <f>IFERROR(INDEX(Disbursements!$D:$D,MATCH('Live Collections'!G4240,Disbursements!$C:$C,0)),"")</f>
        <v>2</v>
      </c>
      <c r="G4240" s="34">
        <v>438</v>
      </c>
      <c r="H4240" s="34">
        <v>7441</v>
      </c>
      <c r="I4240" s="34" t="s">
        <v>1359</v>
      </c>
      <c r="J4240" s="48"/>
      <c r="K4240" s="48"/>
      <c r="L4240" s="48"/>
      <c r="M4240" s="48"/>
      <c r="N4240" s="59"/>
      <c r="O4240" s="59">
        <v>146300</v>
      </c>
      <c r="P4240" s="59"/>
      <c r="Q4240" s="268">
        <f t="shared" si="201"/>
        <v>146300</v>
      </c>
      <c r="R4240" s="61">
        <f>IF(O4240=0,0,SUMIFS(Disbursements!$T:$T,Disbursements!$B:$B,'Live Collections'!D4240,Disbursements!$D:$D,'Live Collections'!F4240))</f>
        <v>162000</v>
      </c>
      <c r="S4240" s="304">
        <f>IF(O4240&lt;=IF($O4240=0,0,SUMIFS(Disbursements!$W:$W,Disbursements!$B:$B,'Live Collections'!D4240,Disbursements!$D:$D,'Live Collections'!F4240)),O4240,IF($O4240=0,0,SUMIFS(Disbursements!$W:$W,Disbursements!$B:$B,'Live Collections'!D4240,Disbursements!$D:$D,'Live Collections'!F4240)))</f>
        <v>12000</v>
      </c>
      <c r="T4240" s="304">
        <f t="shared" si="202"/>
        <v>134300</v>
      </c>
      <c r="U4240" s="52"/>
      <c r="V4240" s="34"/>
      <c r="W4240" s="408"/>
    </row>
    <row r="4241" spans="1:23" ht="12.75" customHeight="1" x14ac:dyDescent="0.2">
      <c r="A4241" s="257">
        <v>4251</v>
      </c>
      <c r="B4241" s="44">
        <v>44695</v>
      </c>
      <c r="C4241" s="44">
        <f t="shared" si="203"/>
        <v>44695</v>
      </c>
      <c r="D4241" s="374">
        <v>257</v>
      </c>
      <c r="E4241" s="291" t="str">
        <f>IFERROR(VLOOKUP($D4241,'Clients-Live'!$A:$C,3,0),"")</f>
        <v>CHANDIGA CYRUS</v>
      </c>
      <c r="F4241" s="291">
        <f>IFERROR(INDEX(Disbursements!$D:$D,MATCH('Live Collections'!G4241,Disbursements!$C:$C,0)),"")</f>
        <v>2</v>
      </c>
      <c r="G4241" s="34">
        <v>438</v>
      </c>
      <c r="H4241" s="34" t="s">
        <v>2424</v>
      </c>
      <c r="I4241" s="34" t="s">
        <v>1359</v>
      </c>
      <c r="J4241" s="48"/>
      <c r="K4241" s="48"/>
      <c r="L4241" s="48"/>
      <c r="M4241" s="48"/>
      <c r="N4241" s="59"/>
      <c r="O4241" s="59">
        <v>15000</v>
      </c>
      <c r="P4241" s="59">
        <v>-15000</v>
      </c>
      <c r="Q4241" s="268">
        <f t="shared" si="201"/>
        <v>0</v>
      </c>
      <c r="R4241" s="61">
        <f>IF(O4241=0,0,SUMIFS(Disbursements!$T:$T,Disbursements!$B:$B,'Live Collections'!D4241,Disbursements!$D:$D,'Live Collections'!F4241))</f>
        <v>162000</v>
      </c>
      <c r="S4241" s="304"/>
      <c r="T4241" s="304">
        <f t="shared" si="202"/>
        <v>15000</v>
      </c>
      <c r="U4241" s="52"/>
      <c r="V4241" s="34"/>
      <c r="W4241" s="408"/>
    </row>
    <row r="4242" spans="1:23" ht="12.75" customHeight="1" x14ac:dyDescent="0.2">
      <c r="A4242" s="257">
        <v>4252</v>
      </c>
      <c r="B4242" s="44">
        <v>44695</v>
      </c>
      <c r="C4242" s="44">
        <f t="shared" si="203"/>
        <v>44695</v>
      </c>
      <c r="D4242" s="374">
        <v>169</v>
      </c>
      <c r="E4242" s="291" t="str">
        <f>IFERROR(VLOOKUP($D4242,'Clients-Live'!$A:$C,3,0),"")</f>
        <v>KATO KENNEDY</v>
      </c>
      <c r="F4242" s="291">
        <f>IFERROR(INDEX(Disbursements!$D:$D,MATCH('Live Collections'!G4242,Disbursements!$C:$C,0)),"")</f>
        <v>2</v>
      </c>
      <c r="G4242" s="34">
        <v>394</v>
      </c>
      <c r="H4242" s="34">
        <v>6053</v>
      </c>
      <c r="I4242" s="34" t="s">
        <v>1357</v>
      </c>
      <c r="J4242" s="48"/>
      <c r="K4242" s="48"/>
      <c r="L4242" s="48"/>
      <c r="M4242" s="48"/>
      <c r="N4242" s="59"/>
      <c r="O4242" s="59">
        <v>58000</v>
      </c>
      <c r="P4242" s="59"/>
      <c r="Q4242" s="268">
        <f t="shared" si="201"/>
        <v>58000</v>
      </c>
      <c r="R4242" s="61">
        <f>IF(O4242=0,0,SUMIFS(Disbursements!$T:$T,Disbursements!$B:$B,'Live Collections'!D4242,Disbursements!$D:$D,'Live Collections'!F4242))</f>
        <v>58000</v>
      </c>
      <c r="S4242" s="304">
        <f>IF(O4242&lt;=IF($O4242=0,0,SUMIFS(Disbursements!$W:$W,Disbursements!$B:$B,'Live Collections'!D4242,Disbursements!$D:$D,'Live Collections'!F4242)),O4242,IF($O4242=0,0,SUMIFS(Disbursements!$W:$W,Disbursements!$B:$B,'Live Collections'!D4242,Disbursements!$D:$D,'Live Collections'!F4242)))</f>
        <v>16333.333333333336</v>
      </c>
      <c r="T4242" s="304">
        <f t="shared" si="202"/>
        <v>41666.666666666664</v>
      </c>
      <c r="U4242" s="52"/>
      <c r="V4242" s="34"/>
      <c r="W4242" s="408"/>
    </row>
    <row r="4243" spans="1:23" ht="12.75" customHeight="1" x14ac:dyDescent="0.2">
      <c r="A4243" s="257">
        <v>4253</v>
      </c>
      <c r="B4243" s="44">
        <v>44695</v>
      </c>
      <c r="C4243" s="44">
        <f t="shared" si="203"/>
        <v>44695</v>
      </c>
      <c r="D4243" s="374">
        <v>128</v>
      </c>
      <c r="E4243" s="291" t="str">
        <f>IFERROR(VLOOKUP($D4243,'Clients-Live'!$A:$C,3,0),"")</f>
        <v>AJONYE BETTY</v>
      </c>
      <c r="F4243" s="291">
        <f>IFERROR(INDEX(Disbursements!$D:$D,MATCH('Live Collections'!G4243,Disbursements!$C:$C,0)),"")</f>
        <v>3</v>
      </c>
      <c r="G4243" s="34">
        <v>463</v>
      </c>
      <c r="H4243" s="34">
        <v>6051</v>
      </c>
      <c r="I4243" s="34" t="s">
        <v>1359</v>
      </c>
      <c r="J4243" s="48"/>
      <c r="K4243" s="48"/>
      <c r="L4243" s="48"/>
      <c r="M4243" s="48"/>
      <c r="N4243" s="59"/>
      <c r="O4243" s="59">
        <v>25000</v>
      </c>
      <c r="P4243" s="59"/>
      <c r="Q4243" s="268">
        <f t="shared" si="201"/>
        <v>25000</v>
      </c>
      <c r="R4243" s="61">
        <f>IF(O4243=0,0,SUMIFS(Disbursements!$T:$T,Disbursements!$B:$B,'Live Collections'!D4243,Disbursements!$D:$D,'Live Collections'!F4243))</f>
        <v>25000</v>
      </c>
      <c r="S4243" s="304">
        <f>IF(O4243&lt;=IF($O4243=0,0,SUMIFS(Disbursements!$W:$W,Disbursements!$B:$B,'Live Collections'!D4243,Disbursements!$D:$D,'Live Collections'!F4243)),O4243,IF($O4243=0,0,SUMIFS(Disbursements!$W:$W,Disbursements!$B:$B,'Live Collections'!D4243,Disbursements!$D:$D,'Live Collections'!F4243)))</f>
        <v>4166.6666666666679</v>
      </c>
      <c r="T4243" s="304">
        <f t="shared" si="202"/>
        <v>20833.333333333332</v>
      </c>
      <c r="U4243" s="52"/>
      <c r="V4243" s="34"/>
      <c r="W4243" s="408"/>
    </row>
    <row r="4244" spans="1:23" ht="12.75" customHeight="1" x14ac:dyDescent="0.2">
      <c r="A4244" s="257">
        <v>4254</v>
      </c>
      <c r="B4244" s="44">
        <v>44695</v>
      </c>
      <c r="C4244" s="44">
        <f t="shared" si="203"/>
        <v>44695</v>
      </c>
      <c r="D4244" s="374">
        <v>260</v>
      </c>
      <c r="E4244" s="291" t="str">
        <f>IFERROR(VLOOKUP($D4244,'Clients-Live'!$A:$C,3,0),"")</f>
        <v>ATAYI GRACE</v>
      </c>
      <c r="F4244" s="291">
        <f>IFERROR(INDEX(Disbursements!$D:$D,MATCH('Live Collections'!G4244,Disbursements!$C:$C,0)),"")</f>
        <v>2</v>
      </c>
      <c r="G4244" s="34">
        <v>476</v>
      </c>
      <c r="H4244" s="34">
        <v>6014</v>
      </c>
      <c r="I4244" s="34" t="s">
        <v>1359</v>
      </c>
      <c r="J4244" s="48"/>
      <c r="K4244" s="48"/>
      <c r="L4244" s="48"/>
      <c r="M4244" s="48"/>
      <c r="N4244" s="59"/>
      <c r="O4244" s="59">
        <v>90000</v>
      </c>
      <c r="P4244" s="59"/>
      <c r="Q4244" s="268">
        <f t="shared" si="201"/>
        <v>90000</v>
      </c>
      <c r="R4244" s="61">
        <f>IF(O4244=0,0,SUMIFS(Disbursements!$T:$T,Disbursements!$B:$B,'Live Collections'!D4244,Disbursements!$D:$D,'Live Collections'!F4244))</f>
        <v>111000</v>
      </c>
      <c r="S4244" s="304">
        <f>IF(O4244&lt;=IF($O4244=0,0,SUMIFS(Disbursements!$W:$W,Disbursements!$B:$B,'Live Collections'!D4244,Disbursements!$D:$D,'Live Collections'!F4244)),O4244,IF($O4244=0,0,SUMIFS(Disbursements!$W:$W,Disbursements!$B:$B,'Live Collections'!D4244,Disbursements!$D:$D,'Live Collections'!F4244)))</f>
        <v>23500</v>
      </c>
      <c r="T4244" s="304">
        <f t="shared" si="202"/>
        <v>66500</v>
      </c>
      <c r="U4244" s="52"/>
      <c r="V4244" s="34"/>
      <c r="W4244" s="408"/>
    </row>
    <row r="4245" spans="1:23" ht="12.75" customHeight="1" x14ac:dyDescent="0.2">
      <c r="A4245" s="257">
        <v>4255</v>
      </c>
      <c r="B4245" s="44">
        <v>44695</v>
      </c>
      <c r="C4245" s="44">
        <f t="shared" si="203"/>
        <v>44695</v>
      </c>
      <c r="D4245" s="374">
        <v>71</v>
      </c>
      <c r="E4245" s="291" t="str">
        <f>IFERROR(VLOOKUP($D4245,'Clients-Live'!$A:$C,3,0),"")</f>
        <v>AYIKORU HARIET BAUDI</v>
      </c>
      <c r="F4245" s="291" t="str">
        <f>IFERROR(INDEX(Disbursements!$D:$D,MATCH('Live Collections'!G4245,Disbursements!$C:$C,0)),"")</f>
        <v/>
      </c>
      <c r="G4245" s="34"/>
      <c r="H4245" s="34">
        <v>6013</v>
      </c>
      <c r="I4245" s="34" t="s">
        <v>1359</v>
      </c>
      <c r="J4245" s="48"/>
      <c r="K4245" s="48"/>
      <c r="L4245" s="48">
        <v>30000</v>
      </c>
      <c r="M4245" s="48">
        <v>5000</v>
      </c>
      <c r="N4245" s="59"/>
      <c r="O4245" s="59"/>
      <c r="P4245" s="59"/>
      <c r="Q4245" s="268">
        <f t="shared" si="201"/>
        <v>35000</v>
      </c>
      <c r="R4245" s="61">
        <f>IF(O4245=0,0,SUMIFS(Disbursements!$T:$T,Disbursements!$B:$B,'Live Collections'!D4245,Disbursements!$D:$D,'Live Collections'!F4245))</f>
        <v>0</v>
      </c>
      <c r="S4245" s="304">
        <f>IF(O4245&lt;=IF($O4245=0,0,SUMIFS(Disbursements!$W:$W,Disbursements!$B:$B,'Live Collections'!D4245,Disbursements!$D:$D,'Live Collections'!F4245)),O4245,IF($O4245=0,0,SUMIFS(Disbursements!$W:$W,Disbursements!$B:$B,'Live Collections'!D4245,Disbursements!$D:$D,'Live Collections'!F4245)))</f>
        <v>0</v>
      </c>
      <c r="T4245" s="304">
        <f t="shared" si="202"/>
        <v>0</v>
      </c>
      <c r="U4245" s="52"/>
      <c r="V4245" s="34"/>
      <c r="W4245" s="408"/>
    </row>
    <row r="4246" spans="1:23" ht="12.75" customHeight="1" x14ac:dyDescent="0.2">
      <c r="A4246" s="257">
        <v>4256</v>
      </c>
      <c r="B4246" s="44">
        <v>44695</v>
      </c>
      <c r="C4246" s="44">
        <f t="shared" si="203"/>
        <v>44695</v>
      </c>
      <c r="D4246" s="374">
        <v>71</v>
      </c>
      <c r="E4246" s="291" t="str">
        <f>IFERROR(VLOOKUP($D4246,'Clients-Live'!$A:$C,3,0),"")</f>
        <v>AYIKORU HARIET BAUDI</v>
      </c>
      <c r="F4246" s="291">
        <f>IFERROR(INDEX(Disbursements!$D:$D,MATCH('Live Collections'!G4246,Disbursements!$C:$C,0)),"")</f>
        <v>4</v>
      </c>
      <c r="G4246" s="34">
        <v>486</v>
      </c>
      <c r="H4246" s="34" t="s">
        <v>2425</v>
      </c>
      <c r="I4246" s="34" t="s">
        <v>1359</v>
      </c>
      <c r="J4246" s="48"/>
      <c r="K4246" s="48"/>
      <c r="L4246" s="48"/>
      <c r="M4246" s="48"/>
      <c r="N4246" s="59"/>
      <c r="O4246" s="59">
        <v>500000</v>
      </c>
      <c r="P4246" s="59">
        <v>-500000</v>
      </c>
      <c r="Q4246" s="268">
        <f t="shared" si="201"/>
        <v>0</v>
      </c>
      <c r="R4246" s="61">
        <f>IF(O4246=0,0,SUMIFS(Disbursements!$T:$T,Disbursements!$B:$B,'Live Collections'!D4246,Disbursements!$D:$D,'Live Collections'!F4246))</f>
        <v>5325000</v>
      </c>
      <c r="S4246" s="304"/>
      <c r="T4246" s="304">
        <f t="shared" si="202"/>
        <v>500000</v>
      </c>
      <c r="U4246" s="52"/>
      <c r="V4246" s="34"/>
      <c r="W4246" s="408"/>
    </row>
    <row r="4247" spans="1:23" ht="12.75" customHeight="1" x14ac:dyDescent="0.2">
      <c r="A4247" s="257">
        <v>4257</v>
      </c>
      <c r="B4247" s="44">
        <v>44695</v>
      </c>
      <c r="C4247" s="44">
        <f t="shared" si="203"/>
        <v>44695</v>
      </c>
      <c r="D4247" s="374">
        <v>71</v>
      </c>
      <c r="E4247" s="291" t="str">
        <f>IFERROR(VLOOKUP($D4247,'Clients-Live'!$A:$C,3,0),"")</f>
        <v>AYIKORU HARIET BAUDI</v>
      </c>
      <c r="F4247" s="291">
        <f>IFERROR(INDEX(Disbursements!$D:$D,MATCH('Live Collections'!G4247,Disbursements!$C:$C,0)),"")</f>
        <v>4</v>
      </c>
      <c r="G4247" s="34">
        <v>486</v>
      </c>
      <c r="H4247" s="34">
        <v>6011</v>
      </c>
      <c r="I4247" s="34" t="s">
        <v>1359</v>
      </c>
      <c r="J4247" s="48"/>
      <c r="K4247" s="48"/>
      <c r="L4247" s="48"/>
      <c r="M4247" s="48"/>
      <c r="N4247" s="59"/>
      <c r="O4247" s="59">
        <v>625000</v>
      </c>
      <c r="P4247" s="59"/>
      <c r="Q4247" s="268">
        <f t="shared" si="201"/>
        <v>625000</v>
      </c>
      <c r="R4247" s="61">
        <f>IF(O4247=0,0,SUMIFS(Disbursements!$T:$T,Disbursements!$B:$B,'Live Collections'!D4247,Disbursements!$D:$D,'Live Collections'!F4247))</f>
        <v>5325000</v>
      </c>
      <c r="S4247" s="304"/>
      <c r="T4247" s="304">
        <f t="shared" si="202"/>
        <v>625000</v>
      </c>
      <c r="U4247" s="52"/>
      <c r="V4247" s="34"/>
      <c r="W4247" s="408"/>
    </row>
    <row r="4248" spans="1:23" ht="12.75" customHeight="1" x14ac:dyDescent="0.2">
      <c r="A4248" s="257">
        <v>4258</v>
      </c>
      <c r="B4248" s="44">
        <v>44695</v>
      </c>
      <c r="C4248" s="44">
        <f t="shared" si="203"/>
        <v>44695</v>
      </c>
      <c r="D4248" s="374">
        <v>148</v>
      </c>
      <c r="E4248" s="291" t="str">
        <f>IFERROR(VLOOKUP($D4248,'Clients-Live'!$A:$C,3,0),"")</f>
        <v>GBOKA ZAIDA</v>
      </c>
      <c r="F4248" s="291">
        <f>IFERROR(INDEX(Disbursements!$D:$D,MATCH('Live Collections'!G4248,Disbursements!$C:$C,0)),"")</f>
        <v>2</v>
      </c>
      <c r="G4248" s="34">
        <v>304</v>
      </c>
      <c r="H4248" s="34">
        <v>6052</v>
      </c>
      <c r="I4248" s="34" t="s">
        <v>1359</v>
      </c>
      <c r="J4248" s="48"/>
      <c r="K4248" s="48"/>
      <c r="L4248" s="48"/>
      <c r="M4248" s="48"/>
      <c r="N4248" s="59"/>
      <c r="O4248" s="59">
        <v>70000</v>
      </c>
      <c r="P4248" s="59"/>
      <c r="Q4248" s="268">
        <f t="shared" si="201"/>
        <v>70000</v>
      </c>
      <c r="R4248" s="61">
        <f>IF(O4248=0,0,SUMIFS(Disbursements!$T:$T,Disbursements!$B:$B,'Live Collections'!D4248,Disbursements!$D:$D,'Live Collections'!F4248))</f>
        <v>125000</v>
      </c>
      <c r="S4248" s="304"/>
      <c r="T4248" s="304">
        <f t="shared" si="202"/>
        <v>70000</v>
      </c>
      <c r="U4248" s="52"/>
      <c r="V4248" s="34"/>
      <c r="W4248" s="408"/>
    </row>
    <row r="4249" spans="1:23" ht="12.75" customHeight="1" x14ac:dyDescent="0.2">
      <c r="A4249" s="257">
        <v>4259</v>
      </c>
      <c r="B4249" s="44">
        <v>44697</v>
      </c>
      <c r="C4249" s="44">
        <f t="shared" si="203"/>
        <v>44697</v>
      </c>
      <c r="D4249" s="374">
        <v>205</v>
      </c>
      <c r="E4249" s="291" t="str">
        <f>IFERROR(VLOOKUP($D4249,'Clients-Live'!$A:$C,3,0),"")</f>
        <v>OPIRU ALICE</v>
      </c>
      <c r="F4249" s="291">
        <f>IFERROR(INDEX(Disbursements!$D:$D,MATCH('Live Collections'!G4249,Disbursements!$C:$C,0)),"")</f>
        <v>2</v>
      </c>
      <c r="G4249" s="34">
        <v>396</v>
      </c>
      <c r="H4249" s="34">
        <v>6059</v>
      </c>
      <c r="I4249" s="34" t="s">
        <v>1359</v>
      </c>
      <c r="J4249" s="48"/>
      <c r="K4249" s="48">
        <v>5000</v>
      </c>
      <c r="L4249" s="48"/>
      <c r="M4249" s="48"/>
      <c r="N4249" s="59"/>
      <c r="O4249" s="59"/>
      <c r="P4249" s="59"/>
      <c r="Q4249" s="268">
        <f t="shared" si="201"/>
        <v>5000</v>
      </c>
      <c r="R4249" s="61">
        <f>IF(O4249=0,0,SUMIFS(Disbursements!$T:$T,Disbursements!$B:$B,'Live Collections'!D4249,Disbursements!$D:$D,'Live Collections'!F4249))</f>
        <v>0</v>
      </c>
      <c r="S4249" s="304">
        <f>IF(O4249&lt;=IF($O4249=0,0,SUMIFS(Disbursements!$W:$W,Disbursements!$B:$B,'Live Collections'!D4249,Disbursements!$D:$D,'Live Collections'!F4249)),O4249,IF($O4249=0,0,SUMIFS(Disbursements!$W:$W,Disbursements!$B:$B,'Live Collections'!D4249,Disbursements!$D:$D,'Live Collections'!F4249)))</f>
        <v>0</v>
      </c>
      <c r="T4249" s="304">
        <f t="shared" si="202"/>
        <v>0</v>
      </c>
      <c r="U4249" s="52"/>
      <c r="V4249" s="34"/>
      <c r="W4249" s="408"/>
    </row>
    <row r="4250" spans="1:23" ht="12.75" customHeight="1" x14ac:dyDescent="0.2">
      <c r="A4250" s="257">
        <v>4260</v>
      </c>
      <c r="B4250" s="44">
        <v>44697</v>
      </c>
      <c r="C4250" s="44">
        <f t="shared" si="203"/>
        <v>44697</v>
      </c>
      <c r="D4250" s="374">
        <v>205</v>
      </c>
      <c r="E4250" s="291" t="str">
        <f>IFERROR(VLOOKUP($D4250,'Clients-Live'!$A:$C,3,0),"")</f>
        <v>OPIRU ALICE</v>
      </c>
      <c r="F4250" s="291">
        <f>IFERROR(INDEX(Disbursements!$D:$D,MATCH('Live Collections'!G4250,Disbursements!$C:$C,0)),"")</f>
        <v>2</v>
      </c>
      <c r="G4250" s="34">
        <v>396</v>
      </c>
      <c r="H4250" s="34">
        <v>6060</v>
      </c>
      <c r="I4250" s="34" t="s">
        <v>1359</v>
      </c>
      <c r="J4250" s="48"/>
      <c r="K4250" s="48"/>
      <c r="L4250" s="48"/>
      <c r="M4250" s="48"/>
      <c r="N4250" s="59"/>
      <c r="O4250" s="59">
        <v>15000</v>
      </c>
      <c r="P4250" s="59"/>
      <c r="Q4250" s="268">
        <f t="shared" si="201"/>
        <v>15000</v>
      </c>
      <c r="R4250" s="61">
        <f>IF(O4250=0,0,SUMIFS(Disbursements!$T:$T,Disbursements!$B:$B,'Live Collections'!D4250,Disbursements!$D:$D,'Live Collections'!F4250))</f>
        <v>40000</v>
      </c>
      <c r="S4250" s="304"/>
      <c r="T4250" s="304">
        <f t="shared" si="202"/>
        <v>15000</v>
      </c>
      <c r="U4250" s="52"/>
      <c r="V4250" s="34"/>
      <c r="W4250" s="408"/>
    </row>
    <row r="4251" spans="1:23" ht="12.75" customHeight="1" x14ac:dyDescent="0.2">
      <c r="A4251" s="257">
        <v>4261</v>
      </c>
      <c r="B4251" s="44">
        <v>44697</v>
      </c>
      <c r="C4251" s="44">
        <f t="shared" si="203"/>
        <v>44697</v>
      </c>
      <c r="D4251" s="374">
        <v>42</v>
      </c>
      <c r="E4251" s="291" t="str">
        <f>IFERROR(VLOOKUP($D4251,'Clients-Live'!$A:$C,3,0),"")</f>
        <v>ABAU   NOLA</v>
      </c>
      <c r="F4251" s="291">
        <f>IFERROR(INDEX(Disbursements!$D:$D,MATCH('Live Collections'!G4251,Disbursements!$C:$C,0)),"")</f>
        <v>4</v>
      </c>
      <c r="G4251" s="34">
        <v>498</v>
      </c>
      <c r="H4251" s="34">
        <v>6020</v>
      </c>
      <c r="I4251" s="34" t="s">
        <v>1359</v>
      </c>
      <c r="J4251" s="48"/>
      <c r="K4251" s="48"/>
      <c r="L4251" s="48"/>
      <c r="M4251" s="48"/>
      <c r="N4251" s="59"/>
      <c r="O4251" s="59">
        <v>30000</v>
      </c>
      <c r="P4251" s="59"/>
      <c r="Q4251" s="268">
        <f t="shared" si="201"/>
        <v>30000</v>
      </c>
      <c r="R4251" s="61">
        <f>IF(O4251=0,0,SUMIFS(Disbursements!$T:$T,Disbursements!$B:$B,'Live Collections'!D4251,Disbursements!$D:$D,'Live Collections'!F4251))</f>
        <v>100000</v>
      </c>
      <c r="S4251" s="304"/>
      <c r="T4251" s="304">
        <f t="shared" si="202"/>
        <v>30000</v>
      </c>
      <c r="U4251" s="52"/>
      <c r="V4251" s="34"/>
      <c r="W4251" s="408"/>
    </row>
    <row r="4252" spans="1:23" ht="12.75" customHeight="1" x14ac:dyDescent="0.2">
      <c r="A4252" s="257">
        <v>4262</v>
      </c>
      <c r="B4252" s="44">
        <v>44697</v>
      </c>
      <c r="C4252" s="44">
        <f t="shared" si="203"/>
        <v>44697</v>
      </c>
      <c r="D4252" s="374">
        <v>300</v>
      </c>
      <c r="E4252" s="291" t="str">
        <f>IFERROR(VLOOKUP($D4252,'Clients-Live'!$A:$C,3,0),"")</f>
        <v>AYA ZAINABU</v>
      </c>
      <c r="F4252" s="291">
        <f>IFERROR(INDEX(Disbursements!$D:$D,MATCH('Live Collections'!G4252,Disbursements!$C:$C,0)),"")</f>
        <v>1</v>
      </c>
      <c r="G4252" s="34">
        <v>364</v>
      </c>
      <c r="H4252" s="34">
        <v>6058</v>
      </c>
      <c r="I4252" s="34" t="s">
        <v>1359</v>
      </c>
      <c r="J4252" s="48"/>
      <c r="K4252" s="48"/>
      <c r="L4252" s="48"/>
      <c r="M4252" s="48"/>
      <c r="N4252" s="59"/>
      <c r="O4252" s="59">
        <v>15000</v>
      </c>
      <c r="P4252" s="59"/>
      <c r="Q4252" s="268">
        <f t="shared" si="201"/>
        <v>15000</v>
      </c>
      <c r="R4252" s="61">
        <f>IF(O4252=0,0,SUMIFS(Disbursements!$T:$T,Disbursements!$B:$B,'Live Collections'!D4252,Disbursements!$D:$D,'Live Collections'!F4252))</f>
        <v>150000</v>
      </c>
      <c r="S4252" s="304"/>
      <c r="T4252" s="304">
        <f t="shared" si="202"/>
        <v>15000</v>
      </c>
      <c r="U4252" s="52"/>
      <c r="V4252" s="34"/>
      <c r="W4252" s="408"/>
    </row>
    <row r="4253" spans="1:23" ht="12.75" customHeight="1" x14ac:dyDescent="0.2">
      <c r="A4253" s="257">
        <v>4263</v>
      </c>
      <c r="B4253" s="44">
        <v>44697</v>
      </c>
      <c r="C4253" s="44">
        <f t="shared" si="203"/>
        <v>44697</v>
      </c>
      <c r="D4253" s="374">
        <v>295</v>
      </c>
      <c r="E4253" s="291" t="str">
        <f>IFERROR(VLOOKUP($D4253,'Clients-Live'!$A:$C,3,0),"")</f>
        <v>ABIYO RICHARD ENAKU</v>
      </c>
      <c r="F4253" s="291">
        <f>IFERROR(INDEX(Disbursements!$D:$D,MATCH('Live Collections'!G4253,Disbursements!$C:$C,0)),"")</f>
        <v>1</v>
      </c>
      <c r="G4253" s="34">
        <v>377</v>
      </c>
      <c r="H4253" s="34">
        <v>6057</v>
      </c>
      <c r="I4253" s="34" t="s">
        <v>1359</v>
      </c>
      <c r="J4253" s="48"/>
      <c r="K4253" s="48"/>
      <c r="L4253" s="48"/>
      <c r="M4253" s="48"/>
      <c r="N4253" s="59"/>
      <c r="O4253" s="59">
        <v>216700</v>
      </c>
      <c r="P4253" s="59"/>
      <c r="Q4253" s="268">
        <f t="shared" si="201"/>
        <v>216700</v>
      </c>
      <c r="R4253" s="61">
        <f>IF(O4253=0,0,SUMIFS(Disbursements!$T:$T,Disbursements!$B:$B,'Live Collections'!D4253,Disbursements!$D:$D,'Live Collections'!F4253))</f>
        <v>217000</v>
      </c>
      <c r="S4253" s="304">
        <f>IF(O4253&lt;=IF($O4253=0,0,SUMIFS(Disbursements!$W:$W,Disbursements!$B:$B,'Live Collections'!D4253,Disbursements!$D:$D,'Live Collections'!F4253)),O4253,IF($O4253=0,0,SUMIFS(Disbursements!$W:$W,Disbursements!$B:$B,'Live Collections'!D4253,Disbursements!$D:$D,'Live Collections'!F4253)))</f>
        <v>50333.333333333343</v>
      </c>
      <c r="T4253" s="304">
        <f t="shared" si="202"/>
        <v>166366.66666666666</v>
      </c>
      <c r="U4253" s="52"/>
      <c r="V4253" s="34"/>
      <c r="W4253" s="408"/>
    </row>
    <row r="4254" spans="1:23" ht="12.75" customHeight="1" x14ac:dyDescent="0.2">
      <c r="A4254" s="257">
        <v>4264</v>
      </c>
      <c r="B4254" s="44">
        <v>44697</v>
      </c>
      <c r="C4254" s="44">
        <f t="shared" si="203"/>
        <v>44697</v>
      </c>
      <c r="D4254" s="374">
        <v>96</v>
      </c>
      <c r="E4254" s="291" t="str">
        <f>IFERROR(VLOOKUP($D4254,'Clients-Live'!$A:$C,3,0),"")</f>
        <v>AKANDU NIGHT YONGORO</v>
      </c>
      <c r="F4254" s="291">
        <f>IFERROR(INDEX(Disbursements!$D:$D,MATCH('Live Collections'!G4254,Disbursements!$C:$C,0)),"")</f>
        <v>3</v>
      </c>
      <c r="G4254" s="34">
        <v>432</v>
      </c>
      <c r="H4254" s="34">
        <v>6018</v>
      </c>
      <c r="I4254" s="34" t="s">
        <v>1358</v>
      </c>
      <c r="J4254" s="48"/>
      <c r="K4254" s="48"/>
      <c r="L4254" s="48"/>
      <c r="M4254" s="48"/>
      <c r="N4254" s="59"/>
      <c r="O4254" s="59">
        <v>100000</v>
      </c>
      <c r="P4254" s="59"/>
      <c r="Q4254" s="268">
        <f t="shared" si="201"/>
        <v>100000</v>
      </c>
      <c r="R4254" s="61">
        <f>IF(O4254=0,0,SUMIFS(Disbursements!$T:$T,Disbursements!$B:$B,'Live Collections'!D4254,Disbursements!$D:$D,'Live Collections'!F4254))</f>
        <v>60000</v>
      </c>
      <c r="S4254" s="304">
        <f>IF(O4254&lt;=IF($O4254=0,0,SUMIFS(Disbursements!$W:$W,Disbursements!$B:$B,'Live Collections'!D4254,Disbursements!$D:$D,'Live Collections'!F4254)),O4254,IF($O4254=0,0,SUMIFS(Disbursements!$W:$W,Disbursements!$B:$B,'Live Collections'!D4254,Disbursements!$D:$D,'Live Collections'!F4254)))</f>
        <v>15000</v>
      </c>
      <c r="T4254" s="304">
        <f t="shared" si="202"/>
        <v>85000</v>
      </c>
      <c r="U4254" s="52"/>
      <c r="V4254" s="34"/>
      <c r="W4254" s="408"/>
    </row>
    <row r="4255" spans="1:23" ht="12.75" customHeight="1" x14ac:dyDescent="0.2">
      <c r="A4255" s="257">
        <v>4265</v>
      </c>
      <c r="B4255" s="44">
        <v>44697</v>
      </c>
      <c r="C4255" s="44">
        <f t="shared" si="203"/>
        <v>44697</v>
      </c>
      <c r="D4255" s="374">
        <v>187</v>
      </c>
      <c r="E4255" s="291" t="str">
        <f>IFERROR(VLOOKUP($D4255,'Clients-Live'!$A:$C,3,0),"")</f>
        <v xml:space="preserve">AJIO HARRIET </v>
      </c>
      <c r="F4255" s="291">
        <f>IFERROR(INDEX(Disbursements!$D:$D,MATCH('Live Collections'!G4255,Disbursements!$C:$C,0)),"")</f>
        <v>2</v>
      </c>
      <c r="G4255" s="34">
        <v>458</v>
      </c>
      <c r="H4255" s="34">
        <v>6019</v>
      </c>
      <c r="I4255" s="34" t="s">
        <v>1358</v>
      </c>
      <c r="J4255" s="48"/>
      <c r="K4255" s="48"/>
      <c r="L4255" s="48"/>
      <c r="M4255" s="48"/>
      <c r="N4255" s="59"/>
      <c r="O4255" s="59">
        <v>140000</v>
      </c>
      <c r="P4255" s="59"/>
      <c r="Q4255" s="268">
        <f t="shared" si="201"/>
        <v>140000</v>
      </c>
      <c r="R4255" s="61">
        <f>IF(O4255=0,0,SUMIFS(Disbursements!$T:$T,Disbursements!$B:$B,'Live Collections'!D4255,Disbursements!$D:$D,'Live Collections'!F4255))</f>
        <v>158000</v>
      </c>
      <c r="S4255" s="304">
        <f>IF(O4255&lt;=IF($O4255=0,0,SUMIFS(Disbursements!$W:$W,Disbursements!$B:$B,'Live Collections'!D4255,Disbursements!$D:$D,'Live Collections'!F4255)),O4255,IF($O4255=0,0,SUMIFS(Disbursements!$W:$W,Disbursements!$B:$B,'Live Collections'!D4255,Disbursements!$D:$D,'Live Collections'!F4255)))</f>
        <v>33000</v>
      </c>
      <c r="T4255" s="304">
        <f t="shared" si="202"/>
        <v>107000</v>
      </c>
      <c r="U4255" s="52"/>
      <c r="V4255" s="34"/>
      <c r="W4255" s="408"/>
    </row>
    <row r="4256" spans="1:23" ht="12.75" customHeight="1" x14ac:dyDescent="0.2">
      <c r="A4256" s="257">
        <v>4266</v>
      </c>
      <c r="B4256" s="44">
        <v>44697</v>
      </c>
      <c r="C4256" s="44">
        <f t="shared" si="203"/>
        <v>44697</v>
      </c>
      <c r="D4256" s="374">
        <v>330</v>
      </c>
      <c r="E4256" s="291" t="str">
        <f>IFERROR(VLOOKUP($D4256,'Clients-Live'!$A:$C,3,0),"")</f>
        <v>BACIA AISHA</v>
      </c>
      <c r="F4256" s="291">
        <f>IFERROR(INDEX(Disbursements!$D:$D,MATCH('Live Collections'!G4256,Disbursements!$C:$C,0)),"")</f>
        <v>1</v>
      </c>
      <c r="G4256" s="34">
        <v>462</v>
      </c>
      <c r="H4256" s="34">
        <v>6017</v>
      </c>
      <c r="I4256" s="34" t="s">
        <v>1357</v>
      </c>
      <c r="J4256" s="48"/>
      <c r="K4256" s="48"/>
      <c r="L4256" s="48"/>
      <c r="M4256" s="48"/>
      <c r="N4256" s="59"/>
      <c r="O4256" s="59">
        <v>130000</v>
      </c>
      <c r="P4256" s="59"/>
      <c r="Q4256" s="268">
        <f t="shared" si="201"/>
        <v>130000</v>
      </c>
      <c r="R4256" s="61">
        <f>IF(O4256=0,0,SUMIFS(Disbursements!$T:$T,Disbursements!$B:$B,'Live Collections'!D4256,Disbursements!$D:$D,'Live Collections'!F4256))</f>
        <v>140000</v>
      </c>
      <c r="S4256" s="304">
        <f>IF(O4256&lt;=IF($O4256=0,0,SUMIFS(Disbursements!$W:$W,Disbursements!$B:$B,'Live Collections'!D4256,Disbursements!$D:$D,'Live Collections'!F4256)),O4256,IF($O4256=0,0,SUMIFS(Disbursements!$W:$W,Disbursements!$B:$B,'Live Collections'!D4256,Disbursements!$D:$D,'Live Collections'!F4256)))</f>
        <v>23333.333333333328</v>
      </c>
      <c r="T4256" s="304">
        <f t="shared" si="202"/>
        <v>106666.66666666667</v>
      </c>
      <c r="U4256" s="52"/>
      <c r="V4256" s="34"/>
      <c r="W4256" s="408"/>
    </row>
    <row r="4257" spans="1:23" ht="12.75" customHeight="1" x14ac:dyDescent="0.2">
      <c r="A4257" s="257">
        <v>4267</v>
      </c>
      <c r="B4257" s="44">
        <v>44697</v>
      </c>
      <c r="C4257" s="44">
        <f t="shared" si="203"/>
        <v>44697</v>
      </c>
      <c r="D4257" s="374">
        <v>351</v>
      </c>
      <c r="E4257" s="291" t="str">
        <f>IFERROR(VLOOKUP($D4257,'Clients-Live'!$A:$C,3,0),"")</f>
        <v>KAGGWA ROBERT</v>
      </c>
      <c r="F4257" s="291">
        <f>IFERROR(INDEX(Disbursements!$D:$D,MATCH('Live Collections'!G4257,Disbursements!$C:$C,0)),"")</f>
        <v>1</v>
      </c>
      <c r="G4257" s="34">
        <v>504</v>
      </c>
      <c r="H4257" s="34" t="s">
        <v>2426</v>
      </c>
      <c r="I4257" s="34" t="s">
        <v>1357</v>
      </c>
      <c r="J4257" s="48"/>
      <c r="K4257" s="48"/>
      <c r="L4257" s="48"/>
      <c r="M4257" s="48"/>
      <c r="N4257" s="59"/>
      <c r="O4257" s="59">
        <v>100000</v>
      </c>
      <c r="P4257" s="59">
        <v>-100000</v>
      </c>
      <c r="Q4257" s="268">
        <f t="shared" si="201"/>
        <v>0</v>
      </c>
      <c r="R4257" s="61">
        <f>IF(O4257=0,0,SUMIFS(Disbursements!$T:$T,Disbursements!$B:$B,'Live Collections'!D4257,Disbursements!$D:$D,'Live Collections'!F4257))</f>
        <v>1075000</v>
      </c>
      <c r="S4257" s="304">
        <f>IF(O4257&lt;=IF($O4257=0,0,SUMIFS(Disbursements!$W:$W,Disbursements!$B:$B,'Live Collections'!D4257,Disbursements!$D:$D,'Live Collections'!F4257)),O4257,IF($O4257=0,0,SUMIFS(Disbursements!$W:$W,Disbursements!$B:$B,'Live Collections'!D4257,Disbursements!$D:$D,'Live Collections'!F4257)))</f>
        <v>75000</v>
      </c>
      <c r="T4257" s="304">
        <f t="shared" si="202"/>
        <v>25000</v>
      </c>
      <c r="U4257" s="52"/>
      <c r="V4257" s="34"/>
      <c r="W4257" s="408"/>
    </row>
    <row r="4258" spans="1:23" ht="12.75" customHeight="1" x14ac:dyDescent="0.2">
      <c r="A4258" s="257">
        <v>4268</v>
      </c>
      <c r="B4258" s="44">
        <v>44697</v>
      </c>
      <c r="C4258" s="44">
        <f t="shared" si="203"/>
        <v>44697</v>
      </c>
      <c r="D4258" s="374">
        <v>351</v>
      </c>
      <c r="E4258" s="291" t="str">
        <f>IFERROR(VLOOKUP($D4258,'Clients-Live'!$A:$C,3,0),"")</f>
        <v>KAGGWA ROBERT</v>
      </c>
      <c r="F4258" s="291">
        <f>IFERROR(INDEX(Disbursements!$D:$D,MATCH('Live Collections'!G4258,Disbursements!$C:$C,0)),"")</f>
        <v>1</v>
      </c>
      <c r="G4258" s="34">
        <v>504</v>
      </c>
      <c r="H4258" s="34">
        <v>6055</v>
      </c>
      <c r="I4258" s="34" t="s">
        <v>1357</v>
      </c>
      <c r="J4258" s="48"/>
      <c r="K4258" s="48"/>
      <c r="L4258" s="48"/>
      <c r="M4258" s="48"/>
      <c r="N4258" s="59"/>
      <c r="O4258" s="59">
        <v>975000</v>
      </c>
      <c r="P4258" s="59"/>
      <c r="Q4258" s="268">
        <f t="shared" si="201"/>
        <v>975000</v>
      </c>
      <c r="R4258" s="61">
        <f>IF(O4258=0,0,SUMIFS(Disbursements!$T:$T,Disbursements!$B:$B,'Live Collections'!D4258,Disbursements!$D:$D,'Live Collections'!F4258))</f>
        <v>1075000</v>
      </c>
      <c r="S4258" s="304"/>
      <c r="T4258" s="304">
        <f t="shared" si="202"/>
        <v>975000</v>
      </c>
      <c r="U4258" s="52"/>
      <c r="V4258" s="34"/>
      <c r="W4258" s="408"/>
    </row>
    <row r="4259" spans="1:23" ht="12.75" customHeight="1" x14ac:dyDescent="0.2">
      <c r="A4259" s="257">
        <v>4269</v>
      </c>
      <c r="B4259" s="44">
        <v>44697</v>
      </c>
      <c r="C4259" s="44">
        <f t="shared" si="203"/>
        <v>44697</v>
      </c>
      <c r="D4259" s="374">
        <v>42</v>
      </c>
      <c r="E4259" s="291" t="str">
        <f>IFERROR(VLOOKUP($D4259,'Clients-Live'!$A:$C,3,0),"")</f>
        <v>ABAU   NOLA</v>
      </c>
      <c r="F4259" s="291">
        <f>IFERROR(INDEX(Disbursements!$D:$D,MATCH('Live Collections'!G4259,Disbursements!$C:$C,0)),"")</f>
        <v>4</v>
      </c>
      <c r="G4259" s="34">
        <v>498</v>
      </c>
      <c r="H4259" s="34">
        <v>7442</v>
      </c>
      <c r="I4259" s="34" t="s">
        <v>1359</v>
      </c>
      <c r="J4259" s="48"/>
      <c r="K4259" s="48"/>
      <c r="L4259" s="48"/>
      <c r="M4259" s="48"/>
      <c r="N4259" s="59"/>
      <c r="O4259" s="59">
        <v>24000</v>
      </c>
      <c r="P4259" s="59"/>
      <c r="Q4259" s="268">
        <f t="shared" si="201"/>
        <v>24000</v>
      </c>
      <c r="R4259" s="61">
        <f>IF(O4259=0,0,SUMIFS(Disbursements!$T:$T,Disbursements!$B:$B,'Live Collections'!D4259,Disbursements!$D:$D,'Live Collections'!F4259))</f>
        <v>100000</v>
      </c>
      <c r="S4259" s="304"/>
      <c r="T4259" s="304">
        <f t="shared" si="202"/>
        <v>24000</v>
      </c>
      <c r="U4259" s="52"/>
      <c r="V4259" s="34"/>
      <c r="W4259" s="408"/>
    </row>
    <row r="4260" spans="1:23" ht="12.75" customHeight="1" x14ac:dyDescent="0.2">
      <c r="A4260" s="257">
        <v>4271</v>
      </c>
      <c r="B4260" s="44">
        <v>44698</v>
      </c>
      <c r="C4260" s="44">
        <f t="shared" si="203"/>
        <v>44698</v>
      </c>
      <c r="D4260" s="374">
        <v>338</v>
      </c>
      <c r="E4260" s="291" t="str">
        <f>IFERROR(VLOOKUP($D4260,'Clients-Live'!$A:$C,3,0),"")</f>
        <v>ASERU MARY</v>
      </c>
      <c r="F4260" s="291">
        <f>IFERROR(INDEX(Disbursements!$D:$D,MATCH('Live Collections'!G4260,Disbursements!$C:$C,0)),"")</f>
        <v>1</v>
      </c>
      <c r="G4260" s="34">
        <v>480</v>
      </c>
      <c r="H4260" s="34">
        <v>6031</v>
      </c>
      <c r="I4260" s="34" t="s">
        <v>1358</v>
      </c>
      <c r="J4260" s="48"/>
      <c r="K4260" s="48"/>
      <c r="L4260" s="48"/>
      <c r="M4260" s="48"/>
      <c r="N4260" s="59"/>
      <c r="O4260" s="59">
        <v>23700</v>
      </c>
      <c r="P4260" s="59"/>
      <c r="Q4260" s="268">
        <f t="shared" si="201"/>
        <v>23700</v>
      </c>
      <c r="R4260" s="61">
        <f>IF(O4260=0,0,SUMIFS(Disbursements!$T:$T,Disbursements!$B:$B,'Live Collections'!D4260,Disbursements!$D:$D,'Live Collections'!F4260))</f>
        <v>24000</v>
      </c>
      <c r="S4260" s="304">
        <f>IF(O4260&lt;=IF($O4260=0,0,SUMIFS(Disbursements!$W:$W,Disbursements!$B:$B,'Live Collections'!D4260,Disbursements!$D:$D,'Live Collections'!F4260)),O4260,IF($O4260=0,0,SUMIFS(Disbursements!$W:$W,Disbursements!$B:$B,'Live Collections'!D4260,Disbursements!$D:$D,'Live Collections'!F4260)))</f>
        <v>5250</v>
      </c>
      <c r="T4260" s="304">
        <f t="shared" si="202"/>
        <v>18450</v>
      </c>
      <c r="U4260" s="52"/>
      <c r="V4260" s="34"/>
      <c r="W4260" s="408"/>
    </row>
    <row r="4261" spans="1:23" ht="12.75" customHeight="1" x14ac:dyDescent="0.2">
      <c r="A4261" s="257">
        <v>4272</v>
      </c>
      <c r="B4261" s="44">
        <v>44698</v>
      </c>
      <c r="C4261" s="44">
        <f t="shared" si="203"/>
        <v>44698</v>
      </c>
      <c r="D4261" s="374">
        <v>46</v>
      </c>
      <c r="E4261" s="291" t="str">
        <f>IFERROR(VLOOKUP($D4261,'Clients-Live'!$A:$C,3,0),"")</f>
        <v>ALIO YUDA</v>
      </c>
      <c r="F4261" s="291" t="str">
        <f>IFERROR(INDEX(Disbursements!$D:$D,MATCH('Live Collections'!G4261,Disbursements!$C:$C,0)),"")</f>
        <v/>
      </c>
      <c r="G4261" s="34"/>
      <c r="H4261" s="34">
        <v>6030</v>
      </c>
      <c r="I4261" s="34" t="s">
        <v>1357</v>
      </c>
      <c r="J4261" s="48"/>
      <c r="K4261" s="48">
        <v>5000</v>
      </c>
      <c r="L4261" s="48"/>
      <c r="M4261" s="48"/>
      <c r="N4261" s="59"/>
      <c r="O4261" s="59"/>
      <c r="P4261" s="59"/>
      <c r="Q4261" s="268">
        <f t="shared" si="201"/>
        <v>5000</v>
      </c>
      <c r="R4261" s="61">
        <f>IF(O4261=0,0,SUMIFS(Disbursements!$T:$T,Disbursements!$B:$B,'Live Collections'!D4261,Disbursements!$D:$D,'Live Collections'!F4261))</f>
        <v>0</v>
      </c>
      <c r="S4261" s="304">
        <f>IF(O4261&lt;=IF($O4261=0,0,SUMIFS(Disbursements!$W:$W,Disbursements!$B:$B,'Live Collections'!D4261,Disbursements!$D:$D,'Live Collections'!F4261)),O4261,IF($O4261=0,0,SUMIFS(Disbursements!$W:$W,Disbursements!$B:$B,'Live Collections'!D4261,Disbursements!$D:$D,'Live Collections'!F4261)))</f>
        <v>0</v>
      </c>
      <c r="T4261" s="304">
        <f t="shared" si="202"/>
        <v>0</v>
      </c>
      <c r="U4261" s="52"/>
      <c r="V4261" s="34"/>
      <c r="W4261" s="408"/>
    </row>
    <row r="4262" spans="1:23" ht="12.75" customHeight="1" x14ac:dyDescent="0.2">
      <c r="A4262" s="257">
        <v>4273</v>
      </c>
      <c r="B4262" s="44">
        <v>44698</v>
      </c>
      <c r="C4262" s="44">
        <f t="shared" si="203"/>
        <v>44698</v>
      </c>
      <c r="D4262" s="374">
        <v>310</v>
      </c>
      <c r="E4262" s="291" t="str">
        <f>IFERROR(VLOOKUP($D4262,'Clients-Live'!$A:$C,3,0),"")</f>
        <v>TUKEI JOB</v>
      </c>
      <c r="F4262" s="291">
        <f>IFERROR(INDEX(Disbursements!$D:$D,MATCH('Live Collections'!G4262,Disbursements!$C:$C,0)),"")</f>
        <v>1</v>
      </c>
      <c r="G4262" s="34">
        <v>492</v>
      </c>
      <c r="H4262" s="34">
        <v>6028</v>
      </c>
      <c r="I4262" s="34" t="s">
        <v>1359</v>
      </c>
      <c r="J4262" s="48"/>
      <c r="K4262" s="48"/>
      <c r="L4262" s="48"/>
      <c r="M4262" s="48"/>
      <c r="N4262" s="59"/>
      <c r="O4262" s="59">
        <v>300000</v>
      </c>
      <c r="P4262" s="59"/>
      <c r="Q4262" s="268">
        <f t="shared" si="201"/>
        <v>300000</v>
      </c>
      <c r="R4262" s="61">
        <f>IF(O4262=0,0,SUMIFS(Disbursements!$T:$T,Disbursements!$B:$B,'Live Collections'!D4262,Disbursements!$D:$D,'Live Collections'!F4262))</f>
        <v>945000</v>
      </c>
      <c r="S4262" s="304">
        <f>IF(O4262&lt;=IF($O4262=0,0,SUMIFS(Disbursements!$W:$W,Disbursements!$B:$B,'Live Collections'!D4262,Disbursements!$D:$D,'Live Collections'!F4262)),O4262,IF($O4262=0,0,SUMIFS(Disbursements!$W:$W,Disbursements!$B:$B,'Live Collections'!D4262,Disbursements!$D:$D,'Live Collections'!F4262)))</f>
        <v>195000</v>
      </c>
      <c r="T4262" s="304">
        <f t="shared" si="202"/>
        <v>105000</v>
      </c>
      <c r="U4262" s="52"/>
      <c r="V4262" s="34"/>
      <c r="W4262" s="408"/>
    </row>
    <row r="4263" spans="1:23" ht="12.75" customHeight="1" x14ac:dyDescent="0.2">
      <c r="A4263" s="257">
        <v>4274</v>
      </c>
      <c r="B4263" s="44">
        <v>44698</v>
      </c>
      <c r="C4263" s="44">
        <f t="shared" si="203"/>
        <v>44698</v>
      </c>
      <c r="D4263" s="374">
        <v>46</v>
      </c>
      <c r="E4263" s="291" t="str">
        <f>IFERROR(VLOOKUP($D4263,'Clients-Live'!$A:$C,3,0),"")</f>
        <v>ALIO YUDA</v>
      </c>
      <c r="F4263" s="291">
        <f>IFERROR(INDEX(Disbursements!$D:$D,MATCH('Live Collections'!G4263,Disbursements!$C:$C,0)),"")</f>
        <v>2</v>
      </c>
      <c r="G4263" s="34">
        <v>400</v>
      </c>
      <c r="H4263" s="34">
        <v>6029</v>
      </c>
      <c r="I4263" s="34" t="s">
        <v>1357</v>
      </c>
      <c r="J4263" s="48"/>
      <c r="K4263" s="48"/>
      <c r="L4263" s="48"/>
      <c r="M4263" s="48"/>
      <c r="N4263" s="59"/>
      <c r="O4263" s="59">
        <v>100000</v>
      </c>
      <c r="P4263" s="59"/>
      <c r="Q4263" s="268">
        <f t="shared" si="201"/>
        <v>100000</v>
      </c>
      <c r="R4263" s="61">
        <f>IF(O4263=0,0,SUMIFS(Disbursements!$T:$T,Disbursements!$B:$B,'Live Collections'!D4263,Disbursements!$D:$D,'Live Collections'!F4263))</f>
        <v>76000</v>
      </c>
      <c r="S4263" s="304">
        <f>IF(O4263&lt;=IF($O4263=0,0,SUMIFS(Disbursements!$W:$W,Disbursements!$B:$B,'Live Collections'!D4263,Disbursements!$D:$D,'Live Collections'!F4263)),O4263,IF($O4263=0,0,SUMIFS(Disbursements!$W:$W,Disbursements!$B:$B,'Live Collections'!D4263,Disbursements!$D:$D,'Live Collections'!F4263)))</f>
        <v>21833.333333333336</v>
      </c>
      <c r="T4263" s="304">
        <f t="shared" si="202"/>
        <v>78166.666666666657</v>
      </c>
      <c r="U4263" s="52"/>
      <c r="V4263" s="34"/>
      <c r="W4263" s="408"/>
    </row>
    <row r="4264" spans="1:23" ht="12.75" customHeight="1" x14ac:dyDescent="0.2">
      <c r="A4264" s="257">
        <v>4275</v>
      </c>
      <c r="B4264" s="44">
        <v>44698</v>
      </c>
      <c r="C4264" s="44">
        <f t="shared" si="203"/>
        <v>44698</v>
      </c>
      <c r="D4264" s="374">
        <v>63</v>
      </c>
      <c r="E4264" s="291" t="str">
        <f>IFERROR(VLOOKUP($D4264,'Clients-Live'!$A:$C,3,0),"")</f>
        <v>AWURU KADARA</v>
      </c>
      <c r="F4264" s="291" t="str">
        <f>IFERROR(INDEX(Disbursements!$D:$D,MATCH('Live Collections'!G4264,Disbursements!$C:$C,0)),"")</f>
        <v/>
      </c>
      <c r="G4264" s="34"/>
      <c r="H4264" s="34">
        <v>6026</v>
      </c>
      <c r="I4264" s="34" t="s">
        <v>1357</v>
      </c>
      <c r="J4264" s="48"/>
      <c r="K4264" s="48">
        <v>5000</v>
      </c>
      <c r="L4264" s="48"/>
      <c r="M4264" s="48"/>
      <c r="N4264" s="59"/>
      <c r="O4264" s="59"/>
      <c r="P4264" s="59"/>
      <c r="Q4264" s="268">
        <f t="shared" si="201"/>
        <v>5000</v>
      </c>
      <c r="R4264" s="61">
        <f>IF(O4264=0,0,SUMIFS(Disbursements!$T:$T,Disbursements!$B:$B,'Live Collections'!D4264,Disbursements!$D:$D,'Live Collections'!F4264))</f>
        <v>0</v>
      </c>
      <c r="S4264" s="304">
        <f>IF(O4264&lt;=IF($O4264=0,0,SUMIFS(Disbursements!$W:$W,Disbursements!$B:$B,'Live Collections'!D4264,Disbursements!$D:$D,'Live Collections'!F4264)),O4264,IF($O4264=0,0,SUMIFS(Disbursements!$W:$W,Disbursements!$B:$B,'Live Collections'!D4264,Disbursements!$D:$D,'Live Collections'!F4264)))</f>
        <v>0</v>
      </c>
      <c r="T4264" s="304">
        <f t="shared" si="202"/>
        <v>0</v>
      </c>
      <c r="U4264" s="52"/>
      <c r="V4264" s="34"/>
      <c r="W4264" s="408"/>
    </row>
    <row r="4265" spans="1:23" ht="12.75" customHeight="1" x14ac:dyDescent="0.2">
      <c r="A4265" s="257">
        <v>4276</v>
      </c>
      <c r="B4265" s="44">
        <v>44698</v>
      </c>
      <c r="C4265" s="44">
        <f t="shared" si="203"/>
        <v>44698</v>
      </c>
      <c r="D4265" s="374">
        <v>63</v>
      </c>
      <c r="E4265" s="291" t="str">
        <f>IFERROR(VLOOKUP($D4265,'Clients-Live'!$A:$C,3,0),"")</f>
        <v>AWURU KADARA</v>
      </c>
      <c r="F4265" s="291">
        <f>IFERROR(INDEX(Disbursements!$D:$D,MATCH('Live Collections'!G4265,Disbursements!$C:$C,0)),"")</f>
        <v>3</v>
      </c>
      <c r="G4265" s="34">
        <v>375</v>
      </c>
      <c r="H4265" s="34" t="s">
        <v>2427</v>
      </c>
      <c r="I4265" s="34" t="s">
        <v>1357</v>
      </c>
      <c r="J4265" s="48"/>
      <c r="K4265" s="48"/>
      <c r="L4265" s="48"/>
      <c r="M4265" s="48"/>
      <c r="N4265" s="59"/>
      <c r="O4265" s="59">
        <v>70000</v>
      </c>
      <c r="P4265" s="59">
        <v>-70000</v>
      </c>
      <c r="Q4265" s="268">
        <f t="shared" si="201"/>
        <v>0</v>
      </c>
      <c r="R4265" s="61">
        <f>IF(O4265=0,0,SUMIFS(Disbursements!$T:$T,Disbursements!$B:$B,'Live Collections'!D4265,Disbursements!$D:$D,'Live Collections'!F4265))</f>
        <v>175000</v>
      </c>
      <c r="S4265" s="304"/>
      <c r="T4265" s="304">
        <f t="shared" si="202"/>
        <v>70000</v>
      </c>
      <c r="U4265" s="52"/>
      <c r="V4265" s="34"/>
      <c r="W4265" s="408"/>
    </row>
    <row r="4266" spans="1:23" ht="12.75" customHeight="1" x14ac:dyDescent="0.2">
      <c r="A4266" s="257">
        <v>4277</v>
      </c>
      <c r="B4266" s="44">
        <v>44698</v>
      </c>
      <c r="C4266" s="44">
        <f t="shared" si="203"/>
        <v>44698</v>
      </c>
      <c r="D4266" s="374">
        <v>63</v>
      </c>
      <c r="E4266" s="291" t="str">
        <f>IFERROR(VLOOKUP($D4266,'Clients-Live'!$A:$C,3,0),"")</f>
        <v>AWURU KADARA</v>
      </c>
      <c r="F4266" s="291">
        <f>IFERROR(INDEX(Disbursements!$D:$D,MATCH('Live Collections'!G4266,Disbursements!$C:$C,0)),"")</f>
        <v>3</v>
      </c>
      <c r="G4266" s="34">
        <v>375</v>
      </c>
      <c r="H4266" s="34">
        <v>6025</v>
      </c>
      <c r="I4266" s="34" t="s">
        <v>1357</v>
      </c>
      <c r="J4266" s="48"/>
      <c r="K4266" s="48"/>
      <c r="L4266" s="48"/>
      <c r="M4266" s="48"/>
      <c r="N4266" s="59"/>
      <c r="O4266" s="59">
        <v>95000</v>
      </c>
      <c r="P4266" s="59"/>
      <c r="Q4266" s="268">
        <f t="shared" si="201"/>
        <v>95000</v>
      </c>
      <c r="R4266" s="61">
        <f>IF(O4266=0,0,SUMIFS(Disbursements!$T:$T,Disbursements!$B:$B,'Live Collections'!D4266,Disbursements!$D:$D,'Live Collections'!F4266))</f>
        <v>175000</v>
      </c>
      <c r="S4266" s="304"/>
      <c r="T4266" s="304">
        <f t="shared" si="202"/>
        <v>95000</v>
      </c>
      <c r="U4266" s="52"/>
      <c r="V4266" s="34"/>
      <c r="W4266" s="408"/>
    </row>
    <row r="4267" spans="1:23" ht="12.75" customHeight="1" x14ac:dyDescent="0.2">
      <c r="A4267" s="257">
        <v>4278</v>
      </c>
      <c r="B4267" s="44">
        <v>44698</v>
      </c>
      <c r="C4267" s="44">
        <f t="shared" si="203"/>
        <v>44698</v>
      </c>
      <c r="D4267" s="374">
        <v>335</v>
      </c>
      <c r="E4267" s="291" t="str">
        <f>IFERROR(VLOOKUP($D4267,'Clients-Live'!$A:$C,3,0),"")</f>
        <v>FOGO FRANCIS DRANI</v>
      </c>
      <c r="F4267" s="291">
        <f>IFERROR(INDEX(Disbursements!$D:$D,MATCH('Live Collections'!G4267,Disbursements!$C:$C,0)),"")</f>
        <v>1</v>
      </c>
      <c r="G4267" s="34">
        <v>467</v>
      </c>
      <c r="H4267" s="34">
        <v>6024</v>
      </c>
      <c r="I4267" s="34" t="s">
        <v>1357</v>
      </c>
      <c r="J4267" s="48"/>
      <c r="K4267" s="48"/>
      <c r="L4267" s="48"/>
      <c r="M4267" s="48"/>
      <c r="N4267" s="59"/>
      <c r="O4267" s="59">
        <v>330000</v>
      </c>
      <c r="P4267" s="59"/>
      <c r="Q4267" s="268">
        <f t="shared" ref="Q4267:Q4326" si="204">SUM(J4267:P4267)</f>
        <v>330000</v>
      </c>
      <c r="R4267" s="61">
        <f>IF(O4267=0,0,SUMIFS(Disbursements!$T:$T,Disbursements!$B:$B,'Live Collections'!D4267,Disbursements!$D:$D,'Live Collections'!F4267))</f>
        <v>613000</v>
      </c>
      <c r="S4267" s="304"/>
      <c r="T4267" s="304">
        <f t="shared" si="202"/>
        <v>330000</v>
      </c>
      <c r="U4267" s="52"/>
      <c r="V4267" s="34"/>
      <c r="W4267" s="408"/>
    </row>
    <row r="4268" spans="1:23" ht="12.75" customHeight="1" x14ac:dyDescent="0.2">
      <c r="A4268" s="257">
        <v>4279</v>
      </c>
      <c r="B4268" s="44">
        <v>44698</v>
      </c>
      <c r="C4268" s="44">
        <f t="shared" si="203"/>
        <v>44698</v>
      </c>
      <c r="D4268" s="374">
        <v>73</v>
      </c>
      <c r="E4268" s="291" t="str">
        <f>IFERROR(VLOOKUP($D4268,'Clients-Live'!$A:$C,3,0),"")</f>
        <v>AJONYE DEBORA</v>
      </c>
      <c r="F4268" s="291">
        <f>IFERROR(INDEX(Disbursements!$D:$D,MATCH('Live Collections'!G4268,Disbursements!$C:$C,0)),"")</f>
        <v>3</v>
      </c>
      <c r="G4268" s="34">
        <v>426</v>
      </c>
      <c r="H4268" s="34">
        <v>6023</v>
      </c>
      <c r="I4268" s="34" t="s">
        <v>1357</v>
      </c>
      <c r="J4268" s="48"/>
      <c r="K4268" s="48"/>
      <c r="L4268" s="48"/>
      <c r="M4268" s="48"/>
      <c r="N4268" s="59"/>
      <c r="O4268" s="59">
        <v>53000</v>
      </c>
      <c r="P4268" s="59"/>
      <c r="Q4268" s="268">
        <f t="shared" si="204"/>
        <v>53000</v>
      </c>
      <c r="R4268" s="61">
        <f>IF(O4268=0,0,SUMIFS(Disbursements!$T:$T,Disbursements!$B:$B,'Live Collections'!D4268,Disbursements!$D:$D,'Live Collections'!F4268))</f>
        <v>53000</v>
      </c>
      <c r="S4268" s="304">
        <f>IF(O4268&lt;=IF($O4268=0,0,SUMIFS(Disbursements!$W:$W,Disbursements!$B:$B,'Live Collections'!D4268,Disbursements!$D:$D,'Live Collections'!F4268)),O4268,IF($O4268=0,0,SUMIFS(Disbursements!$W:$W,Disbursements!$B:$B,'Live Collections'!D4268,Disbursements!$D:$D,'Live Collections'!F4268)))</f>
        <v>13000</v>
      </c>
      <c r="T4268" s="304">
        <f t="shared" si="202"/>
        <v>40000</v>
      </c>
      <c r="U4268" s="52"/>
      <c r="V4268" s="34"/>
      <c r="W4268" s="408"/>
    </row>
    <row r="4269" spans="1:23" ht="12.75" customHeight="1" x14ac:dyDescent="0.2">
      <c r="A4269" s="257">
        <v>4280</v>
      </c>
      <c r="B4269" s="44">
        <v>44698</v>
      </c>
      <c r="C4269" s="44">
        <f t="shared" si="203"/>
        <v>44698</v>
      </c>
      <c r="D4269" s="374">
        <v>337</v>
      </c>
      <c r="E4269" s="291" t="str">
        <f>IFERROR(VLOOKUP($D4269,'Clients-Live'!$A:$C,3,0),"")</f>
        <v>AYISA AJONYE</v>
      </c>
      <c r="F4269" s="291">
        <f>IFERROR(INDEX(Disbursements!$D:$D,MATCH('Live Collections'!G4269,Disbursements!$C:$C,0)),"")</f>
        <v>1</v>
      </c>
      <c r="G4269" s="34">
        <v>471</v>
      </c>
      <c r="H4269" s="34">
        <v>6022</v>
      </c>
      <c r="I4269" s="34" t="s">
        <v>1359</v>
      </c>
      <c r="J4269" s="48"/>
      <c r="K4269" s="48"/>
      <c r="L4269" s="48"/>
      <c r="M4269" s="48"/>
      <c r="N4269" s="59"/>
      <c r="O4269" s="59">
        <v>20000</v>
      </c>
      <c r="P4269" s="59"/>
      <c r="Q4269" s="268">
        <f t="shared" si="204"/>
        <v>20000</v>
      </c>
      <c r="R4269" s="61">
        <f>IF(O4269=0,0,SUMIFS(Disbursements!$T:$T,Disbursements!$B:$B,'Live Collections'!D4269,Disbursements!$D:$D,'Live Collections'!F4269))</f>
        <v>126000</v>
      </c>
      <c r="S4269" s="304">
        <f>IF(O4269&lt;=IF($O4269=0,0,SUMIFS(Disbursements!$W:$W,Disbursements!$B:$B,'Live Collections'!D4269,Disbursements!$D:$D,'Live Collections'!F4269)),O4269,IF($O4269=0,0,SUMIFS(Disbursements!$W:$W,Disbursements!$B:$B,'Live Collections'!D4269,Disbursements!$D:$D,'Live Collections'!F4269)))</f>
        <v>20000</v>
      </c>
      <c r="T4269" s="304">
        <f t="shared" si="202"/>
        <v>0</v>
      </c>
      <c r="U4269" s="52"/>
      <c r="V4269" s="34"/>
      <c r="W4269" s="408"/>
    </row>
    <row r="4270" spans="1:23" ht="12.75" customHeight="1" x14ac:dyDescent="0.2">
      <c r="A4270" s="257">
        <v>4281</v>
      </c>
      <c r="B4270" s="44">
        <v>44698</v>
      </c>
      <c r="C4270" s="44">
        <f t="shared" si="203"/>
        <v>44698</v>
      </c>
      <c r="D4270" s="374">
        <v>310</v>
      </c>
      <c r="E4270" s="291" t="str">
        <f>IFERROR(VLOOKUP($D4270,'Clients-Live'!$A:$C,3,0),"")</f>
        <v>TUKEI JOB</v>
      </c>
      <c r="F4270" s="291">
        <f>IFERROR(INDEX(Disbursements!$D:$D,MATCH('Live Collections'!G4270,Disbursements!$C:$C,0)),"")</f>
        <v>1</v>
      </c>
      <c r="G4270" s="34">
        <v>492</v>
      </c>
      <c r="H4270" s="34">
        <v>6021</v>
      </c>
      <c r="I4270" s="34" t="s">
        <v>1359</v>
      </c>
      <c r="J4270" s="48"/>
      <c r="K4270" s="48"/>
      <c r="L4270" s="48"/>
      <c r="M4270" s="48"/>
      <c r="N4270" s="59"/>
      <c r="O4270" s="59">
        <v>630000</v>
      </c>
      <c r="P4270" s="59"/>
      <c r="Q4270" s="268">
        <f t="shared" si="204"/>
        <v>630000</v>
      </c>
      <c r="R4270" s="61">
        <f>IF(O4270=0,0,SUMIFS(Disbursements!$T:$T,Disbursements!$B:$B,'Live Collections'!D4270,Disbursements!$D:$D,'Live Collections'!F4270))</f>
        <v>945000</v>
      </c>
      <c r="S4270" s="304">
        <f>IF(O4270&lt;=IF($O4270=0,0,SUMIFS(Disbursements!$W:$W,Disbursements!$B:$B,'Live Collections'!D4270,Disbursements!$D:$D,'Live Collections'!F4270)),O4270,IF($O4270=0,0,SUMIFS(Disbursements!$W:$W,Disbursements!$B:$B,'Live Collections'!D4270,Disbursements!$D:$D,'Live Collections'!F4270)))</f>
        <v>195000</v>
      </c>
      <c r="T4270" s="304">
        <f t="shared" si="202"/>
        <v>435000</v>
      </c>
      <c r="U4270" s="52"/>
      <c r="V4270" s="34"/>
      <c r="W4270" s="408"/>
    </row>
    <row r="4271" spans="1:23" ht="12.75" customHeight="1" x14ac:dyDescent="0.2">
      <c r="A4271" s="257">
        <v>4282</v>
      </c>
      <c r="B4271" s="44">
        <v>44699</v>
      </c>
      <c r="C4271" s="44">
        <f t="shared" si="203"/>
        <v>44699</v>
      </c>
      <c r="D4271" s="374">
        <v>233</v>
      </c>
      <c r="E4271" s="291" t="str">
        <f>IFERROR(VLOOKUP($D4271,'Clients-Live'!$A:$C,3,0),"")</f>
        <v>KAMOYO HARRIET</v>
      </c>
      <c r="F4271" s="291">
        <f>IFERROR(INDEX(Disbursements!$D:$D,MATCH('Live Collections'!G4271,Disbursements!$C:$C,0)),"")</f>
        <v>2</v>
      </c>
      <c r="G4271" s="34">
        <v>469</v>
      </c>
      <c r="H4271" s="34">
        <v>6036</v>
      </c>
      <c r="I4271" s="34" t="s">
        <v>1358</v>
      </c>
      <c r="J4271" s="48"/>
      <c r="K4271" s="48"/>
      <c r="L4271" s="48"/>
      <c r="M4271" s="48"/>
      <c r="N4271" s="59"/>
      <c r="O4271" s="59">
        <v>105000</v>
      </c>
      <c r="P4271" s="59"/>
      <c r="Q4271" s="268">
        <f t="shared" si="204"/>
        <v>105000</v>
      </c>
      <c r="R4271" s="61">
        <f>IF(O4271=0,0,SUMIFS(Disbursements!$T:$T,Disbursements!$B:$B,'Live Collections'!D4271,Disbursements!$D:$D,'Live Collections'!F4271))</f>
        <v>158000</v>
      </c>
      <c r="S4271" s="304">
        <f>IF(O4271&lt;=IF($O4271=0,0,SUMIFS(Disbursements!$W:$W,Disbursements!$B:$B,'Live Collections'!D4271,Disbursements!$D:$D,'Live Collections'!F4271)),O4271,IF($O4271=0,0,SUMIFS(Disbursements!$W:$W,Disbursements!$B:$B,'Live Collections'!D4271,Disbursements!$D:$D,'Live Collections'!F4271)))</f>
        <v>33000</v>
      </c>
      <c r="T4271" s="304">
        <f t="shared" si="202"/>
        <v>72000</v>
      </c>
      <c r="U4271" s="52"/>
      <c r="V4271" s="34"/>
      <c r="W4271" s="408"/>
    </row>
    <row r="4272" spans="1:23" ht="12.75" customHeight="1" x14ac:dyDescent="0.2">
      <c r="A4272" s="257">
        <v>4283</v>
      </c>
      <c r="B4272" s="44">
        <v>44699</v>
      </c>
      <c r="C4272" s="44">
        <f t="shared" si="203"/>
        <v>44699</v>
      </c>
      <c r="D4272" s="374">
        <v>18</v>
      </c>
      <c r="E4272" s="291" t="str">
        <f>IFERROR(VLOOKUP($D4272,'Clients-Live'!$A:$C,3,0),"")</f>
        <v>ARIYE PEACE</v>
      </c>
      <c r="F4272" s="291">
        <f>IFERROR(INDEX(Disbursements!$D:$D,MATCH('Live Collections'!G4272,Disbursements!$C:$C,0)),"")</f>
        <v>2</v>
      </c>
      <c r="G4272" s="34">
        <v>317</v>
      </c>
      <c r="H4272" s="34">
        <v>6035</v>
      </c>
      <c r="I4272" s="34" t="s">
        <v>1357</v>
      </c>
      <c r="J4272" s="48"/>
      <c r="K4272" s="48"/>
      <c r="L4272" s="48"/>
      <c r="M4272" s="48"/>
      <c r="N4272" s="59"/>
      <c r="O4272" s="59">
        <v>100000</v>
      </c>
      <c r="P4272" s="59"/>
      <c r="Q4272" s="268">
        <f t="shared" si="204"/>
        <v>100000</v>
      </c>
      <c r="R4272" s="61">
        <f>IF(O4272=0,0,SUMIFS(Disbursements!$T:$T,Disbursements!$B:$B,'Live Collections'!D4272,Disbursements!$D:$D,'Live Collections'!F4272))</f>
        <v>650000</v>
      </c>
      <c r="S4272" s="304"/>
      <c r="T4272" s="304">
        <f t="shared" si="202"/>
        <v>100000</v>
      </c>
      <c r="U4272" s="52"/>
      <c r="V4272" s="34"/>
      <c r="W4272" s="408"/>
    </row>
    <row r="4273" spans="1:23" ht="12.75" customHeight="1" x14ac:dyDescent="0.2">
      <c r="A4273" s="257">
        <v>4284</v>
      </c>
      <c r="B4273" s="44">
        <v>44699</v>
      </c>
      <c r="C4273" s="44">
        <f t="shared" si="203"/>
        <v>44699</v>
      </c>
      <c r="D4273" s="374">
        <v>139</v>
      </c>
      <c r="E4273" s="291" t="str">
        <f>IFERROR(VLOOKUP($D4273,'Clients-Live'!$A:$C,3,0),"")</f>
        <v xml:space="preserve">DRICHIRU MAIMUNA </v>
      </c>
      <c r="F4273" s="291">
        <f>IFERROR(INDEX(Disbursements!$D:$D,MATCH('Live Collections'!G4273,Disbursements!$C:$C,0)),"")</f>
        <v>2</v>
      </c>
      <c r="G4273" s="34">
        <v>451</v>
      </c>
      <c r="H4273" s="34">
        <v>6063</v>
      </c>
      <c r="I4273" s="34" t="s">
        <v>1359</v>
      </c>
      <c r="J4273" s="48"/>
      <c r="K4273" s="48"/>
      <c r="L4273" s="48"/>
      <c r="M4273" s="48"/>
      <c r="N4273" s="59"/>
      <c r="O4273" s="59">
        <v>55000</v>
      </c>
      <c r="P4273" s="59"/>
      <c r="Q4273" s="268">
        <f t="shared" si="204"/>
        <v>55000</v>
      </c>
      <c r="R4273" s="61">
        <f>IF(O4273=0,0,SUMIFS(Disbursements!$T:$T,Disbursements!$B:$B,'Live Collections'!D4273,Disbursements!$D:$D,'Live Collections'!F4273))</f>
        <v>30000</v>
      </c>
      <c r="S4273" s="304">
        <f>IF(O4273&lt;=IF($O4273=0,0,SUMIFS(Disbursements!$W:$W,Disbursements!$B:$B,'Live Collections'!D4273,Disbursements!$D:$D,'Live Collections'!F4273)),O4273,IF($O4273=0,0,SUMIFS(Disbursements!$W:$W,Disbursements!$B:$B,'Live Collections'!D4273,Disbursements!$D:$D,'Live Collections'!F4273)))</f>
        <v>5000</v>
      </c>
      <c r="T4273" s="304">
        <f t="shared" si="202"/>
        <v>50000</v>
      </c>
      <c r="U4273" s="52"/>
      <c r="V4273" s="34"/>
      <c r="W4273" s="408"/>
    </row>
    <row r="4274" spans="1:23" ht="12.75" customHeight="1" x14ac:dyDescent="0.2">
      <c r="A4274" s="257">
        <v>4285</v>
      </c>
      <c r="B4274" s="44">
        <v>44699</v>
      </c>
      <c r="C4274" s="44">
        <f t="shared" si="203"/>
        <v>44699</v>
      </c>
      <c r="D4274" s="374">
        <v>44</v>
      </c>
      <c r="E4274" s="291" t="str">
        <f>IFERROR(VLOOKUP($D4274,'Clients-Live'!$A:$C,3,0),"")</f>
        <v>CANDIRU HELLEN</v>
      </c>
      <c r="F4274" s="291">
        <f>IFERROR(INDEX(Disbursements!$D:$D,MATCH('Live Collections'!G4274,Disbursements!$C:$C,0)),"")</f>
        <v>3</v>
      </c>
      <c r="G4274" s="34">
        <v>362</v>
      </c>
      <c r="H4274" s="34">
        <v>6032</v>
      </c>
      <c r="I4274" s="34" t="s">
        <v>1358</v>
      </c>
      <c r="J4274" s="48"/>
      <c r="K4274" s="48"/>
      <c r="L4274" s="48"/>
      <c r="M4274" s="48"/>
      <c r="N4274" s="59"/>
      <c r="O4274" s="59">
        <v>240000</v>
      </c>
      <c r="P4274" s="59"/>
      <c r="Q4274" s="268">
        <f t="shared" si="204"/>
        <v>240000</v>
      </c>
      <c r="R4274" s="61">
        <f>IF(O4274=0,0,SUMIFS(Disbursements!$T:$T,Disbursements!$B:$B,'Live Collections'!D4274,Disbursements!$D:$D,'Live Collections'!F4274))</f>
        <v>325000</v>
      </c>
      <c r="S4274" s="304">
        <f>IF(O4274&lt;=IF($O4274=0,0,SUMIFS(Disbursements!$W:$W,Disbursements!$B:$B,'Live Collections'!D4274,Disbursements!$D:$D,'Live Collections'!F4274)),O4274,IF($O4274=0,0,SUMIFS(Disbursements!$W:$W,Disbursements!$B:$B,'Live Collections'!D4274,Disbursements!$D:$D,'Live Collections'!F4274)))</f>
        <v>75000</v>
      </c>
      <c r="T4274" s="304">
        <f t="shared" si="202"/>
        <v>165000</v>
      </c>
      <c r="U4274" s="52"/>
      <c r="V4274" s="34"/>
      <c r="W4274" s="408"/>
    </row>
    <row r="4275" spans="1:23" ht="12.75" customHeight="1" x14ac:dyDescent="0.2">
      <c r="A4275" s="257">
        <v>4286</v>
      </c>
      <c r="B4275" s="44">
        <v>44699</v>
      </c>
      <c r="C4275" s="44">
        <f t="shared" si="203"/>
        <v>44699</v>
      </c>
      <c r="D4275" s="374">
        <v>313</v>
      </c>
      <c r="E4275" s="291" t="str">
        <f>IFERROR(VLOOKUP($D4275,'Clients-Live'!$A:$C,3,0),"")</f>
        <v>TWAHA GBAGBE</v>
      </c>
      <c r="F4275" s="291">
        <f>IFERROR(INDEX(Disbursements!$D:$D,MATCH('Live Collections'!G4275,Disbursements!$C:$C,0)),"")</f>
        <v>1</v>
      </c>
      <c r="G4275" s="34">
        <v>410</v>
      </c>
      <c r="H4275" s="34">
        <v>6033</v>
      </c>
      <c r="I4275" s="34" t="s">
        <v>1357</v>
      </c>
      <c r="J4275" s="48"/>
      <c r="K4275" s="48"/>
      <c r="L4275" s="48"/>
      <c r="M4275" s="48"/>
      <c r="N4275" s="59"/>
      <c r="O4275" s="59">
        <v>300000</v>
      </c>
      <c r="P4275" s="59"/>
      <c r="Q4275" s="268">
        <f t="shared" si="204"/>
        <v>300000</v>
      </c>
      <c r="R4275" s="61">
        <f>IF(O4275=0,0,SUMIFS(Disbursements!$T:$T,Disbursements!$B:$B,'Live Collections'!D4275,Disbursements!$D:$D,'Live Collections'!F4275))</f>
        <v>339000</v>
      </c>
      <c r="S4275" s="304">
        <f>IF(O4275&lt;=IF($O4275=0,0,SUMIFS(Disbursements!$W:$W,Disbursements!$B:$B,'Live Collections'!D4275,Disbursements!$D:$D,'Live Collections'!F4275)),O4275,IF($O4275=0,0,SUMIFS(Disbursements!$W:$W,Disbursements!$B:$B,'Live Collections'!D4275,Disbursements!$D:$D,'Live Collections'!F4275)))</f>
        <v>105666.66666666666</v>
      </c>
      <c r="T4275" s="304">
        <f t="shared" si="202"/>
        <v>194333.33333333334</v>
      </c>
      <c r="U4275" s="52"/>
      <c r="V4275" s="34"/>
      <c r="W4275" s="408"/>
    </row>
    <row r="4276" spans="1:23" ht="12.75" customHeight="1" x14ac:dyDescent="0.2">
      <c r="A4276" s="257">
        <v>4287</v>
      </c>
      <c r="B4276" s="44">
        <v>44699</v>
      </c>
      <c r="C4276" s="44">
        <f t="shared" si="203"/>
        <v>44699</v>
      </c>
      <c r="D4276" s="374">
        <v>278</v>
      </c>
      <c r="E4276" s="291" t="str">
        <f>IFERROR(VLOOKUP($D4276,'Clients-Live'!$A:$C,3,0),"")</f>
        <v>AATE SUZAN</v>
      </c>
      <c r="F4276" s="291">
        <f>IFERROR(INDEX(Disbursements!$D:$D,MATCH('Live Collections'!G4276,Disbursements!$C:$C,0)),"")</f>
        <v>1</v>
      </c>
      <c r="G4276" s="34">
        <v>308</v>
      </c>
      <c r="H4276" s="34">
        <v>6065</v>
      </c>
      <c r="I4276" s="34" t="s">
        <v>1359</v>
      </c>
      <c r="J4276" s="48"/>
      <c r="K4276" s="48"/>
      <c r="L4276" s="48"/>
      <c r="M4276" s="48"/>
      <c r="N4276" s="59"/>
      <c r="O4276" s="59">
        <v>25000</v>
      </c>
      <c r="P4276" s="59"/>
      <c r="Q4276" s="268">
        <f t="shared" si="204"/>
        <v>25000</v>
      </c>
      <c r="R4276" s="61">
        <f>IF(O4276=0,0,SUMIFS(Disbursements!$T:$T,Disbursements!$B:$B,'Live Collections'!D4276,Disbursements!$D:$D,'Live Collections'!F4276))</f>
        <v>60000</v>
      </c>
      <c r="S4276" s="304"/>
      <c r="T4276" s="304">
        <f t="shared" si="202"/>
        <v>25000</v>
      </c>
      <c r="U4276" s="52"/>
      <c r="V4276" s="34"/>
      <c r="W4276" s="408"/>
    </row>
    <row r="4277" spans="1:23" ht="12.75" customHeight="1" x14ac:dyDescent="0.2">
      <c r="A4277" s="257">
        <v>4288</v>
      </c>
      <c r="B4277" s="44">
        <v>44699</v>
      </c>
      <c r="C4277" s="44">
        <f t="shared" si="203"/>
        <v>44699</v>
      </c>
      <c r="D4277" s="374">
        <v>186</v>
      </c>
      <c r="E4277" s="291" t="str">
        <f>IFERROR(VLOOKUP($D4277,'Clients-Live'!$A:$C,3,0),"")</f>
        <v>GIFT JAMES</v>
      </c>
      <c r="F4277" s="291">
        <f>IFERROR(INDEX(Disbursements!$D:$D,MATCH('Live Collections'!G4277,Disbursements!$C:$C,0)),"")</f>
        <v>3</v>
      </c>
      <c r="G4277" s="34">
        <v>366</v>
      </c>
      <c r="H4277" s="34">
        <v>6064</v>
      </c>
      <c r="I4277" s="34" t="s">
        <v>1359</v>
      </c>
      <c r="J4277" s="48"/>
      <c r="K4277" s="48"/>
      <c r="L4277" s="48"/>
      <c r="M4277" s="48"/>
      <c r="N4277" s="59"/>
      <c r="O4277" s="59">
        <v>833000</v>
      </c>
      <c r="P4277" s="59"/>
      <c r="Q4277" s="268">
        <f t="shared" si="204"/>
        <v>833000</v>
      </c>
      <c r="R4277" s="61">
        <f>IF(O4277=0,0,SUMIFS(Disbursements!$T:$T,Disbursements!$B:$B,'Live Collections'!D4277,Disbursements!$D:$D,'Live Collections'!F4277))</f>
        <v>434000</v>
      </c>
      <c r="S4277" s="304">
        <f>IF(O4277&lt;=IF($O4277=0,0,SUMIFS(Disbursements!$W:$W,Disbursements!$B:$B,'Live Collections'!D4277,Disbursements!$D:$D,'Live Collections'!F4277)),O4277,IF($O4277=0,0,SUMIFS(Disbursements!$W:$W,Disbursements!$B:$B,'Live Collections'!D4277,Disbursements!$D:$D,'Live Collections'!F4277)))</f>
        <v>100666.66666666669</v>
      </c>
      <c r="T4277" s="304">
        <f t="shared" si="202"/>
        <v>732333.33333333326</v>
      </c>
      <c r="U4277" s="52"/>
      <c r="V4277" s="34"/>
      <c r="W4277" s="408"/>
    </row>
    <row r="4278" spans="1:23" ht="12.75" customHeight="1" x14ac:dyDescent="0.2">
      <c r="A4278" s="257">
        <v>4289</v>
      </c>
      <c r="B4278" s="44">
        <v>44699</v>
      </c>
      <c r="C4278" s="44">
        <f t="shared" si="203"/>
        <v>44699</v>
      </c>
      <c r="D4278" s="374">
        <v>142</v>
      </c>
      <c r="E4278" s="291" t="str">
        <f>IFERROR(VLOOKUP($D4278,'Clients-Live'!$A:$C,3,0),"")</f>
        <v>TABU MARY</v>
      </c>
      <c r="F4278" s="291">
        <f>IFERROR(INDEX(Disbursements!$D:$D,MATCH('Live Collections'!G4278,Disbursements!$C:$C,0)),"")</f>
        <v>6</v>
      </c>
      <c r="G4278" s="34">
        <v>383</v>
      </c>
      <c r="H4278" s="34">
        <v>6066</v>
      </c>
      <c r="I4278" s="34" t="s">
        <v>1357</v>
      </c>
      <c r="J4278" s="48"/>
      <c r="K4278" s="48"/>
      <c r="L4278" s="48"/>
      <c r="M4278" s="48"/>
      <c r="N4278" s="59"/>
      <c r="O4278" s="59">
        <v>500000</v>
      </c>
      <c r="P4278" s="59"/>
      <c r="Q4278" s="268">
        <f t="shared" si="204"/>
        <v>500000</v>
      </c>
      <c r="R4278" s="61">
        <f>IF(O4278=0,0,SUMIFS(Disbursements!$T:$T,Disbursements!$B:$B,'Live Collections'!D4278,Disbursements!$D:$D,'Live Collections'!F4278))</f>
        <v>325000</v>
      </c>
      <c r="S4278" s="304">
        <f>IF(O4278&lt;=IF($O4278=0,0,SUMIFS(Disbursements!$W:$W,Disbursements!$B:$B,'Live Collections'!D4278,Disbursements!$D:$D,'Live Collections'!F4278)),O4278,IF($O4278=0,0,SUMIFS(Disbursements!$W:$W,Disbursements!$B:$B,'Live Collections'!D4278,Disbursements!$D:$D,'Live Collections'!F4278)))</f>
        <v>75000</v>
      </c>
      <c r="T4278" s="304">
        <v>373000</v>
      </c>
      <c r="U4278" s="52"/>
      <c r="V4278" s="34"/>
      <c r="W4278" s="408"/>
    </row>
    <row r="4279" spans="1:23" ht="12.75" customHeight="1" x14ac:dyDescent="0.2">
      <c r="A4279" s="257">
        <v>4290</v>
      </c>
      <c r="B4279" s="44">
        <v>44699</v>
      </c>
      <c r="C4279" s="44">
        <f t="shared" si="203"/>
        <v>44699</v>
      </c>
      <c r="D4279" s="374">
        <v>142</v>
      </c>
      <c r="E4279" s="291" t="str">
        <f>IFERROR(VLOOKUP($D4279,'Clients-Live'!$A:$C,3,0),"")</f>
        <v>TABU MARY</v>
      </c>
      <c r="F4279" s="291">
        <f>IFERROR(INDEX(Disbursements!$D:$D,MATCH('Live Collections'!G4279,Disbursements!$C:$C,0)),"")</f>
        <v>6</v>
      </c>
      <c r="G4279" s="34">
        <v>383</v>
      </c>
      <c r="H4279" s="34" t="s">
        <v>2428</v>
      </c>
      <c r="I4279" s="34" t="s">
        <v>1357</v>
      </c>
      <c r="J4279" s="48"/>
      <c r="K4279" s="48"/>
      <c r="L4279" s="48"/>
      <c r="M4279" s="48"/>
      <c r="N4279" s="59"/>
      <c r="O4279" s="59">
        <v>150000</v>
      </c>
      <c r="P4279" s="59">
        <v>-150000</v>
      </c>
      <c r="Q4279" s="268">
        <f t="shared" si="204"/>
        <v>0</v>
      </c>
      <c r="R4279" s="61">
        <f>IF(O4279=0,0,SUMIFS(Disbursements!$T:$T,Disbursements!$B:$B,'Live Collections'!D4279,Disbursements!$D:$D,'Live Collections'!F4279))</f>
        <v>325000</v>
      </c>
      <c r="S4279" s="304">
        <v>202000</v>
      </c>
      <c r="T4279" s="304"/>
      <c r="U4279" s="52"/>
      <c r="V4279" s="34"/>
      <c r="W4279" s="408"/>
    </row>
    <row r="4280" spans="1:23" ht="12.75" customHeight="1" x14ac:dyDescent="0.2">
      <c r="A4280" s="257">
        <v>4291</v>
      </c>
      <c r="B4280" s="44">
        <v>44699</v>
      </c>
      <c r="C4280" s="44">
        <f t="shared" si="203"/>
        <v>44699</v>
      </c>
      <c r="D4280" s="374">
        <v>210</v>
      </c>
      <c r="E4280" s="291" t="str">
        <f>IFERROR(VLOOKUP($D4280,'Clients-Live'!$A:$C,3,0),"")</f>
        <v>ADRILI ZAHARA</v>
      </c>
      <c r="F4280" s="291">
        <f>IFERROR(INDEX(Disbursements!$D:$D,MATCH('Live Collections'!G4280,Disbursements!$C:$C,0)),"")</f>
        <v>2</v>
      </c>
      <c r="G4280" s="34">
        <v>379</v>
      </c>
      <c r="H4280" s="34" t="s">
        <v>2429</v>
      </c>
      <c r="I4280" s="34" t="s">
        <v>1357</v>
      </c>
      <c r="J4280" s="48"/>
      <c r="K4280" s="48"/>
      <c r="L4280" s="48"/>
      <c r="M4280" s="48"/>
      <c r="N4280" s="59"/>
      <c r="O4280" s="59">
        <v>70000</v>
      </c>
      <c r="P4280" s="59">
        <v>-70000</v>
      </c>
      <c r="Q4280" s="268">
        <f t="shared" si="204"/>
        <v>0</v>
      </c>
      <c r="R4280" s="61">
        <f>IF(O4280=0,0,SUMIFS(Disbursements!$T:$T,Disbursements!$B:$B,'Live Collections'!D4280,Disbursements!$D:$D,'Live Collections'!F4280))</f>
        <v>175000</v>
      </c>
      <c r="S4280" s="304">
        <f>IF(O4280&lt;=IF($O4280=0,0,SUMIFS(Disbursements!$W:$W,Disbursements!$B:$B,'Live Collections'!D4280,Disbursements!$D:$D,'Live Collections'!F4280)),O4280,IF($O4280=0,0,SUMIFS(Disbursements!$W:$W,Disbursements!$B:$B,'Live Collections'!D4280,Disbursements!$D:$D,'Live Collections'!F4280)))</f>
        <v>35000</v>
      </c>
      <c r="T4280" s="304">
        <f t="shared" ref="T4280:T4514" si="205">IF(O4280=0,0,O4280-S4280)</f>
        <v>35000</v>
      </c>
      <c r="U4280" s="52"/>
      <c r="V4280" s="34"/>
      <c r="W4280" s="408"/>
    </row>
    <row r="4281" spans="1:23" ht="12.75" customHeight="1" x14ac:dyDescent="0.2">
      <c r="A4281" s="257">
        <v>4292</v>
      </c>
      <c r="B4281" s="44">
        <v>44699</v>
      </c>
      <c r="C4281" s="44">
        <f t="shared" si="203"/>
        <v>44699</v>
      </c>
      <c r="D4281" s="374">
        <v>210</v>
      </c>
      <c r="E4281" s="291" t="str">
        <f>IFERROR(VLOOKUP($D4281,'Clients-Live'!$A:$C,3,0),"")</f>
        <v>ADRILI ZAHARA</v>
      </c>
      <c r="F4281" s="291">
        <f>IFERROR(INDEX(Disbursements!$D:$D,MATCH('Live Collections'!G4281,Disbursements!$C:$C,0)),"")</f>
        <v>2</v>
      </c>
      <c r="G4281" s="34">
        <v>379</v>
      </c>
      <c r="H4281" s="34">
        <v>6062</v>
      </c>
      <c r="I4281" s="34" t="s">
        <v>1357</v>
      </c>
      <c r="J4281" s="48"/>
      <c r="K4281" s="48"/>
      <c r="L4281" s="48"/>
      <c r="M4281" s="48"/>
      <c r="N4281" s="59"/>
      <c r="O4281" s="59">
        <v>105000</v>
      </c>
      <c r="P4281" s="59"/>
      <c r="Q4281" s="268">
        <f t="shared" si="204"/>
        <v>105000</v>
      </c>
      <c r="R4281" s="61">
        <f>IF(O4281=0,0,SUMIFS(Disbursements!$T:$T,Disbursements!$B:$B,'Live Collections'!D4281,Disbursements!$D:$D,'Live Collections'!F4281))</f>
        <v>175000</v>
      </c>
      <c r="S4281" s="64">
        <v>45000</v>
      </c>
      <c r="T4281" s="304">
        <v>60000</v>
      </c>
      <c r="U4281" s="52"/>
      <c r="V4281" s="34"/>
      <c r="W4281" s="408"/>
    </row>
    <row r="4282" spans="1:23" ht="12.75" customHeight="1" x14ac:dyDescent="0.2">
      <c r="A4282" s="257">
        <v>4293</v>
      </c>
      <c r="B4282" s="44">
        <v>44700</v>
      </c>
      <c r="C4282" s="44">
        <f t="shared" si="203"/>
        <v>44700</v>
      </c>
      <c r="D4282" s="374">
        <v>221</v>
      </c>
      <c r="E4282" s="291" t="str">
        <f>IFERROR(VLOOKUP($D4282,'Clients-Live'!$A:$C,3,0),"")</f>
        <v>NAMUDDU MARY</v>
      </c>
      <c r="F4282" s="291">
        <f>IFERROR(INDEX(Disbursements!$D:$D,MATCH('Live Collections'!G4282,Disbursements!$C:$C,0)),"")</f>
        <v>2</v>
      </c>
      <c r="G4282" s="34">
        <v>407</v>
      </c>
      <c r="H4282" s="34">
        <v>6071</v>
      </c>
      <c r="I4282" s="34" t="s">
        <v>1359</v>
      </c>
      <c r="J4282" s="48"/>
      <c r="K4282" s="48"/>
      <c r="L4282" s="48"/>
      <c r="M4282" s="48"/>
      <c r="N4282" s="59"/>
      <c r="O4282" s="59">
        <v>330800</v>
      </c>
      <c r="P4282" s="59"/>
      <c r="Q4282" s="268">
        <f t="shared" si="204"/>
        <v>330800</v>
      </c>
      <c r="R4282" s="61">
        <f>IF(O4282=0,0,SUMIFS(Disbursements!$T:$T,Disbursements!$B:$B,'Live Collections'!D4282,Disbursements!$D:$D,'Live Collections'!F4282))</f>
        <v>79000</v>
      </c>
      <c r="S4282" s="304">
        <f>IF(O4282&lt;=IF($O4282=0,0,SUMIFS(Disbursements!$W:$W,Disbursements!$B:$B,'Live Collections'!D4282,Disbursements!$D:$D,'Live Collections'!F4282)),O4282,IF($O4282=0,0,SUMIFS(Disbursements!$W:$W,Disbursements!$B:$B,'Live Collections'!D4282,Disbursements!$D:$D,'Live Collections'!F4282)))</f>
        <v>16500</v>
      </c>
      <c r="T4282" s="304">
        <v>258000</v>
      </c>
      <c r="U4282" s="52"/>
      <c r="V4282" s="34"/>
      <c r="W4282" s="408"/>
    </row>
    <row r="4283" spans="1:23" ht="12.75" customHeight="1" x14ac:dyDescent="0.2">
      <c r="A4283" s="257">
        <v>4294</v>
      </c>
      <c r="B4283" s="44">
        <v>44700</v>
      </c>
      <c r="C4283" s="44">
        <f t="shared" si="203"/>
        <v>44700</v>
      </c>
      <c r="D4283" s="374">
        <v>221</v>
      </c>
      <c r="E4283" s="291" t="str">
        <f>IFERROR(VLOOKUP($D4283,'Clients-Live'!$A:$C,3,0),"")</f>
        <v>NAMUDDU MARY</v>
      </c>
      <c r="F4283" s="291">
        <f>IFERROR(INDEX(Disbursements!$D:$D,MATCH('Live Collections'!G4283,Disbursements!$C:$C,0)),"")</f>
        <v>2</v>
      </c>
      <c r="G4283" s="34">
        <v>407</v>
      </c>
      <c r="H4283" s="34" t="s">
        <v>2430</v>
      </c>
      <c r="I4283" s="34" t="s">
        <v>1359</v>
      </c>
      <c r="J4283" s="48"/>
      <c r="K4283" s="48"/>
      <c r="L4283" s="48"/>
      <c r="M4283" s="48"/>
      <c r="N4283" s="59"/>
      <c r="O4283" s="59">
        <v>100000</v>
      </c>
      <c r="P4283" s="59">
        <v>-100000</v>
      </c>
      <c r="Q4283" s="268">
        <f t="shared" si="204"/>
        <v>0</v>
      </c>
      <c r="R4283" s="61">
        <f>IF(O4283=0,0,SUMIFS(Disbursements!$T:$T,Disbursements!$B:$B,'Live Collections'!D4283,Disbursements!$D:$D,'Live Collections'!F4283))</f>
        <v>79000</v>
      </c>
      <c r="S4283" s="304">
        <v>159500</v>
      </c>
      <c r="T4283" s="304"/>
      <c r="U4283" s="52"/>
      <c r="V4283" s="34"/>
      <c r="W4283" s="408"/>
    </row>
    <row r="4284" spans="1:23" ht="12.75" customHeight="1" x14ac:dyDescent="0.2">
      <c r="A4284" s="257">
        <v>4295</v>
      </c>
      <c r="B4284" s="44">
        <v>44700</v>
      </c>
      <c r="C4284" s="44">
        <f t="shared" si="203"/>
        <v>44700</v>
      </c>
      <c r="D4284" s="374">
        <v>97</v>
      </c>
      <c r="E4284" s="291" t="str">
        <f>IFERROR(VLOOKUP($D4284,'Clients-Live'!$A:$C,3,0),"")</f>
        <v>DRANDUA JOB CHRISPUS</v>
      </c>
      <c r="F4284" s="291">
        <f>IFERROR(INDEX(Disbursements!$D:$D,MATCH('Live Collections'!G4284,Disbursements!$C:$C,0)),"")</f>
        <v>6</v>
      </c>
      <c r="G4284" s="34">
        <v>510</v>
      </c>
      <c r="H4284" s="34">
        <v>6040</v>
      </c>
      <c r="I4284" s="34" t="s">
        <v>1359</v>
      </c>
      <c r="J4284" s="48"/>
      <c r="K4284" s="48"/>
      <c r="L4284" s="48"/>
      <c r="M4284" s="48"/>
      <c r="N4284" s="59"/>
      <c r="O4284" s="59">
        <v>7720000</v>
      </c>
      <c r="P4284" s="59"/>
      <c r="Q4284" s="268">
        <f t="shared" si="204"/>
        <v>7720000</v>
      </c>
      <c r="R4284" s="61">
        <f>IF(O4284=0,0,SUMIFS(Disbursements!$T:$T,Disbursements!$B:$B,'Live Collections'!D4284,Disbursements!$D:$D,'Live Collections'!F4284))</f>
        <v>8520000</v>
      </c>
      <c r="S4284" s="304">
        <f>IF(O4284&lt;=IF($O4284=0,0,SUMIFS(Disbursements!$W:$W,Disbursements!$B:$B,'Live Collections'!D4284,Disbursements!$D:$D,'Live Collections'!F4284)),O4284,IF($O4284=0,0,SUMIFS(Disbursements!$W:$W,Disbursements!$B:$B,'Live Collections'!D4284,Disbursements!$D:$D,'Live Collections'!F4284)))</f>
        <v>520000</v>
      </c>
      <c r="T4284" s="304">
        <f t="shared" si="205"/>
        <v>7200000</v>
      </c>
      <c r="U4284" s="52"/>
      <c r="V4284" s="34"/>
      <c r="W4284" s="408"/>
    </row>
    <row r="4285" spans="1:23" ht="12.75" customHeight="1" x14ac:dyDescent="0.2">
      <c r="A4285" s="257">
        <v>4296</v>
      </c>
      <c r="B4285" s="44">
        <v>44700</v>
      </c>
      <c r="C4285" s="44">
        <f t="shared" si="203"/>
        <v>44700</v>
      </c>
      <c r="D4285" s="374">
        <v>97</v>
      </c>
      <c r="E4285" s="291" t="str">
        <f>IFERROR(VLOOKUP($D4285,'Clients-Live'!$A:$C,3,0),"")</f>
        <v>DRANDUA JOB CHRISPUS</v>
      </c>
      <c r="F4285" s="291">
        <f>IFERROR(INDEX(Disbursements!$D:$D,MATCH('Live Collections'!G4285,Disbursements!$C:$C,0)),"")</f>
        <v>6</v>
      </c>
      <c r="G4285" s="34">
        <v>510</v>
      </c>
      <c r="H4285" s="34" t="s">
        <v>2431</v>
      </c>
      <c r="I4285" s="34" t="s">
        <v>1359</v>
      </c>
      <c r="J4285" s="48"/>
      <c r="K4285" s="48"/>
      <c r="L4285" s="48"/>
      <c r="M4285" s="48"/>
      <c r="N4285" s="59"/>
      <c r="O4285" s="59">
        <v>800000</v>
      </c>
      <c r="P4285" s="59">
        <v>-800000</v>
      </c>
      <c r="Q4285" s="268">
        <f t="shared" si="204"/>
        <v>0</v>
      </c>
      <c r="R4285" s="61">
        <f>IF(O4285=0,0,SUMIFS(Disbursements!$T:$T,Disbursements!$B:$B,'Live Collections'!D4285,Disbursements!$D:$D,'Live Collections'!F4285))</f>
        <v>8520000</v>
      </c>
      <c r="S4285" s="304"/>
      <c r="T4285" s="304">
        <v>800000</v>
      </c>
      <c r="U4285" s="52"/>
      <c r="V4285" s="34"/>
      <c r="W4285" s="408"/>
    </row>
    <row r="4286" spans="1:23" ht="12.75" customHeight="1" x14ac:dyDescent="0.2">
      <c r="A4286" s="257">
        <v>4297</v>
      </c>
      <c r="B4286" s="44">
        <v>44700</v>
      </c>
      <c r="C4286" s="44">
        <f t="shared" si="203"/>
        <v>44700</v>
      </c>
      <c r="D4286" s="374">
        <v>97</v>
      </c>
      <c r="E4286" s="291" t="str">
        <f>IFERROR(VLOOKUP($D4286,'Clients-Live'!$A:$C,3,0),"")</f>
        <v>DRANDUA JOB CHRISPUS</v>
      </c>
      <c r="F4286" s="291" t="str">
        <f>IFERROR(INDEX(Disbursements!$D:$D,MATCH('Live Collections'!G4286,Disbursements!$C:$C,0)),"")</f>
        <v/>
      </c>
      <c r="G4286" s="34"/>
      <c r="H4286" s="34">
        <v>6050</v>
      </c>
      <c r="I4286" s="34" t="s">
        <v>1359</v>
      </c>
      <c r="J4286" s="48"/>
      <c r="K4286" s="48"/>
      <c r="L4286" s="48"/>
      <c r="M4286" s="48"/>
      <c r="N4286" s="59"/>
      <c r="O4286" s="59"/>
      <c r="P4286" s="59">
        <v>450000</v>
      </c>
      <c r="Q4286" s="268">
        <f t="shared" si="204"/>
        <v>450000</v>
      </c>
      <c r="R4286" s="61">
        <f>IF(O4286=0,0,SUMIFS(Disbursements!$T:$T,Disbursements!$B:$B,'Live Collections'!D4286,Disbursements!$D:$D,'Live Collections'!F4286))</f>
        <v>0</v>
      </c>
      <c r="S4286" s="304">
        <f>IF(O4286&lt;=IF($O4286=0,0,SUMIFS(Disbursements!$W:$W,Disbursements!$B:$B,'Live Collections'!D4286,Disbursements!$D:$D,'Live Collections'!F4286)),O4286,IF($O4286=0,0,SUMIFS(Disbursements!$W:$W,Disbursements!$B:$B,'Live Collections'!D4286,Disbursements!$D:$D,'Live Collections'!F4286)))</f>
        <v>0</v>
      </c>
      <c r="T4286" s="304">
        <f t="shared" si="205"/>
        <v>0</v>
      </c>
      <c r="U4286" s="52"/>
      <c r="V4286" s="34"/>
      <c r="W4286" s="408"/>
    </row>
    <row r="4287" spans="1:23" ht="12.75" customHeight="1" x14ac:dyDescent="0.2">
      <c r="A4287" s="257">
        <v>4298</v>
      </c>
      <c r="B4287" s="44">
        <v>44700</v>
      </c>
      <c r="C4287" s="44">
        <f t="shared" ref="C4287:C4326" si="206">B4287</f>
        <v>44700</v>
      </c>
      <c r="D4287" s="374">
        <v>30</v>
      </c>
      <c r="E4287" s="291" t="str">
        <f>IFERROR(VLOOKUP($D4287,'Clients-Live'!$A:$C,3,0),"")</f>
        <v>SITARAYA PATRICIA IDERU</v>
      </c>
      <c r="F4287" s="291" t="str">
        <f>IFERROR(INDEX(Disbursements!$D:$D,MATCH('Live Collections'!G4287,Disbursements!$C:$C,0)),"")</f>
        <v/>
      </c>
      <c r="G4287" s="34"/>
      <c r="H4287" s="34">
        <v>6075</v>
      </c>
      <c r="I4287" s="34" t="s">
        <v>1358</v>
      </c>
      <c r="J4287" s="48"/>
      <c r="K4287" s="48"/>
      <c r="L4287" s="48"/>
      <c r="M4287" s="48"/>
      <c r="N4287" s="59"/>
      <c r="O4287" s="59"/>
      <c r="P4287" s="59">
        <v>40000</v>
      </c>
      <c r="Q4287" s="268">
        <f t="shared" si="204"/>
        <v>40000</v>
      </c>
      <c r="R4287" s="61">
        <f>IF(O4287=0,0,SUMIFS(Disbursements!$T:$T,Disbursements!$B:$B,'Live Collections'!D4287,Disbursements!$D:$D,'Live Collections'!F4287))</f>
        <v>0</v>
      </c>
      <c r="S4287" s="304">
        <f>IF(O4287&lt;=IF($O4287=0,0,SUMIFS(Disbursements!$W:$W,Disbursements!$B:$B,'Live Collections'!D4287,Disbursements!$D:$D,'Live Collections'!F4287)),O4287,IF($O4287=0,0,SUMIFS(Disbursements!$W:$W,Disbursements!$B:$B,'Live Collections'!D4287,Disbursements!$D:$D,'Live Collections'!F4287)))</f>
        <v>0</v>
      </c>
      <c r="T4287" s="304">
        <f t="shared" si="205"/>
        <v>0</v>
      </c>
      <c r="U4287" s="52"/>
      <c r="V4287" s="34"/>
      <c r="W4287" s="408"/>
    </row>
    <row r="4288" spans="1:23" ht="12.75" customHeight="1" x14ac:dyDescent="0.2">
      <c r="A4288" s="257">
        <v>4299</v>
      </c>
      <c r="B4288" s="44">
        <v>44700</v>
      </c>
      <c r="C4288" s="44">
        <f t="shared" si="206"/>
        <v>44700</v>
      </c>
      <c r="D4288" s="374">
        <v>142</v>
      </c>
      <c r="E4288" s="291" t="str">
        <f>IFERROR(VLOOKUP($D4288,'Clients-Live'!$A:$C,3,0),"")</f>
        <v>TABU MARY</v>
      </c>
      <c r="F4288" s="291" t="str">
        <f>IFERROR(INDEX(Disbursements!$D:$D,MATCH('Live Collections'!G4288,Disbursements!$C:$C,0)),"")</f>
        <v/>
      </c>
      <c r="G4288" s="34"/>
      <c r="H4288" s="34">
        <v>6083</v>
      </c>
      <c r="I4288" s="34" t="s">
        <v>1357</v>
      </c>
      <c r="J4288" s="48"/>
      <c r="K4288" s="48"/>
      <c r="L4288" s="48">
        <v>25000</v>
      </c>
      <c r="M4288" s="48">
        <v>5000</v>
      </c>
      <c r="N4288" s="59"/>
      <c r="O4288" s="59"/>
      <c r="P4288" s="59"/>
      <c r="Q4288" s="268">
        <f t="shared" si="204"/>
        <v>30000</v>
      </c>
      <c r="R4288" s="61">
        <f>IF(O4288=0,0,SUMIFS(Disbursements!$T:$T,Disbursements!$B:$B,'Live Collections'!D4288,Disbursements!$D:$D,'Live Collections'!F4288))</f>
        <v>0</v>
      </c>
      <c r="S4288" s="304">
        <f>IF(O4288&lt;=IF($O4288=0,0,SUMIFS(Disbursements!$W:$W,Disbursements!$B:$B,'Live Collections'!D4288,Disbursements!$D:$D,'Live Collections'!F4288)),O4288,IF($O4288=0,0,SUMIFS(Disbursements!$W:$W,Disbursements!$B:$B,'Live Collections'!D4288,Disbursements!$D:$D,'Live Collections'!F4288)))</f>
        <v>0</v>
      </c>
      <c r="T4288" s="304">
        <f t="shared" si="205"/>
        <v>0</v>
      </c>
      <c r="U4288" s="52"/>
      <c r="V4288" s="34"/>
      <c r="W4288" s="408"/>
    </row>
    <row r="4289" spans="1:23" ht="12.75" customHeight="1" x14ac:dyDescent="0.2">
      <c r="A4289" s="257">
        <v>4300</v>
      </c>
      <c r="B4289" s="44">
        <v>44700</v>
      </c>
      <c r="C4289" s="44">
        <f t="shared" si="206"/>
        <v>44700</v>
      </c>
      <c r="D4289" s="374">
        <v>53</v>
      </c>
      <c r="E4289" s="291" t="str">
        <f>IFERROR(VLOOKUP($D4289,'Clients-Live'!$A:$C,3,0),"")</f>
        <v>KALSUMU INNOCENT</v>
      </c>
      <c r="F4289" s="291" t="str">
        <f>IFERROR(INDEX(Disbursements!$D:$D,MATCH('Live Collections'!G4289,Disbursements!$C:$C,0)),"")</f>
        <v/>
      </c>
      <c r="G4289" s="34"/>
      <c r="H4289" s="34">
        <v>6078</v>
      </c>
      <c r="I4289" s="34" t="s">
        <v>1358</v>
      </c>
      <c r="J4289" s="48"/>
      <c r="K4289" s="48"/>
      <c r="L4289" s="48"/>
      <c r="M4289" s="48"/>
      <c r="N4289" s="59"/>
      <c r="O4289" s="59"/>
      <c r="P4289" s="59">
        <v>100000</v>
      </c>
      <c r="Q4289" s="268">
        <f t="shared" si="204"/>
        <v>100000</v>
      </c>
      <c r="R4289" s="61">
        <f>IF(O4289=0,0,SUMIFS(Disbursements!$T:$T,Disbursements!$B:$B,'Live Collections'!D4289,Disbursements!$D:$D,'Live Collections'!F4289))</f>
        <v>0</v>
      </c>
      <c r="S4289" s="304">
        <f>IF(O4289&lt;=IF($O4289=0,0,SUMIFS(Disbursements!$W:$W,Disbursements!$B:$B,'Live Collections'!D4289,Disbursements!$D:$D,'Live Collections'!F4289)),O4289,IF($O4289=0,0,SUMIFS(Disbursements!$W:$W,Disbursements!$B:$B,'Live Collections'!D4289,Disbursements!$D:$D,'Live Collections'!F4289)))</f>
        <v>0</v>
      </c>
      <c r="T4289" s="304">
        <f t="shared" si="205"/>
        <v>0</v>
      </c>
      <c r="U4289" s="52"/>
      <c r="V4289" s="34"/>
      <c r="W4289" s="408"/>
    </row>
    <row r="4290" spans="1:23" ht="12.75" customHeight="1" x14ac:dyDescent="0.2">
      <c r="A4290" s="257">
        <v>4301</v>
      </c>
      <c r="B4290" s="44">
        <v>44700</v>
      </c>
      <c r="C4290" s="44">
        <f t="shared" si="206"/>
        <v>44700</v>
      </c>
      <c r="D4290" s="374">
        <v>304</v>
      </c>
      <c r="E4290" s="291" t="str">
        <f>IFERROR(VLOOKUP($D4290,'Clients-Live'!$A:$C,3,0),"")</f>
        <v>ATAKO GLORIA</v>
      </c>
      <c r="F4290" s="291" t="str">
        <f>IFERROR(INDEX(Disbursements!$D:$D,MATCH('Live Collections'!G4290,Disbursements!$C:$C,0)),"")</f>
        <v/>
      </c>
      <c r="G4290" s="34"/>
      <c r="H4290" s="34">
        <v>6084</v>
      </c>
      <c r="I4290" s="34" t="s">
        <v>1357</v>
      </c>
      <c r="J4290" s="48"/>
      <c r="K4290" s="48"/>
      <c r="L4290" s="48"/>
      <c r="M4290" s="48"/>
      <c r="N4290" s="59"/>
      <c r="O4290" s="59"/>
      <c r="P4290" s="59">
        <v>50000</v>
      </c>
      <c r="Q4290" s="268">
        <f t="shared" si="204"/>
        <v>50000</v>
      </c>
      <c r="R4290" s="61">
        <f>IF(O4290=0,0,SUMIFS(Disbursements!$T:$T,Disbursements!$B:$B,'Live Collections'!D4290,Disbursements!$D:$D,'Live Collections'!F4290))</f>
        <v>0</v>
      </c>
      <c r="S4290" s="304">
        <f>IF(O4290&lt;=IF($O4290=0,0,SUMIFS(Disbursements!$W:$W,Disbursements!$B:$B,'Live Collections'!D4290,Disbursements!$D:$D,'Live Collections'!F4290)),O4290,IF($O4290=0,0,SUMIFS(Disbursements!$W:$W,Disbursements!$B:$B,'Live Collections'!D4290,Disbursements!$D:$D,'Live Collections'!F4290)))</f>
        <v>0</v>
      </c>
      <c r="T4290" s="304">
        <f t="shared" si="205"/>
        <v>0</v>
      </c>
      <c r="U4290" s="52"/>
      <c r="V4290" s="34"/>
      <c r="W4290" s="408"/>
    </row>
    <row r="4291" spans="1:23" ht="12.75" customHeight="1" x14ac:dyDescent="0.2">
      <c r="A4291" s="257">
        <v>4302</v>
      </c>
      <c r="B4291" s="44">
        <v>44700</v>
      </c>
      <c r="C4291" s="44">
        <f t="shared" si="206"/>
        <v>44700</v>
      </c>
      <c r="D4291" s="374">
        <v>205</v>
      </c>
      <c r="E4291" s="291" t="str">
        <f>IFERROR(VLOOKUP($D4291,'Clients-Live'!$A:$C,3,0),"")</f>
        <v>OPIRU ALICE</v>
      </c>
      <c r="F4291" s="291">
        <f>IFERROR(INDEX(Disbursements!$D:$D,MATCH('Live Collections'!G4291,Disbursements!$C:$C,0)),"")</f>
        <v>2</v>
      </c>
      <c r="G4291" s="34">
        <v>396</v>
      </c>
      <c r="H4291" s="34">
        <v>6048</v>
      </c>
      <c r="I4291" s="34" t="s">
        <v>1359</v>
      </c>
      <c r="J4291" s="48"/>
      <c r="K4291" s="48"/>
      <c r="L4291" s="48"/>
      <c r="M4291" s="48"/>
      <c r="N4291" s="59"/>
      <c r="O4291" s="59">
        <v>10000</v>
      </c>
      <c r="P4291" s="59"/>
      <c r="Q4291" s="268">
        <f t="shared" si="204"/>
        <v>10000</v>
      </c>
      <c r="R4291" s="61">
        <f>IF(O4291=0,0,SUMIFS(Disbursements!$T:$T,Disbursements!$B:$B,'Live Collections'!D4291,Disbursements!$D:$D,'Live Collections'!F4291))</f>
        <v>40000</v>
      </c>
      <c r="S4291" s="304"/>
      <c r="T4291" s="304">
        <f t="shared" si="205"/>
        <v>10000</v>
      </c>
      <c r="U4291" s="52"/>
      <c r="V4291" s="34"/>
      <c r="W4291" s="408"/>
    </row>
    <row r="4292" spans="1:23" ht="12.75" customHeight="1" x14ac:dyDescent="0.2">
      <c r="A4292" s="257">
        <v>4303</v>
      </c>
      <c r="B4292" s="44">
        <v>44700</v>
      </c>
      <c r="C4292" s="44">
        <f t="shared" si="206"/>
        <v>44700</v>
      </c>
      <c r="D4292" s="374">
        <v>97</v>
      </c>
      <c r="E4292" s="291" t="str">
        <f>IFERROR(VLOOKUP($D4292,'Clients-Live'!$A:$C,3,0),"")</f>
        <v>DRANDUA JOB CHRISPUS</v>
      </c>
      <c r="F4292" s="291" t="str">
        <f>IFERROR(INDEX(Disbursements!$D:$D,MATCH('Live Collections'!G4292,Disbursements!$C:$C,0)),"")</f>
        <v/>
      </c>
      <c r="G4292" s="34"/>
      <c r="H4292" s="34">
        <v>6042</v>
      </c>
      <c r="I4292" s="34" t="s">
        <v>1359</v>
      </c>
      <c r="J4292" s="48"/>
      <c r="K4292" s="48"/>
      <c r="L4292" s="48">
        <v>30000</v>
      </c>
      <c r="M4292" s="48">
        <v>5000</v>
      </c>
      <c r="N4292" s="59"/>
      <c r="O4292" s="59"/>
      <c r="P4292" s="59"/>
      <c r="Q4292" s="268">
        <f t="shared" si="204"/>
        <v>35000</v>
      </c>
      <c r="R4292" s="61">
        <f>IF(O4292=0,0,SUMIFS(Disbursements!$T:$T,Disbursements!$B:$B,'Live Collections'!D4292,Disbursements!$D:$D,'Live Collections'!F4292))</f>
        <v>0</v>
      </c>
      <c r="S4292" s="304">
        <f>IF(O4292&lt;=IF($O4292=0,0,SUMIFS(Disbursements!$W:$W,Disbursements!$B:$B,'Live Collections'!D4292,Disbursements!$D:$D,'Live Collections'!F4292)),O4292,IF($O4292=0,0,SUMIFS(Disbursements!$W:$W,Disbursements!$B:$B,'Live Collections'!D4292,Disbursements!$D:$D,'Live Collections'!F4292)))</f>
        <v>0</v>
      </c>
      <c r="T4292" s="304">
        <f t="shared" si="205"/>
        <v>0</v>
      </c>
      <c r="U4292" s="52"/>
      <c r="V4292" s="34"/>
      <c r="W4292" s="408"/>
    </row>
    <row r="4293" spans="1:23" ht="12.75" customHeight="1" x14ac:dyDescent="0.2">
      <c r="A4293" s="257">
        <v>4304</v>
      </c>
      <c r="B4293" s="44">
        <v>44700</v>
      </c>
      <c r="C4293" s="44">
        <f t="shared" si="206"/>
        <v>44700</v>
      </c>
      <c r="D4293" s="374">
        <v>354</v>
      </c>
      <c r="E4293" s="291" t="str">
        <f>IFERROR(VLOOKUP($D4293,'Clients-Live'!$A:$C,3,0),"")</f>
        <v>EYOTARU DORCUS</v>
      </c>
      <c r="F4293" s="291">
        <f>IFERROR(INDEX(Disbursements!$D:$D,MATCH('Live Collections'!G4293,Disbursements!$C:$C,0)),"")</f>
        <v>1</v>
      </c>
      <c r="G4293" s="34">
        <v>531</v>
      </c>
      <c r="H4293" s="34">
        <v>6087</v>
      </c>
      <c r="I4293" s="34" t="s">
        <v>1359</v>
      </c>
      <c r="J4293" s="48"/>
      <c r="K4293" s="48"/>
      <c r="L4293" s="48"/>
      <c r="M4293" s="48"/>
      <c r="N4293" s="59"/>
      <c r="O4293" s="59">
        <v>20000</v>
      </c>
      <c r="P4293" s="59"/>
      <c r="Q4293" s="268">
        <f t="shared" si="204"/>
        <v>20000</v>
      </c>
      <c r="R4293" s="61">
        <f>IF(O4293=0,0,SUMIFS(Disbursements!$T:$T,Disbursements!$B:$B,'Live Collections'!D4293,Disbursements!$D:$D,'Live Collections'!F4293))</f>
        <v>80000</v>
      </c>
      <c r="S4293" s="304">
        <f>IF(O4293&lt;=IF($O4293=0,0,SUMIFS(Disbursements!$W:$W,Disbursements!$B:$B,'Live Collections'!D4293,Disbursements!$D:$D,'Live Collections'!F4293)),O4293,IF($O4293=0,0,SUMIFS(Disbursements!$W:$W,Disbursements!$B:$B,'Live Collections'!D4293,Disbursements!$D:$D,'Live Collections'!F4293)))</f>
        <v>13333.333333333328</v>
      </c>
      <c r="T4293" s="304">
        <f t="shared" si="205"/>
        <v>6666.6666666666715</v>
      </c>
      <c r="U4293" s="52"/>
      <c r="V4293" s="34"/>
      <c r="W4293" s="408"/>
    </row>
    <row r="4294" spans="1:23" ht="12.75" customHeight="1" x14ac:dyDescent="0.2">
      <c r="A4294" s="257">
        <v>4305</v>
      </c>
      <c r="B4294" s="44">
        <v>44700</v>
      </c>
      <c r="C4294" s="44">
        <f t="shared" si="206"/>
        <v>44700</v>
      </c>
      <c r="D4294" s="374">
        <v>312</v>
      </c>
      <c r="E4294" s="291" t="str">
        <f>IFERROR(VLOOKUP($D4294,'Clients-Live'!$A:$C,3,0),"")</f>
        <v>NAULA SCOVIA</v>
      </c>
      <c r="F4294" s="291" t="str">
        <f>IFERROR(INDEX(Disbursements!$D:$D,MATCH('Live Collections'!G4294,Disbursements!$C:$C,0)),"")</f>
        <v/>
      </c>
      <c r="G4294" s="34"/>
      <c r="H4294" s="34">
        <v>6046</v>
      </c>
      <c r="I4294" s="34" t="s">
        <v>1357</v>
      </c>
      <c r="J4294" s="48"/>
      <c r="K4294" s="48"/>
      <c r="L4294" s="48"/>
      <c r="M4294" s="48">
        <v>5000</v>
      </c>
      <c r="N4294" s="59"/>
      <c r="O4294" s="59"/>
      <c r="P4294" s="59"/>
      <c r="Q4294" s="268">
        <f t="shared" si="204"/>
        <v>5000</v>
      </c>
      <c r="R4294" s="61">
        <f>IF(O4294=0,0,SUMIFS(Disbursements!$T:$T,Disbursements!$B:$B,'Live Collections'!D4294,Disbursements!$D:$D,'Live Collections'!F4294))</f>
        <v>0</v>
      </c>
      <c r="S4294" s="304">
        <f>IF(O4294&lt;=IF($O4294=0,0,SUMIFS(Disbursements!$W:$W,Disbursements!$B:$B,'Live Collections'!D4294,Disbursements!$D:$D,'Live Collections'!F4294)),O4294,IF($O4294=0,0,SUMIFS(Disbursements!$W:$W,Disbursements!$B:$B,'Live Collections'!D4294,Disbursements!$D:$D,'Live Collections'!F4294)))</f>
        <v>0</v>
      </c>
      <c r="T4294" s="304">
        <f t="shared" si="205"/>
        <v>0</v>
      </c>
      <c r="U4294" s="52"/>
      <c r="V4294" s="34"/>
      <c r="W4294" s="408"/>
    </row>
    <row r="4295" spans="1:23" ht="12.75" customHeight="1" x14ac:dyDescent="0.2">
      <c r="A4295" s="257">
        <v>4306</v>
      </c>
      <c r="B4295" s="44">
        <v>44700</v>
      </c>
      <c r="C4295" s="44">
        <f t="shared" si="206"/>
        <v>44700</v>
      </c>
      <c r="D4295" s="374">
        <v>312</v>
      </c>
      <c r="E4295" s="291" t="str">
        <f>IFERROR(VLOOKUP($D4295,'Clients-Live'!$A:$C,3,0),"")</f>
        <v>NAULA SCOVIA</v>
      </c>
      <c r="F4295" s="291" t="str">
        <f>IFERROR(INDEX(Disbursements!$D:$D,MATCH('Live Collections'!G4295,Disbursements!$C:$C,0)),"")</f>
        <v/>
      </c>
      <c r="G4295" s="34"/>
      <c r="H4295" s="34">
        <v>6080</v>
      </c>
      <c r="I4295" s="34" t="s">
        <v>1357</v>
      </c>
      <c r="J4295" s="48"/>
      <c r="K4295" s="48">
        <v>5000</v>
      </c>
      <c r="L4295" s="48"/>
      <c r="M4295" s="48"/>
      <c r="N4295" s="59"/>
      <c r="O4295" s="59"/>
      <c r="P4295" s="59"/>
      <c r="Q4295" s="268">
        <f t="shared" si="204"/>
        <v>5000</v>
      </c>
      <c r="R4295" s="61">
        <f>IF(O4295=0,0,SUMIFS(Disbursements!$T:$T,Disbursements!$B:$B,'Live Collections'!D4295,Disbursements!$D:$D,'Live Collections'!F4295))</f>
        <v>0</v>
      </c>
      <c r="S4295" s="304">
        <f>IF(O4295&lt;=IF($O4295=0,0,SUMIFS(Disbursements!$W:$W,Disbursements!$B:$B,'Live Collections'!D4295,Disbursements!$D:$D,'Live Collections'!F4295)),O4295,IF($O4295=0,0,SUMIFS(Disbursements!$W:$W,Disbursements!$B:$B,'Live Collections'!D4295,Disbursements!$D:$D,'Live Collections'!F4295)))</f>
        <v>0</v>
      </c>
      <c r="T4295" s="304">
        <f t="shared" si="205"/>
        <v>0</v>
      </c>
      <c r="U4295" s="52"/>
      <c r="V4295" s="34"/>
      <c r="W4295" s="408"/>
    </row>
    <row r="4296" spans="1:23" ht="12.75" customHeight="1" x14ac:dyDescent="0.2">
      <c r="A4296" s="257">
        <v>4307</v>
      </c>
      <c r="B4296" s="44">
        <v>44700</v>
      </c>
      <c r="C4296" s="44">
        <f t="shared" si="206"/>
        <v>44700</v>
      </c>
      <c r="D4296" s="374">
        <v>142</v>
      </c>
      <c r="E4296" s="291" t="str">
        <f>IFERROR(VLOOKUP($D4296,'Clients-Live'!$A:$C,3,0),"")</f>
        <v>TABU MARY</v>
      </c>
      <c r="F4296" s="291" t="str">
        <f>IFERROR(INDEX(Disbursements!$D:$D,MATCH('Live Collections'!G4296,Disbursements!$C:$C,0)),"")</f>
        <v/>
      </c>
      <c r="G4296" s="34"/>
      <c r="H4296" s="34">
        <v>6047</v>
      </c>
      <c r="I4296" s="34" t="s">
        <v>1357</v>
      </c>
      <c r="J4296" s="48"/>
      <c r="K4296" s="48"/>
      <c r="L4296" s="48"/>
      <c r="M4296" s="48"/>
      <c r="N4296" s="59"/>
      <c r="O4296" s="59"/>
      <c r="P4296" s="59">
        <v>150000</v>
      </c>
      <c r="Q4296" s="268">
        <f t="shared" si="204"/>
        <v>150000</v>
      </c>
      <c r="R4296" s="61">
        <f>IF(O4296=0,0,SUMIFS(Disbursements!$T:$T,Disbursements!$B:$B,'Live Collections'!D4296,Disbursements!$D:$D,'Live Collections'!F4296))</f>
        <v>0</v>
      </c>
      <c r="S4296" s="304">
        <f>IF(O4296&lt;=IF($O4296=0,0,SUMIFS(Disbursements!$W:$W,Disbursements!$B:$B,'Live Collections'!D4296,Disbursements!$D:$D,'Live Collections'!F4296)),O4296,IF($O4296=0,0,SUMIFS(Disbursements!$W:$W,Disbursements!$B:$B,'Live Collections'!D4296,Disbursements!$D:$D,'Live Collections'!F4296)))</f>
        <v>0</v>
      </c>
      <c r="T4296" s="304">
        <f t="shared" si="205"/>
        <v>0</v>
      </c>
      <c r="U4296" s="52"/>
      <c r="V4296" s="34"/>
      <c r="W4296" s="408"/>
    </row>
    <row r="4297" spans="1:23" ht="12.75" customHeight="1" x14ac:dyDescent="0.2">
      <c r="A4297" s="257">
        <v>4308</v>
      </c>
      <c r="B4297" s="44">
        <v>44700</v>
      </c>
      <c r="C4297" s="44">
        <f t="shared" si="206"/>
        <v>44700</v>
      </c>
      <c r="D4297" s="374">
        <v>169</v>
      </c>
      <c r="E4297" s="291" t="str">
        <f>IFERROR(VLOOKUP($D4297,'Clients-Live'!$A:$C,3,0),"")</f>
        <v>KATO KENNEDY</v>
      </c>
      <c r="F4297" s="291">
        <f>IFERROR(INDEX(Disbursements!$D:$D,MATCH('Live Collections'!G4297,Disbursements!$C:$C,0)),"")</f>
        <v>2</v>
      </c>
      <c r="G4297" s="34">
        <v>394</v>
      </c>
      <c r="H4297" s="34">
        <v>6081</v>
      </c>
      <c r="I4297" s="34" t="s">
        <v>1357</v>
      </c>
      <c r="J4297" s="48"/>
      <c r="K4297" s="48"/>
      <c r="L4297" s="48"/>
      <c r="M4297" s="48"/>
      <c r="N4297" s="59"/>
      <c r="O4297" s="59">
        <v>58000</v>
      </c>
      <c r="P4297" s="59"/>
      <c r="Q4297" s="268">
        <f t="shared" si="204"/>
        <v>58000</v>
      </c>
      <c r="R4297" s="61">
        <f>IF(O4297=0,0,SUMIFS(Disbursements!$T:$T,Disbursements!$B:$B,'Live Collections'!D4297,Disbursements!$D:$D,'Live Collections'!F4297))</f>
        <v>58000</v>
      </c>
      <c r="S4297" s="304">
        <f>IF(O4297&lt;=IF($O4297=0,0,SUMIFS(Disbursements!$W:$W,Disbursements!$B:$B,'Live Collections'!D4297,Disbursements!$D:$D,'Live Collections'!F4297)),O4297,IF($O4297=0,0,SUMIFS(Disbursements!$W:$W,Disbursements!$B:$B,'Live Collections'!D4297,Disbursements!$D:$D,'Live Collections'!F4297)))</f>
        <v>16333.333333333336</v>
      </c>
      <c r="T4297" s="304">
        <f t="shared" si="205"/>
        <v>41666.666666666664</v>
      </c>
      <c r="U4297" s="52"/>
      <c r="V4297" s="34"/>
      <c r="W4297" s="408"/>
    </row>
    <row r="4298" spans="1:23" ht="12.75" customHeight="1" x14ac:dyDescent="0.2">
      <c r="A4298" s="257">
        <v>4309</v>
      </c>
      <c r="B4298" s="44">
        <v>44700</v>
      </c>
      <c r="C4298" s="44">
        <f t="shared" si="206"/>
        <v>44700</v>
      </c>
      <c r="D4298" s="374">
        <v>85</v>
      </c>
      <c r="E4298" s="291" t="str">
        <f>IFERROR(VLOOKUP($D4298,'Clients-Live'!$A:$C,3,0),"")</f>
        <v>CEASER SWALEH</v>
      </c>
      <c r="F4298" s="291">
        <f>IFERROR(INDEX(Disbursements!$D:$D,MATCH('Live Collections'!G4298,Disbursements!$C:$C,0)),"")</f>
        <v>3</v>
      </c>
      <c r="G4298" s="34">
        <v>413</v>
      </c>
      <c r="H4298" s="34">
        <v>6044</v>
      </c>
      <c r="I4298" s="34" t="s">
        <v>1357</v>
      </c>
      <c r="J4298" s="48"/>
      <c r="K4298" s="48"/>
      <c r="L4298" s="48"/>
      <c r="M4298" s="48"/>
      <c r="N4298" s="59"/>
      <c r="O4298" s="59">
        <v>100000</v>
      </c>
      <c r="P4298" s="59"/>
      <c r="Q4298" s="268">
        <f t="shared" si="204"/>
        <v>100000</v>
      </c>
      <c r="R4298" s="61">
        <f>IF(O4298=0,0,SUMIFS(Disbursements!$T:$T,Disbursements!$B:$B,'Live Collections'!D4298,Disbursements!$D:$D,'Live Collections'!F4298))</f>
        <v>788000</v>
      </c>
      <c r="S4298" s="304"/>
      <c r="T4298" s="304">
        <f t="shared" si="205"/>
        <v>100000</v>
      </c>
      <c r="U4298" s="52"/>
      <c r="V4298" s="34"/>
      <c r="W4298" s="408"/>
    </row>
    <row r="4299" spans="1:23" ht="12.75" customHeight="1" x14ac:dyDescent="0.2">
      <c r="A4299" s="257">
        <v>4310</v>
      </c>
      <c r="B4299" s="44">
        <v>44700</v>
      </c>
      <c r="C4299" s="44">
        <f t="shared" si="206"/>
        <v>44700</v>
      </c>
      <c r="D4299" s="374">
        <v>143</v>
      </c>
      <c r="E4299" s="291" t="str">
        <f>IFERROR(VLOOKUP($D4299,'Clients-Live'!$A:$C,3,0),"")</f>
        <v>MORO HAKIM</v>
      </c>
      <c r="F4299" s="291">
        <f>IFERROR(INDEX(Disbursements!$D:$D,MATCH('Live Collections'!G4299,Disbursements!$C:$C,0)),"")</f>
        <v>3</v>
      </c>
      <c r="G4299" s="34">
        <v>477</v>
      </c>
      <c r="H4299" s="34">
        <v>6045</v>
      </c>
      <c r="I4299" s="34" t="s">
        <v>1357</v>
      </c>
      <c r="J4299" s="48"/>
      <c r="K4299" s="48"/>
      <c r="L4299" s="48"/>
      <c r="M4299" s="48"/>
      <c r="N4299" s="59"/>
      <c r="O4299" s="59">
        <v>1325000</v>
      </c>
      <c r="P4299" s="59"/>
      <c r="Q4299" s="268">
        <f t="shared" si="204"/>
        <v>1325000</v>
      </c>
      <c r="R4299" s="61">
        <f>IF(O4299=0,0,SUMIFS(Disbursements!$T:$T,Disbursements!$B:$B,'Live Collections'!D4299,Disbursements!$D:$D,'Live Collections'!F4299))</f>
        <v>1325000</v>
      </c>
      <c r="S4299" s="304">
        <f>IF(O4299&lt;=IF($O4299=0,0,SUMIFS(Disbursements!$W:$W,Disbursements!$B:$B,'Live Collections'!D4299,Disbursements!$D:$D,'Live Collections'!F4299)),O4299,IF($O4299=0,0,SUMIFS(Disbursements!$W:$W,Disbursements!$B:$B,'Live Collections'!D4299,Disbursements!$D:$D,'Live Collections'!F4299)))</f>
        <v>325000</v>
      </c>
      <c r="T4299" s="304">
        <f t="shared" si="205"/>
        <v>1000000</v>
      </c>
      <c r="U4299" s="52"/>
      <c r="V4299" s="34"/>
      <c r="W4299" s="408"/>
    </row>
    <row r="4300" spans="1:23" ht="12.75" customHeight="1" x14ac:dyDescent="0.2">
      <c r="A4300" s="257">
        <v>4311</v>
      </c>
      <c r="B4300" s="44">
        <v>44700</v>
      </c>
      <c r="C4300" s="44">
        <f t="shared" si="206"/>
        <v>44700</v>
      </c>
      <c r="D4300" s="374">
        <v>164</v>
      </c>
      <c r="E4300" s="291" t="str">
        <f>IFERROR(VLOOKUP($D4300,'Clients-Live'!$A:$C,3,0),"")</f>
        <v>ARIKE SWAIB</v>
      </c>
      <c r="F4300" s="291">
        <f>IFERROR(INDEX(Disbursements!$D:$D,MATCH('Live Collections'!G4300,Disbursements!$C:$C,0)),"")</f>
        <v>2</v>
      </c>
      <c r="G4300" s="34">
        <v>508</v>
      </c>
      <c r="H4300" s="34">
        <v>6043</v>
      </c>
      <c r="I4300" s="34" t="s">
        <v>1357</v>
      </c>
      <c r="J4300" s="48"/>
      <c r="K4300" s="48"/>
      <c r="L4300" s="48"/>
      <c r="M4300" s="48"/>
      <c r="N4300" s="59"/>
      <c r="O4300" s="59">
        <v>90000</v>
      </c>
      <c r="P4300" s="59"/>
      <c r="Q4300" s="268">
        <f t="shared" si="204"/>
        <v>90000</v>
      </c>
      <c r="R4300" s="61">
        <f>IF(O4300=0,0,SUMIFS(Disbursements!$T:$T,Disbursements!$B:$B,'Live Collections'!D4300,Disbursements!$D:$D,'Live Collections'!F4300))</f>
        <v>90000</v>
      </c>
      <c r="S4300" s="304">
        <f>IF(O4300&lt;=IF($O4300=0,0,SUMIFS(Disbursements!$W:$W,Disbursements!$B:$B,'Live Collections'!D4300,Disbursements!$D:$D,'Live Collections'!F4300)),O4300,IF($O4300=0,0,SUMIFS(Disbursements!$W:$W,Disbursements!$B:$B,'Live Collections'!D4300,Disbursements!$D:$D,'Live Collections'!F4300)))</f>
        <v>25416.666666666664</v>
      </c>
      <c r="T4300" s="304">
        <f t="shared" si="205"/>
        <v>64583.333333333336</v>
      </c>
      <c r="U4300" s="52"/>
      <c r="V4300" s="34"/>
      <c r="W4300" s="408"/>
    </row>
    <row r="4301" spans="1:23" ht="12.75" customHeight="1" x14ac:dyDescent="0.2">
      <c r="A4301" s="257">
        <v>4312</v>
      </c>
      <c r="B4301" s="44">
        <v>44700</v>
      </c>
      <c r="C4301" s="44">
        <f t="shared" si="206"/>
        <v>44700</v>
      </c>
      <c r="D4301" s="374">
        <v>221</v>
      </c>
      <c r="E4301" s="291" t="str">
        <f>IFERROR(VLOOKUP($D4301,'Clients-Live'!$A:$C,3,0),"")</f>
        <v>NAMUDDU MARY</v>
      </c>
      <c r="F4301" s="291" t="str">
        <f>IFERROR(INDEX(Disbursements!$D:$D,MATCH('Live Collections'!G4301,Disbursements!$C:$C,0)),"")</f>
        <v/>
      </c>
      <c r="G4301" s="34"/>
      <c r="H4301" s="34">
        <v>6073</v>
      </c>
      <c r="I4301" s="34" t="s">
        <v>1359</v>
      </c>
      <c r="J4301" s="48"/>
      <c r="K4301" s="48"/>
      <c r="L4301" s="48">
        <v>20000</v>
      </c>
      <c r="M4301" s="48">
        <v>5000</v>
      </c>
      <c r="N4301" s="59"/>
      <c r="O4301" s="59"/>
      <c r="P4301" s="59"/>
      <c r="Q4301" s="268">
        <f t="shared" si="204"/>
        <v>25000</v>
      </c>
      <c r="R4301" s="61">
        <f>IF(O4301=0,0,SUMIFS(Disbursements!$T:$T,Disbursements!$B:$B,'Live Collections'!D4301,Disbursements!$D:$D,'Live Collections'!F4301))</f>
        <v>0</v>
      </c>
      <c r="S4301" s="304">
        <f>IF(O4301&lt;=IF($O4301=0,0,SUMIFS(Disbursements!$W:$W,Disbursements!$B:$B,'Live Collections'!D4301,Disbursements!$D:$D,'Live Collections'!F4301)),O4301,IF($O4301=0,0,SUMIFS(Disbursements!$W:$W,Disbursements!$B:$B,'Live Collections'!D4301,Disbursements!$D:$D,'Live Collections'!F4301)))</f>
        <v>0</v>
      </c>
      <c r="T4301" s="304">
        <f t="shared" si="205"/>
        <v>0</v>
      </c>
      <c r="U4301" s="52"/>
      <c r="V4301" s="34"/>
      <c r="W4301" s="408"/>
    </row>
    <row r="4302" spans="1:23" ht="12.75" customHeight="1" x14ac:dyDescent="0.2">
      <c r="A4302" s="257">
        <v>4313</v>
      </c>
      <c r="B4302" s="44">
        <v>44700</v>
      </c>
      <c r="C4302" s="44">
        <f t="shared" si="206"/>
        <v>44700</v>
      </c>
      <c r="D4302" s="374">
        <v>340</v>
      </c>
      <c r="E4302" s="291" t="str">
        <f>IFERROR(VLOOKUP($D4302,'Clients-Live'!$A:$C,3,0),"")</f>
        <v>NIGHT RAIMA</v>
      </c>
      <c r="F4302" s="291">
        <f>IFERROR(INDEX(Disbursements!$D:$D,MATCH('Live Collections'!G4302,Disbursements!$C:$C,0)),"")</f>
        <v>1</v>
      </c>
      <c r="G4302" s="34">
        <v>481</v>
      </c>
      <c r="H4302" s="34">
        <v>6039</v>
      </c>
      <c r="I4302" s="34" t="s">
        <v>1358</v>
      </c>
      <c r="J4302" s="48"/>
      <c r="K4302" s="48"/>
      <c r="L4302" s="48"/>
      <c r="M4302" s="48"/>
      <c r="N4302" s="59"/>
      <c r="O4302" s="59">
        <v>40000</v>
      </c>
      <c r="P4302" s="59"/>
      <c r="Q4302" s="268">
        <f t="shared" si="204"/>
        <v>40000</v>
      </c>
      <c r="R4302" s="61">
        <f>IF(O4302=0,0,SUMIFS(Disbursements!$T:$T,Disbursements!$B:$B,'Live Collections'!D4302,Disbursements!$D:$D,'Live Collections'!F4302))</f>
        <v>40000</v>
      </c>
      <c r="S4302" s="304">
        <f>IF(O4302&lt;=IF($O4302=0,0,SUMIFS(Disbursements!$W:$W,Disbursements!$B:$B,'Live Collections'!D4302,Disbursements!$D:$D,'Live Collections'!F4302)),O4302,IF($O4302=0,0,SUMIFS(Disbursements!$W:$W,Disbursements!$B:$B,'Live Collections'!D4302,Disbursements!$D:$D,'Live Collections'!F4302)))</f>
        <v>10000</v>
      </c>
      <c r="T4302" s="304">
        <f t="shared" si="205"/>
        <v>30000</v>
      </c>
      <c r="U4302" s="52"/>
      <c r="V4302" s="34"/>
      <c r="W4302" s="408"/>
    </row>
    <row r="4303" spans="1:23" ht="12.75" customHeight="1" x14ac:dyDescent="0.2">
      <c r="A4303" s="257">
        <v>4314</v>
      </c>
      <c r="B4303" s="44">
        <v>44700</v>
      </c>
      <c r="C4303" s="44">
        <f t="shared" si="206"/>
        <v>44700</v>
      </c>
      <c r="D4303" s="374">
        <v>3</v>
      </c>
      <c r="E4303" s="291" t="str">
        <f>IFERROR(VLOOKUP($D4303,'Clients-Live'!$A:$C,3,0),"")</f>
        <v>YEKA ARIJABU</v>
      </c>
      <c r="F4303" s="291">
        <f>IFERROR(INDEX(Disbursements!$D:$D,MATCH('Live Collections'!G4303,Disbursements!$C:$C,0)),"")</f>
        <v>2</v>
      </c>
      <c r="G4303" s="34">
        <v>443</v>
      </c>
      <c r="H4303" s="34">
        <v>6037</v>
      </c>
      <c r="I4303" s="34" t="s">
        <v>1357</v>
      </c>
      <c r="J4303" s="48"/>
      <c r="K4303" s="48"/>
      <c r="L4303" s="48"/>
      <c r="M4303" s="48"/>
      <c r="N4303" s="59"/>
      <c r="O4303" s="59">
        <v>100000</v>
      </c>
      <c r="P4303" s="59"/>
      <c r="Q4303" s="268">
        <f t="shared" si="204"/>
        <v>100000</v>
      </c>
      <c r="R4303" s="61">
        <f>IF(O4303=0,0,SUMIFS(Disbursements!$T:$T,Disbursements!$B:$B,'Live Collections'!D4303,Disbursements!$D:$D,'Live Collections'!F4303))</f>
        <v>116000</v>
      </c>
      <c r="S4303" s="304">
        <f>IF(O4303&lt;=IF($O4303=0,0,SUMIFS(Disbursements!$W:$W,Disbursements!$B:$B,'Live Collections'!D4303,Disbursements!$D:$D,'Live Collections'!F4303)),O4303,IF($O4303=0,0,SUMIFS(Disbursements!$W:$W,Disbursements!$B:$B,'Live Collections'!D4303,Disbursements!$D:$D,'Live Collections'!F4303)))</f>
        <v>32666.666666666672</v>
      </c>
      <c r="T4303" s="304">
        <f t="shared" si="205"/>
        <v>67333.333333333328</v>
      </c>
      <c r="U4303" s="52"/>
      <c r="V4303" s="34"/>
      <c r="W4303" s="408"/>
    </row>
    <row r="4304" spans="1:23" ht="12.75" customHeight="1" x14ac:dyDescent="0.2">
      <c r="A4304" s="257">
        <v>4315</v>
      </c>
      <c r="B4304" s="44">
        <v>44700</v>
      </c>
      <c r="C4304" s="44">
        <f t="shared" si="206"/>
        <v>44700</v>
      </c>
      <c r="D4304" s="374">
        <v>317</v>
      </c>
      <c r="E4304" s="291" t="str">
        <f>IFERROR(VLOOKUP($D4304,'Clients-Live'!$A:$C,3,0),"")</f>
        <v>DRIWARU JANE</v>
      </c>
      <c r="F4304" s="291">
        <f>IFERROR(INDEX(Disbursements!$D:$D,MATCH('Live Collections'!G4304,Disbursements!$C:$C,0)),"")</f>
        <v>1</v>
      </c>
      <c r="G4304" s="34">
        <v>414</v>
      </c>
      <c r="H4304" s="34">
        <v>6038</v>
      </c>
      <c r="I4304" s="34" t="s">
        <v>1357</v>
      </c>
      <c r="J4304" s="48"/>
      <c r="K4304" s="48"/>
      <c r="L4304" s="48"/>
      <c r="M4304" s="48"/>
      <c r="N4304" s="59"/>
      <c r="O4304" s="59">
        <v>50000</v>
      </c>
      <c r="P4304" s="59"/>
      <c r="Q4304" s="268">
        <f t="shared" si="204"/>
        <v>50000</v>
      </c>
      <c r="R4304" s="61">
        <f>IF(O4304=0,0,SUMIFS(Disbursements!$T:$T,Disbursements!$B:$B,'Live Collections'!D4304,Disbursements!$D:$D,'Live Collections'!F4304))</f>
        <v>55000</v>
      </c>
      <c r="S4304" s="304">
        <f>IF(O4304&lt;=IF($O4304=0,0,SUMIFS(Disbursements!$W:$W,Disbursements!$B:$B,'Live Collections'!D4304,Disbursements!$D:$D,'Live Collections'!F4304)),O4304,IF($O4304=0,0,SUMIFS(Disbursements!$W:$W,Disbursements!$B:$B,'Live Collections'!D4304,Disbursements!$D:$D,'Live Collections'!F4304)))</f>
        <v>15000</v>
      </c>
      <c r="T4304" s="304">
        <f t="shared" si="205"/>
        <v>35000</v>
      </c>
      <c r="U4304" s="52"/>
      <c r="V4304" s="34"/>
      <c r="W4304" s="408"/>
    </row>
    <row r="4305" spans="1:23" ht="12.75" customHeight="1" x14ac:dyDescent="0.2">
      <c r="A4305" s="257">
        <v>4316</v>
      </c>
      <c r="B4305" s="44">
        <v>44700</v>
      </c>
      <c r="C4305" s="44">
        <f t="shared" si="206"/>
        <v>44700</v>
      </c>
      <c r="D4305" s="374">
        <v>103</v>
      </c>
      <c r="E4305" s="291" t="str">
        <f>IFERROR(VLOOKUP($D4305,'Clients-Live'!$A:$C,3,0),"")</f>
        <v>CHANDIRU ZABIB</v>
      </c>
      <c r="F4305" s="291">
        <f>IFERROR(INDEX(Disbursements!$D:$D,MATCH('Live Collections'!G4305,Disbursements!$C:$C,0)),"")</f>
        <v>3</v>
      </c>
      <c r="G4305" s="34">
        <v>459</v>
      </c>
      <c r="H4305" s="34">
        <v>6070</v>
      </c>
      <c r="I4305" s="34" t="s">
        <v>1358</v>
      </c>
      <c r="J4305" s="48"/>
      <c r="K4305" s="48"/>
      <c r="L4305" s="48"/>
      <c r="M4305" s="48"/>
      <c r="N4305" s="59"/>
      <c r="O4305" s="59">
        <v>165000</v>
      </c>
      <c r="P4305" s="59"/>
      <c r="Q4305" s="268">
        <f t="shared" si="204"/>
        <v>165000</v>
      </c>
      <c r="R4305" s="61">
        <f>IF(O4305=0,0,SUMIFS(Disbursements!$T:$T,Disbursements!$B:$B,'Live Collections'!D4305,Disbursements!$D:$D,'Live Collections'!F4305))</f>
        <v>158000</v>
      </c>
      <c r="S4305" s="304">
        <f>IF(O4305&lt;=IF($O4305=0,0,SUMIFS(Disbursements!$W:$W,Disbursements!$B:$B,'Live Collections'!D4305,Disbursements!$D:$D,'Live Collections'!F4305)),O4305,IF($O4305=0,0,SUMIFS(Disbursements!$W:$W,Disbursements!$B:$B,'Live Collections'!D4305,Disbursements!$D:$D,'Live Collections'!F4305)))</f>
        <v>33000</v>
      </c>
      <c r="T4305" s="304">
        <f t="shared" si="205"/>
        <v>132000</v>
      </c>
      <c r="U4305" s="52"/>
      <c r="V4305" s="34"/>
      <c r="W4305" s="408"/>
    </row>
    <row r="4306" spans="1:23" ht="12.75" customHeight="1" x14ac:dyDescent="0.2">
      <c r="A4306" s="257">
        <v>4317</v>
      </c>
      <c r="B4306" s="44">
        <v>44700</v>
      </c>
      <c r="C4306" s="44">
        <f t="shared" si="206"/>
        <v>44700</v>
      </c>
      <c r="D4306" s="374">
        <v>333</v>
      </c>
      <c r="E4306" s="291" t="str">
        <f>IFERROR(VLOOKUP($D4306,'Clients-Live'!$A:$C,3,0),"")</f>
        <v>OSORU HELLEN</v>
      </c>
      <c r="F4306" s="291">
        <f>IFERROR(INDEX(Disbursements!$D:$D,MATCH('Live Collections'!G4306,Disbursements!$C:$C,0)),"")</f>
        <v>1</v>
      </c>
      <c r="G4306" s="34">
        <v>472</v>
      </c>
      <c r="H4306" s="34">
        <v>6069</v>
      </c>
      <c r="I4306" s="34" t="s">
        <v>1358</v>
      </c>
      <c r="J4306" s="48"/>
      <c r="K4306" s="48"/>
      <c r="L4306" s="48"/>
      <c r="M4306" s="48"/>
      <c r="N4306" s="59"/>
      <c r="O4306" s="59">
        <v>50000</v>
      </c>
      <c r="P4306" s="59"/>
      <c r="Q4306" s="268">
        <f t="shared" si="204"/>
        <v>50000</v>
      </c>
      <c r="R4306" s="61">
        <f>IF(O4306=0,0,SUMIFS(Disbursements!$T:$T,Disbursements!$B:$B,'Live Collections'!D4306,Disbursements!$D:$D,'Live Collections'!F4306))</f>
        <v>40000</v>
      </c>
      <c r="S4306" s="304">
        <f>IF(O4306&lt;=IF($O4306=0,0,SUMIFS(Disbursements!$W:$W,Disbursements!$B:$B,'Live Collections'!D4306,Disbursements!$D:$D,'Live Collections'!F4306)),O4306,IF($O4306=0,0,SUMIFS(Disbursements!$W:$W,Disbursements!$B:$B,'Live Collections'!D4306,Disbursements!$D:$D,'Live Collections'!F4306)))</f>
        <v>8750</v>
      </c>
      <c r="T4306" s="304">
        <f t="shared" si="205"/>
        <v>41250</v>
      </c>
      <c r="U4306" s="52"/>
      <c r="V4306" s="34"/>
      <c r="W4306" s="408"/>
    </row>
    <row r="4307" spans="1:23" ht="12.75" customHeight="1" x14ac:dyDescent="0.2">
      <c r="A4307" s="257">
        <v>4318</v>
      </c>
      <c r="B4307" s="44">
        <v>44701</v>
      </c>
      <c r="C4307" s="44">
        <f t="shared" si="206"/>
        <v>44701</v>
      </c>
      <c r="D4307" s="374">
        <v>213</v>
      </c>
      <c r="E4307" s="291" t="str">
        <f>IFERROR(VLOOKUP($D4307,'Clients-Live'!$A:$C,3,0),"")</f>
        <v>ATIKURU NADIA</v>
      </c>
      <c r="F4307" s="291">
        <f>IFERROR(INDEX(Disbursements!$D:$D,MATCH('Live Collections'!G4307,Disbursements!$C:$C,0)),"")</f>
        <v>2</v>
      </c>
      <c r="G4307" s="34">
        <v>378</v>
      </c>
      <c r="H4307" s="34">
        <v>7449</v>
      </c>
      <c r="I4307" s="34" t="s">
        <v>1358</v>
      </c>
      <c r="J4307" s="48"/>
      <c r="K4307" s="48"/>
      <c r="L4307" s="48"/>
      <c r="M4307" s="48"/>
      <c r="N4307" s="59"/>
      <c r="O4307" s="59">
        <v>125000</v>
      </c>
      <c r="P4307" s="59"/>
      <c r="Q4307" s="268">
        <f t="shared" si="204"/>
        <v>125000</v>
      </c>
      <c r="R4307" s="61">
        <f>IF(O4307=0,0,SUMIFS(Disbursements!$T:$T,Disbursements!$B:$B,'Live Collections'!D4307,Disbursements!$D:$D,'Live Collections'!F4307))</f>
        <v>300000</v>
      </c>
      <c r="S4307" s="304"/>
      <c r="T4307" s="304">
        <f t="shared" si="205"/>
        <v>125000</v>
      </c>
      <c r="U4307" s="52"/>
      <c r="V4307" s="34"/>
      <c r="W4307" s="408"/>
    </row>
    <row r="4308" spans="1:23" ht="12.75" customHeight="1" x14ac:dyDescent="0.2">
      <c r="A4308" s="257">
        <v>4319</v>
      </c>
      <c r="B4308" s="44">
        <v>44701</v>
      </c>
      <c r="C4308" s="44">
        <f t="shared" si="206"/>
        <v>44701</v>
      </c>
      <c r="D4308" s="374">
        <v>213</v>
      </c>
      <c r="E4308" s="291" t="str">
        <f>IFERROR(VLOOKUP($D4308,'Clients-Live'!$A:$C,3,0),"")</f>
        <v>ATIKURU NADIA</v>
      </c>
      <c r="F4308" s="291">
        <f>IFERROR(INDEX(Disbursements!$D:$D,MATCH('Live Collections'!G4308,Disbursements!$C:$C,0)),"")</f>
        <v>2</v>
      </c>
      <c r="G4308" s="34">
        <v>378</v>
      </c>
      <c r="H4308" s="34" t="s">
        <v>2432</v>
      </c>
      <c r="I4308" s="34" t="s">
        <v>1358</v>
      </c>
      <c r="J4308" s="48"/>
      <c r="K4308" s="48"/>
      <c r="L4308" s="48"/>
      <c r="M4308" s="48"/>
      <c r="N4308" s="59"/>
      <c r="O4308" s="59">
        <v>100000</v>
      </c>
      <c r="P4308" s="59">
        <v>-100000</v>
      </c>
      <c r="Q4308" s="268">
        <f t="shared" si="204"/>
        <v>0</v>
      </c>
      <c r="R4308" s="61">
        <f>IF(O4308=0,0,SUMIFS(Disbursements!$T:$T,Disbursements!$B:$B,'Live Collections'!D4308,Disbursements!$D:$D,'Live Collections'!F4308))</f>
        <v>300000</v>
      </c>
      <c r="S4308" s="304"/>
      <c r="T4308" s="304">
        <f t="shared" si="205"/>
        <v>100000</v>
      </c>
      <c r="U4308" s="52"/>
      <c r="V4308" s="34"/>
      <c r="W4308" s="408"/>
    </row>
    <row r="4309" spans="1:23" ht="12.75" customHeight="1" x14ac:dyDescent="0.2">
      <c r="A4309" s="257">
        <v>4320</v>
      </c>
      <c r="B4309" s="44">
        <v>44701</v>
      </c>
      <c r="C4309" s="44">
        <f t="shared" si="206"/>
        <v>44701</v>
      </c>
      <c r="D4309" s="374">
        <v>272</v>
      </c>
      <c r="E4309" s="291" t="str">
        <f>IFERROR(VLOOKUP($D4309,'Clients-Live'!$A:$C,3,0),"")</f>
        <v>AFEKU EMMANUEL</v>
      </c>
      <c r="F4309" s="291" t="str">
        <f>IFERROR(INDEX(Disbursements!$D:$D,MATCH('Live Collections'!G4309,Disbursements!$C:$C,0)),"")</f>
        <v/>
      </c>
      <c r="G4309" s="34"/>
      <c r="H4309" s="34">
        <v>7448</v>
      </c>
      <c r="I4309" s="34" t="s">
        <v>1359</v>
      </c>
      <c r="J4309" s="48"/>
      <c r="K4309" s="48"/>
      <c r="L4309" s="48"/>
      <c r="M4309" s="48"/>
      <c r="N4309" s="59"/>
      <c r="O4309" s="59"/>
      <c r="P4309" s="59">
        <v>40000</v>
      </c>
      <c r="Q4309" s="268">
        <f t="shared" si="204"/>
        <v>40000</v>
      </c>
      <c r="R4309" s="61">
        <f>IF(O4309=0,0,SUMIFS(Disbursements!$T:$T,Disbursements!$B:$B,'Live Collections'!D4309,Disbursements!$D:$D,'Live Collections'!F4309))</f>
        <v>0</v>
      </c>
      <c r="S4309" s="304">
        <f>IF(O4309&lt;=IF($O4309=0,0,SUMIFS(Disbursements!$W:$W,Disbursements!$B:$B,'Live Collections'!D4309,Disbursements!$D:$D,'Live Collections'!F4309)),O4309,IF($O4309=0,0,SUMIFS(Disbursements!$W:$W,Disbursements!$B:$B,'Live Collections'!D4309,Disbursements!$D:$D,'Live Collections'!F4309)))</f>
        <v>0</v>
      </c>
      <c r="T4309" s="304">
        <f t="shared" si="205"/>
        <v>0</v>
      </c>
      <c r="U4309" s="52"/>
      <c r="V4309" s="34"/>
      <c r="W4309" s="408"/>
    </row>
    <row r="4310" spans="1:23" ht="12.75" customHeight="1" x14ac:dyDescent="0.2">
      <c r="A4310" s="257">
        <v>4321</v>
      </c>
      <c r="B4310" s="44">
        <v>44701</v>
      </c>
      <c r="C4310" s="44">
        <f t="shared" si="206"/>
        <v>44701</v>
      </c>
      <c r="D4310" s="374">
        <v>73</v>
      </c>
      <c r="E4310" s="291" t="str">
        <f>IFERROR(VLOOKUP($D4310,'Clients-Live'!$A:$C,3,0),"")</f>
        <v>AJONYE DEBORA</v>
      </c>
      <c r="F4310" s="291">
        <f>IFERROR(INDEX(Disbursements!$D:$D,MATCH('Live Collections'!G4310,Disbursements!$C:$C,0)),"")</f>
        <v>3</v>
      </c>
      <c r="G4310" s="34">
        <v>426</v>
      </c>
      <c r="H4310" s="34">
        <v>6301</v>
      </c>
      <c r="I4310" s="34" t="s">
        <v>1357</v>
      </c>
      <c r="J4310" s="48"/>
      <c r="K4310" s="48"/>
      <c r="L4310" s="48"/>
      <c r="M4310" s="48"/>
      <c r="N4310" s="59"/>
      <c r="O4310" s="59">
        <v>53000</v>
      </c>
      <c r="P4310" s="59"/>
      <c r="Q4310" s="268">
        <f t="shared" si="204"/>
        <v>53000</v>
      </c>
      <c r="R4310" s="61">
        <f>IF(O4310=0,0,SUMIFS(Disbursements!$T:$T,Disbursements!$B:$B,'Live Collections'!D4310,Disbursements!$D:$D,'Live Collections'!F4310))</f>
        <v>53000</v>
      </c>
      <c r="S4310" s="304">
        <f>IF(O4310&lt;=IF($O4310=0,0,SUMIFS(Disbursements!$W:$W,Disbursements!$B:$B,'Live Collections'!D4310,Disbursements!$D:$D,'Live Collections'!F4310)),O4310,IF($O4310=0,0,SUMIFS(Disbursements!$W:$W,Disbursements!$B:$B,'Live Collections'!D4310,Disbursements!$D:$D,'Live Collections'!F4310)))</f>
        <v>13000</v>
      </c>
      <c r="T4310" s="304">
        <f t="shared" si="205"/>
        <v>40000</v>
      </c>
      <c r="U4310" s="52"/>
      <c r="V4310" s="34"/>
      <c r="W4310" s="408"/>
    </row>
    <row r="4311" spans="1:23" ht="12.75" customHeight="1" x14ac:dyDescent="0.2">
      <c r="A4311" s="257">
        <v>4322</v>
      </c>
      <c r="B4311" s="44">
        <v>44701</v>
      </c>
      <c r="C4311" s="44">
        <f t="shared" si="206"/>
        <v>44701</v>
      </c>
      <c r="D4311" s="374">
        <v>303</v>
      </c>
      <c r="E4311" s="291" t="str">
        <f>IFERROR(VLOOKUP($D4311,'Clients-Live'!$A:$C,3,0),"")</f>
        <v>APAYI DOROTHY</v>
      </c>
      <c r="F4311" s="291">
        <f>IFERROR(INDEX(Disbursements!$D:$D,MATCH('Live Collections'!G4311,Disbursements!$C:$C,0)),"")</f>
        <v>1</v>
      </c>
      <c r="G4311" s="34">
        <v>399</v>
      </c>
      <c r="H4311" s="34">
        <v>6151</v>
      </c>
      <c r="I4311" s="34" t="s">
        <v>1359</v>
      </c>
      <c r="J4311" s="48"/>
      <c r="K4311" s="48"/>
      <c r="L4311" s="48"/>
      <c r="M4311" s="48"/>
      <c r="N4311" s="59"/>
      <c r="O4311" s="59">
        <v>20000</v>
      </c>
      <c r="P4311" s="59"/>
      <c r="Q4311" s="268">
        <f t="shared" si="204"/>
        <v>20000</v>
      </c>
      <c r="R4311" s="61">
        <f>IF(O4311=0,0,SUMIFS(Disbursements!$T:$T,Disbursements!$B:$B,'Live Collections'!D4311,Disbursements!$D:$D,'Live Collections'!F4311))</f>
        <v>40000</v>
      </c>
      <c r="S4311" s="304"/>
      <c r="T4311" s="304">
        <f t="shared" si="205"/>
        <v>20000</v>
      </c>
      <c r="U4311" s="52"/>
      <c r="V4311" s="34"/>
      <c r="W4311" s="408"/>
    </row>
    <row r="4312" spans="1:23" ht="12.75" customHeight="1" x14ac:dyDescent="0.2">
      <c r="A4312" s="257">
        <v>4323</v>
      </c>
      <c r="B4312" s="44">
        <v>44701</v>
      </c>
      <c r="C4312" s="44">
        <f t="shared" si="206"/>
        <v>44701</v>
      </c>
      <c r="D4312" s="374">
        <v>221</v>
      </c>
      <c r="E4312" s="291" t="str">
        <f>IFERROR(VLOOKUP($D4312,'Clients-Live'!$A:$C,3,0),"")</f>
        <v>NAMUDDU MARY</v>
      </c>
      <c r="F4312" s="291" t="str">
        <f>IFERROR(INDEX(Disbursements!$D:$D,MATCH('Live Collections'!G4312,Disbursements!$C:$C,0)),"")</f>
        <v/>
      </c>
      <c r="G4312" s="34"/>
      <c r="H4312" s="34">
        <v>7446</v>
      </c>
      <c r="I4312" s="34" t="s">
        <v>1359</v>
      </c>
      <c r="J4312" s="48"/>
      <c r="K4312" s="48"/>
      <c r="L4312" s="48"/>
      <c r="M4312" s="48"/>
      <c r="N4312" s="59"/>
      <c r="O4312" s="59"/>
      <c r="P4312" s="59">
        <v>100000</v>
      </c>
      <c r="Q4312" s="268">
        <f t="shared" si="204"/>
        <v>100000</v>
      </c>
      <c r="R4312" s="61">
        <f>IF(O4312=0,0,SUMIFS(Disbursements!$T:$T,Disbursements!$B:$B,'Live Collections'!D4312,Disbursements!$D:$D,'Live Collections'!F4312))</f>
        <v>0</v>
      </c>
      <c r="S4312" s="304">
        <f>IF(O4312&lt;=IF($O4312=0,0,SUMIFS(Disbursements!$W:$W,Disbursements!$B:$B,'Live Collections'!D4312,Disbursements!$D:$D,'Live Collections'!F4312)),O4312,IF($O4312=0,0,SUMIFS(Disbursements!$W:$W,Disbursements!$B:$B,'Live Collections'!D4312,Disbursements!$D:$D,'Live Collections'!F4312)))</f>
        <v>0</v>
      </c>
      <c r="T4312" s="304">
        <f t="shared" si="205"/>
        <v>0</v>
      </c>
      <c r="U4312" s="52"/>
      <c r="V4312" s="34"/>
      <c r="W4312" s="408"/>
    </row>
    <row r="4313" spans="1:23" ht="12.75" customHeight="1" x14ac:dyDescent="0.2">
      <c r="A4313" s="257">
        <v>4324</v>
      </c>
      <c r="B4313" s="44">
        <v>44701</v>
      </c>
      <c r="C4313" s="44">
        <f t="shared" si="206"/>
        <v>44701</v>
      </c>
      <c r="D4313" s="374">
        <v>51</v>
      </c>
      <c r="E4313" s="291" t="str">
        <f>IFERROR(VLOOKUP($D4313,'Clients-Live'!$A:$C,3,0),"")</f>
        <v>AYILE STEPHEN</v>
      </c>
      <c r="F4313" s="291">
        <f>IFERROR(INDEX(Disbursements!$D:$D,MATCH('Live Collections'!G4313,Disbursements!$C:$C,0)),"")</f>
        <v>2</v>
      </c>
      <c r="G4313" s="34">
        <v>473</v>
      </c>
      <c r="H4313" s="34">
        <v>6061</v>
      </c>
      <c r="I4313" s="34" t="s">
        <v>1359</v>
      </c>
      <c r="J4313" s="48"/>
      <c r="K4313" s="48"/>
      <c r="L4313" s="48"/>
      <c r="M4313" s="48"/>
      <c r="N4313" s="59"/>
      <c r="O4313" s="59">
        <v>140000</v>
      </c>
      <c r="P4313" s="59"/>
      <c r="Q4313" s="268">
        <f t="shared" si="204"/>
        <v>140000</v>
      </c>
      <c r="R4313" s="61">
        <f>IF(O4313=0,0,SUMIFS(Disbursements!$T:$T,Disbursements!$B:$B,'Live Collections'!D4313,Disbursements!$D:$D,'Live Collections'!F4313))</f>
        <v>139000</v>
      </c>
      <c r="S4313" s="304">
        <f>IF(O4313&lt;=IF($O4313=0,0,SUMIFS(Disbursements!$W:$W,Disbursements!$B:$B,'Live Collections'!D4313,Disbursements!$D:$D,'Live Collections'!F4313)),O4313,IF($O4313=0,0,SUMIFS(Disbursements!$W:$W,Disbursements!$B:$B,'Live Collections'!D4313,Disbursements!$D:$D,'Live Collections'!F4313)))</f>
        <v>39000</v>
      </c>
      <c r="T4313" s="304">
        <f t="shared" si="205"/>
        <v>101000</v>
      </c>
      <c r="U4313" s="52"/>
      <c r="V4313" s="34"/>
      <c r="W4313" s="408"/>
    </row>
    <row r="4314" spans="1:23" ht="12.75" customHeight="1" x14ac:dyDescent="0.2">
      <c r="A4314" s="257">
        <v>4325</v>
      </c>
      <c r="B4314" s="44">
        <v>44701</v>
      </c>
      <c r="C4314" s="44">
        <f t="shared" si="206"/>
        <v>44701</v>
      </c>
      <c r="D4314" s="374">
        <v>104</v>
      </c>
      <c r="E4314" s="291" t="str">
        <f>IFERROR(VLOOKUP($D4314,'Clients-Live'!$A:$C,3,0),"")</f>
        <v>IDIRA ALIMA</v>
      </c>
      <c r="F4314" s="291">
        <f>IFERROR(INDEX(Disbursements!$D:$D,MATCH('Live Collections'!G4314,Disbursements!$C:$C,0)),"")</f>
        <v>2</v>
      </c>
      <c r="G4314" s="34">
        <v>252</v>
      </c>
      <c r="H4314" s="34">
        <v>7443</v>
      </c>
      <c r="I4314" s="34" t="s">
        <v>1359</v>
      </c>
      <c r="J4314" s="48"/>
      <c r="K4314" s="48"/>
      <c r="L4314" s="48"/>
      <c r="M4314" s="48"/>
      <c r="N4314" s="59"/>
      <c r="O4314" s="59">
        <v>20000</v>
      </c>
      <c r="P4314" s="59"/>
      <c r="Q4314" s="268">
        <f t="shared" si="204"/>
        <v>20000</v>
      </c>
      <c r="R4314" s="61">
        <f>IF(O4314=0,0,SUMIFS(Disbursements!$T:$T,Disbursements!$B:$B,'Live Collections'!D4314,Disbursements!$D:$D,'Live Collections'!F4314))</f>
        <v>175000</v>
      </c>
      <c r="S4314" s="304"/>
      <c r="T4314" s="304">
        <f t="shared" si="205"/>
        <v>20000</v>
      </c>
      <c r="U4314" s="52"/>
      <c r="V4314" s="34"/>
      <c r="W4314" s="408"/>
    </row>
    <row r="4315" spans="1:23" ht="12.75" customHeight="1" x14ac:dyDescent="0.2">
      <c r="A4315" s="257">
        <v>4326</v>
      </c>
      <c r="B4315" s="44">
        <v>44701</v>
      </c>
      <c r="C4315" s="44">
        <f t="shared" si="206"/>
        <v>44701</v>
      </c>
      <c r="D4315" s="374">
        <v>42</v>
      </c>
      <c r="E4315" s="291" t="str">
        <f>IFERROR(VLOOKUP($D4315,'Clients-Live'!$A:$C,3,0),"")</f>
        <v>ABAU   NOLA</v>
      </c>
      <c r="F4315" s="291">
        <f>IFERROR(INDEX(Disbursements!$D:$D,MATCH('Live Collections'!G4315,Disbursements!$C:$C,0)),"")</f>
        <v>4</v>
      </c>
      <c r="G4315" s="34">
        <v>498</v>
      </c>
      <c r="H4315" s="34">
        <v>7444</v>
      </c>
      <c r="I4315" s="34" t="s">
        <v>1359</v>
      </c>
      <c r="J4315" s="48"/>
      <c r="K4315" s="48"/>
      <c r="L4315" s="48"/>
      <c r="M4315" s="48"/>
      <c r="N4315" s="59"/>
      <c r="O4315" s="59">
        <v>20000</v>
      </c>
      <c r="P4315" s="59"/>
      <c r="Q4315" s="268">
        <f t="shared" si="204"/>
        <v>20000</v>
      </c>
      <c r="R4315" s="61">
        <f>IF(O4315=0,0,SUMIFS(Disbursements!$T:$T,Disbursements!$B:$B,'Live Collections'!D4315,Disbursements!$D:$D,'Live Collections'!F4315))</f>
        <v>100000</v>
      </c>
      <c r="S4315" s="304"/>
      <c r="T4315" s="304">
        <f t="shared" si="205"/>
        <v>20000</v>
      </c>
      <c r="U4315" s="52"/>
      <c r="V4315" s="34"/>
      <c r="W4315" s="408"/>
    </row>
    <row r="4316" spans="1:23" ht="12.75" customHeight="1" x14ac:dyDescent="0.2">
      <c r="A4316" s="257">
        <v>4327</v>
      </c>
      <c r="B4316" s="44">
        <v>44702</v>
      </c>
      <c r="C4316" s="44">
        <f t="shared" si="206"/>
        <v>44702</v>
      </c>
      <c r="D4316" s="374">
        <v>276</v>
      </c>
      <c r="E4316" s="291" t="str">
        <f>IFERROR(VLOOKUP($D4316,'Clients-Live'!$A:$C,3,0),"")</f>
        <v>MANDELA SWAIBU</v>
      </c>
      <c r="F4316" s="291">
        <f>IFERROR(INDEX(Disbursements!$D:$D,MATCH('Live Collections'!G4316,Disbursements!$C:$C,0)),"")</f>
        <v>1</v>
      </c>
      <c r="G4316" s="34">
        <v>358</v>
      </c>
      <c r="H4316" s="34">
        <v>6304</v>
      </c>
      <c r="I4316" s="34" t="s">
        <v>1359</v>
      </c>
      <c r="J4316" s="48"/>
      <c r="K4316" s="48"/>
      <c r="L4316" s="48"/>
      <c r="M4316" s="48"/>
      <c r="N4316" s="59"/>
      <c r="O4316" s="59">
        <v>40000</v>
      </c>
      <c r="P4316" s="59"/>
      <c r="Q4316" s="268">
        <f t="shared" si="204"/>
        <v>40000</v>
      </c>
      <c r="R4316" s="61">
        <f>IF(O4316=0,0,SUMIFS(Disbursements!$T:$T,Disbursements!$B:$B,'Live Collections'!D4316,Disbursements!$D:$D,'Live Collections'!F4316))</f>
        <v>325000</v>
      </c>
      <c r="S4316" s="304">
        <f>IF(O4316&lt;=IF($O4316=0,0,SUMIFS(Disbursements!$W:$W,Disbursements!$B:$B,'Live Collections'!D4316,Disbursements!$D:$D,'Live Collections'!F4316)),O4316,IF($O4316=0,0,SUMIFS(Disbursements!$W:$W,Disbursements!$B:$B,'Live Collections'!D4316,Disbursements!$D:$D,'Live Collections'!F4316)))</f>
        <v>40000</v>
      </c>
      <c r="T4316" s="304">
        <f t="shared" si="205"/>
        <v>0</v>
      </c>
      <c r="U4316" s="52"/>
      <c r="V4316" s="34"/>
      <c r="W4316" s="408"/>
    </row>
    <row r="4317" spans="1:23" ht="12.75" customHeight="1" x14ac:dyDescent="0.2">
      <c r="A4317" s="257">
        <v>4328</v>
      </c>
      <c r="B4317" s="44">
        <v>44702</v>
      </c>
      <c r="C4317" s="44">
        <f t="shared" si="206"/>
        <v>44702</v>
      </c>
      <c r="D4317" s="374">
        <v>201</v>
      </c>
      <c r="E4317" s="291" t="str">
        <f>IFERROR(VLOOKUP($D4317,'Clients-Live'!$A:$C,3,0),"")</f>
        <v>DALILI HASSAN</v>
      </c>
      <c r="F4317" s="291">
        <f>IFERROR(INDEX(Disbursements!$D:$D,MATCH('Live Collections'!G4317,Disbursements!$C:$C,0)),"")</f>
        <v>1</v>
      </c>
      <c r="G4317" s="34">
        <v>419</v>
      </c>
      <c r="H4317" s="34">
        <v>6303</v>
      </c>
      <c r="I4317" s="34" t="s">
        <v>1359</v>
      </c>
      <c r="J4317" s="48"/>
      <c r="K4317" s="48"/>
      <c r="L4317" s="48"/>
      <c r="M4317" s="48"/>
      <c r="N4317" s="59"/>
      <c r="O4317" s="59">
        <v>50000</v>
      </c>
      <c r="P4317" s="59"/>
      <c r="Q4317" s="268">
        <f t="shared" si="204"/>
        <v>50000</v>
      </c>
      <c r="R4317" s="61">
        <f>IF(O4317=0,0,SUMIFS(Disbursements!$T:$T,Disbursements!$B:$B,'Live Collections'!D4317,Disbursements!$D:$D,'Live Collections'!F4317))</f>
        <v>47000</v>
      </c>
      <c r="S4317" s="304">
        <f>IF(O4317&lt;=IF($O4317=0,0,SUMIFS(Disbursements!$W:$W,Disbursements!$B:$B,'Live Collections'!D4317,Disbursements!$D:$D,'Live Collections'!F4317)),O4317,IF($O4317=0,0,SUMIFS(Disbursements!$W:$W,Disbursements!$B:$B,'Live Collections'!D4317,Disbursements!$D:$D,'Live Collections'!F4317)))</f>
        <v>13666.666666666664</v>
      </c>
      <c r="T4317" s="304">
        <f t="shared" si="205"/>
        <v>36333.333333333336</v>
      </c>
      <c r="U4317" s="52"/>
      <c r="V4317" s="34"/>
      <c r="W4317" s="408"/>
    </row>
    <row r="4318" spans="1:23" ht="12.75" customHeight="1" x14ac:dyDescent="0.2">
      <c r="A4318" s="257">
        <v>4329</v>
      </c>
      <c r="B4318" s="44">
        <v>44702</v>
      </c>
      <c r="C4318" s="44">
        <f t="shared" si="206"/>
        <v>44702</v>
      </c>
      <c r="D4318" s="374">
        <v>330</v>
      </c>
      <c r="E4318" s="291" t="str">
        <f>IFERROR(VLOOKUP($D4318,'Clients-Live'!$A:$C,3,0),"")</f>
        <v>BACIA AISHA</v>
      </c>
      <c r="F4318" s="291">
        <f>IFERROR(INDEX(Disbursements!$D:$D,MATCH('Live Collections'!G4318,Disbursements!$C:$C,0)),"")</f>
        <v>1</v>
      </c>
      <c r="G4318" s="34">
        <v>462</v>
      </c>
      <c r="H4318" s="34">
        <v>6152</v>
      </c>
      <c r="I4318" s="34" t="s">
        <v>1357</v>
      </c>
      <c r="J4318" s="48"/>
      <c r="K4318" s="48"/>
      <c r="L4318" s="48"/>
      <c r="M4318" s="48"/>
      <c r="N4318" s="59"/>
      <c r="O4318" s="59">
        <v>100000</v>
      </c>
      <c r="P4318" s="59"/>
      <c r="Q4318" s="268">
        <f t="shared" si="204"/>
        <v>100000</v>
      </c>
      <c r="R4318" s="61">
        <f>IF(O4318=0,0,SUMIFS(Disbursements!$T:$T,Disbursements!$B:$B,'Live Collections'!D4318,Disbursements!$D:$D,'Live Collections'!F4318))</f>
        <v>140000</v>
      </c>
      <c r="S4318" s="304">
        <f>IF(O4318&lt;=IF($O4318=0,0,SUMIFS(Disbursements!$W:$W,Disbursements!$B:$B,'Live Collections'!D4318,Disbursements!$D:$D,'Live Collections'!F4318)),O4318,IF($O4318=0,0,SUMIFS(Disbursements!$W:$W,Disbursements!$B:$B,'Live Collections'!D4318,Disbursements!$D:$D,'Live Collections'!F4318)))</f>
        <v>23333.333333333328</v>
      </c>
      <c r="T4318" s="304">
        <f t="shared" si="205"/>
        <v>76666.666666666672</v>
      </c>
      <c r="U4318" s="52"/>
      <c r="V4318" s="34"/>
      <c r="W4318" s="408"/>
    </row>
    <row r="4319" spans="1:23" ht="12.75" customHeight="1" x14ac:dyDescent="0.2">
      <c r="A4319" s="257">
        <v>4330</v>
      </c>
      <c r="B4319" s="44">
        <v>44702</v>
      </c>
      <c r="C4319" s="44">
        <f t="shared" si="206"/>
        <v>44702</v>
      </c>
      <c r="D4319" s="374">
        <v>74</v>
      </c>
      <c r="E4319" s="291" t="str">
        <f>IFERROR(VLOOKUP($D4319,'Clients-Live'!$A:$C,3,0),"")</f>
        <v>YUKUWE AISHA</v>
      </c>
      <c r="F4319" s="291">
        <f>IFERROR(INDEX(Disbursements!$D:$D,MATCH('Live Collections'!G4319,Disbursements!$C:$C,0)),"")</f>
        <v>3</v>
      </c>
      <c r="G4319" s="34">
        <v>447</v>
      </c>
      <c r="H4319" s="34">
        <v>6302</v>
      </c>
      <c r="I4319" s="34" t="s">
        <v>1358</v>
      </c>
      <c r="J4319" s="48"/>
      <c r="K4319" s="48"/>
      <c r="L4319" s="48"/>
      <c r="M4319" s="48"/>
      <c r="N4319" s="59"/>
      <c r="O4319" s="59">
        <v>16000</v>
      </c>
      <c r="P4319" s="59"/>
      <c r="Q4319" s="268">
        <f t="shared" si="204"/>
        <v>16000</v>
      </c>
      <c r="R4319" s="61">
        <f>IF(O4319=0,0,SUMIFS(Disbursements!$T:$T,Disbursements!$B:$B,'Live Collections'!D4319,Disbursements!$D:$D,'Live Collections'!F4319))</f>
        <v>16000</v>
      </c>
      <c r="S4319" s="304">
        <f>IF(O4319&lt;=IF($O4319=0,0,SUMIFS(Disbursements!$W:$W,Disbursements!$B:$B,'Live Collections'!D4319,Disbursements!$D:$D,'Live Collections'!F4319)),O4319,IF($O4319=0,0,SUMIFS(Disbursements!$W:$W,Disbursements!$B:$B,'Live Collections'!D4319,Disbursements!$D:$D,'Live Collections'!F4319)))</f>
        <v>3500</v>
      </c>
      <c r="T4319" s="304">
        <f t="shared" si="205"/>
        <v>12500</v>
      </c>
      <c r="U4319" s="52"/>
      <c r="V4319" s="34"/>
      <c r="W4319" s="408"/>
    </row>
    <row r="4320" spans="1:23" ht="12.75" customHeight="1" x14ac:dyDescent="0.2">
      <c r="A4320" s="257">
        <v>4331</v>
      </c>
      <c r="B4320" s="44">
        <v>44702</v>
      </c>
      <c r="C4320" s="44">
        <f t="shared" si="206"/>
        <v>44702</v>
      </c>
      <c r="D4320" s="374">
        <v>331</v>
      </c>
      <c r="E4320" s="291" t="str">
        <f>IFERROR(VLOOKUP($D4320,'Clients-Live'!$A:$C,3,0),"")</f>
        <v>DRANIKU ALBERT</v>
      </c>
      <c r="F4320" s="291">
        <f>IFERROR(INDEX(Disbursements!$D:$D,MATCH('Live Collections'!G4320,Disbursements!$C:$C,0)),"")</f>
        <v>1</v>
      </c>
      <c r="G4320" s="34">
        <v>457</v>
      </c>
      <c r="H4320" s="34">
        <v>6305</v>
      </c>
      <c r="I4320" s="34" t="s">
        <v>1357</v>
      </c>
      <c r="J4320" s="48"/>
      <c r="K4320" s="48"/>
      <c r="L4320" s="48"/>
      <c r="M4320" s="48"/>
      <c r="N4320" s="59"/>
      <c r="O4320" s="59">
        <v>150000</v>
      </c>
      <c r="P4320" s="59"/>
      <c r="Q4320" s="268">
        <f t="shared" si="204"/>
        <v>150000</v>
      </c>
      <c r="R4320" s="61">
        <f>IF(O4320=0,0,SUMIFS(Disbursements!$T:$T,Disbursements!$B:$B,'Live Collections'!D4320,Disbursements!$D:$D,'Live Collections'!F4320))</f>
        <v>230000</v>
      </c>
      <c r="S4320" s="304">
        <f>IF(O4320&lt;=IF($O4320=0,0,SUMIFS(Disbursements!$W:$W,Disbursements!$B:$B,'Live Collections'!D4320,Disbursements!$D:$D,'Live Collections'!F4320)),O4320,IF($O4320=0,0,SUMIFS(Disbursements!$W:$W,Disbursements!$B:$B,'Live Collections'!D4320,Disbursements!$D:$D,'Live Collections'!F4320)))</f>
        <v>30000</v>
      </c>
      <c r="T4320" s="304">
        <f t="shared" si="205"/>
        <v>120000</v>
      </c>
      <c r="U4320" s="52"/>
      <c r="V4320" s="34"/>
      <c r="W4320" s="408"/>
    </row>
    <row r="4321" spans="1:23" ht="12.75" customHeight="1" x14ac:dyDescent="0.2">
      <c r="A4321" s="257">
        <v>4332</v>
      </c>
      <c r="B4321" s="44">
        <v>44702</v>
      </c>
      <c r="C4321" s="44">
        <f t="shared" si="206"/>
        <v>44702</v>
      </c>
      <c r="D4321" s="374">
        <v>179</v>
      </c>
      <c r="E4321" s="291" t="str">
        <f>IFERROR(VLOOKUP($D4321,'Clients-Live'!$A:$C,3,0),"")</f>
        <v>GERIA VIOLA</v>
      </c>
      <c r="F4321" s="291">
        <f>IFERROR(INDEX(Disbursements!$D:$D,MATCH('Live Collections'!G4321,Disbursements!$C:$C,0)),"")</f>
        <v>3</v>
      </c>
      <c r="G4321" s="34">
        <v>506</v>
      </c>
      <c r="H4321" s="34">
        <v>6088</v>
      </c>
      <c r="I4321" s="34" t="s">
        <v>1359</v>
      </c>
      <c r="J4321" s="48"/>
      <c r="K4321" s="48"/>
      <c r="L4321" s="48"/>
      <c r="M4321" s="48"/>
      <c r="N4321" s="59"/>
      <c r="O4321" s="59">
        <v>35000</v>
      </c>
      <c r="P4321" s="59"/>
      <c r="Q4321" s="268">
        <f t="shared" si="204"/>
        <v>35000</v>
      </c>
      <c r="R4321" s="61">
        <f>IF(O4321=0,0,SUMIFS(Disbursements!$T:$T,Disbursements!$B:$B,'Live Collections'!D4321,Disbursements!$D:$D,'Live Collections'!F4321))</f>
        <v>221000</v>
      </c>
      <c r="S4321" s="304">
        <f>IF(O4321&lt;=IF($O4321=0,0,SUMIFS(Disbursements!$W:$W,Disbursements!$B:$B,'Live Collections'!D4321,Disbursements!$D:$D,'Live Collections'!F4321)),O4321,IF($O4321=0,0,SUMIFS(Disbursements!$W:$W,Disbursements!$B:$B,'Live Collections'!D4321,Disbursements!$D:$D,'Live Collections'!F4321)))</f>
        <v>35000</v>
      </c>
      <c r="T4321" s="304">
        <f t="shared" si="205"/>
        <v>0</v>
      </c>
      <c r="U4321" s="52"/>
      <c r="V4321" s="34"/>
      <c r="W4321" s="408" t="s">
        <v>2433</v>
      </c>
    </row>
    <row r="4322" spans="1:23" ht="12.75" customHeight="1" x14ac:dyDescent="0.2">
      <c r="A4322" s="257">
        <v>4333</v>
      </c>
      <c r="B4322" s="44">
        <v>44702</v>
      </c>
      <c r="C4322" s="44">
        <f t="shared" si="206"/>
        <v>44702</v>
      </c>
      <c r="D4322" s="374">
        <v>339</v>
      </c>
      <c r="E4322" s="291" t="str">
        <f>IFERROR(VLOOKUP($D4322,'Clients-Live'!$A:$C,3,0),"")</f>
        <v>GIRE ELIZABETH</v>
      </c>
      <c r="F4322" s="291">
        <f>IFERROR(INDEX(Disbursements!$D:$D,MATCH('Live Collections'!G4322,Disbursements!$C:$C,0)),"")</f>
        <v>1</v>
      </c>
      <c r="G4322" s="34">
        <v>475</v>
      </c>
      <c r="H4322" s="34">
        <v>6089</v>
      </c>
      <c r="I4322" s="34" t="s">
        <v>1357</v>
      </c>
      <c r="J4322" s="48"/>
      <c r="K4322" s="48"/>
      <c r="L4322" s="48"/>
      <c r="M4322" s="48"/>
      <c r="N4322" s="59"/>
      <c r="O4322" s="59">
        <v>600000</v>
      </c>
      <c r="P4322" s="59"/>
      <c r="Q4322" s="268">
        <f t="shared" si="204"/>
        <v>600000</v>
      </c>
      <c r="R4322" s="61">
        <f>IF(O4322=0,0,SUMIFS(Disbursements!$T:$T,Disbursements!$B:$B,'Live Collections'!D4322,Disbursements!$D:$D,'Live Collections'!F4322))</f>
        <v>695000</v>
      </c>
      <c r="S4322" s="304">
        <f>IF(O4322&lt;=IF($O4322=0,0,SUMIFS(Disbursements!$W:$W,Disbursements!$B:$B,'Live Collections'!D4322,Disbursements!$D:$D,'Live Collections'!F4322)),O4322,IF($O4322=0,0,SUMIFS(Disbursements!$W:$W,Disbursements!$B:$B,'Live Collections'!D4322,Disbursements!$D:$D,'Live Collections'!F4322)))</f>
        <v>195000</v>
      </c>
      <c r="T4322" s="304">
        <f t="shared" si="205"/>
        <v>405000</v>
      </c>
      <c r="U4322" s="52"/>
      <c r="V4322" s="34"/>
      <c r="W4322" s="408"/>
    </row>
    <row r="4323" spans="1:23" ht="12.75" customHeight="1" x14ac:dyDescent="0.2">
      <c r="A4323" s="257">
        <v>4334</v>
      </c>
      <c r="B4323" s="44">
        <v>44704</v>
      </c>
      <c r="C4323" s="44">
        <f t="shared" si="206"/>
        <v>44704</v>
      </c>
      <c r="D4323" s="374">
        <v>124</v>
      </c>
      <c r="E4323" s="291" t="str">
        <f>IFERROR(VLOOKUP($D4323,'Clients-Live'!$A:$C,3,0),"")</f>
        <v>TIKO ZABIBU</v>
      </c>
      <c r="F4323" s="291">
        <f>IFERROR(INDEX(Disbursements!$D:$D,MATCH('Live Collections'!G4323,Disbursements!$C:$C,0)),"")</f>
        <v>3</v>
      </c>
      <c r="G4323" s="34">
        <v>516</v>
      </c>
      <c r="H4323" s="34">
        <v>6310</v>
      </c>
      <c r="I4323" s="34" t="s">
        <v>1358</v>
      </c>
      <c r="J4323" s="48"/>
      <c r="K4323" s="48"/>
      <c r="L4323" s="48"/>
      <c r="M4323" s="48"/>
      <c r="N4323" s="59"/>
      <c r="O4323" s="59">
        <v>120000</v>
      </c>
      <c r="P4323" s="59"/>
      <c r="Q4323" s="268">
        <f t="shared" si="204"/>
        <v>120000</v>
      </c>
      <c r="R4323" s="61">
        <f>IF(O4323=0,0,SUMIFS(Disbursements!$T:$T,Disbursements!$B:$B,'Live Collections'!D4323,Disbursements!$D:$D,'Live Collections'!F4323))</f>
        <v>186000</v>
      </c>
      <c r="S4323" s="304">
        <f>IF(O4323&lt;=IF($O4323=0,0,SUMIFS(Disbursements!$W:$W,Disbursements!$B:$B,'Live Collections'!D4323,Disbursements!$D:$D,'Live Collections'!F4323)),O4323,IF($O4323=0,0,SUMIFS(Disbursements!$W:$W,Disbursements!$B:$B,'Live Collections'!D4323,Disbursements!$D:$D,'Live Collections'!F4323)))</f>
        <v>46000</v>
      </c>
      <c r="T4323" s="304">
        <f t="shared" si="205"/>
        <v>74000</v>
      </c>
      <c r="U4323" s="52"/>
      <c r="V4323" s="34"/>
      <c r="W4323" s="408"/>
    </row>
    <row r="4324" spans="1:23" ht="12.75" customHeight="1" x14ac:dyDescent="0.2">
      <c r="A4324" s="257">
        <v>4335</v>
      </c>
      <c r="B4324" s="44">
        <v>44704</v>
      </c>
      <c r="C4324" s="44">
        <f t="shared" si="206"/>
        <v>44704</v>
      </c>
      <c r="D4324" s="374">
        <v>78</v>
      </c>
      <c r="E4324" s="291" t="str">
        <f>IFERROR(VLOOKUP($D4324,'Clients-Live'!$A:$C,3,0),"")</f>
        <v>DIPIYO BEATRICE JOHN</v>
      </c>
      <c r="F4324" s="291">
        <f>IFERROR(INDEX(Disbursements!$D:$D,MATCH('Live Collections'!G4324,Disbursements!$C:$C,0)),"")</f>
        <v>3</v>
      </c>
      <c r="G4324" s="34">
        <v>515</v>
      </c>
      <c r="H4324" s="34">
        <v>6157</v>
      </c>
      <c r="I4324" s="34" t="s">
        <v>1359</v>
      </c>
      <c r="J4324" s="48"/>
      <c r="K4324" s="48"/>
      <c r="L4324" s="48"/>
      <c r="M4324" s="48"/>
      <c r="N4324" s="59"/>
      <c r="O4324" s="59">
        <v>245000</v>
      </c>
      <c r="P4324" s="59"/>
      <c r="Q4324" s="268">
        <f t="shared" si="204"/>
        <v>245000</v>
      </c>
      <c r="R4324" s="61">
        <f>IF(O4324=0,0,SUMIFS(Disbursements!$T:$T,Disbursements!$B:$B,'Live Collections'!D4324,Disbursements!$D:$D,'Live Collections'!F4324))</f>
        <v>245000</v>
      </c>
      <c r="S4324" s="304">
        <f>IF(O4324&lt;=IF($O4324=0,0,SUMIFS(Disbursements!$W:$W,Disbursements!$B:$B,'Live Collections'!D4324,Disbursements!$D:$D,'Live Collections'!F4324)),O4324,IF($O4324=0,0,SUMIFS(Disbursements!$W:$W,Disbursements!$B:$B,'Live Collections'!D4324,Disbursements!$D:$D,'Live Collections'!F4324)))</f>
        <v>45000</v>
      </c>
      <c r="T4324" s="304">
        <f t="shared" si="205"/>
        <v>200000</v>
      </c>
      <c r="U4324" s="52"/>
      <c r="V4324" s="34"/>
      <c r="W4324" s="408"/>
    </row>
    <row r="4325" spans="1:23" ht="12.75" customHeight="1" x14ac:dyDescent="0.2">
      <c r="A4325" s="257">
        <v>4336</v>
      </c>
      <c r="B4325" s="44">
        <v>44704</v>
      </c>
      <c r="C4325" s="44">
        <f t="shared" si="206"/>
        <v>44704</v>
      </c>
      <c r="D4325" s="374">
        <v>177</v>
      </c>
      <c r="E4325" s="291" t="str">
        <f>IFERROR(VLOOKUP($D4325,'Clients-Live'!$A:$C,3,0),"")</f>
        <v>EFIT GIFT</v>
      </c>
      <c r="F4325" s="291">
        <f>IFERROR(INDEX(Disbursements!$D:$D,MATCH('Live Collections'!G4325,Disbursements!$C:$C,0)),"")</f>
        <v>2</v>
      </c>
      <c r="G4325" s="34">
        <v>444</v>
      </c>
      <c r="H4325" s="34">
        <v>6156</v>
      </c>
      <c r="I4325" s="34" t="s">
        <v>1358</v>
      </c>
      <c r="J4325" s="48"/>
      <c r="K4325" s="48"/>
      <c r="L4325" s="48"/>
      <c r="M4325" s="48"/>
      <c r="N4325" s="59"/>
      <c r="O4325" s="59">
        <v>80000</v>
      </c>
      <c r="P4325" s="59"/>
      <c r="Q4325" s="268">
        <f t="shared" si="204"/>
        <v>80000</v>
      </c>
      <c r="R4325" s="61">
        <f>IF(O4325=0,0,SUMIFS(Disbursements!$T:$T,Disbursements!$B:$B,'Live Collections'!D4325,Disbursements!$D:$D,'Live Collections'!F4325))</f>
        <v>87000</v>
      </c>
      <c r="S4325" s="304">
        <f>IF(O4325&lt;=IF($O4325=0,0,SUMIFS(Disbursements!$W:$W,Disbursements!$B:$B,'Live Collections'!D4325,Disbursements!$D:$D,'Live Collections'!F4325)),O4325,IF($O4325=0,0,SUMIFS(Disbursements!$W:$W,Disbursements!$B:$B,'Live Collections'!D4325,Disbursements!$D:$D,'Live Collections'!F4325)))</f>
        <v>24500</v>
      </c>
      <c r="T4325" s="304">
        <f t="shared" si="205"/>
        <v>55500</v>
      </c>
      <c r="U4325" s="52"/>
      <c r="V4325" s="34"/>
      <c r="W4325" s="408"/>
    </row>
    <row r="4326" spans="1:23" ht="12.75" customHeight="1" x14ac:dyDescent="0.2">
      <c r="A4326" s="257">
        <v>4337</v>
      </c>
      <c r="B4326" s="44">
        <v>44704</v>
      </c>
      <c r="C4326" s="44">
        <f t="shared" si="206"/>
        <v>44704</v>
      </c>
      <c r="D4326" s="374">
        <v>61</v>
      </c>
      <c r="E4326" s="291" t="str">
        <f>IFERROR(VLOOKUP($D4326,'Clients-Live'!$A:$C,3,0),"")</f>
        <v>AREDU RUKIA</v>
      </c>
      <c r="F4326" s="291">
        <f>IFERROR(INDEX(Disbursements!$D:$D,MATCH('Live Collections'!G4326,Disbursements!$C:$C,0)),"")</f>
        <v>3</v>
      </c>
      <c r="G4326" s="34">
        <v>479</v>
      </c>
      <c r="H4326" s="34">
        <v>6093</v>
      </c>
      <c r="I4326" s="34" t="s">
        <v>1359</v>
      </c>
      <c r="J4326" s="48"/>
      <c r="K4326" s="48"/>
      <c r="L4326" s="48"/>
      <c r="M4326" s="48"/>
      <c r="N4326" s="59"/>
      <c r="O4326" s="59">
        <v>94500</v>
      </c>
      <c r="P4326" s="59"/>
      <c r="Q4326" s="268">
        <f t="shared" si="204"/>
        <v>94500</v>
      </c>
      <c r="R4326" s="61">
        <f>IF(O4326=0,0,SUMIFS(Disbursements!$T:$T,Disbursements!$B:$B,'Live Collections'!D4326,Disbursements!$D:$D,'Live Collections'!F4326))</f>
        <v>95000</v>
      </c>
      <c r="S4326" s="304">
        <f>IF(O4326&lt;=IF($O4326=0,0,SUMIFS(Disbursements!$W:$W,Disbursements!$B:$B,'Live Collections'!D4326,Disbursements!$D:$D,'Live Collections'!F4326)),O4326,IF($O4326=0,0,SUMIFS(Disbursements!$W:$W,Disbursements!$B:$B,'Live Collections'!D4326,Disbursements!$D:$D,'Live Collections'!F4326)))</f>
        <v>20000</v>
      </c>
      <c r="T4326" s="304">
        <f t="shared" si="205"/>
        <v>74500</v>
      </c>
      <c r="U4326" s="52"/>
      <c r="V4326" s="34"/>
      <c r="W4326" s="408"/>
    </row>
    <row r="4327" spans="1:23" ht="12.75" customHeight="1" x14ac:dyDescent="0.2">
      <c r="A4327" s="257">
        <v>4338</v>
      </c>
      <c r="B4327" s="44">
        <v>44704</v>
      </c>
      <c r="C4327" s="44">
        <f t="shared" ref="C4327:C4369" si="207">B4327</f>
        <v>44704</v>
      </c>
      <c r="D4327" s="374">
        <v>31</v>
      </c>
      <c r="E4327" s="291" t="str">
        <f>IFERROR(VLOOKUP($D4327,'Clients-Live'!$A:$C,3,0),"")</f>
        <v>MUNDURU HARRIET</v>
      </c>
      <c r="F4327" s="291">
        <f>IFERROR(INDEX(Disbursements!$D:$D,MATCH('Live Collections'!G4327,Disbursements!$C:$C,0)),"")</f>
        <v>3</v>
      </c>
      <c r="G4327" s="34">
        <v>474</v>
      </c>
      <c r="H4327" s="34">
        <v>6309</v>
      </c>
      <c r="I4327" s="34" t="s">
        <v>1357</v>
      </c>
      <c r="J4327" s="48"/>
      <c r="K4327" s="48"/>
      <c r="L4327" s="48"/>
      <c r="M4327" s="48"/>
      <c r="N4327" s="59"/>
      <c r="O4327" s="59">
        <v>139000</v>
      </c>
      <c r="P4327" s="59"/>
      <c r="Q4327" s="268">
        <f t="shared" ref="Q4327:Q4513" si="208">SUM(J4327:P4327)</f>
        <v>139000</v>
      </c>
      <c r="R4327" s="61">
        <f>IF(O4327=0,0,SUMIFS(Disbursements!$T:$T,Disbursements!$B:$B,'Live Collections'!D4327,Disbursements!$D:$D,'Live Collections'!F4327))</f>
        <v>140000</v>
      </c>
      <c r="S4327" s="304"/>
      <c r="T4327" s="304">
        <f t="shared" ref="T4327:T4513" si="209">IF(O4327=0,0,O4327-S4327)</f>
        <v>139000</v>
      </c>
      <c r="U4327" s="52"/>
      <c r="V4327" s="34"/>
      <c r="W4327" s="408"/>
    </row>
    <row r="4328" spans="1:23" ht="12.75" customHeight="1" x14ac:dyDescent="0.2">
      <c r="A4328" s="257">
        <v>4339</v>
      </c>
      <c r="B4328" s="44">
        <v>44704</v>
      </c>
      <c r="C4328" s="44">
        <f t="shared" si="207"/>
        <v>44704</v>
      </c>
      <c r="D4328" s="374">
        <v>229</v>
      </c>
      <c r="E4328" s="291" t="str">
        <f>IFERROR(VLOOKUP($D4328,'Clients-Live'!$A:$C,3,0),"")</f>
        <v>DAWA ANNET</v>
      </c>
      <c r="F4328" s="291">
        <f>IFERROR(INDEX(Disbursements!$D:$D,MATCH('Live Collections'!G4328,Disbursements!$C:$C,0)),"")</f>
        <v>2</v>
      </c>
      <c r="G4328" s="34">
        <v>454</v>
      </c>
      <c r="H4328" s="34">
        <v>6308</v>
      </c>
      <c r="I4328" s="34" t="s">
        <v>1357</v>
      </c>
      <c r="J4328" s="48"/>
      <c r="K4328" s="48"/>
      <c r="L4328" s="48"/>
      <c r="M4328" s="48"/>
      <c r="N4328" s="59"/>
      <c r="O4328" s="59">
        <v>400000</v>
      </c>
      <c r="P4328" s="59"/>
      <c r="Q4328" s="268">
        <f t="shared" si="208"/>
        <v>400000</v>
      </c>
      <c r="R4328" s="61">
        <f>IF(O4328=0,0,SUMIFS(Disbursements!$T:$T,Disbursements!$B:$B,'Live Collections'!D4328,Disbursements!$D:$D,'Live Collections'!F4328))</f>
        <v>278000</v>
      </c>
      <c r="S4328" s="304">
        <f>IF(O4328&lt;=IF($O4328=0,0,SUMIFS(Disbursements!$W:$W,Disbursements!$B:$B,'Live Collections'!D4328,Disbursements!$D:$D,'Live Collections'!F4328)),O4328,IF($O4328=0,0,SUMIFS(Disbursements!$W:$W,Disbursements!$B:$B,'Live Collections'!D4328,Disbursements!$D:$D,'Live Collections'!F4328)))</f>
        <v>78000</v>
      </c>
      <c r="T4328" s="304">
        <f t="shared" si="209"/>
        <v>322000</v>
      </c>
      <c r="U4328" s="52"/>
      <c r="V4328" s="34"/>
      <c r="W4328" s="408"/>
    </row>
    <row r="4329" spans="1:23" ht="12.75" customHeight="1" x14ac:dyDescent="0.2">
      <c r="A4329" s="257">
        <v>4340</v>
      </c>
      <c r="B4329" s="44">
        <v>44704</v>
      </c>
      <c r="C4329" s="44">
        <f t="shared" si="207"/>
        <v>44704</v>
      </c>
      <c r="D4329" s="374">
        <v>309</v>
      </c>
      <c r="E4329" s="291" t="str">
        <f>IFERROR(VLOOKUP($D4329,'Clients-Live'!$A:$C,3,0),"")</f>
        <v>NAMBOZO HALIMA</v>
      </c>
      <c r="F4329" s="291">
        <f>IFERROR(INDEX(Disbursements!$D:$D,MATCH('Live Collections'!G4329,Disbursements!$C:$C,0)),"")</f>
        <v>2</v>
      </c>
      <c r="G4329" s="34">
        <v>525</v>
      </c>
      <c r="H4329" s="34">
        <v>6153</v>
      </c>
      <c r="I4329" s="34" t="s">
        <v>1357</v>
      </c>
      <c r="J4329" s="48"/>
      <c r="K4329" s="48"/>
      <c r="L4329" s="48"/>
      <c r="M4329" s="48"/>
      <c r="N4329" s="59"/>
      <c r="O4329" s="59">
        <v>200000</v>
      </c>
      <c r="P4329" s="59"/>
      <c r="Q4329" s="268">
        <f t="shared" si="208"/>
        <v>200000</v>
      </c>
      <c r="R4329" s="61">
        <f>IF(O4329=0,0,SUMIFS(Disbursements!$T:$T,Disbursements!$B:$B,'Live Collections'!D4329,Disbursements!$D:$D,'Live Collections'!F4329))</f>
        <v>398000</v>
      </c>
      <c r="S4329" s="304">
        <f>IF(O4329&lt;=IF($O4329=0,0,SUMIFS(Disbursements!$W:$W,Disbursements!$B:$B,'Live Collections'!D4329,Disbursements!$D:$D,'Live Collections'!F4329)),O4329,IF($O4329=0,0,SUMIFS(Disbursements!$W:$W,Disbursements!$B:$B,'Live Collections'!D4329,Disbursements!$D:$D,'Live Collections'!F4329)))</f>
        <v>98000</v>
      </c>
      <c r="T4329" s="304">
        <f t="shared" si="209"/>
        <v>102000</v>
      </c>
      <c r="U4329" s="52"/>
      <c r="V4329" s="34"/>
      <c r="W4329" s="408"/>
    </row>
    <row r="4330" spans="1:23" ht="12.75" customHeight="1" x14ac:dyDescent="0.2">
      <c r="A4330" s="257">
        <v>4341</v>
      </c>
      <c r="B4330" s="44">
        <v>44704</v>
      </c>
      <c r="C4330" s="44">
        <f t="shared" si="207"/>
        <v>44704</v>
      </c>
      <c r="D4330" s="374">
        <v>90</v>
      </c>
      <c r="E4330" s="291" t="str">
        <f>IFERROR(VLOOKUP($D4330,'Clients-Live'!$A:$C,3,0),"")</f>
        <v>ZABIBU RAJAB SAIDI</v>
      </c>
      <c r="F4330" s="291">
        <f>IFERROR(INDEX(Disbursements!$D:$D,MATCH('Live Collections'!G4330,Disbursements!$C:$C,0)),"")</f>
        <v>2</v>
      </c>
      <c r="G4330" s="34">
        <v>316</v>
      </c>
      <c r="H4330" s="34">
        <v>6306</v>
      </c>
      <c r="I4330" s="34" t="s">
        <v>1358</v>
      </c>
      <c r="J4330" s="48"/>
      <c r="K4330" s="48"/>
      <c r="L4330" s="48"/>
      <c r="M4330" s="48"/>
      <c r="N4330" s="59"/>
      <c r="O4330" s="59">
        <v>100000</v>
      </c>
      <c r="P4330" s="59"/>
      <c r="Q4330" s="268">
        <f t="shared" si="208"/>
        <v>100000</v>
      </c>
      <c r="R4330" s="61">
        <f>IF(O4330=0,0,SUMIFS(Disbursements!$T:$T,Disbursements!$B:$B,'Live Collections'!D4330,Disbursements!$D:$D,'Live Collections'!F4330))</f>
        <v>217000</v>
      </c>
      <c r="S4330" s="304"/>
      <c r="T4330" s="304">
        <f t="shared" si="209"/>
        <v>100000</v>
      </c>
      <c r="U4330" s="52"/>
      <c r="V4330" s="34"/>
      <c r="W4330" s="408"/>
    </row>
    <row r="4331" spans="1:23" ht="12.75" customHeight="1" x14ac:dyDescent="0.2">
      <c r="A4331" s="257">
        <v>4342</v>
      </c>
      <c r="B4331" s="44">
        <v>44704</v>
      </c>
      <c r="C4331" s="44">
        <f t="shared" si="207"/>
        <v>44704</v>
      </c>
      <c r="D4331" s="374">
        <v>3</v>
      </c>
      <c r="E4331" s="291" t="str">
        <f>IFERROR(VLOOKUP($D4331,'Clients-Live'!$A:$C,3,0),"")</f>
        <v>YEKA ARIJABU</v>
      </c>
      <c r="F4331" s="291" t="str">
        <f>IFERROR(INDEX(Disbursements!$D:$D,MATCH('Live Collections'!G4331,Disbursements!$C:$C,0)),"")</f>
        <v/>
      </c>
      <c r="G4331" s="34"/>
      <c r="H4331" s="34">
        <v>6092</v>
      </c>
      <c r="I4331" s="34" t="s">
        <v>1357</v>
      </c>
      <c r="J4331" s="48"/>
      <c r="K4331" s="48">
        <v>5000</v>
      </c>
      <c r="L4331" s="48"/>
      <c r="M4331" s="48"/>
      <c r="N4331" s="59"/>
      <c r="O4331" s="59"/>
      <c r="P4331" s="59"/>
      <c r="Q4331" s="268">
        <f t="shared" si="208"/>
        <v>5000</v>
      </c>
      <c r="R4331" s="61">
        <f>IF(O4331=0,0,SUMIFS(Disbursements!$T:$T,Disbursements!$B:$B,'Live Collections'!D4331,Disbursements!$D:$D,'Live Collections'!F4331))</f>
        <v>0</v>
      </c>
      <c r="S4331" s="304">
        <f>IF(O4331&lt;=IF($O4331=0,0,SUMIFS(Disbursements!$W:$W,Disbursements!$B:$B,'Live Collections'!D4331,Disbursements!$D:$D,'Live Collections'!F4331)),O4331,IF($O4331=0,0,SUMIFS(Disbursements!$W:$W,Disbursements!$B:$B,'Live Collections'!D4331,Disbursements!$D:$D,'Live Collections'!F4331)))</f>
        <v>0</v>
      </c>
      <c r="T4331" s="304">
        <f t="shared" si="209"/>
        <v>0</v>
      </c>
      <c r="U4331" s="52"/>
      <c r="V4331" s="34"/>
      <c r="W4331" s="408"/>
    </row>
    <row r="4332" spans="1:23" ht="12.75" customHeight="1" x14ac:dyDescent="0.2">
      <c r="A4332" s="257">
        <v>4343</v>
      </c>
      <c r="B4332" s="44">
        <v>44704</v>
      </c>
      <c r="C4332" s="44">
        <f t="shared" si="207"/>
        <v>44704</v>
      </c>
      <c r="D4332" s="374">
        <v>3</v>
      </c>
      <c r="E4332" s="291" t="str">
        <f>IFERROR(VLOOKUP($D4332,'Clients-Live'!$A:$C,3,0),"")</f>
        <v>YEKA ARIJABU</v>
      </c>
      <c r="F4332" s="291">
        <f>IFERROR(INDEX(Disbursements!$D:$D,MATCH('Live Collections'!G4332,Disbursements!$C:$C,0)),"")</f>
        <v>2</v>
      </c>
      <c r="G4332" s="34">
        <v>443</v>
      </c>
      <c r="H4332" s="34">
        <v>6091</v>
      </c>
      <c r="I4332" s="34" t="s">
        <v>1357</v>
      </c>
      <c r="J4332" s="48"/>
      <c r="K4332" s="48"/>
      <c r="L4332" s="48"/>
      <c r="M4332" s="48"/>
      <c r="N4332" s="59"/>
      <c r="O4332" s="59">
        <v>100000</v>
      </c>
      <c r="P4332" s="59"/>
      <c r="Q4332" s="268">
        <f t="shared" si="208"/>
        <v>100000</v>
      </c>
      <c r="R4332" s="61">
        <f>IF(O4332=0,0,SUMIFS(Disbursements!$T:$T,Disbursements!$B:$B,'Live Collections'!D4332,Disbursements!$D:$D,'Live Collections'!F4332))</f>
        <v>116000</v>
      </c>
      <c r="S4332" s="304">
        <f>IF(O4332&lt;=IF($O4332=0,0,SUMIFS(Disbursements!$W:$W,Disbursements!$B:$B,'Live Collections'!D4332,Disbursements!$D:$D,'Live Collections'!F4332)),O4332,IF($O4332=0,0,SUMIFS(Disbursements!$W:$W,Disbursements!$B:$B,'Live Collections'!D4332,Disbursements!$D:$D,'Live Collections'!F4332)))</f>
        <v>32666.666666666672</v>
      </c>
      <c r="T4332" s="304">
        <f t="shared" si="209"/>
        <v>67333.333333333328</v>
      </c>
      <c r="U4332" s="52"/>
      <c r="V4332" s="34"/>
      <c r="W4332" s="408"/>
    </row>
    <row r="4333" spans="1:23" ht="12.75" customHeight="1" x14ac:dyDescent="0.2">
      <c r="A4333" s="257">
        <v>4344</v>
      </c>
      <c r="B4333" s="44">
        <v>44704</v>
      </c>
      <c r="C4333" s="44">
        <f t="shared" si="207"/>
        <v>44704</v>
      </c>
      <c r="D4333" s="374">
        <v>339</v>
      </c>
      <c r="E4333" s="291" t="str">
        <f>IFERROR(VLOOKUP($D4333,'Clients-Live'!$A:$C,3,0),"")</f>
        <v>GIRE ELIZABETH</v>
      </c>
      <c r="F4333" s="291">
        <f>IFERROR(INDEX(Disbursements!$D:$D,MATCH('Live Collections'!G4333,Disbursements!$C:$C,0)),"")</f>
        <v>1</v>
      </c>
      <c r="G4333" s="34">
        <v>475</v>
      </c>
      <c r="H4333" s="34">
        <v>6155</v>
      </c>
      <c r="I4333" s="34" t="s">
        <v>1357</v>
      </c>
      <c r="J4333" s="48"/>
      <c r="K4333" s="48"/>
      <c r="L4333" s="48"/>
      <c r="M4333" s="48"/>
      <c r="N4333" s="59"/>
      <c r="O4333" s="59">
        <v>95000</v>
      </c>
      <c r="P4333" s="59"/>
      <c r="Q4333" s="268">
        <f t="shared" si="208"/>
        <v>95000</v>
      </c>
      <c r="R4333" s="61">
        <f>IF(O4333=0,0,SUMIFS(Disbursements!$T:$T,Disbursements!$B:$B,'Live Collections'!D4333,Disbursements!$D:$D,'Live Collections'!F4333))</f>
        <v>695000</v>
      </c>
      <c r="S4333" s="304">
        <f>IF(O4333&lt;=IF($O4333=0,0,SUMIFS(Disbursements!$W:$W,Disbursements!$B:$B,'Live Collections'!D4333,Disbursements!$D:$D,'Live Collections'!F4333)),O4333,IF($O4333=0,0,SUMIFS(Disbursements!$W:$W,Disbursements!$B:$B,'Live Collections'!D4333,Disbursements!$D:$D,'Live Collections'!F4333)))</f>
        <v>95000</v>
      </c>
      <c r="T4333" s="304">
        <f t="shared" si="209"/>
        <v>0</v>
      </c>
      <c r="U4333" s="52"/>
      <c r="V4333" s="34"/>
      <c r="W4333" s="408"/>
    </row>
    <row r="4334" spans="1:23" ht="12.75" customHeight="1" x14ac:dyDescent="0.2">
      <c r="A4334" s="257">
        <v>4345</v>
      </c>
      <c r="B4334" s="44">
        <v>44704</v>
      </c>
      <c r="C4334" s="44">
        <f t="shared" si="207"/>
        <v>44704</v>
      </c>
      <c r="D4334" s="374">
        <v>129</v>
      </c>
      <c r="E4334" s="291" t="str">
        <f>IFERROR(VLOOKUP($D4334,'Clients-Live'!$A:$C,3,0),"")</f>
        <v>BAKO ASINA</v>
      </c>
      <c r="F4334" s="291">
        <f>IFERROR(INDEX(Disbursements!$D:$D,MATCH('Live Collections'!G4334,Disbursements!$C:$C,0)),"")</f>
        <v>4</v>
      </c>
      <c r="G4334" s="34">
        <v>513</v>
      </c>
      <c r="H4334" s="34">
        <v>6307</v>
      </c>
      <c r="I4334" s="34" t="s">
        <v>1358</v>
      </c>
      <c r="J4334" s="48"/>
      <c r="K4334" s="48"/>
      <c r="L4334" s="48"/>
      <c r="M4334" s="48"/>
      <c r="N4334" s="59"/>
      <c r="O4334" s="59">
        <v>1000000</v>
      </c>
      <c r="P4334" s="59"/>
      <c r="Q4334" s="268">
        <f t="shared" si="208"/>
        <v>1000000</v>
      </c>
      <c r="R4334" s="61">
        <f>IF(O4334=0,0,SUMIFS(Disbursements!$T:$T,Disbursements!$B:$B,'Live Collections'!D4334,Disbursements!$D:$D,'Live Collections'!F4334))</f>
        <v>1195000</v>
      </c>
      <c r="S4334" s="304">
        <f>IF(O4334&lt;=IF($O4334=0,0,SUMIFS(Disbursements!$W:$W,Disbursements!$B:$B,'Live Collections'!D4334,Disbursements!$D:$D,'Live Collections'!F4334)),O4334,IF($O4334=0,0,SUMIFS(Disbursements!$W:$W,Disbursements!$B:$B,'Live Collections'!D4334,Disbursements!$D:$D,'Live Collections'!F4334)))</f>
        <v>195000</v>
      </c>
      <c r="T4334" s="304">
        <f t="shared" si="209"/>
        <v>805000</v>
      </c>
      <c r="U4334" s="52"/>
      <c r="V4334" s="34"/>
      <c r="W4334" s="408"/>
    </row>
    <row r="4335" spans="1:23" ht="12.75" customHeight="1" x14ac:dyDescent="0.2">
      <c r="A4335" s="257">
        <v>4346</v>
      </c>
      <c r="B4335" s="44">
        <v>44705</v>
      </c>
      <c r="C4335" s="44">
        <f t="shared" si="207"/>
        <v>44705</v>
      </c>
      <c r="D4335" s="374">
        <v>330</v>
      </c>
      <c r="E4335" s="291" t="str">
        <f>IFERROR(VLOOKUP($D4335,'Clients-Live'!$A:$C,3,0),"")</f>
        <v>BACIA AISHA</v>
      </c>
      <c r="F4335" s="291" t="str">
        <f>IFERROR(INDEX(Disbursements!$D:$D,MATCH('Live Collections'!G4335,Disbursements!$C:$C,0)),"")</f>
        <v/>
      </c>
      <c r="G4335" s="34"/>
      <c r="H4335" s="34">
        <v>6159</v>
      </c>
      <c r="I4335" s="34" t="s">
        <v>1357</v>
      </c>
      <c r="J4335" s="48"/>
      <c r="K4335" s="48"/>
      <c r="L4335" s="48">
        <v>15000</v>
      </c>
      <c r="M4335" s="48">
        <v>5000</v>
      </c>
      <c r="N4335" s="59"/>
      <c r="O4335" s="59"/>
      <c r="P4335" s="59"/>
      <c r="Q4335" s="268">
        <f t="shared" si="208"/>
        <v>20000</v>
      </c>
      <c r="R4335" s="61">
        <f>IF(O4335=0,0,SUMIFS(Disbursements!$T:$T,Disbursements!$B:$B,'Live Collections'!D4335,Disbursements!$D:$D,'Live Collections'!F4335))</f>
        <v>0</v>
      </c>
      <c r="S4335" s="304">
        <f>IF(O4335&lt;=IF($O4335=0,0,SUMIFS(Disbursements!$W:$W,Disbursements!$B:$B,'Live Collections'!D4335,Disbursements!$D:$D,'Live Collections'!F4335)),O4335,IF($O4335=0,0,SUMIFS(Disbursements!$W:$W,Disbursements!$B:$B,'Live Collections'!D4335,Disbursements!$D:$D,'Live Collections'!F4335)))</f>
        <v>0</v>
      </c>
      <c r="T4335" s="304">
        <f t="shared" si="209"/>
        <v>0</v>
      </c>
      <c r="U4335" s="52"/>
      <c r="V4335" s="34"/>
      <c r="W4335" s="408"/>
    </row>
    <row r="4336" spans="1:23" ht="12.75" customHeight="1" x14ac:dyDescent="0.2">
      <c r="A4336" s="257">
        <v>4347</v>
      </c>
      <c r="B4336" s="44">
        <v>44705</v>
      </c>
      <c r="C4336" s="44">
        <f t="shared" si="207"/>
        <v>44705</v>
      </c>
      <c r="D4336" s="374">
        <v>330</v>
      </c>
      <c r="E4336" s="291" t="str">
        <f>IFERROR(VLOOKUP($D4336,'Clients-Live'!$A:$C,3,0),"")</f>
        <v>BACIA AISHA</v>
      </c>
      <c r="F4336" s="291">
        <f>IFERROR(INDEX(Disbursements!$D:$D,MATCH('Live Collections'!G4336,Disbursements!$C:$C,0)),"")</f>
        <v>1</v>
      </c>
      <c r="G4336" s="34">
        <v>462</v>
      </c>
      <c r="H4336" s="34" t="s">
        <v>2435</v>
      </c>
      <c r="I4336" s="34" t="s">
        <v>1357</v>
      </c>
      <c r="J4336" s="48"/>
      <c r="K4336" s="48"/>
      <c r="L4336" s="48"/>
      <c r="M4336" s="48"/>
      <c r="N4336" s="59"/>
      <c r="O4336" s="59">
        <v>35000</v>
      </c>
      <c r="P4336" s="59">
        <v>-35000</v>
      </c>
      <c r="Q4336" s="268">
        <f t="shared" ref="Q4336:Q4512" si="210">SUM(J4336:P4336)</f>
        <v>0</v>
      </c>
      <c r="R4336" s="61">
        <f>IF(O4336=0,0,SUMIFS(Disbursements!$T:$T,Disbursements!$B:$B,'Live Collections'!D4336,Disbursements!$D:$D,'Live Collections'!F4336))</f>
        <v>140000</v>
      </c>
      <c r="S4336" s="304"/>
      <c r="T4336" s="304">
        <f t="shared" ref="T4336:T4512" si="211">IF(O4336=0,0,O4336-S4336)</f>
        <v>35000</v>
      </c>
      <c r="U4336" s="52"/>
      <c r="V4336" s="34"/>
      <c r="W4336" s="408"/>
    </row>
    <row r="4337" spans="1:23" ht="12.75" customHeight="1" x14ac:dyDescent="0.2">
      <c r="A4337" s="257">
        <v>4348</v>
      </c>
      <c r="B4337" s="44">
        <v>44705</v>
      </c>
      <c r="C4337" s="44">
        <f t="shared" si="207"/>
        <v>44705</v>
      </c>
      <c r="D4337" s="374">
        <v>330</v>
      </c>
      <c r="E4337" s="291" t="str">
        <f>IFERROR(VLOOKUP($D4337,'Clients-Live'!$A:$C,3,0),"")</f>
        <v>BACIA AISHA</v>
      </c>
      <c r="F4337" s="291">
        <f>IFERROR(INDEX(Disbursements!$D:$D,MATCH('Live Collections'!G4337,Disbursements!$C:$C,0)),"")</f>
        <v>1</v>
      </c>
      <c r="G4337" s="34">
        <v>462</v>
      </c>
      <c r="H4337" s="34">
        <v>6160</v>
      </c>
      <c r="I4337" s="34" t="s">
        <v>1357</v>
      </c>
      <c r="J4337" s="48"/>
      <c r="K4337" s="48"/>
      <c r="L4337" s="48"/>
      <c r="M4337" s="48"/>
      <c r="N4337" s="59"/>
      <c r="O4337" s="59">
        <v>13800</v>
      </c>
      <c r="P4337" s="59"/>
      <c r="Q4337" s="268">
        <f t="shared" si="210"/>
        <v>13800</v>
      </c>
      <c r="R4337" s="61">
        <f>IF(O4337=0,0,SUMIFS(Disbursements!$T:$T,Disbursements!$B:$B,'Live Collections'!D4337,Disbursements!$D:$D,'Live Collections'!F4337))</f>
        <v>140000</v>
      </c>
      <c r="S4337" s="304"/>
      <c r="T4337" s="304">
        <f t="shared" si="211"/>
        <v>13800</v>
      </c>
      <c r="U4337" s="52"/>
      <c r="V4337" s="34"/>
      <c r="W4337" s="408"/>
    </row>
    <row r="4338" spans="1:23" ht="12.75" customHeight="1" x14ac:dyDescent="0.2">
      <c r="A4338" s="257">
        <v>4349</v>
      </c>
      <c r="B4338" s="44">
        <v>44705</v>
      </c>
      <c r="C4338" s="44">
        <f t="shared" si="207"/>
        <v>44705</v>
      </c>
      <c r="D4338" s="374">
        <v>338</v>
      </c>
      <c r="E4338" s="291" t="str">
        <f>IFERROR(VLOOKUP($D4338,'Clients-Live'!$A:$C,3,0),"")</f>
        <v>ASERU MARY</v>
      </c>
      <c r="F4338" s="291">
        <f>IFERROR(INDEX(Disbursements!$D:$D,MATCH('Live Collections'!G4338,Disbursements!$C:$C,0)),"")</f>
        <v>1</v>
      </c>
      <c r="G4338" s="34">
        <v>480</v>
      </c>
      <c r="H4338" s="34">
        <v>6314</v>
      </c>
      <c r="I4338" s="34" t="s">
        <v>1358</v>
      </c>
      <c r="J4338" s="48"/>
      <c r="K4338" s="48"/>
      <c r="L4338" s="48"/>
      <c r="M4338" s="48"/>
      <c r="N4338" s="59"/>
      <c r="O4338" s="59">
        <v>23700</v>
      </c>
      <c r="P4338" s="59"/>
      <c r="Q4338" s="268">
        <f t="shared" si="210"/>
        <v>23700</v>
      </c>
      <c r="R4338" s="61">
        <f>IF(O4338=0,0,SUMIFS(Disbursements!$T:$T,Disbursements!$B:$B,'Live Collections'!D4338,Disbursements!$D:$D,'Live Collections'!F4338))</f>
        <v>24000</v>
      </c>
      <c r="S4338" s="304">
        <f>IF(O4338&lt;=IF($O4338=0,0,SUMIFS(Disbursements!$W:$W,Disbursements!$B:$B,'Live Collections'!D4338,Disbursements!$D:$D,'Live Collections'!F4338)),O4338,IF($O4338=0,0,SUMIFS(Disbursements!$W:$W,Disbursements!$B:$B,'Live Collections'!D4338,Disbursements!$D:$D,'Live Collections'!F4338)))</f>
        <v>5250</v>
      </c>
      <c r="T4338" s="304">
        <f t="shared" si="211"/>
        <v>18450</v>
      </c>
      <c r="U4338" s="52"/>
      <c r="V4338" s="34"/>
      <c r="W4338" s="408"/>
    </row>
    <row r="4339" spans="1:23" ht="12.75" customHeight="1" x14ac:dyDescent="0.2">
      <c r="A4339" s="257">
        <v>4350</v>
      </c>
      <c r="B4339" s="44">
        <v>44705</v>
      </c>
      <c r="C4339" s="44">
        <f t="shared" si="207"/>
        <v>44705</v>
      </c>
      <c r="D4339" s="374">
        <v>46</v>
      </c>
      <c r="E4339" s="291" t="str">
        <f>IFERROR(VLOOKUP($D4339,'Clients-Live'!$A:$C,3,0),"")</f>
        <v>ALIO YUDA</v>
      </c>
      <c r="F4339" s="291">
        <f>IFERROR(INDEX(Disbursements!$D:$D,MATCH('Live Collections'!G4339,Disbursements!$C:$C,0)),"")</f>
        <v>2</v>
      </c>
      <c r="G4339" s="34">
        <v>400</v>
      </c>
      <c r="H4339" s="34">
        <v>6095</v>
      </c>
      <c r="I4339" s="34" t="s">
        <v>1357</v>
      </c>
      <c r="J4339" s="48"/>
      <c r="K4339" s="48"/>
      <c r="L4339" s="48"/>
      <c r="M4339" s="48"/>
      <c r="N4339" s="59"/>
      <c r="O4339" s="59">
        <v>100000</v>
      </c>
      <c r="P4339" s="59"/>
      <c r="Q4339" s="268">
        <f t="shared" si="210"/>
        <v>100000</v>
      </c>
      <c r="R4339" s="61">
        <f>IF(O4339=0,0,SUMIFS(Disbursements!$T:$T,Disbursements!$B:$B,'Live Collections'!D4339,Disbursements!$D:$D,'Live Collections'!F4339))</f>
        <v>76000</v>
      </c>
      <c r="S4339" s="304">
        <f>IF(O4339&lt;=IF($O4339=0,0,SUMIFS(Disbursements!$W:$W,Disbursements!$B:$B,'Live Collections'!D4339,Disbursements!$D:$D,'Live Collections'!F4339)),O4339,IF($O4339=0,0,SUMIFS(Disbursements!$W:$W,Disbursements!$B:$B,'Live Collections'!D4339,Disbursements!$D:$D,'Live Collections'!F4339)))</f>
        <v>21833.333333333336</v>
      </c>
      <c r="T4339" s="304">
        <f t="shared" si="211"/>
        <v>78166.666666666657</v>
      </c>
      <c r="U4339" s="52"/>
      <c r="V4339" s="34"/>
      <c r="W4339" s="408"/>
    </row>
    <row r="4340" spans="1:23" ht="12.75" customHeight="1" x14ac:dyDescent="0.2">
      <c r="A4340" s="257">
        <v>4351</v>
      </c>
      <c r="B4340" s="44">
        <v>44705</v>
      </c>
      <c r="C4340" s="44">
        <f t="shared" si="207"/>
        <v>44705</v>
      </c>
      <c r="D4340" s="374">
        <v>161</v>
      </c>
      <c r="E4340" s="291" t="str">
        <f>IFERROR(VLOOKUP($D4340,'Clients-Live'!$A:$C,3,0),"")</f>
        <v>OKUYO BERNARD</v>
      </c>
      <c r="F4340" s="291">
        <f>IFERROR(INDEX(Disbursements!$D:$D,MATCH('Live Collections'!G4340,Disbursements!$C:$C,0)),"")</f>
        <v>3</v>
      </c>
      <c r="G4340" s="34">
        <v>501</v>
      </c>
      <c r="H4340" s="34">
        <v>6090</v>
      </c>
      <c r="I4340" s="34" t="s">
        <v>1357</v>
      </c>
      <c r="J4340" s="48"/>
      <c r="K4340" s="48"/>
      <c r="L4340" s="48"/>
      <c r="M4340" s="48"/>
      <c r="N4340" s="59"/>
      <c r="O4340" s="59">
        <v>1000000</v>
      </c>
      <c r="P4340" s="59"/>
      <c r="Q4340" s="268">
        <f t="shared" si="210"/>
        <v>1000000</v>
      </c>
      <c r="R4340" s="61">
        <f>IF(O4340=0,0,SUMIFS(Disbursements!$T:$T,Disbursements!$B:$B,'Live Collections'!D4340,Disbursements!$D:$D,'Live Collections'!F4340))</f>
        <v>5325000</v>
      </c>
      <c r="S4340" s="304">
        <f>IF(O4340&lt;=IF($O4340=0,0,SUMIFS(Disbursements!$W:$W,Disbursements!$B:$B,'Live Collections'!D4340,Disbursements!$D:$D,'Live Collections'!F4340)),O4340,IF($O4340=0,0,SUMIFS(Disbursements!$W:$W,Disbursements!$B:$B,'Live Collections'!D4340,Disbursements!$D:$D,'Live Collections'!F4340)))</f>
        <v>325000</v>
      </c>
      <c r="T4340" s="304">
        <f t="shared" si="211"/>
        <v>675000</v>
      </c>
      <c r="U4340" s="52"/>
      <c r="V4340" s="34"/>
      <c r="W4340" s="408"/>
    </row>
    <row r="4341" spans="1:23" ht="12.75" customHeight="1" x14ac:dyDescent="0.2">
      <c r="A4341" s="257">
        <v>4352</v>
      </c>
      <c r="B4341" s="44">
        <v>44705</v>
      </c>
      <c r="C4341" s="44">
        <f t="shared" si="207"/>
        <v>44705</v>
      </c>
      <c r="D4341" s="374">
        <v>138</v>
      </c>
      <c r="E4341" s="291" t="str">
        <f>IFERROR(VLOOKUP($D4341,'Clients-Live'!$A:$C,3,0),"")</f>
        <v>BEATRICE AMANDRU</v>
      </c>
      <c r="F4341" s="291">
        <f>IFERROR(INDEX(Disbursements!$D:$D,MATCH('Live Collections'!G4341,Disbursements!$C:$C,0)),"")</f>
        <v>4</v>
      </c>
      <c r="G4341" s="34">
        <v>442</v>
      </c>
      <c r="H4341" s="34">
        <v>6312</v>
      </c>
      <c r="I4341" s="34" t="s">
        <v>1357</v>
      </c>
      <c r="J4341" s="48"/>
      <c r="K4341" s="48"/>
      <c r="L4341" s="48"/>
      <c r="M4341" s="48"/>
      <c r="N4341" s="59"/>
      <c r="O4341" s="59">
        <v>100000</v>
      </c>
      <c r="P4341" s="59"/>
      <c r="Q4341" s="268">
        <f t="shared" si="210"/>
        <v>100000</v>
      </c>
      <c r="R4341" s="61">
        <f>IF(O4341=0,0,SUMIFS(Disbursements!$T:$T,Disbursements!$B:$B,'Live Collections'!D4341,Disbursements!$D:$D,'Live Collections'!F4341))</f>
        <v>565000</v>
      </c>
      <c r="S4341" s="304"/>
      <c r="T4341" s="304">
        <f t="shared" si="211"/>
        <v>100000</v>
      </c>
      <c r="U4341" s="52"/>
      <c r="V4341" s="34"/>
      <c r="W4341" s="408"/>
    </row>
    <row r="4342" spans="1:23" ht="12.75" customHeight="1" x14ac:dyDescent="0.2">
      <c r="A4342" s="257">
        <v>4353</v>
      </c>
      <c r="B4342" s="44">
        <v>44705</v>
      </c>
      <c r="C4342" s="44">
        <f t="shared" si="207"/>
        <v>44705</v>
      </c>
      <c r="D4342" s="374">
        <v>32</v>
      </c>
      <c r="E4342" s="291" t="str">
        <f>IFERROR(VLOOKUP($D4342,'Clients-Live'!$A:$C,3,0),"")</f>
        <v>BAKO LINA ESERU</v>
      </c>
      <c r="F4342" s="291">
        <f>IFERROR(INDEX(Disbursements!$D:$D,MATCH('Live Collections'!G4342,Disbursements!$C:$C,0)),"")</f>
        <v>3</v>
      </c>
      <c r="G4342" s="34">
        <v>461</v>
      </c>
      <c r="H4342" s="34">
        <v>6311</v>
      </c>
      <c r="I4342" s="34" t="s">
        <v>1359</v>
      </c>
      <c r="J4342" s="48"/>
      <c r="K4342" s="48"/>
      <c r="L4342" s="48"/>
      <c r="M4342" s="48"/>
      <c r="N4342" s="59"/>
      <c r="O4342" s="59">
        <v>100000</v>
      </c>
      <c r="P4342" s="59"/>
      <c r="Q4342" s="268">
        <f t="shared" si="210"/>
        <v>100000</v>
      </c>
      <c r="R4342" s="61">
        <f>IF(O4342=0,0,SUMIFS(Disbursements!$T:$T,Disbursements!$B:$B,'Live Collections'!D4342,Disbursements!$D:$D,'Live Collections'!F4342))</f>
        <v>133000</v>
      </c>
      <c r="S4342" s="304">
        <f>IF(O4342&lt;=IF($O4342=0,0,SUMIFS(Disbursements!$W:$W,Disbursements!$B:$B,'Live Collections'!D4342,Disbursements!$D:$D,'Live Collections'!F4342)),O4342,IF($O4342=0,0,SUMIFS(Disbursements!$W:$W,Disbursements!$B:$B,'Live Collections'!D4342,Disbursements!$D:$D,'Live Collections'!F4342)))</f>
        <v>33000</v>
      </c>
      <c r="T4342" s="304">
        <f t="shared" si="211"/>
        <v>67000</v>
      </c>
      <c r="U4342" s="52"/>
      <c r="V4342" s="34"/>
      <c r="W4342" s="408"/>
    </row>
    <row r="4343" spans="1:23" ht="12.75" customHeight="1" x14ac:dyDescent="0.2">
      <c r="A4343" s="257">
        <v>4354</v>
      </c>
      <c r="B4343" s="44">
        <v>44705</v>
      </c>
      <c r="C4343" s="44">
        <f t="shared" si="207"/>
        <v>44705</v>
      </c>
      <c r="D4343" s="374">
        <v>291</v>
      </c>
      <c r="E4343" s="291" t="str">
        <f>IFERROR(VLOOKUP($D4343,'Clients-Live'!$A:$C,3,0),"")</f>
        <v>LEMAKU SWAIB</v>
      </c>
      <c r="F4343" s="291">
        <f>IFERROR(INDEX(Disbursements!$D:$D,MATCH('Live Collections'!G4343,Disbursements!$C:$C,0)),"")</f>
        <v>2</v>
      </c>
      <c r="G4343" s="34">
        <v>511</v>
      </c>
      <c r="H4343" s="34">
        <v>6313</v>
      </c>
      <c r="I4343" s="34" t="s">
        <v>1359</v>
      </c>
      <c r="J4343" s="48"/>
      <c r="K4343" s="48"/>
      <c r="L4343" s="48"/>
      <c r="M4343" s="48"/>
      <c r="N4343" s="59"/>
      <c r="O4343" s="59">
        <v>160000</v>
      </c>
      <c r="P4343" s="59"/>
      <c r="Q4343" s="268">
        <f t="shared" si="210"/>
        <v>160000</v>
      </c>
      <c r="R4343" s="61">
        <f>IF(O4343=0,0,SUMIFS(Disbursements!$T:$T,Disbursements!$B:$B,'Live Collections'!D4343,Disbursements!$D:$D,'Live Collections'!F4343))</f>
        <v>184000</v>
      </c>
      <c r="S4343" s="304">
        <f>IF(O4343&lt;=IF($O4343=0,0,SUMIFS(Disbursements!$W:$W,Disbursements!$B:$B,'Live Collections'!D4343,Disbursements!$D:$D,'Live Collections'!F4343)),O4343,IF($O4343=0,0,SUMIFS(Disbursements!$W:$W,Disbursements!$B:$B,'Live Collections'!D4343,Disbursements!$D:$D,'Live Collections'!F4343)))</f>
        <v>34000</v>
      </c>
      <c r="T4343" s="304">
        <f t="shared" si="211"/>
        <v>126000</v>
      </c>
      <c r="U4343" s="52"/>
      <c r="V4343" s="34"/>
      <c r="W4343" s="408"/>
    </row>
    <row r="4344" spans="1:23" ht="12.75" customHeight="1" x14ac:dyDescent="0.2">
      <c r="A4344" s="257">
        <v>4355</v>
      </c>
      <c r="B4344" s="44">
        <v>44705</v>
      </c>
      <c r="C4344" s="44">
        <f t="shared" si="207"/>
        <v>44705</v>
      </c>
      <c r="D4344" s="374">
        <v>109</v>
      </c>
      <c r="E4344" s="291" t="str">
        <f>IFERROR(VLOOKUP($D4344,'Clients-Live'!$A:$C,3,0),"")</f>
        <v>TABU KISA</v>
      </c>
      <c r="F4344" s="291">
        <f>IFERROR(INDEX(Disbursements!$D:$D,MATCH('Live Collections'!G4344,Disbursements!$C:$C,0)),"")</f>
        <v>1</v>
      </c>
      <c r="G4344" s="34">
        <v>109</v>
      </c>
      <c r="H4344" s="34">
        <v>6094</v>
      </c>
      <c r="I4344" s="34" t="s">
        <v>1357</v>
      </c>
      <c r="J4344" s="48"/>
      <c r="K4344" s="48"/>
      <c r="L4344" s="48"/>
      <c r="M4344" s="48"/>
      <c r="N4344" s="59"/>
      <c r="O4344" s="59">
        <v>20000</v>
      </c>
      <c r="P4344" s="59"/>
      <c r="Q4344" s="268">
        <f t="shared" si="210"/>
        <v>20000</v>
      </c>
      <c r="R4344" s="61">
        <f>IF(O4344=0,0,SUMIFS(Disbursements!$T:$T,Disbursements!$B:$B,'Live Collections'!D4344,Disbursements!$D:$D,'Live Collections'!F4344))</f>
        <v>315000</v>
      </c>
      <c r="S4344" s="304">
        <f>IF(O4344&lt;=IF($O4344=0,0,SUMIFS(Disbursements!$W:$W,Disbursements!$B:$B,'Live Collections'!D4344,Disbursements!$D:$D,'Live Collections'!F4344)),O4344,IF($O4344=0,0,SUMIFS(Disbursements!$W:$W,Disbursements!$B:$B,'Live Collections'!D4344,Disbursements!$D:$D,'Live Collections'!F4344)))</f>
        <v>15000</v>
      </c>
      <c r="T4344" s="304">
        <f t="shared" si="211"/>
        <v>5000</v>
      </c>
      <c r="U4344" s="52"/>
      <c r="V4344" s="34"/>
      <c r="W4344" s="408"/>
    </row>
    <row r="4345" spans="1:23" ht="12.75" customHeight="1" x14ac:dyDescent="0.2">
      <c r="A4345" s="257">
        <v>4356</v>
      </c>
      <c r="B4345" s="44">
        <v>44706</v>
      </c>
      <c r="C4345" s="44">
        <f t="shared" si="207"/>
        <v>44706</v>
      </c>
      <c r="D4345" s="374">
        <v>345</v>
      </c>
      <c r="E4345" s="291" t="str">
        <f>IFERROR(VLOOKUP($D4345,'Clients-Live'!$A:$C,3,0),"")</f>
        <v>MENGE ABDURAHAMAN RATIB</v>
      </c>
      <c r="F4345" s="291">
        <f>IFERROR(INDEX(Disbursements!$D:$D,MATCH('Live Collections'!G4345,Disbursements!$C:$C,0)),"")</f>
        <v>1</v>
      </c>
      <c r="G4345" s="34">
        <v>490</v>
      </c>
      <c r="H4345" s="34">
        <v>6322</v>
      </c>
      <c r="I4345" s="34" t="s">
        <v>1357</v>
      </c>
      <c r="J4345" s="48"/>
      <c r="K4345" s="48"/>
      <c r="L4345" s="48">
        <v>15000</v>
      </c>
      <c r="M4345" s="48">
        <v>5000</v>
      </c>
      <c r="N4345" s="59"/>
      <c r="O4345" s="59"/>
      <c r="P4345" s="59"/>
      <c r="Q4345" s="268">
        <f t="shared" si="210"/>
        <v>20000</v>
      </c>
      <c r="R4345" s="61">
        <f>IF(O4345=0,0,SUMIFS(Disbursements!$T:$T,Disbursements!$B:$B,'Live Collections'!D4345,Disbursements!$D:$D,'Live Collections'!F4345))</f>
        <v>0</v>
      </c>
      <c r="S4345" s="304">
        <f>IF(O4345&lt;=IF($O4345=0,0,SUMIFS(Disbursements!$W:$W,Disbursements!$B:$B,'Live Collections'!D4345,Disbursements!$D:$D,'Live Collections'!F4345)),O4345,IF($O4345=0,0,SUMIFS(Disbursements!$W:$W,Disbursements!$B:$B,'Live Collections'!D4345,Disbursements!$D:$D,'Live Collections'!F4345)))</f>
        <v>0</v>
      </c>
      <c r="T4345" s="304">
        <v>30500</v>
      </c>
      <c r="U4345" s="52"/>
      <c r="V4345" s="34"/>
      <c r="W4345" s="408"/>
    </row>
    <row r="4346" spans="1:23" ht="12.75" customHeight="1" x14ac:dyDescent="0.2">
      <c r="A4346" s="257">
        <v>4357</v>
      </c>
      <c r="B4346" s="44">
        <v>44706</v>
      </c>
      <c r="C4346" s="44">
        <f t="shared" si="207"/>
        <v>44706</v>
      </c>
      <c r="D4346" s="374">
        <v>92</v>
      </c>
      <c r="E4346" s="291" t="str">
        <f>IFERROR(VLOOKUP($D4346,'Clients-Live'!$A:$C,3,0),"")</f>
        <v>FAIDA ZAKIYA</v>
      </c>
      <c r="F4346" s="291">
        <f>IFERROR(INDEX(Disbursements!$D:$D,MATCH('Live Collections'!G4346,Disbursements!$C:$C,0)),"")</f>
        <v>1</v>
      </c>
      <c r="G4346" s="34">
        <v>74</v>
      </c>
      <c r="H4346" s="34">
        <v>6318</v>
      </c>
      <c r="I4346" s="34" t="s">
        <v>1358</v>
      </c>
      <c r="J4346" s="48"/>
      <c r="K4346" s="48"/>
      <c r="L4346" s="48"/>
      <c r="M4346" s="48"/>
      <c r="N4346" s="59"/>
      <c r="O4346" s="59">
        <v>15000</v>
      </c>
      <c r="P4346" s="59"/>
      <c r="Q4346" s="268">
        <f t="shared" si="210"/>
        <v>15000</v>
      </c>
      <c r="R4346" s="61">
        <f>IF(O4346=0,0,SUMIFS(Disbursements!$T:$T,Disbursements!$B:$B,'Live Collections'!D4346,Disbursements!$D:$D,'Live Collections'!F4346))</f>
        <v>175000</v>
      </c>
      <c r="S4346" s="304"/>
      <c r="T4346" s="304">
        <f t="shared" si="211"/>
        <v>15000</v>
      </c>
      <c r="U4346" s="52"/>
      <c r="V4346" s="34"/>
      <c r="W4346" s="408"/>
    </row>
    <row r="4347" spans="1:23" ht="12.75" customHeight="1" x14ac:dyDescent="0.2">
      <c r="A4347" s="257">
        <v>4358</v>
      </c>
      <c r="B4347" s="44">
        <v>44706</v>
      </c>
      <c r="C4347" s="44">
        <f t="shared" si="207"/>
        <v>44706</v>
      </c>
      <c r="D4347" s="374">
        <v>92</v>
      </c>
      <c r="E4347" s="291" t="str">
        <f>IFERROR(VLOOKUP($D4347,'Clients-Live'!$A:$C,3,0),"")</f>
        <v>FAIDA ZAKIYA</v>
      </c>
      <c r="F4347" s="291">
        <f>IFERROR(INDEX(Disbursements!$D:$D,MATCH('Live Collections'!G4347,Disbursements!$C:$C,0)),"")</f>
        <v>1</v>
      </c>
      <c r="G4347" s="34">
        <v>74</v>
      </c>
      <c r="H4347" s="34" t="s">
        <v>2436</v>
      </c>
      <c r="I4347" s="34" t="s">
        <v>1358</v>
      </c>
      <c r="J4347" s="48"/>
      <c r="K4347" s="48"/>
      <c r="L4347" s="48"/>
      <c r="M4347" s="48"/>
      <c r="N4347" s="59"/>
      <c r="O4347" s="59">
        <v>70000</v>
      </c>
      <c r="P4347" s="59">
        <v>-70000</v>
      </c>
      <c r="Q4347" s="268">
        <f t="shared" si="210"/>
        <v>0</v>
      </c>
      <c r="R4347" s="61">
        <f>IF(O4347=0,0,SUMIFS(Disbursements!$T:$T,Disbursements!$B:$B,'Live Collections'!D4347,Disbursements!$D:$D,'Live Collections'!F4347))</f>
        <v>175000</v>
      </c>
      <c r="S4347" s="304"/>
      <c r="T4347" s="304">
        <v>70000</v>
      </c>
      <c r="U4347" s="52"/>
      <c r="V4347" s="34"/>
      <c r="W4347" s="408"/>
    </row>
    <row r="4348" spans="1:23" ht="12.75" customHeight="1" x14ac:dyDescent="0.2">
      <c r="A4348" s="257">
        <v>4359</v>
      </c>
      <c r="B4348" s="44">
        <v>44706</v>
      </c>
      <c r="C4348" s="44">
        <f t="shared" ref="C4348:C4411" si="212">B4348</f>
        <v>44706</v>
      </c>
      <c r="D4348" s="374">
        <v>123</v>
      </c>
      <c r="E4348" s="291" t="str">
        <f>IFERROR(VLOOKUP($D4348,'Clients-Live'!$A:$C,3,0),"")</f>
        <v>INZIKURU JANET</v>
      </c>
      <c r="F4348" s="291">
        <f>IFERROR(INDEX(Disbursements!$D:$D,MATCH('Live Collections'!G4348,Disbursements!$C:$C,0)),"")</f>
        <v>1</v>
      </c>
      <c r="G4348" s="34">
        <v>107</v>
      </c>
      <c r="H4348" s="34">
        <v>6319</v>
      </c>
      <c r="I4348" s="34" t="s">
        <v>1358</v>
      </c>
      <c r="J4348" s="48"/>
      <c r="K4348" s="48"/>
      <c r="L4348" s="48"/>
      <c r="M4348" s="48"/>
      <c r="N4348" s="59"/>
      <c r="O4348" s="59">
        <v>20000</v>
      </c>
      <c r="P4348" s="59"/>
      <c r="Q4348" s="268">
        <f t="shared" ref="Q4348:Q4368" si="213">SUM(J4348:P4348)</f>
        <v>20000</v>
      </c>
      <c r="R4348" s="61">
        <f>IF(O4348=0,0,SUMIFS(Disbursements!$T:$T,Disbursements!$B:$B,'Live Collections'!D4348,Disbursements!$D:$D,'Live Collections'!F4348))</f>
        <v>150000</v>
      </c>
      <c r="S4348" s="304"/>
      <c r="T4348" s="304">
        <f t="shared" ref="T4348:T4368" si="214">IF(O4348=0,0,O4348-S4348)</f>
        <v>20000</v>
      </c>
      <c r="U4348" s="52"/>
      <c r="V4348" s="34"/>
      <c r="W4348" s="408"/>
    </row>
    <row r="4349" spans="1:23" ht="12.75" customHeight="1" x14ac:dyDescent="0.2">
      <c r="A4349" s="257">
        <v>4360</v>
      </c>
      <c r="B4349" s="44">
        <v>44706</v>
      </c>
      <c r="C4349" s="44">
        <f t="shared" si="212"/>
        <v>44706</v>
      </c>
      <c r="D4349" s="374">
        <v>205</v>
      </c>
      <c r="E4349" s="291" t="str">
        <f>IFERROR(VLOOKUP($D4349,'Clients-Live'!$A:$C,3,0),"")</f>
        <v>OPIRU ALICE</v>
      </c>
      <c r="F4349" s="291">
        <f>IFERROR(INDEX(Disbursements!$D:$D,MATCH('Live Collections'!G4349,Disbursements!$C:$C,0)),"")</f>
        <v>2</v>
      </c>
      <c r="G4349" s="34">
        <v>396</v>
      </c>
      <c r="H4349" s="34">
        <v>6321</v>
      </c>
      <c r="I4349" s="34" t="s">
        <v>1359</v>
      </c>
      <c r="J4349" s="48"/>
      <c r="K4349" s="48"/>
      <c r="L4349" s="48"/>
      <c r="M4349" s="48"/>
      <c r="N4349" s="59"/>
      <c r="O4349" s="59">
        <v>10000</v>
      </c>
      <c r="P4349" s="59"/>
      <c r="Q4349" s="268">
        <f t="shared" si="213"/>
        <v>10000</v>
      </c>
      <c r="R4349" s="61">
        <f>IF(O4349=0,0,SUMIFS(Disbursements!$T:$T,Disbursements!$B:$B,'Live Collections'!D4349,Disbursements!$D:$D,'Live Collections'!F4349))</f>
        <v>40000</v>
      </c>
      <c r="S4349" s="304"/>
      <c r="T4349" s="304">
        <f t="shared" si="214"/>
        <v>10000</v>
      </c>
      <c r="U4349" s="52"/>
      <c r="V4349" s="34"/>
      <c r="W4349" s="408"/>
    </row>
    <row r="4350" spans="1:23" ht="12.75" customHeight="1" x14ac:dyDescent="0.2">
      <c r="A4350" s="257">
        <v>4361</v>
      </c>
      <c r="B4350" s="44">
        <v>44706</v>
      </c>
      <c r="C4350" s="44">
        <f t="shared" si="212"/>
        <v>44706</v>
      </c>
      <c r="D4350" s="374">
        <v>321</v>
      </c>
      <c r="E4350" s="291" t="str">
        <f>IFERROR(VLOOKUP($D4350,'Clients-Live'!$A:$C,3,0),"")</f>
        <v>ANDERU MONICA</v>
      </c>
      <c r="F4350" s="291">
        <f>IFERROR(INDEX(Disbursements!$D:$D,MATCH('Live Collections'!G4350,Disbursements!$C:$C,0)),"")</f>
        <v>2</v>
      </c>
      <c r="G4350" s="34">
        <v>521</v>
      </c>
      <c r="H4350" s="34">
        <v>6317</v>
      </c>
      <c r="I4350" s="34" t="s">
        <v>1358</v>
      </c>
      <c r="J4350" s="48"/>
      <c r="K4350" s="48"/>
      <c r="L4350" s="48"/>
      <c r="M4350" s="48"/>
      <c r="N4350" s="59"/>
      <c r="O4350" s="59">
        <v>300000</v>
      </c>
      <c r="P4350" s="59"/>
      <c r="Q4350" s="268">
        <f t="shared" si="213"/>
        <v>300000</v>
      </c>
      <c r="R4350" s="61">
        <f>IF(O4350=0,0,SUMIFS(Disbursements!$T:$T,Disbursements!$B:$B,'Live Collections'!D4350,Disbursements!$D:$D,'Live Collections'!F4350))</f>
        <v>575000</v>
      </c>
      <c r="S4350" s="304">
        <f>IF(O4350&lt;=IF($O4350=0,0,SUMIFS(Disbursements!$W:$W,Disbursements!$B:$B,'Live Collections'!D4350,Disbursements!$D:$D,'Live Collections'!F4350)),O4350,IF($O4350=0,0,SUMIFS(Disbursements!$W:$W,Disbursements!$B:$B,'Live Collections'!D4350,Disbursements!$D:$D,'Live Collections'!F4350)))</f>
        <v>75000</v>
      </c>
      <c r="T4350" s="304">
        <f t="shared" si="214"/>
        <v>225000</v>
      </c>
      <c r="U4350" s="52"/>
      <c r="V4350" s="34"/>
      <c r="W4350" s="408"/>
    </row>
    <row r="4351" spans="1:23" ht="12.75" customHeight="1" x14ac:dyDescent="0.2">
      <c r="A4351" s="257">
        <v>4362</v>
      </c>
      <c r="B4351" s="44">
        <v>44706</v>
      </c>
      <c r="C4351" s="44">
        <f t="shared" si="212"/>
        <v>44706</v>
      </c>
      <c r="D4351" s="374">
        <v>9</v>
      </c>
      <c r="E4351" s="291" t="str">
        <f>IFERROR(VLOOKUP($D4351,'Clients-Live'!$A:$C,3,0),"")</f>
        <v>TABAN DAVID YAYA</v>
      </c>
      <c r="F4351" s="291">
        <f>IFERROR(INDEX(Disbursements!$D:$D,MATCH('Live Collections'!G4351,Disbursements!$C:$C,0)),"")</f>
        <v>4</v>
      </c>
      <c r="G4351" s="34">
        <v>507</v>
      </c>
      <c r="H4351" s="34">
        <v>6173</v>
      </c>
      <c r="I4351" s="34" t="s">
        <v>1357</v>
      </c>
      <c r="J4351" s="48"/>
      <c r="K4351" s="48"/>
      <c r="L4351" s="48"/>
      <c r="M4351" s="48"/>
      <c r="N4351" s="59"/>
      <c r="O4351" s="59">
        <v>90000</v>
      </c>
      <c r="P4351" s="59"/>
      <c r="Q4351" s="268">
        <f t="shared" si="213"/>
        <v>90000</v>
      </c>
      <c r="R4351" s="61">
        <f>IF(O4351=0,0,SUMIFS(Disbursements!$T:$T,Disbursements!$B:$B,'Live Collections'!D4351,Disbursements!$D:$D,'Live Collections'!F4351))</f>
        <v>174000</v>
      </c>
      <c r="S4351" s="304">
        <f>IF(O4351&lt;=IF($O4351=0,0,SUMIFS(Disbursements!$W:$W,Disbursements!$B:$B,'Live Collections'!D4351,Disbursements!$D:$D,'Live Collections'!F4351)),O4351,IF($O4351=0,0,SUMIFS(Disbursements!$W:$W,Disbursements!$B:$B,'Live Collections'!D4351,Disbursements!$D:$D,'Live Collections'!F4351)))</f>
        <v>36500</v>
      </c>
      <c r="T4351" s="304">
        <f t="shared" si="214"/>
        <v>53500</v>
      </c>
      <c r="U4351" s="52"/>
      <c r="V4351" s="34"/>
      <c r="W4351" s="408"/>
    </row>
    <row r="4352" spans="1:23" ht="12.75" customHeight="1" x14ac:dyDescent="0.2">
      <c r="A4352" s="257">
        <v>4363</v>
      </c>
      <c r="B4352" s="44">
        <v>44706</v>
      </c>
      <c r="C4352" s="44">
        <f t="shared" si="212"/>
        <v>44706</v>
      </c>
      <c r="D4352" s="374">
        <v>24</v>
      </c>
      <c r="E4352" s="291" t="str">
        <f>IFERROR(VLOOKUP($D4352,'Clients-Live'!$A:$C,3,0),"")</f>
        <v>VITA JEROME</v>
      </c>
      <c r="F4352" s="291">
        <f>IFERROR(INDEX(Disbursements!$D:$D,MATCH('Live Collections'!G4352,Disbursements!$C:$C,0)),"")</f>
        <v>3</v>
      </c>
      <c r="G4352" s="34">
        <v>505</v>
      </c>
      <c r="H4352" s="34">
        <v>6170</v>
      </c>
      <c r="I4352" s="34" t="s">
        <v>1357</v>
      </c>
      <c r="J4352" s="48"/>
      <c r="K4352" s="48"/>
      <c r="L4352" s="48"/>
      <c r="M4352" s="48"/>
      <c r="N4352" s="59"/>
      <c r="O4352" s="59">
        <v>191000</v>
      </c>
      <c r="P4352" s="59"/>
      <c r="Q4352" s="268">
        <f t="shared" si="213"/>
        <v>191000</v>
      </c>
      <c r="R4352" s="61">
        <f>IF(O4352=0,0,SUMIFS(Disbursements!$T:$T,Disbursements!$B:$B,'Live Collections'!D4352,Disbursements!$D:$D,'Live Collections'!F4352))</f>
        <v>191000</v>
      </c>
      <c r="S4352" s="304">
        <f>IF(O4352&lt;=IF($O4352=0,0,SUMIFS(Disbursements!$W:$W,Disbursements!$B:$B,'Live Collections'!D4352,Disbursements!$D:$D,'Live Collections'!F4352)),O4352,IF($O4352=0,0,SUMIFS(Disbursements!$W:$W,Disbursements!$B:$B,'Live Collections'!D4352,Disbursements!$D:$D,'Live Collections'!F4352)))</f>
        <v>35444.444444444438</v>
      </c>
      <c r="T4352" s="304">
        <f t="shared" si="214"/>
        <v>155555.55555555556</v>
      </c>
      <c r="U4352" s="52"/>
      <c r="V4352" s="34"/>
      <c r="W4352" s="408"/>
    </row>
    <row r="4353" spans="1:23" ht="12.75" customHeight="1" x14ac:dyDescent="0.2">
      <c r="A4353" s="257">
        <v>4364</v>
      </c>
      <c r="B4353" s="44">
        <v>44706</v>
      </c>
      <c r="C4353" s="44">
        <f t="shared" si="212"/>
        <v>44706</v>
      </c>
      <c r="D4353" s="374">
        <v>1</v>
      </c>
      <c r="E4353" s="291" t="str">
        <f>IFERROR(VLOOKUP($D4353,'Clients-Live'!$A:$C,3,0),"")</f>
        <v>TABAN NICHOLAS</v>
      </c>
      <c r="F4353" s="291">
        <f>IFERROR(INDEX(Disbursements!$D:$D,MATCH('Live Collections'!G4353,Disbursements!$C:$C,0)),"")</f>
        <v>1</v>
      </c>
      <c r="G4353" s="34">
        <v>387</v>
      </c>
      <c r="H4353" s="34">
        <v>6169</v>
      </c>
      <c r="I4353" s="34" t="s">
        <v>1357</v>
      </c>
      <c r="J4353" s="48"/>
      <c r="K4353" s="48"/>
      <c r="L4353" s="48"/>
      <c r="M4353" s="48"/>
      <c r="N4353" s="59"/>
      <c r="O4353" s="59">
        <v>325000</v>
      </c>
      <c r="P4353" s="59"/>
      <c r="Q4353" s="268">
        <f t="shared" si="213"/>
        <v>325000</v>
      </c>
      <c r="R4353" s="61">
        <f>IF(O4353=0,0,SUMIFS(Disbursements!$T:$T,Disbursements!$B:$B,'Live Collections'!D4353,Disbursements!$D:$D,'Live Collections'!F4353))</f>
        <v>325000</v>
      </c>
      <c r="S4353" s="304">
        <f>IF(O4353&lt;=IF($O4353=0,0,SUMIFS(Disbursements!$W:$W,Disbursements!$B:$B,'Live Collections'!D4353,Disbursements!$D:$D,'Live Collections'!F4353)),O4353,IF($O4353=0,0,SUMIFS(Disbursements!$W:$W,Disbursements!$B:$B,'Live Collections'!D4353,Disbursements!$D:$D,'Live Collections'!F4353)))</f>
        <v>75000</v>
      </c>
      <c r="T4353" s="304">
        <f t="shared" si="214"/>
        <v>250000</v>
      </c>
      <c r="U4353" s="52"/>
      <c r="V4353" s="34"/>
      <c r="W4353" s="408"/>
    </row>
    <row r="4354" spans="1:23" ht="12.75" customHeight="1" x14ac:dyDescent="0.2">
      <c r="A4354" s="257">
        <v>4365</v>
      </c>
      <c r="B4354" s="44">
        <v>44706</v>
      </c>
      <c r="C4354" s="44">
        <f t="shared" si="212"/>
        <v>44706</v>
      </c>
      <c r="D4354" s="374">
        <v>25</v>
      </c>
      <c r="E4354" s="291" t="str">
        <f>IFERROR(VLOOKUP($D4354,'Clients-Live'!$A:$C,3,0),"")</f>
        <v>AROMA BOSCO</v>
      </c>
      <c r="F4354" s="291">
        <f>IFERROR(INDEX(Disbursements!$D:$D,MATCH('Live Collections'!G4354,Disbursements!$C:$C,0)),"")</f>
        <v>1</v>
      </c>
      <c r="G4354" s="34">
        <v>386</v>
      </c>
      <c r="H4354" s="34">
        <v>6163</v>
      </c>
      <c r="I4354" s="34" t="s">
        <v>1359</v>
      </c>
      <c r="J4354" s="48"/>
      <c r="K4354" s="48"/>
      <c r="L4354" s="48"/>
      <c r="M4354" s="48"/>
      <c r="N4354" s="59"/>
      <c r="O4354" s="59">
        <v>130000</v>
      </c>
      <c r="P4354" s="59"/>
      <c r="Q4354" s="268">
        <f t="shared" si="213"/>
        <v>130000</v>
      </c>
      <c r="R4354" s="61">
        <f>IF(O4354=0,0,SUMIFS(Disbursements!$T:$T,Disbursements!$B:$B,'Live Collections'!D4354,Disbursements!$D:$D,'Live Collections'!F4354))</f>
        <v>130000</v>
      </c>
      <c r="S4354" s="304">
        <f>IF(O4354&lt;=IF($O4354=0,0,SUMIFS(Disbursements!$W:$W,Disbursements!$B:$B,'Live Collections'!D4354,Disbursements!$D:$D,'Live Collections'!F4354)),O4354,IF($O4354=0,0,SUMIFS(Disbursements!$W:$W,Disbursements!$B:$B,'Live Collections'!D4354,Disbursements!$D:$D,'Live Collections'!F4354)))</f>
        <v>30000</v>
      </c>
      <c r="T4354" s="304">
        <f t="shared" si="214"/>
        <v>100000</v>
      </c>
      <c r="U4354" s="52"/>
      <c r="V4354" s="34"/>
      <c r="W4354" s="408"/>
    </row>
    <row r="4355" spans="1:23" ht="12.75" customHeight="1" x14ac:dyDescent="0.2">
      <c r="A4355" s="257">
        <v>4366</v>
      </c>
      <c r="B4355" s="44">
        <v>44706</v>
      </c>
      <c r="C4355" s="44">
        <f t="shared" si="212"/>
        <v>44706</v>
      </c>
      <c r="D4355" s="374">
        <v>29</v>
      </c>
      <c r="E4355" s="291" t="str">
        <f>IFERROR(VLOOKUP($D4355,'Clients-Live'!$A:$C,3,0),"")</f>
        <v>AJIBA ROSEMARY EMMANUEL</v>
      </c>
      <c r="F4355" s="291">
        <f>IFERROR(INDEX(Disbursements!$D:$D,MATCH('Live Collections'!G4355,Disbursements!$C:$C,0)),"")</f>
        <v>1</v>
      </c>
      <c r="G4355" s="34">
        <v>389</v>
      </c>
      <c r="H4355" s="34">
        <v>6171</v>
      </c>
      <c r="I4355" s="34" t="s">
        <v>1357</v>
      </c>
      <c r="J4355" s="48"/>
      <c r="K4355" s="48"/>
      <c r="L4355" s="48"/>
      <c r="M4355" s="48"/>
      <c r="N4355" s="59"/>
      <c r="O4355" s="59">
        <v>195000</v>
      </c>
      <c r="P4355" s="59"/>
      <c r="Q4355" s="268">
        <f t="shared" si="213"/>
        <v>195000</v>
      </c>
      <c r="R4355" s="61">
        <f>IF(O4355=0,0,SUMIFS(Disbursements!$T:$T,Disbursements!$B:$B,'Live Collections'!D4355,Disbursements!$D:$D,'Live Collections'!F4355))</f>
        <v>195000</v>
      </c>
      <c r="S4355" s="304">
        <f>IF(O4355&lt;=IF($O4355=0,0,SUMIFS(Disbursements!$W:$W,Disbursements!$B:$B,'Live Collections'!D4355,Disbursements!$D:$D,'Live Collections'!F4355)),O4355,IF($O4355=0,0,SUMIFS(Disbursements!$W:$W,Disbursements!$B:$B,'Live Collections'!D4355,Disbursements!$D:$D,'Live Collections'!F4355)))</f>
        <v>45000</v>
      </c>
      <c r="T4355" s="304">
        <f t="shared" si="214"/>
        <v>150000</v>
      </c>
      <c r="U4355" s="52"/>
      <c r="V4355" s="34"/>
      <c r="W4355" s="408"/>
    </row>
    <row r="4356" spans="1:23" ht="12.75" customHeight="1" x14ac:dyDescent="0.2">
      <c r="A4356" s="257">
        <v>4367</v>
      </c>
      <c r="B4356" s="44">
        <v>44706</v>
      </c>
      <c r="C4356" s="44">
        <f t="shared" si="212"/>
        <v>44706</v>
      </c>
      <c r="D4356" s="374">
        <v>27</v>
      </c>
      <c r="E4356" s="291" t="str">
        <f>IFERROR(VLOOKUP($D4356,'Clients-Live'!$A:$C,3,0),"")</f>
        <v>KANA GIFT</v>
      </c>
      <c r="F4356" s="291">
        <f>IFERROR(INDEX(Disbursements!$D:$D,MATCH('Live Collections'!G4356,Disbursements!$C:$C,0)),"")</f>
        <v>1</v>
      </c>
      <c r="G4356" s="34">
        <v>436</v>
      </c>
      <c r="H4356" s="34">
        <v>6172</v>
      </c>
      <c r="I4356" s="34" t="s">
        <v>1359</v>
      </c>
      <c r="J4356" s="48"/>
      <c r="K4356" s="48"/>
      <c r="L4356" s="48"/>
      <c r="M4356" s="48"/>
      <c r="N4356" s="59"/>
      <c r="O4356" s="59">
        <v>195000</v>
      </c>
      <c r="P4356" s="59"/>
      <c r="Q4356" s="268">
        <f t="shared" si="213"/>
        <v>195000</v>
      </c>
      <c r="R4356" s="61">
        <f>IF(O4356=0,0,SUMIFS(Disbursements!$T:$T,Disbursements!$B:$B,'Live Collections'!D4356,Disbursements!$D:$D,'Live Collections'!F4356))</f>
        <v>195000</v>
      </c>
      <c r="S4356" s="304">
        <f>IF(O4356&lt;=IF($O4356=0,0,SUMIFS(Disbursements!$W:$W,Disbursements!$B:$B,'Live Collections'!D4356,Disbursements!$D:$D,'Live Collections'!F4356)),O4356,IF($O4356=0,0,SUMIFS(Disbursements!$W:$W,Disbursements!$B:$B,'Live Collections'!D4356,Disbursements!$D:$D,'Live Collections'!F4356)))</f>
        <v>45000</v>
      </c>
      <c r="T4356" s="304">
        <f t="shared" si="214"/>
        <v>150000</v>
      </c>
      <c r="U4356" s="52"/>
      <c r="V4356" s="34"/>
      <c r="W4356" s="408"/>
    </row>
    <row r="4357" spans="1:23" ht="12.75" customHeight="1" x14ac:dyDescent="0.2">
      <c r="A4357" s="257">
        <v>4368</v>
      </c>
      <c r="B4357" s="44">
        <v>44706</v>
      </c>
      <c r="C4357" s="44">
        <f t="shared" si="212"/>
        <v>44706</v>
      </c>
      <c r="D4357" s="374">
        <v>355</v>
      </c>
      <c r="E4357" s="291" t="str">
        <f>IFERROR(VLOOKUP($D4357,'Clients-Live'!$A:$C,3,0),"")</f>
        <v>KANYA NAIMA</v>
      </c>
      <c r="F4357" s="291">
        <f>IFERROR(INDEX(Disbursements!$D:$D,MATCH('Live Collections'!G4357,Disbursements!$C:$C,0)),"")</f>
        <v>1</v>
      </c>
      <c r="G4357" s="34">
        <v>517</v>
      </c>
      <c r="H4357" s="34">
        <v>6316</v>
      </c>
      <c r="I4357" s="34" t="s">
        <v>1358</v>
      </c>
      <c r="J4357" s="48"/>
      <c r="K4357" s="48"/>
      <c r="L4357" s="48"/>
      <c r="M4357" s="48"/>
      <c r="N4357" s="59"/>
      <c r="O4357" s="59">
        <v>318000</v>
      </c>
      <c r="P4357" s="59"/>
      <c r="Q4357" s="268">
        <f t="shared" si="213"/>
        <v>318000</v>
      </c>
      <c r="R4357" s="61">
        <f>IF(O4357=0,0,SUMIFS(Disbursements!$T:$T,Disbursements!$B:$B,'Live Collections'!D4357,Disbursements!$D:$D,'Live Collections'!F4357))</f>
        <v>318000</v>
      </c>
      <c r="S4357" s="304">
        <f>IF(O4357&lt;=IF($O4357=0,0,SUMIFS(Disbursements!$W:$W,Disbursements!$B:$B,'Live Collections'!D4357,Disbursements!$D:$D,'Live Collections'!F4357)),O4357,IF($O4357=0,0,SUMIFS(Disbursements!$W:$W,Disbursements!$B:$B,'Live Collections'!D4357,Disbursements!$D:$D,'Live Collections'!F4357)))</f>
        <v>78000</v>
      </c>
      <c r="T4357" s="304">
        <f t="shared" si="214"/>
        <v>240000</v>
      </c>
      <c r="U4357" s="52"/>
      <c r="V4357" s="34"/>
      <c r="W4357" s="408"/>
    </row>
    <row r="4358" spans="1:23" ht="12.75" customHeight="1" x14ac:dyDescent="0.2">
      <c r="A4358" s="257">
        <v>4369</v>
      </c>
      <c r="B4358" s="44">
        <v>44706</v>
      </c>
      <c r="C4358" s="44">
        <f t="shared" si="212"/>
        <v>44706</v>
      </c>
      <c r="D4358" s="374">
        <v>54</v>
      </c>
      <c r="E4358" s="291" t="str">
        <f>IFERROR(VLOOKUP($D4358,'Clients-Live'!$A:$C,3,0),"")</f>
        <v>MANENO ANIFA</v>
      </c>
      <c r="F4358" s="291">
        <f>IFERROR(INDEX(Disbursements!$D:$D,MATCH('Live Collections'!G4358,Disbursements!$C:$C,0)),"")</f>
        <v>2</v>
      </c>
      <c r="G4358" s="34">
        <v>195</v>
      </c>
      <c r="H4358" s="34">
        <v>6315</v>
      </c>
      <c r="I4358" s="34" t="s">
        <v>1357</v>
      </c>
      <c r="J4358" s="48"/>
      <c r="K4358" s="48"/>
      <c r="L4358" s="48"/>
      <c r="M4358" s="48"/>
      <c r="N4358" s="59"/>
      <c r="O4358" s="59">
        <v>40000</v>
      </c>
      <c r="P4358" s="59"/>
      <c r="Q4358" s="268">
        <f t="shared" si="213"/>
        <v>40000</v>
      </c>
      <c r="R4358" s="61">
        <f>IF(O4358=0,0,SUMIFS(Disbursements!$T:$T,Disbursements!$B:$B,'Live Collections'!D4358,Disbursements!$D:$D,'Live Collections'!F4358))</f>
        <v>200000</v>
      </c>
      <c r="S4358" s="304"/>
      <c r="T4358" s="304">
        <f t="shared" si="214"/>
        <v>40000</v>
      </c>
      <c r="U4358" s="52"/>
      <c r="V4358" s="34"/>
      <c r="W4358" s="408"/>
    </row>
    <row r="4359" spans="1:23" ht="12.75" customHeight="1" x14ac:dyDescent="0.2">
      <c r="A4359" s="257">
        <v>4370</v>
      </c>
      <c r="B4359" s="44">
        <v>44706</v>
      </c>
      <c r="C4359" s="44">
        <f t="shared" si="212"/>
        <v>44706</v>
      </c>
      <c r="D4359" s="374">
        <v>229</v>
      </c>
      <c r="E4359" s="291" t="str">
        <f>IFERROR(VLOOKUP($D4359,'Clients-Live'!$A:$C,3,0),"")</f>
        <v>DAWA ANNET</v>
      </c>
      <c r="F4359" s="291">
        <f>IFERROR(INDEX(Disbursements!$D:$D,MATCH('Live Collections'!G4359,Disbursements!$C:$C,0)),"")</f>
        <v>2</v>
      </c>
      <c r="G4359" s="34">
        <v>454</v>
      </c>
      <c r="H4359" s="34">
        <v>6097</v>
      </c>
      <c r="I4359" s="34" t="s">
        <v>1357</v>
      </c>
      <c r="J4359" s="48"/>
      <c r="K4359" s="48"/>
      <c r="L4359" s="48"/>
      <c r="M4359" s="48"/>
      <c r="N4359" s="59"/>
      <c r="O4359" s="59">
        <v>30000</v>
      </c>
      <c r="P4359" s="59"/>
      <c r="Q4359" s="268">
        <f t="shared" si="213"/>
        <v>30000</v>
      </c>
      <c r="R4359" s="61">
        <f>IF(O4359=0,0,SUMIFS(Disbursements!$T:$T,Disbursements!$B:$B,'Live Collections'!D4359,Disbursements!$D:$D,'Live Collections'!F4359))</f>
        <v>278000</v>
      </c>
      <c r="S4359" s="304">
        <f>IF(O4359&lt;=IF($O4359=0,0,SUMIFS(Disbursements!$W:$W,Disbursements!$B:$B,'Live Collections'!D4359,Disbursements!$D:$D,'Live Collections'!F4359)),O4359,IF($O4359=0,0,SUMIFS(Disbursements!$W:$W,Disbursements!$B:$B,'Live Collections'!D4359,Disbursements!$D:$D,'Live Collections'!F4359)))</f>
        <v>30000</v>
      </c>
      <c r="T4359" s="304">
        <f t="shared" si="214"/>
        <v>0</v>
      </c>
      <c r="U4359" s="52"/>
      <c r="V4359" s="34"/>
      <c r="W4359" s="408"/>
    </row>
    <row r="4360" spans="1:23" ht="12.75" customHeight="1" x14ac:dyDescent="0.2">
      <c r="A4360" s="257">
        <v>4371</v>
      </c>
      <c r="B4360" s="44">
        <v>44706</v>
      </c>
      <c r="C4360" s="44">
        <f t="shared" si="212"/>
        <v>44706</v>
      </c>
      <c r="D4360" s="374">
        <v>217</v>
      </c>
      <c r="E4360" s="291" t="str">
        <f>IFERROR(VLOOKUP($D4360,'Clients-Live'!$A:$C,3,0),"")</f>
        <v>JAMBA MOSES</v>
      </c>
      <c r="F4360" s="291">
        <f>IFERROR(INDEX(Disbursements!$D:$D,MATCH('Live Collections'!G4360,Disbursements!$C:$C,0)),"")</f>
        <v>3</v>
      </c>
      <c r="G4360" s="34">
        <v>468</v>
      </c>
      <c r="H4360" s="34" t="s">
        <v>2437</v>
      </c>
      <c r="I4360" s="34" t="s">
        <v>1357</v>
      </c>
      <c r="J4360" s="48"/>
      <c r="K4360" s="48"/>
      <c r="L4360" s="48"/>
      <c r="M4360" s="48"/>
      <c r="N4360" s="59"/>
      <c r="O4360" s="59">
        <v>15000</v>
      </c>
      <c r="P4360" s="59">
        <v>-15000</v>
      </c>
      <c r="Q4360" s="268">
        <f t="shared" si="213"/>
        <v>0</v>
      </c>
      <c r="R4360" s="61">
        <f>IF(O4360=0,0,SUMIFS(Disbursements!$T:$T,Disbursements!$B:$B,'Live Collections'!D4360,Disbursements!$D:$D,'Live Collections'!F4360))</f>
        <v>85000</v>
      </c>
      <c r="S4360" s="304">
        <f>IF(O4360&lt;=IF($O4360=0,0,SUMIFS(Disbursements!$W:$W,Disbursements!$B:$B,'Live Collections'!D4360,Disbursements!$D:$D,'Live Collections'!F4360)),O4360,IF($O4360=0,0,SUMIFS(Disbursements!$W:$W,Disbursements!$B:$B,'Live Collections'!D4360,Disbursements!$D:$D,'Live Collections'!F4360)))</f>
        <v>10000</v>
      </c>
      <c r="T4360" s="304">
        <f t="shared" si="214"/>
        <v>5000</v>
      </c>
      <c r="U4360" s="52"/>
      <c r="V4360" s="34"/>
      <c r="W4360" s="408"/>
    </row>
    <row r="4361" spans="1:23" ht="12.75" customHeight="1" x14ac:dyDescent="0.2">
      <c r="A4361" s="257">
        <v>4372</v>
      </c>
      <c r="B4361" s="44">
        <v>44706</v>
      </c>
      <c r="C4361" s="44">
        <f t="shared" si="212"/>
        <v>44706</v>
      </c>
      <c r="D4361" s="374">
        <v>217</v>
      </c>
      <c r="E4361" s="291" t="str">
        <f>IFERROR(VLOOKUP($D4361,'Clients-Live'!$A:$C,3,0),"")</f>
        <v>JAMBA MOSES</v>
      </c>
      <c r="F4361" s="291">
        <f>IFERROR(INDEX(Disbursements!$D:$D,MATCH('Live Collections'!G4361,Disbursements!$C:$C,0)),"")</f>
        <v>3</v>
      </c>
      <c r="G4361" s="34">
        <v>468</v>
      </c>
      <c r="H4361" s="34">
        <v>6100</v>
      </c>
      <c r="I4361" s="34" t="s">
        <v>1357</v>
      </c>
      <c r="J4361" s="48"/>
      <c r="K4361" s="48"/>
      <c r="L4361" s="48"/>
      <c r="M4361" s="48"/>
      <c r="N4361" s="59"/>
      <c r="O4361" s="59">
        <v>69500</v>
      </c>
      <c r="P4361" s="59"/>
      <c r="Q4361" s="268">
        <f t="shared" si="213"/>
        <v>69500</v>
      </c>
      <c r="R4361" s="61">
        <f>IF(O4361=0,0,SUMIFS(Disbursements!$T:$T,Disbursements!$B:$B,'Live Collections'!D4361,Disbursements!$D:$D,'Live Collections'!F4361))</f>
        <v>85000</v>
      </c>
      <c r="S4361" s="304"/>
      <c r="T4361" s="304">
        <f t="shared" si="214"/>
        <v>69500</v>
      </c>
      <c r="U4361" s="52"/>
      <c r="V4361" s="34"/>
      <c r="W4361" s="408"/>
    </row>
    <row r="4362" spans="1:23" ht="12.75" customHeight="1" x14ac:dyDescent="0.2">
      <c r="A4362" s="257">
        <v>4373</v>
      </c>
      <c r="B4362" s="44">
        <v>44706</v>
      </c>
      <c r="C4362" s="44">
        <f t="shared" si="212"/>
        <v>44706</v>
      </c>
      <c r="D4362" s="374">
        <v>22</v>
      </c>
      <c r="E4362" s="291" t="str">
        <f>IFERROR(VLOOKUP($D4362,'Clients-Live'!$A:$C,3,0),"")</f>
        <v>DATA ISMAIL FATARI</v>
      </c>
      <c r="F4362" s="291">
        <f>IFERROR(INDEX(Disbursements!$D:$D,MATCH('Live Collections'!G4362,Disbursements!$C:$C,0)),"")</f>
        <v>2</v>
      </c>
      <c r="G4362" s="34">
        <v>381</v>
      </c>
      <c r="H4362" s="34">
        <v>6165</v>
      </c>
      <c r="I4362" s="34" t="s">
        <v>1359</v>
      </c>
      <c r="J4362" s="48"/>
      <c r="K4362" s="48"/>
      <c r="L4362" s="48"/>
      <c r="M4362" s="48"/>
      <c r="N4362" s="59"/>
      <c r="O4362" s="59">
        <v>10000</v>
      </c>
      <c r="P4362" s="59"/>
      <c r="Q4362" s="268">
        <f t="shared" si="213"/>
        <v>10000</v>
      </c>
      <c r="R4362" s="61">
        <f>IF(O4362=0,0,SUMIFS(Disbursements!$T:$T,Disbursements!$B:$B,'Live Collections'!D4362,Disbursements!$D:$D,'Live Collections'!F4362))</f>
        <v>210000</v>
      </c>
      <c r="S4362" s="304">
        <f>IF(O4362&lt;=IF($O4362=0,0,SUMIFS(Disbursements!$W:$W,Disbursements!$B:$B,'Live Collections'!D4362,Disbursements!$D:$D,'Live Collections'!F4362)),O4362,IF($O4362=0,0,SUMIFS(Disbursements!$W:$W,Disbursements!$B:$B,'Live Collections'!D4362,Disbursements!$D:$D,'Live Collections'!F4362)))</f>
        <v>10000</v>
      </c>
      <c r="T4362" s="304">
        <f t="shared" si="214"/>
        <v>0</v>
      </c>
      <c r="U4362" s="52"/>
      <c r="V4362" s="34"/>
      <c r="W4362" s="408"/>
    </row>
    <row r="4363" spans="1:23" ht="12.75" customHeight="1" x14ac:dyDescent="0.2">
      <c r="A4363" s="257">
        <v>4374</v>
      </c>
      <c r="B4363" s="44">
        <v>44706</v>
      </c>
      <c r="C4363" s="44">
        <f t="shared" si="212"/>
        <v>44706</v>
      </c>
      <c r="D4363" s="374">
        <v>301</v>
      </c>
      <c r="E4363" s="291" t="str">
        <f>IFERROR(VLOOKUP($D4363,'Clients-Live'!$A:$C,3,0),"")</f>
        <v>MAYANJA DAVID</v>
      </c>
      <c r="F4363" s="291">
        <f>IFERROR(INDEX(Disbursements!$D:$D,MATCH('Live Collections'!G4363,Disbursements!$C:$C,0)),"")</f>
        <v>1</v>
      </c>
      <c r="G4363" s="34">
        <v>372</v>
      </c>
      <c r="H4363" s="34">
        <v>6166</v>
      </c>
      <c r="I4363" s="34" t="s">
        <v>1359</v>
      </c>
      <c r="J4363" s="48"/>
      <c r="K4363" s="48"/>
      <c r="L4363" s="48"/>
      <c r="M4363" s="48"/>
      <c r="N4363" s="59"/>
      <c r="O4363" s="59">
        <v>325000</v>
      </c>
      <c r="P4363" s="59"/>
      <c r="Q4363" s="268">
        <f t="shared" si="213"/>
        <v>325000</v>
      </c>
      <c r="R4363" s="61">
        <f>IF(O4363=0,0,SUMIFS(Disbursements!$T:$T,Disbursements!$B:$B,'Live Collections'!D4363,Disbursements!$D:$D,'Live Collections'!F4363))</f>
        <v>325000</v>
      </c>
      <c r="S4363" s="304"/>
      <c r="T4363" s="304">
        <f t="shared" si="214"/>
        <v>325000</v>
      </c>
      <c r="U4363" s="52"/>
      <c r="V4363" s="34"/>
      <c r="W4363" s="408"/>
    </row>
    <row r="4364" spans="1:23" ht="12.75" customHeight="1" x14ac:dyDescent="0.2">
      <c r="A4364" s="257">
        <v>4375</v>
      </c>
      <c r="B4364" s="44">
        <v>44706</v>
      </c>
      <c r="C4364" s="44">
        <f t="shared" si="212"/>
        <v>44706</v>
      </c>
      <c r="D4364" s="374">
        <v>317</v>
      </c>
      <c r="E4364" s="291" t="str">
        <f>IFERROR(VLOOKUP($D4364,'Clients-Live'!$A:$C,3,0),"")</f>
        <v>DRIWARU JANE</v>
      </c>
      <c r="F4364" s="291">
        <f>IFERROR(INDEX(Disbursements!$D:$D,MATCH('Live Collections'!G4364,Disbursements!$C:$C,0)),"")</f>
        <v>1</v>
      </c>
      <c r="G4364" s="34">
        <v>414</v>
      </c>
      <c r="H4364" s="34">
        <v>5836</v>
      </c>
      <c r="I4364" s="34" t="s">
        <v>1357</v>
      </c>
      <c r="J4364" s="48"/>
      <c r="K4364" s="48"/>
      <c r="L4364" s="48"/>
      <c r="M4364" s="48"/>
      <c r="N4364" s="59"/>
      <c r="O4364" s="59">
        <v>100000</v>
      </c>
      <c r="P4364" s="59"/>
      <c r="Q4364" s="268">
        <f t="shared" si="213"/>
        <v>100000</v>
      </c>
      <c r="R4364" s="61">
        <f>IF(O4364=0,0,SUMIFS(Disbursements!$T:$T,Disbursements!$B:$B,'Live Collections'!D4364,Disbursements!$D:$D,'Live Collections'!F4364))</f>
        <v>55000</v>
      </c>
      <c r="S4364" s="304">
        <f>IF(O4364&lt;=IF($O4364=0,0,SUMIFS(Disbursements!$W:$W,Disbursements!$B:$B,'Live Collections'!D4364,Disbursements!$D:$D,'Live Collections'!F4364)),O4364,IF($O4364=0,0,SUMIFS(Disbursements!$W:$W,Disbursements!$B:$B,'Live Collections'!D4364,Disbursements!$D:$D,'Live Collections'!F4364)))</f>
        <v>15000</v>
      </c>
      <c r="T4364" s="304">
        <f t="shared" si="214"/>
        <v>85000</v>
      </c>
      <c r="U4364" s="52"/>
      <c r="V4364" s="34"/>
      <c r="W4364" s="408"/>
    </row>
    <row r="4365" spans="1:23" ht="12.75" customHeight="1" x14ac:dyDescent="0.2">
      <c r="A4365" s="257">
        <v>4376</v>
      </c>
      <c r="B4365" s="44">
        <v>44706</v>
      </c>
      <c r="C4365" s="44">
        <f t="shared" si="212"/>
        <v>44706</v>
      </c>
      <c r="D4365" s="374">
        <v>365</v>
      </c>
      <c r="E4365" s="291" t="str">
        <f>IFERROR(VLOOKUP($D4365,'Clients-Live'!$A:$C,3,0),"")</f>
        <v>ARABA JOYCE</v>
      </c>
      <c r="F4365" s="291" t="str">
        <f>IFERROR(INDEX(Disbursements!$D:$D,MATCH('Live Collections'!G4365,Disbursements!$C:$C,0)),"")</f>
        <v/>
      </c>
      <c r="G4365" s="34"/>
      <c r="H4365" s="34">
        <v>6164</v>
      </c>
      <c r="I4365" s="34" t="s">
        <v>1716</v>
      </c>
      <c r="J4365" s="48"/>
      <c r="K4365" s="48"/>
      <c r="L4365" s="48">
        <v>30000</v>
      </c>
      <c r="M4365" s="48">
        <v>5000</v>
      </c>
      <c r="N4365" s="59"/>
      <c r="O4365" s="59"/>
      <c r="P4365" s="59"/>
      <c r="Q4365" s="268">
        <f t="shared" si="213"/>
        <v>35000</v>
      </c>
      <c r="R4365" s="61">
        <f>IF(O4365=0,0,SUMIFS(Disbursements!$T:$T,Disbursements!$B:$B,'Live Collections'!D4365,Disbursements!$D:$D,'Live Collections'!F4365))</f>
        <v>0</v>
      </c>
      <c r="S4365" s="304">
        <f>IF(O4365&lt;=IF($O4365=0,0,SUMIFS(Disbursements!$W:$W,Disbursements!$B:$B,'Live Collections'!D4365,Disbursements!$D:$D,'Live Collections'!F4365)),O4365,IF($O4365=0,0,SUMIFS(Disbursements!$W:$W,Disbursements!$B:$B,'Live Collections'!D4365,Disbursements!$D:$D,'Live Collections'!F4365)))</f>
        <v>0</v>
      </c>
      <c r="T4365" s="304">
        <f t="shared" si="214"/>
        <v>0</v>
      </c>
      <c r="U4365" s="52"/>
      <c r="V4365" s="34"/>
      <c r="W4365" s="408"/>
    </row>
    <row r="4366" spans="1:23" ht="12.75" customHeight="1" x14ac:dyDescent="0.2">
      <c r="A4366" s="257">
        <v>4377</v>
      </c>
      <c r="B4366" s="44">
        <v>44706</v>
      </c>
      <c r="C4366" s="44">
        <f t="shared" si="212"/>
        <v>44706</v>
      </c>
      <c r="D4366" s="374">
        <v>365</v>
      </c>
      <c r="E4366" s="291" t="str">
        <f>IFERROR(VLOOKUP($D4366,'Clients-Live'!$A:$C,3,0),"")</f>
        <v>ARABA JOYCE</v>
      </c>
      <c r="F4366" s="291" t="str">
        <f>IFERROR(INDEX(Disbursements!$D:$D,MATCH('Live Collections'!G4366,Disbursements!$C:$C,0)),"")</f>
        <v/>
      </c>
      <c r="G4366" s="34"/>
      <c r="H4366" s="34">
        <v>6163</v>
      </c>
      <c r="I4366" s="34" t="s">
        <v>1716</v>
      </c>
      <c r="J4366" s="48">
        <v>15000</v>
      </c>
      <c r="K4366" s="48">
        <v>5000</v>
      </c>
      <c r="L4366" s="48"/>
      <c r="M4366" s="48"/>
      <c r="N4366" s="59"/>
      <c r="O4366" s="59"/>
      <c r="P4366" s="59"/>
      <c r="Q4366" s="268">
        <f t="shared" si="213"/>
        <v>20000</v>
      </c>
      <c r="R4366" s="61">
        <f>IF(O4366=0,0,SUMIFS(Disbursements!$T:$T,Disbursements!$B:$B,'Live Collections'!D4366,Disbursements!$D:$D,'Live Collections'!F4366))</f>
        <v>0</v>
      </c>
      <c r="S4366" s="304">
        <f>IF(O4366&lt;=IF($O4366=0,0,SUMIFS(Disbursements!$W:$W,Disbursements!$B:$B,'Live Collections'!D4366,Disbursements!$D:$D,'Live Collections'!F4366)),O4366,IF($O4366=0,0,SUMIFS(Disbursements!$W:$W,Disbursements!$B:$B,'Live Collections'!D4366,Disbursements!$D:$D,'Live Collections'!F4366)))</f>
        <v>0</v>
      </c>
      <c r="T4366" s="304">
        <f t="shared" si="214"/>
        <v>0</v>
      </c>
      <c r="U4366" s="52"/>
      <c r="V4366" s="34"/>
      <c r="W4366" s="408"/>
    </row>
    <row r="4367" spans="1:23" ht="12.75" customHeight="1" x14ac:dyDescent="0.2">
      <c r="A4367" s="257">
        <v>4378</v>
      </c>
      <c r="B4367" s="44">
        <v>44706</v>
      </c>
      <c r="C4367" s="44">
        <f t="shared" si="212"/>
        <v>44706</v>
      </c>
      <c r="D4367" s="374">
        <v>192</v>
      </c>
      <c r="E4367" s="291" t="str">
        <f>IFERROR(VLOOKUP($D4367,'Clients-Live'!$A:$C,3,0),"")</f>
        <v>MAZARAU AISHA</v>
      </c>
      <c r="F4367" s="291">
        <f>IFERROR(INDEX(Disbursements!$D:$D,MATCH('Live Collections'!G4367,Disbursements!$C:$C,0)),"")</f>
        <v>2</v>
      </c>
      <c r="G4367" s="34">
        <v>354</v>
      </c>
      <c r="H4367" s="34">
        <v>6096</v>
      </c>
      <c r="I4367" s="34" t="s">
        <v>1357</v>
      </c>
      <c r="J4367" s="48"/>
      <c r="K4367" s="48"/>
      <c r="L4367" s="48"/>
      <c r="M4367" s="48"/>
      <c r="N4367" s="59"/>
      <c r="O4367" s="59">
        <v>20000</v>
      </c>
      <c r="P4367" s="59"/>
      <c r="Q4367" s="268">
        <f t="shared" si="213"/>
        <v>20000</v>
      </c>
      <c r="R4367" s="61">
        <f>IF(O4367=0,0,SUMIFS(Disbursements!$T:$T,Disbursements!$B:$B,'Live Collections'!D4367,Disbursements!$D:$D,'Live Collections'!F4367))</f>
        <v>120000</v>
      </c>
      <c r="S4367" s="304"/>
      <c r="T4367" s="304">
        <f t="shared" si="214"/>
        <v>20000</v>
      </c>
      <c r="U4367" s="52"/>
      <c r="V4367" s="34"/>
      <c r="W4367" s="408"/>
    </row>
    <row r="4368" spans="1:23" ht="12.75" customHeight="1" x14ac:dyDescent="0.2">
      <c r="A4368" s="257">
        <v>4379</v>
      </c>
      <c r="B4368" s="44">
        <v>44706</v>
      </c>
      <c r="C4368" s="44">
        <f t="shared" si="212"/>
        <v>44706</v>
      </c>
      <c r="D4368" s="374">
        <v>210</v>
      </c>
      <c r="E4368" s="291" t="str">
        <f>IFERROR(VLOOKUP($D4368,'Clients-Live'!$A:$C,3,0),"")</f>
        <v>ADRILI ZAHARA</v>
      </c>
      <c r="F4368" s="291" t="str">
        <f>IFERROR(INDEX(Disbursements!$D:$D,MATCH('Live Collections'!G4368,Disbursements!$C:$C,0)),"")</f>
        <v/>
      </c>
      <c r="G4368" s="34"/>
      <c r="H4368" s="34">
        <v>6158</v>
      </c>
      <c r="I4368" s="34" t="s">
        <v>1357</v>
      </c>
      <c r="J4368" s="48"/>
      <c r="K4368" s="48"/>
      <c r="L4368" s="48">
        <v>20000</v>
      </c>
      <c r="M4368" s="48">
        <v>5000</v>
      </c>
      <c r="N4368" s="59"/>
      <c r="O4368" s="59"/>
      <c r="P4368" s="59"/>
      <c r="Q4368" s="268">
        <f t="shared" si="213"/>
        <v>25000</v>
      </c>
      <c r="R4368" s="61">
        <f>IF(O4368=0,0,SUMIFS(Disbursements!$T:$T,Disbursements!$B:$B,'Live Collections'!D4368,Disbursements!$D:$D,'Live Collections'!F4368))</f>
        <v>0</v>
      </c>
      <c r="S4368" s="304">
        <f>IF(O4368&lt;=IF($O4368=0,0,SUMIFS(Disbursements!$W:$W,Disbursements!$B:$B,'Live Collections'!D4368,Disbursements!$D:$D,'Live Collections'!F4368)),O4368,IF($O4368=0,0,SUMIFS(Disbursements!$W:$W,Disbursements!$B:$B,'Live Collections'!D4368,Disbursements!$D:$D,'Live Collections'!F4368)))</f>
        <v>0</v>
      </c>
      <c r="T4368" s="304">
        <f t="shared" si="214"/>
        <v>0</v>
      </c>
      <c r="U4368" s="52"/>
      <c r="V4368" s="34"/>
      <c r="W4368" s="408"/>
    </row>
    <row r="4369" spans="1:23" ht="12.75" customHeight="1" x14ac:dyDescent="0.2">
      <c r="A4369" s="257">
        <v>4380</v>
      </c>
      <c r="B4369" s="44">
        <v>44706</v>
      </c>
      <c r="C4369" s="44">
        <f t="shared" si="207"/>
        <v>44706</v>
      </c>
      <c r="D4369" s="374">
        <v>18</v>
      </c>
      <c r="E4369" s="291" t="str">
        <f>IFERROR(VLOOKUP($D4369,'Clients-Live'!$A:$C,3,0),"")</f>
        <v>ARIYE PEACE</v>
      </c>
      <c r="F4369" s="291">
        <f>IFERROR(INDEX(Disbursements!$D:$D,MATCH('Live Collections'!G4369,Disbursements!$C:$C,0)),"")</f>
        <v>2</v>
      </c>
      <c r="G4369" s="34">
        <v>317</v>
      </c>
      <c r="H4369" s="34">
        <v>6099</v>
      </c>
      <c r="I4369" s="34" t="s">
        <v>1357</v>
      </c>
      <c r="J4369" s="48"/>
      <c r="K4369" s="48"/>
      <c r="L4369" s="48"/>
      <c r="M4369" s="48"/>
      <c r="N4369" s="59"/>
      <c r="O4369" s="59">
        <v>100000</v>
      </c>
      <c r="P4369" s="59"/>
      <c r="Q4369" s="268">
        <f t="shared" si="210"/>
        <v>100000</v>
      </c>
      <c r="R4369" s="61">
        <f>IF(O4369=0,0,SUMIFS(Disbursements!$T:$T,Disbursements!$B:$B,'Live Collections'!D4369,Disbursements!$D:$D,'Live Collections'!F4369))</f>
        <v>650000</v>
      </c>
      <c r="S4369" s="304"/>
      <c r="T4369" s="304">
        <f t="shared" si="211"/>
        <v>100000</v>
      </c>
      <c r="U4369" s="52"/>
      <c r="V4369" s="34"/>
      <c r="W4369" s="408"/>
    </row>
    <row r="4370" spans="1:23" ht="12.75" customHeight="1" x14ac:dyDescent="0.2">
      <c r="A4370" s="257">
        <v>4381</v>
      </c>
      <c r="B4370" s="44">
        <v>44706</v>
      </c>
      <c r="C4370" s="44">
        <f t="shared" si="212"/>
        <v>44706</v>
      </c>
      <c r="D4370" s="374">
        <v>330</v>
      </c>
      <c r="E4370" s="291" t="str">
        <f>IFERROR(VLOOKUP($D4370,'Clients-Live'!$A:$C,3,0),"")</f>
        <v>BACIA AISHA</v>
      </c>
      <c r="F4370" s="291" t="str">
        <f>IFERROR(INDEX(Disbursements!$D:$D,MATCH('Live Collections'!G4370,Disbursements!$C:$C,0)),"")</f>
        <v/>
      </c>
      <c r="G4370" s="34"/>
      <c r="H4370" s="34">
        <v>5835</v>
      </c>
      <c r="I4370" s="34" t="s">
        <v>1357</v>
      </c>
      <c r="J4370" s="48"/>
      <c r="K4370" s="48"/>
      <c r="L4370" s="48"/>
      <c r="M4370" s="48">
        <v>5000</v>
      </c>
      <c r="N4370" s="59"/>
      <c r="O4370" s="59"/>
      <c r="P4370" s="59"/>
      <c r="Q4370" s="268">
        <f t="shared" si="210"/>
        <v>5000</v>
      </c>
      <c r="R4370" s="61">
        <f>IF(O4370=0,0,SUMIFS(Disbursements!$T:$T,Disbursements!$B:$B,'Live Collections'!D4370,Disbursements!$D:$D,'Live Collections'!F4370))</f>
        <v>0</v>
      </c>
      <c r="S4370" s="304">
        <f>IF(O4370&lt;=IF($O4370=0,0,SUMIFS(Disbursements!$W:$W,Disbursements!$B:$B,'Live Collections'!D4370,Disbursements!$D:$D,'Live Collections'!F4370)),O4370,IF($O4370=0,0,SUMIFS(Disbursements!$W:$W,Disbursements!$B:$B,'Live Collections'!D4370,Disbursements!$D:$D,'Live Collections'!F4370)))</f>
        <v>0</v>
      </c>
      <c r="T4370" s="304">
        <f t="shared" si="211"/>
        <v>0</v>
      </c>
      <c r="U4370" s="52"/>
      <c r="V4370" s="34"/>
      <c r="W4370" s="408"/>
    </row>
    <row r="4371" spans="1:23" ht="12.75" customHeight="1" x14ac:dyDescent="0.2">
      <c r="A4371" s="257">
        <v>4382</v>
      </c>
      <c r="B4371" s="44">
        <v>44707</v>
      </c>
      <c r="C4371" s="44">
        <f t="shared" si="212"/>
        <v>44707</v>
      </c>
      <c r="D4371" s="374">
        <v>250</v>
      </c>
      <c r="E4371" s="291" t="str">
        <f>IFERROR(VLOOKUP($D4371,'Clients-Live'!$A:$C,3,0),"")</f>
        <v>SAKAYA AMINA</v>
      </c>
      <c r="F4371" s="291">
        <f>IFERROR(INDEX(Disbursements!$D:$D,MATCH('Live Collections'!G4371,Disbursements!$C:$C,0)),"")</f>
        <v>3</v>
      </c>
      <c r="G4371" s="34">
        <v>489</v>
      </c>
      <c r="H4371" s="34">
        <v>6334</v>
      </c>
      <c r="I4371" s="34" t="s">
        <v>1357</v>
      </c>
      <c r="J4371" s="48"/>
      <c r="K4371" s="48"/>
      <c r="L4371" s="48"/>
      <c r="M4371" s="48"/>
      <c r="N4371" s="59"/>
      <c r="O4371" s="59">
        <v>130000</v>
      </c>
      <c r="P4371" s="59"/>
      <c r="Q4371" s="268">
        <f t="shared" ref="Q4371:Q4372" si="215">SUM(J4371:P4371)</f>
        <v>130000</v>
      </c>
      <c r="R4371" s="61">
        <f>IF(O4371=0,0,SUMIFS(Disbursements!$T:$T,Disbursements!$B:$B,'Live Collections'!D4373,Disbursements!$D:$D,'Live Collections'!F4371))</f>
        <v>0</v>
      </c>
      <c r="S4371" s="304">
        <f>IF(O4371&lt;=IF($O4371=0,0,SUMIFS(Disbursements!$W:$W,Disbursements!$B:$B,'Live Collections'!D4373,Disbursements!$D:$D,'Live Collections'!F4371)),O4371,IF($O4371=0,0,SUMIFS(Disbursements!$W:$W,Disbursements!$B:$B,'Live Collections'!D4373,Disbursements!$D:$D,'Live Collections'!F4371)))</f>
        <v>0</v>
      </c>
      <c r="T4371" s="304">
        <f t="shared" ref="T4371:T4372" si="216">IF(O4371=0,0,O4371-S4371)</f>
        <v>130000</v>
      </c>
      <c r="U4371" s="52"/>
      <c r="V4371" s="34"/>
      <c r="W4371" s="408"/>
    </row>
    <row r="4372" spans="1:23" ht="12.75" customHeight="1" x14ac:dyDescent="0.2">
      <c r="A4372" s="257">
        <v>4383</v>
      </c>
      <c r="B4372" s="44">
        <v>44707</v>
      </c>
      <c r="C4372" s="44">
        <f t="shared" si="212"/>
        <v>44707</v>
      </c>
      <c r="D4372" s="374">
        <v>366</v>
      </c>
      <c r="E4372" s="291" t="str">
        <f>IFERROR(VLOOKUP($D4372,'Clients-Live'!$A:$C,3,0),"")</f>
        <v>EDRENDU GEOFREY</v>
      </c>
      <c r="F4372" s="291" t="str">
        <f>IFERROR(INDEX(Disbursements!$D:$D,MATCH('Live Collections'!G4372,Disbursements!$C:$C,0)),"")</f>
        <v/>
      </c>
      <c r="G4372" s="34"/>
      <c r="H4372" s="34">
        <v>6332</v>
      </c>
      <c r="I4372" s="34" t="s">
        <v>1358</v>
      </c>
      <c r="J4372" s="48">
        <v>15000</v>
      </c>
      <c r="K4372" s="48">
        <v>5000</v>
      </c>
      <c r="L4372" s="48"/>
      <c r="M4372" s="48"/>
      <c r="N4372" s="59"/>
      <c r="O4372" s="59"/>
      <c r="P4372" s="59"/>
      <c r="Q4372" s="268">
        <f t="shared" si="215"/>
        <v>20000</v>
      </c>
      <c r="R4372" s="61">
        <f>IF(O4372=0,0,SUMIFS(Disbursements!$T:$T,Disbursements!$B:$B,'Live Collections'!D4372,Disbursements!$D:$D,'Live Collections'!F4372))</f>
        <v>0</v>
      </c>
      <c r="S4372" s="304">
        <f>IF(O4372&lt;=IF($O4372=0,0,SUMIFS(Disbursements!$W:$W,Disbursements!$B:$B,'Live Collections'!D4372,Disbursements!$D:$D,'Live Collections'!F4372)),O4372,IF($O4372=0,0,SUMIFS(Disbursements!$W:$W,Disbursements!$B:$B,'Live Collections'!D4372,Disbursements!$D:$D,'Live Collections'!F4372)))</f>
        <v>0</v>
      </c>
      <c r="T4372" s="304">
        <f t="shared" si="216"/>
        <v>0</v>
      </c>
      <c r="U4372" s="52"/>
      <c r="V4372" s="34"/>
      <c r="W4372" s="408"/>
    </row>
    <row r="4373" spans="1:23" ht="12.75" customHeight="1" x14ac:dyDescent="0.2">
      <c r="A4373" s="257">
        <v>4384</v>
      </c>
      <c r="B4373" s="44">
        <v>44707</v>
      </c>
      <c r="C4373" s="44">
        <f t="shared" si="212"/>
        <v>44707</v>
      </c>
      <c r="D4373" s="374">
        <v>366</v>
      </c>
      <c r="E4373" s="291" t="str">
        <f>IFERROR(VLOOKUP($D4373,'Clients-Live'!$A:$C,3,0),"")</f>
        <v>EDRENDU GEOFREY</v>
      </c>
      <c r="F4373" s="291" t="str">
        <f>IFERROR(INDEX(Disbursements!$D:$D,MATCH('Live Collections'!G4373,Disbursements!$C:$C,0)),"")</f>
        <v/>
      </c>
      <c r="G4373" s="34"/>
      <c r="H4373" s="34">
        <v>6333</v>
      </c>
      <c r="I4373" s="34" t="s">
        <v>1358</v>
      </c>
      <c r="J4373" s="48"/>
      <c r="K4373" s="48"/>
      <c r="L4373" s="48">
        <v>25000</v>
      </c>
      <c r="M4373" s="48">
        <v>5000</v>
      </c>
      <c r="N4373" s="59"/>
      <c r="O4373" s="59"/>
      <c r="P4373" s="59"/>
      <c r="Q4373" s="268">
        <f t="shared" ref="Q4373:Q4375" si="217">SUM(J4373:P4373)</f>
        <v>30000</v>
      </c>
      <c r="R4373" s="61">
        <f>IF(O4373=0,0,SUMIFS(Disbursements!$T:$T,Disbursements!$B:$B,'Live Collections'!D4373,Disbursements!$D:$D,'Live Collections'!F4373))</f>
        <v>0</v>
      </c>
      <c r="S4373" s="304">
        <f>IF(O4373&lt;=IF($O4373=0,0,SUMIFS(Disbursements!$W:$W,Disbursements!$B:$B,'Live Collections'!D4373,Disbursements!$D:$D,'Live Collections'!F4373)),O4373,IF($O4373=0,0,SUMIFS(Disbursements!$W:$W,Disbursements!$B:$B,'Live Collections'!D4373,Disbursements!$D:$D,'Live Collections'!F4373)))</f>
        <v>0</v>
      </c>
      <c r="T4373" s="304">
        <f t="shared" ref="T4373:T4375" si="218">IF(O4373=0,0,O4373-S4373)</f>
        <v>0</v>
      </c>
      <c r="U4373" s="52"/>
      <c r="V4373" s="34"/>
      <c r="W4373" s="408"/>
    </row>
    <row r="4374" spans="1:23" ht="12.75" customHeight="1" x14ac:dyDescent="0.2">
      <c r="A4374" s="257">
        <v>4385</v>
      </c>
      <c r="B4374" s="44">
        <v>44707</v>
      </c>
      <c r="C4374" s="44">
        <f t="shared" si="212"/>
        <v>44707</v>
      </c>
      <c r="D4374" s="374">
        <v>164</v>
      </c>
      <c r="E4374" s="291" t="str">
        <f>IFERROR(VLOOKUP($D4374,'Clients-Live'!$A:$C,3,0),"")</f>
        <v>ARIKE SWAIB</v>
      </c>
      <c r="F4374" s="291">
        <f>IFERROR(INDEX(Disbursements!$D:$D,MATCH('Live Collections'!G4374,Disbursements!$C:$C,0)),"")</f>
        <v>2</v>
      </c>
      <c r="G4374" s="34">
        <v>508</v>
      </c>
      <c r="H4374" s="34">
        <v>6331</v>
      </c>
      <c r="I4374" s="34" t="s">
        <v>1357</v>
      </c>
      <c r="J4374" s="48"/>
      <c r="K4374" s="48"/>
      <c r="L4374" s="48"/>
      <c r="M4374" s="48"/>
      <c r="N4374" s="59"/>
      <c r="O4374" s="59">
        <v>90000</v>
      </c>
      <c r="P4374" s="59"/>
      <c r="Q4374" s="268">
        <f t="shared" si="217"/>
        <v>90000</v>
      </c>
      <c r="R4374" s="61">
        <f>IF(O4374=0,0,SUMIFS(Disbursements!$T:$T,Disbursements!$B:$B,'Live Collections'!D4374,Disbursements!$D:$D,'Live Collections'!F4374))</f>
        <v>90000</v>
      </c>
      <c r="S4374" s="304">
        <f>IF(O4374&lt;=IF($O4374=0,0,SUMIFS(Disbursements!$W:$W,Disbursements!$B:$B,'Live Collections'!D4374,Disbursements!$D:$D,'Live Collections'!F4374)),O4374,IF($O4374=0,0,SUMIFS(Disbursements!$W:$W,Disbursements!$B:$B,'Live Collections'!D4374,Disbursements!$D:$D,'Live Collections'!F4374)))</f>
        <v>25416.666666666664</v>
      </c>
      <c r="T4374" s="304">
        <f t="shared" si="218"/>
        <v>64583.333333333336</v>
      </c>
      <c r="U4374" s="52"/>
      <c r="V4374" s="34"/>
      <c r="W4374" s="408"/>
    </row>
    <row r="4375" spans="1:23" ht="12.75" customHeight="1" x14ac:dyDescent="0.2">
      <c r="A4375" s="257">
        <v>4386</v>
      </c>
      <c r="B4375" s="44">
        <v>44707</v>
      </c>
      <c r="C4375" s="44">
        <f t="shared" si="212"/>
        <v>44707</v>
      </c>
      <c r="D4375" s="374">
        <v>3</v>
      </c>
      <c r="E4375" s="291" t="str">
        <f>IFERROR(VLOOKUP($D4375,'Clients-Live'!$A:$C,3,0),"")</f>
        <v>YEKA ARIJABU</v>
      </c>
      <c r="F4375" s="291">
        <f>IFERROR(INDEX(Disbursements!$D:$D,MATCH('Live Collections'!G4375,Disbursements!$C:$C,0)),"")</f>
        <v>2</v>
      </c>
      <c r="G4375" s="34">
        <v>443</v>
      </c>
      <c r="H4375" s="34">
        <v>6330</v>
      </c>
      <c r="I4375" s="34" t="s">
        <v>1357</v>
      </c>
      <c r="J4375" s="48"/>
      <c r="K4375" s="48"/>
      <c r="L4375" s="48"/>
      <c r="M4375" s="48"/>
      <c r="N4375" s="59"/>
      <c r="O4375" s="59">
        <v>100000</v>
      </c>
      <c r="P4375" s="59"/>
      <c r="Q4375" s="268">
        <f t="shared" si="217"/>
        <v>100000</v>
      </c>
      <c r="R4375" s="61">
        <f>IF(O4375=0,0,SUMIFS(Disbursements!$T:$T,Disbursements!$B:$B,'Live Collections'!D4375,Disbursements!$D:$D,'Live Collections'!F4375))</f>
        <v>116000</v>
      </c>
      <c r="S4375" s="304">
        <f>IF(O4375&lt;=IF($O4375=0,0,SUMIFS(Disbursements!$W:$W,Disbursements!$B:$B,'Live Collections'!D4375,Disbursements!$D:$D,'Live Collections'!F4375)),O4375,IF($O4375=0,0,SUMIFS(Disbursements!$W:$W,Disbursements!$B:$B,'Live Collections'!D4375,Disbursements!$D:$D,'Live Collections'!F4375)))</f>
        <v>32666.666666666672</v>
      </c>
      <c r="T4375" s="304">
        <f t="shared" si="218"/>
        <v>67333.333333333328</v>
      </c>
      <c r="U4375" s="52"/>
      <c r="V4375" s="34"/>
      <c r="W4375" s="408"/>
    </row>
    <row r="4376" spans="1:23" ht="12.75" customHeight="1" x14ac:dyDescent="0.2">
      <c r="A4376" s="257">
        <v>4387</v>
      </c>
      <c r="B4376" s="44">
        <v>44707</v>
      </c>
      <c r="C4376" s="44">
        <f t="shared" si="212"/>
        <v>44707</v>
      </c>
      <c r="D4376" s="374">
        <v>362</v>
      </c>
      <c r="E4376" s="291" t="str">
        <f>IFERROR(VLOOKUP($D4376,'Clients-Live'!$A:$C,3,0),"")</f>
        <v>LUPAI DAVID</v>
      </c>
      <c r="F4376" s="291">
        <f>IFERROR(INDEX(Disbursements!$D:$D,MATCH('Live Collections'!G4376,Disbursements!$C:$C,0)),"")</f>
        <v>1</v>
      </c>
      <c r="G4376" s="34">
        <v>527</v>
      </c>
      <c r="H4376" s="34">
        <v>6325</v>
      </c>
      <c r="I4376" s="34" t="s">
        <v>1359</v>
      </c>
      <c r="J4376" s="48"/>
      <c r="K4376" s="48"/>
      <c r="L4376" s="48"/>
      <c r="M4376" s="48"/>
      <c r="N4376" s="59"/>
      <c r="O4376" s="59">
        <v>170000</v>
      </c>
      <c r="P4376" s="59"/>
      <c r="Q4376" s="268">
        <f t="shared" ref="Q4376:Q4503" si="219">SUM(J4376:P4376)</f>
        <v>170000</v>
      </c>
      <c r="R4376" s="61">
        <f>IF(O4376=0,0,SUMIFS(Disbursements!$T:$T,Disbursements!$B:$B,'Live Collections'!D4376,Disbursements!$D:$D,'Live Collections'!F4376))</f>
        <v>323000</v>
      </c>
      <c r="S4376" s="304">
        <f>IF(O4376&lt;=IF($O4376=0,0,SUMIFS(Disbursements!$W:$W,Disbursements!$B:$B,'Live Collections'!D4376,Disbursements!$D:$D,'Live Collections'!F4376)),O4376,IF($O4376=0,0,SUMIFS(Disbursements!$W:$W,Disbursements!$B:$B,'Live Collections'!D4376,Disbursements!$D:$D,'Live Collections'!F4376)))</f>
        <v>23000</v>
      </c>
      <c r="T4376" s="304">
        <f t="shared" ref="T4376:T4503" si="220">IF(O4376=0,0,O4376-S4376)</f>
        <v>147000</v>
      </c>
      <c r="U4376" s="52"/>
      <c r="V4376" s="34"/>
      <c r="W4376" s="408"/>
    </row>
    <row r="4377" spans="1:23" ht="12.75" customHeight="1" x14ac:dyDescent="0.2">
      <c r="A4377" s="257">
        <v>4389</v>
      </c>
      <c r="B4377" s="44">
        <v>44707</v>
      </c>
      <c r="C4377" s="44">
        <f t="shared" si="212"/>
        <v>44707</v>
      </c>
      <c r="D4377" s="374">
        <v>140</v>
      </c>
      <c r="E4377" s="291" t="str">
        <f>IFERROR(VLOOKUP($D4377,'Clients-Live'!$A:$C,3,0),"")</f>
        <v>AYIKORU MARIAM</v>
      </c>
      <c r="F4377" s="291">
        <f>IFERROR(INDEX(Disbursements!$D:$D,MATCH('Live Collections'!G4377,Disbursements!$C:$C,0)),"")</f>
        <v>2</v>
      </c>
      <c r="G4377" s="34">
        <v>512</v>
      </c>
      <c r="H4377" s="34">
        <v>6326</v>
      </c>
      <c r="I4377" s="34" t="s">
        <v>1358</v>
      </c>
      <c r="J4377" s="48"/>
      <c r="K4377" s="48"/>
      <c r="L4377" s="48"/>
      <c r="M4377" s="48"/>
      <c r="N4377" s="59"/>
      <c r="O4377" s="59">
        <v>200000</v>
      </c>
      <c r="P4377" s="59"/>
      <c r="Q4377" s="268">
        <f t="shared" si="219"/>
        <v>200000</v>
      </c>
      <c r="R4377" s="61">
        <f>IF(O4377=0,0,SUMIFS(Disbursements!$T:$T,Disbursements!$B:$B,'Live Collections'!D4377,Disbursements!$D:$D,'Live Collections'!F4377))</f>
        <v>533000</v>
      </c>
      <c r="S4377" s="304">
        <f>IF(O4377&lt;=IF($O4377=0,0,SUMIFS(Disbursements!$W:$W,Disbursements!$B:$B,'Live Collections'!D4377,Disbursements!$D:$D,'Live Collections'!F4377)),O4377,IF($O4377=0,0,SUMIFS(Disbursements!$W:$W,Disbursements!$B:$B,'Live Collections'!D4377,Disbursements!$D:$D,'Live Collections'!F4377)))</f>
        <v>33000</v>
      </c>
      <c r="T4377" s="304">
        <f t="shared" si="220"/>
        <v>167000</v>
      </c>
      <c r="U4377" s="52"/>
      <c r="V4377" s="34"/>
      <c r="W4377" s="408"/>
    </row>
    <row r="4378" spans="1:23" ht="12.75" customHeight="1" x14ac:dyDescent="0.2">
      <c r="A4378" s="257">
        <v>4390</v>
      </c>
      <c r="B4378" s="44">
        <v>44707</v>
      </c>
      <c r="C4378" s="44">
        <f t="shared" si="212"/>
        <v>44707</v>
      </c>
      <c r="D4378" s="374">
        <v>175</v>
      </c>
      <c r="E4378" s="291" t="str">
        <f>IFERROR(VLOOKUP($D4378,'Clients-Live'!$A:$C,3,0),"")</f>
        <v>ZUBEDA WAIGA</v>
      </c>
      <c r="F4378" s="291">
        <f>IFERROR(INDEX(Disbursements!$D:$D,MATCH('Live Collections'!G4378,Disbursements!$C:$C,0)),"")</f>
        <v>1</v>
      </c>
      <c r="G4378" s="34">
        <v>446</v>
      </c>
      <c r="H4378" s="34">
        <v>6323</v>
      </c>
      <c r="I4378" s="34" t="s">
        <v>1358</v>
      </c>
      <c r="J4378" s="48"/>
      <c r="K4378" s="48"/>
      <c r="L4378" s="48"/>
      <c r="M4378" s="48"/>
      <c r="N4378" s="59"/>
      <c r="O4378" s="59">
        <v>40000</v>
      </c>
      <c r="P4378" s="59"/>
      <c r="Q4378" s="268">
        <f t="shared" si="219"/>
        <v>40000</v>
      </c>
      <c r="R4378" s="61">
        <f>IF(O4378=0,0,SUMIFS(Disbursements!$T:$T,Disbursements!$B:$B,'Live Collections'!D4378,Disbursements!$D:$D,'Live Collections'!F4378))</f>
        <v>29000</v>
      </c>
      <c r="S4378" s="304">
        <f>IF(O4378&lt;=IF($O4378=0,0,SUMIFS(Disbursements!$W:$W,Disbursements!$B:$B,'Live Collections'!D4378,Disbursements!$D:$D,'Live Collections'!F4378)),O4378,IF($O4378=0,0,SUMIFS(Disbursements!$W:$W,Disbursements!$B:$B,'Live Collections'!D4378,Disbursements!$D:$D,'Live Collections'!F4378)))</f>
        <v>4000</v>
      </c>
      <c r="T4378" s="304">
        <f t="shared" si="220"/>
        <v>36000</v>
      </c>
      <c r="U4378" s="52"/>
      <c r="V4378" s="34"/>
      <c r="W4378" s="408"/>
    </row>
    <row r="4379" spans="1:23" ht="12.75" customHeight="1" x14ac:dyDescent="0.2">
      <c r="A4379" s="257">
        <v>4391</v>
      </c>
      <c r="B4379" s="44">
        <v>44707</v>
      </c>
      <c r="C4379" s="44">
        <f t="shared" si="212"/>
        <v>44707</v>
      </c>
      <c r="D4379" s="374">
        <v>86</v>
      </c>
      <c r="E4379" s="291" t="str">
        <f>IFERROR(VLOOKUP($D4379,'Clients-Live'!$A:$C,3,0),"")</f>
        <v>AMANIYO JOYCE</v>
      </c>
      <c r="F4379" s="291">
        <f>IFERROR(INDEX(Disbursements!$D:$D,MATCH('Live Collections'!G4379,Disbursements!$C:$C,0)),"")</f>
        <v>2</v>
      </c>
      <c r="G4379" s="34">
        <v>231</v>
      </c>
      <c r="H4379" s="34">
        <v>6328</v>
      </c>
      <c r="I4379" s="34" t="s">
        <v>1358</v>
      </c>
      <c r="J4379" s="48"/>
      <c r="K4379" s="48">
        <v>5000</v>
      </c>
      <c r="L4379" s="48"/>
      <c r="M4379" s="48"/>
      <c r="N4379" s="59"/>
      <c r="O4379" s="59"/>
      <c r="P4379" s="59"/>
      <c r="Q4379" s="268">
        <f t="shared" si="219"/>
        <v>5000</v>
      </c>
      <c r="R4379" s="61">
        <f>IF(O4379=0,0,SUMIFS(Disbursements!$T:$T,Disbursements!$B:$B,'Live Collections'!D4379,Disbursements!$D:$D,'Live Collections'!F4379))</f>
        <v>0</v>
      </c>
      <c r="S4379" s="304">
        <f>IF(O4379&lt;=IF($O4379=0,0,SUMIFS(Disbursements!$W:$W,Disbursements!$B:$B,'Live Collections'!D4379,Disbursements!$D:$D,'Live Collections'!F4379)),O4379,IF($O4379=0,0,SUMIFS(Disbursements!$W:$W,Disbursements!$B:$B,'Live Collections'!D4379,Disbursements!$D:$D,'Live Collections'!F4379)))</f>
        <v>0</v>
      </c>
      <c r="T4379" s="304">
        <f t="shared" si="220"/>
        <v>0</v>
      </c>
      <c r="U4379" s="52"/>
      <c r="V4379" s="34"/>
      <c r="W4379" s="408"/>
    </row>
    <row r="4380" spans="1:23" ht="12.75" customHeight="1" x14ac:dyDescent="0.2">
      <c r="A4380" s="257">
        <v>4392</v>
      </c>
      <c r="B4380" s="44">
        <v>44707</v>
      </c>
      <c r="C4380" s="44">
        <f t="shared" si="212"/>
        <v>44707</v>
      </c>
      <c r="D4380" s="374">
        <v>86</v>
      </c>
      <c r="E4380" s="291" t="str">
        <f>IFERROR(VLOOKUP($D4380,'Clients-Live'!$A:$C,3,0),"")</f>
        <v>AMANIYO JOYCE</v>
      </c>
      <c r="F4380" s="291" t="str">
        <f>IFERROR(INDEX(Disbursements!$D:$D,MATCH('Live Collections'!G4380,Disbursements!$C:$C,0)),"")</f>
        <v/>
      </c>
      <c r="G4380" s="34"/>
      <c r="H4380" s="34">
        <v>6327</v>
      </c>
      <c r="I4380" s="34"/>
      <c r="J4380" s="48">
        <v>20000</v>
      </c>
      <c r="K4380" s="48">
        <v>5000</v>
      </c>
      <c r="L4380" s="48"/>
      <c r="M4380" s="48"/>
      <c r="N4380" s="59"/>
      <c r="O4380" s="59"/>
      <c r="P4380" s="59"/>
      <c r="Q4380" s="268">
        <f t="shared" si="219"/>
        <v>25000</v>
      </c>
      <c r="R4380" s="61">
        <f>IF(O4380=0,0,SUMIFS(Disbursements!$T:$T,Disbursements!$B:$B,'Live Collections'!D4380,Disbursements!$D:$D,'Live Collections'!F4380))</f>
        <v>0</v>
      </c>
      <c r="S4380" s="304">
        <f>IF(O4380&lt;=IF($O4380=0,0,SUMIFS(Disbursements!$W:$W,Disbursements!$B:$B,'Live Collections'!D4380,Disbursements!$D:$D,'Live Collections'!F4380)),O4380,IF($O4380=0,0,SUMIFS(Disbursements!$W:$W,Disbursements!$B:$B,'Live Collections'!D4380,Disbursements!$D:$D,'Live Collections'!F4380)))</f>
        <v>0</v>
      </c>
      <c r="T4380" s="304">
        <f t="shared" si="220"/>
        <v>0</v>
      </c>
      <c r="U4380" s="52"/>
      <c r="V4380" s="34"/>
      <c r="W4380" s="408"/>
    </row>
    <row r="4381" spans="1:23" ht="12.75" customHeight="1" x14ac:dyDescent="0.2">
      <c r="A4381" s="257">
        <v>4393</v>
      </c>
      <c r="B4381" s="44">
        <v>44707</v>
      </c>
      <c r="C4381" s="44">
        <f t="shared" si="212"/>
        <v>44707</v>
      </c>
      <c r="D4381" s="374">
        <v>340</v>
      </c>
      <c r="E4381" s="291" t="str">
        <f>IFERROR(VLOOKUP($D4381,'Clients-Live'!$A:$C,3,0),"")</f>
        <v>NIGHT RAIMA</v>
      </c>
      <c r="F4381" s="291">
        <f>IFERROR(INDEX(Disbursements!$D:$D,MATCH('Live Collections'!G4381,Disbursements!$C:$C,0)),"")</f>
        <v>1</v>
      </c>
      <c r="G4381" s="34">
        <v>481</v>
      </c>
      <c r="H4381" s="34">
        <v>6329</v>
      </c>
      <c r="I4381" s="34" t="s">
        <v>1358</v>
      </c>
      <c r="J4381" s="48"/>
      <c r="K4381" s="48"/>
      <c r="L4381" s="48"/>
      <c r="M4381" s="48"/>
      <c r="N4381" s="59"/>
      <c r="O4381" s="59">
        <v>40000</v>
      </c>
      <c r="P4381" s="59"/>
      <c r="Q4381" s="268">
        <f t="shared" si="219"/>
        <v>40000</v>
      </c>
      <c r="R4381" s="61">
        <f>IF(O4381=0,0,SUMIFS(Disbursements!$T:$T,Disbursements!$B:$B,'Live Collections'!D4381,Disbursements!$D:$D,'Live Collections'!F4381))</f>
        <v>40000</v>
      </c>
      <c r="S4381" s="304">
        <f>IF(O4381&lt;=IF($O4381=0,0,SUMIFS(Disbursements!$W:$W,Disbursements!$B:$B,'Live Collections'!D4381,Disbursements!$D:$D,'Live Collections'!F4381)),O4381,IF($O4381=0,0,SUMIFS(Disbursements!$W:$W,Disbursements!$B:$B,'Live Collections'!D4381,Disbursements!$D:$D,'Live Collections'!F4381)))</f>
        <v>10000</v>
      </c>
      <c r="T4381" s="304">
        <f t="shared" si="220"/>
        <v>30000</v>
      </c>
      <c r="U4381" s="52"/>
      <c r="V4381" s="34"/>
      <c r="W4381" s="408"/>
    </row>
    <row r="4382" spans="1:23" ht="12.75" customHeight="1" x14ac:dyDescent="0.2">
      <c r="A4382" s="257">
        <v>4394</v>
      </c>
      <c r="B4382" s="44">
        <v>44708</v>
      </c>
      <c r="C4382" s="44">
        <f t="shared" si="212"/>
        <v>44708</v>
      </c>
      <c r="D4382" s="374">
        <v>71</v>
      </c>
      <c r="E4382" s="291" t="str">
        <f>IFERROR(VLOOKUP($D4382,'Clients-Live'!$A:$C,3,0),"")</f>
        <v>AYIKORU HARIET BAUDI</v>
      </c>
      <c r="F4382" s="291" t="str">
        <f>IFERROR(INDEX(Disbursements!$D:$D,MATCH('Live Collections'!G4382,Disbursements!$C:$C,0)),"")</f>
        <v/>
      </c>
      <c r="G4382" s="34"/>
      <c r="H4382" s="34">
        <v>6202</v>
      </c>
      <c r="I4382" s="34" t="s">
        <v>1359</v>
      </c>
      <c r="J4382" s="48"/>
      <c r="K4382" s="48"/>
      <c r="L4382" s="48"/>
      <c r="M4382" s="48"/>
      <c r="N4382" s="59"/>
      <c r="O4382" s="59"/>
      <c r="P4382" s="59">
        <v>300000</v>
      </c>
      <c r="Q4382" s="268">
        <f t="shared" si="219"/>
        <v>300000</v>
      </c>
      <c r="R4382" s="61">
        <f>IF(O4382=0,0,SUMIFS(Disbursements!$T:$T,Disbursements!$B:$B,'Live Collections'!D4382,Disbursements!$D:$D,'Live Collections'!F4382))</f>
        <v>0</v>
      </c>
      <c r="S4382" s="304">
        <f>IF(O4382&lt;=IF($O4382=0,0,SUMIFS(Disbursements!$W:$W,Disbursements!$B:$B,'Live Collections'!D4382,Disbursements!$D:$D,'Live Collections'!F4382)),O4382,IF($O4382=0,0,SUMIFS(Disbursements!$W:$W,Disbursements!$B:$B,'Live Collections'!D4382,Disbursements!$D:$D,'Live Collections'!F4382)))</f>
        <v>0</v>
      </c>
      <c r="T4382" s="304">
        <f t="shared" si="220"/>
        <v>0</v>
      </c>
      <c r="U4382" s="52"/>
      <c r="V4382" s="34"/>
      <c r="W4382" s="408"/>
    </row>
    <row r="4383" spans="1:23" ht="12.75" customHeight="1" x14ac:dyDescent="0.2">
      <c r="A4383" s="257">
        <v>4395</v>
      </c>
      <c r="B4383" s="44">
        <v>44708</v>
      </c>
      <c r="C4383" s="44">
        <f t="shared" si="212"/>
        <v>44708</v>
      </c>
      <c r="D4383" s="374">
        <v>322</v>
      </c>
      <c r="E4383" s="291" t="str">
        <f>IFERROR(VLOOKUP($D4383,'Clients-Live'!$A:$C,3,0),"")</f>
        <v>KANA SWAIB</v>
      </c>
      <c r="F4383" s="291" t="str">
        <f>IFERROR(INDEX(Disbursements!$D:$D,MATCH('Live Collections'!G4383,Disbursements!$C:$C,0)),"")</f>
        <v/>
      </c>
      <c r="G4383" s="34"/>
      <c r="H4383" s="34">
        <v>6345</v>
      </c>
      <c r="I4383" s="34" t="s">
        <v>1357</v>
      </c>
      <c r="J4383" s="48"/>
      <c r="K4383" s="48"/>
      <c r="L4383" s="48"/>
      <c r="M4383" s="48"/>
      <c r="N4383" s="59"/>
      <c r="O4383" s="59"/>
      <c r="P4383" s="59">
        <v>60000</v>
      </c>
      <c r="Q4383" s="268">
        <f t="shared" si="219"/>
        <v>60000</v>
      </c>
      <c r="R4383" s="61">
        <f>IF(O4383=0,0,SUMIFS(Disbursements!$T:$T,Disbursements!$B:$B,'Live Collections'!D4383,Disbursements!$D:$D,'Live Collections'!F4383))</f>
        <v>0</v>
      </c>
      <c r="S4383" s="304">
        <f>IF(O4383&lt;=IF($O4383=0,0,SUMIFS(Disbursements!$W:$W,Disbursements!$B:$B,'Live Collections'!D4383,Disbursements!$D:$D,'Live Collections'!F4383)),O4383,IF($O4383=0,0,SUMIFS(Disbursements!$W:$W,Disbursements!$B:$B,'Live Collections'!D4383,Disbursements!$D:$D,'Live Collections'!F4383)))</f>
        <v>0</v>
      </c>
      <c r="T4383" s="304">
        <f t="shared" si="220"/>
        <v>0</v>
      </c>
      <c r="U4383" s="52"/>
      <c r="V4383" s="34"/>
      <c r="W4383" s="408"/>
    </row>
    <row r="4384" spans="1:23" ht="12.75" customHeight="1" x14ac:dyDescent="0.2">
      <c r="A4384" s="257">
        <v>4396</v>
      </c>
      <c r="B4384" s="44">
        <v>44708</v>
      </c>
      <c r="C4384" s="44">
        <f t="shared" si="212"/>
        <v>44708</v>
      </c>
      <c r="D4384" s="374">
        <v>229</v>
      </c>
      <c r="E4384" s="291" t="str">
        <f>IFERROR(VLOOKUP($D4384,'Clients-Live'!$A:$C,3,0),"")</f>
        <v>DAWA ANNET</v>
      </c>
      <c r="F4384" s="291" t="str">
        <f>IFERROR(INDEX(Disbursements!$D:$D,MATCH('Live Collections'!G4384,Disbursements!$C:$C,0)),"")</f>
        <v/>
      </c>
      <c r="G4384" s="34"/>
      <c r="H4384" s="34">
        <v>6205</v>
      </c>
      <c r="I4384" s="34" t="s">
        <v>1357</v>
      </c>
      <c r="J4384" s="48"/>
      <c r="K4384" s="48"/>
      <c r="L4384" s="48"/>
      <c r="M4384" s="48"/>
      <c r="N4384" s="59"/>
      <c r="O4384" s="59"/>
      <c r="P4384" s="59">
        <v>150000</v>
      </c>
      <c r="Q4384" s="268">
        <f t="shared" si="219"/>
        <v>150000</v>
      </c>
      <c r="R4384" s="61">
        <f>IF(O4384=0,0,SUMIFS(Disbursements!$T:$T,Disbursements!$B:$B,'Live Collections'!D4384,Disbursements!$D:$D,'Live Collections'!F4384))</f>
        <v>0</v>
      </c>
      <c r="S4384" s="304">
        <f>IF(O4384&lt;=IF($O4384=0,0,SUMIFS(Disbursements!$W:$W,Disbursements!$B:$B,'Live Collections'!D4384,Disbursements!$D:$D,'Live Collections'!F4384)),O4384,IF($O4384=0,0,SUMIFS(Disbursements!$W:$W,Disbursements!$B:$B,'Live Collections'!D4384,Disbursements!$D:$D,'Live Collections'!F4384)))</f>
        <v>0</v>
      </c>
      <c r="T4384" s="304">
        <f t="shared" si="220"/>
        <v>0</v>
      </c>
      <c r="U4384" s="52"/>
      <c r="V4384" s="34"/>
      <c r="W4384" s="408"/>
    </row>
    <row r="4385" spans="1:23" ht="12.75" customHeight="1" x14ac:dyDescent="0.2">
      <c r="A4385" s="257">
        <v>4397</v>
      </c>
      <c r="B4385" s="44">
        <v>44708</v>
      </c>
      <c r="C4385" s="44">
        <f t="shared" si="212"/>
        <v>44708</v>
      </c>
      <c r="D4385" s="374">
        <v>330</v>
      </c>
      <c r="E4385" s="291" t="str">
        <f>IFERROR(VLOOKUP($D4385,'Clients-Live'!$A:$C,3,0),"")</f>
        <v>BACIA AISHA</v>
      </c>
      <c r="F4385" s="291" t="str">
        <f>IFERROR(INDEX(Disbursements!$D:$D,MATCH('Live Collections'!G4385,Disbursements!$C:$C,0)),"")</f>
        <v/>
      </c>
      <c r="G4385" s="34"/>
      <c r="H4385" s="34">
        <v>6349</v>
      </c>
      <c r="I4385" s="34" t="s">
        <v>1357</v>
      </c>
      <c r="J4385" s="48"/>
      <c r="K4385" s="48"/>
      <c r="L4385" s="48"/>
      <c r="M4385" s="48"/>
      <c r="N4385" s="59"/>
      <c r="O4385" s="59"/>
      <c r="P4385" s="59">
        <v>60000</v>
      </c>
      <c r="Q4385" s="268">
        <f t="shared" si="219"/>
        <v>60000</v>
      </c>
      <c r="R4385" s="61">
        <f>IF(O4385=0,0,SUMIFS(Disbursements!$T:$T,Disbursements!$B:$B,'Live Collections'!D4385,Disbursements!$D:$D,'Live Collections'!F4385))</f>
        <v>0</v>
      </c>
      <c r="S4385" s="304">
        <f>IF(O4385&lt;=IF($O4385=0,0,SUMIFS(Disbursements!$W:$W,Disbursements!$B:$B,'Live Collections'!D4385,Disbursements!$D:$D,'Live Collections'!F4385)),O4385,IF($O4385=0,0,SUMIFS(Disbursements!$W:$W,Disbursements!$B:$B,'Live Collections'!D4385,Disbursements!$D:$D,'Live Collections'!F4385)))</f>
        <v>0</v>
      </c>
      <c r="T4385" s="304">
        <f t="shared" si="220"/>
        <v>0</v>
      </c>
      <c r="U4385" s="52"/>
      <c r="V4385" s="34"/>
      <c r="W4385" s="408"/>
    </row>
    <row r="4386" spans="1:23" ht="12.75" customHeight="1" x14ac:dyDescent="0.2">
      <c r="A4386" s="257">
        <v>4398</v>
      </c>
      <c r="B4386" s="44">
        <v>44708</v>
      </c>
      <c r="C4386" s="44">
        <f t="shared" si="212"/>
        <v>44708</v>
      </c>
      <c r="D4386" s="374">
        <v>345</v>
      </c>
      <c r="E4386" s="291" t="str">
        <f>IFERROR(VLOOKUP($D4386,'Clients-Live'!$A:$C,3,0),"")</f>
        <v>MENGE ABDURAHAMAN RATIB</v>
      </c>
      <c r="F4386" s="291" t="str">
        <f>IFERROR(INDEX(Disbursements!$D:$D,MATCH('Live Collections'!G4386,Disbursements!$C:$C,0)),"")</f>
        <v/>
      </c>
      <c r="G4386" s="34"/>
      <c r="H4386" s="34">
        <v>6344</v>
      </c>
      <c r="I4386" s="34" t="s">
        <v>1357</v>
      </c>
      <c r="J4386" s="48"/>
      <c r="K4386" s="48"/>
      <c r="L4386" s="48"/>
      <c r="M4386" s="48"/>
      <c r="N4386" s="59"/>
      <c r="O4386" s="59"/>
      <c r="P4386" s="59">
        <v>50000</v>
      </c>
      <c r="Q4386" s="268">
        <f t="shared" si="219"/>
        <v>50000</v>
      </c>
      <c r="R4386" s="61">
        <f>IF(O4386=0,0,SUMIFS(Disbursements!$T:$T,Disbursements!$B:$B,'Live Collections'!D4386,Disbursements!$D:$D,'Live Collections'!F4386))</f>
        <v>0</v>
      </c>
      <c r="S4386" s="304">
        <f>IF(O4386&lt;=IF($O4386=0,0,SUMIFS(Disbursements!$W:$W,Disbursements!$B:$B,'Live Collections'!D4386,Disbursements!$D:$D,'Live Collections'!F4386)),O4386,IF($O4386=0,0,SUMIFS(Disbursements!$W:$W,Disbursements!$B:$B,'Live Collections'!D4386,Disbursements!$D:$D,'Live Collections'!F4386)))</f>
        <v>0</v>
      </c>
      <c r="T4386" s="304">
        <f t="shared" si="220"/>
        <v>0</v>
      </c>
      <c r="U4386" s="52"/>
      <c r="V4386" s="34"/>
      <c r="W4386" s="408"/>
    </row>
    <row r="4387" spans="1:23" ht="12.75" customHeight="1" x14ac:dyDescent="0.2">
      <c r="A4387" s="257">
        <v>4399</v>
      </c>
      <c r="B4387" s="44">
        <v>44708</v>
      </c>
      <c r="C4387" s="44">
        <f t="shared" si="212"/>
        <v>44708</v>
      </c>
      <c r="D4387" s="374">
        <v>85</v>
      </c>
      <c r="E4387" s="291" t="str">
        <f>IFERROR(VLOOKUP($D4387,'Clients-Live'!$A:$C,3,0),"")</f>
        <v>CEASER SWALEH</v>
      </c>
      <c r="F4387" s="291" t="str">
        <f>IFERROR(INDEX(Disbursements!$D:$D,MATCH('Live Collections'!G4387,Disbursements!$C:$C,0)),"")</f>
        <v/>
      </c>
      <c r="G4387" s="34"/>
      <c r="H4387" s="34">
        <v>6339</v>
      </c>
      <c r="I4387" s="34" t="s">
        <v>1357</v>
      </c>
      <c r="J4387" s="48"/>
      <c r="K4387" s="48"/>
      <c r="L4387" s="48"/>
      <c r="M4387" s="48"/>
      <c r="N4387" s="59"/>
      <c r="O4387" s="59">
        <v>40000</v>
      </c>
      <c r="P4387" s="59"/>
      <c r="Q4387" s="268">
        <f t="shared" si="219"/>
        <v>40000</v>
      </c>
      <c r="R4387" s="61">
        <f>IF(O4387=0,0,SUMIFS(Disbursements!$T:$T,Disbursements!$B:$B,'Live Collections'!D4387,Disbursements!$D:$D,'Live Collections'!F4387))</f>
        <v>0</v>
      </c>
      <c r="S4387" s="304">
        <f>IF(O4387&lt;=IF($O4387=0,0,SUMIFS(Disbursements!$W:$W,Disbursements!$B:$B,'Live Collections'!D4387,Disbursements!$D:$D,'Live Collections'!F4387)),O4387,IF($O4387=0,0,SUMIFS(Disbursements!$W:$W,Disbursements!$B:$B,'Live Collections'!D4387,Disbursements!$D:$D,'Live Collections'!F4387)))</f>
        <v>0</v>
      </c>
      <c r="T4387" s="304">
        <f t="shared" si="220"/>
        <v>40000</v>
      </c>
      <c r="U4387" s="52"/>
      <c r="V4387" s="34"/>
      <c r="W4387" s="408"/>
    </row>
    <row r="4388" spans="1:23" ht="12.75" customHeight="1" x14ac:dyDescent="0.2">
      <c r="A4388" s="257">
        <v>4400</v>
      </c>
      <c r="B4388" s="44">
        <v>44708</v>
      </c>
      <c r="C4388" s="44">
        <f t="shared" si="212"/>
        <v>44708</v>
      </c>
      <c r="D4388" s="374">
        <v>128</v>
      </c>
      <c r="E4388" s="291" t="str">
        <f>IFERROR(VLOOKUP($D4388,'Clients-Live'!$A:$C,3,0),"")</f>
        <v>AJONYE BETTY</v>
      </c>
      <c r="F4388" s="291" t="str">
        <f>IFERROR(INDEX(Disbursements!$D:$D,MATCH('Live Collections'!G4388,Disbursements!$C:$C,0)),"")</f>
        <v/>
      </c>
      <c r="G4388" s="34"/>
      <c r="H4388" s="34">
        <v>6338</v>
      </c>
      <c r="I4388" s="34" t="s">
        <v>1359</v>
      </c>
      <c r="J4388" s="48"/>
      <c r="K4388" s="48">
        <v>5000</v>
      </c>
      <c r="L4388" s="48"/>
      <c r="M4388" s="48"/>
      <c r="N4388" s="59"/>
      <c r="O4388" s="59"/>
      <c r="P4388" s="59"/>
      <c r="Q4388" s="268">
        <f t="shared" si="219"/>
        <v>5000</v>
      </c>
      <c r="R4388" s="61">
        <f>IF(O4388=0,0,SUMIFS(Disbursements!$T:$T,Disbursements!$B:$B,'Live Collections'!D4388,Disbursements!$D:$D,'Live Collections'!F4388))</f>
        <v>0</v>
      </c>
      <c r="S4388" s="304">
        <f>IF(O4388&lt;=IF($O4388=0,0,SUMIFS(Disbursements!$W:$W,Disbursements!$B:$B,'Live Collections'!D4388,Disbursements!$D:$D,'Live Collections'!F4388)),O4388,IF($O4388=0,0,SUMIFS(Disbursements!$W:$W,Disbursements!$B:$B,'Live Collections'!D4388,Disbursements!$D:$D,'Live Collections'!F4388)))</f>
        <v>0</v>
      </c>
      <c r="T4388" s="304">
        <f t="shared" si="220"/>
        <v>0</v>
      </c>
      <c r="U4388" s="52"/>
      <c r="V4388" s="34"/>
      <c r="W4388" s="408"/>
    </row>
    <row r="4389" spans="1:23" ht="12.75" customHeight="1" x14ac:dyDescent="0.2">
      <c r="A4389" s="257">
        <v>4401</v>
      </c>
      <c r="B4389" s="44">
        <v>44708</v>
      </c>
      <c r="C4389" s="44">
        <f t="shared" si="212"/>
        <v>44708</v>
      </c>
      <c r="D4389" s="374">
        <v>128</v>
      </c>
      <c r="E4389" s="291" t="str">
        <f>IFERROR(VLOOKUP($D4389,'Clients-Live'!$A:$C,3,0),"")</f>
        <v>AJONYE BETTY</v>
      </c>
      <c r="F4389" s="291">
        <f>IFERROR(INDEX(Disbursements!$D:$D,MATCH('Live Collections'!G4389,Disbursements!$C:$C,0)),"")</f>
        <v>3</v>
      </c>
      <c r="G4389" s="34">
        <v>463</v>
      </c>
      <c r="H4389" s="34">
        <v>6337</v>
      </c>
      <c r="I4389" s="34" t="s">
        <v>1359</v>
      </c>
      <c r="J4389" s="48"/>
      <c r="K4389" s="48"/>
      <c r="L4389" s="48"/>
      <c r="M4389" s="48"/>
      <c r="N4389" s="59"/>
      <c r="O4389" s="59">
        <v>20000</v>
      </c>
      <c r="P4389" s="59"/>
      <c r="Q4389" s="268">
        <f t="shared" si="219"/>
        <v>20000</v>
      </c>
      <c r="R4389" s="61">
        <f>IF(O4389=0,0,SUMIFS(Disbursements!$T:$T,Disbursements!$B:$B,'Live Collections'!D4389,Disbursements!$D:$D,'Live Collections'!F4389))</f>
        <v>25000</v>
      </c>
      <c r="S4389" s="304">
        <f>IF(O4389&lt;=IF($O4389=0,0,SUMIFS(Disbursements!$W:$W,Disbursements!$B:$B,'Live Collections'!D4389,Disbursements!$D:$D,'Live Collections'!F4389)),O4389,IF($O4389=0,0,SUMIFS(Disbursements!$W:$W,Disbursements!$B:$B,'Live Collections'!D4389,Disbursements!$D:$D,'Live Collections'!F4389)))</f>
        <v>4166.6666666666679</v>
      </c>
      <c r="T4389" s="304">
        <f t="shared" si="220"/>
        <v>15833.333333333332</v>
      </c>
      <c r="U4389" s="52"/>
      <c r="V4389" s="34"/>
      <c r="W4389" s="408"/>
    </row>
    <row r="4390" spans="1:23" ht="12.75" customHeight="1" x14ac:dyDescent="0.2">
      <c r="A4390" s="257">
        <v>4402</v>
      </c>
      <c r="B4390" s="44">
        <v>44708</v>
      </c>
      <c r="C4390" s="44">
        <f t="shared" si="212"/>
        <v>44708</v>
      </c>
      <c r="D4390" s="374">
        <v>98</v>
      </c>
      <c r="E4390" s="291" t="str">
        <f>IFERROR(VLOOKUP($D4390,'Clients-Live'!$A:$C,3,0),"")</f>
        <v>AMANIYO CLARA</v>
      </c>
      <c r="F4390" s="291">
        <f>IFERROR(INDEX(Disbursements!$D:$D,MATCH('Live Collections'!G4390,Disbursements!$C:$C,0)),"")</f>
        <v>2</v>
      </c>
      <c r="G4390" s="34">
        <v>232</v>
      </c>
      <c r="H4390" s="34">
        <v>6343</v>
      </c>
      <c r="I4390" s="34" t="s">
        <v>1357</v>
      </c>
      <c r="J4390" s="48"/>
      <c r="K4390" s="48"/>
      <c r="L4390" s="48"/>
      <c r="M4390" s="48"/>
      <c r="N4390" s="59"/>
      <c r="O4390" s="59">
        <v>50000</v>
      </c>
      <c r="P4390" s="59"/>
      <c r="Q4390" s="268">
        <f t="shared" si="219"/>
        <v>50000</v>
      </c>
      <c r="R4390" s="61">
        <f>IF(O4390=0,0,SUMIFS(Disbursements!$T:$T,Disbursements!$B:$B,'Live Collections'!D4390,Disbursements!$D:$D,'Live Collections'!F4390))</f>
        <v>175000</v>
      </c>
      <c r="S4390" s="304"/>
      <c r="T4390" s="304">
        <f t="shared" si="220"/>
        <v>50000</v>
      </c>
      <c r="U4390" s="52"/>
      <c r="V4390" s="34"/>
      <c r="W4390" s="408"/>
    </row>
    <row r="4391" spans="1:23" ht="12.75" customHeight="1" x14ac:dyDescent="0.2">
      <c r="A4391" s="257">
        <v>4403</v>
      </c>
      <c r="B4391" s="44">
        <v>44708</v>
      </c>
      <c r="C4391" s="44">
        <f t="shared" si="212"/>
        <v>44708</v>
      </c>
      <c r="D4391" s="374">
        <v>335</v>
      </c>
      <c r="E4391" s="291" t="str">
        <f>IFERROR(VLOOKUP($D4391,'Clients-Live'!$A:$C,3,0),"")</f>
        <v>FOGO FRANCIS DRANI</v>
      </c>
      <c r="F4391" s="291">
        <f>IFERROR(INDEX(Disbursements!$D:$D,MATCH('Live Collections'!G4391,Disbursements!$C:$C,0)),"")</f>
        <v>1</v>
      </c>
      <c r="G4391" s="34">
        <v>467</v>
      </c>
      <c r="H4391" s="34">
        <v>6340</v>
      </c>
      <c r="I4391" s="34" t="s">
        <v>1357</v>
      </c>
      <c r="J4391" s="48"/>
      <c r="K4391" s="48"/>
      <c r="L4391" s="48"/>
      <c r="M4391" s="48"/>
      <c r="N4391" s="59"/>
      <c r="O4391" s="59">
        <v>300000</v>
      </c>
      <c r="P4391" s="59"/>
      <c r="Q4391" s="268">
        <f t="shared" si="219"/>
        <v>300000</v>
      </c>
      <c r="R4391" s="61">
        <f>IF(O4391=0,0,SUMIFS(Disbursements!$T:$T,Disbursements!$B:$B,'Live Collections'!D4391,Disbursements!$D:$D,'Live Collections'!F4391))</f>
        <v>613000</v>
      </c>
      <c r="S4391" s="304"/>
      <c r="T4391" s="304">
        <f t="shared" si="220"/>
        <v>300000</v>
      </c>
      <c r="U4391" s="52"/>
      <c r="V4391" s="34"/>
      <c r="W4391" s="408"/>
    </row>
    <row r="4392" spans="1:23" ht="12.75" customHeight="1" x14ac:dyDescent="0.2">
      <c r="A4392" s="257">
        <v>4404</v>
      </c>
      <c r="B4392" s="44">
        <v>44708</v>
      </c>
      <c r="C4392" s="44">
        <f t="shared" si="212"/>
        <v>44708</v>
      </c>
      <c r="D4392" s="374">
        <v>183</v>
      </c>
      <c r="E4392" s="291" t="str">
        <f>IFERROR(VLOOKUP($D4392,'Clients-Live'!$A:$C,3,0),"")</f>
        <v>NIGHT AMINA HUSSEIN</v>
      </c>
      <c r="F4392" s="291">
        <f>IFERROR(INDEX(Disbursements!$D:$D,MATCH('Live Collections'!G4392,Disbursements!$C:$C,0)),"")</f>
        <v>2</v>
      </c>
      <c r="G4392" s="34">
        <v>440</v>
      </c>
      <c r="H4392" s="34" t="s">
        <v>2491</v>
      </c>
      <c r="I4392" s="34" t="s">
        <v>1359</v>
      </c>
      <c r="J4392" s="48"/>
      <c r="K4392" s="48"/>
      <c r="L4392" s="48"/>
      <c r="M4392" s="48"/>
      <c r="N4392" s="59"/>
      <c r="O4392" s="59">
        <v>40000</v>
      </c>
      <c r="P4392" s="59">
        <v>-40000</v>
      </c>
      <c r="Q4392" s="268">
        <f t="shared" si="219"/>
        <v>0</v>
      </c>
      <c r="R4392" s="61">
        <f>IF(O4392=0,0,SUMIFS(Disbursements!$T:$T,Disbursements!$B:$B,'Live Collections'!D4392,Disbursements!$D:$D,'Live Collections'!F4392))</f>
        <v>40000</v>
      </c>
      <c r="S4392" s="304">
        <f>IF(O4392&lt;=IF($O4392=0,0,SUMIFS(Disbursements!$W:$W,Disbursements!$B:$B,'Live Collections'!D4392,Disbursements!$D:$D,'Live Collections'!F4392)),O4392,IF($O4392=0,0,SUMIFS(Disbursements!$W:$W,Disbursements!$B:$B,'Live Collections'!D4392,Disbursements!$D:$D,'Live Collections'!F4392)))</f>
        <v>6666.6666666666642</v>
      </c>
      <c r="T4392" s="304">
        <f t="shared" si="220"/>
        <v>33333.333333333336</v>
      </c>
      <c r="U4392" s="52"/>
      <c r="V4392" s="34"/>
      <c r="W4392" s="408"/>
    </row>
    <row r="4393" spans="1:23" ht="12.75" customHeight="1" x14ac:dyDescent="0.2">
      <c r="A4393" s="257">
        <v>4405</v>
      </c>
      <c r="B4393" s="44">
        <v>44708</v>
      </c>
      <c r="C4393" s="44">
        <f t="shared" si="212"/>
        <v>44708</v>
      </c>
      <c r="D4393" s="374">
        <v>183</v>
      </c>
      <c r="E4393" s="291" t="str">
        <f>IFERROR(VLOOKUP($D4393,'Clients-Live'!$A:$C,3,0),"")</f>
        <v>NIGHT AMINA HUSSEIN</v>
      </c>
      <c r="F4393" s="291">
        <f>IFERROR(INDEX(Disbursements!$D:$D,MATCH('Live Collections'!G4393,Disbursements!$C:$C,0)),"")</f>
        <v>2</v>
      </c>
      <c r="G4393" s="34">
        <v>440</v>
      </c>
      <c r="H4393" s="34">
        <v>6341</v>
      </c>
      <c r="I4393" s="34" t="s">
        <v>1359</v>
      </c>
      <c r="J4393" s="48"/>
      <c r="K4393" s="48"/>
      <c r="L4393" s="48"/>
      <c r="M4393" s="48"/>
      <c r="N4393" s="59"/>
      <c r="O4393" s="59">
        <v>198000</v>
      </c>
      <c r="P4393" s="59"/>
      <c r="Q4393" s="268">
        <f t="shared" si="219"/>
        <v>198000</v>
      </c>
      <c r="R4393" s="61">
        <f>IF(O4393=0,0,SUMIFS(Disbursements!$T:$T,Disbursements!$B:$B,'Live Collections'!D4393,Disbursements!$D:$D,'Live Collections'!F4393))</f>
        <v>40000</v>
      </c>
      <c r="S4393" s="304">
        <v>66666.666666666642</v>
      </c>
      <c r="T4393" s="304">
        <v>133333.33333333331</v>
      </c>
      <c r="U4393" s="52"/>
      <c r="V4393" s="34"/>
      <c r="W4393" s="408"/>
    </row>
    <row r="4394" spans="1:23" ht="12.75" customHeight="1" x14ac:dyDescent="0.2">
      <c r="A4394" s="257">
        <v>4406</v>
      </c>
      <c r="B4394" s="44">
        <v>44708</v>
      </c>
      <c r="C4394" s="44">
        <f t="shared" si="212"/>
        <v>44708</v>
      </c>
      <c r="D4394" s="374">
        <v>137</v>
      </c>
      <c r="E4394" s="291" t="str">
        <f>IFERROR(VLOOKUP($D4394,'Clients-Live'!$A:$C,3,0),"")</f>
        <v>YAKANI CHARLES</v>
      </c>
      <c r="F4394" s="291">
        <f>IFERROR(INDEX(Disbursements!$D:$D,MATCH('Live Collections'!G4394,Disbursements!$C:$C,0)),"")</f>
        <v>3</v>
      </c>
      <c r="G4394" s="34">
        <v>408</v>
      </c>
      <c r="H4394" s="34">
        <v>6336</v>
      </c>
      <c r="I4394" s="34" t="s">
        <v>1359</v>
      </c>
      <c r="J4394" s="48"/>
      <c r="K4394" s="48"/>
      <c r="L4394" s="48"/>
      <c r="M4394" s="48"/>
      <c r="N4394" s="59"/>
      <c r="O4394" s="59">
        <v>500000</v>
      </c>
      <c r="P4394" s="59"/>
      <c r="Q4394" s="268">
        <f t="shared" si="219"/>
        <v>500000</v>
      </c>
      <c r="R4394" s="61">
        <f>IF(O4394=0,0,SUMIFS(Disbursements!$T:$T,Disbursements!$B:$B,'Live Collections'!D4394,Disbursements!$D:$D,'Live Collections'!F4394))</f>
        <v>106000</v>
      </c>
      <c r="S4394" s="304">
        <f>IF(O4394&lt;=IF($O4394=0,0,SUMIFS(Disbursements!$W:$W,Disbursements!$B:$B,'Live Collections'!D4394,Disbursements!$D:$D,'Live Collections'!F4394)),O4394,IF($O4394=0,0,SUMIFS(Disbursements!$W:$W,Disbursements!$B:$B,'Live Collections'!D4394,Disbursements!$D:$D,'Live Collections'!F4394)))</f>
        <v>26000</v>
      </c>
      <c r="T4394" s="304">
        <f t="shared" si="220"/>
        <v>474000</v>
      </c>
      <c r="U4394" s="52"/>
      <c r="V4394" s="34"/>
      <c r="W4394" s="408"/>
    </row>
    <row r="4395" spans="1:23" ht="12.75" customHeight="1" x14ac:dyDescent="0.2">
      <c r="A4395" s="257">
        <v>4407</v>
      </c>
      <c r="B4395" s="44">
        <v>44708</v>
      </c>
      <c r="C4395" s="44">
        <f t="shared" si="212"/>
        <v>44708</v>
      </c>
      <c r="D4395" s="374">
        <v>241</v>
      </c>
      <c r="E4395" s="291" t="str">
        <f>IFERROR(VLOOKUP($D4395,'Clients-Live'!$A:$C,3,0),"")</f>
        <v>SIRIKA FARIDA</v>
      </c>
      <c r="F4395" s="291">
        <f>IFERROR(INDEX(Disbursements!$D:$D,MATCH('Live Collections'!G4395,Disbursements!$C:$C,0)),"")</f>
        <v>1</v>
      </c>
      <c r="G4395" s="34">
        <v>282</v>
      </c>
      <c r="H4395" s="34">
        <v>6335</v>
      </c>
      <c r="I4395" s="34" t="s">
        <v>1359</v>
      </c>
      <c r="J4395" s="48"/>
      <c r="K4395" s="48"/>
      <c r="L4395" s="48"/>
      <c r="M4395" s="48"/>
      <c r="N4395" s="59"/>
      <c r="O4395" s="59">
        <v>50000</v>
      </c>
      <c r="P4395" s="59"/>
      <c r="Q4395" s="268">
        <f t="shared" si="219"/>
        <v>50000</v>
      </c>
      <c r="R4395" s="61">
        <f>IF(O4395=0,0,SUMIFS(Disbursements!$T:$T,Disbursements!$B:$B,'Live Collections'!D4395,Disbursements!$D:$D,'Live Collections'!F4395))</f>
        <v>125000</v>
      </c>
      <c r="S4395" s="304"/>
      <c r="T4395" s="304">
        <f t="shared" si="220"/>
        <v>50000</v>
      </c>
      <c r="U4395" s="52"/>
      <c r="V4395" s="34"/>
      <c r="W4395" s="408"/>
    </row>
    <row r="4396" spans="1:23" ht="12.75" customHeight="1" x14ac:dyDescent="0.2">
      <c r="A4396" s="257">
        <v>4408</v>
      </c>
      <c r="B4396" s="44">
        <v>44709</v>
      </c>
      <c r="C4396" s="44">
        <f t="shared" si="212"/>
        <v>44709</v>
      </c>
      <c r="D4396" s="374">
        <v>90</v>
      </c>
      <c r="E4396" s="291" t="str">
        <f>IFERROR(VLOOKUP($D4396,'Clients-Live'!$A:$C,3,0),"")</f>
        <v>ZABIBU RAJAB SAIDI</v>
      </c>
      <c r="F4396" s="291">
        <f>IFERROR(INDEX(Disbursements!$D:$D,MATCH('Live Collections'!G4396,Disbursements!$C:$C,0)),"")</f>
        <v>2</v>
      </c>
      <c r="G4396" s="34">
        <v>316</v>
      </c>
      <c r="H4396" s="34">
        <v>6212</v>
      </c>
      <c r="I4396" s="34" t="s">
        <v>1358</v>
      </c>
      <c r="J4396" s="48"/>
      <c r="K4396" s="48"/>
      <c r="L4396" s="48"/>
      <c r="M4396" s="48"/>
      <c r="N4396" s="59"/>
      <c r="O4396" s="59">
        <v>100000</v>
      </c>
      <c r="P4396" s="59"/>
      <c r="Q4396" s="268">
        <f t="shared" si="219"/>
        <v>100000</v>
      </c>
      <c r="R4396" s="61">
        <f>IF(O4396=0,0,SUMIFS(Disbursements!$T:$T,Disbursements!$B:$B,'Live Collections'!D4396,Disbursements!$D:$D,'Live Collections'!F4396))</f>
        <v>217000</v>
      </c>
      <c r="S4396" s="304"/>
      <c r="T4396" s="304">
        <f t="shared" si="220"/>
        <v>100000</v>
      </c>
      <c r="U4396" s="52"/>
      <c r="V4396" s="34"/>
      <c r="W4396" s="408"/>
    </row>
    <row r="4397" spans="1:23" ht="12.75" customHeight="1" x14ac:dyDescent="0.2">
      <c r="A4397" s="257">
        <v>4409</v>
      </c>
      <c r="B4397" s="44">
        <v>44709</v>
      </c>
      <c r="C4397" s="44">
        <f t="shared" si="212"/>
        <v>44709</v>
      </c>
      <c r="D4397" s="374">
        <v>73</v>
      </c>
      <c r="E4397" s="291" t="str">
        <f>IFERROR(VLOOKUP($D4397,'Clients-Live'!$A:$C,3,0),"")</f>
        <v>AJONYE DEBORA</v>
      </c>
      <c r="F4397" s="291">
        <f>IFERROR(INDEX(Disbursements!$D:$D,MATCH('Live Collections'!G4397,Disbursements!$C:$C,0)),"")</f>
        <v>1</v>
      </c>
      <c r="G4397" s="34">
        <v>73</v>
      </c>
      <c r="H4397" s="34">
        <v>6351</v>
      </c>
      <c r="I4397" s="34" t="s">
        <v>1357</v>
      </c>
      <c r="J4397" s="48"/>
      <c r="K4397" s="48"/>
      <c r="L4397" s="48"/>
      <c r="M4397" s="48"/>
      <c r="N4397" s="59"/>
      <c r="O4397" s="59">
        <v>53000</v>
      </c>
      <c r="P4397" s="59"/>
      <c r="Q4397" s="268">
        <f t="shared" si="219"/>
        <v>53000</v>
      </c>
      <c r="R4397" s="61">
        <f>IF(O4397=0,0,SUMIFS(Disbursements!$T:$T,Disbursements!$B:$B,'Live Collections'!D4397,Disbursements!$D:$D,'Live Collections'!F4397))</f>
        <v>150000</v>
      </c>
      <c r="S4397" s="304">
        <f>IF(O4397&lt;=IF($O4397=0,0,SUMIFS(Disbursements!$W:$W,Disbursements!$B:$B,'Live Collections'!D4397,Disbursements!$D:$D,'Live Collections'!F4397)),O4397,IF($O4397=0,0,SUMIFS(Disbursements!$W:$W,Disbursements!$B:$B,'Live Collections'!D4397,Disbursements!$D:$D,'Live Collections'!F4397)))</f>
        <v>25000</v>
      </c>
      <c r="T4397" s="304">
        <f t="shared" si="220"/>
        <v>28000</v>
      </c>
      <c r="U4397" s="52"/>
      <c r="V4397" s="34"/>
      <c r="W4397" s="408"/>
    </row>
    <row r="4398" spans="1:23" ht="12.75" customHeight="1" x14ac:dyDescent="0.2">
      <c r="A4398" s="257">
        <v>4410</v>
      </c>
      <c r="B4398" s="44">
        <v>44709</v>
      </c>
      <c r="C4398" s="44">
        <f t="shared" si="212"/>
        <v>44709</v>
      </c>
      <c r="D4398" s="374">
        <v>235</v>
      </c>
      <c r="E4398" s="291" t="str">
        <f>IFERROR(VLOOKUP($D4398,'Clients-Live'!$A:$C,3,0),"")</f>
        <v>AMULE ISAAC</v>
      </c>
      <c r="F4398" s="291">
        <f>IFERROR(INDEX(Disbursements!$D:$D,MATCH('Live Collections'!G4398,Disbursements!$C:$C,0)),"")</f>
        <v>3</v>
      </c>
      <c r="G4398" s="34">
        <v>478</v>
      </c>
      <c r="H4398" s="34">
        <v>6211</v>
      </c>
      <c r="I4398" s="34" t="s">
        <v>1358</v>
      </c>
      <c r="J4398" s="48"/>
      <c r="K4398" s="48"/>
      <c r="L4398" s="48"/>
      <c r="M4398" s="48"/>
      <c r="N4398" s="59"/>
      <c r="O4398" s="59">
        <v>500000</v>
      </c>
      <c r="P4398" s="59"/>
      <c r="Q4398" s="268">
        <f t="shared" si="219"/>
        <v>500000</v>
      </c>
      <c r="R4398" s="61">
        <f>IF(O4398=0,0,SUMIFS(Disbursements!$T:$T,Disbursements!$B:$B,'Live Collections'!D4398,Disbursements!$D:$D,'Live Collections'!F4398))</f>
        <v>690000</v>
      </c>
      <c r="S4398" s="304">
        <f>IF(O4398&lt;=IF($O4398=0,0,SUMIFS(Disbursements!$W:$W,Disbursements!$B:$B,'Live Collections'!D4398,Disbursements!$D:$D,'Live Collections'!F4398)),O4398,IF($O4398=0,0,SUMIFS(Disbursements!$W:$W,Disbursements!$B:$B,'Live Collections'!D4398,Disbursements!$D:$D,'Live Collections'!F4398)))</f>
        <v>90000</v>
      </c>
      <c r="T4398" s="304">
        <f t="shared" si="220"/>
        <v>410000</v>
      </c>
      <c r="U4398" s="52"/>
      <c r="V4398" s="34"/>
      <c r="W4398" s="408"/>
    </row>
    <row r="4399" spans="1:23" ht="12.75" customHeight="1" x14ac:dyDescent="0.2">
      <c r="A4399" s="257">
        <v>4411</v>
      </c>
      <c r="B4399" s="44">
        <v>44709</v>
      </c>
      <c r="C4399" s="44">
        <f t="shared" si="212"/>
        <v>44709</v>
      </c>
      <c r="D4399" s="374">
        <v>210</v>
      </c>
      <c r="E4399" s="291" t="str">
        <f>IFERROR(VLOOKUP($D4399,'Clients-Live'!$A:$C,3,0),"")</f>
        <v>ADRILI ZAHARA</v>
      </c>
      <c r="F4399" s="291" t="str">
        <f>IFERROR(INDEX(Disbursements!$D:$D,MATCH('Live Collections'!G4399,Disbursements!$C:$C,0)),"")</f>
        <v/>
      </c>
      <c r="G4399" s="34"/>
      <c r="H4399" s="34">
        <v>6203</v>
      </c>
      <c r="I4399" s="34" t="s">
        <v>1357</v>
      </c>
      <c r="J4399" s="48"/>
      <c r="K4399" s="48"/>
      <c r="L4399" s="48"/>
      <c r="M4399" s="48"/>
      <c r="N4399" s="59"/>
      <c r="O4399" s="59"/>
      <c r="P4399" s="59">
        <v>60000</v>
      </c>
      <c r="Q4399" s="268">
        <f t="shared" si="219"/>
        <v>60000</v>
      </c>
      <c r="R4399" s="61">
        <f>IF(O4399=0,0,SUMIFS(Disbursements!$T:$T,Disbursements!$B:$B,'Live Collections'!D4399,Disbursements!$D:$D,'Live Collections'!F4399))</f>
        <v>0</v>
      </c>
      <c r="S4399" s="304">
        <f>IF(O4399&lt;=IF($O4399=0,0,SUMIFS(Disbursements!$W:$W,Disbursements!$B:$B,'Live Collections'!D4399,Disbursements!$D:$D,'Live Collections'!F4399)),O4399,IF($O4399=0,0,SUMIFS(Disbursements!$W:$W,Disbursements!$B:$B,'Live Collections'!D4399,Disbursements!$D:$D,'Live Collections'!F4399)))</f>
        <v>0</v>
      </c>
      <c r="T4399" s="304">
        <f t="shared" si="220"/>
        <v>0</v>
      </c>
      <c r="U4399" s="52"/>
      <c r="V4399" s="34"/>
      <c r="W4399" s="408"/>
    </row>
    <row r="4400" spans="1:23" ht="12.75" customHeight="1" x14ac:dyDescent="0.2">
      <c r="A4400" s="257">
        <v>4412</v>
      </c>
      <c r="B4400" s="44">
        <v>44709</v>
      </c>
      <c r="C4400" s="44">
        <f t="shared" si="212"/>
        <v>44709</v>
      </c>
      <c r="D4400" s="374">
        <v>239</v>
      </c>
      <c r="E4400" s="291" t="str">
        <f>IFERROR(VLOOKUP($D4400,'Clients-Live'!$A:$C,3,0),"")</f>
        <v>HABIBU ABOYI ALLI</v>
      </c>
      <c r="F4400" s="291">
        <f>IFERROR(INDEX(Disbursements!$D:$D,MATCH('Live Collections'!G4400,Disbursements!$C:$C,0)),"")</f>
        <v>2</v>
      </c>
      <c r="G4400" s="34">
        <v>470</v>
      </c>
      <c r="H4400" s="34">
        <v>6210</v>
      </c>
      <c r="I4400" s="34" t="s">
        <v>1357</v>
      </c>
      <c r="J4400" s="48"/>
      <c r="K4400" s="48"/>
      <c r="L4400" s="48"/>
      <c r="M4400" s="48"/>
      <c r="N4400" s="59"/>
      <c r="O4400" s="59">
        <v>175000</v>
      </c>
      <c r="P4400" s="59"/>
      <c r="Q4400" s="268">
        <f t="shared" si="219"/>
        <v>175000</v>
      </c>
      <c r="R4400" s="61">
        <f>IF(O4400=0,0,SUMIFS(Disbursements!$T:$T,Disbursements!$B:$B,'Live Collections'!D4400,Disbursements!$D:$D,'Live Collections'!F4400))</f>
        <v>175000</v>
      </c>
      <c r="S4400" s="304">
        <f>IF(O4400&lt;=IF($O4400=0,0,SUMIFS(Disbursements!$W:$W,Disbursements!$B:$B,'Live Collections'!D4400,Disbursements!$D:$D,'Live Collections'!F4400)),O4400,IF($O4400=0,0,SUMIFS(Disbursements!$W:$W,Disbursements!$B:$B,'Live Collections'!D4400,Disbursements!$D:$D,'Live Collections'!F4400)))</f>
        <v>75000</v>
      </c>
      <c r="T4400" s="304">
        <f t="shared" si="220"/>
        <v>100000</v>
      </c>
      <c r="U4400" s="52"/>
      <c r="V4400" s="34"/>
      <c r="W4400" s="408"/>
    </row>
    <row r="4401" spans="1:23" ht="12.75" customHeight="1" x14ac:dyDescent="0.2">
      <c r="A4401" s="257">
        <v>4413</v>
      </c>
      <c r="B4401" s="44">
        <v>44709</v>
      </c>
      <c r="C4401" s="44">
        <f t="shared" si="212"/>
        <v>44709</v>
      </c>
      <c r="D4401" s="374">
        <v>344</v>
      </c>
      <c r="E4401" s="291" t="str">
        <f>IFERROR(VLOOKUP($D4401,'Clients-Live'!$A:$C,3,0),"")</f>
        <v>ADAM MUSA LEMERIGA</v>
      </c>
      <c r="F4401" s="291">
        <f>IFERROR(INDEX(Disbursements!$D:$D,MATCH('Live Collections'!G4401,Disbursements!$C:$C,0)),"")</f>
        <v>1</v>
      </c>
      <c r="G4401" s="34">
        <v>484</v>
      </c>
      <c r="H4401" s="34">
        <v>6208</v>
      </c>
      <c r="I4401" s="34" t="s">
        <v>1358</v>
      </c>
      <c r="J4401" s="48"/>
      <c r="K4401" s="48"/>
      <c r="L4401" s="48"/>
      <c r="M4401" s="48"/>
      <c r="N4401" s="59"/>
      <c r="O4401" s="59">
        <v>200000</v>
      </c>
      <c r="P4401" s="59"/>
      <c r="Q4401" s="268">
        <f t="shared" si="219"/>
        <v>200000</v>
      </c>
      <c r="R4401" s="61">
        <f>IF(O4401=0,0,SUMIFS(Disbursements!$T:$T,Disbursements!$B:$B,'Live Collections'!D4401,Disbursements!$D:$D,'Live Collections'!F4401))</f>
        <v>315000</v>
      </c>
      <c r="S4401" s="304">
        <f>IF(O4401&lt;=IF($O4401=0,0,SUMIFS(Disbursements!$W:$W,Disbursements!$B:$B,'Live Collections'!D4401,Disbursements!$D:$D,'Live Collections'!F4401)),O4401,IF($O4401=0,0,SUMIFS(Disbursements!$W:$W,Disbursements!$B:$B,'Live Collections'!D4401,Disbursements!$D:$D,'Live Collections'!F4401)))</f>
        <v>65000</v>
      </c>
      <c r="T4401" s="304">
        <f t="shared" si="220"/>
        <v>135000</v>
      </c>
      <c r="U4401" s="52"/>
      <c r="V4401" s="34"/>
      <c r="W4401" s="408"/>
    </row>
    <row r="4402" spans="1:23" ht="12.75" customHeight="1" x14ac:dyDescent="0.2">
      <c r="A4402" s="257">
        <v>4414</v>
      </c>
      <c r="B4402" s="44">
        <v>44709</v>
      </c>
      <c r="C4402" s="44">
        <f t="shared" si="212"/>
        <v>44709</v>
      </c>
      <c r="D4402" s="374">
        <v>248</v>
      </c>
      <c r="E4402" s="291" t="str">
        <f>IFERROR(VLOOKUP($D4402,'Clients-Live'!$A:$C,3,0),"")</f>
        <v>LETARU GLORIA</v>
      </c>
      <c r="F4402" s="291">
        <f>IFERROR(INDEX(Disbursements!$D:$D,MATCH('Live Collections'!G4402,Disbursements!$C:$C,0)),"")</f>
        <v>2</v>
      </c>
      <c r="G4402" s="34">
        <v>487</v>
      </c>
      <c r="H4402" s="34">
        <v>6207</v>
      </c>
      <c r="I4402" s="34" t="s">
        <v>1359</v>
      </c>
      <c r="J4402" s="48"/>
      <c r="K4402" s="48"/>
      <c r="L4402" s="48"/>
      <c r="M4402" s="48"/>
      <c r="N4402" s="59"/>
      <c r="O4402" s="59">
        <v>500000</v>
      </c>
      <c r="P4402" s="59"/>
      <c r="Q4402" s="268">
        <f t="shared" si="219"/>
        <v>500000</v>
      </c>
      <c r="R4402" s="61">
        <f>IF(O4402=0,0,SUMIFS(Disbursements!$T:$T,Disbursements!$B:$B,'Live Collections'!D4402,Disbursements!$D:$D,'Live Collections'!F4402))</f>
        <v>1090000</v>
      </c>
      <c r="S4402" s="304">
        <f>IF(O4402&lt;=IF($O4402=0,0,SUMIFS(Disbursements!$W:$W,Disbursements!$B:$B,'Live Collections'!D4402,Disbursements!$D:$D,'Live Collections'!F4402)),O4402,IF($O4402=0,0,SUMIFS(Disbursements!$W:$W,Disbursements!$B:$B,'Live Collections'!D4402,Disbursements!$D:$D,'Live Collections'!F4402)))</f>
        <v>375714.28571428568</v>
      </c>
      <c r="T4402" s="304">
        <f t="shared" si="220"/>
        <v>124285.71428571432</v>
      </c>
      <c r="U4402" s="52"/>
      <c r="V4402" s="34"/>
      <c r="W4402" s="408"/>
    </row>
    <row r="4403" spans="1:23" ht="12.75" customHeight="1" x14ac:dyDescent="0.2">
      <c r="A4403" s="257">
        <v>4415</v>
      </c>
      <c r="B4403" s="44">
        <v>44709</v>
      </c>
      <c r="C4403" s="44">
        <f t="shared" si="212"/>
        <v>44709</v>
      </c>
      <c r="D4403" s="374">
        <v>200</v>
      </c>
      <c r="E4403" s="291" t="str">
        <f>IFERROR(VLOOKUP($D4403,'Clients-Live'!$A:$C,3,0),"")</f>
        <v>SERIYA FLORENCE</v>
      </c>
      <c r="F4403" s="291">
        <f>IFERROR(INDEX(Disbursements!$D:$D,MATCH('Live Collections'!G4403,Disbursements!$C:$C,0)),"")</f>
        <v>3</v>
      </c>
      <c r="G4403" s="34">
        <v>518</v>
      </c>
      <c r="H4403" s="34">
        <v>6209</v>
      </c>
      <c r="I4403" s="34" t="s">
        <v>1359</v>
      </c>
      <c r="J4403" s="48"/>
      <c r="K4403" s="48"/>
      <c r="L4403" s="48"/>
      <c r="M4403" s="48"/>
      <c r="N4403" s="59"/>
      <c r="O4403" s="59">
        <v>135000</v>
      </c>
      <c r="P4403" s="59"/>
      <c r="Q4403" s="268">
        <f t="shared" si="219"/>
        <v>135000</v>
      </c>
      <c r="R4403" s="61">
        <f>IF(O4403=0,0,SUMIFS(Disbursements!$T:$T,Disbursements!$B:$B,'Live Collections'!D4403,Disbursements!$D:$D,'Live Collections'!F4403))</f>
        <v>139000</v>
      </c>
      <c r="S4403" s="304">
        <f>IF(O4403&lt;=IF($O4403=0,0,SUMIFS(Disbursements!$W:$W,Disbursements!$B:$B,'Live Collections'!D4403,Disbursements!$D:$D,'Live Collections'!F4403)),O4403,IF($O4403=0,0,SUMIFS(Disbursements!$W:$W,Disbursements!$B:$B,'Live Collections'!D4403,Disbursements!$D:$D,'Live Collections'!F4403)))</f>
        <v>39000</v>
      </c>
      <c r="T4403" s="304">
        <f t="shared" si="220"/>
        <v>96000</v>
      </c>
      <c r="U4403" s="52"/>
      <c r="V4403" s="34"/>
      <c r="W4403" s="408"/>
    </row>
    <row r="4404" spans="1:23" ht="12.75" customHeight="1" x14ac:dyDescent="0.2">
      <c r="A4404" s="257">
        <v>4416</v>
      </c>
      <c r="B4404" s="44">
        <v>44711</v>
      </c>
      <c r="C4404" s="44">
        <f t="shared" si="212"/>
        <v>44711</v>
      </c>
      <c r="D4404" s="374">
        <v>314</v>
      </c>
      <c r="E4404" s="291" t="str">
        <f>IFERROR(VLOOKUP($D4404,'Clients-Live'!$A:$C,3,0),"")</f>
        <v>SHAMIM ALIGAH</v>
      </c>
      <c r="F4404" s="291">
        <f>IFERROR(INDEX(Disbursements!$D:$D,MATCH('Live Collections'!G4404,Disbursements!$C:$C,0)),"")</f>
        <v>3</v>
      </c>
      <c r="G4404" s="34">
        <v>488</v>
      </c>
      <c r="H4404" s="34">
        <v>6179</v>
      </c>
      <c r="I4404" s="34" t="s">
        <v>1357</v>
      </c>
      <c r="J4404" s="48"/>
      <c r="K4404" s="48"/>
      <c r="L4404" s="48"/>
      <c r="M4404" s="48"/>
      <c r="N4404" s="59"/>
      <c r="O4404" s="59">
        <v>200000</v>
      </c>
      <c r="P4404" s="59"/>
      <c r="Q4404" s="268">
        <f t="shared" si="219"/>
        <v>200000</v>
      </c>
      <c r="R4404" s="61">
        <f>IF(O4404=0,0,SUMIFS(Disbursements!$T:$T,Disbursements!$B:$B,'Live Collections'!D4404,Disbursements!$D:$D,'Live Collections'!F4404))</f>
        <v>1413000</v>
      </c>
      <c r="S4404" s="304">
        <f>IF(O4404&lt;=IF($O4404=0,0,SUMIFS(Disbursements!$W:$W,Disbursements!$B:$B,'Live Collections'!D4404,Disbursements!$D:$D,'Live Collections'!F4404)),O4404,IF($O4404=0,0,SUMIFS(Disbursements!$W:$W,Disbursements!$B:$B,'Live Collections'!D4404,Disbursements!$D:$D,'Live Collections'!F4404)))</f>
        <v>163000</v>
      </c>
      <c r="T4404" s="304">
        <f t="shared" si="220"/>
        <v>37000</v>
      </c>
      <c r="U4404" s="52"/>
      <c r="V4404" s="34"/>
      <c r="W4404" s="408"/>
    </row>
    <row r="4405" spans="1:23" ht="12.75" customHeight="1" x14ac:dyDescent="0.2">
      <c r="A4405" s="257">
        <v>4417</v>
      </c>
      <c r="B4405" s="44">
        <v>44711</v>
      </c>
      <c r="C4405" s="44">
        <f t="shared" si="212"/>
        <v>44711</v>
      </c>
      <c r="D4405" s="374">
        <v>108</v>
      </c>
      <c r="E4405" s="291" t="str">
        <f>IFERROR(VLOOKUP($D4405,'Clients-Live'!$A:$C,3,0),"")</f>
        <v>DUDU JOICE</v>
      </c>
      <c r="F4405" s="291">
        <f>IFERROR(INDEX(Disbursements!$D:$D,MATCH('Live Collections'!G4405,Disbursements!$C:$C,0)),"")</f>
        <v>2</v>
      </c>
      <c r="G4405" s="34">
        <v>314</v>
      </c>
      <c r="H4405" s="34">
        <v>6180</v>
      </c>
      <c r="I4405" s="34" t="s">
        <v>1359</v>
      </c>
      <c r="J4405" s="48"/>
      <c r="K4405" s="48"/>
      <c r="L4405" s="48"/>
      <c r="M4405" s="48"/>
      <c r="N4405" s="59"/>
      <c r="O4405" s="59">
        <v>70000</v>
      </c>
      <c r="P4405" s="59"/>
      <c r="Q4405" s="268">
        <f t="shared" si="219"/>
        <v>70000</v>
      </c>
      <c r="R4405" s="61">
        <f>IF(O4405=0,0,SUMIFS(Disbursements!$T:$T,Disbursements!$B:$B,'Live Collections'!D4405,Disbursements!$D:$D,'Live Collections'!F4405))</f>
        <v>250000</v>
      </c>
      <c r="S4405" s="304"/>
      <c r="T4405" s="304">
        <f t="shared" si="220"/>
        <v>70000</v>
      </c>
      <c r="U4405" s="52"/>
      <c r="V4405" s="34"/>
      <c r="W4405" s="408"/>
    </row>
    <row r="4406" spans="1:23" ht="12.75" customHeight="1" x14ac:dyDescent="0.2">
      <c r="A4406" s="257">
        <v>4418</v>
      </c>
      <c r="B4406" s="44">
        <v>44711</v>
      </c>
      <c r="C4406" s="44">
        <f t="shared" si="212"/>
        <v>44711</v>
      </c>
      <c r="D4406" s="374">
        <v>238</v>
      </c>
      <c r="E4406" s="291" t="str">
        <f>IFERROR(VLOOKUP($D4406,'Clients-Live'!$A:$C,3,0),"")</f>
        <v>ANGAIKA SAID</v>
      </c>
      <c r="F4406" s="291">
        <f>IFERROR(INDEX(Disbursements!$D:$D,MATCH('Live Collections'!G4406,Disbursements!$C:$C,0)),"")</f>
        <v>2</v>
      </c>
      <c r="G4406" s="34">
        <v>441</v>
      </c>
      <c r="H4406" s="34">
        <v>6221</v>
      </c>
      <c r="I4406" s="34" t="s">
        <v>1359</v>
      </c>
      <c r="J4406" s="48"/>
      <c r="K4406" s="48"/>
      <c r="L4406" s="48"/>
      <c r="M4406" s="48"/>
      <c r="N4406" s="59"/>
      <c r="O4406" s="59">
        <v>40000</v>
      </c>
      <c r="P4406" s="59"/>
      <c r="Q4406" s="268">
        <f t="shared" si="219"/>
        <v>40000</v>
      </c>
      <c r="R4406" s="61">
        <f>IF(O4406=0,0,SUMIFS(Disbursements!$T:$T,Disbursements!$B:$B,'Live Collections'!D4406,Disbursements!$D:$D,'Live Collections'!F4406))</f>
        <v>41000</v>
      </c>
      <c r="S4406" s="304">
        <f>IF(O4406&lt;=IF($O4406=0,0,SUMIFS(Disbursements!$W:$W,Disbursements!$B:$B,'Live Collections'!D4406,Disbursements!$D:$D,'Live Collections'!F4406)),O4406,IF($O4406=0,0,SUMIFS(Disbursements!$W:$W,Disbursements!$B:$B,'Live Collections'!D4406,Disbursements!$D:$D,'Live Collections'!F4406)))</f>
        <v>11833.333333333332</v>
      </c>
      <c r="T4406" s="304">
        <f t="shared" si="220"/>
        <v>28166.666666666668</v>
      </c>
      <c r="U4406" s="52"/>
      <c r="V4406" s="34"/>
      <c r="W4406" s="408"/>
    </row>
    <row r="4407" spans="1:23" ht="12.75" customHeight="1" x14ac:dyDescent="0.2">
      <c r="A4407" s="257">
        <v>4419</v>
      </c>
      <c r="B4407" s="44">
        <v>44711</v>
      </c>
      <c r="C4407" s="44">
        <f t="shared" si="212"/>
        <v>44711</v>
      </c>
      <c r="D4407" s="374">
        <v>74</v>
      </c>
      <c r="E4407" s="291" t="str">
        <f>IFERROR(VLOOKUP($D4407,'Clients-Live'!$A:$C,3,0),"")</f>
        <v>YUKUWE AISHA</v>
      </c>
      <c r="F4407" s="291">
        <f>IFERROR(INDEX(Disbursements!$D:$D,MATCH('Live Collections'!G4407,Disbursements!$C:$C,0)),"")</f>
        <v>3</v>
      </c>
      <c r="G4407" s="34">
        <v>447</v>
      </c>
      <c r="H4407" s="34">
        <v>6178</v>
      </c>
      <c r="I4407" s="34" t="s">
        <v>1358</v>
      </c>
      <c r="J4407" s="48"/>
      <c r="K4407" s="48"/>
      <c r="L4407" s="48"/>
      <c r="M4407" s="48"/>
      <c r="N4407" s="59"/>
      <c r="O4407" s="59">
        <v>16000</v>
      </c>
      <c r="P4407" s="59"/>
      <c r="Q4407" s="268">
        <f t="shared" si="219"/>
        <v>16000</v>
      </c>
      <c r="R4407" s="61">
        <f>IF(O4407=0,0,SUMIFS(Disbursements!$T:$T,Disbursements!$B:$B,'Live Collections'!D4407,Disbursements!$D:$D,'Live Collections'!F4407))</f>
        <v>16000</v>
      </c>
      <c r="S4407" s="304">
        <f>IF(O4407&lt;=IF($O4407=0,0,SUMIFS(Disbursements!$W:$W,Disbursements!$B:$B,'Live Collections'!D4407,Disbursements!$D:$D,'Live Collections'!F4407)),O4407,IF($O4407=0,0,SUMIFS(Disbursements!$W:$W,Disbursements!$B:$B,'Live Collections'!D4407,Disbursements!$D:$D,'Live Collections'!F4407)))</f>
        <v>3500</v>
      </c>
      <c r="T4407" s="304">
        <f t="shared" si="220"/>
        <v>12500</v>
      </c>
      <c r="U4407" s="52"/>
      <c r="V4407" s="34"/>
      <c r="W4407" s="408"/>
    </row>
    <row r="4408" spans="1:23" ht="12.75" customHeight="1" x14ac:dyDescent="0.2">
      <c r="A4408" s="257">
        <v>4420</v>
      </c>
      <c r="B4408" s="44">
        <v>44711</v>
      </c>
      <c r="C4408" s="44">
        <f t="shared" si="212"/>
        <v>44711</v>
      </c>
      <c r="D4408" s="374">
        <v>321</v>
      </c>
      <c r="E4408" s="291" t="str">
        <f>IFERROR(VLOOKUP($D4408,'Clients-Live'!$A:$C,3,0),"")</f>
        <v>ANDERU MONICA</v>
      </c>
      <c r="F4408" s="291">
        <f>IFERROR(INDEX(Disbursements!$D:$D,MATCH('Live Collections'!G4408,Disbursements!$C:$C,0)),"")</f>
        <v>2</v>
      </c>
      <c r="G4408" s="34">
        <v>521</v>
      </c>
      <c r="H4408" s="34">
        <v>6220</v>
      </c>
      <c r="I4408" s="34" t="s">
        <v>1358</v>
      </c>
      <c r="J4408" s="48"/>
      <c r="K4408" s="48"/>
      <c r="L4408" s="48"/>
      <c r="M4408" s="48"/>
      <c r="N4408" s="59"/>
      <c r="O4408" s="59">
        <v>150000</v>
      </c>
      <c r="P4408" s="59"/>
      <c r="Q4408" s="268">
        <f t="shared" si="219"/>
        <v>150000</v>
      </c>
      <c r="R4408" s="61">
        <f>IF(O4408=0,0,SUMIFS(Disbursements!$T:$T,Disbursements!$B:$B,'Live Collections'!D4408,Disbursements!$D:$D,'Live Collections'!F4408))</f>
        <v>575000</v>
      </c>
      <c r="S4408" s="304">
        <f>IF(O4408&lt;=IF($O4408=0,0,SUMIFS(Disbursements!$W:$W,Disbursements!$B:$B,'Live Collections'!D4408,Disbursements!$D:$D,'Live Collections'!F4408)),O4408,IF($O4408=0,0,SUMIFS(Disbursements!$W:$W,Disbursements!$B:$B,'Live Collections'!D4408,Disbursements!$D:$D,'Live Collections'!F4408)))</f>
        <v>75000</v>
      </c>
      <c r="T4408" s="304">
        <f t="shared" si="220"/>
        <v>75000</v>
      </c>
      <c r="U4408" s="52"/>
      <c r="V4408" s="34"/>
      <c r="W4408" s="408"/>
    </row>
    <row r="4409" spans="1:23" ht="12.75" customHeight="1" x14ac:dyDescent="0.2">
      <c r="A4409" s="257">
        <v>4421</v>
      </c>
      <c r="B4409" s="44">
        <v>44711</v>
      </c>
      <c r="C4409" s="44">
        <f t="shared" si="212"/>
        <v>44711</v>
      </c>
      <c r="D4409" s="374">
        <v>9</v>
      </c>
      <c r="E4409" s="291" t="str">
        <f>IFERROR(VLOOKUP($D4409,'Clients-Live'!$A:$C,3,0),"")</f>
        <v>TABAN DAVID YAYA</v>
      </c>
      <c r="F4409" s="291">
        <f>IFERROR(INDEX(Disbursements!$D:$D,MATCH('Live Collections'!G4409,Disbursements!$C:$C,0)),"")</f>
        <v>4</v>
      </c>
      <c r="G4409" s="34">
        <v>507</v>
      </c>
      <c r="H4409" s="34">
        <v>6352</v>
      </c>
      <c r="I4409" s="34" t="s">
        <v>1357</v>
      </c>
      <c r="J4409" s="48"/>
      <c r="K4409" s="48"/>
      <c r="L4409" s="48"/>
      <c r="M4409" s="48"/>
      <c r="N4409" s="59"/>
      <c r="O4409" s="59">
        <v>10000</v>
      </c>
      <c r="P4409" s="59"/>
      <c r="Q4409" s="268">
        <f t="shared" si="219"/>
        <v>10000</v>
      </c>
      <c r="R4409" s="61">
        <f>IF(O4409=0,0,SUMIFS(Disbursements!$T:$T,Disbursements!$B:$B,'Live Collections'!D4409,Disbursements!$D:$D,'Live Collections'!F4409))</f>
        <v>174000</v>
      </c>
      <c r="S4409" s="304"/>
      <c r="T4409" s="304">
        <f t="shared" si="220"/>
        <v>10000</v>
      </c>
      <c r="U4409" s="52"/>
      <c r="V4409" s="34"/>
      <c r="W4409" s="408"/>
    </row>
    <row r="4410" spans="1:23" ht="12.75" customHeight="1" x14ac:dyDescent="0.2">
      <c r="A4410" s="257">
        <v>4422</v>
      </c>
      <c r="B4410" s="44">
        <v>44711</v>
      </c>
      <c r="C4410" s="44">
        <f t="shared" si="212"/>
        <v>44711</v>
      </c>
      <c r="D4410" s="374">
        <v>42</v>
      </c>
      <c r="E4410" s="291" t="str">
        <f>IFERROR(VLOOKUP($D4410,'Clients-Live'!$A:$C,3,0),"")</f>
        <v>ABAU   NOLA</v>
      </c>
      <c r="F4410" s="291">
        <f>IFERROR(INDEX(Disbursements!$D:$D,MATCH('Live Collections'!G4410,Disbursements!$C:$C,0)),"")</f>
        <v>4</v>
      </c>
      <c r="G4410" s="34">
        <v>498</v>
      </c>
      <c r="H4410" s="34">
        <v>6177</v>
      </c>
      <c r="I4410" s="34" t="s">
        <v>1359</v>
      </c>
      <c r="J4410" s="48"/>
      <c r="K4410" s="48"/>
      <c r="L4410" s="48"/>
      <c r="M4410" s="48"/>
      <c r="N4410" s="59"/>
      <c r="O4410" s="59">
        <v>21000</v>
      </c>
      <c r="P4410" s="59"/>
      <c r="Q4410" s="268">
        <f t="shared" si="219"/>
        <v>21000</v>
      </c>
      <c r="R4410" s="61">
        <f>IF(O4410=0,0,SUMIFS(Disbursements!$T:$T,Disbursements!$B:$B,'Live Collections'!D4410,Disbursements!$D:$D,'Live Collections'!F4410))</f>
        <v>100000</v>
      </c>
      <c r="S4410" s="304"/>
      <c r="T4410" s="304">
        <f t="shared" si="220"/>
        <v>21000</v>
      </c>
      <c r="U4410" s="52"/>
      <c r="V4410" s="34"/>
      <c r="W4410" s="408"/>
    </row>
    <row r="4411" spans="1:23" ht="12.75" customHeight="1" x14ac:dyDescent="0.2">
      <c r="A4411" s="257">
        <v>4423</v>
      </c>
      <c r="B4411" s="44">
        <v>44711</v>
      </c>
      <c r="C4411" s="44">
        <f t="shared" si="212"/>
        <v>44711</v>
      </c>
      <c r="D4411" s="374">
        <v>362</v>
      </c>
      <c r="E4411" s="291" t="str">
        <f>IFERROR(VLOOKUP($D4411,'Clients-Live'!$A:$C,3,0),"")</f>
        <v>LUPAI DAVID</v>
      </c>
      <c r="F4411" s="291">
        <f>IFERROR(INDEX(Disbursements!$D:$D,MATCH('Live Collections'!G4411,Disbursements!$C:$C,0)),"")</f>
        <v>1</v>
      </c>
      <c r="G4411" s="34">
        <v>527</v>
      </c>
      <c r="H4411" s="34" t="s">
        <v>2492</v>
      </c>
      <c r="I4411" s="34" t="s">
        <v>1359</v>
      </c>
      <c r="J4411" s="48"/>
      <c r="K4411" s="48"/>
      <c r="L4411" s="48"/>
      <c r="M4411" s="48"/>
      <c r="N4411" s="59"/>
      <c r="O4411" s="59">
        <v>30000</v>
      </c>
      <c r="P4411" s="59">
        <v>-30000</v>
      </c>
      <c r="Q4411" s="268">
        <f t="shared" si="219"/>
        <v>0</v>
      </c>
      <c r="R4411" s="61">
        <f>IF(O4411=0,0,SUMIFS(Disbursements!$T:$T,Disbursements!$B:$B,'Live Collections'!D4411,Disbursements!$D:$D,'Live Collections'!F4411))</f>
        <v>323000</v>
      </c>
      <c r="S4411" s="304"/>
      <c r="T4411" s="304">
        <f t="shared" si="220"/>
        <v>30000</v>
      </c>
      <c r="U4411" s="52"/>
      <c r="V4411" s="34"/>
      <c r="W4411" s="408"/>
    </row>
    <row r="4412" spans="1:23" ht="12.75" customHeight="1" x14ac:dyDescent="0.2">
      <c r="A4412" s="257">
        <v>4424</v>
      </c>
      <c r="B4412" s="44">
        <v>44711</v>
      </c>
      <c r="C4412" s="44">
        <f t="shared" ref="C4412:C4473" si="221">B4412</f>
        <v>44711</v>
      </c>
      <c r="D4412" s="374">
        <v>362</v>
      </c>
      <c r="E4412" s="291" t="str">
        <f>IFERROR(VLOOKUP($D4412,'Clients-Live'!$A:$C,3,0),"")</f>
        <v>LUPAI DAVID</v>
      </c>
      <c r="F4412" s="291">
        <f>IFERROR(INDEX(Disbursements!$D:$D,MATCH('Live Collections'!G4412,Disbursements!$C:$C,0)),"")</f>
        <v>1</v>
      </c>
      <c r="G4412" s="34">
        <v>527</v>
      </c>
      <c r="H4412" s="34">
        <v>6175</v>
      </c>
      <c r="I4412" s="34" t="s">
        <v>1359</v>
      </c>
      <c r="J4412" s="48"/>
      <c r="K4412" s="48"/>
      <c r="L4412" s="48"/>
      <c r="M4412" s="48"/>
      <c r="N4412" s="59"/>
      <c r="O4412" s="59">
        <v>122500</v>
      </c>
      <c r="P4412" s="59"/>
      <c r="Q4412" s="268">
        <f t="shared" si="219"/>
        <v>122500</v>
      </c>
      <c r="R4412" s="61">
        <f>IF(O4412=0,0,SUMIFS(Disbursements!$T:$T,Disbursements!$B:$B,'Live Collections'!D4412,Disbursements!$D:$D,'Live Collections'!F4412))</f>
        <v>323000</v>
      </c>
      <c r="S4412" s="304"/>
      <c r="T4412" s="304">
        <f t="shared" si="220"/>
        <v>122500</v>
      </c>
      <c r="U4412" s="52"/>
      <c r="V4412" s="34"/>
      <c r="W4412" s="408"/>
    </row>
    <row r="4413" spans="1:23" ht="12.75" customHeight="1" x14ac:dyDescent="0.2">
      <c r="A4413" s="257">
        <v>4425</v>
      </c>
      <c r="B4413" s="44">
        <v>44711</v>
      </c>
      <c r="C4413" s="44">
        <f t="shared" si="221"/>
        <v>44711</v>
      </c>
      <c r="D4413" s="374">
        <v>169</v>
      </c>
      <c r="E4413" s="291" t="str">
        <f>IFERROR(VLOOKUP($D4413,'Clients-Live'!$A:$C,3,0),"")</f>
        <v>KATO KENNEDY</v>
      </c>
      <c r="F4413" s="291">
        <f>IFERROR(INDEX(Disbursements!$D:$D,MATCH('Live Collections'!G4413,Disbursements!$C:$C,0)),"")</f>
        <v>2</v>
      </c>
      <c r="G4413" s="34">
        <v>394</v>
      </c>
      <c r="H4413" s="34">
        <v>6217</v>
      </c>
      <c r="I4413" s="34" t="s">
        <v>1357</v>
      </c>
      <c r="J4413" s="48"/>
      <c r="K4413" s="48"/>
      <c r="L4413" s="48"/>
      <c r="M4413" s="48"/>
      <c r="N4413" s="59"/>
      <c r="O4413" s="59">
        <v>58000</v>
      </c>
      <c r="P4413" s="59"/>
      <c r="Q4413" s="268">
        <f t="shared" si="219"/>
        <v>58000</v>
      </c>
      <c r="R4413" s="61">
        <f>IF(O4413=0,0,SUMIFS(Disbursements!$T:$T,Disbursements!$B:$B,'Live Collections'!D4413,Disbursements!$D:$D,'Live Collections'!F4413))</f>
        <v>58000</v>
      </c>
      <c r="S4413" s="304">
        <f>IF(O4413&lt;=IF($O4413=0,0,SUMIFS(Disbursements!$W:$W,Disbursements!$B:$B,'Live Collections'!D4413,Disbursements!$D:$D,'Live Collections'!F4413)),O4413,IF($O4413=0,0,SUMIFS(Disbursements!$W:$W,Disbursements!$B:$B,'Live Collections'!D4413,Disbursements!$D:$D,'Live Collections'!F4413)))</f>
        <v>16333.333333333336</v>
      </c>
      <c r="T4413" s="304">
        <f t="shared" si="220"/>
        <v>41666.666666666664</v>
      </c>
      <c r="U4413" s="52"/>
      <c r="V4413" s="34"/>
      <c r="W4413" s="408"/>
    </row>
    <row r="4414" spans="1:23" ht="12.75" customHeight="1" x14ac:dyDescent="0.2">
      <c r="A4414" s="257">
        <v>4426</v>
      </c>
      <c r="B4414" s="44">
        <v>44711</v>
      </c>
      <c r="C4414" s="44">
        <f t="shared" si="221"/>
        <v>44711</v>
      </c>
      <c r="D4414" s="374">
        <v>75</v>
      </c>
      <c r="E4414" s="291" t="str">
        <f>IFERROR(VLOOKUP($D4414,'Clients-Live'!$A:$C,3,0),"")</f>
        <v>MUKULIA JAMES</v>
      </c>
      <c r="F4414" s="291">
        <f>IFERROR(INDEX(Disbursements!$D:$D,MATCH('Live Collections'!G4414,Disbursements!$C:$C,0)),"")</f>
        <v>3</v>
      </c>
      <c r="G4414" s="34">
        <v>357</v>
      </c>
      <c r="H4414" s="34">
        <v>6218</v>
      </c>
      <c r="I4414" s="34" t="s">
        <v>1359</v>
      </c>
      <c r="J4414" s="48"/>
      <c r="K4414" s="48"/>
      <c r="L4414" s="48"/>
      <c r="M4414" s="48"/>
      <c r="N4414" s="59"/>
      <c r="O4414" s="59">
        <v>130000</v>
      </c>
      <c r="P4414" s="59"/>
      <c r="Q4414" s="268">
        <f t="shared" si="219"/>
        <v>130000</v>
      </c>
      <c r="R4414" s="61">
        <f>IF(O4414=0,0,SUMIFS(Disbursements!$T:$T,Disbursements!$B:$B,'Live Collections'!D4414,Disbursements!$D:$D,'Live Collections'!F4414))</f>
        <v>175000</v>
      </c>
      <c r="S4414" s="304"/>
      <c r="T4414" s="304">
        <f t="shared" si="220"/>
        <v>130000</v>
      </c>
      <c r="U4414" s="52"/>
      <c r="V4414" s="34"/>
      <c r="W4414" s="408"/>
    </row>
    <row r="4415" spans="1:23" ht="12.75" customHeight="1" x14ac:dyDescent="0.2">
      <c r="A4415" s="257">
        <v>4427</v>
      </c>
      <c r="B4415" s="44">
        <v>44711</v>
      </c>
      <c r="C4415" s="44">
        <f t="shared" si="221"/>
        <v>44711</v>
      </c>
      <c r="D4415" s="374">
        <v>134</v>
      </c>
      <c r="E4415" s="291" t="str">
        <f>IFERROR(VLOOKUP($D4415,'Clients-Live'!$A:$C,3,0),"")</f>
        <v>TABU NATALIYA</v>
      </c>
      <c r="F4415" s="291">
        <f>IFERROR(INDEX(Disbursements!$D:$D,MATCH('Live Collections'!G4415,Disbursements!$C:$C,0)),"")</f>
        <v>2</v>
      </c>
      <c r="G4415" s="34">
        <v>324</v>
      </c>
      <c r="H4415" s="34">
        <v>6219</v>
      </c>
      <c r="I4415" s="34" t="s">
        <v>1359</v>
      </c>
      <c r="J4415" s="48"/>
      <c r="K4415" s="48"/>
      <c r="L4415" s="48"/>
      <c r="M4415" s="48"/>
      <c r="N4415" s="59"/>
      <c r="O4415" s="59">
        <v>10000</v>
      </c>
      <c r="P4415" s="59"/>
      <c r="Q4415" s="268">
        <f t="shared" si="219"/>
        <v>10000</v>
      </c>
      <c r="R4415" s="61">
        <f>IF(O4415=0,0,SUMIFS(Disbursements!$T:$T,Disbursements!$B:$B,'Live Collections'!D4415,Disbursements!$D:$D,'Live Collections'!F4415))</f>
        <v>120000</v>
      </c>
      <c r="S4415" s="304"/>
      <c r="T4415" s="304">
        <f t="shared" si="220"/>
        <v>10000</v>
      </c>
      <c r="U4415" s="52"/>
      <c r="V4415" s="34"/>
      <c r="W4415" s="408"/>
    </row>
    <row r="4416" spans="1:23" ht="12.75" customHeight="1" x14ac:dyDescent="0.2">
      <c r="A4416" s="257">
        <v>4428</v>
      </c>
      <c r="B4416" s="44">
        <v>44711</v>
      </c>
      <c r="C4416" s="44">
        <f t="shared" si="221"/>
        <v>44711</v>
      </c>
      <c r="D4416" s="374">
        <v>287</v>
      </c>
      <c r="E4416" s="291" t="str">
        <f>IFERROR(VLOOKUP($D4416,'Clients-Live'!$A:$C,3,0),"")</f>
        <v>FAITH JOSEPHINE</v>
      </c>
      <c r="F4416" s="291">
        <f>IFERROR(INDEX(Disbursements!$D:$D,MATCH('Live Collections'!G4416,Disbursements!$C:$C,0)),"")</f>
        <v>2</v>
      </c>
      <c r="G4416" s="34">
        <v>522</v>
      </c>
      <c r="H4416" s="34">
        <v>6216</v>
      </c>
      <c r="I4416" s="34" t="s">
        <v>1359</v>
      </c>
      <c r="J4416" s="48"/>
      <c r="K4416" s="48"/>
      <c r="L4416" s="48"/>
      <c r="M4416" s="48"/>
      <c r="N4416" s="59"/>
      <c r="O4416" s="59">
        <v>160000</v>
      </c>
      <c r="P4416" s="59"/>
      <c r="Q4416" s="268">
        <f t="shared" si="219"/>
        <v>160000</v>
      </c>
      <c r="R4416" s="61">
        <f>IF(O4416=0,0,SUMIFS(Disbursements!$T:$T,Disbursements!$B:$B,'Live Collections'!D4416,Disbursements!$D:$D,'Live Collections'!F4416))</f>
        <v>159000</v>
      </c>
      <c r="S4416" s="304">
        <f>IF(O4416&lt;=IF($O4416=0,0,SUMIFS(Disbursements!$W:$W,Disbursements!$B:$B,'Live Collections'!D4416,Disbursements!$D:$D,'Live Collections'!F4416)),O4416,IF($O4416=0,0,SUMIFS(Disbursements!$W:$W,Disbursements!$B:$B,'Live Collections'!D4416,Disbursements!$D:$D,'Live Collections'!F4416)))</f>
        <v>39000</v>
      </c>
      <c r="T4416" s="304">
        <f t="shared" si="220"/>
        <v>121000</v>
      </c>
      <c r="U4416" s="52"/>
      <c r="V4416" s="34"/>
      <c r="W4416" s="408"/>
    </row>
    <row r="4417" spans="1:23" ht="12.75" customHeight="1" x14ac:dyDescent="0.2">
      <c r="A4417" s="257">
        <v>4429</v>
      </c>
      <c r="B4417" s="44">
        <v>44711</v>
      </c>
      <c r="C4417" s="44">
        <f t="shared" si="221"/>
        <v>44711</v>
      </c>
      <c r="D4417" s="374">
        <v>354</v>
      </c>
      <c r="E4417" s="291" t="str">
        <f>IFERROR(VLOOKUP($D4417,'Clients-Live'!$A:$C,3,0),"")</f>
        <v>EYOTARU DORCUS</v>
      </c>
      <c r="F4417" s="291">
        <f>IFERROR(INDEX(Disbursements!$D:$D,MATCH('Live Collections'!G4417,Disbursements!$C:$C,0)),"")</f>
        <v>1</v>
      </c>
      <c r="G4417" s="34">
        <v>531</v>
      </c>
      <c r="H4417" s="34">
        <v>6215</v>
      </c>
      <c r="I4417" s="34" t="s">
        <v>1359</v>
      </c>
      <c r="J4417" s="48"/>
      <c r="K4417" s="48"/>
      <c r="L4417" s="48"/>
      <c r="M4417" s="48"/>
      <c r="N4417" s="59"/>
      <c r="O4417" s="59">
        <v>20000</v>
      </c>
      <c r="P4417" s="59"/>
      <c r="Q4417" s="268">
        <f t="shared" si="219"/>
        <v>20000</v>
      </c>
      <c r="R4417" s="61">
        <f>IF(O4417=0,0,SUMIFS(Disbursements!$T:$T,Disbursements!$B:$B,'Live Collections'!D4417,Disbursements!$D:$D,'Live Collections'!F4417))</f>
        <v>80000</v>
      </c>
      <c r="S4417" s="304">
        <f>IF(O4417&lt;=IF($O4417=0,0,SUMIFS(Disbursements!$W:$W,Disbursements!$B:$B,'Live Collections'!D4417,Disbursements!$D:$D,'Live Collections'!F4417)),O4417,IF($O4417=0,0,SUMIFS(Disbursements!$W:$W,Disbursements!$B:$B,'Live Collections'!D4417,Disbursements!$D:$D,'Live Collections'!F4417)))</f>
        <v>13333.333333333328</v>
      </c>
      <c r="T4417" s="304">
        <f t="shared" si="220"/>
        <v>6666.6666666666715</v>
      </c>
      <c r="U4417" s="52"/>
      <c r="V4417" s="34"/>
      <c r="W4417" s="408"/>
    </row>
    <row r="4418" spans="1:23" ht="12.75" customHeight="1" x14ac:dyDescent="0.2">
      <c r="A4418" s="257">
        <v>4430</v>
      </c>
      <c r="B4418" s="44">
        <v>44711</v>
      </c>
      <c r="C4418" s="44">
        <f t="shared" si="221"/>
        <v>44711</v>
      </c>
      <c r="D4418" s="374">
        <v>6</v>
      </c>
      <c r="E4418" s="291" t="str">
        <f>IFERROR(VLOOKUP($D4418,'Clients-Live'!$A:$C,3,0),"")</f>
        <v>AMUTE BASHIR</v>
      </c>
      <c r="F4418" s="291">
        <f>IFERROR(INDEX(Disbursements!$D:$D,MATCH('Live Collections'!G4418,Disbursements!$C:$C,0)),"")</f>
        <v>3</v>
      </c>
      <c r="G4418" s="34">
        <v>418</v>
      </c>
      <c r="H4418" s="34">
        <v>6214</v>
      </c>
      <c r="I4418" s="34" t="s">
        <v>1358</v>
      </c>
      <c r="J4418" s="48"/>
      <c r="K4418" s="48"/>
      <c r="L4418" s="48"/>
      <c r="M4418" s="48"/>
      <c r="N4418" s="59"/>
      <c r="O4418" s="59">
        <v>1000000</v>
      </c>
      <c r="P4418" s="59"/>
      <c r="Q4418" s="268">
        <f t="shared" si="219"/>
        <v>1000000</v>
      </c>
      <c r="R4418" s="61">
        <f>IF(O4418=0,0,SUMIFS(Disbursements!$T:$T,Disbursements!$B:$B,'Live Collections'!D4418,Disbursements!$D:$D,'Live Collections'!F4418))</f>
        <v>1159000</v>
      </c>
      <c r="S4418" s="304">
        <f>IF(O4418&lt;=IF($O4418=0,0,SUMIFS(Disbursements!$W:$W,Disbursements!$B:$B,'Live Collections'!D4418,Disbursements!$D:$D,'Live Collections'!F4418)),O4418,IF($O4418=0,0,SUMIFS(Disbursements!$W:$W,Disbursements!$B:$B,'Live Collections'!D4418,Disbursements!$D:$D,'Live Collections'!F4418)))</f>
        <v>325666.66666666663</v>
      </c>
      <c r="T4418" s="304">
        <f t="shared" si="220"/>
        <v>674333.33333333337</v>
      </c>
      <c r="U4418" s="52"/>
      <c r="V4418" s="34"/>
      <c r="W4418" s="408"/>
    </row>
    <row r="4419" spans="1:23" ht="12.75" customHeight="1" x14ac:dyDescent="0.2">
      <c r="A4419" s="257">
        <v>4431</v>
      </c>
      <c r="B4419" s="44">
        <v>44711</v>
      </c>
      <c r="C4419" s="44">
        <f t="shared" si="221"/>
        <v>44711</v>
      </c>
      <c r="D4419" s="374">
        <v>270</v>
      </c>
      <c r="E4419" s="291" t="str">
        <f>IFERROR(VLOOKUP($D4419,'Clients-Live'!$A:$C,3,0),"")</f>
        <v>AJOBE SAMUEL</v>
      </c>
      <c r="F4419" s="291">
        <f>IFERROR(INDEX(Disbursements!$D:$D,MATCH('Live Collections'!G4419,Disbursements!$C:$C,0)),"")</f>
        <v>2</v>
      </c>
      <c r="G4419" s="34">
        <v>435</v>
      </c>
      <c r="H4419" s="34">
        <v>6213</v>
      </c>
      <c r="I4419" s="34" t="s">
        <v>1359</v>
      </c>
      <c r="J4419" s="48"/>
      <c r="K4419" s="48"/>
      <c r="L4419" s="48"/>
      <c r="M4419" s="48"/>
      <c r="N4419" s="59"/>
      <c r="O4419" s="59">
        <v>100000</v>
      </c>
      <c r="P4419" s="59"/>
      <c r="Q4419" s="268">
        <f t="shared" si="219"/>
        <v>100000</v>
      </c>
      <c r="R4419" s="61">
        <f>IF(O4419=0,0,SUMIFS(Disbursements!$T:$T,Disbursements!$B:$B,'Live Collections'!D4419,Disbursements!$D:$D,'Live Collections'!F4419))</f>
        <v>245000</v>
      </c>
      <c r="S4419" s="304"/>
      <c r="T4419" s="304">
        <f t="shared" si="220"/>
        <v>100000</v>
      </c>
      <c r="U4419" s="52"/>
      <c r="V4419" s="34"/>
      <c r="W4419" s="408"/>
    </row>
    <row r="4420" spans="1:23" ht="12.75" customHeight="1" x14ac:dyDescent="0.2">
      <c r="A4420" s="257">
        <v>4432</v>
      </c>
      <c r="B4420" s="44">
        <v>44712</v>
      </c>
      <c r="C4420" s="44">
        <f t="shared" si="221"/>
        <v>44712</v>
      </c>
      <c r="D4420" s="374">
        <v>70</v>
      </c>
      <c r="E4420" s="291" t="str">
        <f>IFERROR(VLOOKUP($D4420,'Clients-Live'!$A:$C,3,0),"")</f>
        <v>BUGA ALIKIA PHILLIP</v>
      </c>
      <c r="F4420" s="291">
        <f>IFERROR(INDEX(Disbursements!$D:$D,MATCH('Live Collections'!G4420,Disbursements!$C:$C,0)),"")</f>
        <v>2</v>
      </c>
      <c r="G4420" s="34">
        <v>299</v>
      </c>
      <c r="H4420" s="34" t="s">
        <v>2493</v>
      </c>
      <c r="I4420" s="34" t="s">
        <v>1358</v>
      </c>
      <c r="J4420" s="48"/>
      <c r="K4420" s="48"/>
      <c r="L4420" s="48"/>
      <c r="M4420" s="48"/>
      <c r="N4420" s="59"/>
      <c r="O4420" s="59">
        <v>120000</v>
      </c>
      <c r="P4420" s="59">
        <v>-120000</v>
      </c>
      <c r="Q4420" s="268">
        <f t="shared" si="219"/>
        <v>0</v>
      </c>
      <c r="R4420" s="61">
        <f>IF(O4420=0,0,SUMIFS(Disbursements!$T:$T,Disbursements!$B:$B,'Live Collections'!D4420,Disbursements!$D:$D,'Live Collections'!F4420))</f>
        <v>260000</v>
      </c>
      <c r="S4420" s="304">
        <v>28666.666666666686</v>
      </c>
      <c r="T4420" s="304">
        <f t="shared" si="220"/>
        <v>91333.333333333314</v>
      </c>
      <c r="U4420" s="52"/>
      <c r="V4420" s="34"/>
      <c r="W4420" s="408"/>
    </row>
    <row r="4421" spans="1:23" ht="12.75" customHeight="1" x14ac:dyDescent="0.2">
      <c r="A4421" s="257">
        <v>4433</v>
      </c>
      <c r="B4421" s="44">
        <v>44712</v>
      </c>
      <c r="C4421" s="44">
        <f t="shared" si="221"/>
        <v>44712</v>
      </c>
      <c r="D4421" s="374">
        <v>70</v>
      </c>
      <c r="E4421" s="291" t="str">
        <f>IFERROR(VLOOKUP($D4421,'Clients-Live'!$A:$C,3,0),"")</f>
        <v>BUGA ALIKIA PHILLIP</v>
      </c>
      <c r="F4421" s="291">
        <f>IFERROR(INDEX(Disbursements!$D:$D,MATCH('Live Collections'!G4421,Disbursements!$C:$C,0)),"")</f>
        <v>2</v>
      </c>
      <c r="G4421" s="34">
        <v>299</v>
      </c>
      <c r="H4421" s="34">
        <v>6230</v>
      </c>
      <c r="I4421" s="34" t="s">
        <v>1358</v>
      </c>
      <c r="J4421" s="48"/>
      <c r="K4421" s="48"/>
      <c r="L4421" s="48"/>
      <c r="M4421" s="48"/>
      <c r="N4421" s="59"/>
      <c r="O4421" s="59">
        <v>186000</v>
      </c>
      <c r="P4421" s="59"/>
      <c r="Q4421" s="268">
        <f t="shared" ref="Q4421:Q4490" si="222">SUM(J4421:P4421)</f>
        <v>186000</v>
      </c>
      <c r="R4421" s="61">
        <f>IF(O4421=0,0,SUMIFS(Disbursements!$T:$T,Disbursements!$B:$B,'Live Collections'!D4421,Disbursements!$D:$D,'Live Collections'!F4421))</f>
        <v>260000</v>
      </c>
      <c r="S4421" s="304"/>
      <c r="T4421" s="304">
        <v>186000</v>
      </c>
      <c r="U4421" s="52"/>
      <c r="V4421" s="34"/>
      <c r="W4421" s="408"/>
    </row>
    <row r="4422" spans="1:23" ht="12.75" customHeight="1" x14ac:dyDescent="0.2">
      <c r="A4422" s="257">
        <v>4434</v>
      </c>
      <c r="B4422" s="44">
        <v>44712</v>
      </c>
      <c r="C4422" s="44">
        <f t="shared" si="221"/>
        <v>44712</v>
      </c>
      <c r="D4422" s="374">
        <v>324</v>
      </c>
      <c r="E4422" s="291" t="str">
        <f>IFERROR(VLOOKUP($D4422,'Clients-Live'!$A:$C,3,0),"")</f>
        <v>ARIKE KOKOLE YASSIN</v>
      </c>
      <c r="F4422" s="291">
        <f>IFERROR(INDEX(Disbursements!$D:$D,MATCH('Live Collections'!G4422,Disbursements!$C:$C,0)),"")</f>
        <v>1</v>
      </c>
      <c r="G4422" s="34">
        <v>450</v>
      </c>
      <c r="H4422" s="34">
        <v>6228</v>
      </c>
      <c r="I4422" s="34" t="s">
        <v>1357</v>
      </c>
      <c r="J4422" s="48"/>
      <c r="K4422" s="48"/>
      <c r="L4422" s="48"/>
      <c r="M4422" s="48"/>
      <c r="N4422" s="59"/>
      <c r="O4422" s="59">
        <v>100000</v>
      </c>
      <c r="P4422" s="59"/>
      <c r="Q4422" s="268">
        <f t="shared" si="222"/>
        <v>100000</v>
      </c>
      <c r="R4422" s="61">
        <f>IF(O4422=0,0,SUMIFS(Disbursements!$T:$T,Disbursements!$B:$B,'Live Collections'!D4422,Disbursements!$D:$D,'Live Collections'!F4422))</f>
        <v>58000</v>
      </c>
      <c r="S4422" s="304">
        <f>IF(O4422&lt;=IF($O4422=0,0,SUMIFS(Disbursements!$W:$W,Disbursements!$B:$B,'Live Collections'!D4422,Disbursements!$D:$D,'Live Collections'!F4422)),O4422,IF($O4422=0,0,SUMIFS(Disbursements!$W:$W,Disbursements!$B:$B,'Live Collections'!D4422,Disbursements!$D:$D,'Live Collections'!F4422)))</f>
        <v>16333.333333333336</v>
      </c>
      <c r="T4422" s="304">
        <f t="shared" ref="T4422:T4490" si="223">IF(O4422=0,0,O4422-S4422)</f>
        <v>83666.666666666657</v>
      </c>
      <c r="U4422" s="52"/>
      <c r="V4422" s="34"/>
      <c r="W4422" s="408"/>
    </row>
    <row r="4423" spans="1:23" ht="12.75" customHeight="1" x14ac:dyDescent="0.2">
      <c r="A4423" s="257">
        <v>4435</v>
      </c>
      <c r="B4423" s="44">
        <v>44712</v>
      </c>
      <c r="C4423" s="44">
        <f t="shared" si="221"/>
        <v>44712</v>
      </c>
      <c r="D4423" s="374">
        <v>338</v>
      </c>
      <c r="E4423" s="291" t="str">
        <f>IFERROR(VLOOKUP($D4423,'Clients-Live'!$A:$C,3,0),"")</f>
        <v>ASERU MARY</v>
      </c>
      <c r="F4423" s="291">
        <f>IFERROR(INDEX(Disbursements!$D:$D,MATCH('Live Collections'!G4423,Disbursements!$C:$C,0)),"")</f>
        <v>1</v>
      </c>
      <c r="G4423" s="34">
        <v>480</v>
      </c>
      <c r="H4423" s="34">
        <v>6229</v>
      </c>
      <c r="I4423" s="34" t="s">
        <v>1358</v>
      </c>
      <c r="J4423" s="48"/>
      <c r="K4423" s="48"/>
      <c r="L4423" s="48"/>
      <c r="M4423" s="48"/>
      <c r="N4423" s="59"/>
      <c r="O4423" s="59">
        <v>23700</v>
      </c>
      <c r="P4423" s="59"/>
      <c r="Q4423" s="268">
        <f t="shared" si="222"/>
        <v>23700</v>
      </c>
      <c r="R4423" s="61">
        <f>IF(O4423=0,0,SUMIFS(Disbursements!$T:$T,Disbursements!$B:$B,'Live Collections'!D4423,Disbursements!$D:$D,'Live Collections'!F4423))</f>
        <v>24000</v>
      </c>
      <c r="S4423" s="304">
        <f>IF(O4423&lt;=IF($O4423=0,0,SUMIFS(Disbursements!$W:$W,Disbursements!$B:$B,'Live Collections'!D4423,Disbursements!$D:$D,'Live Collections'!F4423)),O4423,IF($O4423=0,0,SUMIFS(Disbursements!$W:$W,Disbursements!$B:$B,'Live Collections'!D4423,Disbursements!$D:$D,'Live Collections'!F4423)))</f>
        <v>5250</v>
      </c>
      <c r="T4423" s="304">
        <f t="shared" si="223"/>
        <v>18450</v>
      </c>
      <c r="U4423" s="52"/>
      <c r="V4423" s="34"/>
      <c r="W4423" s="408"/>
    </row>
    <row r="4424" spans="1:23" ht="12.75" customHeight="1" x14ac:dyDescent="0.2">
      <c r="A4424" s="257">
        <v>4436</v>
      </c>
      <c r="B4424" s="44">
        <v>44712</v>
      </c>
      <c r="C4424" s="44">
        <f t="shared" si="221"/>
        <v>44712</v>
      </c>
      <c r="D4424" s="374">
        <v>96</v>
      </c>
      <c r="E4424" s="291" t="str">
        <f>IFERROR(VLOOKUP($D4424,'Clients-Live'!$A:$C,3,0),"")</f>
        <v>AKANDU NIGHT YONGORO</v>
      </c>
      <c r="F4424" s="291">
        <f>IFERROR(INDEX(Disbursements!$D:$D,MATCH('Live Collections'!G4424,Disbursements!$C:$C,0)),"")</f>
        <v>3</v>
      </c>
      <c r="G4424" s="34">
        <v>432</v>
      </c>
      <c r="H4424" s="34">
        <v>6227</v>
      </c>
      <c r="I4424" s="34" t="s">
        <v>1358</v>
      </c>
      <c r="J4424" s="48"/>
      <c r="K4424" s="48"/>
      <c r="L4424" s="48"/>
      <c r="M4424" s="48"/>
      <c r="N4424" s="59"/>
      <c r="O4424" s="59">
        <v>138800</v>
      </c>
      <c r="P4424" s="59"/>
      <c r="Q4424" s="268">
        <f t="shared" si="222"/>
        <v>138800</v>
      </c>
      <c r="R4424" s="61">
        <f>IF(O4424=0,0,SUMIFS(Disbursements!$T:$T,Disbursements!$B:$B,'Live Collections'!D4424,Disbursements!$D:$D,'Live Collections'!F4424))</f>
        <v>60000</v>
      </c>
      <c r="S4424" s="304">
        <f>IF(O4424&lt;=IF($O4424=0,0,SUMIFS(Disbursements!$W:$W,Disbursements!$B:$B,'Live Collections'!D4424,Disbursements!$D:$D,'Live Collections'!F4424)),O4424,IF($O4424=0,0,SUMIFS(Disbursements!$W:$W,Disbursements!$B:$B,'Live Collections'!D4424,Disbursements!$D:$D,'Live Collections'!F4424)))</f>
        <v>15000</v>
      </c>
      <c r="T4424" s="304">
        <f t="shared" si="223"/>
        <v>123800</v>
      </c>
      <c r="U4424" s="52"/>
      <c r="V4424" s="34"/>
      <c r="W4424" s="408"/>
    </row>
    <row r="4425" spans="1:23" ht="12.75" customHeight="1" x14ac:dyDescent="0.2">
      <c r="A4425" s="257">
        <v>4437</v>
      </c>
      <c r="B4425" s="44">
        <v>44712</v>
      </c>
      <c r="C4425" s="44">
        <f t="shared" si="221"/>
        <v>44712</v>
      </c>
      <c r="D4425" s="374">
        <v>44</v>
      </c>
      <c r="E4425" s="291" t="str">
        <f>IFERROR(VLOOKUP($D4425,'Clients-Live'!$A:$C,3,0),"")</f>
        <v>CANDIRU HELLEN</v>
      </c>
      <c r="F4425" s="291" t="str">
        <f>IFERROR(INDEX(Disbursements!$D:$D,MATCH('Live Collections'!G4425,Disbursements!$C:$C,0)),"")</f>
        <v/>
      </c>
      <c r="G4425" s="34"/>
      <c r="H4425" s="34">
        <v>6222</v>
      </c>
      <c r="I4425" s="34" t="s">
        <v>1358</v>
      </c>
      <c r="J4425" s="48"/>
      <c r="K4425" s="48">
        <v>5000</v>
      </c>
      <c r="L4425" s="48"/>
      <c r="M4425" s="48"/>
      <c r="N4425" s="59"/>
      <c r="O4425" s="59"/>
      <c r="P4425" s="59"/>
      <c r="Q4425" s="268">
        <f t="shared" si="222"/>
        <v>5000</v>
      </c>
      <c r="R4425" s="61">
        <f>IF(O4425=0,0,SUMIFS(Disbursements!$T:$T,Disbursements!$B:$B,'Live Collections'!D4425,Disbursements!$D:$D,'Live Collections'!F4425))</f>
        <v>0</v>
      </c>
      <c r="S4425" s="304">
        <f>IF(O4425&lt;=IF($O4425=0,0,SUMIFS(Disbursements!$W:$W,Disbursements!$B:$B,'Live Collections'!D4425,Disbursements!$D:$D,'Live Collections'!F4425)),O4425,IF($O4425=0,0,SUMIFS(Disbursements!$W:$W,Disbursements!$B:$B,'Live Collections'!D4425,Disbursements!$D:$D,'Live Collections'!F4425)))</f>
        <v>0</v>
      </c>
      <c r="T4425" s="304">
        <f t="shared" si="223"/>
        <v>0</v>
      </c>
      <c r="U4425" s="52"/>
      <c r="V4425" s="34"/>
      <c r="W4425" s="408"/>
    </row>
    <row r="4426" spans="1:23" ht="12.75" customHeight="1" x14ac:dyDescent="0.2">
      <c r="A4426" s="257">
        <v>4438</v>
      </c>
      <c r="B4426" s="44">
        <v>44712</v>
      </c>
      <c r="C4426" s="44">
        <f t="shared" si="221"/>
        <v>44712</v>
      </c>
      <c r="D4426" s="374">
        <v>226</v>
      </c>
      <c r="E4426" s="291" t="str">
        <f>IFERROR(VLOOKUP($D4426,'Clients-Live'!$A:$C,3,0),"")</f>
        <v>MATURU NEEMA</v>
      </c>
      <c r="F4426" s="291">
        <f>IFERROR(INDEX(Disbursements!$D:$D,MATCH('Live Collections'!G4426,Disbursements!$C:$C,0)),"")</f>
        <v>2</v>
      </c>
      <c r="G4426" s="34">
        <v>245</v>
      </c>
      <c r="H4426" s="34">
        <v>6353</v>
      </c>
      <c r="I4426" s="34" t="s">
        <v>1359</v>
      </c>
      <c r="J4426" s="48"/>
      <c r="K4426" s="48"/>
      <c r="L4426" s="48"/>
      <c r="M4426" s="48"/>
      <c r="N4426" s="59"/>
      <c r="O4426" s="59">
        <v>30000</v>
      </c>
      <c r="P4426" s="59"/>
      <c r="Q4426" s="268">
        <f t="shared" si="222"/>
        <v>30000</v>
      </c>
      <c r="R4426" s="61">
        <f>IF(O4426=0,0,SUMIFS(Disbursements!$T:$T,Disbursements!$B:$B,'Live Collections'!D4426,Disbursements!$D:$D,'Live Collections'!F4426))</f>
        <v>215000</v>
      </c>
      <c r="S4426" s="304">
        <f>IF(O4426&lt;=IF($O4426=0,0,SUMIFS(Disbursements!$W:$W,Disbursements!$B:$B,'Live Collections'!D4426,Disbursements!$D:$D,'Live Collections'!F4426)),O4426,IF($O4426=0,0,SUMIFS(Disbursements!$W:$W,Disbursements!$B:$B,'Live Collections'!D4426,Disbursements!$D:$D,'Live Collections'!F4426)))</f>
        <v>15000</v>
      </c>
      <c r="T4426" s="304">
        <f t="shared" si="223"/>
        <v>15000</v>
      </c>
      <c r="U4426" s="52"/>
      <c r="V4426" s="34"/>
      <c r="W4426" s="408"/>
    </row>
    <row r="4427" spans="1:23" ht="12.75" customHeight="1" x14ac:dyDescent="0.2">
      <c r="A4427" s="257">
        <v>4439</v>
      </c>
      <c r="B4427" s="44">
        <v>44712</v>
      </c>
      <c r="C4427" s="44">
        <f t="shared" si="221"/>
        <v>44712</v>
      </c>
      <c r="D4427" s="374">
        <v>177</v>
      </c>
      <c r="E4427" s="291" t="str">
        <f>IFERROR(VLOOKUP($D4427,'Clients-Live'!$A:$C,3,0),"")</f>
        <v>EFIT GIFT</v>
      </c>
      <c r="F4427" s="291">
        <f>IFERROR(INDEX(Disbursements!$D:$D,MATCH('Live Collections'!G4427,Disbursements!$C:$C,0)),"")</f>
        <v>2</v>
      </c>
      <c r="G4427" s="34">
        <v>444</v>
      </c>
      <c r="H4427" s="34">
        <v>6225</v>
      </c>
      <c r="I4427" s="34" t="s">
        <v>1358</v>
      </c>
      <c r="J4427" s="48"/>
      <c r="K4427" s="48"/>
      <c r="L4427" s="48"/>
      <c r="M4427" s="48"/>
      <c r="N4427" s="59"/>
      <c r="O4427" s="59">
        <v>90000</v>
      </c>
      <c r="P4427" s="59"/>
      <c r="Q4427" s="268">
        <f t="shared" si="222"/>
        <v>90000</v>
      </c>
      <c r="R4427" s="61">
        <f>IF(O4427=0,0,SUMIFS(Disbursements!$T:$T,Disbursements!$B:$B,'Live Collections'!D4427,Disbursements!$D:$D,'Live Collections'!F4427))</f>
        <v>87000</v>
      </c>
      <c r="S4427" s="304">
        <f>IF(O4427&lt;=IF($O4427=0,0,SUMIFS(Disbursements!$W:$W,Disbursements!$B:$B,'Live Collections'!D4427,Disbursements!$D:$D,'Live Collections'!F4427)),O4427,IF($O4427=0,0,SUMIFS(Disbursements!$W:$W,Disbursements!$B:$B,'Live Collections'!D4427,Disbursements!$D:$D,'Live Collections'!F4427)))</f>
        <v>24500</v>
      </c>
      <c r="T4427" s="304">
        <f t="shared" si="223"/>
        <v>65500</v>
      </c>
      <c r="U4427" s="52"/>
      <c r="V4427" s="34"/>
      <c r="W4427" s="408"/>
    </row>
    <row r="4428" spans="1:23" ht="12.75" customHeight="1" x14ac:dyDescent="0.2">
      <c r="A4428" s="257">
        <v>4440</v>
      </c>
      <c r="B4428" s="44">
        <v>44712</v>
      </c>
      <c r="C4428" s="44">
        <f t="shared" si="221"/>
        <v>44712</v>
      </c>
      <c r="D4428" s="374">
        <v>157</v>
      </c>
      <c r="E4428" s="291" t="str">
        <f>IFERROR(VLOOKUP($D4428,'Clients-Live'!$A:$C,3,0),"")</f>
        <v>AYITE MARGERT</v>
      </c>
      <c r="F4428" s="291">
        <f>IFERROR(INDEX(Disbursements!$D:$D,MATCH('Live Collections'!G4428,Disbursements!$C:$C,0)),"")</f>
        <v>3</v>
      </c>
      <c r="G4428" s="34">
        <v>520</v>
      </c>
      <c r="H4428" s="34">
        <v>6226</v>
      </c>
      <c r="I4428" s="34" t="s">
        <v>1357</v>
      </c>
      <c r="J4428" s="48"/>
      <c r="K4428" s="48"/>
      <c r="L4428" s="48"/>
      <c r="M4428" s="48"/>
      <c r="N4428" s="59"/>
      <c r="O4428" s="59">
        <v>60000</v>
      </c>
      <c r="P4428" s="59"/>
      <c r="Q4428" s="268">
        <f t="shared" si="222"/>
        <v>60000</v>
      </c>
      <c r="R4428" s="61">
        <f>IF(O4428=0,0,SUMIFS(Disbursements!$T:$T,Disbursements!$B:$B,'Live Collections'!D4428,Disbursements!$D:$D,'Live Collections'!F4428))</f>
        <v>186000</v>
      </c>
      <c r="S4428" s="304">
        <f>IF(O4428&lt;=IF($O4428=0,0,SUMIFS(Disbursements!$W:$W,Disbursements!$B:$B,'Live Collections'!D4428,Disbursements!$D:$D,'Live Collections'!F4428)),O4428,IF($O4428=0,0,SUMIFS(Disbursements!$W:$W,Disbursements!$B:$B,'Live Collections'!D4428,Disbursements!$D:$D,'Live Collections'!F4428)))</f>
        <v>46000</v>
      </c>
      <c r="T4428" s="304">
        <f t="shared" si="223"/>
        <v>14000</v>
      </c>
      <c r="U4428" s="52"/>
      <c r="V4428" s="34"/>
      <c r="W4428" s="408"/>
    </row>
    <row r="4429" spans="1:23" ht="12.75" customHeight="1" x14ac:dyDescent="0.2">
      <c r="A4429" s="257">
        <v>4441</v>
      </c>
      <c r="B4429" s="44">
        <v>44712</v>
      </c>
      <c r="C4429" s="44">
        <f t="shared" si="221"/>
        <v>44712</v>
      </c>
      <c r="D4429" s="374">
        <v>192</v>
      </c>
      <c r="E4429" s="291" t="str">
        <f>IFERROR(VLOOKUP($D4429,'Clients-Live'!$A:$C,3,0),"")</f>
        <v>MAZARAU AISHA</v>
      </c>
      <c r="F4429" s="291">
        <f>IFERROR(INDEX(Disbursements!$D:$D,MATCH('Live Collections'!G4429,Disbursements!$C:$C,0)),"")</f>
        <v>2</v>
      </c>
      <c r="G4429" s="34">
        <v>354</v>
      </c>
      <c r="H4429" s="34">
        <v>6223</v>
      </c>
      <c r="I4429" s="34" t="s">
        <v>1357</v>
      </c>
      <c r="J4429" s="48"/>
      <c r="K4429" s="48"/>
      <c r="L4429" s="48"/>
      <c r="M4429" s="48"/>
      <c r="N4429" s="59"/>
      <c r="O4429" s="59">
        <v>20000</v>
      </c>
      <c r="P4429" s="59"/>
      <c r="Q4429" s="268">
        <f t="shared" ref="Q4429:Q4452" si="224">SUM(J4429:P4429)</f>
        <v>20000</v>
      </c>
      <c r="R4429" s="61">
        <f>IF(O4429=0,0,SUMIFS(Disbursements!$T:$T,Disbursements!$B:$B,'Live Collections'!D4429,Disbursements!$D:$D,'Live Collections'!F4429))</f>
        <v>120000</v>
      </c>
      <c r="S4429" s="304"/>
      <c r="T4429" s="304">
        <f t="shared" ref="T4429:T4452" si="225">IF(O4429=0,0,O4429-S4429)</f>
        <v>20000</v>
      </c>
      <c r="U4429" s="52"/>
      <c r="V4429" s="34"/>
      <c r="W4429" s="408"/>
    </row>
    <row r="4430" spans="1:23" ht="12.75" customHeight="1" x14ac:dyDescent="0.2">
      <c r="A4430" s="257">
        <v>4442</v>
      </c>
      <c r="B4430" s="44">
        <v>44712</v>
      </c>
      <c r="C4430" s="44">
        <f t="shared" si="221"/>
        <v>44712</v>
      </c>
      <c r="D4430" s="374">
        <v>66</v>
      </c>
      <c r="E4430" s="291" t="str">
        <f>IFERROR(VLOOKUP($D4430,'Clients-Live'!$A:$C,3,0),"")</f>
        <v>DENAYA NYAMAZA</v>
      </c>
      <c r="F4430" s="291">
        <f>IFERROR(INDEX(Disbursements!$D:$D,MATCH('Live Collections'!G4430,Disbursements!$C:$C,0)),"")</f>
        <v>2</v>
      </c>
      <c r="G4430" s="34">
        <v>300</v>
      </c>
      <c r="H4430" s="34">
        <v>6181</v>
      </c>
      <c r="I4430" s="34" t="s">
        <v>1357</v>
      </c>
      <c r="J4430" s="48"/>
      <c r="K4430" s="48"/>
      <c r="L4430" s="48"/>
      <c r="M4430" s="48"/>
      <c r="N4430" s="59"/>
      <c r="O4430" s="59">
        <v>30000</v>
      </c>
      <c r="P4430" s="59"/>
      <c r="Q4430" s="268">
        <f t="shared" si="224"/>
        <v>30000</v>
      </c>
      <c r="R4430" s="61">
        <f>IF(O4430=0,0,SUMIFS(Disbursements!$T:$T,Disbursements!$B:$B,'Live Collections'!D4430,Disbursements!$D:$D,'Live Collections'!F4430))</f>
        <v>109000</v>
      </c>
      <c r="S4430" s="304"/>
      <c r="T4430" s="304">
        <f t="shared" si="225"/>
        <v>30000</v>
      </c>
      <c r="U4430" s="52"/>
      <c r="V4430" s="34"/>
      <c r="W4430" s="408"/>
    </row>
    <row r="4431" spans="1:23" ht="12.75" customHeight="1" x14ac:dyDescent="0.2">
      <c r="A4431" s="257">
        <v>4443</v>
      </c>
      <c r="B4431" s="44">
        <v>44713</v>
      </c>
      <c r="C4431" s="44">
        <f t="shared" si="221"/>
        <v>44713</v>
      </c>
      <c r="D4431" s="374">
        <v>18</v>
      </c>
      <c r="E4431" s="291" t="str">
        <f>IFERROR(VLOOKUP($D4431,'Clients-Live'!$A:$C,3,0),"")</f>
        <v>ARIYE PEACE</v>
      </c>
      <c r="F4431" s="291">
        <f>IFERROR(INDEX(Disbursements!$D:$D,MATCH('Live Collections'!G4431,Disbursements!$C:$C,0)),"")</f>
        <v>2</v>
      </c>
      <c r="G4431" s="34">
        <v>317</v>
      </c>
      <c r="H4431" s="34">
        <v>6184</v>
      </c>
      <c r="I4431" s="34" t="s">
        <v>1357</v>
      </c>
      <c r="J4431" s="48"/>
      <c r="K4431" s="48"/>
      <c r="L4431" s="48"/>
      <c r="M4431" s="48"/>
      <c r="N4431" s="59"/>
      <c r="O4431" s="59">
        <v>100000</v>
      </c>
      <c r="P4431" s="59"/>
      <c r="Q4431" s="268">
        <f t="shared" si="224"/>
        <v>100000</v>
      </c>
      <c r="R4431" s="61">
        <f>IF(O4431=0,0,SUMIFS(Disbursements!$T:$T,Disbursements!$B:$B,'Live Collections'!D4431,Disbursements!$D:$D,'Live Collections'!F4431))</f>
        <v>650000</v>
      </c>
      <c r="S4431" s="304"/>
      <c r="T4431" s="304">
        <f t="shared" si="225"/>
        <v>100000</v>
      </c>
      <c r="U4431" s="52"/>
      <c r="V4431" s="34"/>
      <c r="W4431" s="408"/>
    </row>
    <row r="4432" spans="1:23" ht="12.75" customHeight="1" x14ac:dyDescent="0.2">
      <c r="A4432" s="257">
        <v>4444</v>
      </c>
      <c r="B4432" s="44">
        <v>44713</v>
      </c>
      <c r="C4432" s="44">
        <f t="shared" si="221"/>
        <v>44713</v>
      </c>
      <c r="D4432" s="374">
        <v>211</v>
      </c>
      <c r="E4432" s="291" t="str">
        <f>IFERROR(VLOOKUP($D4432,'Clients-Live'!$A:$C,3,0),"")</f>
        <v>WILARU JOYCE</v>
      </c>
      <c r="F4432" s="291">
        <f>IFERROR(INDEX(Disbursements!$D:$D,MATCH('Live Collections'!G4432,Disbursements!$C:$C,0)),"")</f>
        <v>2</v>
      </c>
      <c r="G4432" s="34">
        <v>403</v>
      </c>
      <c r="H4432" s="34">
        <v>6183</v>
      </c>
      <c r="I4432" s="34" t="s">
        <v>1358</v>
      </c>
      <c r="J4432" s="48"/>
      <c r="K4432" s="48"/>
      <c r="L4432" s="48"/>
      <c r="M4432" s="48"/>
      <c r="N4432" s="59"/>
      <c r="O4432" s="59">
        <v>100000</v>
      </c>
      <c r="P4432" s="59"/>
      <c r="Q4432" s="268">
        <f t="shared" si="224"/>
        <v>100000</v>
      </c>
      <c r="R4432" s="61">
        <f>IF(O4432=0,0,SUMIFS(Disbursements!$T:$T,Disbursements!$B:$B,'Live Collections'!D4432,Disbursements!$D:$D,'Live Collections'!F4432))</f>
        <v>87000</v>
      </c>
      <c r="S4432" s="304">
        <f>IF(O4432&lt;=IF($O4432=0,0,SUMIFS(Disbursements!$W:$W,Disbursements!$B:$B,'Live Collections'!D4432,Disbursements!$D:$D,'Live Collections'!F4432)),O4432,IF($O4432=0,0,SUMIFS(Disbursements!$W:$W,Disbursements!$B:$B,'Live Collections'!D4432,Disbursements!$D:$D,'Live Collections'!F4432)))</f>
        <v>22000</v>
      </c>
      <c r="T4432" s="304">
        <f t="shared" si="225"/>
        <v>78000</v>
      </c>
      <c r="U4432" s="52"/>
      <c r="V4432" s="34"/>
      <c r="W4432" s="408"/>
    </row>
    <row r="4433" spans="1:23" ht="12.75" customHeight="1" x14ac:dyDescent="0.2">
      <c r="A4433" s="257">
        <v>4445</v>
      </c>
      <c r="B4433" s="44">
        <v>44713</v>
      </c>
      <c r="C4433" s="44">
        <f t="shared" si="221"/>
        <v>44713</v>
      </c>
      <c r="D4433" s="374">
        <v>89</v>
      </c>
      <c r="E4433" s="291" t="str">
        <f>IFERROR(VLOOKUP($D4433,'Clients-Live'!$A:$C,3,0),"")</f>
        <v>ANDA FLORENCE</v>
      </c>
      <c r="F4433" s="291">
        <f>IFERROR(INDEX(Disbursements!$D:$D,MATCH('Live Collections'!G4433,Disbursements!$C:$C,0)),"")</f>
        <v>2</v>
      </c>
      <c r="G4433" s="34">
        <v>356</v>
      </c>
      <c r="H4433" s="34">
        <v>6232</v>
      </c>
      <c r="I4433" s="34" t="s">
        <v>1359</v>
      </c>
      <c r="J4433" s="48"/>
      <c r="K4433" s="48"/>
      <c r="L4433" s="48"/>
      <c r="M4433" s="48"/>
      <c r="N4433" s="59"/>
      <c r="O4433" s="59">
        <v>20000</v>
      </c>
      <c r="P4433" s="59"/>
      <c r="Q4433" s="268">
        <f t="shared" si="224"/>
        <v>20000</v>
      </c>
      <c r="R4433" s="61">
        <f>IF(O4433=0,0,SUMIFS(Disbursements!$T:$T,Disbursements!$B:$B,'Live Collections'!D4433,Disbursements!$D:$D,'Live Collections'!F4433))</f>
        <v>210000</v>
      </c>
      <c r="S4433" s="304"/>
      <c r="T4433" s="304">
        <f t="shared" si="225"/>
        <v>20000</v>
      </c>
      <c r="U4433" s="52"/>
      <c r="V4433" s="34"/>
      <c r="W4433" s="408"/>
    </row>
    <row r="4434" spans="1:23" ht="12.75" customHeight="1" x14ac:dyDescent="0.2">
      <c r="A4434" s="257">
        <v>4446</v>
      </c>
      <c r="B4434" s="44">
        <v>44713</v>
      </c>
      <c r="C4434" s="44">
        <f t="shared" si="221"/>
        <v>44713</v>
      </c>
      <c r="D4434" s="374">
        <v>89</v>
      </c>
      <c r="E4434" s="291" t="str">
        <f>IFERROR(VLOOKUP($D4434,'Clients-Live'!$A:$C,3,0),"")</f>
        <v>ANDA FLORENCE</v>
      </c>
      <c r="F4434" s="291">
        <f>IFERROR(INDEX(Disbursements!$D:$D,MATCH('Live Collections'!G4434,Disbursements!$C:$C,0)),"")</f>
        <v>2</v>
      </c>
      <c r="G4434" s="34">
        <v>356</v>
      </c>
      <c r="H4434" s="34" t="s">
        <v>2496</v>
      </c>
      <c r="I4434" s="34" t="s">
        <v>1359</v>
      </c>
      <c r="J4434" s="48"/>
      <c r="K4434" s="48"/>
      <c r="L4434" s="48"/>
      <c r="M4434" s="48"/>
      <c r="N4434" s="59"/>
      <c r="O4434" s="59">
        <v>70000</v>
      </c>
      <c r="P4434" s="59">
        <v>-70000</v>
      </c>
      <c r="Q4434" s="268">
        <f t="shared" si="224"/>
        <v>0</v>
      </c>
      <c r="R4434" s="61">
        <f>IF(O4434=0,0,SUMIFS(Disbursements!$T:$T,Disbursements!$B:$B,'Live Collections'!D4434,Disbursements!$D:$D,'Live Collections'!F4434))</f>
        <v>210000</v>
      </c>
      <c r="S4434" s="304"/>
      <c r="T4434" s="304">
        <f t="shared" si="225"/>
        <v>70000</v>
      </c>
      <c r="U4434" s="52"/>
      <c r="V4434" s="34"/>
      <c r="W4434" s="408"/>
    </row>
    <row r="4435" spans="1:23" ht="12.75" customHeight="1" x14ac:dyDescent="0.2">
      <c r="A4435" s="257">
        <v>4447</v>
      </c>
      <c r="B4435" s="44">
        <v>44713</v>
      </c>
      <c r="C4435" s="44">
        <f t="shared" si="221"/>
        <v>44713</v>
      </c>
      <c r="D4435" s="374">
        <v>324</v>
      </c>
      <c r="E4435" s="291" t="str">
        <f>IFERROR(VLOOKUP($D4435,'Clients-Live'!$A:$C,3,0),"")</f>
        <v>ARIKE KOKOLE YASSIN</v>
      </c>
      <c r="F4435" s="291">
        <f>IFERROR(INDEX(Disbursements!$D:$D,MATCH('Live Collections'!G4435,Disbursements!$C:$C,0)),"")</f>
        <v>1</v>
      </c>
      <c r="G4435" s="34">
        <v>450</v>
      </c>
      <c r="H4435" s="34">
        <v>5839</v>
      </c>
      <c r="I4435" s="34" t="s">
        <v>1357</v>
      </c>
      <c r="J4435" s="48"/>
      <c r="K4435" s="48"/>
      <c r="L4435" s="48"/>
      <c r="M4435" s="48"/>
      <c r="N4435" s="59"/>
      <c r="O4435" s="59">
        <v>100000</v>
      </c>
      <c r="P4435" s="59"/>
      <c r="Q4435" s="268">
        <f t="shared" si="224"/>
        <v>100000</v>
      </c>
      <c r="R4435" s="61">
        <f>IF(O4435=0,0,SUMIFS(Disbursements!$T:$T,Disbursements!$B:$B,'Live Collections'!D4435,Disbursements!$D:$D,'Live Collections'!F4435))</f>
        <v>58000</v>
      </c>
      <c r="S4435" s="304">
        <f>IF(O4435&lt;=IF($O4435=0,0,SUMIFS(Disbursements!$W:$W,Disbursements!$B:$B,'Live Collections'!D4435,Disbursements!$D:$D,'Live Collections'!F4435)),O4435,IF($O4435=0,0,SUMIFS(Disbursements!$W:$W,Disbursements!$B:$B,'Live Collections'!D4435,Disbursements!$D:$D,'Live Collections'!F4435)))</f>
        <v>16333.333333333336</v>
      </c>
      <c r="T4435" s="304">
        <f t="shared" si="225"/>
        <v>83666.666666666657</v>
      </c>
      <c r="U4435" s="52"/>
      <c r="V4435" s="34"/>
      <c r="W4435" s="408"/>
    </row>
    <row r="4436" spans="1:23" ht="12.75" customHeight="1" x14ac:dyDescent="0.2">
      <c r="A4436" s="257">
        <v>4448</v>
      </c>
      <c r="B4436" s="44">
        <v>44713</v>
      </c>
      <c r="C4436" s="44">
        <f t="shared" si="221"/>
        <v>44713</v>
      </c>
      <c r="D4436" s="374">
        <v>160</v>
      </c>
      <c r="E4436" s="291" t="str">
        <f>IFERROR(VLOOKUP($D4436,'Clients-Live'!$A:$C,3,0),"")</f>
        <v>CHANDI ZANABU</v>
      </c>
      <c r="F4436" s="291">
        <f>IFERROR(INDEX(Disbursements!$D:$D,MATCH('Live Collections'!G4436,Disbursements!$C:$C,0)),"")</f>
        <v>3</v>
      </c>
      <c r="G4436" s="34">
        <v>519</v>
      </c>
      <c r="H4436" s="34">
        <v>5840</v>
      </c>
      <c r="I4436" s="34" t="s">
        <v>1358</v>
      </c>
      <c r="J4436" s="48"/>
      <c r="K4436" s="48"/>
      <c r="L4436" s="48"/>
      <c r="M4436" s="48"/>
      <c r="N4436" s="59"/>
      <c r="O4436" s="59">
        <v>132500</v>
      </c>
      <c r="P4436" s="59"/>
      <c r="Q4436" s="268">
        <f t="shared" si="224"/>
        <v>132500</v>
      </c>
      <c r="R4436" s="61">
        <f>IF(O4436=0,0,SUMIFS(Disbursements!$T:$T,Disbursements!$B:$B,'Live Collections'!D4436,Disbursements!$D:$D,'Live Collections'!F4436))</f>
        <v>133000</v>
      </c>
      <c r="S4436" s="304">
        <f>IF(O4436&lt;=IF($O4436=0,0,SUMIFS(Disbursements!$W:$W,Disbursements!$B:$B,'Live Collections'!D4436,Disbursements!$D:$D,'Live Collections'!F4436)),O4436,IF($O4436=0,0,SUMIFS(Disbursements!$W:$W,Disbursements!$B:$B,'Live Collections'!D4436,Disbursements!$D:$D,'Live Collections'!F4436)))</f>
        <v>33000</v>
      </c>
      <c r="T4436" s="304">
        <f t="shared" si="225"/>
        <v>99500</v>
      </c>
      <c r="U4436" s="52"/>
      <c r="V4436" s="34"/>
      <c r="W4436" s="408"/>
    </row>
    <row r="4437" spans="1:23" ht="12.75" customHeight="1" x14ac:dyDescent="0.2">
      <c r="A4437" s="257">
        <v>4449</v>
      </c>
      <c r="B4437" s="44">
        <v>44713</v>
      </c>
      <c r="C4437" s="44">
        <f t="shared" si="221"/>
        <v>44713</v>
      </c>
      <c r="D4437" s="374">
        <v>164</v>
      </c>
      <c r="E4437" s="291" t="str">
        <f>IFERROR(VLOOKUP($D4437,'Clients-Live'!$A:$C,3,0),"")</f>
        <v>ARIKE SWAIB</v>
      </c>
      <c r="F4437" s="291">
        <f>IFERROR(INDEX(Disbursements!$D:$D,MATCH('Live Collections'!G4437,Disbursements!$C:$C,0)),"")</f>
        <v>2</v>
      </c>
      <c r="G4437" s="34">
        <v>508</v>
      </c>
      <c r="H4437" s="34">
        <v>5841</v>
      </c>
      <c r="I4437" s="34" t="s">
        <v>1357</v>
      </c>
      <c r="J4437" s="48"/>
      <c r="K4437" s="48"/>
      <c r="L4437" s="48"/>
      <c r="M4437" s="48"/>
      <c r="N4437" s="59"/>
      <c r="O4437" s="59">
        <v>95000</v>
      </c>
      <c r="P4437" s="59"/>
      <c r="Q4437" s="268">
        <f t="shared" si="224"/>
        <v>95000</v>
      </c>
      <c r="R4437" s="61">
        <f>IF(O4437=0,0,SUMIFS(Disbursements!$T:$T,Disbursements!$B:$B,'Live Collections'!D4437,Disbursements!$D:$D,'Live Collections'!F4437))</f>
        <v>90000</v>
      </c>
      <c r="S4437" s="304">
        <f>IF(O4437&lt;=IF($O4437=0,0,SUMIFS(Disbursements!$W:$W,Disbursements!$B:$B,'Live Collections'!D4437,Disbursements!$D:$D,'Live Collections'!F4437)),O4437,IF($O4437=0,0,SUMIFS(Disbursements!$W:$W,Disbursements!$B:$B,'Live Collections'!D4437,Disbursements!$D:$D,'Live Collections'!F4437)))</f>
        <v>25416.666666666664</v>
      </c>
      <c r="T4437" s="304">
        <f t="shared" si="225"/>
        <v>69583.333333333343</v>
      </c>
      <c r="U4437" s="52"/>
      <c r="V4437" s="34"/>
      <c r="W4437" s="408"/>
    </row>
    <row r="4438" spans="1:23" ht="12.75" customHeight="1" x14ac:dyDescent="0.2">
      <c r="A4438" s="257">
        <v>4450</v>
      </c>
      <c r="B4438" s="44">
        <v>44713</v>
      </c>
      <c r="C4438" s="44">
        <f t="shared" si="221"/>
        <v>44713</v>
      </c>
      <c r="D4438" s="374">
        <v>164</v>
      </c>
      <c r="E4438" s="291" t="str">
        <f>IFERROR(VLOOKUP($D4438,'Clients-Live'!$A:$C,3,0),"")</f>
        <v>ARIKE SWAIB</v>
      </c>
      <c r="F4438" s="291" t="str">
        <f>IFERROR(INDEX(Disbursements!$D:$D,MATCH('Live Collections'!G4438,Disbursements!$C:$C,0)),"")</f>
        <v/>
      </c>
      <c r="G4438" s="34"/>
      <c r="H4438" s="34">
        <v>6182</v>
      </c>
      <c r="I4438" s="34" t="s">
        <v>1357</v>
      </c>
      <c r="J4438" s="48"/>
      <c r="K4438" s="48">
        <v>5000</v>
      </c>
      <c r="L4438" s="48"/>
      <c r="M4438" s="48"/>
      <c r="N4438" s="59"/>
      <c r="O4438" s="59"/>
      <c r="P4438" s="59"/>
      <c r="Q4438" s="268">
        <f t="shared" si="224"/>
        <v>5000</v>
      </c>
      <c r="R4438" s="61">
        <f>IF(O4438=0,0,SUMIFS(Disbursements!$T:$T,Disbursements!$B:$B,'Live Collections'!D4438,Disbursements!$D:$D,'Live Collections'!F4438))</f>
        <v>0</v>
      </c>
      <c r="S4438" s="304">
        <f>IF(O4438&lt;=IF($O4438=0,0,SUMIFS(Disbursements!$W:$W,Disbursements!$B:$B,'Live Collections'!D4438,Disbursements!$D:$D,'Live Collections'!F4438)),O4438,IF($O4438=0,0,SUMIFS(Disbursements!$W:$W,Disbursements!$B:$B,'Live Collections'!D4438,Disbursements!$D:$D,'Live Collections'!F4438)))</f>
        <v>0</v>
      </c>
      <c r="T4438" s="304">
        <f t="shared" si="225"/>
        <v>0</v>
      </c>
      <c r="U4438" s="52"/>
      <c r="V4438" s="34"/>
      <c r="W4438" s="408"/>
    </row>
    <row r="4439" spans="1:23" ht="12.75" customHeight="1" x14ac:dyDescent="0.2">
      <c r="A4439" s="257">
        <v>4451</v>
      </c>
      <c r="B4439" s="44">
        <v>44713</v>
      </c>
      <c r="C4439" s="44">
        <f t="shared" si="221"/>
        <v>44713</v>
      </c>
      <c r="D4439" s="374">
        <v>9</v>
      </c>
      <c r="E4439" s="291" t="str">
        <f>IFERROR(VLOOKUP($D4439,'Clients-Live'!$A:$C,3,0),"")</f>
        <v>TABAN DAVID YAYA</v>
      </c>
      <c r="F4439" s="291">
        <f>IFERROR(INDEX(Disbursements!$D:$D,MATCH('Live Collections'!G4439,Disbursements!$C:$C,0)),"")</f>
        <v>4</v>
      </c>
      <c r="G4439" s="34">
        <v>507</v>
      </c>
      <c r="H4439" s="34">
        <v>6234</v>
      </c>
      <c r="I4439" s="34" t="s">
        <v>1357</v>
      </c>
      <c r="J4439" s="48"/>
      <c r="K4439" s="48"/>
      <c r="L4439" s="48"/>
      <c r="M4439" s="48"/>
      <c r="N4439" s="59"/>
      <c r="O4439" s="59">
        <v>20000</v>
      </c>
      <c r="P4439" s="59"/>
      <c r="Q4439" s="268">
        <f t="shared" si="224"/>
        <v>20000</v>
      </c>
      <c r="R4439" s="61">
        <f>IF(O4439=0,0,SUMIFS(Disbursements!$T:$T,Disbursements!$B:$B,'Live Collections'!D4439,Disbursements!$D:$D,'Live Collections'!F4439))</f>
        <v>174000</v>
      </c>
      <c r="S4439" s="304"/>
      <c r="T4439" s="304">
        <f t="shared" si="225"/>
        <v>20000</v>
      </c>
      <c r="U4439" s="52"/>
      <c r="V4439" s="34"/>
      <c r="W4439" s="408"/>
    </row>
    <row r="4440" spans="1:23" ht="12.75" customHeight="1" x14ac:dyDescent="0.2">
      <c r="A4440" s="257">
        <v>4452</v>
      </c>
      <c r="B4440" s="44">
        <v>44714</v>
      </c>
      <c r="C4440" s="44">
        <f t="shared" si="221"/>
        <v>44714</v>
      </c>
      <c r="D4440" s="374">
        <v>340</v>
      </c>
      <c r="E4440" s="291" t="str">
        <f>IFERROR(VLOOKUP($D4440,'Clients-Live'!$A:$C,3,0),"")</f>
        <v>NIGHT RAIMA</v>
      </c>
      <c r="F4440" s="291">
        <f>IFERROR(INDEX(Disbursements!$D:$D,MATCH('Live Collections'!G4440,Disbursements!$C:$C,0)),"")</f>
        <v>1</v>
      </c>
      <c r="G4440" s="34">
        <v>481</v>
      </c>
      <c r="H4440" s="34">
        <v>5843</v>
      </c>
      <c r="I4440" s="34" t="s">
        <v>1358</v>
      </c>
      <c r="J4440" s="48"/>
      <c r="K4440" s="48"/>
      <c r="L4440" s="48">
        <v>20000</v>
      </c>
      <c r="M4440" s="48">
        <v>5000</v>
      </c>
      <c r="N4440" s="59"/>
      <c r="O4440" s="59"/>
      <c r="P4440" s="59"/>
      <c r="Q4440" s="268">
        <f t="shared" si="224"/>
        <v>25000</v>
      </c>
      <c r="R4440" s="61">
        <f>IF(O4440=0,0,SUMIFS(Disbursements!$T:$T,Disbursements!$B:$B,'Live Collections'!D4440,Disbursements!$D:$D,'Live Collections'!F4440))</f>
        <v>0</v>
      </c>
      <c r="S4440" s="304">
        <f>IF(O4440&lt;=IF($O4440=0,0,SUMIFS(Disbursements!$W:$W,Disbursements!$B:$B,'Live Collections'!D4440,Disbursements!$D:$D,'Live Collections'!F4440)),O4440,IF($O4440=0,0,SUMIFS(Disbursements!$W:$W,Disbursements!$B:$B,'Live Collections'!D4440,Disbursements!$D:$D,'Live Collections'!F4440)))</f>
        <v>0</v>
      </c>
      <c r="T4440" s="304">
        <f t="shared" si="225"/>
        <v>0</v>
      </c>
      <c r="U4440" s="52"/>
      <c r="V4440" s="34"/>
      <c r="W4440" s="408"/>
    </row>
    <row r="4441" spans="1:23" ht="12.75" customHeight="1" x14ac:dyDescent="0.2">
      <c r="A4441" s="257">
        <v>4453</v>
      </c>
      <c r="B4441" s="44">
        <v>44714</v>
      </c>
      <c r="C4441" s="44">
        <f t="shared" si="221"/>
        <v>44714</v>
      </c>
      <c r="D4441" s="374">
        <v>340</v>
      </c>
      <c r="E4441" s="291" t="str">
        <f>IFERROR(VLOOKUP($D4441,'Clients-Live'!$A:$C,3,0),"")</f>
        <v>NIGHT RAIMA</v>
      </c>
      <c r="F4441" s="291">
        <f>IFERROR(INDEX(Disbursements!$D:$D,MATCH('Live Collections'!G4441,Disbursements!$C:$C,0)),"")</f>
        <v>1</v>
      </c>
      <c r="G4441" s="34">
        <v>481</v>
      </c>
      <c r="H4441" s="34">
        <v>5845</v>
      </c>
      <c r="I4441" s="34" t="s">
        <v>1358</v>
      </c>
      <c r="J4441" s="48"/>
      <c r="K4441" s="48"/>
      <c r="L4441" s="48"/>
      <c r="M4441" s="48"/>
      <c r="N4441" s="59"/>
      <c r="O4441" s="59">
        <v>210400</v>
      </c>
      <c r="P4441" s="59"/>
      <c r="Q4441" s="268">
        <f t="shared" si="224"/>
        <v>210400</v>
      </c>
      <c r="R4441" s="61">
        <f>IF(O4441=0,0,SUMIFS(Disbursements!$T:$T,Disbursements!$B:$B,'Live Collections'!D4441,Disbursements!$D:$D,'Live Collections'!F4441))</f>
        <v>40000</v>
      </c>
      <c r="S4441" s="304">
        <f>IF(O4441&lt;=IF($O4441=0,0,SUMIFS(Disbursements!$W:$W,Disbursements!$B:$B,'Live Collections'!D4441,Disbursements!$D:$D,'Live Collections'!F4441)),O4441,IF($O4441=0,0,SUMIFS(Disbursements!$W:$W,Disbursements!$B:$B,'Live Collections'!D4441,Disbursements!$D:$D,'Live Collections'!F4441)))</f>
        <v>10000</v>
      </c>
      <c r="T4441" s="304">
        <f t="shared" si="225"/>
        <v>200400</v>
      </c>
      <c r="U4441" s="52"/>
      <c r="V4441" s="34"/>
      <c r="W4441" s="408"/>
    </row>
    <row r="4442" spans="1:23" ht="12.75" customHeight="1" x14ac:dyDescent="0.2">
      <c r="A4442" s="257">
        <v>4454</v>
      </c>
      <c r="B4442" s="44">
        <v>44714</v>
      </c>
      <c r="C4442" s="44">
        <f t="shared" si="221"/>
        <v>44714</v>
      </c>
      <c r="D4442" s="374">
        <v>85</v>
      </c>
      <c r="E4442" s="291" t="str">
        <f>IFERROR(VLOOKUP($D4442,'Clients-Live'!$A:$C,3,0),"")</f>
        <v>CEASER SWALEH</v>
      </c>
      <c r="F4442" s="291">
        <f>IFERROR(INDEX(Disbursements!$D:$D,MATCH('Live Collections'!G4442,Disbursements!$C:$C,0)),"")</f>
        <v>3</v>
      </c>
      <c r="G4442" s="34">
        <v>413</v>
      </c>
      <c r="H4442" s="34">
        <v>6235</v>
      </c>
      <c r="I4442" s="34" t="s">
        <v>1357</v>
      </c>
      <c r="J4442" s="48"/>
      <c r="K4442" s="48"/>
      <c r="L4442" s="48"/>
      <c r="M4442" s="48"/>
      <c r="N4442" s="59"/>
      <c r="O4442" s="59">
        <v>70000</v>
      </c>
      <c r="P4442" s="59"/>
      <c r="Q4442" s="268">
        <f t="shared" si="224"/>
        <v>70000</v>
      </c>
      <c r="R4442" s="61">
        <f>IF(O4442=0,0,SUMIFS(Disbursements!$T:$T,Disbursements!$B:$B,'Live Collections'!D4442,Disbursements!$D:$D,'Live Collections'!F4442))</f>
        <v>788000</v>
      </c>
      <c r="S4442" s="304"/>
      <c r="T4442" s="304">
        <f t="shared" si="225"/>
        <v>70000</v>
      </c>
      <c r="U4442" s="52"/>
      <c r="V4442" s="34"/>
      <c r="W4442" s="408"/>
    </row>
    <row r="4443" spans="1:23" ht="12.75" customHeight="1" x14ac:dyDescent="0.2">
      <c r="A4443" s="257">
        <v>4455</v>
      </c>
      <c r="B4443" s="44">
        <v>44714</v>
      </c>
      <c r="C4443" s="44">
        <f t="shared" si="221"/>
        <v>44714</v>
      </c>
      <c r="D4443" s="374">
        <v>215</v>
      </c>
      <c r="E4443" s="291" t="str">
        <f>IFERROR(VLOOKUP($D4443,'Clients-Live'!$A:$C,3,0),"")</f>
        <v>BRANI MUSA</v>
      </c>
      <c r="F4443" s="291">
        <f>IFERROR(INDEX(Disbursements!$D:$D,MATCH('Live Collections'!G4443,Disbursements!$C:$C,0)),"")</f>
        <v>2</v>
      </c>
      <c r="G4443" s="34">
        <v>343</v>
      </c>
      <c r="H4443" s="34">
        <v>6236</v>
      </c>
      <c r="I4443" s="34" t="s">
        <v>1357</v>
      </c>
      <c r="J4443" s="48"/>
      <c r="K4443" s="48"/>
      <c r="L4443" s="48"/>
      <c r="M4443" s="48"/>
      <c r="N4443" s="59"/>
      <c r="O4443" s="59">
        <v>500000</v>
      </c>
      <c r="P4443" s="59"/>
      <c r="Q4443" s="268">
        <f t="shared" si="224"/>
        <v>500000</v>
      </c>
      <c r="R4443" s="61">
        <f>IF(O4443=0,0,SUMIFS(Disbursements!$T:$T,Disbursements!$B:$B,'Live Collections'!D4443,Disbursements!$D:$D,'Live Collections'!F4443))</f>
        <v>369000</v>
      </c>
      <c r="S4443" s="304">
        <f>IF(O4443&lt;=IF($O4443=0,0,SUMIFS(Disbursements!$W:$W,Disbursements!$B:$B,'Live Collections'!D4443,Disbursements!$D:$D,'Live Collections'!F4443)),O4443,IF($O4443=0,0,SUMIFS(Disbursements!$W:$W,Disbursements!$B:$B,'Live Collections'!D4443,Disbursements!$D:$D,'Live Collections'!F4443)))</f>
        <v>85666.666666666686</v>
      </c>
      <c r="T4443" s="304">
        <f t="shared" si="225"/>
        <v>414333.33333333331</v>
      </c>
      <c r="U4443" s="52"/>
      <c r="V4443" s="34"/>
      <c r="W4443" s="408"/>
    </row>
    <row r="4444" spans="1:23" ht="12.75" customHeight="1" x14ac:dyDescent="0.2">
      <c r="A4444" s="257">
        <v>4456</v>
      </c>
      <c r="B4444" s="44">
        <v>44714</v>
      </c>
      <c r="C4444" s="44">
        <f t="shared" si="221"/>
        <v>44714</v>
      </c>
      <c r="D4444" s="374">
        <v>321</v>
      </c>
      <c r="E4444" s="291" t="str">
        <f>IFERROR(VLOOKUP($D4444,'Clients-Live'!$A:$C,3,0),"")</f>
        <v>ANDERU MONICA</v>
      </c>
      <c r="F4444" s="291">
        <f>IFERROR(INDEX(Disbursements!$D:$D,MATCH('Live Collections'!G4444,Disbursements!$C:$C,0)),"")</f>
        <v>2</v>
      </c>
      <c r="G4444" s="34">
        <v>521</v>
      </c>
      <c r="H4444" s="34">
        <v>5842</v>
      </c>
      <c r="I4444" s="34" t="s">
        <v>1358</v>
      </c>
      <c r="J4444" s="48"/>
      <c r="K4444" s="48"/>
      <c r="L4444" s="48"/>
      <c r="M4444" s="48"/>
      <c r="N4444" s="59"/>
      <c r="O4444" s="59">
        <v>120000</v>
      </c>
      <c r="P4444" s="59"/>
      <c r="Q4444" s="268">
        <f t="shared" si="224"/>
        <v>120000</v>
      </c>
      <c r="R4444" s="61">
        <f>IF(O4444=0,0,SUMIFS(Disbursements!$T:$T,Disbursements!$B:$B,'Live Collections'!D4444,Disbursements!$D:$D,'Live Collections'!F4444))</f>
        <v>575000</v>
      </c>
      <c r="S4444" s="304"/>
      <c r="T4444" s="304">
        <f t="shared" si="225"/>
        <v>120000</v>
      </c>
      <c r="U4444" s="52"/>
      <c r="V4444" s="34"/>
      <c r="W4444" s="408"/>
    </row>
    <row r="4445" spans="1:23" ht="12.75" customHeight="1" x14ac:dyDescent="0.2">
      <c r="A4445" s="257">
        <v>4457</v>
      </c>
      <c r="B4445" s="44">
        <v>44714</v>
      </c>
      <c r="C4445" s="44">
        <f t="shared" si="221"/>
        <v>44714</v>
      </c>
      <c r="D4445" s="374">
        <v>340</v>
      </c>
      <c r="E4445" s="291" t="str">
        <f>IFERROR(VLOOKUP($D4445,'Clients-Live'!$A:$C,3,0),"")</f>
        <v>NIGHT RAIMA</v>
      </c>
      <c r="F4445" s="291">
        <f>IFERROR(INDEX(Disbursements!$D:$D,MATCH('Live Collections'!G4445,Disbursements!$C:$C,0)),"")</f>
        <v>1</v>
      </c>
      <c r="G4445" s="34">
        <v>481</v>
      </c>
      <c r="H4445" s="34" t="s">
        <v>2498</v>
      </c>
      <c r="I4445" s="34" t="s">
        <v>1358</v>
      </c>
      <c r="J4445" s="48"/>
      <c r="K4445" s="48"/>
      <c r="L4445" s="48"/>
      <c r="M4445" s="48"/>
      <c r="N4445" s="59"/>
      <c r="O4445" s="59">
        <v>60000</v>
      </c>
      <c r="P4445" s="59">
        <v>-60000</v>
      </c>
      <c r="Q4445" s="268">
        <f t="shared" si="224"/>
        <v>0</v>
      </c>
      <c r="R4445" s="61">
        <f>IF(O4445=0,0,SUMIFS(Disbursements!$T:$T,Disbursements!$B:$B,'Live Collections'!D4445,Disbursements!$D:$D,'Live Collections'!F4445))</f>
        <v>40000</v>
      </c>
      <c r="S4445" s="304">
        <f>IF(O4445&lt;=IF($O4445=0,0,SUMIFS(Disbursements!$W:$W,Disbursements!$B:$B,'Live Collections'!D4445,Disbursements!$D:$D,'Live Collections'!F4445)),O4445,IF($O4445=0,0,SUMIFS(Disbursements!$W:$W,Disbursements!$B:$B,'Live Collections'!D4445,Disbursements!$D:$D,'Live Collections'!F4445)))</f>
        <v>10000</v>
      </c>
      <c r="T4445" s="304">
        <f t="shared" si="225"/>
        <v>50000</v>
      </c>
      <c r="U4445" s="52"/>
      <c r="V4445" s="34"/>
      <c r="W4445" s="408"/>
    </row>
    <row r="4446" spans="1:23" ht="12.75" customHeight="1" x14ac:dyDescent="0.2">
      <c r="A4446" s="257">
        <v>4458</v>
      </c>
      <c r="B4446" s="44">
        <v>44714</v>
      </c>
      <c r="C4446" s="44">
        <f t="shared" si="221"/>
        <v>44714</v>
      </c>
      <c r="D4446" s="374">
        <v>367</v>
      </c>
      <c r="E4446" s="291" t="str">
        <f>IFERROR(VLOOKUP($D4446,'Clients-Live'!$A:$C,3,0),"")</f>
        <v xml:space="preserve"> ALORO MOSES</v>
      </c>
      <c r="F4446" s="291" t="str">
        <f>IFERROR(INDEX(Disbursements!$D:$D,MATCH('Live Collections'!G4446,Disbursements!$C:$C,0)),"")</f>
        <v/>
      </c>
      <c r="G4446" s="34"/>
      <c r="H4446" s="34">
        <v>5837</v>
      </c>
      <c r="I4446" s="34" t="s">
        <v>1357</v>
      </c>
      <c r="J4446" s="48"/>
      <c r="K4446" s="48"/>
      <c r="L4446" s="48">
        <v>15000</v>
      </c>
      <c r="M4446" s="48">
        <v>5000</v>
      </c>
      <c r="N4446" s="59"/>
      <c r="O4446" s="59"/>
      <c r="P4446" s="59"/>
      <c r="Q4446" s="268">
        <f t="shared" si="224"/>
        <v>20000</v>
      </c>
      <c r="R4446" s="61">
        <f>IF(O4446=0,0,SUMIFS(Disbursements!$T:$T,Disbursements!$B:$B,'Live Collections'!D4446,Disbursements!$D:$D,'Live Collections'!F4446))</f>
        <v>0</v>
      </c>
      <c r="S4446" s="304">
        <f>IF(O4446&lt;=IF($O4446=0,0,SUMIFS(Disbursements!$W:$W,Disbursements!$B:$B,'Live Collections'!D4446,Disbursements!$D:$D,'Live Collections'!F4446)),O4446,IF($O4446=0,0,SUMIFS(Disbursements!$W:$W,Disbursements!$B:$B,'Live Collections'!D4446,Disbursements!$D:$D,'Live Collections'!F4446)))</f>
        <v>0</v>
      </c>
      <c r="T4446" s="304">
        <f t="shared" si="225"/>
        <v>0</v>
      </c>
      <c r="U4446" s="52"/>
      <c r="V4446" s="34"/>
      <c r="W4446" s="408"/>
    </row>
    <row r="4447" spans="1:23" ht="12.75" customHeight="1" x14ac:dyDescent="0.2">
      <c r="A4447" s="257">
        <v>4459</v>
      </c>
      <c r="B4447" s="44">
        <v>44714</v>
      </c>
      <c r="C4447" s="44">
        <f t="shared" si="221"/>
        <v>44714</v>
      </c>
      <c r="D4447" s="374">
        <v>367</v>
      </c>
      <c r="E4447" s="291" t="str">
        <f>IFERROR(VLOOKUP($D4447,'Clients-Live'!$A:$C,3,0),"")</f>
        <v xml:space="preserve"> ALORO MOSES</v>
      </c>
      <c r="F4447" s="291" t="str">
        <f>IFERROR(INDEX(Disbursements!$D:$D,MATCH('Live Collections'!G4447,Disbursements!$C:$C,0)),"")</f>
        <v/>
      </c>
      <c r="G4447" s="34"/>
      <c r="H4447" s="34">
        <v>5838</v>
      </c>
      <c r="I4447" s="34" t="s">
        <v>1357</v>
      </c>
      <c r="J4447" s="48">
        <v>15000</v>
      </c>
      <c r="K4447" s="48">
        <v>5000</v>
      </c>
      <c r="L4447" s="48"/>
      <c r="M4447" s="48"/>
      <c r="N4447" s="59"/>
      <c r="O4447" s="59"/>
      <c r="P4447" s="59"/>
      <c r="Q4447" s="268">
        <f t="shared" si="224"/>
        <v>20000</v>
      </c>
      <c r="R4447" s="61">
        <f>IF(O4447=0,0,SUMIFS(Disbursements!$T:$T,Disbursements!$B:$B,'Live Collections'!D4447,Disbursements!$D:$D,'Live Collections'!F4447))</f>
        <v>0</v>
      </c>
      <c r="S4447" s="304">
        <f>IF(O4447&lt;=IF($O4447=0,0,SUMIFS(Disbursements!$W:$W,Disbursements!$B:$B,'Live Collections'!D4447,Disbursements!$D:$D,'Live Collections'!F4447)),O4447,IF($O4447=0,0,SUMIFS(Disbursements!$W:$W,Disbursements!$B:$B,'Live Collections'!D4447,Disbursements!$D:$D,'Live Collections'!F4447)))</f>
        <v>0</v>
      </c>
      <c r="T4447" s="304">
        <f t="shared" si="225"/>
        <v>0</v>
      </c>
      <c r="U4447" s="52"/>
      <c r="V4447" s="34"/>
      <c r="W4447" s="408"/>
    </row>
    <row r="4448" spans="1:23" ht="12.75" customHeight="1" x14ac:dyDescent="0.2">
      <c r="A4448" s="257">
        <v>4460</v>
      </c>
      <c r="B4448" s="44">
        <v>44714</v>
      </c>
      <c r="C4448" s="44">
        <f t="shared" si="221"/>
        <v>44714</v>
      </c>
      <c r="D4448" s="374">
        <v>169</v>
      </c>
      <c r="E4448" s="291" t="str">
        <f>IFERROR(VLOOKUP($D4448,'Clients-Live'!$A:$C,3,0),"")</f>
        <v>KATO KENNEDY</v>
      </c>
      <c r="F4448" s="291">
        <f>IFERROR(INDEX(Disbursements!$D:$D,MATCH('Live Collections'!G4448,Disbursements!$C:$C,0)),"")</f>
        <v>2</v>
      </c>
      <c r="G4448" s="34">
        <v>394</v>
      </c>
      <c r="H4448" s="34">
        <v>6238</v>
      </c>
      <c r="I4448" s="34" t="s">
        <v>1357</v>
      </c>
      <c r="J4448" s="48"/>
      <c r="K4448" s="48"/>
      <c r="L4448" s="48"/>
      <c r="M4448" s="48"/>
      <c r="N4448" s="59"/>
      <c r="O4448" s="59">
        <v>60000</v>
      </c>
      <c r="P4448" s="59"/>
      <c r="Q4448" s="268">
        <f t="shared" si="224"/>
        <v>60000</v>
      </c>
      <c r="R4448" s="61">
        <f>IF(O4448=0,0,SUMIFS(Disbursements!$T:$T,Disbursements!$B:$B,'Live Collections'!D4448,Disbursements!$D:$D,'Live Collections'!F4448))</f>
        <v>58000</v>
      </c>
      <c r="S4448" s="304">
        <f>IF(O4448&lt;=IF($O4448=0,0,SUMIFS(Disbursements!$W:$W,Disbursements!$B:$B,'Live Collections'!D4448,Disbursements!$D:$D,'Live Collections'!F4448)),O4448,IF($O4448=0,0,SUMIFS(Disbursements!$W:$W,Disbursements!$B:$B,'Live Collections'!D4448,Disbursements!$D:$D,'Live Collections'!F4448)))</f>
        <v>16333.333333333336</v>
      </c>
      <c r="T4448" s="304">
        <f t="shared" si="225"/>
        <v>43666.666666666664</v>
      </c>
      <c r="U4448" s="52"/>
      <c r="V4448" s="34"/>
      <c r="W4448" s="408"/>
    </row>
    <row r="4449" spans="1:23" ht="12.75" customHeight="1" x14ac:dyDescent="0.2">
      <c r="A4449" s="257">
        <v>4461</v>
      </c>
      <c r="B4449" s="44">
        <v>44714</v>
      </c>
      <c r="C4449" s="44">
        <f t="shared" si="221"/>
        <v>44714</v>
      </c>
      <c r="D4449" s="374">
        <v>157</v>
      </c>
      <c r="E4449" s="291" t="str">
        <f>IFERROR(VLOOKUP($D4449,'Clients-Live'!$A:$C,3,0),"")</f>
        <v>AYITE MARGERT</v>
      </c>
      <c r="F4449" s="291">
        <f>IFERROR(INDEX(Disbursements!$D:$D,MATCH('Live Collections'!G4449,Disbursements!$C:$C,0)),"")</f>
        <v>3</v>
      </c>
      <c r="G4449" s="34">
        <v>520</v>
      </c>
      <c r="H4449" s="34">
        <v>6186</v>
      </c>
      <c r="I4449" s="34" t="s">
        <v>1357</v>
      </c>
      <c r="J4449" s="48"/>
      <c r="K4449" s="48"/>
      <c r="L4449" s="48"/>
      <c r="M4449" s="48"/>
      <c r="N4449" s="59"/>
      <c r="O4449" s="59">
        <v>90000</v>
      </c>
      <c r="P4449" s="59"/>
      <c r="Q4449" s="268">
        <f t="shared" si="224"/>
        <v>90000</v>
      </c>
      <c r="R4449" s="61">
        <f>IF(O4449=0,0,SUMIFS(Disbursements!$T:$T,Disbursements!$B:$B,'Live Collections'!D4449,Disbursements!$D:$D,'Live Collections'!F4449))</f>
        <v>186000</v>
      </c>
      <c r="S4449" s="304">
        <f>IF(O4449&lt;=IF($O4449=0,0,SUMIFS(Disbursements!$W:$W,Disbursements!$B:$B,'Live Collections'!D4449,Disbursements!$D:$D,'Live Collections'!F4449)),O4449,IF($O4449=0,0,SUMIFS(Disbursements!$W:$W,Disbursements!$B:$B,'Live Collections'!D4449,Disbursements!$D:$D,'Live Collections'!F4449)))</f>
        <v>46000</v>
      </c>
      <c r="T4449" s="304">
        <f t="shared" si="225"/>
        <v>44000</v>
      </c>
      <c r="U4449" s="52"/>
      <c r="V4449" s="34"/>
      <c r="W4449" s="408"/>
    </row>
    <row r="4450" spans="1:23" ht="12.75" customHeight="1" x14ac:dyDescent="0.2">
      <c r="A4450" s="257">
        <v>4462</v>
      </c>
      <c r="B4450" s="44">
        <v>44714</v>
      </c>
      <c r="C4450" s="44">
        <f t="shared" si="221"/>
        <v>44714</v>
      </c>
      <c r="D4450" s="374">
        <v>303</v>
      </c>
      <c r="E4450" s="291" t="str">
        <f>IFERROR(VLOOKUP($D4450,'Clients-Live'!$A:$C,3,0),"")</f>
        <v>APAYI DOROTHY</v>
      </c>
      <c r="F4450" s="291">
        <f>IFERROR(INDEX(Disbursements!$D:$D,MATCH('Live Collections'!G4450,Disbursements!$C:$C,0)),"")</f>
        <v>1</v>
      </c>
      <c r="G4450" s="34">
        <v>399</v>
      </c>
      <c r="H4450" s="34">
        <v>6185</v>
      </c>
      <c r="I4450" s="34" t="s">
        <v>1359</v>
      </c>
      <c r="J4450" s="48"/>
      <c r="K4450" s="48"/>
      <c r="L4450" s="48"/>
      <c r="M4450" s="48"/>
      <c r="N4450" s="59"/>
      <c r="O4450" s="59">
        <v>30000</v>
      </c>
      <c r="P4450" s="59"/>
      <c r="Q4450" s="268">
        <f t="shared" si="224"/>
        <v>30000</v>
      </c>
      <c r="R4450" s="61">
        <f>IF(O4450=0,0,SUMIFS(Disbursements!$T:$T,Disbursements!$B:$B,'Live Collections'!D4450,Disbursements!$D:$D,'Live Collections'!F4450))</f>
        <v>40000</v>
      </c>
      <c r="S4450" s="304"/>
      <c r="T4450" s="304">
        <f t="shared" si="225"/>
        <v>30000</v>
      </c>
      <c r="U4450" s="52"/>
      <c r="V4450" s="34"/>
      <c r="W4450" s="408"/>
    </row>
    <row r="4451" spans="1:23" ht="12.75" customHeight="1" x14ac:dyDescent="0.2">
      <c r="A4451" s="257">
        <v>4463</v>
      </c>
      <c r="B4451" s="44">
        <v>44714</v>
      </c>
      <c r="C4451" s="44">
        <f t="shared" si="221"/>
        <v>44714</v>
      </c>
      <c r="D4451" s="374">
        <v>340</v>
      </c>
      <c r="E4451" s="291" t="str">
        <f>IFERROR(VLOOKUP($D4451,'Clients-Live'!$A:$C,3,0),"")</f>
        <v>NIGHT RAIMA</v>
      </c>
      <c r="F4451" s="291">
        <f>IFERROR(INDEX(Disbursements!$D:$D,MATCH('Live Collections'!G4451,Disbursements!$C:$C,0)),"")</f>
        <v>1</v>
      </c>
      <c r="G4451" s="34">
        <v>481</v>
      </c>
      <c r="H4451" s="34">
        <v>6237</v>
      </c>
      <c r="I4451" s="34" t="s">
        <v>1358</v>
      </c>
      <c r="J4451" s="48"/>
      <c r="K4451" s="48"/>
      <c r="L4451" s="48"/>
      <c r="M4451" s="48"/>
      <c r="N4451" s="59"/>
      <c r="O4451" s="59">
        <v>165000</v>
      </c>
      <c r="P4451" s="59"/>
      <c r="Q4451" s="268">
        <f t="shared" si="224"/>
        <v>165000</v>
      </c>
      <c r="R4451" s="61">
        <f>IF(O4451=0,0,SUMIFS(Disbursements!$T:$T,Disbursements!$B:$B,'Live Collections'!D4451,Disbursements!$D:$D,'Live Collections'!F4451))</f>
        <v>40000</v>
      </c>
      <c r="S4451" s="304">
        <f>IF(O4451&lt;=IF($O4451=0,0,SUMIFS(Disbursements!$W:$W,Disbursements!$B:$B,'Live Collections'!D4451,Disbursements!$D:$D,'Live Collections'!F4451)),O4451,IF($O4451=0,0,SUMIFS(Disbursements!$W:$W,Disbursements!$B:$B,'Live Collections'!D4451,Disbursements!$D:$D,'Live Collections'!F4451)))</f>
        <v>10000</v>
      </c>
      <c r="T4451" s="304">
        <v>79600</v>
      </c>
      <c r="U4451" s="52"/>
      <c r="V4451" s="34"/>
      <c r="W4451" s="408"/>
    </row>
    <row r="4452" spans="1:23" ht="12.75" customHeight="1" x14ac:dyDescent="0.2">
      <c r="A4452" s="257">
        <v>4464</v>
      </c>
      <c r="B4452" s="44">
        <v>44714</v>
      </c>
      <c r="C4452" s="44">
        <f t="shared" si="221"/>
        <v>44714</v>
      </c>
      <c r="D4452" s="374">
        <v>202</v>
      </c>
      <c r="E4452" s="291" t="str">
        <f>IFERROR(VLOOKUP($D4452,'Clients-Live'!$A:$C,3,0),"")</f>
        <v>MUSEMA SWAIBU</v>
      </c>
      <c r="F4452" s="291" t="str">
        <f>IFERROR(INDEX(Disbursements!$D:$D,MATCH('Live Collections'!G4452,Disbursements!$C:$C,0)),"")</f>
        <v/>
      </c>
      <c r="G4452" s="34"/>
      <c r="H4452" s="34">
        <v>6239</v>
      </c>
      <c r="I4452" s="34" t="s">
        <v>1358</v>
      </c>
      <c r="J4452" s="48"/>
      <c r="K4452" s="48"/>
      <c r="L4452" s="48">
        <v>20000</v>
      </c>
      <c r="M4452" s="48">
        <v>5000</v>
      </c>
      <c r="N4452" s="59"/>
      <c r="O4452" s="59"/>
      <c r="P4452" s="59"/>
      <c r="Q4452" s="268">
        <f t="shared" si="224"/>
        <v>25000</v>
      </c>
      <c r="R4452" s="61">
        <f>IF(O4452=0,0,SUMIFS(Disbursements!$T:$T,Disbursements!$B:$B,'Live Collections'!D4452,Disbursements!$D:$D,'Live Collections'!F4452))</f>
        <v>0</v>
      </c>
      <c r="S4452" s="304">
        <f>IF(O4452&lt;=IF($O4452=0,0,SUMIFS(Disbursements!$W:$W,Disbursements!$B:$B,'Live Collections'!D4452,Disbursements!$D:$D,'Live Collections'!F4452)),O4452,IF($O4452=0,0,SUMIFS(Disbursements!$W:$W,Disbursements!$B:$B,'Live Collections'!D4452,Disbursements!$D:$D,'Live Collections'!F4452)))</f>
        <v>0</v>
      </c>
      <c r="T4452" s="304">
        <f t="shared" si="225"/>
        <v>0</v>
      </c>
      <c r="U4452" s="52"/>
      <c r="V4452" s="34"/>
      <c r="W4452" s="408"/>
    </row>
    <row r="4453" spans="1:23" ht="12.75" customHeight="1" x14ac:dyDescent="0.2">
      <c r="A4453" s="257">
        <v>4465</v>
      </c>
      <c r="B4453" s="44">
        <v>44715</v>
      </c>
      <c r="C4453" s="44">
        <f t="shared" si="221"/>
        <v>44715</v>
      </c>
      <c r="D4453" s="374">
        <v>368</v>
      </c>
      <c r="E4453" s="291" t="str">
        <f>IFERROR(VLOOKUP($D4453,'Clients-Live'!$A:$C,3,0),"")</f>
        <v>SADIA MANENO</v>
      </c>
      <c r="F4453" s="291" t="str">
        <f>IFERROR(INDEX(Disbursements!$D:$D,MATCH('Live Collections'!G4453,Disbursements!$C:$C,0)),"")</f>
        <v/>
      </c>
      <c r="G4453" s="34"/>
      <c r="H4453" s="34">
        <v>6242</v>
      </c>
      <c r="I4453" s="34" t="s">
        <v>1358</v>
      </c>
      <c r="J4453" s="48"/>
      <c r="K4453" s="48"/>
      <c r="L4453" s="48">
        <v>30000</v>
      </c>
      <c r="M4453" s="48">
        <v>5000</v>
      </c>
      <c r="N4453" s="59"/>
      <c r="O4453" s="59"/>
      <c r="P4453" s="59"/>
      <c r="Q4453" s="268">
        <f t="shared" si="222"/>
        <v>35000</v>
      </c>
      <c r="R4453" s="61">
        <f>IF(O4453=0,0,SUMIFS(Disbursements!$T:$T,Disbursements!$B:$B,'Live Collections'!D4453,Disbursements!$D:$D,'Live Collections'!F4453))</f>
        <v>0</v>
      </c>
      <c r="S4453" s="304">
        <f>IF(O4453&lt;=IF($O4453=0,0,SUMIFS(Disbursements!$W:$W,Disbursements!$B:$B,'Live Collections'!D4453,Disbursements!$D:$D,'Live Collections'!F4453)),O4453,IF($O4453=0,0,SUMIFS(Disbursements!$W:$W,Disbursements!$B:$B,'Live Collections'!D4453,Disbursements!$D:$D,'Live Collections'!F4453)))</f>
        <v>0</v>
      </c>
      <c r="T4453" s="304">
        <f t="shared" si="223"/>
        <v>0</v>
      </c>
      <c r="U4453" s="52"/>
      <c r="V4453" s="34"/>
      <c r="W4453" s="408"/>
    </row>
    <row r="4454" spans="1:23" ht="12.75" customHeight="1" x14ac:dyDescent="0.2">
      <c r="A4454" s="257">
        <v>4467</v>
      </c>
      <c r="B4454" s="44">
        <v>44715</v>
      </c>
      <c r="C4454" s="44">
        <f t="shared" si="221"/>
        <v>44715</v>
      </c>
      <c r="D4454" s="374">
        <v>368</v>
      </c>
      <c r="E4454" s="291" t="str">
        <f>IFERROR(VLOOKUP($D4454,'Clients-Live'!$A:$C,3,0),"")</f>
        <v>SADIA MANENO</v>
      </c>
      <c r="F4454" s="291" t="str">
        <f>IFERROR(INDEX(Disbursements!$D:$D,MATCH('Live Collections'!G4454,Disbursements!$C:$C,0)),"")</f>
        <v/>
      </c>
      <c r="G4454" s="34"/>
      <c r="H4454" s="34">
        <v>6241</v>
      </c>
      <c r="I4454" s="34" t="s">
        <v>1358</v>
      </c>
      <c r="J4454" s="48">
        <v>15000</v>
      </c>
      <c r="K4454" s="48">
        <v>5000</v>
      </c>
      <c r="L4454" s="48"/>
      <c r="M4454" s="48"/>
      <c r="N4454" s="59"/>
      <c r="O4454" s="59"/>
      <c r="P4454" s="59"/>
      <c r="Q4454" s="268">
        <f t="shared" si="222"/>
        <v>20000</v>
      </c>
      <c r="R4454" s="61">
        <f>IF(O4454=0,0,SUMIFS(Disbursements!$T:$T,Disbursements!$B:$B,'Live Collections'!D4454,Disbursements!$D:$D,'Live Collections'!F4454))</f>
        <v>0</v>
      </c>
      <c r="S4454" s="304">
        <f>IF(O4454&lt;=IF($O4454=0,0,SUMIFS(Disbursements!$W:$W,Disbursements!$B:$B,'Live Collections'!D4454,Disbursements!$D:$D,'Live Collections'!F4454)),O4454,IF($O4454=0,0,SUMIFS(Disbursements!$W:$W,Disbursements!$B:$B,'Live Collections'!D4454,Disbursements!$D:$D,'Live Collections'!F4454)))</f>
        <v>0</v>
      </c>
      <c r="T4454" s="304">
        <f t="shared" si="223"/>
        <v>0</v>
      </c>
      <c r="U4454" s="52"/>
      <c r="V4454" s="34"/>
      <c r="W4454" s="408"/>
    </row>
    <row r="4455" spans="1:23" ht="12.75" customHeight="1" x14ac:dyDescent="0.2">
      <c r="A4455" s="257"/>
      <c r="B4455" s="44">
        <v>44715</v>
      </c>
      <c r="C4455" s="44">
        <f t="shared" si="221"/>
        <v>44715</v>
      </c>
      <c r="D4455" s="374">
        <v>176</v>
      </c>
      <c r="E4455" s="291" t="str">
        <f>IFERROR(VLOOKUP($D4455,'Clients-Live'!$A:$C,3,0),"")</f>
        <v>AJONYE JANE SINANDUGU</v>
      </c>
      <c r="F4455" s="291">
        <f>IFERROR(INDEX(Disbursements!$D:$D,MATCH('Live Collections'!G4455,Disbursements!$C:$C,0)),"")</f>
        <v>3</v>
      </c>
      <c r="G4455" s="34">
        <v>493</v>
      </c>
      <c r="H4455" s="34">
        <v>6188</v>
      </c>
      <c r="I4455" s="34" t="s">
        <v>1358</v>
      </c>
      <c r="J4455" s="48"/>
      <c r="K4455" s="48"/>
      <c r="L4455" s="48"/>
      <c r="M4455" s="48"/>
      <c r="N4455" s="59"/>
      <c r="O4455" s="59">
        <v>1158000</v>
      </c>
      <c r="P4455" s="59"/>
      <c r="Q4455" s="268">
        <f t="shared" si="222"/>
        <v>1158000</v>
      </c>
      <c r="R4455" s="61">
        <f>IF(O4455=0,0,SUMIFS(Disbursements!$T:$T,Disbursements!$B:$B,'Live Collections'!D4455,Disbursements!$D:$D,'Live Collections'!F4455))</f>
        <v>1159000</v>
      </c>
      <c r="S4455" s="304">
        <f>IF(O4455&lt;=IF($O4455=0,0,SUMIFS(Disbursements!$W:$W,Disbursements!$B:$B,'Live Collections'!D4455,Disbursements!$D:$D,'Live Collections'!F4455)),O4455,IF($O4455=0,0,SUMIFS(Disbursements!$W:$W,Disbursements!$B:$B,'Live Collections'!D4455,Disbursements!$D:$D,'Live Collections'!F4455)))</f>
        <v>325666.66666666663</v>
      </c>
      <c r="T4455" s="304">
        <f t="shared" si="223"/>
        <v>832333.33333333337</v>
      </c>
      <c r="U4455" s="52"/>
      <c r="V4455" s="34"/>
      <c r="W4455" s="408"/>
    </row>
    <row r="4456" spans="1:23" ht="12.75" customHeight="1" x14ac:dyDescent="0.2">
      <c r="A4456" s="257"/>
      <c r="B4456" s="44">
        <v>44715</v>
      </c>
      <c r="C4456" s="44">
        <f t="shared" si="221"/>
        <v>44715</v>
      </c>
      <c r="D4456" s="374">
        <v>99</v>
      </c>
      <c r="E4456" s="291" t="str">
        <f>IFERROR(VLOOKUP($D4456,'Clients-Live'!$A:$C,3,0),"")</f>
        <v>SIJALI ASINA SIS</v>
      </c>
      <c r="F4456" s="291">
        <f>IFERROR(INDEX(Disbursements!$D:$D,MATCH('Live Collections'!G4456,Disbursements!$C:$C,0)),"")</f>
        <v>3</v>
      </c>
      <c r="G4456" s="34">
        <v>494</v>
      </c>
      <c r="H4456" s="34">
        <v>6189</v>
      </c>
      <c r="I4456" s="34" t="s">
        <v>1358</v>
      </c>
      <c r="J4456" s="48"/>
      <c r="K4456" s="48"/>
      <c r="L4456" s="48"/>
      <c r="M4456" s="48"/>
      <c r="N4456" s="59"/>
      <c r="O4456" s="59">
        <v>231300</v>
      </c>
      <c r="P4456" s="59"/>
      <c r="Q4456" s="268">
        <f t="shared" si="222"/>
        <v>231300</v>
      </c>
      <c r="R4456" s="61">
        <f>IF(O4456=0,0,SUMIFS(Disbursements!$T:$T,Disbursements!$B:$B,'Live Collections'!D4456,Disbursements!$D:$D,'Live Collections'!F4456))</f>
        <v>232000</v>
      </c>
      <c r="S4456" s="304">
        <f>IF(O4456&lt;=IF($O4456=0,0,SUMIFS(Disbursements!$W:$W,Disbursements!$B:$B,'Live Collections'!D4456,Disbursements!$D:$D,'Live Collections'!F4456)),O4456,IF($O4456=0,0,SUMIFS(Disbursements!$W:$W,Disbursements!$B:$B,'Live Collections'!D4456,Disbursements!$D:$D,'Live Collections'!F4456)))</f>
        <v>65333.333333333343</v>
      </c>
      <c r="T4456" s="304">
        <f t="shared" si="223"/>
        <v>165966.66666666666</v>
      </c>
      <c r="U4456" s="52"/>
      <c r="V4456" s="34"/>
      <c r="W4456" s="408"/>
    </row>
    <row r="4457" spans="1:23" ht="12.75" customHeight="1" x14ac:dyDescent="0.2">
      <c r="A4457" s="257"/>
      <c r="B4457" s="44">
        <v>44715</v>
      </c>
      <c r="C4457" s="44">
        <f t="shared" si="221"/>
        <v>44715</v>
      </c>
      <c r="D4457" s="374">
        <v>6</v>
      </c>
      <c r="E4457" s="291" t="str">
        <f>IFERROR(VLOOKUP($D4457,'Clients-Live'!$A:$C,3,0),"")</f>
        <v>AMUTE BASHIR</v>
      </c>
      <c r="F4457" s="291">
        <f>IFERROR(INDEX(Disbursements!$D:$D,MATCH('Live Collections'!G4457,Disbursements!$C:$C,0)),"")</f>
        <v>3</v>
      </c>
      <c r="G4457" s="34">
        <v>418</v>
      </c>
      <c r="H4457" s="34">
        <v>6240</v>
      </c>
      <c r="I4457" s="34" t="s">
        <v>1358</v>
      </c>
      <c r="J4457" s="48"/>
      <c r="K4457" s="48"/>
      <c r="L4457" s="48"/>
      <c r="M4457" s="48"/>
      <c r="N4457" s="59"/>
      <c r="O4457" s="59">
        <v>300000</v>
      </c>
      <c r="P4457" s="59"/>
      <c r="Q4457" s="268">
        <f t="shared" si="222"/>
        <v>300000</v>
      </c>
      <c r="R4457" s="61">
        <f>IF(O4457=0,0,SUMIFS(Disbursements!$T:$T,Disbursements!$B:$B,'Live Collections'!D4457,Disbursements!$D:$D,'Live Collections'!F4457))</f>
        <v>1159000</v>
      </c>
      <c r="S4457" s="304">
        <f>IF(O4457&lt;=IF($O4457=0,0,SUMIFS(Disbursements!$W:$W,Disbursements!$B:$B,'Live Collections'!D4457,Disbursements!$D:$D,'Live Collections'!F4457)),O4457,IF($O4457=0,0,SUMIFS(Disbursements!$W:$W,Disbursements!$B:$B,'Live Collections'!D4457,Disbursements!$D:$D,'Live Collections'!F4457)))</f>
        <v>300000</v>
      </c>
      <c r="T4457" s="304">
        <f t="shared" si="223"/>
        <v>0</v>
      </c>
      <c r="U4457" s="52"/>
      <c r="V4457" s="34"/>
      <c r="W4457" s="408"/>
    </row>
    <row r="4458" spans="1:23" ht="12.75" customHeight="1" x14ac:dyDescent="0.2">
      <c r="A4458" s="257"/>
      <c r="B4458" s="44">
        <v>44715</v>
      </c>
      <c r="C4458" s="44">
        <f t="shared" si="221"/>
        <v>44715</v>
      </c>
      <c r="D4458" s="374">
        <v>73</v>
      </c>
      <c r="E4458" s="291" t="str">
        <f>IFERROR(VLOOKUP($D4458,'Clients-Live'!$A:$C,3,0),"")</f>
        <v>AJONYE DEBORA</v>
      </c>
      <c r="F4458" s="291">
        <f>IFERROR(INDEX(Disbursements!$D:$D,MATCH('Live Collections'!G4458,Disbursements!$C:$C,0)),"")</f>
        <v>3</v>
      </c>
      <c r="G4458" s="34">
        <v>426</v>
      </c>
      <c r="H4458" s="34">
        <v>6191</v>
      </c>
      <c r="I4458" s="34" t="s">
        <v>1357</v>
      </c>
      <c r="J4458" s="48"/>
      <c r="K4458" s="48"/>
      <c r="L4458" s="48"/>
      <c r="M4458" s="48"/>
      <c r="N4458" s="59"/>
      <c r="O4458" s="59">
        <v>106000</v>
      </c>
      <c r="P4458" s="59"/>
      <c r="Q4458" s="268">
        <f t="shared" si="222"/>
        <v>106000</v>
      </c>
      <c r="R4458" s="61">
        <f>IF(O4458=0,0,SUMIFS(Disbursements!$T:$T,Disbursements!$B:$B,'Live Collections'!D4458,Disbursements!$D:$D,'Live Collections'!F4458))</f>
        <v>53000</v>
      </c>
      <c r="S4458" s="304">
        <f>IF(O4458&lt;=IF($O4458=0,0,SUMIFS(Disbursements!$W:$W,Disbursements!$B:$B,'Live Collections'!D4458,Disbursements!$D:$D,'Live Collections'!F4458)),O4458,IF($O4458=0,0,SUMIFS(Disbursements!$W:$W,Disbursements!$B:$B,'Live Collections'!D4458,Disbursements!$D:$D,'Live Collections'!F4458)))</f>
        <v>13000</v>
      </c>
      <c r="T4458" s="304">
        <f t="shared" si="223"/>
        <v>93000</v>
      </c>
      <c r="U4458" s="52"/>
      <c r="V4458" s="34"/>
      <c r="W4458" s="408"/>
    </row>
    <row r="4459" spans="1:23" ht="12.75" customHeight="1" x14ac:dyDescent="0.2">
      <c r="A4459" s="257"/>
      <c r="B4459" s="44">
        <v>44715</v>
      </c>
      <c r="C4459" s="44">
        <f t="shared" si="221"/>
        <v>44715</v>
      </c>
      <c r="D4459" s="374">
        <v>3</v>
      </c>
      <c r="E4459" s="291" t="str">
        <f>IFERROR(VLOOKUP($D4459,'Clients-Live'!$A:$C,3,0),"")</f>
        <v>YEKA ARIJABU</v>
      </c>
      <c r="F4459" s="291">
        <f>IFERROR(INDEX(Disbursements!$D:$D,MATCH('Live Collections'!G4459,Disbursements!$C:$C,0)),"")</f>
        <v>2</v>
      </c>
      <c r="G4459" s="34">
        <v>443</v>
      </c>
      <c r="H4459" s="34">
        <v>6192</v>
      </c>
      <c r="I4459" s="34" t="s">
        <v>1357</v>
      </c>
      <c r="J4459" s="48"/>
      <c r="K4459" s="48"/>
      <c r="L4459" s="48"/>
      <c r="M4459" s="48"/>
      <c r="N4459" s="59"/>
      <c r="O4459" s="59">
        <v>100000</v>
      </c>
      <c r="P4459" s="59"/>
      <c r="Q4459" s="268">
        <f t="shared" si="222"/>
        <v>100000</v>
      </c>
      <c r="R4459" s="61">
        <f>IF(O4459=0,0,SUMIFS(Disbursements!$T:$T,Disbursements!$B:$B,'Live Collections'!D4459,Disbursements!$D:$D,'Live Collections'!F4459))</f>
        <v>116000</v>
      </c>
      <c r="S4459" s="304">
        <f>IF(O4459&lt;=IF($O4459=0,0,SUMIFS(Disbursements!$W:$W,Disbursements!$B:$B,'Live Collections'!D4459,Disbursements!$D:$D,'Live Collections'!F4459)),O4459,IF($O4459=0,0,SUMIFS(Disbursements!$W:$W,Disbursements!$B:$B,'Live Collections'!D4459,Disbursements!$D:$D,'Live Collections'!F4459)))</f>
        <v>32666.666666666672</v>
      </c>
      <c r="T4459" s="304">
        <f t="shared" si="223"/>
        <v>67333.333333333328</v>
      </c>
      <c r="U4459" s="52"/>
      <c r="V4459" s="34"/>
      <c r="W4459" s="408"/>
    </row>
    <row r="4460" spans="1:23" ht="12.75" customHeight="1" x14ac:dyDescent="0.2">
      <c r="A4460" s="257"/>
      <c r="B4460" s="44">
        <v>44715</v>
      </c>
      <c r="C4460" s="44">
        <f t="shared" si="221"/>
        <v>44715</v>
      </c>
      <c r="D4460" s="374">
        <v>205</v>
      </c>
      <c r="E4460" s="291" t="str">
        <f>IFERROR(VLOOKUP($D4460,'Clients-Live'!$A:$C,3,0),"")</f>
        <v>OPIRU ALICE</v>
      </c>
      <c r="F4460" s="291">
        <f>IFERROR(INDEX(Disbursements!$D:$D,MATCH('Live Collections'!G4460,Disbursements!$C:$C,0)),"")</f>
        <v>2</v>
      </c>
      <c r="G4460" s="34">
        <v>396</v>
      </c>
      <c r="H4460" s="34">
        <v>6190</v>
      </c>
      <c r="I4460" s="34" t="s">
        <v>1359</v>
      </c>
      <c r="J4460" s="48"/>
      <c r="K4460" s="48"/>
      <c r="L4460" s="48"/>
      <c r="M4460" s="48"/>
      <c r="N4460" s="59"/>
      <c r="O4460" s="59">
        <v>30000</v>
      </c>
      <c r="P4460" s="59"/>
      <c r="Q4460" s="268">
        <f t="shared" si="222"/>
        <v>30000</v>
      </c>
      <c r="R4460" s="61">
        <f>IF(O4460=0,0,SUMIFS(Disbursements!$T:$T,Disbursements!$B:$B,'Live Collections'!D4460,Disbursements!$D:$D,'Live Collections'!F4460))</f>
        <v>40000</v>
      </c>
      <c r="S4460" s="304"/>
      <c r="T4460" s="304">
        <f t="shared" si="223"/>
        <v>30000</v>
      </c>
      <c r="U4460" s="52"/>
      <c r="V4460" s="34"/>
      <c r="W4460" s="408"/>
    </row>
    <row r="4461" spans="1:23" ht="12.75" customHeight="1" x14ac:dyDescent="0.2">
      <c r="A4461" s="257"/>
      <c r="B4461" s="44">
        <v>44715</v>
      </c>
      <c r="C4461" s="44">
        <f t="shared" si="221"/>
        <v>44715</v>
      </c>
      <c r="D4461" s="374"/>
      <c r="E4461" s="291" t="str">
        <f>IFERROR(VLOOKUP($D4461,'Clients-Live'!$A:$C,3,0),"")</f>
        <v/>
      </c>
      <c r="F4461" s="291" t="str">
        <f>IFERROR(INDEX(Disbursements!$D:$D,MATCH('Live Collections'!G4461,Disbursements!$C:$C,0)),"")</f>
        <v/>
      </c>
      <c r="G4461" s="34"/>
      <c r="H4461" s="34"/>
      <c r="I4461" s="34"/>
      <c r="J4461" s="48"/>
      <c r="K4461" s="48"/>
      <c r="L4461" s="48"/>
      <c r="M4461" s="48"/>
      <c r="N4461" s="59"/>
      <c r="O4461" s="59"/>
      <c r="P4461" s="59"/>
      <c r="Q4461" s="268">
        <f t="shared" si="222"/>
        <v>0</v>
      </c>
      <c r="R4461" s="61">
        <f>IF(O4461=0,0,SUMIFS(Disbursements!$T:$T,Disbursements!$B:$B,'Live Collections'!D4461,Disbursements!$D:$D,'Live Collections'!F4461))</f>
        <v>0</v>
      </c>
      <c r="S4461" s="304">
        <f>IF(O4461&lt;=IF($O4461=0,0,SUMIFS(Disbursements!$W:$W,Disbursements!$B:$B,'Live Collections'!D4461,Disbursements!$D:$D,'Live Collections'!F4461)),O4461,IF($O4461=0,0,SUMIFS(Disbursements!$W:$W,Disbursements!$B:$B,'Live Collections'!D4461,Disbursements!$D:$D,'Live Collections'!F4461)))</f>
        <v>0</v>
      </c>
      <c r="T4461" s="304">
        <f t="shared" si="223"/>
        <v>0</v>
      </c>
      <c r="U4461" s="52"/>
      <c r="V4461" s="34"/>
      <c r="W4461" s="408"/>
    </row>
    <row r="4462" spans="1:23" ht="12.75" customHeight="1" x14ac:dyDescent="0.2">
      <c r="A4462" s="257"/>
      <c r="B4462" s="44">
        <v>44715</v>
      </c>
      <c r="C4462" s="44">
        <f t="shared" si="221"/>
        <v>44715</v>
      </c>
      <c r="D4462" s="374"/>
      <c r="E4462" s="291" t="str">
        <f>IFERROR(VLOOKUP($D4462,'Clients-Live'!$A:$C,3,0),"")</f>
        <v/>
      </c>
      <c r="F4462" s="291" t="str">
        <f>IFERROR(INDEX(Disbursements!$D:$D,MATCH('Live Collections'!G4462,Disbursements!$C:$C,0)),"")</f>
        <v/>
      </c>
      <c r="G4462" s="34"/>
      <c r="H4462" s="34"/>
      <c r="I4462" s="34"/>
      <c r="J4462" s="48"/>
      <c r="K4462" s="48"/>
      <c r="L4462" s="48"/>
      <c r="M4462" s="48"/>
      <c r="N4462" s="59"/>
      <c r="O4462" s="59"/>
      <c r="P4462" s="59"/>
      <c r="Q4462" s="268">
        <f t="shared" si="222"/>
        <v>0</v>
      </c>
      <c r="R4462" s="61">
        <f>IF(O4462=0,0,SUMIFS(Disbursements!$T:$T,Disbursements!$B:$B,'Live Collections'!D4462,Disbursements!$D:$D,'Live Collections'!F4462))</f>
        <v>0</v>
      </c>
      <c r="S4462" s="304">
        <f>IF(O4462&lt;=IF($O4462=0,0,SUMIFS(Disbursements!$W:$W,Disbursements!$B:$B,'Live Collections'!D4462,Disbursements!$D:$D,'Live Collections'!F4462)),O4462,IF($O4462=0,0,SUMIFS(Disbursements!$W:$W,Disbursements!$B:$B,'Live Collections'!D4462,Disbursements!$D:$D,'Live Collections'!F4462)))</f>
        <v>0</v>
      </c>
      <c r="T4462" s="304">
        <f t="shared" si="223"/>
        <v>0</v>
      </c>
      <c r="U4462" s="52"/>
      <c r="V4462" s="34"/>
      <c r="W4462" s="408"/>
    </row>
    <row r="4463" spans="1:23" ht="12.75" customHeight="1" x14ac:dyDescent="0.2">
      <c r="A4463" s="257"/>
      <c r="B4463" s="44">
        <v>44715</v>
      </c>
      <c r="C4463" s="44">
        <f t="shared" si="221"/>
        <v>44715</v>
      </c>
      <c r="D4463" s="374"/>
      <c r="E4463" s="291" t="str">
        <f>IFERROR(VLOOKUP($D4463,'Clients-Live'!$A:$C,3,0),"")</f>
        <v/>
      </c>
      <c r="F4463" s="291" t="str">
        <f>IFERROR(INDEX(Disbursements!$D:$D,MATCH('Live Collections'!G4463,Disbursements!$C:$C,0)),"")</f>
        <v/>
      </c>
      <c r="G4463" s="34"/>
      <c r="H4463" s="34"/>
      <c r="I4463" s="34"/>
      <c r="J4463" s="48"/>
      <c r="K4463" s="48"/>
      <c r="L4463" s="48"/>
      <c r="M4463" s="48"/>
      <c r="N4463" s="59"/>
      <c r="O4463" s="59"/>
      <c r="P4463" s="59"/>
      <c r="Q4463" s="268">
        <f t="shared" si="222"/>
        <v>0</v>
      </c>
      <c r="R4463" s="61">
        <f>IF(O4463=0,0,SUMIFS(Disbursements!$T:$T,Disbursements!$B:$B,'Live Collections'!D4463,Disbursements!$D:$D,'Live Collections'!F4463))</f>
        <v>0</v>
      </c>
      <c r="S4463" s="304">
        <f>IF(O4463&lt;=IF($O4463=0,0,SUMIFS(Disbursements!$W:$W,Disbursements!$B:$B,'Live Collections'!D4463,Disbursements!$D:$D,'Live Collections'!F4463)),O4463,IF($O4463=0,0,SUMIFS(Disbursements!$W:$W,Disbursements!$B:$B,'Live Collections'!D4463,Disbursements!$D:$D,'Live Collections'!F4463)))</f>
        <v>0</v>
      </c>
      <c r="T4463" s="304">
        <f t="shared" si="223"/>
        <v>0</v>
      </c>
      <c r="U4463" s="52"/>
      <c r="V4463" s="34"/>
      <c r="W4463" s="408"/>
    </row>
    <row r="4464" spans="1:23" ht="12.75" customHeight="1" x14ac:dyDescent="0.2">
      <c r="A4464" s="257"/>
      <c r="B4464" s="44">
        <v>44715</v>
      </c>
      <c r="C4464" s="44">
        <f t="shared" si="221"/>
        <v>44715</v>
      </c>
      <c r="D4464" s="374"/>
      <c r="E4464" s="291" t="str">
        <f>IFERROR(VLOOKUP($D4464,'Clients-Live'!$A:$C,3,0),"")</f>
        <v/>
      </c>
      <c r="F4464" s="291" t="str">
        <f>IFERROR(INDEX(Disbursements!$D:$D,MATCH('Live Collections'!G4464,Disbursements!$C:$C,0)),"")</f>
        <v/>
      </c>
      <c r="G4464" s="34"/>
      <c r="H4464" s="34"/>
      <c r="I4464" s="34"/>
      <c r="J4464" s="48"/>
      <c r="K4464" s="48"/>
      <c r="L4464" s="48"/>
      <c r="M4464" s="48"/>
      <c r="N4464" s="59"/>
      <c r="O4464" s="59"/>
      <c r="P4464" s="59"/>
      <c r="Q4464" s="268">
        <f t="shared" si="222"/>
        <v>0</v>
      </c>
      <c r="R4464" s="61">
        <f>IF(O4464=0,0,SUMIFS(Disbursements!$T:$T,Disbursements!$B:$B,'Live Collections'!D4464,Disbursements!$D:$D,'Live Collections'!F4464))</f>
        <v>0</v>
      </c>
      <c r="S4464" s="304">
        <f>IF(O4464&lt;=IF($O4464=0,0,SUMIFS(Disbursements!$W:$W,Disbursements!$B:$B,'Live Collections'!D4464,Disbursements!$D:$D,'Live Collections'!F4464)),O4464,IF($O4464=0,0,SUMIFS(Disbursements!$W:$W,Disbursements!$B:$B,'Live Collections'!D4464,Disbursements!$D:$D,'Live Collections'!F4464)))</f>
        <v>0</v>
      </c>
      <c r="T4464" s="304">
        <f t="shared" si="223"/>
        <v>0</v>
      </c>
      <c r="U4464" s="52"/>
      <c r="V4464" s="34"/>
      <c r="W4464" s="408"/>
    </row>
    <row r="4465" spans="1:23" ht="12.75" customHeight="1" x14ac:dyDescent="0.2">
      <c r="A4465" s="257"/>
      <c r="B4465" s="44">
        <v>44715</v>
      </c>
      <c r="C4465" s="44">
        <f t="shared" si="221"/>
        <v>44715</v>
      </c>
      <c r="D4465" s="374"/>
      <c r="E4465" s="291" t="str">
        <f>IFERROR(VLOOKUP($D4465,'Clients-Live'!$A:$C,3,0),"")</f>
        <v/>
      </c>
      <c r="F4465" s="291" t="str">
        <f>IFERROR(INDEX(Disbursements!$D:$D,MATCH('Live Collections'!G4465,Disbursements!$C:$C,0)),"")</f>
        <v/>
      </c>
      <c r="G4465" s="34"/>
      <c r="H4465" s="34"/>
      <c r="I4465" s="34"/>
      <c r="J4465" s="48"/>
      <c r="K4465" s="48"/>
      <c r="L4465" s="48"/>
      <c r="M4465" s="48"/>
      <c r="N4465" s="59"/>
      <c r="O4465" s="59"/>
      <c r="P4465" s="59"/>
      <c r="Q4465" s="268">
        <f t="shared" si="222"/>
        <v>0</v>
      </c>
      <c r="R4465" s="61">
        <f>IF(O4465=0,0,SUMIFS(Disbursements!$T:$T,Disbursements!$B:$B,'Live Collections'!D4465,Disbursements!$D:$D,'Live Collections'!F4465))</f>
        <v>0</v>
      </c>
      <c r="S4465" s="304">
        <f>IF(O4465&lt;=IF($O4465=0,0,SUMIFS(Disbursements!$W:$W,Disbursements!$B:$B,'Live Collections'!D4465,Disbursements!$D:$D,'Live Collections'!F4465)),O4465,IF($O4465=0,0,SUMIFS(Disbursements!$W:$W,Disbursements!$B:$B,'Live Collections'!D4465,Disbursements!$D:$D,'Live Collections'!F4465)))</f>
        <v>0</v>
      </c>
      <c r="T4465" s="304">
        <f t="shared" si="223"/>
        <v>0</v>
      </c>
      <c r="U4465" s="52"/>
      <c r="V4465" s="34"/>
      <c r="W4465" s="408"/>
    </row>
    <row r="4466" spans="1:23" ht="12.75" customHeight="1" x14ac:dyDescent="0.2">
      <c r="A4466" s="257"/>
      <c r="B4466" s="44">
        <v>44715</v>
      </c>
      <c r="C4466" s="44">
        <f t="shared" si="221"/>
        <v>44715</v>
      </c>
      <c r="D4466" s="374"/>
      <c r="E4466" s="291" t="str">
        <f>IFERROR(VLOOKUP($D4466,'Clients-Live'!$A:$C,3,0),"")</f>
        <v/>
      </c>
      <c r="F4466" s="291" t="str">
        <f>IFERROR(INDEX(Disbursements!$D:$D,MATCH('Live Collections'!G4466,Disbursements!$C:$C,0)),"")</f>
        <v/>
      </c>
      <c r="G4466" s="34"/>
      <c r="H4466" s="34"/>
      <c r="I4466" s="34"/>
      <c r="J4466" s="48"/>
      <c r="K4466" s="48"/>
      <c r="L4466" s="48"/>
      <c r="M4466" s="48"/>
      <c r="N4466" s="59"/>
      <c r="O4466" s="59"/>
      <c r="P4466" s="59"/>
      <c r="Q4466" s="268">
        <f t="shared" si="222"/>
        <v>0</v>
      </c>
      <c r="R4466" s="61">
        <f>IF(O4466=0,0,SUMIFS(Disbursements!$T:$T,Disbursements!$B:$B,'Live Collections'!D4466,Disbursements!$D:$D,'Live Collections'!F4466))</f>
        <v>0</v>
      </c>
      <c r="S4466" s="304">
        <f>IF(O4466&lt;=IF($O4466=0,0,SUMIFS(Disbursements!$W:$W,Disbursements!$B:$B,'Live Collections'!D4466,Disbursements!$D:$D,'Live Collections'!F4466)),O4466,IF($O4466=0,0,SUMIFS(Disbursements!$W:$W,Disbursements!$B:$B,'Live Collections'!D4466,Disbursements!$D:$D,'Live Collections'!F4466)))</f>
        <v>0</v>
      </c>
      <c r="T4466" s="304">
        <f t="shared" si="223"/>
        <v>0</v>
      </c>
      <c r="U4466" s="52"/>
      <c r="V4466" s="34"/>
      <c r="W4466" s="408"/>
    </row>
    <row r="4467" spans="1:23" ht="12.75" customHeight="1" x14ac:dyDescent="0.2">
      <c r="A4467" s="257"/>
      <c r="B4467" s="44">
        <v>44715</v>
      </c>
      <c r="C4467" s="44">
        <f t="shared" si="221"/>
        <v>44715</v>
      </c>
      <c r="D4467" s="374"/>
      <c r="E4467" s="291" t="str">
        <f>IFERROR(VLOOKUP($D4467,'Clients-Live'!$A:$C,3,0),"")</f>
        <v/>
      </c>
      <c r="F4467" s="291" t="str">
        <f>IFERROR(INDEX(Disbursements!$D:$D,MATCH('Live Collections'!G4467,Disbursements!$C:$C,0)),"")</f>
        <v/>
      </c>
      <c r="G4467" s="34"/>
      <c r="H4467" s="34"/>
      <c r="I4467" s="34"/>
      <c r="J4467" s="48"/>
      <c r="K4467" s="48"/>
      <c r="L4467" s="48"/>
      <c r="M4467" s="48"/>
      <c r="N4467" s="59"/>
      <c r="O4467" s="59"/>
      <c r="P4467" s="59"/>
      <c r="Q4467" s="268">
        <f t="shared" si="222"/>
        <v>0</v>
      </c>
      <c r="R4467" s="61">
        <f>IF(O4467=0,0,SUMIFS(Disbursements!$T:$T,Disbursements!$B:$B,'Live Collections'!D4467,Disbursements!$D:$D,'Live Collections'!F4467))</f>
        <v>0</v>
      </c>
      <c r="S4467" s="304">
        <f>IF(O4467&lt;=IF($O4467=0,0,SUMIFS(Disbursements!$W:$W,Disbursements!$B:$B,'Live Collections'!D4467,Disbursements!$D:$D,'Live Collections'!F4467)),O4467,IF($O4467=0,0,SUMIFS(Disbursements!$W:$W,Disbursements!$B:$B,'Live Collections'!D4467,Disbursements!$D:$D,'Live Collections'!F4467)))</f>
        <v>0</v>
      </c>
      <c r="T4467" s="304">
        <f t="shared" si="223"/>
        <v>0</v>
      </c>
      <c r="U4467" s="52"/>
      <c r="V4467" s="34"/>
      <c r="W4467" s="408"/>
    </row>
    <row r="4468" spans="1:23" ht="12.75" customHeight="1" x14ac:dyDescent="0.2">
      <c r="A4468" s="257"/>
      <c r="B4468" s="44">
        <v>44715</v>
      </c>
      <c r="C4468" s="44">
        <f t="shared" si="221"/>
        <v>44715</v>
      </c>
      <c r="D4468" s="374"/>
      <c r="E4468" s="291" t="str">
        <f>IFERROR(VLOOKUP($D4468,'Clients-Live'!$A:$C,3,0),"")</f>
        <v/>
      </c>
      <c r="F4468" s="291" t="str">
        <f>IFERROR(INDEX(Disbursements!$D:$D,MATCH('Live Collections'!G4468,Disbursements!$C:$C,0)),"")</f>
        <v/>
      </c>
      <c r="G4468" s="34"/>
      <c r="H4468" s="34"/>
      <c r="I4468" s="34"/>
      <c r="J4468" s="48"/>
      <c r="K4468" s="48"/>
      <c r="L4468" s="48"/>
      <c r="M4468" s="48"/>
      <c r="N4468" s="59"/>
      <c r="O4468" s="59"/>
      <c r="P4468" s="59"/>
      <c r="Q4468" s="268">
        <f t="shared" si="222"/>
        <v>0</v>
      </c>
      <c r="R4468" s="61">
        <f>IF(O4468=0,0,SUMIFS(Disbursements!$T:$T,Disbursements!$B:$B,'Live Collections'!D4468,Disbursements!$D:$D,'Live Collections'!F4468))</f>
        <v>0</v>
      </c>
      <c r="S4468" s="304">
        <f>IF(O4468&lt;=IF($O4468=0,0,SUMIFS(Disbursements!$W:$W,Disbursements!$B:$B,'Live Collections'!D4468,Disbursements!$D:$D,'Live Collections'!F4468)),O4468,IF($O4468=0,0,SUMIFS(Disbursements!$W:$W,Disbursements!$B:$B,'Live Collections'!D4468,Disbursements!$D:$D,'Live Collections'!F4468)))</f>
        <v>0</v>
      </c>
      <c r="T4468" s="304">
        <f t="shared" si="223"/>
        <v>0</v>
      </c>
      <c r="U4468" s="52"/>
      <c r="V4468" s="34"/>
      <c r="W4468" s="408"/>
    </row>
    <row r="4469" spans="1:23" ht="12.75" customHeight="1" x14ac:dyDescent="0.2">
      <c r="A4469" s="257"/>
      <c r="B4469" s="44">
        <v>44715</v>
      </c>
      <c r="C4469" s="44">
        <f t="shared" si="221"/>
        <v>44715</v>
      </c>
      <c r="D4469" s="374"/>
      <c r="E4469" s="291" t="str">
        <f>IFERROR(VLOOKUP($D4469,'Clients-Live'!$A:$C,3,0),"")</f>
        <v/>
      </c>
      <c r="F4469" s="291" t="str">
        <f>IFERROR(INDEX(Disbursements!$D:$D,MATCH('Live Collections'!G4469,Disbursements!$C:$C,0)),"")</f>
        <v/>
      </c>
      <c r="G4469" s="34"/>
      <c r="H4469" s="34"/>
      <c r="I4469" s="34"/>
      <c r="J4469" s="48"/>
      <c r="K4469" s="48"/>
      <c r="L4469" s="48"/>
      <c r="M4469" s="48"/>
      <c r="N4469" s="59"/>
      <c r="O4469" s="59"/>
      <c r="P4469" s="59"/>
      <c r="Q4469" s="268">
        <f t="shared" si="222"/>
        <v>0</v>
      </c>
      <c r="R4469" s="61">
        <f>IF(O4469=0,0,SUMIFS(Disbursements!$T:$T,Disbursements!$B:$B,'Live Collections'!D4469,Disbursements!$D:$D,'Live Collections'!F4469))</f>
        <v>0</v>
      </c>
      <c r="S4469" s="304">
        <f>IF(O4469&lt;=IF($O4469=0,0,SUMIFS(Disbursements!$W:$W,Disbursements!$B:$B,'Live Collections'!D4469,Disbursements!$D:$D,'Live Collections'!F4469)),O4469,IF($O4469=0,0,SUMIFS(Disbursements!$W:$W,Disbursements!$B:$B,'Live Collections'!D4469,Disbursements!$D:$D,'Live Collections'!F4469)))</f>
        <v>0</v>
      </c>
      <c r="T4469" s="304">
        <f t="shared" si="223"/>
        <v>0</v>
      </c>
      <c r="U4469" s="52"/>
      <c r="V4469" s="34"/>
      <c r="W4469" s="408"/>
    </row>
    <row r="4470" spans="1:23" ht="12.75" customHeight="1" x14ac:dyDescent="0.2">
      <c r="A4470" s="257"/>
      <c r="B4470" s="44">
        <v>44715</v>
      </c>
      <c r="C4470" s="44">
        <f t="shared" si="221"/>
        <v>44715</v>
      </c>
      <c r="D4470" s="374"/>
      <c r="E4470" s="291" t="str">
        <f>IFERROR(VLOOKUP($D4470,'Clients-Live'!$A:$C,3,0),"")</f>
        <v/>
      </c>
      <c r="F4470" s="291" t="str">
        <f>IFERROR(INDEX(Disbursements!$D:$D,MATCH('Live Collections'!G4470,Disbursements!$C:$C,0)),"")</f>
        <v/>
      </c>
      <c r="G4470" s="34"/>
      <c r="H4470" s="34"/>
      <c r="I4470" s="34"/>
      <c r="J4470" s="48"/>
      <c r="K4470" s="48"/>
      <c r="L4470" s="48"/>
      <c r="M4470" s="48"/>
      <c r="N4470" s="59"/>
      <c r="O4470" s="59"/>
      <c r="P4470" s="59"/>
      <c r="Q4470" s="268">
        <f t="shared" si="222"/>
        <v>0</v>
      </c>
      <c r="R4470" s="61">
        <f>IF(O4470=0,0,SUMIFS(Disbursements!$T:$T,Disbursements!$B:$B,'Live Collections'!D4470,Disbursements!$D:$D,'Live Collections'!F4470))</f>
        <v>0</v>
      </c>
      <c r="S4470" s="304">
        <f>IF(O4470&lt;=IF($O4470=0,0,SUMIFS(Disbursements!$W:$W,Disbursements!$B:$B,'Live Collections'!D4470,Disbursements!$D:$D,'Live Collections'!F4470)),O4470,IF($O4470=0,0,SUMIFS(Disbursements!$W:$W,Disbursements!$B:$B,'Live Collections'!D4470,Disbursements!$D:$D,'Live Collections'!F4470)))</f>
        <v>0</v>
      </c>
      <c r="T4470" s="304">
        <f t="shared" si="223"/>
        <v>0</v>
      </c>
      <c r="U4470" s="52"/>
      <c r="V4470" s="34"/>
      <c r="W4470" s="408"/>
    </row>
    <row r="4471" spans="1:23" ht="12.75" customHeight="1" x14ac:dyDescent="0.2">
      <c r="A4471" s="257"/>
      <c r="B4471" s="44">
        <v>44715</v>
      </c>
      <c r="C4471" s="44">
        <f t="shared" si="221"/>
        <v>44715</v>
      </c>
      <c r="D4471" s="374"/>
      <c r="E4471" s="291" t="str">
        <f>IFERROR(VLOOKUP($D4471,'Clients-Live'!$A:$C,3,0),"")</f>
        <v/>
      </c>
      <c r="F4471" s="291" t="str">
        <f>IFERROR(INDEX(Disbursements!$D:$D,MATCH('Live Collections'!G4471,Disbursements!$C:$C,0)),"")</f>
        <v/>
      </c>
      <c r="G4471" s="34"/>
      <c r="H4471" s="34"/>
      <c r="I4471" s="34"/>
      <c r="J4471" s="48"/>
      <c r="K4471" s="48"/>
      <c r="L4471" s="48"/>
      <c r="M4471" s="48"/>
      <c r="N4471" s="59"/>
      <c r="O4471" s="59"/>
      <c r="P4471" s="59"/>
      <c r="Q4471" s="268">
        <f t="shared" si="222"/>
        <v>0</v>
      </c>
      <c r="R4471" s="61">
        <f>IF(O4471=0,0,SUMIFS(Disbursements!$T:$T,Disbursements!$B:$B,'Live Collections'!D4471,Disbursements!$D:$D,'Live Collections'!F4471))</f>
        <v>0</v>
      </c>
      <c r="S4471" s="304">
        <f>IF(O4471&lt;=IF($O4471=0,0,SUMIFS(Disbursements!$W:$W,Disbursements!$B:$B,'Live Collections'!D4471,Disbursements!$D:$D,'Live Collections'!F4471)),O4471,IF($O4471=0,0,SUMIFS(Disbursements!$W:$W,Disbursements!$B:$B,'Live Collections'!D4471,Disbursements!$D:$D,'Live Collections'!F4471)))</f>
        <v>0</v>
      </c>
      <c r="T4471" s="304">
        <f t="shared" si="223"/>
        <v>0</v>
      </c>
      <c r="U4471" s="52"/>
      <c r="V4471" s="34"/>
      <c r="W4471" s="408"/>
    </row>
    <row r="4472" spans="1:23" ht="12.75" customHeight="1" x14ac:dyDescent="0.2">
      <c r="A4472" s="257"/>
      <c r="B4472" s="44">
        <v>44715</v>
      </c>
      <c r="C4472" s="44">
        <f t="shared" si="221"/>
        <v>44715</v>
      </c>
      <c r="D4472" s="374"/>
      <c r="E4472" s="291" t="str">
        <f>IFERROR(VLOOKUP($D4472,'Clients-Live'!$A:$C,3,0),"")</f>
        <v/>
      </c>
      <c r="F4472" s="291" t="str">
        <f>IFERROR(INDEX(Disbursements!$D:$D,MATCH('Live Collections'!G4472,Disbursements!$C:$C,0)),"")</f>
        <v/>
      </c>
      <c r="G4472" s="34"/>
      <c r="H4472" s="34"/>
      <c r="I4472" s="34"/>
      <c r="J4472" s="48"/>
      <c r="K4472" s="48"/>
      <c r="L4472" s="48"/>
      <c r="M4472" s="48"/>
      <c r="N4472" s="59"/>
      <c r="O4472" s="59"/>
      <c r="P4472" s="59"/>
      <c r="Q4472" s="268">
        <f t="shared" si="222"/>
        <v>0</v>
      </c>
      <c r="R4472" s="61">
        <f>IF(O4472=0,0,SUMIFS(Disbursements!$T:$T,Disbursements!$B:$B,'Live Collections'!D4472,Disbursements!$D:$D,'Live Collections'!F4472))</f>
        <v>0</v>
      </c>
      <c r="S4472" s="304">
        <f>IF(O4472&lt;=IF($O4472=0,0,SUMIFS(Disbursements!$W:$W,Disbursements!$B:$B,'Live Collections'!D4472,Disbursements!$D:$D,'Live Collections'!F4472)),O4472,IF($O4472=0,0,SUMIFS(Disbursements!$W:$W,Disbursements!$B:$B,'Live Collections'!D4472,Disbursements!$D:$D,'Live Collections'!F4472)))</f>
        <v>0</v>
      </c>
      <c r="T4472" s="304">
        <f t="shared" si="223"/>
        <v>0</v>
      </c>
      <c r="U4472" s="52"/>
      <c r="V4472" s="34"/>
      <c r="W4472" s="408"/>
    </row>
    <row r="4473" spans="1:23" ht="12.75" customHeight="1" x14ac:dyDescent="0.2">
      <c r="A4473" s="257"/>
      <c r="B4473" s="44">
        <v>44715</v>
      </c>
      <c r="C4473" s="44">
        <f t="shared" si="221"/>
        <v>44715</v>
      </c>
      <c r="D4473" s="374"/>
      <c r="E4473" s="291" t="str">
        <f>IFERROR(VLOOKUP($D4473,'Clients-Live'!$A:$C,3,0),"")</f>
        <v/>
      </c>
      <c r="F4473" s="291" t="str">
        <f>IFERROR(INDEX(Disbursements!$D:$D,MATCH('Live Collections'!G4473,Disbursements!$C:$C,0)),"")</f>
        <v/>
      </c>
      <c r="G4473" s="34"/>
      <c r="H4473" s="34"/>
      <c r="I4473" s="34"/>
      <c r="J4473" s="48"/>
      <c r="K4473" s="48"/>
      <c r="L4473" s="48"/>
      <c r="M4473" s="48"/>
      <c r="N4473" s="59"/>
      <c r="O4473" s="59"/>
      <c r="P4473" s="59"/>
      <c r="Q4473" s="268">
        <f t="shared" si="222"/>
        <v>0</v>
      </c>
      <c r="R4473" s="61">
        <f>IF(O4473=0,0,SUMIFS(Disbursements!$T:$T,Disbursements!$B:$B,'Live Collections'!D4473,Disbursements!$D:$D,'Live Collections'!F4473))</f>
        <v>0</v>
      </c>
      <c r="S4473" s="304">
        <f>IF(O4473&lt;=IF($O4473=0,0,SUMIFS(Disbursements!$W:$W,Disbursements!$B:$B,'Live Collections'!D4473,Disbursements!$D:$D,'Live Collections'!F4473)),O4473,IF($O4473=0,0,SUMIFS(Disbursements!$W:$W,Disbursements!$B:$B,'Live Collections'!D4473,Disbursements!$D:$D,'Live Collections'!F4473)))</f>
        <v>0</v>
      </c>
      <c r="T4473" s="304">
        <f t="shared" si="223"/>
        <v>0</v>
      </c>
      <c r="U4473" s="52"/>
      <c r="V4473" s="34"/>
      <c r="W4473" s="408"/>
    </row>
    <row r="4474" spans="1:23" ht="12.75" customHeight="1" x14ac:dyDescent="0.2">
      <c r="A4474" s="257"/>
      <c r="B4474" s="44"/>
      <c r="C4474" s="44"/>
      <c r="D4474" s="374"/>
      <c r="E4474" s="291" t="str">
        <f>IFERROR(VLOOKUP($D4474,'Clients-Live'!$A:$C,3,0),"")</f>
        <v/>
      </c>
      <c r="F4474" s="291" t="str">
        <f>IFERROR(INDEX(Disbursements!$D:$D,MATCH('Live Collections'!G4474,Disbursements!$C:$C,0)),"")</f>
        <v/>
      </c>
      <c r="G4474" s="34"/>
      <c r="H4474" s="34"/>
      <c r="I4474" s="34"/>
      <c r="J4474" s="48"/>
      <c r="K4474" s="48"/>
      <c r="L4474" s="48"/>
      <c r="M4474" s="48"/>
      <c r="N4474" s="59"/>
      <c r="O4474" s="59"/>
      <c r="P4474" s="59"/>
      <c r="Q4474" s="268">
        <f t="shared" si="222"/>
        <v>0</v>
      </c>
      <c r="R4474" s="61">
        <f>IF(O4474=0,0,SUMIFS(Disbursements!$T:$T,Disbursements!$B:$B,'Live Collections'!D4474,Disbursements!$D:$D,'Live Collections'!F4474))</f>
        <v>0</v>
      </c>
      <c r="S4474" s="304">
        <f>IF(O4474&lt;=IF($O4474=0,0,SUMIFS(Disbursements!$W:$W,Disbursements!$B:$B,'Live Collections'!D4474,Disbursements!$D:$D,'Live Collections'!F4474)),O4474,IF($O4474=0,0,SUMIFS(Disbursements!$W:$W,Disbursements!$B:$B,'Live Collections'!D4474,Disbursements!$D:$D,'Live Collections'!F4474)))</f>
        <v>0</v>
      </c>
      <c r="T4474" s="304">
        <f t="shared" si="223"/>
        <v>0</v>
      </c>
      <c r="U4474" s="52"/>
      <c r="V4474" s="34"/>
      <c r="W4474" s="408"/>
    </row>
    <row r="4475" spans="1:23" ht="12.75" customHeight="1" x14ac:dyDescent="0.2">
      <c r="A4475" s="257"/>
      <c r="B4475" s="44"/>
      <c r="C4475" s="44"/>
      <c r="D4475" s="374"/>
      <c r="E4475" s="291" t="str">
        <f>IFERROR(VLOOKUP($D4475,'Clients-Live'!$A:$C,3,0),"")</f>
        <v/>
      </c>
      <c r="F4475" s="291" t="str">
        <f>IFERROR(INDEX(Disbursements!$D:$D,MATCH('Live Collections'!G4475,Disbursements!$C:$C,0)),"")</f>
        <v/>
      </c>
      <c r="G4475" s="34"/>
      <c r="H4475" s="34"/>
      <c r="I4475" s="34"/>
      <c r="J4475" s="48"/>
      <c r="K4475" s="48"/>
      <c r="L4475" s="48"/>
      <c r="M4475" s="48"/>
      <c r="N4475" s="59"/>
      <c r="O4475" s="59"/>
      <c r="P4475" s="59"/>
      <c r="Q4475" s="268">
        <f t="shared" si="222"/>
        <v>0</v>
      </c>
      <c r="R4475" s="61">
        <f>IF(O4475=0,0,SUMIFS(Disbursements!$T:$T,Disbursements!$B:$B,'Live Collections'!D4475,Disbursements!$D:$D,'Live Collections'!F4475))</f>
        <v>0</v>
      </c>
      <c r="S4475" s="304">
        <f>IF(O4475&lt;=IF($O4475=0,0,SUMIFS(Disbursements!$W:$W,Disbursements!$B:$B,'Live Collections'!D4475,Disbursements!$D:$D,'Live Collections'!F4475)),O4475,IF($O4475=0,0,SUMIFS(Disbursements!$W:$W,Disbursements!$B:$B,'Live Collections'!D4475,Disbursements!$D:$D,'Live Collections'!F4475)))</f>
        <v>0</v>
      </c>
      <c r="T4475" s="304">
        <f t="shared" si="223"/>
        <v>0</v>
      </c>
      <c r="U4475" s="52"/>
      <c r="V4475" s="34"/>
      <c r="W4475" s="408"/>
    </row>
    <row r="4476" spans="1:23" ht="12.75" customHeight="1" x14ac:dyDescent="0.2">
      <c r="A4476" s="257"/>
      <c r="B4476" s="44"/>
      <c r="C4476" s="44"/>
      <c r="D4476" s="374"/>
      <c r="E4476" s="291" t="str">
        <f>IFERROR(VLOOKUP($D4476,'Clients-Live'!$A:$C,3,0),"")</f>
        <v/>
      </c>
      <c r="F4476" s="291" t="str">
        <f>IFERROR(INDEX(Disbursements!$D:$D,MATCH('Live Collections'!G4476,Disbursements!$C:$C,0)),"")</f>
        <v/>
      </c>
      <c r="G4476" s="34"/>
      <c r="H4476" s="34"/>
      <c r="I4476" s="34"/>
      <c r="J4476" s="48"/>
      <c r="K4476" s="48"/>
      <c r="L4476" s="48"/>
      <c r="M4476" s="48"/>
      <c r="N4476" s="59"/>
      <c r="O4476" s="59"/>
      <c r="P4476" s="59"/>
      <c r="Q4476" s="268">
        <f t="shared" si="222"/>
        <v>0</v>
      </c>
      <c r="R4476" s="61">
        <f>IF(O4476=0,0,SUMIFS(Disbursements!$T:$T,Disbursements!$B:$B,'Live Collections'!D4476,Disbursements!$D:$D,'Live Collections'!F4476))</f>
        <v>0</v>
      </c>
      <c r="S4476" s="304">
        <f>IF(O4476&lt;=IF($O4476=0,0,SUMIFS(Disbursements!$W:$W,Disbursements!$B:$B,'Live Collections'!D4476,Disbursements!$D:$D,'Live Collections'!F4476)),O4476,IF($O4476=0,0,SUMIFS(Disbursements!$W:$W,Disbursements!$B:$B,'Live Collections'!D4476,Disbursements!$D:$D,'Live Collections'!F4476)))</f>
        <v>0</v>
      </c>
      <c r="T4476" s="304">
        <f t="shared" si="223"/>
        <v>0</v>
      </c>
      <c r="U4476" s="52"/>
      <c r="V4476" s="34"/>
      <c r="W4476" s="408"/>
    </row>
    <row r="4477" spans="1:23" ht="12.75" customHeight="1" x14ac:dyDescent="0.2">
      <c r="A4477" s="257"/>
      <c r="B4477" s="44"/>
      <c r="C4477" s="44"/>
      <c r="D4477" s="374"/>
      <c r="E4477" s="291" t="str">
        <f>IFERROR(VLOOKUP($D4477,'Clients-Live'!$A:$C,3,0),"")</f>
        <v/>
      </c>
      <c r="F4477" s="291" t="str">
        <f>IFERROR(INDEX(Disbursements!$D:$D,MATCH('Live Collections'!G4477,Disbursements!$C:$C,0)),"")</f>
        <v/>
      </c>
      <c r="G4477" s="34"/>
      <c r="H4477" s="34"/>
      <c r="I4477" s="34"/>
      <c r="J4477" s="48"/>
      <c r="K4477" s="48"/>
      <c r="L4477" s="48"/>
      <c r="M4477" s="48"/>
      <c r="N4477" s="59"/>
      <c r="O4477" s="59"/>
      <c r="P4477" s="59"/>
      <c r="Q4477" s="268">
        <f t="shared" si="222"/>
        <v>0</v>
      </c>
      <c r="R4477" s="61">
        <f>IF(O4477=0,0,SUMIFS(Disbursements!$T:$T,Disbursements!$B:$B,'Live Collections'!D4477,Disbursements!$D:$D,'Live Collections'!F4477))</f>
        <v>0</v>
      </c>
      <c r="S4477" s="304">
        <f>IF(O4477&lt;=IF($O4477=0,0,SUMIFS(Disbursements!$W:$W,Disbursements!$B:$B,'Live Collections'!D4477,Disbursements!$D:$D,'Live Collections'!F4477)),O4477,IF($O4477=0,0,SUMIFS(Disbursements!$W:$W,Disbursements!$B:$B,'Live Collections'!D4477,Disbursements!$D:$D,'Live Collections'!F4477)))</f>
        <v>0</v>
      </c>
      <c r="T4477" s="304">
        <f t="shared" si="223"/>
        <v>0</v>
      </c>
      <c r="U4477" s="52"/>
      <c r="V4477" s="34"/>
      <c r="W4477" s="408"/>
    </row>
    <row r="4478" spans="1:23" ht="12.75" customHeight="1" x14ac:dyDescent="0.2">
      <c r="A4478" s="257"/>
      <c r="B4478" s="44"/>
      <c r="C4478" s="44"/>
      <c r="D4478" s="374"/>
      <c r="E4478" s="291" t="str">
        <f>IFERROR(VLOOKUP($D4478,'Clients-Live'!$A:$C,3,0),"")</f>
        <v/>
      </c>
      <c r="F4478" s="291" t="str">
        <f>IFERROR(INDEX(Disbursements!$D:$D,MATCH('Live Collections'!G4478,Disbursements!$C:$C,0)),"")</f>
        <v/>
      </c>
      <c r="G4478" s="34"/>
      <c r="H4478" s="34"/>
      <c r="I4478" s="34"/>
      <c r="J4478" s="48"/>
      <c r="K4478" s="48"/>
      <c r="L4478" s="48"/>
      <c r="M4478" s="48"/>
      <c r="N4478" s="59"/>
      <c r="O4478" s="59"/>
      <c r="P4478" s="59"/>
      <c r="Q4478" s="268">
        <f t="shared" si="222"/>
        <v>0</v>
      </c>
      <c r="R4478" s="61">
        <f>IF(O4478=0,0,SUMIFS(Disbursements!$T:$T,Disbursements!$B:$B,'Live Collections'!D4478,Disbursements!$D:$D,'Live Collections'!F4478))</f>
        <v>0</v>
      </c>
      <c r="S4478" s="304">
        <f>IF(O4478&lt;=IF($O4478=0,0,SUMIFS(Disbursements!$W:$W,Disbursements!$B:$B,'Live Collections'!D4478,Disbursements!$D:$D,'Live Collections'!F4478)),O4478,IF($O4478=0,0,SUMIFS(Disbursements!$W:$W,Disbursements!$B:$B,'Live Collections'!D4478,Disbursements!$D:$D,'Live Collections'!F4478)))</f>
        <v>0</v>
      </c>
      <c r="T4478" s="304">
        <f t="shared" si="223"/>
        <v>0</v>
      </c>
      <c r="U4478" s="52"/>
      <c r="V4478" s="34"/>
      <c r="W4478" s="408"/>
    </row>
    <row r="4479" spans="1:23" ht="12.75" customHeight="1" x14ac:dyDescent="0.2">
      <c r="A4479" s="257"/>
      <c r="B4479" s="44"/>
      <c r="C4479" s="44"/>
      <c r="D4479" s="374"/>
      <c r="E4479" s="291" t="str">
        <f>IFERROR(VLOOKUP($D4479,'Clients-Live'!$A:$C,3,0),"")</f>
        <v/>
      </c>
      <c r="F4479" s="291" t="str">
        <f>IFERROR(INDEX(Disbursements!$D:$D,MATCH('Live Collections'!G4479,Disbursements!$C:$C,0)),"")</f>
        <v/>
      </c>
      <c r="G4479" s="34"/>
      <c r="H4479" s="34"/>
      <c r="I4479" s="34"/>
      <c r="J4479" s="48"/>
      <c r="K4479" s="48"/>
      <c r="L4479" s="48"/>
      <c r="M4479" s="48"/>
      <c r="N4479" s="59"/>
      <c r="O4479" s="59"/>
      <c r="P4479" s="59"/>
      <c r="Q4479" s="268">
        <f t="shared" si="222"/>
        <v>0</v>
      </c>
      <c r="R4479" s="61">
        <f>IF(O4479=0,0,SUMIFS(Disbursements!$T:$T,Disbursements!$B:$B,'Live Collections'!D4479,Disbursements!$D:$D,'Live Collections'!F4479))</f>
        <v>0</v>
      </c>
      <c r="S4479" s="304">
        <f>IF(O4479&lt;=IF($O4479=0,0,SUMIFS(Disbursements!$W:$W,Disbursements!$B:$B,'Live Collections'!D4479,Disbursements!$D:$D,'Live Collections'!F4479)),O4479,IF($O4479=0,0,SUMIFS(Disbursements!$W:$W,Disbursements!$B:$B,'Live Collections'!D4479,Disbursements!$D:$D,'Live Collections'!F4479)))</f>
        <v>0</v>
      </c>
      <c r="T4479" s="304">
        <f t="shared" si="223"/>
        <v>0</v>
      </c>
      <c r="U4479" s="52"/>
      <c r="V4479" s="34"/>
      <c r="W4479" s="408"/>
    </row>
    <row r="4480" spans="1:23" ht="12.75" customHeight="1" x14ac:dyDescent="0.2">
      <c r="A4480" s="257"/>
      <c r="B4480" s="44"/>
      <c r="C4480" s="44"/>
      <c r="D4480" s="374"/>
      <c r="E4480" s="291" t="str">
        <f>IFERROR(VLOOKUP($D4480,'Clients-Live'!$A:$C,3,0),"")</f>
        <v/>
      </c>
      <c r="F4480" s="291" t="str">
        <f>IFERROR(INDEX(Disbursements!$D:$D,MATCH('Live Collections'!G4480,Disbursements!$C:$C,0)),"")</f>
        <v/>
      </c>
      <c r="G4480" s="34"/>
      <c r="H4480" s="34"/>
      <c r="I4480" s="34"/>
      <c r="J4480" s="48"/>
      <c r="K4480" s="48"/>
      <c r="L4480" s="48"/>
      <c r="M4480" s="48"/>
      <c r="N4480" s="59"/>
      <c r="O4480" s="59"/>
      <c r="P4480" s="59"/>
      <c r="Q4480" s="268">
        <f t="shared" si="222"/>
        <v>0</v>
      </c>
      <c r="R4480" s="61">
        <f>IF(O4480=0,0,SUMIFS(Disbursements!$T:$T,Disbursements!$B:$B,'Live Collections'!D4480,Disbursements!$D:$D,'Live Collections'!F4480))</f>
        <v>0</v>
      </c>
      <c r="S4480" s="304">
        <f>IF(O4480&lt;=IF($O4480=0,0,SUMIFS(Disbursements!$W:$W,Disbursements!$B:$B,'Live Collections'!D4480,Disbursements!$D:$D,'Live Collections'!F4480)),O4480,IF($O4480=0,0,SUMIFS(Disbursements!$W:$W,Disbursements!$B:$B,'Live Collections'!D4480,Disbursements!$D:$D,'Live Collections'!F4480)))</f>
        <v>0</v>
      </c>
      <c r="T4480" s="304">
        <f t="shared" si="223"/>
        <v>0</v>
      </c>
      <c r="U4480" s="52"/>
      <c r="V4480" s="34"/>
      <c r="W4480" s="408"/>
    </row>
    <row r="4481" spans="1:23" ht="12.75" customHeight="1" x14ac:dyDescent="0.2">
      <c r="A4481" s="257"/>
      <c r="B4481" s="44"/>
      <c r="C4481" s="44"/>
      <c r="D4481" s="374"/>
      <c r="E4481" s="291" t="str">
        <f>IFERROR(VLOOKUP($D4481,'Clients-Live'!$A:$C,3,0),"")</f>
        <v/>
      </c>
      <c r="F4481" s="291" t="str">
        <f>IFERROR(INDEX(Disbursements!$D:$D,MATCH('Live Collections'!G4481,Disbursements!$C:$C,0)),"")</f>
        <v/>
      </c>
      <c r="G4481" s="34"/>
      <c r="H4481" s="34"/>
      <c r="I4481" s="34"/>
      <c r="J4481" s="48"/>
      <c r="K4481" s="48"/>
      <c r="L4481" s="48"/>
      <c r="M4481" s="48"/>
      <c r="N4481" s="59"/>
      <c r="O4481" s="59"/>
      <c r="P4481" s="59"/>
      <c r="Q4481" s="268">
        <f t="shared" si="222"/>
        <v>0</v>
      </c>
      <c r="R4481" s="61">
        <f>IF(O4481=0,0,SUMIFS(Disbursements!$T:$T,Disbursements!$B:$B,'Live Collections'!D4481,Disbursements!$D:$D,'Live Collections'!F4481))</f>
        <v>0</v>
      </c>
      <c r="S4481" s="304">
        <f>IF(O4481&lt;=IF($O4481=0,0,SUMIFS(Disbursements!$W:$W,Disbursements!$B:$B,'Live Collections'!D4481,Disbursements!$D:$D,'Live Collections'!F4481)),O4481,IF($O4481=0,0,SUMIFS(Disbursements!$W:$W,Disbursements!$B:$B,'Live Collections'!D4481,Disbursements!$D:$D,'Live Collections'!F4481)))</f>
        <v>0</v>
      </c>
      <c r="T4481" s="304">
        <f t="shared" si="223"/>
        <v>0</v>
      </c>
      <c r="U4481" s="52"/>
      <c r="V4481" s="34"/>
      <c r="W4481" s="408"/>
    </row>
    <row r="4482" spans="1:23" ht="12.75" customHeight="1" x14ac:dyDescent="0.2">
      <c r="A4482" s="257"/>
      <c r="B4482" s="44"/>
      <c r="C4482" s="44"/>
      <c r="D4482" s="374"/>
      <c r="E4482" s="291" t="str">
        <f>IFERROR(VLOOKUP($D4482,'Clients-Live'!$A:$C,3,0),"")</f>
        <v/>
      </c>
      <c r="F4482" s="291" t="str">
        <f>IFERROR(INDEX(Disbursements!$D:$D,MATCH('Live Collections'!G4482,Disbursements!$C:$C,0)),"")</f>
        <v/>
      </c>
      <c r="G4482" s="34"/>
      <c r="H4482" s="34"/>
      <c r="I4482" s="34"/>
      <c r="J4482" s="48"/>
      <c r="K4482" s="48"/>
      <c r="L4482" s="48"/>
      <c r="M4482" s="48"/>
      <c r="N4482" s="59"/>
      <c r="O4482" s="59"/>
      <c r="P4482" s="59"/>
      <c r="Q4482" s="268">
        <f t="shared" si="222"/>
        <v>0</v>
      </c>
      <c r="R4482" s="61">
        <f>IF(O4482=0,0,SUMIFS(Disbursements!$T:$T,Disbursements!$B:$B,'Live Collections'!D4482,Disbursements!$D:$D,'Live Collections'!F4482))</f>
        <v>0</v>
      </c>
      <c r="S4482" s="304">
        <f>IF(O4482&lt;=IF($O4482=0,0,SUMIFS(Disbursements!$W:$W,Disbursements!$B:$B,'Live Collections'!D4482,Disbursements!$D:$D,'Live Collections'!F4482)),O4482,IF($O4482=0,0,SUMIFS(Disbursements!$W:$W,Disbursements!$B:$B,'Live Collections'!D4482,Disbursements!$D:$D,'Live Collections'!F4482)))</f>
        <v>0</v>
      </c>
      <c r="T4482" s="304">
        <f t="shared" si="223"/>
        <v>0</v>
      </c>
      <c r="U4482" s="52"/>
      <c r="V4482" s="34"/>
      <c r="W4482" s="408"/>
    </row>
    <row r="4483" spans="1:23" ht="12.75" customHeight="1" x14ac:dyDescent="0.2">
      <c r="A4483" s="257"/>
      <c r="B4483" s="44"/>
      <c r="C4483" s="44"/>
      <c r="D4483" s="374"/>
      <c r="E4483" s="291" t="str">
        <f>IFERROR(VLOOKUP($D4483,'Clients-Live'!$A:$C,3,0),"")</f>
        <v/>
      </c>
      <c r="F4483" s="291" t="str">
        <f>IFERROR(INDEX(Disbursements!$D:$D,MATCH('Live Collections'!G4483,Disbursements!$C:$C,0)),"")</f>
        <v/>
      </c>
      <c r="G4483" s="34"/>
      <c r="H4483" s="34"/>
      <c r="I4483" s="34"/>
      <c r="J4483" s="48"/>
      <c r="K4483" s="48"/>
      <c r="L4483" s="48"/>
      <c r="M4483" s="48"/>
      <c r="N4483" s="59"/>
      <c r="O4483" s="59"/>
      <c r="P4483" s="59"/>
      <c r="Q4483" s="268">
        <f t="shared" si="222"/>
        <v>0</v>
      </c>
      <c r="R4483" s="61">
        <f>IF(O4483=0,0,SUMIFS(Disbursements!$T:$T,Disbursements!$B:$B,'Live Collections'!D4483,Disbursements!$D:$D,'Live Collections'!F4483))</f>
        <v>0</v>
      </c>
      <c r="S4483" s="304">
        <f>IF(O4483&lt;=IF($O4483=0,0,SUMIFS(Disbursements!$W:$W,Disbursements!$B:$B,'Live Collections'!D4483,Disbursements!$D:$D,'Live Collections'!F4483)),O4483,IF($O4483=0,0,SUMIFS(Disbursements!$W:$W,Disbursements!$B:$B,'Live Collections'!D4483,Disbursements!$D:$D,'Live Collections'!F4483)))</f>
        <v>0</v>
      </c>
      <c r="T4483" s="304">
        <f t="shared" si="223"/>
        <v>0</v>
      </c>
      <c r="U4483" s="52"/>
      <c r="V4483" s="34"/>
      <c r="W4483" s="408"/>
    </row>
    <row r="4484" spans="1:23" ht="12.75" customHeight="1" x14ac:dyDescent="0.2">
      <c r="A4484" s="257"/>
      <c r="B4484" s="44"/>
      <c r="C4484" s="44"/>
      <c r="D4484" s="374"/>
      <c r="E4484" s="291" t="str">
        <f>IFERROR(VLOOKUP($D4484,'Clients-Live'!$A:$C,3,0),"")</f>
        <v/>
      </c>
      <c r="F4484" s="291" t="str">
        <f>IFERROR(INDEX(Disbursements!$D:$D,MATCH('Live Collections'!G4484,Disbursements!$C:$C,0)),"")</f>
        <v/>
      </c>
      <c r="G4484" s="34"/>
      <c r="H4484" s="34"/>
      <c r="I4484" s="34"/>
      <c r="J4484" s="48"/>
      <c r="K4484" s="48"/>
      <c r="L4484" s="48"/>
      <c r="M4484" s="48"/>
      <c r="N4484" s="59"/>
      <c r="O4484" s="59"/>
      <c r="P4484" s="59"/>
      <c r="Q4484" s="268">
        <f t="shared" si="222"/>
        <v>0</v>
      </c>
      <c r="R4484" s="61">
        <f>IF(O4484=0,0,SUMIFS(Disbursements!$T:$T,Disbursements!$B:$B,'Live Collections'!D4484,Disbursements!$D:$D,'Live Collections'!F4484))</f>
        <v>0</v>
      </c>
      <c r="S4484" s="304">
        <f>IF(O4484&lt;=IF($O4484=0,0,SUMIFS(Disbursements!$W:$W,Disbursements!$B:$B,'Live Collections'!D4484,Disbursements!$D:$D,'Live Collections'!F4484)),O4484,IF($O4484=0,0,SUMIFS(Disbursements!$W:$W,Disbursements!$B:$B,'Live Collections'!D4484,Disbursements!$D:$D,'Live Collections'!F4484)))</f>
        <v>0</v>
      </c>
      <c r="T4484" s="304">
        <f t="shared" si="223"/>
        <v>0</v>
      </c>
      <c r="U4484" s="52"/>
      <c r="V4484" s="34"/>
      <c r="W4484" s="408"/>
    </row>
    <row r="4485" spans="1:23" ht="12.75" customHeight="1" x14ac:dyDescent="0.2">
      <c r="A4485" s="257"/>
      <c r="B4485" s="44"/>
      <c r="C4485" s="44"/>
      <c r="D4485" s="374"/>
      <c r="E4485" s="291" t="str">
        <f>IFERROR(VLOOKUP($D4485,'Clients-Live'!$A:$C,3,0),"")</f>
        <v/>
      </c>
      <c r="F4485" s="291" t="str">
        <f>IFERROR(INDEX(Disbursements!$D:$D,MATCH('Live Collections'!G4485,Disbursements!$C:$C,0)),"")</f>
        <v/>
      </c>
      <c r="G4485" s="34"/>
      <c r="H4485" s="34"/>
      <c r="I4485" s="34"/>
      <c r="J4485" s="48"/>
      <c r="K4485" s="48"/>
      <c r="L4485" s="48"/>
      <c r="M4485" s="48"/>
      <c r="N4485" s="59"/>
      <c r="O4485" s="59"/>
      <c r="P4485" s="59"/>
      <c r="Q4485" s="268">
        <f t="shared" si="222"/>
        <v>0</v>
      </c>
      <c r="R4485" s="61">
        <f>IF(O4485=0,0,SUMIFS(Disbursements!$T:$T,Disbursements!$B:$B,'Live Collections'!D4485,Disbursements!$D:$D,'Live Collections'!F4485))</f>
        <v>0</v>
      </c>
      <c r="S4485" s="304">
        <f>IF(O4485&lt;=IF($O4485=0,0,SUMIFS(Disbursements!$W:$W,Disbursements!$B:$B,'Live Collections'!D4485,Disbursements!$D:$D,'Live Collections'!F4485)),O4485,IF($O4485=0,0,SUMIFS(Disbursements!$W:$W,Disbursements!$B:$B,'Live Collections'!D4485,Disbursements!$D:$D,'Live Collections'!F4485)))</f>
        <v>0</v>
      </c>
      <c r="T4485" s="304">
        <f t="shared" si="223"/>
        <v>0</v>
      </c>
      <c r="U4485" s="52"/>
      <c r="V4485" s="34"/>
      <c r="W4485" s="408"/>
    </row>
    <row r="4486" spans="1:23" ht="12.75" customHeight="1" x14ac:dyDescent="0.2">
      <c r="A4486" s="257"/>
      <c r="B4486" s="44"/>
      <c r="C4486" s="44"/>
      <c r="D4486" s="374"/>
      <c r="E4486" s="291" t="str">
        <f>IFERROR(VLOOKUP($D4486,'Clients-Live'!$A:$C,3,0),"")</f>
        <v/>
      </c>
      <c r="F4486" s="291" t="str">
        <f>IFERROR(INDEX(Disbursements!$D:$D,MATCH('Live Collections'!G4486,Disbursements!$C:$C,0)),"")</f>
        <v/>
      </c>
      <c r="G4486" s="34"/>
      <c r="H4486" s="34"/>
      <c r="I4486" s="34"/>
      <c r="J4486" s="48"/>
      <c r="K4486" s="48"/>
      <c r="L4486" s="48"/>
      <c r="M4486" s="48"/>
      <c r="N4486" s="59"/>
      <c r="O4486" s="59"/>
      <c r="P4486" s="59"/>
      <c r="Q4486" s="268">
        <f t="shared" si="222"/>
        <v>0</v>
      </c>
      <c r="R4486" s="61">
        <f>IF(O4486=0,0,SUMIFS(Disbursements!$T:$T,Disbursements!$B:$B,'Live Collections'!D4486,Disbursements!$D:$D,'Live Collections'!F4486))</f>
        <v>0</v>
      </c>
      <c r="S4486" s="304">
        <f>IF(O4486&lt;=IF($O4486=0,0,SUMIFS(Disbursements!$W:$W,Disbursements!$B:$B,'Live Collections'!D4486,Disbursements!$D:$D,'Live Collections'!F4486)),O4486,IF($O4486=0,0,SUMIFS(Disbursements!$W:$W,Disbursements!$B:$B,'Live Collections'!D4486,Disbursements!$D:$D,'Live Collections'!F4486)))</f>
        <v>0</v>
      </c>
      <c r="T4486" s="304">
        <f t="shared" si="223"/>
        <v>0</v>
      </c>
      <c r="U4486" s="52"/>
      <c r="V4486" s="34"/>
      <c r="W4486" s="408"/>
    </row>
    <row r="4487" spans="1:23" ht="12.75" customHeight="1" x14ac:dyDescent="0.2">
      <c r="A4487" s="257"/>
      <c r="B4487" s="44"/>
      <c r="C4487" s="44"/>
      <c r="D4487" s="374"/>
      <c r="E4487" s="291" t="str">
        <f>IFERROR(VLOOKUP($D4487,'Clients-Live'!$A:$C,3,0),"")</f>
        <v/>
      </c>
      <c r="F4487" s="291" t="str">
        <f>IFERROR(INDEX(Disbursements!$D:$D,MATCH('Live Collections'!G4487,Disbursements!$C:$C,0)),"")</f>
        <v/>
      </c>
      <c r="G4487" s="34"/>
      <c r="H4487" s="34"/>
      <c r="I4487" s="34"/>
      <c r="J4487" s="48"/>
      <c r="K4487" s="48"/>
      <c r="L4487" s="48"/>
      <c r="M4487" s="48"/>
      <c r="N4487" s="59"/>
      <c r="O4487" s="59"/>
      <c r="P4487" s="59"/>
      <c r="Q4487" s="268">
        <f t="shared" si="222"/>
        <v>0</v>
      </c>
      <c r="R4487" s="61">
        <f>IF(O4487=0,0,SUMIFS(Disbursements!$T:$T,Disbursements!$B:$B,'Live Collections'!D4487,Disbursements!$D:$D,'Live Collections'!F4487))</f>
        <v>0</v>
      </c>
      <c r="S4487" s="304">
        <f>IF(O4487&lt;=IF($O4487=0,0,SUMIFS(Disbursements!$W:$W,Disbursements!$B:$B,'Live Collections'!D4487,Disbursements!$D:$D,'Live Collections'!F4487)),O4487,IF($O4487=0,0,SUMIFS(Disbursements!$W:$W,Disbursements!$B:$B,'Live Collections'!D4487,Disbursements!$D:$D,'Live Collections'!F4487)))</f>
        <v>0</v>
      </c>
      <c r="T4487" s="304">
        <f t="shared" si="223"/>
        <v>0</v>
      </c>
      <c r="U4487" s="52"/>
      <c r="V4487" s="34"/>
      <c r="W4487" s="408"/>
    </row>
    <row r="4488" spans="1:23" ht="12.75" customHeight="1" x14ac:dyDescent="0.2">
      <c r="A4488" s="257"/>
      <c r="B4488" s="44"/>
      <c r="C4488" s="44"/>
      <c r="D4488" s="374"/>
      <c r="E4488" s="291" t="str">
        <f>IFERROR(VLOOKUP($D4488,'Clients-Live'!$A:$C,3,0),"")</f>
        <v/>
      </c>
      <c r="F4488" s="291" t="str">
        <f>IFERROR(INDEX(Disbursements!$D:$D,MATCH('Live Collections'!G4488,Disbursements!$C:$C,0)),"")</f>
        <v/>
      </c>
      <c r="G4488" s="34"/>
      <c r="H4488" s="34"/>
      <c r="I4488" s="34"/>
      <c r="J4488" s="48"/>
      <c r="K4488" s="48"/>
      <c r="L4488" s="48"/>
      <c r="M4488" s="48"/>
      <c r="N4488" s="59"/>
      <c r="O4488" s="59"/>
      <c r="P4488" s="59"/>
      <c r="Q4488" s="268">
        <f t="shared" si="222"/>
        <v>0</v>
      </c>
      <c r="R4488" s="61">
        <f>IF(O4488=0,0,SUMIFS(Disbursements!$T:$T,Disbursements!$B:$B,'Live Collections'!D4488,Disbursements!$D:$D,'Live Collections'!F4488))</f>
        <v>0</v>
      </c>
      <c r="S4488" s="304">
        <f>IF(O4488&lt;=IF($O4488=0,0,SUMIFS(Disbursements!$W:$W,Disbursements!$B:$B,'Live Collections'!D4488,Disbursements!$D:$D,'Live Collections'!F4488)),O4488,IF($O4488=0,0,SUMIFS(Disbursements!$W:$W,Disbursements!$B:$B,'Live Collections'!D4488,Disbursements!$D:$D,'Live Collections'!F4488)))</f>
        <v>0</v>
      </c>
      <c r="T4488" s="304">
        <f t="shared" si="223"/>
        <v>0</v>
      </c>
      <c r="U4488" s="52"/>
      <c r="V4488" s="34"/>
      <c r="W4488" s="408"/>
    </row>
    <row r="4489" spans="1:23" ht="12.75" customHeight="1" x14ac:dyDescent="0.2">
      <c r="A4489" s="257"/>
      <c r="B4489" s="44"/>
      <c r="C4489" s="44"/>
      <c r="D4489" s="374"/>
      <c r="E4489" s="291" t="str">
        <f>IFERROR(VLOOKUP($D4489,'Clients-Live'!$A:$C,3,0),"")</f>
        <v/>
      </c>
      <c r="F4489" s="291" t="str">
        <f>IFERROR(INDEX(Disbursements!$D:$D,MATCH('Live Collections'!G4489,Disbursements!$C:$C,0)),"")</f>
        <v/>
      </c>
      <c r="G4489" s="34"/>
      <c r="H4489" s="34"/>
      <c r="I4489" s="34"/>
      <c r="J4489" s="48"/>
      <c r="K4489" s="48"/>
      <c r="L4489" s="48"/>
      <c r="M4489" s="48"/>
      <c r="N4489" s="59"/>
      <c r="O4489" s="59"/>
      <c r="P4489" s="59"/>
      <c r="Q4489" s="268">
        <f t="shared" si="222"/>
        <v>0</v>
      </c>
      <c r="R4489" s="61">
        <f>IF(O4489=0,0,SUMIFS(Disbursements!$T:$T,Disbursements!$B:$B,'Live Collections'!D4489,Disbursements!$D:$D,'Live Collections'!F4489))</f>
        <v>0</v>
      </c>
      <c r="S4489" s="304">
        <f>IF(O4489&lt;=IF($O4489=0,0,SUMIFS(Disbursements!$W:$W,Disbursements!$B:$B,'Live Collections'!D4489,Disbursements!$D:$D,'Live Collections'!F4489)),O4489,IF($O4489=0,0,SUMIFS(Disbursements!$W:$W,Disbursements!$B:$B,'Live Collections'!D4489,Disbursements!$D:$D,'Live Collections'!F4489)))</f>
        <v>0</v>
      </c>
      <c r="T4489" s="304">
        <f t="shared" si="223"/>
        <v>0</v>
      </c>
      <c r="U4489" s="52"/>
      <c r="V4489" s="34"/>
      <c r="W4489" s="408"/>
    </row>
    <row r="4490" spans="1:23" ht="12.75" customHeight="1" x14ac:dyDescent="0.2">
      <c r="A4490" s="257"/>
      <c r="B4490" s="44"/>
      <c r="C4490" s="44"/>
      <c r="D4490" s="374"/>
      <c r="E4490" s="291" t="str">
        <f>IFERROR(VLOOKUP($D4490,'Clients-Live'!$A:$C,3,0),"")</f>
        <v/>
      </c>
      <c r="F4490" s="291" t="str">
        <f>IFERROR(INDEX(Disbursements!$D:$D,MATCH('Live Collections'!G4490,Disbursements!$C:$C,0)),"")</f>
        <v/>
      </c>
      <c r="G4490" s="34"/>
      <c r="H4490" s="34"/>
      <c r="I4490" s="34"/>
      <c r="J4490" s="48"/>
      <c r="K4490" s="48"/>
      <c r="L4490" s="48"/>
      <c r="M4490" s="48"/>
      <c r="N4490" s="59"/>
      <c r="O4490" s="59"/>
      <c r="P4490" s="59"/>
      <c r="Q4490" s="268">
        <f t="shared" si="222"/>
        <v>0</v>
      </c>
      <c r="R4490" s="61">
        <f>IF(O4490=0,0,SUMIFS(Disbursements!$T:$T,Disbursements!$B:$B,'Live Collections'!D4490,Disbursements!$D:$D,'Live Collections'!F4490))</f>
        <v>0</v>
      </c>
      <c r="S4490" s="304">
        <f>IF(O4490&lt;=IF($O4490=0,0,SUMIFS(Disbursements!$W:$W,Disbursements!$B:$B,'Live Collections'!D4490,Disbursements!$D:$D,'Live Collections'!F4490)),O4490,IF($O4490=0,0,SUMIFS(Disbursements!$W:$W,Disbursements!$B:$B,'Live Collections'!D4490,Disbursements!$D:$D,'Live Collections'!F4490)))</f>
        <v>0</v>
      </c>
      <c r="T4490" s="304">
        <f t="shared" si="223"/>
        <v>0</v>
      </c>
      <c r="U4490" s="52"/>
      <c r="V4490" s="34"/>
      <c r="W4490" s="408"/>
    </row>
    <row r="4491" spans="1:23" ht="12.75" customHeight="1" x14ac:dyDescent="0.2">
      <c r="A4491" s="257"/>
      <c r="B4491" s="44"/>
      <c r="C4491" s="44"/>
      <c r="D4491" s="374"/>
      <c r="E4491" s="291" t="str">
        <f>IFERROR(VLOOKUP($D4491,'Clients-Live'!$A:$C,3,0),"")</f>
        <v/>
      </c>
      <c r="F4491" s="291" t="str">
        <f>IFERROR(INDEX(Disbursements!$D:$D,MATCH('Live Collections'!G4491,Disbursements!$C:$C,0)),"")</f>
        <v/>
      </c>
      <c r="G4491" s="34"/>
      <c r="H4491" s="34"/>
      <c r="I4491" s="34"/>
      <c r="J4491" s="48"/>
      <c r="K4491" s="48"/>
      <c r="L4491" s="48"/>
      <c r="M4491" s="48"/>
      <c r="N4491" s="59"/>
      <c r="O4491" s="59"/>
      <c r="P4491" s="59"/>
      <c r="Q4491" s="268">
        <f t="shared" si="219"/>
        <v>0</v>
      </c>
      <c r="R4491" s="61">
        <f>IF(O4491=0,0,SUMIFS(Disbursements!$T:$T,Disbursements!$B:$B,'Live Collections'!D4491,Disbursements!$D:$D,'Live Collections'!F4491))</f>
        <v>0</v>
      </c>
      <c r="S4491" s="304">
        <f>IF(O4491&lt;=IF($O4491=0,0,SUMIFS(Disbursements!$W:$W,Disbursements!$B:$B,'Live Collections'!D4491,Disbursements!$D:$D,'Live Collections'!F4491)),O4491,IF($O4491=0,0,SUMIFS(Disbursements!$W:$W,Disbursements!$B:$B,'Live Collections'!D4491,Disbursements!$D:$D,'Live Collections'!F4491)))</f>
        <v>0</v>
      </c>
      <c r="T4491" s="304">
        <f t="shared" si="220"/>
        <v>0</v>
      </c>
      <c r="U4491" s="52"/>
      <c r="V4491" s="34"/>
      <c r="W4491" s="408"/>
    </row>
    <row r="4492" spans="1:23" ht="12.75" customHeight="1" x14ac:dyDescent="0.2">
      <c r="A4492" s="257"/>
      <c r="B4492" s="44"/>
      <c r="C4492" s="44"/>
      <c r="D4492" s="374"/>
      <c r="E4492" s="291" t="str">
        <f>IFERROR(VLOOKUP($D4492,'Clients-Live'!$A:$C,3,0),"")</f>
        <v/>
      </c>
      <c r="F4492" s="291" t="str">
        <f>IFERROR(INDEX(Disbursements!$D:$D,MATCH('Live Collections'!G4492,Disbursements!$C:$C,0)),"")</f>
        <v/>
      </c>
      <c r="G4492" s="34"/>
      <c r="H4492" s="34"/>
      <c r="I4492" s="34"/>
      <c r="J4492" s="48"/>
      <c r="K4492" s="48"/>
      <c r="L4492" s="48"/>
      <c r="M4492" s="48"/>
      <c r="N4492" s="59"/>
      <c r="O4492" s="59"/>
      <c r="P4492" s="59"/>
      <c r="Q4492" s="268">
        <f t="shared" si="219"/>
        <v>0</v>
      </c>
      <c r="R4492" s="61">
        <f>IF(O4492=0,0,SUMIFS(Disbursements!$T:$T,Disbursements!$B:$B,'Live Collections'!D4492,Disbursements!$D:$D,'Live Collections'!F4492))</f>
        <v>0</v>
      </c>
      <c r="S4492" s="304">
        <f>IF(O4492&lt;=IF($O4492=0,0,SUMIFS(Disbursements!$W:$W,Disbursements!$B:$B,'Live Collections'!D4492,Disbursements!$D:$D,'Live Collections'!F4492)),O4492,IF($O4492=0,0,SUMIFS(Disbursements!$W:$W,Disbursements!$B:$B,'Live Collections'!D4492,Disbursements!$D:$D,'Live Collections'!F4492)))</f>
        <v>0</v>
      </c>
      <c r="T4492" s="304">
        <f t="shared" si="220"/>
        <v>0</v>
      </c>
      <c r="U4492" s="52"/>
      <c r="V4492" s="34"/>
      <c r="W4492" s="408"/>
    </row>
    <row r="4493" spans="1:23" ht="12.75" customHeight="1" x14ac:dyDescent="0.2">
      <c r="A4493" s="257"/>
      <c r="B4493" s="44"/>
      <c r="C4493" s="44"/>
      <c r="D4493" s="374"/>
      <c r="E4493" s="291" t="str">
        <f>IFERROR(VLOOKUP($D4493,'Clients-Live'!$A:$C,3,0),"")</f>
        <v/>
      </c>
      <c r="F4493" s="291" t="str">
        <f>IFERROR(INDEX(Disbursements!$D:$D,MATCH('Live Collections'!G4493,Disbursements!$C:$C,0)),"")</f>
        <v/>
      </c>
      <c r="G4493" s="34"/>
      <c r="H4493" s="34"/>
      <c r="I4493" s="34"/>
      <c r="J4493" s="48"/>
      <c r="K4493" s="48"/>
      <c r="L4493" s="48"/>
      <c r="M4493" s="48"/>
      <c r="N4493" s="59"/>
      <c r="O4493" s="59"/>
      <c r="P4493" s="59"/>
      <c r="Q4493" s="268">
        <f t="shared" si="219"/>
        <v>0</v>
      </c>
      <c r="R4493" s="61">
        <f>IF(O4493=0,0,SUMIFS(Disbursements!$T:$T,Disbursements!$B:$B,'Live Collections'!D4493,Disbursements!$D:$D,'Live Collections'!F4493))</f>
        <v>0</v>
      </c>
      <c r="S4493" s="304">
        <f>IF(O4493&lt;=IF($O4493=0,0,SUMIFS(Disbursements!$W:$W,Disbursements!$B:$B,'Live Collections'!D4493,Disbursements!$D:$D,'Live Collections'!F4493)),O4493,IF($O4493=0,0,SUMIFS(Disbursements!$W:$W,Disbursements!$B:$B,'Live Collections'!D4493,Disbursements!$D:$D,'Live Collections'!F4493)))</f>
        <v>0</v>
      </c>
      <c r="T4493" s="304">
        <f t="shared" si="220"/>
        <v>0</v>
      </c>
      <c r="U4493" s="52"/>
      <c r="V4493" s="34"/>
      <c r="W4493" s="408"/>
    </row>
    <row r="4494" spans="1:23" ht="12.75" customHeight="1" x14ac:dyDescent="0.2">
      <c r="A4494" s="257"/>
      <c r="B4494" s="44"/>
      <c r="C4494" s="44"/>
      <c r="D4494" s="374"/>
      <c r="E4494" s="291" t="str">
        <f>IFERROR(VLOOKUP($D4494,'Clients-Live'!$A:$C,3,0),"")</f>
        <v/>
      </c>
      <c r="F4494" s="291" t="str">
        <f>IFERROR(INDEX(Disbursements!$D:$D,MATCH('Live Collections'!G4494,Disbursements!$C:$C,0)),"")</f>
        <v/>
      </c>
      <c r="G4494" s="34"/>
      <c r="H4494" s="34"/>
      <c r="I4494" s="34"/>
      <c r="J4494" s="48"/>
      <c r="K4494" s="48"/>
      <c r="L4494" s="48"/>
      <c r="M4494" s="48"/>
      <c r="N4494" s="59"/>
      <c r="O4494" s="59"/>
      <c r="P4494" s="59"/>
      <c r="Q4494" s="268">
        <f t="shared" si="219"/>
        <v>0</v>
      </c>
      <c r="R4494" s="61">
        <f>IF(O4494=0,0,SUMIFS(Disbursements!$T:$T,Disbursements!$B:$B,'Live Collections'!D4494,Disbursements!$D:$D,'Live Collections'!F4494))</f>
        <v>0</v>
      </c>
      <c r="S4494" s="304">
        <f>IF(O4494&lt;=IF($O4494=0,0,SUMIFS(Disbursements!$W:$W,Disbursements!$B:$B,'Live Collections'!D4494,Disbursements!$D:$D,'Live Collections'!F4494)),O4494,IF($O4494=0,0,SUMIFS(Disbursements!$W:$W,Disbursements!$B:$B,'Live Collections'!D4494,Disbursements!$D:$D,'Live Collections'!F4494)))</f>
        <v>0</v>
      </c>
      <c r="T4494" s="304">
        <f t="shared" si="220"/>
        <v>0</v>
      </c>
      <c r="U4494" s="52"/>
      <c r="V4494" s="34"/>
      <c r="W4494" s="408"/>
    </row>
    <row r="4495" spans="1:23" ht="12.75" customHeight="1" x14ac:dyDescent="0.2">
      <c r="A4495" s="257"/>
      <c r="B4495" s="44"/>
      <c r="C4495" s="44"/>
      <c r="D4495" s="374"/>
      <c r="E4495" s="291" t="str">
        <f>IFERROR(VLOOKUP($D4495,'Clients-Live'!$A:$C,3,0),"")</f>
        <v/>
      </c>
      <c r="F4495" s="291" t="str">
        <f>IFERROR(INDEX(Disbursements!$D:$D,MATCH('Live Collections'!G4495,Disbursements!$C:$C,0)),"")</f>
        <v/>
      </c>
      <c r="G4495" s="34"/>
      <c r="H4495" s="34"/>
      <c r="I4495" s="34"/>
      <c r="J4495" s="48"/>
      <c r="K4495" s="48"/>
      <c r="L4495" s="48"/>
      <c r="M4495" s="48"/>
      <c r="N4495" s="59"/>
      <c r="O4495" s="59"/>
      <c r="P4495" s="59"/>
      <c r="Q4495" s="268">
        <f t="shared" si="219"/>
        <v>0</v>
      </c>
      <c r="R4495" s="61">
        <f>IF(O4495=0,0,SUMIFS(Disbursements!$T:$T,Disbursements!$B:$B,'Live Collections'!D4495,Disbursements!$D:$D,'Live Collections'!F4495))</f>
        <v>0</v>
      </c>
      <c r="S4495" s="304">
        <f>IF(O4495&lt;=IF($O4495=0,0,SUMIFS(Disbursements!$W:$W,Disbursements!$B:$B,'Live Collections'!D4495,Disbursements!$D:$D,'Live Collections'!F4495)),O4495,IF($O4495=0,0,SUMIFS(Disbursements!$W:$W,Disbursements!$B:$B,'Live Collections'!D4495,Disbursements!$D:$D,'Live Collections'!F4495)))</f>
        <v>0</v>
      </c>
      <c r="T4495" s="304">
        <f t="shared" si="220"/>
        <v>0</v>
      </c>
      <c r="U4495" s="52"/>
      <c r="V4495" s="34"/>
      <c r="W4495" s="408"/>
    </row>
    <row r="4496" spans="1:23" ht="12.75" customHeight="1" x14ac:dyDescent="0.2">
      <c r="A4496" s="257"/>
      <c r="B4496" s="44"/>
      <c r="C4496" s="44"/>
      <c r="D4496" s="374"/>
      <c r="E4496" s="291" t="str">
        <f>IFERROR(VLOOKUP($D4496,'Clients-Live'!$A:$C,3,0),"")</f>
        <v/>
      </c>
      <c r="F4496" s="291" t="str">
        <f>IFERROR(INDEX(Disbursements!$D:$D,MATCH('Live Collections'!G4496,Disbursements!$C:$C,0)),"")</f>
        <v/>
      </c>
      <c r="G4496" s="34"/>
      <c r="H4496" s="34"/>
      <c r="I4496" s="34"/>
      <c r="J4496" s="48"/>
      <c r="K4496" s="48"/>
      <c r="L4496" s="48"/>
      <c r="M4496" s="48"/>
      <c r="N4496" s="59"/>
      <c r="O4496" s="59"/>
      <c r="P4496" s="59"/>
      <c r="Q4496" s="268">
        <f t="shared" si="219"/>
        <v>0</v>
      </c>
      <c r="R4496" s="61">
        <f>IF(O4496=0,0,SUMIFS(Disbursements!$T:$T,Disbursements!$B:$B,'Live Collections'!D4496,Disbursements!$D:$D,'Live Collections'!F4496))</f>
        <v>0</v>
      </c>
      <c r="S4496" s="304">
        <f>IF(O4496&lt;=IF($O4496=0,0,SUMIFS(Disbursements!$W:$W,Disbursements!$B:$B,'Live Collections'!D4496,Disbursements!$D:$D,'Live Collections'!F4496)),O4496,IF($O4496=0,0,SUMIFS(Disbursements!$W:$W,Disbursements!$B:$B,'Live Collections'!D4496,Disbursements!$D:$D,'Live Collections'!F4496)))</f>
        <v>0</v>
      </c>
      <c r="T4496" s="304">
        <f t="shared" si="220"/>
        <v>0</v>
      </c>
      <c r="U4496" s="52"/>
      <c r="V4496" s="34"/>
      <c r="W4496" s="408"/>
    </row>
    <row r="4497" spans="1:23" ht="12.75" customHeight="1" x14ac:dyDescent="0.2">
      <c r="A4497" s="257"/>
      <c r="B4497" s="44"/>
      <c r="C4497" s="44"/>
      <c r="D4497" s="374"/>
      <c r="E4497" s="291" t="str">
        <f>IFERROR(VLOOKUP($D4497,'Clients-Live'!$A:$C,3,0),"")</f>
        <v/>
      </c>
      <c r="F4497" s="291" t="str">
        <f>IFERROR(INDEX(Disbursements!$D:$D,MATCH('Live Collections'!G4497,Disbursements!$C:$C,0)),"")</f>
        <v/>
      </c>
      <c r="G4497" s="34"/>
      <c r="H4497" s="34"/>
      <c r="I4497" s="34"/>
      <c r="J4497" s="48"/>
      <c r="K4497" s="48"/>
      <c r="L4497" s="48"/>
      <c r="M4497" s="48"/>
      <c r="N4497" s="59"/>
      <c r="O4497" s="59"/>
      <c r="P4497" s="59"/>
      <c r="Q4497" s="268">
        <f t="shared" si="219"/>
        <v>0</v>
      </c>
      <c r="R4497" s="61">
        <f>IF(O4497=0,0,SUMIFS(Disbursements!$T:$T,Disbursements!$B:$B,'Live Collections'!D4497,Disbursements!$D:$D,'Live Collections'!F4497))</f>
        <v>0</v>
      </c>
      <c r="S4497" s="304">
        <f>IF(O4497&lt;=IF($O4497=0,0,SUMIFS(Disbursements!$W:$W,Disbursements!$B:$B,'Live Collections'!D4497,Disbursements!$D:$D,'Live Collections'!F4497)),O4497,IF($O4497=0,0,SUMIFS(Disbursements!$W:$W,Disbursements!$B:$B,'Live Collections'!D4497,Disbursements!$D:$D,'Live Collections'!F4497)))</f>
        <v>0</v>
      </c>
      <c r="T4497" s="304">
        <f t="shared" si="220"/>
        <v>0</v>
      </c>
      <c r="U4497" s="52"/>
      <c r="V4497" s="34"/>
      <c r="W4497" s="408"/>
    </row>
    <row r="4498" spans="1:23" ht="12.75" customHeight="1" x14ac:dyDescent="0.2">
      <c r="A4498" s="257"/>
      <c r="B4498" s="44"/>
      <c r="C4498" s="44"/>
      <c r="D4498" s="374"/>
      <c r="E4498" s="291" t="str">
        <f>IFERROR(VLOOKUP($D4498,'Clients-Live'!$A:$C,3,0),"")</f>
        <v/>
      </c>
      <c r="F4498" s="291" t="str">
        <f>IFERROR(INDEX(Disbursements!$D:$D,MATCH('Live Collections'!G4498,Disbursements!$C:$C,0)),"")</f>
        <v/>
      </c>
      <c r="G4498" s="34"/>
      <c r="H4498" s="34"/>
      <c r="I4498" s="34"/>
      <c r="J4498" s="48"/>
      <c r="K4498" s="48"/>
      <c r="L4498" s="48"/>
      <c r="M4498" s="48"/>
      <c r="N4498" s="59"/>
      <c r="O4498" s="59"/>
      <c r="P4498" s="59"/>
      <c r="Q4498" s="268">
        <f t="shared" si="219"/>
        <v>0</v>
      </c>
      <c r="R4498" s="61">
        <f>IF(O4498=0,0,SUMIFS(Disbursements!$T:$T,Disbursements!$B:$B,'Live Collections'!D4498,Disbursements!$D:$D,'Live Collections'!F4498))</f>
        <v>0</v>
      </c>
      <c r="S4498" s="304">
        <f>IF(O4498&lt;=IF($O4498=0,0,SUMIFS(Disbursements!$W:$W,Disbursements!$B:$B,'Live Collections'!D4498,Disbursements!$D:$D,'Live Collections'!F4498)),O4498,IF($O4498=0,0,SUMIFS(Disbursements!$W:$W,Disbursements!$B:$B,'Live Collections'!D4498,Disbursements!$D:$D,'Live Collections'!F4498)))</f>
        <v>0</v>
      </c>
      <c r="T4498" s="304">
        <f t="shared" si="220"/>
        <v>0</v>
      </c>
      <c r="U4498" s="52"/>
      <c r="V4498" s="34"/>
      <c r="W4498" s="408"/>
    </row>
    <row r="4499" spans="1:23" ht="12.75" customHeight="1" x14ac:dyDescent="0.2">
      <c r="A4499" s="257"/>
      <c r="B4499" s="44"/>
      <c r="C4499" s="44"/>
      <c r="D4499" s="374"/>
      <c r="E4499" s="291" t="str">
        <f>IFERROR(VLOOKUP($D4499,'Clients-Live'!$A:$C,3,0),"")</f>
        <v/>
      </c>
      <c r="F4499" s="291" t="str">
        <f>IFERROR(INDEX(Disbursements!$D:$D,MATCH('Live Collections'!G4499,Disbursements!$C:$C,0)),"")</f>
        <v/>
      </c>
      <c r="G4499" s="34"/>
      <c r="H4499" s="34"/>
      <c r="I4499" s="34"/>
      <c r="J4499" s="48"/>
      <c r="K4499" s="48"/>
      <c r="L4499" s="48"/>
      <c r="M4499" s="48"/>
      <c r="N4499" s="59"/>
      <c r="O4499" s="59"/>
      <c r="P4499" s="59"/>
      <c r="Q4499" s="268">
        <f t="shared" si="219"/>
        <v>0</v>
      </c>
      <c r="R4499" s="61">
        <f>IF(O4499=0,0,SUMIFS(Disbursements!$T:$T,Disbursements!$B:$B,'Live Collections'!D4499,Disbursements!$D:$D,'Live Collections'!F4499))</f>
        <v>0</v>
      </c>
      <c r="S4499" s="304">
        <f>IF(O4499&lt;=IF($O4499=0,0,SUMIFS(Disbursements!$W:$W,Disbursements!$B:$B,'Live Collections'!D4499,Disbursements!$D:$D,'Live Collections'!F4499)),O4499,IF($O4499=0,0,SUMIFS(Disbursements!$W:$W,Disbursements!$B:$B,'Live Collections'!D4499,Disbursements!$D:$D,'Live Collections'!F4499)))</f>
        <v>0</v>
      </c>
      <c r="T4499" s="304">
        <f t="shared" si="220"/>
        <v>0</v>
      </c>
      <c r="U4499" s="52"/>
      <c r="V4499" s="34"/>
      <c r="W4499" s="408"/>
    </row>
    <row r="4500" spans="1:23" ht="12.75" customHeight="1" x14ac:dyDescent="0.2">
      <c r="A4500" s="257"/>
      <c r="B4500" s="44"/>
      <c r="C4500" s="44"/>
      <c r="D4500" s="374"/>
      <c r="E4500" s="291" t="str">
        <f>IFERROR(VLOOKUP($D4500,'Clients-Live'!$A:$C,3,0),"")</f>
        <v/>
      </c>
      <c r="F4500" s="291" t="str">
        <f>IFERROR(INDEX(Disbursements!$D:$D,MATCH('Live Collections'!G4500,Disbursements!$C:$C,0)),"")</f>
        <v/>
      </c>
      <c r="G4500" s="34"/>
      <c r="H4500" s="34"/>
      <c r="I4500" s="34"/>
      <c r="J4500" s="48"/>
      <c r="K4500" s="48"/>
      <c r="L4500" s="48"/>
      <c r="M4500" s="48"/>
      <c r="N4500" s="59"/>
      <c r="O4500" s="59"/>
      <c r="P4500" s="59"/>
      <c r="Q4500" s="268">
        <f t="shared" si="219"/>
        <v>0</v>
      </c>
      <c r="R4500" s="61">
        <f>IF(O4500=0,0,SUMIFS(Disbursements!$T:$T,Disbursements!$B:$B,'Live Collections'!D4500,Disbursements!$D:$D,'Live Collections'!F4500))</f>
        <v>0</v>
      </c>
      <c r="S4500" s="304">
        <f>IF(O4500&lt;=IF($O4500=0,0,SUMIFS(Disbursements!$W:$W,Disbursements!$B:$B,'Live Collections'!D4500,Disbursements!$D:$D,'Live Collections'!F4500)),O4500,IF($O4500=0,0,SUMIFS(Disbursements!$W:$W,Disbursements!$B:$B,'Live Collections'!D4500,Disbursements!$D:$D,'Live Collections'!F4500)))</f>
        <v>0</v>
      </c>
      <c r="T4500" s="304">
        <f t="shared" si="220"/>
        <v>0</v>
      </c>
      <c r="U4500" s="52"/>
      <c r="V4500" s="34"/>
      <c r="W4500" s="408"/>
    </row>
    <row r="4501" spans="1:23" ht="12.75" customHeight="1" x14ac:dyDescent="0.2">
      <c r="A4501" s="257"/>
      <c r="B4501" s="44"/>
      <c r="C4501" s="44"/>
      <c r="D4501" s="374"/>
      <c r="E4501" s="291" t="str">
        <f>IFERROR(VLOOKUP($D4501,'Clients-Live'!$A:$C,3,0),"")</f>
        <v/>
      </c>
      <c r="F4501" s="291" t="str">
        <f>IFERROR(INDEX(Disbursements!$D:$D,MATCH('Live Collections'!G4501,Disbursements!$C:$C,0)),"")</f>
        <v/>
      </c>
      <c r="G4501" s="34"/>
      <c r="H4501" s="34"/>
      <c r="I4501" s="34"/>
      <c r="J4501" s="48"/>
      <c r="K4501" s="48"/>
      <c r="L4501" s="48"/>
      <c r="M4501" s="48"/>
      <c r="N4501" s="59"/>
      <c r="O4501" s="59"/>
      <c r="P4501" s="59"/>
      <c r="Q4501" s="268">
        <f t="shared" si="219"/>
        <v>0</v>
      </c>
      <c r="R4501" s="61">
        <f>IF(O4501=0,0,SUMIFS(Disbursements!$T:$T,Disbursements!$B:$B,'Live Collections'!D4501,Disbursements!$D:$D,'Live Collections'!F4501))</f>
        <v>0</v>
      </c>
      <c r="S4501" s="304">
        <f>IF(O4501&lt;=IF($O4501=0,0,SUMIFS(Disbursements!$W:$W,Disbursements!$B:$B,'Live Collections'!D4501,Disbursements!$D:$D,'Live Collections'!F4501)),O4501,IF($O4501=0,0,SUMIFS(Disbursements!$W:$W,Disbursements!$B:$B,'Live Collections'!D4501,Disbursements!$D:$D,'Live Collections'!F4501)))</f>
        <v>0</v>
      </c>
      <c r="T4501" s="304">
        <f t="shared" si="220"/>
        <v>0</v>
      </c>
      <c r="U4501" s="52"/>
      <c r="V4501" s="34"/>
      <c r="W4501" s="408"/>
    </row>
    <row r="4502" spans="1:23" ht="12.75" customHeight="1" x14ac:dyDescent="0.2">
      <c r="A4502" s="257"/>
      <c r="B4502" s="44"/>
      <c r="C4502" s="44"/>
      <c r="D4502" s="374"/>
      <c r="E4502" s="291" t="str">
        <f>IFERROR(VLOOKUP($D4502,'Clients-Live'!$A:$C,3,0),"")</f>
        <v/>
      </c>
      <c r="F4502" s="291" t="str">
        <f>IFERROR(INDEX(Disbursements!$D:$D,MATCH('Live Collections'!G4502,Disbursements!$C:$C,0)),"")</f>
        <v/>
      </c>
      <c r="G4502" s="34"/>
      <c r="H4502" s="34"/>
      <c r="I4502" s="34"/>
      <c r="J4502" s="48"/>
      <c r="K4502" s="48"/>
      <c r="L4502" s="48"/>
      <c r="M4502" s="48"/>
      <c r="N4502" s="59"/>
      <c r="O4502" s="59"/>
      <c r="P4502" s="59"/>
      <c r="Q4502" s="268">
        <f t="shared" si="219"/>
        <v>0</v>
      </c>
      <c r="R4502" s="61">
        <f>IF(O4502=0,0,SUMIFS(Disbursements!$T:$T,Disbursements!$B:$B,'Live Collections'!D4502,Disbursements!$D:$D,'Live Collections'!F4502))</f>
        <v>0</v>
      </c>
      <c r="S4502" s="304">
        <f>IF(O4502&lt;=IF($O4502=0,0,SUMIFS(Disbursements!$W:$W,Disbursements!$B:$B,'Live Collections'!D4502,Disbursements!$D:$D,'Live Collections'!F4502)),O4502,IF($O4502=0,0,SUMIFS(Disbursements!$W:$W,Disbursements!$B:$B,'Live Collections'!D4502,Disbursements!$D:$D,'Live Collections'!F4502)))</f>
        <v>0</v>
      </c>
      <c r="T4502" s="304">
        <f t="shared" si="220"/>
        <v>0</v>
      </c>
      <c r="U4502" s="52"/>
      <c r="V4502" s="34"/>
      <c r="W4502" s="408"/>
    </row>
    <row r="4503" spans="1:23" ht="12.75" customHeight="1" x14ac:dyDescent="0.2">
      <c r="A4503" s="257"/>
      <c r="B4503" s="44"/>
      <c r="C4503" s="44"/>
      <c r="D4503" s="374"/>
      <c r="E4503" s="291" t="str">
        <f>IFERROR(VLOOKUP($D4503,'Clients-Live'!$A:$C,3,0),"")</f>
        <v/>
      </c>
      <c r="F4503" s="291" t="str">
        <f>IFERROR(INDEX(Disbursements!$D:$D,MATCH('Live Collections'!G4503,Disbursements!$C:$C,0)),"")</f>
        <v/>
      </c>
      <c r="G4503" s="34"/>
      <c r="H4503" s="34"/>
      <c r="I4503" s="34"/>
      <c r="J4503" s="48"/>
      <c r="K4503" s="48"/>
      <c r="L4503" s="48"/>
      <c r="M4503" s="48"/>
      <c r="N4503" s="59"/>
      <c r="O4503" s="59"/>
      <c r="P4503" s="59"/>
      <c r="Q4503" s="268">
        <f t="shared" si="219"/>
        <v>0</v>
      </c>
      <c r="R4503" s="61">
        <f>IF(O4503=0,0,SUMIFS(Disbursements!$T:$T,Disbursements!$B:$B,'Live Collections'!D4503,Disbursements!$D:$D,'Live Collections'!F4503))</f>
        <v>0</v>
      </c>
      <c r="S4503" s="304">
        <f>IF(O4503&lt;=IF($O4503=0,0,SUMIFS(Disbursements!$W:$W,Disbursements!$B:$B,'Live Collections'!D4503,Disbursements!$D:$D,'Live Collections'!F4503)),O4503,IF($O4503=0,0,SUMIFS(Disbursements!$W:$W,Disbursements!$B:$B,'Live Collections'!D4503,Disbursements!$D:$D,'Live Collections'!F4503)))</f>
        <v>0</v>
      </c>
      <c r="T4503" s="304">
        <f t="shared" si="220"/>
        <v>0</v>
      </c>
      <c r="U4503" s="52"/>
      <c r="V4503" s="34"/>
      <c r="W4503" s="408"/>
    </row>
    <row r="4504" spans="1:23" ht="12.75" customHeight="1" x14ac:dyDescent="0.2">
      <c r="A4504" s="257"/>
      <c r="B4504" s="44"/>
      <c r="C4504" s="44"/>
      <c r="D4504" s="374"/>
      <c r="E4504" s="291" t="str">
        <f>IFERROR(VLOOKUP($D4504,'Clients-Live'!$A:$C,3,0),"")</f>
        <v/>
      </c>
      <c r="F4504" s="291" t="str">
        <f>IFERROR(INDEX(Disbursements!$D:$D,MATCH('Live Collections'!G4504,Disbursements!$C:$C,0)),"")</f>
        <v/>
      </c>
      <c r="G4504" s="34"/>
      <c r="H4504" s="34"/>
      <c r="I4504" s="34"/>
      <c r="J4504" s="48"/>
      <c r="K4504" s="48"/>
      <c r="L4504" s="48"/>
      <c r="M4504" s="48"/>
      <c r="N4504" s="59"/>
      <c r="O4504" s="59"/>
      <c r="P4504" s="59"/>
      <c r="Q4504" s="268">
        <f t="shared" ref="Q4504:Q4510" si="226">SUM(J4504:P4504)</f>
        <v>0</v>
      </c>
      <c r="R4504" s="61">
        <f>IF(O4504=0,0,SUMIFS(Disbursements!$T:$T,Disbursements!$B:$B,'Live Collections'!D4504,Disbursements!$D:$D,'Live Collections'!F4504))</f>
        <v>0</v>
      </c>
      <c r="S4504" s="304">
        <f>IF(O4504&lt;=IF($O4504=0,0,SUMIFS(Disbursements!$W:$W,Disbursements!$B:$B,'Live Collections'!D4504,Disbursements!$D:$D,'Live Collections'!F4504)),O4504,IF($O4504=0,0,SUMIFS(Disbursements!$W:$W,Disbursements!$B:$B,'Live Collections'!D4504,Disbursements!$D:$D,'Live Collections'!F4504)))</f>
        <v>0</v>
      </c>
      <c r="T4504" s="304">
        <f t="shared" ref="T4504:T4510" si="227">IF(O4504=0,0,O4504-S4504)</f>
        <v>0</v>
      </c>
      <c r="U4504" s="52"/>
      <c r="V4504" s="34"/>
      <c r="W4504" s="408"/>
    </row>
    <row r="4505" spans="1:23" ht="12.75" customHeight="1" x14ac:dyDescent="0.2">
      <c r="A4505" s="257"/>
      <c r="B4505" s="44"/>
      <c r="C4505" s="44"/>
      <c r="D4505" s="374"/>
      <c r="E4505" s="291" t="str">
        <f>IFERROR(VLOOKUP($D4505,'Clients-Live'!$A:$C,3,0),"")</f>
        <v/>
      </c>
      <c r="F4505" s="291" t="str">
        <f>IFERROR(INDEX(Disbursements!$D:$D,MATCH('Live Collections'!G4505,Disbursements!$C:$C,0)),"")</f>
        <v/>
      </c>
      <c r="G4505" s="34"/>
      <c r="H4505" s="34"/>
      <c r="I4505" s="34"/>
      <c r="J4505" s="48"/>
      <c r="K4505" s="48"/>
      <c r="L4505" s="48"/>
      <c r="M4505" s="48"/>
      <c r="N4505" s="59"/>
      <c r="O4505" s="59"/>
      <c r="P4505" s="59"/>
      <c r="Q4505" s="268">
        <f t="shared" si="226"/>
        <v>0</v>
      </c>
      <c r="R4505" s="61">
        <f>IF(O4505=0,0,SUMIFS(Disbursements!$T:$T,Disbursements!$B:$B,'Live Collections'!D4505,Disbursements!$D:$D,'Live Collections'!F4505))</f>
        <v>0</v>
      </c>
      <c r="S4505" s="304">
        <f>IF(O4505&lt;=IF($O4505=0,0,SUMIFS(Disbursements!$W:$W,Disbursements!$B:$B,'Live Collections'!D4505,Disbursements!$D:$D,'Live Collections'!F4505)),O4505,IF($O4505=0,0,SUMIFS(Disbursements!$W:$W,Disbursements!$B:$B,'Live Collections'!D4505,Disbursements!$D:$D,'Live Collections'!F4505)))</f>
        <v>0</v>
      </c>
      <c r="T4505" s="304">
        <f t="shared" si="227"/>
        <v>0</v>
      </c>
      <c r="U4505" s="52"/>
      <c r="V4505" s="34"/>
      <c r="W4505" s="408"/>
    </row>
    <row r="4506" spans="1:23" ht="12.75" customHeight="1" x14ac:dyDescent="0.2">
      <c r="A4506" s="257"/>
      <c r="B4506" s="44"/>
      <c r="C4506" s="44"/>
      <c r="D4506" s="374"/>
      <c r="E4506" s="291" t="str">
        <f>IFERROR(VLOOKUP($D4506,'Clients-Live'!$A:$C,3,0),"")</f>
        <v/>
      </c>
      <c r="F4506" s="291" t="str">
        <f>IFERROR(INDEX(Disbursements!$D:$D,MATCH('Live Collections'!G4506,Disbursements!$C:$C,0)),"")</f>
        <v/>
      </c>
      <c r="G4506" s="34"/>
      <c r="H4506" s="34"/>
      <c r="I4506" s="34"/>
      <c r="J4506" s="48"/>
      <c r="K4506" s="48"/>
      <c r="L4506" s="48"/>
      <c r="M4506" s="48"/>
      <c r="N4506" s="59"/>
      <c r="O4506" s="59"/>
      <c r="P4506" s="59"/>
      <c r="Q4506" s="268">
        <f t="shared" si="226"/>
        <v>0</v>
      </c>
      <c r="R4506" s="61">
        <f>IF(O4506=0,0,SUMIFS(Disbursements!$T:$T,Disbursements!$B:$B,'Live Collections'!D4506,Disbursements!$D:$D,'Live Collections'!F4506))</f>
        <v>0</v>
      </c>
      <c r="S4506" s="304">
        <f>IF(O4506&lt;=IF($O4506=0,0,SUMIFS(Disbursements!$W:$W,Disbursements!$B:$B,'Live Collections'!D4506,Disbursements!$D:$D,'Live Collections'!F4506)),O4506,IF($O4506=0,0,SUMIFS(Disbursements!$W:$W,Disbursements!$B:$B,'Live Collections'!D4506,Disbursements!$D:$D,'Live Collections'!F4506)))</f>
        <v>0</v>
      </c>
      <c r="T4506" s="304">
        <f t="shared" si="227"/>
        <v>0</v>
      </c>
      <c r="U4506" s="52"/>
      <c r="V4506" s="34"/>
      <c r="W4506" s="408"/>
    </row>
    <row r="4507" spans="1:23" ht="12.75" customHeight="1" x14ac:dyDescent="0.2">
      <c r="A4507" s="257"/>
      <c r="B4507" s="44"/>
      <c r="C4507" s="44"/>
      <c r="D4507" s="374"/>
      <c r="E4507" s="291" t="str">
        <f>IFERROR(VLOOKUP($D4507,'Clients-Live'!$A:$C,3,0),"")</f>
        <v/>
      </c>
      <c r="F4507" s="291" t="str">
        <f>IFERROR(INDEX(Disbursements!$D:$D,MATCH('Live Collections'!G4507,Disbursements!$C:$C,0)),"")</f>
        <v/>
      </c>
      <c r="G4507" s="34"/>
      <c r="H4507" s="34"/>
      <c r="I4507" s="34"/>
      <c r="J4507" s="48"/>
      <c r="K4507" s="48"/>
      <c r="L4507" s="48"/>
      <c r="M4507" s="48"/>
      <c r="N4507" s="59"/>
      <c r="O4507" s="59"/>
      <c r="P4507" s="59"/>
      <c r="Q4507" s="268">
        <f t="shared" si="226"/>
        <v>0</v>
      </c>
      <c r="R4507" s="61">
        <f>IF(O4507=0,0,SUMIFS(Disbursements!$T:$T,Disbursements!$B:$B,'Live Collections'!D4507,Disbursements!$D:$D,'Live Collections'!F4507))</f>
        <v>0</v>
      </c>
      <c r="S4507" s="304">
        <f>IF(O4507&lt;=IF($O4507=0,0,SUMIFS(Disbursements!$W:$W,Disbursements!$B:$B,'Live Collections'!D4507,Disbursements!$D:$D,'Live Collections'!F4507)),O4507,IF($O4507=0,0,SUMIFS(Disbursements!$W:$W,Disbursements!$B:$B,'Live Collections'!D4507,Disbursements!$D:$D,'Live Collections'!F4507)))</f>
        <v>0</v>
      </c>
      <c r="T4507" s="304">
        <f t="shared" si="227"/>
        <v>0</v>
      </c>
      <c r="U4507" s="52"/>
      <c r="V4507" s="34"/>
      <c r="W4507" s="408"/>
    </row>
    <row r="4508" spans="1:23" ht="12.75" customHeight="1" x14ac:dyDescent="0.2">
      <c r="A4508" s="257"/>
      <c r="B4508" s="44"/>
      <c r="C4508" s="44"/>
      <c r="D4508" s="374"/>
      <c r="E4508" s="291" t="str">
        <f>IFERROR(VLOOKUP($D4508,'Clients-Live'!$A:$C,3,0),"")</f>
        <v/>
      </c>
      <c r="F4508" s="291" t="str">
        <f>IFERROR(INDEX(Disbursements!$D:$D,MATCH('Live Collections'!G4508,Disbursements!$C:$C,0)),"")</f>
        <v/>
      </c>
      <c r="G4508" s="34"/>
      <c r="H4508" s="34"/>
      <c r="I4508" s="34"/>
      <c r="J4508" s="48"/>
      <c r="K4508" s="48"/>
      <c r="L4508" s="48"/>
      <c r="M4508" s="48"/>
      <c r="N4508" s="59"/>
      <c r="O4508" s="59"/>
      <c r="P4508" s="59"/>
      <c r="Q4508" s="268">
        <f t="shared" si="226"/>
        <v>0</v>
      </c>
      <c r="R4508" s="61">
        <f>IF(O4508=0,0,SUMIFS(Disbursements!$T:$T,Disbursements!$B:$B,'Live Collections'!D4508,Disbursements!$D:$D,'Live Collections'!F4508))</f>
        <v>0</v>
      </c>
      <c r="S4508" s="304">
        <f>IF(O4508&lt;=IF($O4508=0,0,SUMIFS(Disbursements!$W:$W,Disbursements!$B:$B,'Live Collections'!D4508,Disbursements!$D:$D,'Live Collections'!F4508)),O4508,IF($O4508=0,0,SUMIFS(Disbursements!$W:$W,Disbursements!$B:$B,'Live Collections'!D4508,Disbursements!$D:$D,'Live Collections'!F4508)))</f>
        <v>0</v>
      </c>
      <c r="T4508" s="304">
        <f t="shared" si="227"/>
        <v>0</v>
      </c>
      <c r="U4508" s="52"/>
      <c r="V4508" s="34"/>
      <c r="W4508" s="408"/>
    </row>
    <row r="4509" spans="1:23" ht="12.75" customHeight="1" x14ac:dyDescent="0.2">
      <c r="A4509" s="257"/>
      <c r="B4509" s="44"/>
      <c r="C4509" s="44"/>
      <c r="D4509" s="374"/>
      <c r="E4509" s="291" t="str">
        <f>IFERROR(VLOOKUP($D4509,'Clients-Live'!$A:$C,3,0),"")</f>
        <v/>
      </c>
      <c r="F4509" s="291" t="str">
        <f>IFERROR(INDEX(Disbursements!$D:$D,MATCH('Live Collections'!G4509,Disbursements!$C:$C,0)),"")</f>
        <v/>
      </c>
      <c r="G4509" s="34"/>
      <c r="H4509" s="34"/>
      <c r="I4509" s="34"/>
      <c r="J4509" s="48"/>
      <c r="K4509" s="48"/>
      <c r="L4509" s="48"/>
      <c r="M4509" s="48"/>
      <c r="N4509" s="59"/>
      <c r="O4509" s="59"/>
      <c r="P4509" s="59"/>
      <c r="Q4509" s="268">
        <f t="shared" si="226"/>
        <v>0</v>
      </c>
      <c r="R4509" s="61">
        <f>IF(O4509=0,0,SUMIFS(Disbursements!$T:$T,Disbursements!$B:$B,'Live Collections'!D4509,Disbursements!$D:$D,'Live Collections'!F4509))</f>
        <v>0</v>
      </c>
      <c r="S4509" s="304">
        <f>IF(O4509&lt;=IF($O4509=0,0,SUMIFS(Disbursements!$W:$W,Disbursements!$B:$B,'Live Collections'!D4509,Disbursements!$D:$D,'Live Collections'!F4509)),O4509,IF($O4509=0,0,SUMIFS(Disbursements!$W:$W,Disbursements!$B:$B,'Live Collections'!D4509,Disbursements!$D:$D,'Live Collections'!F4509)))</f>
        <v>0</v>
      </c>
      <c r="T4509" s="304">
        <f t="shared" si="227"/>
        <v>0</v>
      </c>
      <c r="U4509" s="52"/>
      <c r="V4509" s="34"/>
      <c r="W4509" s="408"/>
    </row>
    <row r="4510" spans="1:23" ht="12.75" customHeight="1" x14ac:dyDescent="0.2">
      <c r="A4510" s="257"/>
      <c r="B4510" s="44"/>
      <c r="C4510" s="44"/>
      <c r="D4510" s="374"/>
      <c r="E4510" s="291" t="str">
        <f>IFERROR(VLOOKUP($D4510,'Clients-Live'!$A:$C,3,0),"")</f>
        <v/>
      </c>
      <c r="F4510" s="291" t="str">
        <f>IFERROR(INDEX(Disbursements!$D:$D,MATCH('Live Collections'!G4510,Disbursements!$C:$C,0)),"")</f>
        <v/>
      </c>
      <c r="G4510" s="34"/>
      <c r="H4510" s="34"/>
      <c r="I4510" s="34"/>
      <c r="J4510" s="48"/>
      <c r="K4510" s="48"/>
      <c r="L4510" s="48"/>
      <c r="M4510" s="48"/>
      <c r="N4510" s="59"/>
      <c r="O4510" s="59"/>
      <c r="P4510" s="59"/>
      <c r="Q4510" s="268">
        <f t="shared" si="226"/>
        <v>0</v>
      </c>
      <c r="R4510" s="61">
        <f>IF(O4510=0,0,SUMIFS(Disbursements!$T:$T,Disbursements!$B:$B,'Live Collections'!D4510,Disbursements!$D:$D,'Live Collections'!F4510))</f>
        <v>0</v>
      </c>
      <c r="S4510" s="304">
        <f>IF(O4510&lt;=IF($O4510=0,0,SUMIFS(Disbursements!$W:$W,Disbursements!$B:$B,'Live Collections'!D4510,Disbursements!$D:$D,'Live Collections'!F4510)),O4510,IF($O4510=0,0,SUMIFS(Disbursements!$W:$W,Disbursements!$B:$B,'Live Collections'!D4510,Disbursements!$D:$D,'Live Collections'!F4510)))</f>
        <v>0</v>
      </c>
      <c r="T4510" s="304">
        <f t="shared" si="227"/>
        <v>0</v>
      </c>
      <c r="U4510" s="52"/>
      <c r="V4510" s="34"/>
      <c r="W4510" s="408"/>
    </row>
    <row r="4511" spans="1:23" ht="12.75" customHeight="1" x14ac:dyDescent="0.2">
      <c r="A4511" s="257"/>
      <c r="B4511" s="44"/>
      <c r="C4511" s="44"/>
      <c r="D4511" s="374"/>
      <c r="E4511" s="291" t="str">
        <f>IFERROR(VLOOKUP($D4511,'Clients-Live'!$A:$C,3,0),"")</f>
        <v/>
      </c>
      <c r="F4511" s="291" t="str">
        <f>IFERROR(INDEX(Disbursements!$D:$D,MATCH('Live Collections'!G4511,Disbursements!$C:$C,0)),"")</f>
        <v/>
      </c>
      <c r="G4511" s="34"/>
      <c r="H4511" s="34"/>
      <c r="I4511" s="34"/>
      <c r="J4511" s="48"/>
      <c r="K4511" s="48"/>
      <c r="L4511" s="48"/>
      <c r="M4511" s="48"/>
      <c r="N4511" s="59"/>
      <c r="O4511" s="59"/>
      <c r="P4511" s="59"/>
      <c r="Q4511" s="268">
        <f t="shared" si="210"/>
        <v>0</v>
      </c>
      <c r="R4511" s="61">
        <f>IF(O4511=0,0,SUMIFS(Disbursements!$T:$T,Disbursements!$B:$B,'Live Collections'!D4511,Disbursements!$D:$D,'Live Collections'!F4511))</f>
        <v>0</v>
      </c>
      <c r="S4511" s="304">
        <f>IF(O4511&lt;=IF($O4511=0,0,SUMIFS(Disbursements!$W:$W,Disbursements!$B:$B,'Live Collections'!D4511,Disbursements!$D:$D,'Live Collections'!F4511)),O4511,IF($O4511=0,0,SUMIFS(Disbursements!$W:$W,Disbursements!$B:$B,'Live Collections'!D4511,Disbursements!$D:$D,'Live Collections'!F4511)))</f>
        <v>0</v>
      </c>
      <c r="T4511" s="304">
        <f t="shared" si="211"/>
        <v>0</v>
      </c>
      <c r="U4511" s="52"/>
      <c r="V4511" s="34"/>
      <c r="W4511" s="408"/>
    </row>
    <row r="4512" spans="1:23" ht="12.75" customHeight="1" x14ac:dyDescent="0.2">
      <c r="A4512" s="257"/>
      <c r="B4512" s="44"/>
      <c r="C4512" s="44"/>
      <c r="D4512" s="374"/>
      <c r="E4512" s="291" t="str">
        <f>IFERROR(VLOOKUP($D4512,'Clients-Live'!$A:$C,3,0),"")</f>
        <v/>
      </c>
      <c r="F4512" s="291" t="str">
        <f>IFERROR(INDEX(Disbursements!$D:$D,MATCH('Live Collections'!G4512,Disbursements!$C:$C,0)),"")</f>
        <v/>
      </c>
      <c r="G4512" s="34"/>
      <c r="H4512" s="34"/>
      <c r="I4512" s="34"/>
      <c r="J4512" s="48"/>
      <c r="K4512" s="48"/>
      <c r="L4512" s="48"/>
      <c r="M4512" s="48"/>
      <c r="N4512" s="59"/>
      <c r="O4512" s="59"/>
      <c r="P4512" s="59"/>
      <c r="Q4512" s="268">
        <f t="shared" si="210"/>
        <v>0</v>
      </c>
      <c r="R4512" s="61">
        <f>IF(O4512=0,0,SUMIFS(Disbursements!$T:$T,Disbursements!$B:$B,'Live Collections'!D4512,Disbursements!$D:$D,'Live Collections'!F4512))</f>
        <v>0</v>
      </c>
      <c r="S4512" s="304">
        <f>IF(O4512&lt;=IF($O4512=0,0,SUMIFS(Disbursements!$W:$W,Disbursements!$B:$B,'Live Collections'!D4512,Disbursements!$D:$D,'Live Collections'!F4512)),O4512,IF($O4512=0,0,SUMIFS(Disbursements!$W:$W,Disbursements!$B:$B,'Live Collections'!D4512,Disbursements!$D:$D,'Live Collections'!F4512)))</f>
        <v>0</v>
      </c>
      <c r="T4512" s="304">
        <f t="shared" si="211"/>
        <v>0</v>
      </c>
      <c r="U4512" s="52"/>
      <c r="V4512" s="34"/>
      <c r="W4512" s="408"/>
    </row>
    <row r="4513" spans="1:23" ht="12.75" customHeight="1" x14ac:dyDescent="0.2">
      <c r="A4513" s="257"/>
      <c r="B4513" s="44"/>
      <c r="C4513" s="44"/>
      <c r="D4513" s="374"/>
      <c r="E4513" s="291" t="str">
        <f>IFERROR(VLOOKUP($D4513,'Clients-Live'!$A:$C,3,0),"")</f>
        <v/>
      </c>
      <c r="F4513" s="291" t="str">
        <f>IFERROR(INDEX(Disbursements!$D:$D,MATCH('Live Collections'!G4513,Disbursements!$C:$C,0)),"")</f>
        <v/>
      </c>
      <c r="G4513" s="34"/>
      <c r="H4513" s="34"/>
      <c r="I4513" s="34"/>
      <c r="J4513" s="48"/>
      <c r="K4513" s="48"/>
      <c r="L4513" s="48"/>
      <c r="M4513" s="48"/>
      <c r="N4513" s="59"/>
      <c r="O4513" s="59"/>
      <c r="P4513" s="59"/>
      <c r="Q4513" s="268">
        <f t="shared" si="208"/>
        <v>0</v>
      </c>
      <c r="R4513" s="61">
        <f>IF(O4513=0,0,SUMIFS(Disbursements!$T:$T,Disbursements!$B:$B,'Live Collections'!D4513,Disbursements!$D:$D,'Live Collections'!F4513))</f>
        <v>0</v>
      </c>
      <c r="S4513" s="304">
        <f>IF(O4513&lt;=IF($O4513=0,0,SUMIFS(Disbursements!$W:$W,Disbursements!$B:$B,'Live Collections'!D4513,Disbursements!$D:$D,'Live Collections'!F4513)),O4513,IF($O4513=0,0,SUMIFS(Disbursements!$W:$W,Disbursements!$B:$B,'Live Collections'!D4513,Disbursements!$D:$D,'Live Collections'!F4513)))</f>
        <v>0</v>
      </c>
      <c r="T4513" s="304">
        <f t="shared" si="209"/>
        <v>0</v>
      </c>
      <c r="U4513" s="52"/>
      <c r="V4513" s="34"/>
      <c r="W4513" s="408"/>
    </row>
    <row r="4514" spans="1:23" ht="12.75" customHeight="1" x14ac:dyDescent="0.2">
      <c r="A4514" s="257"/>
      <c r="B4514" s="44"/>
      <c r="C4514" s="44"/>
      <c r="D4514" s="374"/>
      <c r="E4514" s="291" t="str">
        <f>IFERROR(VLOOKUP($D4514,'Clients-Live'!$A:$C,3,0),"")</f>
        <v/>
      </c>
      <c r="F4514" s="291" t="str">
        <f>IFERROR(INDEX(Disbursements!$D:$D,MATCH('Live Collections'!G4514,Disbursements!$C:$C,0)),"")</f>
        <v/>
      </c>
      <c r="G4514" s="34"/>
      <c r="H4514" s="34"/>
      <c r="I4514" s="34"/>
      <c r="J4514" s="48"/>
      <c r="K4514" s="48"/>
      <c r="L4514" s="48"/>
      <c r="M4514" s="48"/>
      <c r="N4514" s="59"/>
      <c r="O4514" s="59"/>
      <c r="P4514" s="59"/>
      <c r="Q4514" s="268">
        <f t="shared" ref="Q4514:Q4515" si="228">SUM(J4514:P4514)</f>
        <v>0</v>
      </c>
      <c r="R4514" s="61">
        <f>IF(O4514=0,0,SUMIFS(Disbursements!$T:$T,Disbursements!$B:$B,'Live Collections'!D4514,Disbursements!$D:$D,'Live Collections'!F4514))</f>
        <v>0</v>
      </c>
      <c r="S4514" s="304">
        <f>IF(O4514&lt;=IF($O4514=0,0,SUMIFS(Disbursements!$W:$W,Disbursements!$B:$B,'Live Collections'!D4514,Disbursements!$D:$D,'Live Collections'!F4514)),O4514,IF($O4514=0,0,SUMIFS(Disbursements!$W:$W,Disbursements!$B:$B,'Live Collections'!D4514,Disbursements!$D:$D,'Live Collections'!F4514)))</f>
        <v>0</v>
      </c>
      <c r="T4514" s="304">
        <f t="shared" si="205"/>
        <v>0</v>
      </c>
      <c r="U4514" s="52"/>
      <c r="V4514" s="34"/>
      <c r="W4514" s="408"/>
    </row>
    <row r="4515" spans="1:23" ht="12.75" customHeight="1" x14ac:dyDescent="0.2">
      <c r="A4515" s="257">
        <v>2555</v>
      </c>
      <c r="B4515" s="220"/>
      <c r="C4515" s="220"/>
      <c r="D4515" s="375"/>
      <c r="E4515" s="291" t="str">
        <f>IFERROR(VLOOKUP($D4515,'Clients-Live'!$A:$C,3,0),"")</f>
        <v/>
      </c>
      <c r="F4515" s="291" t="str">
        <f>IFERROR(INDEX(Disbursements!$D:$D,MATCH('Live Collections'!G4515,Disbursements!$C:$C,0)),"")</f>
        <v/>
      </c>
      <c r="G4515" s="326" t="str">
        <f>IFERROR(VLOOKUP($D4515,'Clients-Live'!$A:$C,3,0),"")</f>
        <v/>
      </c>
      <c r="H4515" s="36"/>
      <c r="I4515" s="36"/>
      <c r="J4515" s="64"/>
      <c r="K4515" s="64"/>
      <c r="L4515" s="64"/>
      <c r="M4515" s="64"/>
      <c r="N4515" s="221"/>
      <c r="O4515" s="221"/>
      <c r="P4515" s="221"/>
      <c r="Q4515" s="327">
        <f t="shared" si="228"/>
        <v>0</v>
      </c>
      <c r="R4515" s="61">
        <f>IF(O4515=0,0,SUMIFS(Disbursements!$T:$T,Disbursements!$B:$B,'Live Collections'!D4515,Disbursements!$D:$D,'Live Collections'!F4515))</f>
        <v>0</v>
      </c>
      <c r="S4515" s="64"/>
      <c r="T4515" s="64"/>
      <c r="U4515" s="328"/>
      <c r="V4515" s="36"/>
      <c r="W4515" s="409"/>
    </row>
  </sheetData>
  <sheetProtection algorithmName="SHA-512" hashValue="BFuW8le+c6HoZSmDo9haEWUW0ZIspT1SmPEReQkRrF/JyrBBbHn2eQLwV6ICWRp5kwR1cuS6x/mlZSUHStFjMA==" saltValue="T0mTM16+jVSiB3wjgE0YwQ==" spinCount="100000" sheet="1" objects="1" scenarios="1"/>
  <autoFilter ref="A7:W4515" xr:uid="{00000000-0009-0000-0000-000007000000}">
    <sortState xmlns:xlrd2="http://schemas.microsoft.com/office/spreadsheetml/2017/richdata2" ref="A8:W4356">
      <sortCondition ref="B7:B4356"/>
    </sortState>
  </autoFilter>
  <sortState xmlns:xlrd2="http://schemas.microsoft.com/office/spreadsheetml/2017/richdata2" ref="A784:W956">
    <sortCondition ref="B783:B956"/>
  </sortState>
  <mergeCells count="1">
    <mergeCell ref="H3:I3"/>
  </mergeCells>
  <conditionalFormatting sqref="A1:A10 A1009:A1048 A1050:A1815 A21:A1007 A1817:A1048576">
    <cfRule type="duplicateValues" dxfId="22" priority="21"/>
  </conditionalFormatting>
  <conditionalFormatting sqref="A11:A20">
    <cfRule type="duplicateValues" dxfId="21" priority="1"/>
  </conditionalFormatting>
  <conditionalFormatting sqref="A1008">
    <cfRule type="duplicateValues" dxfId="20" priority="26"/>
  </conditionalFormatting>
  <conditionalFormatting sqref="A1049">
    <cfRule type="duplicateValues" dxfId="19" priority="25"/>
  </conditionalFormatting>
  <conditionalFormatting sqref="A1816">
    <cfRule type="duplicateValues" dxfId="18" priority="4"/>
  </conditionalFormatting>
  <conditionalFormatting sqref="G1817">
    <cfRule type="duplicateValues" dxfId="17" priority="2"/>
    <cfRule type="duplicateValues" dxfId="16" priority="3"/>
  </conditionalFormatting>
  <conditionalFormatting sqref="M2:M5">
    <cfRule type="cellIs" dxfId="15" priority="13" operator="lessThan">
      <formula>0</formula>
    </cfRule>
  </conditionalFormatting>
  <conditionalFormatting sqref="V3">
    <cfRule type="duplicateValues" dxfId="14" priority="20"/>
  </conditionalFormatting>
  <dataValidations count="3">
    <dataValidation type="date" allowBlank="1" showInputMessage="1" showErrorMessage="1" error="Invalid Date,_x000a_Use date format dd/mm/yy_x000a_                       or mm/dd/yyy" sqref="D213:D316 D318:D515 B8:B515 A8:A4515 C8:C4515" xr:uid="{00000000-0002-0000-0700-000000000000}">
      <formula1>1</formula1>
      <formula2>TODAY()</formula2>
    </dataValidation>
    <dataValidation type="list" allowBlank="1" showInputMessage="1" showErrorMessage="1" prompt="Kindly Pick from the List" sqref="J515:P515" xr:uid="{00000000-0002-0000-0700-000001000000}">
      <formula1>"STAF,CUST"</formula1>
    </dataValidation>
    <dataValidation type="textLength" operator="equal" allowBlank="1" showInputMessage="1" showErrorMessage="1" error="Invalid Number_x000a_Use format 702345678" sqref="U8:V514" xr:uid="{00000000-0002-0000-0700-000002000000}">
      <formula1>9</formula1>
    </dataValidation>
  </dataValidations>
  <hyperlinks>
    <hyperlink ref="V3" location="Menu!A1" display="Back to Menu" xr:uid="{00000000-0004-0000-0700-000000000000}"/>
  </hyperlinks>
  <pageMargins left="0.7" right="0.7" top="0.75" bottom="0.75" header="0.3" footer="0.3"/>
  <pageSetup paperSize="9" scale="36" orientation="portrait" verticalDpi="0" r:id="rId1"/>
  <colBreaks count="4" manualBreakCount="4">
    <brk id="4" max="2999" man="1"/>
    <brk id="13" max="2999" man="1"/>
    <brk id="14" max="2999" man="1"/>
    <brk id="17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59E76-FCE4-4204-AB5A-5F44E9F010DD}">
  <dimension ref="A1:K46"/>
  <sheetViews>
    <sheetView showGridLines="0" zoomScale="95" zoomScaleNormal="95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E21" sqref="E21"/>
    </sheetView>
  </sheetViews>
  <sheetFormatPr defaultRowHeight="12.75" x14ac:dyDescent="0.2"/>
  <cols>
    <col min="1" max="1" width="1.28515625" style="38" customWidth="1"/>
    <col min="2" max="2" width="27.42578125" style="38" bestFit="1" customWidth="1"/>
    <col min="3" max="3" width="14.28515625" style="38" bestFit="1" customWidth="1"/>
    <col min="4" max="4" width="14.5703125" style="38" bestFit="1" customWidth="1"/>
    <col min="5" max="5" width="13.140625" style="38" bestFit="1" customWidth="1"/>
    <col min="6" max="8" width="13.85546875" style="49" bestFit="1" customWidth="1"/>
    <col min="9" max="11" width="14.5703125" style="49" bestFit="1" customWidth="1"/>
    <col min="12" max="16384" width="9.140625" style="38"/>
  </cols>
  <sheetData>
    <row r="1" spans="1:11" x14ac:dyDescent="0.2">
      <c r="B1" s="299" t="s">
        <v>2503</v>
      </c>
      <c r="C1" s="128"/>
      <c r="D1" s="128"/>
      <c r="E1" s="128"/>
      <c r="F1" s="617"/>
      <c r="G1" s="618"/>
      <c r="H1" s="617"/>
      <c r="I1" s="619"/>
      <c r="J1" s="617"/>
      <c r="K1" s="619"/>
    </row>
    <row r="2" spans="1:11" x14ac:dyDescent="0.2">
      <c r="B2" s="299" t="s">
        <v>2504</v>
      </c>
      <c r="C2" s="128"/>
      <c r="D2" s="128"/>
      <c r="E2" s="128"/>
      <c r="F2" s="617"/>
      <c r="G2" s="620" t="s">
        <v>9</v>
      </c>
      <c r="H2" s="617"/>
      <c r="I2" s="621"/>
      <c r="J2" s="617"/>
      <c r="K2" s="621"/>
    </row>
    <row r="3" spans="1:11" x14ac:dyDescent="0.2">
      <c r="B3" s="299" t="s">
        <v>2516</v>
      </c>
      <c r="C3" s="128"/>
      <c r="D3" s="128"/>
      <c r="E3" s="128"/>
      <c r="F3" s="617"/>
      <c r="G3" s="617"/>
      <c r="H3" s="617"/>
      <c r="I3" s="617"/>
      <c r="J3" s="617"/>
      <c r="K3" s="617"/>
    </row>
    <row r="4" spans="1:11" x14ac:dyDescent="0.2">
      <c r="B4" s="128"/>
      <c r="C4" s="128"/>
      <c r="D4" s="128"/>
      <c r="E4" s="128"/>
      <c r="F4" s="617"/>
      <c r="G4" s="617"/>
      <c r="H4" s="617"/>
      <c r="I4" s="622">
        <v>44408</v>
      </c>
      <c r="J4" s="617"/>
      <c r="K4" s="622">
        <v>44408</v>
      </c>
    </row>
    <row r="5" spans="1:11" ht="13.5" thickBot="1" x14ac:dyDescent="0.25">
      <c r="B5" s="209" t="s">
        <v>2505</v>
      </c>
      <c r="C5" s="210"/>
      <c r="D5" s="210"/>
      <c r="E5" s="211"/>
      <c r="F5" s="211"/>
      <c r="G5" s="212"/>
      <c r="H5" s="212"/>
      <c r="I5" s="212"/>
      <c r="J5" s="212"/>
      <c r="K5" s="212"/>
    </row>
    <row r="6" spans="1:11" ht="14.25" thickTop="1" thickBot="1" x14ac:dyDescent="0.25">
      <c r="B6" s="37"/>
      <c r="C6" s="612" t="s">
        <v>1441</v>
      </c>
      <c r="D6" s="613">
        <v>44562</v>
      </c>
      <c r="E6" s="607">
        <f>D7+1</f>
        <v>44593</v>
      </c>
      <c r="F6" s="607">
        <f t="shared" ref="F6:K6" si="0">E7+1</f>
        <v>44621</v>
      </c>
      <c r="G6" s="607">
        <f t="shared" si="0"/>
        <v>44652</v>
      </c>
      <c r="H6" s="607">
        <f t="shared" si="0"/>
        <v>44682</v>
      </c>
      <c r="I6" s="607">
        <f t="shared" si="0"/>
        <v>44713</v>
      </c>
      <c r="J6" s="607">
        <f t="shared" si="0"/>
        <v>44743</v>
      </c>
      <c r="K6" s="607">
        <f t="shared" si="0"/>
        <v>44774</v>
      </c>
    </row>
    <row r="7" spans="1:11" ht="14.25" thickTop="1" thickBot="1" x14ac:dyDescent="0.25">
      <c r="B7" s="614" t="s">
        <v>944</v>
      </c>
      <c r="C7" s="615" t="s">
        <v>955</v>
      </c>
      <c r="D7" s="616">
        <f>IF(D8="","",IF(D6="","",EOMONTH(D6,0)))</f>
        <v>44592</v>
      </c>
      <c r="E7" s="616">
        <f>IF(E8="","",IF(E6="","",EOMONTH(E6,0)))</f>
        <v>44620</v>
      </c>
      <c r="F7" s="616">
        <f t="shared" ref="F7:K7" si="1">IF(F8="","",IF(F6="","",EOMONTH(F6,0)))</f>
        <v>44651</v>
      </c>
      <c r="G7" s="616">
        <f t="shared" si="1"/>
        <v>44681</v>
      </c>
      <c r="H7" s="616">
        <f t="shared" si="1"/>
        <v>44712</v>
      </c>
      <c r="I7" s="616">
        <f t="shared" si="1"/>
        <v>44742</v>
      </c>
      <c r="J7" s="616">
        <f t="shared" si="1"/>
        <v>44773</v>
      </c>
      <c r="K7" s="616">
        <f t="shared" si="1"/>
        <v>44804</v>
      </c>
    </row>
    <row r="8" spans="1:11" ht="13.5" thickTop="1" x14ac:dyDescent="0.2">
      <c r="B8" s="176" t="s">
        <v>949</v>
      </c>
      <c r="C8" s="625" t="s">
        <v>2517</v>
      </c>
      <c r="D8" s="624">
        <v>8</v>
      </c>
      <c r="E8" s="623">
        <f>IF(COLUMN()-3&lt;=$D$8,COLUMN()-3,"")</f>
        <v>2</v>
      </c>
      <c r="F8" s="623">
        <f t="shared" ref="F8:K8" si="2">IF(COLUMN()-3&lt;=$D$8,COLUMN()-3,"")</f>
        <v>3</v>
      </c>
      <c r="G8" s="623">
        <f t="shared" si="2"/>
        <v>4</v>
      </c>
      <c r="H8" s="623">
        <f t="shared" si="2"/>
        <v>5</v>
      </c>
      <c r="I8" s="623">
        <f t="shared" si="2"/>
        <v>6</v>
      </c>
      <c r="J8" s="623">
        <f t="shared" si="2"/>
        <v>7</v>
      </c>
      <c r="K8" s="623">
        <f t="shared" si="2"/>
        <v>8</v>
      </c>
    </row>
    <row r="9" spans="1:11" x14ac:dyDescent="0.2">
      <c r="A9" s="49"/>
      <c r="B9" s="605" t="s">
        <v>951</v>
      </c>
      <c r="C9" s="606">
        <f t="shared" ref="C9:C15" si="3">SUM(D9:K9)</f>
        <v>48934184.126984119</v>
      </c>
      <c r="D9" s="605">
        <f>SUMIFS('Live Collections'!$S:$S,'Live Collections'!$B:$B,"&gt;="&amp;'P&amp;L'!D$6,'Live Collections'!$B:$B,"&lt;="&amp;'P&amp;L'!D$7)</f>
        <v>7677500</v>
      </c>
      <c r="E9" s="605">
        <f>SUMIFS('Live Collections'!$S:$S,'Live Collections'!$B:$B,"&gt;="&amp;'P&amp;L'!E$6,'Live Collections'!$B:$B,"&lt;="&amp;'P&amp;L'!E$7)</f>
        <v>8177041.6666666688</v>
      </c>
      <c r="F9" s="605">
        <f>SUMIFS('Live Collections'!$S:$S,'Live Collections'!$B:$B,"&gt;="&amp;'P&amp;L'!F$6,'Live Collections'!$B:$B,"&lt;="&amp;'P&amp;L'!F$7)</f>
        <v>10902505.952380951</v>
      </c>
      <c r="G9" s="605">
        <f>SUMIFS('Live Collections'!$S:$S,'Live Collections'!$B:$B,"&gt;="&amp;'P&amp;L'!G$6,'Live Collections'!$B:$B,"&lt;="&amp;'P&amp;L'!G$7)</f>
        <v>10966569.444444438</v>
      </c>
      <c r="H9" s="605">
        <f>SUMIFS('Live Collections'!$S:$S,'Live Collections'!$B:$B,"&gt;="&amp;'P&amp;L'!H$6,'Live Collections'!$B:$B,"&lt;="&amp;'P&amp;L'!H$7)</f>
        <v>10199150.396825396</v>
      </c>
      <c r="I9" s="605">
        <f>SUMIFS('Live Collections'!$S:$S,'Live Collections'!$B:$B,"&gt;="&amp;'P&amp;L'!I$6,'Live Collections'!$B:$B,"&lt;="&amp;'P&amp;L'!I$7)</f>
        <v>1011416.6666666666</v>
      </c>
      <c r="J9" s="605">
        <f>SUMIFS('Live Collections'!$S:$S,'Live Collections'!$B:$B,"&gt;="&amp;'P&amp;L'!J$6,'Live Collections'!$B:$B,"&lt;="&amp;'P&amp;L'!J$7)</f>
        <v>0</v>
      </c>
      <c r="K9" s="605">
        <f>SUMIFS('Live Collections'!$S:$S,'Live Collections'!$B:$B,"&gt;="&amp;'P&amp;L'!K$6,'Live Collections'!$B:$B,"&lt;="&amp;'P&amp;L'!K$7)</f>
        <v>0</v>
      </c>
    </row>
    <row r="10" spans="1:11" x14ac:dyDescent="0.2">
      <c r="A10" s="49"/>
      <c r="B10" s="49" t="s">
        <v>2506</v>
      </c>
      <c r="C10" s="214">
        <f t="shared" si="3"/>
        <v>935000</v>
      </c>
      <c r="D10" s="49">
        <f>SUMIFS('Live Collections'!$J:$J,'Live Collections'!$B:$B,"&gt;="&amp;'P&amp;L'!D$6,'Live Collections'!$B:$B,"&lt;="&amp;'P&amp;L'!D$7)</f>
        <v>195000</v>
      </c>
      <c r="E10" s="49">
        <f>SUMIFS('Live Collections'!$J:$J,'Live Collections'!$B:$B,"&gt;="&amp;'P&amp;L'!E$6,'Live Collections'!$B:$B,"&lt;="&amp;'P&amp;L'!E$7)</f>
        <v>75000</v>
      </c>
      <c r="F10" s="49">
        <f>SUMIFS('Live Collections'!$J:$J,'Live Collections'!$B:$B,"&gt;="&amp;'P&amp;L'!F$6,'Live Collections'!$B:$B,"&lt;="&amp;'P&amp;L'!F$7)</f>
        <v>345000</v>
      </c>
      <c r="G10" s="49">
        <f>SUMIFS('Live Collections'!$J:$J,'Live Collections'!$B:$B,"&gt;="&amp;'P&amp;L'!G$6,'Live Collections'!$B:$B,"&lt;="&amp;'P&amp;L'!G$7)</f>
        <v>150000</v>
      </c>
      <c r="H10" s="49">
        <f>SUMIFS('Live Collections'!$J:$J,'Live Collections'!$B:$B,"&gt;="&amp;'P&amp;L'!H$6,'Live Collections'!$B:$B,"&lt;="&amp;'P&amp;L'!H$7)</f>
        <v>140000</v>
      </c>
      <c r="I10" s="49">
        <f>SUMIFS('Live Collections'!$J:$J,'Live Collections'!$B:$B,"&gt;="&amp;'P&amp;L'!I$6,'Live Collections'!$B:$B,"&lt;="&amp;'P&amp;L'!I$7)</f>
        <v>30000</v>
      </c>
      <c r="J10" s="49">
        <f>SUMIFS('Live Collections'!$J:$J,'Live Collections'!$B:$B,"&gt;="&amp;'P&amp;L'!J$6,'Live Collections'!$B:$B,"&lt;="&amp;'P&amp;L'!J$7)</f>
        <v>0</v>
      </c>
      <c r="K10" s="49">
        <f>SUMIFS('Live Collections'!$J:$J,'Live Collections'!$B:$B,"&gt;="&amp;'P&amp;L'!K$6,'Live Collections'!$B:$B,"&lt;="&amp;'P&amp;L'!K$7)</f>
        <v>0</v>
      </c>
    </row>
    <row r="11" spans="1:11" x14ac:dyDescent="0.2">
      <c r="A11" s="49"/>
      <c r="B11" s="49" t="s">
        <v>991</v>
      </c>
      <c r="C11" s="214">
        <f t="shared" si="3"/>
        <v>445000</v>
      </c>
      <c r="D11" s="49">
        <f>SUMIFS('Live Collections'!$K:$K,'Live Collections'!$B:$B,"&gt;="&amp;'P&amp;L'!D$6,'Live Collections'!$B:$B,"&lt;="&amp;'P&amp;L'!D$7)</f>
        <v>90000</v>
      </c>
      <c r="E11" s="49">
        <f>SUMIFS('Live Collections'!$K:$K,'Live Collections'!$B:$B,"&gt;="&amp;'P&amp;L'!E$6,'Live Collections'!$B:$B,"&lt;="&amp;'P&amp;L'!E$7)</f>
        <v>40000</v>
      </c>
      <c r="F11" s="49">
        <f>SUMIFS('Live Collections'!$K:$K,'Live Collections'!$B:$B,"&gt;="&amp;'P&amp;L'!F$6,'Live Collections'!$B:$B,"&lt;="&amp;'P&amp;L'!F$7)</f>
        <v>125000</v>
      </c>
      <c r="G11" s="49">
        <f>SUMIFS('Live Collections'!$K:$K,'Live Collections'!$B:$B,"&gt;="&amp;'P&amp;L'!G$6,'Live Collections'!$B:$B,"&lt;="&amp;'P&amp;L'!G$7)</f>
        <v>75000</v>
      </c>
      <c r="H11" s="49">
        <f>SUMIFS('Live Collections'!$K:$K,'Live Collections'!$B:$B,"&gt;="&amp;'P&amp;L'!H$6,'Live Collections'!$B:$B,"&lt;="&amp;'P&amp;L'!H$7)</f>
        <v>100000</v>
      </c>
      <c r="I11" s="49">
        <f>SUMIFS('Live Collections'!$K:$K,'Live Collections'!$B:$B,"&gt;="&amp;'P&amp;L'!I$6,'Live Collections'!$B:$B,"&lt;="&amp;'P&amp;L'!I$7)</f>
        <v>15000</v>
      </c>
      <c r="J11" s="49">
        <f>SUMIFS('Live Collections'!$K:$K,'Live Collections'!$B:$B,"&gt;="&amp;'P&amp;L'!J$6,'Live Collections'!$B:$B,"&lt;="&amp;'P&amp;L'!J$7)</f>
        <v>0</v>
      </c>
      <c r="K11" s="49">
        <f>SUMIFS('Live Collections'!$K:$K,'Live Collections'!$B:$B,"&gt;="&amp;'P&amp;L'!K$6,'Live Collections'!$B:$B,"&lt;="&amp;'P&amp;L'!K$7)</f>
        <v>0</v>
      </c>
    </row>
    <row r="12" spans="1:11" x14ac:dyDescent="0.2">
      <c r="A12" s="49"/>
      <c r="B12" s="49" t="s">
        <v>857</v>
      </c>
      <c r="C12" s="214">
        <f t="shared" si="3"/>
        <v>3565000</v>
      </c>
      <c r="D12" s="49">
        <f>SUMIFS('Live Collections'!$L:$L,'Live Collections'!$B:$B,"&gt;="&amp;'P&amp;L'!D$6,'Live Collections'!$B:$B,"&lt;="&amp;'P&amp;L'!D$7)</f>
        <v>690000</v>
      </c>
      <c r="E12" s="49">
        <f>SUMIFS('Live Collections'!$L:$L,'Live Collections'!$B:$B,"&gt;="&amp;'P&amp;L'!E$6,'Live Collections'!$B:$B,"&lt;="&amp;'P&amp;L'!E$7)</f>
        <v>530000</v>
      </c>
      <c r="F12" s="49">
        <f>SUMIFS('Live Collections'!$L:$L,'Live Collections'!$B:$B,"&gt;="&amp;'P&amp;L'!F$6,'Live Collections'!$B:$B,"&lt;="&amp;'P&amp;L'!F$7)</f>
        <v>1165000</v>
      </c>
      <c r="G12" s="49">
        <f>SUMIFS('Live Collections'!$L:$L,'Live Collections'!$B:$B,"&gt;="&amp;'P&amp;L'!G$6,'Live Collections'!$B:$B,"&lt;="&amp;'P&amp;L'!G$7)</f>
        <v>590000</v>
      </c>
      <c r="H12" s="49">
        <f>SUMIFS('Live Collections'!$L:$L,'Live Collections'!$B:$B,"&gt;="&amp;'P&amp;L'!H$6,'Live Collections'!$B:$B,"&lt;="&amp;'P&amp;L'!H$7)</f>
        <v>505000</v>
      </c>
      <c r="I12" s="49">
        <f>SUMIFS('Live Collections'!$L:$L,'Live Collections'!$B:$B,"&gt;="&amp;'P&amp;L'!I$6,'Live Collections'!$B:$B,"&lt;="&amp;'P&amp;L'!I$7)</f>
        <v>85000</v>
      </c>
      <c r="J12" s="49">
        <f>SUMIFS('Live Collections'!$L:$L,'Live Collections'!$B:$B,"&gt;="&amp;'P&amp;L'!J$6,'Live Collections'!$B:$B,"&lt;="&amp;'P&amp;L'!J$7)</f>
        <v>0</v>
      </c>
      <c r="K12" s="49">
        <f>SUMIFS('Live Collections'!$L:$L,'Live Collections'!$B:$B,"&gt;="&amp;'P&amp;L'!K$6,'Live Collections'!$B:$B,"&lt;="&amp;'P&amp;L'!K$7)</f>
        <v>0</v>
      </c>
    </row>
    <row r="13" spans="1:11" x14ac:dyDescent="0.2">
      <c r="A13" s="49"/>
      <c r="B13" s="218" t="s">
        <v>858</v>
      </c>
      <c r="C13" s="219">
        <f t="shared" si="3"/>
        <v>860000</v>
      </c>
      <c r="D13" s="49">
        <f>SUMIFS('Live Collections'!$M:$M,'Live Collections'!$B:$B,"&gt;="&amp;'P&amp;L'!D$6,'Live Collections'!$B:$B,"&lt;="&amp;'P&amp;L'!D$7)</f>
        <v>150000</v>
      </c>
      <c r="E13" s="49">
        <f>SUMIFS('Live Collections'!$M:$M,'Live Collections'!$B:$B,"&gt;="&amp;'P&amp;L'!E$6,'Live Collections'!$B:$B,"&lt;="&amp;'P&amp;L'!E$7)</f>
        <v>120000</v>
      </c>
      <c r="F13" s="49">
        <f>SUMIFS('Live Collections'!$M:$M,'Live Collections'!$B:$B,"&gt;="&amp;'P&amp;L'!F$6,'Live Collections'!$B:$B,"&lt;="&amp;'P&amp;L'!F$7)</f>
        <v>285000</v>
      </c>
      <c r="G13" s="49">
        <f>SUMIFS('Live Collections'!$M:$M,'Live Collections'!$B:$B,"&gt;="&amp;'P&amp;L'!G$6,'Live Collections'!$B:$B,"&lt;="&amp;'P&amp;L'!G$7)</f>
        <v>155000</v>
      </c>
      <c r="H13" s="49">
        <f>SUMIFS('Live Collections'!$M:$M,'Live Collections'!$B:$B,"&gt;="&amp;'P&amp;L'!H$6,'Live Collections'!$B:$B,"&lt;="&amp;'P&amp;L'!H$7)</f>
        <v>130000</v>
      </c>
      <c r="I13" s="49">
        <f>SUMIFS('Live Collections'!$M:$M,'Live Collections'!$B:$B,"&gt;="&amp;'P&amp;L'!I$6,'Live Collections'!$B:$B,"&lt;="&amp;'P&amp;L'!I$7)</f>
        <v>20000</v>
      </c>
      <c r="J13" s="49">
        <f>SUMIFS('Live Collections'!$M:$M,'Live Collections'!$B:$B,"&gt;="&amp;'P&amp;L'!J$6,'Live Collections'!$B:$B,"&lt;="&amp;'P&amp;L'!J$7)</f>
        <v>0</v>
      </c>
      <c r="K13" s="49">
        <f>SUMIFS('Live Collections'!$M:$M,'Live Collections'!$B:$B,"&gt;="&amp;'P&amp;L'!K$6,'Live Collections'!$B:$B,"&lt;="&amp;'P&amp;L'!K$7)</f>
        <v>0</v>
      </c>
    </row>
    <row r="14" spans="1:11" x14ac:dyDescent="0.2">
      <c r="A14" s="49"/>
      <c r="B14" s="218" t="s">
        <v>856</v>
      </c>
      <c r="C14" s="219">
        <f t="shared" si="3"/>
        <v>3966000</v>
      </c>
      <c r="D14" s="49">
        <f>SUMIFS(Disbursements!$N:$N,Disbursements!$A:$A,"&gt;="&amp;'P&amp;L'!D$6,Disbursements!$A:$A,"&lt;="&amp;'P&amp;L'!D$7)</f>
        <v>860000</v>
      </c>
      <c r="E14" s="49">
        <f>SUMIFS(Disbursements!$N:$N,Disbursements!$A:$A,"&gt;="&amp;'P&amp;L'!E$6,Disbursements!$A:$A,"&lt;="&amp;'P&amp;L'!E$7)</f>
        <v>507000</v>
      </c>
      <c r="F14" s="49">
        <f>SUMIFS(Disbursements!$N:$N,Disbursements!$A:$A,"&gt;="&amp;'P&amp;L'!F$6,Disbursements!$A:$A,"&lt;="&amp;'P&amp;L'!F$7)</f>
        <v>1233000</v>
      </c>
      <c r="G14" s="49">
        <f>SUMIFS(Disbursements!$N:$N,Disbursements!$A:$A,"&gt;="&amp;'P&amp;L'!G$6,Disbursements!$A:$A,"&lt;="&amp;'P&amp;L'!G$7)</f>
        <v>914000</v>
      </c>
      <c r="H14" s="49">
        <f>SUMIFS(Disbursements!$N:$N,Disbursements!$A:$A,"&gt;="&amp;'P&amp;L'!H$6,Disbursements!$A:$A,"&lt;="&amp;'P&amp;L'!H$7)</f>
        <v>452000</v>
      </c>
      <c r="I14" s="49">
        <f>SUMIFS(Disbursements!$N:$N,Disbursements!$A:$A,"&gt;="&amp;'P&amp;L'!I$6,Disbursements!$A:$A,"&lt;="&amp;'P&amp;L'!I$7)</f>
        <v>0</v>
      </c>
      <c r="J14" s="49">
        <f>SUMIFS(Disbursements!$N:$N,Disbursements!$A:$A,"&gt;="&amp;'P&amp;L'!J$6,Disbursements!$A:$A,"&lt;="&amp;'P&amp;L'!J$7)</f>
        <v>0</v>
      </c>
      <c r="K14" s="49">
        <f>SUMIFS(Disbursements!$N:$N,Disbursements!$A:$A,"&gt;="&amp;'P&amp;L'!K$6,Disbursements!$A:$A,"&lt;="&amp;'P&amp;L'!K$7)</f>
        <v>0</v>
      </c>
    </row>
    <row r="15" spans="1:11" x14ac:dyDescent="0.2">
      <c r="A15" s="49"/>
      <c r="B15" s="605" t="s">
        <v>2016</v>
      </c>
      <c r="C15" s="606">
        <f t="shared" si="3"/>
        <v>1323500</v>
      </c>
      <c r="D15" s="605">
        <f>SUMIFS('Live Collections'!$N:$N,'Live Collections'!$B:$B,"&gt;="&amp;'P&amp;L'!D$6,'Live Collections'!$B:$B,"&lt;="&amp;'P&amp;L'!D$7)</f>
        <v>465800</v>
      </c>
      <c r="E15" s="605">
        <f>SUMIFS('Live Collections'!$N:$N,'Live Collections'!$B:$B,"&gt;="&amp;'P&amp;L'!E$6,'Live Collections'!$B:$B,"&lt;="&amp;'P&amp;L'!E$7)</f>
        <v>519500</v>
      </c>
      <c r="F15" s="605">
        <f>SUMIFS('Live Collections'!$N:$N,'Live Collections'!$B:$B,"&gt;="&amp;'P&amp;L'!F$6,'Live Collections'!$B:$B,"&lt;="&amp;'P&amp;L'!F$7)</f>
        <v>105800</v>
      </c>
      <c r="G15" s="605">
        <f>SUMIFS('Live Collections'!$N:$N,'Live Collections'!$B:$B,"&gt;="&amp;'P&amp;L'!G$6,'Live Collections'!$B:$B,"&lt;="&amp;'P&amp;L'!G$7)</f>
        <v>205400</v>
      </c>
      <c r="H15" s="605">
        <f>SUMIFS('Live Collections'!$N:$N,'Live Collections'!$B:$B,"&gt;="&amp;'P&amp;L'!H$6,'Live Collections'!$B:$B,"&lt;="&amp;'P&amp;L'!H$7)</f>
        <v>27000</v>
      </c>
      <c r="I15" s="605">
        <f>SUMIFS('Live Collections'!$N:$N,'Live Collections'!$B:$B,"&gt;="&amp;'P&amp;L'!I$6,'Live Collections'!$B:$B,"&lt;="&amp;'P&amp;L'!I$7)</f>
        <v>0</v>
      </c>
      <c r="J15" s="605">
        <f>SUMIFS('Live Collections'!$N:$N,'Live Collections'!$B:$B,"&gt;="&amp;'P&amp;L'!J$6,'Live Collections'!$B:$B,"&lt;="&amp;'P&amp;L'!J$7)</f>
        <v>0</v>
      </c>
      <c r="K15" s="605">
        <f>SUMIFS('Live Collections'!$N:$N,'Live Collections'!$B:$B,"&gt;="&amp;'P&amp;L'!K$6,'Live Collections'!$B:$B,"&lt;="&amp;'P&amp;L'!K$7)</f>
        <v>0</v>
      </c>
    </row>
    <row r="16" spans="1:11" x14ac:dyDescent="0.2">
      <c r="A16" s="49"/>
      <c r="B16" s="203" t="s">
        <v>956</v>
      </c>
      <c r="C16" s="215">
        <f t="shared" ref="C16:K16" si="4">SUM(C9:C15)</f>
        <v>60028684.126984119</v>
      </c>
      <c r="D16" s="203">
        <f>SUM(D9:D15)</f>
        <v>10128300</v>
      </c>
      <c r="E16" s="203">
        <f t="shared" si="4"/>
        <v>9968541.6666666679</v>
      </c>
      <c r="F16" s="203">
        <f t="shared" si="4"/>
        <v>14161305.952380951</v>
      </c>
      <c r="G16" s="203">
        <f t="shared" si="4"/>
        <v>13055969.444444438</v>
      </c>
      <c r="H16" s="203">
        <f t="shared" si="4"/>
        <v>11553150.396825396</v>
      </c>
      <c r="I16" s="203">
        <f t="shared" si="4"/>
        <v>1161416.6666666665</v>
      </c>
      <c r="J16" s="203">
        <f t="shared" si="4"/>
        <v>0</v>
      </c>
      <c r="K16" s="203">
        <f t="shared" si="4"/>
        <v>0</v>
      </c>
    </row>
    <row r="17" spans="1:11" x14ac:dyDescent="0.2">
      <c r="A17" s="49"/>
      <c r="B17" s="49"/>
      <c r="C17" s="214"/>
      <c r="D17" s="203"/>
      <c r="E17" s="203"/>
      <c r="F17" s="203"/>
      <c r="G17" s="203"/>
      <c r="H17" s="203"/>
      <c r="I17" s="203"/>
      <c r="J17" s="203"/>
      <c r="K17" s="203"/>
    </row>
    <row r="18" spans="1:11" x14ac:dyDescent="0.2">
      <c r="B18" s="176" t="s">
        <v>952</v>
      </c>
      <c r="C18" s="213"/>
      <c r="D18" s="202"/>
      <c r="E18" s="202"/>
      <c r="F18" s="202"/>
      <c r="G18" s="202"/>
      <c r="H18" s="202"/>
      <c r="I18" s="202"/>
      <c r="J18" s="202"/>
      <c r="K18" s="202"/>
    </row>
    <row r="19" spans="1:11" x14ac:dyDescent="0.2">
      <c r="A19" s="49"/>
      <c r="B19" s="49" t="s">
        <v>2489</v>
      </c>
      <c r="C19" s="214">
        <f t="shared" ref="C19:C32" si="5">SUM(D19:K19)</f>
        <v>502900</v>
      </c>
      <c r="D19" s="49">
        <f>SUMIFS('Expenses-Tracker'!$G:$G,'Expenses-Tracker'!$E:$E,'P&amp;L'!$B19,'Expenses-Tracker'!$A:$A,"&gt;="&amp;'P&amp;L'!D$6,'Expenses-Tracker'!$A:$A,"&lt;="&amp;'P&amp;L'!D$7)</f>
        <v>0</v>
      </c>
      <c r="E19" s="49">
        <f>SUMIFS('Expenses-Tracker'!$G:$G,'Expenses-Tracker'!$E:$E,'P&amp;L'!$B19,'Expenses-Tracker'!$A:$A,"&gt;="&amp;'P&amp;L'!E$6,'Expenses-Tracker'!$A:$A,"&lt;="&amp;'P&amp;L'!E$7)</f>
        <v>0</v>
      </c>
      <c r="F19" s="49">
        <f>SUMIFS('Expenses-Tracker'!$G:$G,'Expenses-Tracker'!$E:$E,'P&amp;L'!$B19,'Expenses-Tracker'!$A:$A,"&gt;="&amp;'P&amp;L'!F$6,'Expenses-Tracker'!$A:$A,"&lt;="&amp;'P&amp;L'!F$7)</f>
        <v>0</v>
      </c>
      <c r="G19" s="49">
        <f>SUMIFS('Expenses-Tracker'!$G:$G,'Expenses-Tracker'!$E:$E,'P&amp;L'!$B19,'Expenses-Tracker'!$A:$A,"&gt;="&amp;'P&amp;L'!G$6,'Expenses-Tracker'!$A:$A,"&lt;="&amp;'P&amp;L'!G$7)</f>
        <v>0</v>
      </c>
      <c r="H19" s="49">
        <f>SUMIFS('Expenses-Tracker'!$G:$G,'Expenses-Tracker'!$E:$E,'P&amp;L'!$B19,'Expenses-Tracker'!$A:$A,"&gt;="&amp;'P&amp;L'!H$6,'Expenses-Tracker'!$A:$A,"&lt;="&amp;'P&amp;L'!H$7)</f>
        <v>502900</v>
      </c>
      <c r="I19" s="49">
        <f>SUMIFS('Expenses-Tracker'!$G:$G,'Expenses-Tracker'!$E:$E,'P&amp;L'!$B19,'Expenses-Tracker'!$A:$A,"&gt;="&amp;'P&amp;L'!I$6,'Expenses-Tracker'!$A:$A,"&lt;="&amp;'P&amp;L'!I$7)</f>
        <v>0</v>
      </c>
      <c r="J19" s="49">
        <f>SUMIFS('Expenses-Tracker'!$G:$G,'Expenses-Tracker'!$E:$E,'P&amp;L'!$B19,'Expenses-Tracker'!$A:$A,"&gt;="&amp;'P&amp;L'!J$6,'Expenses-Tracker'!$A:$A,"&lt;="&amp;'P&amp;L'!J$7)</f>
        <v>0</v>
      </c>
      <c r="K19" s="49">
        <f>SUMIFS('Expenses-Tracker'!$G:$G,'Expenses-Tracker'!$E:$E,'P&amp;L'!$B19,'Expenses-Tracker'!$A:$A,"&gt;="&amp;'P&amp;L'!K$6,'Expenses-Tracker'!$A:$A,"&lt;="&amp;'P&amp;L'!K$7)</f>
        <v>0</v>
      </c>
    </row>
    <row r="20" spans="1:11" x14ac:dyDescent="0.2">
      <c r="A20" s="49"/>
      <c r="B20" s="49" t="s">
        <v>1792</v>
      </c>
      <c r="C20" s="214">
        <f t="shared" si="5"/>
        <v>11000000</v>
      </c>
      <c r="D20" s="49">
        <f>SUMIFS('Expenses-Tracker'!$G:$G,'Expenses-Tracker'!$E:$E,'P&amp;L'!$B20,'Expenses-Tracker'!$A:$A,"&gt;="&amp;'P&amp;L'!D$6,'Expenses-Tracker'!$A:$A,"&lt;="&amp;'P&amp;L'!D$7)</f>
        <v>0</v>
      </c>
      <c r="E20" s="49">
        <f>SUMIFS('Expenses-Tracker'!$G:$G,'Expenses-Tracker'!$E:$E,'P&amp;L'!$B20,'Expenses-Tracker'!$A:$A,"&gt;="&amp;'P&amp;L'!E$6,'Expenses-Tracker'!$A:$A,"&lt;="&amp;'P&amp;L'!E$7)</f>
        <v>2000000</v>
      </c>
      <c r="F20" s="49">
        <f>SUMIFS('Expenses-Tracker'!$G:$G,'Expenses-Tracker'!$E:$E,'P&amp;L'!$B20,'Expenses-Tracker'!$A:$A,"&gt;="&amp;'P&amp;L'!F$6,'Expenses-Tracker'!$A:$A,"&lt;="&amp;'P&amp;L'!F$7)</f>
        <v>1000000</v>
      </c>
      <c r="G20" s="49">
        <f>SUMIFS('Expenses-Tracker'!$G:$G,'Expenses-Tracker'!$E:$E,'P&amp;L'!$B20,'Expenses-Tracker'!$A:$A,"&gt;="&amp;'P&amp;L'!G$6,'Expenses-Tracker'!$A:$A,"&lt;="&amp;'P&amp;L'!G$7)</f>
        <v>8000000</v>
      </c>
      <c r="H20" s="49">
        <f>SUMIFS('Expenses-Tracker'!$G:$G,'Expenses-Tracker'!$E:$E,'P&amp;L'!$B20,'Expenses-Tracker'!$A:$A,"&gt;="&amp;'P&amp;L'!H$6,'Expenses-Tracker'!$A:$A,"&lt;="&amp;'P&amp;L'!H$7)</f>
        <v>0</v>
      </c>
      <c r="I20" s="49">
        <f>SUMIFS('Expenses-Tracker'!$G:$G,'Expenses-Tracker'!$E:$E,'P&amp;L'!$B20,'Expenses-Tracker'!$A:$A,"&gt;="&amp;'P&amp;L'!I$6,'Expenses-Tracker'!$A:$A,"&lt;="&amp;'P&amp;L'!I$7)</f>
        <v>0</v>
      </c>
      <c r="J20" s="49">
        <f>SUMIFS('Expenses-Tracker'!$G:$G,'Expenses-Tracker'!$E:$E,'P&amp;L'!$B20,'Expenses-Tracker'!$A:$A,"&gt;="&amp;'P&amp;L'!J$6,'Expenses-Tracker'!$A:$A,"&lt;="&amp;'P&amp;L'!J$7)</f>
        <v>0</v>
      </c>
      <c r="K20" s="49">
        <f>SUMIFS('Expenses-Tracker'!$G:$G,'Expenses-Tracker'!$E:$E,'P&amp;L'!$B20,'Expenses-Tracker'!$A:$A,"&gt;="&amp;'P&amp;L'!K$6,'Expenses-Tracker'!$A:$A,"&lt;="&amp;'P&amp;L'!K$7)</f>
        <v>0</v>
      </c>
    </row>
    <row r="21" spans="1:11" x14ac:dyDescent="0.2">
      <c r="A21" s="49"/>
      <c r="B21" s="49" t="s">
        <v>2528</v>
      </c>
      <c r="C21" s="214">
        <f t="shared" si="5"/>
        <v>6400000</v>
      </c>
      <c r="D21" s="49">
        <f>SUMIFS(Rent!$F:$F,Rent!$A:$A,"&gt;="&amp;'P&amp;L'!D$6,Rent!$A:$A,"&lt;="&amp;'P&amp;L'!D$7)</f>
        <v>800000</v>
      </c>
      <c r="E21" s="49">
        <f>SUMIFS(Rent!$F:$F,Rent!$A:$A,"&gt;="&amp;'P&amp;L'!E$6,Rent!$A:$A,"&lt;="&amp;'P&amp;L'!E$7)</f>
        <v>800000</v>
      </c>
      <c r="F21" s="49">
        <f>SUMIFS(Rent!$F:$F,Rent!$A:$A,"&gt;="&amp;'P&amp;L'!F$6,Rent!$A:$A,"&lt;="&amp;'P&amp;L'!F$7)</f>
        <v>800000</v>
      </c>
      <c r="G21" s="49">
        <f>SUMIFS(Rent!$F:$F,Rent!$A:$A,"&gt;="&amp;'P&amp;L'!G$6,Rent!$A:$A,"&lt;="&amp;'P&amp;L'!G$7)</f>
        <v>800000</v>
      </c>
      <c r="H21" s="49">
        <f>SUMIFS(Rent!$F:$F,Rent!$A:$A,"&gt;="&amp;'P&amp;L'!H$6,Rent!$A:$A,"&lt;="&amp;'P&amp;L'!H$7)</f>
        <v>800000</v>
      </c>
      <c r="I21" s="49">
        <f>SUMIFS(Rent!$F:$F,Rent!$A:$A,"&gt;="&amp;'P&amp;L'!I$6,Rent!$A:$A,"&lt;="&amp;'P&amp;L'!I$7)</f>
        <v>800000</v>
      </c>
      <c r="J21" s="49">
        <f>SUMIFS(Rent!$F:$F,Rent!$A:$A,"&gt;="&amp;'P&amp;L'!J$6,Rent!$A:$A,"&lt;="&amp;'P&amp;L'!J$7)</f>
        <v>800000</v>
      </c>
      <c r="K21" s="49">
        <f>SUMIFS(Rent!$F:$F,Rent!$A:$A,"&gt;="&amp;'P&amp;L'!K$6,Rent!$A:$A,"&lt;="&amp;'P&amp;L'!K$7)</f>
        <v>800000</v>
      </c>
    </row>
    <row r="22" spans="1:11" x14ac:dyDescent="0.2">
      <c r="A22" s="49"/>
      <c r="B22" s="49" t="s">
        <v>2293</v>
      </c>
      <c r="C22" s="214">
        <f t="shared" si="5"/>
        <v>112000</v>
      </c>
      <c r="D22" s="49">
        <f>SUMIFS('Expenses-Tracker'!$G:$G,'Expenses-Tracker'!$E:$E,'P&amp;L'!$B22,'Expenses-Tracker'!$A:$A,"&gt;="&amp;'P&amp;L'!D$6,'Expenses-Tracker'!$A:$A,"&lt;="&amp;'P&amp;L'!D$7)</f>
        <v>0</v>
      </c>
      <c r="E22" s="49">
        <f>SUMIFS('Expenses-Tracker'!$G:$G,'Expenses-Tracker'!$E:$E,'P&amp;L'!$B22,'Expenses-Tracker'!$A:$A,"&gt;="&amp;'P&amp;L'!E$6,'Expenses-Tracker'!$A:$A,"&lt;="&amp;'P&amp;L'!E$7)</f>
        <v>0</v>
      </c>
      <c r="F22" s="49">
        <f>SUMIFS('Expenses-Tracker'!$G:$G,'Expenses-Tracker'!$E:$E,'P&amp;L'!$B22,'Expenses-Tracker'!$A:$A,"&gt;="&amp;'P&amp;L'!F$6,'Expenses-Tracker'!$A:$A,"&lt;="&amp;'P&amp;L'!F$7)</f>
        <v>60000</v>
      </c>
      <c r="G22" s="49">
        <f>SUMIFS('Expenses-Tracker'!$G:$G,'Expenses-Tracker'!$E:$E,'P&amp;L'!$B22,'Expenses-Tracker'!$A:$A,"&gt;="&amp;'P&amp;L'!G$6,'Expenses-Tracker'!$A:$A,"&lt;="&amp;'P&amp;L'!G$7)</f>
        <v>52000</v>
      </c>
      <c r="H22" s="49">
        <f>SUMIFS('Expenses-Tracker'!$G:$G,'Expenses-Tracker'!$E:$E,'P&amp;L'!$B22,'Expenses-Tracker'!$A:$A,"&gt;="&amp;'P&amp;L'!H$6,'Expenses-Tracker'!$A:$A,"&lt;="&amp;'P&amp;L'!H$7)</f>
        <v>0</v>
      </c>
      <c r="I22" s="49">
        <f>SUMIFS('Expenses-Tracker'!$G:$G,'Expenses-Tracker'!$E:$E,'P&amp;L'!$B22,'Expenses-Tracker'!$A:$A,"&gt;="&amp;'P&amp;L'!I$6,'Expenses-Tracker'!$A:$A,"&lt;="&amp;'P&amp;L'!I$7)</f>
        <v>0</v>
      </c>
      <c r="J22" s="49">
        <f>SUMIFS('Expenses-Tracker'!$G:$G,'Expenses-Tracker'!$E:$E,'P&amp;L'!$B22,'Expenses-Tracker'!$A:$A,"&gt;="&amp;'P&amp;L'!J$6,'Expenses-Tracker'!$A:$A,"&lt;="&amp;'P&amp;L'!J$7)</f>
        <v>0</v>
      </c>
      <c r="K22" s="49">
        <f>SUMIFS('Expenses-Tracker'!$G:$G,'Expenses-Tracker'!$E:$E,'P&amp;L'!$B22,'Expenses-Tracker'!$A:$A,"&gt;="&amp;'P&amp;L'!K$6,'Expenses-Tracker'!$A:$A,"&lt;="&amp;'P&amp;L'!K$7)</f>
        <v>0</v>
      </c>
    </row>
    <row r="23" spans="1:11" x14ac:dyDescent="0.2">
      <c r="A23" s="49"/>
      <c r="B23" s="49" t="s">
        <v>2511</v>
      </c>
      <c r="C23" s="214">
        <f t="shared" si="5"/>
        <v>317500</v>
      </c>
      <c r="D23" s="49">
        <f>SUMIFS('Expenses-Tracker'!$G:$G,'Expenses-Tracker'!$E:$E,'P&amp;L'!$B23,'Expenses-Tracker'!$A:$A,"&gt;="&amp;'P&amp;L'!D$6,'Expenses-Tracker'!$A:$A,"&lt;="&amp;'P&amp;L'!D$7)</f>
        <v>68000</v>
      </c>
      <c r="E23" s="49">
        <f>SUMIFS('Expenses-Tracker'!$G:$G,'Expenses-Tracker'!$E:$E,'P&amp;L'!$B23,'Expenses-Tracker'!$A:$A,"&gt;="&amp;'P&amp;L'!E$6,'Expenses-Tracker'!$A:$A,"&lt;="&amp;'P&amp;L'!E$7)</f>
        <v>65000</v>
      </c>
      <c r="F23" s="49">
        <f>SUMIFS('Expenses-Tracker'!$G:$G,'Expenses-Tracker'!$E:$E,'P&amp;L'!$B23,'Expenses-Tracker'!$A:$A,"&gt;="&amp;'P&amp;L'!F$6,'Expenses-Tracker'!$A:$A,"&lt;="&amp;'P&amp;L'!F$7)</f>
        <v>0</v>
      </c>
      <c r="G23" s="49">
        <f>SUMIFS('Expenses-Tracker'!$G:$G,'Expenses-Tracker'!$E:$E,'P&amp;L'!$B23,'Expenses-Tracker'!$A:$A,"&gt;="&amp;'P&amp;L'!G$6,'Expenses-Tracker'!$A:$A,"&lt;="&amp;'P&amp;L'!G$7)</f>
        <v>50000</v>
      </c>
      <c r="H23" s="49">
        <f>SUMIFS('Expenses-Tracker'!$G:$G,'Expenses-Tracker'!$E:$E,'P&amp;L'!$B23,'Expenses-Tracker'!$A:$A,"&gt;="&amp;'P&amp;L'!H$6,'Expenses-Tracker'!$A:$A,"&lt;="&amp;'P&amp;L'!H$7)</f>
        <v>134500</v>
      </c>
      <c r="I23" s="49">
        <f>SUMIFS('Expenses-Tracker'!$G:$G,'Expenses-Tracker'!$E:$E,'P&amp;L'!$B23,'Expenses-Tracker'!$A:$A,"&gt;="&amp;'P&amp;L'!I$6,'Expenses-Tracker'!$A:$A,"&lt;="&amp;'P&amp;L'!I$7)</f>
        <v>0</v>
      </c>
      <c r="J23" s="49">
        <f>SUMIFS('Expenses-Tracker'!$G:$G,'Expenses-Tracker'!$E:$E,'P&amp;L'!$B23,'Expenses-Tracker'!$A:$A,"&gt;="&amp;'P&amp;L'!J$6,'Expenses-Tracker'!$A:$A,"&lt;="&amp;'P&amp;L'!J$7)</f>
        <v>0</v>
      </c>
      <c r="K23" s="49">
        <f>SUMIFS('Expenses-Tracker'!$G:$G,'Expenses-Tracker'!$E:$E,'P&amp;L'!$B23,'Expenses-Tracker'!$A:$A,"&gt;="&amp;'P&amp;L'!K$6,'Expenses-Tracker'!$A:$A,"&lt;="&amp;'P&amp;L'!K$7)</f>
        <v>0</v>
      </c>
    </row>
    <row r="24" spans="1:11" x14ac:dyDescent="0.2">
      <c r="A24" s="49"/>
      <c r="B24" s="49" t="s">
        <v>2510</v>
      </c>
      <c r="C24" s="214">
        <f t="shared" si="5"/>
        <v>2910510</v>
      </c>
      <c r="D24" s="49">
        <f>SUMIFS('Expenses-Tracker'!$G:$G,'Expenses-Tracker'!$E:$E,'P&amp;L'!$B24,'Expenses-Tracker'!$A:$A,"&gt;="&amp;'P&amp;L'!D$6,'Expenses-Tracker'!$A:$A,"&lt;="&amp;'P&amp;L'!D$7)</f>
        <v>0</v>
      </c>
      <c r="E24" s="49">
        <f>SUMIFS('Expenses-Tracker'!$G:$G,'Expenses-Tracker'!$E:$E,'P&amp;L'!$B24,'Expenses-Tracker'!$A:$A,"&gt;="&amp;'P&amp;L'!E$6,'Expenses-Tracker'!$A:$A,"&lt;="&amp;'P&amp;L'!E$7)</f>
        <v>582102</v>
      </c>
      <c r="F24" s="49">
        <f>SUMIFS('Expenses-Tracker'!$G:$G,'Expenses-Tracker'!$E:$E,'P&amp;L'!$B24,'Expenses-Tracker'!$A:$A,"&gt;="&amp;'P&amp;L'!F$6,'Expenses-Tracker'!$A:$A,"&lt;="&amp;'P&amp;L'!F$7)</f>
        <v>1164204</v>
      </c>
      <c r="G24" s="49">
        <f>SUMIFS('Expenses-Tracker'!$G:$G,'Expenses-Tracker'!$E:$E,'P&amp;L'!$B24,'Expenses-Tracker'!$A:$A,"&gt;="&amp;'P&amp;L'!G$6,'Expenses-Tracker'!$A:$A,"&lt;="&amp;'P&amp;L'!G$7)</f>
        <v>1164204</v>
      </c>
      <c r="H24" s="49">
        <f>SUMIFS('Expenses-Tracker'!$G:$G,'Expenses-Tracker'!$E:$E,'P&amp;L'!$B24,'Expenses-Tracker'!$A:$A,"&gt;="&amp;'P&amp;L'!H$6,'Expenses-Tracker'!$A:$A,"&lt;="&amp;'P&amp;L'!H$7)</f>
        <v>0</v>
      </c>
      <c r="I24" s="49">
        <f>SUMIFS('Expenses-Tracker'!$G:$G,'Expenses-Tracker'!$E:$E,'P&amp;L'!$B24,'Expenses-Tracker'!$A:$A,"&gt;="&amp;'P&amp;L'!I$6,'Expenses-Tracker'!$A:$A,"&lt;="&amp;'P&amp;L'!I$7)</f>
        <v>0</v>
      </c>
      <c r="J24" s="49">
        <f>SUMIFS('Expenses-Tracker'!$G:$G,'Expenses-Tracker'!$E:$E,'P&amp;L'!$B24,'Expenses-Tracker'!$A:$A,"&gt;="&amp;'P&amp;L'!J$6,'Expenses-Tracker'!$A:$A,"&lt;="&amp;'P&amp;L'!J$7)</f>
        <v>0</v>
      </c>
      <c r="K24" s="49">
        <f>SUMIFS('Expenses-Tracker'!$G:$G,'Expenses-Tracker'!$E:$E,'P&amp;L'!$B24,'Expenses-Tracker'!$A:$A,"&gt;="&amp;'P&amp;L'!K$6,'Expenses-Tracker'!$A:$A,"&lt;="&amp;'P&amp;L'!K$7)</f>
        <v>0</v>
      </c>
    </row>
    <row r="25" spans="1:11" x14ac:dyDescent="0.2">
      <c r="A25" s="49"/>
      <c r="B25" s="49" t="s">
        <v>2507</v>
      </c>
      <c r="C25" s="214">
        <f t="shared" si="5"/>
        <v>3669100</v>
      </c>
      <c r="D25" s="49">
        <f>SUMIFS('Expenses-Tracker'!$G:$G,'Expenses-Tracker'!$E:$E,'P&amp;L'!$B25,'Expenses-Tracker'!$A:$A,"&gt;="&amp;'P&amp;L'!D$6,'Expenses-Tracker'!$A:$A,"&lt;="&amp;'P&amp;L'!D$7)</f>
        <v>586000</v>
      </c>
      <c r="E25" s="49">
        <f>SUMIFS('Expenses-Tracker'!$G:$G,'Expenses-Tracker'!$E:$E,'P&amp;L'!$B25,'Expenses-Tracker'!$A:$A,"&gt;="&amp;'P&amp;L'!E$6,'Expenses-Tracker'!$A:$A,"&lt;="&amp;'P&amp;L'!E$7)</f>
        <v>615000</v>
      </c>
      <c r="F25" s="49">
        <f>SUMIFS('Expenses-Tracker'!$G:$G,'Expenses-Tracker'!$E:$E,'P&amp;L'!$B25,'Expenses-Tracker'!$A:$A,"&gt;="&amp;'P&amp;L'!F$6,'Expenses-Tracker'!$A:$A,"&lt;="&amp;'P&amp;L'!F$7)</f>
        <v>427000</v>
      </c>
      <c r="G25" s="49">
        <f>SUMIFS('Expenses-Tracker'!$G:$G,'Expenses-Tracker'!$E:$E,'P&amp;L'!$B25,'Expenses-Tracker'!$A:$A,"&gt;="&amp;'P&amp;L'!G$6,'Expenses-Tracker'!$A:$A,"&lt;="&amp;'P&amp;L'!G$7)</f>
        <v>1578400</v>
      </c>
      <c r="H25" s="49">
        <f>SUMIFS('Expenses-Tracker'!$G:$G,'Expenses-Tracker'!$E:$E,'P&amp;L'!$B25,'Expenses-Tracker'!$A:$A,"&gt;="&amp;'P&amp;L'!H$6,'Expenses-Tracker'!$A:$A,"&lt;="&amp;'P&amp;L'!H$7)</f>
        <v>462700</v>
      </c>
      <c r="I25" s="49">
        <f>SUMIFS('Expenses-Tracker'!$G:$G,'Expenses-Tracker'!$E:$E,'P&amp;L'!$B25,'Expenses-Tracker'!$A:$A,"&gt;="&amp;'P&amp;L'!I$6,'Expenses-Tracker'!$A:$A,"&lt;="&amp;'P&amp;L'!I$7)</f>
        <v>0</v>
      </c>
      <c r="J25" s="49">
        <f>SUMIFS('Expenses-Tracker'!$G:$G,'Expenses-Tracker'!$E:$E,'P&amp;L'!$B25,'Expenses-Tracker'!$A:$A,"&gt;="&amp;'P&amp;L'!J$6,'Expenses-Tracker'!$A:$A,"&lt;="&amp;'P&amp;L'!J$7)</f>
        <v>0</v>
      </c>
      <c r="K25" s="49">
        <f>SUMIFS('Expenses-Tracker'!$G:$G,'Expenses-Tracker'!$E:$E,'P&amp;L'!$B25,'Expenses-Tracker'!$A:$A,"&gt;="&amp;'P&amp;L'!K$6,'Expenses-Tracker'!$A:$A,"&lt;="&amp;'P&amp;L'!K$7)</f>
        <v>0</v>
      </c>
    </row>
    <row r="26" spans="1:11" x14ac:dyDescent="0.2">
      <c r="A26" s="49"/>
      <c r="B26" s="49" t="s">
        <v>2515</v>
      </c>
      <c r="C26" s="214">
        <f t="shared" si="5"/>
        <v>991500</v>
      </c>
      <c r="D26" s="49">
        <f>SUMIFS('Expenses-Tracker'!$G:$G,'Expenses-Tracker'!$E:$E,'P&amp;L'!$B26,'Expenses-Tracker'!$A:$A,"&gt;="&amp;'P&amp;L'!D$6,'Expenses-Tracker'!$A:$A,"&lt;="&amp;'P&amp;L'!D$7)</f>
        <v>92000</v>
      </c>
      <c r="E26" s="49">
        <f>SUMIFS('Expenses-Tracker'!$G:$G,'Expenses-Tracker'!$E:$E,'P&amp;L'!$B26,'Expenses-Tracker'!$A:$A,"&gt;="&amp;'P&amp;L'!E$6,'Expenses-Tracker'!$A:$A,"&lt;="&amp;'P&amp;L'!E$7)</f>
        <v>223000</v>
      </c>
      <c r="F26" s="49">
        <f>SUMIFS('Expenses-Tracker'!$G:$G,'Expenses-Tracker'!$E:$E,'P&amp;L'!$B26,'Expenses-Tracker'!$A:$A,"&gt;="&amp;'P&amp;L'!F$6,'Expenses-Tracker'!$A:$A,"&lt;="&amp;'P&amp;L'!F$7)</f>
        <v>160000</v>
      </c>
      <c r="G26" s="49">
        <f>SUMIFS('Expenses-Tracker'!$G:$G,'Expenses-Tracker'!$E:$E,'P&amp;L'!$B26,'Expenses-Tracker'!$A:$A,"&gt;="&amp;'P&amp;L'!G$6,'Expenses-Tracker'!$A:$A,"&lt;="&amp;'P&amp;L'!G$7)</f>
        <v>227000</v>
      </c>
      <c r="H26" s="49">
        <f>SUMIFS('Expenses-Tracker'!$G:$G,'Expenses-Tracker'!$E:$E,'P&amp;L'!$B26,'Expenses-Tracker'!$A:$A,"&gt;="&amp;'P&amp;L'!H$6,'Expenses-Tracker'!$A:$A,"&lt;="&amp;'P&amp;L'!H$7)</f>
        <v>289500</v>
      </c>
      <c r="I26" s="49">
        <f>SUMIFS('Expenses-Tracker'!$G:$G,'Expenses-Tracker'!$E:$E,'P&amp;L'!$B26,'Expenses-Tracker'!$A:$A,"&gt;="&amp;'P&amp;L'!I$6,'Expenses-Tracker'!$A:$A,"&lt;="&amp;'P&amp;L'!I$7)</f>
        <v>0</v>
      </c>
      <c r="J26" s="49">
        <f>SUMIFS('Expenses-Tracker'!$G:$G,'Expenses-Tracker'!$E:$E,'P&amp;L'!$B26,'Expenses-Tracker'!$A:$A,"&gt;="&amp;'P&amp;L'!J$6,'Expenses-Tracker'!$A:$A,"&lt;="&amp;'P&amp;L'!J$7)</f>
        <v>0</v>
      </c>
      <c r="K26" s="49">
        <f>SUMIFS('Expenses-Tracker'!$G:$G,'Expenses-Tracker'!$E:$E,'P&amp;L'!$B26,'Expenses-Tracker'!$A:$A,"&gt;="&amp;'P&amp;L'!K$6,'Expenses-Tracker'!$A:$A,"&lt;="&amp;'P&amp;L'!K$7)</f>
        <v>0</v>
      </c>
    </row>
    <row r="27" spans="1:11" x14ac:dyDescent="0.2">
      <c r="A27" s="49"/>
      <c r="B27" s="49" t="s">
        <v>2514</v>
      </c>
      <c r="C27" s="214">
        <f t="shared" si="5"/>
        <v>6802600</v>
      </c>
      <c r="D27" s="49">
        <f>SUMIFS('Expenses-Tracker'!$G:$G,'Expenses-Tracker'!$E:$E,'P&amp;L'!$B27,'Expenses-Tracker'!$A:$A,"&gt;="&amp;'P&amp;L'!D$6,'Expenses-Tracker'!$A:$A,"&lt;="&amp;'P&amp;L'!D$7)</f>
        <v>844000</v>
      </c>
      <c r="E27" s="49">
        <f>SUMIFS('Expenses-Tracker'!$G:$G,'Expenses-Tracker'!$E:$E,'P&amp;L'!$B27,'Expenses-Tracker'!$A:$A,"&gt;="&amp;'P&amp;L'!E$6,'Expenses-Tracker'!$A:$A,"&lt;="&amp;'P&amp;L'!E$7)</f>
        <v>1202800</v>
      </c>
      <c r="F27" s="49">
        <f>SUMIFS('Expenses-Tracker'!$G:$G,'Expenses-Tracker'!$E:$E,'P&amp;L'!$B27,'Expenses-Tracker'!$A:$A,"&gt;="&amp;'P&amp;L'!F$6,'Expenses-Tracker'!$A:$A,"&lt;="&amp;'P&amp;L'!F$7)</f>
        <v>833000</v>
      </c>
      <c r="G27" s="49">
        <f>SUMIFS('Expenses-Tracker'!$G:$G,'Expenses-Tracker'!$E:$E,'P&amp;L'!$B27,'Expenses-Tracker'!$A:$A,"&gt;="&amp;'P&amp;L'!G$6,'Expenses-Tracker'!$A:$A,"&lt;="&amp;'P&amp;L'!G$7)</f>
        <v>1095000</v>
      </c>
      <c r="H27" s="49">
        <f>SUMIFS('Expenses-Tracker'!$G:$G,'Expenses-Tracker'!$E:$E,'P&amp;L'!$B27,'Expenses-Tracker'!$A:$A,"&gt;="&amp;'P&amp;L'!H$6,'Expenses-Tracker'!$A:$A,"&lt;="&amp;'P&amp;L'!H$7)</f>
        <v>1070400</v>
      </c>
      <c r="I27" s="49">
        <f>SUMIFS('Expenses-Tracker'!$G:$G,'Expenses-Tracker'!$E:$E,'P&amp;L'!$B27,'Expenses-Tracker'!$A:$A,"&gt;="&amp;'P&amp;L'!I$6,'Expenses-Tracker'!$A:$A,"&lt;="&amp;'P&amp;L'!I$7)</f>
        <v>1757400</v>
      </c>
      <c r="J27" s="49">
        <f>SUMIFS('Expenses-Tracker'!$G:$G,'Expenses-Tracker'!$E:$E,'P&amp;L'!$B27,'Expenses-Tracker'!$A:$A,"&gt;="&amp;'P&amp;L'!J$6,'Expenses-Tracker'!$A:$A,"&lt;="&amp;'P&amp;L'!J$7)</f>
        <v>0</v>
      </c>
      <c r="K27" s="49">
        <f>SUMIFS('Expenses-Tracker'!$G:$G,'Expenses-Tracker'!$E:$E,'P&amp;L'!$B27,'Expenses-Tracker'!$A:$A,"&gt;="&amp;'P&amp;L'!K$6,'Expenses-Tracker'!$A:$A,"&lt;="&amp;'P&amp;L'!K$7)</f>
        <v>0</v>
      </c>
    </row>
    <row r="28" spans="1:11" x14ac:dyDescent="0.2">
      <c r="A28" s="49"/>
      <c r="B28" s="49" t="s">
        <v>1801</v>
      </c>
      <c r="C28" s="214">
        <f t="shared" si="5"/>
        <v>237000</v>
      </c>
      <c r="D28" s="49">
        <f>SUMIFS('Expenses-Tracker'!$G:$G,'Expenses-Tracker'!$E:$E,'P&amp;L'!$B28,'Expenses-Tracker'!$A:$A,"&gt;="&amp;'P&amp;L'!D$6,'Expenses-Tracker'!$A:$A,"&lt;="&amp;'P&amp;L'!D$7)</f>
        <v>0</v>
      </c>
      <c r="E28" s="49">
        <f>SUMIFS('Expenses-Tracker'!$G:$G,'Expenses-Tracker'!$E:$E,'P&amp;L'!$B28,'Expenses-Tracker'!$A:$A,"&gt;="&amp;'P&amp;L'!E$6,'Expenses-Tracker'!$A:$A,"&lt;="&amp;'P&amp;L'!E$7)</f>
        <v>22000</v>
      </c>
      <c r="F28" s="49">
        <f>SUMIFS('Expenses-Tracker'!$G:$G,'Expenses-Tracker'!$E:$E,'P&amp;L'!$B28,'Expenses-Tracker'!$A:$A,"&gt;="&amp;'P&amp;L'!F$6,'Expenses-Tracker'!$A:$A,"&lt;="&amp;'P&amp;L'!F$7)</f>
        <v>0</v>
      </c>
      <c r="G28" s="49">
        <f>SUMIFS('Expenses-Tracker'!$G:$G,'Expenses-Tracker'!$E:$E,'P&amp;L'!$B28,'Expenses-Tracker'!$A:$A,"&gt;="&amp;'P&amp;L'!G$6,'Expenses-Tracker'!$A:$A,"&lt;="&amp;'P&amp;L'!G$7)</f>
        <v>170000</v>
      </c>
      <c r="H28" s="49">
        <f>SUMIFS('Expenses-Tracker'!$G:$G,'Expenses-Tracker'!$E:$E,'P&amp;L'!$B28,'Expenses-Tracker'!$A:$A,"&gt;="&amp;'P&amp;L'!H$6,'Expenses-Tracker'!$A:$A,"&lt;="&amp;'P&amp;L'!H$7)</f>
        <v>45000</v>
      </c>
      <c r="I28" s="49">
        <f>SUMIFS('Expenses-Tracker'!$G:$G,'Expenses-Tracker'!$E:$E,'P&amp;L'!$B28,'Expenses-Tracker'!$A:$A,"&gt;="&amp;'P&amp;L'!I$6,'Expenses-Tracker'!$A:$A,"&lt;="&amp;'P&amp;L'!I$7)</f>
        <v>0</v>
      </c>
      <c r="J28" s="49">
        <f>SUMIFS('Expenses-Tracker'!$G:$G,'Expenses-Tracker'!$E:$E,'P&amp;L'!$B28,'Expenses-Tracker'!$A:$A,"&gt;="&amp;'P&amp;L'!J$6,'Expenses-Tracker'!$A:$A,"&lt;="&amp;'P&amp;L'!J$7)</f>
        <v>0</v>
      </c>
      <c r="K28" s="49">
        <f>SUMIFS('Expenses-Tracker'!$G:$G,'Expenses-Tracker'!$E:$E,'P&amp;L'!$B28,'Expenses-Tracker'!$A:$A,"&gt;="&amp;'P&amp;L'!K$6,'Expenses-Tracker'!$A:$A,"&lt;="&amp;'P&amp;L'!K$7)</f>
        <v>0</v>
      </c>
    </row>
    <row r="29" spans="1:11" x14ac:dyDescent="0.2">
      <c r="A29" s="49"/>
      <c r="B29" s="49" t="s">
        <v>1793</v>
      </c>
      <c r="C29" s="214">
        <f t="shared" si="5"/>
        <v>0</v>
      </c>
      <c r="D29" s="49">
        <f>SUMIFS('Expenses-Tracker'!$G:$G,'Expenses-Tracker'!$E:$E,'P&amp;L'!$B29,'Expenses-Tracker'!$A:$A,"&gt;="&amp;'P&amp;L'!D$6,'Expenses-Tracker'!$A:$A,"&lt;="&amp;'P&amp;L'!D$7)</f>
        <v>0</v>
      </c>
      <c r="E29" s="49">
        <f>SUMIFS('Expenses-Tracker'!$G:$G,'Expenses-Tracker'!$E:$E,'P&amp;L'!$B29,'Expenses-Tracker'!$A:$A,"&gt;="&amp;'P&amp;L'!E$6,'Expenses-Tracker'!$A:$A,"&lt;="&amp;'P&amp;L'!E$7)</f>
        <v>0</v>
      </c>
      <c r="F29" s="49">
        <f>SUMIFS('Expenses-Tracker'!$G:$G,'Expenses-Tracker'!$E:$E,'P&amp;L'!$B29,'Expenses-Tracker'!$A:$A,"&gt;="&amp;'P&amp;L'!F$6,'Expenses-Tracker'!$A:$A,"&lt;="&amp;'P&amp;L'!F$7)</f>
        <v>0</v>
      </c>
      <c r="G29" s="49">
        <f>SUMIFS('Expenses-Tracker'!$G:$G,'Expenses-Tracker'!$E:$E,'P&amp;L'!$B29,'Expenses-Tracker'!$A:$A,"&gt;="&amp;'P&amp;L'!G$6,'Expenses-Tracker'!$A:$A,"&lt;="&amp;'P&amp;L'!G$7)</f>
        <v>0</v>
      </c>
      <c r="H29" s="49">
        <f>SUMIFS('Expenses-Tracker'!$G:$G,'Expenses-Tracker'!$E:$E,'P&amp;L'!$B29,'Expenses-Tracker'!$A:$A,"&gt;="&amp;'P&amp;L'!H$6,'Expenses-Tracker'!$A:$A,"&lt;="&amp;'P&amp;L'!H$7)</f>
        <v>0</v>
      </c>
      <c r="I29" s="49">
        <f>SUMIFS('Expenses-Tracker'!$G:$G,'Expenses-Tracker'!$E:$E,'P&amp;L'!$B29,'Expenses-Tracker'!$A:$A,"&gt;="&amp;'P&amp;L'!I$6,'Expenses-Tracker'!$A:$A,"&lt;="&amp;'P&amp;L'!I$7)</f>
        <v>0</v>
      </c>
      <c r="J29" s="49">
        <f>SUMIFS('Expenses-Tracker'!$G:$G,'Expenses-Tracker'!$E:$E,'P&amp;L'!$B29,'Expenses-Tracker'!$A:$A,"&gt;="&amp;'P&amp;L'!J$6,'Expenses-Tracker'!$A:$A,"&lt;="&amp;'P&amp;L'!J$7)</f>
        <v>0</v>
      </c>
      <c r="K29" s="49">
        <f>SUMIFS('Expenses-Tracker'!$G:$G,'Expenses-Tracker'!$E:$E,'P&amp;L'!$B29,'Expenses-Tracker'!$A:$A,"&gt;="&amp;'P&amp;L'!K$6,'Expenses-Tracker'!$A:$A,"&lt;="&amp;'P&amp;L'!K$7)</f>
        <v>0</v>
      </c>
    </row>
    <row r="30" spans="1:11" x14ac:dyDescent="0.2">
      <c r="A30" s="49"/>
      <c r="B30" s="49" t="s">
        <v>2512</v>
      </c>
      <c r="C30" s="214">
        <f t="shared" si="5"/>
        <v>20911500</v>
      </c>
      <c r="D30" s="49">
        <f>SUMIFS('Expenses-Tracker'!$G:$G,'Expenses-Tracker'!$E:$E,'P&amp;L'!$B30,'Expenses-Tracker'!$A:$A,"&gt;="&amp;'P&amp;L'!D$6,'Expenses-Tracker'!$A:$A,"&lt;="&amp;'P&amp;L'!D$7)</f>
        <v>4347500</v>
      </c>
      <c r="E30" s="49">
        <f>SUMIFS('Expenses-Tracker'!$G:$G,'Expenses-Tracker'!$E:$E,'P&amp;L'!$B30,'Expenses-Tracker'!$A:$A,"&gt;="&amp;'P&amp;L'!E$6,'Expenses-Tracker'!$A:$A,"&lt;="&amp;'P&amp;L'!E$7)</f>
        <v>4347500</v>
      </c>
      <c r="F30" s="49">
        <f>SUMIFS('Expenses-Tracker'!$G:$G,'Expenses-Tracker'!$E:$E,'P&amp;L'!$B30,'Expenses-Tracker'!$A:$A,"&gt;="&amp;'P&amp;L'!F$6,'Expenses-Tracker'!$A:$A,"&lt;="&amp;'P&amp;L'!F$7)</f>
        <v>4347500</v>
      </c>
      <c r="G30" s="49">
        <f>SUMIFS('Expenses-Tracker'!$G:$G,'Expenses-Tracker'!$E:$E,'P&amp;L'!$B30,'Expenses-Tracker'!$A:$A,"&gt;="&amp;'P&amp;L'!G$6,'Expenses-Tracker'!$A:$A,"&lt;="&amp;'P&amp;L'!G$7)</f>
        <v>3934500</v>
      </c>
      <c r="H30" s="49">
        <f>SUMIFS('Expenses-Tracker'!$G:$G,'Expenses-Tracker'!$E:$E,'P&amp;L'!$B30,'Expenses-Tracker'!$A:$A,"&gt;="&amp;'P&amp;L'!H$6,'Expenses-Tracker'!$A:$A,"&lt;="&amp;'P&amp;L'!H$7)</f>
        <v>3934500</v>
      </c>
      <c r="I30" s="49">
        <f>SUMIFS('Expenses-Tracker'!$G:$G,'Expenses-Tracker'!$E:$E,'P&amp;L'!$B30,'Expenses-Tracker'!$A:$A,"&gt;="&amp;'P&amp;L'!I$6,'Expenses-Tracker'!$A:$A,"&lt;="&amp;'P&amp;L'!I$7)</f>
        <v>0</v>
      </c>
      <c r="J30" s="49">
        <f>SUMIFS('Expenses-Tracker'!$G:$G,'Expenses-Tracker'!$E:$E,'P&amp;L'!$B30,'Expenses-Tracker'!$A:$A,"&gt;="&amp;'P&amp;L'!J$6,'Expenses-Tracker'!$A:$A,"&lt;="&amp;'P&amp;L'!J$7)</f>
        <v>0</v>
      </c>
      <c r="K30" s="49">
        <f>SUMIFS('Expenses-Tracker'!$G:$G,'Expenses-Tracker'!$E:$E,'P&amp;L'!$B30,'Expenses-Tracker'!$A:$A,"&gt;="&amp;'P&amp;L'!K$6,'Expenses-Tracker'!$A:$A,"&lt;="&amp;'P&amp;L'!K$7)</f>
        <v>0</v>
      </c>
    </row>
    <row r="31" spans="1:11" x14ac:dyDescent="0.2">
      <c r="A31" s="49"/>
      <c r="B31" s="206" t="s">
        <v>723</v>
      </c>
      <c r="C31" s="214">
        <f t="shared" si="5"/>
        <v>357000</v>
      </c>
      <c r="D31" s="49">
        <f>SUMIFS('Expenses-Tracker'!$G:$G,'Expenses-Tracker'!$E:$E,'P&amp;L'!$B31,'Expenses-Tracker'!$A:$A,"&gt;="&amp;'P&amp;L'!D$6,'Expenses-Tracker'!$A:$A,"&lt;="&amp;'P&amp;L'!D$7)</f>
        <v>0</v>
      </c>
      <c r="E31" s="49">
        <f>SUMIFS('Expenses-Tracker'!$G:$G,'Expenses-Tracker'!$E:$E,'P&amp;L'!$B31,'Expenses-Tracker'!$A:$A,"&gt;="&amp;'P&amp;L'!E$6,'Expenses-Tracker'!$A:$A,"&lt;="&amp;'P&amp;L'!E$7)</f>
        <v>0</v>
      </c>
      <c r="F31" s="49">
        <f>SUMIFS('Expenses-Tracker'!$G:$G,'Expenses-Tracker'!$E:$E,'P&amp;L'!$B31,'Expenses-Tracker'!$A:$A,"&gt;="&amp;'P&amp;L'!F$6,'Expenses-Tracker'!$A:$A,"&lt;="&amp;'P&amp;L'!F$7)</f>
        <v>162000</v>
      </c>
      <c r="G31" s="49">
        <f>SUMIFS('Expenses-Tracker'!$G:$G,'Expenses-Tracker'!$E:$E,'P&amp;L'!$B31,'Expenses-Tracker'!$A:$A,"&gt;="&amp;'P&amp;L'!G$6,'Expenses-Tracker'!$A:$A,"&lt;="&amp;'P&amp;L'!G$7)</f>
        <v>195000</v>
      </c>
      <c r="H31" s="49">
        <f>SUMIFS('Expenses-Tracker'!$G:$G,'Expenses-Tracker'!$E:$E,'P&amp;L'!$B31,'Expenses-Tracker'!$A:$A,"&gt;="&amp;'P&amp;L'!H$6,'Expenses-Tracker'!$A:$A,"&lt;="&amp;'P&amp;L'!H$7)</f>
        <v>0</v>
      </c>
      <c r="I31" s="49">
        <f>SUMIFS('Expenses-Tracker'!$G:$G,'Expenses-Tracker'!$E:$E,'P&amp;L'!$B31,'Expenses-Tracker'!$A:$A,"&gt;="&amp;'P&amp;L'!I$6,'Expenses-Tracker'!$A:$A,"&lt;="&amp;'P&amp;L'!I$7)</f>
        <v>0</v>
      </c>
      <c r="J31" s="49">
        <f>SUMIFS('Expenses-Tracker'!$G:$G,'Expenses-Tracker'!$E:$E,'P&amp;L'!$B31,'Expenses-Tracker'!$A:$A,"&gt;="&amp;'P&amp;L'!J$6,'Expenses-Tracker'!$A:$A,"&lt;="&amp;'P&amp;L'!J$7)</f>
        <v>0</v>
      </c>
      <c r="K31" s="49">
        <f>SUMIFS('Expenses-Tracker'!$G:$G,'Expenses-Tracker'!$E:$E,'P&amp;L'!$B31,'Expenses-Tracker'!$A:$A,"&gt;="&amp;'P&amp;L'!K$6,'Expenses-Tracker'!$A:$A,"&lt;="&amp;'P&amp;L'!K$7)</f>
        <v>0</v>
      </c>
    </row>
    <row r="32" spans="1:11" x14ac:dyDescent="0.2">
      <c r="A32" s="49"/>
      <c r="B32" s="608" t="s">
        <v>954</v>
      </c>
      <c r="C32" s="606">
        <f t="shared" si="5"/>
        <v>0</v>
      </c>
      <c r="D32" s="605">
        <f>SUMIFS('Expenses-Tracker'!$G:$G,'Expenses-Tracker'!$E:$E,'P&amp;L'!$B32,'Expenses-Tracker'!$A:$A,"&gt;="&amp;'P&amp;L'!D$6,'Expenses-Tracker'!$A:$A,"&lt;="&amp;'P&amp;L'!D$7)</f>
        <v>0</v>
      </c>
      <c r="E32" s="605">
        <f>SUMIFS('Expenses-Tracker'!$G:$G,'Expenses-Tracker'!$E:$E,'P&amp;L'!$B32,'Expenses-Tracker'!$A:$A,"&gt;="&amp;'P&amp;L'!E$6,'Expenses-Tracker'!$A:$A,"&lt;="&amp;'P&amp;L'!E$7)</f>
        <v>0</v>
      </c>
      <c r="F32" s="605">
        <f>SUMIFS('Expenses-Tracker'!$G:$G,'Expenses-Tracker'!$E:$E,'P&amp;L'!$B32,'Expenses-Tracker'!$A:$A,"&gt;="&amp;'P&amp;L'!F$6,'Expenses-Tracker'!$A:$A,"&lt;="&amp;'P&amp;L'!F$7)</f>
        <v>0</v>
      </c>
      <c r="G32" s="605">
        <f>SUMIFS('Expenses-Tracker'!$G:$G,'Expenses-Tracker'!$E:$E,'P&amp;L'!$B32,'Expenses-Tracker'!$A:$A,"&gt;="&amp;'P&amp;L'!G$6,'Expenses-Tracker'!$A:$A,"&lt;="&amp;'P&amp;L'!G$7)</f>
        <v>0</v>
      </c>
      <c r="H32" s="605">
        <f>SUMIFS('Expenses-Tracker'!$G:$G,'Expenses-Tracker'!$E:$E,'P&amp;L'!$B32,'Expenses-Tracker'!$A:$A,"&gt;="&amp;'P&amp;L'!H$6,'Expenses-Tracker'!$A:$A,"&lt;="&amp;'P&amp;L'!H$7)</f>
        <v>0</v>
      </c>
      <c r="I32" s="605">
        <f>SUMIFS('Expenses-Tracker'!$G:$G,'Expenses-Tracker'!$E:$E,'P&amp;L'!$B32,'Expenses-Tracker'!$A:$A,"&gt;="&amp;'P&amp;L'!I$6,'Expenses-Tracker'!$A:$A,"&lt;="&amp;'P&amp;L'!I$7)</f>
        <v>0</v>
      </c>
      <c r="J32" s="605">
        <f>SUMIFS('Expenses-Tracker'!$G:$G,'Expenses-Tracker'!$E:$E,'P&amp;L'!$B32,'Expenses-Tracker'!$A:$A,"&gt;="&amp;'P&amp;L'!J$6,'Expenses-Tracker'!$A:$A,"&lt;="&amp;'P&amp;L'!J$7)</f>
        <v>0</v>
      </c>
      <c r="K32" s="605">
        <f>SUMIFS('Expenses-Tracker'!$G:$G,'Expenses-Tracker'!$E:$E,'P&amp;L'!$B32,'Expenses-Tracker'!$A:$A,"&gt;="&amp;'P&amp;L'!K$6,'Expenses-Tracker'!$A:$A,"&lt;="&amp;'P&amp;L'!K$7)</f>
        <v>0</v>
      </c>
    </row>
    <row r="33" spans="2:11" x14ac:dyDescent="0.2">
      <c r="B33" s="172" t="s">
        <v>957</v>
      </c>
      <c r="C33" s="216">
        <f>SUM(C19:C32)</f>
        <v>54211610</v>
      </c>
      <c r="D33" s="205">
        <f>SUM(D19:D32)</f>
        <v>6737500</v>
      </c>
      <c r="E33" s="205">
        <f t="shared" ref="E33:K33" si="6">SUM(E19:E32)</f>
        <v>9857402</v>
      </c>
      <c r="F33" s="205">
        <f t="shared" si="6"/>
        <v>8953704</v>
      </c>
      <c r="G33" s="205">
        <f t="shared" si="6"/>
        <v>17266104</v>
      </c>
      <c r="H33" s="205">
        <f t="shared" si="6"/>
        <v>7239500</v>
      </c>
      <c r="I33" s="205">
        <f t="shared" si="6"/>
        <v>2557400</v>
      </c>
      <c r="J33" s="205">
        <f t="shared" si="6"/>
        <v>800000</v>
      </c>
      <c r="K33" s="205">
        <f t="shared" si="6"/>
        <v>800000</v>
      </c>
    </row>
    <row r="34" spans="2:11" x14ac:dyDescent="0.2">
      <c r="C34" s="192"/>
    </row>
    <row r="35" spans="2:11" s="172" customFormat="1" ht="13.5" thickBot="1" x14ac:dyDescent="0.25">
      <c r="B35" s="609" t="s">
        <v>958</v>
      </c>
      <c r="C35" s="610">
        <f>SUM(D35:K35)</f>
        <v>5817074.1269841194</v>
      </c>
      <c r="D35" s="611">
        <f>SUM(D16,-D33)</f>
        <v>3390800</v>
      </c>
      <c r="E35" s="611">
        <f t="shared" ref="E35:K35" si="7">SUM(E16,-E33)</f>
        <v>111139.66666666791</v>
      </c>
      <c r="F35" s="611">
        <f t="shared" si="7"/>
        <v>5207601.9523809515</v>
      </c>
      <c r="G35" s="611">
        <f t="shared" si="7"/>
        <v>-4210134.5555555616</v>
      </c>
      <c r="H35" s="611">
        <f t="shared" si="7"/>
        <v>4313650.3968253955</v>
      </c>
      <c r="I35" s="611">
        <f t="shared" si="7"/>
        <v>-1395983.3333333335</v>
      </c>
      <c r="J35" s="611">
        <f t="shared" si="7"/>
        <v>-800000</v>
      </c>
      <c r="K35" s="611">
        <f t="shared" si="7"/>
        <v>-800000</v>
      </c>
    </row>
    <row r="36" spans="2:11" ht="4.5" customHeight="1" x14ac:dyDescent="0.2">
      <c r="C36" s="192"/>
    </row>
    <row r="37" spans="2:11" x14ac:dyDescent="0.2">
      <c r="B37" s="49" t="s">
        <v>959</v>
      </c>
      <c r="C37" s="217">
        <v>0</v>
      </c>
      <c r="D37" s="49">
        <f>IF(D35&lt;0,0,D35*30%)</f>
        <v>1017240</v>
      </c>
      <c r="E37" s="49">
        <f t="shared" ref="E37:K37" si="8">IF(E35&lt;0,0,E35*30%)</f>
        <v>33341.900000000373</v>
      </c>
      <c r="F37" s="49">
        <f t="shared" si="8"/>
        <v>1562280.5857142855</v>
      </c>
      <c r="G37" s="49">
        <f t="shared" si="8"/>
        <v>0</v>
      </c>
      <c r="H37" s="49">
        <f t="shared" si="8"/>
        <v>1294095.1190476187</v>
      </c>
      <c r="I37" s="49">
        <f t="shared" si="8"/>
        <v>0</v>
      </c>
      <c r="J37" s="49">
        <f t="shared" si="8"/>
        <v>0</v>
      </c>
      <c r="K37" s="49">
        <f t="shared" si="8"/>
        <v>0</v>
      </c>
    </row>
    <row r="38" spans="2:11" ht="4.5" customHeight="1" x14ac:dyDescent="0.2">
      <c r="C38" s="192"/>
    </row>
    <row r="39" spans="2:11" ht="13.5" thickBot="1" x14ac:dyDescent="0.25">
      <c r="B39" s="207" t="s">
        <v>960</v>
      </c>
      <c r="C39" s="610">
        <f>SUM(D39:K39)</f>
        <v>1910116.5222222158</v>
      </c>
      <c r="D39" s="208">
        <f>D35-D37</f>
        <v>2373560</v>
      </c>
      <c r="E39" s="208">
        <f t="shared" ref="E39:K39" si="9">E35-E37</f>
        <v>77797.766666667536</v>
      </c>
      <c r="F39" s="208">
        <f t="shared" si="9"/>
        <v>3645321.3666666662</v>
      </c>
      <c r="G39" s="208">
        <f t="shared" si="9"/>
        <v>-4210134.5555555616</v>
      </c>
      <c r="H39" s="208">
        <f t="shared" si="9"/>
        <v>3019555.2777777771</v>
      </c>
      <c r="I39" s="208">
        <f t="shared" si="9"/>
        <v>-1395983.3333333335</v>
      </c>
      <c r="J39" s="208">
        <f t="shared" si="9"/>
        <v>-800000</v>
      </c>
      <c r="K39" s="208">
        <f t="shared" si="9"/>
        <v>-800000</v>
      </c>
    </row>
    <row r="40" spans="2:11" ht="13.5" thickTop="1" x14ac:dyDescent="0.2">
      <c r="C40" s="192"/>
    </row>
    <row r="41" spans="2:11" x14ac:dyDescent="0.2">
      <c r="C41" s="192"/>
    </row>
    <row r="42" spans="2:11" x14ac:dyDescent="0.2">
      <c r="C42" s="192"/>
    </row>
    <row r="43" spans="2:11" x14ac:dyDescent="0.2">
      <c r="C43" s="192"/>
    </row>
    <row r="44" spans="2:11" x14ac:dyDescent="0.2">
      <c r="C44" s="192"/>
    </row>
    <row r="46" spans="2:11" x14ac:dyDescent="0.2">
      <c r="B46" s="38" t="s">
        <v>2513</v>
      </c>
    </row>
  </sheetData>
  <sheetProtection algorithmName="SHA-512" hashValue="pN5fNlOjroUd9w3+3y9+YnNoxPZs+L39Qj3cX1jBKymwgpoysQ6k18DCoWF8ctuTnTBCYCHiEVmw754wVhmrZQ==" saltValue="2CxIQO6EY2nO5f7/PgeliQ==" spinCount="100000" sheet="1" objects="1" scenarios="1"/>
  <sortState xmlns:xlrd2="http://schemas.microsoft.com/office/spreadsheetml/2017/richdata2" ref="B43:B702">
    <sortCondition ref="B43:B702"/>
  </sortState>
  <conditionalFormatting sqref="G2">
    <cfRule type="duplicateValues" dxfId="13" priority="1"/>
  </conditionalFormatting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BFFE2-BF3C-4D53-9902-06B2B7C41B6A}">
  <dimension ref="A1:J37"/>
  <sheetViews>
    <sheetView showGridLines="0" workbookViewId="0">
      <pane xSplit="2" ySplit="7" topLeftCell="C8" activePane="bottomRight" state="frozen"/>
      <selection pane="topRight" activeCell="D1" sqref="D1"/>
      <selection pane="bottomLeft" activeCell="A8" sqref="A8"/>
      <selection pane="bottomRight" activeCell="E21" sqref="E21"/>
    </sheetView>
  </sheetViews>
  <sheetFormatPr defaultRowHeight="12.75" x14ac:dyDescent="0.2"/>
  <cols>
    <col min="1" max="1" width="1.28515625" style="38" customWidth="1"/>
    <col min="2" max="2" width="27.42578125" style="38" bestFit="1" customWidth="1"/>
    <col min="3" max="3" width="14.28515625" style="38" bestFit="1" customWidth="1"/>
    <col min="4" max="4" width="13.140625" style="38" bestFit="1" customWidth="1"/>
    <col min="5" max="10" width="14.28515625" style="49" bestFit="1" customWidth="1"/>
    <col min="11" max="16384" width="9.140625" style="38"/>
  </cols>
  <sheetData>
    <row r="1" spans="1:10" x14ac:dyDescent="0.2">
      <c r="B1" s="299" t="s">
        <v>2503</v>
      </c>
      <c r="C1" s="128"/>
      <c r="D1" s="128"/>
      <c r="E1" s="617"/>
      <c r="F1" s="618"/>
      <c r="G1" s="617"/>
      <c r="H1" s="619"/>
      <c r="I1" s="617"/>
      <c r="J1" s="619"/>
    </row>
    <row r="2" spans="1:10" x14ac:dyDescent="0.2">
      <c r="B2" s="299" t="s">
        <v>2504</v>
      </c>
      <c r="C2" s="128"/>
      <c r="D2" s="128"/>
      <c r="E2" s="617"/>
      <c r="F2" s="620" t="s">
        <v>9</v>
      </c>
      <c r="G2" s="617"/>
      <c r="H2" s="621"/>
      <c r="I2" s="617"/>
      <c r="J2" s="621"/>
    </row>
    <row r="3" spans="1:10" ht="13.5" thickBot="1" x14ac:dyDescent="0.25">
      <c r="B3" s="299" t="s">
        <v>2516</v>
      </c>
      <c r="C3" s="128"/>
      <c r="D3" s="128"/>
      <c r="E3" s="617"/>
      <c r="F3" s="617"/>
      <c r="G3" s="617"/>
      <c r="H3" s="617"/>
      <c r="I3" s="617"/>
      <c r="J3" s="617"/>
    </row>
    <row r="4" spans="1:10" ht="14.25" thickTop="1" thickBot="1" x14ac:dyDescent="0.25">
      <c r="B4" s="128"/>
      <c r="C4" s="612" t="s">
        <v>1441</v>
      </c>
      <c r="D4" s="613">
        <v>44317</v>
      </c>
      <c r="E4" s="617"/>
      <c r="F4" s="617"/>
      <c r="G4" s="617"/>
      <c r="H4" s="622">
        <v>44408</v>
      </c>
      <c r="I4" s="617"/>
      <c r="J4" s="622">
        <v>44408</v>
      </c>
    </row>
    <row r="5" spans="1:10" ht="14.25" thickTop="1" thickBot="1" x14ac:dyDescent="0.25">
      <c r="B5" s="209" t="s">
        <v>2529</v>
      </c>
      <c r="C5" s="210"/>
      <c r="D5" s="211"/>
      <c r="E5" s="211"/>
      <c r="F5" s="212"/>
      <c r="G5" s="212"/>
      <c r="H5" s="212"/>
      <c r="I5" s="212"/>
      <c r="J5" s="212"/>
    </row>
    <row r="6" spans="1:10" x14ac:dyDescent="0.2">
      <c r="B6" s="37"/>
      <c r="C6" s="607">
        <f>D4</f>
        <v>44317</v>
      </c>
      <c r="D6" s="607">
        <f>C7+1</f>
        <v>44348</v>
      </c>
      <c r="E6" s="607">
        <f t="shared" ref="E6:J6" si="0">D7+1</f>
        <v>44378</v>
      </c>
      <c r="F6" s="607">
        <f t="shared" si="0"/>
        <v>44409</v>
      </c>
      <c r="G6" s="607">
        <f t="shared" si="0"/>
        <v>44440</v>
      </c>
      <c r="H6" s="607">
        <f t="shared" si="0"/>
        <v>44470</v>
      </c>
      <c r="I6" s="607">
        <f t="shared" si="0"/>
        <v>44501</v>
      </c>
      <c r="J6" s="607">
        <f t="shared" si="0"/>
        <v>44531</v>
      </c>
    </row>
    <row r="7" spans="1:10" ht="13.5" thickBot="1" x14ac:dyDescent="0.25">
      <c r="B7" s="614" t="s">
        <v>944</v>
      </c>
      <c r="C7" s="616">
        <f>IF(C8="","",IF(D4="","",EOMONTH(D4,0)))</f>
        <v>44347</v>
      </c>
      <c r="D7" s="616">
        <f>IF(D8="","",IF(D6="","",EOMONTH(D6,0)))</f>
        <v>44377</v>
      </c>
      <c r="E7" s="616">
        <f t="shared" ref="E7:J7" si="1">IF(E8="","",IF(E6="","",EOMONTH(E6,0)))</f>
        <v>44408</v>
      </c>
      <c r="F7" s="616">
        <f t="shared" si="1"/>
        <v>44439</v>
      </c>
      <c r="G7" s="616">
        <f t="shared" si="1"/>
        <v>44469</v>
      </c>
      <c r="H7" s="616">
        <f t="shared" si="1"/>
        <v>44500</v>
      </c>
      <c r="I7" s="616">
        <f t="shared" si="1"/>
        <v>44530</v>
      </c>
      <c r="J7" s="616">
        <f t="shared" si="1"/>
        <v>44561</v>
      </c>
    </row>
    <row r="8" spans="1:10" ht="13.5" thickTop="1" x14ac:dyDescent="0.2">
      <c r="B8" s="176" t="s">
        <v>965</v>
      </c>
      <c r="C8" s="624">
        <v>7</v>
      </c>
      <c r="D8" s="623">
        <f>IF(COLUMN()-3&lt;=$C$8,COLUMN()-3,"")</f>
        <v>1</v>
      </c>
      <c r="E8" s="623">
        <f t="shared" ref="E8:J8" si="2">IF(COLUMN()-3&lt;=$C$8,COLUMN()-3,"")</f>
        <v>2</v>
      </c>
      <c r="F8" s="623">
        <f t="shared" si="2"/>
        <v>3</v>
      </c>
      <c r="G8" s="623">
        <f t="shared" si="2"/>
        <v>4</v>
      </c>
      <c r="H8" s="623">
        <f t="shared" si="2"/>
        <v>5</v>
      </c>
      <c r="I8" s="623">
        <f t="shared" si="2"/>
        <v>6</v>
      </c>
      <c r="J8" s="623">
        <f t="shared" si="2"/>
        <v>7</v>
      </c>
    </row>
    <row r="9" spans="1:10" x14ac:dyDescent="0.2">
      <c r="A9" s="49"/>
      <c r="B9" s="176" t="s">
        <v>961</v>
      </c>
      <c r="C9" s="605"/>
      <c r="D9" s="605"/>
      <c r="E9" s="605"/>
      <c r="F9" s="605"/>
      <c r="G9" s="605"/>
      <c r="H9" s="605"/>
      <c r="I9" s="605"/>
      <c r="J9" s="605"/>
    </row>
    <row r="10" spans="1:10" x14ac:dyDescent="0.2">
      <c r="A10" s="49"/>
      <c r="B10" s="49" t="s">
        <v>718</v>
      </c>
      <c r="C10" s="49">
        <v>5580000</v>
      </c>
      <c r="D10" s="49">
        <v>5703000</v>
      </c>
      <c r="E10" s="49">
        <v>5703000</v>
      </c>
      <c r="F10" s="49">
        <v>5703000</v>
      </c>
      <c r="G10" s="49">
        <v>6053000</v>
      </c>
      <c r="H10" s="49">
        <v>6053000</v>
      </c>
      <c r="I10" s="49">
        <v>6053000</v>
      </c>
      <c r="J10" s="49">
        <v>6053000</v>
      </c>
    </row>
    <row r="11" spans="1:10" x14ac:dyDescent="0.2">
      <c r="A11" s="49"/>
      <c r="B11" s="218" t="s">
        <v>717</v>
      </c>
      <c r="C11" s="218">
        <v>1850000</v>
      </c>
      <c r="D11" s="218">
        <v>3925000</v>
      </c>
      <c r="E11" s="218">
        <v>4152000</v>
      </c>
      <c r="F11" s="218">
        <v>4152000</v>
      </c>
      <c r="G11" s="218">
        <v>4152000</v>
      </c>
      <c r="H11" s="218">
        <v>4152000</v>
      </c>
      <c r="I11" s="218">
        <v>4152000</v>
      </c>
      <c r="J11" s="218">
        <v>4152000</v>
      </c>
    </row>
    <row r="12" spans="1:10" x14ac:dyDescent="0.2">
      <c r="A12" s="49"/>
      <c r="B12" s="218" t="s">
        <v>719</v>
      </c>
      <c r="C12" s="218">
        <v>1880000</v>
      </c>
      <c r="D12" s="218">
        <v>1880000</v>
      </c>
      <c r="E12" s="218">
        <v>3368000</v>
      </c>
      <c r="F12" s="218">
        <v>3368000</v>
      </c>
      <c r="G12" s="218">
        <v>3368000</v>
      </c>
      <c r="H12" s="218">
        <v>3368000</v>
      </c>
      <c r="I12" s="218">
        <v>3368000</v>
      </c>
      <c r="J12" s="218">
        <v>3368000</v>
      </c>
    </row>
    <row r="13" spans="1:10" x14ac:dyDescent="0.2">
      <c r="A13" s="49"/>
      <c r="B13" s="202" t="s">
        <v>735</v>
      </c>
      <c r="C13" s="202">
        <v>0</v>
      </c>
      <c r="D13" s="202">
        <v>0</v>
      </c>
      <c r="E13" s="202">
        <v>0</v>
      </c>
      <c r="F13" s="202">
        <v>4677000</v>
      </c>
      <c r="G13" s="202">
        <v>4677000</v>
      </c>
      <c r="H13" s="202">
        <v>4677000</v>
      </c>
      <c r="I13" s="202">
        <v>4677000</v>
      </c>
      <c r="J13" s="202">
        <v>4677000</v>
      </c>
    </row>
    <row r="14" spans="1:10" x14ac:dyDescent="0.2">
      <c r="A14" s="49"/>
      <c r="B14" s="203"/>
      <c r="C14" s="203">
        <f>SUM(C10:C13)</f>
        <v>9310000</v>
      </c>
      <c r="D14" s="203">
        <f t="shared" ref="D14:J14" si="3">SUM(D10:D13)</f>
        <v>11508000</v>
      </c>
      <c r="E14" s="203">
        <f t="shared" si="3"/>
        <v>13223000</v>
      </c>
      <c r="F14" s="203">
        <f t="shared" si="3"/>
        <v>17900000</v>
      </c>
      <c r="G14" s="203">
        <f t="shared" si="3"/>
        <v>18250000</v>
      </c>
      <c r="H14" s="203">
        <f t="shared" si="3"/>
        <v>18250000</v>
      </c>
      <c r="I14" s="203">
        <f t="shared" si="3"/>
        <v>18250000</v>
      </c>
      <c r="J14" s="203">
        <f t="shared" si="3"/>
        <v>18250000</v>
      </c>
    </row>
    <row r="15" spans="1:10" x14ac:dyDescent="0.2">
      <c r="B15" s="176" t="s">
        <v>962</v>
      </c>
      <c r="C15" s="202"/>
      <c r="D15" s="202"/>
      <c r="E15" s="202"/>
      <c r="F15" s="202"/>
      <c r="G15" s="202"/>
      <c r="H15" s="202"/>
      <c r="I15" s="202"/>
      <c r="J15" s="202"/>
    </row>
    <row r="16" spans="1:10" x14ac:dyDescent="0.2">
      <c r="A16" s="49"/>
      <c r="B16" s="49" t="s">
        <v>2530</v>
      </c>
      <c r="C16" s="49">
        <v>5134140.2699999996</v>
      </c>
      <c r="D16" s="49">
        <v>6808631.7699999996</v>
      </c>
      <c r="E16" s="49">
        <v>10932633.469999991</v>
      </c>
      <c r="F16" s="49">
        <v>5368237.9699999765</v>
      </c>
      <c r="G16" s="49">
        <v>10313707.069999985</v>
      </c>
      <c r="H16" s="49">
        <v>15565269.819999993</v>
      </c>
      <c r="I16" s="49">
        <v>19802740.170000017</v>
      </c>
      <c r="J16" s="49">
        <v>19241262.020000011</v>
      </c>
    </row>
    <row r="17" spans="1:10" x14ac:dyDescent="0.2">
      <c r="A17" s="49"/>
      <c r="B17" s="605" t="s">
        <v>963</v>
      </c>
      <c r="C17" s="605">
        <f>SUMIFS(Disbursements!$F:$F,Disbursements!$A:$A,"&lt;="&amp;BS!C$7)-(SUMIFS('Live Collections'!$T:$T,'Live Collections'!$B:$B,"&lt;="&amp;BS!C$7))</f>
        <v>17939980</v>
      </c>
      <c r="D17" s="605">
        <f>SUMIFS(Disbursements!$F:$F,Disbursements!$A:$A,"&lt;="&amp;BS!D$7)-(SUMIFS('Live Collections'!$T:$T,'Live Collections'!$B:$B,"&lt;="&amp;BS!D$7))</f>
        <v>63009980</v>
      </c>
      <c r="E17" s="605">
        <f>SUMIFS(Disbursements!$F:$F,Disbursements!$A:$A,"&lt;="&amp;BS!E$7)-(SUMIFS('Live Collections'!$T:$T,'Live Collections'!$B:$B,"&lt;="&amp;BS!E$7))</f>
        <v>90077313.333333328</v>
      </c>
      <c r="F17" s="605">
        <f>SUMIFS(Disbursements!$F:$F,Disbursements!$A:$A,"&lt;="&amp;BS!F$7)-(SUMIFS('Live Collections'!$T:$T,'Live Collections'!$B:$B,"&lt;="&amp;BS!F$7))</f>
        <v>103889146.66666663</v>
      </c>
      <c r="G17" s="605">
        <f>SUMIFS(Disbursements!$F:$F,Disbursements!$A:$A,"&lt;="&amp;BS!G$7)-(SUMIFS('Live Collections'!$T:$T,'Live Collections'!$B:$B,"&lt;="&amp;BS!G$7))</f>
        <v>115090654.99999999</v>
      </c>
      <c r="H17" s="605">
        <f>SUMIFS(Disbursements!$F:$F,Disbursements!$A:$A,"&lt;="&amp;BS!H$7)-(SUMIFS('Live Collections'!$T:$T,'Live Collections'!$B:$B,"&lt;="&amp;BS!H$7))</f>
        <v>125709280.00000001</v>
      </c>
      <c r="I17" s="605">
        <f>SUMIFS(Disbursements!$F:$F,Disbursements!$A:$A,"&lt;="&amp;BS!I$7)-(SUMIFS('Live Collections'!$T:$T,'Live Collections'!$B:$B,"&lt;="&amp;BS!I$7))</f>
        <v>134638363.33333337</v>
      </c>
      <c r="J17" s="605">
        <f>SUMIFS(Disbursements!$F:$F,Disbursements!$A:$A,"&lt;="&amp;BS!J$7)-(SUMIFS('Live Collections'!$T:$T,'Live Collections'!$B:$B,"&lt;="&amp;BS!J$7))</f>
        <v>135138146.66666669</v>
      </c>
    </row>
    <row r="18" spans="1:10" x14ac:dyDescent="0.2">
      <c r="A18" s="49"/>
      <c r="B18" s="49"/>
      <c r="C18" s="49">
        <f t="shared" ref="C18:J18" si="4">SUM(C16:C17)</f>
        <v>23074120.27</v>
      </c>
      <c r="D18" s="49">
        <f t="shared" si="4"/>
        <v>69818611.769999996</v>
      </c>
      <c r="E18" s="49">
        <f t="shared" si="4"/>
        <v>101009946.80333331</v>
      </c>
      <c r="F18" s="49">
        <f t="shared" si="4"/>
        <v>109257384.6366666</v>
      </c>
      <c r="G18" s="49">
        <f t="shared" si="4"/>
        <v>125404362.06999996</v>
      </c>
      <c r="H18" s="49">
        <f t="shared" si="4"/>
        <v>141274549.81999999</v>
      </c>
      <c r="I18" s="49">
        <f t="shared" si="4"/>
        <v>154441103.50333339</v>
      </c>
      <c r="J18" s="49">
        <f t="shared" si="4"/>
        <v>154379408.6866667</v>
      </c>
    </row>
    <row r="19" spans="1:10" x14ac:dyDescent="0.2">
      <c r="A19" s="49"/>
      <c r="B19" s="49"/>
      <c r="C19" s="49"/>
      <c r="D19" s="49"/>
    </row>
    <row r="20" spans="1:10" ht="13.5" thickBot="1" x14ac:dyDescent="0.25">
      <c r="A20" s="49"/>
      <c r="B20" s="631" t="s">
        <v>964</v>
      </c>
      <c r="C20" s="631">
        <f>SUM(C14,C18)</f>
        <v>32384120.27</v>
      </c>
      <c r="D20" s="631">
        <f t="shared" ref="D20:J20" si="5">SUM(D14,D18)</f>
        <v>81326611.769999996</v>
      </c>
      <c r="E20" s="631">
        <f>SUM(E14,E18)</f>
        <v>114232946.80333331</v>
      </c>
      <c r="F20" s="631">
        <f t="shared" si="5"/>
        <v>127157384.6366666</v>
      </c>
      <c r="G20" s="631">
        <f t="shared" si="5"/>
        <v>143654362.06999996</v>
      </c>
      <c r="H20" s="631">
        <f t="shared" si="5"/>
        <v>159524549.81999999</v>
      </c>
      <c r="I20" s="631">
        <f t="shared" si="5"/>
        <v>172691103.50333339</v>
      </c>
      <c r="J20" s="631">
        <f t="shared" si="5"/>
        <v>172629408.6866667</v>
      </c>
    </row>
    <row r="21" spans="1:10" ht="13.5" thickTop="1" x14ac:dyDescent="0.2">
      <c r="A21" s="49"/>
      <c r="B21" s="49"/>
      <c r="C21" s="49"/>
      <c r="D21" s="49"/>
    </row>
    <row r="22" spans="1:10" x14ac:dyDescent="0.2">
      <c r="A22" s="49"/>
      <c r="B22" s="49"/>
      <c r="C22" s="49"/>
      <c r="D22" s="49"/>
    </row>
    <row r="23" spans="1:10" x14ac:dyDescent="0.2">
      <c r="A23" s="49"/>
      <c r="B23" s="176" t="s">
        <v>749</v>
      </c>
      <c r="C23" s="623">
        <f>IF(COLUMN()-3&lt;=$C$8,COLUMN()-3,"")</f>
        <v>0</v>
      </c>
      <c r="D23" s="623">
        <f>IF(COLUMN()-3&lt;=$C$8,COLUMN()-3,"")</f>
        <v>1</v>
      </c>
      <c r="E23" s="623">
        <f t="shared" ref="E23:J23" si="6">IF(COLUMN()-3&lt;=$C$8,COLUMN()-3,"")</f>
        <v>2</v>
      </c>
      <c r="F23" s="623">
        <f t="shared" si="6"/>
        <v>3</v>
      </c>
      <c r="G23" s="623">
        <f t="shared" si="6"/>
        <v>4</v>
      </c>
      <c r="H23" s="623">
        <f t="shared" si="6"/>
        <v>5</v>
      </c>
      <c r="I23" s="623">
        <f t="shared" si="6"/>
        <v>6</v>
      </c>
      <c r="J23" s="623">
        <f t="shared" si="6"/>
        <v>7</v>
      </c>
    </row>
    <row r="24" spans="1:10" x14ac:dyDescent="0.2">
      <c r="A24" s="49"/>
      <c r="B24" s="49" t="s">
        <v>2531</v>
      </c>
      <c r="C24" s="49">
        <v>30050314.27</v>
      </c>
      <c r="D24" s="49">
        <v>72967803.769999996</v>
      </c>
      <c r="E24" s="49">
        <v>109225708.86999997</v>
      </c>
      <c r="F24" s="49">
        <v>124029522.36999993</v>
      </c>
      <c r="G24" s="49">
        <v>139000929.66999996</v>
      </c>
      <c r="H24" s="49">
        <v>154755617.91999999</v>
      </c>
      <c r="I24" s="49">
        <v>167468028.97000006</v>
      </c>
      <c r="J24" s="49">
        <v>165783594.52000004</v>
      </c>
    </row>
    <row r="25" spans="1:10" x14ac:dyDescent="0.2">
      <c r="A25" s="49"/>
      <c r="B25" s="605" t="s">
        <v>2532</v>
      </c>
      <c r="C25" s="605">
        <f>SUM('P&amp;L'!$D$39:D39)</f>
        <v>2373560</v>
      </c>
      <c r="D25" s="605">
        <f>SUM('P&amp;L'!$D$39:E39)</f>
        <v>2451357.7666666675</v>
      </c>
      <c r="E25" s="605">
        <f>SUM('P&amp;L'!$D$39:F39)</f>
        <v>6096679.1333333338</v>
      </c>
      <c r="F25" s="605">
        <f>SUM('P&amp;L'!$D$39:G39)</f>
        <v>1886544.5777777722</v>
      </c>
      <c r="G25" s="605">
        <f>SUM('P&amp;L'!$D$39:H39)</f>
        <v>4906099.8555555493</v>
      </c>
      <c r="H25" s="605">
        <f>SUM('P&amp;L'!$D$39:I39)</f>
        <v>3510116.5222222158</v>
      </c>
      <c r="I25" s="605">
        <f>SUM('P&amp;L'!$D$39:J39)</f>
        <v>2710116.5222222158</v>
      </c>
      <c r="J25" s="605">
        <f>SUM('P&amp;L'!$D$39:K39)</f>
        <v>1910116.5222222158</v>
      </c>
    </row>
    <row r="26" spans="1:10" x14ac:dyDescent="0.2">
      <c r="A26" s="49"/>
      <c r="B26" s="203"/>
      <c r="C26" s="203">
        <f>SUM(C23:C25)</f>
        <v>32423874.27</v>
      </c>
      <c r="D26" s="203">
        <f t="shared" ref="D26:J26" si="7">SUM(D23:D25)</f>
        <v>75419162.536666662</v>
      </c>
      <c r="E26" s="203">
        <f t="shared" si="7"/>
        <v>115322390.00333332</v>
      </c>
      <c r="F26" s="203">
        <f t="shared" si="7"/>
        <v>125916069.9477777</v>
      </c>
      <c r="G26" s="203">
        <f t="shared" si="7"/>
        <v>143907033.52555549</v>
      </c>
      <c r="H26" s="203">
        <f t="shared" si="7"/>
        <v>158265739.44222221</v>
      </c>
      <c r="I26" s="203">
        <f t="shared" si="7"/>
        <v>170178151.49222228</v>
      </c>
      <c r="J26" s="203">
        <f t="shared" si="7"/>
        <v>167693718.04222226</v>
      </c>
    </row>
    <row r="27" spans="1:10" x14ac:dyDescent="0.2">
      <c r="A27" s="49"/>
      <c r="B27" s="49"/>
      <c r="C27" s="49"/>
      <c r="D27" s="49"/>
    </row>
    <row r="28" spans="1:10" x14ac:dyDescent="0.2">
      <c r="A28" s="49"/>
      <c r="B28" s="176" t="s">
        <v>2533</v>
      </c>
      <c r="C28" s="623">
        <f>IF(COLUMN()-3&lt;=$C$8,COLUMN()-3,"")</f>
        <v>0</v>
      </c>
      <c r="D28" s="623">
        <f>IF(COLUMN()-3&lt;=$C$8,COLUMN()-3,"")</f>
        <v>1</v>
      </c>
      <c r="E28" s="623">
        <f t="shared" ref="E28:J28" si="8">IF(COLUMN()-3&lt;=$C$8,COLUMN()-3,"")</f>
        <v>2</v>
      </c>
      <c r="F28" s="623">
        <f t="shared" si="8"/>
        <v>3</v>
      </c>
      <c r="G28" s="623">
        <f t="shared" si="8"/>
        <v>4</v>
      </c>
      <c r="H28" s="623">
        <f t="shared" si="8"/>
        <v>5</v>
      </c>
      <c r="I28" s="623">
        <f t="shared" si="8"/>
        <v>6</v>
      </c>
      <c r="J28" s="623">
        <f t="shared" si="8"/>
        <v>7</v>
      </c>
    </row>
    <row r="29" spans="1:10" x14ac:dyDescent="0.2">
      <c r="A29" s="49"/>
      <c r="B29" s="49" t="s">
        <v>855</v>
      </c>
      <c r="C29" s="49">
        <f>SUMIFS('Live Collections'!$P:$P,'Live Collections'!$B:$B,"&gt;="&amp;BS!C$6,'Live Collections'!$B:$B,"&lt;="&amp;BS!C$7)</f>
        <v>1820000</v>
      </c>
      <c r="D29" s="49">
        <f>SUMIFS('Live Collections'!$P:$P,'Live Collections'!$B:$B,"&gt;="&amp;BS!D$6,'Live Collections'!$B:$B,"&lt;="&amp;BS!D$7)</f>
        <v>7996400</v>
      </c>
      <c r="E29" s="49">
        <f>SUMIFS('Live Collections'!$P:$P,'Live Collections'!$B:$B,"&gt;="&amp;BS!E$6,'Live Collections'!$B:$B,"&lt;="&amp;BS!E$7)</f>
        <v>4405000</v>
      </c>
      <c r="F29" s="49">
        <f>SUMIFS('Live Collections'!$P:$P,'Live Collections'!$B:$B,"&gt;="&amp;BS!F$6,'Live Collections'!$B:$B,"&lt;="&amp;BS!F$7)</f>
        <v>4005000</v>
      </c>
      <c r="G29" s="49">
        <f>SUMIFS('Live Collections'!$P:$P,'Live Collections'!$B:$B,"&gt;="&amp;BS!G$6,'Live Collections'!$B:$B,"&lt;="&amp;BS!G$7)</f>
        <v>4120000</v>
      </c>
      <c r="H29" s="49">
        <f>SUMIFS('Live Collections'!$P:$P,'Live Collections'!$B:$B,"&gt;="&amp;BS!H$6,'Live Collections'!$B:$B,"&lt;="&amp;BS!H$7)</f>
        <v>2026000</v>
      </c>
      <c r="I29" s="49">
        <f>SUMIFS('Live Collections'!$P:$P,'Live Collections'!$B:$B,"&gt;="&amp;BS!I$6,'Live Collections'!$B:$B,"&lt;="&amp;BS!I$7)</f>
        <v>-739000</v>
      </c>
      <c r="J29" s="49">
        <f>SUMIFS('Live Collections'!$P:$P,'Live Collections'!$B:$B,"&gt;="&amp;BS!J$6,'Live Collections'!$B:$B,"&lt;="&amp;BS!J$7)</f>
        <v>259000</v>
      </c>
    </row>
    <row r="30" spans="1:10" x14ac:dyDescent="0.2">
      <c r="A30" s="49"/>
      <c r="B30" s="605" t="s">
        <v>752</v>
      </c>
      <c r="C30" s="605">
        <v>20000000</v>
      </c>
      <c r="D30" s="605">
        <v>20000000</v>
      </c>
      <c r="E30" s="605">
        <v>20000000</v>
      </c>
      <c r="F30" s="605">
        <v>20000000</v>
      </c>
      <c r="G30" s="605">
        <v>20000000</v>
      </c>
      <c r="H30" s="605">
        <v>20000000</v>
      </c>
      <c r="I30" s="605">
        <v>20000000</v>
      </c>
      <c r="J30" s="605">
        <v>20000000</v>
      </c>
    </row>
    <row r="31" spans="1:10" x14ac:dyDescent="0.2">
      <c r="A31" s="49"/>
      <c r="B31" s="203"/>
      <c r="C31" s="203">
        <f>SUM(C28:C30)</f>
        <v>21820000</v>
      </c>
      <c r="D31" s="203">
        <f t="shared" ref="D31" si="9">SUM(D28:D30)</f>
        <v>27996401</v>
      </c>
      <c r="E31" s="203">
        <f t="shared" ref="E31" si="10">SUM(E28:E30)</f>
        <v>24405002</v>
      </c>
      <c r="F31" s="203">
        <f t="shared" ref="F31" si="11">SUM(F28:F30)</f>
        <v>24005003</v>
      </c>
      <c r="G31" s="203">
        <f t="shared" ref="G31" si="12">SUM(G28:G30)</f>
        <v>24120004</v>
      </c>
      <c r="H31" s="203">
        <f t="shared" ref="H31" si="13">SUM(H28:H30)</f>
        <v>22026005</v>
      </c>
      <c r="I31" s="203">
        <f t="shared" ref="I31" si="14">SUM(I28:I30)</f>
        <v>19261006</v>
      </c>
      <c r="J31" s="203">
        <f t="shared" ref="J31" si="15">SUM(J28:J30)</f>
        <v>20259007</v>
      </c>
    </row>
    <row r="32" spans="1:10" x14ac:dyDescent="0.2">
      <c r="A32" s="49"/>
      <c r="B32" s="49"/>
      <c r="C32" s="49"/>
      <c r="D32" s="49"/>
    </row>
    <row r="33" spans="2:10" s="172" customFormat="1" ht="13.5" thickBot="1" x14ac:dyDescent="0.25">
      <c r="B33" s="609" t="s">
        <v>2534</v>
      </c>
      <c r="C33" s="611">
        <f>SUM(C26,C31)</f>
        <v>54243874.269999996</v>
      </c>
      <c r="D33" s="611">
        <f t="shared" ref="D33:J33" si="16">SUM(D26,D31)</f>
        <v>103415563.53666666</v>
      </c>
      <c r="E33" s="611">
        <f t="shared" si="16"/>
        <v>139727392.00333333</v>
      </c>
      <c r="F33" s="611">
        <f t="shared" si="16"/>
        <v>149921072.94777769</v>
      </c>
      <c r="G33" s="611">
        <f t="shared" si="16"/>
        <v>168027037.52555549</v>
      </c>
      <c r="H33" s="611">
        <f t="shared" si="16"/>
        <v>180291744.44222221</v>
      </c>
      <c r="I33" s="611">
        <f t="shared" si="16"/>
        <v>189439157.49222228</v>
      </c>
      <c r="J33" s="611">
        <f t="shared" si="16"/>
        <v>187952725.04222226</v>
      </c>
    </row>
    <row r="35" spans="2:10" x14ac:dyDescent="0.2">
      <c r="B35" s="38" t="s">
        <v>966</v>
      </c>
      <c r="C35" s="632"/>
      <c r="D35" s="632"/>
      <c r="E35" s="632"/>
      <c r="F35" s="632"/>
      <c r="G35" s="632"/>
      <c r="H35" s="632"/>
      <c r="I35" s="632"/>
      <c r="J35" s="632"/>
    </row>
    <row r="37" spans="2:10" x14ac:dyDescent="0.2">
      <c r="C37" s="633"/>
      <c r="D37" s="633"/>
      <c r="E37" s="633"/>
      <c r="F37" s="633"/>
      <c r="G37" s="633"/>
      <c r="H37" s="633"/>
      <c r="I37" s="633"/>
      <c r="J37" s="633"/>
    </row>
  </sheetData>
  <sheetProtection algorithmName="SHA-512" hashValue="gSV3a+iAdNM1Jvj5ozaAzjq1PQ/X78MlPV3vJhUNVaRTLP2RPXxEExujcjanghBXqoZ5pLj4VgbBz71SKyCwNQ==" saltValue="IdFyj5yNG6y7W0LNcHsjQA==" spinCount="100000" sheet="1" objects="1" scenarios="1"/>
  <conditionalFormatting sqref="F2">
    <cfRule type="duplicateValues" dxfId="12" priority="1"/>
  </conditionalFormatting>
  <pageMargins left="0.7" right="0.7" top="0.75" bottom="0.75" header="0.3" footer="0.3"/>
  <pageSetup paperSize="9" orientation="portrait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5782-CDDA-47D5-8DF2-D7587B54BB5B}">
  <dimension ref="A1:I38"/>
  <sheetViews>
    <sheetView showGridLines="0" workbookViewId="0">
      <selection activeCell="E16" sqref="E16"/>
    </sheetView>
  </sheetViews>
  <sheetFormatPr defaultRowHeight="12.75" x14ac:dyDescent="0.2"/>
  <cols>
    <col min="1" max="1" width="11.7109375" style="38" bestFit="1" customWidth="1"/>
    <col min="2" max="2" width="11.7109375" style="38" customWidth="1"/>
    <col min="3" max="3" width="24.85546875" style="38" bestFit="1" customWidth="1"/>
    <col min="4" max="4" width="17.28515625" style="38" bestFit="1" customWidth="1"/>
    <col min="5" max="5" width="11.85546875" style="38" bestFit="1" customWidth="1"/>
    <col min="6" max="7" width="10.5703125" style="49" bestFit="1" customWidth="1"/>
    <col min="8" max="8" width="12.28515625" style="49" bestFit="1" customWidth="1"/>
    <col min="9" max="9" width="12.140625" style="49" bestFit="1" customWidth="1"/>
    <col min="10" max="16384" width="9.140625" style="38"/>
  </cols>
  <sheetData>
    <row r="1" spans="1:9" x14ac:dyDescent="0.2">
      <c r="A1" s="172" t="s">
        <v>2503</v>
      </c>
      <c r="B1" s="172"/>
    </row>
    <row r="2" spans="1:9" x14ac:dyDescent="0.2">
      <c r="A2" s="172" t="s">
        <v>2525</v>
      </c>
      <c r="B2" s="172"/>
    </row>
    <row r="3" spans="1:9" x14ac:dyDescent="0.2">
      <c r="A3" s="626" t="s">
        <v>0</v>
      </c>
      <c r="B3" s="626" t="s">
        <v>2527</v>
      </c>
      <c r="C3" s="626" t="s">
        <v>2518</v>
      </c>
      <c r="D3" s="626" t="s">
        <v>2519</v>
      </c>
      <c r="E3" s="626" t="s">
        <v>2520</v>
      </c>
      <c r="F3" s="258" t="s">
        <v>761</v>
      </c>
      <c r="G3" s="258" t="s">
        <v>762</v>
      </c>
      <c r="H3" s="258" t="s">
        <v>930</v>
      </c>
      <c r="I3" s="258" t="s">
        <v>763</v>
      </c>
    </row>
    <row r="4" spans="1:9" x14ac:dyDescent="0.2">
      <c r="A4" s="627">
        <v>44530</v>
      </c>
      <c r="B4" s="627"/>
      <c r="C4" s="100" t="s">
        <v>2524</v>
      </c>
      <c r="D4" s="100" t="s">
        <v>986</v>
      </c>
      <c r="E4" s="100" t="s">
        <v>2523</v>
      </c>
      <c r="F4" s="628">
        <v>800000</v>
      </c>
      <c r="G4" s="628"/>
      <c r="H4" s="629">
        <f t="shared" ref="H4:H38" si="0">IF(F4&gt;0,F4,-G4)</f>
        <v>800000</v>
      </c>
      <c r="I4" s="630">
        <f>IF(A4="","",SUM($F$4:F4)-SUM($G$4:G4))</f>
        <v>800000</v>
      </c>
    </row>
    <row r="5" spans="1:9" x14ac:dyDescent="0.2">
      <c r="A5" s="627">
        <v>44561</v>
      </c>
      <c r="B5" s="627"/>
      <c r="C5" s="100" t="s">
        <v>2524</v>
      </c>
      <c r="D5" s="100" t="s">
        <v>986</v>
      </c>
      <c r="E5" s="100" t="s">
        <v>2523</v>
      </c>
      <c r="F5" s="628">
        <v>800000</v>
      </c>
      <c r="G5" s="628"/>
      <c r="H5" s="629">
        <f t="shared" si="0"/>
        <v>800000</v>
      </c>
      <c r="I5" s="630">
        <f>IF(A5="","",SUM($F$4:F5)-SUM($G$4:G5))</f>
        <v>1600000</v>
      </c>
    </row>
    <row r="6" spans="1:9" x14ac:dyDescent="0.2">
      <c r="A6" s="627">
        <v>44592</v>
      </c>
      <c r="B6" s="627"/>
      <c r="C6" s="100" t="s">
        <v>2524</v>
      </c>
      <c r="D6" s="100" t="s">
        <v>986</v>
      </c>
      <c r="E6" s="100" t="s">
        <v>2523</v>
      </c>
      <c r="F6" s="628">
        <v>800000</v>
      </c>
      <c r="G6" s="628"/>
      <c r="H6" s="629">
        <f t="shared" si="0"/>
        <v>800000</v>
      </c>
      <c r="I6" s="630">
        <f>IF(A6="","",SUM($F$4:F6)-SUM($G$4:G6))</f>
        <v>2400000</v>
      </c>
    </row>
    <row r="7" spans="1:9" x14ac:dyDescent="0.2">
      <c r="A7" s="627">
        <v>44620</v>
      </c>
      <c r="B7" s="627"/>
      <c r="C7" s="100" t="s">
        <v>2524</v>
      </c>
      <c r="D7" s="100" t="s">
        <v>986</v>
      </c>
      <c r="E7" s="100" t="s">
        <v>2523</v>
      </c>
      <c r="F7" s="628">
        <v>800000</v>
      </c>
      <c r="G7" s="628"/>
      <c r="H7" s="629">
        <f t="shared" si="0"/>
        <v>800000</v>
      </c>
      <c r="I7" s="630">
        <f>IF(A7="","",SUM($F$4:F7)-SUM($G$4:G7))</f>
        <v>3200000</v>
      </c>
    </row>
    <row r="8" spans="1:9" x14ac:dyDescent="0.2">
      <c r="A8" s="627">
        <v>44622</v>
      </c>
      <c r="B8" s="627"/>
      <c r="C8" s="100" t="s">
        <v>2521</v>
      </c>
      <c r="D8" s="100" t="s">
        <v>2522</v>
      </c>
      <c r="E8" s="100" t="s">
        <v>2523</v>
      </c>
      <c r="F8" s="628"/>
      <c r="G8" s="628">
        <v>1600000</v>
      </c>
      <c r="H8" s="629">
        <f t="shared" si="0"/>
        <v>-1600000</v>
      </c>
      <c r="I8" s="630">
        <f>IF(A8="","",SUM($F$4:F8)-SUM($G$4:G8))</f>
        <v>1600000</v>
      </c>
    </row>
    <row r="9" spans="1:9" x14ac:dyDescent="0.2">
      <c r="A9" s="627">
        <v>44651</v>
      </c>
      <c r="B9" s="627"/>
      <c r="C9" s="100" t="s">
        <v>2524</v>
      </c>
      <c r="D9" s="100" t="s">
        <v>986</v>
      </c>
      <c r="E9" s="100" t="s">
        <v>2523</v>
      </c>
      <c r="F9" s="628">
        <v>800000</v>
      </c>
      <c r="G9" s="628"/>
      <c r="H9" s="629">
        <f t="shared" si="0"/>
        <v>800000</v>
      </c>
      <c r="I9" s="630">
        <f>IF(A9="","",SUM($F$4:F9)-SUM($G$4:G9))</f>
        <v>2400000</v>
      </c>
    </row>
    <row r="10" spans="1:9" x14ac:dyDescent="0.2">
      <c r="A10" s="627">
        <v>44658</v>
      </c>
      <c r="B10" s="627"/>
      <c r="C10" s="100" t="s">
        <v>2521</v>
      </c>
      <c r="D10" s="100" t="s">
        <v>2522</v>
      </c>
      <c r="E10" s="100" t="s">
        <v>2523</v>
      </c>
      <c r="F10" s="628"/>
      <c r="G10" s="628">
        <v>2400000</v>
      </c>
      <c r="H10" s="629">
        <f t="shared" si="0"/>
        <v>-2400000</v>
      </c>
      <c r="I10" s="630">
        <f>IF(A10="","",SUM($F$4:F10)-SUM($G$4:G10))</f>
        <v>0</v>
      </c>
    </row>
    <row r="11" spans="1:9" x14ac:dyDescent="0.2">
      <c r="A11" s="627">
        <v>44681</v>
      </c>
      <c r="B11" s="627"/>
      <c r="C11" s="100" t="s">
        <v>2524</v>
      </c>
      <c r="D11" s="100" t="s">
        <v>986</v>
      </c>
      <c r="E11" s="100" t="s">
        <v>2523</v>
      </c>
      <c r="F11" s="628">
        <v>800000</v>
      </c>
      <c r="G11" s="628"/>
      <c r="H11" s="629">
        <f t="shared" si="0"/>
        <v>800000</v>
      </c>
      <c r="I11" s="630">
        <f>IF(A11="","",SUM($F$4:F11)-SUM($G$4:G11))</f>
        <v>800000</v>
      </c>
    </row>
    <row r="12" spans="1:9" x14ac:dyDescent="0.2">
      <c r="A12" s="627">
        <v>44712</v>
      </c>
      <c r="B12" s="627"/>
      <c r="C12" s="100" t="s">
        <v>2524</v>
      </c>
      <c r="D12" s="100" t="s">
        <v>986</v>
      </c>
      <c r="E12" s="100" t="s">
        <v>2523</v>
      </c>
      <c r="F12" s="628">
        <v>800000</v>
      </c>
      <c r="G12" s="628"/>
      <c r="H12" s="629">
        <f t="shared" si="0"/>
        <v>800000</v>
      </c>
      <c r="I12" s="630">
        <f>IF(A12="","",SUM($F$4:F12)-SUM($G$4:G12))</f>
        <v>1600000</v>
      </c>
    </row>
    <row r="13" spans="1:9" x14ac:dyDescent="0.2">
      <c r="A13" s="627">
        <v>44742</v>
      </c>
      <c r="B13" s="627"/>
      <c r="C13" s="100" t="s">
        <v>2524</v>
      </c>
      <c r="D13" s="100" t="s">
        <v>986</v>
      </c>
      <c r="E13" s="100" t="s">
        <v>2523</v>
      </c>
      <c r="F13" s="628">
        <v>800000</v>
      </c>
      <c r="G13" s="628"/>
      <c r="H13" s="629">
        <f t="shared" si="0"/>
        <v>800000</v>
      </c>
      <c r="I13" s="630">
        <f>IF(A13="","",SUM($F$4:F13)-SUM($G$4:G13))</f>
        <v>2400000</v>
      </c>
    </row>
    <row r="14" spans="1:9" x14ac:dyDescent="0.2">
      <c r="A14" s="627">
        <v>44773</v>
      </c>
      <c r="B14" s="627"/>
      <c r="C14" s="100" t="s">
        <v>2524</v>
      </c>
      <c r="D14" s="100" t="s">
        <v>986</v>
      </c>
      <c r="E14" s="100" t="s">
        <v>2523</v>
      </c>
      <c r="F14" s="628">
        <v>800000</v>
      </c>
      <c r="G14" s="628"/>
      <c r="H14" s="629">
        <f t="shared" si="0"/>
        <v>800000</v>
      </c>
      <c r="I14" s="630">
        <f>IF(A14="","",SUM($F$4:F14)-SUM($G$4:G14))</f>
        <v>3200000</v>
      </c>
    </row>
    <row r="15" spans="1:9" x14ac:dyDescent="0.2">
      <c r="A15" s="627">
        <v>44804</v>
      </c>
      <c r="B15" s="627"/>
      <c r="C15" s="100" t="s">
        <v>2524</v>
      </c>
      <c r="D15" s="100" t="s">
        <v>986</v>
      </c>
      <c r="E15" s="100" t="s">
        <v>2523</v>
      </c>
      <c r="F15" s="628">
        <v>800000</v>
      </c>
      <c r="G15" s="628"/>
      <c r="H15" s="629">
        <f t="shared" si="0"/>
        <v>800000</v>
      </c>
      <c r="I15" s="630">
        <f>IF(A15="","",SUM($F$4:F15)-SUM($G$4:G15))</f>
        <v>4000000</v>
      </c>
    </row>
    <row r="16" spans="1:9" x14ac:dyDescent="0.2">
      <c r="A16" s="627">
        <v>44834</v>
      </c>
      <c r="B16" s="627"/>
      <c r="C16" s="100" t="s">
        <v>2524</v>
      </c>
      <c r="D16" s="100" t="s">
        <v>986</v>
      </c>
      <c r="E16" s="100" t="s">
        <v>2523</v>
      </c>
      <c r="F16" s="628">
        <v>800000</v>
      </c>
      <c r="G16" s="628"/>
      <c r="H16" s="629">
        <f t="shared" si="0"/>
        <v>800000</v>
      </c>
      <c r="I16" s="630">
        <f>IF(A16="","",SUM($F$4:F16)-SUM($G$4:G16))</f>
        <v>4800000</v>
      </c>
    </row>
    <row r="17" spans="1:9" x14ac:dyDescent="0.2">
      <c r="A17" s="627">
        <v>44865</v>
      </c>
      <c r="B17" s="627"/>
      <c r="C17" s="100" t="s">
        <v>2524</v>
      </c>
      <c r="D17" s="100" t="s">
        <v>986</v>
      </c>
      <c r="E17" s="100" t="s">
        <v>2523</v>
      </c>
      <c r="F17" s="628">
        <v>800000</v>
      </c>
      <c r="G17" s="628"/>
      <c r="H17" s="629">
        <f t="shared" si="0"/>
        <v>800000</v>
      </c>
      <c r="I17" s="630">
        <f>IF(A17="","",SUM($F$4:F17)-SUM($G$4:G17))</f>
        <v>5600000</v>
      </c>
    </row>
    <row r="18" spans="1:9" x14ac:dyDescent="0.2">
      <c r="A18" s="627">
        <v>44895</v>
      </c>
      <c r="B18" s="627"/>
      <c r="C18" s="100" t="s">
        <v>2524</v>
      </c>
      <c r="D18" s="100" t="s">
        <v>986</v>
      </c>
      <c r="E18" s="100" t="s">
        <v>2523</v>
      </c>
      <c r="F18" s="628">
        <v>800000</v>
      </c>
      <c r="G18" s="628"/>
      <c r="H18" s="629">
        <f t="shared" si="0"/>
        <v>800000</v>
      </c>
      <c r="I18" s="630">
        <f>IF(A18="","",SUM($F$4:F18)-SUM($G$4:G18))</f>
        <v>6400000</v>
      </c>
    </row>
    <row r="19" spans="1:9" x14ac:dyDescent="0.2">
      <c r="A19" s="627">
        <v>44926</v>
      </c>
      <c r="B19" s="627"/>
      <c r="C19" s="100" t="s">
        <v>2524</v>
      </c>
      <c r="D19" s="100" t="s">
        <v>986</v>
      </c>
      <c r="E19" s="100" t="s">
        <v>2523</v>
      </c>
      <c r="F19" s="628">
        <v>800000</v>
      </c>
      <c r="G19" s="628"/>
      <c r="H19" s="629">
        <f t="shared" si="0"/>
        <v>800000</v>
      </c>
      <c r="I19" s="630">
        <f>IF(A19="","",SUM($F$4:F19)-SUM($G$4:G19))</f>
        <v>7200000</v>
      </c>
    </row>
    <row r="20" spans="1:9" x14ac:dyDescent="0.2">
      <c r="A20" s="627"/>
      <c r="B20" s="627"/>
      <c r="C20" s="100"/>
      <c r="D20" s="100"/>
      <c r="E20" s="100"/>
      <c r="F20" s="628"/>
      <c r="G20" s="628"/>
      <c r="H20" s="629">
        <f t="shared" si="0"/>
        <v>0</v>
      </c>
      <c r="I20" s="630" t="str">
        <f>IF(A20="","",SUM($F$4:F20)-SUM($G$4:G20))</f>
        <v/>
      </c>
    </row>
    <row r="21" spans="1:9" x14ac:dyDescent="0.2">
      <c r="A21" s="627"/>
      <c r="B21" s="627"/>
      <c r="C21" s="100"/>
      <c r="D21" s="100"/>
      <c r="E21" s="100"/>
      <c r="F21" s="628"/>
      <c r="G21" s="628"/>
      <c r="H21" s="629">
        <f t="shared" si="0"/>
        <v>0</v>
      </c>
      <c r="I21" s="630" t="str">
        <f>IF(A21="","",SUM($F$4:F21)-SUM($G$4:G21))</f>
        <v/>
      </c>
    </row>
    <row r="22" spans="1:9" x14ac:dyDescent="0.2">
      <c r="A22" s="627"/>
      <c r="B22" s="627"/>
      <c r="C22" s="100"/>
      <c r="D22" s="100"/>
      <c r="E22" s="100"/>
      <c r="F22" s="628"/>
      <c r="G22" s="628"/>
      <c r="H22" s="629">
        <f t="shared" si="0"/>
        <v>0</v>
      </c>
      <c r="I22" s="630" t="str">
        <f>IF(A22="","",SUM($F$4:F22)-SUM($G$4:G22))</f>
        <v/>
      </c>
    </row>
    <row r="23" spans="1:9" x14ac:dyDescent="0.2">
      <c r="A23" s="627"/>
      <c r="B23" s="627"/>
      <c r="C23" s="100"/>
      <c r="D23" s="100"/>
      <c r="E23" s="100"/>
      <c r="F23" s="628"/>
      <c r="G23" s="628"/>
      <c r="H23" s="629">
        <f t="shared" si="0"/>
        <v>0</v>
      </c>
      <c r="I23" s="630" t="str">
        <f>IF(A23="","",SUM($F$4:F23)-SUM($G$4:G23))</f>
        <v/>
      </c>
    </row>
    <row r="24" spans="1:9" x14ac:dyDescent="0.2">
      <c r="A24" s="627"/>
      <c r="B24" s="627"/>
      <c r="C24" s="100"/>
      <c r="D24" s="100"/>
      <c r="E24" s="100"/>
      <c r="F24" s="628"/>
      <c r="G24" s="628"/>
      <c r="H24" s="629">
        <f t="shared" si="0"/>
        <v>0</v>
      </c>
      <c r="I24" s="630" t="str">
        <f>IF(A24="","",SUM($F$4:F24)-SUM($G$4:G24))</f>
        <v/>
      </c>
    </row>
    <row r="25" spans="1:9" x14ac:dyDescent="0.2">
      <c r="A25" s="627"/>
      <c r="B25" s="627"/>
      <c r="C25" s="100"/>
      <c r="D25" s="100"/>
      <c r="E25" s="100"/>
      <c r="F25" s="628"/>
      <c r="G25" s="628"/>
      <c r="H25" s="629">
        <f t="shared" si="0"/>
        <v>0</v>
      </c>
      <c r="I25" s="630" t="str">
        <f>IF(A25="","",SUM($F$4:F25)-SUM($G$4:G25))</f>
        <v/>
      </c>
    </row>
    <row r="26" spans="1:9" x14ac:dyDescent="0.2">
      <c r="A26" s="627"/>
      <c r="B26" s="627"/>
      <c r="C26" s="100"/>
      <c r="D26" s="100"/>
      <c r="E26" s="100"/>
      <c r="F26" s="628"/>
      <c r="G26" s="628"/>
      <c r="H26" s="629">
        <f t="shared" si="0"/>
        <v>0</v>
      </c>
      <c r="I26" s="630" t="str">
        <f>IF(A26="","",SUM($F$4:F26)-SUM($G$4:G26))</f>
        <v/>
      </c>
    </row>
    <row r="27" spans="1:9" x14ac:dyDescent="0.2">
      <c r="A27" s="627"/>
      <c r="B27" s="627"/>
      <c r="C27" s="100"/>
      <c r="D27" s="100"/>
      <c r="E27" s="100"/>
      <c r="F27" s="628"/>
      <c r="G27" s="628"/>
      <c r="H27" s="629">
        <f t="shared" si="0"/>
        <v>0</v>
      </c>
      <c r="I27" s="630" t="str">
        <f>IF(A27="","",SUM($F$4:F27)-SUM($G$4:G27))</f>
        <v/>
      </c>
    </row>
    <row r="28" spans="1:9" x14ac:dyDescent="0.2">
      <c r="A28" s="627"/>
      <c r="B28" s="627"/>
      <c r="C28" s="100"/>
      <c r="D28" s="100"/>
      <c r="E28" s="100"/>
      <c r="F28" s="628"/>
      <c r="G28" s="628"/>
      <c r="H28" s="629">
        <f t="shared" si="0"/>
        <v>0</v>
      </c>
      <c r="I28" s="630" t="str">
        <f>IF(A28="","",SUM($F$4:F28)-SUM($G$4:G28))</f>
        <v/>
      </c>
    </row>
    <row r="29" spans="1:9" x14ac:dyDescent="0.2">
      <c r="A29" s="627"/>
      <c r="B29" s="627"/>
      <c r="C29" s="100"/>
      <c r="D29" s="100"/>
      <c r="E29" s="100"/>
      <c r="F29" s="628"/>
      <c r="G29" s="628"/>
      <c r="H29" s="629">
        <f t="shared" si="0"/>
        <v>0</v>
      </c>
      <c r="I29" s="630" t="str">
        <f>IF(A29="","",SUM($F$4:F29)-SUM($G$4:G29))</f>
        <v/>
      </c>
    </row>
    <row r="30" spans="1:9" x14ac:dyDescent="0.2">
      <c r="A30" s="627"/>
      <c r="B30" s="627"/>
      <c r="C30" s="100"/>
      <c r="D30" s="100"/>
      <c r="E30" s="100"/>
      <c r="F30" s="628"/>
      <c r="G30" s="628"/>
      <c r="H30" s="629">
        <f t="shared" si="0"/>
        <v>0</v>
      </c>
      <c r="I30" s="630" t="str">
        <f>IF(A30="","",SUM($F$4:F30)-SUM($G$4:G30))</f>
        <v/>
      </c>
    </row>
    <row r="31" spans="1:9" x14ac:dyDescent="0.2">
      <c r="A31" s="627"/>
      <c r="B31" s="627"/>
      <c r="C31" s="100"/>
      <c r="D31" s="100"/>
      <c r="E31" s="100"/>
      <c r="F31" s="628"/>
      <c r="G31" s="628"/>
      <c r="H31" s="629">
        <f t="shared" si="0"/>
        <v>0</v>
      </c>
      <c r="I31" s="630" t="str">
        <f>IF(A31="","",SUM($F$4:F31)-SUM($G$4:G31))</f>
        <v/>
      </c>
    </row>
    <row r="32" spans="1:9" x14ac:dyDescent="0.2">
      <c r="A32" s="627"/>
      <c r="B32" s="627"/>
      <c r="C32" s="100"/>
      <c r="D32" s="100"/>
      <c r="E32" s="100"/>
      <c r="F32" s="628"/>
      <c r="G32" s="628"/>
      <c r="H32" s="629">
        <f t="shared" si="0"/>
        <v>0</v>
      </c>
      <c r="I32" s="630" t="str">
        <f>IF(A32="","",SUM($F$4:F32)-SUM($G$4:G32))</f>
        <v/>
      </c>
    </row>
    <row r="33" spans="1:9" x14ac:dyDescent="0.2">
      <c r="A33" s="627"/>
      <c r="B33" s="627"/>
      <c r="C33" s="100"/>
      <c r="D33" s="100"/>
      <c r="E33" s="100"/>
      <c r="F33" s="628"/>
      <c r="G33" s="628"/>
      <c r="H33" s="629">
        <f t="shared" si="0"/>
        <v>0</v>
      </c>
      <c r="I33" s="630" t="str">
        <f>IF(A33="","",SUM($F$4:F33)-SUM($G$4:G33))</f>
        <v/>
      </c>
    </row>
    <row r="34" spans="1:9" x14ac:dyDescent="0.2">
      <c r="A34" s="627"/>
      <c r="B34" s="627"/>
      <c r="C34" s="100"/>
      <c r="D34" s="100"/>
      <c r="E34" s="100"/>
      <c r="F34" s="628"/>
      <c r="G34" s="628"/>
      <c r="H34" s="629">
        <f t="shared" si="0"/>
        <v>0</v>
      </c>
      <c r="I34" s="630" t="str">
        <f>IF(A34="","",SUM($F$4:F34)-SUM($G$4:G34))</f>
        <v/>
      </c>
    </row>
    <row r="35" spans="1:9" x14ac:dyDescent="0.2">
      <c r="A35" s="627"/>
      <c r="B35" s="627"/>
      <c r="C35" s="100"/>
      <c r="D35" s="100"/>
      <c r="E35" s="100"/>
      <c r="F35" s="628"/>
      <c r="G35" s="628"/>
      <c r="H35" s="629">
        <f t="shared" si="0"/>
        <v>0</v>
      </c>
      <c r="I35" s="630" t="str">
        <f>IF(A35="","",SUM($F$4:F35)-SUM($G$4:G35))</f>
        <v/>
      </c>
    </row>
    <row r="36" spans="1:9" x14ac:dyDescent="0.2">
      <c r="A36" s="627"/>
      <c r="B36" s="627"/>
      <c r="C36" s="100"/>
      <c r="D36" s="100"/>
      <c r="E36" s="100"/>
      <c r="F36" s="628"/>
      <c r="G36" s="628"/>
      <c r="H36" s="629">
        <f t="shared" si="0"/>
        <v>0</v>
      </c>
      <c r="I36" s="630" t="str">
        <f>IF(A36="","",SUM($F$4:F36)-SUM($G$4:G36))</f>
        <v/>
      </c>
    </row>
    <row r="37" spans="1:9" x14ac:dyDescent="0.2">
      <c r="A37" s="627"/>
      <c r="B37" s="627"/>
      <c r="C37" s="100"/>
      <c r="D37" s="100"/>
      <c r="E37" s="100"/>
      <c r="F37" s="628"/>
      <c r="G37" s="628"/>
      <c r="H37" s="629">
        <f t="shared" si="0"/>
        <v>0</v>
      </c>
      <c r="I37" s="630" t="str">
        <f>IF(A37="","",SUM($F$4:F37)-SUM($G$4:G37))</f>
        <v/>
      </c>
    </row>
    <row r="38" spans="1:9" x14ac:dyDescent="0.2">
      <c r="A38" s="627"/>
      <c r="B38" s="627"/>
      <c r="C38" s="100"/>
      <c r="D38" s="100"/>
      <c r="E38" s="100"/>
      <c r="F38" s="628"/>
      <c r="G38" s="628"/>
      <c r="H38" s="629">
        <f t="shared" si="0"/>
        <v>0</v>
      </c>
      <c r="I38" s="630" t="str">
        <f>IF(A38="","",SUM($F$4:F38)-SUM($G$4:G38))</f>
        <v/>
      </c>
    </row>
  </sheetData>
  <sheetProtection algorithmName="SHA-512" hashValue="1JzhzE8lAXNIqKSBO4cYD9f9X/ONi8yIWxud/3tWVpWwefXFi96KZkW6Wd0zkgdKccPui1tvKsp+VFu+HSEvHg==" saltValue="cSp88cIhp6UM/i78gTiOIw==" spinCount="100000" sheet="1" objects="1" scenarios="1"/>
  <autoFilter ref="A3:I3" xr:uid="{07AE5782-CDDA-47D5-8DF2-D7587B54BB5B}">
    <sortState xmlns:xlrd2="http://schemas.microsoft.com/office/spreadsheetml/2017/richdata2" ref="A4:I39">
      <sortCondition ref="A3"/>
    </sortState>
  </autoFilter>
  <phoneticPr fontId="22" type="noConversion"/>
  <dataValidations count="1">
    <dataValidation type="date" allowBlank="1" showInputMessage="1" showErrorMessage="1" error="Invalid Date,_x000a_Use date format dd/mm/yy_x000a_                       or mm/dd/yyy" sqref="A4:B4" xr:uid="{20869904-9B75-4C83-B868-030995D44340}">
      <formula1>1</formula1>
      <formula2>TODAY()</formula2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K2243"/>
  <sheetViews>
    <sheetView showGridLines="0" zoomScale="95" zoomScaleNormal="95" workbookViewId="0">
      <pane ySplit="6" topLeftCell="A7" activePane="bottomLeft" state="frozen"/>
      <selection activeCell="D1" sqref="D1:D1048576"/>
      <selection pane="bottomLeft" activeCell="H8" sqref="H8"/>
    </sheetView>
  </sheetViews>
  <sheetFormatPr defaultRowHeight="12.75" x14ac:dyDescent="0.2"/>
  <cols>
    <col min="1" max="1" width="12.7109375" style="38" customWidth="1"/>
    <col min="2" max="2" width="12.42578125" style="38" bestFit="1" customWidth="1"/>
    <col min="3" max="3" width="13.85546875" style="38" bestFit="1" customWidth="1"/>
    <col min="4" max="4" width="33.28515625" style="38" customWidth="1"/>
    <col min="5" max="5" width="22" style="38" customWidth="1"/>
    <col min="6" max="6" width="13.28515625" style="38" bestFit="1" customWidth="1"/>
    <col min="7" max="7" width="11" style="49" bestFit="1" customWidth="1"/>
    <col min="8" max="8" width="11.42578125" style="49" customWidth="1"/>
    <col min="9" max="9" width="13.28515625" style="49" bestFit="1" customWidth="1"/>
    <col min="10" max="10" width="12.85546875" style="49" customWidth="1"/>
    <col min="11" max="11" width="33.7109375" style="38" customWidth="1"/>
    <col min="12" max="16384" width="9.140625" style="38"/>
  </cols>
  <sheetData>
    <row r="1" spans="1:11" x14ac:dyDescent="0.2">
      <c r="A1" s="37"/>
      <c r="B1" s="37"/>
      <c r="C1" s="37"/>
      <c r="D1" s="37"/>
      <c r="E1" s="37"/>
      <c r="F1" s="37"/>
      <c r="G1" s="46"/>
      <c r="H1" s="46"/>
      <c r="I1" s="46"/>
      <c r="J1" s="46"/>
      <c r="K1" s="37"/>
    </row>
    <row r="2" spans="1:11" x14ac:dyDescent="0.2">
      <c r="A2" s="37"/>
      <c r="B2" s="37"/>
      <c r="C2" s="37"/>
      <c r="D2" s="37"/>
      <c r="E2" s="37"/>
      <c r="F2" s="37"/>
      <c r="G2" s="46"/>
      <c r="H2" s="46"/>
      <c r="I2" s="46"/>
      <c r="J2" s="46"/>
      <c r="K2" s="37"/>
    </row>
    <row r="3" spans="1:11" ht="13.5" thickBot="1" x14ac:dyDescent="0.25">
      <c r="A3" s="37"/>
      <c r="B3" s="37"/>
      <c r="C3" s="37"/>
      <c r="D3" s="41"/>
      <c r="E3" s="41"/>
      <c r="F3" s="236" t="s">
        <v>9</v>
      </c>
      <c r="G3" s="249"/>
      <c r="H3" s="46"/>
      <c r="I3" s="46"/>
      <c r="J3" s="46"/>
      <c r="K3" s="37"/>
    </row>
    <row r="4" spans="1:11" ht="14.25" thickTop="1" thickBot="1" x14ac:dyDescent="0.25">
      <c r="A4" s="39"/>
      <c r="B4" s="39"/>
      <c r="C4" s="39"/>
      <c r="D4" s="39"/>
      <c r="E4" s="39"/>
      <c r="F4" s="39"/>
      <c r="G4" s="47"/>
      <c r="H4" s="63">
        <f>SUBTOTAL(9,H7:H581)</f>
        <v>3767950</v>
      </c>
      <c r="I4" s="63">
        <f>SUBTOTAL(9,I7:I581)</f>
        <v>119480956</v>
      </c>
      <c r="J4" s="253">
        <f>H4-I4</f>
        <v>-115713006</v>
      </c>
      <c r="K4" s="39"/>
    </row>
    <row r="5" spans="1:11" ht="14.25" thickTop="1" thickBot="1" x14ac:dyDescent="0.25">
      <c r="A5" s="232" t="s">
        <v>983</v>
      </c>
      <c r="B5" s="231"/>
      <c r="C5" s="231"/>
      <c r="D5" s="231"/>
      <c r="E5" s="231"/>
      <c r="F5" s="231"/>
      <c r="G5" s="250"/>
      <c r="H5" s="231"/>
      <c r="I5" s="231"/>
      <c r="J5" s="231"/>
      <c r="K5" s="231"/>
    </row>
    <row r="6" spans="1:11" ht="14.25" thickTop="1" thickBot="1" x14ac:dyDescent="0.25">
      <c r="A6" s="197" t="s">
        <v>850</v>
      </c>
      <c r="B6" s="197" t="s">
        <v>929</v>
      </c>
      <c r="C6" s="251" t="s">
        <v>972</v>
      </c>
      <c r="D6" s="197" t="s">
        <v>984</v>
      </c>
      <c r="E6" s="197" t="s">
        <v>985</v>
      </c>
      <c r="F6" s="197" t="s">
        <v>851</v>
      </c>
      <c r="G6" s="198" t="s">
        <v>930</v>
      </c>
      <c r="H6" s="198" t="s">
        <v>761</v>
      </c>
      <c r="I6" s="198" t="s">
        <v>762</v>
      </c>
      <c r="J6" s="198" t="s">
        <v>763</v>
      </c>
      <c r="K6" s="197" t="s">
        <v>43</v>
      </c>
    </row>
    <row r="7" spans="1:11" ht="13.5" customHeight="1" thickTop="1" x14ac:dyDescent="0.2">
      <c r="A7" s="44">
        <v>44319</v>
      </c>
      <c r="B7" s="44" t="s">
        <v>732</v>
      </c>
      <c r="C7" s="35" t="s">
        <v>936</v>
      </c>
      <c r="D7" s="44" t="s">
        <v>1490</v>
      </c>
      <c r="E7" s="44" t="s">
        <v>1800</v>
      </c>
      <c r="F7" s="44"/>
      <c r="G7" s="130">
        <v>1850000</v>
      </c>
      <c r="H7" s="252">
        <f t="shared" ref="H7:H70" si="0">IF($C7="Replenishment",$G7,0)</f>
        <v>0</v>
      </c>
      <c r="I7" s="252">
        <f t="shared" ref="I7:I70" si="1">IF($C7="Replenishment",0,$G7)</f>
        <v>1850000</v>
      </c>
      <c r="J7" s="170">
        <f>IF(A7="","",SUM($H$7:H7)-SUM($I$7:I7))</f>
        <v>-1850000</v>
      </c>
      <c r="K7" s="34"/>
    </row>
    <row r="8" spans="1:11" ht="13.5" customHeight="1" x14ac:dyDescent="0.2">
      <c r="A8" s="44">
        <v>44319</v>
      </c>
      <c r="B8" s="44" t="s">
        <v>732</v>
      </c>
      <c r="C8" s="35" t="s">
        <v>936</v>
      </c>
      <c r="D8" s="44" t="s">
        <v>1491</v>
      </c>
      <c r="E8" s="44" t="s">
        <v>2509</v>
      </c>
      <c r="F8" s="44"/>
      <c r="G8" s="130">
        <v>5110000</v>
      </c>
      <c r="H8" s="252">
        <f t="shared" si="0"/>
        <v>0</v>
      </c>
      <c r="I8" s="252">
        <f t="shared" si="1"/>
        <v>5110000</v>
      </c>
      <c r="J8" s="170">
        <f>IF(A8="","",SUM($H$7:H8)-SUM($I$7:I8))</f>
        <v>-6960000</v>
      </c>
      <c r="K8" s="34"/>
    </row>
    <row r="9" spans="1:11" ht="13.5" customHeight="1" x14ac:dyDescent="0.2">
      <c r="A9" s="44">
        <v>44319</v>
      </c>
      <c r="B9" s="44" t="s">
        <v>732</v>
      </c>
      <c r="C9" s="35" t="s">
        <v>936</v>
      </c>
      <c r="D9" s="44" t="s">
        <v>1492</v>
      </c>
      <c r="E9" s="44" t="s">
        <v>2509</v>
      </c>
      <c r="F9" s="44"/>
      <c r="G9" s="130">
        <v>650000</v>
      </c>
      <c r="H9" s="252">
        <f t="shared" si="0"/>
        <v>0</v>
      </c>
      <c r="I9" s="252">
        <f t="shared" si="1"/>
        <v>650000</v>
      </c>
      <c r="J9" s="170">
        <f>IF(A9="","",SUM($H$7:H9)-SUM($I$7:I9))</f>
        <v>-7610000</v>
      </c>
      <c r="K9" s="34"/>
    </row>
    <row r="10" spans="1:11" ht="13.5" customHeight="1" x14ac:dyDescent="0.2">
      <c r="A10" s="44">
        <v>44319</v>
      </c>
      <c r="B10" s="44" t="s">
        <v>732</v>
      </c>
      <c r="C10" s="35" t="s">
        <v>986</v>
      </c>
      <c r="D10" s="44" t="s">
        <v>1493</v>
      </c>
      <c r="E10" s="44" t="s">
        <v>723</v>
      </c>
      <c r="F10" s="44"/>
      <c r="G10" s="130">
        <v>172894</v>
      </c>
      <c r="H10" s="252">
        <f t="shared" si="0"/>
        <v>0</v>
      </c>
      <c r="I10" s="252">
        <f t="shared" si="1"/>
        <v>172894</v>
      </c>
      <c r="J10" s="170">
        <f>IF(A10="","",SUM($H$7:H10)-SUM($I$7:I10))</f>
        <v>-7782894</v>
      </c>
      <c r="K10" s="34"/>
    </row>
    <row r="11" spans="1:11" ht="13.5" customHeight="1" x14ac:dyDescent="0.2">
      <c r="A11" s="44">
        <v>44319</v>
      </c>
      <c r="B11" s="44" t="s">
        <v>732</v>
      </c>
      <c r="C11" s="35" t="s">
        <v>986</v>
      </c>
      <c r="D11" s="44" t="s">
        <v>1494</v>
      </c>
      <c r="E11" s="44" t="s">
        <v>2507</v>
      </c>
      <c r="F11" s="44"/>
      <c r="G11" s="130">
        <v>15000</v>
      </c>
      <c r="H11" s="252">
        <f t="shared" si="0"/>
        <v>0</v>
      </c>
      <c r="I11" s="252">
        <f t="shared" si="1"/>
        <v>15000</v>
      </c>
      <c r="J11" s="170">
        <f>IF(A11="","",SUM($H$7:H11)-SUM($I$7:I11))</f>
        <v>-7797894</v>
      </c>
      <c r="K11" s="34"/>
    </row>
    <row r="12" spans="1:11" ht="13.5" customHeight="1" x14ac:dyDescent="0.2">
      <c r="A12" s="44">
        <v>44319</v>
      </c>
      <c r="B12" s="44" t="s">
        <v>732</v>
      </c>
      <c r="C12" s="35" t="s">
        <v>986</v>
      </c>
      <c r="D12" s="44" t="s">
        <v>1495</v>
      </c>
      <c r="E12" s="44" t="s">
        <v>2507</v>
      </c>
      <c r="F12" s="44"/>
      <c r="G12" s="130">
        <v>120000</v>
      </c>
      <c r="H12" s="252">
        <f t="shared" si="0"/>
        <v>0</v>
      </c>
      <c r="I12" s="252">
        <f t="shared" si="1"/>
        <v>120000</v>
      </c>
      <c r="J12" s="170">
        <f>IF(A12="","",SUM($H$7:H12)-SUM($I$7:I12))</f>
        <v>-7917894</v>
      </c>
      <c r="K12" s="34"/>
    </row>
    <row r="13" spans="1:11" ht="13.5" customHeight="1" x14ac:dyDescent="0.2">
      <c r="A13" s="44">
        <v>44319</v>
      </c>
      <c r="B13" s="44" t="s">
        <v>732</v>
      </c>
      <c r="C13" s="35" t="s">
        <v>986</v>
      </c>
      <c r="D13" s="44" t="s">
        <v>1496</v>
      </c>
      <c r="E13" s="44" t="s">
        <v>1793</v>
      </c>
      <c r="F13" s="44"/>
      <c r="G13" s="130">
        <v>200000</v>
      </c>
      <c r="H13" s="252">
        <f t="shared" si="0"/>
        <v>0</v>
      </c>
      <c r="I13" s="252">
        <f t="shared" si="1"/>
        <v>200000</v>
      </c>
      <c r="J13" s="170">
        <f>IF(A13="","",SUM($H$7:H13)-SUM($I$7:I13))</f>
        <v>-8117894</v>
      </c>
      <c r="K13" s="34"/>
    </row>
    <row r="14" spans="1:11" ht="13.5" customHeight="1" x14ac:dyDescent="0.2">
      <c r="A14" s="44">
        <v>44319</v>
      </c>
      <c r="B14" s="44" t="s">
        <v>732</v>
      </c>
      <c r="C14" s="35" t="s">
        <v>936</v>
      </c>
      <c r="D14" s="44" t="s">
        <v>1497</v>
      </c>
      <c r="E14" s="44" t="s">
        <v>2509</v>
      </c>
      <c r="F14" s="44"/>
      <c r="G14" s="130">
        <v>1400000</v>
      </c>
      <c r="H14" s="252">
        <f t="shared" si="0"/>
        <v>0</v>
      </c>
      <c r="I14" s="252">
        <f t="shared" si="1"/>
        <v>1400000</v>
      </c>
      <c r="J14" s="170">
        <f>IF(A14="","",SUM($H$7:H14)-SUM($I$7:I14))</f>
        <v>-9517894</v>
      </c>
      <c r="K14" s="34"/>
    </row>
    <row r="15" spans="1:11" ht="13.5" customHeight="1" x14ac:dyDescent="0.2">
      <c r="A15" s="44">
        <v>44319</v>
      </c>
      <c r="B15" s="44" t="s">
        <v>732</v>
      </c>
      <c r="C15" s="35" t="s">
        <v>986</v>
      </c>
      <c r="D15" s="44" t="s">
        <v>1498</v>
      </c>
      <c r="E15" s="44" t="s">
        <v>2515</v>
      </c>
      <c r="F15" s="44"/>
      <c r="G15" s="130">
        <v>2700000</v>
      </c>
      <c r="H15" s="252">
        <f t="shared" si="0"/>
        <v>0</v>
      </c>
      <c r="I15" s="252">
        <f t="shared" si="1"/>
        <v>2700000</v>
      </c>
      <c r="J15" s="170">
        <f>IF(A15="","",SUM($H$7:H15)-SUM($I$7:I15))</f>
        <v>-12217894</v>
      </c>
      <c r="K15" s="34"/>
    </row>
    <row r="16" spans="1:11" ht="13.5" customHeight="1" x14ac:dyDescent="0.2">
      <c r="A16" s="44">
        <v>44319</v>
      </c>
      <c r="B16" s="44" t="s">
        <v>732</v>
      </c>
      <c r="C16" s="35" t="s">
        <v>986</v>
      </c>
      <c r="D16" s="44" t="s">
        <v>1499</v>
      </c>
      <c r="E16" s="44" t="s">
        <v>2515</v>
      </c>
      <c r="F16" s="44"/>
      <c r="G16" s="130">
        <v>1130000</v>
      </c>
      <c r="H16" s="252">
        <f t="shared" si="0"/>
        <v>0</v>
      </c>
      <c r="I16" s="252">
        <f t="shared" si="1"/>
        <v>1130000</v>
      </c>
      <c r="J16" s="170">
        <f>IF(A16="","",SUM($H$7:H16)-SUM($I$7:I16))</f>
        <v>-13347894</v>
      </c>
      <c r="K16" s="34"/>
    </row>
    <row r="17" spans="1:11" ht="13.5" customHeight="1" x14ac:dyDescent="0.2">
      <c r="A17" s="44">
        <v>44319</v>
      </c>
      <c r="B17" s="44" t="s">
        <v>732</v>
      </c>
      <c r="C17" s="35" t="s">
        <v>986</v>
      </c>
      <c r="D17" s="44" t="s">
        <v>1500</v>
      </c>
      <c r="E17" s="44" t="s">
        <v>2507</v>
      </c>
      <c r="F17" s="44"/>
      <c r="G17" s="130">
        <v>8500000</v>
      </c>
      <c r="H17" s="252">
        <f t="shared" si="0"/>
        <v>0</v>
      </c>
      <c r="I17" s="252">
        <f t="shared" si="1"/>
        <v>8500000</v>
      </c>
      <c r="J17" s="170">
        <f>IF(A17="","",SUM($H$7:H17)-SUM($I$7:I17))</f>
        <v>-21847894</v>
      </c>
      <c r="K17" s="34"/>
    </row>
    <row r="18" spans="1:11" ht="13.5" customHeight="1" x14ac:dyDescent="0.2">
      <c r="A18" s="44">
        <v>44319</v>
      </c>
      <c r="B18" s="44" t="s">
        <v>732</v>
      </c>
      <c r="C18" s="35" t="s">
        <v>986</v>
      </c>
      <c r="D18" s="44" t="s">
        <v>1493</v>
      </c>
      <c r="E18" s="44" t="s">
        <v>723</v>
      </c>
      <c r="F18" s="44"/>
      <c r="G18" s="130">
        <v>170000</v>
      </c>
      <c r="H18" s="252">
        <f t="shared" si="0"/>
        <v>0</v>
      </c>
      <c r="I18" s="252">
        <f t="shared" si="1"/>
        <v>170000</v>
      </c>
      <c r="J18" s="170">
        <f>IF(A18="","",SUM($H$7:H18)-SUM($I$7:I18))</f>
        <v>-22017894</v>
      </c>
      <c r="K18" s="34"/>
    </row>
    <row r="19" spans="1:11" ht="13.5" customHeight="1" x14ac:dyDescent="0.2">
      <c r="A19" s="44">
        <v>44319</v>
      </c>
      <c r="B19" s="44" t="s">
        <v>732</v>
      </c>
      <c r="C19" s="35" t="s">
        <v>986</v>
      </c>
      <c r="D19" s="44" t="s">
        <v>1493</v>
      </c>
      <c r="E19" s="44" t="s">
        <v>723</v>
      </c>
      <c r="F19" s="44"/>
      <c r="G19" s="130">
        <v>225000</v>
      </c>
      <c r="H19" s="252">
        <f t="shared" si="0"/>
        <v>0</v>
      </c>
      <c r="I19" s="252">
        <f t="shared" si="1"/>
        <v>225000</v>
      </c>
      <c r="J19" s="170">
        <f>IF(A19="","",SUM($H$7:H19)-SUM($I$7:I19))</f>
        <v>-22242894</v>
      </c>
      <c r="K19" s="34"/>
    </row>
    <row r="20" spans="1:11" ht="13.5" customHeight="1" x14ac:dyDescent="0.2">
      <c r="A20" s="44">
        <v>44319</v>
      </c>
      <c r="B20" s="44" t="s">
        <v>732</v>
      </c>
      <c r="C20" s="35" t="s">
        <v>986</v>
      </c>
      <c r="D20" s="44" t="s">
        <v>1501</v>
      </c>
      <c r="E20" s="44" t="s">
        <v>2507</v>
      </c>
      <c r="F20" s="44"/>
      <c r="G20" s="130">
        <v>27500</v>
      </c>
      <c r="H20" s="252">
        <f t="shared" si="0"/>
        <v>0</v>
      </c>
      <c r="I20" s="252">
        <f t="shared" si="1"/>
        <v>27500</v>
      </c>
      <c r="J20" s="170">
        <f>IF(A20="","",SUM($H$7:H20)-SUM($I$7:I20))</f>
        <v>-22270394</v>
      </c>
      <c r="K20" s="34"/>
    </row>
    <row r="21" spans="1:11" ht="13.5" customHeight="1" x14ac:dyDescent="0.2">
      <c r="A21" s="44">
        <v>44319</v>
      </c>
      <c r="B21" s="44" t="s">
        <v>732</v>
      </c>
      <c r="C21" s="35" t="s">
        <v>986</v>
      </c>
      <c r="D21" s="44" t="s">
        <v>1501</v>
      </c>
      <c r="E21" s="44" t="s">
        <v>2507</v>
      </c>
      <c r="F21" s="44"/>
      <c r="G21" s="130">
        <v>75000</v>
      </c>
      <c r="H21" s="252">
        <f t="shared" si="0"/>
        <v>0</v>
      </c>
      <c r="I21" s="252">
        <f t="shared" si="1"/>
        <v>75000</v>
      </c>
      <c r="J21" s="170">
        <f>IF(A21="","",SUM($H$7:H21)-SUM($I$7:I21))</f>
        <v>-22345394</v>
      </c>
      <c r="K21" s="34" t="s">
        <v>907</v>
      </c>
    </row>
    <row r="22" spans="1:11" ht="13.5" customHeight="1" x14ac:dyDescent="0.2">
      <c r="A22" s="44">
        <v>44319</v>
      </c>
      <c r="B22" s="44" t="s">
        <v>732</v>
      </c>
      <c r="C22" s="35" t="s">
        <v>986</v>
      </c>
      <c r="D22" s="44" t="s">
        <v>1502</v>
      </c>
      <c r="E22" s="44" t="s">
        <v>2507</v>
      </c>
      <c r="F22" s="44"/>
      <c r="G22" s="130">
        <v>12000</v>
      </c>
      <c r="H22" s="252">
        <f t="shared" si="0"/>
        <v>0</v>
      </c>
      <c r="I22" s="252">
        <f t="shared" si="1"/>
        <v>12000</v>
      </c>
      <c r="J22" s="170">
        <f>IF(A22="","",SUM($H$7:H22)-SUM($I$7:I22))</f>
        <v>-22357394</v>
      </c>
      <c r="K22" s="34"/>
    </row>
    <row r="23" spans="1:11" ht="13.5" customHeight="1" x14ac:dyDescent="0.2">
      <c r="A23" s="44">
        <v>44319</v>
      </c>
      <c r="B23" s="44" t="s">
        <v>732</v>
      </c>
      <c r="C23" s="35" t="s">
        <v>986</v>
      </c>
      <c r="D23" s="44" t="s">
        <v>904</v>
      </c>
      <c r="E23" s="44" t="s">
        <v>2507</v>
      </c>
      <c r="F23" s="44"/>
      <c r="G23" s="130">
        <v>20000</v>
      </c>
      <c r="H23" s="252">
        <f t="shared" si="0"/>
        <v>0</v>
      </c>
      <c r="I23" s="252">
        <f t="shared" si="1"/>
        <v>20000</v>
      </c>
      <c r="J23" s="170">
        <f>IF(A23="","",SUM($H$7:H23)-SUM($I$7:I23))</f>
        <v>-22377394</v>
      </c>
      <c r="K23" s="34"/>
    </row>
    <row r="24" spans="1:11" ht="13.5" customHeight="1" x14ac:dyDescent="0.2">
      <c r="A24" s="44">
        <v>44319</v>
      </c>
      <c r="B24" s="44" t="s">
        <v>732</v>
      </c>
      <c r="C24" s="35" t="s">
        <v>986</v>
      </c>
      <c r="D24" s="44" t="s">
        <v>591</v>
      </c>
      <c r="E24" s="44" t="s">
        <v>2507</v>
      </c>
      <c r="F24" s="44"/>
      <c r="G24" s="130">
        <v>310000</v>
      </c>
      <c r="H24" s="252">
        <f t="shared" si="0"/>
        <v>0</v>
      </c>
      <c r="I24" s="252">
        <f t="shared" si="1"/>
        <v>310000</v>
      </c>
      <c r="J24" s="170">
        <f>IF(A24="","",SUM($H$7:H24)-SUM($I$7:I24))</f>
        <v>-22687394</v>
      </c>
      <c r="K24" s="34"/>
    </row>
    <row r="25" spans="1:11" ht="13.5" customHeight="1" x14ac:dyDescent="0.2">
      <c r="A25" s="44">
        <v>44319</v>
      </c>
      <c r="B25" s="44" t="s">
        <v>732</v>
      </c>
      <c r="C25" s="35" t="s">
        <v>986</v>
      </c>
      <c r="D25" s="44" t="s">
        <v>1503</v>
      </c>
      <c r="E25" s="44" t="s">
        <v>2515</v>
      </c>
      <c r="F25" s="44"/>
      <c r="G25" s="130">
        <v>14000</v>
      </c>
      <c r="H25" s="252">
        <f t="shared" si="0"/>
        <v>0</v>
      </c>
      <c r="I25" s="252">
        <f t="shared" si="1"/>
        <v>14000</v>
      </c>
      <c r="J25" s="170">
        <f>IF(A25="","",SUM($H$7:H25)-SUM($I$7:I25))</f>
        <v>-22701394</v>
      </c>
      <c r="K25" s="34"/>
    </row>
    <row r="26" spans="1:11" ht="13.5" customHeight="1" x14ac:dyDescent="0.2">
      <c r="A26" s="44">
        <v>44319</v>
      </c>
      <c r="B26" s="44" t="s">
        <v>732</v>
      </c>
      <c r="C26" s="35" t="s">
        <v>986</v>
      </c>
      <c r="D26" s="44" t="s">
        <v>1504</v>
      </c>
      <c r="E26" s="44" t="s">
        <v>2515</v>
      </c>
      <c r="F26" s="44"/>
      <c r="G26" s="130">
        <v>15000</v>
      </c>
      <c r="H26" s="252">
        <f t="shared" si="0"/>
        <v>0</v>
      </c>
      <c r="I26" s="252">
        <f t="shared" si="1"/>
        <v>15000</v>
      </c>
      <c r="J26" s="170">
        <f>IF(A26="","",SUM($H$7:H26)-SUM($I$7:I26))</f>
        <v>-22716394</v>
      </c>
      <c r="K26" s="34"/>
    </row>
    <row r="27" spans="1:11" ht="13.5" customHeight="1" x14ac:dyDescent="0.2">
      <c r="A27" s="44">
        <v>44319</v>
      </c>
      <c r="B27" s="44" t="s">
        <v>732</v>
      </c>
      <c r="C27" s="35" t="s">
        <v>986</v>
      </c>
      <c r="D27" s="44" t="s">
        <v>1505</v>
      </c>
      <c r="E27" s="44" t="s">
        <v>2515</v>
      </c>
      <c r="F27" s="44"/>
      <c r="G27" s="130">
        <v>6000</v>
      </c>
      <c r="H27" s="252">
        <f t="shared" si="0"/>
        <v>0</v>
      </c>
      <c r="I27" s="252">
        <f t="shared" si="1"/>
        <v>6000</v>
      </c>
      <c r="J27" s="170">
        <f>IF(A27="","",SUM($H$7:H27)-SUM($I$7:I27))</f>
        <v>-22722394</v>
      </c>
      <c r="K27" s="34"/>
    </row>
    <row r="28" spans="1:11" ht="13.5" customHeight="1" x14ac:dyDescent="0.2">
      <c r="A28" s="44">
        <v>44319</v>
      </c>
      <c r="B28" s="44" t="s">
        <v>732</v>
      </c>
      <c r="C28" s="35" t="s">
        <v>986</v>
      </c>
      <c r="D28" s="44" t="s">
        <v>1506</v>
      </c>
      <c r="E28" s="44" t="s">
        <v>2515</v>
      </c>
      <c r="F28" s="44"/>
      <c r="G28" s="130">
        <v>140000</v>
      </c>
      <c r="H28" s="252">
        <f t="shared" si="0"/>
        <v>0</v>
      </c>
      <c r="I28" s="252">
        <f t="shared" si="1"/>
        <v>140000</v>
      </c>
      <c r="J28" s="170">
        <f>IF(A28="","",SUM($H$7:H28)-SUM($I$7:I28))</f>
        <v>-22862394</v>
      </c>
      <c r="K28" s="34"/>
    </row>
    <row r="29" spans="1:11" ht="13.5" customHeight="1" x14ac:dyDescent="0.2">
      <c r="A29" s="44">
        <v>44319</v>
      </c>
      <c r="B29" s="44" t="s">
        <v>732</v>
      </c>
      <c r="C29" s="35" t="s">
        <v>986</v>
      </c>
      <c r="D29" s="44" t="s">
        <v>1507</v>
      </c>
      <c r="E29" s="44" t="s">
        <v>2507</v>
      </c>
      <c r="F29" s="44"/>
      <c r="G29" s="130">
        <v>285000</v>
      </c>
      <c r="H29" s="252">
        <f t="shared" si="0"/>
        <v>0</v>
      </c>
      <c r="I29" s="252">
        <f t="shared" si="1"/>
        <v>285000</v>
      </c>
      <c r="J29" s="170">
        <f>IF(A29="","",SUM($H$7:H29)-SUM($I$7:I29))</f>
        <v>-23147394</v>
      </c>
      <c r="K29" s="34"/>
    </row>
    <row r="30" spans="1:11" ht="13.5" customHeight="1" x14ac:dyDescent="0.2">
      <c r="A30" s="44">
        <v>44319</v>
      </c>
      <c r="B30" s="44" t="s">
        <v>732</v>
      </c>
      <c r="C30" s="35" t="s">
        <v>936</v>
      </c>
      <c r="D30" s="44" t="s">
        <v>1508</v>
      </c>
      <c r="E30" s="44" t="s">
        <v>1800</v>
      </c>
      <c r="F30" s="44"/>
      <c r="G30" s="130">
        <v>1045000</v>
      </c>
      <c r="H30" s="252">
        <f t="shared" si="0"/>
        <v>0</v>
      </c>
      <c r="I30" s="252">
        <f t="shared" si="1"/>
        <v>1045000</v>
      </c>
      <c r="J30" s="170">
        <f>IF(A30="","",SUM($H$7:H30)-SUM($I$7:I30))</f>
        <v>-24192394</v>
      </c>
      <c r="K30" s="34"/>
    </row>
    <row r="31" spans="1:11" ht="13.5" customHeight="1" x14ac:dyDescent="0.2">
      <c r="A31" s="44">
        <v>44319</v>
      </c>
      <c r="B31" s="44" t="s">
        <v>732</v>
      </c>
      <c r="C31" s="35" t="s">
        <v>936</v>
      </c>
      <c r="D31" s="44" t="s">
        <v>603</v>
      </c>
      <c r="E31" s="44" t="s">
        <v>1800</v>
      </c>
      <c r="F31" s="44"/>
      <c r="G31" s="130">
        <v>130000</v>
      </c>
      <c r="H31" s="252">
        <f t="shared" si="0"/>
        <v>0</v>
      </c>
      <c r="I31" s="252">
        <f t="shared" si="1"/>
        <v>130000</v>
      </c>
      <c r="J31" s="170">
        <f>IF(A31="","",SUM($H$7:H31)-SUM($I$7:I31))</f>
        <v>-24322394</v>
      </c>
      <c r="K31" s="34"/>
    </row>
    <row r="32" spans="1:11" ht="13.5" customHeight="1" x14ac:dyDescent="0.2">
      <c r="A32" s="44">
        <v>44319</v>
      </c>
      <c r="B32" s="44" t="s">
        <v>732</v>
      </c>
      <c r="C32" s="35" t="s">
        <v>936</v>
      </c>
      <c r="D32" s="44" t="s">
        <v>1509</v>
      </c>
      <c r="E32" s="44" t="s">
        <v>1800</v>
      </c>
      <c r="F32" s="44"/>
      <c r="G32" s="130">
        <v>900000</v>
      </c>
      <c r="H32" s="252">
        <f t="shared" si="0"/>
        <v>0</v>
      </c>
      <c r="I32" s="252">
        <f t="shared" si="1"/>
        <v>900000</v>
      </c>
      <c r="J32" s="170">
        <f>IF(A32="","",SUM($H$7:H32)-SUM($I$7:I32))</f>
        <v>-25222394</v>
      </c>
      <c r="K32" s="34"/>
    </row>
    <row r="33" spans="1:11" ht="13.5" customHeight="1" x14ac:dyDescent="0.2">
      <c r="A33" s="44">
        <v>44319</v>
      </c>
      <c r="B33" s="44" t="s">
        <v>732</v>
      </c>
      <c r="C33" s="35" t="s">
        <v>986</v>
      </c>
      <c r="D33" s="44" t="s">
        <v>1510</v>
      </c>
      <c r="E33" s="44" t="s">
        <v>2507</v>
      </c>
      <c r="F33" s="44"/>
      <c r="G33" s="130">
        <v>173000</v>
      </c>
      <c r="H33" s="252">
        <f t="shared" si="0"/>
        <v>0</v>
      </c>
      <c r="I33" s="252">
        <f t="shared" si="1"/>
        <v>173000</v>
      </c>
      <c r="J33" s="170">
        <f>IF(A33="","",SUM($H$7:H33)-SUM($I$7:I33))</f>
        <v>-25395394</v>
      </c>
      <c r="K33" s="34"/>
    </row>
    <row r="34" spans="1:11" ht="13.5" customHeight="1" x14ac:dyDescent="0.2">
      <c r="A34" s="44">
        <v>44319</v>
      </c>
      <c r="B34" s="44" t="s">
        <v>732</v>
      </c>
      <c r="C34" s="35" t="s">
        <v>986</v>
      </c>
      <c r="D34" s="44" t="s">
        <v>1512</v>
      </c>
      <c r="E34" s="44" t="s">
        <v>2513</v>
      </c>
      <c r="F34" s="44"/>
      <c r="G34" s="130">
        <v>4800000</v>
      </c>
      <c r="H34" s="252">
        <f t="shared" si="0"/>
        <v>0</v>
      </c>
      <c r="I34" s="252">
        <f t="shared" si="1"/>
        <v>4800000</v>
      </c>
      <c r="J34" s="170">
        <f>IF(A34="","",SUM($H$7:H34)-SUM($I$7:I34))</f>
        <v>-30195394</v>
      </c>
      <c r="K34" s="34"/>
    </row>
    <row r="35" spans="1:11" ht="13.5" customHeight="1" x14ac:dyDescent="0.2">
      <c r="A35" s="44">
        <v>44319</v>
      </c>
      <c r="B35" s="44" t="s">
        <v>732</v>
      </c>
      <c r="C35" s="35" t="s">
        <v>986</v>
      </c>
      <c r="D35" s="44" t="s">
        <v>1498</v>
      </c>
      <c r="E35" s="44" t="s">
        <v>2515</v>
      </c>
      <c r="F35" s="44"/>
      <c r="G35" s="130">
        <v>1135000</v>
      </c>
      <c r="H35" s="252">
        <f t="shared" si="0"/>
        <v>0</v>
      </c>
      <c r="I35" s="252">
        <f t="shared" si="1"/>
        <v>1135000</v>
      </c>
      <c r="J35" s="170">
        <f>IF(A35="","",SUM($H$7:H35)-SUM($I$7:I35))</f>
        <v>-31330394</v>
      </c>
      <c r="K35" s="34"/>
    </row>
    <row r="36" spans="1:11" ht="13.5" customHeight="1" x14ac:dyDescent="0.2">
      <c r="A36" s="44">
        <v>44319</v>
      </c>
      <c r="B36" s="44" t="s">
        <v>732</v>
      </c>
      <c r="C36" s="35" t="s">
        <v>986</v>
      </c>
      <c r="D36" s="44" t="s">
        <v>1511</v>
      </c>
      <c r="E36" s="44" t="s">
        <v>2507</v>
      </c>
      <c r="F36" s="44"/>
      <c r="G36" s="130">
        <v>200000</v>
      </c>
      <c r="H36" s="252">
        <f t="shared" si="0"/>
        <v>0</v>
      </c>
      <c r="I36" s="252">
        <f t="shared" si="1"/>
        <v>200000</v>
      </c>
      <c r="J36" s="170">
        <f>IF(A36="","",SUM($H$7:H36)-SUM($I$7:I36))</f>
        <v>-31530394</v>
      </c>
      <c r="K36" s="34"/>
    </row>
    <row r="37" spans="1:11" ht="13.5" customHeight="1" x14ac:dyDescent="0.2">
      <c r="A37" s="44">
        <v>44319</v>
      </c>
      <c r="B37" s="44" t="s">
        <v>732</v>
      </c>
      <c r="C37" s="35" t="s">
        <v>986</v>
      </c>
      <c r="D37" s="44" t="s">
        <v>1501</v>
      </c>
      <c r="E37" s="44" t="s">
        <v>2507</v>
      </c>
      <c r="F37" s="44"/>
      <c r="G37" s="130">
        <v>25000</v>
      </c>
      <c r="H37" s="252">
        <f t="shared" si="0"/>
        <v>0</v>
      </c>
      <c r="I37" s="252">
        <f t="shared" si="1"/>
        <v>25000</v>
      </c>
      <c r="J37" s="170">
        <f>IF(A37="","",SUM($H$7:H37)-SUM($I$7:I37))</f>
        <v>-31555394</v>
      </c>
      <c r="K37" s="34"/>
    </row>
    <row r="38" spans="1:11" ht="13.5" customHeight="1" x14ac:dyDescent="0.2">
      <c r="A38" s="44">
        <v>44319</v>
      </c>
      <c r="B38" s="44" t="s">
        <v>732</v>
      </c>
      <c r="C38" s="35" t="s">
        <v>986</v>
      </c>
      <c r="D38" s="44" t="s">
        <v>1513</v>
      </c>
      <c r="E38" s="44" t="s">
        <v>2507</v>
      </c>
      <c r="F38" s="44"/>
      <c r="G38" s="130">
        <v>80000</v>
      </c>
      <c r="H38" s="252">
        <f t="shared" si="0"/>
        <v>0</v>
      </c>
      <c r="I38" s="252">
        <f t="shared" si="1"/>
        <v>80000</v>
      </c>
      <c r="J38" s="170">
        <f>IF(A38="","",SUM($H$7:H38)-SUM($I$7:I38))</f>
        <v>-31635394</v>
      </c>
      <c r="K38" s="34"/>
    </row>
    <row r="39" spans="1:11" ht="13.5" customHeight="1" x14ac:dyDescent="0.2">
      <c r="A39" s="44">
        <v>44319</v>
      </c>
      <c r="B39" s="44" t="s">
        <v>732</v>
      </c>
      <c r="C39" s="35" t="s">
        <v>986</v>
      </c>
      <c r="D39" s="44" t="s">
        <v>1513</v>
      </c>
      <c r="E39" s="44" t="s">
        <v>2507</v>
      </c>
      <c r="F39" s="44"/>
      <c r="G39" s="130">
        <v>25000</v>
      </c>
      <c r="H39" s="252">
        <f t="shared" si="0"/>
        <v>0</v>
      </c>
      <c r="I39" s="252">
        <f t="shared" si="1"/>
        <v>25000</v>
      </c>
      <c r="J39" s="170">
        <f>IF(A39="","",SUM($H$7:H39)-SUM($I$7:I39))</f>
        <v>-31660394</v>
      </c>
      <c r="K39" s="34"/>
    </row>
    <row r="40" spans="1:11" ht="13.5" customHeight="1" x14ac:dyDescent="0.2">
      <c r="A40" s="44">
        <v>44319</v>
      </c>
      <c r="B40" s="44" t="s">
        <v>732</v>
      </c>
      <c r="C40" s="35" t="s">
        <v>986</v>
      </c>
      <c r="D40" s="44" t="s">
        <v>1514</v>
      </c>
      <c r="E40" s="44" t="s">
        <v>2515</v>
      </c>
      <c r="F40" s="44"/>
      <c r="G40" s="130">
        <v>4500</v>
      </c>
      <c r="H40" s="252">
        <f t="shared" si="0"/>
        <v>0</v>
      </c>
      <c r="I40" s="252">
        <f t="shared" si="1"/>
        <v>4500</v>
      </c>
      <c r="J40" s="170">
        <f>IF(A40="","",SUM($H$7:H40)-SUM($I$7:I40))</f>
        <v>-31664894</v>
      </c>
      <c r="K40" s="34"/>
    </row>
    <row r="41" spans="1:11" ht="13.5" customHeight="1" x14ac:dyDescent="0.2">
      <c r="A41" s="44">
        <v>44319</v>
      </c>
      <c r="B41" s="44" t="s">
        <v>732</v>
      </c>
      <c r="C41" s="35" t="s">
        <v>986</v>
      </c>
      <c r="D41" s="44" t="s">
        <v>1515</v>
      </c>
      <c r="E41" s="44" t="s">
        <v>2507</v>
      </c>
      <c r="F41" s="44"/>
      <c r="G41" s="130">
        <v>50000</v>
      </c>
      <c r="H41" s="252">
        <f t="shared" si="0"/>
        <v>0</v>
      </c>
      <c r="I41" s="252">
        <f t="shared" si="1"/>
        <v>50000</v>
      </c>
      <c r="J41" s="170">
        <f>IF(A41="","",SUM($H$7:H41)-SUM($I$7:I41))</f>
        <v>-31714894</v>
      </c>
      <c r="K41" s="34"/>
    </row>
    <row r="42" spans="1:11" ht="13.5" customHeight="1" x14ac:dyDescent="0.2">
      <c r="A42" s="44">
        <v>44320</v>
      </c>
      <c r="B42" s="44" t="s">
        <v>732</v>
      </c>
      <c r="C42" s="35" t="s">
        <v>986</v>
      </c>
      <c r="D42" s="44" t="s">
        <v>1516</v>
      </c>
      <c r="E42" s="44" t="s">
        <v>2507</v>
      </c>
      <c r="F42" s="44"/>
      <c r="G42" s="130">
        <v>5000</v>
      </c>
      <c r="H42" s="252">
        <f t="shared" si="0"/>
        <v>0</v>
      </c>
      <c r="I42" s="252">
        <f t="shared" si="1"/>
        <v>5000</v>
      </c>
      <c r="J42" s="170">
        <f>IF(A42="","",SUM($H$7:H42)-SUM($I$7:I42))</f>
        <v>-31719894</v>
      </c>
      <c r="K42" s="34"/>
    </row>
    <row r="43" spans="1:11" ht="13.5" customHeight="1" x14ac:dyDescent="0.2">
      <c r="A43" s="44">
        <v>44320</v>
      </c>
      <c r="B43" s="44" t="s">
        <v>732</v>
      </c>
      <c r="C43" s="35" t="s">
        <v>986</v>
      </c>
      <c r="D43" s="44" t="s">
        <v>1517</v>
      </c>
      <c r="E43" s="44" t="s">
        <v>2507</v>
      </c>
      <c r="F43" s="44"/>
      <c r="G43" s="130">
        <v>10000</v>
      </c>
      <c r="H43" s="252">
        <f t="shared" si="0"/>
        <v>0</v>
      </c>
      <c r="I43" s="252">
        <f t="shared" si="1"/>
        <v>10000</v>
      </c>
      <c r="J43" s="170">
        <f>IF(A43="","",SUM($H$7:H43)-SUM($I$7:I43))</f>
        <v>-31729894</v>
      </c>
      <c r="K43" s="34"/>
    </row>
    <row r="44" spans="1:11" ht="13.5" customHeight="1" x14ac:dyDescent="0.2">
      <c r="A44" s="44">
        <v>44320</v>
      </c>
      <c r="B44" s="44" t="s">
        <v>732</v>
      </c>
      <c r="C44" s="35" t="s">
        <v>986</v>
      </c>
      <c r="D44" s="44" t="s">
        <v>1518</v>
      </c>
      <c r="E44" s="44" t="s">
        <v>2507</v>
      </c>
      <c r="F44" s="44"/>
      <c r="G44" s="130">
        <v>7500</v>
      </c>
      <c r="H44" s="252">
        <f t="shared" si="0"/>
        <v>0</v>
      </c>
      <c r="I44" s="252">
        <f t="shared" si="1"/>
        <v>7500</v>
      </c>
      <c r="J44" s="170">
        <f>IF(A44="","",SUM($H$7:H44)-SUM($I$7:I44))</f>
        <v>-31737394</v>
      </c>
      <c r="K44" s="34"/>
    </row>
    <row r="45" spans="1:11" ht="13.5" customHeight="1" x14ac:dyDescent="0.2">
      <c r="A45" s="44">
        <v>44320</v>
      </c>
      <c r="B45" s="44" t="s">
        <v>732</v>
      </c>
      <c r="C45" s="35" t="s">
        <v>986</v>
      </c>
      <c r="D45" s="44" t="s">
        <v>1519</v>
      </c>
      <c r="E45" s="44" t="s">
        <v>2507</v>
      </c>
      <c r="F45" s="44"/>
      <c r="G45" s="130">
        <v>7000</v>
      </c>
      <c r="H45" s="252">
        <f t="shared" si="0"/>
        <v>0</v>
      </c>
      <c r="I45" s="252">
        <f t="shared" si="1"/>
        <v>7000</v>
      </c>
      <c r="J45" s="170">
        <f>IF(A45="","",SUM($H$7:H45)-SUM($I$7:I45))</f>
        <v>-31744394</v>
      </c>
      <c r="K45" s="34"/>
    </row>
    <row r="46" spans="1:11" ht="13.5" customHeight="1" x14ac:dyDescent="0.2">
      <c r="A46" s="44">
        <v>44321</v>
      </c>
      <c r="B46" s="44" t="s">
        <v>732</v>
      </c>
      <c r="C46" s="35" t="s">
        <v>986</v>
      </c>
      <c r="D46" s="44" t="s">
        <v>1520</v>
      </c>
      <c r="E46" s="44" t="s">
        <v>2515</v>
      </c>
      <c r="F46" s="44"/>
      <c r="G46" s="130">
        <v>15000</v>
      </c>
      <c r="H46" s="252">
        <f t="shared" si="0"/>
        <v>0</v>
      </c>
      <c r="I46" s="252">
        <f t="shared" si="1"/>
        <v>15000</v>
      </c>
      <c r="J46" s="170">
        <f>IF(A46="","",SUM($H$7:H46)-SUM($I$7:I46))</f>
        <v>-31759394</v>
      </c>
      <c r="K46" s="34"/>
    </row>
    <row r="47" spans="1:11" ht="13.5" customHeight="1" x14ac:dyDescent="0.2">
      <c r="A47" s="44">
        <v>44322</v>
      </c>
      <c r="B47" s="44" t="s">
        <v>732</v>
      </c>
      <c r="C47" s="35" t="s">
        <v>986</v>
      </c>
      <c r="D47" s="44" t="s">
        <v>1521</v>
      </c>
      <c r="E47" s="44" t="s">
        <v>2515</v>
      </c>
      <c r="F47" s="44"/>
      <c r="G47" s="130">
        <v>3000</v>
      </c>
      <c r="H47" s="252">
        <f t="shared" si="0"/>
        <v>0</v>
      </c>
      <c r="I47" s="252">
        <f t="shared" si="1"/>
        <v>3000</v>
      </c>
      <c r="J47" s="170">
        <f>IF(A47="","",SUM($H$7:H47)-SUM($I$7:I47))</f>
        <v>-31762394</v>
      </c>
      <c r="K47" s="34"/>
    </row>
    <row r="48" spans="1:11" ht="13.5" customHeight="1" x14ac:dyDescent="0.2">
      <c r="A48" s="44">
        <v>44322</v>
      </c>
      <c r="B48" s="44" t="s">
        <v>732</v>
      </c>
      <c r="C48" s="35" t="s">
        <v>986</v>
      </c>
      <c r="D48" s="44" t="s">
        <v>1522</v>
      </c>
      <c r="E48" s="44" t="s">
        <v>2515</v>
      </c>
      <c r="F48" s="44"/>
      <c r="G48" s="130">
        <v>500</v>
      </c>
      <c r="H48" s="252">
        <f t="shared" si="0"/>
        <v>0</v>
      </c>
      <c r="I48" s="252">
        <f t="shared" si="1"/>
        <v>500</v>
      </c>
      <c r="J48" s="170">
        <f>IF(A48="","",SUM($H$7:H48)-SUM($I$7:I48))</f>
        <v>-31762894</v>
      </c>
      <c r="K48" s="34"/>
    </row>
    <row r="49" spans="1:11" ht="13.5" customHeight="1" x14ac:dyDescent="0.2">
      <c r="A49" s="44">
        <v>44324</v>
      </c>
      <c r="B49" s="44" t="s">
        <v>732</v>
      </c>
      <c r="C49" s="35" t="s">
        <v>986</v>
      </c>
      <c r="D49" s="44" t="s">
        <v>1523</v>
      </c>
      <c r="E49" s="44" t="s">
        <v>2489</v>
      </c>
      <c r="F49" s="44"/>
      <c r="G49" s="130">
        <v>300000</v>
      </c>
      <c r="H49" s="252">
        <f t="shared" si="0"/>
        <v>0</v>
      </c>
      <c r="I49" s="252">
        <f t="shared" si="1"/>
        <v>300000</v>
      </c>
      <c r="J49" s="170">
        <f>IF(A49="","",SUM($H$7:H49)-SUM($I$7:I49))</f>
        <v>-32062894</v>
      </c>
      <c r="K49" s="34"/>
    </row>
    <row r="50" spans="1:11" ht="13.5" customHeight="1" x14ac:dyDescent="0.2">
      <c r="A50" s="44">
        <v>44326</v>
      </c>
      <c r="B50" s="44" t="s">
        <v>732</v>
      </c>
      <c r="C50" s="35" t="s">
        <v>986</v>
      </c>
      <c r="D50" s="44" t="s">
        <v>621</v>
      </c>
      <c r="E50" s="44" t="s">
        <v>2507</v>
      </c>
      <c r="F50" s="44"/>
      <c r="G50" s="130">
        <v>70000</v>
      </c>
      <c r="H50" s="252">
        <f t="shared" si="0"/>
        <v>0</v>
      </c>
      <c r="I50" s="252">
        <f t="shared" si="1"/>
        <v>70000</v>
      </c>
      <c r="J50" s="170">
        <f>IF(A50="","",SUM($H$7:H50)-SUM($I$7:I50))</f>
        <v>-32132894</v>
      </c>
      <c r="K50" s="34"/>
    </row>
    <row r="51" spans="1:11" ht="13.5" customHeight="1" x14ac:dyDescent="0.2">
      <c r="A51" s="44">
        <v>44326</v>
      </c>
      <c r="B51" s="44" t="s">
        <v>732</v>
      </c>
      <c r="C51" s="35" t="s">
        <v>986</v>
      </c>
      <c r="D51" s="44" t="s">
        <v>1524</v>
      </c>
      <c r="E51" s="44" t="s">
        <v>2507</v>
      </c>
      <c r="F51" s="44"/>
      <c r="G51" s="130">
        <v>70000</v>
      </c>
      <c r="H51" s="252">
        <f t="shared" si="0"/>
        <v>0</v>
      </c>
      <c r="I51" s="252">
        <f t="shared" si="1"/>
        <v>70000</v>
      </c>
      <c r="J51" s="170">
        <f>IF(A51="","",SUM($H$7:H51)-SUM($I$7:I51))</f>
        <v>-32202894</v>
      </c>
      <c r="K51" s="34"/>
    </row>
    <row r="52" spans="1:11" ht="13.5" customHeight="1" x14ac:dyDescent="0.2">
      <c r="A52" s="44">
        <v>44326</v>
      </c>
      <c r="B52" s="44" t="s">
        <v>732</v>
      </c>
      <c r="C52" s="35" t="s">
        <v>986</v>
      </c>
      <c r="D52" s="44" t="s">
        <v>1525</v>
      </c>
      <c r="E52" s="44" t="s">
        <v>2507</v>
      </c>
      <c r="F52" s="44"/>
      <c r="G52" s="130">
        <v>85000</v>
      </c>
      <c r="H52" s="252">
        <f t="shared" si="0"/>
        <v>0</v>
      </c>
      <c r="I52" s="252">
        <f t="shared" si="1"/>
        <v>85000</v>
      </c>
      <c r="J52" s="170">
        <f>IF(A52="","",SUM($H$7:H52)-SUM($I$7:I52))</f>
        <v>-32287894</v>
      </c>
      <c r="K52" s="34"/>
    </row>
    <row r="53" spans="1:11" ht="13.5" customHeight="1" x14ac:dyDescent="0.2">
      <c r="A53" s="44">
        <v>44326</v>
      </c>
      <c r="B53" s="44" t="s">
        <v>732</v>
      </c>
      <c r="C53" s="35" t="s">
        <v>986</v>
      </c>
      <c r="D53" s="44" t="s">
        <v>1526</v>
      </c>
      <c r="E53" s="44" t="s">
        <v>2514</v>
      </c>
      <c r="F53" s="44"/>
      <c r="G53" s="130">
        <v>15000</v>
      </c>
      <c r="H53" s="252">
        <f t="shared" si="0"/>
        <v>0</v>
      </c>
      <c r="I53" s="252">
        <f t="shared" si="1"/>
        <v>15000</v>
      </c>
      <c r="J53" s="170">
        <f>IF(A53="","",SUM($H$7:H53)-SUM($I$7:I53))</f>
        <v>-32302894</v>
      </c>
      <c r="K53" s="34"/>
    </row>
    <row r="54" spans="1:11" ht="13.5" customHeight="1" x14ac:dyDescent="0.2">
      <c r="A54" s="44">
        <v>44326</v>
      </c>
      <c r="B54" s="44" t="s">
        <v>732</v>
      </c>
      <c r="C54" s="35" t="s">
        <v>986</v>
      </c>
      <c r="D54" s="44" t="s">
        <v>1527</v>
      </c>
      <c r="E54" s="44" t="s">
        <v>2514</v>
      </c>
      <c r="F54" s="44"/>
      <c r="G54" s="130">
        <v>35000</v>
      </c>
      <c r="H54" s="252">
        <f t="shared" si="0"/>
        <v>0</v>
      </c>
      <c r="I54" s="252">
        <f t="shared" si="1"/>
        <v>35000</v>
      </c>
      <c r="J54" s="170">
        <f>IF(A54="","",SUM($H$7:H54)-SUM($I$7:I54))</f>
        <v>-32337894</v>
      </c>
      <c r="K54" s="34"/>
    </row>
    <row r="55" spans="1:11" ht="13.5" customHeight="1" x14ac:dyDescent="0.2">
      <c r="A55" s="44">
        <v>44330</v>
      </c>
      <c r="B55" s="44" t="s">
        <v>732</v>
      </c>
      <c r="C55" s="35" t="s">
        <v>986</v>
      </c>
      <c r="D55" s="44" t="s">
        <v>1528</v>
      </c>
      <c r="E55" s="44" t="s">
        <v>2507</v>
      </c>
      <c r="F55" s="44"/>
      <c r="G55" s="130">
        <v>138000</v>
      </c>
      <c r="H55" s="252">
        <f t="shared" si="0"/>
        <v>0</v>
      </c>
      <c r="I55" s="252">
        <f t="shared" si="1"/>
        <v>138000</v>
      </c>
      <c r="J55" s="170">
        <f>IF(A55="","",SUM($H$7:H55)-SUM($I$7:I55))</f>
        <v>-32475894</v>
      </c>
      <c r="K55" s="34"/>
    </row>
    <row r="56" spans="1:11" ht="13.5" customHeight="1" x14ac:dyDescent="0.2">
      <c r="A56" s="44">
        <v>44330</v>
      </c>
      <c r="B56" s="44" t="s">
        <v>732</v>
      </c>
      <c r="C56" s="35" t="s">
        <v>986</v>
      </c>
      <c r="D56" s="44" t="s">
        <v>631</v>
      </c>
      <c r="E56" s="44" t="s">
        <v>2515</v>
      </c>
      <c r="F56" s="44"/>
      <c r="G56" s="130">
        <v>10000</v>
      </c>
      <c r="H56" s="252">
        <f t="shared" si="0"/>
        <v>0</v>
      </c>
      <c r="I56" s="252">
        <f t="shared" si="1"/>
        <v>10000</v>
      </c>
      <c r="J56" s="170">
        <f>IF(A56="","",SUM($H$7:H56)-SUM($I$7:I56))</f>
        <v>-32485894</v>
      </c>
      <c r="K56" s="34"/>
    </row>
    <row r="57" spans="1:11" ht="13.5" customHeight="1" x14ac:dyDescent="0.2">
      <c r="A57" s="44">
        <v>44330</v>
      </c>
      <c r="B57" s="44" t="s">
        <v>732</v>
      </c>
      <c r="C57" s="35" t="s">
        <v>986</v>
      </c>
      <c r="D57" s="44" t="s">
        <v>1529</v>
      </c>
      <c r="E57" s="44" t="s">
        <v>2507</v>
      </c>
      <c r="F57" s="44"/>
      <c r="G57" s="130">
        <v>20000</v>
      </c>
      <c r="H57" s="252">
        <f t="shared" si="0"/>
        <v>0</v>
      </c>
      <c r="I57" s="252">
        <f t="shared" si="1"/>
        <v>20000</v>
      </c>
      <c r="J57" s="170">
        <f>IF(A57="","",SUM($H$7:H57)-SUM($I$7:I57))</f>
        <v>-32505894</v>
      </c>
      <c r="K57" s="34"/>
    </row>
    <row r="58" spans="1:11" ht="13.5" customHeight="1" x14ac:dyDescent="0.2">
      <c r="A58" s="44">
        <v>44330</v>
      </c>
      <c r="B58" s="44" t="s">
        <v>732</v>
      </c>
      <c r="C58" s="35" t="s">
        <v>986</v>
      </c>
      <c r="D58" s="44" t="s">
        <v>1530</v>
      </c>
      <c r="E58" s="44" t="s">
        <v>2507</v>
      </c>
      <c r="F58" s="44"/>
      <c r="G58" s="130">
        <v>2000</v>
      </c>
      <c r="H58" s="252">
        <f t="shared" si="0"/>
        <v>0</v>
      </c>
      <c r="I58" s="252">
        <f t="shared" si="1"/>
        <v>2000</v>
      </c>
      <c r="J58" s="170">
        <f>IF(A58="","",SUM($H$7:H58)-SUM($I$7:I58))</f>
        <v>-32507894</v>
      </c>
      <c r="K58" s="34"/>
    </row>
    <row r="59" spans="1:11" ht="13.5" customHeight="1" x14ac:dyDescent="0.2">
      <c r="A59" s="44">
        <v>44330</v>
      </c>
      <c r="B59" s="44" t="s">
        <v>732</v>
      </c>
      <c r="C59" s="35" t="s">
        <v>986</v>
      </c>
      <c r="D59" s="44" t="s">
        <v>1531</v>
      </c>
      <c r="E59" s="44" t="s">
        <v>2507</v>
      </c>
      <c r="F59" s="44"/>
      <c r="G59" s="130">
        <v>8000</v>
      </c>
      <c r="H59" s="252">
        <f t="shared" si="0"/>
        <v>0</v>
      </c>
      <c r="I59" s="252">
        <f t="shared" si="1"/>
        <v>8000</v>
      </c>
      <c r="J59" s="170">
        <f>IF(A59="","",SUM($H$7:H59)-SUM($I$7:I59))</f>
        <v>-32515894</v>
      </c>
      <c r="K59" s="34"/>
    </row>
    <row r="60" spans="1:11" ht="13.5" customHeight="1" x14ac:dyDescent="0.2">
      <c r="A60" s="44">
        <v>44330</v>
      </c>
      <c r="B60" s="44" t="s">
        <v>732</v>
      </c>
      <c r="C60" s="35" t="s">
        <v>986</v>
      </c>
      <c r="D60" s="44" t="s">
        <v>1533</v>
      </c>
      <c r="E60" s="44" t="s">
        <v>1801</v>
      </c>
      <c r="F60" s="44"/>
      <c r="G60" s="130">
        <v>45000</v>
      </c>
      <c r="H60" s="252">
        <f t="shared" si="0"/>
        <v>0</v>
      </c>
      <c r="I60" s="252">
        <f t="shared" si="1"/>
        <v>45000</v>
      </c>
      <c r="J60" s="170">
        <f>IF(A60="","",SUM($H$7:H60)-SUM($I$7:I60))</f>
        <v>-32560894</v>
      </c>
      <c r="K60" s="34"/>
    </row>
    <row r="61" spans="1:11" ht="13.5" customHeight="1" x14ac:dyDescent="0.2">
      <c r="A61" s="44">
        <v>44330</v>
      </c>
      <c r="B61" s="44" t="s">
        <v>732</v>
      </c>
      <c r="C61" s="35" t="s">
        <v>986</v>
      </c>
      <c r="D61" s="44" t="s">
        <v>1532</v>
      </c>
      <c r="E61" s="44" t="s">
        <v>2507</v>
      </c>
      <c r="F61" s="44"/>
      <c r="G61" s="130">
        <v>3900</v>
      </c>
      <c r="H61" s="252">
        <f t="shared" si="0"/>
        <v>0</v>
      </c>
      <c r="I61" s="252">
        <f t="shared" si="1"/>
        <v>3900</v>
      </c>
      <c r="J61" s="170">
        <f>IF(A61="","",SUM($H$7:H61)-SUM($I$7:I61))</f>
        <v>-32564794</v>
      </c>
      <c r="K61" s="34"/>
    </row>
    <row r="62" spans="1:11" ht="13.5" customHeight="1" x14ac:dyDescent="0.2">
      <c r="A62" s="44">
        <v>44331</v>
      </c>
      <c r="B62" s="44" t="s">
        <v>732</v>
      </c>
      <c r="C62" s="35" t="s">
        <v>986</v>
      </c>
      <c r="D62" s="44" t="s">
        <v>1534</v>
      </c>
      <c r="E62" s="44" t="s">
        <v>2507</v>
      </c>
      <c r="F62" s="44"/>
      <c r="G62" s="130">
        <v>12000</v>
      </c>
      <c r="H62" s="252">
        <f t="shared" si="0"/>
        <v>0</v>
      </c>
      <c r="I62" s="252">
        <f t="shared" si="1"/>
        <v>12000</v>
      </c>
      <c r="J62" s="170">
        <f>IF(A62="","",SUM($H$7:H62)-SUM($I$7:I62))</f>
        <v>-32576794</v>
      </c>
      <c r="K62" s="34"/>
    </row>
    <row r="63" spans="1:11" ht="13.5" customHeight="1" x14ac:dyDescent="0.2">
      <c r="A63" s="44">
        <v>44331</v>
      </c>
      <c r="B63" s="44" t="s">
        <v>732</v>
      </c>
      <c r="C63" s="35" t="s">
        <v>986</v>
      </c>
      <c r="D63" s="44" t="s">
        <v>1535</v>
      </c>
      <c r="E63" s="44" t="s">
        <v>2515</v>
      </c>
      <c r="F63" s="44"/>
      <c r="G63" s="130">
        <v>20000</v>
      </c>
      <c r="H63" s="252">
        <f t="shared" si="0"/>
        <v>0</v>
      </c>
      <c r="I63" s="252">
        <f t="shared" si="1"/>
        <v>20000</v>
      </c>
      <c r="J63" s="170">
        <f>IF(A63="","",SUM($H$7:H63)-SUM($I$7:I63))</f>
        <v>-32596794</v>
      </c>
      <c r="K63" s="34"/>
    </row>
    <row r="64" spans="1:11" ht="13.5" customHeight="1" x14ac:dyDescent="0.2">
      <c r="A64" s="44">
        <v>44331</v>
      </c>
      <c r="B64" s="44" t="s">
        <v>732</v>
      </c>
      <c r="C64" s="35" t="s">
        <v>986</v>
      </c>
      <c r="D64" s="44" t="s">
        <v>1536</v>
      </c>
      <c r="E64" s="44" t="s">
        <v>723</v>
      </c>
      <c r="F64" s="44"/>
      <c r="G64" s="130">
        <v>5000</v>
      </c>
      <c r="H64" s="252">
        <f t="shared" si="0"/>
        <v>0</v>
      </c>
      <c r="I64" s="252">
        <f t="shared" si="1"/>
        <v>5000</v>
      </c>
      <c r="J64" s="170">
        <f>IF(A64="","",SUM($H$7:H64)-SUM($I$7:I64))</f>
        <v>-32601794</v>
      </c>
      <c r="K64" s="34"/>
    </row>
    <row r="65" spans="1:11" ht="13.5" customHeight="1" x14ac:dyDescent="0.2">
      <c r="A65" s="44">
        <v>44331</v>
      </c>
      <c r="B65" s="44" t="s">
        <v>732</v>
      </c>
      <c r="C65" s="35" t="s">
        <v>986</v>
      </c>
      <c r="D65" s="44" t="s">
        <v>1537</v>
      </c>
      <c r="E65" s="44" t="s">
        <v>723</v>
      </c>
      <c r="F65" s="44"/>
      <c r="G65" s="130">
        <v>5000</v>
      </c>
      <c r="H65" s="252">
        <f t="shared" si="0"/>
        <v>0</v>
      </c>
      <c r="I65" s="252">
        <f t="shared" si="1"/>
        <v>5000</v>
      </c>
      <c r="J65" s="170">
        <f>IF(A65="","",SUM($H$7:H65)-SUM($I$7:I65))</f>
        <v>-32606794</v>
      </c>
      <c r="K65" s="34"/>
    </row>
    <row r="66" spans="1:11" ht="13.5" customHeight="1" x14ac:dyDescent="0.2">
      <c r="A66" s="44">
        <v>44331</v>
      </c>
      <c r="B66" s="44" t="s">
        <v>732</v>
      </c>
      <c r="C66" s="35" t="s">
        <v>986</v>
      </c>
      <c r="D66" s="44" t="s">
        <v>1515</v>
      </c>
      <c r="E66" s="44" t="s">
        <v>2507</v>
      </c>
      <c r="F66" s="44"/>
      <c r="G66" s="130">
        <v>50000</v>
      </c>
      <c r="H66" s="252">
        <f t="shared" si="0"/>
        <v>0</v>
      </c>
      <c r="I66" s="252">
        <f t="shared" si="1"/>
        <v>50000</v>
      </c>
      <c r="J66" s="170">
        <f>IF(A66="","",SUM($H$7:H66)-SUM($I$7:I66))</f>
        <v>-32656794</v>
      </c>
      <c r="K66" s="34"/>
    </row>
    <row r="67" spans="1:11" ht="13.5" customHeight="1" x14ac:dyDescent="0.2">
      <c r="A67" s="44">
        <v>44336</v>
      </c>
      <c r="B67" s="44" t="s">
        <v>732</v>
      </c>
      <c r="C67" s="35" t="s">
        <v>986</v>
      </c>
      <c r="D67" s="44" t="s">
        <v>1538</v>
      </c>
      <c r="E67" s="44" t="s">
        <v>2507</v>
      </c>
      <c r="F67" s="44"/>
      <c r="G67" s="130">
        <v>100000</v>
      </c>
      <c r="H67" s="252">
        <f t="shared" si="0"/>
        <v>0</v>
      </c>
      <c r="I67" s="252">
        <f t="shared" si="1"/>
        <v>100000</v>
      </c>
      <c r="J67" s="170">
        <f>IF(A67="","",SUM($H$7:H67)-SUM($I$7:I67))</f>
        <v>-32756794</v>
      </c>
      <c r="K67" s="34"/>
    </row>
    <row r="68" spans="1:11" ht="13.5" customHeight="1" x14ac:dyDescent="0.2">
      <c r="A68" s="44">
        <v>44338</v>
      </c>
      <c r="B68" s="44" t="s">
        <v>732</v>
      </c>
      <c r="C68" s="35" t="s">
        <v>986</v>
      </c>
      <c r="D68" s="44" t="s">
        <v>1539</v>
      </c>
      <c r="E68" s="44" t="s">
        <v>1801</v>
      </c>
      <c r="F68" s="44"/>
      <c r="G68" s="130">
        <v>10000</v>
      </c>
      <c r="H68" s="252">
        <f t="shared" si="0"/>
        <v>0</v>
      </c>
      <c r="I68" s="252">
        <f t="shared" si="1"/>
        <v>10000</v>
      </c>
      <c r="J68" s="170">
        <f>IF(A68="","",SUM($H$7:H68)-SUM($I$7:I68))</f>
        <v>-32766794</v>
      </c>
      <c r="K68" s="34"/>
    </row>
    <row r="69" spans="1:11" ht="13.5" customHeight="1" x14ac:dyDescent="0.2">
      <c r="A69" s="44">
        <v>44340</v>
      </c>
      <c r="B69" s="44" t="s">
        <v>732</v>
      </c>
      <c r="C69" s="35" t="s">
        <v>936</v>
      </c>
      <c r="D69" s="44" t="s">
        <v>1540</v>
      </c>
      <c r="E69" s="44" t="s">
        <v>1800</v>
      </c>
      <c r="F69" s="44"/>
      <c r="G69" s="130">
        <v>52000</v>
      </c>
      <c r="H69" s="252">
        <f t="shared" si="0"/>
        <v>0</v>
      </c>
      <c r="I69" s="252">
        <f t="shared" si="1"/>
        <v>52000</v>
      </c>
      <c r="J69" s="170">
        <f>IF(A69="","",SUM($H$7:H69)-SUM($I$7:I69))</f>
        <v>-32818794</v>
      </c>
      <c r="K69" s="34"/>
    </row>
    <row r="70" spans="1:11" ht="13.5" customHeight="1" x14ac:dyDescent="0.2">
      <c r="A70" s="44">
        <v>44341</v>
      </c>
      <c r="B70" s="44" t="s">
        <v>732</v>
      </c>
      <c r="C70" s="35" t="s">
        <v>986</v>
      </c>
      <c r="D70" s="44" t="s">
        <v>2025</v>
      </c>
      <c r="E70" s="44" t="s">
        <v>2512</v>
      </c>
      <c r="F70" s="44"/>
      <c r="G70" s="130">
        <v>3111000</v>
      </c>
      <c r="H70" s="252">
        <f t="shared" si="0"/>
        <v>0</v>
      </c>
      <c r="I70" s="252">
        <f t="shared" si="1"/>
        <v>3111000</v>
      </c>
      <c r="J70" s="170">
        <f>IF(A70="","",SUM($H$7:H70)-SUM($I$7:I70))</f>
        <v>-35929794</v>
      </c>
      <c r="K70" s="34"/>
    </row>
    <row r="71" spans="1:11" ht="13.5" customHeight="1" x14ac:dyDescent="0.2">
      <c r="A71" s="44">
        <v>44342</v>
      </c>
      <c r="B71" s="44" t="s">
        <v>732</v>
      </c>
      <c r="C71" s="35" t="s">
        <v>986</v>
      </c>
      <c r="D71" s="44" t="s">
        <v>1541</v>
      </c>
      <c r="E71" s="44" t="s">
        <v>2507</v>
      </c>
      <c r="F71" s="44"/>
      <c r="G71" s="130">
        <v>150000</v>
      </c>
      <c r="H71" s="252">
        <f t="shared" ref="H71:H134" si="2">IF($C71="Replenishment",$G71,0)</f>
        <v>0</v>
      </c>
      <c r="I71" s="252">
        <f t="shared" ref="I71:I134" si="3">IF($C71="Replenishment",0,$G71)</f>
        <v>150000</v>
      </c>
      <c r="J71" s="170">
        <f>IF(A71="","",SUM($H$7:H71)-SUM($I$7:I71))</f>
        <v>-36079794</v>
      </c>
      <c r="K71" s="34"/>
    </row>
    <row r="72" spans="1:11" ht="13.5" customHeight="1" x14ac:dyDescent="0.2">
      <c r="A72" s="44">
        <v>44342</v>
      </c>
      <c r="B72" s="44" t="s">
        <v>732</v>
      </c>
      <c r="C72" s="35" t="s">
        <v>986</v>
      </c>
      <c r="D72" s="44" t="s">
        <v>1542</v>
      </c>
      <c r="E72" s="44" t="s">
        <v>723</v>
      </c>
      <c r="F72" s="44"/>
      <c r="G72" s="130">
        <v>20000</v>
      </c>
      <c r="H72" s="252">
        <f t="shared" si="2"/>
        <v>0</v>
      </c>
      <c r="I72" s="252">
        <f t="shared" si="3"/>
        <v>20000</v>
      </c>
      <c r="J72" s="170">
        <f>IF(A72="","",SUM($H$7:H72)-SUM($I$7:I72))</f>
        <v>-36099794</v>
      </c>
      <c r="K72" s="34"/>
    </row>
    <row r="73" spans="1:11" ht="13.5" customHeight="1" x14ac:dyDescent="0.2">
      <c r="A73" s="44">
        <v>44342</v>
      </c>
      <c r="B73" s="44" t="s">
        <v>732</v>
      </c>
      <c r="C73" s="35" t="s">
        <v>986</v>
      </c>
      <c r="D73" s="44" t="s">
        <v>1543</v>
      </c>
      <c r="E73" s="44" t="s">
        <v>2507</v>
      </c>
      <c r="F73" s="44"/>
      <c r="G73" s="130">
        <v>11700</v>
      </c>
      <c r="H73" s="252">
        <f t="shared" si="2"/>
        <v>0</v>
      </c>
      <c r="I73" s="252">
        <f t="shared" si="3"/>
        <v>11700</v>
      </c>
      <c r="J73" s="170">
        <f>IF(A73="","",SUM($H$7:H73)-SUM($I$7:I73))</f>
        <v>-36111494</v>
      </c>
      <c r="K73" s="34"/>
    </row>
    <row r="74" spans="1:11" ht="13.5" customHeight="1" x14ac:dyDescent="0.2">
      <c r="A74" s="44">
        <v>44345</v>
      </c>
      <c r="B74" s="44" t="s">
        <v>732</v>
      </c>
      <c r="C74" s="35" t="s">
        <v>986</v>
      </c>
      <c r="D74" s="44" t="s">
        <v>1544</v>
      </c>
      <c r="E74" s="44" t="s">
        <v>2507</v>
      </c>
      <c r="F74" s="44"/>
      <c r="G74" s="130">
        <v>175000</v>
      </c>
      <c r="H74" s="252">
        <f t="shared" si="2"/>
        <v>0</v>
      </c>
      <c r="I74" s="252">
        <f t="shared" si="3"/>
        <v>175000</v>
      </c>
      <c r="J74" s="170">
        <f>IF(A74="","",SUM($H$7:H74)-SUM($I$7:I74))</f>
        <v>-36286494</v>
      </c>
      <c r="K74" s="34"/>
    </row>
    <row r="75" spans="1:11" ht="13.5" customHeight="1" x14ac:dyDescent="0.2">
      <c r="A75" s="44">
        <v>44345</v>
      </c>
      <c r="B75" s="44" t="s">
        <v>732</v>
      </c>
      <c r="C75" s="35" t="s">
        <v>986</v>
      </c>
      <c r="D75" s="44" t="s">
        <v>1543</v>
      </c>
      <c r="E75" s="44" t="s">
        <v>2507</v>
      </c>
      <c r="F75" s="44"/>
      <c r="G75" s="130">
        <v>11700</v>
      </c>
      <c r="H75" s="252">
        <f t="shared" si="2"/>
        <v>0</v>
      </c>
      <c r="I75" s="252">
        <f t="shared" si="3"/>
        <v>11700</v>
      </c>
      <c r="J75" s="170">
        <f>IF(A75="","",SUM($H$7:H75)-SUM($I$7:I75))</f>
        <v>-36298194</v>
      </c>
      <c r="K75" s="34"/>
    </row>
    <row r="76" spans="1:11" ht="13.5" customHeight="1" x14ac:dyDescent="0.2">
      <c r="A76" s="44">
        <v>44347</v>
      </c>
      <c r="B76" s="44" t="s">
        <v>732</v>
      </c>
      <c r="C76" s="35" t="s">
        <v>986</v>
      </c>
      <c r="D76" s="44" t="s">
        <v>1549</v>
      </c>
      <c r="E76" s="44" t="s">
        <v>2507</v>
      </c>
      <c r="F76" s="44"/>
      <c r="G76" s="130">
        <v>100000</v>
      </c>
      <c r="H76" s="252">
        <f t="shared" si="2"/>
        <v>0</v>
      </c>
      <c r="I76" s="252">
        <f t="shared" si="3"/>
        <v>100000</v>
      </c>
      <c r="J76" s="170">
        <f>IF(A76="","",SUM($H$7:H76)-SUM($I$7:I76))</f>
        <v>-36398194</v>
      </c>
      <c r="K76" s="34"/>
    </row>
    <row r="77" spans="1:11" ht="13.5" customHeight="1" x14ac:dyDescent="0.2">
      <c r="A77" s="44">
        <v>44349</v>
      </c>
      <c r="B77" s="44" t="s">
        <v>732</v>
      </c>
      <c r="C77" s="35" t="s">
        <v>986</v>
      </c>
      <c r="D77" s="44" t="s">
        <v>1545</v>
      </c>
      <c r="E77" s="44" t="s">
        <v>2507</v>
      </c>
      <c r="F77" s="44"/>
      <c r="G77" s="130">
        <v>50000</v>
      </c>
      <c r="H77" s="252">
        <f t="shared" si="2"/>
        <v>0</v>
      </c>
      <c r="I77" s="252">
        <f t="shared" si="3"/>
        <v>50000</v>
      </c>
      <c r="J77" s="170">
        <f>IF(A77="","",SUM($H$7:H77)-SUM($I$7:I77))</f>
        <v>-36448194</v>
      </c>
      <c r="K77" s="34"/>
    </row>
    <row r="78" spans="1:11" ht="13.5" customHeight="1" x14ac:dyDescent="0.2">
      <c r="A78" s="44">
        <v>44351</v>
      </c>
      <c r="B78" s="44" t="s">
        <v>732</v>
      </c>
      <c r="C78" s="35" t="s">
        <v>986</v>
      </c>
      <c r="D78" s="44" t="s">
        <v>1546</v>
      </c>
      <c r="E78" s="44" t="s">
        <v>2507</v>
      </c>
      <c r="F78" s="44"/>
      <c r="G78" s="130">
        <v>19500</v>
      </c>
      <c r="H78" s="252">
        <f t="shared" si="2"/>
        <v>0</v>
      </c>
      <c r="I78" s="252">
        <f t="shared" si="3"/>
        <v>19500</v>
      </c>
      <c r="J78" s="170">
        <f>IF(A78="","",SUM($H$7:H78)-SUM($I$7:I78))</f>
        <v>-36467694</v>
      </c>
      <c r="K78" s="34"/>
    </row>
    <row r="79" spans="1:11" ht="13.5" customHeight="1" x14ac:dyDescent="0.2">
      <c r="A79" s="44">
        <v>44355</v>
      </c>
      <c r="B79" s="44" t="s">
        <v>732</v>
      </c>
      <c r="C79" s="35" t="s">
        <v>986</v>
      </c>
      <c r="D79" s="44" t="s">
        <v>1546</v>
      </c>
      <c r="E79" s="44" t="s">
        <v>2507</v>
      </c>
      <c r="F79" s="44"/>
      <c r="G79" s="130">
        <v>19500</v>
      </c>
      <c r="H79" s="252">
        <f t="shared" si="2"/>
        <v>0</v>
      </c>
      <c r="I79" s="252">
        <f t="shared" si="3"/>
        <v>19500</v>
      </c>
      <c r="J79" s="170">
        <f>IF(A79="","",SUM($H$7:H79)-SUM($I$7:I79))</f>
        <v>-36487194</v>
      </c>
      <c r="K79" s="34"/>
    </row>
    <row r="80" spans="1:11" ht="13.5" customHeight="1" x14ac:dyDescent="0.2">
      <c r="A80" s="44">
        <v>44361</v>
      </c>
      <c r="B80" s="44" t="s">
        <v>732</v>
      </c>
      <c r="C80" s="35" t="s">
        <v>986</v>
      </c>
      <c r="D80" s="44" t="s">
        <v>1546</v>
      </c>
      <c r="E80" s="44" t="s">
        <v>2507</v>
      </c>
      <c r="F80" s="44"/>
      <c r="G80" s="130">
        <v>19500</v>
      </c>
      <c r="H80" s="252">
        <f t="shared" si="2"/>
        <v>0</v>
      </c>
      <c r="I80" s="252">
        <f t="shared" si="3"/>
        <v>19500</v>
      </c>
      <c r="J80" s="170">
        <f>IF(A80="","",SUM($H$7:H80)-SUM($I$7:I80))</f>
        <v>-36506694</v>
      </c>
      <c r="K80" s="34"/>
    </row>
    <row r="81" spans="1:11" ht="13.5" customHeight="1" x14ac:dyDescent="0.2">
      <c r="A81" s="44">
        <v>44361</v>
      </c>
      <c r="B81" s="44" t="s">
        <v>732</v>
      </c>
      <c r="C81" s="35" t="s">
        <v>986</v>
      </c>
      <c r="D81" s="44" t="s">
        <v>1547</v>
      </c>
      <c r="E81" s="44" t="s">
        <v>2507</v>
      </c>
      <c r="F81" s="44"/>
      <c r="G81" s="130">
        <v>10000</v>
      </c>
      <c r="H81" s="252">
        <f t="shared" si="2"/>
        <v>0</v>
      </c>
      <c r="I81" s="252">
        <f t="shared" si="3"/>
        <v>10000</v>
      </c>
      <c r="J81" s="170">
        <f>IF(A81="","",SUM($H$7:H81)-SUM($I$7:I81))</f>
        <v>-36516694</v>
      </c>
      <c r="K81" s="34"/>
    </row>
    <row r="82" spans="1:11" ht="13.5" customHeight="1" x14ac:dyDescent="0.2">
      <c r="A82" s="44">
        <v>44361</v>
      </c>
      <c r="B82" s="44" t="s">
        <v>732</v>
      </c>
      <c r="C82" s="35" t="s">
        <v>986</v>
      </c>
      <c r="D82" s="44" t="s">
        <v>1548</v>
      </c>
      <c r="E82" s="44" t="s">
        <v>2507</v>
      </c>
      <c r="F82" s="44"/>
      <c r="G82" s="130">
        <v>5000</v>
      </c>
      <c r="H82" s="252">
        <f t="shared" si="2"/>
        <v>0</v>
      </c>
      <c r="I82" s="252">
        <f t="shared" si="3"/>
        <v>5000</v>
      </c>
      <c r="J82" s="170">
        <f>IF(A82="","",SUM($H$7:H82)-SUM($I$7:I82))</f>
        <v>-36521694</v>
      </c>
      <c r="K82" s="34"/>
    </row>
    <row r="83" spans="1:11" ht="13.5" customHeight="1" x14ac:dyDescent="0.2">
      <c r="A83" s="44">
        <v>44363</v>
      </c>
      <c r="B83" s="44" t="s">
        <v>732</v>
      </c>
      <c r="C83" s="35" t="s">
        <v>986</v>
      </c>
      <c r="D83" s="44" t="s">
        <v>1546</v>
      </c>
      <c r="E83" s="44" t="s">
        <v>2507</v>
      </c>
      <c r="F83" s="44"/>
      <c r="G83" s="130">
        <v>19500</v>
      </c>
      <c r="H83" s="252">
        <f t="shared" si="2"/>
        <v>0</v>
      </c>
      <c r="I83" s="252">
        <f t="shared" si="3"/>
        <v>19500</v>
      </c>
      <c r="J83" s="170">
        <f>IF(A83="","",SUM($H$7:H83)-SUM($I$7:I83))</f>
        <v>-36541194</v>
      </c>
      <c r="K83" s="34"/>
    </row>
    <row r="84" spans="1:11" ht="13.5" customHeight="1" x14ac:dyDescent="0.2">
      <c r="A84" s="44">
        <v>44373</v>
      </c>
      <c r="B84" s="44" t="s">
        <v>732</v>
      </c>
      <c r="C84" s="35" t="s">
        <v>986</v>
      </c>
      <c r="D84" s="44" t="s">
        <v>1546</v>
      </c>
      <c r="E84" s="44" t="s">
        <v>2507</v>
      </c>
      <c r="F84" s="44"/>
      <c r="G84" s="130">
        <v>19500</v>
      </c>
      <c r="H84" s="252">
        <f t="shared" si="2"/>
        <v>0</v>
      </c>
      <c r="I84" s="252">
        <f t="shared" si="3"/>
        <v>19500</v>
      </c>
      <c r="J84" s="170">
        <f>IF(A84="","",SUM($H$7:H84)-SUM($I$7:I84))</f>
        <v>-36560694</v>
      </c>
      <c r="K84" s="34"/>
    </row>
    <row r="85" spans="1:11" ht="13.5" customHeight="1" x14ac:dyDescent="0.2">
      <c r="A85" s="44">
        <v>44373</v>
      </c>
      <c r="B85" s="44" t="s">
        <v>732</v>
      </c>
      <c r="C85" s="35" t="s">
        <v>986</v>
      </c>
      <c r="D85" s="44" t="s">
        <v>1549</v>
      </c>
      <c r="E85" s="44" t="s">
        <v>2507</v>
      </c>
      <c r="F85" s="44"/>
      <c r="G85" s="130">
        <v>100000</v>
      </c>
      <c r="H85" s="252">
        <f t="shared" si="2"/>
        <v>0</v>
      </c>
      <c r="I85" s="252">
        <f t="shared" si="3"/>
        <v>100000</v>
      </c>
      <c r="J85" s="170">
        <f>IF(A85="","",SUM($H$7:H85)-SUM($I$7:I85))</f>
        <v>-36660694</v>
      </c>
      <c r="K85" s="34"/>
    </row>
    <row r="86" spans="1:11" ht="13.5" customHeight="1" x14ac:dyDescent="0.2">
      <c r="A86" s="44">
        <v>44377</v>
      </c>
      <c r="B86" s="44" t="s">
        <v>732</v>
      </c>
      <c r="C86" s="35" t="s">
        <v>986</v>
      </c>
      <c r="D86" s="44" t="s">
        <v>1550</v>
      </c>
      <c r="E86" s="44" t="s">
        <v>2507</v>
      </c>
      <c r="F86" s="44"/>
      <c r="G86" s="130">
        <v>5000</v>
      </c>
      <c r="H86" s="252">
        <f t="shared" si="2"/>
        <v>0</v>
      </c>
      <c r="I86" s="252">
        <f t="shared" si="3"/>
        <v>5000</v>
      </c>
      <c r="J86" s="170">
        <f>IF(A86="","",SUM($H$7:H86)-SUM($I$7:I86))</f>
        <v>-36665694</v>
      </c>
      <c r="K86" s="34"/>
    </row>
    <row r="87" spans="1:11" ht="13.5" customHeight="1" x14ac:dyDescent="0.2">
      <c r="A87" s="44">
        <v>44377</v>
      </c>
      <c r="B87" s="44" t="s">
        <v>732</v>
      </c>
      <c r="C87" s="35" t="s">
        <v>986</v>
      </c>
      <c r="D87" s="44" t="s">
        <v>1551</v>
      </c>
      <c r="E87" s="44" t="s">
        <v>2515</v>
      </c>
      <c r="F87" s="44"/>
      <c r="G87" s="130">
        <v>3000</v>
      </c>
      <c r="H87" s="252">
        <f t="shared" si="2"/>
        <v>0</v>
      </c>
      <c r="I87" s="252">
        <f t="shared" si="3"/>
        <v>3000</v>
      </c>
      <c r="J87" s="170">
        <f>IF(A87="","",SUM($H$7:H87)-SUM($I$7:I87))</f>
        <v>-36668694</v>
      </c>
      <c r="K87" s="34"/>
    </row>
    <row r="88" spans="1:11" ht="13.5" customHeight="1" x14ac:dyDescent="0.2">
      <c r="A88" s="44">
        <v>44377</v>
      </c>
      <c r="B88" s="44" t="s">
        <v>732</v>
      </c>
      <c r="C88" s="35" t="s">
        <v>986</v>
      </c>
      <c r="D88" s="44" t="s">
        <v>1552</v>
      </c>
      <c r="E88" s="44" t="s">
        <v>2515</v>
      </c>
      <c r="F88" s="44"/>
      <c r="G88" s="130">
        <v>2000</v>
      </c>
      <c r="H88" s="252">
        <f t="shared" si="2"/>
        <v>0</v>
      </c>
      <c r="I88" s="252">
        <f t="shared" si="3"/>
        <v>2000</v>
      </c>
      <c r="J88" s="170">
        <f>IF(A88="","",SUM($H$7:H88)-SUM($I$7:I88))</f>
        <v>-36670694</v>
      </c>
      <c r="K88" s="34"/>
    </row>
    <row r="89" spans="1:11" ht="13.5" customHeight="1" x14ac:dyDescent="0.2">
      <c r="A89" s="44">
        <v>44379</v>
      </c>
      <c r="B89" s="44" t="s">
        <v>732</v>
      </c>
      <c r="C89" s="35" t="s">
        <v>986</v>
      </c>
      <c r="D89" s="44" t="s">
        <v>1545</v>
      </c>
      <c r="E89" s="44" t="s">
        <v>2507</v>
      </c>
      <c r="F89" s="44"/>
      <c r="G89" s="130">
        <v>50000</v>
      </c>
      <c r="H89" s="252">
        <f t="shared" si="2"/>
        <v>0</v>
      </c>
      <c r="I89" s="252">
        <f t="shared" si="3"/>
        <v>50000</v>
      </c>
      <c r="J89" s="170">
        <f>IF(A89="","",SUM($H$7:H89)-SUM($I$7:I89))</f>
        <v>-36720694</v>
      </c>
      <c r="K89" s="34"/>
    </row>
    <row r="90" spans="1:11" ht="13.5" customHeight="1" x14ac:dyDescent="0.2">
      <c r="A90" s="44">
        <v>44382</v>
      </c>
      <c r="B90" s="44" t="s">
        <v>732</v>
      </c>
      <c r="C90" s="35" t="s">
        <v>936</v>
      </c>
      <c r="D90" s="44" t="s">
        <v>1553</v>
      </c>
      <c r="E90" s="44" t="s">
        <v>2508</v>
      </c>
      <c r="F90" s="44"/>
      <c r="G90" s="130">
        <v>4650000</v>
      </c>
      <c r="H90" s="252">
        <f t="shared" si="2"/>
        <v>0</v>
      </c>
      <c r="I90" s="252">
        <f t="shared" si="3"/>
        <v>4650000</v>
      </c>
      <c r="J90" s="170">
        <f>IF(A90="","",SUM($H$7:H90)-SUM($I$7:I90))</f>
        <v>-41370694</v>
      </c>
      <c r="K90" s="34"/>
    </row>
    <row r="91" spans="1:11" ht="13.5" customHeight="1" x14ac:dyDescent="0.2">
      <c r="A91" s="44">
        <v>44382</v>
      </c>
      <c r="B91" s="44" t="s">
        <v>732</v>
      </c>
      <c r="C91" s="35" t="s">
        <v>986</v>
      </c>
      <c r="D91" s="44" t="s">
        <v>1556</v>
      </c>
      <c r="E91" s="44" t="s">
        <v>2507</v>
      </c>
      <c r="F91" s="44"/>
      <c r="G91" s="130">
        <v>10000</v>
      </c>
      <c r="H91" s="252">
        <f t="shared" si="2"/>
        <v>0</v>
      </c>
      <c r="I91" s="252">
        <f t="shared" si="3"/>
        <v>10000</v>
      </c>
      <c r="J91" s="170">
        <f>IF(A91="","",SUM($H$7:H91)-SUM($I$7:I91))</f>
        <v>-41380694</v>
      </c>
      <c r="K91" s="34"/>
    </row>
    <row r="92" spans="1:11" ht="13.5" customHeight="1" x14ac:dyDescent="0.2">
      <c r="A92" s="44">
        <v>44382</v>
      </c>
      <c r="B92" s="44" t="s">
        <v>732</v>
      </c>
      <c r="C92" s="35" t="s">
        <v>986</v>
      </c>
      <c r="D92" s="44" t="s">
        <v>1555</v>
      </c>
      <c r="E92" s="44" t="s">
        <v>2507</v>
      </c>
      <c r="F92" s="44"/>
      <c r="G92" s="130">
        <v>5000</v>
      </c>
      <c r="H92" s="252">
        <f t="shared" si="2"/>
        <v>0</v>
      </c>
      <c r="I92" s="252">
        <f t="shared" si="3"/>
        <v>5000</v>
      </c>
      <c r="J92" s="170">
        <f>IF(A92="","",SUM($H$7:H92)-SUM($I$7:I92))</f>
        <v>-41385694</v>
      </c>
      <c r="K92" s="34"/>
    </row>
    <row r="93" spans="1:11" ht="13.5" customHeight="1" x14ac:dyDescent="0.2">
      <c r="A93" s="44">
        <v>44382</v>
      </c>
      <c r="B93" s="44" t="s">
        <v>732</v>
      </c>
      <c r="C93" s="35" t="s">
        <v>986</v>
      </c>
      <c r="D93" s="44" t="s">
        <v>1554</v>
      </c>
      <c r="E93" s="44" t="s">
        <v>1801</v>
      </c>
      <c r="F93" s="44"/>
      <c r="G93" s="130">
        <v>5000</v>
      </c>
      <c r="H93" s="252">
        <f t="shared" si="2"/>
        <v>0</v>
      </c>
      <c r="I93" s="252">
        <f t="shared" si="3"/>
        <v>5000</v>
      </c>
      <c r="J93" s="170">
        <f>IF(A93="","",SUM($H$7:H93)-SUM($I$7:I93))</f>
        <v>-41390694</v>
      </c>
      <c r="K93" s="34"/>
    </row>
    <row r="94" spans="1:11" ht="13.5" customHeight="1" x14ac:dyDescent="0.2">
      <c r="A94" s="44">
        <v>44382</v>
      </c>
      <c r="B94" s="44" t="s">
        <v>732</v>
      </c>
      <c r="C94" s="35" t="s">
        <v>986</v>
      </c>
      <c r="D94" s="44" t="s">
        <v>1557</v>
      </c>
      <c r="E94" s="44" t="s">
        <v>2507</v>
      </c>
      <c r="F94" s="44"/>
      <c r="G94" s="130">
        <v>20000</v>
      </c>
      <c r="H94" s="252">
        <f t="shared" si="2"/>
        <v>0</v>
      </c>
      <c r="I94" s="252">
        <f t="shared" si="3"/>
        <v>20000</v>
      </c>
      <c r="J94" s="170">
        <f>IF(A94="","",SUM($H$7:H94)-SUM($I$7:I94))</f>
        <v>-41410694</v>
      </c>
      <c r="K94" s="34"/>
    </row>
    <row r="95" spans="1:11" ht="13.5" customHeight="1" x14ac:dyDescent="0.2">
      <c r="A95" s="44">
        <v>44382</v>
      </c>
      <c r="B95" s="44" t="s">
        <v>732</v>
      </c>
      <c r="C95" s="35" t="s">
        <v>986</v>
      </c>
      <c r="D95" s="44" t="s">
        <v>1558</v>
      </c>
      <c r="E95" s="44" t="s">
        <v>723</v>
      </c>
      <c r="F95" s="44"/>
      <c r="G95" s="130">
        <v>70000</v>
      </c>
      <c r="H95" s="252">
        <f t="shared" si="2"/>
        <v>0</v>
      </c>
      <c r="I95" s="252">
        <f t="shared" si="3"/>
        <v>70000</v>
      </c>
      <c r="J95" s="170">
        <f>IF(A95="","",SUM($H$7:H95)-SUM($I$7:I95))</f>
        <v>-41480694</v>
      </c>
      <c r="K95" s="34"/>
    </row>
    <row r="96" spans="1:11" ht="13.5" customHeight="1" x14ac:dyDescent="0.2">
      <c r="A96" s="44">
        <v>44382</v>
      </c>
      <c r="B96" s="44" t="s">
        <v>732</v>
      </c>
      <c r="C96" s="35" t="s">
        <v>986</v>
      </c>
      <c r="D96" s="44" t="s">
        <v>1559</v>
      </c>
      <c r="E96" s="44" t="s">
        <v>2507</v>
      </c>
      <c r="F96" s="44"/>
      <c r="G96" s="130">
        <v>7000</v>
      </c>
      <c r="H96" s="252">
        <f t="shared" si="2"/>
        <v>0</v>
      </c>
      <c r="I96" s="252">
        <f t="shared" si="3"/>
        <v>7000</v>
      </c>
      <c r="J96" s="170">
        <f>IF(A96="","",SUM($H$7:H96)-SUM($I$7:I96))</f>
        <v>-41487694</v>
      </c>
      <c r="K96" s="34"/>
    </row>
    <row r="97" spans="1:11" ht="13.5" customHeight="1" x14ac:dyDescent="0.2">
      <c r="A97" s="44">
        <v>44384</v>
      </c>
      <c r="B97" s="44" t="s">
        <v>732</v>
      </c>
      <c r="C97" s="35" t="s">
        <v>986</v>
      </c>
      <c r="D97" s="44" t="s">
        <v>1560</v>
      </c>
      <c r="E97" s="44" t="s">
        <v>2511</v>
      </c>
      <c r="F97" s="44"/>
      <c r="G97" s="130">
        <v>40000</v>
      </c>
      <c r="H97" s="252">
        <f t="shared" si="2"/>
        <v>0</v>
      </c>
      <c r="I97" s="252">
        <f t="shared" si="3"/>
        <v>40000</v>
      </c>
      <c r="J97" s="170">
        <f>IF(A97="","",SUM($H$7:H97)-SUM($I$7:I97))</f>
        <v>-41527694</v>
      </c>
      <c r="K97" s="34"/>
    </row>
    <row r="98" spans="1:11" ht="13.5" customHeight="1" x14ac:dyDescent="0.2">
      <c r="A98" s="44">
        <v>44384</v>
      </c>
      <c r="B98" s="44" t="s">
        <v>732</v>
      </c>
      <c r="C98" s="35" t="s">
        <v>986</v>
      </c>
      <c r="D98" s="44" t="s">
        <v>1561</v>
      </c>
      <c r="E98" s="44" t="s">
        <v>2507</v>
      </c>
      <c r="F98" s="44"/>
      <c r="G98" s="130">
        <v>30000</v>
      </c>
      <c r="H98" s="252">
        <f t="shared" si="2"/>
        <v>0</v>
      </c>
      <c r="I98" s="252">
        <f t="shared" si="3"/>
        <v>30000</v>
      </c>
      <c r="J98" s="170">
        <f>IF(A98="","",SUM($H$7:H98)-SUM($I$7:I98))</f>
        <v>-41557694</v>
      </c>
      <c r="K98" s="34"/>
    </row>
    <row r="99" spans="1:11" ht="13.5" customHeight="1" x14ac:dyDescent="0.2">
      <c r="A99" s="44">
        <v>44384</v>
      </c>
      <c r="B99" s="44" t="s">
        <v>732</v>
      </c>
      <c r="C99" s="35" t="s">
        <v>986</v>
      </c>
      <c r="D99" s="44" t="s">
        <v>1534</v>
      </c>
      <c r="E99" s="44" t="s">
        <v>2507</v>
      </c>
      <c r="F99" s="44"/>
      <c r="G99" s="130">
        <v>19500</v>
      </c>
      <c r="H99" s="252">
        <f t="shared" si="2"/>
        <v>0</v>
      </c>
      <c r="I99" s="252">
        <f t="shared" si="3"/>
        <v>19500</v>
      </c>
      <c r="J99" s="170">
        <f>IF(A99="","",SUM($H$7:H99)-SUM($I$7:I99))</f>
        <v>-41577194</v>
      </c>
      <c r="K99" s="34"/>
    </row>
    <row r="100" spans="1:11" ht="13.5" customHeight="1" x14ac:dyDescent="0.2">
      <c r="A100" s="44">
        <v>44384</v>
      </c>
      <c r="B100" s="44" t="s">
        <v>732</v>
      </c>
      <c r="C100" s="35" t="s">
        <v>986</v>
      </c>
      <c r="D100" s="44" t="s">
        <v>901</v>
      </c>
      <c r="E100" s="44" t="s">
        <v>2514</v>
      </c>
      <c r="F100" s="44"/>
      <c r="G100" s="130">
        <v>9000</v>
      </c>
      <c r="H100" s="252">
        <f t="shared" si="2"/>
        <v>0</v>
      </c>
      <c r="I100" s="252">
        <f t="shared" si="3"/>
        <v>9000</v>
      </c>
      <c r="J100" s="170">
        <f>IF(A100="","",SUM($H$7:H100)-SUM($I$7:I100))</f>
        <v>-41586194</v>
      </c>
      <c r="K100" s="34"/>
    </row>
    <row r="101" spans="1:11" ht="13.5" customHeight="1" x14ac:dyDescent="0.2">
      <c r="A101" s="44">
        <v>44384</v>
      </c>
      <c r="B101" s="44" t="s">
        <v>732</v>
      </c>
      <c r="C101" s="35" t="s">
        <v>986</v>
      </c>
      <c r="D101" s="44" t="s">
        <v>902</v>
      </c>
      <c r="E101" s="44" t="s">
        <v>2507</v>
      </c>
      <c r="F101" s="44"/>
      <c r="G101" s="130">
        <v>2000</v>
      </c>
      <c r="H101" s="252">
        <f t="shared" si="2"/>
        <v>0</v>
      </c>
      <c r="I101" s="252">
        <f t="shared" si="3"/>
        <v>2000</v>
      </c>
      <c r="J101" s="170">
        <f>IF(A101="","",SUM($H$7:H101)-SUM($I$7:I101))</f>
        <v>-41588194</v>
      </c>
      <c r="K101" s="34"/>
    </row>
    <row r="102" spans="1:11" ht="13.5" customHeight="1" x14ac:dyDescent="0.2">
      <c r="A102" s="44">
        <v>44384</v>
      </c>
      <c r="B102" s="44" t="s">
        <v>732</v>
      </c>
      <c r="C102" s="35" t="s">
        <v>986</v>
      </c>
      <c r="D102" s="44" t="s">
        <v>903</v>
      </c>
      <c r="E102" s="44" t="s">
        <v>2514</v>
      </c>
      <c r="F102" s="44"/>
      <c r="G102" s="130">
        <v>1000</v>
      </c>
      <c r="H102" s="252">
        <f t="shared" si="2"/>
        <v>0</v>
      </c>
      <c r="I102" s="252">
        <f t="shared" si="3"/>
        <v>1000</v>
      </c>
      <c r="J102" s="170">
        <f>IF(A102="","",SUM($H$7:H102)-SUM($I$7:I102))</f>
        <v>-41589194</v>
      </c>
      <c r="K102" s="34"/>
    </row>
    <row r="103" spans="1:11" ht="13.5" customHeight="1" x14ac:dyDescent="0.2">
      <c r="A103" s="44">
        <v>44384</v>
      </c>
      <c r="B103" s="44" t="s">
        <v>732</v>
      </c>
      <c r="C103" s="35" t="s">
        <v>986</v>
      </c>
      <c r="D103" s="44" t="s">
        <v>1562</v>
      </c>
      <c r="E103" s="44" t="s">
        <v>2514</v>
      </c>
      <c r="F103" s="44"/>
      <c r="G103" s="130">
        <v>1000</v>
      </c>
      <c r="H103" s="252">
        <f t="shared" si="2"/>
        <v>0</v>
      </c>
      <c r="I103" s="252">
        <f t="shared" si="3"/>
        <v>1000</v>
      </c>
      <c r="J103" s="170">
        <f>IF(A103="","",SUM($H$7:H103)-SUM($I$7:I103))</f>
        <v>-41590194</v>
      </c>
      <c r="K103" s="34"/>
    </row>
    <row r="104" spans="1:11" ht="13.5" customHeight="1" x14ac:dyDescent="0.2">
      <c r="A104" s="44">
        <v>44384</v>
      </c>
      <c r="B104" s="44" t="s">
        <v>732</v>
      </c>
      <c r="C104" s="35" t="s">
        <v>986</v>
      </c>
      <c r="D104" s="44" t="s">
        <v>1563</v>
      </c>
      <c r="E104" s="44" t="s">
        <v>2507</v>
      </c>
      <c r="F104" s="44"/>
      <c r="G104" s="130">
        <v>2000</v>
      </c>
      <c r="H104" s="252">
        <f t="shared" si="2"/>
        <v>0</v>
      </c>
      <c r="I104" s="252">
        <f t="shared" si="3"/>
        <v>2000</v>
      </c>
      <c r="J104" s="170">
        <f>IF(A104="","",SUM($H$7:H104)-SUM($I$7:I104))</f>
        <v>-41592194</v>
      </c>
      <c r="K104" s="34"/>
    </row>
    <row r="105" spans="1:11" ht="13.5" customHeight="1" x14ac:dyDescent="0.2">
      <c r="A105" s="44">
        <v>44384</v>
      </c>
      <c r="B105" s="44" t="s">
        <v>732</v>
      </c>
      <c r="C105" s="35" t="s">
        <v>986</v>
      </c>
      <c r="D105" s="44" t="s">
        <v>904</v>
      </c>
      <c r="E105" s="44" t="s">
        <v>2507</v>
      </c>
      <c r="F105" s="44"/>
      <c r="G105" s="130">
        <v>10000</v>
      </c>
      <c r="H105" s="252">
        <f t="shared" si="2"/>
        <v>0</v>
      </c>
      <c r="I105" s="252">
        <f t="shared" si="3"/>
        <v>10000</v>
      </c>
      <c r="J105" s="170">
        <f>IF(A105="","",SUM($H$7:H105)-SUM($I$7:I105))</f>
        <v>-41602194</v>
      </c>
      <c r="K105" s="34"/>
    </row>
    <row r="106" spans="1:11" ht="13.5" customHeight="1" x14ac:dyDescent="0.2">
      <c r="A106" s="44">
        <v>44384</v>
      </c>
      <c r="B106" s="44" t="s">
        <v>732</v>
      </c>
      <c r="C106" s="35" t="s">
        <v>986</v>
      </c>
      <c r="D106" s="44" t="s">
        <v>905</v>
      </c>
      <c r="E106" s="44" t="s">
        <v>2507</v>
      </c>
      <c r="F106" s="44"/>
      <c r="G106" s="130">
        <v>4000</v>
      </c>
      <c r="H106" s="252">
        <f t="shared" si="2"/>
        <v>0</v>
      </c>
      <c r="I106" s="252">
        <f t="shared" si="3"/>
        <v>4000</v>
      </c>
      <c r="J106" s="170">
        <f>IF(A106="","",SUM($H$7:H106)-SUM($I$7:I106))</f>
        <v>-41606194</v>
      </c>
      <c r="K106" s="34"/>
    </row>
    <row r="107" spans="1:11" ht="13.5" customHeight="1" x14ac:dyDescent="0.2">
      <c r="A107" s="44">
        <v>44384</v>
      </c>
      <c r="B107" s="44" t="s">
        <v>732</v>
      </c>
      <c r="C107" s="35" t="s">
        <v>986</v>
      </c>
      <c r="D107" s="44" t="s">
        <v>1564</v>
      </c>
      <c r="E107" s="44" t="s">
        <v>2507</v>
      </c>
      <c r="F107" s="44"/>
      <c r="G107" s="130">
        <v>11400</v>
      </c>
      <c r="H107" s="252">
        <f t="shared" si="2"/>
        <v>0</v>
      </c>
      <c r="I107" s="252">
        <f t="shared" si="3"/>
        <v>11400</v>
      </c>
      <c r="J107" s="170">
        <f>IF(A107="","",SUM($H$7:H107)-SUM($I$7:I107))</f>
        <v>-41617594</v>
      </c>
      <c r="K107" s="34"/>
    </row>
    <row r="108" spans="1:11" ht="13.5" customHeight="1" x14ac:dyDescent="0.2">
      <c r="A108" s="44">
        <v>44384</v>
      </c>
      <c r="B108" s="44" t="s">
        <v>732</v>
      </c>
      <c r="C108" s="35" t="s">
        <v>986</v>
      </c>
      <c r="D108" s="44" t="s">
        <v>1565</v>
      </c>
      <c r="E108" s="44" t="s">
        <v>2507</v>
      </c>
      <c r="F108" s="44"/>
      <c r="G108" s="130">
        <v>25000</v>
      </c>
      <c r="H108" s="252">
        <f t="shared" si="2"/>
        <v>0</v>
      </c>
      <c r="I108" s="252">
        <f t="shared" si="3"/>
        <v>25000</v>
      </c>
      <c r="J108" s="170">
        <f>IF(A108="","",SUM($H$7:H108)-SUM($I$7:I108))</f>
        <v>-41642594</v>
      </c>
      <c r="K108" s="34"/>
    </row>
    <row r="109" spans="1:11" ht="13.5" customHeight="1" x14ac:dyDescent="0.2">
      <c r="A109" s="44">
        <v>44384</v>
      </c>
      <c r="B109" s="44" t="s">
        <v>732</v>
      </c>
      <c r="C109" s="35" t="s">
        <v>986</v>
      </c>
      <c r="D109" s="44" t="s">
        <v>906</v>
      </c>
      <c r="E109" s="44" t="s">
        <v>2507</v>
      </c>
      <c r="F109" s="44"/>
      <c r="G109" s="130">
        <v>10000</v>
      </c>
      <c r="H109" s="252">
        <f t="shared" si="2"/>
        <v>0</v>
      </c>
      <c r="I109" s="252">
        <f t="shared" si="3"/>
        <v>10000</v>
      </c>
      <c r="J109" s="170">
        <f>IF(A109="","",SUM($H$7:H109)-SUM($I$7:I109))</f>
        <v>-41652594</v>
      </c>
      <c r="K109" s="34"/>
    </row>
    <row r="110" spans="1:11" ht="13.5" customHeight="1" x14ac:dyDescent="0.2">
      <c r="A110" s="44">
        <v>44385</v>
      </c>
      <c r="B110" s="44" t="s">
        <v>732</v>
      </c>
      <c r="C110" s="35" t="s">
        <v>986</v>
      </c>
      <c r="D110" s="44" t="s">
        <v>1566</v>
      </c>
      <c r="E110" s="44" t="s">
        <v>2507</v>
      </c>
      <c r="F110" s="44"/>
      <c r="G110" s="130">
        <v>50000</v>
      </c>
      <c r="H110" s="252">
        <f t="shared" si="2"/>
        <v>0</v>
      </c>
      <c r="I110" s="252">
        <f t="shared" si="3"/>
        <v>50000</v>
      </c>
      <c r="J110" s="170">
        <f>IF(A110="","",SUM($H$7:H110)-SUM($I$7:I110))</f>
        <v>-41702594</v>
      </c>
      <c r="K110" s="34"/>
    </row>
    <row r="111" spans="1:11" ht="13.5" customHeight="1" x14ac:dyDescent="0.2">
      <c r="A111" s="44">
        <v>44389</v>
      </c>
      <c r="B111" s="44" t="s">
        <v>732</v>
      </c>
      <c r="C111" s="35" t="s">
        <v>986</v>
      </c>
      <c r="D111" s="44" t="s">
        <v>1534</v>
      </c>
      <c r="E111" s="44" t="s">
        <v>2507</v>
      </c>
      <c r="F111" s="44"/>
      <c r="G111" s="130">
        <v>19500</v>
      </c>
      <c r="H111" s="252">
        <f t="shared" si="2"/>
        <v>0</v>
      </c>
      <c r="I111" s="252">
        <f t="shared" si="3"/>
        <v>19500</v>
      </c>
      <c r="J111" s="170">
        <f>IF(A111="","",SUM($H$7:H111)-SUM($I$7:I111))</f>
        <v>-41722094</v>
      </c>
      <c r="K111" s="34"/>
    </row>
    <row r="112" spans="1:11" ht="13.5" customHeight="1" x14ac:dyDescent="0.2">
      <c r="A112" s="44">
        <v>44389</v>
      </c>
      <c r="B112" s="44" t="s">
        <v>732</v>
      </c>
      <c r="C112" s="35" t="s">
        <v>986</v>
      </c>
      <c r="D112" s="44" t="s">
        <v>1567</v>
      </c>
      <c r="E112" s="44" t="s">
        <v>2507</v>
      </c>
      <c r="F112" s="44"/>
      <c r="G112" s="130">
        <v>50000</v>
      </c>
      <c r="H112" s="252">
        <f t="shared" si="2"/>
        <v>0</v>
      </c>
      <c r="I112" s="252">
        <f t="shared" si="3"/>
        <v>50000</v>
      </c>
      <c r="J112" s="170">
        <f>IF(A112="","",SUM($H$7:H112)-SUM($I$7:I112))</f>
        <v>-41772094</v>
      </c>
      <c r="K112" s="34"/>
    </row>
    <row r="113" spans="1:11" ht="13.5" customHeight="1" x14ac:dyDescent="0.2">
      <c r="A113" s="44">
        <v>44391</v>
      </c>
      <c r="B113" s="44" t="s">
        <v>732</v>
      </c>
      <c r="C113" s="35" t="s">
        <v>986</v>
      </c>
      <c r="D113" s="44" t="s">
        <v>1568</v>
      </c>
      <c r="E113" s="44" t="s">
        <v>2514</v>
      </c>
      <c r="F113" s="44"/>
      <c r="G113" s="130">
        <v>6000</v>
      </c>
      <c r="H113" s="252">
        <f t="shared" si="2"/>
        <v>0</v>
      </c>
      <c r="I113" s="252">
        <f t="shared" si="3"/>
        <v>6000</v>
      </c>
      <c r="J113" s="170">
        <f>IF(A113="","",SUM($H$7:H113)-SUM($I$7:I113))</f>
        <v>-41778094</v>
      </c>
      <c r="K113" s="34"/>
    </row>
    <row r="114" spans="1:11" ht="13.5" customHeight="1" x14ac:dyDescent="0.2">
      <c r="A114" s="44">
        <v>44391</v>
      </c>
      <c r="B114" s="44" t="s">
        <v>732</v>
      </c>
      <c r="C114" s="35" t="s">
        <v>986</v>
      </c>
      <c r="D114" s="44" t="s">
        <v>1569</v>
      </c>
      <c r="E114" s="44" t="s">
        <v>2514</v>
      </c>
      <c r="F114" s="44"/>
      <c r="G114" s="130">
        <v>40000</v>
      </c>
      <c r="H114" s="252">
        <f t="shared" si="2"/>
        <v>0</v>
      </c>
      <c r="I114" s="252">
        <f t="shared" si="3"/>
        <v>40000</v>
      </c>
      <c r="J114" s="170">
        <f>IF(A114="","",SUM($H$7:H114)-SUM($I$7:I114))</f>
        <v>-41818094</v>
      </c>
      <c r="K114" s="34"/>
    </row>
    <row r="115" spans="1:11" ht="13.5" customHeight="1" x14ac:dyDescent="0.2">
      <c r="A115" s="44">
        <v>44391</v>
      </c>
      <c r="B115" s="44" t="s">
        <v>732</v>
      </c>
      <c r="C115" s="35" t="s">
        <v>986</v>
      </c>
      <c r="D115" s="44" t="s">
        <v>1570</v>
      </c>
      <c r="E115" s="44" t="s">
        <v>1793</v>
      </c>
      <c r="F115" s="44"/>
      <c r="G115" s="130">
        <v>10000</v>
      </c>
      <c r="H115" s="252">
        <f t="shared" si="2"/>
        <v>0</v>
      </c>
      <c r="I115" s="252">
        <f t="shared" si="3"/>
        <v>10000</v>
      </c>
      <c r="J115" s="170">
        <f>IF(A115="","",SUM($H$7:H115)-SUM($I$7:I115))</f>
        <v>-41828094</v>
      </c>
      <c r="K115" s="34"/>
    </row>
    <row r="116" spans="1:11" ht="13.5" customHeight="1" x14ac:dyDescent="0.2">
      <c r="A116" s="44">
        <v>44392</v>
      </c>
      <c r="B116" s="44" t="s">
        <v>732</v>
      </c>
      <c r="C116" s="35" t="s">
        <v>986</v>
      </c>
      <c r="D116" s="44" t="s">
        <v>1534</v>
      </c>
      <c r="E116" s="44" t="s">
        <v>2507</v>
      </c>
      <c r="F116" s="44"/>
      <c r="G116" s="130">
        <v>19500</v>
      </c>
      <c r="H116" s="252">
        <f t="shared" si="2"/>
        <v>0</v>
      </c>
      <c r="I116" s="252">
        <f t="shared" si="3"/>
        <v>19500</v>
      </c>
      <c r="J116" s="170">
        <f>IF(A116="","",SUM($H$7:H116)-SUM($I$7:I116))</f>
        <v>-41847594</v>
      </c>
      <c r="K116" s="34"/>
    </row>
    <row r="117" spans="1:11" ht="13.5" customHeight="1" x14ac:dyDescent="0.2">
      <c r="A117" s="44">
        <v>44392</v>
      </c>
      <c r="B117" s="44" t="s">
        <v>732</v>
      </c>
      <c r="C117" s="35" t="s">
        <v>986</v>
      </c>
      <c r="D117" s="44" t="s">
        <v>1527</v>
      </c>
      <c r="E117" s="44" t="s">
        <v>2514</v>
      </c>
      <c r="F117" s="44"/>
      <c r="G117" s="130">
        <v>40000</v>
      </c>
      <c r="H117" s="252">
        <f t="shared" si="2"/>
        <v>0</v>
      </c>
      <c r="I117" s="252">
        <f t="shared" si="3"/>
        <v>40000</v>
      </c>
      <c r="J117" s="170">
        <f>IF(A117="","",SUM($H$7:H117)-SUM($I$7:I117))</f>
        <v>-41887594</v>
      </c>
      <c r="K117" s="34"/>
    </row>
    <row r="118" spans="1:11" ht="13.5" customHeight="1" x14ac:dyDescent="0.2">
      <c r="A118" s="44">
        <v>44392</v>
      </c>
      <c r="B118" s="44" t="s">
        <v>732</v>
      </c>
      <c r="C118" s="35" t="s">
        <v>986</v>
      </c>
      <c r="D118" s="44" t="s">
        <v>1571</v>
      </c>
      <c r="E118" s="44" t="s">
        <v>2489</v>
      </c>
      <c r="F118" s="44"/>
      <c r="G118" s="130">
        <v>2300</v>
      </c>
      <c r="H118" s="252">
        <f t="shared" si="2"/>
        <v>0</v>
      </c>
      <c r="I118" s="252">
        <f t="shared" si="3"/>
        <v>2300</v>
      </c>
      <c r="J118" s="170">
        <f>IF(A118="","",SUM($H$7:H118)-SUM($I$7:I118))</f>
        <v>-41889894</v>
      </c>
      <c r="K118" s="34"/>
    </row>
    <row r="119" spans="1:11" ht="13.5" customHeight="1" x14ac:dyDescent="0.2">
      <c r="A119" s="44">
        <v>44392</v>
      </c>
      <c r="B119" s="44" t="s">
        <v>732</v>
      </c>
      <c r="C119" s="35" t="s">
        <v>986</v>
      </c>
      <c r="D119" s="44" t="s">
        <v>1572</v>
      </c>
      <c r="E119" s="44" t="s">
        <v>1801</v>
      </c>
      <c r="F119" s="44"/>
      <c r="G119" s="130">
        <v>10000</v>
      </c>
      <c r="H119" s="252">
        <f t="shared" si="2"/>
        <v>0</v>
      </c>
      <c r="I119" s="252">
        <f t="shared" si="3"/>
        <v>10000</v>
      </c>
      <c r="J119" s="170">
        <f>IF(A119="","",SUM($H$7:H119)-SUM($I$7:I119))</f>
        <v>-41899894</v>
      </c>
      <c r="K119" s="34"/>
    </row>
    <row r="120" spans="1:11" ht="13.5" customHeight="1" x14ac:dyDescent="0.2">
      <c r="A120" s="44">
        <v>44393</v>
      </c>
      <c r="B120" s="44" t="s">
        <v>732</v>
      </c>
      <c r="C120" s="35" t="s">
        <v>986</v>
      </c>
      <c r="D120" s="44" t="s">
        <v>1527</v>
      </c>
      <c r="E120" s="44" t="s">
        <v>2514</v>
      </c>
      <c r="F120" s="44"/>
      <c r="G120" s="130">
        <v>40000</v>
      </c>
      <c r="H120" s="252">
        <f t="shared" si="2"/>
        <v>0</v>
      </c>
      <c r="I120" s="252">
        <f t="shared" si="3"/>
        <v>40000</v>
      </c>
      <c r="J120" s="170">
        <f>IF(A120="","",SUM($H$7:H120)-SUM($I$7:I120))</f>
        <v>-41939894</v>
      </c>
      <c r="K120" s="34"/>
    </row>
    <row r="121" spans="1:11" ht="13.5" customHeight="1" x14ac:dyDescent="0.2">
      <c r="A121" s="44">
        <v>44396</v>
      </c>
      <c r="B121" s="44" t="s">
        <v>732</v>
      </c>
      <c r="C121" s="35" t="s">
        <v>986</v>
      </c>
      <c r="D121" s="44" t="s">
        <v>1573</v>
      </c>
      <c r="E121" s="44" t="s">
        <v>2511</v>
      </c>
      <c r="F121" s="44"/>
      <c r="G121" s="130">
        <v>30000</v>
      </c>
      <c r="H121" s="252">
        <f t="shared" si="2"/>
        <v>0</v>
      </c>
      <c r="I121" s="252">
        <f t="shared" si="3"/>
        <v>30000</v>
      </c>
      <c r="J121" s="170">
        <f>IF(A121="","",SUM($H$7:H121)-SUM($I$7:I121))</f>
        <v>-41969894</v>
      </c>
      <c r="K121" s="34"/>
    </row>
    <row r="122" spans="1:11" ht="13.5" customHeight="1" x14ac:dyDescent="0.2">
      <c r="A122" s="44">
        <v>44396</v>
      </c>
      <c r="B122" s="44" t="s">
        <v>732</v>
      </c>
      <c r="C122" s="35" t="s">
        <v>986</v>
      </c>
      <c r="D122" s="44" t="s">
        <v>1560</v>
      </c>
      <c r="E122" s="44" t="s">
        <v>2511</v>
      </c>
      <c r="F122" s="44"/>
      <c r="G122" s="130">
        <v>40000</v>
      </c>
      <c r="H122" s="252">
        <f t="shared" si="2"/>
        <v>0</v>
      </c>
      <c r="I122" s="252">
        <f t="shared" si="3"/>
        <v>40000</v>
      </c>
      <c r="J122" s="170">
        <f>IF(A122="","",SUM($H$7:H122)-SUM($I$7:I122))</f>
        <v>-42009894</v>
      </c>
      <c r="K122" s="34"/>
    </row>
    <row r="123" spans="1:11" ht="13.5" customHeight="1" x14ac:dyDescent="0.2">
      <c r="A123" s="44">
        <v>44396</v>
      </c>
      <c r="B123" s="44" t="s">
        <v>732</v>
      </c>
      <c r="C123" s="35" t="s">
        <v>986</v>
      </c>
      <c r="D123" s="44" t="s">
        <v>1527</v>
      </c>
      <c r="E123" s="44" t="s">
        <v>2514</v>
      </c>
      <c r="F123" s="44"/>
      <c r="G123" s="130">
        <v>40000</v>
      </c>
      <c r="H123" s="252">
        <f t="shared" si="2"/>
        <v>0</v>
      </c>
      <c r="I123" s="252">
        <f t="shared" si="3"/>
        <v>40000</v>
      </c>
      <c r="J123" s="170">
        <f>IF(A123="","",SUM($H$7:H123)-SUM($I$7:I123))</f>
        <v>-42049894</v>
      </c>
      <c r="K123" s="34"/>
    </row>
    <row r="124" spans="1:11" ht="13.5" customHeight="1" x14ac:dyDescent="0.2">
      <c r="A124" s="44">
        <v>44396</v>
      </c>
      <c r="B124" s="44" t="s">
        <v>732</v>
      </c>
      <c r="C124" s="35" t="s">
        <v>986</v>
      </c>
      <c r="D124" s="44" t="s">
        <v>2450</v>
      </c>
      <c r="E124" s="44" t="s">
        <v>2510</v>
      </c>
      <c r="F124" s="44"/>
      <c r="G124" s="130">
        <v>926022</v>
      </c>
      <c r="H124" s="252">
        <f t="shared" si="2"/>
        <v>0</v>
      </c>
      <c r="I124" s="252">
        <f t="shared" si="3"/>
        <v>926022</v>
      </c>
      <c r="J124" s="170">
        <f>IF(A124="","",SUM($H$7:H124)-SUM($I$7:I124))</f>
        <v>-42975916</v>
      </c>
      <c r="K124" s="34"/>
    </row>
    <row r="125" spans="1:11" ht="13.5" customHeight="1" x14ac:dyDescent="0.2">
      <c r="A125" s="44">
        <v>44398</v>
      </c>
      <c r="B125" s="44" t="s">
        <v>732</v>
      </c>
      <c r="C125" s="35" t="s">
        <v>986</v>
      </c>
      <c r="D125" s="44" t="s">
        <v>1534</v>
      </c>
      <c r="E125" s="44" t="s">
        <v>2507</v>
      </c>
      <c r="F125" s="44"/>
      <c r="G125" s="130">
        <v>19500</v>
      </c>
      <c r="H125" s="252">
        <f t="shared" si="2"/>
        <v>0</v>
      </c>
      <c r="I125" s="252">
        <f t="shared" si="3"/>
        <v>19500</v>
      </c>
      <c r="J125" s="170">
        <f>IF(A125="","",SUM($H$7:H125)-SUM($I$7:I125))</f>
        <v>-42995416</v>
      </c>
      <c r="K125" s="34"/>
    </row>
    <row r="126" spans="1:11" ht="13.5" customHeight="1" x14ac:dyDescent="0.2">
      <c r="A126" s="44">
        <v>44398</v>
      </c>
      <c r="B126" s="44" t="s">
        <v>732</v>
      </c>
      <c r="C126" s="35" t="s">
        <v>986</v>
      </c>
      <c r="D126" s="44" t="s">
        <v>1574</v>
      </c>
      <c r="E126" s="44" t="s">
        <v>2515</v>
      </c>
      <c r="F126" s="44"/>
      <c r="G126" s="130">
        <v>95000</v>
      </c>
      <c r="H126" s="252">
        <f t="shared" si="2"/>
        <v>0</v>
      </c>
      <c r="I126" s="252">
        <f t="shared" si="3"/>
        <v>95000</v>
      </c>
      <c r="J126" s="170">
        <f>IF(A126="","",SUM($H$7:H126)-SUM($I$7:I126))</f>
        <v>-43090416</v>
      </c>
      <c r="K126" s="34"/>
    </row>
    <row r="127" spans="1:11" ht="13.5" customHeight="1" x14ac:dyDescent="0.2">
      <c r="A127" s="44">
        <v>44398</v>
      </c>
      <c r="B127" s="44" t="s">
        <v>732</v>
      </c>
      <c r="C127" s="35" t="s">
        <v>986</v>
      </c>
      <c r="D127" s="44" t="s">
        <v>1575</v>
      </c>
      <c r="E127" s="44" t="s">
        <v>2515</v>
      </c>
      <c r="F127" s="44"/>
      <c r="G127" s="130">
        <v>54000</v>
      </c>
      <c r="H127" s="252">
        <f t="shared" si="2"/>
        <v>0</v>
      </c>
      <c r="I127" s="252">
        <f t="shared" si="3"/>
        <v>54000</v>
      </c>
      <c r="J127" s="170">
        <f>IF(A127="","",SUM($H$7:H127)-SUM($I$7:I127))</f>
        <v>-43144416</v>
      </c>
      <c r="K127" s="34"/>
    </row>
    <row r="128" spans="1:11" ht="13.5" customHeight="1" x14ac:dyDescent="0.2">
      <c r="A128" s="44">
        <v>44398</v>
      </c>
      <c r="B128" s="44" t="s">
        <v>732</v>
      </c>
      <c r="C128" s="35" t="s">
        <v>986</v>
      </c>
      <c r="D128" s="44" t="s">
        <v>1527</v>
      </c>
      <c r="E128" s="44" t="s">
        <v>2514</v>
      </c>
      <c r="F128" s="44"/>
      <c r="G128" s="130">
        <v>40000</v>
      </c>
      <c r="H128" s="252">
        <f t="shared" si="2"/>
        <v>0</v>
      </c>
      <c r="I128" s="252">
        <f t="shared" si="3"/>
        <v>40000</v>
      </c>
      <c r="J128" s="170">
        <f>IF(A128="","",SUM($H$7:H128)-SUM($I$7:I128))</f>
        <v>-43184416</v>
      </c>
      <c r="K128" s="34"/>
    </row>
    <row r="129" spans="1:11" ht="13.5" customHeight="1" x14ac:dyDescent="0.2">
      <c r="A129" s="44">
        <v>44399</v>
      </c>
      <c r="B129" s="44" t="s">
        <v>732</v>
      </c>
      <c r="C129" s="35" t="s">
        <v>986</v>
      </c>
      <c r="D129" s="44" t="s">
        <v>1515</v>
      </c>
      <c r="E129" s="44" t="s">
        <v>2507</v>
      </c>
      <c r="F129" s="44"/>
      <c r="G129" s="130">
        <v>100000</v>
      </c>
      <c r="H129" s="252">
        <f t="shared" si="2"/>
        <v>0</v>
      </c>
      <c r="I129" s="252">
        <f t="shared" si="3"/>
        <v>100000</v>
      </c>
      <c r="J129" s="170">
        <f>IF(A129="","",SUM($H$7:H129)-SUM($I$7:I129))</f>
        <v>-43284416</v>
      </c>
      <c r="K129" s="34"/>
    </row>
    <row r="130" spans="1:11" ht="13.5" customHeight="1" x14ac:dyDescent="0.2">
      <c r="A130" s="44">
        <v>44399</v>
      </c>
      <c r="B130" s="44" t="s">
        <v>732</v>
      </c>
      <c r="C130" s="35" t="s">
        <v>986</v>
      </c>
      <c r="D130" s="44" t="s">
        <v>1534</v>
      </c>
      <c r="E130" s="44" t="s">
        <v>2507</v>
      </c>
      <c r="F130" s="44"/>
      <c r="G130" s="130">
        <v>19500</v>
      </c>
      <c r="H130" s="252">
        <f t="shared" si="2"/>
        <v>0</v>
      </c>
      <c r="I130" s="252">
        <f t="shared" si="3"/>
        <v>19500</v>
      </c>
      <c r="J130" s="170">
        <f>IF(A130="","",SUM($H$7:H130)-SUM($I$7:I130))</f>
        <v>-43303916</v>
      </c>
      <c r="K130" s="34"/>
    </row>
    <row r="131" spans="1:11" ht="13.5" customHeight="1" x14ac:dyDescent="0.2">
      <c r="A131" s="44">
        <v>44399</v>
      </c>
      <c r="B131" s="44" t="s">
        <v>732</v>
      </c>
      <c r="C131" s="35" t="s">
        <v>986</v>
      </c>
      <c r="D131" s="44" t="s">
        <v>1576</v>
      </c>
      <c r="E131" s="44" t="s">
        <v>2507</v>
      </c>
      <c r="F131" s="44"/>
      <c r="G131" s="130">
        <v>50000</v>
      </c>
      <c r="H131" s="252">
        <f t="shared" si="2"/>
        <v>0</v>
      </c>
      <c r="I131" s="252">
        <f t="shared" si="3"/>
        <v>50000</v>
      </c>
      <c r="J131" s="170">
        <f>IF(A131="","",SUM($H$7:H131)-SUM($I$7:I131))</f>
        <v>-43353916</v>
      </c>
      <c r="K131" s="34"/>
    </row>
    <row r="132" spans="1:11" ht="13.5" customHeight="1" x14ac:dyDescent="0.2">
      <c r="A132" s="44">
        <v>44400</v>
      </c>
      <c r="B132" s="44" t="s">
        <v>732</v>
      </c>
      <c r="C132" s="35" t="s">
        <v>986</v>
      </c>
      <c r="D132" s="44" t="s">
        <v>1527</v>
      </c>
      <c r="E132" s="44" t="s">
        <v>2514</v>
      </c>
      <c r="F132" s="44"/>
      <c r="G132" s="130">
        <v>40000</v>
      </c>
      <c r="H132" s="252">
        <f t="shared" si="2"/>
        <v>0</v>
      </c>
      <c r="I132" s="252">
        <f t="shared" si="3"/>
        <v>40000</v>
      </c>
      <c r="J132" s="170">
        <f>IF(A132="","",SUM($H$7:H132)-SUM($I$7:I132))</f>
        <v>-43393916</v>
      </c>
      <c r="K132" s="34"/>
    </row>
    <row r="133" spans="1:11" ht="13.5" customHeight="1" x14ac:dyDescent="0.2">
      <c r="A133" s="44">
        <v>44403</v>
      </c>
      <c r="B133" s="44" t="s">
        <v>732</v>
      </c>
      <c r="C133" s="35" t="s">
        <v>936</v>
      </c>
      <c r="D133" s="44" t="s">
        <v>1577</v>
      </c>
      <c r="E133" s="44" t="s">
        <v>2509</v>
      </c>
      <c r="F133" s="44"/>
      <c r="G133" s="130">
        <v>350000</v>
      </c>
      <c r="H133" s="252">
        <f t="shared" si="2"/>
        <v>0</v>
      </c>
      <c r="I133" s="252">
        <f t="shared" si="3"/>
        <v>350000</v>
      </c>
      <c r="J133" s="170">
        <f>IF(A133="","",SUM($H$7:H133)-SUM($I$7:I133))</f>
        <v>-43743916</v>
      </c>
      <c r="K133" s="34"/>
    </row>
    <row r="134" spans="1:11" ht="13.5" customHeight="1" x14ac:dyDescent="0.2">
      <c r="A134" s="44">
        <v>44403</v>
      </c>
      <c r="B134" s="44" t="s">
        <v>732</v>
      </c>
      <c r="C134" s="35" t="s">
        <v>986</v>
      </c>
      <c r="D134" s="44" t="s">
        <v>1561</v>
      </c>
      <c r="E134" s="44" t="s">
        <v>2507</v>
      </c>
      <c r="F134" s="44"/>
      <c r="G134" s="130">
        <v>30000</v>
      </c>
      <c r="H134" s="252">
        <f t="shared" si="2"/>
        <v>0</v>
      </c>
      <c r="I134" s="252">
        <f t="shared" si="3"/>
        <v>30000</v>
      </c>
      <c r="J134" s="170">
        <f>IF(A134="","",SUM($H$7:H134)-SUM($I$7:I134))</f>
        <v>-43773916</v>
      </c>
      <c r="K134" s="34"/>
    </row>
    <row r="135" spans="1:11" ht="13.5" customHeight="1" x14ac:dyDescent="0.2">
      <c r="A135" s="44">
        <v>44403</v>
      </c>
      <c r="B135" s="44" t="s">
        <v>732</v>
      </c>
      <c r="C135" s="35" t="s">
        <v>986</v>
      </c>
      <c r="D135" s="44" t="s">
        <v>1527</v>
      </c>
      <c r="E135" s="44" t="s">
        <v>2514</v>
      </c>
      <c r="F135" s="44"/>
      <c r="G135" s="130">
        <v>40000</v>
      </c>
      <c r="H135" s="252">
        <f t="shared" ref="H135:H198" si="4">IF($C135="Replenishment",$G135,0)</f>
        <v>0</v>
      </c>
      <c r="I135" s="252">
        <f t="shared" ref="I135:I198" si="5">IF($C135="Replenishment",0,$G135)</f>
        <v>40000</v>
      </c>
      <c r="J135" s="170">
        <f>IF(A135="","",SUM($H$7:H135)-SUM($I$7:I135))</f>
        <v>-43813916</v>
      </c>
      <c r="K135" s="34"/>
    </row>
    <row r="136" spans="1:11" ht="13.5" customHeight="1" x14ac:dyDescent="0.2">
      <c r="A136" s="44">
        <v>44403</v>
      </c>
      <c r="B136" s="44" t="s">
        <v>732</v>
      </c>
      <c r="C136" s="35" t="s">
        <v>986</v>
      </c>
      <c r="D136" s="44" t="s">
        <v>1534</v>
      </c>
      <c r="E136" s="44" t="s">
        <v>2507</v>
      </c>
      <c r="F136" s="44"/>
      <c r="G136" s="130">
        <v>50000</v>
      </c>
      <c r="H136" s="252">
        <f t="shared" si="4"/>
        <v>0</v>
      </c>
      <c r="I136" s="252">
        <f t="shared" si="5"/>
        <v>50000</v>
      </c>
      <c r="J136" s="170">
        <f>IF(A136="","",SUM($H$7:H136)-SUM($I$7:I136))</f>
        <v>-43863916</v>
      </c>
      <c r="K136" s="34"/>
    </row>
    <row r="137" spans="1:11" ht="13.5" customHeight="1" x14ac:dyDescent="0.2">
      <c r="A137" s="44">
        <v>44404</v>
      </c>
      <c r="B137" s="44" t="s">
        <v>732</v>
      </c>
      <c r="C137" s="35" t="s">
        <v>986</v>
      </c>
      <c r="D137" s="44" t="s">
        <v>1578</v>
      </c>
      <c r="E137" s="44" t="s">
        <v>2507</v>
      </c>
      <c r="F137" s="44"/>
      <c r="G137" s="130">
        <v>15000</v>
      </c>
      <c r="H137" s="252">
        <f t="shared" si="4"/>
        <v>0</v>
      </c>
      <c r="I137" s="252">
        <f t="shared" si="5"/>
        <v>15000</v>
      </c>
      <c r="J137" s="170">
        <f>IF(A137="","",SUM($H$7:H137)-SUM($I$7:I137))</f>
        <v>-43878916</v>
      </c>
      <c r="K137" s="34"/>
    </row>
    <row r="138" spans="1:11" ht="13.5" customHeight="1" x14ac:dyDescent="0.2">
      <c r="A138" s="44">
        <v>44404</v>
      </c>
      <c r="B138" s="44" t="s">
        <v>732</v>
      </c>
      <c r="C138" s="35" t="s">
        <v>986</v>
      </c>
      <c r="D138" s="44" t="s">
        <v>1527</v>
      </c>
      <c r="E138" s="44" t="s">
        <v>2514</v>
      </c>
      <c r="F138" s="44"/>
      <c r="G138" s="130">
        <v>40000</v>
      </c>
      <c r="H138" s="252">
        <f t="shared" si="4"/>
        <v>0</v>
      </c>
      <c r="I138" s="252">
        <f t="shared" si="5"/>
        <v>40000</v>
      </c>
      <c r="J138" s="170">
        <f>IF(A138="","",SUM($H$7:H138)-SUM($I$7:I138))</f>
        <v>-43918916</v>
      </c>
      <c r="K138" s="34"/>
    </row>
    <row r="139" spans="1:11" ht="13.5" customHeight="1" x14ac:dyDescent="0.2">
      <c r="A139" s="44">
        <v>44404</v>
      </c>
      <c r="B139" s="44" t="s">
        <v>732</v>
      </c>
      <c r="C139" s="35" t="s">
        <v>986</v>
      </c>
      <c r="D139" s="44" t="s">
        <v>1579</v>
      </c>
      <c r="E139" s="44" t="s">
        <v>1801</v>
      </c>
      <c r="F139" s="44"/>
      <c r="G139" s="130">
        <v>10000</v>
      </c>
      <c r="H139" s="252">
        <f t="shared" si="4"/>
        <v>0</v>
      </c>
      <c r="I139" s="252">
        <f t="shared" si="5"/>
        <v>10000</v>
      </c>
      <c r="J139" s="170">
        <f>IF(A139="","",SUM($H$7:H139)-SUM($I$7:I139))</f>
        <v>-43928916</v>
      </c>
      <c r="K139" s="34"/>
    </row>
    <row r="140" spans="1:11" ht="13.5" customHeight="1" x14ac:dyDescent="0.2">
      <c r="A140" s="44">
        <v>44405</v>
      </c>
      <c r="B140" s="44" t="s">
        <v>732</v>
      </c>
      <c r="C140" s="35" t="s">
        <v>986</v>
      </c>
      <c r="D140" s="44" t="s">
        <v>1527</v>
      </c>
      <c r="E140" s="44" t="s">
        <v>2514</v>
      </c>
      <c r="F140" s="44"/>
      <c r="G140" s="130">
        <v>40000</v>
      </c>
      <c r="H140" s="252">
        <f t="shared" si="4"/>
        <v>0</v>
      </c>
      <c r="I140" s="252">
        <f t="shared" si="5"/>
        <v>40000</v>
      </c>
      <c r="J140" s="170">
        <f>IF(A140="","",SUM($H$7:H140)-SUM($I$7:I140))</f>
        <v>-43968916</v>
      </c>
      <c r="K140" s="34"/>
    </row>
    <row r="141" spans="1:11" ht="13.5" customHeight="1" x14ac:dyDescent="0.2">
      <c r="A141" s="44">
        <v>44405</v>
      </c>
      <c r="B141" s="44" t="s">
        <v>732</v>
      </c>
      <c r="C141" s="35" t="s">
        <v>986</v>
      </c>
      <c r="D141" s="44" t="s">
        <v>1580</v>
      </c>
      <c r="E141" s="44" t="s">
        <v>2507</v>
      </c>
      <c r="F141" s="44"/>
      <c r="G141" s="130">
        <v>17000</v>
      </c>
      <c r="H141" s="252">
        <f t="shared" si="4"/>
        <v>0</v>
      </c>
      <c r="I141" s="252">
        <f t="shared" si="5"/>
        <v>17000</v>
      </c>
      <c r="J141" s="170">
        <f>IF(A141="","",SUM($H$7:H141)-SUM($I$7:I141))</f>
        <v>-43985916</v>
      </c>
      <c r="K141" s="34"/>
    </row>
    <row r="142" spans="1:11" ht="13.5" customHeight="1" x14ac:dyDescent="0.2">
      <c r="A142" s="44">
        <v>44406</v>
      </c>
      <c r="B142" s="44" t="s">
        <v>732</v>
      </c>
      <c r="C142" s="35" t="s">
        <v>986</v>
      </c>
      <c r="D142" s="44" t="s">
        <v>1527</v>
      </c>
      <c r="E142" s="44" t="s">
        <v>2514</v>
      </c>
      <c r="F142" s="44"/>
      <c r="G142" s="130">
        <v>40000</v>
      </c>
      <c r="H142" s="252">
        <f t="shared" si="4"/>
        <v>0</v>
      </c>
      <c r="I142" s="252">
        <f t="shared" si="5"/>
        <v>40000</v>
      </c>
      <c r="J142" s="170">
        <f>IF(A142="","",SUM($H$7:H142)-SUM($I$7:I142))</f>
        <v>-44025916</v>
      </c>
      <c r="K142" s="34"/>
    </row>
    <row r="143" spans="1:11" ht="13.5" customHeight="1" x14ac:dyDescent="0.2">
      <c r="A143" s="44">
        <v>44406</v>
      </c>
      <c r="B143" s="44" t="s">
        <v>732</v>
      </c>
      <c r="C143" s="35" t="s">
        <v>986</v>
      </c>
      <c r="D143" s="44" t="s">
        <v>1581</v>
      </c>
      <c r="E143" s="44" t="s">
        <v>2507</v>
      </c>
      <c r="F143" s="44"/>
      <c r="G143" s="130">
        <v>20000</v>
      </c>
      <c r="H143" s="252">
        <f t="shared" si="4"/>
        <v>0</v>
      </c>
      <c r="I143" s="252">
        <f t="shared" si="5"/>
        <v>20000</v>
      </c>
      <c r="J143" s="170">
        <f>IF(A143="","",SUM($H$7:H143)-SUM($I$7:I143))</f>
        <v>-44045916</v>
      </c>
      <c r="K143" s="34"/>
    </row>
    <row r="144" spans="1:11" ht="13.5" customHeight="1" x14ac:dyDescent="0.2">
      <c r="A144" s="44">
        <v>44406</v>
      </c>
      <c r="B144" s="44" t="s">
        <v>732</v>
      </c>
      <c r="C144" s="35" t="s">
        <v>986</v>
      </c>
      <c r="D144" s="44" t="s">
        <v>1803</v>
      </c>
      <c r="E144" s="44" t="s">
        <v>2507</v>
      </c>
      <c r="F144" s="44"/>
      <c r="G144" s="130">
        <v>20000</v>
      </c>
      <c r="H144" s="252">
        <f t="shared" si="4"/>
        <v>0</v>
      </c>
      <c r="I144" s="252">
        <f t="shared" si="5"/>
        <v>20000</v>
      </c>
      <c r="J144" s="170">
        <f>IF(A144="","",SUM($H$7:H144)-SUM($I$7:I144))</f>
        <v>-44065916</v>
      </c>
      <c r="K144" s="34"/>
    </row>
    <row r="145" spans="1:11" ht="13.5" customHeight="1" x14ac:dyDescent="0.2">
      <c r="A145" s="44">
        <v>44407</v>
      </c>
      <c r="B145" s="44" t="s">
        <v>732</v>
      </c>
      <c r="C145" s="35" t="s">
        <v>986</v>
      </c>
      <c r="D145" s="44" t="s">
        <v>1527</v>
      </c>
      <c r="E145" s="44" t="s">
        <v>2514</v>
      </c>
      <c r="F145" s="44"/>
      <c r="G145" s="130">
        <v>40000</v>
      </c>
      <c r="H145" s="252">
        <f t="shared" si="4"/>
        <v>0</v>
      </c>
      <c r="I145" s="252">
        <f t="shared" si="5"/>
        <v>40000</v>
      </c>
      <c r="J145" s="170">
        <f>IF(A145="","",SUM($H$7:H145)-SUM($I$7:I145))</f>
        <v>-44105916</v>
      </c>
      <c r="K145" s="34"/>
    </row>
    <row r="146" spans="1:11" ht="13.5" customHeight="1" x14ac:dyDescent="0.2">
      <c r="A146" s="44">
        <v>44408</v>
      </c>
      <c r="B146" s="44" t="s">
        <v>732</v>
      </c>
      <c r="C146" s="35" t="s">
        <v>986</v>
      </c>
      <c r="D146" s="44" t="s">
        <v>1529</v>
      </c>
      <c r="E146" s="44" t="s">
        <v>2507</v>
      </c>
      <c r="F146" s="44"/>
      <c r="G146" s="130">
        <v>20000</v>
      </c>
      <c r="H146" s="252">
        <f t="shared" si="4"/>
        <v>0</v>
      </c>
      <c r="I146" s="252">
        <f t="shared" si="5"/>
        <v>20000</v>
      </c>
      <c r="J146" s="170">
        <f>IF(A146="","",SUM($H$7:H146)-SUM($I$7:I146))</f>
        <v>-44125916</v>
      </c>
      <c r="K146" s="34"/>
    </row>
    <row r="147" spans="1:11" ht="13.5" customHeight="1" x14ac:dyDescent="0.2">
      <c r="A147" s="44">
        <v>44408</v>
      </c>
      <c r="B147" s="44" t="s">
        <v>732</v>
      </c>
      <c r="C147" s="35" t="s">
        <v>986</v>
      </c>
      <c r="D147" s="44" t="s">
        <v>1527</v>
      </c>
      <c r="E147" s="44" t="s">
        <v>2514</v>
      </c>
      <c r="F147" s="44"/>
      <c r="G147" s="130">
        <v>40000</v>
      </c>
      <c r="H147" s="252">
        <f t="shared" si="4"/>
        <v>0</v>
      </c>
      <c r="I147" s="252">
        <f t="shared" si="5"/>
        <v>40000</v>
      </c>
      <c r="J147" s="170">
        <f>IF(A147="","",SUM($H$7:H147)-SUM($I$7:I147))</f>
        <v>-44165916</v>
      </c>
      <c r="K147" s="34"/>
    </row>
    <row r="148" spans="1:11" ht="13.5" customHeight="1" x14ac:dyDescent="0.2">
      <c r="A148" s="44">
        <v>44410</v>
      </c>
      <c r="B148" s="44" t="s">
        <v>732</v>
      </c>
      <c r="C148" s="35" t="s">
        <v>986</v>
      </c>
      <c r="D148" s="44" t="s">
        <v>1527</v>
      </c>
      <c r="E148" s="44" t="s">
        <v>2514</v>
      </c>
      <c r="F148" s="44"/>
      <c r="G148" s="130">
        <v>40000</v>
      </c>
      <c r="H148" s="252">
        <f t="shared" si="4"/>
        <v>0</v>
      </c>
      <c r="I148" s="252">
        <f t="shared" si="5"/>
        <v>40000</v>
      </c>
      <c r="J148" s="170">
        <f>IF(A148="","",SUM($H$7:H148)-SUM($I$7:I148))</f>
        <v>-44205916</v>
      </c>
      <c r="K148" s="34"/>
    </row>
    <row r="149" spans="1:11" ht="13.5" customHeight="1" x14ac:dyDescent="0.2">
      <c r="A149" s="44">
        <v>44411</v>
      </c>
      <c r="B149" s="44" t="s">
        <v>732</v>
      </c>
      <c r="C149" s="35" t="s">
        <v>986</v>
      </c>
      <c r="D149" s="44" t="s">
        <v>1573</v>
      </c>
      <c r="E149" s="44" t="s">
        <v>2511</v>
      </c>
      <c r="F149" s="44"/>
      <c r="G149" s="130">
        <v>30000</v>
      </c>
      <c r="H149" s="252">
        <f t="shared" si="4"/>
        <v>0</v>
      </c>
      <c r="I149" s="252">
        <f t="shared" si="5"/>
        <v>30000</v>
      </c>
      <c r="J149" s="170">
        <f>IF(A149="","",SUM($H$7:H149)-SUM($I$7:I149))</f>
        <v>-44235916</v>
      </c>
      <c r="K149" s="34"/>
    </row>
    <row r="150" spans="1:11" ht="13.5" customHeight="1" x14ac:dyDescent="0.2">
      <c r="A150" s="44">
        <v>44411</v>
      </c>
      <c r="B150" s="44" t="s">
        <v>732</v>
      </c>
      <c r="C150" s="35" t="s">
        <v>986</v>
      </c>
      <c r="D150" s="44" t="s">
        <v>1560</v>
      </c>
      <c r="E150" s="44" t="s">
        <v>2511</v>
      </c>
      <c r="F150" s="44"/>
      <c r="G150" s="130">
        <v>50000</v>
      </c>
      <c r="H150" s="252">
        <f t="shared" si="4"/>
        <v>0</v>
      </c>
      <c r="I150" s="252">
        <f t="shared" si="5"/>
        <v>50000</v>
      </c>
      <c r="J150" s="170">
        <f>IF(A150="","",SUM($H$7:H150)-SUM($I$7:I150))</f>
        <v>-44285916</v>
      </c>
      <c r="K150" s="34"/>
    </row>
    <row r="151" spans="1:11" ht="13.5" customHeight="1" x14ac:dyDescent="0.2">
      <c r="A151" s="44">
        <v>44411</v>
      </c>
      <c r="B151" s="44" t="s">
        <v>732</v>
      </c>
      <c r="C151" s="35" t="s">
        <v>986</v>
      </c>
      <c r="D151" s="44" t="s">
        <v>1568</v>
      </c>
      <c r="E151" s="44" t="s">
        <v>2514</v>
      </c>
      <c r="F151" s="44"/>
      <c r="G151" s="130">
        <v>24000</v>
      </c>
      <c r="H151" s="252">
        <f t="shared" si="4"/>
        <v>0</v>
      </c>
      <c r="I151" s="252">
        <f t="shared" si="5"/>
        <v>24000</v>
      </c>
      <c r="J151" s="170">
        <f>IF(A151="","",SUM($H$7:H151)-SUM($I$7:I151))</f>
        <v>-44309916</v>
      </c>
      <c r="K151" s="34"/>
    </row>
    <row r="152" spans="1:11" ht="13.5" customHeight="1" x14ac:dyDescent="0.2">
      <c r="A152" s="44">
        <v>44411</v>
      </c>
      <c r="B152" s="44" t="s">
        <v>732</v>
      </c>
      <c r="C152" s="35" t="s">
        <v>986</v>
      </c>
      <c r="D152" s="44" t="s">
        <v>902</v>
      </c>
      <c r="E152" s="44" t="s">
        <v>2507</v>
      </c>
      <c r="F152" s="44"/>
      <c r="G152" s="130">
        <v>2000</v>
      </c>
      <c r="H152" s="252">
        <f t="shared" si="4"/>
        <v>0</v>
      </c>
      <c r="I152" s="252">
        <f t="shared" si="5"/>
        <v>2000</v>
      </c>
      <c r="J152" s="170">
        <f>IF(A152="","",SUM($H$7:H152)-SUM($I$7:I152))</f>
        <v>-44311916</v>
      </c>
      <c r="K152" s="34"/>
    </row>
    <row r="153" spans="1:11" ht="13.5" customHeight="1" x14ac:dyDescent="0.2">
      <c r="A153" s="44">
        <v>44411</v>
      </c>
      <c r="B153" s="44" t="s">
        <v>732</v>
      </c>
      <c r="C153" s="35" t="s">
        <v>986</v>
      </c>
      <c r="D153" s="44" t="s">
        <v>1582</v>
      </c>
      <c r="E153" s="44" t="s">
        <v>2507</v>
      </c>
      <c r="F153" s="44"/>
      <c r="G153" s="130">
        <v>20000</v>
      </c>
      <c r="H153" s="252">
        <f t="shared" si="4"/>
        <v>0</v>
      </c>
      <c r="I153" s="252">
        <f t="shared" si="5"/>
        <v>20000</v>
      </c>
      <c r="J153" s="170">
        <f>IF(A153="","",SUM($H$7:H153)-SUM($I$7:I153))</f>
        <v>-44331916</v>
      </c>
      <c r="K153" s="34"/>
    </row>
    <row r="154" spans="1:11" ht="13.5" customHeight="1" x14ac:dyDescent="0.2">
      <c r="A154" s="44">
        <v>44411</v>
      </c>
      <c r="B154" s="44" t="s">
        <v>732</v>
      </c>
      <c r="C154" s="35" t="s">
        <v>986</v>
      </c>
      <c r="D154" s="44" t="s">
        <v>1583</v>
      </c>
      <c r="E154" s="44" t="s">
        <v>2507</v>
      </c>
      <c r="F154" s="44"/>
      <c r="G154" s="130">
        <v>10000</v>
      </c>
      <c r="H154" s="252">
        <f t="shared" si="4"/>
        <v>0</v>
      </c>
      <c r="I154" s="252">
        <f t="shared" si="5"/>
        <v>10000</v>
      </c>
      <c r="J154" s="170">
        <f>IF(A154="","",SUM($H$7:H154)-SUM($I$7:I154))</f>
        <v>-44341916</v>
      </c>
      <c r="K154" s="34"/>
    </row>
    <row r="155" spans="1:11" ht="13.5" customHeight="1" x14ac:dyDescent="0.2">
      <c r="A155" s="44">
        <v>44411</v>
      </c>
      <c r="B155" s="44" t="s">
        <v>732</v>
      </c>
      <c r="C155" s="35" t="s">
        <v>986</v>
      </c>
      <c r="D155" s="44" t="s">
        <v>1561</v>
      </c>
      <c r="E155" s="44" t="s">
        <v>2507</v>
      </c>
      <c r="F155" s="44"/>
      <c r="G155" s="130">
        <v>30000</v>
      </c>
      <c r="H155" s="252">
        <f t="shared" si="4"/>
        <v>0</v>
      </c>
      <c r="I155" s="252">
        <f t="shared" si="5"/>
        <v>30000</v>
      </c>
      <c r="J155" s="170">
        <f>IF(A155="","",SUM($H$7:H155)-SUM($I$7:I155))</f>
        <v>-44371916</v>
      </c>
      <c r="K155" s="34"/>
    </row>
    <row r="156" spans="1:11" ht="13.5" customHeight="1" x14ac:dyDescent="0.2">
      <c r="A156" s="44">
        <v>44411</v>
      </c>
      <c r="B156" s="44" t="s">
        <v>732</v>
      </c>
      <c r="C156" s="35" t="s">
        <v>986</v>
      </c>
      <c r="D156" s="44" t="s">
        <v>1584</v>
      </c>
      <c r="E156" s="44" t="s">
        <v>2507</v>
      </c>
      <c r="F156" s="44"/>
      <c r="G156" s="130">
        <v>10000</v>
      </c>
      <c r="H156" s="252">
        <f t="shared" si="4"/>
        <v>0</v>
      </c>
      <c r="I156" s="252">
        <f t="shared" si="5"/>
        <v>10000</v>
      </c>
      <c r="J156" s="170">
        <f>IF(A156="","",SUM($H$7:H156)-SUM($I$7:I156))</f>
        <v>-44381916</v>
      </c>
      <c r="K156" s="34"/>
    </row>
    <row r="157" spans="1:11" ht="13.5" customHeight="1" x14ac:dyDescent="0.2">
      <c r="A157" s="44">
        <v>44411</v>
      </c>
      <c r="B157" s="44" t="s">
        <v>732</v>
      </c>
      <c r="C157" s="35" t="s">
        <v>986</v>
      </c>
      <c r="D157" s="44" t="s">
        <v>1585</v>
      </c>
      <c r="E157" s="44" t="s">
        <v>2514</v>
      </c>
      <c r="F157" s="44"/>
      <c r="G157" s="130">
        <v>10000</v>
      </c>
      <c r="H157" s="252">
        <f t="shared" si="4"/>
        <v>0</v>
      </c>
      <c r="I157" s="252">
        <f t="shared" si="5"/>
        <v>10000</v>
      </c>
      <c r="J157" s="170">
        <f>IF(A157="","",SUM($H$7:H157)-SUM($I$7:I157))</f>
        <v>-44391916</v>
      </c>
      <c r="K157" s="34"/>
    </row>
    <row r="158" spans="1:11" ht="13.5" customHeight="1" x14ac:dyDescent="0.2">
      <c r="A158" s="44">
        <v>44411</v>
      </c>
      <c r="B158" s="44" t="s">
        <v>732</v>
      </c>
      <c r="C158" s="35" t="s">
        <v>986</v>
      </c>
      <c r="D158" s="44" t="s">
        <v>1586</v>
      </c>
      <c r="E158" s="44" t="s">
        <v>2507</v>
      </c>
      <c r="F158" s="44"/>
      <c r="G158" s="130">
        <v>6000</v>
      </c>
      <c r="H158" s="252">
        <f t="shared" si="4"/>
        <v>0</v>
      </c>
      <c r="I158" s="252">
        <f t="shared" si="5"/>
        <v>6000</v>
      </c>
      <c r="J158" s="170">
        <f>IF(A158="","",SUM($H$7:H158)-SUM($I$7:I158))</f>
        <v>-44397916</v>
      </c>
      <c r="K158" s="34"/>
    </row>
    <row r="159" spans="1:11" ht="13.5" customHeight="1" x14ac:dyDescent="0.2">
      <c r="A159" s="44">
        <v>44411</v>
      </c>
      <c r="B159" s="44" t="s">
        <v>732</v>
      </c>
      <c r="C159" s="35" t="s">
        <v>986</v>
      </c>
      <c r="D159" s="44" t="s">
        <v>1527</v>
      </c>
      <c r="E159" s="44" t="s">
        <v>2514</v>
      </c>
      <c r="F159" s="44"/>
      <c r="G159" s="130">
        <v>40000</v>
      </c>
      <c r="H159" s="252">
        <f t="shared" si="4"/>
        <v>0</v>
      </c>
      <c r="I159" s="252">
        <f t="shared" si="5"/>
        <v>40000</v>
      </c>
      <c r="J159" s="170">
        <f>IF(A159="","",SUM($H$7:H159)-SUM($I$7:I159))</f>
        <v>-44437916</v>
      </c>
      <c r="K159" s="34"/>
    </row>
    <row r="160" spans="1:11" ht="13.5" customHeight="1" x14ac:dyDescent="0.2">
      <c r="A160" s="44">
        <v>44413</v>
      </c>
      <c r="B160" s="44" t="s">
        <v>732</v>
      </c>
      <c r="C160" s="35" t="s">
        <v>986</v>
      </c>
      <c r="D160" s="44" t="s">
        <v>1587</v>
      </c>
      <c r="E160" s="44" t="s">
        <v>2507</v>
      </c>
      <c r="F160" s="44"/>
      <c r="G160" s="130">
        <v>105000</v>
      </c>
      <c r="H160" s="252">
        <f t="shared" si="4"/>
        <v>0</v>
      </c>
      <c r="I160" s="252">
        <f t="shared" si="5"/>
        <v>105000</v>
      </c>
      <c r="J160" s="170">
        <f>IF(A160="","",SUM($H$7:H160)-SUM($I$7:I160))</f>
        <v>-44542916</v>
      </c>
      <c r="K160" s="34"/>
    </row>
    <row r="161" spans="1:11" ht="13.5" customHeight="1" x14ac:dyDescent="0.2">
      <c r="A161" s="44">
        <v>44413</v>
      </c>
      <c r="B161" s="44" t="s">
        <v>732</v>
      </c>
      <c r="C161" s="35" t="s">
        <v>986</v>
      </c>
      <c r="D161" s="44" t="s">
        <v>1588</v>
      </c>
      <c r="E161" s="44" t="s">
        <v>1801</v>
      </c>
      <c r="F161" s="44"/>
      <c r="G161" s="130">
        <v>20000</v>
      </c>
      <c r="H161" s="252">
        <f t="shared" si="4"/>
        <v>0</v>
      </c>
      <c r="I161" s="252">
        <f t="shared" si="5"/>
        <v>20000</v>
      </c>
      <c r="J161" s="170">
        <f>IF(A161="","",SUM($H$7:H161)-SUM($I$7:I161))</f>
        <v>-44562916</v>
      </c>
      <c r="K161" s="34"/>
    </row>
    <row r="162" spans="1:11" ht="13.5" customHeight="1" x14ac:dyDescent="0.2">
      <c r="A162" s="44">
        <v>44413</v>
      </c>
      <c r="B162" s="44" t="s">
        <v>732</v>
      </c>
      <c r="C162" s="35" t="s">
        <v>986</v>
      </c>
      <c r="D162" s="44" t="s">
        <v>1589</v>
      </c>
      <c r="E162" s="44" t="s">
        <v>2507</v>
      </c>
      <c r="F162" s="44"/>
      <c r="G162" s="130">
        <v>9000</v>
      </c>
      <c r="H162" s="252">
        <f t="shared" si="4"/>
        <v>0</v>
      </c>
      <c r="I162" s="252">
        <f t="shared" si="5"/>
        <v>9000</v>
      </c>
      <c r="J162" s="170">
        <f>IF(A162="","",SUM($H$7:H162)-SUM($I$7:I162))</f>
        <v>-44571916</v>
      </c>
      <c r="K162" s="34"/>
    </row>
    <row r="163" spans="1:11" ht="13.5" customHeight="1" x14ac:dyDescent="0.2">
      <c r="A163" s="44">
        <v>44413</v>
      </c>
      <c r="B163" s="44" t="s">
        <v>732</v>
      </c>
      <c r="C163" s="35" t="s">
        <v>986</v>
      </c>
      <c r="D163" s="44" t="s">
        <v>904</v>
      </c>
      <c r="E163" s="44" t="s">
        <v>2507</v>
      </c>
      <c r="F163" s="44"/>
      <c r="G163" s="130">
        <v>60000</v>
      </c>
      <c r="H163" s="252">
        <f t="shared" si="4"/>
        <v>0</v>
      </c>
      <c r="I163" s="252">
        <f t="shared" si="5"/>
        <v>60000</v>
      </c>
      <c r="J163" s="170">
        <f>IF(A163="","",SUM($H$7:H163)-SUM($I$7:I163))</f>
        <v>-44631916</v>
      </c>
      <c r="K163" s="34"/>
    </row>
    <row r="164" spans="1:11" ht="13.5" customHeight="1" x14ac:dyDescent="0.2">
      <c r="A164" s="44">
        <v>44413</v>
      </c>
      <c r="B164" s="44" t="s">
        <v>732</v>
      </c>
      <c r="C164" s="35" t="s">
        <v>986</v>
      </c>
      <c r="D164" s="44" t="s">
        <v>1527</v>
      </c>
      <c r="E164" s="44" t="s">
        <v>2514</v>
      </c>
      <c r="F164" s="44"/>
      <c r="G164" s="130">
        <v>40000</v>
      </c>
      <c r="H164" s="252">
        <f t="shared" si="4"/>
        <v>0</v>
      </c>
      <c r="I164" s="252">
        <f t="shared" si="5"/>
        <v>40000</v>
      </c>
      <c r="J164" s="170">
        <f>IF(A164="","",SUM($H$7:H164)-SUM($I$7:I164))</f>
        <v>-44671916</v>
      </c>
      <c r="K164" s="34"/>
    </row>
    <row r="165" spans="1:11" ht="13.5" customHeight="1" x14ac:dyDescent="0.2">
      <c r="A165" s="44">
        <v>44413</v>
      </c>
      <c r="B165" s="44" t="s">
        <v>1590</v>
      </c>
      <c r="C165" s="35" t="s">
        <v>986</v>
      </c>
      <c r="D165" s="44" t="s">
        <v>2032</v>
      </c>
      <c r="E165" s="44" t="s">
        <v>2512</v>
      </c>
      <c r="F165" s="44"/>
      <c r="G165" s="130">
        <v>826000</v>
      </c>
      <c r="H165" s="252">
        <f t="shared" si="4"/>
        <v>0</v>
      </c>
      <c r="I165" s="252">
        <f t="shared" si="5"/>
        <v>826000</v>
      </c>
      <c r="J165" s="170">
        <f>IF(A165="","",SUM($H$7:H165)-SUM($I$7:I165))</f>
        <v>-45497916</v>
      </c>
      <c r="K165" s="34"/>
    </row>
    <row r="166" spans="1:11" ht="13.5" customHeight="1" x14ac:dyDescent="0.2">
      <c r="A166" s="44">
        <v>44414</v>
      </c>
      <c r="B166" s="44" t="s">
        <v>732</v>
      </c>
      <c r="C166" s="35" t="s">
        <v>986</v>
      </c>
      <c r="D166" s="44" t="s">
        <v>1527</v>
      </c>
      <c r="E166" s="44" t="s">
        <v>2514</v>
      </c>
      <c r="F166" s="44"/>
      <c r="G166" s="130">
        <v>40000</v>
      </c>
      <c r="H166" s="252">
        <f t="shared" si="4"/>
        <v>0</v>
      </c>
      <c r="I166" s="252">
        <f t="shared" si="5"/>
        <v>40000</v>
      </c>
      <c r="J166" s="170">
        <f>IF(A166="","",SUM($H$7:H166)-SUM($I$7:I166))</f>
        <v>-45537916</v>
      </c>
      <c r="K166" s="34"/>
    </row>
    <row r="167" spans="1:11" ht="13.5" customHeight="1" x14ac:dyDescent="0.2">
      <c r="A167" s="44">
        <v>44414</v>
      </c>
      <c r="B167" s="44" t="s">
        <v>732</v>
      </c>
      <c r="C167" s="35" t="s">
        <v>986</v>
      </c>
      <c r="D167" s="44" t="s">
        <v>1576</v>
      </c>
      <c r="E167" s="44" t="s">
        <v>2507</v>
      </c>
      <c r="F167" s="44"/>
      <c r="G167" s="130">
        <v>50000</v>
      </c>
      <c r="H167" s="252">
        <f t="shared" si="4"/>
        <v>0</v>
      </c>
      <c r="I167" s="252">
        <f t="shared" si="5"/>
        <v>50000</v>
      </c>
      <c r="J167" s="170">
        <f>IF(A167="","",SUM($H$7:H167)-SUM($I$7:I167))</f>
        <v>-45587916</v>
      </c>
      <c r="K167" s="34"/>
    </row>
    <row r="168" spans="1:11" ht="13.5" customHeight="1" x14ac:dyDescent="0.2">
      <c r="A168" s="44">
        <v>44414</v>
      </c>
      <c r="B168" s="44" t="s">
        <v>732</v>
      </c>
      <c r="C168" s="35" t="s">
        <v>986</v>
      </c>
      <c r="D168" s="44" t="s">
        <v>1591</v>
      </c>
      <c r="E168" s="44" t="s">
        <v>2507</v>
      </c>
      <c r="F168" s="44"/>
      <c r="G168" s="130">
        <v>3000</v>
      </c>
      <c r="H168" s="252">
        <f t="shared" si="4"/>
        <v>0</v>
      </c>
      <c r="I168" s="252">
        <f t="shared" si="5"/>
        <v>3000</v>
      </c>
      <c r="J168" s="170">
        <f>IF(A168="","",SUM($H$7:H168)-SUM($I$7:I168))</f>
        <v>-45590916</v>
      </c>
      <c r="K168" s="34"/>
    </row>
    <row r="169" spans="1:11" ht="13.5" customHeight="1" x14ac:dyDescent="0.2">
      <c r="A169" s="44">
        <v>44414</v>
      </c>
      <c r="B169" s="44" t="s">
        <v>732</v>
      </c>
      <c r="C169" s="35" t="s">
        <v>986</v>
      </c>
      <c r="D169" s="44" t="s">
        <v>1592</v>
      </c>
      <c r="E169" s="44" t="s">
        <v>1801</v>
      </c>
      <c r="F169" s="44"/>
      <c r="G169" s="130">
        <v>5000</v>
      </c>
      <c r="H169" s="252">
        <f t="shared" si="4"/>
        <v>0</v>
      </c>
      <c r="I169" s="252">
        <f t="shared" si="5"/>
        <v>5000</v>
      </c>
      <c r="J169" s="170">
        <f>IF(A169="","",SUM($H$7:H169)-SUM($I$7:I169))</f>
        <v>-45595916</v>
      </c>
      <c r="K169" s="34"/>
    </row>
    <row r="170" spans="1:11" ht="13.5" customHeight="1" x14ac:dyDescent="0.2">
      <c r="A170" s="44">
        <v>44414</v>
      </c>
      <c r="B170" s="44" t="s">
        <v>732</v>
      </c>
      <c r="C170" s="35" t="s">
        <v>986</v>
      </c>
      <c r="D170" s="44" t="s">
        <v>1593</v>
      </c>
      <c r="E170" s="44" t="s">
        <v>2515</v>
      </c>
      <c r="F170" s="44"/>
      <c r="G170" s="130">
        <v>18000</v>
      </c>
      <c r="H170" s="252">
        <f t="shared" si="4"/>
        <v>0</v>
      </c>
      <c r="I170" s="252">
        <f t="shared" si="5"/>
        <v>18000</v>
      </c>
      <c r="J170" s="170">
        <f>IF(A170="","",SUM($H$7:H170)-SUM($I$7:I170))</f>
        <v>-45613916</v>
      </c>
      <c r="K170" s="34"/>
    </row>
    <row r="171" spans="1:11" ht="13.5" customHeight="1" x14ac:dyDescent="0.2">
      <c r="A171" s="44">
        <v>44415</v>
      </c>
      <c r="B171" s="44" t="s">
        <v>732</v>
      </c>
      <c r="C171" s="35" t="s">
        <v>986</v>
      </c>
      <c r="D171" s="44" t="s">
        <v>1594</v>
      </c>
      <c r="E171" s="44" t="s">
        <v>2514</v>
      </c>
      <c r="F171" s="44"/>
      <c r="G171" s="130">
        <v>40000</v>
      </c>
      <c r="H171" s="252">
        <f t="shared" si="4"/>
        <v>0</v>
      </c>
      <c r="I171" s="252">
        <f t="shared" si="5"/>
        <v>40000</v>
      </c>
      <c r="J171" s="170">
        <f>IF(A171="","",SUM($H$7:H171)-SUM($I$7:I171))</f>
        <v>-45653916</v>
      </c>
      <c r="K171" s="34"/>
    </row>
    <row r="172" spans="1:11" ht="13.5" customHeight="1" x14ac:dyDescent="0.2">
      <c r="A172" s="44">
        <v>44415</v>
      </c>
      <c r="B172" s="44" t="s">
        <v>732</v>
      </c>
      <c r="C172" s="35" t="s">
        <v>986</v>
      </c>
      <c r="D172" s="44" t="s">
        <v>1527</v>
      </c>
      <c r="E172" s="44" t="s">
        <v>2514</v>
      </c>
      <c r="F172" s="44"/>
      <c r="G172" s="130">
        <v>40000</v>
      </c>
      <c r="H172" s="252">
        <f t="shared" si="4"/>
        <v>0</v>
      </c>
      <c r="I172" s="252">
        <f t="shared" si="5"/>
        <v>40000</v>
      </c>
      <c r="J172" s="170">
        <f>IF(A172="","",SUM($H$7:H172)-SUM($I$7:I172))</f>
        <v>-45693916</v>
      </c>
      <c r="K172" s="34"/>
    </row>
    <row r="173" spans="1:11" ht="13.5" customHeight="1" x14ac:dyDescent="0.2">
      <c r="A173" s="44">
        <v>44417</v>
      </c>
      <c r="B173" s="44" t="s">
        <v>732</v>
      </c>
      <c r="C173" s="35" t="s">
        <v>986</v>
      </c>
      <c r="D173" s="44" t="s">
        <v>1534</v>
      </c>
      <c r="E173" s="44" t="s">
        <v>2507</v>
      </c>
      <c r="F173" s="44"/>
      <c r="G173" s="130">
        <v>22500</v>
      </c>
      <c r="H173" s="252">
        <f t="shared" si="4"/>
        <v>0</v>
      </c>
      <c r="I173" s="252">
        <f t="shared" si="5"/>
        <v>22500</v>
      </c>
      <c r="J173" s="170">
        <f>IF(A173="","",SUM($H$7:H173)-SUM($I$7:I173))</f>
        <v>-45716416</v>
      </c>
      <c r="K173" s="34"/>
    </row>
    <row r="174" spans="1:11" ht="13.5" customHeight="1" x14ac:dyDescent="0.2">
      <c r="A174" s="44">
        <v>44417</v>
      </c>
      <c r="B174" s="44" t="s">
        <v>732</v>
      </c>
      <c r="C174" s="35" t="s">
        <v>986</v>
      </c>
      <c r="D174" s="44" t="s">
        <v>1527</v>
      </c>
      <c r="E174" s="44" t="s">
        <v>2514</v>
      </c>
      <c r="F174" s="44"/>
      <c r="G174" s="130">
        <v>40000</v>
      </c>
      <c r="H174" s="252">
        <f t="shared" si="4"/>
        <v>0</v>
      </c>
      <c r="I174" s="252">
        <f t="shared" si="5"/>
        <v>40000</v>
      </c>
      <c r="J174" s="170">
        <f>IF(A174="","",SUM($H$7:H174)-SUM($I$7:I174))</f>
        <v>-45756416</v>
      </c>
      <c r="K174" s="34"/>
    </row>
    <row r="175" spans="1:11" ht="13.5" customHeight="1" x14ac:dyDescent="0.2">
      <c r="A175" s="44">
        <v>44417</v>
      </c>
      <c r="B175" s="44" t="s">
        <v>732</v>
      </c>
      <c r="C175" s="35" t="s">
        <v>986</v>
      </c>
      <c r="D175" s="44" t="s">
        <v>1595</v>
      </c>
      <c r="E175" s="44" t="s">
        <v>2507</v>
      </c>
      <c r="F175" s="44"/>
      <c r="G175" s="130">
        <v>5000</v>
      </c>
      <c r="H175" s="252">
        <f t="shared" si="4"/>
        <v>0</v>
      </c>
      <c r="I175" s="252">
        <f t="shared" si="5"/>
        <v>5000</v>
      </c>
      <c r="J175" s="170">
        <f>IF(A175="","",SUM($H$7:H175)-SUM($I$7:I175))</f>
        <v>-45761416</v>
      </c>
      <c r="K175" s="34"/>
    </row>
    <row r="176" spans="1:11" ht="13.5" customHeight="1" x14ac:dyDescent="0.2">
      <c r="A176" s="44">
        <v>44417</v>
      </c>
      <c r="B176" s="44" t="s">
        <v>732</v>
      </c>
      <c r="C176" s="35" t="s">
        <v>986</v>
      </c>
      <c r="D176" s="44" t="s">
        <v>1596</v>
      </c>
      <c r="E176" s="44" t="s">
        <v>2507</v>
      </c>
      <c r="F176" s="44"/>
      <c r="G176" s="130">
        <v>32000</v>
      </c>
      <c r="H176" s="252">
        <f t="shared" si="4"/>
        <v>0</v>
      </c>
      <c r="I176" s="252">
        <f t="shared" si="5"/>
        <v>32000</v>
      </c>
      <c r="J176" s="170">
        <f>IF(A176="","",SUM($H$7:H176)-SUM($I$7:I176))</f>
        <v>-45793416</v>
      </c>
      <c r="K176" s="34"/>
    </row>
    <row r="177" spans="1:11" ht="13.5" customHeight="1" x14ac:dyDescent="0.2">
      <c r="A177" s="44">
        <v>44418</v>
      </c>
      <c r="B177" s="44" t="s">
        <v>732</v>
      </c>
      <c r="C177" s="35" t="s">
        <v>986</v>
      </c>
      <c r="D177" s="44" t="s">
        <v>1527</v>
      </c>
      <c r="E177" s="44" t="s">
        <v>2514</v>
      </c>
      <c r="F177" s="44"/>
      <c r="G177" s="130">
        <v>40000</v>
      </c>
      <c r="H177" s="252">
        <f t="shared" si="4"/>
        <v>0</v>
      </c>
      <c r="I177" s="252">
        <f t="shared" si="5"/>
        <v>40000</v>
      </c>
      <c r="J177" s="170">
        <f>IF(A177="","",SUM($H$7:H177)-SUM($I$7:I177))</f>
        <v>-45833416</v>
      </c>
      <c r="K177" s="34"/>
    </row>
    <row r="178" spans="1:11" ht="13.5" customHeight="1" x14ac:dyDescent="0.2">
      <c r="A178" s="44">
        <v>44418</v>
      </c>
      <c r="B178" s="44" t="s">
        <v>732</v>
      </c>
      <c r="C178" s="35" t="s">
        <v>986</v>
      </c>
      <c r="D178" s="44" t="s">
        <v>1581</v>
      </c>
      <c r="E178" s="44" t="s">
        <v>2507</v>
      </c>
      <c r="F178" s="44"/>
      <c r="G178" s="130">
        <v>20000</v>
      </c>
      <c r="H178" s="252">
        <f t="shared" si="4"/>
        <v>0</v>
      </c>
      <c r="I178" s="252">
        <f t="shared" si="5"/>
        <v>20000</v>
      </c>
      <c r="J178" s="170">
        <f>IF(A178="","",SUM($H$7:H178)-SUM($I$7:I178))</f>
        <v>-45853416</v>
      </c>
      <c r="K178" s="34"/>
    </row>
    <row r="179" spans="1:11" ht="13.5" customHeight="1" x14ac:dyDescent="0.2">
      <c r="A179" s="44">
        <v>44419</v>
      </c>
      <c r="B179" s="44" t="s">
        <v>732</v>
      </c>
      <c r="C179" s="35" t="s">
        <v>986</v>
      </c>
      <c r="D179" s="44" t="s">
        <v>1597</v>
      </c>
      <c r="E179" s="44" t="s">
        <v>1793</v>
      </c>
      <c r="F179" s="44"/>
      <c r="G179" s="130">
        <v>24000</v>
      </c>
      <c r="H179" s="252">
        <f t="shared" si="4"/>
        <v>0</v>
      </c>
      <c r="I179" s="252">
        <f t="shared" si="5"/>
        <v>24000</v>
      </c>
      <c r="J179" s="170">
        <f>IF(A179="","",SUM($H$7:H179)-SUM($I$7:I179))</f>
        <v>-45877416</v>
      </c>
      <c r="K179" s="34"/>
    </row>
    <row r="180" spans="1:11" ht="13.5" customHeight="1" x14ac:dyDescent="0.2">
      <c r="A180" s="44">
        <v>44419</v>
      </c>
      <c r="B180" s="44" t="s">
        <v>732</v>
      </c>
      <c r="C180" s="35" t="s">
        <v>986</v>
      </c>
      <c r="D180" s="44" t="s">
        <v>1527</v>
      </c>
      <c r="E180" s="44" t="s">
        <v>2514</v>
      </c>
      <c r="F180" s="44"/>
      <c r="G180" s="130">
        <v>40000</v>
      </c>
      <c r="H180" s="252">
        <f t="shared" si="4"/>
        <v>0</v>
      </c>
      <c r="I180" s="252">
        <f t="shared" si="5"/>
        <v>40000</v>
      </c>
      <c r="J180" s="170">
        <f>IF(A180="","",SUM($H$7:H180)-SUM($I$7:I180))</f>
        <v>-45917416</v>
      </c>
      <c r="K180" s="34"/>
    </row>
    <row r="181" spans="1:11" ht="13.5" customHeight="1" x14ac:dyDescent="0.2">
      <c r="A181" s="44">
        <v>44419</v>
      </c>
      <c r="B181" s="44" t="s">
        <v>732</v>
      </c>
      <c r="C181" s="35" t="s">
        <v>986</v>
      </c>
      <c r="D181" s="44" t="s">
        <v>1598</v>
      </c>
      <c r="E181" s="44" t="s">
        <v>2507</v>
      </c>
      <c r="F181" s="44"/>
      <c r="G181" s="130">
        <v>30000</v>
      </c>
      <c r="H181" s="252">
        <f t="shared" si="4"/>
        <v>0</v>
      </c>
      <c r="I181" s="252">
        <f t="shared" si="5"/>
        <v>30000</v>
      </c>
      <c r="J181" s="170">
        <f>IF(A181="","",SUM($H$7:H181)-SUM($I$7:I181))</f>
        <v>-45947416</v>
      </c>
      <c r="K181" s="34"/>
    </row>
    <row r="182" spans="1:11" ht="13.5" customHeight="1" x14ac:dyDescent="0.2">
      <c r="A182" s="44">
        <v>44420</v>
      </c>
      <c r="B182" s="44" t="s">
        <v>732</v>
      </c>
      <c r="C182" s="35" t="s">
        <v>986</v>
      </c>
      <c r="D182" s="44" t="s">
        <v>1527</v>
      </c>
      <c r="E182" s="44" t="s">
        <v>2514</v>
      </c>
      <c r="F182" s="44"/>
      <c r="G182" s="130">
        <v>40000</v>
      </c>
      <c r="H182" s="252">
        <f t="shared" si="4"/>
        <v>0</v>
      </c>
      <c r="I182" s="252">
        <f t="shared" si="5"/>
        <v>40000</v>
      </c>
      <c r="J182" s="170">
        <f>IF(A182="","",SUM($H$7:H182)-SUM($I$7:I182))</f>
        <v>-45987416</v>
      </c>
      <c r="K182" s="34"/>
    </row>
    <row r="183" spans="1:11" ht="13.5" customHeight="1" x14ac:dyDescent="0.2">
      <c r="A183" s="44">
        <v>44421</v>
      </c>
      <c r="B183" s="44" t="s">
        <v>732</v>
      </c>
      <c r="C183" s="35" t="s">
        <v>986</v>
      </c>
      <c r="D183" s="44" t="s">
        <v>1599</v>
      </c>
      <c r="E183" s="44" t="s">
        <v>2507</v>
      </c>
      <c r="F183" s="44"/>
      <c r="G183" s="130">
        <v>30000</v>
      </c>
      <c r="H183" s="252">
        <f t="shared" si="4"/>
        <v>0</v>
      </c>
      <c r="I183" s="252">
        <f t="shared" si="5"/>
        <v>30000</v>
      </c>
      <c r="J183" s="170">
        <f>IF(A183="","",SUM($H$7:H183)-SUM($I$7:I183))</f>
        <v>-46017416</v>
      </c>
      <c r="K183" s="34"/>
    </row>
    <row r="184" spans="1:11" ht="13.5" customHeight="1" x14ac:dyDescent="0.2">
      <c r="A184" s="44">
        <v>44421</v>
      </c>
      <c r="B184" s="44" t="s">
        <v>732</v>
      </c>
      <c r="C184" s="35" t="s">
        <v>986</v>
      </c>
      <c r="D184" s="44" t="s">
        <v>1527</v>
      </c>
      <c r="E184" s="44" t="s">
        <v>2514</v>
      </c>
      <c r="F184" s="44"/>
      <c r="G184" s="130">
        <v>35000</v>
      </c>
      <c r="H184" s="252">
        <f t="shared" si="4"/>
        <v>0</v>
      </c>
      <c r="I184" s="252">
        <f t="shared" si="5"/>
        <v>35000</v>
      </c>
      <c r="J184" s="170">
        <f>IF(A184="","",SUM($H$7:H184)-SUM($I$7:I184))</f>
        <v>-46052416</v>
      </c>
      <c r="K184" s="34"/>
    </row>
    <row r="185" spans="1:11" ht="13.5" customHeight="1" x14ac:dyDescent="0.2">
      <c r="A185" s="44">
        <v>44421</v>
      </c>
      <c r="B185" s="44" t="s">
        <v>732</v>
      </c>
      <c r="C185" s="35" t="s">
        <v>986</v>
      </c>
      <c r="D185" s="44" t="s">
        <v>1600</v>
      </c>
      <c r="E185" s="44" t="s">
        <v>2507</v>
      </c>
      <c r="F185" s="44"/>
      <c r="G185" s="130">
        <v>140000</v>
      </c>
      <c r="H185" s="252">
        <f t="shared" si="4"/>
        <v>0</v>
      </c>
      <c r="I185" s="252">
        <f t="shared" si="5"/>
        <v>140000</v>
      </c>
      <c r="J185" s="170">
        <f>IF(A185="","",SUM($H$7:H185)-SUM($I$7:I185))</f>
        <v>-46192416</v>
      </c>
      <c r="K185" s="34"/>
    </row>
    <row r="186" spans="1:11" ht="13.5" customHeight="1" x14ac:dyDescent="0.2">
      <c r="A186" s="44">
        <v>44421</v>
      </c>
      <c r="B186" s="44" t="s">
        <v>732</v>
      </c>
      <c r="C186" s="35" t="s">
        <v>986</v>
      </c>
      <c r="D186" s="44" t="s">
        <v>1601</v>
      </c>
      <c r="E186" s="44" t="s">
        <v>2507</v>
      </c>
      <c r="F186" s="44"/>
      <c r="G186" s="130">
        <v>60000</v>
      </c>
      <c r="H186" s="252">
        <f t="shared" si="4"/>
        <v>0</v>
      </c>
      <c r="I186" s="252">
        <f t="shared" si="5"/>
        <v>60000</v>
      </c>
      <c r="J186" s="170">
        <f>IF(A186="","",SUM($H$7:H186)-SUM($I$7:I186))</f>
        <v>-46252416</v>
      </c>
      <c r="K186" s="34"/>
    </row>
    <row r="187" spans="1:11" ht="13.5" customHeight="1" x14ac:dyDescent="0.2">
      <c r="A187" s="44">
        <v>44421</v>
      </c>
      <c r="B187" s="44" t="s">
        <v>732</v>
      </c>
      <c r="C187" s="35" t="s">
        <v>986</v>
      </c>
      <c r="D187" s="44" t="s">
        <v>1602</v>
      </c>
      <c r="E187" s="44" t="s">
        <v>2514</v>
      </c>
      <c r="F187" s="44"/>
      <c r="G187" s="130">
        <v>35000</v>
      </c>
      <c r="H187" s="252">
        <f t="shared" si="4"/>
        <v>0</v>
      </c>
      <c r="I187" s="252">
        <f t="shared" si="5"/>
        <v>35000</v>
      </c>
      <c r="J187" s="170">
        <f>IF(A187="","",SUM($H$7:H187)-SUM($I$7:I187))</f>
        <v>-46287416</v>
      </c>
      <c r="K187" s="34"/>
    </row>
    <row r="188" spans="1:11" ht="13.5" customHeight="1" x14ac:dyDescent="0.2">
      <c r="A188" s="44">
        <v>44421</v>
      </c>
      <c r="B188" s="44" t="s">
        <v>732</v>
      </c>
      <c r="C188" s="35" t="s">
        <v>986</v>
      </c>
      <c r="D188" s="44" t="s">
        <v>1603</v>
      </c>
      <c r="E188" s="44" t="s">
        <v>2507</v>
      </c>
      <c r="F188" s="44"/>
      <c r="G188" s="130">
        <v>35000</v>
      </c>
      <c r="H188" s="252">
        <f t="shared" si="4"/>
        <v>0</v>
      </c>
      <c r="I188" s="252">
        <f t="shared" si="5"/>
        <v>35000</v>
      </c>
      <c r="J188" s="170">
        <f>IF(A188="","",SUM($H$7:H188)-SUM($I$7:I188))</f>
        <v>-46322416</v>
      </c>
      <c r="K188" s="34"/>
    </row>
    <row r="189" spans="1:11" ht="13.5" customHeight="1" x14ac:dyDescent="0.2">
      <c r="A189" s="44">
        <v>44421</v>
      </c>
      <c r="B189" s="44" t="s">
        <v>732</v>
      </c>
      <c r="C189" s="35" t="s">
        <v>986</v>
      </c>
      <c r="D189" s="44" t="s">
        <v>1604</v>
      </c>
      <c r="E189" s="44" t="s">
        <v>2489</v>
      </c>
      <c r="F189" s="44"/>
      <c r="G189" s="130">
        <v>5000</v>
      </c>
      <c r="H189" s="252">
        <f t="shared" si="4"/>
        <v>0</v>
      </c>
      <c r="I189" s="252">
        <f t="shared" si="5"/>
        <v>5000</v>
      </c>
      <c r="J189" s="170">
        <f>IF(A189="","",SUM($H$7:H189)-SUM($I$7:I189))</f>
        <v>-46327416</v>
      </c>
      <c r="K189" s="34"/>
    </row>
    <row r="190" spans="1:11" ht="13.5" customHeight="1" x14ac:dyDescent="0.2">
      <c r="A190" s="44">
        <v>44422</v>
      </c>
      <c r="B190" s="44" t="s">
        <v>732</v>
      </c>
      <c r="C190" s="35" t="s">
        <v>986</v>
      </c>
      <c r="D190" s="44" t="s">
        <v>1605</v>
      </c>
      <c r="E190" s="44" t="s">
        <v>2507</v>
      </c>
      <c r="F190" s="44"/>
      <c r="G190" s="130">
        <v>850000</v>
      </c>
      <c r="H190" s="252">
        <f t="shared" si="4"/>
        <v>0</v>
      </c>
      <c r="I190" s="252">
        <f t="shared" si="5"/>
        <v>850000</v>
      </c>
      <c r="J190" s="170">
        <f>IF(A190="","",SUM($H$7:H190)-SUM($I$7:I190))</f>
        <v>-47177416</v>
      </c>
      <c r="K190" s="34"/>
    </row>
    <row r="191" spans="1:11" ht="13.5" customHeight="1" x14ac:dyDescent="0.2">
      <c r="A191" s="44">
        <v>44422</v>
      </c>
      <c r="B191" s="44" t="s">
        <v>732</v>
      </c>
      <c r="C191" s="35" t="s">
        <v>986</v>
      </c>
      <c r="D191" s="44" t="s">
        <v>1569</v>
      </c>
      <c r="E191" s="44" t="s">
        <v>2514</v>
      </c>
      <c r="F191" s="44"/>
      <c r="G191" s="130">
        <v>45000</v>
      </c>
      <c r="H191" s="252">
        <f t="shared" si="4"/>
        <v>0</v>
      </c>
      <c r="I191" s="252">
        <f t="shared" si="5"/>
        <v>45000</v>
      </c>
      <c r="J191" s="170">
        <f>IF(A191="","",SUM($H$7:H191)-SUM($I$7:I191))</f>
        <v>-47222416</v>
      </c>
      <c r="K191" s="34"/>
    </row>
    <row r="192" spans="1:11" ht="13.5" customHeight="1" x14ac:dyDescent="0.2">
      <c r="A192" s="44">
        <v>44422</v>
      </c>
      <c r="B192" s="44" t="s">
        <v>732</v>
      </c>
      <c r="C192" s="35" t="s">
        <v>986</v>
      </c>
      <c r="D192" s="44" t="s">
        <v>1606</v>
      </c>
      <c r="E192" s="44" t="s">
        <v>2514</v>
      </c>
      <c r="F192" s="44"/>
      <c r="G192" s="130">
        <v>20000</v>
      </c>
      <c r="H192" s="252">
        <f t="shared" si="4"/>
        <v>0</v>
      </c>
      <c r="I192" s="252">
        <f t="shared" si="5"/>
        <v>20000</v>
      </c>
      <c r="J192" s="170">
        <f>IF(A192="","",SUM($H$7:H192)-SUM($I$7:I192))</f>
        <v>-47242416</v>
      </c>
      <c r="K192" s="34"/>
    </row>
    <row r="193" spans="1:11" ht="13.5" customHeight="1" x14ac:dyDescent="0.2">
      <c r="A193" s="44">
        <v>44424</v>
      </c>
      <c r="B193" s="44" t="s">
        <v>732</v>
      </c>
      <c r="C193" s="35" t="s">
        <v>986</v>
      </c>
      <c r="D193" s="44" t="s">
        <v>1569</v>
      </c>
      <c r="E193" s="44" t="s">
        <v>2514</v>
      </c>
      <c r="F193" s="44"/>
      <c r="G193" s="130">
        <v>35000</v>
      </c>
      <c r="H193" s="252">
        <f t="shared" si="4"/>
        <v>0</v>
      </c>
      <c r="I193" s="252">
        <f t="shared" si="5"/>
        <v>35000</v>
      </c>
      <c r="J193" s="170">
        <f>IF(A193="","",SUM($H$7:H193)-SUM($I$7:I193))</f>
        <v>-47277416</v>
      </c>
      <c r="K193" s="34"/>
    </row>
    <row r="194" spans="1:11" ht="13.5" customHeight="1" x14ac:dyDescent="0.2">
      <c r="A194" s="44">
        <v>44424</v>
      </c>
      <c r="B194" s="44" t="s">
        <v>732</v>
      </c>
      <c r="C194" s="35" t="s">
        <v>986</v>
      </c>
      <c r="D194" s="44" t="s">
        <v>1607</v>
      </c>
      <c r="E194" s="44" t="s">
        <v>2507</v>
      </c>
      <c r="F194" s="44"/>
      <c r="G194" s="130">
        <v>10000</v>
      </c>
      <c r="H194" s="252">
        <f t="shared" si="4"/>
        <v>0</v>
      </c>
      <c r="I194" s="252">
        <f t="shared" si="5"/>
        <v>10000</v>
      </c>
      <c r="J194" s="170">
        <f>IF(A194="","",SUM($H$7:H194)-SUM($I$7:I194))</f>
        <v>-47287416</v>
      </c>
      <c r="K194" s="34"/>
    </row>
    <row r="195" spans="1:11" ht="13.5" customHeight="1" x14ac:dyDescent="0.2">
      <c r="A195" s="44">
        <v>44425</v>
      </c>
      <c r="B195" s="44" t="s">
        <v>732</v>
      </c>
      <c r="C195" s="35" t="s">
        <v>986</v>
      </c>
      <c r="D195" s="44" t="s">
        <v>1608</v>
      </c>
      <c r="E195" s="44" t="s">
        <v>2511</v>
      </c>
      <c r="F195" s="44"/>
      <c r="G195" s="130">
        <v>16000</v>
      </c>
      <c r="H195" s="252">
        <f t="shared" si="4"/>
        <v>0</v>
      </c>
      <c r="I195" s="252">
        <f t="shared" si="5"/>
        <v>16000</v>
      </c>
      <c r="J195" s="170">
        <f>IF(A195="","",SUM($H$7:H195)-SUM($I$7:I195))</f>
        <v>-47303416</v>
      </c>
      <c r="K195" s="34"/>
    </row>
    <row r="196" spans="1:11" ht="13.5" customHeight="1" x14ac:dyDescent="0.2">
      <c r="A196" s="44">
        <v>44425</v>
      </c>
      <c r="B196" s="44" t="s">
        <v>732</v>
      </c>
      <c r="C196" s="35" t="s">
        <v>986</v>
      </c>
      <c r="D196" s="44" t="s">
        <v>1609</v>
      </c>
      <c r="E196" s="44" t="s">
        <v>2511</v>
      </c>
      <c r="F196" s="44"/>
      <c r="G196" s="130">
        <v>2000</v>
      </c>
      <c r="H196" s="252">
        <f t="shared" si="4"/>
        <v>0</v>
      </c>
      <c r="I196" s="252">
        <f t="shared" si="5"/>
        <v>2000</v>
      </c>
      <c r="J196" s="170">
        <f>IF(A196="","",SUM($H$7:H196)-SUM($I$7:I196))</f>
        <v>-47305416</v>
      </c>
      <c r="K196" s="34"/>
    </row>
    <row r="197" spans="1:11" ht="13.5" customHeight="1" x14ac:dyDescent="0.2">
      <c r="A197" s="44">
        <v>44425</v>
      </c>
      <c r="B197" s="44" t="s">
        <v>732</v>
      </c>
      <c r="C197" s="35" t="s">
        <v>986</v>
      </c>
      <c r="D197" s="44" t="s">
        <v>1569</v>
      </c>
      <c r="E197" s="44" t="s">
        <v>2514</v>
      </c>
      <c r="F197" s="44"/>
      <c r="G197" s="130">
        <v>40000</v>
      </c>
      <c r="H197" s="252">
        <f t="shared" si="4"/>
        <v>0</v>
      </c>
      <c r="I197" s="252">
        <f t="shared" si="5"/>
        <v>40000</v>
      </c>
      <c r="J197" s="170">
        <f>IF(A197="","",SUM($H$7:H197)-SUM($I$7:I197))</f>
        <v>-47345416</v>
      </c>
      <c r="K197" s="34"/>
    </row>
    <row r="198" spans="1:11" ht="13.5" customHeight="1" x14ac:dyDescent="0.2">
      <c r="A198" s="44">
        <v>44426</v>
      </c>
      <c r="B198" s="44" t="s">
        <v>732</v>
      </c>
      <c r="C198" s="35" t="s">
        <v>986</v>
      </c>
      <c r="D198" s="44" t="s">
        <v>1569</v>
      </c>
      <c r="E198" s="44" t="s">
        <v>2514</v>
      </c>
      <c r="F198" s="44"/>
      <c r="G198" s="130">
        <v>40000</v>
      </c>
      <c r="H198" s="252">
        <f t="shared" si="4"/>
        <v>0</v>
      </c>
      <c r="I198" s="252">
        <f t="shared" si="5"/>
        <v>40000</v>
      </c>
      <c r="J198" s="170">
        <f>IF(A198="","",SUM($H$7:H198)-SUM($I$7:I198))</f>
        <v>-47385416</v>
      </c>
      <c r="K198" s="34"/>
    </row>
    <row r="199" spans="1:11" ht="13.5" customHeight="1" x14ac:dyDescent="0.2">
      <c r="A199" s="44">
        <v>44426</v>
      </c>
      <c r="B199" s="44" t="s">
        <v>732</v>
      </c>
      <c r="C199" s="35" t="s">
        <v>986</v>
      </c>
      <c r="D199" s="44" t="s">
        <v>1560</v>
      </c>
      <c r="E199" s="44" t="s">
        <v>2511</v>
      </c>
      <c r="F199" s="44"/>
      <c r="G199" s="130">
        <v>30000</v>
      </c>
      <c r="H199" s="252">
        <f t="shared" ref="H199:H262" si="6">IF($C199="Replenishment",$G199,0)</f>
        <v>0</v>
      </c>
      <c r="I199" s="252">
        <f t="shared" ref="I199:I262" si="7">IF($C199="Replenishment",0,$G199)</f>
        <v>30000</v>
      </c>
      <c r="J199" s="170">
        <f>IF(A199="","",SUM($H$7:H199)-SUM($I$7:I199))</f>
        <v>-47415416</v>
      </c>
      <c r="K199" s="34"/>
    </row>
    <row r="200" spans="1:11" ht="13.5" customHeight="1" x14ac:dyDescent="0.2">
      <c r="A200" s="44">
        <v>44426</v>
      </c>
      <c r="B200" s="44" t="s">
        <v>732</v>
      </c>
      <c r="C200" s="35" t="s">
        <v>986</v>
      </c>
      <c r="D200" s="44" t="s">
        <v>1610</v>
      </c>
      <c r="E200" s="44" t="s">
        <v>2489</v>
      </c>
      <c r="F200" s="44"/>
      <c r="G200" s="130">
        <v>50000</v>
      </c>
      <c r="H200" s="252">
        <f t="shared" si="6"/>
        <v>0</v>
      </c>
      <c r="I200" s="252">
        <f t="shared" si="7"/>
        <v>50000</v>
      </c>
      <c r="J200" s="170">
        <f>IF(A200="","",SUM($H$7:H200)-SUM($I$7:I200))</f>
        <v>-47465416</v>
      </c>
      <c r="K200" s="34"/>
    </row>
    <row r="201" spans="1:11" ht="13.5" customHeight="1" x14ac:dyDescent="0.2">
      <c r="A201" s="44">
        <v>44426</v>
      </c>
      <c r="B201" s="44" t="s">
        <v>732</v>
      </c>
      <c r="C201" s="35" t="s">
        <v>986</v>
      </c>
      <c r="D201" s="44" t="s">
        <v>1611</v>
      </c>
      <c r="E201" s="44" t="s">
        <v>2507</v>
      </c>
      <c r="F201" s="44"/>
      <c r="G201" s="130">
        <v>30000</v>
      </c>
      <c r="H201" s="252">
        <f t="shared" si="6"/>
        <v>0</v>
      </c>
      <c r="I201" s="252">
        <f t="shared" si="7"/>
        <v>30000</v>
      </c>
      <c r="J201" s="170">
        <f>IF(A201="","",SUM($H$7:H201)-SUM($I$7:I201))</f>
        <v>-47495416</v>
      </c>
      <c r="K201" s="34"/>
    </row>
    <row r="202" spans="1:11" ht="13.5" customHeight="1" x14ac:dyDescent="0.2">
      <c r="A202" s="44">
        <v>44426</v>
      </c>
      <c r="B202" s="44" t="s">
        <v>732</v>
      </c>
      <c r="C202" s="35" t="s">
        <v>986</v>
      </c>
      <c r="D202" s="44" t="s">
        <v>1612</v>
      </c>
      <c r="E202" s="44" t="s">
        <v>2507</v>
      </c>
      <c r="F202" s="44"/>
      <c r="G202" s="130">
        <v>50000</v>
      </c>
      <c r="H202" s="252">
        <f t="shared" si="6"/>
        <v>0</v>
      </c>
      <c r="I202" s="252">
        <f t="shared" si="7"/>
        <v>50000</v>
      </c>
      <c r="J202" s="170">
        <f>IF(A202="","",SUM($H$7:H202)-SUM($I$7:I202))</f>
        <v>-47545416</v>
      </c>
      <c r="K202" s="34"/>
    </row>
    <row r="203" spans="1:11" ht="13.5" customHeight="1" x14ac:dyDescent="0.2">
      <c r="A203" s="44">
        <v>44426</v>
      </c>
      <c r="B203" s="44" t="s">
        <v>732</v>
      </c>
      <c r="C203" s="35" t="s">
        <v>986</v>
      </c>
      <c r="D203" s="44" t="s">
        <v>1534</v>
      </c>
      <c r="E203" s="44" t="s">
        <v>2507</v>
      </c>
      <c r="F203" s="44"/>
      <c r="G203" s="130">
        <v>50000</v>
      </c>
      <c r="H203" s="252">
        <f t="shared" si="6"/>
        <v>0</v>
      </c>
      <c r="I203" s="252">
        <f t="shared" si="7"/>
        <v>50000</v>
      </c>
      <c r="J203" s="170">
        <f>IF(A203="","",SUM($H$7:H203)-SUM($I$7:I203))</f>
        <v>-47595416</v>
      </c>
      <c r="K203" s="34"/>
    </row>
    <row r="204" spans="1:11" ht="13.5" customHeight="1" x14ac:dyDescent="0.2">
      <c r="A204" s="44">
        <v>44426</v>
      </c>
      <c r="B204" s="44" t="s">
        <v>732</v>
      </c>
      <c r="C204" s="35" t="s">
        <v>986</v>
      </c>
      <c r="D204" s="44" t="s">
        <v>1613</v>
      </c>
      <c r="E204" s="44" t="s">
        <v>2507</v>
      </c>
      <c r="F204" s="44"/>
      <c r="G204" s="130">
        <v>90000</v>
      </c>
      <c r="H204" s="252">
        <f t="shared" si="6"/>
        <v>0</v>
      </c>
      <c r="I204" s="252">
        <f t="shared" si="7"/>
        <v>90000</v>
      </c>
      <c r="J204" s="170">
        <f>IF(A204="","",SUM($H$7:H204)-SUM($I$7:I204))</f>
        <v>-47685416</v>
      </c>
      <c r="K204" s="34"/>
    </row>
    <row r="205" spans="1:11" ht="13.5" customHeight="1" x14ac:dyDescent="0.2">
      <c r="A205" s="44">
        <v>44427</v>
      </c>
      <c r="B205" s="44" t="s">
        <v>732</v>
      </c>
      <c r="C205" s="35" t="s">
        <v>986</v>
      </c>
      <c r="D205" s="44" t="s">
        <v>2451</v>
      </c>
      <c r="E205" s="44" t="s">
        <v>2510</v>
      </c>
      <c r="F205" s="44"/>
      <c r="G205" s="130">
        <v>463011</v>
      </c>
      <c r="H205" s="252">
        <f t="shared" si="6"/>
        <v>0</v>
      </c>
      <c r="I205" s="252">
        <f t="shared" si="7"/>
        <v>463011</v>
      </c>
      <c r="J205" s="170">
        <f>IF(A205="","",SUM($H$7:H205)-SUM($I$7:I205))</f>
        <v>-48148427</v>
      </c>
      <c r="K205" s="34"/>
    </row>
    <row r="206" spans="1:11" ht="13.5" customHeight="1" x14ac:dyDescent="0.2">
      <c r="A206" s="44">
        <v>44427</v>
      </c>
      <c r="B206" s="44" t="s">
        <v>732</v>
      </c>
      <c r="C206" s="35" t="s">
        <v>986</v>
      </c>
      <c r="D206" s="44" t="s">
        <v>1614</v>
      </c>
      <c r="E206" s="44" t="s">
        <v>2489</v>
      </c>
      <c r="F206" s="44"/>
      <c r="G206" s="130">
        <v>2300</v>
      </c>
      <c r="H206" s="252">
        <f t="shared" si="6"/>
        <v>0</v>
      </c>
      <c r="I206" s="252">
        <f t="shared" si="7"/>
        <v>2300</v>
      </c>
      <c r="J206" s="170">
        <f>IF(A206="","",SUM($H$7:H206)-SUM($I$7:I206))</f>
        <v>-48150727</v>
      </c>
      <c r="K206" s="34"/>
    </row>
    <row r="207" spans="1:11" ht="13.5" customHeight="1" x14ac:dyDescent="0.2">
      <c r="A207" s="44">
        <v>44427</v>
      </c>
      <c r="B207" s="44" t="s">
        <v>732</v>
      </c>
      <c r="C207" s="35" t="s">
        <v>986</v>
      </c>
      <c r="D207" s="44" t="s">
        <v>1569</v>
      </c>
      <c r="E207" s="44" t="s">
        <v>2514</v>
      </c>
      <c r="F207" s="44"/>
      <c r="G207" s="130">
        <v>40000</v>
      </c>
      <c r="H207" s="252">
        <f t="shared" si="6"/>
        <v>0</v>
      </c>
      <c r="I207" s="252">
        <f t="shared" si="7"/>
        <v>40000</v>
      </c>
      <c r="J207" s="170">
        <f>IF(A207="","",SUM($H$7:H207)-SUM($I$7:I207))</f>
        <v>-48190727</v>
      </c>
      <c r="K207" s="34"/>
    </row>
    <row r="208" spans="1:11" ht="13.5" customHeight="1" x14ac:dyDescent="0.2">
      <c r="A208" s="44">
        <v>44428</v>
      </c>
      <c r="B208" s="44" t="s">
        <v>732</v>
      </c>
      <c r="C208" s="35" t="s">
        <v>986</v>
      </c>
      <c r="D208" s="44" t="s">
        <v>1569</v>
      </c>
      <c r="E208" s="44" t="s">
        <v>2514</v>
      </c>
      <c r="F208" s="44"/>
      <c r="G208" s="130">
        <v>45000</v>
      </c>
      <c r="H208" s="252">
        <f t="shared" si="6"/>
        <v>0</v>
      </c>
      <c r="I208" s="252">
        <f t="shared" si="7"/>
        <v>45000</v>
      </c>
      <c r="J208" s="170">
        <f>IF(A208="","",SUM($H$7:H208)-SUM($I$7:I208))</f>
        <v>-48235727</v>
      </c>
      <c r="K208" s="34"/>
    </row>
    <row r="209" spans="1:11" ht="13.5" customHeight="1" x14ac:dyDescent="0.2">
      <c r="A209" s="44">
        <v>44428</v>
      </c>
      <c r="B209" s="44" t="s">
        <v>732</v>
      </c>
      <c r="C209" s="35" t="s">
        <v>986</v>
      </c>
      <c r="D209" s="44" t="s">
        <v>1611</v>
      </c>
      <c r="E209" s="44" t="s">
        <v>2507</v>
      </c>
      <c r="F209" s="44"/>
      <c r="G209" s="130">
        <v>30000</v>
      </c>
      <c r="H209" s="252">
        <f t="shared" si="6"/>
        <v>0</v>
      </c>
      <c r="I209" s="252">
        <f t="shared" si="7"/>
        <v>30000</v>
      </c>
      <c r="J209" s="170">
        <f>IF(A209="","",SUM($H$7:H209)-SUM($I$7:I209))</f>
        <v>-48265727</v>
      </c>
      <c r="K209" s="34"/>
    </row>
    <row r="210" spans="1:11" ht="13.5" customHeight="1" x14ac:dyDescent="0.2">
      <c r="A210" s="44">
        <v>44428</v>
      </c>
      <c r="B210" s="44" t="s">
        <v>732</v>
      </c>
      <c r="C210" s="35" t="s">
        <v>986</v>
      </c>
      <c r="D210" s="44" t="s">
        <v>1615</v>
      </c>
      <c r="E210" s="44" t="s">
        <v>2507</v>
      </c>
      <c r="F210" s="44"/>
      <c r="G210" s="130">
        <v>20000</v>
      </c>
      <c r="H210" s="252">
        <f t="shared" si="6"/>
        <v>0</v>
      </c>
      <c r="I210" s="252">
        <f t="shared" si="7"/>
        <v>20000</v>
      </c>
      <c r="J210" s="170">
        <f>IF(A210="","",SUM($H$7:H210)-SUM($I$7:I210))</f>
        <v>-48285727</v>
      </c>
      <c r="K210" s="34"/>
    </row>
    <row r="211" spans="1:11" ht="13.5" customHeight="1" x14ac:dyDescent="0.2">
      <c r="A211" s="44">
        <v>44428</v>
      </c>
      <c r="B211" s="44" t="s">
        <v>732</v>
      </c>
      <c r="C211" s="35" t="s">
        <v>986</v>
      </c>
      <c r="D211" s="44" t="s">
        <v>1616</v>
      </c>
      <c r="E211" s="44" t="s">
        <v>2514</v>
      </c>
      <c r="F211" s="44"/>
      <c r="G211" s="130">
        <v>15000</v>
      </c>
      <c r="H211" s="252">
        <f t="shared" si="6"/>
        <v>0</v>
      </c>
      <c r="I211" s="252">
        <f t="shared" si="7"/>
        <v>15000</v>
      </c>
      <c r="J211" s="170">
        <f>IF(A211="","",SUM($H$7:H211)-SUM($I$7:I211))</f>
        <v>-48300727</v>
      </c>
      <c r="K211" s="34"/>
    </row>
    <row r="212" spans="1:11" ht="13.5" customHeight="1" x14ac:dyDescent="0.2">
      <c r="A212" s="44">
        <v>44428</v>
      </c>
      <c r="B212" s="44" t="s">
        <v>732</v>
      </c>
      <c r="C212" s="35" t="s">
        <v>986</v>
      </c>
      <c r="D212" s="44" t="s">
        <v>1617</v>
      </c>
      <c r="E212" s="44" t="s">
        <v>2515</v>
      </c>
      <c r="F212" s="44"/>
      <c r="G212" s="130">
        <v>18000</v>
      </c>
      <c r="H212" s="252">
        <f t="shared" si="6"/>
        <v>0</v>
      </c>
      <c r="I212" s="252">
        <f t="shared" si="7"/>
        <v>18000</v>
      </c>
      <c r="J212" s="170">
        <f>IF(A212="","",SUM($H$7:H212)-SUM($I$7:I212))</f>
        <v>-48318727</v>
      </c>
      <c r="K212" s="34"/>
    </row>
    <row r="213" spans="1:11" ht="13.5" customHeight="1" x14ac:dyDescent="0.2">
      <c r="A213" s="44">
        <v>44428</v>
      </c>
      <c r="B213" s="44" t="s">
        <v>732</v>
      </c>
      <c r="C213" s="35" t="s">
        <v>986</v>
      </c>
      <c r="D213" s="44" t="s">
        <v>1804</v>
      </c>
      <c r="E213" s="44" t="s">
        <v>2507</v>
      </c>
      <c r="F213" s="44"/>
      <c r="G213" s="130">
        <v>45000</v>
      </c>
      <c r="H213" s="252">
        <f t="shared" si="6"/>
        <v>0</v>
      </c>
      <c r="I213" s="252">
        <f t="shared" si="7"/>
        <v>45000</v>
      </c>
      <c r="J213" s="170">
        <f>IF(A213="","",SUM($H$7:H213)-SUM($I$7:I213))</f>
        <v>-48363727</v>
      </c>
      <c r="K213" s="34"/>
    </row>
    <row r="214" spans="1:11" ht="13.5" customHeight="1" x14ac:dyDescent="0.2">
      <c r="A214" s="44">
        <v>44428</v>
      </c>
      <c r="B214" s="44" t="s">
        <v>732</v>
      </c>
      <c r="C214" s="35" t="s">
        <v>936</v>
      </c>
      <c r="D214" s="44" t="s">
        <v>1618</v>
      </c>
      <c r="E214" s="44" t="s">
        <v>1800</v>
      </c>
      <c r="F214" s="44"/>
      <c r="G214" s="130">
        <v>85000</v>
      </c>
      <c r="H214" s="252">
        <f t="shared" si="6"/>
        <v>0</v>
      </c>
      <c r="I214" s="252">
        <f t="shared" si="7"/>
        <v>85000</v>
      </c>
      <c r="J214" s="170">
        <f>IF(A214="","",SUM($H$7:H214)-SUM($I$7:I214))</f>
        <v>-48448727</v>
      </c>
      <c r="K214" s="34"/>
    </row>
    <row r="215" spans="1:11" ht="13.5" customHeight="1" x14ac:dyDescent="0.2">
      <c r="A215" s="44">
        <v>44429</v>
      </c>
      <c r="B215" s="44" t="s">
        <v>732</v>
      </c>
      <c r="C215" s="35" t="s">
        <v>986</v>
      </c>
      <c r="D215" s="44" t="s">
        <v>1619</v>
      </c>
      <c r="E215" s="44" t="s">
        <v>2514</v>
      </c>
      <c r="F215" s="44"/>
      <c r="G215" s="130">
        <v>45000</v>
      </c>
      <c r="H215" s="252">
        <f t="shared" si="6"/>
        <v>0</v>
      </c>
      <c r="I215" s="252">
        <f t="shared" si="7"/>
        <v>45000</v>
      </c>
      <c r="J215" s="170">
        <f>IF(A215="","",SUM($H$7:H215)-SUM($I$7:I215))</f>
        <v>-48493727</v>
      </c>
      <c r="K215" s="34"/>
    </row>
    <row r="216" spans="1:11" ht="13.5" customHeight="1" x14ac:dyDescent="0.2">
      <c r="A216" s="44">
        <v>44429</v>
      </c>
      <c r="B216" s="44" t="s">
        <v>732</v>
      </c>
      <c r="C216" s="35" t="s">
        <v>986</v>
      </c>
      <c r="D216" s="44" t="s">
        <v>1620</v>
      </c>
      <c r="E216" s="44" t="s">
        <v>2515</v>
      </c>
      <c r="F216" s="44"/>
      <c r="G216" s="130">
        <v>48000</v>
      </c>
      <c r="H216" s="252">
        <f t="shared" si="6"/>
        <v>0</v>
      </c>
      <c r="I216" s="252">
        <f t="shared" si="7"/>
        <v>48000</v>
      </c>
      <c r="J216" s="170">
        <f>IF(A216="","",SUM($H$7:H216)-SUM($I$7:I216))</f>
        <v>-48541727</v>
      </c>
      <c r="K216" s="34"/>
    </row>
    <row r="217" spans="1:11" ht="13.5" customHeight="1" x14ac:dyDescent="0.2">
      <c r="A217" s="44">
        <v>44431</v>
      </c>
      <c r="B217" s="44" t="s">
        <v>732</v>
      </c>
      <c r="C217" s="35" t="s">
        <v>986</v>
      </c>
      <c r="D217" s="44" t="s">
        <v>1619</v>
      </c>
      <c r="E217" s="44" t="s">
        <v>2514</v>
      </c>
      <c r="F217" s="44"/>
      <c r="G217" s="130">
        <v>45000</v>
      </c>
      <c r="H217" s="252">
        <f t="shared" si="6"/>
        <v>0</v>
      </c>
      <c r="I217" s="252">
        <f t="shared" si="7"/>
        <v>45000</v>
      </c>
      <c r="J217" s="170">
        <f>IF(A217="","",SUM($H$7:H217)-SUM($I$7:I217))</f>
        <v>-48586727</v>
      </c>
      <c r="K217" s="34"/>
    </row>
    <row r="218" spans="1:11" ht="13.5" customHeight="1" x14ac:dyDescent="0.2">
      <c r="A218" s="44">
        <v>44431</v>
      </c>
      <c r="B218" s="44" t="s">
        <v>732</v>
      </c>
      <c r="C218" s="35" t="s">
        <v>986</v>
      </c>
      <c r="D218" s="44" t="s">
        <v>1621</v>
      </c>
      <c r="E218" s="44" t="s">
        <v>1801</v>
      </c>
      <c r="F218" s="44"/>
      <c r="G218" s="130">
        <v>10000</v>
      </c>
      <c r="H218" s="252">
        <f t="shared" si="6"/>
        <v>0</v>
      </c>
      <c r="I218" s="252">
        <f t="shared" si="7"/>
        <v>10000</v>
      </c>
      <c r="J218" s="170">
        <f>IF(A218="","",SUM($H$7:H218)-SUM($I$7:I218))</f>
        <v>-48596727</v>
      </c>
      <c r="K218" s="34"/>
    </row>
    <row r="219" spans="1:11" ht="13.5" customHeight="1" x14ac:dyDescent="0.2">
      <c r="A219" s="44">
        <v>44431</v>
      </c>
      <c r="B219" s="44" t="s">
        <v>732</v>
      </c>
      <c r="C219" s="35" t="s">
        <v>986</v>
      </c>
      <c r="D219" s="44" t="s">
        <v>1622</v>
      </c>
      <c r="E219" s="44" t="s">
        <v>1801</v>
      </c>
      <c r="F219" s="44"/>
      <c r="G219" s="130">
        <v>3000</v>
      </c>
      <c r="H219" s="252">
        <f t="shared" si="6"/>
        <v>0</v>
      </c>
      <c r="I219" s="252">
        <f t="shared" si="7"/>
        <v>3000</v>
      </c>
      <c r="J219" s="170">
        <f>IF(A219="","",SUM($H$7:H219)-SUM($I$7:I219))</f>
        <v>-48599727</v>
      </c>
      <c r="K219" s="34"/>
    </row>
    <row r="220" spans="1:11" ht="13.5" customHeight="1" x14ac:dyDescent="0.2">
      <c r="A220" s="44">
        <v>44432</v>
      </c>
      <c r="B220" s="44" t="s">
        <v>732</v>
      </c>
      <c r="C220" s="35" t="s">
        <v>986</v>
      </c>
      <c r="D220" s="44" t="s">
        <v>1619</v>
      </c>
      <c r="E220" s="44" t="s">
        <v>2514</v>
      </c>
      <c r="F220" s="44"/>
      <c r="G220" s="130">
        <v>45000</v>
      </c>
      <c r="H220" s="252">
        <f t="shared" si="6"/>
        <v>0</v>
      </c>
      <c r="I220" s="252">
        <f t="shared" si="7"/>
        <v>45000</v>
      </c>
      <c r="J220" s="170">
        <f>IF(A220="","",SUM($H$7:H220)-SUM($I$7:I220))</f>
        <v>-48644727</v>
      </c>
      <c r="K220" s="34"/>
    </row>
    <row r="221" spans="1:11" ht="13.5" customHeight="1" x14ac:dyDescent="0.2">
      <c r="A221" s="44">
        <v>44434</v>
      </c>
      <c r="B221" s="44" t="s">
        <v>732</v>
      </c>
      <c r="C221" s="35" t="s">
        <v>986</v>
      </c>
      <c r="D221" s="44" t="s">
        <v>1569</v>
      </c>
      <c r="E221" s="44" t="s">
        <v>2514</v>
      </c>
      <c r="F221" s="44"/>
      <c r="G221" s="130">
        <v>45000</v>
      </c>
      <c r="H221" s="252">
        <f t="shared" si="6"/>
        <v>0</v>
      </c>
      <c r="I221" s="252">
        <f t="shared" si="7"/>
        <v>45000</v>
      </c>
      <c r="J221" s="170">
        <f>IF(A221="","",SUM($H$7:H221)-SUM($I$7:I221))</f>
        <v>-48689727</v>
      </c>
      <c r="K221" s="34"/>
    </row>
    <row r="222" spans="1:11" ht="13.5" customHeight="1" x14ac:dyDescent="0.2">
      <c r="A222" s="44">
        <v>44434</v>
      </c>
      <c r="B222" s="44" t="s">
        <v>732</v>
      </c>
      <c r="C222" s="35" t="s">
        <v>986</v>
      </c>
      <c r="D222" s="44" t="s">
        <v>1580</v>
      </c>
      <c r="E222" s="44" t="s">
        <v>2507</v>
      </c>
      <c r="F222" s="44"/>
      <c r="G222" s="130">
        <v>20000</v>
      </c>
      <c r="H222" s="252">
        <f t="shared" si="6"/>
        <v>0</v>
      </c>
      <c r="I222" s="252">
        <f t="shared" si="7"/>
        <v>20000</v>
      </c>
      <c r="J222" s="170">
        <f>IF(A222="","",SUM($H$7:H222)-SUM($I$7:I222))</f>
        <v>-48709727</v>
      </c>
      <c r="K222" s="34"/>
    </row>
    <row r="223" spans="1:11" ht="13.5" customHeight="1" x14ac:dyDescent="0.2">
      <c r="A223" s="44">
        <v>44434</v>
      </c>
      <c r="B223" s="44" t="s">
        <v>732</v>
      </c>
      <c r="C223" s="35" t="s">
        <v>986</v>
      </c>
      <c r="D223" s="44" t="s">
        <v>2028</v>
      </c>
      <c r="E223" s="44" t="s">
        <v>2512</v>
      </c>
      <c r="F223" s="44"/>
      <c r="G223" s="130">
        <v>3231000</v>
      </c>
      <c r="H223" s="252">
        <f t="shared" si="6"/>
        <v>0</v>
      </c>
      <c r="I223" s="252">
        <f t="shared" si="7"/>
        <v>3231000</v>
      </c>
      <c r="J223" s="170">
        <f>IF(A223="","",SUM($H$7:H223)-SUM($I$7:I223))</f>
        <v>-51940727</v>
      </c>
      <c r="K223" s="34"/>
    </row>
    <row r="224" spans="1:11" ht="13.5" customHeight="1" x14ac:dyDescent="0.2">
      <c r="A224" s="44">
        <v>44435</v>
      </c>
      <c r="B224" s="44" t="s">
        <v>732</v>
      </c>
      <c r="C224" s="35" t="s">
        <v>986</v>
      </c>
      <c r="D224" s="44" t="s">
        <v>1623</v>
      </c>
      <c r="E224" s="44" t="s">
        <v>2515</v>
      </c>
      <c r="F224" s="44"/>
      <c r="G224" s="130">
        <v>691200</v>
      </c>
      <c r="H224" s="252">
        <f t="shared" si="6"/>
        <v>0</v>
      </c>
      <c r="I224" s="252">
        <f t="shared" si="7"/>
        <v>691200</v>
      </c>
      <c r="J224" s="170">
        <f>IF(A224="","",SUM($H$7:H224)-SUM($I$7:I224))</f>
        <v>-52631927</v>
      </c>
      <c r="K224" s="34"/>
    </row>
    <row r="225" spans="1:11" ht="13.5" customHeight="1" x14ac:dyDescent="0.2">
      <c r="A225" s="44">
        <v>44435</v>
      </c>
      <c r="B225" s="44" t="s">
        <v>732</v>
      </c>
      <c r="C225" s="35" t="s">
        <v>986</v>
      </c>
      <c r="D225" s="44" t="s">
        <v>1624</v>
      </c>
      <c r="E225" s="44" t="s">
        <v>723</v>
      </c>
      <c r="F225" s="44"/>
      <c r="G225" s="130">
        <v>10000</v>
      </c>
      <c r="H225" s="252">
        <f t="shared" si="6"/>
        <v>0</v>
      </c>
      <c r="I225" s="252">
        <f t="shared" si="7"/>
        <v>10000</v>
      </c>
      <c r="J225" s="170">
        <f>IF(A225="","",SUM($H$7:H225)-SUM($I$7:I225))</f>
        <v>-52641927</v>
      </c>
      <c r="K225" s="34"/>
    </row>
    <row r="226" spans="1:11" ht="13.5" customHeight="1" x14ac:dyDescent="0.2">
      <c r="A226" s="44">
        <v>44435</v>
      </c>
      <c r="B226" s="44" t="s">
        <v>732</v>
      </c>
      <c r="C226" s="35" t="s">
        <v>986</v>
      </c>
      <c r="D226" s="44" t="s">
        <v>1625</v>
      </c>
      <c r="E226" s="44" t="s">
        <v>2507</v>
      </c>
      <c r="F226" s="44"/>
      <c r="G226" s="130">
        <v>55000</v>
      </c>
      <c r="H226" s="252">
        <f t="shared" si="6"/>
        <v>0</v>
      </c>
      <c r="I226" s="252">
        <f t="shared" si="7"/>
        <v>55000</v>
      </c>
      <c r="J226" s="170">
        <f>IF(A226="","",SUM($H$7:H226)-SUM($I$7:I226))</f>
        <v>-52696927</v>
      </c>
      <c r="K226" s="34"/>
    </row>
    <row r="227" spans="1:11" ht="13.5" customHeight="1" x14ac:dyDescent="0.2">
      <c r="A227" s="44">
        <v>44435</v>
      </c>
      <c r="B227" s="44" t="s">
        <v>732</v>
      </c>
      <c r="C227" s="35" t="s">
        <v>986</v>
      </c>
      <c r="D227" s="44" t="s">
        <v>1626</v>
      </c>
      <c r="E227" s="44" t="s">
        <v>1801</v>
      </c>
      <c r="F227" s="44"/>
      <c r="G227" s="130">
        <v>15000</v>
      </c>
      <c r="H227" s="252">
        <f t="shared" si="6"/>
        <v>0</v>
      </c>
      <c r="I227" s="252">
        <f t="shared" si="7"/>
        <v>15000</v>
      </c>
      <c r="J227" s="170">
        <f>IF(A227="","",SUM($H$7:H227)-SUM($I$7:I227))</f>
        <v>-52711927</v>
      </c>
      <c r="K227" s="34"/>
    </row>
    <row r="228" spans="1:11" ht="13.5" customHeight="1" x14ac:dyDescent="0.2">
      <c r="A228" s="44">
        <v>44435</v>
      </c>
      <c r="B228" s="44" t="s">
        <v>732</v>
      </c>
      <c r="C228" s="35" t="s">
        <v>986</v>
      </c>
      <c r="D228" s="44" t="s">
        <v>1627</v>
      </c>
      <c r="E228" s="44" t="s">
        <v>1793</v>
      </c>
      <c r="F228" s="44"/>
      <c r="G228" s="130">
        <v>10000</v>
      </c>
      <c r="H228" s="252">
        <f t="shared" si="6"/>
        <v>0</v>
      </c>
      <c r="I228" s="252">
        <f t="shared" si="7"/>
        <v>10000</v>
      </c>
      <c r="J228" s="170">
        <f>IF(A228="","",SUM($H$7:H228)-SUM($I$7:I228))</f>
        <v>-52721927</v>
      </c>
      <c r="K228" s="34"/>
    </row>
    <row r="229" spans="1:11" ht="13.5" customHeight="1" x14ac:dyDescent="0.2">
      <c r="A229" s="44">
        <v>44435</v>
      </c>
      <c r="B229" s="44" t="s">
        <v>732</v>
      </c>
      <c r="C229" s="35" t="s">
        <v>986</v>
      </c>
      <c r="D229" s="44" t="s">
        <v>1628</v>
      </c>
      <c r="E229" s="44" t="s">
        <v>2514</v>
      </c>
      <c r="F229" s="44"/>
      <c r="G229" s="130">
        <v>45000</v>
      </c>
      <c r="H229" s="252">
        <f t="shared" si="6"/>
        <v>0</v>
      </c>
      <c r="I229" s="252">
        <f t="shared" si="7"/>
        <v>45000</v>
      </c>
      <c r="J229" s="170">
        <f>IF(A229="","",SUM($H$7:H229)-SUM($I$7:I229))</f>
        <v>-52766927</v>
      </c>
      <c r="K229" s="34"/>
    </row>
    <row r="230" spans="1:11" ht="13.5" customHeight="1" x14ac:dyDescent="0.2">
      <c r="A230" s="44">
        <v>44435</v>
      </c>
      <c r="B230" s="44" t="s">
        <v>732</v>
      </c>
      <c r="C230" s="35" t="s">
        <v>986</v>
      </c>
      <c r="D230" s="44" t="s">
        <v>1560</v>
      </c>
      <c r="E230" s="44" t="s">
        <v>2511</v>
      </c>
      <c r="F230" s="44"/>
      <c r="G230" s="130">
        <v>50000</v>
      </c>
      <c r="H230" s="252">
        <f t="shared" si="6"/>
        <v>0</v>
      </c>
      <c r="I230" s="252">
        <f t="shared" si="7"/>
        <v>50000</v>
      </c>
      <c r="J230" s="170">
        <f>IF(A230="","",SUM($H$7:H230)-SUM($I$7:I230))</f>
        <v>-52816927</v>
      </c>
      <c r="K230" s="34"/>
    </row>
    <row r="231" spans="1:11" ht="13.5" customHeight="1" x14ac:dyDescent="0.2">
      <c r="A231" s="44">
        <v>44436</v>
      </c>
      <c r="B231" s="44" t="s">
        <v>732</v>
      </c>
      <c r="C231" s="35" t="s">
        <v>986</v>
      </c>
      <c r="D231" s="44" t="s">
        <v>1569</v>
      </c>
      <c r="E231" s="44" t="s">
        <v>2514</v>
      </c>
      <c r="F231" s="44"/>
      <c r="G231" s="130">
        <v>45000</v>
      </c>
      <c r="H231" s="252">
        <f t="shared" si="6"/>
        <v>0</v>
      </c>
      <c r="I231" s="252">
        <f t="shared" si="7"/>
        <v>45000</v>
      </c>
      <c r="J231" s="170">
        <f>IF(A231="","",SUM($H$7:H231)-SUM($I$7:I231))</f>
        <v>-52861927</v>
      </c>
      <c r="K231" s="34"/>
    </row>
    <row r="232" spans="1:11" ht="13.5" customHeight="1" x14ac:dyDescent="0.2">
      <c r="A232" s="44">
        <v>44438</v>
      </c>
      <c r="B232" s="44" t="s">
        <v>732</v>
      </c>
      <c r="C232" s="35" t="s">
        <v>986</v>
      </c>
      <c r="D232" s="44" t="s">
        <v>1569</v>
      </c>
      <c r="E232" s="44" t="s">
        <v>2514</v>
      </c>
      <c r="F232" s="44"/>
      <c r="G232" s="130">
        <v>45000</v>
      </c>
      <c r="H232" s="252">
        <f t="shared" si="6"/>
        <v>0</v>
      </c>
      <c r="I232" s="252">
        <f t="shared" si="7"/>
        <v>45000</v>
      </c>
      <c r="J232" s="170">
        <f>IF(A232="","",SUM($H$7:H232)-SUM($I$7:I232))</f>
        <v>-52906927</v>
      </c>
      <c r="K232" s="34"/>
    </row>
    <row r="233" spans="1:11" ht="13.5" customHeight="1" x14ac:dyDescent="0.2">
      <c r="A233" s="44">
        <v>44438</v>
      </c>
      <c r="B233" s="44" t="s">
        <v>732</v>
      </c>
      <c r="C233" s="35" t="s">
        <v>986</v>
      </c>
      <c r="D233" s="44" t="s">
        <v>1569</v>
      </c>
      <c r="E233" s="44" t="s">
        <v>2514</v>
      </c>
      <c r="F233" s="44"/>
      <c r="G233" s="130">
        <v>45000</v>
      </c>
      <c r="H233" s="252">
        <f t="shared" si="6"/>
        <v>0</v>
      </c>
      <c r="I233" s="252">
        <f t="shared" si="7"/>
        <v>45000</v>
      </c>
      <c r="J233" s="170">
        <f>IF(A233="","",SUM($H$7:H233)-SUM($I$7:I233))</f>
        <v>-52951927</v>
      </c>
      <c r="K233" s="34"/>
    </row>
    <row r="234" spans="1:11" ht="13.5" customHeight="1" x14ac:dyDescent="0.2">
      <c r="A234" s="44">
        <v>44438</v>
      </c>
      <c r="B234" s="44" t="s">
        <v>732</v>
      </c>
      <c r="C234" s="35" t="s">
        <v>986</v>
      </c>
      <c r="D234" s="44" t="s">
        <v>1612</v>
      </c>
      <c r="E234" s="44" t="s">
        <v>2507</v>
      </c>
      <c r="F234" s="44"/>
      <c r="G234" s="130">
        <v>100000</v>
      </c>
      <c r="H234" s="252">
        <f t="shared" si="6"/>
        <v>0</v>
      </c>
      <c r="I234" s="252">
        <f t="shared" si="7"/>
        <v>100000</v>
      </c>
      <c r="J234" s="170">
        <f>IF(A234="","",SUM($H$7:H234)-SUM($I$7:I234))</f>
        <v>-53051927</v>
      </c>
      <c r="K234" s="34"/>
    </row>
    <row r="235" spans="1:11" ht="13.5" customHeight="1" x14ac:dyDescent="0.2">
      <c r="A235" s="44">
        <v>44439</v>
      </c>
      <c r="B235" s="44" t="s">
        <v>732</v>
      </c>
      <c r="C235" s="35" t="s">
        <v>986</v>
      </c>
      <c r="D235" s="44" t="s">
        <v>1569</v>
      </c>
      <c r="E235" s="44" t="s">
        <v>2514</v>
      </c>
      <c r="F235" s="44"/>
      <c r="G235" s="130">
        <v>45000</v>
      </c>
      <c r="H235" s="252">
        <f t="shared" si="6"/>
        <v>0</v>
      </c>
      <c r="I235" s="252">
        <f t="shared" si="7"/>
        <v>45000</v>
      </c>
      <c r="J235" s="170">
        <f>IF(A235="","",SUM($H$7:H235)-SUM($I$7:I235))</f>
        <v>-53096927</v>
      </c>
      <c r="K235" s="34"/>
    </row>
    <row r="236" spans="1:11" x14ac:dyDescent="0.2">
      <c r="A236" s="44">
        <v>44440</v>
      </c>
      <c r="B236" s="44" t="s">
        <v>732</v>
      </c>
      <c r="C236" s="35" t="s">
        <v>986</v>
      </c>
      <c r="D236" s="44" t="s">
        <v>1576</v>
      </c>
      <c r="E236" s="44" t="s">
        <v>2507</v>
      </c>
      <c r="F236" s="44"/>
      <c r="G236" s="130">
        <v>50000</v>
      </c>
      <c r="H236" s="252">
        <f t="shared" si="6"/>
        <v>0</v>
      </c>
      <c r="I236" s="252">
        <f t="shared" si="7"/>
        <v>50000</v>
      </c>
      <c r="J236" s="170">
        <f>IF(A236="","",SUM($H$7:H236)-SUM($I$7:I236))</f>
        <v>-53146927</v>
      </c>
      <c r="K236" s="34"/>
    </row>
    <row r="237" spans="1:11" x14ac:dyDescent="0.2">
      <c r="A237" s="44">
        <v>44440</v>
      </c>
      <c r="B237" s="44" t="s">
        <v>732</v>
      </c>
      <c r="C237" s="35" t="s">
        <v>986</v>
      </c>
      <c r="D237" s="44" t="s">
        <v>1569</v>
      </c>
      <c r="E237" s="44" t="s">
        <v>2514</v>
      </c>
      <c r="F237" s="44"/>
      <c r="G237" s="130">
        <v>45000</v>
      </c>
      <c r="H237" s="252">
        <f t="shared" si="6"/>
        <v>0</v>
      </c>
      <c r="I237" s="252">
        <f t="shared" si="7"/>
        <v>45000</v>
      </c>
      <c r="J237" s="170">
        <f>IF(A237="","",SUM($H$7:H237)-SUM($I$7:I237))</f>
        <v>-53191927</v>
      </c>
      <c r="K237" s="34"/>
    </row>
    <row r="238" spans="1:11" x14ac:dyDescent="0.2">
      <c r="A238" s="44">
        <v>44441</v>
      </c>
      <c r="B238" s="44" t="s">
        <v>732</v>
      </c>
      <c r="C238" s="35" t="s">
        <v>986</v>
      </c>
      <c r="D238" s="44" t="s">
        <v>1569</v>
      </c>
      <c r="E238" s="44" t="s">
        <v>2514</v>
      </c>
      <c r="F238" s="44"/>
      <c r="G238" s="130">
        <v>45000</v>
      </c>
      <c r="H238" s="252">
        <f t="shared" si="6"/>
        <v>0</v>
      </c>
      <c r="I238" s="252">
        <f t="shared" si="7"/>
        <v>45000</v>
      </c>
      <c r="J238" s="170">
        <f>IF(A238="","",SUM($H$7:H238)-SUM($I$7:I238))</f>
        <v>-53236927</v>
      </c>
      <c r="K238" s="34"/>
    </row>
    <row r="239" spans="1:11" x14ac:dyDescent="0.2">
      <c r="A239" s="44">
        <v>44442</v>
      </c>
      <c r="B239" s="44" t="s">
        <v>732</v>
      </c>
      <c r="C239" s="35" t="s">
        <v>986</v>
      </c>
      <c r="D239" s="44" t="s">
        <v>1569</v>
      </c>
      <c r="E239" s="44" t="s">
        <v>2514</v>
      </c>
      <c r="F239" s="44"/>
      <c r="G239" s="130">
        <v>45000</v>
      </c>
      <c r="H239" s="252">
        <f t="shared" si="6"/>
        <v>0</v>
      </c>
      <c r="I239" s="252">
        <f t="shared" si="7"/>
        <v>45000</v>
      </c>
      <c r="J239" s="170">
        <f>IF(A239="","",SUM($H$7:H239)-SUM($I$7:I239))</f>
        <v>-53281927</v>
      </c>
      <c r="K239" s="34"/>
    </row>
    <row r="240" spans="1:11" x14ac:dyDescent="0.2">
      <c r="A240" s="44">
        <v>44443</v>
      </c>
      <c r="B240" s="44" t="s">
        <v>732</v>
      </c>
      <c r="C240" s="35" t="s">
        <v>986</v>
      </c>
      <c r="D240" s="44" t="s">
        <v>1569</v>
      </c>
      <c r="E240" s="44" t="s">
        <v>2514</v>
      </c>
      <c r="F240" s="44"/>
      <c r="G240" s="130">
        <v>45000</v>
      </c>
      <c r="H240" s="252">
        <f t="shared" si="6"/>
        <v>0</v>
      </c>
      <c r="I240" s="252">
        <f t="shared" si="7"/>
        <v>45000</v>
      </c>
      <c r="J240" s="170">
        <f>IF(A240="","",SUM($H$7:H240)-SUM($I$7:I240))</f>
        <v>-53326927</v>
      </c>
      <c r="K240" s="34"/>
    </row>
    <row r="241" spans="1:11" x14ac:dyDescent="0.2">
      <c r="A241" s="44">
        <v>44443</v>
      </c>
      <c r="B241" s="44" t="s">
        <v>732</v>
      </c>
      <c r="C241" s="35" t="s">
        <v>986</v>
      </c>
      <c r="D241" s="44" t="s">
        <v>1629</v>
      </c>
      <c r="E241" s="44" t="s">
        <v>2511</v>
      </c>
      <c r="F241" s="44"/>
      <c r="G241" s="130">
        <v>7000</v>
      </c>
      <c r="H241" s="252">
        <f t="shared" si="6"/>
        <v>0</v>
      </c>
      <c r="I241" s="252">
        <f t="shared" si="7"/>
        <v>7000</v>
      </c>
      <c r="J241" s="170">
        <f>IF(A241="","",SUM($H$7:H241)-SUM($I$7:I241))</f>
        <v>-53333927</v>
      </c>
      <c r="K241" s="34"/>
    </row>
    <row r="242" spans="1:11" x14ac:dyDescent="0.2">
      <c r="A242" s="44">
        <v>44443</v>
      </c>
      <c r="B242" s="44" t="s">
        <v>732</v>
      </c>
      <c r="C242" s="35" t="s">
        <v>986</v>
      </c>
      <c r="D242" s="44" t="s">
        <v>1561</v>
      </c>
      <c r="E242" s="44" t="s">
        <v>2507</v>
      </c>
      <c r="F242" s="44"/>
      <c r="G242" s="130">
        <v>30000</v>
      </c>
      <c r="H242" s="252">
        <f t="shared" si="6"/>
        <v>0</v>
      </c>
      <c r="I242" s="252">
        <f t="shared" si="7"/>
        <v>30000</v>
      </c>
      <c r="J242" s="170">
        <f>IF(A242="","",SUM($H$7:H242)-SUM($I$7:I242))</f>
        <v>-53363927</v>
      </c>
      <c r="K242" s="34"/>
    </row>
    <row r="243" spans="1:11" x14ac:dyDescent="0.2">
      <c r="A243" s="44">
        <v>44443</v>
      </c>
      <c r="B243" s="44" t="s">
        <v>732</v>
      </c>
      <c r="C243" s="35" t="s">
        <v>986</v>
      </c>
      <c r="D243" s="44" t="s">
        <v>1581</v>
      </c>
      <c r="E243" s="44" t="s">
        <v>2507</v>
      </c>
      <c r="F243" s="44"/>
      <c r="G243" s="130">
        <v>20000</v>
      </c>
      <c r="H243" s="252">
        <f t="shared" si="6"/>
        <v>0</v>
      </c>
      <c r="I243" s="252">
        <f t="shared" si="7"/>
        <v>20000</v>
      </c>
      <c r="J243" s="170">
        <f>IF(A243="","",SUM($H$7:H243)-SUM($I$7:I243))</f>
        <v>-53383927</v>
      </c>
      <c r="K243" s="34"/>
    </row>
    <row r="244" spans="1:11" x14ac:dyDescent="0.2">
      <c r="A244" s="44">
        <v>44443</v>
      </c>
      <c r="B244" s="44" t="s">
        <v>732</v>
      </c>
      <c r="C244" s="35" t="s">
        <v>986</v>
      </c>
      <c r="D244" s="44" t="s">
        <v>1630</v>
      </c>
      <c r="E244" s="44" t="s">
        <v>2511</v>
      </c>
      <c r="F244" s="44"/>
      <c r="G244" s="130">
        <v>3000</v>
      </c>
      <c r="H244" s="252">
        <f t="shared" si="6"/>
        <v>0</v>
      </c>
      <c r="I244" s="252">
        <f t="shared" si="7"/>
        <v>3000</v>
      </c>
      <c r="J244" s="170">
        <f>IF(A244="","",SUM($H$7:H244)-SUM($I$7:I244))</f>
        <v>-53386927</v>
      </c>
      <c r="K244" s="34"/>
    </row>
    <row r="245" spans="1:11" x14ac:dyDescent="0.2">
      <c r="A245" s="44">
        <v>44445</v>
      </c>
      <c r="B245" s="44" t="s">
        <v>732</v>
      </c>
      <c r="C245" s="35" t="s">
        <v>986</v>
      </c>
      <c r="D245" s="44" t="s">
        <v>1569</v>
      </c>
      <c r="E245" s="44" t="s">
        <v>2514</v>
      </c>
      <c r="F245" s="44"/>
      <c r="G245" s="130">
        <v>45000</v>
      </c>
      <c r="H245" s="252">
        <f t="shared" si="6"/>
        <v>0</v>
      </c>
      <c r="I245" s="252">
        <f t="shared" si="7"/>
        <v>45000</v>
      </c>
      <c r="J245" s="170">
        <f>IF(A245="","",SUM($H$7:H245)-SUM($I$7:I245))</f>
        <v>-53431927</v>
      </c>
      <c r="K245" s="34"/>
    </row>
    <row r="246" spans="1:11" x14ac:dyDescent="0.2">
      <c r="A246" s="44">
        <v>44445</v>
      </c>
      <c r="B246" s="44" t="s">
        <v>732</v>
      </c>
      <c r="C246" s="35" t="s">
        <v>986</v>
      </c>
      <c r="D246" s="44" t="s">
        <v>1631</v>
      </c>
      <c r="E246" s="44" t="s">
        <v>2511</v>
      </c>
      <c r="F246" s="44"/>
      <c r="G246" s="130">
        <v>10000</v>
      </c>
      <c r="H246" s="252">
        <f t="shared" si="6"/>
        <v>0</v>
      </c>
      <c r="I246" s="252">
        <f t="shared" si="7"/>
        <v>10000</v>
      </c>
      <c r="J246" s="170">
        <f>IF(A246="","",SUM($H$7:H246)-SUM($I$7:I246))</f>
        <v>-53441927</v>
      </c>
      <c r="K246" s="34"/>
    </row>
    <row r="247" spans="1:11" x14ac:dyDescent="0.2">
      <c r="A247" s="44">
        <v>44446</v>
      </c>
      <c r="B247" s="44" t="s">
        <v>732</v>
      </c>
      <c r="C247" s="35" t="s">
        <v>986</v>
      </c>
      <c r="D247" s="44" t="s">
        <v>1619</v>
      </c>
      <c r="E247" s="44" t="s">
        <v>2514</v>
      </c>
      <c r="F247" s="44"/>
      <c r="G247" s="130">
        <v>45000</v>
      </c>
      <c r="H247" s="252">
        <f t="shared" si="6"/>
        <v>0</v>
      </c>
      <c r="I247" s="252">
        <f t="shared" si="7"/>
        <v>45000</v>
      </c>
      <c r="J247" s="170">
        <f>IF(A247="","",SUM($H$7:H247)-SUM($I$7:I247))</f>
        <v>-53486927</v>
      </c>
      <c r="K247" s="34"/>
    </row>
    <row r="248" spans="1:11" x14ac:dyDescent="0.2">
      <c r="A248" s="44">
        <v>44446</v>
      </c>
      <c r="B248" s="44" t="s">
        <v>732</v>
      </c>
      <c r="C248" s="35" t="s">
        <v>986</v>
      </c>
      <c r="D248" s="44" t="s">
        <v>1574</v>
      </c>
      <c r="E248" s="44" t="s">
        <v>2515</v>
      </c>
      <c r="F248" s="44"/>
      <c r="G248" s="130">
        <v>80000</v>
      </c>
      <c r="H248" s="252">
        <f t="shared" si="6"/>
        <v>0</v>
      </c>
      <c r="I248" s="252">
        <f t="shared" si="7"/>
        <v>80000</v>
      </c>
      <c r="J248" s="170">
        <f>IF(A248="","",SUM($H$7:H248)-SUM($I$7:I248))</f>
        <v>-53566927</v>
      </c>
      <c r="K248" s="34"/>
    </row>
    <row r="249" spans="1:11" x14ac:dyDescent="0.2">
      <c r="A249" s="44">
        <v>44446</v>
      </c>
      <c r="B249" s="44" t="s">
        <v>732</v>
      </c>
      <c r="C249" s="35" t="s">
        <v>986</v>
      </c>
      <c r="D249" s="44" t="s">
        <v>1632</v>
      </c>
      <c r="E249" s="44" t="s">
        <v>2514</v>
      </c>
      <c r="F249" s="44"/>
      <c r="G249" s="130">
        <v>42000</v>
      </c>
      <c r="H249" s="252">
        <f t="shared" si="6"/>
        <v>0</v>
      </c>
      <c r="I249" s="252">
        <f t="shared" si="7"/>
        <v>42000</v>
      </c>
      <c r="J249" s="170">
        <f>IF(A249="","",SUM($H$7:H249)-SUM($I$7:I249))</f>
        <v>-53608927</v>
      </c>
      <c r="K249" s="34"/>
    </row>
    <row r="250" spans="1:11" x14ac:dyDescent="0.2">
      <c r="A250" s="44">
        <v>44447</v>
      </c>
      <c r="B250" s="44" t="s">
        <v>732</v>
      </c>
      <c r="C250" s="35" t="s">
        <v>986</v>
      </c>
      <c r="D250" s="44" t="s">
        <v>1569</v>
      </c>
      <c r="E250" s="44" t="s">
        <v>2514</v>
      </c>
      <c r="F250" s="44"/>
      <c r="G250" s="130">
        <v>45000</v>
      </c>
      <c r="H250" s="252">
        <f t="shared" si="6"/>
        <v>0</v>
      </c>
      <c r="I250" s="252">
        <f t="shared" si="7"/>
        <v>45000</v>
      </c>
      <c r="J250" s="170">
        <f>IF(A250="","",SUM($H$7:H250)-SUM($I$7:I250))</f>
        <v>-53653927</v>
      </c>
      <c r="K250" s="34"/>
    </row>
    <row r="251" spans="1:11" x14ac:dyDescent="0.2">
      <c r="A251" s="44">
        <v>44447</v>
      </c>
      <c r="B251" s="44" t="s">
        <v>732</v>
      </c>
      <c r="C251" s="35" t="s">
        <v>986</v>
      </c>
      <c r="D251" s="44" t="s">
        <v>1560</v>
      </c>
      <c r="E251" s="44" t="s">
        <v>2511</v>
      </c>
      <c r="F251" s="44"/>
      <c r="G251" s="130">
        <v>50000</v>
      </c>
      <c r="H251" s="252">
        <f t="shared" si="6"/>
        <v>0</v>
      </c>
      <c r="I251" s="252">
        <f t="shared" si="7"/>
        <v>50000</v>
      </c>
      <c r="J251" s="170">
        <f>IF(A251="","",SUM($H$7:H251)-SUM($I$7:I251))</f>
        <v>-53703927</v>
      </c>
      <c r="K251" s="34"/>
    </row>
    <row r="252" spans="1:11" x14ac:dyDescent="0.2">
      <c r="A252" s="44">
        <v>44447</v>
      </c>
      <c r="B252" s="44" t="s">
        <v>732</v>
      </c>
      <c r="C252" s="35" t="s">
        <v>986</v>
      </c>
      <c r="D252" s="44" t="s">
        <v>1633</v>
      </c>
      <c r="E252" s="44" t="s">
        <v>2507</v>
      </c>
      <c r="F252" s="44"/>
      <c r="G252" s="130">
        <v>1000</v>
      </c>
      <c r="H252" s="252">
        <f t="shared" si="6"/>
        <v>0</v>
      </c>
      <c r="I252" s="252">
        <f t="shared" si="7"/>
        <v>1000</v>
      </c>
      <c r="J252" s="170">
        <f>IF(A252="","",SUM($H$7:H252)-SUM($I$7:I252))</f>
        <v>-53704927</v>
      </c>
      <c r="K252" s="34"/>
    </row>
    <row r="253" spans="1:11" x14ac:dyDescent="0.2">
      <c r="A253" s="44">
        <v>44448</v>
      </c>
      <c r="B253" s="44" t="s">
        <v>732</v>
      </c>
      <c r="C253" s="35" t="s">
        <v>986</v>
      </c>
      <c r="D253" s="44" t="s">
        <v>1619</v>
      </c>
      <c r="E253" s="44" t="s">
        <v>2514</v>
      </c>
      <c r="F253" s="44"/>
      <c r="G253" s="130">
        <v>45000</v>
      </c>
      <c r="H253" s="252">
        <f t="shared" si="6"/>
        <v>0</v>
      </c>
      <c r="I253" s="252">
        <f t="shared" si="7"/>
        <v>45000</v>
      </c>
      <c r="J253" s="170">
        <f>IF(A253="","",SUM($H$7:H253)-SUM($I$7:I253))</f>
        <v>-53749927</v>
      </c>
      <c r="K253" s="34"/>
    </row>
    <row r="254" spans="1:11" x14ac:dyDescent="0.2">
      <c r="A254" s="44">
        <v>44449</v>
      </c>
      <c r="B254" s="44" t="s">
        <v>732</v>
      </c>
      <c r="C254" s="35" t="s">
        <v>986</v>
      </c>
      <c r="D254" s="44" t="s">
        <v>1569</v>
      </c>
      <c r="E254" s="44" t="s">
        <v>2514</v>
      </c>
      <c r="F254" s="44"/>
      <c r="G254" s="130">
        <v>45000</v>
      </c>
      <c r="H254" s="252">
        <f t="shared" si="6"/>
        <v>0</v>
      </c>
      <c r="I254" s="252">
        <f t="shared" si="7"/>
        <v>45000</v>
      </c>
      <c r="J254" s="170">
        <f>IF(A254="","",SUM($H$7:H254)-SUM($I$7:I254))</f>
        <v>-53794927</v>
      </c>
      <c r="K254" s="34"/>
    </row>
    <row r="255" spans="1:11" x14ac:dyDescent="0.2">
      <c r="A255" s="44">
        <v>44450</v>
      </c>
      <c r="B255" s="44" t="s">
        <v>732</v>
      </c>
      <c r="C255" s="35" t="s">
        <v>986</v>
      </c>
      <c r="D255" s="44" t="s">
        <v>1569</v>
      </c>
      <c r="E255" s="44" t="s">
        <v>2514</v>
      </c>
      <c r="F255" s="44"/>
      <c r="G255" s="130">
        <v>45000</v>
      </c>
      <c r="H255" s="252">
        <f t="shared" si="6"/>
        <v>0</v>
      </c>
      <c r="I255" s="252">
        <f t="shared" si="7"/>
        <v>45000</v>
      </c>
      <c r="J255" s="170">
        <f>IF(A255="","",SUM($H$7:H255)-SUM($I$7:I255))</f>
        <v>-53839927</v>
      </c>
      <c r="K255" s="34"/>
    </row>
    <row r="256" spans="1:11" x14ac:dyDescent="0.2">
      <c r="A256" s="44">
        <v>44450</v>
      </c>
      <c r="B256" s="44" t="s">
        <v>732</v>
      </c>
      <c r="C256" s="35" t="s">
        <v>986</v>
      </c>
      <c r="D256" s="44" t="s">
        <v>1634</v>
      </c>
      <c r="E256" s="44" t="s">
        <v>2507</v>
      </c>
      <c r="F256" s="44"/>
      <c r="G256" s="130">
        <v>30000</v>
      </c>
      <c r="H256" s="252">
        <f t="shared" si="6"/>
        <v>0</v>
      </c>
      <c r="I256" s="252">
        <f t="shared" si="7"/>
        <v>30000</v>
      </c>
      <c r="J256" s="170">
        <f>IF(A256="","",SUM($H$7:H256)-SUM($I$7:I256))</f>
        <v>-53869927</v>
      </c>
      <c r="K256" s="34"/>
    </row>
    <row r="257" spans="1:11" x14ac:dyDescent="0.2">
      <c r="A257" s="44">
        <v>44450</v>
      </c>
      <c r="B257" s="44" t="s">
        <v>732</v>
      </c>
      <c r="C257" s="35" t="s">
        <v>986</v>
      </c>
      <c r="D257" s="44" t="s">
        <v>902</v>
      </c>
      <c r="E257" s="44" t="s">
        <v>2507</v>
      </c>
      <c r="F257" s="44"/>
      <c r="G257" s="130">
        <v>3000</v>
      </c>
      <c r="H257" s="252">
        <f t="shared" si="6"/>
        <v>0</v>
      </c>
      <c r="I257" s="252">
        <f t="shared" si="7"/>
        <v>3000</v>
      </c>
      <c r="J257" s="170">
        <f>IF(A257="","",SUM($H$7:H257)-SUM($I$7:I257))</f>
        <v>-53872927</v>
      </c>
      <c r="K257" s="34"/>
    </row>
    <row r="258" spans="1:11" x14ac:dyDescent="0.2">
      <c r="A258" s="44">
        <v>44452</v>
      </c>
      <c r="B258" s="44" t="s">
        <v>732</v>
      </c>
      <c r="C258" s="35" t="s">
        <v>986</v>
      </c>
      <c r="D258" s="44" t="s">
        <v>1569</v>
      </c>
      <c r="E258" s="44" t="s">
        <v>2514</v>
      </c>
      <c r="F258" s="44"/>
      <c r="G258" s="130">
        <v>45000</v>
      </c>
      <c r="H258" s="252">
        <f t="shared" si="6"/>
        <v>0</v>
      </c>
      <c r="I258" s="252">
        <f t="shared" si="7"/>
        <v>45000</v>
      </c>
      <c r="J258" s="170">
        <f>IF(A258="","",SUM($H$7:H258)-SUM($I$7:I258))</f>
        <v>-53917927</v>
      </c>
      <c r="K258" s="34"/>
    </row>
    <row r="259" spans="1:11" x14ac:dyDescent="0.2">
      <c r="A259" s="44">
        <v>44453</v>
      </c>
      <c r="B259" s="44" t="s">
        <v>732</v>
      </c>
      <c r="C259" s="35" t="s">
        <v>986</v>
      </c>
      <c r="D259" s="44" t="s">
        <v>1569</v>
      </c>
      <c r="E259" s="44" t="s">
        <v>2514</v>
      </c>
      <c r="F259" s="44"/>
      <c r="G259" s="130">
        <v>45000</v>
      </c>
      <c r="H259" s="252">
        <f t="shared" si="6"/>
        <v>0</v>
      </c>
      <c r="I259" s="252">
        <f t="shared" si="7"/>
        <v>45000</v>
      </c>
      <c r="J259" s="170">
        <f>IF(A259="","",SUM($H$7:H259)-SUM($I$7:I259))</f>
        <v>-53962927</v>
      </c>
      <c r="K259" s="34"/>
    </row>
    <row r="260" spans="1:11" x14ac:dyDescent="0.2">
      <c r="A260" s="44">
        <v>44454</v>
      </c>
      <c r="B260" s="44" t="s">
        <v>732</v>
      </c>
      <c r="C260" s="35" t="s">
        <v>986</v>
      </c>
      <c r="D260" s="44" t="s">
        <v>1619</v>
      </c>
      <c r="E260" s="44" t="s">
        <v>2514</v>
      </c>
      <c r="F260" s="44"/>
      <c r="G260" s="130">
        <v>45000</v>
      </c>
      <c r="H260" s="252">
        <f t="shared" si="6"/>
        <v>0</v>
      </c>
      <c r="I260" s="252">
        <f t="shared" si="7"/>
        <v>45000</v>
      </c>
      <c r="J260" s="170">
        <f>IF(A260="","",SUM($H$7:H260)-SUM($I$7:I260))</f>
        <v>-54007927</v>
      </c>
      <c r="K260" s="34"/>
    </row>
    <row r="261" spans="1:11" x14ac:dyDescent="0.2">
      <c r="A261" s="44">
        <v>44454</v>
      </c>
      <c r="B261" s="44" t="s">
        <v>732</v>
      </c>
      <c r="C261" s="35" t="s">
        <v>986</v>
      </c>
      <c r="D261" s="44" t="s">
        <v>1635</v>
      </c>
      <c r="E261" s="44" t="s">
        <v>2515</v>
      </c>
      <c r="F261" s="44"/>
      <c r="G261" s="130">
        <v>396000</v>
      </c>
      <c r="H261" s="252">
        <f t="shared" si="6"/>
        <v>0</v>
      </c>
      <c r="I261" s="252">
        <f t="shared" si="7"/>
        <v>396000</v>
      </c>
      <c r="J261" s="170">
        <f>IF(A261="","",SUM($H$7:H261)-SUM($I$7:I261))</f>
        <v>-54403927</v>
      </c>
      <c r="K261" s="34"/>
    </row>
    <row r="262" spans="1:11" x14ac:dyDescent="0.2">
      <c r="A262" s="44">
        <v>44455</v>
      </c>
      <c r="B262" s="44" t="s">
        <v>732</v>
      </c>
      <c r="C262" s="35" t="s">
        <v>986</v>
      </c>
      <c r="D262" s="44" t="s">
        <v>1569</v>
      </c>
      <c r="E262" s="44" t="s">
        <v>2514</v>
      </c>
      <c r="F262" s="44"/>
      <c r="G262" s="130">
        <v>45000</v>
      </c>
      <c r="H262" s="252">
        <f t="shared" si="6"/>
        <v>0</v>
      </c>
      <c r="I262" s="252">
        <f t="shared" si="7"/>
        <v>45000</v>
      </c>
      <c r="J262" s="170">
        <f>IF(A262="","",SUM($H$7:H262)-SUM($I$7:I262))</f>
        <v>-54448927</v>
      </c>
      <c r="K262" s="34"/>
    </row>
    <row r="263" spans="1:11" x14ac:dyDescent="0.2">
      <c r="A263" s="44">
        <v>44456</v>
      </c>
      <c r="B263" s="44" t="s">
        <v>732</v>
      </c>
      <c r="C263" s="35" t="s">
        <v>986</v>
      </c>
      <c r="D263" s="44" t="s">
        <v>1636</v>
      </c>
      <c r="E263" s="44" t="s">
        <v>2507</v>
      </c>
      <c r="F263" s="44"/>
      <c r="G263" s="130">
        <v>50000</v>
      </c>
      <c r="H263" s="252">
        <f t="shared" ref="H263:H326" si="8">IF($C263="Replenishment",$G263,0)</f>
        <v>0</v>
      </c>
      <c r="I263" s="252">
        <f t="shared" ref="I263:I326" si="9">IF($C263="Replenishment",0,$G263)</f>
        <v>50000</v>
      </c>
      <c r="J263" s="170">
        <f>IF(A263="","",SUM($H$7:H263)-SUM($I$7:I263))</f>
        <v>-54498927</v>
      </c>
      <c r="K263" s="34"/>
    </row>
    <row r="264" spans="1:11" x14ac:dyDescent="0.2">
      <c r="A264" s="44">
        <v>44456</v>
      </c>
      <c r="B264" s="44" t="s">
        <v>732</v>
      </c>
      <c r="C264" s="35" t="s">
        <v>986</v>
      </c>
      <c r="D264" s="44" t="s">
        <v>1569</v>
      </c>
      <c r="E264" s="44" t="s">
        <v>2514</v>
      </c>
      <c r="F264" s="44"/>
      <c r="G264" s="130">
        <v>45000</v>
      </c>
      <c r="H264" s="252">
        <f t="shared" si="8"/>
        <v>0</v>
      </c>
      <c r="I264" s="252">
        <f t="shared" si="9"/>
        <v>45000</v>
      </c>
      <c r="J264" s="170">
        <f>IF(A264="","",SUM($H$7:H264)-SUM($I$7:I264))</f>
        <v>-54543927</v>
      </c>
      <c r="K264" s="34"/>
    </row>
    <row r="265" spans="1:11" x14ac:dyDescent="0.2">
      <c r="A265" s="44">
        <v>44456</v>
      </c>
      <c r="B265" s="44" t="s">
        <v>732</v>
      </c>
      <c r="C265" s="35" t="s">
        <v>986</v>
      </c>
      <c r="D265" s="44" t="s">
        <v>1637</v>
      </c>
      <c r="E265" s="44" t="s">
        <v>2511</v>
      </c>
      <c r="F265" s="44"/>
      <c r="G265" s="130">
        <v>15000</v>
      </c>
      <c r="H265" s="252">
        <f t="shared" si="8"/>
        <v>0</v>
      </c>
      <c r="I265" s="252">
        <f t="shared" si="9"/>
        <v>15000</v>
      </c>
      <c r="J265" s="170">
        <f>IF(A265="","",SUM($H$7:H265)-SUM($I$7:I265))</f>
        <v>-54558927</v>
      </c>
      <c r="K265" s="34"/>
    </row>
    <row r="266" spans="1:11" x14ac:dyDescent="0.2">
      <c r="A266" s="44">
        <v>44457</v>
      </c>
      <c r="B266" s="44" t="s">
        <v>732</v>
      </c>
      <c r="C266" s="35" t="s">
        <v>986</v>
      </c>
      <c r="D266" s="44" t="s">
        <v>1569</v>
      </c>
      <c r="E266" s="44" t="s">
        <v>2514</v>
      </c>
      <c r="F266" s="44"/>
      <c r="G266" s="130">
        <v>45000</v>
      </c>
      <c r="H266" s="252">
        <f t="shared" si="8"/>
        <v>0</v>
      </c>
      <c r="I266" s="252">
        <f t="shared" si="9"/>
        <v>45000</v>
      </c>
      <c r="J266" s="170">
        <f>IF(A266="","",SUM($H$7:H266)-SUM($I$7:I266))</f>
        <v>-54603927</v>
      </c>
      <c r="K266" s="34"/>
    </row>
    <row r="267" spans="1:11" x14ac:dyDescent="0.2">
      <c r="A267" s="44">
        <v>44457</v>
      </c>
      <c r="B267" s="44" t="s">
        <v>732</v>
      </c>
      <c r="C267" s="35" t="s">
        <v>986</v>
      </c>
      <c r="D267" s="44" t="s">
        <v>1562</v>
      </c>
      <c r="E267" s="44" t="s">
        <v>2507</v>
      </c>
      <c r="F267" s="44"/>
      <c r="G267" s="130">
        <v>1000</v>
      </c>
      <c r="H267" s="252">
        <f t="shared" si="8"/>
        <v>0</v>
      </c>
      <c r="I267" s="252">
        <f t="shared" si="9"/>
        <v>1000</v>
      </c>
      <c r="J267" s="170">
        <f>IF(A267="","",SUM($H$7:H267)-SUM($I$7:I267))</f>
        <v>-54604927</v>
      </c>
      <c r="K267" s="34"/>
    </row>
    <row r="268" spans="1:11" x14ac:dyDescent="0.2">
      <c r="A268" s="44">
        <v>44459</v>
      </c>
      <c r="B268" s="44" t="s">
        <v>732</v>
      </c>
      <c r="C268" s="35" t="s">
        <v>986</v>
      </c>
      <c r="D268" s="44" t="s">
        <v>1619</v>
      </c>
      <c r="E268" s="44" t="s">
        <v>2514</v>
      </c>
      <c r="F268" s="44"/>
      <c r="G268" s="130">
        <v>45000</v>
      </c>
      <c r="H268" s="252">
        <f t="shared" si="8"/>
        <v>0</v>
      </c>
      <c r="I268" s="252">
        <f t="shared" si="9"/>
        <v>45000</v>
      </c>
      <c r="J268" s="170">
        <f>IF(A268="","",SUM($H$7:H268)-SUM($I$7:I268))</f>
        <v>-54649927</v>
      </c>
      <c r="K268" s="34"/>
    </row>
    <row r="269" spans="1:11" x14ac:dyDescent="0.2">
      <c r="A269" s="44">
        <v>44459</v>
      </c>
      <c r="B269" s="44" t="s">
        <v>732</v>
      </c>
      <c r="C269" s="35" t="s">
        <v>986</v>
      </c>
      <c r="D269" s="44" t="s">
        <v>2452</v>
      </c>
      <c r="E269" s="44" t="s">
        <v>2510</v>
      </c>
      <c r="F269" s="44"/>
      <c r="G269" s="130">
        <v>463011</v>
      </c>
      <c r="H269" s="252">
        <f t="shared" si="8"/>
        <v>0</v>
      </c>
      <c r="I269" s="252">
        <f t="shared" si="9"/>
        <v>463011</v>
      </c>
      <c r="J269" s="170">
        <f>IF(A269="","",SUM($H$7:H269)-SUM($I$7:I269))</f>
        <v>-55112938</v>
      </c>
      <c r="K269" s="34"/>
    </row>
    <row r="270" spans="1:11" x14ac:dyDescent="0.2">
      <c r="A270" s="44">
        <v>44460</v>
      </c>
      <c r="B270" s="44" t="s">
        <v>732</v>
      </c>
      <c r="C270" s="35" t="s">
        <v>986</v>
      </c>
      <c r="D270" s="44" t="s">
        <v>1569</v>
      </c>
      <c r="E270" s="44" t="s">
        <v>2514</v>
      </c>
      <c r="F270" s="44"/>
      <c r="G270" s="130">
        <v>45000</v>
      </c>
      <c r="H270" s="252">
        <f t="shared" si="8"/>
        <v>0</v>
      </c>
      <c r="I270" s="252">
        <f t="shared" si="9"/>
        <v>45000</v>
      </c>
      <c r="J270" s="170">
        <f>IF(A270="","",SUM($H$7:H270)-SUM($I$7:I270))</f>
        <v>-55157938</v>
      </c>
      <c r="K270" s="34"/>
    </row>
    <row r="271" spans="1:11" x14ac:dyDescent="0.2">
      <c r="A271" s="44">
        <v>44460</v>
      </c>
      <c r="B271" s="44" t="s">
        <v>732</v>
      </c>
      <c r="C271" s="35" t="s">
        <v>986</v>
      </c>
      <c r="D271" s="44" t="s">
        <v>1573</v>
      </c>
      <c r="E271" s="44" t="s">
        <v>2511</v>
      </c>
      <c r="F271" s="44"/>
      <c r="G271" s="130">
        <v>3000</v>
      </c>
      <c r="H271" s="252">
        <f t="shared" si="8"/>
        <v>0</v>
      </c>
      <c r="I271" s="252">
        <f t="shared" si="9"/>
        <v>3000</v>
      </c>
      <c r="J271" s="170">
        <f>IF(A271="","",SUM($H$7:H271)-SUM($I$7:I271))</f>
        <v>-55160938</v>
      </c>
      <c r="K271" s="34"/>
    </row>
    <row r="272" spans="1:11" x14ac:dyDescent="0.2">
      <c r="A272" s="44">
        <v>44460</v>
      </c>
      <c r="B272" s="44" t="s">
        <v>732</v>
      </c>
      <c r="C272" s="35" t="s">
        <v>986</v>
      </c>
      <c r="D272" s="44" t="s">
        <v>1611</v>
      </c>
      <c r="E272" s="44" t="s">
        <v>2507</v>
      </c>
      <c r="F272" s="44"/>
      <c r="G272" s="130">
        <v>30000</v>
      </c>
      <c r="H272" s="252">
        <f t="shared" si="8"/>
        <v>0</v>
      </c>
      <c r="I272" s="252">
        <f t="shared" si="9"/>
        <v>30000</v>
      </c>
      <c r="J272" s="170">
        <f>IF(A272="","",SUM($H$7:H272)-SUM($I$7:I272))</f>
        <v>-55190938</v>
      </c>
      <c r="K272" s="34"/>
    </row>
    <row r="273" spans="1:11" x14ac:dyDescent="0.2">
      <c r="A273" s="44">
        <v>44461</v>
      </c>
      <c r="B273" s="44" t="s">
        <v>732</v>
      </c>
      <c r="C273" s="35" t="s">
        <v>986</v>
      </c>
      <c r="D273" s="44" t="s">
        <v>1638</v>
      </c>
      <c r="E273" s="44" t="s">
        <v>2293</v>
      </c>
      <c r="F273" s="44"/>
      <c r="G273" s="130">
        <v>28000</v>
      </c>
      <c r="H273" s="252">
        <f t="shared" si="8"/>
        <v>0</v>
      </c>
      <c r="I273" s="252">
        <f t="shared" si="9"/>
        <v>28000</v>
      </c>
      <c r="J273" s="170">
        <f>IF(A273="","",SUM($H$7:H273)-SUM($I$7:I273))</f>
        <v>-55218938</v>
      </c>
      <c r="K273" s="34"/>
    </row>
    <row r="274" spans="1:11" x14ac:dyDescent="0.2">
      <c r="A274" s="44">
        <v>44461</v>
      </c>
      <c r="B274" s="44" t="s">
        <v>732</v>
      </c>
      <c r="C274" s="35" t="s">
        <v>986</v>
      </c>
      <c r="D274" s="44" t="s">
        <v>1569</v>
      </c>
      <c r="E274" s="44" t="s">
        <v>2514</v>
      </c>
      <c r="F274" s="44"/>
      <c r="G274" s="130">
        <v>45000</v>
      </c>
      <c r="H274" s="252">
        <f t="shared" si="8"/>
        <v>0</v>
      </c>
      <c r="I274" s="252">
        <f t="shared" si="9"/>
        <v>45000</v>
      </c>
      <c r="J274" s="170">
        <f>IF(A274="","",SUM($H$7:H274)-SUM($I$7:I274))</f>
        <v>-55263938</v>
      </c>
      <c r="K274" s="34"/>
    </row>
    <row r="275" spans="1:11" x14ac:dyDescent="0.2">
      <c r="A275" s="44">
        <v>44461</v>
      </c>
      <c r="B275" s="44" t="s">
        <v>732</v>
      </c>
      <c r="C275" s="35" t="s">
        <v>986</v>
      </c>
      <c r="D275" s="44" t="s">
        <v>1560</v>
      </c>
      <c r="E275" s="44" t="s">
        <v>2511</v>
      </c>
      <c r="F275" s="44"/>
      <c r="G275" s="130">
        <v>50000</v>
      </c>
      <c r="H275" s="252">
        <f t="shared" si="8"/>
        <v>0</v>
      </c>
      <c r="I275" s="252">
        <f t="shared" si="9"/>
        <v>50000</v>
      </c>
      <c r="J275" s="170">
        <f>IF(A275="","",SUM($H$7:H275)-SUM($I$7:I275))</f>
        <v>-55313938</v>
      </c>
      <c r="K275" s="34"/>
    </row>
    <row r="276" spans="1:11" x14ac:dyDescent="0.2">
      <c r="A276" s="44">
        <v>44461</v>
      </c>
      <c r="B276" s="44" t="s">
        <v>732</v>
      </c>
      <c r="C276" s="35" t="s">
        <v>986</v>
      </c>
      <c r="D276" s="44" t="s">
        <v>1581</v>
      </c>
      <c r="E276" s="44" t="s">
        <v>2507</v>
      </c>
      <c r="F276" s="44"/>
      <c r="G276" s="130">
        <v>20000</v>
      </c>
      <c r="H276" s="252">
        <f t="shared" si="8"/>
        <v>0</v>
      </c>
      <c r="I276" s="252">
        <f t="shared" si="9"/>
        <v>20000</v>
      </c>
      <c r="J276" s="170">
        <f>IF(A276="","",SUM($H$7:H276)-SUM($I$7:I276))</f>
        <v>-55333938</v>
      </c>
      <c r="K276" s="34"/>
    </row>
    <row r="277" spans="1:11" x14ac:dyDescent="0.2">
      <c r="A277" s="44">
        <v>44462</v>
      </c>
      <c r="B277" s="44" t="s">
        <v>732</v>
      </c>
      <c r="C277" s="35" t="s">
        <v>986</v>
      </c>
      <c r="D277" s="44" t="s">
        <v>1569</v>
      </c>
      <c r="E277" s="44" t="s">
        <v>2514</v>
      </c>
      <c r="F277" s="44"/>
      <c r="G277" s="130">
        <v>45000</v>
      </c>
      <c r="H277" s="252">
        <f t="shared" si="8"/>
        <v>0</v>
      </c>
      <c r="I277" s="252">
        <f t="shared" si="9"/>
        <v>45000</v>
      </c>
      <c r="J277" s="170">
        <f>IF(A277="","",SUM($H$7:H277)-SUM($I$7:I277))</f>
        <v>-55378938</v>
      </c>
      <c r="K277" s="34"/>
    </row>
    <row r="278" spans="1:11" x14ac:dyDescent="0.2">
      <c r="A278" s="44">
        <v>44462</v>
      </c>
      <c r="B278" s="44" t="s">
        <v>732</v>
      </c>
      <c r="C278" s="35" t="s">
        <v>986</v>
      </c>
      <c r="D278" s="44" t="s">
        <v>1639</v>
      </c>
      <c r="E278" s="44" t="s">
        <v>2507</v>
      </c>
      <c r="F278" s="44"/>
      <c r="G278" s="130">
        <v>100000</v>
      </c>
      <c r="H278" s="252">
        <f t="shared" si="8"/>
        <v>0</v>
      </c>
      <c r="I278" s="252">
        <f t="shared" si="9"/>
        <v>100000</v>
      </c>
      <c r="J278" s="170">
        <f>IF(A278="","",SUM($H$7:H278)-SUM($I$7:I278))</f>
        <v>-55478938</v>
      </c>
      <c r="K278" s="34"/>
    </row>
    <row r="279" spans="1:11" x14ac:dyDescent="0.2">
      <c r="A279" s="44">
        <v>44462</v>
      </c>
      <c r="B279" s="44" t="s">
        <v>732</v>
      </c>
      <c r="C279" s="35" t="s">
        <v>986</v>
      </c>
      <c r="D279" s="44" t="s">
        <v>1534</v>
      </c>
      <c r="E279" s="44" t="s">
        <v>2507</v>
      </c>
      <c r="F279" s="44"/>
      <c r="G279" s="130">
        <v>12000</v>
      </c>
      <c r="H279" s="252">
        <f t="shared" si="8"/>
        <v>0</v>
      </c>
      <c r="I279" s="252">
        <f t="shared" si="9"/>
        <v>12000</v>
      </c>
      <c r="J279" s="170">
        <f>IF(A279="","",SUM($H$7:H279)-SUM($I$7:I279))</f>
        <v>-55490938</v>
      </c>
      <c r="K279" s="34"/>
    </row>
    <row r="280" spans="1:11" x14ac:dyDescent="0.2">
      <c r="A280" s="44">
        <v>44463</v>
      </c>
      <c r="B280" s="44" t="s">
        <v>732</v>
      </c>
      <c r="C280" s="35" t="s">
        <v>986</v>
      </c>
      <c r="D280" s="44" t="s">
        <v>1569</v>
      </c>
      <c r="E280" s="44" t="s">
        <v>2514</v>
      </c>
      <c r="F280" s="44"/>
      <c r="G280" s="130">
        <v>45000</v>
      </c>
      <c r="H280" s="252">
        <f t="shared" si="8"/>
        <v>0</v>
      </c>
      <c r="I280" s="252">
        <f t="shared" si="9"/>
        <v>45000</v>
      </c>
      <c r="J280" s="170">
        <f>IF(A280="","",SUM($H$7:H280)-SUM($I$7:I280))</f>
        <v>-55535938</v>
      </c>
      <c r="K280" s="34"/>
    </row>
    <row r="281" spans="1:11" x14ac:dyDescent="0.2">
      <c r="A281" s="44">
        <v>44463</v>
      </c>
      <c r="B281" s="44" t="s">
        <v>732</v>
      </c>
      <c r="C281" s="35" t="s">
        <v>986</v>
      </c>
      <c r="D281" s="44" t="s">
        <v>1632</v>
      </c>
      <c r="E281" s="44" t="s">
        <v>2514</v>
      </c>
      <c r="F281" s="44"/>
      <c r="G281" s="130">
        <v>24000</v>
      </c>
      <c r="H281" s="252">
        <f t="shared" si="8"/>
        <v>0</v>
      </c>
      <c r="I281" s="252">
        <f t="shared" si="9"/>
        <v>24000</v>
      </c>
      <c r="J281" s="170">
        <f>IF(A281="","",SUM($H$7:H281)-SUM($I$7:I281))</f>
        <v>-55559938</v>
      </c>
      <c r="K281" s="34"/>
    </row>
    <row r="282" spans="1:11" x14ac:dyDescent="0.2">
      <c r="A282" s="44">
        <v>44463</v>
      </c>
      <c r="B282" s="44" t="s">
        <v>732</v>
      </c>
      <c r="C282" s="35" t="s">
        <v>986</v>
      </c>
      <c r="D282" s="44" t="s">
        <v>1562</v>
      </c>
      <c r="E282" s="44" t="s">
        <v>2514</v>
      </c>
      <c r="F282" s="44"/>
      <c r="G282" s="130">
        <v>1000</v>
      </c>
      <c r="H282" s="252">
        <f t="shared" si="8"/>
        <v>0</v>
      </c>
      <c r="I282" s="252">
        <f t="shared" si="9"/>
        <v>1000</v>
      </c>
      <c r="J282" s="170">
        <f>IF(A282="","",SUM($H$7:H282)-SUM($I$7:I282))</f>
        <v>-55560938</v>
      </c>
      <c r="K282" s="34"/>
    </row>
    <row r="283" spans="1:11" x14ac:dyDescent="0.2">
      <c r="A283" s="44">
        <v>44464</v>
      </c>
      <c r="B283" s="44" t="s">
        <v>732</v>
      </c>
      <c r="C283" s="35" t="s">
        <v>986</v>
      </c>
      <c r="D283" s="44" t="s">
        <v>1569</v>
      </c>
      <c r="E283" s="44" t="s">
        <v>2514</v>
      </c>
      <c r="F283" s="44"/>
      <c r="G283" s="130">
        <v>45000</v>
      </c>
      <c r="H283" s="252">
        <f t="shared" si="8"/>
        <v>0</v>
      </c>
      <c r="I283" s="252">
        <f t="shared" si="9"/>
        <v>45000</v>
      </c>
      <c r="J283" s="170">
        <f>IF(A283="","",SUM($H$7:H283)-SUM($I$7:I283))</f>
        <v>-55605938</v>
      </c>
      <c r="K283" s="34"/>
    </row>
    <row r="284" spans="1:11" x14ac:dyDescent="0.2">
      <c r="A284" s="44">
        <v>44464</v>
      </c>
      <c r="B284" s="44" t="s">
        <v>732</v>
      </c>
      <c r="C284" s="35" t="s">
        <v>986</v>
      </c>
      <c r="D284" s="44" t="s">
        <v>2029</v>
      </c>
      <c r="E284" s="44" t="s">
        <v>2512</v>
      </c>
      <c r="F284" s="44"/>
      <c r="G284" s="130">
        <v>3231000</v>
      </c>
      <c r="H284" s="252">
        <f t="shared" si="8"/>
        <v>0</v>
      </c>
      <c r="I284" s="252">
        <f t="shared" si="9"/>
        <v>3231000</v>
      </c>
      <c r="J284" s="170">
        <f>IF(A284="","",SUM($H$7:H284)-SUM($I$7:I284))</f>
        <v>-58836938</v>
      </c>
      <c r="K284" s="34"/>
    </row>
    <row r="285" spans="1:11" x14ac:dyDescent="0.2">
      <c r="A285" s="44">
        <v>44464</v>
      </c>
      <c r="B285" s="44" t="s">
        <v>732</v>
      </c>
      <c r="C285" s="35" t="s">
        <v>986</v>
      </c>
      <c r="D285" s="44" t="s">
        <v>1641</v>
      </c>
      <c r="E285" s="44" t="s">
        <v>2512</v>
      </c>
      <c r="F285" s="44"/>
      <c r="G285" s="130">
        <v>240000</v>
      </c>
      <c r="H285" s="252">
        <f t="shared" si="8"/>
        <v>0</v>
      </c>
      <c r="I285" s="252">
        <f t="shared" si="9"/>
        <v>240000</v>
      </c>
      <c r="J285" s="170">
        <f>IF(A285="","",SUM($H$7:H285)-SUM($I$7:I285))</f>
        <v>-59076938</v>
      </c>
      <c r="K285" s="34"/>
    </row>
    <row r="286" spans="1:11" x14ac:dyDescent="0.2">
      <c r="A286" s="44">
        <v>44466</v>
      </c>
      <c r="B286" s="44" t="s">
        <v>732</v>
      </c>
      <c r="C286" s="35" t="s">
        <v>986</v>
      </c>
      <c r="D286" s="44" t="s">
        <v>1569</v>
      </c>
      <c r="E286" s="44" t="s">
        <v>2514</v>
      </c>
      <c r="F286" s="44"/>
      <c r="G286" s="130">
        <v>45000</v>
      </c>
      <c r="H286" s="252">
        <f t="shared" si="8"/>
        <v>0</v>
      </c>
      <c r="I286" s="252">
        <f t="shared" si="9"/>
        <v>45000</v>
      </c>
      <c r="J286" s="170">
        <f>IF(A286="","",SUM($H$7:H286)-SUM($I$7:I286))</f>
        <v>-59121938</v>
      </c>
      <c r="K286" s="34"/>
    </row>
    <row r="287" spans="1:11" x14ac:dyDescent="0.2">
      <c r="A287" s="44">
        <v>44466</v>
      </c>
      <c r="B287" s="44" t="s">
        <v>732</v>
      </c>
      <c r="C287" s="35" t="s">
        <v>986</v>
      </c>
      <c r="D287" s="44" t="s">
        <v>1640</v>
      </c>
      <c r="E287" s="44" t="s">
        <v>2507</v>
      </c>
      <c r="F287" s="44"/>
      <c r="G287" s="130">
        <v>10000</v>
      </c>
      <c r="H287" s="252">
        <f t="shared" si="8"/>
        <v>0</v>
      </c>
      <c r="I287" s="252">
        <f t="shared" si="9"/>
        <v>10000</v>
      </c>
      <c r="J287" s="170">
        <f>IF(A287="","",SUM($H$7:H287)-SUM($I$7:I287))</f>
        <v>-59131938</v>
      </c>
      <c r="K287" s="34"/>
    </row>
    <row r="288" spans="1:11" x14ac:dyDescent="0.2">
      <c r="A288" s="44">
        <v>44466</v>
      </c>
      <c r="B288" s="44" t="s">
        <v>732</v>
      </c>
      <c r="C288" s="35" t="s">
        <v>986</v>
      </c>
      <c r="D288" s="44" t="s">
        <v>1569</v>
      </c>
      <c r="E288" s="44" t="s">
        <v>2514</v>
      </c>
      <c r="F288" s="44"/>
      <c r="G288" s="130">
        <v>45000</v>
      </c>
      <c r="H288" s="252">
        <f t="shared" si="8"/>
        <v>0</v>
      </c>
      <c r="I288" s="252">
        <f t="shared" si="9"/>
        <v>45000</v>
      </c>
      <c r="J288" s="170">
        <f>IF(A288="","",SUM($H$7:H288)-SUM($I$7:I288))</f>
        <v>-59176938</v>
      </c>
      <c r="K288" s="34"/>
    </row>
    <row r="289" spans="1:11" x14ac:dyDescent="0.2">
      <c r="A289" s="44">
        <v>44468</v>
      </c>
      <c r="B289" s="44" t="s">
        <v>732</v>
      </c>
      <c r="C289" s="35" t="s">
        <v>986</v>
      </c>
      <c r="D289" s="44" t="s">
        <v>1642</v>
      </c>
      <c r="E289" s="44" t="s">
        <v>2507</v>
      </c>
      <c r="F289" s="44"/>
      <c r="G289" s="130">
        <v>170000</v>
      </c>
      <c r="H289" s="252">
        <f t="shared" si="8"/>
        <v>0</v>
      </c>
      <c r="I289" s="252">
        <f t="shared" si="9"/>
        <v>170000</v>
      </c>
      <c r="J289" s="170">
        <f>IF(A289="","",SUM($H$7:H289)-SUM($I$7:I289))</f>
        <v>-59346938</v>
      </c>
      <c r="K289" s="34"/>
    </row>
    <row r="290" spans="1:11" x14ac:dyDescent="0.2">
      <c r="A290" s="44">
        <v>44468</v>
      </c>
      <c r="B290" s="44" t="s">
        <v>732</v>
      </c>
      <c r="C290" s="35" t="s">
        <v>986</v>
      </c>
      <c r="D290" s="44" t="s">
        <v>1569</v>
      </c>
      <c r="E290" s="44" t="s">
        <v>2514</v>
      </c>
      <c r="F290" s="44"/>
      <c r="G290" s="130">
        <v>45000</v>
      </c>
      <c r="H290" s="252">
        <f t="shared" si="8"/>
        <v>0</v>
      </c>
      <c r="I290" s="252">
        <f t="shared" si="9"/>
        <v>45000</v>
      </c>
      <c r="J290" s="170">
        <f>IF(A290="","",SUM($H$7:H290)-SUM($I$7:I290))</f>
        <v>-59391938</v>
      </c>
      <c r="K290" s="34"/>
    </row>
    <row r="291" spans="1:11" x14ac:dyDescent="0.2">
      <c r="A291" s="44">
        <v>44468</v>
      </c>
      <c r="B291" s="44" t="s">
        <v>732</v>
      </c>
      <c r="C291" s="35" t="s">
        <v>986</v>
      </c>
      <c r="D291" s="44" t="s">
        <v>1643</v>
      </c>
      <c r="E291" s="44" t="s">
        <v>2507</v>
      </c>
      <c r="F291" s="44"/>
      <c r="G291" s="130">
        <v>22000</v>
      </c>
      <c r="H291" s="252">
        <f t="shared" si="8"/>
        <v>0</v>
      </c>
      <c r="I291" s="252">
        <f t="shared" si="9"/>
        <v>22000</v>
      </c>
      <c r="J291" s="170">
        <f>IF(A291="","",SUM($H$7:H291)-SUM($I$7:I291))</f>
        <v>-59413938</v>
      </c>
      <c r="K291" s="34"/>
    </row>
    <row r="292" spans="1:11" x14ac:dyDescent="0.2">
      <c r="A292" s="44">
        <v>44469</v>
      </c>
      <c r="B292" s="44" t="s">
        <v>732</v>
      </c>
      <c r="C292" s="35" t="s">
        <v>986</v>
      </c>
      <c r="D292" s="44" t="s">
        <v>1569</v>
      </c>
      <c r="E292" s="44" t="s">
        <v>2514</v>
      </c>
      <c r="F292" s="44"/>
      <c r="G292" s="130">
        <v>45000</v>
      </c>
      <c r="H292" s="252">
        <f t="shared" si="8"/>
        <v>0</v>
      </c>
      <c r="I292" s="252">
        <f t="shared" si="9"/>
        <v>45000</v>
      </c>
      <c r="J292" s="170">
        <f>IF(A292="","",SUM($H$7:H292)-SUM($I$7:I292))</f>
        <v>-59458938</v>
      </c>
      <c r="K292" s="34"/>
    </row>
    <row r="293" spans="1:11" ht="12.75" customHeight="1" x14ac:dyDescent="0.2">
      <c r="A293" s="44">
        <v>44470</v>
      </c>
      <c r="B293" s="44" t="s">
        <v>732</v>
      </c>
      <c r="C293" s="35" t="s">
        <v>986</v>
      </c>
      <c r="D293" s="44" t="s">
        <v>1569</v>
      </c>
      <c r="E293" s="44" t="s">
        <v>2514</v>
      </c>
      <c r="F293" s="44"/>
      <c r="G293" s="130">
        <v>45000</v>
      </c>
      <c r="H293" s="252">
        <f t="shared" si="8"/>
        <v>0</v>
      </c>
      <c r="I293" s="252">
        <f t="shared" si="9"/>
        <v>45000</v>
      </c>
      <c r="J293" s="170">
        <f>IF(A293="","",SUM($H$7:H293)-SUM($I$7:I293))</f>
        <v>-59503938</v>
      </c>
      <c r="K293" s="34"/>
    </row>
    <row r="294" spans="1:11" ht="12.75" customHeight="1" x14ac:dyDescent="0.2">
      <c r="A294" s="44">
        <v>44470</v>
      </c>
      <c r="B294" s="44" t="s">
        <v>732</v>
      </c>
      <c r="C294" s="35" t="s">
        <v>986</v>
      </c>
      <c r="D294" s="44" t="s">
        <v>1644</v>
      </c>
      <c r="E294" s="44" t="s">
        <v>1792</v>
      </c>
      <c r="F294" s="44"/>
      <c r="G294" s="130">
        <v>1000000</v>
      </c>
      <c r="H294" s="252">
        <f t="shared" si="8"/>
        <v>0</v>
      </c>
      <c r="I294" s="252">
        <f t="shared" si="9"/>
        <v>1000000</v>
      </c>
      <c r="J294" s="170">
        <f>IF(A294="","",SUM($H$7:H294)-SUM($I$7:I294))</f>
        <v>-60503938</v>
      </c>
      <c r="K294" s="34"/>
    </row>
    <row r="295" spans="1:11" ht="12.75" customHeight="1" x14ac:dyDescent="0.2">
      <c r="A295" s="44">
        <v>44471</v>
      </c>
      <c r="B295" s="44" t="s">
        <v>732</v>
      </c>
      <c r="C295" s="35" t="s">
        <v>986</v>
      </c>
      <c r="D295" s="44" t="s">
        <v>1569</v>
      </c>
      <c r="E295" s="44" t="s">
        <v>2514</v>
      </c>
      <c r="F295" s="44"/>
      <c r="G295" s="130">
        <v>40000</v>
      </c>
      <c r="H295" s="252">
        <f t="shared" si="8"/>
        <v>0</v>
      </c>
      <c r="I295" s="252">
        <f t="shared" si="9"/>
        <v>40000</v>
      </c>
      <c r="J295" s="170">
        <f>IF(A295="","",SUM($H$7:H295)-SUM($I$7:I295))</f>
        <v>-60543938</v>
      </c>
      <c r="K295" s="34"/>
    </row>
    <row r="296" spans="1:11" ht="12.75" customHeight="1" x14ac:dyDescent="0.2">
      <c r="A296" s="44">
        <v>44471</v>
      </c>
      <c r="B296" s="44" t="s">
        <v>732</v>
      </c>
      <c r="C296" s="35" t="s">
        <v>986</v>
      </c>
      <c r="D296" s="44" t="s">
        <v>1576</v>
      </c>
      <c r="E296" s="44" t="s">
        <v>2507</v>
      </c>
      <c r="F296" s="44"/>
      <c r="G296" s="130">
        <v>50000</v>
      </c>
      <c r="H296" s="252">
        <f t="shared" si="8"/>
        <v>0</v>
      </c>
      <c r="I296" s="252">
        <f t="shared" si="9"/>
        <v>50000</v>
      </c>
      <c r="J296" s="170">
        <f>IF(A296="","",SUM($H$7:H296)-SUM($I$7:I296))</f>
        <v>-60593938</v>
      </c>
      <c r="K296" s="34"/>
    </row>
    <row r="297" spans="1:11" ht="12.75" customHeight="1" x14ac:dyDescent="0.2">
      <c r="A297" s="44">
        <v>44471</v>
      </c>
      <c r="B297" s="44" t="s">
        <v>732</v>
      </c>
      <c r="C297" s="35" t="s">
        <v>986</v>
      </c>
      <c r="D297" s="44" t="s">
        <v>1573</v>
      </c>
      <c r="E297" s="44" t="s">
        <v>2511</v>
      </c>
      <c r="F297" s="44"/>
      <c r="G297" s="130">
        <v>30000</v>
      </c>
      <c r="H297" s="252">
        <f t="shared" si="8"/>
        <v>0</v>
      </c>
      <c r="I297" s="252">
        <f t="shared" si="9"/>
        <v>30000</v>
      </c>
      <c r="J297" s="170">
        <f>IF(A297="","",SUM($H$7:H297)-SUM($I$7:I297))</f>
        <v>-60623938</v>
      </c>
      <c r="K297" s="34"/>
    </row>
    <row r="298" spans="1:11" ht="12.75" customHeight="1" x14ac:dyDescent="0.2">
      <c r="A298" s="44">
        <v>44473</v>
      </c>
      <c r="B298" s="44" t="s">
        <v>732</v>
      </c>
      <c r="C298" s="35" t="s">
        <v>1645</v>
      </c>
      <c r="D298" s="44" t="s">
        <v>1646</v>
      </c>
      <c r="E298" s="44" t="s">
        <v>1645</v>
      </c>
      <c r="F298" s="44"/>
      <c r="G298" s="130">
        <v>1813500</v>
      </c>
      <c r="H298" s="252">
        <f t="shared" si="8"/>
        <v>1813500</v>
      </c>
      <c r="I298" s="252">
        <f t="shared" si="9"/>
        <v>0</v>
      </c>
      <c r="J298" s="170">
        <f>IF(A298="","",SUM($H$7:H298)-SUM($I$7:I298))</f>
        <v>-58810438</v>
      </c>
      <c r="K298" s="34"/>
    </row>
    <row r="299" spans="1:11" ht="12.75" customHeight="1" x14ac:dyDescent="0.2">
      <c r="A299" s="44">
        <v>44473</v>
      </c>
      <c r="B299" s="44" t="s">
        <v>732</v>
      </c>
      <c r="C299" s="35" t="s">
        <v>986</v>
      </c>
      <c r="D299" s="44" t="s">
        <v>1569</v>
      </c>
      <c r="E299" s="44" t="s">
        <v>2514</v>
      </c>
      <c r="F299" s="44"/>
      <c r="G299" s="130">
        <v>40000</v>
      </c>
      <c r="H299" s="252">
        <f t="shared" si="8"/>
        <v>0</v>
      </c>
      <c r="I299" s="252">
        <f t="shared" si="9"/>
        <v>40000</v>
      </c>
      <c r="J299" s="170">
        <f>IF(A299="","",SUM($H$7:H299)-SUM($I$7:I299))</f>
        <v>-58850438</v>
      </c>
      <c r="K299" s="34"/>
    </row>
    <row r="300" spans="1:11" ht="12.75" customHeight="1" x14ac:dyDescent="0.2">
      <c r="A300" s="44">
        <v>44473</v>
      </c>
      <c r="B300" s="44" t="s">
        <v>732</v>
      </c>
      <c r="C300" s="35" t="s">
        <v>986</v>
      </c>
      <c r="D300" s="44" t="s">
        <v>1560</v>
      </c>
      <c r="E300" s="44" t="s">
        <v>2511</v>
      </c>
      <c r="F300" s="44"/>
      <c r="G300" s="130">
        <v>50000</v>
      </c>
      <c r="H300" s="252">
        <f t="shared" si="8"/>
        <v>0</v>
      </c>
      <c r="I300" s="252">
        <f t="shared" si="9"/>
        <v>50000</v>
      </c>
      <c r="J300" s="170">
        <f>IF(A300="","",SUM($H$7:H300)-SUM($I$7:I300))</f>
        <v>-58900438</v>
      </c>
      <c r="K300" s="34"/>
    </row>
    <row r="301" spans="1:11" ht="12.75" customHeight="1" x14ac:dyDescent="0.2">
      <c r="A301" s="44">
        <v>44473</v>
      </c>
      <c r="B301" s="44" t="s">
        <v>732</v>
      </c>
      <c r="C301" s="35" t="s">
        <v>986</v>
      </c>
      <c r="D301" s="44" t="s">
        <v>1565</v>
      </c>
      <c r="E301" s="44" t="s">
        <v>2507</v>
      </c>
      <c r="F301" s="44"/>
      <c r="G301" s="130">
        <v>40000</v>
      </c>
      <c r="H301" s="252">
        <f t="shared" si="8"/>
        <v>0</v>
      </c>
      <c r="I301" s="252">
        <f t="shared" si="9"/>
        <v>40000</v>
      </c>
      <c r="J301" s="170">
        <f>IF(A301="","",SUM($H$7:H301)-SUM($I$7:I301))</f>
        <v>-58940438</v>
      </c>
      <c r="K301" s="34"/>
    </row>
    <row r="302" spans="1:11" ht="12.75" customHeight="1" x14ac:dyDescent="0.2">
      <c r="A302" s="44">
        <v>44473</v>
      </c>
      <c r="B302" s="44" t="s">
        <v>732</v>
      </c>
      <c r="C302" s="35" t="s">
        <v>986</v>
      </c>
      <c r="D302" s="44" t="s">
        <v>1647</v>
      </c>
      <c r="E302" s="44" t="s">
        <v>2507</v>
      </c>
      <c r="F302" s="44"/>
      <c r="G302" s="130">
        <v>10000</v>
      </c>
      <c r="H302" s="252">
        <f t="shared" si="8"/>
        <v>0</v>
      </c>
      <c r="I302" s="252">
        <f t="shared" si="9"/>
        <v>10000</v>
      </c>
      <c r="J302" s="170">
        <f>IF(A302="","",SUM($H$7:H302)-SUM($I$7:I302))</f>
        <v>-58950438</v>
      </c>
      <c r="K302" s="34"/>
    </row>
    <row r="303" spans="1:11" ht="12.75" customHeight="1" x14ac:dyDescent="0.2">
      <c r="A303" s="44">
        <v>44474</v>
      </c>
      <c r="B303" s="44" t="s">
        <v>732</v>
      </c>
      <c r="C303" s="35" t="s">
        <v>986</v>
      </c>
      <c r="D303" s="44" t="s">
        <v>902</v>
      </c>
      <c r="E303" s="44" t="s">
        <v>2507</v>
      </c>
      <c r="F303" s="44"/>
      <c r="G303" s="130">
        <v>6000</v>
      </c>
      <c r="H303" s="252">
        <f t="shared" si="8"/>
        <v>0</v>
      </c>
      <c r="I303" s="252">
        <f t="shared" si="9"/>
        <v>6000</v>
      </c>
      <c r="J303" s="170">
        <f>IF(A303="","",SUM($H$7:H303)-SUM($I$7:I303))</f>
        <v>-58956438</v>
      </c>
      <c r="K303" s="34"/>
    </row>
    <row r="304" spans="1:11" ht="12.75" customHeight="1" x14ac:dyDescent="0.2">
      <c r="A304" s="44">
        <v>44474</v>
      </c>
      <c r="B304" s="44" t="s">
        <v>732</v>
      </c>
      <c r="C304" s="35" t="s">
        <v>986</v>
      </c>
      <c r="D304" s="44" t="s">
        <v>1648</v>
      </c>
      <c r="E304" s="44" t="s">
        <v>2507</v>
      </c>
      <c r="F304" s="44"/>
      <c r="G304" s="130">
        <v>25000</v>
      </c>
      <c r="H304" s="252">
        <f t="shared" si="8"/>
        <v>0</v>
      </c>
      <c r="I304" s="252">
        <f t="shared" si="9"/>
        <v>25000</v>
      </c>
      <c r="J304" s="170">
        <f>IF(A304="","",SUM($H$7:H304)-SUM($I$7:I304))</f>
        <v>-58981438</v>
      </c>
      <c r="K304" s="34"/>
    </row>
    <row r="305" spans="1:11" ht="12.75" customHeight="1" x14ac:dyDescent="0.2">
      <c r="A305" s="44">
        <v>44474</v>
      </c>
      <c r="B305" s="44" t="s">
        <v>732</v>
      </c>
      <c r="C305" s="35" t="s">
        <v>986</v>
      </c>
      <c r="D305" s="44" t="s">
        <v>1562</v>
      </c>
      <c r="E305" s="44" t="s">
        <v>2514</v>
      </c>
      <c r="F305" s="44"/>
      <c r="G305" s="130">
        <v>1000</v>
      </c>
      <c r="H305" s="252">
        <f t="shared" si="8"/>
        <v>0</v>
      </c>
      <c r="I305" s="252">
        <f t="shared" si="9"/>
        <v>1000</v>
      </c>
      <c r="J305" s="170">
        <f>IF(A305="","",SUM($H$7:H305)-SUM($I$7:I305))</f>
        <v>-58982438</v>
      </c>
      <c r="K305" s="34"/>
    </row>
    <row r="306" spans="1:11" ht="12.75" customHeight="1" x14ac:dyDescent="0.2">
      <c r="A306" s="44">
        <v>44474</v>
      </c>
      <c r="B306" s="44" t="s">
        <v>732</v>
      </c>
      <c r="C306" s="35" t="s">
        <v>986</v>
      </c>
      <c r="D306" s="44" t="s">
        <v>1649</v>
      </c>
      <c r="E306" s="44" t="s">
        <v>2514</v>
      </c>
      <c r="F306" s="44"/>
      <c r="G306" s="130">
        <v>18000</v>
      </c>
      <c r="H306" s="252">
        <f t="shared" si="8"/>
        <v>0</v>
      </c>
      <c r="I306" s="252">
        <f t="shared" si="9"/>
        <v>18000</v>
      </c>
      <c r="J306" s="170">
        <f>IF(A306="","",SUM($H$7:H306)-SUM($I$7:I306))</f>
        <v>-59000438</v>
      </c>
      <c r="K306" s="34"/>
    </row>
    <row r="307" spans="1:11" ht="12.75" customHeight="1" x14ac:dyDescent="0.2">
      <c r="A307" s="44">
        <v>44474</v>
      </c>
      <c r="B307" s="44" t="s">
        <v>732</v>
      </c>
      <c r="C307" s="35" t="s">
        <v>986</v>
      </c>
      <c r="D307" s="44" t="s">
        <v>1650</v>
      </c>
      <c r="E307" s="44" t="s">
        <v>2507</v>
      </c>
      <c r="F307" s="44"/>
      <c r="G307" s="130">
        <v>50000</v>
      </c>
      <c r="H307" s="252">
        <f t="shared" si="8"/>
        <v>0</v>
      </c>
      <c r="I307" s="252">
        <f t="shared" si="9"/>
        <v>50000</v>
      </c>
      <c r="J307" s="170">
        <f>IF(A307="","",SUM($H$7:H307)-SUM($I$7:I307))</f>
        <v>-59050438</v>
      </c>
      <c r="K307" s="34"/>
    </row>
    <row r="308" spans="1:11" ht="12.75" customHeight="1" x14ac:dyDescent="0.2">
      <c r="A308" s="44">
        <v>44474</v>
      </c>
      <c r="B308" s="44" t="s">
        <v>732</v>
      </c>
      <c r="C308" s="35" t="s">
        <v>986</v>
      </c>
      <c r="D308" s="44" t="s">
        <v>619</v>
      </c>
      <c r="E308" s="44" t="s">
        <v>2515</v>
      </c>
      <c r="F308" s="44"/>
      <c r="G308" s="130">
        <v>15000</v>
      </c>
      <c r="H308" s="252">
        <f t="shared" si="8"/>
        <v>0</v>
      </c>
      <c r="I308" s="252">
        <f t="shared" si="9"/>
        <v>15000</v>
      </c>
      <c r="J308" s="170">
        <f>IF(A308="","",SUM($H$7:H308)-SUM($I$7:I308))</f>
        <v>-59065438</v>
      </c>
      <c r="K308" s="34"/>
    </row>
    <row r="309" spans="1:11" ht="12.75" customHeight="1" x14ac:dyDescent="0.2">
      <c r="A309" s="44">
        <v>44474</v>
      </c>
      <c r="B309" s="44" t="s">
        <v>732</v>
      </c>
      <c r="C309" s="35" t="s">
        <v>986</v>
      </c>
      <c r="D309" s="44" t="s">
        <v>1651</v>
      </c>
      <c r="E309" s="44" t="s">
        <v>2515</v>
      </c>
      <c r="F309" s="44"/>
      <c r="G309" s="130">
        <v>80000</v>
      </c>
      <c r="H309" s="252">
        <f t="shared" si="8"/>
        <v>0</v>
      </c>
      <c r="I309" s="252">
        <f t="shared" si="9"/>
        <v>80000</v>
      </c>
      <c r="J309" s="170">
        <f>IF(A309="","",SUM($H$7:H309)-SUM($I$7:I309))</f>
        <v>-59145438</v>
      </c>
      <c r="K309" s="34"/>
    </row>
    <row r="310" spans="1:11" ht="12.75" customHeight="1" x14ac:dyDescent="0.2">
      <c r="A310" s="44">
        <v>44474</v>
      </c>
      <c r="B310" s="44" t="s">
        <v>732</v>
      </c>
      <c r="C310" s="35" t="s">
        <v>986</v>
      </c>
      <c r="D310" s="44" t="s">
        <v>1652</v>
      </c>
      <c r="E310" s="44" t="s">
        <v>2515</v>
      </c>
      <c r="F310" s="44"/>
      <c r="G310" s="130">
        <v>12000</v>
      </c>
      <c r="H310" s="252">
        <f t="shared" si="8"/>
        <v>0</v>
      </c>
      <c r="I310" s="252">
        <f t="shared" si="9"/>
        <v>12000</v>
      </c>
      <c r="J310" s="170">
        <f>IF(A310="","",SUM($H$7:H310)-SUM($I$7:I310))</f>
        <v>-59157438</v>
      </c>
      <c r="K310" s="34"/>
    </row>
    <row r="311" spans="1:11" ht="12.75" customHeight="1" x14ac:dyDescent="0.2">
      <c r="A311" s="44">
        <v>44474</v>
      </c>
      <c r="B311" s="44" t="s">
        <v>732</v>
      </c>
      <c r="C311" s="35" t="s">
        <v>986</v>
      </c>
      <c r="D311" s="44" t="s">
        <v>1611</v>
      </c>
      <c r="E311" s="44" t="s">
        <v>2507</v>
      </c>
      <c r="F311" s="44"/>
      <c r="G311" s="130">
        <v>30000</v>
      </c>
      <c r="H311" s="252">
        <f t="shared" si="8"/>
        <v>0</v>
      </c>
      <c r="I311" s="252">
        <f t="shared" si="9"/>
        <v>30000</v>
      </c>
      <c r="J311" s="170">
        <f>IF(A311="","",SUM($H$7:H311)-SUM($I$7:I311))</f>
        <v>-59187438</v>
      </c>
      <c r="K311" s="34"/>
    </row>
    <row r="312" spans="1:11" ht="12.75" customHeight="1" x14ac:dyDescent="0.2">
      <c r="A312" s="44">
        <v>44474</v>
      </c>
      <c r="B312" s="44" t="s">
        <v>732</v>
      </c>
      <c r="C312" s="35" t="s">
        <v>986</v>
      </c>
      <c r="D312" s="44" t="s">
        <v>1569</v>
      </c>
      <c r="E312" s="44" t="s">
        <v>2514</v>
      </c>
      <c r="F312" s="44"/>
      <c r="G312" s="130">
        <v>40000</v>
      </c>
      <c r="H312" s="252">
        <f t="shared" si="8"/>
        <v>0</v>
      </c>
      <c r="I312" s="252">
        <f t="shared" si="9"/>
        <v>40000</v>
      </c>
      <c r="J312" s="170">
        <f>IF(A312="","",SUM($H$7:H312)-SUM($I$7:I312))</f>
        <v>-59227438</v>
      </c>
      <c r="K312" s="34"/>
    </row>
    <row r="313" spans="1:11" ht="12.75" customHeight="1" x14ac:dyDescent="0.2">
      <c r="A313" s="44">
        <v>44475</v>
      </c>
      <c r="B313" s="44" t="s">
        <v>732</v>
      </c>
      <c r="C313" s="35" t="s">
        <v>986</v>
      </c>
      <c r="D313" s="44" t="s">
        <v>1653</v>
      </c>
      <c r="E313" s="44" t="s">
        <v>2507</v>
      </c>
      <c r="F313" s="44"/>
      <c r="G313" s="130">
        <v>14400</v>
      </c>
      <c r="H313" s="252">
        <f t="shared" si="8"/>
        <v>0</v>
      </c>
      <c r="I313" s="252">
        <f t="shared" si="9"/>
        <v>14400</v>
      </c>
      <c r="J313" s="170">
        <f>IF(A313="","",SUM($H$7:H313)-SUM($I$7:I313))</f>
        <v>-59241838</v>
      </c>
      <c r="K313" s="34"/>
    </row>
    <row r="314" spans="1:11" ht="12.75" customHeight="1" x14ac:dyDescent="0.2">
      <c r="A314" s="44">
        <v>44475</v>
      </c>
      <c r="B314" s="44" t="s">
        <v>732</v>
      </c>
      <c r="C314" s="35" t="s">
        <v>986</v>
      </c>
      <c r="D314" s="44" t="s">
        <v>1654</v>
      </c>
      <c r="E314" s="44" t="s">
        <v>2507</v>
      </c>
      <c r="F314" s="44"/>
      <c r="G314" s="130">
        <v>2500</v>
      </c>
      <c r="H314" s="252">
        <f t="shared" si="8"/>
        <v>0</v>
      </c>
      <c r="I314" s="252">
        <f t="shared" si="9"/>
        <v>2500</v>
      </c>
      <c r="J314" s="170">
        <f>IF(A314="","",SUM($H$7:H314)-SUM($I$7:I314))</f>
        <v>-59244338</v>
      </c>
      <c r="K314" s="34"/>
    </row>
    <row r="315" spans="1:11" ht="12.75" customHeight="1" x14ac:dyDescent="0.2">
      <c r="A315" s="44">
        <v>44476</v>
      </c>
      <c r="B315" s="44" t="s">
        <v>732</v>
      </c>
      <c r="C315" s="35" t="s">
        <v>986</v>
      </c>
      <c r="D315" s="44" t="s">
        <v>1569</v>
      </c>
      <c r="E315" s="44" t="s">
        <v>2514</v>
      </c>
      <c r="F315" s="44"/>
      <c r="G315" s="130">
        <v>40000</v>
      </c>
      <c r="H315" s="252">
        <f t="shared" si="8"/>
        <v>0</v>
      </c>
      <c r="I315" s="252">
        <f t="shared" si="9"/>
        <v>40000</v>
      </c>
      <c r="J315" s="170">
        <f>IF(A315="","",SUM($H$7:H315)-SUM($I$7:I315))</f>
        <v>-59284338</v>
      </c>
      <c r="K315" s="34"/>
    </row>
    <row r="316" spans="1:11" ht="12.75" customHeight="1" x14ac:dyDescent="0.2">
      <c r="A316" s="44">
        <v>44477</v>
      </c>
      <c r="B316" s="44" t="s">
        <v>1590</v>
      </c>
      <c r="C316" s="35" t="s">
        <v>986</v>
      </c>
      <c r="D316" s="44" t="s">
        <v>1761</v>
      </c>
      <c r="E316" s="44" t="s">
        <v>2507</v>
      </c>
      <c r="F316" s="44"/>
      <c r="G316" s="130">
        <v>750000</v>
      </c>
      <c r="H316" s="252">
        <f t="shared" si="8"/>
        <v>0</v>
      </c>
      <c r="I316" s="252">
        <f t="shared" si="9"/>
        <v>750000</v>
      </c>
      <c r="J316" s="170">
        <f>IF(A316="","",SUM($H$7:H316)-SUM($I$7:I316))</f>
        <v>-60034338</v>
      </c>
      <c r="K316" s="34"/>
    </row>
    <row r="317" spans="1:11" ht="12.75" customHeight="1" x14ac:dyDescent="0.2">
      <c r="A317" s="44">
        <v>44477</v>
      </c>
      <c r="B317" s="44" t="s">
        <v>1590</v>
      </c>
      <c r="C317" s="35" t="s">
        <v>936</v>
      </c>
      <c r="D317" s="44" t="s">
        <v>1762</v>
      </c>
      <c r="E317" s="44" t="s">
        <v>2509</v>
      </c>
      <c r="F317" s="44"/>
      <c r="G317" s="130">
        <v>1450000</v>
      </c>
      <c r="H317" s="252">
        <f t="shared" si="8"/>
        <v>0</v>
      </c>
      <c r="I317" s="252">
        <f t="shared" si="9"/>
        <v>1450000</v>
      </c>
      <c r="J317" s="170">
        <f>IF(A317="","",SUM($H$7:H317)-SUM($I$7:I317))</f>
        <v>-61484338</v>
      </c>
      <c r="K317" s="34"/>
    </row>
    <row r="318" spans="1:11" ht="12.75" customHeight="1" x14ac:dyDescent="0.2">
      <c r="A318" s="44">
        <v>44477</v>
      </c>
      <c r="B318" s="44" t="s">
        <v>1590</v>
      </c>
      <c r="C318" s="35" t="s">
        <v>986</v>
      </c>
      <c r="D318" s="44" t="s">
        <v>2035</v>
      </c>
      <c r="E318" s="44" t="s">
        <v>2512</v>
      </c>
      <c r="F318" s="44"/>
      <c r="G318" s="130">
        <v>826000</v>
      </c>
      <c r="H318" s="252">
        <f t="shared" si="8"/>
        <v>0</v>
      </c>
      <c r="I318" s="252">
        <f t="shared" si="9"/>
        <v>826000</v>
      </c>
      <c r="J318" s="170">
        <f>IF(A318="","",SUM($H$7:H318)-SUM($I$7:I318))</f>
        <v>-62310338</v>
      </c>
      <c r="K318" s="34"/>
    </row>
    <row r="319" spans="1:11" ht="12.75" customHeight="1" x14ac:dyDescent="0.2">
      <c r="A319" s="44">
        <v>44480</v>
      </c>
      <c r="B319" s="44" t="s">
        <v>732</v>
      </c>
      <c r="C319" s="35" t="s">
        <v>986</v>
      </c>
      <c r="D319" s="44" t="s">
        <v>1569</v>
      </c>
      <c r="E319" s="44" t="s">
        <v>2514</v>
      </c>
      <c r="F319" s="44"/>
      <c r="G319" s="130">
        <v>40000</v>
      </c>
      <c r="H319" s="252">
        <f t="shared" si="8"/>
        <v>0</v>
      </c>
      <c r="I319" s="252">
        <f t="shared" si="9"/>
        <v>40000</v>
      </c>
      <c r="J319" s="170">
        <f>IF(A319="","",SUM($H$7:H319)-SUM($I$7:I319))</f>
        <v>-62350338</v>
      </c>
      <c r="K319" s="34"/>
    </row>
    <row r="320" spans="1:11" ht="12.75" customHeight="1" x14ac:dyDescent="0.2">
      <c r="A320" s="44">
        <v>44480</v>
      </c>
      <c r="B320" s="44" t="s">
        <v>732</v>
      </c>
      <c r="C320" s="35" t="s">
        <v>986</v>
      </c>
      <c r="D320" s="44" t="s">
        <v>1573</v>
      </c>
      <c r="E320" s="44" t="s">
        <v>2511</v>
      </c>
      <c r="F320" s="44"/>
      <c r="G320" s="130">
        <v>27000</v>
      </c>
      <c r="H320" s="252">
        <f t="shared" si="8"/>
        <v>0</v>
      </c>
      <c r="I320" s="252">
        <f t="shared" si="9"/>
        <v>27000</v>
      </c>
      <c r="J320" s="170">
        <f>IF(A320="","",SUM($H$7:H320)-SUM($I$7:I320))</f>
        <v>-62377338</v>
      </c>
      <c r="K320" s="34"/>
    </row>
    <row r="321" spans="1:11" ht="12.75" customHeight="1" x14ac:dyDescent="0.2">
      <c r="A321" s="44">
        <v>44481</v>
      </c>
      <c r="B321" s="44" t="s">
        <v>732</v>
      </c>
      <c r="C321" s="35" t="s">
        <v>986</v>
      </c>
      <c r="D321" s="44" t="s">
        <v>1569</v>
      </c>
      <c r="E321" s="44" t="s">
        <v>2514</v>
      </c>
      <c r="F321" s="44"/>
      <c r="G321" s="130">
        <v>40000</v>
      </c>
      <c r="H321" s="252">
        <f t="shared" si="8"/>
        <v>0</v>
      </c>
      <c r="I321" s="252">
        <f t="shared" si="9"/>
        <v>40000</v>
      </c>
      <c r="J321" s="170">
        <f>IF(A321="","",SUM($H$7:H321)-SUM($I$7:I321))</f>
        <v>-62417338</v>
      </c>
      <c r="K321" s="34"/>
    </row>
    <row r="322" spans="1:11" ht="12.75" customHeight="1" x14ac:dyDescent="0.2">
      <c r="A322" s="44">
        <v>44482</v>
      </c>
      <c r="B322" s="44" t="s">
        <v>732</v>
      </c>
      <c r="C322" s="35" t="s">
        <v>986</v>
      </c>
      <c r="D322" s="44" t="s">
        <v>1700</v>
      </c>
      <c r="E322" s="44" t="s">
        <v>2515</v>
      </c>
      <c r="F322" s="44"/>
      <c r="G322" s="130">
        <v>48000</v>
      </c>
      <c r="H322" s="252">
        <f t="shared" si="8"/>
        <v>0</v>
      </c>
      <c r="I322" s="252">
        <f t="shared" si="9"/>
        <v>48000</v>
      </c>
      <c r="J322" s="170">
        <f>IF(A322="","",SUM($H$7:H322)-SUM($I$7:I322))</f>
        <v>-62465338</v>
      </c>
      <c r="K322" s="34"/>
    </row>
    <row r="323" spans="1:11" ht="12.75" customHeight="1" x14ac:dyDescent="0.2">
      <c r="A323" s="44">
        <v>44482</v>
      </c>
      <c r="B323" s="44" t="s">
        <v>732</v>
      </c>
      <c r="C323" s="35" t="s">
        <v>986</v>
      </c>
      <c r="D323" s="44" t="s">
        <v>1569</v>
      </c>
      <c r="E323" s="44" t="s">
        <v>2514</v>
      </c>
      <c r="F323" s="44"/>
      <c r="G323" s="130">
        <v>40000</v>
      </c>
      <c r="H323" s="252">
        <f t="shared" si="8"/>
        <v>0</v>
      </c>
      <c r="I323" s="252">
        <f t="shared" si="9"/>
        <v>40000</v>
      </c>
      <c r="J323" s="170">
        <f>IF(A323="","",SUM($H$7:H323)-SUM($I$7:I323))</f>
        <v>-62505338</v>
      </c>
      <c r="K323" s="34"/>
    </row>
    <row r="324" spans="1:11" ht="12.75" customHeight="1" x14ac:dyDescent="0.2">
      <c r="A324" s="44">
        <v>44482</v>
      </c>
      <c r="B324" s="44" t="s">
        <v>732</v>
      </c>
      <c r="C324" s="35" t="s">
        <v>986</v>
      </c>
      <c r="D324" s="44" t="s">
        <v>1581</v>
      </c>
      <c r="E324" s="44" t="s">
        <v>2507</v>
      </c>
      <c r="F324" s="44"/>
      <c r="G324" s="130">
        <v>20000</v>
      </c>
      <c r="H324" s="252">
        <f t="shared" si="8"/>
        <v>0</v>
      </c>
      <c r="I324" s="252">
        <f t="shared" si="9"/>
        <v>20000</v>
      </c>
      <c r="J324" s="170">
        <f>IF(A324="","",SUM($H$7:H324)-SUM($I$7:I324))</f>
        <v>-62525338</v>
      </c>
      <c r="K324" s="34"/>
    </row>
    <row r="325" spans="1:11" ht="12.75" customHeight="1" x14ac:dyDescent="0.2">
      <c r="A325" s="44">
        <v>44482</v>
      </c>
      <c r="B325" s="44" t="s">
        <v>732</v>
      </c>
      <c r="C325" s="35" t="s">
        <v>986</v>
      </c>
      <c r="D325" s="44" t="s">
        <v>1701</v>
      </c>
      <c r="E325" s="44" t="s">
        <v>2507</v>
      </c>
      <c r="F325" s="44"/>
      <c r="G325" s="130">
        <v>10000</v>
      </c>
      <c r="H325" s="252">
        <f t="shared" si="8"/>
        <v>0</v>
      </c>
      <c r="I325" s="252">
        <f t="shared" si="9"/>
        <v>10000</v>
      </c>
      <c r="J325" s="170">
        <f>IF(A325="","",SUM($H$7:H325)-SUM($I$7:I325))</f>
        <v>-62535338</v>
      </c>
      <c r="K325" s="34"/>
    </row>
    <row r="326" spans="1:11" ht="12.75" customHeight="1" x14ac:dyDescent="0.2">
      <c r="A326" s="44">
        <v>44483</v>
      </c>
      <c r="B326" s="44" t="s">
        <v>732</v>
      </c>
      <c r="C326" s="35" t="s">
        <v>986</v>
      </c>
      <c r="D326" s="44" t="s">
        <v>1569</v>
      </c>
      <c r="E326" s="44" t="s">
        <v>2514</v>
      </c>
      <c r="F326" s="44"/>
      <c r="G326" s="130">
        <v>40000</v>
      </c>
      <c r="H326" s="252">
        <f t="shared" si="8"/>
        <v>0</v>
      </c>
      <c r="I326" s="252">
        <f t="shared" si="9"/>
        <v>40000</v>
      </c>
      <c r="J326" s="170">
        <f>IF(A326="","",SUM($H$7:H326)-SUM($I$7:I326))</f>
        <v>-62575338</v>
      </c>
      <c r="K326" s="34"/>
    </row>
    <row r="327" spans="1:11" ht="12.75" customHeight="1" x14ac:dyDescent="0.2">
      <c r="A327" s="44">
        <v>44483</v>
      </c>
      <c r="B327" s="44" t="s">
        <v>732</v>
      </c>
      <c r="C327" s="35" t="s">
        <v>986</v>
      </c>
      <c r="D327" s="44" t="s">
        <v>1702</v>
      </c>
      <c r="E327" s="44" t="s">
        <v>2507</v>
      </c>
      <c r="F327" s="44"/>
      <c r="G327" s="130">
        <v>5000</v>
      </c>
      <c r="H327" s="252">
        <f t="shared" ref="H327:H390" si="10">IF($C327="Replenishment",$G327,0)</f>
        <v>0</v>
      </c>
      <c r="I327" s="252">
        <f t="shared" ref="I327:I390" si="11">IF($C327="Replenishment",0,$G327)</f>
        <v>5000</v>
      </c>
      <c r="J327" s="170">
        <f>IF(A327="","",SUM($H$7:H327)-SUM($I$7:I327))</f>
        <v>-62580338</v>
      </c>
      <c r="K327" s="34"/>
    </row>
    <row r="328" spans="1:11" ht="12.75" customHeight="1" x14ac:dyDescent="0.2">
      <c r="A328" s="44">
        <v>44483</v>
      </c>
      <c r="B328" s="44" t="s">
        <v>732</v>
      </c>
      <c r="C328" s="35" t="s">
        <v>986</v>
      </c>
      <c r="D328" s="44" t="s">
        <v>1703</v>
      </c>
      <c r="E328" s="44" t="s">
        <v>1793</v>
      </c>
      <c r="F328" s="44"/>
      <c r="G328" s="130">
        <v>100000</v>
      </c>
      <c r="H328" s="252">
        <f t="shared" si="10"/>
        <v>0</v>
      </c>
      <c r="I328" s="252">
        <f t="shared" si="11"/>
        <v>100000</v>
      </c>
      <c r="J328" s="170">
        <f>IF(A328="","",SUM($H$7:H328)-SUM($I$7:I328))</f>
        <v>-62680338</v>
      </c>
      <c r="K328" s="34"/>
    </row>
    <row r="329" spans="1:11" ht="12.75" customHeight="1" x14ac:dyDescent="0.2">
      <c r="A329" s="44">
        <v>44484</v>
      </c>
      <c r="B329" s="44" t="s">
        <v>732</v>
      </c>
      <c r="C329" s="35" t="s">
        <v>986</v>
      </c>
      <c r="D329" s="44" t="s">
        <v>1569</v>
      </c>
      <c r="E329" s="44" t="s">
        <v>2514</v>
      </c>
      <c r="F329" s="44"/>
      <c r="G329" s="130">
        <v>40000</v>
      </c>
      <c r="H329" s="252">
        <f t="shared" si="10"/>
        <v>0</v>
      </c>
      <c r="I329" s="252">
        <f t="shared" si="11"/>
        <v>40000</v>
      </c>
      <c r="J329" s="170">
        <f>IF(A329="","",SUM($H$7:H329)-SUM($I$7:I329))</f>
        <v>-62720338</v>
      </c>
      <c r="K329" s="34"/>
    </row>
    <row r="330" spans="1:11" ht="12.75" customHeight="1" x14ac:dyDescent="0.2">
      <c r="A330" s="44">
        <v>44484</v>
      </c>
      <c r="B330" s="44" t="s">
        <v>732</v>
      </c>
      <c r="C330" s="35" t="s">
        <v>986</v>
      </c>
      <c r="D330" s="44" t="s">
        <v>1534</v>
      </c>
      <c r="E330" s="44" t="s">
        <v>2507</v>
      </c>
      <c r="F330" s="44"/>
      <c r="G330" s="130">
        <v>26000</v>
      </c>
      <c r="H330" s="252">
        <f t="shared" si="10"/>
        <v>0</v>
      </c>
      <c r="I330" s="252">
        <f t="shared" si="11"/>
        <v>26000</v>
      </c>
      <c r="J330" s="170">
        <f>IF(A330="","",SUM($H$7:H330)-SUM($I$7:I330))</f>
        <v>-62746338</v>
      </c>
      <c r="K330" s="34"/>
    </row>
    <row r="331" spans="1:11" ht="12.75" customHeight="1" x14ac:dyDescent="0.2">
      <c r="A331" s="44">
        <v>44484</v>
      </c>
      <c r="B331" s="44" t="s">
        <v>732</v>
      </c>
      <c r="C331" s="35" t="s">
        <v>986</v>
      </c>
      <c r="D331" s="44" t="s">
        <v>1741</v>
      </c>
      <c r="E331" s="44" t="s">
        <v>1793</v>
      </c>
      <c r="F331" s="44"/>
      <c r="G331" s="130">
        <v>98500</v>
      </c>
      <c r="H331" s="252">
        <f t="shared" si="10"/>
        <v>0</v>
      </c>
      <c r="I331" s="252">
        <f t="shared" si="11"/>
        <v>98500</v>
      </c>
      <c r="J331" s="170">
        <f>IF(A331="","",SUM($H$7:H331)-SUM($I$7:I331))</f>
        <v>-62844838</v>
      </c>
      <c r="K331" s="34"/>
    </row>
    <row r="332" spans="1:11" ht="12.75" customHeight="1" x14ac:dyDescent="0.2">
      <c r="A332" s="44">
        <v>44485</v>
      </c>
      <c r="B332" s="44" t="s">
        <v>732</v>
      </c>
      <c r="C332" s="35" t="s">
        <v>986</v>
      </c>
      <c r="D332" s="44" t="s">
        <v>1569</v>
      </c>
      <c r="E332" s="44" t="s">
        <v>2514</v>
      </c>
      <c r="F332" s="44"/>
      <c r="G332" s="130">
        <v>40000</v>
      </c>
      <c r="H332" s="252">
        <f t="shared" si="10"/>
        <v>0</v>
      </c>
      <c r="I332" s="252">
        <f t="shared" si="11"/>
        <v>40000</v>
      </c>
      <c r="J332" s="170">
        <f>IF(A332="","",SUM($H$7:H332)-SUM($I$7:I332))</f>
        <v>-62884838</v>
      </c>
      <c r="K332" s="34"/>
    </row>
    <row r="333" spans="1:11" ht="12.75" customHeight="1" x14ac:dyDescent="0.2">
      <c r="A333" s="44">
        <v>44485</v>
      </c>
      <c r="B333" s="44" t="s">
        <v>732</v>
      </c>
      <c r="C333" s="35" t="s">
        <v>986</v>
      </c>
      <c r="D333" s="44" t="s">
        <v>1633</v>
      </c>
      <c r="E333" s="44" t="s">
        <v>2507</v>
      </c>
      <c r="F333" s="44"/>
      <c r="G333" s="130">
        <v>1000</v>
      </c>
      <c r="H333" s="252">
        <f t="shared" si="10"/>
        <v>0</v>
      </c>
      <c r="I333" s="252">
        <f t="shared" si="11"/>
        <v>1000</v>
      </c>
      <c r="J333" s="170">
        <f>IF(A333="","",SUM($H$7:H333)-SUM($I$7:I333))</f>
        <v>-62885838</v>
      </c>
      <c r="K333" s="34"/>
    </row>
    <row r="334" spans="1:11" ht="12.75" customHeight="1" x14ac:dyDescent="0.2">
      <c r="A334" s="44">
        <v>44487</v>
      </c>
      <c r="B334" s="44" t="s">
        <v>732</v>
      </c>
      <c r="C334" s="35" t="s">
        <v>986</v>
      </c>
      <c r="D334" s="44" t="s">
        <v>1639</v>
      </c>
      <c r="E334" s="44" t="s">
        <v>2507</v>
      </c>
      <c r="F334" s="44"/>
      <c r="G334" s="130">
        <v>100000</v>
      </c>
      <c r="H334" s="252">
        <f t="shared" si="10"/>
        <v>0</v>
      </c>
      <c r="I334" s="252">
        <f t="shared" si="11"/>
        <v>100000</v>
      </c>
      <c r="J334" s="170">
        <f>IF(A334="","",SUM($H$7:H334)-SUM($I$7:I334))</f>
        <v>-62985838</v>
      </c>
      <c r="K334" s="34"/>
    </row>
    <row r="335" spans="1:11" ht="12.75" customHeight="1" x14ac:dyDescent="0.2">
      <c r="A335" s="44">
        <v>44487</v>
      </c>
      <c r="B335" s="44" t="s">
        <v>732</v>
      </c>
      <c r="C335" s="35" t="s">
        <v>986</v>
      </c>
      <c r="D335" s="44" t="s">
        <v>1569</v>
      </c>
      <c r="E335" s="44" t="s">
        <v>2514</v>
      </c>
      <c r="F335" s="44"/>
      <c r="G335" s="130">
        <v>40000</v>
      </c>
      <c r="H335" s="252">
        <f t="shared" si="10"/>
        <v>0</v>
      </c>
      <c r="I335" s="252">
        <f t="shared" si="11"/>
        <v>40000</v>
      </c>
      <c r="J335" s="170">
        <f>IF(A335="","",SUM($H$7:H335)-SUM($I$7:I335))</f>
        <v>-63025838</v>
      </c>
      <c r="K335" s="34"/>
    </row>
    <row r="336" spans="1:11" ht="12.75" customHeight="1" x14ac:dyDescent="0.2">
      <c r="A336" s="44">
        <v>44487</v>
      </c>
      <c r="B336" s="44" t="s">
        <v>732</v>
      </c>
      <c r="C336" s="35" t="s">
        <v>986</v>
      </c>
      <c r="D336" s="44" t="s">
        <v>1561</v>
      </c>
      <c r="E336" s="44" t="s">
        <v>2507</v>
      </c>
      <c r="F336" s="44"/>
      <c r="G336" s="130">
        <v>30000</v>
      </c>
      <c r="H336" s="252">
        <f t="shared" si="10"/>
        <v>0</v>
      </c>
      <c r="I336" s="252">
        <f t="shared" si="11"/>
        <v>30000</v>
      </c>
      <c r="J336" s="170">
        <f>IF(A336="","",SUM($H$7:H336)-SUM($I$7:I336))</f>
        <v>-63055838</v>
      </c>
      <c r="K336" s="34"/>
    </row>
    <row r="337" spans="1:11" ht="12.75" customHeight="1" x14ac:dyDescent="0.2">
      <c r="A337" s="44">
        <v>44487</v>
      </c>
      <c r="B337" s="44" t="s">
        <v>732</v>
      </c>
      <c r="C337" s="35" t="s">
        <v>986</v>
      </c>
      <c r="D337" s="44" t="s">
        <v>1560</v>
      </c>
      <c r="E337" s="44" t="s">
        <v>2511</v>
      </c>
      <c r="F337" s="44"/>
      <c r="G337" s="130">
        <v>50000</v>
      </c>
      <c r="H337" s="252">
        <f t="shared" si="10"/>
        <v>0</v>
      </c>
      <c r="I337" s="252">
        <f t="shared" si="11"/>
        <v>50000</v>
      </c>
      <c r="J337" s="170">
        <f>IF(A337="","",SUM($H$7:H337)-SUM($I$7:I337))</f>
        <v>-63105838</v>
      </c>
      <c r="K337" s="34"/>
    </row>
    <row r="338" spans="1:11" ht="12.75" customHeight="1" x14ac:dyDescent="0.2">
      <c r="A338" s="44">
        <v>44488</v>
      </c>
      <c r="B338" s="44" t="s">
        <v>732</v>
      </c>
      <c r="C338" s="35" t="s">
        <v>986</v>
      </c>
      <c r="D338" s="44" t="s">
        <v>1569</v>
      </c>
      <c r="E338" s="44" t="s">
        <v>2514</v>
      </c>
      <c r="F338" s="44"/>
      <c r="G338" s="130">
        <v>40000</v>
      </c>
      <c r="H338" s="252">
        <f t="shared" si="10"/>
        <v>0</v>
      </c>
      <c r="I338" s="252">
        <f t="shared" si="11"/>
        <v>40000</v>
      </c>
      <c r="J338" s="170">
        <f>IF(A338="","",SUM($H$7:H338)-SUM($I$7:I338))</f>
        <v>-63145838</v>
      </c>
      <c r="K338" s="34"/>
    </row>
    <row r="339" spans="1:11" ht="12.75" customHeight="1" x14ac:dyDescent="0.2">
      <c r="A339" s="44">
        <v>44488</v>
      </c>
      <c r="B339" s="44" t="s">
        <v>732</v>
      </c>
      <c r="C339" s="35" t="s">
        <v>986</v>
      </c>
      <c r="D339" s="44" t="s">
        <v>1742</v>
      </c>
      <c r="E339" s="44" t="s">
        <v>2507</v>
      </c>
      <c r="F339" s="44"/>
      <c r="G339" s="130">
        <v>5000</v>
      </c>
      <c r="H339" s="252">
        <f t="shared" si="10"/>
        <v>0</v>
      </c>
      <c r="I339" s="252">
        <f t="shared" si="11"/>
        <v>5000</v>
      </c>
      <c r="J339" s="170">
        <f>IF(A339="","",SUM($H$7:H339)-SUM($I$7:I339))</f>
        <v>-63150838</v>
      </c>
      <c r="K339" s="34"/>
    </row>
    <row r="340" spans="1:11" ht="12.75" customHeight="1" x14ac:dyDescent="0.2">
      <c r="A340" s="44">
        <v>44489</v>
      </c>
      <c r="B340" s="44" t="s">
        <v>732</v>
      </c>
      <c r="C340" s="35" t="s">
        <v>986</v>
      </c>
      <c r="D340" s="44" t="s">
        <v>1569</v>
      </c>
      <c r="E340" s="44" t="s">
        <v>2514</v>
      </c>
      <c r="F340" s="44"/>
      <c r="G340" s="130">
        <v>40000</v>
      </c>
      <c r="H340" s="252">
        <f t="shared" si="10"/>
        <v>0</v>
      </c>
      <c r="I340" s="252">
        <f t="shared" si="11"/>
        <v>40000</v>
      </c>
      <c r="J340" s="170">
        <f>IF(A340="","",SUM($H$7:H340)-SUM($I$7:I340))</f>
        <v>-63190838</v>
      </c>
      <c r="K340" s="34"/>
    </row>
    <row r="341" spans="1:11" ht="12.75" customHeight="1" x14ac:dyDescent="0.2">
      <c r="A341" s="44">
        <v>44490</v>
      </c>
      <c r="B341" s="44" t="s">
        <v>732</v>
      </c>
      <c r="C341" s="35" t="s">
        <v>986</v>
      </c>
      <c r="D341" s="44" t="s">
        <v>1569</v>
      </c>
      <c r="E341" s="44" t="s">
        <v>2514</v>
      </c>
      <c r="F341" s="44"/>
      <c r="G341" s="130">
        <v>40000</v>
      </c>
      <c r="H341" s="252">
        <f t="shared" si="10"/>
        <v>0</v>
      </c>
      <c r="I341" s="252">
        <f t="shared" si="11"/>
        <v>40000</v>
      </c>
      <c r="J341" s="170">
        <f>IF(A341="","",SUM($H$7:H341)-SUM($I$7:I341))</f>
        <v>-63230838</v>
      </c>
      <c r="K341" s="34"/>
    </row>
    <row r="342" spans="1:11" ht="12.75" customHeight="1" x14ac:dyDescent="0.2">
      <c r="A342" s="44">
        <v>44491</v>
      </c>
      <c r="B342" s="44" t="s">
        <v>732</v>
      </c>
      <c r="C342" s="35" t="s">
        <v>986</v>
      </c>
      <c r="D342" s="44" t="s">
        <v>1569</v>
      </c>
      <c r="E342" s="44" t="s">
        <v>2514</v>
      </c>
      <c r="F342" s="44"/>
      <c r="G342" s="130">
        <v>40000</v>
      </c>
      <c r="H342" s="252">
        <f t="shared" si="10"/>
        <v>0</v>
      </c>
      <c r="I342" s="252">
        <f t="shared" si="11"/>
        <v>40000</v>
      </c>
      <c r="J342" s="170">
        <f>IF(A342="","",SUM($H$7:H342)-SUM($I$7:I342))</f>
        <v>-63270838</v>
      </c>
      <c r="K342" s="34"/>
    </row>
    <row r="343" spans="1:11" ht="12.75" customHeight="1" x14ac:dyDescent="0.2">
      <c r="A343" s="44">
        <v>44492</v>
      </c>
      <c r="B343" s="44" t="s">
        <v>732</v>
      </c>
      <c r="C343" s="35" t="s">
        <v>986</v>
      </c>
      <c r="D343" s="44" t="s">
        <v>1569</v>
      </c>
      <c r="E343" s="44" t="s">
        <v>2514</v>
      </c>
      <c r="F343" s="44"/>
      <c r="G343" s="130">
        <v>40000</v>
      </c>
      <c r="H343" s="252">
        <f t="shared" si="10"/>
        <v>0</v>
      </c>
      <c r="I343" s="252">
        <f t="shared" si="11"/>
        <v>40000</v>
      </c>
      <c r="J343" s="170">
        <f>IF(A343="","",SUM($H$7:H343)-SUM($I$7:I343))</f>
        <v>-63310838</v>
      </c>
      <c r="K343" s="34"/>
    </row>
    <row r="344" spans="1:11" ht="12.75" customHeight="1" x14ac:dyDescent="0.2">
      <c r="A344" s="44">
        <v>44492</v>
      </c>
      <c r="B344" s="44" t="s">
        <v>732</v>
      </c>
      <c r="C344" s="35" t="s">
        <v>986</v>
      </c>
      <c r="D344" s="44" t="s">
        <v>1534</v>
      </c>
      <c r="E344" s="44" t="s">
        <v>2507</v>
      </c>
      <c r="F344" s="44"/>
      <c r="G344" s="130">
        <v>26400</v>
      </c>
      <c r="H344" s="252">
        <f t="shared" si="10"/>
        <v>0</v>
      </c>
      <c r="I344" s="252">
        <f t="shared" si="11"/>
        <v>26400</v>
      </c>
      <c r="J344" s="170">
        <f>IF(A344="","",SUM($H$7:H344)-SUM($I$7:I344))</f>
        <v>-63337238</v>
      </c>
      <c r="K344" s="34"/>
    </row>
    <row r="345" spans="1:11" ht="12.75" customHeight="1" x14ac:dyDescent="0.2">
      <c r="A345" s="44">
        <v>44492</v>
      </c>
      <c r="B345" s="44" t="s">
        <v>732</v>
      </c>
      <c r="C345" s="35" t="s">
        <v>986</v>
      </c>
      <c r="D345" s="44" t="s">
        <v>1752</v>
      </c>
      <c r="E345" s="44" t="s">
        <v>2507</v>
      </c>
      <c r="F345" s="44"/>
      <c r="G345" s="130">
        <v>10000</v>
      </c>
      <c r="H345" s="252">
        <f t="shared" si="10"/>
        <v>0</v>
      </c>
      <c r="I345" s="252">
        <f t="shared" si="11"/>
        <v>10000</v>
      </c>
      <c r="J345" s="170">
        <f>IF(A345="","",SUM($H$7:H345)-SUM($I$7:I345))</f>
        <v>-63347238</v>
      </c>
      <c r="K345" s="34"/>
    </row>
    <row r="346" spans="1:11" ht="12.75" customHeight="1" x14ac:dyDescent="0.2">
      <c r="A346" s="44">
        <v>44494</v>
      </c>
      <c r="B346" s="44" t="s">
        <v>732</v>
      </c>
      <c r="C346" s="35" t="s">
        <v>986</v>
      </c>
      <c r="D346" s="44" t="s">
        <v>1569</v>
      </c>
      <c r="E346" s="44" t="s">
        <v>2514</v>
      </c>
      <c r="F346" s="44"/>
      <c r="G346" s="130">
        <v>45000</v>
      </c>
      <c r="H346" s="252">
        <f t="shared" si="10"/>
        <v>0</v>
      </c>
      <c r="I346" s="252">
        <f t="shared" si="11"/>
        <v>45000</v>
      </c>
      <c r="J346" s="170">
        <f>IF(A346="","",SUM($H$7:H346)-SUM($I$7:I346))</f>
        <v>-63392238</v>
      </c>
      <c r="K346" s="34"/>
    </row>
    <row r="347" spans="1:11" ht="12.75" customHeight="1" x14ac:dyDescent="0.2">
      <c r="A347" s="44">
        <v>44495</v>
      </c>
      <c r="B347" s="44" t="s">
        <v>732</v>
      </c>
      <c r="C347" s="35" t="s">
        <v>986</v>
      </c>
      <c r="D347" s="44" t="s">
        <v>1569</v>
      </c>
      <c r="E347" s="44" t="s">
        <v>2514</v>
      </c>
      <c r="F347" s="44"/>
      <c r="G347" s="130">
        <v>45000</v>
      </c>
      <c r="H347" s="252">
        <f t="shared" si="10"/>
        <v>0</v>
      </c>
      <c r="I347" s="252">
        <f t="shared" si="11"/>
        <v>45000</v>
      </c>
      <c r="J347" s="170">
        <f>IF(A347="","",SUM($H$7:H347)-SUM($I$7:I347))</f>
        <v>-63437238</v>
      </c>
      <c r="K347" s="34"/>
    </row>
    <row r="348" spans="1:11" ht="12.75" customHeight="1" x14ac:dyDescent="0.2">
      <c r="A348" s="44">
        <v>44495</v>
      </c>
      <c r="B348" s="44" t="s">
        <v>732</v>
      </c>
      <c r="C348" s="35" t="s">
        <v>986</v>
      </c>
      <c r="D348" s="44" t="s">
        <v>1753</v>
      </c>
      <c r="E348" s="44" t="s">
        <v>2507</v>
      </c>
      <c r="F348" s="44"/>
      <c r="G348" s="130">
        <v>40000</v>
      </c>
      <c r="H348" s="252">
        <f t="shared" si="10"/>
        <v>0</v>
      </c>
      <c r="I348" s="252">
        <f t="shared" si="11"/>
        <v>40000</v>
      </c>
      <c r="J348" s="170">
        <f>IF(A348="","",SUM($H$7:H348)-SUM($I$7:I348))</f>
        <v>-63477238</v>
      </c>
      <c r="K348" s="34"/>
    </row>
    <row r="349" spans="1:11" ht="12.75" customHeight="1" x14ac:dyDescent="0.2">
      <c r="A349" s="44">
        <v>44496</v>
      </c>
      <c r="B349" s="44" t="s">
        <v>732</v>
      </c>
      <c r="C349" s="35" t="s">
        <v>986</v>
      </c>
      <c r="D349" s="44" t="s">
        <v>1569</v>
      </c>
      <c r="E349" s="44" t="s">
        <v>2514</v>
      </c>
      <c r="F349" s="44"/>
      <c r="G349" s="130">
        <v>45000</v>
      </c>
      <c r="H349" s="252">
        <f t="shared" si="10"/>
        <v>0</v>
      </c>
      <c r="I349" s="252">
        <f t="shared" si="11"/>
        <v>45000</v>
      </c>
      <c r="J349" s="170">
        <f>IF(A349="","",SUM($H$7:H349)-SUM($I$7:I349))</f>
        <v>-63522238</v>
      </c>
      <c r="K349" s="34"/>
    </row>
    <row r="350" spans="1:11" ht="12.75" customHeight="1" x14ac:dyDescent="0.2">
      <c r="A350" s="44">
        <v>44496</v>
      </c>
      <c r="B350" s="44" t="s">
        <v>732</v>
      </c>
      <c r="C350" s="35" t="s">
        <v>986</v>
      </c>
      <c r="D350" s="44" t="s">
        <v>1754</v>
      </c>
      <c r="E350" s="44" t="s">
        <v>2489</v>
      </c>
      <c r="F350" s="44"/>
      <c r="G350" s="130">
        <v>300000</v>
      </c>
      <c r="H350" s="252">
        <f t="shared" si="10"/>
        <v>0</v>
      </c>
      <c r="I350" s="252">
        <f t="shared" si="11"/>
        <v>300000</v>
      </c>
      <c r="J350" s="170">
        <f>IF(A350="","",SUM($H$7:H350)-SUM($I$7:I350))</f>
        <v>-63822238</v>
      </c>
      <c r="K350" s="34"/>
    </row>
    <row r="351" spans="1:11" ht="12.75" customHeight="1" x14ac:dyDescent="0.2">
      <c r="A351" s="44">
        <v>44497</v>
      </c>
      <c r="B351" s="44" t="s">
        <v>732</v>
      </c>
      <c r="C351" s="35" t="s">
        <v>986</v>
      </c>
      <c r="D351" s="44" t="s">
        <v>1569</v>
      </c>
      <c r="E351" s="44" t="s">
        <v>2514</v>
      </c>
      <c r="F351" s="44"/>
      <c r="G351" s="130">
        <v>45000</v>
      </c>
      <c r="H351" s="252">
        <f t="shared" si="10"/>
        <v>0</v>
      </c>
      <c r="I351" s="252">
        <f t="shared" si="11"/>
        <v>45000</v>
      </c>
      <c r="J351" s="170">
        <f>IF(A351="","",SUM($H$7:H351)-SUM($I$7:I351))</f>
        <v>-63867238</v>
      </c>
      <c r="K351" s="34"/>
    </row>
    <row r="352" spans="1:11" ht="12.75" customHeight="1" x14ac:dyDescent="0.2">
      <c r="A352" s="44">
        <v>44497</v>
      </c>
      <c r="B352" s="44" t="s">
        <v>732</v>
      </c>
      <c r="C352" s="35" t="s">
        <v>986</v>
      </c>
      <c r="D352" s="44" t="s">
        <v>1562</v>
      </c>
      <c r="E352" s="44" t="s">
        <v>2514</v>
      </c>
      <c r="F352" s="44"/>
      <c r="G352" s="130">
        <v>1000</v>
      </c>
      <c r="H352" s="252">
        <f t="shared" si="10"/>
        <v>0</v>
      </c>
      <c r="I352" s="252">
        <f t="shared" si="11"/>
        <v>1000</v>
      </c>
      <c r="J352" s="170">
        <f>IF(A352="","",SUM($H$7:H352)-SUM($I$7:I352))</f>
        <v>-63868238</v>
      </c>
      <c r="K352" s="34"/>
    </row>
    <row r="353" spans="1:11" ht="12.75" customHeight="1" x14ac:dyDescent="0.2">
      <c r="A353" s="44">
        <v>44497</v>
      </c>
      <c r="B353" s="44" t="s">
        <v>732</v>
      </c>
      <c r="C353" s="35" t="s">
        <v>986</v>
      </c>
      <c r="D353" s="44" t="s">
        <v>1769</v>
      </c>
      <c r="E353" s="44" t="s">
        <v>2514</v>
      </c>
      <c r="F353" s="44"/>
      <c r="G353" s="130">
        <v>5000</v>
      </c>
      <c r="H353" s="252">
        <f t="shared" si="10"/>
        <v>0</v>
      </c>
      <c r="I353" s="252">
        <f t="shared" si="11"/>
        <v>5000</v>
      </c>
      <c r="J353" s="170">
        <f>IF(A353="","",SUM($H$7:H353)-SUM($I$7:I353))</f>
        <v>-63873238</v>
      </c>
      <c r="K353" s="34"/>
    </row>
    <row r="354" spans="1:11" ht="12.75" customHeight="1" x14ac:dyDescent="0.2">
      <c r="A354" s="44">
        <v>44498</v>
      </c>
      <c r="B354" s="44" t="s">
        <v>732</v>
      </c>
      <c r="C354" s="35" t="s">
        <v>986</v>
      </c>
      <c r="D354" s="44" t="s">
        <v>1529</v>
      </c>
      <c r="E354" s="44" t="s">
        <v>2507</v>
      </c>
      <c r="F354" s="44"/>
      <c r="G354" s="130">
        <v>10000</v>
      </c>
      <c r="H354" s="252">
        <f t="shared" si="10"/>
        <v>0</v>
      </c>
      <c r="I354" s="252">
        <f t="shared" si="11"/>
        <v>10000</v>
      </c>
      <c r="J354" s="170">
        <f>IF(A354="","",SUM($H$7:H354)-SUM($I$7:I354))</f>
        <v>-63883238</v>
      </c>
      <c r="K354" s="34"/>
    </row>
    <row r="355" spans="1:11" ht="12.75" customHeight="1" x14ac:dyDescent="0.2">
      <c r="A355" s="44">
        <v>44498</v>
      </c>
      <c r="B355" s="44" t="s">
        <v>732</v>
      </c>
      <c r="C355" s="35" t="s">
        <v>1645</v>
      </c>
      <c r="D355" s="44" t="s">
        <v>1770</v>
      </c>
      <c r="E355" s="44" t="s">
        <v>1645</v>
      </c>
      <c r="F355" s="44"/>
      <c r="G355" s="130">
        <v>1954450</v>
      </c>
      <c r="H355" s="252">
        <f t="shared" si="10"/>
        <v>1954450</v>
      </c>
      <c r="I355" s="252">
        <f t="shared" si="11"/>
        <v>0</v>
      </c>
      <c r="J355" s="170">
        <f>IF(A355="","",SUM($H$7:H355)-SUM($I$7:I355))</f>
        <v>-61928788</v>
      </c>
      <c r="K355" s="34"/>
    </row>
    <row r="356" spans="1:11" ht="12.75" customHeight="1" x14ac:dyDescent="0.2">
      <c r="A356" s="44">
        <v>44498</v>
      </c>
      <c r="B356" s="44" t="s">
        <v>732</v>
      </c>
      <c r="C356" s="35" t="s">
        <v>986</v>
      </c>
      <c r="D356" s="44" t="s">
        <v>1569</v>
      </c>
      <c r="E356" s="44" t="s">
        <v>2514</v>
      </c>
      <c r="F356" s="44"/>
      <c r="G356" s="130">
        <v>40000</v>
      </c>
      <c r="H356" s="252">
        <f t="shared" si="10"/>
        <v>0</v>
      </c>
      <c r="I356" s="252">
        <f t="shared" si="11"/>
        <v>40000</v>
      </c>
      <c r="J356" s="170">
        <f>IF(A356="","",SUM($H$7:H356)-SUM($I$7:I356))</f>
        <v>-61968788</v>
      </c>
      <c r="K356" s="34"/>
    </row>
    <row r="357" spans="1:11" ht="12.75" customHeight="1" x14ac:dyDescent="0.2">
      <c r="A357" s="44">
        <v>44499</v>
      </c>
      <c r="B357" s="44" t="s">
        <v>732</v>
      </c>
      <c r="C357" s="35" t="s">
        <v>986</v>
      </c>
      <c r="D357" s="44" t="s">
        <v>1569</v>
      </c>
      <c r="E357" s="44" t="s">
        <v>2514</v>
      </c>
      <c r="F357" s="44"/>
      <c r="G357" s="130">
        <v>35000</v>
      </c>
      <c r="H357" s="252">
        <f t="shared" si="10"/>
        <v>0</v>
      </c>
      <c r="I357" s="252">
        <f t="shared" si="11"/>
        <v>35000</v>
      </c>
      <c r="J357" s="170">
        <f>IF(A357="","",SUM($H$7:H357)-SUM($I$7:I357))</f>
        <v>-62003788</v>
      </c>
      <c r="K357" s="34"/>
    </row>
    <row r="358" spans="1:11" ht="12.75" customHeight="1" x14ac:dyDescent="0.2">
      <c r="A358" s="44">
        <v>44501</v>
      </c>
      <c r="B358" s="44" t="s">
        <v>732</v>
      </c>
      <c r="C358" s="35" t="s">
        <v>986</v>
      </c>
      <c r="D358" s="44" t="s">
        <v>1568</v>
      </c>
      <c r="E358" s="44" t="s">
        <v>2514</v>
      </c>
      <c r="F358" s="44"/>
      <c r="G358" s="130">
        <v>24000</v>
      </c>
      <c r="H358" s="252">
        <f t="shared" si="10"/>
        <v>0</v>
      </c>
      <c r="I358" s="252">
        <f t="shared" si="11"/>
        <v>24000</v>
      </c>
      <c r="J358" s="170">
        <f>IF(A358="","",SUM($H$7:H358)-SUM($I$7:I358))</f>
        <v>-62027788</v>
      </c>
      <c r="K358" s="34"/>
    </row>
    <row r="359" spans="1:11" ht="12.75" customHeight="1" x14ac:dyDescent="0.2">
      <c r="A359" s="44">
        <v>44501</v>
      </c>
      <c r="B359" s="44" t="s">
        <v>732</v>
      </c>
      <c r="C359" s="35" t="s">
        <v>986</v>
      </c>
      <c r="D359" s="44" t="s">
        <v>1562</v>
      </c>
      <c r="E359" s="44" t="s">
        <v>2514</v>
      </c>
      <c r="F359" s="44"/>
      <c r="G359" s="130">
        <v>1000</v>
      </c>
      <c r="H359" s="252">
        <f t="shared" si="10"/>
        <v>0</v>
      </c>
      <c r="I359" s="252">
        <f t="shared" si="11"/>
        <v>1000</v>
      </c>
      <c r="J359" s="170">
        <f>IF(A359="","",SUM($H$7:H359)-SUM($I$7:I359))</f>
        <v>-62028788</v>
      </c>
      <c r="K359" s="34"/>
    </row>
    <row r="360" spans="1:11" ht="12.75" customHeight="1" x14ac:dyDescent="0.2">
      <c r="A360" s="44">
        <v>44501</v>
      </c>
      <c r="B360" s="44" t="s">
        <v>732</v>
      </c>
      <c r="C360" s="35" t="s">
        <v>986</v>
      </c>
      <c r="D360" s="44" t="s">
        <v>902</v>
      </c>
      <c r="E360" s="44" t="s">
        <v>2507</v>
      </c>
      <c r="F360" s="44"/>
      <c r="G360" s="130">
        <v>3000</v>
      </c>
      <c r="H360" s="252">
        <f t="shared" si="10"/>
        <v>0</v>
      </c>
      <c r="I360" s="252">
        <f t="shared" si="11"/>
        <v>3000</v>
      </c>
      <c r="J360" s="170">
        <f>IF(A360="","",SUM($H$7:H360)-SUM($I$7:I360))</f>
        <v>-62031788</v>
      </c>
      <c r="K360" s="34"/>
    </row>
    <row r="361" spans="1:11" ht="12.75" customHeight="1" x14ac:dyDescent="0.2">
      <c r="A361" s="44">
        <v>44501</v>
      </c>
      <c r="B361" s="44" t="s">
        <v>732</v>
      </c>
      <c r="C361" s="35" t="s">
        <v>986</v>
      </c>
      <c r="D361" s="44" t="s">
        <v>1561</v>
      </c>
      <c r="E361" s="44" t="s">
        <v>2507</v>
      </c>
      <c r="F361" s="44"/>
      <c r="G361" s="130">
        <v>30000</v>
      </c>
      <c r="H361" s="252">
        <f t="shared" si="10"/>
        <v>0</v>
      </c>
      <c r="I361" s="252">
        <f t="shared" si="11"/>
        <v>30000</v>
      </c>
      <c r="J361" s="170">
        <f>IF(A361="","",SUM($H$7:H361)-SUM($I$7:I361))</f>
        <v>-62061788</v>
      </c>
      <c r="K361" s="34"/>
    </row>
    <row r="362" spans="1:11" ht="12.75" customHeight="1" x14ac:dyDescent="0.2">
      <c r="A362" s="44">
        <v>44501</v>
      </c>
      <c r="B362" s="44" t="s">
        <v>732</v>
      </c>
      <c r="C362" s="35" t="s">
        <v>986</v>
      </c>
      <c r="D362" s="44" t="s">
        <v>1529</v>
      </c>
      <c r="E362" s="44" t="s">
        <v>2507</v>
      </c>
      <c r="F362" s="44"/>
      <c r="G362" s="130">
        <v>20000</v>
      </c>
      <c r="H362" s="252">
        <f t="shared" si="10"/>
        <v>0</v>
      </c>
      <c r="I362" s="252">
        <f t="shared" si="11"/>
        <v>20000</v>
      </c>
      <c r="J362" s="170">
        <f>IF(A362="","",SUM($H$7:H362)-SUM($I$7:I362))</f>
        <v>-62081788</v>
      </c>
      <c r="K362" s="34"/>
    </row>
    <row r="363" spans="1:11" ht="12.75" customHeight="1" x14ac:dyDescent="0.2">
      <c r="A363" s="44">
        <v>44501</v>
      </c>
      <c r="B363" s="44" t="s">
        <v>732</v>
      </c>
      <c r="C363" s="35" t="s">
        <v>986</v>
      </c>
      <c r="D363" s="44" t="s">
        <v>1560</v>
      </c>
      <c r="E363" s="44" t="s">
        <v>2511</v>
      </c>
      <c r="F363" s="44"/>
      <c r="G363" s="130">
        <v>50000</v>
      </c>
      <c r="H363" s="252">
        <f t="shared" si="10"/>
        <v>0</v>
      </c>
      <c r="I363" s="252">
        <f t="shared" si="11"/>
        <v>50000</v>
      </c>
      <c r="J363" s="170">
        <f>IF(A363="","",SUM($H$7:H363)-SUM($I$7:I363))</f>
        <v>-62131788</v>
      </c>
      <c r="K363" s="34"/>
    </row>
    <row r="364" spans="1:11" ht="12.75" customHeight="1" x14ac:dyDescent="0.2">
      <c r="A364" s="44">
        <v>44501</v>
      </c>
      <c r="B364" s="44" t="s">
        <v>732</v>
      </c>
      <c r="C364" s="35" t="s">
        <v>986</v>
      </c>
      <c r="D364" s="44" t="s">
        <v>1569</v>
      </c>
      <c r="E364" s="44" t="s">
        <v>2514</v>
      </c>
      <c r="F364" s="44"/>
      <c r="G364" s="130">
        <v>35000</v>
      </c>
      <c r="H364" s="252">
        <f t="shared" si="10"/>
        <v>0</v>
      </c>
      <c r="I364" s="252">
        <f t="shared" si="11"/>
        <v>35000</v>
      </c>
      <c r="J364" s="170">
        <f>IF(A364="","",SUM($H$7:H364)-SUM($I$7:I364))</f>
        <v>-62166788</v>
      </c>
      <c r="K364" s="34"/>
    </row>
    <row r="365" spans="1:11" ht="12.75" customHeight="1" x14ac:dyDescent="0.2">
      <c r="A365" s="44">
        <v>44501</v>
      </c>
      <c r="B365" s="44" t="s">
        <v>732</v>
      </c>
      <c r="C365" s="35" t="s">
        <v>986</v>
      </c>
      <c r="D365" s="44" t="s">
        <v>1576</v>
      </c>
      <c r="E365" s="44" t="s">
        <v>2507</v>
      </c>
      <c r="F365" s="44"/>
      <c r="G365" s="130">
        <v>50000</v>
      </c>
      <c r="H365" s="252">
        <f t="shared" si="10"/>
        <v>0</v>
      </c>
      <c r="I365" s="252">
        <f t="shared" si="11"/>
        <v>50000</v>
      </c>
      <c r="J365" s="170">
        <f>IF(A365="","",SUM($H$7:H365)-SUM($I$7:I365))</f>
        <v>-62216788</v>
      </c>
      <c r="K365" s="34"/>
    </row>
    <row r="366" spans="1:11" ht="12.75" customHeight="1" x14ac:dyDescent="0.2">
      <c r="A366" s="44">
        <v>44501</v>
      </c>
      <c r="B366" s="44" t="s">
        <v>732</v>
      </c>
      <c r="C366" s="35" t="s">
        <v>986</v>
      </c>
      <c r="D366" s="44" t="s">
        <v>1742</v>
      </c>
      <c r="E366" s="44" t="s">
        <v>2507</v>
      </c>
      <c r="F366" s="44"/>
      <c r="G366" s="130">
        <v>3000</v>
      </c>
      <c r="H366" s="252">
        <f t="shared" si="10"/>
        <v>0</v>
      </c>
      <c r="I366" s="252">
        <f t="shared" si="11"/>
        <v>3000</v>
      </c>
      <c r="J366" s="170">
        <f>IF(A366="","",SUM($H$7:H366)-SUM($I$7:I366))</f>
        <v>-62219788</v>
      </c>
      <c r="K366" s="34"/>
    </row>
    <row r="367" spans="1:11" ht="12.75" customHeight="1" x14ac:dyDescent="0.2">
      <c r="A367" s="44">
        <v>44502</v>
      </c>
      <c r="B367" s="44" t="s">
        <v>732</v>
      </c>
      <c r="C367" s="35" t="s">
        <v>986</v>
      </c>
      <c r="D367" s="44" t="s">
        <v>2453</v>
      </c>
      <c r="E367" s="44" t="s">
        <v>2510</v>
      </c>
      <c r="F367" s="44"/>
      <c r="G367" s="130">
        <v>463011</v>
      </c>
      <c r="H367" s="252">
        <f t="shared" si="10"/>
        <v>0</v>
      </c>
      <c r="I367" s="252">
        <f t="shared" si="11"/>
        <v>463011</v>
      </c>
      <c r="J367" s="170">
        <f>IF(A367="","",SUM($H$7:H367)-SUM($I$7:I367))</f>
        <v>-62682799</v>
      </c>
      <c r="K367" s="34"/>
    </row>
    <row r="368" spans="1:11" ht="12.75" customHeight="1" x14ac:dyDescent="0.2">
      <c r="A368" s="44">
        <v>44502</v>
      </c>
      <c r="B368" s="44" t="s">
        <v>732</v>
      </c>
      <c r="C368" s="35" t="s">
        <v>986</v>
      </c>
      <c r="D368" s="44" t="s">
        <v>1569</v>
      </c>
      <c r="E368" s="44" t="s">
        <v>2514</v>
      </c>
      <c r="F368" s="44"/>
      <c r="G368" s="130">
        <v>35000</v>
      </c>
      <c r="H368" s="252">
        <f t="shared" si="10"/>
        <v>0</v>
      </c>
      <c r="I368" s="252">
        <f t="shared" si="11"/>
        <v>35000</v>
      </c>
      <c r="J368" s="170">
        <f>IF(A368="","",SUM($H$7:H368)-SUM($I$7:I368))</f>
        <v>-62717799</v>
      </c>
      <c r="K368" s="34"/>
    </row>
    <row r="369" spans="1:11" ht="12.75" customHeight="1" x14ac:dyDescent="0.2">
      <c r="A369" s="44">
        <v>44502</v>
      </c>
      <c r="B369" s="44" t="s">
        <v>732</v>
      </c>
      <c r="C369" s="35" t="s">
        <v>986</v>
      </c>
      <c r="D369" s="44" t="s">
        <v>1581</v>
      </c>
      <c r="E369" s="44" t="s">
        <v>2507</v>
      </c>
      <c r="F369" s="44"/>
      <c r="G369" s="130">
        <v>20000</v>
      </c>
      <c r="H369" s="252">
        <f t="shared" si="10"/>
        <v>0</v>
      </c>
      <c r="I369" s="252">
        <f t="shared" si="11"/>
        <v>20000</v>
      </c>
      <c r="J369" s="170">
        <f>IF(A369="","",SUM($H$7:H369)-SUM($I$7:I369))</f>
        <v>-62737799</v>
      </c>
      <c r="K369" s="34"/>
    </row>
    <row r="370" spans="1:11" ht="12.75" customHeight="1" x14ac:dyDescent="0.2">
      <c r="A370" s="44">
        <v>44503</v>
      </c>
      <c r="B370" s="44" t="s">
        <v>732</v>
      </c>
      <c r="C370" s="35" t="s">
        <v>986</v>
      </c>
      <c r="D370" s="44" t="s">
        <v>1573</v>
      </c>
      <c r="E370" s="44" t="s">
        <v>2511</v>
      </c>
      <c r="F370" s="44"/>
      <c r="G370" s="130">
        <v>20000</v>
      </c>
      <c r="H370" s="252">
        <f t="shared" si="10"/>
        <v>0</v>
      </c>
      <c r="I370" s="252">
        <f t="shared" si="11"/>
        <v>20000</v>
      </c>
      <c r="J370" s="170">
        <f>IF(A370="","",SUM($H$7:H370)-SUM($I$7:I370))</f>
        <v>-62757799</v>
      </c>
      <c r="K370" s="34"/>
    </row>
    <row r="371" spans="1:11" ht="12.75" customHeight="1" x14ac:dyDescent="0.2">
      <c r="A371" s="44">
        <v>44503</v>
      </c>
      <c r="B371" s="44" t="s">
        <v>732</v>
      </c>
      <c r="C371" s="35" t="s">
        <v>986</v>
      </c>
      <c r="D371" s="44" t="s">
        <v>1569</v>
      </c>
      <c r="E371" s="44" t="s">
        <v>2514</v>
      </c>
      <c r="F371" s="44"/>
      <c r="G371" s="130">
        <v>35000</v>
      </c>
      <c r="H371" s="252">
        <f t="shared" si="10"/>
        <v>0</v>
      </c>
      <c r="I371" s="252">
        <f t="shared" si="11"/>
        <v>35000</v>
      </c>
      <c r="J371" s="170">
        <f>IF(A371="","",SUM($H$7:H371)-SUM($I$7:I371))</f>
        <v>-62792799</v>
      </c>
      <c r="K371" s="34"/>
    </row>
    <row r="372" spans="1:11" ht="12.75" customHeight="1" x14ac:dyDescent="0.2">
      <c r="A372" s="44">
        <v>44503</v>
      </c>
      <c r="B372" s="44" t="s">
        <v>732</v>
      </c>
      <c r="C372" s="35" t="s">
        <v>986</v>
      </c>
      <c r="D372" s="44" t="s">
        <v>1534</v>
      </c>
      <c r="E372" s="44" t="s">
        <v>2507</v>
      </c>
      <c r="F372" s="44"/>
      <c r="G372" s="130">
        <v>20000</v>
      </c>
      <c r="H372" s="252">
        <f t="shared" si="10"/>
        <v>0</v>
      </c>
      <c r="I372" s="252">
        <f t="shared" si="11"/>
        <v>20000</v>
      </c>
      <c r="J372" s="170">
        <f>IF(A372="","",SUM($H$7:H372)-SUM($I$7:I372))</f>
        <v>-62812799</v>
      </c>
      <c r="K372" s="34"/>
    </row>
    <row r="373" spans="1:11" ht="12.75" customHeight="1" x14ac:dyDescent="0.2">
      <c r="A373" s="44">
        <v>44504</v>
      </c>
      <c r="B373" s="44" t="s">
        <v>732</v>
      </c>
      <c r="C373" s="35" t="s">
        <v>986</v>
      </c>
      <c r="D373" s="44" t="s">
        <v>1569</v>
      </c>
      <c r="E373" s="44" t="s">
        <v>2514</v>
      </c>
      <c r="F373" s="44"/>
      <c r="G373" s="130">
        <v>35000</v>
      </c>
      <c r="H373" s="252">
        <f t="shared" si="10"/>
        <v>0</v>
      </c>
      <c r="I373" s="252">
        <f t="shared" si="11"/>
        <v>35000</v>
      </c>
      <c r="J373" s="170">
        <f>IF(A373="","",SUM($H$7:H373)-SUM($I$7:I373))</f>
        <v>-62847799</v>
      </c>
      <c r="K373" s="34"/>
    </row>
    <row r="374" spans="1:11" ht="12.75" customHeight="1" x14ac:dyDescent="0.2">
      <c r="A374" s="44">
        <v>44504</v>
      </c>
      <c r="B374" s="44" t="s">
        <v>732</v>
      </c>
      <c r="C374" s="35" t="s">
        <v>986</v>
      </c>
      <c r="D374" s="44" t="s">
        <v>1789</v>
      </c>
      <c r="E374" s="44" t="s">
        <v>2515</v>
      </c>
      <c r="F374" s="44"/>
      <c r="G374" s="130">
        <v>15000</v>
      </c>
      <c r="H374" s="252">
        <f t="shared" si="10"/>
        <v>0</v>
      </c>
      <c r="I374" s="252">
        <f t="shared" si="11"/>
        <v>15000</v>
      </c>
      <c r="J374" s="170">
        <f>IF(A374="","",SUM($H$7:H374)-SUM($I$7:I374))</f>
        <v>-62862799</v>
      </c>
      <c r="K374" s="34"/>
    </row>
    <row r="375" spans="1:11" ht="12.75" customHeight="1" x14ac:dyDescent="0.2">
      <c r="A375" s="44">
        <v>44505</v>
      </c>
      <c r="B375" s="44" t="s">
        <v>732</v>
      </c>
      <c r="C375" s="35" t="s">
        <v>986</v>
      </c>
      <c r="D375" s="44" t="s">
        <v>1569</v>
      </c>
      <c r="E375" s="44" t="s">
        <v>2514</v>
      </c>
      <c r="F375" s="44"/>
      <c r="G375" s="130">
        <v>35000</v>
      </c>
      <c r="H375" s="252">
        <f t="shared" si="10"/>
        <v>0</v>
      </c>
      <c r="I375" s="252">
        <f t="shared" si="11"/>
        <v>35000</v>
      </c>
      <c r="J375" s="170">
        <f>IF(A375="","",SUM($H$7:H375)-SUM($I$7:I375))</f>
        <v>-62897799</v>
      </c>
      <c r="K375" s="34"/>
    </row>
    <row r="376" spans="1:11" ht="12.75" customHeight="1" x14ac:dyDescent="0.2">
      <c r="A376" s="44">
        <v>44505</v>
      </c>
      <c r="B376" s="44" t="s">
        <v>732</v>
      </c>
      <c r="C376" s="35" t="s">
        <v>986</v>
      </c>
      <c r="D376" s="44" t="s">
        <v>1790</v>
      </c>
      <c r="E376" s="44" t="s">
        <v>2515</v>
      </c>
      <c r="F376" s="44"/>
      <c r="G376" s="130">
        <v>10000</v>
      </c>
      <c r="H376" s="252">
        <f t="shared" si="10"/>
        <v>0</v>
      </c>
      <c r="I376" s="252">
        <f t="shared" si="11"/>
        <v>10000</v>
      </c>
      <c r="J376" s="170">
        <f>IF(A376="","",SUM($H$7:H376)-SUM($I$7:I376))</f>
        <v>-62907799</v>
      </c>
      <c r="K376" s="34"/>
    </row>
    <row r="377" spans="1:11" ht="12.75" customHeight="1" x14ac:dyDescent="0.2">
      <c r="A377" s="44">
        <v>44505</v>
      </c>
      <c r="B377" s="44" t="s">
        <v>732</v>
      </c>
      <c r="C377" s="35" t="s">
        <v>986</v>
      </c>
      <c r="D377" s="44" t="s">
        <v>1791</v>
      </c>
      <c r="E377" s="44" t="s">
        <v>2515</v>
      </c>
      <c r="F377" s="44"/>
      <c r="G377" s="130">
        <v>200000</v>
      </c>
      <c r="H377" s="252">
        <f t="shared" si="10"/>
        <v>0</v>
      </c>
      <c r="I377" s="252">
        <f t="shared" si="11"/>
        <v>200000</v>
      </c>
      <c r="J377" s="170">
        <f>IF(A377="","",SUM($H$7:H377)-SUM($I$7:I377))</f>
        <v>-63107799</v>
      </c>
      <c r="K377" s="34"/>
    </row>
    <row r="378" spans="1:11" ht="12.75" customHeight="1" x14ac:dyDescent="0.2">
      <c r="A378" s="44">
        <v>44372</v>
      </c>
      <c r="B378" s="44" t="s">
        <v>1590</v>
      </c>
      <c r="C378" s="35" t="s">
        <v>986</v>
      </c>
      <c r="D378" s="44" t="s">
        <v>2026</v>
      </c>
      <c r="E378" s="44" t="s">
        <v>2512</v>
      </c>
      <c r="F378" s="44"/>
      <c r="G378" s="130">
        <v>3231000</v>
      </c>
      <c r="H378" s="252">
        <f t="shared" si="10"/>
        <v>0</v>
      </c>
      <c r="I378" s="252">
        <f t="shared" si="11"/>
        <v>3231000</v>
      </c>
      <c r="J378" s="170">
        <f>IF(A378="","",SUM($H$7:H378)-SUM($I$7:I378))</f>
        <v>-66338799</v>
      </c>
      <c r="K378" s="34"/>
    </row>
    <row r="379" spans="1:11" ht="12.75" customHeight="1" x14ac:dyDescent="0.2">
      <c r="A379" s="44">
        <v>44402</v>
      </c>
      <c r="B379" s="44" t="s">
        <v>1590</v>
      </c>
      <c r="C379" s="35" t="s">
        <v>986</v>
      </c>
      <c r="D379" s="44" t="s">
        <v>2027</v>
      </c>
      <c r="E379" s="44" t="s">
        <v>2512</v>
      </c>
      <c r="F379" s="44"/>
      <c r="G379" s="130">
        <v>3231000</v>
      </c>
      <c r="H379" s="252">
        <f t="shared" si="10"/>
        <v>0</v>
      </c>
      <c r="I379" s="252">
        <f t="shared" si="11"/>
        <v>3231000</v>
      </c>
      <c r="J379" s="170">
        <f>IF(A379="","",SUM($H$7:H379)-SUM($I$7:I379))</f>
        <v>-69569799</v>
      </c>
      <c r="K379" s="34"/>
    </row>
    <row r="380" spans="1:11" ht="12.75" customHeight="1" x14ac:dyDescent="0.2">
      <c r="A380" s="44">
        <v>44494</v>
      </c>
      <c r="B380" s="44" t="s">
        <v>1590</v>
      </c>
      <c r="C380" s="35" t="s">
        <v>986</v>
      </c>
      <c r="D380" s="44" t="s">
        <v>2030</v>
      </c>
      <c r="E380" s="44" t="s">
        <v>2512</v>
      </c>
      <c r="F380" s="44"/>
      <c r="G380" s="130">
        <v>3291000</v>
      </c>
      <c r="H380" s="252">
        <f t="shared" si="10"/>
        <v>0</v>
      </c>
      <c r="I380" s="252">
        <f t="shared" si="11"/>
        <v>3291000</v>
      </c>
      <c r="J380" s="170">
        <f>IF(A380="","",SUM($H$7:H380)-SUM($I$7:I380))</f>
        <v>-72860799</v>
      </c>
      <c r="K380" s="34"/>
    </row>
    <row r="381" spans="1:11" ht="12.75" customHeight="1" x14ac:dyDescent="0.2">
      <c r="A381" s="44">
        <v>44506</v>
      </c>
      <c r="B381" s="44" t="s">
        <v>732</v>
      </c>
      <c r="C381" s="35" t="s">
        <v>986</v>
      </c>
      <c r="D381" s="44" t="s">
        <v>1569</v>
      </c>
      <c r="E381" s="44" t="s">
        <v>2514</v>
      </c>
      <c r="F381" s="44"/>
      <c r="G381" s="130">
        <v>35000</v>
      </c>
      <c r="H381" s="252">
        <f t="shared" si="10"/>
        <v>0</v>
      </c>
      <c r="I381" s="252">
        <f t="shared" si="11"/>
        <v>35000</v>
      </c>
      <c r="J381" s="170">
        <f>IF(A381="","",SUM($H$7:H381)-SUM($I$7:I381))</f>
        <v>-72895799</v>
      </c>
      <c r="K381" s="34"/>
    </row>
    <row r="382" spans="1:11" ht="12.75" customHeight="1" x14ac:dyDescent="0.2">
      <c r="A382" s="44">
        <v>44506</v>
      </c>
      <c r="B382" s="44" t="s">
        <v>732</v>
      </c>
      <c r="C382" s="35" t="s">
        <v>986</v>
      </c>
      <c r="D382" s="44" t="s">
        <v>1534</v>
      </c>
      <c r="E382" s="44" t="s">
        <v>2507</v>
      </c>
      <c r="F382" s="44"/>
      <c r="G382" s="130">
        <v>20000</v>
      </c>
      <c r="H382" s="252">
        <f t="shared" si="10"/>
        <v>0</v>
      </c>
      <c r="I382" s="252">
        <f t="shared" si="11"/>
        <v>20000</v>
      </c>
      <c r="J382" s="170">
        <f>IF(A382="","",SUM($H$7:H382)-SUM($I$7:I382))</f>
        <v>-72915799</v>
      </c>
      <c r="K382" s="34"/>
    </row>
    <row r="383" spans="1:11" ht="12.75" customHeight="1" x14ac:dyDescent="0.2">
      <c r="A383" s="44">
        <v>44506</v>
      </c>
      <c r="B383" s="44" t="s">
        <v>732</v>
      </c>
      <c r="C383" s="35" t="s">
        <v>986</v>
      </c>
      <c r="D383" s="44" t="s">
        <v>1794</v>
      </c>
      <c r="E383" s="44" t="s">
        <v>2507</v>
      </c>
      <c r="F383" s="44"/>
      <c r="G383" s="130">
        <v>10000</v>
      </c>
      <c r="H383" s="252">
        <f t="shared" si="10"/>
        <v>0</v>
      </c>
      <c r="I383" s="252">
        <f t="shared" si="11"/>
        <v>10000</v>
      </c>
      <c r="J383" s="170">
        <f>IF(A383="","",SUM($H$7:H383)-SUM($I$7:I383))</f>
        <v>-72925799</v>
      </c>
      <c r="K383" s="34"/>
    </row>
    <row r="384" spans="1:11" ht="12.75" customHeight="1" x14ac:dyDescent="0.2">
      <c r="A384" s="44">
        <v>44508</v>
      </c>
      <c r="B384" s="44" t="s">
        <v>732</v>
      </c>
      <c r="C384" s="35" t="s">
        <v>986</v>
      </c>
      <c r="D384" s="44" t="s">
        <v>1569</v>
      </c>
      <c r="E384" s="44" t="s">
        <v>2514</v>
      </c>
      <c r="F384" s="44"/>
      <c r="G384" s="130">
        <v>35000</v>
      </c>
      <c r="H384" s="252">
        <f t="shared" si="10"/>
        <v>0</v>
      </c>
      <c r="I384" s="252">
        <f t="shared" si="11"/>
        <v>35000</v>
      </c>
      <c r="J384" s="170">
        <f>IF(A384="","",SUM($H$7:H384)-SUM($I$7:I384))</f>
        <v>-72960799</v>
      </c>
      <c r="K384" s="34"/>
    </row>
    <row r="385" spans="1:11" ht="12.75" customHeight="1" x14ac:dyDescent="0.2">
      <c r="A385" s="44">
        <v>44509</v>
      </c>
      <c r="B385" s="44" t="s">
        <v>732</v>
      </c>
      <c r="C385" s="35" t="s">
        <v>986</v>
      </c>
      <c r="D385" s="44" t="s">
        <v>1569</v>
      </c>
      <c r="E385" s="44" t="s">
        <v>2514</v>
      </c>
      <c r="F385" s="44"/>
      <c r="G385" s="130">
        <v>35000</v>
      </c>
      <c r="H385" s="252">
        <f t="shared" si="10"/>
        <v>0</v>
      </c>
      <c r="I385" s="252">
        <f t="shared" si="11"/>
        <v>35000</v>
      </c>
      <c r="J385" s="170">
        <f>IF(A385="","",SUM($H$7:H385)-SUM($I$7:I385))</f>
        <v>-72995799</v>
      </c>
      <c r="K385" s="34"/>
    </row>
    <row r="386" spans="1:11" ht="12.75" customHeight="1" x14ac:dyDescent="0.2">
      <c r="A386" s="44">
        <v>44509</v>
      </c>
      <c r="B386" s="44" t="s">
        <v>732</v>
      </c>
      <c r="C386" s="35" t="s">
        <v>986</v>
      </c>
      <c r="D386" s="44" t="s">
        <v>1799</v>
      </c>
      <c r="E386" s="44" t="s">
        <v>2507</v>
      </c>
      <c r="F386" s="44"/>
      <c r="G386" s="130">
        <v>1000</v>
      </c>
      <c r="H386" s="252">
        <f t="shared" si="10"/>
        <v>0</v>
      </c>
      <c r="I386" s="252">
        <f t="shared" si="11"/>
        <v>1000</v>
      </c>
      <c r="J386" s="170">
        <f>IF(A386="","",SUM($H$7:H386)-SUM($I$7:I386))</f>
        <v>-72996799</v>
      </c>
      <c r="K386" s="34"/>
    </row>
    <row r="387" spans="1:11" ht="12.75" customHeight="1" x14ac:dyDescent="0.2">
      <c r="A387" s="44">
        <v>44510</v>
      </c>
      <c r="B387" s="44" t="s">
        <v>732</v>
      </c>
      <c r="C387" s="35" t="s">
        <v>986</v>
      </c>
      <c r="D387" s="44" t="s">
        <v>1619</v>
      </c>
      <c r="E387" s="44" t="s">
        <v>2514</v>
      </c>
      <c r="F387" s="44"/>
      <c r="G387" s="130">
        <v>35000</v>
      </c>
      <c r="H387" s="252">
        <f t="shared" si="10"/>
        <v>0</v>
      </c>
      <c r="I387" s="252">
        <f t="shared" si="11"/>
        <v>35000</v>
      </c>
      <c r="J387" s="170">
        <f>IF(A387="","",SUM($H$7:H387)-SUM($I$7:I387))</f>
        <v>-73031799</v>
      </c>
      <c r="K387" s="34"/>
    </row>
    <row r="388" spans="1:11" ht="12.75" customHeight="1" x14ac:dyDescent="0.2">
      <c r="A388" s="44">
        <v>44511</v>
      </c>
      <c r="B388" s="44" t="s">
        <v>732</v>
      </c>
      <c r="C388" s="35" t="s">
        <v>986</v>
      </c>
      <c r="D388" s="44" t="s">
        <v>1580</v>
      </c>
      <c r="E388" s="44" t="s">
        <v>2507</v>
      </c>
      <c r="F388" s="44"/>
      <c r="G388" s="130">
        <v>3000</v>
      </c>
      <c r="H388" s="252">
        <f t="shared" si="10"/>
        <v>0</v>
      </c>
      <c r="I388" s="252">
        <f t="shared" si="11"/>
        <v>3000</v>
      </c>
      <c r="J388" s="170">
        <f>IF(A388="","",SUM($H$7:H388)-SUM($I$7:I388))</f>
        <v>-73034799</v>
      </c>
      <c r="K388" s="34"/>
    </row>
    <row r="389" spans="1:11" ht="12.75" customHeight="1" x14ac:dyDescent="0.2">
      <c r="A389" s="44">
        <v>44510</v>
      </c>
      <c r="B389" s="44" t="s">
        <v>732</v>
      </c>
      <c r="C389" s="35" t="s">
        <v>986</v>
      </c>
      <c r="D389" s="44" t="s">
        <v>2033</v>
      </c>
      <c r="E389" s="44" t="s">
        <v>2512</v>
      </c>
      <c r="F389" s="44"/>
      <c r="G389" s="130">
        <v>413000</v>
      </c>
      <c r="H389" s="252">
        <f t="shared" si="10"/>
        <v>0</v>
      </c>
      <c r="I389" s="252">
        <f t="shared" si="11"/>
        <v>413000</v>
      </c>
      <c r="J389" s="170">
        <f>IF(A389="","",SUM($H$7:H389)-SUM($I$7:I389))</f>
        <v>-73447799</v>
      </c>
      <c r="K389" s="34"/>
    </row>
    <row r="390" spans="1:11" ht="12.75" customHeight="1" x14ac:dyDescent="0.2">
      <c r="A390" s="44">
        <v>44511</v>
      </c>
      <c r="B390" s="44" t="s">
        <v>1590</v>
      </c>
      <c r="C390" s="35" t="s">
        <v>986</v>
      </c>
      <c r="D390" s="44" t="s">
        <v>1569</v>
      </c>
      <c r="E390" s="44" t="s">
        <v>2514</v>
      </c>
      <c r="F390" s="44"/>
      <c r="G390" s="130">
        <v>35000</v>
      </c>
      <c r="H390" s="252">
        <f t="shared" si="10"/>
        <v>0</v>
      </c>
      <c r="I390" s="252">
        <f t="shared" si="11"/>
        <v>35000</v>
      </c>
      <c r="J390" s="170">
        <f>IF(A390="","",SUM($H$7:H390)-SUM($I$7:I390))</f>
        <v>-73482799</v>
      </c>
      <c r="K390" s="34"/>
    </row>
    <row r="391" spans="1:11" ht="12.75" customHeight="1" x14ac:dyDescent="0.2">
      <c r="A391" s="44">
        <v>44511</v>
      </c>
      <c r="B391" s="44" t="s">
        <v>732</v>
      </c>
      <c r="C391" s="35" t="s">
        <v>986</v>
      </c>
      <c r="D391" s="44" t="s">
        <v>1561</v>
      </c>
      <c r="E391" s="44" t="s">
        <v>2507</v>
      </c>
      <c r="F391" s="44"/>
      <c r="G391" s="130">
        <v>30000</v>
      </c>
      <c r="H391" s="252">
        <f t="shared" ref="H391:H443" si="12">IF($C391="Replenishment",$G391,0)</f>
        <v>0</v>
      </c>
      <c r="I391" s="252">
        <f t="shared" ref="I391:I454" si="13">IF($C391="Replenishment",0,$G391)</f>
        <v>30000</v>
      </c>
      <c r="J391" s="170">
        <f>IF(A391="","",SUM($H$7:H391)-SUM($I$7:I391))</f>
        <v>-73512799</v>
      </c>
      <c r="K391" s="34"/>
    </row>
    <row r="392" spans="1:11" ht="12.75" customHeight="1" x14ac:dyDescent="0.2">
      <c r="A392" s="44">
        <v>44511</v>
      </c>
      <c r="B392" s="44" t="s">
        <v>732</v>
      </c>
      <c r="C392" s="35" t="s">
        <v>986</v>
      </c>
      <c r="D392" s="44" t="s">
        <v>1816</v>
      </c>
      <c r="E392" s="44" t="s">
        <v>1801</v>
      </c>
      <c r="F392" s="44"/>
      <c r="G392" s="130">
        <v>3000</v>
      </c>
      <c r="H392" s="252">
        <f t="shared" si="12"/>
        <v>0</v>
      </c>
      <c r="I392" s="252">
        <f t="shared" si="13"/>
        <v>3000</v>
      </c>
      <c r="J392" s="170">
        <f>IF(A392="","",SUM($H$7:H392)-SUM($I$7:I392))</f>
        <v>-73515799</v>
      </c>
      <c r="K392" s="34"/>
    </row>
    <row r="393" spans="1:11" ht="12.75" customHeight="1" x14ac:dyDescent="0.2">
      <c r="A393" s="44">
        <v>44511</v>
      </c>
      <c r="B393" s="44" t="s">
        <v>732</v>
      </c>
      <c r="C393" s="35" t="s">
        <v>986</v>
      </c>
      <c r="D393" s="44" t="s">
        <v>1534</v>
      </c>
      <c r="E393" s="44" t="s">
        <v>2507</v>
      </c>
      <c r="F393" s="44"/>
      <c r="G393" s="130">
        <v>20000</v>
      </c>
      <c r="H393" s="252">
        <f t="shared" si="12"/>
        <v>0</v>
      </c>
      <c r="I393" s="252">
        <f t="shared" si="13"/>
        <v>20000</v>
      </c>
      <c r="J393" s="170">
        <f>IF(A393="","",SUM($H$7:H393)-SUM($I$7:I393))</f>
        <v>-73535799</v>
      </c>
      <c r="K393" s="34"/>
    </row>
    <row r="394" spans="1:11" ht="12.75" customHeight="1" x14ac:dyDescent="0.2">
      <c r="A394" s="44">
        <v>44511</v>
      </c>
      <c r="B394" s="44" t="s">
        <v>732</v>
      </c>
      <c r="C394" s="35" t="s">
        <v>986</v>
      </c>
      <c r="D394" s="44" t="s">
        <v>1607</v>
      </c>
      <c r="E394" s="44" t="s">
        <v>1801</v>
      </c>
      <c r="F394" s="44"/>
      <c r="G394" s="130">
        <v>10000</v>
      </c>
      <c r="H394" s="252">
        <f t="shared" si="12"/>
        <v>0</v>
      </c>
      <c r="I394" s="252">
        <f t="shared" si="13"/>
        <v>10000</v>
      </c>
      <c r="J394" s="170">
        <f>IF(A394="","",SUM($H$7:H394)-SUM($I$7:I394))</f>
        <v>-73545799</v>
      </c>
      <c r="K394" s="34"/>
    </row>
    <row r="395" spans="1:11" ht="12.75" customHeight="1" x14ac:dyDescent="0.2">
      <c r="A395" s="44">
        <v>44511</v>
      </c>
      <c r="B395" s="44" t="s">
        <v>732</v>
      </c>
      <c r="C395" s="35" t="s">
        <v>986</v>
      </c>
      <c r="D395" s="44" t="s">
        <v>1817</v>
      </c>
      <c r="E395" s="44" t="s">
        <v>1801</v>
      </c>
      <c r="F395" s="44"/>
      <c r="G395" s="130">
        <v>20000</v>
      </c>
      <c r="H395" s="252">
        <f t="shared" si="12"/>
        <v>0</v>
      </c>
      <c r="I395" s="252">
        <f t="shared" si="13"/>
        <v>20000</v>
      </c>
      <c r="J395" s="170">
        <f>IF(A395="","",SUM($H$7:H395)-SUM($I$7:I395))</f>
        <v>-73565799</v>
      </c>
      <c r="K395" s="34"/>
    </row>
    <row r="396" spans="1:11" ht="12.75" customHeight="1" x14ac:dyDescent="0.2">
      <c r="A396" s="44">
        <v>44512</v>
      </c>
      <c r="B396" s="44" t="s">
        <v>732</v>
      </c>
      <c r="C396" s="35" t="s">
        <v>986</v>
      </c>
      <c r="D396" s="44" t="s">
        <v>1569</v>
      </c>
      <c r="E396" s="44" t="s">
        <v>2514</v>
      </c>
      <c r="F396" s="44"/>
      <c r="G396" s="130">
        <v>35000</v>
      </c>
      <c r="H396" s="252">
        <f t="shared" si="12"/>
        <v>0</v>
      </c>
      <c r="I396" s="252">
        <f t="shared" si="13"/>
        <v>35000</v>
      </c>
      <c r="J396" s="170">
        <f>IF(A396="","",SUM($H$7:H396)-SUM($I$7:I396))</f>
        <v>-73600799</v>
      </c>
      <c r="K396" s="34"/>
    </row>
    <row r="397" spans="1:11" ht="12.75" customHeight="1" x14ac:dyDescent="0.2">
      <c r="A397" s="44">
        <v>44512</v>
      </c>
      <c r="B397" s="44" t="s">
        <v>732</v>
      </c>
      <c r="C397" s="35" t="s">
        <v>986</v>
      </c>
      <c r="D397" s="44" t="s">
        <v>1560</v>
      </c>
      <c r="E397" s="44" t="s">
        <v>2511</v>
      </c>
      <c r="F397" s="44"/>
      <c r="G397" s="130">
        <v>50000</v>
      </c>
      <c r="H397" s="252">
        <f t="shared" si="12"/>
        <v>0</v>
      </c>
      <c r="I397" s="252">
        <f t="shared" si="13"/>
        <v>50000</v>
      </c>
      <c r="J397" s="170">
        <f>IF(A397="","",SUM($H$7:H397)-SUM($I$7:I397))</f>
        <v>-73650799</v>
      </c>
      <c r="K397" s="34"/>
    </row>
    <row r="398" spans="1:11" ht="12.75" customHeight="1" x14ac:dyDescent="0.2">
      <c r="A398" s="44">
        <v>44512</v>
      </c>
      <c r="B398" s="44" t="s">
        <v>732</v>
      </c>
      <c r="C398" s="35" t="s">
        <v>986</v>
      </c>
      <c r="D398" s="44" t="s">
        <v>1639</v>
      </c>
      <c r="E398" s="44" t="s">
        <v>2507</v>
      </c>
      <c r="F398" s="44"/>
      <c r="G398" s="130">
        <v>100000</v>
      </c>
      <c r="H398" s="252">
        <f t="shared" si="12"/>
        <v>0</v>
      </c>
      <c r="I398" s="252">
        <f t="shared" si="13"/>
        <v>100000</v>
      </c>
      <c r="J398" s="170">
        <f>IF(A398="","",SUM($H$7:H398)-SUM($I$7:I398))</f>
        <v>-73750799</v>
      </c>
      <c r="K398" s="34"/>
    </row>
    <row r="399" spans="1:11" ht="12.75" customHeight="1" x14ac:dyDescent="0.2">
      <c r="A399" s="44">
        <v>44513</v>
      </c>
      <c r="B399" s="44" t="s">
        <v>732</v>
      </c>
      <c r="C399" s="35" t="s">
        <v>986</v>
      </c>
      <c r="D399" s="44" t="s">
        <v>1569</v>
      </c>
      <c r="E399" s="44" t="s">
        <v>2514</v>
      </c>
      <c r="F399" s="44"/>
      <c r="G399" s="130">
        <v>35000</v>
      </c>
      <c r="H399" s="252">
        <f t="shared" si="12"/>
        <v>0</v>
      </c>
      <c r="I399" s="252">
        <f t="shared" si="13"/>
        <v>35000</v>
      </c>
      <c r="J399" s="170">
        <f>IF(A399="","",SUM($H$7:H399)-SUM($I$7:I399))</f>
        <v>-73785799</v>
      </c>
      <c r="K399" s="34"/>
    </row>
    <row r="400" spans="1:11" ht="12.75" customHeight="1" x14ac:dyDescent="0.2">
      <c r="A400" s="44">
        <v>44515</v>
      </c>
      <c r="B400" s="44" t="s">
        <v>732</v>
      </c>
      <c r="C400" s="35" t="s">
        <v>986</v>
      </c>
      <c r="D400" s="44" t="s">
        <v>1569</v>
      </c>
      <c r="E400" s="44" t="s">
        <v>2514</v>
      </c>
      <c r="F400" s="44"/>
      <c r="G400" s="130">
        <v>30000</v>
      </c>
      <c r="H400" s="252">
        <f t="shared" si="12"/>
        <v>0</v>
      </c>
      <c r="I400" s="252">
        <f t="shared" si="13"/>
        <v>30000</v>
      </c>
      <c r="J400" s="170">
        <f>IF(A400="","",SUM($H$7:H400)-SUM($I$7:I400))</f>
        <v>-73815799</v>
      </c>
      <c r="K400" s="34"/>
    </row>
    <row r="401" spans="1:11" ht="12.75" customHeight="1" x14ac:dyDescent="0.2">
      <c r="A401" s="44">
        <v>44515</v>
      </c>
      <c r="B401" s="44" t="s">
        <v>732</v>
      </c>
      <c r="C401" s="35" t="s">
        <v>986</v>
      </c>
      <c r="D401" s="44" t="s">
        <v>1818</v>
      </c>
      <c r="E401" s="44" t="s">
        <v>1801</v>
      </c>
      <c r="F401" s="44"/>
      <c r="G401" s="130">
        <v>5000</v>
      </c>
      <c r="H401" s="252">
        <f t="shared" si="12"/>
        <v>0</v>
      </c>
      <c r="I401" s="252">
        <f t="shared" si="13"/>
        <v>5000</v>
      </c>
      <c r="J401" s="170">
        <f>IF(A401="","",SUM($H$7:H401)-SUM($I$7:I401))</f>
        <v>-73820799</v>
      </c>
      <c r="K401" s="34"/>
    </row>
    <row r="402" spans="1:11" ht="12.75" customHeight="1" x14ac:dyDescent="0.2">
      <c r="A402" s="44">
        <v>44516</v>
      </c>
      <c r="B402" s="44" t="s">
        <v>732</v>
      </c>
      <c r="C402" s="35" t="s">
        <v>986</v>
      </c>
      <c r="D402" s="44" t="s">
        <v>1569</v>
      </c>
      <c r="E402" s="44" t="s">
        <v>2514</v>
      </c>
      <c r="F402" s="44"/>
      <c r="G402" s="130">
        <v>35000</v>
      </c>
      <c r="H402" s="252">
        <f t="shared" si="12"/>
        <v>0</v>
      </c>
      <c r="I402" s="252">
        <f t="shared" si="13"/>
        <v>35000</v>
      </c>
      <c r="J402" s="170">
        <f>IF(A402="","",SUM($H$7:H402)-SUM($I$7:I402))</f>
        <v>-73855799</v>
      </c>
      <c r="K402" s="34"/>
    </row>
    <row r="403" spans="1:11" ht="12.75" customHeight="1" x14ac:dyDescent="0.2">
      <c r="A403" s="44">
        <v>44517</v>
      </c>
      <c r="B403" s="44" t="s">
        <v>732</v>
      </c>
      <c r="C403" s="35" t="s">
        <v>986</v>
      </c>
      <c r="D403" s="44" t="s">
        <v>1569</v>
      </c>
      <c r="E403" s="44" t="s">
        <v>2514</v>
      </c>
      <c r="F403" s="44"/>
      <c r="G403" s="130">
        <v>35000</v>
      </c>
      <c r="H403" s="252">
        <f t="shared" si="12"/>
        <v>0</v>
      </c>
      <c r="I403" s="252">
        <f t="shared" si="13"/>
        <v>35000</v>
      </c>
      <c r="J403" s="170">
        <f>IF(A403="","",SUM($H$7:H403)-SUM($I$7:I403))</f>
        <v>-73890799</v>
      </c>
      <c r="K403" s="34"/>
    </row>
    <row r="404" spans="1:11" ht="12.75" customHeight="1" x14ac:dyDescent="0.2">
      <c r="A404" s="44">
        <v>44518</v>
      </c>
      <c r="B404" s="44" t="s">
        <v>732</v>
      </c>
      <c r="C404" s="35" t="s">
        <v>986</v>
      </c>
      <c r="D404" s="44" t="s">
        <v>1569</v>
      </c>
      <c r="E404" s="44" t="s">
        <v>2514</v>
      </c>
      <c r="F404" s="44"/>
      <c r="G404" s="130">
        <v>35000</v>
      </c>
      <c r="H404" s="252">
        <f t="shared" si="12"/>
        <v>0</v>
      </c>
      <c r="I404" s="252">
        <f t="shared" si="13"/>
        <v>35000</v>
      </c>
      <c r="J404" s="170">
        <f>IF(A404="","",SUM($H$7:H404)-SUM($I$7:I404))</f>
        <v>-73925799</v>
      </c>
      <c r="K404" s="34"/>
    </row>
    <row r="405" spans="1:11" ht="12.75" customHeight="1" x14ac:dyDescent="0.2">
      <c r="A405" s="44">
        <v>44518</v>
      </c>
      <c r="B405" s="44" t="s">
        <v>732</v>
      </c>
      <c r="C405" s="35" t="s">
        <v>986</v>
      </c>
      <c r="D405" s="44" t="s">
        <v>1562</v>
      </c>
      <c r="E405" s="44" t="s">
        <v>2514</v>
      </c>
      <c r="F405" s="44"/>
      <c r="G405" s="130">
        <v>1000</v>
      </c>
      <c r="H405" s="252">
        <f t="shared" si="12"/>
        <v>0</v>
      </c>
      <c r="I405" s="252">
        <f t="shared" si="13"/>
        <v>1000</v>
      </c>
      <c r="J405" s="170">
        <f>IF(A405="","",SUM($H$7:H405)-SUM($I$7:I405))</f>
        <v>-73926799</v>
      </c>
      <c r="K405" s="34"/>
    </row>
    <row r="406" spans="1:11" ht="12.75" customHeight="1" x14ac:dyDescent="0.2">
      <c r="A406" s="44">
        <v>44519</v>
      </c>
      <c r="B406" s="44" t="s">
        <v>732</v>
      </c>
      <c r="C406" s="35" t="s">
        <v>986</v>
      </c>
      <c r="D406" s="44" t="s">
        <v>1569</v>
      </c>
      <c r="E406" s="44" t="s">
        <v>2514</v>
      </c>
      <c r="F406" s="44"/>
      <c r="G406" s="130">
        <v>35000</v>
      </c>
      <c r="H406" s="252">
        <f t="shared" si="12"/>
        <v>0</v>
      </c>
      <c r="I406" s="252">
        <f t="shared" si="13"/>
        <v>35000</v>
      </c>
      <c r="J406" s="170">
        <f>IF(A406="","",SUM($H$7:H406)-SUM($I$7:I406))</f>
        <v>-73961799</v>
      </c>
      <c r="K406" s="34"/>
    </row>
    <row r="407" spans="1:11" ht="12.75" customHeight="1" x14ac:dyDescent="0.2">
      <c r="A407" s="44">
        <v>44520</v>
      </c>
      <c r="B407" s="44" t="s">
        <v>732</v>
      </c>
      <c r="C407" s="35" t="s">
        <v>986</v>
      </c>
      <c r="D407" s="44" t="s">
        <v>1619</v>
      </c>
      <c r="E407" s="44" t="s">
        <v>2514</v>
      </c>
      <c r="F407" s="44"/>
      <c r="G407" s="130">
        <v>35000</v>
      </c>
      <c r="H407" s="252">
        <f t="shared" si="12"/>
        <v>0</v>
      </c>
      <c r="I407" s="252">
        <f t="shared" si="13"/>
        <v>35000</v>
      </c>
      <c r="J407" s="170">
        <f>IF(A407="","",SUM($H$7:H407)-SUM($I$7:I407))</f>
        <v>-73996799</v>
      </c>
      <c r="K407" s="34"/>
    </row>
    <row r="408" spans="1:11" ht="12.75" customHeight="1" x14ac:dyDescent="0.2">
      <c r="A408" s="44">
        <v>44520</v>
      </c>
      <c r="B408" s="44" t="s">
        <v>732</v>
      </c>
      <c r="C408" s="35" t="s">
        <v>986</v>
      </c>
      <c r="D408" s="44" t="s">
        <v>1561</v>
      </c>
      <c r="E408" s="44" t="s">
        <v>2507</v>
      </c>
      <c r="F408" s="44"/>
      <c r="G408" s="130">
        <v>30000</v>
      </c>
      <c r="H408" s="252">
        <f t="shared" si="12"/>
        <v>0</v>
      </c>
      <c r="I408" s="252">
        <f t="shared" si="13"/>
        <v>30000</v>
      </c>
      <c r="J408" s="170">
        <f>IF(A408="","",SUM($H$7:H408)-SUM($I$7:I408))</f>
        <v>-74026799</v>
      </c>
      <c r="K408" s="34"/>
    </row>
    <row r="409" spans="1:11" ht="12.75" customHeight="1" x14ac:dyDescent="0.2">
      <c r="A409" s="44">
        <v>44520</v>
      </c>
      <c r="B409" s="44" t="s">
        <v>732</v>
      </c>
      <c r="C409" s="35" t="s">
        <v>986</v>
      </c>
      <c r="D409" s="44" t="s">
        <v>1580</v>
      </c>
      <c r="E409" s="44" t="s">
        <v>2507</v>
      </c>
      <c r="F409" s="44"/>
      <c r="G409" s="130">
        <v>3000</v>
      </c>
      <c r="H409" s="252">
        <f t="shared" si="12"/>
        <v>0</v>
      </c>
      <c r="I409" s="252">
        <f t="shared" si="13"/>
        <v>3000</v>
      </c>
      <c r="J409" s="170">
        <f>IF(A409="","",SUM($H$7:H409)-SUM($I$7:I409))</f>
        <v>-74029799</v>
      </c>
      <c r="K409" s="34"/>
    </row>
    <row r="410" spans="1:11" ht="12.75" customHeight="1" x14ac:dyDescent="0.2">
      <c r="A410" s="44">
        <v>44522</v>
      </c>
      <c r="B410" s="44" t="s">
        <v>732</v>
      </c>
      <c r="C410" s="35" t="s">
        <v>986</v>
      </c>
      <c r="D410" s="44" t="s">
        <v>1560</v>
      </c>
      <c r="E410" s="44" t="s">
        <v>2511</v>
      </c>
      <c r="F410" s="44"/>
      <c r="G410" s="130">
        <v>50000</v>
      </c>
      <c r="H410" s="252">
        <f t="shared" si="12"/>
        <v>0</v>
      </c>
      <c r="I410" s="252">
        <f t="shared" si="13"/>
        <v>50000</v>
      </c>
      <c r="J410" s="170">
        <f>IF(A410="","",SUM($H$7:H410)-SUM($I$7:I410))</f>
        <v>-74079799</v>
      </c>
      <c r="K410" s="34"/>
    </row>
    <row r="411" spans="1:11" ht="12.75" customHeight="1" x14ac:dyDescent="0.2">
      <c r="A411" s="44">
        <v>44522</v>
      </c>
      <c r="B411" s="44" t="s">
        <v>732</v>
      </c>
      <c r="C411" s="35" t="s">
        <v>986</v>
      </c>
      <c r="D411" s="44" t="s">
        <v>1569</v>
      </c>
      <c r="E411" s="44" t="s">
        <v>2514</v>
      </c>
      <c r="F411" s="44"/>
      <c r="G411" s="130">
        <v>35000</v>
      </c>
      <c r="H411" s="252">
        <f t="shared" si="12"/>
        <v>0</v>
      </c>
      <c r="I411" s="252">
        <f t="shared" si="13"/>
        <v>35000</v>
      </c>
      <c r="J411" s="170">
        <f>IF(A411="","",SUM($H$7:H411)-SUM($I$7:I411))</f>
        <v>-74114799</v>
      </c>
      <c r="K411" s="34"/>
    </row>
    <row r="412" spans="1:11" ht="12.75" customHeight="1" x14ac:dyDescent="0.2">
      <c r="A412" s="44">
        <v>44523</v>
      </c>
      <c r="B412" s="44" t="s">
        <v>732</v>
      </c>
      <c r="C412" s="35" t="s">
        <v>986</v>
      </c>
      <c r="D412" s="44" t="s">
        <v>1569</v>
      </c>
      <c r="E412" s="44" t="s">
        <v>2514</v>
      </c>
      <c r="F412" s="44"/>
      <c r="G412" s="130">
        <v>35000</v>
      </c>
      <c r="H412" s="252">
        <f t="shared" si="12"/>
        <v>0</v>
      </c>
      <c r="I412" s="252">
        <f t="shared" si="13"/>
        <v>35000</v>
      </c>
      <c r="J412" s="170">
        <f>IF(A412="","",SUM($H$7:H412)-SUM($I$7:I412))</f>
        <v>-74149799</v>
      </c>
      <c r="K412" s="34"/>
    </row>
    <row r="413" spans="1:11" ht="12.75" customHeight="1" x14ac:dyDescent="0.2">
      <c r="A413" s="44">
        <v>44523</v>
      </c>
      <c r="B413" s="44" t="s">
        <v>732</v>
      </c>
      <c r="C413" s="35" t="s">
        <v>986</v>
      </c>
      <c r="D413" s="44" t="s">
        <v>1852</v>
      </c>
      <c r="E413" s="44" t="s">
        <v>2511</v>
      </c>
      <c r="F413" s="44"/>
      <c r="G413" s="130">
        <v>100000</v>
      </c>
      <c r="H413" s="252">
        <f t="shared" si="12"/>
        <v>0</v>
      </c>
      <c r="I413" s="252">
        <f t="shared" si="13"/>
        <v>100000</v>
      </c>
      <c r="J413" s="170">
        <f>IF(A413="","",SUM($H$7:H413)-SUM($I$7:I413))</f>
        <v>-74249799</v>
      </c>
      <c r="K413" s="34"/>
    </row>
    <row r="414" spans="1:11" ht="12.75" customHeight="1" x14ac:dyDescent="0.2">
      <c r="A414" s="44">
        <v>44523</v>
      </c>
      <c r="B414" s="44" t="s">
        <v>732</v>
      </c>
      <c r="C414" s="35" t="s">
        <v>986</v>
      </c>
      <c r="D414" s="44" t="s">
        <v>1851</v>
      </c>
      <c r="E414" s="44" t="s">
        <v>2511</v>
      </c>
      <c r="F414" s="44"/>
      <c r="G414" s="130">
        <v>6000</v>
      </c>
      <c r="H414" s="252">
        <f t="shared" si="12"/>
        <v>0</v>
      </c>
      <c r="I414" s="252">
        <f t="shared" si="13"/>
        <v>6000</v>
      </c>
      <c r="J414" s="170">
        <f>IF(A414="","",SUM($H$7:H414)-SUM($I$7:I414))</f>
        <v>-74255799</v>
      </c>
      <c r="K414" s="34"/>
    </row>
    <row r="415" spans="1:11" ht="12.75" customHeight="1" x14ac:dyDescent="0.2">
      <c r="A415" s="44">
        <v>44524</v>
      </c>
      <c r="B415" s="44" t="s">
        <v>732</v>
      </c>
      <c r="C415" s="35" t="s">
        <v>986</v>
      </c>
      <c r="D415" s="44" t="s">
        <v>1568</v>
      </c>
      <c r="E415" s="44" t="s">
        <v>2514</v>
      </c>
      <c r="F415" s="44"/>
      <c r="G415" s="130">
        <v>24000</v>
      </c>
      <c r="H415" s="252">
        <f t="shared" si="12"/>
        <v>0</v>
      </c>
      <c r="I415" s="252">
        <f t="shared" si="13"/>
        <v>24000</v>
      </c>
      <c r="J415" s="170">
        <f>IF(A415="","",SUM($H$7:H415)-SUM($I$7:I415))</f>
        <v>-74279799</v>
      </c>
      <c r="K415" s="34"/>
    </row>
    <row r="416" spans="1:11" ht="12.75" customHeight="1" x14ac:dyDescent="0.2">
      <c r="A416" s="44">
        <v>44524</v>
      </c>
      <c r="B416" s="44" t="s">
        <v>732</v>
      </c>
      <c r="C416" s="35" t="s">
        <v>986</v>
      </c>
      <c r="D416" s="44" t="s">
        <v>1569</v>
      </c>
      <c r="E416" s="44" t="s">
        <v>2514</v>
      </c>
      <c r="F416" s="44"/>
      <c r="G416" s="130">
        <v>35000</v>
      </c>
      <c r="H416" s="252">
        <f t="shared" si="12"/>
        <v>0</v>
      </c>
      <c r="I416" s="252">
        <f t="shared" si="13"/>
        <v>35000</v>
      </c>
      <c r="J416" s="170">
        <f>IF(A416="","",SUM($H$7:H416)-SUM($I$7:I416))</f>
        <v>-74314799</v>
      </c>
      <c r="K416" s="34"/>
    </row>
    <row r="417" spans="1:11" ht="12.75" customHeight="1" x14ac:dyDescent="0.2">
      <c r="A417" s="44">
        <v>44525</v>
      </c>
      <c r="B417" s="44" t="s">
        <v>732</v>
      </c>
      <c r="C417" s="35" t="s">
        <v>986</v>
      </c>
      <c r="D417" s="44" t="s">
        <v>1569</v>
      </c>
      <c r="E417" s="44" t="s">
        <v>2514</v>
      </c>
      <c r="F417" s="44"/>
      <c r="G417" s="130">
        <v>35000</v>
      </c>
      <c r="H417" s="252">
        <f t="shared" si="12"/>
        <v>0</v>
      </c>
      <c r="I417" s="252">
        <f t="shared" si="13"/>
        <v>35000</v>
      </c>
      <c r="J417" s="170">
        <f>IF(A417="","",SUM($H$7:H417)-SUM($I$7:I417))</f>
        <v>-74349799</v>
      </c>
      <c r="K417" s="34"/>
    </row>
    <row r="418" spans="1:11" ht="12.75" customHeight="1" x14ac:dyDescent="0.2">
      <c r="A418" s="44">
        <v>44525</v>
      </c>
      <c r="B418" s="44" t="s">
        <v>732</v>
      </c>
      <c r="C418" s="35" t="s">
        <v>986</v>
      </c>
      <c r="D418" s="44" t="s">
        <v>2031</v>
      </c>
      <c r="E418" s="44" t="s">
        <v>2512</v>
      </c>
      <c r="F418" s="44"/>
      <c r="G418" s="130">
        <v>3784500</v>
      </c>
      <c r="H418" s="252">
        <f t="shared" si="12"/>
        <v>0</v>
      </c>
      <c r="I418" s="252">
        <f t="shared" si="13"/>
        <v>3784500</v>
      </c>
      <c r="J418" s="170">
        <f>IF(A418="","",SUM($H$7:H418)-SUM($I$7:I418))</f>
        <v>-78134299</v>
      </c>
      <c r="K418" s="34"/>
    </row>
    <row r="419" spans="1:11" ht="12.75" customHeight="1" x14ac:dyDescent="0.2">
      <c r="A419" s="44">
        <v>44526</v>
      </c>
      <c r="B419" s="44" t="s">
        <v>732</v>
      </c>
      <c r="C419" s="35" t="s">
        <v>986</v>
      </c>
      <c r="D419" s="44" t="s">
        <v>1853</v>
      </c>
      <c r="E419" s="44" t="s">
        <v>2515</v>
      </c>
      <c r="F419" s="44"/>
      <c r="G419" s="130">
        <v>14000</v>
      </c>
      <c r="H419" s="252">
        <f t="shared" si="12"/>
        <v>0</v>
      </c>
      <c r="I419" s="252">
        <f t="shared" si="13"/>
        <v>14000</v>
      </c>
      <c r="J419" s="170">
        <f>IF(A419="","",SUM($H$7:H419)-SUM($I$7:I419))</f>
        <v>-78148299</v>
      </c>
      <c r="K419" s="34"/>
    </row>
    <row r="420" spans="1:11" ht="12.75" customHeight="1" x14ac:dyDescent="0.2">
      <c r="A420" s="44">
        <v>44526</v>
      </c>
      <c r="B420" s="44" t="s">
        <v>732</v>
      </c>
      <c r="C420" s="35" t="s">
        <v>986</v>
      </c>
      <c r="D420" s="44" t="s">
        <v>1569</v>
      </c>
      <c r="E420" s="44" t="s">
        <v>2514</v>
      </c>
      <c r="F420" s="44"/>
      <c r="G420" s="130">
        <v>35000</v>
      </c>
      <c r="H420" s="252">
        <f t="shared" si="12"/>
        <v>0</v>
      </c>
      <c r="I420" s="252">
        <f t="shared" si="13"/>
        <v>35000</v>
      </c>
      <c r="J420" s="170">
        <f>IF(A420="","",SUM($H$7:H420)-SUM($I$7:I420))</f>
        <v>-78183299</v>
      </c>
      <c r="K420" s="34"/>
    </row>
    <row r="421" spans="1:11" ht="12.75" customHeight="1" x14ac:dyDescent="0.2">
      <c r="A421" s="44">
        <v>44527</v>
      </c>
      <c r="B421" s="44" t="s">
        <v>732</v>
      </c>
      <c r="C421" s="35" t="s">
        <v>986</v>
      </c>
      <c r="D421" s="44" t="s">
        <v>1569</v>
      </c>
      <c r="E421" s="44" t="s">
        <v>2514</v>
      </c>
      <c r="F421" s="44"/>
      <c r="G421" s="130">
        <v>35000</v>
      </c>
      <c r="H421" s="252">
        <f t="shared" si="12"/>
        <v>0</v>
      </c>
      <c r="I421" s="252">
        <f t="shared" si="13"/>
        <v>35000</v>
      </c>
      <c r="J421" s="170">
        <f>IF(A421="","",SUM($H$7:H421)-SUM($I$7:I421))</f>
        <v>-78218299</v>
      </c>
      <c r="K421" s="34"/>
    </row>
    <row r="422" spans="1:11" ht="12.75" customHeight="1" x14ac:dyDescent="0.2">
      <c r="A422" s="44">
        <v>44528</v>
      </c>
      <c r="B422" s="44" t="s">
        <v>732</v>
      </c>
      <c r="C422" s="35" t="s">
        <v>986</v>
      </c>
      <c r="D422" s="44" t="s">
        <v>1534</v>
      </c>
      <c r="E422" s="44" t="s">
        <v>2507</v>
      </c>
      <c r="F422" s="44"/>
      <c r="G422" s="130">
        <v>20000</v>
      </c>
      <c r="H422" s="252">
        <f t="shared" si="12"/>
        <v>0</v>
      </c>
      <c r="I422" s="252">
        <f t="shared" si="13"/>
        <v>20000</v>
      </c>
      <c r="J422" s="170">
        <f>IF(A422="","",SUM($H$7:H422)-SUM($I$7:I422))</f>
        <v>-78238299</v>
      </c>
      <c r="K422" s="34"/>
    </row>
    <row r="423" spans="1:11" ht="12.75" customHeight="1" x14ac:dyDescent="0.2">
      <c r="A423" s="44">
        <v>44529</v>
      </c>
      <c r="B423" s="44" t="s">
        <v>732</v>
      </c>
      <c r="C423" s="35" t="s">
        <v>986</v>
      </c>
      <c r="D423" s="44" t="s">
        <v>1569</v>
      </c>
      <c r="E423" s="44" t="s">
        <v>2514</v>
      </c>
      <c r="F423" s="44"/>
      <c r="G423" s="130">
        <v>35000</v>
      </c>
      <c r="H423" s="252">
        <f t="shared" si="12"/>
        <v>0</v>
      </c>
      <c r="I423" s="252">
        <f t="shared" si="13"/>
        <v>35000</v>
      </c>
      <c r="J423" s="170">
        <f>IF(A423="","",SUM($H$7:H423)-SUM($I$7:I423))</f>
        <v>-78273299</v>
      </c>
      <c r="K423" s="34"/>
    </row>
    <row r="424" spans="1:11" ht="12.75" customHeight="1" x14ac:dyDescent="0.2">
      <c r="A424" s="44">
        <v>44530</v>
      </c>
      <c r="B424" s="44" t="s">
        <v>732</v>
      </c>
      <c r="C424" s="35" t="s">
        <v>986</v>
      </c>
      <c r="D424" s="44" t="s">
        <v>1562</v>
      </c>
      <c r="E424" s="44" t="s">
        <v>2514</v>
      </c>
      <c r="F424" s="44"/>
      <c r="G424" s="130">
        <v>1000</v>
      </c>
      <c r="H424" s="252">
        <f t="shared" si="12"/>
        <v>0</v>
      </c>
      <c r="I424" s="252">
        <f t="shared" si="13"/>
        <v>1000</v>
      </c>
      <c r="J424" s="170">
        <f>IF(A424="","",SUM($H$7:H424)-SUM($I$7:I424))</f>
        <v>-78274299</v>
      </c>
      <c r="K424" s="34"/>
    </row>
    <row r="425" spans="1:11" ht="12.75" customHeight="1" x14ac:dyDescent="0.2">
      <c r="A425" s="44">
        <v>44531</v>
      </c>
      <c r="B425" s="44" t="s">
        <v>732</v>
      </c>
      <c r="C425" s="35" t="s">
        <v>986</v>
      </c>
      <c r="D425" s="44" t="s">
        <v>1560</v>
      </c>
      <c r="E425" s="44" t="s">
        <v>2511</v>
      </c>
      <c r="F425" s="44"/>
      <c r="G425" s="130">
        <v>50000</v>
      </c>
      <c r="H425" s="252">
        <f t="shared" si="12"/>
        <v>0</v>
      </c>
      <c r="I425" s="252">
        <f t="shared" si="13"/>
        <v>50000</v>
      </c>
      <c r="J425" s="170">
        <f>IF(A425="","",SUM($H$7:H425)-SUM($I$7:I425))</f>
        <v>-78324299</v>
      </c>
      <c r="K425" s="34"/>
    </row>
    <row r="426" spans="1:11" ht="12.75" customHeight="1" x14ac:dyDescent="0.2">
      <c r="A426" s="44">
        <v>44531</v>
      </c>
      <c r="B426" s="44" t="s">
        <v>732</v>
      </c>
      <c r="C426" s="35" t="s">
        <v>986</v>
      </c>
      <c r="D426" s="44" t="s">
        <v>1576</v>
      </c>
      <c r="E426" s="44" t="s">
        <v>2507</v>
      </c>
      <c r="F426" s="44"/>
      <c r="G426" s="130">
        <v>50000</v>
      </c>
      <c r="H426" s="252">
        <f t="shared" si="12"/>
        <v>0</v>
      </c>
      <c r="I426" s="252">
        <f t="shared" si="13"/>
        <v>50000</v>
      </c>
      <c r="J426" s="170">
        <f>IF(A426="","",SUM($H$7:H426)-SUM($I$7:I426))</f>
        <v>-78374299</v>
      </c>
      <c r="K426" s="34"/>
    </row>
    <row r="427" spans="1:11" ht="12.75" customHeight="1" x14ac:dyDescent="0.2">
      <c r="A427" s="44">
        <v>44531</v>
      </c>
      <c r="B427" s="44" t="s">
        <v>732</v>
      </c>
      <c r="C427" s="35" t="s">
        <v>986</v>
      </c>
      <c r="D427" s="44" t="s">
        <v>1561</v>
      </c>
      <c r="E427" s="44" t="s">
        <v>2507</v>
      </c>
      <c r="F427" s="44"/>
      <c r="G427" s="130">
        <v>30000</v>
      </c>
      <c r="H427" s="252">
        <f t="shared" si="12"/>
        <v>0</v>
      </c>
      <c r="I427" s="252">
        <f t="shared" si="13"/>
        <v>30000</v>
      </c>
      <c r="J427" s="170">
        <f>IF(A427="","",SUM($H$7:H427)-SUM($I$7:I427))</f>
        <v>-78404299</v>
      </c>
      <c r="K427" s="34"/>
    </row>
    <row r="428" spans="1:11" ht="12.75" customHeight="1" x14ac:dyDescent="0.2">
      <c r="A428" s="44">
        <v>44531</v>
      </c>
      <c r="B428" s="44" t="s">
        <v>732</v>
      </c>
      <c r="C428" s="35" t="s">
        <v>986</v>
      </c>
      <c r="D428" s="44" t="s">
        <v>1529</v>
      </c>
      <c r="E428" s="44" t="s">
        <v>2507</v>
      </c>
      <c r="F428" s="44"/>
      <c r="G428" s="130">
        <v>10000</v>
      </c>
      <c r="H428" s="252">
        <f t="shared" si="12"/>
        <v>0</v>
      </c>
      <c r="I428" s="252">
        <f t="shared" si="13"/>
        <v>10000</v>
      </c>
      <c r="J428" s="170">
        <f>IF(A428="","",SUM($H$7:H428)-SUM($I$7:I428))</f>
        <v>-78414299</v>
      </c>
      <c r="K428" s="34"/>
    </row>
    <row r="429" spans="1:11" ht="12.75" customHeight="1" x14ac:dyDescent="0.2">
      <c r="A429" s="44">
        <v>44531</v>
      </c>
      <c r="B429" s="44" t="s">
        <v>732</v>
      </c>
      <c r="C429" s="35" t="s">
        <v>986</v>
      </c>
      <c r="D429" s="44" t="s">
        <v>1928</v>
      </c>
      <c r="E429" s="44" t="s">
        <v>2514</v>
      </c>
      <c r="F429" s="44"/>
      <c r="G429" s="130">
        <v>70000</v>
      </c>
      <c r="H429" s="252">
        <f t="shared" si="12"/>
        <v>0</v>
      </c>
      <c r="I429" s="252">
        <f t="shared" si="13"/>
        <v>70000</v>
      </c>
      <c r="J429" s="170">
        <f>IF(A429="","",SUM($H$7:H429)-SUM($I$7:I429))</f>
        <v>-78484299</v>
      </c>
      <c r="K429" s="34"/>
    </row>
    <row r="430" spans="1:11" ht="12.75" customHeight="1" x14ac:dyDescent="0.2">
      <c r="A430" s="44">
        <v>44532</v>
      </c>
      <c r="B430" s="44" t="s">
        <v>732</v>
      </c>
      <c r="C430" s="35" t="s">
        <v>986</v>
      </c>
      <c r="D430" s="44" t="s">
        <v>1581</v>
      </c>
      <c r="E430" s="44" t="s">
        <v>2507</v>
      </c>
      <c r="F430" s="44"/>
      <c r="G430" s="130">
        <v>20000</v>
      </c>
      <c r="H430" s="252">
        <f t="shared" si="12"/>
        <v>0</v>
      </c>
      <c r="I430" s="252">
        <f t="shared" si="13"/>
        <v>20000</v>
      </c>
      <c r="J430" s="170">
        <f>IF(A430="","",SUM($H$7:H430)-SUM($I$7:I430))</f>
        <v>-78504299</v>
      </c>
      <c r="K430" s="34"/>
    </row>
    <row r="431" spans="1:11" ht="12.75" customHeight="1" x14ac:dyDescent="0.2">
      <c r="A431" s="44">
        <v>44533</v>
      </c>
      <c r="B431" s="44" t="s">
        <v>732</v>
      </c>
      <c r="C431" s="35" t="s">
        <v>986</v>
      </c>
      <c r="D431" s="44" t="s">
        <v>1569</v>
      </c>
      <c r="E431" s="44" t="s">
        <v>2514</v>
      </c>
      <c r="F431" s="44"/>
      <c r="G431" s="130">
        <v>30000</v>
      </c>
      <c r="H431" s="252">
        <f t="shared" si="12"/>
        <v>0</v>
      </c>
      <c r="I431" s="252">
        <f t="shared" si="13"/>
        <v>30000</v>
      </c>
      <c r="J431" s="170">
        <f>IF(A431="","",SUM($H$7:H431)-SUM($I$7:I431))</f>
        <v>-78534299</v>
      </c>
      <c r="K431" s="34"/>
    </row>
    <row r="432" spans="1:11" ht="12.75" customHeight="1" x14ac:dyDescent="0.2">
      <c r="A432" s="44">
        <v>44533</v>
      </c>
      <c r="B432" s="44" t="s">
        <v>732</v>
      </c>
      <c r="C432" s="35" t="s">
        <v>986</v>
      </c>
      <c r="D432" s="44" t="s">
        <v>1569</v>
      </c>
      <c r="E432" s="44" t="s">
        <v>2514</v>
      </c>
      <c r="F432" s="44"/>
      <c r="G432" s="130">
        <v>30000</v>
      </c>
      <c r="H432" s="252">
        <f t="shared" si="12"/>
        <v>0</v>
      </c>
      <c r="I432" s="252">
        <f t="shared" si="13"/>
        <v>30000</v>
      </c>
      <c r="J432" s="170">
        <f>IF(A432="","",SUM($H$7:H432)-SUM($I$7:I432))</f>
        <v>-78564299</v>
      </c>
      <c r="K432" s="34"/>
    </row>
    <row r="433" spans="1:11" ht="12.75" customHeight="1" x14ac:dyDescent="0.2">
      <c r="A433" s="44">
        <v>44533</v>
      </c>
      <c r="B433" s="44" t="s">
        <v>732</v>
      </c>
      <c r="C433" s="35" t="s">
        <v>986</v>
      </c>
      <c r="D433" s="44" t="s">
        <v>1929</v>
      </c>
      <c r="E433" s="44" t="s">
        <v>2507</v>
      </c>
      <c r="F433" s="44"/>
      <c r="G433" s="130">
        <v>20000</v>
      </c>
      <c r="H433" s="252">
        <f t="shared" si="12"/>
        <v>0</v>
      </c>
      <c r="I433" s="252">
        <f t="shared" si="13"/>
        <v>20000</v>
      </c>
      <c r="J433" s="170">
        <f>IF(A433="","",SUM($H$7:H433)-SUM($I$7:I433))</f>
        <v>-78584299</v>
      </c>
      <c r="K433" s="34"/>
    </row>
    <row r="434" spans="1:11" ht="12.75" customHeight="1" x14ac:dyDescent="0.2">
      <c r="A434" s="44">
        <v>44534</v>
      </c>
      <c r="B434" s="44" t="s">
        <v>732</v>
      </c>
      <c r="C434" s="35" t="s">
        <v>986</v>
      </c>
      <c r="D434" s="44" t="s">
        <v>1569</v>
      </c>
      <c r="E434" s="44" t="s">
        <v>2514</v>
      </c>
      <c r="F434" s="44"/>
      <c r="G434" s="130">
        <v>30000</v>
      </c>
      <c r="H434" s="252">
        <f t="shared" si="12"/>
        <v>0</v>
      </c>
      <c r="I434" s="252">
        <f t="shared" si="13"/>
        <v>30000</v>
      </c>
      <c r="J434" s="170">
        <f>IF(A434="","",SUM($H$7:H434)-SUM($I$7:I434))</f>
        <v>-78614299</v>
      </c>
      <c r="K434" s="34"/>
    </row>
    <row r="435" spans="1:11" ht="12.75" customHeight="1" x14ac:dyDescent="0.2">
      <c r="A435" s="44">
        <v>44536</v>
      </c>
      <c r="B435" s="44" t="s">
        <v>732</v>
      </c>
      <c r="C435" s="35" t="s">
        <v>986</v>
      </c>
      <c r="D435" s="44" t="s">
        <v>1569</v>
      </c>
      <c r="E435" s="44" t="s">
        <v>2514</v>
      </c>
      <c r="F435" s="44"/>
      <c r="G435" s="130">
        <v>35000</v>
      </c>
      <c r="H435" s="252">
        <f t="shared" si="12"/>
        <v>0</v>
      </c>
      <c r="I435" s="252">
        <f t="shared" si="13"/>
        <v>35000</v>
      </c>
      <c r="J435" s="170">
        <f>IF(A435="","",SUM($H$7:H435)-SUM($I$7:I435))</f>
        <v>-78649299</v>
      </c>
      <c r="K435" s="34"/>
    </row>
    <row r="436" spans="1:11" ht="12.75" customHeight="1" x14ac:dyDescent="0.2">
      <c r="A436" s="44">
        <v>44536</v>
      </c>
      <c r="B436" s="44" t="s">
        <v>732</v>
      </c>
      <c r="C436" s="35" t="s">
        <v>986</v>
      </c>
      <c r="D436" s="44" t="s">
        <v>1930</v>
      </c>
      <c r="E436" s="44" t="s">
        <v>2507</v>
      </c>
      <c r="F436" s="44"/>
      <c r="G436" s="130">
        <v>100000</v>
      </c>
      <c r="H436" s="252">
        <f t="shared" si="12"/>
        <v>0</v>
      </c>
      <c r="I436" s="252">
        <f t="shared" si="13"/>
        <v>100000</v>
      </c>
      <c r="J436" s="170">
        <f>IF(A436="","",SUM($H$7:H436)-SUM($I$7:I436))</f>
        <v>-78749299</v>
      </c>
      <c r="K436" s="34"/>
    </row>
    <row r="437" spans="1:11" ht="12.75" customHeight="1" x14ac:dyDescent="0.2">
      <c r="A437" s="44">
        <v>44536</v>
      </c>
      <c r="B437" s="44" t="s">
        <v>732</v>
      </c>
      <c r="C437" s="35" t="s">
        <v>986</v>
      </c>
      <c r="D437" s="44" t="s">
        <v>1931</v>
      </c>
      <c r="E437" s="44" t="s">
        <v>2507</v>
      </c>
      <c r="F437" s="44"/>
      <c r="G437" s="130">
        <v>20000</v>
      </c>
      <c r="H437" s="252">
        <f t="shared" si="12"/>
        <v>0</v>
      </c>
      <c r="I437" s="252">
        <f t="shared" si="13"/>
        <v>20000</v>
      </c>
      <c r="J437" s="170">
        <f>IF(A437="","",SUM($H$7:H437)-SUM($I$7:I437))</f>
        <v>-78769299</v>
      </c>
      <c r="K437" s="34"/>
    </row>
    <row r="438" spans="1:11" ht="12.75" customHeight="1" x14ac:dyDescent="0.2">
      <c r="A438" s="44">
        <v>44536</v>
      </c>
      <c r="B438" s="44" t="s">
        <v>732</v>
      </c>
      <c r="C438" s="35" t="s">
        <v>986</v>
      </c>
      <c r="D438" s="44" t="s">
        <v>1644</v>
      </c>
      <c r="E438" s="44" t="s">
        <v>1792</v>
      </c>
      <c r="F438" s="44"/>
      <c r="G438" s="130">
        <v>3000000</v>
      </c>
      <c r="H438" s="252">
        <f t="shared" si="12"/>
        <v>0</v>
      </c>
      <c r="I438" s="252">
        <f t="shared" si="13"/>
        <v>3000000</v>
      </c>
      <c r="J438" s="170">
        <f>IF(A438="","",SUM($H$7:H438)-SUM($I$7:I438))</f>
        <v>-81769299</v>
      </c>
      <c r="K438" s="34"/>
    </row>
    <row r="439" spans="1:11" ht="12.75" customHeight="1" x14ac:dyDescent="0.2">
      <c r="A439" s="44">
        <v>44537</v>
      </c>
      <c r="B439" s="44" t="s">
        <v>732</v>
      </c>
      <c r="C439" s="35" t="s">
        <v>986</v>
      </c>
      <c r="D439" s="44" t="s">
        <v>1569</v>
      </c>
      <c r="E439" s="44" t="s">
        <v>2514</v>
      </c>
      <c r="F439" s="44"/>
      <c r="G439" s="130">
        <v>35000</v>
      </c>
      <c r="H439" s="252">
        <f t="shared" si="12"/>
        <v>0</v>
      </c>
      <c r="I439" s="252">
        <f t="shared" si="13"/>
        <v>35000</v>
      </c>
      <c r="J439" s="170">
        <f>IF(A439="","",SUM($H$7:H439)-SUM($I$7:I439))</f>
        <v>-81804299</v>
      </c>
      <c r="K439" s="34"/>
    </row>
    <row r="440" spans="1:11" ht="12.75" customHeight="1" x14ac:dyDescent="0.2">
      <c r="A440" s="44">
        <v>44537</v>
      </c>
      <c r="B440" s="44" t="s">
        <v>732</v>
      </c>
      <c r="C440" s="35" t="s">
        <v>986</v>
      </c>
      <c r="D440" s="44" t="s">
        <v>1929</v>
      </c>
      <c r="E440" s="44" t="s">
        <v>2507</v>
      </c>
      <c r="F440" s="44"/>
      <c r="G440" s="130">
        <v>20000</v>
      </c>
      <c r="H440" s="252">
        <f t="shared" si="12"/>
        <v>0</v>
      </c>
      <c r="I440" s="252">
        <f t="shared" si="13"/>
        <v>20000</v>
      </c>
      <c r="J440" s="170">
        <f>IF(A440="","",SUM($H$7:H440)-SUM($I$7:I440))</f>
        <v>-81824299</v>
      </c>
      <c r="K440" s="34"/>
    </row>
    <row r="441" spans="1:11" ht="12.75" customHeight="1" x14ac:dyDescent="0.2">
      <c r="A441" s="44">
        <v>44537</v>
      </c>
      <c r="B441" s="44" t="s">
        <v>732</v>
      </c>
      <c r="C441" s="35" t="s">
        <v>986</v>
      </c>
      <c r="D441" s="44" t="s">
        <v>1562</v>
      </c>
      <c r="E441" s="44" t="s">
        <v>2514</v>
      </c>
      <c r="F441" s="44"/>
      <c r="G441" s="130">
        <v>18888</v>
      </c>
      <c r="H441" s="252">
        <f t="shared" si="12"/>
        <v>0</v>
      </c>
      <c r="I441" s="252">
        <f t="shared" si="13"/>
        <v>18888</v>
      </c>
      <c r="J441" s="170">
        <f>IF(A441="","",SUM($H$7:H441)-SUM($I$7:I441))</f>
        <v>-81843187</v>
      </c>
      <c r="K441" s="34"/>
    </row>
    <row r="442" spans="1:11" ht="12.75" customHeight="1" x14ac:dyDescent="0.2">
      <c r="A442" s="44">
        <v>44537</v>
      </c>
      <c r="B442" s="44" t="s">
        <v>732</v>
      </c>
      <c r="C442" s="35" t="s">
        <v>986</v>
      </c>
      <c r="D442" s="44" t="s">
        <v>1932</v>
      </c>
      <c r="E442" s="44" t="s">
        <v>2515</v>
      </c>
      <c r="F442" s="44"/>
      <c r="G442" s="130">
        <v>80000</v>
      </c>
      <c r="H442" s="252">
        <f t="shared" si="12"/>
        <v>0</v>
      </c>
      <c r="I442" s="252">
        <f t="shared" si="13"/>
        <v>80000</v>
      </c>
      <c r="J442" s="170">
        <f>IF(A442="","",SUM($H$7:H442)-SUM($I$7:I442))</f>
        <v>-81923187</v>
      </c>
      <c r="K442" s="34"/>
    </row>
    <row r="443" spans="1:11" ht="12.75" customHeight="1" x14ac:dyDescent="0.2">
      <c r="A443" s="44">
        <v>44538</v>
      </c>
      <c r="B443" s="44" t="s">
        <v>732</v>
      </c>
      <c r="C443" s="35" t="s">
        <v>986</v>
      </c>
      <c r="D443" s="44" t="s">
        <v>1935</v>
      </c>
      <c r="E443" s="44" t="s">
        <v>1793</v>
      </c>
      <c r="F443" s="44"/>
      <c r="G443" s="130">
        <v>150000</v>
      </c>
      <c r="H443" s="252">
        <f t="shared" si="12"/>
        <v>0</v>
      </c>
      <c r="I443" s="252">
        <f t="shared" si="13"/>
        <v>150000</v>
      </c>
      <c r="J443" s="170">
        <f>IF(A443="","",SUM($H$7:H443)-SUM($I$7:I443))</f>
        <v>-82073187</v>
      </c>
      <c r="K443" s="34"/>
    </row>
    <row r="444" spans="1:11" ht="12.75" customHeight="1" x14ac:dyDescent="0.2">
      <c r="A444" s="44">
        <v>44538</v>
      </c>
      <c r="B444" s="44" t="s">
        <v>732</v>
      </c>
      <c r="C444" s="35" t="s">
        <v>986</v>
      </c>
      <c r="D444" s="44" t="s">
        <v>1624</v>
      </c>
      <c r="E444" s="44" t="s">
        <v>2507</v>
      </c>
      <c r="F444" s="44"/>
      <c r="G444" s="130">
        <v>10000</v>
      </c>
      <c r="H444" s="252"/>
      <c r="I444" s="252">
        <f t="shared" si="13"/>
        <v>10000</v>
      </c>
      <c r="J444" s="170">
        <f>IF(A444="","",SUM($H$7:H444)-SUM($I$7:I444))</f>
        <v>-82083187</v>
      </c>
      <c r="K444" s="34"/>
    </row>
    <row r="445" spans="1:11" ht="12.75" customHeight="1" x14ac:dyDescent="0.2">
      <c r="A445" s="44">
        <v>44539</v>
      </c>
      <c r="B445" s="44" t="s">
        <v>732</v>
      </c>
      <c r="C445" s="35" t="s">
        <v>986</v>
      </c>
      <c r="D445" s="44" t="s">
        <v>1569</v>
      </c>
      <c r="E445" s="44" t="s">
        <v>2514</v>
      </c>
      <c r="F445" s="44"/>
      <c r="G445" s="130">
        <v>35000</v>
      </c>
      <c r="H445" s="252">
        <f t="shared" ref="H445:H476" si="14">IF($C445="Replenishment",$G445,0)</f>
        <v>0</v>
      </c>
      <c r="I445" s="252">
        <f t="shared" si="13"/>
        <v>35000</v>
      </c>
      <c r="J445" s="170">
        <f>IF(A445="","",SUM($H$7:H445)-SUM($I$7:I445))</f>
        <v>-82118187</v>
      </c>
      <c r="K445" s="34"/>
    </row>
    <row r="446" spans="1:11" ht="12.75" customHeight="1" x14ac:dyDescent="0.2">
      <c r="A446" s="44">
        <v>44540</v>
      </c>
      <c r="B446" s="44" t="s">
        <v>732</v>
      </c>
      <c r="C446" s="35" t="s">
        <v>986</v>
      </c>
      <c r="D446" s="44" t="s">
        <v>1569</v>
      </c>
      <c r="E446" s="44" t="s">
        <v>2514</v>
      </c>
      <c r="F446" s="44"/>
      <c r="G446" s="130">
        <v>35000</v>
      </c>
      <c r="H446" s="252">
        <f t="shared" si="14"/>
        <v>0</v>
      </c>
      <c r="I446" s="252">
        <f t="shared" si="13"/>
        <v>35000</v>
      </c>
      <c r="J446" s="170">
        <f>IF(A446="","",SUM($H$7:H446)-SUM($I$7:I446))</f>
        <v>-82153187</v>
      </c>
      <c r="K446" s="34"/>
    </row>
    <row r="447" spans="1:11" ht="12.75" customHeight="1" x14ac:dyDescent="0.2">
      <c r="A447" s="44">
        <v>44540</v>
      </c>
      <c r="B447" s="44" t="s">
        <v>732</v>
      </c>
      <c r="C447" s="35" t="s">
        <v>986</v>
      </c>
      <c r="D447" s="44" t="s">
        <v>1929</v>
      </c>
      <c r="E447" s="44" t="s">
        <v>2507</v>
      </c>
      <c r="F447" s="44"/>
      <c r="G447" s="130">
        <v>10000</v>
      </c>
      <c r="H447" s="252">
        <f t="shared" si="14"/>
        <v>0</v>
      </c>
      <c r="I447" s="252">
        <f t="shared" si="13"/>
        <v>10000</v>
      </c>
      <c r="J447" s="170">
        <f>IF(A447="","",SUM($H$7:H447)-SUM($I$7:I447))</f>
        <v>-82163187</v>
      </c>
      <c r="K447" s="34"/>
    </row>
    <row r="448" spans="1:11" ht="12.75" customHeight="1" x14ac:dyDescent="0.2">
      <c r="A448" s="44">
        <v>44540</v>
      </c>
      <c r="B448" s="44" t="s">
        <v>732</v>
      </c>
      <c r="C448" s="35" t="s">
        <v>986</v>
      </c>
      <c r="D448" s="44" t="s">
        <v>1560</v>
      </c>
      <c r="E448" s="44" t="s">
        <v>2511</v>
      </c>
      <c r="F448" s="44"/>
      <c r="G448" s="130">
        <v>50000</v>
      </c>
      <c r="H448" s="252">
        <f t="shared" si="14"/>
        <v>0</v>
      </c>
      <c r="I448" s="252">
        <f t="shared" si="13"/>
        <v>50000</v>
      </c>
      <c r="J448" s="170">
        <f>IF(A448="","",SUM($H$7:H448)-SUM($I$7:I448))</f>
        <v>-82213187</v>
      </c>
      <c r="K448" s="34"/>
    </row>
    <row r="449" spans="1:11" ht="12.75" customHeight="1" x14ac:dyDescent="0.2">
      <c r="A449" s="44">
        <v>44541</v>
      </c>
      <c r="B449" s="44" t="s">
        <v>732</v>
      </c>
      <c r="C449" s="35" t="s">
        <v>986</v>
      </c>
      <c r="D449" s="44" t="s">
        <v>1619</v>
      </c>
      <c r="E449" s="44" t="s">
        <v>2514</v>
      </c>
      <c r="F449" s="44"/>
      <c r="G449" s="130">
        <v>35000</v>
      </c>
      <c r="H449" s="252">
        <f t="shared" si="14"/>
        <v>0</v>
      </c>
      <c r="I449" s="252">
        <f t="shared" si="13"/>
        <v>35000</v>
      </c>
      <c r="J449" s="170">
        <f>IF(A449="","",SUM($H$7:H449)-SUM($I$7:I449))</f>
        <v>-82248187</v>
      </c>
      <c r="K449" s="34"/>
    </row>
    <row r="450" spans="1:11" ht="12.75" customHeight="1" x14ac:dyDescent="0.2">
      <c r="A450" s="44">
        <v>44541</v>
      </c>
      <c r="B450" s="44" t="s">
        <v>732</v>
      </c>
      <c r="C450" s="35" t="s">
        <v>986</v>
      </c>
      <c r="D450" s="44" t="s">
        <v>1561</v>
      </c>
      <c r="E450" s="44" t="s">
        <v>2507</v>
      </c>
      <c r="F450" s="44"/>
      <c r="G450" s="130">
        <v>30000</v>
      </c>
      <c r="H450" s="252">
        <f t="shared" si="14"/>
        <v>0</v>
      </c>
      <c r="I450" s="252">
        <f t="shared" si="13"/>
        <v>30000</v>
      </c>
      <c r="J450" s="170">
        <f>IF(A450="","",SUM($H$7:H450)-SUM($I$7:I450))</f>
        <v>-82278187</v>
      </c>
      <c r="K450" s="34"/>
    </row>
    <row r="451" spans="1:11" ht="12.75" customHeight="1" x14ac:dyDescent="0.2">
      <c r="A451" s="44">
        <v>44543</v>
      </c>
      <c r="B451" s="44" t="s">
        <v>732</v>
      </c>
      <c r="C451" s="35" t="s">
        <v>986</v>
      </c>
      <c r="D451" s="44" t="s">
        <v>1569</v>
      </c>
      <c r="E451" s="44" t="s">
        <v>2514</v>
      </c>
      <c r="F451" s="44"/>
      <c r="G451" s="130">
        <v>35000</v>
      </c>
      <c r="H451" s="252">
        <f t="shared" si="14"/>
        <v>0</v>
      </c>
      <c r="I451" s="252">
        <f t="shared" si="13"/>
        <v>35000</v>
      </c>
      <c r="J451" s="170">
        <f>IF(A451="","",SUM($H$7:H451)-SUM($I$7:I451))</f>
        <v>-82313187</v>
      </c>
      <c r="K451" s="34"/>
    </row>
    <row r="452" spans="1:11" ht="12.75" customHeight="1" x14ac:dyDescent="0.2">
      <c r="A452" s="44">
        <v>44543</v>
      </c>
      <c r="B452" s="44" t="s">
        <v>732</v>
      </c>
      <c r="C452" s="35" t="s">
        <v>986</v>
      </c>
      <c r="D452" s="44" t="s">
        <v>1929</v>
      </c>
      <c r="E452" s="44" t="s">
        <v>2507</v>
      </c>
      <c r="F452" s="44"/>
      <c r="G452" s="130">
        <v>10000</v>
      </c>
      <c r="H452" s="252">
        <f t="shared" si="14"/>
        <v>0</v>
      </c>
      <c r="I452" s="252">
        <f t="shared" si="13"/>
        <v>10000</v>
      </c>
      <c r="J452" s="170">
        <f>IF(A452="","",SUM($H$7:H452)-SUM($I$7:I452))</f>
        <v>-82323187</v>
      </c>
      <c r="K452" s="34"/>
    </row>
    <row r="453" spans="1:11" ht="12.75" customHeight="1" x14ac:dyDescent="0.2">
      <c r="A453" s="44">
        <v>44544</v>
      </c>
      <c r="B453" s="44" t="s">
        <v>732</v>
      </c>
      <c r="C453" s="35" t="s">
        <v>986</v>
      </c>
      <c r="D453" s="44" t="s">
        <v>1619</v>
      </c>
      <c r="E453" s="44" t="s">
        <v>2514</v>
      </c>
      <c r="F453" s="44"/>
      <c r="G453" s="130">
        <v>35000</v>
      </c>
      <c r="H453" s="252">
        <f t="shared" si="14"/>
        <v>0</v>
      </c>
      <c r="I453" s="252">
        <f t="shared" si="13"/>
        <v>35000</v>
      </c>
      <c r="J453" s="170">
        <f>IF(A453="","",SUM($H$7:H453)-SUM($I$7:I453))</f>
        <v>-82358187</v>
      </c>
      <c r="K453" s="34"/>
    </row>
    <row r="454" spans="1:11" ht="12.75" customHeight="1" x14ac:dyDescent="0.2">
      <c r="A454" s="44">
        <v>44544</v>
      </c>
      <c r="B454" s="44" t="s">
        <v>732</v>
      </c>
      <c r="C454" s="35" t="s">
        <v>986</v>
      </c>
      <c r="D454" s="44" t="s">
        <v>1933</v>
      </c>
      <c r="E454" s="44" t="s">
        <v>1793</v>
      </c>
      <c r="F454" s="44"/>
      <c r="G454" s="130">
        <v>13000</v>
      </c>
      <c r="H454" s="252">
        <f t="shared" si="14"/>
        <v>0</v>
      </c>
      <c r="I454" s="252">
        <f t="shared" si="13"/>
        <v>13000</v>
      </c>
      <c r="J454" s="170">
        <f>IF(A454="","",SUM($H$7:H454)-SUM($I$7:I454))</f>
        <v>-82371187</v>
      </c>
      <c r="K454" s="34"/>
    </row>
    <row r="455" spans="1:11" ht="12.75" customHeight="1" x14ac:dyDescent="0.2">
      <c r="A455" s="44">
        <v>44544</v>
      </c>
      <c r="B455" s="44" t="s">
        <v>732</v>
      </c>
      <c r="C455" s="35" t="s">
        <v>986</v>
      </c>
      <c r="D455" s="44" t="s">
        <v>1934</v>
      </c>
      <c r="E455" s="44" t="s">
        <v>1793</v>
      </c>
      <c r="F455" s="44"/>
      <c r="G455" s="130">
        <v>36000</v>
      </c>
      <c r="H455" s="252">
        <f t="shared" si="14"/>
        <v>0</v>
      </c>
      <c r="I455" s="252">
        <f t="shared" ref="I455:I518" si="15">IF($C455="Replenishment",0,$G455)</f>
        <v>36000</v>
      </c>
      <c r="J455" s="170">
        <f>IF(A455="","",SUM($H$7:H455)-SUM($I$7:I455))</f>
        <v>-82407187</v>
      </c>
      <c r="K455" s="34"/>
    </row>
    <row r="456" spans="1:11" ht="12.75" customHeight="1" x14ac:dyDescent="0.2">
      <c r="A456" s="44">
        <v>44544</v>
      </c>
      <c r="B456" s="44" t="s">
        <v>732</v>
      </c>
      <c r="C456" s="35" t="s">
        <v>986</v>
      </c>
      <c r="D456" s="44" t="s">
        <v>1624</v>
      </c>
      <c r="E456" s="44" t="s">
        <v>2507</v>
      </c>
      <c r="F456" s="44"/>
      <c r="G456" s="130">
        <v>4000</v>
      </c>
      <c r="H456" s="252">
        <f t="shared" si="14"/>
        <v>0</v>
      </c>
      <c r="I456" s="252">
        <f t="shared" si="15"/>
        <v>4000</v>
      </c>
      <c r="J456" s="170">
        <f>IF(A456="","",SUM($H$7:H456)-SUM($I$7:I456))</f>
        <v>-82411187</v>
      </c>
      <c r="K456" s="34"/>
    </row>
    <row r="457" spans="1:11" ht="12.75" customHeight="1" x14ac:dyDescent="0.2">
      <c r="A457" s="44">
        <v>44545</v>
      </c>
      <c r="B457" s="44" t="s">
        <v>732</v>
      </c>
      <c r="C457" s="35" t="s">
        <v>986</v>
      </c>
      <c r="D457" s="44" t="s">
        <v>1569</v>
      </c>
      <c r="E457" s="44" t="s">
        <v>2514</v>
      </c>
      <c r="F457" s="44"/>
      <c r="G457" s="130">
        <v>35000</v>
      </c>
      <c r="H457" s="252">
        <f t="shared" si="14"/>
        <v>0</v>
      </c>
      <c r="I457" s="252">
        <f t="shared" si="15"/>
        <v>35000</v>
      </c>
      <c r="J457" s="170">
        <f>IF(A457="","",SUM($H$7:H457)-SUM($I$7:I457))</f>
        <v>-82446187</v>
      </c>
      <c r="K457" s="34"/>
    </row>
    <row r="458" spans="1:11" ht="12.75" customHeight="1" x14ac:dyDescent="0.2">
      <c r="A458" s="44">
        <v>44545</v>
      </c>
      <c r="B458" s="44" t="s">
        <v>732</v>
      </c>
      <c r="C458" s="35" t="s">
        <v>986</v>
      </c>
      <c r="D458" s="44" t="s">
        <v>2454</v>
      </c>
      <c r="E458" s="44" t="s">
        <v>2510</v>
      </c>
      <c r="F458" s="44"/>
      <c r="G458" s="130">
        <v>463011</v>
      </c>
      <c r="H458" s="252">
        <f t="shared" si="14"/>
        <v>0</v>
      </c>
      <c r="I458" s="252">
        <f t="shared" si="15"/>
        <v>463011</v>
      </c>
      <c r="J458" s="170">
        <f>IF(A458="","",SUM($H$7:H458)-SUM($I$7:I458))</f>
        <v>-82909198</v>
      </c>
      <c r="K458" s="34"/>
    </row>
    <row r="459" spans="1:11" ht="12.75" customHeight="1" x14ac:dyDescent="0.2">
      <c r="A459" s="44">
        <v>44545</v>
      </c>
      <c r="B459" s="44" t="s">
        <v>732</v>
      </c>
      <c r="C459" s="35" t="s">
        <v>986</v>
      </c>
      <c r="D459" s="44" t="s">
        <v>1568</v>
      </c>
      <c r="E459" s="44" t="s">
        <v>2514</v>
      </c>
      <c r="F459" s="44"/>
      <c r="G459" s="130">
        <v>24000</v>
      </c>
      <c r="H459" s="252">
        <f t="shared" si="14"/>
        <v>0</v>
      </c>
      <c r="I459" s="252">
        <f t="shared" si="15"/>
        <v>24000</v>
      </c>
      <c r="J459" s="170">
        <f>IF(A459="","",SUM($H$7:H459)-SUM($I$7:I459))</f>
        <v>-82933198</v>
      </c>
      <c r="K459" s="34"/>
    </row>
    <row r="460" spans="1:11" ht="12.75" customHeight="1" x14ac:dyDescent="0.2">
      <c r="A460" s="44">
        <v>44545</v>
      </c>
      <c r="B460" s="44" t="s">
        <v>732</v>
      </c>
      <c r="C460" s="35" t="s">
        <v>986</v>
      </c>
      <c r="D460" s="44" t="s">
        <v>902</v>
      </c>
      <c r="E460" s="44" t="s">
        <v>2507</v>
      </c>
      <c r="F460" s="44"/>
      <c r="G460" s="130">
        <v>5000</v>
      </c>
      <c r="H460" s="252">
        <f t="shared" si="14"/>
        <v>0</v>
      </c>
      <c r="I460" s="252">
        <f t="shared" si="15"/>
        <v>5000</v>
      </c>
      <c r="J460" s="170">
        <f>IF(A460="","",SUM($H$7:H460)-SUM($I$7:I460))</f>
        <v>-82938198</v>
      </c>
      <c r="K460" s="34"/>
    </row>
    <row r="461" spans="1:11" ht="12.75" customHeight="1" x14ac:dyDescent="0.2">
      <c r="A461" s="44">
        <v>44546</v>
      </c>
      <c r="B461" s="44" t="s">
        <v>732</v>
      </c>
      <c r="C461" s="35" t="s">
        <v>986</v>
      </c>
      <c r="D461" s="44" t="s">
        <v>1569</v>
      </c>
      <c r="E461" s="44" t="s">
        <v>2514</v>
      </c>
      <c r="F461" s="44"/>
      <c r="G461" s="130">
        <v>35000</v>
      </c>
      <c r="H461" s="252">
        <f t="shared" si="14"/>
        <v>0</v>
      </c>
      <c r="I461" s="252">
        <f t="shared" si="15"/>
        <v>35000</v>
      </c>
      <c r="J461" s="170">
        <f>IF(A461="","",SUM($H$7:H461)-SUM($I$7:I461))</f>
        <v>-82973198</v>
      </c>
      <c r="K461" s="34"/>
    </row>
    <row r="462" spans="1:11" ht="12.75" customHeight="1" x14ac:dyDescent="0.2">
      <c r="A462" s="44">
        <v>44547</v>
      </c>
      <c r="B462" s="44" t="s">
        <v>732</v>
      </c>
      <c r="C462" s="35" t="s">
        <v>986</v>
      </c>
      <c r="D462" s="44" t="s">
        <v>1569</v>
      </c>
      <c r="E462" s="44" t="s">
        <v>2514</v>
      </c>
      <c r="F462" s="44"/>
      <c r="G462" s="130">
        <v>35000</v>
      </c>
      <c r="H462" s="252">
        <f t="shared" si="14"/>
        <v>0</v>
      </c>
      <c r="I462" s="252">
        <f t="shared" si="15"/>
        <v>35000</v>
      </c>
      <c r="J462" s="170">
        <f>IF(A462="","",SUM($H$7:H462)-SUM($I$7:I462))</f>
        <v>-83008198</v>
      </c>
      <c r="K462" s="34"/>
    </row>
    <row r="463" spans="1:11" ht="12.75" customHeight="1" x14ac:dyDescent="0.2">
      <c r="A463" s="44">
        <v>44547</v>
      </c>
      <c r="B463" s="44" t="s">
        <v>732</v>
      </c>
      <c r="C463" s="35" t="s">
        <v>986</v>
      </c>
      <c r="D463" s="44" t="s">
        <v>1561</v>
      </c>
      <c r="E463" s="44" t="s">
        <v>2507</v>
      </c>
      <c r="F463" s="44"/>
      <c r="G463" s="130">
        <v>30000</v>
      </c>
      <c r="H463" s="252">
        <f t="shared" si="14"/>
        <v>0</v>
      </c>
      <c r="I463" s="252">
        <f t="shared" si="15"/>
        <v>30000</v>
      </c>
      <c r="J463" s="170">
        <f>IF(A463="","",SUM($H$7:H463)-SUM($I$7:I463))</f>
        <v>-83038198</v>
      </c>
      <c r="K463" s="34"/>
    </row>
    <row r="464" spans="1:11" ht="12.75" customHeight="1" x14ac:dyDescent="0.2">
      <c r="A464" s="44">
        <v>44548</v>
      </c>
      <c r="B464" s="44" t="s">
        <v>732</v>
      </c>
      <c r="C464" s="35" t="s">
        <v>986</v>
      </c>
      <c r="D464" s="44" t="s">
        <v>1569</v>
      </c>
      <c r="E464" s="44" t="s">
        <v>2514</v>
      </c>
      <c r="F464" s="44"/>
      <c r="G464" s="130">
        <v>35000</v>
      </c>
      <c r="H464" s="252">
        <f t="shared" si="14"/>
        <v>0</v>
      </c>
      <c r="I464" s="252">
        <f t="shared" si="15"/>
        <v>35000</v>
      </c>
      <c r="J464" s="170">
        <f>IF(A464="","",SUM($H$7:H464)-SUM($I$7:I464))</f>
        <v>-83073198</v>
      </c>
      <c r="K464" s="34"/>
    </row>
    <row r="465" spans="1:11" ht="12.75" customHeight="1" x14ac:dyDescent="0.2">
      <c r="A465" s="44">
        <v>44550</v>
      </c>
      <c r="B465" s="44" t="s">
        <v>732</v>
      </c>
      <c r="C465" s="35" t="s">
        <v>986</v>
      </c>
      <c r="D465" s="44" t="s">
        <v>2034</v>
      </c>
      <c r="E465" s="44" t="s">
        <v>2512</v>
      </c>
      <c r="F465" s="44"/>
      <c r="G465" s="130">
        <v>3934500</v>
      </c>
      <c r="H465" s="252">
        <f t="shared" si="14"/>
        <v>0</v>
      </c>
      <c r="I465" s="252">
        <f t="shared" si="15"/>
        <v>3934500</v>
      </c>
      <c r="J465" s="170">
        <f>IF(A465="","",SUM($H$7:H465)-SUM($I$7:I465))</f>
        <v>-87007698</v>
      </c>
      <c r="K465" s="34"/>
    </row>
    <row r="466" spans="1:11" ht="12.75" customHeight="1" x14ac:dyDescent="0.2">
      <c r="A466" s="44">
        <v>44550</v>
      </c>
      <c r="B466" s="44" t="s">
        <v>732</v>
      </c>
      <c r="C466" s="35" t="s">
        <v>986</v>
      </c>
      <c r="D466" s="44" t="s">
        <v>1569</v>
      </c>
      <c r="E466" s="44" t="s">
        <v>2514</v>
      </c>
      <c r="F466" s="44"/>
      <c r="G466" s="130">
        <v>35000</v>
      </c>
      <c r="H466" s="252">
        <f t="shared" si="14"/>
        <v>0</v>
      </c>
      <c r="I466" s="252">
        <f t="shared" si="15"/>
        <v>35000</v>
      </c>
      <c r="J466" s="170">
        <f>IF(A466="","",SUM($H$7:H466)-SUM($I$7:I466))</f>
        <v>-87042698</v>
      </c>
      <c r="K466" s="34"/>
    </row>
    <row r="467" spans="1:11" ht="12.75" customHeight="1" x14ac:dyDescent="0.2">
      <c r="A467" s="44">
        <v>44550</v>
      </c>
      <c r="B467" s="44" t="s">
        <v>732</v>
      </c>
      <c r="C467" s="35" t="s">
        <v>986</v>
      </c>
      <c r="D467" s="44" t="s">
        <v>1560</v>
      </c>
      <c r="E467" s="44" t="s">
        <v>2511</v>
      </c>
      <c r="F467" s="44"/>
      <c r="G467" s="130">
        <v>50000</v>
      </c>
      <c r="H467" s="252">
        <f t="shared" si="14"/>
        <v>0</v>
      </c>
      <c r="I467" s="252">
        <f t="shared" si="15"/>
        <v>50000</v>
      </c>
      <c r="J467" s="170">
        <f>IF(A467="","",SUM($H$7:H467)-SUM($I$7:I467))</f>
        <v>-87092698</v>
      </c>
      <c r="K467" s="34"/>
    </row>
    <row r="468" spans="1:11" ht="12.75" customHeight="1" x14ac:dyDescent="0.2">
      <c r="A468" s="44">
        <v>44550</v>
      </c>
      <c r="B468" s="44" t="s">
        <v>732</v>
      </c>
      <c r="C468" s="35" t="s">
        <v>986</v>
      </c>
      <c r="D468" s="44" t="s">
        <v>1941</v>
      </c>
      <c r="E468" s="44" t="s">
        <v>2507</v>
      </c>
      <c r="F468" s="44"/>
      <c r="G468" s="130">
        <v>14400</v>
      </c>
      <c r="H468" s="252">
        <f t="shared" si="14"/>
        <v>0</v>
      </c>
      <c r="I468" s="252">
        <f t="shared" si="15"/>
        <v>14400</v>
      </c>
      <c r="J468" s="170">
        <f>IF(A468="","",SUM($H$7:H468)-SUM($I$7:I468))</f>
        <v>-87107098</v>
      </c>
      <c r="K468" s="34"/>
    </row>
    <row r="469" spans="1:11" ht="12.75" customHeight="1" x14ac:dyDescent="0.2">
      <c r="A469" s="44">
        <v>44551</v>
      </c>
      <c r="B469" s="44" t="s">
        <v>732</v>
      </c>
      <c r="C469" s="35" t="s">
        <v>986</v>
      </c>
      <c r="D469" s="44" t="s">
        <v>2042</v>
      </c>
      <c r="E469" s="44" t="s">
        <v>2512</v>
      </c>
      <c r="F469" s="44"/>
      <c r="G469" s="130">
        <v>413000</v>
      </c>
      <c r="H469" s="252">
        <f t="shared" si="14"/>
        <v>0</v>
      </c>
      <c r="I469" s="252">
        <f t="shared" si="15"/>
        <v>413000</v>
      </c>
      <c r="J469" s="170">
        <f>IF(A469="","",SUM($H$7:H469)-SUM($I$7:I469))</f>
        <v>-87520098</v>
      </c>
      <c r="K469" s="34"/>
    </row>
    <row r="470" spans="1:11" ht="12.75" customHeight="1" x14ac:dyDescent="0.2">
      <c r="A470" s="44">
        <v>44551</v>
      </c>
      <c r="B470" s="44" t="s">
        <v>732</v>
      </c>
      <c r="C470" s="35" t="s">
        <v>986</v>
      </c>
      <c r="D470" s="44" t="s">
        <v>1619</v>
      </c>
      <c r="E470" s="44" t="s">
        <v>2514</v>
      </c>
      <c r="F470" s="44"/>
      <c r="G470" s="130">
        <v>35000</v>
      </c>
      <c r="H470" s="252">
        <f t="shared" si="14"/>
        <v>0</v>
      </c>
      <c r="I470" s="252">
        <f t="shared" si="15"/>
        <v>35000</v>
      </c>
      <c r="J470" s="170">
        <f>IF(A470="","",SUM($H$7:H470)-SUM($I$7:I470))</f>
        <v>-87555098</v>
      </c>
      <c r="K470" s="34"/>
    </row>
    <row r="471" spans="1:11" ht="12.75" customHeight="1" x14ac:dyDescent="0.2">
      <c r="A471" s="44">
        <v>44552</v>
      </c>
      <c r="B471" s="44" t="s">
        <v>732</v>
      </c>
      <c r="C471" s="35" t="s">
        <v>986</v>
      </c>
      <c r="D471" s="44" t="s">
        <v>1569</v>
      </c>
      <c r="E471" s="44" t="s">
        <v>2514</v>
      </c>
      <c r="F471" s="44"/>
      <c r="G471" s="130">
        <v>35000</v>
      </c>
      <c r="H471" s="252">
        <f t="shared" si="14"/>
        <v>0</v>
      </c>
      <c r="I471" s="252">
        <f t="shared" si="15"/>
        <v>35000</v>
      </c>
      <c r="J471" s="170">
        <f>IF(A471="","",SUM($H$7:H471)-SUM($I$7:I471))</f>
        <v>-87590098</v>
      </c>
      <c r="K471" s="34"/>
    </row>
    <row r="472" spans="1:11" ht="12.75" customHeight="1" x14ac:dyDescent="0.2">
      <c r="A472" s="44">
        <v>44552</v>
      </c>
      <c r="B472" s="44" t="s">
        <v>732</v>
      </c>
      <c r="C472" s="35" t="s">
        <v>986</v>
      </c>
      <c r="D472" s="44" t="s">
        <v>1942</v>
      </c>
      <c r="E472" s="44" t="s">
        <v>2507</v>
      </c>
      <c r="F472" s="44"/>
      <c r="G472" s="130">
        <v>15000</v>
      </c>
      <c r="H472" s="252">
        <f t="shared" si="14"/>
        <v>0</v>
      </c>
      <c r="I472" s="252">
        <f t="shared" si="15"/>
        <v>15000</v>
      </c>
      <c r="J472" s="170">
        <f>IF(A472="","",SUM($H$7:H472)-SUM($I$7:I472))</f>
        <v>-87605098</v>
      </c>
      <c r="K472" s="34"/>
    </row>
    <row r="473" spans="1:11" ht="12.75" customHeight="1" x14ac:dyDescent="0.2">
      <c r="A473" s="44">
        <v>44553</v>
      </c>
      <c r="B473" s="44" t="s">
        <v>732</v>
      </c>
      <c r="C473" s="35" t="s">
        <v>986</v>
      </c>
      <c r="D473" s="44" t="s">
        <v>2037</v>
      </c>
      <c r="E473" s="44" t="s">
        <v>2512</v>
      </c>
      <c r="F473" s="44"/>
      <c r="G473" s="130">
        <v>800000</v>
      </c>
      <c r="H473" s="252">
        <f t="shared" si="14"/>
        <v>0</v>
      </c>
      <c r="I473" s="252">
        <f t="shared" si="15"/>
        <v>800000</v>
      </c>
      <c r="J473" s="170">
        <f>IF(A473="","",SUM($H$7:H473)-SUM($I$7:I473))</f>
        <v>-88405098</v>
      </c>
      <c r="K473" s="34"/>
    </row>
    <row r="474" spans="1:11" ht="12.75" customHeight="1" x14ac:dyDescent="0.2">
      <c r="A474" s="44">
        <v>44553</v>
      </c>
      <c r="B474" s="44" t="s">
        <v>732</v>
      </c>
      <c r="C474" s="35" t="s">
        <v>986</v>
      </c>
      <c r="D474" s="44" t="s">
        <v>1569</v>
      </c>
      <c r="E474" s="44" t="s">
        <v>2514</v>
      </c>
      <c r="F474" s="44"/>
      <c r="G474" s="130">
        <v>35000</v>
      </c>
      <c r="H474" s="252">
        <f t="shared" si="14"/>
        <v>0</v>
      </c>
      <c r="I474" s="252">
        <f t="shared" si="15"/>
        <v>35000</v>
      </c>
      <c r="J474" s="170">
        <f>IF(A474="","",SUM($H$7:H474)-SUM($I$7:I474))</f>
        <v>-88440098</v>
      </c>
      <c r="K474" s="34"/>
    </row>
    <row r="475" spans="1:11" ht="12.75" customHeight="1" x14ac:dyDescent="0.2">
      <c r="A475" s="44">
        <v>44557</v>
      </c>
      <c r="B475" s="44" t="s">
        <v>732</v>
      </c>
      <c r="C475" s="35" t="s">
        <v>986</v>
      </c>
      <c r="D475" s="44" t="s">
        <v>1569</v>
      </c>
      <c r="E475" s="44" t="s">
        <v>2514</v>
      </c>
      <c r="F475" s="44"/>
      <c r="G475" s="130">
        <v>35000</v>
      </c>
      <c r="H475" s="252">
        <f t="shared" si="14"/>
        <v>0</v>
      </c>
      <c r="I475" s="252">
        <f t="shared" si="15"/>
        <v>35000</v>
      </c>
      <c r="J475" s="170">
        <f>IF(A475="","",SUM($H$7:H475)-SUM($I$7:I475))</f>
        <v>-88475098</v>
      </c>
      <c r="K475" s="34"/>
    </row>
    <row r="476" spans="1:11" ht="12.75" customHeight="1" x14ac:dyDescent="0.2">
      <c r="A476" s="44">
        <v>44558</v>
      </c>
      <c r="B476" s="44" t="s">
        <v>732</v>
      </c>
      <c r="C476" s="35" t="s">
        <v>986</v>
      </c>
      <c r="D476" s="44" t="s">
        <v>1569</v>
      </c>
      <c r="E476" s="44" t="s">
        <v>2514</v>
      </c>
      <c r="F476" s="44"/>
      <c r="G476" s="130">
        <v>35000</v>
      </c>
      <c r="H476" s="252">
        <f t="shared" si="14"/>
        <v>0</v>
      </c>
      <c r="I476" s="252">
        <f t="shared" si="15"/>
        <v>35000</v>
      </c>
      <c r="J476" s="170">
        <f>IF(A476="","",SUM($H$7:H476)-SUM($I$7:I476))</f>
        <v>-88510098</v>
      </c>
      <c r="K476" s="34"/>
    </row>
    <row r="477" spans="1:11" ht="12.75" customHeight="1" x14ac:dyDescent="0.2">
      <c r="A477" s="44">
        <v>44558</v>
      </c>
      <c r="B477" s="44" t="s">
        <v>732</v>
      </c>
      <c r="C477" s="35" t="s">
        <v>986</v>
      </c>
      <c r="D477" s="44" t="s">
        <v>1943</v>
      </c>
      <c r="E477" s="44" t="s">
        <v>2507</v>
      </c>
      <c r="F477" s="44"/>
      <c r="G477" s="130">
        <v>6000</v>
      </c>
      <c r="H477" s="252">
        <f t="shared" ref="H477:H508" si="16">IF($C477="Replenishment",$G477,0)</f>
        <v>0</v>
      </c>
      <c r="I477" s="252">
        <f t="shared" si="15"/>
        <v>6000</v>
      </c>
      <c r="J477" s="170">
        <f>IF(A477="","",SUM($H$7:H477)-SUM($I$7:I477))</f>
        <v>-88516098</v>
      </c>
      <c r="K477" s="34"/>
    </row>
    <row r="478" spans="1:11" ht="12.75" customHeight="1" x14ac:dyDescent="0.2">
      <c r="A478" s="44">
        <v>44559</v>
      </c>
      <c r="B478" s="44" t="s">
        <v>732</v>
      </c>
      <c r="C478" s="35" t="s">
        <v>986</v>
      </c>
      <c r="D478" s="44" t="s">
        <v>1569</v>
      </c>
      <c r="E478" s="44" t="s">
        <v>2514</v>
      </c>
      <c r="F478" s="44"/>
      <c r="G478" s="130">
        <v>35000</v>
      </c>
      <c r="H478" s="252">
        <f t="shared" si="16"/>
        <v>0</v>
      </c>
      <c r="I478" s="252">
        <f t="shared" si="15"/>
        <v>35000</v>
      </c>
      <c r="J478" s="170">
        <f>IF(A478="","",SUM($H$7:H478)-SUM($I$7:I478))</f>
        <v>-88551098</v>
      </c>
      <c r="K478" s="34"/>
    </row>
    <row r="479" spans="1:11" ht="12.75" customHeight="1" x14ac:dyDescent="0.2">
      <c r="A479" s="44">
        <v>44560</v>
      </c>
      <c r="B479" s="44" t="s">
        <v>732</v>
      </c>
      <c r="C479" s="35" t="s">
        <v>986</v>
      </c>
      <c r="D479" s="44" t="s">
        <v>1569</v>
      </c>
      <c r="E479" s="44" t="s">
        <v>2514</v>
      </c>
      <c r="F479" s="44"/>
      <c r="G479" s="130">
        <v>35000</v>
      </c>
      <c r="H479" s="252">
        <f t="shared" si="16"/>
        <v>0</v>
      </c>
      <c r="I479" s="252">
        <f t="shared" si="15"/>
        <v>35000</v>
      </c>
      <c r="J479" s="170">
        <f>IF(A479="","",SUM($H$7:H479)-SUM($I$7:I479))</f>
        <v>-88586098</v>
      </c>
      <c r="K479" s="34"/>
    </row>
    <row r="480" spans="1:11" ht="12.75" customHeight="1" x14ac:dyDescent="0.2">
      <c r="A480" s="44">
        <v>44560</v>
      </c>
      <c r="B480" s="44" t="s">
        <v>732</v>
      </c>
      <c r="C480" s="35" t="s">
        <v>986</v>
      </c>
      <c r="D480" s="44" t="s">
        <v>2455</v>
      </c>
      <c r="E480" s="44" t="s">
        <v>2510</v>
      </c>
      <c r="F480" s="44"/>
      <c r="G480" s="130">
        <v>582102</v>
      </c>
      <c r="H480" s="252">
        <f t="shared" si="16"/>
        <v>0</v>
      </c>
      <c r="I480" s="252">
        <f t="shared" si="15"/>
        <v>582102</v>
      </c>
      <c r="J480" s="170">
        <f>IF(A480="","",SUM($H$7:H480)-SUM($I$7:I480))</f>
        <v>-89168200</v>
      </c>
      <c r="K480" s="34"/>
    </row>
    <row r="481" spans="1:11" ht="12.75" customHeight="1" x14ac:dyDescent="0.2">
      <c r="A481" s="44">
        <v>44564</v>
      </c>
      <c r="B481" s="44" t="s">
        <v>732</v>
      </c>
      <c r="C481" s="35" t="s">
        <v>986</v>
      </c>
      <c r="D481" s="44" t="s">
        <v>1561</v>
      </c>
      <c r="E481" s="44" t="s">
        <v>2507</v>
      </c>
      <c r="F481" s="44"/>
      <c r="G481" s="130">
        <v>30000</v>
      </c>
      <c r="H481" s="252">
        <f t="shared" si="16"/>
        <v>0</v>
      </c>
      <c r="I481" s="252">
        <f t="shared" si="15"/>
        <v>30000</v>
      </c>
      <c r="J481" s="170">
        <f>IF(A481="","",SUM($H$7:H481)-SUM($I$7:I481))</f>
        <v>-89198200</v>
      </c>
      <c r="K481" s="34"/>
    </row>
    <row r="482" spans="1:11" ht="12.75" customHeight="1" x14ac:dyDescent="0.2">
      <c r="A482" s="44">
        <v>44564</v>
      </c>
      <c r="B482" s="44" t="s">
        <v>732</v>
      </c>
      <c r="C482" s="35" t="s">
        <v>986</v>
      </c>
      <c r="D482" s="44" t="s">
        <v>2164</v>
      </c>
      <c r="E482" s="44" t="s">
        <v>2514</v>
      </c>
      <c r="F482" s="44"/>
      <c r="G482" s="130">
        <v>24000</v>
      </c>
      <c r="H482" s="252">
        <f t="shared" si="16"/>
        <v>0</v>
      </c>
      <c r="I482" s="252">
        <f t="shared" si="15"/>
        <v>24000</v>
      </c>
      <c r="J482" s="170">
        <f>IF(A482="","",SUM($H$7:H482)-SUM($I$7:I482))</f>
        <v>-89222200</v>
      </c>
      <c r="K482" s="34"/>
    </row>
    <row r="483" spans="1:11" ht="12.75" customHeight="1" x14ac:dyDescent="0.2">
      <c r="A483" s="44">
        <v>44564</v>
      </c>
      <c r="B483" s="44" t="s">
        <v>732</v>
      </c>
      <c r="C483" s="35" t="s">
        <v>986</v>
      </c>
      <c r="D483" s="44" t="s">
        <v>1930</v>
      </c>
      <c r="E483" s="44" t="s">
        <v>2507</v>
      </c>
      <c r="F483" s="44"/>
      <c r="G483" s="130">
        <v>100000</v>
      </c>
      <c r="H483" s="252">
        <f t="shared" si="16"/>
        <v>0</v>
      </c>
      <c r="I483" s="252">
        <f t="shared" si="15"/>
        <v>100000</v>
      </c>
      <c r="J483" s="170">
        <f>IF(A483="","",SUM($H$7:H483)-SUM($I$7:I483))</f>
        <v>-89322200</v>
      </c>
      <c r="K483" s="34"/>
    </row>
    <row r="484" spans="1:11" ht="12.75" customHeight="1" x14ac:dyDescent="0.2">
      <c r="A484" s="44">
        <v>44564</v>
      </c>
      <c r="B484" s="44" t="s">
        <v>732</v>
      </c>
      <c r="C484" s="35" t="s">
        <v>986</v>
      </c>
      <c r="D484" s="44" t="s">
        <v>1560</v>
      </c>
      <c r="E484" s="44" t="s">
        <v>2507</v>
      </c>
      <c r="F484" s="44"/>
      <c r="G484" s="130">
        <v>50000</v>
      </c>
      <c r="H484" s="252">
        <f t="shared" si="16"/>
        <v>0</v>
      </c>
      <c r="I484" s="252">
        <f t="shared" si="15"/>
        <v>50000</v>
      </c>
      <c r="J484" s="170">
        <f>IF(A484="","",SUM($H$7:H484)-SUM($I$7:I484))</f>
        <v>-89372200</v>
      </c>
      <c r="K484" s="34"/>
    </row>
    <row r="485" spans="1:11" ht="12.75" customHeight="1" x14ac:dyDescent="0.2">
      <c r="A485" s="44">
        <v>44564</v>
      </c>
      <c r="B485" s="44" t="s">
        <v>732</v>
      </c>
      <c r="C485" s="35" t="s">
        <v>986</v>
      </c>
      <c r="D485" s="44" t="s">
        <v>1576</v>
      </c>
      <c r="E485" s="44" t="s">
        <v>2507</v>
      </c>
      <c r="F485" s="44"/>
      <c r="G485" s="130">
        <v>50000</v>
      </c>
      <c r="H485" s="252">
        <f t="shared" si="16"/>
        <v>0</v>
      </c>
      <c r="I485" s="252">
        <f t="shared" si="15"/>
        <v>50000</v>
      </c>
      <c r="J485" s="170">
        <f>IF(A485="","",SUM($H$7:H485)-SUM($I$7:I485))</f>
        <v>-89422200</v>
      </c>
      <c r="K485" s="34"/>
    </row>
    <row r="486" spans="1:11" ht="12.75" customHeight="1" x14ac:dyDescent="0.2">
      <c r="A486" s="44">
        <v>44564</v>
      </c>
      <c r="B486" s="44" t="s">
        <v>732</v>
      </c>
      <c r="C486" s="35" t="s">
        <v>986</v>
      </c>
      <c r="D486" s="44" t="s">
        <v>1581</v>
      </c>
      <c r="E486" s="44" t="s">
        <v>2507</v>
      </c>
      <c r="F486" s="44"/>
      <c r="G486" s="130">
        <v>20000</v>
      </c>
      <c r="H486" s="252">
        <f t="shared" si="16"/>
        <v>0</v>
      </c>
      <c r="I486" s="252">
        <f t="shared" si="15"/>
        <v>20000</v>
      </c>
      <c r="J486" s="170">
        <f>IF(A486="","",SUM($H$7:H486)-SUM($I$7:I486))</f>
        <v>-89442200</v>
      </c>
      <c r="K486" s="34"/>
    </row>
    <row r="487" spans="1:11" ht="12.75" customHeight="1" x14ac:dyDescent="0.2">
      <c r="A487" s="44">
        <v>44564</v>
      </c>
      <c r="B487" s="44" t="s">
        <v>732</v>
      </c>
      <c r="C487" s="35" t="s">
        <v>986</v>
      </c>
      <c r="D487" s="44" t="s">
        <v>1529</v>
      </c>
      <c r="E487" s="44" t="s">
        <v>2507</v>
      </c>
      <c r="F487" s="44"/>
      <c r="G487" s="130">
        <v>20000</v>
      </c>
      <c r="H487" s="252">
        <f t="shared" si="16"/>
        <v>0</v>
      </c>
      <c r="I487" s="252">
        <f t="shared" si="15"/>
        <v>20000</v>
      </c>
      <c r="J487" s="170">
        <f>IF(A487="","",SUM($H$7:H487)-SUM($I$7:I487))</f>
        <v>-89462200</v>
      </c>
      <c r="K487" s="34"/>
    </row>
    <row r="488" spans="1:11" ht="12.75" customHeight="1" x14ac:dyDescent="0.2">
      <c r="A488" s="44">
        <v>44564</v>
      </c>
      <c r="B488" s="44" t="s">
        <v>732</v>
      </c>
      <c r="C488" s="35" t="s">
        <v>986</v>
      </c>
      <c r="D488" s="44" t="s">
        <v>2162</v>
      </c>
      <c r="E488" s="44" t="s">
        <v>2514</v>
      </c>
      <c r="F488" s="44"/>
      <c r="G488" s="130">
        <v>210000</v>
      </c>
      <c r="H488" s="252">
        <f t="shared" si="16"/>
        <v>0</v>
      </c>
      <c r="I488" s="252">
        <f t="shared" si="15"/>
        <v>210000</v>
      </c>
      <c r="J488" s="170">
        <f>IF(A488="","",SUM($H$7:H488)-SUM($I$7:I488))</f>
        <v>-89672200</v>
      </c>
      <c r="K488" s="34"/>
    </row>
    <row r="489" spans="1:11" ht="12.75" customHeight="1" x14ac:dyDescent="0.2">
      <c r="A489" s="44">
        <v>44564</v>
      </c>
      <c r="B489" s="44" t="s">
        <v>732</v>
      </c>
      <c r="C489" s="35" t="s">
        <v>986</v>
      </c>
      <c r="D489" s="44" t="s">
        <v>1562</v>
      </c>
      <c r="E489" s="44" t="s">
        <v>2514</v>
      </c>
      <c r="F489" s="44"/>
      <c r="G489" s="130">
        <v>2000</v>
      </c>
      <c r="H489" s="252">
        <f t="shared" si="16"/>
        <v>0</v>
      </c>
      <c r="I489" s="252">
        <f t="shared" si="15"/>
        <v>2000</v>
      </c>
      <c r="J489" s="170">
        <f>IF(A489="","",SUM($H$7:H489)-SUM($I$7:I489))</f>
        <v>-89674200</v>
      </c>
      <c r="K489" s="34"/>
    </row>
    <row r="490" spans="1:11" ht="12.75" customHeight="1" x14ac:dyDescent="0.2">
      <c r="A490" s="44">
        <v>44564</v>
      </c>
      <c r="B490" s="44" t="s">
        <v>732</v>
      </c>
      <c r="C490" s="35" t="s">
        <v>986</v>
      </c>
      <c r="D490" s="44" t="s">
        <v>1573</v>
      </c>
      <c r="E490" s="44" t="s">
        <v>2511</v>
      </c>
      <c r="F490" s="44"/>
      <c r="G490" s="130">
        <v>36000</v>
      </c>
      <c r="H490" s="252">
        <f t="shared" si="16"/>
        <v>0</v>
      </c>
      <c r="I490" s="252">
        <f t="shared" si="15"/>
        <v>36000</v>
      </c>
      <c r="J490" s="170">
        <f>IF(A490="","",SUM($H$7:H490)-SUM($I$7:I490))</f>
        <v>-89710200</v>
      </c>
      <c r="K490" s="34"/>
    </row>
    <row r="491" spans="1:11" ht="12.75" customHeight="1" x14ac:dyDescent="0.2">
      <c r="A491" s="44">
        <v>44564</v>
      </c>
      <c r="B491" s="44" t="s">
        <v>732</v>
      </c>
      <c r="C491" s="35" t="s">
        <v>986</v>
      </c>
      <c r="D491" s="44" t="s">
        <v>1997</v>
      </c>
      <c r="E491" s="44" t="s">
        <v>2511</v>
      </c>
      <c r="F491" s="44"/>
      <c r="G491" s="130">
        <v>3000</v>
      </c>
      <c r="H491" s="252">
        <f t="shared" si="16"/>
        <v>0</v>
      </c>
      <c r="I491" s="252">
        <f t="shared" si="15"/>
        <v>3000</v>
      </c>
      <c r="J491" s="170">
        <f>IF(A491="","",SUM($H$7:H491)-SUM($I$7:I491))</f>
        <v>-89713200</v>
      </c>
      <c r="K491" s="34"/>
    </row>
    <row r="492" spans="1:11" ht="12.75" customHeight="1" x14ac:dyDescent="0.2">
      <c r="A492" s="44">
        <v>44567</v>
      </c>
      <c r="B492" s="44" t="s">
        <v>1590</v>
      </c>
      <c r="C492" s="35" t="s">
        <v>936</v>
      </c>
      <c r="D492" s="44" t="s">
        <v>2041</v>
      </c>
      <c r="E492" s="44" t="s">
        <v>1800</v>
      </c>
      <c r="F492" s="44"/>
      <c r="G492" s="130">
        <v>1800000</v>
      </c>
      <c r="H492" s="252">
        <f t="shared" si="16"/>
        <v>0</v>
      </c>
      <c r="I492" s="252">
        <f t="shared" si="15"/>
        <v>1800000</v>
      </c>
      <c r="J492" s="170">
        <f>IF(A492="","",SUM($H$7:H492)-SUM($I$7:I492))</f>
        <v>-91513200</v>
      </c>
      <c r="K492" s="34"/>
    </row>
    <row r="493" spans="1:11" ht="12.75" customHeight="1" x14ac:dyDescent="0.2">
      <c r="A493" s="44">
        <v>44571</v>
      </c>
      <c r="B493" s="44" t="s">
        <v>732</v>
      </c>
      <c r="C493" s="35" t="s">
        <v>986</v>
      </c>
      <c r="D493" s="44" t="s">
        <v>1931</v>
      </c>
      <c r="E493" s="44" t="s">
        <v>2507</v>
      </c>
      <c r="F493" s="44"/>
      <c r="G493" s="130">
        <v>20000</v>
      </c>
      <c r="H493" s="252">
        <f t="shared" si="16"/>
        <v>0</v>
      </c>
      <c r="I493" s="252">
        <f t="shared" si="15"/>
        <v>20000</v>
      </c>
      <c r="J493" s="170">
        <f>IF(A493="","",SUM($H$7:H493)-SUM($I$7:I493))</f>
        <v>-91533200</v>
      </c>
      <c r="K493" s="34"/>
    </row>
    <row r="494" spans="1:11" ht="12.75" customHeight="1" x14ac:dyDescent="0.2">
      <c r="A494" s="44">
        <v>44573</v>
      </c>
      <c r="B494" s="44" t="s">
        <v>732</v>
      </c>
      <c r="C494" s="35" t="s">
        <v>986</v>
      </c>
      <c r="D494" s="44" t="s">
        <v>2161</v>
      </c>
      <c r="E494" s="44" t="s">
        <v>2514</v>
      </c>
      <c r="F494" s="44"/>
      <c r="G494" s="130">
        <v>210000</v>
      </c>
      <c r="H494" s="252">
        <f t="shared" si="16"/>
        <v>0</v>
      </c>
      <c r="I494" s="252">
        <f t="shared" si="15"/>
        <v>210000</v>
      </c>
      <c r="J494" s="170">
        <f>IF(A494="","",SUM($H$7:H494)-SUM($I$7:I494))</f>
        <v>-91743200</v>
      </c>
      <c r="K494" s="34"/>
    </row>
    <row r="495" spans="1:11" ht="12.75" customHeight="1" x14ac:dyDescent="0.2">
      <c r="A495" s="44">
        <v>44573</v>
      </c>
      <c r="B495" s="44" t="s">
        <v>732</v>
      </c>
      <c r="C495" s="35" t="s">
        <v>986</v>
      </c>
      <c r="D495" s="44" t="s">
        <v>1561</v>
      </c>
      <c r="E495" s="44" t="s">
        <v>2507</v>
      </c>
      <c r="F495" s="44"/>
      <c r="G495" s="130">
        <v>30000</v>
      </c>
      <c r="H495" s="252">
        <f t="shared" si="16"/>
        <v>0</v>
      </c>
      <c r="I495" s="252">
        <f t="shared" si="15"/>
        <v>30000</v>
      </c>
      <c r="J495" s="170">
        <f>IF(A495="","",SUM($H$7:H495)-SUM($I$7:I495))</f>
        <v>-91773200</v>
      </c>
      <c r="K495" s="34"/>
    </row>
    <row r="496" spans="1:11" ht="12.75" customHeight="1" x14ac:dyDescent="0.2">
      <c r="A496" s="44">
        <v>44578</v>
      </c>
      <c r="B496" s="44" t="s">
        <v>732</v>
      </c>
      <c r="C496" s="35" t="s">
        <v>986</v>
      </c>
      <c r="D496" s="44" t="s">
        <v>2160</v>
      </c>
      <c r="E496" s="44" t="s">
        <v>2514</v>
      </c>
      <c r="F496" s="44"/>
      <c r="G496" s="130">
        <v>210000</v>
      </c>
      <c r="H496" s="252">
        <f t="shared" si="16"/>
        <v>0</v>
      </c>
      <c r="I496" s="252">
        <f t="shared" si="15"/>
        <v>210000</v>
      </c>
      <c r="J496" s="170">
        <f>IF(A496="","",SUM($H$7:H496)-SUM($I$7:I496))</f>
        <v>-91983200</v>
      </c>
      <c r="K496" s="34"/>
    </row>
    <row r="497" spans="1:11" ht="12.75" customHeight="1" x14ac:dyDescent="0.2">
      <c r="A497" s="44">
        <v>44582</v>
      </c>
      <c r="B497" s="44" t="s">
        <v>1590</v>
      </c>
      <c r="C497" s="35" t="s">
        <v>986</v>
      </c>
      <c r="D497" s="44" t="s">
        <v>2036</v>
      </c>
      <c r="E497" s="44" t="s">
        <v>2512</v>
      </c>
      <c r="F497" s="44"/>
      <c r="G497" s="130">
        <v>413000</v>
      </c>
      <c r="H497" s="252">
        <f t="shared" si="16"/>
        <v>0</v>
      </c>
      <c r="I497" s="252">
        <f t="shared" si="15"/>
        <v>413000</v>
      </c>
      <c r="J497" s="170">
        <f>IF(A497="","",SUM($H$7:H497)-SUM($I$7:I497))</f>
        <v>-92396200</v>
      </c>
      <c r="K497" s="34"/>
    </row>
    <row r="498" spans="1:11" ht="12.75" customHeight="1" x14ac:dyDescent="0.2">
      <c r="A498" s="44">
        <v>44585</v>
      </c>
      <c r="B498" s="44" t="s">
        <v>732</v>
      </c>
      <c r="C498" s="35" t="s">
        <v>986</v>
      </c>
      <c r="D498" s="44" t="s">
        <v>2163</v>
      </c>
      <c r="E498" s="44" t="s">
        <v>2514</v>
      </c>
      <c r="F498" s="44"/>
      <c r="G498" s="130">
        <v>180000</v>
      </c>
      <c r="H498" s="252">
        <f t="shared" si="16"/>
        <v>0</v>
      </c>
      <c r="I498" s="252">
        <f t="shared" si="15"/>
        <v>180000</v>
      </c>
      <c r="J498" s="170">
        <f>IF(A498="","",SUM($H$7:H498)-SUM($I$7:I498))</f>
        <v>-92576200</v>
      </c>
      <c r="K498" s="34"/>
    </row>
    <row r="499" spans="1:11" ht="12.75" customHeight="1" x14ac:dyDescent="0.2">
      <c r="A499" s="44">
        <v>44585</v>
      </c>
      <c r="B499" s="44" t="s">
        <v>732</v>
      </c>
      <c r="C499" s="35" t="s">
        <v>986</v>
      </c>
      <c r="D499" s="44" t="s">
        <v>2166</v>
      </c>
      <c r="E499" s="44" t="s">
        <v>2514</v>
      </c>
      <c r="F499" s="44"/>
      <c r="G499" s="130">
        <v>3000</v>
      </c>
      <c r="H499" s="252">
        <f t="shared" si="16"/>
        <v>0</v>
      </c>
      <c r="I499" s="252">
        <f t="shared" si="15"/>
        <v>3000</v>
      </c>
      <c r="J499" s="170">
        <f>IF(A499="","",SUM($H$7:H499)-SUM($I$7:I499))</f>
        <v>-92579200</v>
      </c>
      <c r="K499" s="34"/>
    </row>
    <row r="500" spans="1:11" ht="12.75" customHeight="1" x14ac:dyDescent="0.2">
      <c r="A500" s="44">
        <v>44585</v>
      </c>
      <c r="B500" s="44" t="s">
        <v>732</v>
      </c>
      <c r="C500" s="35" t="s">
        <v>986</v>
      </c>
      <c r="D500" s="44" t="s">
        <v>2011</v>
      </c>
      <c r="E500" s="44" t="s">
        <v>2511</v>
      </c>
      <c r="F500" s="44"/>
      <c r="G500" s="130">
        <v>19000</v>
      </c>
      <c r="H500" s="252">
        <f t="shared" si="16"/>
        <v>0</v>
      </c>
      <c r="I500" s="252">
        <f t="shared" si="15"/>
        <v>19000</v>
      </c>
      <c r="J500" s="170">
        <f>IF(A500="","",SUM($H$7:H500)-SUM($I$7:I500))</f>
        <v>-92598200</v>
      </c>
      <c r="K500" s="34"/>
    </row>
    <row r="501" spans="1:11" ht="12.75" customHeight="1" x14ac:dyDescent="0.2">
      <c r="A501" s="44">
        <v>44585</v>
      </c>
      <c r="B501" s="44" t="s">
        <v>732</v>
      </c>
      <c r="C501" s="35" t="s">
        <v>986</v>
      </c>
      <c r="D501" s="44" t="s">
        <v>1851</v>
      </c>
      <c r="E501" s="44" t="s">
        <v>2511</v>
      </c>
      <c r="F501" s="44"/>
      <c r="G501" s="130">
        <v>10000</v>
      </c>
      <c r="H501" s="252">
        <f t="shared" si="16"/>
        <v>0</v>
      </c>
      <c r="I501" s="252">
        <f t="shared" si="15"/>
        <v>10000</v>
      </c>
      <c r="J501" s="170">
        <f>IF(A501="","",SUM($H$7:H501)-SUM($I$7:I501))</f>
        <v>-92608200</v>
      </c>
      <c r="K501" s="34"/>
    </row>
    <row r="502" spans="1:11" ht="12.75" customHeight="1" x14ac:dyDescent="0.2">
      <c r="A502" s="44">
        <v>44585</v>
      </c>
      <c r="B502" s="44" t="s">
        <v>732</v>
      </c>
      <c r="C502" s="35" t="s">
        <v>986</v>
      </c>
      <c r="D502" s="44" t="s">
        <v>1560</v>
      </c>
      <c r="E502" s="44" t="s">
        <v>2507</v>
      </c>
      <c r="F502" s="44"/>
      <c r="G502" s="130">
        <v>50000</v>
      </c>
      <c r="H502" s="252">
        <f t="shared" si="16"/>
        <v>0</v>
      </c>
      <c r="I502" s="252">
        <f t="shared" si="15"/>
        <v>50000</v>
      </c>
      <c r="J502" s="170">
        <f>IF(A502="","",SUM($H$7:H502)-SUM($I$7:I502))</f>
        <v>-92658200</v>
      </c>
      <c r="K502" s="34"/>
    </row>
    <row r="503" spans="1:11" ht="12.75" customHeight="1" x14ac:dyDescent="0.2">
      <c r="A503" s="44">
        <v>44588</v>
      </c>
      <c r="B503" s="44" t="s">
        <v>732</v>
      </c>
      <c r="C503" s="35" t="s">
        <v>986</v>
      </c>
      <c r="D503" s="44" t="s">
        <v>2165</v>
      </c>
      <c r="E503" s="44" t="s">
        <v>2514</v>
      </c>
      <c r="F503" s="44"/>
      <c r="G503" s="130">
        <v>3000</v>
      </c>
      <c r="H503" s="252">
        <f t="shared" si="16"/>
        <v>0</v>
      </c>
      <c r="I503" s="252">
        <f t="shared" si="15"/>
        <v>3000</v>
      </c>
      <c r="J503" s="170">
        <f>IF(A503="","",SUM($H$7:H503)-SUM($I$7:I503))</f>
        <v>-92661200</v>
      </c>
      <c r="K503" s="34"/>
    </row>
    <row r="504" spans="1:11" ht="12.75" customHeight="1" x14ac:dyDescent="0.2">
      <c r="A504" s="44">
        <v>44586</v>
      </c>
      <c r="B504" s="44" t="s">
        <v>732</v>
      </c>
      <c r="C504" s="35" t="s">
        <v>986</v>
      </c>
      <c r="D504" s="44" t="s">
        <v>2040</v>
      </c>
      <c r="E504" s="44" t="s">
        <v>2512</v>
      </c>
      <c r="F504" s="44"/>
      <c r="G504" s="130">
        <v>3934500</v>
      </c>
      <c r="H504" s="252">
        <f t="shared" si="16"/>
        <v>0</v>
      </c>
      <c r="I504" s="252">
        <f t="shared" si="15"/>
        <v>3934500</v>
      </c>
      <c r="J504" s="170">
        <f>IF(A504="","",SUM($H$7:H504)-SUM($I$7:I504))</f>
        <v>-96595700</v>
      </c>
      <c r="K504" s="34"/>
    </row>
    <row r="505" spans="1:11" ht="12.75" customHeight="1" x14ac:dyDescent="0.2">
      <c r="A505" s="44">
        <v>44593</v>
      </c>
      <c r="B505" s="44" t="s">
        <v>732</v>
      </c>
      <c r="C505" s="35" t="s">
        <v>986</v>
      </c>
      <c r="D505" s="44" t="s">
        <v>2167</v>
      </c>
      <c r="E505" s="44" t="s">
        <v>2514</v>
      </c>
      <c r="F505" s="44"/>
      <c r="G505" s="130">
        <v>16000</v>
      </c>
      <c r="H505" s="252">
        <f t="shared" si="16"/>
        <v>0</v>
      </c>
      <c r="I505" s="252">
        <f t="shared" si="15"/>
        <v>16000</v>
      </c>
      <c r="J505" s="170">
        <f>IF(A505="","",SUM($H$7:H505)-SUM($I$7:I505))</f>
        <v>-96611700</v>
      </c>
      <c r="K505" s="34"/>
    </row>
    <row r="506" spans="1:11" ht="12.75" customHeight="1" x14ac:dyDescent="0.2">
      <c r="A506" s="44">
        <v>44592</v>
      </c>
      <c r="B506" s="44" t="s">
        <v>732</v>
      </c>
      <c r="C506" s="35" t="s">
        <v>986</v>
      </c>
      <c r="D506" s="44" t="s">
        <v>1562</v>
      </c>
      <c r="E506" s="44" t="s">
        <v>2514</v>
      </c>
      <c r="F506" s="44"/>
      <c r="G506" s="130">
        <v>2000</v>
      </c>
      <c r="H506" s="252">
        <f t="shared" si="16"/>
        <v>0</v>
      </c>
      <c r="I506" s="252">
        <f t="shared" si="15"/>
        <v>2000</v>
      </c>
      <c r="J506" s="170">
        <f>IF(A506="","",SUM($H$7:H506)-SUM($I$7:I506))</f>
        <v>-96613700</v>
      </c>
      <c r="K506" s="34"/>
    </row>
    <row r="507" spans="1:11" ht="12.75" customHeight="1" x14ac:dyDescent="0.2">
      <c r="A507" s="44">
        <v>44592</v>
      </c>
      <c r="B507" s="44" t="s">
        <v>732</v>
      </c>
      <c r="C507" s="35" t="s">
        <v>986</v>
      </c>
      <c r="D507" s="44" t="s">
        <v>1639</v>
      </c>
      <c r="E507" s="44" t="s">
        <v>2507</v>
      </c>
      <c r="F507" s="44"/>
      <c r="G507" s="130">
        <v>100000</v>
      </c>
      <c r="H507" s="252">
        <f t="shared" si="16"/>
        <v>0</v>
      </c>
      <c r="I507" s="252">
        <f t="shared" si="15"/>
        <v>100000</v>
      </c>
      <c r="J507" s="170">
        <f>IF(A507="","",SUM($H$7:H507)-SUM($I$7:I507))</f>
        <v>-96713700</v>
      </c>
      <c r="K507" s="34"/>
    </row>
    <row r="508" spans="1:11" ht="12.75" customHeight="1" x14ac:dyDescent="0.2">
      <c r="A508" s="44">
        <v>44592</v>
      </c>
      <c r="B508" s="44" t="s">
        <v>732</v>
      </c>
      <c r="C508" s="35" t="s">
        <v>986</v>
      </c>
      <c r="D508" s="44" t="s">
        <v>1565</v>
      </c>
      <c r="E508" s="44" t="s">
        <v>2507</v>
      </c>
      <c r="F508" s="44"/>
      <c r="G508" s="130">
        <v>40000</v>
      </c>
      <c r="H508" s="252">
        <f t="shared" si="16"/>
        <v>0</v>
      </c>
      <c r="I508" s="252">
        <f t="shared" si="15"/>
        <v>40000</v>
      </c>
      <c r="J508" s="170">
        <f>IF(A508="","",SUM($H$7:H508)-SUM($I$7:I508))</f>
        <v>-96753700</v>
      </c>
      <c r="K508" s="34"/>
    </row>
    <row r="509" spans="1:11" ht="12.75" customHeight="1" x14ac:dyDescent="0.2">
      <c r="A509" s="44">
        <v>44592</v>
      </c>
      <c r="B509" s="44" t="s">
        <v>732</v>
      </c>
      <c r="C509" s="35" t="s">
        <v>986</v>
      </c>
      <c r="D509" s="44" t="s">
        <v>902</v>
      </c>
      <c r="E509" s="44" t="s">
        <v>2507</v>
      </c>
      <c r="F509" s="44"/>
      <c r="G509" s="130">
        <v>3000</v>
      </c>
      <c r="H509" s="252">
        <f t="shared" ref="H509:H540" si="17">IF($C509="Replenishment",$G509,0)</f>
        <v>0</v>
      </c>
      <c r="I509" s="252">
        <f t="shared" si="15"/>
        <v>3000</v>
      </c>
      <c r="J509" s="170">
        <f>IF(A509="","",SUM($H$7:H509)-SUM($I$7:I509))</f>
        <v>-96756700</v>
      </c>
      <c r="K509" s="34"/>
    </row>
    <row r="510" spans="1:11" ht="12.75" customHeight="1" x14ac:dyDescent="0.2">
      <c r="A510" s="44">
        <v>44592</v>
      </c>
      <c r="B510" s="44" t="s">
        <v>732</v>
      </c>
      <c r="C510" s="35" t="s">
        <v>986</v>
      </c>
      <c r="D510" s="44" t="s">
        <v>1529</v>
      </c>
      <c r="E510" s="44" t="s">
        <v>2507</v>
      </c>
      <c r="F510" s="44"/>
      <c r="G510" s="130">
        <v>10000</v>
      </c>
      <c r="H510" s="252">
        <f t="shared" si="17"/>
        <v>0</v>
      </c>
      <c r="I510" s="252">
        <f t="shared" si="15"/>
        <v>10000</v>
      </c>
      <c r="J510" s="170">
        <f>IF(A510="","",SUM($H$7:H510)-SUM($I$7:I510))</f>
        <v>-96766700</v>
      </c>
      <c r="K510" s="34"/>
    </row>
    <row r="511" spans="1:11" ht="12.75" customHeight="1" x14ac:dyDescent="0.2">
      <c r="A511" s="44">
        <v>44592</v>
      </c>
      <c r="B511" s="44" t="s">
        <v>732</v>
      </c>
      <c r="C511" s="35" t="s">
        <v>986</v>
      </c>
      <c r="D511" s="44" t="s">
        <v>1581</v>
      </c>
      <c r="E511" s="44" t="s">
        <v>2507</v>
      </c>
      <c r="F511" s="44"/>
      <c r="G511" s="130">
        <v>20000</v>
      </c>
      <c r="H511" s="252">
        <f t="shared" si="17"/>
        <v>0</v>
      </c>
      <c r="I511" s="252">
        <f t="shared" si="15"/>
        <v>20000</v>
      </c>
      <c r="J511" s="170">
        <f>IF(A511="","",SUM($H$7:H511)-SUM($I$7:I511))</f>
        <v>-96786700</v>
      </c>
      <c r="K511" s="34"/>
    </row>
    <row r="512" spans="1:11" ht="12.75" customHeight="1" x14ac:dyDescent="0.2">
      <c r="A512" s="44">
        <v>44592</v>
      </c>
      <c r="B512" s="44" t="s">
        <v>732</v>
      </c>
      <c r="C512" s="35" t="s">
        <v>986</v>
      </c>
      <c r="D512" s="44" t="s">
        <v>1561</v>
      </c>
      <c r="E512" s="44" t="s">
        <v>2507</v>
      </c>
      <c r="F512" s="44"/>
      <c r="G512" s="130">
        <v>30000</v>
      </c>
      <c r="H512" s="252">
        <f t="shared" si="17"/>
        <v>0</v>
      </c>
      <c r="I512" s="252">
        <f t="shared" si="15"/>
        <v>30000</v>
      </c>
      <c r="J512" s="170">
        <f>IF(A512="","",SUM($H$7:H512)-SUM($I$7:I512))</f>
        <v>-96816700</v>
      </c>
      <c r="K512" s="34"/>
    </row>
    <row r="513" spans="1:11" ht="12.75" customHeight="1" x14ac:dyDescent="0.2">
      <c r="A513" s="44">
        <v>44592</v>
      </c>
      <c r="B513" s="44" t="s">
        <v>732</v>
      </c>
      <c r="C513" s="35" t="s">
        <v>986</v>
      </c>
      <c r="D513" s="44" t="s">
        <v>904</v>
      </c>
      <c r="E513" s="44" t="s">
        <v>2507</v>
      </c>
      <c r="F513" s="44"/>
      <c r="G513" s="130">
        <v>10000</v>
      </c>
      <c r="H513" s="252">
        <f t="shared" si="17"/>
        <v>0</v>
      </c>
      <c r="I513" s="252">
        <f t="shared" si="15"/>
        <v>10000</v>
      </c>
      <c r="J513" s="170">
        <f>IF(A513="","",SUM($H$7:H513)-SUM($I$7:I513))</f>
        <v>-96826700</v>
      </c>
      <c r="K513" s="34"/>
    </row>
    <row r="514" spans="1:11" ht="12.75" customHeight="1" x14ac:dyDescent="0.2">
      <c r="A514" s="44">
        <v>44592</v>
      </c>
      <c r="B514" s="44" t="s">
        <v>732</v>
      </c>
      <c r="C514" s="35" t="s">
        <v>986</v>
      </c>
      <c r="D514" s="44" t="s">
        <v>2043</v>
      </c>
      <c r="E514" s="44" t="s">
        <v>2507</v>
      </c>
      <c r="F514" s="44"/>
      <c r="G514" s="130">
        <v>3000</v>
      </c>
      <c r="H514" s="252">
        <f t="shared" si="17"/>
        <v>0</v>
      </c>
      <c r="I514" s="252">
        <f t="shared" si="15"/>
        <v>3000</v>
      </c>
      <c r="J514" s="170">
        <f>IF(A514="","",SUM($H$7:H514)-SUM($I$7:I514))</f>
        <v>-96829700</v>
      </c>
      <c r="K514" s="34"/>
    </row>
    <row r="515" spans="1:11" ht="12.75" customHeight="1" x14ac:dyDescent="0.2">
      <c r="A515" s="44">
        <v>44593</v>
      </c>
      <c r="B515" s="44" t="s">
        <v>732</v>
      </c>
      <c r="C515" s="35" t="s">
        <v>986</v>
      </c>
      <c r="D515" s="44" t="s">
        <v>2168</v>
      </c>
      <c r="E515" s="44" t="s">
        <v>2507</v>
      </c>
      <c r="F515" s="44"/>
      <c r="G515" s="130">
        <v>15000</v>
      </c>
      <c r="H515" s="252">
        <f t="shared" si="17"/>
        <v>0</v>
      </c>
      <c r="I515" s="252">
        <f t="shared" si="15"/>
        <v>15000</v>
      </c>
      <c r="J515" s="170">
        <f>IF(A515="","",SUM($H$7:H515)-SUM($I$7:I515))</f>
        <v>-96844700</v>
      </c>
      <c r="K515" s="34"/>
    </row>
    <row r="516" spans="1:11" ht="12.75" customHeight="1" x14ac:dyDescent="0.2">
      <c r="A516" s="44">
        <v>44593</v>
      </c>
      <c r="B516" s="44" t="s">
        <v>732</v>
      </c>
      <c r="C516" s="35" t="s">
        <v>986</v>
      </c>
      <c r="D516" s="44" t="s">
        <v>1569</v>
      </c>
      <c r="E516" s="44" t="s">
        <v>2514</v>
      </c>
      <c r="F516" s="44"/>
      <c r="G516" s="130">
        <v>201600</v>
      </c>
      <c r="H516" s="252">
        <f t="shared" si="17"/>
        <v>0</v>
      </c>
      <c r="I516" s="252">
        <f t="shared" si="15"/>
        <v>201600</v>
      </c>
      <c r="J516" s="170">
        <f>IF(A516="","",SUM($H$7:H516)-SUM($I$7:I516))</f>
        <v>-97046300</v>
      </c>
      <c r="K516" s="34"/>
    </row>
    <row r="517" spans="1:11" ht="12.75" customHeight="1" x14ac:dyDescent="0.2">
      <c r="A517" s="44">
        <v>44592</v>
      </c>
      <c r="B517" s="44" t="s">
        <v>732</v>
      </c>
      <c r="C517" s="35" t="s">
        <v>986</v>
      </c>
      <c r="D517" s="44" t="s">
        <v>2044</v>
      </c>
      <c r="E517" s="44" t="s">
        <v>2515</v>
      </c>
      <c r="F517" s="44"/>
      <c r="G517" s="130">
        <v>40000</v>
      </c>
      <c r="H517" s="252">
        <f t="shared" si="17"/>
        <v>0</v>
      </c>
      <c r="I517" s="252">
        <f t="shared" si="15"/>
        <v>40000</v>
      </c>
      <c r="J517" s="170">
        <f>IF(A517="","",SUM($H$7:H517)-SUM($I$7:I517))</f>
        <v>-97086300</v>
      </c>
      <c r="K517" s="34"/>
    </row>
    <row r="518" spans="1:11" ht="12.75" customHeight="1" x14ac:dyDescent="0.2">
      <c r="A518" s="44">
        <v>44592</v>
      </c>
      <c r="B518" s="44" t="s">
        <v>732</v>
      </c>
      <c r="C518" s="35" t="s">
        <v>986</v>
      </c>
      <c r="D518" s="44" t="s">
        <v>2045</v>
      </c>
      <c r="E518" s="44" t="s">
        <v>2515</v>
      </c>
      <c r="F518" s="44"/>
      <c r="G518" s="130">
        <v>26000</v>
      </c>
      <c r="H518" s="252">
        <f t="shared" si="17"/>
        <v>0</v>
      </c>
      <c r="I518" s="252">
        <f t="shared" si="15"/>
        <v>26000</v>
      </c>
      <c r="J518" s="170">
        <f>IF(A518="","",SUM($H$7:H518)-SUM($I$7:I518))</f>
        <v>-97112300</v>
      </c>
      <c r="K518" s="34"/>
    </row>
    <row r="519" spans="1:11" ht="12.75" customHeight="1" x14ac:dyDescent="0.2">
      <c r="A519" s="44">
        <v>44592</v>
      </c>
      <c r="B519" s="44" t="s">
        <v>732</v>
      </c>
      <c r="C519" s="35" t="s">
        <v>986</v>
      </c>
      <c r="D519" s="44" t="s">
        <v>2046</v>
      </c>
      <c r="E519" s="44" t="s">
        <v>2515</v>
      </c>
      <c r="F519" s="44"/>
      <c r="G519" s="130">
        <v>26000</v>
      </c>
      <c r="H519" s="252">
        <f t="shared" si="17"/>
        <v>0</v>
      </c>
      <c r="I519" s="252">
        <f t="shared" ref="I519:I582" si="18">IF($C519="Replenishment",0,$G519)</f>
        <v>26000</v>
      </c>
      <c r="J519" s="170">
        <f>IF(A519="","",SUM($H$7:H519)-SUM($I$7:I519))</f>
        <v>-97138300</v>
      </c>
      <c r="K519" s="34"/>
    </row>
    <row r="520" spans="1:11" ht="12.75" customHeight="1" x14ac:dyDescent="0.2">
      <c r="A520" s="44">
        <v>44593</v>
      </c>
      <c r="B520" s="44" t="s">
        <v>732</v>
      </c>
      <c r="C520" s="35" t="s">
        <v>986</v>
      </c>
      <c r="D520" s="44" t="s">
        <v>2456</v>
      </c>
      <c r="E520" s="44" t="s">
        <v>2510</v>
      </c>
      <c r="F520" s="44"/>
      <c r="G520" s="130">
        <v>582102</v>
      </c>
      <c r="H520" s="252">
        <f t="shared" si="17"/>
        <v>0</v>
      </c>
      <c r="I520" s="252">
        <f t="shared" si="18"/>
        <v>582102</v>
      </c>
      <c r="J520" s="170">
        <f>IF(A520="","",SUM($H$7:H520)-SUM($I$7:I520))</f>
        <v>-97720402</v>
      </c>
      <c r="K520" s="34"/>
    </row>
    <row r="521" spans="1:11" ht="12.75" customHeight="1" x14ac:dyDescent="0.2">
      <c r="A521" s="44">
        <v>44593</v>
      </c>
      <c r="B521" s="44" t="s">
        <v>732</v>
      </c>
      <c r="C521" s="35" t="s">
        <v>986</v>
      </c>
      <c r="D521" s="44" t="s">
        <v>2150</v>
      </c>
      <c r="E521" s="44" t="s">
        <v>2507</v>
      </c>
      <c r="F521" s="44"/>
      <c r="G521" s="130">
        <v>15000</v>
      </c>
      <c r="H521" s="252">
        <f t="shared" si="17"/>
        <v>0</v>
      </c>
      <c r="I521" s="252">
        <f t="shared" si="18"/>
        <v>15000</v>
      </c>
      <c r="J521" s="170">
        <f>IF(A521="","",SUM($H$7:H521)-SUM($I$7:I521))</f>
        <v>-97735402</v>
      </c>
      <c r="K521" s="34"/>
    </row>
    <row r="522" spans="1:11" ht="12.75" customHeight="1" x14ac:dyDescent="0.2">
      <c r="A522" s="44">
        <v>44593</v>
      </c>
      <c r="B522" s="44" t="s">
        <v>732</v>
      </c>
      <c r="C522" s="35" t="s">
        <v>986</v>
      </c>
      <c r="D522" s="44" t="s">
        <v>2151</v>
      </c>
      <c r="E522" s="44" t="s">
        <v>2507</v>
      </c>
      <c r="F522" s="44"/>
      <c r="G522" s="130">
        <v>10000</v>
      </c>
      <c r="H522" s="252">
        <f t="shared" si="17"/>
        <v>0</v>
      </c>
      <c r="I522" s="252">
        <f t="shared" si="18"/>
        <v>10000</v>
      </c>
      <c r="J522" s="170">
        <f>IF(A522="","",SUM($H$7:H522)-SUM($I$7:I522))</f>
        <v>-97745402</v>
      </c>
      <c r="K522" s="34"/>
    </row>
    <row r="523" spans="1:11" ht="12.75" customHeight="1" x14ac:dyDescent="0.2">
      <c r="A523" s="44">
        <v>44594</v>
      </c>
      <c r="B523" s="44" t="s">
        <v>732</v>
      </c>
      <c r="C523" s="35" t="s">
        <v>986</v>
      </c>
      <c r="D523" s="44" t="s">
        <v>2156</v>
      </c>
      <c r="E523" s="44" t="s">
        <v>2514</v>
      </c>
      <c r="F523" s="44"/>
      <c r="G523" s="130">
        <v>201600</v>
      </c>
      <c r="H523" s="252">
        <f t="shared" si="17"/>
        <v>0</v>
      </c>
      <c r="I523" s="252">
        <f t="shared" si="18"/>
        <v>201600</v>
      </c>
      <c r="J523" s="170">
        <f>IF(A523="","",SUM($H$7:H523)-SUM($I$7:I523))</f>
        <v>-97947002</v>
      </c>
      <c r="K523" s="34"/>
    </row>
    <row r="524" spans="1:11" ht="12.75" customHeight="1" x14ac:dyDescent="0.2">
      <c r="A524" s="44">
        <v>44594</v>
      </c>
      <c r="B524" s="44" t="s">
        <v>732</v>
      </c>
      <c r="C524" s="35" t="s">
        <v>986</v>
      </c>
      <c r="D524" s="44" t="s">
        <v>1560</v>
      </c>
      <c r="E524" s="44" t="s">
        <v>2511</v>
      </c>
      <c r="F524" s="44"/>
      <c r="G524" s="130">
        <v>50000</v>
      </c>
      <c r="H524" s="252">
        <f t="shared" si="17"/>
        <v>0</v>
      </c>
      <c r="I524" s="252">
        <f t="shared" si="18"/>
        <v>50000</v>
      </c>
      <c r="J524" s="170">
        <f>IF(A524="","",SUM($H$7:H524)-SUM($I$7:I524))</f>
        <v>-97997002</v>
      </c>
      <c r="K524" s="34"/>
    </row>
    <row r="525" spans="1:11" ht="12.75" customHeight="1" x14ac:dyDescent="0.2">
      <c r="A525" s="44">
        <v>44594</v>
      </c>
      <c r="B525" s="44" t="s">
        <v>732</v>
      </c>
      <c r="C525" s="35" t="s">
        <v>986</v>
      </c>
      <c r="D525" s="44" t="s">
        <v>1576</v>
      </c>
      <c r="E525" s="44" t="s">
        <v>2507</v>
      </c>
      <c r="F525" s="44"/>
      <c r="G525" s="130">
        <v>50000</v>
      </c>
      <c r="H525" s="252">
        <f t="shared" si="17"/>
        <v>0</v>
      </c>
      <c r="I525" s="252">
        <f t="shared" si="18"/>
        <v>50000</v>
      </c>
      <c r="J525" s="170">
        <f>IF(A525="","",SUM($H$7:H525)-SUM($I$7:I525))</f>
        <v>-98047002</v>
      </c>
      <c r="K525" s="34"/>
    </row>
    <row r="526" spans="1:11" ht="12.75" customHeight="1" x14ac:dyDescent="0.2">
      <c r="A526" s="44">
        <v>44594</v>
      </c>
      <c r="B526" s="44" t="s">
        <v>732</v>
      </c>
      <c r="C526" s="35" t="s">
        <v>986</v>
      </c>
      <c r="D526" s="44" t="s">
        <v>2047</v>
      </c>
      <c r="E526" s="44" t="s">
        <v>2511</v>
      </c>
      <c r="F526" s="44"/>
      <c r="G526" s="130">
        <v>15000</v>
      </c>
      <c r="H526" s="252">
        <f t="shared" si="17"/>
        <v>0</v>
      </c>
      <c r="I526" s="252">
        <f t="shared" si="18"/>
        <v>15000</v>
      </c>
      <c r="J526" s="170">
        <f>IF(A526="","",SUM($H$7:H526)-SUM($I$7:I526))</f>
        <v>-98062002</v>
      </c>
      <c r="K526" s="34"/>
    </row>
    <row r="527" spans="1:11" ht="12.75" customHeight="1" x14ac:dyDescent="0.2">
      <c r="A527" s="44">
        <v>44594</v>
      </c>
      <c r="B527" s="44" t="s">
        <v>732</v>
      </c>
      <c r="C527" s="35" t="s">
        <v>986</v>
      </c>
      <c r="D527" s="44" t="s">
        <v>2048</v>
      </c>
      <c r="E527" s="44" t="s">
        <v>2515</v>
      </c>
      <c r="F527" s="44"/>
      <c r="G527" s="130">
        <v>80000</v>
      </c>
      <c r="H527" s="252">
        <f t="shared" si="17"/>
        <v>0</v>
      </c>
      <c r="I527" s="252">
        <f t="shared" si="18"/>
        <v>80000</v>
      </c>
      <c r="J527" s="170">
        <f>IF(A527="","",SUM($H$7:H527)-SUM($I$7:I527))</f>
        <v>-98142002</v>
      </c>
      <c r="K527" s="34"/>
    </row>
    <row r="528" spans="1:11" ht="12.75" customHeight="1" x14ac:dyDescent="0.2">
      <c r="A528" s="44">
        <v>44594</v>
      </c>
      <c r="B528" s="44" t="s">
        <v>732</v>
      </c>
      <c r="C528" s="35" t="s">
        <v>986</v>
      </c>
      <c r="D528" s="44" t="s">
        <v>2049</v>
      </c>
      <c r="E528" s="44" t="s">
        <v>2507</v>
      </c>
      <c r="F528" s="44"/>
      <c r="G528" s="130">
        <v>50000</v>
      </c>
      <c r="H528" s="252">
        <f t="shared" si="17"/>
        <v>0</v>
      </c>
      <c r="I528" s="252">
        <f t="shared" si="18"/>
        <v>50000</v>
      </c>
      <c r="J528" s="170">
        <f>IF(A528="","",SUM($H$7:H528)-SUM($I$7:I528))</f>
        <v>-98192002</v>
      </c>
      <c r="K528" s="34"/>
    </row>
    <row r="529" spans="1:11" ht="12.75" customHeight="1" x14ac:dyDescent="0.2">
      <c r="A529" s="44">
        <v>44599</v>
      </c>
      <c r="B529" s="44" t="s">
        <v>732</v>
      </c>
      <c r="C529" s="35" t="s">
        <v>986</v>
      </c>
      <c r="D529" s="44" t="s">
        <v>2157</v>
      </c>
      <c r="E529" s="44" t="s">
        <v>2514</v>
      </c>
      <c r="F529" s="44"/>
      <c r="G529" s="130">
        <v>201600</v>
      </c>
      <c r="H529" s="252">
        <f t="shared" si="17"/>
        <v>0</v>
      </c>
      <c r="I529" s="252">
        <f t="shared" si="18"/>
        <v>201600</v>
      </c>
      <c r="J529" s="170">
        <f>IF(A529="","",SUM($H$7:H529)-SUM($I$7:I529))</f>
        <v>-98393602</v>
      </c>
      <c r="K529" s="34"/>
    </row>
    <row r="530" spans="1:11" ht="12.75" customHeight="1" x14ac:dyDescent="0.2">
      <c r="A530" s="44">
        <v>44599</v>
      </c>
      <c r="B530" s="44" t="s">
        <v>732</v>
      </c>
      <c r="C530" s="35" t="s">
        <v>986</v>
      </c>
      <c r="D530" s="44" t="s">
        <v>1561</v>
      </c>
      <c r="E530" s="44" t="s">
        <v>2507</v>
      </c>
      <c r="F530" s="44"/>
      <c r="G530" s="130">
        <v>30000</v>
      </c>
      <c r="H530" s="252">
        <f t="shared" si="17"/>
        <v>0</v>
      </c>
      <c r="I530" s="252">
        <f t="shared" si="18"/>
        <v>30000</v>
      </c>
      <c r="J530" s="170">
        <f>IF(A530="","",SUM($H$7:H530)-SUM($I$7:I530))</f>
        <v>-98423602</v>
      </c>
      <c r="K530" s="34"/>
    </row>
    <row r="531" spans="1:11" ht="12.75" customHeight="1" x14ac:dyDescent="0.2">
      <c r="A531" s="44">
        <v>44599</v>
      </c>
      <c r="B531" s="44" t="s">
        <v>732</v>
      </c>
      <c r="C531" s="35" t="s">
        <v>986</v>
      </c>
      <c r="D531" s="44" t="s">
        <v>2050</v>
      </c>
      <c r="E531" s="44" t="s">
        <v>2515</v>
      </c>
      <c r="F531" s="44"/>
      <c r="G531" s="130">
        <v>15000</v>
      </c>
      <c r="H531" s="252">
        <f t="shared" si="17"/>
        <v>0</v>
      </c>
      <c r="I531" s="252">
        <f t="shared" si="18"/>
        <v>15000</v>
      </c>
      <c r="J531" s="170">
        <f>IF(A531="","",SUM($H$7:H531)-SUM($I$7:I531))</f>
        <v>-98438602</v>
      </c>
      <c r="K531" s="34"/>
    </row>
    <row r="532" spans="1:11" ht="12.75" customHeight="1" x14ac:dyDescent="0.2">
      <c r="A532" s="44">
        <v>44599</v>
      </c>
      <c r="B532" s="44" t="s">
        <v>732</v>
      </c>
      <c r="C532" s="35" t="s">
        <v>986</v>
      </c>
      <c r="D532" s="44" t="s">
        <v>2051</v>
      </c>
      <c r="E532" s="44" t="s">
        <v>2515</v>
      </c>
      <c r="F532" s="44"/>
      <c r="G532" s="130">
        <v>15000</v>
      </c>
      <c r="H532" s="252">
        <f t="shared" si="17"/>
        <v>0</v>
      </c>
      <c r="I532" s="252">
        <f t="shared" si="18"/>
        <v>15000</v>
      </c>
      <c r="J532" s="170">
        <f>IF(A532="","",SUM($H$7:H532)-SUM($I$7:I532))</f>
        <v>-98453602</v>
      </c>
      <c r="K532" s="34"/>
    </row>
    <row r="533" spans="1:11" ht="12.75" customHeight="1" x14ac:dyDescent="0.2">
      <c r="A533" s="44">
        <v>44601</v>
      </c>
      <c r="B533" s="44" t="s">
        <v>732</v>
      </c>
      <c r="C533" s="35" t="s">
        <v>986</v>
      </c>
      <c r="D533" s="44" t="s">
        <v>2052</v>
      </c>
      <c r="E533" s="44" t="s">
        <v>2514</v>
      </c>
      <c r="F533" s="44"/>
      <c r="G533" s="130">
        <v>150000</v>
      </c>
      <c r="H533" s="252">
        <f t="shared" si="17"/>
        <v>0</v>
      </c>
      <c r="I533" s="252">
        <f t="shared" si="18"/>
        <v>150000</v>
      </c>
      <c r="J533" s="170">
        <f>IF(A533="","",SUM($H$7:H533)-SUM($I$7:I533))</f>
        <v>-98603602</v>
      </c>
      <c r="K533" s="34"/>
    </row>
    <row r="534" spans="1:11" ht="12.75" customHeight="1" x14ac:dyDescent="0.2">
      <c r="A534" s="44">
        <v>44601</v>
      </c>
      <c r="B534" s="44" t="s">
        <v>732</v>
      </c>
      <c r="C534" s="35" t="s">
        <v>986</v>
      </c>
      <c r="D534" s="44" t="s">
        <v>2149</v>
      </c>
      <c r="E534" s="44" t="s">
        <v>2507</v>
      </c>
      <c r="F534" s="44"/>
      <c r="G534" s="130">
        <v>20000</v>
      </c>
      <c r="H534" s="252">
        <f t="shared" si="17"/>
        <v>0</v>
      </c>
      <c r="I534" s="252">
        <f t="shared" si="18"/>
        <v>20000</v>
      </c>
      <c r="J534" s="170">
        <f>IF(A534="","",SUM($H$7:H534)-SUM($I$7:I534))</f>
        <v>-98623602</v>
      </c>
      <c r="K534" s="34"/>
    </row>
    <row r="535" spans="1:11" ht="12.75" customHeight="1" x14ac:dyDescent="0.2">
      <c r="A535" s="44">
        <v>44602</v>
      </c>
      <c r="B535" s="44" t="s">
        <v>1590</v>
      </c>
      <c r="C535" s="35" t="s">
        <v>986</v>
      </c>
      <c r="D535" s="44" t="s">
        <v>2169</v>
      </c>
      <c r="E535" s="44" t="s">
        <v>2512</v>
      </c>
      <c r="F535" s="44"/>
      <c r="G535" s="130">
        <v>413000</v>
      </c>
      <c r="H535" s="252">
        <f t="shared" si="17"/>
        <v>0</v>
      </c>
      <c r="I535" s="252">
        <f t="shared" si="18"/>
        <v>413000</v>
      </c>
      <c r="J535" s="170">
        <f>IF(A535="","",SUM($H$7:H535)-SUM($I$7:I535))</f>
        <v>-99036602</v>
      </c>
      <c r="K535" s="34"/>
    </row>
    <row r="536" spans="1:11" ht="12.75" customHeight="1" x14ac:dyDescent="0.2">
      <c r="A536" s="44">
        <v>44603</v>
      </c>
      <c r="B536" s="44" t="s">
        <v>732</v>
      </c>
      <c r="C536" s="35" t="s">
        <v>986</v>
      </c>
      <c r="D536" s="44" t="s">
        <v>2152</v>
      </c>
      <c r="E536" s="44" t="s">
        <v>2515</v>
      </c>
      <c r="F536" s="44"/>
      <c r="G536" s="130">
        <v>60000</v>
      </c>
      <c r="H536" s="252">
        <f t="shared" si="17"/>
        <v>0</v>
      </c>
      <c r="I536" s="252">
        <f t="shared" si="18"/>
        <v>60000</v>
      </c>
      <c r="J536" s="170">
        <f>IF(A536="","",SUM($H$7:H536)-SUM($I$7:I536))</f>
        <v>-99096602</v>
      </c>
      <c r="K536" s="34"/>
    </row>
    <row r="537" spans="1:11" ht="12.75" customHeight="1" x14ac:dyDescent="0.2">
      <c r="A537" s="44">
        <v>44603</v>
      </c>
      <c r="B537" s="44" t="s">
        <v>732</v>
      </c>
      <c r="C537" s="35" t="s">
        <v>986</v>
      </c>
      <c r="D537" s="44" t="s">
        <v>2153</v>
      </c>
      <c r="E537" s="44" t="s">
        <v>2515</v>
      </c>
      <c r="F537" s="44"/>
      <c r="G537" s="130">
        <v>25000</v>
      </c>
      <c r="H537" s="252">
        <f t="shared" si="17"/>
        <v>0</v>
      </c>
      <c r="I537" s="252">
        <f t="shared" si="18"/>
        <v>25000</v>
      </c>
      <c r="J537" s="170">
        <f>IF(A537="","",SUM($H$7:H537)-SUM($I$7:I537))</f>
        <v>-99121602</v>
      </c>
      <c r="K537" s="34"/>
    </row>
    <row r="538" spans="1:11" ht="12.75" customHeight="1" x14ac:dyDescent="0.2">
      <c r="A538" s="44">
        <v>44603</v>
      </c>
      <c r="B538" s="44" t="s">
        <v>732</v>
      </c>
      <c r="C538" s="35" t="s">
        <v>986</v>
      </c>
      <c r="D538" s="44" t="s">
        <v>2154</v>
      </c>
      <c r="E538" s="44" t="s">
        <v>2515</v>
      </c>
      <c r="F538" s="44"/>
      <c r="G538" s="130">
        <v>28000</v>
      </c>
      <c r="H538" s="252">
        <f t="shared" si="17"/>
        <v>0</v>
      </c>
      <c r="I538" s="252">
        <f t="shared" si="18"/>
        <v>28000</v>
      </c>
      <c r="J538" s="170">
        <f>IF(A538="","",SUM($H$7:H538)-SUM($I$7:I538))</f>
        <v>-99149602</v>
      </c>
      <c r="K538" s="34"/>
    </row>
    <row r="539" spans="1:11" ht="12.75" customHeight="1" x14ac:dyDescent="0.2">
      <c r="A539" s="44">
        <v>44603</v>
      </c>
      <c r="B539" s="44" t="s">
        <v>732</v>
      </c>
      <c r="C539" s="35" t="s">
        <v>986</v>
      </c>
      <c r="D539" s="44" t="s">
        <v>1929</v>
      </c>
      <c r="E539" s="44" t="s">
        <v>2507</v>
      </c>
      <c r="F539" s="44"/>
      <c r="G539" s="130">
        <v>20000</v>
      </c>
      <c r="H539" s="252">
        <f t="shared" si="17"/>
        <v>0</v>
      </c>
      <c r="I539" s="252">
        <f t="shared" si="18"/>
        <v>20000</v>
      </c>
      <c r="J539" s="170">
        <f>IF(A539="","",SUM($H$7:H539)-SUM($I$7:I539))</f>
        <v>-99169602</v>
      </c>
      <c r="K539" s="34"/>
    </row>
    <row r="540" spans="1:11" ht="12.75" customHeight="1" x14ac:dyDescent="0.2">
      <c r="A540" s="44">
        <v>44603</v>
      </c>
      <c r="B540" s="44" t="s">
        <v>732</v>
      </c>
      <c r="C540" s="35" t="s">
        <v>986</v>
      </c>
      <c r="D540" s="44" t="s">
        <v>2155</v>
      </c>
      <c r="E540" s="44" t="s">
        <v>1801</v>
      </c>
      <c r="F540" s="44"/>
      <c r="G540" s="130">
        <v>22000</v>
      </c>
      <c r="H540" s="252">
        <f t="shared" si="17"/>
        <v>0</v>
      </c>
      <c r="I540" s="252">
        <f t="shared" si="18"/>
        <v>22000</v>
      </c>
      <c r="J540" s="170">
        <f>IF(A540="","",SUM($H$7:H540)-SUM($I$7:I540))</f>
        <v>-99191602</v>
      </c>
      <c r="K540" s="34"/>
    </row>
    <row r="541" spans="1:11" ht="12.75" customHeight="1" x14ac:dyDescent="0.2">
      <c r="A541" s="44">
        <v>44610</v>
      </c>
      <c r="B541" s="44" t="s">
        <v>732</v>
      </c>
      <c r="C541" s="35" t="s">
        <v>986</v>
      </c>
      <c r="D541" s="44" t="s">
        <v>2158</v>
      </c>
      <c r="E541" s="44" t="s">
        <v>2514</v>
      </c>
      <c r="F541" s="44"/>
      <c r="G541" s="130">
        <v>201600</v>
      </c>
      <c r="H541" s="252">
        <f t="shared" ref="H541:H572" si="19">IF($C541="Replenishment",$G541,0)</f>
        <v>0</v>
      </c>
      <c r="I541" s="252">
        <f t="shared" si="18"/>
        <v>201600</v>
      </c>
      <c r="J541" s="170">
        <f>IF(A541="","",SUM($H$7:H541)-SUM($I$7:I541))</f>
        <v>-99393202</v>
      </c>
      <c r="K541" s="34"/>
    </row>
    <row r="542" spans="1:11" ht="12.75" customHeight="1" x14ac:dyDescent="0.2">
      <c r="A542" s="44">
        <v>44603</v>
      </c>
      <c r="B542" s="44" t="s">
        <v>732</v>
      </c>
      <c r="C542" s="35" t="s">
        <v>986</v>
      </c>
      <c r="D542" s="44" t="s">
        <v>2170</v>
      </c>
      <c r="E542" s="44" t="s">
        <v>2507</v>
      </c>
      <c r="F542" s="44"/>
      <c r="G542" s="130">
        <v>300000</v>
      </c>
      <c r="H542" s="252">
        <f t="shared" si="19"/>
        <v>0</v>
      </c>
      <c r="I542" s="252">
        <f t="shared" si="18"/>
        <v>300000</v>
      </c>
      <c r="J542" s="170">
        <f>IF(A542="","",SUM($H$7:H542)-SUM($I$7:I542))</f>
        <v>-99693202</v>
      </c>
      <c r="K542" s="34"/>
    </row>
    <row r="543" spans="1:11" ht="12.75" customHeight="1" x14ac:dyDescent="0.2">
      <c r="A543" s="44">
        <v>44610</v>
      </c>
      <c r="B543" s="44" t="s">
        <v>732</v>
      </c>
      <c r="C543" s="35" t="s">
        <v>986</v>
      </c>
      <c r="D543" s="44" t="s">
        <v>1644</v>
      </c>
      <c r="E543" s="44" t="s">
        <v>1792</v>
      </c>
      <c r="F543" s="44"/>
      <c r="G543" s="130">
        <v>2000000</v>
      </c>
      <c r="H543" s="252">
        <f t="shared" si="19"/>
        <v>0</v>
      </c>
      <c r="I543" s="252">
        <f t="shared" si="18"/>
        <v>2000000</v>
      </c>
      <c r="J543" s="170">
        <f>IF(A543="","",SUM($H$7:H543)-SUM($I$7:I543))</f>
        <v>-101693202</v>
      </c>
      <c r="K543" s="34"/>
    </row>
    <row r="544" spans="1:11" ht="12.75" customHeight="1" x14ac:dyDescent="0.2">
      <c r="A544" s="44">
        <v>44613</v>
      </c>
      <c r="B544" s="44" t="s">
        <v>732</v>
      </c>
      <c r="C544" s="35" t="s">
        <v>986</v>
      </c>
      <c r="D544" s="44" t="s">
        <v>2159</v>
      </c>
      <c r="E544" s="44" t="s">
        <v>2514</v>
      </c>
      <c r="F544" s="44"/>
      <c r="G544" s="130">
        <v>230400</v>
      </c>
      <c r="H544" s="252">
        <f t="shared" si="19"/>
        <v>0</v>
      </c>
      <c r="I544" s="252">
        <f t="shared" si="18"/>
        <v>230400</v>
      </c>
      <c r="J544" s="170">
        <f>IF(A544="","",SUM($H$7:H544)-SUM($I$7:I544))</f>
        <v>-101923602</v>
      </c>
      <c r="K544" s="34"/>
    </row>
    <row r="545" spans="1:11" ht="12.75" customHeight="1" x14ac:dyDescent="0.2">
      <c r="A545" s="44">
        <v>44613</v>
      </c>
      <c r="B545" s="44" t="s">
        <v>732</v>
      </c>
      <c r="C545" s="35" t="s">
        <v>986</v>
      </c>
      <c r="D545" s="44" t="s">
        <v>2171</v>
      </c>
      <c r="E545" s="44" t="s">
        <v>2512</v>
      </c>
      <c r="F545" s="44"/>
      <c r="G545" s="130">
        <v>3934500</v>
      </c>
      <c r="H545" s="252">
        <f t="shared" si="19"/>
        <v>0</v>
      </c>
      <c r="I545" s="252">
        <f t="shared" si="18"/>
        <v>3934500</v>
      </c>
      <c r="J545" s="170">
        <f>IF(A545="","",SUM($H$7:H545)-SUM($I$7:I545))</f>
        <v>-105858102</v>
      </c>
      <c r="K545" s="34"/>
    </row>
    <row r="546" spans="1:11" ht="12.75" customHeight="1" x14ac:dyDescent="0.2">
      <c r="A546" s="44">
        <v>44618</v>
      </c>
      <c r="B546" s="44" t="s">
        <v>732</v>
      </c>
      <c r="C546" s="35" t="s">
        <v>986</v>
      </c>
      <c r="D546" s="44" t="s">
        <v>1639</v>
      </c>
      <c r="E546" s="44" t="s">
        <v>2507</v>
      </c>
      <c r="F546" s="44"/>
      <c r="G546" s="130">
        <v>105000</v>
      </c>
      <c r="H546" s="252">
        <f t="shared" si="19"/>
        <v>0</v>
      </c>
      <c r="I546" s="252">
        <f t="shared" si="18"/>
        <v>105000</v>
      </c>
      <c r="J546" s="170">
        <f>IF(A546="","",SUM($H$7:H546)-SUM($I$7:I546))</f>
        <v>-105963102</v>
      </c>
      <c r="K546" s="34"/>
    </row>
    <row r="547" spans="1:11" ht="12.75" customHeight="1" x14ac:dyDescent="0.2">
      <c r="A547" s="44">
        <v>44622</v>
      </c>
      <c r="B547" s="44" t="s">
        <v>732</v>
      </c>
      <c r="C547" s="35" t="s">
        <v>986</v>
      </c>
      <c r="D547" s="44" t="s">
        <v>2526</v>
      </c>
      <c r="E547" s="44" t="s">
        <v>2513</v>
      </c>
      <c r="F547" s="44"/>
      <c r="G547" s="130">
        <v>1600000</v>
      </c>
      <c r="H547" s="252">
        <f t="shared" si="19"/>
        <v>0</v>
      </c>
      <c r="I547" s="252">
        <f t="shared" si="18"/>
        <v>1600000</v>
      </c>
      <c r="J547" s="170">
        <f>IF(A547="","",SUM($H$7:H547)-SUM($I$7:I547))</f>
        <v>-107563102</v>
      </c>
      <c r="K547" s="34"/>
    </row>
    <row r="548" spans="1:11" ht="12.75" customHeight="1" x14ac:dyDescent="0.2">
      <c r="A548" s="44">
        <v>44622</v>
      </c>
      <c r="B548" s="44" t="s">
        <v>732</v>
      </c>
      <c r="C548" s="35" t="s">
        <v>986</v>
      </c>
      <c r="D548" s="44" t="s">
        <v>2457</v>
      </c>
      <c r="E548" s="44" t="s">
        <v>2510</v>
      </c>
      <c r="F548" s="44"/>
      <c r="G548" s="130">
        <v>582102</v>
      </c>
      <c r="H548" s="252">
        <f t="shared" si="19"/>
        <v>0</v>
      </c>
      <c r="I548" s="252">
        <f t="shared" si="18"/>
        <v>582102</v>
      </c>
      <c r="J548" s="170">
        <f>IF(A548="","",SUM($H$7:H548)-SUM($I$7:I548))</f>
        <v>-108145204</v>
      </c>
      <c r="K548" s="34"/>
    </row>
    <row r="549" spans="1:11" ht="12.75" customHeight="1" x14ac:dyDescent="0.2">
      <c r="A549" s="44">
        <v>44622</v>
      </c>
      <c r="B549" s="44" t="s">
        <v>732</v>
      </c>
      <c r="C549" s="35" t="s">
        <v>986</v>
      </c>
      <c r="D549" s="44" t="s">
        <v>1581</v>
      </c>
      <c r="E549" s="44" t="s">
        <v>2507</v>
      </c>
      <c r="F549" s="44"/>
      <c r="G549" s="130">
        <v>20000</v>
      </c>
      <c r="H549" s="252">
        <f t="shared" si="19"/>
        <v>0</v>
      </c>
      <c r="I549" s="252">
        <f t="shared" si="18"/>
        <v>20000</v>
      </c>
      <c r="J549" s="170">
        <f>IF(A549="","",SUM($H$7:H549)-SUM($I$7:I549))</f>
        <v>-108165204</v>
      </c>
      <c r="K549" s="34"/>
    </row>
    <row r="550" spans="1:11" ht="12.75" customHeight="1" x14ac:dyDescent="0.2">
      <c r="A550" s="44">
        <v>44622</v>
      </c>
      <c r="B550" s="44" t="s">
        <v>732</v>
      </c>
      <c r="C550" s="35" t="s">
        <v>986</v>
      </c>
      <c r="D550" s="44" t="s">
        <v>1561</v>
      </c>
      <c r="E550" s="44" t="s">
        <v>2507</v>
      </c>
      <c r="F550" s="44"/>
      <c r="G550" s="130">
        <v>30000</v>
      </c>
      <c r="H550" s="252">
        <f t="shared" si="19"/>
        <v>0</v>
      </c>
      <c r="I550" s="252">
        <f t="shared" si="18"/>
        <v>30000</v>
      </c>
      <c r="J550" s="170">
        <f>IF(A550="","",SUM($H$7:H550)-SUM($I$7:I550))</f>
        <v>-108195204</v>
      </c>
      <c r="K550" s="34"/>
    </row>
    <row r="551" spans="1:11" ht="12.75" customHeight="1" x14ac:dyDescent="0.2">
      <c r="A551" s="44">
        <v>44622</v>
      </c>
      <c r="B551" s="44" t="s">
        <v>732</v>
      </c>
      <c r="C551" s="35" t="s">
        <v>986</v>
      </c>
      <c r="D551" s="44" t="s">
        <v>2174</v>
      </c>
      <c r="E551" s="44" t="s">
        <v>723</v>
      </c>
      <c r="F551" s="44"/>
      <c r="G551" s="130">
        <v>105000</v>
      </c>
      <c r="H551" s="252">
        <f t="shared" si="19"/>
        <v>0</v>
      </c>
      <c r="I551" s="252">
        <f t="shared" si="18"/>
        <v>105000</v>
      </c>
      <c r="J551" s="170">
        <f>IF(A551="","",SUM($H$7:H551)-SUM($I$7:I551))</f>
        <v>-108300204</v>
      </c>
      <c r="K551" s="34"/>
    </row>
    <row r="552" spans="1:11" ht="12.75" customHeight="1" x14ac:dyDescent="0.2">
      <c r="A552" s="44">
        <v>44622</v>
      </c>
      <c r="B552" s="44" t="s">
        <v>732</v>
      </c>
      <c r="C552" s="35" t="s">
        <v>986</v>
      </c>
      <c r="D552" s="44" t="s">
        <v>2175</v>
      </c>
      <c r="E552" s="44" t="s">
        <v>2514</v>
      </c>
      <c r="F552" s="44"/>
      <c r="G552" s="130">
        <v>172000</v>
      </c>
      <c r="H552" s="252">
        <f t="shared" si="19"/>
        <v>0</v>
      </c>
      <c r="I552" s="252">
        <f t="shared" si="18"/>
        <v>172000</v>
      </c>
      <c r="J552" s="170">
        <f>IF(A552="","",SUM($H$7:H552)-SUM($I$7:I552))</f>
        <v>-108472204</v>
      </c>
      <c r="K552" s="34"/>
    </row>
    <row r="553" spans="1:11" ht="12.75" customHeight="1" x14ac:dyDescent="0.2">
      <c r="A553" s="44">
        <v>44623</v>
      </c>
      <c r="B553" s="44" t="s">
        <v>732</v>
      </c>
      <c r="C553" s="35" t="s">
        <v>986</v>
      </c>
      <c r="D553" s="44" t="s">
        <v>2172</v>
      </c>
      <c r="E553" s="44" t="s">
        <v>2507</v>
      </c>
      <c r="F553" s="44"/>
      <c r="G553" s="130">
        <v>20000</v>
      </c>
      <c r="H553" s="252">
        <f t="shared" si="19"/>
        <v>0</v>
      </c>
      <c r="I553" s="252">
        <f t="shared" si="18"/>
        <v>20000</v>
      </c>
      <c r="J553" s="170">
        <f>IF(A553="","",SUM($H$7:H553)-SUM($I$7:I553))</f>
        <v>-108492204</v>
      </c>
      <c r="K553" s="34"/>
    </row>
    <row r="554" spans="1:11" ht="12.75" customHeight="1" x14ac:dyDescent="0.2">
      <c r="A554" s="44">
        <v>44623</v>
      </c>
      <c r="B554" s="44" t="s">
        <v>732</v>
      </c>
      <c r="C554" s="35" t="s">
        <v>986</v>
      </c>
      <c r="D554" s="44" t="s">
        <v>2164</v>
      </c>
      <c r="E554" s="44" t="s">
        <v>2514</v>
      </c>
      <c r="F554" s="44"/>
      <c r="G554" s="130">
        <v>24000</v>
      </c>
      <c r="H554" s="252">
        <f t="shared" si="19"/>
        <v>0</v>
      </c>
      <c r="I554" s="252">
        <f t="shared" si="18"/>
        <v>24000</v>
      </c>
      <c r="J554" s="170">
        <f>IF(A554="","",SUM($H$7:H554)-SUM($I$7:I554))</f>
        <v>-108516204</v>
      </c>
      <c r="K554" s="34"/>
    </row>
    <row r="555" spans="1:11" ht="12.75" customHeight="1" x14ac:dyDescent="0.2">
      <c r="A555" s="44">
        <v>44623</v>
      </c>
      <c r="B555" s="44" t="s">
        <v>732</v>
      </c>
      <c r="C555" s="35" t="s">
        <v>986</v>
      </c>
      <c r="D555" s="44" t="s">
        <v>1562</v>
      </c>
      <c r="E555" s="44" t="s">
        <v>2514</v>
      </c>
      <c r="F555" s="44"/>
      <c r="G555" s="130">
        <v>1400</v>
      </c>
      <c r="H555" s="252">
        <f t="shared" si="19"/>
        <v>0</v>
      </c>
      <c r="I555" s="252">
        <f t="shared" si="18"/>
        <v>1400</v>
      </c>
      <c r="J555" s="170">
        <f>IF(A555="","",SUM($H$7:H555)-SUM($I$7:I555))</f>
        <v>-108517604</v>
      </c>
      <c r="K555" s="34"/>
    </row>
    <row r="556" spans="1:11" ht="12.75" customHeight="1" x14ac:dyDescent="0.2">
      <c r="A556" s="44">
        <v>44623</v>
      </c>
      <c r="B556" s="44" t="s">
        <v>732</v>
      </c>
      <c r="C556" s="35" t="s">
        <v>986</v>
      </c>
      <c r="D556" s="44" t="s">
        <v>902</v>
      </c>
      <c r="E556" s="44" t="s">
        <v>2507</v>
      </c>
      <c r="F556" s="44"/>
      <c r="G556" s="130">
        <v>4000</v>
      </c>
      <c r="H556" s="252">
        <f t="shared" si="19"/>
        <v>0</v>
      </c>
      <c r="I556" s="252">
        <f t="shared" si="18"/>
        <v>4000</v>
      </c>
      <c r="J556" s="170">
        <f>IF(A556="","",SUM($H$7:H556)-SUM($I$7:I556))</f>
        <v>-108521604</v>
      </c>
      <c r="K556" s="34"/>
    </row>
    <row r="557" spans="1:11" ht="12.75" customHeight="1" x14ac:dyDescent="0.2">
      <c r="A557" s="44">
        <v>44623</v>
      </c>
      <c r="B557" s="44" t="s">
        <v>732</v>
      </c>
      <c r="C557" s="35" t="s">
        <v>986</v>
      </c>
      <c r="D557" s="44" t="s">
        <v>904</v>
      </c>
      <c r="E557" s="44" t="s">
        <v>2507</v>
      </c>
      <c r="F557" s="44"/>
      <c r="G557" s="130">
        <v>30000</v>
      </c>
      <c r="H557" s="252">
        <f t="shared" si="19"/>
        <v>0</v>
      </c>
      <c r="I557" s="252">
        <f t="shared" si="18"/>
        <v>30000</v>
      </c>
      <c r="J557" s="170">
        <f>IF(A557="","",SUM($H$7:H557)-SUM($I$7:I557))</f>
        <v>-108551604</v>
      </c>
      <c r="K557" s="34"/>
    </row>
    <row r="558" spans="1:11" ht="12.75" customHeight="1" x14ac:dyDescent="0.2">
      <c r="A558" s="44">
        <v>44623</v>
      </c>
      <c r="B558" s="44" t="s">
        <v>732</v>
      </c>
      <c r="C558" s="35" t="s">
        <v>986</v>
      </c>
      <c r="D558" s="44" t="s">
        <v>2173</v>
      </c>
      <c r="E558" s="44" t="s">
        <v>2507</v>
      </c>
      <c r="F558" s="44"/>
      <c r="G558" s="130">
        <v>50000</v>
      </c>
      <c r="H558" s="252">
        <f t="shared" si="19"/>
        <v>0</v>
      </c>
      <c r="I558" s="252">
        <f t="shared" si="18"/>
        <v>50000</v>
      </c>
      <c r="J558" s="170">
        <f>IF(A558="","",SUM($H$7:H558)-SUM($I$7:I558))</f>
        <v>-108601604</v>
      </c>
      <c r="K558" s="34"/>
    </row>
    <row r="559" spans="1:11" ht="12.75" customHeight="1" x14ac:dyDescent="0.2">
      <c r="A559" s="44">
        <v>44624</v>
      </c>
      <c r="B559" s="44" t="s">
        <v>732</v>
      </c>
      <c r="C559" s="35" t="s">
        <v>986</v>
      </c>
      <c r="D559" s="44" t="s">
        <v>1529</v>
      </c>
      <c r="E559" s="44" t="s">
        <v>2507</v>
      </c>
      <c r="F559" s="44"/>
      <c r="G559" s="130">
        <v>10000</v>
      </c>
      <c r="H559" s="252">
        <f t="shared" si="19"/>
        <v>0</v>
      </c>
      <c r="I559" s="252">
        <f t="shared" si="18"/>
        <v>10000</v>
      </c>
      <c r="J559" s="170">
        <f>IF(A559="","",SUM($H$7:H559)-SUM($I$7:I559))</f>
        <v>-108611604</v>
      </c>
      <c r="K559" s="34"/>
    </row>
    <row r="560" spans="1:11" ht="12.75" customHeight="1" x14ac:dyDescent="0.2">
      <c r="A560" s="44">
        <v>44625</v>
      </c>
      <c r="B560" s="44" t="s">
        <v>732</v>
      </c>
      <c r="C560" s="35" t="s">
        <v>986</v>
      </c>
      <c r="D560" s="44" t="s">
        <v>2226</v>
      </c>
      <c r="E560" s="44" t="s">
        <v>2515</v>
      </c>
      <c r="F560" s="44"/>
      <c r="G560" s="130">
        <v>50000</v>
      </c>
      <c r="H560" s="252">
        <f t="shared" si="19"/>
        <v>0</v>
      </c>
      <c r="I560" s="252">
        <f t="shared" si="18"/>
        <v>50000</v>
      </c>
      <c r="J560" s="170">
        <f>IF(A560="","",SUM($H$7:H560)-SUM($I$7:I560))</f>
        <v>-108661604</v>
      </c>
      <c r="K560" s="34"/>
    </row>
    <row r="561" spans="1:11" ht="12.75" customHeight="1" x14ac:dyDescent="0.2">
      <c r="A561" s="44">
        <v>44627</v>
      </c>
      <c r="B561" s="44" t="s">
        <v>732</v>
      </c>
      <c r="C561" s="35" t="s">
        <v>986</v>
      </c>
      <c r="D561" s="44" t="s">
        <v>2257</v>
      </c>
      <c r="E561" s="44" t="s">
        <v>2514</v>
      </c>
      <c r="F561" s="44"/>
      <c r="G561" s="130">
        <v>172800</v>
      </c>
      <c r="H561" s="252">
        <f t="shared" si="19"/>
        <v>0</v>
      </c>
      <c r="I561" s="252">
        <f t="shared" si="18"/>
        <v>172800</v>
      </c>
      <c r="J561" s="170">
        <f>IF(A561="","",SUM($H$7:H561)-SUM($I$7:I561))</f>
        <v>-108834404</v>
      </c>
      <c r="K561" s="34"/>
    </row>
    <row r="562" spans="1:11" ht="12.75" customHeight="1" x14ac:dyDescent="0.2">
      <c r="A562" s="44">
        <v>44629</v>
      </c>
      <c r="B562" s="44" t="s">
        <v>732</v>
      </c>
      <c r="C562" s="35" t="s">
        <v>986</v>
      </c>
      <c r="D562" s="44" t="s">
        <v>2049</v>
      </c>
      <c r="E562" s="44" t="s">
        <v>2507</v>
      </c>
      <c r="F562" s="34"/>
      <c r="G562" s="48">
        <v>50000</v>
      </c>
      <c r="H562" s="252">
        <f t="shared" si="19"/>
        <v>0</v>
      </c>
      <c r="I562" s="252">
        <f t="shared" si="18"/>
        <v>50000</v>
      </c>
      <c r="J562" s="170">
        <f>IF(A562="","",SUM($H$7:H562)-SUM($I$7:I562))</f>
        <v>-108884404</v>
      </c>
      <c r="K562" s="34"/>
    </row>
    <row r="563" spans="1:11" ht="12.75" customHeight="1" x14ac:dyDescent="0.2">
      <c r="A563" s="44">
        <v>44630</v>
      </c>
      <c r="B563" s="44" t="s">
        <v>1590</v>
      </c>
      <c r="C563" s="35" t="s">
        <v>986</v>
      </c>
      <c r="D563" s="44" t="s">
        <v>2288</v>
      </c>
      <c r="E563" s="44" t="s">
        <v>2512</v>
      </c>
      <c r="F563" s="35"/>
      <c r="G563" s="59">
        <v>413000</v>
      </c>
      <c r="H563" s="252">
        <f t="shared" si="19"/>
        <v>0</v>
      </c>
      <c r="I563" s="252">
        <f t="shared" si="18"/>
        <v>413000</v>
      </c>
      <c r="J563" s="170">
        <f>IF(A563="","",SUM($H$7:H563)-SUM($I$7:I563))</f>
        <v>-109297404</v>
      </c>
      <c r="K563" s="34"/>
    </row>
    <row r="564" spans="1:11" ht="12.75" customHeight="1" x14ac:dyDescent="0.2">
      <c r="A564" s="44">
        <v>44630</v>
      </c>
      <c r="B564" s="44" t="s">
        <v>732</v>
      </c>
      <c r="C564" s="35" t="s">
        <v>986</v>
      </c>
      <c r="D564" s="44" t="s">
        <v>2458</v>
      </c>
      <c r="E564" s="44" t="s">
        <v>2510</v>
      </c>
      <c r="F564" s="35"/>
      <c r="G564" s="59">
        <v>582102</v>
      </c>
      <c r="H564" s="252">
        <f t="shared" si="19"/>
        <v>0</v>
      </c>
      <c r="I564" s="252">
        <f t="shared" si="18"/>
        <v>582102</v>
      </c>
      <c r="J564" s="170">
        <f>IF(A564="","",SUM($H$7:H564)-SUM($I$7:I564))</f>
        <v>-109879506</v>
      </c>
      <c r="K564" s="34"/>
    </row>
    <row r="565" spans="1:11" ht="12.75" customHeight="1" x14ac:dyDescent="0.2">
      <c r="A565" s="44">
        <v>44632</v>
      </c>
      <c r="B565" s="44" t="s">
        <v>732</v>
      </c>
      <c r="C565" s="35" t="s">
        <v>986</v>
      </c>
      <c r="D565" s="44" t="s">
        <v>1563</v>
      </c>
      <c r="E565" s="44" t="s">
        <v>2507</v>
      </c>
      <c r="F565" s="44"/>
      <c r="G565" s="130">
        <v>3000</v>
      </c>
      <c r="H565" s="252">
        <f t="shared" si="19"/>
        <v>0</v>
      </c>
      <c r="I565" s="252">
        <f t="shared" si="18"/>
        <v>3000</v>
      </c>
      <c r="J565" s="170">
        <f>IF(A565="","",SUM($H$7:H565)-SUM($I$7:I565))</f>
        <v>-109882506</v>
      </c>
      <c r="K565" s="34"/>
    </row>
    <row r="566" spans="1:11" ht="12.75" customHeight="1" x14ac:dyDescent="0.2">
      <c r="A566" s="44">
        <v>44634</v>
      </c>
      <c r="B566" s="44" t="s">
        <v>732</v>
      </c>
      <c r="C566" s="35" t="s">
        <v>986</v>
      </c>
      <c r="D566" s="44" t="s">
        <v>2261</v>
      </c>
      <c r="E566" s="44" t="s">
        <v>2514</v>
      </c>
      <c r="F566" s="44"/>
      <c r="G566" s="130">
        <v>172800</v>
      </c>
      <c r="H566" s="252">
        <f t="shared" si="19"/>
        <v>0</v>
      </c>
      <c r="I566" s="252">
        <f t="shared" si="18"/>
        <v>172800</v>
      </c>
      <c r="J566" s="170">
        <f>IF(A566="","",SUM($H$7:H566)-SUM($I$7:I566))</f>
        <v>-110055306</v>
      </c>
      <c r="K566" s="34"/>
    </row>
    <row r="567" spans="1:11" x14ac:dyDescent="0.2">
      <c r="A567" s="44">
        <v>44635</v>
      </c>
      <c r="B567" s="44" t="s">
        <v>732</v>
      </c>
      <c r="C567" s="35" t="s">
        <v>986</v>
      </c>
      <c r="D567" s="44" t="s">
        <v>1561</v>
      </c>
      <c r="E567" s="44" t="s">
        <v>2507</v>
      </c>
      <c r="F567" s="44"/>
      <c r="G567" s="130">
        <v>80000</v>
      </c>
      <c r="H567" s="252">
        <f t="shared" si="19"/>
        <v>0</v>
      </c>
      <c r="I567" s="252">
        <f t="shared" si="18"/>
        <v>80000</v>
      </c>
      <c r="J567" s="170">
        <f>IF(A567="","",SUM($H$7:H567)-SUM($I$7:I567))</f>
        <v>-110135306</v>
      </c>
      <c r="K567" s="34"/>
    </row>
    <row r="568" spans="1:11" x14ac:dyDescent="0.2">
      <c r="A568" s="44">
        <v>44635</v>
      </c>
      <c r="B568" s="44" t="s">
        <v>732</v>
      </c>
      <c r="C568" s="35" t="s">
        <v>986</v>
      </c>
      <c r="D568" s="44" t="s">
        <v>2258</v>
      </c>
      <c r="E568" s="44" t="s">
        <v>2515</v>
      </c>
      <c r="F568" s="44"/>
      <c r="G568" s="130">
        <v>75000</v>
      </c>
      <c r="H568" s="252">
        <f t="shared" si="19"/>
        <v>0</v>
      </c>
      <c r="I568" s="252">
        <f t="shared" si="18"/>
        <v>75000</v>
      </c>
      <c r="J568" s="170">
        <f>IF(A568="","",SUM($H$7:H568)-SUM($I$7:I568))</f>
        <v>-110210306</v>
      </c>
      <c r="K568" s="34"/>
    </row>
    <row r="569" spans="1:11" x14ac:dyDescent="0.2">
      <c r="A569" s="44">
        <v>44635</v>
      </c>
      <c r="B569" s="44" t="s">
        <v>732</v>
      </c>
      <c r="C569" s="35" t="s">
        <v>986</v>
      </c>
      <c r="D569" s="44" t="s">
        <v>2259</v>
      </c>
      <c r="E569" s="44" t="s">
        <v>2515</v>
      </c>
      <c r="F569" s="44"/>
      <c r="G569" s="130">
        <v>15000</v>
      </c>
      <c r="H569" s="252">
        <f t="shared" si="19"/>
        <v>0</v>
      </c>
      <c r="I569" s="252">
        <f t="shared" si="18"/>
        <v>15000</v>
      </c>
      <c r="J569" s="170">
        <f>IF(A569="","",SUM($H$7:H569)-SUM($I$7:I569))</f>
        <v>-110225306</v>
      </c>
      <c r="K569" s="34"/>
    </row>
    <row r="570" spans="1:11" x14ac:dyDescent="0.2">
      <c r="A570" s="44">
        <v>44636</v>
      </c>
      <c r="B570" s="44" t="s">
        <v>732</v>
      </c>
      <c r="C570" s="35" t="s">
        <v>986</v>
      </c>
      <c r="D570" s="44" t="s">
        <v>2289</v>
      </c>
      <c r="E570" s="44" t="s">
        <v>2514</v>
      </c>
      <c r="F570" s="44"/>
      <c r="G570" s="130">
        <v>2000</v>
      </c>
      <c r="H570" s="252">
        <f t="shared" si="19"/>
        <v>0</v>
      </c>
      <c r="I570" s="252">
        <f t="shared" si="18"/>
        <v>2000</v>
      </c>
      <c r="J570" s="170">
        <f>IF(A570="","",SUM($H$7:H570)-SUM($I$7:I570))</f>
        <v>-110227306</v>
      </c>
      <c r="K570" s="34"/>
    </row>
    <row r="571" spans="1:11" x14ac:dyDescent="0.2">
      <c r="A571" s="44">
        <v>44635</v>
      </c>
      <c r="B571" s="44" t="s">
        <v>732</v>
      </c>
      <c r="C571" s="35" t="s">
        <v>986</v>
      </c>
      <c r="D571" s="44" t="s">
        <v>1644</v>
      </c>
      <c r="E571" s="44" t="s">
        <v>1792</v>
      </c>
      <c r="F571" s="44"/>
      <c r="G571" s="130">
        <v>1000000</v>
      </c>
      <c r="H571" s="252">
        <f t="shared" si="19"/>
        <v>0</v>
      </c>
      <c r="I571" s="252">
        <f t="shared" si="18"/>
        <v>1000000</v>
      </c>
      <c r="J571" s="170">
        <f>IF(A571="","",SUM($H$7:H571)-SUM($I$7:I571))</f>
        <v>-111227306</v>
      </c>
      <c r="K571" s="34"/>
    </row>
    <row r="572" spans="1:11" x14ac:dyDescent="0.2">
      <c r="A572" s="44">
        <v>44641</v>
      </c>
      <c r="B572" s="44" t="s">
        <v>732</v>
      </c>
      <c r="C572" s="35" t="s">
        <v>936</v>
      </c>
      <c r="D572" s="44" t="s">
        <v>2260</v>
      </c>
      <c r="E572" s="44" t="s">
        <v>1800</v>
      </c>
      <c r="F572" s="44"/>
      <c r="G572" s="130">
        <v>120000</v>
      </c>
      <c r="H572" s="252">
        <f t="shared" si="19"/>
        <v>0</v>
      </c>
      <c r="I572" s="252">
        <f t="shared" si="18"/>
        <v>120000</v>
      </c>
      <c r="J572" s="170">
        <f>IF(A572="","",SUM($H$7:H572)-SUM($I$7:I572))</f>
        <v>-111347306</v>
      </c>
      <c r="K572" s="34"/>
    </row>
    <row r="573" spans="1:11" x14ac:dyDescent="0.2">
      <c r="A573" s="44">
        <v>44641</v>
      </c>
      <c r="B573" s="44" t="s">
        <v>732</v>
      </c>
      <c r="C573" s="35" t="s">
        <v>986</v>
      </c>
      <c r="D573" s="44" t="s">
        <v>2262</v>
      </c>
      <c r="E573" s="44" t="s">
        <v>2514</v>
      </c>
      <c r="F573" s="44"/>
      <c r="G573" s="130">
        <v>172800</v>
      </c>
      <c r="H573" s="252">
        <f t="shared" ref="H573:H604" si="20">IF($C573="Replenishment",$G573,0)</f>
        <v>0</v>
      </c>
      <c r="I573" s="252">
        <f t="shared" si="18"/>
        <v>172800</v>
      </c>
      <c r="J573" s="170">
        <f>IF(A573="","",SUM($H$7:H573)-SUM($I$7:I573))</f>
        <v>-111520106</v>
      </c>
      <c r="K573" s="34"/>
    </row>
    <row r="574" spans="1:11" x14ac:dyDescent="0.2">
      <c r="A574" s="44">
        <v>44644</v>
      </c>
      <c r="B574" s="44" t="s">
        <v>732</v>
      </c>
      <c r="C574" s="35" t="s">
        <v>986</v>
      </c>
      <c r="D574" s="44" t="s">
        <v>1789</v>
      </c>
      <c r="E574" s="44" t="s">
        <v>2515</v>
      </c>
      <c r="F574" s="44"/>
      <c r="G574" s="130">
        <v>15000</v>
      </c>
      <c r="H574" s="252">
        <f t="shared" si="20"/>
        <v>0</v>
      </c>
      <c r="I574" s="252">
        <f t="shared" si="18"/>
        <v>15000</v>
      </c>
      <c r="J574" s="170">
        <f>IF(A574="","",SUM($H$7:H574)-SUM($I$7:I574))</f>
        <v>-111535106</v>
      </c>
      <c r="K574" s="34"/>
    </row>
    <row r="575" spans="1:11" x14ac:dyDescent="0.2">
      <c r="A575" s="44">
        <v>44644</v>
      </c>
      <c r="B575" s="44" t="s">
        <v>732</v>
      </c>
      <c r="C575" s="35" t="s">
        <v>986</v>
      </c>
      <c r="D575" s="44" t="s">
        <v>2290</v>
      </c>
      <c r="E575" s="44" t="s">
        <v>723</v>
      </c>
      <c r="F575" s="44"/>
      <c r="G575" s="130">
        <v>10000</v>
      </c>
      <c r="H575" s="252">
        <f t="shared" si="20"/>
        <v>0</v>
      </c>
      <c r="I575" s="252">
        <f t="shared" si="18"/>
        <v>10000</v>
      </c>
      <c r="J575" s="170">
        <f>IF(A575="","",SUM($H$7:H575)-SUM($I$7:I575))</f>
        <v>-111545106</v>
      </c>
      <c r="K575" s="34"/>
    </row>
    <row r="576" spans="1:11" x14ac:dyDescent="0.2">
      <c r="A576" s="44">
        <v>44645</v>
      </c>
      <c r="B576" s="44" t="s">
        <v>732</v>
      </c>
      <c r="C576" s="35" t="s">
        <v>986</v>
      </c>
      <c r="D576" s="44" t="s">
        <v>2263</v>
      </c>
      <c r="E576" s="44" t="s">
        <v>2515</v>
      </c>
      <c r="F576" s="44"/>
      <c r="G576" s="130">
        <v>5000</v>
      </c>
      <c r="H576" s="252">
        <f t="shared" si="20"/>
        <v>0</v>
      </c>
      <c r="I576" s="252">
        <f t="shared" si="18"/>
        <v>5000</v>
      </c>
      <c r="J576" s="170">
        <f>IF(A576="","",SUM($H$7:H576)-SUM($I$7:I576))</f>
        <v>-111550106</v>
      </c>
      <c r="K576" s="34"/>
    </row>
    <row r="577" spans="1:11" x14ac:dyDescent="0.2">
      <c r="A577" s="44">
        <v>44645</v>
      </c>
      <c r="B577" s="44" t="s">
        <v>732</v>
      </c>
      <c r="C577" s="35" t="s">
        <v>986</v>
      </c>
      <c r="D577" s="44" t="s">
        <v>2287</v>
      </c>
      <c r="E577" s="44" t="s">
        <v>2512</v>
      </c>
      <c r="F577" s="44"/>
      <c r="G577" s="130">
        <v>3934500</v>
      </c>
      <c r="H577" s="252">
        <f t="shared" si="20"/>
        <v>0</v>
      </c>
      <c r="I577" s="252">
        <f t="shared" si="18"/>
        <v>3934500</v>
      </c>
      <c r="J577" s="170">
        <f>IF(A577="","",SUM($H$7:H577)-SUM($I$7:I577))</f>
        <v>-115484606</v>
      </c>
      <c r="K577" s="34"/>
    </row>
    <row r="578" spans="1:11" x14ac:dyDescent="0.2">
      <c r="A578" s="44">
        <v>44646</v>
      </c>
      <c r="B578" s="44" t="s">
        <v>732</v>
      </c>
      <c r="C578" s="35" t="s">
        <v>986</v>
      </c>
      <c r="D578" s="44" t="s">
        <v>1639</v>
      </c>
      <c r="E578" s="44" t="s">
        <v>2507</v>
      </c>
      <c r="F578" s="44"/>
      <c r="G578" s="130">
        <v>100000</v>
      </c>
      <c r="H578" s="252">
        <f t="shared" si="20"/>
        <v>0</v>
      </c>
      <c r="I578" s="252">
        <f t="shared" si="18"/>
        <v>100000</v>
      </c>
      <c r="J578" s="170">
        <f>IF(A578="","",SUM($H$7:H578)-SUM($I$7:I578))</f>
        <v>-115584606</v>
      </c>
      <c r="K578" s="34"/>
    </row>
    <row r="579" spans="1:11" x14ac:dyDescent="0.2">
      <c r="A579" s="44">
        <v>44646</v>
      </c>
      <c r="B579" s="44" t="s">
        <v>732</v>
      </c>
      <c r="C579" s="35" t="s">
        <v>986</v>
      </c>
      <c r="D579" s="44" t="s">
        <v>2291</v>
      </c>
      <c r="E579" s="44" t="s">
        <v>723</v>
      </c>
      <c r="F579" s="44"/>
      <c r="G579" s="130">
        <v>40000</v>
      </c>
      <c r="H579" s="252">
        <f t="shared" si="20"/>
        <v>0</v>
      </c>
      <c r="I579" s="252">
        <f t="shared" si="18"/>
        <v>40000</v>
      </c>
      <c r="J579" s="170">
        <f>IF(A579="","",SUM($H$7:H579)-SUM($I$7:I579))</f>
        <v>-115624606</v>
      </c>
      <c r="K579" s="34"/>
    </row>
    <row r="580" spans="1:11" x14ac:dyDescent="0.2">
      <c r="A580" s="44">
        <v>44648</v>
      </c>
      <c r="B580" s="44" t="s">
        <v>732</v>
      </c>
      <c r="C580" s="35" t="s">
        <v>986</v>
      </c>
      <c r="D580" s="44" t="s">
        <v>2292</v>
      </c>
      <c r="E580" s="44" t="s">
        <v>723</v>
      </c>
      <c r="F580" s="44"/>
      <c r="G580" s="130">
        <v>2000</v>
      </c>
      <c r="H580" s="252">
        <f t="shared" si="20"/>
        <v>0</v>
      </c>
      <c r="I580" s="252">
        <f t="shared" si="18"/>
        <v>2000</v>
      </c>
      <c r="J580" s="170">
        <f>IF(A580="","",SUM($H$7:H580)-SUM($I$7:I580))</f>
        <v>-115626606</v>
      </c>
      <c r="K580" s="34"/>
    </row>
    <row r="581" spans="1:11" x14ac:dyDescent="0.2">
      <c r="A581" s="44">
        <v>44648</v>
      </c>
      <c r="B581" s="44" t="s">
        <v>732</v>
      </c>
      <c r="C581" s="35" t="s">
        <v>986</v>
      </c>
      <c r="D581" s="44" t="s">
        <v>2283</v>
      </c>
      <c r="E581" s="44" t="s">
        <v>2514</v>
      </c>
      <c r="F581" s="44"/>
      <c r="G581" s="472">
        <v>86400</v>
      </c>
      <c r="H581" s="252">
        <f t="shared" si="20"/>
        <v>0</v>
      </c>
      <c r="I581" s="252">
        <f t="shared" si="18"/>
        <v>86400</v>
      </c>
      <c r="J581" s="170">
        <f>IF(A581="","",SUM($H$7:H581)-SUM($I$7:I581))</f>
        <v>-115713006</v>
      </c>
      <c r="K581" s="34"/>
    </row>
    <row r="582" spans="1:11" x14ac:dyDescent="0.2">
      <c r="A582" s="44">
        <v>44649</v>
      </c>
      <c r="B582" s="44" t="s">
        <v>732</v>
      </c>
      <c r="C582" s="35" t="s">
        <v>986</v>
      </c>
      <c r="D582" s="44" t="s">
        <v>2284</v>
      </c>
      <c r="E582" s="44" t="s">
        <v>723</v>
      </c>
      <c r="F582" s="44"/>
      <c r="G582" s="130">
        <v>5000</v>
      </c>
      <c r="H582" s="252">
        <f t="shared" si="20"/>
        <v>0</v>
      </c>
      <c r="I582" s="252">
        <f t="shared" si="18"/>
        <v>5000</v>
      </c>
      <c r="J582" s="170">
        <f>IF(A582="","",SUM($H$7:H582)-SUM($I$7:I582))</f>
        <v>-115718006</v>
      </c>
      <c r="K582" s="34"/>
    </row>
    <row r="583" spans="1:11" x14ac:dyDescent="0.2">
      <c r="A583" s="44">
        <v>44649</v>
      </c>
      <c r="B583" s="44" t="s">
        <v>732</v>
      </c>
      <c r="C583" s="35" t="s">
        <v>986</v>
      </c>
      <c r="D583" s="44" t="s">
        <v>2286</v>
      </c>
      <c r="E583" s="44" t="s">
        <v>2507</v>
      </c>
      <c r="F583" s="44"/>
      <c r="G583" s="130">
        <v>30000</v>
      </c>
      <c r="H583" s="252">
        <f t="shared" si="20"/>
        <v>0</v>
      </c>
      <c r="I583" s="252">
        <f t="shared" ref="I583:I646" si="21">IF($C583="Replenishment",0,$G583)</f>
        <v>30000</v>
      </c>
      <c r="J583" s="170">
        <f>IF(A583="","",SUM($H$7:H583)-SUM($I$7:I583))</f>
        <v>-115748006</v>
      </c>
      <c r="K583" s="34"/>
    </row>
    <row r="584" spans="1:11" x14ac:dyDescent="0.2">
      <c r="A584" s="44">
        <v>44651</v>
      </c>
      <c r="B584" s="44" t="s">
        <v>732</v>
      </c>
      <c r="C584" s="35" t="s">
        <v>986</v>
      </c>
      <c r="D584" s="44" t="s">
        <v>2285</v>
      </c>
      <c r="E584" s="44" t="s">
        <v>2514</v>
      </c>
      <c r="F584" s="44"/>
      <c r="G584" s="130">
        <v>28800</v>
      </c>
      <c r="H584" s="252">
        <f t="shared" si="20"/>
        <v>0</v>
      </c>
      <c r="I584" s="252">
        <f t="shared" si="21"/>
        <v>28800</v>
      </c>
      <c r="J584" s="170">
        <f>IF(A584="","",SUM($H$7:H584)-SUM($I$7:I584))</f>
        <v>-115776806</v>
      </c>
      <c r="K584" s="34"/>
    </row>
    <row r="585" spans="1:11" x14ac:dyDescent="0.2">
      <c r="A585" s="44">
        <v>44651</v>
      </c>
      <c r="B585" s="44" t="s">
        <v>732</v>
      </c>
      <c r="C585" s="35" t="s">
        <v>986</v>
      </c>
      <c r="D585" s="44" t="s">
        <v>1638</v>
      </c>
      <c r="E585" s="44" t="s">
        <v>2293</v>
      </c>
      <c r="F585" s="44"/>
      <c r="G585" s="130">
        <v>60000</v>
      </c>
      <c r="H585" s="252">
        <f t="shared" si="20"/>
        <v>0</v>
      </c>
      <c r="I585" s="252">
        <f t="shared" si="21"/>
        <v>60000</v>
      </c>
      <c r="J585" s="170">
        <f>IF(A585="","",SUM($H$7:H585)-SUM($I$7:I585))</f>
        <v>-115836806</v>
      </c>
      <c r="K585" s="34"/>
    </row>
    <row r="586" spans="1:11" x14ac:dyDescent="0.2">
      <c r="A586" s="44">
        <v>44652</v>
      </c>
      <c r="B586" s="44" t="s">
        <v>732</v>
      </c>
      <c r="C586" s="35" t="s">
        <v>986</v>
      </c>
      <c r="D586" s="44" t="s">
        <v>2341</v>
      </c>
      <c r="E586" s="44" t="s">
        <v>2514</v>
      </c>
      <c r="F586" s="44"/>
      <c r="G586" s="130">
        <v>80000</v>
      </c>
      <c r="H586" s="252">
        <f t="shared" si="20"/>
        <v>0</v>
      </c>
      <c r="I586" s="252">
        <f t="shared" si="21"/>
        <v>80000</v>
      </c>
      <c r="J586" s="170">
        <f>IF(A586="","",SUM($H$7:H586)-SUM($I$7:I586))</f>
        <v>-115916806</v>
      </c>
      <c r="K586" s="34"/>
    </row>
    <row r="587" spans="1:11" x14ac:dyDescent="0.2">
      <c r="A587" s="44">
        <v>44653</v>
      </c>
      <c r="B587" s="44" t="s">
        <v>732</v>
      </c>
      <c r="C587" s="35" t="s">
        <v>986</v>
      </c>
      <c r="D587" s="44" t="s">
        <v>2338</v>
      </c>
      <c r="E587" s="44" t="s">
        <v>2515</v>
      </c>
      <c r="F587" s="44"/>
      <c r="G587" s="130">
        <v>80000</v>
      </c>
      <c r="H587" s="252">
        <f t="shared" si="20"/>
        <v>0</v>
      </c>
      <c r="I587" s="252">
        <f t="shared" si="21"/>
        <v>80000</v>
      </c>
      <c r="J587" s="170">
        <f>IF(A587="","",SUM($H$7:H587)-SUM($I$7:I587))</f>
        <v>-115996806</v>
      </c>
      <c r="K587" s="34"/>
    </row>
    <row r="588" spans="1:11" x14ac:dyDescent="0.2">
      <c r="A588" s="44">
        <v>44653</v>
      </c>
      <c r="B588" s="44" t="s">
        <v>732</v>
      </c>
      <c r="C588" s="35" t="s">
        <v>986</v>
      </c>
      <c r="D588" s="44" t="s">
        <v>2339</v>
      </c>
      <c r="E588" s="44" t="s">
        <v>1801</v>
      </c>
      <c r="F588" s="44"/>
      <c r="G588" s="130">
        <v>8000</v>
      </c>
      <c r="H588" s="252">
        <f t="shared" si="20"/>
        <v>0</v>
      </c>
      <c r="I588" s="252">
        <f t="shared" si="21"/>
        <v>8000</v>
      </c>
      <c r="J588" s="170">
        <f>IF(A588="","",SUM($H$7:H588)-SUM($I$7:I588))</f>
        <v>-116004806</v>
      </c>
      <c r="K588" s="34"/>
    </row>
    <row r="589" spans="1:11" x14ac:dyDescent="0.2">
      <c r="A589" s="44">
        <v>44653</v>
      </c>
      <c r="B589" s="44" t="s">
        <v>732</v>
      </c>
      <c r="C589" s="35" t="s">
        <v>986</v>
      </c>
      <c r="D589" s="44" t="s">
        <v>2340</v>
      </c>
      <c r="E589" s="44" t="s">
        <v>1801</v>
      </c>
      <c r="F589" s="44"/>
      <c r="G589" s="130">
        <v>18000</v>
      </c>
      <c r="H589" s="252">
        <f t="shared" si="20"/>
        <v>0</v>
      </c>
      <c r="I589" s="252">
        <f t="shared" si="21"/>
        <v>18000</v>
      </c>
      <c r="J589" s="170">
        <f>IF(A589="","",SUM($H$7:H589)-SUM($I$7:I589))</f>
        <v>-116022806</v>
      </c>
      <c r="K589" s="34"/>
    </row>
    <row r="590" spans="1:11" x14ac:dyDescent="0.2">
      <c r="A590" s="44">
        <v>44653</v>
      </c>
      <c r="B590" s="44" t="s">
        <v>732</v>
      </c>
      <c r="C590" s="35" t="s">
        <v>986</v>
      </c>
      <c r="D590" s="44" t="s">
        <v>2368</v>
      </c>
      <c r="E590" s="44" t="s">
        <v>723</v>
      </c>
      <c r="F590" s="44"/>
      <c r="G590" s="130">
        <v>175000</v>
      </c>
      <c r="H590" s="252">
        <f t="shared" si="20"/>
        <v>0</v>
      </c>
      <c r="I590" s="252">
        <f t="shared" si="21"/>
        <v>175000</v>
      </c>
      <c r="J590" s="170">
        <f>IF(A590="","",SUM($H$7:H590)-SUM($I$7:I590))</f>
        <v>-116197806</v>
      </c>
      <c r="K590" s="34"/>
    </row>
    <row r="591" spans="1:11" x14ac:dyDescent="0.2">
      <c r="A591" s="44">
        <v>44653</v>
      </c>
      <c r="B591" s="44" t="s">
        <v>732</v>
      </c>
      <c r="C591" s="35" t="s">
        <v>986</v>
      </c>
      <c r="D591" s="44" t="s">
        <v>1529</v>
      </c>
      <c r="E591" s="44" t="s">
        <v>2507</v>
      </c>
      <c r="F591" s="44"/>
      <c r="G591" s="130">
        <v>10000</v>
      </c>
      <c r="H591" s="252">
        <f t="shared" si="20"/>
        <v>0</v>
      </c>
      <c r="I591" s="252">
        <f t="shared" si="21"/>
        <v>10000</v>
      </c>
      <c r="J591" s="170">
        <f>IF(A591="","",SUM($H$7:H591)-SUM($I$7:I591))</f>
        <v>-116207806</v>
      </c>
      <c r="K591" s="34"/>
    </row>
    <row r="592" spans="1:11" x14ac:dyDescent="0.2">
      <c r="A592" s="44">
        <v>44653</v>
      </c>
      <c r="B592" s="44" t="s">
        <v>732</v>
      </c>
      <c r="C592" s="35" t="s">
        <v>986</v>
      </c>
      <c r="D592" s="44" t="s">
        <v>2286</v>
      </c>
      <c r="E592" s="44" t="s">
        <v>2507</v>
      </c>
      <c r="F592" s="44"/>
      <c r="G592" s="130">
        <v>30000</v>
      </c>
      <c r="H592" s="252">
        <f t="shared" si="20"/>
        <v>0</v>
      </c>
      <c r="I592" s="252">
        <f t="shared" si="21"/>
        <v>30000</v>
      </c>
      <c r="J592" s="170">
        <f>IF(A592="","",SUM($H$7:H592)-SUM($I$7:I592))</f>
        <v>-116237806</v>
      </c>
      <c r="K592" s="34"/>
    </row>
    <row r="593" spans="1:11" x14ac:dyDescent="0.2">
      <c r="A593" s="44">
        <v>44653</v>
      </c>
      <c r="B593" s="44" t="s">
        <v>732</v>
      </c>
      <c r="C593" s="35" t="s">
        <v>986</v>
      </c>
      <c r="D593" s="44" t="s">
        <v>2369</v>
      </c>
      <c r="E593" s="44" t="s">
        <v>2507</v>
      </c>
      <c r="F593" s="44"/>
      <c r="G593" s="130">
        <v>20000</v>
      </c>
      <c r="H593" s="252">
        <f t="shared" si="20"/>
        <v>0</v>
      </c>
      <c r="I593" s="252">
        <f t="shared" si="21"/>
        <v>20000</v>
      </c>
      <c r="J593" s="170">
        <f>IF(A593="","",SUM($H$7:H593)-SUM($I$7:I593))</f>
        <v>-116257806</v>
      </c>
      <c r="K593" s="34"/>
    </row>
    <row r="594" spans="1:11" x14ac:dyDescent="0.2">
      <c r="A594" s="44">
        <v>44653</v>
      </c>
      <c r="B594" s="44" t="s">
        <v>732</v>
      </c>
      <c r="C594" s="35" t="s">
        <v>986</v>
      </c>
      <c r="D594" s="44" t="s">
        <v>1931</v>
      </c>
      <c r="E594" s="44" t="s">
        <v>2507</v>
      </c>
      <c r="F594" s="44"/>
      <c r="G594" s="130">
        <v>20000</v>
      </c>
      <c r="H594" s="252">
        <f t="shared" si="20"/>
        <v>0</v>
      </c>
      <c r="I594" s="252">
        <f t="shared" si="21"/>
        <v>20000</v>
      </c>
      <c r="J594" s="170">
        <f>IF(A594="","",SUM($H$7:H594)-SUM($I$7:I594))</f>
        <v>-116277806</v>
      </c>
      <c r="K594" s="34"/>
    </row>
    <row r="595" spans="1:11" x14ac:dyDescent="0.2">
      <c r="A595" s="44">
        <v>44655</v>
      </c>
      <c r="B595" s="44" t="s">
        <v>732</v>
      </c>
      <c r="C595" s="35" t="s">
        <v>986</v>
      </c>
      <c r="D595" s="44" t="s">
        <v>2173</v>
      </c>
      <c r="E595" s="44" t="s">
        <v>2507</v>
      </c>
      <c r="F595" s="44"/>
      <c r="G595" s="130">
        <v>50000</v>
      </c>
      <c r="H595" s="252">
        <f t="shared" si="20"/>
        <v>0</v>
      </c>
      <c r="I595" s="252">
        <f t="shared" si="21"/>
        <v>50000</v>
      </c>
      <c r="J595" s="170">
        <f>IF(A595="","",SUM($H$7:H595)-SUM($I$7:I595))</f>
        <v>-116327806</v>
      </c>
      <c r="K595" s="34"/>
    </row>
    <row r="596" spans="1:11" x14ac:dyDescent="0.2">
      <c r="A596" s="44">
        <v>44655</v>
      </c>
      <c r="B596" s="44" t="s">
        <v>732</v>
      </c>
      <c r="C596" s="35" t="s">
        <v>986</v>
      </c>
      <c r="D596" s="44" t="s">
        <v>2343</v>
      </c>
      <c r="E596" s="44" t="s">
        <v>2293</v>
      </c>
      <c r="F596" s="44"/>
      <c r="G596" s="130">
        <v>40000</v>
      </c>
      <c r="H596" s="252">
        <f t="shared" si="20"/>
        <v>0</v>
      </c>
      <c r="I596" s="252">
        <f t="shared" si="21"/>
        <v>40000</v>
      </c>
      <c r="J596" s="170">
        <f>IF(A596="","",SUM($H$7:H596)-SUM($I$7:I596))</f>
        <v>-116367806</v>
      </c>
      <c r="K596" s="34"/>
    </row>
    <row r="597" spans="1:11" x14ac:dyDescent="0.2">
      <c r="A597" s="44">
        <v>44655</v>
      </c>
      <c r="B597" s="44" t="s">
        <v>732</v>
      </c>
      <c r="C597" s="35" t="s">
        <v>986</v>
      </c>
      <c r="D597" s="44" t="s">
        <v>2344</v>
      </c>
      <c r="E597" s="44" t="s">
        <v>2507</v>
      </c>
      <c r="F597" s="44"/>
      <c r="G597" s="130">
        <v>215000</v>
      </c>
      <c r="H597" s="252">
        <f t="shared" si="20"/>
        <v>0</v>
      </c>
      <c r="I597" s="252">
        <f t="shared" si="21"/>
        <v>215000</v>
      </c>
      <c r="J597" s="170">
        <f>IF(A597="","",SUM($H$7:H597)-SUM($I$7:I597))</f>
        <v>-116582806</v>
      </c>
      <c r="K597" s="34"/>
    </row>
    <row r="598" spans="1:11" x14ac:dyDescent="0.2">
      <c r="A598" s="44">
        <v>44655</v>
      </c>
      <c r="B598" s="44" t="s">
        <v>732</v>
      </c>
      <c r="C598" s="35" t="s">
        <v>986</v>
      </c>
      <c r="D598" s="44" t="s">
        <v>2345</v>
      </c>
      <c r="E598" s="44" t="s">
        <v>2514</v>
      </c>
      <c r="F598" s="44"/>
      <c r="G598" s="130">
        <v>24000</v>
      </c>
      <c r="H598" s="252">
        <f t="shared" si="20"/>
        <v>0</v>
      </c>
      <c r="I598" s="252">
        <f t="shared" si="21"/>
        <v>24000</v>
      </c>
      <c r="J598" s="170">
        <f>IF(A598="","",SUM($H$7:H598)-SUM($I$7:I598))</f>
        <v>-116606806</v>
      </c>
      <c r="K598" s="34"/>
    </row>
    <row r="599" spans="1:11" x14ac:dyDescent="0.2">
      <c r="A599" s="44">
        <v>44655</v>
      </c>
      <c r="B599" s="44" t="s">
        <v>732</v>
      </c>
      <c r="C599" s="35" t="s">
        <v>986</v>
      </c>
      <c r="D599" s="44" t="s">
        <v>902</v>
      </c>
      <c r="E599" s="44" t="s">
        <v>2507</v>
      </c>
      <c r="F599" s="44"/>
      <c r="G599" s="130">
        <v>4000</v>
      </c>
      <c r="H599" s="252">
        <f t="shared" si="20"/>
        <v>0</v>
      </c>
      <c r="I599" s="252">
        <f t="shared" si="21"/>
        <v>4000</v>
      </c>
      <c r="J599" s="170">
        <f>IF(A599="","",SUM($H$7:H599)-SUM($I$7:I599))</f>
        <v>-116610806</v>
      </c>
      <c r="K599" s="34"/>
    </row>
    <row r="600" spans="1:11" x14ac:dyDescent="0.2">
      <c r="A600" s="44">
        <v>44655</v>
      </c>
      <c r="B600" s="44" t="s">
        <v>732</v>
      </c>
      <c r="C600" s="35" t="s">
        <v>986</v>
      </c>
      <c r="D600" s="44" t="s">
        <v>2346</v>
      </c>
      <c r="E600" s="44" t="s">
        <v>2507</v>
      </c>
      <c r="F600" s="44"/>
      <c r="G600" s="130">
        <v>7000</v>
      </c>
      <c r="H600" s="252">
        <f t="shared" si="20"/>
        <v>0</v>
      </c>
      <c r="I600" s="252">
        <f t="shared" si="21"/>
        <v>7000</v>
      </c>
      <c r="J600" s="170">
        <f>IF(A600="","",SUM($H$7:H600)-SUM($I$7:I600))</f>
        <v>-116617806</v>
      </c>
      <c r="K600" s="34"/>
    </row>
    <row r="601" spans="1:11" x14ac:dyDescent="0.2">
      <c r="A601" s="44">
        <v>44655</v>
      </c>
      <c r="B601" s="44" t="s">
        <v>732</v>
      </c>
      <c r="C601" s="35" t="s">
        <v>986</v>
      </c>
      <c r="D601" s="44" t="s">
        <v>2347</v>
      </c>
      <c r="E601" s="44" t="s">
        <v>2507</v>
      </c>
      <c r="F601" s="44"/>
      <c r="G601" s="130">
        <v>30000</v>
      </c>
      <c r="H601" s="252">
        <f t="shared" si="20"/>
        <v>0</v>
      </c>
      <c r="I601" s="252">
        <f t="shared" si="21"/>
        <v>30000</v>
      </c>
      <c r="J601" s="170">
        <f>IF(A601="","",SUM($H$7:H601)-SUM($I$7:I601))</f>
        <v>-116647806</v>
      </c>
      <c r="K601" s="34"/>
    </row>
    <row r="602" spans="1:11" x14ac:dyDescent="0.2">
      <c r="A602" s="44">
        <v>44655</v>
      </c>
      <c r="B602" s="44" t="s">
        <v>732</v>
      </c>
      <c r="C602" s="35" t="s">
        <v>986</v>
      </c>
      <c r="D602" s="44" t="s">
        <v>1562</v>
      </c>
      <c r="E602" s="44" t="s">
        <v>2507</v>
      </c>
      <c r="F602" s="44"/>
      <c r="G602" s="130">
        <v>1400</v>
      </c>
      <c r="H602" s="252">
        <f t="shared" si="20"/>
        <v>0</v>
      </c>
      <c r="I602" s="252">
        <f t="shared" si="21"/>
        <v>1400</v>
      </c>
      <c r="J602" s="170">
        <f>IF(A602="","",SUM($H$7:H602)-SUM($I$7:I602))</f>
        <v>-116649206</v>
      </c>
      <c r="K602" s="34"/>
    </row>
    <row r="603" spans="1:11" x14ac:dyDescent="0.2">
      <c r="A603" s="44">
        <v>44655</v>
      </c>
      <c r="B603" s="44" t="s">
        <v>732</v>
      </c>
      <c r="C603" s="35" t="s">
        <v>986</v>
      </c>
      <c r="D603" s="44" t="s">
        <v>2352</v>
      </c>
      <c r="E603" s="44" t="s">
        <v>2514</v>
      </c>
      <c r="F603" s="44"/>
      <c r="G603" s="130">
        <v>240000</v>
      </c>
      <c r="H603" s="252">
        <f t="shared" si="20"/>
        <v>0</v>
      </c>
      <c r="I603" s="252">
        <f t="shared" si="21"/>
        <v>240000</v>
      </c>
      <c r="J603" s="170">
        <f>IF(A603="","",SUM($H$7:H603)-SUM($I$7:I603))</f>
        <v>-116889206</v>
      </c>
      <c r="K603" s="34"/>
    </row>
    <row r="604" spans="1:11" x14ac:dyDescent="0.2">
      <c r="A604" s="44">
        <v>44656</v>
      </c>
      <c r="B604" s="44" t="s">
        <v>732</v>
      </c>
      <c r="C604" s="35" t="s">
        <v>986</v>
      </c>
      <c r="D604" s="44" t="s">
        <v>2367</v>
      </c>
      <c r="E604" s="44" t="s">
        <v>2514</v>
      </c>
      <c r="F604" s="44"/>
      <c r="G604" s="130">
        <v>16000</v>
      </c>
      <c r="H604" s="252">
        <f t="shared" si="20"/>
        <v>0</v>
      </c>
      <c r="I604" s="252">
        <f t="shared" si="21"/>
        <v>16000</v>
      </c>
      <c r="J604" s="170">
        <f>IF(A604="","",SUM($H$7:H604)-SUM($I$7:I604))</f>
        <v>-116905206</v>
      </c>
      <c r="K604" s="34"/>
    </row>
    <row r="605" spans="1:11" x14ac:dyDescent="0.2">
      <c r="A605" s="44">
        <v>44656</v>
      </c>
      <c r="B605" s="44" t="s">
        <v>732</v>
      </c>
      <c r="C605" s="35" t="s">
        <v>986</v>
      </c>
      <c r="D605" s="44" t="s">
        <v>2459</v>
      </c>
      <c r="E605" s="44" t="s">
        <v>2510</v>
      </c>
      <c r="F605" s="44"/>
      <c r="G605" s="130">
        <v>582102</v>
      </c>
      <c r="H605" s="252">
        <f t="shared" ref="H605:H628" si="22">IF($C605="Replenishment",$G605,0)</f>
        <v>0</v>
      </c>
      <c r="I605" s="252">
        <f t="shared" si="21"/>
        <v>582102</v>
      </c>
      <c r="J605" s="170">
        <f>IF(A605="","",SUM($H$7:H605)-SUM($I$7:I605))</f>
        <v>-117487308</v>
      </c>
      <c r="K605" s="34"/>
    </row>
    <row r="606" spans="1:11" x14ac:dyDescent="0.2">
      <c r="A606" s="44">
        <v>44658</v>
      </c>
      <c r="B606" s="44" t="s">
        <v>732</v>
      </c>
      <c r="C606" s="35" t="s">
        <v>986</v>
      </c>
      <c r="D606" s="44" t="s">
        <v>2387</v>
      </c>
      <c r="E606" s="44" t="s">
        <v>2513</v>
      </c>
      <c r="F606" s="44"/>
      <c r="G606" s="130">
        <v>2400000</v>
      </c>
      <c r="H606" s="252">
        <f t="shared" si="22"/>
        <v>0</v>
      </c>
      <c r="I606" s="252">
        <f t="shared" si="21"/>
        <v>2400000</v>
      </c>
      <c r="J606" s="170">
        <f>IF(A606="","",SUM($H$7:H606)-SUM($I$7:I606))</f>
        <v>-119887308</v>
      </c>
      <c r="K606" s="34"/>
    </row>
    <row r="607" spans="1:11" x14ac:dyDescent="0.2">
      <c r="A607" s="44">
        <v>44662</v>
      </c>
      <c r="B607" s="44" t="s">
        <v>732</v>
      </c>
      <c r="C607" s="35" t="s">
        <v>986</v>
      </c>
      <c r="D607" s="44" t="s">
        <v>1644</v>
      </c>
      <c r="E607" s="44" t="s">
        <v>1792</v>
      </c>
      <c r="F607" s="44"/>
      <c r="G607" s="130">
        <v>5000000</v>
      </c>
      <c r="H607" s="252">
        <f t="shared" si="22"/>
        <v>0</v>
      </c>
      <c r="I607" s="252">
        <f t="shared" si="21"/>
        <v>5000000</v>
      </c>
      <c r="J607" s="170">
        <f>IF(A607="","",SUM($H$7:H607)-SUM($I$7:I607))</f>
        <v>-124887308</v>
      </c>
      <c r="K607" s="34"/>
    </row>
    <row r="608" spans="1:11" x14ac:dyDescent="0.2">
      <c r="A608" s="44">
        <v>44662</v>
      </c>
      <c r="B608" s="44" t="s">
        <v>732</v>
      </c>
      <c r="C608" s="35" t="s">
        <v>986</v>
      </c>
      <c r="D608" s="44" t="s">
        <v>2348</v>
      </c>
      <c r="E608" s="44" t="s">
        <v>2507</v>
      </c>
      <c r="F608" s="44"/>
      <c r="G608" s="130">
        <v>10000</v>
      </c>
      <c r="H608" s="252">
        <f t="shared" si="22"/>
        <v>0</v>
      </c>
      <c r="I608" s="252">
        <f t="shared" si="21"/>
        <v>10000</v>
      </c>
      <c r="J608" s="170">
        <f>IF(A608="","",SUM($H$7:H608)-SUM($I$7:I608))</f>
        <v>-124897308</v>
      </c>
      <c r="K608" s="34"/>
    </row>
    <row r="609" spans="1:11" x14ac:dyDescent="0.2">
      <c r="A609" s="44">
        <v>44662</v>
      </c>
      <c r="B609" s="44" t="s">
        <v>732</v>
      </c>
      <c r="C609" s="35" t="s">
        <v>986</v>
      </c>
      <c r="D609" s="44" t="s">
        <v>2374</v>
      </c>
      <c r="E609" s="44" t="s">
        <v>2515</v>
      </c>
      <c r="F609" s="44"/>
      <c r="G609" s="130">
        <v>115000</v>
      </c>
      <c r="H609" s="252">
        <f t="shared" si="22"/>
        <v>0</v>
      </c>
      <c r="I609" s="252">
        <f t="shared" si="21"/>
        <v>115000</v>
      </c>
      <c r="J609" s="170">
        <f>IF(A609="","",SUM($H$7:H609)-SUM($I$7:I609))</f>
        <v>-125012308</v>
      </c>
      <c r="K609" s="34"/>
    </row>
    <row r="610" spans="1:11" x14ac:dyDescent="0.2">
      <c r="A610" s="44">
        <v>44662</v>
      </c>
      <c r="B610" s="44" t="s">
        <v>732</v>
      </c>
      <c r="C610" s="35" t="s">
        <v>986</v>
      </c>
      <c r="D610" s="44" t="s">
        <v>2375</v>
      </c>
      <c r="E610" s="44" t="s">
        <v>2515</v>
      </c>
      <c r="F610" s="44"/>
      <c r="G610" s="130">
        <v>2000</v>
      </c>
      <c r="H610" s="252">
        <f t="shared" si="22"/>
        <v>0</v>
      </c>
      <c r="I610" s="252">
        <f t="shared" si="21"/>
        <v>2000</v>
      </c>
      <c r="J610" s="170">
        <f>IF(A610="","",SUM($H$7:H610)-SUM($I$7:I610))</f>
        <v>-125014308</v>
      </c>
      <c r="K610" s="34"/>
    </row>
    <row r="611" spans="1:11" x14ac:dyDescent="0.2">
      <c r="A611" s="44">
        <v>44662</v>
      </c>
      <c r="B611" s="44" t="s">
        <v>732</v>
      </c>
      <c r="C611" s="35" t="s">
        <v>986</v>
      </c>
      <c r="D611" s="44" t="s">
        <v>2349</v>
      </c>
      <c r="E611" s="44" t="s">
        <v>1801</v>
      </c>
      <c r="F611" s="44"/>
      <c r="G611" s="130">
        <v>8000</v>
      </c>
      <c r="H611" s="252">
        <f t="shared" si="22"/>
        <v>0</v>
      </c>
      <c r="I611" s="252">
        <f t="shared" si="21"/>
        <v>8000</v>
      </c>
      <c r="J611" s="170">
        <f>IF(A611="","",SUM($H$7:H611)-SUM($I$7:I611))</f>
        <v>-125022308</v>
      </c>
      <c r="K611" s="34"/>
    </row>
    <row r="612" spans="1:11" x14ac:dyDescent="0.2">
      <c r="A612" s="44">
        <v>44662</v>
      </c>
      <c r="B612" s="44" t="s">
        <v>732</v>
      </c>
      <c r="C612" s="35" t="s">
        <v>986</v>
      </c>
      <c r="D612" s="44" t="s">
        <v>2350</v>
      </c>
      <c r="E612" s="44" t="s">
        <v>1801</v>
      </c>
      <c r="F612" s="44"/>
      <c r="G612" s="130">
        <v>20000</v>
      </c>
      <c r="H612" s="252">
        <f t="shared" si="22"/>
        <v>0</v>
      </c>
      <c r="I612" s="252">
        <f t="shared" si="21"/>
        <v>20000</v>
      </c>
      <c r="J612" s="170">
        <f>IF(A612="","",SUM($H$7:H612)-SUM($I$7:I612))</f>
        <v>-125042308</v>
      </c>
      <c r="K612" s="34"/>
    </row>
    <row r="613" spans="1:11" x14ac:dyDescent="0.2">
      <c r="A613" s="44">
        <v>44662</v>
      </c>
      <c r="B613" s="44" t="s">
        <v>732</v>
      </c>
      <c r="C613" s="35" t="s">
        <v>986</v>
      </c>
      <c r="D613" s="44" t="s">
        <v>2351</v>
      </c>
      <c r="E613" s="44" t="s">
        <v>1801</v>
      </c>
      <c r="F613" s="44"/>
      <c r="G613" s="130">
        <v>5000</v>
      </c>
      <c r="H613" s="252">
        <f t="shared" si="22"/>
        <v>0</v>
      </c>
      <c r="I613" s="252">
        <f t="shared" si="21"/>
        <v>5000</v>
      </c>
      <c r="J613" s="170">
        <f>IF(A613="","",SUM($H$7:H613)-SUM($I$7:I613))</f>
        <v>-125047308</v>
      </c>
      <c r="K613" s="34"/>
    </row>
    <row r="614" spans="1:11" x14ac:dyDescent="0.2">
      <c r="A614" s="44">
        <v>44662</v>
      </c>
      <c r="B614" s="44" t="s">
        <v>732</v>
      </c>
      <c r="C614" s="35" t="s">
        <v>986</v>
      </c>
      <c r="D614" s="44" t="s">
        <v>2362</v>
      </c>
      <c r="E614" s="44" t="s">
        <v>2514</v>
      </c>
      <c r="F614" s="44"/>
      <c r="G614" s="130">
        <v>20000</v>
      </c>
      <c r="H614" s="252">
        <f t="shared" si="22"/>
        <v>0</v>
      </c>
      <c r="I614" s="252">
        <f t="shared" si="21"/>
        <v>20000</v>
      </c>
      <c r="J614" s="170">
        <f>IF(A614="","",SUM($H$7:H614)-SUM($I$7:I614))</f>
        <v>-125067308</v>
      </c>
      <c r="K614" s="34"/>
    </row>
    <row r="615" spans="1:11" x14ac:dyDescent="0.2">
      <c r="A615" s="44">
        <v>44662</v>
      </c>
      <c r="B615" s="44" t="s">
        <v>732</v>
      </c>
      <c r="C615" s="35" t="s">
        <v>986</v>
      </c>
      <c r="D615" s="44" t="s">
        <v>2353</v>
      </c>
      <c r="E615" s="44" t="s">
        <v>2514</v>
      </c>
      <c r="F615" s="44"/>
      <c r="G615" s="130">
        <v>160000</v>
      </c>
      <c r="H615" s="252">
        <f t="shared" si="22"/>
        <v>0</v>
      </c>
      <c r="I615" s="252">
        <f t="shared" si="21"/>
        <v>160000</v>
      </c>
      <c r="J615" s="170">
        <f>IF(A615="","",SUM($H$7:H615)-SUM($I$7:I615))</f>
        <v>-125227308</v>
      </c>
      <c r="K615" s="34"/>
    </row>
    <row r="616" spans="1:11" x14ac:dyDescent="0.2">
      <c r="A616" s="44">
        <v>44662</v>
      </c>
      <c r="B616" s="44" t="s">
        <v>732</v>
      </c>
      <c r="C616" s="35" t="s">
        <v>986</v>
      </c>
      <c r="D616" s="44" t="s">
        <v>2286</v>
      </c>
      <c r="E616" s="44" t="s">
        <v>2507</v>
      </c>
      <c r="F616" s="44"/>
      <c r="G616" s="130">
        <v>30000</v>
      </c>
      <c r="H616" s="252">
        <f t="shared" si="22"/>
        <v>0</v>
      </c>
      <c r="I616" s="252">
        <f t="shared" si="21"/>
        <v>30000</v>
      </c>
      <c r="J616" s="170">
        <f>IF(A616="","",SUM($H$7:H616)-SUM($I$7:I616))</f>
        <v>-125257308</v>
      </c>
      <c r="K616" s="34"/>
    </row>
    <row r="617" spans="1:11" x14ac:dyDescent="0.2">
      <c r="A617" s="44">
        <v>44664</v>
      </c>
      <c r="B617" s="44" t="s">
        <v>732</v>
      </c>
      <c r="C617" s="35" t="s">
        <v>936</v>
      </c>
      <c r="D617" s="44" t="s">
        <v>2373</v>
      </c>
      <c r="E617" s="44" t="s">
        <v>2508</v>
      </c>
      <c r="F617" s="44"/>
      <c r="G617" s="130">
        <v>4800000</v>
      </c>
      <c r="H617" s="252">
        <f t="shared" si="22"/>
        <v>0</v>
      </c>
      <c r="I617" s="252">
        <f t="shared" si="21"/>
        <v>4800000</v>
      </c>
      <c r="J617" s="170">
        <f>IF(A617="","",SUM($H$7:H617)-SUM($I$7:I617))</f>
        <v>-130057308</v>
      </c>
      <c r="K617" s="34"/>
    </row>
    <row r="618" spans="1:11" x14ac:dyDescent="0.2">
      <c r="A618" s="44">
        <v>44664</v>
      </c>
      <c r="B618" s="44" t="s">
        <v>732</v>
      </c>
      <c r="C618" s="35" t="s">
        <v>986</v>
      </c>
      <c r="D618" s="44" t="s">
        <v>2045</v>
      </c>
      <c r="E618" s="44" t="s">
        <v>2515</v>
      </c>
      <c r="F618" s="44"/>
      <c r="G618" s="130">
        <v>30000</v>
      </c>
      <c r="H618" s="252">
        <f t="shared" si="22"/>
        <v>0</v>
      </c>
      <c r="I618" s="252">
        <f t="shared" si="21"/>
        <v>30000</v>
      </c>
      <c r="J618" s="170">
        <f>IF(A618="","",SUM($H$7:H618)-SUM($I$7:I618))</f>
        <v>-130087308</v>
      </c>
      <c r="K618" s="34"/>
    </row>
    <row r="619" spans="1:11" x14ac:dyDescent="0.2">
      <c r="A619" s="44">
        <v>44665</v>
      </c>
      <c r="B619" s="44" t="s">
        <v>732</v>
      </c>
      <c r="C619" s="35" t="s">
        <v>986</v>
      </c>
      <c r="D619" s="44" t="s">
        <v>2342</v>
      </c>
      <c r="E619" s="44" t="s">
        <v>2511</v>
      </c>
      <c r="F619" s="44"/>
      <c r="G619" s="130">
        <v>50000</v>
      </c>
      <c r="H619" s="252">
        <f t="shared" si="22"/>
        <v>0</v>
      </c>
      <c r="I619" s="252">
        <f t="shared" si="21"/>
        <v>50000</v>
      </c>
      <c r="J619" s="170">
        <f>IF(A619="","",SUM($H$7:H619)-SUM($I$7:I619))</f>
        <v>-130137308</v>
      </c>
      <c r="K619" s="34"/>
    </row>
    <row r="620" spans="1:11" x14ac:dyDescent="0.2">
      <c r="A620" s="44">
        <v>44665</v>
      </c>
      <c r="B620" s="44" t="s">
        <v>732</v>
      </c>
      <c r="C620" s="35" t="s">
        <v>986</v>
      </c>
      <c r="D620" s="44" t="s">
        <v>1637</v>
      </c>
      <c r="E620" s="44" t="s">
        <v>1801</v>
      </c>
      <c r="F620" s="44"/>
      <c r="G620" s="130">
        <v>13000</v>
      </c>
      <c r="H620" s="252">
        <f t="shared" si="22"/>
        <v>0</v>
      </c>
      <c r="I620" s="252">
        <f t="shared" si="21"/>
        <v>13000</v>
      </c>
      <c r="J620" s="170">
        <f>IF(A620="","",SUM($H$7:H620)-SUM($I$7:I620))</f>
        <v>-130150308</v>
      </c>
      <c r="K620" s="34"/>
    </row>
    <row r="621" spans="1:11" x14ac:dyDescent="0.2">
      <c r="A621" s="44">
        <v>44665</v>
      </c>
      <c r="B621" s="44" t="s">
        <v>732</v>
      </c>
      <c r="C621" s="35" t="s">
        <v>986</v>
      </c>
      <c r="D621" s="44" t="s">
        <v>2440</v>
      </c>
      <c r="E621" s="44" t="s">
        <v>723</v>
      </c>
      <c r="F621" s="44"/>
      <c r="G621" s="130">
        <v>10000</v>
      </c>
      <c r="H621" s="252">
        <f t="shared" si="22"/>
        <v>0</v>
      </c>
      <c r="I621" s="252">
        <f t="shared" si="21"/>
        <v>10000</v>
      </c>
      <c r="J621" s="170">
        <f>IF(A621="","",SUM($H$7:H621)-SUM($I$7:I621))</f>
        <v>-130160308</v>
      </c>
      <c r="K621" s="34" t="s">
        <v>2443</v>
      </c>
    </row>
    <row r="622" spans="1:11" x14ac:dyDescent="0.2">
      <c r="A622" s="44">
        <v>44665</v>
      </c>
      <c r="B622" s="44" t="s">
        <v>732</v>
      </c>
      <c r="C622" s="35" t="s">
        <v>986</v>
      </c>
      <c r="D622" s="44" t="s">
        <v>2441</v>
      </c>
      <c r="E622" s="44" t="s">
        <v>723</v>
      </c>
      <c r="F622" s="44"/>
      <c r="G622" s="130">
        <v>10000</v>
      </c>
      <c r="H622" s="252">
        <f t="shared" si="22"/>
        <v>0</v>
      </c>
      <c r="I622" s="252">
        <f t="shared" si="21"/>
        <v>10000</v>
      </c>
      <c r="J622" s="170">
        <f>IF(A622="","",SUM($H$7:H622)-SUM($I$7:I622))</f>
        <v>-130170308</v>
      </c>
      <c r="K622" s="34" t="s">
        <v>2443</v>
      </c>
    </row>
    <row r="623" spans="1:11" x14ac:dyDescent="0.2">
      <c r="A623" s="44">
        <v>44665</v>
      </c>
      <c r="B623" s="44" t="s">
        <v>732</v>
      </c>
      <c r="C623" s="35" t="s">
        <v>986</v>
      </c>
      <c r="D623" s="44" t="s">
        <v>2442</v>
      </c>
      <c r="E623" s="44" t="s">
        <v>2514</v>
      </c>
      <c r="F623" s="44"/>
      <c r="G623" s="130">
        <v>40000</v>
      </c>
      <c r="H623" s="252">
        <f t="shared" si="22"/>
        <v>0</v>
      </c>
      <c r="I623" s="252">
        <f t="shared" si="21"/>
        <v>40000</v>
      </c>
      <c r="J623" s="170">
        <f>IF(A623="","",SUM($H$7:H623)-SUM($I$7:I623))</f>
        <v>-130210308</v>
      </c>
      <c r="K623" s="34" t="s">
        <v>2443</v>
      </c>
    </row>
    <row r="624" spans="1:11" x14ac:dyDescent="0.2">
      <c r="A624" s="44">
        <v>44665</v>
      </c>
      <c r="B624" s="44" t="s">
        <v>732</v>
      </c>
      <c r="C624" s="35" t="s">
        <v>986</v>
      </c>
      <c r="D624" s="44" t="s">
        <v>2444</v>
      </c>
      <c r="E624" s="44" t="s">
        <v>2507</v>
      </c>
      <c r="F624" s="44"/>
      <c r="G624" s="130">
        <v>20000</v>
      </c>
      <c r="H624" s="252">
        <f t="shared" si="22"/>
        <v>0</v>
      </c>
      <c r="I624" s="252">
        <f t="shared" si="21"/>
        <v>20000</v>
      </c>
      <c r="J624" s="170">
        <f>IF(A624="","",SUM($H$7:H624)-SUM($I$7:I624))</f>
        <v>-130230308</v>
      </c>
      <c r="K624" s="34" t="s">
        <v>2443</v>
      </c>
    </row>
    <row r="625" spans="1:11" x14ac:dyDescent="0.2">
      <c r="A625" s="44">
        <v>44665</v>
      </c>
      <c r="B625" s="44" t="s">
        <v>732</v>
      </c>
      <c r="C625" s="35" t="s">
        <v>986</v>
      </c>
      <c r="D625" s="44" t="s">
        <v>2445</v>
      </c>
      <c r="E625" s="44" t="s">
        <v>2507</v>
      </c>
      <c r="F625" s="44"/>
      <c r="G625" s="130">
        <v>40000</v>
      </c>
      <c r="H625" s="252">
        <f t="shared" si="22"/>
        <v>0</v>
      </c>
      <c r="I625" s="252">
        <f t="shared" si="21"/>
        <v>40000</v>
      </c>
      <c r="J625" s="170">
        <f>IF(A625="","",SUM($H$7:H625)-SUM($I$7:I625))</f>
        <v>-130270308</v>
      </c>
      <c r="K625" s="34" t="s">
        <v>2443</v>
      </c>
    </row>
    <row r="626" spans="1:11" x14ac:dyDescent="0.2">
      <c r="A626" s="44">
        <v>44665</v>
      </c>
      <c r="B626" s="44" t="s">
        <v>732</v>
      </c>
      <c r="C626" s="35" t="s">
        <v>986</v>
      </c>
      <c r="D626" s="44" t="s">
        <v>2446</v>
      </c>
      <c r="E626" s="44" t="s">
        <v>2507</v>
      </c>
      <c r="F626" s="44"/>
      <c r="G626" s="130">
        <v>50000</v>
      </c>
      <c r="H626" s="252">
        <f t="shared" si="22"/>
        <v>0</v>
      </c>
      <c r="I626" s="252">
        <f t="shared" si="21"/>
        <v>50000</v>
      </c>
      <c r="J626" s="170">
        <f>IF(A626="","",SUM($H$7:H626)-SUM($I$7:I626))</f>
        <v>-130320308</v>
      </c>
      <c r="K626" s="34" t="s">
        <v>2443</v>
      </c>
    </row>
    <row r="627" spans="1:11" x14ac:dyDescent="0.2">
      <c r="A627" s="44">
        <v>44665</v>
      </c>
      <c r="B627" s="44" t="s">
        <v>732</v>
      </c>
      <c r="C627" s="35" t="s">
        <v>986</v>
      </c>
      <c r="D627" s="44" t="s">
        <v>2447</v>
      </c>
      <c r="E627" s="44" t="s">
        <v>2507</v>
      </c>
      <c r="F627" s="44"/>
      <c r="G627" s="130">
        <v>16000</v>
      </c>
      <c r="H627" s="252">
        <f t="shared" si="22"/>
        <v>0</v>
      </c>
      <c r="I627" s="252">
        <f t="shared" si="21"/>
        <v>16000</v>
      </c>
      <c r="J627" s="170">
        <f>IF(A627="","",SUM($H$7:H627)-SUM($I$7:I627))</f>
        <v>-130336308</v>
      </c>
      <c r="K627" s="34" t="s">
        <v>2443</v>
      </c>
    </row>
    <row r="628" spans="1:11" x14ac:dyDescent="0.2">
      <c r="A628" s="44">
        <v>44665</v>
      </c>
      <c r="B628" s="44" t="s">
        <v>732</v>
      </c>
      <c r="C628" s="35" t="s">
        <v>986</v>
      </c>
      <c r="D628" s="44" t="s">
        <v>2448</v>
      </c>
      <c r="E628" s="44" t="s">
        <v>2507</v>
      </c>
      <c r="F628" s="44"/>
      <c r="G628" s="130">
        <v>8000</v>
      </c>
      <c r="H628" s="252">
        <f t="shared" si="22"/>
        <v>0</v>
      </c>
      <c r="I628" s="252">
        <f t="shared" si="21"/>
        <v>8000</v>
      </c>
      <c r="J628" s="170">
        <f>IF(A628="","",SUM($H$7:H628)-SUM($I$7:I628))</f>
        <v>-130344308</v>
      </c>
      <c r="K628" s="34" t="s">
        <v>2443</v>
      </c>
    </row>
    <row r="629" spans="1:11" x14ac:dyDescent="0.2">
      <c r="A629" s="44">
        <v>44665</v>
      </c>
      <c r="B629" s="44" t="s">
        <v>732</v>
      </c>
      <c r="C629" s="35" t="s">
        <v>986</v>
      </c>
      <c r="D629" s="44" t="s">
        <v>2449</v>
      </c>
      <c r="E629" s="44" t="s">
        <v>2507</v>
      </c>
      <c r="F629" s="44"/>
      <c r="G629" s="130">
        <v>6000</v>
      </c>
      <c r="H629" s="252"/>
      <c r="I629" s="252">
        <f t="shared" si="21"/>
        <v>6000</v>
      </c>
      <c r="J629" s="170">
        <f>IF(A629="","",SUM($H$7:H629)-SUM($I$7:I629))</f>
        <v>-130350308</v>
      </c>
      <c r="K629" s="34" t="s">
        <v>2443</v>
      </c>
    </row>
    <row r="630" spans="1:11" x14ac:dyDescent="0.2">
      <c r="A630" s="44">
        <v>44666</v>
      </c>
      <c r="B630" s="44" t="s">
        <v>732</v>
      </c>
      <c r="C630" s="35" t="s">
        <v>986</v>
      </c>
      <c r="D630" s="44" t="s">
        <v>2366</v>
      </c>
      <c r="E630" s="44" t="s">
        <v>2514</v>
      </c>
      <c r="F630" s="44"/>
      <c r="G630" s="130">
        <v>15000</v>
      </c>
      <c r="H630" s="252">
        <f t="shared" ref="H630:H693" si="23">IF($C630="Replenishment",$G630,0)</f>
        <v>0</v>
      </c>
      <c r="I630" s="252">
        <f t="shared" si="21"/>
        <v>15000</v>
      </c>
      <c r="J630" s="170">
        <f>IF(A630="","",SUM($H$7:H630)-SUM($I$7:I630))</f>
        <v>-130365308</v>
      </c>
      <c r="K630" s="34"/>
    </row>
    <row r="631" spans="1:11" x14ac:dyDescent="0.2">
      <c r="A631" s="44">
        <v>44666</v>
      </c>
      <c r="B631" s="44" t="s">
        <v>732</v>
      </c>
      <c r="C631" s="35" t="s">
        <v>986</v>
      </c>
      <c r="D631" s="44" t="s">
        <v>1644</v>
      </c>
      <c r="E631" s="44" t="s">
        <v>1792</v>
      </c>
      <c r="F631" s="44"/>
      <c r="G631" s="130">
        <v>1000000</v>
      </c>
      <c r="H631" s="252">
        <f t="shared" si="23"/>
        <v>0</v>
      </c>
      <c r="I631" s="252">
        <f t="shared" si="21"/>
        <v>1000000</v>
      </c>
      <c r="J631" s="170">
        <f>IF(A631="","",SUM($H$7:H631)-SUM($I$7:I631))</f>
        <v>-131365308</v>
      </c>
      <c r="K631" s="34"/>
    </row>
    <row r="632" spans="1:11" x14ac:dyDescent="0.2">
      <c r="A632" s="44">
        <v>44666</v>
      </c>
      <c r="B632" s="44" t="s">
        <v>732</v>
      </c>
      <c r="C632" s="35" t="s">
        <v>986</v>
      </c>
      <c r="D632" s="44" t="s">
        <v>2460</v>
      </c>
      <c r="E632" s="44" t="s">
        <v>2510</v>
      </c>
      <c r="F632" s="44"/>
      <c r="G632" s="130">
        <v>582102</v>
      </c>
      <c r="H632" s="252">
        <f t="shared" si="23"/>
        <v>0</v>
      </c>
      <c r="I632" s="252">
        <f t="shared" si="21"/>
        <v>582102</v>
      </c>
      <c r="J632" s="170">
        <f>IF(A632="","",SUM($H$7:H632)-SUM($I$7:I632))</f>
        <v>-131947410</v>
      </c>
      <c r="K632" s="34"/>
    </row>
    <row r="633" spans="1:11" x14ac:dyDescent="0.2">
      <c r="A633" s="44">
        <v>44669</v>
      </c>
      <c r="B633" s="44" t="s">
        <v>732</v>
      </c>
      <c r="C633" s="35" t="s">
        <v>986</v>
      </c>
      <c r="D633" s="44" t="s">
        <v>2365</v>
      </c>
      <c r="E633" s="44" t="s">
        <v>2514</v>
      </c>
      <c r="F633" s="44"/>
      <c r="G633" s="130">
        <v>5000</v>
      </c>
      <c r="H633" s="252">
        <f t="shared" si="23"/>
        <v>0</v>
      </c>
      <c r="I633" s="252">
        <f t="shared" si="21"/>
        <v>5000</v>
      </c>
      <c r="J633" s="170">
        <f>IF(A633="","",SUM($H$7:H633)-SUM($I$7:I633))</f>
        <v>-131952410</v>
      </c>
      <c r="K633" s="34"/>
    </row>
    <row r="634" spans="1:11" x14ac:dyDescent="0.2">
      <c r="A634" s="44">
        <v>44670</v>
      </c>
      <c r="B634" s="44" t="s">
        <v>732</v>
      </c>
      <c r="C634" s="35" t="s">
        <v>986</v>
      </c>
      <c r="D634" s="44" t="s">
        <v>1931</v>
      </c>
      <c r="E634" s="44" t="s">
        <v>2507</v>
      </c>
      <c r="F634" s="44"/>
      <c r="G634" s="130">
        <v>20000</v>
      </c>
      <c r="H634" s="252">
        <f t="shared" si="23"/>
        <v>0</v>
      </c>
      <c r="I634" s="252">
        <f t="shared" si="21"/>
        <v>20000</v>
      </c>
      <c r="J634" s="170">
        <f>IF(A634="","",SUM($H$7:H634)-SUM($I$7:I634))</f>
        <v>-131972410</v>
      </c>
      <c r="K634" s="34"/>
    </row>
    <row r="635" spans="1:11" x14ac:dyDescent="0.2">
      <c r="A635" s="44">
        <v>44670</v>
      </c>
      <c r="B635" s="44" t="s">
        <v>732</v>
      </c>
      <c r="C635" s="35" t="s">
        <v>986</v>
      </c>
      <c r="D635" s="44" t="s">
        <v>2363</v>
      </c>
      <c r="E635" s="44" t="s">
        <v>2514</v>
      </c>
      <c r="F635" s="44"/>
      <c r="G635" s="130">
        <v>25000</v>
      </c>
      <c r="H635" s="252">
        <f t="shared" si="23"/>
        <v>0</v>
      </c>
      <c r="I635" s="252">
        <f t="shared" si="21"/>
        <v>25000</v>
      </c>
      <c r="J635" s="170">
        <f>IF(A635="","",SUM($H$7:H635)-SUM($I$7:I635))</f>
        <v>-131997410</v>
      </c>
      <c r="K635" s="34"/>
    </row>
    <row r="636" spans="1:11" x14ac:dyDescent="0.2">
      <c r="A636" s="44">
        <v>44670</v>
      </c>
      <c r="B636" s="44" t="s">
        <v>732</v>
      </c>
      <c r="C636" s="35" t="s">
        <v>986</v>
      </c>
      <c r="D636" s="44" t="s">
        <v>2354</v>
      </c>
      <c r="E636" s="44" t="s">
        <v>2514</v>
      </c>
      <c r="F636" s="44"/>
      <c r="G636" s="130">
        <v>200000</v>
      </c>
      <c r="H636" s="252">
        <f t="shared" si="23"/>
        <v>0</v>
      </c>
      <c r="I636" s="252">
        <f t="shared" si="21"/>
        <v>200000</v>
      </c>
      <c r="J636" s="170">
        <f>IF(A636="","",SUM($H$7:H636)-SUM($I$7:I636))</f>
        <v>-132197410</v>
      </c>
      <c r="K636" s="34"/>
    </row>
    <row r="637" spans="1:11" x14ac:dyDescent="0.2">
      <c r="A637" s="44">
        <v>44672</v>
      </c>
      <c r="B637" s="44" t="s">
        <v>732</v>
      </c>
      <c r="C637" s="35" t="s">
        <v>986</v>
      </c>
      <c r="D637" s="44" t="s">
        <v>2355</v>
      </c>
      <c r="E637" s="44" t="s">
        <v>1801</v>
      </c>
      <c r="F637" s="44"/>
      <c r="G637" s="130">
        <v>12000</v>
      </c>
      <c r="H637" s="252">
        <f t="shared" si="23"/>
        <v>0</v>
      </c>
      <c r="I637" s="252">
        <f t="shared" si="21"/>
        <v>12000</v>
      </c>
      <c r="J637" s="170">
        <f>IF(A637="","",SUM($H$7:H637)-SUM($I$7:I637))</f>
        <v>-132209410</v>
      </c>
      <c r="K637" s="34"/>
    </row>
    <row r="638" spans="1:11" x14ac:dyDescent="0.2">
      <c r="A638" s="44">
        <v>44672</v>
      </c>
      <c r="B638" s="44" t="s">
        <v>732</v>
      </c>
      <c r="C638" s="35" t="s">
        <v>986</v>
      </c>
      <c r="D638" s="44" t="s">
        <v>2356</v>
      </c>
      <c r="E638" s="44" t="s">
        <v>1801</v>
      </c>
      <c r="F638" s="44"/>
      <c r="G638" s="130">
        <v>25000</v>
      </c>
      <c r="H638" s="252">
        <f t="shared" si="23"/>
        <v>0</v>
      </c>
      <c r="I638" s="252">
        <f t="shared" si="21"/>
        <v>25000</v>
      </c>
      <c r="J638" s="170">
        <f>IF(A638="","",SUM($H$7:H638)-SUM($I$7:I638))</f>
        <v>-132234410</v>
      </c>
      <c r="K638" s="34"/>
    </row>
    <row r="639" spans="1:11" x14ac:dyDescent="0.2">
      <c r="A639" s="44">
        <v>44672</v>
      </c>
      <c r="B639" s="44" t="s">
        <v>732</v>
      </c>
      <c r="C639" s="35" t="s">
        <v>986</v>
      </c>
      <c r="D639" s="44" t="s">
        <v>2357</v>
      </c>
      <c r="E639" s="44" t="s">
        <v>1801</v>
      </c>
      <c r="F639" s="44"/>
      <c r="G639" s="130">
        <v>6000</v>
      </c>
      <c r="H639" s="252">
        <f t="shared" si="23"/>
        <v>0</v>
      </c>
      <c r="I639" s="252">
        <f t="shared" si="21"/>
        <v>6000</v>
      </c>
      <c r="J639" s="170">
        <f>IF(A639="","",SUM($H$7:H639)-SUM($I$7:I639))</f>
        <v>-132240410</v>
      </c>
      <c r="K639" s="34"/>
    </row>
    <row r="640" spans="1:11" x14ac:dyDescent="0.2">
      <c r="A640" s="44">
        <v>44672</v>
      </c>
      <c r="B640" s="44" t="s">
        <v>732</v>
      </c>
      <c r="C640" s="35" t="s">
        <v>986</v>
      </c>
      <c r="D640" s="44" t="s">
        <v>2358</v>
      </c>
      <c r="E640" s="44" t="s">
        <v>1801</v>
      </c>
      <c r="F640" s="44"/>
      <c r="G640" s="130">
        <v>15000</v>
      </c>
      <c r="H640" s="252">
        <f t="shared" si="23"/>
        <v>0</v>
      </c>
      <c r="I640" s="252">
        <f t="shared" si="21"/>
        <v>15000</v>
      </c>
      <c r="J640" s="170">
        <f>IF(A640="","",SUM($H$7:H640)-SUM($I$7:I640))</f>
        <v>-132255410</v>
      </c>
      <c r="K640" s="34"/>
    </row>
    <row r="641" spans="1:11" x14ac:dyDescent="0.2">
      <c r="A641" s="44">
        <v>44672</v>
      </c>
      <c r="B641" s="44" t="s">
        <v>732</v>
      </c>
      <c r="C641" s="35" t="s">
        <v>986</v>
      </c>
      <c r="D641" s="44" t="s">
        <v>2359</v>
      </c>
      <c r="E641" s="44" t="s">
        <v>1801</v>
      </c>
      <c r="F641" s="44"/>
      <c r="G641" s="130">
        <v>20000</v>
      </c>
      <c r="H641" s="252">
        <f t="shared" si="23"/>
        <v>0</v>
      </c>
      <c r="I641" s="252">
        <f t="shared" si="21"/>
        <v>20000</v>
      </c>
      <c r="J641" s="170">
        <f>IF(A641="","",SUM($H$7:H641)-SUM($I$7:I641))</f>
        <v>-132275410</v>
      </c>
      <c r="K641" s="34"/>
    </row>
    <row r="642" spans="1:11" x14ac:dyDescent="0.2">
      <c r="A642" s="44">
        <v>44672</v>
      </c>
      <c r="B642" s="44" t="s">
        <v>732</v>
      </c>
      <c r="C642" s="35" t="s">
        <v>986</v>
      </c>
      <c r="D642" s="44" t="s">
        <v>2360</v>
      </c>
      <c r="E642" s="44" t="s">
        <v>1801</v>
      </c>
      <c r="F642" s="44"/>
      <c r="G642" s="130">
        <v>20000</v>
      </c>
      <c r="H642" s="252">
        <f t="shared" si="23"/>
        <v>0</v>
      </c>
      <c r="I642" s="252">
        <f t="shared" si="21"/>
        <v>20000</v>
      </c>
      <c r="J642" s="170">
        <f>IF(A642="","",SUM($H$7:H642)-SUM($I$7:I642))</f>
        <v>-132295410</v>
      </c>
      <c r="K642" s="34"/>
    </row>
    <row r="643" spans="1:11" x14ac:dyDescent="0.2">
      <c r="A643" s="44">
        <v>44672</v>
      </c>
      <c r="B643" s="44" t="s">
        <v>732</v>
      </c>
      <c r="C643" s="35" t="s">
        <v>986</v>
      </c>
      <c r="D643" s="44" t="s">
        <v>2286</v>
      </c>
      <c r="E643" s="44" t="s">
        <v>2507</v>
      </c>
      <c r="F643" s="44"/>
      <c r="G643" s="130">
        <v>30000</v>
      </c>
      <c r="H643" s="252">
        <f t="shared" si="23"/>
        <v>0</v>
      </c>
      <c r="I643" s="252">
        <f t="shared" si="21"/>
        <v>30000</v>
      </c>
      <c r="J643" s="170">
        <f>IF(A643="","",SUM($H$7:H643)-SUM($I$7:I643))</f>
        <v>-132325410</v>
      </c>
      <c r="K643" s="34"/>
    </row>
    <row r="644" spans="1:11" x14ac:dyDescent="0.2">
      <c r="A644" s="44">
        <v>44673</v>
      </c>
      <c r="B644" s="44" t="s">
        <v>732</v>
      </c>
      <c r="C644" s="35" t="s">
        <v>986</v>
      </c>
      <c r="D644" s="44" t="s">
        <v>2372</v>
      </c>
      <c r="E644" s="44" t="s">
        <v>2507</v>
      </c>
      <c r="F644" s="44"/>
      <c r="G644" s="130">
        <v>100000</v>
      </c>
      <c r="H644" s="252">
        <f t="shared" si="23"/>
        <v>0</v>
      </c>
      <c r="I644" s="252">
        <f t="shared" si="21"/>
        <v>100000</v>
      </c>
      <c r="J644" s="170">
        <f>IF(A644="","",SUM($H$7:H644)-SUM($I$7:I644))</f>
        <v>-132425410</v>
      </c>
      <c r="K644" s="34"/>
    </row>
    <row r="645" spans="1:11" x14ac:dyDescent="0.2">
      <c r="A645" s="44">
        <v>44676</v>
      </c>
      <c r="B645" s="44" t="s">
        <v>732</v>
      </c>
      <c r="C645" s="35" t="s">
        <v>986</v>
      </c>
      <c r="D645" s="44" t="s">
        <v>2361</v>
      </c>
      <c r="E645" s="44" t="s">
        <v>2514</v>
      </c>
      <c r="F645" s="44"/>
      <c r="G645" s="130">
        <v>240000</v>
      </c>
      <c r="H645" s="252">
        <f t="shared" si="23"/>
        <v>0</v>
      </c>
      <c r="I645" s="252">
        <f t="shared" si="21"/>
        <v>240000</v>
      </c>
      <c r="J645" s="170">
        <f>IF(A645="","",SUM($H$7:H645)-SUM($I$7:I645))</f>
        <v>-132665410</v>
      </c>
      <c r="K645" s="34"/>
    </row>
    <row r="646" spans="1:11" x14ac:dyDescent="0.2">
      <c r="A646" s="44">
        <v>44672</v>
      </c>
      <c r="B646" s="44" t="s">
        <v>732</v>
      </c>
      <c r="C646" s="35" t="s">
        <v>986</v>
      </c>
      <c r="D646" s="44" t="s">
        <v>1931</v>
      </c>
      <c r="E646" s="44" t="s">
        <v>2507</v>
      </c>
      <c r="F646" s="44"/>
      <c r="G646" s="130">
        <v>20000</v>
      </c>
      <c r="H646" s="252">
        <f t="shared" si="23"/>
        <v>0</v>
      </c>
      <c r="I646" s="252">
        <f t="shared" si="21"/>
        <v>20000</v>
      </c>
      <c r="J646" s="170">
        <f>IF(A646="","",SUM($H$7:H646)-SUM($I$7:I646))</f>
        <v>-132685410</v>
      </c>
      <c r="K646" s="34"/>
    </row>
    <row r="647" spans="1:11" x14ac:dyDescent="0.2">
      <c r="A647" s="44">
        <v>44676</v>
      </c>
      <c r="B647" s="44" t="s">
        <v>732</v>
      </c>
      <c r="C647" s="35" t="s">
        <v>986</v>
      </c>
      <c r="D647" s="44" t="s">
        <v>2364</v>
      </c>
      <c r="E647" s="44" t="s">
        <v>2514</v>
      </c>
      <c r="F647" s="44"/>
      <c r="G647" s="130">
        <v>30000</v>
      </c>
      <c r="H647" s="252">
        <f t="shared" si="23"/>
        <v>0</v>
      </c>
      <c r="I647" s="252">
        <f t="shared" ref="I647:I710" si="24">IF($C647="Replenishment",0,$G647)</f>
        <v>30000</v>
      </c>
      <c r="J647" s="170">
        <f>IF(A647="","",SUM($H$7:H647)-SUM($I$7:I647))</f>
        <v>-132715410</v>
      </c>
      <c r="K647" s="34"/>
    </row>
    <row r="648" spans="1:11" x14ac:dyDescent="0.2">
      <c r="A648" s="44">
        <v>44676</v>
      </c>
      <c r="B648" s="44" t="s">
        <v>732</v>
      </c>
      <c r="C648" s="35" t="s">
        <v>986</v>
      </c>
      <c r="D648" s="44" t="s">
        <v>2369</v>
      </c>
      <c r="E648" s="44" t="s">
        <v>2507</v>
      </c>
      <c r="F648" s="44"/>
      <c r="G648" s="130">
        <v>20000</v>
      </c>
      <c r="H648" s="252">
        <f t="shared" si="23"/>
        <v>0</v>
      </c>
      <c r="I648" s="252">
        <f t="shared" si="24"/>
        <v>20000</v>
      </c>
      <c r="J648" s="170">
        <f>IF(A648="","",SUM($H$7:H648)-SUM($I$7:I648))</f>
        <v>-132735410</v>
      </c>
      <c r="K648" s="34"/>
    </row>
    <row r="649" spans="1:11" x14ac:dyDescent="0.2">
      <c r="A649" s="44">
        <v>44676</v>
      </c>
      <c r="B649" s="44" t="s">
        <v>732</v>
      </c>
      <c r="C649" s="35" t="s">
        <v>986</v>
      </c>
      <c r="D649" s="44" t="s">
        <v>2370</v>
      </c>
      <c r="E649" s="44" t="s">
        <v>2512</v>
      </c>
      <c r="F649" s="44"/>
      <c r="G649" s="130">
        <v>3934500</v>
      </c>
      <c r="H649" s="252">
        <f t="shared" si="23"/>
        <v>0</v>
      </c>
      <c r="I649" s="252">
        <f t="shared" si="24"/>
        <v>3934500</v>
      </c>
      <c r="J649" s="170">
        <f>IF(A649="","",SUM($H$7:H649)-SUM($I$7:I649))</f>
        <v>-136669910</v>
      </c>
      <c r="K649" s="34"/>
    </row>
    <row r="650" spans="1:11" x14ac:dyDescent="0.2">
      <c r="A650" s="44">
        <v>44676</v>
      </c>
      <c r="B650" s="44" t="s">
        <v>732</v>
      </c>
      <c r="C650" s="35" t="s">
        <v>936</v>
      </c>
      <c r="D650" s="44" t="s">
        <v>2371</v>
      </c>
      <c r="E650" s="44" t="s">
        <v>2508</v>
      </c>
      <c r="F650" s="44"/>
      <c r="G650" s="130">
        <v>250000</v>
      </c>
      <c r="H650" s="252">
        <f t="shared" si="23"/>
        <v>0</v>
      </c>
      <c r="I650" s="252">
        <f t="shared" si="24"/>
        <v>250000</v>
      </c>
      <c r="J650" s="170">
        <f>IF(A650="","",SUM($H$7:H650)-SUM($I$7:I650))</f>
        <v>-136919910</v>
      </c>
      <c r="K650" s="34"/>
    </row>
    <row r="651" spans="1:11" x14ac:dyDescent="0.2">
      <c r="A651" s="44">
        <v>44677</v>
      </c>
      <c r="B651" s="44" t="s">
        <v>732</v>
      </c>
      <c r="C651" s="35" t="s">
        <v>986</v>
      </c>
      <c r="D651" s="44" t="s">
        <v>2380</v>
      </c>
      <c r="E651" s="44" t="s">
        <v>2507</v>
      </c>
      <c r="F651" s="44"/>
      <c r="G651" s="130">
        <v>2000</v>
      </c>
      <c r="H651" s="252">
        <f t="shared" si="23"/>
        <v>0</v>
      </c>
      <c r="I651" s="252">
        <f t="shared" si="24"/>
        <v>2000</v>
      </c>
      <c r="J651" s="170">
        <f>IF(A651="","",SUM($H$7:H651)-SUM($I$7:I651))</f>
        <v>-136921910</v>
      </c>
      <c r="K651" s="34"/>
    </row>
    <row r="652" spans="1:11" x14ac:dyDescent="0.2">
      <c r="A652" s="44">
        <v>44677</v>
      </c>
      <c r="B652" s="44" t="s">
        <v>732</v>
      </c>
      <c r="C652" s="35" t="s">
        <v>986</v>
      </c>
      <c r="D652" s="44" t="s">
        <v>2381</v>
      </c>
      <c r="E652" s="44" t="s">
        <v>2293</v>
      </c>
      <c r="F652" s="44"/>
      <c r="G652" s="130">
        <v>12000</v>
      </c>
      <c r="H652" s="252">
        <f t="shared" si="23"/>
        <v>0</v>
      </c>
      <c r="I652" s="252">
        <f t="shared" si="24"/>
        <v>12000</v>
      </c>
      <c r="J652" s="170">
        <f>IF(A652="","",SUM($H$7:H652)-SUM($I$7:I652))</f>
        <v>-136933910</v>
      </c>
      <c r="K652" s="34"/>
    </row>
    <row r="653" spans="1:11" x14ac:dyDescent="0.2">
      <c r="A653" s="44">
        <v>44679</v>
      </c>
      <c r="B653" s="44" t="s">
        <v>732</v>
      </c>
      <c r="C653" s="35" t="s">
        <v>986</v>
      </c>
      <c r="D653" s="44" t="s">
        <v>2376</v>
      </c>
      <c r="E653" s="44" t="s">
        <v>2507</v>
      </c>
      <c r="F653" s="44"/>
      <c r="G653" s="130">
        <v>40000</v>
      </c>
      <c r="H653" s="252">
        <f t="shared" si="23"/>
        <v>0</v>
      </c>
      <c r="I653" s="252">
        <f t="shared" si="24"/>
        <v>40000</v>
      </c>
      <c r="J653" s="170">
        <f>IF(A653="","",SUM($H$7:H653)-SUM($I$7:I653))</f>
        <v>-136973910</v>
      </c>
      <c r="K653" s="34"/>
    </row>
    <row r="654" spans="1:11" x14ac:dyDescent="0.2">
      <c r="A654" s="44">
        <v>44679</v>
      </c>
      <c r="B654" s="44" t="s">
        <v>732</v>
      </c>
      <c r="C654" s="35" t="s">
        <v>986</v>
      </c>
      <c r="D654" s="44" t="s">
        <v>2377</v>
      </c>
      <c r="E654" s="44" t="s">
        <v>2507</v>
      </c>
      <c r="F654" s="44"/>
      <c r="G654" s="130">
        <v>25000</v>
      </c>
      <c r="H654" s="252">
        <f t="shared" si="23"/>
        <v>0</v>
      </c>
      <c r="I654" s="252">
        <f t="shared" si="24"/>
        <v>25000</v>
      </c>
      <c r="J654" s="170">
        <f>IF(A654="","",SUM($H$7:H654)-SUM($I$7:I654))</f>
        <v>-136998910</v>
      </c>
      <c r="K654" s="34"/>
    </row>
    <row r="655" spans="1:11" x14ac:dyDescent="0.2">
      <c r="A655" s="44">
        <v>44679</v>
      </c>
      <c r="B655" s="44" t="s">
        <v>732</v>
      </c>
      <c r="C655" s="35" t="s">
        <v>986</v>
      </c>
      <c r="D655" s="44" t="s">
        <v>2378</v>
      </c>
      <c r="E655" s="44" t="s">
        <v>2507</v>
      </c>
      <c r="F655" s="44"/>
      <c r="G655" s="130">
        <v>4000</v>
      </c>
      <c r="H655" s="252">
        <f t="shared" si="23"/>
        <v>0</v>
      </c>
      <c r="I655" s="252">
        <f t="shared" si="24"/>
        <v>4000</v>
      </c>
      <c r="J655" s="170">
        <f>IF(A655="","",SUM($H$7:H655)-SUM($I$7:I655))</f>
        <v>-137002910</v>
      </c>
      <c r="K655" s="34"/>
    </row>
    <row r="656" spans="1:11" x14ac:dyDescent="0.2">
      <c r="A656" s="44">
        <v>44679</v>
      </c>
      <c r="B656" s="44" t="s">
        <v>732</v>
      </c>
      <c r="C656" s="35" t="s">
        <v>986</v>
      </c>
      <c r="D656" s="44" t="s">
        <v>1644</v>
      </c>
      <c r="E656" s="44" t="s">
        <v>1792</v>
      </c>
      <c r="F656" s="44"/>
      <c r="G656" s="130">
        <v>2000000</v>
      </c>
      <c r="H656" s="252">
        <f t="shared" si="23"/>
        <v>0</v>
      </c>
      <c r="I656" s="252">
        <f t="shared" si="24"/>
        <v>2000000</v>
      </c>
      <c r="J656" s="170">
        <f>IF(A656="","",SUM($H$7:H656)-SUM($I$7:I656))</f>
        <v>-139002910</v>
      </c>
      <c r="K656" s="34"/>
    </row>
    <row r="657" spans="1:11" x14ac:dyDescent="0.2">
      <c r="A657" s="44">
        <v>44679</v>
      </c>
      <c r="B657" s="44" t="s">
        <v>732</v>
      </c>
      <c r="C657" s="35" t="s">
        <v>986</v>
      </c>
      <c r="D657" s="44" t="s">
        <v>2379</v>
      </c>
      <c r="E657" s="44" t="s">
        <v>2507</v>
      </c>
      <c r="F657" s="44"/>
      <c r="G657" s="130">
        <v>750000</v>
      </c>
      <c r="H657" s="252">
        <f t="shared" si="23"/>
        <v>0</v>
      </c>
      <c r="I657" s="252">
        <f t="shared" si="24"/>
        <v>750000</v>
      </c>
      <c r="J657" s="170">
        <f>IF(A657="","",SUM($H$7:H657)-SUM($I$7:I657))</f>
        <v>-139752910</v>
      </c>
      <c r="K657" s="34"/>
    </row>
    <row r="658" spans="1:11" x14ac:dyDescent="0.2">
      <c r="A658" s="44">
        <v>44684</v>
      </c>
      <c r="B658" s="44" t="s">
        <v>732</v>
      </c>
      <c r="C658" s="35" t="s">
        <v>986</v>
      </c>
      <c r="D658" s="44" t="s">
        <v>2461</v>
      </c>
      <c r="E658" s="44" t="s">
        <v>2507</v>
      </c>
      <c r="F658" s="44"/>
      <c r="G658" s="130">
        <v>4000</v>
      </c>
      <c r="H658" s="252">
        <f t="shared" si="23"/>
        <v>0</v>
      </c>
      <c r="I658" s="252">
        <f t="shared" si="24"/>
        <v>4000</v>
      </c>
      <c r="J658" s="170">
        <f>IF(A658="","",SUM($H$7:H658)-SUM($I$7:I658))</f>
        <v>-139756910</v>
      </c>
      <c r="K658" s="34"/>
    </row>
    <row r="659" spans="1:11" x14ac:dyDescent="0.2">
      <c r="A659" s="44">
        <v>44684</v>
      </c>
      <c r="B659" s="44" t="s">
        <v>732</v>
      </c>
      <c r="C659" s="35" t="s">
        <v>986</v>
      </c>
      <c r="D659" s="44" t="s">
        <v>2462</v>
      </c>
      <c r="E659" s="44" t="s">
        <v>2514</v>
      </c>
      <c r="F659" s="44"/>
      <c r="G659" s="130">
        <v>24000</v>
      </c>
      <c r="H659" s="252">
        <f t="shared" si="23"/>
        <v>0</v>
      </c>
      <c r="I659" s="252">
        <f t="shared" si="24"/>
        <v>24000</v>
      </c>
      <c r="J659" s="170">
        <f>IF(A659="","",SUM($H$7:H659)-SUM($I$7:I659))</f>
        <v>-139780910</v>
      </c>
      <c r="K659" s="34"/>
    </row>
    <row r="660" spans="1:11" x14ac:dyDescent="0.2">
      <c r="A660" s="44">
        <v>44684</v>
      </c>
      <c r="B660" s="44" t="s">
        <v>732</v>
      </c>
      <c r="C660" s="35" t="s">
        <v>986</v>
      </c>
      <c r="D660" s="44" t="s">
        <v>1562</v>
      </c>
      <c r="E660" s="44" t="s">
        <v>2514</v>
      </c>
      <c r="F660" s="44"/>
      <c r="G660" s="130">
        <v>1400</v>
      </c>
      <c r="H660" s="252">
        <f t="shared" si="23"/>
        <v>0</v>
      </c>
      <c r="I660" s="252">
        <f t="shared" si="24"/>
        <v>1400</v>
      </c>
      <c r="J660" s="170">
        <f>IF(A660="","",SUM($H$7:H660)-SUM($I$7:I660))</f>
        <v>-139782310</v>
      </c>
      <c r="K660" s="34"/>
    </row>
    <row r="661" spans="1:11" x14ac:dyDescent="0.2">
      <c r="A661" s="44">
        <v>44684</v>
      </c>
      <c r="B661" s="44" t="s">
        <v>732</v>
      </c>
      <c r="C661" s="35" t="s">
        <v>986</v>
      </c>
      <c r="D661" s="44" t="s">
        <v>902</v>
      </c>
      <c r="E661" s="44" t="s">
        <v>2507</v>
      </c>
      <c r="F661" s="44"/>
      <c r="G661" s="130">
        <v>4000</v>
      </c>
      <c r="H661" s="252">
        <f t="shared" si="23"/>
        <v>0</v>
      </c>
      <c r="I661" s="252">
        <f t="shared" si="24"/>
        <v>4000</v>
      </c>
      <c r="J661" s="170">
        <f>IF(A661="","",SUM($H$7:H661)-SUM($I$7:I661))</f>
        <v>-139786310</v>
      </c>
      <c r="K661" s="34"/>
    </row>
    <row r="662" spans="1:11" x14ac:dyDescent="0.2">
      <c r="A662" s="44">
        <v>44684</v>
      </c>
      <c r="B662" s="44" t="s">
        <v>732</v>
      </c>
      <c r="C662" s="35" t="s">
        <v>986</v>
      </c>
      <c r="D662" s="44" t="s">
        <v>2346</v>
      </c>
      <c r="E662" s="44" t="s">
        <v>2507</v>
      </c>
      <c r="F662" s="44"/>
      <c r="G662" s="130">
        <v>6500</v>
      </c>
      <c r="H662" s="252">
        <f t="shared" si="23"/>
        <v>0</v>
      </c>
      <c r="I662" s="252">
        <f t="shared" si="24"/>
        <v>6500</v>
      </c>
      <c r="J662" s="170">
        <f>IF(A662="","",SUM($H$7:H662)-SUM($I$7:I662))</f>
        <v>-139792810</v>
      </c>
      <c r="K662" s="34"/>
    </row>
    <row r="663" spans="1:11" x14ac:dyDescent="0.2">
      <c r="A663" s="44">
        <v>44684</v>
      </c>
      <c r="B663" s="44" t="s">
        <v>732</v>
      </c>
      <c r="C663" s="35" t="s">
        <v>986</v>
      </c>
      <c r="D663" s="44" t="s">
        <v>2380</v>
      </c>
      <c r="E663" s="44" t="s">
        <v>2507</v>
      </c>
      <c r="F663" s="44"/>
      <c r="G663" s="130">
        <v>30000</v>
      </c>
      <c r="H663" s="252">
        <f t="shared" si="23"/>
        <v>0</v>
      </c>
      <c r="I663" s="252">
        <f t="shared" si="24"/>
        <v>30000</v>
      </c>
      <c r="J663" s="170">
        <f>IF(A663="","",SUM($H$7:H663)-SUM($I$7:I663))</f>
        <v>-139822810</v>
      </c>
      <c r="K663" s="34"/>
    </row>
    <row r="664" spans="1:11" x14ac:dyDescent="0.2">
      <c r="A664" s="44">
        <v>44684</v>
      </c>
      <c r="B664" s="44" t="s">
        <v>732</v>
      </c>
      <c r="C664" s="35" t="s">
        <v>986</v>
      </c>
      <c r="D664" s="44" t="s">
        <v>2463</v>
      </c>
      <c r="E664" s="44" t="s">
        <v>2507</v>
      </c>
      <c r="F664" s="44"/>
      <c r="G664" s="130">
        <v>30000</v>
      </c>
      <c r="H664" s="252">
        <f t="shared" si="23"/>
        <v>0</v>
      </c>
      <c r="I664" s="252">
        <f t="shared" si="24"/>
        <v>30000</v>
      </c>
      <c r="J664" s="170">
        <f>IF(A664="","",SUM($H$7:H664)-SUM($I$7:I664))</f>
        <v>-139852810</v>
      </c>
      <c r="K664" s="34"/>
    </row>
    <row r="665" spans="1:11" x14ac:dyDescent="0.2">
      <c r="A665" s="44">
        <v>44684</v>
      </c>
      <c r="B665" s="44" t="s">
        <v>732</v>
      </c>
      <c r="C665" s="35" t="s">
        <v>986</v>
      </c>
      <c r="D665" s="44" t="s">
        <v>2464</v>
      </c>
      <c r="E665" s="44" t="s">
        <v>2514</v>
      </c>
      <c r="F665" s="44"/>
      <c r="G665" s="130">
        <v>25000</v>
      </c>
      <c r="H665" s="252">
        <f t="shared" si="23"/>
        <v>0</v>
      </c>
      <c r="I665" s="252">
        <f t="shared" si="24"/>
        <v>25000</v>
      </c>
      <c r="J665" s="170">
        <f>IF(A665="","",SUM($H$7:H665)-SUM($I$7:I665))</f>
        <v>-139877810</v>
      </c>
      <c r="K665" s="34"/>
    </row>
    <row r="666" spans="1:11" x14ac:dyDescent="0.2">
      <c r="A666" s="44">
        <v>44684</v>
      </c>
      <c r="B666" s="44" t="s">
        <v>732</v>
      </c>
      <c r="C666" s="35" t="s">
        <v>986</v>
      </c>
      <c r="D666" s="44" t="s">
        <v>2465</v>
      </c>
      <c r="E666" s="44" t="s">
        <v>2514</v>
      </c>
      <c r="F666" s="44"/>
      <c r="G666" s="130">
        <v>210000</v>
      </c>
      <c r="H666" s="252">
        <f t="shared" si="23"/>
        <v>0</v>
      </c>
      <c r="I666" s="252">
        <f t="shared" si="24"/>
        <v>210000</v>
      </c>
      <c r="J666" s="170">
        <f>IF(A666="","",SUM($H$7:H666)-SUM($I$7:I666))</f>
        <v>-140087810</v>
      </c>
      <c r="K666" s="34"/>
    </row>
    <row r="667" spans="1:11" x14ac:dyDescent="0.2">
      <c r="A667" s="44">
        <v>44684</v>
      </c>
      <c r="B667" s="44" t="s">
        <v>732</v>
      </c>
      <c r="C667" s="35" t="s">
        <v>986</v>
      </c>
      <c r="D667" s="44" t="s">
        <v>1581</v>
      </c>
      <c r="E667" s="44" t="s">
        <v>2507</v>
      </c>
      <c r="F667" s="44"/>
      <c r="G667" s="130">
        <v>40000</v>
      </c>
      <c r="H667" s="252">
        <f t="shared" si="23"/>
        <v>0</v>
      </c>
      <c r="I667" s="252">
        <f t="shared" si="24"/>
        <v>40000</v>
      </c>
      <c r="J667" s="170">
        <f>IF(A667="","",SUM($H$7:H667)-SUM($I$7:I667))</f>
        <v>-140127810</v>
      </c>
      <c r="K667" s="34"/>
    </row>
    <row r="668" spans="1:11" x14ac:dyDescent="0.2">
      <c r="A668" s="44">
        <v>44685</v>
      </c>
      <c r="B668" s="44" t="s">
        <v>732</v>
      </c>
      <c r="C668" s="35" t="s">
        <v>986</v>
      </c>
      <c r="D668" s="44" t="s">
        <v>2173</v>
      </c>
      <c r="E668" s="44" t="s">
        <v>2507</v>
      </c>
      <c r="F668" s="44"/>
      <c r="G668" s="130">
        <v>50000</v>
      </c>
      <c r="H668" s="252">
        <f t="shared" si="23"/>
        <v>0</v>
      </c>
      <c r="I668" s="252">
        <f t="shared" si="24"/>
        <v>50000</v>
      </c>
      <c r="J668" s="170">
        <f>IF(A668="","",SUM($H$7:H668)-SUM($I$7:I668))</f>
        <v>-140177810</v>
      </c>
      <c r="K668" s="34"/>
    </row>
    <row r="669" spans="1:11" x14ac:dyDescent="0.2">
      <c r="A669" s="44">
        <v>44685</v>
      </c>
      <c r="B669" s="44" t="s">
        <v>732</v>
      </c>
      <c r="C669" s="35" t="s">
        <v>986</v>
      </c>
      <c r="D669" s="44" t="s">
        <v>2466</v>
      </c>
      <c r="E669" s="44" t="s">
        <v>2514</v>
      </c>
      <c r="F669" s="44"/>
      <c r="G669" s="130">
        <v>15000</v>
      </c>
      <c r="H669" s="252">
        <f t="shared" si="23"/>
        <v>0</v>
      </c>
      <c r="I669" s="252">
        <f t="shared" si="24"/>
        <v>15000</v>
      </c>
      <c r="J669" s="170">
        <f>IF(A669="","",SUM($H$7:H669)-SUM($I$7:I669))</f>
        <v>-140192810</v>
      </c>
      <c r="K669" s="34"/>
    </row>
    <row r="670" spans="1:11" x14ac:dyDescent="0.2">
      <c r="A670" s="44">
        <v>44685</v>
      </c>
      <c r="B670" s="44" t="s">
        <v>732</v>
      </c>
      <c r="C670" s="35" t="s">
        <v>986</v>
      </c>
      <c r="D670" s="44" t="s">
        <v>2467</v>
      </c>
      <c r="E670" s="44" t="s">
        <v>2507</v>
      </c>
      <c r="F670" s="44"/>
      <c r="G670" s="130">
        <v>10000</v>
      </c>
      <c r="H670" s="252">
        <f t="shared" si="23"/>
        <v>0</v>
      </c>
      <c r="I670" s="252">
        <f t="shared" si="24"/>
        <v>10000</v>
      </c>
      <c r="J670" s="170">
        <f>IF(A670="","",SUM($H$7:H670)-SUM($I$7:I670))</f>
        <v>-140202810</v>
      </c>
      <c r="K670" s="34"/>
    </row>
    <row r="671" spans="1:11" x14ac:dyDescent="0.2">
      <c r="A671" s="44">
        <v>44685</v>
      </c>
      <c r="B671" s="44" t="s">
        <v>732</v>
      </c>
      <c r="C671" s="35" t="s">
        <v>986</v>
      </c>
      <c r="D671" s="44" t="s">
        <v>2468</v>
      </c>
      <c r="E671" s="44" t="s">
        <v>2507</v>
      </c>
      <c r="F671" s="44"/>
      <c r="G671" s="130">
        <v>19200</v>
      </c>
      <c r="H671" s="252">
        <f t="shared" si="23"/>
        <v>0</v>
      </c>
      <c r="I671" s="252">
        <f t="shared" si="24"/>
        <v>19200</v>
      </c>
      <c r="J671" s="170">
        <f>IF(A671="","",SUM($H$7:H671)-SUM($I$7:I671))</f>
        <v>-140222010</v>
      </c>
      <c r="K671" s="34"/>
    </row>
    <row r="672" spans="1:11" x14ac:dyDescent="0.2">
      <c r="A672" s="44">
        <v>44686</v>
      </c>
      <c r="B672" s="44" t="s">
        <v>732</v>
      </c>
      <c r="C672" s="35" t="s">
        <v>986</v>
      </c>
      <c r="D672" s="44" t="s">
        <v>1521</v>
      </c>
      <c r="E672" s="44" t="s">
        <v>2515</v>
      </c>
      <c r="F672" s="44"/>
      <c r="G672" s="130">
        <v>5000</v>
      </c>
      <c r="H672" s="252">
        <f t="shared" si="23"/>
        <v>0</v>
      </c>
      <c r="I672" s="252">
        <f t="shared" si="24"/>
        <v>5000</v>
      </c>
      <c r="J672" s="170">
        <f>IF(A672="","",SUM($H$7:H672)-SUM($I$7:I672))</f>
        <v>-140227010</v>
      </c>
      <c r="K672" s="34"/>
    </row>
    <row r="673" spans="1:11" x14ac:dyDescent="0.2">
      <c r="A673" s="44">
        <v>44690</v>
      </c>
      <c r="B673" s="44" t="s">
        <v>732</v>
      </c>
      <c r="C673" s="35" t="s">
        <v>986</v>
      </c>
      <c r="D673" s="44" t="s">
        <v>2472</v>
      </c>
      <c r="E673" s="44" t="s">
        <v>2507</v>
      </c>
      <c r="F673" s="44"/>
      <c r="G673" s="130">
        <v>9000</v>
      </c>
      <c r="H673" s="252">
        <f t="shared" si="23"/>
        <v>0</v>
      </c>
      <c r="I673" s="252">
        <f t="shared" si="24"/>
        <v>9000</v>
      </c>
      <c r="J673" s="170">
        <f>IF(A673="","",SUM($H$7:H673)-SUM($I$7:I673))</f>
        <v>-140236010</v>
      </c>
      <c r="K673" s="34"/>
    </row>
    <row r="674" spans="1:11" x14ac:dyDescent="0.2">
      <c r="A674" s="44">
        <v>44690</v>
      </c>
      <c r="B674" s="44" t="s">
        <v>732</v>
      </c>
      <c r="C674" s="35" t="s">
        <v>986</v>
      </c>
      <c r="D674" s="44" t="s">
        <v>2473</v>
      </c>
      <c r="E674" s="44" t="s">
        <v>2514</v>
      </c>
      <c r="F674" s="44"/>
      <c r="G674" s="130">
        <v>30000</v>
      </c>
      <c r="H674" s="252">
        <f t="shared" si="23"/>
        <v>0</v>
      </c>
      <c r="I674" s="252">
        <f t="shared" si="24"/>
        <v>30000</v>
      </c>
      <c r="J674" s="170">
        <f>IF(A674="","",SUM($H$7:H674)-SUM($I$7:I674))</f>
        <v>-140266010</v>
      </c>
      <c r="K674" s="34"/>
    </row>
    <row r="675" spans="1:11" x14ac:dyDescent="0.2">
      <c r="A675" s="44">
        <v>44692</v>
      </c>
      <c r="B675" s="44" t="s">
        <v>732</v>
      </c>
      <c r="C675" s="35" t="s">
        <v>986</v>
      </c>
      <c r="D675" s="44" t="s">
        <v>2474</v>
      </c>
      <c r="E675" s="44" t="s">
        <v>2514</v>
      </c>
      <c r="F675" s="44"/>
      <c r="G675" s="130">
        <v>245000</v>
      </c>
      <c r="H675" s="252">
        <f t="shared" si="23"/>
        <v>0</v>
      </c>
      <c r="I675" s="252">
        <f t="shared" si="24"/>
        <v>245000</v>
      </c>
      <c r="J675" s="170">
        <f>IF(A675="","",SUM($H$7:H675)-SUM($I$7:I675))</f>
        <v>-140511010</v>
      </c>
      <c r="K675" s="34"/>
    </row>
    <row r="676" spans="1:11" x14ac:dyDescent="0.2">
      <c r="A676" s="44">
        <v>44692</v>
      </c>
      <c r="B676" s="44" t="s">
        <v>732</v>
      </c>
      <c r="C676" s="35" t="s">
        <v>986</v>
      </c>
      <c r="D676" s="44" t="s">
        <v>2469</v>
      </c>
      <c r="E676" s="44" t="s">
        <v>2515</v>
      </c>
      <c r="F676" s="44"/>
      <c r="G676" s="130">
        <v>7000</v>
      </c>
      <c r="H676" s="252">
        <f t="shared" si="23"/>
        <v>0</v>
      </c>
      <c r="I676" s="252">
        <f t="shared" si="24"/>
        <v>7000</v>
      </c>
      <c r="J676" s="170">
        <f>IF(A676="","",SUM($H$7:H676)-SUM($I$7:I676))</f>
        <v>-140518010</v>
      </c>
      <c r="K676" s="34"/>
    </row>
    <row r="677" spans="1:11" x14ac:dyDescent="0.2">
      <c r="A677" s="44">
        <v>44692</v>
      </c>
      <c r="B677" s="44" t="s">
        <v>732</v>
      </c>
      <c r="C677" s="35" t="s">
        <v>986</v>
      </c>
      <c r="D677" s="44" t="s">
        <v>2470</v>
      </c>
      <c r="E677" s="44" t="s">
        <v>2507</v>
      </c>
      <c r="F677" s="44"/>
      <c r="G677" s="130">
        <v>25000</v>
      </c>
      <c r="H677" s="252">
        <f t="shared" si="23"/>
        <v>0</v>
      </c>
      <c r="I677" s="252">
        <f t="shared" si="24"/>
        <v>25000</v>
      </c>
      <c r="J677" s="170">
        <f>IF(A677="","",SUM($H$7:H677)-SUM($I$7:I677))</f>
        <v>-140543010</v>
      </c>
      <c r="K677" s="34"/>
    </row>
    <row r="678" spans="1:11" x14ac:dyDescent="0.2">
      <c r="A678" s="44">
        <v>44693</v>
      </c>
      <c r="B678" s="44" t="s">
        <v>732</v>
      </c>
      <c r="C678" s="35" t="s">
        <v>986</v>
      </c>
      <c r="D678" s="44" t="s">
        <v>2471</v>
      </c>
      <c r="E678" s="44" t="s">
        <v>2511</v>
      </c>
      <c r="F678" s="44"/>
      <c r="G678" s="130">
        <v>5000</v>
      </c>
      <c r="H678" s="252">
        <f t="shared" si="23"/>
        <v>0</v>
      </c>
      <c r="I678" s="252">
        <f t="shared" si="24"/>
        <v>5000</v>
      </c>
      <c r="J678" s="170">
        <f>IF(A678="","",SUM($H$7:H678)-SUM($I$7:I678))</f>
        <v>-140548010</v>
      </c>
      <c r="K678" s="34"/>
    </row>
    <row r="679" spans="1:11" x14ac:dyDescent="0.2">
      <c r="A679" s="44">
        <v>44695</v>
      </c>
      <c r="B679" s="44" t="s">
        <v>732</v>
      </c>
      <c r="C679" s="35" t="s">
        <v>986</v>
      </c>
      <c r="D679" s="44" t="s">
        <v>2475</v>
      </c>
      <c r="E679" s="44" t="s">
        <v>2511</v>
      </c>
      <c r="F679" s="44"/>
      <c r="G679" s="130">
        <v>51500</v>
      </c>
      <c r="H679" s="252">
        <f t="shared" si="23"/>
        <v>0</v>
      </c>
      <c r="I679" s="252">
        <f t="shared" si="24"/>
        <v>51500</v>
      </c>
      <c r="J679" s="170">
        <f>IF(A679="","",SUM($H$7:H679)-SUM($I$7:I679))</f>
        <v>-140599510</v>
      </c>
      <c r="K679" s="34"/>
    </row>
    <row r="680" spans="1:11" x14ac:dyDescent="0.2">
      <c r="A680" s="44">
        <v>44695</v>
      </c>
      <c r="B680" s="44" t="s">
        <v>732</v>
      </c>
      <c r="C680" s="35" t="s">
        <v>986</v>
      </c>
      <c r="D680" s="44" t="s">
        <v>2476</v>
      </c>
      <c r="E680" s="44" t="s">
        <v>2515</v>
      </c>
      <c r="F680" s="44"/>
      <c r="G680" s="130">
        <v>253500</v>
      </c>
      <c r="H680" s="252">
        <f t="shared" si="23"/>
        <v>0</v>
      </c>
      <c r="I680" s="252">
        <f t="shared" si="24"/>
        <v>253500</v>
      </c>
      <c r="J680" s="170">
        <f>IF(A680="","",SUM($H$7:H680)-SUM($I$7:I680))</f>
        <v>-140853010</v>
      </c>
      <c r="K680" s="34"/>
    </row>
    <row r="681" spans="1:11" x14ac:dyDescent="0.2">
      <c r="A681" s="44">
        <v>44695</v>
      </c>
      <c r="B681" s="44" t="s">
        <v>732</v>
      </c>
      <c r="C681" s="35" t="s">
        <v>986</v>
      </c>
      <c r="D681" s="44" t="s">
        <v>2477</v>
      </c>
      <c r="E681" s="44" t="s">
        <v>2507</v>
      </c>
      <c r="F681" s="44"/>
      <c r="G681" s="130">
        <v>30000</v>
      </c>
      <c r="H681" s="252">
        <f t="shared" si="23"/>
        <v>0</v>
      </c>
      <c r="I681" s="252">
        <f t="shared" si="24"/>
        <v>30000</v>
      </c>
      <c r="J681" s="170">
        <f>IF(A681="","",SUM($H$7:H681)-SUM($I$7:I681))</f>
        <v>-140883010</v>
      </c>
      <c r="K681" s="34"/>
    </row>
    <row r="682" spans="1:11" x14ac:dyDescent="0.2">
      <c r="A682" s="44">
        <v>44697</v>
      </c>
      <c r="B682" s="44" t="s">
        <v>732</v>
      </c>
      <c r="C682" s="35" t="s">
        <v>986</v>
      </c>
      <c r="D682" s="44" t="s">
        <v>2481</v>
      </c>
      <c r="E682" s="44" t="s">
        <v>2514</v>
      </c>
      <c r="F682" s="44"/>
      <c r="G682" s="130">
        <v>30000</v>
      </c>
      <c r="H682" s="252">
        <f t="shared" si="23"/>
        <v>0</v>
      </c>
      <c r="I682" s="252">
        <f t="shared" si="24"/>
        <v>30000</v>
      </c>
      <c r="J682" s="170">
        <f>IF(A682="","",SUM($H$7:H682)-SUM($I$7:I682))</f>
        <v>-140913010</v>
      </c>
      <c r="K682" s="34"/>
    </row>
    <row r="683" spans="1:11" x14ac:dyDescent="0.2">
      <c r="A683" s="44">
        <v>44697</v>
      </c>
      <c r="B683" s="44" t="s">
        <v>732</v>
      </c>
      <c r="C683" s="35" t="s">
        <v>986</v>
      </c>
      <c r="D683" s="44" t="s">
        <v>2482</v>
      </c>
      <c r="E683" s="44" t="s">
        <v>2514</v>
      </c>
      <c r="F683" s="44"/>
      <c r="G683" s="130">
        <v>245000</v>
      </c>
      <c r="H683" s="252">
        <f t="shared" si="23"/>
        <v>0</v>
      </c>
      <c r="I683" s="252">
        <f t="shared" si="24"/>
        <v>245000</v>
      </c>
      <c r="J683" s="170">
        <f>IF(A683="","",SUM($H$7:H683)-SUM($I$7:I683))</f>
        <v>-141158010</v>
      </c>
      <c r="K683" s="34"/>
    </row>
    <row r="684" spans="1:11" x14ac:dyDescent="0.2">
      <c r="A684" s="44">
        <v>44698</v>
      </c>
      <c r="B684" s="44" t="s">
        <v>732</v>
      </c>
      <c r="C684" s="35" t="s">
        <v>986</v>
      </c>
      <c r="D684" s="44" t="s">
        <v>2478</v>
      </c>
      <c r="E684" s="44" t="s">
        <v>1801</v>
      </c>
      <c r="F684" s="44"/>
      <c r="G684" s="130">
        <v>20000</v>
      </c>
      <c r="H684" s="252">
        <f t="shared" si="23"/>
        <v>0</v>
      </c>
      <c r="I684" s="252">
        <f t="shared" si="24"/>
        <v>20000</v>
      </c>
      <c r="J684" s="170">
        <f>IF(A684="","",SUM($H$7:H684)-SUM($I$7:I684))</f>
        <v>-141178010</v>
      </c>
      <c r="K684" s="34"/>
    </row>
    <row r="685" spans="1:11" x14ac:dyDescent="0.2">
      <c r="A685" s="44">
        <v>44699</v>
      </c>
      <c r="B685" s="44" t="s">
        <v>732</v>
      </c>
      <c r="C685" s="35" t="s">
        <v>986</v>
      </c>
      <c r="D685" s="44" t="s">
        <v>2479</v>
      </c>
      <c r="E685" s="44" t="s">
        <v>2515</v>
      </c>
      <c r="F685" s="44"/>
      <c r="G685" s="130">
        <v>24000</v>
      </c>
      <c r="H685" s="252">
        <f t="shared" si="23"/>
        <v>0</v>
      </c>
      <c r="I685" s="252">
        <f t="shared" si="24"/>
        <v>24000</v>
      </c>
      <c r="J685" s="170">
        <f>IF(A685="","",SUM($H$7:H685)-SUM($I$7:I685))</f>
        <v>-141202010</v>
      </c>
      <c r="K685" s="34"/>
    </row>
    <row r="686" spans="1:11" x14ac:dyDescent="0.2">
      <c r="A686" s="44">
        <v>44699</v>
      </c>
      <c r="B686" s="44" t="s">
        <v>732</v>
      </c>
      <c r="C686" s="35" t="s">
        <v>986</v>
      </c>
      <c r="D686" s="44" t="s">
        <v>2480</v>
      </c>
      <c r="E686" s="44" t="s">
        <v>2511</v>
      </c>
      <c r="F686" s="44"/>
      <c r="G686" s="130">
        <v>20000</v>
      </c>
      <c r="H686" s="252">
        <f t="shared" si="23"/>
        <v>0</v>
      </c>
      <c r="I686" s="252">
        <f t="shared" si="24"/>
        <v>20000</v>
      </c>
      <c r="J686" s="170">
        <f>IF(A686="","",SUM($H$7:H686)-SUM($I$7:I686))</f>
        <v>-141222010</v>
      </c>
      <c r="K686" s="34"/>
    </row>
    <row r="687" spans="1:11" x14ac:dyDescent="0.2">
      <c r="A687" s="44">
        <v>44701</v>
      </c>
      <c r="B687" s="44" t="s">
        <v>732</v>
      </c>
      <c r="C687" s="35" t="s">
        <v>986</v>
      </c>
      <c r="D687" s="44" t="s">
        <v>2372</v>
      </c>
      <c r="E687" s="44" t="s">
        <v>2507</v>
      </c>
      <c r="F687" s="44"/>
      <c r="G687" s="130">
        <v>50000</v>
      </c>
      <c r="H687" s="252">
        <f t="shared" si="23"/>
        <v>0</v>
      </c>
      <c r="I687" s="252">
        <f t="shared" si="24"/>
        <v>50000</v>
      </c>
      <c r="J687" s="170">
        <f>IF(A687="","",SUM($H$7:H687)-SUM($I$7:I687))</f>
        <v>-141272010</v>
      </c>
      <c r="K687" s="34"/>
    </row>
    <row r="688" spans="1:11" x14ac:dyDescent="0.2">
      <c r="A688" s="44">
        <v>44704</v>
      </c>
      <c r="B688" s="44" t="s">
        <v>732</v>
      </c>
      <c r="C688" s="35" t="s">
        <v>986</v>
      </c>
      <c r="D688" s="44" t="s">
        <v>2485</v>
      </c>
      <c r="E688" s="44" t="s">
        <v>2514</v>
      </c>
      <c r="F688" s="44"/>
      <c r="G688" s="130">
        <v>245000</v>
      </c>
      <c r="H688" s="252">
        <f t="shared" si="23"/>
        <v>0</v>
      </c>
      <c r="I688" s="252">
        <f t="shared" si="24"/>
        <v>245000</v>
      </c>
      <c r="J688" s="170">
        <f>IF(A688="","",SUM($H$7:H688)-SUM($I$7:I688))</f>
        <v>-141517010</v>
      </c>
      <c r="K688" s="34"/>
    </row>
    <row r="689" spans="1:11" x14ac:dyDescent="0.2">
      <c r="A689" s="44">
        <v>44704</v>
      </c>
      <c r="B689" s="44" t="s">
        <v>732</v>
      </c>
      <c r="C689" s="35" t="s">
        <v>986</v>
      </c>
      <c r="D689" s="44" t="s">
        <v>2173</v>
      </c>
      <c r="E689" s="44" t="s">
        <v>2507</v>
      </c>
      <c r="F689" s="44"/>
      <c r="G689" s="130">
        <v>20000</v>
      </c>
      <c r="H689" s="252">
        <f t="shared" si="23"/>
        <v>0</v>
      </c>
      <c r="I689" s="252">
        <f t="shared" si="24"/>
        <v>20000</v>
      </c>
      <c r="J689" s="170">
        <f>IF(A689="","",SUM($H$7:H689)-SUM($I$7:I689))</f>
        <v>-141537010</v>
      </c>
      <c r="K689" s="34"/>
    </row>
    <row r="690" spans="1:11" x14ac:dyDescent="0.2">
      <c r="A690" s="44">
        <v>44704</v>
      </c>
      <c r="B690" s="44" t="s">
        <v>732</v>
      </c>
      <c r="C690" s="35" t="s">
        <v>986</v>
      </c>
      <c r="D690" s="44" t="s">
        <v>2475</v>
      </c>
      <c r="E690" s="44" t="s">
        <v>2511</v>
      </c>
      <c r="F690" s="44"/>
      <c r="G690" s="130">
        <v>50000</v>
      </c>
      <c r="H690" s="252">
        <f t="shared" si="23"/>
        <v>0</v>
      </c>
      <c r="I690" s="252">
        <f t="shared" si="24"/>
        <v>50000</v>
      </c>
      <c r="J690" s="170">
        <f>IF(A690="","",SUM($H$7:H690)-SUM($I$7:I690))</f>
        <v>-141587010</v>
      </c>
      <c r="K690" s="34"/>
    </row>
    <row r="691" spans="1:11" x14ac:dyDescent="0.2">
      <c r="A691" s="44">
        <v>44705</v>
      </c>
      <c r="B691" s="44" t="s">
        <v>732</v>
      </c>
      <c r="C691" s="35" t="s">
        <v>986</v>
      </c>
      <c r="D691" s="44" t="s">
        <v>2471</v>
      </c>
      <c r="E691" s="44" t="s">
        <v>2511</v>
      </c>
      <c r="F691" s="44"/>
      <c r="G691" s="130">
        <v>5000</v>
      </c>
      <c r="H691" s="252">
        <f t="shared" si="23"/>
        <v>0</v>
      </c>
      <c r="I691" s="252">
        <f t="shared" si="24"/>
        <v>5000</v>
      </c>
      <c r="J691" s="170">
        <f>IF(A691="","",SUM($H$7:H691)-SUM($I$7:I691))</f>
        <v>-141592010</v>
      </c>
      <c r="K691" s="34"/>
    </row>
    <row r="692" spans="1:11" x14ac:dyDescent="0.2">
      <c r="A692" s="44">
        <v>44705</v>
      </c>
      <c r="B692" s="44" t="s">
        <v>732</v>
      </c>
      <c r="C692" s="35" t="s">
        <v>986</v>
      </c>
      <c r="D692" s="44" t="s">
        <v>2483</v>
      </c>
      <c r="E692" s="44" t="s">
        <v>1801</v>
      </c>
      <c r="F692" s="44"/>
      <c r="G692" s="130">
        <v>10000</v>
      </c>
      <c r="H692" s="252">
        <f t="shared" si="23"/>
        <v>0</v>
      </c>
      <c r="I692" s="252">
        <f t="shared" si="24"/>
        <v>10000</v>
      </c>
      <c r="J692" s="170">
        <f>IF(A692="","",SUM($H$7:H692)-SUM($I$7:I692))</f>
        <v>-141602010</v>
      </c>
      <c r="K692" s="34"/>
    </row>
    <row r="693" spans="1:11" x14ac:dyDescent="0.2">
      <c r="A693" s="44">
        <v>44705</v>
      </c>
      <c r="B693" s="44" t="s">
        <v>732</v>
      </c>
      <c r="C693" s="35" t="s">
        <v>986</v>
      </c>
      <c r="D693" s="44" t="s">
        <v>2484</v>
      </c>
      <c r="E693" s="44" t="s">
        <v>2507</v>
      </c>
      <c r="F693" s="44"/>
      <c r="G693" s="130">
        <v>30000</v>
      </c>
      <c r="H693" s="252">
        <f t="shared" si="23"/>
        <v>0</v>
      </c>
      <c r="I693" s="252">
        <f t="shared" si="24"/>
        <v>30000</v>
      </c>
      <c r="J693" s="170">
        <f>IF(A693="","",SUM($H$7:H693)-SUM($I$7:I693))</f>
        <v>-141632010</v>
      </c>
      <c r="K693" s="34"/>
    </row>
    <row r="694" spans="1:11" x14ac:dyDescent="0.2">
      <c r="A694" s="44">
        <v>44706</v>
      </c>
      <c r="B694" s="44" t="s">
        <v>732</v>
      </c>
      <c r="C694" s="35" t="s">
        <v>986</v>
      </c>
      <c r="D694" s="44" t="s">
        <v>2488</v>
      </c>
      <c r="E694" s="44" t="s">
        <v>2489</v>
      </c>
      <c r="F694" s="44"/>
      <c r="G694" s="130">
        <v>502900</v>
      </c>
      <c r="H694" s="252">
        <f t="shared" ref="H694:H757" si="25">IF($C694="Replenishment",$G694,0)</f>
        <v>0</v>
      </c>
      <c r="I694" s="252">
        <f t="shared" si="24"/>
        <v>502900</v>
      </c>
      <c r="J694" s="170">
        <f>IF(A694="","",SUM($H$7:H694)-SUM($I$7:I694))</f>
        <v>-142134910</v>
      </c>
      <c r="K694" s="34"/>
    </row>
    <row r="695" spans="1:11" x14ac:dyDescent="0.2">
      <c r="A695" s="44">
        <v>44706</v>
      </c>
      <c r="B695" s="44" t="s">
        <v>732</v>
      </c>
      <c r="C695" s="35" t="s">
        <v>986</v>
      </c>
      <c r="D695" s="44" t="s">
        <v>2486</v>
      </c>
      <c r="E695" s="44" t="s">
        <v>1801</v>
      </c>
      <c r="F695" s="44"/>
      <c r="G695" s="130">
        <v>15000</v>
      </c>
      <c r="H695" s="252">
        <f t="shared" si="25"/>
        <v>0</v>
      </c>
      <c r="I695" s="252">
        <f t="shared" si="24"/>
        <v>15000</v>
      </c>
      <c r="J695" s="170">
        <f>IF(A695="","",SUM($H$7:H695)-SUM($I$7:I695))</f>
        <v>-142149910</v>
      </c>
      <c r="K695" s="34"/>
    </row>
    <row r="696" spans="1:11" x14ac:dyDescent="0.2">
      <c r="A696" s="44">
        <v>44707</v>
      </c>
      <c r="B696" s="44" t="s">
        <v>732</v>
      </c>
      <c r="C696" s="35" t="s">
        <v>986</v>
      </c>
      <c r="D696" s="44" t="s">
        <v>2487</v>
      </c>
      <c r="E696" s="44" t="s">
        <v>2512</v>
      </c>
      <c r="F696" s="44"/>
      <c r="G696" s="130">
        <v>3934500</v>
      </c>
      <c r="H696" s="252">
        <f t="shared" si="25"/>
        <v>0</v>
      </c>
      <c r="I696" s="252">
        <f t="shared" si="24"/>
        <v>3934500</v>
      </c>
      <c r="J696" s="170">
        <f>IF(A696="","",SUM($H$7:H696)-SUM($I$7:I696))</f>
        <v>-146084410</v>
      </c>
      <c r="K696" s="34"/>
    </row>
    <row r="697" spans="1:11" x14ac:dyDescent="0.2">
      <c r="A697" s="44">
        <v>44708</v>
      </c>
      <c r="B697" s="44" t="s">
        <v>732</v>
      </c>
      <c r="C697" s="35" t="s">
        <v>986</v>
      </c>
      <c r="D697" s="44" t="s">
        <v>2470</v>
      </c>
      <c r="E697" s="44" t="s">
        <v>2507</v>
      </c>
      <c r="F697" s="44"/>
      <c r="G697" s="130">
        <v>25000</v>
      </c>
      <c r="H697" s="252">
        <f t="shared" si="25"/>
        <v>0</v>
      </c>
      <c r="I697" s="252">
        <f t="shared" si="24"/>
        <v>25000</v>
      </c>
      <c r="J697" s="170">
        <f>IF(A697="","",SUM($H$7:H697)-SUM($I$7:I697))</f>
        <v>-146109410</v>
      </c>
      <c r="K697" s="34"/>
    </row>
    <row r="698" spans="1:11" x14ac:dyDescent="0.2">
      <c r="A698" s="44">
        <v>44711</v>
      </c>
      <c r="B698" s="44" t="s">
        <v>732</v>
      </c>
      <c r="C698" s="35" t="s">
        <v>986</v>
      </c>
      <c r="D698" s="44" t="s">
        <v>2494</v>
      </c>
      <c r="E698" s="44" t="s">
        <v>2507</v>
      </c>
      <c r="F698" s="44"/>
      <c r="G698" s="130">
        <v>80000</v>
      </c>
      <c r="H698" s="252">
        <f t="shared" si="25"/>
        <v>0</v>
      </c>
      <c r="I698" s="252">
        <f t="shared" si="24"/>
        <v>80000</v>
      </c>
      <c r="J698" s="170">
        <f>IF(A698="","",SUM($H$7:H698)-SUM($I$7:I698))</f>
        <v>-146189410</v>
      </c>
      <c r="K698" s="34"/>
    </row>
    <row r="699" spans="1:11" x14ac:dyDescent="0.2">
      <c r="A699" s="44">
        <v>44710</v>
      </c>
      <c r="B699" s="44" t="s">
        <v>732</v>
      </c>
      <c r="C699" s="35" t="s">
        <v>986</v>
      </c>
      <c r="D699" s="44" t="s">
        <v>2495</v>
      </c>
      <c r="E699" s="44" t="s">
        <v>2511</v>
      </c>
      <c r="F699" s="44"/>
      <c r="G699" s="130">
        <v>3000</v>
      </c>
      <c r="H699" s="252">
        <f t="shared" si="25"/>
        <v>0</v>
      </c>
      <c r="I699" s="252">
        <f t="shared" si="24"/>
        <v>3000</v>
      </c>
      <c r="J699" s="170">
        <f>IF(A699="","",SUM($H$7:H699)-SUM($I$7:I699))</f>
        <v>-146192410</v>
      </c>
      <c r="K699" s="34"/>
    </row>
    <row r="700" spans="1:11" x14ac:dyDescent="0.2">
      <c r="A700" s="44">
        <v>44713</v>
      </c>
      <c r="B700" s="44" t="s">
        <v>732</v>
      </c>
      <c r="C700" s="35" t="s">
        <v>986</v>
      </c>
      <c r="D700" s="44" t="s">
        <v>2497</v>
      </c>
      <c r="E700" s="44" t="s">
        <v>2514</v>
      </c>
      <c r="F700" s="44"/>
      <c r="G700" s="130">
        <v>1757400</v>
      </c>
      <c r="H700" s="252">
        <f t="shared" si="25"/>
        <v>0</v>
      </c>
      <c r="I700" s="252">
        <f t="shared" si="24"/>
        <v>1757400</v>
      </c>
      <c r="J700" s="170">
        <f>IF(A700="","",SUM($H$7:H700)-SUM($I$7:I700))</f>
        <v>-147949810</v>
      </c>
      <c r="K700" s="34"/>
    </row>
    <row r="701" spans="1:11" x14ac:dyDescent="0.2">
      <c r="A701" s="44"/>
      <c r="B701" s="44"/>
      <c r="C701" s="35"/>
      <c r="D701" s="44"/>
      <c r="E701" s="44"/>
      <c r="F701" s="44"/>
      <c r="G701" s="130"/>
      <c r="H701" s="252">
        <f t="shared" si="25"/>
        <v>0</v>
      </c>
      <c r="I701" s="252">
        <f t="shared" si="24"/>
        <v>0</v>
      </c>
      <c r="J701" s="170" t="str">
        <f>IF(A701="","",SUM($H$7:H701)-SUM($I$7:I701))</f>
        <v/>
      </c>
      <c r="K701" s="34"/>
    </row>
    <row r="702" spans="1:11" x14ac:dyDescent="0.2">
      <c r="A702" s="44"/>
      <c r="B702" s="44"/>
      <c r="C702" s="35"/>
      <c r="D702" s="44"/>
      <c r="E702" s="44"/>
      <c r="F702" s="44"/>
      <c r="G702" s="130"/>
      <c r="H702" s="252">
        <f t="shared" si="25"/>
        <v>0</v>
      </c>
      <c r="I702" s="252">
        <f t="shared" si="24"/>
        <v>0</v>
      </c>
      <c r="J702" s="170" t="str">
        <f>IF(A702="","",SUM($H$7:H702)-SUM($I$7:I702))</f>
        <v/>
      </c>
      <c r="K702" s="34"/>
    </row>
    <row r="703" spans="1:11" x14ac:dyDescent="0.2">
      <c r="A703" s="44"/>
      <c r="B703" s="44"/>
      <c r="C703" s="35"/>
      <c r="D703" s="44"/>
      <c r="E703" s="44"/>
      <c r="F703" s="44"/>
      <c r="G703" s="130"/>
      <c r="H703" s="252">
        <f t="shared" si="25"/>
        <v>0</v>
      </c>
      <c r="I703" s="252">
        <f t="shared" si="24"/>
        <v>0</v>
      </c>
      <c r="J703" s="170" t="str">
        <f>IF(A703="","",SUM($H$7:H703)-SUM($I$7:I703))</f>
        <v/>
      </c>
      <c r="K703" s="34"/>
    </row>
    <row r="704" spans="1:11" x14ac:dyDescent="0.2">
      <c r="A704" s="44"/>
      <c r="B704" s="44"/>
      <c r="C704" s="35"/>
      <c r="D704" s="44"/>
      <c r="E704" s="44"/>
      <c r="F704" s="44"/>
      <c r="G704" s="130"/>
      <c r="H704" s="252">
        <f t="shared" si="25"/>
        <v>0</v>
      </c>
      <c r="I704" s="252">
        <f t="shared" si="24"/>
        <v>0</v>
      </c>
      <c r="J704" s="170" t="str">
        <f>IF(A704="","",SUM($H$7:H704)-SUM($I$7:I704))</f>
        <v/>
      </c>
      <c r="K704" s="34"/>
    </row>
    <row r="705" spans="1:11" x14ac:dyDescent="0.2">
      <c r="A705" s="44"/>
      <c r="B705" s="44"/>
      <c r="C705" s="35"/>
      <c r="D705" s="44"/>
      <c r="E705" s="44"/>
      <c r="F705" s="44"/>
      <c r="G705" s="130"/>
      <c r="H705" s="252">
        <f t="shared" si="25"/>
        <v>0</v>
      </c>
      <c r="I705" s="252">
        <f t="shared" si="24"/>
        <v>0</v>
      </c>
      <c r="J705" s="170" t="str">
        <f>IF(A705="","",SUM($H$7:H705)-SUM($I$7:I705))</f>
        <v/>
      </c>
      <c r="K705" s="34"/>
    </row>
    <row r="706" spans="1:11" x14ac:dyDescent="0.2">
      <c r="A706" s="44"/>
      <c r="B706" s="44"/>
      <c r="C706" s="35"/>
      <c r="D706" s="44"/>
      <c r="E706" s="44"/>
      <c r="F706" s="44"/>
      <c r="G706" s="130"/>
      <c r="H706" s="252">
        <f t="shared" si="25"/>
        <v>0</v>
      </c>
      <c r="I706" s="252">
        <f t="shared" si="24"/>
        <v>0</v>
      </c>
      <c r="J706" s="170" t="str">
        <f>IF(A706="","",SUM($H$7:H706)-SUM($I$7:I706))</f>
        <v/>
      </c>
      <c r="K706" s="34"/>
    </row>
    <row r="707" spans="1:11" x14ac:dyDescent="0.2">
      <c r="A707" s="44"/>
      <c r="B707" s="44"/>
      <c r="C707" s="35"/>
      <c r="D707" s="44"/>
      <c r="E707" s="44"/>
      <c r="F707" s="44"/>
      <c r="G707" s="130"/>
      <c r="H707" s="252">
        <f t="shared" si="25"/>
        <v>0</v>
      </c>
      <c r="I707" s="252">
        <f t="shared" si="24"/>
        <v>0</v>
      </c>
      <c r="J707" s="170" t="str">
        <f>IF(A707="","",SUM($H$7:H707)-SUM($I$7:I707))</f>
        <v/>
      </c>
      <c r="K707" s="34"/>
    </row>
    <row r="708" spans="1:11" x14ac:dyDescent="0.2">
      <c r="A708" s="44"/>
      <c r="B708" s="44"/>
      <c r="C708" s="35"/>
      <c r="D708" s="44"/>
      <c r="E708" s="44"/>
      <c r="F708" s="44"/>
      <c r="G708" s="130"/>
      <c r="H708" s="252">
        <f t="shared" si="25"/>
        <v>0</v>
      </c>
      <c r="I708" s="252">
        <f t="shared" si="24"/>
        <v>0</v>
      </c>
      <c r="J708" s="170" t="str">
        <f>IF(A708="","",SUM($H$7:H708)-SUM($I$7:I708))</f>
        <v/>
      </c>
      <c r="K708" s="34"/>
    </row>
    <row r="709" spans="1:11" x14ac:dyDescent="0.2">
      <c r="A709" s="44"/>
      <c r="B709" s="44"/>
      <c r="C709" s="35"/>
      <c r="D709" s="44"/>
      <c r="E709" s="44"/>
      <c r="F709" s="44"/>
      <c r="G709" s="130"/>
      <c r="H709" s="252">
        <f t="shared" si="25"/>
        <v>0</v>
      </c>
      <c r="I709" s="252">
        <f t="shared" si="24"/>
        <v>0</v>
      </c>
      <c r="J709" s="170" t="str">
        <f>IF(A709="","",SUM($H$7:H709)-SUM($I$7:I709))</f>
        <v/>
      </c>
      <c r="K709" s="34"/>
    </row>
    <row r="710" spans="1:11" x14ac:dyDescent="0.2">
      <c r="A710" s="44"/>
      <c r="B710" s="44"/>
      <c r="C710" s="35"/>
      <c r="D710" s="44"/>
      <c r="E710" s="44"/>
      <c r="F710" s="44"/>
      <c r="G710" s="130"/>
      <c r="H710" s="252">
        <f t="shared" si="25"/>
        <v>0</v>
      </c>
      <c r="I710" s="252">
        <f t="shared" si="24"/>
        <v>0</v>
      </c>
      <c r="J710" s="170" t="str">
        <f>IF(A710="","",SUM($H$7:H710)-SUM($I$7:I710))</f>
        <v/>
      </c>
      <c r="K710" s="34"/>
    </row>
    <row r="711" spans="1:11" x14ac:dyDescent="0.2">
      <c r="A711" s="44"/>
      <c r="B711" s="44"/>
      <c r="C711" s="35"/>
      <c r="D711" s="44"/>
      <c r="E711" s="44"/>
      <c r="F711" s="44"/>
      <c r="G711" s="130"/>
      <c r="H711" s="252">
        <f t="shared" si="25"/>
        <v>0</v>
      </c>
      <c r="I711" s="252">
        <f t="shared" ref="I711:I774" si="26">IF($C711="Replenishment",0,$G711)</f>
        <v>0</v>
      </c>
      <c r="J711" s="170" t="str">
        <f>IF(A711="","",SUM($H$7:H711)-SUM($I$7:I711))</f>
        <v/>
      </c>
      <c r="K711" s="34"/>
    </row>
    <row r="712" spans="1:11" x14ac:dyDescent="0.2">
      <c r="A712" s="44"/>
      <c r="B712" s="44"/>
      <c r="C712" s="35"/>
      <c r="D712" s="44"/>
      <c r="E712" s="44"/>
      <c r="F712" s="44"/>
      <c r="G712" s="130"/>
      <c r="H712" s="252">
        <f t="shared" si="25"/>
        <v>0</v>
      </c>
      <c r="I712" s="252">
        <f t="shared" si="26"/>
        <v>0</v>
      </c>
      <c r="J712" s="170" t="str">
        <f>IF(A712="","",SUM($H$7:H712)-SUM($I$7:I712))</f>
        <v/>
      </c>
      <c r="K712" s="34"/>
    </row>
    <row r="713" spans="1:11" x14ac:dyDescent="0.2">
      <c r="A713" s="44"/>
      <c r="B713" s="44"/>
      <c r="C713" s="35"/>
      <c r="D713" s="44"/>
      <c r="E713" s="44"/>
      <c r="F713" s="44"/>
      <c r="G713" s="130"/>
      <c r="H713" s="252">
        <f t="shared" si="25"/>
        <v>0</v>
      </c>
      <c r="I713" s="252">
        <f t="shared" si="26"/>
        <v>0</v>
      </c>
      <c r="J713" s="170" t="str">
        <f>IF(A713="","",SUM($H$7:H713)-SUM($I$7:I713))</f>
        <v/>
      </c>
      <c r="K713" s="34"/>
    </row>
    <row r="714" spans="1:11" x14ac:dyDescent="0.2">
      <c r="A714" s="44"/>
      <c r="B714" s="44"/>
      <c r="C714" s="35"/>
      <c r="D714" s="44"/>
      <c r="E714" s="44"/>
      <c r="F714" s="44"/>
      <c r="G714" s="130"/>
      <c r="H714" s="252">
        <f t="shared" si="25"/>
        <v>0</v>
      </c>
      <c r="I714" s="252">
        <f t="shared" si="26"/>
        <v>0</v>
      </c>
      <c r="J714" s="170" t="str">
        <f>IF(A714="","",SUM($H$7:H714)-SUM($I$7:I714))</f>
        <v/>
      </c>
      <c r="K714" s="34"/>
    </row>
    <row r="715" spans="1:11" x14ac:dyDescent="0.2">
      <c r="A715" s="44"/>
      <c r="B715" s="44"/>
      <c r="C715" s="35"/>
      <c r="D715" s="44"/>
      <c r="E715" s="44"/>
      <c r="F715" s="44"/>
      <c r="G715" s="130"/>
      <c r="H715" s="252">
        <f t="shared" si="25"/>
        <v>0</v>
      </c>
      <c r="I715" s="252">
        <f t="shared" si="26"/>
        <v>0</v>
      </c>
      <c r="J715" s="170" t="str">
        <f>IF(A715="","",SUM($H$7:H715)-SUM($I$7:I715))</f>
        <v/>
      </c>
      <c r="K715" s="34"/>
    </row>
    <row r="716" spans="1:11" x14ac:dyDescent="0.2">
      <c r="A716" s="44"/>
      <c r="B716" s="44"/>
      <c r="C716" s="35"/>
      <c r="D716" s="44"/>
      <c r="E716" s="44"/>
      <c r="F716" s="44"/>
      <c r="G716" s="130"/>
      <c r="H716" s="252">
        <f t="shared" si="25"/>
        <v>0</v>
      </c>
      <c r="I716" s="252">
        <f t="shared" si="26"/>
        <v>0</v>
      </c>
      <c r="J716" s="170" t="str">
        <f>IF(A716="","",SUM($H$7:H716)-SUM($I$7:I716))</f>
        <v/>
      </c>
      <c r="K716" s="34"/>
    </row>
    <row r="717" spans="1:11" x14ac:dyDescent="0.2">
      <c r="A717" s="44"/>
      <c r="B717" s="44"/>
      <c r="C717" s="35"/>
      <c r="D717" s="44"/>
      <c r="E717" s="44"/>
      <c r="F717" s="44"/>
      <c r="G717" s="130"/>
      <c r="H717" s="252">
        <f t="shared" si="25"/>
        <v>0</v>
      </c>
      <c r="I717" s="252">
        <f t="shared" si="26"/>
        <v>0</v>
      </c>
      <c r="J717" s="170" t="str">
        <f>IF(A717="","",SUM($H$7:H717)-SUM($I$7:I717))</f>
        <v/>
      </c>
      <c r="K717" s="34"/>
    </row>
    <row r="718" spans="1:11" x14ac:dyDescent="0.2">
      <c r="A718" s="44"/>
      <c r="B718" s="44"/>
      <c r="C718" s="35"/>
      <c r="D718" s="44"/>
      <c r="E718" s="44"/>
      <c r="F718" s="44"/>
      <c r="G718" s="130"/>
      <c r="H718" s="252">
        <f t="shared" si="25"/>
        <v>0</v>
      </c>
      <c r="I718" s="252">
        <f t="shared" si="26"/>
        <v>0</v>
      </c>
      <c r="J718" s="170" t="str">
        <f>IF(A718="","",SUM($H$7:H718)-SUM($I$7:I718))</f>
        <v/>
      </c>
      <c r="K718" s="34"/>
    </row>
    <row r="719" spans="1:11" x14ac:dyDescent="0.2">
      <c r="A719" s="44"/>
      <c r="B719" s="44"/>
      <c r="C719" s="35"/>
      <c r="D719" s="44"/>
      <c r="E719" s="44"/>
      <c r="F719" s="44"/>
      <c r="G719" s="130"/>
      <c r="H719" s="252">
        <f t="shared" si="25"/>
        <v>0</v>
      </c>
      <c r="I719" s="252">
        <f t="shared" si="26"/>
        <v>0</v>
      </c>
      <c r="J719" s="170" t="str">
        <f>IF(A719="","",SUM($H$7:H719)-SUM($I$7:I719))</f>
        <v/>
      </c>
      <c r="K719" s="34"/>
    </row>
    <row r="720" spans="1:11" x14ac:dyDescent="0.2">
      <c r="A720" s="44"/>
      <c r="B720" s="44"/>
      <c r="C720" s="35"/>
      <c r="D720" s="44"/>
      <c r="E720" s="44"/>
      <c r="F720" s="44"/>
      <c r="G720" s="130"/>
      <c r="H720" s="252">
        <f t="shared" si="25"/>
        <v>0</v>
      </c>
      <c r="I720" s="252">
        <f t="shared" si="26"/>
        <v>0</v>
      </c>
      <c r="J720" s="170" t="str">
        <f>IF(A720="","",SUM($H$7:H720)-SUM($I$7:I720))</f>
        <v/>
      </c>
      <c r="K720" s="34"/>
    </row>
    <row r="721" spans="1:11" x14ac:dyDescent="0.2">
      <c r="A721" s="44"/>
      <c r="B721" s="44"/>
      <c r="C721" s="35"/>
      <c r="D721" s="44"/>
      <c r="E721" s="44"/>
      <c r="F721" s="44"/>
      <c r="G721" s="130"/>
      <c r="H721" s="252">
        <f t="shared" si="25"/>
        <v>0</v>
      </c>
      <c r="I721" s="252">
        <f t="shared" si="26"/>
        <v>0</v>
      </c>
      <c r="J721" s="170" t="str">
        <f>IF(A721="","",SUM($H$7:H721)-SUM($I$7:I721))</f>
        <v/>
      </c>
      <c r="K721" s="34"/>
    </row>
    <row r="722" spans="1:11" x14ac:dyDescent="0.2">
      <c r="A722" s="44"/>
      <c r="B722" s="44"/>
      <c r="C722" s="35"/>
      <c r="D722" s="44"/>
      <c r="E722" s="44"/>
      <c r="F722" s="44"/>
      <c r="G722" s="130"/>
      <c r="H722" s="252">
        <f t="shared" si="25"/>
        <v>0</v>
      </c>
      <c r="I722" s="252">
        <f t="shared" si="26"/>
        <v>0</v>
      </c>
      <c r="J722" s="170" t="str">
        <f>IF(A722="","",SUM($H$7:H722)-SUM($I$7:I722))</f>
        <v/>
      </c>
      <c r="K722" s="34"/>
    </row>
    <row r="723" spans="1:11" x14ac:dyDescent="0.2">
      <c r="A723" s="44"/>
      <c r="B723" s="44"/>
      <c r="C723" s="35"/>
      <c r="D723" s="44"/>
      <c r="E723" s="44"/>
      <c r="F723" s="44"/>
      <c r="G723" s="130"/>
      <c r="H723" s="252">
        <f t="shared" si="25"/>
        <v>0</v>
      </c>
      <c r="I723" s="252">
        <f t="shared" si="26"/>
        <v>0</v>
      </c>
      <c r="J723" s="170" t="str">
        <f>IF(A723="","",SUM($H$7:H723)-SUM($I$7:I723))</f>
        <v/>
      </c>
      <c r="K723" s="34"/>
    </row>
    <row r="724" spans="1:11" x14ac:dyDescent="0.2">
      <c r="A724" s="44"/>
      <c r="B724" s="44"/>
      <c r="C724" s="35"/>
      <c r="D724" s="44"/>
      <c r="E724" s="44"/>
      <c r="F724" s="44"/>
      <c r="G724" s="130"/>
      <c r="H724" s="252">
        <f t="shared" si="25"/>
        <v>0</v>
      </c>
      <c r="I724" s="252">
        <f t="shared" si="26"/>
        <v>0</v>
      </c>
      <c r="J724" s="170" t="str">
        <f>IF(A724="","",SUM($H$7:H724)-SUM($I$7:I724))</f>
        <v/>
      </c>
      <c r="K724" s="34"/>
    </row>
    <row r="725" spans="1:11" x14ac:dyDescent="0.2">
      <c r="A725" s="44"/>
      <c r="B725" s="44"/>
      <c r="C725" s="35"/>
      <c r="D725" s="44"/>
      <c r="E725" s="44"/>
      <c r="F725" s="44"/>
      <c r="G725" s="130"/>
      <c r="H725" s="252">
        <f t="shared" si="25"/>
        <v>0</v>
      </c>
      <c r="I725" s="252">
        <f t="shared" si="26"/>
        <v>0</v>
      </c>
      <c r="J725" s="170" t="str">
        <f>IF(A725="","",SUM($H$7:H725)-SUM($I$7:I725))</f>
        <v/>
      </c>
      <c r="K725" s="34"/>
    </row>
    <row r="726" spans="1:11" x14ac:dyDescent="0.2">
      <c r="A726" s="44"/>
      <c r="B726" s="44"/>
      <c r="C726" s="35"/>
      <c r="D726" s="44"/>
      <c r="E726" s="44"/>
      <c r="F726" s="44"/>
      <c r="G726" s="130"/>
      <c r="H726" s="252">
        <f t="shared" si="25"/>
        <v>0</v>
      </c>
      <c r="I726" s="252">
        <f t="shared" si="26"/>
        <v>0</v>
      </c>
      <c r="J726" s="170" t="str">
        <f>IF(A726="","",SUM($H$7:H726)-SUM($I$7:I726))</f>
        <v/>
      </c>
      <c r="K726" s="34"/>
    </row>
    <row r="727" spans="1:11" x14ac:dyDescent="0.2">
      <c r="A727" s="44"/>
      <c r="B727" s="44"/>
      <c r="C727" s="35"/>
      <c r="D727" s="44" t="s">
        <v>1639</v>
      </c>
      <c r="E727" s="44" t="s">
        <v>1802</v>
      </c>
      <c r="F727" s="44"/>
      <c r="G727" s="130">
        <v>105000</v>
      </c>
      <c r="H727" s="252">
        <f t="shared" si="25"/>
        <v>0</v>
      </c>
      <c r="I727" s="252">
        <f t="shared" si="26"/>
        <v>105000</v>
      </c>
      <c r="J727" s="170" t="str">
        <f>IF(A727="","",SUM($H$7:H727)-SUM($I$7:I727))</f>
        <v/>
      </c>
      <c r="K727" s="34"/>
    </row>
    <row r="728" spans="1:11" x14ac:dyDescent="0.2">
      <c r="A728" s="44"/>
      <c r="B728" s="44"/>
      <c r="C728" s="35"/>
      <c r="D728" s="44"/>
      <c r="E728" s="44"/>
      <c r="F728" s="44"/>
      <c r="G728" s="130"/>
      <c r="H728" s="252">
        <f t="shared" si="25"/>
        <v>0</v>
      </c>
      <c r="I728" s="252">
        <f t="shared" si="26"/>
        <v>0</v>
      </c>
      <c r="J728" s="170" t="str">
        <f>IF(A728="","",SUM($H$7:H728)-SUM($I$7:I728))</f>
        <v/>
      </c>
      <c r="K728" s="34"/>
    </row>
    <row r="729" spans="1:11" x14ac:dyDescent="0.2">
      <c r="A729" s="44"/>
      <c r="B729" s="44"/>
      <c r="C729" s="35"/>
      <c r="D729" s="44"/>
      <c r="E729" s="44"/>
      <c r="F729" s="44"/>
      <c r="G729" s="130"/>
      <c r="H729" s="252">
        <f t="shared" si="25"/>
        <v>0</v>
      </c>
      <c r="I729" s="252">
        <f t="shared" si="26"/>
        <v>0</v>
      </c>
      <c r="J729" s="170" t="str">
        <f>IF(A729="","",SUM($H$7:H729)-SUM($I$7:I729))</f>
        <v/>
      </c>
      <c r="K729" s="34"/>
    </row>
    <row r="730" spans="1:11" x14ac:dyDescent="0.2">
      <c r="A730" s="44"/>
      <c r="B730" s="44"/>
      <c r="C730" s="35"/>
      <c r="D730" s="44"/>
      <c r="E730" s="44"/>
      <c r="F730" s="44"/>
      <c r="G730" s="130"/>
      <c r="H730" s="252">
        <f t="shared" si="25"/>
        <v>0</v>
      </c>
      <c r="I730" s="252">
        <f t="shared" si="26"/>
        <v>0</v>
      </c>
      <c r="J730" s="170" t="str">
        <f>IF(A730="","",SUM($H$7:H730)-SUM($I$7:I730))</f>
        <v/>
      </c>
      <c r="K730" s="34"/>
    </row>
    <row r="731" spans="1:11" x14ac:dyDescent="0.2">
      <c r="A731" s="44"/>
      <c r="B731" s="44"/>
      <c r="C731" s="35"/>
      <c r="D731" s="44"/>
      <c r="E731" s="44"/>
      <c r="F731" s="44"/>
      <c r="G731" s="130"/>
      <c r="H731" s="252">
        <f t="shared" si="25"/>
        <v>0</v>
      </c>
      <c r="I731" s="252">
        <f t="shared" si="26"/>
        <v>0</v>
      </c>
      <c r="J731" s="170" t="str">
        <f>IF(A731="","",SUM($H$7:H731)-SUM($I$7:I731))</f>
        <v/>
      </c>
      <c r="K731" s="34"/>
    </row>
    <row r="732" spans="1:11" x14ac:dyDescent="0.2">
      <c r="A732" s="44"/>
      <c r="B732" s="44"/>
      <c r="C732" s="35"/>
      <c r="D732" s="44"/>
      <c r="E732" s="44"/>
      <c r="F732" s="44"/>
      <c r="G732" s="130"/>
      <c r="H732" s="252">
        <f t="shared" si="25"/>
        <v>0</v>
      </c>
      <c r="I732" s="252">
        <f t="shared" si="26"/>
        <v>0</v>
      </c>
      <c r="J732" s="170" t="str">
        <f>IF(A732="","",SUM($H$7:H732)-SUM($I$7:I732))</f>
        <v/>
      </c>
      <c r="K732" s="34"/>
    </row>
    <row r="733" spans="1:11" x14ac:dyDescent="0.2">
      <c r="A733" s="44"/>
      <c r="B733" s="44"/>
      <c r="C733" s="35"/>
      <c r="D733" s="44"/>
      <c r="E733" s="44"/>
      <c r="F733" s="44"/>
      <c r="G733" s="130"/>
      <c r="H733" s="252">
        <f t="shared" si="25"/>
        <v>0</v>
      </c>
      <c r="I733" s="252">
        <f t="shared" si="26"/>
        <v>0</v>
      </c>
      <c r="J733" s="170" t="str">
        <f>IF(A733="","",SUM($H$7:H733)-SUM($I$7:I733))</f>
        <v/>
      </c>
      <c r="K733" s="34"/>
    </row>
    <row r="734" spans="1:11" x14ac:dyDescent="0.2">
      <c r="A734" s="44"/>
      <c r="B734" s="44"/>
      <c r="C734" s="35"/>
      <c r="D734" s="44"/>
      <c r="E734" s="44"/>
      <c r="F734" s="44"/>
      <c r="G734" s="130"/>
      <c r="H734" s="252">
        <f t="shared" si="25"/>
        <v>0</v>
      </c>
      <c r="I734" s="252">
        <f t="shared" si="26"/>
        <v>0</v>
      </c>
      <c r="J734" s="170" t="str">
        <f>IF(A734="","",SUM($H$7:H734)-SUM($I$7:I734))</f>
        <v/>
      </c>
      <c r="K734" s="34"/>
    </row>
    <row r="735" spans="1:11" x14ac:dyDescent="0.2">
      <c r="A735" s="44"/>
      <c r="B735" s="44"/>
      <c r="C735" s="35"/>
      <c r="D735" s="44"/>
      <c r="E735" s="44"/>
      <c r="F735" s="44"/>
      <c r="G735" s="130"/>
      <c r="H735" s="252">
        <f t="shared" si="25"/>
        <v>0</v>
      </c>
      <c r="I735" s="252">
        <f t="shared" si="26"/>
        <v>0</v>
      </c>
      <c r="J735" s="170" t="str">
        <f>IF(A735="","",SUM($H$7:H735)-SUM($I$7:I735))</f>
        <v/>
      </c>
      <c r="K735" s="34"/>
    </row>
    <row r="736" spans="1:11" x14ac:dyDescent="0.2">
      <c r="A736" s="44"/>
      <c r="B736" s="44"/>
      <c r="C736" s="35"/>
      <c r="D736" s="44"/>
      <c r="E736" s="44"/>
      <c r="F736" s="44"/>
      <c r="G736" s="130"/>
      <c r="H736" s="252">
        <f t="shared" si="25"/>
        <v>0</v>
      </c>
      <c r="I736" s="252">
        <f t="shared" si="26"/>
        <v>0</v>
      </c>
      <c r="J736" s="170" t="str">
        <f>IF(A736="","",SUM($H$7:H736)-SUM($I$7:I736))</f>
        <v/>
      </c>
      <c r="K736" s="34"/>
    </row>
    <row r="737" spans="1:11" x14ac:dyDescent="0.2">
      <c r="A737" s="44"/>
      <c r="B737" s="44"/>
      <c r="C737" s="35"/>
      <c r="D737" s="44"/>
      <c r="E737" s="44"/>
      <c r="F737" s="44"/>
      <c r="G737" s="130"/>
      <c r="H737" s="252">
        <f t="shared" si="25"/>
        <v>0</v>
      </c>
      <c r="I737" s="252">
        <f t="shared" si="26"/>
        <v>0</v>
      </c>
      <c r="J737" s="170" t="str">
        <f>IF(A737="","",SUM($H$7:H737)-SUM($I$7:I737))</f>
        <v/>
      </c>
      <c r="K737" s="34"/>
    </row>
    <row r="738" spans="1:11" x14ac:dyDescent="0.2">
      <c r="A738" s="44"/>
      <c r="B738" s="44"/>
      <c r="C738" s="35"/>
      <c r="D738" s="44"/>
      <c r="E738" s="44"/>
      <c r="F738" s="44"/>
      <c r="G738" s="130"/>
      <c r="H738" s="252">
        <f t="shared" si="25"/>
        <v>0</v>
      </c>
      <c r="I738" s="252">
        <f t="shared" si="26"/>
        <v>0</v>
      </c>
      <c r="J738" s="170" t="str">
        <f>IF(A738="","",SUM($H$7:H738)-SUM($I$7:I738))</f>
        <v/>
      </c>
      <c r="K738" s="34"/>
    </row>
    <row r="739" spans="1:11" x14ac:dyDescent="0.2">
      <c r="A739" s="44"/>
      <c r="B739" s="44"/>
      <c r="C739" s="35"/>
      <c r="D739" s="44"/>
      <c r="E739" s="44"/>
      <c r="F739" s="44"/>
      <c r="G739" s="130"/>
      <c r="H739" s="252">
        <f t="shared" si="25"/>
        <v>0</v>
      </c>
      <c r="I739" s="252">
        <f t="shared" si="26"/>
        <v>0</v>
      </c>
      <c r="J739" s="170" t="str">
        <f>IF(A739="","",SUM($H$7:H739)-SUM($I$7:I739))</f>
        <v/>
      </c>
      <c r="K739" s="34"/>
    </row>
    <row r="740" spans="1:11" x14ac:dyDescent="0.2">
      <c r="A740" s="44"/>
      <c r="B740" s="44"/>
      <c r="C740" s="35"/>
      <c r="D740" s="44"/>
      <c r="E740" s="44"/>
      <c r="F740" s="44"/>
      <c r="G740" s="130"/>
      <c r="H740" s="252">
        <f t="shared" si="25"/>
        <v>0</v>
      </c>
      <c r="I740" s="252">
        <f t="shared" si="26"/>
        <v>0</v>
      </c>
      <c r="J740" s="170" t="str">
        <f>IF(A740="","",SUM($H$7:H740)-SUM($I$7:I740))</f>
        <v/>
      </c>
      <c r="K740" s="34"/>
    </row>
    <row r="741" spans="1:11" x14ac:dyDescent="0.2">
      <c r="A741" s="44"/>
      <c r="B741" s="44"/>
      <c r="C741" s="35"/>
      <c r="D741" s="44"/>
      <c r="E741" s="44"/>
      <c r="F741" s="44"/>
      <c r="G741" s="130"/>
      <c r="H741" s="252">
        <f t="shared" si="25"/>
        <v>0</v>
      </c>
      <c r="I741" s="252">
        <f t="shared" si="26"/>
        <v>0</v>
      </c>
      <c r="J741" s="170" t="str">
        <f>IF(A741="","",SUM($H$7:H741)-SUM($I$7:I741))</f>
        <v/>
      </c>
      <c r="K741" s="34"/>
    </row>
    <row r="742" spans="1:11" x14ac:dyDescent="0.2">
      <c r="A742" s="44"/>
      <c r="B742" s="44"/>
      <c r="C742" s="35"/>
      <c r="D742" s="44"/>
      <c r="E742" s="44"/>
      <c r="F742" s="44"/>
      <c r="G742" s="130"/>
      <c r="H742" s="252">
        <f t="shared" si="25"/>
        <v>0</v>
      </c>
      <c r="I742" s="252">
        <f t="shared" si="26"/>
        <v>0</v>
      </c>
      <c r="J742" s="170" t="str">
        <f>IF(A742="","",SUM($H$7:H742)-SUM($I$7:I742))</f>
        <v/>
      </c>
      <c r="K742" s="34"/>
    </row>
    <row r="743" spans="1:11" x14ac:dyDescent="0.2">
      <c r="A743" s="44"/>
      <c r="B743" s="44"/>
      <c r="C743" s="35"/>
      <c r="D743" s="44"/>
      <c r="E743" s="44"/>
      <c r="F743" s="44"/>
      <c r="G743" s="130"/>
      <c r="H743" s="252">
        <f t="shared" si="25"/>
        <v>0</v>
      </c>
      <c r="I743" s="252">
        <f t="shared" si="26"/>
        <v>0</v>
      </c>
      <c r="J743" s="170" t="str">
        <f>IF(A743="","",SUM($H$7:H743)-SUM($I$7:I743))</f>
        <v/>
      </c>
      <c r="K743" s="34"/>
    </row>
    <row r="744" spans="1:11" x14ac:dyDescent="0.2">
      <c r="A744" s="44"/>
      <c r="B744" s="44"/>
      <c r="C744" s="35"/>
      <c r="D744" s="44"/>
      <c r="E744" s="44"/>
      <c r="F744" s="44"/>
      <c r="G744" s="130"/>
      <c r="H744" s="252">
        <f t="shared" si="25"/>
        <v>0</v>
      </c>
      <c r="I744" s="252">
        <f t="shared" si="26"/>
        <v>0</v>
      </c>
      <c r="J744" s="170" t="str">
        <f>IF(A744="","",SUM($H$7:H744)-SUM($I$7:I744))</f>
        <v/>
      </c>
      <c r="K744" s="34"/>
    </row>
    <row r="745" spans="1:11" x14ac:dyDescent="0.2">
      <c r="A745" s="44"/>
      <c r="B745" s="44"/>
      <c r="C745" s="35"/>
      <c r="D745" s="44"/>
      <c r="E745" s="44"/>
      <c r="F745" s="44"/>
      <c r="G745" s="130"/>
      <c r="H745" s="252">
        <f t="shared" si="25"/>
        <v>0</v>
      </c>
      <c r="I745" s="252">
        <f t="shared" si="26"/>
        <v>0</v>
      </c>
      <c r="J745" s="170" t="str">
        <f>IF(A745="","",SUM($H$7:H745)-SUM($I$7:I745))</f>
        <v/>
      </c>
      <c r="K745" s="34"/>
    </row>
    <row r="746" spans="1:11" x14ac:dyDescent="0.2">
      <c r="A746" s="44"/>
      <c r="B746" s="44"/>
      <c r="C746" s="35"/>
      <c r="D746" s="44"/>
      <c r="E746" s="44"/>
      <c r="F746" s="44"/>
      <c r="G746" s="130"/>
      <c r="H746" s="252">
        <f t="shared" si="25"/>
        <v>0</v>
      </c>
      <c r="I746" s="252">
        <f t="shared" si="26"/>
        <v>0</v>
      </c>
      <c r="J746" s="170" t="str">
        <f>IF(A746="","",SUM($H$7:H746)-SUM($I$7:I746))</f>
        <v/>
      </c>
      <c r="K746" s="34"/>
    </row>
    <row r="747" spans="1:11" x14ac:dyDescent="0.2">
      <c r="A747" s="44"/>
      <c r="B747" s="44"/>
      <c r="C747" s="35"/>
      <c r="D747" s="44"/>
      <c r="E747" s="44"/>
      <c r="F747" s="44"/>
      <c r="G747" s="130"/>
      <c r="H747" s="252">
        <f t="shared" si="25"/>
        <v>0</v>
      </c>
      <c r="I747" s="252">
        <f t="shared" si="26"/>
        <v>0</v>
      </c>
      <c r="J747" s="170" t="str">
        <f>IF(A747="","",SUM($H$7:H747)-SUM($I$7:I747))</f>
        <v/>
      </c>
      <c r="K747" s="34"/>
    </row>
    <row r="748" spans="1:11" x14ac:dyDescent="0.2">
      <c r="A748" s="44"/>
      <c r="B748" s="44"/>
      <c r="C748" s="35"/>
      <c r="D748" s="44"/>
      <c r="E748" s="44"/>
      <c r="F748" s="44"/>
      <c r="G748" s="130"/>
      <c r="H748" s="252">
        <f t="shared" si="25"/>
        <v>0</v>
      </c>
      <c r="I748" s="252">
        <f t="shared" si="26"/>
        <v>0</v>
      </c>
      <c r="J748" s="170" t="str">
        <f>IF(A748="","",SUM($H$7:H748)-SUM($I$7:I748))</f>
        <v/>
      </c>
      <c r="K748" s="34"/>
    </row>
    <row r="749" spans="1:11" x14ac:dyDescent="0.2">
      <c r="A749" s="44"/>
      <c r="B749" s="44"/>
      <c r="C749" s="35"/>
      <c r="D749" s="44"/>
      <c r="E749" s="44"/>
      <c r="F749" s="44"/>
      <c r="G749" s="130"/>
      <c r="H749" s="252">
        <f t="shared" si="25"/>
        <v>0</v>
      </c>
      <c r="I749" s="252">
        <f t="shared" si="26"/>
        <v>0</v>
      </c>
      <c r="J749" s="170" t="str">
        <f>IF(A749="","",SUM($H$7:H749)-SUM($I$7:I749))</f>
        <v/>
      </c>
      <c r="K749" s="34"/>
    </row>
    <row r="750" spans="1:11" x14ac:dyDescent="0.2">
      <c r="A750" s="44"/>
      <c r="B750" s="44"/>
      <c r="C750" s="35"/>
      <c r="D750" s="44"/>
      <c r="E750" s="44"/>
      <c r="F750" s="44"/>
      <c r="G750" s="130"/>
      <c r="H750" s="252">
        <f t="shared" si="25"/>
        <v>0</v>
      </c>
      <c r="I750" s="252">
        <f t="shared" si="26"/>
        <v>0</v>
      </c>
      <c r="J750" s="170" t="str">
        <f>IF(A750="","",SUM($H$7:H750)-SUM($I$7:I750))</f>
        <v/>
      </c>
      <c r="K750" s="34"/>
    </row>
    <row r="751" spans="1:11" x14ac:dyDescent="0.2">
      <c r="A751" s="44"/>
      <c r="B751" s="44"/>
      <c r="C751" s="35"/>
      <c r="D751" s="44"/>
      <c r="E751" s="44"/>
      <c r="F751" s="44"/>
      <c r="G751" s="130"/>
      <c r="H751" s="252">
        <f t="shared" si="25"/>
        <v>0</v>
      </c>
      <c r="I751" s="252">
        <f t="shared" si="26"/>
        <v>0</v>
      </c>
      <c r="J751" s="170" t="str">
        <f>IF(A751="","",SUM($H$7:H751)-SUM($I$7:I751))</f>
        <v/>
      </c>
      <c r="K751" s="34"/>
    </row>
    <row r="752" spans="1:11" x14ac:dyDescent="0.2">
      <c r="A752" s="44"/>
      <c r="B752" s="44"/>
      <c r="C752" s="35"/>
      <c r="D752" s="44"/>
      <c r="E752" s="44"/>
      <c r="F752" s="44"/>
      <c r="G752" s="130"/>
      <c r="H752" s="252">
        <f t="shared" si="25"/>
        <v>0</v>
      </c>
      <c r="I752" s="252">
        <f t="shared" si="26"/>
        <v>0</v>
      </c>
      <c r="J752" s="170" t="str">
        <f>IF(A752="","",SUM($H$7:H752)-SUM($I$7:I752))</f>
        <v/>
      </c>
      <c r="K752" s="34"/>
    </row>
    <row r="753" spans="1:11" x14ac:dyDescent="0.2">
      <c r="A753" s="44"/>
      <c r="B753" s="44"/>
      <c r="C753" s="35"/>
      <c r="D753" s="44"/>
      <c r="E753" s="44"/>
      <c r="F753" s="44"/>
      <c r="G753" s="130"/>
      <c r="H753" s="252">
        <f t="shared" si="25"/>
        <v>0</v>
      </c>
      <c r="I753" s="252">
        <f t="shared" si="26"/>
        <v>0</v>
      </c>
      <c r="J753" s="170" t="str">
        <f>IF(A753="","",SUM($H$7:H753)-SUM($I$7:I753))</f>
        <v/>
      </c>
      <c r="K753" s="34"/>
    </row>
    <row r="754" spans="1:11" x14ac:dyDescent="0.2">
      <c r="A754" s="44"/>
      <c r="B754" s="44"/>
      <c r="C754" s="35"/>
      <c r="D754" s="44"/>
      <c r="E754" s="44"/>
      <c r="F754" s="44"/>
      <c r="G754" s="130"/>
      <c r="H754" s="252">
        <f t="shared" si="25"/>
        <v>0</v>
      </c>
      <c r="I754" s="252">
        <f t="shared" si="26"/>
        <v>0</v>
      </c>
      <c r="J754" s="170" t="str">
        <f>IF(A754="","",SUM($H$7:H754)-SUM($I$7:I754))</f>
        <v/>
      </c>
      <c r="K754" s="34"/>
    </row>
    <row r="755" spans="1:11" x14ac:dyDescent="0.2">
      <c r="A755" s="44"/>
      <c r="B755" s="44"/>
      <c r="C755" s="35"/>
      <c r="D755" s="44"/>
      <c r="E755" s="44"/>
      <c r="F755" s="44"/>
      <c r="G755" s="130"/>
      <c r="H755" s="252">
        <f t="shared" si="25"/>
        <v>0</v>
      </c>
      <c r="I755" s="252">
        <f t="shared" si="26"/>
        <v>0</v>
      </c>
      <c r="J755" s="170" t="str">
        <f>IF(A755="","",SUM($H$7:H755)-SUM($I$7:I755))</f>
        <v/>
      </c>
      <c r="K755" s="34"/>
    </row>
    <row r="756" spans="1:11" x14ac:dyDescent="0.2">
      <c r="A756" s="44"/>
      <c r="B756" s="44"/>
      <c r="C756" s="35"/>
      <c r="D756" s="44"/>
      <c r="E756" s="44"/>
      <c r="F756" s="44"/>
      <c r="G756" s="130"/>
      <c r="H756" s="252">
        <f t="shared" si="25"/>
        <v>0</v>
      </c>
      <c r="I756" s="252">
        <f t="shared" si="26"/>
        <v>0</v>
      </c>
      <c r="J756" s="170" t="str">
        <f>IF(A756="","",SUM($H$7:H756)-SUM($I$7:I756))</f>
        <v/>
      </c>
      <c r="K756" s="34"/>
    </row>
    <row r="757" spans="1:11" x14ac:dyDescent="0.2">
      <c r="A757" s="44"/>
      <c r="B757" s="44"/>
      <c r="C757" s="35"/>
      <c r="D757" s="44"/>
      <c r="E757" s="44"/>
      <c r="F757" s="44"/>
      <c r="G757" s="130"/>
      <c r="H757" s="252">
        <f t="shared" si="25"/>
        <v>0</v>
      </c>
      <c r="I757" s="252">
        <f t="shared" si="26"/>
        <v>0</v>
      </c>
      <c r="J757" s="170" t="str">
        <f>IF(A757="","",SUM($H$7:H757)-SUM($I$7:I757))</f>
        <v/>
      </c>
      <c r="K757" s="34"/>
    </row>
    <row r="758" spans="1:11" x14ac:dyDescent="0.2">
      <c r="A758" s="44"/>
      <c r="B758" s="44"/>
      <c r="C758" s="35"/>
      <c r="D758" s="44"/>
      <c r="E758" s="44"/>
      <c r="F758" s="44"/>
      <c r="G758" s="130"/>
      <c r="H758" s="252">
        <f t="shared" ref="H758:H821" si="27">IF($C758="Replenishment",$G758,0)</f>
        <v>0</v>
      </c>
      <c r="I758" s="252">
        <f t="shared" si="26"/>
        <v>0</v>
      </c>
      <c r="J758" s="170" t="str">
        <f>IF(A758="","",SUM($H$7:H758)-SUM($I$7:I758))</f>
        <v/>
      </c>
      <c r="K758" s="34"/>
    </row>
    <row r="759" spans="1:11" x14ac:dyDescent="0.2">
      <c r="A759" s="44"/>
      <c r="B759" s="44"/>
      <c r="C759" s="35"/>
      <c r="D759" s="44"/>
      <c r="E759" s="44"/>
      <c r="F759" s="44"/>
      <c r="G759" s="130"/>
      <c r="H759" s="252">
        <f t="shared" si="27"/>
        <v>0</v>
      </c>
      <c r="I759" s="252">
        <f t="shared" si="26"/>
        <v>0</v>
      </c>
      <c r="J759" s="170" t="str">
        <f>IF(A759="","",SUM($H$7:H759)-SUM($I$7:I759))</f>
        <v/>
      </c>
      <c r="K759" s="34"/>
    </row>
    <row r="760" spans="1:11" x14ac:dyDescent="0.2">
      <c r="A760" s="44"/>
      <c r="B760" s="44"/>
      <c r="C760" s="35"/>
      <c r="D760" s="44"/>
      <c r="E760" s="44"/>
      <c r="F760" s="44"/>
      <c r="G760" s="130"/>
      <c r="H760" s="252">
        <f t="shared" si="27"/>
        <v>0</v>
      </c>
      <c r="I760" s="252">
        <f t="shared" si="26"/>
        <v>0</v>
      </c>
      <c r="J760" s="170" t="str">
        <f>IF(A760="","",SUM($H$7:H760)-SUM($I$7:I760))</f>
        <v/>
      </c>
      <c r="K760" s="34"/>
    </row>
    <row r="761" spans="1:11" x14ac:dyDescent="0.2">
      <c r="A761" s="44"/>
      <c r="B761" s="44"/>
      <c r="C761" s="35"/>
      <c r="D761" s="44"/>
      <c r="E761" s="44"/>
      <c r="F761" s="44"/>
      <c r="G761" s="130"/>
      <c r="H761" s="252">
        <f t="shared" si="27"/>
        <v>0</v>
      </c>
      <c r="I761" s="252">
        <f t="shared" si="26"/>
        <v>0</v>
      </c>
      <c r="J761" s="170" t="str">
        <f>IF(A761="","",SUM($H$7:H761)-SUM($I$7:I761))</f>
        <v/>
      </c>
      <c r="K761" s="34"/>
    </row>
    <row r="762" spans="1:11" x14ac:dyDescent="0.2">
      <c r="A762" s="44"/>
      <c r="B762" s="44"/>
      <c r="C762" s="35"/>
      <c r="D762" s="44"/>
      <c r="E762" s="44"/>
      <c r="F762" s="44"/>
      <c r="G762" s="130"/>
      <c r="H762" s="252">
        <f t="shared" si="27"/>
        <v>0</v>
      </c>
      <c r="I762" s="252">
        <f t="shared" si="26"/>
        <v>0</v>
      </c>
      <c r="J762" s="170" t="str">
        <f>IF(A762="","",SUM($H$7:H762)-SUM($I$7:I762))</f>
        <v/>
      </c>
      <c r="K762" s="34"/>
    </row>
    <row r="763" spans="1:11" x14ac:dyDescent="0.2">
      <c r="A763" s="44"/>
      <c r="B763" s="44"/>
      <c r="C763" s="35"/>
      <c r="D763" s="44"/>
      <c r="E763" s="44"/>
      <c r="F763" s="44"/>
      <c r="G763" s="130"/>
      <c r="H763" s="252">
        <f t="shared" si="27"/>
        <v>0</v>
      </c>
      <c r="I763" s="252">
        <f t="shared" si="26"/>
        <v>0</v>
      </c>
      <c r="J763" s="170" t="str">
        <f>IF(A763="","",SUM($H$7:H763)-SUM($I$7:I763))</f>
        <v/>
      </c>
      <c r="K763" s="34"/>
    </row>
    <row r="764" spans="1:11" x14ac:dyDescent="0.2">
      <c r="A764" s="44"/>
      <c r="B764" s="44"/>
      <c r="C764" s="35"/>
      <c r="D764" s="44"/>
      <c r="E764" s="44"/>
      <c r="F764" s="44"/>
      <c r="G764" s="130"/>
      <c r="H764" s="252">
        <f t="shared" si="27"/>
        <v>0</v>
      </c>
      <c r="I764" s="252">
        <f t="shared" si="26"/>
        <v>0</v>
      </c>
      <c r="J764" s="170" t="str">
        <f>IF(A764="","",SUM($H$7:H764)-SUM($I$7:I764))</f>
        <v/>
      </c>
      <c r="K764" s="34"/>
    </row>
    <row r="765" spans="1:11" x14ac:dyDescent="0.2">
      <c r="A765" s="44"/>
      <c r="B765" s="44"/>
      <c r="C765" s="35"/>
      <c r="D765" s="44"/>
      <c r="E765" s="44"/>
      <c r="F765" s="44"/>
      <c r="G765" s="130"/>
      <c r="H765" s="252">
        <f t="shared" si="27"/>
        <v>0</v>
      </c>
      <c r="I765" s="252">
        <f t="shared" si="26"/>
        <v>0</v>
      </c>
      <c r="J765" s="170" t="str">
        <f>IF(A765="","",SUM($H$7:H765)-SUM($I$7:I765))</f>
        <v/>
      </c>
      <c r="K765" s="34"/>
    </row>
    <row r="766" spans="1:11" x14ac:dyDescent="0.2">
      <c r="A766" s="44"/>
      <c r="B766" s="44"/>
      <c r="C766" s="35"/>
      <c r="D766" s="44"/>
      <c r="E766" s="44"/>
      <c r="F766" s="44"/>
      <c r="G766" s="130"/>
      <c r="H766" s="252">
        <f t="shared" si="27"/>
        <v>0</v>
      </c>
      <c r="I766" s="252">
        <f t="shared" si="26"/>
        <v>0</v>
      </c>
      <c r="J766" s="170" t="str">
        <f>IF(A766="","",SUM($H$7:H766)-SUM($I$7:I766))</f>
        <v/>
      </c>
      <c r="K766" s="34"/>
    </row>
    <row r="767" spans="1:11" x14ac:dyDescent="0.2">
      <c r="A767" s="44"/>
      <c r="B767" s="44"/>
      <c r="C767" s="35"/>
      <c r="D767" s="44"/>
      <c r="E767" s="44"/>
      <c r="F767" s="44"/>
      <c r="G767" s="130"/>
      <c r="H767" s="252">
        <f t="shared" si="27"/>
        <v>0</v>
      </c>
      <c r="I767" s="252">
        <f t="shared" si="26"/>
        <v>0</v>
      </c>
      <c r="J767" s="170" t="str">
        <f>IF(A767="","",SUM($H$7:H767)-SUM($I$7:I767))</f>
        <v/>
      </c>
      <c r="K767" s="34"/>
    </row>
    <row r="768" spans="1:11" x14ac:dyDescent="0.2">
      <c r="A768" s="44"/>
      <c r="B768" s="44"/>
      <c r="C768" s="35"/>
      <c r="D768" s="44"/>
      <c r="E768" s="44"/>
      <c r="F768" s="44"/>
      <c r="G768" s="130"/>
      <c r="H768" s="252">
        <f t="shared" si="27"/>
        <v>0</v>
      </c>
      <c r="I768" s="252">
        <f t="shared" si="26"/>
        <v>0</v>
      </c>
      <c r="J768" s="170" t="str">
        <f>IF(A768="","",SUM($H$7:H768)-SUM($I$7:I768))</f>
        <v/>
      </c>
      <c r="K768" s="34"/>
    </row>
    <row r="769" spans="1:11" x14ac:dyDescent="0.2">
      <c r="A769" s="44"/>
      <c r="B769" s="44"/>
      <c r="C769" s="35"/>
      <c r="D769" s="44"/>
      <c r="E769" s="44"/>
      <c r="F769" s="44"/>
      <c r="G769" s="130"/>
      <c r="H769" s="252">
        <f t="shared" si="27"/>
        <v>0</v>
      </c>
      <c r="I769" s="252">
        <f t="shared" si="26"/>
        <v>0</v>
      </c>
      <c r="J769" s="170" t="str">
        <f>IF(A769="","",SUM($H$7:H769)-SUM($I$7:I769))</f>
        <v/>
      </c>
      <c r="K769" s="34"/>
    </row>
    <row r="770" spans="1:11" x14ac:dyDescent="0.2">
      <c r="A770" s="44"/>
      <c r="B770" s="44"/>
      <c r="C770" s="35"/>
      <c r="D770" s="44"/>
      <c r="E770" s="44"/>
      <c r="F770" s="44"/>
      <c r="G770" s="130"/>
      <c r="H770" s="252">
        <f t="shared" si="27"/>
        <v>0</v>
      </c>
      <c r="I770" s="252">
        <f t="shared" si="26"/>
        <v>0</v>
      </c>
      <c r="J770" s="170" t="str">
        <f>IF(A770="","",SUM($H$7:H770)-SUM($I$7:I770))</f>
        <v/>
      </c>
      <c r="K770" s="34"/>
    </row>
    <row r="771" spans="1:11" x14ac:dyDescent="0.2">
      <c r="A771" s="44"/>
      <c r="B771" s="44"/>
      <c r="C771" s="35"/>
      <c r="D771" s="44"/>
      <c r="E771" s="44"/>
      <c r="F771" s="44"/>
      <c r="G771" s="130"/>
      <c r="H771" s="252">
        <f t="shared" si="27"/>
        <v>0</v>
      </c>
      <c r="I771" s="252">
        <f t="shared" si="26"/>
        <v>0</v>
      </c>
      <c r="J771" s="170" t="str">
        <f>IF(A771="","",SUM($H$7:H771)-SUM($I$7:I771))</f>
        <v/>
      </c>
      <c r="K771" s="34"/>
    </row>
    <row r="772" spans="1:11" x14ac:dyDescent="0.2">
      <c r="A772" s="44"/>
      <c r="B772" s="44"/>
      <c r="C772" s="35"/>
      <c r="D772" s="44"/>
      <c r="E772" s="44"/>
      <c r="F772" s="44"/>
      <c r="G772" s="130"/>
      <c r="H772" s="252">
        <f t="shared" si="27"/>
        <v>0</v>
      </c>
      <c r="I772" s="252">
        <f t="shared" si="26"/>
        <v>0</v>
      </c>
      <c r="J772" s="170" t="str">
        <f>IF(A772="","",SUM($H$7:H772)-SUM($I$7:I772))</f>
        <v/>
      </c>
      <c r="K772" s="34"/>
    </row>
    <row r="773" spans="1:11" x14ac:dyDescent="0.2">
      <c r="A773" s="44"/>
      <c r="B773" s="44"/>
      <c r="C773" s="35"/>
      <c r="D773" s="44"/>
      <c r="E773" s="44"/>
      <c r="F773" s="44"/>
      <c r="G773" s="130"/>
      <c r="H773" s="252">
        <f t="shared" si="27"/>
        <v>0</v>
      </c>
      <c r="I773" s="252">
        <f t="shared" si="26"/>
        <v>0</v>
      </c>
      <c r="J773" s="170" t="str">
        <f>IF(A773="","",SUM($H$7:H773)-SUM($I$7:I773))</f>
        <v/>
      </c>
      <c r="K773" s="34"/>
    </row>
    <row r="774" spans="1:11" x14ac:dyDescent="0.2">
      <c r="A774" s="44"/>
      <c r="B774" s="44"/>
      <c r="C774" s="35"/>
      <c r="D774" s="44"/>
      <c r="E774" s="44"/>
      <c r="F774" s="44"/>
      <c r="G774" s="130"/>
      <c r="H774" s="252">
        <f t="shared" si="27"/>
        <v>0</v>
      </c>
      <c r="I774" s="252">
        <f t="shared" si="26"/>
        <v>0</v>
      </c>
      <c r="J774" s="170" t="str">
        <f>IF(A774="","",SUM($H$7:H774)-SUM($I$7:I774))</f>
        <v/>
      </c>
      <c r="K774" s="34"/>
    </row>
    <row r="775" spans="1:11" x14ac:dyDescent="0.2">
      <c r="A775" s="44"/>
      <c r="B775" s="44"/>
      <c r="C775" s="35"/>
      <c r="D775" s="44"/>
      <c r="E775" s="44"/>
      <c r="F775" s="44"/>
      <c r="G775" s="130"/>
      <c r="H775" s="252">
        <f t="shared" si="27"/>
        <v>0</v>
      </c>
      <c r="I775" s="252">
        <f t="shared" ref="I775:I838" si="28">IF($C775="Replenishment",0,$G775)</f>
        <v>0</v>
      </c>
      <c r="J775" s="170" t="str">
        <f>IF(A775="","",SUM($H$7:H775)-SUM($I$7:I775))</f>
        <v/>
      </c>
      <c r="K775" s="34"/>
    </row>
    <row r="776" spans="1:11" x14ac:dyDescent="0.2">
      <c r="A776" s="44"/>
      <c r="B776" s="44"/>
      <c r="C776" s="35"/>
      <c r="D776" s="44"/>
      <c r="E776" s="44"/>
      <c r="F776" s="44"/>
      <c r="G776" s="130"/>
      <c r="H776" s="252">
        <f t="shared" si="27"/>
        <v>0</v>
      </c>
      <c r="I776" s="252">
        <f t="shared" si="28"/>
        <v>0</v>
      </c>
      <c r="J776" s="170" t="str">
        <f>IF(A776="","",SUM($H$7:H776)-SUM($I$7:I776))</f>
        <v/>
      </c>
      <c r="K776" s="34"/>
    </row>
    <row r="777" spans="1:11" x14ac:dyDescent="0.2">
      <c r="A777" s="44"/>
      <c r="B777" s="44"/>
      <c r="C777" s="35"/>
      <c r="D777" s="44"/>
      <c r="E777" s="44"/>
      <c r="F777" s="44"/>
      <c r="G777" s="130"/>
      <c r="H777" s="252">
        <f t="shared" si="27"/>
        <v>0</v>
      </c>
      <c r="I777" s="252">
        <f t="shared" si="28"/>
        <v>0</v>
      </c>
      <c r="J777" s="170" t="str">
        <f>IF(A777="","",SUM($H$7:H777)-SUM($I$7:I777))</f>
        <v/>
      </c>
      <c r="K777" s="34"/>
    </row>
    <row r="778" spans="1:11" x14ac:dyDescent="0.2">
      <c r="A778" s="44"/>
      <c r="B778" s="44"/>
      <c r="C778" s="35"/>
      <c r="D778" s="44"/>
      <c r="E778" s="44"/>
      <c r="F778" s="44"/>
      <c r="G778" s="130"/>
      <c r="H778" s="252">
        <f t="shared" si="27"/>
        <v>0</v>
      </c>
      <c r="I778" s="252">
        <f t="shared" si="28"/>
        <v>0</v>
      </c>
      <c r="J778" s="170" t="str">
        <f>IF(A778="","",SUM($H$7:H778)-SUM($I$7:I778))</f>
        <v/>
      </c>
      <c r="K778" s="34"/>
    </row>
    <row r="779" spans="1:11" x14ac:dyDescent="0.2">
      <c r="A779" s="44"/>
      <c r="B779" s="44"/>
      <c r="C779" s="35"/>
      <c r="D779" s="44"/>
      <c r="E779" s="44"/>
      <c r="F779" s="44"/>
      <c r="G779" s="130"/>
      <c r="H779" s="252">
        <f t="shared" si="27"/>
        <v>0</v>
      </c>
      <c r="I779" s="252">
        <f t="shared" si="28"/>
        <v>0</v>
      </c>
      <c r="J779" s="170" t="str">
        <f>IF(A779="","",SUM($H$7:H779)-SUM($I$7:I779))</f>
        <v/>
      </c>
      <c r="K779" s="34"/>
    </row>
    <row r="780" spans="1:11" x14ac:dyDescent="0.2">
      <c r="A780" s="44"/>
      <c r="B780" s="44"/>
      <c r="C780" s="35"/>
      <c r="D780" s="44"/>
      <c r="E780" s="44"/>
      <c r="F780" s="44"/>
      <c r="G780" s="130"/>
      <c r="H780" s="252">
        <f t="shared" si="27"/>
        <v>0</v>
      </c>
      <c r="I780" s="252">
        <f t="shared" si="28"/>
        <v>0</v>
      </c>
      <c r="J780" s="170" t="str">
        <f>IF(A780="","",SUM($H$7:H780)-SUM($I$7:I780))</f>
        <v/>
      </c>
      <c r="K780" s="34"/>
    </row>
    <row r="781" spans="1:11" x14ac:dyDescent="0.2">
      <c r="A781" s="44"/>
      <c r="B781" s="44"/>
      <c r="C781" s="35"/>
      <c r="D781" s="44"/>
      <c r="E781" s="44"/>
      <c r="F781" s="44"/>
      <c r="G781" s="130"/>
      <c r="H781" s="252">
        <f t="shared" si="27"/>
        <v>0</v>
      </c>
      <c r="I781" s="252">
        <f t="shared" si="28"/>
        <v>0</v>
      </c>
      <c r="J781" s="170" t="str">
        <f>IF(A781="","",SUM($H$7:H781)-SUM($I$7:I781))</f>
        <v/>
      </c>
      <c r="K781" s="34"/>
    </row>
    <row r="782" spans="1:11" x14ac:dyDescent="0.2">
      <c r="A782" s="44"/>
      <c r="B782" s="44"/>
      <c r="C782" s="35"/>
      <c r="D782" s="44"/>
      <c r="E782" s="44"/>
      <c r="F782" s="44"/>
      <c r="G782" s="130"/>
      <c r="H782" s="252">
        <f t="shared" si="27"/>
        <v>0</v>
      </c>
      <c r="I782" s="252">
        <f t="shared" si="28"/>
        <v>0</v>
      </c>
      <c r="J782" s="170" t="str">
        <f>IF(A782="","",SUM($H$7:H782)-SUM($I$7:I782))</f>
        <v/>
      </c>
      <c r="K782" s="34"/>
    </row>
    <row r="783" spans="1:11" x14ac:dyDescent="0.2">
      <c r="A783" s="44"/>
      <c r="B783" s="44"/>
      <c r="C783" s="35"/>
      <c r="D783" s="44"/>
      <c r="E783" s="44"/>
      <c r="F783" s="44"/>
      <c r="G783" s="130"/>
      <c r="H783" s="252">
        <f t="shared" si="27"/>
        <v>0</v>
      </c>
      <c r="I783" s="252">
        <f t="shared" si="28"/>
        <v>0</v>
      </c>
      <c r="J783" s="170" t="str">
        <f>IF(A783="","",SUM($H$7:H783)-SUM($I$7:I783))</f>
        <v/>
      </c>
      <c r="K783" s="34"/>
    </row>
    <row r="784" spans="1:11" x14ac:dyDescent="0.2">
      <c r="A784" s="44"/>
      <c r="B784" s="44"/>
      <c r="C784" s="35"/>
      <c r="D784" s="44"/>
      <c r="E784" s="44"/>
      <c r="F784" s="44"/>
      <c r="G784" s="130"/>
      <c r="H784" s="252">
        <f t="shared" si="27"/>
        <v>0</v>
      </c>
      <c r="I784" s="252">
        <f t="shared" si="28"/>
        <v>0</v>
      </c>
      <c r="J784" s="170" t="str">
        <f>IF(A784="","",SUM($H$7:H784)-SUM($I$7:I784))</f>
        <v/>
      </c>
      <c r="K784" s="34"/>
    </row>
    <row r="785" spans="1:11" x14ac:dyDescent="0.2">
      <c r="A785" s="44"/>
      <c r="B785" s="44"/>
      <c r="C785" s="35"/>
      <c r="D785" s="44"/>
      <c r="E785" s="44"/>
      <c r="F785" s="44"/>
      <c r="G785" s="130"/>
      <c r="H785" s="252">
        <f t="shared" si="27"/>
        <v>0</v>
      </c>
      <c r="I785" s="252">
        <f t="shared" si="28"/>
        <v>0</v>
      </c>
      <c r="J785" s="170" t="str">
        <f>IF(A785="","",SUM($H$7:H785)-SUM($I$7:I785))</f>
        <v/>
      </c>
      <c r="K785" s="34"/>
    </row>
    <row r="786" spans="1:11" x14ac:dyDescent="0.2">
      <c r="A786" s="44"/>
      <c r="B786" s="44"/>
      <c r="C786" s="35"/>
      <c r="D786" s="44"/>
      <c r="E786" s="44"/>
      <c r="F786" s="44"/>
      <c r="G786" s="130"/>
      <c r="H786" s="252">
        <f t="shared" si="27"/>
        <v>0</v>
      </c>
      <c r="I786" s="252">
        <f t="shared" si="28"/>
        <v>0</v>
      </c>
      <c r="J786" s="170" t="str">
        <f>IF(A786="","",SUM($H$7:H786)-SUM($I$7:I786))</f>
        <v/>
      </c>
      <c r="K786" s="34"/>
    </row>
    <row r="787" spans="1:11" x14ac:dyDescent="0.2">
      <c r="A787" s="44"/>
      <c r="B787" s="44"/>
      <c r="C787" s="35"/>
      <c r="D787" s="44"/>
      <c r="E787" s="44"/>
      <c r="F787" s="44"/>
      <c r="G787" s="130"/>
      <c r="H787" s="252">
        <f t="shared" si="27"/>
        <v>0</v>
      </c>
      <c r="I787" s="252">
        <f t="shared" si="28"/>
        <v>0</v>
      </c>
      <c r="J787" s="170" t="str">
        <f>IF(A787="","",SUM($H$7:H787)-SUM($I$7:I787))</f>
        <v/>
      </c>
      <c r="K787" s="34"/>
    </row>
    <row r="788" spans="1:11" x14ac:dyDescent="0.2">
      <c r="A788" s="44"/>
      <c r="B788" s="44"/>
      <c r="C788" s="35"/>
      <c r="D788" s="44"/>
      <c r="E788" s="44"/>
      <c r="F788" s="44"/>
      <c r="G788" s="130"/>
      <c r="H788" s="252">
        <f t="shared" si="27"/>
        <v>0</v>
      </c>
      <c r="I788" s="252">
        <f t="shared" si="28"/>
        <v>0</v>
      </c>
      <c r="J788" s="170" t="str">
        <f>IF(A788="","",SUM($H$7:H788)-SUM($I$7:I788))</f>
        <v/>
      </c>
      <c r="K788" s="34"/>
    </row>
    <row r="789" spans="1:11" x14ac:dyDescent="0.2">
      <c r="A789" s="44"/>
      <c r="B789" s="44"/>
      <c r="C789" s="35"/>
      <c r="D789" s="44"/>
      <c r="E789" s="44"/>
      <c r="F789" s="44"/>
      <c r="G789" s="130"/>
      <c r="H789" s="252">
        <f t="shared" si="27"/>
        <v>0</v>
      </c>
      <c r="I789" s="252">
        <f t="shared" si="28"/>
        <v>0</v>
      </c>
      <c r="J789" s="170" t="str">
        <f>IF(A789="","",SUM($H$7:H789)-SUM($I$7:I789))</f>
        <v/>
      </c>
      <c r="K789" s="34"/>
    </row>
    <row r="790" spans="1:11" x14ac:dyDescent="0.2">
      <c r="A790" s="44"/>
      <c r="B790" s="44"/>
      <c r="C790" s="35"/>
      <c r="D790" s="44"/>
      <c r="E790" s="44"/>
      <c r="F790" s="44"/>
      <c r="G790" s="130"/>
      <c r="H790" s="252">
        <f t="shared" si="27"/>
        <v>0</v>
      </c>
      <c r="I790" s="252">
        <f t="shared" si="28"/>
        <v>0</v>
      </c>
      <c r="J790" s="170" t="str">
        <f>IF(A790="","",SUM($H$7:H790)-SUM($I$7:I790))</f>
        <v/>
      </c>
      <c r="K790" s="34"/>
    </row>
    <row r="791" spans="1:11" x14ac:dyDescent="0.2">
      <c r="A791" s="44"/>
      <c r="B791" s="44"/>
      <c r="C791" s="35"/>
      <c r="D791" s="44"/>
      <c r="E791" s="44"/>
      <c r="F791" s="44"/>
      <c r="G791" s="130"/>
      <c r="H791" s="252">
        <f t="shared" si="27"/>
        <v>0</v>
      </c>
      <c r="I791" s="252">
        <f t="shared" si="28"/>
        <v>0</v>
      </c>
      <c r="J791" s="170" t="str">
        <f>IF(A791="","",SUM($H$7:H791)-SUM($I$7:I791))</f>
        <v/>
      </c>
      <c r="K791" s="34"/>
    </row>
    <row r="792" spans="1:11" x14ac:dyDescent="0.2">
      <c r="A792" s="44"/>
      <c r="B792" s="44"/>
      <c r="C792" s="35"/>
      <c r="D792" s="44"/>
      <c r="E792" s="44"/>
      <c r="F792" s="44"/>
      <c r="G792" s="130"/>
      <c r="H792" s="252">
        <f t="shared" si="27"/>
        <v>0</v>
      </c>
      <c r="I792" s="252">
        <f t="shared" si="28"/>
        <v>0</v>
      </c>
      <c r="J792" s="170" t="str">
        <f>IF(A792="","",SUM($H$7:H792)-SUM($I$7:I792))</f>
        <v/>
      </c>
      <c r="K792" s="34"/>
    </row>
    <row r="793" spans="1:11" x14ac:dyDescent="0.2">
      <c r="A793" s="44"/>
      <c r="B793" s="44"/>
      <c r="C793" s="35"/>
      <c r="D793" s="44"/>
      <c r="E793" s="44"/>
      <c r="F793" s="44"/>
      <c r="G793" s="130"/>
      <c r="H793" s="252">
        <f t="shared" si="27"/>
        <v>0</v>
      </c>
      <c r="I793" s="252">
        <f t="shared" si="28"/>
        <v>0</v>
      </c>
      <c r="J793" s="170" t="str">
        <f>IF(A793="","",SUM($H$7:H793)-SUM($I$7:I793))</f>
        <v/>
      </c>
      <c r="K793" s="34"/>
    </row>
    <row r="794" spans="1:11" x14ac:dyDescent="0.2">
      <c r="A794" s="44"/>
      <c r="B794" s="44"/>
      <c r="C794" s="35"/>
      <c r="D794" s="44"/>
      <c r="E794" s="44"/>
      <c r="F794" s="44"/>
      <c r="G794" s="130"/>
      <c r="H794" s="252">
        <f t="shared" si="27"/>
        <v>0</v>
      </c>
      <c r="I794" s="252">
        <f t="shared" si="28"/>
        <v>0</v>
      </c>
      <c r="J794" s="170" t="str">
        <f>IF(A794="","",SUM($H$7:H794)-SUM($I$7:I794))</f>
        <v/>
      </c>
      <c r="K794" s="34"/>
    </row>
    <row r="795" spans="1:11" x14ac:dyDescent="0.2">
      <c r="A795" s="44"/>
      <c r="B795" s="44"/>
      <c r="C795" s="35"/>
      <c r="D795" s="44"/>
      <c r="E795" s="44"/>
      <c r="F795" s="44"/>
      <c r="G795" s="130"/>
      <c r="H795" s="252">
        <f t="shared" si="27"/>
        <v>0</v>
      </c>
      <c r="I795" s="252">
        <f t="shared" si="28"/>
        <v>0</v>
      </c>
      <c r="J795" s="170" t="str">
        <f>IF(A795="","",SUM($H$7:H795)-SUM($I$7:I795))</f>
        <v/>
      </c>
      <c r="K795" s="34"/>
    </row>
    <row r="796" spans="1:11" x14ac:dyDescent="0.2">
      <c r="A796" s="44"/>
      <c r="B796" s="44"/>
      <c r="C796" s="35"/>
      <c r="D796" s="44"/>
      <c r="E796" s="44"/>
      <c r="F796" s="44"/>
      <c r="G796" s="130"/>
      <c r="H796" s="252">
        <f t="shared" si="27"/>
        <v>0</v>
      </c>
      <c r="I796" s="252">
        <f t="shared" si="28"/>
        <v>0</v>
      </c>
      <c r="J796" s="170" t="str">
        <f>IF(A796="","",SUM($H$7:H796)-SUM($I$7:I796))</f>
        <v/>
      </c>
      <c r="K796" s="34"/>
    </row>
    <row r="797" spans="1:11" x14ac:dyDescent="0.2">
      <c r="A797" s="44"/>
      <c r="B797" s="44"/>
      <c r="C797" s="35"/>
      <c r="D797" s="44"/>
      <c r="E797" s="44"/>
      <c r="F797" s="44"/>
      <c r="G797" s="130"/>
      <c r="H797" s="252">
        <f t="shared" si="27"/>
        <v>0</v>
      </c>
      <c r="I797" s="252">
        <f t="shared" si="28"/>
        <v>0</v>
      </c>
      <c r="J797" s="170" t="str">
        <f>IF(A797="","",SUM($H$7:H797)-SUM($I$7:I797))</f>
        <v/>
      </c>
      <c r="K797" s="34"/>
    </row>
    <row r="798" spans="1:11" x14ac:dyDescent="0.2">
      <c r="A798" s="44"/>
      <c r="B798" s="44"/>
      <c r="C798" s="35"/>
      <c r="D798" s="44"/>
      <c r="E798" s="44"/>
      <c r="F798" s="44"/>
      <c r="G798" s="130"/>
      <c r="H798" s="252">
        <f t="shared" si="27"/>
        <v>0</v>
      </c>
      <c r="I798" s="252">
        <f t="shared" si="28"/>
        <v>0</v>
      </c>
      <c r="J798" s="170" t="str">
        <f>IF(A798="","",SUM($H$7:H798)-SUM($I$7:I798))</f>
        <v/>
      </c>
      <c r="K798" s="34"/>
    </row>
    <row r="799" spans="1:11" x14ac:dyDescent="0.2">
      <c r="A799" s="44"/>
      <c r="B799" s="44"/>
      <c r="C799" s="35"/>
      <c r="D799" s="44"/>
      <c r="E799" s="44"/>
      <c r="F799" s="44"/>
      <c r="G799" s="130"/>
      <c r="H799" s="252">
        <f t="shared" si="27"/>
        <v>0</v>
      </c>
      <c r="I799" s="252">
        <f t="shared" si="28"/>
        <v>0</v>
      </c>
      <c r="J799" s="170" t="str">
        <f>IF(A799="","",SUM($H$7:H799)-SUM($I$7:I799))</f>
        <v/>
      </c>
      <c r="K799" s="34"/>
    </row>
    <row r="800" spans="1:11" x14ac:dyDescent="0.2">
      <c r="A800" s="44"/>
      <c r="B800" s="44"/>
      <c r="C800" s="35"/>
      <c r="D800" s="44"/>
      <c r="E800" s="44"/>
      <c r="F800" s="44"/>
      <c r="G800" s="130"/>
      <c r="H800" s="252">
        <f t="shared" si="27"/>
        <v>0</v>
      </c>
      <c r="I800" s="252">
        <f t="shared" si="28"/>
        <v>0</v>
      </c>
      <c r="J800" s="170" t="str">
        <f>IF(A800="","",SUM($H$7:H800)-SUM($I$7:I800))</f>
        <v/>
      </c>
      <c r="K800" s="34"/>
    </row>
    <row r="801" spans="1:11" x14ac:dyDescent="0.2">
      <c r="A801" s="44"/>
      <c r="B801" s="44"/>
      <c r="C801" s="35"/>
      <c r="D801" s="44"/>
      <c r="E801" s="44"/>
      <c r="F801" s="44"/>
      <c r="G801" s="130"/>
      <c r="H801" s="252">
        <f t="shared" si="27"/>
        <v>0</v>
      </c>
      <c r="I801" s="252">
        <f t="shared" si="28"/>
        <v>0</v>
      </c>
      <c r="J801" s="170" t="str">
        <f>IF(A801="","",SUM($H$7:H801)-SUM($I$7:I801))</f>
        <v/>
      </c>
      <c r="K801" s="34"/>
    </row>
    <row r="802" spans="1:11" x14ac:dyDescent="0.2">
      <c r="A802" s="44"/>
      <c r="B802" s="44"/>
      <c r="C802" s="35"/>
      <c r="D802" s="44"/>
      <c r="E802" s="44"/>
      <c r="F802" s="44"/>
      <c r="G802" s="130"/>
      <c r="H802" s="252">
        <f t="shared" si="27"/>
        <v>0</v>
      </c>
      <c r="I802" s="252">
        <f t="shared" si="28"/>
        <v>0</v>
      </c>
      <c r="J802" s="170" t="str">
        <f>IF(A802="","",SUM($H$7:H802)-SUM($I$7:I802))</f>
        <v/>
      </c>
      <c r="K802" s="34"/>
    </row>
    <row r="803" spans="1:11" x14ac:dyDescent="0.2">
      <c r="A803" s="44"/>
      <c r="B803" s="44"/>
      <c r="C803" s="35"/>
      <c r="D803" s="44"/>
      <c r="E803" s="44"/>
      <c r="F803" s="44"/>
      <c r="G803" s="130"/>
      <c r="H803" s="252">
        <f t="shared" si="27"/>
        <v>0</v>
      </c>
      <c r="I803" s="252">
        <f t="shared" si="28"/>
        <v>0</v>
      </c>
      <c r="J803" s="170" t="str">
        <f>IF(A803="","",SUM($H$7:H803)-SUM($I$7:I803))</f>
        <v/>
      </c>
      <c r="K803" s="34"/>
    </row>
    <row r="804" spans="1:11" x14ac:dyDescent="0.2">
      <c r="A804" s="44"/>
      <c r="B804" s="44"/>
      <c r="C804" s="35"/>
      <c r="D804" s="44"/>
      <c r="E804" s="44"/>
      <c r="F804" s="44"/>
      <c r="G804" s="130"/>
      <c r="H804" s="252">
        <f t="shared" si="27"/>
        <v>0</v>
      </c>
      <c r="I804" s="252">
        <f t="shared" si="28"/>
        <v>0</v>
      </c>
      <c r="J804" s="170" t="str">
        <f>IF(A804="","",SUM($H$7:H804)-SUM($I$7:I804))</f>
        <v/>
      </c>
      <c r="K804" s="34"/>
    </row>
    <row r="805" spans="1:11" x14ac:dyDescent="0.2">
      <c r="A805" s="44"/>
      <c r="B805" s="44"/>
      <c r="C805" s="35"/>
      <c r="D805" s="44"/>
      <c r="E805" s="44"/>
      <c r="F805" s="44"/>
      <c r="G805" s="130"/>
      <c r="H805" s="252">
        <f t="shared" si="27"/>
        <v>0</v>
      </c>
      <c r="I805" s="252">
        <f t="shared" si="28"/>
        <v>0</v>
      </c>
      <c r="J805" s="170" t="str">
        <f>IF(A805="","",SUM($H$7:H805)-SUM($I$7:I805))</f>
        <v/>
      </c>
      <c r="K805" s="34"/>
    </row>
    <row r="806" spans="1:11" x14ac:dyDescent="0.2">
      <c r="A806" s="44"/>
      <c r="B806" s="44"/>
      <c r="C806" s="35"/>
      <c r="D806" s="44"/>
      <c r="E806" s="44"/>
      <c r="F806" s="44"/>
      <c r="G806" s="130"/>
      <c r="H806" s="252">
        <f t="shared" si="27"/>
        <v>0</v>
      </c>
      <c r="I806" s="252">
        <f t="shared" si="28"/>
        <v>0</v>
      </c>
      <c r="J806" s="170" t="str">
        <f>IF(A806="","",SUM($H$7:H806)-SUM($I$7:I806))</f>
        <v/>
      </c>
      <c r="K806" s="34"/>
    </row>
    <row r="807" spans="1:11" x14ac:dyDescent="0.2">
      <c r="A807" s="44"/>
      <c r="B807" s="44"/>
      <c r="C807" s="35"/>
      <c r="D807" s="44"/>
      <c r="E807" s="44"/>
      <c r="F807" s="44"/>
      <c r="G807" s="130"/>
      <c r="H807" s="252">
        <f t="shared" si="27"/>
        <v>0</v>
      </c>
      <c r="I807" s="252">
        <f t="shared" si="28"/>
        <v>0</v>
      </c>
      <c r="J807" s="170" t="str">
        <f>IF(A807="","",SUM($H$7:H807)-SUM($I$7:I807))</f>
        <v/>
      </c>
      <c r="K807" s="34"/>
    </row>
    <row r="808" spans="1:11" x14ac:dyDescent="0.2">
      <c r="A808" s="44"/>
      <c r="B808" s="44"/>
      <c r="C808" s="35"/>
      <c r="D808" s="44"/>
      <c r="E808" s="44"/>
      <c r="F808" s="44"/>
      <c r="G808" s="130"/>
      <c r="H808" s="252">
        <f t="shared" si="27"/>
        <v>0</v>
      </c>
      <c r="I808" s="252">
        <f t="shared" si="28"/>
        <v>0</v>
      </c>
      <c r="J808" s="170" t="str">
        <f>IF(A808="","",SUM($H$7:H808)-SUM($I$7:I808))</f>
        <v/>
      </c>
      <c r="K808" s="34"/>
    </row>
    <row r="809" spans="1:11" x14ac:dyDescent="0.2">
      <c r="A809" s="44"/>
      <c r="B809" s="44"/>
      <c r="C809" s="35"/>
      <c r="D809" s="44"/>
      <c r="E809" s="44"/>
      <c r="F809" s="44"/>
      <c r="G809" s="130"/>
      <c r="H809" s="252">
        <f t="shared" si="27"/>
        <v>0</v>
      </c>
      <c r="I809" s="252">
        <f t="shared" si="28"/>
        <v>0</v>
      </c>
      <c r="J809" s="170" t="str">
        <f>IF(A809="","",SUM($H$7:H809)-SUM($I$7:I809))</f>
        <v/>
      </c>
      <c r="K809" s="34"/>
    </row>
    <row r="810" spans="1:11" x14ac:dyDescent="0.2">
      <c r="A810" s="44"/>
      <c r="B810" s="44"/>
      <c r="C810" s="35"/>
      <c r="D810" s="44"/>
      <c r="E810" s="44"/>
      <c r="F810" s="44"/>
      <c r="G810" s="130"/>
      <c r="H810" s="252">
        <f t="shared" si="27"/>
        <v>0</v>
      </c>
      <c r="I810" s="252">
        <f t="shared" si="28"/>
        <v>0</v>
      </c>
      <c r="J810" s="170" t="str">
        <f>IF(A810="","",SUM($H$7:H810)-SUM($I$7:I810))</f>
        <v/>
      </c>
      <c r="K810" s="34"/>
    </row>
    <row r="811" spans="1:11" x14ac:dyDescent="0.2">
      <c r="A811" s="44"/>
      <c r="B811" s="44"/>
      <c r="C811" s="35"/>
      <c r="D811" s="44"/>
      <c r="E811" s="44"/>
      <c r="F811" s="44"/>
      <c r="G811" s="130"/>
      <c r="H811" s="252">
        <f t="shared" si="27"/>
        <v>0</v>
      </c>
      <c r="I811" s="252">
        <f t="shared" si="28"/>
        <v>0</v>
      </c>
      <c r="J811" s="170" t="str">
        <f>IF(A811="","",SUM($H$7:H811)-SUM($I$7:I811))</f>
        <v/>
      </c>
      <c r="K811" s="34"/>
    </row>
    <row r="812" spans="1:11" x14ac:dyDescent="0.2">
      <c r="A812" s="44"/>
      <c r="B812" s="44"/>
      <c r="C812" s="35"/>
      <c r="D812" s="44"/>
      <c r="E812" s="44"/>
      <c r="F812" s="44"/>
      <c r="G812" s="130"/>
      <c r="H812" s="252">
        <f t="shared" si="27"/>
        <v>0</v>
      </c>
      <c r="I812" s="252">
        <f t="shared" si="28"/>
        <v>0</v>
      </c>
      <c r="J812" s="170" t="str">
        <f>IF(A812="","",SUM($H$7:H812)-SUM($I$7:I812))</f>
        <v/>
      </c>
      <c r="K812" s="34"/>
    </row>
    <row r="813" spans="1:11" x14ac:dyDescent="0.2">
      <c r="A813" s="44"/>
      <c r="B813" s="44"/>
      <c r="C813" s="35"/>
      <c r="D813" s="44"/>
      <c r="E813" s="44"/>
      <c r="F813" s="44"/>
      <c r="G813" s="130"/>
      <c r="H813" s="252">
        <f t="shared" si="27"/>
        <v>0</v>
      </c>
      <c r="I813" s="252">
        <f t="shared" si="28"/>
        <v>0</v>
      </c>
      <c r="J813" s="170" t="str">
        <f>IF(A813="","",SUM($H$7:H813)-SUM($I$7:I813))</f>
        <v/>
      </c>
      <c r="K813" s="34"/>
    </row>
    <row r="814" spans="1:11" x14ac:dyDescent="0.2">
      <c r="A814" s="44"/>
      <c r="B814" s="44"/>
      <c r="C814" s="35"/>
      <c r="D814" s="44"/>
      <c r="E814" s="44"/>
      <c r="F814" s="44"/>
      <c r="G814" s="130"/>
      <c r="H814" s="252">
        <f t="shared" si="27"/>
        <v>0</v>
      </c>
      <c r="I814" s="252">
        <f t="shared" si="28"/>
        <v>0</v>
      </c>
      <c r="J814" s="170" t="str">
        <f>IF(A814="","",SUM($H$7:H814)-SUM($I$7:I814))</f>
        <v/>
      </c>
      <c r="K814" s="34"/>
    </row>
    <row r="815" spans="1:11" x14ac:dyDescent="0.2">
      <c r="A815" s="44"/>
      <c r="B815" s="44"/>
      <c r="C815" s="35"/>
      <c r="D815" s="44"/>
      <c r="E815" s="44"/>
      <c r="F815" s="44"/>
      <c r="G815" s="130"/>
      <c r="H815" s="252">
        <f t="shared" si="27"/>
        <v>0</v>
      </c>
      <c r="I815" s="252">
        <f t="shared" si="28"/>
        <v>0</v>
      </c>
      <c r="J815" s="170" t="str">
        <f>IF(A815="","",SUM($H$7:H815)-SUM($I$7:I815))</f>
        <v/>
      </c>
      <c r="K815" s="34"/>
    </row>
    <row r="816" spans="1:11" x14ac:dyDescent="0.2">
      <c r="A816" s="44"/>
      <c r="B816" s="44"/>
      <c r="C816" s="35"/>
      <c r="D816" s="44"/>
      <c r="E816" s="44"/>
      <c r="F816" s="44"/>
      <c r="G816" s="130"/>
      <c r="H816" s="252">
        <f t="shared" si="27"/>
        <v>0</v>
      </c>
      <c r="I816" s="252">
        <f t="shared" si="28"/>
        <v>0</v>
      </c>
      <c r="J816" s="170" t="str">
        <f>IF(A816="","",SUM($H$7:H816)-SUM($I$7:I816))</f>
        <v/>
      </c>
      <c r="K816" s="34"/>
    </row>
    <row r="817" spans="1:11" x14ac:dyDescent="0.2">
      <c r="A817" s="44"/>
      <c r="B817" s="44"/>
      <c r="C817" s="35"/>
      <c r="D817" s="44"/>
      <c r="E817" s="44"/>
      <c r="F817" s="44"/>
      <c r="G817" s="130"/>
      <c r="H817" s="252">
        <f t="shared" si="27"/>
        <v>0</v>
      </c>
      <c r="I817" s="252">
        <f t="shared" si="28"/>
        <v>0</v>
      </c>
      <c r="J817" s="170" t="str">
        <f>IF(A817="","",SUM($H$7:H817)-SUM($I$7:I817))</f>
        <v/>
      </c>
      <c r="K817" s="34"/>
    </row>
    <row r="818" spans="1:11" x14ac:dyDescent="0.2">
      <c r="A818" s="44"/>
      <c r="B818" s="44"/>
      <c r="C818" s="35"/>
      <c r="D818" s="44"/>
      <c r="E818" s="44"/>
      <c r="F818" s="44"/>
      <c r="G818" s="130"/>
      <c r="H818" s="252">
        <f t="shared" si="27"/>
        <v>0</v>
      </c>
      <c r="I818" s="252">
        <f t="shared" si="28"/>
        <v>0</v>
      </c>
      <c r="J818" s="170" t="str">
        <f>IF(A818="","",SUM($H$7:H818)-SUM($I$7:I818))</f>
        <v/>
      </c>
      <c r="K818" s="34"/>
    </row>
    <row r="819" spans="1:11" x14ac:dyDescent="0.2">
      <c r="A819" s="44"/>
      <c r="B819" s="44"/>
      <c r="C819" s="35"/>
      <c r="D819" s="44"/>
      <c r="E819" s="44"/>
      <c r="F819" s="44"/>
      <c r="G819" s="130"/>
      <c r="H819" s="252">
        <f t="shared" si="27"/>
        <v>0</v>
      </c>
      <c r="I819" s="252">
        <f t="shared" si="28"/>
        <v>0</v>
      </c>
      <c r="J819" s="170" t="str">
        <f>IF(A819="","",SUM($H$7:H819)-SUM($I$7:I819))</f>
        <v/>
      </c>
      <c r="K819" s="34"/>
    </row>
    <row r="820" spans="1:11" x14ac:dyDescent="0.2">
      <c r="A820" s="44"/>
      <c r="B820" s="44"/>
      <c r="C820" s="35"/>
      <c r="D820" s="44"/>
      <c r="E820" s="44"/>
      <c r="F820" s="44"/>
      <c r="G820" s="130"/>
      <c r="H820" s="252">
        <f t="shared" si="27"/>
        <v>0</v>
      </c>
      <c r="I820" s="252">
        <f t="shared" si="28"/>
        <v>0</v>
      </c>
      <c r="J820" s="170" t="str">
        <f>IF(A820="","",SUM($H$7:H820)-SUM($I$7:I820))</f>
        <v/>
      </c>
      <c r="K820" s="34"/>
    </row>
    <row r="821" spans="1:11" x14ac:dyDescent="0.2">
      <c r="A821" s="44"/>
      <c r="B821" s="44"/>
      <c r="C821" s="35"/>
      <c r="D821" s="44"/>
      <c r="E821" s="44"/>
      <c r="F821" s="44"/>
      <c r="G821" s="130"/>
      <c r="H821" s="252">
        <f t="shared" si="27"/>
        <v>0</v>
      </c>
      <c r="I821" s="252">
        <f t="shared" si="28"/>
        <v>0</v>
      </c>
      <c r="J821" s="170" t="str">
        <f>IF(A821="","",SUM($H$7:H821)-SUM($I$7:I821))</f>
        <v/>
      </c>
      <c r="K821" s="34"/>
    </row>
    <row r="822" spans="1:11" x14ac:dyDescent="0.2">
      <c r="A822" s="44"/>
      <c r="B822" s="44"/>
      <c r="C822" s="35"/>
      <c r="D822" s="44"/>
      <c r="E822" s="44"/>
      <c r="F822" s="44"/>
      <c r="G822" s="130"/>
      <c r="H822" s="252">
        <f t="shared" ref="H822:H885" si="29">IF($C822="Replenishment",$G822,0)</f>
        <v>0</v>
      </c>
      <c r="I822" s="252">
        <f t="shared" si="28"/>
        <v>0</v>
      </c>
      <c r="J822" s="170" t="str">
        <f>IF(A822="","",SUM($H$7:H822)-SUM($I$7:I822))</f>
        <v/>
      </c>
      <c r="K822" s="34"/>
    </row>
    <row r="823" spans="1:11" x14ac:dyDescent="0.2">
      <c r="A823" s="44"/>
      <c r="B823" s="44"/>
      <c r="C823" s="35"/>
      <c r="D823" s="44"/>
      <c r="E823" s="44"/>
      <c r="F823" s="44"/>
      <c r="G823" s="130"/>
      <c r="H823" s="252">
        <f t="shared" si="29"/>
        <v>0</v>
      </c>
      <c r="I823" s="252">
        <f t="shared" si="28"/>
        <v>0</v>
      </c>
      <c r="J823" s="170" t="str">
        <f>IF(A823="","",SUM($H$7:H823)-SUM($I$7:I823))</f>
        <v/>
      </c>
      <c r="K823" s="34"/>
    </row>
    <row r="824" spans="1:11" x14ac:dyDescent="0.2">
      <c r="A824" s="44"/>
      <c r="B824" s="44"/>
      <c r="C824" s="35"/>
      <c r="D824" s="44"/>
      <c r="E824" s="44"/>
      <c r="F824" s="44"/>
      <c r="G824" s="130"/>
      <c r="H824" s="252">
        <f t="shared" si="29"/>
        <v>0</v>
      </c>
      <c r="I824" s="252">
        <f t="shared" si="28"/>
        <v>0</v>
      </c>
      <c r="J824" s="170" t="str">
        <f>IF(A824="","",SUM($H$7:H824)-SUM($I$7:I824))</f>
        <v/>
      </c>
      <c r="K824" s="34"/>
    </row>
    <row r="825" spans="1:11" x14ac:dyDescent="0.2">
      <c r="A825" s="44"/>
      <c r="B825" s="44"/>
      <c r="C825" s="35"/>
      <c r="D825" s="44"/>
      <c r="E825" s="44"/>
      <c r="F825" s="44"/>
      <c r="G825" s="130"/>
      <c r="H825" s="252">
        <f t="shared" si="29"/>
        <v>0</v>
      </c>
      <c r="I825" s="252">
        <f t="shared" si="28"/>
        <v>0</v>
      </c>
      <c r="J825" s="170" t="str">
        <f>IF(A825="","",SUM($H$7:H825)-SUM($I$7:I825))</f>
        <v/>
      </c>
      <c r="K825" s="34"/>
    </row>
    <row r="826" spans="1:11" x14ac:dyDescent="0.2">
      <c r="A826" s="44"/>
      <c r="B826" s="44"/>
      <c r="C826" s="35"/>
      <c r="D826" s="44"/>
      <c r="E826" s="44"/>
      <c r="F826" s="44"/>
      <c r="G826" s="130"/>
      <c r="H826" s="252">
        <f t="shared" si="29"/>
        <v>0</v>
      </c>
      <c r="I826" s="252">
        <f t="shared" si="28"/>
        <v>0</v>
      </c>
      <c r="J826" s="170" t="str">
        <f>IF(A826="","",SUM($H$7:H826)-SUM($I$7:I826))</f>
        <v/>
      </c>
      <c r="K826" s="34"/>
    </row>
    <row r="827" spans="1:11" x14ac:dyDescent="0.2">
      <c r="A827" s="44"/>
      <c r="B827" s="44"/>
      <c r="C827" s="35"/>
      <c r="D827" s="44"/>
      <c r="E827" s="44"/>
      <c r="F827" s="44"/>
      <c r="G827" s="130"/>
      <c r="H827" s="252">
        <f t="shared" si="29"/>
        <v>0</v>
      </c>
      <c r="I827" s="252">
        <f t="shared" si="28"/>
        <v>0</v>
      </c>
      <c r="J827" s="170" t="str">
        <f>IF(A827="","",SUM($H$7:H827)-SUM($I$7:I827))</f>
        <v/>
      </c>
      <c r="K827" s="34"/>
    </row>
    <row r="828" spans="1:11" x14ac:dyDescent="0.2">
      <c r="A828" s="44"/>
      <c r="B828" s="44"/>
      <c r="C828" s="35"/>
      <c r="D828" s="44"/>
      <c r="E828" s="44"/>
      <c r="F828" s="44"/>
      <c r="G828" s="130"/>
      <c r="H828" s="252">
        <f t="shared" si="29"/>
        <v>0</v>
      </c>
      <c r="I828" s="252">
        <f t="shared" si="28"/>
        <v>0</v>
      </c>
      <c r="J828" s="170" t="str">
        <f>IF(A828="","",SUM($H$7:H828)-SUM($I$7:I828))</f>
        <v/>
      </c>
      <c r="K828" s="34"/>
    </row>
    <row r="829" spans="1:11" x14ac:dyDescent="0.2">
      <c r="A829" s="44"/>
      <c r="B829" s="44"/>
      <c r="C829" s="35"/>
      <c r="D829" s="44"/>
      <c r="E829" s="44"/>
      <c r="F829" s="44"/>
      <c r="G829" s="130"/>
      <c r="H829" s="252">
        <f t="shared" si="29"/>
        <v>0</v>
      </c>
      <c r="I829" s="252">
        <f t="shared" si="28"/>
        <v>0</v>
      </c>
      <c r="J829" s="170" t="str">
        <f>IF(A829="","",SUM($H$7:H829)-SUM($I$7:I829))</f>
        <v/>
      </c>
      <c r="K829" s="34"/>
    </row>
    <row r="830" spans="1:11" x14ac:dyDescent="0.2">
      <c r="A830" s="44"/>
      <c r="B830" s="44"/>
      <c r="C830" s="35"/>
      <c r="D830" s="44"/>
      <c r="E830" s="44"/>
      <c r="F830" s="44"/>
      <c r="G830" s="130"/>
      <c r="H830" s="252">
        <f t="shared" si="29"/>
        <v>0</v>
      </c>
      <c r="I830" s="252">
        <f t="shared" si="28"/>
        <v>0</v>
      </c>
      <c r="J830" s="170" t="str">
        <f>IF(A830="","",SUM($H$7:H830)-SUM($I$7:I830))</f>
        <v/>
      </c>
      <c r="K830" s="34"/>
    </row>
    <row r="831" spans="1:11" x14ac:dyDescent="0.2">
      <c r="A831" s="44"/>
      <c r="B831" s="44"/>
      <c r="C831" s="35"/>
      <c r="D831" s="44"/>
      <c r="E831" s="44"/>
      <c r="F831" s="44"/>
      <c r="G831" s="130"/>
      <c r="H831" s="252">
        <f t="shared" si="29"/>
        <v>0</v>
      </c>
      <c r="I831" s="252">
        <f t="shared" si="28"/>
        <v>0</v>
      </c>
      <c r="J831" s="170" t="str">
        <f>IF(A831="","",SUM($H$7:H831)-SUM($I$7:I831))</f>
        <v/>
      </c>
      <c r="K831" s="34"/>
    </row>
    <row r="832" spans="1:11" x14ac:dyDescent="0.2">
      <c r="A832" s="44"/>
      <c r="B832" s="44"/>
      <c r="C832" s="35"/>
      <c r="D832" s="44"/>
      <c r="E832" s="44"/>
      <c r="F832" s="44"/>
      <c r="G832" s="130"/>
      <c r="H832" s="252">
        <f t="shared" si="29"/>
        <v>0</v>
      </c>
      <c r="I832" s="252">
        <f t="shared" si="28"/>
        <v>0</v>
      </c>
      <c r="J832" s="170" t="str">
        <f>IF(A832="","",SUM($H$7:H832)-SUM($I$7:I832))</f>
        <v/>
      </c>
      <c r="K832" s="34"/>
    </row>
    <row r="833" spans="1:11" x14ac:dyDescent="0.2">
      <c r="A833" s="44"/>
      <c r="B833" s="44"/>
      <c r="C833" s="35"/>
      <c r="D833" s="44"/>
      <c r="E833" s="44"/>
      <c r="F833" s="44"/>
      <c r="G833" s="130"/>
      <c r="H833" s="252">
        <f t="shared" si="29"/>
        <v>0</v>
      </c>
      <c r="I833" s="252">
        <f t="shared" si="28"/>
        <v>0</v>
      </c>
      <c r="J833" s="170" t="str">
        <f>IF(A833="","",SUM($H$7:H833)-SUM($I$7:I833))</f>
        <v/>
      </c>
      <c r="K833" s="34"/>
    </row>
    <row r="834" spans="1:11" x14ac:dyDescent="0.2">
      <c r="A834" s="44"/>
      <c r="B834" s="44"/>
      <c r="C834" s="35"/>
      <c r="D834" s="44"/>
      <c r="E834" s="44"/>
      <c r="F834" s="44"/>
      <c r="G834" s="130"/>
      <c r="H834" s="252">
        <f t="shared" si="29"/>
        <v>0</v>
      </c>
      <c r="I834" s="252">
        <f t="shared" si="28"/>
        <v>0</v>
      </c>
      <c r="J834" s="170" t="str">
        <f>IF(A834="","",SUM($H$7:H834)-SUM($I$7:I834))</f>
        <v/>
      </c>
      <c r="K834" s="34"/>
    </row>
    <row r="835" spans="1:11" x14ac:dyDescent="0.2">
      <c r="A835" s="44"/>
      <c r="B835" s="44"/>
      <c r="C835" s="35"/>
      <c r="D835" s="44"/>
      <c r="E835" s="44"/>
      <c r="F835" s="44"/>
      <c r="G835" s="130"/>
      <c r="H835" s="252">
        <f t="shared" si="29"/>
        <v>0</v>
      </c>
      <c r="I835" s="252">
        <f t="shared" si="28"/>
        <v>0</v>
      </c>
      <c r="J835" s="170" t="str">
        <f>IF(A835="","",SUM($H$7:H835)-SUM($I$7:I835))</f>
        <v/>
      </c>
      <c r="K835" s="34"/>
    </row>
    <row r="836" spans="1:11" x14ac:dyDescent="0.2">
      <c r="A836" s="44"/>
      <c r="B836" s="44"/>
      <c r="C836" s="35"/>
      <c r="D836" s="44"/>
      <c r="E836" s="44"/>
      <c r="F836" s="44"/>
      <c r="G836" s="130"/>
      <c r="H836" s="252">
        <f t="shared" si="29"/>
        <v>0</v>
      </c>
      <c r="I836" s="252">
        <f t="shared" si="28"/>
        <v>0</v>
      </c>
      <c r="J836" s="170" t="str">
        <f>IF(A836="","",SUM($H$7:H836)-SUM($I$7:I836))</f>
        <v/>
      </c>
      <c r="K836" s="34"/>
    </row>
    <row r="837" spans="1:11" x14ac:dyDescent="0.2">
      <c r="A837" s="44"/>
      <c r="B837" s="44"/>
      <c r="C837" s="35"/>
      <c r="D837" s="44"/>
      <c r="E837" s="44"/>
      <c r="F837" s="44"/>
      <c r="G837" s="130"/>
      <c r="H837" s="252">
        <f t="shared" si="29"/>
        <v>0</v>
      </c>
      <c r="I837" s="252">
        <f t="shared" si="28"/>
        <v>0</v>
      </c>
      <c r="J837" s="170" t="str">
        <f>IF(A837="","",SUM($H$7:H837)-SUM($I$7:I837))</f>
        <v/>
      </c>
      <c r="K837" s="34"/>
    </row>
    <row r="838" spans="1:11" x14ac:dyDescent="0.2">
      <c r="A838" s="44"/>
      <c r="B838" s="44"/>
      <c r="C838" s="35"/>
      <c r="D838" s="44"/>
      <c r="E838" s="44"/>
      <c r="F838" s="44"/>
      <c r="G838" s="130"/>
      <c r="H838" s="252">
        <f t="shared" si="29"/>
        <v>0</v>
      </c>
      <c r="I838" s="252">
        <f t="shared" si="28"/>
        <v>0</v>
      </c>
      <c r="J838" s="170" t="str">
        <f>IF(A838="","",SUM($H$7:H838)-SUM($I$7:I838))</f>
        <v/>
      </c>
      <c r="K838" s="34"/>
    </row>
    <row r="839" spans="1:11" x14ac:dyDescent="0.2">
      <c r="A839" s="44"/>
      <c r="B839" s="44"/>
      <c r="C839" s="35"/>
      <c r="D839" s="44"/>
      <c r="E839" s="44"/>
      <c r="F839" s="44"/>
      <c r="G839" s="130"/>
      <c r="H839" s="252">
        <f t="shared" si="29"/>
        <v>0</v>
      </c>
      <c r="I839" s="252">
        <f t="shared" ref="I839:I902" si="30">IF($C839="Replenishment",0,$G839)</f>
        <v>0</v>
      </c>
      <c r="J839" s="170" t="str">
        <f>IF(A839="","",SUM($H$7:H839)-SUM($I$7:I839))</f>
        <v/>
      </c>
      <c r="K839" s="34"/>
    </row>
    <row r="840" spans="1:11" x14ac:dyDescent="0.2">
      <c r="A840" s="44"/>
      <c r="B840" s="44"/>
      <c r="C840" s="35"/>
      <c r="D840" s="44"/>
      <c r="E840" s="44"/>
      <c r="F840" s="44"/>
      <c r="G840" s="130"/>
      <c r="H840" s="252">
        <f t="shared" si="29"/>
        <v>0</v>
      </c>
      <c r="I840" s="252">
        <f t="shared" si="30"/>
        <v>0</v>
      </c>
      <c r="J840" s="170" t="str">
        <f>IF(A840="","",SUM($H$7:H840)-SUM($I$7:I840))</f>
        <v/>
      </c>
      <c r="K840" s="34"/>
    </row>
    <row r="841" spans="1:11" x14ac:dyDescent="0.2">
      <c r="A841" s="44"/>
      <c r="B841" s="44"/>
      <c r="C841" s="35"/>
      <c r="D841" s="44"/>
      <c r="E841" s="44"/>
      <c r="F841" s="44"/>
      <c r="G841" s="130"/>
      <c r="H841" s="252">
        <f t="shared" si="29"/>
        <v>0</v>
      </c>
      <c r="I841" s="252">
        <f t="shared" si="30"/>
        <v>0</v>
      </c>
      <c r="J841" s="170" t="str">
        <f>IF(A841="","",SUM($H$7:H841)-SUM($I$7:I841))</f>
        <v/>
      </c>
      <c r="K841" s="34"/>
    </row>
    <row r="842" spans="1:11" x14ac:dyDescent="0.2">
      <c r="A842" s="44"/>
      <c r="B842" s="44"/>
      <c r="C842" s="35"/>
      <c r="D842" s="44"/>
      <c r="E842" s="44"/>
      <c r="F842" s="44"/>
      <c r="G842" s="130"/>
      <c r="H842" s="252">
        <f t="shared" si="29"/>
        <v>0</v>
      </c>
      <c r="I842" s="252">
        <f t="shared" si="30"/>
        <v>0</v>
      </c>
      <c r="J842" s="170" t="str">
        <f>IF(A842="","",SUM($H$7:H842)-SUM($I$7:I842))</f>
        <v/>
      </c>
      <c r="K842" s="34"/>
    </row>
    <row r="843" spans="1:11" x14ac:dyDescent="0.2">
      <c r="A843" s="44"/>
      <c r="B843" s="44"/>
      <c r="C843" s="35"/>
      <c r="D843" s="44"/>
      <c r="E843" s="44"/>
      <c r="F843" s="44"/>
      <c r="G843" s="130"/>
      <c r="H843" s="252">
        <f t="shared" si="29"/>
        <v>0</v>
      </c>
      <c r="I843" s="252">
        <f t="shared" si="30"/>
        <v>0</v>
      </c>
      <c r="J843" s="170" t="str">
        <f>IF(A843="","",SUM($H$7:H843)-SUM($I$7:I843))</f>
        <v/>
      </c>
      <c r="K843" s="34"/>
    </row>
    <row r="844" spans="1:11" x14ac:dyDescent="0.2">
      <c r="A844" s="44"/>
      <c r="B844" s="44"/>
      <c r="C844" s="35"/>
      <c r="D844" s="44"/>
      <c r="E844" s="44"/>
      <c r="F844" s="44"/>
      <c r="G844" s="130"/>
      <c r="H844" s="252">
        <f t="shared" si="29"/>
        <v>0</v>
      </c>
      <c r="I844" s="252">
        <f t="shared" si="30"/>
        <v>0</v>
      </c>
      <c r="J844" s="170" t="str">
        <f>IF(A844="","",SUM($H$7:H844)-SUM($I$7:I844))</f>
        <v/>
      </c>
      <c r="K844" s="34"/>
    </row>
    <row r="845" spans="1:11" x14ac:dyDescent="0.2">
      <c r="A845" s="44"/>
      <c r="B845" s="44"/>
      <c r="C845" s="35"/>
      <c r="D845" s="44"/>
      <c r="E845" s="44"/>
      <c r="F845" s="44"/>
      <c r="G845" s="130"/>
      <c r="H845" s="252">
        <f t="shared" si="29"/>
        <v>0</v>
      </c>
      <c r="I845" s="252">
        <f t="shared" si="30"/>
        <v>0</v>
      </c>
      <c r="J845" s="170" t="str">
        <f>IF(A845="","",SUM($H$7:H845)-SUM($I$7:I845))</f>
        <v/>
      </c>
      <c r="K845" s="34"/>
    </row>
    <row r="846" spans="1:11" x14ac:dyDescent="0.2">
      <c r="A846" s="44"/>
      <c r="B846" s="44"/>
      <c r="C846" s="35"/>
      <c r="D846" s="44"/>
      <c r="E846" s="44"/>
      <c r="F846" s="44"/>
      <c r="G846" s="130"/>
      <c r="H846" s="252">
        <f t="shared" si="29"/>
        <v>0</v>
      </c>
      <c r="I846" s="252">
        <f t="shared" si="30"/>
        <v>0</v>
      </c>
      <c r="J846" s="170" t="str">
        <f>IF(A846="","",SUM($H$7:H846)-SUM($I$7:I846))</f>
        <v/>
      </c>
      <c r="K846" s="34"/>
    </row>
    <row r="847" spans="1:11" x14ac:dyDescent="0.2">
      <c r="A847" s="44"/>
      <c r="B847" s="44"/>
      <c r="C847" s="35"/>
      <c r="D847" s="44"/>
      <c r="E847" s="44"/>
      <c r="F847" s="44"/>
      <c r="G847" s="130"/>
      <c r="H847" s="252">
        <f t="shared" si="29"/>
        <v>0</v>
      </c>
      <c r="I847" s="252">
        <f t="shared" si="30"/>
        <v>0</v>
      </c>
      <c r="J847" s="170" t="str">
        <f>IF(A847="","",SUM($H$7:H847)-SUM($I$7:I847))</f>
        <v/>
      </c>
      <c r="K847" s="34"/>
    </row>
    <row r="848" spans="1:11" x14ac:dyDescent="0.2">
      <c r="A848" s="44"/>
      <c r="B848" s="44"/>
      <c r="C848" s="35"/>
      <c r="D848" s="44"/>
      <c r="E848" s="44"/>
      <c r="F848" s="44"/>
      <c r="G848" s="130"/>
      <c r="H848" s="252">
        <f t="shared" si="29"/>
        <v>0</v>
      </c>
      <c r="I848" s="252">
        <f t="shared" si="30"/>
        <v>0</v>
      </c>
      <c r="J848" s="170" t="str">
        <f>IF(A848="","",SUM($H$7:H848)-SUM($I$7:I848))</f>
        <v/>
      </c>
      <c r="K848" s="34"/>
    </row>
    <row r="849" spans="1:11" x14ac:dyDescent="0.2">
      <c r="A849" s="44"/>
      <c r="B849" s="44"/>
      <c r="C849" s="35"/>
      <c r="D849" s="44"/>
      <c r="E849" s="44"/>
      <c r="F849" s="44"/>
      <c r="G849" s="130"/>
      <c r="H849" s="252">
        <f t="shared" si="29"/>
        <v>0</v>
      </c>
      <c r="I849" s="252">
        <f t="shared" si="30"/>
        <v>0</v>
      </c>
      <c r="J849" s="170" t="str">
        <f>IF(A849="","",SUM($H$7:H849)-SUM($I$7:I849))</f>
        <v/>
      </c>
      <c r="K849" s="34"/>
    </row>
    <row r="850" spans="1:11" x14ac:dyDescent="0.2">
      <c r="A850" s="44"/>
      <c r="B850" s="44"/>
      <c r="C850" s="35"/>
      <c r="D850" s="44"/>
      <c r="E850" s="44"/>
      <c r="F850" s="44"/>
      <c r="G850" s="130"/>
      <c r="H850" s="252">
        <f t="shared" si="29"/>
        <v>0</v>
      </c>
      <c r="I850" s="252">
        <f t="shared" si="30"/>
        <v>0</v>
      </c>
      <c r="J850" s="170" t="str">
        <f>IF(A850="","",SUM($H$7:H850)-SUM($I$7:I850))</f>
        <v/>
      </c>
      <c r="K850" s="34"/>
    </row>
    <row r="851" spans="1:11" x14ac:dyDescent="0.2">
      <c r="A851" s="44"/>
      <c r="B851" s="44"/>
      <c r="C851" s="35"/>
      <c r="D851" s="44"/>
      <c r="E851" s="44"/>
      <c r="F851" s="44"/>
      <c r="G851" s="130"/>
      <c r="H851" s="252">
        <f t="shared" si="29"/>
        <v>0</v>
      </c>
      <c r="I851" s="252">
        <f t="shared" si="30"/>
        <v>0</v>
      </c>
      <c r="J851" s="170" t="str">
        <f>IF(A851="","",SUM($H$7:H851)-SUM($I$7:I851))</f>
        <v/>
      </c>
      <c r="K851" s="34"/>
    </row>
    <row r="852" spans="1:11" x14ac:dyDescent="0.2">
      <c r="A852" s="44"/>
      <c r="B852" s="44"/>
      <c r="C852" s="35"/>
      <c r="D852" s="44"/>
      <c r="E852" s="44"/>
      <c r="F852" s="44"/>
      <c r="G852" s="130"/>
      <c r="H852" s="252">
        <f t="shared" si="29"/>
        <v>0</v>
      </c>
      <c r="I852" s="252">
        <f t="shared" si="30"/>
        <v>0</v>
      </c>
      <c r="J852" s="170" t="str">
        <f>IF(A852="","",SUM($H$7:H852)-SUM($I$7:I852))</f>
        <v/>
      </c>
      <c r="K852" s="34"/>
    </row>
    <row r="853" spans="1:11" x14ac:dyDescent="0.2">
      <c r="A853" s="44"/>
      <c r="B853" s="44"/>
      <c r="C853" s="35"/>
      <c r="D853" s="44"/>
      <c r="E853" s="44"/>
      <c r="F853" s="44"/>
      <c r="G853" s="130"/>
      <c r="H853" s="252">
        <f t="shared" si="29"/>
        <v>0</v>
      </c>
      <c r="I853" s="252">
        <f t="shared" si="30"/>
        <v>0</v>
      </c>
      <c r="J853" s="170" t="str">
        <f>IF(A853="","",SUM($H$7:H853)-SUM($I$7:I853))</f>
        <v/>
      </c>
      <c r="K853" s="34"/>
    </row>
    <row r="854" spans="1:11" x14ac:dyDescent="0.2">
      <c r="A854" s="44"/>
      <c r="B854" s="44"/>
      <c r="C854" s="35"/>
      <c r="D854" s="44"/>
      <c r="E854" s="44"/>
      <c r="F854" s="44"/>
      <c r="G854" s="130"/>
      <c r="H854" s="252">
        <f t="shared" si="29"/>
        <v>0</v>
      </c>
      <c r="I854" s="252">
        <f t="shared" si="30"/>
        <v>0</v>
      </c>
      <c r="J854" s="170" t="str">
        <f>IF(A854="","",SUM($H$7:H854)-SUM($I$7:I854))</f>
        <v/>
      </c>
      <c r="K854" s="34"/>
    </row>
    <row r="855" spans="1:11" x14ac:dyDescent="0.2">
      <c r="A855" s="44"/>
      <c r="B855" s="44"/>
      <c r="C855" s="35"/>
      <c r="D855" s="44"/>
      <c r="E855" s="44"/>
      <c r="F855" s="44"/>
      <c r="G855" s="130"/>
      <c r="H855" s="252">
        <f t="shared" si="29"/>
        <v>0</v>
      </c>
      <c r="I855" s="252">
        <f t="shared" si="30"/>
        <v>0</v>
      </c>
      <c r="J855" s="170" t="str">
        <f>IF(A855="","",SUM($H$7:H855)-SUM($I$7:I855))</f>
        <v/>
      </c>
      <c r="K855" s="34"/>
    </row>
    <row r="856" spans="1:11" x14ac:dyDescent="0.2">
      <c r="A856" s="44"/>
      <c r="B856" s="44"/>
      <c r="C856" s="35"/>
      <c r="D856" s="44"/>
      <c r="E856" s="44"/>
      <c r="F856" s="44"/>
      <c r="G856" s="130"/>
      <c r="H856" s="252">
        <f t="shared" si="29"/>
        <v>0</v>
      </c>
      <c r="I856" s="252">
        <f t="shared" si="30"/>
        <v>0</v>
      </c>
      <c r="J856" s="170" t="str">
        <f>IF(A856="","",SUM($H$7:H856)-SUM($I$7:I856))</f>
        <v/>
      </c>
      <c r="K856" s="34"/>
    </row>
    <row r="857" spans="1:11" x14ac:dyDescent="0.2">
      <c r="A857" s="44"/>
      <c r="B857" s="44"/>
      <c r="C857" s="35"/>
      <c r="D857" s="44"/>
      <c r="E857" s="44"/>
      <c r="F857" s="44"/>
      <c r="G857" s="130"/>
      <c r="H857" s="252">
        <f t="shared" si="29"/>
        <v>0</v>
      </c>
      <c r="I857" s="252">
        <f t="shared" si="30"/>
        <v>0</v>
      </c>
      <c r="J857" s="170" t="str">
        <f>IF(A857="","",SUM($H$7:H857)-SUM($I$7:I857))</f>
        <v/>
      </c>
      <c r="K857" s="34"/>
    </row>
    <row r="858" spans="1:11" x14ac:dyDescent="0.2">
      <c r="A858" s="44"/>
      <c r="B858" s="44"/>
      <c r="C858" s="35"/>
      <c r="D858" s="44"/>
      <c r="E858" s="44"/>
      <c r="F858" s="44"/>
      <c r="G858" s="130"/>
      <c r="H858" s="252">
        <f t="shared" si="29"/>
        <v>0</v>
      </c>
      <c r="I858" s="252">
        <f t="shared" si="30"/>
        <v>0</v>
      </c>
      <c r="J858" s="170" t="str">
        <f>IF(A858="","",SUM($H$7:H858)-SUM($I$7:I858))</f>
        <v/>
      </c>
      <c r="K858" s="34"/>
    </row>
    <row r="859" spans="1:11" x14ac:dyDescent="0.2">
      <c r="A859" s="44"/>
      <c r="B859" s="44"/>
      <c r="C859" s="35"/>
      <c r="D859" s="44"/>
      <c r="E859" s="44"/>
      <c r="F859" s="44"/>
      <c r="G859" s="130"/>
      <c r="H859" s="252">
        <f t="shared" si="29"/>
        <v>0</v>
      </c>
      <c r="I859" s="252">
        <f t="shared" si="30"/>
        <v>0</v>
      </c>
      <c r="J859" s="170" t="str">
        <f>IF(A859="","",SUM($H$7:H859)-SUM($I$7:I859))</f>
        <v/>
      </c>
      <c r="K859" s="34"/>
    </row>
    <row r="860" spans="1:11" x14ac:dyDescent="0.2">
      <c r="A860" s="44"/>
      <c r="B860" s="44"/>
      <c r="C860" s="35"/>
      <c r="D860" s="44"/>
      <c r="E860" s="44"/>
      <c r="F860" s="44"/>
      <c r="G860" s="130"/>
      <c r="H860" s="252">
        <f t="shared" si="29"/>
        <v>0</v>
      </c>
      <c r="I860" s="252">
        <f t="shared" si="30"/>
        <v>0</v>
      </c>
      <c r="J860" s="170" t="str">
        <f>IF(A860="","",SUM($H$7:H860)-SUM($I$7:I860))</f>
        <v/>
      </c>
      <c r="K860" s="34"/>
    </row>
    <row r="861" spans="1:11" x14ac:dyDescent="0.2">
      <c r="A861" s="44"/>
      <c r="B861" s="44"/>
      <c r="C861" s="35"/>
      <c r="D861" s="44"/>
      <c r="E861" s="44"/>
      <c r="F861" s="44"/>
      <c r="G861" s="130"/>
      <c r="H861" s="252">
        <f t="shared" si="29"/>
        <v>0</v>
      </c>
      <c r="I861" s="252">
        <f t="shared" si="30"/>
        <v>0</v>
      </c>
      <c r="J861" s="170" t="str">
        <f>IF(A861="","",SUM($H$7:H861)-SUM($I$7:I861))</f>
        <v/>
      </c>
      <c r="K861" s="34"/>
    </row>
    <row r="862" spans="1:11" x14ac:dyDescent="0.2">
      <c r="A862" s="44"/>
      <c r="B862" s="44"/>
      <c r="C862" s="35"/>
      <c r="D862" s="44"/>
      <c r="E862" s="44"/>
      <c r="F862" s="44"/>
      <c r="G862" s="130"/>
      <c r="H862" s="252">
        <f t="shared" si="29"/>
        <v>0</v>
      </c>
      <c r="I862" s="252">
        <f t="shared" si="30"/>
        <v>0</v>
      </c>
      <c r="J862" s="170" t="str">
        <f>IF(A862="","",SUM($H$7:H862)-SUM($I$7:I862))</f>
        <v/>
      </c>
      <c r="K862" s="34"/>
    </row>
    <row r="863" spans="1:11" x14ac:dyDescent="0.2">
      <c r="A863" s="44"/>
      <c r="B863" s="44"/>
      <c r="C863" s="35"/>
      <c r="D863" s="44"/>
      <c r="E863" s="44"/>
      <c r="F863" s="44"/>
      <c r="G863" s="130"/>
      <c r="H863" s="252">
        <f t="shared" si="29"/>
        <v>0</v>
      </c>
      <c r="I863" s="252">
        <f t="shared" si="30"/>
        <v>0</v>
      </c>
      <c r="J863" s="170" t="str">
        <f>IF(A863="","",SUM($H$7:H863)-SUM($I$7:I863))</f>
        <v/>
      </c>
      <c r="K863" s="34"/>
    </row>
    <row r="864" spans="1:11" x14ac:dyDescent="0.2">
      <c r="A864" s="44"/>
      <c r="B864" s="44"/>
      <c r="C864" s="35"/>
      <c r="D864" s="44"/>
      <c r="E864" s="44"/>
      <c r="F864" s="44"/>
      <c r="G864" s="130"/>
      <c r="H864" s="252">
        <f t="shared" si="29"/>
        <v>0</v>
      </c>
      <c r="I864" s="252">
        <f t="shared" si="30"/>
        <v>0</v>
      </c>
      <c r="J864" s="170" t="str">
        <f>IF(A864="","",SUM($H$7:H864)-SUM($I$7:I864))</f>
        <v/>
      </c>
      <c r="K864" s="34"/>
    </row>
    <row r="865" spans="1:11" x14ac:dyDescent="0.2">
      <c r="A865" s="44"/>
      <c r="B865" s="44"/>
      <c r="C865" s="35"/>
      <c r="D865" s="44"/>
      <c r="E865" s="44"/>
      <c r="F865" s="44"/>
      <c r="G865" s="130"/>
      <c r="H865" s="252">
        <f t="shared" si="29"/>
        <v>0</v>
      </c>
      <c r="I865" s="252">
        <f t="shared" si="30"/>
        <v>0</v>
      </c>
      <c r="J865" s="170" t="str">
        <f>IF(A865="","",SUM($H$7:H865)-SUM($I$7:I865))</f>
        <v/>
      </c>
      <c r="K865" s="34"/>
    </row>
    <row r="866" spans="1:11" x14ac:dyDescent="0.2">
      <c r="A866" s="44"/>
      <c r="B866" s="44"/>
      <c r="C866" s="35"/>
      <c r="D866" s="44"/>
      <c r="E866" s="44"/>
      <c r="F866" s="44"/>
      <c r="G866" s="130"/>
      <c r="H866" s="252">
        <f t="shared" si="29"/>
        <v>0</v>
      </c>
      <c r="I866" s="252">
        <f t="shared" si="30"/>
        <v>0</v>
      </c>
      <c r="J866" s="170" t="str">
        <f>IF(A866="","",SUM($H$7:H866)-SUM($I$7:I866))</f>
        <v/>
      </c>
      <c r="K866" s="34"/>
    </row>
    <row r="867" spans="1:11" x14ac:dyDescent="0.2">
      <c r="A867" s="44"/>
      <c r="B867" s="44"/>
      <c r="C867" s="35"/>
      <c r="D867" s="44"/>
      <c r="E867" s="44"/>
      <c r="F867" s="44"/>
      <c r="G867" s="130"/>
      <c r="H867" s="252">
        <f t="shared" si="29"/>
        <v>0</v>
      </c>
      <c r="I867" s="252">
        <f t="shared" si="30"/>
        <v>0</v>
      </c>
      <c r="J867" s="170" t="str">
        <f>IF(A867="","",SUM($H$7:H867)-SUM($I$7:I867))</f>
        <v/>
      </c>
      <c r="K867" s="34"/>
    </row>
    <row r="868" spans="1:11" x14ac:dyDescent="0.2">
      <c r="A868" s="44"/>
      <c r="B868" s="44"/>
      <c r="C868" s="35"/>
      <c r="D868" s="44"/>
      <c r="E868" s="44"/>
      <c r="F868" s="44"/>
      <c r="G868" s="130"/>
      <c r="H868" s="252">
        <f t="shared" si="29"/>
        <v>0</v>
      </c>
      <c r="I868" s="252">
        <f t="shared" si="30"/>
        <v>0</v>
      </c>
      <c r="J868" s="170" t="str">
        <f>IF(A868="","",SUM($H$7:H868)-SUM($I$7:I868))</f>
        <v/>
      </c>
      <c r="K868" s="34"/>
    </row>
    <row r="869" spans="1:11" x14ac:dyDescent="0.2">
      <c r="A869" s="44"/>
      <c r="B869" s="44"/>
      <c r="C869" s="35"/>
      <c r="D869" s="44"/>
      <c r="E869" s="44"/>
      <c r="F869" s="44"/>
      <c r="G869" s="130"/>
      <c r="H869" s="252">
        <f t="shared" si="29"/>
        <v>0</v>
      </c>
      <c r="I869" s="252">
        <f t="shared" si="30"/>
        <v>0</v>
      </c>
      <c r="J869" s="170" t="str">
        <f>IF(A869="","",SUM($H$7:H869)-SUM($I$7:I869))</f>
        <v/>
      </c>
      <c r="K869" s="34"/>
    </row>
    <row r="870" spans="1:11" x14ac:dyDescent="0.2">
      <c r="A870" s="44"/>
      <c r="B870" s="44"/>
      <c r="C870" s="35"/>
      <c r="D870" s="44"/>
      <c r="E870" s="44"/>
      <c r="F870" s="44"/>
      <c r="G870" s="130"/>
      <c r="H870" s="252">
        <f t="shared" si="29"/>
        <v>0</v>
      </c>
      <c r="I870" s="252">
        <f t="shared" si="30"/>
        <v>0</v>
      </c>
      <c r="J870" s="170" t="str">
        <f>IF(A870="","",SUM($H$7:H870)-SUM($I$7:I870))</f>
        <v/>
      </c>
      <c r="K870" s="34"/>
    </row>
    <row r="871" spans="1:11" x14ac:dyDescent="0.2">
      <c r="A871" s="44"/>
      <c r="B871" s="44"/>
      <c r="C871" s="35"/>
      <c r="D871" s="44"/>
      <c r="E871" s="44"/>
      <c r="F871" s="44"/>
      <c r="G871" s="130"/>
      <c r="H871" s="252">
        <f t="shared" si="29"/>
        <v>0</v>
      </c>
      <c r="I871" s="252">
        <f t="shared" si="30"/>
        <v>0</v>
      </c>
      <c r="J871" s="170" t="str">
        <f>IF(A871="","",SUM($H$7:H871)-SUM($I$7:I871))</f>
        <v/>
      </c>
      <c r="K871" s="34"/>
    </row>
    <row r="872" spans="1:11" x14ac:dyDescent="0.2">
      <c r="A872" s="44"/>
      <c r="B872" s="44"/>
      <c r="C872" s="35"/>
      <c r="D872" s="44"/>
      <c r="E872" s="44"/>
      <c r="F872" s="44"/>
      <c r="G872" s="130"/>
      <c r="H872" s="252">
        <f t="shared" si="29"/>
        <v>0</v>
      </c>
      <c r="I872" s="252">
        <f t="shared" si="30"/>
        <v>0</v>
      </c>
      <c r="J872" s="170" t="str">
        <f>IF(A872="","",SUM($H$7:H872)-SUM($I$7:I872))</f>
        <v/>
      </c>
      <c r="K872" s="34"/>
    </row>
    <row r="873" spans="1:11" x14ac:dyDescent="0.2">
      <c r="A873" s="44"/>
      <c r="B873" s="44"/>
      <c r="C873" s="35"/>
      <c r="D873" s="44"/>
      <c r="E873" s="44"/>
      <c r="F873" s="44"/>
      <c r="G873" s="130"/>
      <c r="H873" s="252">
        <f t="shared" si="29"/>
        <v>0</v>
      </c>
      <c r="I873" s="252">
        <f t="shared" si="30"/>
        <v>0</v>
      </c>
      <c r="J873" s="170" t="str">
        <f>IF(A873="","",SUM($H$7:H873)-SUM($I$7:I873))</f>
        <v/>
      </c>
      <c r="K873" s="34"/>
    </row>
    <row r="874" spans="1:11" x14ac:dyDescent="0.2">
      <c r="A874" s="44"/>
      <c r="B874" s="44"/>
      <c r="C874" s="35"/>
      <c r="D874" s="44"/>
      <c r="E874" s="44"/>
      <c r="F874" s="44"/>
      <c r="G874" s="130"/>
      <c r="H874" s="252">
        <f t="shared" si="29"/>
        <v>0</v>
      </c>
      <c r="I874" s="252">
        <f t="shared" si="30"/>
        <v>0</v>
      </c>
      <c r="J874" s="170" t="str">
        <f>IF(A874="","",SUM($H$7:H874)-SUM($I$7:I874))</f>
        <v/>
      </c>
      <c r="K874" s="34"/>
    </row>
    <row r="875" spans="1:11" x14ac:dyDescent="0.2">
      <c r="A875" s="44"/>
      <c r="B875" s="44"/>
      <c r="C875" s="35"/>
      <c r="D875" s="44"/>
      <c r="E875" s="44"/>
      <c r="F875" s="44"/>
      <c r="G875" s="130"/>
      <c r="H875" s="252">
        <f t="shared" si="29"/>
        <v>0</v>
      </c>
      <c r="I875" s="252">
        <f t="shared" si="30"/>
        <v>0</v>
      </c>
      <c r="J875" s="170" t="str">
        <f>IF(A875="","",SUM($H$7:H875)-SUM($I$7:I875))</f>
        <v/>
      </c>
      <c r="K875" s="34"/>
    </row>
    <row r="876" spans="1:11" x14ac:dyDescent="0.2">
      <c r="A876" s="44"/>
      <c r="B876" s="44"/>
      <c r="C876" s="35"/>
      <c r="D876" s="44"/>
      <c r="E876" s="44"/>
      <c r="F876" s="44"/>
      <c r="G876" s="130"/>
      <c r="H876" s="252">
        <f t="shared" si="29"/>
        <v>0</v>
      </c>
      <c r="I876" s="252">
        <f t="shared" si="30"/>
        <v>0</v>
      </c>
      <c r="J876" s="170" t="str">
        <f>IF(A876="","",SUM($H$7:H876)-SUM($I$7:I876))</f>
        <v/>
      </c>
      <c r="K876" s="34"/>
    </row>
    <row r="877" spans="1:11" x14ac:dyDescent="0.2">
      <c r="A877" s="44"/>
      <c r="B877" s="44"/>
      <c r="C877" s="35"/>
      <c r="D877" s="44"/>
      <c r="E877" s="44"/>
      <c r="F877" s="44"/>
      <c r="G877" s="130"/>
      <c r="H877" s="252">
        <f t="shared" si="29"/>
        <v>0</v>
      </c>
      <c r="I877" s="252">
        <f t="shared" si="30"/>
        <v>0</v>
      </c>
      <c r="J877" s="170" t="str">
        <f>IF(A877="","",SUM($H$7:H877)-SUM($I$7:I877))</f>
        <v/>
      </c>
      <c r="K877" s="34"/>
    </row>
    <row r="878" spans="1:11" x14ac:dyDescent="0.2">
      <c r="A878" s="44"/>
      <c r="B878" s="44"/>
      <c r="C878" s="35"/>
      <c r="D878" s="44"/>
      <c r="E878" s="44"/>
      <c r="F878" s="44"/>
      <c r="G878" s="130"/>
      <c r="H878" s="252">
        <f t="shared" si="29"/>
        <v>0</v>
      </c>
      <c r="I878" s="252">
        <f t="shared" si="30"/>
        <v>0</v>
      </c>
      <c r="J878" s="170" t="str">
        <f>IF(A878="","",SUM($H$7:H878)-SUM($I$7:I878))</f>
        <v/>
      </c>
      <c r="K878" s="34"/>
    </row>
    <row r="879" spans="1:11" x14ac:dyDescent="0.2">
      <c r="A879" s="44"/>
      <c r="B879" s="44"/>
      <c r="C879" s="35"/>
      <c r="D879" s="44"/>
      <c r="E879" s="44"/>
      <c r="F879" s="44"/>
      <c r="G879" s="130"/>
      <c r="H879" s="252">
        <f t="shared" si="29"/>
        <v>0</v>
      </c>
      <c r="I879" s="252">
        <f t="shared" si="30"/>
        <v>0</v>
      </c>
      <c r="J879" s="170" t="str">
        <f>IF(A879="","",SUM($H$7:H879)-SUM($I$7:I879))</f>
        <v/>
      </c>
      <c r="K879" s="34"/>
    </row>
    <row r="880" spans="1:11" x14ac:dyDescent="0.2">
      <c r="A880" s="44"/>
      <c r="B880" s="44"/>
      <c r="C880" s="35"/>
      <c r="D880" s="44"/>
      <c r="E880" s="44"/>
      <c r="F880" s="44"/>
      <c r="G880" s="130"/>
      <c r="H880" s="252">
        <f t="shared" si="29"/>
        <v>0</v>
      </c>
      <c r="I880" s="252">
        <f t="shared" si="30"/>
        <v>0</v>
      </c>
      <c r="J880" s="170" t="str">
        <f>IF(A880="","",SUM($H$7:H880)-SUM($I$7:I880))</f>
        <v/>
      </c>
      <c r="K880" s="34"/>
    </row>
    <row r="881" spans="1:11" x14ac:dyDescent="0.2">
      <c r="A881" s="44"/>
      <c r="B881" s="44"/>
      <c r="C881" s="35"/>
      <c r="D881" s="44"/>
      <c r="E881" s="44"/>
      <c r="F881" s="44"/>
      <c r="G881" s="130"/>
      <c r="H881" s="252">
        <f t="shared" si="29"/>
        <v>0</v>
      </c>
      <c r="I881" s="252">
        <f t="shared" si="30"/>
        <v>0</v>
      </c>
      <c r="J881" s="170" t="str">
        <f>IF(A881="","",SUM($H$7:H881)-SUM($I$7:I881))</f>
        <v/>
      </c>
      <c r="K881" s="34"/>
    </row>
    <row r="882" spans="1:11" x14ac:dyDescent="0.2">
      <c r="A882" s="44"/>
      <c r="B882" s="44"/>
      <c r="C882" s="35"/>
      <c r="D882" s="44"/>
      <c r="E882" s="44"/>
      <c r="F882" s="44"/>
      <c r="G882" s="130"/>
      <c r="H882" s="252">
        <f t="shared" si="29"/>
        <v>0</v>
      </c>
      <c r="I882" s="252">
        <f t="shared" si="30"/>
        <v>0</v>
      </c>
      <c r="J882" s="170" t="str">
        <f>IF(A882="","",SUM($H$7:H882)-SUM($I$7:I882))</f>
        <v/>
      </c>
      <c r="K882" s="34"/>
    </row>
    <row r="883" spans="1:11" x14ac:dyDescent="0.2">
      <c r="A883" s="44"/>
      <c r="B883" s="44"/>
      <c r="C883" s="35"/>
      <c r="D883" s="44"/>
      <c r="E883" s="44"/>
      <c r="F883" s="44"/>
      <c r="G883" s="130"/>
      <c r="H883" s="252">
        <f t="shared" si="29"/>
        <v>0</v>
      </c>
      <c r="I883" s="252">
        <f t="shared" si="30"/>
        <v>0</v>
      </c>
      <c r="J883" s="170" t="str">
        <f>IF(A883="","",SUM($H$7:H883)-SUM($I$7:I883))</f>
        <v/>
      </c>
      <c r="K883" s="34"/>
    </row>
    <row r="884" spans="1:11" x14ac:dyDescent="0.2">
      <c r="A884" s="44"/>
      <c r="B884" s="44"/>
      <c r="C884" s="35"/>
      <c r="D884" s="44"/>
      <c r="E884" s="44"/>
      <c r="F884" s="44"/>
      <c r="G884" s="130"/>
      <c r="H884" s="252">
        <f t="shared" si="29"/>
        <v>0</v>
      </c>
      <c r="I884" s="252">
        <f t="shared" si="30"/>
        <v>0</v>
      </c>
      <c r="J884" s="170" t="str">
        <f>IF(A884="","",SUM($H$7:H884)-SUM($I$7:I884))</f>
        <v/>
      </c>
      <c r="K884" s="34"/>
    </row>
    <row r="885" spans="1:11" x14ac:dyDescent="0.2">
      <c r="A885" s="44"/>
      <c r="B885" s="44"/>
      <c r="C885" s="35"/>
      <c r="D885" s="44"/>
      <c r="E885" s="44"/>
      <c r="F885" s="44"/>
      <c r="G885" s="130"/>
      <c r="H885" s="252">
        <f t="shared" si="29"/>
        <v>0</v>
      </c>
      <c r="I885" s="252">
        <f t="shared" si="30"/>
        <v>0</v>
      </c>
      <c r="J885" s="170" t="str">
        <f>IF(A885="","",SUM($H$7:H885)-SUM($I$7:I885))</f>
        <v/>
      </c>
      <c r="K885" s="34"/>
    </row>
    <row r="886" spans="1:11" x14ac:dyDescent="0.2">
      <c r="A886" s="44"/>
      <c r="B886" s="44"/>
      <c r="C886" s="35"/>
      <c r="D886" s="44"/>
      <c r="E886" s="44"/>
      <c r="F886" s="44"/>
      <c r="G886" s="130"/>
      <c r="H886" s="252">
        <f t="shared" ref="H886:H949" si="31">IF($C886="Replenishment",$G886,0)</f>
        <v>0</v>
      </c>
      <c r="I886" s="252">
        <f t="shared" si="30"/>
        <v>0</v>
      </c>
      <c r="J886" s="170" t="str">
        <f>IF(A886="","",SUM($H$7:H886)-SUM($I$7:I886))</f>
        <v/>
      </c>
      <c r="K886" s="34"/>
    </row>
    <row r="887" spans="1:11" x14ac:dyDescent="0.2">
      <c r="A887" s="44"/>
      <c r="B887" s="44"/>
      <c r="C887" s="35"/>
      <c r="D887" s="44"/>
      <c r="E887" s="44"/>
      <c r="F887" s="44"/>
      <c r="G887" s="130"/>
      <c r="H887" s="252">
        <f t="shared" si="31"/>
        <v>0</v>
      </c>
      <c r="I887" s="252">
        <f t="shared" si="30"/>
        <v>0</v>
      </c>
      <c r="J887" s="170" t="str">
        <f>IF(A887="","",SUM($H$7:H887)-SUM($I$7:I887))</f>
        <v/>
      </c>
      <c r="K887" s="34"/>
    </row>
    <row r="888" spans="1:11" x14ac:dyDescent="0.2">
      <c r="A888" s="44"/>
      <c r="B888" s="44"/>
      <c r="C888" s="35"/>
      <c r="D888" s="44"/>
      <c r="E888" s="44"/>
      <c r="F888" s="44"/>
      <c r="G888" s="130"/>
      <c r="H888" s="252">
        <f t="shared" si="31"/>
        <v>0</v>
      </c>
      <c r="I888" s="252">
        <f t="shared" si="30"/>
        <v>0</v>
      </c>
      <c r="J888" s="170" t="str">
        <f>IF(A888="","",SUM($H$7:H888)-SUM($I$7:I888))</f>
        <v/>
      </c>
      <c r="K888" s="34"/>
    </row>
    <row r="889" spans="1:11" x14ac:dyDescent="0.2">
      <c r="A889" s="44"/>
      <c r="B889" s="44"/>
      <c r="C889" s="35"/>
      <c r="D889" s="44"/>
      <c r="E889" s="44"/>
      <c r="F889" s="44"/>
      <c r="G889" s="130"/>
      <c r="H889" s="252">
        <f t="shared" si="31"/>
        <v>0</v>
      </c>
      <c r="I889" s="252">
        <f t="shared" si="30"/>
        <v>0</v>
      </c>
      <c r="J889" s="170" t="str">
        <f>IF(A889="","",SUM($H$7:H889)-SUM($I$7:I889))</f>
        <v/>
      </c>
      <c r="K889" s="34"/>
    </row>
    <row r="890" spans="1:11" x14ac:dyDescent="0.2">
      <c r="A890" s="44"/>
      <c r="B890" s="44"/>
      <c r="C890" s="35"/>
      <c r="D890" s="44"/>
      <c r="E890" s="44"/>
      <c r="F890" s="44"/>
      <c r="G890" s="130"/>
      <c r="H890" s="252">
        <f t="shared" si="31"/>
        <v>0</v>
      </c>
      <c r="I890" s="252">
        <f t="shared" si="30"/>
        <v>0</v>
      </c>
      <c r="J890" s="170" t="str">
        <f>IF(A890="","",SUM($H$7:H890)-SUM($I$7:I890))</f>
        <v/>
      </c>
      <c r="K890" s="34"/>
    </row>
    <row r="891" spans="1:11" x14ac:dyDescent="0.2">
      <c r="A891" s="44"/>
      <c r="B891" s="44"/>
      <c r="C891" s="35"/>
      <c r="D891" s="44"/>
      <c r="E891" s="44"/>
      <c r="F891" s="44"/>
      <c r="G891" s="130"/>
      <c r="H891" s="252">
        <f t="shared" si="31"/>
        <v>0</v>
      </c>
      <c r="I891" s="252">
        <f t="shared" si="30"/>
        <v>0</v>
      </c>
      <c r="J891" s="170" t="str">
        <f>IF(A891="","",SUM($H$7:H891)-SUM($I$7:I891))</f>
        <v/>
      </c>
      <c r="K891" s="34"/>
    </row>
    <row r="892" spans="1:11" x14ac:dyDescent="0.2">
      <c r="A892" s="44"/>
      <c r="B892" s="44"/>
      <c r="C892" s="35"/>
      <c r="D892" s="44"/>
      <c r="E892" s="44"/>
      <c r="F892" s="44"/>
      <c r="G892" s="130"/>
      <c r="H892" s="252">
        <f t="shared" si="31"/>
        <v>0</v>
      </c>
      <c r="I892" s="252">
        <f t="shared" si="30"/>
        <v>0</v>
      </c>
      <c r="J892" s="170" t="str">
        <f>IF(A892="","",SUM($H$7:H892)-SUM($I$7:I892))</f>
        <v/>
      </c>
      <c r="K892" s="34"/>
    </row>
    <row r="893" spans="1:11" x14ac:dyDescent="0.2">
      <c r="A893" s="44"/>
      <c r="B893" s="44"/>
      <c r="C893" s="35"/>
      <c r="D893" s="44"/>
      <c r="E893" s="44"/>
      <c r="F893" s="44"/>
      <c r="G893" s="130"/>
      <c r="H893" s="252">
        <f t="shared" si="31"/>
        <v>0</v>
      </c>
      <c r="I893" s="252">
        <f t="shared" si="30"/>
        <v>0</v>
      </c>
      <c r="J893" s="170" t="str">
        <f>IF(A893="","",SUM($H$7:H893)-SUM($I$7:I893))</f>
        <v/>
      </c>
      <c r="K893" s="34"/>
    </row>
    <row r="894" spans="1:11" x14ac:dyDescent="0.2">
      <c r="A894" s="44"/>
      <c r="B894" s="44"/>
      <c r="C894" s="35"/>
      <c r="D894" s="44"/>
      <c r="E894" s="44"/>
      <c r="F894" s="44"/>
      <c r="G894" s="130"/>
      <c r="H894" s="252">
        <f t="shared" si="31"/>
        <v>0</v>
      </c>
      <c r="I894" s="252">
        <f t="shared" si="30"/>
        <v>0</v>
      </c>
      <c r="J894" s="170" t="str">
        <f>IF(A894="","",SUM($H$7:H894)-SUM($I$7:I894))</f>
        <v/>
      </c>
      <c r="K894" s="34"/>
    </row>
    <row r="895" spans="1:11" x14ac:dyDescent="0.2">
      <c r="A895" s="44"/>
      <c r="B895" s="44"/>
      <c r="C895" s="35"/>
      <c r="D895" s="44"/>
      <c r="E895" s="44"/>
      <c r="F895" s="44"/>
      <c r="G895" s="130"/>
      <c r="H895" s="252">
        <f t="shared" si="31"/>
        <v>0</v>
      </c>
      <c r="I895" s="252">
        <f t="shared" si="30"/>
        <v>0</v>
      </c>
      <c r="J895" s="170" t="str">
        <f>IF(A895="","",SUM($H$7:H895)-SUM($I$7:I895))</f>
        <v/>
      </c>
      <c r="K895" s="34"/>
    </row>
    <row r="896" spans="1:11" x14ac:dyDescent="0.2">
      <c r="A896" s="44"/>
      <c r="B896" s="44"/>
      <c r="C896" s="35"/>
      <c r="D896" s="44"/>
      <c r="E896" s="44"/>
      <c r="F896" s="44"/>
      <c r="G896" s="130"/>
      <c r="H896" s="252">
        <f t="shared" si="31"/>
        <v>0</v>
      </c>
      <c r="I896" s="252">
        <f t="shared" si="30"/>
        <v>0</v>
      </c>
      <c r="J896" s="170" t="str">
        <f>IF(A896="","",SUM($H$7:H896)-SUM($I$7:I896))</f>
        <v/>
      </c>
      <c r="K896" s="34"/>
    </row>
    <row r="897" spans="1:11" x14ac:dyDescent="0.2">
      <c r="A897" s="44"/>
      <c r="B897" s="44"/>
      <c r="C897" s="35"/>
      <c r="D897" s="44"/>
      <c r="E897" s="44"/>
      <c r="F897" s="44"/>
      <c r="G897" s="130"/>
      <c r="H897" s="252">
        <f t="shared" si="31"/>
        <v>0</v>
      </c>
      <c r="I897" s="252">
        <f t="shared" si="30"/>
        <v>0</v>
      </c>
      <c r="J897" s="170" t="str">
        <f>IF(A897="","",SUM($H$7:H897)-SUM($I$7:I897))</f>
        <v/>
      </c>
      <c r="K897" s="34"/>
    </row>
    <row r="898" spans="1:11" x14ac:dyDescent="0.2">
      <c r="A898" s="44"/>
      <c r="B898" s="44"/>
      <c r="C898" s="35"/>
      <c r="D898" s="44"/>
      <c r="E898" s="44"/>
      <c r="F898" s="44"/>
      <c r="G898" s="130"/>
      <c r="H898" s="252">
        <f t="shared" si="31"/>
        <v>0</v>
      </c>
      <c r="I898" s="252">
        <f t="shared" si="30"/>
        <v>0</v>
      </c>
      <c r="J898" s="170" t="str">
        <f>IF(A898="","",SUM($H$7:H898)-SUM($I$7:I898))</f>
        <v/>
      </c>
      <c r="K898" s="34"/>
    </row>
    <row r="899" spans="1:11" x14ac:dyDescent="0.2">
      <c r="A899" s="44"/>
      <c r="B899" s="44"/>
      <c r="C899" s="35"/>
      <c r="D899" s="44"/>
      <c r="E899" s="44"/>
      <c r="F899" s="44"/>
      <c r="G899" s="130"/>
      <c r="H899" s="252">
        <f t="shared" si="31"/>
        <v>0</v>
      </c>
      <c r="I899" s="252">
        <f t="shared" si="30"/>
        <v>0</v>
      </c>
      <c r="J899" s="170" t="str">
        <f>IF(A899="","",SUM($H$7:H899)-SUM($I$7:I899))</f>
        <v/>
      </c>
      <c r="K899" s="34"/>
    </row>
    <row r="900" spans="1:11" x14ac:dyDescent="0.2">
      <c r="A900" s="44"/>
      <c r="B900" s="44"/>
      <c r="C900" s="35"/>
      <c r="D900" s="44"/>
      <c r="E900" s="44"/>
      <c r="F900" s="44"/>
      <c r="G900" s="130"/>
      <c r="H900" s="252">
        <f t="shared" si="31"/>
        <v>0</v>
      </c>
      <c r="I900" s="252">
        <f t="shared" si="30"/>
        <v>0</v>
      </c>
      <c r="J900" s="170" t="str">
        <f>IF(A900="","",SUM($H$7:H900)-SUM($I$7:I900))</f>
        <v/>
      </c>
      <c r="K900" s="34"/>
    </row>
    <row r="901" spans="1:11" x14ac:dyDescent="0.2">
      <c r="A901" s="44"/>
      <c r="B901" s="44"/>
      <c r="C901" s="35"/>
      <c r="D901" s="44"/>
      <c r="E901" s="44"/>
      <c r="F901" s="44"/>
      <c r="G901" s="130"/>
      <c r="H901" s="252">
        <f t="shared" si="31"/>
        <v>0</v>
      </c>
      <c r="I901" s="252">
        <f t="shared" si="30"/>
        <v>0</v>
      </c>
      <c r="J901" s="170" t="str">
        <f>IF(A901="","",SUM($H$7:H901)-SUM($I$7:I901))</f>
        <v/>
      </c>
      <c r="K901" s="34"/>
    </row>
    <row r="902" spans="1:11" x14ac:dyDescent="0.2">
      <c r="A902" s="44"/>
      <c r="B902" s="44"/>
      <c r="C902" s="35"/>
      <c r="D902" s="44"/>
      <c r="E902" s="44"/>
      <c r="F902" s="44"/>
      <c r="G902" s="130"/>
      <c r="H902" s="252">
        <f t="shared" si="31"/>
        <v>0</v>
      </c>
      <c r="I902" s="252">
        <f t="shared" si="30"/>
        <v>0</v>
      </c>
      <c r="J902" s="170" t="str">
        <f>IF(A902="","",SUM($H$7:H902)-SUM($I$7:I902))</f>
        <v/>
      </c>
      <c r="K902" s="34"/>
    </row>
    <row r="903" spans="1:11" x14ac:dyDescent="0.2">
      <c r="A903" s="44"/>
      <c r="B903" s="44"/>
      <c r="C903" s="35"/>
      <c r="D903" s="44"/>
      <c r="E903" s="44"/>
      <c r="F903" s="44"/>
      <c r="G903" s="130"/>
      <c r="H903" s="252">
        <f t="shared" si="31"/>
        <v>0</v>
      </c>
      <c r="I903" s="252">
        <f t="shared" ref="I903:I966" si="32">IF($C903="Replenishment",0,$G903)</f>
        <v>0</v>
      </c>
      <c r="J903" s="170" t="str">
        <f>IF(A903="","",SUM($H$7:H903)-SUM($I$7:I903))</f>
        <v/>
      </c>
      <c r="K903" s="34"/>
    </row>
    <row r="904" spans="1:11" x14ac:dyDescent="0.2">
      <c r="A904" s="44"/>
      <c r="B904" s="44"/>
      <c r="C904" s="35"/>
      <c r="D904" s="44"/>
      <c r="E904" s="44"/>
      <c r="F904" s="44"/>
      <c r="G904" s="130"/>
      <c r="H904" s="252">
        <f t="shared" si="31"/>
        <v>0</v>
      </c>
      <c r="I904" s="252">
        <f t="shared" si="32"/>
        <v>0</v>
      </c>
      <c r="J904" s="170" t="str">
        <f>IF(A904="","",SUM($H$7:H904)-SUM($I$7:I904))</f>
        <v/>
      </c>
      <c r="K904" s="34"/>
    </row>
    <row r="905" spans="1:11" x14ac:dyDescent="0.2">
      <c r="A905" s="44"/>
      <c r="B905" s="44"/>
      <c r="C905" s="35"/>
      <c r="D905" s="44"/>
      <c r="E905" s="44"/>
      <c r="F905" s="44"/>
      <c r="G905" s="130"/>
      <c r="H905" s="252">
        <f t="shared" si="31"/>
        <v>0</v>
      </c>
      <c r="I905" s="252">
        <f t="shared" si="32"/>
        <v>0</v>
      </c>
      <c r="J905" s="170" t="str">
        <f>IF(A905="","",SUM($H$7:H905)-SUM($I$7:I905))</f>
        <v/>
      </c>
      <c r="K905" s="34"/>
    </row>
    <row r="906" spans="1:11" x14ac:dyDescent="0.2">
      <c r="A906" s="44"/>
      <c r="B906" s="44"/>
      <c r="C906" s="35"/>
      <c r="D906" s="44"/>
      <c r="E906" s="44"/>
      <c r="F906" s="44"/>
      <c r="G906" s="130"/>
      <c r="H906" s="252">
        <f t="shared" si="31"/>
        <v>0</v>
      </c>
      <c r="I906" s="252">
        <f t="shared" si="32"/>
        <v>0</v>
      </c>
      <c r="J906" s="170" t="str">
        <f>IF(A906="","",SUM($H$7:H906)-SUM($I$7:I906))</f>
        <v/>
      </c>
      <c r="K906" s="34"/>
    </row>
    <row r="907" spans="1:11" x14ac:dyDescent="0.2">
      <c r="A907" s="44"/>
      <c r="B907" s="44"/>
      <c r="C907" s="35"/>
      <c r="D907" s="44"/>
      <c r="E907" s="44"/>
      <c r="F907" s="44"/>
      <c r="G907" s="130"/>
      <c r="H907" s="252">
        <f t="shared" si="31"/>
        <v>0</v>
      </c>
      <c r="I907" s="252">
        <f t="shared" si="32"/>
        <v>0</v>
      </c>
      <c r="J907" s="170" t="str">
        <f>IF(A907="","",SUM($H$7:H907)-SUM($I$7:I907))</f>
        <v/>
      </c>
      <c r="K907" s="34"/>
    </row>
    <row r="908" spans="1:11" x14ac:dyDescent="0.2">
      <c r="A908" s="44"/>
      <c r="B908" s="44"/>
      <c r="C908" s="35"/>
      <c r="D908" s="44"/>
      <c r="E908" s="44"/>
      <c r="F908" s="44"/>
      <c r="G908" s="130"/>
      <c r="H908" s="252">
        <f t="shared" si="31"/>
        <v>0</v>
      </c>
      <c r="I908" s="252">
        <f t="shared" si="32"/>
        <v>0</v>
      </c>
      <c r="J908" s="170" t="str">
        <f>IF(A908="","",SUM($H$7:H908)-SUM($I$7:I908))</f>
        <v/>
      </c>
      <c r="K908" s="34"/>
    </row>
    <row r="909" spans="1:11" x14ac:dyDescent="0.2">
      <c r="A909" s="44"/>
      <c r="B909" s="44"/>
      <c r="C909" s="35"/>
      <c r="D909" s="44"/>
      <c r="E909" s="44"/>
      <c r="F909" s="44"/>
      <c r="G909" s="130"/>
      <c r="H909" s="252">
        <f t="shared" si="31"/>
        <v>0</v>
      </c>
      <c r="I909" s="252">
        <f t="shared" si="32"/>
        <v>0</v>
      </c>
      <c r="J909" s="170" t="str">
        <f>IF(A909="","",SUM($H$7:H909)-SUM($I$7:I909))</f>
        <v/>
      </c>
      <c r="K909" s="34"/>
    </row>
    <row r="910" spans="1:11" x14ac:dyDescent="0.2">
      <c r="A910" s="44"/>
      <c r="B910" s="44"/>
      <c r="C910" s="35"/>
      <c r="D910" s="44"/>
      <c r="E910" s="44"/>
      <c r="F910" s="44"/>
      <c r="G910" s="130"/>
      <c r="H910" s="252">
        <f t="shared" si="31"/>
        <v>0</v>
      </c>
      <c r="I910" s="252">
        <f t="shared" si="32"/>
        <v>0</v>
      </c>
      <c r="J910" s="170" t="str">
        <f>IF(A910="","",SUM($H$7:H910)-SUM($I$7:I910))</f>
        <v/>
      </c>
      <c r="K910" s="34"/>
    </row>
    <row r="911" spans="1:11" x14ac:dyDescent="0.2">
      <c r="A911" s="44"/>
      <c r="B911" s="44"/>
      <c r="C911" s="35"/>
      <c r="D911" s="44"/>
      <c r="E911" s="44"/>
      <c r="F911" s="44"/>
      <c r="G911" s="130"/>
      <c r="H911" s="252">
        <f t="shared" si="31"/>
        <v>0</v>
      </c>
      <c r="I911" s="252">
        <f t="shared" si="32"/>
        <v>0</v>
      </c>
      <c r="J911" s="170" t="str">
        <f>IF(A911="","",SUM($H$7:H911)-SUM($I$7:I911))</f>
        <v/>
      </c>
      <c r="K911" s="34"/>
    </row>
    <row r="912" spans="1:11" x14ac:dyDescent="0.2">
      <c r="A912" s="44"/>
      <c r="B912" s="44"/>
      <c r="C912" s="35"/>
      <c r="D912" s="44"/>
      <c r="E912" s="44"/>
      <c r="F912" s="44"/>
      <c r="G912" s="130"/>
      <c r="H912" s="252">
        <f t="shared" si="31"/>
        <v>0</v>
      </c>
      <c r="I912" s="252">
        <f t="shared" si="32"/>
        <v>0</v>
      </c>
      <c r="J912" s="170" t="str">
        <f>IF(A912="","",SUM($H$7:H912)-SUM($I$7:I912))</f>
        <v/>
      </c>
      <c r="K912" s="34"/>
    </row>
    <row r="913" spans="1:11" x14ac:dyDescent="0.2">
      <c r="A913" s="44"/>
      <c r="B913" s="44"/>
      <c r="C913" s="35"/>
      <c r="D913" s="44"/>
      <c r="E913" s="44"/>
      <c r="F913" s="44"/>
      <c r="G913" s="130"/>
      <c r="H913" s="252">
        <f t="shared" si="31"/>
        <v>0</v>
      </c>
      <c r="I913" s="252">
        <f t="shared" si="32"/>
        <v>0</v>
      </c>
      <c r="J913" s="170" t="str">
        <f>IF(A913="","",SUM($H$7:H913)-SUM($I$7:I913))</f>
        <v/>
      </c>
      <c r="K913" s="34"/>
    </row>
    <row r="914" spans="1:11" x14ac:dyDescent="0.2">
      <c r="A914" s="44"/>
      <c r="B914" s="44"/>
      <c r="C914" s="35"/>
      <c r="D914" s="44"/>
      <c r="E914" s="44"/>
      <c r="F914" s="44"/>
      <c r="G914" s="130"/>
      <c r="H914" s="252">
        <f t="shared" si="31"/>
        <v>0</v>
      </c>
      <c r="I914" s="252">
        <f t="shared" si="32"/>
        <v>0</v>
      </c>
      <c r="J914" s="170" t="str">
        <f>IF(A914="","",SUM($H$7:H914)-SUM($I$7:I914))</f>
        <v/>
      </c>
      <c r="K914" s="34"/>
    </row>
    <row r="915" spans="1:11" x14ac:dyDescent="0.2">
      <c r="A915" s="44"/>
      <c r="B915" s="44"/>
      <c r="C915" s="35"/>
      <c r="D915" s="44"/>
      <c r="E915" s="44"/>
      <c r="F915" s="44"/>
      <c r="G915" s="130"/>
      <c r="H915" s="252">
        <f t="shared" si="31"/>
        <v>0</v>
      </c>
      <c r="I915" s="252">
        <f t="shared" si="32"/>
        <v>0</v>
      </c>
      <c r="J915" s="170" t="str">
        <f>IF(A915="","",SUM($H$7:H915)-SUM($I$7:I915))</f>
        <v/>
      </c>
      <c r="K915" s="34"/>
    </row>
    <row r="916" spans="1:11" x14ac:dyDescent="0.2">
      <c r="A916" s="44"/>
      <c r="B916" s="44"/>
      <c r="C916" s="35"/>
      <c r="D916" s="44"/>
      <c r="E916" s="44"/>
      <c r="F916" s="44"/>
      <c r="G916" s="130"/>
      <c r="H916" s="252">
        <f t="shared" si="31"/>
        <v>0</v>
      </c>
      <c r="I916" s="252">
        <f t="shared" si="32"/>
        <v>0</v>
      </c>
      <c r="J916" s="170" t="str">
        <f>IF(A916="","",SUM($H$7:H916)-SUM($I$7:I916))</f>
        <v/>
      </c>
      <c r="K916" s="34"/>
    </row>
    <row r="917" spans="1:11" x14ac:dyDescent="0.2">
      <c r="A917" s="44"/>
      <c r="B917" s="44"/>
      <c r="C917" s="35"/>
      <c r="D917" s="44"/>
      <c r="E917" s="44"/>
      <c r="F917" s="44"/>
      <c r="G917" s="130"/>
      <c r="H917" s="252">
        <f t="shared" si="31"/>
        <v>0</v>
      </c>
      <c r="I917" s="252">
        <f t="shared" si="32"/>
        <v>0</v>
      </c>
      <c r="J917" s="170" t="str">
        <f>IF(A917="","",SUM($H$7:H917)-SUM($I$7:I917))</f>
        <v/>
      </c>
      <c r="K917" s="34"/>
    </row>
    <row r="918" spans="1:11" x14ac:dyDescent="0.2">
      <c r="A918" s="44"/>
      <c r="B918" s="44"/>
      <c r="C918" s="35"/>
      <c r="D918" s="44"/>
      <c r="E918" s="44"/>
      <c r="F918" s="44"/>
      <c r="G918" s="130"/>
      <c r="H918" s="252">
        <f t="shared" si="31"/>
        <v>0</v>
      </c>
      <c r="I918" s="252">
        <f t="shared" si="32"/>
        <v>0</v>
      </c>
      <c r="J918" s="170" t="str">
        <f>IF(A918="","",SUM($H$7:H918)-SUM($I$7:I918))</f>
        <v/>
      </c>
      <c r="K918" s="34"/>
    </row>
    <row r="919" spans="1:11" x14ac:dyDescent="0.2">
      <c r="A919" s="44"/>
      <c r="B919" s="44"/>
      <c r="C919" s="35"/>
      <c r="D919" s="44"/>
      <c r="E919" s="44"/>
      <c r="F919" s="44"/>
      <c r="G919" s="130"/>
      <c r="H919" s="252">
        <f t="shared" si="31"/>
        <v>0</v>
      </c>
      <c r="I919" s="252">
        <f t="shared" si="32"/>
        <v>0</v>
      </c>
      <c r="J919" s="170" t="str">
        <f>IF(A919="","",SUM($H$7:H919)-SUM($I$7:I919))</f>
        <v/>
      </c>
      <c r="K919" s="34"/>
    </row>
    <row r="920" spans="1:11" x14ac:dyDescent="0.2">
      <c r="A920" s="44"/>
      <c r="B920" s="44"/>
      <c r="C920" s="35"/>
      <c r="D920" s="44"/>
      <c r="E920" s="44"/>
      <c r="F920" s="44"/>
      <c r="G920" s="130"/>
      <c r="H920" s="252">
        <f t="shared" si="31"/>
        <v>0</v>
      </c>
      <c r="I920" s="252">
        <f t="shared" si="32"/>
        <v>0</v>
      </c>
      <c r="J920" s="170" t="str">
        <f>IF(A920="","",SUM($H$7:H920)-SUM($I$7:I920))</f>
        <v/>
      </c>
      <c r="K920" s="34"/>
    </row>
    <row r="921" spans="1:11" x14ac:dyDescent="0.2">
      <c r="A921" s="44"/>
      <c r="B921" s="44"/>
      <c r="C921" s="35"/>
      <c r="D921" s="44"/>
      <c r="E921" s="44"/>
      <c r="F921" s="44"/>
      <c r="G921" s="130"/>
      <c r="H921" s="252">
        <f t="shared" si="31"/>
        <v>0</v>
      </c>
      <c r="I921" s="252">
        <f t="shared" si="32"/>
        <v>0</v>
      </c>
      <c r="J921" s="170" t="str">
        <f>IF(A921="","",SUM($H$7:H921)-SUM($I$7:I921))</f>
        <v/>
      </c>
      <c r="K921" s="34"/>
    </row>
    <row r="922" spans="1:11" x14ac:dyDescent="0.2">
      <c r="A922" s="44"/>
      <c r="B922" s="44"/>
      <c r="C922" s="35"/>
      <c r="D922" s="44"/>
      <c r="E922" s="44"/>
      <c r="F922" s="44"/>
      <c r="G922" s="130"/>
      <c r="H922" s="252">
        <f t="shared" si="31"/>
        <v>0</v>
      </c>
      <c r="I922" s="252">
        <f t="shared" si="32"/>
        <v>0</v>
      </c>
      <c r="J922" s="170" t="str">
        <f>IF(A922="","",SUM($H$7:H922)-SUM($I$7:I922))</f>
        <v/>
      </c>
      <c r="K922" s="34"/>
    </row>
    <row r="923" spans="1:11" x14ac:dyDescent="0.2">
      <c r="A923" s="44"/>
      <c r="B923" s="44"/>
      <c r="C923" s="35"/>
      <c r="D923" s="44"/>
      <c r="E923" s="44"/>
      <c r="F923" s="44"/>
      <c r="G923" s="130"/>
      <c r="H923" s="252">
        <f t="shared" si="31"/>
        <v>0</v>
      </c>
      <c r="I923" s="252">
        <f t="shared" si="32"/>
        <v>0</v>
      </c>
      <c r="J923" s="170" t="str">
        <f>IF(A923="","",SUM($H$7:H923)-SUM($I$7:I923))</f>
        <v/>
      </c>
      <c r="K923" s="34"/>
    </row>
    <row r="924" spans="1:11" x14ac:dyDescent="0.2">
      <c r="A924" s="44"/>
      <c r="B924" s="44"/>
      <c r="C924" s="35"/>
      <c r="D924" s="44"/>
      <c r="E924" s="44"/>
      <c r="F924" s="44"/>
      <c r="G924" s="130"/>
      <c r="H924" s="252">
        <f t="shared" si="31"/>
        <v>0</v>
      </c>
      <c r="I924" s="252">
        <f t="shared" si="32"/>
        <v>0</v>
      </c>
      <c r="J924" s="170" t="str">
        <f>IF(A924="","",SUM($H$7:H924)-SUM($I$7:I924))</f>
        <v/>
      </c>
      <c r="K924" s="34"/>
    </row>
    <row r="925" spans="1:11" x14ac:dyDescent="0.2">
      <c r="A925" s="44"/>
      <c r="B925" s="44"/>
      <c r="C925" s="35"/>
      <c r="D925" s="44"/>
      <c r="E925" s="44"/>
      <c r="F925" s="44"/>
      <c r="G925" s="130"/>
      <c r="H925" s="252">
        <f t="shared" si="31"/>
        <v>0</v>
      </c>
      <c r="I925" s="252">
        <f t="shared" si="32"/>
        <v>0</v>
      </c>
      <c r="J925" s="170" t="str">
        <f>IF(A925="","",SUM($H$7:H925)-SUM($I$7:I925))</f>
        <v/>
      </c>
      <c r="K925" s="34"/>
    </row>
    <row r="926" spans="1:11" x14ac:dyDescent="0.2">
      <c r="A926" s="44"/>
      <c r="B926" s="44"/>
      <c r="C926" s="35"/>
      <c r="D926" s="44"/>
      <c r="E926" s="44"/>
      <c r="F926" s="44"/>
      <c r="G926" s="130"/>
      <c r="H926" s="252">
        <f t="shared" si="31"/>
        <v>0</v>
      </c>
      <c r="I926" s="252">
        <f t="shared" si="32"/>
        <v>0</v>
      </c>
      <c r="J926" s="170" t="str">
        <f>IF(A926="","",SUM($H$7:H926)-SUM($I$7:I926))</f>
        <v/>
      </c>
      <c r="K926" s="34"/>
    </row>
    <row r="927" spans="1:11" x14ac:dyDescent="0.2">
      <c r="A927" s="44"/>
      <c r="B927" s="44"/>
      <c r="C927" s="35"/>
      <c r="D927" s="44"/>
      <c r="E927" s="44"/>
      <c r="F927" s="44"/>
      <c r="G927" s="130"/>
      <c r="H927" s="252">
        <f t="shared" si="31"/>
        <v>0</v>
      </c>
      <c r="I927" s="252">
        <f t="shared" si="32"/>
        <v>0</v>
      </c>
      <c r="J927" s="170" t="str">
        <f>IF(A927="","",SUM($H$7:H927)-SUM($I$7:I927))</f>
        <v/>
      </c>
      <c r="K927" s="34"/>
    </row>
    <row r="928" spans="1:11" x14ac:dyDescent="0.2">
      <c r="A928" s="44"/>
      <c r="B928" s="44"/>
      <c r="C928" s="35"/>
      <c r="D928" s="44"/>
      <c r="E928" s="44"/>
      <c r="F928" s="44"/>
      <c r="G928" s="130"/>
      <c r="H928" s="252">
        <f t="shared" si="31"/>
        <v>0</v>
      </c>
      <c r="I928" s="252">
        <f t="shared" si="32"/>
        <v>0</v>
      </c>
      <c r="J928" s="170" t="str">
        <f>IF(A928="","",SUM($H$7:H928)-SUM($I$7:I928))</f>
        <v/>
      </c>
      <c r="K928" s="34"/>
    </row>
    <row r="929" spans="1:11" x14ac:dyDescent="0.2">
      <c r="A929" s="44"/>
      <c r="B929" s="44"/>
      <c r="C929" s="35"/>
      <c r="D929" s="44"/>
      <c r="E929" s="44"/>
      <c r="F929" s="44"/>
      <c r="G929" s="130"/>
      <c r="H929" s="252">
        <f t="shared" si="31"/>
        <v>0</v>
      </c>
      <c r="I929" s="252">
        <f t="shared" si="32"/>
        <v>0</v>
      </c>
      <c r="J929" s="170" t="str">
        <f>IF(A929="","",SUM($H$7:H929)-SUM($I$7:I929))</f>
        <v/>
      </c>
      <c r="K929" s="34"/>
    </row>
    <row r="930" spans="1:11" x14ac:dyDescent="0.2">
      <c r="A930" s="44"/>
      <c r="B930" s="44"/>
      <c r="C930" s="35"/>
      <c r="D930" s="44"/>
      <c r="E930" s="44"/>
      <c r="F930" s="44"/>
      <c r="G930" s="130"/>
      <c r="H930" s="252">
        <f t="shared" si="31"/>
        <v>0</v>
      </c>
      <c r="I930" s="252">
        <f t="shared" si="32"/>
        <v>0</v>
      </c>
      <c r="J930" s="170" t="str">
        <f>IF(A930="","",SUM($H$7:H930)-SUM($I$7:I930))</f>
        <v/>
      </c>
      <c r="K930" s="34"/>
    </row>
    <row r="931" spans="1:11" x14ac:dyDescent="0.2">
      <c r="A931" s="44"/>
      <c r="B931" s="44"/>
      <c r="C931" s="35"/>
      <c r="D931" s="44"/>
      <c r="E931" s="44"/>
      <c r="F931" s="44"/>
      <c r="G931" s="130"/>
      <c r="H931" s="252">
        <f t="shared" si="31"/>
        <v>0</v>
      </c>
      <c r="I931" s="252">
        <f t="shared" si="32"/>
        <v>0</v>
      </c>
      <c r="J931" s="170" t="str">
        <f>IF(A931="","",SUM($H$7:H931)-SUM($I$7:I931))</f>
        <v/>
      </c>
      <c r="K931" s="34"/>
    </row>
    <row r="932" spans="1:11" x14ac:dyDescent="0.2">
      <c r="A932" s="44"/>
      <c r="B932" s="44"/>
      <c r="C932" s="35"/>
      <c r="D932" s="44"/>
      <c r="E932" s="44"/>
      <c r="F932" s="44"/>
      <c r="G932" s="130"/>
      <c r="H932" s="252">
        <f t="shared" si="31"/>
        <v>0</v>
      </c>
      <c r="I932" s="252">
        <f t="shared" si="32"/>
        <v>0</v>
      </c>
      <c r="J932" s="170" t="str">
        <f>IF(A932="","",SUM($H$7:H932)-SUM($I$7:I932))</f>
        <v/>
      </c>
      <c r="K932" s="34"/>
    </row>
    <row r="933" spans="1:11" x14ac:dyDescent="0.2">
      <c r="A933" s="44"/>
      <c r="B933" s="44"/>
      <c r="C933" s="35"/>
      <c r="D933" s="44"/>
      <c r="E933" s="44"/>
      <c r="F933" s="44"/>
      <c r="G933" s="130"/>
      <c r="H933" s="252">
        <f t="shared" si="31"/>
        <v>0</v>
      </c>
      <c r="I933" s="252">
        <f t="shared" si="32"/>
        <v>0</v>
      </c>
      <c r="J933" s="170" t="str">
        <f>IF(A933="","",SUM($H$7:H933)-SUM($I$7:I933))</f>
        <v/>
      </c>
      <c r="K933" s="34"/>
    </row>
    <row r="934" spans="1:11" x14ac:dyDescent="0.2">
      <c r="A934" s="44"/>
      <c r="B934" s="44"/>
      <c r="C934" s="35"/>
      <c r="D934" s="44"/>
      <c r="E934" s="44"/>
      <c r="F934" s="44"/>
      <c r="G934" s="130"/>
      <c r="H934" s="252">
        <f t="shared" si="31"/>
        <v>0</v>
      </c>
      <c r="I934" s="252">
        <f t="shared" si="32"/>
        <v>0</v>
      </c>
      <c r="J934" s="170" t="str">
        <f>IF(A934="","",SUM($H$7:H934)-SUM($I$7:I934))</f>
        <v/>
      </c>
      <c r="K934" s="34"/>
    </row>
    <row r="935" spans="1:11" x14ac:dyDescent="0.2">
      <c r="A935" s="44"/>
      <c r="B935" s="44"/>
      <c r="C935" s="35"/>
      <c r="D935" s="44"/>
      <c r="E935" s="44"/>
      <c r="F935" s="44"/>
      <c r="G935" s="130"/>
      <c r="H935" s="252">
        <f t="shared" si="31"/>
        <v>0</v>
      </c>
      <c r="I935" s="252">
        <f t="shared" si="32"/>
        <v>0</v>
      </c>
      <c r="J935" s="170" t="str">
        <f>IF(A935="","",SUM($H$7:H935)-SUM($I$7:I935))</f>
        <v/>
      </c>
      <c r="K935" s="34"/>
    </row>
    <row r="936" spans="1:11" x14ac:dyDescent="0.2">
      <c r="A936" s="44"/>
      <c r="B936" s="44"/>
      <c r="C936" s="35"/>
      <c r="D936" s="44"/>
      <c r="E936" s="44"/>
      <c r="F936" s="44"/>
      <c r="G936" s="130"/>
      <c r="H936" s="252">
        <f t="shared" si="31"/>
        <v>0</v>
      </c>
      <c r="I936" s="252">
        <f t="shared" si="32"/>
        <v>0</v>
      </c>
      <c r="J936" s="170" t="str">
        <f>IF(A936="","",SUM($H$7:H936)-SUM($I$7:I936))</f>
        <v/>
      </c>
      <c r="K936" s="34"/>
    </row>
    <row r="937" spans="1:11" x14ac:dyDescent="0.2">
      <c r="A937" s="44"/>
      <c r="B937" s="44"/>
      <c r="C937" s="35"/>
      <c r="D937" s="44"/>
      <c r="E937" s="44"/>
      <c r="F937" s="44"/>
      <c r="G937" s="130"/>
      <c r="H937" s="252">
        <f t="shared" si="31"/>
        <v>0</v>
      </c>
      <c r="I937" s="252">
        <f t="shared" si="32"/>
        <v>0</v>
      </c>
      <c r="J937" s="170" t="str">
        <f>IF(A937="","",SUM($H$7:H937)-SUM($I$7:I937))</f>
        <v/>
      </c>
      <c r="K937" s="34"/>
    </row>
    <row r="938" spans="1:11" x14ac:dyDescent="0.2">
      <c r="A938" s="44"/>
      <c r="B938" s="44"/>
      <c r="C938" s="35"/>
      <c r="D938" s="44"/>
      <c r="E938" s="44"/>
      <c r="F938" s="44"/>
      <c r="G938" s="130"/>
      <c r="H938" s="252">
        <f t="shared" si="31"/>
        <v>0</v>
      </c>
      <c r="I938" s="252">
        <f t="shared" si="32"/>
        <v>0</v>
      </c>
      <c r="J938" s="170" t="str">
        <f>IF(A938="","",SUM($H$7:H938)-SUM($I$7:I938))</f>
        <v/>
      </c>
      <c r="K938" s="34"/>
    </row>
    <row r="939" spans="1:11" x14ac:dyDescent="0.2">
      <c r="A939" s="44"/>
      <c r="B939" s="44"/>
      <c r="C939" s="35"/>
      <c r="D939" s="44"/>
      <c r="E939" s="44"/>
      <c r="F939" s="44"/>
      <c r="G939" s="130"/>
      <c r="H939" s="252">
        <f t="shared" si="31"/>
        <v>0</v>
      </c>
      <c r="I939" s="252">
        <f t="shared" si="32"/>
        <v>0</v>
      </c>
      <c r="J939" s="170" t="str">
        <f>IF(A939="","",SUM($H$7:H939)-SUM($I$7:I939))</f>
        <v/>
      </c>
      <c r="K939" s="34"/>
    </row>
    <row r="940" spans="1:11" x14ac:dyDescent="0.2">
      <c r="A940" s="44"/>
      <c r="B940" s="44"/>
      <c r="C940" s="35"/>
      <c r="D940" s="44"/>
      <c r="E940" s="44"/>
      <c r="F940" s="44"/>
      <c r="G940" s="130"/>
      <c r="H940" s="252">
        <f t="shared" si="31"/>
        <v>0</v>
      </c>
      <c r="I940" s="252">
        <f t="shared" si="32"/>
        <v>0</v>
      </c>
      <c r="J940" s="170" t="str">
        <f>IF(A940="","",SUM($H$7:H940)-SUM($I$7:I940))</f>
        <v/>
      </c>
      <c r="K940" s="34"/>
    </row>
    <row r="941" spans="1:11" x14ac:dyDescent="0.2">
      <c r="A941" s="44"/>
      <c r="B941" s="44"/>
      <c r="C941" s="35"/>
      <c r="D941" s="44"/>
      <c r="E941" s="44"/>
      <c r="F941" s="44"/>
      <c r="G941" s="130"/>
      <c r="H941" s="252">
        <f t="shared" si="31"/>
        <v>0</v>
      </c>
      <c r="I941" s="252">
        <f t="shared" si="32"/>
        <v>0</v>
      </c>
      <c r="J941" s="170" t="str">
        <f>IF(A941="","",SUM($H$7:H941)-SUM($I$7:I941))</f>
        <v/>
      </c>
      <c r="K941" s="34"/>
    </row>
    <row r="942" spans="1:11" x14ac:dyDescent="0.2">
      <c r="A942" s="44"/>
      <c r="B942" s="44"/>
      <c r="C942" s="35"/>
      <c r="D942" s="44"/>
      <c r="E942" s="44"/>
      <c r="F942" s="44"/>
      <c r="G942" s="130"/>
      <c r="H942" s="252">
        <f t="shared" si="31"/>
        <v>0</v>
      </c>
      <c r="I942" s="252">
        <f t="shared" si="32"/>
        <v>0</v>
      </c>
      <c r="J942" s="170" t="str">
        <f>IF(A942="","",SUM($H$7:H942)-SUM($I$7:I942))</f>
        <v/>
      </c>
      <c r="K942" s="34"/>
    </row>
    <row r="943" spans="1:11" x14ac:dyDescent="0.2">
      <c r="A943" s="44"/>
      <c r="B943" s="44"/>
      <c r="C943" s="35"/>
      <c r="D943" s="44"/>
      <c r="E943" s="44"/>
      <c r="F943" s="44"/>
      <c r="G943" s="130"/>
      <c r="H943" s="252">
        <f t="shared" si="31"/>
        <v>0</v>
      </c>
      <c r="I943" s="252">
        <f t="shared" si="32"/>
        <v>0</v>
      </c>
      <c r="J943" s="170" t="str">
        <f>IF(A943="","",SUM($H$7:H943)-SUM($I$7:I943))</f>
        <v/>
      </c>
      <c r="K943" s="34"/>
    </row>
    <row r="944" spans="1:11" x14ac:dyDescent="0.2">
      <c r="A944" s="44"/>
      <c r="B944" s="44"/>
      <c r="C944" s="35"/>
      <c r="D944" s="44"/>
      <c r="E944" s="44"/>
      <c r="F944" s="44"/>
      <c r="G944" s="130"/>
      <c r="H944" s="252">
        <f t="shared" si="31"/>
        <v>0</v>
      </c>
      <c r="I944" s="252">
        <f t="shared" si="32"/>
        <v>0</v>
      </c>
      <c r="J944" s="170" t="str">
        <f>IF(A944="","",SUM($H$7:H944)-SUM($I$7:I944))</f>
        <v/>
      </c>
      <c r="K944" s="34"/>
    </row>
    <row r="945" spans="1:11" x14ac:dyDescent="0.2">
      <c r="A945" s="44"/>
      <c r="B945" s="44"/>
      <c r="C945" s="35"/>
      <c r="D945" s="44"/>
      <c r="E945" s="44"/>
      <c r="F945" s="44"/>
      <c r="G945" s="130"/>
      <c r="H945" s="252">
        <f t="shared" si="31"/>
        <v>0</v>
      </c>
      <c r="I945" s="252">
        <f t="shared" si="32"/>
        <v>0</v>
      </c>
      <c r="J945" s="170" t="str">
        <f>IF(A945="","",SUM($H$7:H945)-SUM($I$7:I945))</f>
        <v/>
      </c>
      <c r="K945" s="34"/>
    </row>
    <row r="946" spans="1:11" x14ac:dyDescent="0.2">
      <c r="A946" s="44"/>
      <c r="B946" s="44"/>
      <c r="C946" s="35"/>
      <c r="D946" s="44"/>
      <c r="E946" s="44"/>
      <c r="F946" s="44"/>
      <c r="G946" s="130"/>
      <c r="H946" s="252">
        <f t="shared" si="31"/>
        <v>0</v>
      </c>
      <c r="I946" s="252">
        <f t="shared" si="32"/>
        <v>0</v>
      </c>
      <c r="J946" s="170" t="str">
        <f>IF(A946="","",SUM($H$7:H946)-SUM($I$7:I946))</f>
        <v/>
      </c>
      <c r="K946" s="34"/>
    </row>
    <row r="947" spans="1:11" x14ac:dyDescent="0.2">
      <c r="A947" s="44"/>
      <c r="B947" s="44"/>
      <c r="C947" s="35"/>
      <c r="D947" s="44"/>
      <c r="E947" s="44"/>
      <c r="F947" s="44"/>
      <c r="G947" s="130"/>
      <c r="H947" s="252">
        <f t="shared" si="31"/>
        <v>0</v>
      </c>
      <c r="I947" s="252">
        <f t="shared" si="32"/>
        <v>0</v>
      </c>
      <c r="J947" s="170" t="str">
        <f>IF(A947="","",SUM($H$7:H947)-SUM($I$7:I947))</f>
        <v/>
      </c>
      <c r="K947" s="34"/>
    </row>
    <row r="948" spans="1:11" x14ac:dyDescent="0.2">
      <c r="A948" s="44"/>
      <c r="B948" s="44"/>
      <c r="C948" s="35"/>
      <c r="D948" s="44"/>
      <c r="E948" s="44"/>
      <c r="F948" s="44"/>
      <c r="G948" s="130"/>
      <c r="H948" s="252">
        <f t="shared" si="31"/>
        <v>0</v>
      </c>
      <c r="I948" s="252">
        <f t="shared" si="32"/>
        <v>0</v>
      </c>
      <c r="J948" s="170" t="str">
        <f>IF(A948="","",SUM($H$7:H948)-SUM($I$7:I948))</f>
        <v/>
      </c>
      <c r="K948" s="34"/>
    </row>
    <row r="949" spans="1:11" x14ac:dyDescent="0.2">
      <c r="A949" s="44"/>
      <c r="B949" s="44"/>
      <c r="C949" s="35"/>
      <c r="D949" s="44"/>
      <c r="E949" s="44"/>
      <c r="F949" s="44"/>
      <c r="G949" s="130"/>
      <c r="H949" s="252">
        <f t="shared" si="31"/>
        <v>0</v>
      </c>
      <c r="I949" s="252">
        <f t="shared" si="32"/>
        <v>0</v>
      </c>
      <c r="J949" s="170" t="str">
        <f>IF(A949="","",SUM($H$7:H949)-SUM($I$7:I949))</f>
        <v/>
      </c>
      <c r="K949" s="34"/>
    </row>
    <row r="950" spans="1:11" x14ac:dyDescent="0.2">
      <c r="A950" s="44"/>
      <c r="B950" s="44"/>
      <c r="C950" s="35"/>
      <c r="D950" s="44"/>
      <c r="E950" s="44"/>
      <c r="F950" s="44"/>
      <c r="G950" s="130"/>
      <c r="H950" s="252">
        <f t="shared" ref="H950:H1013" si="33">IF($C950="Replenishment",$G950,0)</f>
        <v>0</v>
      </c>
      <c r="I950" s="252">
        <f t="shared" si="32"/>
        <v>0</v>
      </c>
      <c r="J950" s="170" t="str">
        <f>IF(A950="","",SUM($H$7:H950)-SUM($I$7:I950))</f>
        <v/>
      </c>
      <c r="K950" s="34"/>
    </row>
    <row r="951" spans="1:11" x14ac:dyDescent="0.2">
      <c r="A951" s="44"/>
      <c r="B951" s="44"/>
      <c r="C951" s="35"/>
      <c r="D951" s="44"/>
      <c r="E951" s="44"/>
      <c r="F951" s="44"/>
      <c r="G951" s="130"/>
      <c r="H951" s="252">
        <f t="shared" si="33"/>
        <v>0</v>
      </c>
      <c r="I951" s="252">
        <f t="shared" si="32"/>
        <v>0</v>
      </c>
      <c r="J951" s="170" t="str">
        <f>IF(A951="","",SUM($H$7:H951)-SUM($I$7:I951))</f>
        <v/>
      </c>
      <c r="K951" s="34"/>
    </row>
    <row r="952" spans="1:11" x14ac:dyDescent="0.2">
      <c r="A952" s="44"/>
      <c r="B952" s="44"/>
      <c r="C952" s="35"/>
      <c r="D952" s="44"/>
      <c r="E952" s="44"/>
      <c r="F952" s="44"/>
      <c r="G952" s="130"/>
      <c r="H952" s="252">
        <f t="shared" si="33"/>
        <v>0</v>
      </c>
      <c r="I952" s="252">
        <f t="shared" si="32"/>
        <v>0</v>
      </c>
      <c r="J952" s="170" t="str">
        <f>IF(A952="","",SUM($H$7:H952)-SUM($I$7:I952))</f>
        <v/>
      </c>
      <c r="K952" s="34"/>
    </row>
    <row r="953" spans="1:11" x14ac:dyDescent="0.2">
      <c r="A953" s="44"/>
      <c r="B953" s="44"/>
      <c r="C953" s="35"/>
      <c r="D953" s="44"/>
      <c r="E953" s="44"/>
      <c r="F953" s="44"/>
      <c r="G953" s="130"/>
      <c r="H953" s="252">
        <f t="shared" si="33"/>
        <v>0</v>
      </c>
      <c r="I953" s="252">
        <f t="shared" si="32"/>
        <v>0</v>
      </c>
      <c r="J953" s="170" t="str">
        <f>IF(A953="","",SUM($H$7:H953)-SUM($I$7:I953))</f>
        <v/>
      </c>
      <c r="K953" s="34"/>
    </row>
    <row r="954" spans="1:11" x14ac:dyDescent="0.2">
      <c r="A954" s="44"/>
      <c r="B954" s="44"/>
      <c r="C954" s="35"/>
      <c r="D954" s="44"/>
      <c r="E954" s="44"/>
      <c r="F954" s="44"/>
      <c r="G954" s="130"/>
      <c r="H954" s="252">
        <f t="shared" si="33"/>
        <v>0</v>
      </c>
      <c r="I954" s="252">
        <f t="shared" si="32"/>
        <v>0</v>
      </c>
      <c r="J954" s="170" t="str">
        <f>IF(A954="","",SUM($H$7:H954)-SUM($I$7:I954))</f>
        <v/>
      </c>
      <c r="K954" s="34"/>
    </row>
    <row r="955" spans="1:11" x14ac:dyDescent="0.2">
      <c r="A955" s="44"/>
      <c r="B955" s="44"/>
      <c r="C955" s="35"/>
      <c r="D955" s="44"/>
      <c r="E955" s="44"/>
      <c r="F955" s="44"/>
      <c r="G955" s="130"/>
      <c r="H955" s="252">
        <f t="shared" si="33"/>
        <v>0</v>
      </c>
      <c r="I955" s="252">
        <f t="shared" si="32"/>
        <v>0</v>
      </c>
      <c r="J955" s="170" t="str">
        <f>IF(A955="","",SUM($H$7:H955)-SUM($I$7:I955))</f>
        <v/>
      </c>
      <c r="K955" s="34"/>
    </row>
    <row r="956" spans="1:11" x14ac:dyDescent="0.2">
      <c r="A956" s="44"/>
      <c r="B956" s="44"/>
      <c r="C956" s="35"/>
      <c r="D956" s="44"/>
      <c r="E956" s="44"/>
      <c r="F956" s="44"/>
      <c r="G956" s="130"/>
      <c r="H956" s="252">
        <f t="shared" si="33"/>
        <v>0</v>
      </c>
      <c r="I956" s="252">
        <f t="shared" si="32"/>
        <v>0</v>
      </c>
      <c r="J956" s="170" t="str">
        <f>IF(A956="","",SUM($H$7:H956)-SUM($I$7:I956))</f>
        <v/>
      </c>
      <c r="K956" s="34"/>
    </row>
    <row r="957" spans="1:11" x14ac:dyDescent="0.2">
      <c r="A957" s="44"/>
      <c r="B957" s="44"/>
      <c r="C957" s="35"/>
      <c r="D957" s="44"/>
      <c r="E957" s="44"/>
      <c r="F957" s="44"/>
      <c r="G957" s="130"/>
      <c r="H957" s="252">
        <f t="shared" si="33"/>
        <v>0</v>
      </c>
      <c r="I957" s="252">
        <f t="shared" si="32"/>
        <v>0</v>
      </c>
      <c r="J957" s="170" t="str">
        <f>IF(A957="","",SUM($H$7:H957)-SUM($I$7:I957))</f>
        <v/>
      </c>
      <c r="K957" s="34"/>
    </row>
    <row r="958" spans="1:11" x14ac:dyDescent="0.2">
      <c r="A958" s="44"/>
      <c r="B958" s="44"/>
      <c r="C958" s="35"/>
      <c r="D958" s="44"/>
      <c r="E958" s="44"/>
      <c r="F958" s="44"/>
      <c r="G958" s="130"/>
      <c r="H958" s="252">
        <f t="shared" si="33"/>
        <v>0</v>
      </c>
      <c r="I958" s="252">
        <f t="shared" si="32"/>
        <v>0</v>
      </c>
      <c r="J958" s="170" t="str">
        <f>IF(A958="","",SUM($H$7:H958)-SUM($I$7:I958))</f>
        <v/>
      </c>
      <c r="K958" s="34"/>
    </row>
    <row r="959" spans="1:11" x14ac:dyDescent="0.2">
      <c r="A959" s="44"/>
      <c r="B959" s="44"/>
      <c r="C959" s="35"/>
      <c r="D959" s="44"/>
      <c r="E959" s="44"/>
      <c r="F959" s="44"/>
      <c r="G959" s="130"/>
      <c r="H959" s="252">
        <f t="shared" si="33"/>
        <v>0</v>
      </c>
      <c r="I959" s="252">
        <f t="shared" si="32"/>
        <v>0</v>
      </c>
      <c r="J959" s="170" t="str">
        <f>IF(A959="","",SUM($H$7:H959)-SUM($I$7:I959))</f>
        <v/>
      </c>
      <c r="K959" s="34"/>
    </row>
    <row r="960" spans="1:11" x14ac:dyDescent="0.2">
      <c r="A960" s="44"/>
      <c r="B960" s="44"/>
      <c r="C960" s="35"/>
      <c r="D960" s="44"/>
      <c r="E960" s="44"/>
      <c r="F960" s="44"/>
      <c r="G960" s="130"/>
      <c r="H960" s="252">
        <f t="shared" si="33"/>
        <v>0</v>
      </c>
      <c r="I960" s="252">
        <f t="shared" si="32"/>
        <v>0</v>
      </c>
      <c r="J960" s="170" t="str">
        <f>IF(A960="","",SUM($H$7:H960)-SUM($I$7:I960))</f>
        <v/>
      </c>
      <c r="K960" s="34"/>
    </row>
    <row r="961" spans="1:11" x14ac:dyDescent="0.2">
      <c r="A961" s="44"/>
      <c r="B961" s="44"/>
      <c r="C961" s="35"/>
      <c r="D961" s="44"/>
      <c r="E961" s="44"/>
      <c r="F961" s="44"/>
      <c r="G961" s="130"/>
      <c r="H961" s="252">
        <f t="shared" si="33"/>
        <v>0</v>
      </c>
      <c r="I961" s="252">
        <f t="shared" si="32"/>
        <v>0</v>
      </c>
      <c r="J961" s="170" t="str">
        <f>IF(A961="","",SUM($H$7:H961)-SUM($I$7:I961))</f>
        <v/>
      </c>
      <c r="K961" s="34"/>
    </row>
    <row r="962" spans="1:11" x14ac:dyDescent="0.2">
      <c r="A962" s="44"/>
      <c r="B962" s="44"/>
      <c r="C962" s="35"/>
      <c r="D962" s="44"/>
      <c r="E962" s="44"/>
      <c r="F962" s="44"/>
      <c r="G962" s="130"/>
      <c r="H962" s="252">
        <f t="shared" si="33"/>
        <v>0</v>
      </c>
      <c r="I962" s="252">
        <f t="shared" si="32"/>
        <v>0</v>
      </c>
      <c r="J962" s="170" t="str">
        <f>IF(A962="","",SUM($H$7:H962)-SUM($I$7:I962))</f>
        <v/>
      </c>
      <c r="K962" s="34"/>
    </row>
    <row r="963" spans="1:11" x14ac:dyDescent="0.2">
      <c r="A963" s="44"/>
      <c r="B963" s="44"/>
      <c r="C963" s="35"/>
      <c r="D963" s="44"/>
      <c r="E963" s="44"/>
      <c r="F963" s="44"/>
      <c r="G963" s="130"/>
      <c r="H963" s="252">
        <f t="shared" si="33"/>
        <v>0</v>
      </c>
      <c r="I963" s="252">
        <f t="shared" si="32"/>
        <v>0</v>
      </c>
      <c r="J963" s="170" t="str">
        <f>IF(A963="","",SUM($H$7:H963)-SUM($I$7:I963))</f>
        <v/>
      </c>
      <c r="K963" s="34"/>
    </row>
    <row r="964" spans="1:11" x14ac:dyDescent="0.2">
      <c r="A964" s="44"/>
      <c r="B964" s="44"/>
      <c r="C964" s="35"/>
      <c r="D964" s="44"/>
      <c r="E964" s="44"/>
      <c r="F964" s="44"/>
      <c r="G964" s="130"/>
      <c r="H964" s="252">
        <f t="shared" si="33"/>
        <v>0</v>
      </c>
      <c r="I964" s="252">
        <f t="shared" si="32"/>
        <v>0</v>
      </c>
      <c r="J964" s="170" t="str">
        <f>IF(A964="","",SUM($H$7:H964)-SUM($I$7:I964))</f>
        <v/>
      </c>
      <c r="K964" s="34"/>
    </row>
    <row r="965" spans="1:11" x14ac:dyDescent="0.2">
      <c r="A965" s="44"/>
      <c r="B965" s="44"/>
      <c r="C965" s="35"/>
      <c r="D965" s="44"/>
      <c r="E965" s="44"/>
      <c r="F965" s="44"/>
      <c r="G965" s="130"/>
      <c r="H965" s="252">
        <f t="shared" si="33"/>
        <v>0</v>
      </c>
      <c r="I965" s="252">
        <f t="shared" si="32"/>
        <v>0</v>
      </c>
      <c r="J965" s="170" t="str">
        <f>IF(A965="","",SUM($H$7:H965)-SUM($I$7:I965))</f>
        <v/>
      </c>
      <c r="K965" s="34"/>
    </row>
    <row r="966" spans="1:11" x14ac:dyDescent="0.2">
      <c r="A966" s="44"/>
      <c r="B966" s="44"/>
      <c r="C966" s="35"/>
      <c r="D966" s="44"/>
      <c r="E966" s="44"/>
      <c r="F966" s="44"/>
      <c r="G966" s="130"/>
      <c r="H966" s="252">
        <f t="shared" si="33"/>
        <v>0</v>
      </c>
      <c r="I966" s="252">
        <f t="shared" si="32"/>
        <v>0</v>
      </c>
      <c r="J966" s="170" t="str">
        <f>IF(A966="","",SUM($H$7:H966)-SUM($I$7:I966))</f>
        <v/>
      </c>
      <c r="K966" s="34"/>
    </row>
    <row r="967" spans="1:11" x14ac:dyDescent="0.2">
      <c r="A967" s="44"/>
      <c r="B967" s="44"/>
      <c r="C967" s="35"/>
      <c r="D967" s="44"/>
      <c r="E967" s="44"/>
      <c r="F967" s="44"/>
      <c r="G967" s="130"/>
      <c r="H967" s="252">
        <f t="shared" si="33"/>
        <v>0</v>
      </c>
      <c r="I967" s="252">
        <f t="shared" ref="I967:I1030" si="34">IF($C967="Replenishment",0,$G967)</f>
        <v>0</v>
      </c>
      <c r="J967" s="170" t="str">
        <f>IF(A967="","",SUM($H$7:H967)-SUM($I$7:I967))</f>
        <v/>
      </c>
      <c r="K967" s="34"/>
    </row>
    <row r="968" spans="1:11" x14ac:dyDescent="0.2">
      <c r="A968" s="44"/>
      <c r="B968" s="44"/>
      <c r="C968" s="35"/>
      <c r="D968" s="44"/>
      <c r="E968" s="44"/>
      <c r="F968" s="44"/>
      <c r="G968" s="130"/>
      <c r="H968" s="252">
        <f t="shared" si="33"/>
        <v>0</v>
      </c>
      <c r="I968" s="252">
        <f t="shared" si="34"/>
        <v>0</v>
      </c>
      <c r="J968" s="170" t="str">
        <f>IF(A968="","",SUM($H$7:H968)-SUM($I$7:I968))</f>
        <v/>
      </c>
      <c r="K968" s="34"/>
    </row>
    <row r="969" spans="1:11" x14ac:dyDescent="0.2">
      <c r="A969" s="44"/>
      <c r="B969" s="44"/>
      <c r="C969" s="35"/>
      <c r="D969" s="44"/>
      <c r="E969" s="44"/>
      <c r="F969" s="44"/>
      <c r="G969" s="130"/>
      <c r="H969" s="252">
        <f t="shared" si="33"/>
        <v>0</v>
      </c>
      <c r="I969" s="252">
        <f t="shared" si="34"/>
        <v>0</v>
      </c>
      <c r="J969" s="170" t="str">
        <f>IF(A969="","",SUM($H$7:H969)-SUM($I$7:I969))</f>
        <v/>
      </c>
      <c r="K969" s="34"/>
    </row>
    <row r="970" spans="1:11" x14ac:dyDescent="0.2">
      <c r="A970" s="44"/>
      <c r="B970" s="44"/>
      <c r="C970" s="35"/>
      <c r="D970" s="44"/>
      <c r="E970" s="44"/>
      <c r="F970" s="44"/>
      <c r="G970" s="130"/>
      <c r="H970" s="252">
        <f t="shared" si="33"/>
        <v>0</v>
      </c>
      <c r="I970" s="252">
        <f t="shared" si="34"/>
        <v>0</v>
      </c>
      <c r="J970" s="170" t="str">
        <f>IF(A970="","",SUM($H$7:H970)-SUM($I$7:I970))</f>
        <v/>
      </c>
      <c r="K970" s="34"/>
    </row>
    <row r="971" spans="1:11" x14ac:dyDescent="0.2">
      <c r="A971" s="44"/>
      <c r="B971" s="44"/>
      <c r="C971" s="35"/>
      <c r="D971" s="44"/>
      <c r="E971" s="44"/>
      <c r="F971" s="44"/>
      <c r="G971" s="130"/>
      <c r="H971" s="252">
        <f t="shared" si="33"/>
        <v>0</v>
      </c>
      <c r="I971" s="252">
        <f t="shared" si="34"/>
        <v>0</v>
      </c>
      <c r="J971" s="170" t="str">
        <f>IF(A971="","",SUM($H$7:H971)-SUM($I$7:I971))</f>
        <v/>
      </c>
      <c r="K971" s="34"/>
    </row>
    <row r="972" spans="1:11" x14ac:dyDescent="0.2">
      <c r="A972" s="44"/>
      <c r="B972" s="44"/>
      <c r="C972" s="35"/>
      <c r="D972" s="44"/>
      <c r="E972" s="44"/>
      <c r="F972" s="44"/>
      <c r="G972" s="130"/>
      <c r="H972" s="252">
        <f t="shared" si="33"/>
        <v>0</v>
      </c>
      <c r="I972" s="252">
        <f t="shared" si="34"/>
        <v>0</v>
      </c>
      <c r="J972" s="170" t="str">
        <f>IF(A972="","",SUM($H$7:H972)-SUM($I$7:I972))</f>
        <v/>
      </c>
      <c r="K972" s="34"/>
    </row>
    <row r="973" spans="1:11" x14ac:dyDescent="0.2">
      <c r="A973" s="44"/>
      <c r="B973" s="44"/>
      <c r="C973" s="35"/>
      <c r="D973" s="44"/>
      <c r="E973" s="44"/>
      <c r="F973" s="44"/>
      <c r="G973" s="130"/>
      <c r="H973" s="252">
        <f t="shared" si="33"/>
        <v>0</v>
      </c>
      <c r="I973" s="252">
        <f t="shared" si="34"/>
        <v>0</v>
      </c>
      <c r="J973" s="170" t="str">
        <f>IF(A973="","",SUM($H$7:H973)-SUM($I$7:I973))</f>
        <v/>
      </c>
      <c r="K973" s="34"/>
    </row>
    <row r="974" spans="1:11" x14ac:dyDescent="0.2">
      <c r="A974" s="44"/>
      <c r="B974" s="44"/>
      <c r="C974" s="35"/>
      <c r="D974" s="44"/>
      <c r="E974" s="44"/>
      <c r="F974" s="44"/>
      <c r="G974" s="130"/>
      <c r="H974" s="252">
        <f t="shared" si="33"/>
        <v>0</v>
      </c>
      <c r="I974" s="252">
        <f t="shared" si="34"/>
        <v>0</v>
      </c>
      <c r="J974" s="170" t="str">
        <f>IF(A974="","",SUM($H$7:H974)-SUM($I$7:I974))</f>
        <v/>
      </c>
      <c r="K974" s="34"/>
    </row>
    <row r="975" spans="1:11" x14ac:dyDescent="0.2">
      <c r="A975" s="44"/>
      <c r="B975" s="44"/>
      <c r="C975" s="35"/>
      <c r="D975" s="44"/>
      <c r="E975" s="44"/>
      <c r="F975" s="44"/>
      <c r="G975" s="130"/>
      <c r="H975" s="252">
        <f t="shared" si="33"/>
        <v>0</v>
      </c>
      <c r="I975" s="252">
        <f t="shared" si="34"/>
        <v>0</v>
      </c>
      <c r="J975" s="170" t="str">
        <f>IF(A975="","",SUM($H$7:H975)-SUM($I$7:I975))</f>
        <v/>
      </c>
      <c r="K975" s="34"/>
    </row>
    <row r="976" spans="1:11" x14ac:dyDescent="0.2">
      <c r="A976" s="44"/>
      <c r="B976" s="44"/>
      <c r="C976" s="35"/>
      <c r="D976" s="44"/>
      <c r="E976" s="44"/>
      <c r="F976" s="44"/>
      <c r="G976" s="130"/>
      <c r="H976" s="252">
        <f t="shared" si="33"/>
        <v>0</v>
      </c>
      <c r="I976" s="252">
        <f t="shared" si="34"/>
        <v>0</v>
      </c>
      <c r="J976" s="170" t="str">
        <f>IF(A976="","",SUM($H$7:H976)-SUM($I$7:I976))</f>
        <v/>
      </c>
      <c r="K976" s="34"/>
    </row>
    <row r="977" spans="1:11" x14ac:dyDescent="0.2">
      <c r="A977" s="44"/>
      <c r="B977" s="44"/>
      <c r="C977" s="35"/>
      <c r="D977" s="44"/>
      <c r="E977" s="44"/>
      <c r="F977" s="44"/>
      <c r="G977" s="130"/>
      <c r="H977" s="252">
        <f t="shared" si="33"/>
        <v>0</v>
      </c>
      <c r="I977" s="252">
        <f t="shared" si="34"/>
        <v>0</v>
      </c>
      <c r="J977" s="170" t="str">
        <f>IF(A977="","",SUM($H$7:H977)-SUM($I$7:I977))</f>
        <v/>
      </c>
      <c r="K977" s="34"/>
    </row>
    <row r="978" spans="1:11" x14ac:dyDescent="0.2">
      <c r="A978" s="44"/>
      <c r="B978" s="44"/>
      <c r="C978" s="35"/>
      <c r="D978" s="44"/>
      <c r="E978" s="44"/>
      <c r="F978" s="44"/>
      <c r="G978" s="130"/>
      <c r="H978" s="252">
        <f t="shared" si="33"/>
        <v>0</v>
      </c>
      <c r="I978" s="252">
        <f t="shared" si="34"/>
        <v>0</v>
      </c>
      <c r="J978" s="170" t="str">
        <f>IF(A978="","",SUM($H$7:H978)-SUM($I$7:I978))</f>
        <v/>
      </c>
      <c r="K978" s="34"/>
    </row>
    <row r="979" spans="1:11" x14ac:dyDescent="0.2">
      <c r="A979" s="44"/>
      <c r="B979" s="44"/>
      <c r="C979" s="35"/>
      <c r="D979" s="44"/>
      <c r="E979" s="44"/>
      <c r="F979" s="44"/>
      <c r="G979" s="130"/>
      <c r="H979" s="252">
        <f t="shared" si="33"/>
        <v>0</v>
      </c>
      <c r="I979" s="252">
        <f t="shared" si="34"/>
        <v>0</v>
      </c>
      <c r="J979" s="170" t="str">
        <f>IF(A979="","",SUM($H$7:H979)-SUM($I$7:I979))</f>
        <v/>
      </c>
      <c r="K979" s="34"/>
    </row>
    <row r="980" spans="1:11" x14ac:dyDescent="0.2">
      <c r="A980" s="44"/>
      <c r="B980" s="44"/>
      <c r="C980" s="35"/>
      <c r="D980" s="44"/>
      <c r="E980" s="44"/>
      <c r="F980" s="44"/>
      <c r="G980" s="130"/>
      <c r="H980" s="252">
        <f t="shared" si="33"/>
        <v>0</v>
      </c>
      <c r="I980" s="252">
        <f t="shared" si="34"/>
        <v>0</v>
      </c>
      <c r="J980" s="170" t="str">
        <f>IF(A980="","",SUM($H$7:H980)-SUM($I$7:I980))</f>
        <v/>
      </c>
      <c r="K980" s="34"/>
    </row>
    <row r="981" spans="1:11" x14ac:dyDescent="0.2">
      <c r="A981" s="44"/>
      <c r="B981" s="44"/>
      <c r="C981" s="35"/>
      <c r="D981" s="44"/>
      <c r="E981" s="44"/>
      <c r="F981" s="44"/>
      <c r="G981" s="130"/>
      <c r="H981" s="252">
        <f t="shared" si="33"/>
        <v>0</v>
      </c>
      <c r="I981" s="252">
        <f t="shared" si="34"/>
        <v>0</v>
      </c>
      <c r="J981" s="170" t="str">
        <f>IF(A981="","",SUM($H$7:H981)-SUM($I$7:I981))</f>
        <v/>
      </c>
      <c r="K981" s="34"/>
    </row>
    <row r="982" spans="1:11" x14ac:dyDescent="0.2">
      <c r="A982" s="44"/>
      <c r="B982" s="44"/>
      <c r="C982" s="35"/>
      <c r="D982" s="44"/>
      <c r="E982" s="44"/>
      <c r="F982" s="44"/>
      <c r="G982" s="130"/>
      <c r="H982" s="252">
        <f t="shared" si="33"/>
        <v>0</v>
      </c>
      <c r="I982" s="252">
        <f t="shared" si="34"/>
        <v>0</v>
      </c>
      <c r="J982" s="170" t="str">
        <f>IF(A982="","",SUM($H$7:H982)-SUM($I$7:I982))</f>
        <v/>
      </c>
      <c r="K982" s="34"/>
    </row>
    <row r="983" spans="1:11" x14ac:dyDescent="0.2">
      <c r="A983" s="44"/>
      <c r="B983" s="44"/>
      <c r="C983" s="35"/>
      <c r="D983" s="44"/>
      <c r="E983" s="44"/>
      <c r="F983" s="44"/>
      <c r="G983" s="130"/>
      <c r="H983" s="252">
        <f t="shared" si="33"/>
        <v>0</v>
      </c>
      <c r="I983" s="252">
        <f t="shared" si="34"/>
        <v>0</v>
      </c>
      <c r="J983" s="170" t="str">
        <f>IF(A983="","",SUM($H$7:H983)-SUM($I$7:I983))</f>
        <v/>
      </c>
      <c r="K983" s="34"/>
    </row>
    <row r="984" spans="1:11" x14ac:dyDescent="0.2">
      <c r="A984" s="44"/>
      <c r="B984" s="44"/>
      <c r="C984" s="35"/>
      <c r="D984" s="44"/>
      <c r="E984" s="44"/>
      <c r="F984" s="44"/>
      <c r="G984" s="130"/>
      <c r="H984" s="252">
        <f t="shared" si="33"/>
        <v>0</v>
      </c>
      <c r="I984" s="252">
        <f t="shared" si="34"/>
        <v>0</v>
      </c>
      <c r="J984" s="170" t="str">
        <f>IF(A984="","",SUM($H$7:H984)-SUM($I$7:I984))</f>
        <v/>
      </c>
      <c r="K984" s="34"/>
    </row>
    <row r="985" spans="1:11" x14ac:dyDescent="0.2">
      <c r="A985" s="44"/>
      <c r="B985" s="44"/>
      <c r="C985" s="35"/>
      <c r="D985" s="44"/>
      <c r="E985" s="44"/>
      <c r="F985" s="44"/>
      <c r="G985" s="130"/>
      <c r="H985" s="252">
        <f t="shared" si="33"/>
        <v>0</v>
      </c>
      <c r="I985" s="252">
        <f t="shared" si="34"/>
        <v>0</v>
      </c>
      <c r="J985" s="170" t="str">
        <f>IF(A985="","",SUM($H$7:H985)-SUM($I$7:I985))</f>
        <v/>
      </c>
      <c r="K985" s="34"/>
    </row>
    <row r="986" spans="1:11" x14ac:dyDescent="0.2">
      <c r="A986" s="44"/>
      <c r="B986" s="44"/>
      <c r="C986" s="35"/>
      <c r="D986" s="44"/>
      <c r="E986" s="44"/>
      <c r="F986" s="44"/>
      <c r="G986" s="130"/>
      <c r="H986" s="252">
        <f t="shared" si="33"/>
        <v>0</v>
      </c>
      <c r="I986" s="252">
        <f t="shared" si="34"/>
        <v>0</v>
      </c>
      <c r="J986" s="170" t="str">
        <f>IF(A986="","",SUM($H$7:H986)-SUM($I$7:I986))</f>
        <v/>
      </c>
      <c r="K986" s="34"/>
    </row>
    <row r="987" spans="1:11" x14ac:dyDescent="0.2">
      <c r="A987" s="44"/>
      <c r="B987" s="44"/>
      <c r="C987" s="35"/>
      <c r="D987" s="44"/>
      <c r="E987" s="44"/>
      <c r="F987" s="44"/>
      <c r="G987" s="130"/>
      <c r="H987" s="252">
        <f t="shared" si="33"/>
        <v>0</v>
      </c>
      <c r="I987" s="252">
        <f t="shared" si="34"/>
        <v>0</v>
      </c>
      <c r="J987" s="170" t="str">
        <f>IF(A987="","",SUM($H$7:H987)-SUM($I$7:I987))</f>
        <v/>
      </c>
      <c r="K987" s="34"/>
    </row>
    <row r="988" spans="1:11" x14ac:dyDescent="0.2">
      <c r="A988" s="44"/>
      <c r="B988" s="44"/>
      <c r="C988" s="35"/>
      <c r="D988" s="44"/>
      <c r="E988" s="44"/>
      <c r="F988" s="44"/>
      <c r="G988" s="130"/>
      <c r="H988" s="252">
        <f t="shared" si="33"/>
        <v>0</v>
      </c>
      <c r="I988" s="252">
        <f t="shared" si="34"/>
        <v>0</v>
      </c>
      <c r="J988" s="170" t="str">
        <f>IF(A988="","",SUM($H$7:H988)-SUM($I$7:I988))</f>
        <v/>
      </c>
      <c r="K988" s="34"/>
    </row>
    <row r="989" spans="1:11" x14ac:dyDescent="0.2">
      <c r="A989" s="44"/>
      <c r="B989" s="44"/>
      <c r="C989" s="35"/>
      <c r="D989" s="44"/>
      <c r="E989" s="44"/>
      <c r="F989" s="44"/>
      <c r="G989" s="130"/>
      <c r="H989" s="252">
        <f t="shared" si="33"/>
        <v>0</v>
      </c>
      <c r="I989" s="252">
        <f t="shared" si="34"/>
        <v>0</v>
      </c>
      <c r="J989" s="170" t="str">
        <f>IF(A989="","",SUM($H$7:H989)-SUM($I$7:I989))</f>
        <v/>
      </c>
      <c r="K989" s="34"/>
    </row>
    <row r="990" spans="1:11" x14ac:dyDescent="0.2">
      <c r="A990" s="44"/>
      <c r="B990" s="44"/>
      <c r="C990" s="35"/>
      <c r="D990" s="44"/>
      <c r="E990" s="44"/>
      <c r="F990" s="44"/>
      <c r="G990" s="130"/>
      <c r="H990" s="252">
        <f t="shared" si="33"/>
        <v>0</v>
      </c>
      <c r="I990" s="252">
        <f t="shared" si="34"/>
        <v>0</v>
      </c>
      <c r="J990" s="170" t="str">
        <f>IF(A990="","",SUM($H$7:H990)-SUM($I$7:I990))</f>
        <v/>
      </c>
      <c r="K990" s="34"/>
    </row>
    <row r="991" spans="1:11" x14ac:dyDescent="0.2">
      <c r="A991" s="44"/>
      <c r="B991" s="44"/>
      <c r="C991" s="35"/>
      <c r="D991" s="44"/>
      <c r="E991" s="44"/>
      <c r="F991" s="44"/>
      <c r="G991" s="130"/>
      <c r="H991" s="252">
        <f t="shared" si="33"/>
        <v>0</v>
      </c>
      <c r="I991" s="252">
        <f t="shared" si="34"/>
        <v>0</v>
      </c>
      <c r="J991" s="170" t="str">
        <f>IF(A991="","",SUM($H$7:H991)-SUM($I$7:I991))</f>
        <v/>
      </c>
      <c r="K991" s="34"/>
    </row>
    <row r="992" spans="1:11" x14ac:dyDescent="0.2">
      <c r="A992" s="44"/>
      <c r="B992" s="44"/>
      <c r="C992" s="35"/>
      <c r="D992" s="44"/>
      <c r="E992" s="44"/>
      <c r="F992" s="44"/>
      <c r="G992" s="130"/>
      <c r="H992" s="252">
        <f t="shared" si="33"/>
        <v>0</v>
      </c>
      <c r="I992" s="252">
        <f t="shared" si="34"/>
        <v>0</v>
      </c>
      <c r="J992" s="170" t="str">
        <f>IF(A992="","",SUM($H$7:H992)-SUM($I$7:I992))</f>
        <v/>
      </c>
      <c r="K992" s="34"/>
    </row>
    <row r="993" spans="1:11" x14ac:dyDescent="0.2">
      <c r="A993" s="44"/>
      <c r="B993" s="44"/>
      <c r="C993" s="35"/>
      <c r="D993" s="44"/>
      <c r="E993" s="44"/>
      <c r="F993" s="44"/>
      <c r="G993" s="130"/>
      <c r="H993" s="252">
        <f t="shared" si="33"/>
        <v>0</v>
      </c>
      <c r="I993" s="252">
        <f t="shared" si="34"/>
        <v>0</v>
      </c>
      <c r="J993" s="170" t="str">
        <f>IF(A993="","",SUM($H$7:H993)-SUM($I$7:I993))</f>
        <v/>
      </c>
      <c r="K993" s="34"/>
    </row>
    <row r="994" spans="1:11" x14ac:dyDescent="0.2">
      <c r="A994" s="44"/>
      <c r="B994" s="44"/>
      <c r="C994" s="35"/>
      <c r="D994" s="44"/>
      <c r="E994" s="44"/>
      <c r="F994" s="44"/>
      <c r="G994" s="130"/>
      <c r="H994" s="252">
        <f t="shared" si="33"/>
        <v>0</v>
      </c>
      <c r="I994" s="252">
        <f t="shared" si="34"/>
        <v>0</v>
      </c>
      <c r="J994" s="170" t="str">
        <f>IF(A994="","",SUM($H$7:H994)-SUM($I$7:I994))</f>
        <v/>
      </c>
      <c r="K994" s="34"/>
    </row>
    <row r="995" spans="1:11" x14ac:dyDescent="0.2">
      <c r="A995" s="44"/>
      <c r="B995" s="44"/>
      <c r="C995" s="35"/>
      <c r="D995" s="44"/>
      <c r="E995" s="44"/>
      <c r="F995" s="44"/>
      <c r="G995" s="130"/>
      <c r="H995" s="252">
        <f t="shared" si="33"/>
        <v>0</v>
      </c>
      <c r="I995" s="252">
        <f t="shared" si="34"/>
        <v>0</v>
      </c>
      <c r="J995" s="170" t="str">
        <f>IF(A995="","",SUM($H$7:H995)-SUM($I$7:I995))</f>
        <v/>
      </c>
      <c r="K995" s="34"/>
    </row>
    <row r="996" spans="1:11" x14ac:dyDescent="0.2">
      <c r="A996" s="44"/>
      <c r="B996" s="44"/>
      <c r="C996" s="35"/>
      <c r="D996" s="44"/>
      <c r="E996" s="44"/>
      <c r="F996" s="44"/>
      <c r="G996" s="130"/>
      <c r="H996" s="252">
        <f t="shared" si="33"/>
        <v>0</v>
      </c>
      <c r="I996" s="252">
        <f t="shared" si="34"/>
        <v>0</v>
      </c>
      <c r="J996" s="170" t="str">
        <f>IF(A996="","",SUM($H$7:H996)-SUM($I$7:I996))</f>
        <v/>
      </c>
      <c r="K996" s="34"/>
    </row>
    <row r="997" spans="1:11" x14ac:dyDescent="0.2">
      <c r="A997" s="44"/>
      <c r="B997" s="44"/>
      <c r="C997" s="35"/>
      <c r="D997" s="44"/>
      <c r="E997" s="44"/>
      <c r="F997" s="44"/>
      <c r="G997" s="130"/>
      <c r="H997" s="252">
        <f t="shared" si="33"/>
        <v>0</v>
      </c>
      <c r="I997" s="252">
        <f t="shared" si="34"/>
        <v>0</v>
      </c>
      <c r="J997" s="170" t="str">
        <f>IF(A997="","",SUM($H$7:H997)-SUM($I$7:I997))</f>
        <v/>
      </c>
      <c r="K997" s="34"/>
    </row>
    <row r="998" spans="1:11" x14ac:dyDescent="0.2">
      <c r="A998" s="44"/>
      <c r="B998" s="44"/>
      <c r="C998" s="35"/>
      <c r="D998" s="44"/>
      <c r="E998" s="44"/>
      <c r="F998" s="44"/>
      <c r="G998" s="130"/>
      <c r="H998" s="252">
        <f t="shared" si="33"/>
        <v>0</v>
      </c>
      <c r="I998" s="252">
        <f t="shared" si="34"/>
        <v>0</v>
      </c>
      <c r="J998" s="170" t="str">
        <f>IF(A998="","",SUM($H$7:H998)-SUM($I$7:I998))</f>
        <v/>
      </c>
      <c r="K998" s="34"/>
    </row>
    <row r="999" spans="1:11" x14ac:dyDescent="0.2">
      <c r="A999" s="44"/>
      <c r="B999" s="44"/>
      <c r="C999" s="35"/>
      <c r="D999" s="44"/>
      <c r="E999" s="44"/>
      <c r="F999" s="44"/>
      <c r="G999" s="130"/>
      <c r="H999" s="252">
        <f t="shared" si="33"/>
        <v>0</v>
      </c>
      <c r="I999" s="252">
        <f t="shared" si="34"/>
        <v>0</v>
      </c>
      <c r="J999" s="170" t="str">
        <f>IF(A999="","",SUM($H$7:H999)-SUM($I$7:I999))</f>
        <v/>
      </c>
      <c r="K999" s="34"/>
    </row>
    <row r="1000" spans="1:11" x14ac:dyDescent="0.2">
      <c r="A1000" s="44"/>
      <c r="B1000" s="44"/>
      <c r="C1000" s="35"/>
      <c r="D1000" s="44"/>
      <c r="E1000" s="44"/>
      <c r="F1000" s="44"/>
      <c r="G1000" s="130"/>
      <c r="H1000" s="252">
        <f t="shared" si="33"/>
        <v>0</v>
      </c>
      <c r="I1000" s="252">
        <f t="shared" si="34"/>
        <v>0</v>
      </c>
      <c r="J1000" s="170" t="str">
        <f>IF(A1000="","",SUM($H$7:H1000)-SUM($I$7:I1000))</f>
        <v/>
      </c>
      <c r="K1000" s="34"/>
    </row>
    <row r="1001" spans="1:11" x14ac:dyDescent="0.2">
      <c r="A1001" s="44"/>
      <c r="B1001" s="44"/>
      <c r="C1001" s="35"/>
      <c r="D1001" s="44"/>
      <c r="E1001" s="44"/>
      <c r="F1001" s="44"/>
      <c r="G1001" s="130"/>
      <c r="H1001" s="252">
        <f t="shared" si="33"/>
        <v>0</v>
      </c>
      <c r="I1001" s="252">
        <f t="shared" si="34"/>
        <v>0</v>
      </c>
      <c r="J1001" s="170" t="str">
        <f>IF(A1001="","",SUM($H$7:H1001)-SUM($I$7:I1001))</f>
        <v/>
      </c>
      <c r="K1001" s="34"/>
    </row>
    <row r="1002" spans="1:11" x14ac:dyDescent="0.2">
      <c r="A1002" s="44"/>
      <c r="B1002" s="44"/>
      <c r="C1002" s="35"/>
      <c r="D1002" s="44"/>
      <c r="E1002" s="44"/>
      <c r="F1002" s="44"/>
      <c r="G1002" s="130"/>
      <c r="H1002" s="252">
        <f t="shared" si="33"/>
        <v>0</v>
      </c>
      <c r="I1002" s="252">
        <f t="shared" si="34"/>
        <v>0</v>
      </c>
      <c r="J1002" s="170" t="str">
        <f>IF(A1002="","",SUM($H$7:H1002)-SUM($I$7:I1002))</f>
        <v/>
      </c>
      <c r="K1002" s="34"/>
    </row>
    <row r="1003" spans="1:11" x14ac:dyDescent="0.2">
      <c r="A1003" s="44"/>
      <c r="B1003" s="44"/>
      <c r="C1003" s="35"/>
      <c r="D1003" s="44"/>
      <c r="E1003" s="44"/>
      <c r="F1003" s="44"/>
      <c r="G1003" s="130"/>
      <c r="H1003" s="252">
        <f t="shared" si="33"/>
        <v>0</v>
      </c>
      <c r="I1003" s="252">
        <f t="shared" si="34"/>
        <v>0</v>
      </c>
      <c r="J1003" s="170" t="str">
        <f>IF(A1003="","",SUM($H$7:H1003)-SUM($I$7:I1003))</f>
        <v/>
      </c>
      <c r="K1003" s="34"/>
    </row>
    <row r="1004" spans="1:11" x14ac:dyDescent="0.2">
      <c r="A1004" s="44"/>
      <c r="B1004" s="44"/>
      <c r="C1004" s="35"/>
      <c r="D1004" s="44"/>
      <c r="E1004" s="44"/>
      <c r="F1004" s="44"/>
      <c r="G1004" s="130"/>
      <c r="H1004" s="252">
        <f t="shared" si="33"/>
        <v>0</v>
      </c>
      <c r="I1004" s="252">
        <f t="shared" si="34"/>
        <v>0</v>
      </c>
      <c r="J1004" s="170" t="str">
        <f>IF(A1004="","",SUM($H$7:H1004)-SUM($I$7:I1004))</f>
        <v/>
      </c>
      <c r="K1004" s="34"/>
    </row>
    <row r="1005" spans="1:11" x14ac:dyDescent="0.2">
      <c r="A1005" s="44"/>
      <c r="B1005" s="44"/>
      <c r="C1005" s="35"/>
      <c r="D1005" s="44"/>
      <c r="E1005" s="44"/>
      <c r="F1005" s="44"/>
      <c r="G1005" s="130"/>
      <c r="H1005" s="252">
        <f t="shared" si="33"/>
        <v>0</v>
      </c>
      <c r="I1005" s="252">
        <f t="shared" si="34"/>
        <v>0</v>
      </c>
      <c r="J1005" s="170" t="str">
        <f>IF(A1005="","",SUM($H$7:H1005)-SUM($I$7:I1005))</f>
        <v/>
      </c>
      <c r="K1005" s="34"/>
    </row>
    <row r="1006" spans="1:11" x14ac:dyDescent="0.2">
      <c r="A1006" s="44"/>
      <c r="B1006" s="44"/>
      <c r="C1006" s="35"/>
      <c r="D1006" s="44"/>
      <c r="E1006" s="44"/>
      <c r="F1006" s="44"/>
      <c r="G1006" s="130"/>
      <c r="H1006" s="252">
        <f t="shared" si="33"/>
        <v>0</v>
      </c>
      <c r="I1006" s="252">
        <f t="shared" si="34"/>
        <v>0</v>
      </c>
      <c r="J1006" s="170" t="str">
        <f>IF(A1006="","",SUM($H$7:H1006)-SUM($I$7:I1006))</f>
        <v/>
      </c>
      <c r="K1006" s="34"/>
    </row>
    <row r="1007" spans="1:11" x14ac:dyDescent="0.2">
      <c r="A1007" s="44"/>
      <c r="B1007" s="44"/>
      <c r="C1007" s="35"/>
      <c r="D1007" s="44"/>
      <c r="E1007" s="44"/>
      <c r="F1007" s="44"/>
      <c r="G1007" s="130"/>
      <c r="H1007" s="252">
        <f t="shared" si="33"/>
        <v>0</v>
      </c>
      <c r="I1007" s="252">
        <f t="shared" si="34"/>
        <v>0</v>
      </c>
      <c r="J1007" s="170" t="str">
        <f>IF(A1007="","",SUM($H$7:H1007)-SUM($I$7:I1007))</f>
        <v/>
      </c>
      <c r="K1007" s="34"/>
    </row>
    <row r="1008" spans="1:11" x14ac:dyDescent="0.2">
      <c r="A1008" s="44"/>
      <c r="B1008" s="44"/>
      <c r="C1008" s="35"/>
      <c r="D1008" s="44"/>
      <c r="E1008" s="44"/>
      <c r="F1008" s="44"/>
      <c r="G1008" s="130"/>
      <c r="H1008" s="252">
        <f t="shared" si="33"/>
        <v>0</v>
      </c>
      <c r="I1008" s="252">
        <f t="shared" si="34"/>
        <v>0</v>
      </c>
      <c r="J1008" s="170" t="str">
        <f>IF(A1008="","",SUM($H$7:H1008)-SUM($I$7:I1008))</f>
        <v/>
      </c>
      <c r="K1008" s="34"/>
    </row>
    <row r="1009" spans="1:11" x14ac:dyDescent="0.2">
      <c r="A1009" s="44"/>
      <c r="B1009" s="44"/>
      <c r="C1009" s="35"/>
      <c r="D1009" s="44"/>
      <c r="E1009" s="44"/>
      <c r="F1009" s="44"/>
      <c r="G1009" s="130"/>
      <c r="H1009" s="252">
        <f t="shared" si="33"/>
        <v>0</v>
      </c>
      <c r="I1009" s="252">
        <f t="shared" si="34"/>
        <v>0</v>
      </c>
      <c r="J1009" s="170" t="str">
        <f>IF(A1009="","",SUM($H$7:H1009)-SUM($I$7:I1009))</f>
        <v/>
      </c>
      <c r="K1009" s="34"/>
    </row>
    <row r="1010" spans="1:11" x14ac:dyDescent="0.2">
      <c r="A1010" s="44"/>
      <c r="B1010" s="44"/>
      <c r="C1010" s="35"/>
      <c r="D1010" s="44"/>
      <c r="E1010" s="44"/>
      <c r="F1010" s="44"/>
      <c r="G1010" s="130"/>
      <c r="H1010" s="252">
        <f t="shared" si="33"/>
        <v>0</v>
      </c>
      <c r="I1010" s="252">
        <f t="shared" si="34"/>
        <v>0</v>
      </c>
      <c r="J1010" s="170" t="str">
        <f>IF(A1010="","",SUM($H$7:H1010)-SUM($I$7:I1010))</f>
        <v/>
      </c>
      <c r="K1010" s="34"/>
    </row>
    <row r="1011" spans="1:11" x14ac:dyDescent="0.2">
      <c r="A1011" s="44"/>
      <c r="B1011" s="44"/>
      <c r="C1011" s="35"/>
      <c r="D1011" s="44"/>
      <c r="E1011" s="44"/>
      <c r="F1011" s="44"/>
      <c r="G1011" s="130"/>
      <c r="H1011" s="252">
        <f t="shared" si="33"/>
        <v>0</v>
      </c>
      <c r="I1011" s="252">
        <f t="shared" si="34"/>
        <v>0</v>
      </c>
      <c r="J1011" s="170" t="str">
        <f>IF(A1011="","",SUM($H$7:H1011)-SUM($I$7:I1011))</f>
        <v/>
      </c>
      <c r="K1011" s="34"/>
    </row>
    <row r="1012" spans="1:11" x14ac:dyDescent="0.2">
      <c r="A1012" s="44"/>
      <c r="B1012" s="44"/>
      <c r="C1012" s="35"/>
      <c r="D1012" s="44"/>
      <c r="E1012" s="44"/>
      <c r="F1012" s="44"/>
      <c r="G1012" s="130"/>
      <c r="H1012" s="252">
        <f t="shared" si="33"/>
        <v>0</v>
      </c>
      <c r="I1012" s="252">
        <f t="shared" si="34"/>
        <v>0</v>
      </c>
      <c r="J1012" s="170" t="str">
        <f>IF(A1012="","",SUM($H$7:H1012)-SUM($I$7:I1012))</f>
        <v/>
      </c>
      <c r="K1012" s="34"/>
    </row>
    <row r="1013" spans="1:11" x14ac:dyDescent="0.2">
      <c r="A1013" s="44"/>
      <c r="B1013" s="44"/>
      <c r="C1013" s="35"/>
      <c r="D1013" s="44"/>
      <c r="E1013" s="44"/>
      <c r="F1013" s="44"/>
      <c r="G1013" s="130"/>
      <c r="H1013" s="252">
        <f t="shared" si="33"/>
        <v>0</v>
      </c>
      <c r="I1013" s="252">
        <f t="shared" si="34"/>
        <v>0</v>
      </c>
      <c r="J1013" s="170" t="str">
        <f>IF(A1013="","",SUM($H$7:H1013)-SUM($I$7:I1013))</f>
        <v/>
      </c>
      <c r="K1013" s="34"/>
    </row>
    <row r="1014" spans="1:11" x14ac:dyDescent="0.2">
      <c r="A1014" s="44"/>
      <c r="B1014" s="44"/>
      <c r="C1014" s="35"/>
      <c r="D1014" s="44"/>
      <c r="E1014" s="44"/>
      <c r="F1014" s="44"/>
      <c r="G1014" s="130"/>
      <c r="H1014" s="252">
        <f t="shared" ref="H1014:H1077" si="35">IF($C1014="Replenishment",$G1014,0)</f>
        <v>0</v>
      </c>
      <c r="I1014" s="252">
        <f t="shared" si="34"/>
        <v>0</v>
      </c>
      <c r="J1014" s="170" t="str">
        <f>IF(A1014="","",SUM($H$7:H1014)-SUM($I$7:I1014))</f>
        <v/>
      </c>
      <c r="K1014" s="34"/>
    </row>
    <row r="1015" spans="1:11" x14ac:dyDescent="0.2">
      <c r="A1015" s="44"/>
      <c r="B1015" s="44"/>
      <c r="C1015" s="35"/>
      <c r="D1015" s="44"/>
      <c r="E1015" s="44"/>
      <c r="F1015" s="44"/>
      <c r="G1015" s="130"/>
      <c r="H1015" s="252">
        <f t="shared" si="35"/>
        <v>0</v>
      </c>
      <c r="I1015" s="252">
        <f t="shared" si="34"/>
        <v>0</v>
      </c>
      <c r="J1015" s="170" t="str">
        <f>IF(A1015="","",SUM($H$7:H1015)-SUM($I$7:I1015))</f>
        <v/>
      </c>
      <c r="K1015" s="34"/>
    </row>
    <row r="1016" spans="1:11" x14ac:dyDescent="0.2">
      <c r="A1016" s="44"/>
      <c r="B1016" s="44"/>
      <c r="C1016" s="35"/>
      <c r="D1016" s="44"/>
      <c r="E1016" s="44"/>
      <c r="F1016" s="44"/>
      <c r="G1016" s="130"/>
      <c r="H1016" s="252">
        <f t="shared" si="35"/>
        <v>0</v>
      </c>
      <c r="I1016" s="252">
        <f t="shared" si="34"/>
        <v>0</v>
      </c>
      <c r="J1016" s="170" t="str">
        <f>IF(A1016="","",SUM($H$7:H1016)-SUM($I$7:I1016))</f>
        <v/>
      </c>
      <c r="K1016" s="34"/>
    </row>
    <row r="1017" spans="1:11" x14ac:dyDescent="0.2">
      <c r="A1017" s="44"/>
      <c r="B1017" s="44"/>
      <c r="C1017" s="35"/>
      <c r="D1017" s="44"/>
      <c r="E1017" s="44"/>
      <c r="F1017" s="44"/>
      <c r="G1017" s="130"/>
      <c r="H1017" s="252">
        <f t="shared" si="35"/>
        <v>0</v>
      </c>
      <c r="I1017" s="252">
        <f t="shared" si="34"/>
        <v>0</v>
      </c>
      <c r="J1017" s="170" t="str">
        <f>IF(A1017="","",SUM($H$7:H1017)-SUM($I$7:I1017))</f>
        <v/>
      </c>
      <c r="K1017" s="34"/>
    </row>
    <row r="1018" spans="1:11" x14ac:dyDescent="0.2">
      <c r="A1018" s="44"/>
      <c r="B1018" s="44"/>
      <c r="C1018" s="35"/>
      <c r="D1018" s="44"/>
      <c r="E1018" s="44"/>
      <c r="F1018" s="44"/>
      <c r="G1018" s="130"/>
      <c r="H1018" s="252">
        <f t="shared" si="35"/>
        <v>0</v>
      </c>
      <c r="I1018" s="252">
        <f t="shared" si="34"/>
        <v>0</v>
      </c>
      <c r="J1018" s="170" t="str">
        <f>IF(A1018="","",SUM($H$7:H1018)-SUM($I$7:I1018))</f>
        <v/>
      </c>
      <c r="K1018" s="34"/>
    </row>
    <row r="1019" spans="1:11" x14ac:dyDescent="0.2">
      <c r="A1019" s="44"/>
      <c r="B1019" s="44"/>
      <c r="C1019" s="35"/>
      <c r="D1019" s="44"/>
      <c r="E1019" s="44"/>
      <c r="F1019" s="44"/>
      <c r="G1019" s="130"/>
      <c r="H1019" s="252">
        <f t="shared" si="35"/>
        <v>0</v>
      </c>
      <c r="I1019" s="252">
        <f t="shared" si="34"/>
        <v>0</v>
      </c>
      <c r="J1019" s="170" t="str">
        <f>IF(A1019="","",SUM($H$7:H1019)-SUM($I$7:I1019))</f>
        <v/>
      </c>
      <c r="K1019" s="34"/>
    </row>
    <row r="1020" spans="1:11" x14ac:dyDescent="0.2">
      <c r="A1020" s="44"/>
      <c r="B1020" s="44"/>
      <c r="C1020" s="35"/>
      <c r="D1020" s="44"/>
      <c r="E1020" s="44"/>
      <c r="F1020" s="44"/>
      <c r="G1020" s="130"/>
      <c r="H1020" s="252">
        <f t="shared" si="35"/>
        <v>0</v>
      </c>
      <c r="I1020" s="252">
        <f t="shared" si="34"/>
        <v>0</v>
      </c>
      <c r="J1020" s="170" t="str">
        <f>IF(A1020="","",SUM($H$7:H1020)-SUM($I$7:I1020))</f>
        <v/>
      </c>
      <c r="K1020" s="34"/>
    </row>
    <row r="1021" spans="1:11" x14ac:dyDescent="0.2">
      <c r="A1021" s="44"/>
      <c r="B1021" s="44"/>
      <c r="C1021" s="35"/>
      <c r="D1021" s="44"/>
      <c r="E1021" s="44"/>
      <c r="F1021" s="44"/>
      <c r="G1021" s="130"/>
      <c r="H1021" s="252">
        <f t="shared" si="35"/>
        <v>0</v>
      </c>
      <c r="I1021" s="252">
        <f t="shared" si="34"/>
        <v>0</v>
      </c>
      <c r="J1021" s="170" t="str">
        <f>IF(A1021="","",SUM($H$7:H1021)-SUM($I$7:I1021))</f>
        <v/>
      </c>
      <c r="K1021" s="34"/>
    </row>
    <row r="1022" spans="1:11" x14ac:dyDescent="0.2">
      <c r="A1022" s="44"/>
      <c r="B1022" s="44"/>
      <c r="C1022" s="35"/>
      <c r="D1022" s="44"/>
      <c r="E1022" s="44"/>
      <c r="F1022" s="44"/>
      <c r="G1022" s="130"/>
      <c r="H1022" s="252">
        <f t="shared" si="35"/>
        <v>0</v>
      </c>
      <c r="I1022" s="252">
        <f t="shared" si="34"/>
        <v>0</v>
      </c>
      <c r="J1022" s="170" t="str">
        <f>IF(A1022="","",SUM($H$7:H1022)-SUM($I$7:I1022))</f>
        <v/>
      </c>
      <c r="K1022" s="34"/>
    </row>
    <row r="1023" spans="1:11" x14ac:dyDescent="0.2">
      <c r="A1023" s="44"/>
      <c r="B1023" s="44"/>
      <c r="C1023" s="35"/>
      <c r="D1023" s="44"/>
      <c r="E1023" s="44"/>
      <c r="F1023" s="44"/>
      <c r="G1023" s="130"/>
      <c r="H1023" s="252">
        <f t="shared" si="35"/>
        <v>0</v>
      </c>
      <c r="I1023" s="252">
        <f t="shared" si="34"/>
        <v>0</v>
      </c>
      <c r="J1023" s="170" t="str">
        <f>IF(A1023="","",SUM($H$7:H1023)-SUM($I$7:I1023))</f>
        <v/>
      </c>
      <c r="K1023" s="34"/>
    </row>
    <row r="1024" spans="1:11" x14ac:dyDescent="0.2">
      <c r="A1024" s="44"/>
      <c r="B1024" s="44"/>
      <c r="C1024" s="35"/>
      <c r="D1024" s="44"/>
      <c r="E1024" s="44"/>
      <c r="F1024" s="44"/>
      <c r="G1024" s="130"/>
      <c r="H1024" s="252">
        <f t="shared" si="35"/>
        <v>0</v>
      </c>
      <c r="I1024" s="252">
        <f t="shared" si="34"/>
        <v>0</v>
      </c>
      <c r="J1024" s="170" t="str">
        <f>IF(A1024="","",SUM($H$7:H1024)-SUM($I$7:I1024))</f>
        <v/>
      </c>
      <c r="K1024" s="34"/>
    </row>
    <row r="1025" spans="1:11" x14ac:dyDescent="0.2">
      <c r="A1025" s="44"/>
      <c r="B1025" s="44"/>
      <c r="C1025" s="35"/>
      <c r="D1025" s="44"/>
      <c r="E1025" s="44"/>
      <c r="F1025" s="44"/>
      <c r="G1025" s="130"/>
      <c r="H1025" s="252">
        <f t="shared" si="35"/>
        <v>0</v>
      </c>
      <c r="I1025" s="252">
        <f t="shared" si="34"/>
        <v>0</v>
      </c>
      <c r="J1025" s="170" t="str">
        <f>IF(A1025="","",SUM($H$7:H1025)-SUM($I$7:I1025))</f>
        <v/>
      </c>
      <c r="K1025" s="34"/>
    </row>
    <row r="1026" spans="1:11" x14ac:dyDescent="0.2">
      <c r="A1026" s="44"/>
      <c r="B1026" s="44"/>
      <c r="C1026" s="35"/>
      <c r="D1026" s="44"/>
      <c r="E1026" s="44"/>
      <c r="F1026" s="44"/>
      <c r="G1026" s="130"/>
      <c r="H1026" s="252">
        <f t="shared" si="35"/>
        <v>0</v>
      </c>
      <c r="I1026" s="252">
        <f t="shared" si="34"/>
        <v>0</v>
      </c>
      <c r="J1026" s="170" t="str">
        <f>IF(A1026="","",SUM($H$7:H1026)-SUM($I$7:I1026))</f>
        <v/>
      </c>
      <c r="K1026" s="34"/>
    </row>
    <row r="1027" spans="1:11" x14ac:dyDescent="0.2">
      <c r="A1027" s="44"/>
      <c r="B1027" s="44"/>
      <c r="C1027" s="35"/>
      <c r="D1027" s="44"/>
      <c r="E1027" s="44"/>
      <c r="F1027" s="44"/>
      <c r="G1027" s="130"/>
      <c r="H1027" s="252">
        <f t="shared" si="35"/>
        <v>0</v>
      </c>
      <c r="I1027" s="252">
        <f t="shared" si="34"/>
        <v>0</v>
      </c>
      <c r="J1027" s="170" t="str">
        <f>IF(A1027="","",SUM($H$7:H1027)-SUM($I$7:I1027))</f>
        <v/>
      </c>
      <c r="K1027" s="34"/>
    </row>
    <row r="1028" spans="1:11" x14ac:dyDescent="0.2">
      <c r="A1028" s="44"/>
      <c r="B1028" s="44"/>
      <c r="C1028" s="35"/>
      <c r="D1028" s="44"/>
      <c r="E1028" s="44"/>
      <c r="F1028" s="44"/>
      <c r="G1028" s="130"/>
      <c r="H1028" s="252">
        <f t="shared" si="35"/>
        <v>0</v>
      </c>
      <c r="I1028" s="252">
        <f t="shared" si="34"/>
        <v>0</v>
      </c>
      <c r="J1028" s="170" t="str">
        <f>IF(A1028="","",SUM($H$7:H1028)-SUM($I$7:I1028))</f>
        <v/>
      </c>
      <c r="K1028" s="34"/>
    </row>
    <row r="1029" spans="1:11" x14ac:dyDescent="0.2">
      <c r="A1029" s="44"/>
      <c r="B1029" s="44"/>
      <c r="C1029" s="35"/>
      <c r="D1029" s="44"/>
      <c r="E1029" s="44"/>
      <c r="F1029" s="44"/>
      <c r="G1029" s="130"/>
      <c r="H1029" s="252">
        <f t="shared" si="35"/>
        <v>0</v>
      </c>
      <c r="I1029" s="252">
        <f t="shared" si="34"/>
        <v>0</v>
      </c>
      <c r="J1029" s="170" t="str">
        <f>IF(A1029="","",SUM($H$7:H1029)-SUM($I$7:I1029))</f>
        <v/>
      </c>
      <c r="K1029" s="34"/>
    </row>
    <row r="1030" spans="1:11" x14ac:dyDescent="0.2">
      <c r="A1030" s="44"/>
      <c r="B1030" s="44"/>
      <c r="C1030" s="35"/>
      <c r="D1030" s="44"/>
      <c r="E1030" s="44"/>
      <c r="F1030" s="44"/>
      <c r="G1030" s="130"/>
      <c r="H1030" s="252">
        <f t="shared" si="35"/>
        <v>0</v>
      </c>
      <c r="I1030" s="252">
        <f t="shared" si="34"/>
        <v>0</v>
      </c>
      <c r="J1030" s="170" t="str">
        <f>IF(A1030="","",SUM($H$7:H1030)-SUM($I$7:I1030))</f>
        <v/>
      </c>
      <c r="K1030" s="34"/>
    </row>
    <row r="1031" spans="1:11" x14ac:dyDescent="0.2">
      <c r="A1031" s="44"/>
      <c r="B1031" s="44"/>
      <c r="C1031" s="35"/>
      <c r="D1031" s="44"/>
      <c r="E1031" s="44"/>
      <c r="F1031" s="44"/>
      <c r="G1031" s="130"/>
      <c r="H1031" s="252">
        <f t="shared" si="35"/>
        <v>0</v>
      </c>
      <c r="I1031" s="252">
        <f t="shared" ref="I1031:I1094" si="36">IF($C1031="Replenishment",0,$G1031)</f>
        <v>0</v>
      </c>
      <c r="J1031" s="170" t="str">
        <f>IF(A1031="","",SUM($H$7:H1031)-SUM($I$7:I1031))</f>
        <v/>
      </c>
      <c r="K1031" s="34"/>
    </row>
    <row r="1032" spans="1:11" x14ac:dyDescent="0.2">
      <c r="A1032" s="44"/>
      <c r="B1032" s="44"/>
      <c r="C1032" s="35"/>
      <c r="D1032" s="44"/>
      <c r="E1032" s="44"/>
      <c r="F1032" s="44"/>
      <c r="G1032" s="130"/>
      <c r="H1032" s="252">
        <f t="shared" si="35"/>
        <v>0</v>
      </c>
      <c r="I1032" s="252">
        <f t="shared" si="36"/>
        <v>0</v>
      </c>
      <c r="J1032" s="170" t="str">
        <f>IF(A1032="","",SUM($H$7:H1032)-SUM($I$7:I1032))</f>
        <v/>
      </c>
      <c r="K1032" s="34"/>
    </row>
    <row r="1033" spans="1:11" x14ac:dyDescent="0.2">
      <c r="A1033" s="44"/>
      <c r="B1033" s="44"/>
      <c r="C1033" s="35"/>
      <c r="D1033" s="44"/>
      <c r="E1033" s="44"/>
      <c r="F1033" s="44"/>
      <c r="G1033" s="130"/>
      <c r="H1033" s="252">
        <f t="shared" si="35"/>
        <v>0</v>
      </c>
      <c r="I1033" s="252">
        <f t="shared" si="36"/>
        <v>0</v>
      </c>
      <c r="J1033" s="170" t="str">
        <f>IF(A1033="","",SUM($H$7:H1033)-SUM($I$7:I1033))</f>
        <v/>
      </c>
      <c r="K1033" s="34"/>
    </row>
    <row r="1034" spans="1:11" x14ac:dyDescent="0.2">
      <c r="A1034" s="44"/>
      <c r="B1034" s="44"/>
      <c r="C1034" s="35"/>
      <c r="D1034" s="44"/>
      <c r="E1034" s="44"/>
      <c r="F1034" s="44"/>
      <c r="G1034" s="130"/>
      <c r="H1034" s="252">
        <f t="shared" si="35"/>
        <v>0</v>
      </c>
      <c r="I1034" s="252">
        <f t="shared" si="36"/>
        <v>0</v>
      </c>
      <c r="J1034" s="170" t="str">
        <f>IF(A1034="","",SUM($H$7:H1034)-SUM($I$7:I1034))</f>
        <v/>
      </c>
      <c r="K1034" s="34"/>
    </row>
    <row r="1035" spans="1:11" x14ac:dyDescent="0.2">
      <c r="A1035" s="44"/>
      <c r="B1035" s="44"/>
      <c r="C1035" s="35"/>
      <c r="D1035" s="44"/>
      <c r="E1035" s="44"/>
      <c r="F1035" s="44"/>
      <c r="G1035" s="130"/>
      <c r="H1035" s="252">
        <f t="shared" si="35"/>
        <v>0</v>
      </c>
      <c r="I1035" s="252">
        <f t="shared" si="36"/>
        <v>0</v>
      </c>
      <c r="J1035" s="170" t="str">
        <f>IF(A1035="","",SUM($H$7:H1035)-SUM($I$7:I1035))</f>
        <v/>
      </c>
      <c r="K1035" s="34"/>
    </row>
    <row r="1036" spans="1:11" x14ac:dyDescent="0.2">
      <c r="A1036" s="44"/>
      <c r="B1036" s="44"/>
      <c r="C1036" s="35"/>
      <c r="D1036" s="44"/>
      <c r="E1036" s="44"/>
      <c r="F1036" s="44"/>
      <c r="G1036" s="130"/>
      <c r="H1036" s="252">
        <f t="shared" si="35"/>
        <v>0</v>
      </c>
      <c r="I1036" s="252">
        <f t="shared" si="36"/>
        <v>0</v>
      </c>
      <c r="J1036" s="170" t="str">
        <f>IF(A1036="","",SUM($H$7:H1036)-SUM($I$7:I1036))</f>
        <v/>
      </c>
      <c r="K1036" s="34"/>
    </row>
    <row r="1037" spans="1:11" x14ac:dyDescent="0.2">
      <c r="A1037" s="44"/>
      <c r="B1037" s="44"/>
      <c r="C1037" s="35"/>
      <c r="D1037" s="44"/>
      <c r="E1037" s="44"/>
      <c r="F1037" s="44"/>
      <c r="G1037" s="130"/>
      <c r="H1037" s="252">
        <f t="shared" si="35"/>
        <v>0</v>
      </c>
      <c r="I1037" s="252">
        <f t="shared" si="36"/>
        <v>0</v>
      </c>
      <c r="J1037" s="170" t="str">
        <f>IF(A1037="","",SUM($H$7:H1037)-SUM($I$7:I1037))</f>
        <v/>
      </c>
      <c r="K1037" s="34"/>
    </row>
    <row r="1038" spans="1:11" x14ac:dyDescent="0.2">
      <c r="A1038" s="44"/>
      <c r="B1038" s="44"/>
      <c r="C1038" s="35"/>
      <c r="D1038" s="44"/>
      <c r="E1038" s="44"/>
      <c r="F1038" s="44"/>
      <c r="G1038" s="130"/>
      <c r="H1038" s="252">
        <f t="shared" si="35"/>
        <v>0</v>
      </c>
      <c r="I1038" s="252">
        <f t="shared" si="36"/>
        <v>0</v>
      </c>
      <c r="J1038" s="170" t="str">
        <f>IF(A1038="","",SUM($H$7:H1038)-SUM($I$7:I1038))</f>
        <v/>
      </c>
      <c r="K1038" s="34"/>
    </row>
    <row r="1039" spans="1:11" x14ac:dyDescent="0.2">
      <c r="A1039" s="44"/>
      <c r="B1039" s="44"/>
      <c r="C1039" s="35"/>
      <c r="D1039" s="44"/>
      <c r="E1039" s="44"/>
      <c r="F1039" s="44"/>
      <c r="G1039" s="130"/>
      <c r="H1039" s="252">
        <f t="shared" si="35"/>
        <v>0</v>
      </c>
      <c r="I1039" s="252">
        <f t="shared" si="36"/>
        <v>0</v>
      </c>
      <c r="J1039" s="170" t="str">
        <f>IF(A1039="","",SUM($H$7:H1039)-SUM($I$7:I1039))</f>
        <v/>
      </c>
      <c r="K1039" s="34"/>
    </row>
    <row r="1040" spans="1:11" x14ac:dyDescent="0.2">
      <c r="A1040" s="44"/>
      <c r="B1040" s="44"/>
      <c r="C1040" s="35"/>
      <c r="D1040" s="44"/>
      <c r="E1040" s="44"/>
      <c r="F1040" s="44"/>
      <c r="G1040" s="130"/>
      <c r="H1040" s="252">
        <f t="shared" si="35"/>
        <v>0</v>
      </c>
      <c r="I1040" s="252">
        <f t="shared" si="36"/>
        <v>0</v>
      </c>
      <c r="J1040" s="170" t="str">
        <f>IF(A1040="","",SUM($H$7:H1040)-SUM($I$7:I1040))</f>
        <v/>
      </c>
      <c r="K1040" s="34"/>
    </row>
    <row r="1041" spans="1:11" x14ac:dyDescent="0.2">
      <c r="A1041" s="44"/>
      <c r="B1041" s="44"/>
      <c r="C1041" s="35"/>
      <c r="D1041" s="44"/>
      <c r="E1041" s="44"/>
      <c r="F1041" s="44"/>
      <c r="G1041" s="130"/>
      <c r="H1041" s="252">
        <f t="shared" si="35"/>
        <v>0</v>
      </c>
      <c r="I1041" s="252">
        <f t="shared" si="36"/>
        <v>0</v>
      </c>
      <c r="J1041" s="170" t="str">
        <f>IF(A1041="","",SUM($H$7:H1041)-SUM($I$7:I1041))</f>
        <v/>
      </c>
      <c r="K1041" s="34"/>
    </row>
    <row r="1042" spans="1:11" x14ac:dyDescent="0.2">
      <c r="A1042" s="44"/>
      <c r="B1042" s="44"/>
      <c r="C1042" s="35"/>
      <c r="D1042" s="44"/>
      <c r="E1042" s="44"/>
      <c r="F1042" s="44"/>
      <c r="G1042" s="130"/>
      <c r="H1042" s="252">
        <f t="shared" si="35"/>
        <v>0</v>
      </c>
      <c r="I1042" s="252">
        <f t="shared" si="36"/>
        <v>0</v>
      </c>
      <c r="J1042" s="170" t="str">
        <f>IF(A1042="","",SUM($H$7:H1042)-SUM($I$7:I1042))</f>
        <v/>
      </c>
      <c r="K1042" s="34"/>
    </row>
    <row r="1043" spans="1:11" x14ac:dyDescent="0.2">
      <c r="A1043" s="44"/>
      <c r="B1043" s="44"/>
      <c r="C1043" s="35"/>
      <c r="D1043" s="44"/>
      <c r="E1043" s="44"/>
      <c r="F1043" s="44"/>
      <c r="G1043" s="130"/>
      <c r="H1043" s="252">
        <f t="shared" si="35"/>
        <v>0</v>
      </c>
      <c r="I1043" s="252">
        <f t="shared" si="36"/>
        <v>0</v>
      </c>
      <c r="J1043" s="170" t="str">
        <f>IF(A1043="","",SUM($H$7:H1043)-SUM($I$7:I1043))</f>
        <v/>
      </c>
      <c r="K1043" s="34"/>
    </row>
    <row r="1044" spans="1:11" x14ac:dyDescent="0.2">
      <c r="A1044" s="44"/>
      <c r="B1044" s="44"/>
      <c r="C1044" s="35"/>
      <c r="D1044" s="44"/>
      <c r="E1044" s="44"/>
      <c r="F1044" s="44"/>
      <c r="G1044" s="130"/>
      <c r="H1044" s="252">
        <f t="shared" si="35"/>
        <v>0</v>
      </c>
      <c r="I1044" s="252">
        <f t="shared" si="36"/>
        <v>0</v>
      </c>
      <c r="J1044" s="170" t="str">
        <f>IF(A1044="","",SUM($H$7:H1044)-SUM($I$7:I1044))</f>
        <v/>
      </c>
      <c r="K1044" s="34"/>
    </row>
    <row r="1045" spans="1:11" x14ac:dyDescent="0.2">
      <c r="A1045" s="44"/>
      <c r="B1045" s="44"/>
      <c r="C1045" s="35"/>
      <c r="D1045" s="44"/>
      <c r="E1045" s="44"/>
      <c r="F1045" s="44"/>
      <c r="G1045" s="130"/>
      <c r="H1045" s="252">
        <f t="shared" si="35"/>
        <v>0</v>
      </c>
      <c r="I1045" s="252">
        <f t="shared" si="36"/>
        <v>0</v>
      </c>
      <c r="J1045" s="170" t="str">
        <f>IF(A1045="","",SUM($H$7:H1045)-SUM($I$7:I1045))</f>
        <v/>
      </c>
      <c r="K1045" s="34"/>
    </row>
    <row r="1046" spans="1:11" x14ac:dyDescent="0.2">
      <c r="A1046" s="44"/>
      <c r="B1046" s="44"/>
      <c r="C1046" s="35"/>
      <c r="D1046" s="44"/>
      <c r="E1046" s="44"/>
      <c r="F1046" s="44"/>
      <c r="G1046" s="130"/>
      <c r="H1046" s="252">
        <f t="shared" si="35"/>
        <v>0</v>
      </c>
      <c r="I1046" s="252">
        <f t="shared" si="36"/>
        <v>0</v>
      </c>
      <c r="J1046" s="170" t="str">
        <f>IF(A1046="","",SUM($H$7:H1046)-SUM($I$7:I1046))</f>
        <v/>
      </c>
      <c r="K1046" s="34"/>
    </row>
    <row r="1047" spans="1:11" x14ac:dyDescent="0.2">
      <c r="A1047" s="44"/>
      <c r="B1047" s="44"/>
      <c r="C1047" s="35"/>
      <c r="D1047" s="44"/>
      <c r="E1047" s="44"/>
      <c r="F1047" s="44"/>
      <c r="G1047" s="130"/>
      <c r="H1047" s="252">
        <f t="shared" si="35"/>
        <v>0</v>
      </c>
      <c r="I1047" s="252">
        <f t="shared" si="36"/>
        <v>0</v>
      </c>
      <c r="J1047" s="170" t="str">
        <f>IF(A1047="","",SUM($H$7:H1047)-SUM($I$7:I1047))</f>
        <v/>
      </c>
      <c r="K1047" s="34"/>
    </row>
    <row r="1048" spans="1:11" x14ac:dyDescent="0.2">
      <c r="A1048" s="44"/>
      <c r="B1048" s="44"/>
      <c r="C1048" s="35"/>
      <c r="D1048" s="44"/>
      <c r="E1048" s="44"/>
      <c r="F1048" s="44"/>
      <c r="G1048" s="130"/>
      <c r="H1048" s="252">
        <f t="shared" si="35"/>
        <v>0</v>
      </c>
      <c r="I1048" s="252">
        <f t="shared" si="36"/>
        <v>0</v>
      </c>
      <c r="J1048" s="170" t="str">
        <f>IF(A1048="","",SUM($H$7:H1048)-SUM($I$7:I1048))</f>
        <v/>
      </c>
      <c r="K1048" s="34"/>
    </row>
    <row r="1049" spans="1:11" x14ac:dyDescent="0.2">
      <c r="A1049" s="44"/>
      <c r="B1049" s="44"/>
      <c r="C1049" s="35"/>
      <c r="D1049" s="44"/>
      <c r="E1049" s="44"/>
      <c r="F1049" s="44"/>
      <c r="G1049" s="130"/>
      <c r="H1049" s="252">
        <f t="shared" si="35"/>
        <v>0</v>
      </c>
      <c r="I1049" s="252">
        <f t="shared" si="36"/>
        <v>0</v>
      </c>
      <c r="J1049" s="170" t="str">
        <f>IF(A1049="","",SUM($H$7:H1049)-SUM($I$7:I1049))</f>
        <v/>
      </c>
      <c r="K1049" s="34"/>
    </row>
    <row r="1050" spans="1:11" x14ac:dyDescent="0.2">
      <c r="A1050" s="44"/>
      <c r="B1050" s="44"/>
      <c r="C1050" s="35"/>
      <c r="D1050" s="44"/>
      <c r="E1050" s="44"/>
      <c r="F1050" s="44"/>
      <c r="G1050" s="130"/>
      <c r="H1050" s="252">
        <f t="shared" si="35"/>
        <v>0</v>
      </c>
      <c r="I1050" s="252">
        <f t="shared" si="36"/>
        <v>0</v>
      </c>
      <c r="J1050" s="170" t="str">
        <f>IF(A1050="","",SUM($H$7:H1050)-SUM($I$7:I1050))</f>
        <v/>
      </c>
      <c r="K1050" s="34"/>
    </row>
    <row r="1051" spans="1:11" x14ac:dyDescent="0.2">
      <c r="A1051" s="44"/>
      <c r="B1051" s="44"/>
      <c r="C1051" s="35"/>
      <c r="D1051" s="44"/>
      <c r="E1051" s="44"/>
      <c r="F1051" s="44"/>
      <c r="G1051" s="130"/>
      <c r="H1051" s="252">
        <f t="shared" si="35"/>
        <v>0</v>
      </c>
      <c r="I1051" s="252">
        <f t="shared" si="36"/>
        <v>0</v>
      </c>
      <c r="J1051" s="170" t="str">
        <f>IF(A1051="","",SUM($H$7:H1051)-SUM($I$7:I1051))</f>
        <v/>
      </c>
      <c r="K1051" s="34"/>
    </row>
    <row r="1052" spans="1:11" x14ac:dyDescent="0.2">
      <c r="A1052" s="44"/>
      <c r="B1052" s="44"/>
      <c r="C1052" s="35"/>
      <c r="D1052" s="44"/>
      <c r="E1052" s="44"/>
      <c r="F1052" s="44"/>
      <c r="G1052" s="130"/>
      <c r="H1052" s="252">
        <f t="shared" si="35"/>
        <v>0</v>
      </c>
      <c r="I1052" s="252">
        <f t="shared" si="36"/>
        <v>0</v>
      </c>
      <c r="J1052" s="170" t="str">
        <f>IF(A1052="","",SUM($H$7:H1052)-SUM($I$7:I1052))</f>
        <v/>
      </c>
      <c r="K1052" s="34"/>
    </row>
    <row r="1053" spans="1:11" x14ac:dyDescent="0.2">
      <c r="A1053" s="44"/>
      <c r="B1053" s="44"/>
      <c r="C1053" s="35"/>
      <c r="D1053" s="44"/>
      <c r="E1053" s="44"/>
      <c r="F1053" s="44"/>
      <c r="G1053" s="130"/>
      <c r="H1053" s="252">
        <f t="shared" si="35"/>
        <v>0</v>
      </c>
      <c r="I1053" s="252">
        <f t="shared" si="36"/>
        <v>0</v>
      </c>
      <c r="J1053" s="170" t="str">
        <f>IF(A1053="","",SUM($H$7:H1053)-SUM($I$7:I1053))</f>
        <v/>
      </c>
      <c r="K1053" s="34"/>
    </row>
    <row r="1054" spans="1:11" x14ac:dyDescent="0.2">
      <c r="A1054" s="44"/>
      <c r="B1054" s="44"/>
      <c r="C1054" s="35"/>
      <c r="D1054" s="44"/>
      <c r="E1054" s="44"/>
      <c r="F1054" s="44"/>
      <c r="G1054" s="130"/>
      <c r="H1054" s="252">
        <f t="shared" si="35"/>
        <v>0</v>
      </c>
      <c r="I1054" s="252">
        <f t="shared" si="36"/>
        <v>0</v>
      </c>
      <c r="J1054" s="170" t="str">
        <f>IF(A1054="","",SUM($H$7:H1054)-SUM($I$7:I1054))</f>
        <v/>
      </c>
      <c r="K1054" s="34"/>
    </row>
    <row r="1055" spans="1:11" x14ac:dyDescent="0.2">
      <c r="A1055" s="44"/>
      <c r="B1055" s="44"/>
      <c r="C1055" s="35"/>
      <c r="D1055" s="44"/>
      <c r="E1055" s="44"/>
      <c r="F1055" s="44"/>
      <c r="G1055" s="130"/>
      <c r="H1055" s="252">
        <f t="shared" si="35"/>
        <v>0</v>
      </c>
      <c r="I1055" s="252">
        <f t="shared" si="36"/>
        <v>0</v>
      </c>
      <c r="J1055" s="170" t="str">
        <f>IF(A1055="","",SUM($H$7:H1055)-SUM($I$7:I1055))</f>
        <v/>
      </c>
      <c r="K1055" s="34"/>
    </row>
    <row r="1056" spans="1:11" x14ac:dyDescent="0.2">
      <c r="A1056" s="44"/>
      <c r="B1056" s="44"/>
      <c r="C1056" s="35"/>
      <c r="D1056" s="44"/>
      <c r="E1056" s="44"/>
      <c r="F1056" s="44"/>
      <c r="G1056" s="130"/>
      <c r="H1056" s="252">
        <f t="shared" si="35"/>
        <v>0</v>
      </c>
      <c r="I1056" s="252">
        <f t="shared" si="36"/>
        <v>0</v>
      </c>
      <c r="J1056" s="170" t="str">
        <f>IF(A1056="","",SUM($H$7:H1056)-SUM($I$7:I1056))</f>
        <v/>
      </c>
      <c r="K1056" s="34"/>
    </row>
    <row r="1057" spans="1:11" x14ac:dyDescent="0.2">
      <c r="A1057" s="44"/>
      <c r="B1057" s="44"/>
      <c r="C1057" s="35"/>
      <c r="D1057" s="44"/>
      <c r="E1057" s="44"/>
      <c r="F1057" s="44"/>
      <c r="G1057" s="130"/>
      <c r="H1057" s="252">
        <f t="shared" si="35"/>
        <v>0</v>
      </c>
      <c r="I1057" s="252">
        <f t="shared" si="36"/>
        <v>0</v>
      </c>
      <c r="J1057" s="170" t="str">
        <f>IF(A1057="","",SUM($H$7:H1057)-SUM($I$7:I1057))</f>
        <v/>
      </c>
      <c r="K1057" s="34"/>
    </row>
    <row r="1058" spans="1:11" x14ac:dyDescent="0.2">
      <c r="A1058" s="44"/>
      <c r="B1058" s="44"/>
      <c r="C1058" s="35"/>
      <c r="D1058" s="44"/>
      <c r="E1058" s="44"/>
      <c r="F1058" s="44"/>
      <c r="G1058" s="130"/>
      <c r="H1058" s="252">
        <f t="shared" si="35"/>
        <v>0</v>
      </c>
      <c r="I1058" s="252">
        <f t="shared" si="36"/>
        <v>0</v>
      </c>
      <c r="J1058" s="170" t="str">
        <f>IF(A1058="","",SUM($H$7:H1058)-SUM($I$7:I1058))</f>
        <v/>
      </c>
      <c r="K1058" s="34"/>
    </row>
    <row r="1059" spans="1:11" x14ac:dyDescent="0.2">
      <c r="A1059" s="44"/>
      <c r="B1059" s="44"/>
      <c r="C1059" s="35"/>
      <c r="D1059" s="44"/>
      <c r="E1059" s="44"/>
      <c r="F1059" s="44"/>
      <c r="G1059" s="130"/>
      <c r="H1059" s="252">
        <f t="shared" si="35"/>
        <v>0</v>
      </c>
      <c r="I1059" s="252">
        <f t="shared" si="36"/>
        <v>0</v>
      </c>
      <c r="J1059" s="170" t="str">
        <f>IF(A1059="","",SUM($H$7:H1059)-SUM($I$7:I1059))</f>
        <v/>
      </c>
      <c r="K1059" s="34"/>
    </row>
    <row r="1060" spans="1:11" x14ac:dyDescent="0.2">
      <c r="A1060" s="44"/>
      <c r="B1060" s="44"/>
      <c r="C1060" s="35"/>
      <c r="D1060" s="44"/>
      <c r="E1060" s="44"/>
      <c r="F1060" s="44"/>
      <c r="G1060" s="130"/>
      <c r="H1060" s="252">
        <f t="shared" si="35"/>
        <v>0</v>
      </c>
      <c r="I1060" s="252">
        <f t="shared" si="36"/>
        <v>0</v>
      </c>
      <c r="J1060" s="170" t="str">
        <f>IF(A1060="","",SUM($H$7:H1060)-SUM($I$7:I1060))</f>
        <v/>
      </c>
      <c r="K1060" s="34"/>
    </row>
    <row r="1061" spans="1:11" x14ac:dyDescent="0.2">
      <c r="A1061" s="44"/>
      <c r="B1061" s="44"/>
      <c r="C1061" s="35"/>
      <c r="D1061" s="44"/>
      <c r="E1061" s="44"/>
      <c r="F1061" s="44"/>
      <c r="G1061" s="130"/>
      <c r="H1061" s="252">
        <f t="shared" si="35"/>
        <v>0</v>
      </c>
      <c r="I1061" s="252">
        <f t="shared" si="36"/>
        <v>0</v>
      </c>
      <c r="J1061" s="170" t="str">
        <f>IF(A1061="","",SUM($H$7:H1061)-SUM($I$7:I1061))</f>
        <v/>
      </c>
      <c r="K1061" s="34"/>
    </row>
    <row r="1062" spans="1:11" x14ac:dyDescent="0.2">
      <c r="A1062" s="44"/>
      <c r="B1062" s="44"/>
      <c r="C1062" s="35"/>
      <c r="D1062" s="44"/>
      <c r="E1062" s="44"/>
      <c r="F1062" s="44"/>
      <c r="G1062" s="130"/>
      <c r="H1062" s="252">
        <f t="shared" si="35"/>
        <v>0</v>
      </c>
      <c r="I1062" s="252">
        <f t="shared" si="36"/>
        <v>0</v>
      </c>
      <c r="J1062" s="170" t="str">
        <f>IF(A1062="","",SUM($H$7:H1062)-SUM($I$7:I1062))</f>
        <v/>
      </c>
      <c r="K1062" s="34"/>
    </row>
    <row r="1063" spans="1:11" x14ac:dyDescent="0.2">
      <c r="A1063" s="44"/>
      <c r="B1063" s="44"/>
      <c r="C1063" s="35"/>
      <c r="D1063" s="44"/>
      <c r="E1063" s="44"/>
      <c r="F1063" s="44"/>
      <c r="G1063" s="130"/>
      <c r="H1063" s="252">
        <f t="shared" si="35"/>
        <v>0</v>
      </c>
      <c r="I1063" s="252">
        <f t="shared" si="36"/>
        <v>0</v>
      </c>
      <c r="J1063" s="170" t="str">
        <f>IF(A1063="","",SUM($H$7:H1063)-SUM($I$7:I1063))</f>
        <v/>
      </c>
      <c r="K1063" s="34"/>
    </row>
    <row r="1064" spans="1:11" x14ac:dyDescent="0.2">
      <c r="A1064" s="44"/>
      <c r="B1064" s="44"/>
      <c r="C1064" s="35"/>
      <c r="D1064" s="44"/>
      <c r="E1064" s="44"/>
      <c r="F1064" s="44"/>
      <c r="G1064" s="130"/>
      <c r="H1064" s="252">
        <f t="shared" si="35"/>
        <v>0</v>
      </c>
      <c r="I1064" s="252">
        <f t="shared" si="36"/>
        <v>0</v>
      </c>
      <c r="J1064" s="170" t="str">
        <f>IF(A1064="","",SUM($H$7:H1064)-SUM($I$7:I1064))</f>
        <v/>
      </c>
      <c r="K1064" s="34"/>
    </row>
    <row r="1065" spans="1:11" x14ac:dyDescent="0.2">
      <c r="A1065" s="44"/>
      <c r="B1065" s="44"/>
      <c r="C1065" s="35"/>
      <c r="D1065" s="44"/>
      <c r="E1065" s="44"/>
      <c r="F1065" s="44"/>
      <c r="G1065" s="130"/>
      <c r="H1065" s="252">
        <f t="shared" si="35"/>
        <v>0</v>
      </c>
      <c r="I1065" s="252">
        <f t="shared" si="36"/>
        <v>0</v>
      </c>
      <c r="J1065" s="170" t="str">
        <f>IF(A1065="","",SUM($H$7:H1065)-SUM($I$7:I1065))</f>
        <v/>
      </c>
      <c r="K1065" s="34"/>
    </row>
    <row r="1066" spans="1:11" x14ac:dyDescent="0.2">
      <c r="A1066" s="44"/>
      <c r="B1066" s="44"/>
      <c r="C1066" s="35"/>
      <c r="D1066" s="44"/>
      <c r="E1066" s="44"/>
      <c r="F1066" s="44"/>
      <c r="G1066" s="130"/>
      <c r="H1066" s="252">
        <f t="shared" si="35"/>
        <v>0</v>
      </c>
      <c r="I1066" s="252">
        <f t="shared" si="36"/>
        <v>0</v>
      </c>
      <c r="J1066" s="170" t="str">
        <f>IF(A1066="","",SUM($H$7:H1066)-SUM($I$7:I1066))</f>
        <v/>
      </c>
      <c r="K1066" s="34"/>
    </row>
    <row r="1067" spans="1:11" x14ac:dyDescent="0.2">
      <c r="A1067" s="44"/>
      <c r="B1067" s="44"/>
      <c r="C1067" s="35"/>
      <c r="D1067" s="44"/>
      <c r="E1067" s="44"/>
      <c r="F1067" s="44"/>
      <c r="G1067" s="130"/>
      <c r="H1067" s="252">
        <f t="shared" si="35"/>
        <v>0</v>
      </c>
      <c r="I1067" s="252">
        <f t="shared" si="36"/>
        <v>0</v>
      </c>
      <c r="J1067" s="170" t="str">
        <f>IF(A1067="","",SUM($H$7:H1067)-SUM($I$7:I1067))</f>
        <v/>
      </c>
      <c r="K1067" s="34"/>
    </row>
    <row r="1068" spans="1:11" x14ac:dyDescent="0.2">
      <c r="A1068" s="44"/>
      <c r="B1068" s="44"/>
      <c r="C1068" s="35"/>
      <c r="D1068" s="44"/>
      <c r="E1068" s="44"/>
      <c r="F1068" s="44"/>
      <c r="G1068" s="130"/>
      <c r="H1068" s="252">
        <f t="shared" si="35"/>
        <v>0</v>
      </c>
      <c r="I1068" s="252">
        <f t="shared" si="36"/>
        <v>0</v>
      </c>
      <c r="J1068" s="170" t="str">
        <f>IF(A1068="","",SUM($H$7:H1068)-SUM($I$7:I1068))</f>
        <v/>
      </c>
      <c r="K1068" s="34"/>
    </row>
    <row r="1069" spans="1:11" x14ac:dyDescent="0.2">
      <c r="A1069" s="44"/>
      <c r="B1069" s="44"/>
      <c r="C1069" s="35"/>
      <c r="D1069" s="44"/>
      <c r="E1069" s="44"/>
      <c r="F1069" s="44"/>
      <c r="G1069" s="130"/>
      <c r="H1069" s="252">
        <f t="shared" si="35"/>
        <v>0</v>
      </c>
      <c r="I1069" s="252">
        <f t="shared" si="36"/>
        <v>0</v>
      </c>
      <c r="J1069" s="170" t="str">
        <f>IF(A1069="","",SUM($H$7:H1069)-SUM($I$7:I1069))</f>
        <v/>
      </c>
      <c r="K1069" s="34"/>
    </row>
    <row r="1070" spans="1:11" x14ac:dyDescent="0.2">
      <c r="A1070" s="44"/>
      <c r="B1070" s="44"/>
      <c r="C1070" s="35"/>
      <c r="D1070" s="44"/>
      <c r="E1070" s="44"/>
      <c r="F1070" s="44"/>
      <c r="G1070" s="130"/>
      <c r="H1070" s="252">
        <f t="shared" si="35"/>
        <v>0</v>
      </c>
      <c r="I1070" s="252">
        <f t="shared" si="36"/>
        <v>0</v>
      </c>
      <c r="J1070" s="170" t="str">
        <f>IF(A1070="","",SUM($H$7:H1070)-SUM($I$7:I1070))</f>
        <v/>
      </c>
      <c r="K1070" s="34"/>
    </row>
    <row r="1071" spans="1:11" x14ac:dyDescent="0.2">
      <c r="A1071" s="44"/>
      <c r="B1071" s="44"/>
      <c r="C1071" s="35"/>
      <c r="D1071" s="44"/>
      <c r="E1071" s="44"/>
      <c r="F1071" s="44"/>
      <c r="G1071" s="130"/>
      <c r="H1071" s="252">
        <f t="shared" si="35"/>
        <v>0</v>
      </c>
      <c r="I1071" s="252">
        <f t="shared" si="36"/>
        <v>0</v>
      </c>
      <c r="J1071" s="170" t="str">
        <f>IF(A1071="","",SUM($H$7:H1071)-SUM($I$7:I1071))</f>
        <v/>
      </c>
      <c r="K1071" s="34"/>
    </row>
    <row r="1072" spans="1:11" x14ac:dyDescent="0.2">
      <c r="A1072" s="44"/>
      <c r="B1072" s="44"/>
      <c r="C1072" s="35"/>
      <c r="D1072" s="44"/>
      <c r="E1072" s="44"/>
      <c r="F1072" s="44"/>
      <c r="G1072" s="130"/>
      <c r="H1072" s="252">
        <f t="shared" si="35"/>
        <v>0</v>
      </c>
      <c r="I1072" s="252">
        <f t="shared" si="36"/>
        <v>0</v>
      </c>
      <c r="J1072" s="170" t="str">
        <f>IF(A1072="","",SUM($H$7:H1072)-SUM($I$7:I1072))</f>
        <v/>
      </c>
      <c r="K1072" s="34"/>
    </row>
    <row r="1073" spans="1:11" x14ac:dyDescent="0.2">
      <c r="A1073" s="44"/>
      <c r="B1073" s="44"/>
      <c r="C1073" s="35"/>
      <c r="D1073" s="44"/>
      <c r="E1073" s="44"/>
      <c r="F1073" s="44"/>
      <c r="G1073" s="130"/>
      <c r="H1073" s="252">
        <f t="shared" si="35"/>
        <v>0</v>
      </c>
      <c r="I1073" s="252">
        <f t="shared" si="36"/>
        <v>0</v>
      </c>
      <c r="J1073" s="170" t="str">
        <f>IF(A1073="","",SUM($H$7:H1073)-SUM($I$7:I1073))</f>
        <v/>
      </c>
      <c r="K1073" s="34"/>
    </row>
    <row r="1074" spans="1:11" x14ac:dyDescent="0.2">
      <c r="A1074" s="44"/>
      <c r="B1074" s="44"/>
      <c r="C1074" s="35"/>
      <c r="D1074" s="44"/>
      <c r="E1074" s="44"/>
      <c r="F1074" s="44"/>
      <c r="G1074" s="130"/>
      <c r="H1074" s="252">
        <f t="shared" si="35"/>
        <v>0</v>
      </c>
      <c r="I1074" s="252">
        <f t="shared" si="36"/>
        <v>0</v>
      </c>
      <c r="J1074" s="170" t="str">
        <f>IF(A1074="","",SUM($H$7:H1074)-SUM($I$7:I1074))</f>
        <v/>
      </c>
      <c r="K1074" s="34"/>
    </row>
    <row r="1075" spans="1:11" x14ac:dyDescent="0.2">
      <c r="A1075" s="44"/>
      <c r="B1075" s="44"/>
      <c r="C1075" s="35"/>
      <c r="D1075" s="44"/>
      <c r="E1075" s="44"/>
      <c r="F1075" s="44"/>
      <c r="G1075" s="130"/>
      <c r="H1075" s="252">
        <f t="shared" si="35"/>
        <v>0</v>
      </c>
      <c r="I1075" s="252">
        <f t="shared" si="36"/>
        <v>0</v>
      </c>
      <c r="J1075" s="170" t="str">
        <f>IF(A1075="","",SUM($H$7:H1075)-SUM($I$7:I1075))</f>
        <v/>
      </c>
      <c r="K1075" s="34"/>
    </row>
    <row r="1076" spans="1:11" x14ac:dyDescent="0.2">
      <c r="A1076" s="44"/>
      <c r="B1076" s="44"/>
      <c r="C1076" s="35"/>
      <c r="D1076" s="44"/>
      <c r="E1076" s="44"/>
      <c r="F1076" s="44"/>
      <c r="G1076" s="130"/>
      <c r="H1076" s="252">
        <f t="shared" si="35"/>
        <v>0</v>
      </c>
      <c r="I1076" s="252">
        <f t="shared" si="36"/>
        <v>0</v>
      </c>
      <c r="J1076" s="170" t="str">
        <f>IF(A1076="","",SUM($H$7:H1076)-SUM($I$7:I1076))</f>
        <v/>
      </c>
      <c r="K1076" s="34"/>
    </row>
    <row r="1077" spans="1:11" x14ac:dyDescent="0.2">
      <c r="A1077" s="44"/>
      <c r="B1077" s="44"/>
      <c r="C1077" s="35"/>
      <c r="D1077" s="44"/>
      <c r="E1077" s="44"/>
      <c r="F1077" s="44"/>
      <c r="G1077" s="130"/>
      <c r="H1077" s="252">
        <f t="shared" si="35"/>
        <v>0</v>
      </c>
      <c r="I1077" s="252">
        <f t="shared" si="36"/>
        <v>0</v>
      </c>
      <c r="J1077" s="170" t="str">
        <f>IF(A1077="","",SUM($H$7:H1077)-SUM($I$7:I1077))</f>
        <v/>
      </c>
      <c r="K1077" s="34"/>
    </row>
    <row r="1078" spans="1:11" x14ac:dyDescent="0.2">
      <c r="A1078" s="44"/>
      <c r="B1078" s="44"/>
      <c r="C1078" s="35"/>
      <c r="D1078" s="44"/>
      <c r="E1078" s="44"/>
      <c r="F1078" s="44"/>
      <c r="G1078" s="130"/>
      <c r="H1078" s="252">
        <f t="shared" ref="H1078:H1141" si="37">IF($C1078="Replenishment",$G1078,0)</f>
        <v>0</v>
      </c>
      <c r="I1078" s="252">
        <f t="shared" si="36"/>
        <v>0</v>
      </c>
      <c r="J1078" s="170" t="str">
        <f>IF(A1078="","",SUM($H$7:H1078)-SUM($I$7:I1078))</f>
        <v/>
      </c>
      <c r="K1078" s="34"/>
    </row>
    <row r="1079" spans="1:11" x14ac:dyDescent="0.2">
      <c r="A1079" s="44"/>
      <c r="B1079" s="44"/>
      <c r="C1079" s="35"/>
      <c r="D1079" s="44"/>
      <c r="E1079" s="44"/>
      <c r="F1079" s="44"/>
      <c r="G1079" s="130"/>
      <c r="H1079" s="252">
        <f t="shared" si="37"/>
        <v>0</v>
      </c>
      <c r="I1079" s="252">
        <f t="shared" si="36"/>
        <v>0</v>
      </c>
      <c r="J1079" s="170" t="str">
        <f>IF(A1079="","",SUM($H$7:H1079)-SUM($I$7:I1079))</f>
        <v/>
      </c>
      <c r="K1079" s="34"/>
    </row>
    <row r="1080" spans="1:11" x14ac:dyDescent="0.2">
      <c r="A1080" s="44"/>
      <c r="B1080" s="44"/>
      <c r="C1080" s="35"/>
      <c r="D1080" s="44"/>
      <c r="E1080" s="44"/>
      <c r="F1080" s="44"/>
      <c r="G1080" s="130"/>
      <c r="H1080" s="252">
        <f t="shared" si="37"/>
        <v>0</v>
      </c>
      <c r="I1080" s="252">
        <f t="shared" si="36"/>
        <v>0</v>
      </c>
      <c r="J1080" s="170" t="str">
        <f>IF(A1080="","",SUM($H$7:H1080)-SUM($I$7:I1080))</f>
        <v/>
      </c>
      <c r="K1080" s="34"/>
    </row>
    <row r="1081" spans="1:11" x14ac:dyDescent="0.2">
      <c r="A1081" s="44"/>
      <c r="B1081" s="44"/>
      <c r="C1081" s="35"/>
      <c r="D1081" s="44"/>
      <c r="E1081" s="44"/>
      <c r="F1081" s="44"/>
      <c r="G1081" s="130"/>
      <c r="H1081" s="252">
        <f t="shared" si="37"/>
        <v>0</v>
      </c>
      <c r="I1081" s="252">
        <f t="shared" si="36"/>
        <v>0</v>
      </c>
      <c r="J1081" s="170" t="str">
        <f>IF(A1081="","",SUM($H$7:H1081)-SUM($I$7:I1081))</f>
        <v/>
      </c>
      <c r="K1081" s="34"/>
    </row>
    <row r="1082" spans="1:11" x14ac:dyDescent="0.2">
      <c r="A1082" s="44"/>
      <c r="B1082" s="44"/>
      <c r="C1082" s="35"/>
      <c r="D1082" s="44"/>
      <c r="E1082" s="44"/>
      <c r="F1082" s="44"/>
      <c r="G1082" s="130"/>
      <c r="H1082" s="252">
        <f t="shared" si="37"/>
        <v>0</v>
      </c>
      <c r="I1082" s="252">
        <f t="shared" si="36"/>
        <v>0</v>
      </c>
      <c r="J1082" s="170" t="str">
        <f>IF(A1082="","",SUM($H$7:H1082)-SUM($I$7:I1082))</f>
        <v/>
      </c>
      <c r="K1082" s="34"/>
    </row>
    <row r="1083" spans="1:11" x14ac:dyDescent="0.2">
      <c r="A1083" s="44"/>
      <c r="B1083" s="44"/>
      <c r="C1083" s="35"/>
      <c r="D1083" s="44"/>
      <c r="E1083" s="44"/>
      <c r="F1083" s="44"/>
      <c r="G1083" s="130"/>
      <c r="H1083" s="252">
        <f t="shared" si="37"/>
        <v>0</v>
      </c>
      <c r="I1083" s="252">
        <f t="shared" si="36"/>
        <v>0</v>
      </c>
      <c r="J1083" s="170" t="str">
        <f>IF(A1083="","",SUM($H$7:H1083)-SUM($I$7:I1083))</f>
        <v/>
      </c>
      <c r="K1083" s="34"/>
    </row>
    <row r="1084" spans="1:11" x14ac:dyDescent="0.2">
      <c r="A1084" s="44"/>
      <c r="B1084" s="44"/>
      <c r="C1084" s="35"/>
      <c r="D1084" s="44"/>
      <c r="E1084" s="44"/>
      <c r="F1084" s="44"/>
      <c r="G1084" s="130"/>
      <c r="H1084" s="252">
        <f t="shared" si="37"/>
        <v>0</v>
      </c>
      <c r="I1084" s="252">
        <f t="shared" si="36"/>
        <v>0</v>
      </c>
      <c r="J1084" s="170" t="str">
        <f>IF(A1084="","",SUM($H$7:H1084)-SUM($I$7:I1084))</f>
        <v/>
      </c>
      <c r="K1084" s="34"/>
    </row>
    <row r="1085" spans="1:11" x14ac:dyDescent="0.2">
      <c r="A1085" s="44"/>
      <c r="B1085" s="44"/>
      <c r="C1085" s="35"/>
      <c r="D1085" s="44"/>
      <c r="E1085" s="44"/>
      <c r="F1085" s="44"/>
      <c r="G1085" s="130"/>
      <c r="H1085" s="252">
        <f t="shared" si="37"/>
        <v>0</v>
      </c>
      <c r="I1085" s="252">
        <f t="shared" si="36"/>
        <v>0</v>
      </c>
      <c r="J1085" s="170" t="str">
        <f>IF(A1085="","",SUM($H$7:H1085)-SUM($I$7:I1085))</f>
        <v/>
      </c>
      <c r="K1085" s="34"/>
    </row>
    <row r="1086" spans="1:11" x14ac:dyDescent="0.2">
      <c r="A1086" s="44"/>
      <c r="B1086" s="44"/>
      <c r="C1086" s="35"/>
      <c r="D1086" s="44"/>
      <c r="E1086" s="44"/>
      <c r="F1086" s="44"/>
      <c r="G1086" s="130"/>
      <c r="H1086" s="252">
        <f t="shared" si="37"/>
        <v>0</v>
      </c>
      <c r="I1086" s="252">
        <f t="shared" si="36"/>
        <v>0</v>
      </c>
      <c r="J1086" s="170" t="str">
        <f>IF(A1086="","",SUM($H$7:H1086)-SUM($I$7:I1086))</f>
        <v/>
      </c>
      <c r="K1086" s="34"/>
    </row>
    <row r="1087" spans="1:11" x14ac:dyDescent="0.2">
      <c r="A1087" s="44"/>
      <c r="B1087" s="44"/>
      <c r="C1087" s="35"/>
      <c r="D1087" s="44"/>
      <c r="E1087" s="44"/>
      <c r="F1087" s="44"/>
      <c r="G1087" s="130"/>
      <c r="H1087" s="252">
        <f t="shared" si="37"/>
        <v>0</v>
      </c>
      <c r="I1087" s="252">
        <f t="shared" si="36"/>
        <v>0</v>
      </c>
      <c r="J1087" s="170" t="str">
        <f>IF(A1087="","",SUM($H$7:H1087)-SUM($I$7:I1087))</f>
        <v/>
      </c>
      <c r="K1087" s="34"/>
    </row>
    <row r="1088" spans="1:11" x14ac:dyDescent="0.2">
      <c r="A1088" s="44"/>
      <c r="B1088" s="44"/>
      <c r="C1088" s="35"/>
      <c r="D1088" s="44"/>
      <c r="E1088" s="44"/>
      <c r="F1088" s="44"/>
      <c r="G1088" s="130"/>
      <c r="H1088" s="252">
        <f t="shared" si="37"/>
        <v>0</v>
      </c>
      <c r="I1088" s="252">
        <f t="shared" si="36"/>
        <v>0</v>
      </c>
      <c r="J1088" s="170" t="str">
        <f>IF(A1088="","",SUM($H$7:H1088)-SUM($I$7:I1088))</f>
        <v/>
      </c>
      <c r="K1088" s="34"/>
    </row>
    <row r="1089" spans="1:11" x14ac:dyDescent="0.2">
      <c r="A1089" s="44"/>
      <c r="B1089" s="44"/>
      <c r="C1089" s="35"/>
      <c r="D1089" s="44"/>
      <c r="E1089" s="44"/>
      <c r="F1089" s="44"/>
      <c r="G1089" s="130"/>
      <c r="H1089" s="252">
        <f t="shared" si="37"/>
        <v>0</v>
      </c>
      <c r="I1089" s="252">
        <f t="shared" si="36"/>
        <v>0</v>
      </c>
      <c r="J1089" s="170" t="str">
        <f>IF(A1089="","",SUM($H$7:H1089)-SUM($I$7:I1089))</f>
        <v/>
      </c>
      <c r="K1089" s="34"/>
    </row>
    <row r="1090" spans="1:11" x14ac:dyDescent="0.2">
      <c r="A1090" s="44"/>
      <c r="B1090" s="44"/>
      <c r="C1090" s="35"/>
      <c r="D1090" s="44"/>
      <c r="E1090" s="44"/>
      <c r="F1090" s="44"/>
      <c r="G1090" s="130"/>
      <c r="H1090" s="252">
        <f t="shared" si="37"/>
        <v>0</v>
      </c>
      <c r="I1090" s="252">
        <f t="shared" si="36"/>
        <v>0</v>
      </c>
      <c r="J1090" s="170" t="str">
        <f>IF(A1090="","",SUM($H$7:H1090)-SUM($I$7:I1090))</f>
        <v/>
      </c>
      <c r="K1090" s="34"/>
    </row>
    <row r="1091" spans="1:11" x14ac:dyDescent="0.2">
      <c r="A1091" s="44"/>
      <c r="B1091" s="44"/>
      <c r="C1091" s="35"/>
      <c r="D1091" s="44"/>
      <c r="E1091" s="44"/>
      <c r="F1091" s="44"/>
      <c r="G1091" s="130"/>
      <c r="H1091" s="252">
        <f t="shared" si="37"/>
        <v>0</v>
      </c>
      <c r="I1091" s="252">
        <f t="shared" si="36"/>
        <v>0</v>
      </c>
      <c r="J1091" s="170" t="str">
        <f>IF(A1091="","",SUM($H$7:H1091)-SUM($I$7:I1091))</f>
        <v/>
      </c>
      <c r="K1091" s="34"/>
    </row>
    <row r="1092" spans="1:11" x14ac:dyDescent="0.2">
      <c r="A1092" s="44"/>
      <c r="B1092" s="44"/>
      <c r="C1092" s="35"/>
      <c r="D1092" s="44"/>
      <c r="E1092" s="44"/>
      <c r="F1092" s="44"/>
      <c r="G1092" s="130"/>
      <c r="H1092" s="252">
        <f t="shared" si="37"/>
        <v>0</v>
      </c>
      <c r="I1092" s="252">
        <f t="shared" si="36"/>
        <v>0</v>
      </c>
      <c r="J1092" s="170" t="str">
        <f>IF(A1092="","",SUM($H$7:H1092)-SUM($I$7:I1092))</f>
        <v/>
      </c>
      <c r="K1092" s="34"/>
    </row>
    <row r="1093" spans="1:11" x14ac:dyDescent="0.2">
      <c r="A1093" s="44"/>
      <c r="B1093" s="44"/>
      <c r="C1093" s="35"/>
      <c r="D1093" s="44"/>
      <c r="E1093" s="44"/>
      <c r="F1093" s="44"/>
      <c r="G1093" s="130"/>
      <c r="H1093" s="252">
        <f t="shared" si="37"/>
        <v>0</v>
      </c>
      <c r="I1093" s="252">
        <f t="shared" si="36"/>
        <v>0</v>
      </c>
      <c r="J1093" s="170" t="str">
        <f>IF(A1093="","",SUM($H$7:H1093)-SUM($I$7:I1093))</f>
        <v/>
      </c>
      <c r="K1093" s="34"/>
    </row>
    <row r="1094" spans="1:11" x14ac:dyDescent="0.2">
      <c r="A1094" s="44"/>
      <c r="B1094" s="44"/>
      <c r="C1094" s="35"/>
      <c r="D1094" s="44"/>
      <c r="E1094" s="44"/>
      <c r="F1094" s="44"/>
      <c r="G1094" s="130"/>
      <c r="H1094" s="252">
        <f t="shared" si="37"/>
        <v>0</v>
      </c>
      <c r="I1094" s="252">
        <f t="shared" si="36"/>
        <v>0</v>
      </c>
      <c r="J1094" s="170" t="str">
        <f>IF(A1094="","",SUM($H$7:H1094)-SUM($I$7:I1094))</f>
        <v/>
      </c>
      <c r="K1094" s="34"/>
    </row>
    <row r="1095" spans="1:11" x14ac:dyDescent="0.2">
      <c r="A1095" s="44"/>
      <c r="B1095" s="44"/>
      <c r="C1095" s="35"/>
      <c r="D1095" s="44"/>
      <c r="E1095" s="44"/>
      <c r="F1095" s="44"/>
      <c r="G1095" s="130"/>
      <c r="H1095" s="252">
        <f t="shared" si="37"/>
        <v>0</v>
      </c>
      <c r="I1095" s="252">
        <f t="shared" ref="I1095:I1158" si="38">IF($C1095="Replenishment",0,$G1095)</f>
        <v>0</v>
      </c>
      <c r="J1095" s="170" t="str">
        <f>IF(A1095="","",SUM($H$7:H1095)-SUM($I$7:I1095))</f>
        <v/>
      </c>
      <c r="K1095" s="34"/>
    </row>
    <row r="1096" spans="1:11" x14ac:dyDescent="0.2">
      <c r="A1096" s="44"/>
      <c r="B1096" s="44"/>
      <c r="C1096" s="35"/>
      <c r="D1096" s="44"/>
      <c r="E1096" s="44"/>
      <c r="F1096" s="44"/>
      <c r="G1096" s="130"/>
      <c r="H1096" s="252">
        <f t="shared" si="37"/>
        <v>0</v>
      </c>
      <c r="I1096" s="252">
        <f t="shared" si="38"/>
        <v>0</v>
      </c>
      <c r="J1096" s="170" t="str">
        <f>IF(A1096="","",SUM($H$7:H1096)-SUM($I$7:I1096))</f>
        <v/>
      </c>
      <c r="K1096" s="34"/>
    </row>
    <row r="1097" spans="1:11" x14ac:dyDescent="0.2">
      <c r="A1097" s="44"/>
      <c r="B1097" s="44"/>
      <c r="C1097" s="35"/>
      <c r="D1097" s="44"/>
      <c r="E1097" s="44"/>
      <c r="F1097" s="44"/>
      <c r="G1097" s="130"/>
      <c r="H1097" s="252">
        <f t="shared" si="37"/>
        <v>0</v>
      </c>
      <c r="I1097" s="252">
        <f t="shared" si="38"/>
        <v>0</v>
      </c>
      <c r="J1097" s="170" t="str">
        <f>IF(A1097="","",SUM($H$7:H1097)-SUM($I$7:I1097))</f>
        <v/>
      </c>
      <c r="K1097" s="34"/>
    </row>
    <row r="1098" spans="1:11" x14ac:dyDescent="0.2">
      <c r="A1098" s="44"/>
      <c r="B1098" s="44"/>
      <c r="C1098" s="35"/>
      <c r="D1098" s="44"/>
      <c r="E1098" s="44"/>
      <c r="F1098" s="44"/>
      <c r="G1098" s="130"/>
      <c r="H1098" s="252">
        <f t="shared" si="37"/>
        <v>0</v>
      </c>
      <c r="I1098" s="252">
        <f t="shared" si="38"/>
        <v>0</v>
      </c>
      <c r="J1098" s="170" t="str">
        <f>IF(A1098="","",SUM($H$7:H1098)-SUM($I$7:I1098))</f>
        <v/>
      </c>
      <c r="K1098" s="34"/>
    </row>
    <row r="1099" spans="1:11" x14ac:dyDescent="0.2">
      <c r="A1099" s="44"/>
      <c r="B1099" s="44"/>
      <c r="C1099" s="35"/>
      <c r="D1099" s="44"/>
      <c r="E1099" s="44"/>
      <c r="F1099" s="44"/>
      <c r="G1099" s="130"/>
      <c r="H1099" s="252">
        <f t="shared" si="37"/>
        <v>0</v>
      </c>
      <c r="I1099" s="252">
        <f t="shared" si="38"/>
        <v>0</v>
      </c>
      <c r="J1099" s="170" t="str">
        <f>IF(A1099="","",SUM($H$7:H1099)-SUM($I$7:I1099))</f>
        <v/>
      </c>
      <c r="K1099" s="34"/>
    </row>
    <row r="1100" spans="1:11" x14ac:dyDescent="0.2">
      <c r="A1100" s="44"/>
      <c r="B1100" s="44"/>
      <c r="C1100" s="35"/>
      <c r="D1100" s="44"/>
      <c r="E1100" s="44"/>
      <c r="F1100" s="44"/>
      <c r="G1100" s="130"/>
      <c r="H1100" s="252">
        <f t="shared" si="37"/>
        <v>0</v>
      </c>
      <c r="I1100" s="252">
        <f t="shared" si="38"/>
        <v>0</v>
      </c>
      <c r="J1100" s="170" t="str">
        <f>IF(A1100="","",SUM($H$7:H1100)-SUM($I$7:I1100))</f>
        <v/>
      </c>
      <c r="K1100" s="34"/>
    </row>
    <row r="1101" spans="1:11" x14ac:dyDescent="0.2">
      <c r="A1101" s="44"/>
      <c r="B1101" s="44"/>
      <c r="C1101" s="35"/>
      <c r="D1101" s="44"/>
      <c r="E1101" s="44"/>
      <c r="F1101" s="44"/>
      <c r="G1101" s="130"/>
      <c r="H1101" s="252">
        <f t="shared" si="37"/>
        <v>0</v>
      </c>
      <c r="I1101" s="252">
        <f t="shared" si="38"/>
        <v>0</v>
      </c>
      <c r="J1101" s="170" t="str">
        <f>IF(A1101="","",SUM($H$7:H1101)-SUM($I$7:I1101))</f>
        <v/>
      </c>
      <c r="K1101" s="34"/>
    </row>
    <row r="1102" spans="1:11" x14ac:dyDescent="0.2">
      <c r="A1102" s="44"/>
      <c r="B1102" s="44"/>
      <c r="C1102" s="35"/>
      <c r="D1102" s="44"/>
      <c r="E1102" s="44"/>
      <c r="F1102" s="44"/>
      <c r="G1102" s="130"/>
      <c r="H1102" s="252">
        <f t="shared" si="37"/>
        <v>0</v>
      </c>
      <c r="I1102" s="252">
        <f t="shared" si="38"/>
        <v>0</v>
      </c>
      <c r="J1102" s="170" t="str">
        <f>IF(A1102="","",SUM($H$7:H1102)-SUM($I$7:I1102))</f>
        <v/>
      </c>
      <c r="K1102" s="34"/>
    </row>
    <row r="1103" spans="1:11" x14ac:dyDescent="0.2">
      <c r="A1103" s="44"/>
      <c r="B1103" s="44"/>
      <c r="C1103" s="35"/>
      <c r="D1103" s="44"/>
      <c r="E1103" s="44"/>
      <c r="F1103" s="44"/>
      <c r="G1103" s="130"/>
      <c r="H1103" s="252">
        <f t="shared" si="37"/>
        <v>0</v>
      </c>
      <c r="I1103" s="252">
        <f t="shared" si="38"/>
        <v>0</v>
      </c>
      <c r="J1103" s="170" t="str">
        <f>IF(A1103="","",SUM($H$7:H1103)-SUM($I$7:I1103))</f>
        <v/>
      </c>
      <c r="K1103" s="34"/>
    </row>
    <row r="1104" spans="1:11" x14ac:dyDescent="0.2">
      <c r="A1104" s="44"/>
      <c r="B1104" s="44"/>
      <c r="C1104" s="35"/>
      <c r="D1104" s="44"/>
      <c r="E1104" s="44"/>
      <c r="F1104" s="44"/>
      <c r="G1104" s="130"/>
      <c r="H1104" s="252">
        <f t="shared" si="37"/>
        <v>0</v>
      </c>
      <c r="I1104" s="252">
        <f t="shared" si="38"/>
        <v>0</v>
      </c>
      <c r="J1104" s="170" t="str">
        <f>IF(A1104="","",SUM($H$7:H1104)-SUM($I$7:I1104))</f>
        <v/>
      </c>
      <c r="K1104" s="34"/>
    </row>
    <row r="1105" spans="1:11" x14ac:dyDescent="0.2">
      <c r="A1105" s="44"/>
      <c r="B1105" s="44"/>
      <c r="C1105" s="35"/>
      <c r="D1105" s="44"/>
      <c r="E1105" s="44"/>
      <c r="F1105" s="44"/>
      <c r="G1105" s="130"/>
      <c r="H1105" s="252">
        <f t="shared" si="37"/>
        <v>0</v>
      </c>
      <c r="I1105" s="252">
        <f t="shared" si="38"/>
        <v>0</v>
      </c>
      <c r="J1105" s="170" t="str">
        <f>IF(A1105="","",SUM($H$7:H1105)-SUM($I$7:I1105))</f>
        <v/>
      </c>
      <c r="K1105" s="34"/>
    </row>
    <row r="1106" spans="1:11" x14ac:dyDescent="0.2">
      <c r="A1106" s="44"/>
      <c r="B1106" s="44"/>
      <c r="C1106" s="35"/>
      <c r="D1106" s="44"/>
      <c r="E1106" s="44"/>
      <c r="F1106" s="44"/>
      <c r="G1106" s="130"/>
      <c r="H1106" s="252">
        <f t="shared" si="37"/>
        <v>0</v>
      </c>
      <c r="I1106" s="252">
        <f t="shared" si="38"/>
        <v>0</v>
      </c>
      <c r="J1106" s="170" t="str">
        <f>IF(A1106="","",SUM($H$7:H1106)-SUM($I$7:I1106))</f>
        <v/>
      </c>
      <c r="K1106" s="34"/>
    </row>
    <row r="1107" spans="1:11" x14ac:dyDescent="0.2">
      <c r="A1107" s="44"/>
      <c r="B1107" s="44"/>
      <c r="C1107" s="35"/>
      <c r="D1107" s="44"/>
      <c r="E1107" s="44"/>
      <c r="F1107" s="44"/>
      <c r="G1107" s="130"/>
      <c r="H1107" s="252">
        <f t="shared" si="37"/>
        <v>0</v>
      </c>
      <c r="I1107" s="252">
        <f t="shared" si="38"/>
        <v>0</v>
      </c>
      <c r="J1107" s="170" t="str">
        <f>IF(A1107="","",SUM($H$7:H1107)-SUM($I$7:I1107))</f>
        <v/>
      </c>
      <c r="K1107" s="34"/>
    </row>
    <row r="1108" spans="1:11" x14ac:dyDescent="0.2">
      <c r="A1108" s="44"/>
      <c r="B1108" s="44"/>
      <c r="C1108" s="35"/>
      <c r="D1108" s="44"/>
      <c r="E1108" s="44"/>
      <c r="F1108" s="44"/>
      <c r="G1108" s="130"/>
      <c r="H1108" s="252">
        <f t="shared" si="37"/>
        <v>0</v>
      </c>
      <c r="I1108" s="252">
        <f t="shared" si="38"/>
        <v>0</v>
      </c>
      <c r="J1108" s="170" t="str">
        <f>IF(A1108="","",SUM($H$7:H1108)-SUM($I$7:I1108))</f>
        <v/>
      </c>
      <c r="K1108" s="34"/>
    </row>
    <row r="1109" spans="1:11" x14ac:dyDescent="0.2">
      <c r="A1109" s="44"/>
      <c r="B1109" s="44"/>
      <c r="C1109" s="35"/>
      <c r="D1109" s="44"/>
      <c r="E1109" s="44"/>
      <c r="F1109" s="44"/>
      <c r="G1109" s="130"/>
      <c r="H1109" s="252">
        <f t="shared" si="37"/>
        <v>0</v>
      </c>
      <c r="I1109" s="252">
        <f t="shared" si="38"/>
        <v>0</v>
      </c>
      <c r="J1109" s="170" t="str">
        <f>IF(A1109="","",SUM($H$7:H1109)-SUM($I$7:I1109))</f>
        <v/>
      </c>
      <c r="K1109" s="34"/>
    </row>
    <row r="1110" spans="1:11" x14ac:dyDescent="0.2">
      <c r="A1110" s="44"/>
      <c r="B1110" s="44"/>
      <c r="C1110" s="35"/>
      <c r="D1110" s="44"/>
      <c r="E1110" s="44"/>
      <c r="F1110" s="44"/>
      <c r="G1110" s="130"/>
      <c r="H1110" s="252">
        <f t="shared" si="37"/>
        <v>0</v>
      </c>
      <c r="I1110" s="252">
        <f t="shared" si="38"/>
        <v>0</v>
      </c>
      <c r="J1110" s="170" t="str">
        <f>IF(A1110="","",SUM($H$7:H1110)-SUM($I$7:I1110))</f>
        <v/>
      </c>
      <c r="K1110" s="34"/>
    </row>
    <row r="1111" spans="1:11" x14ac:dyDescent="0.2">
      <c r="A1111" s="44"/>
      <c r="B1111" s="44"/>
      <c r="C1111" s="35"/>
      <c r="D1111" s="44"/>
      <c r="E1111" s="44"/>
      <c r="F1111" s="44"/>
      <c r="G1111" s="130"/>
      <c r="H1111" s="252">
        <f t="shared" si="37"/>
        <v>0</v>
      </c>
      <c r="I1111" s="252">
        <f t="shared" si="38"/>
        <v>0</v>
      </c>
      <c r="J1111" s="170" t="str">
        <f>IF(A1111="","",SUM($H$7:H1111)-SUM($I$7:I1111))</f>
        <v/>
      </c>
      <c r="K1111" s="34"/>
    </row>
    <row r="1112" spans="1:11" x14ac:dyDescent="0.2">
      <c r="A1112" s="44"/>
      <c r="B1112" s="44"/>
      <c r="C1112" s="35"/>
      <c r="D1112" s="44"/>
      <c r="E1112" s="44"/>
      <c r="F1112" s="44"/>
      <c r="G1112" s="130"/>
      <c r="H1112" s="252">
        <f t="shared" si="37"/>
        <v>0</v>
      </c>
      <c r="I1112" s="252">
        <f t="shared" si="38"/>
        <v>0</v>
      </c>
      <c r="J1112" s="170" t="str">
        <f>IF(A1112="","",SUM($H$7:H1112)-SUM($I$7:I1112))</f>
        <v/>
      </c>
      <c r="K1112" s="34"/>
    </row>
    <row r="1113" spans="1:11" x14ac:dyDescent="0.2">
      <c r="A1113" s="44"/>
      <c r="B1113" s="44"/>
      <c r="C1113" s="35"/>
      <c r="D1113" s="44"/>
      <c r="E1113" s="44"/>
      <c r="F1113" s="44"/>
      <c r="G1113" s="130"/>
      <c r="H1113" s="252">
        <f t="shared" si="37"/>
        <v>0</v>
      </c>
      <c r="I1113" s="252">
        <f t="shared" si="38"/>
        <v>0</v>
      </c>
      <c r="J1113" s="170" t="str">
        <f>IF(A1113="","",SUM($H$7:H1113)-SUM($I$7:I1113))</f>
        <v/>
      </c>
      <c r="K1113" s="34"/>
    </row>
    <row r="1114" spans="1:11" x14ac:dyDescent="0.2">
      <c r="A1114" s="44"/>
      <c r="B1114" s="44"/>
      <c r="C1114" s="35"/>
      <c r="D1114" s="44"/>
      <c r="E1114" s="44"/>
      <c r="F1114" s="44"/>
      <c r="G1114" s="130"/>
      <c r="H1114" s="252">
        <f t="shared" si="37"/>
        <v>0</v>
      </c>
      <c r="I1114" s="252">
        <f t="shared" si="38"/>
        <v>0</v>
      </c>
      <c r="J1114" s="170" t="str">
        <f>IF(A1114="","",SUM($H$7:H1114)-SUM($I$7:I1114))</f>
        <v/>
      </c>
      <c r="K1114" s="34"/>
    </row>
    <row r="1115" spans="1:11" x14ac:dyDescent="0.2">
      <c r="A1115" s="44"/>
      <c r="B1115" s="44"/>
      <c r="C1115" s="35"/>
      <c r="D1115" s="44"/>
      <c r="E1115" s="44"/>
      <c r="F1115" s="44"/>
      <c r="G1115" s="130"/>
      <c r="H1115" s="252">
        <f t="shared" si="37"/>
        <v>0</v>
      </c>
      <c r="I1115" s="252">
        <f t="shared" si="38"/>
        <v>0</v>
      </c>
      <c r="J1115" s="170" t="str">
        <f>IF(A1115="","",SUM($H$7:H1115)-SUM($I$7:I1115))</f>
        <v/>
      </c>
      <c r="K1115" s="34"/>
    </row>
    <row r="1116" spans="1:11" x14ac:dyDescent="0.2">
      <c r="A1116" s="44"/>
      <c r="B1116" s="44"/>
      <c r="C1116" s="35"/>
      <c r="D1116" s="44"/>
      <c r="E1116" s="44"/>
      <c r="F1116" s="44"/>
      <c r="G1116" s="130"/>
      <c r="H1116" s="252">
        <f t="shared" si="37"/>
        <v>0</v>
      </c>
      <c r="I1116" s="252">
        <f t="shared" si="38"/>
        <v>0</v>
      </c>
      <c r="J1116" s="170" t="str">
        <f>IF(A1116="","",SUM($H$7:H1116)-SUM($I$7:I1116))</f>
        <v/>
      </c>
      <c r="K1116" s="34"/>
    </row>
    <row r="1117" spans="1:11" x14ac:dyDescent="0.2">
      <c r="A1117" s="44"/>
      <c r="B1117" s="44"/>
      <c r="C1117" s="35"/>
      <c r="D1117" s="44"/>
      <c r="E1117" s="44"/>
      <c r="F1117" s="44"/>
      <c r="G1117" s="130"/>
      <c r="H1117" s="252">
        <f t="shared" si="37"/>
        <v>0</v>
      </c>
      <c r="I1117" s="252">
        <f t="shared" si="38"/>
        <v>0</v>
      </c>
      <c r="J1117" s="170" t="str">
        <f>IF(A1117="","",SUM($H$7:H1117)-SUM($I$7:I1117))</f>
        <v/>
      </c>
      <c r="K1117" s="34"/>
    </row>
    <row r="1118" spans="1:11" x14ac:dyDescent="0.2">
      <c r="A1118" s="44"/>
      <c r="B1118" s="44"/>
      <c r="C1118" s="35"/>
      <c r="D1118" s="44"/>
      <c r="E1118" s="44"/>
      <c r="F1118" s="44"/>
      <c r="G1118" s="130"/>
      <c r="H1118" s="252">
        <f t="shared" si="37"/>
        <v>0</v>
      </c>
      <c r="I1118" s="252">
        <f t="shared" si="38"/>
        <v>0</v>
      </c>
      <c r="J1118" s="170" t="str">
        <f>IF(A1118="","",SUM($H$7:H1118)-SUM($I$7:I1118))</f>
        <v/>
      </c>
      <c r="K1118" s="34"/>
    </row>
    <row r="1119" spans="1:11" x14ac:dyDescent="0.2">
      <c r="A1119" s="44"/>
      <c r="B1119" s="44"/>
      <c r="C1119" s="35"/>
      <c r="D1119" s="44"/>
      <c r="E1119" s="44"/>
      <c r="F1119" s="44"/>
      <c r="G1119" s="130"/>
      <c r="H1119" s="252">
        <f t="shared" si="37"/>
        <v>0</v>
      </c>
      <c r="I1119" s="252">
        <f t="shared" si="38"/>
        <v>0</v>
      </c>
      <c r="J1119" s="170" t="str">
        <f>IF(A1119="","",SUM($H$7:H1119)-SUM($I$7:I1119))</f>
        <v/>
      </c>
      <c r="K1119" s="34"/>
    </row>
    <row r="1120" spans="1:11" x14ac:dyDescent="0.2">
      <c r="A1120" s="44"/>
      <c r="B1120" s="44"/>
      <c r="C1120" s="35"/>
      <c r="D1120" s="44"/>
      <c r="E1120" s="44"/>
      <c r="F1120" s="44"/>
      <c r="G1120" s="130"/>
      <c r="H1120" s="252">
        <f t="shared" si="37"/>
        <v>0</v>
      </c>
      <c r="I1120" s="252">
        <f t="shared" si="38"/>
        <v>0</v>
      </c>
      <c r="J1120" s="170" t="str">
        <f>IF(A1120="","",SUM($H$7:H1120)-SUM($I$7:I1120))</f>
        <v/>
      </c>
      <c r="K1120" s="34"/>
    </row>
    <row r="1121" spans="1:11" x14ac:dyDescent="0.2">
      <c r="A1121" s="44"/>
      <c r="B1121" s="44"/>
      <c r="C1121" s="35"/>
      <c r="D1121" s="44"/>
      <c r="E1121" s="44"/>
      <c r="F1121" s="44"/>
      <c r="G1121" s="130"/>
      <c r="H1121" s="252">
        <f t="shared" si="37"/>
        <v>0</v>
      </c>
      <c r="I1121" s="252">
        <f t="shared" si="38"/>
        <v>0</v>
      </c>
      <c r="J1121" s="170" t="str">
        <f>IF(A1121="","",SUM($H$7:H1121)-SUM($I$7:I1121))</f>
        <v/>
      </c>
      <c r="K1121" s="34"/>
    </row>
    <row r="1122" spans="1:11" x14ac:dyDescent="0.2">
      <c r="A1122" s="44"/>
      <c r="B1122" s="44"/>
      <c r="C1122" s="35"/>
      <c r="D1122" s="44"/>
      <c r="E1122" s="44"/>
      <c r="F1122" s="44"/>
      <c r="G1122" s="130"/>
      <c r="H1122" s="252">
        <f t="shared" si="37"/>
        <v>0</v>
      </c>
      <c r="I1122" s="252">
        <f t="shared" si="38"/>
        <v>0</v>
      </c>
      <c r="J1122" s="170" t="str">
        <f>IF(A1122="","",SUM($H$7:H1122)-SUM($I$7:I1122))</f>
        <v/>
      </c>
      <c r="K1122" s="34"/>
    </row>
    <row r="1123" spans="1:11" x14ac:dyDescent="0.2">
      <c r="A1123" s="44"/>
      <c r="B1123" s="44"/>
      <c r="C1123" s="35"/>
      <c r="D1123" s="44"/>
      <c r="E1123" s="44"/>
      <c r="F1123" s="44"/>
      <c r="G1123" s="130"/>
      <c r="H1123" s="252">
        <f t="shared" si="37"/>
        <v>0</v>
      </c>
      <c r="I1123" s="252">
        <f t="shared" si="38"/>
        <v>0</v>
      </c>
      <c r="J1123" s="170" t="str">
        <f>IF(A1123="","",SUM($H$7:H1123)-SUM($I$7:I1123))</f>
        <v/>
      </c>
      <c r="K1123" s="34"/>
    </row>
    <row r="1124" spans="1:11" x14ac:dyDescent="0.2">
      <c r="A1124" s="44"/>
      <c r="B1124" s="44"/>
      <c r="C1124" s="35"/>
      <c r="D1124" s="44"/>
      <c r="E1124" s="44"/>
      <c r="F1124" s="44"/>
      <c r="G1124" s="130"/>
      <c r="H1124" s="252">
        <f t="shared" si="37"/>
        <v>0</v>
      </c>
      <c r="I1124" s="252">
        <f t="shared" si="38"/>
        <v>0</v>
      </c>
      <c r="J1124" s="170" t="str">
        <f>IF(A1124="","",SUM($H$7:H1124)-SUM($I$7:I1124))</f>
        <v/>
      </c>
      <c r="K1124" s="34"/>
    </row>
    <row r="1125" spans="1:11" x14ac:dyDescent="0.2">
      <c r="A1125" s="44"/>
      <c r="B1125" s="44"/>
      <c r="C1125" s="35"/>
      <c r="D1125" s="44"/>
      <c r="E1125" s="44"/>
      <c r="F1125" s="44"/>
      <c r="G1125" s="130"/>
      <c r="H1125" s="252">
        <f t="shared" si="37"/>
        <v>0</v>
      </c>
      <c r="I1125" s="252">
        <f t="shared" si="38"/>
        <v>0</v>
      </c>
      <c r="J1125" s="170" t="str">
        <f>IF(A1125="","",SUM($H$7:H1125)-SUM($I$7:I1125))</f>
        <v/>
      </c>
      <c r="K1125" s="34"/>
    </row>
    <row r="1126" spans="1:11" x14ac:dyDescent="0.2">
      <c r="A1126" s="44"/>
      <c r="B1126" s="44"/>
      <c r="C1126" s="35"/>
      <c r="D1126" s="44"/>
      <c r="E1126" s="44"/>
      <c r="F1126" s="44"/>
      <c r="G1126" s="130"/>
      <c r="H1126" s="252">
        <f t="shared" si="37"/>
        <v>0</v>
      </c>
      <c r="I1126" s="252">
        <f t="shared" si="38"/>
        <v>0</v>
      </c>
      <c r="J1126" s="170" t="str">
        <f>IF(A1126="","",SUM($H$7:H1126)-SUM($I$7:I1126))</f>
        <v/>
      </c>
      <c r="K1126" s="34"/>
    </row>
    <row r="1127" spans="1:11" x14ac:dyDescent="0.2">
      <c r="A1127" s="44"/>
      <c r="B1127" s="44"/>
      <c r="C1127" s="35"/>
      <c r="D1127" s="44"/>
      <c r="E1127" s="44"/>
      <c r="F1127" s="44"/>
      <c r="G1127" s="130"/>
      <c r="H1127" s="252">
        <f t="shared" si="37"/>
        <v>0</v>
      </c>
      <c r="I1127" s="252">
        <f t="shared" si="38"/>
        <v>0</v>
      </c>
      <c r="J1127" s="170" t="str">
        <f>IF(A1127="","",SUM($H$7:H1127)-SUM($I$7:I1127))</f>
        <v/>
      </c>
      <c r="K1127" s="34"/>
    </row>
    <row r="1128" spans="1:11" x14ac:dyDescent="0.2">
      <c r="A1128" s="44"/>
      <c r="B1128" s="44"/>
      <c r="C1128" s="35"/>
      <c r="D1128" s="44"/>
      <c r="E1128" s="44"/>
      <c r="F1128" s="44"/>
      <c r="G1128" s="130"/>
      <c r="H1128" s="252">
        <f t="shared" si="37"/>
        <v>0</v>
      </c>
      <c r="I1128" s="252">
        <f t="shared" si="38"/>
        <v>0</v>
      </c>
      <c r="J1128" s="170" t="str">
        <f>IF(A1128="","",SUM($H$7:H1128)-SUM($I$7:I1128))</f>
        <v/>
      </c>
      <c r="K1128" s="34"/>
    </row>
    <row r="1129" spans="1:11" x14ac:dyDescent="0.2">
      <c r="A1129" s="44"/>
      <c r="B1129" s="44"/>
      <c r="C1129" s="35"/>
      <c r="D1129" s="44"/>
      <c r="E1129" s="44"/>
      <c r="F1129" s="44"/>
      <c r="G1129" s="130"/>
      <c r="H1129" s="252">
        <f t="shared" si="37"/>
        <v>0</v>
      </c>
      <c r="I1129" s="252">
        <f t="shared" si="38"/>
        <v>0</v>
      </c>
      <c r="J1129" s="170" t="str">
        <f>IF(A1129="","",SUM($H$7:H1129)-SUM($I$7:I1129))</f>
        <v/>
      </c>
      <c r="K1129" s="34"/>
    </row>
    <row r="1130" spans="1:11" x14ac:dyDescent="0.2">
      <c r="A1130" s="44"/>
      <c r="B1130" s="44"/>
      <c r="C1130" s="35"/>
      <c r="D1130" s="44"/>
      <c r="E1130" s="44"/>
      <c r="F1130" s="44"/>
      <c r="G1130" s="130"/>
      <c r="H1130" s="252">
        <f t="shared" si="37"/>
        <v>0</v>
      </c>
      <c r="I1130" s="252">
        <f t="shared" si="38"/>
        <v>0</v>
      </c>
      <c r="J1130" s="170" t="str">
        <f>IF(A1130="","",SUM($H$7:H1130)-SUM($I$7:I1130))</f>
        <v/>
      </c>
      <c r="K1130" s="34"/>
    </row>
    <row r="1131" spans="1:11" x14ac:dyDescent="0.2">
      <c r="A1131" s="44"/>
      <c r="B1131" s="44"/>
      <c r="C1131" s="35"/>
      <c r="D1131" s="44"/>
      <c r="E1131" s="44"/>
      <c r="F1131" s="44"/>
      <c r="G1131" s="130"/>
      <c r="H1131" s="252">
        <f t="shared" si="37"/>
        <v>0</v>
      </c>
      <c r="I1131" s="252">
        <f t="shared" si="38"/>
        <v>0</v>
      </c>
      <c r="J1131" s="170" t="str">
        <f>IF(A1131="","",SUM($H$7:H1131)-SUM($I$7:I1131))</f>
        <v/>
      </c>
      <c r="K1131" s="34"/>
    </row>
    <row r="1132" spans="1:11" x14ac:dyDescent="0.2">
      <c r="A1132" s="44"/>
      <c r="B1132" s="44"/>
      <c r="C1132" s="35"/>
      <c r="D1132" s="44"/>
      <c r="E1132" s="44"/>
      <c r="F1132" s="44"/>
      <c r="G1132" s="130"/>
      <c r="H1132" s="252">
        <f t="shared" si="37"/>
        <v>0</v>
      </c>
      <c r="I1132" s="252">
        <f t="shared" si="38"/>
        <v>0</v>
      </c>
      <c r="J1132" s="170" t="str">
        <f>IF(A1132="","",SUM($H$7:H1132)-SUM($I$7:I1132))</f>
        <v/>
      </c>
      <c r="K1132" s="34"/>
    </row>
    <row r="1133" spans="1:11" x14ac:dyDescent="0.2">
      <c r="A1133" s="44"/>
      <c r="B1133" s="44"/>
      <c r="C1133" s="35"/>
      <c r="D1133" s="44"/>
      <c r="E1133" s="44"/>
      <c r="F1133" s="44"/>
      <c r="G1133" s="130"/>
      <c r="H1133" s="252">
        <f t="shared" si="37"/>
        <v>0</v>
      </c>
      <c r="I1133" s="252">
        <f t="shared" si="38"/>
        <v>0</v>
      </c>
      <c r="J1133" s="170" t="str">
        <f>IF(A1133="","",SUM($H$7:H1133)-SUM($I$7:I1133))</f>
        <v/>
      </c>
      <c r="K1133" s="34"/>
    </row>
    <row r="1134" spans="1:11" x14ac:dyDescent="0.2">
      <c r="A1134" s="44"/>
      <c r="B1134" s="44"/>
      <c r="C1134" s="35"/>
      <c r="D1134" s="44"/>
      <c r="E1134" s="44"/>
      <c r="F1134" s="44"/>
      <c r="G1134" s="130"/>
      <c r="H1134" s="252">
        <f t="shared" si="37"/>
        <v>0</v>
      </c>
      <c r="I1134" s="252">
        <f t="shared" si="38"/>
        <v>0</v>
      </c>
      <c r="J1134" s="170" t="str">
        <f>IF(A1134="","",SUM($H$7:H1134)-SUM($I$7:I1134))</f>
        <v/>
      </c>
      <c r="K1134" s="34"/>
    </row>
    <row r="1135" spans="1:11" x14ac:dyDescent="0.2">
      <c r="A1135" s="44"/>
      <c r="B1135" s="44"/>
      <c r="C1135" s="35"/>
      <c r="D1135" s="44"/>
      <c r="E1135" s="44"/>
      <c r="F1135" s="44"/>
      <c r="G1135" s="130"/>
      <c r="H1135" s="252">
        <f t="shared" si="37"/>
        <v>0</v>
      </c>
      <c r="I1135" s="252">
        <f t="shared" si="38"/>
        <v>0</v>
      </c>
      <c r="J1135" s="170" t="str">
        <f>IF(A1135="","",SUM($H$7:H1135)-SUM($I$7:I1135))</f>
        <v/>
      </c>
      <c r="K1135" s="34"/>
    </row>
    <row r="1136" spans="1:11" x14ac:dyDescent="0.2">
      <c r="A1136" s="44"/>
      <c r="B1136" s="44"/>
      <c r="C1136" s="35"/>
      <c r="D1136" s="44"/>
      <c r="E1136" s="44"/>
      <c r="F1136" s="44"/>
      <c r="G1136" s="130"/>
      <c r="H1136" s="252">
        <f t="shared" si="37"/>
        <v>0</v>
      </c>
      <c r="I1136" s="252">
        <f t="shared" si="38"/>
        <v>0</v>
      </c>
      <c r="J1136" s="170" t="str">
        <f>IF(A1136="","",SUM($H$7:H1136)-SUM($I$7:I1136))</f>
        <v/>
      </c>
      <c r="K1136" s="34"/>
    </row>
    <row r="1137" spans="1:11" x14ac:dyDescent="0.2">
      <c r="A1137" s="44"/>
      <c r="B1137" s="44"/>
      <c r="C1137" s="35"/>
      <c r="D1137" s="44"/>
      <c r="E1137" s="44"/>
      <c r="F1137" s="44"/>
      <c r="G1137" s="130"/>
      <c r="H1137" s="252">
        <f t="shared" si="37"/>
        <v>0</v>
      </c>
      <c r="I1137" s="252">
        <f t="shared" si="38"/>
        <v>0</v>
      </c>
      <c r="J1137" s="170" t="str">
        <f>IF(A1137="","",SUM($H$7:H1137)-SUM($I$7:I1137))</f>
        <v/>
      </c>
      <c r="K1137" s="34"/>
    </row>
    <row r="1138" spans="1:11" x14ac:dyDescent="0.2">
      <c r="A1138" s="44"/>
      <c r="B1138" s="44"/>
      <c r="C1138" s="35"/>
      <c r="D1138" s="44"/>
      <c r="E1138" s="44"/>
      <c r="F1138" s="44"/>
      <c r="G1138" s="130"/>
      <c r="H1138" s="252">
        <f t="shared" si="37"/>
        <v>0</v>
      </c>
      <c r="I1138" s="252">
        <f t="shared" si="38"/>
        <v>0</v>
      </c>
      <c r="J1138" s="170" t="str">
        <f>IF(A1138="","",SUM($H$7:H1138)-SUM($I$7:I1138))</f>
        <v/>
      </c>
      <c r="K1138" s="34"/>
    </row>
    <row r="1139" spans="1:11" x14ac:dyDescent="0.2">
      <c r="A1139" s="44"/>
      <c r="B1139" s="44"/>
      <c r="C1139" s="35"/>
      <c r="D1139" s="44"/>
      <c r="E1139" s="44"/>
      <c r="F1139" s="44"/>
      <c r="G1139" s="130"/>
      <c r="H1139" s="252">
        <f t="shared" si="37"/>
        <v>0</v>
      </c>
      <c r="I1139" s="252">
        <f t="shared" si="38"/>
        <v>0</v>
      </c>
      <c r="J1139" s="170" t="str">
        <f>IF(A1139="","",SUM($H$7:H1139)-SUM($I$7:I1139))</f>
        <v/>
      </c>
      <c r="K1139" s="34"/>
    </row>
    <row r="1140" spans="1:11" x14ac:dyDescent="0.2">
      <c r="A1140" s="44"/>
      <c r="B1140" s="44"/>
      <c r="C1140" s="35"/>
      <c r="D1140" s="44"/>
      <c r="E1140" s="44"/>
      <c r="F1140" s="44"/>
      <c r="G1140" s="130"/>
      <c r="H1140" s="252">
        <f t="shared" si="37"/>
        <v>0</v>
      </c>
      <c r="I1140" s="252">
        <f t="shared" si="38"/>
        <v>0</v>
      </c>
      <c r="J1140" s="170" t="str">
        <f>IF(A1140="","",SUM($H$7:H1140)-SUM($I$7:I1140))</f>
        <v/>
      </c>
      <c r="K1140" s="34"/>
    </row>
    <row r="1141" spans="1:11" x14ac:dyDescent="0.2">
      <c r="A1141" s="44"/>
      <c r="B1141" s="44"/>
      <c r="C1141" s="35"/>
      <c r="D1141" s="44"/>
      <c r="E1141" s="44"/>
      <c r="F1141" s="44"/>
      <c r="G1141" s="130"/>
      <c r="H1141" s="252">
        <f t="shared" si="37"/>
        <v>0</v>
      </c>
      <c r="I1141" s="252">
        <f t="shared" si="38"/>
        <v>0</v>
      </c>
      <c r="J1141" s="170" t="str">
        <f>IF(A1141="","",SUM($H$7:H1141)-SUM($I$7:I1141))</f>
        <v/>
      </c>
      <c r="K1141" s="34"/>
    </row>
    <row r="1142" spans="1:11" x14ac:dyDescent="0.2">
      <c r="A1142" s="44"/>
      <c r="B1142" s="44"/>
      <c r="C1142" s="35"/>
      <c r="D1142" s="44"/>
      <c r="E1142" s="44"/>
      <c r="F1142" s="44"/>
      <c r="G1142" s="130"/>
      <c r="H1142" s="252">
        <f t="shared" ref="H1142:H1205" si="39">IF($C1142="Replenishment",$G1142,0)</f>
        <v>0</v>
      </c>
      <c r="I1142" s="252">
        <f t="shared" si="38"/>
        <v>0</v>
      </c>
      <c r="J1142" s="170" t="str">
        <f>IF(A1142="","",SUM($H$7:H1142)-SUM($I$7:I1142))</f>
        <v/>
      </c>
      <c r="K1142" s="34"/>
    </row>
    <row r="1143" spans="1:11" x14ac:dyDescent="0.2">
      <c r="A1143" s="44"/>
      <c r="B1143" s="44"/>
      <c r="C1143" s="35"/>
      <c r="D1143" s="44"/>
      <c r="E1143" s="44"/>
      <c r="F1143" s="44"/>
      <c r="G1143" s="130"/>
      <c r="H1143" s="252">
        <f t="shared" si="39"/>
        <v>0</v>
      </c>
      <c r="I1143" s="252">
        <f t="shared" si="38"/>
        <v>0</v>
      </c>
      <c r="J1143" s="170" t="str">
        <f>IF(A1143="","",SUM($H$7:H1143)-SUM($I$7:I1143))</f>
        <v/>
      </c>
      <c r="K1143" s="34"/>
    </row>
    <row r="1144" spans="1:11" x14ac:dyDescent="0.2">
      <c r="A1144" s="44"/>
      <c r="B1144" s="44"/>
      <c r="C1144" s="35"/>
      <c r="D1144" s="44"/>
      <c r="E1144" s="44"/>
      <c r="F1144" s="44"/>
      <c r="G1144" s="130"/>
      <c r="H1144" s="252">
        <f t="shared" si="39"/>
        <v>0</v>
      </c>
      <c r="I1144" s="252">
        <f t="shared" si="38"/>
        <v>0</v>
      </c>
      <c r="J1144" s="170" t="str">
        <f>IF(A1144="","",SUM($H$7:H1144)-SUM($I$7:I1144))</f>
        <v/>
      </c>
      <c r="K1144" s="34"/>
    </row>
    <row r="1145" spans="1:11" x14ac:dyDescent="0.2">
      <c r="A1145" s="44"/>
      <c r="B1145" s="44"/>
      <c r="C1145" s="35"/>
      <c r="D1145" s="44"/>
      <c r="E1145" s="44"/>
      <c r="F1145" s="44"/>
      <c r="G1145" s="130"/>
      <c r="H1145" s="252">
        <f t="shared" si="39"/>
        <v>0</v>
      </c>
      <c r="I1145" s="252">
        <f t="shared" si="38"/>
        <v>0</v>
      </c>
      <c r="J1145" s="170" t="str">
        <f>IF(A1145="","",SUM($H$7:H1145)-SUM($I$7:I1145))</f>
        <v/>
      </c>
      <c r="K1145" s="34"/>
    </row>
    <row r="1146" spans="1:11" x14ac:dyDescent="0.2">
      <c r="A1146" s="44"/>
      <c r="B1146" s="44"/>
      <c r="C1146" s="35"/>
      <c r="D1146" s="44"/>
      <c r="E1146" s="44"/>
      <c r="F1146" s="44"/>
      <c r="G1146" s="130"/>
      <c r="H1146" s="252">
        <f t="shared" si="39"/>
        <v>0</v>
      </c>
      <c r="I1146" s="252">
        <f t="shared" si="38"/>
        <v>0</v>
      </c>
      <c r="J1146" s="170" t="str">
        <f>IF(A1146="","",SUM($H$7:H1146)-SUM($I$7:I1146))</f>
        <v/>
      </c>
      <c r="K1146" s="34"/>
    </row>
    <row r="1147" spans="1:11" x14ac:dyDescent="0.2">
      <c r="A1147" s="44"/>
      <c r="B1147" s="44"/>
      <c r="C1147" s="35"/>
      <c r="D1147" s="44"/>
      <c r="E1147" s="44"/>
      <c r="F1147" s="44"/>
      <c r="G1147" s="130"/>
      <c r="H1147" s="252">
        <f t="shared" si="39"/>
        <v>0</v>
      </c>
      <c r="I1147" s="252">
        <f t="shared" si="38"/>
        <v>0</v>
      </c>
      <c r="J1147" s="170" t="str">
        <f>IF(A1147="","",SUM($H$7:H1147)-SUM($I$7:I1147))</f>
        <v/>
      </c>
      <c r="K1147" s="34"/>
    </row>
    <row r="1148" spans="1:11" x14ac:dyDescent="0.2">
      <c r="A1148" s="44"/>
      <c r="B1148" s="44"/>
      <c r="C1148" s="35"/>
      <c r="D1148" s="44"/>
      <c r="E1148" s="44"/>
      <c r="F1148" s="44"/>
      <c r="G1148" s="130"/>
      <c r="H1148" s="252">
        <f t="shared" si="39"/>
        <v>0</v>
      </c>
      <c r="I1148" s="252">
        <f t="shared" si="38"/>
        <v>0</v>
      </c>
      <c r="J1148" s="170" t="str">
        <f>IF(A1148="","",SUM($H$7:H1148)-SUM($I$7:I1148))</f>
        <v/>
      </c>
      <c r="K1148" s="34"/>
    </row>
    <row r="1149" spans="1:11" x14ac:dyDescent="0.2">
      <c r="A1149" s="44"/>
      <c r="B1149" s="44"/>
      <c r="C1149" s="35"/>
      <c r="D1149" s="44"/>
      <c r="E1149" s="44"/>
      <c r="F1149" s="44"/>
      <c r="G1149" s="130"/>
      <c r="H1149" s="252">
        <f t="shared" si="39"/>
        <v>0</v>
      </c>
      <c r="I1149" s="252">
        <f t="shared" si="38"/>
        <v>0</v>
      </c>
      <c r="J1149" s="170" t="str">
        <f>IF(A1149="","",SUM($H$7:H1149)-SUM($I$7:I1149))</f>
        <v/>
      </c>
      <c r="K1149" s="34"/>
    </row>
    <row r="1150" spans="1:11" x14ac:dyDescent="0.2">
      <c r="A1150" s="44"/>
      <c r="B1150" s="44"/>
      <c r="C1150" s="35"/>
      <c r="D1150" s="44"/>
      <c r="E1150" s="44"/>
      <c r="F1150" s="44"/>
      <c r="G1150" s="130"/>
      <c r="H1150" s="252">
        <f t="shared" si="39"/>
        <v>0</v>
      </c>
      <c r="I1150" s="252">
        <f t="shared" si="38"/>
        <v>0</v>
      </c>
      <c r="J1150" s="170" t="str">
        <f>IF(A1150="","",SUM($H$7:H1150)-SUM($I$7:I1150))</f>
        <v/>
      </c>
      <c r="K1150" s="34"/>
    </row>
    <row r="1151" spans="1:11" x14ac:dyDescent="0.2">
      <c r="A1151" s="44"/>
      <c r="B1151" s="44"/>
      <c r="C1151" s="35"/>
      <c r="D1151" s="44"/>
      <c r="E1151" s="44"/>
      <c r="F1151" s="44"/>
      <c r="G1151" s="130"/>
      <c r="H1151" s="252">
        <f t="shared" si="39"/>
        <v>0</v>
      </c>
      <c r="I1151" s="252">
        <f t="shared" si="38"/>
        <v>0</v>
      </c>
      <c r="J1151" s="170" t="str">
        <f>IF(A1151="","",SUM($H$7:H1151)-SUM($I$7:I1151))</f>
        <v/>
      </c>
      <c r="K1151" s="34"/>
    </row>
    <row r="1152" spans="1:11" x14ac:dyDescent="0.2">
      <c r="A1152" s="44"/>
      <c r="B1152" s="44"/>
      <c r="C1152" s="35"/>
      <c r="D1152" s="44"/>
      <c r="E1152" s="44"/>
      <c r="F1152" s="44"/>
      <c r="G1152" s="130"/>
      <c r="H1152" s="252">
        <f t="shared" si="39"/>
        <v>0</v>
      </c>
      <c r="I1152" s="252">
        <f t="shared" si="38"/>
        <v>0</v>
      </c>
      <c r="J1152" s="170" t="str">
        <f>IF(A1152="","",SUM($H$7:H1152)-SUM($I$7:I1152))</f>
        <v/>
      </c>
      <c r="K1152" s="34"/>
    </row>
    <row r="1153" spans="1:11" x14ac:dyDescent="0.2">
      <c r="A1153" s="44"/>
      <c r="B1153" s="44"/>
      <c r="C1153" s="35"/>
      <c r="D1153" s="44"/>
      <c r="E1153" s="44"/>
      <c r="F1153" s="44"/>
      <c r="G1153" s="130"/>
      <c r="H1153" s="252">
        <f t="shared" si="39"/>
        <v>0</v>
      </c>
      <c r="I1153" s="252">
        <f t="shared" si="38"/>
        <v>0</v>
      </c>
      <c r="J1153" s="170" t="str">
        <f>IF(A1153="","",SUM($H$7:H1153)-SUM($I$7:I1153))</f>
        <v/>
      </c>
      <c r="K1153" s="34"/>
    </row>
    <row r="1154" spans="1:11" x14ac:dyDescent="0.2">
      <c r="A1154" s="44"/>
      <c r="B1154" s="44"/>
      <c r="C1154" s="35"/>
      <c r="D1154" s="44"/>
      <c r="E1154" s="44"/>
      <c r="F1154" s="44"/>
      <c r="G1154" s="130"/>
      <c r="H1154" s="252">
        <f t="shared" si="39"/>
        <v>0</v>
      </c>
      <c r="I1154" s="252">
        <f t="shared" si="38"/>
        <v>0</v>
      </c>
      <c r="J1154" s="170" t="str">
        <f>IF(A1154="","",SUM($H$7:H1154)-SUM($I$7:I1154))</f>
        <v/>
      </c>
      <c r="K1154" s="34"/>
    </row>
    <row r="1155" spans="1:11" x14ac:dyDescent="0.2">
      <c r="A1155" s="44"/>
      <c r="B1155" s="44"/>
      <c r="C1155" s="35"/>
      <c r="D1155" s="44"/>
      <c r="E1155" s="44"/>
      <c r="F1155" s="44"/>
      <c r="G1155" s="130"/>
      <c r="H1155" s="252">
        <f t="shared" si="39"/>
        <v>0</v>
      </c>
      <c r="I1155" s="252">
        <f t="shared" si="38"/>
        <v>0</v>
      </c>
      <c r="J1155" s="170" t="str">
        <f>IF(A1155="","",SUM($H$7:H1155)-SUM($I$7:I1155))</f>
        <v/>
      </c>
      <c r="K1155" s="34"/>
    </row>
    <row r="1156" spans="1:11" x14ac:dyDescent="0.2">
      <c r="A1156" s="44"/>
      <c r="B1156" s="44"/>
      <c r="C1156" s="35"/>
      <c r="D1156" s="44"/>
      <c r="E1156" s="44"/>
      <c r="F1156" s="44"/>
      <c r="G1156" s="130"/>
      <c r="H1156" s="252">
        <f t="shared" si="39"/>
        <v>0</v>
      </c>
      <c r="I1156" s="252">
        <f t="shared" si="38"/>
        <v>0</v>
      </c>
      <c r="J1156" s="170" t="str">
        <f>IF(A1156="","",SUM($H$7:H1156)-SUM($I$7:I1156))</f>
        <v/>
      </c>
      <c r="K1156" s="34"/>
    </row>
    <row r="1157" spans="1:11" x14ac:dyDescent="0.2">
      <c r="A1157" s="44"/>
      <c r="B1157" s="44"/>
      <c r="C1157" s="35"/>
      <c r="D1157" s="44"/>
      <c r="E1157" s="44"/>
      <c r="F1157" s="44"/>
      <c r="G1157" s="130"/>
      <c r="H1157" s="252">
        <f t="shared" si="39"/>
        <v>0</v>
      </c>
      <c r="I1157" s="252">
        <f t="shared" si="38"/>
        <v>0</v>
      </c>
      <c r="J1157" s="170" t="str">
        <f>IF(A1157="","",SUM($H$7:H1157)-SUM($I$7:I1157))</f>
        <v/>
      </c>
      <c r="K1157" s="34"/>
    </row>
    <row r="1158" spans="1:11" x14ac:dyDescent="0.2">
      <c r="A1158" s="44"/>
      <c r="B1158" s="44"/>
      <c r="C1158" s="35"/>
      <c r="D1158" s="44"/>
      <c r="E1158" s="44"/>
      <c r="F1158" s="44"/>
      <c r="G1158" s="130"/>
      <c r="H1158" s="252">
        <f t="shared" si="39"/>
        <v>0</v>
      </c>
      <c r="I1158" s="252">
        <f t="shared" si="38"/>
        <v>0</v>
      </c>
      <c r="J1158" s="170" t="str">
        <f>IF(A1158="","",SUM($H$7:H1158)-SUM($I$7:I1158))</f>
        <v/>
      </c>
      <c r="K1158" s="34"/>
    </row>
    <row r="1159" spans="1:11" x14ac:dyDescent="0.2">
      <c r="A1159" s="44"/>
      <c r="B1159" s="44"/>
      <c r="C1159" s="35"/>
      <c r="D1159" s="44"/>
      <c r="E1159" s="44"/>
      <c r="F1159" s="44"/>
      <c r="G1159" s="130"/>
      <c r="H1159" s="252">
        <f t="shared" si="39"/>
        <v>0</v>
      </c>
      <c r="I1159" s="252">
        <f t="shared" ref="I1159:I1222" si="40">IF($C1159="Replenishment",0,$G1159)</f>
        <v>0</v>
      </c>
      <c r="J1159" s="170" t="str">
        <f>IF(A1159="","",SUM($H$7:H1159)-SUM($I$7:I1159))</f>
        <v/>
      </c>
      <c r="K1159" s="34"/>
    </row>
    <row r="1160" spans="1:11" x14ac:dyDescent="0.2">
      <c r="A1160" s="44"/>
      <c r="B1160" s="44"/>
      <c r="C1160" s="35"/>
      <c r="D1160" s="44"/>
      <c r="E1160" s="44"/>
      <c r="F1160" s="44"/>
      <c r="G1160" s="130"/>
      <c r="H1160" s="252">
        <f t="shared" si="39"/>
        <v>0</v>
      </c>
      <c r="I1160" s="252">
        <f t="shared" si="40"/>
        <v>0</v>
      </c>
      <c r="J1160" s="170" t="str">
        <f>IF(A1160="","",SUM($H$7:H1160)-SUM($I$7:I1160))</f>
        <v/>
      </c>
      <c r="K1160" s="34"/>
    </row>
    <row r="1161" spans="1:11" x14ac:dyDescent="0.2">
      <c r="A1161" s="44"/>
      <c r="B1161" s="44"/>
      <c r="C1161" s="35"/>
      <c r="D1161" s="44"/>
      <c r="E1161" s="44"/>
      <c r="F1161" s="44"/>
      <c r="G1161" s="130"/>
      <c r="H1161" s="252">
        <f t="shared" si="39"/>
        <v>0</v>
      </c>
      <c r="I1161" s="252">
        <f t="shared" si="40"/>
        <v>0</v>
      </c>
      <c r="J1161" s="170" t="str">
        <f>IF(A1161="","",SUM($H$7:H1161)-SUM($I$7:I1161))</f>
        <v/>
      </c>
      <c r="K1161" s="34"/>
    </row>
    <row r="1162" spans="1:11" x14ac:dyDescent="0.2">
      <c r="A1162" s="44"/>
      <c r="B1162" s="44"/>
      <c r="C1162" s="35"/>
      <c r="D1162" s="44"/>
      <c r="E1162" s="44"/>
      <c r="F1162" s="44"/>
      <c r="G1162" s="130"/>
      <c r="H1162" s="252">
        <f t="shared" si="39"/>
        <v>0</v>
      </c>
      <c r="I1162" s="252">
        <f t="shared" si="40"/>
        <v>0</v>
      </c>
      <c r="J1162" s="170" t="str">
        <f>IF(A1162="","",SUM($H$7:H1162)-SUM($I$7:I1162))</f>
        <v/>
      </c>
      <c r="K1162" s="34"/>
    </row>
    <row r="1163" spans="1:11" x14ac:dyDescent="0.2">
      <c r="A1163" s="44"/>
      <c r="B1163" s="44"/>
      <c r="C1163" s="35"/>
      <c r="D1163" s="44"/>
      <c r="E1163" s="44"/>
      <c r="F1163" s="44"/>
      <c r="G1163" s="130"/>
      <c r="H1163" s="252">
        <f t="shared" si="39"/>
        <v>0</v>
      </c>
      <c r="I1163" s="252">
        <f t="shared" si="40"/>
        <v>0</v>
      </c>
      <c r="J1163" s="170" t="str">
        <f>IF(A1163="","",SUM($H$7:H1163)-SUM($I$7:I1163))</f>
        <v/>
      </c>
      <c r="K1163" s="34"/>
    </row>
    <row r="1164" spans="1:11" x14ac:dyDescent="0.2">
      <c r="A1164" s="44"/>
      <c r="B1164" s="44"/>
      <c r="C1164" s="35"/>
      <c r="D1164" s="44"/>
      <c r="E1164" s="44"/>
      <c r="F1164" s="44"/>
      <c r="G1164" s="130"/>
      <c r="H1164" s="252">
        <f t="shared" si="39"/>
        <v>0</v>
      </c>
      <c r="I1164" s="252">
        <f t="shared" si="40"/>
        <v>0</v>
      </c>
      <c r="J1164" s="170" t="str">
        <f>IF(A1164="","",SUM($H$7:H1164)-SUM($I$7:I1164))</f>
        <v/>
      </c>
      <c r="K1164" s="34"/>
    </row>
    <row r="1165" spans="1:11" x14ac:dyDescent="0.2">
      <c r="A1165" s="44"/>
      <c r="B1165" s="44"/>
      <c r="C1165" s="35"/>
      <c r="D1165" s="44"/>
      <c r="E1165" s="44"/>
      <c r="F1165" s="44"/>
      <c r="G1165" s="130"/>
      <c r="H1165" s="252">
        <f t="shared" si="39"/>
        <v>0</v>
      </c>
      <c r="I1165" s="252">
        <f t="shared" si="40"/>
        <v>0</v>
      </c>
      <c r="J1165" s="170" t="str">
        <f>IF(A1165="","",SUM($H$7:H1165)-SUM($I$7:I1165))</f>
        <v/>
      </c>
      <c r="K1165" s="34"/>
    </row>
    <row r="1166" spans="1:11" x14ac:dyDescent="0.2">
      <c r="A1166" s="44"/>
      <c r="B1166" s="44"/>
      <c r="C1166" s="35"/>
      <c r="D1166" s="44"/>
      <c r="E1166" s="44"/>
      <c r="F1166" s="44"/>
      <c r="G1166" s="130"/>
      <c r="H1166" s="252">
        <f t="shared" si="39"/>
        <v>0</v>
      </c>
      <c r="I1166" s="252">
        <f t="shared" si="40"/>
        <v>0</v>
      </c>
      <c r="J1166" s="170" t="str">
        <f>IF(A1166="","",SUM($H$7:H1166)-SUM($I$7:I1166))</f>
        <v/>
      </c>
      <c r="K1166" s="34"/>
    </row>
    <row r="1167" spans="1:11" x14ac:dyDescent="0.2">
      <c r="A1167" s="44"/>
      <c r="B1167" s="44"/>
      <c r="C1167" s="35"/>
      <c r="D1167" s="44"/>
      <c r="E1167" s="44"/>
      <c r="F1167" s="44"/>
      <c r="G1167" s="130"/>
      <c r="H1167" s="252">
        <f t="shared" si="39"/>
        <v>0</v>
      </c>
      <c r="I1167" s="252">
        <f t="shared" si="40"/>
        <v>0</v>
      </c>
      <c r="J1167" s="170" t="str">
        <f>IF(A1167="","",SUM($H$7:H1167)-SUM($I$7:I1167))</f>
        <v/>
      </c>
      <c r="K1167" s="34"/>
    </row>
    <row r="1168" spans="1:11" x14ac:dyDescent="0.2">
      <c r="A1168" s="44"/>
      <c r="B1168" s="44"/>
      <c r="C1168" s="35"/>
      <c r="D1168" s="44"/>
      <c r="E1168" s="44"/>
      <c r="F1168" s="44"/>
      <c r="G1168" s="130"/>
      <c r="H1168" s="252">
        <f t="shared" si="39"/>
        <v>0</v>
      </c>
      <c r="I1168" s="252">
        <f t="shared" si="40"/>
        <v>0</v>
      </c>
      <c r="J1168" s="170" t="str">
        <f>IF(A1168="","",SUM($H$7:H1168)-SUM($I$7:I1168))</f>
        <v/>
      </c>
      <c r="K1168" s="34"/>
    </row>
    <row r="1169" spans="1:11" x14ac:dyDescent="0.2">
      <c r="A1169" s="44"/>
      <c r="B1169" s="44"/>
      <c r="C1169" s="35"/>
      <c r="D1169" s="44"/>
      <c r="E1169" s="44"/>
      <c r="F1169" s="44"/>
      <c r="G1169" s="130"/>
      <c r="H1169" s="252">
        <f t="shared" si="39"/>
        <v>0</v>
      </c>
      <c r="I1169" s="252">
        <f t="shared" si="40"/>
        <v>0</v>
      </c>
      <c r="J1169" s="170" t="str">
        <f>IF(A1169="","",SUM($H$7:H1169)-SUM($I$7:I1169))</f>
        <v/>
      </c>
      <c r="K1169" s="34"/>
    </row>
    <row r="1170" spans="1:11" x14ac:dyDescent="0.2">
      <c r="A1170" s="44"/>
      <c r="B1170" s="44"/>
      <c r="C1170" s="35"/>
      <c r="D1170" s="44"/>
      <c r="E1170" s="44"/>
      <c r="F1170" s="44"/>
      <c r="G1170" s="130"/>
      <c r="H1170" s="252">
        <f t="shared" si="39"/>
        <v>0</v>
      </c>
      <c r="I1170" s="252">
        <f t="shared" si="40"/>
        <v>0</v>
      </c>
      <c r="J1170" s="170" t="str">
        <f>IF(A1170="","",SUM($H$7:H1170)-SUM($I$7:I1170))</f>
        <v/>
      </c>
      <c r="K1170" s="34"/>
    </row>
    <row r="1171" spans="1:11" x14ac:dyDescent="0.2">
      <c r="A1171" s="44"/>
      <c r="B1171" s="44"/>
      <c r="C1171" s="35"/>
      <c r="D1171" s="44"/>
      <c r="E1171" s="44"/>
      <c r="F1171" s="44"/>
      <c r="G1171" s="130"/>
      <c r="H1171" s="252">
        <f t="shared" si="39"/>
        <v>0</v>
      </c>
      <c r="I1171" s="252">
        <f t="shared" si="40"/>
        <v>0</v>
      </c>
      <c r="J1171" s="170" t="str">
        <f>IF(A1171="","",SUM($H$7:H1171)-SUM($I$7:I1171))</f>
        <v/>
      </c>
      <c r="K1171" s="34"/>
    </row>
    <row r="1172" spans="1:11" x14ac:dyDescent="0.2">
      <c r="A1172" s="44"/>
      <c r="B1172" s="44"/>
      <c r="C1172" s="35"/>
      <c r="D1172" s="44"/>
      <c r="E1172" s="44"/>
      <c r="F1172" s="44"/>
      <c r="G1172" s="130"/>
      <c r="H1172" s="252">
        <f t="shared" si="39"/>
        <v>0</v>
      </c>
      <c r="I1172" s="252">
        <f t="shared" si="40"/>
        <v>0</v>
      </c>
      <c r="J1172" s="170" t="str">
        <f>IF(A1172="","",SUM($H$7:H1172)-SUM($I$7:I1172))</f>
        <v/>
      </c>
      <c r="K1172" s="34"/>
    </row>
    <row r="1173" spans="1:11" x14ac:dyDescent="0.2">
      <c r="A1173" s="44"/>
      <c r="B1173" s="44"/>
      <c r="C1173" s="35"/>
      <c r="D1173" s="44"/>
      <c r="E1173" s="44"/>
      <c r="F1173" s="44"/>
      <c r="G1173" s="130"/>
      <c r="H1173" s="252">
        <f t="shared" si="39"/>
        <v>0</v>
      </c>
      <c r="I1173" s="252">
        <f t="shared" si="40"/>
        <v>0</v>
      </c>
      <c r="J1173" s="170" t="str">
        <f>IF(A1173="","",SUM($H$7:H1173)-SUM($I$7:I1173))</f>
        <v/>
      </c>
      <c r="K1173" s="34"/>
    </row>
    <row r="1174" spans="1:11" x14ac:dyDescent="0.2">
      <c r="A1174" s="44"/>
      <c r="B1174" s="44"/>
      <c r="C1174" s="35"/>
      <c r="D1174" s="44"/>
      <c r="E1174" s="44"/>
      <c r="F1174" s="44"/>
      <c r="G1174" s="130"/>
      <c r="H1174" s="252">
        <f t="shared" si="39"/>
        <v>0</v>
      </c>
      <c r="I1174" s="252">
        <f t="shared" si="40"/>
        <v>0</v>
      </c>
      <c r="J1174" s="170" t="str">
        <f>IF(A1174="","",SUM($H$7:H1174)-SUM($I$7:I1174))</f>
        <v/>
      </c>
      <c r="K1174" s="34"/>
    </row>
    <row r="1175" spans="1:11" x14ac:dyDescent="0.2">
      <c r="A1175" s="44"/>
      <c r="B1175" s="44"/>
      <c r="C1175" s="35"/>
      <c r="D1175" s="44"/>
      <c r="E1175" s="44"/>
      <c r="F1175" s="44"/>
      <c r="G1175" s="130"/>
      <c r="H1175" s="252">
        <f t="shared" si="39"/>
        <v>0</v>
      </c>
      <c r="I1175" s="252">
        <f t="shared" si="40"/>
        <v>0</v>
      </c>
      <c r="J1175" s="170" t="str">
        <f>IF(A1175="","",SUM($H$7:H1175)-SUM($I$7:I1175))</f>
        <v/>
      </c>
      <c r="K1175" s="34"/>
    </row>
    <row r="1176" spans="1:11" x14ac:dyDescent="0.2">
      <c r="A1176" s="44"/>
      <c r="B1176" s="44"/>
      <c r="C1176" s="35"/>
      <c r="D1176" s="44"/>
      <c r="E1176" s="44"/>
      <c r="F1176" s="44"/>
      <c r="G1176" s="130"/>
      <c r="H1176" s="252">
        <f t="shared" si="39"/>
        <v>0</v>
      </c>
      <c r="I1176" s="252">
        <f t="shared" si="40"/>
        <v>0</v>
      </c>
      <c r="J1176" s="170" t="str">
        <f>IF(A1176="","",SUM($H$7:H1176)-SUM($I$7:I1176))</f>
        <v/>
      </c>
      <c r="K1176" s="34"/>
    </row>
    <row r="1177" spans="1:11" x14ac:dyDescent="0.2">
      <c r="A1177" s="44"/>
      <c r="B1177" s="44"/>
      <c r="C1177" s="35"/>
      <c r="D1177" s="44"/>
      <c r="E1177" s="44"/>
      <c r="F1177" s="44"/>
      <c r="G1177" s="130"/>
      <c r="H1177" s="252">
        <f t="shared" si="39"/>
        <v>0</v>
      </c>
      <c r="I1177" s="252">
        <f t="shared" si="40"/>
        <v>0</v>
      </c>
      <c r="J1177" s="170" t="str">
        <f>IF(A1177="","",SUM($H$7:H1177)-SUM($I$7:I1177))</f>
        <v/>
      </c>
      <c r="K1177" s="34"/>
    </row>
    <row r="1178" spans="1:11" x14ac:dyDescent="0.2">
      <c r="A1178" s="44"/>
      <c r="B1178" s="44"/>
      <c r="C1178" s="35"/>
      <c r="D1178" s="44"/>
      <c r="E1178" s="44"/>
      <c r="F1178" s="44"/>
      <c r="G1178" s="130"/>
      <c r="H1178" s="252">
        <f t="shared" si="39"/>
        <v>0</v>
      </c>
      <c r="I1178" s="252">
        <f t="shared" si="40"/>
        <v>0</v>
      </c>
      <c r="J1178" s="170" t="str">
        <f>IF(A1178="","",SUM($H$7:H1178)-SUM($I$7:I1178))</f>
        <v/>
      </c>
      <c r="K1178" s="34"/>
    </row>
    <row r="1179" spans="1:11" x14ac:dyDescent="0.2">
      <c r="A1179" s="44"/>
      <c r="B1179" s="44"/>
      <c r="C1179" s="35"/>
      <c r="D1179" s="44"/>
      <c r="E1179" s="44"/>
      <c r="F1179" s="44"/>
      <c r="G1179" s="130"/>
      <c r="H1179" s="252">
        <f t="shared" si="39"/>
        <v>0</v>
      </c>
      <c r="I1179" s="252">
        <f t="shared" si="40"/>
        <v>0</v>
      </c>
      <c r="J1179" s="170" t="str">
        <f>IF(A1179="","",SUM($H$7:H1179)-SUM($I$7:I1179))</f>
        <v/>
      </c>
      <c r="K1179" s="34"/>
    </row>
    <row r="1180" spans="1:11" x14ac:dyDescent="0.2">
      <c r="A1180" s="44"/>
      <c r="B1180" s="44"/>
      <c r="C1180" s="35"/>
      <c r="D1180" s="44"/>
      <c r="E1180" s="44"/>
      <c r="F1180" s="44"/>
      <c r="G1180" s="130"/>
      <c r="H1180" s="252">
        <f t="shared" si="39"/>
        <v>0</v>
      </c>
      <c r="I1180" s="252">
        <f t="shared" si="40"/>
        <v>0</v>
      </c>
      <c r="J1180" s="170" t="str">
        <f>IF(A1180="","",SUM($H$7:H1180)-SUM($I$7:I1180))</f>
        <v/>
      </c>
      <c r="K1180" s="34"/>
    </row>
    <row r="1181" spans="1:11" x14ac:dyDescent="0.2">
      <c r="A1181" s="44"/>
      <c r="B1181" s="44"/>
      <c r="C1181" s="35"/>
      <c r="D1181" s="44"/>
      <c r="E1181" s="44"/>
      <c r="F1181" s="44"/>
      <c r="G1181" s="130"/>
      <c r="H1181" s="252">
        <f t="shared" si="39"/>
        <v>0</v>
      </c>
      <c r="I1181" s="252">
        <f t="shared" si="40"/>
        <v>0</v>
      </c>
      <c r="J1181" s="170" t="str">
        <f>IF(A1181="","",SUM($H$7:H1181)-SUM($I$7:I1181))</f>
        <v/>
      </c>
      <c r="K1181" s="34"/>
    </row>
    <row r="1182" spans="1:11" x14ac:dyDescent="0.2">
      <c r="A1182" s="44"/>
      <c r="B1182" s="44"/>
      <c r="C1182" s="35"/>
      <c r="D1182" s="44"/>
      <c r="E1182" s="44"/>
      <c r="F1182" s="44"/>
      <c r="G1182" s="130"/>
      <c r="H1182" s="252">
        <f t="shared" si="39"/>
        <v>0</v>
      </c>
      <c r="I1182" s="252">
        <f t="shared" si="40"/>
        <v>0</v>
      </c>
      <c r="J1182" s="170" t="str">
        <f>IF(A1182="","",SUM($H$7:H1182)-SUM($I$7:I1182))</f>
        <v/>
      </c>
      <c r="K1182" s="34"/>
    </row>
    <row r="1183" spans="1:11" x14ac:dyDescent="0.2">
      <c r="A1183" s="44"/>
      <c r="B1183" s="44"/>
      <c r="C1183" s="35"/>
      <c r="D1183" s="44"/>
      <c r="E1183" s="44"/>
      <c r="F1183" s="44"/>
      <c r="G1183" s="130"/>
      <c r="H1183" s="252">
        <f t="shared" si="39"/>
        <v>0</v>
      </c>
      <c r="I1183" s="252">
        <f t="shared" si="40"/>
        <v>0</v>
      </c>
      <c r="J1183" s="170" t="str">
        <f>IF(A1183="","",SUM($H$7:H1183)-SUM($I$7:I1183))</f>
        <v/>
      </c>
      <c r="K1183" s="34"/>
    </row>
    <row r="1184" spans="1:11" x14ac:dyDescent="0.2">
      <c r="A1184" s="44"/>
      <c r="B1184" s="44"/>
      <c r="C1184" s="35"/>
      <c r="D1184" s="44"/>
      <c r="E1184" s="44"/>
      <c r="F1184" s="44"/>
      <c r="G1184" s="130"/>
      <c r="H1184" s="252">
        <f t="shared" si="39"/>
        <v>0</v>
      </c>
      <c r="I1184" s="252">
        <f t="shared" si="40"/>
        <v>0</v>
      </c>
      <c r="J1184" s="170" t="str">
        <f>IF(A1184="","",SUM($H$7:H1184)-SUM($I$7:I1184))</f>
        <v/>
      </c>
      <c r="K1184" s="34"/>
    </row>
    <row r="1185" spans="1:11" x14ac:dyDescent="0.2">
      <c r="A1185" s="44"/>
      <c r="B1185" s="44"/>
      <c r="C1185" s="35"/>
      <c r="D1185" s="44"/>
      <c r="E1185" s="44"/>
      <c r="F1185" s="44"/>
      <c r="G1185" s="130"/>
      <c r="H1185" s="252">
        <f t="shared" si="39"/>
        <v>0</v>
      </c>
      <c r="I1185" s="252">
        <f t="shared" si="40"/>
        <v>0</v>
      </c>
      <c r="J1185" s="170" t="str">
        <f>IF(A1185="","",SUM($H$7:H1185)-SUM($I$7:I1185))</f>
        <v/>
      </c>
      <c r="K1185" s="34"/>
    </row>
    <row r="1186" spans="1:11" x14ac:dyDescent="0.2">
      <c r="A1186" s="44"/>
      <c r="B1186" s="44"/>
      <c r="C1186" s="35"/>
      <c r="D1186" s="44"/>
      <c r="E1186" s="44"/>
      <c r="F1186" s="44"/>
      <c r="G1186" s="130"/>
      <c r="H1186" s="252">
        <f t="shared" si="39"/>
        <v>0</v>
      </c>
      <c r="I1186" s="252">
        <f t="shared" si="40"/>
        <v>0</v>
      </c>
      <c r="J1186" s="170" t="str">
        <f>IF(A1186="","",SUM($H$7:H1186)-SUM($I$7:I1186))</f>
        <v/>
      </c>
      <c r="K1186" s="34"/>
    </row>
    <row r="1187" spans="1:11" x14ac:dyDescent="0.2">
      <c r="A1187" s="44"/>
      <c r="B1187" s="44"/>
      <c r="C1187" s="35"/>
      <c r="D1187" s="44"/>
      <c r="E1187" s="44"/>
      <c r="F1187" s="44"/>
      <c r="G1187" s="130"/>
      <c r="H1187" s="252">
        <f t="shared" si="39"/>
        <v>0</v>
      </c>
      <c r="I1187" s="252">
        <f t="shared" si="40"/>
        <v>0</v>
      </c>
      <c r="J1187" s="170" t="str">
        <f>IF(A1187="","",SUM($H$7:H1187)-SUM($I$7:I1187))</f>
        <v/>
      </c>
      <c r="K1187" s="34"/>
    </row>
    <row r="1188" spans="1:11" x14ac:dyDescent="0.2">
      <c r="A1188" s="44"/>
      <c r="B1188" s="44"/>
      <c r="C1188" s="35"/>
      <c r="D1188" s="44"/>
      <c r="E1188" s="44"/>
      <c r="F1188" s="44"/>
      <c r="G1188" s="130"/>
      <c r="H1188" s="252">
        <f t="shared" si="39"/>
        <v>0</v>
      </c>
      <c r="I1188" s="252">
        <f t="shared" si="40"/>
        <v>0</v>
      </c>
      <c r="J1188" s="170" t="str">
        <f>IF(A1188="","",SUM($H$7:H1188)-SUM($I$7:I1188))</f>
        <v/>
      </c>
      <c r="K1188" s="34"/>
    </row>
    <row r="1189" spans="1:11" x14ac:dyDescent="0.2">
      <c r="A1189" s="44"/>
      <c r="B1189" s="44"/>
      <c r="C1189" s="35"/>
      <c r="D1189" s="44"/>
      <c r="E1189" s="44"/>
      <c r="F1189" s="44"/>
      <c r="G1189" s="130"/>
      <c r="H1189" s="252">
        <f t="shared" si="39"/>
        <v>0</v>
      </c>
      <c r="I1189" s="252">
        <f t="shared" si="40"/>
        <v>0</v>
      </c>
      <c r="J1189" s="170" t="str">
        <f>IF(A1189="","",SUM($H$7:H1189)-SUM($I$7:I1189))</f>
        <v/>
      </c>
      <c r="K1189" s="34"/>
    </row>
    <row r="1190" spans="1:11" x14ac:dyDescent="0.2">
      <c r="A1190" s="44"/>
      <c r="B1190" s="44"/>
      <c r="C1190" s="35"/>
      <c r="D1190" s="44"/>
      <c r="E1190" s="44"/>
      <c r="F1190" s="44"/>
      <c r="G1190" s="130"/>
      <c r="H1190" s="252">
        <f t="shared" si="39"/>
        <v>0</v>
      </c>
      <c r="I1190" s="252">
        <f t="shared" si="40"/>
        <v>0</v>
      </c>
      <c r="J1190" s="170" t="str">
        <f>IF(A1190="","",SUM($H$7:H1190)-SUM($I$7:I1190))</f>
        <v/>
      </c>
      <c r="K1190" s="34"/>
    </row>
    <row r="1191" spans="1:11" x14ac:dyDescent="0.2">
      <c r="A1191" s="44"/>
      <c r="B1191" s="44"/>
      <c r="C1191" s="35"/>
      <c r="D1191" s="44"/>
      <c r="E1191" s="44"/>
      <c r="F1191" s="44"/>
      <c r="G1191" s="130"/>
      <c r="H1191" s="252">
        <f t="shared" si="39"/>
        <v>0</v>
      </c>
      <c r="I1191" s="252">
        <f t="shared" si="40"/>
        <v>0</v>
      </c>
      <c r="J1191" s="170" t="str">
        <f>IF(A1191="","",SUM($H$7:H1191)-SUM($I$7:I1191))</f>
        <v/>
      </c>
      <c r="K1191" s="34"/>
    </row>
    <row r="1192" spans="1:11" x14ac:dyDescent="0.2">
      <c r="A1192" s="44"/>
      <c r="B1192" s="44"/>
      <c r="C1192" s="35"/>
      <c r="D1192" s="44"/>
      <c r="E1192" s="44"/>
      <c r="F1192" s="44"/>
      <c r="G1192" s="130"/>
      <c r="H1192" s="252">
        <f t="shared" si="39"/>
        <v>0</v>
      </c>
      <c r="I1192" s="252">
        <f t="shared" si="40"/>
        <v>0</v>
      </c>
      <c r="J1192" s="170" t="str">
        <f>IF(A1192="","",SUM($H$7:H1192)-SUM($I$7:I1192))</f>
        <v/>
      </c>
      <c r="K1192" s="34"/>
    </row>
    <row r="1193" spans="1:11" x14ac:dyDescent="0.2">
      <c r="A1193" s="44"/>
      <c r="B1193" s="44"/>
      <c r="C1193" s="35"/>
      <c r="D1193" s="44"/>
      <c r="E1193" s="44"/>
      <c r="F1193" s="44"/>
      <c r="G1193" s="130"/>
      <c r="H1193" s="252">
        <f t="shared" si="39"/>
        <v>0</v>
      </c>
      <c r="I1193" s="252">
        <f t="shared" si="40"/>
        <v>0</v>
      </c>
      <c r="J1193" s="170" t="str">
        <f>IF(A1193="","",SUM($H$7:H1193)-SUM($I$7:I1193))</f>
        <v/>
      </c>
      <c r="K1193" s="34"/>
    </row>
    <row r="1194" spans="1:11" x14ac:dyDescent="0.2">
      <c r="A1194" s="44"/>
      <c r="B1194" s="44"/>
      <c r="C1194" s="35"/>
      <c r="D1194" s="44"/>
      <c r="E1194" s="44"/>
      <c r="F1194" s="44"/>
      <c r="G1194" s="130"/>
      <c r="H1194" s="252">
        <f t="shared" si="39"/>
        <v>0</v>
      </c>
      <c r="I1194" s="252">
        <f t="shared" si="40"/>
        <v>0</v>
      </c>
      <c r="J1194" s="170" t="str">
        <f>IF(A1194="","",SUM($H$7:H1194)-SUM($I$7:I1194))</f>
        <v/>
      </c>
      <c r="K1194" s="34"/>
    </row>
    <row r="1195" spans="1:11" x14ac:dyDescent="0.2">
      <c r="A1195" s="44"/>
      <c r="B1195" s="44"/>
      <c r="C1195" s="35"/>
      <c r="D1195" s="44"/>
      <c r="E1195" s="44"/>
      <c r="F1195" s="44"/>
      <c r="G1195" s="130"/>
      <c r="H1195" s="252">
        <f t="shared" si="39"/>
        <v>0</v>
      </c>
      <c r="I1195" s="252">
        <f t="shared" si="40"/>
        <v>0</v>
      </c>
      <c r="J1195" s="170" t="str">
        <f>IF(A1195="","",SUM($H$7:H1195)-SUM($I$7:I1195))</f>
        <v/>
      </c>
      <c r="K1195" s="34"/>
    </row>
    <row r="1196" spans="1:11" x14ac:dyDescent="0.2">
      <c r="A1196" s="44"/>
      <c r="B1196" s="44"/>
      <c r="C1196" s="35"/>
      <c r="D1196" s="44"/>
      <c r="E1196" s="44"/>
      <c r="F1196" s="44"/>
      <c r="G1196" s="130"/>
      <c r="H1196" s="252">
        <f t="shared" si="39"/>
        <v>0</v>
      </c>
      <c r="I1196" s="252">
        <f t="shared" si="40"/>
        <v>0</v>
      </c>
      <c r="J1196" s="170" t="str">
        <f>IF(A1196="","",SUM($H$7:H1196)-SUM($I$7:I1196))</f>
        <v/>
      </c>
      <c r="K1196" s="34"/>
    </row>
    <row r="1197" spans="1:11" x14ac:dyDescent="0.2">
      <c r="A1197" s="44"/>
      <c r="B1197" s="44"/>
      <c r="C1197" s="35"/>
      <c r="D1197" s="44"/>
      <c r="E1197" s="44"/>
      <c r="F1197" s="44"/>
      <c r="G1197" s="130"/>
      <c r="H1197" s="252">
        <f t="shared" si="39"/>
        <v>0</v>
      </c>
      <c r="I1197" s="252">
        <f t="shared" si="40"/>
        <v>0</v>
      </c>
      <c r="J1197" s="170" t="str">
        <f>IF(A1197="","",SUM($H$7:H1197)-SUM($I$7:I1197))</f>
        <v/>
      </c>
      <c r="K1197" s="34"/>
    </row>
    <row r="1198" spans="1:11" x14ac:dyDescent="0.2">
      <c r="A1198" s="44"/>
      <c r="B1198" s="44"/>
      <c r="C1198" s="35"/>
      <c r="D1198" s="44"/>
      <c r="E1198" s="44"/>
      <c r="F1198" s="44"/>
      <c r="G1198" s="130"/>
      <c r="H1198" s="252">
        <f t="shared" si="39"/>
        <v>0</v>
      </c>
      <c r="I1198" s="252">
        <f t="shared" si="40"/>
        <v>0</v>
      </c>
      <c r="J1198" s="170" t="str">
        <f>IF(A1198="","",SUM($H$7:H1198)-SUM($I$7:I1198))</f>
        <v/>
      </c>
      <c r="K1198" s="34"/>
    </row>
    <row r="1199" spans="1:11" x14ac:dyDescent="0.2">
      <c r="A1199" s="44"/>
      <c r="B1199" s="44"/>
      <c r="C1199" s="35"/>
      <c r="D1199" s="44"/>
      <c r="E1199" s="44"/>
      <c r="F1199" s="44"/>
      <c r="G1199" s="130"/>
      <c r="H1199" s="252">
        <f t="shared" si="39"/>
        <v>0</v>
      </c>
      <c r="I1199" s="252">
        <f t="shared" si="40"/>
        <v>0</v>
      </c>
      <c r="J1199" s="170" t="str">
        <f>IF(A1199="","",SUM($H$7:H1199)-SUM($I$7:I1199))</f>
        <v/>
      </c>
      <c r="K1199" s="34"/>
    </row>
    <row r="1200" spans="1:11" x14ac:dyDescent="0.2">
      <c r="A1200" s="44"/>
      <c r="B1200" s="44"/>
      <c r="C1200" s="35"/>
      <c r="D1200" s="44"/>
      <c r="E1200" s="44"/>
      <c r="F1200" s="44"/>
      <c r="G1200" s="130"/>
      <c r="H1200" s="252">
        <f t="shared" si="39"/>
        <v>0</v>
      </c>
      <c r="I1200" s="252">
        <f t="shared" si="40"/>
        <v>0</v>
      </c>
      <c r="J1200" s="170" t="str">
        <f>IF(A1200="","",SUM($H$7:H1200)-SUM($I$7:I1200))</f>
        <v/>
      </c>
      <c r="K1200" s="34"/>
    </row>
    <row r="1201" spans="1:11" x14ac:dyDescent="0.2">
      <c r="A1201" s="44"/>
      <c r="B1201" s="44"/>
      <c r="C1201" s="35"/>
      <c r="D1201" s="44"/>
      <c r="E1201" s="44"/>
      <c r="F1201" s="44"/>
      <c r="G1201" s="130"/>
      <c r="H1201" s="252">
        <f t="shared" si="39"/>
        <v>0</v>
      </c>
      <c r="I1201" s="252">
        <f t="shared" si="40"/>
        <v>0</v>
      </c>
      <c r="J1201" s="170" t="str">
        <f>IF(A1201="","",SUM($H$7:H1201)-SUM($I$7:I1201))</f>
        <v/>
      </c>
      <c r="K1201" s="34"/>
    </row>
    <row r="1202" spans="1:11" x14ac:dyDescent="0.2">
      <c r="A1202" s="44"/>
      <c r="B1202" s="44"/>
      <c r="C1202" s="35"/>
      <c r="D1202" s="44"/>
      <c r="E1202" s="44"/>
      <c r="F1202" s="44"/>
      <c r="G1202" s="130"/>
      <c r="H1202" s="252">
        <f t="shared" si="39"/>
        <v>0</v>
      </c>
      <c r="I1202" s="252">
        <f t="shared" si="40"/>
        <v>0</v>
      </c>
      <c r="J1202" s="170" t="str">
        <f>IF(A1202="","",SUM($H$7:H1202)-SUM($I$7:I1202))</f>
        <v/>
      </c>
      <c r="K1202" s="34"/>
    </row>
    <row r="1203" spans="1:11" x14ac:dyDescent="0.2">
      <c r="A1203" s="44"/>
      <c r="B1203" s="44"/>
      <c r="C1203" s="35"/>
      <c r="D1203" s="44"/>
      <c r="E1203" s="44"/>
      <c r="F1203" s="44"/>
      <c r="G1203" s="130"/>
      <c r="H1203" s="252">
        <f t="shared" si="39"/>
        <v>0</v>
      </c>
      <c r="I1203" s="252">
        <f t="shared" si="40"/>
        <v>0</v>
      </c>
      <c r="J1203" s="170" t="str">
        <f>IF(A1203="","",SUM($H$7:H1203)-SUM($I$7:I1203))</f>
        <v/>
      </c>
      <c r="K1203" s="34"/>
    </row>
    <row r="1204" spans="1:11" x14ac:dyDescent="0.2">
      <c r="A1204" s="44"/>
      <c r="B1204" s="44"/>
      <c r="C1204" s="35"/>
      <c r="D1204" s="44"/>
      <c r="E1204" s="44"/>
      <c r="F1204" s="44"/>
      <c r="G1204" s="130"/>
      <c r="H1204" s="252">
        <f t="shared" si="39"/>
        <v>0</v>
      </c>
      <c r="I1204" s="252">
        <f t="shared" si="40"/>
        <v>0</v>
      </c>
      <c r="J1204" s="170" t="str">
        <f>IF(A1204="","",SUM($H$7:H1204)-SUM($I$7:I1204))</f>
        <v/>
      </c>
      <c r="K1204" s="34"/>
    </row>
    <row r="1205" spans="1:11" x14ac:dyDescent="0.2">
      <c r="A1205" s="44"/>
      <c r="B1205" s="44"/>
      <c r="C1205" s="35"/>
      <c r="D1205" s="44"/>
      <c r="E1205" s="44"/>
      <c r="F1205" s="44"/>
      <c r="G1205" s="130"/>
      <c r="H1205" s="252">
        <f t="shared" si="39"/>
        <v>0</v>
      </c>
      <c r="I1205" s="252">
        <f t="shared" si="40"/>
        <v>0</v>
      </c>
      <c r="J1205" s="170" t="str">
        <f>IF(A1205="","",SUM($H$7:H1205)-SUM($I$7:I1205))</f>
        <v/>
      </c>
      <c r="K1205" s="34"/>
    </row>
    <row r="1206" spans="1:11" x14ac:dyDescent="0.2">
      <c r="A1206" s="44"/>
      <c r="B1206" s="44"/>
      <c r="C1206" s="35"/>
      <c r="D1206" s="44"/>
      <c r="E1206" s="44"/>
      <c r="F1206" s="44"/>
      <c r="G1206" s="130"/>
      <c r="H1206" s="252">
        <f t="shared" ref="H1206:H1269" si="41">IF($C1206="Replenishment",$G1206,0)</f>
        <v>0</v>
      </c>
      <c r="I1206" s="252">
        <f t="shared" si="40"/>
        <v>0</v>
      </c>
      <c r="J1206" s="170" t="str">
        <f>IF(A1206="","",SUM($H$7:H1206)-SUM($I$7:I1206))</f>
        <v/>
      </c>
      <c r="K1206" s="34"/>
    </row>
    <row r="1207" spans="1:11" x14ac:dyDescent="0.2">
      <c r="A1207" s="44"/>
      <c r="B1207" s="44"/>
      <c r="C1207" s="35"/>
      <c r="D1207" s="44"/>
      <c r="E1207" s="44"/>
      <c r="F1207" s="44"/>
      <c r="G1207" s="130"/>
      <c r="H1207" s="252">
        <f t="shared" si="41"/>
        <v>0</v>
      </c>
      <c r="I1207" s="252">
        <f t="shared" si="40"/>
        <v>0</v>
      </c>
      <c r="J1207" s="170" t="str">
        <f>IF(A1207="","",SUM($H$7:H1207)-SUM($I$7:I1207))</f>
        <v/>
      </c>
      <c r="K1207" s="34"/>
    </row>
    <row r="1208" spans="1:11" x14ac:dyDescent="0.2">
      <c r="A1208" s="44"/>
      <c r="B1208" s="44"/>
      <c r="C1208" s="35"/>
      <c r="D1208" s="44"/>
      <c r="E1208" s="44"/>
      <c r="F1208" s="44"/>
      <c r="G1208" s="130"/>
      <c r="H1208" s="252">
        <f t="shared" si="41"/>
        <v>0</v>
      </c>
      <c r="I1208" s="252">
        <f t="shared" si="40"/>
        <v>0</v>
      </c>
      <c r="J1208" s="170" t="str">
        <f>IF(A1208="","",SUM($H$7:H1208)-SUM($I$7:I1208))</f>
        <v/>
      </c>
      <c r="K1208" s="34"/>
    </row>
    <row r="1209" spans="1:11" x14ac:dyDescent="0.2">
      <c r="A1209" s="44"/>
      <c r="B1209" s="44"/>
      <c r="C1209" s="35"/>
      <c r="D1209" s="44"/>
      <c r="E1209" s="44"/>
      <c r="F1209" s="44"/>
      <c r="G1209" s="130"/>
      <c r="H1209" s="252">
        <f t="shared" si="41"/>
        <v>0</v>
      </c>
      <c r="I1209" s="252">
        <f t="shared" si="40"/>
        <v>0</v>
      </c>
      <c r="J1209" s="170" t="str">
        <f>IF(A1209="","",SUM($H$7:H1209)-SUM($I$7:I1209))</f>
        <v/>
      </c>
      <c r="K1209" s="34"/>
    </row>
    <row r="1210" spans="1:11" x14ac:dyDescent="0.2">
      <c r="A1210" s="44"/>
      <c r="B1210" s="44"/>
      <c r="C1210" s="35"/>
      <c r="D1210" s="44"/>
      <c r="E1210" s="44"/>
      <c r="F1210" s="44"/>
      <c r="G1210" s="130"/>
      <c r="H1210" s="252">
        <f t="shared" si="41"/>
        <v>0</v>
      </c>
      <c r="I1210" s="252">
        <f t="shared" si="40"/>
        <v>0</v>
      </c>
      <c r="J1210" s="170" t="str">
        <f>IF(A1210="","",SUM($H$7:H1210)-SUM($I$7:I1210))</f>
        <v/>
      </c>
      <c r="K1210" s="34"/>
    </row>
    <row r="1211" spans="1:11" x14ac:dyDescent="0.2">
      <c r="A1211" s="44"/>
      <c r="B1211" s="44"/>
      <c r="C1211" s="35"/>
      <c r="D1211" s="44"/>
      <c r="E1211" s="44"/>
      <c r="F1211" s="44"/>
      <c r="G1211" s="130"/>
      <c r="H1211" s="252">
        <f t="shared" si="41"/>
        <v>0</v>
      </c>
      <c r="I1211" s="252">
        <f t="shared" si="40"/>
        <v>0</v>
      </c>
      <c r="J1211" s="170" t="str">
        <f>IF(A1211="","",SUM($H$7:H1211)-SUM($I$7:I1211))</f>
        <v/>
      </c>
      <c r="K1211" s="34"/>
    </row>
    <row r="1212" spans="1:11" x14ac:dyDescent="0.2">
      <c r="A1212" s="44"/>
      <c r="B1212" s="44"/>
      <c r="C1212" s="35"/>
      <c r="D1212" s="44"/>
      <c r="E1212" s="44"/>
      <c r="F1212" s="44"/>
      <c r="G1212" s="130"/>
      <c r="H1212" s="252">
        <f t="shared" si="41"/>
        <v>0</v>
      </c>
      <c r="I1212" s="252">
        <f t="shared" si="40"/>
        <v>0</v>
      </c>
      <c r="J1212" s="170" t="str">
        <f>IF(A1212="","",SUM($H$7:H1212)-SUM($I$7:I1212))</f>
        <v/>
      </c>
      <c r="K1212" s="34"/>
    </row>
    <row r="1213" spans="1:11" x14ac:dyDescent="0.2">
      <c r="A1213" s="44"/>
      <c r="B1213" s="44"/>
      <c r="C1213" s="35"/>
      <c r="D1213" s="44"/>
      <c r="E1213" s="44"/>
      <c r="F1213" s="44"/>
      <c r="G1213" s="130"/>
      <c r="H1213" s="252">
        <f t="shared" si="41"/>
        <v>0</v>
      </c>
      <c r="I1213" s="252">
        <f t="shared" si="40"/>
        <v>0</v>
      </c>
      <c r="J1213" s="170" t="str">
        <f>IF(A1213="","",SUM($H$7:H1213)-SUM($I$7:I1213))</f>
        <v/>
      </c>
      <c r="K1213" s="34"/>
    </row>
    <row r="1214" spans="1:11" x14ac:dyDescent="0.2">
      <c r="A1214" s="44"/>
      <c r="B1214" s="44"/>
      <c r="C1214" s="35"/>
      <c r="D1214" s="44"/>
      <c r="E1214" s="44"/>
      <c r="F1214" s="44"/>
      <c r="G1214" s="130"/>
      <c r="H1214" s="252">
        <f t="shared" si="41"/>
        <v>0</v>
      </c>
      <c r="I1214" s="252">
        <f t="shared" si="40"/>
        <v>0</v>
      </c>
      <c r="J1214" s="170" t="str">
        <f>IF(A1214="","",SUM($H$7:H1214)-SUM($I$7:I1214))</f>
        <v/>
      </c>
      <c r="K1214" s="34"/>
    </row>
    <row r="1215" spans="1:11" x14ac:dyDescent="0.2">
      <c r="A1215" s="44"/>
      <c r="B1215" s="44"/>
      <c r="C1215" s="35"/>
      <c r="D1215" s="44"/>
      <c r="E1215" s="44"/>
      <c r="F1215" s="44"/>
      <c r="G1215" s="130"/>
      <c r="H1215" s="252">
        <f t="shared" si="41"/>
        <v>0</v>
      </c>
      <c r="I1215" s="252">
        <f t="shared" si="40"/>
        <v>0</v>
      </c>
      <c r="J1215" s="170" t="str">
        <f>IF(A1215="","",SUM($H$7:H1215)-SUM($I$7:I1215))</f>
        <v/>
      </c>
      <c r="K1215" s="34"/>
    </row>
    <row r="1216" spans="1:11" x14ac:dyDescent="0.2">
      <c r="A1216" s="44"/>
      <c r="B1216" s="44"/>
      <c r="C1216" s="35"/>
      <c r="D1216" s="44"/>
      <c r="E1216" s="44"/>
      <c r="F1216" s="44"/>
      <c r="G1216" s="130"/>
      <c r="H1216" s="252">
        <f t="shared" si="41"/>
        <v>0</v>
      </c>
      <c r="I1216" s="252">
        <f t="shared" si="40"/>
        <v>0</v>
      </c>
      <c r="J1216" s="170" t="str">
        <f>IF(A1216="","",SUM($H$7:H1216)-SUM($I$7:I1216))</f>
        <v/>
      </c>
      <c r="K1216" s="34"/>
    </row>
    <row r="1217" spans="1:11" x14ac:dyDescent="0.2">
      <c r="A1217" s="44"/>
      <c r="B1217" s="44"/>
      <c r="C1217" s="35"/>
      <c r="D1217" s="44"/>
      <c r="E1217" s="44"/>
      <c r="F1217" s="44"/>
      <c r="G1217" s="130"/>
      <c r="H1217" s="252">
        <f t="shared" si="41"/>
        <v>0</v>
      </c>
      <c r="I1217" s="252">
        <f t="shared" si="40"/>
        <v>0</v>
      </c>
      <c r="J1217" s="170" t="str">
        <f>IF(A1217="","",SUM($H$7:H1217)-SUM($I$7:I1217))</f>
        <v/>
      </c>
      <c r="K1217" s="34"/>
    </row>
    <row r="1218" spans="1:11" x14ac:dyDescent="0.2">
      <c r="A1218" s="44"/>
      <c r="B1218" s="44"/>
      <c r="C1218" s="35"/>
      <c r="D1218" s="44"/>
      <c r="E1218" s="44"/>
      <c r="F1218" s="44"/>
      <c r="G1218" s="130"/>
      <c r="H1218" s="252">
        <f t="shared" si="41"/>
        <v>0</v>
      </c>
      <c r="I1218" s="252">
        <f t="shared" si="40"/>
        <v>0</v>
      </c>
      <c r="J1218" s="170" t="str">
        <f>IF(A1218="","",SUM($H$7:H1218)-SUM($I$7:I1218))</f>
        <v/>
      </c>
      <c r="K1218" s="34"/>
    </row>
    <row r="1219" spans="1:11" x14ac:dyDescent="0.2">
      <c r="A1219" s="44"/>
      <c r="B1219" s="44"/>
      <c r="C1219" s="35"/>
      <c r="D1219" s="44"/>
      <c r="E1219" s="44"/>
      <c r="F1219" s="44"/>
      <c r="G1219" s="130"/>
      <c r="H1219" s="252">
        <f t="shared" si="41"/>
        <v>0</v>
      </c>
      <c r="I1219" s="252">
        <f t="shared" si="40"/>
        <v>0</v>
      </c>
      <c r="J1219" s="170" t="str">
        <f>IF(A1219="","",SUM($H$7:H1219)-SUM($I$7:I1219))</f>
        <v/>
      </c>
      <c r="K1219" s="34"/>
    </row>
    <row r="1220" spans="1:11" x14ac:dyDescent="0.2">
      <c r="A1220" s="44"/>
      <c r="B1220" s="44"/>
      <c r="C1220" s="35"/>
      <c r="D1220" s="44"/>
      <c r="E1220" s="44"/>
      <c r="F1220" s="44"/>
      <c r="G1220" s="130"/>
      <c r="H1220" s="252">
        <f t="shared" si="41"/>
        <v>0</v>
      </c>
      <c r="I1220" s="252">
        <f t="shared" si="40"/>
        <v>0</v>
      </c>
      <c r="J1220" s="170" t="str">
        <f>IF(A1220="","",SUM($H$7:H1220)-SUM($I$7:I1220))</f>
        <v/>
      </c>
      <c r="K1220" s="34"/>
    </row>
    <row r="1221" spans="1:11" x14ac:dyDescent="0.2">
      <c r="A1221" s="44"/>
      <c r="B1221" s="44"/>
      <c r="C1221" s="35"/>
      <c r="D1221" s="44"/>
      <c r="E1221" s="44"/>
      <c r="F1221" s="44"/>
      <c r="G1221" s="130"/>
      <c r="H1221" s="252">
        <f t="shared" si="41"/>
        <v>0</v>
      </c>
      <c r="I1221" s="252">
        <f t="shared" si="40"/>
        <v>0</v>
      </c>
      <c r="J1221" s="170" t="str">
        <f>IF(A1221="","",SUM($H$7:H1221)-SUM($I$7:I1221))</f>
        <v/>
      </c>
      <c r="K1221" s="34"/>
    </row>
    <row r="1222" spans="1:11" x14ac:dyDescent="0.2">
      <c r="A1222" s="44"/>
      <c r="B1222" s="44"/>
      <c r="C1222" s="35"/>
      <c r="D1222" s="44"/>
      <c r="E1222" s="44"/>
      <c r="F1222" s="44"/>
      <c r="G1222" s="130"/>
      <c r="H1222" s="252">
        <f t="shared" si="41"/>
        <v>0</v>
      </c>
      <c r="I1222" s="252">
        <f t="shared" si="40"/>
        <v>0</v>
      </c>
      <c r="J1222" s="170" t="str">
        <f>IF(A1222="","",SUM($H$7:H1222)-SUM($I$7:I1222))</f>
        <v/>
      </c>
      <c r="K1222" s="34"/>
    </row>
    <row r="1223" spans="1:11" x14ac:dyDescent="0.2">
      <c r="A1223" s="44"/>
      <c r="B1223" s="44"/>
      <c r="C1223" s="35"/>
      <c r="D1223" s="44"/>
      <c r="E1223" s="44"/>
      <c r="F1223" s="44"/>
      <c r="G1223" s="130"/>
      <c r="H1223" s="252">
        <f t="shared" si="41"/>
        <v>0</v>
      </c>
      <c r="I1223" s="252">
        <f t="shared" ref="I1223:I1286" si="42">IF($C1223="Replenishment",0,$G1223)</f>
        <v>0</v>
      </c>
      <c r="J1223" s="170" t="str">
        <f>IF(A1223="","",SUM($H$7:H1223)-SUM($I$7:I1223))</f>
        <v/>
      </c>
      <c r="K1223" s="34"/>
    </row>
    <row r="1224" spans="1:11" x14ac:dyDescent="0.2">
      <c r="A1224" s="44"/>
      <c r="B1224" s="44"/>
      <c r="C1224" s="35"/>
      <c r="D1224" s="44"/>
      <c r="E1224" s="44"/>
      <c r="F1224" s="44"/>
      <c r="G1224" s="130"/>
      <c r="H1224" s="252">
        <f t="shared" si="41"/>
        <v>0</v>
      </c>
      <c r="I1224" s="252">
        <f t="shared" si="42"/>
        <v>0</v>
      </c>
      <c r="J1224" s="170" t="str">
        <f>IF(A1224="","",SUM($H$7:H1224)-SUM($I$7:I1224))</f>
        <v/>
      </c>
      <c r="K1224" s="34"/>
    </row>
    <row r="1225" spans="1:11" x14ac:dyDescent="0.2">
      <c r="A1225" s="44"/>
      <c r="B1225" s="44"/>
      <c r="C1225" s="35"/>
      <c r="D1225" s="44"/>
      <c r="E1225" s="44"/>
      <c r="F1225" s="44"/>
      <c r="G1225" s="130"/>
      <c r="H1225" s="252">
        <f t="shared" si="41"/>
        <v>0</v>
      </c>
      <c r="I1225" s="252">
        <f t="shared" si="42"/>
        <v>0</v>
      </c>
      <c r="J1225" s="170" t="str">
        <f>IF(A1225="","",SUM($H$7:H1225)-SUM($I$7:I1225))</f>
        <v/>
      </c>
      <c r="K1225" s="34"/>
    </row>
    <row r="1226" spans="1:11" x14ac:dyDescent="0.2">
      <c r="A1226" s="44"/>
      <c r="B1226" s="44"/>
      <c r="C1226" s="35"/>
      <c r="D1226" s="44"/>
      <c r="E1226" s="44"/>
      <c r="F1226" s="44"/>
      <c r="G1226" s="130"/>
      <c r="H1226" s="252">
        <f t="shared" si="41"/>
        <v>0</v>
      </c>
      <c r="I1226" s="252">
        <f t="shared" si="42"/>
        <v>0</v>
      </c>
      <c r="J1226" s="170" t="str">
        <f>IF(A1226="","",SUM($H$7:H1226)-SUM($I$7:I1226))</f>
        <v/>
      </c>
      <c r="K1226" s="34"/>
    </row>
    <row r="1227" spans="1:11" x14ac:dyDescent="0.2">
      <c r="A1227" s="44"/>
      <c r="B1227" s="44"/>
      <c r="C1227" s="35"/>
      <c r="D1227" s="44"/>
      <c r="E1227" s="44"/>
      <c r="F1227" s="44"/>
      <c r="G1227" s="130"/>
      <c r="H1227" s="252">
        <f t="shared" si="41"/>
        <v>0</v>
      </c>
      <c r="I1227" s="252">
        <f t="shared" si="42"/>
        <v>0</v>
      </c>
      <c r="J1227" s="170" t="str">
        <f>IF(A1227="","",SUM($H$7:H1227)-SUM($I$7:I1227))</f>
        <v/>
      </c>
      <c r="K1227" s="34"/>
    </row>
    <row r="1228" spans="1:11" x14ac:dyDescent="0.2">
      <c r="A1228" s="44"/>
      <c r="B1228" s="44"/>
      <c r="C1228" s="35"/>
      <c r="D1228" s="44"/>
      <c r="E1228" s="44"/>
      <c r="F1228" s="44"/>
      <c r="G1228" s="130"/>
      <c r="H1228" s="252">
        <f t="shared" si="41"/>
        <v>0</v>
      </c>
      <c r="I1228" s="252">
        <f t="shared" si="42"/>
        <v>0</v>
      </c>
      <c r="J1228" s="170" t="str">
        <f>IF(A1228="","",SUM($H$7:H1228)-SUM($I$7:I1228))</f>
        <v/>
      </c>
      <c r="K1228" s="34"/>
    </row>
    <row r="1229" spans="1:11" x14ac:dyDescent="0.2">
      <c r="A1229" s="44"/>
      <c r="B1229" s="44"/>
      <c r="C1229" s="35"/>
      <c r="D1229" s="44"/>
      <c r="E1229" s="44"/>
      <c r="F1229" s="44"/>
      <c r="G1229" s="130"/>
      <c r="H1229" s="252">
        <f t="shared" si="41"/>
        <v>0</v>
      </c>
      <c r="I1229" s="252">
        <f t="shared" si="42"/>
        <v>0</v>
      </c>
      <c r="J1229" s="170" t="str">
        <f>IF(A1229="","",SUM($H$7:H1229)-SUM($I$7:I1229))</f>
        <v/>
      </c>
      <c r="K1229" s="34"/>
    </row>
    <row r="1230" spans="1:11" x14ac:dyDescent="0.2">
      <c r="A1230" s="44"/>
      <c r="B1230" s="44"/>
      <c r="C1230" s="35"/>
      <c r="D1230" s="44"/>
      <c r="E1230" s="44"/>
      <c r="F1230" s="44"/>
      <c r="G1230" s="130"/>
      <c r="H1230" s="252">
        <f t="shared" si="41"/>
        <v>0</v>
      </c>
      <c r="I1230" s="252">
        <f t="shared" si="42"/>
        <v>0</v>
      </c>
      <c r="J1230" s="170" t="str">
        <f>IF(A1230="","",SUM($H$7:H1230)-SUM($I$7:I1230))</f>
        <v/>
      </c>
      <c r="K1230" s="34"/>
    </row>
    <row r="1231" spans="1:11" x14ac:dyDescent="0.2">
      <c r="A1231" s="44"/>
      <c r="B1231" s="44"/>
      <c r="C1231" s="35"/>
      <c r="D1231" s="44"/>
      <c r="E1231" s="44"/>
      <c r="F1231" s="44"/>
      <c r="G1231" s="130"/>
      <c r="H1231" s="252">
        <f t="shared" si="41"/>
        <v>0</v>
      </c>
      <c r="I1231" s="252">
        <f t="shared" si="42"/>
        <v>0</v>
      </c>
      <c r="J1231" s="170" t="str">
        <f>IF(A1231="","",SUM($H$7:H1231)-SUM($I$7:I1231))</f>
        <v/>
      </c>
      <c r="K1231" s="34"/>
    </row>
    <row r="1232" spans="1:11" x14ac:dyDescent="0.2">
      <c r="A1232" s="44"/>
      <c r="B1232" s="44"/>
      <c r="C1232" s="35"/>
      <c r="D1232" s="44"/>
      <c r="E1232" s="44"/>
      <c r="F1232" s="44"/>
      <c r="G1232" s="130"/>
      <c r="H1232" s="252">
        <f t="shared" si="41"/>
        <v>0</v>
      </c>
      <c r="I1232" s="252">
        <f t="shared" si="42"/>
        <v>0</v>
      </c>
      <c r="J1232" s="170" t="str">
        <f>IF(A1232="","",SUM($H$7:H1232)-SUM($I$7:I1232))</f>
        <v/>
      </c>
      <c r="K1232" s="34"/>
    </row>
    <row r="1233" spans="1:11" x14ac:dyDescent="0.2">
      <c r="A1233" s="44"/>
      <c r="B1233" s="44"/>
      <c r="C1233" s="35"/>
      <c r="D1233" s="44"/>
      <c r="E1233" s="44"/>
      <c r="F1233" s="44"/>
      <c r="G1233" s="130"/>
      <c r="H1233" s="252">
        <f t="shared" si="41"/>
        <v>0</v>
      </c>
      <c r="I1233" s="252">
        <f t="shared" si="42"/>
        <v>0</v>
      </c>
      <c r="J1233" s="170" t="str">
        <f>IF(A1233="","",SUM($H$7:H1233)-SUM($I$7:I1233))</f>
        <v/>
      </c>
      <c r="K1233" s="34"/>
    </row>
    <row r="1234" spans="1:11" x14ac:dyDescent="0.2">
      <c r="A1234" s="44"/>
      <c r="B1234" s="44"/>
      <c r="C1234" s="35"/>
      <c r="D1234" s="44"/>
      <c r="E1234" s="44"/>
      <c r="F1234" s="44"/>
      <c r="G1234" s="130"/>
      <c r="H1234" s="252">
        <f t="shared" si="41"/>
        <v>0</v>
      </c>
      <c r="I1234" s="252">
        <f t="shared" si="42"/>
        <v>0</v>
      </c>
      <c r="J1234" s="170" t="str">
        <f>IF(A1234="","",SUM($H$7:H1234)-SUM($I$7:I1234))</f>
        <v/>
      </c>
      <c r="K1234" s="34"/>
    </row>
    <row r="1235" spans="1:11" x14ac:dyDescent="0.2">
      <c r="A1235" s="44"/>
      <c r="B1235" s="44"/>
      <c r="C1235" s="35"/>
      <c r="D1235" s="44"/>
      <c r="E1235" s="44"/>
      <c r="F1235" s="44"/>
      <c r="G1235" s="130"/>
      <c r="H1235" s="252">
        <f t="shared" si="41"/>
        <v>0</v>
      </c>
      <c r="I1235" s="252">
        <f t="shared" si="42"/>
        <v>0</v>
      </c>
      <c r="J1235" s="170" t="str">
        <f>IF(A1235="","",SUM($H$7:H1235)-SUM($I$7:I1235))</f>
        <v/>
      </c>
      <c r="K1235" s="34"/>
    </row>
    <row r="1236" spans="1:11" x14ac:dyDescent="0.2">
      <c r="A1236" s="44"/>
      <c r="B1236" s="44"/>
      <c r="C1236" s="35"/>
      <c r="D1236" s="44"/>
      <c r="E1236" s="44"/>
      <c r="F1236" s="44"/>
      <c r="G1236" s="130"/>
      <c r="H1236" s="252">
        <f t="shared" si="41"/>
        <v>0</v>
      </c>
      <c r="I1236" s="252">
        <f t="shared" si="42"/>
        <v>0</v>
      </c>
      <c r="J1236" s="170" t="str">
        <f>IF(A1236="","",SUM($H$7:H1236)-SUM($I$7:I1236))</f>
        <v/>
      </c>
      <c r="K1236" s="34"/>
    </row>
    <row r="1237" spans="1:11" x14ac:dyDescent="0.2">
      <c r="A1237" s="44"/>
      <c r="B1237" s="44"/>
      <c r="C1237" s="35"/>
      <c r="D1237" s="44"/>
      <c r="E1237" s="44"/>
      <c r="F1237" s="44"/>
      <c r="G1237" s="130"/>
      <c r="H1237" s="252">
        <f t="shared" si="41"/>
        <v>0</v>
      </c>
      <c r="I1237" s="252">
        <f t="shared" si="42"/>
        <v>0</v>
      </c>
      <c r="J1237" s="170" t="str">
        <f>IF(A1237="","",SUM($H$7:H1237)-SUM($I$7:I1237))</f>
        <v/>
      </c>
      <c r="K1237" s="34"/>
    </row>
    <row r="1238" spans="1:11" x14ac:dyDescent="0.2">
      <c r="A1238" s="44"/>
      <c r="B1238" s="44"/>
      <c r="C1238" s="35"/>
      <c r="D1238" s="44"/>
      <c r="E1238" s="44"/>
      <c r="F1238" s="44"/>
      <c r="G1238" s="130"/>
      <c r="H1238" s="252">
        <f t="shared" si="41"/>
        <v>0</v>
      </c>
      <c r="I1238" s="252">
        <f t="shared" si="42"/>
        <v>0</v>
      </c>
      <c r="J1238" s="170" t="str">
        <f>IF(A1238="","",SUM($H$7:H1238)-SUM($I$7:I1238))</f>
        <v/>
      </c>
      <c r="K1238" s="34"/>
    </row>
    <row r="1239" spans="1:11" x14ac:dyDescent="0.2">
      <c r="A1239" s="44"/>
      <c r="B1239" s="44"/>
      <c r="C1239" s="35"/>
      <c r="D1239" s="44"/>
      <c r="E1239" s="44"/>
      <c r="F1239" s="44"/>
      <c r="G1239" s="130"/>
      <c r="H1239" s="252">
        <f t="shared" si="41"/>
        <v>0</v>
      </c>
      <c r="I1239" s="252">
        <f t="shared" si="42"/>
        <v>0</v>
      </c>
      <c r="J1239" s="170" t="str">
        <f>IF(A1239="","",SUM($H$7:H1239)-SUM($I$7:I1239))</f>
        <v/>
      </c>
      <c r="K1239" s="34"/>
    </row>
    <row r="1240" spans="1:11" x14ac:dyDescent="0.2">
      <c r="A1240" s="44"/>
      <c r="B1240" s="44"/>
      <c r="C1240" s="35"/>
      <c r="D1240" s="44"/>
      <c r="E1240" s="44"/>
      <c r="F1240" s="44"/>
      <c r="G1240" s="130"/>
      <c r="H1240" s="252">
        <f t="shared" si="41"/>
        <v>0</v>
      </c>
      <c r="I1240" s="252">
        <f t="shared" si="42"/>
        <v>0</v>
      </c>
      <c r="J1240" s="170" t="str">
        <f>IF(A1240="","",SUM($H$7:H1240)-SUM($I$7:I1240))</f>
        <v/>
      </c>
      <c r="K1240" s="34"/>
    </row>
    <row r="1241" spans="1:11" x14ac:dyDescent="0.2">
      <c r="A1241" s="44"/>
      <c r="B1241" s="44"/>
      <c r="C1241" s="35"/>
      <c r="D1241" s="44"/>
      <c r="E1241" s="44"/>
      <c r="F1241" s="44"/>
      <c r="G1241" s="130"/>
      <c r="H1241" s="252">
        <f t="shared" si="41"/>
        <v>0</v>
      </c>
      <c r="I1241" s="252">
        <f t="shared" si="42"/>
        <v>0</v>
      </c>
      <c r="J1241" s="170" t="str">
        <f>IF(A1241="","",SUM($H$7:H1241)-SUM($I$7:I1241))</f>
        <v/>
      </c>
      <c r="K1241" s="34"/>
    </row>
    <row r="1242" spans="1:11" x14ac:dyDescent="0.2">
      <c r="A1242" s="44"/>
      <c r="B1242" s="44"/>
      <c r="C1242" s="35"/>
      <c r="D1242" s="44"/>
      <c r="E1242" s="44"/>
      <c r="F1242" s="44"/>
      <c r="G1242" s="130"/>
      <c r="H1242" s="252">
        <f t="shared" si="41"/>
        <v>0</v>
      </c>
      <c r="I1242" s="252">
        <f t="shared" si="42"/>
        <v>0</v>
      </c>
      <c r="J1242" s="170" t="str">
        <f>IF(A1242="","",SUM($H$7:H1242)-SUM($I$7:I1242))</f>
        <v/>
      </c>
      <c r="K1242" s="34"/>
    </row>
    <row r="1243" spans="1:11" x14ac:dyDescent="0.2">
      <c r="A1243" s="44"/>
      <c r="B1243" s="44"/>
      <c r="C1243" s="35"/>
      <c r="D1243" s="44"/>
      <c r="E1243" s="44"/>
      <c r="F1243" s="44"/>
      <c r="G1243" s="130"/>
      <c r="H1243" s="252">
        <f t="shared" si="41"/>
        <v>0</v>
      </c>
      <c r="I1243" s="252">
        <f t="shared" si="42"/>
        <v>0</v>
      </c>
      <c r="J1243" s="170" t="str">
        <f>IF(A1243="","",SUM($H$7:H1243)-SUM($I$7:I1243))</f>
        <v/>
      </c>
      <c r="K1243" s="34"/>
    </row>
    <row r="1244" spans="1:11" x14ac:dyDescent="0.2">
      <c r="A1244" s="44"/>
      <c r="B1244" s="44"/>
      <c r="C1244" s="35"/>
      <c r="D1244" s="44"/>
      <c r="E1244" s="44"/>
      <c r="F1244" s="44"/>
      <c r="G1244" s="130"/>
      <c r="H1244" s="252">
        <f t="shared" si="41"/>
        <v>0</v>
      </c>
      <c r="I1244" s="252">
        <f t="shared" si="42"/>
        <v>0</v>
      </c>
      <c r="J1244" s="170" t="str">
        <f>IF(A1244="","",SUM($H$7:H1244)-SUM($I$7:I1244))</f>
        <v/>
      </c>
      <c r="K1244" s="34"/>
    </row>
    <row r="1245" spans="1:11" x14ac:dyDescent="0.2">
      <c r="A1245" s="44"/>
      <c r="B1245" s="44"/>
      <c r="C1245" s="35"/>
      <c r="D1245" s="44"/>
      <c r="E1245" s="44"/>
      <c r="F1245" s="44"/>
      <c r="G1245" s="130"/>
      <c r="H1245" s="252">
        <f t="shared" si="41"/>
        <v>0</v>
      </c>
      <c r="I1245" s="252">
        <f t="shared" si="42"/>
        <v>0</v>
      </c>
      <c r="J1245" s="170" t="str">
        <f>IF(A1245="","",SUM($H$7:H1245)-SUM($I$7:I1245))</f>
        <v/>
      </c>
      <c r="K1245" s="34"/>
    </row>
    <row r="1246" spans="1:11" x14ac:dyDescent="0.2">
      <c r="A1246" s="44"/>
      <c r="B1246" s="44"/>
      <c r="C1246" s="35"/>
      <c r="D1246" s="44"/>
      <c r="E1246" s="44"/>
      <c r="F1246" s="44"/>
      <c r="G1246" s="130"/>
      <c r="H1246" s="252">
        <f t="shared" si="41"/>
        <v>0</v>
      </c>
      <c r="I1246" s="252">
        <f t="shared" si="42"/>
        <v>0</v>
      </c>
      <c r="J1246" s="170" t="str">
        <f>IF(A1246="","",SUM($H$7:H1246)-SUM($I$7:I1246))</f>
        <v/>
      </c>
      <c r="K1246" s="34"/>
    </row>
    <row r="1247" spans="1:11" x14ac:dyDescent="0.2">
      <c r="A1247" s="44"/>
      <c r="B1247" s="44"/>
      <c r="C1247" s="35"/>
      <c r="D1247" s="44"/>
      <c r="E1247" s="44"/>
      <c r="F1247" s="44"/>
      <c r="G1247" s="130"/>
      <c r="H1247" s="252">
        <f t="shared" si="41"/>
        <v>0</v>
      </c>
      <c r="I1247" s="252">
        <f t="shared" si="42"/>
        <v>0</v>
      </c>
      <c r="J1247" s="170" t="str">
        <f>IF(A1247="","",SUM($H$7:H1247)-SUM($I$7:I1247))</f>
        <v/>
      </c>
      <c r="K1247" s="34"/>
    </row>
    <row r="1248" spans="1:11" x14ac:dyDescent="0.2">
      <c r="A1248" s="44"/>
      <c r="B1248" s="44"/>
      <c r="C1248" s="35"/>
      <c r="D1248" s="44"/>
      <c r="E1248" s="44"/>
      <c r="F1248" s="44"/>
      <c r="G1248" s="130"/>
      <c r="H1248" s="252">
        <f t="shared" si="41"/>
        <v>0</v>
      </c>
      <c r="I1248" s="252">
        <f t="shared" si="42"/>
        <v>0</v>
      </c>
      <c r="J1248" s="170" t="str">
        <f>IF(A1248="","",SUM($H$7:H1248)-SUM($I$7:I1248))</f>
        <v/>
      </c>
      <c r="K1248" s="34"/>
    </row>
    <row r="1249" spans="1:11" x14ac:dyDescent="0.2">
      <c r="A1249" s="44"/>
      <c r="B1249" s="44"/>
      <c r="C1249" s="35"/>
      <c r="D1249" s="44"/>
      <c r="E1249" s="44"/>
      <c r="F1249" s="44"/>
      <c r="G1249" s="130"/>
      <c r="H1249" s="252">
        <f t="shared" si="41"/>
        <v>0</v>
      </c>
      <c r="I1249" s="252">
        <f t="shared" si="42"/>
        <v>0</v>
      </c>
      <c r="J1249" s="170" t="str">
        <f>IF(A1249="","",SUM($H$7:H1249)-SUM($I$7:I1249))</f>
        <v/>
      </c>
      <c r="K1249" s="34"/>
    </row>
    <row r="1250" spans="1:11" x14ac:dyDescent="0.2">
      <c r="A1250" s="44"/>
      <c r="B1250" s="44"/>
      <c r="C1250" s="35"/>
      <c r="D1250" s="44"/>
      <c r="E1250" s="44"/>
      <c r="F1250" s="44"/>
      <c r="G1250" s="130"/>
      <c r="H1250" s="252">
        <f t="shared" si="41"/>
        <v>0</v>
      </c>
      <c r="I1250" s="252">
        <f t="shared" si="42"/>
        <v>0</v>
      </c>
      <c r="J1250" s="170" t="str">
        <f>IF(A1250="","",SUM($H$7:H1250)-SUM($I$7:I1250))</f>
        <v/>
      </c>
      <c r="K1250" s="34"/>
    </row>
    <row r="1251" spans="1:11" x14ac:dyDescent="0.2">
      <c r="A1251" s="44"/>
      <c r="B1251" s="44"/>
      <c r="C1251" s="35"/>
      <c r="D1251" s="44"/>
      <c r="E1251" s="44"/>
      <c r="F1251" s="44"/>
      <c r="G1251" s="130"/>
      <c r="H1251" s="252">
        <f t="shared" si="41"/>
        <v>0</v>
      </c>
      <c r="I1251" s="252">
        <f t="shared" si="42"/>
        <v>0</v>
      </c>
      <c r="J1251" s="170" t="str">
        <f>IF(A1251="","",SUM($H$7:H1251)-SUM($I$7:I1251))</f>
        <v/>
      </c>
      <c r="K1251" s="34"/>
    </row>
    <row r="1252" spans="1:11" x14ac:dyDescent="0.2">
      <c r="A1252" s="44"/>
      <c r="B1252" s="44"/>
      <c r="C1252" s="35"/>
      <c r="D1252" s="44"/>
      <c r="E1252" s="44"/>
      <c r="F1252" s="44"/>
      <c r="G1252" s="130"/>
      <c r="H1252" s="252">
        <f t="shared" si="41"/>
        <v>0</v>
      </c>
      <c r="I1252" s="252">
        <f t="shared" si="42"/>
        <v>0</v>
      </c>
      <c r="J1252" s="170" t="str">
        <f>IF(A1252="","",SUM($H$7:H1252)-SUM($I$7:I1252))</f>
        <v/>
      </c>
      <c r="K1252" s="34"/>
    </row>
    <row r="1253" spans="1:11" x14ac:dyDescent="0.2">
      <c r="A1253" s="44"/>
      <c r="B1253" s="44"/>
      <c r="C1253" s="35"/>
      <c r="D1253" s="44"/>
      <c r="E1253" s="44"/>
      <c r="F1253" s="44"/>
      <c r="G1253" s="130"/>
      <c r="H1253" s="252">
        <f t="shared" si="41"/>
        <v>0</v>
      </c>
      <c r="I1253" s="252">
        <f t="shared" si="42"/>
        <v>0</v>
      </c>
      <c r="J1253" s="170" t="str">
        <f>IF(A1253="","",SUM($H$7:H1253)-SUM($I$7:I1253))</f>
        <v/>
      </c>
      <c r="K1253" s="34"/>
    </row>
    <row r="1254" spans="1:11" x14ac:dyDescent="0.2">
      <c r="A1254" s="44"/>
      <c r="B1254" s="44"/>
      <c r="C1254" s="35"/>
      <c r="D1254" s="44"/>
      <c r="E1254" s="44"/>
      <c r="F1254" s="44"/>
      <c r="G1254" s="130"/>
      <c r="H1254" s="252">
        <f t="shared" si="41"/>
        <v>0</v>
      </c>
      <c r="I1254" s="252">
        <f t="shared" si="42"/>
        <v>0</v>
      </c>
      <c r="J1254" s="170" t="str">
        <f>IF(A1254="","",SUM($H$7:H1254)-SUM($I$7:I1254))</f>
        <v/>
      </c>
      <c r="K1254" s="34"/>
    </row>
    <row r="1255" spans="1:11" x14ac:dyDescent="0.2">
      <c r="A1255" s="44"/>
      <c r="B1255" s="44"/>
      <c r="C1255" s="35"/>
      <c r="D1255" s="44"/>
      <c r="E1255" s="44"/>
      <c r="F1255" s="44"/>
      <c r="G1255" s="130"/>
      <c r="H1255" s="252">
        <f t="shared" si="41"/>
        <v>0</v>
      </c>
      <c r="I1255" s="252">
        <f t="shared" si="42"/>
        <v>0</v>
      </c>
      <c r="J1255" s="170" t="str">
        <f>IF(A1255="","",SUM($H$7:H1255)-SUM($I$7:I1255))</f>
        <v/>
      </c>
      <c r="K1255" s="34"/>
    </row>
    <row r="1256" spans="1:11" x14ac:dyDescent="0.2">
      <c r="A1256" s="44"/>
      <c r="B1256" s="44"/>
      <c r="C1256" s="35"/>
      <c r="D1256" s="44"/>
      <c r="E1256" s="44"/>
      <c r="F1256" s="44"/>
      <c r="G1256" s="130"/>
      <c r="H1256" s="252">
        <f t="shared" si="41"/>
        <v>0</v>
      </c>
      <c r="I1256" s="252">
        <f t="shared" si="42"/>
        <v>0</v>
      </c>
      <c r="J1256" s="170" t="str">
        <f>IF(A1256="","",SUM($H$7:H1256)-SUM($I$7:I1256))</f>
        <v/>
      </c>
      <c r="K1256" s="34"/>
    </row>
    <row r="1257" spans="1:11" x14ac:dyDescent="0.2">
      <c r="A1257" s="44"/>
      <c r="B1257" s="44"/>
      <c r="C1257" s="35"/>
      <c r="D1257" s="44"/>
      <c r="E1257" s="44"/>
      <c r="F1257" s="44"/>
      <c r="G1257" s="130"/>
      <c r="H1257" s="252">
        <f t="shared" si="41"/>
        <v>0</v>
      </c>
      <c r="I1257" s="252">
        <f t="shared" si="42"/>
        <v>0</v>
      </c>
      <c r="J1257" s="170" t="str">
        <f>IF(A1257="","",SUM($H$7:H1257)-SUM($I$7:I1257))</f>
        <v/>
      </c>
      <c r="K1257" s="34"/>
    </row>
    <row r="1258" spans="1:11" x14ac:dyDescent="0.2">
      <c r="A1258" s="44"/>
      <c r="B1258" s="44"/>
      <c r="C1258" s="35"/>
      <c r="D1258" s="44"/>
      <c r="E1258" s="44"/>
      <c r="F1258" s="44"/>
      <c r="G1258" s="130"/>
      <c r="H1258" s="252">
        <f t="shared" si="41"/>
        <v>0</v>
      </c>
      <c r="I1258" s="252">
        <f t="shared" si="42"/>
        <v>0</v>
      </c>
      <c r="J1258" s="170" t="str">
        <f>IF(A1258="","",SUM($H$7:H1258)-SUM($I$7:I1258))</f>
        <v/>
      </c>
      <c r="K1258" s="34"/>
    </row>
    <row r="1259" spans="1:11" x14ac:dyDescent="0.2">
      <c r="A1259" s="44"/>
      <c r="B1259" s="44"/>
      <c r="C1259" s="35"/>
      <c r="D1259" s="44"/>
      <c r="E1259" s="44"/>
      <c r="F1259" s="44"/>
      <c r="G1259" s="130"/>
      <c r="H1259" s="252">
        <f t="shared" si="41"/>
        <v>0</v>
      </c>
      <c r="I1259" s="252">
        <f t="shared" si="42"/>
        <v>0</v>
      </c>
      <c r="J1259" s="170" t="str">
        <f>IF(A1259="","",SUM($H$7:H1259)-SUM($I$7:I1259))</f>
        <v/>
      </c>
      <c r="K1259" s="34"/>
    </row>
    <row r="1260" spans="1:11" x14ac:dyDescent="0.2">
      <c r="A1260" s="44"/>
      <c r="B1260" s="44"/>
      <c r="C1260" s="35"/>
      <c r="D1260" s="44"/>
      <c r="E1260" s="44"/>
      <c r="F1260" s="44"/>
      <c r="G1260" s="130"/>
      <c r="H1260" s="252">
        <f t="shared" si="41"/>
        <v>0</v>
      </c>
      <c r="I1260" s="252">
        <f t="shared" si="42"/>
        <v>0</v>
      </c>
      <c r="J1260" s="170" t="str">
        <f>IF(A1260="","",SUM($H$7:H1260)-SUM($I$7:I1260))</f>
        <v/>
      </c>
      <c r="K1260" s="34"/>
    </row>
    <row r="1261" spans="1:11" x14ac:dyDescent="0.2">
      <c r="A1261" s="44"/>
      <c r="B1261" s="44"/>
      <c r="C1261" s="35"/>
      <c r="D1261" s="44"/>
      <c r="E1261" s="44"/>
      <c r="F1261" s="44"/>
      <c r="G1261" s="130"/>
      <c r="H1261" s="252">
        <f t="shared" si="41"/>
        <v>0</v>
      </c>
      <c r="I1261" s="252">
        <f t="shared" si="42"/>
        <v>0</v>
      </c>
      <c r="J1261" s="170" t="str">
        <f>IF(A1261="","",SUM($H$7:H1261)-SUM($I$7:I1261))</f>
        <v/>
      </c>
      <c r="K1261" s="34"/>
    </row>
    <row r="1262" spans="1:11" x14ac:dyDescent="0.2">
      <c r="A1262" s="44"/>
      <c r="B1262" s="44"/>
      <c r="C1262" s="35"/>
      <c r="D1262" s="44"/>
      <c r="E1262" s="44"/>
      <c r="F1262" s="44"/>
      <c r="G1262" s="130"/>
      <c r="H1262" s="252">
        <f t="shared" si="41"/>
        <v>0</v>
      </c>
      <c r="I1262" s="252">
        <f t="shared" si="42"/>
        <v>0</v>
      </c>
      <c r="J1262" s="170" t="str">
        <f>IF(A1262="","",SUM($H$7:H1262)-SUM($I$7:I1262))</f>
        <v/>
      </c>
      <c r="K1262" s="34"/>
    </row>
    <row r="1263" spans="1:11" x14ac:dyDescent="0.2">
      <c r="A1263" s="44"/>
      <c r="B1263" s="44"/>
      <c r="C1263" s="35"/>
      <c r="D1263" s="44"/>
      <c r="E1263" s="44"/>
      <c r="F1263" s="44"/>
      <c r="G1263" s="130"/>
      <c r="H1263" s="252">
        <f t="shared" si="41"/>
        <v>0</v>
      </c>
      <c r="I1263" s="252">
        <f t="shared" si="42"/>
        <v>0</v>
      </c>
      <c r="J1263" s="170" t="str">
        <f>IF(A1263="","",SUM($H$7:H1263)-SUM($I$7:I1263))</f>
        <v/>
      </c>
      <c r="K1263" s="34"/>
    </row>
    <row r="1264" spans="1:11" x14ac:dyDescent="0.2">
      <c r="A1264" s="44"/>
      <c r="B1264" s="44"/>
      <c r="C1264" s="35"/>
      <c r="D1264" s="44"/>
      <c r="E1264" s="44"/>
      <c r="F1264" s="44"/>
      <c r="G1264" s="130"/>
      <c r="H1264" s="252">
        <f t="shared" si="41"/>
        <v>0</v>
      </c>
      <c r="I1264" s="252">
        <f t="shared" si="42"/>
        <v>0</v>
      </c>
      <c r="J1264" s="170" t="str">
        <f>IF(A1264="","",SUM($H$7:H1264)-SUM($I$7:I1264))</f>
        <v/>
      </c>
      <c r="K1264" s="34"/>
    </row>
    <row r="1265" spans="1:11" x14ac:dyDescent="0.2">
      <c r="A1265" s="44"/>
      <c r="B1265" s="44"/>
      <c r="C1265" s="35"/>
      <c r="D1265" s="44"/>
      <c r="E1265" s="44"/>
      <c r="F1265" s="44"/>
      <c r="G1265" s="130"/>
      <c r="H1265" s="252">
        <f t="shared" si="41"/>
        <v>0</v>
      </c>
      <c r="I1265" s="252">
        <f t="shared" si="42"/>
        <v>0</v>
      </c>
      <c r="J1265" s="170" t="str">
        <f>IF(A1265="","",SUM($H$7:H1265)-SUM($I$7:I1265))</f>
        <v/>
      </c>
      <c r="K1265" s="34"/>
    </row>
    <row r="1266" spans="1:11" x14ac:dyDescent="0.2">
      <c r="A1266" s="44"/>
      <c r="B1266" s="44"/>
      <c r="C1266" s="35"/>
      <c r="D1266" s="44"/>
      <c r="E1266" s="44"/>
      <c r="F1266" s="44"/>
      <c r="G1266" s="130"/>
      <c r="H1266" s="252">
        <f t="shared" si="41"/>
        <v>0</v>
      </c>
      <c r="I1266" s="252">
        <f t="shared" si="42"/>
        <v>0</v>
      </c>
      <c r="J1266" s="170" t="str">
        <f>IF(A1266="","",SUM($H$7:H1266)-SUM($I$7:I1266))</f>
        <v/>
      </c>
      <c r="K1266" s="34"/>
    </row>
    <row r="1267" spans="1:11" x14ac:dyDescent="0.2">
      <c r="A1267" s="44"/>
      <c r="B1267" s="44"/>
      <c r="C1267" s="35"/>
      <c r="D1267" s="44"/>
      <c r="E1267" s="44"/>
      <c r="F1267" s="44"/>
      <c r="G1267" s="130"/>
      <c r="H1267" s="252">
        <f t="shared" si="41"/>
        <v>0</v>
      </c>
      <c r="I1267" s="252">
        <f t="shared" si="42"/>
        <v>0</v>
      </c>
      <c r="J1267" s="170" t="str">
        <f>IF(A1267="","",SUM($H$7:H1267)-SUM($I$7:I1267))</f>
        <v/>
      </c>
      <c r="K1267" s="34"/>
    </row>
    <row r="1268" spans="1:11" x14ac:dyDescent="0.2">
      <c r="A1268" s="44"/>
      <c r="B1268" s="44"/>
      <c r="C1268" s="35"/>
      <c r="D1268" s="44"/>
      <c r="E1268" s="44"/>
      <c r="F1268" s="44"/>
      <c r="G1268" s="130"/>
      <c r="H1268" s="252">
        <f t="shared" si="41"/>
        <v>0</v>
      </c>
      <c r="I1268" s="252">
        <f t="shared" si="42"/>
        <v>0</v>
      </c>
      <c r="J1268" s="170" t="str">
        <f>IF(A1268="","",SUM($H$7:H1268)-SUM($I$7:I1268))</f>
        <v/>
      </c>
      <c r="K1268" s="34"/>
    </row>
    <row r="1269" spans="1:11" x14ac:dyDescent="0.2">
      <c r="A1269" s="44"/>
      <c r="B1269" s="44"/>
      <c r="C1269" s="35"/>
      <c r="D1269" s="44"/>
      <c r="E1269" s="44"/>
      <c r="F1269" s="44"/>
      <c r="G1269" s="130"/>
      <c r="H1269" s="252">
        <f t="shared" si="41"/>
        <v>0</v>
      </c>
      <c r="I1269" s="252">
        <f t="shared" si="42"/>
        <v>0</v>
      </c>
      <c r="J1269" s="170" t="str">
        <f>IF(A1269="","",SUM($H$7:H1269)-SUM($I$7:I1269))</f>
        <v/>
      </c>
      <c r="K1269" s="34"/>
    </row>
    <row r="1270" spans="1:11" x14ac:dyDescent="0.2">
      <c r="A1270" s="44"/>
      <c r="B1270" s="44"/>
      <c r="C1270" s="35"/>
      <c r="D1270" s="44"/>
      <c r="E1270" s="44"/>
      <c r="F1270" s="44"/>
      <c r="G1270" s="130"/>
      <c r="H1270" s="252">
        <f t="shared" ref="H1270:H1333" si="43">IF($C1270="Replenishment",$G1270,0)</f>
        <v>0</v>
      </c>
      <c r="I1270" s="252">
        <f t="shared" si="42"/>
        <v>0</v>
      </c>
      <c r="J1270" s="170" t="str">
        <f>IF(A1270="","",SUM($H$7:H1270)-SUM($I$7:I1270))</f>
        <v/>
      </c>
      <c r="K1270" s="34"/>
    </row>
    <row r="1271" spans="1:11" x14ac:dyDescent="0.2">
      <c r="A1271" s="44"/>
      <c r="B1271" s="44"/>
      <c r="C1271" s="35"/>
      <c r="D1271" s="44"/>
      <c r="E1271" s="44"/>
      <c r="F1271" s="44"/>
      <c r="G1271" s="130"/>
      <c r="H1271" s="252">
        <f t="shared" si="43"/>
        <v>0</v>
      </c>
      <c r="I1271" s="252">
        <f t="shared" si="42"/>
        <v>0</v>
      </c>
      <c r="J1271" s="170" t="str">
        <f>IF(A1271="","",SUM($H$7:H1271)-SUM($I$7:I1271))</f>
        <v/>
      </c>
      <c r="K1271" s="34"/>
    </row>
    <row r="1272" spans="1:11" x14ac:dyDescent="0.2">
      <c r="A1272" s="44"/>
      <c r="B1272" s="44"/>
      <c r="C1272" s="35"/>
      <c r="D1272" s="44"/>
      <c r="E1272" s="44"/>
      <c r="F1272" s="44"/>
      <c r="G1272" s="130"/>
      <c r="H1272" s="252">
        <f t="shared" si="43"/>
        <v>0</v>
      </c>
      <c r="I1272" s="252">
        <f t="shared" si="42"/>
        <v>0</v>
      </c>
      <c r="J1272" s="170" t="str">
        <f>IF(A1272="","",SUM($H$7:H1272)-SUM($I$7:I1272))</f>
        <v/>
      </c>
      <c r="K1272" s="34"/>
    </row>
    <row r="1273" spans="1:11" x14ac:dyDescent="0.2">
      <c r="A1273" s="44"/>
      <c r="B1273" s="44"/>
      <c r="C1273" s="35"/>
      <c r="D1273" s="44"/>
      <c r="E1273" s="44"/>
      <c r="F1273" s="44"/>
      <c r="G1273" s="130"/>
      <c r="H1273" s="252">
        <f t="shared" si="43"/>
        <v>0</v>
      </c>
      <c r="I1273" s="252">
        <f t="shared" si="42"/>
        <v>0</v>
      </c>
      <c r="J1273" s="170" t="str">
        <f>IF(A1273="","",SUM($H$7:H1273)-SUM($I$7:I1273))</f>
        <v/>
      </c>
      <c r="K1273" s="34"/>
    </row>
    <row r="1274" spans="1:11" x14ac:dyDescent="0.2">
      <c r="A1274" s="44"/>
      <c r="B1274" s="44"/>
      <c r="C1274" s="35"/>
      <c r="D1274" s="44"/>
      <c r="E1274" s="44"/>
      <c r="F1274" s="44"/>
      <c r="G1274" s="130"/>
      <c r="H1274" s="252">
        <f t="shared" si="43"/>
        <v>0</v>
      </c>
      <c r="I1274" s="252">
        <f t="shared" si="42"/>
        <v>0</v>
      </c>
      <c r="J1274" s="170" t="str">
        <f>IF(A1274="","",SUM($H$7:H1274)-SUM($I$7:I1274))</f>
        <v/>
      </c>
      <c r="K1274" s="34"/>
    </row>
    <row r="1275" spans="1:11" x14ac:dyDescent="0.2">
      <c r="A1275" s="44"/>
      <c r="B1275" s="44"/>
      <c r="C1275" s="35"/>
      <c r="D1275" s="44"/>
      <c r="E1275" s="44"/>
      <c r="F1275" s="44"/>
      <c r="G1275" s="130"/>
      <c r="H1275" s="252">
        <f t="shared" si="43"/>
        <v>0</v>
      </c>
      <c r="I1275" s="252">
        <f t="shared" si="42"/>
        <v>0</v>
      </c>
      <c r="J1275" s="170" t="str">
        <f>IF(A1275="","",SUM($H$7:H1275)-SUM($I$7:I1275))</f>
        <v/>
      </c>
      <c r="K1275" s="34"/>
    </row>
    <row r="1276" spans="1:11" x14ac:dyDescent="0.2">
      <c r="A1276" s="44"/>
      <c r="B1276" s="44"/>
      <c r="C1276" s="35"/>
      <c r="D1276" s="44"/>
      <c r="E1276" s="44"/>
      <c r="F1276" s="44"/>
      <c r="G1276" s="130"/>
      <c r="H1276" s="252">
        <f t="shared" si="43"/>
        <v>0</v>
      </c>
      <c r="I1276" s="252">
        <f t="shared" si="42"/>
        <v>0</v>
      </c>
      <c r="J1276" s="170" t="str">
        <f>IF(A1276="","",SUM($H$7:H1276)-SUM($I$7:I1276))</f>
        <v/>
      </c>
      <c r="K1276" s="34"/>
    </row>
    <row r="1277" spans="1:11" x14ac:dyDescent="0.2">
      <c r="A1277" s="44"/>
      <c r="B1277" s="44"/>
      <c r="C1277" s="35"/>
      <c r="D1277" s="44"/>
      <c r="E1277" s="44"/>
      <c r="F1277" s="44"/>
      <c r="G1277" s="130"/>
      <c r="H1277" s="252">
        <f t="shared" si="43"/>
        <v>0</v>
      </c>
      <c r="I1277" s="252">
        <f t="shared" si="42"/>
        <v>0</v>
      </c>
      <c r="J1277" s="170" t="str">
        <f>IF(A1277="","",SUM($H$7:H1277)-SUM($I$7:I1277))</f>
        <v/>
      </c>
      <c r="K1277" s="34"/>
    </row>
    <row r="1278" spans="1:11" x14ac:dyDescent="0.2">
      <c r="A1278" s="44"/>
      <c r="B1278" s="44"/>
      <c r="C1278" s="35"/>
      <c r="D1278" s="44"/>
      <c r="E1278" s="44"/>
      <c r="F1278" s="44"/>
      <c r="G1278" s="130"/>
      <c r="H1278" s="252">
        <f t="shared" si="43"/>
        <v>0</v>
      </c>
      <c r="I1278" s="252">
        <f t="shared" si="42"/>
        <v>0</v>
      </c>
      <c r="J1278" s="170" t="str">
        <f>IF(A1278="","",SUM($H$7:H1278)-SUM($I$7:I1278))</f>
        <v/>
      </c>
      <c r="K1278" s="34"/>
    </row>
    <row r="1279" spans="1:11" x14ac:dyDescent="0.2">
      <c r="A1279" s="44"/>
      <c r="B1279" s="44"/>
      <c r="C1279" s="35"/>
      <c r="D1279" s="44"/>
      <c r="E1279" s="44"/>
      <c r="F1279" s="44"/>
      <c r="G1279" s="130"/>
      <c r="H1279" s="252">
        <f t="shared" si="43"/>
        <v>0</v>
      </c>
      <c r="I1279" s="252">
        <f t="shared" si="42"/>
        <v>0</v>
      </c>
      <c r="J1279" s="170" t="str">
        <f>IF(A1279="","",SUM($H$7:H1279)-SUM($I$7:I1279))</f>
        <v/>
      </c>
      <c r="K1279" s="34"/>
    </row>
    <row r="1280" spans="1:11" x14ac:dyDescent="0.2">
      <c r="A1280" s="44"/>
      <c r="B1280" s="44"/>
      <c r="C1280" s="35"/>
      <c r="D1280" s="44"/>
      <c r="E1280" s="44"/>
      <c r="F1280" s="44"/>
      <c r="G1280" s="130"/>
      <c r="H1280" s="252">
        <f t="shared" si="43"/>
        <v>0</v>
      </c>
      <c r="I1280" s="252">
        <f t="shared" si="42"/>
        <v>0</v>
      </c>
      <c r="J1280" s="170" t="str">
        <f>IF(A1280="","",SUM($H$7:H1280)-SUM($I$7:I1280))</f>
        <v/>
      </c>
      <c r="K1280" s="34"/>
    </row>
    <row r="1281" spans="1:11" x14ac:dyDescent="0.2">
      <c r="A1281" s="44"/>
      <c r="B1281" s="44"/>
      <c r="C1281" s="35"/>
      <c r="D1281" s="44"/>
      <c r="E1281" s="44"/>
      <c r="F1281" s="44"/>
      <c r="G1281" s="130"/>
      <c r="H1281" s="252">
        <f t="shared" si="43"/>
        <v>0</v>
      </c>
      <c r="I1281" s="252">
        <f t="shared" si="42"/>
        <v>0</v>
      </c>
      <c r="J1281" s="170" t="str">
        <f>IF(A1281="","",SUM($H$7:H1281)-SUM($I$7:I1281))</f>
        <v/>
      </c>
      <c r="K1281" s="34"/>
    </row>
    <row r="1282" spans="1:11" x14ac:dyDescent="0.2">
      <c r="A1282" s="44"/>
      <c r="B1282" s="44"/>
      <c r="C1282" s="35"/>
      <c r="D1282" s="44"/>
      <c r="E1282" s="44"/>
      <c r="F1282" s="44"/>
      <c r="G1282" s="130"/>
      <c r="H1282" s="252">
        <f t="shared" si="43"/>
        <v>0</v>
      </c>
      <c r="I1282" s="252">
        <f t="shared" si="42"/>
        <v>0</v>
      </c>
      <c r="J1282" s="170" t="str">
        <f>IF(A1282="","",SUM($H$7:H1282)-SUM($I$7:I1282))</f>
        <v/>
      </c>
      <c r="K1282" s="34"/>
    </row>
    <row r="1283" spans="1:11" x14ac:dyDescent="0.2">
      <c r="A1283" s="44"/>
      <c r="B1283" s="44"/>
      <c r="C1283" s="35"/>
      <c r="D1283" s="44"/>
      <c r="E1283" s="44"/>
      <c r="F1283" s="44"/>
      <c r="G1283" s="130"/>
      <c r="H1283" s="252">
        <f t="shared" si="43"/>
        <v>0</v>
      </c>
      <c r="I1283" s="252">
        <f t="shared" si="42"/>
        <v>0</v>
      </c>
      <c r="J1283" s="170" t="str">
        <f>IF(A1283="","",SUM($H$7:H1283)-SUM($I$7:I1283))</f>
        <v/>
      </c>
      <c r="K1283" s="34"/>
    </row>
    <row r="1284" spans="1:11" x14ac:dyDescent="0.2">
      <c r="A1284" s="44"/>
      <c r="B1284" s="44"/>
      <c r="C1284" s="35"/>
      <c r="D1284" s="44"/>
      <c r="E1284" s="44"/>
      <c r="F1284" s="44"/>
      <c r="G1284" s="130"/>
      <c r="H1284" s="252">
        <f t="shared" si="43"/>
        <v>0</v>
      </c>
      <c r="I1284" s="252">
        <f t="shared" si="42"/>
        <v>0</v>
      </c>
      <c r="J1284" s="170" t="str">
        <f>IF(A1284="","",SUM($H$7:H1284)-SUM($I$7:I1284))</f>
        <v/>
      </c>
      <c r="K1284" s="34"/>
    </row>
    <row r="1285" spans="1:11" x14ac:dyDescent="0.2">
      <c r="A1285" s="44"/>
      <c r="B1285" s="44"/>
      <c r="C1285" s="35"/>
      <c r="D1285" s="44"/>
      <c r="E1285" s="44"/>
      <c r="F1285" s="44"/>
      <c r="G1285" s="130"/>
      <c r="H1285" s="252">
        <f t="shared" si="43"/>
        <v>0</v>
      </c>
      <c r="I1285" s="252">
        <f t="shared" si="42"/>
        <v>0</v>
      </c>
      <c r="J1285" s="170" t="str">
        <f>IF(A1285="","",SUM($H$7:H1285)-SUM($I$7:I1285))</f>
        <v/>
      </c>
      <c r="K1285" s="34"/>
    </row>
    <row r="1286" spans="1:11" x14ac:dyDescent="0.2">
      <c r="A1286" s="44"/>
      <c r="B1286" s="44"/>
      <c r="C1286" s="35"/>
      <c r="D1286" s="44"/>
      <c r="E1286" s="44"/>
      <c r="F1286" s="44"/>
      <c r="G1286" s="130"/>
      <c r="H1286" s="252">
        <f t="shared" si="43"/>
        <v>0</v>
      </c>
      <c r="I1286" s="252">
        <f t="shared" si="42"/>
        <v>0</v>
      </c>
      <c r="J1286" s="170" t="str">
        <f>IF(A1286="","",SUM($H$7:H1286)-SUM($I$7:I1286))</f>
        <v/>
      </c>
      <c r="K1286" s="34"/>
    </row>
    <row r="1287" spans="1:11" x14ac:dyDescent="0.2">
      <c r="A1287" s="44"/>
      <c r="B1287" s="44"/>
      <c r="C1287" s="35"/>
      <c r="D1287" s="44"/>
      <c r="E1287" s="44"/>
      <c r="F1287" s="44"/>
      <c r="G1287" s="130"/>
      <c r="H1287" s="252">
        <f t="shared" si="43"/>
        <v>0</v>
      </c>
      <c r="I1287" s="252">
        <f t="shared" ref="I1287:I1350" si="44">IF($C1287="Replenishment",0,$G1287)</f>
        <v>0</v>
      </c>
      <c r="J1287" s="170" t="str">
        <f>IF(A1287="","",SUM($H$7:H1287)-SUM($I$7:I1287))</f>
        <v/>
      </c>
      <c r="K1287" s="34"/>
    </row>
    <row r="1288" spans="1:11" x14ac:dyDescent="0.2">
      <c r="A1288" s="44"/>
      <c r="B1288" s="44"/>
      <c r="C1288" s="35"/>
      <c r="D1288" s="44"/>
      <c r="E1288" s="44"/>
      <c r="F1288" s="44"/>
      <c r="G1288" s="130"/>
      <c r="H1288" s="252">
        <f t="shared" si="43"/>
        <v>0</v>
      </c>
      <c r="I1288" s="252">
        <f t="shared" si="44"/>
        <v>0</v>
      </c>
      <c r="J1288" s="170" t="str">
        <f>IF(A1288="","",SUM($H$7:H1288)-SUM($I$7:I1288))</f>
        <v/>
      </c>
      <c r="K1288" s="34"/>
    </row>
    <row r="1289" spans="1:11" x14ac:dyDescent="0.2">
      <c r="A1289" s="44"/>
      <c r="B1289" s="44"/>
      <c r="C1289" s="35"/>
      <c r="D1289" s="44"/>
      <c r="E1289" s="44"/>
      <c r="F1289" s="44"/>
      <c r="G1289" s="130"/>
      <c r="H1289" s="252">
        <f t="shared" si="43"/>
        <v>0</v>
      </c>
      <c r="I1289" s="252">
        <f t="shared" si="44"/>
        <v>0</v>
      </c>
      <c r="J1289" s="170" t="str">
        <f>IF(A1289="","",SUM($H$7:H1289)-SUM($I$7:I1289))</f>
        <v/>
      </c>
      <c r="K1289" s="34"/>
    </row>
    <row r="1290" spans="1:11" x14ac:dyDescent="0.2">
      <c r="A1290" s="44"/>
      <c r="B1290" s="44"/>
      <c r="C1290" s="35"/>
      <c r="D1290" s="44"/>
      <c r="E1290" s="44"/>
      <c r="F1290" s="44"/>
      <c r="G1290" s="130"/>
      <c r="H1290" s="252">
        <f t="shared" si="43"/>
        <v>0</v>
      </c>
      <c r="I1290" s="252">
        <f t="shared" si="44"/>
        <v>0</v>
      </c>
      <c r="J1290" s="170" t="str">
        <f>IF(A1290="","",SUM($H$7:H1290)-SUM($I$7:I1290))</f>
        <v/>
      </c>
      <c r="K1290" s="34"/>
    </row>
    <row r="1291" spans="1:11" x14ac:dyDescent="0.2">
      <c r="A1291" s="44"/>
      <c r="B1291" s="44"/>
      <c r="C1291" s="35"/>
      <c r="D1291" s="44"/>
      <c r="E1291" s="44"/>
      <c r="F1291" s="44"/>
      <c r="G1291" s="130"/>
      <c r="H1291" s="252">
        <f t="shared" si="43"/>
        <v>0</v>
      </c>
      <c r="I1291" s="252">
        <f t="shared" si="44"/>
        <v>0</v>
      </c>
      <c r="J1291" s="170" t="str">
        <f>IF(A1291="","",SUM($H$7:H1291)-SUM($I$7:I1291))</f>
        <v/>
      </c>
      <c r="K1291" s="34"/>
    </row>
    <row r="1292" spans="1:11" x14ac:dyDescent="0.2">
      <c r="A1292" s="44"/>
      <c r="B1292" s="44"/>
      <c r="C1292" s="35"/>
      <c r="D1292" s="44"/>
      <c r="E1292" s="44"/>
      <c r="F1292" s="44"/>
      <c r="G1292" s="130"/>
      <c r="H1292" s="252">
        <f t="shared" si="43"/>
        <v>0</v>
      </c>
      <c r="I1292" s="252">
        <f t="shared" si="44"/>
        <v>0</v>
      </c>
      <c r="J1292" s="170" t="str">
        <f>IF(A1292="","",SUM($H$7:H1292)-SUM($I$7:I1292))</f>
        <v/>
      </c>
      <c r="K1292" s="34"/>
    </row>
    <row r="1293" spans="1:11" x14ac:dyDescent="0.2">
      <c r="A1293" s="44"/>
      <c r="B1293" s="44"/>
      <c r="C1293" s="35"/>
      <c r="D1293" s="44"/>
      <c r="E1293" s="44"/>
      <c r="F1293" s="44"/>
      <c r="G1293" s="130"/>
      <c r="H1293" s="252">
        <f t="shared" si="43"/>
        <v>0</v>
      </c>
      <c r="I1293" s="252">
        <f t="shared" si="44"/>
        <v>0</v>
      </c>
      <c r="J1293" s="170" t="str">
        <f>IF(A1293="","",SUM($H$7:H1293)-SUM($I$7:I1293))</f>
        <v/>
      </c>
      <c r="K1293" s="34"/>
    </row>
    <row r="1294" spans="1:11" x14ac:dyDescent="0.2">
      <c r="A1294" s="44"/>
      <c r="B1294" s="44"/>
      <c r="C1294" s="35"/>
      <c r="D1294" s="44"/>
      <c r="E1294" s="44"/>
      <c r="F1294" s="44"/>
      <c r="G1294" s="130"/>
      <c r="H1294" s="252">
        <f t="shared" si="43"/>
        <v>0</v>
      </c>
      <c r="I1294" s="252">
        <f t="shared" si="44"/>
        <v>0</v>
      </c>
      <c r="J1294" s="170" t="str">
        <f>IF(A1294="","",SUM($H$7:H1294)-SUM($I$7:I1294))</f>
        <v/>
      </c>
      <c r="K1294" s="34"/>
    </row>
    <row r="1295" spans="1:11" x14ac:dyDescent="0.2">
      <c r="A1295" s="44"/>
      <c r="B1295" s="44"/>
      <c r="C1295" s="35"/>
      <c r="D1295" s="44"/>
      <c r="E1295" s="44"/>
      <c r="F1295" s="44"/>
      <c r="G1295" s="130"/>
      <c r="H1295" s="252">
        <f t="shared" si="43"/>
        <v>0</v>
      </c>
      <c r="I1295" s="252">
        <f t="shared" si="44"/>
        <v>0</v>
      </c>
      <c r="J1295" s="170" t="str">
        <f>IF(A1295="","",SUM($H$7:H1295)-SUM($I$7:I1295))</f>
        <v/>
      </c>
      <c r="K1295" s="34"/>
    </row>
    <row r="1296" spans="1:11" x14ac:dyDescent="0.2">
      <c r="A1296" s="44"/>
      <c r="B1296" s="44"/>
      <c r="C1296" s="35"/>
      <c r="D1296" s="44"/>
      <c r="E1296" s="44"/>
      <c r="F1296" s="44"/>
      <c r="G1296" s="130"/>
      <c r="H1296" s="252">
        <f t="shared" si="43"/>
        <v>0</v>
      </c>
      <c r="I1296" s="252">
        <f t="shared" si="44"/>
        <v>0</v>
      </c>
      <c r="J1296" s="170" t="str">
        <f>IF(A1296="","",SUM($H$7:H1296)-SUM($I$7:I1296))</f>
        <v/>
      </c>
      <c r="K1296" s="34"/>
    </row>
    <row r="1297" spans="1:11" x14ac:dyDescent="0.2">
      <c r="A1297" s="44"/>
      <c r="B1297" s="44"/>
      <c r="C1297" s="35"/>
      <c r="D1297" s="44"/>
      <c r="E1297" s="44"/>
      <c r="F1297" s="44"/>
      <c r="G1297" s="130"/>
      <c r="H1297" s="252">
        <f t="shared" si="43"/>
        <v>0</v>
      </c>
      <c r="I1297" s="252">
        <f t="shared" si="44"/>
        <v>0</v>
      </c>
      <c r="J1297" s="170" t="str">
        <f>IF(A1297="","",SUM($H$7:H1297)-SUM($I$7:I1297))</f>
        <v/>
      </c>
      <c r="K1297" s="34"/>
    </row>
    <row r="1298" spans="1:11" x14ac:dyDescent="0.2">
      <c r="A1298" s="44"/>
      <c r="B1298" s="44"/>
      <c r="C1298" s="35"/>
      <c r="D1298" s="44"/>
      <c r="E1298" s="44"/>
      <c r="F1298" s="44"/>
      <c r="G1298" s="130"/>
      <c r="H1298" s="252">
        <f t="shared" si="43"/>
        <v>0</v>
      </c>
      <c r="I1298" s="252">
        <f t="shared" si="44"/>
        <v>0</v>
      </c>
      <c r="J1298" s="170" t="str">
        <f>IF(A1298="","",SUM($H$7:H1298)-SUM($I$7:I1298))</f>
        <v/>
      </c>
      <c r="K1298" s="34"/>
    </row>
    <row r="1299" spans="1:11" x14ac:dyDescent="0.2">
      <c r="A1299" s="44"/>
      <c r="B1299" s="44"/>
      <c r="C1299" s="35"/>
      <c r="D1299" s="44"/>
      <c r="E1299" s="44"/>
      <c r="F1299" s="44"/>
      <c r="G1299" s="130"/>
      <c r="H1299" s="252">
        <f t="shared" si="43"/>
        <v>0</v>
      </c>
      <c r="I1299" s="252">
        <f t="shared" si="44"/>
        <v>0</v>
      </c>
      <c r="J1299" s="170" t="str">
        <f>IF(A1299="","",SUM($H$7:H1299)-SUM($I$7:I1299))</f>
        <v/>
      </c>
      <c r="K1299" s="34"/>
    </row>
    <row r="1300" spans="1:11" x14ac:dyDescent="0.2">
      <c r="A1300" s="44"/>
      <c r="B1300" s="44"/>
      <c r="C1300" s="35"/>
      <c r="D1300" s="44"/>
      <c r="E1300" s="44"/>
      <c r="F1300" s="44"/>
      <c r="G1300" s="130"/>
      <c r="H1300" s="252">
        <f t="shared" si="43"/>
        <v>0</v>
      </c>
      <c r="I1300" s="252">
        <f t="shared" si="44"/>
        <v>0</v>
      </c>
      <c r="J1300" s="170" t="str">
        <f>IF(A1300="","",SUM($H$7:H1300)-SUM($I$7:I1300))</f>
        <v/>
      </c>
      <c r="K1300" s="34"/>
    </row>
    <row r="1301" spans="1:11" x14ac:dyDescent="0.2">
      <c r="A1301" s="44"/>
      <c r="B1301" s="44"/>
      <c r="C1301" s="35"/>
      <c r="D1301" s="44"/>
      <c r="E1301" s="44"/>
      <c r="F1301" s="44"/>
      <c r="G1301" s="130"/>
      <c r="H1301" s="252">
        <f t="shared" si="43"/>
        <v>0</v>
      </c>
      <c r="I1301" s="252">
        <f t="shared" si="44"/>
        <v>0</v>
      </c>
      <c r="J1301" s="170" t="str">
        <f>IF(A1301="","",SUM($H$7:H1301)-SUM($I$7:I1301))</f>
        <v/>
      </c>
      <c r="K1301" s="34"/>
    </row>
    <row r="1302" spans="1:11" x14ac:dyDescent="0.2">
      <c r="A1302" s="44"/>
      <c r="B1302" s="44"/>
      <c r="C1302" s="35"/>
      <c r="D1302" s="44"/>
      <c r="E1302" s="44"/>
      <c r="F1302" s="44"/>
      <c r="G1302" s="130"/>
      <c r="H1302" s="252">
        <f t="shared" si="43"/>
        <v>0</v>
      </c>
      <c r="I1302" s="252">
        <f t="shared" si="44"/>
        <v>0</v>
      </c>
      <c r="J1302" s="170" t="str">
        <f>IF(A1302="","",SUM($H$7:H1302)-SUM($I$7:I1302))</f>
        <v/>
      </c>
      <c r="K1302" s="34"/>
    </row>
    <row r="1303" spans="1:11" x14ac:dyDescent="0.2">
      <c r="A1303" s="44"/>
      <c r="B1303" s="44"/>
      <c r="C1303" s="35"/>
      <c r="D1303" s="44"/>
      <c r="E1303" s="44"/>
      <c r="F1303" s="44"/>
      <c r="G1303" s="130"/>
      <c r="H1303" s="252">
        <f t="shared" si="43"/>
        <v>0</v>
      </c>
      <c r="I1303" s="252">
        <f t="shared" si="44"/>
        <v>0</v>
      </c>
      <c r="J1303" s="170" t="str">
        <f>IF(A1303="","",SUM($H$7:H1303)-SUM($I$7:I1303))</f>
        <v/>
      </c>
      <c r="K1303" s="34"/>
    </row>
    <row r="1304" spans="1:11" x14ac:dyDescent="0.2">
      <c r="A1304" s="44"/>
      <c r="B1304" s="44"/>
      <c r="C1304" s="35"/>
      <c r="D1304" s="44"/>
      <c r="E1304" s="44"/>
      <c r="F1304" s="44"/>
      <c r="G1304" s="130"/>
      <c r="H1304" s="252">
        <f t="shared" si="43"/>
        <v>0</v>
      </c>
      <c r="I1304" s="252">
        <f t="shared" si="44"/>
        <v>0</v>
      </c>
      <c r="J1304" s="170" t="str">
        <f>IF(A1304="","",SUM($H$7:H1304)-SUM($I$7:I1304))</f>
        <v/>
      </c>
      <c r="K1304" s="34"/>
    </row>
    <row r="1305" spans="1:11" x14ac:dyDescent="0.2">
      <c r="A1305" s="44"/>
      <c r="B1305" s="44"/>
      <c r="C1305" s="35"/>
      <c r="D1305" s="44"/>
      <c r="E1305" s="44"/>
      <c r="F1305" s="44"/>
      <c r="G1305" s="130"/>
      <c r="H1305" s="252">
        <f t="shared" si="43"/>
        <v>0</v>
      </c>
      <c r="I1305" s="252">
        <f t="shared" si="44"/>
        <v>0</v>
      </c>
      <c r="J1305" s="170" t="str">
        <f>IF(A1305="","",SUM($H$7:H1305)-SUM($I$7:I1305))</f>
        <v/>
      </c>
      <c r="K1305" s="34"/>
    </row>
    <row r="1306" spans="1:11" x14ac:dyDescent="0.2">
      <c r="A1306" s="44"/>
      <c r="B1306" s="44"/>
      <c r="C1306" s="35"/>
      <c r="D1306" s="44"/>
      <c r="E1306" s="44"/>
      <c r="F1306" s="44"/>
      <c r="G1306" s="130"/>
      <c r="H1306" s="252">
        <f t="shared" si="43"/>
        <v>0</v>
      </c>
      <c r="I1306" s="252">
        <f t="shared" si="44"/>
        <v>0</v>
      </c>
      <c r="J1306" s="170" t="str">
        <f>IF(A1306="","",SUM($H$7:H1306)-SUM($I$7:I1306))</f>
        <v/>
      </c>
      <c r="K1306" s="34"/>
    </row>
    <row r="1307" spans="1:11" x14ac:dyDescent="0.2">
      <c r="A1307" s="44"/>
      <c r="B1307" s="44"/>
      <c r="C1307" s="35"/>
      <c r="D1307" s="44"/>
      <c r="E1307" s="44"/>
      <c r="F1307" s="44"/>
      <c r="G1307" s="130"/>
      <c r="H1307" s="252">
        <f t="shared" si="43"/>
        <v>0</v>
      </c>
      <c r="I1307" s="252">
        <f t="shared" si="44"/>
        <v>0</v>
      </c>
      <c r="J1307" s="170" t="str">
        <f>IF(A1307="","",SUM($H$7:H1307)-SUM($I$7:I1307))</f>
        <v/>
      </c>
      <c r="K1307" s="34"/>
    </row>
    <row r="1308" spans="1:11" x14ac:dyDescent="0.2">
      <c r="A1308" s="44"/>
      <c r="B1308" s="44"/>
      <c r="C1308" s="35"/>
      <c r="D1308" s="44"/>
      <c r="E1308" s="44"/>
      <c r="F1308" s="44"/>
      <c r="G1308" s="130"/>
      <c r="H1308" s="252">
        <f t="shared" si="43"/>
        <v>0</v>
      </c>
      <c r="I1308" s="252">
        <f t="shared" si="44"/>
        <v>0</v>
      </c>
      <c r="J1308" s="170" t="str">
        <f>IF(A1308="","",SUM($H$7:H1308)-SUM($I$7:I1308))</f>
        <v/>
      </c>
      <c r="K1308" s="34"/>
    </row>
    <row r="1309" spans="1:11" x14ac:dyDescent="0.2">
      <c r="A1309" s="44"/>
      <c r="B1309" s="44"/>
      <c r="C1309" s="35"/>
      <c r="D1309" s="44"/>
      <c r="E1309" s="44"/>
      <c r="F1309" s="44"/>
      <c r="G1309" s="130"/>
      <c r="H1309" s="252">
        <f t="shared" si="43"/>
        <v>0</v>
      </c>
      <c r="I1309" s="252">
        <f t="shared" si="44"/>
        <v>0</v>
      </c>
      <c r="J1309" s="170" t="str">
        <f>IF(A1309="","",SUM($H$7:H1309)-SUM($I$7:I1309))</f>
        <v/>
      </c>
      <c r="K1309" s="34"/>
    </row>
    <row r="1310" spans="1:11" x14ac:dyDescent="0.2">
      <c r="A1310" s="44"/>
      <c r="B1310" s="44"/>
      <c r="C1310" s="35"/>
      <c r="D1310" s="44"/>
      <c r="E1310" s="44"/>
      <c r="F1310" s="44"/>
      <c r="G1310" s="130"/>
      <c r="H1310" s="252">
        <f t="shared" si="43"/>
        <v>0</v>
      </c>
      <c r="I1310" s="252">
        <f t="shared" si="44"/>
        <v>0</v>
      </c>
      <c r="J1310" s="170" t="str">
        <f>IF(A1310="","",SUM($H$7:H1310)-SUM($I$7:I1310))</f>
        <v/>
      </c>
      <c r="K1310" s="34"/>
    </row>
    <row r="1311" spans="1:11" x14ac:dyDescent="0.2">
      <c r="A1311" s="44"/>
      <c r="B1311" s="44"/>
      <c r="C1311" s="35"/>
      <c r="D1311" s="44"/>
      <c r="E1311" s="44"/>
      <c r="F1311" s="44"/>
      <c r="G1311" s="130"/>
      <c r="H1311" s="252">
        <f t="shared" si="43"/>
        <v>0</v>
      </c>
      <c r="I1311" s="252">
        <f t="shared" si="44"/>
        <v>0</v>
      </c>
      <c r="J1311" s="170" t="str">
        <f>IF(A1311="","",SUM($H$7:H1311)-SUM($I$7:I1311))</f>
        <v/>
      </c>
      <c r="K1311" s="34"/>
    </row>
    <row r="1312" spans="1:11" x14ac:dyDescent="0.2">
      <c r="A1312" s="44"/>
      <c r="B1312" s="44"/>
      <c r="C1312" s="35"/>
      <c r="D1312" s="44"/>
      <c r="E1312" s="44"/>
      <c r="F1312" s="44"/>
      <c r="G1312" s="130"/>
      <c r="H1312" s="252">
        <f t="shared" si="43"/>
        <v>0</v>
      </c>
      <c r="I1312" s="252">
        <f t="shared" si="44"/>
        <v>0</v>
      </c>
      <c r="J1312" s="170" t="str">
        <f>IF(A1312="","",SUM($H$7:H1312)-SUM($I$7:I1312))</f>
        <v/>
      </c>
      <c r="K1312" s="34"/>
    </row>
    <row r="1313" spans="1:11" x14ac:dyDescent="0.2">
      <c r="A1313" s="44"/>
      <c r="B1313" s="44"/>
      <c r="C1313" s="35"/>
      <c r="D1313" s="44"/>
      <c r="E1313" s="44"/>
      <c r="F1313" s="44"/>
      <c r="G1313" s="130"/>
      <c r="H1313" s="252">
        <f t="shared" si="43"/>
        <v>0</v>
      </c>
      <c r="I1313" s="252">
        <f t="shared" si="44"/>
        <v>0</v>
      </c>
      <c r="J1313" s="170" t="str">
        <f>IF(A1313="","",SUM($H$7:H1313)-SUM($I$7:I1313))</f>
        <v/>
      </c>
      <c r="K1313" s="34"/>
    </row>
    <row r="1314" spans="1:11" x14ac:dyDescent="0.2">
      <c r="A1314" s="44"/>
      <c r="B1314" s="44"/>
      <c r="C1314" s="35"/>
      <c r="D1314" s="44"/>
      <c r="E1314" s="44"/>
      <c r="F1314" s="44"/>
      <c r="G1314" s="130"/>
      <c r="H1314" s="252">
        <f t="shared" si="43"/>
        <v>0</v>
      </c>
      <c r="I1314" s="252">
        <f t="shared" si="44"/>
        <v>0</v>
      </c>
      <c r="J1314" s="170" t="str">
        <f>IF(A1314="","",SUM($H$7:H1314)-SUM($I$7:I1314))</f>
        <v/>
      </c>
      <c r="K1314" s="34"/>
    </row>
    <row r="1315" spans="1:11" x14ac:dyDescent="0.2">
      <c r="A1315" s="44"/>
      <c r="B1315" s="44"/>
      <c r="C1315" s="35"/>
      <c r="D1315" s="44"/>
      <c r="E1315" s="44"/>
      <c r="F1315" s="44"/>
      <c r="G1315" s="130"/>
      <c r="H1315" s="252">
        <f t="shared" si="43"/>
        <v>0</v>
      </c>
      <c r="I1315" s="252">
        <f t="shared" si="44"/>
        <v>0</v>
      </c>
      <c r="J1315" s="170" t="str">
        <f>IF(A1315="","",SUM($H$7:H1315)-SUM($I$7:I1315))</f>
        <v/>
      </c>
      <c r="K1315" s="34"/>
    </row>
    <row r="1316" spans="1:11" x14ac:dyDescent="0.2">
      <c r="A1316" s="44"/>
      <c r="B1316" s="44"/>
      <c r="C1316" s="35"/>
      <c r="D1316" s="44"/>
      <c r="E1316" s="44"/>
      <c r="F1316" s="44"/>
      <c r="G1316" s="130"/>
      <c r="H1316" s="252">
        <f t="shared" si="43"/>
        <v>0</v>
      </c>
      <c r="I1316" s="252">
        <f t="shared" si="44"/>
        <v>0</v>
      </c>
      <c r="J1316" s="170" t="str">
        <f>IF(A1316="","",SUM($H$7:H1316)-SUM($I$7:I1316))</f>
        <v/>
      </c>
      <c r="K1316" s="34"/>
    </row>
    <row r="1317" spans="1:11" x14ac:dyDescent="0.2">
      <c r="A1317" s="44"/>
      <c r="B1317" s="44"/>
      <c r="C1317" s="35"/>
      <c r="D1317" s="44"/>
      <c r="E1317" s="44"/>
      <c r="F1317" s="44"/>
      <c r="G1317" s="130"/>
      <c r="H1317" s="252">
        <f t="shared" si="43"/>
        <v>0</v>
      </c>
      <c r="I1317" s="252">
        <f t="shared" si="44"/>
        <v>0</v>
      </c>
      <c r="J1317" s="170" t="str">
        <f>IF(A1317="","",SUM($H$7:H1317)-SUM($I$7:I1317))</f>
        <v/>
      </c>
      <c r="K1317" s="34"/>
    </row>
    <row r="1318" spans="1:11" x14ac:dyDescent="0.2">
      <c r="A1318" s="44"/>
      <c r="B1318" s="44"/>
      <c r="C1318" s="35"/>
      <c r="D1318" s="44"/>
      <c r="E1318" s="44"/>
      <c r="F1318" s="44"/>
      <c r="G1318" s="130"/>
      <c r="H1318" s="252">
        <f t="shared" si="43"/>
        <v>0</v>
      </c>
      <c r="I1318" s="252">
        <f t="shared" si="44"/>
        <v>0</v>
      </c>
      <c r="J1318" s="170" t="str">
        <f>IF(A1318="","",SUM($H$7:H1318)-SUM($I$7:I1318))</f>
        <v/>
      </c>
      <c r="K1318" s="34"/>
    </row>
    <row r="1319" spans="1:11" x14ac:dyDescent="0.2">
      <c r="A1319" s="44"/>
      <c r="B1319" s="44"/>
      <c r="C1319" s="35"/>
      <c r="D1319" s="44"/>
      <c r="E1319" s="44"/>
      <c r="F1319" s="44"/>
      <c r="G1319" s="130"/>
      <c r="H1319" s="252">
        <f t="shared" si="43"/>
        <v>0</v>
      </c>
      <c r="I1319" s="252">
        <f t="shared" si="44"/>
        <v>0</v>
      </c>
      <c r="J1319" s="170" t="str">
        <f>IF(A1319="","",SUM($H$7:H1319)-SUM($I$7:I1319))</f>
        <v/>
      </c>
      <c r="K1319" s="34"/>
    </row>
    <row r="1320" spans="1:11" x14ac:dyDescent="0.2">
      <c r="A1320" s="44"/>
      <c r="B1320" s="44"/>
      <c r="C1320" s="35"/>
      <c r="D1320" s="44"/>
      <c r="E1320" s="44"/>
      <c r="F1320" s="44"/>
      <c r="G1320" s="130"/>
      <c r="H1320" s="252">
        <f t="shared" si="43"/>
        <v>0</v>
      </c>
      <c r="I1320" s="252">
        <f t="shared" si="44"/>
        <v>0</v>
      </c>
      <c r="J1320" s="170" t="str">
        <f>IF(A1320="","",SUM($H$7:H1320)-SUM($I$7:I1320))</f>
        <v/>
      </c>
      <c r="K1320" s="34"/>
    </row>
    <row r="1321" spans="1:11" x14ac:dyDescent="0.2">
      <c r="A1321" s="44"/>
      <c r="B1321" s="44"/>
      <c r="C1321" s="35"/>
      <c r="D1321" s="44"/>
      <c r="E1321" s="44"/>
      <c r="F1321" s="44"/>
      <c r="G1321" s="130"/>
      <c r="H1321" s="252">
        <f t="shared" si="43"/>
        <v>0</v>
      </c>
      <c r="I1321" s="252">
        <f t="shared" si="44"/>
        <v>0</v>
      </c>
      <c r="J1321" s="170" t="str">
        <f>IF(A1321="","",SUM($H$7:H1321)-SUM($I$7:I1321))</f>
        <v/>
      </c>
      <c r="K1321" s="34"/>
    </row>
    <row r="1322" spans="1:11" x14ac:dyDescent="0.2">
      <c r="A1322" s="44"/>
      <c r="B1322" s="44"/>
      <c r="C1322" s="35"/>
      <c r="D1322" s="44"/>
      <c r="E1322" s="44"/>
      <c r="F1322" s="44"/>
      <c r="G1322" s="130"/>
      <c r="H1322" s="252">
        <f t="shared" si="43"/>
        <v>0</v>
      </c>
      <c r="I1322" s="252">
        <f t="shared" si="44"/>
        <v>0</v>
      </c>
      <c r="J1322" s="170" t="str">
        <f>IF(A1322="","",SUM($H$7:H1322)-SUM($I$7:I1322))</f>
        <v/>
      </c>
      <c r="K1322" s="34"/>
    </row>
    <row r="1323" spans="1:11" x14ac:dyDescent="0.2">
      <c r="A1323" s="44"/>
      <c r="B1323" s="44"/>
      <c r="C1323" s="35"/>
      <c r="D1323" s="44"/>
      <c r="E1323" s="44"/>
      <c r="F1323" s="44"/>
      <c r="G1323" s="130"/>
      <c r="H1323" s="252">
        <f t="shared" si="43"/>
        <v>0</v>
      </c>
      <c r="I1323" s="252">
        <f t="shared" si="44"/>
        <v>0</v>
      </c>
      <c r="J1323" s="170" t="str">
        <f>IF(A1323="","",SUM($H$7:H1323)-SUM($I$7:I1323))</f>
        <v/>
      </c>
      <c r="K1323" s="34"/>
    </row>
    <row r="1324" spans="1:11" x14ac:dyDescent="0.2">
      <c r="A1324" s="44"/>
      <c r="B1324" s="44"/>
      <c r="C1324" s="35"/>
      <c r="D1324" s="44"/>
      <c r="E1324" s="44"/>
      <c r="F1324" s="44"/>
      <c r="G1324" s="130"/>
      <c r="H1324" s="252">
        <f t="shared" si="43"/>
        <v>0</v>
      </c>
      <c r="I1324" s="252">
        <f t="shared" si="44"/>
        <v>0</v>
      </c>
      <c r="J1324" s="170" t="str">
        <f>IF(A1324="","",SUM($H$7:H1324)-SUM($I$7:I1324))</f>
        <v/>
      </c>
      <c r="K1324" s="34"/>
    </row>
    <row r="1325" spans="1:11" x14ac:dyDescent="0.2">
      <c r="A1325" s="44"/>
      <c r="B1325" s="44"/>
      <c r="C1325" s="35"/>
      <c r="D1325" s="44"/>
      <c r="E1325" s="44"/>
      <c r="F1325" s="44"/>
      <c r="G1325" s="130"/>
      <c r="H1325" s="252">
        <f t="shared" si="43"/>
        <v>0</v>
      </c>
      <c r="I1325" s="252">
        <f t="shared" si="44"/>
        <v>0</v>
      </c>
      <c r="J1325" s="170" t="str">
        <f>IF(A1325="","",SUM($H$7:H1325)-SUM($I$7:I1325))</f>
        <v/>
      </c>
      <c r="K1325" s="34"/>
    </row>
    <row r="1326" spans="1:11" x14ac:dyDescent="0.2">
      <c r="A1326" s="44"/>
      <c r="B1326" s="44"/>
      <c r="C1326" s="35"/>
      <c r="D1326" s="44"/>
      <c r="E1326" s="44"/>
      <c r="F1326" s="44"/>
      <c r="G1326" s="130"/>
      <c r="H1326" s="252">
        <f t="shared" si="43"/>
        <v>0</v>
      </c>
      <c r="I1326" s="252">
        <f t="shared" si="44"/>
        <v>0</v>
      </c>
      <c r="J1326" s="170" t="str">
        <f>IF(A1326="","",SUM($H$7:H1326)-SUM($I$7:I1326))</f>
        <v/>
      </c>
      <c r="K1326" s="34"/>
    </row>
    <row r="1327" spans="1:11" x14ac:dyDescent="0.2">
      <c r="A1327" s="44"/>
      <c r="B1327" s="44"/>
      <c r="C1327" s="35"/>
      <c r="D1327" s="44"/>
      <c r="E1327" s="44"/>
      <c r="F1327" s="44"/>
      <c r="G1327" s="130"/>
      <c r="H1327" s="252">
        <f t="shared" si="43"/>
        <v>0</v>
      </c>
      <c r="I1327" s="252">
        <f t="shared" si="44"/>
        <v>0</v>
      </c>
      <c r="J1327" s="170" t="str">
        <f>IF(A1327="","",SUM($H$7:H1327)-SUM($I$7:I1327))</f>
        <v/>
      </c>
      <c r="K1327" s="34"/>
    </row>
    <row r="1328" spans="1:11" x14ac:dyDescent="0.2">
      <c r="A1328" s="44"/>
      <c r="B1328" s="44"/>
      <c r="C1328" s="35"/>
      <c r="D1328" s="44"/>
      <c r="E1328" s="44"/>
      <c r="F1328" s="44"/>
      <c r="G1328" s="130"/>
      <c r="H1328" s="252">
        <f t="shared" si="43"/>
        <v>0</v>
      </c>
      <c r="I1328" s="252">
        <f t="shared" si="44"/>
        <v>0</v>
      </c>
      <c r="J1328" s="170" t="str">
        <f>IF(A1328="","",SUM($H$7:H1328)-SUM($I$7:I1328))</f>
        <v/>
      </c>
      <c r="K1328" s="34"/>
    </row>
    <row r="1329" spans="1:11" x14ac:dyDescent="0.2">
      <c r="A1329" s="44"/>
      <c r="B1329" s="44"/>
      <c r="C1329" s="35"/>
      <c r="D1329" s="44"/>
      <c r="E1329" s="44"/>
      <c r="F1329" s="44"/>
      <c r="G1329" s="130"/>
      <c r="H1329" s="252">
        <f t="shared" si="43"/>
        <v>0</v>
      </c>
      <c r="I1329" s="252">
        <f t="shared" si="44"/>
        <v>0</v>
      </c>
      <c r="J1329" s="170" t="str">
        <f>IF(A1329="","",SUM($H$7:H1329)-SUM($I$7:I1329))</f>
        <v/>
      </c>
      <c r="K1329" s="34"/>
    </row>
    <row r="1330" spans="1:11" x14ac:dyDescent="0.2">
      <c r="A1330" s="44"/>
      <c r="B1330" s="44"/>
      <c r="C1330" s="35"/>
      <c r="D1330" s="44"/>
      <c r="E1330" s="44"/>
      <c r="F1330" s="44"/>
      <c r="G1330" s="130"/>
      <c r="H1330" s="252">
        <f t="shared" si="43"/>
        <v>0</v>
      </c>
      <c r="I1330" s="252">
        <f t="shared" si="44"/>
        <v>0</v>
      </c>
      <c r="J1330" s="170" t="str">
        <f>IF(A1330="","",SUM($H$7:H1330)-SUM($I$7:I1330))</f>
        <v/>
      </c>
      <c r="K1330" s="34"/>
    </row>
    <row r="1331" spans="1:11" x14ac:dyDescent="0.2">
      <c r="A1331" s="44"/>
      <c r="B1331" s="44"/>
      <c r="C1331" s="35"/>
      <c r="D1331" s="44"/>
      <c r="E1331" s="44"/>
      <c r="F1331" s="44"/>
      <c r="G1331" s="130"/>
      <c r="H1331" s="252">
        <f t="shared" si="43"/>
        <v>0</v>
      </c>
      <c r="I1331" s="252">
        <f t="shared" si="44"/>
        <v>0</v>
      </c>
      <c r="J1331" s="170" t="str">
        <f>IF(A1331="","",SUM($H$7:H1331)-SUM($I$7:I1331))</f>
        <v/>
      </c>
      <c r="K1331" s="34"/>
    </row>
    <row r="1332" spans="1:11" x14ac:dyDescent="0.2">
      <c r="A1332" s="44"/>
      <c r="B1332" s="44"/>
      <c r="C1332" s="35"/>
      <c r="D1332" s="44"/>
      <c r="E1332" s="44"/>
      <c r="F1332" s="44"/>
      <c r="G1332" s="130"/>
      <c r="H1332" s="252">
        <f t="shared" si="43"/>
        <v>0</v>
      </c>
      <c r="I1332" s="252">
        <f t="shared" si="44"/>
        <v>0</v>
      </c>
      <c r="J1332" s="170" t="str">
        <f>IF(A1332="","",SUM($H$7:H1332)-SUM($I$7:I1332))</f>
        <v/>
      </c>
      <c r="K1332" s="34"/>
    </row>
    <row r="1333" spans="1:11" x14ac:dyDescent="0.2">
      <c r="A1333" s="44"/>
      <c r="B1333" s="44"/>
      <c r="C1333" s="35"/>
      <c r="D1333" s="44"/>
      <c r="E1333" s="44"/>
      <c r="F1333" s="44"/>
      <c r="G1333" s="130"/>
      <c r="H1333" s="252">
        <f t="shared" si="43"/>
        <v>0</v>
      </c>
      <c r="I1333" s="252">
        <f t="shared" si="44"/>
        <v>0</v>
      </c>
      <c r="J1333" s="170" t="str">
        <f>IF(A1333="","",SUM($H$7:H1333)-SUM($I$7:I1333))</f>
        <v/>
      </c>
      <c r="K1333" s="34"/>
    </row>
    <row r="1334" spans="1:11" x14ac:dyDescent="0.2">
      <c r="A1334" s="44"/>
      <c r="B1334" s="44"/>
      <c r="C1334" s="35"/>
      <c r="D1334" s="44"/>
      <c r="E1334" s="44"/>
      <c r="F1334" s="44"/>
      <c r="G1334" s="130"/>
      <c r="H1334" s="252">
        <f t="shared" ref="H1334:H1397" si="45">IF($C1334="Replenishment",$G1334,0)</f>
        <v>0</v>
      </c>
      <c r="I1334" s="252">
        <f t="shared" si="44"/>
        <v>0</v>
      </c>
      <c r="J1334" s="170" t="str">
        <f>IF(A1334="","",SUM($H$7:H1334)-SUM($I$7:I1334))</f>
        <v/>
      </c>
      <c r="K1334" s="34"/>
    </row>
    <row r="1335" spans="1:11" x14ac:dyDescent="0.2">
      <c r="A1335" s="44"/>
      <c r="B1335" s="44"/>
      <c r="C1335" s="35"/>
      <c r="D1335" s="44"/>
      <c r="E1335" s="44"/>
      <c r="F1335" s="44"/>
      <c r="G1335" s="130"/>
      <c r="H1335" s="252">
        <f t="shared" si="45"/>
        <v>0</v>
      </c>
      <c r="I1335" s="252">
        <f t="shared" si="44"/>
        <v>0</v>
      </c>
      <c r="J1335" s="170" t="str">
        <f>IF(A1335="","",SUM($H$7:H1335)-SUM($I$7:I1335))</f>
        <v/>
      </c>
      <c r="K1335" s="34"/>
    </row>
    <row r="1336" spans="1:11" x14ac:dyDescent="0.2">
      <c r="A1336" s="44"/>
      <c r="B1336" s="44"/>
      <c r="C1336" s="35"/>
      <c r="D1336" s="44"/>
      <c r="E1336" s="44"/>
      <c r="F1336" s="44"/>
      <c r="G1336" s="130"/>
      <c r="H1336" s="252">
        <f t="shared" si="45"/>
        <v>0</v>
      </c>
      <c r="I1336" s="252">
        <f t="shared" si="44"/>
        <v>0</v>
      </c>
      <c r="J1336" s="170" t="str">
        <f>IF(A1336="","",SUM($H$7:H1336)-SUM($I$7:I1336))</f>
        <v/>
      </c>
      <c r="K1336" s="34"/>
    </row>
    <row r="1337" spans="1:11" x14ac:dyDescent="0.2">
      <c r="A1337" s="44"/>
      <c r="B1337" s="44"/>
      <c r="C1337" s="35"/>
      <c r="D1337" s="44"/>
      <c r="E1337" s="44"/>
      <c r="F1337" s="44"/>
      <c r="G1337" s="130"/>
      <c r="H1337" s="252">
        <f t="shared" si="45"/>
        <v>0</v>
      </c>
      <c r="I1337" s="252">
        <f t="shared" si="44"/>
        <v>0</v>
      </c>
      <c r="J1337" s="170" t="str">
        <f>IF(A1337="","",SUM($H$7:H1337)-SUM($I$7:I1337))</f>
        <v/>
      </c>
      <c r="K1337" s="34"/>
    </row>
    <row r="1338" spans="1:11" x14ac:dyDescent="0.2">
      <c r="A1338" s="44"/>
      <c r="B1338" s="44"/>
      <c r="C1338" s="35"/>
      <c r="D1338" s="44"/>
      <c r="E1338" s="44"/>
      <c r="F1338" s="44"/>
      <c r="G1338" s="130"/>
      <c r="H1338" s="252">
        <f t="shared" si="45"/>
        <v>0</v>
      </c>
      <c r="I1338" s="252">
        <f t="shared" si="44"/>
        <v>0</v>
      </c>
      <c r="J1338" s="170" t="str">
        <f>IF(A1338="","",SUM($H$7:H1338)-SUM($I$7:I1338))</f>
        <v/>
      </c>
      <c r="K1338" s="34"/>
    </row>
    <row r="1339" spans="1:11" x14ac:dyDescent="0.2">
      <c r="A1339" s="44"/>
      <c r="B1339" s="44"/>
      <c r="C1339" s="35"/>
      <c r="D1339" s="44"/>
      <c r="E1339" s="44"/>
      <c r="F1339" s="44"/>
      <c r="G1339" s="130"/>
      <c r="H1339" s="252">
        <f t="shared" si="45"/>
        <v>0</v>
      </c>
      <c r="I1339" s="252">
        <f t="shared" si="44"/>
        <v>0</v>
      </c>
      <c r="J1339" s="170" t="str">
        <f>IF(A1339="","",SUM($H$7:H1339)-SUM($I$7:I1339))</f>
        <v/>
      </c>
      <c r="K1339" s="34"/>
    </row>
    <row r="1340" spans="1:11" x14ac:dyDescent="0.2">
      <c r="A1340" s="44"/>
      <c r="B1340" s="44"/>
      <c r="C1340" s="35"/>
      <c r="D1340" s="44"/>
      <c r="E1340" s="44"/>
      <c r="F1340" s="44"/>
      <c r="G1340" s="130"/>
      <c r="H1340" s="252">
        <f t="shared" si="45"/>
        <v>0</v>
      </c>
      <c r="I1340" s="252">
        <f t="shared" si="44"/>
        <v>0</v>
      </c>
      <c r="J1340" s="170" t="str">
        <f>IF(A1340="","",SUM($H$7:H1340)-SUM($I$7:I1340))</f>
        <v/>
      </c>
      <c r="K1340" s="34"/>
    </row>
    <row r="1341" spans="1:11" x14ac:dyDescent="0.2">
      <c r="A1341" s="44"/>
      <c r="B1341" s="44"/>
      <c r="C1341" s="35"/>
      <c r="D1341" s="44"/>
      <c r="E1341" s="44"/>
      <c r="F1341" s="44"/>
      <c r="G1341" s="130"/>
      <c r="H1341" s="252">
        <f t="shared" si="45"/>
        <v>0</v>
      </c>
      <c r="I1341" s="252">
        <f t="shared" si="44"/>
        <v>0</v>
      </c>
      <c r="J1341" s="170" t="str">
        <f>IF(A1341="","",SUM($H$7:H1341)-SUM($I$7:I1341))</f>
        <v/>
      </c>
      <c r="K1341" s="34"/>
    </row>
    <row r="1342" spans="1:11" x14ac:dyDescent="0.2">
      <c r="A1342" s="44"/>
      <c r="B1342" s="44"/>
      <c r="C1342" s="35"/>
      <c r="D1342" s="44"/>
      <c r="E1342" s="44"/>
      <c r="F1342" s="44"/>
      <c r="G1342" s="130"/>
      <c r="H1342" s="252">
        <f t="shared" si="45"/>
        <v>0</v>
      </c>
      <c r="I1342" s="252">
        <f t="shared" si="44"/>
        <v>0</v>
      </c>
      <c r="J1342" s="170" t="str">
        <f>IF(A1342="","",SUM($H$7:H1342)-SUM($I$7:I1342))</f>
        <v/>
      </c>
      <c r="K1342" s="34"/>
    </row>
    <row r="1343" spans="1:11" x14ac:dyDescent="0.2">
      <c r="A1343" s="44"/>
      <c r="B1343" s="44"/>
      <c r="C1343" s="35"/>
      <c r="D1343" s="44"/>
      <c r="E1343" s="44"/>
      <c r="F1343" s="44"/>
      <c r="G1343" s="130"/>
      <c r="H1343" s="252">
        <f t="shared" si="45"/>
        <v>0</v>
      </c>
      <c r="I1343" s="252">
        <f t="shared" si="44"/>
        <v>0</v>
      </c>
      <c r="J1343" s="170" t="str">
        <f>IF(A1343="","",SUM($H$7:H1343)-SUM($I$7:I1343))</f>
        <v/>
      </c>
      <c r="K1343" s="34"/>
    </row>
    <row r="1344" spans="1:11" x14ac:dyDescent="0.2">
      <c r="A1344" s="44"/>
      <c r="B1344" s="44"/>
      <c r="C1344" s="35"/>
      <c r="D1344" s="44"/>
      <c r="E1344" s="44"/>
      <c r="F1344" s="44"/>
      <c r="G1344" s="130"/>
      <c r="H1344" s="252">
        <f t="shared" si="45"/>
        <v>0</v>
      </c>
      <c r="I1344" s="252">
        <f t="shared" si="44"/>
        <v>0</v>
      </c>
      <c r="J1344" s="170" t="str">
        <f>IF(A1344="","",SUM($H$7:H1344)-SUM($I$7:I1344))</f>
        <v/>
      </c>
      <c r="K1344" s="34"/>
    </row>
    <row r="1345" spans="1:11" x14ac:dyDescent="0.2">
      <c r="A1345" s="44"/>
      <c r="B1345" s="44"/>
      <c r="C1345" s="35"/>
      <c r="D1345" s="44"/>
      <c r="E1345" s="44"/>
      <c r="F1345" s="44"/>
      <c r="G1345" s="130"/>
      <c r="H1345" s="252">
        <f t="shared" si="45"/>
        <v>0</v>
      </c>
      <c r="I1345" s="252">
        <f t="shared" si="44"/>
        <v>0</v>
      </c>
      <c r="J1345" s="170" t="str">
        <f>IF(A1345="","",SUM($H$7:H1345)-SUM($I$7:I1345))</f>
        <v/>
      </c>
      <c r="K1345" s="34"/>
    </row>
    <row r="1346" spans="1:11" x14ac:dyDescent="0.2">
      <c r="A1346" s="44"/>
      <c r="B1346" s="44"/>
      <c r="C1346" s="35"/>
      <c r="D1346" s="44"/>
      <c r="E1346" s="44"/>
      <c r="F1346" s="44"/>
      <c r="G1346" s="130"/>
      <c r="H1346" s="252">
        <f t="shared" si="45"/>
        <v>0</v>
      </c>
      <c r="I1346" s="252">
        <f t="shared" si="44"/>
        <v>0</v>
      </c>
      <c r="J1346" s="170" t="str">
        <f>IF(A1346="","",SUM($H$7:H1346)-SUM($I$7:I1346))</f>
        <v/>
      </c>
      <c r="K1346" s="34"/>
    </row>
    <row r="1347" spans="1:11" x14ac:dyDescent="0.2">
      <c r="A1347" s="44"/>
      <c r="B1347" s="44"/>
      <c r="C1347" s="35"/>
      <c r="D1347" s="44"/>
      <c r="E1347" s="44"/>
      <c r="F1347" s="44"/>
      <c r="G1347" s="130"/>
      <c r="H1347" s="252">
        <f t="shared" si="45"/>
        <v>0</v>
      </c>
      <c r="I1347" s="252">
        <f t="shared" si="44"/>
        <v>0</v>
      </c>
      <c r="J1347" s="170" t="str">
        <f>IF(A1347="","",SUM($H$7:H1347)-SUM($I$7:I1347))</f>
        <v/>
      </c>
      <c r="K1347" s="34"/>
    </row>
    <row r="1348" spans="1:11" x14ac:dyDescent="0.2">
      <c r="A1348" s="44"/>
      <c r="B1348" s="44"/>
      <c r="C1348" s="35"/>
      <c r="D1348" s="44"/>
      <c r="E1348" s="44"/>
      <c r="F1348" s="44"/>
      <c r="G1348" s="130"/>
      <c r="H1348" s="252">
        <f t="shared" si="45"/>
        <v>0</v>
      </c>
      <c r="I1348" s="252">
        <f t="shared" si="44"/>
        <v>0</v>
      </c>
      <c r="J1348" s="170" t="str">
        <f>IF(A1348="","",SUM($H$7:H1348)-SUM($I$7:I1348))</f>
        <v/>
      </c>
      <c r="K1348" s="34"/>
    </row>
    <row r="1349" spans="1:11" x14ac:dyDescent="0.2">
      <c r="A1349" s="44"/>
      <c r="B1349" s="44"/>
      <c r="C1349" s="35"/>
      <c r="D1349" s="44"/>
      <c r="E1349" s="44"/>
      <c r="F1349" s="44"/>
      <c r="G1349" s="130"/>
      <c r="H1349" s="252">
        <f t="shared" si="45"/>
        <v>0</v>
      </c>
      <c r="I1349" s="252">
        <f t="shared" si="44"/>
        <v>0</v>
      </c>
      <c r="J1349" s="170" t="str">
        <f>IF(A1349="","",SUM($H$7:H1349)-SUM($I$7:I1349))</f>
        <v/>
      </c>
      <c r="K1349" s="34"/>
    </row>
    <row r="1350" spans="1:11" x14ac:dyDescent="0.2">
      <c r="A1350" s="44"/>
      <c r="B1350" s="44"/>
      <c r="C1350" s="35"/>
      <c r="D1350" s="44"/>
      <c r="E1350" s="44"/>
      <c r="F1350" s="44"/>
      <c r="G1350" s="130"/>
      <c r="H1350" s="252">
        <f t="shared" si="45"/>
        <v>0</v>
      </c>
      <c r="I1350" s="252">
        <f t="shared" si="44"/>
        <v>0</v>
      </c>
      <c r="J1350" s="170" t="str">
        <f>IF(A1350="","",SUM($H$7:H1350)-SUM($I$7:I1350))</f>
        <v/>
      </c>
      <c r="K1350" s="34"/>
    </row>
    <row r="1351" spans="1:11" x14ac:dyDescent="0.2">
      <c r="A1351" s="44"/>
      <c r="B1351" s="44"/>
      <c r="C1351" s="35"/>
      <c r="D1351" s="44"/>
      <c r="E1351" s="44"/>
      <c r="F1351" s="44"/>
      <c r="G1351" s="130"/>
      <c r="H1351" s="252">
        <f t="shared" si="45"/>
        <v>0</v>
      </c>
      <c r="I1351" s="252">
        <f t="shared" ref="I1351:I1414" si="46">IF($C1351="Replenishment",0,$G1351)</f>
        <v>0</v>
      </c>
      <c r="J1351" s="170" t="str">
        <f>IF(A1351="","",SUM($H$7:H1351)-SUM($I$7:I1351))</f>
        <v/>
      </c>
      <c r="K1351" s="34"/>
    </row>
    <row r="1352" spans="1:11" x14ac:dyDescent="0.2">
      <c r="A1352" s="44"/>
      <c r="B1352" s="44"/>
      <c r="C1352" s="35"/>
      <c r="D1352" s="44"/>
      <c r="E1352" s="44"/>
      <c r="F1352" s="44"/>
      <c r="G1352" s="130"/>
      <c r="H1352" s="252">
        <f t="shared" si="45"/>
        <v>0</v>
      </c>
      <c r="I1352" s="252">
        <f t="shared" si="46"/>
        <v>0</v>
      </c>
      <c r="J1352" s="170" t="str">
        <f>IF(A1352="","",SUM($H$7:H1352)-SUM($I$7:I1352))</f>
        <v/>
      </c>
      <c r="K1352" s="34"/>
    </row>
    <row r="1353" spans="1:11" x14ac:dyDescent="0.2">
      <c r="A1353" s="44"/>
      <c r="B1353" s="44"/>
      <c r="C1353" s="35"/>
      <c r="D1353" s="44"/>
      <c r="E1353" s="44"/>
      <c r="F1353" s="44"/>
      <c r="G1353" s="130"/>
      <c r="H1353" s="252">
        <f t="shared" si="45"/>
        <v>0</v>
      </c>
      <c r="I1353" s="252">
        <f t="shared" si="46"/>
        <v>0</v>
      </c>
      <c r="J1353" s="170" t="str">
        <f>IF(A1353="","",SUM($H$7:H1353)-SUM($I$7:I1353))</f>
        <v/>
      </c>
      <c r="K1353" s="34"/>
    </row>
    <row r="1354" spans="1:11" x14ac:dyDescent="0.2">
      <c r="A1354" s="44"/>
      <c r="B1354" s="44"/>
      <c r="C1354" s="35"/>
      <c r="D1354" s="44"/>
      <c r="E1354" s="44"/>
      <c r="F1354" s="44"/>
      <c r="G1354" s="130"/>
      <c r="H1354" s="252">
        <f t="shared" si="45"/>
        <v>0</v>
      </c>
      <c r="I1354" s="252">
        <f t="shared" si="46"/>
        <v>0</v>
      </c>
      <c r="J1354" s="170" t="str">
        <f>IF(A1354="","",SUM($H$7:H1354)-SUM($I$7:I1354))</f>
        <v/>
      </c>
      <c r="K1354" s="34"/>
    </row>
    <row r="1355" spans="1:11" x14ac:dyDescent="0.2">
      <c r="A1355" s="44"/>
      <c r="B1355" s="44"/>
      <c r="C1355" s="35"/>
      <c r="D1355" s="44"/>
      <c r="E1355" s="44"/>
      <c r="F1355" s="44"/>
      <c r="G1355" s="130"/>
      <c r="H1355" s="252">
        <f t="shared" si="45"/>
        <v>0</v>
      </c>
      <c r="I1355" s="252">
        <f t="shared" si="46"/>
        <v>0</v>
      </c>
      <c r="J1355" s="170" t="str">
        <f>IF(A1355="","",SUM($H$7:H1355)-SUM($I$7:I1355))</f>
        <v/>
      </c>
      <c r="K1355" s="34"/>
    </row>
    <row r="1356" spans="1:11" x14ac:dyDescent="0.2">
      <c r="A1356" s="44"/>
      <c r="B1356" s="44"/>
      <c r="C1356" s="35"/>
      <c r="D1356" s="44"/>
      <c r="E1356" s="44"/>
      <c r="F1356" s="44"/>
      <c r="G1356" s="130"/>
      <c r="H1356" s="252">
        <f t="shared" si="45"/>
        <v>0</v>
      </c>
      <c r="I1356" s="252">
        <f t="shared" si="46"/>
        <v>0</v>
      </c>
      <c r="J1356" s="170" t="str">
        <f>IF(A1356="","",SUM($H$7:H1356)-SUM($I$7:I1356))</f>
        <v/>
      </c>
      <c r="K1356" s="34"/>
    </row>
    <row r="1357" spans="1:11" x14ac:dyDescent="0.2">
      <c r="A1357" s="44"/>
      <c r="B1357" s="44"/>
      <c r="C1357" s="35"/>
      <c r="D1357" s="44"/>
      <c r="E1357" s="44"/>
      <c r="F1357" s="44"/>
      <c r="G1357" s="130"/>
      <c r="H1357" s="252">
        <f t="shared" si="45"/>
        <v>0</v>
      </c>
      <c r="I1357" s="252">
        <f t="shared" si="46"/>
        <v>0</v>
      </c>
      <c r="J1357" s="170" t="str">
        <f>IF(A1357="","",SUM($H$7:H1357)-SUM($I$7:I1357))</f>
        <v/>
      </c>
      <c r="K1357" s="34"/>
    </row>
    <row r="1358" spans="1:11" x14ac:dyDescent="0.2">
      <c r="A1358" s="44"/>
      <c r="B1358" s="44"/>
      <c r="C1358" s="35"/>
      <c r="D1358" s="44"/>
      <c r="E1358" s="44"/>
      <c r="F1358" s="44"/>
      <c r="G1358" s="130"/>
      <c r="H1358" s="252">
        <f t="shared" si="45"/>
        <v>0</v>
      </c>
      <c r="I1358" s="252">
        <f t="shared" si="46"/>
        <v>0</v>
      </c>
      <c r="J1358" s="170" t="str">
        <f>IF(A1358="","",SUM($H$7:H1358)-SUM($I$7:I1358))</f>
        <v/>
      </c>
      <c r="K1358" s="34"/>
    </row>
    <row r="1359" spans="1:11" x14ac:dyDescent="0.2">
      <c r="A1359" s="44"/>
      <c r="B1359" s="44"/>
      <c r="C1359" s="35"/>
      <c r="D1359" s="44"/>
      <c r="E1359" s="44"/>
      <c r="F1359" s="44"/>
      <c r="G1359" s="130"/>
      <c r="H1359" s="252">
        <f t="shared" si="45"/>
        <v>0</v>
      </c>
      <c r="I1359" s="252">
        <f t="shared" si="46"/>
        <v>0</v>
      </c>
      <c r="J1359" s="170" t="str">
        <f>IF(A1359="","",SUM($H$7:H1359)-SUM($I$7:I1359))</f>
        <v/>
      </c>
      <c r="K1359" s="34"/>
    </row>
    <row r="1360" spans="1:11" x14ac:dyDescent="0.2">
      <c r="A1360" s="44"/>
      <c r="B1360" s="44"/>
      <c r="C1360" s="35"/>
      <c r="D1360" s="44"/>
      <c r="E1360" s="44"/>
      <c r="F1360" s="44"/>
      <c r="G1360" s="130"/>
      <c r="H1360" s="252">
        <f t="shared" si="45"/>
        <v>0</v>
      </c>
      <c r="I1360" s="252">
        <f t="shared" si="46"/>
        <v>0</v>
      </c>
      <c r="J1360" s="170" t="str">
        <f>IF(A1360="","",SUM($H$7:H1360)-SUM($I$7:I1360))</f>
        <v/>
      </c>
      <c r="K1360" s="34"/>
    </row>
    <row r="1361" spans="1:11" x14ac:dyDescent="0.2">
      <c r="A1361" s="44"/>
      <c r="B1361" s="44"/>
      <c r="C1361" s="35"/>
      <c r="D1361" s="44"/>
      <c r="E1361" s="44"/>
      <c r="F1361" s="44"/>
      <c r="G1361" s="130"/>
      <c r="H1361" s="252">
        <f t="shared" si="45"/>
        <v>0</v>
      </c>
      <c r="I1361" s="252">
        <f t="shared" si="46"/>
        <v>0</v>
      </c>
      <c r="J1361" s="170" t="str">
        <f>IF(A1361="","",SUM($H$7:H1361)-SUM($I$7:I1361))</f>
        <v/>
      </c>
      <c r="K1361" s="34"/>
    </row>
    <row r="1362" spans="1:11" x14ac:dyDescent="0.2">
      <c r="A1362" s="44"/>
      <c r="B1362" s="44"/>
      <c r="C1362" s="35"/>
      <c r="D1362" s="44"/>
      <c r="E1362" s="44"/>
      <c r="F1362" s="44"/>
      <c r="G1362" s="130"/>
      <c r="H1362" s="252">
        <f t="shared" si="45"/>
        <v>0</v>
      </c>
      <c r="I1362" s="252">
        <f t="shared" si="46"/>
        <v>0</v>
      </c>
      <c r="J1362" s="170" t="str">
        <f>IF(A1362="","",SUM($H$7:H1362)-SUM($I$7:I1362))</f>
        <v/>
      </c>
      <c r="K1362" s="34"/>
    </row>
    <row r="1363" spans="1:11" x14ac:dyDescent="0.2">
      <c r="A1363" s="44"/>
      <c r="B1363" s="44"/>
      <c r="C1363" s="35"/>
      <c r="D1363" s="44"/>
      <c r="E1363" s="44"/>
      <c r="F1363" s="44"/>
      <c r="G1363" s="130"/>
      <c r="H1363" s="252">
        <f t="shared" si="45"/>
        <v>0</v>
      </c>
      <c r="I1363" s="252">
        <f t="shared" si="46"/>
        <v>0</v>
      </c>
      <c r="J1363" s="170" t="str">
        <f>IF(A1363="","",SUM($H$7:H1363)-SUM($I$7:I1363))</f>
        <v/>
      </c>
      <c r="K1363" s="34"/>
    </row>
    <row r="1364" spans="1:11" x14ac:dyDescent="0.2">
      <c r="A1364" s="44"/>
      <c r="B1364" s="44"/>
      <c r="C1364" s="35"/>
      <c r="D1364" s="44"/>
      <c r="E1364" s="44"/>
      <c r="F1364" s="44"/>
      <c r="G1364" s="130"/>
      <c r="H1364" s="252">
        <f t="shared" si="45"/>
        <v>0</v>
      </c>
      <c r="I1364" s="252">
        <f t="shared" si="46"/>
        <v>0</v>
      </c>
      <c r="J1364" s="170" t="str">
        <f>IF(A1364="","",SUM($H$7:H1364)-SUM($I$7:I1364))</f>
        <v/>
      </c>
      <c r="K1364" s="34"/>
    </row>
    <row r="1365" spans="1:11" x14ac:dyDescent="0.2">
      <c r="A1365" s="44"/>
      <c r="B1365" s="44"/>
      <c r="C1365" s="35"/>
      <c r="D1365" s="44"/>
      <c r="E1365" s="44"/>
      <c r="F1365" s="44"/>
      <c r="G1365" s="130"/>
      <c r="H1365" s="252">
        <f t="shared" si="45"/>
        <v>0</v>
      </c>
      <c r="I1365" s="252">
        <f t="shared" si="46"/>
        <v>0</v>
      </c>
      <c r="J1365" s="170" t="str">
        <f>IF(A1365="","",SUM($H$7:H1365)-SUM($I$7:I1365))</f>
        <v/>
      </c>
      <c r="K1365" s="34"/>
    </row>
    <row r="1366" spans="1:11" x14ac:dyDescent="0.2">
      <c r="A1366" s="44"/>
      <c r="B1366" s="44"/>
      <c r="C1366" s="35"/>
      <c r="D1366" s="44"/>
      <c r="E1366" s="44"/>
      <c r="F1366" s="44"/>
      <c r="G1366" s="130"/>
      <c r="H1366" s="252">
        <f t="shared" si="45"/>
        <v>0</v>
      </c>
      <c r="I1366" s="252">
        <f t="shared" si="46"/>
        <v>0</v>
      </c>
      <c r="J1366" s="170" t="str">
        <f>IF(A1366="","",SUM($H$7:H1366)-SUM($I$7:I1366))</f>
        <v/>
      </c>
      <c r="K1366" s="34"/>
    </row>
    <row r="1367" spans="1:11" x14ac:dyDescent="0.2">
      <c r="A1367" s="44"/>
      <c r="B1367" s="44"/>
      <c r="C1367" s="35"/>
      <c r="D1367" s="44"/>
      <c r="E1367" s="44"/>
      <c r="F1367" s="44"/>
      <c r="G1367" s="130"/>
      <c r="H1367" s="252">
        <f t="shared" si="45"/>
        <v>0</v>
      </c>
      <c r="I1367" s="252">
        <f t="shared" si="46"/>
        <v>0</v>
      </c>
      <c r="J1367" s="170" t="str">
        <f>IF(A1367="","",SUM($H$7:H1367)-SUM($I$7:I1367))</f>
        <v/>
      </c>
      <c r="K1367" s="34"/>
    </row>
    <row r="1368" spans="1:11" x14ac:dyDescent="0.2">
      <c r="A1368" s="44"/>
      <c r="B1368" s="44"/>
      <c r="C1368" s="35"/>
      <c r="D1368" s="44"/>
      <c r="E1368" s="44"/>
      <c r="F1368" s="44"/>
      <c r="G1368" s="130"/>
      <c r="H1368" s="252">
        <f t="shared" si="45"/>
        <v>0</v>
      </c>
      <c r="I1368" s="252">
        <f t="shared" si="46"/>
        <v>0</v>
      </c>
      <c r="J1368" s="170" t="str">
        <f>IF(A1368="","",SUM($H$7:H1368)-SUM($I$7:I1368))</f>
        <v/>
      </c>
      <c r="K1368" s="34"/>
    </row>
    <row r="1369" spans="1:11" x14ac:dyDescent="0.2">
      <c r="A1369" s="44"/>
      <c r="B1369" s="44"/>
      <c r="C1369" s="35"/>
      <c r="D1369" s="44"/>
      <c r="E1369" s="44"/>
      <c r="F1369" s="44"/>
      <c r="G1369" s="130"/>
      <c r="H1369" s="252">
        <f t="shared" si="45"/>
        <v>0</v>
      </c>
      <c r="I1369" s="252">
        <f t="shared" si="46"/>
        <v>0</v>
      </c>
      <c r="J1369" s="170" t="str">
        <f>IF(A1369="","",SUM($H$7:H1369)-SUM($I$7:I1369))</f>
        <v/>
      </c>
      <c r="K1369" s="34"/>
    </row>
    <row r="1370" spans="1:11" x14ac:dyDescent="0.2">
      <c r="A1370" s="44"/>
      <c r="B1370" s="44"/>
      <c r="C1370" s="35"/>
      <c r="D1370" s="44"/>
      <c r="E1370" s="44"/>
      <c r="F1370" s="44"/>
      <c r="G1370" s="130"/>
      <c r="H1370" s="252">
        <f t="shared" si="45"/>
        <v>0</v>
      </c>
      <c r="I1370" s="252">
        <f t="shared" si="46"/>
        <v>0</v>
      </c>
      <c r="J1370" s="170" t="str">
        <f>IF(A1370="","",SUM($H$7:H1370)-SUM($I$7:I1370))</f>
        <v/>
      </c>
      <c r="K1370" s="34"/>
    </row>
    <row r="1371" spans="1:11" x14ac:dyDescent="0.2">
      <c r="A1371" s="44"/>
      <c r="B1371" s="44"/>
      <c r="C1371" s="35"/>
      <c r="D1371" s="44"/>
      <c r="E1371" s="44"/>
      <c r="F1371" s="44"/>
      <c r="G1371" s="130"/>
      <c r="H1371" s="252">
        <f t="shared" si="45"/>
        <v>0</v>
      </c>
      <c r="I1371" s="252">
        <f t="shared" si="46"/>
        <v>0</v>
      </c>
      <c r="J1371" s="170" t="str">
        <f>IF(A1371="","",SUM($H$7:H1371)-SUM($I$7:I1371))</f>
        <v/>
      </c>
      <c r="K1371" s="34"/>
    </row>
    <row r="1372" spans="1:11" x14ac:dyDescent="0.2">
      <c r="A1372" s="44"/>
      <c r="B1372" s="44"/>
      <c r="C1372" s="35"/>
      <c r="D1372" s="44"/>
      <c r="E1372" s="44"/>
      <c r="F1372" s="44"/>
      <c r="G1372" s="130"/>
      <c r="H1372" s="252">
        <f t="shared" si="45"/>
        <v>0</v>
      </c>
      <c r="I1372" s="252">
        <f t="shared" si="46"/>
        <v>0</v>
      </c>
      <c r="J1372" s="170" t="str">
        <f>IF(A1372="","",SUM($H$7:H1372)-SUM($I$7:I1372))</f>
        <v/>
      </c>
      <c r="K1372" s="34"/>
    </row>
    <row r="1373" spans="1:11" x14ac:dyDescent="0.2">
      <c r="A1373" s="44"/>
      <c r="B1373" s="44"/>
      <c r="C1373" s="35"/>
      <c r="D1373" s="44"/>
      <c r="E1373" s="44"/>
      <c r="F1373" s="44"/>
      <c r="G1373" s="130"/>
      <c r="H1373" s="252">
        <f t="shared" si="45"/>
        <v>0</v>
      </c>
      <c r="I1373" s="252">
        <f t="shared" si="46"/>
        <v>0</v>
      </c>
      <c r="J1373" s="170" t="str">
        <f>IF(A1373="","",SUM($H$7:H1373)-SUM($I$7:I1373))</f>
        <v/>
      </c>
      <c r="K1373" s="34"/>
    </row>
    <row r="1374" spans="1:11" x14ac:dyDescent="0.2">
      <c r="A1374" s="44"/>
      <c r="B1374" s="44"/>
      <c r="C1374" s="35"/>
      <c r="D1374" s="44"/>
      <c r="E1374" s="44"/>
      <c r="F1374" s="44"/>
      <c r="G1374" s="130"/>
      <c r="H1374" s="252">
        <f t="shared" si="45"/>
        <v>0</v>
      </c>
      <c r="I1374" s="252">
        <f t="shared" si="46"/>
        <v>0</v>
      </c>
      <c r="J1374" s="170" t="str">
        <f>IF(A1374="","",SUM($H$7:H1374)-SUM($I$7:I1374))</f>
        <v/>
      </c>
      <c r="K1374" s="34"/>
    </row>
    <row r="1375" spans="1:11" x14ac:dyDescent="0.2">
      <c r="A1375" s="44"/>
      <c r="B1375" s="44"/>
      <c r="C1375" s="35"/>
      <c r="D1375" s="44"/>
      <c r="E1375" s="44"/>
      <c r="F1375" s="44"/>
      <c r="G1375" s="130"/>
      <c r="H1375" s="252">
        <f t="shared" si="45"/>
        <v>0</v>
      </c>
      <c r="I1375" s="252">
        <f t="shared" si="46"/>
        <v>0</v>
      </c>
      <c r="J1375" s="170" t="str">
        <f>IF(A1375="","",SUM($H$7:H1375)-SUM($I$7:I1375))</f>
        <v/>
      </c>
      <c r="K1375" s="34"/>
    </row>
    <row r="1376" spans="1:11" x14ac:dyDescent="0.2">
      <c r="A1376" s="44"/>
      <c r="B1376" s="44"/>
      <c r="C1376" s="35"/>
      <c r="D1376" s="44"/>
      <c r="E1376" s="44"/>
      <c r="F1376" s="44"/>
      <c r="G1376" s="130"/>
      <c r="H1376" s="252">
        <f t="shared" si="45"/>
        <v>0</v>
      </c>
      <c r="I1376" s="252">
        <f t="shared" si="46"/>
        <v>0</v>
      </c>
      <c r="J1376" s="170" t="str">
        <f>IF(A1376="","",SUM($H$7:H1376)-SUM($I$7:I1376))</f>
        <v/>
      </c>
      <c r="K1376" s="34"/>
    </row>
    <row r="1377" spans="1:11" x14ac:dyDescent="0.2">
      <c r="A1377" s="44"/>
      <c r="B1377" s="44"/>
      <c r="C1377" s="35"/>
      <c r="D1377" s="44"/>
      <c r="E1377" s="44"/>
      <c r="F1377" s="44"/>
      <c r="G1377" s="130"/>
      <c r="H1377" s="252">
        <f t="shared" si="45"/>
        <v>0</v>
      </c>
      <c r="I1377" s="252">
        <f t="shared" si="46"/>
        <v>0</v>
      </c>
      <c r="J1377" s="170" t="str">
        <f>IF(A1377="","",SUM($H$7:H1377)-SUM($I$7:I1377))</f>
        <v/>
      </c>
      <c r="K1377" s="34"/>
    </row>
    <row r="1378" spans="1:11" x14ac:dyDescent="0.2">
      <c r="A1378" s="44"/>
      <c r="B1378" s="44"/>
      <c r="C1378" s="35"/>
      <c r="D1378" s="44"/>
      <c r="E1378" s="44"/>
      <c r="F1378" s="44"/>
      <c r="G1378" s="130"/>
      <c r="H1378" s="252">
        <f t="shared" si="45"/>
        <v>0</v>
      </c>
      <c r="I1378" s="252">
        <f t="shared" si="46"/>
        <v>0</v>
      </c>
      <c r="J1378" s="170" t="str">
        <f>IF(A1378="","",SUM($H$7:H1378)-SUM($I$7:I1378))</f>
        <v/>
      </c>
      <c r="K1378" s="34"/>
    </row>
    <row r="1379" spans="1:11" x14ac:dyDescent="0.2">
      <c r="A1379" s="44"/>
      <c r="B1379" s="44"/>
      <c r="C1379" s="35"/>
      <c r="D1379" s="44"/>
      <c r="E1379" s="44"/>
      <c r="F1379" s="44"/>
      <c r="G1379" s="130"/>
      <c r="H1379" s="252">
        <f t="shared" si="45"/>
        <v>0</v>
      </c>
      <c r="I1379" s="252">
        <f t="shared" si="46"/>
        <v>0</v>
      </c>
      <c r="J1379" s="170" t="str">
        <f>IF(A1379="","",SUM($H$7:H1379)-SUM($I$7:I1379))</f>
        <v/>
      </c>
      <c r="K1379" s="34"/>
    </row>
    <row r="1380" spans="1:11" x14ac:dyDescent="0.2">
      <c r="A1380" s="44"/>
      <c r="B1380" s="44"/>
      <c r="C1380" s="35"/>
      <c r="D1380" s="44"/>
      <c r="E1380" s="44"/>
      <c r="F1380" s="44"/>
      <c r="G1380" s="130"/>
      <c r="H1380" s="252">
        <f t="shared" si="45"/>
        <v>0</v>
      </c>
      <c r="I1380" s="252">
        <f t="shared" si="46"/>
        <v>0</v>
      </c>
      <c r="J1380" s="170" t="str">
        <f>IF(A1380="","",SUM($H$7:H1380)-SUM($I$7:I1380))</f>
        <v/>
      </c>
      <c r="K1380" s="34"/>
    </row>
    <row r="1381" spans="1:11" x14ac:dyDescent="0.2">
      <c r="A1381" s="44"/>
      <c r="B1381" s="44"/>
      <c r="C1381" s="35"/>
      <c r="D1381" s="44"/>
      <c r="E1381" s="44"/>
      <c r="F1381" s="44"/>
      <c r="G1381" s="130"/>
      <c r="H1381" s="252">
        <f t="shared" si="45"/>
        <v>0</v>
      </c>
      <c r="I1381" s="252">
        <f t="shared" si="46"/>
        <v>0</v>
      </c>
      <c r="J1381" s="170" t="str">
        <f>IF(A1381="","",SUM($H$7:H1381)-SUM($I$7:I1381))</f>
        <v/>
      </c>
      <c r="K1381" s="34"/>
    </row>
    <row r="1382" spans="1:11" x14ac:dyDescent="0.2">
      <c r="A1382" s="44"/>
      <c r="B1382" s="44"/>
      <c r="C1382" s="35"/>
      <c r="D1382" s="44"/>
      <c r="E1382" s="44"/>
      <c r="F1382" s="44"/>
      <c r="G1382" s="130"/>
      <c r="H1382" s="252">
        <f t="shared" si="45"/>
        <v>0</v>
      </c>
      <c r="I1382" s="252">
        <f t="shared" si="46"/>
        <v>0</v>
      </c>
      <c r="J1382" s="170" t="str">
        <f>IF(A1382="","",SUM($H$7:H1382)-SUM($I$7:I1382))</f>
        <v/>
      </c>
      <c r="K1382" s="34"/>
    </row>
    <row r="1383" spans="1:11" x14ac:dyDescent="0.2">
      <c r="A1383" s="44"/>
      <c r="B1383" s="44"/>
      <c r="C1383" s="35"/>
      <c r="D1383" s="44"/>
      <c r="E1383" s="44"/>
      <c r="F1383" s="44"/>
      <c r="G1383" s="130"/>
      <c r="H1383" s="252">
        <f t="shared" si="45"/>
        <v>0</v>
      </c>
      <c r="I1383" s="252">
        <f t="shared" si="46"/>
        <v>0</v>
      </c>
      <c r="J1383" s="170" t="str">
        <f>IF(A1383="","",SUM($H$7:H1383)-SUM($I$7:I1383))</f>
        <v/>
      </c>
      <c r="K1383" s="34"/>
    </row>
    <row r="1384" spans="1:11" x14ac:dyDescent="0.2">
      <c r="A1384" s="44"/>
      <c r="B1384" s="44"/>
      <c r="C1384" s="35"/>
      <c r="D1384" s="44"/>
      <c r="E1384" s="44"/>
      <c r="F1384" s="44"/>
      <c r="G1384" s="130"/>
      <c r="H1384" s="252">
        <f t="shared" si="45"/>
        <v>0</v>
      </c>
      <c r="I1384" s="252">
        <f t="shared" si="46"/>
        <v>0</v>
      </c>
      <c r="J1384" s="170" t="str">
        <f>IF(A1384="","",SUM($H$7:H1384)-SUM($I$7:I1384))</f>
        <v/>
      </c>
      <c r="K1384" s="34"/>
    </row>
    <row r="1385" spans="1:11" x14ac:dyDescent="0.2">
      <c r="A1385" s="44"/>
      <c r="B1385" s="44"/>
      <c r="C1385" s="35"/>
      <c r="D1385" s="44"/>
      <c r="E1385" s="44"/>
      <c r="F1385" s="44"/>
      <c r="G1385" s="130"/>
      <c r="H1385" s="252">
        <f t="shared" si="45"/>
        <v>0</v>
      </c>
      <c r="I1385" s="252">
        <f t="shared" si="46"/>
        <v>0</v>
      </c>
      <c r="J1385" s="170" t="str">
        <f>IF(A1385="","",SUM($H$7:H1385)-SUM($I$7:I1385))</f>
        <v/>
      </c>
      <c r="K1385" s="34"/>
    </row>
    <row r="1386" spans="1:11" x14ac:dyDescent="0.2">
      <c r="A1386" s="44"/>
      <c r="B1386" s="44"/>
      <c r="C1386" s="35"/>
      <c r="D1386" s="44"/>
      <c r="E1386" s="44"/>
      <c r="F1386" s="44"/>
      <c r="G1386" s="130"/>
      <c r="H1386" s="252">
        <f t="shared" si="45"/>
        <v>0</v>
      </c>
      <c r="I1386" s="252">
        <f t="shared" si="46"/>
        <v>0</v>
      </c>
      <c r="J1386" s="170" t="str">
        <f>IF(A1386="","",SUM($H$7:H1386)-SUM($I$7:I1386))</f>
        <v/>
      </c>
      <c r="K1386" s="34"/>
    </row>
    <row r="1387" spans="1:11" x14ac:dyDescent="0.2">
      <c r="A1387" s="44"/>
      <c r="B1387" s="44"/>
      <c r="C1387" s="35"/>
      <c r="D1387" s="44"/>
      <c r="E1387" s="44"/>
      <c r="F1387" s="44"/>
      <c r="G1387" s="130"/>
      <c r="H1387" s="252">
        <f t="shared" si="45"/>
        <v>0</v>
      </c>
      <c r="I1387" s="252">
        <f t="shared" si="46"/>
        <v>0</v>
      </c>
      <c r="J1387" s="170" t="str">
        <f>IF(A1387="","",SUM($H$7:H1387)-SUM($I$7:I1387))</f>
        <v/>
      </c>
      <c r="K1387" s="34"/>
    </row>
    <row r="1388" spans="1:11" x14ac:dyDescent="0.2">
      <c r="A1388" s="44"/>
      <c r="B1388" s="44"/>
      <c r="C1388" s="35"/>
      <c r="D1388" s="44"/>
      <c r="E1388" s="44"/>
      <c r="F1388" s="44"/>
      <c r="G1388" s="130"/>
      <c r="H1388" s="252">
        <f t="shared" si="45"/>
        <v>0</v>
      </c>
      <c r="I1388" s="252">
        <f t="shared" si="46"/>
        <v>0</v>
      </c>
      <c r="J1388" s="170" t="str">
        <f>IF(A1388="","",SUM($H$7:H1388)-SUM($I$7:I1388))</f>
        <v/>
      </c>
      <c r="K1388" s="34"/>
    </row>
    <row r="1389" spans="1:11" x14ac:dyDescent="0.2">
      <c r="A1389" s="44"/>
      <c r="B1389" s="44"/>
      <c r="C1389" s="35"/>
      <c r="D1389" s="44"/>
      <c r="E1389" s="44"/>
      <c r="F1389" s="44"/>
      <c r="G1389" s="130"/>
      <c r="H1389" s="252">
        <f t="shared" si="45"/>
        <v>0</v>
      </c>
      <c r="I1389" s="252">
        <f t="shared" si="46"/>
        <v>0</v>
      </c>
      <c r="J1389" s="170" t="str">
        <f>IF(A1389="","",SUM($H$7:H1389)-SUM($I$7:I1389))</f>
        <v/>
      </c>
      <c r="K1389" s="34"/>
    </row>
    <row r="1390" spans="1:11" x14ac:dyDescent="0.2">
      <c r="A1390" s="44"/>
      <c r="B1390" s="44"/>
      <c r="C1390" s="35"/>
      <c r="D1390" s="44"/>
      <c r="E1390" s="44"/>
      <c r="F1390" s="44"/>
      <c r="G1390" s="130"/>
      <c r="H1390" s="252">
        <f t="shared" si="45"/>
        <v>0</v>
      </c>
      <c r="I1390" s="252">
        <f t="shared" si="46"/>
        <v>0</v>
      </c>
      <c r="J1390" s="170" t="str">
        <f>IF(A1390="","",SUM($H$7:H1390)-SUM($I$7:I1390))</f>
        <v/>
      </c>
      <c r="K1390" s="34"/>
    </row>
    <row r="1391" spans="1:11" x14ac:dyDescent="0.2">
      <c r="A1391" s="44"/>
      <c r="B1391" s="44"/>
      <c r="C1391" s="35"/>
      <c r="D1391" s="44"/>
      <c r="E1391" s="44"/>
      <c r="F1391" s="44"/>
      <c r="G1391" s="130"/>
      <c r="H1391" s="252">
        <f t="shared" si="45"/>
        <v>0</v>
      </c>
      <c r="I1391" s="252">
        <f t="shared" si="46"/>
        <v>0</v>
      </c>
      <c r="J1391" s="170" t="str">
        <f>IF(A1391="","",SUM($H$7:H1391)-SUM($I$7:I1391))</f>
        <v/>
      </c>
      <c r="K1391" s="34"/>
    </row>
    <row r="1392" spans="1:11" x14ac:dyDescent="0.2">
      <c r="A1392" s="44"/>
      <c r="B1392" s="44"/>
      <c r="C1392" s="35"/>
      <c r="D1392" s="44"/>
      <c r="E1392" s="44"/>
      <c r="F1392" s="44"/>
      <c r="G1392" s="130"/>
      <c r="H1392" s="252">
        <f t="shared" si="45"/>
        <v>0</v>
      </c>
      <c r="I1392" s="252">
        <f t="shared" si="46"/>
        <v>0</v>
      </c>
      <c r="J1392" s="170" t="str">
        <f>IF(A1392="","",SUM($H$7:H1392)-SUM($I$7:I1392))</f>
        <v/>
      </c>
      <c r="K1392" s="34"/>
    </row>
    <row r="1393" spans="1:11" x14ac:dyDescent="0.2">
      <c r="A1393" s="44"/>
      <c r="B1393" s="44"/>
      <c r="C1393" s="35"/>
      <c r="D1393" s="44"/>
      <c r="E1393" s="44"/>
      <c r="F1393" s="44"/>
      <c r="G1393" s="130"/>
      <c r="H1393" s="252">
        <f t="shared" si="45"/>
        <v>0</v>
      </c>
      <c r="I1393" s="252">
        <f t="shared" si="46"/>
        <v>0</v>
      </c>
      <c r="J1393" s="170" t="str">
        <f>IF(A1393="","",SUM($H$7:H1393)-SUM($I$7:I1393))</f>
        <v/>
      </c>
      <c r="K1393" s="34"/>
    </row>
    <row r="1394" spans="1:11" x14ac:dyDescent="0.2">
      <c r="A1394" s="44"/>
      <c r="B1394" s="44"/>
      <c r="C1394" s="35"/>
      <c r="D1394" s="44"/>
      <c r="E1394" s="44"/>
      <c r="F1394" s="44"/>
      <c r="G1394" s="130"/>
      <c r="H1394" s="252">
        <f t="shared" si="45"/>
        <v>0</v>
      </c>
      <c r="I1394" s="252">
        <f t="shared" si="46"/>
        <v>0</v>
      </c>
      <c r="J1394" s="170" t="str">
        <f>IF(A1394="","",SUM($H$7:H1394)-SUM($I$7:I1394))</f>
        <v/>
      </c>
      <c r="K1394" s="34"/>
    </row>
    <row r="1395" spans="1:11" x14ac:dyDescent="0.2">
      <c r="A1395" s="44"/>
      <c r="B1395" s="44"/>
      <c r="C1395" s="35"/>
      <c r="D1395" s="44"/>
      <c r="E1395" s="44"/>
      <c r="F1395" s="44"/>
      <c r="G1395" s="130"/>
      <c r="H1395" s="252">
        <f t="shared" si="45"/>
        <v>0</v>
      </c>
      <c r="I1395" s="252">
        <f t="shared" si="46"/>
        <v>0</v>
      </c>
      <c r="J1395" s="170" t="str">
        <f>IF(A1395="","",SUM($H$7:H1395)-SUM($I$7:I1395))</f>
        <v/>
      </c>
      <c r="K1395" s="34"/>
    </row>
    <row r="1396" spans="1:11" x14ac:dyDescent="0.2">
      <c r="A1396" s="44"/>
      <c r="B1396" s="44"/>
      <c r="C1396" s="35"/>
      <c r="D1396" s="44"/>
      <c r="E1396" s="44"/>
      <c r="F1396" s="44"/>
      <c r="G1396" s="130"/>
      <c r="H1396" s="252">
        <f t="shared" si="45"/>
        <v>0</v>
      </c>
      <c r="I1396" s="252">
        <f t="shared" si="46"/>
        <v>0</v>
      </c>
      <c r="J1396" s="170" t="str">
        <f>IF(A1396="","",SUM($H$7:H1396)-SUM($I$7:I1396))</f>
        <v/>
      </c>
      <c r="K1396" s="34"/>
    </row>
    <row r="1397" spans="1:11" x14ac:dyDescent="0.2">
      <c r="A1397" s="44"/>
      <c r="B1397" s="44"/>
      <c r="C1397" s="35"/>
      <c r="D1397" s="44"/>
      <c r="E1397" s="44"/>
      <c r="F1397" s="44"/>
      <c r="G1397" s="130"/>
      <c r="H1397" s="252">
        <f t="shared" si="45"/>
        <v>0</v>
      </c>
      <c r="I1397" s="252">
        <f t="shared" si="46"/>
        <v>0</v>
      </c>
      <c r="J1397" s="170" t="str">
        <f>IF(A1397="","",SUM($H$7:H1397)-SUM($I$7:I1397))</f>
        <v/>
      </c>
      <c r="K1397" s="34"/>
    </row>
    <row r="1398" spans="1:11" x14ac:dyDescent="0.2">
      <c r="A1398" s="44"/>
      <c r="B1398" s="44"/>
      <c r="C1398" s="35"/>
      <c r="D1398" s="44"/>
      <c r="E1398" s="44"/>
      <c r="F1398" s="44"/>
      <c r="G1398" s="130"/>
      <c r="H1398" s="252">
        <f t="shared" ref="H1398:H1461" si="47">IF($C1398="Replenishment",$G1398,0)</f>
        <v>0</v>
      </c>
      <c r="I1398" s="252">
        <f t="shared" si="46"/>
        <v>0</v>
      </c>
      <c r="J1398" s="170" t="str">
        <f>IF(A1398="","",SUM($H$7:H1398)-SUM($I$7:I1398))</f>
        <v/>
      </c>
      <c r="K1398" s="34"/>
    </row>
    <row r="1399" spans="1:11" x14ac:dyDescent="0.2">
      <c r="A1399" s="44"/>
      <c r="B1399" s="44"/>
      <c r="C1399" s="35"/>
      <c r="D1399" s="44"/>
      <c r="E1399" s="44"/>
      <c r="F1399" s="44"/>
      <c r="G1399" s="130"/>
      <c r="H1399" s="252">
        <f t="shared" si="47"/>
        <v>0</v>
      </c>
      <c r="I1399" s="252">
        <f t="shared" si="46"/>
        <v>0</v>
      </c>
      <c r="J1399" s="170" t="str">
        <f>IF(A1399="","",SUM($H$7:H1399)-SUM($I$7:I1399))</f>
        <v/>
      </c>
      <c r="K1399" s="34"/>
    </row>
    <row r="1400" spans="1:11" x14ac:dyDescent="0.2">
      <c r="A1400" s="44"/>
      <c r="B1400" s="44"/>
      <c r="C1400" s="35"/>
      <c r="D1400" s="44"/>
      <c r="E1400" s="44"/>
      <c r="F1400" s="44"/>
      <c r="G1400" s="130"/>
      <c r="H1400" s="252">
        <f t="shared" si="47"/>
        <v>0</v>
      </c>
      <c r="I1400" s="252">
        <f t="shared" si="46"/>
        <v>0</v>
      </c>
      <c r="J1400" s="170" t="str">
        <f>IF(A1400="","",SUM($H$7:H1400)-SUM($I$7:I1400))</f>
        <v/>
      </c>
      <c r="K1400" s="34"/>
    </row>
    <row r="1401" spans="1:11" x14ac:dyDescent="0.2">
      <c r="A1401" s="44"/>
      <c r="B1401" s="44"/>
      <c r="C1401" s="35"/>
      <c r="D1401" s="44"/>
      <c r="E1401" s="44"/>
      <c r="F1401" s="44"/>
      <c r="G1401" s="130"/>
      <c r="H1401" s="252">
        <f t="shared" si="47"/>
        <v>0</v>
      </c>
      <c r="I1401" s="252">
        <f t="shared" si="46"/>
        <v>0</v>
      </c>
      <c r="J1401" s="170" t="str">
        <f>IF(A1401="","",SUM($H$7:H1401)-SUM($I$7:I1401))</f>
        <v/>
      </c>
      <c r="K1401" s="34"/>
    </row>
    <row r="1402" spans="1:11" x14ac:dyDescent="0.2">
      <c r="A1402" s="44"/>
      <c r="B1402" s="44"/>
      <c r="C1402" s="35"/>
      <c r="D1402" s="44"/>
      <c r="E1402" s="44"/>
      <c r="F1402" s="44"/>
      <c r="G1402" s="130"/>
      <c r="H1402" s="252">
        <f t="shared" si="47"/>
        <v>0</v>
      </c>
      <c r="I1402" s="252">
        <f t="shared" si="46"/>
        <v>0</v>
      </c>
      <c r="J1402" s="170" t="str">
        <f>IF(A1402="","",SUM($H$7:H1402)-SUM($I$7:I1402))</f>
        <v/>
      </c>
      <c r="K1402" s="34"/>
    </row>
    <row r="1403" spans="1:11" x14ac:dyDescent="0.2">
      <c r="A1403" s="44"/>
      <c r="B1403" s="44"/>
      <c r="C1403" s="35"/>
      <c r="D1403" s="44"/>
      <c r="E1403" s="44"/>
      <c r="F1403" s="44"/>
      <c r="G1403" s="130"/>
      <c r="H1403" s="252">
        <f t="shared" si="47"/>
        <v>0</v>
      </c>
      <c r="I1403" s="252">
        <f t="shared" si="46"/>
        <v>0</v>
      </c>
      <c r="J1403" s="170" t="str">
        <f>IF(A1403="","",SUM($H$7:H1403)-SUM($I$7:I1403))</f>
        <v/>
      </c>
      <c r="K1403" s="34"/>
    </row>
    <row r="1404" spans="1:11" x14ac:dyDescent="0.2">
      <c r="A1404" s="44"/>
      <c r="B1404" s="44"/>
      <c r="C1404" s="35"/>
      <c r="D1404" s="44"/>
      <c r="E1404" s="44"/>
      <c r="F1404" s="44"/>
      <c r="G1404" s="130"/>
      <c r="H1404" s="252">
        <f t="shared" si="47"/>
        <v>0</v>
      </c>
      <c r="I1404" s="252">
        <f t="shared" si="46"/>
        <v>0</v>
      </c>
      <c r="J1404" s="170" t="str">
        <f>IF(A1404="","",SUM($H$7:H1404)-SUM($I$7:I1404))</f>
        <v/>
      </c>
      <c r="K1404" s="34"/>
    </row>
    <row r="1405" spans="1:11" x14ac:dyDescent="0.2">
      <c r="A1405" s="44"/>
      <c r="B1405" s="44"/>
      <c r="C1405" s="35"/>
      <c r="D1405" s="44"/>
      <c r="E1405" s="44"/>
      <c r="F1405" s="44"/>
      <c r="G1405" s="130"/>
      <c r="H1405" s="252">
        <f t="shared" si="47"/>
        <v>0</v>
      </c>
      <c r="I1405" s="252">
        <f t="shared" si="46"/>
        <v>0</v>
      </c>
      <c r="J1405" s="170" t="str">
        <f>IF(A1405="","",SUM($H$7:H1405)-SUM($I$7:I1405))</f>
        <v/>
      </c>
      <c r="K1405" s="34"/>
    </row>
    <row r="1406" spans="1:11" x14ac:dyDescent="0.2">
      <c r="A1406" s="44"/>
      <c r="B1406" s="44"/>
      <c r="C1406" s="35"/>
      <c r="D1406" s="44"/>
      <c r="E1406" s="44"/>
      <c r="F1406" s="44"/>
      <c r="G1406" s="130"/>
      <c r="H1406" s="252">
        <f t="shared" si="47"/>
        <v>0</v>
      </c>
      <c r="I1406" s="252">
        <f t="shared" si="46"/>
        <v>0</v>
      </c>
      <c r="J1406" s="170" t="str">
        <f>IF(A1406="","",SUM($H$7:H1406)-SUM($I$7:I1406))</f>
        <v/>
      </c>
      <c r="K1406" s="34"/>
    </row>
    <row r="1407" spans="1:11" x14ac:dyDescent="0.2">
      <c r="A1407" s="44"/>
      <c r="B1407" s="44"/>
      <c r="C1407" s="35"/>
      <c r="D1407" s="44"/>
      <c r="E1407" s="44"/>
      <c r="F1407" s="44"/>
      <c r="G1407" s="130"/>
      <c r="H1407" s="252">
        <f t="shared" si="47"/>
        <v>0</v>
      </c>
      <c r="I1407" s="252">
        <f t="shared" si="46"/>
        <v>0</v>
      </c>
      <c r="J1407" s="170" t="str">
        <f>IF(A1407="","",SUM($H$7:H1407)-SUM($I$7:I1407))</f>
        <v/>
      </c>
      <c r="K1407" s="34"/>
    </row>
    <row r="1408" spans="1:11" x14ac:dyDescent="0.2">
      <c r="A1408" s="44"/>
      <c r="B1408" s="44"/>
      <c r="C1408" s="35"/>
      <c r="D1408" s="44"/>
      <c r="E1408" s="44"/>
      <c r="F1408" s="44"/>
      <c r="G1408" s="130"/>
      <c r="H1408" s="252">
        <f t="shared" si="47"/>
        <v>0</v>
      </c>
      <c r="I1408" s="252">
        <f t="shared" si="46"/>
        <v>0</v>
      </c>
      <c r="J1408" s="170" t="str">
        <f>IF(A1408="","",SUM($H$7:H1408)-SUM($I$7:I1408))</f>
        <v/>
      </c>
      <c r="K1408" s="34"/>
    </row>
    <row r="1409" spans="1:11" x14ac:dyDescent="0.2">
      <c r="A1409" s="44"/>
      <c r="B1409" s="44"/>
      <c r="C1409" s="35"/>
      <c r="D1409" s="44"/>
      <c r="E1409" s="44"/>
      <c r="F1409" s="44"/>
      <c r="G1409" s="130"/>
      <c r="H1409" s="252">
        <f t="shared" si="47"/>
        <v>0</v>
      </c>
      <c r="I1409" s="252">
        <f t="shared" si="46"/>
        <v>0</v>
      </c>
      <c r="J1409" s="170" t="str">
        <f>IF(A1409="","",SUM($H$7:H1409)-SUM($I$7:I1409))</f>
        <v/>
      </c>
      <c r="K1409" s="34"/>
    </row>
    <row r="1410" spans="1:11" x14ac:dyDescent="0.2">
      <c r="A1410" s="44"/>
      <c r="B1410" s="44"/>
      <c r="C1410" s="35"/>
      <c r="D1410" s="44"/>
      <c r="E1410" s="44"/>
      <c r="F1410" s="44"/>
      <c r="G1410" s="130"/>
      <c r="H1410" s="252">
        <f t="shared" si="47"/>
        <v>0</v>
      </c>
      <c r="I1410" s="252">
        <f t="shared" si="46"/>
        <v>0</v>
      </c>
      <c r="J1410" s="170" t="str">
        <f>IF(A1410="","",SUM($H$7:H1410)-SUM($I$7:I1410))</f>
        <v/>
      </c>
      <c r="K1410" s="34"/>
    </row>
    <row r="1411" spans="1:11" x14ac:dyDescent="0.2">
      <c r="A1411" s="44"/>
      <c r="B1411" s="44"/>
      <c r="C1411" s="35"/>
      <c r="D1411" s="44"/>
      <c r="E1411" s="44"/>
      <c r="F1411" s="44"/>
      <c r="G1411" s="130"/>
      <c r="H1411" s="252">
        <f t="shared" si="47"/>
        <v>0</v>
      </c>
      <c r="I1411" s="252">
        <f t="shared" si="46"/>
        <v>0</v>
      </c>
      <c r="J1411" s="170" t="str">
        <f>IF(A1411="","",SUM($H$7:H1411)-SUM($I$7:I1411))</f>
        <v/>
      </c>
      <c r="K1411" s="34"/>
    </row>
    <row r="1412" spans="1:11" x14ac:dyDescent="0.2">
      <c r="A1412" s="44"/>
      <c r="B1412" s="44"/>
      <c r="C1412" s="35"/>
      <c r="D1412" s="44"/>
      <c r="E1412" s="44"/>
      <c r="F1412" s="44"/>
      <c r="G1412" s="130"/>
      <c r="H1412" s="252">
        <f t="shared" si="47"/>
        <v>0</v>
      </c>
      <c r="I1412" s="252">
        <f t="shared" si="46"/>
        <v>0</v>
      </c>
      <c r="J1412" s="170" t="str">
        <f>IF(A1412="","",SUM($H$7:H1412)-SUM($I$7:I1412))</f>
        <v/>
      </c>
      <c r="K1412" s="34"/>
    </row>
    <row r="1413" spans="1:11" x14ac:dyDescent="0.2">
      <c r="A1413" s="44"/>
      <c r="B1413" s="44"/>
      <c r="C1413" s="35"/>
      <c r="D1413" s="44"/>
      <c r="E1413" s="44"/>
      <c r="F1413" s="44"/>
      <c r="G1413" s="130"/>
      <c r="H1413" s="252">
        <f t="shared" si="47"/>
        <v>0</v>
      </c>
      <c r="I1413" s="252">
        <f t="shared" si="46"/>
        <v>0</v>
      </c>
      <c r="J1413" s="170" t="str">
        <f>IF(A1413="","",SUM($H$7:H1413)-SUM($I$7:I1413))</f>
        <v/>
      </c>
      <c r="K1413" s="34"/>
    </row>
    <row r="1414" spans="1:11" x14ac:dyDescent="0.2">
      <c r="A1414" s="44"/>
      <c r="B1414" s="44"/>
      <c r="C1414" s="35"/>
      <c r="D1414" s="44"/>
      <c r="E1414" s="44"/>
      <c r="F1414" s="44"/>
      <c r="G1414" s="130"/>
      <c r="H1414" s="252">
        <f t="shared" si="47"/>
        <v>0</v>
      </c>
      <c r="I1414" s="252">
        <f t="shared" si="46"/>
        <v>0</v>
      </c>
      <c r="J1414" s="170" t="str">
        <f>IF(A1414="","",SUM($H$7:H1414)-SUM($I$7:I1414))</f>
        <v/>
      </c>
      <c r="K1414" s="34"/>
    </row>
    <row r="1415" spans="1:11" x14ac:dyDescent="0.2">
      <c r="A1415" s="44"/>
      <c r="B1415" s="44"/>
      <c r="C1415" s="35"/>
      <c r="D1415" s="44"/>
      <c r="E1415" s="44"/>
      <c r="F1415" s="44"/>
      <c r="G1415" s="130"/>
      <c r="H1415" s="252">
        <f t="shared" si="47"/>
        <v>0</v>
      </c>
      <c r="I1415" s="252">
        <f t="shared" ref="I1415:I1478" si="48">IF($C1415="Replenishment",0,$G1415)</f>
        <v>0</v>
      </c>
      <c r="J1415" s="170" t="str">
        <f>IF(A1415="","",SUM($H$7:H1415)-SUM($I$7:I1415))</f>
        <v/>
      </c>
      <c r="K1415" s="34"/>
    </row>
    <row r="1416" spans="1:11" x14ac:dyDescent="0.2">
      <c r="A1416" s="44"/>
      <c r="B1416" s="44"/>
      <c r="C1416" s="35"/>
      <c r="D1416" s="44"/>
      <c r="E1416" s="44"/>
      <c r="F1416" s="44"/>
      <c r="G1416" s="130"/>
      <c r="H1416" s="252">
        <f t="shared" si="47"/>
        <v>0</v>
      </c>
      <c r="I1416" s="252">
        <f t="shared" si="48"/>
        <v>0</v>
      </c>
      <c r="J1416" s="170" t="str">
        <f>IF(A1416="","",SUM($H$7:H1416)-SUM($I$7:I1416))</f>
        <v/>
      </c>
      <c r="K1416" s="34"/>
    </row>
    <row r="1417" spans="1:11" x14ac:dyDescent="0.2">
      <c r="A1417" s="44"/>
      <c r="B1417" s="44"/>
      <c r="C1417" s="35"/>
      <c r="D1417" s="44"/>
      <c r="E1417" s="44"/>
      <c r="F1417" s="44"/>
      <c r="G1417" s="130"/>
      <c r="H1417" s="252">
        <f t="shared" si="47"/>
        <v>0</v>
      </c>
      <c r="I1417" s="252">
        <f t="shared" si="48"/>
        <v>0</v>
      </c>
      <c r="J1417" s="170" t="str">
        <f>IF(A1417="","",SUM($H$7:H1417)-SUM($I$7:I1417))</f>
        <v/>
      </c>
      <c r="K1417" s="34"/>
    </row>
    <row r="1418" spans="1:11" x14ac:dyDescent="0.2">
      <c r="A1418" s="44"/>
      <c r="B1418" s="44"/>
      <c r="C1418" s="35"/>
      <c r="D1418" s="44"/>
      <c r="E1418" s="44"/>
      <c r="F1418" s="44"/>
      <c r="G1418" s="130"/>
      <c r="H1418" s="252">
        <f t="shared" si="47"/>
        <v>0</v>
      </c>
      <c r="I1418" s="252">
        <f t="shared" si="48"/>
        <v>0</v>
      </c>
      <c r="J1418" s="170" t="str">
        <f>IF(A1418="","",SUM($H$7:H1418)-SUM($I$7:I1418))</f>
        <v/>
      </c>
      <c r="K1418" s="34"/>
    </row>
    <row r="1419" spans="1:11" x14ac:dyDescent="0.2">
      <c r="A1419" s="44"/>
      <c r="B1419" s="44"/>
      <c r="C1419" s="35"/>
      <c r="D1419" s="44"/>
      <c r="E1419" s="44"/>
      <c r="F1419" s="44"/>
      <c r="G1419" s="130"/>
      <c r="H1419" s="252">
        <f t="shared" si="47"/>
        <v>0</v>
      </c>
      <c r="I1419" s="252">
        <f t="shared" si="48"/>
        <v>0</v>
      </c>
      <c r="J1419" s="170" t="str">
        <f>IF(A1419="","",SUM($H$7:H1419)-SUM($I$7:I1419))</f>
        <v/>
      </c>
      <c r="K1419" s="34"/>
    </row>
    <row r="1420" spans="1:11" x14ac:dyDescent="0.2">
      <c r="A1420" s="44"/>
      <c r="B1420" s="44"/>
      <c r="C1420" s="35"/>
      <c r="D1420" s="44"/>
      <c r="E1420" s="44"/>
      <c r="F1420" s="44"/>
      <c r="G1420" s="130"/>
      <c r="H1420" s="252">
        <f t="shared" si="47"/>
        <v>0</v>
      </c>
      <c r="I1420" s="252">
        <f t="shared" si="48"/>
        <v>0</v>
      </c>
      <c r="J1420" s="170" t="str">
        <f>IF(A1420="","",SUM($H$7:H1420)-SUM($I$7:I1420))</f>
        <v/>
      </c>
      <c r="K1420" s="34"/>
    </row>
    <row r="1421" spans="1:11" x14ac:dyDescent="0.2">
      <c r="A1421" s="44"/>
      <c r="B1421" s="44"/>
      <c r="C1421" s="35"/>
      <c r="D1421" s="44"/>
      <c r="E1421" s="44"/>
      <c r="F1421" s="44"/>
      <c r="G1421" s="130"/>
      <c r="H1421" s="252">
        <f t="shared" si="47"/>
        <v>0</v>
      </c>
      <c r="I1421" s="252">
        <f t="shared" si="48"/>
        <v>0</v>
      </c>
      <c r="J1421" s="170" t="str">
        <f>IF(A1421="","",SUM($H$7:H1421)-SUM($I$7:I1421))</f>
        <v/>
      </c>
      <c r="K1421" s="34"/>
    </row>
    <row r="1422" spans="1:11" x14ac:dyDescent="0.2">
      <c r="A1422" s="44"/>
      <c r="B1422" s="44"/>
      <c r="C1422" s="35"/>
      <c r="D1422" s="44"/>
      <c r="E1422" s="44"/>
      <c r="F1422" s="44"/>
      <c r="G1422" s="130"/>
      <c r="H1422" s="252">
        <f t="shared" si="47"/>
        <v>0</v>
      </c>
      <c r="I1422" s="252">
        <f t="shared" si="48"/>
        <v>0</v>
      </c>
      <c r="J1422" s="170" t="str">
        <f>IF(A1422="","",SUM($H$7:H1422)-SUM($I$7:I1422))</f>
        <v/>
      </c>
      <c r="K1422" s="34"/>
    </row>
    <row r="1423" spans="1:11" x14ac:dyDescent="0.2">
      <c r="A1423" s="44"/>
      <c r="B1423" s="44"/>
      <c r="C1423" s="35"/>
      <c r="D1423" s="44"/>
      <c r="E1423" s="44"/>
      <c r="F1423" s="44"/>
      <c r="G1423" s="130"/>
      <c r="H1423" s="252">
        <f t="shared" si="47"/>
        <v>0</v>
      </c>
      <c r="I1423" s="252">
        <f t="shared" si="48"/>
        <v>0</v>
      </c>
      <c r="J1423" s="170" t="str">
        <f>IF(A1423="","",SUM($H$7:H1423)-SUM($I$7:I1423))</f>
        <v/>
      </c>
      <c r="K1423" s="34"/>
    </row>
    <row r="1424" spans="1:11" x14ac:dyDescent="0.2">
      <c r="A1424" s="44"/>
      <c r="B1424" s="44"/>
      <c r="C1424" s="35"/>
      <c r="D1424" s="44"/>
      <c r="E1424" s="44"/>
      <c r="F1424" s="44"/>
      <c r="G1424" s="130"/>
      <c r="H1424" s="252">
        <f t="shared" si="47"/>
        <v>0</v>
      </c>
      <c r="I1424" s="252">
        <f t="shared" si="48"/>
        <v>0</v>
      </c>
      <c r="J1424" s="170" t="str">
        <f>IF(A1424="","",SUM($H$7:H1424)-SUM($I$7:I1424))</f>
        <v/>
      </c>
      <c r="K1424" s="34"/>
    </row>
    <row r="1425" spans="1:11" x14ac:dyDescent="0.2">
      <c r="A1425" s="44"/>
      <c r="B1425" s="44"/>
      <c r="C1425" s="35"/>
      <c r="D1425" s="44"/>
      <c r="E1425" s="44"/>
      <c r="F1425" s="44"/>
      <c r="G1425" s="130"/>
      <c r="H1425" s="252">
        <f t="shared" si="47"/>
        <v>0</v>
      </c>
      <c r="I1425" s="252">
        <f t="shared" si="48"/>
        <v>0</v>
      </c>
      <c r="J1425" s="170" t="str">
        <f>IF(A1425="","",SUM($H$7:H1425)-SUM($I$7:I1425))</f>
        <v/>
      </c>
      <c r="K1425" s="34"/>
    </row>
    <row r="1426" spans="1:11" x14ac:dyDescent="0.2">
      <c r="A1426" s="44"/>
      <c r="B1426" s="44"/>
      <c r="C1426" s="35"/>
      <c r="D1426" s="44"/>
      <c r="E1426" s="44"/>
      <c r="F1426" s="44"/>
      <c r="G1426" s="130"/>
      <c r="H1426" s="252">
        <f t="shared" si="47"/>
        <v>0</v>
      </c>
      <c r="I1426" s="252">
        <f t="shared" si="48"/>
        <v>0</v>
      </c>
      <c r="J1426" s="170" t="str">
        <f>IF(A1426="","",SUM($H$7:H1426)-SUM($I$7:I1426))</f>
        <v/>
      </c>
      <c r="K1426" s="34"/>
    </row>
    <row r="1427" spans="1:11" x14ac:dyDescent="0.2">
      <c r="A1427" s="44"/>
      <c r="B1427" s="44"/>
      <c r="C1427" s="35"/>
      <c r="D1427" s="44"/>
      <c r="E1427" s="44"/>
      <c r="F1427" s="44"/>
      <c r="G1427" s="130"/>
      <c r="H1427" s="252">
        <f t="shared" si="47"/>
        <v>0</v>
      </c>
      <c r="I1427" s="252">
        <f t="shared" si="48"/>
        <v>0</v>
      </c>
      <c r="J1427" s="170" t="str">
        <f>IF(A1427="","",SUM($H$7:H1427)-SUM($I$7:I1427))</f>
        <v/>
      </c>
      <c r="K1427" s="34"/>
    </row>
    <row r="1428" spans="1:11" x14ac:dyDescent="0.2">
      <c r="A1428" s="44"/>
      <c r="B1428" s="44"/>
      <c r="C1428" s="35"/>
      <c r="D1428" s="44"/>
      <c r="E1428" s="44"/>
      <c r="F1428" s="44"/>
      <c r="G1428" s="130"/>
      <c r="H1428" s="252">
        <f t="shared" si="47"/>
        <v>0</v>
      </c>
      <c r="I1428" s="252">
        <f t="shared" si="48"/>
        <v>0</v>
      </c>
      <c r="J1428" s="170" t="str">
        <f>IF(A1428="","",SUM($H$7:H1428)-SUM($I$7:I1428))</f>
        <v/>
      </c>
      <c r="K1428" s="34"/>
    </row>
    <row r="1429" spans="1:11" x14ac:dyDescent="0.2">
      <c r="A1429" s="44"/>
      <c r="B1429" s="44"/>
      <c r="C1429" s="35"/>
      <c r="D1429" s="44"/>
      <c r="E1429" s="44"/>
      <c r="F1429" s="44"/>
      <c r="G1429" s="130"/>
      <c r="H1429" s="252">
        <f t="shared" si="47"/>
        <v>0</v>
      </c>
      <c r="I1429" s="252">
        <f t="shared" si="48"/>
        <v>0</v>
      </c>
      <c r="J1429" s="170" t="str">
        <f>IF(A1429="","",SUM($H$7:H1429)-SUM($I$7:I1429))</f>
        <v/>
      </c>
      <c r="K1429" s="34"/>
    </row>
    <row r="1430" spans="1:11" x14ac:dyDescent="0.2">
      <c r="A1430" s="44"/>
      <c r="B1430" s="44"/>
      <c r="C1430" s="35"/>
      <c r="D1430" s="44"/>
      <c r="E1430" s="44"/>
      <c r="F1430" s="44"/>
      <c r="G1430" s="130"/>
      <c r="H1430" s="252">
        <f t="shared" si="47"/>
        <v>0</v>
      </c>
      <c r="I1430" s="252">
        <f t="shared" si="48"/>
        <v>0</v>
      </c>
      <c r="J1430" s="170" t="str">
        <f>IF(A1430="","",SUM($H$7:H1430)-SUM($I$7:I1430))</f>
        <v/>
      </c>
      <c r="K1430" s="34"/>
    </row>
    <row r="1431" spans="1:11" x14ac:dyDescent="0.2">
      <c r="A1431" s="44"/>
      <c r="B1431" s="44"/>
      <c r="C1431" s="35"/>
      <c r="D1431" s="44"/>
      <c r="E1431" s="44"/>
      <c r="F1431" s="44"/>
      <c r="G1431" s="130"/>
      <c r="H1431" s="252">
        <f t="shared" si="47"/>
        <v>0</v>
      </c>
      <c r="I1431" s="252">
        <f t="shared" si="48"/>
        <v>0</v>
      </c>
      <c r="J1431" s="170" t="str">
        <f>IF(A1431="","",SUM($H$7:H1431)-SUM($I$7:I1431))</f>
        <v/>
      </c>
      <c r="K1431" s="34"/>
    </row>
    <row r="1432" spans="1:11" x14ac:dyDescent="0.2">
      <c r="A1432" s="44"/>
      <c r="B1432" s="44"/>
      <c r="C1432" s="35"/>
      <c r="D1432" s="44"/>
      <c r="E1432" s="44"/>
      <c r="F1432" s="44"/>
      <c r="G1432" s="130"/>
      <c r="H1432" s="252">
        <f t="shared" si="47"/>
        <v>0</v>
      </c>
      <c r="I1432" s="252">
        <f t="shared" si="48"/>
        <v>0</v>
      </c>
      <c r="J1432" s="170" t="str">
        <f>IF(A1432="","",SUM($H$7:H1432)-SUM($I$7:I1432))</f>
        <v/>
      </c>
      <c r="K1432" s="34"/>
    </row>
    <row r="1433" spans="1:11" x14ac:dyDescent="0.2">
      <c r="A1433" s="44"/>
      <c r="B1433" s="44"/>
      <c r="C1433" s="35"/>
      <c r="D1433" s="44"/>
      <c r="E1433" s="44"/>
      <c r="F1433" s="44"/>
      <c r="G1433" s="130"/>
      <c r="H1433" s="252">
        <f t="shared" si="47"/>
        <v>0</v>
      </c>
      <c r="I1433" s="252">
        <f t="shared" si="48"/>
        <v>0</v>
      </c>
      <c r="J1433" s="170" t="str">
        <f>IF(A1433="","",SUM($H$7:H1433)-SUM($I$7:I1433))</f>
        <v/>
      </c>
      <c r="K1433" s="34"/>
    </row>
    <row r="1434" spans="1:11" x14ac:dyDescent="0.2">
      <c r="A1434" s="44"/>
      <c r="B1434" s="44"/>
      <c r="C1434" s="35"/>
      <c r="D1434" s="44"/>
      <c r="E1434" s="44"/>
      <c r="F1434" s="44"/>
      <c r="G1434" s="130"/>
      <c r="H1434" s="252">
        <f t="shared" si="47"/>
        <v>0</v>
      </c>
      <c r="I1434" s="252">
        <f t="shared" si="48"/>
        <v>0</v>
      </c>
      <c r="J1434" s="170" t="str">
        <f>IF(A1434="","",SUM($H$7:H1434)-SUM($I$7:I1434))</f>
        <v/>
      </c>
      <c r="K1434" s="34"/>
    </row>
    <row r="1435" spans="1:11" x14ac:dyDescent="0.2">
      <c r="A1435" s="44"/>
      <c r="B1435" s="44"/>
      <c r="C1435" s="35"/>
      <c r="D1435" s="44"/>
      <c r="E1435" s="44"/>
      <c r="F1435" s="44"/>
      <c r="G1435" s="130"/>
      <c r="H1435" s="252">
        <f t="shared" si="47"/>
        <v>0</v>
      </c>
      <c r="I1435" s="252">
        <f t="shared" si="48"/>
        <v>0</v>
      </c>
      <c r="J1435" s="170" t="str">
        <f>IF(A1435="","",SUM($H$7:H1435)-SUM($I$7:I1435))</f>
        <v/>
      </c>
      <c r="K1435" s="34"/>
    </row>
    <row r="1436" spans="1:11" x14ac:dyDescent="0.2">
      <c r="A1436" s="44"/>
      <c r="B1436" s="44"/>
      <c r="C1436" s="35"/>
      <c r="D1436" s="44"/>
      <c r="E1436" s="44"/>
      <c r="F1436" s="44"/>
      <c r="G1436" s="130"/>
      <c r="H1436" s="252">
        <f t="shared" si="47"/>
        <v>0</v>
      </c>
      <c r="I1436" s="252">
        <f t="shared" si="48"/>
        <v>0</v>
      </c>
      <c r="J1436" s="170" t="str">
        <f>IF(A1436="","",SUM($H$7:H1436)-SUM($I$7:I1436))</f>
        <v/>
      </c>
      <c r="K1436" s="34"/>
    </row>
    <row r="1437" spans="1:11" x14ac:dyDescent="0.2">
      <c r="A1437" s="44"/>
      <c r="B1437" s="44"/>
      <c r="C1437" s="35"/>
      <c r="D1437" s="44"/>
      <c r="E1437" s="44"/>
      <c r="F1437" s="44"/>
      <c r="G1437" s="130"/>
      <c r="H1437" s="252">
        <f t="shared" si="47"/>
        <v>0</v>
      </c>
      <c r="I1437" s="252">
        <f t="shared" si="48"/>
        <v>0</v>
      </c>
      <c r="J1437" s="170" t="str">
        <f>IF(A1437="","",SUM($H$7:H1437)-SUM($I$7:I1437))</f>
        <v/>
      </c>
      <c r="K1437" s="34"/>
    </row>
    <row r="1438" spans="1:11" x14ac:dyDescent="0.2">
      <c r="A1438" s="44"/>
      <c r="B1438" s="44"/>
      <c r="C1438" s="35"/>
      <c r="D1438" s="44"/>
      <c r="E1438" s="44"/>
      <c r="F1438" s="44"/>
      <c r="G1438" s="130"/>
      <c r="H1438" s="252">
        <f t="shared" si="47"/>
        <v>0</v>
      </c>
      <c r="I1438" s="252">
        <f t="shared" si="48"/>
        <v>0</v>
      </c>
      <c r="J1438" s="170" t="str">
        <f>IF(A1438="","",SUM($H$7:H1438)-SUM($I$7:I1438))</f>
        <v/>
      </c>
      <c r="K1438" s="34"/>
    </row>
    <row r="1439" spans="1:11" x14ac:dyDescent="0.2">
      <c r="A1439" s="44"/>
      <c r="B1439" s="44"/>
      <c r="C1439" s="35"/>
      <c r="D1439" s="44"/>
      <c r="E1439" s="44"/>
      <c r="F1439" s="44"/>
      <c r="G1439" s="130"/>
      <c r="H1439" s="252">
        <f t="shared" si="47"/>
        <v>0</v>
      </c>
      <c r="I1439" s="252">
        <f t="shared" si="48"/>
        <v>0</v>
      </c>
      <c r="J1439" s="170" t="str">
        <f>IF(A1439="","",SUM($H$7:H1439)-SUM($I$7:I1439))</f>
        <v/>
      </c>
      <c r="K1439" s="34"/>
    </row>
    <row r="1440" spans="1:11" x14ac:dyDescent="0.2">
      <c r="A1440" s="44"/>
      <c r="B1440" s="44"/>
      <c r="C1440" s="35"/>
      <c r="D1440" s="44"/>
      <c r="E1440" s="44"/>
      <c r="F1440" s="44"/>
      <c r="G1440" s="130"/>
      <c r="H1440" s="252">
        <f t="shared" si="47"/>
        <v>0</v>
      </c>
      <c r="I1440" s="252">
        <f t="shared" si="48"/>
        <v>0</v>
      </c>
      <c r="J1440" s="170" t="str">
        <f>IF(A1440="","",SUM($H$7:H1440)-SUM($I$7:I1440))</f>
        <v/>
      </c>
      <c r="K1440" s="34"/>
    </row>
    <row r="1441" spans="1:11" x14ac:dyDescent="0.2">
      <c r="A1441" s="44"/>
      <c r="B1441" s="44"/>
      <c r="C1441" s="35"/>
      <c r="D1441" s="44"/>
      <c r="E1441" s="44"/>
      <c r="F1441" s="44"/>
      <c r="G1441" s="130"/>
      <c r="H1441" s="252">
        <f t="shared" si="47"/>
        <v>0</v>
      </c>
      <c r="I1441" s="252">
        <f t="shared" si="48"/>
        <v>0</v>
      </c>
      <c r="J1441" s="170" t="str">
        <f>IF(A1441="","",SUM($H$7:H1441)-SUM($I$7:I1441))</f>
        <v/>
      </c>
      <c r="K1441" s="34"/>
    </row>
    <row r="1442" spans="1:11" x14ac:dyDescent="0.2">
      <c r="A1442" s="44"/>
      <c r="B1442" s="44"/>
      <c r="C1442" s="35"/>
      <c r="D1442" s="44"/>
      <c r="E1442" s="44"/>
      <c r="F1442" s="44"/>
      <c r="G1442" s="130"/>
      <c r="H1442" s="252">
        <f t="shared" si="47"/>
        <v>0</v>
      </c>
      <c r="I1442" s="252">
        <f t="shared" si="48"/>
        <v>0</v>
      </c>
      <c r="J1442" s="170" t="str">
        <f>IF(A1442="","",SUM($H$7:H1442)-SUM($I$7:I1442))</f>
        <v/>
      </c>
      <c r="K1442" s="34"/>
    </row>
    <row r="1443" spans="1:11" x14ac:dyDescent="0.2">
      <c r="A1443" s="44"/>
      <c r="B1443" s="44"/>
      <c r="C1443" s="35"/>
      <c r="D1443" s="44"/>
      <c r="E1443" s="44"/>
      <c r="F1443" s="44"/>
      <c r="G1443" s="130"/>
      <c r="H1443" s="252">
        <f t="shared" si="47"/>
        <v>0</v>
      </c>
      <c r="I1443" s="252">
        <f t="shared" si="48"/>
        <v>0</v>
      </c>
      <c r="J1443" s="170" t="str">
        <f>IF(A1443="","",SUM($H$7:H1443)-SUM($I$7:I1443))</f>
        <v/>
      </c>
      <c r="K1443" s="34"/>
    </row>
    <row r="1444" spans="1:11" x14ac:dyDescent="0.2">
      <c r="A1444" s="44"/>
      <c r="B1444" s="44"/>
      <c r="C1444" s="35"/>
      <c r="D1444" s="44"/>
      <c r="E1444" s="44"/>
      <c r="F1444" s="44"/>
      <c r="G1444" s="130"/>
      <c r="H1444" s="252">
        <f t="shared" si="47"/>
        <v>0</v>
      </c>
      <c r="I1444" s="252">
        <f t="shared" si="48"/>
        <v>0</v>
      </c>
      <c r="J1444" s="170" t="str">
        <f>IF(A1444="","",SUM($H$7:H1444)-SUM($I$7:I1444))</f>
        <v/>
      </c>
      <c r="K1444" s="34"/>
    </row>
    <row r="1445" spans="1:11" x14ac:dyDescent="0.2">
      <c r="A1445" s="44"/>
      <c r="B1445" s="44"/>
      <c r="C1445" s="35"/>
      <c r="D1445" s="44"/>
      <c r="E1445" s="44"/>
      <c r="F1445" s="44"/>
      <c r="G1445" s="130"/>
      <c r="H1445" s="252">
        <f t="shared" si="47"/>
        <v>0</v>
      </c>
      <c r="I1445" s="252">
        <f t="shared" si="48"/>
        <v>0</v>
      </c>
      <c r="J1445" s="170" t="str">
        <f>IF(A1445="","",SUM($H$7:H1445)-SUM($I$7:I1445))</f>
        <v/>
      </c>
      <c r="K1445" s="34"/>
    </row>
    <row r="1446" spans="1:11" x14ac:dyDescent="0.2">
      <c r="A1446" s="44"/>
      <c r="B1446" s="44"/>
      <c r="C1446" s="35"/>
      <c r="D1446" s="44"/>
      <c r="E1446" s="44"/>
      <c r="F1446" s="44"/>
      <c r="G1446" s="130"/>
      <c r="H1446" s="252">
        <f t="shared" si="47"/>
        <v>0</v>
      </c>
      <c r="I1446" s="252">
        <f t="shared" si="48"/>
        <v>0</v>
      </c>
      <c r="J1446" s="170" t="str">
        <f>IF(A1446="","",SUM($H$7:H1446)-SUM($I$7:I1446))</f>
        <v/>
      </c>
      <c r="K1446" s="34"/>
    </row>
    <row r="1447" spans="1:11" x14ac:dyDescent="0.2">
      <c r="A1447" s="44"/>
      <c r="B1447" s="44"/>
      <c r="C1447" s="35"/>
      <c r="D1447" s="44"/>
      <c r="E1447" s="44"/>
      <c r="F1447" s="44"/>
      <c r="G1447" s="130"/>
      <c r="H1447" s="252">
        <f t="shared" si="47"/>
        <v>0</v>
      </c>
      <c r="I1447" s="252">
        <f t="shared" si="48"/>
        <v>0</v>
      </c>
      <c r="J1447" s="170" t="str">
        <f>IF(A1447="","",SUM($H$7:H1447)-SUM($I$7:I1447))</f>
        <v/>
      </c>
      <c r="K1447" s="34"/>
    </row>
    <row r="1448" spans="1:11" x14ac:dyDescent="0.2">
      <c r="A1448" s="44"/>
      <c r="B1448" s="44"/>
      <c r="C1448" s="35"/>
      <c r="D1448" s="44"/>
      <c r="E1448" s="44"/>
      <c r="F1448" s="44"/>
      <c r="G1448" s="130"/>
      <c r="H1448" s="252">
        <f t="shared" si="47"/>
        <v>0</v>
      </c>
      <c r="I1448" s="252">
        <f t="shared" si="48"/>
        <v>0</v>
      </c>
      <c r="J1448" s="170" t="str">
        <f>IF(A1448="","",SUM($H$7:H1448)-SUM($I$7:I1448))</f>
        <v/>
      </c>
      <c r="K1448" s="34"/>
    </row>
    <row r="1449" spans="1:11" x14ac:dyDescent="0.2">
      <c r="A1449" s="44"/>
      <c r="B1449" s="44"/>
      <c r="C1449" s="35"/>
      <c r="D1449" s="44"/>
      <c r="E1449" s="44"/>
      <c r="F1449" s="44"/>
      <c r="G1449" s="130"/>
      <c r="H1449" s="252">
        <f t="shared" si="47"/>
        <v>0</v>
      </c>
      <c r="I1449" s="252">
        <f t="shared" si="48"/>
        <v>0</v>
      </c>
      <c r="J1449" s="170" t="str">
        <f>IF(A1449="","",SUM($H$7:H1449)-SUM($I$7:I1449))</f>
        <v/>
      </c>
      <c r="K1449" s="34"/>
    </row>
    <row r="1450" spans="1:11" x14ac:dyDescent="0.2">
      <c r="A1450" s="44"/>
      <c r="B1450" s="44"/>
      <c r="C1450" s="35"/>
      <c r="D1450" s="44"/>
      <c r="E1450" s="44"/>
      <c r="F1450" s="44"/>
      <c r="G1450" s="130"/>
      <c r="H1450" s="252">
        <f t="shared" si="47"/>
        <v>0</v>
      </c>
      <c r="I1450" s="252">
        <f t="shared" si="48"/>
        <v>0</v>
      </c>
      <c r="J1450" s="170" t="str">
        <f>IF(A1450="","",SUM($H$7:H1450)-SUM($I$7:I1450))</f>
        <v/>
      </c>
      <c r="K1450" s="34"/>
    </row>
    <row r="1451" spans="1:11" x14ac:dyDescent="0.2">
      <c r="A1451" s="44"/>
      <c r="B1451" s="44"/>
      <c r="C1451" s="35"/>
      <c r="D1451" s="44"/>
      <c r="E1451" s="44"/>
      <c r="F1451" s="44"/>
      <c r="G1451" s="130"/>
      <c r="H1451" s="252">
        <f t="shared" si="47"/>
        <v>0</v>
      </c>
      <c r="I1451" s="252">
        <f t="shared" si="48"/>
        <v>0</v>
      </c>
      <c r="J1451" s="170" t="str">
        <f>IF(A1451="","",SUM($H$7:H1451)-SUM($I$7:I1451))</f>
        <v/>
      </c>
      <c r="K1451" s="34"/>
    </row>
    <row r="1452" spans="1:11" x14ac:dyDescent="0.2">
      <c r="A1452" s="44"/>
      <c r="B1452" s="44"/>
      <c r="C1452" s="35"/>
      <c r="D1452" s="44"/>
      <c r="E1452" s="44"/>
      <c r="F1452" s="44"/>
      <c r="G1452" s="130"/>
      <c r="H1452" s="252">
        <f t="shared" si="47"/>
        <v>0</v>
      </c>
      <c r="I1452" s="252">
        <f t="shared" si="48"/>
        <v>0</v>
      </c>
      <c r="J1452" s="170" t="str">
        <f>IF(A1452="","",SUM($H$7:H1452)-SUM($I$7:I1452))</f>
        <v/>
      </c>
      <c r="K1452" s="34"/>
    </row>
    <row r="1453" spans="1:11" x14ac:dyDescent="0.2">
      <c r="A1453" s="44"/>
      <c r="B1453" s="44"/>
      <c r="C1453" s="35"/>
      <c r="D1453" s="44"/>
      <c r="E1453" s="44"/>
      <c r="F1453" s="44"/>
      <c r="G1453" s="130"/>
      <c r="H1453" s="252">
        <f t="shared" si="47"/>
        <v>0</v>
      </c>
      <c r="I1453" s="252">
        <f t="shared" si="48"/>
        <v>0</v>
      </c>
      <c r="J1453" s="170" t="str">
        <f>IF(A1453="","",SUM($H$7:H1453)-SUM($I$7:I1453))</f>
        <v/>
      </c>
      <c r="K1453" s="34"/>
    </row>
    <row r="1454" spans="1:11" x14ac:dyDescent="0.2">
      <c r="A1454" s="44"/>
      <c r="B1454" s="44"/>
      <c r="C1454" s="35"/>
      <c r="D1454" s="44"/>
      <c r="E1454" s="44"/>
      <c r="F1454" s="44"/>
      <c r="G1454" s="130"/>
      <c r="H1454" s="252">
        <f t="shared" si="47"/>
        <v>0</v>
      </c>
      <c r="I1454" s="252">
        <f t="shared" si="48"/>
        <v>0</v>
      </c>
      <c r="J1454" s="170" t="str">
        <f>IF(A1454="","",SUM($H$7:H1454)-SUM($I$7:I1454))</f>
        <v/>
      </c>
      <c r="K1454" s="34"/>
    </row>
    <row r="1455" spans="1:11" x14ac:dyDescent="0.2">
      <c r="A1455" s="44"/>
      <c r="B1455" s="44"/>
      <c r="C1455" s="35"/>
      <c r="D1455" s="44"/>
      <c r="E1455" s="44"/>
      <c r="F1455" s="44"/>
      <c r="G1455" s="130"/>
      <c r="H1455" s="252">
        <f t="shared" si="47"/>
        <v>0</v>
      </c>
      <c r="I1455" s="252">
        <f t="shared" si="48"/>
        <v>0</v>
      </c>
      <c r="J1455" s="170" t="str">
        <f>IF(A1455="","",SUM($H$7:H1455)-SUM($I$7:I1455))</f>
        <v/>
      </c>
      <c r="K1455" s="34"/>
    </row>
    <row r="1456" spans="1:11" x14ac:dyDescent="0.2">
      <c r="A1456" s="44"/>
      <c r="B1456" s="44"/>
      <c r="C1456" s="35"/>
      <c r="D1456" s="44"/>
      <c r="E1456" s="44"/>
      <c r="F1456" s="44"/>
      <c r="G1456" s="130"/>
      <c r="H1456" s="252">
        <f t="shared" si="47"/>
        <v>0</v>
      </c>
      <c r="I1456" s="252">
        <f t="shared" si="48"/>
        <v>0</v>
      </c>
      <c r="J1456" s="170" t="str">
        <f>IF(A1456="","",SUM($H$7:H1456)-SUM($I$7:I1456))</f>
        <v/>
      </c>
      <c r="K1456" s="34"/>
    </row>
    <row r="1457" spans="1:11" x14ac:dyDescent="0.2">
      <c r="A1457" s="44"/>
      <c r="B1457" s="44"/>
      <c r="C1457" s="35"/>
      <c r="D1457" s="44"/>
      <c r="E1457" s="44"/>
      <c r="F1457" s="44"/>
      <c r="G1457" s="130"/>
      <c r="H1457" s="252">
        <f t="shared" si="47"/>
        <v>0</v>
      </c>
      <c r="I1457" s="252">
        <f t="shared" si="48"/>
        <v>0</v>
      </c>
      <c r="J1457" s="170" t="str">
        <f>IF(A1457="","",SUM($H$7:H1457)-SUM($I$7:I1457))</f>
        <v/>
      </c>
      <c r="K1457" s="34"/>
    </row>
    <row r="1458" spans="1:11" x14ac:dyDescent="0.2">
      <c r="A1458" s="44"/>
      <c r="B1458" s="44"/>
      <c r="C1458" s="35"/>
      <c r="D1458" s="44"/>
      <c r="E1458" s="44"/>
      <c r="F1458" s="44"/>
      <c r="G1458" s="130"/>
      <c r="H1458" s="252">
        <f t="shared" si="47"/>
        <v>0</v>
      </c>
      <c r="I1458" s="252">
        <f t="shared" si="48"/>
        <v>0</v>
      </c>
      <c r="J1458" s="170" t="str">
        <f>IF(A1458="","",SUM($H$7:H1458)-SUM($I$7:I1458))</f>
        <v/>
      </c>
      <c r="K1458" s="34"/>
    </row>
    <row r="1459" spans="1:11" x14ac:dyDescent="0.2">
      <c r="A1459" s="44"/>
      <c r="B1459" s="44"/>
      <c r="C1459" s="35"/>
      <c r="D1459" s="44"/>
      <c r="E1459" s="44"/>
      <c r="F1459" s="44"/>
      <c r="G1459" s="130"/>
      <c r="H1459" s="252">
        <f t="shared" si="47"/>
        <v>0</v>
      </c>
      <c r="I1459" s="252">
        <f t="shared" si="48"/>
        <v>0</v>
      </c>
      <c r="J1459" s="170" t="str">
        <f>IF(A1459="","",SUM($H$7:H1459)-SUM($I$7:I1459))</f>
        <v/>
      </c>
      <c r="K1459" s="34"/>
    </row>
    <row r="1460" spans="1:11" x14ac:dyDescent="0.2">
      <c r="A1460" s="44"/>
      <c r="B1460" s="44"/>
      <c r="C1460" s="35"/>
      <c r="D1460" s="44"/>
      <c r="E1460" s="44"/>
      <c r="F1460" s="44"/>
      <c r="G1460" s="130"/>
      <c r="H1460" s="252">
        <f t="shared" si="47"/>
        <v>0</v>
      </c>
      <c r="I1460" s="252">
        <f t="shared" si="48"/>
        <v>0</v>
      </c>
      <c r="J1460" s="170" t="str">
        <f>IF(A1460="","",SUM($H$7:H1460)-SUM($I$7:I1460))</f>
        <v/>
      </c>
      <c r="K1460" s="34"/>
    </row>
    <row r="1461" spans="1:11" x14ac:dyDescent="0.2">
      <c r="A1461" s="44"/>
      <c r="B1461" s="44"/>
      <c r="C1461" s="35"/>
      <c r="D1461" s="44"/>
      <c r="E1461" s="44"/>
      <c r="F1461" s="44"/>
      <c r="G1461" s="130"/>
      <c r="H1461" s="252">
        <f t="shared" si="47"/>
        <v>0</v>
      </c>
      <c r="I1461" s="252">
        <f t="shared" si="48"/>
        <v>0</v>
      </c>
      <c r="J1461" s="170" t="str">
        <f>IF(A1461="","",SUM($H$7:H1461)-SUM($I$7:I1461))</f>
        <v/>
      </c>
      <c r="K1461" s="34"/>
    </row>
    <row r="1462" spans="1:11" x14ac:dyDescent="0.2">
      <c r="A1462" s="44"/>
      <c r="B1462" s="44"/>
      <c r="C1462" s="35"/>
      <c r="D1462" s="44"/>
      <c r="E1462" s="44"/>
      <c r="F1462" s="44"/>
      <c r="G1462" s="130"/>
      <c r="H1462" s="252">
        <f t="shared" ref="H1462:H1525" si="49">IF($C1462="Replenishment",$G1462,0)</f>
        <v>0</v>
      </c>
      <c r="I1462" s="252">
        <f t="shared" si="48"/>
        <v>0</v>
      </c>
      <c r="J1462" s="170" t="str">
        <f>IF(A1462="","",SUM($H$7:H1462)-SUM($I$7:I1462))</f>
        <v/>
      </c>
      <c r="K1462" s="34"/>
    </row>
    <row r="1463" spans="1:11" x14ac:dyDescent="0.2">
      <c r="A1463" s="44"/>
      <c r="B1463" s="44"/>
      <c r="C1463" s="35"/>
      <c r="D1463" s="44"/>
      <c r="E1463" s="44"/>
      <c r="F1463" s="44"/>
      <c r="G1463" s="130"/>
      <c r="H1463" s="252">
        <f t="shared" si="49"/>
        <v>0</v>
      </c>
      <c r="I1463" s="252">
        <f t="shared" si="48"/>
        <v>0</v>
      </c>
      <c r="J1463" s="170" t="str">
        <f>IF(A1463="","",SUM($H$7:H1463)-SUM($I$7:I1463))</f>
        <v/>
      </c>
      <c r="K1463" s="34"/>
    </row>
    <row r="1464" spans="1:11" x14ac:dyDescent="0.2">
      <c r="A1464" s="44"/>
      <c r="B1464" s="44"/>
      <c r="C1464" s="35"/>
      <c r="D1464" s="44"/>
      <c r="E1464" s="44"/>
      <c r="F1464" s="44"/>
      <c r="G1464" s="130"/>
      <c r="H1464" s="252">
        <f t="shared" si="49"/>
        <v>0</v>
      </c>
      <c r="I1464" s="252">
        <f t="shared" si="48"/>
        <v>0</v>
      </c>
      <c r="J1464" s="170" t="str">
        <f>IF(A1464="","",SUM($H$7:H1464)-SUM($I$7:I1464))</f>
        <v/>
      </c>
      <c r="K1464" s="34"/>
    </row>
    <row r="1465" spans="1:11" x14ac:dyDescent="0.2">
      <c r="A1465" s="44"/>
      <c r="B1465" s="44"/>
      <c r="C1465" s="35"/>
      <c r="D1465" s="44"/>
      <c r="E1465" s="44"/>
      <c r="F1465" s="44"/>
      <c r="G1465" s="130"/>
      <c r="H1465" s="252">
        <f t="shared" si="49"/>
        <v>0</v>
      </c>
      <c r="I1465" s="252">
        <f t="shared" si="48"/>
        <v>0</v>
      </c>
      <c r="J1465" s="170" t="str">
        <f>IF(A1465="","",SUM($H$7:H1465)-SUM($I$7:I1465))</f>
        <v/>
      </c>
      <c r="K1465" s="34"/>
    </row>
    <row r="1466" spans="1:11" x14ac:dyDescent="0.2">
      <c r="A1466" s="44"/>
      <c r="B1466" s="44"/>
      <c r="C1466" s="35"/>
      <c r="D1466" s="44"/>
      <c r="E1466" s="44"/>
      <c r="F1466" s="44"/>
      <c r="G1466" s="130"/>
      <c r="H1466" s="252">
        <f t="shared" si="49"/>
        <v>0</v>
      </c>
      <c r="I1466" s="252">
        <f t="shared" si="48"/>
        <v>0</v>
      </c>
      <c r="J1466" s="170" t="str">
        <f>IF(A1466="","",SUM($H$7:H1466)-SUM($I$7:I1466))</f>
        <v/>
      </c>
      <c r="K1466" s="34"/>
    </row>
    <row r="1467" spans="1:11" x14ac:dyDescent="0.2">
      <c r="A1467" s="44"/>
      <c r="B1467" s="44"/>
      <c r="C1467" s="35"/>
      <c r="D1467" s="44"/>
      <c r="E1467" s="44"/>
      <c r="F1467" s="44"/>
      <c r="G1467" s="130"/>
      <c r="H1467" s="252">
        <f t="shared" si="49"/>
        <v>0</v>
      </c>
      <c r="I1467" s="252">
        <f t="shared" si="48"/>
        <v>0</v>
      </c>
      <c r="J1467" s="170" t="str">
        <f>IF(A1467="","",SUM($H$7:H1467)-SUM($I$7:I1467))</f>
        <v/>
      </c>
      <c r="K1467" s="34"/>
    </row>
    <row r="1468" spans="1:11" x14ac:dyDescent="0.2">
      <c r="A1468" s="44"/>
      <c r="B1468" s="44"/>
      <c r="C1468" s="35"/>
      <c r="D1468" s="44"/>
      <c r="E1468" s="44"/>
      <c r="F1468" s="44"/>
      <c r="G1468" s="130"/>
      <c r="H1468" s="252">
        <f t="shared" si="49"/>
        <v>0</v>
      </c>
      <c r="I1468" s="252">
        <f t="shared" si="48"/>
        <v>0</v>
      </c>
      <c r="J1468" s="170" t="str">
        <f>IF(A1468="","",SUM($H$7:H1468)-SUM($I$7:I1468))</f>
        <v/>
      </c>
      <c r="K1468" s="34"/>
    </row>
    <row r="1469" spans="1:11" x14ac:dyDescent="0.2">
      <c r="A1469" s="44"/>
      <c r="B1469" s="44"/>
      <c r="C1469" s="35"/>
      <c r="D1469" s="44"/>
      <c r="E1469" s="44"/>
      <c r="F1469" s="44"/>
      <c r="G1469" s="130"/>
      <c r="H1469" s="252">
        <f t="shared" si="49"/>
        <v>0</v>
      </c>
      <c r="I1469" s="252">
        <f t="shared" si="48"/>
        <v>0</v>
      </c>
      <c r="J1469" s="170" t="str">
        <f>IF(A1469="","",SUM($H$7:H1469)-SUM($I$7:I1469))</f>
        <v/>
      </c>
      <c r="K1469" s="34"/>
    </row>
    <row r="1470" spans="1:11" x14ac:dyDescent="0.2">
      <c r="A1470" s="44"/>
      <c r="B1470" s="44"/>
      <c r="C1470" s="35"/>
      <c r="D1470" s="44"/>
      <c r="E1470" s="44"/>
      <c r="F1470" s="44"/>
      <c r="G1470" s="130"/>
      <c r="H1470" s="252">
        <f t="shared" si="49"/>
        <v>0</v>
      </c>
      <c r="I1470" s="252">
        <f t="shared" si="48"/>
        <v>0</v>
      </c>
      <c r="J1470" s="170" t="str">
        <f>IF(A1470="","",SUM($H$7:H1470)-SUM($I$7:I1470))</f>
        <v/>
      </c>
      <c r="K1470" s="34"/>
    </row>
    <row r="1471" spans="1:11" x14ac:dyDescent="0.2">
      <c r="A1471" s="44"/>
      <c r="B1471" s="44"/>
      <c r="C1471" s="35"/>
      <c r="D1471" s="44"/>
      <c r="E1471" s="44"/>
      <c r="F1471" s="44"/>
      <c r="G1471" s="130"/>
      <c r="H1471" s="252">
        <f t="shared" si="49"/>
        <v>0</v>
      </c>
      <c r="I1471" s="252">
        <f t="shared" si="48"/>
        <v>0</v>
      </c>
      <c r="J1471" s="170" t="str">
        <f>IF(A1471="","",SUM($H$7:H1471)-SUM($I$7:I1471))</f>
        <v/>
      </c>
      <c r="K1471" s="34"/>
    </row>
    <row r="1472" spans="1:11" x14ac:dyDescent="0.2">
      <c r="A1472" s="44"/>
      <c r="B1472" s="44"/>
      <c r="C1472" s="35"/>
      <c r="D1472" s="44"/>
      <c r="E1472" s="44"/>
      <c r="F1472" s="44"/>
      <c r="G1472" s="130"/>
      <c r="H1472" s="252">
        <f t="shared" si="49"/>
        <v>0</v>
      </c>
      <c r="I1472" s="252">
        <f t="shared" si="48"/>
        <v>0</v>
      </c>
      <c r="J1472" s="170" t="str">
        <f>IF(A1472="","",SUM($H$7:H1472)-SUM($I$7:I1472))</f>
        <v/>
      </c>
      <c r="K1472" s="34"/>
    </row>
    <row r="1473" spans="1:11" x14ac:dyDescent="0.2">
      <c r="A1473" s="44"/>
      <c r="B1473" s="44"/>
      <c r="C1473" s="35"/>
      <c r="D1473" s="44"/>
      <c r="E1473" s="44"/>
      <c r="F1473" s="44"/>
      <c r="G1473" s="130"/>
      <c r="H1473" s="252">
        <f t="shared" si="49"/>
        <v>0</v>
      </c>
      <c r="I1473" s="252">
        <f t="shared" si="48"/>
        <v>0</v>
      </c>
      <c r="J1473" s="170" t="str">
        <f>IF(A1473="","",SUM($H$7:H1473)-SUM($I$7:I1473))</f>
        <v/>
      </c>
      <c r="K1473" s="34"/>
    </row>
    <row r="1474" spans="1:11" x14ac:dyDescent="0.2">
      <c r="A1474" s="44"/>
      <c r="B1474" s="44"/>
      <c r="C1474" s="35"/>
      <c r="D1474" s="44"/>
      <c r="E1474" s="44"/>
      <c r="F1474" s="44"/>
      <c r="G1474" s="130"/>
      <c r="H1474" s="252">
        <f t="shared" si="49"/>
        <v>0</v>
      </c>
      <c r="I1474" s="252">
        <f t="shared" si="48"/>
        <v>0</v>
      </c>
      <c r="J1474" s="170" t="str">
        <f>IF(A1474="","",SUM($H$7:H1474)-SUM($I$7:I1474))</f>
        <v/>
      </c>
      <c r="K1474" s="34"/>
    </row>
    <row r="1475" spans="1:11" x14ac:dyDescent="0.2">
      <c r="A1475" s="44"/>
      <c r="B1475" s="44"/>
      <c r="C1475" s="35"/>
      <c r="D1475" s="44"/>
      <c r="E1475" s="44"/>
      <c r="F1475" s="44"/>
      <c r="G1475" s="130"/>
      <c r="H1475" s="252">
        <f t="shared" si="49"/>
        <v>0</v>
      </c>
      <c r="I1475" s="252">
        <f t="shared" si="48"/>
        <v>0</v>
      </c>
      <c r="J1475" s="170" t="str">
        <f>IF(A1475="","",SUM($H$7:H1475)-SUM($I$7:I1475))</f>
        <v/>
      </c>
      <c r="K1475" s="34"/>
    </row>
    <row r="1476" spans="1:11" x14ac:dyDescent="0.2">
      <c r="A1476" s="44"/>
      <c r="B1476" s="44"/>
      <c r="C1476" s="35"/>
      <c r="D1476" s="44"/>
      <c r="E1476" s="44"/>
      <c r="F1476" s="44"/>
      <c r="G1476" s="130"/>
      <c r="H1476" s="252">
        <f t="shared" si="49"/>
        <v>0</v>
      </c>
      <c r="I1476" s="252">
        <f t="shared" si="48"/>
        <v>0</v>
      </c>
      <c r="J1476" s="170" t="str">
        <f>IF(A1476="","",SUM($H$7:H1476)-SUM($I$7:I1476))</f>
        <v/>
      </c>
      <c r="K1476" s="34"/>
    </row>
    <row r="1477" spans="1:11" x14ac:dyDescent="0.2">
      <c r="A1477" s="44"/>
      <c r="B1477" s="44"/>
      <c r="C1477" s="35"/>
      <c r="D1477" s="44"/>
      <c r="E1477" s="44"/>
      <c r="F1477" s="44"/>
      <c r="G1477" s="130"/>
      <c r="H1477" s="252">
        <f t="shared" si="49"/>
        <v>0</v>
      </c>
      <c r="I1477" s="252">
        <f t="shared" si="48"/>
        <v>0</v>
      </c>
      <c r="J1477" s="170" t="str">
        <f>IF(A1477="","",SUM($H$7:H1477)-SUM($I$7:I1477))</f>
        <v/>
      </c>
      <c r="K1477" s="34"/>
    </row>
    <row r="1478" spans="1:11" x14ac:dyDescent="0.2">
      <c r="A1478" s="44"/>
      <c r="B1478" s="44"/>
      <c r="C1478" s="35"/>
      <c r="D1478" s="44"/>
      <c r="E1478" s="44"/>
      <c r="F1478" s="44"/>
      <c r="G1478" s="130"/>
      <c r="H1478" s="252">
        <f t="shared" si="49"/>
        <v>0</v>
      </c>
      <c r="I1478" s="252">
        <f t="shared" si="48"/>
        <v>0</v>
      </c>
      <c r="J1478" s="170" t="str">
        <f>IF(A1478="","",SUM($H$7:H1478)-SUM($I$7:I1478))</f>
        <v/>
      </c>
      <c r="K1478" s="34"/>
    </row>
    <row r="1479" spans="1:11" x14ac:dyDescent="0.2">
      <c r="A1479" s="44"/>
      <c r="B1479" s="44"/>
      <c r="C1479" s="35"/>
      <c r="D1479" s="44"/>
      <c r="E1479" s="44"/>
      <c r="F1479" s="44"/>
      <c r="G1479" s="130"/>
      <c r="H1479" s="252">
        <f t="shared" si="49"/>
        <v>0</v>
      </c>
      <c r="I1479" s="252">
        <f t="shared" ref="I1479:I1542" si="50">IF($C1479="Replenishment",0,$G1479)</f>
        <v>0</v>
      </c>
      <c r="J1479" s="170" t="str">
        <f>IF(A1479="","",SUM($H$7:H1479)-SUM($I$7:I1479))</f>
        <v/>
      </c>
      <c r="K1479" s="34"/>
    </row>
    <row r="1480" spans="1:11" x14ac:dyDescent="0.2">
      <c r="A1480" s="44"/>
      <c r="B1480" s="44"/>
      <c r="C1480" s="35"/>
      <c r="D1480" s="44"/>
      <c r="E1480" s="44"/>
      <c r="F1480" s="44"/>
      <c r="G1480" s="130"/>
      <c r="H1480" s="252">
        <f t="shared" si="49"/>
        <v>0</v>
      </c>
      <c r="I1480" s="252">
        <f t="shared" si="50"/>
        <v>0</v>
      </c>
      <c r="J1480" s="170" t="str">
        <f>IF(A1480="","",SUM($H$7:H1480)-SUM($I$7:I1480))</f>
        <v/>
      </c>
      <c r="K1480" s="34"/>
    </row>
    <row r="1481" spans="1:11" x14ac:dyDescent="0.2">
      <c r="A1481" s="44"/>
      <c r="B1481" s="44"/>
      <c r="C1481" s="35"/>
      <c r="D1481" s="44"/>
      <c r="E1481" s="44"/>
      <c r="F1481" s="44"/>
      <c r="G1481" s="130"/>
      <c r="H1481" s="252">
        <f t="shared" si="49"/>
        <v>0</v>
      </c>
      <c r="I1481" s="252">
        <f t="shared" si="50"/>
        <v>0</v>
      </c>
      <c r="J1481" s="170" t="str">
        <f>IF(A1481="","",SUM($H$7:H1481)-SUM($I$7:I1481))</f>
        <v/>
      </c>
      <c r="K1481" s="34"/>
    </row>
    <row r="1482" spans="1:11" x14ac:dyDescent="0.2">
      <c r="A1482" s="44"/>
      <c r="B1482" s="44"/>
      <c r="C1482" s="35"/>
      <c r="D1482" s="44"/>
      <c r="E1482" s="44"/>
      <c r="F1482" s="44"/>
      <c r="G1482" s="130"/>
      <c r="H1482" s="252">
        <f t="shared" si="49"/>
        <v>0</v>
      </c>
      <c r="I1482" s="252">
        <f t="shared" si="50"/>
        <v>0</v>
      </c>
      <c r="J1482" s="170" t="str">
        <f>IF(A1482="","",SUM($H$7:H1482)-SUM($I$7:I1482))</f>
        <v/>
      </c>
      <c r="K1482" s="34"/>
    </row>
    <row r="1483" spans="1:11" x14ac:dyDescent="0.2">
      <c r="A1483" s="44"/>
      <c r="B1483" s="44"/>
      <c r="C1483" s="35"/>
      <c r="D1483" s="44"/>
      <c r="E1483" s="44"/>
      <c r="F1483" s="44"/>
      <c r="G1483" s="130"/>
      <c r="H1483" s="252">
        <f t="shared" si="49"/>
        <v>0</v>
      </c>
      <c r="I1483" s="252">
        <f t="shared" si="50"/>
        <v>0</v>
      </c>
      <c r="J1483" s="170" t="str">
        <f>IF(A1483="","",SUM($H$7:H1483)-SUM($I$7:I1483))</f>
        <v/>
      </c>
      <c r="K1483" s="34"/>
    </row>
    <row r="1484" spans="1:11" x14ac:dyDescent="0.2">
      <c r="A1484" s="44"/>
      <c r="B1484" s="44"/>
      <c r="C1484" s="35"/>
      <c r="D1484" s="44"/>
      <c r="E1484" s="44"/>
      <c r="F1484" s="44"/>
      <c r="G1484" s="130"/>
      <c r="H1484" s="252">
        <f t="shared" si="49"/>
        <v>0</v>
      </c>
      <c r="I1484" s="252">
        <f t="shared" si="50"/>
        <v>0</v>
      </c>
      <c r="J1484" s="170" t="str">
        <f>IF(A1484="","",SUM($H$7:H1484)-SUM($I$7:I1484))</f>
        <v/>
      </c>
      <c r="K1484" s="34"/>
    </row>
    <row r="1485" spans="1:11" x14ac:dyDescent="0.2">
      <c r="A1485" s="44"/>
      <c r="B1485" s="44"/>
      <c r="C1485" s="35"/>
      <c r="D1485" s="44"/>
      <c r="E1485" s="44"/>
      <c r="F1485" s="44"/>
      <c r="G1485" s="130"/>
      <c r="H1485" s="252">
        <f t="shared" si="49"/>
        <v>0</v>
      </c>
      <c r="I1485" s="252">
        <f t="shared" si="50"/>
        <v>0</v>
      </c>
      <c r="J1485" s="170" t="str">
        <f>IF(A1485="","",SUM($H$7:H1485)-SUM($I$7:I1485))</f>
        <v/>
      </c>
      <c r="K1485" s="34"/>
    </row>
    <row r="1486" spans="1:11" x14ac:dyDescent="0.2">
      <c r="A1486" s="44"/>
      <c r="B1486" s="44"/>
      <c r="C1486" s="35"/>
      <c r="D1486" s="44"/>
      <c r="E1486" s="44"/>
      <c r="F1486" s="44"/>
      <c r="G1486" s="130"/>
      <c r="H1486" s="252">
        <f t="shared" si="49"/>
        <v>0</v>
      </c>
      <c r="I1486" s="252">
        <f t="shared" si="50"/>
        <v>0</v>
      </c>
      <c r="J1486" s="170" t="str">
        <f>IF(A1486="","",SUM($H$7:H1486)-SUM($I$7:I1486))</f>
        <v/>
      </c>
      <c r="K1486" s="34"/>
    </row>
    <row r="1487" spans="1:11" x14ac:dyDescent="0.2">
      <c r="A1487" s="44"/>
      <c r="B1487" s="44"/>
      <c r="C1487" s="35"/>
      <c r="D1487" s="44"/>
      <c r="E1487" s="44"/>
      <c r="F1487" s="44"/>
      <c r="G1487" s="130"/>
      <c r="H1487" s="252">
        <f t="shared" si="49"/>
        <v>0</v>
      </c>
      <c r="I1487" s="252">
        <f t="shared" si="50"/>
        <v>0</v>
      </c>
      <c r="J1487" s="170" t="str">
        <f>IF(A1487="","",SUM($H$7:H1487)-SUM($I$7:I1487))</f>
        <v/>
      </c>
      <c r="K1487" s="34"/>
    </row>
    <row r="1488" spans="1:11" x14ac:dyDescent="0.2">
      <c r="A1488" s="44"/>
      <c r="B1488" s="44"/>
      <c r="C1488" s="35"/>
      <c r="D1488" s="44"/>
      <c r="E1488" s="44"/>
      <c r="F1488" s="44"/>
      <c r="G1488" s="130"/>
      <c r="H1488" s="252">
        <f t="shared" si="49"/>
        <v>0</v>
      </c>
      <c r="I1488" s="252">
        <f t="shared" si="50"/>
        <v>0</v>
      </c>
      <c r="J1488" s="170" t="str">
        <f>IF(A1488="","",SUM($H$7:H1488)-SUM($I$7:I1488))</f>
        <v/>
      </c>
      <c r="K1488" s="34"/>
    </row>
    <row r="1489" spans="1:11" x14ac:dyDescent="0.2">
      <c r="A1489" s="44"/>
      <c r="B1489" s="44"/>
      <c r="C1489" s="35"/>
      <c r="D1489" s="44"/>
      <c r="E1489" s="44"/>
      <c r="F1489" s="44"/>
      <c r="G1489" s="130"/>
      <c r="H1489" s="252">
        <f t="shared" si="49"/>
        <v>0</v>
      </c>
      <c r="I1489" s="252">
        <f t="shared" si="50"/>
        <v>0</v>
      </c>
      <c r="J1489" s="170" t="str">
        <f>IF(A1489="","",SUM($H$7:H1489)-SUM($I$7:I1489))</f>
        <v/>
      </c>
      <c r="K1489" s="34"/>
    </row>
    <row r="1490" spans="1:11" x14ac:dyDescent="0.2">
      <c r="A1490" s="44"/>
      <c r="B1490" s="44"/>
      <c r="C1490" s="35"/>
      <c r="D1490" s="44"/>
      <c r="E1490" s="44"/>
      <c r="F1490" s="44"/>
      <c r="G1490" s="130"/>
      <c r="H1490" s="252">
        <f t="shared" si="49"/>
        <v>0</v>
      </c>
      <c r="I1490" s="252">
        <f t="shared" si="50"/>
        <v>0</v>
      </c>
      <c r="J1490" s="170" t="str">
        <f>IF(A1490="","",SUM($H$7:H1490)-SUM($I$7:I1490))</f>
        <v/>
      </c>
      <c r="K1490" s="34"/>
    </row>
    <row r="1491" spans="1:11" x14ac:dyDescent="0.2">
      <c r="A1491" s="44"/>
      <c r="B1491" s="44"/>
      <c r="C1491" s="35"/>
      <c r="D1491" s="44"/>
      <c r="E1491" s="44"/>
      <c r="F1491" s="44"/>
      <c r="G1491" s="130"/>
      <c r="H1491" s="252">
        <f t="shared" si="49"/>
        <v>0</v>
      </c>
      <c r="I1491" s="252">
        <f t="shared" si="50"/>
        <v>0</v>
      </c>
      <c r="J1491" s="170" t="str">
        <f>IF(A1491="","",SUM($H$7:H1491)-SUM($I$7:I1491))</f>
        <v/>
      </c>
      <c r="K1491" s="34"/>
    </row>
    <row r="1492" spans="1:11" x14ac:dyDescent="0.2">
      <c r="A1492" s="44"/>
      <c r="B1492" s="44"/>
      <c r="C1492" s="35"/>
      <c r="D1492" s="44"/>
      <c r="E1492" s="44"/>
      <c r="F1492" s="44"/>
      <c r="G1492" s="130"/>
      <c r="H1492" s="252">
        <f t="shared" si="49"/>
        <v>0</v>
      </c>
      <c r="I1492" s="252">
        <f t="shared" si="50"/>
        <v>0</v>
      </c>
      <c r="J1492" s="170" t="str">
        <f>IF(A1492="","",SUM($H$7:H1492)-SUM($I$7:I1492))</f>
        <v/>
      </c>
      <c r="K1492" s="34"/>
    </row>
    <row r="1493" spans="1:11" x14ac:dyDescent="0.2">
      <c r="A1493" s="44"/>
      <c r="B1493" s="44"/>
      <c r="C1493" s="35"/>
      <c r="D1493" s="44"/>
      <c r="E1493" s="44"/>
      <c r="F1493" s="44"/>
      <c r="G1493" s="130"/>
      <c r="H1493" s="252">
        <f t="shared" si="49"/>
        <v>0</v>
      </c>
      <c r="I1493" s="252">
        <f t="shared" si="50"/>
        <v>0</v>
      </c>
      <c r="J1493" s="170" t="str">
        <f>IF(A1493="","",SUM($H$7:H1493)-SUM($I$7:I1493))</f>
        <v/>
      </c>
      <c r="K1493" s="34"/>
    </row>
    <row r="1494" spans="1:11" x14ac:dyDescent="0.2">
      <c r="A1494" s="44"/>
      <c r="B1494" s="44"/>
      <c r="C1494" s="35"/>
      <c r="D1494" s="44"/>
      <c r="E1494" s="44"/>
      <c r="F1494" s="44"/>
      <c r="G1494" s="130"/>
      <c r="H1494" s="252">
        <f t="shared" si="49"/>
        <v>0</v>
      </c>
      <c r="I1494" s="252">
        <f t="shared" si="50"/>
        <v>0</v>
      </c>
      <c r="J1494" s="170" t="str">
        <f>IF(A1494="","",SUM($H$7:H1494)-SUM($I$7:I1494))</f>
        <v/>
      </c>
      <c r="K1494" s="34"/>
    </row>
    <row r="1495" spans="1:11" x14ac:dyDescent="0.2">
      <c r="A1495" s="44"/>
      <c r="B1495" s="44"/>
      <c r="C1495" s="35"/>
      <c r="D1495" s="44"/>
      <c r="E1495" s="44"/>
      <c r="F1495" s="44"/>
      <c r="G1495" s="130"/>
      <c r="H1495" s="252">
        <f t="shared" si="49"/>
        <v>0</v>
      </c>
      <c r="I1495" s="252">
        <f t="shared" si="50"/>
        <v>0</v>
      </c>
      <c r="J1495" s="170" t="str">
        <f>IF(A1495="","",SUM($H$7:H1495)-SUM($I$7:I1495))</f>
        <v/>
      </c>
      <c r="K1495" s="34"/>
    </row>
    <row r="1496" spans="1:11" x14ac:dyDescent="0.2">
      <c r="A1496" s="44"/>
      <c r="B1496" s="44"/>
      <c r="C1496" s="35"/>
      <c r="D1496" s="44"/>
      <c r="E1496" s="44"/>
      <c r="F1496" s="44"/>
      <c r="G1496" s="130"/>
      <c r="H1496" s="252">
        <f t="shared" si="49"/>
        <v>0</v>
      </c>
      <c r="I1496" s="252">
        <f t="shared" si="50"/>
        <v>0</v>
      </c>
      <c r="J1496" s="170" t="str">
        <f>IF(A1496="","",SUM($H$7:H1496)-SUM($I$7:I1496))</f>
        <v/>
      </c>
      <c r="K1496" s="34"/>
    </row>
    <row r="1497" spans="1:11" x14ac:dyDescent="0.2">
      <c r="A1497" s="44"/>
      <c r="B1497" s="44"/>
      <c r="C1497" s="35"/>
      <c r="D1497" s="44"/>
      <c r="E1497" s="44"/>
      <c r="F1497" s="44"/>
      <c r="G1497" s="130"/>
      <c r="H1497" s="252">
        <f t="shared" si="49"/>
        <v>0</v>
      </c>
      <c r="I1497" s="252">
        <f t="shared" si="50"/>
        <v>0</v>
      </c>
      <c r="J1497" s="170" t="str">
        <f>IF(A1497="","",SUM($H$7:H1497)-SUM($I$7:I1497))</f>
        <v/>
      </c>
      <c r="K1497" s="34"/>
    </row>
    <row r="1498" spans="1:11" x14ac:dyDescent="0.2">
      <c r="A1498" s="44"/>
      <c r="B1498" s="44"/>
      <c r="C1498" s="35"/>
      <c r="D1498" s="44"/>
      <c r="E1498" s="44"/>
      <c r="F1498" s="44"/>
      <c r="G1498" s="130"/>
      <c r="H1498" s="252">
        <f t="shared" si="49"/>
        <v>0</v>
      </c>
      <c r="I1498" s="252">
        <f t="shared" si="50"/>
        <v>0</v>
      </c>
      <c r="J1498" s="170" t="str">
        <f>IF(A1498="","",SUM($H$7:H1498)-SUM($I$7:I1498))</f>
        <v/>
      </c>
      <c r="K1498" s="34"/>
    </row>
    <row r="1499" spans="1:11" x14ac:dyDescent="0.2">
      <c r="A1499" s="44"/>
      <c r="B1499" s="44"/>
      <c r="C1499" s="35"/>
      <c r="D1499" s="44"/>
      <c r="E1499" s="44"/>
      <c r="F1499" s="44"/>
      <c r="G1499" s="130"/>
      <c r="H1499" s="252">
        <f t="shared" si="49"/>
        <v>0</v>
      </c>
      <c r="I1499" s="252">
        <f t="shared" si="50"/>
        <v>0</v>
      </c>
      <c r="J1499" s="170" t="str">
        <f>IF(A1499="","",SUM($H$7:H1499)-SUM($I$7:I1499))</f>
        <v/>
      </c>
      <c r="K1499" s="34"/>
    </row>
    <row r="1500" spans="1:11" x14ac:dyDescent="0.2">
      <c r="A1500" s="44"/>
      <c r="B1500" s="44"/>
      <c r="C1500" s="35"/>
      <c r="D1500" s="44"/>
      <c r="E1500" s="44"/>
      <c r="F1500" s="44"/>
      <c r="G1500" s="130"/>
      <c r="H1500" s="252">
        <f t="shared" si="49"/>
        <v>0</v>
      </c>
      <c r="I1500" s="252">
        <f t="shared" si="50"/>
        <v>0</v>
      </c>
      <c r="J1500" s="170" t="str">
        <f>IF(A1500="","",SUM($H$7:H1500)-SUM($I$7:I1500))</f>
        <v/>
      </c>
      <c r="K1500" s="34"/>
    </row>
    <row r="1501" spans="1:11" x14ac:dyDescent="0.2">
      <c r="A1501" s="44"/>
      <c r="B1501" s="44"/>
      <c r="C1501" s="35"/>
      <c r="D1501" s="44"/>
      <c r="E1501" s="44"/>
      <c r="F1501" s="44"/>
      <c r="G1501" s="130"/>
      <c r="H1501" s="252">
        <f t="shared" si="49"/>
        <v>0</v>
      </c>
      <c r="I1501" s="252">
        <f t="shared" si="50"/>
        <v>0</v>
      </c>
      <c r="J1501" s="170" t="str">
        <f>IF(A1501="","",SUM($H$7:H1501)-SUM($I$7:I1501))</f>
        <v/>
      </c>
      <c r="K1501" s="34"/>
    </row>
    <row r="1502" spans="1:11" x14ac:dyDescent="0.2">
      <c r="A1502" s="44"/>
      <c r="B1502" s="44"/>
      <c r="C1502" s="35"/>
      <c r="D1502" s="44"/>
      <c r="E1502" s="44"/>
      <c r="F1502" s="44"/>
      <c r="G1502" s="130"/>
      <c r="H1502" s="252">
        <f t="shared" si="49"/>
        <v>0</v>
      </c>
      <c r="I1502" s="252">
        <f t="shared" si="50"/>
        <v>0</v>
      </c>
      <c r="J1502" s="170" t="str">
        <f>IF(A1502="","",SUM($H$7:H1502)-SUM($I$7:I1502))</f>
        <v/>
      </c>
      <c r="K1502" s="34"/>
    </row>
    <row r="1503" spans="1:11" x14ac:dyDescent="0.2">
      <c r="A1503" s="44"/>
      <c r="B1503" s="44"/>
      <c r="C1503" s="35"/>
      <c r="D1503" s="44"/>
      <c r="E1503" s="44"/>
      <c r="F1503" s="44"/>
      <c r="G1503" s="130"/>
      <c r="H1503" s="252">
        <f t="shared" si="49"/>
        <v>0</v>
      </c>
      <c r="I1503" s="252">
        <f t="shared" si="50"/>
        <v>0</v>
      </c>
      <c r="J1503" s="170" t="str">
        <f>IF(A1503="","",SUM($H$7:H1503)-SUM($I$7:I1503))</f>
        <v/>
      </c>
      <c r="K1503" s="34"/>
    </row>
    <row r="1504" spans="1:11" x14ac:dyDescent="0.2">
      <c r="A1504" s="44"/>
      <c r="B1504" s="44"/>
      <c r="C1504" s="35"/>
      <c r="D1504" s="44"/>
      <c r="E1504" s="44"/>
      <c r="F1504" s="44"/>
      <c r="G1504" s="130"/>
      <c r="H1504" s="252">
        <f t="shared" si="49"/>
        <v>0</v>
      </c>
      <c r="I1504" s="252">
        <f t="shared" si="50"/>
        <v>0</v>
      </c>
      <c r="J1504" s="170" t="str">
        <f>IF(A1504="","",SUM($H$7:H1504)-SUM($I$7:I1504))</f>
        <v/>
      </c>
      <c r="K1504" s="34"/>
    </row>
    <row r="1505" spans="1:11" x14ac:dyDescent="0.2">
      <c r="A1505" s="44"/>
      <c r="B1505" s="44"/>
      <c r="C1505" s="35"/>
      <c r="D1505" s="44"/>
      <c r="E1505" s="44"/>
      <c r="F1505" s="44"/>
      <c r="G1505" s="130"/>
      <c r="H1505" s="252">
        <f t="shared" si="49"/>
        <v>0</v>
      </c>
      <c r="I1505" s="252">
        <f t="shared" si="50"/>
        <v>0</v>
      </c>
      <c r="J1505" s="170" t="str">
        <f>IF(A1505="","",SUM($H$7:H1505)-SUM($I$7:I1505))</f>
        <v/>
      </c>
      <c r="K1505" s="34"/>
    </row>
    <row r="1506" spans="1:11" x14ac:dyDescent="0.2">
      <c r="A1506" s="44"/>
      <c r="B1506" s="44"/>
      <c r="C1506" s="35"/>
      <c r="D1506" s="44"/>
      <c r="E1506" s="44"/>
      <c r="F1506" s="44"/>
      <c r="G1506" s="130"/>
      <c r="H1506" s="252">
        <f t="shared" si="49"/>
        <v>0</v>
      </c>
      <c r="I1506" s="252">
        <f t="shared" si="50"/>
        <v>0</v>
      </c>
      <c r="J1506" s="170" t="str">
        <f>IF(A1506="","",SUM($H$7:H1506)-SUM($I$7:I1506))</f>
        <v/>
      </c>
      <c r="K1506" s="34"/>
    </row>
    <row r="1507" spans="1:11" x14ac:dyDescent="0.2">
      <c r="A1507" s="44"/>
      <c r="B1507" s="44"/>
      <c r="C1507" s="35"/>
      <c r="D1507" s="44"/>
      <c r="E1507" s="44"/>
      <c r="F1507" s="44"/>
      <c r="G1507" s="130"/>
      <c r="H1507" s="252">
        <f t="shared" si="49"/>
        <v>0</v>
      </c>
      <c r="I1507" s="252">
        <f t="shared" si="50"/>
        <v>0</v>
      </c>
      <c r="J1507" s="170" t="str">
        <f>IF(A1507="","",SUM($H$7:H1507)-SUM($I$7:I1507))</f>
        <v/>
      </c>
      <c r="K1507" s="34"/>
    </row>
    <row r="1508" spans="1:11" x14ac:dyDescent="0.2">
      <c r="A1508" s="44"/>
      <c r="B1508" s="44"/>
      <c r="C1508" s="35"/>
      <c r="D1508" s="44"/>
      <c r="E1508" s="44"/>
      <c r="F1508" s="44"/>
      <c r="G1508" s="130"/>
      <c r="H1508" s="252">
        <f t="shared" si="49"/>
        <v>0</v>
      </c>
      <c r="I1508" s="252">
        <f t="shared" si="50"/>
        <v>0</v>
      </c>
      <c r="J1508" s="170" t="str">
        <f>IF(A1508="","",SUM($H$7:H1508)-SUM($I$7:I1508))</f>
        <v/>
      </c>
      <c r="K1508" s="34"/>
    </row>
    <row r="1509" spans="1:11" x14ac:dyDescent="0.2">
      <c r="A1509" s="44"/>
      <c r="B1509" s="44"/>
      <c r="C1509" s="35"/>
      <c r="D1509" s="44"/>
      <c r="E1509" s="44"/>
      <c r="F1509" s="44"/>
      <c r="G1509" s="130"/>
      <c r="H1509" s="252">
        <f t="shared" si="49"/>
        <v>0</v>
      </c>
      <c r="I1509" s="252">
        <f t="shared" si="50"/>
        <v>0</v>
      </c>
      <c r="J1509" s="170" t="str">
        <f>IF(A1509="","",SUM($H$7:H1509)-SUM($I$7:I1509))</f>
        <v/>
      </c>
      <c r="K1509" s="34"/>
    </row>
    <row r="1510" spans="1:11" x14ac:dyDescent="0.2">
      <c r="A1510" s="44"/>
      <c r="B1510" s="44"/>
      <c r="C1510" s="35"/>
      <c r="D1510" s="44"/>
      <c r="E1510" s="44"/>
      <c r="F1510" s="44"/>
      <c r="G1510" s="130"/>
      <c r="H1510" s="252">
        <f t="shared" si="49"/>
        <v>0</v>
      </c>
      <c r="I1510" s="252">
        <f t="shared" si="50"/>
        <v>0</v>
      </c>
      <c r="J1510" s="170" t="str">
        <f>IF(A1510="","",SUM($H$7:H1510)-SUM($I$7:I1510))</f>
        <v/>
      </c>
      <c r="K1510" s="34"/>
    </row>
    <row r="1511" spans="1:11" x14ac:dyDescent="0.2">
      <c r="A1511" s="44"/>
      <c r="B1511" s="44"/>
      <c r="C1511" s="35"/>
      <c r="D1511" s="44"/>
      <c r="E1511" s="44"/>
      <c r="F1511" s="44"/>
      <c r="G1511" s="130"/>
      <c r="H1511" s="252">
        <f t="shared" si="49"/>
        <v>0</v>
      </c>
      <c r="I1511" s="252">
        <f t="shared" si="50"/>
        <v>0</v>
      </c>
      <c r="J1511" s="170" t="str">
        <f>IF(A1511="","",SUM($H$7:H1511)-SUM($I$7:I1511))</f>
        <v/>
      </c>
      <c r="K1511" s="34"/>
    </row>
    <row r="1512" spans="1:11" x14ac:dyDescent="0.2">
      <c r="A1512" s="44"/>
      <c r="B1512" s="44"/>
      <c r="C1512" s="35"/>
      <c r="D1512" s="44"/>
      <c r="E1512" s="44"/>
      <c r="F1512" s="44"/>
      <c r="G1512" s="130"/>
      <c r="H1512" s="252">
        <f t="shared" si="49"/>
        <v>0</v>
      </c>
      <c r="I1512" s="252">
        <f t="shared" si="50"/>
        <v>0</v>
      </c>
      <c r="J1512" s="170" t="str">
        <f>IF(A1512="","",SUM($H$7:H1512)-SUM($I$7:I1512))</f>
        <v/>
      </c>
      <c r="K1512" s="34"/>
    </row>
    <row r="1513" spans="1:11" x14ac:dyDescent="0.2">
      <c r="A1513" s="44"/>
      <c r="B1513" s="44"/>
      <c r="C1513" s="35"/>
      <c r="D1513" s="44"/>
      <c r="E1513" s="44"/>
      <c r="F1513" s="44"/>
      <c r="G1513" s="130"/>
      <c r="H1513" s="252">
        <f t="shared" si="49"/>
        <v>0</v>
      </c>
      <c r="I1513" s="252">
        <f t="shared" si="50"/>
        <v>0</v>
      </c>
      <c r="J1513" s="170" t="str">
        <f>IF(A1513="","",SUM($H$7:H1513)-SUM($I$7:I1513))</f>
        <v/>
      </c>
      <c r="K1513" s="34"/>
    </row>
    <row r="1514" spans="1:11" x14ac:dyDescent="0.2">
      <c r="A1514" s="44"/>
      <c r="B1514" s="44"/>
      <c r="C1514" s="35"/>
      <c r="D1514" s="44"/>
      <c r="E1514" s="44"/>
      <c r="F1514" s="44"/>
      <c r="G1514" s="130"/>
      <c r="H1514" s="252">
        <f t="shared" si="49"/>
        <v>0</v>
      </c>
      <c r="I1514" s="252">
        <f t="shared" si="50"/>
        <v>0</v>
      </c>
      <c r="J1514" s="170" t="str">
        <f>IF(A1514="","",SUM($H$7:H1514)-SUM($I$7:I1514))</f>
        <v/>
      </c>
      <c r="K1514" s="34"/>
    </row>
    <row r="1515" spans="1:11" x14ac:dyDescent="0.2">
      <c r="A1515" s="44"/>
      <c r="B1515" s="44"/>
      <c r="C1515" s="35"/>
      <c r="D1515" s="44"/>
      <c r="E1515" s="44"/>
      <c r="F1515" s="44"/>
      <c r="G1515" s="130"/>
      <c r="H1515" s="252">
        <f t="shared" si="49"/>
        <v>0</v>
      </c>
      <c r="I1515" s="252">
        <f t="shared" si="50"/>
        <v>0</v>
      </c>
      <c r="J1515" s="170" t="str">
        <f>IF(A1515="","",SUM($H$7:H1515)-SUM($I$7:I1515))</f>
        <v/>
      </c>
      <c r="K1515" s="34"/>
    </row>
    <row r="1516" spans="1:11" x14ac:dyDescent="0.2">
      <c r="A1516" s="44"/>
      <c r="B1516" s="44"/>
      <c r="C1516" s="35"/>
      <c r="D1516" s="44"/>
      <c r="E1516" s="44"/>
      <c r="F1516" s="44"/>
      <c r="G1516" s="130"/>
      <c r="H1516" s="252">
        <f t="shared" si="49"/>
        <v>0</v>
      </c>
      <c r="I1516" s="252">
        <f t="shared" si="50"/>
        <v>0</v>
      </c>
      <c r="J1516" s="170" t="str">
        <f>IF(A1516="","",SUM($H$7:H1516)-SUM($I$7:I1516))</f>
        <v/>
      </c>
      <c r="K1516" s="34"/>
    </row>
    <row r="1517" spans="1:11" x14ac:dyDescent="0.2">
      <c r="A1517" s="44"/>
      <c r="B1517" s="44"/>
      <c r="C1517" s="35"/>
      <c r="D1517" s="44"/>
      <c r="E1517" s="44"/>
      <c r="F1517" s="44"/>
      <c r="G1517" s="130"/>
      <c r="H1517" s="252">
        <f t="shared" si="49"/>
        <v>0</v>
      </c>
      <c r="I1517" s="252">
        <f t="shared" si="50"/>
        <v>0</v>
      </c>
      <c r="J1517" s="170" t="str">
        <f>IF(A1517="","",SUM($H$7:H1517)-SUM($I$7:I1517))</f>
        <v/>
      </c>
      <c r="K1517" s="34"/>
    </row>
    <row r="1518" spans="1:11" x14ac:dyDescent="0.2">
      <c r="A1518" s="44"/>
      <c r="B1518" s="44"/>
      <c r="C1518" s="35"/>
      <c r="D1518" s="44"/>
      <c r="E1518" s="44"/>
      <c r="F1518" s="44"/>
      <c r="G1518" s="130"/>
      <c r="H1518" s="252">
        <f t="shared" si="49"/>
        <v>0</v>
      </c>
      <c r="I1518" s="252">
        <f t="shared" si="50"/>
        <v>0</v>
      </c>
      <c r="J1518" s="170" t="str">
        <f>IF(A1518="","",SUM($H$7:H1518)-SUM($I$7:I1518))</f>
        <v/>
      </c>
      <c r="K1518" s="34"/>
    </row>
    <row r="1519" spans="1:11" x14ac:dyDescent="0.2">
      <c r="A1519" s="44"/>
      <c r="B1519" s="44"/>
      <c r="C1519" s="35"/>
      <c r="D1519" s="44"/>
      <c r="E1519" s="44"/>
      <c r="F1519" s="44"/>
      <c r="G1519" s="130"/>
      <c r="H1519" s="252">
        <f t="shared" si="49"/>
        <v>0</v>
      </c>
      <c r="I1519" s="252">
        <f t="shared" si="50"/>
        <v>0</v>
      </c>
      <c r="J1519" s="170" t="str">
        <f>IF(A1519="","",SUM($H$7:H1519)-SUM($I$7:I1519))</f>
        <v/>
      </c>
      <c r="K1519" s="34"/>
    </row>
    <row r="1520" spans="1:11" x14ac:dyDescent="0.2">
      <c r="A1520" s="44"/>
      <c r="B1520" s="44"/>
      <c r="C1520" s="35"/>
      <c r="D1520" s="44"/>
      <c r="E1520" s="44"/>
      <c r="F1520" s="44"/>
      <c r="G1520" s="130"/>
      <c r="H1520" s="252">
        <f t="shared" si="49"/>
        <v>0</v>
      </c>
      <c r="I1520" s="252">
        <f t="shared" si="50"/>
        <v>0</v>
      </c>
      <c r="J1520" s="170" t="str">
        <f>IF(A1520="","",SUM($H$7:H1520)-SUM($I$7:I1520))</f>
        <v/>
      </c>
      <c r="K1520" s="34"/>
    </row>
    <row r="1521" spans="1:11" x14ac:dyDescent="0.2">
      <c r="A1521" s="44"/>
      <c r="B1521" s="44"/>
      <c r="C1521" s="35"/>
      <c r="D1521" s="44"/>
      <c r="E1521" s="44"/>
      <c r="F1521" s="44"/>
      <c r="G1521" s="130"/>
      <c r="H1521" s="252">
        <f t="shared" si="49"/>
        <v>0</v>
      </c>
      <c r="I1521" s="252">
        <f t="shared" si="50"/>
        <v>0</v>
      </c>
      <c r="J1521" s="170" t="str">
        <f>IF(A1521="","",SUM($H$7:H1521)-SUM($I$7:I1521))</f>
        <v/>
      </c>
      <c r="K1521" s="34"/>
    </row>
    <row r="1522" spans="1:11" x14ac:dyDescent="0.2">
      <c r="A1522" s="44"/>
      <c r="B1522" s="44"/>
      <c r="C1522" s="35"/>
      <c r="D1522" s="44"/>
      <c r="E1522" s="44"/>
      <c r="F1522" s="44"/>
      <c r="G1522" s="130"/>
      <c r="H1522" s="252">
        <f t="shared" si="49"/>
        <v>0</v>
      </c>
      <c r="I1522" s="252">
        <f t="shared" si="50"/>
        <v>0</v>
      </c>
      <c r="J1522" s="170" t="str">
        <f>IF(A1522="","",SUM($H$7:H1522)-SUM($I$7:I1522))</f>
        <v/>
      </c>
      <c r="K1522" s="34"/>
    </row>
    <row r="1523" spans="1:11" x14ac:dyDescent="0.2">
      <c r="A1523" s="44"/>
      <c r="B1523" s="44"/>
      <c r="C1523" s="35"/>
      <c r="D1523" s="44"/>
      <c r="E1523" s="44"/>
      <c r="F1523" s="44"/>
      <c r="G1523" s="130"/>
      <c r="H1523" s="252">
        <f t="shared" si="49"/>
        <v>0</v>
      </c>
      <c r="I1523" s="252">
        <f t="shared" si="50"/>
        <v>0</v>
      </c>
      <c r="J1523" s="170" t="str">
        <f>IF(A1523="","",SUM($H$7:H1523)-SUM($I$7:I1523))</f>
        <v/>
      </c>
      <c r="K1523" s="34"/>
    </row>
    <row r="1524" spans="1:11" x14ac:dyDescent="0.2">
      <c r="A1524" s="44"/>
      <c r="B1524" s="44"/>
      <c r="C1524" s="35"/>
      <c r="D1524" s="44"/>
      <c r="E1524" s="44"/>
      <c r="F1524" s="44"/>
      <c r="G1524" s="130"/>
      <c r="H1524" s="252">
        <f t="shared" si="49"/>
        <v>0</v>
      </c>
      <c r="I1524" s="252">
        <f t="shared" si="50"/>
        <v>0</v>
      </c>
      <c r="J1524" s="170" t="str">
        <f>IF(A1524="","",SUM($H$7:H1524)-SUM($I$7:I1524))</f>
        <v/>
      </c>
      <c r="K1524" s="34"/>
    </row>
    <row r="1525" spans="1:11" x14ac:dyDescent="0.2">
      <c r="A1525" s="44"/>
      <c r="B1525" s="44"/>
      <c r="C1525" s="35"/>
      <c r="D1525" s="44"/>
      <c r="E1525" s="44"/>
      <c r="F1525" s="44"/>
      <c r="G1525" s="130"/>
      <c r="H1525" s="252">
        <f t="shared" si="49"/>
        <v>0</v>
      </c>
      <c r="I1525" s="252">
        <f t="shared" si="50"/>
        <v>0</v>
      </c>
      <c r="J1525" s="170" t="str">
        <f>IF(A1525="","",SUM($H$7:H1525)-SUM($I$7:I1525))</f>
        <v/>
      </c>
      <c r="K1525" s="34"/>
    </row>
    <row r="1526" spans="1:11" x14ac:dyDescent="0.2">
      <c r="A1526" s="44"/>
      <c r="B1526" s="44"/>
      <c r="C1526" s="35"/>
      <c r="D1526" s="44"/>
      <c r="E1526" s="44"/>
      <c r="F1526" s="44"/>
      <c r="G1526" s="130"/>
      <c r="H1526" s="252">
        <f t="shared" ref="H1526:H1589" si="51">IF($C1526="Replenishment",$G1526,0)</f>
        <v>0</v>
      </c>
      <c r="I1526" s="252">
        <f t="shared" si="50"/>
        <v>0</v>
      </c>
      <c r="J1526" s="170" t="str">
        <f>IF(A1526="","",SUM($H$7:H1526)-SUM($I$7:I1526))</f>
        <v/>
      </c>
      <c r="K1526" s="34"/>
    </row>
    <row r="1527" spans="1:11" x14ac:dyDescent="0.2">
      <c r="A1527" s="44"/>
      <c r="B1527" s="44"/>
      <c r="C1527" s="35"/>
      <c r="D1527" s="44"/>
      <c r="E1527" s="44"/>
      <c r="F1527" s="44"/>
      <c r="G1527" s="130"/>
      <c r="H1527" s="252">
        <f t="shared" si="51"/>
        <v>0</v>
      </c>
      <c r="I1527" s="252">
        <f t="shared" si="50"/>
        <v>0</v>
      </c>
      <c r="J1527" s="170" t="str">
        <f>IF(A1527="","",SUM($H$7:H1527)-SUM($I$7:I1527))</f>
        <v/>
      </c>
      <c r="K1527" s="34"/>
    </row>
    <row r="1528" spans="1:11" x14ac:dyDescent="0.2">
      <c r="A1528" s="44"/>
      <c r="B1528" s="44"/>
      <c r="C1528" s="35"/>
      <c r="D1528" s="44"/>
      <c r="E1528" s="44"/>
      <c r="F1528" s="44"/>
      <c r="G1528" s="130"/>
      <c r="H1528" s="252">
        <f t="shared" si="51"/>
        <v>0</v>
      </c>
      <c r="I1528" s="252">
        <f t="shared" si="50"/>
        <v>0</v>
      </c>
      <c r="J1528" s="170" t="str">
        <f>IF(A1528="","",SUM($H$7:H1528)-SUM($I$7:I1528))</f>
        <v/>
      </c>
      <c r="K1528" s="34"/>
    </row>
    <row r="1529" spans="1:11" x14ac:dyDescent="0.2">
      <c r="A1529" s="44"/>
      <c r="B1529" s="44"/>
      <c r="C1529" s="35"/>
      <c r="D1529" s="44"/>
      <c r="E1529" s="44"/>
      <c r="F1529" s="44"/>
      <c r="G1529" s="130"/>
      <c r="H1529" s="252">
        <f t="shared" si="51"/>
        <v>0</v>
      </c>
      <c r="I1529" s="252">
        <f t="shared" si="50"/>
        <v>0</v>
      </c>
      <c r="J1529" s="170" t="str">
        <f>IF(A1529="","",SUM($H$7:H1529)-SUM($I$7:I1529))</f>
        <v/>
      </c>
      <c r="K1529" s="34"/>
    </row>
    <row r="1530" spans="1:11" x14ac:dyDescent="0.2">
      <c r="A1530" s="44"/>
      <c r="B1530" s="44"/>
      <c r="C1530" s="35"/>
      <c r="D1530" s="44"/>
      <c r="E1530" s="44"/>
      <c r="F1530" s="44"/>
      <c r="G1530" s="130"/>
      <c r="H1530" s="252">
        <f t="shared" si="51"/>
        <v>0</v>
      </c>
      <c r="I1530" s="252">
        <f t="shared" si="50"/>
        <v>0</v>
      </c>
      <c r="J1530" s="170" t="str">
        <f>IF(A1530="","",SUM($H$7:H1530)-SUM($I$7:I1530))</f>
        <v/>
      </c>
      <c r="K1530" s="34"/>
    </row>
    <row r="1531" spans="1:11" x14ac:dyDescent="0.2">
      <c r="A1531" s="44"/>
      <c r="B1531" s="44"/>
      <c r="C1531" s="35"/>
      <c r="D1531" s="44"/>
      <c r="E1531" s="44"/>
      <c r="F1531" s="44"/>
      <c r="G1531" s="130"/>
      <c r="H1531" s="252">
        <f t="shared" si="51"/>
        <v>0</v>
      </c>
      <c r="I1531" s="252">
        <f t="shared" si="50"/>
        <v>0</v>
      </c>
      <c r="J1531" s="170" t="str">
        <f>IF(A1531="","",SUM($H$7:H1531)-SUM($I$7:I1531))</f>
        <v/>
      </c>
      <c r="K1531" s="34"/>
    </row>
    <row r="1532" spans="1:11" x14ac:dyDescent="0.2">
      <c r="A1532" s="44"/>
      <c r="B1532" s="44"/>
      <c r="C1532" s="35"/>
      <c r="D1532" s="44"/>
      <c r="E1532" s="44"/>
      <c r="F1532" s="44"/>
      <c r="G1532" s="130"/>
      <c r="H1532" s="252">
        <f t="shared" si="51"/>
        <v>0</v>
      </c>
      <c r="I1532" s="252">
        <f t="shared" si="50"/>
        <v>0</v>
      </c>
      <c r="J1532" s="170" t="str">
        <f>IF(A1532="","",SUM($H$7:H1532)-SUM($I$7:I1532))</f>
        <v/>
      </c>
      <c r="K1532" s="34"/>
    </row>
    <row r="1533" spans="1:11" x14ac:dyDescent="0.2">
      <c r="A1533" s="44"/>
      <c r="B1533" s="44"/>
      <c r="C1533" s="35"/>
      <c r="D1533" s="44"/>
      <c r="E1533" s="44"/>
      <c r="F1533" s="44"/>
      <c r="G1533" s="130"/>
      <c r="H1533" s="252">
        <f t="shared" si="51"/>
        <v>0</v>
      </c>
      <c r="I1533" s="252">
        <f t="shared" si="50"/>
        <v>0</v>
      </c>
      <c r="J1533" s="170" t="str">
        <f>IF(A1533="","",SUM($H$7:H1533)-SUM($I$7:I1533))</f>
        <v/>
      </c>
      <c r="K1533" s="34"/>
    </row>
    <row r="1534" spans="1:11" x14ac:dyDescent="0.2">
      <c r="A1534" s="44"/>
      <c r="B1534" s="44"/>
      <c r="C1534" s="35"/>
      <c r="D1534" s="44"/>
      <c r="E1534" s="44"/>
      <c r="F1534" s="44"/>
      <c r="G1534" s="130"/>
      <c r="H1534" s="252">
        <f t="shared" si="51"/>
        <v>0</v>
      </c>
      <c r="I1534" s="252">
        <f t="shared" si="50"/>
        <v>0</v>
      </c>
      <c r="J1534" s="170" t="str">
        <f>IF(A1534="","",SUM($H$7:H1534)-SUM($I$7:I1534))</f>
        <v/>
      </c>
      <c r="K1534" s="34"/>
    </row>
    <row r="1535" spans="1:11" x14ac:dyDescent="0.2">
      <c r="A1535" s="44"/>
      <c r="B1535" s="44"/>
      <c r="C1535" s="35"/>
      <c r="D1535" s="44"/>
      <c r="E1535" s="44"/>
      <c r="F1535" s="44"/>
      <c r="G1535" s="130"/>
      <c r="H1535" s="252">
        <f t="shared" si="51"/>
        <v>0</v>
      </c>
      <c r="I1535" s="252">
        <f t="shared" si="50"/>
        <v>0</v>
      </c>
      <c r="J1535" s="170" t="str">
        <f>IF(A1535="","",SUM($H$7:H1535)-SUM($I$7:I1535))</f>
        <v/>
      </c>
      <c r="K1535" s="34"/>
    </row>
    <row r="1536" spans="1:11" x14ac:dyDescent="0.2">
      <c r="A1536" s="44"/>
      <c r="B1536" s="44"/>
      <c r="C1536" s="35"/>
      <c r="D1536" s="44"/>
      <c r="E1536" s="44"/>
      <c r="F1536" s="44"/>
      <c r="G1536" s="130"/>
      <c r="H1536" s="252">
        <f t="shared" si="51"/>
        <v>0</v>
      </c>
      <c r="I1536" s="252">
        <f t="shared" si="50"/>
        <v>0</v>
      </c>
      <c r="J1536" s="170" t="str">
        <f>IF(A1536="","",SUM($H$7:H1536)-SUM($I$7:I1536))</f>
        <v/>
      </c>
      <c r="K1536" s="34"/>
    </row>
    <row r="1537" spans="1:11" x14ac:dyDescent="0.2">
      <c r="A1537" s="44"/>
      <c r="B1537" s="44"/>
      <c r="C1537" s="35"/>
      <c r="D1537" s="44"/>
      <c r="E1537" s="44"/>
      <c r="F1537" s="44"/>
      <c r="G1537" s="130"/>
      <c r="H1537" s="252">
        <f t="shared" si="51"/>
        <v>0</v>
      </c>
      <c r="I1537" s="252">
        <f t="shared" si="50"/>
        <v>0</v>
      </c>
      <c r="J1537" s="170" t="str">
        <f>IF(A1537="","",SUM($H$7:H1537)-SUM($I$7:I1537))</f>
        <v/>
      </c>
      <c r="K1537" s="34"/>
    </row>
    <row r="1538" spans="1:11" x14ac:dyDescent="0.2">
      <c r="A1538" s="44"/>
      <c r="B1538" s="44"/>
      <c r="C1538" s="35"/>
      <c r="D1538" s="44"/>
      <c r="E1538" s="44"/>
      <c r="F1538" s="44"/>
      <c r="G1538" s="130"/>
      <c r="H1538" s="252">
        <f t="shared" si="51"/>
        <v>0</v>
      </c>
      <c r="I1538" s="252">
        <f t="shared" si="50"/>
        <v>0</v>
      </c>
      <c r="J1538" s="170" t="str">
        <f>IF(A1538="","",SUM($H$7:H1538)-SUM($I$7:I1538))</f>
        <v/>
      </c>
      <c r="K1538" s="34"/>
    </row>
    <row r="1539" spans="1:11" x14ac:dyDescent="0.2">
      <c r="A1539" s="44"/>
      <c r="B1539" s="44"/>
      <c r="C1539" s="35"/>
      <c r="D1539" s="44"/>
      <c r="E1539" s="44"/>
      <c r="F1539" s="44"/>
      <c r="G1539" s="130"/>
      <c r="H1539" s="252">
        <f t="shared" si="51"/>
        <v>0</v>
      </c>
      <c r="I1539" s="252">
        <f t="shared" si="50"/>
        <v>0</v>
      </c>
      <c r="J1539" s="170" t="str">
        <f>IF(A1539="","",SUM($H$7:H1539)-SUM($I$7:I1539))</f>
        <v/>
      </c>
      <c r="K1539" s="34"/>
    </row>
    <row r="1540" spans="1:11" x14ac:dyDescent="0.2">
      <c r="A1540" s="44"/>
      <c r="B1540" s="44"/>
      <c r="C1540" s="35"/>
      <c r="D1540" s="44"/>
      <c r="E1540" s="44"/>
      <c r="F1540" s="44"/>
      <c r="G1540" s="130"/>
      <c r="H1540" s="252">
        <f t="shared" si="51"/>
        <v>0</v>
      </c>
      <c r="I1540" s="252">
        <f t="shared" si="50"/>
        <v>0</v>
      </c>
      <c r="J1540" s="170" t="str">
        <f>IF(A1540="","",SUM($H$7:H1540)-SUM($I$7:I1540))</f>
        <v/>
      </c>
      <c r="K1540" s="34"/>
    </row>
    <row r="1541" spans="1:11" x14ac:dyDescent="0.2">
      <c r="A1541" s="44"/>
      <c r="B1541" s="44"/>
      <c r="C1541" s="35"/>
      <c r="D1541" s="44"/>
      <c r="E1541" s="44"/>
      <c r="F1541" s="44"/>
      <c r="G1541" s="130"/>
      <c r="H1541" s="252">
        <f t="shared" si="51"/>
        <v>0</v>
      </c>
      <c r="I1541" s="252">
        <f t="shared" si="50"/>
        <v>0</v>
      </c>
      <c r="J1541" s="170" t="str">
        <f>IF(A1541="","",SUM($H$7:H1541)-SUM($I$7:I1541))</f>
        <v/>
      </c>
      <c r="K1541" s="34"/>
    </row>
    <row r="1542" spans="1:11" x14ac:dyDescent="0.2">
      <c r="A1542" s="44"/>
      <c r="B1542" s="44"/>
      <c r="C1542" s="35"/>
      <c r="D1542" s="44"/>
      <c r="E1542" s="44"/>
      <c r="F1542" s="44"/>
      <c r="G1542" s="130"/>
      <c r="H1542" s="252">
        <f t="shared" si="51"/>
        <v>0</v>
      </c>
      <c r="I1542" s="252">
        <f t="shared" si="50"/>
        <v>0</v>
      </c>
      <c r="J1542" s="170" t="str">
        <f>IF(A1542="","",SUM($H$7:H1542)-SUM($I$7:I1542))</f>
        <v/>
      </c>
      <c r="K1542" s="34"/>
    </row>
    <row r="1543" spans="1:11" x14ac:dyDescent="0.2">
      <c r="A1543" s="44"/>
      <c r="B1543" s="44"/>
      <c r="C1543" s="35"/>
      <c r="D1543" s="44"/>
      <c r="E1543" s="44"/>
      <c r="F1543" s="44"/>
      <c r="G1543" s="130"/>
      <c r="H1543" s="252">
        <f t="shared" si="51"/>
        <v>0</v>
      </c>
      <c r="I1543" s="252">
        <f t="shared" ref="I1543:I1606" si="52">IF($C1543="Replenishment",0,$G1543)</f>
        <v>0</v>
      </c>
      <c r="J1543" s="170" t="str">
        <f>IF(A1543="","",SUM($H$7:H1543)-SUM($I$7:I1543))</f>
        <v/>
      </c>
      <c r="K1543" s="34"/>
    </row>
    <row r="1544" spans="1:11" x14ac:dyDescent="0.2">
      <c r="A1544" s="44"/>
      <c r="B1544" s="44"/>
      <c r="C1544" s="35"/>
      <c r="D1544" s="44"/>
      <c r="E1544" s="44"/>
      <c r="F1544" s="44"/>
      <c r="G1544" s="130"/>
      <c r="H1544" s="252">
        <f t="shared" si="51"/>
        <v>0</v>
      </c>
      <c r="I1544" s="252">
        <f t="shared" si="52"/>
        <v>0</v>
      </c>
      <c r="J1544" s="170" t="str">
        <f>IF(A1544="","",SUM($H$7:H1544)-SUM($I$7:I1544))</f>
        <v/>
      </c>
      <c r="K1544" s="34"/>
    </row>
    <row r="1545" spans="1:11" x14ac:dyDescent="0.2">
      <c r="A1545" s="44"/>
      <c r="B1545" s="44"/>
      <c r="C1545" s="35"/>
      <c r="D1545" s="44"/>
      <c r="E1545" s="44"/>
      <c r="F1545" s="44"/>
      <c r="G1545" s="130"/>
      <c r="H1545" s="252">
        <f t="shared" si="51"/>
        <v>0</v>
      </c>
      <c r="I1545" s="252">
        <f t="shared" si="52"/>
        <v>0</v>
      </c>
      <c r="J1545" s="170" t="str">
        <f>IF(A1545="","",SUM($H$7:H1545)-SUM($I$7:I1545))</f>
        <v/>
      </c>
      <c r="K1545" s="34"/>
    </row>
    <row r="1546" spans="1:11" x14ac:dyDescent="0.2">
      <c r="A1546" s="44"/>
      <c r="B1546" s="44"/>
      <c r="C1546" s="35"/>
      <c r="D1546" s="44"/>
      <c r="E1546" s="44"/>
      <c r="F1546" s="44"/>
      <c r="G1546" s="130"/>
      <c r="H1546" s="252">
        <f t="shared" si="51"/>
        <v>0</v>
      </c>
      <c r="I1546" s="252">
        <f t="shared" si="52"/>
        <v>0</v>
      </c>
      <c r="J1546" s="170" t="str">
        <f>IF(A1546="","",SUM($H$7:H1546)-SUM($I$7:I1546))</f>
        <v/>
      </c>
      <c r="K1546" s="34"/>
    </row>
    <row r="1547" spans="1:11" x14ac:dyDescent="0.2">
      <c r="A1547" s="44"/>
      <c r="B1547" s="44"/>
      <c r="C1547" s="35"/>
      <c r="D1547" s="44"/>
      <c r="E1547" s="44"/>
      <c r="F1547" s="44"/>
      <c r="G1547" s="130"/>
      <c r="H1547" s="252">
        <f t="shared" si="51"/>
        <v>0</v>
      </c>
      <c r="I1547" s="252">
        <f t="shared" si="52"/>
        <v>0</v>
      </c>
      <c r="J1547" s="170" t="str">
        <f>IF(A1547="","",SUM($H$7:H1547)-SUM($I$7:I1547))</f>
        <v/>
      </c>
      <c r="K1547" s="34"/>
    </row>
    <row r="1548" spans="1:11" x14ac:dyDescent="0.2">
      <c r="A1548" s="44"/>
      <c r="B1548" s="44"/>
      <c r="C1548" s="35"/>
      <c r="D1548" s="44"/>
      <c r="E1548" s="44"/>
      <c r="F1548" s="44"/>
      <c r="G1548" s="130"/>
      <c r="H1548" s="252">
        <f t="shared" si="51"/>
        <v>0</v>
      </c>
      <c r="I1548" s="252">
        <f t="shared" si="52"/>
        <v>0</v>
      </c>
      <c r="J1548" s="170" t="str">
        <f>IF(A1548="","",SUM($H$7:H1548)-SUM($I$7:I1548))</f>
        <v/>
      </c>
      <c r="K1548" s="34"/>
    </row>
    <row r="1549" spans="1:11" x14ac:dyDescent="0.2">
      <c r="A1549" s="44"/>
      <c r="B1549" s="44"/>
      <c r="C1549" s="35"/>
      <c r="D1549" s="44"/>
      <c r="E1549" s="44"/>
      <c r="F1549" s="44"/>
      <c r="G1549" s="130"/>
      <c r="H1549" s="252">
        <f t="shared" si="51"/>
        <v>0</v>
      </c>
      <c r="I1549" s="252">
        <f t="shared" si="52"/>
        <v>0</v>
      </c>
      <c r="J1549" s="170" t="str">
        <f>IF(A1549="","",SUM($H$7:H1549)-SUM($I$7:I1549))</f>
        <v/>
      </c>
      <c r="K1549" s="34"/>
    </row>
    <row r="1550" spans="1:11" x14ac:dyDescent="0.2">
      <c r="A1550" s="44"/>
      <c r="B1550" s="44"/>
      <c r="C1550" s="35"/>
      <c r="D1550" s="44"/>
      <c r="E1550" s="44"/>
      <c r="F1550" s="44"/>
      <c r="G1550" s="130"/>
      <c r="H1550" s="252">
        <f t="shared" si="51"/>
        <v>0</v>
      </c>
      <c r="I1550" s="252">
        <f t="shared" si="52"/>
        <v>0</v>
      </c>
      <c r="J1550" s="170" t="str">
        <f>IF(A1550="","",SUM($H$7:H1550)-SUM($I$7:I1550))</f>
        <v/>
      </c>
      <c r="K1550" s="34"/>
    </row>
    <row r="1551" spans="1:11" x14ac:dyDescent="0.2">
      <c r="A1551" s="44"/>
      <c r="B1551" s="44"/>
      <c r="C1551" s="35"/>
      <c r="D1551" s="44"/>
      <c r="E1551" s="44"/>
      <c r="F1551" s="44"/>
      <c r="G1551" s="130"/>
      <c r="H1551" s="252">
        <f t="shared" si="51"/>
        <v>0</v>
      </c>
      <c r="I1551" s="252">
        <f t="shared" si="52"/>
        <v>0</v>
      </c>
      <c r="J1551" s="170" t="str">
        <f>IF(A1551="","",SUM($H$7:H1551)-SUM($I$7:I1551))</f>
        <v/>
      </c>
      <c r="K1551" s="34"/>
    </row>
    <row r="1552" spans="1:11" x14ac:dyDescent="0.2">
      <c r="A1552" s="44"/>
      <c r="B1552" s="44"/>
      <c r="C1552" s="35"/>
      <c r="D1552" s="44"/>
      <c r="E1552" s="44"/>
      <c r="F1552" s="44"/>
      <c r="G1552" s="130"/>
      <c r="H1552" s="252">
        <f t="shared" si="51"/>
        <v>0</v>
      </c>
      <c r="I1552" s="252">
        <f t="shared" si="52"/>
        <v>0</v>
      </c>
      <c r="J1552" s="170" t="str">
        <f>IF(A1552="","",SUM($H$7:H1552)-SUM($I$7:I1552))</f>
        <v/>
      </c>
      <c r="K1552" s="34"/>
    </row>
    <row r="1553" spans="1:11" x14ac:dyDescent="0.2">
      <c r="A1553" s="44"/>
      <c r="B1553" s="44"/>
      <c r="C1553" s="35"/>
      <c r="D1553" s="44"/>
      <c r="E1553" s="44"/>
      <c r="F1553" s="44"/>
      <c r="G1553" s="130"/>
      <c r="H1553" s="252">
        <f t="shared" si="51"/>
        <v>0</v>
      </c>
      <c r="I1553" s="252">
        <f t="shared" si="52"/>
        <v>0</v>
      </c>
      <c r="J1553" s="170" t="str">
        <f>IF(A1553="","",SUM($H$7:H1553)-SUM($I$7:I1553))</f>
        <v/>
      </c>
      <c r="K1553" s="34"/>
    </row>
    <row r="1554" spans="1:11" x14ac:dyDescent="0.2">
      <c r="A1554" s="44"/>
      <c r="B1554" s="44"/>
      <c r="C1554" s="35"/>
      <c r="D1554" s="44"/>
      <c r="E1554" s="44"/>
      <c r="F1554" s="44"/>
      <c r="G1554" s="130"/>
      <c r="H1554" s="252">
        <f t="shared" si="51"/>
        <v>0</v>
      </c>
      <c r="I1554" s="252">
        <f t="shared" si="52"/>
        <v>0</v>
      </c>
      <c r="J1554" s="170" t="str">
        <f>IF(A1554="","",SUM($H$7:H1554)-SUM($I$7:I1554))</f>
        <v/>
      </c>
      <c r="K1554" s="34"/>
    </row>
    <row r="1555" spans="1:11" x14ac:dyDescent="0.2">
      <c r="A1555" s="44"/>
      <c r="B1555" s="44"/>
      <c r="C1555" s="35"/>
      <c r="D1555" s="44"/>
      <c r="E1555" s="44"/>
      <c r="F1555" s="44"/>
      <c r="G1555" s="130"/>
      <c r="H1555" s="252">
        <f t="shared" si="51"/>
        <v>0</v>
      </c>
      <c r="I1555" s="252">
        <f t="shared" si="52"/>
        <v>0</v>
      </c>
      <c r="J1555" s="170" t="str">
        <f>IF(A1555="","",SUM($H$7:H1555)-SUM($I$7:I1555))</f>
        <v/>
      </c>
      <c r="K1555" s="34"/>
    </row>
    <row r="1556" spans="1:11" x14ac:dyDescent="0.2">
      <c r="A1556" s="44"/>
      <c r="B1556" s="44"/>
      <c r="C1556" s="35"/>
      <c r="D1556" s="44"/>
      <c r="E1556" s="44"/>
      <c r="F1556" s="44"/>
      <c r="G1556" s="130"/>
      <c r="H1556" s="252">
        <f t="shared" si="51"/>
        <v>0</v>
      </c>
      <c r="I1556" s="252">
        <f t="shared" si="52"/>
        <v>0</v>
      </c>
      <c r="J1556" s="170" t="str">
        <f>IF(A1556="","",SUM($H$7:H1556)-SUM($I$7:I1556))</f>
        <v/>
      </c>
      <c r="K1556" s="34"/>
    </row>
    <row r="1557" spans="1:11" x14ac:dyDescent="0.2">
      <c r="A1557" s="44"/>
      <c r="B1557" s="44"/>
      <c r="C1557" s="35"/>
      <c r="D1557" s="44"/>
      <c r="E1557" s="44"/>
      <c r="F1557" s="44"/>
      <c r="G1557" s="130"/>
      <c r="H1557" s="252">
        <f t="shared" si="51"/>
        <v>0</v>
      </c>
      <c r="I1557" s="252">
        <f t="shared" si="52"/>
        <v>0</v>
      </c>
      <c r="J1557" s="170" t="str">
        <f>IF(A1557="","",SUM($H$7:H1557)-SUM($I$7:I1557))</f>
        <v/>
      </c>
      <c r="K1557" s="34"/>
    </row>
    <row r="1558" spans="1:11" x14ac:dyDescent="0.2">
      <c r="A1558" s="44"/>
      <c r="B1558" s="44"/>
      <c r="C1558" s="35"/>
      <c r="D1558" s="44"/>
      <c r="E1558" s="44"/>
      <c r="F1558" s="44"/>
      <c r="G1558" s="130"/>
      <c r="H1558" s="252">
        <f t="shared" si="51"/>
        <v>0</v>
      </c>
      <c r="I1558" s="252">
        <f t="shared" si="52"/>
        <v>0</v>
      </c>
      <c r="J1558" s="170" t="str">
        <f>IF(A1558="","",SUM($H$7:H1558)-SUM($I$7:I1558))</f>
        <v/>
      </c>
      <c r="K1558" s="34"/>
    </row>
    <row r="1559" spans="1:11" x14ac:dyDescent="0.2">
      <c r="A1559" s="44"/>
      <c r="B1559" s="44"/>
      <c r="C1559" s="35"/>
      <c r="D1559" s="44"/>
      <c r="E1559" s="44"/>
      <c r="F1559" s="44"/>
      <c r="G1559" s="130"/>
      <c r="H1559" s="252">
        <f t="shared" si="51"/>
        <v>0</v>
      </c>
      <c r="I1559" s="252">
        <f t="shared" si="52"/>
        <v>0</v>
      </c>
      <c r="J1559" s="170" t="str">
        <f>IF(A1559="","",SUM($H$7:H1559)-SUM($I$7:I1559))</f>
        <v/>
      </c>
      <c r="K1559" s="34"/>
    </row>
    <row r="1560" spans="1:11" x14ac:dyDescent="0.2">
      <c r="A1560" s="44"/>
      <c r="B1560" s="44"/>
      <c r="C1560" s="35"/>
      <c r="D1560" s="44"/>
      <c r="E1560" s="44"/>
      <c r="F1560" s="44"/>
      <c r="G1560" s="130"/>
      <c r="H1560" s="252">
        <f t="shared" si="51"/>
        <v>0</v>
      </c>
      <c r="I1560" s="252">
        <f t="shared" si="52"/>
        <v>0</v>
      </c>
      <c r="J1560" s="170" t="str">
        <f>IF(A1560="","",SUM($H$7:H1560)-SUM($I$7:I1560))</f>
        <v/>
      </c>
      <c r="K1560" s="34"/>
    </row>
    <row r="1561" spans="1:11" x14ac:dyDescent="0.2">
      <c r="A1561" s="44"/>
      <c r="B1561" s="44"/>
      <c r="C1561" s="35"/>
      <c r="D1561" s="44"/>
      <c r="E1561" s="44"/>
      <c r="F1561" s="44"/>
      <c r="G1561" s="130"/>
      <c r="H1561" s="252">
        <f t="shared" si="51"/>
        <v>0</v>
      </c>
      <c r="I1561" s="252">
        <f t="shared" si="52"/>
        <v>0</v>
      </c>
      <c r="J1561" s="170" t="str">
        <f>IF(A1561="","",SUM($H$7:H1561)-SUM($I$7:I1561))</f>
        <v/>
      </c>
      <c r="K1561" s="34"/>
    </row>
    <row r="1562" spans="1:11" x14ac:dyDescent="0.2">
      <c r="A1562" s="44"/>
      <c r="B1562" s="44"/>
      <c r="C1562" s="35"/>
      <c r="D1562" s="44"/>
      <c r="E1562" s="44"/>
      <c r="F1562" s="44"/>
      <c r="G1562" s="130"/>
      <c r="H1562" s="252">
        <f t="shared" si="51"/>
        <v>0</v>
      </c>
      <c r="I1562" s="252">
        <f t="shared" si="52"/>
        <v>0</v>
      </c>
      <c r="J1562" s="170" t="str">
        <f>IF(A1562="","",SUM($H$7:H1562)-SUM($I$7:I1562))</f>
        <v/>
      </c>
      <c r="K1562" s="34"/>
    </row>
    <row r="1563" spans="1:11" x14ac:dyDescent="0.2">
      <c r="A1563" s="44"/>
      <c r="B1563" s="44"/>
      <c r="C1563" s="35"/>
      <c r="D1563" s="44"/>
      <c r="E1563" s="44"/>
      <c r="F1563" s="44"/>
      <c r="G1563" s="130"/>
      <c r="H1563" s="252">
        <f t="shared" si="51"/>
        <v>0</v>
      </c>
      <c r="I1563" s="252">
        <f t="shared" si="52"/>
        <v>0</v>
      </c>
      <c r="J1563" s="170" t="str">
        <f>IF(A1563="","",SUM($H$7:H1563)-SUM($I$7:I1563))</f>
        <v/>
      </c>
      <c r="K1563" s="34"/>
    </row>
    <row r="1564" spans="1:11" x14ac:dyDescent="0.2">
      <c r="A1564" s="44"/>
      <c r="B1564" s="44"/>
      <c r="C1564" s="35"/>
      <c r="D1564" s="44"/>
      <c r="E1564" s="44"/>
      <c r="F1564" s="44"/>
      <c r="G1564" s="130"/>
      <c r="H1564" s="252">
        <f t="shared" si="51"/>
        <v>0</v>
      </c>
      <c r="I1564" s="252">
        <f t="shared" si="52"/>
        <v>0</v>
      </c>
      <c r="J1564" s="170" t="str">
        <f>IF(A1564="","",SUM($H$7:H1564)-SUM($I$7:I1564))</f>
        <v/>
      </c>
      <c r="K1564" s="34"/>
    </row>
    <row r="1565" spans="1:11" x14ac:dyDescent="0.2">
      <c r="A1565" s="44"/>
      <c r="B1565" s="44"/>
      <c r="C1565" s="35"/>
      <c r="D1565" s="44"/>
      <c r="E1565" s="44"/>
      <c r="F1565" s="44"/>
      <c r="G1565" s="130"/>
      <c r="H1565" s="252">
        <f t="shared" si="51"/>
        <v>0</v>
      </c>
      <c r="I1565" s="252">
        <f t="shared" si="52"/>
        <v>0</v>
      </c>
      <c r="J1565" s="170" t="str">
        <f>IF(A1565="","",SUM($H$7:H1565)-SUM($I$7:I1565))</f>
        <v/>
      </c>
      <c r="K1565" s="34"/>
    </row>
    <row r="1566" spans="1:11" x14ac:dyDescent="0.2">
      <c r="A1566" s="44"/>
      <c r="B1566" s="44"/>
      <c r="C1566" s="35"/>
      <c r="D1566" s="44"/>
      <c r="E1566" s="44"/>
      <c r="F1566" s="44"/>
      <c r="G1566" s="130"/>
      <c r="H1566" s="252">
        <f t="shared" si="51"/>
        <v>0</v>
      </c>
      <c r="I1566" s="252">
        <f t="shared" si="52"/>
        <v>0</v>
      </c>
      <c r="J1566" s="170" t="str">
        <f>IF(A1566="","",SUM($H$7:H1566)-SUM($I$7:I1566))</f>
        <v/>
      </c>
      <c r="K1566" s="34"/>
    </row>
    <row r="1567" spans="1:11" x14ac:dyDescent="0.2">
      <c r="A1567" s="44"/>
      <c r="B1567" s="44"/>
      <c r="C1567" s="35"/>
      <c r="D1567" s="44"/>
      <c r="E1567" s="44"/>
      <c r="F1567" s="44"/>
      <c r="G1567" s="130"/>
      <c r="H1567" s="252">
        <f t="shared" si="51"/>
        <v>0</v>
      </c>
      <c r="I1567" s="252">
        <f t="shared" si="52"/>
        <v>0</v>
      </c>
      <c r="J1567" s="170" t="str">
        <f>IF(A1567="","",SUM($H$7:H1567)-SUM($I$7:I1567))</f>
        <v/>
      </c>
      <c r="K1567" s="34"/>
    </row>
    <row r="1568" spans="1:11" x14ac:dyDescent="0.2">
      <c r="A1568" s="44"/>
      <c r="B1568" s="44"/>
      <c r="C1568" s="35"/>
      <c r="D1568" s="44"/>
      <c r="E1568" s="44"/>
      <c r="F1568" s="44"/>
      <c r="G1568" s="130"/>
      <c r="H1568" s="252">
        <f t="shared" si="51"/>
        <v>0</v>
      </c>
      <c r="I1568" s="252">
        <f t="shared" si="52"/>
        <v>0</v>
      </c>
      <c r="J1568" s="170" t="str">
        <f>IF(A1568="","",SUM($H$7:H1568)-SUM($I$7:I1568))</f>
        <v/>
      </c>
      <c r="K1568" s="34"/>
    </row>
    <row r="1569" spans="1:11" x14ac:dyDescent="0.2">
      <c r="A1569" s="44"/>
      <c r="B1569" s="44"/>
      <c r="C1569" s="35"/>
      <c r="D1569" s="44"/>
      <c r="E1569" s="44"/>
      <c r="F1569" s="44"/>
      <c r="G1569" s="130"/>
      <c r="H1569" s="252">
        <f t="shared" si="51"/>
        <v>0</v>
      </c>
      <c r="I1569" s="252">
        <f t="shared" si="52"/>
        <v>0</v>
      </c>
      <c r="J1569" s="170" t="str">
        <f>IF(A1569="","",SUM($H$7:H1569)-SUM($I$7:I1569))</f>
        <v/>
      </c>
      <c r="K1569" s="34"/>
    </row>
    <row r="1570" spans="1:11" x14ac:dyDescent="0.2">
      <c r="A1570" s="44"/>
      <c r="B1570" s="44"/>
      <c r="C1570" s="35"/>
      <c r="D1570" s="44"/>
      <c r="E1570" s="44"/>
      <c r="F1570" s="44"/>
      <c r="G1570" s="130"/>
      <c r="H1570" s="252">
        <f t="shared" si="51"/>
        <v>0</v>
      </c>
      <c r="I1570" s="252">
        <f t="shared" si="52"/>
        <v>0</v>
      </c>
      <c r="J1570" s="170" t="str">
        <f>IF(A1570="","",SUM($H$7:H1570)-SUM($I$7:I1570))</f>
        <v/>
      </c>
      <c r="K1570" s="34"/>
    </row>
    <row r="1571" spans="1:11" x14ac:dyDescent="0.2">
      <c r="A1571" s="44"/>
      <c r="B1571" s="44"/>
      <c r="C1571" s="35"/>
      <c r="D1571" s="44"/>
      <c r="E1571" s="44"/>
      <c r="F1571" s="44"/>
      <c r="G1571" s="130"/>
      <c r="H1571" s="252">
        <f t="shared" si="51"/>
        <v>0</v>
      </c>
      <c r="I1571" s="252">
        <f t="shared" si="52"/>
        <v>0</v>
      </c>
      <c r="J1571" s="170" t="str">
        <f>IF(A1571="","",SUM($H$7:H1571)-SUM($I$7:I1571))</f>
        <v/>
      </c>
      <c r="K1571" s="34"/>
    </row>
    <row r="1572" spans="1:11" x14ac:dyDescent="0.2">
      <c r="A1572" s="44"/>
      <c r="B1572" s="44"/>
      <c r="C1572" s="35"/>
      <c r="D1572" s="44"/>
      <c r="E1572" s="44"/>
      <c r="F1572" s="44"/>
      <c r="G1572" s="130"/>
      <c r="H1572" s="252">
        <f t="shared" si="51"/>
        <v>0</v>
      </c>
      <c r="I1572" s="252">
        <f t="shared" si="52"/>
        <v>0</v>
      </c>
      <c r="J1572" s="170" t="str">
        <f>IF(A1572="","",SUM($H$7:H1572)-SUM($I$7:I1572))</f>
        <v/>
      </c>
      <c r="K1572" s="34"/>
    </row>
    <row r="1573" spans="1:11" x14ac:dyDescent="0.2">
      <c r="A1573" s="44"/>
      <c r="B1573" s="44"/>
      <c r="C1573" s="35"/>
      <c r="D1573" s="44"/>
      <c r="E1573" s="44"/>
      <c r="F1573" s="44"/>
      <c r="G1573" s="130"/>
      <c r="H1573" s="252">
        <f t="shared" si="51"/>
        <v>0</v>
      </c>
      <c r="I1573" s="252">
        <f t="shared" si="52"/>
        <v>0</v>
      </c>
      <c r="J1573" s="170" t="str">
        <f>IF(A1573="","",SUM($H$7:H1573)-SUM($I$7:I1573))</f>
        <v/>
      </c>
      <c r="K1573" s="34"/>
    </row>
    <row r="1574" spans="1:11" x14ac:dyDescent="0.2">
      <c r="A1574" s="44"/>
      <c r="B1574" s="44"/>
      <c r="C1574" s="35"/>
      <c r="D1574" s="44"/>
      <c r="E1574" s="44"/>
      <c r="F1574" s="44"/>
      <c r="G1574" s="130"/>
      <c r="H1574" s="252">
        <f t="shared" si="51"/>
        <v>0</v>
      </c>
      <c r="I1574" s="252">
        <f t="shared" si="52"/>
        <v>0</v>
      </c>
      <c r="J1574" s="170" t="str">
        <f>IF(A1574="","",SUM($H$7:H1574)-SUM($I$7:I1574))</f>
        <v/>
      </c>
      <c r="K1574" s="34"/>
    </row>
    <row r="1575" spans="1:11" x14ac:dyDescent="0.2">
      <c r="A1575" s="44"/>
      <c r="B1575" s="44"/>
      <c r="C1575" s="35"/>
      <c r="D1575" s="44"/>
      <c r="E1575" s="44"/>
      <c r="F1575" s="44"/>
      <c r="G1575" s="130"/>
      <c r="H1575" s="252">
        <f t="shared" si="51"/>
        <v>0</v>
      </c>
      <c r="I1575" s="252">
        <f t="shared" si="52"/>
        <v>0</v>
      </c>
      <c r="J1575" s="170" t="str">
        <f>IF(A1575="","",SUM($H$7:H1575)-SUM($I$7:I1575))</f>
        <v/>
      </c>
      <c r="K1575" s="34"/>
    </row>
    <row r="1576" spans="1:11" x14ac:dyDescent="0.2">
      <c r="A1576" s="44"/>
      <c r="B1576" s="44"/>
      <c r="C1576" s="35"/>
      <c r="D1576" s="44"/>
      <c r="E1576" s="44"/>
      <c r="F1576" s="44"/>
      <c r="G1576" s="130"/>
      <c r="H1576" s="252">
        <f t="shared" si="51"/>
        <v>0</v>
      </c>
      <c r="I1576" s="252">
        <f t="shared" si="52"/>
        <v>0</v>
      </c>
      <c r="J1576" s="170" t="str">
        <f>IF(A1576="","",SUM($H$7:H1576)-SUM($I$7:I1576))</f>
        <v/>
      </c>
      <c r="K1576" s="34"/>
    </row>
    <row r="1577" spans="1:11" x14ac:dyDescent="0.2">
      <c r="A1577" s="44"/>
      <c r="B1577" s="44"/>
      <c r="C1577" s="35"/>
      <c r="D1577" s="44"/>
      <c r="E1577" s="44"/>
      <c r="F1577" s="44"/>
      <c r="G1577" s="130"/>
      <c r="H1577" s="252">
        <f t="shared" si="51"/>
        <v>0</v>
      </c>
      <c r="I1577" s="252">
        <f t="shared" si="52"/>
        <v>0</v>
      </c>
      <c r="J1577" s="170" t="str">
        <f>IF(A1577="","",SUM($H$7:H1577)-SUM($I$7:I1577))</f>
        <v/>
      </c>
      <c r="K1577" s="34"/>
    </row>
    <row r="1578" spans="1:11" x14ac:dyDescent="0.2">
      <c r="A1578" s="44"/>
      <c r="B1578" s="44"/>
      <c r="C1578" s="35"/>
      <c r="D1578" s="44"/>
      <c r="E1578" s="44"/>
      <c r="F1578" s="44"/>
      <c r="G1578" s="130"/>
      <c r="H1578" s="252">
        <f t="shared" si="51"/>
        <v>0</v>
      </c>
      <c r="I1578" s="252">
        <f t="shared" si="52"/>
        <v>0</v>
      </c>
      <c r="J1578" s="170" t="str">
        <f>IF(A1578="","",SUM($H$7:H1578)-SUM($I$7:I1578))</f>
        <v/>
      </c>
      <c r="K1578" s="34"/>
    </row>
    <row r="1579" spans="1:11" x14ac:dyDescent="0.2">
      <c r="A1579" s="44"/>
      <c r="B1579" s="44"/>
      <c r="C1579" s="35"/>
      <c r="D1579" s="44"/>
      <c r="E1579" s="44"/>
      <c r="F1579" s="44"/>
      <c r="G1579" s="130"/>
      <c r="H1579" s="252">
        <f t="shared" si="51"/>
        <v>0</v>
      </c>
      <c r="I1579" s="252">
        <f t="shared" si="52"/>
        <v>0</v>
      </c>
      <c r="J1579" s="170" t="str">
        <f>IF(A1579="","",SUM($H$7:H1579)-SUM($I$7:I1579))</f>
        <v/>
      </c>
      <c r="K1579" s="34"/>
    </row>
    <row r="1580" spans="1:11" x14ac:dyDescent="0.2">
      <c r="A1580" s="44"/>
      <c r="B1580" s="44"/>
      <c r="C1580" s="35"/>
      <c r="D1580" s="44"/>
      <c r="E1580" s="44"/>
      <c r="F1580" s="44"/>
      <c r="G1580" s="130"/>
      <c r="H1580" s="252">
        <f t="shared" si="51"/>
        <v>0</v>
      </c>
      <c r="I1580" s="252">
        <f t="shared" si="52"/>
        <v>0</v>
      </c>
      <c r="J1580" s="170" t="str">
        <f>IF(A1580="","",SUM($H$7:H1580)-SUM($I$7:I1580))</f>
        <v/>
      </c>
      <c r="K1580" s="34"/>
    </row>
    <row r="1581" spans="1:11" x14ac:dyDescent="0.2">
      <c r="A1581" s="44"/>
      <c r="B1581" s="44"/>
      <c r="C1581" s="35"/>
      <c r="D1581" s="44"/>
      <c r="E1581" s="44"/>
      <c r="F1581" s="44"/>
      <c r="G1581" s="130"/>
      <c r="H1581" s="252">
        <f t="shared" si="51"/>
        <v>0</v>
      </c>
      <c r="I1581" s="252">
        <f t="shared" si="52"/>
        <v>0</v>
      </c>
      <c r="J1581" s="170" t="str">
        <f>IF(A1581="","",SUM($H$7:H1581)-SUM($I$7:I1581))</f>
        <v/>
      </c>
      <c r="K1581" s="34"/>
    </row>
    <row r="1582" spans="1:11" x14ac:dyDescent="0.2">
      <c r="A1582" s="44"/>
      <c r="B1582" s="44"/>
      <c r="C1582" s="35"/>
      <c r="D1582" s="44"/>
      <c r="E1582" s="44"/>
      <c r="F1582" s="44"/>
      <c r="G1582" s="130"/>
      <c r="H1582" s="252">
        <f t="shared" si="51"/>
        <v>0</v>
      </c>
      <c r="I1582" s="252">
        <f t="shared" si="52"/>
        <v>0</v>
      </c>
      <c r="J1582" s="170" t="str">
        <f>IF(A1582="","",SUM($H$7:H1582)-SUM($I$7:I1582))</f>
        <v/>
      </c>
      <c r="K1582" s="34"/>
    </row>
    <row r="1583" spans="1:11" x14ac:dyDescent="0.2">
      <c r="A1583" s="44"/>
      <c r="B1583" s="44"/>
      <c r="C1583" s="35"/>
      <c r="D1583" s="44"/>
      <c r="E1583" s="44"/>
      <c r="F1583" s="44"/>
      <c r="G1583" s="130"/>
      <c r="H1583" s="252">
        <f t="shared" si="51"/>
        <v>0</v>
      </c>
      <c r="I1583" s="252">
        <f t="shared" si="52"/>
        <v>0</v>
      </c>
      <c r="J1583" s="170" t="str">
        <f>IF(A1583="","",SUM($H$7:H1583)-SUM($I$7:I1583))</f>
        <v/>
      </c>
      <c r="K1583" s="34"/>
    </row>
    <row r="1584" spans="1:11" x14ac:dyDescent="0.2">
      <c r="A1584" s="44"/>
      <c r="B1584" s="44"/>
      <c r="C1584" s="35"/>
      <c r="D1584" s="44"/>
      <c r="E1584" s="44"/>
      <c r="F1584" s="44"/>
      <c r="G1584" s="130"/>
      <c r="H1584" s="252">
        <f t="shared" si="51"/>
        <v>0</v>
      </c>
      <c r="I1584" s="252">
        <f t="shared" si="52"/>
        <v>0</v>
      </c>
      <c r="J1584" s="170" t="str">
        <f>IF(A1584="","",SUM($H$7:H1584)-SUM($I$7:I1584))</f>
        <v/>
      </c>
      <c r="K1584" s="34"/>
    </row>
    <row r="1585" spans="1:11" x14ac:dyDescent="0.2">
      <c r="A1585" s="44"/>
      <c r="B1585" s="44"/>
      <c r="C1585" s="35"/>
      <c r="D1585" s="44"/>
      <c r="E1585" s="44"/>
      <c r="F1585" s="44"/>
      <c r="G1585" s="130"/>
      <c r="H1585" s="252">
        <f t="shared" si="51"/>
        <v>0</v>
      </c>
      <c r="I1585" s="252">
        <f t="shared" si="52"/>
        <v>0</v>
      </c>
      <c r="J1585" s="170" t="str">
        <f>IF(A1585="","",SUM($H$7:H1585)-SUM($I$7:I1585))</f>
        <v/>
      </c>
      <c r="K1585" s="34"/>
    </row>
    <row r="1586" spans="1:11" x14ac:dyDescent="0.2">
      <c r="A1586" s="44"/>
      <c r="B1586" s="44"/>
      <c r="C1586" s="35"/>
      <c r="D1586" s="44"/>
      <c r="E1586" s="44"/>
      <c r="F1586" s="44"/>
      <c r="G1586" s="130"/>
      <c r="H1586" s="252">
        <f t="shared" si="51"/>
        <v>0</v>
      </c>
      <c r="I1586" s="252">
        <f t="shared" si="52"/>
        <v>0</v>
      </c>
      <c r="J1586" s="170" t="str">
        <f>IF(A1586="","",SUM($H$7:H1586)-SUM($I$7:I1586))</f>
        <v/>
      </c>
      <c r="K1586" s="34"/>
    </row>
    <row r="1587" spans="1:11" x14ac:dyDescent="0.2">
      <c r="A1587" s="44"/>
      <c r="B1587" s="44"/>
      <c r="C1587" s="35"/>
      <c r="D1587" s="44"/>
      <c r="E1587" s="44"/>
      <c r="F1587" s="44"/>
      <c r="G1587" s="130"/>
      <c r="H1587" s="252">
        <f t="shared" si="51"/>
        <v>0</v>
      </c>
      <c r="I1587" s="252">
        <f t="shared" si="52"/>
        <v>0</v>
      </c>
      <c r="J1587" s="170" t="str">
        <f>IF(A1587="","",SUM($H$7:H1587)-SUM($I$7:I1587))</f>
        <v/>
      </c>
      <c r="K1587" s="34"/>
    </row>
    <row r="1588" spans="1:11" x14ac:dyDescent="0.2">
      <c r="A1588" s="44"/>
      <c r="B1588" s="44"/>
      <c r="C1588" s="35"/>
      <c r="D1588" s="44"/>
      <c r="E1588" s="44"/>
      <c r="F1588" s="44"/>
      <c r="G1588" s="130"/>
      <c r="H1588" s="252">
        <f t="shared" si="51"/>
        <v>0</v>
      </c>
      <c r="I1588" s="252">
        <f t="shared" si="52"/>
        <v>0</v>
      </c>
      <c r="J1588" s="170" t="str">
        <f>IF(A1588="","",SUM($H$7:H1588)-SUM($I$7:I1588))</f>
        <v/>
      </c>
      <c r="K1588" s="34"/>
    </row>
    <row r="1589" spans="1:11" x14ac:dyDescent="0.2">
      <c r="A1589" s="44"/>
      <c r="B1589" s="44"/>
      <c r="C1589" s="35"/>
      <c r="D1589" s="44"/>
      <c r="E1589" s="44"/>
      <c r="F1589" s="44"/>
      <c r="G1589" s="130"/>
      <c r="H1589" s="252">
        <f t="shared" si="51"/>
        <v>0</v>
      </c>
      <c r="I1589" s="252">
        <f t="shared" si="52"/>
        <v>0</v>
      </c>
      <c r="J1589" s="170" t="str">
        <f>IF(A1589="","",SUM($H$7:H1589)-SUM($I$7:I1589))</f>
        <v/>
      </c>
      <c r="K1589" s="34"/>
    </row>
    <row r="1590" spans="1:11" x14ac:dyDescent="0.2">
      <c r="A1590" s="44"/>
      <c r="B1590" s="44"/>
      <c r="C1590" s="35"/>
      <c r="D1590" s="44"/>
      <c r="E1590" s="44"/>
      <c r="F1590" s="44"/>
      <c r="G1590" s="130"/>
      <c r="H1590" s="252">
        <f t="shared" ref="H1590:H1653" si="53">IF($C1590="Replenishment",$G1590,0)</f>
        <v>0</v>
      </c>
      <c r="I1590" s="252">
        <f t="shared" si="52"/>
        <v>0</v>
      </c>
      <c r="J1590" s="170" t="str">
        <f>IF(A1590="","",SUM($H$7:H1590)-SUM($I$7:I1590))</f>
        <v/>
      </c>
      <c r="K1590" s="34"/>
    </row>
    <row r="1591" spans="1:11" x14ac:dyDescent="0.2">
      <c r="A1591" s="44"/>
      <c r="B1591" s="44"/>
      <c r="C1591" s="35"/>
      <c r="D1591" s="44"/>
      <c r="E1591" s="44"/>
      <c r="F1591" s="44"/>
      <c r="G1591" s="130"/>
      <c r="H1591" s="252">
        <f t="shared" si="53"/>
        <v>0</v>
      </c>
      <c r="I1591" s="252">
        <f t="shared" si="52"/>
        <v>0</v>
      </c>
      <c r="J1591" s="170" t="str">
        <f>IF(A1591="","",SUM($H$7:H1591)-SUM($I$7:I1591))</f>
        <v/>
      </c>
      <c r="K1591" s="34"/>
    </row>
    <row r="1592" spans="1:11" x14ac:dyDescent="0.2">
      <c r="A1592" s="44"/>
      <c r="B1592" s="44"/>
      <c r="C1592" s="35"/>
      <c r="D1592" s="44"/>
      <c r="E1592" s="44"/>
      <c r="F1592" s="44"/>
      <c r="G1592" s="130"/>
      <c r="H1592" s="252">
        <f t="shared" si="53"/>
        <v>0</v>
      </c>
      <c r="I1592" s="252">
        <f t="shared" si="52"/>
        <v>0</v>
      </c>
      <c r="J1592" s="170" t="str">
        <f>IF(A1592="","",SUM($H$7:H1592)-SUM($I$7:I1592))</f>
        <v/>
      </c>
      <c r="K1592" s="34"/>
    </row>
    <row r="1593" spans="1:11" x14ac:dyDescent="0.2">
      <c r="A1593" s="44"/>
      <c r="B1593" s="44"/>
      <c r="C1593" s="35"/>
      <c r="D1593" s="44"/>
      <c r="E1593" s="44"/>
      <c r="F1593" s="44"/>
      <c r="G1593" s="130"/>
      <c r="H1593" s="252">
        <f t="shared" si="53"/>
        <v>0</v>
      </c>
      <c r="I1593" s="252">
        <f t="shared" si="52"/>
        <v>0</v>
      </c>
      <c r="J1593" s="170" t="str">
        <f>IF(A1593="","",SUM($H$7:H1593)-SUM($I$7:I1593))</f>
        <v/>
      </c>
      <c r="K1593" s="34"/>
    </row>
    <row r="1594" spans="1:11" x14ac:dyDescent="0.2">
      <c r="A1594" s="44"/>
      <c r="B1594" s="44"/>
      <c r="C1594" s="35"/>
      <c r="D1594" s="44"/>
      <c r="E1594" s="44"/>
      <c r="F1594" s="44"/>
      <c r="G1594" s="130"/>
      <c r="H1594" s="252">
        <f t="shared" si="53"/>
        <v>0</v>
      </c>
      <c r="I1594" s="252">
        <f t="shared" si="52"/>
        <v>0</v>
      </c>
      <c r="J1594" s="170" t="str">
        <f>IF(A1594="","",SUM($H$7:H1594)-SUM($I$7:I1594))</f>
        <v/>
      </c>
      <c r="K1594" s="34"/>
    </row>
    <row r="1595" spans="1:11" x14ac:dyDescent="0.2">
      <c r="A1595" s="44"/>
      <c r="B1595" s="44"/>
      <c r="C1595" s="35"/>
      <c r="D1595" s="44"/>
      <c r="E1595" s="44"/>
      <c r="F1595" s="44"/>
      <c r="G1595" s="130"/>
      <c r="H1595" s="252">
        <f t="shared" si="53"/>
        <v>0</v>
      </c>
      <c r="I1595" s="252">
        <f t="shared" si="52"/>
        <v>0</v>
      </c>
      <c r="J1595" s="170" t="str">
        <f>IF(A1595="","",SUM($H$7:H1595)-SUM($I$7:I1595))</f>
        <v/>
      </c>
      <c r="K1595" s="34"/>
    </row>
    <row r="1596" spans="1:11" x14ac:dyDescent="0.2">
      <c r="A1596" s="44"/>
      <c r="B1596" s="44"/>
      <c r="C1596" s="35"/>
      <c r="D1596" s="44"/>
      <c r="E1596" s="44"/>
      <c r="F1596" s="44"/>
      <c r="G1596" s="130"/>
      <c r="H1596" s="252">
        <f t="shared" si="53"/>
        <v>0</v>
      </c>
      <c r="I1596" s="252">
        <f t="shared" si="52"/>
        <v>0</v>
      </c>
      <c r="J1596" s="170" t="str">
        <f>IF(A1596="","",SUM($H$7:H1596)-SUM($I$7:I1596))</f>
        <v/>
      </c>
      <c r="K1596" s="34"/>
    </row>
    <row r="1597" spans="1:11" x14ac:dyDescent="0.2">
      <c r="A1597" s="44"/>
      <c r="B1597" s="44"/>
      <c r="C1597" s="35"/>
      <c r="D1597" s="44"/>
      <c r="E1597" s="44"/>
      <c r="F1597" s="44"/>
      <c r="G1597" s="130"/>
      <c r="H1597" s="252">
        <f t="shared" si="53"/>
        <v>0</v>
      </c>
      <c r="I1597" s="252">
        <f t="shared" si="52"/>
        <v>0</v>
      </c>
      <c r="J1597" s="170" t="str">
        <f>IF(A1597="","",SUM($H$7:H1597)-SUM($I$7:I1597))</f>
        <v/>
      </c>
      <c r="K1597" s="34"/>
    </row>
    <row r="1598" spans="1:11" x14ac:dyDescent="0.2">
      <c r="A1598" s="44"/>
      <c r="B1598" s="44"/>
      <c r="C1598" s="35"/>
      <c r="D1598" s="44"/>
      <c r="E1598" s="44"/>
      <c r="F1598" s="44"/>
      <c r="G1598" s="130"/>
      <c r="H1598" s="252">
        <f t="shared" si="53"/>
        <v>0</v>
      </c>
      <c r="I1598" s="252">
        <f t="shared" si="52"/>
        <v>0</v>
      </c>
      <c r="J1598" s="170" t="str">
        <f>IF(A1598="","",SUM($H$7:H1598)-SUM($I$7:I1598))</f>
        <v/>
      </c>
      <c r="K1598" s="34"/>
    </row>
    <row r="1599" spans="1:11" x14ac:dyDescent="0.2">
      <c r="A1599" s="44"/>
      <c r="B1599" s="44"/>
      <c r="C1599" s="35"/>
      <c r="D1599" s="44"/>
      <c r="E1599" s="44"/>
      <c r="F1599" s="44"/>
      <c r="G1599" s="130"/>
      <c r="H1599" s="252">
        <f t="shared" si="53"/>
        <v>0</v>
      </c>
      <c r="I1599" s="252">
        <f t="shared" si="52"/>
        <v>0</v>
      </c>
      <c r="J1599" s="170" t="str">
        <f>IF(A1599="","",SUM($H$7:H1599)-SUM($I$7:I1599))</f>
        <v/>
      </c>
      <c r="K1599" s="34"/>
    </row>
    <row r="1600" spans="1:11" x14ac:dyDescent="0.2">
      <c r="A1600" s="44"/>
      <c r="B1600" s="44"/>
      <c r="C1600" s="35"/>
      <c r="D1600" s="44"/>
      <c r="E1600" s="44"/>
      <c r="F1600" s="44"/>
      <c r="G1600" s="130"/>
      <c r="H1600" s="252">
        <f t="shared" si="53"/>
        <v>0</v>
      </c>
      <c r="I1600" s="252">
        <f t="shared" si="52"/>
        <v>0</v>
      </c>
      <c r="J1600" s="170" t="str">
        <f>IF(A1600="","",SUM($H$7:H1600)-SUM($I$7:I1600))</f>
        <v/>
      </c>
      <c r="K1600" s="34"/>
    </row>
    <row r="1601" spans="1:11" x14ac:dyDescent="0.2">
      <c r="A1601" s="44"/>
      <c r="B1601" s="44"/>
      <c r="C1601" s="35"/>
      <c r="D1601" s="44"/>
      <c r="E1601" s="44"/>
      <c r="F1601" s="44"/>
      <c r="G1601" s="130"/>
      <c r="H1601" s="252">
        <f t="shared" si="53"/>
        <v>0</v>
      </c>
      <c r="I1601" s="252">
        <f t="shared" si="52"/>
        <v>0</v>
      </c>
      <c r="J1601" s="170" t="str">
        <f>IF(A1601="","",SUM($H$7:H1601)-SUM($I$7:I1601))</f>
        <v/>
      </c>
      <c r="K1601" s="34"/>
    </row>
    <row r="1602" spans="1:11" x14ac:dyDescent="0.2">
      <c r="A1602" s="44"/>
      <c r="B1602" s="44"/>
      <c r="C1602" s="35"/>
      <c r="D1602" s="44"/>
      <c r="E1602" s="44"/>
      <c r="F1602" s="44"/>
      <c r="G1602" s="130"/>
      <c r="H1602" s="252">
        <f t="shared" si="53"/>
        <v>0</v>
      </c>
      <c r="I1602" s="252">
        <f t="shared" si="52"/>
        <v>0</v>
      </c>
      <c r="J1602" s="170" t="str">
        <f>IF(A1602="","",SUM($H$7:H1602)-SUM($I$7:I1602))</f>
        <v/>
      </c>
      <c r="K1602" s="34"/>
    </row>
    <row r="1603" spans="1:11" x14ac:dyDescent="0.2">
      <c r="A1603" s="44"/>
      <c r="B1603" s="44"/>
      <c r="C1603" s="35"/>
      <c r="D1603" s="44"/>
      <c r="E1603" s="44"/>
      <c r="F1603" s="44"/>
      <c r="G1603" s="130"/>
      <c r="H1603" s="252">
        <f t="shared" si="53"/>
        <v>0</v>
      </c>
      <c r="I1603" s="252">
        <f t="shared" si="52"/>
        <v>0</v>
      </c>
      <c r="J1603" s="170" t="str">
        <f>IF(A1603="","",SUM($H$7:H1603)-SUM($I$7:I1603))</f>
        <v/>
      </c>
      <c r="K1603" s="34"/>
    </row>
    <row r="1604" spans="1:11" x14ac:dyDescent="0.2">
      <c r="A1604" s="44"/>
      <c r="B1604" s="44"/>
      <c r="C1604" s="35"/>
      <c r="D1604" s="44"/>
      <c r="E1604" s="44"/>
      <c r="F1604" s="44"/>
      <c r="G1604" s="130"/>
      <c r="H1604" s="252">
        <f t="shared" si="53"/>
        <v>0</v>
      </c>
      <c r="I1604" s="252">
        <f t="shared" si="52"/>
        <v>0</v>
      </c>
      <c r="J1604" s="170" t="str">
        <f>IF(A1604="","",SUM($H$7:H1604)-SUM($I$7:I1604))</f>
        <v/>
      </c>
      <c r="K1604" s="34"/>
    </row>
    <row r="1605" spans="1:11" x14ac:dyDescent="0.2">
      <c r="A1605" s="44"/>
      <c r="B1605" s="44"/>
      <c r="C1605" s="35"/>
      <c r="D1605" s="44"/>
      <c r="E1605" s="44"/>
      <c r="F1605" s="44"/>
      <c r="G1605" s="130"/>
      <c r="H1605" s="252">
        <f t="shared" si="53"/>
        <v>0</v>
      </c>
      <c r="I1605" s="252">
        <f t="shared" si="52"/>
        <v>0</v>
      </c>
      <c r="J1605" s="170" t="str">
        <f>IF(A1605="","",SUM($H$7:H1605)-SUM($I$7:I1605))</f>
        <v/>
      </c>
      <c r="K1605" s="34"/>
    </row>
    <row r="1606" spans="1:11" x14ac:dyDescent="0.2">
      <c r="A1606" s="44"/>
      <c r="B1606" s="44"/>
      <c r="C1606" s="35"/>
      <c r="D1606" s="44"/>
      <c r="E1606" s="44"/>
      <c r="F1606" s="44"/>
      <c r="G1606" s="130"/>
      <c r="H1606" s="252">
        <f t="shared" si="53"/>
        <v>0</v>
      </c>
      <c r="I1606" s="252">
        <f t="shared" si="52"/>
        <v>0</v>
      </c>
      <c r="J1606" s="170" t="str">
        <f>IF(A1606="","",SUM($H$7:H1606)-SUM($I$7:I1606))</f>
        <v/>
      </c>
      <c r="K1606" s="34"/>
    </row>
    <row r="1607" spans="1:11" x14ac:dyDescent="0.2">
      <c r="A1607" s="44"/>
      <c r="B1607" s="44"/>
      <c r="C1607" s="35"/>
      <c r="D1607" s="44"/>
      <c r="E1607" s="44"/>
      <c r="F1607" s="44"/>
      <c r="G1607" s="130"/>
      <c r="H1607" s="252">
        <f t="shared" si="53"/>
        <v>0</v>
      </c>
      <c r="I1607" s="252">
        <f t="shared" ref="I1607:I1670" si="54">IF($C1607="Replenishment",0,$G1607)</f>
        <v>0</v>
      </c>
      <c r="J1607" s="170" t="str">
        <f>IF(A1607="","",SUM($H$7:H1607)-SUM($I$7:I1607))</f>
        <v/>
      </c>
      <c r="K1607" s="34"/>
    </row>
    <row r="1608" spans="1:11" x14ac:dyDescent="0.2">
      <c r="A1608" s="44"/>
      <c r="B1608" s="44"/>
      <c r="C1608" s="35"/>
      <c r="D1608" s="44"/>
      <c r="E1608" s="44"/>
      <c r="F1608" s="44"/>
      <c r="G1608" s="130"/>
      <c r="H1608" s="252">
        <f t="shared" si="53"/>
        <v>0</v>
      </c>
      <c r="I1608" s="252">
        <f t="shared" si="54"/>
        <v>0</v>
      </c>
      <c r="J1608" s="170" t="str">
        <f>IF(A1608="","",SUM($H$7:H1608)-SUM($I$7:I1608))</f>
        <v/>
      </c>
      <c r="K1608" s="34"/>
    </row>
    <row r="1609" spans="1:11" x14ac:dyDescent="0.2">
      <c r="A1609" s="44"/>
      <c r="B1609" s="44"/>
      <c r="C1609" s="35"/>
      <c r="D1609" s="44"/>
      <c r="E1609" s="44"/>
      <c r="F1609" s="44"/>
      <c r="G1609" s="130"/>
      <c r="H1609" s="252">
        <f t="shared" si="53"/>
        <v>0</v>
      </c>
      <c r="I1609" s="252">
        <f t="shared" si="54"/>
        <v>0</v>
      </c>
      <c r="J1609" s="170" t="str">
        <f>IF(A1609="","",SUM($H$7:H1609)-SUM($I$7:I1609))</f>
        <v/>
      </c>
      <c r="K1609" s="34"/>
    </row>
    <row r="1610" spans="1:11" x14ac:dyDescent="0.2">
      <c r="A1610" s="44"/>
      <c r="B1610" s="44"/>
      <c r="C1610" s="35"/>
      <c r="D1610" s="44"/>
      <c r="E1610" s="44"/>
      <c r="F1610" s="44"/>
      <c r="G1610" s="130"/>
      <c r="H1610" s="252">
        <f t="shared" si="53"/>
        <v>0</v>
      </c>
      <c r="I1610" s="252">
        <f t="shared" si="54"/>
        <v>0</v>
      </c>
      <c r="J1610" s="170" t="str">
        <f>IF(A1610="","",SUM($H$7:H1610)-SUM($I$7:I1610))</f>
        <v/>
      </c>
      <c r="K1610" s="34"/>
    </row>
    <row r="1611" spans="1:11" x14ac:dyDescent="0.2">
      <c r="A1611" s="44"/>
      <c r="B1611" s="44"/>
      <c r="C1611" s="35"/>
      <c r="D1611" s="44"/>
      <c r="E1611" s="44"/>
      <c r="F1611" s="44"/>
      <c r="G1611" s="130"/>
      <c r="H1611" s="252">
        <f t="shared" si="53"/>
        <v>0</v>
      </c>
      <c r="I1611" s="252">
        <f t="shared" si="54"/>
        <v>0</v>
      </c>
      <c r="J1611" s="170" t="str">
        <f>IF(A1611="","",SUM($H$7:H1611)-SUM($I$7:I1611))</f>
        <v/>
      </c>
      <c r="K1611" s="34"/>
    </row>
    <row r="1612" spans="1:11" x14ac:dyDescent="0.2">
      <c r="A1612" s="44"/>
      <c r="B1612" s="44"/>
      <c r="C1612" s="35"/>
      <c r="D1612" s="44"/>
      <c r="E1612" s="44"/>
      <c r="F1612" s="44"/>
      <c r="G1612" s="130"/>
      <c r="H1612" s="252">
        <f t="shared" si="53"/>
        <v>0</v>
      </c>
      <c r="I1612" s="252">
        <f t="shared" si="54"/>
        <v>0</v>
      </c>
      <c r="J1612" s="170" t="str">
        <f>IF(A1612="","",SUM($H$7:H1612)-SUM($I$7:I1612))</f>
        <v/>
      </c>
      <c r="K1612" s="34"/>
    </row>
    <row r="1613" spans="1:11" x14ac:dyDescent="0.2">
      <c r="A1613" s="44"/>
      <c r="B1613" s="44"/>
      <c r="C1613" s="35"/>
      <c r="D1613" s="44"/>
      <c r="E1613" s="44"/>
      <c r="F1613" s="44"/>
      <c r="G1613" s="130"/>
      <c r="H1613" s="252">
        <f t="shared" si="53"/>
        <v>0</v>
      </c>
      <c r="I1613" s="252">
        <f t="shared" si="54"/>
        <v>0</v>
      </c>
      <c r="J1613" s="170" t="str">
        <f>IF(A1613="","",SUM($H$7:H1613)-SUM($I$7:I1613))</f>
        <v/>
      </c>
      <c r="K1613" s="34"/>
    </row>
    <row r="1614" spans="1:11" x14ac:dyDescent="0.2">
      <c r="A1614" s="44"/>
      <c r="B1614" s="44"/>
      <c r="C1614" s="35"/>
      <c r="D1614" s="44"/>
      <c r="E1614" s="44"/>
      <c r="F1614" s="44"/>
      <c r="G1614" s="130"/>
      <c r="H1614" s="252">
        <f t="shared" si="53"/>
        <v>0</v>
      </c>
      <c r="I1614" s="252">
        <f t="shared" si="54"/>
        <v>0</v>
      </c>
      <c r="J1614" s="170" t="str">
        <f>IF(A1614="","",SUM($H$7:H1614)-SUM($I$7:I1614))</f>
        <v/>
      </c>
      <c r="K1614" s="34"/>
    </row>
    <row r="1615" spans="1:11" x14ac:dyDescent="0.2">
      <c r="A1615" s="44"/>
      <c r="B1615" s="44"/>
      <c r="C1615" s="35"/>
      <c r="D1615" s="44"/>
      <c r="E1615" s="44"/>
      <c r="F1615" s="44"/>
      <c r="G1615" s="130"/>
      <c r="H1615" s="252">
        <f t="shared" si="53"/>
        <v>0</v>
      </c>
      <c r="I1615" s="252">
        <f t="shared" si="54"/>
        <v>0</v>
      </c>
      <c r="J1615" s="170" t="str">
        <f>IF(A1615="","",SUM($H$7:H1615)-SUM($I$7:I1615))</f>
        <v/>
      </c>
      <c r="K1615" s="34"/>
    </row>
    <row r="1616" spans="1:11" x14ac:dyDescent="0.2">
      <c r="A1616" s="44"/>
      <c r="B1616" s="44"/>
      <c r="C1616" s="35"/>
      <c r="D1616" s="44"/>
      <c r="E1616" s="44"/>
      <c r="F1616" s="44"/>
      <c r="G1616" s="130"/>
      <c r="H1616" s="252">
        <f t="shared" si="53"/>
        <v>0</v>
      </c>
      <c r="I1616" s="252">
        <f t="shared" si="54"/>
        <v>0</v>
      </c>
      <c r="J1616" s="170" t="str">
        <f>IF(A1616="","",SUM($H$7:H1616)-SUM($I$7:I1616))</f>
        <v/>
      </c>
      <c r="K1616" s="34"/>
    </row>
    <row r="1617" spans="1:11" x14ac:dyDescent="0.2">
      <c r="A1617" s="44"/>
      <c r="B1617" s="44"/>
      <c r="C1617" s="35"/>
      <c r="D1617" s="44"/>
      <c r="E1617" s="44"/>
      <c r="F1617" s="44"/>
      <c r="G1617" s="130"/>
      <c r="H1617" s="252">
        <f t="shared" si="53"/>
        <v>0</v>
      </c>
      <c r="I1617" s="252">
        <f t="shared" si="54"/>
        <v>0</v>
      </c>
      <c r="J1617" s="170" t="str">
        <f>IF(A1617="","",SUM($H$7:H1617)-SUM($I$7:I1617))</f>
        <v/>
      </c>
      <c r="K1617" s="34"/>
    </row>
    <row r="1618" spans="1:11" x14ac:dyDescent="0.2">
      <c r="A1618" s="44"/>
      <c r="B1618" s="44"/>
      <c r="C1618" s="35"/>
      <c r="D1618" s="44"/>
      <c r="E1618" s="44"/>
      <c r="F1618" s="44"/>
      <c r="G1618" s="130"/>
      <c r="H1618" s="252">
        <f t="shared" si="53"/>
        <v>0</v>
      </c>
      <c r="I1618" s="252">
        <f t="shared" si="54"/>
        <v>0</v>
      </c>
      <c r="J1618" s="170" t="str">
        <f>IF(A1618="","",SUM($H$7:H1618)-SUM($I$7:I1618))</f>
        <v/>
      </c>
      <c r="K1618" s="34"/>
    </row>
    <row r="1619" spans="1:11" x14ac:dyDescent="0.2">
      <c r="A1619" s="44"/>
      <c r="B1619" s="44"/>
      <c r="C1619" s="35"/>
      <c r="D1619" s="44"/>
      <c r="E1619" s="44"/>
      <c r="F1619" s="44"/>
      <c r="G1619" s="130"/>
      <c r="H1619" s="252">
        <f t="shared" si="53"/>
        <v>0</v>
      </c>
      <c r="I1619" s="252">
        <f t="shared" si="54"/>
        <v>0</v>
      </c>
      <c r="J1619" s="170" t="str">
        <f>IF(A1619="","",SUM($H$7:H1619)-SUM($I$7:I1619))</f>
        <v/>
      </c>
      <c r="K1619" s="34"/>
    </row>
    <row r="1620" spans="1:11" x14ac:dyDescent="0.2">
      <c r="A1620" s="44"/>
      <c r="B1620" s="44"/>
      <c r="C1620" s="35"/>
      <c r="D1620" s="44"/>
      <c r="E1620" s="44"/>
      <c r="F1620" s="44"/>
      <c r="G1620" s="130"/>
      <c r="H1620" s="252">
        <f t="shared" si="53"/>
        <v>0</v>
      </c>
      <c r="I1620" s="252">
        <f t="shared" si="54"/>
        <v>0</v>
      </c>
      <c r="J1620" s="170" t="str">
        <f>IF(A1620="","",SUM($H$7:H1620)-SUM($I$7:I1620))</f>
        <v/>
      </c>
      <c r="K1620" s="34"/>
    </row>
    <row r="1621" spans="1:11" x14ac:dyDescent="0.2">
      <c r="A1621" s="44"/>
      <c r="B1621" s="44"/>
      <c r="C1621" s="35"/>
      <c r="D1621" s="44"/>
      <c r="E1621" s="44"/>
      <c r="F1621" s="44"/>
      <c r="G1621" s="130"/>
      <c r="H1621" s="252">
        <f t="shared" si="53"/>
        <v>0</v>
      </c>
      <c r="I1621" s="252">
        <f t="shared" si="54"/>
        <v>0</v>
      </c>
      <c r="J1621" s="170" t="str">
        <f>IF(A1621="","",SUM($H$7:H1621)-SUM($I$7:I1621))</f>
        <v/>
      </c>
      <c r="K1621" s="34"/>
    </row>
    <row r="1622" spans="1:11" x14ac:dyDescent="0.2">
      <c r="A1622" s="44"/>
      <c r="B1622" s="44"/>
      <c r="C1622" s="35"/>
      <c r="D1622" s="44"/>
      <c r="E1622" s="44"/>
      <c r="F1622" s="44"/>
      <c r="G1622" s="130"/>
      <c r="H1622" s="252">
        <f t="shared" si="53"/>
        <v>0</v>
      </c>
      <c r="I1622" s="252">
        <f t="shared" si="54"/>
        <v>0</v>
      </c>
      <c r="J1622" s="170" t="str">
        <f>IF(A1622="","",SUM($H$7:H1622)-SUM($I$7:I1622))</f>
        <v/>
      </c>
      <c r="K1622" s="34"/>
    </row>
    <row r="1623" spans="1:11" x14ac:dyDescent="0.2">
      <c r="A1623" s="44"/>
      <c r="B1623" s="44"/>
      <c r="C1623" s="35"/>
      <c r="D1623" s="44"/>
      <c r="E1623" s="44"/>
      <c r="F1623" s="44"/>
      <c r="G1623" s="130"/>
      <c r="H1623" s="252">
        <f t="shared" si="53"/>
        <v>0</v>
      </c>
      <c r="I1623" s="252">
        <f t="shared" si="54"/>
        <v>0</v>
      </c>
      <c r="J1623" s="170" t="str">
        <f>IF(A1623="","",SUM($H$7:H1623)-SUM($I$7:I1623))</f>
        <v/>
      </c>
      <c r="K1623" s="34"/>
    </row>
    <row r="1624" spans="1:11" x14ac:dyDescent="0.2">
      <c r="A1624" s="44"/>
      <c r="B1624" s="44"/>
      <c r="C1624" s="35"/>
      <c r="D1624" s="44"/>
      <c r="E1624" s="44"/>
      <c r="F1624" s="44"/>
      <c r="G1624" s="130"/>
      <c r="H1624" s="252">
        <f t="shared" si="53"/>
        <v>0</v>
      </c>
      <c r="I1624" s="252">
        <f t="shared" si="54"/>
        <v>0</v>
      </c>
      <c r="J1624" s="170" t="str">
        <f>IF(A1624="","",SUM($H$7:H1624)-SUM($I$7:I1624))</f>
        <v/>
      </c>
      <c r="K1624" s="34"/>
    </row>
    <row r="1625" spans="1:11" x14ac:dyDescent="0.2">
      <c r="A1625" s="44"/>
      <c r="B1625" s="44"/>
      <c r="C1625" s="35"/>
      <c r="D1625" s="44"/>
      <c r="E1625" s="44"/>
      <c r="F1625" s="44"/>
      <c r="G1625" s="130"/>
      <c r="H1625" s="252">
        <f t="shared" si="53"/>
        <v>0</v>
      </c>
      <c r="I1625" s="252">
        <f t="shared" si="54"/>
        <v>0</v>
      </c>
      <c r="J1625" s="170" t="str">
        <f>IF(A1625="","",SUM($H$7:H1625)-SUM($I$7:I1625))</f>
        <v/>
      </c>
      <c r="K1625" s="34"/>
    </row>
    <row r="1626" spans="1:11" x14ac:dyDescent="0.2">
      <c r="A1626" s="44"/>
      <c r="B1626" s="44"/>
      <c r="C1626" s="35"/>
      <c r="D1626" s="44"/>
      <c r="E1626" s="44"/>
      <c r="F1626" s="44"/>
      <c r="G1626" s="130"/>
      <c r="H1626" s="252">
        <f t="shared" si="53"/>
        <v>0</v>
      </c>
      <c r="I1626" s="252">
        <f t="shared" si="54"/>
        <v>0</v>
      </c>
      <c r="J1626" s="170" t="str">
        <f>IF(A1626="","",SUM($H$7:H1626)-SUM($I$7:I1626))</f>
        <v/>
      </c>
      <c r="K1626" s="34"/>
    </row>
    <row r="1627" spans="1:11" x14ac:dyDescent="0.2">
      <c r="A1627" s="44"/>
      <c r="B1627" s="44"/>
      <c r="C1627" s="35"/>
      <c r="D1627" s="44"/>
      <c r="E1627" s="44"/>
      <c r="F1627" s="44"/>
      <c r="G1627" s="130"/>
      <c r="H1627" s="252">
        <f t="shared" si="53"/>
        <v>0</v>
      </c>
      <c r="I1627" s="252">
        <f t="shared" si="54"/>
        <v>0</v>
      </c>
      <c r="J1627" s="170" t="str">
        <f>IF(A1627="","",SUM($H$7:H1627)-SUM($I$7:I1627))</f>
        <v/>
      </c>
      <c r="K1627" s="34"/>
    </row>
    <row r="1628" spans="1:11" x14ac:dyDescent="0.2">
      <c r="A1628" s="44"/>
      <c r="B1628" s="44"/>
      <c r="C1628" s="35"/>
      <c r="D1628" s="44"/>
      <c r="E1628" s="44"/>
      <c r="F1628" s="44"/>
      <c r="G1628" s="130"/>
      <c r="H1628" s="252">
        <f t="shared" si="53"/>
        <v>0</v>
      </c>
      <c r="I1628" s="252">
        <f t="shared" si="54"/>
        <v>0</v>
      </c>
      <c r="J1628" s="170" t="str">
        <f>IF(A1628="","",SUM($H$7:H1628)-SUM($I$7:I1628))</f>
        <v/>
      </c>
      <c r="K1628" s="34"/>
    </row>
    <row r="1629" spans="1:11" x14ac:dyDescent="0.2">
      <c r="A1629" s="44"/>
      <c r="B1629" s="44"/>
      <c r="C1629" s="35"/>
      <c r="D1629" s="44"/>
      <c r="E1629" s="44"/>
      <c r="F1629" s="44"/>
      <c r="G1629" s="130"/>
      <c r="H1629" s="252">
        <f t="shared" si="53"/>
        <v>0</v>
      </c>
      <c r="I1629" s="252">
        <f t="shared" si="54"/>
        <v>0</v>
      </c>
      <c r="J1629" s="170" t="str">
        <f>IF(A1629="","",SUM($H$7:H1629)-SUM($I$7:I1629))</f>
        <v/>
      </c>
      <c r="K1629" s="34"/>
    </row>
    <row r="1630" spans="1:11" x14ac:dyDescent="0.2">
      <c r="A1630" s="44"/>
      <c r="B1630" s="44"/>
      <c r="C1630" s="35"/>
      <c r="D1630" s="44"/>
      <c r="E1630" s="44"/>
      <c r="F1630" s="44"/>
      <c r="G1630" s="130"/>
      <c r="H1630" s="252">
        <f t="shared" si="53"/>
        <v>0</v>
      </c>
      <c r="I1630" s="252">
        <f t="shared" si="54"/>
        <v>0</v>
      </c>
      <c r="J1630" s="170" t="str">
        <f>IF(A1630="","",SUM($H$7:H1630)-SUM($I$7:I1630))</f>
        <v/>
      </c>
      <c r="K1630" s="34"/>
    </row>
    <row r="1631" spans="1:11" x14ac:dyDescent="0.2">
      <c r="A1631" s="44"/>
      <c r="B1631" s="44"/>
      <c r="C1631" s="35"/>
      <c r="D1631" s="44"/>
      <c r="E1631" s="44"/>
      <c r="F1631" s="44"/>
      <c r="G1631" s="130"/>
      <c r="H1631" s="252">
        <f t="shared" si="53"/>
        <v>0</v>
      </c>
      <c r="I1631" s="252">
        <f t="shared" si="54"/>
        <v>0</v>
      </c>
      <c r="J1631" s="170" t="str">
        <f>IF(A1631="","",SUM($H$7:H1631)-SUM($I$7:I1631))</f>
        <v/>
      </c>
      <c r="K1631" s="34"/>
    </row>
    <row r="1632" spans="1:11" x14ac:dyDescent="0.2">
      <c r="A1632" s="44"/>
      <c r="B1632" s="44"/>
      <c r="C1632" s="35"/>
      <c r="D1632" s="44"/>
      <c r="E1632" s="44"/>
      <c r="F1632" s="44"/>
      <c r="G1632" s="130"/>
      <c r="H1632" s="252">
        <f t="shared" si="53"/>
        <v>0</v>
      </c>
      <c r="I1632" s="252">
        <f t="shared" si="54"/>
        <v>0</v>
      </c>
      <c r="J1632" s="170" t="str">
        <f>IF(A1632="","",SUM($H$7:H1632)-SUM($I$7:I1632))</f>
        <v/>
      </c>
      <c r="K1632" s="34"/>
    </row>
    <row r="1633" spans="1:11" x14ac:dyDescent="0.2">
      <c r="A1633" s="44"/>
      <c r="B1633" s="44"/>
      <c r="C1633" s="35"/>
      <c r="D1633" s="44"/>
      <c r="E1633" s="44"/>
      <c r="F1633" s="44"/>
      <c r="G1633" s="130"/>
      <c r="H1633" s="252">
        <f t="shared" si="53"/>
        <v>0</v>
      </c>
      <c r="I1633" s="252">
        <f t="shared" si="54"/>
        <v>0</v>
      </c>
      <c r="J1633" s="170" t="str">
        <f>IF(A1633="","",SUM($H$7:H1633)-SUM($I$7:I1633))</f>
        <v/>
      </c>
      <c r="K1633" s="34"/>
    </row>
    <row r="1634" spans="1:11" x14ac:dyDescent="0.2">
      <c r="A1634" s="44"/>
      <c r="B1634" s="44"/>
      <c r="C1634" s="35"/>
      <c r="D1634" s="44"/>
      <c r="E1634" s="44"/>
      <c r="F1634" s="44"/>
      <c r="G1634" s="130"/>
      <c r="H1634" s="252">
        <f t="shared" si="53"/>
        <v>0</v>
      </c>
      <c r="I1634" s="252">
        <f t="shared" si="54"/>
        <v>0</v>
      </c>
      <c r="J1634" s="170" t="str">
        <f>IF(A1634="","",SUM($H$7:H1634)-SUM($I$7:I1634))</f>
        <v/>
      </c>
      <c r="K1634" s="34"/>
    </row>
    <row r="1635" spans="1:11" x14ac:dyDescent="0.2">
      <c r="A1635" s="44"/>
      <c r="B1635" s="44"/>
      <c r="C1635" s="35"/>
      <c r="D1635" s="44"/>
      <c r="E1635" s="44"/>
      <c r="F1635" s="44"/>
      <c r="G1635" s="130"/>
      <c r="H1635" s="252">
        <f t="shared" si="53"/>
        <v>0</v>
      </c>
      <c r="I1635" s="252">
        <f t="shared" si="54"/>
        <v>0</v>
      </c>
      <c r="J1635" s="170" t="str">
        <f>IF(A1635="","",SUM($H$7:H1635)-SUM($I$7:I1635))</f>
        <v/>
      </c>
      <c r="K1635" s="34"/>
    </row>
    <row r="1636" spans="1:11" x14ac:dyDescent="0.2">
      <c r="A1636" s="44"/>
      <c r="B1636" s="44"/>
      <c r="C1636" s="35"/>
      <c r="D1636" s="44"/>
      <c r="E1636" s="44"/>
      <c r="F1636" s="44"/>
      <c r="G1636" s="130"/>
      <c r="H1636" s="252">
        <f t="shared" si="53"/>
        <v>0</v>
      </c>
      <c r="I1636" s="252">
        <f t="shared" si="54"/>
        <v>0</v>
      </c>
      <c r="J1636" s="170" t="str">
        <f>IF(A1636="","",SUM($H$7:H1636)-SUM($I$7:I1636))</f>
        <v/>
      </c>
      <c r="K1636" s="34"/>
    </row>
    <row r="1637" spans="1:11" x14ac:dyDescent="0.2">
      <c r="A1637" s="44"/>
      <c r="B1637" s="44"/>
      <c r="C1637" s="35"/>
      <c r="D1637" s="44"/>
      <c r="E1637" s="44"/>
      <c r="F1637" s="44"/>
      <c r="G1637" s="130"/>
      <c r="H1637" s="252">
        <f t="shared" si="53"/>
        <v>0</v>
      </c>
      <c r="I1637" s="252">
        <f t="shared" si="54"/>
        <v>0</v>
      </c>
      <c r="J1637" s="170" t="str">
        <f>IF(A1637="","",SUM($H$7:H1637)-SUM($I$7:I1637))</f>
        <v/>
      </c>
      <c r="K1637" s="34"/>
    </row>
    <row r="1638" spans="1:11" x14ac:dyDescent="0.2">
      <c r="A1638" s="44"/>
      <c r="B1638" s="44"/>
      <c r="C1638" s="35"/>
      <c r="D1638" s="44"/>
      <c r="E1638" s="44"/>
      <c r="F1638" s="44"/>
      <c r="G1638" s="130"/>
      <c r="H1638" s="252">
        <f t="shared" si="53"/>
        <v>0</v>
      </c>
      <c r="I1638" s="252">
        <f t="shared" si="54"/>
        <v>0</v>
      </c>
      <c r="J1638" s="170" t="str">
        <f>IF(A1638="","",SUM($H$7:H1638)-SUM($I$7:I1638))</f>
        <v/>
      </c>
      <c r="K1638" s="34"/>
    </row>
    <row r="1639" spans="1:11" x14ac:dyDescent="0.2">
      <c r="A1639" s="44"/>
      <c r="B1639" s="44"/>
      <c r="C1639" s="35"/>
      <c r="D1639" s="44"/>
      <c r="E1639" s="44"/>
      <c r="F1639" s="44"/>
      <c r="G1639" s="130"/>
      <c r="H1639" s="252">
        <f t="shared" si="53"/>
        <v>0</v>
      </c>
      <c r="I1639" s="252">
        <f t="shared" si="54"/>
        <v>0</v>
      </c>
      <c r="J1639" s="170" t="str">
        <f>IF(A1639="","",SUM($H$7:H1639)-SUM($I$7:I1639))</f>
        <v/>
      </c>
      <c r="K1639" s="34"/>
    </row>
    <row r="1640" spans="1:11" x14ac:dyDescent="0.2">
      <c r="A1640" s="44"/>
      <c r="B1640" s="44"/>
      <c r="C1640" s="35"/>
      <c r="D1640" s="44"/>
      <c r="E1640" s="44"/>
      <c r="F1640" s="44"/>
      <c r="G1640" s="130"/>
      <c r="H1640" s="252">
        <f t="shared" si="53"/>
        <v>0</v>
      </c>
      <c r="I1640" s="252">
        <f t="shared" si="54"/>
        <v>0</v>
      </c>
      <c r="J1640" s="170" t="str">
        <f>IF(A1640="","",SUM($H$7:H1640)-SUM($I$7:I1640))</f>
        <v/>
      </c>
      <c r="K1640" s="34"/>
    </row>
    <row r="1641" spans="1:11" x14ac:dyDescent="0.2">
      <c r="A1641" s="44"/>
      <c r="B1641" s="44"/>
      <c r="C1641" s="35"/>
      <c r="D1641" s="44"/>
      <c r="E1641" s="44"/>
      <c r="F1641" s="44"/>
      <c r="G1641" s="130"/>
      <c r="H1641" s="252">
        <f t="shared" si="53"/>
        <v>0</v>
      </c>
      <c r="I1641" s="252">
        <f t="shared" si="54"/>
        <v>0</v>
      </c>
      <c r="J1641" s="170" t="str">
        <f>IF(A1641="","",SUM($H$7:H1641)-SUM($I$7:I1641))</f>
        <v/>
      </c>
      <c r="K1641" s="34"/>
    </row>
    <row r="1642" spans="1:11" x14ac:dyDescent="0.2">
      <c r="A1642" s="44"/>
      <c r="B1642" s="44"/>
      <c r="C1642" s="35"/>
      <c r="D1642" s="44"/>
      <c r="E1642" s="44"/>
      <c r="F1642" s="44"/>
      <c r="G1642" s="130"/>
      <c r="H1642" s="252">
        <f t="shared" si="53"/>
        <v>0</v>
      </c>
      <c r="I1642" s="252">
        <f t="shared" si="54"/>
        <v>0</v>
      </c>
      <c r="J1642" s="170" t="str">
        <f>IF(A1642="","",SUM($H$7:H1642)-SUM($I$7:I1642))</f>
        <v/>
      </c>
      <c r="K1642" s="34"/>
    </row>
    <row r="1643" spans="1:11" x14ac:dyDescent="0.2">
      <c r="A1643" s="44"/>
      <c r="B1643" s="44"/>
      <c r="C1643" s="35"/>
      <c r="D1643" s="44"/>
      <c r="E1643" s="44"/>
      <c r="F1643" s="44"/>
      <c r="G1643" s="130"/>
      <c r="H1643" s="252">
        <f t="shared" si="53"/>
        <v>0</v>
      </c>
      <c r="I1643" s="252">
        <f t="shared" si="54"/>
        <v>0</v>
      </c>
      <c r="J1643" s="170" t="str">
        <f>IF(A1643="","",SUM($H$7:H1643)-SUM($I$7:I1643))</f>
        <v/>
      </c>
      <c r="K1643" s="34"/>
    </row>
    <row r="1644" spans="1:11" x14ac:dyDescent="0.2">
      <c r="A1644" s="44"/>
      <c r="B1644" s="44"/>
      <c r="C1644" s="35"/>
      <c r="D1644" s="44"/>
      <c r="E1644" s="44"/>
      <c r="F1644" s="44"/>
      <c r="G1644" s="130"/>
      <c r="H1644" s="252">
        <f t="shared" si="53"/>
        <v>0</v>
      </c>
      <c r="I1644" s="252">
        <f t="shared" si="54"/>
        <v>0</v>
      </c>
      <c r="J1644" s="170" t="str">
        <f>IF(A1644="","",SUM($H$7:H1644)-SUM($I$7:I1644))</f>
        <v/>
      </c>
      <c r="K1644" s="34"/>
    </row>
    <row r="1645" spans="1:11" x14ac:dyDescent="0.2">
      <c r="A1645" s="44"/>
      <c r="B1645" s="44"/>
      <c r="C1645" s="35"/>
      <c r="D1645" s="44"/>
      <c r="E1645" s="44"/>
      <c r="F1645" s="44"/>
      <c r="G1645" s="130"/>
      <c r="H1645" s="252">
        <f t="shared" si="53"/>
        <v>0</v>
      </c>
      <c r="I1645" s="252">
        <f t="shared" si="54"/>
        <v>0</v>
      </c>
      <c r="J1645" s="170" t="str">
        <f>IF(A1645="","",SUM($H$7:H1645)-SUM($I$7:I1645))</f>
        <v/>
      </c>
      <c r="K1645" s="34"/>
    </row>
    <row r="1646" spans="1:11" x14ac:dyDescent="0.2">
      <c r="A1646" s="44"/>
      <c r="B1646" s="44"/>
      <c r="C1646" s="35"/>
      <c r="D1646" s="44"/>
      <c r="E1646" s="44"/>
      <c r="F1646" s="44"/>
      <c r="G1646" s="130"/>
      <c r="H1646" s="252">
        <f t="shared" si="53"/>
        <v>0</v>
      </c>
      <c r="I1646" s="252">
        <f t="shared" si="54"/>
        <v>0</v>
      </c>
      <c r="J1646" s="170" t="str">
        <f>IF(A1646="","",SUM($H$7:H1646)-SUM($I$7:I1646))</f>
        <v/>
      </c>
      <c r="K1646" s="34"/>
    </row>
    <row r="1647" spans="1:11" x14ac:dyDescent="0.2">
      <c r="A1647" s="44"/>
      <c r="B1647" s="44"/>
      <c r="C1647" s="35"/>
      <c r="D1647" s="44"/>
      <c r="E1647" s="44"/>
      <c r="F1647" s="44"/>
      <c r="G1647" s="130"/>
      <c r="H1647" s="252">
        <f t="shared" si="53"/>
        <v>0</v>
      </c>
      <c r="I1647" s="252">
        <f t="shared" si="54"/>
        <v>0</v>
      </c>
      <c r="J1647" s="170" t="str">
        <f>IF(A1647="","",SUM($H$7:H1647)-SUM($I$7:I1647))</f>
        <v/>
      </c>
      <c r="K1647" s="34"/>
    </row>
    <row r="1648" spans="1:11" x14ac:dyDescent="0.2">
      <c r="A1648" s="44"/>
      <c r="B1648" s="44"/>
      <c r="C1648" s="35"/>
      <c r="D1648" s="44"/>
      <c r="E1648" s="44"/>
      <c r="F1648" s="44"/>
      <c r="G1648" s="130"/>
      <c r="H1648" s="252">
        <f t="shared" si="53"/>
        <v>0</v>
      </c>
      <c r="I1648" s="252">
        <f t="shared" si="54"/>
        <v>0</v>
      </c>
      <c r="J1648" s="170" t="str">
        <f>IF(A1648="","",SUM($H$7:H1648)-SUM($I$7:I1648))</f>
        <v/>
      </c>
      <c r="K1648" s="34"/>
    </row>
    <row r="1649" spans="1:11" x14ac:dyDescent="0.2">
      <c r="A1649" s="44"/>
      <c r="B1649" s="44"/>
      <c r="C1649" s="35"/>
      <c r="D1649" s="44"/>
      <c r="E1649" s="44"/>
      <c r="F1649" s="44"/>
      <c r="G1649" s="130"/>
      <c r="H1649" s="252">
        <f t="shared" si="53"/>
        <v>0</v>
      </c>
      <c r="I1649" s="252">
        <f t="shared" si="54"/>
        <v>0</v>
      </c>
      <c r="J1649" s="170" t="str">
        <f>IF(A1649="","",SUM($H$7:H1649)-SUM($I$7:I1649))</f>
        <v/>
      </c>
      <c r="K1649" s="34"/>
    </row>
    <row r="1650" spans="1:11" x14ac:dyDescent="0.2">
      <c r="A1650" s="44"/>
      <c r="B1650" s="44"/>
      <c r="C1650" s="35"/>
      <c r="D1650" s="44"/>
      <c r="E1650" s="44"/>
      <c r="F1650" s="44"/>
      <c r="G1650" s="130"/>
      <c r="H1650" s="252">
        <f t="shared" si="53"/>
        <v>0</v>
      </c>
      <c r="I1650" s="252">
        <f t="shared" si="54"/>
        <v>0</v>
      </c>
      <c r="J1650" s="170" t="str">
        <f>IF(A1650="","",SUM($H$7:H1650)-SUM($I$7:I1650))</f>
        <v/>
      </c>
      <c r="K1650" s="34"/>
    </row>
    <row r="1651" spans="1:11" x14ac:dyDescent="0.2">
      <c r="A1651" s="44"/>
      <c r="B1651" s="44"/>
      <c r="C1651" s="35"/>
      <c r="D1651" s="44"/>
      <c r="E1651" s="44"/>
      <c r="F1651" s="44"/>
      <c r="G1651" s="130"/>
      <c r="H1651" s="252">
        <f t="shared" si="53"/>
        <v>0</v>
      </c>
      <c r="I1651" s="252">
        <f t="shared" si="54"/>
        <v>0</v>
      </c>
      <c r="J1651" s="170" t="str">
        <f>IF(A1651="","",SUM($H$7:H1651)-SUM($I$7:I1651))</f>
        <v/>
      </c>
      <c r="K1651" s="34"/>
    </row>
    <row r="1652" spans="1:11" x14ac:dyDescent="0.2">
      <c r="A1652" s="44"/>
      <c r="B1652" s="44"/>
      <c r="C1652" s="35"/>
      <c r="D1652" s="44"/>
      <c r="E1652" s="44"/>
      <c r="F1652" s="44"/>
      <c r="G1652" s="130"/>
      <c r="H1652" s="252">
        <f t="shared" si="53"/>
        <v>0</v>
      </c>
      <c r="I1652" s="252">
        <f t="shared" si="54"/>
        <v>0</v>
      </c>
      <c r="J1652" s="170" t="str">
        <f>IF(A1652="","",SUM($H$7:H1652)-SUM($I$7:I1652))</f>
        <v/>
      </c>
      <c r="K1652" s="34"/>
    </row>
    <row r="1653" spans="1:11" x14ac:dyDescent="0.2">
      <c r="A1653" s="44"/>
      <c r="B1653" s="44"/>
      <c r="C1653" s="35"/>
      <c r="D1653" s="44"/>
      <c r="E1653" s="44"/>
      <c r="F1653" s="44"/>
      <c r="G1653" s="130"/>
      <c r="H1653" s="252">
        <f t="shared" si="53"/>
        <v>0</v>
      </c>
      <c r="I1653" s="252">
        <f t="shared" si="54"/>
        <v>0</v>
      </c>
      <c r="J1653" s="170" t="str">
        <f>IF(A1653="","",SUM($H$7:H1653)-SUM($I$7:I1653))</f>
        <v/>
      </c>
      <c r="K1653" s="34"/>
    </row>
    <row r="1654" spans="1:11" x14ac:dyDescent="0.2">
      <c r="A1654" s="44"/>
      <c r="B1654" s="44"/>
      <c r="C1654" s="35"/>
      <c r="D1654" s="44"/>
      <c r="E1654" s="44"/>
      <c r="F1654" s="44"/>
      <c r="G1654" s="130"/>
      <c r="H1654" s="252">
        <f t="shared" ref="H1654:H1717" si="55">IF($C1654="Replenishment",$G1654,0)</f>
        <v>0</v>
      </c>
      <c r="I1654" s="252">
        <f t="shared" si="54"/>
        <v>0</v>
      </c>
      <c r="J1654" s="170" t="str">
        <f>IF(A1654="","",SUM($H$7:H1654)-SUM($I$7:I1654))</f>
        <v/>
      </c>
      <c r="K1654" s="34"/>
    </row>
    <row r="1655" spans="1:11" x14ac:dyDescent="0.2">
      <c r="A1655" s="44"/>
      <c r="B1655" s="44"/>
      <c r="C1655" s="35"/>
      <c r="D1655" s="44"/>
      <c r="E1655" s="44"/>
      <c r="F1655" s="44"/>
      <c r="G1655" s="130"/>
      <c r="H1655" s="252">
        <f t="shared" si="55"/>
        <v>0</v>
      </c>
      <c r="I1655" s="252">
        <f t="shared" si="54"/>
        <v>0</v>
      </c>
      <c r="J1655" s="170" t="str">
        <f>IF(A1655="","",SUM($H$7:H1655)-SUM($I$7:I1655))</f>
        <v/>
      </c>
      <c r="K1655" s="34"/>
    </row>
    <row r="1656" spans="1:11" x14ac:dyDescent="0.2">
      <c r="A1656" s="44"/>
      <c r="B1656" s="44"/>
      <c r="C1656" s="35"/>
      <c r="D1656" s="44"/>
      <c r="E1656" s="44"/>
      <c r="F1656" s="44"/>
      <c r="G1656" s="130"/>
      <c r="H1656" s="252">
        <f t="shared" si="55"/>
        <v>0</v>
      </c>
      <c r="I1656" s="252">
        <f t="shared" si="54"/>
        <v>0</v>
      </c>
      <c r="J1656" s="170" t="str">
        <f>IF(A1656="","",SUM($H$7:H1656)-SUM($I$7:I1656))</f>
        <v/>
      </c>
      <c r="K1656" s="34"/>
    </row>
    <row r="1657" spans="1:11" x14ac:dyDescent="0.2">
      <c r="A1657" s="44"/>
      <c r="B1657" s="44"/>
      <c r="C1657" s="35"/>
      <c r="D1657" s="44"/>
      <c r="E1657" s="44"/>
      <c r="F1657" s="44"/>
      <c r="G1657" s="130"/>
      <c r="H1657" s="252">
        <f t="shared" si="55"/>
        <v>0</v>
      </c>
      <c r="I1657" s="252">
        <f t="shared" si="54"/>
        <v>0</v>
      </c>
      <c r="J1657" s="170" t="str">
        <f>IF(A1657="","",SUM($H$7:H1657)-SUM($I$7:I1657))</f>
        <v/>
      </c>
      <c r="K1657" s="34"/>
    </row>
    <row r="1658" spans="1:11" x14ac:dyDescent="0.2">
      <c r="A1658" s="44"/>
      <c r="B1658" s="44"/>
      <c r="C1658" s="35"/>
      <c r="D1658" s="44"/>
      <c r="E1658" s="44"/>
      <c r="F1658" s="44"/>
      <c r="G1658" s="130"/>
      <c r="H1658" s="252">
        <f t="shared" si="55"/>
        <v>0</v>
      </c>
      <c r="I1658" s="252">
        <f t="shared" si="54"/>
        <v>0</v>
      </c>
      <c r="J1658" s="170" t="str">
        <f>IF(A1658="","",SUM($H$7:H1658)-SUM($I$7:I1658))</f>
        <v/>
      </c>
      <c r="K1658" s="34"/>
    </row>
    <row r="1659" spans="1:11" x14ac:dyDescent="0.2">
      <c r="A1659" s="44"/>
      <c r="B1659" s="44"/>
      <c r="C1659" s="35"/>
      <c r="D1659" s="44"/>
      <c r="E1659" s="44"/>
      <c r="F1659" s="44"/>
      <c r="G1659" s="130"/>
      <c r="H1659" s="252">
        <f t="shared" si="55"/>
        <v>0</v>
      </c>
      <c r="I1659" s="252">
        <f t="shared" si="54"/>
        <v>0</v>
      </c>
      <c r="J1659" s="170" t="str">
        <f>IF(A1659="","",SUM($H$7:H1659)-SUM($I$7:I1659))</f>
        <v/>
      </c>
      <c r="K1659" s="34"/>
    </row>
    <row r="1660" spans="1:11" x14ac:dyDescent="0.2">
      <c r="A1660" s="44"/>
      <c r="B1660" s="44"/>
      <c r="C1660" s="35"/>
      <c r="D1660" s="44"/>
      <c r="E1660" s="44"/>
      <c r="F1660" s="44"/>
      <c r="G1660" s="130"/>
      <c r="H1660" s="252">
        <f t="shared" si="55"/>
        <v>0</v>
      </c>
      <c r="I1660" s="252">
        <f t="shared" si="54"/>
        <v>0</v>
      </c>
      <c r="J1660" s="170" t="str">
        <f>IF(A1660="","",SUM($H$7:H1660)-SUM($I$7:I1660))</f>
        <v/>
      </c>
      <c r="K1660" s="34"/>
    </row>
    <row r="1661" spans="1:11" x14ac:dyDescent="0.2">
      <c r="A1661" s="44"/>
      <c r="B1661" s="44"/>
      <c r="C1661" s="35"/>
      <c r="D1661" s="44"/>
      <c r="E1661" s="44"/>
      <c r="F1661" s="44"/>
      <c r="G1661" s="130"/>
      <c r="H1661" s="252">
        <f t="shared" si="55"/>
        <v>0</v>
      </c>
      <c r="I1661" s="252">
        <f t="shared" si="54"/>
        <v>0</v>
      </c>
      <c r="J1661" s="170" t="str">
        <f>IF(A1661="","",SUM($H$7:H1661)-SUM($I$7:I1661))</f>
        <v/>
      </c>
      <c r="K1661" s="34"/>
    </row>
    <row r="1662" spans="1:11" x14ac:dyDescent="0.2">
      <c r="A1662" s="44"/>
      <c r="B1662" s="44"/>
      <c r="C1662" s="35"/>
      <c r="D1662" s="44"/>
      <c r="E1662" s="44"/>
      <c r="F1662" s="44"/>
      <c r="G1662" s="130"/>
      <c r="H1662" s="252">
        <f t="shared" si="55"/>
        <v>0</v>
      </c>
      <c r="I1662" s="252">
        <f t="shared" si="54"/>
        <v>0</v>
      </c>
      <c r="J1662" s="170" t="str">
        <f>IF(A1662="","",SUM($H$7:H1662)-SUM($I$7:I1662))</f>
        <v/>
      </c>
      <c r="K1662" s="34"/>
    </row>
    <row r="1663" spans="1:11" x14ac:dyDescent="0.2">
      <c r="A1663" s="44"/>
      <c r="B1663" s="44"/>
      <c r="C1663" s="35"/>
      <c r="D1663" s="44"/>
      <c r="E1663" s="44"/>
      <c r="F1663" s="44"/>
      <c r="G1663" s="130"/>
      <c r="H1663" s="252">
        <f t="shared" si="55"/>
        <v>0</v>
      </c>
      <c r="I1663" s="252">
        <f t="shared" si="54"/>
        <v>0</v>
      </c>
      <c r="J1663" s="170" t="str">
        <f>IF(A1663="","",SUM($H$7:H1663)-SUM($I$7:I1663))</f>
        <v/>
      </c>
      <c r="K1663" s="34"/>
    </row>
    <row r="1664" spans="1:11" x14ac:dyDescent="0.2">
      <c r="A1664" s="44"/>
      <c r="B1664" s="44"/>
      <c r="C1664" s="35"/>
      <c r="D1664" s="44"/>
      <c r="E1664" s="44"/>
      <c r="F1664" s="44"/>
      <c r="G1664" s="130"/>
      <c r="H1664" s="252">
        <f t="shared" si="55"/>
        <v>0</v>
      </c>
      <c r="I1664" s="252">
        <f t="shared" si="54"/>
        <v>0</v>
      </c>
      <c r="J1664" s="170" t="str">
        <f>IF(A1664="","",SUM($H$7:H1664)-SUM($I$7:I1664))</f>
        <v/>
      </c>
      <c r="K1664" s="34"/>
    </row>
    <row r="1665" spans="1:11" x14ac:dyDescent="0.2">
      <c r="A1665" s="44"/>
      <c r="B1665" s="44"/>
      <c r="C1665" s="35"/>
      <c r="D1665" s="44"/>
      <c r="E1665" s="44"/>
      <c r="F1665" s="44"/>
      <c r="G1665" s="130"/>
      <c r="H1665" s="252">
        <f t="shared" si="55"/>
        <v>0</v>
      </c>
      <c r="I1665" s="252">
        <f t="shared" si="54"/>
        <v>0</v>
      </c>
      <c r="J1665" s="170" t="str">
        <f>IF(A1665="","",SUM($H$7:H1665)-SUM($I$7:I1665))</f>
        <v/>
      </c>
      <c r="K1665" s="34"/>
    </row>
    <row r="1666" spans="1:11" x14ac:dyDescent="0.2">
      <c r="A1666" s="44"/>
      <c r="B1666" s="44"/>
      <c r="C1666" s="35"/>
      <c r="D1666" s="44"/>
      <c r="E1666" s="44"/>
      <c r="F1666" s="44"/>
      <c r="G1666" s="130"/>
      <c r="H1666" s="252">
        <f t="shared" si="55"/>
        <v>0</v>
      </c>
      <c r="I1666" s="252">
        <f t="shared" si="54"/>
        <v>0</v>
      </c>
      <c r="J1666" s="170" t="str">
        <f>IF(A1666="","",SUM($H$7:H1666)-SUM($I$7:I1666))</f>
        <v/>
      </c>
      <c r="K1666" s="34"/>
    </row>
    <row r="1667" spans="1:11" x14ac:dyDescent="0.2">
      <c r="A1667" s="44"/>
      <c r="B1667" s="44"/>
      <c r="C1667" s="35"/>
      <c r="D1667" s="44"/>
      <c r="E1667" s="44"/>
      <c r="F1667" s="44"/>
      <c r="G1667" s="130"/>
      <c r="H1667" s="252">
        <f t="shared" si="55"/>
        <v>0</v>
      </c>
      <c r="I1667" s="252">
        <f t="shared" si="54"/>
        <v>0</v>
      </c>
      <c r="J1667" s="170" t="str">
        <f>IF(A1667="","",SUM($H$7:H1667)-SUM($I$7:I1667))</f>
        <v/>
      </c>
      <c r="K1667" s="34"/>
    </row>
    <row r="1668" spans="1:11" x14ac:dyDescent="0.2">
      <c r="A1668" s="44"/>
      <c r="B1668" s="44"/>
      <c r="C1668" s="35"/>
      <c r="D1668" s="44"/>
      <c r="E1668" s="44"/>
      <c r="F1668" s="44"/>
      <c r="G1668" s="130"/>
      <c r="H1668" s="252">
        <f t="shared" si="55"/>
        <v>0</v>
      </c>
      <c r="I1668" s="252">
        <f t="shared" si="54"/>
        <v>0</v>
      </c>
      <c r="J1668" s="170" t="str">
        <f>IF(A1668="","",SUM($H$7:H1668)-SUM($I$7:I1668))</f>
        <v/>
      </c>
      <c r="K1668" s="34"/>
    </row>
    <row r="1669" spans="1:11" x14ac:dyDescent="0.2">
      <c r="A1669" s="44"/>
      <c r="B1669" s="44"/>
      <c r="C1669" s="35"/>
      <c r="D1669" s="44"/>
      <c r="E1669" s="44"/>
      <c r="F1669" s="44"/>
      <c r="G1669" s="130"/>
      <c r="H1669" s="252">
        <f t="shared" si="55"/>
        <v>0</v>
      </c>
      <c r="I1669" s="252">
        <f t="shared" si="54"/>
        <v>0</v>
      </c>
      <c r="J1669" s="170" t="str">
        <f>IF(A1669="","",SUM($H$7:H1669)-SUM($I$7:I1669))</f>
        <v/>
      </c>
      <c r="K1669" s="34"/>
    </row>
    <row r="1670" spans="1:11" x14ac:dyDescent="0.2">
      <c r="A1670" s="44"/>
      <c r="B1670" s="44"/>
      <c r="C1670" s="35"/>
      <c r="D1670" s="44"/>
      <c r="E1670" s="44"/>
      <c r="F1670" s="44"/>
      <c r="G1670" s="130"/>
      <c r="H1670" s="252">
        <f t="shared" si="55"/>
        <v>0</v>
      </c>
      <c r="I1670" s="252">
        <f t="shared" si="54"/>
        <v>0</v>
      </c>
      <c r="J1670" s="170" t="str">
        <f>IF(A1670="","",SUM($H$7:H1670)-SUM($I$7:I1670))</f>
        <v/>
      </c>
      <c r="K1670" s="34"/>
    </row>
    <row r="1671" spans="1:11" x14ac:dyDescent="0.2">
      <c r="A1671" s="44"/>
      <c r="B1671" s="44"/>
      <c r="C1671" s="35"/>
      <c r="D1671" s="44"/>
      <c r="E1671" s="44"/>
      <c r="F1671" s="44"/>
      <c r="G1671" s="130"/>
      <c r="H1671" s="252">
        <f t="shared" si="55"/>
        <v>0</v>
      </c>
      <c r="I1671" s="252">
        <f t="shared" ref="I1671:I1734" si="56">IF($C1671="Replenishment",0,$G1671)</f>
        <v>0</v>
      </c>
      <c r="J1671" s="170" t="str">
        <f>IF(A1671="","",SUM($H$7:H1671)-SUM($I$7:I1671))</f>
        <v/>
      </c>
      <c r="K1671" s="34"/>
    </row>
    <row r="1672" spans="1:11" x14ac:dyDescent="0.2">
      <c r="A1672" s="44"/>
      <c r="B1672" s="44"/>
      <c r="C1672" s="35"/>
      <c r="D1672" s="44"/>
      <c r="E1672" s="44"/>
      <c r="F1672" s="44"/>
      <c r="G1672" s="130"/>
      <c r="H1672" s="252">
        <f t="shared" si="55"/>
        <v>0</v>
      </c>
      <c r="I1672" s="252">
        <f t="shared" si="56"/>
        <v>0</v>
      </c>
      <c r="J1672" s="170" t="str">
        <f>IF(A1672="","",SUM($H$7:H1672)-SUM($I$7:I1672))</f>
        <v/>
      </c>
      <c r="K1672" s="34"/>
    </row>
    <row r="1673" spans="1:11" x14ac:dyDescent="0.2">
      <c r="A1673" s="44"/>
      <c r="B1673" s="44"/>
      <c r="C1673" s="35"/>
      <c r="D1673" s="44"/>
      <c r="E1673" s="44"/>
      <c r="F1673" s="44"/>
      <c r="G1673" s="130"/>
      <c r="H1673" s="252">
        <f t="shared" si="55"/>
        <v>0</v>
      </c>
      <c r="I1673" s="252">
        <f t="shared" si="56"/>
        <v>0</v>
      </c>
      <c r="J1673" s="170" t="str">
        <f>IF(A1673="","",SUM($H$7:H1673)-SUM($I$7:I1673))</f>
        <v/>
      </c>
      <c r="K1673" s="34"/>
    </row>
    <row r="1674" spans="1:11" x14ac:dyDescent="0.2">
      <c r="A1674" s="44"/>
      <c r="B1674" s="44"/>
      <c r="C1674" s="35"/>
      <c r="D1674" s="44"/>
      <c r="E1674" s="44"/>
      <c r="F1674" s="44"/>
      <c r="G1674" s="130"/>
      <c r="H1674" s="252">
        <f t="shared" si="55"/>
        <v>0</v>
      </c>
      <c r="I1674" s="252">
        <f t="shared" si="56"/>
        <v>0</v>
      </c>
      <c r="J1674" s="170" t="str">
        <f>IF(A1674="","",SUM($H$7:H1674)-SUM($I$7:I1674))</f>
        <v/>
      </c>
      <c r="K1674" s="34"/>
    </row>
    <row r="1675" spans="1:11" x14ac:dyDescent="0.2">
      <c r="A1675" s="44"/>
      <c r="B1675" s="44"/>
      <c r="C1675" s="35"/>
      <c r="D1675" s="44"/>
      <c r="E1675" s="44"/>
      <c r="F1675" s="44"/>
      <c r="G1675" s="130"/>
      <c r="H1675" s="252">
        <f t="shared" si="55"/>
        <v>0</v>
      </c>
      <c r="I1675" s="252">
        <f t="shared" si="56"/>
        <v>0</v>
      </c>
      <c r="J1675" s="170" t="str">
        <f>IF(A1675="","",SUM($H$7:H1675)-SUM($I$7:I1675))</f>
        <v/>
      </c>
      <c r="K1675" s="34"/>
    </row>
    <row r="1676" spans="1:11" x14ac:dyDescent="0.2">
      <c r="A1676" s="44"/>
      <c r="B1676" s="44"/>
      <c r="C1676" s="35"/>
      <c r="D1676" s="44"/>
      <c r="E1676" s="44"/>
      <c r="F1676" s="44"/>
      <c r="G1676" s="130"/>
      <c r="H1676" s="252">
        <f t="shared" si="55"/>
        <v>0</v>
      </c>
      <c r="I1676" s="252">
        <f t="shared" si="56"/>
        <v>0</v>
      </c>
      <c r="J1676" s="170" t="str">
        <f>IF(A1676="","",SUM($H$7:H1676)-SUM($I$7:I1676))</f>
        <v/>
      </c>
      <c r="K1676" s="34"/>
    </row>
    <row r="1677" spans="1:11" x14ac:dyDescent="0.2">
      <c r="A1677" s="44"/>
      <c r="B1677" s="44"/>
      <c r="C1677" s="35"/>
      <c r="D1677" s="44"/>
      <c r="E1677" s="44"/>
      <c r="F1677" s="44"/>
      <c r="G1677" s="130"/>
      <c r="H1677" s="252">
        <f t="shared" si="55"/>
        <v>0</v>
      </c>
      <c r="I1677" s="252">
        <f t="shared" si="56"/>
        <v>0</v>
      </c>
      <c r="J1677" s="170" t="str">
        <f>IF(A1677="","",SUM($H$7:H1677)-SUM($I$7:I1677))</f>
        <v/>
      </c>
      <c r="K1677" s="34"/>
    </row>
    <row r="1678" spans="1:11" x14ac:dyDescent="0.2">
      <c r="A1678" s="44"/>
      <c r="B1678" s="44"/>
      <c r="C1678" s="35"/>
      <c r="D1678" s="44"/>
      <c r="E1678" s="44"/>
      <c r="F1678" s="44"/>
      <c r="G1678" s="130"/>
      <c r="H1678" s="252">
        <f t="shared" si="55"/>
        <v>0</v>
      </c>
      <c r="I1678" s="252">
        <f t="shared" si="56"/>
        <v>0</v>
      </c>
      <c r="J1678" s="170" t="str">
        <f>IF(A1678="","",SUM($H$7:H1678)-SUM($I$7:I1678))</f>
        <v/>
      </c>
      <c r="K1678" s="34"/>
    </row>
    <row r="1679" spans="1:11" x14ac:dyDescent="0.2">
      <c r="A1679" s="44"/>
      <c r="B1679" s="44"/>
      <c r="C1679" s="35"/>
      <c r="D1679" s="44"/>
      <c r="E1679" s="44"/>
      <c r="F1679" s="44"/>
      <c r="G1679" s="130"/>
      <c r="H1679" s="252">
        <f t="shared" si="55"/>
        <v>0</v>
      </c>
      <c r="I1679" s="252">
        <f t="shared" si="56"/>
        <v>0</v>
      </c>
      <c r="J1679" s="170" t="str">
        <f>IF(A1679="","",SUM($H$7:H1679)-SUM($I$7:I1679))</f>
        <v/>
      </c>
      <c r="K1679" s="34"/>
    </row>
    <row r="1680" spans="1:11" x14ac:dyDescent="0.2">
      <c r="A1680" s="44"/>
      <c r="B1680" s="44"/>
      <c r="C1680" s="35"/>
      <c r="D1680" s="44"/>
      <c r="E1680" s="44"/>
      <c r="F1680" s="44"/>
      <c r="G1680" s="130"/>
      <c r="H1680" s="252">
        <f t="shared" si="55"/>
        <v>0</v>
      </c>
      <c r="I1680" s="252">
        <f t="shared" si="56"/>
        <v>0</v>
      </c>
      <c r="J1680" s="170" t="str">
        <f>IF(A1680="","",SUM($H$7:H1680)-SUM($I$7:I1680))</f>
        <v/>
      </c>
      <c r="K1680" s="34"/>
    </row>
    <row r="1681" spans="1:11" x14ac:dyDescent="0.2">
      <c r="A1681" s="44"/>
      <c r="B1681" s="44"/>
      <c r="C1681" s="35"/>
      <c r="D1681" s="44"/>
      <c r="E1681" s="44"/>
      <c r="F1681" s="44"/>
      <c r="G1681" s="130"/>
      <c r="H1681" s="252">
        <f t="shared" si="55"/>
        <v>0</v>
      </c>
      <c r="I1681" s="252">
        <f t="shared" si="56"/>
        <v>0</v>
      </c>
      <c r="J1681" s="170" t="str">
        <f>IF(A1681="","",SUM($H$7:H1681)-SUM($I$7:I1681))</f>
        <v/>
      </c>
      <c r="K1681" s="34"/>
    </row>
    <row r="1682" spans="1:11" x14ac:dyDescent="0.2">
      <c r="A1682" s="44"/>
      <c r="B1682" s="44"/>
      <c r="C1682" s="35"/>
      <c r="D1682" s="44"/>
      <c r="E1682" s="44"/>
      <c r="F1682" s="44"/>
      <c r="G1682" s="130"/>
      <c r="H1682" s="252">
        <f t="shared" si="55"/>
        <v>0</v>
      </c>
      <c r="I1682" s="252">
        <f t="shared" si="56"/>
        <v>0</v>
      </c>
      <c r="J1682" s="170" t="str">
        <f>IF(A1682="","",SUM($H$7:H1682)-SUM($I$7:I1682))</f>
        <v/>
      </c>
      <c r="K1682" s="34"/>
    </row>
    <row r="1683" spans="1:11" x14ac:dyDescent="0.2">
      <c r="A1683" s="44"/>
      <c r="B1683" s="44"/>
      <c r="C1683" s="35"/>
      <c r="D1683" s="44"/>
      <c r="E1683" s="44"/>
      <c r="F1683" s="44"/>
      <c r="G1683" s="130"/>
      <c r="H1683" s="252">
        <f t="shared" si="55"/>
        <v>0</v>
      </c>
      <c r="I1683" s="252">
        <f t="shared" si="56"/>
        <v>0</v>
      </c>
      <c r="J1683" s="170" t="str">
        <f>IF(A1683="","",SUM($H$7:H1683)-SUM($I$7:I1683))</f>
        <v/>
      </c>
      <c r="K1683" s="34"/>
    </row>
    <row r="1684" spans="1:11" x14ac:dyDescent="0.2">
      <c r="A1684" s="44"/>
      <c r="B1684" s="44"/>
      <c r="C1684" s="35"/>
      <c r="D1684" s="44"/>
      <c r="E1684" s="44"/>
      <c r="F1684" s="44"/>
      <c r="G1684" s="130"/>
      <c r="H1684" s="252">
        <f t="shared" si="55"/>
        <v>0</v>
      </c>
      <c r="I1684" s="252">
        <f t="shared" si="56"/>
        <v>0</v>
      </c>
      <c r="J1684" s="170" t="str">
        <f>IF(A1684="","",SUM($H$7:H1684)-SUM($I$7:I1684))</f>
        <v/>
      </c>
      <c r="K1684" s="34"/>
    </row>
    <row r="1685" spans="1:11" x14ac:dyDescent="0.2">
      <c r="A1685" s="44"/>
      <c r="B1685" s="44"/>
      <c r="C1685" s="35"/>
      <c r="D1685" s="44"/>
      <c r="E1685" s="44"/>
      <c r="F1685" s="44"/>
      <c r="G1685" s="130"/>
      <c r="H1685" s="252">
        <f t="shared" si="55"/>
        <v>0</v>
      </c>
      <c r="I1685" s="252">
        <f t="shared" si="56"/>
        <v>0</v>
      </c>
      <c r="J1685" s="170" t="str">
        <f>IF(A1685="","",SUM($H$7:H1685)-SUM($I$7:I1685))</f>
        <v/>
      </c>
      <c r="K1685" s="34"/>
    </row>
    <row r="1686" spans="1:11" x14ac:dyDescent="0.2">
      <c r="A1686" s="44"/>
      <c r="B1686" s="44"/>
      <c r="C1686" s="35"/>
      <c r="D1686" s="44"/>
      <c r="E1686" s="44"/>
      <c r="F1686" s="44"/>
      <c r="G1686" s="130"/>
      <c r="H1686" s="252">
        <f t="shared" si="55"/>
        <v>0</v>
      </c>
      <c r="I1686" s="252">
        <f t="shared" si="56"/>
        <v>0</v>
      </c>
      <c r="J1686" s="170" t="str">
        <f>IF(A1686="","",SUM($H$7:H1686)-SUM($I$7:I1686))</f>
        <v/>
      </c>
      <c r="K1686" s="34"/>
    </row>
    <row r="1687" spans="1:11" x14ac:dyDescent="0.2">
      <c r="A1687" s="44"/>
      <c r="B1687" s="44"/>
      <c r="C1687" s="35"/>
      <c r="D1687" s="44"/>
      <c r="E1687" s="44"/>
      <c r="F1687" s="44"/>
      <c r="G1687" s="130"/>
      <c r="H1687" s="252">
        <f t="shared" si="55"/>
        <v>0</v>
      </c>
      <c r="I1687" s="252">
        <f t="shared" si="56"/>
        <v>0</v>
      </c>
      <c r="J1687" s="170" t="str">
        <f>IF(A1687="","",SUM($H$7:H1687)-SUM($I$7:I1687))</f>
        <v/>
      </c>
      <c r="K1687" s="34"/>
    </row>
    <row r="1688" spans="1:11" x14ac:dyDescent="0.2">
      <c r="A1688" s="44"/>
      <c r="B1688" s="44"/>
      <c r="C1688" s="35"/>
      <c r="D1688" s="44"/>
      <c r="E1688" s="44"/>
      <c r="F1688" s="44"/>
      <c r="G1688" s="130"/>
      <c r="H1688" s="252">
        <f t="shared" si="55"/>
        <v>0</v>
      </c>
      <c r="I1688" s="252">
        <f t="shared" si="56"/>
        <v>0</v>
      </c>
      <c r="J1688" s="170" t="str">
        <f>IF(A1688="","",SUM($H$7:H1688)-SUM($I$7:I1688))</f>
        <v/>
      </c>
      <c r="K1688" s="34"/>
    </row>
    <row r="1689" spans="1:11" x14ac:dyDescent="0.2">
      <c r="A1689" s="44"/>
      <c r="B1689" s="44"/>
      <c r="C1689" s="35"/>
      <c r="D1689" s="44"/>
      <c r="E1689" s="44"/>
      <c r="F1689" s="44"/>
      <c r="G1689" s="130"/>
      <c r="H1689" s="252">
        <f t="shared" si="55"/>
        <v>0</v>
      </c>
      <c r="I1689" s="252">
        <f t="shared" si="56"/>
        <v>0</v>
      </c>
      <c r="J1689" s="170" t="str">
        <f>IF(A1689="","",SUM($H$7:H1689)-SUM($I$7:I1689))</f>
        <v/>
      </c>
      <c r="K1689" s="34"/>
    </row>
    <row r="1690" spans="1:11" x14ac:dyDescent="0.2">
      <c r="A1690" s="44"/>
      <c r="B1690" s="44"/>
      <c r="C1690" s="35"/>
      <c r="D1690" s="44"/>
      <c r="E1690" s="44"/>
      <c r="F1690" s="44"/>
      <c r="G1690" s="130"/>
      <c r="H1690" s="252">
        <f t="shared" si="55"/>
        <v>0</v>
      </c>
      <c r="I1690" s="252">
        <f t="shared" si="56"/>
        <v>0</v>
      </c>
      <c r="J1690" s="170" t="str">
        <f>IF(A1690="","",SUM($H$7:H1690)-SUM($I$7:I1690))</f>
        <v/>
      </c>
      <c r="K1690" s="34"/>
    </row>
    <row r="1691" spans="1:11" x14ac:dyDescent="0.2">
      <c r="A1691" s="44"/>
      <c r="B1691" s="44"/>
      <c r="C1691" s="35"/>
      <c r="D1691" s="44"/>
      <c r="E1691" s="44"/>
      <c r="F1691" s="44"/>
      <c r="G1691" s="130"/>
      <c r="H1691" s="252">
        <f t="shared" si="55"/>
        <v>0</v>
      </c>
      <c r="I1691" s="252">
        <f t="shared" si="56"/>
        <v>0</v>
      </c>
      <c r="J1691" s="170" t="str">
        <f>IF(A1691="","",SUM($H$7:H1691)-SUM($I$7:I1691))</f>
        <v/>
      </c>
      <c r="K1691" s="34"/>
    </row>
    <row r="1692" spans="1:11" x14ac:dyDescent="0.2">
      <c r="A1692" s="44"/>
      <c r="B1692" s="44"/>
      <c r="C1692" s="35"/>
      <c r="D1692" s="44"/>
      <c r="E1692" s="44"/>
      <c r="F1692" s="44"/>
      <c r="G1692" s="130"/>
      <c r="H1692" s="252">
        <f t="shared" si="55"/>
        <v>0</v>
      </c>
      <c r="I1692" s="252">
        <f t="shared" si="56"/>
        <v>0</v>
      </c>
      <c r="J1692" s="170" t="str">
        <f>IF(A1692="","",SUM($H$7:H1692)-SUM($I$7:I1692))</f>
        <v/>
      </c>
      <c r="K1692" s="34"/>
    </row>
    <row r="1693" spans="1:11" x14ac:dyDescent="0.2">
      <c r="A1693" s="44"/>
      <c r="B1693" s="44"/>
      <c r="C1693" s="35"/>
      <c r="D1693" s="44"/>
      <c r="E1693" s="44"/>
      <c r="F1693" s="44"/>
      <c r="G1693" s="130"/>
      <c r="H1693" s="252">
        <f t="shared" si="55"/>
        <v>0</v>
      </c>
      <c r="I1693" s="252">
        <f t="shared" si="56"/>
        <v>0</v>
      </c>
      <c r="J1693" s="170" t="str">
        <f>IF(A1693="","",SUM($H$7:H1693)-SUM($I$7:I1693))</f>
        <v/>
      </c>
      <c r="K1693" s="34"/>
    </row>
    <row r="1694" spans="1:11" x14ac:dyDescent="0.2">
      <c r="A1694" s="44"/>
      <c r="B1694" s="44"/>
      <c r="C1694" s="35"/>
      <c r="D1694" s="44"/>
      <c r="E1694" s="44"/>
      <c r="F1694" s="44"/>
      <c r="G1694" s="130"/>
      <c r="H1694" s="252">
        <f t="shared" si="55"/>
        <v>0</v>
      </c>
      <c r="I1694" s="252">
        <f t="shared" si="56"/>
        <v>0</v>
      </c>
      <c r="J1694" s="170" t="str">
        <f>IF(A1694="","",SUM($H$7:H1694)-SUM($I$7:I1694))</f>
        <v/>
      </c>
      <c r="K1694" s="34"/>
    </row>
    <row r="1695" spans="1:11" x14ac:dyDescent="0.2">
      <c r="A1695" s="44"/>
      <c r="B1695" s="44"/>
      <c r="C1695" s="35"/>
      <c r="D1695" s="44"/>
      <c r="E1695" s="44"/>
      <c r="F1695" s="44"/>
      <c r="G1695" s="130"/>
      <c r="H1695" s="252">
        <f t="shared" si="55"/>
        <v>0</v>
      </c>
      <c r="I1695" s="252">
        <f t="shared" si="56"/>
        <v>0</v>
      </c>
      <c r="J1695" s="170" t="str">
        <f>IF(A1695="","",SUM($H$7:H1695)-SUM($I$7:I1695))</f>
        <v/>
      </c>
      <c r="K1695" s="34"/>
    </row>
    <row r="1696" spans="1:11" x14ac:dyDescent="0.2">
      <c r="A1696" s="44"/>
      <c r="B1696" s="44"/>
      <c r="C1696" s="35"/>
      <c r="D1696" s="44"/>
      <c r="E1696" s="44"/>
      <c r="F1696" s="44"/>
      <c r="G1696" s="130"/>
      <c r="H1696" s="252">
        <f t="shared" si="55"/>
        <v>0</v>
      </c>
      <c r="I1696" s="252">
        <f t="shared" si="56"/>
        <v>0</v>
      </c>
      <c r="J1696" s="170" t="str">
        <f>IF(A1696="","",SUM($H$7:H1696)-SUM($I$7:I1696))</f>
        <v/>
      </c>
      <c r="K1696" s="34"/>
    </row>
    <row r="1697" spans="1:11" x14ac:dyDescent="0.2">
      <c r="A1697" s="44"/>
      <c r="B1697" s="44"/>
      <c r="C1697" s="35"/>
      <c r="D1697" s="44"/>
      <c r="E1697" s="44"/>
      <c r="F1697" s="44"/>
      <c r="G1697" s="130"/>
      <c r="H1697" s="252">
        <f t="shared" si="55"/>
        <v>0</v>
      </c>
      <c r="I1697" s="252">
        <f t="shared" si="56"/>
        <v>0</v>
      </c>
      <c r="J1697" s="170" t="str">
        <f>IF(A1697="","",SUM($H$7:H1697)-SUM($I$7:I1697))</f>
        <v/>
      </c>
      <c r="K1697" s="34"/>
    </row>
    <row r="1698" spans="1:11" x14ac:dyDescent="0.2">
      <c r="A1698" s="44"/>
      <c r="B1698" s="44"/>
      <c r="C1698" s="35"/>
      <c r="D1698" s="44"/>
      <c r="E1698" s="44"/>
      <c r="F1698" s="44"/>
      <c r="G1698" s="130"/>
      <c r="H1698" s="252">
        <f t="shared" si="55"/>
        <v>0</v>
      </c>
      <c r="I1698" s="252">
        <f t="shared" si="56"/>
        <v>0</v>
      </c>
      <c r="J1698" s="170" t="str">
        <f>IF(A1698="","",SUM($H$7:H1698)-SUM($I$7:I1698))</f>
        <v/>
      </c>
      <c r="K1698" s="34"/>
    </row>
    <row r="1699" spans="1:11" x14ac:dyDescent="0.2">
      <c r="A1699" s="44"/>
      <c r="B1699" s="44"/>
      <c r="C1699" s="35"/>
      <c r="D1699" s="44"/>
      <c r="E1699" s="44"/>
      <c r="F1699" s="44"/>
      <c r="G1699" s="130"/>
      <c r="H1699" s="252">
        <f t="shared" si="55"/>
        <v>0</v>
      </c>
      <c r="I1699" s="252">
        <f t="shared" si="56"/>
        <v>0</v>
      </c>
      <c r="J1699" s="170" t="str">
        <f>IF(A1699="","",SUM($H$7:H1699)-SUM($I$7:I1699))</f>
        <v/>
      </c>
      <c r="K1699" s="34"/>
    </row>
    <row r="1700" spans="1:11" x14ac:dyDescent="0.2">
      <c r="A1700" s="44"/>
      <c r="B1700" s="44"/>
      <c r="C1700" s="35"/>
      <c r="D1700" s="44"/>
      <c r="E1700" s="44"/>
      <c r="F1700" s="44"/>
      <c r="G1700" s="130"/>
      <c r="H1700" s="252">
        <f t="shared" si="55"/>
        <v>0</v>
      </c>
      <c r="I1700" s="252">
        <f t="shared" si="56"/>
        <v>0</v>
      </c>
      <c r="J1700" s="170" t="str">
        <f>IF(A1700="","",SUM($H$7:H1700)-SUM($I$7:I1700))</f>
        <v/>
      </c>
      <c r="K1700" s="34"/>
    </row>
    <row r="1701" spans="1:11" x14ac:dyDescent="0.2">
      <c r="A1701" s="44"/>
      <c r="B1701" s="44"/>
      <c r="C1701" s="35"/>
      <c r="D1701" s="44"/>
      <c r="E1701" s="44"/>
      <c r="F1701" s="44"/>
      <c r="G1701" s="130"/>
      <c r="H1701" s="252">
        <f t="shared" si="55"/>
        <v>0</v>
      </c>
      <c r="I1701" s="252">
        <f t="shared" si="56"/>
        <v>0</v>
      </c>
      <c r="J1701" s="170" t="str">
        <f>IF(A1701="","",SUM($H$7:H1701)-SUM($I$7:I1701))</f>
        <v/>
      </c>
      <c r="K1701" s="34"/>
    </row>
    <row r="1702" spans="1:11" x14ac:dyDescent="0.2">
      <c r="A1702" s="44"/>
      <c r="B1702" s="44"/>
      <c r="C1702" s="35"/>
      <c r="D1702" s="44"/>
      <c r="E1702" s="44"/>
      <c r="F1702" s="44"/>
      <c r="G1702" s="130"/>
      <c r="H1702" s="252">
        <f t="shared" si="55"/>
        <v>0</v>
      </c>
      <c r="I1702" s="252">
        <f t="shared" si="56"/>
        <v>0</v>
      </c>
      <c r="J1702" s="170" t="str">
        <f>IF(A1702="","",SUM($H$7:H1702)-SUM($I$7:I1702))</f>
        <v/>
      </c>
      <c r="K1702" s="34"/>
    </row>
    <row r="1703" spans="1:11" x14ac:dyDescent="0.2">
      <c r="A1703" s="44"/>
      <c r="B1703" s="44"/>
      <c r="C1703" s="35"/>
      <c r="D1703" s="44"/>
      <c r="E1703" s="44"/>
      <c r="F1703" s="44"/>
      <c r="G1703" s="130"/>
      <c r="H1703" s="252">
        <f t="shared" si="55"/>
        <v>0</v>
      </c>
      <c r="I1703" s="252">
        <f t="shared" si="56"/>
        <v>0</v>
      </c>
      <c r="J1703" s="170" t="str">
        <f>IF(A1703="","",SUM($H$7:H1703)-SUM($I$7:I1703))</f>
        <v/>
      </c>
      <c r="K1703" s="34"/>
    </row>
    <row r="1704" spans="1:11" x14ac:dyDescent="0.2">
      <c r="A1704" s="44"/>
      <c r="B1704" s="44"/>
      <c r="C1704" s="35"/>
      <c r="D1704" s="44"/>
      <c r="E1704" s="44"/>
      <c r="F1704" s="44"/>
      <c r="G1704" s="130"/>
      <c r="H1704" s="252">
        <f t="shared" si="55"/>
        <v>0</v>
      </c>
      <c r="I1704" s="252">
        <f t="shared" si="56"/>
        <v>0</v>
      </c>
      <c r="J1704" s="170" t="str">
        <f>IF(A1704="","",SUM($H$7:H1704)-SUM($I$7:I1704))</f>
        <v/>
      </c>
      <c r="K1704" s="34"/>
    </row>
    <row r="1705" spans="1:11" x14ac:dyDescent="0.2">
      <c r="A1705" s="44"/>
      <c r="B1705" s="44"/>
      <c r="C1705" s="35"/>
      <c r="D1705" s="44"/>
      <c r="E1705" s="44"/>
      <c r="F1705" s="44"/>
      <c r="G1705" s="130"/>
      <c r="H1705" s="252">
        <f t="shared" si="55"/>
        <v>0</v>
      </c>
      <c r="I1705" s="252">
        <f t="shared" si="56"/>
        <v>0</v>
      </c>
      <c r="J1705" s="170" t="str">
        <f>IF(A1705="","",SUM($H$7:H1705)-SUM($I$7:I1705))</f>
        <v/>
      </c>
      <c r="K1705" s="34"/>
    </row>
    <row r="1706" spans="1:11" x14ac:dyDescent="0.2">
      <c r="A1706" s="44"/>
      <c r="B1706" s="44"/>
      <c r="C1706" s="35"/>
      <c r="D1706" s="44"/>
      <c r="E1706" s="44"/>
      <c r="F1706" s="44"/>
      <c r="G1706" s="130"/>
      <c r="H1706" s="252">
        <f t="shared" si="55"/>
        <v>0</v>
      </c>
      <c r="I1706" s="252">
        <f t="shared" si="56"/>
        <v>0</v>
      </c>
      <c r="J1706" s="170" t="str">
        <f>IF(A1706="","",SUM($H$7:H1706)-SUM($I$7:I1706))</f>
        <v/>
      </c>
      <c r="K1706" s="34"/>
    </row>
    <row r="1707" spans="1:11" x14ac:dyDescent="0.2">
      <c r="A1707" s="44"/>
      <c r="B1707" s="44"/>
      <c r="C1707" s="35"/>
      <c r="D1707" s="44"/>
      <c r="E1707" s="44"/>
      <c r="F1707" s="44"/>
      <c r="G1707" s="130"/>
      <c r="H1707" s="252">
        <f t="shared" si="55"/>
        <v>0</v>
      </c>
      <c r="I1707" s="252">
        <f t="shared" si="56"/>
        <v>0</v>
      </c>
      <c r="J1707" s="170" t="str">
        <f>IF(A1707="","",SUM($H$7:H1707)-SUM($I$7:I1707))</f>
        <v/>
      </c>
      <c r="K1707" s="34"/>
    </row>
    <row r="1708" spans="1:11" x14ac:dyDescent="0.2">
      <c r="A1708" s="44"/>
      <c r="B1708" s="44"/>
      <c r="C1708" s="35"/>
      <c r="D1708" s="44"/>
      <c r="E1708" s="44"/>
      <c r="F1708" s="44"/>
      <c r="G1708" s="130"/>
      <c r="H1708" s="252">
        <f t="shared" si="55"/>
        <v>0</v>
      </c>
      <c r="I1708" s="252">
        <f t="shared" si="56"/>
        <v>0</v>
      </c>
      <c r="J1708" s="170" t="str">
        <f>IF(A1708="","",SUM($H$7:H1708)-SUM($I$7:I1708))</f>
        <v/>
      </c>
      <c r="K1708" s="34"/>
    </row>
    <row r="1709" spans="1:11" x14ac:dyDescent="0.2">
      <c r="A1709" s="44"/>
      <c r="B1709" s="44"/>
      <c r="C1709" s="35"/>
      <c r="D1709" s="44"/>
      <c r="E1709" s="44"/>
      <c r="F1709" s="44"/>
      <c r="G1709" s="130"/>
      <c r="H1709" s="252">
        <f t="shared" si="55"/>
        <v>0</v>
      </c>
      <c r="I1709" s="252">
        <f t="shared" si="56"/>
        <v>0</v>
      </c>
      <c r="J1709" s="170" t="str">
        <f>IF(A1709="","",SUM($H$7:H1709)-SUM($I$7:I1709))</f>
        <v/>
      </c>
      <c r="K1709" s="34"/>
    </row>
    <row r="1710" spans="1:11" x14ac:dyDescent="0.2">
      <c r="A1710" s="44"/>
      <c r="B1710" s="44"/>
      <c r="C1710" s="35"/>
      <c r="D1710" s="44"/>
      <c r="E1710" s="44"/>
      <c r="F1710" s="44"/>
      <c r="G1710" s="130"/>
      <c r="H1710" s="252">
        <f t="shared" si="55"/>
        <v>0</v>
      </c>
      <c r="I1710" s="252">
        <f t="shared" si="56"/>
        <v>0</v>
      </c>
      <c r="J1710" s="170" t="str">
        <f>IF(A1710="","",SUM($H$7:H1710)-SUM($I$7:I1710))</f>
        <v/>
      </c>
      <c r="K1710" s="34"/>
    </row>
    <row r="1711" spans="1:11" x14ac:dyDescent="0.2">
      <c r="A1711" s="44"/>
      <c r="B1711" s="44"/>
      <c r="C1711" s="35"/>
      <c r="D1711" s="44"/>
      <c r="E1711" s="44"/>
      <c r="F1711" s="44"/>
      <c r="G1711" s="130"/>
      <c r="H1711" s="252">
        <f t="shared" si="55"/>
        <v>0</v>
      </c>
      <c r="I1711" s="252">
        <f t="shared" si="56"/>
        <v>0</v>
      </c>
      <c r="J1711" s="170" t="str">
        <f>IF(A1711="","",SUM($H$7:H1711)-SUM($I$7:I1711))</f>
        <v/>
      </c>
      <c r="K1711" s="34"/>
    </row>
    <row r="1712" spans="1:11" x14ac:dyDescent="0.2">
      <c r="A1712" s="44"/>
      <c r="B1712" s="44"/>
      <c r="C1712" s="35"/>
      <c r="D1712" s="44"/>
      <c r="E1712" s="44"/>
      <c r="F1712" s="44"/>
      <c r="G1712" s="130"/>
      <c r="H1712" s="252">
        <f t="shared" si="55"/>
        <v>0</v>
      </c>
      <c r="I1712" s="252">
        <f t="shared" si="56"/>
        <v>0</v>
      </c>
      <c r="J1712" s="170" t="str">
        <f>IF(A1712="","",SUM($H$7:H1712)-SUM($I$7:I1712))</f>
        <v/>
      </c>
      <c r="K1712" s="34"/>
    </row>
    <row r="1713" spans="1:11" x14ac:dyDescent="0.2">
      <c r="A1713" s="44"/>
      <c r="B1713" s="44"/>
      <c r="C1713" s="35"/>
      <c r="D1713" s="44"/>
      <c r="E1713" s="44"/>
      <c r="F1713" s="44"/>
      <c r="G1713" s="130"/>
      <c r="H1713" s="252">
        <f t="shared" si="55"/>
        <v>0</v>
      </c>
      <c r="I1713" s="252">
        <f t="shared" si="56"/>
        <v>0</v>
      </c>
      <c r="J1713" s="170" t="str">
        <f>IF(A1713="","",SUM($H$7:H1713)-SUM($I$7:I1713))</f>
        <v/>
      </c>
      <c r="K1713" s="34"/>
    </row>
    <row r="1714" spans="1:11" x14ac:dyDescent="0.2">
      <c r="A1714" s="44"/>
      <c r="B1714" s="44"/>
      <c r="C1714" s="35"/>
      <c r="D1714" s="44"/>
      <c r="E1714" s="44"/>
      <c r="F1714" s="44"/>
      <c r="G1714" s="130"/>
      <c r="H1714" s="252">
        <f t="shared" si="55"/>
        <v>0</v>
      </c>
      <c r="I1714" s="252">
        <f t="shared" si="56"/>
        <v>0</v>
      </c>
      <c r="J1714" s="170" t="str">
        <f>IF(A1714="","",SUM($H$7:H1714)-SUM($I$7:I1714))</f>
        <v/>
      </c>
      <c r="K1714" s="34"/>
    </row>
    <row r="1715" spans="1:11" x14ac:dyDescent="0.2">
      <c r="A1715" s="44"/>
      <c r="B1715" s="44"/>
      <c r="C1715" s="35"/>
      <c r="D1715" s="44"/>
      <c r="E1715" s="44"/>
      <c r="F1715" s="44"/>
      <c r="G1715" s="130"/>
      <c r="H1715" s="252">
        <f t="shared" si="55"/>
        <v>0</v>
      </c>
      <c r="I1715" s="252">
        <f t="shared" si="56"/>
        <v>0</v>
      </c>
      <c r="J1715" s="170" t="str">
        <f>IF(A1715="","",SUM($H$7:H1715)-SUM($I$7:I1715))</f>
        <v/>
      </c>
      <c r="K1715" s="34"/>
    </row>
    <row r="1716" spans="1:11" x14ac:dyDescent="0.2">
      <c r="A1716" s="44"/>
      <c r="B1716" s="44"/>
      <c r="C1716" s="35"/>
      <c r="D1716" s="44"/>
      <c r="E1716" s="44"/>
      <c r="F1716" s="44"/>
      <c r="G1716" s="130"/>
      <c r="H1716" s="252">
        <f t="shared" si="55"/>
        <v>0</v>
      </c>
      <c r="I1716" s="252">
        <f t="shared" si="56"/>
        <v>0</v>
      </c>
      <c r="J1716" s="170" t="str">
        <f>IF(A1716="","",SUM($H$7:H1716)-SUM($I$7:I1716))</f>
        <v/>
      </c>
      <c r="K1716" s="34"/>
    </row>
    <row r="1717" spans="1:11" x14ac:dyDescent="0.2">
      <c r="A1717" s="44"/>
      <c r="B1717" s="44"/>
      <c r="C1717" s="35"/>
      <c r="D1717" s="44"/>
      <c r="E1717" s="44"/>
      <c r="F1717" s="44"/>
      <c r="G1717" s="130"/>
      <c r="H1717" s="252">
        <f t="shared" si="55"/>
        <v>0</v>
      </c>
      <c r="I1717" s="252">
        <f t="shared" si="56"/>
        <v>0</v>
      </c>
      <c r="J1717" s="170" t="str">
        <f>IF(A1717="","",SUM($H$7:H1717)-SUM($I$7:I1717))</f>
        <v/>
      </c>
      <c r="K1717" s="34"/>
    </row>
    <row r="1718" spans="1:11" x14ac:dyDescent="0.2">
      <c r="A1718" s="44"/>
      <c r="B1718" s="44"/>
      <c r="C1718" s="35"/>
      <c r="D1718" s="44"/>
      <c r="E1718" s="44"/>
      <c r="F1718" s="44"/>
      <c r="G1718" s="130"/>
      <c r="H1718" s="252">
        <f t="shared" ref="H1718:H1781" si="57">IF($C1718="Replenishment",$G1718,0)</f>
        <v>0</v>
      </c>
      <c r="I1718" s="252">
        <f t="shared" si="56"/>
        <v>0</v>
      </c>
      <c r="J1718" s="170" t="str">
        <f>IF(A1718="","",SUM($H$7:H1718)-SUM($I$7:I1718))</f>
        <v/>
      </c>
      <c r="K1718" s="34"/>
    </row>
    <row r="1719" spans="1:11" x14ac:dyDescent="0.2">
      <c r="A1719" s="44"/>
      <c r="B1719" s="44"/>
      <c r="C1719" s="35"/>
      <c r="D1719" s="44"/>
      <c r="E1719" s="44"/>
      <c r="F1719" s="44"/>
      <c r="G1719" s="130"/>
      <c r="H1719" s="252">
        <f t="shared" si="57"/>
        <v>0</v>
      </c>
      <c r="I1719" s="252">
        <f t="shared" si="56"/>
        <v>0</v>
      </c>
      <c r="J1719" s="170" t="str">
        <f>IF(A1719="","",SUM($H$7:H1719)-SUM($I$7:I1719))</f>
        <v/>
      </c>
      <c r="K1719" s="34"/>
    </row>
    <row r="1720" spans="1:11" x14ac:dyDescent="0.2">
      <c r="A1720" s="44"/>
      <c r="B1720" s="44"/>
      <c r="C1720" s="35"/>
      <c r="D1720" s="44"/>
      <c r="E1720" s="44"/>
      <c r="F1720" s="44"/>
      <c r="G1720" s="130"/>
      <c r="H1720" s="252">
        <f t="shared" si="57"/>
        <v>0</v>
      </c>
      <c r="I1720" s="252">
        <f t="shared" si="56"/>
        <v>0</v>
      </c>
      <c r="J1720" s="170" t="str">
        <f>IF(A1720="","",SUM($H$7:H1720)-SUM($I$7:I1720))</f>
        <v/>
      </c>
      <c r="K1720" s="34"/>
    </row>
    <row r="1721" spans="1:11" x14ac:dyDescent="0.2">
      <c r="A1721" s="44"/>
      <c r="B1721" s="44"/>
      <c r="C1721" s="35"/>
      <c r="D1721" s="44"/>
      <c r="E1721" s="44"/>
      <c r="F1721" s="44"/>
      <c r="G1721" s="130"/>
      <c r="H1721" s="252">
        <f t="shared" si="57"/>
        <v>0</v>
      </c>
      <c r="I1721" s="252">
        <f t="shared" si="56"/>
        <v>0</v>
      </c>
      <c r="J1721" s="170" t="str">
        <f>IF(A1721="","",SUM($H$7:H1721)-SUM($I$7:I1721))</f>
        <v/>
      </c>
      <c r="K1721" s="34"/>
    </row>
    <row r="1722" spans="1:11" x14ac:dyDescent="0.2">
      <c r="A1722" s="44"/>
      <c r="B1722" s="44"/>
      <c r="C1722" s="35"/>
      <c r="D1722" s="44"/>
      <c r="E1722" s="44"/>
      <c r="F1722" s="44"/>
      <c r="G1722" s="130"/>
      <c r="H1722" s="252">
        <f t="shared" si="57"/>
        <v>0</v>
      </c>
      <c r="I1722" s="252">
        <f t="shared" si="56"/>
        <v>0</v>
      </c>
      <c r="J1722" s="170" t="str">
        <f>IF(A1722="","",SUM($H$7:H1722)-SUM($I$7:I1722))</f>
        <v/>
      </c>
      <c r="K1722" s="34"/>
    </row>
    <row r="1723" spans="1:11" x14ac:dyDescent="0.2">
      <c r="A1723" s="44"/>
      <c r="B1723" s="44"/>
      <c r="C1723" s="35"/>
      <c r="D1723" s="44"/>
      <c r="E1723" s="44"/>
      <c r="F1723" s="44"/>
      <c r="G1723" s="130"/>
      <c r="H1723" s="252">
        <f t="shared" si="57"/>
        <v>0</v>
      </c>
      <c r="I1723" s="252">
        <f t="shared" si="56"/>
        <v>0</v>
      </c>
      <c r="J1723" s="170" t="str">
        <f>IF(A1723="","",SUM($H$7:H1723)-SUM($I$7:I1723))</f>
        <v/>
      </c>
      <c r="K1723" s="34"/>
    </row>
    <row r="1724" spans="1:11" x14ac:dyDescent="0.2">
      <c r="A1724" s="44"/>
      <c r="B1724" s="44"/>
      <c r="C1724" s="35"/>
      <c r="D1724" s="44"/>
      <c r="E1724" s="44"/>
      <c r="F1724" s="44"/>
      <c r="G1724" s="130"/>
      <c r="H1724" s="252">
        <f t="shared" si="57"/>
        <v>0</v>
      </c>
      <c r="I1724" s="252">
        <f t="shared" si="56"/>
        <v>0</v>
      </c>
      <c r="J1724" s="170" t="str">
        <f>IF(A1724="","",SUM($H$7:H1724)-SUM($I$7:I1724))</f>
        <v/>
      </c>
      <c r="K1724" s="34"/>
    </row>
    <row r="1725" spans="1:11" x14ac:dyDescent="0.2">
      <c r="A1725" s="44"/>
      <c r="B1725" s="44"/>
      <c r="C1725" s="35"/>
      <c r="D1725" s="44"/>
      <c r="E1725" s="44"/>
      <c r="F1725" s="44"/>
      <c r="G1725" s="130"/>
      <c r="H1725" s="252">
        <f t="shared" si="57"/>
        <v>0</v>
      </c>
      <c r="I1725" s="252">
        <f t="shared" si="56"/>
        <v>0</v>
      </c>
      <c r="J1725" s="170" t="str">
        <f>IF(A1725="","",SUM($H$7:H1725)-SUM($I$7:I1725))</f>
        <v/>
      </c>
      <c r="K1725" s="34"/>
    </row>
    <row r="1726" spans="1:11" x14ac:dyDescent="0.2">
      <c r="A1726" s="44"/>
      <c r="B1726" s="44"/>
      <c r="C1726" s="35"/>
      <c r="D1726" s="44"/>
      <c r="E1726" s="44"/>
      <c r="F1726" s="44"/>
      <c r="G1726" s="130"/>
      <c r="H1726" s="252">
        <f t="shared" si="57"/>
        <v>0</v>
      </c>
      <c r="I1726" s="252">
        <f t="shared" si="56"/>
        <v>0</v>
      </c>
      <c r="J1726" s="170" t="str">
        <f>IF(A1726="","",SUM($H$7:H1726)-SUM($I$7:I1726))</f>
        <v/>
      </c>
      <c r="K1726" s="34"/>
    </row>
    <row r="1727" spans="1:11" x14ac:dyDescent="0.2">
      <c r="A1727" s="44"/>
      <c r="B1727" s="44"/>
      <c r="C1727" s="35"/>
      <c r="D1727" s="44"/>
      <c r="E1727" s="44"/>
      <c r="F1727" s="44"/>
      <c r="G1727" s="130"/>
      <c r="H1727" s="252">
        <f t="shared" si="57"/>
        <v>0</v>
      </c>
      <c r="I1727" s="252">
        <f t="shared" si="56"/>
        <v>0</v>
      </c>
      <c r="J1727" s="170" t="str">
        <f>IF(A1727="","",SUM($H$7:H1727)-SUM($I$7:I1727))</f>
        <v/>
      </c>
      <c r="K1727" s="34"/>
    </row>
    <row r="1728" spans="1:11" x14ac:dyDescent="0.2">
      <c r="A1728" s="44"/>
      <c r="B1728" s="44"/>
      <c r="C1728" s="35"/>
      <c r="D1728" s="44"/>
      <c r="E1728" s="44"/>
      <c r="F1728" s="44"/>
      <c r="G1728" s="130"/>
      <c r="H1728" s="252">
        <f t="shared" si="57"/>
        <v>0</v>
      </c>
      <c r="I1728" s="252">
        <f t="shared" si="56"/>
        <v>0</v>
      </c>
      <c r="J1728" s="170" t="str">
        <f>IF(A1728="","",SUM($H$7:H1728)-SUM($I$7:I1728))</f>
        <v/>
      </c>
      <c r="K1728" s="34"/>
    </row>
    <row r="1729" spans="1:11" x14ac:dyDescent="0.2">
      <c r="A1729" s="44"/>
      <c r="B1729" s="44"/>
      <c r="C1729" s="35"/>
      <c r="D1729" s="44"/>
      <c r="E1729" s="44"/>
      <c r="F1729" s="44"/>
      <c r="G1729" s="130"/>
      <c r="H1729" s="252">
        <f t="shared" si="57"/>
        <v>0</v>
      </c>
      <c r="I1729" s="252">
        <f t="shared" si="56"/>
        <v>0</v>
      </c>
      <c r="J1729" s="170" t="str">
        <f>IF(A1729="","",SUM($H$7:H1729)-SUM($I$7:I1729))</f>
        <v/>
      </c>
      <c r="K1729" s="34"/>
    </row>
    <row r="1730" spans="1:11" x14ac:dyDescent="0.2">
      <c r="A1730" s="44"/>
      <c r="B1730" s="44"/>
      <c r="C1730" s="35"/>
      <c r="D1730" s="44"/>
      <c r="E1730" s="44"/>
      <c r="F1730" s="44"/>
      <c r="G1730" s="130"/>
      <c r="H1730" s="252">
        <f t="shared" si="57"/>
        <v>0</v>
      </c>
      <c r="I1730" s="252">
        <f t="shared" si="56"/>
        <v>0</v>
      </c>
      <c r="J1730" s="170" t="str">
        <f>IF(A1730="","",SUM($H$7:H1730)-SUM($I$7:I1730))</f>
        <v/>
      </c>
      <c r="K1730" s="34"/>
    </row>
    <row r="1731" spans="1:11" x14ac:dyDescent="0.2">
      <c r="A1731" s="44"/>
      <c r="B1731" s="44"/>
      <c r="C1731" s="35"/>
      <c r="D1731" s="44"/>
      <c r="E1731" s="44"/>
      <c r="F1731" s="44"/>
      <c r="G1731" s="130"/>
      <c r="H1731" s="252">
        <f t="shared" si="57"/>
        <v>0</v>
      </c>
      <c r="I1731" s="252">
        <f t="shared" si="56"/>
        <v>0</v>
      </c>
      <c r="J1731" s="170" t="str">
        <f>IF(A1731="","",SUM($H$7:H1731)-SUM($I$7:I1731))</f>
        <v/>
      </c>
      <c r="K1731" s="34"/>
    </row>
    <row r="1732" spans="1:11" x14ac:dyDescent="0.2">
      <c r="A1732" s="44"/>
      <c r="B1732" s="44"/>
      <c r="C1732" s="35"/>
      <c r="D1732" s="44"/>
      <c r="E1732" s="44"/>
      <c r="F1732" s="44"/>
      <c r="G1732" s="130"/>
      <c r="H1732" s="252">
        <f t="shared" si="57"/>
        <v>0</v>
      </c>
      <c r="I1732" s="252">
        <f t="shared" si="56"/>
        <v>0</v>
      </c>
      <c r="J1732" s="170" t="str">
        <f>IF(A1732="","",SUM($H$7:H1732)-SUM($I$7:I1732))</f>
        <v/>
      </c>
      <c r="K1732" s="34"/>
    </row>
    <row r="1733" spans="1:11" x14ac:dyDescent="0.2">
      <c r="A1733" s="44"/>
      <c r="B1733" s="44"/>
      <c r="C1733" s="35"/>
      <c r="D1733" s="44"/>
      <c r="E1733" s="44"/>
      <c r="F1733" s="44"/>
      <c r="G1733" s="130"/>
      <c r="H1733" s="252">
        <f t="shared" si="57"/>
        <v>0</v>
      </c>
      <c r="I1733" s="252">
        <f t="shared" si="56"/>
        <v>0</v>
      </c>
      <c r="J1733" s="170" t="str">
        <f>IF(A1733="","",SUM($H$7:H1733)-SUM($I$7:I1733))</f>
        <v/>
      </c>
      <c r="K1733" s="34"/>
    </row>
    <row r="1734" spans="1:11" x14ac:dyDescent="0.2">
      <c r="A1734" s="44"/>
      <c r="B1734" s="44"/>
      <c r="C1734" s="35"/>
      <c r="D1734" s="44"/>
      <c r="E1734" s="44"/>
      <c r="F1734" s="44"/>
      <c r="G1734" s="130"/>
      <c r="H1734" s="252">
        <f t="shared" si="57"/>
        <v>0</v>
      </c>
      <c r="I1734" s="252">
        <f t="shared" si="56"/>
        <v>0</v>
      </c>
      <c r="J1734" s="170" t="str">
        <f>IF(A1734="","",SUM($H$7:H1734)-SUM($I$7:I1734))</f>
        <v/>
      </c>
      <c r="K1734" s="34"/>
    </row>
    <row r="1735" spans="1:11" x14ac:dyDescent="0.2">
      <c r="A1735" s="44"/>
      <c r="B1735" s="44"/>
      <c r="C1735" s="35"/>
      <c r="D1735" s="44"/>
      <c r="E1735" s="44"/>
      <c r="F1735" s="44"/>
      <c r="G1735" s="130"/>
      <c r="H1735" s="252">
        <f t="shared" si="57"/>
        <v>0</v>
      </c>
      <c r="I1735" s="252">
        <f t="shared" ref="I1735:I1798" si="58">IF($C1735="Replenishment",0,$G1735)</f>
        <v>0</v>
      </c>
      <c r="J1735" s="170" t="str">
        <f>IF(A1735="","",SUM($H$7:H1735)-SUM($I$7:I1735))</f>
        <v/>
      </c>
      <c r="K1735" s="34"/>
    </row>
    <row r="1736" spans="1:11" x14ac:dyDescent="0.2">
      <c r="A1736" s="44"/>
      <c r="B1736" s="44"/>
      <c r="C1736" s="35"/>
      <c r="D1736" s="44"/>
      <c r="E1736" s="44"/>
      <c r="F1736" s="44"/>
      <c r="G1736" s="130"/>
      <c r="H1736" s="252">
        <f t="shared" si="57"/>
        <v>0</v>
      </c>
      <c r="I1736" s="252">
        <f t="shared" si="58"/>
        <v>0</v>
      </c>
      <c r="J1736" s="170" t="str">
        <f>IF(A1736="","",SUM($H$7:H1736)-SUM($I$7:I1736))</f>
        <v/>
      </c>
      <c r="K1736" s="34"/>
    </row>
    <row r="1737" spans="1:11" x14ac:dyDescent="0.2">
      <c r="A1737" s="44"/>
      <c r="B1737" s="44"/>
      <c r="C1737" s="35"/>
      <c r="D1737" s="44"/>
      <c r="E1737" s="44"/>
      <c r="F1737" s="44"/>
      <c r="G1737" s="130"/>
      <c r="H1737" s="252">
        <f t="shared" si="57"/>
        <v>0</v>
      </c>
      <c r="I1737" s="252">
        <f t="shared" si="58"/>
        <v>0</v>
      </c>
      <c r="J1737" s="170" t="str">
        <f>IF(A1737="","",SUM($H$7:H1737)-SUM($I$7:I1737))</f>
        <v/>
      </c>
      <c r="K1737" s="34"/>
    </row>
    <row r="1738" spans="1:11" x14ac:dyDescent="0.2">
      <c r="A1738" s="44"/>
      <c r="B1738" s="44"/>
      <c r="C1738" s="35"/>
      <c r="D1738" s="44"/>
      <c r="E1738" s="44"/>
      <c r="F1738" s="44"/>
      <c r="G1738" s="130"/>
      <c r="H1738" s="252">
        <f t="shared" si="57"/>
        <v>0</v>
      </c>
      <c r="I1738" s="252">
        <f t="shared" si="58"/>
        <v>0</v>
      </c>
      <c r="J1738" s="170" t="str">
        <f>IF(A1738="","",SUM($H$7:H1738)-SUM($I$7:I1738))</f>
        <v/>
      </c>
      <c r="K1738" s="34"/>
    </row>
    <row r="1739" spans="1:11" x14ac:dyDescent="0.2">
      <c r="A1739" s="44"/>
      <c r="B1739" s="44"/>
      <c r="C1739" s="35"/>
      <c r="D1739" s="44"/>
      <c r="E1739" s="44"/>
      <c r="F1739" s="44"/>
      <c r="G1739" s="130"/>
      <c r="H1739" s="252">
        <f t="shared" si="57"/>
        <v>0</v>
      </c>
      <c r="I1739" s="252">
        <f t="shared" si="58"/>
        <v>0</v>
      </c>
      <c r="J1739" s="170" t="str">
        <f>IF(A1739="","",SUM($H$7:H1739)-SUM($I$7:I1739))</f>
        <v/>
      </c>
      <c r="K1739" s="34"/>
    </row>
    <row r="1740" spans="1:11" x14ac:dyDescent="0.2">
      <c r="A1740" s="44"/>
      <c r="B1740" s="44"/>
      <c r="C1740" s="35"/>
      <c r="D1740" s="44"/>
      <c r="E1740" s="44"/>
      <c r="F1740" s="44"/>
      <c r="G1740" s="130"/>
      <c r="H1740" s="252">
        <f t="shared" si="57"/>
        <v>0</v>
      </c>
      <c r="I1740" s="252">
        <f t="shared" si="58"/>
        <v>0</v>
      </c>
      <c r="J1740" s="170" t="str">
        <f>IF(A1740="","",SUM($H$7:H1740)-SUM($I$7:I1740))</f>
        <v/>
      </c>
      <c r="K1740" s="34"/>
    </row>
    <row r="1741" spans="1:11" x14ac:dyDescent="0.2">
      <c r="A1741" s="44"/>
      <c r="B1741" s="44"/>
      <c r="C1741" s="35"/>
      <c r="D1741" s="44"/>
      <c r="E1741" s="44"/>
      <c r="F1741" s="44"/>
      <c r="G1741" s="130"/>
      <c r="H1741" s="252">
        <f t="shared" si="57"/>
        <v>0</v>
      </c>
      <c r="I1741" s="252">
        <f t="shared" si="58"/>
        <v>0</v>
      </c>
      <c r="J1741" s="170" t="str">
        <f>IF(A1741="","",SUM($H$7:H1741)-SUM($I$7:I1741))</f>
        <v/>
      </c>
      <c r="K1741" s="34"/>
    </row>
    <row r="1742" spans="1:11" x14ac:dyDescent="0.2">
      <c r="A1742" s="44"/>
      <c r="B1742" s="44"/>
      <c r="C1742" s="35"/>
      <c r="D1742" s="44"/>
      <c r="E1742" s="44"/>
      <c r="F1742" s="44"/>
      <c r="G1742" s="130"/>
      <c r="H1742" s="252">
        <f t="shared" si="57"/>
        <v>0</v>
      </c>
      <c r="I1742" s="252">
        <f t="shared" si="58"/>
        <v>0</v>
      </c>
      <c r="J1742" s="170" t="str">
        <f>IF(A1742="","",SUM($H$7:H1742)-SUM($I$7:I1742))</f>
        <v/>
      </c>
      <c r="K1742" s="34"/>
    </row>
    <row r="1743" spans="1:11" x14ac:dyDescent="0.2">
      <c r="A1743" s="44"/>
      <c r="B1743" s="44"/>
      <c r="C1743" s="35"/>
      <c r="D1743" s="44"/>
      <c r="E1743" s="44"/>
      <c r="F1743" s="44"/>
      <c r="G1743" s="130"/>
      <c r="H1743" s="252">
        <f t="shared" si="57"/>
        <v>0</v>
      </c>
      <c r="I1743" s="252">
        <f t="shared" si="58"/>
        <v>0</v>
      </c>
      <c r="J1743" s="170" t="str">
        <f>IF(A1743="","",SUM($H$7:H1743)-SUM($I$7:I1743))</f>
        <v/>
      </c>
      <c r="K1743" s="34"/>
    </row>
    <row r="1744" spans="1:11" x14ac:dyDescent="0.2">
      <c r="A1744" s="44"/>
      <c r="B1744" s="44"/>
      <c r="C1744" s="35"/>
      <c r="D1744" s="44"/>
      <c r="E1744" s="44"/>
      <c r="F1744" s="44"/>
      <c r="G1744" s="130"/>
      <c r="H1744" s="252">
        <f t="shared" si="57"/>
        <v>0</v>
      </c>
      <c r="I1744" s="252">
        <f t="shared" si="58"/>
        <v>0</v>
      </c>
      <c r="J1744" s="170" t="str">
        <f>IF(A1744="","",SUM($H$7:H1744)-SUM($I$7:I1744))</f>
        <v/>
      </c>
      <c r="K1744" s="34"/>
    </row>
    <row r="1745" spans="1:11" x14ac:dyDescent="0.2">
      <c r="A1745" s="44"/>
      <c r="B1745" s="44"/>
      <c r="C1745" s="35"/>
      <c r="D1745" s="44"/>
      <c r="E1745" s="44"/>
      <c r="F1745" s="44"/>
      <c r="G1745" s="130"/>
      <c r="H1745" s="252">
        <f t="shared" si="57"/>
        <v>0</v>
      </c>
      <c r="I1745" s="252">
        <f t="shared" si="58"/>
        <v>0</v>
      </c>
      <c r="J1745" s="170" t="str">
        <f>IF(A1745="","",SUM($H$7:H1745)-SUM($I$7:I1745))</f>
        <v/>
      </c>
      <c r="K1745" s="34"/>
    </row>
    <row r="1746" spans="1:11" x14ac:dyDescent="0.2">
      <c r="A1746" s="44"/>
      <c r="B1746" s="44"/>
      <c r="C1746" s="35"/>
      <c r="D1746" s="44"/>
      <c r="E1746" s="44"/>
      <c r="F1746" s="44"/>
      <c r="G1746" s="130"/>
      <c r="H1746" s="252">
        <f t="shared" si="57"/>
        <v>0</v>
      </c>
      <c r="I1746" s="252">
        <f t="shared" si="58"/>
        <v>0</v>
      </c>
      <c r="J1746" s="170" t="str">
        <f>IF(A1746="","",SUM($H$7:H1746)-SUM($I$7:I1746))</f>
        <v/>
      </c>
      <c r="K1746" s="34"/>
    </row>
    <row r="1747" spans="1:11" x14ac:dyDescent="0.2">
      <c r="A1747" s="44"/>
      <c r="B1747" s="44"/>
      <c r="C1747" s="35"/>
      <c r="D1747" s="44"/>
      <c r="E1747" s="44"/>
      <c r="F1747" s="44"/>
      <c r="G1747" s="130"/>
      <c r="H1747" s="252">
        <f t="shared" si="57"/>
        <v>0</v>
      </c>
      <c r="I1747" s="252">
        <f t="shared" si="58"/>
        <v>0</v>
      </c>
      <c r="J1747" s="170" t="str">
        <f>IF(A1747="","",SUM($H$7:H1747)-SUM($I$7:I1747))</f>
        <v/>
      </c>
      <c r="K1747" s="34"/>
    </row>
    <row r="1748" spans="1:11" x14ac:dyDescent="0.2">
      <c r="A1748" s="44"/>
      <c r="B1748" s="44"/>
      <c r="C1748" s="35"/>
      <c r="D1748" s="44"/>
      <c r="E1748" s="44"/>
      <c r="F1748" s="44"/>
      <c r="G1748" s="130"/>
      <c r="H1748" s="252">
        <f t="shared" si="57"/>
        <v>0</v>
      </c>
      <c r="I1748" s="252">
        <f t="shared" si="58"/>
        <v>0</v>
      </c>
      <c r="J1748" s="170" t="str">
        <f>IF(A1748="","",SUM($H$7:H1748)-SUM($I$7:I1748))</f>
        <v/>
      </c>
      <c r="K1748" s="34"/>
    </row>
    <row r="1749" spans="1:11" x14ac:dyDescent="0.2">
      <c r="A1749" s="44"/>
      <c r="B1749" s="44"/>
      <c r="C1749" s="35"/>
      <c r="D1749" s="44"/>
      <c r="E1749" s="44"/>
      <c r="F1749" s="44"/>
      <c r="G1749" s="130"/>
      <c r="H1749" s="252">
        <f t="shared" si="57"/>
        <v>0</v>
      </c>
      <c r="I1749" s="252">
        <f t="shared" si="58"/>
        <v>0</v>
      </c>
      <c r="J1749" s="170" t="str">
        <f>IF(A1749="","",SUM($H$7:H1749)-SUM($I$7:I1749))</f>
        <v/>
      </c>
      <c r="K1749" s="34"/>
    </row>
    <row r="1750" spans="1:11" x14ac:dyDescent="0.2">
      <c r="A1750" s="44"/>
      <c r="B1750" s="44"/>
      <c r="C1750" s="35"/>
      <c r="D1750" s="44"/>
      <c r="E1750" s="44"/>
      <c r="F1750" s="44"/>
      <c r="G1750" s="130"/>
      <c r="H1750" s="252">
        <f t="shared" si="57"/>
        <v>0</v>
      </c>
      <c r="I1750" s="252">
        <f t="shared" si="58"/>
        <v>0</v>
      </c>
      <c r="J1750" s="170" t="str">
        <f>IF(A1750="","",SUM($H$7:H1750)-SUM($I$7:I1750))</f>
        <v/>
      </c>
      <c r="K1750" s="34"/>
    </row>
    <row r="1751" spans="1:11" x14ac:dyDescent="0.2">
      <c r="A1751" s="44"/>
      <c r="B1751" s="44"/>
      <c r="C1751" s="35"/>
      <c r="D1751" s="44"/>
      <c r="E1751" s="44"/>
      <c r="F1751" s="44"/>
      <c r="G1751" s="130"/>
      <c r="H1751" s="252">
        <f t="shared" si="57"/>
        <v>0</v>
      </c>
      <c r="I1751" s="252">
        <f t="shared" si="58"/>
        <v>0</v>
      </c>
      <c r="J1751" s="170" t="str">
        <f>IF(A1751="","",SUM($H$7:H1751)-SUM($I$7:I1751))</f>
        <v/>
      </c>
      <c r="K1751" s="34"/>
    </row>
    <row r="1752" spans="1:11" x14ac:dyDescent="0.2">
      <c r="A1752" s="44"/>
      <c r="B1752" s="44"/>
      <c r="C1752" s="35"/>
      <c r="D1752" s="44"/>
      <c r="E1752" s="44"/>
      <c r="F1752" s="44"/>
      <c r="G1752" s="130"/>
      <c r="H1752" s="252">
        <f t="shared" si="57"/>
        <v>0</v>
      </c>
      <c r="I1752" s="252">
        <f t="shared" si="58"/>
        <v>0</v>
      </c>
      <c r="J1752" s="170" t="str">
        <f>IF(A1752="","",SUM($H$7:H1752)-SUM($I$7:I1752))</f>
        <v/>
      </c>
      <c r="K1752" s="34"/>
    </row>
    <row r="1753" spans="1:11" x14ac:dyDescent="0.2">
      <c r="A1753" s="44"/>
      <c r="B1753" s="44"/>
      <c r="C1753" s="35"/>
      <c r="D1753" s="44"/>
      <c r="E1753" s="44"/>
      <c r="F1753" s="44"/>
      <c r="G1753" s="130"/>
      <c r="H1753" s="252">
        <f t="shared" si="57"/>
        <v>0</v>
      </c>
      <c r="I1753" s="252">
        <f t="shared" si="58"/>
        <v>0</v>
      </c>
      <c r="J1753" s="170" t="str">
        <f>IF(A1753="","",SUM($H$7:H1753)-SUM($I$7:I1753))</f>
        <v/>
      </c>
      <c r="K1753" s="34"/>
    </row>
    <row r="1754" spans="1:11" x14ac:dyDescent="0.2">
      <c r="A1754" s="44"/>
      <c r="B1754" s="44"/>
      <c r="C1754" s="35"/>
      <c r="D1754" s="44"/>
      <c r="E1754" s="44"/>
      <c r="F1754" s="44"/>
      <c r="G1754" s="130"/>
      <c r="H1754" s="252">
        <f t="shared" si="57"/>
        <v>0</v>
      </c>
      <c r="I1754" s="252">
        <f t="shared" si="58"/>
        <v>0</v>
      </c>
      <c r="J1754" s="170" t="str">
        <f>IF(A1754="","",SUM($H$7:H1754)-SUM($I$7:I1754))</f>
        <v/>
      </c>
      <c r="K1754" s="34"/>
    </row>
    <row r="1755" spans="1:11" x14ac:dyDescent="0.2">
      <c r="A1755" s="44"/>
      <c r="B1755" s="44"/>
      <c r="C1755" s="35"/>
      <c r="D1755" s="44"/>
      <c r="E1755" s="44"/>
      <c r="F1755" s="44"/>
      <c r="G1755" s="130"/>
      <c r="H1755" s="252">
        <f t="shared" si="57"/>
        <v>0</v>
      </c>
      <c r="I1755" s="252">
        <f t="shared" si="58"/>
        <v>0</v>
      </c>
      <c r="J1755" s="170" t="str">
        <f>IF(A1755="","",SUM($H$7:H1755)-SUM($I$7:I1755))</f>
        <v/>
      </c>
      <c r="K1755" s="34"/>
    </row>
    <row r="1756" spans="1:11" x14ac:dyDescent="0.2">
      <c r="A1756" s="44"/>
      <c r="B1756" s="44"/>
      <c r="C1756" s="35"/>
      <c r="D1756" s="44"/>
      <c r="E1756" s="44"/>
      <c r="F1756" s="44"/>
      <c r="G1756" s="130"/>
      <c r="H1756" s="252">
        <f t="shared" si="57"/>
        <v>0</v>
      </c>
      <c r="I1756" s="252">
        <f t="shared" si="58"/>
        <v>0</v>
      </c>
      <c r="J1756" s="170" t="str">
        <f>IF(A1756="","",SUM($H$7:H1756)-SUM($I$7:I1756))</f>
        <v/>
      </c>
      <c r="K1756" s="34"/>
    </row>
    <row r="1757" spans="1:11" x14ac:dyDescent="0.2">
      <c r="A1757" s="44"/>
      <c r="B1757" s="44"/>
      <c r="C1757" s="35"/>
      <c r="D1757" s="44"/>
      <c r="E1757" s="44"/>
      <c r="F1757" s="44"/>
      <c r="G1757" s="130"/>
      <c r="H1757" s="252">
        <f t="shared" si="57"/>
        <v>0</v>
      </c>
      <c r="I1757" s="252">
        <f t="shared" si="58"/>
        <v>0</v>
      </c>
      <c r="J1757" s="170" t="str">
        <f>IF(A1757="","",SUM($H$7:H1757)-SUM($I$7:I1757))</f>
        <v/>
      </c>
      <c r="K1757" s="34"/>
    </row>
    <row r="1758" spans="1:11" x14ac:dyDescent="0.2">
      <c r="A1758" s="44"/>
      <c r="B1758" s="44"/>
      <c r="C1758" s="35"/>
      <c r="D1758" s="44"/>
      <c r="E1758" s="44"/>
      <c r="F1758" s="44"/>
      <c r="G1758" s="130"/>
      <c r="H1758" s="252">
        <f t="shared" si="57"/>
        <v>0</v>
      </c>
      <c r="I1758" s="252">
        <f t="shared" si="58"/>
        <v>0</v>
      </c>
      <c r="J1758" s="170" t="str">
        <f>IF(A1758="","",SUM($H$7:H1758)-SUM($I$7:I1758))</f>
        <v/>
      </c>
      <c r="K1758" s="34"/>
    </row>
    <row r="1759" spans="1:11" x14ac:dyDescent="0.2">
      <c r="A1759" s="44"/>
      <c r="B1759" s="44"/>
      <c r="C1759" s="35"/>
      <c r="D1759" s="44"/>
      <c r="E1759" s="44"/>
      <c r="F1759" s="44"/>
      <c r="G1759" s="130"/>
      <c r="H1759" s="252">
        <f t="shared" si="57"/>
        <v>0</v>
      </c>
      <c r="I1759" s="252">
        <f t="shared" si="58"/>
        <v>0</v>
      </c>
      <c r="J1759" s="170" t="str">
        <f>IF(A1759="","",SUM($H$7:H1759)-SUM($I$7:I1759))</f>
        <v/>
      </c>
      <c r="K1759" s="34"/>
    </row>
    <row r="1760" spans="1:11" x14ac:dyDescent="0.2">
      <c r="A1760" s="44"/>
      <c r="B1760" s="44"/>
      <c r="C1760" s="35"/>
      <c r="D1760" s="44"/>
      <c r="E1760" s="44"/>
      <c r="F1760" s="44"/>
      <c r="G1760" s="130"/>
      <c r="H1760" s="252">
        <f t="shared" si="57"/>
        <v>0</v>
      </c>
      <c r="I1760" s="252">
        <f t="shared" si="58"/>
        <v>0</v>
      </c>
      <c r="J1760" s="170" t="str">
        <f>IF(A1760="","",SUM($H$7:H1760)-SUM($I$7:I1760))</f>
        <v/>
      </c>
      <c r="K1760" s="34"/>
    </row>
    <row r="1761" spans="1:11" x14ac:dyDescent="0.2">
      <c r="A1761" s="44"/>
      <c r="B1761" s="44"/>
      <c r="C1761" s="35"/>
      <c r="D1761" s="44"/>
      <c r="E1761" s="44"/>
      <c r="F1761" s="44"/>
      <c r="G1761" s="130"/>
      <c r="H1761" s="252">
        <f t="shared" si="57"/>
        <v>0</v>
      </c>
      <c r="I1761" s="252">
        <f t="shared" si="58"/>
        <v>0</v>
      </c>
      <c r="J1761" s="170" t="str">
        <f>IF(A1761="","",SUM($H$7:H1761)-SUM($I$7:I1761))</f>
        <v/>
      </c>
      <c r="K1761" s="34"/>
    </row>
    <row r="1762" spans="1:11" x14ac:dyDescent="0.2">
      <c r="A1762" s="44"/>
      <c r="B1762" s="44"/>
      <c r="C1762" s="35"/>
      <c r="D1762" s="44"/>
      <c r="E1762" s="44"/>
      <c r="F1762" s="44"/>
      <c r="G1762" s="130"/>
      <c r="H1762" s="252">
        <f t="shared" si="57"/>
        <v>0</v>
      </c>
      <c r="I1762" s="252">
        <f t="shared" si="58"/>
        <v>0</v>
      </c>
      <c r="J1762" s="170" t="str">
        <f>IF(A1762="","",SUM($H$7:H1762)-SUM($I$7:I1762))</f>
        <v/>
      </c>
      <c r="K1762" s="34"/>
    </row>
    <row r="1763" spans="1:11" x14ac:dyDescent="0.2">
      <c r="A1763" s="44"/>
      <c r="B1763" s="44"/>
      <c r="C1763" s="35"/>
      <c r="D1763" s="44"/>
      <c r="E1763" s="44"/>
      <c r="F1763" s="44"/>
      <c r="G1763" s="130"/>
      <c r="H1763" s="252">
        <f t="shared" si="57"/>
        <v>0</v>
      </c>
      <c r="I1763" s="252">
        <f t="shared" si="58"/>
        <v>0</v>
      </c>
      <c r="J1763" s="170" t="str">
        <f>IF(A1763="","",SUM($H$7:H1763)-SUM($I$7:I1763))</f>
        <v/>
      </c>
      <c r="K1763" s="34"/>
    </row>
    <row r="1764" spans="1:11" x14ac:dyDescent="0.2">
      <c r="A1764" s="44"/>
      <c r="B1764" s="44"/>
      <c r="C1764" s="35"/>
      <c r="D1764" s="44"/>
      <c r="E1764" s="44"/>
      <c r="F1764" s="44"/>
      <c r="G1764" s="130"/>
      <c r="H1764" s="252">
        <f t="shared" si="57"/>
        <v>0</v>
      </c>
      <c r="I1764" s="252">
        <f t="shared" si="58"/>
        <v>0</v>
      </c>
      <c r="J1764" s="170" t="str">
        <f>IF(A1764="","",SUM($H$7:H1764)-SUM($I$7:I1764))</f>
        <v/>
      </c>
      <c r="K1764" s="34"/>
    </row>
    <row r="1765" spans="1:11" x14ac:dyDescent="0.2">
      <c r="A1765" s="44"/>
      <c r="B1765" s="44"/>
      <c r="C1765" s="35"/>
      <c r="D1765" s="44"/>
      <c r="E1765" s="44"/>
      <c r="F1765" s="44"/>
      <c r="G1765" s="130"/>
      <c r="H1765" s="252">
        <f t="shared" si="57"/>
        <v>0</v>
      </c>
      <c r="I1765" s="252">
        <f t="shared" si="58"/>
        <v>0</v>
      </c>
      <c r="J1765" s="170" t="str">
        <f>IF(A1765="","",SUM($H$7:H1765)-SUM($I$7:I1765))</f>
        <v/>
      </c>
      <c r="K1765" s="34"/>
    </row>
    <row r="1766" spans="1:11" x14ac:dyDescent="0.2">
      <c r="A1766" s="44"/>
      <c r="B1766" s="44"/>
      <c r="C1766" s="35"/>
      <c r="D1766" s="44"/>
      <c r="E1766" s="44"/>
      <c r="F1766" s="44"/>
      <c r="G1766" s="130"/>
      <c r="H1766" s="252">
        <f t="shared" si="57"/>
        <v>0</v>
      </c>
      <c r="I1766" s="252">
        <f t="shared" si="58"/>
        <v>0</v>
      </c>
      <c r="J1766" s="170" t="str">
        <f>IF(A1766="","",SUM($H$7:H1766)-SUM($I$7:I1766))</f>
        <v/>
      </c>
      <c r="K1766" s="34"/>
    </row>
    <row r="1767" spans="1:11" x14ac:dyDescent="0.2">
      <c r="A1767" s="44"/>
      <c r="B1767" s="44"/>
      <c r="C1767" s="35"/>
      <c r="D1767" s="44"/>
      <c r="E1767" s="44"/>
      <c r="F1767" s="44"/>
      <c r="G1767" s="130"/>
      <c r="H1767" s="252">
        <f t="shared" si="57"/>
        <v>0</v>
      </c>
      <c r="I1767" s="252">
        <f t="shared" si="58"/>
        <v>0</v>
      </c>
      <c r="J1767" s="170" t="str">
        <f>IF(A1767="","",SUM($H$7:H1767)-SUM($I$7:I1767))</f>
        <v/>
      </c>
      <c r="K1767" s="34"/>
    </row>
    <row r="1768" spans="1:11" x14ac:dyDescent="0.2">
      <c r="A1768" s="44"/>
      <c r="B1768" s="44"/>
      <c r="C1768" s="35"/>
      <c r="D1768" s="44"/>
      <c r="E1768" s="44"/>
      <c r="F1768" s="44"/>
      <c r="G1768" s="130"/>
      <c r="H1768" s="252">
        <f t="shared" si="57"/>
        <v>0</v>
      </c>
      <c r="I1768" s="252">
        <f t="shared" si="58"/>
        <v>0</v>
      </c>
      <c r="J1768" s="170" t="str">
        <f>IF(A1768="","",SUM($H$7:H1768)-SUM($I$7:I1768))</f>
        <v/>
      </c>
      <c r="K1768" s="34"/>
    </row>
    <row r="1769" spans="1:11" x14ac:dyDescent="0.2">
      <c r="A1769" s="44"/>
      <c r="B1769" s="44"/>
      <c r="C1769" s="35"/>
      <c r="D1769" s="44"/>
      <c r="E1769" s="44"/>
      <c r="F1769" s="44"/>
      <c r="G1769" s="130"/>
      <c r="H1769" s="252">
        <f t="shared" si="57"/>
        <v>0</v>
      </c>
      <c r="I1769" s="252">
        <f t="shared" si="58"/>
        <v>0</v>
      </c>
      <c r="J1769" s="170" t="str">
        <f>IF(A1769="","",SUM($H$7:H1769)-SUM($I$7:I1769))</f>
        <v/>
      </c>
      <c r="K1769" s="34"/>
    </row>
    <row r="1770" spans="1:11" x14ac:dyDescent="0.2">
      <c r="A1770" s="44"/>
      <c r="B1770" s="44"/>
      <c r="C1770" s="35"/>
      <c r="D1770" s="44"/>
      <c r="E1770" s="44"/>
      <c r="F1770" s="44"/>
      <c r="G1770" s="130"/>
      <c r="H1770" s="252">
        <f t="shared" si="57"/>
        <v>0</v>
      </c>
      <c r="I1770" s="252">
        <f t="shared" si="58"/>
        <v>0</v>
      </c>
      <c r="J1770" s="170" t="str">
        <f>IF(A1770="","",SUM($H$7:H1770)-SUM($I$7:I1770))</f>
        <v/>
      </c>
      <c r="K1770" s="34"/>
    </row>
    <row r="1771" spans="1:11" x14ac:dyDescent="0.2">
      <c r="A1771" s="44"/>
      <c r="B1771" s="44"/>
      <c r="C1771" s="35"/>
      <c r="D1771" s="44"/>
      <c r="E1771" s="44"/>
      <c r="F1771" s="44"/>
      <c r="G1771" s="130"/>
      <c r="H1771" s="252">
        <f t="shared" si="57"/>
        <v>0</v>
      </c>
      <c r="I1771" s="252">
        <f t="shared" si="58"/>
        <v>0</v>
      </c>
      <c r="J1771" s="170" t="str">
        <f>IF(A1771="","",SUM($H$7:H1771)-SUM($I$7:I1771))</f>
        <v/>
      </c>
      <c r="K1771" s="34"/>
    </row>
    <row r="1772" spans="1:11" x14ac:dyDescent="0.2">
      <c r="A1772" s="44"/>
      <c r="B1772" s="44"/>
      <c r="C1772" s="35"/>
      <c r="D1772" s="44"/>
      <c r="E1772" s="44"/>
      <c r="F1772" s="44"/>
      <c r="G1772" s="130"/>
      <c r="H1772" s="252">
        <f t="shared" si="57"/>
        <v>0</v>
      </c>
      <c r="I1772" s="252">
        <f t="shared" si="58"/>
        <v>0</v>
      </c>
      <c r="J1772" s="170" t="str">
        <f>IF(A1772="","",SUM($H$7:H1772)-SUM($I$7:I1772))</f>
        <v/>
      </c>
      <c r="K1772" s="34"/>
    </row>
    <row r="1773" spans="1:11" x14ac:dyDescent="0.2">
      <c r="A1773" s="44"/>
      <c r="B1773" s="44"/>
      <c r="C1773" s="35"/>
      <c r="D1773" s="44"/>
      <c r="E1773" s="44"/>
      <c r="F1773" s="44"/>
      <c r="G1773" s="130"/>
      <c r="H1773" s="252">
        <f t="shared" si="57"/>
        <v>0</v>
      </c>
      <c r="I1773" s="252">
        <f t="shared" si="58"/>
        <v>0</v>
      </c>
      <c r="J1773" s="170" t="str">
        <f>IF(A1773="","",SUM($H$7:H1773)-SUM($I$7:I1773))</f>
        <v/>
      </c>
      <c r="K1773" s="34"/>
    </row>
    <row r="1774" spans="1:11" x14ac:dyDescent="0.2">
      <c r="A1774" s="44"/>
      <c r="B1774" s="44"/>
      <c r="C1774" s="35"/>
      <c r="D1774" s="44"/>
      <c r="E1774" s="44"/>
      <c r="F1774" s="44"/>
      <c r="G1774" s="130"/>
      <c r="H1774" s="252">
        <f t="shared" si="57"/>
        <v>0</v>
      </c>
      <c r="I1774" s="252">
        <f t="shared" si="58"/>
        <v>0</v>
      </c>
      <c r="J1774" s="170" t="str">
        <f>IF(A1774="","",SUM($H$7:H1774)-SUM($I$7:I1774))</f>
        <v/>
      </c>
      <c r="K1774" s="34"/>
    </row>
    <row r="1775" spans="1:11" x14ac:dyDescent="0.2">
      <c r="A1775" s="44"/>
      <c r="B1775" s="44"/>
      <c r="C1775" s="35"/>
      <c r="D1775" s="44"/>
      <c r="E1775" s="44"/>
      <c r="F1775" s="44"/>
      <c r="G1775" s="130"/>
      <c r="H1775" s="252">
        <f t="shared" si="57"/>
        <v>0</v>
      </c>
      <c r="I1775" s="252">
        <f t="shared" si="58"/>
        <v>0</v>
      </c>
      <c r="J1775" s="170" t="str">
        <f>IF(A1775="","",SUM($H$7:H1775)-SUM($I$7:I1775))</f>
        <v/>
      </c>
      <c r="K1775" s="34"/>
    </row>
    <row r="1776" spans="1:11" x14ac:dyDescent="0.2">
      <c r="A1776" s="44"/>
      <c r="B1776" s="44"/>
      <c r="C1776" s="35"/>
      <c r="D1776" s="44"/>
      <c r="E1776" s="44"/>
      <c r="F1776" s="44"/>
      <c r="G1776" s="130"/>
      <c r="H1776" s="252">
        <f t="shared" si="57"/>
        <v>0</v>
      </c>
      <c r="I1776" s="252">
        <f t="shared" si="58"/>
        <v>0</v>
      </c>
      <c r="J1776" s="170" t="str">
        <f>IF(A1776="","",SUM($H$7:H1776)-SUM($I$7:I1776))</f>
        <v/>
      </c>
      <c r="K1776" s="34"/>
    </row>
    <row r="1777" spans="1:11" x14ac:dyDescent="0.2">
      <c r="A1777" s="44"/>
      <c r="B1777" s="44"/>
      <c r="C1777" s="35"/>
      <c r="D1777" s="44"/>
      <c r="E1777" s="44"/>
      <c r="F1777" s="44"/>
      <c r="G1777" s="130"/>
      <c r="H1777" s="252">
        <f t="shared" si="57"/>
        <v>0</v>
      </c>
      <c r="I1777" s="252">
        <f t="shared" si="58"/>
        <v>0</v>
      </c>
      <c r="J1777" s="170" t="str">
        <f>IF(A1777="","",SUM($H$7:H1777)-SUM($I$7:I1777))</f>
        <v/>
      </c>
      <c r="K1777" s="34"/>
    </row>
    <row r="1778" spans="1:11" x14ac:dyDescent="0.2">
      <c r="A1778" s="44"/>
      <c r="B1778" s="44"/>
      <c r="C1778" s="35"/>
      <c r="D1778" s="44"/>
      <c r="E1778" s="44"/>
      <c r="F1778" s="44"/>
      <c r="G1778" s="130"/>
      <c r="H1778" s="252">
        <f t="shared" si="57"/>
        <v>0</v>
      </c>
      <c r="I1778" s="252">
        <f t="shared" si="58"/>
        <v>0</v>
      </c>
      <c r="J1778" s="170" t="str">
        <f>IF(A1778="","",SUM($H$7:H1778)-SUM($I$7:I1778))</f>
        <v/>
      </c>
      <c r="K1778" s="34"/>
    </row>
    <row r="1779" spans="1:11" x14ac:dyDescent="0.2">
      <c r="A1779" s="44"/>
      <c r="B1779" s="44"/>
      <c r="C1779" s="35"/>
      <c r="D1779" s="44"/>
      <c r="E1779" s="44"/>
      <c r="F1779" s="44"/>
      <c r="G1779" s="130"/>
      <c r="H1779" s="252">
        <f t="shared" si="57"/>
        <v>0</v>
      </c>
      <c r="I1779" s="252">
        <f t="shared" si="58"/>
        <v>0</v>
      </c>
      <c r="J1779" s="170" t="str">
        <f>IF(A1779="","",SUM($H$7:H1779)-SUM($I$7:I1779))</f>
        <v/>
      </c>
      <c r="K1779" s="34"/>
    </row>
    <row r="1780" spans="1:11" x14ac:dyDescent="0.2">
      <c r="A1780" s="44"/>
      <c r="B1780" s="44"/>
      <c r="C1780" s="35"/>
      <c r="D1780" s="44"/>
      <c r="E1780" s="44"/>
      <c r="F1780" s="44"/>
      <c r="G1780" s="130"/>
      <c r="H1780" s="252">
        <f t="shared" si="57"/>
        <v>0</v>
      </c>
      <c r="I1780" s="252">
        <f t="shared" si="58"/>
        <v>0</v>
      </c>
      <c r="J1780" s="170" t="str">
        <f>IF(A1780="","",SUM($H$7:H1780)-SUM($I$7:I1780))</f>
        <v/>
      </c>
      <c r="K1780" s="34"/>
    </row>
    <row r="1781" spans="1:11" x14ac:dyDescent="0.2">
      <c r="A1781" s="44"/>
      <c r="B1781" s="44"/>
      <c r="C1781" s="35"/>
      <c r="D1781" s="44"/>
      <c r="E1781" s="44"/>
      <c r="F1781" s="44"/>
      <c r="G1781" s="130"/>
      <c r="H1781" s="252">
        <f t="shared" si="57"/>
        <v>0</v>
      </c>
      <c r="I1781" s="252">
        <f t="shared" si="58"/>
        <v>0</v>
      </c>
      <c r="J1781" s="170" t="str">
        <f>IF(A1781="","",SUM($H$7:H1781)-SUM($I$7:I1781))</f>
        <v/>
      </c>
      <c r="K1781" s="34"/>
    </row>
    <row r="1782" spans="1:11" x14ac:dyDescent="0.2">
      <c r="A1782" s="44"/>
      <c r="B1782" s="44"/>
      <c r="C1782" s="35"/>
      <c r="D1782" s="44"/>
      <c r="E1782" s="44"/>
      <c r="F1782" s="44"/>
      <c r="G1782" s="130"/>
      <c r="H1782" s="252">
        <f t="shared" ref="H1782:H1845" si="59">IF($C1782="Replenishment",$G1782,0)</f>
        <v>0</v>
      </c>
      <c r="I1782" s="252">
        <f t="shared" si="58"/>
        <v>0</v>
      </c>
      <c r="J1782" s="170" t="str">
        <f>IF(A1782="","",SUM($H$7:H1782)-SUM($I$7:I1782))</f>
        <v/>
      </c>
      <c r="K1782" s="34"/>
    </row>
    <row r="1783" spans="1:11" x14ac:dyDescent="0.2">
      <c r="A1783" s="44"/>
      <c r="B1783" s="44"/>
      <c r="C1783" s="35"/>
      <c r="D1783" s="44"/>
      <c r="E1783" s="44"/>
      <c r="F1783" s="44"/>
      <c r="G1783" s="130"/>
      <c r="H1783" s="252">
        <f t="shared" si="59"/>
        <v>0</v>
      </c>
      <c r="I1783" s="252">
        <f t="shared" si="58"/>
        <v>0</v>
      </c>
      <c r="J1783" s="170" t="str">
        <f>IF(A1783="","",SUM($H$7:H1783)-SUM($I$7:I1783))</f>
        <v/>
      </c>
      <c r="K1783" s="34"/>
    </row>
    <row r="1784" spans="1:11" x14ac:dyDescent="0.2">
      <c r="A1784" s="44"/>
      <c r="B1784" s="44"/>
      <c r="C1784" s="35"/>
      <c r="D1784" s="44"/>
      <c r="E1784" s="44"/>
      <c r="F1784" s="44"/>
      <c r="G1784" s="130"/>
      <c r="H1784" s="252">
        <f t="shared" si="59"/>
        <v>0</v>
      </c>
      <c r="I1784" s="252">
        <f t="shared" si="58"/>
        <v>0</v>
      </c>
      <c r="J1784" s="170" t="str">
        <f>IF(A1784="","",SUM($H$7:H1784)-SUM($I$7:I1784))</f>
        <v/>
      </c>
      <c r="K1784" s="34"/>
    </row>
    <row r="1785" spans="1:11" x14ac:dyDescent="0.2">
      <c r="A1785" s="44"/>
      <c r="B1785" s="44"/>
      <c r="C1785" s="35"/>
      <c r="D1785" s="44"/>
      <c r="E1785" s="44"/>
      <c r="F1785" s="44"/>
      <c r="G1785" s="130"/>
      <c r="H1785" s="252">
        <f t="shared" si="59"/>
        <v>0</v>
      </c>
      <c r="I1785" s="252">
        <f t="shared" si="58"/>
        <v>0</v>
      </c>
      <c r="J1785" s="170" t="str">
        <f>IF(A1785="","",SUM($H$7:H1785)-SUM($I$7:I1785))</f>
        <v/>
      </c>
      <c r="K1785" s="34"/>
    </row>
    <row r="1786" spans="1:11" x14ac:dyDescent="0.2">
      <c r="A1786" s="44"/>
      <c r="B1786" s="44"/>
      <c r="C1786" s="35"/>
      <c r="D1786" s="44"/>
      <c r="E1786" s="44"/>
      <c r="F1786" s="44"/>
      <c r="G1786" s="130"/>
      <c r="H1786" s="252">
        <f t="shared" si="59"/>
        <v>0</v>
      </c>
      <c r="I1786" s="252">
        <f t="shared" si="58"/>
        <v>0</v>
      </c>
      <c r="J1786" s="170" t="str">
        <f>IF(A1786="","",SUM($H$7:H1786)-SUM($I$7:I1786))</f>
        <v/>
      </c>
      <c r="K1786" s="34"/>
    </row>
    <row r="1787" spans="1:11" x14ac:dyDescent="0.2">
      <c r="A1787" s="44"/>
      <c r="B1787" s="44"/>
      <c r="C1787" s="35"/>
      <c r="D1787" s="44"/>
      <c r="E1787" s="44"/>
      <c r="F1787" s="44"/>
      <c r="G1787" s="130"/>
      <c r="H1787" s="252">
        <f t="shared" si="59"/>
        <v>0</v>
      </c>
      <c r="I1787" s="252">
        <f t="shared" si="58"/>
        <v>0</v>
      </c>
      <c r="J1787" s="170" t="str">
        <f>IF(A1787="","",SUM($H$7:H1787)-SUM($I$7:I1787))</f>
        <v/>
      </c>
      <c r="K1787" s="34"/>
    </row>
    <row r="1788" spans="1:11" x14ac:dyDescent="0.2">
      <c r="A1788" s="44"/>
      <c r="B1788" s="44"/>
      <c r="C1788" s="35"/>
      <c r="D1788" s="44"/>
      <c r="E1788" s="44"/>
      <c r="F1788" s="44"/>
      <c r="G1788" s="130"/>
      <c r="H1788" s="252">
        <f t="shared" si="59"/>
        <v>0</v>
      </c>
      <c r="I1788" s="252">
        <f t="shared" si="58"/>
        <v>0</v>
      </c>
      <c r="J1788" s="170" t="str">
        <f>IF(A1788="","",SUM($H$7:H1788)-SUM($I$7:I1788))</f>
        <v/>
      </c>
      <c r="K1788" s="34"/>
    </row>
    <row r="1789" spans="1:11" x14ac:dyDescent="0.2">
      <c r="A1789" s="44"/>
      <c r="B1789" s="44"/>
      <c r="C1789" s="35"/>
      <c r="D1789" s="44"/>
      <c r="E1789" s="44"/>
      <c r="F1789" s="44"/>
      <c r="G1789" s="130"/>
      <c r="H1789" s="252">
        <f t="shared" si="59"/>
        <v>0</v>
      </c>
      <c r="I1789" s="252">
        <f t="shared" si="58"/>
        <v>0</v>
      </c>
      <c r="J1789" s="170" t="str">
        <f>IF(A1789="","",SUM($H$7:H1789)-SUM($I$7:I1789))</f>
        <v/>
      </c>
      <c r="K1789" s="34"/>
    </row>
    <row r="1790" spans="1:11" x14ac:dyDescent="0.2">
      <c r="A1790" s="44"/>
      <c r="B1790" s="44"/>
      <c r="C1790" s="35"/>
      <c r="D1790" s="44"/>
      <c r="E1790" s="44"/>
      <c r="F1790" s="44"/>
      <c r="G1790" s="130"/>
      <c r="H1790" s="252">
        <f t="shared" si="59"/>
        <v>0</v>
      </c>
      <c r="I1790" s="252">
        <f t="shared" si="58"/>
        <v>0</v>
      </c>
      <c r="J1790" s="170" t="str">
        <f>IF(A1790="","",SUM($H$7:H1790)-SUM($I$7:I1790))</f>
        <v/>
      </c>
      <c r="K1790" s="34"/>
    </row>
    <row r="1791" spans="1:11" x14ac:dyDescent="0.2">
      <c r="A1791" s="44"/>
      <c r="B1791" s="44"/>
      <c r="C1791" s="35"/>
      <c r="D1791" s="44"/>
      <c r="E1791" s="44"/>
      <c r="F1791" s="44"/>
      <c r="G1791" s="130"/>
      <c r="H1791" s="252">
        <f t="shared" si="59"/>
        <v>0</v>
      </c>
      <c r="I1791" s="252">
        <f t="shared" si="58"/>
        <v>0</v>
      </c>
      <c r="J1791" s="170" t="str">
        <f>IF(A1791="","",SUM($H$7:H1791)-SUM($I$7:I1791))</f>
        <v/>
      </c>
      <c r="K1791" s="34"/>
    </row>
    <row r="1792" spans="1:11" x14ac:dyDescent="0.2">
      <c r="A1792" s="44"/>
      <c r="B1792" s="44"/>
      <c r="C1792" s="35"/>
      <c r="D1792" s="44"/>
      <c r="E1792" s="44"/>
      <c r="F1792" s="44"/>
      <c r="G1792" s="130"/>
      <c r="H1792" s="252">
        <f t="shared" si="59"/>
        <v>0</v>
      </c>
      <c r="I1792" s="252">
        <f t="shared" si="58"/>
        <v>0</v>
      </c>
      <c r="J1792" s="170" t="str">
        <f>IF(A1792="","",SUM($H$7:H1792)-SUM($I$7:I1792))</f>
        <v/>
      </c>
      <c r="K1792" s="34"/>
    </row>
    <row r="1793" spans="1:11" x14ac:dyDescent="0.2">
      <c r="A1793" s="44"/>
      <c r="B1793" s="44"/>
      <c r="C1793" s="35"/>
      <c r="D1793" s="44"/>
      <c r="E1793" s="44"/>
      <c r="F1793" s="44"/>
      <c r="G1793" s="130"/>
      <c r="H1793" s="252">
        <f t="shared" si="59"/>
        <v>0</v>
      </c>
      <c r="I1793" s="252">
        <f t="shared" si="58"/>
        <v>0</v>
      </c>
      <c r="J1793" s="170" t="str">
        <f>IF(A1793="","",SUM($H$7:H1793)-SUM($I$7:I1793))</f>
        <v/>
      </c>
      <c r="K1793" s="34"/>
    </row>
    <row r="1794" spans="1:11" x14ac:dyDescent="0.2">
      <c r="A1794" s="44"/>
      <c r="B1794" s="44"/>
      <c r="C1794" s="35"/>
      <c r="D1794" s="44"/>
      <c r="E1794" s="44"/>
      <c r="F1794" s="44"/>
      <c r="G1794" s="130"/>
      <c r="H1794" s="252">
        <f t="shared" si="59"/>
        <v>0</v>
      </c>
      <c r="I1794" s="252">
        <f t="shared" si="58"/>
        <v>0</v>
      </c>
      <c r="J1794" s="170" t="str">
        <f>IF(A1794="","",SUM($H$7:H1794)-SUM($I$7:I1794))</f>
        <v/>
      </c>
      <c r="K1794" s="34"/>
    </row>
    <row r="1795" spans="1:11" x14ac:dyDescent="0.2">
      <c r="A1795" s="44"/>
      <c r="B1795" s="44"/>
      <c r="C1795" s="35"/>
      <c r="D1795" s="44"/>
      <c r="E1795" s="44"/>
      <c r="F1795" s="44"/>
      <c r="G1795" s="130"/>
      <c r="H1795" s="252">
        <f t="shared" si="59"/>
        <v>0</v>
      </c>
      <c r="I1795" s="252">
        <f t="shared" si="58"/>
        <v>0</v>
      </c>
      <c r="J1795" s="170" t="str">
        <f>IF(A1795="","",SUM($H$7:H1795)-SUM($I$7:I1795))</f>
        <v/>
      </c>
      <c r="K1795" s="34"/>
    </row>
    <row r="1796" spans="1:11" x14ac:dyDescent="0.2">
      <c r="A1796" s="44"/>
      <c r="B1796" s="44"/>
      <c r="C1796" s="35"/>
      <c r="D1796" s="44"/>
      <c r="E1796" s="44"/>
      <c r="F1796" s="44"/>
      <c r="G1796" s="130"/>
      <c r="H1796" s="252">
        <f t="shared" si="59"/>
        <v>0</v>
      </c>
      <c r="I1796" s="252">
        <f t="shared" si="58"/>
        <v>0</v>
      </c>
      <c r="J1796" s="170" t="str">
        <f>IF(A1796="","",SUM($H$7:H1796)-SUM($I$7:I1796))</f>
        <v/>
      </c>
      <c r="K1796" s="34"/>
    </row>
    <row r="1797" spans="1:11" x14ac:dyDescent="0.2">
      <c r="A1797" s="44"/>
      <c r="B1797" s="44"/>
      <c r="C1797" s="35"/>
      <c r="D1797" s="44"/>
      <c r="E1797" s="44"/>
      <c r="F1797" s="44"/>
      <c r="G1797" s="130"/>
      <c r="H1797" s="252">
        <f t="shared" si="59"/>
        <v>0</v>
      </c>
      <c r="I1797" s="252">
        <f t="shared" si="58"/>
        <v>0</v>
      </c>
      <c r="J1797" s="170" t="str">
        <f>IF(A1797="","",SUM($H$7:H1797)-SUM($I$7:I1797))</f>
        <v/>
      </c>
      <c r="K1797" s="34"/>
    </row>
    <row r="1798" spans="1:11" x14ac:dyDescent="0.2">
      <c r="A1798" s="44"/>
      <c r="B1798" s="44"/>
      <c r="C1798" s="35"/>
      <c r="D1798" s="44"/>
      <c r="E1798" s="44"/>
      <c r="F1798" s="44"/>
      <c r="G1798" s="130"/>
      <c r="H1798" s="252">
        <f t="shared" si="59"/>
        <v>0</v>
      </c>
      <c r="I1798" s="252">
        <f t="shared" si="58"/>
        <v>0</v>
      </c>
      <c r="J1798" s="170" t="str">
        <f>IF(A1798="","",SUM($H$7:H1798)-SUM($I$7:I1798))</f>
        <v/>
      </c>
      <c r="K1798" s="34"/>
    </row>
    <row r="1799" spans="1:11" x14ac:dyDescent="0.2">
      <c r="A1799" s="44"/>
      <c r="B1799" s="44"/>
      <c r="C1799" s="35"/>
      <c r="D1799" s="44"/>
      <c r="E1799" s="44"/>
      <c r="F1799" s="44"/>
      <c r="G1799" s="130"/>
      <c r="H1799" s="252">
        <f t="shared" si="59"/>
        <v>0</v>
      </c>
      <c r="I1799" s="252">
        <f t="shared" ref="I1799:I1862" si="60">IF($C1799="Replenishment",0,$G1799)</f>
        <v>0</v>
      </c>
      <c r="J1799" s="170" t="str">
        <f>IF(A1799="","",SUM($H$7:H1799)-SUM($I$7:I1799))</f>
        <v/>
      </c>
      <c r="K1799" s="34"/>
    </row>
    <row r="1800" spans="1:11" x14ac:dyDescent="0.2">
      <c r="A1800" s="44"/>
      <c r="B1800" s="44"/>
      <c r="C1800" s="35"/>
      <c r="D1800" s="44"/>
      <c r="E1800" s="44"/>
      <c r="F1800" s="44"/>
      <c r="G1800" s="130"/>
      <c r="H1800" s="252">
        <f t="shared" si="59"/>
        <v>0</v>
      </c>
      <c r="I1800" s="252">
        <f t="shared" si="60"/>
        <v>0</v>
      </c>
      <c r="J1800" s="170" t="str">
        <f>IF(A1800="","",SUM($H$7:H1800)-SUM($I$7:I1800))</f>
        <v/>
      </c>
      <c r="K1800" s="34"/>
    </row>
    <row r="1801" spans="1:11" x14ac:dyDescent="0.2">
      <c r="A1801" s="44"/>
      <c r="B1801" s="44"/>
      <c r="C1801" s="35"/>
      <c r="D1801" s="44"/>
      <c r="E1801" s="44"/>
      <c r="F1801" s="44"/>
      <c r="G1801" s="130"/>
      <c r="H1801" s="252">
        <f t="shared" si="59"/>
        <v>0</v>
      </c>
      <c r="I1801" s="252">
        <f t="shared" si="60"/>
        <v>0</v>
      </c>
      <c r="J1801" s="170" t="str">
        <f>IF(A1801="","",SUM($H$7:H1801)-SUM($I$7:I1801))</f>
        <v/>
      </c>
      <c r="K1801" s="34"/>
    </row>
    <row r="1802" spans="1:11" x14ac:dyDescent="0.2">
      <c r="A1802" s="44"/>
      <c r="B1802" s="44"/>
      <c r="C1802" s="35"/>
      <c r="D1802" s="44"/>
      <c r="E1802" s="44"/>
      <c r="F1802" s="44"/>
      <c r="G1802" s="130"/>
      <c r="H1802" s="252">
        <f t="shared" si="59"/>
        <v>0</v>
      </c>
      <c r="I1802" s="252">
        <f t="shared" si="60"/>
        <v>0</v>
      </c>
      <c r="J1802" s="170" t="str">
        <f>IF(A1802="","",SUM($H$7:H1802)-SUM($I$7:I1802))</f>
        <v/>
      </c>
      <c r="K1802" s="34"/>
    </row>
    <row r="1803" spans="1:11" x14ac:dyDescent="0.2">
      <c r="A1803" s="44"/>
      <c r="B1803" s="44"/>
      <c r="C1803" s="35"/>
      <c r="D1803" s="44"/>
      <c r="E1803" s="44"/>
      <c r="F1803" s="44"/>
      <c r="G1803" s="130"/>
      <c r="H1803" s="252">
        <f t="shared" si="59"/>
        <v>0</v>
      </c>
      <c r="I1803" s="252">
        <f t="shared" si="60"/>
        <v>0</v>
      </c>
      <c r="J1803" s="170" t="str">
        <f>IF(A1803="","",SUM($H$7:H1803)-SUM($I$7:I1803))</f>
        <v/>
      </c>
      <c r="K1803" s="34"/>
    </row>
    <row r="1804" spans="1:11" x14ac:dyDescent="0.2">
      <c r="A1804" s="44"/>
      <c r="B1804" s="44"/>
      <c r="C1804" s="35"/>
      <c r="D1804" s="44"/>
      <c r="E1804" s="44"/>
      <c r="F1804" s="44"/>
      <c r="G1804" s="130"/>
      <c r="H1804" s="252">
        <f t="shared" si="59"/>
        <v>0</v>
      </c>
      <c r="I1804" s="252">
        <f t="shared" si="60"/>
        <v>0</v>
      </c>
      <c r="J1804" s="170" t="str">
        <f>IF(A1804="","",SUM($H$7:H1804)-SUM($I$7:I1804))</f>
        <v/>
      </c>
      <c r="K1804" s="34"/>
    </row>
    <row r="1805" spans="1:11" x14ac:dyDescent="0.2">
      <c r="A1805" s="44"/>
      <c r="B1805" s="44"/>
      <c r="C1805" s="35"/>
      <c r="D1805" s="44"/>
      <c r="E1805" s="44"/>
      <c r="F1805" s="44"/>
      <c r="G1805" s="130"/>
      <c r="H1805" s="252">
        <f t="shared" si="59"/>
        <v>0</v>
      </c>
      <c r="I1805" s="252">
        <f t="shared" si="60"/>
        <v>0</v>
      </c>
      <c r="J1805" s="170" t="str">
        <f>IF(A1805="","",SUM($H$7:H1805)-SUM($I$7:I1805))</f>
        <v/>
      </c>
      <c r="K1805" s="34"/>
    </row>
    <row r="1806" spans="1:11" x14ac:dyDescent="0.2">
      <c r="A1806" s="44"/>
      <c r="B1806" s="44"/>
      <c r="C1806" s="35"/>
      <c r="D1806" s="44"/>
      <c r="E1806" s="44"/>
      <c r="F1806" s="44"/>
      <c r="G1806" s="130"/>
      <c r="H1806" s="252">
        <f t="shared" si="59"/>
        <v>0</v>
      </c>
      <c r="I1806" s="252">
        <f t="shared" si="60"/>
        <v>0</v>
      </c>
      <c r="J1806" s="170" t="str">
        <f>IF(A1806="","",SUM($H$7:H1806)-SUM($I$7:I1806))</f>
        <v/>
      </c>
      <c r="K1806" s="34"/>
    </row>
    <row r="1807" spans="1:11" x14ac:dyDescent="0.2">
      <c r="A1807" s="44"/>
      <c r="B1807" s="44"/>
      <c r="C1807" s="35"/>
      <c r="D1807" s="44"/>
      <c r="E1807" s="44"/>
      <c r="F1807" s="44"/>
      <c r="G1807" s="130"/>
      <c r="H1807" s="252">
        <f t="shared" si="59"/>
        <v>0</v>
      </c>
      <c r="I1807" s="252">
        <f t="shared" si="60"/>
        <v>0</v>
      </c>
      <c r="J1807" s="170" t="str">
        <f>IF(A1807="","",SUM($H$7:H1807)-SUM($I$7:I1807))</f>
        <v/>
      </c>
      <c r="K1807" s="34"/>
    </row>
    <row r="1808" spans="1:11" x14ac:dyDescent="0.2">
      <c r="A1808" s="44"/>
      <c r="B1808" s="44"/>
      <c r="C1808" s="35"/>
      <c r="D1808" s="44"/>
      <c r="E1808" s="44"/>
      <c r="F1808" s="44"/>
      <c r="G1808" s="130"/>
      <c r="H1808" s="252">
        <f t="shared" si="59"/>
        <v>0</v>
      </c>
      <c r="I1808" s="252">
        <f t="shared" si="60"/>
        <v>0</v>
      </c>
      <c r="J1808" s="170" t="str">
        <f>IF(A1808="","",SUM($H$7:H1808)-SUM($I$7:I1808))</f>
        <v/>
      </c>
      <c r="K1808" s="34"/>
    </row>
    <row r="1809" spans="1:11" x14ac:dyDescent="0.2">
      <c r="A1809" s="44"/>
      <c r="B1809" s="44"/>
      <c r="C1809" s="35"/>
      <c r="D1809" s="44"/>
      <c r="E1809" s="44"/>
      <c r="F1809" s="44"/>
      <c r="G1809" s="130"/>
      <c r="H1809" s="252">
        <f t="shared" si="59"/>
        <v>0</v>
      </c>
      <c r="I1809" s="252">
        <f t="shared" si="60"/>
        <v>0</v>
      </c>
      <c r="J1809" s="170" t="str">
        <f>IF(A1809="","",SUM($H$7:H1809)-SUM($I$7:I1809))</f>
        <v/>
      </c>
      <c r="K1809" s="34"/>
    </row>
    <row r="1810" spans="1:11" x14ac:dyDescent="0.2">
      <c r="A1810" s="44"/>
      <c r="B1810" s="44"/>
      <c r="C1810" s="35"/>
      <c r="D1810" s="44"/>
      <c r="E1810" s="44"/>
      <c r="F1810" s="44"/>
      <c r="G1810" s="130"/>
      <c r="H1810" s="252">
        <f t="shared" si="59"/>
        <v>0</v>
      </c>
      <c r="I1810" s="252">
        <f t="shared" si="60"/>
        <v>0</v>
      </c>
      <c r="J1810" s="170" t="str">
        <f>IF(A1810="","",SUM($H$7:H1810)-SUM($I$7:I1810))</f>
        <v/>
      </c>
      <c r="K1810" s="34"/>
    </row>
    <row r="1811" spans="1:11" x14ac:dyDescent="0.2">
      <c r="A1811" s="44"/>
      <c r="B1811" s="44"/>
      <c r="C1811" s="35"/>
      <c r="D1811" s="44"/>
      <c r="E1811" s="44"/>
      <c r="F1811" s="44"/>
      <c r="G1811" s="130"/>
      <c r="H1811" s="252">
        <f t="shared" si="59"/>
        <v>0</v>
      </c>
      <c r="I1811" s="252">
        <f t="shared" si="60"/>
        <v>0</v>
      </c>
      <c r="J1811" s="170" t="str">
        <f>IF(A1811="","",SUM($H$7:H1811)-SUM($I$7:I1811))</f>
        <v/>
      </c>
      <c r="K1811" s="34"/>
    </row>
    <row r="1812" spans="1:11" x14ac:dyDescent="0.2">
      <c r="A1812" s="44"/>
      <c r="B1812" s="44"/>
      <c r="C1812" s="35"/>
      <c r="D1812" s="44"/>
      <c r="E1812" s="44"/>
      <c r="F1812" s="44"/>
      <c r="G1812" s="130"/>
      <c r="H1812" s="252">
        <f t="shared" si="59"/>
        <v>0</v>
      </c>
      <c r="I1812" s="252">
        <f t="shared" si="60"/>
        <v>0</v>
      </c>
      <c r="J1812" s="170" t="str">
        <f>IF(A1812="","",SUM($H$7:H1812)-SUM($I$7:I1812))</f>
        <v/>
      </c>
      <c r="K1812" s="34"/>
    </row>
    <row r="1813" spans="1:11" x14ac:dyDescent="0.2">
      <c r="A1813" s="44"/>
      <c r="B1813" s="44"/>
      <c r="C1813" s="35"/>
      <c r="D1813" s="44"/>
      <c r="E1813" s="44"/>
      <c r="F1813" s="44"/>
      <c r="G1813" s="130"/>
      <c r="H1813" s="252">
        <f t="shared" si="59"/>
        <v>0</v>
      </c>
      <c r="I1813" s="252">
        <f t="shared" si="60"/>
        <v>0</v>
      </c>
      <c r="J1813" s="170" t="str">
        <f>IF(A1813="","",SUM($H$7:H1813)-SUM($I$7:I1813))</f>
        <v/>
      </c>
      <c r="K1813" s="34"/>
    </row>
    <row r="1814" spans="1:11" x14ac:dyDescent="0.2">
      <c r="A1814" s="44"/>
      <c r="B1814" s="44"/>
      <c r="C1814" s="35"/>
      <c r="D1814" s="44"/>
      <c r="E1814" s="44"/>
      <c r="F1814" s="44"/>
      <c r="G1814" s="130"/>
      <c r="H1814" s="252">
        <f t="shared" si="59"/>
        <v>0</v>
      </c>
      <c r="I1814" s="252">
        <f t="shared" si="60"/>
        <v>0</v>
      </c>
      <c r="J1814" s="170" t="str">
        <f>IF(A1814="","",SUM($H$7:H1814)-SUM($I$7:I1814))</f>
        <v/>
      </c>
      <c r="K1814" s="34"/>
    </row>
    <row r="1815" spans="1:11" x14ac:dyDescent="0.2">
      <c r="A1815" s="44"/>
      <c r="B1815" s="44"/>
      <c r="C1815" s="35"/>
      <c r="D1815" s="44"/>
      <c r="E1815" s="44"/>
      <c r="F1815" s="44"/>
      <c r="G1815" s="130"/>
      <c r="H1815" s="252">
        <f t="shared" si="59"/>
        <v>0</v>
      </c>
      <c r="I1815" s="252">
        <f t="shared" si="60"/>
        <v>0</v>
      </c>
      <c r="J1815" s="170" t="str">
        <f>IF(A1815="","",SUM($H$7:H1815)-SUM($I$7:I1815))</f>
        <v/>
      </c>
      <c r="K1815" s="34"/>
    </row>
    <row r="1816" spans="1:11" x14ac:dyDescent="0.2">
      <c r="A1816" s="44"/>
      <c r="B1816" s="44"/>
      <c r="C1816" s="35"/>
      <c r="D1816" s="44"/>
      <c r="E1816" s="44"/>
      <c r="F1816" s="44"/>
      <c r="G1816" s="130"/>
      <c r="H1816" s="252">
        <f t="shared" si="59"/>
        <v>0</v>
      </c>
      <c r="I1816" s="252">
        <f t="shared" si="60"/>
        <v>0</v>
      </c>
      <c r="J1816" s="170" t="str">
        <f>IF(A1816="","",SUM($H$7:H1816)-SUM($I$7:I1816))</f>
        <v/>
      </c>
      <c r="K1816" s="34"/>
    </row>
    <row r="1817" spans="1:11" x14ac:dyDescent="0.2">
      <c r="A1817" s="44"/>
      <c r="B1817" s="44"/>
      <c r="C1817" s="35"/>
      <c r="D1817" s="44"/>
      <c r="E1817" s="44"/>
      <c r="F1817" s="44"/>
      <c r="G1817" s="130"/>
      <c r="H1817" s="252">
        <f t="shared" si="59"/>
        <v>0</v>
      </c>
      <c r="I1817" s="252">
        <f t="shared" si="60"/>
        <v>0</v>
      </c>
      <c r="J1817" s="170" t="str">
        <f>IF(A1817="","",SUM($H$7:H1817)-SUM($I$7:I1817))</f>
        <v/>
      </c>
      <c r="K1817" s="34"/>
    </row>
    <row r="1818" spans="1:11" x14ac:dyDescent="0.2">
      <c r="A1818" s="44"/>
      <c r="B1818" s="44"/>
      <c r="C1818" s="35"/>
      <c r="D1818" s="44"/>
      <c r="E1818" s="44"/>
      <c r="F1818" s="44"/>
      <c r="G1818" s="130"/>
      <c r="H1818" s="252">
        <f t="shared" si="59"/>
        <v>0</v>
      </c>
      <c r="I1818" s="252">
        <f t="shared" si="60"/>
        <v>0</v>
      </c>
      <c r="J1818" s="170" t="str">
        <f>IF(A1818="","",SUM($H$7:H1818)-SUM($I$7:I1818))</f>
        <v/>
      </c>
      <c r="K1818" s="34"/>
    </row>
    <row r="1819" spans="1:11" x14ac:dyDescent="0.2">
      <c r="A1819" s="44"/>
      <c r="B1819" s="44"/>
      <c r="C1819" s="35"/>
      <c r="D1819" s="44"/>
      <c r="E1819" s="44"/>
      <c r="F1819" s="44"/>
      <c r="G1819" s="130"/>
      <c r="H1819" s="252">
        <f t="shared" si="59"/>
        <v>0</v>
      </c>
      <c r="I1819" s="252">
        <f t="shared" si="60"/>
        <v>0</v>
      </c>
      <c r="J1819" s="170" t="str">
        <f>IF(A1819="","",SUM($H$7:H1819)-SUM($I$7:I1819))</f>
        <v/>
      </c>
      <c r="K1819" s="34"/>
    </row>
    <row r="1820" spans="1:11" x14ac:dyDescent="0.2">
      <c r="A1820" s="44"/>
      <c r="B1820" s="44"/>
      <c r="C1820" s="35"/>
      <c r="D1820" s="44"/>
      <c r="E1820" s="44"/>
      <c r="F1820" s="44"/>
      <c r="G1820" s="130"/>
      <c r="H1820" s="252">
        <f t="shared" si="59"/>
        <v>0</v>
      </c>
      <c r="I1820" s="252">
        <f t="shared" si="60"/>
        <v>0</v>
      </c>
      <c r="J1820" s="170" t="str">
        <f>IF(A1820="","",SUM($H$7:H1820)-SUM($I$7:I1820))</f>
        <v/>
      </c>
      <c r="K1820" s="34"/>
    </row>
    <row r="1821" spans="1:11" x14ac:dyDescent="0.2">
      <c r="A1821" s="44"/>
      <c r="B1821" s="44"/>
      <c r="C1821" s="35"/>
      <c r="D1821" s="44"/>
      <c r="E1821" s="44"/>
      <c r="F1821" s="44"/>
      <c r="G1821" s="130"/>
      <c r="H1821" s="252">
        <f t="shared" si="59"/>
        <v>0</v>
      </c>
      <c r="I1821" s="252">
        <f t="shared" si="60"/>
        <v>0</v>
      </c>
      <c r="J1821" s="170" t="str">
        <f>IF(A1821="","",SUM($H$7:H1821)-SUM($I$7:I1821))</f>
        <v/>
      </c>
      <c r="K1821" s="34"/>
    </row>
    <row r="1822" spans="1:11" x14ac:dyDescent="0.2">
      <c r="A1822" s="44"/>
      <c r="B1822" s="44"/>
      <c r="C1822" s="35"/>
      <c r="D1822" s="44"/>
      <c r="E1822" s="44"/>
      <c r="F1822" s="44"/>
      <c r="G1822" s="130"/>
      <c r="H1822" s="252">
        <f t="shared" si="59"/>
        <v>0</v>
      </c>
      <c r="I1822" s="252">
        <f t="shared" si="60"/>
        <v>0</v>
      </c>
      <c r="J1822" s="170" t="str">
        <f>IF(A1822="","",SUM($H$7:H1822)-SUM($I$7:I1822))</f>
        <v/>
      </c>
      <c r="K1822" s="34"/>
    </row>
    <row r="1823" spans="1:11" x14ac:dyDescent="0.2">
      <c r="A1823" s="44"/>
      <c r="B1823" s="44"/>
      <c r="C1823" s="35"/>
      <c r="D1823" s="44"/>
      <c r="E1823" s="44"/>
      <c r="F1823" s="44"/>
      <c r="G1823" s="130"/>
      <c r="H1823" s="252">
        <f t="shared" si="59"/>
        <v>0</v>
      </c>
      <c r="I1823" s="252">
        <f t="shared" si="60"/>
        <v>0</v>
      </c>
      <c r="J1823" s="170" t="str">
        <f>IF(A1823="","",SUM($H$7:H1823)-SUM($I$7:I1823))</f>
        <v/>
      </c>
      <c r="K1823" s="34"/>
    </row>
    <row r="1824" spans="1:11" x14ac:dyDescent="0.2">
      <c r="A1824" s="44"/>
      <c r="B1824" s="44"/>
      <c r="C1824" s="35"/>
      <c r="D1824" s="44"/>
      <c r="E1824" s="44"/>
      <c r="F1824" s="44"/>
      <c r="G1824" s="130"/>
      <c r="H1824" s="252">
        <f t="shared" si="59"/>
        <v>0</v>
      </c>
      <c r="I1824" s="252">
        <f t="shared" si="60"/>
        <v>0</v>
      </c>
      <c r="J1824" s="170" t="str">
        <f>IF(A1824="","",SUM($H$7:H1824)-SUM($I$7:I1824))</f>
        <v/>
      </c>
      <c r="K1824" s="34"/>
    </row>
    <row r="1825" spans="1:11" x14ac:dyDescent="0.2">
      <c r="A1825" s="44"/>
      <c r="B1825" s="44"/>
      <c r="C1825" s="35"/>
      <c r="D1825" s="44"/>
      <c r="E1825" s="44"/>
      <c r="F1825" s="44"/>
      <c r="G1825" s="130"/>
      <c r="H1825" s="252">
        <f t="shared" si="59"/>
        <v>0</v>
      </c>
      <c r="I1825" s="252">
        <f t="shared" si="60"/>
        <v>0</v>
      </c>
      <c r="J1825" s="170" t="str">
        <f>IF(A1825="","",SUM($H$7:H1825)-SUM($I$7:I1825))</f>
        <v/>
      </c>
      <c r="K1825" s="34"/>
    </row>
    <row r="1826" spans="1:11" x14ac:dyDescent="0.2">
      <c r="A1826" s="44"/>
      <c r="B1826" s="44"/>
      <c r="C1826" s="35"/>
      <c r="D1826" s="44"/>
      <c r="E1826" s="44"/>
      <c r="F1826" s="44"/>
      <c r="G1826" s="130"/>
      <c r="H1826" s="252">
        <f t="shared" si="59"/>
        <v>0</v>
      </c>
      <c r="I1826" s="252">
        <f t="shared" si="60"/>
        <v>0</v>
      </c>
      <c r="J1826" s="170" t="str">
        <f>IF(A1826="","",SUM($H$7:H1826)-SUM($I$7:I1826))</f>
        <v/>
      </c>
      <c r="K1826" s="34"/>
    </row>
    <row r="1827" spans="1:11" x14ac:dyDescent="0.2">
      <c r="A1827" s="44"/>
      <c r="B1827" s="44"/>
      <c r="C1827" s="35"/>
      <c r="D1827" s="44"/>
      <c r="E1827" s="44"/>
      <c r="F1827" s="44"/>
      <c r="G1827" s="130"/>
      <c r="H1827" s="252">
        <f t="shared" si="59"/>
        <v>0</v>
      </c>
      <c r="I1827" s="252">
        <f t="shared" si="60"/>
        <v>0</v>
      </c>
      <c r="J1827" s="170" t="str">
        <f>IF(A1827="","",SUM($H$7:H1827)-SUM($I$7:I1827))</f>
        <v/>
      </c>
      <c r="K1827" s="34"/>
    </row>
    <row r="1828" spans="1:11" x14ac:dyDescent="0.2">
      <c r="A1828" s="44"/>
      <c r="B1828" s="44"/>
      <c r="C1828" s="35"/>
      <c r="D1828" s="44"/>
      <c r="E1828" s="44"/>
      <c r="F1828" s="44"/>
      <c r="G1828" s="130"/>
      <c r="H1828" s="252">
        <f t="shared" si="59"/>
        <v>0</v>
      </c>
      <c r="I1828" s="252">
        <f t="shared" si="60"/>
        <v>0</v>
      </c>
      <c r="J1828" s="170" t="str">
        <f>IF(A1828="","",SUM($H$7:H1828)-SUM($I$7:I1828))</f>
        <v/>
      </c>
      <c r="K1828" s="34"/>
    </row>
    <row r="1829" spans="1:11" x14ac:dyDescent="0.2">
      <c r="A1829" s="44"/>
      <c r="B1829" s="44"/>
      <c r="C1829" s="35"/>
      <c r="D1829" s="44"/>
      <c r="E1829" s="44"/>
      <c r="F1829" s="44"/>
      <c r="G1829" s="130"/>
      <c r="H1829" s="252">
        <f t="shared" si="59"/>
        <v>0</v>
      </c>
      <c r="I1829" s="252">
        <f t="shared" si="60"/>
        <v>0</v>
      </c>
      <c r="J1829" s="170" t="str">
        <f>IF(A1829="","",SUM($H$7:H1829)-SUM($I$7:I1829))</f>
        <v/>
      </c>
      <c r="K1829" s="34"/>
    </row>
    <row r="1830" spans="1:11" x14ac:dyDescent="0.2">
      <c r="A1830" s="44"/>
      <c r="B1830" s="44"/>
      <c r="C1830" s="35"/>
      <c r="D1830" s="44"/>
      <c r="E1830" s="44"/>
      <c r="F1830" s="44"/>
      <c r="G1830" s="130"/>
      <c r="H1830" s="252">
        <f t="shared" si="59"/>
        <v>0</v>
      </c>
      <c r="I1830" s="252">
        <f t="shared" si="60"/>
        <v>0</v>
      </c>
      <c r="J1830" s="170" t="str">
        <f>IF(A1830="","",SUM($H$7:H1830)-SUM($I$7:I1830))</f>
        <v/>
      </c>
      <c r="K1830" s="34"/>
    </row>
    <row r="1831" spans="1:11" x14ac:dyDescent="0.2">
      <c r="A1831" s="44"/>
      <c r="B1831" s="44"/>
      <c r="C1831" s="35"/>
      <c r="D1831" s="44"/>
      <c r="E1831" s="44"/>
      <c r="F1831" s="44"/>
      <c r="G1831" s="130"/>
      <c r="H1831" s="252">
        <f t="shared" si="59"/>
        <v>0</v>
      </c>
      <c r="I1831" s="252">
        <f t="shared" si="60"/>
        <v>0</v>
      </c>
      <c r="J1831" s="170" t="str">
        <f>IF(A1831="","",SUM($H$7:H1831)-SUM($I$7:I1831))</f>
        <v/>
      </c>
      <c r="K1831" s="34"/>
    </row>
    <row r="1832" spans="1:11" x14ac:dyDescent="0.2">
      <c r="A1832" s="44"/>
      <c r="B1832" s="44"/>
      <c r="C1832" s="35"/>
      <c r="D1832" s="44"/>
      <c r="E1832" s="44"/>
      <c r="F1832" s="44"/>
      <c r="G1832" s="130"/>
      <c r="H1832" s="252">
        <f t="shared" si="59"/>
        <v>0</v>
      </c>
      <c r="I1832" s="252">
        <f t="shared" si="60"/>
        <v>0</v>
      </c>
      <c r="J1832" s="170" t="str">
        <f>IF(A1832="","",SUM($H$7:H1832)-SUM($I$7:I1832))</f>
        <v/>
      </c>
      <c r="K1832" s="34"/>
    </row>
    <row r="1833" spans="1:11" x14ac:dyDescent="0.2">
      <c r="A1833" s="44"/>
      <c r="B1833" s="44"/>
      <c r="C1833" s="35"/>
      <c r="D1833" s="44"/>
      <c r="E1833" s="44"/>
      <c r="F1833" s="44"/>
      <c r="G1833" s="130"/>
      <c r="H1833" s="252">
        <f t="shared" si="59"/>
        <v>0</v>
      </c>
      <c r="I1833" s="252">
        <f t="shared" si="60"/>
        <v>0</v>
      </c>
      <c r="J1833" s="170" t="str">
        <f>IF(A1833="","",SUM($H$7:H1833)-SUM($I$7:I1833))</f>
        <v/>
      </c>
      <c r="K1833" s="34"/>
    </row>
    <row r="1834" spans="1:11" x14ac:dyDescent="0.2">
      <c r="A1834" s="44"/>
      <c r="B1834" s="44"/>
      <c r="C1834" s="35"/>
      <c r="D1834" s="44"/>
      <c r="E1834" s="44"/>
      <c r="F1834" s="44"/>
      <c r="G1834" s="130"/>
      <c r="H1834" s="252">
        <f t="shared" si="59"/>
        <v>0</v>
      </c>
      <c r="I1834" s="252">
        <f t="shared" si="60"/>
        <v>0</v>
      </c>
      <c r="J1834" s="170" t="str">
        <f>IF(A1834="","",SUM($H$7:H1834)-SUM($I$7:I1834))</f>
        <v/>
      </c>
      <c r="K1834" s="34"/>
    </row>
    <row r="1835" spans="1:11" x14ac:dyDescent="0.2">
      <c r="A1835" s="44"/>
      <c r="B1835" s="44"/>
      <c r="C1835" s="35"/>
      <c r="D1835" s="44"/>
      <c r="E1835" s="44"/>
      <c r="F1835" s="44"/>
      <c r="G1835" s="130"/>
      <c r="H1835" s="252">
        <f t="shared" si="59"/>
        <v>0</v>
      </c>
      <c r="I1835" s="252">
        <f t="shared" si="60"/>
        <v>0</v>
      </c>
      <c r="J1835" s="170" t="str">
        <f>IF(A1835="","",SUM($H$7:H1835)-SUM($I$7:I1835))</f>
        <v/>
      </c>
      <c r="K1835" s="34"/>
    </row>
    <row r="1836" spans="1:11" x14ac:dyDescent="0.2">
      <c r="A1836" s="44"/>
      <c r="B1836" s="44"/>
      <c r="C1836" s="35"/>
      <c r="D1836" s="44"/>
      <c r="E1836" s="44"/>
      <c r="F1836" s="44"/>
      <c r="G1836" s="130"/>
      <c r="H1836" s="252">
        <f t="shared" si="59"/>
        <v>0</v>
      </c>
      <c r="I1836" s="252">
        <f t="shared" si="60"/>
        <v>0</v>
      </c>
      <c r="J1836" s="170" t="str">
        <f>IF(A1836="","",SUM($H$7:H1836)-SUM($I$7:I1836))</f>
        <v/>
      </c>
      <c r="K1836" s="34"/>
    </row>
    <row r="1837" spans="1:11" x14ac:dyDescent="0.2">
      <c r="A1837" s="44"/>
      <c r="B1837" s="44"/>
      <c r="C1837" s="35"/>
      <c r="D1837" s="44"/>
      <c r="E1837" s="44"/>
      <c r="F1837" s="44"/>
      <c r="G1837" s="130"/>
      <c r="H1837" s="252">
        <f t="shared" si="59"/>
        <v>0</v>
      </c>
      <c r="I1837" s="252">
        <f t="shared" si="60"/>
        <v>0</v>
      </c>
      <c r="J1837" s="170" t="str">
        <f>IF(A1837="","",SUM($H$7:H1837)-SUM($I$7:I1837))</f>
        <v/>
      </c>
      <c r="K1837" s="34"/>
    </row>
    <row r="1838" spans="1:11" x14ac:dyDescent="0.2">
      <c r="A1838" s="44"/>
      <c r="B1838" s="44"/>
      <c r="C1838" s="35"/>
      <c r="D1838" s="44"/>
      <c r="E1838" s="44"/>
      <c r="F1838" s="44"/>
      <c r="G1838" s="130"/>
      <c r="H1838" s="252">
        <f t="shared" si="59"/>
        <v>0</v>
      </c>
      <c r="I1838" s="252">
        <f t="shared" si="60"/>
        <v>0</v>
      </c>
      <c r="J1838" s="170" t="str">
        <f>IF(A1838="","",SUM($H$7:H1838)-SUM($I$7:I1838))</f>
        <v/>
      </c>
      <c r="K1838" s="34"/>
    </row>
    <row r="1839" spans="1:11" x14ac:dyDescent="0.2">
      <c r="A1839" s="44"/>
      <c r="B1839" s="44"/>
      <c r="C1839" s="35"/>
      <c r="D1839" s="44"/>
      <c r="E1839" s="44"/>
      <c r="F1839" s="44"/>
      <c r="G1839" s="130"/>
      <c r="H1839" s="252">
        <f t="shared" si="59"/>
        <v>0</v>
      </c>
      <c r="I1839" s="252">
        <f t="shared" si="60"/>
        <v>0</v>
      </c>
      <c r="J1839" s="170" t="str">
        <f>IF(A1839="","",SUM($H$7:H1839)-SUM($I$7:I1839))</f>
        <v/>
      </c>
      <c r="K1839" s="34"/>
    </row>
    <row r="1840" spans="1:11" x14ac:dyDescent="0.2">
      <c r="A1840" s="44"/>
      <c r="B1840" s="44"/>
      <c r="C1840" s="35"/>
      <c r="D1840" s="44"/>
      <c r="E1840" s="44"/>
      <c r="F1840" s="44"/>
      <c r="G1840" s="130"/>
      <c r="H1840" s="252">
        <f t="shared" si="59"/>
        <v>0</v>
      </c>
      <c r="I1840" s="252">
        <f t="shared" si="60"/>
        <v>0</v>
      </c>
      <c r="J1840" s="170" t="str">
        <f>IF(A1840="","",SUM($H$7:H1840)-SUM($I$7:I1840))</f>
        <v/>
      </c>
      <c r="K1840" s="34"/>
    </row>
    <row r="1841" spans="1:11" x14ac:dyDescent="0.2">
      <c r="A1841" s="44"/>
      <c r="B1841" s="44"/>
      <c r="C1841" s="35"/>
      <c r="D1841" s="44"/>
      <c r="E1841" s="44"/>
      <c r="F1841" s="44"/>
      <c r="G1841" s="130"/>
      <c r="H1841" s="252">
        <f t="shared" si="59"/>
        <v>0</v>
      </c>
      <c r="I1841" s="252">
        <f t="shared" si="60"/>
        <v>0</v>
      </c>
      <c r="J1841" s="170" t="str">
        <f>IF(A1841="","",SUM($H$7:H1841)-SUM($I$7:I1841))</f>
        <v/>
      </c>
      <c r="K1841" s="34"/>
    </row>
    <row r="1842" spans="1:11" x14ac:dyDescent="0.2">
      <c r="A1842" s="44"/>
      <c r="B1842" s="44"/>
      <c r="C1842" s="35"/>
      <c r="D1842" s="44"/>
      <c r="E1842" s="44"/>
      <c r="F1842" s="44"/>
      <c r="G1842" s="130"/>
      <c r="H1842" s="252">
        <f t="shared" si="59"/>
        <v>0</v>
      </c>
      <c r="I1842" s="252">
        <f t="shared" si="60"/>
        <v>0</v>
      </c>
      <c r="J1842" s="170" t="str">
        <f>IF(A1842="","",SUM($H$7:H1842)-SUM($I$7:I1842))</f>
        <v/>
      </c>
      <c r="K1842" s="34"/>
    </row>
    <row r="1843" spans="1:11" x14ac:dyDescent="0.2">
      <c r="A1843" s="44"/>
      <c r="B1843" s="44"/>
      <c r="C1843" s="35"/>
      <c r="D1843" s="44"/>
      <c r="E1843" s="44"/>
      <c r="F1843" s="44"/>
      <c r="G1843" s="130"/>
      <c r="H1843" s="252">
        <f t="shared" si="59"/>
        <v>0</v>
      </c>
      <c r="I1843" s="252">
        <f t="shared" si="60"/>
        <v>0</v>
      </c>
      <c r="J1843" s="170" t="str">
        <f>IF(A1843="","",SUM($H$7:H1843)-SUM($I$7:I1843))</f>
        <v/>
      </c>
      <c r="K1843" s="34"/>
    </row>
    <row r="1844" spans="1:11" x14ac:dyDescent="0.2">
      <c r="A1844" s="44"/>
      <c r="B1844" s="44"/>
      <c r="C1844" s="35"/>
      <c r="D1844" s="44"/>
      <c r="E1844" s="44"/>
      <c r="F1844" s="44"/>
      <c r="G1844" s="130"/>
      <c r="H1844" s="252">
        <f t="shared" si="59"/>
        <v>0</v>
      </c>
      <c r="I1844" s="252">
        <f t="shared" si="60"/>
        <v>0</v>
      </c>
      <c r="J1844" s="170" t="str">
        <f>IF(A1844="","",SUM($H$7:H1844)-SUM($I$7:I1844))</f>
        <v/>
      </c>
      <c r="K1844" s="34"/>
    </row>
    <row r="1845" spans="1:11" x14ac:dyDescent="0.2">
      <c r="A1845" s="44"/>
      <c r="B1845" s="44"/>
      <c r="C1845" s="35"/>
      <c r="D1845" s="44"/>
      <c r="E1845" s="44"/>
      <c r="F1845" s="44"/>
      <c r="G1845" s="130"/>
      <c r="H1845" s="252">
        <f t="shared" si="59"/>
        <v>0</v>
      </c>
      <c r="I1845" s="252">
        <f t="shared" si="60"/>
        <v>0</v>
      </c>
      <c r="J1845" s="170" t="str">
        <f>IF(A1845="","",SUM($H$7:H1845)-SUM($I$7:I1845))</f>
        <v/>
      </c>
      <c r="K1845" s="34"/>
    </row>
    <row r="1846" spans="1:11" x14ac:dyDescent="0.2">
      <c r="A1846" s="44"/>
      <c r="B1846" s="44"/>
      <c r="C1846" s="35"/>
      <c r="D1846" s="44"/>
      <c r="E1846" s="44"/>
      <c r="F1846" s="44"/>
      <c r="G1846" s="130"/>
      <c r="H1846" s="252">
        <f t="shared" ref="H1846:H1909" si="61">IF($C1846="Replenishment",$G1846,0)</f>
        <v>0</v>
      </c>
      <c r="I1846" s="252">
        <f t="shared" si="60"/>
        <v>0</v>
      </c>
      <c r="J1846" s="170" t="str">
        <f>IF(A1846="","",SUM($H$7:H1846)-SUM($I$7:I1846))</f>
        <v/>
      </c>
      <c r="K1846" s="34"/>
    </row>
    <row r="1847" spans="1:11" x14ac:dyDescent="0.2">
      <c r="A1847" s="44"/>
      <c r="B1847" s="44"/>
      <c r="C1847" s="35"/>
      <c r="D1847" s="44"/>
      <c r="E1847" s="44"/>
      <c r="F1847" s="44"/>
      <c r="G1847" s="130"/>
      <c r="H1847" s="252">
        <f t="shared" si="61"/>
        <v>0</v>
      </c>
      <c r="I1847" s="252">
        <f t="shared" si="60"/>
        <v>0</v>
      </c>
      <c r="J1847" s="170" t="str">
        <f>IF(A1847="","",SUM($H$7:H1847)-SUM($I$7:I1847))</f>
        <v/>
      </c>
      <c r="K1847" s="34"/>
    </row>
    <row r="1848" spans="1:11" x14ac:dyDescent="0.2">
      <c r="A1848" s="44"/>
      <c r="B1848" s="44"/>
      <c r="C1848" s="35"/>
      <c r="D1848" s="44"/>
      <c r="E1848" s="44"/>
      <c r="F1848" s="44"/>
      <c r="G1848" s="130"/>
      <c r="H1848" s="252">
        <f t="shared" si="61"/>
        <v>0</v>
      </c>
      <c r="I1848" s="252">
        <f t="shared" si="60"/>
        <v>0</v>
      </c>
      <c r="J1848" s="170" t="str">
        <f>IF(A1848="","",SUM($H$7:H1848)-SUM($I$7:I1848))</f>
        <v/>
      </c>
      <c r="K1848" s="34"/>
    </row>
    <row r="1849" spans="1:11" x14ac:dyDescent="0.2">
      <c r="A1849" s="44"/>
      <c r="B1849" s="44"/>
      <c r="C1849" s="35"/>
      <c r="D1849" s="44"/>
      <c r="E1849" s="44"/>
      <c r="F1849" s="44"/>
      <c r="G1849" s="130"/>
      <c r="H1849" s="252">
        <f t="shared" si="61"/>
        <v>0</v>
      </c>
      <c r="I1849" s="252">
        <f t="shared" si="60"/>
        <v>0</v>
      </c>
      <c r="J1849" s="170" t="str">
        <f>IF(A1849="","",SUM($H$7:H1849)-SUM($I$7:I1849))</f>
        <v/>
      </c>
      <c r="K1849" s="34"/>
    </row>
    <row r="1850" spans="1:11" x14ac:dyDescent="0.2">
      <c r="A1850" s="44"/>
      <c r="B1850" s="44"/>
      <c r="C1850" s="35"/>
      <c r="D1850" s="44"/>
      <c r="E1850" s="44"/>
      <c r="F1850" s="44"/>
      <c r="G1850" s="130"/>
      <c r="H1850" s="252">
        <f t="shared" si="61"/>
        <v>0</v>
      </c>
      <c r="I1850" s="252">
        <f t="shared" si="60"/>
        <v>0</v>
      </c>
      <c r="J1850" s="170" t="str">
        <f>IF(A1850="","",SUM($H$7:H1850)-SUM($I$7:I1850))</f>
        <v/>
      </c>
      <c r="K1850" s="34"/>
    </row>
    <row r="1851" spans="1:11" x14ac:dyDescent="0.2">
      <c r="A1851" s="44"/>
      <c r="B1851" s="44"/>
      <c r="C1851" s="35"/>
      <c r="D1851" s="44"/>
      <c r="E1851" s="44"/>
      <c r="F1851" s="44"/>
      <c r="G1851" s="130"/>
      <c r="H1851" s="252">
        <f t="shared" si="61"/>
        <v>0</v>
      </c>
      <c r="I1851" s="252">
        <f t="shared" si="60"/>
        <v>0</v>
      </c>
      <c r="J1851" s="170" t="str">
        <f>IF(A1851="","",SUM($H$7:H1851)-SUM($I$7:I1851))</f>
        <v/>
      </c>
      <c r="K1851" s="34"/>
    </row>
    <row r="1852" spans="1:11" x14ac:dyDescent="0.2">
      <c r="A1852" s="44"/>
      <c r="B1852" s="44"/>
      <c r="C1852" s="35"/>
      <c r="D1852" s="44"/>
      <c r="E1852" s="44"/>
      <c r="F1852" s="44"/>
      <c r="G1852" s="130"/>
      <c r="H1852" s="252">
        <f t="shared" si="61"/>
        <v>0</v>
      </c>
      <c r="I1852" s="252">
        <f t="shared" si="60"/>
        <v>0</v>
      </c>
      <c r="J1852" s="170" t="str">
        <f>IF(A1852="","",SUM($H$7:H1852)-SUM($I$7:I1852))</f>
        <v/>
      </c>
      <c r="K1852" s="34"/>
    </row>
    <row r="1853" spans="1:11" x14ac:dyDescent="0.2">
      <c r="A1853" s="44"/>
      <c r="B1853" s="44"/>
      <c r="C1853" s="35"/>
      <c r="D1853" s="44"/>
      <c r="E1853" s="44"/>
      <c r="F1853" s="44"/>
      <c r="G1853" s="130"/>
      <c r="H1853" s="252">
        <f t="shared" si="61"/>
        <v>0</v>
      </c>
      <c r="I1853" s="252">
        <f t="shared" si="60"/>
        <v>0</v>
      </c>
      <c r="J1853" s="170" t="str">
        <f>IF(A1853="","",SUM($H$7:H1853)-SUM($I$7:I1853))</f>
        <v/>
      </c>
      <c r="K1853" s="34"/>
    </row>
    <row r="1854" spans="1:11" x14ac:dyDescent="0.2">
      <c r="A1854" s="44"/>
      <c r="B1854" s="44"/>
      <c r="C1854" s="35"/>
      <c r="D1854" s="44"/>
      <c r="E1854" s="44"/>
      <c r="F1854" s="44"/>
      <c r="G1854" s="130"/>
      <c r="H1854" s="252">
        <f t="shared" si="61"/>
        <v>0</v>
      </c>
      <c r="I1854" s="252">
        <f t="shared" si="60"/>
        <v>0</v>
      </c>
      <c r="J1854" s="170" t="str">
        <f>IF(A1854="","",SUM($H$7:H1854)-SUM($I$7:I1854))</f>
        <v/>
      </c>
      <c r="K1854" s="34"/>
    </row>
    <row r="1855" spans="1:11" x14ac:dyDescent="0.2">
      <c r="A1855" s="44"/>
      <c r="B1855" s="44"/>
      <c r="C1855" s="35"/>
      <c r="D1855" s="44"/>
      <c r="E1855" s="44"/>
      <c r="F1855" s="44"/>
      <c r="G1855" s="130"/>
      <c r="H1855" s="252">
        <f t="shared" si="61"/>
        <v>0</v>
      </c>
      <c r="I1855" s="252">
        <f t="shared" si="60"/>
        <v>0</v>
      </c>
      <c r="J1855" s="170" t="str">
        <f>IF(A1855="","",SUM($H$7:H1855)-SUM($I$7:I1855))</f>
        <v/>
      </c>
      <c r="K1855" s="34"/>
    </row>
    <row r="1856" spans="1:11" x14ac:dyDescent="0.2">
      <c r="A1856" s="44"/>
      <c r="B1856" s="44"/>
      <c r="C1856" s="35"/>
      <c r="D1856" s="44"/>
      <c r="E1856" s="44"/>
      <c r="F1856" s="44"/>
      <c r="G1856" s="130"/>
      <c r="H1856" s="252">
        <f t="shared" si="61"/>
        <v>0</v>
      </c>
      <c r="I1856" s="252">
        <f t="shared" si="60"/>
        <v>0</v>
      </c>
      <c r="J1856" s="170" t="str">
        <f>IF(A1856="","",SUM($H$7:H1856)-SUM($I$7:I1856))</f>
        <v/>
      </c>
      <c r="K1856" s="34"/>
    </row>
    <row r="1857" spans="1:11" x14ac:dyDescent="0.2">
      <c r="A1857" s="44"/>
      <c r="B1857" s="44"/>
      <c r="C1857" s="35"/>
      <c r="D1857" s="44"/>
      <c r="E1857" s="44"/>
      <c r="F1857" s="44"/>
      <c r="G1857" s="130"/>
      <c r="H1857" s="252">
        <f t="shared" si="61"/>
        <v>0</v>
      </c>
      <c r="I1857" s="252">
        <f t="shared" si="60"/>
        <v>0</v>
      </c>
      <c r="J1857" s="170" t="str">
        <f>IF(A1857="","",SUM($H$7:H1857)-SUM($I$7:I1857))</f>
        <v/>
      </c>
      <c r="K1857" s="34"/>
    </row>
    <row r="1858" spans="1:11" x14ac:dyDescent="0.2">
      <c r="A1858" s="44"/>
      <c r="B1858" s="44"/>
      <c r="C1858" s="35"/>
      <c r="D1858" s="44"/>
      <c r="E1858" s="44"/>
      <c r="F1858" s="44"/>
      <c r="G1858" s="130"/>
      <c r="H1858" s="252">
        <f t="shared" si="61"/>
        <v>0</v>
      </c>
      <c r="I1858" s="252">
        <f t="shared" si="60"/>
        <v>0</v>
      </c>
      <c r="J1858" s="170" t="str">
        <f>IF(A1858="","",SUM($H$7:H1858)-SUM($I$7:I1858))</f>
        <v/>
      </c>
      <c r="K1858" s="34"/>
    </row>
    <row r="1859" spans="1:11" x14ac:dyDescent="0.2">
      <c r="A1859" s="44"/>
      <c r="B1859" s="44"/>
      <c r="C1859" s="35"/>
      <c r="D1859" s="44"/>
      <c r="E1859" s="44"/>
      <c r="F1859" s="44"/>
      <c r="G1859" s="130"/>
      <c r="H1859" s="252">
        <f t="shared" si="61"/>
        <v>0</v>
      </c>
      <c r="I1859" s="252">
        <f t="shared" si="60"/>
        <v>0</v>
      </c>
      <c r="J1859" s="170" t="str">
        <f>IF(A1859="","",SUM($H$7:H1859)-SUM($I$7:I1859))</f>
        <v/>
      </c>
      <c r="K1859" s="34"/>
    </row>
    <row r="1860" spans="1:11" x14ac:dyDescent="0.2">
      <c r="A1860" s="44"/>
      <c r="B1860" s="44"/>
      <c r="C1860" s="35"/>
      <c r="D1860" s="44"/>
      <c r="E1860" s="44"/>
      <c r="F1860" s="44"/>
      <c r="G1860" s="130"/>
      <c r="H1860" s="252">
        <f t="shared" si="61"/>
        <v>0</v>
      </c>
      <c r="I1860" s="252">
        <f t="shared" si="60"/>
        <v>0</v>
      </c>
      <c r="J1860" s="170" t="str">
        <f>IF(A1860="","",SUM($H$7:H1860)-SUM($I$7:I1860))</f>
        <v/>
      </c>
      <c r="K1860" s="34"/>
    </row>
    <row r="1861" spans="1:11" x14ac:dyDescent="0.2">
      <c r="A1861" s="44"/>
      <c r="B1861" s="44"/>
      <c r="C1861" s="35"/>
      <c r="D1861" s="44"/>
      <c r="E1861" s="44"/>
      <c r="F1861" s="44"/>
      <c r="G1861" s="130"/>
      <c r="H1861" s="252">
        <f t="shared" si="61"/>
        <v>0</v>
      </c>
      <c r="I1861" s="252">
        <f t="shared" si="60"/>
        <v>0</v>
      </c>
      <c r="J1861" s="170" t="str">
        <f>IF(A1861="","",SUM($H$7:H1861)-SUM($I$7:I1861))</f>
        <v/>
      </c>
      <c r="K1861" s="34"/>
    </row>
    <row r="1862" spans="1:11" x14ac:dyDescent="0.2">
      <c r="A1862" s="44"/>
      <c r="B1862" s="44"/>
      <c r="C1862" s="35"/>
      <c r="D1862" s="44"/>
      <c r="E1862" s="44"/>
      <c r="F1862" s="44"/>
      <c r="G1862" s="130"/>
      <c r="H1862" s="252">
        <f t="shared" si="61"/>
        <v>0</v>
      </c>
      <c r="I1862" s="252">
        <f t="shared" si="60"/>
        <v>0</v>
      </c>
      <c r="J1862" s="170" t="str">
        <f>IF(A1862="","",SUM($H$7:H1862)-SUM($I$7:I1862))</f>
        <v/>
      </c>
      <c r="K1862" s="34"/>
    </row>
    <row r="1863" spans="1:11" x14ac:dyDescent="0.2">
      <c r="A1863" s="44"/>
      <c r="B1863" s="44"/>
      <c r="C1863" s="35"/>
      <c r="D1863" s="44"/>
      <c r="E1863" s="44"/>
      <c r="F1863" s="44"/>
      <c r="G1863" s="130"/>
      <c r="H1863" s="252">
        <f t="shared" si="61"/>
        <v>0</v>
      </c>
      <c r="I1863" s="252">
        <f t="shared" ref="I1863:I1926" si="62">IF($C1863="Replenishment",0,$G1863)</f>
        <v>0</v>
      </c>
      <c r="J1863" s="170" t="str">
        <f>IF(A1863="","",SUM($H$7:H1863)-SUM($I$7:I1863))</f>
        <v/>
      </c>
      <c r="K1863" s="34"/>
    </row>
    <row r="1864" spans="1:11" x14ac:dyDescent="0.2">
      <c r="A1864" s="44"/>
      <c r="B1864" s="44"/>
      <c r="C1864" s="35"/>
      <c r="D1864" s="44"/>
      <c r="E1864" s="44"/>
      <c r="F1864" s="44"/>
      <c r="G1864" s="130"/>
      <c r="H1864" s="252">
        <f t="shared" si="61"/>
        <v>0</v>
      </c>
      <c r="I1864" s="252">
        <f t="shared" si="62"/>
        <v>0</v>
      </c>
      <c r="J1864" s="170" t="str">
        <f>IF(A1864="","",SUM($H$7:H1864)-SUM($I$7:I1864))</f>
        <v/>
      </c>
      <c r="K1864" s="34"/>
    </row>
    <row r="1865" spans="1:11" x14ac:dyDescent="0.2">
      <c r="A1865" s="44"/>
      <c r="B1865" s="44"/>
      <c r="C1865" s="35"/>
      <c r="D1865" s="44"/>
      <c r="E1865" s="44"/>
      <c r="F1865" s="44"/>
      <c r="G1865" s="130"/>
      <c r="H1865" s="252">
        <f t="shared" si="61"/>
        <v>0</v>
      </c>
      <c r="I1865" s="252">
        <f t="shared" si="62"/>
        <v>0</v>
      </c>
      <c r="J1865" s="170" t="str">
        <f>IF(A1865="","",SUM($H$7:H1865)-SUM($I$7:I1865))</f>
        <v/>
      </c>
      <c r="K1865" s="34"/>
    </row>
    <row r="1866" spans="1:11" x14ac:dyDescent="0.2">
      <c r="A1866" s="44"/>
      <c r="B1866" s="44"/>
      <c r="C1866" s="35"/>
      <c r="D1866" s="44"/>
      <c r="E1866" s="44"/>
      <c r="F1866" s="44"/>
      <c r="G1866" s="130"/>
      <c r="H1866" s="252">
        <f t="shared" si="61"/>
        <v>0</v>
      </c>
      <c r="I1866" s="252">
        <f t="shared" si="62"/>
        <v>0</v>
      </c>
      <c r="J1866" s="170" t="str">
        <f>IF(A1866="","",SUM($H$7:H1866)-SUM($I$7:I1866))</f>
        <v/>
      </c>
      <c r="K1866" s="34"/>
    </row>
    <row r="1867" spans="1:11" x14ac:dyDescent="0.2">
      <c r="A1867" s="44"/>
      <c r="B1867" s="44"/>
      <c r="C1867" s="35"/>
      <c r="D1867" s="44"/>
      <c r="E1867" s="44"/>
      <c r="F1867" s="44"/>
      <c r="G1867" s="130"/>
      <c r="H1867" s="252">
        <f t="shared" si="61"/>
        <v>0</v>
      </c>
      <c r="I1867" s="252">
        <f t="shared" si="62"/>
        <v>0</v>
      </c>
      <c r="J1867" s="170" t="str">
        <f>IF(A1867="","",SUM($H$7:H1867)-SUM($I$7:I1867))</f>
        <v/>
      </c>
      <c r="K1867" s="34"/>
    </row>
    <row r="1868" spans="1:11" x14ac:dyDescent="0.2">
      <c r="A1868" s="44"/>
      <c r="B1868" s="44"/>
      <c r="C1868" s="35"/>
      <c r="D1868" s="44"/>
      <c r="E1868" s="44"/>
      <c r="F1868" s="44"/>
      <c r="G1868" s="130"/>
      <c r="H1868" s="252">
        <f t="shared" si="61"/>
        <v>0</v>
      </c>
      <c r="I1868" s="252">
        <f t="shared" si="62"/>
        <v>0</v>
      </c>
      <c r="J1868" s="170" t="str">
        <f>IF(A1868="","",SUM($H$7:H1868)-SUM($I$7:I1868))</f>
        <v/>
      </c>
      <c r="K1868" s="34"/>
    </row>
    <row r="1869" spans="1:11" x14ac:dyDescent="0.2">
      <c r="A1869" s="44"/>
      <c r="B1869" s="44"/>
      <c r="C1869" s="35"/>
      <c r="D1869" s="44"/>
      <c r="E1869" s="44"/>
      <c r="F1869" s="44"/>
      <c r="G1869" s="130"/>
      <c r="H1869" s="252">
        <f t="shared" si="61"/>
        <v>0</v>
      </c>
      <c r="I1869" s="252">
        <f t="shared" si="62"/>
        <v>0</v>
      </c>
      <c r="J1869" s="170" t="str">
        <f>IF(A1869="","",SUM($H$7:H1869)-SUM($I$7:I1869))</f>
        <v/>
      </c>
      <c r="K1869" s="34"/>
    </row>
    <row r="1870" spans="1:11" x14ac:dyDescent="0.2">
      <c r="A1870" s="44"/>
      <c r="B1870" s="44"/>
      <c r="C1870" s="35"/>
      <c r="D1870" s="44"/>
      <c r="E1870" s="44"/>
      <c r="F1870" s="44"/>
      <c r="G1870" s="130"/>
      <c r="H1870" s="252">
        <f t="shared" si="61"/>
        <v>0</v>
      </c>
      <c r="I1870" s="252">
        <f t="shared" si="62"/>
        <v>0</v>
      </c>
      <c r="J1870" s="170" t="str">
        <f>IF(A1870="","",SUM($H$7:H1870)-SUM($I$7:I1870))</f>
        <v/>
      </c>
      <c r="K1870" s="34"/>
    </row>
    <row r="1871" spans="1:11" x14ac:dyDescent="0.2">
      <c r="A1871" s="44"/>
      <c r="B1871" s="44"/>
      <c r="C1871" s="35"/>
      <c r="D1871" s="44"/>
      <c r="E1871" s="44"/>
      <c r="F1871" s="44"/>
      <c r="G1871" s="130"/>
      <c r="H1871" s="252">
        <f t="shared" si="61"/>
        <v>0</v>
      </c>
      <c r="I1871" s="252">
        <f t="shared" si="62"/>
        <v>0</v>
      </c>
      <c r="J1871" s="170" t="str">
        <f>IF(A1871="","",SUM($H$7:H1871)-SUM($I$7:I1871))</f>
        <v/>
      </c>
      <c r="K1871" s="34"/>
    </row>
    <row r="1872" spans="1:11" x14ac:dyDescent="0.2">
      <c r="A1872" s="44"/>
      <c r="B1872" s="44"/>
      <c r="C1872" s="35"/>
      <c r="D1872" s="44"/>
      <c r="E1872" s="44"/>
      <c r="F1872" s="44"/>
      <c r="G1872" s="130"/>
      <c r="H1872" s="252">
        <f t="shared" si="61"/>
        <v>0</v>
      </c>
      <c r="I1872" s="252">
        <f t="shared" si="62"/>
        <v>0</v>
      </c>
      <c r="J1872" s="170" t="str">
        <f>IF(A1872="","",SUM($H$7:H1872)-SUM($I$7:I1872))</f>
        <v/>
      </c>
      <c r="K1872" s="34"/>
    </row>
    <row r="1873" spans="1:11" x14ac:dyDescent="0.2">
      <c r="A1873" s="44"/>
      <c r="B1873" s="44"/>
      <c r="C1873" s="35"/>
      <c r="D1873" s="44"/>
      <c r="E1873" s="44"/>
      <c r="F1873" s="44"/>
      <c r="G1873" s="130"/>
      <c r="H1873" s="252">
        <f t="shared" si="61"/>
        <v>0</v>
      </c>
      <c r="I1873" s="252">
        <f t="shared" si="62"/>
        <v>0</v>
      </c>
      <c r="J1873" s="170" t="str">
        <f>IF(A1873="","",SUM($H$7:H1873)-SUM($I$7:I1873))</f>
        <v/>
      </c>
      <c r="K1873" s="34"/>
    </row>
    <row r="1874" spans="1:11" x14ac:dyDescent="0.2">
      <c r="A1874" s="44"/>
      <c r="B1874" s="44"/>
      <c r="C1874" s="35"/>
      <c r="D1874" s="44"/>
      <c r="E1874" s="44"/>
      <c r="F1874" s="44"/>
      <c r="G1874" s="130"/>
      <c r="H1874" s="252">
        <f t="shared" si="61"/>
        <v>0</v>
      </c>
      <c r="I1874" s="252">
        <f t="shared" si="62"/>
        <v>0</v>
      </c>
      <c r="J1874" s="170" t="str">
        <f>IF(A1874="","",SUM($H$7:H1874)-SUM($I$7:I1874))</f>
        <v/>
      </c>
      <c r="K1874" s="34"/>
    </row>
    <row r="1875" spans="1:11" x14ac:dyDescent="0.2">
      <c r="A1875" s="44"/>
      <c r="B1875" s="44"/>
      <c r="C1875" s="35"/>
      <c r="D1875" s="44"/>
      <c r="E1875" s="44"/>
      <c r="F1875" s="44"/>
      <c r="G1875" s="130"/>
      <c r="H1875" s="252">
        <f t="shared" si="61"/>
        <v>0</v>
      </c>
      <c r="I1875" s="252">
        <f t="shared" si="62"/>
        <v>0</v>
      </c>
      <c r="J1875" s="170" t="str">
        <f>IF(A1875="","",SUM($H$7:H1875)-SUM($I$7:I1875))</f>
        <v/>
      </c>
      <c r="K1875" s="34"/>
    </row>
    <row r="1876" spans="1:11" x14ac:dyDescent="0.2">
      <c r="A1876" s="44"/>
      <c r="B1876" s="44"/>
      <c r="C1876" s="35"/>
      <c r="D1876" s="44"/>
      <c r="E1876" s="44"/>
      <c r="F1876" s="44"/>
      <c r="G1876" s="130"/>
      <c r="H1876" s="252">
        <f t="shared" si="61"/>
        <v>0</v>
      </c>
      <c r="I1876" s="252">
        <f t="shared" si="62"/>
        <v>0</v>
      </c>
      <c r="J1876" s="170" t="str">
        <f>IF(A1876="","",SUM($H$7:H1876)-SUM($I$7:I1876))</f>
        <v/>
      </c>
      <c r="K1876" s="34"/>
    </row>
    <row r="1877" spans="1:11" x14ac:dyDescent="0.2">
      <c r="A1877" s="44"/>
      <c r="B1877" s="44"/>
      <c r="C1877" s="35"/>
      <c r="D1877" s="44"/>
      <c r="E1877" s="44"/>
      <c r="F1877" s="44"/>
      <c r="G1877" s="130"/>
      <c r="H1877" s="252">
        <f t="shared" si="61"/>
        <v>0</v>
      </c>
      <c r="I1877" s="252">
        <f t="shared" si="62"/>
        <v>0</v>
      </c>
      <c r="J1877" s="170" t="str">
        <f>IF(A1877="","",SUM($H$7:H1877)-SUM($I$7:I1877))</f>
        <v/>
      </c>
      <c r="K1877" s="34"/>
    </row>
    <row r="1878" spans="1:11" x14ac:dyDescent="0.2">
      <c r="A1878" s="44"/>
      <c r="B1878" s="44"/>
      <c r="C1878" s="35"/>
      <c r="D1878" s="44"/>
      <c r="E1878" s="44"/>
      <c r="F1878" s="44"/>
      <c r="G1878" s="130"/>
      <c r="H1878" s="252">
        <f t="shared" si="61"/>
        <v>0</v>
      </c>
      <c r="I1878" s="252">
        <f t="shared" si="62"/>
        <v>0</v>
      </c>
      <c r="J1878" s="170" t="str">
        <f>IF(A1878="","",SUM($H$7:H1878)-SUM($I$7:I1878))</f>
        <v/>
      </c>
      <c r="K1878" s="34"/>
    </row>
    <row r="1879" spans="1:11" x14ac:dyDescent="0.2">
      <c r="A1879" s="44"/>
      <c r="B1879" s="44"/>
      <c r="C1879" s="35"/>
      <c r="D1879" s="44"/>
      <c r="E1879" s="44"/>
      <c r="F1879" s="44"/>
      <c r="G1879" s="130"/>
      <c r="H1879" s="252">
        <f t="shared" si="61"/>
        <v>0</v>
      </c>
      <c r="I1879" s="252">
        <f t="shared" si="62"/>
        <v>0</v>
      </c>
      <c r="J1879" s="170" t="str">
        <f>IF(A1879="","",SUM($H$7:H1879)-SUM($I$7:I1879))</f>
        <v/>
      </c>
      <c r="K1879" s="34"/>
    </row>
    <row r="1880" spans="1:11" x14ac:dyDescent="0.2">
      <c r="A1880" s="44"/>
      <c r="B1880" s="44"/>
      <c r="C1880" s="35"/>
      <c r="D1880" s="44"/>
      <c r="E1880" s="44"/>
      <c r="F1880" s="44"/>
      <c r="G1880" s="130"/>
      <c r="H1880" s="252">
        <f t="shared" si="61"/>
        <v>0</v>
      </c>
      <c r="I1880" s="252">
        <f t="shared" si="62"/>
        <v>0</v>
      </c>
      <c r="J1880" s="170" t="str">
        <f>IF(A1880="","",SUM($H$7:H1880)-SUM($I$7:I1880))</f>
        <v/>
      </c>
      <c r="K1880" s="34"/>
    </row>
    <row r="1881" spans="1:11" x14ac:dyDescent="0.2">
      <c r="A1881" s="44"/>
      <c r="B1881" s="44"/>
      <c r="C1881" s="35"/>
      <c r="D1881" s="44"/>
      <c r="E1881" s="44"/>
      <c r="F1881" s="44"/>
      <c r="G1881" s="130"/>
      <c r="H1881" s="252">
        <f t="shared" si="61"/>
        <v>0</v>
      </c>
      <c r="I1881" s="252">
        <f t="shared" si="62"/>
        <v>0</v>
      </c>
      <c r="J1881" s="170" t="str">
        <f>IF(A1881="","",SUM($H$7:H1881)-SUM($I$7:I1881))</f>
        <v/>
      </c>
      <c r="K1881" s="34"/>
    </row>
    <row r="1882" spans="1:11" x14ac:dyDescent="0.2">
      <c r="A1882" s="44"/>
      <c r="B1882" s="44"/>
      <c r="C1882" s="35"/>
      <c r="D1882" s="44"/>
      <c r="E1882" s="44"/>
      <c r="F1882" s="44"/>
      <c r="G1882" s="130"/>
      <c r="H1882" s="252">
        <f t="shared" si="61"/>
        <v>0</v>
      </c>
      <c r="I1882" s="252">
        <f t="shared" si="62"/>
        <v>0</v>
      </c>
      <c r="J1882" s="170" t="str">
        <f>IF(A1882="","",SUM($H$7:H1882)-SUM($I$7:I1882))</f>
        <v/>
      </c>
      <c r="K1882" s="34"/>
    </row>
    <row r="1883" spans="1:11" x14ac:dyDescent="0.2">
      <c r="A1883" s="44"/>
      <c r="B1883" s="44"/>
      <c r="C1883" s="35"/>
      <c r="D1883" s="44"/>
      <c r="E1883" s="44"/>
      <c r="F1883" s="44"/>
      <c r="G1883" s="130"/>
      <c r="H1883" s="252">
        <f t="shared" si="61"/>
        <v>0</v>
      </c>
      <c r="I1883" s="252">
        <f t="shared" si="62"/>
        <v>0</v>
      </c>
      <c r="J1883" s="170" t="str">
        <f>IF(A1883="","",SUM($H$7:H1883)-SUM($I$7:I1883))</f>
        <v/>
      </c>
      <c r="K1883" s="34"/>
    </row>
    <row r="1884" spans="1:11" x14ac:dyDescent="0.2">
      <c r="A1884" s="44"/>
      <c r="B1884" s="44"/>
      <c r="C1884" s="35"/>
      <c r="D1884" s="44"/>
      <c r="E1884" s="44"/>
      <c r="F1884" s="44"/>
      <c r="G1884" s="130"/>
      <c r="H1884" s="252">
        <f t="shared" si="61"/>
        <v>0</v>
      </c>
      <c r="I1884" s="252">
        <f t="shared" si="62"/>
        <v>0</v>
      </c>
      <c r="J1884" s="170" t="str">
        <f>IF(A1884="","",SUM($H$7:H1884)-SUM($I$7:I1884))</f>
        <v/>
      </c>
      <c r="K1884" s="34"/>
    </row>
    <row r="1885" spans="1:11" x14ac:dyDescent="0.2">
      <c r="A1885" s="44"/>
      <c r="B1885" s="44"/>
      <c r="C1885" s="35"/>
      <c r="D1885" s="44"/>
      <c r="E1885" s="44"/>
      <c r="F1885" s="44"/>
      <c r="G1885" s="130"/>
      <c r="H1885" s="252">
        <f t="shared" si="61"/>
        <v>0</v>
      </c>
      <c r="I1885" s="252">
        <f t="shared" si="62"/>
        <v>0</v>
      </c>
      <c r="J1885" s="170" t="str">
        <f>IF(A1885="","",SUM($H$7:H1885)-SUM($I$7:I1885))</f>
        <v/>
      </c>
      <c r="K1885" s="34"/>
    </row>
    <row r="1886" spans="1:11" x14ac:dyDescent="0.2">
      <c r="A1886" s="44"/>
      <c r="B1886" s="44"/>
      <c r="C1886" s="35"/>
      <c r="D1886" s="44"/>
      <c r="E1886" s="44"/>
      <c r="F1886" s="44"/>
      <c r="G1886" s="130"/>
      <c r="H1886" s="252">
        <f t="shared" si="61"/>
        <v>0</v>
      </c>
      <c r="I1886" s="252">
        <f t="shared" si="62"/>
        <v>0</v>
      </c>
      <c r="J1886" s="170" t="str">
        <f>IF(A1886="","",SUM($H$7:H1886)-SUM($I$7:I1886))</f>
        <v/>
      </c>
      <c r="K1886" s="34"/>
    </row>
    <row r="1887" spans="1:11" x14ac:dyDescent="0.2">
      <c r="A1887" s="44"/>
      <c r="B1887" s="44"/>
      <c r="C1887" s="35"/>
      <c r="D1887" s="44"/>
      <c r="E1887" s="44"/>
      <c r="F1887" s="44"/>
      <c r="G1887" s="130"/>
      <c r="H1887" s="252">
        <f t="shared" si="61"/>
        <v>0</v>
      </c>
      <c r="I1887" s="252">
        <f t="shared" si="62"/>
        <v>0</v>
      </c>
      <c r="J1887" s="170" t="str">
        <f>IF(A1887="","",SUM($H$7:H1887)-SUM($I$7:I1887))</f>
        <v/>
      </c>
      <c r="K1887" s="34"/>
    </row>
    <row r="1888" spans="1:11" x14ac:dyDescent="0.2">
      <c r="A1888" s="44"/>
      <c r="B1888" s="44"/>
      <c r="C1888" s="35"/>
      <c r="D1888" s="44"/>
      <c r="E1888" s="44"/>
      <c r="F1888" s="44"/>
      <c r="G1888" s="130"/>
      <c r="H1888" s="252">
        <f t="shared" si="61"/>
        <v>0</v>
      </c>
      <c r="I1888" s="252">
        <f t="shared" si="62"/>
        <v>0</v>
      </c>
      <c r="J1888" s="170" t="str">
        <f>IF(A1888="","",SUM($H$7:H1888)-SUM($I$7:I1888))</f>
        <v/>
      </c>
      <c r="K1888" s="34"/>
    </row>
    <row r="1889" spans="1:11" x14ac:dyDescent="0.2">
      <c r="A1889" s="44"/>
      <c r="B1889" s="44"/>
      <c r="C1889" s="35"/>
      <c r="D1889" s="44"/>
      <c r="E1889" s="44"/>
      <c r="F1889" s="44"/>
      <c r="G1889" s="130"/>
      <c r="H1889" s="252">
        <f t="shared" si="61"/>
        <v>0</v>
      </c>
      <c r="I1889" s="252">
        <f t="shared" si="62"/>
        <v>0</v>
      </c>
      <c r="J1889" s="170" t="str">
        <f>IF(A1889="","",SUM($H$7:H1889)-SUM($I$7:I1889))</f>
        <v/>
      </c>
      <c r="K1889" s="34"/>
    </row>
    <row r="1890" spans="1:11" x14ac:dyDescent="0.2">
      <c r="A1890" s="44"/>
      <c r="B1890" s="44"/>
      <c r="C1890" s="35"/>
      <c r="D1890" s="44"/>
      <c r="E1890" s="44"/>
      <c r="F1890" s="44"/>
      <c r="G1890" s="130"/>
      <c r="H1890" s="252">
        <f t="shared" si="61"/>
        <v>0</v>
      </c>
      <c r="I1890" s="252">
        <f t="shared" si="62"/>
        <v>0</v>
      </c>
      <c r="J1890" s="170" t="str">
        <f>IF(A1890="","",SUM($H$7:H1890)-SUM($I$7:I1890))</f>
        <v/>
      </c>
      <c r="K1890" s="34"/>
    </row>
    <row r="1891" spans="1:11" x14ac:dyDescent="0.2">
      <c r="A1891" s="44"/>
      <c r="B1891" s="44"/>
      <c r="C1891" s="35"/>
      <c r="D1891" s="44"/>
      <c r="E1891" s="44"/>
      <c r="F1891" s="44"/>
      <c r="G1891" s="130"/>
      <c r="H1891" s="252">
        <f t="shared" si="61"/>
        <v>0</v>
      </c>
      <c r="I1891" s="252">
        <f t="shared" si="62"/>
        <v>0</v>
      </c>
      <c r="J1891" s="170" t="str">
        <f>IF(A1891="","",SUM($H$7:H1891)-SUM($I$7:I1891))</f>
        <v/>
      </c>
      <c r="K1891" s="34"/>
    </row>
    <row r="1892" spans="1:11" x14ac:dyDescent="0.2">
      <c r="A1892" s="44"/>
      <c r="B1892" s="44"/>
      <c r="C1892" s="35"/>
      <c r="D1892" s="44"/>
      <c r="E1892" s="44"/>
      <c r="F1892" s="44"/>
      <c r="G1892" s="130"/>
      <c r="H1892" s="252">
        <f t="shared" si="61"/>
        <v>0</v>
      </c>
      <c r="I1892" s="252">
        <f t="shared" si="62"/>
        <v>0</v>
      </c>
      <c r="J1892" s="170" t="str">
        <f>IF(A1892="","",SUM($H$7:H1892)-SUM($I$7:I1892))</f>
        <v/>
      </c>
      <c r="K1892" s="34"/>
    </row>
    <row r="1893" spans="1:11" x14ac:dyDescent="0.2">
      <c r="A1893" s="44"/>
      <c r="B1893" s="44"/>
      <c r="C1893" s="35"/>
      <c r="D1893" s="44"/>
      <c r="E1893" s="44"/>
      <c r="F1893" s="44"/>
      <c r="G1893" s="130"/>
      <c r="H1893" s="252">
        <f t="shared" si="61"/>
        <v>0</v>
      </c>
      <c r="I1893" s="252">
        <f t="shared" si="62"/>
        <v>0</v>
      </c>
      <c r="J1893" s="170" t="str">
        <f>IF(A1893="","",SUM($H$7:H1893)-SUM($I$7:I1893))</f>
        <v/>
      </c>
      <c r="K1893" s="34"/>
    </row>
    <row r="1894" spans="1:11" x14ac:dyDescent="0.2">
      <c r="A1894" s="44"/>
      <c r="B1894" s="44"/>
      <c r="C1894" s="35"/>
      <c r="D1894" s="44"/>
      <c r="E1894" s="44"/>
      <c r="F1894" s="44"/>
      <c r="G1894" s="130"/>
      <c r="H1894" s="252">
        <f t="shared" si="61"/>
        <v>0</v>
      </c>
      <c r="I1894" s="252">
        <f t="shared" si="62"/>
        <v>0</v>
      </c>
      <c r="J1894" s="170" t="str">
        <f>IF(A1894="","",SUM($H$7:H1894)-SUM($I$7:I1894))</f>
        <v/>
      </c>
      <c r="K1894" s="34"/>
    </row>
    <row r="1895" spans="1:11" x14ac:dyDescent="0.2">
      <c r="A1895" s="44"/>
      <c r="B1895" s="44"/>
      <c r="C1895" s="35"/>
      <c r="D1895" s="44"/>
      <c r="E1895" s="44"/>
      <c r="F1895" s="44"/>
      <c r="G1895" s="130"/>
      <c r="H1895" s="252">
        <f t="shared" si="61"/>
        <v>0</v>
      </c>
      <c r="I1895" s="252">
        <f t="shared" si="62"/>
        <v>0</v>
      </c>
      <c r="J1895" s="170" t="str">
        <f>IF(A1895="","",SUM($H$7:H1895)-SUM($I$7:I1895))</f>
        <v/>
      </c>
      <c r="K1895" s="34"/>
    </row>
    <row r="1896" spans="1:11" x14ac:dyDescent="0.2">
      <c r="A1896" s="44"/>
      <c r="B1896" s="44"/>
      <c r="C1896" s="35"/>
      <c r="D1896" s="44"/>
      <c r="E1896" s="44"/>
      <c r="F1896" s="44"/>
      <c r="G1896" s="130"/>
      <c r="H1896" s="252">
        <f t="shared" si="61"/>
        <v>0</v>
      </c>
      <c r="I1896" s="252">
        <f t="shared" si="62"/>
        <v>0</v>
      </c>
      <c r="J1896" s="170" t="str">
        <f>IF(A1896="","",SUM($H$7:H1896)-SUM($I$7:I1896))</f>
        <v/>
      </c>
      <c r="K1896" s="34"/>
    </row>
    <row r="1897" spans="1:11" x14ac:dyDescent="0.2">
      <c r="A1897" s="44"/>
      <c r="B1897" s="44"/>
      <c r="C1897" s="35"/>
      <c r="D1897" s="44"/>
      <c r="E1897" s="44"/>
      <c r="F1897" s="44"/>
      <c r="G1897" s="130"/>
      <c r="H1897" s="252">
        <f t="shared" si="61"/>
        <v>0</v>
      </c>
      <c r="I1897" s="252">
        <f t="shared" si="62"/>
        <v>0</v>
      </c>
      <c r="J1897" s="170" t="str">
        <f>IF(A1897="","",SUM($H$7:H1897)-SUM($I$7:I1897))</f>
        <v/>
      </c>
      <c r="K1897" s="34"/>
    </row>
    <row r="1898" spans="1:11" x14ac:dyDescent="0.2">
      <c r="A1898" s="44"/>
      <c r="B1898" s="44"/>
      <c r="C1898" s="35"/>
      <c r="D1898" s="44"/>
      <c r="E1898" s="44"/>
      <c r="F1898" s="44"/>
      <c r="G1898" s="130"/>
      <c r="H1898" s="252">
        <f t="shared" si="61"/>
        <v>0</v>
      </c>
      <c r="I1898" s="252">
        <f t="shared" si="62"/>
        <v>0</v>
      </c>
      <c r="J1898" s="170" t="str">
        <f>IF(A1898="","",SUM($H$7:H1898)-SUM($I$7:I1898))</f>
        <v/>
      </c>
      <c r="K1898" s="34"/>
    </row>
    <row r="1899" spans="1:11" x14ac:dyDescent="0.2">
      <c r="A1899" s="44"/>
      <c r="B1899" s="44"/>
      <c r="C1899" s="35"/>
      <c r="D1899" s="44"/>
      <c r="E1899" s="44"/>
      <c r="F1899" s="44"/>
      <c r="G1899" s="130"/>
      <c r="H1899" s="252">
        <f t="shared" si="61"/>
        <v>0</v>
      </c>
      <c r="I1899" s="252">
        <f t="shared" si="62"/>
        <v>0</v>
      </c>
      <c r="J1899" s="170" t="str">
        <f>IF(A1899="","",SUM($H$7:H1899)-SUM($I$7:I1899))</f>
        <v/>
      </c>
      <c r="K1899" s="34"/>
    </row>
    <row r="1900" spans="1:11" x14ac:dyDescent="0.2">
      <c r="A1900" s="44"/>
      <c r="B1900" s="44"/>
      <c r="C1900" s="35"/>
      <c r="D1900" s="44"/>
      <c r="E1900" s="44"/>
      <c r="F1900" s="44"/>
      <c r="G1900" s="130"/>
      <c r="H1900" s="252">
        <f t="shared" si="61"/>
        <v>0</v>
      </c>
      <c r="I1900" s="252">
        <f t="shared" si="62"/>
        <v>0</v>
      </c>
      <c r="J1900" s="170" t="str">
        <f>IF(A1900="","",SUM($H$7:H1900)-SUM($I$7:I1900))</f>
        <v/>
      </c>
      <c r="K1900" s="34"/>
    </row>
    <row r="1901" spans="1:11" x14ac:dyDescent="0.2">
      <c r="A1901" s="44"/>
      <c r="B1901" s="44"/>
      <c r="C1901" s="35"/>
      <c r="D1901" s="44"/>
      <c r="E1901" s="44"/>
      <c r="F1901" s="44"/>
      <c r="G1901" s="130"/>
      <c r="H1901" s="252">
        <f t="shared" si="61"/>
        <v>0</v>
      </c>
      <c r="I1901" s="252">
        <f t="shared" si="62"/>
        <v>0</v>
      </c>
      <c r="J1901" s="170" t="str">
        <f>IF(A1901="","",SUM($H$7:H1901)-SUM($I$7:I1901))</f>
        <v/>
      </c>
      <c r="K1901" s="34"/>
    </row>
    <row r="1902" spans="1:11" x14ac:dyDescent="0.2">
      <c r="A1902" s="44"/>
      <c r="B1902" s="44"/>
      <c r="C1902" s="35"/>
      <c r="D1902" s="44"/>
      <c r="E1902" s="44"/>
      <c r="F1902" s="44"/>
      <c r="G1902" s="130"/>
      <c r="H1902" s="252">
        <f t="shared" si="61"/>
        <v>0</v>
      </c>
      <c r="I1902" s="252">
        <f t="shared" si="62"/>
        <v>0</v>
      </c>
      <c r="J1902" s="170" t="str">
        <f>IF(A1902="","",SUM($H$7:H1902)-SUM($I$7:I1902))</f>
        <v/>
      </c>
      <c r="K1902" s="34"/>
    </row>
    <row r="1903" spans="1:11" x14ac:dyDescent="0.2">
      <c r="A1903" s="44"/>
      <c r="B1903" s="44"/>
      <c r="C1903" s="35"/>
      <c r="D1903" s="44"/>
      <c r="E1903" s="44"/>
      <c r="F1903" s="44"/>
      <c r="G1903" s="130"/>
      <c r="H1903" s="252">
        <f t="shared" si="61"/>
        <v>0</v>
      </c>
      <c r="I1903" s="252">
        <f t="shared" si="62"/>
        <v>0</v>
      </c>
      <c r="J1903" s="170" t="str">
        <f>IF(A1903="","",SUM($H$7:H1903)-SUM($I$7:I1903))</f>
        <v/>
      </c>
      <c r="K1903" s="34"/>
    </row>
    <row r="1904" spans="1:11" x14ac:dyDescent="0.2">
      <c r="A1904" s="44"/>
      <c r="B1904" s="44"/>
      <c r="C1904" s="35"/>
      <c r="D1904" s="44"/>
      <c r="E1904" s="44"/>
      <c r="F1904" s="44"/>
      <c r="G1904" s="130"/>
      <c r="H1904" s="252">
        <f t="shared" si="61"/>
        <v>0</v>
      </c>
      <c r="I1904" s="252">
        <f t="shared" si="62"/>
        <v>0</v>
      </c>
      <c r="J1904" s="170" t="str">
        <f>IF(A1904="","",SUM($H$7:H1904)-SUM($I$7:I1904))</f>
        <v/>
      </c>
      <c r="K1904" s="34"/>
    </row>
    <row r="1905" spans="1:11" x14ac:dyDescent="0.2">
      <c r="A1905" s="44"/>
      <c r="B1905" s="44"/>
      <c r="C1905" s="35"/>
      <c r="D1905" s="44"/>
      <c r="E1905" s="44"/>
      <c r="F1905" s="44"/>
      <c r="G1905" s="130"/>
      <c r="H1905" s="252">
        <f t="shared" si="61"/>
        <v>0</v>
      </c>
      <c r="I1905" s="252">
        <f t="shared" si="62"/>
        <v>0</v>
      </c>
      <c r="J1905" s="170" t="str">
        <f>IF(A1905="","",SUM($H$7:H1905)-SUM($I$7:I1905))</f>
        <v/>
      </c>
      <c r="K1905" s="34"/>
    </row>
    <row r="1906" spans="1:11" x14ac:dyDescent="0.2">
      <c r="A1906" s="44"/>
      <c r="B1906" s="44"/>
      <c r="C1906" s="35"/>
      <c r="D1906" s="44"/>
      <c r="E1906" s="44"/>
      <c r="F1906" s="44"/>
      <c r="G1906" s="130"/>
      <c r="H1906" s="252">
        <f t="shared" si="61"/>
        <v>0</v>
      </c>
      <c r="I1906" s="252">
        <f t="shared" si="62"/>
        <v>0</v>
      </c>
      <c r="J1906" s="170" t="str">
        <f>IF(A1906="","",SUM($H$7:H1906)-SUM($I$7:I1906))</f>
        <v/>
      </c>
      <c r="K1906" s="34"/>
    </row>
    <row r="1907" spans="1:11" x14ac:dyDescent="0.2">
      <c r="A1907" s="44"/>
      <c r="B1907" s="44"/>
      <c r="C1907" s="35"/>
      <c r="D1907" s="44"/>
      <c r="E1907" s="44"/>
      <c r="F1907" s="44"/>
      <c r="G1907" s="130"/>
      <c r="H1907" s="252">
        <f t="shared" si="61"/>
        <v>0</v>
      </c>
      <c r="I1907" s="252">
        <f t="shared" si="62"/>
        <v>0</v>
      </c>
      <c r="J1907" s="170" t="str">
        <f>IF(A1907="","",SUM($H$7:H1907)-SUM($I$7:I1907))</f>
        <v/>
      </c>
      <c r="K1907" s="34"/>
    </row>
    <row r="1908" spans="1:11" x14ac:dyDescent="0.2">
      <c r="A1908" s="44"/>
      <c r="B1908" s="44"/>
      <c r="C1908" s="35"/>
      <c r="D1908" s="44"/>
      <c r="E1908" s="44"/>
      <c r="F1908" s="44"/>
      <c r="G1908" s="130"/>
      <c r="H1908" s="252">
        <f t="shared" si="61"/>
        <v>0</v>
      </c>
      <c r="I1908" s="252">
        <f t="shared" si="62"/>
        <v>0</v>
      </c>
      <c r="J1908" s="170" t="str">
        <f>IF(A1908="","",SUM($H$7:H1908)-SUM($I$7:I1908))</f>
        <v/>
      </c>
      <c r="K1908" s="34"/>
    </row>
    <row r="1909" spans="1:11" x14ac:dyDescent="0.2">
      <c r="A1909" s="44"/>
      <c r="B1909" s="44"/>
      <c r="C1909" s="35"/>
      <c r="D1909" s="44"/>
      <c r="E1909" s="44"/>
      <c r="F1909" s="44"/>
      <c r="G1909" s="130"/>
      <c r="H1909" s="252">
        <f t="shared" si="61"/>
        <v>0</v>
      </c>
      <c r="I1909" s="252">
        <f t="shared" si="62"/>
        <v>0</v>
      </c>
      <c r="J1909" s="170" t="str">
        <f>IF(A1909="","",SUM($H$7:H1909)-SUM($I$7:I1909))</f>
        <v/>
      </c>
      <c r="K1909" s="34"/>
    </row>
    <row r="1910" spans="1:11" x14ac:dyDescent="0.2">
      <c r="A1910" s="44"/>
      <c r="B1910" s="44"/>
      <c r="C1910" s="35"/>
      <c r="D1910" s="44"/>
      <c r="E1910" s="44"/>
      <c r="F1910" s="44"/>
      <c r="G1910" s="130"/>
      <c r="H1910" s="252">
        <f t="shared" ref="H1910:H1973" si="63">IF($C1910="Replenishment",$G1910,0)</f>
        <v>0</v>
      </c>
      <c r="I1910" s="252">
        <f t="shared" si="62"/>
        <v>0</v>
      </c>
      <c r="J1910" s="170" t="str">
        <f>IF(A1910="","",SUM($H$7:H1910)-SUM($I$7:I1910))</f>
        <v/>
      </c>
      <c r="K1910" s="34"/>
    </row>
    <row r="1911" spans="1:11" x14ac:dyDescent="0.2">
      <c r="A1911" s="44"/>
      <c r="B1911" s="44"/>
      <c r="C1911" s="35"/>
      <c r="D1911" s="44"/>
      <c r="E1911" s="44"/>
      <c r="F1911" s="44"/>
      <c r="G1911" s="130"/>
      <c r="H1911" s="252">
        <f t="shared" si="63"/>
        <v>0</v>
      </c>
      <c r="I1911" s="252">
        <f t="shared" si="62"/>
        <v>0</v>
      </c>
      <c r="J1911" s="170" t="str">
        <f>IF(A1911="","",SUM($H$7:H1911)-SUM($I$7:I1911))</f>
        <v/>
      </c>
      <c r="K1911" s="34"/>
    </row>
    <row r="1912" spans="1:11" x14ac:dyDescent="0.2">
      <c r="A1912" s="44"/>
      <c r="B1912" s="44"/>
      <c r="C1912" s="35"/>
      <c r="D1912" s="44"/>
      <c r="E1912" s="44"/>
      <c r="F1912" s="44"/>
      <c r="G1912" s="130"/>
      <c r="H1912" s="252">
        <f t="shared" si="63"/>
        <v>0</v>
      </c>
      <c r="I1912" s="252">
        <f t="shared" si="62"/>
        <v>0</v>
      </c>
      <c r="J1912" s="170" t="str">
        <f>IF(A1912="","",SUM($H$7:H1912)-SUM($I$7:I1912))</f>
        <v/>
      </c>
      <c r="K1912" s="34"/>
    </row>
    <row r="1913" spans="1:11" x14ac:dyDescent="0.2">
      <c r="A1913" s="44"/>
      <c r="B1913" s="44"/>
      <c r="C1913" s="35"/>
      <c r="D1913" s="44"/>
      <c r="E1913" s="44"/>
      <c r="F1913" s="44"/>
      <c r="G1913" s="130"/>
      <c r="H1913" s="252">
        <f t="shared" si="63"/>
        <v>0</v>
      </c>
      <c r="I1913" s="252">
        <f t="shared" si="62"/>
        <v>0</v>
      </c>
      <c r="J1913" s="170" t="str">
        <f>IF(A1913="","",SUM($H$7:H1913)-SUM($I$7:I1913))</f>
        <v/>
      </c>
      <c r="K1913" s="34"/>
    </row>
    <row r="1914" spans="1:11" x14ac:dyDescent="0.2">
      <c r="A1914" s="44"/>
      <c r="B1914" s="44"/>
      <c r="C1914" s="35"/>
      <c r="D1914" s="44"/>
      <c r="E1914" s="44"/>
      <c r="F1914" s="44"/>
      <c r="G1914" s="130"/>
      <c r="H1914" s="252">
        <f t="shared" si="63"/>
        <v>0</v>
      </c>
      <c r="I1914" s="252">
        <f t="shared" si="62"/>
        <v>0</v>
      </c>
      <c r="J1914" s="170" t="str">
        <f>IF(A1914="","",SUM($H$7:H1914)-SUM($I$7:I1914))</f>
        <v/>
      </c>
      <c r="K1914" s="34"/>
    </row>
    <row r="1915" spans="1:11" x14ac:dyDescent="0.2">
      <c r="A1915" s="44"/>
      <c r="B1915" s="44"/>
      <c r="C1915" s="35"/>
      <c r="D1915" s="44"/>
      <c r="E1915" s="44"/>
      <c r="F1915" s="44"/>
      <c r="G1915" s="130"/>
      <c r="H1915" s="252">
        <f t="shared" si="63"/>
        <v>0</v>
      </c>
      <c r="I1915" s="252">
        <f t="shared" si="62"/>
        <v>0</v>
      </c>
      <c r="J1915" s="170" t="str">
        <f>IF(A1915="","",SUM($H$7:H1915)-SUM($I$7:I1915))</f>
        <v/>
      </c>
      <c r="K1915" s="34"/>
    </row>
    <row r="1916" spans="1:11" x14ac:dyDescent="0.2">
      <c r="A1916" s="44"/>
      <c r="B1916" s="44"/>
      <c r="C1916" s="35"/>
      <c r="D1916" s="44"/>
      <c r="E1916" s="44"/>
      <c r="F1916" s="44"/>
      <c r="G1916" s="130"/>
      <c r="H1916" s="252">
        <f t="shared" si="63"/>
        <v>0</v>
      </c>
      <c r="I1916" s="252">
        <f t="shared" si="62"/>
        <v>0</v>
      </c>
      <c r="J1916" s="170" t="str">
        <f>IF(A1916="","",SUM($H$7:H1916)-SUM($I$7:I1916))</f>
        <v/>
      </c>
      <c r="K1916" s="34"/>
    </row>
    <row r="1917" spans="1:11" x14ac:dyDescent="0.2">
      <c r="A1917" s="44"/>
      <c r="B1917" s="44"/>
      <c r="C1917" s="35"/>
      <c r="D1917" s="44"/>
      <c r="E1917" s="44"/>
      <c r="F1917" s="44"/>
      <c r="G1917" s="130"/>
      <c r="H1917" s="252">
        <f t="shared" si="63"/>
        <v>0</v>
      </c>
      <c r="I1917" s="252">
        <f t="shared" si="62"/>
        <v>0</v>
      </c>
      <c r="J1917" s="170" t="str">
        <f>IF(A1917="","",SUM($H$7:H1917)-SUM($I$7:I1917))</f>
        <v/>
      </c>
      <c r="K1917" s="34"/>
    </row>
    <row r="1918" spans="1:11" x14ac:dyDescent="0.2">
      <c r="A1918" s="44"/>
      <c r="B1918" s="44"/>
      <c r="C1918" s="35"/>
      <c r="D1918" s="44"/>
      <c r="E1918" s="44"/>
      <c r="F1918" s="44"/>
      <c r="G1918" s="130"/>
      <c r="H1918" s="252">
        <f t="shared" si="63"/>
        <v>0</v>
      </c>
      <c r="I1918" s="252">
        <f t="shared" si="62"/>
        <v>0</v>
      </c>
      <c r="J1918" s="170" t="str">
        <f>IF(A1918="","",SUM($H$7:H1918)-SUM($I$7:I1918))</f>
        <v/>
      </c>
      <c r="K1918" s="34"/>
    </row>
    <row r="1919" spans="1:11" x14ac:dyDescent="0.2">
      <c r="A1919" s="44"/>
      <c r="B1919" s="44"/>
      <c r="C1919" s="35"/>
      <c r="D1919" s="44"/>
      <c r="E1919" s="44"/>
      <c r="F1919" s="44"/>
      <c r="G1919" s="130"/>
      <c r="H1919" s="252">
        <f t="shared" si="63"/>
        <v>0</v>
      </c>
      <c r="I1919" s="252">
        <f t="shared" si="62"/>
        <v>0</v>
      </c>
      <c r="J1919" s="170" t="str">
        <f>IF(A1919="","",SUM($H$7:H1919)-SUM($I$7:I1919))</f>
        <v/>
      </c>
      <c r="K1919" s="34"/>
    </row>
    <row r="1920" spans="1:11" x14ac:dyDescent="0.2">
      <c r="A1920" s="44"/>
      <c r="B1920" s="44"/>
      <c r="C1920" s="35"/>
      <c r="D1920" s="44"/>
      <c r="E1920" s="44"/>
      <c r="F1920" s="44"/>
      <c r="G1920" s="130"/>
      <c r="H1920" s="252">
        <f t="shared" si="63"/>
        <v>0</v>
      </c>
      <c r="I1920" s="252">
        <f t="shared" si="62"/>
        <v>0</v>
      </c>
      <c r="J1920" s="170" t="str">
        <f>IF(A1920="","",SUM($H$7:H1920)-SUM($I$7:I1920))</f>
        <v/>
      </c>
      <c r="K1920" s="34"/>
    </row>
    <row r="1921" spans="1:11" x14ac:dyDescent="0.2">
      <c r="A1921" s="44"/>
      <c r="B1921" s="44"/>
      <c r="C1921" s="35"/>
      <c r="D1921" s="44"/>
      <c r="E1921" s="44"/>
      <c r="F1921" s="44"/>
      <c r="G1921" s="130"/>
      <c r="H1921" s="252">
        <f t="shared" si="63"/>
        <v>0</v>
      </c>
      <c r="I1921" s="252">
        <f t="shared" si="62"/>
        <v>0</v>
      </c>
      <c r="J1921" s="170" t="str">
        <f>IF(A1921="","",SUM($H$7:H1921)-SUM($I$7:I1921))</f>
        <v/>
      </c>
      <c r="K1921" s="34"/>
    </row>
    <row r="1922" spans="1:11" x14ac:dyDescent="0.2">
      <c r="A1922" s="44"/>
      <c r="B1922" s="44"/>
      <c r="C1922" s="35"/>
      <c r="D1922" s="44"/>
      <c r="E1922" s="44"/>
      <c r="F1922" s="44"/>
      <c r="G1922" s="130"/>
      <c r="H1922" s="252">
        <f t="shared" si="63"/>
        <v>0</v>
      </c>
      <c r="I1922" s="252">
        <f t="shared" si="62"/>
        <v>0</v>
      </c>
      <c r="J1922" s="170" t="str">
        <f>IF(A1922="","",SUM($H$7:H1922)-SUM($I$7:I1922))</f>
        <v/>
      </c>
      <c r="K1922" s="34"/>
    </row>
    <row r="1923" spans="1:11" x14ac:dyDescent="0.2">
      <c r="A1923" s="44"/>
      <c r="B1923" s="44"/>
      <c r="C1923" s="35"/>
      <c r="D1923" s="44"/>
      <c r="E1923" s="44"/>
      <c r="F1923" s="44"/>
      <c r="G1923" s="130"/>
      <c r="H1923" s="252">
        <f t="shared" si="63"/>
        <v>0</v>
      </c>
      <c r="I1923" s="252">
        <f t="shared" si="62"/>
        <v>0</v>
      </c>
      <c r="J1923" s="170" t="str">
        <f>IF(A1923="","",SUM($H$7:H1923)-SUM($I$7:I1923))</f>
        <v/>
      </c>
      <c r="K1923" s="34"/>
    </row>
    <row r="1924" spans="1:11" x14ac:dyDescent="0.2">
      <c r="A1924" s="44"/>
      <c r="B1924" s="44"/>
      <c r="C1924" s="35"/>
      <c r="D1924" s="44"/>
      <c r="E1924" s="44"/>
      <c r="F1924" s="44"/>
      <c r="G1924" s="130"/>
      <c r="H1924" s="252">
        <f t="shared" si="63"/>
        <v>0</v>
      </c>
      <c r="I1924" s="252">
        <f t="shared" si="62"/>
        <v>0</v>
      </c>
      <c r="J1924" s="170" t="str">
        <f>IF(A1924="","",SUM($H$7:H1924)-SUM($I$7:I1924))</f>
        <v/>
      </c>
      <c r="K1924" s="34"/>
    </row>
    <row r="1925" spans="1:11" x14ac:dyDescent="0.2">
      <c r="A1925" s="44"/>
      <c r="B1925" s="44"/>
      <c r="C1925" s="35"/>
      <c r="D1925" s="44"/>
      <c r="E1925" s="44"/>
      <c r="F1925" s="44"/>
      <c r="G1925" s="130"/>
      <c r="H1925" s="252">
        <f t="shared" si="63"/>
        <v>0</v>
      </c>
      <c r="I1925" s="252">
        <f t="shared" si="62"/>
        <v>0</v>
      </c>
      <c r="J1925" s="170" t="str">
        <f>IF(A1925="","",SUM($H$7:H1925)-SUM($I$7:I1925))</f>
        <v/>
      </c>
      <c r="K1925" s="34"/>
    </row>
    <row r="1926" spans="1:11" x14ac:dyDescent="0.2">
      <c r="A1926" s="44"/>
      <c r="B1926" s="44"/>
      <c r="C1926" s="35"/>
      <c r="D1926" s="44"/>
      <c r="E1926" s="44"/>
      <c r="F1926" s="44"/>
      <c r="G1926" s="130"/>
      <c r="H1926" s="252">
        <f t="shared" si="63"/>
        <v>0</v>
      </c>
      <c r="I1926" s="252">
        <f t="shared" si="62"/>
        <v>0</v>
      </c>
      <c r="J1926" s="170" t="str">
        <f>IF(A1926="","",SUM($H$7:H1926)-SUM($I$7:I1926))</f>
        <v/>
      </c>
      <c r="K1926" s="34"/>
    </row>
    <row r="1927" spans="1:11" x14ac:dyDescent="0.2">
      <c r="A1927" s="44"/>
      <c r="B1927" s="44"/>
      <c r="C1927" s="35"/>
      <c r="D1927" s="44"/>
      <c r="E1927" s="44"/>
      <c r="F1927" s="44"/>
      <c r="G1927" s="130"/>
      <c r="H1927" s="252">
        <f t="shared" si="63"/>
        <v>0</v>
      </c>
      <c r="I1927" s="252">
        <f t="shared" ref="I1927:I1990" si="64">IF($C1927="Replenishment",0,$G1927)</f>
        <v>0</v>
      </c>
      <c r="J1927" s="170" t="str">
        <f>IF(A1927="","",SUM($H$7:H1927)-SUM($I$7:I1927))</f>
        <v/>
      </c>
      <c r="K1927" s="34"/>
    </row>
    <row r="1928" spans="1:11" x14ac:dyDescent="0.2">
      <c r="A1928" s="44"/>
      <c r="B1928" s="44"/>
      <c r="C1928" s="35"/>
      <c r="D1928" s="44"/>
      <c r="E1928" s="44"/>
      <c r="F1928" s="44"/>
      <c r="G1928" s="130"/>
      <c r="H1928" s="252">
        <f t="shared" si="63"/>
        <v>0</v>
      </c>
      <c r="I1928" s="252">
        <f t="shared" si="64"/>
        <v>0</v>
      </c>
      <c r="J1928" s="170" t="str">
        <f>IF(A1928="","",SUM($H$7:H1928)-SUM($I$7:I1928))</f>
        <v/>
      </c>
      <c r="K1928" s="34"/>
    </row>
    <row r="1929" spans="1:11" x14ac:dyDescent="0.2">
      <c r="A1929" s="44"/>
      <c r="B1929" s="44"/>
      <c r="C1929" s="35"/>
      <c r="D1929" s="44"/>
      <c r="E1929" s="44"/>
      <c r="F1929" s="44"/>
      <c r="G1929" s="130"/>
      <c r="H1929" s="252">
        <f t="shared" si="63"/>
        <v>0</v>
      </c>
      <c r="I1929" s="252">
        <f t="shared" si="64"/>
        <v>0</v>
      </c>
      <c r="J1929" s="170" t="str">
        <f>IF(A1929="","",SUM($H$7:H1929)-SUM($I$7:I1929))</f>
        <v/>
      </c>
      <c r="K1929" s="34"/>
    </row>
    <row r="1930" spans="1:11" x14ac:dyDescent="0.2">
      <c r="A1930" s="44"/>
      <c r="B1930" s="44"/>
      <c r="C1930" s="35"/>
      <c r="D1930" s="44"/>
      <c r="E1930" s="44"/>
      <c r="F1930" s="44"/>
      <c r="G1930" s="130"/>
      <c r="H1930" s="252">
        <f t="shared" si="63"/>
        <v>0</v>
      </c>
      <c r="I1930" s="252">
        <f t="shared" si="64"/>
        <v>0</v>
      </c>
      <c r="J1930" s="170" t="str">
        <f>IF(A1930="","",SUM($H$7:H1930)-SUM($I$7:I1930))</f>
        <v/>
      </c>
      <c r="K1930" s="34"/>
    </row>
    <row r="1931" spans="1:11" x14ac:dyDescent="0.2">
      <c r="A1931" s="44"/>
      <c r="B1931" s="44"/>
      <c r="C1931" s="35"/>
      <c r="D1931" s="44"/>
      <c r="E1931" s="44"/>
      <c r="F1931" s="44"/>
      <c r="G1931" s="130"/>
      <c r="H1931" s="252">
        <f t="shared" si="63"/>
        <v>0</v>
      </c>
      <c r="I1931" s="252">
        <f t="shared" si="64"/>
        <v>0</v>
      </c>
      <c r="J1931" s="170" t="str">
        <f>IF(A1931="","",SUM($H$7:H1931)-SUM($I$7:I1931))</f>
        <v/>
      </c>
      <c r="K1931" s="34"/>
    </row>
    <row r="1932" spans="1:11" x14ac:dyDescent="0.2">
      <c r="A1932" s="44"/>
      <c r="B1932" s="44"/>
      <c r="C1932" s="35"/>
      <c r="D1932" s="44"/>
      <c r="E1932" s="44"/>
      <c r="F1932" s="44"/>
      <c r="G1932" s="130"/>
      <c r="H1932" s="252">
        <f t="shared" si="63"/>
        <v>0</v>
      </c>
      <c r="I1932" s="252">
        <f t="shared" si="64"/>
        <v>0</v>
      </c>
      <c r="J1932" s="170" t="str">
        <f>IF(A1932="","",SUM($H$7:H1932)-SUM($I$7:I1932))</f>
        <v/>
      </c>
      <c r="K1932" s="34"/>
    </row>
    <row r="1933" spans="1:11" x14ac:dyDescent="0.2">
      <c r="A1933" s="44"/>
      <c r="B1933" s="44"/>
      <c r="C1933" s="35"/>
      <c r="D1933" s="44"/>
      <c r="E1933" s="44"/>
      <c r="F1933" s="44"/>
      <c r="G1933" s="130"/>
      <c r="H1933" s="252">
        <f t="shared" si="63"/>
        <v>0</v>
      </c>
      <c r="I1933" s="252">
        <f t="shared" si="64"/>
        <v>0</v>
      </c>
      <c r="J1933" s="170" t="str">
        <f>IF(A1933="","",SUM($H$7:H1933)-SUM($I$7:I1933))</f>
        <v/>
      </c>
      <c r="K1933" s="34"/>
    </row>
    <row r="1934" spans="1:11" x14ac:dyDescent="0.2">
      <c r="A1934" s="44"/>
      <c r="B1934" s="44"/>
      <c r="C1934" s="35"/>
      <c r="D1934" s="44"/>
      <c r="E1934" s="44"/>
      <c r="F1934" s="44"/>
      <c r="G1934" s="130"/>
      <c r="H1934" s="252">
        <f t="shared" si="63"/>
        <v>0</v>
      </c>
      <c r="I1934" s="252">
        <f t="shared" si="64"/>
        <v>0</v>
      </c>
      <c r="J1934" s="170" t="str">
        <f>IF(A1934="","",SUM($H$7:H1934)-SUM($I$7:I1934))</f>
        <v/>
      </c>
      <c r="K1934" s="34"/>
    </row>
    <row r="1935" spans="1:11" x14ac:dyDescent="0.2">
      <c r="A1935" s="44"/>
      <c r="B1935" s="44"/>
      <c r="C1935" s="35"/>
      <c r="D1935" s="44"/>
      <c r="E1935" s="44"/>
      <c r="F1935" s="44"/>
      <c r="G1935" s="130"/>
      <c r="H1935" s="252">
        <f t="shared" si="63"/>
        <v>0</v>
      </c>
      <c r="I1935" s="252">
        <f t="shared" si="64"/>
        <v>0</v>
      </c>
      <c r="J1935" s="170" t="str">
        <f>IF(A1935="","",SUM($H$7:H1935)-SUM($I$7:I1935))</f>
        <v/>
      </c>
      <c r="K1935" s="34"/>
    </row>
    <row r="1936" spans="1:11" x14ac:dyDescent="0.2">
      <c r="A1936" s="44"/>
      <c r="B1936" s="44"/>
      <c r="C1936" s="35"/>
      <c r="D1936" s="44"/>
      <c r="E1936" s="44"/>
      <c r="F1936" s="44"/>
      <c r="G1936" s="130"/>
      <c r="H1936" s="252">
        <f t="shared" si="63"/>
        <v>0</v>
      </c>
      <c r="I1936" s="252">
        <f t="shared" si="64"/>
        <v>0</v>
      </c>
      <c r="J1936" s="170" t="str">
        <f>IF(A1936="","",SUM($H$7:H1936)-SUM($I$7:I1936))</f>
        <v/>
      </c>
      <c r="K1936" s="34"/>
    </row>
    <row r="1937" spans="1:11" x14ac:dyDescent="0.2">
      <c r="A1937" s="44"/>
      <c r="B1937" s="44"/>
      <c r="C1937" s="35"/>
      <c r="D1937" s="44"/>
      <c r="E1937" s="44"/>
      <c r="F1937" s="44"/>
      <c r="G1937" s="130"/>
      <c r="H1937" s="252">
        <f t="shared" si="63"/>
        <v>0</v>
      </c>
      <c r="I1937" s="252">
        <f t="shared" si="64"/>
        <v>0</v>
      </c>
      <c r="J1937" s="170" t="str">
        <f>IF(A1937="","",SUM($H$7:H1937)-SUM($I$7:I1937))</f>
        <v/>
      </c>
      <c r="K1937" s="34"/>
    </row>
    <row r="1938" spans="1:11" x14ac:dyDescent="0.2">
      <c r="A1938" s="44"/>
      <c r="B1938" s="44"/>
      <c r="C1938" s="35"/>
      <c r="D1938" s="44"/>
      <c r="E1938" s="44"/>
      <c r="F1938" s="44"/>
      <c r="G1938" s="130"/>
      <c r="H1938" s="252">
        <f t="shared" si="63"/>
        <v>0</v>
      </c>
      <c r="I1938" s="252">
        <f t="shared" si="64"/>
        <v>0</v>
      </c>
      <c r="J1938" s="170" t="str">
        <f>IF(A1938="","",SUM($H$7:H1938)-SUM($I$7:I1938))</f>
        <v/>
      </c>
      <c r="K1938" s="34"/>
    </row>
    <row r="1939" spans="1:11" x14ac:dyDescent="0.2">
      <c r="A1939" s="44"/>
      <c r="B1939" s="44"/>
      <c r="C1939" s="35"/>
      <c r="D1939" s="44"/>
      <c r="E1939" s="44"/>
      <c r="F1939" s="44"/>
      <c r="G1939" s="130"/>
      <c r="H1939" s="252">
        <f t="shared" si="63"/>
        <v>0</v>
      </c>
      <c r="I1939" s="252">
        <f t="shared" si="64"/>
        <v>0</v>
      </c>
      <c r="J1939" s="170" t="str">
        <f>IF(A1939="","",SUM($H$7:H1939)-SUM($I$7:I1939))</f>
        <v/>
      </c>
      <c r="K1939" s="34"/>
    </row>
    <row r="1940" spans="1:11" x14ac:dyDescent="0.2">
      <c r="A1940" s="44"/>
      <c r="B1940" s="44"/>
      <c r="C1940" s="35"/>
      <c r="D1940" s="44"/>
      <c r="E1940" s="44"/>
      <c r="F1940" s="44"/>
      <c r="G1940" s="130"/>
      <c r="H1940" s="252">
        <f t="shared" si="63"/>
        <v>0</v>
      </c>
      <c r="I1940" s="252">
        <f t="shared" si="64"/>
        <v>0</v>
      </c>
      <c r="J1940" s="170" t="str">
        <f>IF(A1940="","",SUM($H$7:H1940)-SUM($I$7:I1940))</f>
        <v/>
      </c>
      <c r="K1940" s="34"/>
    </row>
    <row r="1941" spans="1:11" x14ac:dyDescent="0.2">
      <c r="A1941" s="44"/>
      <c r="B1941" s="44"/>
      <c r="C1941" s="35"/>
      <c r="D1941" s="44"/>
      <c r="E1941" s="44"/>
      <c r="F1941" s="44"/>
      <c r="G1941" s="130"/>
      <c r="H1941" s="252">
        <f t="shared" si="63"/>
        <v>0</v>
      </c>
      <c r="I1941" s="252">
        <f t="shared" si="64"/>
        <v>0</v>
      </c>
      <c r="J1941" s="170" t="str">
        <f>IF(A1941="","",SUM($H$7:H1941)-SUM($I$7:I1941))</f>
        <v/>
      </c>
      <c r="K1941" s="34"/>
    </row>
    <row r="1942" spans="1:11" x14ac:dyDescent="0.2">
      <c r="A1942" s="44"/>
      <c r="B1942" s="44"/>
      <c r="C1942" s="35"/>
      <c r="D1942" s="44"/>
      <c r="E1942" s="44"/>
      <c r="F1942" s="44"/>
      <c r="G1942" s="130"/>
      <c r="H1942" s="252">
        <f t="shared" si="63"/>
        <v>0</v>
      </c>
      <c r="I1942" s="252">
        <f t="shared" si="64"/>
        <v>0</v>
      </c>
      <c r="J1942" s="170" t="str">
        <f>IF(A1942="","",SUM($H$7:H1942)-SUM($I$7:I1942))</f>
        <v/>
      </c>
      <c r="K1942" s="34"/>
    </row>
    <row r="1943" spans="1:11" x14ac:dyDescent="0.2">
      <c r="A1943" s="44"/>
      <c r="B1943" s="44"/>
      <c r="C1943" s="35"/>
      <c r="D1943" s="44"/>
      <c r="E1943" s="44"/>
      <c r="F1943" s="44"/>
      <c r="G1943" s="130"/>
      <c r="H1943" s="252">
        <f t="shared" si="63"/>
        <v>0</v>
      </c>
      <c r="I1943" s="252">
        <f t="shared" si="64"/>
        <v>0</v>
      </c>
      <c r="J1943" s="170" t="str">
        <f>IF(A1943="","",SUM($H$7:H1943)-SUM($I$7:I1943))</f>
        <v/>
      </c>
      <c r="K1943" s="34"/>
    </row>
    <row r="1944" spans="1:11" x14ac:dyDescent="0.2">
      <c r="A1944" s="44"/>
      <c r="B1944" s="44"/>
      <c r="C1944" s="35"/>
      <c r="D1944" s="44"/>
      <c r="E1944" s="44"/>
      <c r="F1944" s="44"/>
      <c r="G1944" s="130"/>
      <c r="H1944" s="252">
        <f t="shared" si="63"/>
        <v>0</v>
      </c>
      <c r="I1944" s="252">
        <f t="shared" si="64"/>
        <v>0</v>
      </c>
      <c r="J1944" s="170" t="str">
        <f>IF(A1944="","",SUM($H$7:H1944)-SUM($I$7:I1944))</f>
        <v/>
      </c>
      <c r="K1944" s="34"/>
    </row>
    <row r="1945" spans="1:11" x14ac:dyDescent="0.2">
      <c r="A1945" s="44"/>
      <c r="B1945" s="44"/>
      <c r="C1945" s="35"/>
      <c r="D1945" s="44"/>
      <c r="E1945" s="44"/>
      <c r="F1945" s="44"/>
      <c r="G1945" s="130"/>
      <c r="H1945" s="252">
        <f t="shared" si="63"/>
        <v>0</v>
      </c>
      <c r="I1945" s="252">
        <f t="shared" si="64"/>
        <v>0</v>
      </c>
      <c r="J1945" s="170" t="str">
        <f>IF(A1945="","",SUM($H$7:H1945)-SUM($I$7:I1945))</f>
        <v/>
      </c>
      <c r="K1945" s="34"/>
    </row>
    <row r="1946" spans="1:11" x14ac:dyDescent="0.2">
      <c r="A1946" s="44"/>
      <c r="B1946" s="44"/>
      <c r="C1946" s="35"/>
      <c r="D1946" s="44"/>
      <c r="E1946" s="44"/>
      <c r="F1946" s="44"/>
      <c r="G1946" s="130"/>
      <c r="H1946" s="252">
        <f t="shared" si="63"/>
        <v>0</v>
      </c>
      <c r="I1946" s="252">
        <f t="shared" si="64"/>
        <v>0</v>
      </c>
      <c r="J1946" s="170" t="str">
        <f>IF(A1946="","",SUM($H$7:H1946)-SUM($I$7:I1946))</f>
        <v/>
      </c>
      <c r="K1946" s="34"/>
    </row>
    <row r="1947" spans="1:11" x14ac:dyDescent="0.2">
      <c r="A1947" s="44"/>
      <c r="B1947" s="44"/>
      <c r="C1947" s="35"/>
      <c r="D1947" s="44"/>
      <c r="E1947" s="44"/>
      <c r="F1947" s="44"/>
      <c r="G1947" s="130"/>
      <c r="H1947" s="252">
        <f t="shared" si="63"/>
        <v>0</v>
      </c>
      <c r="I1947" s="252">
        <f t="shared" si="64"/>
        <v>0</v>
      </c>
      <c r="J1947" s="170" t="str">
        <f>IF(A1947="","",SUM($H$7:H1947)-SUM($I$7:I1947))</f>
        <v/>
      </c>
      <c r="K1947" s="34"/>
    </row>
    <row r="1948" spans="1:11" x14ac:dyDescent="0.2">
      <c r="A1948" s="44"/>
      <c r="B1948" s="44"/>
      <c r="C1948" s="35"/>
      <c r="D1948" s="44"/>
      <c r="E1948" s="44"/>
      <c r="F1948" s="44"/>
      <c r="G1948" s="130"/>
      <c r="H1948" s="252">
        <f t="shared" si="63"/>
        <v>0</v>
      </c>
      <c r="I1948" s="252">
        <f t="shared" si="64"/>
        <v>0</v>
      </c>
      <c r="J1948" s="170" t="str">
        <f>IF(A1948="","",SUM($H$7:H1948)-SUM($I$7:I1948))</f>
        <v/>
      </c>
      <c r="K1948" s="34"/>
    </row>
    <row r="1949" spans="1:11" x14ac:dyDescent="0.2">
      <c r="A1949" s="44"/>
      <c r="B1949" s="44"/>
      <c r="C1949" s="35"/>
      <c r="D1949" s="44"/>
      <c r="E1949" s="44"/>
      <c r="F1949" s="44"/>
      <c r="G1949" s="130"/>
      <c r="H1949" s="252">
        <f t="shared" si="63"/>
        <v>0</v>
      </c>
      <c r="I1949" s="252">
        <f t="shared" si="64"/>
        <v>0</v>
      </c>
      <c r="J1949" s="170" t="str">
        <f>IF(A1949="","",SUM($H$7:H1949)-SUM($I$7:I1949))</f>
        <v/>
      </c>
      <c r="K1949" s="34"/>
    </row>
    <row r="1950" spans="1:11" x14ac:dyDescent="0.2">
      <c r="A1950" s="44"/>
      <c r="B1950" s="44"/>
      <c r="C1950" s="35"/>
      <c r="D1950" s="44"/>
      <c r="E1950" s="44"/>
      <c r="F1950" s="44"/>
      <c r="G1950" s="130"/>
      <c r="H1950" s="252">
        <f t="shared" si="63"/>
        <v>0</v>
      </c>
      <c r="I1950" s="252">
        <f t="shared" si="64"/>
        <v>0</v>
      </c>
      <c r="J1950" s="170" t="str">
        <f>IF(A1950="","",SUM($H$7:H1950)-SUM($I$7:I1950))</f>
        <v/>
      </c>
      <c r="K1950" s="34"/>
    </row>
    <row r="1951" spans="1:11" x14ac:dyDescent="0.2">
      <c r="A1951" s="44"/>
      <c r="B1951" s="44"/>
      <c r="C1951" s="35"/>
      <c r="D1951" s="44"/>
      <c r="E1951" s="44"/>
      <c r="F1951" s="44"/>
      <c r="G1951" s="130"/>
      <c r="H1951" s="252">
        <f t="shared" si="63"/>
        <v>0</v>
      </c>
      <c r="I1951" s="252">
        <f t="shared" si="64"/>
        <v>0</v>
      </c>
      <c r="J1951" s="170" t="str">
        <f>IF(A1951="","",SUM($H$7:H1951)-SUM($I$7:I1951))</f>
        <v/>
      </c>
      <c r="K1951" s="34"/>
    </row>
    <row r="1952" spans="1:11" x14ac:dyDescent="0.2">
      <c r="A1952" s="44"/>
      <c r="B1952" s="44"/>
      <c r="C1952" s="35"/>
      <c r="D1952" s="44"/>
      <c r="E1952" s="44"/>
      <c r="F1952" s="44"/>
      <c r="G1952" s="130"/>
      <c r="H1952" s="252">
        <f t="shared" si="63"/>
        <v>0</v>
      </c>
      <c r="I1952" s="252">
        <f t="shared" si="64"/>
        <v>0</v>
      </c>
      <c r="J1952" s="170" t="str">
        <f>IF(A1952="","",SUM($H$7:H1952)-SUM($I$7:I1952))</f>
        <v/>
      </c>
      <c r="K1952" s="34"/>
    </row>
    <row r="1953" spans="1:11" x14ac:dyDescent="0.2">
      <c r="A1953" s="44"/>
      <c r="B1953" s="44"/>
      <c r="C1953" s="35"/>
      <c r="D1953" s="44"/>
      <c r="E1953" s="44"/>
      <c r="F1953" s="44"/>
      <c r="G1953" s="130"/>
      <c r="H1953" s="252">
        <f t="shared" si="63"/>
        <v>0</v>
      </c>
      <c r="I1953" s="252">
        <f t="shared" si="64"/>
        <v>0</v>
      </c>
      <c r="J1953" s="170" t="str">
        <f>IF(A1953="","",SUM($H$7:H1953)-SUM($I$7:I1953))</f>
        <v/>
      </c>
      <c r="K1953" s="34"/>
    </row>
    <row r="1954" spans="1:11" x14ac:dyDescent="0.2">
      <c r="A1954" s="44"/>
      <c r="B1954" s="44"/>
      <c r="C1954" s="35"/>
      <c r="D1954" s="44"/>
      <c r="E1954" s="44"/>
      <c r="F1954" s="44"/>
      <c r="G1954" s="130"/>
      <c r="H1954" s="252">
        <f t="shared" si="63"/>
        <v>0</v>
      </c>
      <c r="I1954" s="252">
        <f t="shared" si="64"/>
        <v>0</v>
      </c>
      <c r="J1954" s="170" t="str">
        <f>IF(A1954="","",SUM($H$7:H1954)-SUM($I$7:I1954))</f>
        <v/>
      </c>
      <c r="K1954" s="34"/>
    </row>
    <row r="1955" spans="1:11" x14ac:dyDescent="0.2">
      <c r="A1955" s="44"/>
      <c r="B1955" s="44"/>
      <c r="C1955" s="35"/>
      <c r="D1955" s="44"/>
      <c r="E1955" s="44"/>
      <c r="F1955" s="44"/>
      <c r="G1955" s="130"/>
      <c r="H1955" s="252">
        <f t="shared" si="63"/>
        <v>0</v>
      </c>
      <c r="I1955" s="252">
        <f t="shared" si="64"/>
        <v>0</v>
      </c>
      <c r="J1955" s="170" t="str">
        <f>IF(A1955="","",SUM($H$7:H1955)-SUM($I$7:I1955))</f>
        <v/>
      </c>
      <c r="K1955" s="34"/>
    </row>
    <row r="1956" spans="1:11" x14ac:dyDescent="0.2">
      <c r="A1956" s="44"/>
      <c r="B1956" s="44"/>
      <c r="C1956" s="35"/>
      <c r="D1956" s="44"/>
      <c r="E1956" s="44"/>
      <c r="F1956" s="44"/>
      <c r="G1956" s="130"/>
      <c r="H1956" s="252">
        <f t="shared" si="63"/>
        <v>0</v>
      </c>
      <c r="I1956" s="252">
        <f t="shared" si="64"/>
        <v>0</v>
      </c>
      <c r="J1956" s="170" t="str">
        <f>IF(A1956="","",SUM($H$7:H1956)-SUM($I$7:I1956))</f>
        <v/>
      </c>
      <c r="K1956" s="34"/>
    </row>
    <row r="1957" spans="1:11" x14ac:dyDescent="0.2">
      <c r="A1957" s="44"/>
      <c r="B1957" s="44"/>
      <c r="C1957" s="35"/>
      <c r="D1957" s="44"/>
      <c r="E1957" s="44"/>
      <c r="F1957" s="44"/>
      <c r="G1957" s="130"/>
      <c r="H1957" s="252">
        <f t="shared" si="63"/>
        <v>0</v>
      </c>
      <c r="I1957" s="252">
        <f t="shared" si="64"/>
        <v>0</v>
      </c>
      <c r="J1957" s="170" t="str">
        <f>IF(A1957="","",SUM($H$7:H1957)-SUM($I$7:I1957))</f>
        <v/>
      </c>
      <c r="K1957" s="34"/>
    </row>
    <row r="1958" spans="1:11" x14ac:dyDescent="0.2">
      <c r="A1958" s="44"/>
      <c r="B1958" s="44"/>
      <c r="C1958" s="35"/>
      <c r="D1958" s="44"/>
      <c r="E1958" s="44"/>
      <c r="F1958" s="44"/>
      <c r="G1958" s="130"/>
      <c r="H1958" s="252">
        <f t="shared" si="63"/>
        <v>0</v>
      </c>
      <c r="I1958" s="252">
        <f t="shared" si="64"/>
        <v>0</v>
      </c>
      <c r="J1958" s="170" t="str">
        <f>IF(A1958="","",SUM($H$7:H1958)-SUM($I$7:I1958))</f>
        <v/>
      </c>
      <c r="K1958" s="34"/>
    </row>
    <row r="1959" spans="1:11" x14ac:dyDescent="0.2">
      <c r="A1959" s="44"/>
      <c r="B1959" s="44"/>
      <c r="C1959" s="35"/>
      <c r="D1959" s="44"/>
      <c r="E1959" s="44"/>
      <c r="F1959" s="44"/>
      <c r="G1959" s="130"/>
      <c r="H1959" s="252">
        <f t="shared" si="63"/>
        <v>0</v>
      </c>
      <c r="I1959" s="252">
        <f t="shared" si="64"/>
        <v>0</v>
      </c>
      <c r="J1959" s="170" t="str">
        <f>IF(A1959="","",SUM($H$7:H1959)-SUM($I$7:I1959))</f>
        <v/>
      </c>
      <c r="K1959" s="34"/>
    </row>
    <row r="1960" spans="1:11" x14ac:dyDescent="0.2">
      <c r="A1960" s="44"/>
      <c r="B1960" s="44"/>
      <c r="C1960" s="35"/>
      <c r="D1960" s="44"/>
      <c r="E1960" s="44"/>
      <c r="F1960" s="44"/>
      <c r="G1960" s="130"/>
      <c r="H1960" s="252">
        <f t="shared" si="63"/>
        <v>0</v>
      </c>
      <c r="I1960" s="252">
        <f t="shared" si="64"/>
        <v>0</v>
      </c>
      <c r="J1960" s="170" t="str">
        <f>IF(A1960="","",SUM($H$7:H1960)-SUM($I$7:I1960))</f>
        <v/>
      </c>
      <c r="K1960" s="34"/>
    </row>
    <row r="1961" spans="1:11" x14ac:dyDescent="0.2">
      <c r="A1961" s="44"/>
      <c r="B1961" s="44"/>
      <c r="C1961" s="35"/>
      <c r="D1961" s="44"/>
      <c r="E1961" s="44"/>
      <c r="F1961" s="44"/>
      <c r="G1961" s="130"/>
      <c r="H1961" s="252">
        <f t="shared" si="63"/>
        <v>0</v>
      </c>
      <c r="I1961" s="252">
        <f t="shared" si="64"/>
        <v>0</v>
      </c>
      <c r="J1961" s="170" t="str">
        <f>IF(A1961="","",SUM($H$7:H1961)-SUM($I$7:I1961))</f>
        <v/>
      </c>
      <c r="K1961" s="34"/>
    </row>
    <row r="1962" spans="1:11" x14ac:dyDescent="0.2">
      <c r="A1962" s="44"/>
      <c r="B1962" s="44"/>
      <c r="C1962" s="35"/>
      <c r="D1962" s="44"/>
      <c r="E1962" s="44"/>
      <c r="F1962" s="44"/>
      <c r="G1962" s="130"/>
      <c r="H1962" s="252">
        <f t="shared" si="63"/>
        <v>0</v>
      </c>
      <c r="I1962" s="252">
        <f t="shared" si="64"/>
        <v>0</v>
      </c>
      <c r="J1962" s="170" t="str">
        <f>IF(A1962="","",SUM($H$7:H1962)-SUM($I$7:I1962))</f>
        <v/>
      </c>
      <c r="K1962" s="34"/>
    </row>
    <row r="1963" spans="1:11" x14ac:dyDescent="0.2">
      <c r="A1963" s="44"/>
      <c r="B1963" s="44"/>
      <c r="C1963" s="35"/>
      <c r="D1963" s="44"/>
      <c r="E1963" s="44"/>
      <c r="F1963" s="44"/>
      <c r="G1963" s="130"/>
      <c r="H1963" s="252">
        <f t="shared" si="63"/>
        <v>0</v>
      </c>
      <c r="I1963" s="252">
        <f t="shared" si="64"/>
        <v>0</v>
      </c>
      <c r="J1963" s="170" t="str">
        <f>IF(A1963="","",SUM($H$7:H1963)-SUM($I$7:I1963))</f>
        <v/>
      </c>
      <c r="K1963" s="34"/>
    </row>
    <row r="1964" spans="1:11" x14ac:dyDescent="0.2">
      <c r="A1964" s="44"/>
      <c r="B1964" s="44"/>
      <c r="C1964" s="35"/>
      <c r="D1964" s="44"/>
      <c r="E1964" s="44"/>
      <c r="F1964" s="44"/>
      <c r="G1964" s="130"/>
      <c r="H1964" s="252">
        <f t="shared" si="63"/>
        <v>0</v>
      </c>
      <c r="I1964" s="252">
        <f t="shared" si="64"/>
        <v>0</v>
      </c>
      <c r="J1964" s="170" t="str">
        <f>IF(A1964="","",SUM($H$7:H1964)-SUM($I$7:I1964))</f>
        <v/>
      </c>
      <c r="K1964" s="34"/>
    </row>
    <row r="1965" spans="1:11" x14ac:dyDescent="0.2">
      <c r="A1965" s="44"/>
      <c r="B1965" s="44"/>
      <c r="C1965" s="35"/>
      <c r="D1965" s="44"/>
      <c r="E1965" s="44"/>
      <c r="F1965" s="44"/>
      <c r="G1965" s="130"/>
      <c r="H1965" s="252">
        <f t="shared" si="63"/>
        <v>0</v>
      </c>
      <c r="I1965" s="252">
        <f t="shared" si="64"/>
        <v>0</v>
      </c>
      <c r="J1965" s="170" t="str">
        <f>IF(A1965="","",SUM($H$7:H1965)-SUM($I$7:I1965))</f>
        <v/>
      </c>
      <c r="K1965" s="34"/>
    </row>
    <row r="1966" spans="1:11" x14ac:dyDescent="0.2">
      <c r="A1966" s="44"/>
      <c r="B1966" s="44"/>
      <c r="C1966" s="35"/>
      <c r="D1966" s="44"/>
      <c r="E1966" s="44"/>
      <c r="F1966" s="44"/>
      <c r="G1966" s="130"/>
      <c r="H1966" s="252">
        <f t="shared" si="63"/>
        <v>0</v>
      </c>
      <c r="I1966" s="252">
        <f t="shared" si="64"/>
        <v>0</v>
      </c>
      <c r="J1966" s="170" t="str">
        <f>IF(A1966="","",SUM($H$7:H1966)-SUM($I$7:I1966))</f>
        <v/>
      </c>
      <c r="K1966" s="34"/>
    </row>
    <row r="1967" spans="1:11" x14ac:dyDescent="0.2">
      <c r="A1967" s="44"/>
      <c r="B1967" s="44"/>
      <c r="C1967" s="35"/>
      <c r="D1967" s="44"/>
      <c r="E1967" s="44"/>
      <c r="F1967" s="44"/>
      <c r="G1967" s="130"/>
      <c r="H1967" s="252">
        <f t="shared" si="63"/>
        <v>0</v>
      </c>
      <c r="I1967" s="252">
        <f t="shared" si="64"/>
        <v>0</v>
      </c>
      <c r="J1967" s="170" t="str">
        <f>IF(A1967="","",SUM($H$7:H1967)-SUM($I$7:I1967))</f>
        <v/>
      </c>
      <c r="K1967" s="34"/>
    </row>
    <row r="1968" spans="1:11" x14ac:dyDescent="0.2">
      <c r="A1968" s="44"/>
      <c r="B1968" s="44"/>
      <c r="C1968" s="35"/>
      <c r="D1968" s="44"/>
      <c r="E1968" s="44"/>
      <c r="F1968" s="44"/>
      <c r="G1968" s="130"/>
      <c r="H1968" s="252">
        <f t="shared" si="63"/>
        <v>0</v>
      </c>
      <c r="I1968" s="252">
        <f t="shared" si="64"/>
        <v>0</v>
      </c>
      <c r="J1968" s="170" t="str">
        <f>IF(A1968="","",SUM($H$7:H1968)-SUM($I$7:I1968))</f>
        <v/>
      </c>
      <c r="K1968" s="34"/>
    </row>
    <row r="1969" spans="1:11" x14ac:dyDescent="0.2">
      <c r="A1969" s="44"/>
      <c r="B1969" s="44"/>
      <c r="C1969" s="35"/>
      <c r="D1969" s="44"/>
      <c r="E1969" s="44"/>
      <c r="F1969" s="44"/>
      <c r="G1969" s="130"/>
      <c r="H1969" s="252">
        <f t="shared" si="63"/>
        <v>0</v>
      </c>
      <c r="I1969" s="252">
        <f t="shared" si="64"/>
        <v>0</v>
      </c>
      <c r="J1969" s="170" t="str">
        <f>IF(A1969="","",SUM($H$7:H1969)-SUM($I$7:I1969))</f>
        <v/>
      </c>
      <c r="K1969" s="34"/>
    </row>
    <row r="1970" spans="1:11" x14ac:dyDescent="0.2">
      <c r="A1970" s="44"/>
      <c r="B1970" s="44"/>
      <c r="C1970" s="35"/>
      <c r="D1970" s="44"/>
      <c r="E1970" s="44"/>
      <c r="F1970" s="44"/>
      <c r="G1970" s="130"/>
      <c r="H1970" s="252">
        <f t="shared" si="63"/>
        <v>0</v>
      </c>
      <c r="I1970" s="252">
        <f t="shared" si="64"/>
        <v>0</v>
      </c>
      <c r="J1970" s="170" t="str">
        <f>IF(A1970="","",SUM($H$7:H1970)-SUM($I$7:I1970))</f>
        <v/>
      </c>
      <c r="K1970" s="34"/>
    </row>
    <row r="1971" spans="1:11" x14ac:dyDescent="0.2">
      <c r="A1971" s="44"/>
      <c r="B1971" s="44"/>
      <c r="C1971" s="35"/>
      <c r="D1971" s="44"/>
      <c r="E1971" s="44"/>
      <c r="F1971" s="44"/>
      <c r="G1971" s="130"/>
      <c r="H1971" s="252">
        <f t="shared" si="63"/>
        <v>0</v>
      </c>
      <c r="I1971" s="252">
        <f t="shared" si="64"/>
        <v>0</v>
      </c>
      <c r="J1971" s="170" t="str">
        <f>IF(A1971="","",SUM($H$7:H1971)-SUM($I$7:I1971))</f>
        <v/>
      </c>
      <c r="K1971" s="34"/>
    </row>
    <row r="1972" spans="1:11" x14ac:dyDescent="0.2">
      <c r="A1972" s="44"/>
      <c r="B1972" s="44"/>
      <c r="C1972" s="35"/>
      <c r="D1972" s="44"/>
      <c r="E1972" s="44"/>
      <c r="F1972" s="44"/>
      <c r="G1972" s="130"/>
      <c r="H1972" s="252">
        <f t="shared" si="63"/>
        <v>0</v>
      </c>
      <c r="I1972" s="252">
        <f t="shared" si="64"/>
        <v>0</v>
      </c>
      <c r="J1972" s="170" t="str">
        <f>IF(A1972="","",SUM($H$7:H1972)-SUM($I$7:I1972))</f>
        <v/>
      </c>
      <c r="K1972" s="34"/>
    </row>
    <row r="1973" spans="1:11" x14ac:dyDescent="0.2">
      <c r="A1973" s="44"/>
      <c r="B1973" s="44"/>
      <c r="C1973" s="35"/>
      <c r="D1973" s="44"/>
      <c r="E1973" s="44"/>
      <c r="F1973" s="44"/>
      <c r="G1973" s="130"/>
      <c r="H1973" s="252">
        <f t="shared" si="63"/>
        <v>0</v>
      </c>
      <c r="I1973" s="252">
        <f t="shared" si="64"/>
        <v>0</v>
      </c>
      <c r="J1973" s="170" t="str">
        <f>IF(A1973="","",SUM($H$7:H1973)-SUM($I$7:I1973))</f>
        <v/>
      </c>
      <c r="K1973" s="34"/>
    </row>
    <row r="1974" spans="1:11" x14ac:dyDescent="0.2">
      <c r="A1974" s="44"/>
      <c r="B1974" s="44"/>
      <c r="C1974" s="35"/>
      <c r="D1974" s="44"/>
      <c r="E1974" s="44"/>
      <c r="F1974" s="44"/>
      <c r="G1974" s="130"/>
      <c r="H1974" s="252">
        <f t="shared" ref="H1974:H2037" si="65">IF($C1974="Replenishment",$G1974,0)</f>
        <v>0</v>
      </c>
      <c r="I1974" s="252">
        <f t="shared" si="64"/>
        <v>0</v>
      </c>
      <c r="J1974" s="170" t="str">
        <f>IF(A1974="","",SUM($H$7:H1974)-SUM($I$7:I1974))</f>
        <v/>
      </c>
      <c r="K1974" s="34"/>
    </row>
    <row r="1975" spans="1:11" x14ac:dyDescent="0.2">
      <c r="A1975" s="44"/>
      <c r="B1975" s="44"/>
      <c r="C1975" s="35"/>
      <c r="D1975" s="44"/>
      <c r="E1975" s="44"/>
      <c r="F1975" s="44"/>
      <c r="G1975" s="130"/>
      <c r="H1975" s="252">
        <f t="shared" si="65"/>
        <v>0</v>
      </c>
      <c r="I1975" s="252">
        <f t="shared" si="64"/>
        <v>0</v>
      </c>
      <c r="J1975" s="170" t="str">
        <f>IF(A1975="","",SUM($H$7:H1975)-SUM($I$7:I1975))</f>
        <v/>
      </c>
      <c r="K1975" s="34"/>
    </row>
    <row r="1976" spans="1:11" x14ac:dyDescent="0.2">
      <c r="A1976" s="44"/>
      <c r="B1976" s="44"/>
      <c r="C1976" s="35"/>
      <c r="D1976" s="44"/>
      <c r="E1976" s="44"/>
      <c r="F1976" s="44"/>
      <c r="G1976" s="130"/>
      <c r="H1976" s="252">
        <f t="shared" si="65"/>
        <v>0</v>
      </c>
      <c r="I1976" s="252">
        <f t="shared" si="64"/>
        <v>0</v>
      </c>
      <c r="J1976" s="170" t="str">
        <f>IF(A1976="","",SUM($H$7:H1976)-SUM($I$7:I1976))</f>
        <v/>
      </c>
      <c r="K1976" s="34"/>
    </row>
    <row r="1977" spans="1:11" x14ac:dyDescent="0.2">
      <c r="A1977" s="44"/>
      <c r="B1977" s="44"/>
      <c r="C1977" s="35"/>
      <c r="D1977" s="44"/>
      <c r="E1977" s="44"/>
      <c r="F1977" s="44"/>
      <c r="G1977" s="130"/>
      <c r="H1977" s="252">
        <f t="shared" si="65"/>
        <v>0</v>
      </c>
      <c r="I1977" s="252">
        <f t="shared" si="64"/>
        <v>0</v>
      </c>
      <c r="J1977" s="170" t="str">
        <f>IF(A1977="","",SUM($H$7:H1977)-SUM($I$7:I1977))</f>
        <v/>
      </c>
      <c r="K1977" s="34"/>
    </row>
    <row r="1978" spans="1:11" x14ac:dyDescent="0.2">
      <c r="A1978" s="44"/>
      <c r="B1978" s="44"/>
      <c r="C1978" s="35"/>
      <c r="D1978" s="44"/>
      <c r="E1978" s="44"/>
      <c r="F1978" s="44"/>
      <c r="G1978" s="130"/>
      <c r="H1978" s="252">
        <f t="shared" si="65"/>
        <v>0</v>
      </c>
      <c r="I1978" s="252">
        <f t="shared" si="64"/>
        <v>0</v>
      </c>
      <c r="J1978" s="170" t="str">
        <f>IF(A1978="","",SUM($H$7:H1978)-SUM($I$7:I1978))</f>
        <v/>
      </c>
      <c r="K1978" s="34"/>
    </row>
    <row r="1979" spans="1:11" x14ac:dyDescent="0.2">
      <c r="A1979" s="44"/>
      <c r="B1979" s="44"/>
      <c r="C1979" s="35"/>
      <c r="D1979" s="44"/>
      <c r="E1979" s="44"/>
      <c r="F1979" s="44"/>
      <c r="G1979" s="130"/>
      <c r="H1979" s="252">
        <f t="shared" si="65"/>
        <v>0</v>
      </c>
      <c r="I1979" s="252">
        <f t="shared" si="64"/>
        <v>0</v>
      </c>
      <c r="J1979" s="170" t="str">
        <f>IF(A1979="","",SUM($H$7:H1979)-SUM($I$7:I1979))</f>
        <v/>
      </c>
      <c r="K1979" s="34"/>
    </row>
    <row r="1980" spans="1:11" x14ac:dyDescent="0.2">
      <c r="A1980" s="44"/>
      <c r="B1980" s="44"/>
      <c r="C1980" s="35"/>
      <c r="D1980" s="44"/>
      <c r="E1980" s="44"/>
      <c r="F1980" s="44"/>
      <c r="G1980" s="130"/>
      <c r="H1980" s="252">
        <f t="shared" si="65"/>
        <v>0</v>
      </c>
      <c r="I1980" s="252">
        <f t="shared" si="64"/>
        <v>0</v>
      </c>
      <c r="J1980" s="170" t="str">
        <f>IF(A1980="","",SUM($H$7:H1980)-SUM($I$7:I1980))</f>
        <v/>
      </c>
      <c r="K1980" s="34"/>
    </row>
    <row r="1981" spans="1:11" x14ac:dyDescent="0.2">
      <c r="A1981" s="44"/>
      <c r="B1981" s="44"/>
      <c r="C1981" s="35"/>
      <c r="D1981" s="44"/>
      <c r="E1981" s="44"/>
      <c r="F1981" s="44"/>
      <c r="G1981" s="130"/>
      <c r="H1981" s="252">
        <f t="shared" si="65"/>
        <v>0</v>
      </c>
      <c r="I1981" s="252">
        <f t="shared" si="64"/>
        <v>0</v>
      </c>
      <c r="J1981" s="170" t="str">
        <f>IF(A1981="","",SUM($H$7:H1981)-SUM($I$7:I1981))</f>
        <v/>
      </c>
      <c r="K1981" s="34"/>
    </row>
    <row r="1982" spans="1:11" x14ac:dyDescent="0.2">
      <c r="A1982" s="44"/>
      <c r="B1982" s="44"/>
      <c r="C1982" s="35"/>
      <c r="D1982" s="44"/>
      <c r="E1982" s="44"/>
      <c r="F1982" s="44"/>
      <c r="G1982" s="130"/>
      <c r="H1982" s="252">
        <f t="shared" si="65"/>
        <v>0</v>
      </c>
      <c r="I1982" s="252">
        <f t="shared" si="64"/>
        <v>0</v>
      </c>
      <c r="J1982" s="170" t="str">
        <f>IF(A1982="","",SUM($H$7:H1982)-SUM($I$7:I1982))</f>
        <v/>
      </c>
      <c r="K1982" s="34"/>
    </row>
    <row r="1983" spans="1:11" x14ac:dyDescent="0.2">
      <c r="A1983" s="44"/>
      <c r="B1983" s="44"/>
      <c r="C1983" s="35"/>
      <c r="D1983" s="44"/>
      <c r="E1983" s="44"/>
      <c r="F1983" s="44"/>
      <c r="G1983" s="130"/>
      <c r="H1983" s="252">
        <f t="shared" si="65"/>
        <v>0</v>
      </c>
      <c r="I1983" s="252">
        <f t="shared" si="64"/>
        <v>0</v>
      </c>
      <c r="J1983" s="170" t="str">
        <f>IF(A1983="","",SUM($H$7:H1983)-SUM($I$7:I1983))</f>
        <v/>
      </c>
      <c r="K1983" s="34"/>
    </row>
    <row r="1984" spans="1:11" x14ac:dyDescent="0.2">
      <c r="A1984" s="44"/>
      <c r="B1984" s="44"/>
      <c r="C1984" s="35"/>
      <c r="D1984" s="44"/>
      <c r="E1984" s="44"/>
      <c r="F1984" s="44"/>
      <c r="G1984" s="130"/>
      <c r="H1984" s="252">
        <f t="shared" si="65"/>
        <v>0</v>
      </c>
      <c r="I1984" s="252">
        <f t="shared" si="64"/>
        <v>0</v>
      </c>
      <c r="J1984" s="170" t="str">
        <f>IF(A1984="","",SUM($H$7:H1984)-SUM($I$7:I1984))</f>
        <v/>
      </c>
      <c r="K1984" s="34"/>
    </row>
    <row r="1985" spans="1:11" x14ac:dyDescent="0.2">
      <c r="A1985" s="44"/>
      <c r="B1985" s="44"/>
      <c r="C1985" s="35"/>
      <c r="D1985" s="44"/>
      <c r="E1985" s="44"/>
      <c r="F1985" s="44"/>
      <c r="G1985" s="130"/>
      <c r="H1985" s="252">
        <f t="shared" si="65"/>
        <v>0</v>
      </c>
      <c r="I1985" s="252">
        <f t="shared" si="64"/>
        <v>0</v>
      </c>
      <c r="J1985" s="170" t="str">
        <f>IF(A1985="","",SUM($H$7:H1985)-SUM($I$7:I1985))</f>
        <v/>
      </c>
      <c r="K1985" s="34"/>
    </row>
    <row r="1986" spans="1:11" x14ac:dyDescent="0.2">
      <c r="A1986" s="44"/>
      <c r="B1986" s="44"/>
      <c r="C1986" s="35"/>
      <c r="D1986" s="44"/>
      <c r="E1986" s="44"/>
      <c r="F1986" s="44"/>
      <c r="G1986" s="130"/>
      <c r="H1986" s="252">
        <f t="shared" si="65"/>
        <v>0</v>
      </c>
      <c r="I1986" s="252">
        <f t="shared" si="64"/>
        <v>0</v>
      </c>
      <c r="J1986" s="170" t="str">
        <f>IF(A1986="","",SUM($H$7:H1986)-SUM($I$7:I1986))</f>
        <v/>
      </c>
      <c r="K1986" s="34"/>
    </row>
    <row r="1987" spans="1:11" x14ac:dyDescent="0.2">
      <c r="A1987" s="44"/>
      <c r="B1987" s="44"/>
      <c r="C1987" s="35"/>
      <c r="D1987" s="44"/>
      <c r="E1987" s="44"/>
      <c r="F1987" s="44"/>
      <c r="G1987" s="130"/>
      <c r="H1987" s="252">
        <f t="shared" si="65"/>
        <v>0</v>
      </c>
      <c r="I1987" s="252">
        <f t="shared" si="64"/>
        <v>0</v>
      </c>
      <c r="J1987" s="170" t="str">
        <f>IF(A1987="","",SUM($H$7:H1987)-SUM($I$7:I1987))</f>
        <v/>
      </c>
      <c r="K1987" s="34"/>
    </row>
    <row r="1988" spans="1:11" x14ac:dyDescent="0.2">
      <c r="A1988" s="44"/>
      <c r="B1988" s="44"/>
      <c r="C1988" s="35"/>
      <c r="D1988" s="44"/>
      <c r="E1988" s="44"/>
      <c r="F1988" s="44"/>
      <c r="G1988" s="130"/>
      <c r="H1988" s="252">
        <f t="shared" si="65"/>
        <v>0</v>
      </c>
      <c r="I1988" s="252">
        <f t="shared" si="64"/>
        <v>0</v>
      </c>
      <c r="J1988" s="170" t="str">
        <f>IF(A1988="","",SUM($H$7:H1988)-SUM($I$7:I1988))</f>
        <v/>
      </c>
      <c r="K1988" s="34"/>
    </row>
    <row r="1989" spans="1:11" x14ac:dyDescent="0.2">
      <c r="A1989" s="44"/>
      <c r="B1989" s="44"/>
      <c r="C1989" s="35"/>
      <c r="D1989" s="44"/>
      <c r="E1989" s="44"/>
      <c r="F1989" s="44"/>
      <c r="G1989" s="130"/>
      <c r="H1989" s="252">
        <f t="shared" si="65"/>
        <v>0</v>
      </c>
      <c r="I1989" s="252">
        <f t="shared" si="64"/>
        <v>0</v>
      </c>
      <c r="J1989" s="170" t="str">
        <f>IF(A1989="","",SUM($H$7:H1989)-SUM($I$7:I1989))</f>
        <v/>
      </c>
      <c r="K1989" s="34"/>
    </row>
    <row r="1990" spans="1:11" x14ac:dyDescent="0.2">
      <c r="A1990" s="44"/>
      <c r="B1990" s="44"/>
      <c r="C1990" s="35"/>
      <c r="D1990" s="44"/>
      <c r="E1990" s="44"/>
      <c r="F1990" s="44"/>
      <c r="G1990" s="130"/>
      <c r="H1990" s="252">
        <f t="shared" si="65"/>
        <v>0</v>
      </c>
      <c r="I1990" s="252">
        <f t="shared" si="64"/>
        <v>0</v>
      </c>
      <c r="J1990" s="170" t="str">
        <f>IF(A1990="","",SUM($H$7:H1990)-SUM($I$7:I1990))</f>
        <v/>
      </c>
      <c r="K1990" s="34"/>
    </row>
    <row r="1991" spans="1:11" x14ac:dyDescent="0.2">
      <c r="A1991" s="44"/>
      <c r="B1991" s="44"/>
      <c r="C1991" s="35"/>
      <c r="D1991" s="44"/>
      <c r="E1991" s="44"/>
      <c r="F1991" s="44"/>
      <c r="G1991" s="130"/>
      <c r="H1991" s="252">
        <f t="shared" si="65"/>
        <v>0</v>
      </c>
      <c r="I1991" s="252">
        <f t="shared" ref="I1991:I2054" si="66">IF($C1991="Replenishment",0,$G1991)</f>
        <v>0</v>
      </c>
      <c r="J1991" s="170" t="str">
        <f>IF(A1991="","",SUM($H$7:H1991)-SUM($I$7:I1991))</f>
        <v/>
      </c>
      <c r="K1991" s="34"/>
    </row>
    <row r="1992" spans="1:11" x14ac:dyDescent="0.2">
      <c r="A1992" s="44"/>
      <c r="B1992" s="44"/>
      <c r="C1992" s="35"/>
      <c r="D1992" s="44"/>
      <c r="E1992" s="44"/>
      <c r="F1992" s="44"/>
      <c r="G1992" s="130"/>
      <c r="H1992" s="252">
        <f t="shared" si="65"/>
        <v>0</v>
      </c>
      <c r="I1992" s="252">
        <f t="shared" si="66"/>
        <v>0</v>
      </c>
      <c r="J1992" s="170" t="str">
        <f>IF(A1992="","",SUM($H$7:H1992)-SUM($I$7:I1992))</f>
        <v/>
      </c>
      <c r="K1992" s="34"/>
    </row>
    <row r="1993" spans="1:11" x14ac:dyDescent="0.2">
      <c r="A1993" s="44"/>
      <c r="B1993" s="44"/>
      <c r="C1993" s="35"/>
      <c r="D1993" s="44"/>
      <c r="E1993" s="44"/>
      <c r="F1993" s="44"/>
      <c r="G1993" s="130"/>
      <c r="H1993" s="252">
        <f t="shared" si="65"/>
        <v>0</v>
      </c>
      <c r="I1993" s="252">
        <f t="shared" si="66"/>
        <v>0</v>
      </c>
      <c r="J1993" s="170" t="str">
        <f>IF(A1993="","",SUM($H$7:H1993)-SUM($I$7:I1993))</f>
        <v/>
      </c>
      <c r="K1993" s="34"/>
    </row>
    <row r="1994" spans="1:11" x14ac:dyDescent="0.2">
      <c r="A1994" s="44"/>
      <c r="B1994" s="44"/>
      <c r="C1994" s="35"/>
      <c r="D1994" s="44"/>
      <c r="E1994" s="44"/>
      <c r="F1994" s="44"/>
      <c r="G1994" s="130"/>
      <c r="H1994" s="252">
        <f t="shared" si="65"/>
        <v>0</v>
      </c>
      <c r="I1994" s="252">
        <f t="shared" si="66"/>
        <v>0</v>
      </c>
      <c r="J1994" s="170" t="str">
        <f>IF(A1994="","",SUM($H$7:H1994)-SUM($I$7:I1994))</f>
        <v/>
      </c>
      <c r="K1994" s="34"/>
    </row>
    <row r="1995" spans="1:11" x14ac:dyDescent="0.2">
      <c r="A1995" s="44"/>
      <c r="B1995" s="44"/>
      <c r="C1995" s="35"/>
      <c r="D1995" s="44"/>
      <c r="E1995" s="44"/>
      <c r="F1995" s="44"/>
      <c r="G1995" s="130"/>
      <c r="H1995" s="252">
        <f t="shared" si="65"/>
        <v>0</v>
      </c>
      <c r="I1995" s="252">
        <f t="shared" si="66"/>
        <v>0</v>
      </c>
      <c r="J1995" s="170" t="str">
        <f>IF(A1995="","",SUM($H$7:H1995)-SUM($I$7:I1995))</f>
        <v/>
      </c>
      <c r="K1995" s="34"/>
    </row>
    <row r="1996" spans="1:11" x14ac:dyDescent="0.2">
      <c r="A1996" s="44"/>
      <c r="B1996" s="44"/>
      <c r="C1996" s="35"/>
      <c r="D1996" s="44"/>
      <c r="E1996" s="44"/>
      <c r="F1996" s="44"/>
      <c r="G1996" s="130"/>
      <c r="H1996" s="252">
        <f t="shared" si="65"/>
        <v>0</v>
      </c>
      <c r="I1996" s="252">
        <f t="shared" si="66"/>
        <v>0</v>
      </c>
      <c r="J1996" s="170" t="str">
        <f>IF(A1996="","",SUM($H$7:H1996)-SUM($I$7:I1996))</f>
        <v/>
      </c>
      <c r="K1996" s="34"/>
    </row>
    <row r="1997" spans="1:11" x14ac:dyDescent="0.2">
      <c r="A1997" s="44"/>
      <c r="B1997" s="44"/>
      <c r="C1997" s="35"/>
      <c r="D1997" s="44"/>
      <c r="E1997" s="44"/>
      <c r="F1997" s="44"/>
      <c r="G1997" s="130"/>
      <c r="H1997" s="252">
        <f t="shared" si="65"/>
        <v>0</v>
      </c>
      <c r="I1997" s="252">
        <f t="shared" si="66"/>
        <v>0</v>
      </c>
      <c r="J1997" s="170" t="str">
        <f>IF(A1997="","",SUM($H$7:H1997)-SUM($I$7:I1997))</f>
        <v/>
      </c>
      <c r="K1997" s="34"/>
    </row>
    <row r="1998" spans="1:11" x14ac:dyDescent="0.2">
      <c r="A1998" s="44"/>
      <c r="B1998" s="44"/>
      <c r="C1998" s="35"/>
      <c r="D1998" s="44"/>
      <c r="E1998" s="44"/>
      <c r="F1998" s="44"/>
      <c r="G1998" s="130"/>
      <c r="H1998" s="252">
        <f t="shared" si="65"/>
        <v>0</v>
      </c>
      <c r="I1998" s="252">
        <f t="shared" si="66"/>
        <v>0</v>
      </c>
      <c r="J1998" s="170" t="str">
        <f>IF(A1998="","",SUM($H$7:H1998)-SUM($I$7:I1998))</f>
        <v/>
      </c>
      <c r="K1998" s="34"/>
    </row>
    <row r="1999" spans="1:11" x14ac:dyDescent="0.2">
      <c r="A1999" s="44"/>
      <c r="B1999" s="44"/>
      <c r="C1999" s="35"/>
      <c r="D1999" s="44"/>
      <c r="E1999" s="44"/>
      <c r="F1999" s="44"/>
      <c r="G1999" s="130"/>
      <c r="H1999" s="252">
        <f t="shared" si="65"/>
        <v>0</v>
      </c>
      <c r="I1999" s="252">
        <f t="shared" si="66"/>
        <v>0</v>
      </c>
      <c r="J1999" s="170" t="str">
        <f>IF(A1999="","",SUM($H$7:H1999)-SUM($I$7:I1999))</f>
        <v/>
      </c>
      <c r="K1999" s="34"/>
    </row>
    <row r="2000" spans="1:11" x14ac:dyDescent="0.2">
      <c r="A2000" s="44"/>
      <c r="B2000" s="44"/>
      <c r="C2000" s="35"/>
      <c r="D2000" s="44"/>
      <c r="E2000" s="44"/>
      <c r="F2000" s="44"/>
      <c r="G2000" s="130"/>
      <c r="H2000" s="252">
        <f t="shared" si="65"/>
        <v>0</v>
      </c>
      <c r="I2000" s="252">
        <f t="shared" si="66"/>
        <v>0</v>
      </c>
      <c r="J2000" s="170" t="str">
        <f>IF(A2000="","",SUM($H$7:H2000)-SUM($I$7:I2000))</f>
        <v/>
      </c>
      <c r="K2000" s="34"/>
    </row>
    <row r="2001" spans="1:11" x14ac:dyDescent="0.2">
      <c r="A2001" s="44"/>
      <c r="B2001" s="44"/>
      <c r="C2001" s="35"/>
      <c r="D2001" s="44"/>
      <c r="E2001" s="44"/>
      <c r="F2001" s="44"/>
      <c r="G2001" s="130"/>
      <c r="H2001" s="252">
        <f t="shared" si="65"/>
        <v>0</v>
      </c>
      <c r="I2001" s="252">
        <f t="shared" si="66"/>
        <v>0</v>
      </c>
      <c r="J2001" s="170" t="str">
        <f>IF(A2001="","",SUM($H$7:H2001)-SUM($I$7:I2001))</f>
        <v/>
      </c>
      <c r="K2001" s="34"/>
    </row>
    <row r="2002" spans="1:11" x14ac:dyDescent="0.2">
      <c r="A2002" s="44"/>
      <c r="B2002" s="44"/>
      <c r="C2002" s="35"/>
      <c r="D2002" s="44"/>
      <c r="E2002" s="44"/>
      <c r="F2002" s="44"/>
      <c r="G2002" s="130"/>
      <c r="H2002" s="252">
        <f t="shared" si="65"/>
        <v>0</v>
      </c>
      <c r="I2002" s="252">
        <f t="shared" si="66"/>
        <v>0</v>
      </c>
      <c r="J2002" s="170" t="str">
        <f>IF(A2002="","",SUM($H$7:H2002)-SUM($I$7:I2002))</f>
        <v/>
      </c>
      <c r="K2002" s="34"/>
    </row>
    <row r="2003" spans="1:11" x14ac:dyDescent="0.2">
      <c r="A2003" s="44"/>
      <c r="B2003" s="44"/>
      <c r="C2003" s="35"/>
      <c r="D2003" s="44"/>
      <c r="E2003" s="44"/>
      <c r="F2003" s="44"/>
      <c r="G2003" s="130"/>
      <c r="H2003" s="252">
        <f t="shared" si="65"/>
        <v>0</v>
      </c>
      <c r="I2003" s="252">
        <f t="shared" si="66"/>
        <v>0</v>
      </c>
      <c r="J2003" s="170" t="str">
        <f>IF(A2003="","",SUM($H$7:H2003)-SUM($I$7:I2003))</f>
        <v/>
      </c>
      <c r="K2003" s="34"/>
    </row>
    <row r="2004" spans="1:11" x14ac:dyDescent="0.2">
      <c r="A2004" s="44"/>
      <c r="B2004" s="44"/>
      <c r="C2004" s="35"/>
      <c r="D2004" s="44"/>
      <c r="E2004" s="44"/>
      <c r="F2004" s="44"/>
      <c r="G2004" s="130"/>
      <c r="H2004" s="252">
        <f t="shared" si="65"/>
        <v>0</v>
      </c>
      <c r="I2004" s="252">
        <f t="shared" si="66"/>
        <v>0</v>
      </c>
      <c r="J2004" s="170" t="str">
        <f>IF(A2004="","",SUM($H$7:H2004)-SUM($I$7:I2004))</f>
        <v/>
      </c>
      <c r="K2004" s="34"/>
    </row>
    <row r="2005" spans="1:11" x14ac:dyDescent="0.2">
      <c r="A2005" s="44"/>
      <c r="B2005" s="44"/>
      <c r="C2005" s="35"/>
      <c r="D2005" s="44"/>
      <c r="E2005" s="44"/>
      <c r="F2005" s="44"/>
      <c r="G2005" s="130"/>
      <c r="H2005" s="252">
        <f t="shared" si="65"/>
        <v>0</v>
      </c>
      <c r="I2005" s="252">
        <f t="shared" si="66"/>
        <v>0</v>
      </c>
      <c r="J2005" s="170" t="str">
        <f>IF(A2005="","",SUM($H$7:H2005)-SUM($I$7:I2005))</f>
        <v/>
      </c>
      <c r="K2005" s="34"/>
    </row>
    <row r="2006" spans="1:11" x14ac:dyDescent="0.2">
      <c r="A2006" s="44"/>
      <c r="B2006" s="44"/>
      <c r="C2006" s="35"/>
      <c r="D2006" s="44"/>
      <c r="E2006" s="44"/>
      <c r="F2006" s="44"/>
      <c r="G2006" s="130"/>
      <c r="H2006" s="252">
        <f t="shared" si="65"/>
        <v>0</v>
      </c>
      <c r="I2006" s="252">
        <f t="shared" si="66"/>
        <v>0</v>
      </c>
      <c r="J2006" s="170" t="str">
        <f>IF(A2006="","",SUM($H$7:H2006)-SUM($I$7:I2006))</f>
        <v/>
      </c>
      <c r="K2006" s="34"/>
    </row>
    <row r="2007" spans="1:11" x14ac:dyDescent="0.2">
      <c r="A2007" s="44"/>
      <c r="B2007" s="44"/>
      <c r="C2007" s="35"/>
      <c r="D2007" s="44"/>
      <c r="E2007" s="44"/>
      <c r="F2007" s="44"/>
      <c r="G2007" s="130"/>
      <c r="H2007" s="252">
        <f t="shared" si="65"/>
        <v>0</v>
      </c>
      <c r="I2007" s="252">
        <f t="shared" si="66"/>
        <v>0</v>
      </c>
      <c r="J2007" s="170" t="str">
        <f>IF(A2007="","",SUM($H$7:H2007)-SUM($I$7:I2007))</f>
        <v/>
      </c>
      <c r="K2007" s="34"/>
    </row>
    <row r="2008" spans="1:11" x14ac:dyDescent="0.2">
      <c r="A2008" s="44"/>
      <c r="B2008" s="44"/>
      <c r="C2008" s="35"/>
      <c r="D2008" s="44"/>
      <c r="E2008" s="44"/>
      <c r="F2008" s="44"/>
      <c r="G2008" s="130"/>
      <c r="H2008" s="252">
        <f t="shared" si="65"/>
        <v>0</v>
      </c>
      <c r="I2008" s="252">
        <f t="shared" si="66"/>
        <v>0</v>
      </c>
      <c r="J2008" s="170" t="str">
        <f>IF(A2008="","",SUM($H$7:H2008)-SUM($I$7:I2008))</f>
        <v/>
      </c>
      <c r="K2008" s="34"/>
    </row>
    <row r="2009" spans="1:11" x14ac:dyDescent="0.2">
      <c r="A2009" s="44"/>
      <c r="B2009" s="44"/>
      <c r="C2009" s="35"/>
      <c r="D2009" s="44"/>
      <c r="E2009" s="44"/>
      <c r="F2009" s="44"/>
      <c r="G2009" s="130"/>
      <c r="H2009" s="252">
        <f t="shared" si="65"/>
        <v>0</v>
      </c>
      <c r="I2009" s="252">
        <f t="shared" si="66"/>
        <v>0</v>
      </c>
      <c r="J2009" s="170" t="str">
        <f>IF(A2009="","",SUM($H$7:H2009)-SUM($I$7:I2009))</f>
        <v/>
      </c>
      <c r="K2009" s="34"/>
    </row>
    <row r="2010" spans="1:11" x14ac:dyDescent="0.2">
      <c r="A2010" s="44"/>
      <c r="B2010" s="44"/>
      <c r="C2010" s="35"/>
      <c r="D2010" s="44"/>
      <c r="E2010" s="44"/>
      <c r="F2010" s="44"/>
      <c r="G2010" s="130"/>
      <c r="H2010" s="252">
        <f t="shared" si="65"/>
        <v>0</v>
      </c>
      <c r="I2010" s="252">
        <f t="shared" si="66"/>
        <v>0</v>
      </c>
      <c r="J2010" s="170" t="str">
        <f>IF(A2010="","",SUM($H$7:H2010)-SUM($I$7:I2010))</f>
        <v/>
      </c>
      <c r="K2010" s="34"/>
    </row>
    <row r="2011" spans="1:11" x14ac:dyDescent="0.2">
      <c r="A2011" s="44"/>
      <c r="B2011" s="44"/>
      <c r="C2011" s="35"/>
      <c r="D2011" s="44"/>
      <c r="E2011" s="44"/>
      <c r="F2011" s="44"/>
      <c r="G2011" s="130"/>
      <c r="H2011" s="252">
        <f t="shared" si="65"/>
        <v>0</v>
      </c>
      <c r="I2011" s="252">
        <f t="shared" si="66"/>
        <v>0</v>
      </c>
      <c r="J2011" s="170" t="str">
        <f>IF(A2011="","",SUM($H$7:H2011)-SUM($I$7:I2011))</f>
        <v/>
      </c>
      <c r="K2011" s="34"/>
    </row>
    <row r="2012" spans="1:11" x14ac:dyDescent="0.2">
      <c r="A2012" s="44"/>
      <c r="B2012" s="44"/>
      <c r="C2012" s="35"/>
      <c r="D2012" s="44"/>
      <c r="E2012" s="44"/>
      <c r="F2012" s="44"/>
      <c r="G2012" s="130"/>
      <c r="H2012" s="252">
        <f t="shared" si="65"/>
        <v>0</v>
      </c>
      <c r="I2012" s="252">
        <f t="shared" si="66"/>
        <v>0</v>
      </c>
      <c r="J2012" s="170" t="str">
        <f>IF(A2012="","",SUM($H$7:H2012)-SUM($I$7:I2012))</f>
        <v/>
      </c>
      <c r="K2012" s="34"/>
    </row>
    <row r="2013" spans="1:11" x14ac:dyDescent="0.2">
      <c r="A2013" s="44"/>
      <c r="B2013" s="44"/>
      <c r="C2013" s="35"/>
      <c r="D2013" s="44"/>
      <c r="E2013" s="44"/>
      <c r="F2013" s="44"/>
      <c r="G2013" s="130"/>
      <c r="H2013" s="252">
        <f t="shared" si="65"/>
        <v>0</v>
      </c>
      <c r="I2013" s="252">
        <f t="shared" si="66"/>
        <v>0</v>
      </c>
      <c r="J2013" s="170" t="str">
        <f>IF(A2013="","",SUM($H$7:H2013)-SUM($I$7:I2013))</f>
        <v/>
      </c>
      <c r="K2013" s="34"/>
    </row>
    <row r="2014" spans="1:11" x14ac:dyDescent="0.2">
      <c r="A2014" s="44"/>
      <c r="B2014" s="44"/>
      <c r="C2014" s="35"/>
      <c r="D2014" s="44"/>
      <c r="E2014" s="44"/>
      <c r="F2014" s="44"/>
      <c r="G2014" s="130"/>
      <c r="H2014" s="252">
        <f t="shared" si="65"/>
        <v>0</v>
      </c>
      <c r="I2014" s="252">
        <f t="shared" si="66"/>
        <v>0</v>
      </c>
      <c r="J2014" s="170" t="str">
        <f>IF(A2014="","",SUM($H$7:H2014)-SUM($I$7:I2014))</f>
        <v/>
      </c>
      <c r="K2014" s="34"/>
    </row>
    <row r="2015" spans="1:11" x14ac:dyDescent="0.2">
      <c r="A2015" s="44"/>
      <c r="B2015" s="44"/>
      <c r="C2015" s="35"/>
      <c r="D2015" s="44"/>
      <c r="E2015" s="44"/>
      <c r="F2015" s="44"/>
      <c r="G2015" s="130"/>
      <c r="H2015" s="252">
        <f t="shared" si="65"/>
        <v>0</v>
      </c>
      <c r="I2015" s="252">
        <f t="shared" si="66"/>
        <v>0</v>
      </c>
      <c r="J2015" s="170" t="str">
        <f>IF(A2015="","",SUM($H$7:H2015)-SUM($I$7:I2015))</f>
        <v/>
      </c>
      <c r="K2015" s="34"/>
    </row>
    <row r="2016" spans="1:11" x14ac:dyDescent="0.2">
      <c r="A2016" s="44"/>
      <c r="B2016" s="44"/>
      <c r="C2016" s="35"/>
      <c r="D2016" s="44"/>
      <c r="E2016" s="44"/>
      <c r="F2016" s="44"/>
      <c r="G2016" s="130"/>
      <c r="H2016" s="252">
        <f t="shared" si="65"/>
        <v>0</v>
      </c>
      <c r="I2016" s="252">
        <f t="shared" si="66"/>
        <v>0</v>
      </c>
      <c r="J2016" s="170" t="str">
        <f>IF(A2016="","",SUM($H$7:H2016)-SUM($I$7:I2016))</f>
        <v/>
      </c>
      <c r="K2016" s="34"/>
    </row>
    <row r="2017" spans="1:11" x14ac:dyDescent="0.2">
      <c r="A2017" s="44"/>
      <c r="B2017" s="44"/>
      <c r="C2017" s="35"/>
      <c r="D2017" s="44"/>
      <c r="E2017" s="44"/>
      <c r="F2017" s="44"/>
      <c r="G2017" s="130"/>
      <c r="H2017" s="252">
        <f t="shared" si="65"/>
        <v>0</v>
      </c>
      <c r="I2017" s="252">
        <f t="shared" si="66"/>
        <v>0</v>
      </c>
      <c r="J2017" s="170" t="str">
        <f>IF(A2017="","",SUM($H$7:H2017)-SUM($I$7:I2017))</f>
        <v/>
      </c>
      <c r="K2017" s="34"/>
    </row>
    <row r="2018" spans="1:11" x14ac:dyDescent="0.2">
      <c r="A2018" s="44"/>
      <c r="B2018" s="44"/>
      <c r="C2018" s="35"/>
      <c r="D2018" s="44"/>
      <c r="E2018" s="44"/>
      <c r="F2018" s="44"/>
      <c r="G2018" s="130"/>
      <c r="H2018" s="252">
        <f t="shared" si="65"/>
        <v>0</v>
      </c>
      <c r="I2018" s="252">
        <f t="shared" si="66"/>
        <v>0</v>
      </c>
      <c r="J2018" s="170" t="str">
        <f>IF(A2018="","",SUM($H$7:H2018)-SUM($I$7:I2018))</f>
        <v/>
      </c>
      <c r="K2018" s="34"/>
    </row>
    <row r="2019" spans="1:11" x14ac:dyDescent="0.2">
      <c r="A2019" s="44"/>
      <c r="B2019" s="44"/>
      <c r="C2019" s="35"/>
      <c r="D2019" s="44"/>
      <c r="E2019" s="44"/>
      <c r="F2019" s="44"/>
      <c r="G2019" s="130"/>
      <c r="H2019" s="252">
        <f t="shared" si="65"/>
        <v>0</v>
      </c>
      <c r="I2019" s="252">
        <f t="shared" si="66"/>
        <v>0</v>
      </c>
      <c r="J2019" s="170" t="str">
        <f>IF(A2019="","",SUM($H$7:H2019)-SUM($I$7:I2019))</f>
        <v/>
      </c>
      <c r="K2019" s="34"/>
    </row>
    <row r="2020" spans="1:11" x14ac:dyDescent="0.2">
      <c r="A2020" s="44"/>
      <c r="B2020" s="44"/>
      <c r="C2020" s="35"/>
      <c r="D2020" s="44"/>
      <c r="E2020" s="44"/>
      <c r="F2020" s="44"/>
      <c r="G2020" s="130"/>
      <c r="H2020" s="252">
        <f t="shared" si="65"/>
        <v>0</v>
      </c>
      <c r="I2020" s="252">
        <f t="shared" si="66"/>
        <v>0</v>
      </c>
      <c r="J2020" s="170" t="str">
        <f>IF(A2020="","",SUM($H$7:H2020)-SUM($I$7:I2020))</f>
        <v/>
      </c>
      <c r="K2020" s="34"/>
    </row>
    <row r="2021" spans="1:11" x14ac:dyDescent="0.2">
      <c r="A2021" s="44"/>
      <c r="B2021" s="44"/>
      <c r="C2021" s="35"/>
      <c r="D2021" s="44"/>
      <c r="E2021" s="44"/>
      <c r="F2021" s="44"/>
      <c r="G2021" s="130"/>
      <c r="H2021" s="252">
        <f t="shared" si="65"/>
        <v>0</v>
      </c>
      <c r="I2021" s="252">
        <f t="shared" si="66"/>
        <v>0</v>
      </c>
      <c r="J2021" s="170" t="str">
        <f>IF(A2021="","",SUM($H$7:H2021)-SUM($I$7:I2021))</f>
        <v/>
      </c>
      <c r="K2021" s="34"/>
    </row>
    <row r="2022" spans="1:11" x14ac:dyDescent="0.2">
      <c r="A2022" s="44"/>
      <c r="B2022" s="44"/>
      <c r="C2022" s="35"/>
      <c r="D2022" s="44"/>
      <c r="E2022" s="44"/>
      <c r="F2022" s="44"/>
      <c r="G2022" s="130"/>
      <c r="H2022" s="252">
        <f t="shared" si="65"/>
        <v>0</v>
      </c>
      <c r="I2022" s="252">
        <f t="shared" si="66"/>
        <v>0</v>
      </c>
      <c r="J2022" s="170" t="str">
        <f>IF(A2022="","",SUM($H$7:H2022)-SUM($I$7:I2022))</f>
        <v/>
      </c>
      <c r="K2022" s="34"/>
    </row>
    <row r="2023" spans="1:11" x14ac:dyDescent="0.2">
      <c r="A2023" s="44"/>
      <c r="B2023" s="44"/>
      <c r="C2023" s="35"/>
      <c r="D2023" s="44"/>
      <c r="E2023" s="44"/>
      <c r="F2023" s="44"/>
      <c r="G2023" s="130"/>
      <c r="H2023" s="252">
        <f t="shared" si="65"/>
        <v>0</v>
      </c>
      <c r="I2023" s="252">
        <f t="shared" si="66"/>
        <v>0</v>
      </c>
      <c r="J2023" s="170" t="str">
        <f>IF(A2023="","",SUM($H$7:H2023)-SUM($I$7:I2023))</f>
        <v/>
      </c>
      <c r="K2023" s="34"/>
    </row>
    <row r="2024" spans="1:11" x14ac:dyDescent="0.2">
      <c r="A2024" s="44"/>
      <c r="B2024" s="44"/>
      <c r="C2024" s="35"/>
      <c r="D2024" s="44"/>
      <c r="E2024" s="44"/>
      <c r="F2024" s="44"/>
      <c r="G2024" s="130"/>
      <c r="H2024" s="252">
        <f t="shared" si="65"/>
        <v>0</v>
      </c>
      <c r="I2024" s="252">
        <f t="shared" si="66"/>
        <v>0</v>
      </c>
      <c r="J2024" s="170" t="str">
        <f>IF(A2024="","",SUM($H$7:H2024)-SUM($I$7:I2024))</f>
        <v/>
      </c>
      <c r="K2024" s="34"/>
    </row>
    <row r="2025" spans="1:11" x14ac:dyDescent="0.2">
      <c r="A2025" s="44"/>
      <c r="B2025" s="44"/>
      <c r="C2025" s="35"/>
      <c r="D2025" s="44"/>
      <c r="E2025" s="44"/>
      <c r="F2025" s="44"/>
      <c r="G2025" s="130"/>
      <c r="H2025" s="252">
        <f t="shared" si="65"/>
        <v>0</v>
      </c>
      <c r="I2025" s="252">
        <f t="shared" si="66"/>
        <v>0</v>
      </c>
      <c r="J2025" s="170" t="str">
        <f>IF(A2025="","",SUM($H$7:H2025)-SUM($I$7:I2025))</f>
        <v/>
      </c>
      <c r="K2025" s="34"/>
    </row>
    <row r="2026" spans="1:11" x14ac:dyDescent="0.2">
      <c r="A2026" s="44"/>
      <c r="B2026" s="44"/>
      <c r="C2026" s="35"/>
      <c r="D2026" s="44"/>
      <c r="E2026" s="44"/>
      <c r="F2026" s="44"/>
      <c r="G2026" s="130"/>
      <c r="H2026" s="252">
        <f t="shared" si="65"/>
        <v>0</v>
      </c>
      <c r="I2026" s="252">
        <f t="shared" si="66"/>
        <v>0</v>
      </c>
      <c r="J2026" s="170" t="str">
        <f>IF(A2026="","",SUM($H$7:H2026)-SUM($I$7:I2026))</f>
        <v/>
      </c>
      <c r="K2026" s="34"/>
    </row>
    <row r="2027" spans="1:11" x14ac:dyDescent="0.2">
      <c r="A2027" s="44"/>
      <c r="B2027" s="44"/>
      <c r="C2027" s="35"/>
      <c r="D2027" s="44"/>
      <c r="E2027" s="44"/>
      <c r="F2027" s="44"/>
      <c r="G2027" s="130"/>
      <c r="H2027" s="252">
        <f t="shared" si="65"/>
        <v>0</v>
      </c>
      <c r="I2027" s="252">
        <f t="shared" si="66"/>
        <v>0</v>
      </c>
      <c r="J2027" s="170" t="str">
        <f>IF(A2027="","",SUM($H$7:H2027)-SUM($I$7:I2027))</f>
        <v/>
      </c>
      <c r="K2027" s="34"/>
    </row>
    <row r="2028" spans="1:11" x14ac:dyDescent="0.2">
      <c r="A2028" s="44"/>
      <c r="B2028" s="44"/>
      <c r="C2028" s="35"/>
      <c r="D2028" s="44"/>
      <c r="E2028" s="44"/>
      <c r="F2028" s="44"/>
      <c r="G2028" s="130"/>
      <c r="H2028" s="252">
        <f t="shared" si="65"/>
        <v>0</v>
      </c>
      <c r="I2028" s="252">
        <f t="shared" si="66"/>
        <v>0</v>
      </c>
      <c r="J2028" s="170" t="str">
        <f>IF(A2028="","",SUM($H$7:H2028)-SUM($I$7:I2028))</f>
        <v/>
      </c>
      <c r="K2028" s="34"/>
    </row>
    <row r="2029" spans="1:11" x14ac:dyDescent="0.2">
      <c r="A2029" s="44"/>
      <c r="B2029" s="44"/>
      <c r="C2029" s="35"/>
      <c r="D2029" s="44"/>
      <c r="E2029" s="44"/>
      <c r="F2029" s="44"/>
      <c r="G2029" s="130"/>
      <c r="H2029" s="252">
        <f t="shared" si="65"/>
        <v>0</v>
      </c>
      <c r="I2029" s="252">
        <f t="shared" si="66"/>
        <v>0</v>
      </c>
      <c r="J2029" s="170" t="str">
        <f>IF(A2029="","",SUM($H$7:H2029)-SUM($I$7:I2029))</f>
        <v/>
      </c>
      <c r="K2029" s="34"/>
    </row>
    <row r="2030" spans="1:11" x14ac:dyDescent="0.2">
      <c r="A2030" s="44"/>
      <c r="B2030" s="44"/>
      <c r="C2030" s="35"/>
      <c r="D2030" s="44"/>
      <c r="E2030" s="44"/>
      <c r="F2030" s="44"/>
      <c r="G2030" s="130"/>
      <c r="H2030" s="252">
        <f t="shared" si="65"/>
        <v>0</v>
      </c>
      <c r="I2030" s="252">
        <f t="shared" si="66"/>
        <v>0</v>
      </c>
      <c r="J2030" s="170" t="str">
        <f>IF(A2030="","",SUM($H$7:H2030)-SUM($I$7:I2030))</f>
        <v/>
      </c>
      <c r="K2030" s="34"/>
    </row>
    <row r="2031" spans="1:11" x14ac:dyDescent="0.2">
      <c r="A2031" s="44"/>
      <c r="B2031" s="44"/>
      <c r="C2031" s="35"/>
      <c r="D2031" s="44"/>
      <c r="E2031" s="44"/>
      <c r="F2031" s="44"/>
      <c r="G2031" s="130"/>
      <c r="H2031" s="252">
        <f t="shared" si="65"/>
        <v>0</v>
      </c>
      <c r="I2031" s="252">
        <f t="shared" si="66"/>
        <v>0</v>
      </c>
      <c r="J2031" s="170" t="str">
        <f>IF(A2031="","",SUM($H$7:H2031)-SUM($I$7:I2031))</f>
        <v/>
      </c>
      <c r="K2031" s="34"/>
    </row>
    <row r="2032" spans="1:11" x14ac:dyDescent="0.2">
      <c r="A2032" s="44"/>
      <c r="B2032" s="44"/>
      <c r="C2032" s="35"/>
      <c r="D2032" s="44"/>
      <c r="E2032" s="44"/>
      <c r="F2032" s="44"/>
      <c r="G2032" s="130"/>
      <c r="H2032" s="252">
        <f t="shared" si="65"/>
        <v>0</v>
      </c>
      <c r="I2032" s="252">
        <f t="shared" si="66"/>
        <v>0</v>
      </c>
      <c r="J2032" s="170" t="str">
        <f>IF(A2032="","",SUM($H$7:H2032)-SUM($I$7:I2032))</f>
        <v/>
      </c>
      <c r="K2032" s="34"/>
    </row>
    <row r="2033" spans="1:11" x14ac:dyDescent="0.2">
      <c r="A2033" s="44"/>
      <c r="B2033" s="44"/>
      <c r="C2033" s="35"/>
      <c r="D2033" s="44"/>
      <c r="E2033" s="44"/>
      <c r="F2033" s="44"/>
      <c r="G2033" s="130"/>
      <c r="H2033" s="252">
        <f t="shared" si="65"/>
        <v>0</v>
      </c>
      <c r="I2033" s="252">
        <f t="shared" si="66"/>
        <v>0</v>
      </c>
      <c r="J2033" s="170" t="str">
        <f>IF(A2033="","",SUM($H$7:H2033)-SUM($I$7:I2033))</f>
        <v/>
      </c>
      <c r="K2033" s="34"/>
    </row>
    <row r="2034" spans="1:11" x14ac:dyDescent="0.2">
      <c r="A2034" s="44"/>
      <c r="B2034" s="44"/>
      <c r="C2034" s="35"/>
      <c r="D2034" s="44"/>
      <c r="E2034" s="44"/>
      <c r="F2034" s="44"/>
      <c r="G2034" s="130"/>
      <c r="H2034" s="252">
        <f t="shared" si="65"/>
        <v>0</v>
      </c>
      <c r="I2034" s="252">
        <f t="shared" si="66"/>
        <v>0</v>
      </c>
      <c r="J2034" s="170" t="str">
        <f>IF(A2034="","",SUM($H$7:H2034)-SUM($I$7:I2034))</f>
        <v/>
      </c>
      <c r="K2034" s="34"/>
    </row>
    <row r="2035" spans="1:11" x14ac:dyDescent="0.2">
      <c r="A2035" s="44"/>
      <c r="B2035" s="44"/>
      <c r="C2035" s="35"/>
      <c r="D2035" s="44"/>
      <c r="E2035" s="44"/>
      <c r="F2035" s="44"/>
      <c r="G2035" s="130"/>
      <c r="H2035" s="252">
        <f t="shared" si="65"/>
        <v>0</v>
      </c>
      <c r="I2035" s="252">
        <f t="shared" si="66"/>
        <v>0</v>
      </c>
      <c r="J2035" s="170" t="str">
        <f>IF(A2035="","",SUM($H$7:H2035)-SUM($I$7:I2035))</f>
        <v/>
      </c>
      <c r="K2035" s="34"/>
    </row>
    <row r="2036" spans="1:11" x14ac:dyDescent="0.2">
      <c r="A2036" s="44"/>
      <c r="B2036" s="44"/>
      <c r="C2036" s="35"/>
      <c r="D2036" s="44"/>
      <c r="E2036" s="44"/>
      <c r="F2036" s="44"/>
      <c r="G2036" s="130"/>
      <c r="H2036" s="252">
        <f t="shared" si="65"/>
        <v>0</v>
      </c>
      <c r="I2036" s="252">
        <f t="shared" si="66"/>
        <v>0</v>
      </c>
      <c r="J2036" s="170" t="str">
        <f>IF(A2036="","",SUM($H$7:H2036)-SUM($I$7:I2036))</f>
        <v/>
      </c>
      <c r="K2036" s="34"/>
    </row>
    <row r="2037" spans="1:11" x14ac:dyDescent="0.2">
      <c r="A2037" s="44"/>
      <c r="B2037" s="44"/>
      <c r="C2037" s="35"/>
      <c r="D2037" s="44"/>
      <c r="E2037" s="44"/>
      <c r="F2037" s="44"/>
      <c r="G2037" s="130"/>
      <c r="H2037" s="252">
        <f t="shared" si="65"/>
        <v>0</v>
      </c>
      <c r="I2037" s="252">
        <f t="shared" si="66"/>
        <v>0</v>
      </c>
      <c r="J2037" s="170" t="str">
        <f>IF(A2037="","",SUM($H$7:H2037)-SUM($I$7:I2037))</f>
        <v/>
      </c>
      <c r="K2037" s="34"/>
    </row>
    <row r="2038" spans="1:11" x14ac:dyDescent="0.2">
      <c r="A2038" s="44"/>
      <c r="B2038" s="44"/>
      <c r="C2038" s="35"/>
      <c r="D2038" s="44"/>
      <c r="E2038" s="44"/>
      <c r="F2038" s="44"/>
      <c r="G2038" s="130"/>
      <c r="H2038" s="252">
        <f t="shared" ref="H2038:H2101" si="67">IF($C2038="Replenishment",$G2038,0)</f>
        <v>0</v>
      </c>
      <c r="I2038" s="252">
        <f t="shared" si="66"/>
        <v>0</v>
      </c>
      <c r="J2038" s="170" t="str">
        <f>IF(A2038="","",SUM($H$7:H2038)-SUM($I$7:I2038))</f>
        <v/>
      </c>
      <c r="K2038" s="34"/>
    </row>
    <row r="2039" spans="1:11" x14ac:dyDescent="0.2">
      <c r="A2039" s="44"/>
      <c r="B2039" s="44"/>
      <c r="C2039" s="35"/>
      <c r="D2039" s="44"/>
      <c r="E2039" s="44"/>
      <c r="F2039" s="44"/>
      <c r="G2039" s="130"/>
      <c r="H2039" s="252">
        <f t="shared" si="67"/>
        <v>0</v>
      </c>
      <c r="I2039" s="252">
        <f t="shared" si="66"/>
        <v>0</v>
      </c>
      <c r="J2039" s="170" t="str">
        <f>IF(A2039="","",SUM($H$7:H2039)-SUM($I$7:I2039))</f>
        <v/>
      </c>
      <c r="K2039" s="34"/>
    </row>
    <row r="2040" spans="1:11" x14ac:dyDescent="0.2">
      <c r="A2040" s="44"/>
      <c r="B2040" s="44"/>
      <c r="C2040" s="35"/>
      <c r="D2040" s="44"/>
      <c r="E2040" s="44"/>
      <c r="F2040" s="44"/>
      <c r="G2040" s="130"/>
      <c r="H2040" s="252">
        <f t="shared" si="67"/>
        <v>0</v>
      </c>
      <c r="I2040" s="252">
        <f t="shared" si="66"/>
        <v>0</v>
      </c>
      <c r="J2040" s="170" t="str">
        <f>IF(A2040="","",SUM($H$7:H2040)-SUM($I$7:I2040))</f>
        <v/>
      </c>
      <c r="K2040" s="34"/>
    </row>
    <row r="2041" spans="1:11" x14ac:dyDescent="0.2">
      <c r="A2041" s="44"/>
      <c r="B2041" s="44"/>
      <c r="C2041" s="35"/>
      <c r="D2041" s="44"/>
      <c r="E2041" s="44"/>
      <c r="F2041" s="44"/>
      <c r="G2041" s="130"/>
      <c r="H2041" s="252">
        <f t="shared" si="67"/>
        <v>0</v>
      </c>
      <c r="I2041" s="252">
        <f t="shared" si="66"/>
        <v>0</v>
      </c>
      <c r="J2041" s="170" t="str">
        <f>IF(A2041="","",SUM($H$7:H2041)-SUM($I$7:I2041))</f>
        <v/>
      </c>
      <c r="K2041" s="34"/>
    </row>
    <row r="2042" spans="1:11" x14ac:dyDescent="0.2">
      <c r="A2042" s="44"/>
      <c r="B2042" s="44"/>
      <c r="C2042" s="35"/>
      <c r="D2042" s="44"/>
      <c r="E2042" s="44"/>
      <c r="F2042" s="44"/>
      <c r="G2042" s="130"/>
      <c r="H2042" s="252">
        <f t="shared" si="67"/>
        <v>0</v>
      </c>
      <c r="I2042" s="252">
        <f t="shared" si="66"/>
        <v>0</v>
      </c>
      <c r="J2042" s="170" t="str">
        <f>IF(A2042="","",SUM($H$7:H2042)-SUM($I$7:I2042))</f>
        <v/>
      </c>
      <c r="K2042" s="34"/>
    </row>
    <row r="2043" spans="1:11" x14ac:dyDescent="0.2">
      <c r="A2043" s="44"/>
      <c r="B2043" s="44"/>
      <c r="C2043" s="35"/>
      <c r="D2043" s="44"/>
      <c r="E2043" s="44"/>
      <c r="F2043" s="44"/>
      <c r="G2043" s="130"/>
      <c r="H2043" s="252">
        <f t="shared" si="67"/>
        <v>0</v>
      </c>
      <c r="I2043" s="252">
        <f t="shared" si="66"/>
        <v>0</v>
      </c>
      <c r="J2043" s="170" t="str">
        <f>IF(A2043="","",SUM($H$7:H2043)-SUM($I$7:I2043))</f>
        <v/>
      </c>
      <c r="K2043" s="34"/>
    </row>
    <row r="2044" spans="1:11" x14ac:dyDescent="0.2">
      <c r="A2044" s="44"/>
      <c r="B2044" s="44"/>
      <c r="C2044" s="35"/>
      <c r="D2044" s="44"/>
      <c r="E2044" s="44"/>
      <c r="F2044" s="44"/>
      <c r="G2044" s="130"/>
      <c r="H2044" s="252">
        <f t="shared" si="67"/>
        <v>0</v>
      </c>
      <c r="I2044" s="252">
        <f t="shared" si="66"/>
        <v>0</v>
      </c>
      <c r="J2044" s="170" t="str">
        <f>IF(A2044="","",SUM($H$7:H2044)-SUM($I$7:I2044))</f>
        <v/>
      </c>
      <c r="K2044" s="34"/>
    </row>
    <row r="2045" spans="1:11" x14ac:dyDescent="0.2">
      <c r="A2045" s="44"/>
      <c r="B2045" s="44"/>
      <c r="C2045" s="35"/>
      <c r="D2045" s="44"/>
      <c r="E2045" s="44"/>
      <c r="F2045" s="44"/>
      <c r="G2045" s="130"/>
      <c r="H2045" s="252">
        <f t="shared" si="67"/>
        <v>0</v>
      </c>
      <c r="I2045" s="252">
        <f t="shared" si="66"/>
        <v>0</v>
      </c>
      <c r="J2045" s="170" t="str">
        <f>IF(A2045="","",SUM($H$7:H2045)-SUM($I$7:I2045))</f>
        <v/>
      </c>
      <c r="K2045" s="34"/>
    </row>
    <row r="2046" spans="1:11" x14ac:dyDescent="0.2">
      <c r="A2046" s="44"/>
      <c r="B2046" s="44"/>
      <c r="C2046" s="35"/>
      <c r="D2046" s="44"/>
      <c r="E2046" s="44"/>
      <c r="F2046" s="44"/>
      <c r="G2046" s="130"/>
      <c r="H2046" s="252">
        <f t="shared" si="67"/>
        <v>0</v>
      </c>
      <c r="I2046" s="252">
        <f t="shared" si="66"/>
        <v>0</v>
      </c>
      <c r="J2046" s="170" t="str">
        <f>IF(A2046="","",SUM($H$7:H2046)-SUM($I$7:I2046))</f>
        <v/>
      </c>
      <c r="K2046" s="34"/>
    </row>
    <row r="2047" spans="1:11" x14ac:dyDescent="0.2">
      <c r="A2047" s="44"/>
      <c r="B2047" s="44"/>
      <c r="C2047" s="35"/>
      <c r="D2047" s="44"/>
      <c r="E2047" s="44"/>
      <c r="F2047" s="44"/>
      <c r="G2047" s="130"/>
      <c r="H2047" s="252">
        <f t="shared" si="67"/>
        <v>0</v>
      </c>
      <c r="I2047" s="252">
        <f t="shared" si="66"/>
        <v>0</v>
      </c>
      <c r="J2047" s="170" t="str">
        <f>IF(A2047="","",SUM($H$7:H2047)-SUM($I$7:I2047))</f>
        <v/>
      </c>
      <c r="K2047" s="34"/>
    </row>
    <row r="2048" spans="1:11" x14ac:dyDescent="0.2">
      <c r="A2048" s="44"/>
      <c r="B2048" s="44"/>
      <c r="C2048" s="35"/>
      <c r="D2048" s="44"/>
      <c r="E2048" s="44"/>
      <c r="F2048" s="44"/>
      <c r="G2048" s="130"/>
      <c r="H2048" s="252">
        <f t="shared" si="67"/>
        <v>0</v>
      </c>
      <c r="I2048" s="252">
        <f t="shared" si="66"/>
        <v>0</v>
      </c>
      <c r="J2048" s="170" t="str">
        <f>IF(A2048="","",SUM($H$7:H2048)-SUM($I$7:I2048))</f>
        <v/>
      </c>
      <c r="K2048" s="34"/>
    </row>
    <row r="2049" spans="1:11" x14ac:dyDescent="0.2">
      <c r="A2049" s="44"/>
      <c r="B2049" s="44"/>
      <c r="C2049" s="35"/>
      <c r="D2049" s="44"/>
      <c r="E2049" s="44"/>
      <c r="F2049" s="44"/>
      <c r="G2049" s="130"/>
      <c r="H2049" s="252">
        <f t="shared" si="67"/>
        <v>0</v>
      </c>
      <c r="I2049" s="252">
        <f t="shared" si="66"/>
        <v>0</v>
      </c>
      <c r="J2049" s="170" t="str">
        <f>IF(A2049="","",SUM($H$7:H2049)-SUM($I$7:I2049))</f>
        <v/>
      </c>
      <c r="K2049" s="34"/>
    </row>
    <row r="2050" spans="1:11" x14ac:dyDescent="0.2">
      <c r="A2050" s="44"/>
      <c r="B2050" s="44"/>
      <c r="C2050" s="35"/>
      <c r="D2050" s="44"/>
      <c r="E2050" s="44"/>
      <c r="F2050" s="44"/>
      <c r="G2050" s="130"/>
      <c r="H2050" s="252">
        <f t="shared" si="67"/>
        <v>0</v>
      </c>
      <c r="I2050" s="252">
        <f t="shared" si="66"/>
        <v>0</v>
      </c>
      <c r="J2050" s="170" t="str">
        <f>IF(A2050="","",SUM($H$7:H2050)-SUM($I$7:I2050))</f>
        <v/>
      </c>
      <c r="K2050" s="34"/>
    </row>
    <row r="2051" spans="1:11" x14ac:dyDescent="0.2">
      <c r="A2051" s="44"/>
      <c r="B2051" s="44"/>
      <c r="C2051" s="35"/>
      <c r="D2051" s="44"/>
      <c r="E2051" s="44"/>
      <c r="F2051" s="44"/>
      <c r="G2051" s="130"/>
      <c r="H2051" s="252">
        <f t="shared" si="67"/>
        <v>0</v>
      </c>
      <c r="I2051" s="252">
        <f t="shared" si="66"/>
        <v>0</v>
      </c>
      <c r="J2051" s="170" t="str">
        <f>IF(A2051="","",SUM($H$7:H2051)-SUM($I$7:I2051))</f>
        <v/>
      </c>
      <c r="K2051" s="34"/>
    </row>
    <row r="2052" spans="1:11" x14ac:dyDescent="0.2">
      <c r="A2052" s="44"/>
      <c r="B2052" s="44"/>
      <c r="C2052" s="35"/>
      <c r="D2052" s="44"/>
      <c r="E2052" s="44"/>
      <c r="F2052" s="44"/>
      <c r="G2052" s="130"/>
      <c r="H2052" s="252">
        <f t="shared" si="67"/>
        <v>0</v>
      </c>
      <c r="I2052" s="252">
        <f t="shared" si="66"/>
        <v>0</v>
      </c>
      <c r="J2052" s="170" t="str">
        <f>IF(A2052="","",SUM($H$7:H2052)-SUM($I$7:I2052))</f>
        <v/>
      </c>
      <c r="K2052" s="34"/>
    </row>
    <row r="2053" spans="1:11" x14ac:dyDescent="0.2">
      <c r="A2053" s="44"/>
      <c r="B2053" s="44"/>
      <c r="C2053" s="35"/>
      <c r="D2053" s="44"/>
      <c r="E2053" s="44"/>
      <c r="F2053" s="44"/>
      <c r="G2053" s="130"/>
      <c r="H2053" s="252">
        <f t="shared" si="67"/>
        <v>0</v>
      </c>
      <c r="I2053" s="252">
        <f t="shared" si="66"/>
        <v>0</v>
      </c>
      <c r="J2053" s="170" t="str">
        <f>IF(A2053="","",SUM($H$7:H2053)-SUM($I$7:I2053))</f>
        <v/>
      </c>
      <c r="K2053" s="34"/>
    </row>
    <row r="2054" spans="1:11" x14ac:dyDescent="0.2">
      <c r="A2054" s="44"/>
      <c r="B2054" s="44"/>
      <c r="C2054" s="35"/>
      <c r="D2054" s="44"/>
      <c r="E2054" s="44"/>
      <c r="F2054" s="44"/>
      <c r="G2054" s="130"/>
      <c r="H2054" s="252">
        <f t="shared" si="67"/>
        <v>0</v>
      </c>
      <c r="I2054" s="252">
        <f t="shared" si="66"/>
        <v>0</v>
      </c>
      <c r="J2054" s="170" t="str">
        <f>IF(A2054="","",SUM($H$7:H2054)-SUM($I$7:I2054))</f>
        <v/>
      </c>
      <c r="K2054" s="34"/>
    </row>
    <row r="2055" spans="1:11" x14ac:dyDescent="0.2">
      <c r="A2055" s="44"/>
      <c r="B2055" s="44"/>
      <c r="C2055" s="35"/>
      <c r="D2055" s="44"/>
      <c r="E2055" s="44"/>
      <c r="F2055" s="44"/>
      <c r="G2055" s="130"/>
      <c r="H2055" s="252">
        <f t="shared" si="67"/>
        <v>0</v>
      </c>
      <c r="I2055" s="252">
        <f t="shared" ref="I2055:I2118" si="68">IF($C2055="Replenishment",0,$G2055)</f>
        <v>0</v>
      </c>
      <c r="J2055" s="170" t="str">
        <f>IF(A2055="","",SUM($H$7:H2055)-SUM($I$7:I2055))</f>
        <v/>
      </c>
      <c r="K2055" s="34"/>
    </row>
    <row r="2056" spans="1:11" x14ac:dyDescent="0.2">
      <c r="A2056" s="44"/>
      <c r="B2056" s="44"/>
      <c r="C2056" s="35"/>
      <c r="D2056" s="44"/>
      <c r="E2056" s="44"/>
      <c r="F2056" s="44"/>
      <c r="G2056" s="130"/>
      <c r="H2056" s="252">
        <f t="shared" si="67"/>
        <v>0</v>
      </c>
      <c r="I2056" s="252">
        <f t="shared" si="68"/>
        <v>0</v>
      </c>
      <c r="J2056" s="170" t="str">
        <f>IF(A2056="","",SUM($H$7:H2056)-SUM($I$7:I2056))</f>
        <v/>
      </c>
      <c r="K2056" s="34"/>
    </row>
    <row r="2057" spans="1:11" x14ac:dyDescent="0.2">
      <c r="A2057" s="44"/>
      <c r="B2057" s="44"/>
      <c r="C2057" s="35"/>
      <c r="D2057" s="44"/>
      <c r="E2057" s="44"/>
      <c r="F2057" s="44"/>
      <c r="G2057" s="130"/>
      <c r="H2057" s="252">
        <f t="shared" si="67"/>
        <v>0</v>
      </c>
      <c r="I2057" s="252">
        <f t="shared" si="68"/>
        <v>0</v>
      </c>
      <c r="J2057" s="170" t="str">
        <f>IF(A2057="","",SUM($H$7:H2057)-SUM($I$7:I2057))</f>
        <v/>
      </c>
      <c r="K2057" s="34"/>
    </row>
    <row r="2058" spans="1:11" x14ac:dyDescent="0.2">
      <c r="A2058" s="44"/>
      <c r="B2058" s="44"/>
      <c r="C2058" s="35"/>
      <c r="D2058" s="44"/>
      <c r="E2058" s="44"/>
      <c r="F2058" s="44"/>
      <c r="G2058" s="130"/>
      <c r="H2058" s="252">
        <f t="shared" si="67"/>
        <v>0</v>
      </c>
      <c r="I2058" s="252">
        <f t="shared" si="68"/>
        <v>0</v>
      </c>
      <c r="J2058" s="170" t="str">
        <f>IF(A2058="","",SUM($H$7:H2058)-SUM($I$7:I2058))</f>
        <v/>
      </c>
      <c r="K2058" s="34"/>
    </row>
    <row r="2059" spans="1:11" x14ac:dyDescent="0.2">
      <c r="A2059" s="44"/>
      <c r="B2059" s="44"/>
      <c r="C2059" s="35"/>
      <c r="D2059" s="44"/>
      <c r="E2059" s="44"/>
      <c r="F2059" s="44"/>
      <c r="G2059" s="130"/>
      <c r="H2059" s="252">
        <f t="shared" si="67"/>
        <v>0</v>
      </c>
      <c r="I2059" s="252">
        <f t="shared" si="68"/>
        <v>0</v>
      </c>
      <c r="J2059" s="170" t="str">
        <f>IF(A2059="","",SUM($H$7:H2059)-SUM($I$7:I2059))</f>
        <v/>
      </c>
      <c r="K2059" s="34"/>
    </row>
    <row r="2060" spans="1:11" x14ac:dyDescent="0.2">
      <c r="A2060" s="44"/>
      <c r="B2060" s="44"/>
      <c r="C2060" s="35"/>
      <c r="D2060" s="44"/>
      <c r="E2060" s="44"/>
      <c r="F2060" s="44"/>
      <c r="G2060" s="130"/>
      <c r="H2060" s="252">
        <f t="shared" si="67"/>
        <v>0</v>
      </c>
      <c r="I2060" s="252">
        <f t="shared" si="68"/>
        <v>0</v>
      </c>
      <c r="J2060" s="170" t="str">
        <f>IF(A2060="","",SUM($H$7:H2060)-SUM($I$7:I2060))</f>
        <v/>
      </c>
      <c r="K2060" s="34"/>
    </row>
    <row r="2061" spans="1:11" x14ac:dyDescent="0.2">
      <c r="A2061" s="44"/>
      <c r="B2061" s="44"/>
      <c r="C2061" s="35"/>
      <c r="D2061" s="44"/>
      <c r="E2061" s="44"/>
      <c r="F2061" s="44"/>
      <c r="G2061" s="130"/>
      <c r="H2061" s="252">
        <f t="shared" si="67"/>
        <v>0</v>
      </c>
      <c r="I2061" s="252">
        <f t="shared" si="68"/>
        <v>0</v>
      </c>
      <c r="J2061" s="170" t="str">
        <f>IF(A2061="","",SUM($H$7:H2061)-SUM($I$7:I2061))</f>
        <v/>
      </c>
      <c r="K2061" s="34"/>
    </row>
    <row r="2062" spans="1:11" x14ac:dyDescent="0.2">
      <c r="A2062" s="44"/>
      <c r="B2062" s="44"/>
      <c r="C2062" s="35"/>
      <c r="D2062" s="44"/>
      <c r="E2062" s="44"/>
      <c r="F2062" s="44"/>
      <c r="G2062" s="130"/>
      <c r="H2062" s="252">
        <f t="shared" si="67"/>
        <v>0</v>
      </c>
      <c r="I2062" s="252">
        <f t="shared" si="68"/>
        <v>0</v>
      </c>
      <c r="J2062" s="170" t="str">
        <f>IF(A2062="","",SUM($H$7:H2062)-SUM($I$7:I2062))</f>
        <v/>
      </c>
      <c r="K2062" s="34"/>
    </row>
    <row r="2063" spans="1:11" x14ac:dyDescent="0.2">
      <c r="A2063" s="44"/>
      <c r="B2063" s="44"/>
      <c r="C2063" s="35"/>
      <c r="D2063" s="44"/>
      <c r="E2063" s="44"/>
      <c r="F2063" s="44"/>
      <c r="G2063" s="130"/>
      <c r="H2063" s="252">
        <f t="shared" si="67"/>
        <v>0</v>
      </c>
      <c r="I2063" s="252">
        <f t="shared" si="68"/>
        <v>0</v>
      </c>
      <c r="J2063" s="170" t="str">
        <f>IF(A2063="","",SUM($H$7:H2063)-SUM($I$7:I2063))</f>
        <v/>
      </c>
      <c r="K2063" s="34"/>
    </row>
    <row r="2064" spans="1:11" x14ac:dyDescent="0.2">
      <c r="A2064" s="44"/>
      <c r="B2064" s="44"/>
      <c r="C2064" s="35"/>
      <c r="D2064" s="44"/>
      <c r="E2064" s="44"/>
      <c r="F2064" s="44"/>
      <c r="G2064" s="130"/>
      <c r="H2064" s="252">
        <f t="shared" si="67"/>
        <v>0</v>
      </c>
      <c r="I2064" s="252">
        <f t="shared" si="68"/>
        <v>0</v>
      </c>
      <c r="J2064" s="170" t="str">
        <f>IF(A2064="","",SUM($H$7:H2064)-SUM($I$7:I2064))</f>
        <v/>
      </c>
      <c r="K2064" s="34"/>
    </row>
    <row r="2065" spans="1:11" x14ac:dyDescent="0.2">
      <c r="A2065" s="44"/>
      <c r="B2065" s="44"/>
      <c r="C2065" s="35"/>
      <c r="D2065" s="44"/>
      <c r="E2065" s="44"/>
      <c r="F2065" s="44"/>
      <c r="G2065" s="130"/>
      <c r="H2065" s="252">
        <f t="shared" si="67"/>
        <v>0</v>
      </c>
      <c r="I2065" s="252">
        <f t="shared" si="68"/>
        <v>0</v>
      </c>
      <c r="J2065" s="170" t="str">
        <f>IF(A2065="","",SUM($H$7:H2065)-SUM($I$7:I2065))</f>
        <v/>
      </c>
      <c r="K2065" s="34"/>
    </row>
    <row r="2066" spans="1:11" x14ac:dyDescent="0.2">
      <c r="A2066" s="44"/>
      <c r="B2066" s="44"/>
      <c r="C2066" s="35"/>
      <c r="D2066" s="44"/>
      <c r="E2066" s="44"/>
      <c r="F2066" s="44"/>
      <c r="G2066" s="130"/>
      <c r="H2066" s="252">
        <f t="shared" si="67"/>
        <v>0</v>
      </c>
      <c r="I2066" s="252">
        <f t="shared" si="68"/>
        <v>0</v>
      </c>
      <c r="J2066" s="170" t="str">
        <f>IF(A2066="","",SUM($H$7:H2066)-SUM($I$7:I2066))</f>
        <v/>
      </c>
      <c r="K2066" s="34"/>
    </row>
    <row r="2067" spans="1:11" x14ac:dyDescent="0.2">
      <c r="A2067" s="44"/>
      <c r="B2067" s="44"/>
      <c r="C2067" s="35"/>
      <c r="D2067" s="44"/>
      <c r="E2067" s="44"/>
      <c r="F2067" s="44"/>
      <c r="G2067" s="130"/>
      <c r="H2067" s="252">
        <f t="shared" si="67"/>
        <v>0</v>
      </c>
      <c r="I2067" s="252">
        <f t="shared" si="68"/>
        <v>0</v>
      </c>
      <c r="J2067" s="170" t="str">
        <f>IF(A2067="","",SUM($H$7:H2067)-SUM($I$7:I2067))</f>
        <v/>
      </c>
      <c r="K2067" s="34"/>
    </row>
    <row r="2068" spans="1:11" x14ac:dyDescent="0.2">
      <c r="A2068" s="44"/>
      <c r="B2068" s="44"/>
      <c r="C2068" s="35"/>
      <c r="D2068" s="44"/>
      <c r="E2068" s="44"/>
      <c r="F2068" s="44"/>
      <c r="G2068" s="130"/>
      <c r="H2068" s="252">
        <f t="shared" si="67"/>
        <v>0</v>
      </c>
      <c r="I2068" s="252">
        <f t="shared" si="68"/>
        <v>0</v>
      </c>
      <c r="J2068" s="170" t="str">
        <f>IF(A2068="","",SUM($H$7:H2068)-SUM($I$7:I2068))</f>
        <v/>
      </c>
      <c r="K2068" s="34"/>
    </row>
    <row r="2069" spans="1:11" x14ac:dyDescent="0.2">
      <c r="A2069" s="44"/>
      <c r="B2069" s="44"/>
      <c r="C2069" s="35"/>
      <c r="D2069" s="44"/>
      <c r="E2069" s="44"/>
      <c r="F2069" s="44"/>
      <c r="G2069" s="130"/>
      <c r="H2069" s="252">
        <f t="shared" si="67"/>
        <v>0</v>
      </c>
      <c r="I2069" s="252">
        <f t="shared" si="68"/>
        <v>0</v>
      </c>
      <c r="J2069" s="170" t="str">
        <f>IF(A2069="","",SUM($H$7:H2069)-SUM($I$7:I2069))</f>
        <v/>
      </c>
      <c r="K2069" s="34"/>
    </row>
    <row r="2070" spans="1:11" x14ac:dyDescent="0.2">
      <c r="A2070" s="44"/>
      <c r="B2070" s="44"/>
      <c r="C2070" s="35"/>
      <c r="D2070" s="44"/>
      <c r="E2070" s="44"/>
      <c r="F2070" s="44"/>
      <c r="G2070" s="130"/>
      <c r="H2070" s="252">
        <f t="shared" si="67"/>
        <v>0</v>
      </c>
      <c r="I2070" s="252">
        <f t="shared" si="68"/>
        <v>0</v>
      </c>
      <c r="J2070" s="170" t="str">
        <f>IF(A2070="","",SUM($H$7:H2070)-SUM($I$7:I2070))</f>
        <v/>
      </c>
      <c r="K2070" s="34"/>
    </row>
    <row r="2071" spans="1:11" x14ac:dyDescent="0.2">
      <c r="A2071" s="44"/>
      <c r="B2071" s="44"/>
      <c r="C2071" s="35"/>
      <c r="D2071" s="44"/>
      <c r="E2071" s="44"/>
      <c r="F2071" s="44"/>
      <c r="G2071" s="130"/>
      <c r="H2071" s="252">
        <f t="shared" si="67"/>
        <v>0</v>
      </c>
      <c r="I2071" s="252">
        <f t="shared" si="68"/>
        <v>0</v>
      </c>
      <c r="J2071" s="170" t="str">
        <f>IF(A2071="","",SUM($H$7:H2071)-SUM($I$7:I2071))</f>
        <v/>
      </c>
      <c r="K2071" s="34"/>
    </row>
    <row r="2072" spans="1:11" x14ac:dyDescent="0.2">
      <c r="A2072" s="44"/>
      <c r="B2072" s="44"/>
      <c r="C2072" s="35"/>
      <c r="D2072" s="44"/>
      <c r="E2072" s="44"/>
      <c r="F2072" s="44"/>
      <c r="G2072" s="130"/>
      <c r="H2072" s="252">
        <f t="shared" si="67"/>
        <v>0</v>
      </c>
      <c r="I2072" s="252">
        <f t="shared" si="68"/>
        <v>0</v>
      </c>
      <c r="J2072" s="170" t="str">
        <f>IF(A2072="","",SUM($H$7:H2072)-SUM($I$7:I2072))</f>
        <v/>
      </c>
      <c r="K2072" s="34"/>
    </row>
    <row r="2073" spans="1:11" x14ac:dyDescent="0.2">
      <c r="A2073" s="44"/>
      <c r="B2073" s="44"/>
      <c r="C2073" s="35"/>
      <c r="D2073" s="44"/>
      <c r="E2073" s="44"/>
      <c r="F2073" s="44"/>
      <c r="G2073" s="130"/>
      <c r="H2073" s="252">
        <f t="shared" si="67"/>
        <v>0</v>
      </c>
      <c r="I2073" s="252">
        <f t="shared" si="68"/>
        <v>0</v>
      </c>
      <c r="J2073" s="170" t="str">
        <f>IF(A2073="","",SUM($H$7:H2073)-SUM($I$7:I2073))</f>
        <v/>
      </c>
      <c r="K2073" s="34"/>
    </row>
    <row r="2074" spans="1:11" x14ac:dyDescent="0.2">
      <c r="A2074" s="44"/>
      <c r="B2074" s="44"/>
      <c r="C2074" s="35"/>
      <c r="D2074" s="44"/>
      <c r="E2074" s="44"/>
      <c r="F2074" s="44"/>
      <c r="G2074" s="130"/>
      <c r="H2074" s="252">
        <f t="shared" si="67"/>
        <v>0</v>
      </c>
      <c r="I2074" s="252">
        <f t="shared" si="68"/>
        <v>0</v>
      </c>
      <c r="J2074" s="170" t="str">
        <f>IF(A2074="","",SUM($H$7:H2074)-SUM($I$7:I2074))</f>
        <v/>
      </c>
      <c r="K2074" s="34"/>
    </row>
    <row r="2075" spans="1:11" x14ac:dyDescent="0.2">
      <c r="A2075" s="44"/>
      <c r="B2075" s="44"/>
      <c r="C2075" s="35"/>
      <c r="D2075" s="44"/>
      <c r="E2075" s="44"/>
      <c r="F2075" s="44"/>
      <c r="G2075" s="130"/>
      <c r="H2075" s="252">
        <f t="shared" si="67"/>
        <v>0</v>
      </c>
      <c r="I2075" s="252">
        <f t="shared" si="68"/>
        <v>0</v>
      </c>
      <c r="J2075" s="170" t="str">
        <f>IF(A2075="","",SUM($H$7:H2075)-SUM($I$7:I2075))</f>
        <v/>
      </c>
      <c r="K2075" s="34"/>
    </row>
    <row r="2076" spans="1:11" x14ac:dyDescent="0.2">
      <c r="A2076" s="44"/>
      <c r="B2076" s="44"/>
      <c r="C2076" s="35"/>
      <c r="D2076" s="44"/>
      <c r="E2076" s="44"/>
      <c r="F2076" s="44"/>
      <c r="G2076" s="130"/>
      <c r="H2076" s="252">
        <f t="shared" si="67"/>
        <v>0</v>
      </c>
      <c r="I2076" s="252">
        <f t="shared" si="68"/>
        <v>0</v>
      </c>
      <c r="J2076" s="170" t="str">
        <f>IF(A2076="","",SUM($H$7:H2076)-SUM($I$7:I2076))</f>
        <v/>
      </c>
      <c r="K2076" s="34"/>
    </row>
    <row r="2077" spans="1:11" x14ac:dyDescent="0.2">
      <c r="A2077" s="44"/>
      <c r="B2077" s="44"/>
      <c r="C2077" s="35"/>
      <c r="D2077" s="44"/>
      <c r="E2077" s="44"/>
      <c r="F2077" s="44"/>
      <c r="G2077" s="130"/>
      <c r="H2077" s="252">
        <f t="shared" si="67"/>
        <v>0</v>
      </c>
      <c r="I2077" s="252">
        <f t="shared" si="68"/>
        <v>0</v>
      </c>
      <c r="J2077" s="170" t="str">
        <f>IF(A2077="","",SUM($H$7:H2077)-SUM($I$7:I2077))</f>
        <v/>
      </c>
      <c r="K2077" s="34"/>
    </row>
    <row r="2078" spans="1:11" x14ac:dyDescent="0.2">
      <c r="A2078" s="44"/>
      <c r="B2078" s="44"/>
      <c r="C2078" s="35"/>
      <c r="D2078" s="44"/>
      <c r="E2078" s="44"/>
      <c r="F2078" s="44"/>
      <c r="G2078" s="130"/>
      <c r="H2078" s="252">
        <f t="shared" si="67"/>
        <v>0</v>
      </c>
      <c r="I2078" s="252">
        <f t="shared" si="68"/>
        <v>0</v>
      </c>
      <c r="J2078" s="170" t="str">
        <f>IF(A2078="","",SUM($H$7:H2078)-SUM($I$7:I2078))</f>
        <v/>
      </c>
      <c r="K2078" s="34"/>
    </row>
    <row r="2079" spans="1:11" x14ac:dyDescent="0.2">
      <c r="A2079" s="44"/>
      <c r="B2079" s="44"/>
      <c r="C2079" s="35"/>
      <c r="D2079" s="44"/>
      <c r="E2079" s="44"/>
      <c r="F2079" s="44"/>
      <c r="G2079" s="130"/>
      <c r="H2079" s="252">
        <f t="shared" si="67"/>
        <v>0</v>
      </c>
      <c r="I2079" s="252">
        <f t="shared" si="68"/>
        <v>0</v>
      </c>
      <c r="J2079" s="170" t="str">
        <f>IF(A2079="","",SUM($H$7:H2079)-SUM($I$7:I2079))</f>
        <v/>
      </c>
      <c r="K2079" s="34"/>
    </row>
    <row r="2080" spans="1:11" x14ac:dyDescent="0.2">
      <c r="A2080" s="44"/>
      <c r="B2080" s="44"/>
      <c r="C2080" s="35"/>
      <c r="D2080" s="44"/>
      <c r="E2080" s="44"/>
      <c r="F2080" s="44"/>
      <c r="G2080" s="130"/>
      <c r="H2080" s="252">
        <f t="shared" si="67"/>
        <v>0</v>
      </c>
      <c r="I2080" s="252">
        <f t="shared" si="68"/>
        <v>0</v>
      </c>
      <c r="J2080" s="170" t="str">
        <f>IF(A2080="","",SUM($H$7:H2080)-SUM($I$7:I2080))</f>
        <v/>
      </c>
      <c r="K2080" s="34"/>
    </row>
    <row r="2081" spans="1:11" x14ac:dyDescent="0.2">
      <c r="A2081" s="44"/>
      <c r="B2081" s="44"/>
      <c r="C2081" s="35"/>
      <c r="D2081" s="44"/>
      <c r="E2081" s="44"/>
      <c r="F2081" s="44"/>
      <c r="G2081" s="130"/>
      <c r="H2081" s="252">
        <f t="shared" si="67"/>
        <v>0</v>
      </c>
      <c r="I2081" s="252">
        <f t="shared" si="68"/>
        <v>0</v>
      </c>
      <c r="J2081" s="170" t="str">
        <f>IF(A2081="","",SUM($H$7:H2081)-SUM($I$7:I2081))</f>
        <v/>
      </c>
      <c r="K2081" s="34"/>
    </row>
    <row r="2082" spans="1:11" x14ac:dyDescent="0.2">
      <c r="A2082" s="44"/>
      <c r="B2082" s="44"/>
      <c r="C2082" s="35"/>
      <c r="D2082" s="44"/>
      <c r="E2082" s="44"/>
      <c r="F2082" s="44"/>
      <c r="G2082" s="130"/>
      <c r="H2082" s="252">
        <f t="shared" si="67"/>
        <v>0</v>
      </c>
      <c r="I2082" s="252">
        <f t="shared" si="68"/>
        <v>0</v>
      </c>
      <c r="J2082" s="170" t="str">
        <f>IF(A2082="","",SUM($H$7:H2082)-SUM($I$7:I2082))</f>
        <v/>
      </c>
      <c r="K2082" s="34"/>
    </row>
    <row r="2083" spans="1:11" x14ac:dyDescent="0.2">
      <c r="A2083" s="44"/>
      <c r="B2083" s="44"/>
      <c r="C2083" s="35"/>
      <c r="D2083" s="44"/>
      <c r="E2083" s="44"/>
      <c r="F2083" s="44"/>
      <c r="G2083" s="130"/>
      <c r="H2083" s="252">
        <f t="shared" si="67"/>
        <v>0</v>
      </c>
      <c r="I2083" s="252">
        <f t="shared" si="68"/>
        <v>0</v>
      </c>
      <c r="J2083" s="170" t="str">
        <f>IF(A2083="","",SUM($H$7:H2083)-SUM($I$7:I2083))</f>
        <v/>
      </c>
      <c r="K2083" s="34"/>
    </row>
    <row r="2084" spans="1:11" x14ac:dyDescent="0.2">
      <c r="A2084" s="44"/>
      <c r="B2084" s="44"/>
      <c r="C2084" s="35"/>
      <c r="D2084" s="44"/>
      <c r="E2084" s="44"/>
      <c r="F2084" s="44"/>
      <c r="G2084" s="130"/>
      <c r="H2084" s="252">
        <f t="shared" si="67"/>
        <v>0</v>
      </c>
      <c r="I2084" s="252">
        <f t="shared" si="68"/>
        <v>0</v>
      </c>
      <c r="J2084" s="170" t="str">
        <f>IF(A2084="","",SUM($H$7:H2084)-SUM($I$7:I2084))</f>
        <v/>
      </c>
      <c r="K2084" s="34"/>
    </row>
    <row r="2085" spans="1:11" x14ac:dyDescent="0.2">
      <c r="A2085" s="44"/>
      <c r="B2085" s="44"/>
      <c r="C2085" s="35"/>
      <c r="D2085" s="44"/>
      <c r="E2085" s="44"/>
      <c r="F2085" s="44"/>
      <c r="G2085" s="130"/>
      <c r="H2085" s="252">
        <f t="shared" si="67"/>
        <v>0</v>
      </c>
      <c r="I2085" s="252">
        <f t="shared" si="68"/>
        <v>0</v>
      </c>
      <c r="J2085" s="170" t="str">
        <f>IF(A2085="","",SUM($H$7:H2085)-SUM($I$7:I2085))</f>
        <v/>
      </c>
      <c r="K2085" s="34"/>
    </row>
    <row r="2086" spans="1:11" x14ac:dyDescent="0.2">
      <c r="A2086" s="44"/>
      <c r="B2086" s="44"/>
      <c r="C2086" s="35"/>
      <c r="D2086" s="44"/>
      <c r="E2086" s="44"/>
      <c r="F2086" s="44"/>
      <c r="G2086" s="130"/>
      <c r="H2086" s="252">
        <f t="shared" si="67"/>
        <v>0</v>
      </c>
      <c r="I2086" s="252">
        <f t="shared" si="68"/>
        <v>0</v>
      </c>
      <c r="J2086" s="170" t="str">
        <f>IF(A2086="","",SUM($H$7:H2086)-SUM($I$7:I2086))</f>
        <v/>
      </c>
      <c r="K2086" s="34"/>
    </row>
    <row r="2087" spans="1:11" x14ac:dyDescent="0.2">
      <c r="A2087" s="44"/>
      <c r="B2087" s="44"/>
      <c r="C2087" s="35"/>
      <c r="D2087" s="44"/>
      <c r="E2087" s="44"/>
      <c r="F2087" s="44"/>
      <c r="G2087" s="130"/>
      <c r="H2087" s="252">
        <f t="shared" si="67"/>
        <v>0</v>
      </c>
      <c r="I2087" s="252">
        <f t="shared" si="68"/>
        <v>0</v>
      </c>
      <c r="J2087" s="170" t="str">
        <f>IF(A2087="","",SUM($H$7:H2087)-SUM($I$7:I2087))</f>
        <v/>
      </c>
      <c r="K2087" s="34"/>
    </row>
    <row r="2088" spans="1:11" x14ac:dyDescent="0.2">
      <c r="A2088" s="44"/>
      <c r="B2088" s="44"/>
      <c r="C2088" s="35"/>
      <c r="D2088" s="44"/>
      <c r="E2088" s="44"/>
      <c r="F2088" s="44"/>
      <c r="G2088" s="130"/>
      <c r="H2088" s="252">
        <f t="shared" si="67"/>
        <v>0</v>
      </c>
      <c r="I2088" s="252">
        <f t="shared" si="68"/>
        <v>0</v>
      </c>
      <c r="J2088" s="170" t="str">
        <f>IF(A2088="","",SUM($H$7:H2088)-SUM($I$7:I2088))</f>
        <v/>
      </c>
      <c r="K2088" s="34"/>
    </row>
    <row r="2089" spans="1:11" x14ac:dyDescent="0.2">
      <c r="A2089" s="44"/>
      <c r="B2089" s="44"/>
      <c r="C2089" s="35"/>
      <c r="D2089" s="44"/>
      <c r="E2089" s="44"/>
      <c r="F2089" s="44"/>
      <c r="G2089" s="130"/>
      <c r="H2089" s="252">
        <f t="shared" si="67"/>
        <v>0</v>
      </c>
      <c r="I2089" s="252">
        <f t="shared" si="68"/>
        <v>0</v>
      </c>
      <c r="J2089" s="170" t="str">
        <f>IF(A2089="","",SUM($H$7:H2089)-SUM($I$7:I2089))</f>
        <v/>
      </c>
      <c r="K2089" s="34"/>
    </row>
    <row r="2090" spans="1:11" x14ac:dyDescent="0.2">
      <c r="A2090" s="44"/>
      <c r="B2090" s="44"/>
      <c r="C2090" s="35"/>
      <c r="D2090" s="44"/>
      <c r="E2090" s="44"/>
      <c r="F2090" s="44"/>
      <c r="G2090" s="130"/>
      <c r="H2090" s="252">
        <f t="shared" si="67"/>
        <v>0</v>
      </c>
      <c r="I2090" s="252">
        <f t="shared" si="68"/>
        <v>0</v>
      </c>
      <c r="J2090" s="170" t="str">
        <f>IF(A2090="","",SUM($H$7:H2090)-SUM($I$7:I2090))</f>
        <v/>
      </c>
      <c r="K2090" s="34"/>
    </row>
    <row r="2091" spans="1:11" x14ac:dyDescent="0.2">
      <c r="A2091" s="44"/>
      <c r="B2091" s="44"/>
      <c r="C2091" s="35"/>
      <c r="D2091" s="44"/>
      <c r="E2091" s="44"/>
      <c r="F2091" s="44"/>
      <c r="G2091" s="130"/>
      <c r="H2091" s="252">
        <f t="shared" si="67"/>
        <v>0</v>
      </c>
      <c r="I2091" s="252">
        <f t="shared" si="68"/>
        <v>0</v>
      </c>
      <c r="J2091" s="170" t="str">
        <f>IF(A2091="","",SUM($H$7:H2091)-SUM($I$7:I2091))</f>
        <v/>
      </c>
      <c r="K2091" s="34"/>
    </row>
    <row r="2092" spans="1:11" x14ac:dyDescent="0.2">
      <c r="A2092" s="44"/>
      <c r="B2092" s="44"/>
      <c r="C2092" s="35"/>
      <c r="D2092" s="44"/>
      <c r="E2092" s="44"/>
      <c r="F2092" s="44"/>
      <c r="G2092" s="130"/>
      <c r="H2092" s="252">
        <f t="shared" si="67"/>
        <v>0</v>
      </c>
      <c r="I2092" s="252">
        <f t="shared" si="68"/>
        <v>0</v>
      </c>
      <c r="J2092" s="170" t="str">
        <f>IF(A2092="","",SUM($H$7:H2092)-SUM($I$7:I2092))</f>
        <v/>
      </c>
      <c r="K2092" s="34"/>
    </row>
    <row r="2093" spans="1:11" x14ac:dyDescent="0.2">
      <c r="A2093" s="44"/>
      <c r="B2093" s="44"/>
      <c r="C2093" s="35"/>
      <c r="D2093" s="44"/>
      <c r="E2093" s="44"/>
      <c r="F2093" s="44"/>
      <c r="G2093" s="130"/>
      <c r="H2093" s="252">
        <f t="shared" si="67"/>
        <v>0</v>
      </c>
      <c r="I2093" s="252">
        <f t="shared" si="68"/>
        <v>0</v>
      </c>
      <c r="J2093" s="170" t="str">
        <f>IF(A2093="","",SUM($H$7:H2093)-SUM($I$7:I2093))</f>
        <v/>
      </c>
      <c r="K2093" s="34"/>
    </row>
    <row r="2094" spans="1:11" x14ac:dyDescent="0.2">
      <c r="A2094" s="44"/>
      <c r="B2094" s="44"/>
      <c r="C2094" s="35"/>
      <c r="D2094" s="44"/>
      <c r="E2094" s="44"/>
      <c r="F2094" s="44"/>
      <c r="G2094" s="130"/>
      <c r="H2094" s="252">
        <f t="shared" si="67"/>
        <v>0</v>
      </c>
      <c r="I2094" s="252">
        <f t="shared" si="68"/>
        <v>0</v>
      </c>
      <c r="J2094" s="170" t="str">
        <f>IF(A2094="","",SUM($H$7:H2094)-SUM($I$7:I2094))</f>
        <v/>
      </c>
      <c r="K2094" s="34"/>
    </row>
    <row r="2095" spans="1:11" x14ac:dyDescent="0.2">
      <c r="A2095" s="44"/>
      <c r="B2095" s="44"/>
      <c r="C2095" s="35"/>
      <c r="D2095" s="44"/>
      <c r="E2095" s="44"/>
      <c r="F2095" s="44"/>
      <c r="G2095" s="130"/>
      <c r="H2095" s="252">
        <f t="shared" si="67"/>
        <v>0</v>
      </c>
      <c r="I2095" s="252">
        <f t="shared" si="68"/>
        <v>0</v>
      </c>
      <c r="J2095" s="170" t="str">
        <f>IF(A2095="","",SUM($H$7:H2095)-SUM($I$7:I2095))</f>
        <v/>
      </c>
      <c r="K2095" s="34"/>
    </row>
    <row r="2096" spans="1:11" x14ac:dyDescent="0.2">
      <c r="A2096" s="44"/>
      <c r="B2096" s="44"/>
      <c r="C2096" s="35"/>
      <c r="D2096" s="44"/>
      <c r="E2096" s="44"/>
      <c r="F2096" s="44"/>
      <c r="G2096" s="130"/>
      <c r="H2096" s="252">
        <f t="shared" si="67"/>
        <v>0</v>
      </c>
      <c r="I2096" s="252">
        <f t="shared" si="68"/>
        <v>0</v>
      </c>
      <c r="J2096" s="170" t="str">
        <f>IF(A2096="","",SUM($H$7:H2096)-SUM($I$7:I2096))</f>
        <v/>
      </c>
      <c r="K2096" s="34"/>
    </row>
    <row r="2097" spans="1:11" x14ac:dyDescent="0.2">
      <c r="A2097" s="44"/>
      <c r="B2097" s="44"/>
      <c r="C2097" s="35"/>
      <c r="D2097" s="44"/>
      <c r="E2097" s="44"/>
      <c r="F2097" s="44"/>
      <c r="G2097" s="130"/>
      <c r="H2097" s="252">
        <f t="shared" si="67"/>
        <v>0</v>
      </c>
      <c r="I2097" s="252">
        <f t="shared" si="68"/>
        <v>0</v>
      </c>
      <c r="J2097" s="170" t="str">
        <f>IF(A2097="","",SUM($H$7:H2097)-SUM($I$7:I2097))</f>
        <v/>
      </c>
      <c r="K2097" s="34"/>
    </row>
    <row r="2098" spans="1:11" x14ac:dyDescent="0.2">
      <c r="A2098" s="44"/>
      <c r="B2098" s="44"/>
      <c r="C2098" s="35"/>
      <c r="D2098" s="44"/>
      <c r="E2098" s="44"/>
      <c r="F2098" s="44"/>
      <c r="G2098" s="130"/>
      <c r="H2098" s="252">
        <f t="shared" si="67"/>
        <v>0</v>
      </c>
      <c r="I2098" s="252">
        <f t="shared" si="68"/>
        <v>0</v>
      </c>
      <c r="J2098" s="170" t="str">
        <f>IF(A2098="","",SUM($H$7:H2098)-SUM($I$7:I2098))</f>
        <v/>
      </c>
      <c r="K2098" s="34"/>
    </row>
    <row r="2099" spans="1:11" x14ac:dyDescent="0.2">
      <c r="A2099" s="44"/>
      <c r="B2099" s="44"/>
      <c r="C2099" s="35"/>
      <c r="D2099" s="44"/>
      <c r="E2099" s="44"/>
      <c r="F2099" s="44"/>
      <c r="G2099" s="130"/>
      <c r="H2099" s="252">
        <f t="shared" si="67"/>
        <v>0</v>
      </c>
      <c r="I2099" s="252">
        <f t="shared" si="68"/>
        <v>0</v>
      </c>
      <c r="J2099" s="170" t="str">
        <f>IF(A2099="","",SUM($H$7:H2099)-SUM($I$7:I2099))</f>
        <v/>
      </c>
      <c r="K2099" s="34"/>
    </row>
    <row r="2100" spans="1:11" x14ac:dyDescent="0.2">
      <c r="A2100" s="44"/>
      <c r="B2100" s="44"/>
      <c r="C2100" s="35"/>
      <c r="D2100" s="44"/>
      <c r="E2100" s="44"/>
      <c r="F2100" s="44"/>
      <c r="G2100" s="130"/>
      <c r="H2100" s="252">
        <f t="shared" si="67"/>
        <v>0</v>
      </c>
      <c r="I2100" s="252">
        <f t="shared" si="68"/>
        <v>0</v>
      </c>
      <c r="J2100" s="170" t="str">
        <f>IF(A2100="","",SUM($H$7:H2100)-SUM($I$7:I2100))</f>
        <v/>
      </c>
      <c r="K2100" s="34"/>
    </row>
    <row r="2101" spans="1:11" x14ac:dyDescent="0.2">
      <c r="A2101" s="44"/>
      <c r="B2101" s="44"/>
      <c r="C2101" s="35"/>
      <c r="D2101" s="44"/>
      <c r="E2101" s="44"/>
      <c r="F2101" s="44"/>
      <c r="G2101" s="130"/>
      <c r="H2101" s="252">
        <f t="shared" si="67"/>
        <v>0</v>
      </c>
      <c r="I2101" s="252">
        <f t="shared" si="68"/>
        <v>0</v>
      </c>
      <c r="J2101" s="170" t="str">
        <f>IF(A2101="","",SUM($H$7:H2101)-SUM($I$7:I2101))</f>
        <v/>
      </c>
      <c r="K2101" s="34"/>
    </row>
    <row r="2102" spans="1:11" x14ac:dyDescent="0.2">
      <c r="A2102" s="44"/>
      <c r="B2102" s="44"/>
      <c r="C2102" s="35"/>
      <c r="D2102" s="44"/>
      <c r="E2102" s="44"/>
      <c r="F2102" s="44"/>
      <c r="G2102" s="130"/>
      <c r="H2102" s="252">
        <f t="shared" ref="H2102:H2165" si="69">IF($C2102="Replenishment",$G2102,0)</f>
        <v>0</v>
      </c>
      <c r="I2102" s="252">
        <f t="shared" si="68"/>
        <v>0</v>
      </c>
      <c r="J2102" s="170" t="str">
        <f>IF(A2102="","",SUM($H$7:H2102)-SUM($I$7:I2102))</f>
        <v/>
      </c>
      <c r="K2102" s="34"/>
    </row>
    <row r="2103" spans="1:11" x14ac:dyDescent="0.2">
      <c r="A2103" s="44"/>
      <c r="B2103" s="44"/>
      <c r="C2103" s="35"/>
      <c r="D2103" s="44"/>
      <c r="E2103" s="44"/>
      <c r="F2103" s="44"/>
      <c r="G2103" s="130"/>
      <c r="H2103" s="252">
        <f t="shared" si="69"/>
        <v>0</v>
      </c>
      <c r="I2103" s="252">
        <f t="shared" si="68"/>
        <v>0</v>
      </c>
      <c r="J2103" s="170" t="str">
        <f>IF(A2103="","",SUM($H$7:H2103)-SUM($I$7:I2103))</f>
        <v/>
      </c>
      <c r="K2103" s="34"/>
    </row>
    <row r="2104" spans="1:11" x14ac:dyDescent="0.2">
      <c r="A2104" s="44"/>
      <c r="B2104" s="44"/>
      <c r="C2104" s="35"/>
      <c r="D2104" s="44"/>
      <c r="E2104" s="44"/>
      <c r="F2104" s="44"/>
      <c r="G2104" s="130"/>
      <c r="H2104" s="252">
        <f t="shared" si="69"/>
        <v>0</v>
      </c>
      <c r="I2104" s="252">
        <f t="shared" si="68"/>
        <v>0</v>
      </c>
      <c r="J2104" s="170" t="str">
        <f>IF(A2104="","",SUM($H$7:H2104)-SUM($I$7:I2104))</f>
        <v/>
      </c>
      <c r="K2104" s="34"/>
    </row>
    <row r="2105" spans="1:11" x14ac:dyDescent="0.2">
      <c r="A2105" s="44"/>
      <c r="B2105" s="44"/>
      <c r="C2105" s="35"/>
      <c r="D2105" s="44"/>
      <c r="E2105" s="44"/>
      <c r="F2105" s="44"/>
      <c r="G2105" s="130"/>
      <c r="H2105" s="252">
        <f t="shared" si="69"/>
        <v>0</v>
      </c>
      <c r="I2105" s="252">
        <f t="shared" si="68"/>
        <v>0</v>
      </c>
      <c r="J2105" s="170" t="str">
        <f>IF(A2105="","",SUM($H$7:H2105)-SUM($I$7:I2105))</f>
        <v/>
      </c>
      <c r="K2105" s="34"/>
    </row>
    <row r="2106" spans="1:11" x14ac:dyDescent="0.2">
      <c r="A2106" s="44"/>
      <c r="B2106" s="44"/>
      <c r="C2106" s="35"/>
      <c r="D2106" s="44"/>
      <c r="E2106" s="44"/>
      <c r="F2106" s="44"/>
      <c r="G2106" s="130"/>
      <c r="H2106" s="252">
        <f t="shared" si="69"/>
        <v>0</v>
      </c>
      <c r="I2106" s="252">
        <f t="shared" si="68"/>
        <v>0</v>
      </c>
      <c r="J2106" s="170" t="str">
        <f>IF(A2106="","",SUM($H$7:H2106)-SUM($I$7:I2106))</f>
        <v/>
      </c>
      <c r="K2106" s="34"/>
    </row>
    <row r="2107" spans="1:11" x14ac:dyDescent="0.2">
      <c r="A2107" s="44"/>
      <c r="B2107" s="44"/>
      <c r="C2107" s="35"/>
      <c r="D2107" s="44"/>
      <c r="E2107" s="44"/>
      <c r="F2107" s="44"/>
      <c r="G2107" s="130"/>
      <c r="H2107" s="252">
        <f t="shared" si="69"/>
        <v>0</v>
      </c>
      <c r="I2107" s="252">
        <f t="shared" si="68"/>
        <v>0</v>
      </c>
      <c r="J2107" s="170" t="str">
        <f>IF(A2107="","",SUM($H$7:H2107)-SUM($I$7:I2107))</f>
        <v/>
      </c>
      <c r="K2107" s="34"/>
    </row>
    <row r="2108" spans="1:11" x14ac:dyDescent="0.2">
      <c r="A2108" s="44"/>
      <c r="B2108" s="44"/>
      <c r="C2108" s="35"/>
      <c r="D2108" s="44"/>
      <c r="E2108" s="44"/>
      <c r="F2108" s="44"/>
      <c r="G2108" s="130"/>
      <c r="H2108" s="252">
        <f t="shared" si="69"/>
        <v>0</v>
      </c>
      <c r="I2108" s="252">
        <f t="shared" si="68"/>
        <v>0</v>
      </c>
      <c r="J2108" s="170" t="str">
        <f>IF(A2108="","",SUM($H$7:H2108)-SUM($I$7:I2108))</f>
        <v/>
      </c>
      <c r="K2108" s="34"/>
    </row>
    <row r="2109" spans="1:11" x14ac:dyDescent="0.2">
      <c r="A2109" s="44"/>
      <c r="B2109" s="44"/>
      <c r="C2109" s="35"/>
      <c r="D2109" s="44"/>
      <c r="E2109" s="44"/>
      <c r="F2109" s="44"/>
      <c r="G2109" s="130"/>
      <c r="H2109" s="252">
        <f t="shared" si="69"/>
        <v>0</v>
      </c>
      <c r="I2109" s="252">
        <f t="shared" si="68"/>
        <v>0</v>
      </c>
      <c r="J2109" s="170" t="str">
        <f>IF(A2109="","",SUM($H$7:H2109)-SUM($I$7:I2109))</f>
        <v/>
      </c>
      <c r="K2109" s="34"/>
    </row>
    <row r="2110" spans="1:11" x14ac:dyDescent="0.2">
      <c r="A2110" s="44"/>
      <c r="B2110" s="44"/>
      <c r="C2110" s="35"/>
      <c r="D2110" s="44"/>
      <c r="E2110" s="44"/>
      <c r="F2110" s="44"/>
      <c r="G2110" s="130"/>
      <c r="H2110" s="252">
        <f t="shared" si="69"/>
        <v>0</v>
      </c>
      <c r="I2110" s="252">
        <f t="shared" si="68"/>
        <v>0</v>
      </c>
      <c r="J2110" s="170" t="str">
        <f>IF(A2110="","",SUM($H$7:H2110)-SUM($I$7:I2110))</f>
        <v/>
      </c>
      <c r="K2110" s="34"/>
    </row>
    <row r="2111" spans="1:11" x14ac:dyDescent="0.2">
      <c r="A2111" s="44"/>
      <c r="B2111" s="44"/>
      <c r="C2111" s="35"/>
      <c r="D2111" s="44"/>
      <c r="E2111" s="44"/>
      <c r="F2111" s="44"/>
      <c r="G2111" s="130"/>
      <c r="H2111" s="252">
        <f t="shared" si="69"/>
        <v>0</v>
      </c>
      <c r="I2111" s="252">
        <f t="shared" si="68"/>
        <v>0</v>
      </c>
      <c r="J2111" s="170" t="str">
        <f>IF(A2111="","",SUM($H$7:H2111)-SUM($I$7:I2111))</f>
        <v/>
      </c>
      <c r="K2111" s="34"/>
    </row>
    <row r="2112" spans="1:11" x14ac:dyDescent="0.2">
      <c r="A2112" s="44"/>
      <c r="B2112" s="44"/>
      <c r="C2112" s="35"/>
      <c r="D2112" s="44"/>
      <c r="E2112" s="44"/>
      <c r="F2112" s="44"/>
      <c r="G2112" s="130"/>
      <c r="H2112" s="252">
        <f t="shared" si="69"/>
        <v>0</v>
      </c>
      <c r="I2112" s="252">
        <f t="shared" si="68"/>
        <v>0</v>
      </c>
      <c r="J2112" s="170" t="str">
        <f>IF(A2112="","",SUM($H$7:H2112)-SUM($I$7:I2112))</f>
        <v/>
      </c>
      <c r="K2112" s="34"/>
    </row>
    <row r="2113" spans="1:11" x14ac:dyDescent="0.2">
      <c r="A2113" s="44"/>
      <c r="B2113" s="44"/>
      <c r="C2113" s="35"/>
      <c r="D2113" s="44"/>
      <c r="E2113" s="44"/>
      <c r="F2113" s="44"/>
      <c r="G2113" s="130"/>
      <c r="H2113" s="252">
        <f t="shared" si="69"/>
        <v>0</v>
      </c>
      <c r="I2113" s="252">
        <f t="shared" si="68"/>
        <v>0</v>
      </c>
      <c r="J2113" s="170" t="str">
        <f>IF(A2113="","",SUM($H$7:H2113)-SUM($I$7:I2113))</f>
        <v/>
      </c>
      <c r="K2113" s="34"/>
    </row>
    <row r="2114" spans="1:11" x14ac:dyDescent="0.2">
      <c r="A2114" s="44"/>
      <c r="B2114" s="44"/>
      <c r="C2114" s="35"/>
      <c r="D2114" s="44"/>
      <c r="E2114" s="44"/>
      <c r="F2114" s="44"/>
      <c r="G2114" s="130"/>
      <c r="H2114" s="252">
        <f t="shared" si="69"/>
        <v>0</v>
      </c>
      <c r="I2114" s="252">
        <f t="shared" si="68"/>
        <v>0</v>
      </c>
      <c r="J2114" s="170" t="str">
        <f>IF(A2114="","",SUM($H$7:H2114)-SUM($I$7:I2114))</f>
        <v/>
      </c>
      <c r="K2114" s="34"/>
    </row>
    <row r="2115" spans="1:11" x14ac:dyDescent="0.2">
      <c r="A2115" s="44"/>
      <c r="B2115" s="44"/>
      <c r="C2115" s="35"/>
      <c r="D2115" s="44"/>
      <c r="E2115" s="44"/>
      <c r="F2115" s="44"/>
      <c r="G2115" s="130"/>
      <c r="H2115" s="252">
        <f t="shared" si="69"/>
        <v>0</v>
      </c>
      <c r="I2115" s="252">
        <f t="shared" si="68"/>
        <v>0</v>
      </c>
      <c r="J2115" s="170" t="str">
        <f>IF(A2115="","",SUM($H$7:H2115)-SUM($I$7:I2115))</f>
        <v/>
      </c>
      <c r="K2115" s="34"/>
    </row>
    <row r="2116" spans="1:11" x14ac:dyDescent="0.2">
      <c r="A2116" s="44"/>
      <c r="B2116" s="44"/>
      <c r="C2116" s="35"/>
      <c r="D2116" s="44"/>
      <c r="E2116" s="44"/>
      <c r="F2116" s="44"/>
      <c r="G2116" s="130"/>
      <c r="H2116" s="252">
        <f t="shared" si="69"/>
        <v>0</v>
      </c>
      <c r="I2116" s="252">
        <f t="shared" si="68"/>
        <v>0</v>
      </c>
      <c r="J2116" s="170" t="str">
        <f>IF(A2116="","",SUM($H$7:H2116)-SUM($I$7:I2116))</f>
        <v/>
      </c>
      <c r="K2116" s="34"/>
    </row>
    <row r="2117" spans="1:11" x14ac:dyDescent="0.2">
      <c r="A2117" s="44"/>
      <c r="B2117" s="44"/>
      <c r="C2117" s="35"/>
      <c r="D2117" s="44"/>
      <c r="E2117" s="44"/>
      <c r="F2117" s="44"/>
      <c r="G2117" s="130"/>
      <c r="H2117" s="252">
        <f t="shared" si="69"/>
        <v>0</v>
      </c>
      <c r="I2117" s="252">
        <f t="shared" si="68"/>
        <v>0</v>
      </c>
      <c r="J2117" s="170" t="str">
        <f>IF(A2117="","",SUM($H$7:H2117)-SUM($I$7:I2117))</f>
        <v/>
      </c>
      <c r="K2117" s="34"/>
    </row>
    <row r="2118" spans="1:11" x14ac:dyDescent="0.2">
      <c r="A2118" s="44"/>
      <c r="B2118" s="44"/>
      <c r="C2118" s="35"/>
      <c r="D2118" s="44"/>
      <c r="E2118" s="44"/>
      <c r="F2118" s="44"/>
      <c r="G2118" s="130"/>
      <c r="H2118" s="252">
        <f t="shared" si="69"/>
        <v>0</v>
      </c>
      <c r="I2118" s="252">
        <f t="shared" si="68"/>
        <v>0</v>
      </c>
      <c r="J2118" s="170" t="str">
        <f>IF(A2118="","",SUM($H$7:H2118)-SUM($I$7:I2118))</f>
        <v/>
      </c>
      <c r="K2118" s="34"/>
    </row>
    <row r="2119" spans="1:11" x14ac:dyDescent="0.2">
      <c r="A2119" s="44"/>
      <c r="B2119" s="44"/>
      <c r="C2119" s="35"/>
      <c r="D2119" s="44"/>
      <c r="E2119" s="44"/>
      <c r="F2119" s="44"/>
      <c r="G2119" s="130"/>
      <c r="H2119" s="252">
        <f t="shared" si="69"/>
        <v>0</v>
      </c>
      <c r="I2119" s="252">
        <f t="shared" ref="I2119:I2182" si="70">IF($C2119="Replenishment",0,$G2119)</f>
        <v>0</v>
      </c>
      <c r="J2119" s="170" t="str">
        <f>IF(A2119="","",SUM($H$7:H2119)-SUM($I$7:I2119))</f>
        <v/>
      </c>
      <c r="K2119" s="34"/>
    </row>
    <row r="2120" spans="1:11" x14ac:dyDescent="0.2">
      <c r="A2120" s="44"/>
      <c r="B2120" s="44"/>
      <c r="C2120" s="35"/>
      <c r="D2120" s="44"/>
      <c r="E2120" s="44"/>
      <c r="F2120" s="44"/>
      <c r="G2120" s="130"/>
      <c r="H2120" s="252">
        <f t="shared" si="69"/>
        <v>0</v>
      </c>
      <c r="I2120" s="252">
        <f t="shared" si="70"/>
        <v>0</v>
      </c>
      <c r="J2120" s="170" t="str">
        <f>IF(A2120="","",SUM($H$7:H2120)-SUM($I$7:I2120))</f>
        <v/>
      </c>
      <c r="K2120" s="34"/>
    </row>
    <row r="2121" spans="1:11" x14ac:dyDescent="0.2">
      <c r="A2121" s="44"/>
      <c r="B2121" s="44"/>
      <c r="C2121" s="35"/>
      <c r="D2121" s="44"/>
      <c r="E2121" s="44"/>
      <c r="F2121" s="44"/>
      <c r="G2121" s="130"/>
      <c r="H2121" s="252">
        <f t="shared" si="69"/>
        <v>0</v>
      </c>
      <c r="I2121" s="252">
        <f t="shared" si="70"/>
        <v>0</v>
      </c>
      <c r="J2121" s="170" t="str">
        <f>IF(A2121="","",SUM($H$7:H2121)-SUM($I$7:I2121))</f>
        <v/>
      </c>
      <c r="K2121" s="34"/>
    </row>
    <row r="2122" spans="1:11" x14ac:dyDescent="0.2">
      <c r="A2122" s="44"/>
      <c r="B2122" s="44"/>
      <c r="C2122" s="35"/>
      <c r="D2122" s="44"/>
      <c r="E2122" s="44"/>
      <c r="F2122" s="44"/>
      <c r="G2122" s="130"/>
      <c r="H2122" s="252">
        <f t="shared" si="69"/>
        <v>0</v>
      </c>
      <c r="I2122" s="252">
        <f t="shared" si="70"/>
        <v>0</v>
      </c>
      <c r="J2122" s="170" t="str">
        <f>IF(A2122="","",SUM($H$7:H2122)-SUM($I$7:I2122))</f>
        <v/>
      </c>
      <c r="K2122" s="34"/>
    </row>
    <row r="2123" spans="1:11" x14ac:dyDescent="0.2">
      <c r="A2123" s="44"/>
      <c r="B2123" s="44"/>
      <c r="C2123" s="35"/>
      <c r="D2123" s="44"/>
      <c r="E2123" s="44"/>
      <c r="F2123" s="44"/>
      <c r="G2123" s="130"/>
      <c r="H2123" s="252">
        <f t="shared" si="69"/>
        <v>0</v>
      </c>
      <c r="I2123" s="252">
        <f t="shared" si="70"/>
        <v>0</v>
      </c>
      <c r="J2123" s="170" t="str">
        <f>IF(A2123="","",SUM($H$7:H2123)-SUM($I$7:I2123))</f>
        <v/>
      </c>
      <c r="K2123" s="34"/>
    </row>
    <row r="2124" spans="1:11" x14ac:dyDescent="0.2">
      <c r="A2124" s="44"/>
      <c r="B2124" s="44"/>
      <c r="C2124" s="35"/>
      <c r="D2124" s="44"/>
      <c r="E2124" s="44"/>
      <c r="F2124" s="44"/>
      <c r="G2124" s="130"/>
      <c r="H2124" s="252">
        <f t="shared" si="69"/>
        <v>0</v>
      </c>
      <c r="I2124" s="252">
        <f t="shared" si="70"/>
        <v>0</v>
      </c>
      <c r="J2124" s="170" t="str">
        <f>IF(A2124="","",SUM($H$7:H2124)-SUM($I$7:I2124))</f>
        <v/>
      </c>
      <c r="K2124" s="34"/>
    </row>
    <row r="2125" spans="1:11" x14ac:dyDescent="0.2">
      <c r="A2125" s="44"/>
      <c r="B2125" s="44"/>
      <c r="C2125" s="35"/>
      <c r="D2125" s="44"/>
      <c r="E2125" s="44"/>
      <c r="F2125" s="44"/>
      <c r="G2125" s="130"/>
      <c r="H2125" s="252">
        <f t="shared" si="69"/>
        <v>0</v>
      </c>
      <c r="I2125" s="252">
        <f t="shared" si="70"/>
        <v>0</v>
      </c>
      <c r="J2125" s="170" t="str">
        <f>IF(A2125="","",SUM($H$7:H2125)-SUM($I$7:I2125))</f>
        <v/>
      </c>
      <c r="K2125" s="34"/>
    </row>
    <row r="2126" spans="1:11" x14ac:dyDescent="0.2">
      <c r="A2126" s="44"/>
      <c r="B2126" s="44"/>
      <c r="C2126" s="35"/>
      <c r="D2126" s="44"/>
      <c r="E2126" s="44"/>
      <c r="F2126" s="44"/>
      <c r="G2126" s="130"/>
      <c r="H2126" s="252">
        <f t="shared" si="69"/>
        <v>0</v>
      </c>
      <c r="I2126" s="252">
        <f t="shared" si="70"/>
        <v>0</v>
      </c>
      <c r="J2126" s="170" t="str">
        <f>IF(A2126="","",SUM($H$7:H2126)-SUM($I$7:I2126))</f>
        <v/>
      </c>
      <c r="K2126" s="34"/>
    </row>
    <row r="2127" spans="1:11" x14ac:dyDescent="0.2">
      <c r="A2127" s="44"/>
      <c r="B2127" s="44"/>
      <c r="C2127" s="35"/>
      <c r="D2127" s="44"/>
      <c r="E2127" s="44"/>
      <c r="F2127" s="44"/>
      <c r="G2127" s="130"/>
      <c r="H2127" s="252">
        <f t="shared" si="69"/>
        <v>0</v>
      </c>
      <c r="I2127" s="252">
        <f t="shared" si="70"/>
        <v>0</v>
      </c>
      <c r="J2127" s="170" t="str">
        <f>IF(A2127="","",SUM($H$7:H2127)-SUM($I$7:I2127))</f>
        <v/>
      </c>
      <c r="K2127" s="34"/>
    </row>
    <row r="2128" spans="1:11" x14ac:dyDescent="0.2">
      <c r="A2128" s="44"/>
      <c r="B2128" s="44"/>
      <c r="C2128" s="35"/>
      <c r="D2128" s="44"/>
      <c r="E2128" s="44"/>
      <c r="F2128" s="44"/>
      <c r="G2128" s="130"/>
      <c r="H2128" s="252">
        <f t="shared" si="69"/>
        <v>0</v>
      </c>
      <c r="I2128" s="252">
        <f t="shared" si="70"/>
        <v>0</v>
      </c>
      <c r="J2128" s="170" t="str">
        <f>IF(A2128="","",SUM($H$7:H2128)-SUM($I$7:I2128))</f>
        <v/>
      </c>
      <c r="K2128" s="34"/>
    </row>
    <row r="2129" spans="1:11" x14ac:dyDescent="0.2">
      <c r="A2129" s="44"/>
      <c r="B2129" s="44"/>
      <c r="C2129" s="35"/>
      <c r="D2129" s="44"/>
      <c r="E2129" s="44"/>
      <c r="F2129" s="44"/>
      <c r="G2129" s="130"/>
      <c r="H2129" s="252">
        <f t="shared" si="69"/>
        <v>0</v>
      </c>
      <c r="I2129" s="252">
        <f t="shared" si="70"/>
        <v>0</v>
      </c>
      <c r="J2129" s="170" t="str">
        <f>IF(A2129="","",SUM($H$7:H2129)-SUM($I$7:I2129))</f>
        <v/>
      </c>
      <c r="K2129" s="34"/>
    </row>
    <row r="2130" spans="1:11" x14ac:dyDescent="0.2">
      <c r="A2130" s="44"/>
      <c r="B2130" s="44"/>
      <c r="C2130" s="35"/>
      <c r="D2130" s="44"/>
      <c r="E2130" s="44"/>
      <c r="F2130" s="44"/>
      <c r="G2130" s="130"/>
      <c r="H2130" s="252">
        <f t="shared" si="69"/>
        <v>0</v>
      </c>
      <c r="I2130" s="252">
        <f t="shared" si="70"/>
        <v>0</v>
      </c>
      <c r="J2130" s="170" t="str">
        <f>IF(A2130="","",SUM($H$7:H2130)-SUM($I$7:I2130))</f>
        <v/>
      </c>
      <c r="K2130" s="34"/>
    </row>
    <row r="2131" spans="1:11" x14ac:dyDescent="0.2">
      <c r="A2131" s="44"/>
      <c r="B2131" s="44"/>
      <c r="C2131" s="35"/>
      <c r="D2131" s="44"/>
      <c r="E2131" s="44"/>
      <c r="F2131" s="44"/>
      <c r="G2131" s="130"/>
      <c r="H2131" s="252">
        <f t="shared" si="69"/>
        <v>0</v>
      </c>
      <c r="I2131" s="252">
        <f t="shared" si="70"/>
        <v>0</v>
      </c>
      <c r="J2131" s="170" t="str">
        <f>IF(A2131="","",SUM($H$7:H2131)-SUM($I$7:I2131))</f>
        <v/>
      </c>
      <c r="K2131" s="34"/>
    </row>
    <row r="2132" spans="1:11" x14ac:dyDescent="0.2">
      <c r="A2132" s="44"/>
      <c r="B2132" s="44"/>
      <c r="C2132" s="35"/>
      <c r="D2132" s="44"/>
      <c r="E2132" s="44"/>
      <c r="F2132" s="44"/>
      <c r="G2132" s="130"/>
      <c r="H2132" s="252">
        <f t="shared" si="69"/>
        <v>0</v>
      </c>
      <c r="I2132" s="252">
        <f t="shared" si="70"/>
        <v>0</v>
      </c>
      <c r="J2132" s="170" t="str">
        <f>IF(A2132="","",SUM($H$7:H2132)-SUM($I$7:I2132))</f>
        <v/>
      </c>
      <c r="K2132" s="34"/>
    </row>
    <row r="2133" spans="1:11" x14ac:dyDescent="0.2">
      <c r="A2133" s="44"/>
      <c r="B2133" s="44"/>
      <c r="C2133" s="35"/>
      <c r="D2133" s="44"/>
      <c r="E2133" s="44"/>
      <c r="F2133" s="44"/>
      <c r="G2133" s="130"/>
      <c r="H2133" s="252">
        <f t="shared" si="69"/>
        <v>0</v>
      </c>
      <c r="I2133" s="252">
        <f t="shared" si="70"/>
        <v>0</v>
      </c>
      <c r="J2133" s="170" t="str">
        <f>IF(A2133="","",SUM($H$7:H2133)-SUM($I$7:I2133))</f>
        <v/>
      </c>
      <c r="K2133" s="34"/>
    </row>
    <row r="2134" spans="1:11" x14ac:dyDescent="0.2">
      <c r="A2134" s="44"/>
      <c r="B2134" s="44"/>
      <c r="C2134" s="35"/>
      <c r="D2134" s="44"/>
      <c r="E2134" s="44"/>
      <c r="F2134" s="44"/>
      <c r="G2134" s="130"/>
      <c r="H2134" s="252">
        <f t="shared" si="69"/>
        <v>0</v>
      </c>
      <c r="I2134" s="252">
        <f t="shared" si="70"/>
        <v>0</v>
      </c>
      <c r="J2134" s="170" t="str">
        <f>IF(A2134="","",SUM($H$7:H2134)-SUM($I$7:I2134))</f>
        <v/>
      </c>
      <c r="K2134" s="34"/>
    </row>
    <row r="2135" spans="1:11" x14ac:dyDescent="0.2">
      <c r="A2135" s="44"/>
      <c r="B2135" s="44"/>
      <c r="C2135" s="35"/>
      <c r="D2135" s="44"/>
      <c r="E2135" s="44"/>
      <c r="F2135" s="44"/>
      <c r="G2135" s="130"/>
      <c r="H2135" s="252">
        <f t="shared" si="69"/>
        <v>0</v>
      </c>
      <c r="I2135" s="252">
        <f t="shared" si="70"/>
        <v>0</v>
      </c>
      <c r="J2135" s="170" t="str">
        <f>IF(A2135="","",SUM($H$7:H2135)-SUM($I$7:I2135))</f>
        <v/>
      </c>
      <c r="K2135" s="34"/>
    </row>
    <row r="2136" spans="1:11" x14ac:dyDescent="0.2">
      <c r="A2136" s="44"/>
      <c r="B2136" s="44"/>
      <c r="C2136" s="35"/>
      <c r="D2136" s="44"/>
      <c r="E2136" s="44"/>
      <c r="F2136" s="44"/>
      <c r="G2136" s="130"/>
      <c r="H2136" s="252">
        <f t="shared" si="69"/>
        <v>0</v>
      </c>
      <c r="I2136" s="252">
        <f t="shared" si="70"/>
        <v>0</v>
      </c>
      <c r="J2136" s="170" t="str">
        <f>IF(A2136="","",SUM($H$7:H2136)-SUM($I$7:I2136))</f>
        <v/>
      </c>
      <c r="K2136" s="34"/>
    </row>
    <row r="2137" spans="1:11" x14ac:dyDescent="0.2">
      <c r="A2137" s="44"/>
      <c r="B2137" s="44"/>
      <c r="C2137" s="35"/>
      <c r="D2137" s="44"/>
      <c r="E2137" s="44"/>
      <c r="F2137" s="44"/>
      <c r="G2137" s="130"/>
      <c r="H2137" s="252">
        <f t="shared" si="69"/>
        <v>0</v>
      </c>
      <c r="I2137" s="252">
        <f t="shared" si="70"/>
        <v>0</v>
      </c>
      <c r="J2137" s="170" t="str">
        <f>IF(A2137="","",SUM($H$7:H2137)-SUM($I$7:I2137))</f>
        <v/>
      </c>
      <c r="K2137" s="34"/>
    </row>
    <row r="2138" spans="1:11" x14ac:dyDescent="0.2">
      <c r="A2138" s="44"/>
      <c r="B2138" s="44"/>
      <c r="C2138" s="35"/>
      <c r="D2138" s="44"/>
      <c r="E2138" s="44"/>
      <c r="F2138" s="44"/>
      <c r="G2138" s="130"/>
      <c r="H2138" s="252">
        <f t="shared" si="69"/>
        <v>0</v>
      </c>
      <c r="I2138" s="252">
        <f t="shared" si="70"/>
        <v>0</v>
      </c>
      <c r="J2138" s="170" t="str">
        <f>IF(A2138="","",SUM($H$7:H2138)-SUM($I$7:I2138))</f>
        <v/>
      </c>
      <c r="K2138" s="34"/>
    </row>
    <row r="2139" spans="1:11" x14ac:dyDescent="0.2">
      <c r="A2139" s="44"/>
      <c r="B2139" s="44"/>
      <c r="C2139" s="35"/>
      <c r="D2139" s="44"/>
      <c r="E2139" s="44"/>
      <c r="F2139" s="44"/>
      <c r="G2139" s="130"/>
      <c r="H2139" s="252">
        <f t="shared" si="69"/>
        <v>0</v>
      </c>
      <c r="I2139" s="252">
        <f t="shared" si="70"/>
        <v>0</v>
      </c>
      <c r="J2139" s="170" t="str">
        <f>IF(A2139="","",SUM($H$7:H2139)-SUM($I$7:I2139))</f>
        <v/>
      </c>
      <c r="K2139" s="34"/>
    </row>
    <row r="2140" spans="1:11" x14ac:dyDescent="0.2">
      <c r="A2140" s="44"/>
      <c r="B2140" s="44"/>
      <c r="C2140" s="35"/>
      <c r="D2140" s="44"/>
      <c r="E2140" s="44"/>
      <c r="F2140" s="44"/>
      <c r="G2140" s="130"/>
      <c r="H2140" s="252">
        <f t="shared" si="69"/>
        <v>0</v>
      </c>
      <c r="I2140" s="252">
        <f t="shared" si="70"/>
        <v>0</v>
      </c>
      <c r="J2140" s="170" t="str">
        <f>IF(A2140="","",SUM($H$7:H2140)-SUM($I$7:I2140))</f>
        <v/>
      </c>
      <c r="K2140" s="34"/>
    </row>
    <row r="2141" spans="1:11" x14ac:dyDescent="0.2">
      <c r="A2141" s="44"/>
      <c r="B2141" s="44"/>
      <c r="C2141" s="35"/>
      <c r="D2141" s="44"/>
      <c r="E2141" s="44"/>
      <c r="F2141" s="44"/>
      <c r="G2141" s="130"/>
      <c r="H2141" s="252">
        <f t="shared" si="69"/>
        <v>0</v>
      </c>
      <c r="I2141" s="252">
        <f t="shared" si="70"/>
        <v>0</v>
      </c>
      <c r="J2141" s="170" t="str">
        <f>IF(A2141="","",SUM($H$7:H2141)-SUM($I$7:I2141))</f>
        <v/>
      </c>
      <c r="K2141" s="34"/>
    </row>
    <row r="2142" spans="1:11" x14ac:dyDescent="0.2">
      <c r="A2142" s="44"/>
      <c r="B2142" s="44"/>
      <c r="C2142" s="35"/>
      <c r="D2142" s="44"/>
      <c r="E2142" s="44"/>
      <c r="F2142" s="44"/>
      <c r="G2142" s="130"/>
      <c r="H2142" s="252">
        <f t="shared" si="69"/>
        <v>0</v>
      </c>
      <c r="I2142" s="252">
        <f t="shared" si="70"/>
        <v>0</v>
      </c>
      <c r="J2142" s="170" t="str">
        <f>IF(A2142="","",SUM($H$7:H2142)-SUM($I$7:I2142))</f>
        <v/>
      </c>
      <c r="K2142" s="34"/>
    </row>
    <row r="2143" spans="1:11" x14ac:dyDescent="0.2">
      <c r="A2143" s="44"/>
      <c r="B2143" s="44"/>
      <c r="C2143" s="35"/>
      <c r="D2143" s="44"/>
      <c r="E2143" s="44"/>
      <c r="F2143" s="44"/>
      <c r="G2143" s="130"/>
      <c r="H2143" s="252">
        <f t="shared" si="69"/>
        <v>0</v>
      </c>
      <c r="I2143" s="252">
        <f t="shared" si="70"/>
        <v>0</v>
      </c>
      <c r="J2143" s="170" t="str">
        <f>IF(A2143="","",SUM($H$7:H2143)-SUM($I$7:I2143))</f>
        <v/>
      </c>
      <c r="K2143" s="34"/>
    </row>
    <row r="2144" spans="1:11" x14ac:dyDescent="0.2">
      <c r="A2144" s="44"/>
      <c r="B2144" s="44"/>
      <c r="C2144" s="35"/>
      <c r="D2144" s="44"/>
      <c r="E2144" s="44"/>
      <c r="F2144" s="44"/>
      <c r="G2144" s="130"/>
      <c r="H2144" s="252">
        <f t="shared" si="69"/>
        <v>0</v>
      </c>
      <c r="I2144" s="252">
        <f t="shared" si="70"/>
        <v>0</v>
      </c>
      <c r="J2144" s="170" t="str">
        <f>IF(A2144="","",SUM($H$7:H2144)-SUM($I$7:I2144))</f>
        <v/>
      </c>
      <c r="K2144" s="34"/>
    </row>
    <row r="2145" spans="1:11" x14ac:dyDescent="0.2">
      <c r="A2145" s="44"/>
      <c r="B2145" s="44"/>
      <c r="C2145" s="35"/>
      <c r="D2145" s="44"/>
      <c r="E2145" s="44"/>
      <c r="F2145" s="44"/>
      <c r="G2145" s="130"/>
      <c r="H2145" s="252">
        <f t="shared" si="69"/>
        <v>0</v>
      </c>
      <c r="I2145" s="252">
        <f t="shared" si="70"/>
        <v>0</v>
      </c>
      <c r="J2145" s="170" t="str">
        <f>IF(A2145="","",SUM($H$7:H2145)-SUM($I$7:I2145))</f>
        <v/>
      </c>
      <c r="K2145" s="34"/>
    </row>
    <row r="2146" spans="1:11" x14ac:dyDescent="0.2">
      <c r="A2146" s="44"/>
      <c r="B2146" s="44"/>
      <c r="C2146" s="35"/>
      <c r="D2146" s="44"/>
      <c r="E2146" s="44"/>
      <c r="F2146" s="44"/>
      <c r="G2146" s="130"/>
      <c r="H2146" s="252">
        <f t="shared" si="69"/>
        <v>0</v>
      </c>
      <c r="I2146" s="252">
        <f t="shared" si="70"/>
        <v>0</v>
      </c>
      <c r="J2146" s="170" t="str">
        <f>IF(A2146="","",SUM($H$7:H2146)-SUM($I$7:I2146))</f>
        <v/>
      </c>
      <c r="K2146" s="34"/>
    </row>
    <row r="2147" spans="1:11" x14ac:dyDescent="0.2">
      <c r="A2147" s="44"/>
      <c r="B2147" s="44"/>
      <c r="C2147" s="35"/>
      <c r="D2147" s="44"/>
      <c r="E2147" s="44"/>
      <c r="F2147" s="44"/>
      <c r="G2147" s="130"/>
      <c r="H2147" s="252">
        <f t="shared" si="69"/>
        <v>0</v>
      </c>
      <c r="I2147" s="252">
        <f t="shared" si="70"/>
        <v>0</v>
      </c>
      <c r="J2147" s="170" t="str">
        <f>IF(A2147="","",SUM($H$7:H2147)-SUM($I$7:I2147))</f>
        <v/>
      </c>
      <c r="K2147" s="34"/>
    </row>
    <row r="2148" spans="1:11" x14ac:dyDescent="0.2">
      <c r="A2148" s="44"/>
      <c r="B2148" s="44"/>
      <c r="C2148" s="35"/>
      <c r="D2148" s="44"/>
      <c r="E2148" s="44"/>
      <c r="F2148" s="44"/>
      <c r="G2148" s="130"/>
      <c r="H2148" s="252">
        <f t="shared" si="69"/>
        <v>0</v>
      </c>
      <c r="I2148" s="252">
        <f t="shared" si="70"/>
        <v>0</v>
      </c>
      <c r="J2148" s="170" t="str">
        <f>IF(A2148="","",SUM($H$7:H2148)-SUM($I$7:I2148))</f>
        <v/>
      </c>
      <c r="K2148" s="34"/>
    </row>
    <row r="2149" spans="1:11" x14ac:dyDescent="0.2">
      <c r="A2149" s="44"/>
      <c r="B2149" s="44"/>
      <c r="C2149" s="35"/>
      <c r="D2149" s="44"/>
      <c r="E2149" s="44"/>
      <c r="F2149" s="44"/>
      <c r="G2149" s="130"/>
      <c r="H2149" s="252">
        <f t="shared" si="69"/>
        <v>0</v>
      </c>
      <c r="I2149" s="252">
        <f t="shared" si="70"/>
        <v>0</v>
      </c>
      <c r="J2149" s="170" t="str">
        <f>IF(A2149="","",SUM($H$7:H2149)-SUM($I$7:I2149))</f>
        <v/>
      </c>
      <c r="K2149" s="34"/>
    </row>
    <row r="2150" spans="1:11" x14ac:dyDescent="0.2">
      <c r="A2150" s="44"/>
      <c r="B2150" s="44"/>
      <c r="C2150" s="35"/>
      <c r="D2150" s="44"/>
      <c r="E2150" s="44"/>
      <c r="F2150" s="44"/>
      <c r="G2150" s="130"/>
      <c r="H2150" s="252">
        <f t="shared" si="69"/>
        <v>0</v>
      </c>
      <c r="I2150" s="252">
        <f t="shared" si="70"/>
        <v>0</v>
      </c>
      <c r="J2150" s="170" t="str">
        <f>IF(A2150="","",SUM($H$7:H2150)-SUM($I$7:I2150))</f>
        <v/>
      </c>
      <c r="K2150" s="34"/>
    </row>
    <row r="2151" spans="1:11" x14ac:dyDescent="0.2">
      <c r="A2151" s="44"/>
      <c r="B2151" s="44"/>
      <c r="C2151" s="35"/>
      <c r="D2151" s="44"/>
      <c r="E2151" s="44"/>
      <c r="F2151" s="44"/>
      <c r="G2151" s="130"/>
      <c r="H2151" s="252">
        <f t="shared" si="69"/>
        <v>0</v>
      </c>
      <c r="I2151" s="252">
        <f t="shared" si="70"/>
        <v>0</v>
      </c>
      <c r="J2151" s="170" t="str">
        <f>IF(A2151="","",SUM($H$7:H2151)-SUM($I$7:I2151))</f>
        <v/>
      </c>
      <c r="K2151" s="34"/>
    </row>
    <row r="2152" spans="1:11" x14ac:dyDescent="0.2">
      <c r="A2152" s="44"/>
      <c r="B2152" s="44"/>
      <c r="C2152" s="35"/>
      <c r="D2152" s="44"/>
      <c r="E2152" s="44"/>
      <c r="F2152" s="44"/>
      <c r="G2152" s="130"/>
      <c r="H2152" s="252">
        <f t="shared" si="69"/>
        <v>0</v>
      </c>
      <c r="I2152" s="252">
        <f t="shared" si="70"/>
        <v>0</v>
      </c>
      <c r="J2152" s="170" t="str">
        <f>IF(A2152="","",SUM($H$7:H2152)-SUM($I$7:I2152))</f>
        <v/>
      </c>
      <c r="K2152" s="34"/>
    </row>
    <row r="2153" spans="1:11" x14ac:dyDescent="0.2">
      <c r="A2153" s="44"/>
      <c r="B2153" s="44"/>
      <c r="C2153" s="35"/>
      <c r="D2153" s="44"/>
      <c r="E2153" s="44"/>
      <c r="F2153" s="44"/>
      <c r="G2153" s="130"/>
      <c r="H2153" s="252">
        <f t="shared" si="69"/>
        <v>0</v>
      </c>
      <c r="I2153" s="252">
        <f t="shared" si="70"/>
        <v>0</v>
      </c>
      <c r="J2153" s="170" t="str">
        <f>IF(A2153="","",SUM($H$7:H2153)-SUM($I$7:I2153))</f>
        <v/>
      </c>
      <c r="K2153" s="34"/>
    </row>
    <row r="2154" spans="1:11" x14ac:dyDescent="0.2">
      <c r="A2154" s="44"/>
      <c r="B2154" s="44"/>
      <c r="C2154" s="35"/>
      <c r="D2154" s="44"/>
      <c r="E2154" s="44"/>
      <c r="F2154" s="44"/>
      <c r="G2154" s="130"/>
      <c r="H2154" s="252">
        <f t="shared" si="69"/>
        <v>0</v>
      </c>
      <c r="I2154" s="252">
        <f t="shared" si="70"/>
        <v>0</v>
      </c>
      <c r="J2154" s="170" t="str">
        <f>IF(A2154="","",SUM($H$7:H2154)-SUM($I$7:I2154))</f>
        <v/>
      </c>
      <c r="K2154" s="34"/>
    </row>
    <row r="2155" spans="1:11" x14ac:dyDescent="0.2">
      <c r="A2155" s="44"/>
      <c r="B2155" s="44"/>
      <c r="C2155" s="35"/>
      <c r="D2155" s="44"/>
      <c r="E2155" s="44"/>
      <c r="F2155" s="44"/>
      <c r="G2155" s="130"/>
      <c r="H2155" s="252">
        <f t="shared" si="69"/>
        <v>0</v>
      </c>
      <c r="I2155" s="252">
        <f t="shared" si="70"/>
        <v>0</v>
      </c>
      <c r="J2155" s="170" t="str">
        <f>IF(A2155="","",SUM($H$7:H2155)-SUM($I$7:I2155))</f>
        <v/>
      </c>
      <c r="K2155" s="34"/>
    </row>
    <row r="2156" spans="1:11" x14ac:dyDescent="0.2">
      <c r="A2156" s="44"/>
      <c r="B2156" s="44"/>
      <c r="C2156" s="35"/>
      <c r="D2156" s="44"/>
      <c r="E2156" s="44"/>
      <c r="F2156" s="44"/>
      <c r="G2156" s="130"/>
      <c r="H2156" s="252">
        <f t="shared" si="69"/>
        <v>0</v>
      </c>
      <c r="I2156" s="252">
        <f t="shared" si="70"/>
        <v>0</v>
      </c>
      <c r="J2156" s="170" t="str">
        <f>IF(A2156="","",SUM($H$7:H2156)-SUM($I$7:I2156))</f>
        <v/>
      </c>
      <c r="K2156" s="34"/>
    </row>
    <row r="2157" spans="1:11" x14ac:dyDescent="0.2">
      <c r="A2157" s="44"/>
      <c r="B2157" s="44"/>
      <c r="C2157" s="35"/>
      <c r="D2157" s="44"/>
      <c r="E2157" s="44"/>
      <c r="F2157" s="44"/>
      <c r="G2157" s="130"/>
      <c r="H2157" s="252">
        <f t="shared" si="69"/>
        <v>0</v>
      </c>
      <c r="I2157" s="252">
        <f t="shared" si="70"/>
        <v>0</v>
      </c>
      <c r="J2157" s="170" t="str">
        <f>IF(A2157="","",SUM($H$7:H2157)-SUM($I$7:I2157))</f>
        <v/>
      </c>
      <c r="K2157" s="34"/>
    </row>
    <row r="2158" spans="1:11" x14ac:dyDescent="0.2">
      <c r="A2158" s="44"/>
      <c r="B2158" s="44"/>
      <c r="C2158" s="35"/>
      <c r="D2158" s="44"/>
      <c r="E2158" s="44"/>
      <c r="F2158" s="44"/>
      <c r="G2158" s="130"/>
      <c r="H2158" s="252">
        <f t="shared" si="69"/>
        <v>0</v>
      </c>
      <c r="I2158" s="252">
        <f t="shared" si="70"/>
        <v>0</v>
      </c>
      <c r="J2158" s="170" t="str">
        <f>IF(A2158="","",SUM($H$7:H2158)-SUM($I$7:I2158))</f>
        <v/>
      </c>
      <c r="K2158" s="34"/>
    </row>
    <row r="2159" spans="1:11" x14ac:dyDescent="0.2">
      <c r="A2159" s="44"/>
      <c r="B2159" s="44"/>
      <c r="C2159" s="35"/>
      <c r="D2159" s="44"/>
      <c r="E2159" s="44"/>
      <c r="F2159" s="44"/>
      <c r="G2159" s="130"/>
      <c r="H2159" s="252">
        <f t="shared" si="69"/>
        <v>0</v>
      </c>
      <c r="I2159" s="252">
        <f t="shared" si="70"/>
        <v>0</v>
      </c>
      <c r="J2159" s="170" t="str">
        <f>IF(A2159="","",SUM($H$7:H2159)-SUM($I$7:I2159))</f>
        <v/>
      </c>
      <c r="K2159" s="34"/>
    </row>
    <row r="2160" spans="1:11" x14ac:dyDescent="0.2">
      <c r="A2160" s="44"/>
      <c r="B2160" s="44"/>
      <c r="C2160" s="35"/>
      <c r="D2160" s="44"/>
      <c r="E2160" s="44"/>
      <c r="F2160" s="44"/>
      <c r="G2160" s="130"/>
      <c r="H2160" s="252">
        <f t="shared" si="69"/>
        <v>0</v>
      </c>
      <c r="I2160" s="252">
        <f t="shared" si="70"/>
        <v>0</v>
      </c>
      <c r="J2160" s="170" t="str">
        <f>IF(A2160="","",SUM($H$7:H2160)-SUM($I$7:I2160))</f>
        <v/>
      </c>
      <c r="K2160" s="34"/>
    </row>
    <row r="2161" spans="1:11" x14ac:dyDescent="0.2">
      <c r="A2161" s="44"/>
      <c r="B2161" s="44"/>
      <c r="C2161" s="35"/>
      <c r="D2161" s="44"/>
      <c r="E2161" s="44"/>
      <c r="F2161" s="44"/>
      <c r="G2161" s="130"/>
      <c r="H2161" s="252">
        <f t="shared" si="69"/>
        <v>0</v>
      </c>
      <c r="I2161" s="252">
        <f t="shared" si="70"/>
        <v>0</v>
      </c>
      <c r="J2161" s="170" t="str">
        <f>IF(A2161="","",SUM($H$7:H2161)-SUM($I$7:I2161))</f>
        <v/>
      </c>
      <c r="K2161" s="34"/>
    </row>
    <row r="2162" spans="1:11" x14ac:dyDescent="0.2">
      <c r="A2162" s="44"/>
      <c r="B2162" s="44"/>
      <c r="C2162" s="35"/>
      <c r="D2162" s="44"/>
      <c r="E2162" s="44"/>
      <c r="F2162" s="44"/>
      <c r="G2162" s="130"/>
      <c r="H2162" s="252">
        <f t="shared" si="69"/>
        <v>0</v>
      </c>
      <c r="I2162" s="252">
        <f t="shared" si="70"/>
        <v>0</v>
      </c>
      <c r="J2162" s="170" t="str">
        <f>IF(A2162="","",SUM($H$7:H2162)-SUM($I$7:I2162))</f>
        <v/>
      </c>
      <c r="K2162" s="34"/>
    </row>
    <row r="2163" spans="1:11" x14ac:dyDescent="0.2">
      <c r="A2163" s="44"/>
      <c r="B2163" s="44"/>
      <c r="C2163" s="35"/>
      <c r="D2163" s="44"/>
      <c r="E2163" s="44"/>
      <c r="F2163" s="44"/>
      <c r="G2163" s="130"/>
      <c r="H2163" s="252">
        <f t="shared" si="69"/>
        <v>0</v>
      </c>
      <c r="I2163" s="252">
        <f t="shared" si="70"/>
        <v>0</v>
      </c>
      <c r="J2163" s="170" t="str">
        <f>IF(A2163="","",SUM($H$7:H2163)-SUM($I$7:I2163))</f>
        <v/>
      </c>
      <c r="K2163" s="34"/>
    </row>
    <row r="2164" spans="1:11" x14ac:dyDescent="0.2">
      <c r="A2164" s="44"/>
      <c r="B2164" s="44"/>
      <c r="C2164" s="35"/>
      <c r="D2164" s="44"/>
      <c r="E2164" s="44"/>
      <c r="F2164" s="44"/>
      <c r="G2164" s="130"/>
      <c r="H2164" s="252">
        <f t="shared" si="69"/>
        <v>0</v>
      </c>
      <c r="I2164" s="252">
        <f t="shared" si="70"/>
        <v>0</v>
      </c>
      <c r="J2164" s="170" t="str">
        <f>IF(A2164="","",SUM($H$7:H2164)-SUM($I$7:I2164))</f>
        <v/>
      </c>
      <c r="K2164" s="34"/>
    </row>
    <row r="2165" spans="1:11" x14ac:dyDescent="0.2">
      <c r="A2165" s="44"/>
      <c r="B2165" s="44"/>
      <c r="C2165" s="35"/>
      <c r="D2165" s="44"/>
      <c r="E2165" s="44"/>
      <c r="F2165" s="44"/>
      <c r="G2165" s="130"/>
      <c r="H2165" s="252">
        <f t="shared" si="69"/>
        <v>0</v>
      </c>
      <c r="I2165" s="252">
        <f t="shared" si="70"/>
        <v>0</v>
      </c>
      <c r="J2165" s="170" t="str">
        <f>IF(A2165="","",SUM($H$7:H2165)-SUM($I$7:I2165))</f>
        <v/>
      </c>
      <c r="K2165" s="34"/>
    </row>
    <row r="2166" spans="1:11" x14ac:dyDescent="0.2">
      <c r="A2166" s="44"/>
      <c r="B2166" s="44"/>
      <c r="C2166" s="35"/>
      <c r="D2166" s="44"/>
      <c r="E2166" s="44"/>
      <c r="F2166" s="44"/>
      <c r="G2166" s="130"/>
      <c r="H2166" s="252">
        <f t="shared" ref="H2166:H2229" si="71">IF($C2166="Replenishment",$G2166,0)</f>
        <v>0</v>
      </c>
      <c r="I2166" s="252">
        <f t="shared" si="70"/>
        <v>0</v>
      </c>
      <c r="J2166" s="170" t="str">
        <f>IF(A2166="","",SUM($H$7:H2166)-SUM($I$7:I2166))</f>
        <v/>
      </c>
      <c r="K2166" s="34"/>
    </row>
    <row r="2167" spans="1:11" x14ac:dyDescent="0.2">
      <c r="A2167" s="44"/>
      <c r="B2167" s="44"/>
      <c r="C2167" s="35"/>
      <c r="D2167" s="44"/>
      <c r="E2167" s="44"/>
      <c r="F2167" s="44"/>
      <c r="G2167" s="130"/>
      <c r="H2167" s="252">
        <f t="shared" si="71"/>
        <v>0</v>
      </c>
      <c r="I2167" s="252">
        <f t="shared" si="70"/>
        <v>0</v>
      </c>
      <c r="J2167" s="170" t="str">
        <f>IF(A2167="","",SUM($H$7:H2167)-SUM($I$7:I2167))</f>
        <v/>
      </c>
      <c r="K2167" s="34"/>
    </row>
    <row r="2168" spans="1:11" x14ac:dyDescent="0.2">
      <c r="A2168" s="44"/>
      <c r="B2168" s="44"/>
      <c r="C2168" s="35"/>
      <c r="D2168" s="44"/>
      <c r="E2168" s="44"/>
      <c r="F2168" s="44"/>
      <c r="G2168" s="130"/>
      <c r="H2168" s="252">
        <f t="shared" si="71"/>
        <v>0</v>
      </c>
      <c r="I2168" s="252">
        <f t="shared" si="70"/>
        <v>0</v>
      </c>
      <c r="J2168" s="170" t="str">
        <f>IF(A2168="","",SUM($H$7:H2168)-SUM($I$7:I2168))</f>
        <v/>
      </c>
      <c r="K2168" s="34"/>
    </row>
    <row r="2169" spans="1:11" x14ac:dyDescent="0.2">
      <c r="A2169" s="44"/>
      <c r="B2169" s="44"/>
      <c r="C2169" s="35"/>
      <c r="D2169" s="44"/>
      <c r="E2169" s="44"/>
      <c r="F2169" s="44"/>
      <c r="G2169" s="130"/>
      <c r="H2169" s="252">
        <f t="shared" si="71"/>
        <v>0</v>
      </c>
      <c r="I2169" s="252">
        <f t="shared" si="70"/>
        <v>0</v>
      </c>
      <c r="J2169" s="170" t="str">
        <f>IF(A2169="","",SUM($H$7:H2169)-SUM($I$7:I2169))</f>
        <v/>
      </c>
      <c r="K2169" s="34"/>
    </row>
    <row r="2170" spans="1:11" x14ac:dyDescent="0.2">
      <c r="A2170" s="44"/>
      <c r="B2170" s="44"/>
      <c r="C2170" s="35"/>
      <c r="D2170" s="44"/>
      <c r="E2170" s="44"/>
      <c r="F2170" s="44"/>
      <c r="G2170" s="130"/>
      <c r="H2170" s="252">
        <f t="shared" si="71"/>
        <v>0</v>
      </c>
      <c r="I2170" s="252">
        <f t="shared" si="70"/>
        <v>0</v>
      </c>
      <c r="J2170" s="170" t="str">
        <f>IF(A2170="","",SUM($H$7:H2170)-SUM($I$7:I2170))</f>
        <v/>
      </c>
      <c r="K2170" s="34"/>
    </row>
    <row r="2171" spans="1:11" x14ac:dyDescent="0.2">
      <c r="A2171" s="44"/>
      <c r="B2171" s="44"/>
      <c r="C2171" s="35"/>
      <c r="D2171" s="44"/>
      <c r="E2171" s="44"/>
      <c r="F2171" s="44"/>
      <c r="G2171" s="130"/>
      <c r="H2171" s="252">
        <f t="shared" si="71"/>
        <v>0</v>
      </c>
      <c r="I2171" s="252">
        <f t="shared" si="70"/>
        <v>0</v>
      </c>
      <c r="J2171" s="170" t="str">
        <f>IF(A2171="","",SUM($H$7:H2171)-SUM($I$7:I2171))</f>
        <v/>
      </c>
      <c r="K2171" s="34"/>
    </row>
    <row r="2172" spans="1:11" x14ac:dyDescent="0.2">
      <c r="A2172" s="44"/>
      <c r="B2172" s="44"/>
      <c r="C2172" s="35"/>
      <c r="D2172" s="44"/>
      <c r="E2172" s="44"/>
      <c r="F2172" s="44"/>
      <c r="G2172" s="130"/>
      <c r="H2172" s="252">
        <f t="shared" si="71"/>
        <v>0</v>
      </c>
      <c r="I2172" s="252">
        <f t="shared" si="70"/>
        <v>0</v>
      </c>
      <c r="J2172" s="170" t="str">
        <f>IF(A2172="","",SUM($H$7:H2172)-SUM($I$7:I2172))</f>
        <v/>
      </c>
      <c r="K2172" s="34"/>
    </row>
    <row r="2173" spans="1:11" x14ac:dyDescent="0.2">
      <c r="A2173" s="44"/>
      <c r="B2173" s="44"/>
      <c r="C2173" s="35"/>
      <c r="D2173" s="44"/>
      <c r="E2173" s="44"/>
      <c r="F2173" s="44"/>
      <c r="G2173" s="130"/>
      <c r="H2173" s="252">
        <f t="shared" si="71"/>
        <v>0</v>
      </c>
      <c r="I2173" s="252">
        <f t="shared" si="70"/>
        <v>0</v>
      </c>
      <c r="J2173" s="170" t="str">
        <f>IF(A2173="","",SUM($H$7:H2173)-SUM($I$7:I2173))</f>
        <v/>
      </c>
      <c r="K2173" s="34"/>
    </row>
    <row r="2174" spans="1:11" x14ac:dyDescent="0.2">
      <c r="A2174" s="44"/>
      <c r="B2174" s="44"/>
      <c r="C2174" s="35"/>
      <c r="D2174" s="44"/>
      <c r="E2174" s="44"/>
      <c r="F2174" s="44"/>
      <c r="G2174" s="130"/>
      <c r="H2174" s="252">
        <f t="shared" si="71"/>
        <v>0</v>
      </c>
      <c r="I2174" s="252">
        <f t="shared" si="70"/>
        <v>0</v>
      </c>
      <c r="J2174" s="170" t="str">
        <f>IF(A2174="","",SUM($H$7:H2174)-SUM($I$7:I2174))</f>
        <v/>
      </c>
      <c r="K2174" s="34"/>
    </row>
    <row r="2175" spans="1:11" x14ac:dyDescent="0.2">
      <c r="A2175" s="44"/>
      <c r="B2175" s="44"/>
      <c r="C2175" s="35"/>
      <c r="D2175" s="44"/>
      <c r="E2175" s="44"/>
      <c r="F2175" s="44"/>
      <c r="G2175" s="130"/>
      <c r="H2175" s="252">
        <f t="shared" si="71"/>
        <v>0</v>
      </c>
      <c r="I2175" s="252">
        <f t="shared" si="70"/>
        <v>0</v>
      </c>
      <c r="J2175" s="170" t="str">
        <f>IF(A2175="","",SUM($H$7:H2175)-SUM($I$7:I2175))</f>
        <v/>
      </c>
      <c r="K2175" s="34"/>
    </row>
    <row r="2176" spans="1:11" x14ac:dyDescent="0.2">
      <c r="A2176" s="44"/>
      <c r="B2176" s="44"/>
      <c r="C2176" s="35"/>
      <c r="D2176" s="44"/>
      <c r="E2176" s="44"/>
      <c r="F2176" s="44"/>
      <c r="G2176" s="130"/>
      <c r="H2176" s="252">
        <f t="shared" si="71"/>
        <v>0</v>
      </c>
      <c r="I2176" s="252">
        <f t="shared" si="70"/>
        <v>0</v>
      </c>
      <c r="J2176" s="170" t="str">
        <f>IF(A2176="","",SUM($H$7:H2176)-SUM($I$7:I2176))</f>
        <v/>
      </c>
      <c r="K2176" s="34"/>
    </row>
    <row r="2177" spans="1:11" x14ac:dyDescent="0.2">
      <c r="A2177" s="44"/>
      <c r="B2177" s="44"/>
      <c r="C2177" s="35"/>
      <c r="D2177" s="44"/>
      <c r="E2177" s="44"/>
      <c r="F2177" s="44"/>
      <c r="G2177" s="130"/>
      <c r="H2177" s="252">
        <f t="shared" si="71"/>
        <v>0</v>
      </c>
      <c r="I2177" s="252">
        <f t="shared" si="70"/>
        <v>0</v>
      </c>
      <c r="J2177" s="170" t="str">
        <f>IF(A2177="","",SUM($H$7:H2177)-SUM($I$7:I2177))</f>
        <v/>
      </c>
      <c r="K2177" s="34"/>
    </row>
    <row r="2178" spans="1:11" x14ac:dyDescent="0.2">
      <c r="A2178" s="44"/>
      <c r="B2178" s="44"/>
      <c r="C2178" s="35"/>
      <c r="D2178" s="44"/>
      <c r="E2178" s="44"/>
      <c r="F2178" s="44"/>
      <c r="G2178" s="130"/>
      <c r="H2178" s="252">
        <f t="shared" si="71"/>
        <v>0</v>
      </c>
      <c r="I2178" s="252">
        <f t="shared" si="70"/>
        <v>0</v>
      </c>
      <c r="J2178" s="170" t="str">
        <f>IF(A2178="","",SUM($H$7:H2178)-SUM($I$7:I2178))</f>
        <v/>
      </c>
      <c r="K2178" s="34"/>
    </row>
    <row r="2179" spans="1:11" x14ac:dyDescent="0.2">
      <c r="A2179" s="44"/>
      <c r="B2179" s="44"/>
      <c r="C2179" s="35"/>
      <c r="D2179" s="44"/>
      <c r="E2179" s="44"/>
      <c r="F2179" s="44"/>
      <c r="G2179" s="130"/>
      <c r="H2179" s="252">
        <f t="shared" si="71"/>
        <v>0</v>
      </c>
      <c r="I2179" s="252">
        <f t="shared" si="70"/>
        <v>0</v>
      </c>
      <c r="J2179" s="170" t="str">
        <f>IF(A2179="","",SUM($H$7:H2179)-SUM($I$7:I2179))</f>
        <v/>
      </c>
      <c r="K2179" s="34"/>
    </row>
    <row r="2180" spans="1:11" x14ac:dyDescent="0.2">
      <c r="A2180" s="44"/>
      <c r="B2180" s="44"/>
      <c r="C2180" s="35"/>
      <c r="D2180" s="44"/>
      <c r="E2180" s="44"/>
      <c r="F2180" s="44"/>
      <c r="G2180" s="130"/>
      <c r="H2180" s="252">
        <f t="shared" si="71"/>
        <v>0</v>
      </c>
      <c r="I2180" s="252">
        <f t="shared" si="70"/>
        <v>0</v>
      </c>
      <c r="J2180" s="170" t="str">
        <f>IF(A2180="","",SUM($H$7:H2180)-SUM($I$7:I2180))</f>
        <v/>
      </c>
      <c r="K2180" s="34"/>
    </row>
    <row r="2181" spans="1:11" x14ac:dyDescent="0.2">
      <c r="A2181" s="44"/>
      <c r="B2181" s="44"/>
      <c r="C2181" s="35"/>
      <c r="D2181" s="44"/>
      <c r="E2181" s="44"/>
      <c r="F2181" s="44"/>
      <c r="G2181" s="130"/>
      <c r="H2181" s="252">
        <f t="shared" si="71"/>
        <v>0</v>
      </c>
      <c r="I2181" s="252">
        <f t="shared" si="70"/>
        <v>0</v>
      </c>
      <c r="J2181" s="170" t="str">
        <f>IF(A2181="","",SUM($H$7:H2181)-SUM($I$7:I2181))</f>
        <v/>
      </c>
      <c r="K2181" s="34"/>
    </row>
    <row r="2182" spans="1:11" x14ac:dyDescent="0.2">
      <c r="A2182" s="44"/>
      <c r="B2182" s="44"/>
      <c r="C2182" s="35"/>
      <c r="D2182" s="44"/>
      <c r="E2182" s="44"/>
      <c r="F2182" s="44"/>
      <c r="G2182" s="130"/>
      <c r="H2182" s="252">
        <f t="shared" si="71"/>
        <v>0</v>
      </c>
      <c r="I2182" s="252">
        <f t="shared" si="70"/>
        <v>0</v>
      </c>
      <c r="J2182" s="170" t="str">
        <f>IF(A2182="","",SUM($H$7:H2182)-SUM($I$7:I2182))</f>
        <v/>
      </c>
      <c r="K2182" s="34"/>
    </row>
    <row r="2183" spans="1:11" x14ac:dyDescent="0.2">
      <c r="A2183" s="44"/>
      <c r="B2183" s="44"/>
      <c r="C2183" s="35"/>
      <c r="D2183" s="44"/>
      <c r="E2183" s="44"/>
      <c r="F2183" s="44"/>
      <c r="G2183" s="130"/>
      <c r="H2183" s="252">
        <f t="shared" si="71"/>
        <v>0</v>
      </c>
      <c r="I2183" s="252">
        <f t="shared" ref="I2183:I2242" si="72">IF($C2183="Replenishment",0,$G2183)</f>
        <v>0</v>
      </c>
      <c r="J2183" s="170" t="str">
        <f>IF(A2183="","",SUM($H$7:H2183)-SUM($I$7:I2183))</f>
        <v/>
      </c>
      <c r="K2183" s="34"/>
    </row>
    <row r="2184" spans="1:11" x14ac:dyDescent="0.2">
      <c r="A2184" s="44"/>
      <c r="B2184" s="44"/>
      <c r="C2184" s="35"/>
      <c r="D2184" s="44"/>
      <c r="E2184" s="44"/>
      <c r="F2184" s="44"/>
      <c r="G2184" s="130"/>
      <c r="H2184" s="252">
        <f t="shared" si="71"/>
        <v>0</v>
      </c>
      <c r="I2184" s="252">
        <f t="shared" si="72"/>
        <v>0</v>
      </c>
      <c r="J2184" s="170" t="str">
        <f>IF(A2184="","",SUM($H$7:H2184)-SUM($I$7:I2184))</f>
        <v/>
      </c>
      <c r="K2184" s="34"/>
    </row>
    <row r="2185" spans="1:11" x14ac:dyDescent="0.2">
      <c r="A2185" s="44"/>
      <c r="B2185" s="44"/>
      <c r="C2185" s="35"/>
      <c r="D2185" s="44"/>
      <c r="E2185" s="44"/>
      <c r="F2185" s="44"/>
      <c r="G2185" s="130"/>
      <c r="H2185" s="252">
        <f t="shared" si="71"/>
        <v>0</v>
      </c>
      <c r="I2185" s="252">
        <f t="shared" si="72"/>
        <v>0</v>
      </c>
      <c r="J2185" s="170" t="str">
        <f>IF(A2185="","",SUM($H$7:H2185)-SUM($I$7:I2185))</f>
        <v/>
      </c>
      <c r="K2185" s="34"/>
    </row>
    <row r="2186" spans="1:11" x14ac:dyDescent="0.2">
      <c r="A2186" s="44"/>
      <c r="B2186" s="44"/>
      <c r="C2186" s="35"/>
      <c r="D2186" s="44"/>
      <c r="E2186" s="44"/>
      <c r="F2186" s="44"/>
      <c r="G2186" s="130"/>
      <c r="H2186" s="252">
        <f t="shared" si="71"/>
        <v>0</v>
      </c>
      <c r="I2186" s="252">
        <f t="shared" si="72"/>
        <v>0</v>
      </c>
      <c r="J2186" s="170" t="str">
        <f>IF(A2186="","",SUM($H$7:H2186)-SUM($I$7:I2186))</f>
        <v/>
      </c>
      <c r="K2186" s="34"/>
    </row>
    <row r="2187" spans="1:11" x14ac:dyDescent="0.2">
      <c r="A2187" s="44"/>
      <c r="B2187" s="44"/>
      <c r="C2187" s="35"/>
      <c r="D2187" s="44"/>
      <c r="E2187" s="44"/>
      <c r="F2187" s="44"/>
      <c r="G2187" s="130"/>
      <c r="H2187" s="252">
        <f t="shared" si="71"/>
        <v>0</v>
      </c>
      <c r="I2187" s="252">
        <f t="shared" si="72"/>
        <v>0</v>
      </c>
      <c r="J2187" s="170" t="str">
        <f>IF(A2187="","",SUM($H$7:H2187)-SUM($I$7:I2187))</f>
        <v/>
      </c>
      <c r="K2187" s="34"/>
    </row>
    <row r="2188" spans="1:11" x14ac:dyDescent="0.2">
      <c r="A2188" s="44"/>
      <c r="B2188" s="44"/>
      <c r="C2188" s="35"/>
      <c r="D2188" s="44"/>
      <c r="E2188" s="44"/>
      <c r="F2188" s="44"/>
      <c r="G2188" s="130"/>
      <c r="H2188" s="252">
        <f t="shared" si="71"/>
        <v>0</v>
      </c>
      <c r="I2188" s="252">
        <f t="shared" si="72"/>
        <v>0</v>
      </c>
      <c r="J2188" s="170" t="str">
        <f>IF(A2188="","",SUM($H$7:H2188)-SUM($I$7:I2188))</f>
        <v/>
      </c>
      <c r="K2188" s="34"/>
    </row>
    <row r="2189" spans="1:11" x14ac:dyDescent="0.2">
      <c r="A2189" s="44"/>
      <c r="B2189" s="44"/>
      <c r="C2189" s="35"/>
      <c r="D2189" s="44"/>
      <c r="E2189" s="44"/>
      <c r="F2189" s="44"/>
      <c r="G2189" s="130"/>
      <c r="H2189" s="252">
        <f t="shared" si="71"/>
        <v>0</v>
      </c>
      <c r="I2189" s="252">
        <f t="shared" si="72"/>
        <v>0</v>
      </c>
      <c r="J2189" s="170" t="str">
        <f>IF(A2189="","",SUM($H$7:H2189)-SUM($I$7:I2189))</f>
        <v/>
      </c>
      <c r="K2189" s="34"/>
    </row>
    <row r="2190" spans="1:11" x14ac:dyDescent="0.2">
      <c r="A2190" s="44"/>
      <c r="B2190" s="44"/>
      <c r="C2190" s="35"/>
      <c r="D2190" s="44"/>
      <c r="E2190" s="44"/>
      <c r="F2190" s="44"/>
      <c r="G2190" s="130"/>
      <c r="H2190" s="252">
        <f t="shared" si="71"/>
        <v>0</v>
      </c>
      <c r="I2190" s="252">
        <f t="shared" si="72"/>
        <v>0</v>
      </c>
      <c r="J2190" s="170" t="str">
        <f>IF(A2190="","",SUM($H$7:H2190)-SUM($I$7:I2190))</f>
        <v/>
      </c>
      <c r="K2190" s="34"/>
    </row>
    <row r="2191" spans="1:11" x14ac:dyDescent="0.2">
      <c r="A2191" s="44"/>
      <c r="B2191" s="44"/>
      <c r="C2191" s="35"/>
      <c r="D2191" s="44"/>
      <c r="E2191" s="44"/>
      <c r="F2191" s="44"/>
      <c r="G2191" s="130"/>
      <c r="H2191" s="252">
        <f t="shared" si="71"/>
        <v>0</v>
      </c>
      <c r="I2191" s="252">
        <f t="shared" si="72"/>
        <v>0</v>
      </c>
      <c r="J2191" s="170" t="str">
        <f>IF(A2191="","",SUM($H$7:H2191)-SUM($I$7:I2191))</f>
        <v/>
      </c>
      <c r="K2191" s="34"/>
    </row>
    <row r="2192" spans="1:11" x14ac:dyDescent="0.2">
      <c r="A2192" s="44"/>
      <c r="B2192" s="44"/>
      <c r="C2192" s="35"/>
      <c r="D2192" s="44"/>
      <c r="E2192" s="44"/>
      <c r="F2192" s="44"/>
      <c r="G2192" s="130"/>
      <c r="H2192" s="252">
        <f t="shared" si="71"/>
        <v>0</v>
      </c>
      <c r="I2192" s="252">
        <f t="shared" si="72"/>
        <v>0</v>
      </c>
      <c r="J2192" s="170" t="str">
        <f>IF(A2192="","",SUM($H$7:H2192)-SUM($I$7:I2192))</f>
        <v/>
      </c>
      <c r="K2192" s="34"/>
    </row>
    <row r="2193" spans="1:11" x14ac:dyDescent="0.2">
      <c r="A2193" s="44"/>
      <c r="B2193" s="44"/>
      <c r="C2193" s="35"/>
      <c r="D2193" s="44"/>
      <c r="E2193" s="44"/>
      <c r="F2193" s="44"/>
      <c r="G2193" s="130"/>
      <c r="H2193" s="252">
        <f t="shared" si="71"/>
        <v>0</v>
      </c>
      <c r="I2193" s="252">
        <f t="shared" si="72"/>
        <v>0</v>
      </c>
      <c r="J2193" s="170" t="str">
        <f>IF(A2193="","",SUM($H$7:H2193)-SUM($I$7:I2193))</f>
        <v/>
      </c>
      <c r="K2193" s="34"/>
    </row>
    <row r="2194" spans="1:11" x14ac:dyDescent="0.2">
      <c r="A2194" s="44"/>
      <c r="B2194" s="44"/>
      <c r="C2194" s="35"/>
      <c r="D2194" s="44"/>
      <c r="E2194" s="44"/>
      <c r="F2194" s="44"/>
      <c r="G2194" s="130"/>
      <c r="H2194" s="252">
        <f t="shared" si="71"/>
        <v>0</v>
      </c>
      <c r="I2194" s="252">
        <f t="shared" si="72"/>
        <v>0</v>
      </c>
      <c r="J2194" s="170" t="str">
        <f>IF(A2194="","",SUM($H$7:H2194)-SUM($I$7:I2194))</f>
        <v/>
      </c>
      <c r="K2194" s="34"/>
    </row>
    <row r="2195" spans="1:11" x14ac:dyDescent="0.2">
      <c r="A2195" s="44"/>
      <c r="B2195" s="44"/>
      <c r="C2195" s="35"/>
      <c r="D2195" s="44"/>
      <c r="E2195" s="44"/>
      <c r="F2195" s="44"/>
      <c r="G2195" s="130"/>
      <c r="H2195" s="252">
        <f t="shared" si="71"/>
        <v>0</v>
      </c>
      <c r="I2195" s="252">
        <f t="shared" si="72"/>
        <v>0</v>
      </c>
      <c r="J2195" s="170" t="str">
        <f>IF(A2195="","",SUM($H$7:H2195)-SUM($I$7:I2195))</f>
        <v/>
      </c>
      <c r="K2195" s="34"/>
    </row>
    <row r="2196" spans="1:11" x14ac:dyDescent="0.2">
      <c r="A2196" s="44"/>
      <c r="B2196" s="44"/>
      <c r="C2196" s="35"/>
      <c r="D2196" s="44"/>
      <c r="E2196" s="44"/>
      <c r="F2196" s="44"/>
      <c r="G2196" s="130"/>
      <c r="H2196" s="252">
        <f t="shared" si="71"/>
        <v>0</v>
      </c>
      <c r="I2196" s="252">
        <f t="shared" si="72"/>
        <v>0</v>
      </c>
      <c r="J2196" s="170" t="str">
        <f>IF(A2196="","",SUM($H$7:H2196)-SUM($I$7:I2196))</f>
        <v/>
      </c>
      <c r="K2196" s="34"/>
    </row>
    <row r="2197" spans="1:11" x14ac:dyDescent="0.2">
      <c r="A2197" s="44"/>
      <c r="B2197" s="44"/>
      <c r="C2197" s="35"/>
      <c r="D2197" s="44"/>
      <c r="E2197" s="44"/>
      <c r="F2197" s="44"/>
      <c r="G2197" s="130"/>
      <c r="H2197" s="252">
        <f t="shared" si="71"/>
        <v>0</v>
      </c>
      <c r="I2197" s="252">
        <f t="shared" si="72"/>
        <v>0</v>
      </c>
      <c r="J2197" s="170" t="str">
        <f>IF(A2197="","",SUM($H$7:H2197)-SUM($I$7:I2197))</f>
        <v/>
      </c>
      <c r="K2197" s="34"/>
    </row>
    <row r="2198" spans="1:11" x14ac:dyDescent="0.2">
      <c r="A2198" s="44"/>
      <c r="B2198" s="44"/>
      <c r="C2198" s="35"/>
      <c r="D2198" s="44"/>
      <c r="E2198" s="44"/>
      <c r="F2198" s="44"/>
      <c r="G2198" s="130"/>
      <c r="H2198" s="252">
        <f t="shared" si="71"/>
        <v>0</v>
      </c>
      <c r="I2198" s="252">
        <f t="shared" si="72"/>
        <v>0</v>
      </c>
      <c r="J2198" s="170" t="str">
        <f>IF(A2198="","",SUM($H$7:H2198)-SUM($I$7:I2198))</f>
        <v/>
      </c>
      <c r="K2198" s="34"/>
    </row>
    <row r="2199" spans="1:11" x14ac:dyDescent="0.2">
      <c r="A2199" s="44"/>
      <c r="B2199" s="44"/>
      <c r="C2199" s="35"/>
      <c r="D2199" s="44"/>
      <c r="E2199" s="44"/>
      <c r="F2199" s="44"/>
      <c r="G2199" s="130"/>
      <c r="H2199" s="252">
        <f t="shared" si="71"/>
        <v>0</v>
      </c>
      <c r="I2199" s="252">
        <f t="shared" si="72"/>
        <v>0</v>
      </c>
      <c r="J2199" s="170" t="str">
        <f>IF(A2199="","",SUM($H$7:H2199)-SUM($I$7:I2199))</f>
        <v/>
      </c>
      <c r="K2199" s="34"/>
    </row>
    <row r="2200" spans="1:11" x14ac:dyDescent="0.2">
      <c r="A2200" s="44"/>
      <c r="B2200" s="44"/>
      <c r="C2200" s="35"/>
      <c r="D2200" s="44"/>
      <c r="E2200" s="44"/>
      <c r="F2200" s="44"/>
      <c r="G2200" s="130"/>
      <c r="H2200" s="252">
        <f t="shared" si="71"/>
        <v>0</v>
      </c>
      <c r="I2200" s="252">
        <f t="shared" si="72"/>
        <v>0</v>
      </c>
      <c r="J2200" s="170" t="str">
        <f>IF(A2200="","",SUM($H$7:H2200)-SUM($I$7:I2200))</f>
        <v/>
      </c>
      <c r="K2200" s="34"/>
    </row>
    <row r="2201" spans="1:11" x14ac:dyDescent="0.2">
      <c r="A2201" s="44"/>
      <c r="B2201" s="44"/>
      <c r="C2201" s="35"/>
      <c r="D2201" s="44"/>
      <c r="E2201" s="44"/>
      <c r="F2201" s="44"/>
      <c r="G2201" s="130"/>
      <c r="H2201" s="252">
        <f t="shared" si="71"/>
        <v>0</v>
      </c>
      <c r="I2201" s="252">
        <f t="shared" si="72"/>
        <v>0</v>
      </c>
      <c r="J2201" s="170" t="str">
        <f>IF(A2201="","",SUM($H$7:H2201)-SUM($I$7:I2201))</f>
        <v/>
      </c>
      <c r="K2201" s="34"/>
    </row>
    <row r="2202" spans="1:11" x14ac:dyDescent="0.2">
      <c r="A2202" s="44"/>
      <c r="B2202" s="44"/>
      <c r="C2202" s="35"/>
      <c r="D2202" s="44"/>
      <c r="E2202" s="44"/>
      <c r="F2202" s="44"/>
      <c r="G2202" s="130"/>
      <c r="H2202" s="252">
        <f t="shared" si="71"/>
        <v>0</v>
      </c>
      <c r="I2202" s="252">
        <f t="shared" si="72"/>
        <v>0</v>
      </c>
      <c r="J2202" s="170" t="str">
        <f>IF(A2202="","",SUM($H$7:H2202)-SUM($I$7:I2202))</f>
        <v/>
      </c>
      <c r="K2202" s="34"/>
    </row>
    <row r="2203" spans="1:11" x14ac:dyDescent="0.2">
      <c r="A2203" s="44"/>
      <c r="B2203" s="44"/>
      <c r="C2203" s="35"/>
      <c r="D2203" s="44"/>
      <c r="E2203" s="44"/>
      <c r="F2203" s="44"/>
      <c r="G2203" s="130"/>
      <c r="H2203" s="252">
        <f t="shared" si="71"/>
        <v>0</v>
      </c>
      <c r="I2203" s="252">
        <f t="shared" si="72"/>
        <v>0</v>
      </c>
      <c r="J2203" s="170" t="str">
        <f>IF(A2203="","",SUM($H$7:H2203)-SUM($I$7:I2203))</f>
        <v/>
      </c>
      <c r="K2203" s="34"/>
    </row>
    <row r="2204" spans="1:11" x14ac:dyDescent="0.2">
      <c r="A2204" s="44"/>
      <c r="B2204" s="44"/>
      <c r="C2204" s="35"/>
      <c r="D2204" s="44"/>
      <c r="E2204" s="44"/>
      <c r="F2204" s="44"/>
      <c r="G2204" s="130"/>
      <c r="H2204" s="252">
        <f t="shared" si="71"/>
        <v>0</v>
      </c>
      <c r="I2204" s="252">
        <f t="shared" si="72"/>
        <v>0</v>
      </c>
      <c r="J2204" s="170" t="str">
        <f>IF(A2204="","",SUM($H$7:H2204)-SUM($I$7:I2204))</f>
        <v/>
      </c>
      <c r="K2204" s="34"/>
    </row>
    <row r="2205" spans="1:11" x14ac:dyDescent="0.2">
      <c r="A2205" s="44"/>
      <c r="B2205" s="44"/>
      <c r="C2205" s="35"/>
      <c r="D2205" s="44"/>
      <c r="E2205" s="44"/>
      <c r="F2205" s="44"/>
      <c r="G2205" s="130"/>
      <c r="H2205" s="252">
        <f t="shared" si="71"/>
        <v>0</v>
      </c>
      <c r="I2205" s="252">
        <f t="shared" si="72"/>
        <v>0</v>
      </c>
      <c r="J2205" s="170" t="str">
        <f>IF(A2205="","",SUM($H$7:H2205)-SUM($I$7:I2205))</f>
        <v/>
      </c>
      <c r="K2205" s="34"/>
    </row>
    <row r="2206" spans="1:11" x14ac:dyDescent="0.2">
      <c r="A2206" s="44"/>
      <c r="B2206" s="44"/>
      <c r="C2206" s="35"/>
      <c r="D2206" s="44"/>
      <c r="E2206" s="44"/>
      <c r="F2206" s="44"/>
      <c r="G2206" s="130"/>
      <c r="H2206" s="252">
        <f t="shared" si="71"/>
        <v>0</v>
      </c>
      <c r="I2206" s="252">
        <f t="shared" si="72"/>
        <v>0</v>
      </c>
      <c r="J2206" s="170" t="str">
        <f>IF(A2206="","",SUM($H$7:H2206)-SUM($I$7:I2206))</f>
        <v/>
      </c>
      <c r="K2206" s="34"/>
    </row>
    <row r="2207" spans="1:11" x14ac:dyDescent="0.2">
      <c r="A2207" s="44"/>
      <c r="B2207" s="44"/>
      <c r="C2207" s="35"/>
      <c r="D2207" s="44"/>
      <c r="E2207" s="44"/>
      <c r="F2207" s="44"/>
      <c r="G2207" s="130"/>
      <c r="H2207" s="252">
        <f t="shared" si="71"/>
        <v>0</v>
      </c>
      <c r="I2207" s="252">
        <f t="shared" si="72"/>
        <v>0</v>
      </c>
      <c r="J2207" s="170" t="str">
        <f>IF(A2207="","",SUM($H$7:H2207)-SUM($I$7:I2207))</f>
        <v/>
      </c>
      <c r="K2207" s="34"/>
    </row>
    <row r="2208" spans="1:11" x14ac:dyDescent="0.2">
      <c r="A2208" s="44"/>
      <c r="B2208" s="44"/>
      <c r="C2208" s="35"/>
      <c r="D2208" s="44"/>
      <c r="E2208" s="44"/>
      <c r="F2208" s="44"/>
      <c r="G2208" s="130"/>
      <c r="H2208" s="252">
        <f t="shared" si="71"/>
        <v>0</v>
      </c>
      <c r="I2208" s="252">
        <f t="shared" si="72"/>
        <v>0</v>
      </c>
      <c r="J2208" s="170" t="str">
        <f>IF(A2208="","",SUM($H$7:H2208)-SUM($I$7:I2208))</f>
        <v/>
      </c>
      <c r="K2208" s="34"/>
    </row>
    <row r="2209" spans="1:11" x14ac:dyDescent="0.2">
      <c r="A2209" s="44"/>
      <c r="B2209" s="44"/>
      <c r="C2209" s="35"/>
      <c r="D2209" s="44"/>
      <c r="E2209" s="44"/>
      <c r="F2209" s="44"/>
      <c r="G2209" s="130"/>
      <c r="H2209" s="252">
        <f t="shared" si="71"/>
        <v>0</v>
      </c>
      <c r="I2209" s="252">
        <f t="shared" si="72"/>
        <v>0</v>
      </c>
      <c r="J2209" s="170" t="str">
        <f>IF(A2209="","",SUM($H$7:H2209)-SUM($I$7:I2209))</f>
        <v/>
      </c>
      <c r="K2209" s="34"/>
    </row>
    <row r="2210" spans="1:11" x14ac:dyDescent="0.2">
      <c r="A2210" s="44"/>
      <c r="B2210" s="44"/>
      <c r="C2210" s="35"/>
      <c r="D2210" s="44"/>
      <c r="E2210" s="44"/>
      <c r="F2210" s="44"/>
      <c r="G2210" s="130"/>
      <c r="H2210" s="252">
        <f t="shared" si="71"/>
        <v>0</v>
      </c>
      <c r="I2210" s="252">
        <f t="shared" si="72"/>
        <v>0</v>
      </c>
      <c r="J2210" s="170" t="str">
        <f>IF(A2210="","",SUM($H$7:H2210)-SUM($I$7:I2210))</f>
        <v/>
      </c>
      <c r="K2210" s="34"/>
    </row>
    <row r="2211" spans="1:11" x14ac:dyDescent="0.2">
      <c r="A2211" s="44"/>
      <c r="B2211" s="44"/>
      <c r="C2211" s="35"/>
      <c r="D2211" s="44"/>
      <c r="E2211" s="44"/>
      <c r="F2211" s="44"/>
      <c r="G2211" s="130"/>
      <c r="H2211" s="252">
        <f t="shared" si="71"/>
        <v>0</v>
      </c>
      <c r="I2211" s="252">
        <f t="shared" si="72"/>
        <v>0</v>
      </c>
      <c r="J2211" s="170" t="str">
        <f>IF(A2211="","",SUM($H$7:H2211)-SUM($I$7:I2211))</f>
        <v/>
      </c>
      <c r="K2211" s="34"/>
    </row>
    <row r="2212" spans="1:11" x14ac:dyDescent="0.2">
      <c r="A2212" s="44"/>
      <c r="B2212" s="44"/>
      <c r="C2212" s="35"/>
      <c r="D2212" s="44"/>
      <c r="E2212" s="44"/>
      <c r="F2212" s="44"/>
      <c r="G2212" s="130"/>
      <c r="H2212" s="252">
        <f t="shared" si="71"/>
        <v>0</v>
      </c>
      <c r="I2212" s="252">
        <f t="shared" si="72"/>
        <v>0</v>
      </c>
      <c r="J2212" s="170" t="str">
        <f>IF(A2212="","",SUM($H$7:H2212)-SUM($I$7:I2212))</f>
        <v/>
      </c>
      <c r="K2212" s="34"/>
    </row>
    <row r="2213" spans="1:11" x14ac:dyDescent="0.2">
      <c r="A2213" s="44"/>
      <c r="B2213" s="44"/>
      <c r="C2213" s="35"/>
      <c r="D2213" s="44"/>
      <c r="E2213" s="44"/>
      <c r="F2213" s="44"/>
      <c r="G2213" s="130"/>
      <c r="H2213" s="252">
        <f t="shared" si="71"/>
        <v>0</v>
      </c>
      <c r="I2213" s="252">
        <f t="shared" si="72"/>
        <v>0</v>
      </c>
      <c r="J2213" s="170" t="str">
        <f>IF(A2213="","",SUM($H$7:H2213)-SUM($I$7:I2213))</f>
        <v/>
      </c>
      <c r="K2213" s="34"/>
    </row>
    <row r="2214" spans="1:11" x14ac:dyDescent="0.2">
      <c r="A2214" s="44"/>
      <c r="B2214" s="44"/>
      <c r="C2214" s="35"/>
      <c r="D2214" s="44"/>
      <c r="E2214" s="44"/>
      <c r="F2214" s="44"/>
      <c r="G2214" s="130"/>
      <c r="H2214" s="252">
        <f t="shared" si="71"/>
        <v>0</v>
      </c>
      <c r="I2214" s="252">
        <f t="shared" si="72"/>
        <v>0</v>
      </c>
      <c r="J2214" s="170" t="str">
        <f>IF(A2214="","",SUM($H$7:H2214)-SUM($I$7:I2214))</f>
        <v/>
      </c>
      <c r="K2214" s="34"/>
    </row>
    <row r="2215" spans="1:11" x14ac:dyDescent="0.2">
      <c r="A2215" s="44"/>
      <c r="B2215" s="44"/>
      <c r="C2215" s="35"/>
      <c r="D2215" s="44"/>
      <c r="E2215" s="44"/>
      <c r="F2215" s="44"/>
      <c r="G2215" s="130"/>
      <c r="H2215" s="252">
        <f t="shared" si="71"/>
        <v>0</v>
      </c>
      <c r="I2215" s="252">
        <f t="shared" si="72"/>
        <v>0</v>
      </c>
      <c r="J2215" s="170" t="str">
        <f>IF(A2215="","",SUM($H$7:H2215)-SUM($I$7:I2215))</f>
        <v/>
      </c>
      <c r="K2215" s="34"/>
    </row>
    <row r="2216" spans="1:11" x14ac:dyDescent="0.2">
      <c r="A2216" s="44"/>
      <c r="B2216" s="44"/>
      <c r="C2216" s="35"/>
      <c r="D2216" s="44"/>
      <c r="E2216" s="44"/>
      <c r="F2216" s="44"/>
      <c r="G2216" s="130"/>
      <c r="H2216" s="252">
        <f t="shared" si="71"/>
        <v>0</v>
      </c>
      <c r="I2216" s="252">
        <f t="shared" si="72"/>
        <v>0</v>
      </c>
      <c r="J2216" s="170" t="str">
        <f>IF(A2216="","",SUM($H$7:H2216)-SUM($I$7:I2216))</f>
        <v/>
      </c>
      <c r="K2216" s="34"/>
    </row>
    <row r="2217" spans="1:11" x14ac:dyDescent="0.2">
      <c r="A2217" s="44"/>
      <c r="B2217" s="44"/>
      <c r="C2217" s="35"/>
      <c r="D2217" s="44"/>
      <c r="E2217" s="44"/>
      <c r="F2217" s="44"/>
      <c r="G2217" s="130"/>
      <c r="H2217" s="252">
        <f t="shared" si="71"/>
        <v>0</v>
      </c>
      <c r="I2217" s="252">
        <f t="shared" si="72"/>
        <v>0</v>
      </c>
      <c r="J2217" s="170" t="str">
        <f>IF(A2217="","",SUM($H$7:H2217)-SUM($I$7:I2217))</f>
        <v/>
      </c>
      <c r="K2217" s="34"/>
    </row>
    <row r="2218" spans="1:11" x14ac:dyDescent="0.2">
      <c r="A2218" s="44"/>
      <c r="B2218" s="44"/>
      <c r="C2218" s="35"/>
      <c r="D2218" s="44"/>
      <c r="E2218" s="44"/>
      <c r="F2218" s="44"/>
      <c r="G2218" s="130"/>
      <c r="H2218" s="252">
        <f t="shared" si="71"/>
        <v>0</v>
      </c>
      <c r="I2218" s="252">
        <f t="shared" si="72"/>
        <v>0</v>
      </c>
      <c r="J2218" s="170" t="str">
        <f>IF(A2218="","",SUM($H$7:H2218)-SUM($I$7:I2218))</f>
        <v/>
      </c>
      <c r="K2218" s="34"/>
    </row>
    <row r="2219" spans="1:11" x14ac:dyDescent="0.2">
      <c r="A2219" s="44"/>
      <c r="B2219" s="44"/>
      <c r="C2219" s="35"/>
      <c r="D2219" s="44"/>
      <c r="E2219" s="44"/>
      <c r="F2219" s="44"/>
      <c r="G2219" s="130"/>
      <c r="H2219" s="252">
        <f t="shared" si="71"/>
        <v>0</v>
      </c>
      <c r="I2219" s="252">
        <f t="shared" si="72"/>
        <v>0</v>
      </c>
      <c r="J2219" s="170" t="str">
        <f>IF(A2219="","",SUM($H$7:H2219)-SUM($I$7:I2219))</f>
        <v/>
      </c>
      <c r="K2219" s="34"/>
    </row>
    <row r="2220" spans="1:11" x14ac:dyDescent="0.2">
      <c r="A2220" s="44"/>
      <c r="B2220" s="44"/>
      <c r="C2220" s="35"/>
      <c r="D2220" s="44"/>
      <c r="E2220" s="44"/>
      <c r="F2220" s="44"/>
      <c r="G2220" s="130"/>
      <c r="H2220" s="252">
        <f t="shared" si="71"/>
        <v>0</v>
      </c>
      <c r="I2220" s="252">
        <f t="shared" si="72"/>
        <v>0</v>
      </c>
      <c r="J2220" s="170" t="str">
        <f>IF(A2220="","",SUM($H$7:H2220)-SUM($I$7:I2220))</f>
        <v/>
      </c>
      <c r="K2220" s="34"/>
    </row>
    <row r="2221" spans="1:11" x14ac:dyDescent="0.2">
      <c r="A2221" s="44"/>
      <c r="B2221" s="44"/>
      <c r="C2221" s="35"/>
      <c r="D2221" s="44"/>
      <c r="E2221" s="44"/>
      <c r="F2221" s="44"/>
      <c r="G2221" s="130"/>
      <c r="H2221" s="252">
        <f t="shared" si="71"/>
        <v>0</v>
      </c>
      <c r="I2221" s="252">
        <f t="shared" si="72"/>
        <v>0</v>
      </c>
      <c r="J2221" s="170" t="str">
        <f>IF(A2221="","",SUM($H$7:H2221)-SUM($I$7:I2221))</f>
        <v/>
      </c>
      <c r="K2221" s="34"/>
    </row>
    <row r="2222" spans="1:11" x14ac:dyDescent="0.2">
      <c r="A2222" s="44"/>
      <c r="B2222" s="44"/>
      <c r="C2222" s="35"/>
      <c r="D2222" s="44"/>
      <c r="E2222" s="44"/>
      <c r="F2222" s="44"/>
      <c r="G2222" s="130"/>
      <c r="H2222" s="252">
        <f t="shared" si="71"/>
        <v>0</v>
      </c>
      <c r="I2222" s="252">
        <f t="shared" si="72"/>
        <v>0</v>
      </c>
      <c r="J2222" s="170" t="str">
        <f>IF(A2222="","",SUM($H$7:H2222)-SUM($I$7:I2222))</f>
        <v/>
      </c>
      <c r="K2222" s="34"/>
    </row>
    <row r="2223" spans="1:11" x14ac:dyDescent="0.2">
      <c r="A2223" s="44"/>
      <c r="B2223" s="44"/>
      <c r="C2223" s="35"/>
      <c r="D2223" s="44"/>
      <c r="E2223" s="44"/>
      <c r="F2223" s="44"/>
      <c r="G2223" s="130"/>
      <c r="H2223" s="252">
        <f t="shared" si="71"/>
        <v>0</v>
      </c>
      <c r="I2223" s="252">
        <f t="shared" si="72"/>
        <v>0</v>
      </c>
      <c r="J2223" s="170" t="str">
        <f>IF(A2223="","",SUM($H$7:H2223)-SUM($I$7:I2223))</f>
        <v/>
      </c>
      <c r="K2223" s="34"/>
    </row>
    <row r="2224" spans="1:11" x14ac:dyDescent="0.2">
      <c r="A2224" s="44"/>
      <c r="B2224" s="44"/>
      <c r="C2224" s="35"/>
      <c r="D2224" s="44"/>
      <c r="E2224" s="44"/>
      <c r="F2224" s="44"/>
      <c r="G2224" s="130"/>
      <c r="H2224" s="252">
        <f t="shared" si="71"/>
        <v>0</v>
      </c>
      <c r="I2224" s="252">
        <f t="shared" si="72"/>
        <v>0</v>
      </c>
      <c r="J2224" s="170" t="str">
        <f>IF(A2224="","",SUM($H$7:H2224)-SUM($I$7:I2224))</f>
        <v/>
      </c>
      <c r="K2224" s="34"/>
    </row>
    <row r="2225" spans="1:11" x14ac:dyDescent="0.2">
      <c r="A2225" s="44"/>
      <c r="B2225" s="44"/>
      <c r="C2225" s="35"/>
      <c r="D2225" s="44"/>
      <c r="E2225" s="44"/>
      <c r="F2225" s="44"/>
      <c r="G2225" s="130"/>
      <c r="H2225" s="252">
        <f t="shared" si="71"/>
        <v>0</v>
      </c>
      <c r="I2225" s="252">
        <f t="shared" si="72"/>
        <v>0</v>
      </c>
      <c r="J2225" s="170" t="str">
        <f>IF(A2225="","",SUM($H$7:H2225)-SUM($I$7:I2225))</f>
        <v/>
      </c>
      <c r="K2225" s="34"/>
    </row>
    <row r="2226" spans="1:11" x14ac:dyDescent="0.2">
      <c r="A2226" s="44"/>
      <c r="B2226" s="44"/>
      <c r="C2226" s="35"/>
      <c r="D2226" s="44"/>
      <c r="E2226" s="44"/>
      <c r="F2226" s="44"/>
      <c r="G2226" s="130"/>
      <c r="H2226" s="252">
        <f t="shared" si="71"/>
        <v>0</v>
      </c>
      <c r="I2226" s="252">
        <f t="shared" si="72"/>
        <v>0</v>
      </c>
      <c r="J2226" s="170" t="str">
        <f>IF(A2226="","",SUM($H$7:H2226)-SUM($I$7:I2226))</f>
        <v/>
      </c>
      <c r="K2226" s="34"/>
    </row>
    <row r="2227" spans="1:11" x14ac:dyDescent="0.2">
      <c r="A2227" s="44"/>
      <c r="B2227" s="44"/>
      <c r="C2227" s="35"/>
      <c r="D2227" s="44"/>
      <c r="E2227" s="44"/>
      <c r="F2227" s="44"/>
      <c r="G2227" s="130"/>
      <c r="H2227" s="252">
        <f t="shared" si="71"/>
        <v>0</v>
      </c>
      <c r="I2227" s="252">
        <f t="shared" si="72"/>
        <v>0</v>
      </c>
      <c r="J2227" s="170" t="str">
        <f>IF(A2227="","",SUM($H$7:H2227)-SUM($I$7:I2227))</f>
        <v/>
      </c>
      <c r="K2227" s="34"/>
    </row>
    <row r="2228" spans="1:11" x14ac:dyDescent="0.2">
      <c r="A2228" s="44"/>
      <c r="B2228" s="44"/>
      <c r="C2228" s="35"/>
      <c r="D2228" s="44"/>
      <c r="E2228" s="44"/>
      <c r="F2228" s="44"/>
      <c r="G2228" s="130"/>
      <c r="H2228" s="252">
        <f t="shared" si="71"/>
        <v>0</v>
      </c>
      <c r="I2228" s="252">
        <f t="shared" si="72"/>
        <v>0</v>
      </c>
      <c r="J2228" s="170" t="str">
        <f>IF(A2228="","",SUM($H$7:H2228)-SUM($I$7:I2228))</f>
        <v/>
      </c>
      <c r="K2228" s="34"/>
    </row>
    <row r="2229" spans="1:11" x14ac:dyDescent="0.2">
      <c r="A2229" s="44"/>
      <c r="B2229" s="44"/>
      <c r="C2229" s="35"/>
      <c r="D2229" s="44"/>
      <c r="E2229" s="44"/>
      <c r="F2229" s="44"/>
      <c r="G2229" s="130"/>
      <c r="H2229" s="252">
        <f t="shared" si="71"/>
        <v>0</v>
      </c>
      <c r="I2229" s="252">
        <f t="shared" si="72"/>
        <v>0</v>
      </c>
      <c r="J2229" s="170" t="str">
        <f>IF(A2229="","",SUM($H$7:H2229)-SUM($I$7:I2229))</f>
        <v/>
      </c>
      <c r="K2229" s="34"/>
    </row>
    <row r="2230" spans="1:11" x14ac:dyDescent="0.2">
      <c r="A2230" s="44"/>
      <c r="B2230" s="44"/>
      <c r="C2230" s="35"/>
      <c r="D2230" s="44"/>
      <c r="E2230" s="44"/>
      <c r="F2230" s="44"/>
      <c r="G2230" s="130"/>
      <c r="H2230" s="252">
        <f t="shared" ref="H2230:H2242" si="73">IF($C2230="Replenishment",$G2230,0)</f>
        <v>0</v>
      </c>
      <c r="I2230" s="252">
        <f t="shared" si="72"/>
        <v>0</v>
      </c>
      <c r="J2230" s="170" t="str">
        <f>IF(A2230="","",SUM($H$7:H2230)-SUM($I$7:I2230))</f>
        <v/>
      </c>
      <c r="K2230" s="34"/>
    </row>
    <row r="2231" spans="1:11" x14ac:dyDescent="0.2">
      <c r="A2231" s="44"/>
      <c r="B2231" s="44"/>
      <c r="C2231" s="35"/>
      <c r="D2231" s="44"/>
      <c r="E2231" s="44"/>
      <c r="F2231" s="44"/>
      <c r="G2231" s="130"/>
      <c r="H2231" s="252">
        <f t="shared" si="73"/>
        <v>0</v>
      </c>
      <c r="I2231" s="252">
        <f t="shared" si="72"/>
        <v>0</v>
      </c>
      <c r="J2231" s="170" t="str">
        <f>IF(A2231="","",SUM($H$7:H2231)-SUM($I$7:I2231))</f>
        <v/>
      </c>
      <c r="K2231" s="34"/>
    </row>
    <row r="2232" spans="1:11" x14ac:dyDescent="0.2">
      <c r="A2232" s="44"/>
      <c r="B2232" s="44"/>
      <c r="C2232" s="35"/>
      <c r="D2232" s="44"/>
      <c r="E2232" s="44"/>
      <c r="F2232" s="44"/>
      <c r="G2232" s="130"/>
      <c r="H2232" s="252">
        <f t="shared" si="73"/>
        <v>0</v>
      </c>
      <c r="I2232" s="252">
        <f t="shared" si="72"/>
        <v>0</v>
      </c>
      <c r="J2232" s="170" t="str">
        <f>IF(A2232="","",SUM($H$7:H2232)-SUM($I$7:I2232))</f>
        <v/>
      </c>
      <c r="K2232" s="34"/>
    </row>
    <row r="2233" spans="1:11" x14ac:dyDescent="0.2">
      <c r="A2233" s="44"/>
      <c r="B2233" s="44"/>
      <c r="C2233" s="35"/>
      <c r="D2233" s="44"/>
      <c r="E2233" s="44"/>
      <c r="F2233" s="44"/>
      <c r="G2233" s="130"/>
      <c r="H2233" s="252">
        <f t="shared" si="73"/>
        <v>0</v>
      </c>
      <c r="I2233" s="252">
        <f t="shared" si="72"/>
        <v>0</v>
      </c>
      <c r="J2233" s="170" t="str">
        <f>IF(A2233="","",SUM($H$7:H2233)-SUM($I$7:I2233))</f>
        <v/>
      </c>
      <c r="K2233" s="34"/>
    </row>
    <row r="2234" spans="1:11" x14ac:dyDescent="0.2">
      <c r="A2234" s="44"/>
      <c r="B2234" s="44"/>
      <c r="C2234" s="35"/>
      <c r="D2234" s="44"/>
      <c r="E2234" s="44"/>
      <c r="F2234" s="44"/>
      <c r="G2234" s="130"/>
      <c r="H2234" s="252">
        <f t="shared" si="73"/>
        <v>0</v>
      </c>
      <c r="I2234" s="252">
        <f t="shared" si="72"/>
        <v>0</v>
      </c>
      <c r="J2234" s="170" t="str">
        <f>IF(A2234="","",SUM($H$7:H2234)-SUM($I$7:I2234))</f>
        <v/>
      </c>
      <c r="K2234" s="34"/>
    </row>
    <row r="2235" spans="1:11" x14ac:dyDescent="0.2">
      <c r="A2235" s="44"/>
      <c r="B2235" s="44"/>
      <c r="C2235" s="35"/>
      <c r="D2235" s="44"/>
      <c r="E2235" s="44"/>
      <c r="F2235" s="44"/>
      <c r="G2235" s="130"/>
      <c r="H2235" s="252">
        <f t="shared" si="73"/>
        <v>0</v>
      </c>
      <c r="I2235" s="252">
        <f t="shared" si="72"/>
        <v>0</v>
      </c>
      <c r="J2235" s="170" t="str">
        <f>IF(A2235="","",SUM($H$7:H2235)-SUM($I$7:I2235))</f>
        <v/>
      </c>
      <c r="K2235" s="34"/>
    </row>
    <row r="2236" spans="1:11" x14ac:dyDescent="0.2">
      <c r="A2236" s="44"/>
      <c r="B2236" s="44"/>
      <c r="C2236" s="35"/>
      <c r="D2236" s="44"/>
      <c r="E2236" s="44"/>
      <c r="F2236" s="44"/>
      <c r="G2236" s="130"/>
      <c r="H2236" s="252">
        <f t="shared" si="73"/>
        <v>0</v>
      </c>
      <c r="I2236" s="252">
        <f t="shared" si="72"/>
        <v>0</v>
      </c>
      <c r="J2236" s="170" t="str">
        <f>IF(A2236="","",SUM($H$7:H2236)-SUM($I$7:I2236))</f>
        <v/>
      </c>
      <c r="K2236" s="34"/>
    </row>
    <row r="2237" spans="1:11" x14ac:dyDescent="0.2">
      <c r="A2237" s="44"/>
      <c r="B2237" s="44"/>
      <c r="C2237" s="35"/>
      <c r="D2237" s="44"/>
      <c r="E2237" s="44"/>
      <c r="F2237" s="44"/>
      <c r="G2237" s="130"/>
      <c r="H2237" s="252">
        <f t="shared" si="73"/>
        <v>0</v>
      </c>
      <c r="I2237" s="252">
        <f t="shared" si="72"/>
        <v>0</v>
      </c>
      <c r="J2237" s="170" t="str">
        <f>IF(A2237="","",SUM($H$7:H2237)-SUM($I$7:I2237))</f>
        <v/>
      </c>
      <c r="K2237" s="34"/>
    </row>
    <row r="2238" spans="1:11" x14ac:dyDescent="0.2">
      <c r="A2238" s="44"/>
      <c r="B2238" s="44"/>
      <c r="C2238" s="35"/>
      <c r="D2238" s="44"/>
      <c r="E2238" s="44"/>
      <c r="F2238" s="44"/>
      <c r="G2238" s="130"/>
      <c r="H2238" s="252">
        <f t="shared" si="73"/>
        <v>0</v>
      </c>
      <c r="I2238" s="252">
        <f t="shared" si="72"/>
        <v>0</v>
      </c>
      <c r="J2238" s="170" t="str">
        <f>IF(A2238="","",SUM($H$7:H2238)-SUM($I$7:I2238))</f>
        <v/>
      </c>
      <c r="K2238" s="34"/>
    </row>
    <row r="2239" spans="1:11" x14ac:dyDescent="0.2">
      <c r="A2239" s="44"/>
      <c r="B2239" s="44"/>
      <c r="C2239" s="35"/>
      <c r="D2239" s="44"/>
      <c r="E2239" s="44"/>
      <c r="F2239" s="44"/>
      <c r="G2239" s="130"/>
      <c r="H2239" s="252">
        <f t="shared" si="73"/>
        <v>0</v>
      </c>
      <c r="I2239" s="252">
        <f t="shared" si="72"/>
        <v>0</v>
      </c>
      <c r="J2239" s="170" t="str">
        <f>IF(A2239="","",SUM($H$7:H2239)-SUM($I$7:I2239))</f>
        <v/>
      </c>
      <c r="K2239" s="34"/>
    </row>
    <row r="2240" spans="1:11" x14ac:dyDescent="0.2">
      <c r="A2240" s="44"/>
      <c r="B2240" s="44"/>
      <c r="C2240" s="35"/>
      <c r="D2240" s="44"/>
      <c r="E2240" s="44"/>
      <c r="F2240" s="44"/>
      <c r="G2240" s="130"/>
      <c r="H2240" s="252">
        <f t="shared" si="73"/>
        <v>0</v>
      </c>
      <c r="I2240" s="252">
        <f t="shared" si="72"/>
        <v>0</v>
      </c>
      <c r="J2240" s="170" t="str">
        <f>IF(A2240="","",SUM($H$7:H2240)-SUM($I$7:I2240))</f>
        <v/>
      </c>
      <c r="K2240" s="34"/>
    </row>
    <row r="2241" spans="1:11" x14ac:dyDescent="0.2">
      <c r="A2241" s="44"/>
      <c r="B2241" s="44"/>
      <c r="C2241" s="35"/>
      <c r="D2241" s="44"/>
      <c r="E2241" s="44"/>
      <c r="F2241" s="44"/>
      <c r="G2241" s="130"/>
      <c r="H2241" s="252">
        <f t="shared" si="73"/>
        <v>0</v>
      </c>
      <c r="I2241" s="252">
        <f t="shared" si="72"/>
        <v>0</v>
      </c>
      <c r="J2241" s="170" t="str">
        <f>IF(A2241="","",SUM($H$7:H2241)-SUM($I$7:I2241))</f>
        <v/>
      </c>
      <c r="K2241" s="34"/>
    </row>
    <row r="2242" spans="1:11" x14ac:dyDescent="0.2">
      <c r="A2242" s="44"/>
      <c r="B2242" s="44"/>
      <c r="C2242" s="35"/>
      <c r="D2242" s="44"/>
      <c r="E2242" s="44"/>
      <c r="F2242" s="44"/>
      <c r="G2242" s="130"/>
      <c r="H2242" s="252">
        <f t="shared" si="73"/>
        <v>0</v>
      </c>
      <c r="I2242" s="252">
        <f t="shared" si="72"/>
        <v>0</v>
      </c>
      <c r="J2242" s="170" t="str">
        <f>IF(A2242="","",SUM($H$7:H2242)-SUM($I$7:I2242))</f>
        <v/>
      </c>
      <c r="K2242" s="34"/>
    </row>
    <row r="2243" spans="1:11" x14ac:dyDescent="0.2">
      <c r="A2243" s="44"/>
      <c r="B2243" s="44"/>
      <c r="C2243" s="35"/>
      <c r="D2243" s="44"/>
      <c r="E2243" s="44"/>
      <c r="F2243" s="44"/>
      <c r="G2243" s="130"/>
      <c r="H2243" s="252"/>
      <c r="I2243" s="252"/>
      <c r="J2243" s="170"/>
      <c r="K2243" s="34"/>
    </row>
  </sheetData>
  <sheetProtection algorithmName="SHA-512" hashValue="CWoum5huwJqiRxER+IMaB5XlJyl8FbJzbxMU7UH2z6nZi/8Lh5h1UG6gMUz5+HjqVwN5jfuTZ9V1KVpu0u17YQ==" saltValue="WPkucFJ5azguXBxDSqrRkQ==" spinCount="100000" sheet="1" objects="1" scenarios="1"/>
  <autoFilter ref="A6:L2242" xr:uid="{00000000-0009-0000-0000-00000C000000}"/>
  <conditionalFormatting sqref="F3">
    <cfRule type="duplicateValues" dxfId="11" priority="2"/>
  </conditionalFormatting>
  <conditionalFormatting sqref="J4">
    <cfRule type="cellIs" dxfId="10" priority="1" operator="lessThan">
      <formula>0</formula>
    </cfRule>
  </conditionalFormatting>
  <dataValidations count="4">
    <dataValidation allowBlank="1" showInputMessage="1" showErrorMessage="1" error="Invalid Date,_x000a_Use date format dd/mm/yy_x000a_                       or mm/dd/yyy" sqref="D562:E564 D7:G561 D565:G2243" xr:uid="{00000000-0002-0000-0C00-000000000000}"/>
    <dataValidation type="date" allowBlank="1" showInputMessage="1" showErrorMessage="1" error="Invalid Date,_x000a_Use date format dd/mm/yy_x000a_                       or mm/dd/yyy" sqref="A7:A2243" xr:uid="{00000000-0002-0000-0C00-000001000000}">
      <formula1>1</formula1>
      <formula2>TODAY()</formula2>
    </dataValidation>
    <dataValidation type="list" allowBlank="1" showInputMessage="1" showErrorMessage="1" error="Invalid Date,_x000a_Use date format dd/mm/yy_x000a_                       or mm/dd/yyy" prompt="Kindly pick form the list" sqref="C7:C2243" xr:uid="{00000000-0002-0000-0C00-000002000000}">
      <formula1>"Replenishment,Expense,Fixed Asset,Back to Vault"</formula1>
    </dataValidation>
    <dataValidation type="list" allowBlank="1" showInputMessage="1" showErrorMessage="1" sqref="B7:B2243" xr:uid="{00000000-0002-0000-0C00-000003000000}">
      <formula1>"Cash,Bank"</formula1>
    </dataValidation>
  </dataValidations>
  <hyperlinks>
    <hyperlink ref="F3" location="Menu!A1" display="Back to Menu" xr:uid="{00000000-0004-0000-0C00-000000000000}"/>
  </hyperlinks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41"/>
  <sheetViews>
    <sheetView showGridLines="0" workbookViewId="0">
      <selection activeCell="H21" sqref="H21"/>
    </sheetView>
  </sheetViews>
  <sheetFormatPr defaultRowHeight="12.75" x14ac:dyDescent="0.2"/>
  <cols>
    <col min="1" max="1" width="3.140625" style="38" customWidth="1"/>
    <col min="2" max="2" width="21.140625" style="38" bestFit="1" customWidth="1"/>
    <col min="3" max="3" width="14.140625" style="38" customWidth="1"/>
    <col min="4" max="4" width="15.140625" style="38" bestFit="1" customWidth="1"/>
    <col min="5" max="16384" width="9.140625" style="38"/>
  </cols>
  <sheetData>
    <row r="2" spans="2:6" x14ac:dyDescent="0.2">
      <c r="B2" s="290" t="s">
        <v>1312</v>
      </c>
      <c r="C2" s="288"/>
      <c r="D2" s="289"/>
    </row>
    <row r="3" spans="2:6" x14ac:dyDescent="0.2">
      <c r="B3" s="322" t="s">
        <v>1313</v>
      </c>
      <c r="C3" s="323" t="s">
        <v>1314</v>
      </c>
      <c r="D3" s="323" t="s">
        <v>1984</v>
      </c>
      <c r="E3" s="323" t="s">
        <v>1319</v>
      </c>
      <c r="F3" s="323" t="s">
        <v>1364</v>
      </c>
    </row>
    <row r="4" spans="2:6" x14ac:dyDescent="0.2">
      <c r="B4" s="300">
        <v>44317</v>
      </c>
      <c r="C4" s="378">
        <v>44382</v>
      </c>
      <c r="D4" s="261" t="s">
        <v>1985</v>
      </c>
      <c r="E4" s="276">
        <v>0</v>
      </c>
      <c r="F4" s="650">
        <v>1</v>
      </c>
    </row>
    <row r="5" spans="2:6" x14ac:dyDescent="0.2">
      <c r="B5" s="300">
        <f>$C$4+1</f>
        <v>44383</v>
      </c>
      <c r="C5" s="378">
        <v>44413</v>
      </c>
      <c r="D5" s="261" t="s">
        <v>1985</v>
      </c>
      <c r="E5" s="276">
        <v>0.01</v>
      </c>
      <c r="F5" s="651"/>
    </row>
    <row r="6" spans="2:6" x14ac:dyDescent="0.2">
      <c r="B6" s="379"/>
      <c r="C6" s="380"/>
      <c r="D6" s="381"/>
      <c r="E6" s="382"/>
    </row>
    <row r="7" spans="2:6" x14ac:dyDescent="0.2">
      <c r="B7" s="300">
        <f>C5+1</f>
        <v>44414</v>
      </c>
      <c r="C7" s="378">
        <v>44561</v>
      </c>
      <c r="D7" s="260">
        <v>100000</v>
      </c>
      <c r="E7" s="276">
        <v>0.01</v>
      </c>
      <c r="F7" s="650">
        <v>2</v>
      </c>
    </row>
    <row r="8" spans="2:6" x14ac:dyDescent="0.2">
      <c r="B8" s="383"/>
      <c r="C8" s="384"/>
      <c r="D8" s="270">
        <v>1000001</v>
      </c>
      <c r="E8" s="385">
        <v>0.02</v>
      </c>
      <c r="F8" s="651"/>
    </row>
    <row r="9" spans="2:6" x14ac:dyDescent="0.2">
      <c r="B9" s="300">
        <f>C7+1</f>
        <v>44562</v>
      </c>
      <c r="C9" s="378"/>
      <c r="D9" s="261" t="s">
        <v>1985</v>
      </c>
      <c r="E9" s="276">
        <v>0.02</v>
      </c>
      <c r="F9" s="650">
        <v>3</v>
      </c>
    </row>
    <row r="10" spans="2:6" x14ac:dyDescent="0.2">
      <c r="B10" s="383"/>
      <c r="C10" s="384"/>
      <c r="D10" s="270"/>
      <c r="E10" s="385"/>
      <c r="F10" s="651"/>
    </row>
    <row r="11" spans="2:6" x14ac:dyDescent="0.2">
      <c r="B11" s="287"/>
      <c r="C11" s="287"/>
    </row>
    <row r="12" spans="2:6" x14ac:dyDescent="0.2">
      <c r="B12" s="287"/>
      <c r="C12" s="287"/>
    </row>
    <row r="13" spans="2:6" x14ac:dyDescent="0.2">
      <c r="B13" s="287"/>
      <c r="C13" s="287"/>
    </row>
    <row r="14" spans="2:6" x14ac:dyDescent="0.2">
      <c r="B14" s="287"/>
      <c r="C14" s="287"/>
    </row>
    <row r="15" spans="2:6" x14ac:dyDescent="0.2">
      <c r="B15" s="287"/>
      <c r="C15" s="287"/>
    </row>
    <row r="16" spans="2:6" x14ac:dyDescent="0.2">
      <c r="B16" s="287"/>
      <c r="C16" s="287"/>
    </row>
    <row r="17" spans="2:4" x14ac:dyDescent="0.2">
      <c r="B17" s="301" t="s">
        <v>1339</v>
      </c>
      <c r="C17" s="302">
        <v>44326</v>
      </c>
      <c r="D17" s="303">
        <v>0.1</v>
      </c>
    </row>
    <row r="18" spans="2:4" x14ac:dyDescent="0.2">
      <c r="B18" s="287"/>
      <c r="C18" s="49"/>
    </row>
    <row r="20" spans="2:4" x14ac:dyDescent="0.2">
      <c r="B20" s="305" t="s">
        <v>994</v>
      </c>
      <c r="C20" s="306"/>
      <c r="D20" s="307"/>
    </row>
    <row r="21" spans="2:4" x14ac:dyDescent="0.2">
      <c r="B21" s="308">
        <v>44317</v>
      </c>
      <c r="C21" s="302">
        <f ca="1">TODAY()</f>
        <v>45187</v>
      </c>
      <c r="D21" s="309">
        <v>5000</v>
      </c>
    </row>
    <row r="24" spans="2:4" x14ac:dyDescent="0.2">
      <c r="B24" s="290" t="s">
        <v>993</v>
      </c>
      <c r="C24" s="288"/>
      <c r="D24" s="289"/>
    </row>
    <row r="25" spans="2:4" x14ac:dyDescent="0.2">
      <c r="B25" s="300">
        <v>44317</v>
      </c>
      <c r="C25" s="317">
        <v>44408</v>
      </c>
      <c r="D25" s="259">
        <v>10000</v>
      </c>
    </row>
    <row r="26" spans="2:4" x14ac:dyDescent="0.2">
      <c r="B26" s="310"/>
      <c r="C26" s="261"/>
      <c r="D26" s="311"/>
    </row>
    <row r="27" spans="2:4" x14ac:dyDescent="0.2">
      <c r="B27" s="315">
        <f>C25+1</f>
        <v>44409</v>
      </c>
      <c r="C27" s="318">
        <f ca="1">TODAY()</f>
        <v>45187</v>
      </c>
      <c r="D27" s="316"/>
    </row>
    <row r="28" spans="2:4" x14ac:dyDescent="0.2">
      <c r="B28" s="319" t="s">
        <v>1317</v>
      </c>
      <c r="C28" s="320" t="s">
        <v>1318</v>
      </c>
      <c r="D28" s="321"/>
    </row>
    <row r="29" spans="2:4" x14ac:dyDescent="0.2">
      <c r="B29" s="312">
        <v>100000</v>
      </c>
      <c r="C29" s="260">
        <v>500000</v>
      </c>
      <c r="D29" s="259">
        <v>15000</v>
      </c>
    </row>
    <row r="30" spans="2:4" x14ac:dyDescent="0.2">
      <c r="B30" s="312">
        <f>C29+1</f>
        <v>500001</v>
      </c>
      <c r="C30" s="260">
        <v>1000000</v>
      </c>
      <c r="D30" s="259">
        <f>D29+5000</f>
        <v>20000</v>
      </c>
    </row>
    <row r="31" spans="2:4" x14ac:dyDescent="0.2">
      <c r="B31" s="312">
        <f>C30+1</f>
        <v>1000001</v>
      </c>
      <c r="C31" s="260">
        <v>2000000</v>
      </c>
      <c r="D31" s="259">
        <f>D30+5000</f>
        <v>25000</v>
      </c>
    </row>
    <row r="32" spans="2:4" x14ac:dyDescent="0.2">
      <c r="B32" s="313">
        <f>C31+1</f>
        <v>2000001</v>
      </c>
      <c r="C32" s="270">
        <v>100000000</v>
      </c>
      <c r="D32" s="270">
        <f>D31+5000</f>
        <v>30000</v>
      </c>
    </row>
    <row r="33" spans="2:4" x14ac:dyDescent="0.2">
      <c r="B33" s="313"/>
      <c r="C33" s="202"/>
      <c r="D33" s="314"/>
    </row>
    <row r="34" spans="2:4" x14ac:dyDescent="0.2">
      <c r="B34" s="49"/>
      <c r="C34" s="49"/>
      <c r="D34" s="49"/>
    </row>
    <row r="35" spans="2:4" x14ac:dyDescent="0.2">
      <c r="B35" s="389" t="s">
        <v>1999</v>
      </c>
      <c r="C35" s="390"/>
      <c r="D35" s="391"/>
    </row>
    <row r="36" spans="2:4" x14ac:dyDescent="0.2">
      <c r="B36" s="392" t="s">
        <v>1976</v>
      </c>
      <c r="C36" s="393"/>
      <c r="D36" s="394"/>
    </row>
    <row r="37" spans="2:4" x14ac:dyDescent="0.2">
      <c r="B37" s="387" t="s">
        <v>2000</v>
      </c>
      <c r="C37" s="288"/>
      <c r="D37" s="388">
        <v>44562</v>
      </c>
    </row>
    <row r="38" spans="2:4" x14ac:dyDescent="0.2">
      <c r="B38" s="395" t="s">
        <v>857</v>
      </c>
      <c r="C38" s="386"/>
      <c r="D38" s="314">
        <v>10000</v>
      </c>
    </row>
    <row r="39" spans="2:4" x14ac:dyDescent="0.2">
      <c r="B39" s="396" t="s">
        <v>2001</v>
      </c>
      <c r="C39" s="302"/>
      <c r="D39" s="397">
        <v>2.5000000000000001E-2</v>
      </c>
    </row>
    <row r="40" spans="2:4" x14ac:dyDescent="0.2">
      <c r="B40" s="396" t="s">
        <v>856</v>
      </c>
      <c r="C40" s="302"/>
      <c r="D40" s="397">
        <v>0.01</v>
      </c>
    </row>
    <row r="41" spans="2:4" x14ac:dyDescent="0.2">
      <c r="B41" s="396" t="s">
        <v>855</v>
      </c>
      <c r="C41" s="302"/>
      <c r="D41" s="397">
        <v>0</v>
      </c>
    </row>
  </sheetData>
  <mergeCells count="3">
    <mergeCell ref="F4:F5"/>
    <mergeCell ref="F7:F8"/>
    <mergeCell ref="F9:F10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CC"/>
  </sheetPr>
  <dimension ref="A1:O343"/>
  <sheetViews>
    <sheetView showGridLines="0" workbookViewId="0">
      <pane xSplit="1" ySplit="4" topLeftCell="B186" activePane="bottomRight" state="frozen"/>
      <selection activeCell="D1" sqref="D1:D1048576"/>
      <selection pane="topRight" activeCell="D1" sqref="D1:D1048576"/>
      <selection pane="bottomLeft" activeCell="D1" sqref="D1:D1048576"/>
      <selection pane="bottomRight" activeCell="E201" sqref="E201"/>
    </sheetView>
  </sheetViews>
  <sheetFormatPr defaultRowHeight="12.75" x14ac:dyDescent="0.2"/>
  <cols>
    <col min="1" max="1" width="31.28515625" style="38" bestFit="1" customWidth="1"/>
    <col min="2" max="2" width="11.5703125" style="38" bestFit="1" customWidth="1"/>
    <col min="3" max="3" width="11.5703125" style="38" customWidth="1"/>
    <col min="4" max="4" width="13.140625" style="49" bestFit="1" customWidth="1"/>
    <col min="5" max="5" width="14.28515625" style="49" bestFit="1" customWidth="1"/>
    <col min="6" max="6" width="14.42578125" style="49" customWidth="1"/>
    <col min="7" max="7" width="14.28515625" style="49" bestFit="1" customWidth="1"/>
    <col min="8" max="8" width="9" style="49" customWidth="1"/>
    <col min="9" max="9" width="7.140625" style="49" customWidth="1"/>
    <col min="10" max="11" width="14.5703125" style="49" bestFit="1" customWidth="1"/>
    <col min="12" max="13" width="15.7109375" style="49" customWidth="1"/>
    <col min="14" max="14" width="16.140625" style="49" bestFit="1" customWidth="1"/>
    <col min="15" max="15" width="15.28515625" style="49" bestFit="1" customWidth="1"/>
    <col min="16" max="16384" width="9.140625" style="38"/>
  </cols>
  <sheetData>
    <row r="1" spans="1:15" x14ac:dyDescent="0.2">
      <c r="H1" s="49" t="s">
        <v>1448</v>
      </c>
      <c r="I1" s="49">
        <f ca="1">COUNTIF(I5:I756,"&gt;1")</f>
        <v>28</v>
      </c>
      <c r="J1" s="49">
        <f t="shared" ref="J1:O1" ca="1" si="0">COUNTIF(J5:J756,"&gt;0")</f>
        <v>0</v>
      </c>
      <c r="K1" s="49">
        <f t="shared" ca="1" si="0"/>
        <v>99</v>
      </c>
      <c r="L1" s="49">
        <f t="shared" ca="1" si="0"/>
        <v>47</v>
      </c>
      <c r="M1" s="49">
        <f t="shared" ca="1" si="0"/>
        <v>30</v>
      </c>
      <c r="N1" s="49">
        <f t="shared" ca="1" si="0"/>
        <v>58</v>
      </c>
      <c r="O1" s="49">
        <f t="shared" ca="1" si="0"/>
        <v>0</v>
      </c>
    </row>
    <row r="2" spans="1:15" ht="13.5" thickBot="1" x14ac:dyDescent="0.25">
      <c r="B2" s="366" t="s">
        <v>1446</v>
      </c>
      <c r="C2" s="366"/>
      <c r="D2" s="367">
        <f>SUBTOTAL(9,D5:D603)</f>
        <v>28779982.539682537</v>
      </c>
      <c r="E2" s="367">
        <f>SUBTOTAL(9,E5:E603)</f>
        <v>129060017.46031746</v>
      </c>
      <c r="F2" s="367">
        <f>SUBTOTAL(9,F5:F603)</f>
        <v>157840000</v>
      </c>
      <c r="G2" s="367">
        <f t="shared" ref="G2:O2" ca="1" si="1">SUBTOTAL(9,G5:G603)</f>
        <v>157840000</v>
      </c>
      <c r="H2" s="367"/>
      <c r="I2" s="367"/>
      <c r="J2" s="368">
        <f ca="1">SUBTOTAL(9,J5:J603)</f>
        <v>0</v>
      </c>
      <c r="K2" s="368">
        <f t="shared" ca="1" si="1"/>
        <v>21521300</v>
      </c>
      <c r="L2" s="368">
        <f t="shared" ca="1" si="1"/>
        <v>26996000</v>
      </c>
      <c r="M2" s="368">
        <f t="shared" ca="1" si="1"/>
        <v>27565500</v>
      </c>
      <c r="N2" s="368">
        <f t="shared" ca="1" si="1"/>
        <v>81757200</v>
      </c>
      <c r="O2" s="368">
        <f t="shared" ca="1" si="1"/>
        <v>0</v>
      </c>
    </row>
    <row r="3" spans="1:15" ht="6" customHeight="1" thickTop="1" x14ac:dyDescent="0.2"/>
    <row r="4" spans="1:15" ht="25.5" x14ac:dyDescent="0.2">
      <c r="A4" s="361" t="s">
        <v>860</v>
      </c>
      <c r="B4" s="479" t="s">
        <v>1445</v>
      </c>
      <c r="C4" s="362" t="s">
        <v>1262</v>
      </c>
      <c r="D4" s="362" t="s">
        <v>1353</v>
      </c>
      <c r="E4" s="362" t="s">
        <v>1354</v>
      </c>
      <c r="F4" s="362" t="s">
        <v>1355</v>
      </c>
      <c r="G4" s="363" t="s">
        <v>1360</v>
      </c>
      <c r="H4" s="362" t="s">
        <v>1362</v>
      </c>
      <c r="I4" s="362" t="s">
        <v>1449</v>
      </c>
      <c r="J4" s="362" t="s">
        <v>1447</v>
      </c>
      <c r="K4" s="362" t="s">
        <v>1365</v>
      </c>
      <c r="L4" s="362" t="s">
        <v>1366</v>
      </c>
      <c r="M4" s="362" t="s">
        <v>1367</v>
      </c>
      <c r="N4" s="362" t="s">
        <v>1368</v>
      </c>
      <c r="O4" s="362" t="s">
        <v>1369</v>
      </c>
    </row>
    <row r="5" spans="1:15" x14ac:dyDescent="0.2">
      <c r="A5" s="179" t="str">
        <f>IFERROR(VLOOKUP($B5,'Clients-Live'!$A:$C,3,30),"")</f>
        <v>TABAN NICHOLAS</v>
      </c>
      <c r="B5" s="480">
        <v>1</v>
      </c>
      <c r="C5" s="370" t="str">
        <f>IFERROR(INDEX(Disbursements!$J:$J,MATCH(Ageing!B5,Disbursements!$B:$B,0)),"No Loan")</f>
        <v>Kana</v>
      </c>
      <c r="D5" s="364">
        <f>SUMIF(Disbursements!$B:$B,Ageing!$B5,Disbursements!AN:AN)</f>
        <v>951000</v>
      </c>
      <c r="E5" s="364">
        <f>SUMIF(Disbursements!$B:$B,Ageing!$B5,Disbursements!AO:AO)</f>
        <v>7100000</v>
      </c>
      <c r="F5" s="365">
        <f>SUM(D5:E5)</f>
        <v>8051000</v>
      </c>
      <c r="G5" s="364">
        <f ca="1">SUMIF(Disbursements!$B:$B,Ageing!$B5,Disbursements!AQ:AQ)</f>
        <v>8051000</v>
      </c>
      <c r="H5" s="364">
        <f ca="1">SUMIF(Disbursements!$B:$B,Ageing!$B5,Disbursements!AS:AS)</f>
        <v>270</v>
      </c>
      <c r="I5" s="364">
        <f ca="1">COUNTIF(J5:O5,"&gt;0")</f>
        <v>2</v>
      </c>
      <c r="J5" s="369">
        <f ca="1">SUMIFS(Disbursements!$AP:$AP,Disbursements!$B:$B,Ageing!$B5,Disbursements!$AT:$AT,Ageing!J$4)</f>
        <v>0</v>
      </c>
      <c r="K5" s="369">
        <f ca="1">SUMIFS(Disbursements!$AP:$AP,Disbursements!$B:$B,Ageing!$B5,Disbursements!$AT:$AT,Ageing!K$4)</f>
        <v>0</v>
      </c>
      <c r="L5" s="369">
        <f ca="1">SUMIFS(Disbursements!$AP:$AP,Disbursements!$B:$B,Ageing!$B5,Disbursements!$AT:$AT,Ageing!L$4)</f>
        <v>5776000</v>
      </c>
      <c r="M5" s="369">
        <f ca="1">SUMIFS(Disbursements!$AP:$AP,Disbursements!$B:$B,Ageing!$B5,Disbursements!$AT:$AT,Ageing!M$4)</f>
        <v>0</v>
      </c>
      <c r="N5" s="369">
        <f ca="1">SUMIFS(Disbursements!$AP:$AP,Disbursements!$B:$B,Ageing!$B5,Disbursements!$AT:$AT,Ageing!N$4)</f>
        <v>2275000</v>
      </c>
      <c r="O5" s="369">
        <f ca="1">SUMIFS(Disbursements!$AP:$AP,Disbursements!$B:$B,Ageing!$B5,Disbursements!$AT:$AT,Ageing!O$4)</f>
        <v>0</v>
      </c>
    </row>
    <row r="6" spans="1:15" x14ac:dyDescent="0.2">
      <c r="A6" s="179" t="str">
        <f>IFERROR(VLOOKUP($B6,'Clients-Live'!$A:$C,3,30),"")</f>
        <v>LEYA ROSE</v>
      </c>
      <c r="B6" s="480">
        <v>2</v>
      </c>
      <c r="C6" s="370" t="str">
        <f>IFERROR(INDEX(Disbursements!$J:$J,MATCH(Ageing!B6,Disbursements!$B:$B,0)),"No Loan")</f>
        <v>Aroma</v>
      </c>
      <c r="D6" s="364">
        <f>SUMIF(Disbursements!$B:$B,Ageing!$B6,Disbursements!AN:AN)</f>
        <v>0</v>
      </c>
      <c r="E6" s="364">
        <f>SUMIF(Disbursements!$B:$B,Ageing!$B6,Disbursements!AO:AO)</f>
        <v>30500</v>
      </c>
      <c r="F6" s="365">
        <f>SUM(D6:E6)</f>
        <v>30500</v>
      </c>
      <c r="G6" s="364">
        <f ca="1">SUMIF(Disbursements!$B:$B,Ageing!$B6,Disbursements!AQ:AQ)</f>
        <v>30500</v>
      </c>
      <c r="H6" s="364">
        <f ca="1">SUMIF(Disbursements!$B:$B,Ageing!$B6,Disbursements!AS:AS)</f>
        <v>3</v>
      </c>
      <c r="I6" s="364">
        <f ca="1">COUNTIF(J6:O6,"&gt;0")</f>
        <v>1</v>
      </c>
      <c r="J6" s="369">
        <f ca="1">SUMIFS(Disbursements!$AP:$AP,Disbursements!$B:$B,Ageing!$B6,Disbursements!$AT:$AT,Ageing!J$4)</f>
        <v>0</v>
      </c>
      <c r="K6" s="369">
        <f ca="1">SUMIFS(Disbursements!$AP:$AP,Disbursements!$B:$B,Ageing!$B6,Disbursements!$AT:$AT,Ageing!K$4)</f>
        <v>30500</v>
      </c>
      <c r="L6" s="369">
        <f ca="1">SUMIFS(Disbursements!$AP:$AP,Disbursements!$B:$B,Ageing!$B6,Disbursements!$AT:$AT,Ageing!L$4)</f>
        <v>0</v>
      </c>
      <c r="M6" s="369">
        <f ca="1">SUMIFS(Disbursements!$AP:$AP,Disbursements!$B:$B,Ageing!$B6,Disbursements!$AT:$AT,Ageing!M$4)</f>
        <v>0</v>
      </c>
      <c r="N6" s="369">
        <f ca="1">SUMIFS(Disbursements!$AP:$AP,Disbursements!$B:$B,Ageing!$B6,Disbursements!$AT:$AT,Ageing!N$4)</f>
        <v>0</v>
      </c>
      <c r="O6" s="369">
        <f ca="1">SUMIFS(Disbursements!$AP:$AP,Disbursements!$B:$B,Ageing!$B6,Disbursements!$AT:$AT,Ageing!O$4)</f>
        <v>0</v>
      </c>
    </row>
    <row r="7" spans="1:15" x14ac:dyDescent="0.2">
      <c r="A7" s="179" t="str">
        <f>IFERROR(VLOOKUP($B7,'Clients-Live'!$A:$C,3,30),"")</f>
        <v>YEKA ARIJABU</v>
      </c>
      <c r="B7" s="480">
        <v>3</v>
      </c>
      <c r="C7" s="370" t="str">
        <f>IFERROR(INDEX(Disbursements!$J:$J,MATCH(Ageing!B7,Disbursements!$B:$B,0)),"No Loan")</f>
        <v>Kana</v>
      </c>
      <c r="D7" s="364">
        <f>SUMIF(Disbursements!$B:$B,Ageing!$B7,Disbursements!AN:AN)</f>
        <v>391999.99999999994</v>
      </c>
      <c r="E7" s="364">
        <f>SUMIF(Disbursements!$B:$B,Ageing!$B7,Disbursements!AO:AO)</f>
        <v>1237000</v>
      </c>
      <c r="F7" s="365">
        <f t="shared" ref="F7:F70" si="2">SUM(D7:E7)</f>
        <v>1629000</v>
      </c>
      <c r="G7" s="364">
        <f ca="1">SUMIF(Disbursements!$B:$B,Ageing!$B7,Disbursements!AQ:AQ)</f>
        <v>1629000</v>
      </c>
      <c r="H7" s="364">
        <f ca="1">SUMIF(Disbursements!$B:$B,Ageing!$B7,Disbursements!AS:AS)</f>
        <v>99</v>
      </c>
      <c r="I7" s="364">
        <f t="shared" ref="I7:I70" ca="1" si="3">COUNTIF(J7:O7,"&gt;0")</f>
        <v>1</v>
      </c>
      <c r="J7" s="369">
        <f ca="1">SUMIFS(Disbursements!$AP:$AP,Disbursements!$B:$B,Ageing!$B7,Disbursements!$AT:$AT,Ageing!J$4)</f>
        <v>0</v>
      </c>
      <c r="K7" s="369">
        <f ca="1">SUMIFS(Disbursements!$AP:$AP,Disbursements!$B:$B,Ageing!$B7,Disbursements!$AT:$AT,Ageing!K$4)</f>
        <v>0</v>
      </c>
      <c r="L7" s="369">
        <f ca="1">SUMIFS(Disbursements!$AP:$AP,Disbursements!$B:$B,Ageing!$B7,Disbursements!$AT:$AT,Ageing!L$4)</f>
        <v>0</v>
      </c>
      <c r="M7" s="369">
        <f ca="1">SUMIFS(Disbursements!$AP:$AP,Disbursements!$B:$B,Ageing!$B7,Disbursements!$AT:$AT,Ageing!M$4)</f>
        <v>0</v>
      </c>
      <c r="N7" s="369">
        <f ca="1">SUMIFS(Disbursements!$AP:$AP,Disbursements!$B:$B,Ageing!$B7,Disbursements!$AT:$AT,Ageing!N$4)</f>
        <v>1629000</v>
      </c>
      <c r="O7" s="369">
        <f ca="1">SUMIFS(Disbursements!$AP:$AP,Disbursements!$B:$B,Ageing!$B7,Disbursements!$AT:$AT,Ageing!O$4)</f>
        <v>0</v>
      </c>
    </row>
    <row r="8" spans="1:15" x14ac:dyDescent="0.2">
      <c r="A8" s="179" t="str">
        <f>IFERROR(VLOOKUP($B8,'Clients-Live'!$A:$C,3,30),"")</f>
        <v>EDERU EMMILLY</v>
      </c>
      <c r="B8" s="480">
        <v>4</v>
      </c>
      <c r="C8" s="370" t="str">
        <f>IFERROR(INDEX(Disbursements!$J:$J,MATCH(Ageing!B8,Disbursements!$B:$B,0)),"No Loan")</f>
        <v>No Loan</v>
      </c>
      <c r="D8" s="364">
        <f>SUMIF(Disbursements!$B:$B,Ageing!$B8,Disbursements!AN:AN)</f>
        <v>0</v>
      </c>
      <c r="E8" s="364">
        <f>SUMIF(Disbursements!$B:$B,Ageing!$B8,Disbursements!AO:AO)</f>
        <v>0</v>
      </c>
      <c r="F8" s="365">
        <f t="shared" si="2"/>
        <v>0</v>
      </c>
      <c r="G8" s="364">
        <f>SUMIF(Disbursements!$B:$B,Ageing!$B8,Disbursements!AQ:AQ)</f>
        <v>0</v>
      </c>
      <c r="H8" s="364">
        <f>SUMIF(Disbursements!$B:$B,Ageing!$B8,Disbursements!AS:AS)</f>
        <v>0</v>
      </c>
      <c r="I8" s="364">
        <f t="shared" si="3"/>
        <v>0</v>
      </c>
      <c r="J8" s="369">
        <f>SUMIFS(Disbursements!$AP:$AP,Disbursements!$B:$B,Ageing!$B8,Disbursements!$AT:$AT,Ageing!J$4)</f>
        <v>0</v>
      </c>
      <c r="K8" s="369">
        <f>SUMIFS(Disbursements!$AP:$AP,Disbursements!$B:$B,Ageing!$B8,Disbursements!$AT:$AT,Ageing!K$4)</f>
        <v>0</v>
      </c>
      <c r="L8" s="369">
        <f>SUMIFS(Disbursements!$AP:$AP,Disbursements!$B:$B,Ageing!$B8,Disbursements!$AT:$AT,Ageing!L$4)</f>
        <v>0</v>
      </c>
      <c r="M8" s="369">
        <f>SUMIFS(Disbursements!$AP:$AP,Disbursements!$B:$B,Ageing!$B8,Disbursements!$AT:$AT,Ageing!M$4)</f>
        <v>0</v>
      </c>
      <c r="N8" s="369">
        <f>SUMIFS(Disbursements!$AP:$AP,Disbursements!$B:$B,Ageing!$B8,Disbursements!$AT:$AT,Ageing!N$4)</f>
        <v>0</v>
      </c>
      <c r="O8" s="369">
        <f>SUMIFS(Disbursements!$AP:$AP,Disbursements!$B:$B,Ageing!$B8,Disbursements!$AT:$AT,Ageing!O$4)</f>
        <v>0</v>
      </c>
    </row>
    <row r="9" spans="1:15" x14ac:dyDescent="0.2">
      <c r="A9" s="179" t="str">
        <f>IFERROR(VLOOKUP($B9,'Clients-Live'!$A:$C,3,30),"")</f>
        <v>AYIKI MAWA</v>
      </c>
      <c r="B9" s="480">
        <v>5</v>
      </c>
      <c r="C9" s="370" t="str">
        <f>IFERROR(INDEX(Disbursements!$J:$J,MATCH(Ageing!B9,Disbursements!$B:$B,0)),"No Loan")</f>
        <v>No Loan</v>
      </c>
      <c r="D9" s="364">
        <f>SUMIF(Disbursements!$B:$B,Ageing!$B9,Disbursements!AN:AN)</f>
        <v>0</v>
      </c>
      <c r="E9" s="364">
        <f>SUMIF(Disbursements!$B:$B,Ageing!$B9,Disbursements!AO:AO)</f>
        <v>0</v>
      </c>
      <c r="F9" s="365">
        <f t="shared" si="2"/>
        <v>0</v>
      </c>
      <c r="G9" s="364">
        <f>SUMIF(Disbursements!$B:$B,Ageing!$B9,Disbursements!AQ:AQ)</f>
        <v>0</v>
      </c>
      <c r="H9" s="364">
        <f>SUMIF(Disbursements!$B:$B,Ageing!$B9,Disbursements!AS:AS)</f>
        <v>0</v>
      </c>
      <c r="I9" s="364">
        <f t="shared" si="3"/>
        <v>0</v>
      </c>
      <c r="J9" s="369">
        <f>SUMIFS(Disbursements!$AP:$AP,Disbursements!$B:$B,Ageing!$B9,Disbursements!$AT:$AT,Ageing!J$4)</f>
        <v>0</v>
      </c>
      <c r="K9" s="369">
        <f>SUMIFS(Disbursements!$AP:$AP,Disbursements!$B:$B,Ageing!$B9,Disbursements!$AT:$AT,Ageing!K$4)</f>
        <v>0</v>
      </c>
      <c r="L9" s="369">
        <f>SUMIFS(Disbursements!$AP:$AP,Disbursements!$B:$B,Ageing!$B9,Disbursements!$AT:$AT,Ageing!L$4)</f>
        <v>0</v>
      </c>
      <c r="M9" s="369">
        <f>SUMIFS(Disbursements!$AP:$AP,Disbursements!$B:$B,Ageing!$B9,Disbursements!$AT:$AT,Ageing!M$4)</f>
        <v>0</v>
      </c>
      <c r="N9" s="369">
        <f>SUMIFS(Disbursements!$AP:$AP,Disbursements!$B:$B,Ageing!$B9,Disbursements!$AT:$AT,Ageing!N$4)</f>
        <v>0</v>
      </c>
      <c r="O9" s="369">
        <f>SUMIFS(Disbursements!$AP:$AP,Disbursements!$B:$B,Ageing!$B9,Disbursements!$AT:$AT,Ageing!O$4)</f>
        <v>0</v>
      </c>
    </row>
    <row r="10" spans="1:15" x14ac:dyDescent="0.2">
      <c r="A10" s="179" t="str">
        <f>IFERROR(VLOOKUP($B10,'Clients-Live'!$A:$C,3,30),"")</f>
        <v>AMUTE BASHIR</v>
      </c>
      <c r="B10" s="480">
        <v>6</v>
      </c>
      <c r="C10" s="370" t="str">
        <f>IFERROR(INDEX(Disbursements!$J:$J,MATCH(Ageing!B10,Disbursements!$B:$B,0)),"No Loan")</f>
        <v>Aroma</v>
      </c>
      <c r="D10" s="364">
        <f>SUMIF(Disbursements!$B:$B,Ageing!$B10,Disbursements!AN:AN)</f>
        <v>903333.33333333326</v>
      </c>
      <c r="E10" s="364">
        <f>SUMIF(Disbursements!$B:$B,Ageing!$B10,Disbursements!AO:AO)</f>
        <v>5025666.666666667</v>
      </c>
      <c r="F10" s="365">
        <f t="shared" si="2"/>
        <v>5929000</v>
      </c>
      <c r="G10" s="364">
        <f ca="1">SUMIF(Disbursements!$B:$B,Ageing!$B10,Disbursements!AQ:AQ)</f>
        <v>5929000</v>
      </c>
      <c r="H10" s="364">
        <f ca="1">SUMIF(Disbursements!$B:$B,Ageing!$B10,Disbursements!AS:AS)</f>
        <v>281</v>
      </c>
      <c r="I10" s="364">
        <f t="shared" ca="1" si="3"/>
        <v>1</v>
      </c>
      <c r="J10" s="369">
        <f ca="1">SUMIFS(Disbursements!$AP:$AP,Disbursements!$B:$B,Ageing!$B10,Disbursements!$AT:$AT,Ageing!J$4)</f>
        <v>0</v>
      </c>
      <c r="K10" s="369">
        <f ca="1">SUMIFS(Disbursements!$AP:$AP,Disbursements!$B:$B,Ageing!$B10,Disbursements!$AT:$AT,Ageing!K$4)</f>
        <v>0</v>
      </c>
      <c r="L10" s="369">
        <f ca="1">SUMIFS(Disbursements!$AP:$AP,Disbursements!$B:$B,Ageing!$B10,Disbursements!$AT:$AT,Ageing!L$4)</f>
        <v>0</v>
      </c>
      <c r="M10" s="369">
        <f ca="1">SUMIFS(Disbursements!$AP:$AP,Disbursements!$B:$B,Ageing!$B10,Disbursements!$AT:$AT,Ageing!M$4)</f>
        <v>0</v>
      </c>
      <c r="N10" s="369">
        <f ca="1">SUMIFS(Disbursements!$AP:$AP,Disbursements!$B:$B,Ageing!$B10,Disbursements!$AT:$AT,Ageing!N$4)</f>
        <v>5929000</v>
      </c>
      <c r="O10" s="369">
        <f ca="1">SUMIFS(Disbursements!$AP:$AP,Disbursements!$B:$B,Ageing!$B10,Disbursements!$AT:$AT,Ageing!O$4)</f>
        <v>0</v>
      </c>
    </row>
    <row r="11" spans="1:15" x14ac:dyDescent="0.2">
      <c r="A11" s="179" t="str">
        <f>IFERROR(VLOOKUP($B11,'Clients-Live'!$A:$C,3,30),"")</f>
        <v>CHANGE MOHAMMUDU</v>
      </c>
      <c r="B11" s="480">
        <v>7</v>
      </c>
      <c r="C11" s="370" t="str">
        <f>IFERROR(INDEX(Disbursements!$J:$J,MATCH(Ageing!B11,Disbursements!$B:$B,0)),"No Loan")</f>
        <v>No Loan</v>
      </c>
      <c r="D11" s="364">
        <f>SUMIF(Disbursements!$B:$B,Ageing!$B11,Disbursements!AN:AN)</f>
        <v>0</v>
      </c>
      <c r="E11" s="364">
        <f>SUMIF(Disbursements!$B:$B,Ageing!$B11,Disbursements!AO:AO)</f>
        <v>0</v>
      </c>
      <c r="F11" s="365">
        <f t="shared" si="2"/>
        <v>0</v>
      </c>
      <c r="G11" s="364">
        <f>SUMIF(Disbursements!$B:$B,Ageing!$B11,Disbursements!AQ:AQ)</f>
        <v>0</v>
      </c>
      <c r="H11" s="364">
        <f>SUMIF(Disbursements!$B:$B,Ageing!$B11,Disbursements!AS:AS)</f>
        <v>0</v>
      </c>
      <c r="I11" s="364">
        <f t="shared" si="3"/>
        <v>0</v>
      </c>
      <c r="J11" s="369">
        <f>SUMIFS(Disbursements!$AP:$AP,Disbursements!$B:$B,Ageing!$B11,Disbursements!$AT:$AT,Ageing!J$4)</f>
        <v>0</v>
      </c>
      <c r="K11" s="369">
        <f>SUMIFS(Disbursements!$AP:$AP,Disbursements!$B:$B,Ageing!$B11,Disbursements!$AT:$AT,Ageing!K$4)</f>
        <v>0</v>
      </c>
      <c r="L11" s="369">
        <f>SUMIFS(Disbursements!$AP:$AP,Disbursements!$B:$B,Ageing!$B11,Disbursements!$AT:$AT,Ageing!L$4)</f>
        <v>0</v>
      </c>
      <c r="M11" s="369">
        <f>SUMIFS(Disbursements!$AP:$AP,Disbursements!$B:$B,Ageing!$B11,Disbursements!$AT:$AT,Ageing!M$4)</f>
        <v>0</v>
      </c>
      <c r="N11" s="369">
        <f>SUMIFS(Disbursements!$AP:$AP,Disbursements!$B:$B,Ageing!$B11,Disbursements!$AT:$AT,Ageing!N$4)</f>
        <v>0</v>
      </c>
      <c r="O11" s="369">
        <f>SUMIFS(Disbursements!$AP:$AP,Disbursements!$B:$B,Ageing!$B11,Disbursements!$AT:$AT,Ageing!O$4)</f>
        <v>0</v>
      </c>
    </row>
    <row r="12" spans="1:15" x14ac:dyDescent="0.2">
      <c r="A12" s="179" t="str">
        <f>IFERROR(VLOOKUP($B12,'Clients-Live'!$A:$C,3,30),"")</f>
        <v>ALEMI THOMAS</v>
      </c>
      <c r="B12" s="480">
        <v>8</v>
      </c>
      <c r="C12" s="370" t="str">
        <f>IFERROR(INDEX(Disbursements!$J:$J,MATCH(Ageing!B12,Disbursements!$B:$B,0)),"No Loan")</f>
        <v>Jerome</v>
      </c>
      <c r="D12" s="364">
        <f>SUMIF(Disbursements!$B:$B,Ageing!$B12,Disbursements!AN:AN)</f>
        <v>0</v>
      </c>
      <c r="E12" s="364">
        <f>SUMIF(Disbursements!$B:$B,Ageing!$B12,Disbursements!AO:AO)</f>
        <v>0</v>
      </c>
      <c r="F12" s="365">
        <f t="shared" si="2"/>
        <v>0</v>
      </c>
      <c r="G12" s="364">
        <f ca="1">SUMIF(Disbursements!$B:$B,Ageing!$B12,Disbursements!AQ:AQ)</f>
        <v>0</v>
      </c>
      <c r="H12" s="364">
        <f ca="1">SUMIF(Disbursements!$B:$B,Ageing!$B12,Disbursements!AS:AS)</f>
        <v>0</v>
      </c>
      <c r="I12" s="364">
        <f t="shared" si="3"/>
        <v>0</v>
      </c>
      <c r="J12" s="369">
        <f>SUMIFS(Disbursements!$AP:$AP,Disbursements!$B:$B,Ageing!$B12,Disbursements!$AT:$AT,Ageing!J$4)</f>
        <v>0</v>
      </c>
      <c r="K12" s="369">
        <f>SUMIFS(Disbursements!$AP:$AP,Disbursements!$B:$B,Ageing!$B12,Disbursements!$AT:$AT,Ageing!K$4)</f>
        <v>0</v>
      </c>
      <c r="L12" s="369">
        <f>SUMIFS(Disbursements!$AP:$AP,Disbursements!$B:$B,Ageing!$B12,Disbursements!$AT:$AT,Ageing!L$4)</f>
        <v>0</v>
      </c>
      <c r="M12" s="369">
        <f>SUMIFS(Disbursements!$AP:$AP,Disbursements!$B:$B,Ageing!$B12,Disbursements!$AT:$AT,Ageing!M$4)</f>
        <v>0</v>
      </c>
      <c r="N12" s="369">
        <f>SUMIFS(Disbursements!$AP:$AP,Disbursements!$B:$B,Ageing!$B12,Disbursements!$AT:$AT,Ageing!N$4)</f>
        <v>0</v>
      </c>
      <c r="O12" s="369">
        <f>SUMIFS(Disbursements!$AP:$AP,Disbursements!$B:$B,Ageing!$B12,Disbursements!$AT:$AT,Ageing!O$4)</f>
        <v>0</v>
      </c>
    </row>
    <row r="13" spans="1:15" x14ac:dyDescent="0.2">
      <c r="A13" s="179" t="str">
        <f>IFERROR(VLOOKUP($B13,'Clients-Live'!$A:$C,3,30),"")</f>
        <v>TABAN DAVID YAYA</v>
      </c>
      <c r="B13" s="480">
        <v>9</v>
      </c>
      <c r="C13" s="370" t="str">
        <f>IFERROR(INDEX(Disbursements!$J:$J,MATCH(Ageing!B13,Disbursements!$B:$B,0)),"No Loan")</f>
        <v>Kana</v>
      </c>
      <c r="D13" s="364">
        <f>SUMIF(Disbursements!$B:$B,Ageing!$B13,Disbursements!AN:AN)</f>
        <v>6500</v>
      </c>
      <c r="E13" s="364">
        <f>SUMIF(Disbursements!$B:$B,Ageing!$B13,Disbursements!AO:AO)</f>
        <v>399500</v>
      </c>
      <c r="F13" s="365">
        <f t="shared" si="2"/>
        <v>406000</v>
      </c>
      <c r="G13" s="364">
        <f ca="1">SUMIF(Disbursements!$B:$B,Ageing!$B13,Disbursements!AQ:AQ)</f>
        <v>406000</v>
      </c>
      <c r="H13" s="364">
        <f ca="1">SUMIF(Disbursements!$B:$B,Ageing!$B13,Disbursements!AS:AS)</f>
        <v>70</v>
      </c>
      <c r="I13" s="364">
        <f t="shared" ca="1" si="3"/>
        <v>1</v>
      </c>
      <c r="J13" s="369">
        <f ca="1">SUMIFS(Disbursements!$AP:$AP,Disbursements!$B:$B,Ageing!$B13,Disbursements!$AT:$AT,Ageing!J$4)</f>
        <v>0</v>
      </c>
      <c r="K13" s="369">
        <f ca="1">SUMIFS(Disbursements!$AP:$AP,Disbursements!$B:$B,Ageing!$B13,Disbursements!$AT:$AT,Ageing!K$4)</f>
        <v>0</v>
      </c>
      <c r="L13" s="369">
        <f ca="1">SUMIFS(Disbursements!$AP:$AP,Disbursements!$B:$B,Ageing!$B13,Disbursements!$AT:$AT,Ageing!L$4)</f>
        <v>0</v>
      </c>
      <c r="M13" s="369">
        <f ca="1">SUMIFS(Disbursements!$AP:$AP,Disbursements!$B:$B,Ageing!$B13,Disbursements!$AT:$AT,Ageing!M$4)</f>
        <v>406000</v>
      </c>
      <c r="N13" s="369">
        <f ca="1">SUMIFS(Disbursements!$AP:$AP,Disbursements!$B:$B,Ageing!$B13,Disbursements!$AT:$AT,Ageing!N$4)</f>
        <v>0</v>
      </c>
      <c r="O13" s="369">
        <f ca="1">SUMIFS(Disbursements!$AP:$AP,Disbursements!$B:$B,Ageing!$B13,Disbursements!$AT:$AT,Ageing!O$4)</f>
        <v>0</v>
      </c>
    </row>
    <row r="14" spans="1:15" x14ac:dyDescent="0.2">
      <c r="A14" s="179" t="str">
        <f>IFERROR(VLOOKUP($B14,'Clients-Live'!$A:$C,3,30),"")</f>
        <v>WARU ARIEYE VALENTINA CHARLES</v>
      </c>
      <c r="B14" s="480">
        <v>10</v>
      </c>
      <c r="C14" s="370" t="str">
        <f>IFERROR(INDEX(Disbursements!$J:$J,MATCH(Ageing!B14,Disbursements!$B:$B,0)),"No Loan")</f>
        <v>Kana</v>
      </c>
      <c r="D14" s="364">
        <f>SUMIF(Disbursements!$B:$B,Ageing!$B14,Disbursements!AN:AN)</f>
        <v>0</v>
      </c>
      <c r="E14" s="364">
        <f>SUMIF(Disbursements!$B:$B,Ageing!$B14,Disbursements!AO:AO)</f>
        <v>0</v>
      </c>
      <c r="F14" s="365">
        <f t="shared" si="2"/>
        <v>0</v>
      </c>
      <c r="G14" s="364">
        <f ca="1">SUMIF(Disbursements!$B:$B,Ageing!$B14,Disbursements!AQ:AQ)</f>
        <v>0</v>
      </c>
      <c r="H14" s="364">
        <f ca="1">SUMIF(Disbursements!$B:$B,Ageing!$B14,Disbursements!AS:AS)</f>
        <v>0</v>
      </c>
      <c r="I14" s="364">
        <f t="shared" si="3"/>
        <v>0</v>
      </c>
      <c r="J14" s="369">
        <f>SUMIFS(Disbursements!$AP:$AP,Disbursements!$B:$B,Ageing!$B14,Disbursements!$AT:$AT,Ageing!J$4)</f>
        <v>0</v>
      </c>
      <c r="K14" s="369">
        <f>SUMIFS(Disbursements!$AP:$AP,Disbursements!$B:$B,Ageing!$B14,Disbursements!$AT:$AT,Ageing!K$4)</f>
        <v>0</v>
      </c>
      <c r="L14" s="369">
        <f>SUMIFS(Disbursements!$AP:$AP,Disbursements!$B:$B,Ageing!$B14,Disbursements!$AT:$AT,Ageing!L$4)</f>
        <v>0</v>
      </c>
      <c r="M14" s="369">
        <f>SUMIFS(Disbursements!$AP:$AP,Disbursements!$B:$B,Ageing!$B14,Disbursements!$AT:$AT,Ageing!M$4)</f>
        <v>0</v>
      </c>
      <c r="N14" s="369">
        <f>SUMIFS(Disbursements!$AP:$AP,Disbursements!$B:$B,Ageing!$B14,Disbursements!$AT:$AT,Ageing!N$4)</f>
        <v>0</v>
      </c>
      <c r="O14" s="369">
        <f>SUMIFS(Disbursements!$AP:$AP,Disbursements!$B:$B,Ageing!$B14,Disbursements!$AT:$AT,Ageing!O$4)</f>
        <v>0</v>
      </c>
    </row>
    <row r="15" spans="1:15" x14ac:dyDescent="0.2">
      <c r="A15" s="179" t="str">
        <f>IFERROR(VLOOKUP($B15,'Clients-Live'!$A:$C,3,30),"")</f>
        <v>ARIME JUMA</v>
      </c>
      <c r="B15" s="480">
        <v>11</v>
      </c>
      <c r="C15" s="370" t="str">
        <f>IFERROR(INDEX(Disbursements!$J:$J,MATCH(Ageing!B15,Disbursements!$B:$B,0)),"No Loan")</f>
        <v>Jerome</v>
      </c>
      <c r="D15" s="364">
        <f>SUMIF(Disbursements!$B:$B,Ageing!$B15,Disbursements!AN:AN)</f>
        <v>282666.66666666663</v>
      </c>
      <c r="E15" s="364">
        <f>SUMIF(Disbursements!$B:$B,Ageing!$B15,Disbursements!AO:AO)</f>
        <v>1013333.3333333334</v>
      </c>
      <c r="F15" s="365">
        <f t="shared" si="2"/>
        <v>1296000</v>
      </c>
      <c r="G15" s="364">
        <f ca="1">SUMIF(Disbursements!$B:$B,Ageing!$B15,Disbursements!AQ:AQ)</f>
        <v>1296000</v>
      </c>
      <c r="H15" s="364">
        <f ca="1">SUMIF(Disbursements!$B:$B,Ageing!$B15,Disbursements!AS:AS)</f>
        <v>253</v>
      </c>
      <c r="I15" s="364">
        <f t="shared" ca="1" si="3"/>
        <v>3</v>
      </c>
      <c r="J15" s="369">
        <f ca="1">SUMIFS(Disbursements!$AP:$AP,Disbursements!$B:$B,Ageing!$B15,Disbursements!$AT:$AT,Ageing!J$4)</f>
        <v>0</v>
      </c>
      <c r="K15" s="369">
        <f ca="1">SUMIFS(Disbursements!$AP:$AP,Disbursements!$B:$B,Ageing!$B15,Disbursements!$AT:$AT,Ageing!K$4)</f>
        <v>4000.0000000000582</v>
      </c>
      <c r="L15" s="369">
        <f ca="1">SUMIFS(Disbursements!$AP:$AP,Disbursements!$B:$B,Ageing!$B15,Disbursements!$AT:$AT,Ageing!L$4)</f>
        <v>0</v>
      </c>
      <c r="M15" s="369">
        <f ca="1">SUMIFS(Disbursements!$AP:$AP,Disbursements!$B:$B,Ageing!$B15,Disbursements!$AT:$AT,Ageing!M$4)</f>
        <v>480000</v>
      </c>
      <c r="N15" s="369">
        <f ca="1">SUMIFS(Disbursements!$AP:$AP,Disbursements!$B:$B,Ageing!$B15,Disbursements!$AT:$AT,Ageing!N$4)</f>
        <v>812000</v>
      </c>
      <c r="O15" s="369">
        <f ca="1">SUMIFS(Disbursements!$AP:$AP,Disbursements!$B:$B,Ageing!$B15,Disbursements!$AT:$AT,Ageing!O$4)</f>
        <v>0</v>
      </c>
    </row>
    <row r="16" spans="1:15" x14ac:dyDescent="0.2">
      <c r="A16" s="179" t="str">
        <f>IFERROR(VLOOKUP($B16,'Clients-Live'!$A:$C,3,30),"")</f>
        <v>DRELIA SIMON DEADSON</v>
      </c>
      <c r="B16" s="480">
        <v>12</v>
      </c>
      <c r="C16" s="370" t="str">
        <f>IFERROR(INDEX(Disbursements!$J:$J,MATCH(Ageing!B16,Disbursements!$B:$B,0)),"No Loan")</f>
        <v>Kana</v>
      </c>
      <c r="D16" s="364">
        <f>SUMIF(Disbursements!$B:$B,Ageing!$B16,Disbursements!AN:AN)</f>
        <v>0</v>
      </c>
      <c r="E16" s="364">
        <f>SUMIF(Disbursements!$B:$B,Ageing!$B16,Disbursements!AO:AO)</f>
        <v>128200</v>
      </c>
      <c r="F16" s="365">
        <f t="shared" si="2"/>
        <v>128200</v>
      </c>
      <c r="G16" s="364">
        <f ca="1">SUMIF(Disbursements!$B:$B,Ageing!$B16,Disbursements!AQ:AQ)</f>
        <v>128200</v>
      </c>
      <c r="H16" s="364">
        <f ca="1">SUMIF(Disbursements!$B:$B,Ageing!$B16,Disbursements!AS:AS)</f>
        <v>15</v>
      </c>
      <c r="I16" s="364">
        <f t="shared" ca="1" si="3"/>
        <v>1</v>
      </c>
      <c r="J16" s="369">
        <f ca="1">SUMIFS(Disbursements!$AP:$AP,Disbursements!$B:$B,Ageing!$B16,Disbursements!$AT:$AT,Ageing!J$4)</f>
        <v>0</v>
      </c>
      <c r="K16" s="369">
        <f ca="1">SUMIFS(Disbursements!$AP:$AP,Disbursements!$B:$B,Ageing!$B16,Disbursements!$AT:$AT,Ageing!K$4)</f>
        <v>128200</v>
      </c>
      <c r="L16" s="369">
        <f ca="1">SUMIFS(Disbursements!$AP:$AP,Disbursements!$B:$B,Ageing!$B16,Disbursements!$AT:$AT,Ageing!L$4)</f>
        <v>0</v>
      </c>
      <c r="M16" s="369">
        <f ca="1">SUMIFS(Disbursements!$AP:$AP,Disbursements!$B:$B,Ageing!$B16,Disbursements!$AT:$AT,Ageing!M$4)</f>
        <v>0</v>
      </c>
      <c r="N16" s="369">
        <f ca="1">SUMIFS(Disbursements!$AP:$AP,Disbursements!$B:$B,Ageing!$B16,Disbursements!$AT:$AT,Ageing!N$4)</f>
        <v>0</v>
      </c>
      <c r="O16" s="369">
        <f ca="1">SUMIFS(Disbursements!$AP:$AP,Disbursements!$B:$B,Ageing!$B16,Disbursements!$AT:$AT,Ageing!O$4)</f>
        <v>0</v>
      </c>
    </row>
    <row r="17" spans="1:15" x14ac:dyDescent="0.2">
      <c r="A17" s="179" t="str">
        <f>IFERROR(VLOOKUP($B17,'Clients-Live'!$A:$C,3,30),"")</f>
        <v>ALLONE AMOS DAMAI</v>
      </c>
      <c r="B17" s="480">
        <v>13</v>
      </c>
      <c r="C17" s="370" t="str">
        <f>IFERROR(INDEX(Disbursements!$J:$J,MATCH(Ageing!B17,Disbursements!$B:$B,0)),"No Loan")</f>
        <v>Jerome</v>
      </c>
      <c r="D17" s="364">
        <f>SUMIF(Disbursements!$B:$B,Ageing!$B17,Disbursements!AN:AN)</f>
        <v>326666.66666666674</v>
      </c>
      <c r="E17" s="364">
        <f>SUMIF(Disbursements!$B:$B,Ageing!$B17,Disbursements!AO:AO)</f>
        <v>833633.33333333337</v>
      </c>
      <c r="F17" s="365">
        <f t="shared" si="2"/>
        <v>1160300</v>
      </c>
      <c r="G17" s="364">
        <f ca="1">SUMIF(Disbursements!$B:$B,Ageing!$B17,Disbursements!AQ:AQ)</f>
        <v>1160300</v>
      </c>
      <c r="H17" s="364">
        <f ca="1">SUMIF(Disbursements!$B:$B,Ageing!$B17,Disbursements!AS:AS)</f>
        <v>151</v>
      </c>
      <c r="I17" s="364">
        <f t="shared" ca="1" si="3"/>
        <v>1</v>
      </c>
      <c r="J17" s="369">
        <f ca="1">SUMIFS(Disbursements!$AP:$AP,Disbursements!$B:$B,Ageing!$B17,Disbursements!$AT:$AT,Ageing!J$4)</f>
        <v>0</v>
      </c>
      <c r="K17" s="369">
        <f ca="1">SUMIFS(Disbursements!$AP:$AP,Disbursements!$B:$B,Ageing!$B17,Disbursements!$AT:$AT,Ageing!K$4)</f>
        <v>0</v>
      </c>
      <c r="L17" s="369">
        <f ca="1">SUMIFS(Disbursements!$AP:$AP,Disbursements!$B:$B,Ageing!$B17,Disbursements!$AT:$AT,Ageing!L$4)</f>
        <v>0</v>
      </c>
      <c r="M17" s="369">
        <f ca="1">SUMIFS(Disbursements!$AP:$AP,Disbursements!$B:$B,Ageing!$B17,Disbursements!$AT:$AT,Ageing!M$4)</f>
        <v>0</v>
      </c>
      <c r="N17" s="369">
        <f ca="1">SUMIFS(Disbursements!$AP:$AP,Disbursements!$B:$B,Ageing!$B17,Disbursements!$AT:$AT,Ageing!N$4)</f>
        <v>1160300</v>
      </c>
      <c r="O17" s="369">
        <f ca="1">SUMIFS(Disbursements!$AP:$AP,Disbursements!$B:$B,Ageing!$B17,Disbursements!$AT:$AT,Ageing!O$4)</f>
        <v>0</v>
      </c>
    </row>
    <row r="18" spans="1:15" x14ac:dyDescent="0.2">
      <c r="A18" s="179" t="str">
        <f>IFERROR(VLOOKUP($B18,'Clients-Live'!$A:$C,3,30),"")</f>
        <v>ASIKU ROMANO ADEBUA</v>
      </c>
      <c r="B18" s="480">
        <v>14</v>
      </c>
      <c r="C18" s="370" t="str">
        <f>IFERROR(INDEX(Disbursements!$J:$J,MATCH(Ageing!B18,Disbursements!$B:$B,0)),"No Loan")</f>
        <v>Kana</v>
      </c>
      <c r="D18" s="364">
        <f>SUMIF(Disbursements!$B:$B,Ageing!$B18,Disbursements!AN:AN)</f>
        <v>45000.000000000029</v>
      </c>
      <c r="E18" s="364">
        <f>SUMIF(Disbursements!$B:$B,Ageing!$B18,Disbursements!AO:AO)</f>
        <v>55000.000000000116</v>
      </c>
      <c r="F18" s="365">
        <f t="shared" si="2"/>
        <v>100000.00000000015</v>
      </c>
      <c r="G18" s="364">
        <f ca="1">SUMIF(Disbursements!$B:$B,Ageing!$B18,Disbursements!AQ:AQ)</f>
        <v>100000.00000000015</v>
      </c>
      <c r="H18" s="364">
        <f ca="1">SUMIF(Disbursements!$B:$B,Ageing!$B18,Disbursements!AS:AS)</f>
        <v>14</v>
      </c>
      <c r="I18" s="364">
        <f t="shared" ca="1" si="3"/>
        <v>1</v>
      </c>
      <c r="J18" s="369">
        <f ca="1">SUMIFS(Disbursements!$AP:$AP,Disbursements!$B:$B,Ageing!$B18,Disbursements!$AT:$AT,Ageing!J$4)</f>
        <v>0</v>
      </c>
      <c r="K18" s="369">
        <f ca="1">SUMIFS(Disbursements!$AP:$AP,Disbursements!$B:$B,Ageing!$B18,Disbursements!$AT:$AT,Ageing!K$4)</f>
        <v>100000.00000000015</v>
      </c>
      <c r="L18" s="369">
        <f ca="1">SUMIFS(Disbursements!$AP:$AP,Disbursements!$B:$B,Ageing!$B18,Disbursements!$AT:$AT,Ageing!L$4)</f>
        <v>0</v>
      </c>
      <c r="M18" s="369">
        <f ca="1">SUMIFS(Disbursements!$AP:$AP,Disbursements!$B:$B,Ageing!$B18,Disbursements!$AT:$AT,Ageing!M$4)</f>
        <v>0</v>
      </c>
      <c r="N18" s="369">
        <f ca="1">SUMIFS(Disbursements!$AP:$AP,Disbursements!$B:$B,Ageing!$B18,Disbursements!$AT:$AT,Ageing!N$4)</f>
        <v>0</v>
      </c>
      <c r="O18" s="369">
        <f ca="1">SUMIFS(Disbursements!$AP:$AP,Disbursements!$B:$B,Ageing!$B18,Disbursements!$AT:$AT,Ageing!O$4)</f>
        <v>0</v>
      </c>
    </row>
    <row r="19" spans="1:15" x14ac:dyDescent="0.2">
      <c r="A19" s="179" t="str">
        <f>IFERROR(VLOOKUP($B19,'Clients-Live'!$A:$C,3,30),"")</f>
        <v>NATOSHA LUCY</v>
      </c>
      <c r="B19" s="480">
        <v>15</v>
      </c>
      <c r="C19" s="370" t="str">
        <f>IFERROR(INDEX(Disbursements!$J:$J,MATCH(Ageing!B19,Disbursements!$B:$B,0)),"No Loan")</f>
        <v>Aroma</v>
      </c>
      <c r="D19" s="364">
        <f>SUMIF(Disbursements!$B:$B,Ageing!$B19,Disbursements!AN:AN)</f>
        <v>0</v>
      </c>
      <c r="E19" s="364">
        <f>SUMIF(Disbursements!$B:$B,Ageing!$B19,Disbursements!AO:AO)</f>
        <v>0</v>
      </c>
      <c r="F19" s="365">
        <f t="shared" si="2"/>
        <v>0</v>
      </c>
      <c r="G19" s="364">
        <f ca="1">SUMIF(Disbursements!$B:$B,Ageing!$B19,Disbursements!AQ:AQ)</f>
        <v>0</v>
      </c>
      <c r="H19" s="364">
        <f ca="1">SUMIF(Disbursements!$B:$B,Ageing!$B19,Disbursements!AS:AS)</f>
        <v>0</v>
      </c>
      <c r="I19" s="364">
        <f t="shared" si="3"/>
        <v>0</v>
      </c>
      <c r="J19" s="369">
        <f>SUMIFS(Disbursements!$AP:$AP,Disbursements!$B:$B,Ageing!$B19,Disbursements!$AT:$AT,Ageing!J$4)</f>
        <v>0</v>
      </c>
      <c r="K19" s="369">
        <f>SUMIFS(Disbursements!$AP:$AP,Disbursements!$B:$B,Ageing!$B19,Disbursements!$AT:$AT,Ageing!K$4)</f>
        <v>0</v>
      </c>
      <c r="L19" s="369">
        <f>SUMIFS(Disbursements!$AP:$AP,Disbursements!$B:$B,Ageing!$B19,Disbursements!$AT:$AT,Ageing!L$4)</f>
        <v>0</v>
      </c>
      <c r="M19" s="369">
        <f>SUMIFS(Disbursements!$AP:$AP,Disbursements!$B:$B,Ageing!$B19,Disbursements!$AT:$AT,Ageing!M$4)</f>
        <v>0</v>
      </c>
      <c r="N19" s="369">
        <f>SUMIFS(Disbursements!$AP:$AP,Disbursements!$B:$B,Ageing!$B19,Disbursements!$AT:$AT,Ageing!N$4)</f>
        <v>0</v>
      </c>
      <c r="O19" s="369">
        <f>SUMIFS(Disbursements!$AP:$AP,Disbursements!$B:$B,Ageing!$B19,Disbursements!$AT:$AT,Ageing!O$4)</f>
        <v>0</v>
      </c>
    </row>
    <row r="20" spans="1:15" x14ac:dyDescent="0.2">
      <c r="A20" s="179" t="str">
        <f>IFERROR(VLOOKUP($B20,'Clients-Live'!$A:$C,3,30),"")</f>
        <v>OKELLO ACTION</v>
      </c>
      <c r="B20" s="480">
        <v>16</v>
      </c>
      <c r="C20" s="370" t="str">
        <f>IFERROR(INDEX(Disbursements!$J:$J,MATCH(Ageing!B20,Disbursements!$B:$B,0)),"No Loan")</f>
        <v>Jerome</v>
      </c>
      <c r="D20" s="364">
        <f>SUMIF(Disbursements!$B:$B,Ageing!$B20,Disbursements!AN:AN)</f>
        <v>85000</v>
      </c>
      <c r="E20" s="364">
        <f>SUMIF(Disbursements!$B:$B,Ageing!$B20,Disbursements!AO:AO)</f>
        <v>200000</v>
      </c>
      <c r="F20" s="365">
        <f t="shared" si="2"/>
        <v>285000</v>
      </c>
      <c r="G20" s="364">
        <f ca="1">SUMIF(Disbursements!$B:$B,Ageing!$B20,Disbursements!AQ:AQ)</f>
        <v>285000</v>
      </c>
      <c r="H20" s="364">
        <f ca="1">SUMIF(Disbursements!$B:$B,Ageing!$B20,Disbursements!AS:AS)</f>
        <v>35</v>
      </c>
      <c r="I20" s="364">
        <f t="shared" ca="1" si="3"/>
        <v>1</v>
      </c>
      <c r="J20" s="369">
        <f ca="1">SUMIFS(Disbursements!$AP:$AP,Disbursements!$B:$B,Ageing!$B20,Disbursements!$AT:$AT,Ageing!J$4)</f>
        <v>0</v>
      </c>
      <c r="K20" s="369">
        <f ca="1">SUMIFS(Disbursements!$AP:$AP,Disbursements!$B:$B,Ageing!$B20,Disbursements!$AT:$AT,Ageing!K$4)</f>
        <v>0</v>
      </c>
      <c r="L20" s="369">
        <f ca="1">SUMIFS(Disbursements!$AP:$AP,Disbursements!$B:$B,Ageing!$B20,Disbursements!$AT:$AT,Ageing!L$4)</f>
        <v>285000</v>
      </c>
      <c r="M20" s="369">
        <f ca="1">SUMIFS(Disbursements!$AP:$AP,Disbursements!$B:$B,Ageing!$B20,Disbursements!$AT:$AT,Ageing!M$4)</f>
        <v>0</v>
      </c>
      <c r="N20" s="369">
        <f ca="1">SUMIFS(Disbursements!$AP:$AP,Disbursements!$B:$B,Ageing!$B20,Disbursements!$AT:$AT,Ageing!N$4)</f>
        <v>0</v>
      </c>
      <c r="O20" s="369">
        <f ca="1">SUMIFS(Disbursements!$AP:$AP,Disbursements!$B:$B,Ageing!$B20,Disbursements!$AT:$AT,Ageing!O$4)</f>
        <v>0</v>
      </c>
    </row>
    <row r="21" spans="1:15" x14ac:dyDescent="0.2">
      <c r="A21" s="179" t="str">
        <f>IFERROR(VLOOKUP($B21,'Clients-Live'!$A:$C,3,30),"")</f>
        <v>MAMBU BAYI</v>
      </c>
      <c r="B21" s="480">
        <v>17</v>
      </c>
      <c r="C21" s="370" t="str">
        <f>IFERROR(INDEX(Disbursements!$J:$J,MATCH(Ageing!B21,Disbursements!$B:$B,0)),"No Loan")</f>
        <v>Kana</v>
      </c>
      <c r="D21" s="364">
        <f>SUMIF(Disbursements!$B:$B,Ageing!$B21,Disbursements!AN:AN)</f>
        <v>0</v>
      </c>
      <c r="E21" s="364">
        <f>SUMIF(Disbursements!$B:$B,Ageing!$B21,Disbursements!AO:AO)</f>
        <v>0</v>
      </c>
      <c r="F21" s="365">
        <f t="shared" si="2"/>
        <v>0</v>
      </c>
      <c r="G21" s="364">
        <f ca="1">SUMIF(Disbursements!$B:$B,Ageing!$B21,Disbursements!AQ:AQ)</f>
        <v>0</v>
      </c>
      <c r="H21" s="364">
        <f ca="1">SUMIF(Disbursements!$B:$B,Ageing!$B21,Disbursements!AS:AS)</f>
        <v>0</v>
      </c>
      <c r="I21" s="364">
        <f t="shared" si="3"/>
        <v>0</v>
      </c>
      <c r="J21" s="369">
        <f>SUMIFS(Disbursements!$AP:$AP,Disbursements!$B:$B,Ageing!$B21,Disbursements!$AT:$AT,Ageing!J$4)</f>
        <v>0</v>
      </c>
      <c r="K21" s="369">
        <f>SUMIFS(Disbursements!$AP:$AP,Disbursements!$B:$B,Ageing!$B21,Disbursements!$AT:$AT,Ageing!K$4)</f>
        <v>0</v>
      </c>
      <c r="L21" s="369">
        <f>SUMIFS(Disbursements!$AP:$AP,Disbursements!$B:$B,Ageing!$B21,Disbursements!$AT:$AT,Ageing!L$4)</f>
        <v>0</v>
      </c>
      <c r="M21" s="369">
        <f>SUMIFS(Disbursements!$AP:$AP,Disbursements!$B:$B,Ageing!$B21,Disbursements!$AT:$AT,Ageing!M$4)</f>
        <v>0</v>
      </c>
      <c r="N21" s="369">
        <f>SUMIFS(Disbursements!$AP:$AP,Disbursements!$B:$B,Ageing!$B21,Disbursements!$AT:$AT,Ageing!N$4)</f>
        <v>0</v>
      </c>
      <c r="O21" s="369">
        <f>SUMIFS(Disbursements!$AP:$AP,Disbursements!$B:$B,Ageing!$B21,Disbursements!$AT:$AT,Ageing!O$4)</f>
        <v>0</v>
      </c>
    </row>
    <row r="22" spans="1:15" x14ac:dyDescent="0.2">
      <c r="A22" s="179" t="str">
        <f>IFERROR(VLOOKUP($B22,'Clients-Live'!$A:$C,3,30),"")</f>
        <v>ARIYE PEACE</v>
      </c>
      <c r="B22" s="480">
        <v>18</v>
      </c>
      <c r="C22" s="370" t="str">
        <f>IFERROR(INDEX(Disbursements!$J:$J,MATCH(Ageing!B22,Disbursements!$B:$B,0)),"No Loan")</f>
        <v>Kana</v>
      </c>
      <c r="D22" s="364">
        <f>SUMIF(Disbursements!$B:$B,Ageing!$B22,Disbursements!AN:AN)</f>
        <v>0</v>
      </c>
      <c r="E22" s="364">
        <f>SUMIF(Disbursements!$B:$B,Ageing!$B22,Disbursements!AO:AO)</f>
        <v>876200.00000000023</v>
      </c>
      <c r="F22" s="365">
        <f t="shared" si="2"/>
        <v>876200.00000000023</v>
      </c>
      <c r="G22" s="364">
        <f ca="1">SUMIF(Disbursements!$B:$B,Ageing!$B22,Disbursements!AQ:AQ)</f>
        <v>876200.00000000023</v>
      </c>
      <c r="H22" s="364">
        <f ca="1">SUMIF(Disbursements!$B:$B,Ageing!$B22,Disbursements!AS:AS)</f>
        <v>42</v>
      </c>
      <c r="I22" s="364">
        <f t="shared" ca="1" si="3"/>
        <v>2</v>
      </c>
      <c r="J22" s="369">
        <f ca="1">SUMIFS(Disbursements!$AP:$AP,Disbursements!$B:$B,Ageing!$B22,Disbursements!$AT:$AT,Ageing!J$4)</f>
        <v>0</v>
      </c>
      <c r="K22" s="369">
        <f ca="1">SUMIFS(Disbursements!$AP:$AP,Disbursements!$B:$B,Ageing!$B22,Disbursements!$AT:$AT,Ageing!K$4)</f>
        <v>200.00000000023283</v>
      </c>
      <c r="L22" s="369">
        <f ca="1">SUMIFS(Disbursements!$AP:$AP,Disbursements!$B:$B,Ageing!$B22,Disbursements!$AT:$AT,Ageing!L$4)</f>
        <v>876000</v>
      </c>
      <c r="M22" s="369">
        <f ca="1">SUMIFS(Disbursements!$AP:$AP,Disbursements!$B:$B,Ageing!$B22,Disbursements!$AT:$AT,Ageing!M$4)</f>
        <v>0</v>
      </c>
      <c r="N22" s="369">
        <f ca="1">SUMIFS(Disbursements!$AP:$AP,Disbursements!$B:$B,Ageing!$B22,Disbursements!$AT:$AT,Ageing!N$4)</f>
        <v>0</v>
      </c>
      <c r="O22" s="369">
        <f ca="1">SUMIFS(Disbursements!$AP:$AP,Disbursements!$B:$B,Ageing!$B22,Disbursements!$AT:$AT,Ageing!O$4)</f>
        <v>0</v>
      </c>
    </row>
    <row r="23" spans="1:15" x14ac:dyDescent="0.2">
      <c r="A23" s="179" t="str">
        <f>IFERROR(VLOOKUP($B23,'Clients-Live'!$A:$C,3,30),"")</f>
        <v>ANGUPARU MOLLY</v>
      </c>
      <c r="B23" s="480">
        <v>19</v>
      </c>
      <c r="C23" s="370" t="str">
        <f>IFERROR(INDEX(Disbursements!$J:$J,MATCH(Ageing!B23,Disbursements!$B:$B,0)),"No Loan")</f>
        <v>Aroma</v>
      </c>
      <c r="D23" s="364">
        <f>SUMIF(Disbursements!$B:$B,Ageing!$B23,Disbursements!AN:AN)</f>
        <v>0</v>
      </c>
      <c r="E23" s="364">
        <f>SUMIF(Disbursements!$B:$B,Ageing!$B23,Disbursements!AO:AO)</f>
        <v>0</v>
      </c>
      <c r="F23" s="365">
        <f t="shared" si="2"/>
        <v>0</v>
      </c>
      <c r="G23" s="364">
        <f ca="1">SUMIF(Disbursements!$B:$B,Ageing!$B23,Disbursements!AQ:AQ)</f>
        <v>0</v>
      </c>
      <c r="H23" s="364">
        <f ca="1">SUMIF(Disbursements!$B:$B,Ageing!$B23,Disbursements!AS:AS)</f>
        <v>0</v>
      </c>
      <c r="I23" s="364">
        <f t="shared" si="3"/>
        <v>0</v>
      </c>
      <c r="J23" s="369">
        <f>SUMIFS(Disbursements!$AP:$AP,Disbursements!$B:$B,Ageing!$B23,Disbursements!$AT:$AT,Ageing!J$4)</f>
        <v>0</v>
      </c>
      <c r="K23" s="369">
        <f>SUMIFS(Disbursements!$AP:$AP,Disbursements!$B:$B,Ageing!$B23,Disbursements!$AT:$AT,Ageing!K$4)</f>
        <v>0</v>
      </c>
      <c r="L23" s="369">
        <f>SUMIFS(Disbursements!$AP:$AP,Disbursements!$B:$B,Ageing!$B23,Disbursements!$AT:$AT,Ageing!L$4)</f>
        <v>0</v>
      </c>
      <c r="M23" s="369">
        <f>SUMIFS(Disbursements!$AP:$AP,Disbursements!$B:$B,Ageing!$B23,Disbursements!$AT:$AT,Ageing!M$4)</f>
        <v>0</v>
      </c>
      <c r="N23" s="369">
        <f>SUMIFS(Disbursements!$AP:$AP,Disbursements!$B:$B,Ageing!$B23,Disbursements!$AT:$AT,Ageing!N$4)</f>
        <v>0</v>
      </c>
      <c r="O23" s="369">
        <f>SUMIFS(Disbursements!$AP:$AP,Disbursements!$B:$B,Ageing!$B23,Disbursements!$AT:$AT,Ageing!O$4)</f>
        <v>0</v>
      </c>
    </row>
    <row r="24" spans="1:15" x14ac:dyDescent="0.2">
      <c r="A24" s="179" t="str">
        <f>IFERROR(VLOOKUP($B24,'Clients-Live'!$A:$C,3,30),"")</f>
        <v>ANDEZO KEVIN</v>
      </c>
      <c r="B24" s="480">
        <v>20</v>
      </c>
      <c r="C24" s="370" t="str">
        <f>IFERROR(INDEX(Disbursements!$J:$J,MATCH(Ageing!B24,Disbursements!$B:$B,0)),"No Loan")</f>
        <v>Aroma</v>
      </c>
      <c r="D24" s="364">
        <f>SUMIF(Disbursements!$B:$B,Ageing!$B24,Disbursements!AN:AN)</f>
        <v>325000</v>
      </c>
      <c r="E24" s="364">
        <f>SUMIF(Disbursements!$B:$B,Ageing!$B24,Disbursements!AO:AO)</f>
        <v>948000</v>
      </c>
      <c r="F24" s="365">
        <f t="shared" si="2"/>
        <v>1273000</v>
      </c>
      <c r="G24" s="364">
        <f ca="1">SUMIF(Disbursements!$B:$B,Ageing!$B24,Disbursements!AQ:AQ)</f>
        <v>1273000</v>
      </c>
      <c r="H24" s="364">
        <f ca="1">SUMIF(Disbursements!$B:$B,Ageing!$B24,Disbursements!AS:AS)</f>
        <v>133</v>
      </c>
      <c r="I24" s="364">
        <f t="shared" ca="1" si="3"/>
        <v>1</v>
      </c>
      <c r="J24" s="369">
        <f ca="1">SUMIFS(Disbursements!$AP:$AP,Disbursements!$B:$B,Ageing!$B24,Disbursements!$AT:$AT,Ageing!J$4)</f>
        <v>0</v>
      </c>
      <c r="K24" s="369">
        <f ca="1">SUMIFS(Disbursements!$AP:$AP,Disbursements!$B:$B,Ageing!$B24,Disbursements!$AT:$AT,Ageing!K$4)</f>
        <v>0</v>
      </c>
      <c r="L24" s="369">
        <f ca="1">SUMIFS(Disbursements!$AP:$AP,Disbursements!$B:$B,Ageing!$B24,Disbursements!$AT:$AT,Ageing!L$4)</f>
        <v>0</v>
      </c>
      <c r="M24" s="369">
        <f ca="1">SUMIFS(Disbursements!$AP:$AP,Disbursements!$B:$B,Ageing!$B24,Disbursements!$AT:$AT,Ageing!M$4)</f>
        <v>0</v>
      </c>
      <c r="N24" s="369">
        <f ca="1">SUMIFS(Disbursements!$AP:$AP,Disbursements!$B:$B,Ageing!$B24,Disbursements!$AT:$AT,Ageing!N$4)</f>
        <v>1273000</v>
      </c>
      <c r="O24" s="369">
        <f ca="1">SUMIFS(Disbursements!$AP:$AP,Disbursements!$B:$B,Ageing!$B24,Disbursements!$AT:$AT,Ageing!O$4)</f>
        <v>0</v>
      </c>
    </row>
    <row r="25" spans="1:15" x14ac:dyDescent="0.2">
      <c r="A25" s="179" t="str">
        <f>IFERROR(VLOOKUP($B25,'Clients-Live'!$A:$C,3,30),"")</f>
        <v>ESABORU EUNICE</v>
      </c>
      <c r="B25" s="480">
        <v>21</v>
      </c>
      <c r="C25" s="370" t="str">
        <f>IFERROR(INDEX(Disbursements!$J:$J,MATCH(Ageing!B25,Disbursements!$B:$B,0)),"No Loan")</f>
        <v>Aroma</v>
      </c>
      <c r="D25" s="364">
        <f>SUMIF(Disbursements!$B:$B,Ageing!$B25,Disbursements!AN:AN)</f>
        <v>0</v>
      </c>
      <c r="E25" s="364">
        <f>SUMIF(Disbursements!$B:$B,Ageing!$B25,Disbursements!AO:AO)</f>
        <v>0</v>
      </c>
      <c r="F25" s="365">
        <f t="shared" si="2"/>
        <v>0</v>
      </c>
      <c r="G25" s="364">
        <f ca="1">SUMIF(Disbursements!$B:$B,Ageing!$B25,Disbursements!AQ:AQ)</f>
        <v>0</v>
      </c>
      <c r="H25" s="364">
        <f ca="1">SUMIF(Disbursements!$B:$B,Ageing!$B25,Disbursements!AS:AS)</f>
        <v>0</v>
      </c>
      <c r="I25" s="364">
        <f t="shared" si="3"/>
        <v>0</v>
      </c>
      <c r="J25" s="369">
        <f>SUMIFS(Disbursements!$AP:$AP,Disbursements!$B:$B,Ageing!$B25,Disbursements!$AT:$AT,Ageing!J$4)</f>
        <v>0</v>
      </c>
      <c r="K25" s="369">
        <f>SUMIFS(Disbursements!$AP:$AP,Disbursements!$B:$B,Ageing!$B25,Disbursements!$AT:$AT,Ageing!K$4)</f>
        <v>0</v>
      </c>
      <c r="L25" s="369">
        <f>SUMIFS(Disbursements!$AP:$AP,Disbursements!$B:$B,Ageing!$B25,Disbursements!$AT:$AT,Ageing!L$4)</f>
        <v>0</v>
      </c>
      <c r="M25" s="369">
        <f>SUMIFS(Disbursements!$AP:$AP,Disbursements!$B:$B,Ageing!$B25,Disbursements!$AT:$AT,Ageing!M$4)</f>
        <v>0</v>
      </c>
      <c r="N25" s="369">
        <f>SUMIFS(Disbursements!$AP:$AP,Disbursements!$B:$B,Ageing!$B25,Disbursements!$AT:$AT,Ageing!N$4)</f>
        <v>0</v>
      </c>
      <c r="O25" s="369">
        <f>SUMIFS(Disbursements!$AP:$AP,Disbursements!$B:$B,Ageing!$B25,Disbursements!$AT:$AT,Ageing!O$4)</f>
        <v>0</v>
      </c>
    </row>
    <row r="26" spans="1:15" x14ac:dyDescent="0.2">
      <c r="A26" s="179" t="str">
        <f>IFERROR(VLOOKUP($B26,'Clients-Live'!$A:$C,3,30),"")</f>
        <v>DATA ISMAIL FATARI</v>
      </c>
      <c r="B26" s="480">
        <v>22</v>
      </c>
      <c r="C26" s="370" t="str">
        <f>IFERROR(INDEX(Disbursements!$J:$J,MATCH(Ageing!B26,Disbursements!$B:$B,0)),"No Loan")</f>
        <v>Jerome</v>
      </c>
      <c r="D26" s="364">
        <f>SUMIF(Disbursements!$B:$B,Ageing!$B26,Disbursements!AN:AN)</f>
        <v>0</v>
      </c>
      <c r="E26" s="364">
        <f>SUMIF(Disbursements!$B:$B,Ageing!$B26,Disbursements!AO:AO)</f>
        <v>670000</v>
      </c>
      <c r="F26" s="365">
        <f t="shared" si="2"/>
        <v>670000</v>
      </c>
      <c r="G26" s="364">
        <f ca="1">SUMIF(Disbursements!$B:$B,Ageing!$B26,Disbursements!AQ:AQ)</f>
        <v>670000</v>
      </c>
      <c r="H26" s="364">
        <f ca="1">SUMIF(Disbursements!$B:$B,Ageing!$B26,Disbursements!AS:AS)</f>
        <v>96</v>
      </c>
      <c r="I26" s="364">
        <f t="shared" ca="1" si="3"/>
        <v>1</v>
      </c>
      <c r="J26" s="369">
        <f ca="1">SUMIFS(Disbursements!$AP:$AP,Disbursements!$B:$B,Ageing!$B26,Disbursements!$AT:$AT,Ageing!J$4)</f>
        <v>0</v>
      </c>
      <c r="K26" s="369">
        <f ca="1">SUMIFS(Disbursements!$AP:$AP,Disbursements!$B:$B,Ageing!$B26,Disbursements!$AT:$AT,Ageing!K$4)</f>
        <v>0</v>
      </c>
      <c r="L26" s="369">
        <f ca="1">SUMIFS(Disbursements!$AP:$AP,Disbursements!$B:$B,Ageing!$B26,Disbursements!$AT:$AT,Ageing!L$4)</f>
        <v>0</v>
      </c>
      <c r="M26" s="369">
        <f ca="1">SUMIFS(Disbursements!$AP:$AP,Disbursements!$B:$B,Ageing!$B26,Disbursements!$AT:$AT,Ageing!M$4)</f>
        <v>0</v>
      </c>
      <c r="N26" s="369">
        <f ca="1">SUMIFS(Disbursements!$AP:$AP,Disbursements!$B:$B,Ageing!$B26,Disbursements!$AT:$AT,Ageing!N$4)</f>
        <v>670000</v>
      </c>
      <c r="O26" s="369">
        <f ca="1">SUMIFS(Disbursements!$AP:$AP,Disbursements!$B:$B,Ageing!$B26,Disbursements!$AT:$AT,Ageing!O$4)</f>
        <v>0</v>
      </c>
    </row>
    <row r="27" spans="1:15" x14ac:dyDescent="0.2">
      <c r="A27" s="179" t="str">
        <f>IFERROR(VLOOKUP($B27,'Clients-Live'!$A:$C,3,30),"")</f>
        <v>BADARU KEVIN ATELIONGA</v>
      </c>
      <c r="B27" s="480">
        <v>23</v>
      </c>
      <c r="C27" s="370" t="str">
        <f>IFERROR(INDEX(Disbursements!$J:$J,MATCH(Ageing!B27,Disbursements!$B:$B,0)),"No Loan")</f>
        <v>Kana</v>
      </c>
      <c r="D27" s="364">
        <f>SUMIF(Disbursements!$B:$B,Ageing!$B27,Disbursements!AN:AN)</f>
        <v>70833.333333333328</v>
      </c>
      <c r="E27" s="364">
        <f>SUMIF(Disbursements!$B:$B,Ageing!$B27,Disbursements!AO:AO)</f>
        <v>443166.66666666669</v>
      </c>
      <c r="F27" s="365">
        <f t="shared" si="2"/>
        <v>514000</v>
      </c>
      <c r="G27" s="364">
        <f ca="1">SUMIF(Disbursements!$B:$B,Ageing!$B27,Disbursements!AQ:AQ)</f>
        <v>514000</v>
      </c>
      <c r="H27" s="364">
        <f ca="1">SUMIF(Disbursements!$B:$B,Ageing!$B27,Disbursements!AS:AS)</f>
        <v>106</v>
      </c>
      <c r="I27" s="364">
        <f t="shared" ca="1" si="3"/>
        <v>1</v>
      </c>
      <c r="J27" s="369">
        <f ca="1">SUMIFS(Disbursements!$AP:$AP,Disbursements!$B:$B,Ageing!$B27,Disbursements!$AT:$AT,Ageing!J$4)</f>
        <v>0</v>
      </c>
      <c r="K27" s="369">
        <f ca="1">SUMIFS(Disbursements!$AP:$AP,Disbursements!$B:$B,Ageing!$B27,Disbursements!$AT:$AT,Ageing!K$4)</f>
        <v>0</v>
      </c>
      <c r="L27" s="369">
        <f ca="1">SUMIFS(Disbursements!$AP:$AP,Disbursements!$B:$B,Ageing!$B27,Disbursements!$AT:$AT,Ageing!L$4)</f>
        <v>0</v>
      </c>
      <c r="M27" s="369">
        <f ca="1">SUMIFS(Disbursements!$AP:$AP,Disbursements!$B:$B,Ageing!$B27,Disbursements!$AT:$AT,Ageing!M$4)</f>
        <v>0</v>
      </c>
      <c r="N27" s="369">
        <f ca="1">SUMIFS(Disbursements!$AP:$AP,Disbursements!$B:$B,Ageing!$B27,Disbursements!$AT:$AT,Ageing!N$4)</f>
        <v>514000</v>
      </c>
      <c r="O27" s="369">
        <f ca="1">SUMIFS(Disbursements!$AP:$AP,Disbursements!$B:$B,Ageing!$B27,Disbursements!$AT:$AT,Ageing!O$4)</f>
        <v>0</v>
      </c>
    </row>
    <row r="28" spans="1:15" x14ac:dyDescent="0.2">
      <c r="A28" s="179" t="str">
        <f>IFERROR(VLOOKUP($B28,'Clients-Live'!$A:$C,3,30),"")</f>
        <v>VITA JEROME</v>
      </c>
      <c r="B28" s="480">
        <v>24</v>
      </c>
      <c r="C28" s="370" t="str">
        <f>IFERROR(INDEX(Disbursements!$J:$J,MATCH(Ageing!B28,Disbursements!$B:$B,0)),"No Loan")</f>
        <v>Aroma</v>
      </c>
      <c r="D28" s="364">
        <f>SUMIF(Disbursements!$B:$B,Ageing!$B28,Disbursements!AN:AN)</f>
        <v>248111.11111111107</v>
      </c>
      <c r="E28" s="364">
        <f>SUMIF(Disbursements!$B:$B,Ageing!$B28,Disbursements!AO:AO)</f>
        <v>1093888.888888889</v>
      </c>
      <c r="F28" s="365">
        <f t="shared" si="2"/>
        <v>1342000</v>
      </c>
      <c r="G28" s="364">
        <f ca="1">SUMIF(Disbursements!$B:$B,Ageing!$B28,Disbursements!AQ:AQ)</f>
        <v>1342000</v>
      </c>
      <c r="H28" s="364">
        <f ca="1">SUMIF(Disbursements!$B:$B,Ageing!$B28,Disbursements!AS:AS)</f>
        <v>212</v>
      </c>
      <c r="I28" s="364">
        <f t="shared" ca="1" si="3"/>
        <v>2</v>
      </c>
      <c r="J28" s="369">
        <f ca="1">SUMIFS(Disbursements!$AP:$AP,Disbursements!$B:$B,Ageing!$B28,Disbursements!$AT:$AT,Ageing!J$4)</f>
        <v>0</v>
      </c>
      <c r="K28" s="369">
        <f ca="1">SUMIFS(Disbursements!$AP:$AP,Disbursements!$B:$B,Ageing!$B28,Disbursements!$AT:$AT,Ageing!K$4)</f>
        <v>5000</v>
      </c>
      <c r="L28" s="369">
        <f ca="1">SUMIFS(Disbursements!$AP:$AP,Disbursements!$B:$B,Ageing!$B28,Disbursements!$AT:$AT,Ageing!L$4)</f>
        <v>0</v>
      </c>
      <c r="M28" s="369">
        <f ca="1">SUMIFS(Disbursements!$AP:$AP,Disbursements!$B:$B,Ageing!$B28,Disbursements!$AT:$AT,Ageing!M$4)</f>
        <v>0</v>
      </c>
      <c r="N28" s="369">
        <f ca="1">SUMIFS(Disbursements!$AP:$AP,Disbursements!$B:$B,Ageing!$B28,Disbursements!$AT:$AT,Ageing!N$4)</f>
        <v>1337000</v>
      </c>
      <c r="O28" s="369">
        <f ca="1">SUMIFS(Disbursements!$AP:$AP,Disbursements!$B:$B,Ageing!$B28,Disbursements!$AT:$AT,Ageing!O$4)</f>
        <v>0</v>
      </c>
    </row>
    <row r="29" spans="1:15" x14ac:dyDescent="0.2">
      <c r="A29" s="179" t="str">
        <f>IFERROR(VLOOKUP($B29,'Clients-Live'!$A:$C,3,30),"")</f>
        <v>AROMA BOSCO</v>
      </c>
      <c r="B29" s="480">
        <v>25</v>
      </c>
      <c r="C29" s="370" t="str">
        <f>IFERROR(INDEX(Disbursements!$J:$J,MATCH(Ageing!B29,Disbursements!$B:$B,0)),"No Loan")</f>
        <v>Jerome</v>
      </c>
      <c r="D29" s="364">
        <f>SUMIF(Disbursements!$B:$B,Ageing!$B29,Disbursements!AN:AN)</f>
        <v>199333.33333333334</v>
      </c>
      <c r="E29" s="364">
        <f>SUMIF(Disbursements!$B:$B,Ageing!$B29,Disbursements!AO:AO)</f>
        <v>710666.66666666663</v>
      </c>
      <c r="F29" s="365">
        <f t="shared" si="2"/>
        <v>910000</v>
      </c>
      <c r="G29" s="364">
        <f ca="1">SUMIF(Disbursements!$B:$B,Ageing!$B29,Disbursements!AQ:AQ)</f>
        <v>910000</v>
      </c>
      <c r="H29" s="364">
        <f ca="1">SUMIF(Disbursements!$B:$B,Ageing!$B29,Disbursements!AS:AS)</f>
        <v>210</v>
      </c>
      <c r="I29" s="364">
        <f t="shared" ca="1" si="3"/>
        <v>1</v>
      </c>
      <c r="J29" s="369">
        <f ca="1">SUMIFS(Disbursements!$AP:$AP,Disbursements!$B:$B,Ageing!$B29,Disbursements!$AT:$AT,Ageing!J$4)</f>
        <v>0</v>
      </c>
      <c r="K29" s="369">
        <f ca="1">SUMIFS(Disbursements!$AP:$AP,Disbursements!$B:$B,Ageing!$B29,Disbursements!$AT:$AT,Ageing!K$4)</f>
        <v>0</v>
      </c>
      <c r="L29" s="369">
        <f ca="1">SUMIFS(Disbursements!$AP:$AP,Disbursements!$B:$B,Ageing!$B29,Disbursements!$AT:$AT,Ageing!L$4)</f>
        <v>0</v>
      </c>
      <c r="M29" s="369">
        <f ca="1">SUMIFS(Disbursements!$AP:$AP,Disbursements!$B:$B,Ageing!$B29,Disbursements!$AT:$AT,Ageing!M$4)</f>
        <v>0</v>
      </c>
      <c r="N29" s="369">
        <f ca="1">SUMIFS(Disbursements!$AP:$AP,Disbursements!$B:$B,Ageing!$B29,Disbursements!$AT:$AT,Ageing!N$4)</f>
        <v>910000</v>
      </c>
      <c r="O29" s="369">
        <f ca="1">SUMIFS(Disbursements!$AP:$AP,Disbursements!$B:$B,Ageing!$B29,Disbursements!$AT:$AT,Ageing!O$4)</f>
        <v>0</v>
      </c>
    </row>
    <row r="30" spans="1:15" x14ac:dyDescent="0.2">
      <c r="A30" s="179" t="str">
        <f>IFERROR(VLOOKUP($B30,'Clients-Live'!$A:$C,3,30),"")</f>
        <v>AMIJI HARRIET</v>
      </c>
      <c r="B30" s="480">
        <v>26</v>
      </c>
      <c r="C30" s="370" t="str">
        <f>IFERROR(INDEX(Disbursements!$J:$J,MATCH(Ageing!B30,Disbursements!$B:$B,0)),"No Loan")</f>
        <v>No Loan</v>
      </c>
      <c r="D30" s="364">
        <f>SUMIF(Disbursements!$B:$B,Ageing!$B30,Disbursements!AN:AN)</f>
        <v>0</v>
      </c>
      <c r="E30" s="364">
        <f>SUMIF(Disbursements!$B:$B,Ageing!$B30,Disbursements!AO:AO)</f>
        <v>0</v>
      </c>
      <c r="F30" s="365">
        <f t="shared" si="2"/>
        <v>0</v>
      </c>
      <c r="G30" s="364">
        <f>SUMIF(Disbursements!$B:$B,Ageing!$B30,Disbursements!AQ:AQ)</f>
        <v>0</v>
      </c>
      <c r="H30" s="364">
        <f>SUMIF(Disbursements!$B:$B,Ageing!$B30,Disbursements!AS:AS)</f>
        <v>0</v>
      </c>
      <c r="I30" s="364">
        <f t="shared" si="3"/>
        <v>0</v>
      </c>
      <c r="J30" s="369">
        <f>SUMIFS(Disbursements!$AP:$AP,Disbursements!$B:$B,Ageing!$B30,Disbursements!$AT:$AT,Ageing!J$4)</f>
        <v>0</v>
      </c>
      <c r="K30" s="369">
        <f>SUMIFS(Disbursements!$AP:$AP,Disbursements!$B:$B,Ageing!$B30,Disbursements!$AT:$AT,Ageing!K$4)</f>
        <v>0</v>
      </c>
      <c r="L30" s="369">
        <f>SUMIFS(Disbursements!$AP:$AP,Disbursements!$B:$B,Ageing!$B30,Disbursements!$AT:$AT,Ageing!L$4)</f>
        <v>0</v>
      </c>
      <c r="M30" s="369">
        <f>SUMIFS(Disbursements!$AP:$AP,Disbursements!$B:$B,Ageing!$B30,Disbursements!$AT:$AT,Ageing!M$4)</f>
        <v>0</v>
      </c>
      <c r="N30" s="369">
        <f>SUMIFS(Disbursements!$AP:$AP,Disbursements!$B:$B,Ageing!$B30,Disbursements!$AT:$AT,Ageing!N$4)</f>
        <v>0</v>
      </c>
      <c r="O30" s="369">
        <f>SUMIFS(Disbursements!$AP:$AP,Disbursements!$B:$B,Ageing!$B30,Disbursements!$AT:$AT,Ageing!O$4)</f>
        <v>0</v>
      </c>
    </row>
    <row r="31" spans="1:15" x14ac:dyDescent="0.2">
      <c r="A31" s="179" t="str">
        <f>IFERROR(VLOOKUP($B31,'Clients-Live'!$A:$C,3,30),"")</f>
        <v>KANA GIFT</v>
      </c>
      <c r="B31" s="480">
        <v>27</v>
      </c>
      <c r="C31" s="370" t="str">
        <f>IFERROR(INDEX(Disbursements!$J:$J,MATCH(Ageing!B31,Disbursements!$B:$B,0)),"No Loan")</f>
        <v>Jerome</v>
      </c>
      <c r="D31" s="364">
        <f>SUMIF(Disbursements!$B:$B,Ageing!$B31,Disbursements!AN:AN)</f>
        <v>405000</v>
      </c>
      <c r="E31" s="364">
        <f>SUMIF(Disbursements!$B:$B,Ageing!$B31,Disbursements!AO:AO)</f>
        <v>1350000</v>
      </c>
      <c r="F31" s="365">
        <f t="shared" si="2"/>
        <v>1755000</v>
      </c>
      <c r="G31" s="364">
        <f ca="1">SUMIF(Disbursements!$B:$B,Ageing!$B31,Disbursements!AQ:AQ)</f>
        <v>1755000</v>
      </c>
      <c r="H31" s="364">
        <f ca="1">SUMIF(Disbursements!$B:$B,Ageing!$B31,Disbursements!AS:AS)</f>
        <v>270</v>
      </c>
      <c r="I31" s="364">
        <f t="shared" ca="1" si="3"/>
        <v>1</v>
      </c>
      <c r="J31" s="369">
        <f ca="1">SUMIFS(Disbursements!$AP:$AP,Disbursements!$B:$B,Ageing!$B31,Disbursements!$AT:$AT,Ageing!J$4)</f>
        <v>0</v>
      </c>
      <c r="K31" s="369">
        <f ca="1">SUMIFS(Disbursements!$AP:$AP,Disbursements!$B:$B,Ageing!$B31,Disbursements!$AT:$AT,Ageing!K$4)</f>
        <v>0</v>
      </c>
      <c r="L31" s="369">
        <f ca="1">SUMIFS(Disbursements!$AP:$AP,Disbursements!$B:$B,Ageing!$B31,Disbursements!$AT:$AT,Ageing!L$4)</f>
        <v>0</v>
      </c>
      <c r="M31" s="369">
        <f ca="1">SUMIFS(Disbursements!$AP:$AP,Disbursements!$B:$B,Ageing!$B31,Disbursements!$AT:$AT,Ageing!M$4)</f>
        <v>0</v>
      </c>
      <c r="N31" s="369">
        <f ca="1">SUMIFS(Disbursements!$AP:$AP,Disbursements!$B:$B,Ageing!$B31,Disbursements!$AT:$AT,Ageing!N$4)</f>
        <v>1755000</v>
      </c>
      <c r="O31" s="369">
        <f ca="1">SUMIFS(Disbursements!$AP:$AP,Disbursements!$B:$B,Ageing!$B31,Disbursements!$AT:$AT,Ageing!O$4)</f>
        <v>0</v>
      </c>
    </row>
    <row r="32" spans="1:15" x14ac:dyDescent="0.2">
      <c r="A32" s="179" t="str">
        <f>IFERROR(VLOOKUP($B32,'Clients-Live'!$A:$C,3,30),"")</f>
        <v>FAIDA GRACE</v>
      </c>
      <c r="B32" s="480">
        <v>28</v>
      </c>
      <c r="C32" s="370" t="str">
        <f>IFERROR(INDEX(Disbursements!$J:$J,MATCH(Ageing!B32,Disbursements!$B:$B,0)),"No Loan")</f>
        <v>No Loan</v>
      </c>
      <c r="D32" s="364">
        <f>SUMIF(Disbursements!$B:$B,Ageing!$B32,Disbursements!AN:AN)</f>
        <v>0</v>
      </c>
      <c r="E32" s="364">
        <f>SUMIF(Disbursements!$B:$B,Ageing!$B32,Disbursements!AO:AO)</f>
        <v>0</v>
      </c>
      <c r="F32" s="365">
        <f t="shared" si="2"/>
        <v>0</v>
      </c>
      <c r="G32" s="364">
        <f>SUMIF(Disbursements!$B:$B,Ageing!$B32,Disbursements!AQ:AQ)</f>
        <v>0</v>
      </c>
      <c r="H32" s="364">
        <f>SUMIF(Disbursements!$B:$B,Ageing!$B32,Disbursements!AS:AS)</f>
        <v>0</v>
      </c>
      <c r="I32" s="364">
        <f t="shared" si="3"/>
        <v>0</v>
      </c>
      <c r="J32" s="369">
        <f>SUMIFS(Disbursements!$AP:$AP,Disbursements!$B:$B,Ageing!$B32,Disbursements!$AT:$AT,Ageing!J$4)</f>
        <v>0</v>
      </c>
      <c r="K32" s="369">
        <f>SUMIFS(Disbursements!$AP:$AP,Disbursements!$B:$B,Ageing!$B32,Disbursements!$AT:$AT,Ageing!K$4)</f>
        <v>0</v>
      </c>
      <c r="L32" s="369">
        <f>SUMIFS(Disbursements!$AP:$AP,Disbursements!$B:$B,Ageing!$B32,Disbursements!$AT:$AT,Ageing!L$4)</f>
        <v>0</v>
      </c>
      <c r="M32" s="369">
        <f>SUMIFS(Disbursements!$AP:$AP,Disbursements!$B:$B,Ageing!$B32,Disbursements!$AT:$AT,Ageing!M$4)</f>
        <v>0</v>
      </c>
      <c r="N32" s="369">
        <f>SUMIFS(Disbursements!$AP:$AP,Disbursements!$B:$B,Ageing!$B32,Disbursements!$AT:$AT,Ageing!N$4)</f>
        <v>0</v>
      </c>
      <c r="O32" s="369">
        <f>SUMIFS(Disbursements!$AP:$AP,Disbursements!$B:$B,Ageing!$B32,Disbursements!$AT:$AT,Ageing!O$4)</f>
        <v>0</v>
      </c>
    </row>
    <row r="33" spans="1:15" x14ac:dyDescent="0.2">
      <c r="A33" s="179" t="str">
        <f>IFERROR(VLOOKUP($B33,'Clients-Live'!$A:$C,3,30),"")</f>
        <v>AJIBA ROSEMARY EMMANUEL</v>
      </c>
      <c r="B33" s="480">
        <v>29</v>
      </c>
      <c r="C33" s="370" t="str">
        <f>IFERROR(INDEX(Disbursements!$J:$J,MATCH(Ageing!B33,Disbursements!$B:$B,0)),"No Loan")</f>
        <v>Kana</v>
      </c>
      <c r="D33" s="364">
        <f>SUMIF(Disbursements!$B:$B,Ageing!$B33,Disbursements!AN:AN)</f>
        <v>384333.33333333337</v>
      </c>
      <c r="E33" s="364">
        <f>SUMIF(Disbursements!$B:$B,Ageing!$B33,Disbursements!AO:AO)</f>
        <v>1175666.6666666665</v>
      </c>
      <c r="F33" s="365">
        <f t="shared" si="2"/>
        <v>1560000</v>
      </c>
      <c r="G33" s="364">
        <f ca="1">SUMIF(Disbursements!$B:$B,Ageing!$B33,Disbursements!AQ:AQ)</f>
        <v>1560000</v>
      </c>
      <c r="H33" s="364">
        <f ca="1">SUMIF(Disbursements!$B:$B,Ageing!$B33,Disbursements!AS:AS)</f>
        <v>240</v>
      </c>
      <c r="I33" s="364">
        <f t="shared" ca="1" si="3"/>
        <v>1</v>
      </c>
      <c r="J33" s="369">
        <f ca="1">SUMIFS(Disbursements!$AP:$AP,Disbursements!$B:$B,Ageing!$B33,Disbursements!$AT:$AT,Ageing!J$4)</f>
        <v>0</v>
      </c>
      <c r="K33" s="369">
        <f ca="1">SUMIFS(Disbursements!$AP:$AP,Disbursements!$B:$B,Ageing!$B33,Disbursements!$AT:$AT,Ageing!K$4)</f>
        <v>0</v>
      </c>
      <c r="L33" s="369">
        <f ca="1">SUMIFS(Disbursements!$AP:$AP,Disbursements!$B:$B,Ageing!$B33,Disbursements!$AT:$AT,Ageing!L$4)</f>
        <v>0</v>
      </c>
      <c r="M33" s="369">
        <f ca="1">SUMIFS(Disbursements!$AP:$AP,Disbursements!$B:$B,Ageing!$B33,Disbursements!$AT:$AT,Ageing!M$4)</f>
        <v>0</v>
      </c>
      <c r="N33" s="369">
        <f ca="1">SUMIFS(Disbursements!$AP:$AP,Disbursements!$B:$B,Ageing!$B33,Disbursements!$AT:$AT,Ageing!N$4)</f>
        <v>1560000</v>
      </c>
      <c r="O33" s="369">
        <f ca="1">SUMIFS(Disbursements!$AP:$AP,Disbursements!$B:$B,Ageing!$B33,Disbursements!$AT:$AT,Ageing!O$4)</f>
        <v>0</v>
      </c>
    </row>
    <row r="34" spans="1:15" x14ac:dyDescent="0.2">
      <c r="A34" s="179" t="str">
        <f>IFERROR(VLOOKUP($B34,'Clients-Live'!$A:$C,3,30),"")</f>
        <v>SITARAYA PATRICIA IDERU</v>
      </c>
      <c r="B34" s="480">
        <v>30</v>
      </c>
      <c r="C34" s="370" t="str">
        <f>IFERROR(INDEX(Disbursements!$J:$J,MATCH(Ageing!B34,Disbursements!$B:$B,0)),"No Loan")</f>
        <v>Aroma</v>
      </c>
      <c r="D34" s="364">
        <f>SUMIF(Disbursements!$B:$B,Ageing!$B34,Disbursements!AN:AN)</f>
        <v>104000</v>
      </c>
      <c r="E34" s="364">
        <f>SUMIF(Disbursements!$B:$B,Ageing!$B34,Disbursements!AO:AO)</f>
        <v>400000</v>
      </c>
      <c r="F34" s="365">
        <f t="shared" si="2"/>
        <v>504000</v>
      </c>
      <c r="G34" s="364">
        <f ca="1">SUMIF(Disbursements!$B:$B,Ageing!$B34,Disbursements!AQ:AQ)</f>
        <v>504000</v>
      </c>
      <c r="H34" s="364">
        <f ca="1">SUMIF(Disbursements!$B:$B,Ageing!$B34,Disbursements!AS:AS)</f>
        <v>120</v>
      </c>
      <c r="I34" s="364">
        <f t="shared" ca="1" si="3"/>
        <v>1</v>
      </c>
      <c r="J34" s="369">
        <f ca="1">SUMIFS(Disbursements!$AP:$AP,Disbursements!$B:$B,Ageing!$B34,Disbursements!$AT:$AT,Ageing!J$4)</f>
        <v>0</v>
      </c>
      <c r="K34" s="369">
        <f ca="1">SUMIFS(Disbursements!$AP:$AP,Disbursements!$B:$B,Ageing!$B34,Disbursements!$AT:$AT,Ageing!K$4)</f>
        <v>0</v>
      </c>
      <c r="L34" s="369">
        <f ca="1">SUMIFS(Disbursements!$AP:$AP,Disbursements!$B:$B,Ageing!$B34,Disbursements!$AT:$AT,Ageing!L$4)</f>
        <v>0</v>
      </c>
      <c r="M34" s="369">
        <f ca="1">SUMIFS(Disbursements!$AP:$AP,Disbursements!$B:$B,Ageing!$B34,Disbursements!$AT:$AT,Ageing!M$4)</f>
        <v>0</v>
      </c>
      <c r="N34" s="369">
        <f ca="1">SUMIFS(Disbursements!$AP:$AP,Disbursements!$B:$B,Ageing!$B34,Disbursements!$AT:$AT,Ageing!N$4)</f>
        <v>504000</v>
      </c>
      <c r="O34" s="369">
        <f ca="1">SUMIFS(Disbursements!$AP:$AP,Disbursements!$B:$B,Ageing!$B34,Disbursements!$AT:$AT,Ageing!O$4)</f>
        <v>0</v>
      </c>
    </row>
    <row r="35" spans="1:15" x14ac:dyDescent="0.2">
      <c r="A35" s="179" t="str">
        <f>IFERROR(VLOOKUP($B35,'Clients-Live'!$A:$C,3,30),"")</f>
        <v>MUNDURU HARRIET</v>
      </c>
      <c r="B35" s="480">
        <v>31</v>
      </c>
      <c r="C35" s="370" t="str">
        <f>IFERROR(INDEX(Disbursements!$J:$J,MATCH(Ageing!B35,Disbursements!$B:$B,0)),"No Loan")</f>
        <v>Kana</v>
      </c>
      <c r="D35" s="364">
        <f>SUMIF(Disbursements!$B:$B,Ageing!$B35,Disbursements!AN:AN)</f>
        <v>1666.666666666657</v>
      </c>
      <c r="E35" s="364">
        <f>SUMIF(Disbursements!$B:$B,Ageing!$B35,Disbursements!AO:AO)</f>
        <v>139333.33333333331</v>
      </c>
      <c r="F35" s="365">
        <f t="shared" si="2"/>
        <v>140999.99999999997</v>
      </c>
      <c r="G35" s="364">
        <f ca="1">SUMIF(Disbursements!$B:$B,Ageing!$B35,Disbursements!AQ:AQ)</f>
        <v>140999.99999999997</v>
      </c>
      <c r="H35" s="364">
        <f ca="1">SUMIF(Disbursements!$B:$B,Ageing!$B35,Disbursements!AS:AS)</f>
        <v>31</v>
      </c>
      <c r="I35" s="364">
        <f t="shared" ca="1" si="3"/>
        <v>1</v>
      </c>
      <c r="J35" s="369">
        <f ca="1">SUMIFS(Disbursements!$AP:$AP,Disbursements!$B:$B,Ageing!$B35,Disbursements!$AT:$AT,Ageing!J$4)</f>
        <v>0</v>
      </c>
      <c r="K35" s="369">
        <f ca="1">SUMIFS(Disbursements!$AP:$AP,Disbursements!$B:$B,Ageing!$B35,Disbursements!$AT:$AT,Ageing!K$4)</f>
        <v>0</v>
      </c>
      <c r="L35" s="369">
        <f ca="1">SUMIFS(Disbursements!$AP:$AP,Disbursements!$B:$B,Ageing!$B35,Disbursements!$AT:$AT,Ageing!L$4)</f>
        <v>140999.99999999997</v>
      </c>
      <c r="M35" s="369">
        <f ca="1">SUMIFS(Disbursements!$AP:$AP,Disbursements!$B:$B,Ageing!$B35,Disbursements!$AT:$AT,Ageing!M$4)</f>
        <v>0</v>
      </c>
      <c r="N35" s="369">
        <f ca="1">SUMIFS(Disbursements!$AP:$AP,Disbursements!$B:$B,Ageing!$B35,Disbursements!$AT:$AT,Ageing!N$4)</f>
        <v>0</v>
      </c>
      <c r="O35" s="369">
        <f ca="1">SUMIFS(Disbursements!$AP:$AP,Disbursements!$B:$B,Ageing!$B35,Disbursements!$AT:$AT,Ageing!O$4)</f>
        <v>0</v>
      </c>
    </row>
    <row r="36" spans="1:15" x14ac:dyDescent="0.2">
      <c r="A36" s="179" t="str">
        <f>IFERROR(VLOOKUP($B36,'Clients-Live'!$A:$C,3,30),"")</f>
        <v>BAKO LINA ESERU</v>
      </c>
      <c r="B36" s="480">
        <v>32</v>
      </c>
      <c r="C36" s="370" t="str">
        <f>IFERROR(INDEX(Disbursements!$J:$J,MATCH(Ageing!B36,Disbursements!$B:$B,0)),"No Loan")</f>
        <v>Jerome</v>
      </c>
      <c r="D36" s="364">
        <f>SUMIF(Disbursements!$B:$B,Ageing!$B36,Disbursements!AN:AN)</f>
        <v>99000</v>
      </c>
      <c r="E36" s="364">
        <f>SUMIF(Disbursements!$B:$B,Ageing!$B36,Disbursements!AO:AO)</f>
        <v>333500</v>
      </c>
      <c r="F36" s="365">
        <f t="shared" si="2"/>
        <v>432500</v>
      </c>
      <c r="G36" s="364">
        <f ca="1">SUMIF(Disbursements!$B:$B,Ageing!$B36,Disbursements!AQ:AQ)</f>
        <v>432500</v>
      </c>
      <c r="H36" s="364">
        <f ca="1">SUMIF(Disbursements!$B:$B,Ageing!$B36,Disbursements!AS:AS)</f>
        <v>98</v>
      </c>
      <c r="I36" s="364">
        <f t="shared" ca="1" si="3"/>
        <v>1</v>
      </c>
      <c r="J36" s="369">
        <f ca="1">SUMIFS(Disbursements!$AP:$AP,Disbursements!$B:$B,Ageing!$B36,Disbursements!$AT:$AT,Ageing!J$4)</f>
        <v>0</v>
      </c>
      <c r="K36" s="369">
        <f ca="1">SUMIFS(Disbursements!$AP:$AP,Disbursements!$B:$B,Ageing!$B36,Disbursements!$AT:$AT,Ageing!K$4)</f>
        <v>0</v>
      </c>
      <c r="L36" s="369">
        <f ca="1">SUMIFS(Disbursements!$AP:$AP,Disbursements!$B:$B,Ageing!$B36,Disbursements!$AT:$AT,Ageing!L$4)</f>
        <v>0</v>
      </c>
      <c r="M36" s="369">
        <f ca="1">SUMIFS(Disbursements!$AP:$AP,Disbursements!$B:$B,Ageing!$B36,Disbursements!$AT:$AT,Ageing!M$4)</f>
        <v>0</v>
      </c>
      <c r="N36" s="369">
        <f ca="1">SUMIFS(Disbursements!$AP:$AP,Disbursements!$B:$B,Ageing!$B36,Disbursements!$AT:$AT,Ageing!N$4)</f>
        <v>432500</v>
      </c>
      <c r="O36" s="369">
        <f ca="1">SUMIFS(Disbursements!$AP:$AP,Disbursements!$B:$B,Ageing!$B36,Disbursements!$AT:$AT,Ageing!O$4)</f>
        <v>0</v>
      </c>
    </row>
    <row r="37" spans="1:15" x14ac:dyDescent="0.2">
      <c r="A37" s="179" t="str">
        <f>IFERROR(VLOOKUP($B37,'Clients-Live'!$A:$C,3,30),"")</f>
        <v>MUZEE OMAR</v>
      </c>
      <c r="B37" s="480">
        <v>33</v>
      </c>
      <c r="C37" s="370" t="str">
        <f>IFERROR(INDEX(Disbursements!$J:$J,MATCH(Ageing!B37,Disbursements!$B:$B,0)),"No Loan")</f>
        <v>Kana</v>
      </c>
      <c r="D37" s="364">
        <f>SUMIF(Disbursements!$B:$B,Ageing!$B37,Disbursements!AN:AN)</f>
        <v>0</v>
      </c>
      <c r="E37" s="364">
        <f>SUMIF(Disbursements!$B:$B,Ageing!$B37,Disbursements!AO:AO)</f>
        <v>0</v>
      </c>
      <c r="F37" s="365">
        <f t="shared" si="2"/>
        <v>0</v>
      </c>
      <c r="G37" s="364">
        <f ca="1">SUMIF(Disbursements!$B:$B,Ageing!$B37,Disbursements!AQ:AQ)</f>
        <v>0</v>
      </c>
      <c r="H37" s="364">
        <f ca="1">SUMIF(Disbursements!$B:$B,Ageing!$B37,Disbursements!AS:AS)</f>
        <v>0</v>
      </c>
      <c r="I37" s="364">
        <f t="shared" si="3"/>
        <v>0</v>
      </c>
      <c r="J37" s="369">
        <f>SUMIFS(Disbursements!$AP:$AP,Disbursements!$B:$B,Ageing!$B37,Disbursements!$AT:$AT,Ageing!J$4)</f>
        <v>0</v>
      </c>
      <c r="K37" s="369">
        <f>SUMIFS(Disbursements!$AP:$AP,Disbursements!$B:$B,Ageing!$B37,Disbursements!$AT:$AT,Ageing!K$4)</f>
        <v>0</v>
      </c>
      <c r="L37" s="369">
        <f>SUMIFS(Disbursements!$AP:$AP,Disbursements!$B:$B,Ageing!$B37,Disbursements!$AT:$AT,Ageing!L$4)</f>
        <v>0</v>
      </c>
      <c r="M37" s="369">
        <f>SUMIFS(Disbursements!$AP:$AP,Disbursements!$B:$B,Ageing!$B37,Disbursements!$AT:$AT,Ageing!M$4)</f>
        <v>0</v>
      </c>
      <c r="N37" s="369">
        <f>SUMIFS(Disbursements!$AP:$AP,Disbursements!$B:$B,Ageing!$B37,Disbursements!$AT:$AT,Ageing!N$4)</f>
        <v>0</v>
      </c>
      <c r="O37" s="369">
        <f>SUMIFS(Disbursements!$AP:$AP,Disbursements!$B:$B,Ageing!$B37,Disbursements!$AT:$AT,Ageing!O$4)</f>
        <v>0</v>
      </c>
    </row>
    <row r="38" spans="1:15" x14ac:dyDescent="0.2">
      <c r="A38" s="179" t="str">
        <f>IFERROR(VLOOKUP($B38,'Clients-Live'!$A:$C,3,30),"")</f>
        <v>APEKURU FLORENCE</v>
      </c>
      <c r="B38" s="480">
        <v>34</v>
      </c>
      <c r="C38" s="370" t="str">
        <f>IFERROR(INDEX(Disbursements!$J:$J,MATCH(Ageing!B38,Disbursements!$B:$B,0)),"No Loan")</f>
        <v>Jerome</v>
      </c>
      <c r="D38" s="364">
        <f>SUMIF(Disbursements!$B:$B,Ageing!$B38,Disbursements!AN:AN)</f>
        <v>0</v>
      </c>
      <c r="E38" s="364">
        <f>SUMIF(Disbursements!$B:$B,Ageing!$B38,Disbursements!AO:AO)</f>
        <v>0</v>
      </c>
      <c r="F38" s="365">
        <f t="shared" si="2"/>
        <v>0</v>
      </c>
      <c r="G38" s="364">
        <f ca="1">SUMIF(Disbursements!$B:$B,Ageing!$B38,Disbursements!AQ:AQ)</f>
        <v>0</v>
      </c>
      <c r="H38" s="364">
        <f ca="1">SUMIF(Disbursements!$B:$B,Ageing!$B38,Disbursements!AS:AS)</f>
        <v>0</v>
      </c>
      <c r="I38" s="364">
        <f t="shared" si="3"/>
        <v>0</v>
      </c>
      <c r="J38" s="369">
        <f>SUMIFS(Disbursements!$AP:$AP,Disbursements!$B:$B,Ageing!$B38,Disbursements!$AT:$AT,Ageing!J$4)</f>
        <v>0</v>
      </c>
      <c r="K38" s="369">
        <f>SUMIFS(Disbursements!$AP:$AP,Disbursements!$B:$B,Ageing!$B38,Disbursements!$AT:$AT,Ageing!K$4)</f>
        <v>0</v>
      </c>
      <c r="L38" s="369">
        <f>SUMIFS(Disbursements!$AP:$AP,Disbursements!$B:$B,Ageing!$B38,Disbursements!$AT:$AT,Ageing!L$4)</f>
        <v>0</v>
      </c>
      <c r="M38" s="369">
        <f>SUMIFS(Disbursements!$AP:$AP,Disbursements!$B:$B,Ageing!$B38,Disbursements!$AT:$AT,Ageing!M$4)</f>
        <v>0</v>
      </c>
      <c r="N38" s="369">
        <f>SUMIFS(Disbursements!$AP:$AP,Disbursements!$B:$B,Ageing!$B38,Disbursements!$AT:$AT,Ageing!N$4)</f>
        <v>0</v>
      </c>
      <c r="O38" s="369">
        <f>SUMIFS(Disbursements!$AP:$AP,Disbursements!$B:$B,Ageing!$B38,Disbursements!$AT:$AT,Ageing!O$4)</f>
        <v>0</v>
      </c>
    </row>
    <row r="39" spans="1:15" x14ac:dyDescent="0.2">
      <c r="A39" s="179" t="str">
        <f>IFERROR(VLOOKUP($B39,'Clients-Live'!$A:$C,3,30),"")</f>
        <v>ALEZUYO DOCUS</v>
      </c>
      <c r="B39" s="480">
        <v>35</v>
      </c>
      <c r="C39" s="370" t="str">
        <f>IFERROR(INDEX(Disbursements!$J:$J,MATCH(Ageing!B39,Disbursements!$B:$B,0)),"No Loan")</f>
        <v>Kana</v>
      </c>
      <c r="D39" s="364">
        <f>SUMIF(Disbursements!$B:$B,Ageing!$B39,Disbursements!AN:AN)</f>
        <v>1000</v>
      </c>
      <c r="E39" s="364">
        <f>SUMIF(Disbursements!$B:$B,Ageing!$B39,Disbursements!AO:AO)</f>
        <v>539000</v>
      </c>
      <c r="F39" s="365">
        <f t="shared" si="2"/>
        <v>540000</v>
      </c>
      <c r="G39" s="364">
        <f ca="1">SUMIF(Disbursements!$B:$B,Ageing!$B39,Disbursements!AQ:AQ)</f>
        <v>540000</v>
      </c>
      <c r="H39" s="364">
        <f ca="1">SUMIF(Disbursements!$B:$B,Ageing!$B39,Disbursements!AS:AS)</f>
        <v>65</v>
      </c>
      <c r="I39" s="364">
        <f t="shared" ca="1" si="3"/>
        <v>1</v>
      </c>
      <c r="J39" s="369">
        <f ca="1">SUMIFS(Disbursements!$AP:$AP,Disbursements!$B:$B,Ageing!$B39,Disbursements!$AT:$AT,Ageing!J$4)</f>
        <v>0</v>
      </c>
      <c r="K39" s="369">
        <f ca="1">SUMIFS(Disbursements!$AP:$AP,Disbursements!$B:$B,Ageing!$B39,Disbursements!$AT:$AT,Ageing!K$4)</f>
        <v>0</v>
      </c>
      <c r="L39" s="369">
        <f ca="1">SUMIFS(Disbursements!$AP:$AP,Disbursements!$B:$B,Ageing!$B39,Disbursements!$AT:$AT,Ageing!L$4)</f>
        <v>0</v>
      </c>
      <c r="M39" s="369">
        <f ca="1">SUMIFS(Disbursements!$AP:$AP,Disbursements!$B:$B,Ageing!$B39,Disbursements!$AT:$AT,Ageing!M$4)</f>
        <v>540000</v>
      </c>
      <c r="N39" s="369">
        <f ca="1">SUMIFS(Disbursements!$AP:$AP,Disbursements!$B:$B,Ageing!$B39,Disbursements!$AT:$AT,Ageing!N$4)</f>
        <v>0</v>
      </c>
      <c r="O39" s="369">
        <f ca="1">SUMIFS(Disbursements!$AP:$AP,Disbursements!$B:$B,Ageing!$B39,Disbursements!$AT:$AT,Ageing!O$4)</f>
        <v>0</v>
      </c>
    </row>
    <row r="40" spans="1:15" x14ac:dyDescent="0.2">
      <c r="A40" s="179" t="str">
        <f>IFERROR(VLOOKUP($B40,'Clients-Live'!$A:$C,3,30),"")</f>
        <v>AMANIYO CHRISTINE</v>
      </c>
      <c r="B40" s="480">
        <v>36</v>
      </c>
      <c r="C40" s="370" t="str">
        <f>IFERROR(INDEX(Disbursements!$J:$J,MATCH(Ageing!B40,Disbursements!$B:$B,0)),"No Loan")</f>
        <v>No Loan</v>
      </c>
      <c r="D40" s="364">
        <f>SUMIF(Disbursements!$B:$B,Ageing!$B40,Disbursements!AN:AN)</f>
        <v>0</v>
      </c>
      <c r="E40" s="364">
        <f>SUMIF(Disbursements!$B:$B,Ageing!$B40,Disbursements!AO:AO)</f>
        <v>0</v>
      </c>
      <c r="F40" s="365">
        <f t="shared" si="2"/>
        <v>0</v>
      </c>
      <c r="G40" s="364">
        <f>SUMIF(Disbursements!$B:$B,Ageing!$B40,Disbursements!AQ:AQ)</f>
        <v>0</v>
      </c>
      <c r="H40" s="364">
        <f>SUMIF(Disbursements!$B:$B,Ageing!$B40,Disbursements!AS:AS)</f>
        <v>0</v>
      </c>
      <c r="I40" s="364">
        <f t="shared" si="3"/>
        <v>0</v>
      </c>
      <c r="J40" s="369">
        <f>SUMIFS(Disbursements!$AP:$AP,Disbursements!$B:$B,Ageing!$B40,Disbursements!$AT:$AT,Ageing!J$4)</f>
        <v>0</v>
      </c>
      <c r="K40" s="369">
        <f>SUMIFS(Disbursements!$AP:$AP,Disbursements!$B:$B,Ageing!$B40,Disbursements!$AT:$AT,Ageing!K$4)</f>
        <v>0</v>
      </c>
      <c r="L40" s="369">
        <f>SUMIFS(Disbursements!$AP:$AP,Disbursements!$B:$B,Ageing!$B40,Disbursements!$AT:$AT,Ageing!L$4)</f>
        <v>0</v>
      </c>
      <c r="M40" s="369">
        <f>SUMIFS(Disbursements!$AP:$AP,Disbursements!$B:$B,Ageing!$B40,Disbursements!$AT:$AT,Ageing!M$4)</f>
        <v>0</v>
      </c>
      <c r="N40" s="369">
        <f>SUMIFS(Disbursements!$AP:$AP,Disbursements!$B:$B,Ageing!$B40,Disbursements!$AT:$AT,Ageing!N$4)</f>
        <v>0</v>
      </c>
      <c r="O40" s="369">
        <f>SUMIFS(Disbursements!$AP:$AP,Disbursements!$B:$B,Ageing!$B40,Disbursements!$AT:$AT,Ageing!O$4)</f>
        <v>0</v>
      </c>
    </row>
    <row r="41" spans="1:15" x14ac:dyDescent="0.2">
      <c r="A41" s="179" t="str">
        <f>IFERROR(VLOOKUP($B41,'Clients-Live'!$A:$C,3,30),"")</f>
        <v>WANDWALI AMISI</v>
      </c>
      <c r="B41" s="480">
        <v>37</v>
      </c>
      <c r="C41" s="370" t="str">
        <f>IFERROR(INDEX(Disbursements!$J:$J,MATCH(Ageing!B41,Disbursements!$B:$B,0)),"No Loan")</f>
        <v>Kana</v>
      </c>
      <c r="D41" s="364">
        <f>SUMIF(Disbursements!$B:$B,Ageing!$B41,Disbursements!AN:AN)</f>
        <v>0</v>
      </c>
      <c r="E41" s="364">
        <f>SUMIF(Disbursements!$B:$B,Ageing!$B41,Disbursements!AO:AO)</f>
        <v>0</v>
      </c>
      <c r="F41" s="365">
        <f t="shared" si="2"/>
        <v>0</v>
      </c>
      <c r="G41" s="364">
        <f ca="1">SUMIF(Disbursements!$B:$B,Ageing!$B41,Disbursements!AQ:AQ)</f>
        <v>0</v>
      </c>
      <c r="H41" s="364">
        <f ca="1">SUMIF(Disbursements!$B:$B,Ageing!$B41,Disbursements!AS:AS)</f>
        <v>0</v>
      </c>
      <c r="I41" s="364">
        <f t="shared" si="3"/>
        <v>0</v>
      </c>
      <c r="J41" s="369">
        <f>SUMIFS(Disbursements!$AP:$AP,Disbursements!$B:$B,Ageing!$B41,Disbursements!$AT:$AT,Ageing!J$4)</f>
        <v>0</v>
      </c>
      <c r="K41" s="369">
        <f>SUMIFS(Disbursements!$AP:$AP,Disbursements!$B:$B,Ageing!$B41,Disbursements!$AT:$AT,Ageing!K$4)</f>
        <v>0</v>
      </c>
      <c r="L41" s="369">
        <f>SUMIFS(Disbursements!$AP:$AP,Disbursements!$B:$B,Ageing!$B41,Disbursements!$AT:$AT,Ageing!L$4)</f>
        <v>0</v>
      </c>
      <c r="M41" s="369">
        <f>SUMIFS(Disbursements!$AP:$AP,Disbursements!$B:$B,Ageing!$B41,Disbursements!$AT:$AT,Ageing!M$4)</f>
        <v>0</v>
      </c>
      <c r="N41" s="369">
        <f>SUMIFS(Disbursements!$AP:$AP,Disbursements!$B:$B,Ageing!$B41,Disbursements!$AT:$AT,Ageing!N$4)</f>
        <v>0</v>
      </c>
      <c r="O41" s="369">
        <f>SUMIFS(Disbursements!$AP:$AP,Disbursements!$B:$B,Ageing!$B41,Disbursements!$AT:$AT,Ageing!O$4)</f>
        <v>0</v>
      </c>
    </row>
    <row r="42" spans="1:15" x14ac:dyDescent="0.2">
      <c r="A42" s="179" t="str">
        <f>IFERROR(VLOOKUP($B42,'Clients-Live'!$A:$C,3,30),"")</f>
        <v>ANGUZU CHRIS RONALD</v>
      </c>
      <c r="B42" s="480">
        <v>38</v>
      </c>
      <c r="C42" s="370" t="str">
        <f>IFERROR(INDEX(Disbursements!$J:$J,MATCH(Ageing!B42,Disbursements!$B:$B,0)),"No Loan")</f>
        <v>Jerome</v>
      </c>
      <c r="D42" s="364">
        <f>SUMIF(Disbursements!$B:$B,Ageing!$B42,Disbursements!AN:AN)</f>
        <v>0</v>
      </c>
      <c r="E42" s="364">
        <f>SUMIF(Disbursements!$B:$B,Ageing!$B42,Disbursements!AO:AO)</f>
        <v>0</v>
      </c>
      <c r="F42" s="365">
        <f t="shared" si="2"/>
        <v>0</v>
      </c>
      <c r="G42" s="364">
        <f ca="1">SUMIF(Disbursements!$B:$B,Ageing!$B42,Disbursements!AQ:AQ)</f>
        <v>0</v>
      </c>
      <c r="H42" s="364">
        <f ca="1">SUMIF(Disbursements!$B:$B,Ageing!$B42,Disbursements!AS:AS)</f>
        <v>0</v>
      </c>
      <c r="I42" s="364">
        <f t="shared" si="3"/>
        <v>0</v>
      </c>
      <c r="J42" s="369">
        <f>SUMIFS(Disbursements!$AP:$AP,Disbursements!$B:$B,Ageing!$B42,Disbursements!$AT:$AT,Ageing!J$4)</f>
        <v>0</v>
      </c>
      <c r="K42" s="369">
        <f>SUMIFS(Disbursements!$AP:$AP,Disbursements!$B:$B,Ageing!$B42,Disbursements!$AT:$AT,Ageing!K$4)</f>
        <v>0</v>
      </c>
      <c r="L42" s="369">
        <f>SUMIFS(Disbursements!$AP:$AP,Disbursements!$B:$B,Ageing!$B42,Disbursements!$AT:$AT,Ageing!L$4)</f>
        <v>0</v>
      </c>
      <c r="M42" s="369">
        <f>SUMIFS(Disbursements!$AP:$AP,Disbursements!$B:$B,Ageing!$B42,Disbursements!$AT:$AT,Ageing!M$4)</f>
        <v>0</v>
      </c>
      <c r="N42" s="369">
        <f>SUMIFS(Disbursements!$AP:$AP,Disbursements!$B:$B,Ageing!$B42,Disbursements!$AT:$AT,Ageing!N$4)</f>
        <v>0</v>
      </c>
      <c r="O42" s="369">
        <f>SUMIFS(Disbursements!$AP:$AP,Disbursements!$B:$B,Ageing!$B42,Disbursements!$AT:$AT,Ageing!O$4)</f>
        <v>0</v>
      </c>
    </row>
    <row r="43" spans="1:15" x14ac:dyDescent="0.2">
      <c r="A43" s="179" t="str">
        <f>IFERROR(VLOOKUP($B43,'Clients-Live'!$A:$C,3,30),"")</f>
        <v>ORODRIYO SUMAYA HARRIET</v>
      </c>
      <c r="B43" s="480">
        <v>39</v>
      </c>
      <c r="C43" s="370" t="str">
        <f>IFERROR(INDEX(Disbursements!$J:$J,MATCH(Ageing!B43,Disbursements!$B:$B,0)),"No Loan")</f>
        <v>No Loan</v>
      </c>
      <c r="D43" s="364">
        <f>SUMIF(Disbursements!$B:$B,Ageing!$B43,Disbursements!AN:AN)</f>
        <v>0</v>
      </c>
      <c r="E43" s="364">
        <f>SUMIF(Disbursements!$B:$B,Ageing!$B43,Disbursements!AO:AO)</f>
        <v>0</v>
      </c>
      <c r="F43" s="365">
        <f t="shared" si="2"/>
        <v>0</v>
      </c>
      <c r="G43" s="364">
        <f>SUMIF(Disbursements!$B:$B,Ageing!$B43,Disbursements!AQ:AQ)</f>
        <v>0</v>
      </c>
      <c r="H43" s="364">
        <f>SUMIF(Disbursements!$B:$B,Ageing!$B43,Disbursements!AS:AS)</f>
        <v>0</v>
      </c>
      <c r="I43" s="364">
        <f t="shared" si="3"/>
        <v>0</v>
      </c>
      <c r="J43" s="369">
        <f>SUMIFS(Disbursements!$AP:$AP,Disbursements!$B:$B,Ageing!$B43,Disbursements!$AT:$AT,Ageing!J$4)</f>
        <v>0</v>
      </c>
      <c r="K43" s="369">
        <f>SUMIFS(Disbursements!$AP:$AP,Disbursements!$B:$B,Ageing!$B43,Disbursements!$AT:$AT,Ageing!K$4)</f>
        <v>0</v>
      </c>
      <c r="L43" s="369">
        <f>SUMIFS(Disbursements!$AP:$AP,Disbursements!$B:$B,Ageing!$B43,Disbursements!$AT:$AT,Ageing!L$4)</f>
        <v>0</v>
      </c>
      <c r="M43" s="369">
        <f>SUMIFS(Disbursements!$AP:$AP,Disbursements!$B:$B,Ageing!$B43,Disbursements!$AT:$AT,Ageing!M$4)</f>
        <v>0</v>
      </c>
      <c r="N43" s="369">
        <f>SUMIFS(Disbursements!$AP:$AP,Disbursements!$B:$B,Ageing!$B43,Disbursements!$AT:$AT,Ageing!N$4)</f>
        <v>0</v>
      </c>
      <c r="O43" s="369">
        <f>SUMIFS(Disbursements!$AP:$AP,Disbursements!$B:$B,Ageing!$B43,Disbursements!$AT:$AT,Ageing!O$4)</f>
        <v>0</v>
      </c>
    </row>
    <row r="44" spans="1:15" x14ac:dyDescent="0.2">
      <c r="A44" s="179" t="str">
        <f>IFERROR(VLOOKUP($B44,'Clients-Live'!$A:$C,3,30),"")</f>
        <v>TABU JANE</v>
      </c>
      <c r="B44" s="480">
        <v>40</v>
      </c>
      <c r="C44" s="370" t="str">
        <f>IFERROR(INDEX(Disbursements!$J:$J,MATCH(Ageing!B44,Disbursements!$B:$B,0)),"No Loan")</f>
        <v>Aroma</v>
      </c>
      <c r="D44" s="364">
        <f>SUMIF(Disbursements!$B:$B,Ageing!$B44,Disbursements!AN:AN)</f>
        <v>0</v>
      </c>
      <c r="E44" s="364">
        <f>SUMIF(Disbursements!$B:$B,Ageing!$B44,Disbursements!AO:AO)</f>
        <v>249300.00000000012</v>
      </c>
      <c r="F44" s="365">
        <f t="shared" si="2"/>
        <v>249300.00000000012</v>
      </c>
      <c r="G44" s="364">
        <f ca="1">SUMIF(Disbursements!$B:$B,Ageing!$B44,Disbursements!AQ:AQ)</f>
        <v>249300.00000000012</v>
      </c>
      <c r="H44" s="364">
        <f ca="1">SUMIF(Disbursements!$B:$B,Ageing!$B44,Disbursements!AS:AS)</f>
        <v>35</v>
      </c>
      <c r="I44" s="364">
        <f t="shared" ca="1" si="3"/>
        <v>1</v>
      </c>
      <c r="J44" s="369">
        <f ca="1">SUMIFS(Disbursements!$AP:$AP,Disbursements!$B:$B,Ageing!$B44,Disbursements!$AT:$AT,Ageing!J$4)</f>
        <v>0</v>
      </c>
      <c r="K44" s="369">
        <f ca="1">SUMIFS(Disbursements!$AP:$AP,Disbursements!$B:$B,Ageing!$B44,Disbursements!$AT:$AT,Ageing!K$4)</f>
        <v>0</v>
      </c>
      <c r="L44" s="369">
        <f ca="1">SUMIFS(Disbursements!$AP:$AP,Disbursements!$B:$B,Ageing!$B44,Disbursements!$AT:$AT,Ageing!L$4)</f>
        <v>249300.00000000012</v>
      </c>
      <c r="M44" s="369">
        <f ca="1">SUMIFS(Disbursements!$AP:$AP,Disbursements!$B:$B,Ageing!$B44,Disbursements!$AT:$AT,Ageing!M$4)</f>
        <v>0</v>
      </c>
      <c r="N44" s="369">
        <f ca="1">SUMIFS(Disbursements!$AP:$AP,Disbursements!$B:$B,Ageing!$B44,Disbursements!$AT:$AT,Ageing!N$4)</f>
        <v>0</v>
      </c>
      <c r="O44" s="369">
        <f ca="1">SUMIFS(Disbursements!$AP:$AP,Disbursements!$B:$B,Ageing!$B44,Disbursements!$AT:$AT,Ageing!O$4)</f>
        <v>0</v>
      </c>
    </row>
    <row r="45" spans="1:15" x14ac:dyDescent="0.2">
      <c r="A45" s="179" t="str">
        <f>IFERROR(VLOOKUP($B45,'Clients-Live'!$A:$C,3,30),"")</f>
        <v>ANGUYO RONALD</v>
      </c>
      <c r="B45" s="480">
        <v>41</v>
      </c>
      <c r="C45" s="370" t="str">
        <f>IFERROR(INDEX(Disbursements!$J:$J,MATCH(Ageing!B45,Disbursements!$B:$B,0)),"No Loan")</f>
        <v>Aroma</v>
      </c>
      <c r="D45" s="364">
        <f>SUMIF(Disbursements!$B:$B,Ageing!$B45,Disbursements!AN:AN)</f>
        <v>0</v>
      </c>
      <c r="E45" s="364">
        <f>SUMIF(Disbursements!$B:$B,Ageing!$B45,Disbursements!AO:AO)</f>
        <v>0</v>
      </c>
      <c r="F45" s="365">
        <f t="shared" si="2"/>
        <v>0</v>
      </c>
      <c r="G45" s="364">
        <f ca="1">SUMIF(Disbursements!$B:$B,Ageing!$B45,Disbursements!AQ:AQ)</f>
        <v>0</v>
      </c>
      <c r="H45" s="364">
        <f ca="1">SUMIF(Disbursements!$B:$B,Ageing!$B45,Disbursements!AS:AS)</f>
        <v>0</v>
      </c>
      <c r="I45" s="364">
        <f t="shared" si="3"/>
        <v>0</v>
      </c>
      <c r="J45" s="369">
        <f>SUMIFS(Disbursements!$AP:$AP,Disbursements!$B:$B,Ageing!$B45,Disbursements!$AT:$AT,Ageing!J$4)</f>
        <v>0</v>
      </c>
      <c r="K45" s="369">
        <f>SUMIFS(Disbursements!$AP:$AP,Disbursements!$B:$B,Ageing!$B45,Disbursements!$AT:$AT,Ageing!K$4)</f>
        <v>0</v>
      </c>
      <c r="L45" s="369">
        <f>SUMIFS(Disbursements!$AP:$AP,Disbursements!$B:$B,Ageing!$B45,Disbursements!$AT:$AT,Ageing!L$4)</f>
        <v>0</v>
      </c>
      <c r="M45" s="369">
        <f>SUMIFS(Disbursements!$AP:$AP,Disbursements!$B:$B,Ageing!$B45,Disbursements!$AT:$AT,Ageing!M$4)</f>
        <v>0</v>
      </c>
      <c r="N45" s="369">
        <f>SUMIFS(Disbursements!$AP:$AP,Disbursements!$B:$B,Ageing!$B45,Disbursements!$AT:$AT,Ageing!N$4)</f>
        <v>0</v>
      </c>
      <c r="O45" s="369">
        <f>SUMIFS(Disbursements!$AP:$AP,Disbursements!$B:$B,Ageing!$B45,Disbursements!$AT:$AT,Ageing!O$4)</f>
        <v>0</v>
      </c>
    </row>
    <row r="46" spans="1:15" x14ac:dyDescent="0.2">
      <c r="A46" s="179" t="str">
        <f>IFERROR(VLOOKUP($B46,'Clients-Live'!$A:$C,3,30),"")</f>
        <v>ABAU   NOLA</v>
      </c>
      <c r="B46" s="480">
        <v>42</v>
      </c>
      <c r="C46" s="370" t="str">
        <f>IFERROR(INDEX(Disbursements!$J:$J,MATCH(Ageing!B46,Disbursements!$B:$B,0)),"No Loan")</f>
        <v>Jerome</v>
      </c>
      <c r="D46" s="364">
        <f>SUMIF(Disbursements!$B:$B,Ageing!$B46,Disbursements!AN:AN)</f>
        <v>1666.6666666666715</v>
      </c>
      <c r="E46" s="364">
        <f>SUMIF(Disbursements!$B:$B,Ageing!$B46,Disbursements!AO:AO)</f>
        <v>124333.33333333334</v>
      </c>
      <c r="F46" s="365">
        <f t="shared" si="2"/>
        <v>126000.00000000001</v>
      </c>
      <c r="G46" s="364">
        <f ca="1">SUMIF(Disbursements!$B:$B,Ageing!$B46,Disbursements!AQ:AQ)</f>
        <v>126000.00000000001</v>
      </c>
      <c r="H46" s="364">
        <f ca="1">SUMIF(Disbursements!$B:$B,Ageing!$B46,Disbursements!AS:AS)</f>
        <v>38</v>
      </c>
      <c r="I46" s="364">
        <f t="shared" ca="1" si="3"/>
        <v>1</v>
      </c>
      <c r="J46" s="369">
        <f ca="1">SUMIFS(Disbursements!$AP:$AP,Disbursements!$B:$B,Ageing!$B46,Disbursements!$AT:$AT,Ageing!J$4)</f>
        <v>0</v>
      </c>
      <c r="K46" s="369">
        <f ca="1">SUMIFS(Disbursements!$AP:$AP,Disbursements!$B:$B,Ageing!$B46,Disbursements!$AT:$AT,Ageing!K$4)</f>
        <v>0</v>
      </c>
      <c r="L46" s="369">
        <f ca="1">SUMIFS(Disbursements!$AP:$AP,Disbursements!$B:$B,Ageing!$B46,Disbursements!$AT:$AT,Ageing!L$4)</f>
        <v>126000.00000000001</v>
      </c>
      <c r="M46" s="369">
        <f ca="1">SUMIFS(Disbursements!$AP:$AP,Disbursements!$B:$B,Ageing!$B46,Disbursements!$AT:$AT,Ageing!M$4)</f>
        <v>0</v>
      </c>
      <c r="N46" s="369">
        <f ca="1">SUMIFS(Disbursements!$AP:$AP,Disbursements!$B:$B,Ageing!$B46,Disbursements!$AT:$AT,Ageing!N$4)</f>
        <v>0</v>
      </c>
      <c r="O46" s="369">
        <f ca="1">SUMIFS(Disbursements!$AP:$AP,Disbursements!$B:$B,Ageing!$B46,Disbursements!$AT:$AT,Ageing!O$4)</f>
        <v>0</v>
      </c>
    </row>
    <row r="47" spans="1:15" x14ac:dyDescent="0.2">
      <c r="A47" s="179" t="str">
        <f>IFERROR(VLOOKUP($B47,'Clients-Live'!$A:$C,3,30),"")</f>
        <v>APUNIKI LOICE</v>
      </c>
      <c r="B47" s="480">
        <v>43</v>
      </c>
      <c r="C47" s="370" t="str">
        <f>IFERROR(INDEX(Disbursements!$J:$J,MATCH(Ageing!B47,Disbursements!$B:$B,0)),"No Loan")</f>
        <v>Kana</v>
      </c>
      <c r="D47" s="364">
        <f>SUMIF(Disbursements!$B:$B,Ageing!$B47,Disbursements!AN:AN)</f>
        <v>0</v>
      </c>
      <c r="E47" s="364">
        <f>SUMIF(Disbursements!$B:$B,Ageing!$B47,Disbursements!AO:AO)</f>
        <v>0</v>
      </c>
      <c r="F47" s="365">
        <f t="shared" si="2"/>
        <v>0</v>
      </c>
      <c r="G47" s="364">
        <f ca="1">SUMIF(Disbursements!$B:$B,Ageing!$B47,Disbursements!AQ:AQ)</f>
        <v>0</v>
      </c>
      <c r="H47" s="364">
        <f ca="1">SUMIF(Disbursements!$B:$B,Ageing!$B47,Disbursements!AS:AS)</f>
        <v>0</v>
      </c>
      <c r="I47" s="364">
        <f t="shared" si="3"/>
        <v>0</v>
      </c>
      <c r="J47" s="369">
        <f>SUMIFS(Disbursements!$AP:$AP,Disbursements!$B:$B,Ageing!$B47,Disbursements!$AT:$AT,Ageing!J$4)</f>
        <v>0</v>
      </c>
      <c r="K47" s="369">
        <f>SUMIFS(Disbursements!$AP:$AP,Disbursements!$B:$B,Ageing!$B47,Disbursements!$AT:$AT,Ageing!K$4)</f>
        <v>0</v>
      </c>
      <c r="L47" s="369">
        <f>SUMIFS(Disbursements!$AP:$AP,Disbursements!$B:$B,Ageing!$B47,Disbursements!$AT:$AT,Ageing!L$4)</f>
        <v>0</v>
      </c>
      <c r="M47" s="369">
        <f>SUMIFS(Disbursements!$AP:$AP,Disbursements!$B:$B,Ageing!$B47,Disbursements!$AT:$AT,Ageing!M$4)</f>
        <v>0</v>
      </c>
      <c r="N47" s="369">
        <f>SUMIFS(Disbursements!$AP:$AP,Disbursements!$B:$B,Ageing!$B47,Disbursements!$AT:$AT,Ageing!N$4)</f>
        <v>0</v>
      </c>
      <c r="O47" s="369">
        <f>SUMIFS(Disbursements!$AP:$AP,Disbursements!$B:$B,Ageing!$B47,Disbursements!$AT:$AT,Ageing!O$4)</f>
        <v>0</v>
      </c>
    </row>
    <row r="48" spans="1:15" x14ac:dyDescent="0.2">
      <c r="A48" s="179" t="str">
        <f>IFERROR(VLOOKUP($B48,'Clients-Live'!$A:$C,3,30),"")</f>
        <v>CANDIRU HELLEN</v>
      </c>
      <c r="B48" s="480">
        <v>44</v>
      </c>
      <c r="C48" s="370" t="str">
        <f>IFERROR(INDEX(Disbursements!$J:$J,MATCH(Ageing!B48,Disbursements!$B:$B,0)),"No Loan")</f>
        <v>Aroma</v>
      </c>
      <c r="D48" s="364">
        <f>SUMIF(Disbursements!$B:$B,Ageing!$B48,Disbursements!AN:AN)</f>
        <v>150000</v>
      </c>
      <c r="E48" s="364">
        <f>SUMIF(Disbursements!$B:$B,Ageing!$B48,Disbursements!AO:AO)</f>
        <v>635000</v>
      </c>
      <c r="F48" s="365">
        <f t="shared" si="2"/>
        <v>785000</v>
      </c>
      <c r="G48" s="364">
        <f ca="1">SUMIF(Disbursements!$B:$B,Ageing!$B48,Disbursements!AQ:AQ)</f>
        <v>785000</v>
      </c>
      <c r="H48" s="364">
        <f ca="1">SUMIF(Disbursements!$B:$B,Ageing!$B48,Disbursements!AS:AS)</f>
        <v>73</v>
      </c>
      <c r="I48" s="364">
        <f t="shared" ca="1" si="3"/>
        <v>1</v>
      </c>
      <c r="J48" s="369">
        <f ca="1">SUMIFS(Disbursements!$AP:$AP,Disbursements!$B:$B,Ageing!$B48,Disbursements!$AT:$AT,Ageing!J$4)</f>
        <v>0</v>
      </c>
      <c r="K48" s="369">
        <f ca="1">SUMIFS(Disbursements!$AP:$AP,Disbursements!$B:$B,Ageing!$B48,Disbursements!$AT:$AT,Ageing!K$4)</f>
        <v>0</v>
      </c>
      <c r="L48" s="369">
        <f ca="1">SUMIFS(Disbursements!$AP:$AP,Disbursements!$B:$B,Ageing!$B48,Disbursements!$AT:$AT,Ageing!L$4)</f>
        <v>0</v>
      </c>
      <c r="M48" s="369">
        <f ca="1">SUMIFS(Disbursements!$AP:$AP,Disbursements!$B:$B,Ageing!$B48,Disbursements!$AT:$AT,Ageing!M$4)</f>
        <v>785000</v>
      </c>
      <c r="N48" s="369">
        <f ca="1">SUMIFS(Disbursements!$AP:$AP,Disbursements!$B:$B,Ageing!$B48,Disbursements!$AT:$AT,Ageing!N$4)</f>
        <v>0</v>
      </c>
      <c r="O48" s="369">
        <f ca="1">SUMIFS(Disbursements!$AP:$AP,Disbursements!$B:$B,Ageing!$B48,Disbursements!$AT:$AT,Ageing!O$4)</f>
        <v>0</v>
      </c>
    </row>
    <row r="49" spans="1:15" x14ac:dyDescent="0.2">
      <c r="A49" s="179" t="str">
        <f>IFERROR(VLOOKUP($B49,'Clients-Live'!$A:$C,3,30),"")</f>
        <v>SANYA DONALD</v>
      </c>
      <c r="B49" s="480">
        <v>45</v>
      </c>
      <c r="C49" s="370" t="str">
        <f>IFERROR(INDEX(Disbursements!$J:$J,MATCH(Ageing!B49,Disbursements!$B:$B,0)),"No Loan")</f>
        <v>Jerome</v>
      </c>
      <c r="D49" s="364">
        <f>SUMIF(Disbursements!$B:$B,Ageing!$B49,Disbursements!AN:AN)</f>
        <v>0</v>
      </c>
      <c r="E49" s="364">
        <f>SUMIF(Disbursements!$B:$B,Ageing!$B49,Disbursements!AO:AO)</f>
        <v>0</v>
      </c>
      <c r="F49" s="365">
        <f t="shared" si="2"/>
        <v>0</v>
      </c>
      <c r="G49" s="364">
        <f ca="1">SUMIF(Disbursements!$B:$B,Ageing!$B49,Disbursements!AQ:AQ)</f>
        <v>0</v>
      </c>
      <c r="H49" s="364">
        <f ca="1">SUMIF(Disbursements!$B:$B,Ageing!$B49,Disbursements!AS:AS)</f>
        <v>0</v>
      </c>
      <c r="I49" s="364">
        <f t="shared" si="3"/>
        <v>0</v>
      </c>
      <c r="J49" s="369">
        <f>SUMIFS(Disbursements!$AP:$AP,Disbursements!$B:$B,Ageing!$B49,Disbursements!$AT:$AT,Ageing!J$4)</f>
        <v>0</v>
      </c>
      <c r="K49" s="369">
        <f>SUMIFS(Disbursements!$AP:$AP,Disbursements!$B:$B,Ageing!$B49,Disbursements!$AT:$AT,Ageing!K$4)</f>
        <v>0</v>
      </c>
      <c r="L49" s="369">
        <f>SUMIFS(Disbursements!$AP:$AP,Disbursements!$B:$B,Ageing!$B49,Disbursements!$AT:$AT,Ageing!L$4)</f>
        <v>0</v>
      </c>
      <c r="M49" s="369">
        <f>SUMIFS(Disbursements!$AP:$AP,Disbursements!$B:$B,Ageing!$B49,Disbursements!$AT:$AT,Ageing!M$4)</f>
        <v>0</v>
      </c>
      <c r="N49" s="369">
        <f>SUMIFS(Disbursements!$AP:$AP,Disbursements!$B:$B,Ageing!$B49,Disbursements!$AT:$AT,Ageing!N$4)</f>
        <v>0</v>
      </c>
      <c r="O49" s="369">
        <f>SUMIFS(Disbursements!$AP:$AP,Disbursements!$B:$B,Ageing!$B49,Disbursements!$AT:$AT,Ageing!O$4)</f>
        <v>0</v>
      </c>
    </row>
    <row r="50" spans="1:15" x14ac:dyDescent="0.2">
      <c r="A50" s="179" t="str">
        <f>IFERROR(VLOOKUP($B50,'Clients-Live'!$A:$C,3,30),"")</f>
        <v>ALIO YUDA</v>
      </c>
      <c r="B50" s="480">
        <v>46</v>
      </c>
      <c r="C50" s="370" t="str">
        <f>IFERROR(INDEX(Disbursements!$J:$J,MATCH(Ageing!B50,Disbursements!$B:$B,0)),"No Loan")</f>
        <v>Kana</v>
      </c>
      <c r="D50" s="364">
        <f>SUMIF(Disbursements!$B:$B,Ageing!$B50,Disbursements!AN:AN)</f>
        <v>136833.33333333343</v>
      </c>
      <c r="E50" s="364">
        <f>SUMIF(Disbursements!$B:$B,Ageing!$B50,Disbursements!AO:AO)</f>
        <v>477166.66666666698</v>
      </c>
      <c r="F50" s="365">
        <f t="shared" si="2"/>
        <v>614000.00000000047</v>
      </c>
      <c r="G50" s="364">
        <f ca="1">SUMIF(Disbursements!$B:$B,Ageing!$B50,Disbursements!AQ:AQ)</f>
        <v>614000.00000000047</v>
      </c>
      <c r="H50" s="364">
        <f ca="1">SUMIF(Disbursements!$B:$B,Ageing!$B50,Disbursements!AS:AS)</f>
        <v>57</v>
      </c>
      <c r="I50" s="364">
        <f t="shared" ca="1" si="3"/>
        <v>1</v>
      </c>
      <c r="J50" s="369">
        <f ca="1">SUMIFS(Disbursements!$AP:$AP,Disbursements!$B:$B,Ageing!$B50,Disbursements!$AT:$AT,Ageing!J$4)</f>
        <v>0</v>
      </c>
      <c r="K50" s="369">
        <f ca="1">SUMIFS(Disbursements!$AP:$AP,Disbursements!$B:$B,Ageing!$B50,Disbursements!$AT:$AT,Ageing!K$4)</f>
        <v>0</v>
      </c>
      <c r="L50" s="369">
        <f ca="1">SUMIFS(Disbursements!$AP:$AP,Disbursements!$B:$B,Ageing!$B50,Disbursements!$AT:$AT,Ageing!L$4)</f>
        <v>614000.00000000047</v>
      </c>
      <c r="M50" s="369">
        <f ca="1">SUMIFS(Disbursements!$AP:$AP,Disbursements!$B:$B,Ageing!$B50,Disbursements!$AT:$AT,Ageing!M$4)</f>
        <v>0</v>
      </c>
      <c r="N50" s="369">
        <f ca="1">SUMIFS(Disbursements!$AP:$AP,Disbursements!$B:$B,Ageing!$B50,Disbursements!$AT:$AT,Ageing!N$4)</f>
        <v>0</v>
      </c>
      <c r="O50" s="369">
        <f ca="1">SUMIFS(Disbursements!$AP:$AP,Disbursements!$B:$B,Ageing!$B50,Disbursements!$AT:$AT,Ageing!O$4)</f>
        <v>0</v>
      </c>
    </row>
    <row r="51" spans="1:15" x14ac:dyDescent="0.2">
      <c r="A51" s="179" t="str">
        <f>IFERROR(VLOOKUP($B51,'Clients-Live'!$A:$C,3,30),"")</f>
        <v>DAWA AMINA</v>
      </c>
      <c r="B51" s="480">
        <v>47</v>
      </c>
      <c r="C51" s="370" t="str">
        <f>IFERROR(INDEX(Disbursements!$J:$J,MATCH(Ageing!B51,Disbursements!$B:$B,0)),"No Loan")</f>
        <v>No Loan</v>
      </c>
      <c r="D51" s="364">
        <f>SUMIF(Disbursements!$B:$B,Ageing!$B51,Disbursements!AN:AN)</f>
        <v>0</v>
      </c>
      <c r="E51" s="364">
        <f>SUMIF(Disbursements!$B:$B,Ageing!$B51,Disbursements!AO:AO)</f>
        <v>0</v>
      </c>
      <c r="F51" s="365">
        <f t="shared" si="2"/>
        <v>0</v>
      </c>
      <c r="G51" s="364">
        <f>SUMIF(Disbursements!$B:$B,Ageing!$B51,Disbursements!AQ:AQ)</f>
        <v>0</v>
      </c>
      <c r="H51" s="364">
        <f>SUMIF(Disbursements!$B:$B,Ageing!$B51,Disbursements!AS:AS)</f>
        <v>0</v>
      </c>
      <c r="I51" s="364">
        <f t="shared" si="3"/>
        <v>0</v>
      </c>
      <c r="J51" s="369">
        <f>SUMIFS(Disbursements!$AP:$AP,Disbursements!$B:$B,Ageing!$B51,Disbursements!$AT:$AT,Ageing!J$4)</f>
        <v>0</v>
      </c>
      <c r="K51" s="369">
        <f>SUMIFS(Disbursements!$AP:$AP,Disbursements!$B:$B,Ageing!$B51,Disbursements!$AT:$AT,Ageing!K$4)</f>
        <v>0</v>
      </c>
      <c r="L51" s="369">
        <f>SUMIFS(Disbursements!$AP:$AP,Disbursements!$B:$B,Ageing!$B51,Disbursements!$AT:$AT,Ageing!L$4)</f>
        <v>0</v>
      </c>
      <c r="M51" s="369">
        <f>SUMIFS(Disbursements!$AP:$AP,Disbursements!$B:$B,Ageing!$B51,Disbursements!$AT:$AT,Ageing!M$4)</f>
        <v>0</v>
      </c>
      <c r="N51" s="369">
        <f>SUMIFS(Disbursements!$AP:$AP,Disbursements!$B:$B,Ageing!$B51,Disbursements!$AT:$AT,Ageing!N$4)</f>
        <v>0</v>
      </c>
      <c r="O51" s="369">
        <f>SUMIFS(Disbursements!$AP:$AP,Disbursements!$B:$B,Ageing!$B51,Disbursements!$AT:$AT,Ageing!O$4)</f>
        <v>0</v>
      </c>
    </row>
    <row r="52" spans="1:15" x14ac:dyDescent="0.2">
      <c r="A52" s="179" t="str">
        <f>IFERROR(VLOOKUP($B52,'Clients-Live'!$A:$C,3,30),"")</f>
        <v>BAKO KASIA</v>
      </c>
      <c r="B52" s="480">
        <v>48</v>
      </c>
      <c r="C52" s="370" t="str">
        <f>IFERROR(INDEX(Disbursements!$J:$J,MATCH(Ageing!B52,Disbursements!$B:$B,0)),"No Loan")</f>
        <v>Aroma</v>
      </c>
      <c r="D52" s="364">
        <f>SUMIF(Disbursements!$B:$B,Ageing!$B52,Disbursements!AN:AN)</f>
        <v>0</v>
      </c>
      <c r="E52" s="364">
        <f>SUMIF(Disbursements!$B:$B,Ageing!$B52,Disbursements!AO:AO)</f>
        <v>145000</v>
      </c>
      <c r="F52" s="365">
        <f t="shared" si="2"/>
        <v>145000</v>
      </c>
      <c r="G52" s="364">
        <f ca="1">SUMIF(Disbursements!$B:$B,Ageing!$B52,Disbursements!AQ:AQ)</f>
        <v>145000</v>
      </c>
      <c r="H52" s="364">
        <f ca="1">SUMIF(Disbursements!$B:$B,Ageing!$B52,Disbursements!AS:AS)</f>
        <v>29</v>
      </c>
      <c r="I52" s="364">
        <f t="shared" ca="1" si="3"/>
        <v>1</v>
      </c>
      <c r="J52" s="369">
        <f ca="1">SUMIFS(Disbursements!$AP:$AP,Disbursements!$B:$B,Ageing!$B52,Disbursements!$AT:$AT,Ageing!J$4)</f>
        <v>0</v>
      </c>
      <c r="K52" s="369">
        <f ca="1">SUMIFS(Disbursements!$AP:$AP,Disbursements!$B:$B,Ageing!$B52,Disbursements!$AT:$AT,Ageing!K$4)</f>
        <v>145000</v>
      </c>
      <c r="L52" s="369">
        <f ca="1">SUMIFS(Disbursements!$AP:$AP,Disbursements!$B:$B,Ageing!$B52,Disbursements!$AT:$AT,Ageing!L$4)</f>
        <v>0</v>
      </c>
      <c r="M52" s="369">
        <f ca="1">SUMIFS(Disbursements!$AP:$AP,Disbursements!$B:$B,Ageing!$B52,Disbursements!$AT:$AT,Ageing!M$4)</f>
        <v>0</v>
      </c>
      <c r="N52" s="369">
        <f ca="1">SUMIFS(Disbursements!$AP:$AP,Disbursements!$B:$B,Ageing!$B52,Disbursements!$AT:$AT,Ageing!N$4)</f>
        <v>0</v>
      </c>
      <c r="O52" s="369">
        <f ca="1">SUMIFS(Disbursements!$AP:$AP,Disbursements!$B:$B,Ageing!$B52,Disbursements!$AT:$AT,Ageing!O$4)</f>
        <v>0</v>
      </c>
    </row>
    <row r="53" spans="1:15" x14ac:dyDescent="0.2">
      <c r="A53" s="179" t="str">
        <f>IFERROR(VLOOKUP($B53,'Clients-Live'!$A:$C,3,30),"")</f>
        <v>MAWUZU SARAH</v>
      </c>
      <c r="B53" s="480">
        <v>49</v>
      </c>
      <c r="C53" s="370" t="str">
        <f>IFERROR(INDEX(Disbursements!$J:$J,MATCH(Ageing!B53,Disbursements!$B:$B,0)),"No Loan")</f>
        <v>Aroma</v>
      </c>
      <c r="D53" s="364">
        <f>SUMIF(Disbursements!$B:$B,Ageing!$B53,Disbursements!AN:AN)</f>
        <v>0</v>
      </c>
      <c r="E53" s="364">
        <f>SUMIF(Disbursements!$B:$B,Ageing!$B53,Disbursements!AO:AO)</f>
        <v>35000</v>
      </c>
      <c r="F53" s="365">
        <f t="shared" si="2"/>
        <v>35000</v>
      </c>
      <c r="G53" s="364">
        <f ca="1">SUMIF(Disbursements!$B:$B,Ageing!$B53,Disbursements!AQ:AQ)</f>
        <v>35000</v>
      </c>
      <c r="H53" s="364">
        <f ca="1">SUMIF(Disbursements!$B:$B,Ageing!$B53,Disbursements!AS:AS)</f>
        <v>7</v>
      </c>
      <c r="I53" s="364">
        <f t="shared" ca="1" si="3"/>
        <v>1</v>
      </c>
      <c r="J53" s="369">
        <f ca="1">SUMIFS(Disbursements!$AP:$AP,Disbursements!$B:$B,Ageing!$B53,Disbursements!$AT:$AT,Ageing!J$4)</f>
        <v>0</v>
      </c>
      <c r="K53" s="369">
        <f ca="1">SUMIFS(Disbursements!$AP:$AP,Disbursements!$B:$B,Ageing!$B53,Disbursements!$AT:$AT,Ageing!K$4)</f>
        <v>35000</v>
      </c>
      <c r="L53" s="369">
        <f ca="1">SUMIFS(Disbursements!$AP:$AP,Disbursements!$B:$B,Ageing!$B53,Disbursements!$AT:$AT,Ageing!L$4)</f>
        <v>0</v>
      </c>
      <c r="M53" s="369">
        <f ca="1">SUMIFS(Disbursements!$AP:$AP,Disbursements!$B:$B,Ageing!$B53,Disbursements!$AT:$AT,Ageing!M$4)</f>
        <v>0</v>
      </c>
      <c r="N53" s="369">
        <f ca="1">SUMIFS(Disbursements!$AP:$AP,Disbursements!$B:$B,Ageing!$B53,Disbursements!$AT:$AT,Ageing!N$4)</f>
        <v>0</v>
      </c>
      <c r="O53" s="369">
        <f ca="1">SUMIFS(Disbursements!$AP:$AP,Disbursements!$B:$B,Ageing!$B53,Disbursements!$AT:$AT,Ageing!O$4)</f>
        <v>0</v>
      </c>
    </row>
    <row r="54" spans="1:15" x14ac:dyDescent="0.2">
      <c r="A54" s="179" t="str">
        <f>IFERROR(VLOOKUP($B54,'Clients-Live'!$A:$C,3,30),"")</f>
        <v>WACHEKE HARRIET</v>
      </c>
      <c r="B54" s="480">
        <v>50</v>
      </c>
      <c r="C54" s="370" t="str">
        <f>IFERROR(INDEX(Disbursements!$J:$J,MATCH(Ageing!B54,Disbursements!$B:$B,0)),"No Loan")</f>
        <v>Jerome</v>
      </c>
      <c r="D54" s="364">
        <f>SUMIF(Disbursements!$B:$B,Ageing!$B54,Disbursements!AN:AN)</f>
        <v>0</v>
      </c>
      <c r="E54" s="364">
        <f>SUMIF(Disbursements!$B:$B,Ageing!$B54,Disbursements!AO:AO)</f>
        <v>17000</v>
      </c>
      <c r="F54" s="365">
        <f t="shared" si="2"/>
        <v>17000</v>
      </c>
      <c r="G54" s="364">
        <f ca="1">SUMIF(Disbursements!$B:$B,Ageing!$B54,Disbursements!AQ:AQ)</f>
        <v>17000</v>
      </c>
      <c r="H54" s="364">
        <f ca="1">SUMIF(Disbursements!$B:$B,Ageing!$B54,Disbursements!AS:AS)</f>
        <v>2</v>
      </c>
      <c r="I54" s="364">
        <f t="shared" ca="1" si="3"/>
        <v>1</v>
      </c>
      <c r="J54" s="369">
        <f ca="1">SUMIFS(Disbursements!$AP:$AP,Disbursements!$B:$B,Ageing!$B54,Disbursements!$AT:$AT,Ageing!J$4)</f>
        <v>0</v>
      </c>
      <c r="K54" s="369">
        <f ca="1">SUMIFS(Disbursements!$AP:$AP,Disbursements!$B:$B,Ageing!$B54,Disbursements!$AT:$AT,Ageing!K$4)</f>
        <v>17000</v>
      </c>
      <c r="L54" s="369">
        <f ca="1">SUMIFS(Disbursements!$AP:$AP,Disbursements!$B:$B,Ageing!$B54,Disbursements!$AT:$AT,Ageing!L$4)</f>
        <v>0</v>
      </c>
      <c r="M54" s="369">
        <f ca="1">SUMIFS(Disbursements!$AP:$AP,Disbursements!$B:$B,Ageing!$B54,Disbursements!$AT:$AT,Ageing!M$4)</f>
        <v>0</v>
      </c>
      <c r="N54" s="369">
        <f ca="1">SUMIFS(Disbursements!$AP:$AP,Disbursements!$B:$B,Ageing!$B54,Disbursements!$AT:$AT,Ageing!N$4)</f>
        <v>0</v>
      </c>
      <c r="O54" s="369">
        <f ca="1">SUMIFS(Disbursements!$AP:$AP,Disbursements!$B:$B,Ageing!$B54,Disbursements!$AT:$AT,Ageing!O$4)</f>
        <v>0</v>
      </c>
    </row>
    <row r="55" spans="1:15" x14ac:dyDescent="0.2">
      <c r="A55" s="179" t="str">
        <f>IFERROR(VLOOKUP($B55,'Clients-Live'!$A:$C,3,30),"")</f>
        <v>AYILE STEPHEN</v>
      </c>
      <c r="B55" s="480">
        <v>51</v>
      </c>
      <c r="C55" s="370" t="str">
        <f>IFERROR(INDEX(Disbursements!$J:$J,MATCH(Ageing!B55,Disbursements!$B:$B,0)),"No Loan")</f>
        <v>Jerome</v>
      </c>
      <c r="D55" s="364">
        <f>SUMIF(Disbursements!$B:$B,Ageing!$B55,Disbursements!AN:AN)</f>
        <v>156000</v>
      </c>
      <c r="E55" s="364">
        <f>SUMIF(Disbursements!$B:$B,Ageing!$B55,Disbursements!AO:AO)</f>
        <v>397000</v>
      </c>
      <c r="F55" s="365">
        <f t="shared" si="2"/>
        <v>553000</v>
      </c>
      <c r="G55" s="364">
        <f ca="1">SUMIF(Disbursements!$B:$B,Ageing!$B55,Disbursements!AQ:AQ)</f>
        <v>553000</v>
      </c>
      <c r="H55" s="364">
        <f ca="1">SUMIF(Disbursements!$B:$B,Ageing!$B55,Disbursements!AS:AS)</f>
        <v>120</v>
      </c>
      <c r="I55" s="364">
        <f t="shared" ca="1" si="3"/>
        <v>1</v>
      </c>
      <c r="J55" s="369">
        <f ca="1">SUMIFS(Disbursements!$AP:$AP,Disbursements!$B:$B,Ageing!$B55,Disbursements!$AT:$AT,Ageing!J$4)</f>
        <v>0</v>
      </c>
      <c r="K55" s="369">
        <f ca="1">SUMIFS(Disbursements!$AP:$AP,Disbursements!$B:$B,Ageing!$B55,Disbursements!$AT:$AT,Ageing!K$4)</f>
        <v>0</v>
      </c>
      <c r="L55" s="369">
        <f ca="1">SUMIFS(Disbursements!$AP:$AP,Disbursements!$B:$B,Ageing!$B55,Disbursements!$AT:$AT,Ageing!L$4)</f>
        <v>0</v>
      </c>
      <c r="M55" s="369">
        <f ca="1">SUMIFS(Disbursements!$AP:$AP,Disbursements!$B:$B,Ageing!$B55,Disbursements!$AT:$AT,Ageing!M$4)</f>
        <v>0</v>
      </c>
      <c r="N55" s="369">
        <f ca="1">SUMIFS(Disbursements!$AP:$AP,Disbursements!$B:$B,Ageing!$B55,Disbursements!$AT:$AT,Ageing!N$4)</f>
        <v>553000</v>
      </c>
      <c r="O55" s="369">
        <f ca="1">SUMIFS(Disbursements!$AP:$AP,Disbursements!$B:$B,Ageing!$B55,Disbursements!$AT:$AT,Ageing!O$4)</f>
        <v>0</v>
      </c>
    </row>
    <row r="56" spans="1:15" x14ac:dyDescent="0.2">
      <c r="A56" s="179" t="str">
        <f>IFERROR(VLOOKUP($B56,'Clients-Live'!$A:$C,3,30),"")</f>
        <v>EDEZU PEACE IRENE</v>
      </c>
      <c r="B56" s="480">
        <v>52</v>
      </c>
      <c r="C56" s="370" t="str">
        <f>IFERROR(INDEX(Disbursements!$J:$J,MATCH(Ageing!B56,Disbursements!$B:$B,0)),"No Loan")</f>
        <v>Kana</v>
      </c>
      <c r="D56" s="364">
        <f>SUMIF(Disbursements!$B:$B,Ageing!$B56,Disbursements!AN:AN)</f>
        <v>0</v>
      </c>
      <c r="E56" s="364">
        <f>SUMIF(Disbursements!$B:$B,Ageing!$B56,Disbursements!AO:AO)</f>
        <v>0</v>
      </c>
      <c r="F56" s="365">
        <f t="shared" si="2"/>
        <v>0</v>
      </c>
      <c r="G56" s="364">
        <f ca="1">SUMIF(Disbursements!$B:$B,Ageing!$B56,Disbursements!AQ:AQ)</f>
        <v>0</v>
      </c>
      <c r="H56" s="364">
        <f ca="1">SUMIF(Disbursements!$B:$B,Ageing!$B56,Disbursements!AS:AS)</f>
        <v>0</v>
      </c>
      <c r="I56" s="364">
        <f t="shared" si="3"/>
        <v>0</v>
      </c>
      <c r="J56" s="369">
        <f>SUMIFS(Disbursements!$AP:$AP,Disbursements!$B:$B,Ageing!$B56,Disbursements!$AT:$AT,Ageing!J$4)</f>
        <v>0</v>
      </c>
      <c r="K56" s="369">
        <f>SUMIFS(Disbursements!$AP:$AP,Disbursements!$B:$B,Ageing!$B56,Disbursements!$AT:$AT,Ageing!K$4)</f>
        <v>0</v>
      </c>
      <c r="L56" s="369">
        <f>SUMIFS(Disbursements!$AP:$AP,Disbursements!$B:$B,Ageing!$B56,Disbursements!$AT:$AT,Ageing!L$4)</f>
        <v>0</v>
      </c>
      <c r="M56" s="369">
        <f>SUMIFS(Disbursements!$AP:$AP,Disbursements!$B:$B,Ageing!$B56,Disbursements!$AT:$AT,Ageing!M$4)</f>
        <v>0</v>
      </c>
      <c r="N56" s="369">
        <f>SUMIFS(Disbursements!$AP:$AP,Disbursements!$B:$B,Ageing!$B56,Disbursements!$AT:$AT,Ageing!N$4)</f>
        <v>0</v>
      </c>
      <c r="O56" s="369">
        <f>SUMIFS(Disbursements!$AP:$AP,Disbursements!$B:$B,Ageing!$B56,Disbursements!$AT:$AT,Ageing!O$4)</f>
        <v>0</v>
      </c>
    </row>
    <row r="57" spans="1:15" x14ac:dyDescent="0.2">
      <c r="A57" s="179" t="str">
        <f>IFERROR(VLOOKUP($B57,'Clients-Live'!$A:$C,3,30),"")</f>
        <v>KALSUMU INNOCENT</v>
      </c>
      <c r="B57" s="480">
        <v>53</v>
      </c>
      <c r="C57" s="370" t="str">
        <f>IFERROR(INDEX(Disbursements!$J:$J,MATCH(Ageing!B57,Disbursements!$B:$B,0)),"No Loan")</f>
        <v>Aroma</v>
      </c>
      <c r="D57" s="364">
        <f>SUMIF(Disbursements!$B:$B,Ageing!$B57,Disbursements!AN:AN)</f>
        <v>392000.00000000006</v>
      </c>
      <c r="E57" s="364">
        <f>SUMIF(Disbursements!$B:$B,Ageing!$B57,Disbursements!AO:AO)</f>
        <v>1000000</v>
      </c>
      <c r="F57" s="365">
        <f t="shared" si="2"/>
        <v>1392000</v>
      </c>
      <c r="G57" s="364">
        <f ca="1">SUMIF(Disbursements!$B:$B,Ageing!$B57,Disbursements!AQ:AQ)</f>
        <v>1392000</v>
      </c>
      <c r="H57" s="364">
        <f ca="1">SUMIF(Disbursements!$B:$B,Ageing!$B57,Disbursements!AS:AS)</f>
        <v>180</v>
      </c>
      <c r="I57" s="364">
        <f t="shared" ca="1" si="3"/>
        <v>1</v>
      </c>
      <c r="J57" s="369">
        <f ca="1">SUMIFS(Disbursements!$AP:$AP,Disbursements!$B:$B,Ageing!$B57,Disbursements!$AT:$AT,Ageing!J$4)</f>
        <v>0</v>
      </c>
      <c r="K57" s="369">
        <f ca="1">SUMIFS(Disbursements!$AP:$AP,Disbursements!$B:$B,Ageing!$B57,Disbursements!$AT:$AT,Ageing!K$4)</f>
        <v>0</v>
      </c>
      <c r="L57" s="369">
        <f ca="1">SUMIFS(Disbursements!$AP:$AP,Disbursements!$B:$B,Ageing!$B57,Disbursements!$AT:$AT,Ageing!L$4)</f>
        <v>0</v>
      </c>
      <c r="M57" s="369">
        <f ca="1">SUMIFS(Disbursements!$AP:$AP,Disbursements!$B:$B,Ageing!$B57,Disbursements!$AT:$AT,Ageing!M$4)</f>
        <v>0</v>
      </c>
      <c r="N57" s="369">
        <f ca="1">SUMIFS(Disbursements!$AP:$AP,Disbursements!$B:$B,Ageing!$B57,Disbursements!$AT:$AT,Ageing!N$4)</f>
        <v>1392000</v>
      </c>
      <c r="O57" s="369">
        <f ca="1">SUMIFS(Disbursements!$AP:$AP,Disbursements!$B:$B,Ageing!$B57,Disbursements!$AT:$AT,Ageing!O$4)</f>
        <v>0</v>
      </c>
    </row>
    <row r="58" spans="1:15" x14ac:dyDescent="0.2">
      <c r="A58" s="179" t="str">
        <f>IFERROR(VLOOKUP($B58,'Clients-Live'!$A:$C,3,30),"")</f>
        <v>MANENO ANIFA</v>
      </c>
      <c r="B58" s="480">
        <v>54</v>
      </c>
      <c r="C58" s="370" t="str">
        <f>IFERROR(INDEX(Disbursements!$J:$J,MATCH(Ageing!B58,Disbursements!$B:$B,0)),"No Loan")</f>
        <v>Kana</v>
      </c>
      <c r="D58" s="364">
        <f>SUMIF(Disbursements!$B:$B,Ageing!$B58,Disbursements!AN:AN)</f>
        <v>26000</v>
      </c>
      <c r="E58" s="364">
        <f>SUMIF(Disbursements!$B:$B,Ageing!$B58,Disbursements!AO:AO)</f>
        <v>355000</v>
      </c>
      <c r="F58" s="365">
        <f t="shared" si="2"/>
        <v>381000</v>
      </c>
      <c r="G58" s="364">
        <f ca="1">SUMIF(Disbursements!$B:$B,Ageing!$B58,Disbursements!AQ:AQ)</f>
        <v>381000</v>
      </c>
      <c r="H58" s="364">
        <f ca="1">SUMIF(Disbursements!$B:$B,Ageing!$B58,Disbursements!AS:AS)</f>
        <v>58</v>
      </c>
      <c r="I58" s="364">
        <f t="shared" ca="1" si="3"/>
        <v>1</v>
      </c>
      <c r="J58" s="369">
        <f ca="1">SUMIFS(Disbursements!$AP:$AP,Disbursements!$B:$B,Ageing!$B58,Disbursements!$AT:$AT,Ageing!J$4)</f>
        <v>0</v>
      </c>
      <c r="K58" s="369">
        <f ca="1">SUMIFS(Disbursements!$AP:$AP,Disbursements!$B:$B,Ageing!$B58,Disbursements!$AT:$AT,Ageing!K$4)</f>
        <v>0</v>
      </c>
      <c r="L58" s="369">
        <f ca="1">SUMIFS(Disbursements!$AP:$AP,Disbursements!$B:$B,Ageing!$B58,Disbursements!$AT:$AT,Ageing!L$4)</f>
        <v>381000</v>
      </c>
      <c r="M58" s="369">
        <f ca="1">SUMIFS(Disbursements!$AP:$AP,Disbursements!$B:$B,Ageing!$B58,Disbursements!$AT:$AT,Ageing!M$4)</f>
        <v>0</v>
      </c>
      <c r="N58" s="369">
        <f ca="1">SUMIFS(Disbursements!$AP:$AP,Disbursements!$B:$B,Ageing!$B58,Disbursements!$AT:$AT,Ageing!N$4)</f>
        <v>0</v>
      </c>
      <c r="O58" s="369">
        <f ca="1">SUMIFS(Disbursements!$AP:$AP,Disbursements!$B:$B,Ageing!$B58,Disbursements!$AT:$AT,Ageing!O$4)</f>
        <v>0</v>
      </c>
    </row>
    <row r="59" spans="1:15" x14ac:dyDescent="0.2">
      <c r="A59" s="179" t="str">
        <f>IFERROR(VLOOKUP($B59,'Clients-Live'!$A:$C,3,30),"")</f>
        <v>SOKOLA SHARON</v>
      </c>
      <c r="B59" s="480">
        <v>55</v>
      </c>
      <c r="C59" s="370" t="str">
        <f>IFERROR(INDEX(Disbursements!$J:$J,MATCH(Ageing!B59,Disbursements!$B:$B,0)),"No Loan")</f>
        <v>Jerome</v>
      </c>
      <c r="D59" s="364">
        <f>SUMIF(Disbursements!$B:$B,Ageing!$B59,Disbursements!AN:AN)</f>
        <v>0</v>
      </c>
      <c r="E59" s="364">
        <f>SUMIF(Disbursements!$B:$B,Ageing!$B59,Disbursements!AO:AO)</f>
        <v>345000</v>
      </c>
      <c r="F59" s="365">
        <f t="shared" si="2"/>
        <v>345000</v>
      </c>
      <c r="G59" s="364">
        <f ca="1">SUMIF(Disbursements!$B:$B,Ageing!$B59,Disbursements!AQ:AQ)</f>
        <v>345000</v>
      </c>
      <c r="H59" s="364">
        <f ca="1">SUMIF(Disbursements!$B:$B,Ageing!$B59,Disbursements!AS:AS)</f>
        <v>50</v>
      </c>
      <c r="I59" s="364">
        <f t="shared" ca="1" si="3"/>
        <v>1</v>
      </c>
      <c r="J59" s="369">
        <f ca="1">SUMIFS(Disbursements!$AP:$AP,Disbursements!$B:$B,Ageing!$B59,Disbursements!$AT:$AT,Ageing!J$4)</f>
        <v>0</v>
      </c>
      <c r="K59" s="369">
        <f ca="1">SUMIFS(Disbursements!$AP:$AP,Disbursements!$B:$B,Ageing!$B59,Disbursements!$AT:$AT,Ageing!K$4)</f>
        <v>0</v>
      </c>
      <c r="L59" s="369">
        <f ca="1">SUMIFS(Disbursements!$AP:$AP,Disbursements!$B:$B,Ageing!$B59,Disbursements!$AT:$AT,Ageing!L$4)</f>
        <v>345000</v>
      </c>
      <c r="M59" s="369">
        <f ca="1">SUMIFS(Disbursements!$AP:$AP,Disbursements!$B:$B,Ageing!$B59,Disbursements!$AT:$AT,Ageing!M$4)</f>
        <v>0</v>
      </c>
      <c r="N59" s="369">
        <f ca="1">SUMIFS(Disbursements!$AP:$AP,Disbursements!$B:$B,Ageing!$B59,Disbursements!$AT:$AT,Ageing!N$4)</f>
        <v>0</v>
      </c>
      <c r="O59" s="369">
        <f ca="1">SUMIFS(Disbursements!$AP:$AP,Disbursements!$B:$B,Ageing!$B59,Disbursements!$AT:$AT,Ageing!O$4)</f>
        <v>0</v>
      </c>
    </row>
    <row r="60" spans="1:15" x14ac:dyDescent="0.2">
      <c r="A60" s="179" t="str">
        <f>IFERROR(VLOOKUP($B60,'Clients-Live'!$A:$C,3,30),"")</f>
        <v>ALOMO ZABIBU</v>
      </c>
      <c r="B60" s="480">
        <v>56</v>
      </c>
      <c r="C60" s="370" t="str">
        <f>IFERROR(INDEX(Disbursements!$J:$J,MATCH(Ageing!B60,Disbursements!$B:$B,0)),"No Loan")</f>
        <v>Kana</v>
      </c>
      <c r="D60" s="364">
        <f>SUMIF(Disbursements!$B:$B,Ageing!$B60,Disbursements!AN:AN)</f>
        <v>117000</v>
      </c>
      <c r="E60" s="364">
        <f>SUMIF(Disbursements!$B:$B,Ageing!$B60,Disbursements!AO:AO)</f>
        <v>338000</v>
      </c>
      <c r="F60" s="365">
        <f t="shared" si="2"/>
        <v>455000</v>
      </c>
      <c r="G60" s="364">
        <f ca="1">SUMIF(Disbursements!$B:$B,Ageing!$B60,Disbursements!AQ:AQ)</f>
        <v>455000</v>
      </c>
      <c r="H60" s="364">
        <f ca="1">SUMIF(Disbursements!$B:$B,Ageing!$B60,Disbursements!AS:AS)</f>
        <v>110</v>
      </c>
      <c r="I60" s="364">
        <f t="shared" ca="1" si="3"/>
        <v>2</v>
      </c>
      <c r="J60" s="369">
        <f ca="1">SUMIFS(Disbursements!$AP:$AP,Disbursements!$B:$B,Ageing!$B60,Disbursements!$AT:$AT,Ageing!J$4)</f>
        <v>0</v>
      </c>
      <c r="K60" s="369">
        <f ca="1">SUMIFS(Disbursements!$AP:$AP,Disbursements!$B:$B,Ageing!$B60,Disbursements!$AT:$AT,Ageing!K$4)</f>
        <v>30000</v>
      </c>
      <c r="L60" s="369">
        <f ca="1">SUMIFS(Disbursements!$AP:$AP,Disbursements!$B:$B,Ageing!$B60,Disbursements!$AT:$AT,Ageing!L$4)</f>
        <v>0</v>
      </c>
      <c r="M60" s="369">
        <f ca="1">SUMIFS(Disbursements!$AP:$AP,Disbursements!$B:$B,Ageing!$B60,Disbursements!$AT:$AT,Ageing!M$4)</f>
        <v>0</v>
      </c>
      <c r="N60" s="369">
        <f ca="1">SUMIFS(Disbursements!$AP:$AP,Disbursements!$B:$B,Ageing!$B60,Disbursements!$AT:$AT,Ageing!N$4)</f>
        <v>425000</v>
      </c>
      <c r="O60" s="369">
        <f ca="1">SUMIFS(Disbursements!$AP:$AP,Disbursements!$B:$B,Ageing!$B60,Disbursements!$AT:$AT,Ageing!O$4)</f>
        <v>0</v>
      </c>
    </row>
    <row r="61" spans="1:15" x14ac:dyDescent="0.2">
      <c r="A61" s="179" t="str">
        <f>IFERROR(VLOOKUP($B61,'Clients-Live'!$A:$C,3,30),"")</f>
        <v>ASERU SCOVIA</v>
      </c>
      <c r="B61" s="480">
        <v>57</v>
      </c>
      <c r="C61" s="370" t="str">
        <f>IFERROR(INDEX(Disbursements!$J:$J,MATCH(Ageing!B61,Disbursements!$B:$B,0)),"No Loan")</f>
        <v>Jerome</v>
      </c>
      <c r="D61" s="364">
        <f>SUMIF(Disbursements!$B:$B,Ageing!$B61,Disbursements!AN:AN)</f>
        <v>5000</v>
      </c>
      <c r="E61" s="364">
        <f>SUMIF(Disbursements!$B:$B,Ageing!$B61,Disbursements!AO:AO)</f>
        <v>20000</v>
      </c>
      <c r="F61" s="365">
        <f t="shared" si="2"/>
        <v>25000</v>
      </c>
      <c r="G61" s="364">
        <f ca="1">SUMIF(Disbursements!$B:$B,Ageing!$B61,Disbursements!AQ:AQ)</f>
        <v>25000</v>
      </c>
      <c r="H61" s="364">
        <f ca="1">SUMIF(Disbursements!$B:$B,Ageing!$B61,Disbursements!AS:AS)</f>
        <v>13</v>
      </c>
      <c r="I61" s="364">
        <f t="shared" ca="1" si="3"/>
        <v>1</v>
      </c>
      <c r="J61" s="369">
        <f ca="1">SUMIFS(Disbursements!$AP:$AP,Disbursements!$B:$B,Ageing!$B61,Disbursements!$AT:$AT,Ageing!J$4)</f>
        <v>0</v>
      </c>
      <c r="K61" s="369">
        <f ca="1">SUMIFS(Disbursements!$AP:$AP,Disbursements!$B:$B,Ageing!$B61,Disbursements!$AT:$AT,Ageing!K$4)</f>
        <v>25000</v>
      </c>
      <c r="L61" s="369">
        <f ca="1">SUMIFS(Disbursements!$AP:$AP,Disbursements!$B:$B,Ageing!$B61,Disbursements!$AT:$AT,Ageing!L$4)</f>
        <v>0</v>
      </c>
      <c r="M61" s="369">
        <f ca="1">SUMIFS(Disbursements!$AP:$AP,Disbursements!$B:$B,Ageing!$B61,Disbursements!$AT:$AT,Ageing!M$4)</f>
        <v>0</v>
      </c>
      <c r="N61" s="369">
        <f ca="1">SUMIFS(Disbursements!$AP:$AP,Disbursements!$B:$B,Ageing!$B61,Disbursements!$AT:$AT,Ageing!N$4)</f>
        <v>0</v>
      </c>
      <c r="O61" s="369">
        <f ca="1">SUMIFS(Disbursements!$AP:$AP,Disbursements!$B:$B,Ageing!$B61,Disbursements!$AT:$AT,Ageing!O$4)</f>
        <v>0</v>
      </c>
    </row>
    <row r="62" spans="1:15" x14ac:dyDescent="0.2">
      <c r="A62" s="179" t="str">
        <f>IFERROR(VLOOKUP($B62,'Clients-Live'!$A:$C,3,30),"")</f>
        <v xml:space="preserve">ALIRU AMINA </v>
      </c>
      <c r="B62" s="480">
        <v>58</v>
      </c>
      <c r="C62" s="370" t="str">
        <f>IFERROR(INDEX(Disbursements!$J:$J,MATCH(Ageing!B62,Disbursements!$B:$B,0)),"No Loan")</f>
        <v>Aroma</v>
      </c>
      <c r="D62" s="364">
        <f>SUMIF(Disbursements!$B:$B,Ageing!$B62,Disbursements!AN:AN)</f>
        <v>0</v>
      </c>
      <c r="E62" s="364">
        <f>SUMIF(Disbursements!$B:$B,Ageing!$B62,Disbursements!AO:AO)</f>
        <v>0</v>
      </c>
      <c r="F62" s="365">
        <f t="shared" si="2"/>
        <v>0</v>
      </c>
      <c r="G62" s="364">
        <f ca="1">SUMIF(Disbursements!$B:$B,Ageing!$B62,Disbursements!AQ:AQ)</f>
        <v>0</v>
      </c>
      <c r="H62" s="364">
        <f ca="1">SUMIF(Disbursements!$B:$B,Ageing!$B62,Disbursements!AS:AS)</f>
        <v>0</v>
      </c>
      <c r="I62" s="364">
        <f t="shared" si="3"/>
        <v>0</v>
      </c>
      <c r="J62" s="369">
        <f>SUMIFS(Disbursements!$AP:$AP,Disbursements!$B:$B,Ageing!$B62,Disbursements!$AT:$AT,Ageing!J$4)</f>
        <v>0</v>
      </c>
      <c r="K62" s="369">
        <f>SUMIFS(Disbursements!$AP:$AP,Disbursements!$B:$B,Ageing!$B62,Disbursements!$AT:$AT,Ageing!K$4)</f>
        <v>0</v>
      </c>
      <c r="L62" s="369">
        <f>SUMIFS(Disbursements!$AP:$AP,Disbursements!$B:$B,Ageing!$B62,Disbursements!$AT:$AT,Ageing!L$4)</f>
        <v>0</v>
      </c>
      <c r="M62" s="369">
        <f>SUMIFS(Disbursements!$AP:$AP,Disbursements!$B:$B,Ageing!$B62,Disbursements!$AT:$AT,Ageing!M$4)</f>
        <v>0</v>
      </c>
      <c r="N62" s="369">
        <f>SUMIFS(Disbursements!$AP:$AP,Disbursements!$B:$B,Ageing!$B62,Disbursements!$AT:$AT,Ageing!N$4)</f>
        <v>0</v>
      </c>
      <c r="O62" s="369">
        <f>SUMIFS(Disbursements!$AP:$AP,Disbursements!$B:$B,Ageing!$B62,Disbursements!$AT:$AT,Ageing!O$4)</f>
        <v>0</v>
      </c>
    </row>
    <row r="63" spans="1:15" x14ac:dyDescent="0.2">
      <c r="A63" s="179" t="str">
        <f>IFERROR(VLOOKUP($B63,'Clients-Live'!$A:$C,3,30),"")</f>
        <v>ONZIA AGNES</v>
      </c>
      <c r="B63" s="480">
        <v>59</v>
      </c>
      <c r="C63" s="370" t="str">
        <f>IFERROR(INDEX(Disbursements!$J:$J,MATCH(Ageing!B63,Disbursements!$B:$B,0)),"No Loan")</f>
        <v>Aroma</v>
      </c>
      <c r="D63" s="364">
        <f>SUMIF(Disbursements!$B:$B,Ageing!$B63,Disbursements!AN:AN)</f>
        <v>0</v>
      </c>
      <c r="E63" s="364">
        <f>SUMIF(Disbursements!$B:$B,Ageing!$B63,Disbursements!AO:AO)</f>
        <v>0</v>
      </c>
      <c r="F63" s="365">
        <f t="shared" si="2"/>
        <v>0</v>
      </c>
      <c r="G63" s="364">
        <f ca="1">SUMIF(Disbursements!$B:$B,Ageing!$B63,Disbursements!AQ:AQ)</f>
        <v>0</v>
      </c>
      <c r="H63" s="364">
        <f ca="1">SUMIF(Disbursements!$B:$B,Ageing!$B63,Disbursements!AS:AS)</f>
        <v>0</v>
      </c>
      <c r="I63" s="364">
        <f t="shared" si="3"/>
        <v>0</v>
      </c>
      <c r="J63" s="369">
        <f>SUMIFS(Disbursements!$AP:$AP,Disbursements!$B:$B,Ageing!$B63,Disbursements!$AT:$AT,Ageing!J$4)</f>
        <v>0</v>
      </c>
      <c r="K63" s="369">
        <f>SUMIFS(Disbursements!$AP:$AP,Disbursements!$B:$B,Ageing!$B63,Disbursements!$AT:$AT,Ageing!K$4)</f>
        <v>0</v>
      </c>
      <c r="L63" s="369">
        <f>SUMIFS(Disbursements!$AP:$AP,Disbursements!$B:$B,Ageing!$B63,Disbursements!$AT:$AT,Ageing!L$4)</f>
        <v>0</v>
      </c>
      <c r="M63" s="369">
        <f>SUMIFS(Disbursements!$AP:$AP,Disbursements!$B:$B,Ageing!$B63,Disbursements!$AT:$AT,Ageing!M$4)</f>
        <v>0</v>
      </c>
      <c r="N63" s="369">
        <f>SUMIFS(Disbursements!$AP:$AP,Disbursements!$B:$B,Ageing!$B63,Disbursements!$AT:$AT,Ageing!N$4)</f>
        <v>0</v>
      </c>
      <c r="O63" s="369">
        <f>SUMIFS(Disbursements!$AP:$AP,Disbursements!$B:$B,Ageing!$B63,Disbursements!$AT:$AT,Ageing!O$4)</f>
        <v>0</v>
      </c>
    </row>
    <row r="64" spans="1:15" x14ac:dyDescent="0.2">
      <c r="A64" s="179" t="str">
        <f>IFERROR(VLOOKUP($B64,'Clients-Live'!$A:$C,3,30),"")</f>
        <v>MATURU ALICE</v>
      </c>
      <c r="B64" s="480">
        <v>60</v>
      </c>
      <c r="C64" s="370" t="str">
        <f>IFERROR(INDEX(Disbursements!$J:$J,MATCH(Ageing!B64,Disbursements!$B:$B,0)),"No Loan")</f>
        <v>Aroma</v>
      </c>
      <c r="D64" s="364">
        <f>SUMIF(Disbursements!$B:$B,Ageing!$B64,Disbursements!AN:AN)</f>
        <v>0</v>
      </c>
      <c r="E64" s="364">
        <f>SUMIF(Disbursements!$B:$B,Ageing!$B64,Disbursements!AO:AO)</f>
        <v>0</v>
      </c>
      <c r="F64" s="365">
        <f t="shared" si="2"/>
        <v>0</v>
      </c>
      <c r="G64" s="364">
        <f ca="1">SUMIF(Disbursements!$B:$B,Ageing!$B64,Disbursements!AQ:AQ)</f>
        <v>0</v>
      </c>
      <c r="H64" s="364">
        <f ca="1">SUMIF(Disbursements!$B:$B,Ageing!$B64,Disbursements!AS:AS)</f>
        <v>0</v>
      </c>
      <c r="I64" s="364">
        <f t="shared" si="3"/>
        <v>0</v>
      </c>
      <c r="J64" s="369">
        <f>SUMIFS(Disbursements!$AP:$AP,Disbursements!$B:$B,Ageing!$B64,Disbursements!$AT:$AT,Ageing!J$4)</f>
        <v>0</v>
      </c>
      <c r="K64" s="369">
        <f>SUMIFS(Disbursements!$AP:$AP,Disbursements!$B:$B,Ageing!$B64,Disbursements!$AT:$AT,Ageing!K$4)</f>
        <v>0</v>
      </c>
      <c r="L64" s="369">
        <f>SUMIFS(Disbursements!$AP:$AP,Disbursements!$B:$B,Ageing!$B64,Disbursements!$AT:$AT,Ageing!L$4)</f>
        <v>0</v>
      </c>
      <c r="M64" s="369">
        <f>SUMIFS(Disbursements!$AP:$AP,Disbursements!$B:$B,Ageing!$B64,Disbursements!$AT:$AT,Ageing!M$4)</f>
        <v>0</v>
      </c>
      <c r="N64" s="369">
        <f>SUMIFS(Disbursements!$AP:$AP,Disbursements!$B:$B,Ageing!$B64,Disbursements!$AT:$AT,Ageing!N$4)</f>
        <v>0</v>
      </c>
      <c r="O64" s="369">
        <f>SUMIFS(Disbursements!$AP:$AP,Disbursements!$B:$B,Ageing!$B64,Disbursements!$AT:$AT,Ageing!O$4)</f>
        <v>0</v>
      </c>
    </row>
    <row r="65" spans="1:15" x14ac:dyDescent="0.2">
      <c r="A65" s="179" t="str">
        <f>IFERROR(VLOOKUP($B65,'Clients-Live'!$A:$C,3,30),"")</f>
        <v>AREDU RUKIA</v>
      </c>
      <c r="B65" s="480">
        <v>61</v>
      </c>
      <c r="C65" s="370" t="str">
        <f>IFERROR(INDEX(Disbursements!$J:$J,MATCH(Ageing!B65,Disbursements!$B:$B,0)),"No Loan")</f>
        <v>Jerome</v>
      </c>
      <c r="D65" s="364">
        <f>SUMIF(Disbursements!$B:$B,Ageing!$B65,Disbursements!AN:AN)</f>
        <v>40000</v>
      </c>
      <c r="E65" s="364">
        <f>SUMIF(Disbursements!$B:$B,Ageing!$B65,Disbursements!AO:AO)</f>
        <v>151000</v>
      </c>
      <c r="F65" s="365">
        <f t="shared" si="2"/>
        <v>191000</v>
      </c>
      <c r="G65" s="364">
        <f ca="1">SUMIF(Disbursements!$B:$B,Ageing!$B65,Disbursements!AQ:AQ)</f>
        <v>191000</v>
      </c>
      <c r="H65" s="364">
        <f ca="1">SUMIF(Disbursements!$B:$B,Ageing!$B65,Disbursements!AS:AS)</f>
        <v>61</v>
      </c>
      <c r="I65" s="364">
        <f t="shared" ca="1" si="3"/>
        <v>1</v>
      </c>
      <c r="J65" s="369">
        <f ca="1">SUMIFS(Disbursements!$AP:$AP,Disbursements!$B:$B,Ageing!$B65,Disbursements!$AT:$AT,Ageing!J$4)</f>
        <v>0</v>
      </c>
      <c r="K65" s="369">
        <f ca="1">SUMIFS(Disbursements!$AP:$AP,Disbursements!$B:$B,Ageing!$B65,Disbursements!$AT:$AT,Ageing!K$4)</f>
        <v>0</v>
      </c>
      <c r="L65" s="369">
        <f ca="1">SUMIFS(Disbursements!$AP:$AP,Disbursements!$B:$B,Ageing!$B65,Disbursements!$AT:$AT,Ageing!L$4)</f>
        <v>0</v>
      </c>
      <c r="M65" s="369">
        <f ca="1">SUMIFS(Disbursements!$AP:$AP,Disbursements!$B:$B,Ageing!$B65,Disbursements!$AT:$AT,Ageing!M$4)</f>
        <v>191000</v>
      </c>
      <c r="N65" s="369">
        <f ca="1">SUMIFS(Disbursements!$AP:$AP,Disbursements!$B:$B,Ageing!$B65,Disbursements!$AT:$AT,Ageing!N$4)</f>
        <v>0</v>
      </c>
      <c r="O65" s="369">
        <f ca="1">SUMIFS(Disbursements!$AP:$AP,Disbursements!$B:$B,Ageing!$B65,Disbursements!$AT:$AT,Ageing!O$4)</f>
        <v>0</v>
      </c>
    </row>
    <row r="66" spans="1:15" x14ac:dyDescent="0.2">
      <c r="A66" s="179" t="str">
        <f>IFERROR(VLOOKUP($B66,'Clients-Live'!$A:$C,3,30),"")</f>
        <v>DUDU ARIKE</v>
      </c>
      <c r="B66" s="480">
        <v>62</v>
      </c>
      <c r="C66" s="370" t="str">
        <f>IFERROR(INDEX(Disbursements!$J:$J,MATCH(Ageing!B66,Disbursements!$B:$B,0)),"No Loan")</f>
        <v>Kana</v>
      </c>
      <c r="D66" s="364">
        <f>SUMIF(Disbursements!$B:$B,Ageing!$B66,Disbursements!AN:AN)</f>
        <v>0</v>
      </c>
      <c r="E66" s="364">
        <f>SUMIF(Disbursements!$B:$B,Ageing!$B66,Disbursements!AO:AO)</f>
        <v>2000.0000000001164</v>
      </c>
      <c r="F66" s="365">
        <f t="shared" si="2"/>
        <v>2000.0000000001164</v>
      </c>
      <c r="G66" s="364">
        <f ca="1">SUMIF(Disbursements!$B:$B,Ageing!$B66,Disbursements!AQ:AQ)</f>
        <v>2000.0000000001164</v>
      </c>
      <c r="H66" s="364">
        <f ca="1">SUMIF(Disbursements!$B:$B,Ageing!$B66,Disbursements!AS:AS)</f>
        <v>1</v>
      </c>
      <c r="I66" s="364">
        <f t="shared" ca="1" si="3"/>
        <v>1</v>
      </c>
      <c r="J66" s="369">
        <f ca="1">SUMIFS(Disbursements!$AP:$AP,Disbursements!$B:$B,Ageing!$B66,Disbursements!$AT:$AT,Ageing!J$4)</f>
        <v>0</v>
      </c>
      <c r="K66" s="369">
        <f ca="1">SUMIFS(Disbursements!$AP:$AP,Disbursements!$B:$B,Ageing!$B66,Disbursements!$AT:$AT,Ageing!K$4)</f>
        <v>2000.0000000001164</v>
      </c>
      <c r="L66" s="369">
        <f ca="1">SUMIFS(Disbursements!$AP:$AP,Disbursements!$B:$B,Ageing!$B66,Disbursements!$AT:$AT,Ageing!L$4)</f>
        <v>0</v>
      </c>
      <c r="M66" s="369">
        <f ca="1">SUMIFS(Disbursements!$AP:$AP,Disbursements!$B:$B,Ageing!$B66,Disbursements!$AT:$AT,Ageing!M$4)</f>
        <v>0</v>
      </c>
      <c r="N66" s="369">
        <f ca="1">SUMIFS(Disbursements!$AP:$AP,Disbursements!$B:$B,Ageing!$B66,Disbursements!$AT:$AT,Ageing!N$4)</f>
        <v>0</v>
      </c>
      <c r="O66" s="369">
        <f ca="1">SUMIFS(Disbursements!$AP:$AP,Disbursements!$B:$B,Ageing!$B66,Disbursements!$AT:$AT,Ageing!O$4)</f>
        <v>0</v>
      </c>
    </row>
    <row r="67" spans="1:15" x14ac:dyDescent="0.2">
      <c r="A67" s="179" t="str">
        <f>IFERROR(VLOOKUP($B67,'Clients-Live'!$A:$C,3,30),"")</f>
        <v>AWURU KADARA</v>
      </c>
      <c r="B67" s="480">
        <v>63</v>
      </c>
      <c r="C67" s="370" t="str">
        <f>IFERROR(INDEX(Disbursements!$J:$J,MATCH(Ageing!B67,Disbursements!$B:$B,0)),"No Loan")</f>
        <v>Kana</v>
      </c>
      <c r="D67" s="364">
        <f>SUMIF(Disbursements!$B:$B,Ageing!$B67,Disbursements!AN:AN)</f>
        <v>0</v>
      </c>
      <c r="E67" s="364">
        <f>SUMIF(Disbursements!$B:$B,Ageing!$B67,Disbursements!AO:AO)</f>
        <v>0</v>
      </c>
      <c r="F67" s="365">
        <f t="shared" si="2"/>
        <v>0</v>
      </c>
      <c r="G67" s="364">
        <f ca="1">SUMIF(Disbursements!$B:$B,Ageing!$B67,Disbursements!AQ:AQ)</f>
        <v>0</v>
      </c>
      <c r="H67" s="364">
        <f ca="1">SUMIF(Disbursements!$B:$B,Ageing!$B67,Disbursements!AS:AS)</f>
        <v>0</v>
      </c>
      <c r="I67" s="364">
        <f t="shared" si="3"/>
        <v>0</v>
      </c>
      <c r="J67" s="369">
        <f>SUMIFS(Disbursements!$AP:$AP,Disbursements!$B:$B,Ageing!$B67,Disbursements!$AT:$AT,Ageing!J$4)</f>
        <v>0</v>
      </c>
      <c r="K67" s="369">
        <f>SUMIFS(Disbursements!$AP:$AP,Disbursements!$B:$B,Ageing!$B67,Disbursements!$AT:$AT,Ageing!K$4)</f>
        <v>0</v>
      </c>
      <c r="L67" s="369">
        <f>SUMIFS(Disbursements!$AP:$AP,Disbursements!$B:$B,Ageing!$B67,Disbursements!$AT:$AT,Ageing!L$4)</f>
        <v>0</v>
      </c>
      <c r="M67" s="369">
        <f>SUMIFS(Disbursements!$AP:$AP,Disbursements!$B:$B,Ageing!$B67,Disbursements!$AT:$AT,Ageing!M$4)</f>
        <v>0</v>
      </c>
      <c r="N67" s="369">
        <f>SUMIFS(Disbursements!$AP:$AP,Disbursements!$B:$B,Ageing!$B67,Disbursements!$AT:$AT,Ageing!N$4)</f>
        <v>0</v>
      </c>
      <c r="O67" s="369">
        <f>SUMIFS(Disbursements!$AP:$AP,Disbursements!$B:$B,Ageing!$B67,Disbursements!$AT:$AT,Ageing!O$4)</f>
        <v>0</v>
      </c>
    </row>
    <row r="68" spans="1:15" x14ac:dyDescent="0.2">
      <c r="A68" s="179" t="str">
        <f>IFERROR(VLOOKUP($B68,'Clients-Live'!$A:$C,3,30),"")</f>
        <v>AKINO JUDITH</v>
      </c>
      <c r="B68" s="480">
        <v>64</v>
      </c>
      <c r="C68" s="370" t="str">
        <f>IFERROR(INDEX(Disbursements!$J:$J,MATCH(Ageing!B68,Disbursements!$B:$B,0)),"No Loan")</f>
        <v>Aroma</v>
      </c>
      <c r="D68" s="364">
        <f>SUMIF(Disbursements!$B:$B,Ageing!$B68,Disbursements!AN:AN)</f>
        <v>155000</v>
      </c>
      <c r="E68" s="364">
        <f>SUMIF(Disbursements!$B:$B,Ageing!$B68,Disbursements!AO:AO)</f>
        <v>545000</v>
      </c>
      <c r="F68" s="365">
        <f t="shared" si="2"/>
        <v>700000</v>
      </c>
      <c r="G68" s="364">
        <f ca="1">SUMIF(Disbursements!$B:$B,Ageing!$B68,Disbursements!AQ:AQ)</f>
        <v>700000</v>
      </c>
      <c r="H68" s="364">
        <f ca="1">SUMIF(Disbursements!$B:$B,Ageing!$B68,Disbursements!AS:AS)</f>
        <v>120</v>
      </c>
      <c r="I68" s="364">
        <f t="shared" ca="1" si="3"/>
        <v>1</v>
      </c>
      <c r="J68" s="369">
        <f ca="1">SUMIFS(Disbursements!$AP:$AP,Disbursements!$B:$B,Ageing!$B68,Disbursements!$AT:$AT,Ageing!J$4)</f>
        <v>0</v>
      </c>
      <c r="K68" s="369">
        <f ca="1">SUMIFS(Disbursements!$AP:$AP,Disbursements!$B:$B,Ageing!$B68,Disbursements!$AT:$AT,Ageing!K$4)</f>
        <v>0</v>
      </c>
      <c r="L68" s="369">
        <f ca="1">SUMIFS(Disbursements!$AP:$AP,Disbursements!$B:$B,Ageing!$B68,Disbursements!$AT:$AT,Ageing!L$4)</f>
        <v>0</v>
      </c>
      <c r="M68" s="369">
        <f ca="1">SUMIFS(Disbursements!$AP:$AP,Disbursements!$B:$B,Ageing!$B68,Disbursements!$AT:$AT,Ageing!M$4)</f>
        <v>0</v>
      </c>
      <c r="N68" s="369">
        <f ca="1">SUMIFS(Disbursements!$AP:$AP,Disbursements!$B:$B,Ageing!$B68,Disbursements!$AT:$AT,Ageing!N$4)</f>
        <v>700000</v>
      </c>
      <c r="O68" s="369">
        <f ca="1">SUMIFS(Disbursements!$AP:$AP,Disbursements!$B:$B,Ageing!$B68,Disbursements!$AT:$AT,Ageing!O$4)</f>
        <v>0</v>
      </c>
    </row>
    <row r="69" spans="1:15" x14ac:dyDescent="0.2">
      <c r="A69" s="179" t="str">
        <f>IFERROR(VLOOKUP($B69,'Clients-Live'!$A:$C,3,30),"")</f>
        <v>NDAWULA GERALD</v>
      </c>
      <c r="B69" s="480">
        <v>65</v>
      </c>
      <c r="C69" s="370" t="str">
        <f>IFERROR(INDEX(Disbursements!$J:$J,MATCH(Ageing!B69,Disbursements!$B:$B,0)),"No Loan")</f>
        <v>Jerome</v>
      </c>
      <c r="D69" s="364">
        <f>SUMIF(Disbursements!$B:$B,Ageing!$B69,Disbursements!AN:AN)</f>
        <v>0</v>
      </c>
      <c r="E69" s="364">
        <f>SUMIF(Disbursements!$B:$B,Ageing!$B69,Disbursements!AO:AO)</f>
        <v>2.3283064365386963E-10</v>
      </c>
      <c r="F69" s="365">
        <f t="shared" si="2"/>
        <v>2.3283064365386963E-10</v>
      </c>
      <c r="G69" s="364">
        <f ca="1">SUMIF(Disbursements!$B:$B,Ageing!$B69,Disbursements!AQ:AQ)</f>
        <v>2.3283064365386963E-10</v>
      </c>
      <c r="H69" s="364">
        <f ca="1">SUMIF(Disbursements!$B:$B,Ageing!$B69,Disbursements!AS:AS)</f>
        <v>1</v>
      </c>
      <c r="I69" s="364">
        <f t="shared" si="3"/>
        <v>0</v>
      </c>
      <c r="J69" s="369">
        <f>SUMIFS(Disbursements!$AP:$AP,Disbursements!$B:$B,Ageing!$B69,Disbursements!$AT:$AT,Ageing!J$4)</f>
        <v>0</v>
      </c>
      <c r="K69" s="369">
        <f>SUMIFS(Disbursements!$AP:$AP,Disbursements!$B:$B,Ageing!$B69,Disbursements!$AT:$AT,Ageing!K$4)</f>
        <v>0</v>
      </c>
      <c r="L69" s="369">
        <f>SUMIFS(Disbursements!$AP:$AP,Disbursements!$B:$B,Ageing!$B69,Disbursements!$AT:$AT,Ageing!L$4)</f>
        <v>0</v>
      </c>
      <c r="M69" s="369">
        <f>SUMIFS(Disbursements!$AP:$AP,Disbursements!$B:$B,Ageing!$B69,Disbursements!$AT:$AT,Ageing!M$4)</f>
        <v>0</v>
      </c>
      <c r="N69" s="369">
        <f>SUMIFS(Disbursements!$AP:$AP,Disbursements!$B:$B,Ageing!$B69,Disbursements!$AT:$AT,Ageing!N$4)</f>
        <v>0</v>
      </c>
      <c r="O69" s="369">
        <f>SUMIFS(Disbursements!$AP:$AP,Disbursements!$B:$B,Ageing!$B69,Disbursements!$AT:$AT,Ageing!O$4)</f>
        <v>0</v>
      </c>
    </row>
    <row r="70" spans="1:15" x14ac:dyDescent="0.2">
      <c r="A70" s="179" t="str">
        <f>IFERROR(VLOOKUP($B70,'Clients-Live'!$A:$C,3,30),"")</f>
        <v>DENAYA NYAMAZA</v>
      </c>
      <c r="B70" s="480">
        <v>66</v>
      </c>
      <c r="C70" s="370" t="str">
        <f>IFERROR(INDEX(Disbursements!$J:$J,MATCH(Ageing!B70,Disbursements!$B:$B,0)),"No Loan")</f>
        <v>Kana</v>
      </c>
      <c r="D70" s="364">
        <f>SUMIF(Disbursements!$B:$B,Ageing!$B70,Disbursements!AN:AN)</f>
        <v>13333.333333333489</v>
      </c>
      <c r="E70" s="364">
        <f>SUMIF(Disbursements!$B:$B,Ageing!$B70,Disbursements!AO:AO)</f>
        <v>404666.66666666744</v>
      </c>
      <c r="F70" s="365">
        <f t="shared" si="2"/>
        <v>418000.00000000093</v>
      </c>
      <c r="G70" s="364">
        <f ca="1">SUMIF(Disbursements!$B:$B,Ageing!$B70,Disbursements!AQ:AQ)</f>
        <v>418000.00000000093</v>
      </c>
      <c r="H70" s="364">
        <f ca="1">SUMIF(Disbursements!$B:$B,Ageing!$B70,Disbursements!AS:AS)</f>
        <v>28</v>
      </c>
      <c r="I70" s="364">
        <f t="shared" ca="1" si="3"/>
        <v>1</v>
      </c>
      <c r="J70" s="369">
        <f ca="1">SUMIFS(Disbursements!$AP:$AP,Disbursements!$B:$B,Ageing!$B70,Disbursements!$AT:$AT,Ageing!J$4)</f>
        <v>0</v>
      </c>
      <c r="K70" s="369">
        <f ca="1">SUMIFS(Disbursements!$AP:$AP,Disbursements!$B:$B,Ageing!$B70,Disbursements!$AT:$AT,Ageing!K$4)</f>
        <v>418000.0000000007</v>
      </c>
      <c r="L70" s="369">
        <f ca="1">SUMIFS(Disbursements!$AP:$AP,Disbursements!$B:$B,Ageing!$B70,Disbursements!$AT:$AT,Ageing!L$4)</f>
        <v>0</v>
      </c>
      <c r="M70" s="369">
        <f ca="1">SUMIFS(Disbursements!$AP:$AP,Disbursements!$B:$B,Ageing!$B70,Disbursements!$AT:$AT,Ageing!M$4)</f>
        <v>0</v>
      </c>
      <c r="N70" s="369">
        <f ca="1">SUMIFS(Disbursements!$AP:$AP,Disbursements!$B:$B,Ageing!$B70,Disbursements!$AT:$AT,Ageing!N$4)</f>
        <v>0</v>
      </c>
      <c r="O70" s="369">
        <f ca="1">SUMIFS(Disbursements!$AP:$AP,Disbursements!$B:$B,Ageing!$B70,Disbursements!$AT:$AT,Ageing!O$4)</f>
        <v>0</v>
      </c>
    </row>
    <row r="71" spans="1:15" x14ac:dyDescent="0.2">
      <c r="A71" s="179" t="str">
        <f>IFERROR(VLOOKUP($B71,'Clients-Live'!$A:$C,3,30),"")</f>
        <v>KEBITA SAUDA</v>
      </c>
      <c r="B71" s="480">
        <v>67</v>
      </c>
      <c r="C71" s="370" t="str">
        <f>IFERROR(INDEX(Disbursements!$J:$J,MATCH(Ageing!B71,Disbursements!$B:$B,0)),"No Loan")</f>
        <v>Aroma</v>
      </c>
      <c r="D71" s="364">
        <f>SUMIF(Disbursements!$B:$B,Ageing!$B71,Disbursements!AN:AN)</f>
        <v>78000</v>
      </c>
      <c r="E71" s="364">
        <f>SUMIF(Disbursements!$B:$B,Ageing!$B71,Disbursements!AO:AO)</f>
        <v>386000</v>
      </c>
      <c r="F71" s="365">
        <f t="shared" ref="F71:F134" si="4">SUM(D71:E71)</f>
        <v>464000</v>
      </c>
      <c r="G71" s="364">
        <f ca="1">SUMIF(Disbursements!$B:$B,Ageing!$B71,Disbursements!AQ:AQ)</f>
        <v>464000</v>
      </c>
      <c r="H71" s="364">
        <f ca="1">SUMIF(Disbursements!$B:$B,Ageing!$B71,Disbursements!AS:AS)</f>
        <v>111</v>
      </c>
      <c r="I71" s="364">
        <f t="shared" ref="I71:I134" ca="1" si="5">COUNTIF(J71:O71,"&gt;0")</f>
        <v>1</v>
      </c>
      <c r="J71" s="369">
        <f ca="1">SUMIFS(Disbursements!$AP:$AP,Disbursements!$B:$B,Ageing!$B71,Disbursements!$AT:$AT,Ageing!J$4)</f>
        <v>0</v>
      </c>
      <c r="K71" s="369">
        <f ca="1">SUMIFS(Disbursements!$AP:$AP,Disbursements!$B:$B,Ageing!$B71,Disbursements!$AT:$AT,Ageing!K$4)</f>
        <v>0</v>
      </c>
      <c r="L71" s="369">
        <f ca="1">SUMIFS(Disbursements!$AP:$AP,Disbursements!$B:$B,Ageing!$B71,Disbursements!$AT:$AT,Ageing!L$4)</f>
        <v>0</v>
      </c>
      <c r="M71" s="369">
        <f ca="1">SUMIFS(Disbursements!$AP:$AP,Disbursements!$B:$B,Ageing!$B71,Disbursements!$AT:$AT,Ageing!M$4)</f>
        <v>0</v>
      </c>
      <c r="N71" s="369">
        <f ca="1">SUMIFS(Disbursements!$AP:$AP,Disbursements!$B:$B,Ageing!$B71,Disbursements!$AT:$AT,Ageing!N$4)</f>
        <v>464000</v>
      </c>
      <c r="O71" s="369">
        <f ca="1">SUMIFS(Disbursements!$AP:$AP,Disbursements!$B:$B,Ageing!$B71,Disbursements!$AT:$AT,Ageing!O$4)</f>
        <v>0</v>
      </c>
    </row>
    <row r="72" spans="1:15" x14ac:dyDescent="0.2">
      <c r="A72" s="179" t="str">
        <f>IFERROR(VLOOKUP($B72,'Clients-Live'!$A:$C,3,30),"")</f>
        <v>CHANDIA  RAHIMA</v>
      </c>
      <c r="B72" s="480">
        <v>68</v>
      </c>
      <c r="C72" s="370" t="str">
        <f>IFERROR(INDEX(Disbursements!$J:$J,MATCH(Ageing!B72,Disbursements!$B:$B,0)),"No Loan")</f>
        <v>Kana</v>
      </c>
      <c r="D72" s="364">
        <f>SUMIF(Disbursements!$B:$B,Ageing!$B72,Disbursements!AN:AN)</f>
        <v>0</v>
      </c>
      <c r="E72" s="364">
        <f>SUMIF(Disbursements!$B:$B,Ageing!$B72,Disbursements!AO:AO)</f>
        <v>2000</v>
      </c>
      <c r="F72" s="365">
        <f t="shared" si="4"/>
        <v>2000</v>
      </c>
      <c r="G72" s="364">
        <f ca="1">SUMIF(Disbursements!$B:$B,Ageing!$B72,Disbursements!AQ:AQ)</f>
        <v>2000</v>
      </c>
      <c r="H72" s="364">
        <f ca="1">SUMIF(Disbursements!$B:$B,Ageing!$B72,Disbursements!AS:AS)</f>
        <v>1</v>
      </c>
      <c r="I72" s="364">
        <f t="shared" ca="1" si="5"/>
        <v>1</v>
      </c>
      <c r="J72" s="369">
        <f ca="1">SUMIFS(Disbursements!$AP:$AP,Disbursements!$B:$B,Ageing!$B72,Disbursements!$AT:$AT,Ageing!J$4)</f>
        <v>0</v>
      </c>
      <c r="K72" s="369">
        <f ca="1">SUMIFS(Disbursements!$AP:$AP,Disbursements!$B:$B,Ageing!$B72,Disbursements!$AT:$AT,Ageing!K$4)</f>
        <v>2000</v>
      </c>
      <c r="L72" s="369">
        <f ca="1">SUMIFS(Disbursements!$AP:$AP,Disbursements!$B:$B,Ageing!$B72,Disbursements!$AT:$AT,Ageing!L$4)</f>
        <v>0</v>
      </c>
      <c r="M72" s="369">
        <f ca="1">SUMIFS(Disbursements!$AP:$AP,Disbursements!$B:$B,Ageing!$B72,Disbursements!$AT:$AT,Ageing!M$4)</f>
        <v>0</v>
      </c>
      <c r="N72" s="369">
        <f ca="1">SUMIFS(Disbursements!$AP:$AP,Disbursements!$B:$B,Ageing!$B72,Disbursements!$AT:$AT,Ageing!N$4)</f>
        <v>0</v>
      </c>
      <c r="O72" s="369">
        <f ca="1">SUMIFS(Disbursements!$AP:$AP,Disbursements!$B:$B,Ageing!$B72,Disbursements!$AT:$AT,Ageing!O$4)</f>
        <v>0</v>
      </c>
    </row>
    <row r="73" spans="1:15" x14ac:dyDescent="0.2">
      <c r="A73" s="179" t="str">
        <f>IFERROR(VLOOKUP($B73,'Clients-Live'!$A:$C,3,30),"")</f>
        <v>SADIA JOYCE</v>
      </c>
      <c r="B73" s="480">
        <v>69</v>
      </c>
      <c r="C73" s="370" t="str">
        <f>IFERROR(INDEX(Disbursements!$J:$J,MATCH(Ageing!B73,Disbursements!$B:$B,0)),"No Loan")</f>
        <v>Jerome</v>
      </c>
      <c r="D73" s="364">
        <f>SUMIF(Disbursements!$B:$B,Ageing!$B73,Disbursements!AN:AN)</f>
        <v>205000</v>
      </c>
      <c r="E73" s="364">
        <f>SUMIF(Disbursements!$B:$B,Ageing!$B73,Disbursements!AO:AO)</f>
        <v>335000</v>
      </c>
      <c r="F73" s="365">
        <f t="shared" si="4"/>
        <v>540000</v>
      </c>
      <c r="G73" s="364">
        <f ca="1">SUMIF(Disbursements!$B:$B,Ageing!$B73,Disbursements!AQ:AQ)</f>
        <v>540000</v>
      </c>
      <c r="H73" s="364">
        <f ca="1">SUMIF(Disbursements!$B:$B,Ageing!$B73,Disbursements!AS:AS)</f>
        <v>108</v>
      </c>
      <c r="I73" s="364">
        <f t="shared" ca="1" si="5"/>
        <v>1</v>
      </c>
      <c r="J73" s="369">
        <f ca="1">SUMIFS(Disbursements!$AP:$AP,Disbursements!$B:$B,Ageing!$B73,Disbursements!$AT:$AT,Ageing!J$4)</f>
        <v>0</v>
      </c>
      <c r="K73" s="369">
        <f ca="1">SUMIFS(Disbursements!$AP:$AP,Disbursements!$B:$B,Ageing!$B73,Disbursements!$AT:$AT,Ageing!K$4)</f>
        <v>0</v>
      </c>
      <c r="L73" s="369">
        <f ca="1">SUMIFS(Disbursements!$AP:$AP,Disbursements!$B:$B,Ageing!$B73,Disbursements!$AT:$AT,Ageing!L$4)</f>
        <v>0</v>
      </c>
      <c r="M73" s="369">
        <f ca="1">SUMIFS(Disbursements!$AP:$AP,Disbursements!$B:$B,Ageing!$B73,Disbursements!$AT:$AT,Ageing!M$4)</f>
        <v>0</v>
      </c>
      <c r="N73" s="369">
        <f ca="1">SUMIFS(Disbursements!$AP:$AP,Disbursements!$B:$B,Ageing!$B73,Disbursements!$AT:$AT,Ageing!N$4)</f>
        <v>540000</v>
      </c>
      <c r="O73" s="369">
        <f ca="1">SUMIFS(Disbursements!$AP:$AP,Disbursements!$B:$B,Ageing!$B73,Disbursements!$AT:$AT,Ageing!O$4)</f>
        <v>0</v>
      </c>
    </row>
    <row r="74" spans="1:15" x14ac:dyDescent="0.2">
      <c r="A74" s="179" t="str">
        <f>IFERROR(VLOOKUP($B74,'Clients-Live'!$A:$C,3,30),"")</f>
        <v>BUGA ALIKIA PHILLIP</v>
      </c>
      <c r="B74" s="480">
        <v>70</v>
      </c>
      <c r="C74" s="370" t="str">
        <f>IFERROR(INDEX(Disbursements!$J:$J,MATCH(Ageing!B74,Disbursements!$B:$B,0)),"No Loan")</f>
        <v>Aroma</v>
      </c>
      <c r="D74" s="364">
        <f>SUMIF(Disbursements!$B:$B,Ageing!$B74,Disbursements!AN:AN)</f>
        <v>0</v>
      </c>
      <c r="E74" s="364">
        <f>SUMIF(Disbursements!$B:$B,Ageing!$B74,Disbursements!AO:AO)</f>
        <v>0</v>
      </c>
      <c r="F74" s="365">
        <f t="shared" si="4"/>
        <v>0</v>
      </c>
      <c r="G74" s="364">
        <f ca="1">SUMIF(Disbursements!$B:$B,Ageing!$B74,Disbursements!AQ:AQ)</f>
        <v>0</v>
      </c>
      <c r="H74" s="364">
        <f ca="1">SUMIF(Disbursements!$B:$B,Ageing!$B74,Disbursements!AS:AS)</f>
        <v>0</v>
      </c>
      <c r="I74" s="364">
        <f t="shared" si="5"/>
        <v>0</v>
      </c>
      <c r="J74" s="369">
        <f>SUMIFS(Disbursements!$AP:$AP,Disbursements!$B:$B,Ageing!$B74,Disbursements!$AT:$AT,Ageing!J$4)</f>
        <v>0</v>
      </c>
      <c r="K74" s="369">
        <f>SUMIFS(Disbursements!$AP:$AP,Disbursements!$B:$B,Ageing!$B74,Disbursements!$AT:$AT,Ageing!K$4)</f>
        <v>0</v>
      </c>
      <c r="L74" s="369">
        <f>SUMIFS(Disbursements!$AP:$AP,Disbursements!$B:$B,Ageing!$B74,Disbursements!$AT:$AT,Ageing!L$4)</f>
        <v>0</v>
      </c>
      <c r="M74" s="369">
        <f>SUMIFS(Disbursements!$AP:$AP,Disbursements!$B:$B,Ageing!$B74,Disbursements!$AT:$AT,Ageing!M$4)</f>
        <v>0</v>
      </c>
      <c r="N74" s="369">
        <f>SUMIFS(Disbursements!$AP:$AP,Disbursements!$B:$B,Ageing!$B74,Disbursements!$AT:$AT,Ageing!N$4)</f>
        <v>0</v>
      </c>
      <c r="O74" s="369">
        <f>SUMIFS(Disbursements!$AP:$AP,Disbursements!$B:$B,Ageing!$B74,Disbursements!$AT:$AT,Ageing!O$4)</f>
        <v>0</v>
      </c>
    </row>
    <row r="75" spans="1:15" x14ac:dyDescent="0.2">
      <c r="A75" s="179" t="str">
        <f>IFERROR(VLOOKUP($B75,'Clients-Live'!$A:$C,3,30),"")</f>
        <v>AYIKORU HARIET BAUDI</v>
      </c>
      <c r="B75" s="480">
        <v>71</v>
      </c>
      <c r="C75" s="370" t="str">
        <f>IFERROR(INDEX(Disbursements!$J:$J,MATCH(Ageing!B75,Disbursements!$B:$B,0)),"No Loan")</f>
        <v>Jerome</v>
      </c>
      <c r="D75" s="364">
        <f>SUMIF(Disbursements!$B:$B,Ageing!$B75,Disbursements!AN:AN)</f>
        <v>195000</v>
      </c>
      <c r="E75" s="364">
        <f>SUMIF(Disbursements!$B:$B,Ageing!$B75,Disbursements!AO:AO)</f>
        <v>3000000</v>
      </c>
      <c r="F75" s="365">
        <f t="shared" si="4"/>
        <v>3195000</v>
      </c>
      <c r="G75" s="364">
        <f ca="1">SUMIF(Disbursements!$B:$B,Ageing!$B75,Disbursements!AQ:AQ)</f>
        <v>3195000</v>
      </c>
      <c r="H75" s="364">
        <f ca="1">SUMIF(Disbursements!$B:$B,Ageing!$B75,Disbursements!AS:AS)</f>
        <v>30</v>
      </c>
      <c r="I75" s="364">
        <f t="shared" ca="1" si="5"/>
        <v>1</v>
      </c>
      <c r="J75" s="369">
        <f ca="1">SUMIFS(Disbursements!$AP:$AP,Disbursements!$B:$B,Ageing!$B75,Disbursements!$AT:$AT,Ageing!J$4)</f>
        <v>0</v>
      </c>
      <c r="K75" s="369">
        <f ca="1">SUMIFS(Disbursements!$AP:$AP,Disbursements!$B:$B,Ageing!$B75,Disbursements!$AT:$AT,Ageing!K$4)</f>
        <v>3195000</v>
      </c>
      <c r="L75" s="369">
        <f ca="1">SUMIFS(Disbursements!$AP:$AP,Disbursements!$B:$B,Ageing!$B75,Disbursements!$AT:$AT,Ageing!L$4)</f>
        <v>0</v>
      </c>
      <c r="M75" s="369">
        <f ca="1">SUMIFS(Disbursements!$AP:$AP,Disbursements!$B:$B,Ageing!$B75,Disbursements!$AT:$AT,Ageing!M$4)</f>
        <v>0</v>
      </c>
      <c r="N75" s="369">
        <f ca="1">SUMIFS(Disbursements!$AP:$AP,Disbursements!$B:$B,Ageing!$B75,Disbursements!$AT:$AT,Ageing!N$4)</f>
        <v>0</v>
      </c>
      <c r="O75" s="369">
        <f ca="1">SUMIFS(Disbursements!$AP:$AP,Disbursements!$B:$B,Ageing!$B75,Disbursements!$AT:$AT,Ageing!O$4)</f>
        <v>0</v>
      </c>
    </row>
    <row r="76" spans="1:15" x14ac:dyDescent="0.2">
      <c r="A76" s="179" t="str">
        <f>IFERROR(VLOOKUP($B76,'Clients-Live'!$A:$C,3,30),"")</f>
        <v>MUNDURU MERCY</v>
      </c>
      <c r="B76" s="480">
        <v>72</v>
      </c>
      <c r="C76" s="370" t="str">
        <f>IFERROR(INDEX(Disbursements!$J:$J,MATCH(Ageing!B76,Disbursements!$B:$B,0)),"No Loan")</f>
        <v>Aroma</v>
      </c>
      <c r="D76" s="364">
        <f>SUMIF(Disbursements!$B:$B,Ageing!$B76,Disbursements!AN:AN)</f>
        <v>585000</v>
      </c>
      <c r="E76" s="364">
        <f>SUMIF(Disbursements!$B:$B,Ageing!$B76,Disbursements!AO:AO)</f>
        <v>1501800</v>
      </c>
      <c r="F76" s="365">
        <f t="shared" si="4"/>
        <v>2086800</v>
      </c>
      <c r="G76" s="364">
        <f ca="1">SUMIF(Disbursements!$B:$B,Ageing!$B76,Disbursements!AQ:AQ)</f>
        <v>2086800</v>
      </c>
      <c r="H76" s="364">
        <f ca="1">SUMIF(Disbursements!$B:$B,Ageing!$B76,Disbursements!AS:AS)</f>
        <v>151</v>
      </c>
      <c r="I76" s="364">
        <f t="shared" ca="1" si="5"/>
        <v>2</v>
      </c>
      <c r="J76" s="369">
        <f ca="1">SUMIFS(Disbursements!$AP:$AP,Disbursements!$B:$B,Ageing!$B76,Disbursements!$AT:$AT,Ageing!J$4)</f>
        <v>0</v>
      </c>
      <c r="K76" s="369">
        <f ca="1">SUMIFS(Disbursements!$AP:$AP,Disbursements!$B:$B,Ageing!$B76,Disbursements!$AT:$AT,Ageing!K$4)</f>
        <v>1800</v>
      </c>
      <c r="L76" s="369">
        <f ca="1">SUMIFS(Disbursements!$AP:$AP,Disbursements!$B:$B,Ageing!$B76,Disbursements!$AT:$AT,Ageing!L$4)</f>
        <v>0</v>
      </c>
      <c r="M76" s="369">
        <f ca="1">SUMIFS(Disbursements!$AP:$AP,Disbursements!$B:$B,Ageing!$B76,Disbursements!$AT:$AT,Ageing!M$4)</f>
        <v>0</v>
      </c>
      <c r="N76" s="369">
        <f ca="1">SUMIFS(Disbursements!$AP:$AP,Disbursements!$B:$B,Ageing!$B76,Disbursements!$AT:$AT,Ageing!N$4)</f>
        <v>2085000</v>
      </c>
      <c r="O76" s="369">
        <f ca="1">SUMIFS(Disbursements!$AP:$AP,Disbursements!$B:$B,Ageing!$B76,Disbursements!$AT:$AT,Ageing!O$4)</f>
        <v>0</v>
      </c>
    </row>
    <row r="77" spans="1:15" x14ac:dyDescent="0.2">
      <c r="A77" s="179" t="str">
        <f>IFERROR(VLOOKUP($B77,'Clients-Live'!$A:$C,3,30),"")</f>
        <v>AJONYE DEBORA</v>
      </c>
      <c r="B77" s="480">
        <v>73</v>
      </c>
      <c r="C77" s="370" t="str">
        <f>IFERROR(INDEX(Disbursements!$J:$J,MATCH(Ageing!B77,Disbursements!$B:$B,0)),"No Loan")</f>
        <v>Kana</v>
      </c>
      <c r="D77" s="364">
        <f>SUMIF(Disbursements!$B:$B,Ageing!$B77,Disbursements!AN:AN)</f>
        <v>55666.666666666686</v>
      </c>
      <c r="E77" s="364">
        <f>SUMIF(Disbursements!$B:$B,Ageing!$B77,Disbursements!AO:AO)</f>
        <v>210333.33333333326</v>
      </c>
      <c r="F77" s="365">
        <f t="shared" si="4"/>
        <v>265999.99999999994</v>
      </c>
      <c r="G77" s="364">
        <f ca="1">SUMIF(Disbursements!$B:$B,Ageing!$B77,Disbursements!AQ:AQ)</f>
        <v>265999.99999999994</v>
      </c>
      <c r="H77" s="364">
        <f ca="1">SUMIF(Disbursements!$B:$B,Ageing!$B77,Disbursements!AS:AS)</f>
        <v>36</v>
      </c>
      <c r="I77" s="364">
        <f t="shared" ca="1" si="5"/>
        <v>1</v>
      </c>
      <c r="J77" s="369">
        <f ca="1">SUMIFS(Disbursements!$AP:$AP,Disbursements!$B:$B,Ageing!$B77,Disbursements!$AT:$AT,Ageing!J$4)</f>
        <v>0</v>
      </c>
      <c r="K77" s="369">
        <f ca="1">SUMIFS(Disbursements!$AP:$AP,Disbursements!$B:$B,Ageing!$B77,Disbursements!$AT:$AT,Ageing!K$4)</f>
        <v>0</v>
      </c>
      <c r="L77" s="369">
        <f ca="1">SUMIFS(Disbursements!$AP:$AP,Disbursements!$B:$B,Ageing!$B77,Disbursements!$AT:$AT,Ageing!L$4)</f>
        <v>265999.99999999994</v>
      </c>
      <c r="M77" s="369">
        <f ca="1">SUMIFS(Disbursements!$AP:$AP,Disbursements!$B:$B,Ageing!$B77,Disbursements!$AT:$AT,Ageing!M$4)</f>
        <v>0</v>
      </c>
      <c r="N77" s="369">
        <f ca="1">SUMIFS(Disbursements!$AP:$AP,Disbursements!$B:$B,Ageing!$B77,Disbursements!$AT:$AT,Ageing!N$4)</f>
        <v>0</v>
      </c>
      <c r="O77" s="369">
        <f ca="1">SUMIFS(Disbursements!$AP:$AP,Disbursements!$B:$B,Ageing!$B77,Disbursements!$AT:$AT,Ageing!O$4)</f>
        <v>0</v>
      </c>
    </row>
    <row r="78" spans="1:15" x14ac:dyDescent="0.2">
      <c r="A78" s="179" t="str">
        <f>IFERROR(VLOOKUP($B78,'Clients-Live'!$A:$C,3,30),"")</f>
        <v>YUKUWE AISHA</v>
      </c>
      <c r="B78" s="480">
        <v>74</v>
      </c>
      <c r="C78" s="370" t="str">
        <f>IFERROR(INDEX(Disbursements!$J:$J,MATCH(Ageing!B78,Disbursements!$B:$B,0)),"No Loan")</f>
        <v>Aroma</v>
      </c>
      <c r="D78" s="364">
        <f>SUMIF(Disbursements!$B:$B,Ageing!$B78,Disbursements!AN:AN)</f>
        <v>14000</v>
      </c>
      <c r="E78" s="364">
        <f>SUMIF(Disbursements!$B:$B,Ageing!$B78,Disbursements!AO:AO)</f>
        <v>51000</v>
      </c>
      <c r="F78" s="365">
        <f t="shared" si="4"/>
        <v>65000</v>
      </c>
      <c r="G78" s="364">
        <f ca="1">SUMIF(Disbursements!$B:$B,Ageing!$B78,Disbursements!AQ:AQ)</f>
        <v>65000</v>
      </c>
      <c r="H78" s="364">
        <f ca="1">SUMIF(Disbursements!$B:$B,Ageing!$B78,Disbursements!AS:AS)</f>
        <v>29</v>
      </c>
      <c r="I78" s="364">
        <f t="shared" ca="1" si="5"/>
        <v>1</v>
      </c>
      <c r="J78" s="369">
        <f ca="1">SUMIFS(Disbursements!$AP:$AP,Disbursements!$B:$B,Ageing!$B78,Disbursements!$AT:$AT,Ageing!J$4)</f>
        <v>0</v>
      </c>
      <c r="K78" s="369">
        <f ca="1">SUMIFS(Disbursements!$AP:$AP,Disbursements!$B:$B,Ageing!$B78,Disbursements!$AT:$AT,Ageing!K$4)</f>
        <v>65000</v>
      </c>
      <c r="L78" s="369">
        <f ca="1">SUMIFS(Disbursements!$AP:$AP,Disbursements!$B:$B,Ageing!$B78,Disbursements!$AT:$AT,Ageing!L$4)</f>
        <v>0</v>
      </c>
      <c r="M78" s="369">
        <f ca="1">SUMIFS(Disbursements!$AP:$AP,Disbursements!$B:$B,Ageing!$B78,Disbursements!$AT:$AT,Ageing!M$4)</f>
        <v>0</v>
      </c>
      <c r="N78" s="369">
        <f ca="1">SUMIFS(Disbursements!$AP:$AP,Disbursements!$B:$B,Ageing!$B78,Disbursements!$AT:$AT,Ageing!N$4)</f>
        <v>0</v>
      </c>
      <c r="O78" s="369">
        <f ca="1">SUMIFS(Disbursements!$AP:$AP,Disbursements!$B:$B,Ageing!$B78,Disbursements!$AT:$AT,Ageing!O$4)</f>
        <v>0</v>
      </c>
    </row>
    <row r="79" spans="1:15" x14ac:dyDescent="0.2">
      <c r="A79" s="179" t="str">
        <f>IFERROR(VLOOKUP($B79,'Clients-Live'!$A:$C,3,30),"")</f>
        <v>MUKULIA JAMES</v>
      </c>
      <c r="B79" s="480">
        <v>75</v>
      </c>
      <c r="C79" s="370" t="str">
        <f>IFERROR(INDEX(Disbursements!$J:$J,MATCH(Ageing!B79,Disbursements!$B:$B,0)),"No Loan")</f>
        <v>Jerome</v>
      </c>
      <c r="D79" s="364">
        <f>SUMIF(Disbursements!$B:$B,Ageing!$B79,Disbursements!AN:AN)</f>
        <v>9333.333333333343</v>
      </c>
      <c r="E79" s="364">
        <f>SUMIF(Disbursements!$B:$B,Ageing!$B79,Disbursements!AO:AO)</f>
        <v>285666.66666666663</v>
      </c>
      <c r="F79" s="365">
        <f t="shared" si="4"/>
        <v>295000</v>
      </c>
      <c r="G79" s="364">
        <f ca="1">SUMIF(Disbursements!$B:$B,Ageing!$B79,Disbursements!AQ:AQ)</f>
        <v>295000</v>
      </c>
      <c r="H79" s="364">
        <f ca="1">SUMIF(Disbursements!$B:$B,Ageing!$B79,Disbursements!AS:AS)</f>
        <v>51</v>
      </c>
      <c r="I79" s="364">
        <f t="shared" ca="1" si="5"/>
        <v>1</v>
      </c>
      <c r="J79" s="369">
        <f ca="1">SUMIFS(Disbursements!$AP:$AP,Disbursements!$B:$B,Ageing!$B79,Disbursements!$AT:$AT,Ageing!J$4)</f>
        <v>0</v>
      </c>
      <c r="K79" s="369">
        <f ca="1">SUMIFS(Disbursements!$AP:$AP,Disbursements!$B:$B,Ageing!$B79,Disbursements!$AT:$AT,Ageing!K$4)</f>
        <v>0</v>
      </c>
      <c r="L79" s="369">
        <f ca="1">SUMIFS(Disbursements!$AP:$AP,Disbursements!$B:$B,Ageing!$B79,Disbursements!$AT:$AT,Ageing!L$4)</f>
        <v>295000</v>
      </c>
      <c r="M79" s="369">
        <f ca="1">SUMIFS(Disbursements!$AP:$AP,Disbursements!$B:$B,Ageing!$B79,Disbursements!$AT:$AT,Ageing!M$4)</f>
        <v>0</v>
      </c>
      <c r="N79" s="369">
        <f ca="1">SUMIFS(Disbursements!$AP:$AP,Disbursements!$B:$B,Ageing!$B79,Disbursements!$AT:$AT,Ageing!N$4)</f>
        <v>0</v>
      </c>
      <c r="O79" s="369">
        <f ca="1">SUMIFS(Disbursements!$AP:$AP,Disbursements!$B:$B,Ageing!$B79,Disbursements!$AT:$AT,Ageing!O$4)</f>
        <v>0</v>
      </c>
    </row>
    <row r="80" spans="1:15" x14ac:dyDescent="0.2">
      <c r="A80" s="179" t="str">
        <f>IFERROR(VLOOKUP($B80,'Clients-Live'!$A:$C,3,30),"")</f>
        <v>DAWA AISHA</v>
      </c>
      <c r="B80" s="480">
        <v>76</v>
      </c>
      <c r="C80" s="370" t="str">
        <f>IFERROR(INDEX(Disbursements!$J:$J,MATCH(Ageing!B80,Disbursements!$B:$B,0)),"No Loan")</f>
        <v>Aroma</v>
      </c>
      <c r="D80" s="364">
        <f>SUMIF(Disbursements!$B:$B,Ageing!$B80,Disbursements!AN:AN)</f>
        <v>0</v>
      </c>
      <c r="E80" s="364">
        <f>SUMIF(Disbursements!$B:$B,Ageing!$B80,Disbursements!AO:AO)</f>
        <v>0</v>
      </c>
      <c r="F80" s="365">
        <f t="shared" si="4"/>
        <v>0</v>
      </c>
      <c r="G80" s="364">
        <f ca="1">SUMIF(Disbursements!$B:$B,Ageing!$B80,Disbursements!AQ:AQ)</f>
        <v>0</v>
      </c>
      <c r="H80" s="364">
        <f ca="1">SUMIF(Disbursements!$B:$B,Ageing!$B80,Disbursements!AS:AS)</f>
        <v>0</v>
      </c>
      <c r="I80" s="364">
        <f t="shared" si="5"/>
        <v>0</v>
      </c>
      <c r="J80" s="369">
        <f>SUMIFS(Disbursements!$AP:$AP,Disbursements!$B:$B,Ageing!$B80,Disbursements!$AT:$AT,Ageing!J$4)</f>
        <v>0</v>
      </c>
      <c r="K80" s="369">
        <f>SUMIFS(Disbursements!$AP:$AP,Disbursements!$B:$B,Ageing!$B80,Disbursements!$AT:$AT,Ageing!K$4)</f>
        <v>0</v>
      </c>
      <c r="L80" s="369">
        <f>SUMIFS(Disbursements!$AP:$AP,Disbursements!$B:$B,Ageing!$B80,Disbursements!$AT:$AT,Ageing!L$4)</f>
        <v>0</v>
      </c>
      <c r="M80" s="369">
        <f>SUMIFS(Disbursements!$AP:$AP,Disbursements!$B:$B,Ageing!$B80,Disbursements!$AT:$AT,Ageing!M$4)</f>
        <v>0</v>
      </c>
      <c r="N80" s="369">
        <f>SUMIFS(Disbursements!$AP:$AP,Disbursements!$B:$B,Ageing!$B80,Disbursements!$AT:$AT,Ageing!N$4)</f>
        <v>0</v>
      </c>
      <c r="O80" s="369">
        <f>SUMIFS(Disbursements!$AP:$AP,Disbursements!$B:$B,Ageing!$B80,Disbursements!$AT:$AT,Ageing!O$4)</f>
        <v>0</v>
      </c>
    </row>
    <row r="81" spans="1:15" x14ac:dyDescent="0.2">
      <c r="A81" s="179" t="str">
        <f>IFERROR(VLOOKUP($B81,'Clients-Live'!$A:$C,3,30),"")</f>
        <v>CACA FATUMA</v>
      </c>
      <c r="B81" s="480">
        <v>77</v>
      </c>
      <c r="C81" s="370" t="str">
        <f>IFERROR(INDEX(Disbursements!$J:$J,MATCH(Ageing!B81,Disbursements!$B:$B,0)),"No Loan")</f>
        <v>Kana</v>
      </c>
      <c r="D81" s="364">
        <f>SUMIF(Disbursements!$B:$B,Ageing!$B81,Disbursements!AN:AN)</f>
        <v>784000.00000000012</v>
      </c>
      <c r="E81" s="364">
        <f>SUMIF(Disbursements!$B:$B,Ageing!$B81,Disbursements!AO:AO)</f>
        <v>2002000</v>
      </c>
      <c r="F81" s="365">
        <f t="shared" si="4"/>
        <v>2786000</v>
      </c>
      <c r="G81" s="364">
        <f ca="1">SUMIF(Disbursements!$B:$B,Ageing!$B81,Disbursements!AQ:AQ)</f>
        <v>2786000</v>
      </c>
      <c r="H81" s="364">
        <f ca="1">SUMIF(Disbursements!$B:$B,Ageing!$B81,Disbursements!AS:AS)</f>
        <v>181</v>
      </c>
      <c r="I81" s="364">
        <f t="shared" ca="1" si="5"/>
        <v>2</v>
      </c>
      <c r="J81" s="369">
        <f ca="1">SUMIFS(Disbursements!$AP:$AP,Disbursements!$B:$B,Ageing!$B81,Disbursements!$AT:$AT,Ageing!J$4)</f>
        <v>0</v>
      </c>
      <c r="K81" s="369">
        <f ca="1">SUMIFS(Disbursements!$AP:$AP,Disbursements!$B:$B,Ageing!$B81,Disbursements!$AT:$AT,Ageing!K$4)</f>
        <v>2000</v>
      </c>
      <c r="L81" s="369">
        <f ca="1">SUMIFS(Disbursements!$AP:$AP,Disbursements!$B:$B,Ageing!$B81,Disbursements!$AT:$AT,Ageing!L$4)</f>
        <v>0</v>
      </c>
      <c r="M81" s="369">
        <f ca="1">SUMIFS(Disbursements!$AP:$AP,Disbursements!$B:$B,Ageing!$B81,Disbursements!$AT:$AT,Ageing!M$4)</f>
        <v>0</v>
      </c>
      <c r="N81" s="369">
        <f ca="1">SUMIFS(Disbursements!$AP:$AP,Disbursements!$B:$B,Ageing!$B81,Disbursements!$AT:$AT,Ageing!N$4)</f>
        <v>2784000</v>
      </c>
      <c r="O81" s="369">
        <f ca="1">SUMIFS(Disbursements!$AP:$AP,Disbursements!$B:$B,Ageing!$B81,Disbursements!$AT:$AT,Ageing!O$4)</f>
        <v>0</v>
      </c>
    </row>
    <row r="82" spans="1:15" x14ac:dyDescent="0.2">
      <c r="A82" s="179" t="str">
        <f>IFERROR(VLOOKUP($B82,'Clients-Live'!$A:$C,3,30),"")</f>
        <v>DIPIYO BEATRICE JOHN</v>
      </c>
      <c r="B82" s="480">
        <v>78</v>
      </c>
      <c r="C82" s="370" t="str">
        <f>IFERROR(INDEX(Disbursements!$J:$J,MATCH(Ageing!B82,Disbursements!$B:$B,0)),"No Loan")</f>
        <v>Jerome</v>
      </c>
      <c r="D82" s="364">
        <f>SUMIF(Disbursements!$B:$B,Ageing!$B82,Disbursements!AN:AN)</f>
        <v>90000</v>
      </c>
      <c r="E82" s="364">
        <f>SUMIF(Disbursements!$B:$B,Ageing!$B82,Disbursements!AO:AO)</f>
        <v>400000</v>
      </c>
      <c r="F82" s="365">
        <f t="shared" si="4"/>
        <v>490000</v>
      </c>
      <c r="G82" s="364">
        <f ca="1">SUMIF(Disbursements!$B:$B,Ageing!$B82,Disbursements!AQ:AQ)</f>
        <v>490000</v>
      </c>
      <c r="H82" s="364">
        <f ca="1">SUMIF(Disbursements!$B:$B,Ageing!$B82,Disbursements!AS:AS)</f>
        <v>60</v>
      </c>
      <c r="I82" s="364">
        <f t="shared" ca="1" si="5"/>
        <v>1</v>
      </c>
      <c r="J82" s="369">
        <f ca="1">SUMIFS(Disbursements!$AP:$AP,Disbursements!$B:$B,Ageing!$B82,Disbursements!$AT:$AT,Ageing!J$4)</f>
        <v>0</v>
      </c>
      <c r="K82" s="369">
        <f ca="1">SUMIFS(Disbursements!$AP:$AP,Disbursements!$B:$B,Ageing!$B82,Disbursements!$AT:$AT,Ageing!K$4)</f>
        <v>0</v>
      </c>
      <c r="L82" s="369">
        <f ca="1">SUMIFS(Disbursements!$AP:$AP,Disbursements!$B:$B,Ageing!$B82,Disbursements!$AT:$AT,Ageing!L$4)</f>
        <v>490000</v>
      </c>
      <c r="M82" s="369">
        <f ca="1">SUMIFS(Disbursements!$AP:$AP,Disbursements!$B:$B,Ageing!$B82,Disbursements!$AT:$AT,Ageing!M$4)</f>
        <v>0</v>
      </c>
      <c r="N82" s="369">
        <f ca="1">SUMIFS(Disbursements!$AP:$AP,Disbursements!$B:$B,Ageing!$B82,Disbursements!$AT:$AT,Ageing!N$4)</f>
        <v>0</v>
      </c>
      <c r="O82" s="369">
        <f ca="1">SUMIFS(Disbursements!$AP:$AP,Disbursements!$B:$B,Ageing!$B82,Disbursements!$AT:$AT,Ageing!O$4)</f>
        <v>0</v>
      </c>
    </row>
    <row r="83" spans="1:15" x14ac:dyDescent="0.2">
      <c r="A83" s="179" t="str">
        <f>IFERROR(VLOOKUP($B83,'Clients-Live'!$A:$C,3,30),"")</f>
        <v>PASI SENYA</v>
      </c>
      <c r="B83" s="480">
        <v>79</v>
      </c>
      <c r="C83" s="370" t="str">
        <f>IFERROR(INDEX(Disbursements!$J:$J,MATCH(Ageing!B83,Disbursements!$B:$B,0)),"No Loan")</f>
        <v>Aroma</v>
      </c>
      <c r="D83" s="364">
        <f>SUMIF(Disbursements!$B:$B,Ageing!$B83,Disbursements!AN:AN)</f>
        <v>0</v>
      </c>
      <c r="E83" s="364">
        <f>SUMIF(Disbursements!$B:$B,Ageing!$B83,Disbursements!AO:AO)</f>
        <v>0</v>
      </c>
      <c r="F83" s="365">
        <f t="shared" si="4"/>
        <v>0</v>
      </c>
      <c r="G83" s="364">
        <f ca="1">SUMIF(Disbursements!$B:$B,Ageing!$B83,Disbursements!AQ:AQ)</f>
        <v>0</v>
      </c>
      <c r="H83" s="364">
        <f ca="1">SUMIF(Disbursements!$B:$B,Ageing!$B83,Disbursements!AS:AS)</f>
        <v>0</v>
      </c>
      <c r="I83" s="364">
        <f t="shared" si="5"/>
        <v>0</v>
      </c>
      <c r="J83" s="369">
        <f>SUMIFS(Disbursements!$AP:$AP,Disbursements!$B:$B,Ageing!$B83,Disbursements!$AT:$AT,Ageing!J$4)</f>
        <v>0</v>
      </c>
      <c r="K83" s="369">
        <f>SUMIFS(Disbursements!$AP:$AP,Disbursements!$B:$B,Ageing!$B83,Disbursements!$AT:$AT,Ageing!K$4)</f>
        <v>0</v>
      </c>
      <c r="L83" s="369">
        <f>SUMIFS(Disbursements!$AP:$AP,Disbursements!$B:$B,Ageing!$B83,Disbursements!$AT:$AT,Ageing!L$4)</f>
        <v>0</v>
      </c>
      <c r="M83" s="369">
        <f>SUMIFS(Disbursements!$AP:$AP,Disbursements!$B:$B,Ageing!$B83,Disbursements!$AT:$AT,Ageing!M$4)</f>
        <v>0</v>
      </c>
      <c r="N83" s="369">
        <f>SUMIFS(Disbursements!$AP:$AP,Disbursements!$B:$B,Ageing!$B83,Disbursements!$AT:$AT,Ageing!N$4)</f>
        <v>0</v>
      </c>
      <c r="O83" s="369">
        <f>SUMIFS(Disbursements!$AP:$AP,Disbursements!$B:$B,Ageing!$B83,Disbursements!$AT:$AT,Ageing!O$4)</f>
        <v>0</v>
      </c>
    </row>
    <row r="84" spans="1:15" x14ac:dyDescent="0.2">
      <c r="A84" s="179" t="str">
        <f>IFERROR(VLOOKUP($B84,'Clients-Live'!$A:$C,3,30),"")</f>
        <v>ARIYE AISHA</v>
      </c>
      <c r="B84" s="480">
        <v>80</v>
      </c>
      <c r="C84" s="370" t="str">
        <f>IFERROR(INDEX(Disbursements!$J:$J,MATCH(Ageing!B84,Disbursements!$B:$B,0)),"No Loan")</f>
        <v>Kana</v>
      </c>
      <c r="D84" s="364">
        <f>SUMIF(Disbursements!$B:$B,Ageing!$B84,Disbursements!AN:AN)</f>
        <v>0</v>
      </c>
      <c r="E84" s="364">
        <f>SUMIF(Disbursements!$B:$B,Ageing!$B84,Disbursements!AO:AO)</f>
        <v>0</v>
      </c>
      <c r="F84" s="365">
        <f t="shared" si="4"/>
        <v>0</v>
      </c>
      <c r="G84" s="364">
        <f ca="1">SUMIF(Disbursements!$B:$B,Ageing!$B84,Disbursements!AQ:AQ)</f>
        <v>0</v>
      </c>
      <c r="H84" s="364">
        <f ca="1">SUMIF(Disbursements!$B:$B,Ageing!$B84,Disbursements!AS:AS)</f>
        <v>0</v>
      </c>
      <c r="I84" s="364">
        <f t="shared" si="5"/>
        <v>0</v>
      </c>
      <c r="J84" s="369">
        <f>SUMIFS(Disbursements!$AP:$AP,Disbursements!$B:$B,Ageing!$B84,Disbursements!$AT:$AT,Ageing!J$4)</f>
        <v>0</v>
      </c>
      <c r="K84" s="369">
        <f>SUMIFS(Disbursements!$AP:$AP,Disbursements!$B:$B,Ageing!$B84,Disbursements!$AT:$AT,Ageing!K$4)</f>
        <v>0</v>
      </c>
      <c r="L84" s="369">
        <f>SUMIFS(Disbursements!$AP:$AP,Disbursements!$B:$B,Ageing!$B84,Disbursements!$AT:$AT,Ageing!L$4)</f>
        <v>0</v>
      </c>
      <c r="M84" s="369">
        <f>SUMIFS(Disbursements!$AP:$AP,Disbursements!$B:$B,Ageing!$B84,Disbursements!$AT:$AT,Ageing!M$4)</f>
        <v>0</v>
      </c>
      <c r="N84" s="369">
        <f>SUMIFS(Disbursements!$AP:$AP,Disbursements!$B:$B,Ageing!$B84,Disbursements!$AT:$AT,Ageing!N$4)</f>
        <v>0</v>
      </c>
      <c r="O84" s="369">
        <f>SUMIFS(Disbursements!$AP:$AP,Disbursements!$B:$B,Ageing!$B84,Disbursements!$AT:$AT,Ageing!O$4)</f>
        <v>0</v>
      </c>
    </row>
    <row r="85" spans="1:15" x14ac:dyDescent="0.2">
      <c r="A85" s="179" t="str">
        <f>IFERROR(VLOOKUP($B85,'Clients-Live'!$A:$C,3,30),"")</f>
        <v>ADAM ZAITUN</v>
      </c>
      <c r="B85" s="480">
        <v>81</v>
      </c>
      <c r="C85" s="370" t="str">
        <f>IFERROR(INDEX(Disbursements!$J:$J,MATCH(Ageing!B85,Disbursements!$B:$B,0)),"No Loan")</f>
        <v>Aroma</v>
      </c>
      <c r="D85" s="364">
        <f>SUMIF(Disbursements!$B:$B,Ageing!$B85,Disbursements!AN:AN)</f>
        <v>51000.000000000058</v>
      </c>
      <c r="E85" s="364">
        <f>SUMIF(Disbursements!$B:$B,Ageing!$B85,Disbursements!AO:AO)</f>
        <v>304000</v>
      </c>
      <c r="F85" s="365">
        <f t="shared" si="4"/>
        <v>355000.00000000006</v>
      </c>
      <c r="G85" s="364">
        <f ca="1">SUMIF(Disbursements!$B:$B,Ageing!$B85,Disbursements!AQ:AQ)</f>
        <v>355000.00000000006</v>
      </c>
      <c r="H85" s="364">
        <f ca="1">SUMIF(Disbursements!$B:$B,Ageing!$B85,Disbursements!AS:AS)</f>
        <v>50</v>
      </c>
      <c r="I85" s="364">
        <f t="shared" ca="1" si="5"/>
        <v>1</v>
      </c>
      <c r="J85" s="369">
        <f ca="1">SUMIFS(Disbursements!$AP:$AP,Disbursements!$B:$B,Ageing!$B85,Disbursements!$AT:$AT,Ageing!J$4)</f>
        <v>0</v>
      </c>
      <c r="K85" s="369">
        <f ca="1">SUMIFS(Disbursements!$AP:$AP,Disbursements!$B:$B,Ageing!$B85,Disbursements!$AT:$AT,Ageing!K$4)</f>
        <v>0</v>
      </c>
      <c r="L85" s="369">
        <f ca="1">SUMIFS(Disbursements!$AP:$AP,Disbursements!$B:$B,Ageing!$B85,Disbursements!$AT:$AT,Ageing!L$4)</f>
        <v>355000.00000000006</v>
      </c>
      <c r="M85" s="369">
        <f ca="1">SUMIFS(Disbursements!$AP:$AP,Disbursements!$B:$B,Ageing!$B85,Disbursements!$AT:$AT,Ageing!M$4)</f>
        <v>0</v>
      </c>
      <c r="N85" s="369">
        <f ca="1">SUMIFS(Disbursements!$AP:$AP,Disbursements!$B:$B,Ageing!$B85,Disbursements!$AT:$AT,Ageing!N$4)</f>
        <v>0</v>
      </c>
      <c r="O85" s="369">
        <f ca="1">SUMIFS(Disbursements!$AP:$AP,Disbursements!$B:$B,Ageing!$B85,Disbursements!$AT:$AT,Ageing!O$4)</f>
        <v>0</v>
      </c>
    </row>
    <row r="86" spans="1:15" x14ac:dyDescent="0.2">
      <c r="A86" s="179" t="str">
        <f>IFERROR(VLOOKUP($B86,'Clients-Live'!$A:$C,3,30),"")</f>
        <v>ADUNA MANENO</v>
      </c>
      <c r="B86" s="480">
        <v>82</v>
      </c>
      <c r="C86" s="370" t="str">
        <f>IFERROR(INDEX(Disbursements!$J:$J,MATCH(Ageing!B86,Disbursements!$B:$B,0)),"No Loan")</f>
        <v>Kana</v>
      </c>
      <c r="D86" s="364">
        <f>SUMIF(Disbursements!$B:$B,Ageing!$B86,Disbursements!AN:AN)</f>
        <v>0</v>
      </c>
      <c r="E86" s="364">
        <f>SUMIF(Disbursements!$B:$B,Ageing!$B86,Disbursements!AO:AO)</f>
        <v>0</v>
      </c>
      <c r="F86" s="365">
        <f t="shared" si="4"/>
        <v>0</v>
      </c>
      <c r="G86" s="364">
        <f ca="1">SUMIF(Disbursements!$B:$B,Ageing!$B86,Disbursements!AQ:AQ)</f>
        <v>0</v>
      </c>
      <c r="H86" s="364">
        <f ca="1">SUMIF(Disbursements!$B:$B,Ageing!$B86,Disbursements!AS:AS)</f>
        <v>0</v>
      </c>
      <c r="I86" s="364">
        <f t="shared" si="5"/>
        <v>0</v>
      </c>
      <c r="J86" s="369">
        <f>SUMIFS(Disbursements!$AP:$AP,Disbursements!$B:$B,Ageing!$B86,Disbursements!$AT:$AT,Ageing!J$4)</f>
        <v>0</v>
      </c>
      <c r="K86" s="369">
        <f>SUMIFS(Disbursements!$AP:$AP,Disbursements!$B:$B,Ageing!$B86,Disbursements!$AT:$AT,Ageing!K$4)</f>
        <v>0</v>
      </c>
      <c r="L86" s="369">
        <f>SUMIFS(Disbursements!$AP:$AP,Disbursements!$B:$B,Ageing!$B86,Disbursements!$AT:$AT,Ageing!L$4)</f>
        <v>0</v>
      </c>
      <c r="M86" s="369">
        <f>SUMIFS(Disbursements!$AP:$AP,Disbursements!$B:$B,Ageing!$B86,Disbursements!$AT:$AT,Ageing!M$4)</f>
        <v>0</v>
      </c>
      <c r="N86" s="369">
        <f>SUMIFS(Disbursements!$AP:$AP,Disbursements!$B:$B,Ageing!$B86,Disbursements!$AT:$AT,Ageing!N$4)</f>
        <v>0</v>
      </c>
      <c r="O86" s="369">
        <f>SUMIFS(Disbursements!$AP:$AP,Disbursements!$B:$B,Ageing!$B86,Disbursements!$AT:$AT,Ageing!O$4)</f>
        <v>0</v>
      </c>
    </row>
    <row r="87" spans="1:15" x14ac:dyDescent="0.2">
      <c r="A87" s="179" t="str">
        <f>IFERROR(VLOOKUP($B87,'Clients-Live'!$A:$C,3,30),"")</f>
        <v>NEVER ZULAIKA</v>
      </c>
      <c r="B87" s="480">
        <v>83</v>
      </c>
      <c r="C87" s="370" t="str">
        <f>IFERROR(INDEX(Disbursements!$J:$J,MATCH(Ageing!B87,Disbursements!$B:$B,0)),"No Loan")</f>
        <v>Aroma</v>
      </c>
      <c r="D87" s="364">
        <f>SUMIF(Disbursements!$B:$B,Ageing!$B87,Disbursements!AN:AN)</f>
        <v>35000</v>
      </c>
      <c r="E87" s="364">
        <f>SUMIF(Disbursements!$B:$B,Ageing!$B87,Disbursements!AO:AO)</f>
        <v>45000</v>
      </c>
      <c r="F87" s="365">
        <f t="shared" si="4"/>
        <v>80000</v>
      </c>
      <c r="G87" s="364">
        <f ca="1">SUMIF(Disbursements!$B:$B,Ageing!$B87,Disbursements!AQ:AQ)</f>
        <v>80000</v>
      </c>
      <c r="H87" s="364">
        <f ca="1">SUMIF(Disbursements!$B:$B,Ageing!$B87,Disbursements!AS:AS)</f>
        <v>20</v>
      </c>
      <c r="I87" s="364">
        <f t="shared" ca="1" si="5"/>
        <v>1</v>
      </c>
      <c r="J87" s="369">
        <f ca="1">SUMIFS(Disbursements!$AP:$AP,Disbursements!$B:$B,Ageing!$B87,Disbursements!$AT:$AT,Ageing!J$4)</f>
        <v>0</v>
      </c>
      <c r="K87" s="369">
        <f ca="1">SUMIFS(Disbursements!$AP:$AP,Disbursements!$B:$B,Ageing!$B87,Disbursements!$AT:$AT,Ageing!K$4)</f>
        <v>80000</v>
      </c>
      <c r="L87" s="369">
        <f ca="1">SUMIFS(Disbursements!$AP:$AP,Disbursements!$B:$B,Ageing!$B87,Disbursements!$AT:$AT,Ageing!L$4)</f>
        <v>0</v>
      </c>
      <c r="M87" s="369">
        <f ca="1">SUMIFS(Disbursements!$AP:$AP,Disbursements!$B:$B,Ageing!$B87,Disbursements!$AT:$AT,Ageing!M$4)</f>
        <v>0</v>
      </c>
      <c r="N87" s="369">
        <f ca="1">SUMIFS(Disbursements!$AP:$AP,Disbursements!$B:$B,Ageing!$B87,Disbursements!$AT:$AT,Ageing!N$4)</f>
        <v>0</v>
      </c>
      <c r="O87" s="369">
        <f ca="1">SUMIFS(Disbursements!$AP:$AP,Disbursements!$B:$B,Ageing!$B87,Disbursements!$AT:$AT,Ageing!O$4)</f>
        <v>0</v>
      </c>
    </row>
    <row r="88" spans="1:15" x14ac:dyDescent="0.2">
      <c r="A88" s="179" t="str">
        <f>IFERROR(VLOOKUP($B88,'Clients-Live'!$A:$C,3,30),"")</f>
        <v>OMEGA  CHARLES</v>
      </c>
      <c r="B88" s="480">
        <v>84</v>
      </c>
      <c r="C88" s="370" t="str">
        <f>IFERROR(INDEX(Disbursements!$J:$J,MATCH(Ageing!B88,Disbursements!$B:$B,0)),"No Loan")</f>
        <v>Jerome</v>
      </c>
      <c r="D88" s="364">
        <f>SUMIF(Disbursements!$B:$B,Ageing!$B88,Disbursements!AN:AN)</f>
        <v>0</v>
      </c>
      <c r="E88" s="364">
        <f>SUMIF(Disbursements!$B:$B,Ageing!$B88,Disbursements!AO:AO)</f>
        <v>464000.00000000023</v>
      </c>
      <c r="F88" s="365">
        <f t="shared" si="4"/>
        <v>464000.00000000023</v>
      </c>
      <c r="G88" s="364">
        <f ca="1">SUMIF(Disbursements!$B:$B,Ageing!$B88,Disbursements!AQ:AQ)</f>
        <v>464000.00000000023</v>
      </c>
      <c r="H88" s="364">
        <f ca="1">SUMIF(Disbursements!$B:$B,Ageing!$B88,Disbursements!AS:AS)</f>
        <v>33</v>
      </c>
      <c r="I88" s="364">
        <f t="shared" ca="1" si="5"/>
        <v>1</v>
      </c>
      <c r="J88" s="369">
        <f ca="1">SUMIFS(Disbursements!$AP:$AP,Disbursements!$B:$B,Ageing!$B88,Disbursements!$AT:$AT,Ageing!J$4)</f>
        <v>0</v>
      </c>
      <c r="K88" s="369">
        <f ca="1">SUMIFS(Disbursements!$AP:$AP,Disbursements!$B:$B,Ageing!$B88,Disbursements!$AT:$AT,Ageing!K$4)</f>
        <v>0</v>
      </c>
      <c r="L88" s="369">
        <f ca="1">SUMIFS(Disbursements!$AP:$AP,Disbursements!$B:$B,Ageing!$B88,Disbursements!$AT:$AT,Ageing!L$4)</f>
        <v>464000.00000000023</v>
      </c>
      <c r="M88" s="369">
        <f ca="1">SUMIFS(Disbursements!$AP:$AP,Disbursements!$B:$B,Ageing!$B88,Disbursements!$AT:$AT,Ageing!M$4)</f>
        <v>0</v>
      </c>
      <c r="N88" s="369">
        <f ca="1">SUMIFS(Disbursements!$AP:$AP,Disbursements!$B:$B,Ageing!$B88,Disbursements!$AT:$AT,Ageing!N$4)</f>
        <v>0</v>
      </c>
      <c r="O88" s="369">
        <f ca="1">SUMIFS(Disbursements!$AP:$AP,Disbursements!$B:$B,Ageing!$B88,Disbursements!$AT:$AT,Ageing!O$4)</f>
        <v>0</v>
      </c>
    </row>
    <row r="89" spans="1:15" x14ac:dyDescent="0.2">
      <c r="A89" s="179" t="str">
        <f>IFERROR(VLOOKUP($B89,'Clients-Live'!$A:$C,3,30),"")</f>
        <v>CEASER SWALEH</v>
      </c>
      <c r="B89" s="480">
        <v>85</v>
      </c>
      <c r="C89" s="370" t="str">
        <f>IFERROR(INDEX(Disbursements!$J:$J,MATCH(Ageing!B89,Disbursements!$B:$B,0)),"No Loan")</f>
        <v>Kana</v>
      </c>
      <c r="D89" s="364">
        <f>SUMIF(Disbursements!$B:$B,Ageing!$B89,Disbursements!AN:AN)</f>
        <v>0</v>
      </c>
      <c r="E89" s="364">
        <f>SUMIF(Disbursements!$B:$B,Ageing!$B89,Disbursements!AO:AO)</f>
        <v>1198500</v>
      </c>
      <c r="F89" s="365">
        <f t="shared" si="4"/>
        <v>1198500</v>
      </c>
      <c r="G89" s="364">
        <f ca="1">SUMIF(Disbursements!$B:$B,Ageing!$B89,Disbursements!AQ:AQ)</f>
        <v>1198500</v>
      </c>
      <c r="H89" s="364">
        <f ca="1">SUMIF(Disbursements!$B:$B,Ageing!$B89,Disbursements!AS:AS)</f>
        <v>46</v>
      </c>
      <c r="I89" s="364">
        <f t="shared" ca="1" si="5"/>
        <v>1</v>
      </c>
      <c r="J89" s="369">
        <f ca="1">SUMIFS(Disbursements!$AP:$AP,Disbursements!$B:$B,Ageing!$B89,Disbursements!$AT:$AT,Ageing!J$4)</f>
        <v>0</v>
      </c>
      <c r="K89" s="369">
        <f ca="1">SUMIFS(Disbursements!$AP:$AP,Disbursements!$B:$B,Ageing!$B89,Disbursements!$AT:$AT,Ageing!K$4)</f>
        <v>0</v>
      </c>
      <c r="L89" s="369">
        <f ca="1">SUMIFS(Disbursements!$AP:$AP,Disbursements!$B:$B,Ageing!$B89,Disbursements!$AT:$AT,Ageing!L$4)</f>
        <v>1198500</v>
      </c>
      <c r="M89" s="369">
        <f ca="1">SUMIFS(Disbursements!$AP:$AP,Disbursements!$B:$B,Ageing!$B89,Disbursements!$AT:$AT,Ageing!M$4)</f>
        <v>0</v>
      </c>
      <c r="N89" s="369">
        <f ca="1">SUMIFS(Disbursements!$AP:$AP,Disbursements!$B:$B,Ageing!$B89,Disbursements!$AT:$AT,Ageing!N$4)</f>
        <v>0</v>
      </c>
      <c r="O89" s="369">
        <f ca="1">SUMIFS(Disbursements!$AP:$AP,Disbursements!$B:$B,Ageing!$B89,Disbursements!$AT:$AT,Ageing!O$4)</f>
        <v>0</v>
      </c>
    </row>
    <row r="90" spans="1:15" x14ac:dyDescent="0.2">
      <c r="A90" s="179" t="str">
        <f>IFERROR(VLOOKUP($B90,'Clients-Live'!$A:$C,3,30),"")</f>
        <v>AMANIYO JOYCE</v>
      </c>
      <c r="B90" s="480">
        <v>86</v>
      </c>
      <c r="C90" s="370" t="str">
        <f>IFERROR(INDEX(Disbursements!$J:$J,MATCH(Ageing!B90,Disbursements!$B:$B,0)),"No Loan")</f>
        <v>Aroma</v>
      </c>
      <c r="D90" s="364">
        <f>SUMIF(Disbursements!$B:$B,Ageing!$B90,Disbursements!AN:AN)</f>
        <v>0</v>
      </c>
      <c r="E90" s="364">
        <f>SUMIF(Disbursements!$B:$B,Ageing!$B90,Disbursements!AO:AO)</f>
        <v>9900.0000000002328</v>
      </c>
      <c r="F90" s="365">
        <f t="shared" si="4"/>
        <v>9900.0000000002328</v>
      </c>
      <c r="G90" s="364">
        <f ca="1">SUMIF(Disbursements!$B:$B,Ageing!$B90,Disbursements!AQ:AQ)</f>
        <v>9900.0000000002328</v>
      </c>
      <c r="H90" s="364">
        <f ca="1">SUMIF(Disbursements!$B:$B,Ageing!$B90,Disbursements!AS:AS)</f>
        <v>2</v>
      </c>
      <c r="I90" s="364">
        <f t="shared" ca="1" si="5"/>
        <v>1</v>
      </c>
      <c r="J90" s="369">
        <f ca="1">SUMIFS(Disbursements!$AP:$AP,Disbursements!$B:$B,Ageing!$B90,Disbursements!$AT:$AT,Ageing!J$4)</f>
        <v>0</v>
      </c>
      <c r="K90" s="369">
        <f ca="1">SUMIFS(Disbursements!$AP:$AP,Disbursements!$B:$B,Ageing!$B90,Disbursements!$AT:$AT,Ageing!K$4)</f>
        <v>9900.0000000002328</v>
      </c>
      <c r="L90" s="369">
        <f ca="1">SUMIFS(Disbursements!$AP:$AP,Disbursements!$B:$B,Ageing!$B90,Disbursements!$AT:$AT,Ageing!L$4)</f>
        <v>0</v>
      </c>
      <c r="M90" s="369">
        <f ca="1">SUMIFS(Disbursements!$AP:$AP,Disbursements!$B:$B,Ageing!$B90,Disbursements!$AT:$AT,Ageing!M$4)</f>
        <v>0</v>
      </c>
      <c r="N90" s="369">
        <f ca="1">SUMIFS(Disbursements!$AP:$AP,Disbursements!$B:$B,Ageing!$B90,Disbursements!$AT:$AT,Ageing!N$4)</f>
        <v>0</v>
      </c>
      <c r="O90" s="369">
        <f ca="1">SUMIFS(Disbursements!$AP:$AP,Disbursements!$B:$B,Ageing!$B90,Disbursements!$AT:$AT,Ageing!O$4)</f>
        <v>0</v>
      </c>
    </row>
    <row r="91" spans="1:15" x14ac:dyDescent="0.2">
      <c r="A91" s="179" t="str">
        <f>IFERROR(VLOOKUP($B91,'Clients-Live'!$A:$C,3,30),"")</f>
        <v>FAIDA ZUBEDA</v>
      </c>
      <c r="B91" s="480">
        <v>87</v>
      </c>
      <c r="C91" s="370" t="str">
        <f>IFERROR(INDEX(Disbursements!$J:$J,MATCH(Ageing!B91,Disbursements!$B:$B,0)),"No Loan")</f>
        <v>Aroma</v>
      </c>
      <c r="D91" s="364">
        <f>SUMIF(Disbursements!$B:$B,Ageing!$B91,Disbursements!AN:AN)</f>
        <v>0</v>
      </c>
      <c r="E91" s="364">
        <f>SUMIF(Disbursements!$B:$B,Ageing!$B91,Disbursements!AO:AO)</f>
        <v>95000</v>
      </c>
      <c r="F91" s="365">
        <f t="shared" si="4"/>
        <v>95000</v>
      </c>
      <c r="G91" s="364">
        <f ca="1">SUMIF(Disbursements!$B:$B,Ageing!$B91,Disbursements!AQ:AQ)</f>
        <v>95000</v>
      </c>
      <c r="H91" s="364">
        <f ca="1">SUMIF(Disbursements!$B:$B,Ageing!$B91,Disbursements!AS:AS)</f>
        <v>17</v>
      </c>
      <c r="I91" s="364">
        <f t="shared" ca="1" si="5"/>
        <v>1</v>
      </c>
      <c r="J91" s="369">
        <f ca="1">SUMIFS(Disbursements!$AP:$AP,Disbursements!$B:$B,Ageing!$B91,Disbursements!$AT:$AT,Ageing!J$4)</f>
        <v>0</v>
      </c>
      <c r="K91" s="369">
        <f ca="1">SUMIFS(Disbursements!$AP:$AP,Disbursements!$B:$B,Ageing!$B91,Disbursements!$AT:$AT,Ageing!K$4)</f>
        <v>95000</v>
      </c>
      <c r="L91" s="369">
        <f ca="1">SUMIFS(Disbursements!$AP:$AP,Disbursements!$B:$B,Ageing!$B91,Disbursements!$AT:$AT,Ageing!L$4)</f>
        <v>0</v>
      </c>
      <c r="M91" s="369">
        <f ca="1">SUMIFS(Disbursements!$AP:$AP,Disbursements!$B:$B,Ageing!$B91,Disbursements!$AT:$AT,Ageing!M$4)</f>
        <v>0</v>
      </c>
      <c r="N91" s="369">
        <f ca="1">SUMIFS(Disbursements!$AP:$AP,Disbursements!$B:$B,Ageing!$B91,Disbursements!$AT:$AT,Ageing!N$4)</f>
        <v>0</v>
      </c>
      <c r="O91" s="369">
        <f ca="1">SUMIFS(Disbursements!$AP:$AP,Disbursements!$B:$B,Ageing!$B91,Disbursements!$AT:$AT,Ageing!O$4)</f>
        <v>0</v>
      </c>
    </row>
    <row r="92" spans="1:15" x14ac:dyDescent="0.2">
      <c r="A92" s="179" t="str">
        <f>IFERROR(VLOOKUP($B92,'Clients-Live'!$A:$C,3,30),"")</f>
        <v>FAIDA HARRIET</v>
      </c>
      <c r="B92" s="480">
        <v>88</v>
      </c>
      <c r="C92" s="370" t="str">
        <f>IFERROR(INDEX(Disbursements!$J:$J,MATCH(Ageing!B92,Disbursements!$B:$B,0)),"No Loan")</f>
        <v>Kana</v>
      </c>
      <c r="D92" s="364">
        <f>SUMIF(Disbursements!$B:$B,Ageing!$B92,Disbursements!AN:AN)</f>
        <v>0</v>
      </c>
      <c r="E92" s="364">
        <f>SUMIF(Disbursements!$B:$B,Ageing!$B92,Disbursements!AO:AO)</f>
        <v>1000</v>
      </c>
      <c r="F92" s="365">
        <f t="shared" si="4"/>
        <v>1000</v>
      </c>
      <c r="G92" s="364">
        <f ca="1">SUMIF(Disbursements!$B:$B,Ageing!$B92,Disbursements!AQ:AQ)</f>
        <v>1000</v>
      </c>
      <c r="H92" s="364">
        <f ca="1">SUMIF(Disbursements!$B:$B,Ageing!$B92,Disbursements!AS:AS)</f>
        <v>1</v>
      </c>
      <c r="I92" s="364">
        <f t="shared" ca="1" si="5"/>
        <v>1</v>
      </c>
      <c r="J92" s="369">
        <f ca="1">SUMIFS(Disbursements!$AP:$AP,Disbursements!$B:$B,Ageing!$B92,Disbursements!$AT:$AT,Ageing!J$4)</f>
        <v>0</v>
      </c>
      <c r="K92" s="369">
        <f ca="1">SUMIFS(Disbursements!$AP:$AP,Disbursements!$B:$B,Ageing!$B92,Disbursements!$AT:$AT,Ageing!K$4)</f>
        <v>1000</v>
      </c>
      <c r="L92" s="369">
        <f ca="1">SUMIFS(Disbursements!$AP:$AP,Disbursements!$B:$B,Ageing!$B92,Disbursements!$AT:$AT,Ageing!L$4)</f>
        <v>0</v>
      </c>
      <c r="M92" s="369">
        <f ca="1">SUMIFS(Disbursements!$AP:$AP,Disbursements!$B:$B,Ageing!$B92,Disbursements!$AT:$AT,Ageing!M$4)</f>
        <v>0</v>
      </c>
      <c r="N92" s="369">
        <f ca="1">SUMIFS(Disbursements!$AP:$AP,Disbursements!$B:$B,Ageing!$B92,Disbursements!$AT:$AT,Ageing!N$4)</f>
        <v>0</v>
      </c>
      <c r="O92" s="369">
        <f ca="1">SUMIFS(Disbursements!$AP:$AP,Disbursements!$B:$B,Ageing!$B92,Disbursements!$AT:$AT,Ageing!O$4)</f>
        <v>0</v>
      </c>
    </row>
    <row r="93" spans="1:15" x14ac:dyDescent="0.2">
      <c r="A93" s="179" t="str">
        <f>IFERROR(VLOOKUP($B93,'Clients-Live'!$A:$C,3,30),"")</f>
        <v>ANDA FLORENCE</v>
      </c>
      <c r="B93" s="480">
        <v>89</v>
      </c>
      <c r="C93" s="370" t="str">
        <f>IFERROR(INDEX(Disbursements!$J:$J,MATCH(Ageing!B93,Disbursements!$B:$B,0)),"No Loan")</f>
        <v>Jerome</v>
      </c>
      <c r="D93" s="364">
        <f>SUMIF(Disbursements!$B:$B,Ageing!$B93,Disbursements!AN:AN)</f>
        <v>2000</v>
      </c>
      <c r="E93" s="364">
        <f>SUMIF(Disbursements!$B:$B,Ageing!$B93,Disbursements!AO:AO)</f>
        <v>15000</v>
      </c>
      <c r="F93" s="365">
        <f t="shared" si="4"/>
        <v>17000</v>
      </c>
      <c r="G93" s="364">
        <f ca="1">SUMIF(Disbursements!$B:$B,Ageing!$B93,Disbursements!AQ:AQ)</f>
        <v>17000</v>
      </c>
      <c r="H93" s="364">
        <f ca="1">SUMIF(Disbursements!$B:$B,Ageing!$B93,Disbursements!AS:AS)</f>
        <v>3</v>
      </c>
      <c r="I93" s="364">
        <f t="shared" ca="1" si="5"/>
        <v>1</v>
      </c>
      <c r="J93" s="369">
        <f ca="1">SUMIFS(Disbursements!$AP:$AP,Disbursements!$B:$B,Ageing!$B93,Disbursements!$AT:$AT,Ageing!J$4)</f>
        <v>0</v>
      </c>
      <c r="K93" s="369">
        <f ca="1">SUMIFS(Disbursements!$AP:$AP,Disbursements!$B:$B,Ageing!$B93,Disbursements!$AT:$AT,Ageing!K$4)</f>
        <v>17000</v>
      </c>
      <c r="L93" s="369">
        <f ca="1">SUMIFS(Disbursements!$AP:$AP,Disbursements!$B:$B,Ageing!$B93,Disbursements!$AT:$AT,Ageing!L$4)</f>
        <v>0</v>
      </c>
      <c r="M93" s="369">
        <f ca="1">SUMIFS(Disbursements!$AP:$AP,Disbursements!$B:$B,Ageing!$B93,Disbursements!$AT:$AT,Ageing!M$4)</f>
        <v>0</v>
      </c>
      <c r="N93" s="369">
        <f ca="1">SUMIFS(Disbursements!$AP:$AP,Disbursements!$B:$B,Ageing!$B93,Disbursements!$AT:$AT,Ageing!N$4)</f>
        <v>0</v>
      </c>
      <c r="O93" s="369">
        <f ca="1">SUMIFS(Disbursements!$AP:$AP,Disbursements!$B:$B,Ageing!$B93,Disbursements!$AT:$AT,Ageing!O$4)</f>
        <v>0</v>
      </c>
    </row>
    <row r="94" spans="1:15" x14ac:dyDescent="0.2">
      <c r="A94" s="179" t="str">
        <f>IFERROR(VLOOKUP($B94,'Clients-Live'!$A:$C,3,30),"")</f>
        <v>ZABIBU RAJAB SAIDI</v>
      </c>
      <c r="B94" s="480">
        <v>90</v>
      </c>
      <c r="C94" s="370" t="str">
        <f>IFERROR(INDEX(Disbursements!$J:$J,MATCH(Ageing!B94,Disbursements!$B:$B,0)),"No Loan")</f>
        <v>Aroma</v>
      </c>
      <c r="D94" s="364">
        <f>SUMIF(Disbursements!$B:$B,Ageing!$B94,Disbursements!AN:AN)</f>
        <v>0</v>
      </c>
      <c r="E94" s="364">
        <f>SUMIF(Disbursements!$B:$B,Ageing!$B94,Disbursements!AO:AO)</f>
        <v>289300</v>
      </c>
      <c r="F94" s="365">
        <f t="shared" si="4"/>
        <v>289300</v>
      </c>
      <c r="G94" s="364">
        <f ca="1">SUMIF(Disbursements!$B:$B,Ageing!$B94,Disbursements!AQ:AQ)</f>
        <v>289300</v>
      </c>
      <c r="H94" s="364">
        <f ca="1">SUMIF(Disbursements!$B:$B,Ageing!$B94,Disbursements!AS:AS)</f>
        <v>41</v>
      </c>
      <c r="I94" s="364">
        <f t="shared" ca="1" si="5"/>
        <v>2</v>
      </c>
      <c r="J94" s="369">
        <f ca="1">SUMIFS(Disbursements!$AP:$AP,Disbursements!$B:$B,Ageing!$B94,Disbursements!$AT:$AT,Ageing!J$4)</f>
        <v>0</v>
      </c>
      <c r="K94" s="369">
        <f ca="1">SUMIFS(Disbursements!$AP:$AP,Disbursements!$B:$B,Ageing!$B94,Disbursements!$AT:$AT,Ageing!K$4)</f>
        <v>4000</v>
      </c>
      <c r="L94" s="369">
        <f ca="1">SUMIFS(Disbursements!$AP:$AP,Disbursements!$B:$B,Ageing!$B94,Disbursements!$AT:$AT,Ageing!L$4)</f>
        <v>285300</v>
      </c>
      <c r="M94" s="369">
        <f ca="1">SUMIFS(Disbursements!$AP:$AP,Disbursements!$B:$B,Ageing!$B94,Disbursements!$AT:$AT,Ageing!M$4)</f>
        <v>0</v>
      </c>
      <c r="N94" s="369">
        <f ca="1">SUMIFS(Disbursements!$AP:$AP,Disbursements!$B:$B,Ageing!$B94,Disbursements!$AT:$AT,Ageing!N$4)</f>
        <v>0</v>
      </c>
      <c r="O94" s="369">
        <f ca="1">SUMIFS(Disbursements!$AP:$AP,Disbursements!$B:$B,Ageing!$B94,Disbursements!$AT:$AT,Ageing!O$4)</f>
        <v>0</v>
      </c>
    </row>
    <row r="95" spans="1:15" x14ac:dyDescent="0.2">
      <c r="A95" s="179" t="str">
        <f>IFERROR(VLOOKUP($B95,'Clients-Live'!$A:$C,3,30),"")</f>
        <v>CHANDIRU SALILA</v>
      </c>
      <c r="B95" s="480">
        <v>91</v>
      </c>
      <c r="C95" s="370" t="str">
        <f>IFERROR(INDEX(Disbursements!$J:$J,MATCH(Ageing!B95,Disbursements!$B:$B,0)),"No Loan")</f>
        <v>Jerome</v>
      </c>
      <c r="D95" s="364">
        <f>SUMIF(Disbursements!$B:$B,Ageing!$B95,Disbursements!AN:AN)</f>
        <v>0</v>
      </c>
      <c r="E95" s="364">
        <f>SUMIF(Disbursements!$B:$B,Ageing!$B95,Disbursements!AO:AO)</f>
        <v>0</v>
      </c>
      <c r="F95" s="365">
        <f t="shared" si="4"/>
        <v>0</v>
      </c>
      <c r="G95" s="364">
        <f ca="1">SUMIF(Disbursements!$B:$B,Ageing!$B95,Disbursements!AQ:AQ)</f>
        <v>0</v>
      </c>
      <c r="H95" s="364">
        <f ca="1">SUMIF(Disbursements!$B:$B,Ageing!$B95,Disbursements!AS:AS)</f>
        <v>0</v>
      </c>
      <c r="I95" s="364">
        <f t="shared" si="5"/>
        <v>0</v>
      </c>
      <c r="J95" s="369">
        <f>SUMIFS(Disbursements!$AP:$AP,Disbursements!$B:$B,Ageing!$B95,Disbursements!$AT:$AT,Ageing!J$4)</f>
        <v>0</v>
      </c>
      <c r="K95" s="369">
        <f>SUMIFS(Disbursements!$AP:$AP,Disbursements!$B:$B,Ageing!$B95,Disbursements!$AT:$AT,Ageing!K$4)</f>
        <v>0</v>
      </c>
      <c r="L95" s="369">
        <f>SUMIFS(Disbursements!$AP:$AP,Disbursements!$B:$B,Ageing!$B95,Disbursements!$AT:$AT,Ageing!L$4)</f>
        <v>0</v>
      </c>
      <c r="M95" s="369">
        <f>SUMIFS(Disbursements!$AP:$AP,Disbursements!$B:$B,Ageing!$B95,Disbursements!$AT:$AT,Ageing!M$4)</f>
        <v>0</v>
      </c>
      <c r="N95" s="369">
        <f>SUMIFS(Disbursements!$AP:$AP,Disbursements!$B:$B,Ageing!$B95,Disbursements!$AT:$AT,Ageing!N$4)</f>
        <v>0</v>
      </c>
      <c r="O95" s="369">
        <f>SUMIFS(Disbursements!$AP:$AP,Disbursements!$B:$B,Ageing!$B95,Disbursements!$AT:$AT,Ageing!O$4)</f>
        <v>0</v>
      </c>
    </row>
    <row r="96" spans="1:15" x14ac:dyDescent="0.2">
      <c r="A96" s="179" t="str">
        <f>IFERROR(VLOOKUP($B96,'Clients-Live'!$A:$C,3,30),"")</f>
        <v>FAIDA ZAKIYA</v>
      </c>
      <c r="B96" s="480">
        <v>92</v>
      </c>
      <c r="C96" s="370" t="str">
        <f>IFERROR(INDEX(Disbursements!$J:$J,MATCH(Ageing!B96,Disbursements!$B:$B,0)),"No Loan")</f>
        <v>Aroma</v>
      </c>
      <c r="D96" s="364">
        <f>SUMIF(Disbursements!$B:$B,Ageing!$B96,Disbursements!AN:AN)</f>
        <v>0</v>
      </c>
      <c r="E96" s="364">
        <f>SUMIF(Disbursements!$B:$B,Ageing!$B96,Disbursements!AO:AO)</f>
        <v>0</v>
      </c>
      <c r="F96" s="365">
        <f t="shared" si="4"/>
        <v>0</v>
      </c>
      <c r="G96" s="364">
        <f ca="1">SUMIF(Disbursements!$B:$B,Ageing!$B96,Disbursements!AQ:AQ)</f>
        <v>0</v>
      </c>
      <c r="H96" s="364">
        <f ca="1">SUMIF(Disbursements!$B:$B,Ageing!$B96,Disbursements!AS:AS)</f>
        <v>0</v>
      </c>
      <c r="I96" s="364">
        <f t="shared" si="5"/>
        <v>0</v>
      </c>
      <c r="J96" s="369">
        <f>SUMIFS(Disbursements!$AP:$AP,Disbursements!$B:$B,Ageing!$B96,Disbursements!$AT:$AT,Ageing!J$4)</f>
        <v>0</v>
      </c>
      <c r="K96" s="369">
        <f>SUMIFS(Disbursements!$AP:$AP,Disbursements!$B:$B,Ageing!$B96,Disbursements!$AT:$AT,Ageing!K$4)</f>
        <v>0</v>
      </c>
      <c r="L96" s="369">
        <f>SUMIFS(Disbursements!$AP:$AP,Disbursements!$B:$B,Ageing!$B96,Disbursements!$AT:$AT,Ageing!L$4)</f>
        <v>0</v>
      </c>
      <c r="M96" s="369">
        <f>SUMIFS(Disbursements!$AP:$AP,Disbursements!$B:$B,Ageing!$B96,Disbursements!$AT:$AT,Ageing!M$4)</f>
        <v>0</v>
      </c>
      <c r="N96" s="369">
        <f>SUMIFS(Disbursements!$AP:$AP,Disbursements!$B:$B,Ageing!$B96,Disbursements!$AT:$AT,Ageing!N$4)</f>
        <v>0</v>
      </c>
      <c r="O96" s="369">
        <f>SUMIFS(Disbursements!$AP:$AP,Disbursements!$B:$B,Ageing!$B96,Disbursements!$AT:$AT,Ageing!O$4)</f>
        <v>0</v>
      </c>
    </row>
    <row r="97" spans="1:15" x14ac:dyDescent="0.2">
      <c r="A97" s="179" t="str">
        <f>IFERROR(VLOOKUP($B97,'Clients-Live'!$A:$C,3,30),"")</f>
        <v>YOSSA BRAXTON JOHN</v>
      </c>
      <c r="B97" s="480">
        <v>93</v>
      </c>
      <c r="C97" s="370" t="str">
        <f>IFERROR(INDEX(Disbursements!$J:$J,MATCH(Ageing!B97,Disbursements!$B:$B,0)),"No Loan")</f>
        <v>No Loan</v>
      </c>
      <c r="D97" s="364">
        <f>SUMIF(Disbursements!$B:$B,Ageing!$B97,Disbursements!AN:AN)</f>
        <v>0</v>
      </c>
      <c r="E97" s="364">
        <f>SUMIF(Disbursements!$B:$B,Ageing!$B97,Disbursements!AO:AO)</f>
        <v>0</v>
      </c>
      <c r="F97" s="365">
        <f t="shared" si="4"/>
        <v>0</v>
      </c>
      <c r="G97" s="364">
        <f>SUMIF(Disbursements!$B:$B,Ageing!$B97,Disbursements!AQ:AQ)</f>
        <v>0</v>
      </c>
      <c r="H97" s="364">
        <f>SUMIF(Disbursements!$B:$B,Ageing!$B97,Disbursements!AS:AS)</f>
        <v>0</v>
      </c>
      <c r="I97" s="364">
        <f t="shared" si="5"/>
        <v>0</v>
      </c>
      <c r="J97" s="369">
        <f>SUMIFS(Disbursements!$AP:$AP,Disbursements!$B:$B,Ageing!$B97,Disbursements!$AT:$AT,Ageing!J$4)</f>
        <v>0</v>
      </c>
      <c r="K97" s="369">
        <f>SUMIFS(Disbursements!$AP:$AP,Disbursements!$B:$B,Ageing!$B97,Disbursements!$AT:$AT,Ageing!K$4)</f>
        <v>0</v>
      </c>
      <c r="L97" s="369">
        <f>SUMIFS(Disbursements!$AP:$AP,Disbursements!$B:$B,Ageing!$B97,Disbursements!$AT:$AT,Ageing!L$4)</f>
        <v>0</v>
      </c>
      <c r="M97" s="369">
        <f>SUMIFS(Disbursements!$AP:$AP,Disbursements!$B:$B,Ageing!$B97,Disbursements!$AT:$AT,Ageing!M$4)</f>
        <v>0</v>
      </c>
      <c r="N97" s="369">
        <f>SUMIFS(Disbursements!$AP:$AP,Disbursements!$B:$B,Ageing!$B97,Disbursements!$AT:$AT,Ageing!N$4)</f>
        <v>0</v>
      </c>
      <c r="O97" s="369">
        <f>SUMIFS(Disbursements!$AP:$AP,Disbursements!$B:$B,Ageing!$B97,Disbursements!$AT:$AT,Ageing!O$4)</f>
        <v>0</v>
      </c>
    </row>
    <row r="98" spans="1:15" x14ac:dyDescent="0.2">
      <c r="A98" s="179" t="str">
        <f>IFERROR(VLOOKUP($B98,'Clients-Live'!$A:$C,3,30),"")</f>
        <v>NGINYA RICHARD</v>
      </c>
      <c r="B98" s="480">
        <v>94</v>
      </c>
      <c r="C98" s="370" t="str">
        <f>IFERROR(INDEX(Disbursements!$J:$J,MATCH(Ageing!B98,Disbursements!$B:$B,0)),"No Loan")</f>
        <v>Kana</v>
      </c>
      <c r="D98" s="364">
        <f>SUMIF(Disbursements!$B:$B,Ageing!$B98,Disbursements!AN:AN)</f>
        <v>40000</v>
      </c>
      <c r="E98" s="364">
        <f>SUMIF(Disbursements!$B:$B,Ageing!$B98,Disbursements!AO:AO)</f>
        <v>151000</v>
      </c>
      <c r="F98" s="365">
        <f t="shared" si="4"/>
        <v>191000</v>
      </c>
      <c r="G98" s="364">
        <f ca="1">SUMIF(Disbursements!$B:$B,Ageing!$B98,Disbursements!AQ:AQ)</f>
        <v>191000</v>
      </c>
      <c r="H98" s="364">
        <f ca="1">SUMIF(Disbursements!$B:$B,Ageing!$B98,Disbursements!AS:AS)</f>
        <v>61</v>
      </c>
      <c r="I98" s="364">
        <f t="shared" ca="1" si="5"/>
        <v>1</v>
      </c>
      <c r="J98" s="369">
        <f ca="1">SUMIFS(Disbursements!$AP:$AP,Disbursements!$B:$B,Ageing!$B98,Disbursements!$AT:$AT,Ageing!J$4)</f>
        <v>0</v>
      </c>
      <c r="K98" s="369">
        <f ca="1">SUMIFS(Disbursements!$AP:$AP,Disbursements!$B:$B,Ageing!$B98,Disbursements!$AT:$AT,Ageing!K$4)</f>
        <v>0</v>
      </c>
      <c r="L98" s="369">
        <f ca="1">SUMIFS(Disbursements!$AP:$AP,Disbursements!$B:$B,Ageing!$B98,Disbursements!$AT:$AT,Ageing!L$4)</f>
        <v>0</v>
      </c>
      <c r="M98" s="369">
        <f ca="1">SUMIFS(Disbursements!$AP:$AP,Disbursements!$B:$B,Ageing!$B98,Disbursements!$AT:$AT,Ageing!M$4)</f>
        <v>191000</v>
      </c>
      <c r="N98" s="369">
        <f ca="1">SUMIFS(Disbursements!$AP:$AP,Disbursements!$B:$B,Ageing!$B98,Disbursements!$AT:$AT,Ageing!N$4)</f>
        <v>0</v>
      </c>
      <c r="O98" s="369">
        <f ca="1">SUMIFS(Disbursements!$AP:$AP,Disbursements!$B:$B,Ageing!$B98,Disbursements!$AT:$AT,Ageing!O$4)</f>
        <v>0</v>
      </c>
    </row>
    <row r="99" spans="1:15" x14ac:dyDescent="0.2">
      <c r="A99" s="179" t="str">
        <f>IFERROR(VLOOKUP($B99,'Clients-Live'!$A:$C,3,30),"")</f>
        <v>MUNDURU SIFA</v>
      </c>
      <c r="B99" s="480">
        <v>95</v>
      </c>
      <c r="C99" s="370" t="str">
        <f>IFERROR(INDEX(Disbursements!$J:$J,MATCH(Ageing!B99,Disbursements!$B:$B,0)),"No Loan")</f>
        <v>Kana</v>
      </c>
      <c r="D99" s="364">
        <f>SUMIF(Disbursements!$B:$B,Ageing!$B99,Disbursements!AN:AN)</f>
        <v>105000</v>
      </c>
      <c r="E99" s="364">
        <f>SUMIF(Disbursements!$B:$B,Ageing!$B99,Disbursements!AO:AO)</f>
        <v>449500</v>
      </c>
      <c r="F99" s="365">
        <f t="shared" si="4"/>
        <v>554500</v>
      </c>
      <c r="G99" s="364">
        <f ca="1">SUMIF(Disbursements!$B:$B,Ageing!$B99,Disbursements!AQ:AQ)</f>
        <v>554500</v>
      </c>
      <c r="H99" s="364">
        <f ca="1">SUMIF(Disbursements!$B:$B,Ageing!$B99,Disbursements!AS:AS)</f>
        <v>96</v>
      </c>
      <c r="I99" s="364">
        <f t="shared" ca="1" si="5"/>
        <v>1</v>
      </c>
      <c r="J99" s="369">
        <f ca="1">SUMIFS(Disbursements!$AP:$AP,Disbursements!$B:$B,Ageing!$B99,Disbursements!$AT:$AT,Ageing!J$4)</f>
        <v>0</v>
      </c>
      <c r="K99" s="369">
        <f ca="1">SUMIFS(Disbursements!$AP:$AP,Disbursements!$B:$B,Ageing!$B99,Disbursements!$AT:$AT,Ageing!K$4)</f>
        <v>0</v>
      </c>
      <c r="L99" s="369">
        <f ca="1">SUMIFS(Disbursements!$AP:$AP,Disbursements!$B:$B,Ageing!$B99,Disbursements!$AT:$AT,Ageing!L$4)</f>
        <v>0</v>
      </c>
      <c r="M99" s="369">
        <f ca="1">SUMIFS(Disbursements!$AP:$AP,Disbursements!$B:$B,Ageing!$B99,Disbursements!$AT:$AT,Ageing!M$4)</f>
        <v>0</v>
      </c>
      <c r="N99" s="369">
        <f ca="1">SUMIFS(Disbursements!$AP:$AP,Disbursements!$B:$B,Ageing!$B99,Disbursements!$AT:$AT,Ageing!N$4)</f>
        <v>554500</v>
      </c>
      <c r="O99" s="369">
        <f ca="1">SUMIFS(Disbursements!$AP:$AP,Disbursements!$B:$B,Ageing!$B99,Disbursements!$AT:$AT,Ageing!O$4)</f>
        <v>0</v>
      </c>
    </row>
    <row r="100" spans="1:15" x14ac:dyDescent="0.2">
      <c r="A100" s="179" t="str">
        <f>IFERROR(VLOOKUP($B100,'Clients-Live'!$A:$C,3,30),"")</f>
        <v>AKANDU NIGHT YONGORO</v>
      </c>
      <c r="B100" s="480">
        <v>96</v>
      </c>
      <c r="C100" s="370" t="str">
        <f>IFERROR(INDEX(Disbursements!$J:$J,MATCH(Ageing!B100,Disbursements!$B:$B,0)),"No Loan")</f>
        <v>Aroma</v>
      </c>
      <c r="D100" s="364">
        <f>SUMIF(Disbursements!$B:$B,Ageing!$B100,Disbursements!AN:AN)</f>
        <v>210000</v>
      </c>
      <c r="E100" s="364">
        <f>SUMIF(Disbursements!$B:$B,Ageing!$B100,Disbursements!AO:AO)</f>
        <v>312500</v>
      </c>
      <c r="F100" s="365">
        <f t="shared" si="4"/>
        <v>522500</v>
      </c>
      <c r="G100" s="364">
        <f ca="1">SUMIF(Disbursements!$B:$B,Ageing!$B100,Disbursements!AQ:AQ)</f>
        <v>522500</v>
      </c>
      <c r="H100" s="364">
        <f ca="1">SUMIF(Disbursements!$B:$B,Ageing!$B100,Disbursements!AS:AS)</f>
        <v>61</v>
      </c>
      <c r="I100" s="364">
        <f t="shared" ca="1" si="5"/>
        <v>1</v>
      </c>
      <c r="J100" s="369">
        <f ca="1">SUMIFS(Disbursements!$AP:$AP,Disbursements!$B:$B,Ageing!$B100,Disbursements!$AT:$AT,Ageing!J$4)</f>
        <v>0</v>
      </c>
      <c r="K100" s="369">
        <f ca="1">SUMIFS(Disbursements!$AP:$AP,Disbursements!$B:$B,Ageing!$B100,Disbursements!$AT:$AT,Ageing!K$4)</f>
        <v>0</v>
      </c>
      <c r="L100" s="369">
        <f ca="1">SUMIFS(Disbursements!$AP:$AP,Disbursements!$B:$B,Ageing!$B100,Disbursements!$AT:$AT,Ageing!L$4)</f>
        <v>0</v>
      </c>
      <c r="M100" s="369">
        <f ca="1">SUMIFS(Disbursements!$AP:$AP,Disbursements!$B:$B,Ageing!$B100,Disbursements!$AT:$AT,Ageing!M$4)</f>
        <v>522500</v>
      </c>
      <c r="N100" s="369">
        <f ca="1">SUMIFS(Disbursements!$AP:$AP,Disbursements!$B:$B,Ageing!$B100,Disbursements!$AT:$AT,Ageing!N$4)</f>
        <v>0</v>
      </c>
      <c r="O100" s="369">
        <f ca="1">SUMIFS(Disbursements!$AP:$AP,Disbursements!$B:$B,Ageing!$B100,Disbursements!$AT:$AT,Ageing!O$4)</f>
        <v>0</v>
      </c>
    </row>
    <row r="101" spans="1:15" x14ac:dyDescent="0.2">
      <c r="A101" s="179" t="str">
        <f>IFERROR(VLOOKUP($B101,'Clients-Live'!$A:$C,3,30),"")</f>
        <v>DRANDUA JOB CHRISPUS</v>
      </c>
      <c r="B101" s="480">
        <v>97</v>
      </c>
      <c r="C101" s="370" t="str">
        <f>IFERROR(INDEX(Disbursements!$J:$J,MATCH(Ageing!B101,Disbursements!$B:$B,0)),"No Loan")</f>
        <v>Jerome</v>
      </c>
      <c r="D101" s="364">
        <f>SUMIF(Disbursements!$B:$B,Ageing!$B101,Disbursements!AN:AN)</f>
        <v>293000</v>
      </c>
      <c r="E101" s="364">
        <f>SUMIF(Disbursements!$B:$B,Ageing!$B101,Disbursements!AO:AO)</f>
        <v>4500000</v>
      </c>
      <c r="F101" s="365">
        <f t="shared" si="4"/>
        <v>4793000</v>
      </c>
      <c r="G101" s="364">
        <f ca="1">SUMIF(Disbursements!$B:$B,Ageing!$B101,Disbursements!AQ:AQ)</f>
        <v>4793000</v>
      </c>
      <c r="H101" s="364">
        <f ca="1">SUMIF(Disbursements!$B:$B,Ageing!$B101,Disbursements!AS:AS)</f>
        <v>30</v>
      </c>
      <c r="I101" s="364">
        <f t="shared" ca="1" si="5"/>
        <v>1</v>
      </c>
      <c r="J101" s="369">
        <f ca="1">SUMIFS(Disbursements!$AP:$AP,Disbursements!$B:$B,Ageing!$B101,Disbursements!$AT:$AT,Ageing!J$4)</f>
        <v>0</v>
      </c>
      <c r="K101" s="369">
        <f ca="1">SUMIFS(Disbursements!$AP:$AP,Disbursements!$B:$B,Ageing!$B101,Disbursements!$AT:$AT,Ageing!K$4)</f>
        <v>4793000</v>
      </c>
      <c r="L101" s="369">
        <f ca="1">SUMIFS(Disbursements!$AP:$AP,Disbursements!$B:$B,Ageing!$B101,Disbursements!$AT:$AT,Ageing!L$4)</f>
        <v>0</v>
      </c>
      <c r="M101" s="369">
        <f ca="1">SUMIFS(Disbursements!$AP:$AP,Disbursements!$B:$B,Ageing!$B101,Disbursements!$AT:$AT,Ageing!M$4)</f>
        <v>0</v>
      </c>
      <c r="N101" s="369">
        <f ca="1">SUMIFS(Disbursements!$AP:$AP,Disbursements!$B:$B,Ageing!$B101,Disbursements!$AT:$AT,Ageing!N$4)</f>
        <v>0</v>
      </c>
      <c r="O101" s="369">
        <f ca="1">SUMIFS(Disbursements!$AP:$AP,Disbursements!$B:$B,Ageing!$B101,Disbursements!$AT:$AT,Ageing!O$4)</f>
        <v>0</v>
      </c>
    </row>
    <row r="102" spans="1:15" x14ac:dyDescent="0.2">
      <c r="A102" s="179" t="str">
        <f>IFERROR(VLOOKUP($B102,'Clients-Live'!$A:$C,3,30),"")</f>
        <v>AMANIYO CLARA</v>
      </c>
      <c r="B102" s="480">
        <v>98</v>
      </c>
      <c r="C102" s="370" t="str">
        <f>IFERROR(INDEX(Disbursements!$J:$J,MATCH(Ageing!B102,Disbursements!$B:$B,0)),"No Loan")</f>
        <v>Kana</v>
      </c>
      <c r="D102" s="364">
        <f>SUMIF(Disbursements!$B:$B,Ageing!$B102,Disbursements!AN:AN)</f>
        <v>0</v>
      </c>
      <c r="E102" s="364">
        <f>SUMIF(Disbursements!$B:$B,Ageing!$B102,Disbursements!AO:AO)</f>
        <v>340000</v>
      </c>
      <c r="F102" s="365">
        <f t="shared" si="4"/>
        <v>340000</v>
      </c>
      <c r="G102" s="364">
        <f ca="1">SUMIF(Disbursements!$B:$B,Ageing!$B102,Disbursements!AQ:AQ)</f>
        <v>340000</v>
      </c>
      <c r="H102" s="364">
        <f ca="1">SUMIF(Disbursements!$B:$B,Ageing!$B102,Disbursements!AS:AS)</f>
        <v>59</v>
      </c>
      <c r="I102" s="364">
        <f t="shared" ca="1" si="5"/>
        <v>1</v>
      </c>
      <c r="J102" s="369">
        <f ca="1">SUMIFS(Disbursements!$AP:$AP,Disbursements!$B:$B,Ageing!$B102,Disbursements!$AT:$AT,Ageing!J$4)</f>
        <v>0</v>
      </c>
      <c r="K102" s="369">
        <f ca="1">SUMIFS(Disbursements!$AP:$AP,Disbursements!$B:$B,Ageing!$B102,Disbursements!$AT:$AT,Ageing!K$4)</f>
        <v>0</v>
      </c>
      <c r="L102" s="369">
        <f ca="1">SUMIFS(Disbursements!$AP:$AP,Disbursements!$B:$B,Ageing!$B102,Disbursements!$AT:$AT,Ageing!L$4)</f>
        <v>340000</v>
      </c>
      <c r="M102" s="369">
        <f ca="1">SUMIFS(Disbursements!$AP:$AP,Disbursements!$B:$B,Ageing!$B102,Disbursements!$AT:$AT,Ageing!M$4)</f>
        <v>0</v>
      </c>
      <c r="N102" s="369">
        <f ca="1">SUMIFS(Disbursements!$AP:$AP,Disbursements!$B:$B,Ageing!$B102,Disbursements!$AT:$AT,Ageing!N$4)</f>
        <v>0</v>
      </c>
      <c r="O102" s="369">
        <f ca="1">SUMIFS(Disbursements!$AP:$AP,Disbursements!$B:$B,Ageing!$B102,Disbursements!$AT:$AT,Ageing!O$4)</f>
        <v>0</v>
      </c>
    </row>
    <row r="103" spans="1:15" x14ac:dyDescent="0.2">
      <c r="A103" s="179" t="str">
        <f>IFERROR(VLOOKUP($B103,'Clients-Live'!$A:$C,3,30),"")</f>
        <v>SIJALI ASINA SIS</v>
      </c>
      <c r="B103" s="480">
        <v>99</v>
      </c>
      <c r="C103" s="370" t="str">
        <f>IFERROR(INDEX(Disbursements!$J:$J,MATCH(Ageing!B103,Disbursements!$B:$B,0)),"No Loan")</f>
        <v>Aroma</v>
      </c>
      <c r="D103" s="364">
        <f>SUMIF(Disbursements!$B:$B,Ageing!$B103,Disbursements!AN:AN)</f>
        <v>229633.33333333337</v>
      </c>
      <c r="E103" s="364">
        <f>SUMIF(Disbursements!$B:$B,Ageing!$B103,Disbursements!AO:AO)</f>
        <v>699366.66666666674</v>
      </c>
      <c r="F103" s="365">
        <f t="shared" si="4"/>
        <v>929000.00000000012</v>
      </c>
      <c r="G103" s="364">
        <f ca="1">SUMIF(Disbursements!$B:$B,Ageing!$B103,Disbursements!AQ:AQ)</f>
        <v>929000.00000000012</v>
      </c>
      <c r="H103" s="364">
        <f ca="1">SUMIF(Disbursements!$B:$B,Ageing!$B103,Disbursements!AS:AS)</f>
        <v>121</v>
      </c>
      <c r="I103" s="364">
        <f t="shared" ca="1" si="5"/>
        <v>1</v>
      </c>
      <c r="J103" s="369">
        <f ca="1">SUMIFS(Disbursements!$AP:$AP,Disbursements!$B:$B,Ageing!$B103,Disbursements!$AT:$AT,Ageing!J$4)</f>
        <v>0</v>
      </c>
      <c r="K103" s="369">
        <f ca="1">SUMIFS(Disbursements!$AP:$AP,Disbursements!$B:$B,Ageing!$B103,Disbursements!$AT:$AT,Ageing!K$4)</f>
        <v>0</v>
      </c>
      <c r="L103" s="369">
        <f ca="1">SUMIFS(Disbursements!$AP:$AP,Disbursements!$B:$B,Ageing!$B103,Disbursements!$AT:$AT,Ageing!L$4)</f>
        <v>0</v>
      </c>
      <c r="M103" s="369">
        <f ca="1">SUMIFS(Disbursements!$AP:$AP,Disbursements!$B:$B,Ageing!$B103,Disbursements!$AT:$AT,Ageing!M$4)</f>
        <v>0</v>
      </c>
      <c r="N103" s="369">
        <f ca="1">SUMIFS(Disbursements!$AP:$AP,Disbursements!$B:$B,Ageing!$B103,Disbursements!$AT:$AT,Ageing!N$4)</f>
        <v>929000.00000000012</v>
      </c>
      <c r="O103" s="369">
        <f ca="1">SUMIFS(Disbursements!$AP:$AP,Disbursements!$B:$B,Ageing!$B103,Disbursements!$AT:$AT,Ageing!O$4)</f>
        <v>0</v>
      </c>
    </row>
    <row r="104" spans="1:15" x14ac:dyDescent="0.2">
      <c r="A104" s="179" t="str">
        <f>IFERROR(VLOOKUP($B104,'Clients-Live'!$A:$C,3,30),"")</f>
        <v>LETAYO DORCUS</v>
      </c>
      <c r="B104" s="480">
        <v>100</v>
      </c>
      <c r="C104" s="370" t="str">
        <f>IFERROR(INDEX(Disbursements!$J:$J,MATCH(Ageing!B104,Disbursements!$B:$B,0)),"No Loan")</f>
        <v>Kana</v>
      </c>
      <c r="D104" s="364">
        <f>SUMIF(Disbursements!$B:$B,Ageing!$B104,Disbursements!AN:AN)</f>
        <v>0</v>
      </c>
      <c r="E104" s="364">
        <f>SUMIF(Disbursements!$B:$B,Ageing!$B104,Disbursements!AO:AO)</f>
        <v>290000</v>
      </c>
      <c r="F104" s="365">
        <f t="shared" si="4"/>
        <v>290000</v>
      </c>
      <c r="G104" s="364">
        <f ca="1">SUMIF(Disbursements!$B:$B,Ageing!$B104,Disbursements!AQ:AQ)</f>
        <v>290000</v>
      </c>
      <c r="H104" s="364">
        <f ca="1">SUMIF(Disbursements!$B:$B,Ageing!$B104,Disbursements!AS:AS)</f>
        <v>58</v>
      </c>
      <c r="I104" s="364">
        <f t="shared" ca="1" si="5"/>
        <v>1</v>
      </c>
      <c r="J104" s="369">
        <f ca="1">SUMIFS(Disbursements!$AP:$AP,Disbursements!$B:$B,Ageing!$B104,Disbursements!$AT:$AT,Ageing!J$4)</f>
        <v>0</v>
      </c>
      <c r="K104" s="369">
        <f ca="1">SUMIFS(Disbursements!$AP:$AP,Disbursements!$B:$B,Ageing!$B104,Disbursements!$AT:$AT,Ageing!K$4)</f>
        <v>0</v>
      </c>
      <c r="L104" s="369">
        <f ca="1">SUMIFS(Disbursements!$AP:$AP,Disbursements!$B:$B,Ageing!$B104,Disbursements!$AT:$AT,Ageing!L$4)</f>
        <v>290000</v>
      </c>
      <c r="M104" s="369">
        <f ca="1">SUMIFS(Disbursements!$AP:$AP,Disbursements!$B:$B,Ageing!$B104,Disbursements!$AT:$AT,Ageing!M$4)</f>
        <v>0</v>
      </c>
      <c r="N104" s="369">
        <f ca="1">SUMIFS(Disbursements!$AP:$AP,Disbursements!$B:$B,Ageing!$B104,Disbursements!$AT:$AT,Ageing!N$4)</f>
        <v>0</v>
      </c>
      <c r="O104" s="369">
        <f ca="1">SUMIFS(Disbursements!$AP:$AP,Disbursements!$B:$B,Ageing!$B104,Disbursements!$AT:$AT,Ageing!O$4)</f>
        <v>0</v>
      </c>
    </row>
    <row r="105" spans="1:15" x14ac:dyDescent="0.2">
      <c r="A105" s="179" t="str">
        <f>IFERROR(VLOOKUP($B105,'Clients-Live'!$A:$C,3,30),"")</f>
        <v>AYIKO STEPHEN</v>
      </c>
      <c r="B105" s="480">
        <v>101</v>
      </c>
      <c r="C105" s="370" t="str">
        <f>IFERROR(INDEX(Disbursements!$J:$J,MATCH(Ageing!B105,Disbursements!$B:$B,0)),"No Loan")</f>
        <v>Kana</v>
      </c>
      <c r="D105" s="364">
        <f>SUMIF(Disbursements!$B:$B,Ageing!$B105,Disbursements!AN:AN)</f>
        <v>0</v>
      </c>
      <c r="E105" s="364">
        <f>SUMIF(Disbursements!$B:$B,Ageing!$B105,Disbursements!AO:AO)</f>
        <v>0</v>
      </c>
      <c r="F105" s="365">
        <f t="shared" si="4"/>
        <v>0</v>
      </c>
      <c r="G105" s="364">
        <f ca="1">SUMIF(Disbursements!$B:$B,Ageing!$B105,Disbursements!AQ:AQ)</f>
        <v>0</v>
      </c>
      <c r="H105" s="364">
        <f ca="1">SUMIF(Disbursements!$B:$B,Ageing!$B105,Disbursements!AS:AS)</f>
        <v>0</v>
      </c>
      <c r="I105" s="364">
        <f t="shared" si="5"/>
        <v>0</v>
      </c>
      <c r="J105" s="369">
        <f>SUMIFS(Disbursements!$AP:$AP,Disbursements!$B:$B,Ageing!$B105,Disbursements!$AT:$AT,Ageing!J$4)</f>
        <v>0</v>
      </c>
      <c r="K105" s="369">
        <f>SUMIFS(Disbursements!$AP:$AP,Disbursements!$B:$B,Ageing!$B105,Disbursements!$AT:$AT,Ageing!K$4)</f>
        <v>0</v>
      </c>
      <c r="L105" s="369">
        <f>SUMIFS(Disbursements!$AP:$AP,Disbursements!$B:$B,Ageing!$B105,Disbursements!$AT:$AT,Ageing!L$4)</f>
        <v>0</v>
      </c>
      <c r="M105" s="369">
        <f>SUMIFS(Disbursements!$AP:$AP,Disbursements!$B:$B,Ageing!$B105,Disbursements!$AT:$AT,Ageing!M$4)</f>
        <v>0</v>
      </c>
      <c r="N105" s="369">
        <f>SUMIFS(Disbursements!$AP:$AP,Disbursements!$B:$B,Ageing!$B105,Disbursements!$AT:$AT,Ageing!N$4)</f>
        <v>0</v>
      </c>
      <c r="O105" s="369">
        <f>SUMIFS(Disbursements!$AP:$AP,Disbursements!$B:$B,Ageing!$B105,Disbursements!$AT:$AT,Ageing!O$4)</f>
        <v>0</v>
      </c>
    </row>
    <row r="106" spans="1:15" x14ac:dyDescent="0.2">
      <c r="A106" s="179" t="str">
        <f>IFERROR(VLOOKUP($B106,'Clients-Live'!$A:$C,3,30),"")</f>
        <v>BATALI GODFREY JOHN</v>
      </c>
      <c r="B106" s="480">
        <v>102</v>
      </c>
      <c r="C106" s="370" t="str">
        <f>IFERROR(INDEX(Disbursements!$J:$J,MATCH(Ageing!B106,Disbursements!$B:$B,0)),"No Loan")</f>
        <v>Kana</v>
      </c>
      <c r="D106" s="364">
        <f>SUMIF(Disbursements!$B:$B,Ageing!$B106,Disbursements!AN:AN)</f>
        <v>0</v>
      </c>
      <c r="E106" s="364">
        <f>SUMIF(Disbursements!$B:$B,Ageing!$B106,Disbursements!AO:AO)</f>
        <v>2000</v>
      </c>
      <c r="F106" s="365">
        <f t="shared" si="4"/>
        <v>2000</v>
      </c>
      <c r="G106" s="364">
        <f ca="1">SUMIF(Disbursements!$B:$B,Ageing!$B106,Disbursements!AQ:AQ)</f>
        <v>2000</v>
      </c>
      <c r="H106" s="364">
        <f ca="1">SUMIF(Disbursements!$B:$B,Ageing!$B106,Disbursements!AS:AS)</f>
        <v>2</v>
      </c>
      <c r="I106" s="364">
        <f t="shared" ca="1" si="5"/>
        <v>1</v>
      </c>
      <c r="J106" s="369">
        <f ca="1">SUMIFS(Disbursements!$AP:$AP,Disbursements!$B:$B,Ageing!$B106,Disbursements!$AT:$AT,Ageing!J$4)</f>
        <v>0</v>
      </c>
      <c r="K106" s="369">
        <f ca="1">SUMIFS(Disbursements!$AP:$AP,Disbursements!$B:$B,Ageing!$B106,Disbursements!$AT:$AT,Ageing!K$4)</f>
        <v>2000</v>
      </c>
      <c r="L106" s="369">
        <f ca="1">SUMIFS(Disbursements!$AP:$AP,Disbursements!$B:$B,Ageing!$B106,Disbursements!$AT:$AT,Ageing!L$4)</f>
        <v>0</v>
      </c>
      <c r="M106" s="369">
        <f ca="1">SUMIFS(Disbursements!$AP:$AP,Disbursements!$B:$B,Ageing!$B106,Disbursements!$AT:$AT,Ageing!M$4)</f>
        <v>0</v>
      </c>
      <c r="N106" s="369">
        <f ca="1">SUMIFS(Disbursements!$AP:$AP,Disbursements!$B:$B,Ageing!$B106,Disbursements!$AT:$AT,Ageing!N$4)</f>
        <v>0</v>
      </c>
      <c r="O106" s="369">
        <f ca="1">SUMIFS(Disbursements!$AP:$AP,Disbursements!$B:$B,Ageing!$B106,Disbursements!$AT:$AT,Ageing!O$4)</f>
        <v>0</v>
      </c>
    </row>
    <row r="107" spans="1:15" x14ac:dyDescent="0.2">
      <c r="A107" s="179" t="str">
        <f>IFERROR(VLOOKUP($B107,'Clients-Live'!$A:$C,3,30),"")</f>
        <v>CHANDIRU ZABIB</v>
      </c>
      <c r="B107" s="480">
        <v>103</v>
      </c>
      <c r="C107" s="370" t="str">
        <f>IFERROR(INDEX(Disbursements!$J:$J,MATCH(Ageing!B107,Disbursements!$B:$B,0)),"No Loan")</f>
        <v>Aroma</v>
      </c>
      <c r="D107" s="364">
        <f>SUMIF(Disbursements!$B:$B,Ageing!$B107,Disbursements!AN:AN)</f>
        <v>66000</v>
      </c>
      <c r="E107" s="364">
        <f>SUMIF(Disbursements!$B:$B,Ageing!$B107,Disbursements!AO:AO)</f>
        <v>401000</v>
      </c>
      <c r="F107" s="365">
        <f t="shared" si="4"/>
        <v>467000</v>
      </c>
      <c r="G107" s="364">
        <f ca="1">SUMIF(Disbursements!$B:$B,Ageing!$B107,Disbursements!AQ:AQ)</f>
        <v>467000</v>
      </c>
      <c r="H107" s="364">
        <f ca="1">SUMIF(Disbursements!$B:$B,Ageing!$B107,Disbursements!AS:AS)</f>
        <v>91</v>
      </c>
      <c r="I107" s="364">
        <f t="shared" ca="1" si="5"/>
        <v>2</v>
      </c>
      <c r="J107" s="369">
        <f ca="1">SUMIFS(Disbursements!$AP:$AP,Disbursements!$B:$B,Ageing!$B107,Disbursements!$AT:$AT,Ageing!J$4)</f>
        <v>0</v>
      </c>
      <c r="K107" s="369">
        <f ca="1">SUMIFS(Disbursements!$AP:$AP,Disbursements!$B:$B,Ageing!$B107,Disbursements!$AT:$AT,Ageing!K$4)</f>
        <v>150000</v>
      </c>
      <c r="L107" s="369">
        <f ca="1">SUMIFS(Disbursements!$AP:$AP,Disbursements!$B:$B,Ageing!$B107,Disbursements!$AT:$AT,Ageing!L$4)</f>
        <v>0</v>
      </c>
      <c r="M107" s="369">
        <f ca="1">SUMIFS(Disbursements!$AP:$AP,Disbursements!$B:$B,Ageing!$B107,Disbursements!$AT:$AT,Ageing!M$4)</f>
        <v>317000</v>
      </c>
      <c r="N107" s="369">
        <f ca="1">SUMIFS(Disbursements!$AP:$AP,Disbursements!$B:$B,Ageing!$B107,Disbursements!$AT:$AT,Ageing!N$4)</f>
        <v>0</v>
      </c>
      <c r="O107" s="369">
        <f ca="1">SUMIFS(Disbursements!$AP:$AP,Disbursements!$B:$B,Ageing!$B107,Disbursements!$AT:$AT,Ageing!O$4)</f>
        <v>0</v>
      </c>
    </row>
    <row r="108" spans="1:15" x14ac:dyDescent="0.2">
      <c r="A108" s="179" t="str">
        <f>IFERROR(VLOOKUP($B108,'Clients-Live'!$A:$C,3,30),"")</f>
        <v>IDIRA ALIMA</v>
      </c>
      <c r="B108" s="480">
        <v>104</v>
      </c>
      <c r="C108" s="370" t="str">
        <f>IFERROR(INDEX(Disbursements!$J:$J,MATCH(Ageing!B108,Disbursements!$B:$B,0)),"No Loan")</f>
        <v>Jerome</v>
      </c>
      <c r="D108" s="364">
        <f>SUMIF(Disbursements!$B:$B,Ageing!$B108,Disbursements!AN:AN)</f>
        <v>0</v>
      </c>
      <c r="E108" s="364">
        <f>SUMIF(Disbursements!$B:$B,Ageing!$B108,Disbursements!AO:AO)</f>
        <v>70000</v>
      </c>
      <c r="F108" s="365">
        <f t="shared" si="4"/>
        <v>70000</v>
      </c>
      <c r="G108" s="364">
        <f ca="1">SUMIF(Disbursements!$B:$B,Ageing!$B108,Disbursements!AQ:AQ)</f>
        <v>70000</v>
      </c>
      <c r="H108" s="364">
        <f ca="1">SUMIF(Disbursements!$B:$B,Ageing!$B108,Disbursements!AS:AS)</f>
        <v>12</v>
      </c>
      <c r="I108" s="364">
        <f t="shared" ca="1" si="5"/>
        <v>1</v>
      </c>
      <c r="J108" s="369">
        <f ca="1">SUMIFS(Disbursements!$AP:$AP,Disbursements!$B:$B,Ageing!$B108,Disbursements!$AT:$AT,Ageing!J$4)</f>
        <v>0</v>
      </c>
      <c r="K108" s="369">
        <f ca="1">SUMIFS(Disbursements!$AP:$AP,Disbursements!$B:$B,Ageing!$B108,Disbursements!$AT:$AT,Ageing!K$4)</f>
        <v>70000</v>
      </c>
      <c r="L108" s="369">
        <f ca="1">SUMIFS(Disbursements!$AP:$AP,Disbursements!$B:$B,Ageing!$B108,Disbursements!$AT:$AT,Ageing!L$4)</f>
        <v>0</v>
      </c>
      <c r="M108" s="369">
        <f ca="1">SUMIFS(Disbursements!$AP:$AP,Disbursements!$B:$B,Ageing!$B108,Disbursements!$AT:$AT,Ageing!M$4)</f>
        <v>0</v>
      </c>
      <c r="N108" s="369">
        <f ca="1">SUMIFS(Disbursements!$AP:$AP,Disbursements!$B:$B,Ageing!$B108,Disbursements!$AT:$AT,Ageing!N$4)</f>
        <v>0</v>
      </c>
      <c r="O108" s="369">
        <f ca="1">SUMIFS(Disbursements!$AP:$AP,Disbursements!$B:$B,Ageing!$B108,Disbursements!$AT:$AT,Ageing!O$4)</f>
        <v>0</v>
      </c>
    </row>
    <row r="109" spans="1:15" x14ac:dyDescent="0.2">
      <c r="A109" s="179" t="str">
        <f>IFERROR(VLOOKUP($B109,'Clients-Live'!$A:$C,3,30),"")</f>
        <v>NUKA ROSE</v>
      </c>
      <c r="B109" s="480">
        <v>105</v>
      </c>
      <c r="C109" s="370" t="str">
        <f>IFERROR(INDEX(Disbursements!$J:$J,MATCH(Ageing!B109,Disbursements!$B:$B,0)),"No Loan")</f>
        <v>Jerome</v>
      </c>
      <c r="D109" s="364">
        <f>SUMIF(Disbursements!$B:$B,Ageing!$B109,Disbursements!AN:AN)</f>
        <v>0</v>
      </c>
      <c r="E109" s="364">
        <f>SUMIF(Disbursements!$B:$B,Ageing!$B109,Disbursements!AO:AO)</f>
        <v>0</v>
      </c>
      <c r="F109" s="365">
        <f t="shared" si="4"/>
        <v>0</v>
      </c>
      <c r="G109" s="364">
        <f ca="1">SUMIF(Disbursements!$B:$B,Ageing!$B109,Disbursements!AQ:AQ)</f>
        <v>0</v>
      </c>
      <c r="H109" s="364">
        <f ca="1">SUMIF(Disbursements!$B:$B,Ageing!$B109,Disbursements!AS:AS)</f>
        <v>0</v>
      </c>
      <c r="I109" s="364">
        <f t="shared" si="5"/>
        <v>0</v>
      </c>
      <c r="J109" s="369">
        <f>SUMIFS(Disbursements!$AP:$AP,Disbursements!$B:$B,Ageing!$B109,Disbursements!$AT:$AT,Ageing!J$4)</f>
        <v>0</v>
      </c>
      <c r="K109" s="369">
        <f>SUMIFS(Disbursements!$AP:$AP,Disbursements!$B:$B,Ageing!$B109,Disbursements!$AT:$AT,Ageing!K$4)</f>
        <v>0</v>
      </c>
      <c r="L109" s="369">
        <f>SUMIFS(Disbursements!$AP:$AP,Disbursements!$B:$B,Ageing!$B109,Disbursements!$AT:$AT,Ageing!L$4)</f>
        <v>0</v>
      </c>
      <c r="M109" s="369">
        <f>SUMIFS(Disbursements!$AP:$AP,Disbursements!$B:$B,Ageing!$B109,Disbursements!$AT:$AT,Ageing!M$4)</f>
        <v>0</v>
      </c>
      <c r="N109" s="369">
        <f>SUMIFS(Disbursements!$AP:$AP,Disbursements!$B:$B,Ageing!$B109,Disbursements!$AT:$AT,Ageing!N$4)</f>
        <v>0</v>
      </c>
      <c r="O109" s="369">
        <f>SUMIFS(Disbursements!$AP:$AP,Disbursements!$B:$B,Ageing!$B109,Disbursements!$AT:$AT,Ageing!O$4)</f>
        <v>0</v>
      </c>
    </row>
    <row r="110" spans="1:15" x14ac:dyDescent="0.2">
      <c r="A110" s="179" t="str">
        <f>IFERROR(VLOOKUP($B110,'Clients-Live'!$A:$C,3,30),"")</f>
        <v>ORODRIYO  NUSURA</v>
      </c>
      <c r="B110" s="480">
        <v>106</v>
      </c>
      <c r="C110" s="370" t="str">
        <f>IFERROR(INDEX(Disbursements!$J:$J,MATCH(Ageing!B110,Disbursements!$B:$B,0)),"No Loan")</f>
        <v>Kana</v>
      </c>
      <c r="D110" s="364">
        <f>SUMIF(Disbursements!$B:$B,Ageing!$B110,Disbursements!AN:AN)</f>
        <v>0</v>
      </c>
      <c r="E110" s="364">
        <f>SUMIF(Disbursements!$B:$B,Ageing!$B110,Disbursements!AO:AO)</f>
        <v>0</v>
      </c>
      <c r="F110" s="365">
        <f t="shared" si="4"/>
        <v>0</v>
      </c>
      <c r="G110" s="364">
        <f ca="1">SUMIF(Disbursements!$B:$B,Ageing!$B110,Disbursements!AQ:AQ)</f>
        <v>0</v>
      </c>
      <c r="H110" s="364">
        <f ca="1">SUMIF(Disbursements!$B:$B,Ageing!$B110,Disbursements!AS:AS)</f>
        <v>0</v>
      </c>
      <c r="I110" s="364">
        <f t="shared" si="5"/>
        <v>0</v>
      </c>
      <c r="J110" s="369">
        <f>SUMIFS(Disbursements!$AP:$AP,Disbursements!$B:$B,Ageing!$B110,Disbursements!$AT:$AT,Ageing!J$4)</f>
        <v>0</v>
      </c>
      <c r="K110" s="369">
        <f>SUMIFS(Disbursements!$AP:$AP,Disbursements!$B:$B,Ageing!$B110,Disbursements!$AT:$AT,Ageing!K$4)</f>
        <v>0</v>
      </c>
      <c r="L110" s="369">
        <f>SUMIFS(Disbursements!$AP:$AP,Disbursements!$B:$B,Ageing!$B110,Disbursements!$AT:$AT,Ageing!L$4)</f>
        <v>0</v>
      </c>
      <c r="M110" s="369">
        <f>SUMIFS(Disbursements!$AP:$AP,Disbursements!$B:$B,Ageing!$B110,Disbursements!$AT:$AT,Ageing!M$4)</f>
        <v>0</v>
      </c>
      <c r="N110" s="369">
        <f>SUMIFS(Disbursements!$AP:$AP,Disbursements!$B:$B,Ageing!$B110,Disbursements!$AT:$AT,Ageing!N$4)</f>
        <v>0</v>
      </c>
      <c r="O110" s="369">
        <f>SUMIFS(Disbursements!$AP:$AP,Disbursements!$B:$B,Ageing!$B110,Disbursements!$AT:$AT,Ageing!O$4)</f>
        <v>0</v>
      </c>
    </row>
    <row r="111" spans="1:15" x14ac:dyDescent="0.2">
      <c r="A111" s="179" t="str">
        <f>IFERROR(VLOOKUP($B111,'Clients-Live'!$A:$C,3,30),"")</f>
        <v>LAKONY PETER</v>
      </c>
      <c r="B111" s="480">
        <v>107</v>
      </c>
      <c r="C111" s="370" t="str">
        <f>IFERROR(INDEX(Disbursements!$J:$J,MATCH(Ageing!B111,Disbursements!$B:$B,0)),"No Loan")</f>
        <v>Kana</v>
      </c>
      <c r="D111" s="364">
        <f>SUMIF(Disbursements!$B:$B,Ageing!$B111,Disbursements!AN:AN)</f>
        <v>21999.999999999985</v>
      </c>
      <c r="E111" s="364">
        <f>SUMIF(Disbursements!$B:$B,Ageing!$B111,Disbursements!AO:AO)</f>
        <v>11000</v>
      </c>
      <c r="F111" s="365">
        <f t="shared" si="4"/>
        <v>32999.999999999985</v>
      </c>
      <c r="G111" s="364">
        <f ca="1">SUMIF(Disbursements!$B:$B,Ageing!$B111,Disbursements!AQ:AQ)</f>
        <v>32999.999999999985</v>
      </c>
      <c r="H111" s="364">
        <f ca="1">SUMIF(Disbursements!$B:$B,Ageing!$B111,Disbursements!AS:AS)</f>
        <v>13</v>
      </c>
      <c r="I111" s="364">
        <f t="shared" ca="1" si="5"/>
        <v>1</v>
      </c>
      <c r="J111" s="369">
        <f ca="1">SUMIFS(Disbursements!$AP:$AP,Disbursements!$B:$B,Ageing!$B111,Disbursements!$AT:$AT,Ageing!J$4)</f>
        <v>0</v>
      </c>
      <c r="K111" s="369">
        <f ca="1">SUMIFS(Disbursements!$AP:$AP,Disbursements!$B:$B,Ageing!$B111,Disbursements!$AT:$AT,Ageing!K$4)</f>
        <v>32999.999999999985</v>
      </c>
      <c r="L111" s="369">
        <f ca="1">SUMIFS(Disbursements!$AP:$AP,Disbursements!$B:$B,Ageing!$B111,Disbursements!$AT:$AT,Ageing!L$4)</f>
        <v>0</v>
      </c>
      <c r="M111" s="369">
        <f ca="1">SUMIFS(Disbursements!$AP:$AP,Disbursements!$B:$B,Ageing!$B111,Disbursements!$AT:$AT,Ageing!M$4)</f>
        <v>0</v>
      </c>
      <c r="N111" s="369">
        <f ca="1">SUMIFS(Disbursements!$AP:$AP,Disbursements!$B:$B,Ageing!$B111,Disbursements!$AT:$AT,Ageing!N$4)</f>
        <v>0</v>
      </c>
      <c r="O111" s="369">
        <f ca="1">SUMIFS(Disbursements!$AP:$AP,Disbursements!$B:$B,Ageing!$B111,Disbursements!$AT:$AT,Ageing!O$4)</f>
        <v>0</v>
      </c>
    </row>
    <row r="112" spans="1:15" x14ac:dyDescent="0.2">
      <c r="A112" s="179" t="str">
        <f>IFERROR(VLOOKUP($B112,'Clients-Live'!$A:$C,3,30),"")</f>
        <v>DUDU JOICE</v>
      </c>
      <c r="B112" s="480">
        <v>108</v>
      </c>
      <c r="C112" s="370" t="str">
        <f>IFERROR(INDEX(Disbursements!$J:$J,MATCH(Ageing!B112,Disbursements!$B:$B,0)),"No Loan")</f>
        <v>Jerome</v>
      </c>
      <c r="D112" s="364">
        <f>SUMIF(Disbursements!$B:$B,Ageing!$B112,Disbursements!AN:AN)</f>
        <v>10000</v>
      </c>
      <c r="E112" s="364">
        <f>SUMIF(Disbursements!$B:$B,Ageing!$B112,Disbursements!AO:AO)</f>
        <v>370000</v>
      </c>
      <c r="F112" s="365">
        <f t="shared" si="4"/>
        <v>380000</v>
      </c>
      <c r="G112" s="364">
        <f ca="1">SUMIF(Disbursements!$B:$B,Ageing!$B112,Disbursements!AQ:AQ)</f>
        <v>380000</v>
      </c>
      <c r="H112" s="364">
        <f ca="1">SUMIF(Disbursements!$B:$B,Ageing!$B112,Disbursements!AS:AS)</f>
        <v>46</v>
      </c>
      <c r="I112" s="364">
        <f t="shared" ca="1" si="5"/>
        <v>1</v>
      </c>
      <c r="J112" s="369">
        <f ca="1">SUMIFS(Disbursements!$AP:$AP,Disbursements!$B:$B,Ageing!$B112,Disbursements!$AT:$AT,Ageing!J$4)</f>
        <v>0</v>
      </c>
      <c r="K112" s="369">
        <f ca="1">SUMIFS(Disbursements!$AP:$AP,Disbursements!$B:$B,Ageing!$B112,Disbursements!$AT:$AT,Ageing!K$4)</f>
        <v>0</v>
      </c>
      <c r="L112" s="369">
        <f ca="1">SUMIFS(Disbursements!$AP:$AP,Disbursements!$B:$B,Ageing!$B112,Disbursements!$AT:$AT,Ageing!L$4)</f>
        <v>380000</v>
      </c>
      <c r="M112" s="369">
        <f ca="1">SUMIFS(Disbursements!$AP:$AP,Disbursements!$B:$B,Ageing!$B112,Disbursements!$AT:$AT,Ageing!M$4)</f>
        <v>0</v>
      </c>
      <c r="N112" s="369">
        <f ca="1">SUMIFS(Disbursements!$AP:$AP,Disbursements!$B:$B,Ageing!$B112,Disbursements!$AT:$AT,Ageing!N$4)</f>
        <v>0</v>
      </c>
      <c r="O112" s="369">
        <f ca="1">SUMIFS(Disbursements!$AP:$AP,Disbursements!$B:$B,Ageing!$B112,Disbursements!$AT:$AT,Ageing!O$4)</f>
        <v>0</v>
      </c>
    </row>
    <row r="113" spans="1:15" x14ac:dyDescent="0.2">
      <c r="A113" s="179" t="str">
        <f>IFERROR(VLOOKUP($B113,'Clients-Live'!$A:$C,3,30),"")</f>
        <v>TABU KISA</v>
      </c>
      <c r="B113" s="480">
        <v>109</v>
      </c>
      <c r="C113" s="370" t="str">
        <f>IFERROR(INDEX(Disbursements!$J:$J,MATCH(Ageing!B113,Disbursements!$B:$B,0)),"No Loan")</f>
        <v>Kana</v>
      </c>
      <c r="D113" s="364">
        <f>SUMIF(Disbursements!$B:$B,Ageing!$B113,Disbursements!AN:AN)</f>
        <v>35000</v>
      </c>
      <c r="E113" s="364">
        <f>SUMIF(Disbursements!$B:$B,Ageing!$B113,Disbursements!AO:AO)</f>
        <v>175900</v>
      </c>
      <c r="F113" s="365">
        <f t="shared" si="4"/>
        <v>210900</v>
      </c>
      <c r="G113" s="364">
        <f ca="1">SUMIF(Disbursements!$B:$B,Ageing!$B113,Disbursements!AQ:AQ)</f>
        <v>210900</v>
      </c>
      <c r="H113" s="364">
        <f ca="1">SUMIF(Disbursements!$B:$B,Ageing!$B113,Disbursements!AS:AS)</f>
        <v>49</v>
      </c>
      <c r="I113" s="364">
        <f t="shared" ca="1" si="5"/>
        <v>2</v>
      </c>
      <c r="J113" s="369">
        <f ca="1">SUMIFS(Disbursements!$AP:$AP,Disbursements!$B:$B,Ageing!$B113,Disbursements!$AT:$AT,Ageing!J$4)</f>
        <v>0</v>
      </c>
      <c r="K113" s="369">
        <f ca="1">SUMIFS(Disbursements!$AP:$AP,Disbursements!$B:$B,Ageing!$B113,Disbursements!$AT:$AT,Ageing!K$4)</f>
        <v>9900</v>
      </c>
      <c r="L113" s="369">
        <f ca="1">SUMIFS(Disbursements!$AP:$AP,Disbursements!$B:$B,Ageing!$B113,Disbursements!$AT:$AT,Ageing!L$4)</f>
        <v>201000</v>
      </c>
      <c r="M113" s="369">
        <f ca="1">SUMIFS(Disbursements!$AP:$AP,Disbursements!$B:$B,Ageing!$B113,Disbursements!$AT:$AT,Ageing!M$4)</f>
        <v>0</v>
      </c>
      <c r="N113" s="369">
        <f ca="1">SUMIFS(Disbursements!$AP:$AP,Disbursements!$B:$B,Ageing!$B113,Disbursements!$AT:$AT,Ageing!N$4)</f>
        <v>0</v>
      </c>
      <c r="O113" s="369">
        <f ca="1">SUMIFS(Disbursements!$AP:$AP,Disbursements!$B:$B,Ageing!$B113,Disbursements!$AT:$AT,Ageing!O$4)</f>
        <v>0</v>
      </c>
    </row>
    <row r="114" spans="1:15" x14ac:dyDescent="0.2">
      <c r="A114" s="179" t="str">
        <f>IFERROR(VLOOKUP($B114,'Clients-Live'!$A:$C,3,30),"")</f>
        <v>APEKURU FLORENCE</v>
      </c>
      <c r="B114" s="480">
        <v>110</v>
      </c>
      <c r="C114" s="370" t="str">
        <f>IFERROR(INDEX(Disbursements!$J:$J,MATCH(Ageing!B114,Disbursements!$B:$B,0)),"No Loan")</f>
        <v>No Loan</v>
      </c>
      <c r="D114" s="364">
        <f>SUMIF(Disbursements!$B:$B,Ageing!$B114,Disbursements!AN:AN)</f>
        <v>0</v>
      </c>
      <c r="E114" s="364">
        <f>SUMIF(Disbursements!$B:$B,Ageing!$B114,Disbursements!AO:AO)</f>
        <v>0</v>
      </c>
      <c r="F114" s="365">
        <f t="shared" si="4"/>
        <v>0</v>
      </c>
      <c r="G114" s="364">
        <f>SUMIF(Disbursements!$B:$B,Ageing!$B114,Disbursements!AQ:AQ)</f>
        <v>0</v>
      </c>
      <c r="H114" s="364">
        <f>SUMIF(Disbursements!$B:$B,Ageing!$B114,Disbursements!AS:AS)</f>
        <v>0</v>
      </c>
      <c r="I114" s="364">
        <f t="shared" si="5"/>
        <v>0</v>
      </c>
      <c r="J114" s="369">
        <f>SUMIFS(Disbursements!$AP:$AP,Disbursements!$B:$B,Ageing!$B114,Disbursements!$AT:$AT,Ageing!J$4)</f>
        <v>0</v>
      </c>
      <c r="K114" s="369">
        <f>SUMIFS(Disbursements!$AP:$AP,Disbursements!$B:$B,Ageing!$B114,Disbursements!$AT:$AT,Ageing!K$4)</f>
        <v>0</v>
      </c>
      <c r="L114" s="369">
        <f>SUMIFS(Disbursements!$AP:$AP,Disbursements!$B:$B,Ageing!$B114,Disbursements!$AT:$AT,Ageing!L$4)</f>
        <v>0</v>
      </c>
      <c r="M114" s="369">
        <f>SUMIFS(Disbursements!$AP:$AP,Disbursements!$B:$B,Ageing!$B114,Disbursements!$AT:$AT,Ageing!M$4)</f>
        <v>0</v>
      </c>
      <c r="N114" s="369">
        <f>SUMIFS(Disbursements!$AP:$AP,Disbursements!$B:$B,Ageing!$B114,Disbursements!$AT:$AT,Ageing!N$4)</f>
        <v>0</v>
      </c>
      <c r="O114" s="369">
        <f>SUMIFS(Disbursements!$AP:$AP,Disbursements!$B:$B,Ageing!$B114,Disbursements!$AT:$AT,Ageing!O$4)</f>
        <v>0</v>
      </c>
    </row>
    <row r="115" spans="1:15" x14ac:dyDescent="0.2">
      <c r="A115" s="179" t="str">
        <f>IFERROR(VLOOKUP($B115,'Clients-Live'!$A:$C,3,30),"")</f>
        <v>ANDAKU CHARLES JULIAN</v>
      </c>
      <c r="B115" s="480">
        <v>111</v>
      </c>
      <c r="C115" s="370" t="str">
        <f>IFERROR(INDEX(Disbursements!$J:$J,MATCH(Ageing!B115,Disbursements!$B:$B,0)),"No Loan")</f>
        <v>Kana</v>
      </c>
      <c r="D115" s="364">
        <f>SUMIF(Disbursements!$B:$B,Ageing!$B115,Disbursements!AN:AN)</f>
        <v>0</v>
      </c>
      <c r="E115" s="364">
        <f>SUMIF(Disbursements!$B:$B,Ageing!$B115,Disbursements!AO:AO)</f>
        <v>3000</v>
      </c>
      <c r="F115" s="365">
        <f t="shared" si="4"/>
        <v>3000</v>
      </c>
      <c r="G115" s="364">
        <f ca="1">SUMIF(Disbursements!$B:$B,Ageing!$B115,Disbursements!AQ:AQ)</f>
        <v>3000</v>
      </c>
      <c r="H115" s="364">
        <f ca="1">SUMIF(Disbursements!$B:$B,Ageing!$B115,Disbursements!AS:AS)</f>
        <v>2</v>
      </c>
      <c r="I115" s="364">
        <f t="shared" ca="1" si="5"/>
        <v>1</v>
      </c>
      <c r="J115" s="369">
        <f ca="1">SUMIFS(Disbursements!$AP:$AP,Disbursements!$B:$B,Ageing!$B115,Disbursements!$AT:$AT,Ageing!J$4)</f>
        <v>0</v>
      </c>
      <c r="K115" s="369">
        <f ca="1">SUMIFS(Disbursements!$AP:$AP,Disbursements!$B:$B,Ageing!$B115,Disbursements!$AT:$AT,Ageing!K$4)</f>
        <v>3000</v>
      </c>
      <c r="L115" s="369">
        <f ca="1">SUMIFS(Disbursements!$AP:$AP,Disbursements!$B:$B,Ageing!$B115,Disbursements!$AT:$AT,Ageing!L$4)</f>
        <v>0</v>
      </c>
      <c r="M115" s="369">
        <f ca="1">SUMIFS(Disbursements!$AP:$AP,Disbursements!$B:$B,Ageing!$B115,Disbursements!$AT:$AT,Ageing!M$4)</f>
        <v>0</v>
      </c>
      <c r="N115" s="369">
        <f ca="1">SUMIFS(Disbursements!$AP:$AP,Disbursements!$B:$B,Ageing!$B115,Disbursements!$AT:$AT,Ageing!N$4)</f>
        <v>0</v>
      </c>
      <c r="O115" s="369">
        <f ca="1">SUMIFS(Disbursements!$AP:$AP,Disbursements!$B:$B,Ageing!$B115,Disbursements!$AT:$AT,Ageing!O$4)</f>
        <v>0</v>
      </c>
    </row>
    <row r="116" spans="1:15" x14ac:dyDescent="0.2">
      <c r="A116" s="179" t="str">
        <f>IFERROR(VLOOKUP($B116,'Clients-Live'!$A:$C,3,30),"")</f>
        <v>NURA JOYCE</v>
      </c>
      <c r="B116" s="480">
        <v>112</v>
      </c>
      <c r="C116" s="370" t="str">
        <f>IFERROR(INDEX(Disbursements!$J:$J,MATCH(Ageing!B116,Disbursements!$B:$B,0)),"No Loan")</f>
        <v>Jerome</v>
      </c>
      <c r="D116" s="364">
        <f>SUMIF(Disbursements!$B:$B,Ageing!$B116,Disbursements!AN:AN)</f>
        <v>24666.666666666657</v>
      </c>
      <c r="E116" s="364">
        <f>SUMIF(Disbursements!$B:$B,Ageing!$B116,Disbursements!AO:AO)</f>
        <v>20333.333333333372</v>
      </c>
      <c r="F116" s="365">
        <f t="shared" si="4"/>
        <v>45000.000000000029</v>
      </c>
      <c r="G116" s="364">
        <f ca="1">SUMIF(Disbursements!$B:$B,Ageing!$B116,Disbursements!AQ:AQ)</f>
        <v>45000.000000000029</v>
      </c>
      <c r="H116" s="364">
        <f ca="1">SUMIF(Disbursements!$B:$B,Ageing!$B116,Disbursements!AS:AS)</f>
        <v>10</v>
      </c>
      <c r="I116" s="364">
        <f t="shared" ca="1" si="5"/>
        <v>1</v>
      </c>
      <c r="J116" s="369">
        <f ca="1">SUMIFS(Disbursements!$AP:$AP,Disbursements!$B:$B,Ageing!$B116,Disbursements!$AT:$AT,Ageing!J$4)</f>
        <v>0</v>
      </c>
      <c r="K116" s="369">
        <f ca="1">SUMIFS(Disbursements!$AP:$AP,Disbursements!$B:$B,Ageing!$B116,Disbursements!$AT:$AT,Ageing!K$4)</f>
        <v>45000.000000000029</v>
      </c>
      <c r="L116" s="369">
        <f ca="1">SUMIFS(Disbursements!$AP:$AP,Disbursements!$B:$B,Ageing!$B116,Disbursements!$AT:$AT,Ageing!L$4)</f>
        <v>0</v>
      </c>
      <c r="M116" s="369">
        <f ca="1">SUMIFS(Disbursements!$AP:$AP,Disbursements!$B:$B,Ageing!$B116,Disbursements!$AT:$AT,Ageing!M$4)</f>
        <v>0</v>
      </c>
      <c r="N116" s="369">
        <f ca="1">SUMIFS(Disbursements!$AP:$AP,Disbursements!$B:$B,Ageing!$B116,Disbursements!$AT:$AT,Ageing!N$4)</f>
        <v>0</v>
      </c>
      <c r="O116" s="369">
        <f ca="1">SUMIFS(Disbursements!$AP:$AP,Disbursements!$B:$B,Ageing!$B116,Disbursements!$AT:$AT,Ageing!O$4)</f>
        <v>0</v>
      </c>
    </row>
    <row r="117" spans="1:15" x14ac:dyDescent="0.2">
      <c r="A117" s="179" t="str">
        <f>IFERROR(VLOOKUP($B117,'Clients-Live'!$A:$C,3,30),"")</f>
        <v>ATIKU AMULE ISAAC</v>
      </c>
      <c r="B117" s="480">
        <v>113</v>
      </c>
      <c r="C117" s="370" t="str">
        <f>IFERROR(INDEX(Disbursements!$J:$J,MATCH(Ageing!B117,Disbursements!$B:$B,0)),"No Loan")</f>
        <v>Aroma</v>
      </c>
      <c r="D117" s="364">
        <f>SUMIF(Disbursements!$B:$B,Ageing!$B117,Disbursements!AN:AN)</f>
        <v>0</v>
      </c>
      <c r="E117" s="364">
        <f>SUMIF(Disbursements!$B:$B,Ageing!$B117,Disbursements!AO:AO)</f>
        <v>71800</v>
      </c>
      <c r="F117" s="365">
        <f t="shared" si="4"/>
        <v>71800</v>
      </c>
      <c r="G117" s="364">
        <f ca="1">SUMIF(Disbursements!$B:$B,Ageing!$B117,Disbursements!AQ:AQ)</f>
        <v>71800</v>
      </c>
      <c r="H117" s="364">
        <f ca="1">SUMIF(Disbursements!$B:$B,Ageing!$B117,Disbursements!AS:AS)</f>
        <v>15</v>
      </c>
      <c r="I117" s="364">
        <f t="shared" ca="1" si="5"/>
        <v>1</v>
      </c>
      <c r="J117" s="369">
        <f ca="1">SUMIFS(Disbursements!$AP:$AP,Disbursements!$B:$B,Ageing!$B117,Disbursements!$AT:$AT,Ageing!J$4)</f>
        <v>0</v>
      </c>
      <c r="K117" s="369">
        <f ca="1">SUMIFS(Disbursements!$AP:$AP,Disbursements!$B:$B,Ageing!$B117,Disbursements!$AT:$AT,Ageing!K$4)</f>
        <v>71800</v>
      </c>
      <c r="L117" s="369">
        <f ca="1">SUMIFS(Disbursements!$AP:$AP,Disbursements!$B:$B,Ageing!$B117,Disbursements!$AT:$AT,Ageing!L$4)</f>
        <v>0</v>
      </c>
      <c r="M117" s="369">
        <f ca="1">SUMIFS(Disbursements!$AP:$AP,Disbursements!$B:$B,Ageing!$B117,Disbursements!$AT:$AT,Ageing!M$4)</f>
        <v>0</v>
      </c>
      <c r="N117" s="369">
        <f ca="1">SUMIFS(Disbursements!$AP:$AP,Disbursements!$B:$B,Ageing!$B117,Disbursements!$AT:$AT,Ageing!N$4)</f>
        <v>0</v>
      </c>
      <c r="O117" s="369">
        <f ca="1">SUMIFS(Disbursements!$AP:$AP,Disbursements!$B:$B,Ageing!$B117,Disbursements!$AT:$AT,Ageing!O$4)</f>
        <v>0</v>
      </c>
    </row>
    <row r="118" spans="1:15" x14ac:dyDescent="0.2">
      <c r="A118" s="179" t="str">
        <f>IFERROR(VLOOKUP($B118,'Clients-Live'!$A:$C,3,30),"")</f>
        <v>ONZIA EMMILY</v>
      </c>
      <c r="B118" s="480">
        <v>114</v>
      </c>
      <c r="C118" s="370" t="str">
        <f>IFERROR(INDEX(Disbursements!$J:$J,MATCH(Ageing!B118,Disbursements!$B:$B,0)),"No Loan")</f>
        <v>Aroma</v>
      </c>
      <c r="D118" s="364">
        <f>SUMIF(Disbursements!$B:$B,Ageing!$B118,Disbursements!AN:AN)</f>
        <v>474333.33333333331</v>
      </c>
      <c r="E118" s="364">
        <f>SUMIF(Disbursements!$B:$B,Ageing!$B118,Disbursements!AO:AO)</f>
        <v>1650666.6666666667</v>
      </c>
      <c r="F118" s="365">
        <f t="shared" si="4"/>
        <v>2125000</v>
      </c>
      <c r="G118" s="364">
        <f ca="1">SUMIF(Disbursements!$B:$B,Ageing!$B118,Disbursements!AQ:AQ)</f>
        <v>2125000</v>
      </c>
      <c r="H118" s="364">
        <f ca="1">SUMIF(Disbursements!$B:$B,Ageing!$B118,Disbursements!AS:AS)</f>
        <v>102</v>
      </c>
      <c r="I118" s="364">
        <f t="shared" ca="1" si="5"/>
        <v>1</v>
      </c>
      <c r="J118" s="369">
        <f ca="1">SUMIFS(Disbursements!$AP:$AP,Disbursements!$B:$B,Ageing!$B118,Disbursements!$AT:$AT,Ageing!J$4)</f>
        <v>0</v>
      </c>
      <c r="K118" s="369">
        <f ca="1">SUMIFS(Disbursements!$AP:$AP,Disbursements!$B:$B,Ageing!$B118,Disbursements!$AT:$AT,Ageing!K$4)</f>
        <v>0</v>
      </c>
      <c r="L118" s="369">
        <f ca="1">SUMIFS(Disbursements!$AP:$AP,Disbursements!$B:$B,Ageing!$B118,Disbursements!$AT:$AT,Ageing!L$4)</f>
        <v>0</v>
      </c>
      <c r="M118" s="369">
        <f ca="1">SUMIFS(Disbursements!$AP:$AP,Disbursements!$B:$B,Ageing!$B118,Disbursements!$AT:$AT,Ageing!M$4)</f>
        <v>0</v>
      </c>
      <c r="N118" s="369">
        <f ca="1">SUMIFS(Disbursements!$AP:$AP,Disbursements!$B:$B,Ageing!$B118,Disbursements!$AT:$AT,Ageing!N$4)</f>
        <v>2125000</v>
      </c>
      <c r="O118" s="369">
        <f ca="1">SUMIFS(Disbursements!$AP:$AP,Disbursements!$B:$B,Ageing!$B118,Disbursements!$AT:$AT,Ageing!O$4)</f>
        <v>0</v>
      </c>
    </row>
    <row r="119" spans="1:15" x14ac:dyDescent="0.2">
      <c r="A119" s="179" t="str">
        <f>IFERROR(VLOOKUP($B119,'Clients-Live'!$A:$C,3,30),"")</f>
        <v>AYIKE SAUDA</v>
      </c>
      <c r="B119" s="480">
        <v>115</v>
      </c>
      <c r="C119" s="370" t="str">
        <f>IFERROR(INDEX(Disbursements!$J:$J,MATCH(Ageing!B119,Disbursements!$B:$B,0)),"No Loan")</f>
        <v>Kana</v>
      </c>
      <c r="D119" s="364">
        <f>SUMIF(Disbursements!$B:$B,Ageing!$B119,Disbursements!AN:AN)</f>
        <v>0</v>
      </c>
      <c r="E119" s="364">
        <f>SUMIF(Disbursements!$B:$B,Ageing!$B119,Disbursements!AO:AO)</f>
        <v>1300</v>
      </c>
      <c r="F119" s="365">
        <f t="shared" si="4"/>
        <v>1300</v>
      </c>
      <c r="G119" s="364">
        <f ca="1">SUMIF(Disbursements!$B:$B,Ageing!$B119,Disbursements!AQ:AQ)</f>
        <v>1300</v>
      </c>
      <c r="H119" s="364">
        <f ca="1">SUMIF(Disbursements!$B:$B,Ageing!$B119,Disbursements!AS:AS)</f>
        <v>1</v>
      </c>
      <c r="I119" s="364">
        <f t="shared" ca="1" si="5"/>
        <v>1</v>
      </c>
      <c r="J119" s="369">
        <f ca="1">SUMIFS(Disbursements!$AP:$AP,Disbursements!$B:$B,Ageing!$B119,Disbursements!$AT:$AT,Ageing!J$4)</f>
        <v>0</v>
      </c>
      <c r="K119" s="369">
        <f ca="1">SUMIFS(Disbursements!$AP:$AP,Disbursements!$B:$B,Ageing!$B119,Disbursements!$AT:$AT,Ageing!K$4)</f>
        <v>1300</v>
      </c>
      <c r="L119" s="369">
        <f ca="1">SUMIFS(Disbursements!$AP:$AP,Disbursements!$B:$B,Ageing!$B119,Disbursements!$AT:$AT,Ageing!L$4)</f>
        <v>0</v>
      </c>
      <c r="M119" s="369">
        <f ca="1">SUMIFS(Disbursements!$AP:$AP,Disbursements!$B:$B,Ageing!$B119,Disbursements!$AT:$AT,Ageing!M$4)</f>
        <v>0</v>
      </c>
      <c r="N119" s="369">
        <f ca="1">SUMIFS(Disbursements!$AP:$AP,Disbursements!$B:$B,Ageing!$B119,Disbursements!$AT:$AT,Ageing!N$4)</f>
        <v>0</v>
      </c>
      <c r="O119" s="369">
        <f ca="1">SUMIFS(Disbursements!$AP:$AP,Disbursements!$B:$B,Ageing!$B119,Disbursements!$AT:$AT,Ageing!O$4)</f>
        <v>0</v>
      </c>
    </row>
    <row r="120" spans="1:15" x14ac:dyDescent="0.2">
      <c r="A120" s="179" t="str">
        <f>IFERROR(VLOOKUP($B120,'Clients-Live'!$A:$C,3,30),"")</f>
        <v>ONZIA LUCY</v>
      </c>
      <c r="B120" s="480">
        <v>116</v>
      </c>
      <c r="C120" s="370" t="str">
        <f>IFERROR(INDEX(Disbursements!$J:$J,MATCH(Ageing!B120,Disbursements!$B:$B,0)),"No Loan")</f>
        <v>Kana</v>
      </c>
      <c r="D120" s="364">
        <f>SUMIF(Disbursements!$B:$B,Ageing!$B120,Disbursements!AN:AN)</f>
        <v>0</v>
      </c>
      <c r="E120" s="364">
        <f>SUMIF(Disbursements!$B:$B,Ageing!$B120,Disbursements!AO:AO)</f>
        <v>160200</v>
      </c>
      <c r="F120" s="365">
        <f t="shared" si="4"/>
        <v>160200</v>
      </c>
      <c r="G120" s="364">
        <f ca="1">SUMIF(Disbursements!$B:$B,Ageing!$B120,Disbursements!AQ:AQ)</f>
        <v>160200</v>
      </c>
      <c r="H120" s="364">
        <f ca="1">SUMIF(Disbursements!$B:$B,Ageing!$B120,Disbursements!AS:AS)</f>
        <v>41</v>
      </c>
      <c r="I120" s="364">
        <f t="shared" ca="1" si="5"/>
        <v>2</v>
      </c>
      <c r="J120" s="369">
        <f ca="1">SUMIFS(Disbursements!$AP:$AP,Disbursements!$B:$B,Ageing!$B120,Disbursements!$AT:$AT,Ageing!J$4)</f>
        <v>0</v>
      </c>
      <c r="K120" s="369">
        <f ca="1">SUMIFS(Disbursements!$AP:$AP,Disbursements!$B:$B,Ageing!$B120,Disbursements!$AT:$AT,Ageing!K$4)</f>
        <v>4200</v>
      </c>
      <c r="L120" s="369">
        <f ca="1">SUMIFS(Disbursements!$AP:$AP,Disbursements!$B:$B,Ageing!$B120,Disbursements!$AT:$AT,Ageing!L$4)</f>
        <v>156000</v>
      </c>
      <c r="M120" s="369">
        <f ca="1">SUMIFS(Disbursements!$AP:$AP,Disbursements!$B:$B,Ageing!$B120,Disbursements!$AT:$AT,Ageing!M$4)</f>
        <v>0</v>
      </c>
      <c r="N120" s="369">
        <f ca="1">SUMIFS(Disbursements!$AP:$AP,Disbursements!$B:$B,Ageing!$B120,Disbursements!$AT:$AT,Ageing!N$4)</f>
        <v>0</v>
      </c>
      <c r="O120" s="369">
        <f ca="1">SUMIFS(Disbursements!$AP:$AP,Disbursements!$B:$B,Ageing!$B120,Disbursements!$AT:$AT,Ageing!O$4)</f>
        <v>0</v>
      </c>
    </row>
    <row r="121" spans="1:15" x14ac:dyDescent="0.2">
      <c r="A121" s="179" t="str">
        <f>IFERROR(VLOOKUP($B121,'Clients-Live'!$A:$C,3,30),"")</f>
        <v>MAWA JACKSON</v>
      </c>
      <c r="B121" s="480">
        <v>117</v>
      </c>
      <c r="C121" s="370" t="str">
        <f>IFERROR(INDEX(Disbursements!$J:$J,MATCH(Ageing!B121,Disbursements!$B:$B,0)),"No Loan")</f>
        <v>Aroma</v>
      </c>
      <c r="D121" s="364">
        <f>SUMIF(Disbursements!$B:$B,Ageing!$B121,Disbursements!AN:AN)</f>
        <v>0</v>
      </c>
      <c r="E121" s="364">
        <f>SUMIF(Disbursements!$B:$B,Ageing!$B121,Disbursements!AO:AO)</f>
        <v>0</v>
      </c>
      <c r="F121" s="365">
        <f t="shared" si="4"/>
        <v>0</v>
      </c>
      <c r="G121" s="364">
        <f ca="1">SUMIF(Disbursements!$B:$B,Ageing!$B121,Disbursements!AQ:AQ)</f>
        <v>0</v>
      </c>
      <c r="H121" s="364">
        <f ca="1">SUMIF(Disbursements!$B:$B,Ageing!$B121,Disbursements!AS:AS)</f>
        <v>0</v>
      </c>
      <c r="I121" s="364">
        <f t="shared" si="5"/>
        <v>0</v>
      </c>
      <c r="J121" s="369">
        <f>SUMIFS(Disbursements!$AP:$AP,Disbursements!$B:$B,Ageing!$B121,Disbursements!$AT:$AT,Ageing!J$4)</f>
        <v>0</v>
      </c>
      <c r="K121" s="369">
        <f>SUMIFS(Disbursements!$AP:$AP,Disbursements!$B:$B,Ageing!$B121,Disbursements!$AT:$AT,Ageing!K$4)</f>
        <v>0</v>
      </c>
      <c r="L121" s="369">
        <f>SUMIFS(Disbursements!$AP:$AP,Disbursements!$B:$B,Ageing!$B121,Disbursements!$AT:$AT,Ageing!L$4)</f>
        <v>0</v>
      </c>
      <c r="M121" s="369">
        <f>SUMIFS(Disbursements!$AP:$AP,Disbursements!$B:$B,Ageing!$B121,Disbursements!$AT:$AT,Ageing!M$4)</f>
        <v>0</v>
      </c>
      <c r="N121" s="369">
        <f>SUMIFS(Disbursements!$AP:$AP,Disbursements!$B:$B,Ageing!$B121,Disbursements!$AT:$AT,Ageing!N$4)</f>
        <v>0</v>
      </c>
      <c r="O121" s="369">
        <f>SUMIFS(Disbursements!$AP:$AP,Disbursements!$B:$B,Ageing!$B121,Disbursements!$AT:$AT,Ageing!O$4)</f>
        <v>0</v>
      </c>
    </row>
    <row r="122" spans="1:15" x14ac:dyDescent="0.2">
      <c r="A122" s="179" t="str">
        <f>IFERROR(VLOOKUP($B122,'Clients-Live'!$A:$C,3,30),"")</f>
        <v>ONYANGO CHARLES JOGOO</v>
      </c>
      <c r="B122" s="480">
        <v>118</v>
      </c>
      <c r="C122" s="370" t="str">
        <f>IFERROR(INDEX(Disbursements!$J:$J,MATCH(Ageing!B122,Disbursements!$B:$B,0)),"No Loan")</f>
        <v>Aroma</v>
      </c>
      <c r="D122" s="364">
        <f>SUMIF(Disbursements!$B:$B,Ageing!$B122,Disbursements!AN:AN)</f>
        <v>0</v>
      </c>
      <c r="E122" s="364">
        <f>SUMIF(Disbursements!$B:$B,Ageing!$B122,Disbursements!AO:AO)</f>
        <v>2000</v>
      </c>
      <c r="F122" s="365">
        <f t="shared" si="4"/>
        <v>2000</v>
      </c>
      <c r="G122" s="364">
        <f ca="1">SUMIF(Disbursements!$B:$B,Ageing!$B122,Disbursements!AQ:AQ)</f>
        <v>2000</v>
      </c>
      <c r="H122" s="364">
        <f ca="1">SUMIF(Disbursements!$B:$B,Ageing!$B122,Disbursements!AS:AS)</f>
        <v>1</v>
      </c>
      <c r="I122" s="364">
        <f t="shared" ca="1" si="5"/>
        <v>1</v>
      </c>
      <c r="J122" s="369">
        <f ca="1">SUMIFS(Disbursements!$AP:$AP,Disbursements!$B:$B,Ageing!$B122,Disbursements!$AT:$AT,Ageing!J$4)</f>
        <v>0</v>
      </c>
      <c r="K122" s="369">
        <f ca="1">SUMIFS(Disbursements!$AP:$AP,Disbursements!$B:$B,Ageing!$B122,Disbursements!$AT:$AT,Ageing!K$4)</f>
        <v>2000</v>
      </c>
      <c r="L122" s="369">
        <f ca="1">SUMIFS(Disbursements!$AP:$AP,Disbursements!$B:$B,Ageing!$B122,Disbursements!$AT:$AT,Ageing!L$4)</f>
        <v>0</v>
      </c>
      <c r="M122" s="369">
        <f ca="1">SUMIFS(Disbursements!$AP:$AP,Disbursements!$B:$B,Ageing!$B122,Disbursements!$AT:$AT,Ageing!M$4)</f>
        <v>0</v>
      </c>
      <c r="N122" s="369">
        <f ca="1">SUMIFS(Disbursements!$AP:$AP,Disbursements!$B:$B,Ageing!$B122,Disbursements!$AT:$AT,Ageing!N$4)</f>
        <v>0</v>
      </c>
      <c r="O122" s="369">
        <f ca="1">SUMIFS(Disbursements!$AP:$AP,Disbursements!$B:$B,Ageing!$B122,Disbursements!$AT:$AT,Ageing!O$4)</f>
        <v>0</v>
      </c>
    </row>
    <row r="123" spans="1:15" x14ac:dyDescent="0.2">
      <c r="A123" s="179" t="str">
        <f>IFERROR(VLOOKUP($B123,'Clients-Live'!$A:$C,3,30),"")</f>
        <v>STELLA KONGAI</v>
      </c>
      <c r="B123" s="480">
        <v>119</v>
      </c>
      <c r="C123" s="370" t="str">
        <f>IFERROR(INDEX(Disbursements!$J:$J,MATCH(Ageing!B123,Disbursements!$B:$B,0)),"No Loan")</f>
        <v>Jerome</v>
      </c>
      <c r="D123" s="364">
        <f>SUMIF(Disbursements!$B:$B,Ageing!$B123,Disbursements!AN:AN)</f>
        <v>0</v>
      </c>
      <c r="E123" s="364">
        <f>SUMIF(Disbursements!$B:$B,Ageing!$B123,Disbursements!AO:AO)</f>
        <v>4.6566128730773926E-10</v>
      </c>
      <c r="F123" s="365">
        <f t="shared" si="4"/>
        <v>4.6566128730773926E-10</v>
      </c>
      <c r="G123" s="364">
        <f ca="1">SUMIF(Disbursements!$B:$B,Ageing!$B123,Disbursements!AQ:AQ)</f>
        <v>4.6566128730773926E-10</v>
      </c>
      <c r="H123" s="364">
        <f ca="1">SUMIF(Disbursements!$B:$B,Ageing!$B123,Disbursements!AS:AS)</f>
        <v>2</v>
      </c>
      <c r="I123" s="364">
        <f t="shared" si="5"/>
        <v>0</v>
      </c>
      <c r="J123" s="369">
        <f>SUMIFS(Disbursements!$AP:$AP,Disbursements!$B:$B,Ageing!$B123,Disbursements!$AT:$AT,Ageing!J$4)</f>
        <v>0</v>
      </c>
      <c r="K123" s="369">
        <f>SUMIFS(Disbursements!$AP:$AP,Disbursements!$B:$B,Ageing!$B123,Disbursements!$AT:$AT,Ageing!K$4)</f>
        <v>0</v>
      </c>
      <c r="L123" s="369">
        <f>SUMIFS(Disbursements!$AP:$AP,Disbursements!$B:$B,Ageing!$B123,Disbursements!$AT:$AT,Ageing!L$4)</f>
        <v>0</v>
      </c>
      <c r="M123" s="369">
        <f>SUMIFS(Disbursements!$AP:$AP,Disbursements!$B:$B,Ageing!$B123,Disbursements!$AT:$AT,Ageing!M$4)</f>
        <v>0</v>
      </c>
      <c r="N123" s="369">
        <f>SUMIFS(Disbursements!$AP:$AP,Disbursements!$B:$B,Ageing!$B123,Disbursements!$AT:$AT,Ageing!N$4)</f>
        <v>0</v>
      </c>
      <c r="O123" s="369">
        <f>SUMIFS(Disbursements!$AP:$AP,Disbursements!$B:$B,Ageing!$B123,Disbursements!$AT:$AT,Ageing!O$4)</f>
        <v>0</v>
      </c>
    </row>
    <row r="124" spans="1:15" x14ac:dyDescent="0.2">
      <c r="A124" s="179" t="str">
        <f>IFERROR(VLOOKUP($B124,'Clients-Live'!$A:$C,3,30),"")</f>
        <v>ALORO SADIKI</v>
      </c>
      <c r="B124" s="480">
        <v>120</v>
      </c>
      <c r="C124" s="370" t="str">
        <f>IFERROR(INDEX(Disbursements!$J:$J,MATCH(Ageing!B124,Disbursements!$B:$B,0)),"No Loan")</f>
        <v>No Loan</v>
      </c>
      <c r="D124" s="364">
        <f>SUMIF(Disbursements!$B:$B,Ageing!$B124,Disbursements!AN:AN)</f>
        <v>0</v>
      </c>
      <c r="E124" s="364">
        <f>SUMIF(Disbursements!$B:$B,Ageing!$B124,Disbursements!AO:AO)</f>
        <v>0</v>
      </c>
      <c r="F124" s="365">
        <f t="shared" si="4"/>
        <v>0</v>
      </c>
      <c r="G124" s="364">
        <f>SUMIF(Disbursements!$B:$B,Ageing!$B124,Disbursements!AQ:AQ)</f>
        <v>0</v>
      </c>
      <c r="H124" s="364">
        <f>SUMIF(Disbursements!$B:$B,Ageing!$B124,Disbursements!AS:AS)</f>
        <v>0</v>
      </c>
      <c r="I124" s="364">
        <f t="shared" si="5"/>
        <v>0</v>
      </c>
      <c r="J124" s="369">
        <f>SUMIFS(Disbursements!$AP:$AP,Disbursements!$B:$B,Ageing!$B124,Disbursements!$AT:$AT,Ageing!J$4)</f>
        <v>0</v>
      </c>
      <c r="K124" s="369">
        <f>SUMIFS(Disbursements!$AP:$AP,Disbursements!$B:$B,Ageing!$B124,Disbursements!$AT:$AT,Ageing!K$4)</f>
        <v>0</v>
      </c>
      <c r="L124" s="369">
        <f>SUMIFS(Disbursements!$AP:$AP,Disbursements!$B:$B,Ageing!$B124,Disbursements!$AT:$AT,Ageing!L$4)</f>
        <v>0</v>
      </c>
      <c r="M124" s="369">
        <f>SUMIFS(Disbursements!$AP:$AP,Disbursements!$B:$B,Ageing!$B124,Disbursements!$AT:$AT,Ageing!M$4)</f>
        <v>0</v>
      </c>
      <c r="N124" s="369">
        <f>SUMIFS(Disbursements!$AP:$AP,Disbursements!$B:$B,Ageing!$B124,Disbursements!$AT:$AT,Ageing!N$4)</f>
        <v>0</v>
      </c>
      <c r="O124" s="369">
        <f>SUMIFS(Disbursements!$AP:$AP,Disbursements!$B:$B,Ageing!$B124,Disbursements!$AT:$AT,Ageing!O$4)</f>
        <v>0</v>
      </c>
    </row>
    <row r="125" spans="1:15" x14ac:dyDescent="0.2">
      <c r="A125" s="179" t="str">
        <f>IFERROR(VLOOKUP($B125,'Clients-Live'!$A:$C,3,30),"")</f>
        <v>AMAYO CHARLES</v>
      </c>
      <c r="B125" s="480">
        <v>121</v>
      </c>
      <c r="C125" s="370" t="str">
        <f>IFERROR(INDEX(Disbursements!$J:$J,MATCH(Ageing!B125,Disbursements!$B:$B,0)),"No Loan")</f>
        <v>Aroma</v>
      </c>
      <c r="D125" s="364">
        <f>SUMIF(Disbursements!$B:$B,Ageing!$B125,Disbursements!AN:AN)</f>
        <v>0</v>
      </c>
      <c r="E125" s="364">
        <f>SUMIF(Disbursements!$B:$B,Ageing!$B125,Disbursements!AO:AO)</f>
        <v>190000</v>
      </c>
      <c r="F125" s="365">
        <f t="shared" si="4"/>
        <v>190000</v>
      </c>
      <c r="G125" s="364">
        <f ca="1">SUMIF(Disbursements!$B:$B,Ageing!$B125,Disbursements!AQ:AQ)</f>
        <v>190000</v>
      </c>
      <c r="H125" s="364">
        <f ca="1">SUMIF(Disbursements!$B:$B,Ageing!$B125,Disbursements!AS:AS)</f>
        <v>24</v>
      </c>
      <c r="I125" s="364">
        <f t="shared" ca="1" si="5"/>
        <v>1</v>
      </c>
      <c r="J125" s="369">
        <f ca="1">SUMIFS(Disbursements!$AP:$AP,Disbursements!$B:$B,Ageing!$B125,Disbursements!$AT:$AT,Ageing!J$4)</f>
        <v>0</v>
      </c>
      <c r="K125" s="369">
        <f ca="1">SUMIFS(Disbursements!$AP:$AP,Disbursements!$B:$B,Ageing!$B125,Disbursements!$AT:$AT,Ageing!K$4)</f>
        <v>190000</v>
      </c>
      <c r="L125" s="369">
        <f ca="1">SUMIFS(Disbursements!$AP:$AP,Disbursements!$B:$B,Ageing!$B125,Disbursements!$AT:$AT,Ageing!L$4)</f>
        <v>0</v>
      </c>
      <c r="M125" s="369">
        <f ca="1">SUMIFS(Disbursements!$AP:$AP,Disbursements!$B:$B,Ageing!$B125,Disbursements!$AT:$AT,Ageing!M$4)</f>
        <v>0</v>
      </c>
      <c r="N125" s="369">
        <f ca="1">SUMIFS(Disbursements!$AP:$AP,Disbursements!$B:$B,Ageing!$B125,Disbursements!$AT:$AT,Ageing!N$4)</f>
        <v>0</v>
      </c>
      <c r="O125" s="369">
        <f ca="1">SUMIFS(Disbursements!$AP:$AP,Disbursements!$B:$B,Ageing!$B125,Disbursements!$AT:$AT,Ageing!O$4)</f>
        <v>0</v>
      </c>
    </row>
    <row r="126" spans="1:15" x14ac:dyDescent="0.2">
      <c r="A126" s="179" t="str">
        <f>IFERROR(VLOOKUP($B126,'Clients-Live'!$A:$C,3,30),"")</f>
        <v>NABWETEME MILLY</v>
      </c>
      <c r="B126" s="480">
        <v>122</v>
      </c>
      <c r="C126" s="370" t="str">
        <f>IFERROR(INDEX(Disbursements!$J:$J,MATCH(Ageing!B126,Disbursements!$B:$B,0)),"No Loan")</f>
        <v>No Loan</v>
      </c>
      <c r="D126" s="364">
        <f>SUMIF(Disbursements!$B:$B,Ageing!$B126,Disbursements!AN:AN)</f>
        <v>0</v>
      </c>
      <c r="E126" s="364">
        <f>SUMIF(Disbursements!$B:$B,Ageing!$B126,Disbursements!AO:AO)</f>
        <v>0</v>
      </c>
      <c r="F126" s="365">
        <f t="shared" si="4"/>
        <v>0</v>
      </c>
      <c r="G126" s="364">
        <f>SUMIF(Disbursements!$B:$B,Ageing!$B126,Disbursements!AQ:AQ)</f>
        <v>0</v>
      </c>
      <c r="H126" s="364">
        <f>SUMIF(Disbursements!$B:$B,Ageing!$B126,Disbursements!AS:AS)</f>
        <v>0</v>
      </c>
      <c r="I126" s="364">
        <f t="shared" si="5"/>
        <v>0</v>
      </c>
      <c r="J126" s="369">
        <f>SUMIFS(Disbursements!$AP:$AP,Disbursements!$B:$B,Ageing!$B126,Disbursements!$AT:$AT,Ageing!J$4)</f>
        <v>0</v>
      </c>
      <c r="K126" s="369">
        <f>SUMIFS(Disbursements!$AP:$AP,Disbursements!$B:$B,Ageing!$B126,Disbursements!$AT:$AT,Ageing!K$4)</f>
        <v>0</v>
      </c>
      <c r="L126" s="369">
        <f>SUMIFS(Disbursements!$AP:$AP,Disbursements!$B:$B,Ageing!$B126,Disbursements!$AT:$AT,Ageing!L$4)</f>
        <v>0</v>
      </c>
      <c r="M126" s="369">
        <f>SUMIFS(Disbursements!$AP:$AP,Disbursements!$B:$B,Ageing!$B126,Disbursements!$AT:$AT,Ageing!M$4)</f>
        <v>0</v>
      </c>
      <c r="N126" s="369">
        <f>SUMIFS(Disbursements!$AP:$AP,Disbursements!$B:$B,Ageing!$B126,Disbursements!$AT:$AT,Ageing!N$4)</f>
        <v>0</v>
      </c>
      <c r="O126" s="369">
        <f>SUMIFS(Disbursements!$AP:$AP,Disbursements!$B:$B,Ageing!$B126,Disbursements!$AT:$AT,Ageing!O$4)</f>
        <v>0</v>
      </c>
    </row>
    <row r="127" spans="1:15" x14ac:dyDescent="0.2">
      <c r="A127" s="179" t="str">
        <f>IFERROR(VLOOKUP($B127,'Clients-Live'!$A:$C,3,30),"")</f>
        <v>INZIKURU JANET</v>
      </c>
      <c r="B127" s="480">
        <v>123</v>
      </c>
      <c r="C127" s="370" t="str">
        <f>IFERROR(INDEX(Disbursements!$J:$J,MATCH(Ageing!B127,Disbursements!$B:$B,0)),"No Loan")</f>
        <v>Aroma</v>
      </c>
      <c r="D127" s="364">
        <f>SUMIF(Disbursements!$B:$B,Ageing!$B127,Disbursements!AN:AN)</f>
        <v>5000</v>
      </c>
      <c r="E127" s="364">
        <f>SUMIF(Disbursements!$B:$B,Ageing!$B127,Disbursements!AO:AO)</f>
        <v>205000</v>
      </c>
      <c r="F127" s="365">
        <f t="shared" si="4"/>
        <v>210000</v>
      </c>
      <c r="G127" s="364">
        <f ca="1">SUMIF(Disbursements!$B:$B,Ageing!$B127,Disbursements!AQ:AQ)</f>
        <v>210000</v>
      </c>
      <c r="H127" s="364">
        <f ca="1">SUMIF(Disbursements!$B:$B,Ageing!$B127,Disbursements!AS:AS)</f>
        <v>42</v>
      </c>
      <c r="I127" s="364">
        <f t="shared" ca="1" si="5"/>
        <v>1</v>
      </c>
      <c r="J127" s="369">
        <f ca="1">SUMIFS(Disbursements!$AP:$AP,Disbursements!$B:$B,Ageing!$B127,Disbursements!$AT:$AT,Ageing!J$4)</f>
        <v>0</v>
      </c>
      <c r="K127" s="369">
        <f ca="1">SUMIFS(Disbursements!$AP:$AP,Disbursements!$B:$B,Ageing!$B127,Disbursements!$AT:$AT,Ageing!K$4)</f>
        <v>0</v>
      </c>
      <c r="L127" s="369">
        <f ca="1">SUMIFS(Disbursements!$AP:$AP,Disbursements!$B:$B,Ageing!$B127,Disbursements!$AT:$AT,Ageing!L$4)</f>
        <v>210000</v>
      </c>
      <c r="M127" s="369">
        <f ca="1">SUMIFS(Disbursements!$AP:$AP,Disbursements!$B:$B,Ageing!$B127,Disbursements!$AT:$AT,Ageing!M$4)</f>
        <v>0</v>
      </c>
      <c r="N127" s="369">
        <f ca="1">SUMIFS(Disbursements!$AP:$AP,Disbursements!$B:$B,Ageing!$B127,Disbursements!$AT:$AT,Ageing!N$4)</f>
        <v>0</v>
      </c>
      <c r="O127" s="369">
        <f ca="1">SUMIFS(Disbursements!$AP:$AP,Disbursements!$B:$B,Ageing!$B127,Disbursements!$AT:$AT,Ageing!O$4)</f>
        <v>0</v>
      </c>
    </row>
    <row r="128" spans="1:15" x14ac:dyDescent="0.2">
      <c r="A128" s="179" t="str">
        <f>IFERROR(VLOOKUP($B128,'Clients-Live'!$A:$C,3,30),"")</f>
        <v>TIKO ZABIBU</v>
      </c>
      <c r="B128" s="480">
        <v>124</v>
      </c>
      <c r="C128" s="370" t="str">
        <f>IFERROR(INDEX(Disbursements!$J:$J,MATCH(Ageing!B128,Disbursements!$B:$B,0)),"No Loan")</f>
        <v>Aroma</v>
      </c>
      <c r="D128" s="364">
        <f>SUMIF(Disbursements!$B:$B,Ageing!$B128,Disbursements!AN:AN)</f>
        <v>184000</v>
      </c>
      <c r="E128" s="364">
        <f>SUMIF(Disbursements!$B:$B,Ageing!$B128,Disbursements!AO:AO)</f>
        <v>626000</v>
      </c>
      <c r="F128" s="365">
        <f t="shared" si="4"/>
        <v>810000</v>
      </c>
      <c r="G128" s="364">
        <f ca="1">SUMIF(Disbursements!$B:$B,Ageing!$B128,Disbursements!AQ:AQ)</f>
        <v>810000</v>
      </c>
      <c r="H128" s="364">
        <f ca="1">SUMIF(Disbursements!$B:$B,Ageing!$B128,Disbursements!AS:AS)</f>
        <v>131</v>
      </c>
      <c r="I128" s="364">
        <f t="shared" ca="1" si="5"/>
        <v>1</v>
      </c>
      <c r="J128" s="369">
        <f ca="1">SUMIFS(Disbursements!$AP:$AP,Disbursements!$B:$B,Ageing!$B128,Disbursements!$AT:$AT,Ageing!J$4)</f>
        <v>0</v>
      </c>
      <c r="K128" s="369">
        <f ca="1">SUMIFS(Disbursements!$AP:$AP,Disbursements!$B:$B,Ageing!$B128,Disbursements!$AT:$AT,Ageing!K$4)</f>
        <v>0</v>
      </c>
      <c r="L128" s="369">
        <f ca="1">SUMIFS(Disbursements!$AP:$AP,Disbursements!$B:$B,Ageing!$B128,Disbursements!$AT:$AT,Ageing!L$4)</f>
        <v>0</v>
      </c>
      <c r="M128" s="369">
        <f ca="1">SUMIFS(Disbursements!$AP:$AP,Disbursements!$B:$B,Ageing!$B128,Disbursements!$AT:$AT,Ageing!M$4)</f>
        <v>0</v>
      </c>
      <c r="N128" s="369">
        <f ca="1">SUMIFS(Disbursements!$AP:$AP,Disbursements!$B:$B,Ageing!$B128,Disbursements!$AT:$AT,Ageing!N$4)</f>
        <v>810000</v>
      </c>
      <c r="O128" s="369">
        <f ca="1">SUMIFS(Disbursements!$AP:$AP,Disbursements!$B:$B,Ageing!$B128,Disbursements!$AT:$AT,Ageing!O$4)</f>
        <v>0</v>
      </c>
    </row>
    <row r="129" spans="1:15" x14ac:dyDescent="0.2">
      <c r="A129" s="179" t="str">
        <f>IFERROR(VLOOKUP($B129,'Clients-Live'!$A:$C,3,30),"")</f>
        <v>SUNDAY SCOVIA</v>
      </c>
      <c r="B129" s="480">
        <v>125</v>
      </c>
      <c r="C129" s="370" t="str">
        <f>IFERROR(INDEX(Disbursements!$J:$J,MATCH(Ageing!B129,Disbursements!$B:$B,0)),"No Loan")</f>
        <v>Aroma</v>
      </c>
      <c r="D129" s="364">
        <f>SUMIF(Disbursements!$B:$B,Ageing!$B129,Disbursements!AN:AN)</f>
        <v>0</v>
      </c>
      <c r="E129" s="364">
        <f>SUMIF(Disbursements!$B:$B,Ageing!$B129,Disbursements!AO:AO)</f>
        <v>0</v>
      </c>
      <c r="F129" s="365">
        <f t="shared" si="4"/>
        <v>0</v>
      </c>
      <c r="G129" s="364">
        <f ca="1">SUMIF(Disbursements!$B:$B,Ageing!$B129,Disbursements!AQ:AQ)</f>
        <v>0</v>
      </c>
      <c r="H129" s="364">
        <f ca="1">SUMIF(Disbursements!$B:$B,Ageing!$B129,Disbursements!AS:AS)</f>
        <v>0</v>
      </c>
      <c r="I129" s="364">
        <f t="shared" si="5"/>
        <v>0</v>
      </c>
      <c r="J129" s="369">
        <f>SUMIFS(Disbursements!$AP:$AP,Disbursements!$B:$B,Ageing!$B129,Disbursements!$AT:$AT,Ageing!J$4)</f>
        <v>0</v>
      </c>
      <c r="K129" s="369">
        <f>SUMIFS(Disbursements!$AP:$AP,Disbursements!$B:$B,Ageing!$B129,Disbursements!$AT:$AT,Ageing!K$4)</f>
        <v>0</v>
      </c>
      <c r="L129" s="369">
        <f>SUMIFS(Disbursements!$AP:$AP,Disbursements!$B:$B,Ageing!$B129,Disbursements!$AT:$AT,Ageing!L$4)</f>
        <v>0</v>
      </c>
      <c r="M129" s="369">
        <f>SUMIFS(Disbursements!$AP:$AP,Disbursements!$B:$B,Ageing!$B129,Disbursements!$AT:$AT,Ageing!M$4)</f>
        <v>0</v>
      </c>
      <c r="N129" s="369">
        <f>SUMIFS(Disbursements!$AP:$AP,Disbursements!$B:$B,Ageing!$B129,Disbursements!$AT:$AT,Ageing!N$4)</f>
        <v>0</v>
      </c>
      <c r="O129" s="369">
        <f>SUMIFS(Disbursements!$AP:$AP,Disbursements!$B:$B,Ageing!$B129,Disbursements!$AT:$AT,Ageing!O$4)</f>
        <v>0</v>
      </c>
    </row>
    <row r="130" spans="1:15" x14ac:dyDescent="0.2">
      <c r="A130" s="179" t="str">
        <f>IFERROR(VLOOKUP($B130,'Clients-Live'!$A:$C,3,30),"")</f>
        <v>OGWAL STEPHEN GERALD</v>
      </c>
      <c r="B130" s="480">
        <v>126</v>
      </c>
      <c r="C130" s="370" t="str">
        <f>IFERROR(INDEX(Disbursements!$J:$J,MATCH(Ageing!B130,Disbursements!$B:$B,0)),"No Loan")</f>
        <v>Jerome</v>
      </c>
      <c r="D130" s="364">
        <f>SUMIF(Disbursements!$B:$B,Ageing!$B130,Disbursements!AN:AN)</f>
        <v>113000</v>
      </c>
      <c r="E130" s="364">
        <f>SUMIF(Disbursements!$B:$B,Ageing!$B130,Disbursements!AO:AO)</f>
        <v>504499.99999999977</v>
      </c>
      <c r="F130" s="365">
        <f t="shared" si="4"/>
        <v>617499.99999999977</v>
      </c>
      <c r="G130" s="364">
        <f ca="1">SUMIF(Disbursements!$B:$B,Ageing!$B130,Disbursements!AQ:AQ)</f>
        <v>617499.99999999977</v>
      </c>
      <c r="H130" s="364">
        <f ca="1">SUMIF(Disbursements!$B:$B,Ageing!$B130,Disbursements!AS:AS)</f>
        <v>32</v>
      </c>
      <c r="I130" s="364">
        <f t="shared" ca="1" si="5"/>
        <v>2</v>
      </c>
      <c r="J130" s="369">
        <f ca="1">SUMIFS(Disbursements!$AP:$AP,Disbursements!$B:$B,Ageing!$B130,Disbursements!$AT:$AT,Ageing!J$4)</f>
        <v>0</v>
      </c>
      <c r="K130" s="369">
        <f ca="1">SUMIFS(Disbursements!$AP:$AP,Disbursements!$B:$B,Ageing!$B130,Disbursements!$AT:$AT,Ageing!K$4)</f>
        <v>1499.9999999997672</v>
      </c>
      <c r="L130" s="369">
        <f ca="1">SUMIFS(Disbursements!$AP:$AP,Disbursements!$B:$B,Ageing!$B130,Disbursements!$AT:$AT,Ageing!L$4)</f>
        <v>616000</v>
      </c>
      <c r="M130" s="369">
        <f ca="1">SUMIFS(Disbursements!$AP:$AP,Disbursements!$B:$B,Ageing!$B130,Disbursements!$AT:$AT,Ageing!M$4)</f>
        <v>0</v>
      </c>
      <c r="N130" s="369">
        <f ca="1">SUMIFS(Disbursements!$AP:$AP,Disbursements!$B:$B,Ageing!$B130,Disbursements!$AT:$AT,Ageing!N$4)</f>
        <v>0</v>
      </c>
      <c r="O130" s="369">
        <f ca="1">SUMIFS(Disbursements!$AP:$AP,Disbursements!$B:$B,Ageing!$B130,Disbursements!$AT:$AT,Ageing!O$4)</f>
        <v>0</v>
      </c>
    </row>
    <row r="131" spans="1:15" x14ac:dyDescent="0.2">
      <c r="A131" s="179" t="str">
        <f>IFERROR(VLOOKUP($B131,'Clients-Live'!$A:$C,3,30),"")</f>
        <v>TIKO RUKIA</v>
      </c>
      <c r="B131" s="480">
        <v>127</v>
      </c>
      <c r="C131" s="370" t="str">
        <f>IFERROR(INDEX(Disbursements!$J:$J,MATCH(Ageing!B131,Disbursements!$B:$B,0)),"No Loan")</f>
        <v>Aroma</v>
      </c>
      <c r="D131" s="364">
        <f>SUMIF(Disbursements!$B:$B,Ageing!$B131,Disbursements!AN:AN)</f>
        <v>0</v>
      </c>
      <c r="E131" s="364">
        <f>SUMIF(Disbursements!$B:$B,Ageing!$B131,Disbursements!AO:AO)</f>
        <v>82600</v>
      </c>
      <c r="F131" s="365">
        <f t="shared" si="4"/>
        <v>82600</v>
      </c>
      <c r="G131" s="364">
        <f ca="1">SUMIF(Disbursements!$B:$B,Ageing!$B131,Disbursements!AQ:AQ)</f>
        <v>82600</v>
      </c>
      <c r="H131" s="364">
        <f ca="1">SUMIF(Disbursements!$B:$B,Ageing!$B131,Disbursements!AS:AS)</f>
        <v>17</v>
      </c>
      <c r="I131" s="364">
        <f t="shared" ca="1" si="5"/>
        <v>1</v>
      </c>
      <c r="J131" s="369">
        <f ca="1">SUMIFS(Disbursements!$AP:$AP,Disbursements!$B:$B,Ageing!$B131,Disbursements!$AT:$AT,Ageing!J$4)</f>
        <v>0</v>
      </c>
      <c r="K131" s="369">
        <f ca="1">SUMIFS(Disbursements!$AP:$AP,Disbursements!$B:$B,Ageing!$B131,Disbursements!$AT:$AT,Ageing!K$4)</f>
        <v>82600</v>
      </c>
      <c r="L131" s="369">
        <f ca="1">SUMIFS(Disbursements!$AP:$AP,Disbursements!$B:$B,Ageing!$B131,Disbursements!$AT:$AT,Ageing!L$4)</f>
        <v>0</v>
      </c>
      <c r="M131" s="369">
        <f ca="1">SUMIFS(Disbursements!$AP:$AP,Disbursements!$B:$B,Ageing!$B131,Disbursements!$AT:$AT,Ageing!M$4)</f>
        <v>0</v>
      </c>
      <c r="N131" s="369">
        <f ca="1">SUMIFS(Disbursements!$AP:$AP,Disbursements!$B:$B,Ageing!$B131,Disbursements!$AT:$AT,Ageing!N$4)</f>
        <v>0</v>
      </c>
      <c r="O131" s="369">
        <f ca="1">SUMIFS(Disbursements!$AP:$AP,Disbursements!$B:$B,Ageing!$B131,Disbursements!$AT:$AT,Ageing!O$4)</f>
        <v>0</v>
      </c>
    </row>
    <row r="132" spans="1:15" x14ac:dyDescent="0.2">
      <c r="A132" s="179" t="str">
        <f>IFERROR(VLOOKUP($B132,'Clients-Live'!$A:$C,3,30),"")</f>
        <v>AJONYE BETTY</v>
      </c>
      <c r="B132" s="480">
        <v>128</v>
      </c>
      <c r="C132" s="370" t="str">
        <f>IFERROR(INDEX(Disbursements!$J:$J,MATCH(Ageing!B132,Disbursements!$B:$B,0)),"No Loan")</f>
        <v>Jerome</v>
      </c>
      <c r="D132" s="364">
        <f>SUMIF(Disbursements!$B:$B,Ageing!$B132,Disbursements!AN:AN)</f>
        <v>16666.666666666672</v>
      </c>
      <c r="E132" s="364">
        <f>SUMIF(Disbursements!$B:$B,Ageing!$B132,Disbursements!AO:AO)</f>
        <v>63333.333333333314</v>
      </c>
      <c r="F132" s="365">
        <f t="shared" si="4"/>
        <v>79999.999999999985</v>
      </c>
      <c r="G132" s="364">
        <f ca="1">SUMIF(Disbursements!$B:$B,Ageing!$B132,Disbursements!AQ:AQ)</f>
        <v>79999.999999999985</v>
      </c>
      <c r="H132" s="364">
        <f ca="1">SUMIF(Disbursements!$B:$B,Ageing!$B132,Disbursements!AS:AS)</f>
        <v>23</v>
      </c>
      <c r="I132" s="364">
        <f t="shared" ca="1" si="5"/>
        <v>1</v>
      </c>
      <c r="J132" s="369">
        <f ca="1">SUMIFS(Disbursements!$AP:$AP,Disbursements!$B:$B,Ageing!$B132,Disbursements!$AT:$AT,Ageing!J$4)</f>
        <v>0</v>
      </c>
      <c r="K132" s="369">
        <f ca="1">SUMIFS(Disbursements!$AP:$AP,Disbursements!$B:$B,Ageing!$B132,Disbursements!$AT:$AT,Ageing!K$4)</f>
        <v>79999.999999999985</v>
      </c>
      <c r="L132" s="369">
        <f ca="1">SUMIFS(Disbursements!$AP:$AP,Disbursements!$B:$B,Ageing!$B132,Disbursements!$AT:$AT,Ageing!L$4)</f>
        <v>0</v>
      </c>
      <c r="M132" s="369">
        <f ca="1">SUMIFS(Disbursements!$AP:$AP,Disbursements!$B:$B,Ageing!$B132,Disbursements!$AT:$AT,Ageing!M$4)</f>
        <v>0</v>
      </c>
      <c r="N132" s="369">
        <f ca="1">SUMIFS(Disbursements!$AP:$AP,Disbursements!$B:$B,Ageing!$B132,Disbursements!$AT:$AT,Ageing!N$4)</f>
        <v>0</v>
      </c>
      <c r="O132" s="369">
        <f ca="1">SUMIFS(Disbursements!$AP:$AP,Disbursements!$B:$B,Ageing!$B132,Disbursements!$AT:$AT,Ageing!O$4)</f>
        <v>0</v>
      </c>
    </row>
    <row r="133" spans="1:15" x14ac:dyDescent="0.2">
      <c r="A133" s="179" t="str">
        <f>IFERROR(VLOOKUP($B133,'Clients-Live'!$A:$C,3,30),"")</f>
        <v>BAKO ASINA</v>
      </c>
      <c r="B133" s="480">
        <v>129</v>
      </c>
      <c r="C133" s="370" t="str">
        <f>IFERROR(INDEX(Disbursements!$J:$J,MATCH(Ageing!B133,Disbursements!$B:$B,0)),"No Loan")</f>
        <v>Aroma</v>
      </c>
      <c r="D133" s="364">
        <f>SUMIF(Disbursements!$B:$B,Ageing!$B133,Disbursements!AN:AN)</f>
        <v>390000</v>
      </c>
      <c r="E133" s="364">
        <f>SUMIF(Disbursements!$B:$B,Ageing!$B133,Disbursements!AO:AO)</f>
        <v>2195000</v>
      </c>
      <c r="F133" s="365">
        <f t="shared" si="4"/>
        <v>2585000</v>
      </c>
      <c r="G133" s="364">
        <f ca="1">SUMIF(Disbursements!$B:$B,Ageing!$B133,Disbursements!AQ:AQ)</f>
        <v>2585000</v>
      </c>
      <c r="H133" s="364">
        <f ca="1">SUMIF(Disbursements!$B:$B,Ageing!$B133,Disbursements!AS:AS)</f>
        <v>65</v>
      </c>
      <c r="I133" s="364">
        <f t="shared" ca="1" si="5"/>
        <v>1</v>
      </c>
      <c r="J133" s="369">
        <f ca="1">SUMIFS(Disbursements!$AP:$AP,Disbursements!$B:$B,Ageing!$B133,Disbursements!$AT:$AT,Ageing!J$4)</f>
        <v>0</v>
      </c>
      <c r="K133" s="369">
        <f ca="1">SUMIFS(Disbursements!$AP:$AP,Disbursements!$B:$B,Ageing!$B133,Disbursements!$AT:$AT,Ageing!K$4)</f>
        <v>0</v>
      </c>
      <c r="L133" s="369">
        <f ca="1">SUMIFS(Disbursements!$AP:$AP,Disbursements!$B:$B,Ageing!$B133,Disbursements!$AT:$AT,Ageing!L$4)</f>
        <v>0</v>
      </c>
      <c r="M133" s="369">
        <f ca="1">SUMIFS(Disbursements!$AP:$AP,Disbursements!$B:$B,Ageing!$B133,Disbursements!$AT:$AT,Ageing!M$4)</f>
        <v>2585000</v>
      </c>
      <c r="N133" s="369">
        <f ca="1">SUMIFS(Disbursements!$AP:$AP,Disbursements!$B:$B,Ageing!$B133,Disbursements!$AT:$AT,Ageing!N$4)</f>
        <v>0</v>
      </c>
      <c r="O133" s="369">
        <f ca="1">SUMIFS(Disbursements!$AP:$AP,Disbursements!$B:$B,Ageing!$B133,Disbursements!$AT:$AT,Ageing!O$4)</f>
        <v>0</v>
      </c>
    </row>
    <row r="134" spans="1:15" x14ac:dyDescent="0.2">
      <c r="A134" s="179" t="str">
        <f>IFERROR(VLOOKUP($B134,'Clients-Live'!$A:$C,3,30),"")</f>
        <v>AYILE JOHN MAX</v>
      </c>
      <c r="B134" s="480">
        <v>130</v>
      </c>
      <c r="C134" s="370" t="str">
        <f>IFERROR(INDEX(Disbursements!$J:$J,MATCH(Ageing!B134,Disbursements!$B:$B,0)),"No Loan")</f>
        <v>Kana</v>
      </c>
      <c r="D134" s="364">
        <f>SUMIF(Disbursements!$B:$B,Ageing!$B134,Disbursements!AN:AN)</f>
        <v>60000</v>
      </c>
      <c r="E134" s="364">
        <f>SUMIF(Disbursements!$B:$B,Ageing!$B134,Disbursements!AO:AO)</f>
        <v>125000</v>
      </c>
      <c r="F134" s="365">
        <f t="shared" si="4"/>
        <v>185000</v>
      </c>
      <c r="G134" s="364">
        <f ca="1">SUMIF(Disbursements!$B:$B,Ageing!$B134,Disbursements!AQ:AQ)</f>
        <v>185000</v>
      </c>
      <c r="H134" s="364">
        <f ca="1">SUMIF(Disbursements!$B:$B,Ageing!$B134,Disbursements!AS:AS)</f>
        <v>21</v>
      </c>
      <c r="I134" s="364">
        <f t="shared" ca="1" si="5"/>
        <v>1</v>
      </c>
      <c r="J134" s="369">
        <f ca="1">SUMIFS(Disbursements!$AP:$AP,Disbursements!$B:$B,Ageing!$B134,Disbursements!$AT:$AT,Ageing!J$4)</f>
        <v>0</v>
      </c>
      <c r="K134" s="369">
        <f ca="1">SUMIFS(Disbursements!$AP:$AP,Disbursements!$B:$B,Ageing!$B134,Disbursements!$AT:$AT,Ageing!K$4)</f>
        <v>185000</v>
      </c>
      <c r="L134" s="369">
        <f ca="1">SUMIFS(Disbursements!$AP:$AP,Disbursements!$B:$B,Ageing!$B134,Disbursements!$AT:$AT,Ageing!L$4)</f>
        <v>0</v>
      </c>
      <c r="M134" s="369">
        <f ca="1">SUMIFS(Disbursements!$AP:$AP,Disbursements!$B:$B,Ageing!$B134,Disbursements!$AT:$AT,Ageing!M$4)</f>
        <v>0</v>
      </c>
      <c r="N134" s="369">
        <f ca="1">SUMIFS(Disbursements!$AP:$AP,Disbursements!$B:$B,Ageing!$B134,Disbursements!$AT:$AT,Ageing!N$4)</f>
        <v>0</v>
      </c>
      <c r="O134" s="369">
        <f ca="1">SUMIFS(Disbursements!$AP:$AP,Disbursements!$B:$B,Ageing!$B134,Disbursements!$AT:$AT,Ageing!O$4)</f>
        <v>0</v>
      </c>
    </row>
    <row r="135" spans="1:15" x14ac:dyDescent="0.2">
      <c r="A135" s="179" t="str">
        <f>IFERROR(VLOOKUP($B135,'Clients-Live'!$A:$C,3,30),"")</f>
        <v>CANDIRU ZAKIA</v>
      </c>
      <c r="B135" s="480">
        <v>131</v>
      </c>
      <c r="C135" s="370" t="str">
        <f>IFERROR(INDEX(Disbursements!$J:$J,MATCH(Ageing!B135,Disbursements!$B:$B,0)),"No Loan")</f>
        <v>Kana</v>
      </c>
      <c r="D135" s="364">
        <f>SUMIF(Disbursements!$B:$B,Ageing!$B135,Disbursements!AN:AN)</f>
        <v>0</v>
      </c>
      <c r="E135" s="364">
        <f>SUMIF(Disbursements!$B:$B,Ageing!$B135,Disbursements!AO:AO)</f>
        <v>0</v>
      </c>
      <c r="F135" s="365">
        <f t="shared" ref="F135:F198" si="6">SUM(D135:E135)</f>
        <v>0</v>
      </c>
      <c r="G135" s="364">
        <f ca="1">SUMIF(Disbursements!$B:$B,Ageing!$B135,Disbursements!AQ:AQ)</f>
        <v>0</v>
      </c>
      <c r="H135" s="364">
        <f ca="1">SUMIF(Disbursements!$B:$B,Ageing!$B135,Disbursements!AS:AS)</f>
        <v>0</v>
      </c>
      <c r="I135" s="364">
        <f t="shared" ref="I135:I198" si="7">COUNTIF(J135:O135,"&gt;0")</f>
        <v>0</v>
      </c>
      <c r="J135" s="369">
        <f>SUMIFS(Disbursements!$AP:$AP,Disbursements!$B:$B,Ageing!$B135,Disbursements!$AT:$AT,Ageing!J$4)</f>
        <v>0</v>
      </c>
      <c r="K135" s="369">
        <f>SUMIFS(Disbursements!$AP:$AP,Disbursements!$B:$B,Ageing!$B135,Disbursements!$AT:$AT,Ageing!K$4)</f>
        <v>0</v>
      </c>
      <c r="L135" s="369">
        <f>SUMIFS(Disbursements!$AP:$AP,Disbursements!$B:$B,Ageing!$B135,Disbursements!$AT:$AT,Ageing!L$4)</f>
        <v>0</v>
      </c>
      <c r="M135" s="369">
        <f>SUMIFS(Disbursements!$AP:$AP,Disbursements!$B:$B,Ageing!$B135,Disbursements!$AT:$AT,Ageing!M$4)</f>
        <v>0</v>
      </c>
      <c r="N135" s="369">
        <f>SUMIFS(Disbursements!$AP:$AP,Disbursements!$B:$B,Ageing!$B135,Disbursements!$AT:$AT,Ageing!N$4)</f>
        <v>0</v>
      </c>
      <c r="O135" s="369">
        <f>SUMIFS(Disbursements!$AP:$AP,Disbursements!$B:$B,Ageing!$B135,Disbursements!$AT:$AT,Ageing!O$4)</f>
        <v>0</v>
      </c>
    </row>
    <row r="136" spans="1:15" x14ac:dyDescent="0.2">
      <c r="A136" s="179" t="str">
        <f>IFERROR(VLOOKUP($B136,'Clients-Live'!$A:$C,3,30),"")</f>
        <v>MANIYO JOICE</v>
      </c>
      <c r="B136" s="480">
        <v>132</v>
      </c>
      <c r="C136" s="370" t="str">
        <f>IFERROR(INDEX(Disbursements!$J:$J,MATCH(Ageing!B136,Disbursements!$B:$B,0)),"No Loan")</f>
        <v>Aroma</v>
      </c>
      <c r="D136" s="364">
        <f>SUMIF(Disbursements!$B:$B,Ageing!$B136,Disbursements!AN:AN)</f>
        <v>0</v>
      </c>
      <c r="E136" s="364">
        <f>SUMIF(Disbursements!$B:$B,Ageing!$B136,Disbursements!AO:AO)</f>
        <v>0</v>
      </c>
      <c r="F136" s="365">
        <f t="shared" si="6"/>
        <v>0</v>
      </c>
      <c r="G136" s="364">
        <f ca="1">SUMIF(Disbursements!$B:$B,Ageing!$B136,Disbursements!AQ:AQ)</f>
        <v>0</v>
      </c>
      <c r="H136" s="364">
        <f ca="1">SUMIF(Disbursements!$B:$B,Ageing!$B136,Disbursements!AS:AS)</f>
        <v>0</v>
      </c>
      <c r="I136" s="364">
        <f t="shared" si="7"/>
        <v>0</v>
      </c>
      <c r="J136" s="369">
        <f>SUMIFS(Disbursements!$AP:$AP,Disbursements!$B:$B,Ageing!$B136,Disbursements!$AT:$AT,Ageing!J$4)</f>
        <v>0</v>
      </c>
      <c r="K136" s="369">
        <f>SUMIFS(Disbursements!$AP:$AP,Disbursements!$B:$B,Ageing!$B136,Disbursements!$AT:$AT,Ageing!K$4)</f>
        <v>0</v>
      </c>
      <c r="L136" s="369">
        <f>SUMIFS(Disbursements!$AP:$AP,Disbursements!$B:$B,Ageing!$B136,Disbursements!$AT:$AT,Ageing!L$4)</f>
        <v>0</v>
      </c>
      <c r="M136" s="369">
        <f>SUMIFS(Disbursements!$AP:$AP,Disbursements!$B:$B,Ageing!$B136,Disbursements!$AT:$AT,Ageing!M$4)</f>
        <v>0</v>
      </c>
      <c r="N136" s="369">
        <f>SUMIFS(Disbursements!$AP:$AP,Disbursements!$B:$B,Ageing!$B136,Disbursements!$AT:$AT,Ageing!N$4)</f>
        <v>0</v>
      </c>
      <c r="O136" s="369">
        <f>SUMIFS(Disbursements!$AP:$AP,Disbursements!$B:$B,Ageing!$B136,Disbursements!$AT:$AT,Ageing!O$4)</f>
        <v>0</v>
      </c>
    </row>
    <row r="137" spans="1:15" x14ac:dyDescent="0.2">
      <c r="A137" s="179" t="str">
        <f>IFERROR(VLOOKUP($B137,'Clients-Live'!$A:$C,3,30),"")</f>
        <v>JABE MARY</v>
      </c>
      <c r="B137" s="480">
        <v>133</v>
      </c>
      <c r="C137" s="370" t="str">
        <f>IFERROR(INDEX(Disbursements!$J:$J,MATCH(Ageing!B137,Disbursements!$B:$B,0)),"No Loan")</f>
        <v>Jerome</v>
      </c>
      <c r="D137" s="364">
        <f>SUMIF(Disbursements!$B:$B,Ageing!$B137,Disbursements!AN:AN)</f>
        <v>0</v>
      </c>
      <c r="E137" s="364">
        <f>SUMIF(Disbursements!$B:$B,Ageing!$B137,Disbursements!AO:AO)</f>
        <v>0</v>
      </c>
      <c r="F137" s="365">
        <f t="shared" si="6"/>
        <v>0</v>
      </c>
      <c r="G137" s="364">
        <f ca="1">SUMIF(Disbursements!$B:$B,Ageing!$B137,Disbursements!AQ:AQ)</f>
        <v>0</v>
      </c>
      <c r="H137" s="364">
        <f ca="1">SUMIF(Disbursements!$B:$B,Ageing!$B137,Disbursements!AS:AS)</f>
        <v>0</v>
      </c>
      <c r="I137" s="364">
        <f t="shared" si="7"/>
        <v>0</v>
      </c>
      <c r="J137" s="369">
        <f>SUMIFS(Disbursements!$AP:$AP,Disbursements!$B:$B,Ageing!$B137,Disbursements!$AT:$AT,Ageing!J$4)</f>
        <v>0</v>
      </c>
      <c r="K137" s="369">
        <f>SUMIFS(Disbursements!$AP:$AP,Disbursements!$B:$B,Ageing!$B137,Disbursements!$AT:$AT,Ageing!K$4)</f>
        <v>0</v>
      </c>
      <c r="L137" s="369">
        <f>SUMIFS(Disbursements!$AP:$AP,Disbursements!$B:$B,Ageing!$B137,Disbursements!$AT:$AT,Ageing!L$4)</f>
        <v>0</v>
      </c>
      <c r="M137" s="369">
        <f>SUMIFS(Disbursements!$AP:$AP,Disbursements!$B:$B,Ageing!$B137,Disbursements!$AT:$AT,Ageing!M$4)</f>
        <v>0</v>
      </c>
      <c r="N137" s="369">
        <f>SUMIFS(Disbursements!$AP:$AP,Disbursements!$B:$B,Ageing!$B137,Disbursements!$AT:$AT,Ageing!N$4)</f>
        <v>0</v>
      </c>
      <c r="O137" s="369">
        <f>SUMIFS(Disbursements!$AP:$AP,Disbursements!$B:$B,Ageing!$B137,Disbursements!$AT:$AT,Ageing!O$4)</f>
        <v>0</v>
      </c>
    </row>
    <row r="138" spans="1:15" x14ac:dyDescent="0.2">
      <c r="A138" s="179" t="str">
        <f>IFERROR(VLOOKUP($B138,'Clients-Live'!$A:$C,3,30),"")</f>
        <v>TABU NATALIYA</v>
      </c>
      <c r="B138" s="480">
        <v>134</v>
      </c>
      <c r="C138" s="370" t="str">
        <f>IFERROR(INDEX(Disbursements!$J:$J,MATCH(Ageing!B138,Disbursements!$B:$B,0)),"No Loan")</f>
        <v>Jerome</v>
      </c>
      <c r="D138" s="364">
        <f>SUMIF(Disbursements!$B:$B,Ageing!$B138,Disbursements!AN:AN)</f>
        <v>0</v>
      </c>
      <c r="E138" s="364">
        <f>SUMIF(Disbursements!$B:$B,Ageing!$B138,Disbursements!AO:AO)</f>
        <v>200000</v>
      </c>
      <c r="F138" s="365">
        <f t="shared" si="6"/>
        <v>200000</v>
      </c>
      <c r="G138" s="364">
        <f ca="1">SUMIF(Disbursements!$B:$B,Ageing!$B138,Disbursements!AQ:AQ)</f>
        <v>200000</v>
      </c>
      <c r="H138" s="364">
        <f ca="1">SUMIF(Disbursements!$B:$B,Ageing!$B138,Disbursements!AS:AS)</f>
        <v>50</v>
      </c>
      <c r="I138" s="364">
        <f t="shared" ca="1" si="7"/>
        <v>2</v>
      </c>
      <c r="J138" s="369">
        <f ca="1">SUMIFS(Disbursements!$AP:$AP,Disbursements!$B:$B,Ageing!$B138,Disbursements!$AT:$AT,Ageing!J$4)</f>
        <v>0</v>
      </c>
      <c r="K138" s="369">
        <f ca="1">SUMIFS(Disbursements!$AP:$AP,Disbursements!$B:$B,Ageing!$B138,Disbursements!$AT:$AT,Ageing!K$4)</f>
        <v>60000</v>
      </c>
      <c r="L138" s="369">
        <f ca="1">SUMIFS(Disbursements!$AP:$AP,Disbursements!$B:$B,Ageing!$B138,Disbursements!$AT:$AT,Ageing!L$4)</f>
        <v>140000</v>
      </c>
      <c r="M138" s="369">
        <f ca="1">SUMIFS(Disbursements!$AP:$AP,Disbursements!$B:$B,Ageing!$B138,Disbursements!$AT:$AT,Ageing!M$4)</f>
        <v>0</v>
      </c>
      <c r="N138" s="369">
        <f ca="1">SUMIFS(Disbursements!$AP:$AP,Disbursements!$B:$B,Ageing!$B138,Disbursements!$AT:$AT,Ageing!N$4)</f>
        <v>0</v>
      </c>
      <c r="O138" s="369">
        <f ca="1">SUMIFS(Disbursements!$AP:$AP,Disbursements!$B:$B,Ageing!$B138,Disbursements!$AT:$AT,Ageing!O$4)</f>
        <v>0</v>
      </c>
    </row>
    <row r="139" spans="1:15" x14ac:dyDescent="0.2">
      <c r="A139" s="179" t="str">
        <f>IFERROR(VLOOKUP($B139,'Clients-Live'!$A:$C,3,30),"")</f>
        <v>SARIF SAIDI</v>
      </c>
      <c r="B139" s="480">
        <v>135</v>
      </c>
      <c r="C139" s="370" t="str">
        <f>IFERROR(INDEX(Disbursements!$J:$J,MATCH(Ageing!B139,Disbursements!$B:$B,0)),"No Loan")</f>
        <v>Kana</v>
      </c>
      <c r="D139" s="364">
        <f>SUMIF(Disbursements!$B:$B,Ageing!$B139,Disbursements!AN:AN)</f>
        <v>433000</v>
      </c>
      <c r="E139" s="364">
        <f>SUMIF(Disbursements!$B:$B,Ageing!$B139,Disbursements!AO:AO)</f>
        <v>1457000</v>
      </c>
      <c r="F139" s="365">
        <f t="shared" si="6"/>
        <v>1890000</v>
      </c>
      <c r="G139" s="364">
        <f ca="1">SUMIF(Disbursements!$B:$B,Ageing!$B139,Disbursements!AQ:AQ)</f>
        <v>1890000</v>
      </c>
      <c r="H139" s="364">
        <f ca="1">SUMIF(Disbursements!$B:$B,Ageing!$B139,Disbursements!AS:AS)</f>
        <v>298</v>
      </c>
      <c r="I139" s="364">
        <f t="shared" ca="1" si="7"/>
        <v>2</v>
      </c>
      <c r="J139" s="369">
        <f ca="1">SUMIFS(Disbursements!$AP:$AP,Disbursements!$B:$B,Ageing!$B139,Disbursements!$AT:$AT,Ageing!J$4)</f>
        <v>0</v>
      </c>
      <c r="K139" s="369">
        <f ca="1">SUMIFS(Disbursements!$AP:$AP,Disbursements!$B:$B,Ageing!$B139,Disbursements!$AT:$AT,Ageing!K$4)</f>
        <v>0</v>
      </c>
      <c r="L139" s="369">
        <f ca="1">SUMIFS(Disbursements!$AP:$AP,Disbursements!$B:$B,Ageing!$B139,Disbursements!$AT:$AT,Ageing!L$4)</f>
        <v>249999.99999999994</v>
      </c>
      <c r="M139" s="369">
        <f ca="1">SUMIFS(Disbursements!$AP:$AP,Disbursements!$B:$B,Ageing!$B139,Disbursements!$AT:$AT,Ageing!M$4)</f>
        <v>0</v>
      </c>
      <c r="N139" s="369">
        <f ca="1">SUMIFS(Disbursements!$AP:$AP,Disbursements!$B:$B,Ageing!$B139,Disbursements!$AT:$AT,Ageing!N$4)</f>
        <v>1640000</v>
      </c>
      <c r="O139" s="369">
        <f ca="1">SUMIFS(Disbursements!$AP:$AP,Disbursements!$B:$B,Ageing!$B139,Disbursements!$AT:$AT,Ageing!O$4)</f>
        <v>0</v>
      </c>
    </row>
    <row r="140" spans="1:15" x14ac:dyDescent="0.2">
      <c r="A140" s="179" t="str">
        <f>IFERROR(VLOOKUP($B140,'Clients-Live'!$A:$C,3,30),"")</f>
        <v>LEMERIGA GODWILL JOSEPH</v>
      </c>
      <c r="B140" s="480">
        <v>136</v>
      </c>
      <c r="C140" s="370" t="str">
        <f>IFERROR(INDEX(Disbursements!$J:$J,MATCH(Ageing!B140,Disbursements!$B:$B,0)),"No Loan")</f>
        <v>Kana</v>
      </c>
      <c r="D140" s="364">
        <f>SUMIF(Disbursements!$B:$B,Ageing!$B140,Disbursements!AN:AN)</f>
        <v>0</v>
      </c>
      <c r="E140" s="364">
        <f>SUMIF(Disbursements!$B:$B,Ageing!$B140,Disbursements!AO:AO)</f>
        <v>0</v>
      </c>
      <c r="F140" s="365">
        <f t="shared" si="6"/>
        <v>0</v>
      </c>
      <c r="G140" s="364">
        <f ca="1">SUMIF(Disbursements!$B:$B,Ageing!$B140,Disbursements!AQ:AQ)</f>
        <v>0</v>
      </c>
      <c r="H140" s="364">
        <f ca="1">SUMIF(Disbursements!$B:$B,Ageing!$B140,Disbursements!AS:AS)</f>
        <v>0</v>
      </c>
      <c r="I140" s="364">
        <f t="shared" si="7"/>
        <v>0</v>
      </c>
      <c r="J140" s="369">
        <f>SUMIFS(Disbursements!$AP:$AP,Disbursements!$B:$B,Ageing!$B140,Disbursements!$AT:$AT,Ageing!J$4)</f>
        <v>0</v>
      </c>
      <c r="K140" s="369">
        <f>SUMIFS(Disbursements!$AP:$AP,Disbursements!$B:$B,Ageing!$B140,Disbursements!$AT:$AT,Ageing!K$4)</f>
        <v>0</v>
      </c>
      <c r="L140" s="369">
        <f>SUMIFS(Disbursements!$AP:$AP,Disbursements!$B:$B,Ageing!$B140,Disbursements!$AT:$AT,Ageing!L$4)</f>
        <v>0</v>
      </c>
      <c r="M140" s="369">
        <f>SUMIFS(Disbursements!$AP:$AP,Disbursements!$B:$B,Ageing!$B140,Disbursements!$AT:$AT,Ageing!M$4)</f>
        <v>0</v>
      </c>
      <c r="N140" s="369">
        <f>SUMIFS(Disbursements!$AP:$AP,Disbursements!$B:$B,Ageing!$B140,Disbursements!$AT:$AT,Ageing!N$4)</f>
        <v>0</v>
      </c>
      <c r="O140" s="369">
        <f>SUMIFS(Disbursements!$AP:$AP,Disbursements!$B:$B,Ageing!$B140,Disbursements!$AT:$AT,Ageing!O$4)</f>
        <v>0</v>
      </c>
    </row>
    <row r="141" spans="1:15" x14ac:dyDescent="0.2">
      <c r="A141" s="179" t="str">
        <f>IFERROR(VLOOKUP($B141,'Clients-Live'!$A:$C,3,30),"")</f>
        <v>YAKANI CHARLES</v>
      </c>
      <c r="B141" s="480">
        <v>137</v>
      </c>
      <c r="C141" s="370" t="str">
        <f>IFERROR(INDEX(Disbursements!$J:$J,MATCH(Ageing!B141,Disbursements!$B:$B,0)),"No Loan")</f>
        <v>Jerome</v>
      </c>
      <c r="D141" s="364">
        <f>SUMIF(Disbursements!$B:$B,Ageing!$B141,Disbursements!AN:AN)</f>
        <v>421333.33333333337</v>
      </c>
      <c r="E141" s="364">
        <f>SUMIF(Disbursements!$B:$B,Ageing!$B141,Disbursements!AO:AO)</f>
        <v>274666.66666666651</v>
      </c>
      <c r="F141" s="365">
        <f t="shared" si="6"/>
        <v>695999.99999999988</v>
      </c>
      <c r="G141" s="364">
        <f ca="1">SUMIF(Disbursements!$B:$B,Ageing!$B141,Disbursements!AQ:AQ)</f>
        <v>695999.99999999988</v>
      </c>
      <c r="H141" s="364">
        <f ca="1">SUMIF(Disbursements!$B:$B,Ageing!$B141,Disbursements!AS:AS)</f>
        <v>46</v>
      </c>
      <c r="I141" s="364">
        <f t="shared" ca="1" si="7"/>
        <v>1</v>
      </c>
      <c r="J141" s="369">
        <f ca="1">SUMIFS(Disbursements!$AP:$AP,Disbursements!$B:$B,Ageing!$B141,Disbursements!$AT:$AT,Ageing!J$4)</f>
        <v>0</v>
      </c>
      <c r="K141" s="369">
        <f ca="1">SUMIFS(Disbursements!$AP:$AP,Disbursements!$B:$B,Ageing!$B141,Disbursements!$AT:$AT,Ageing!K$4)</f>
        <v>0</v>
      </c>
      <c r="L141" s="369">
        <f ca="1">SUMIFS(Disbursements!$AP:$AP,Disbursements!$B:$B,Ageing!$B141,Disbursements!$AT:$AT,Ageing!L$4)</f>
        <v>695999.99999999988</v>
      </c>
      <c r="M141" s="369">
        <f ca="1">SUMIFS(Disbursements!$AP:$AP,Disbursements!$B:$B,Ageing!$B141,Disbursements!$AT:$AT,Ageing!M$4)</f>
        <v>0</v>
      </c>
      <c r="N141" s="369">
        <f ca="1">SUMIFS(Disbursements!$AP:$AP,Disbursements!$B:$B,Ageing!$B141,Disbursements!$AT:$AT,Ageing!N$4)</f>
        <v>0</v>
      </c>
      <c r="O141" s="369">
        <f ca="1">SUMIFS(Disbursements!$AP:$AP,Disbursements!$B:$B,Ageing!$B141,Disbursements!$AT:$AT,Ageing!O$4)</f>
        <v>0</v>
      </c>
    </row>
    <row r="142" spans="1:15" x14ac:dyDescent="0.2">
      <c r="A142" s="179" t="str">
        <f>IFERROR(VLOOKUP($B142,'Clients-Live'!$A:$C,3,30),"")</f>
        <v>BEATRICE AMANDRU</v>
      </c>
      <c r="B142" s="480">
        <v>138</v>
      </c>
      <c r="C142" s="370" t="str">
        <f>IFERROR(INDEX(Disbursements!$J:$J,MATCH(Ageing!B142,Disbursements!$B:$B,0)),"No Loan")</f>
        <v>Kana</v>
      </c>
      <c r="D142" s="364">
        <f>SUMIF(Disbursements!$B:$B,Ageing!$B142,Disbursements!AN:AN)</f>
        <v>0</v>
      </c>
      <c r="E142" s="364">
        <f>SUMIF(Disbursements!$B:$B,Ageing!$B142,Disbursements!AO:AO)</f>
        <v>730000</v>
      </c>
      <c r="F142" s="365">
        <f t="shared" si="6"/>
        <v>730000</v>
      </c>
      <c r="G142" s="364">
        <f ca="1">SUMIF(Disbursements!$B:$B,Ageing!$B142,Disbursements!AQ:AQ)</f>
        <v>730000</v>
      </c>
      <c r="H142" s="364">
        <f ca="1">SUMIF(Disbursements!$B:$B,Ageing!$B142,Disbursements!AS:AS)</f>
        <v>39</v>
      </c>
      <c r="I142" s="364">
        <f t="shared" ca="1" si="7"/>
        <v>1</v>
      </c>
      <c r="J142" s="369">
        <f ca="1">SUMIFS(Disbursements!$AP:$AP,Disbursements!$B:$B,Ageing!$B142,Disbursements!$AT:$AT,Ageing!J$4)</f>
        <v>0</v>
      </c>
      <c r="K142" s="369">
        <f ca="1">SUMIFS(Disbursements!$AP:$AP,Disbursements!$B:$B,Ageing!$B142,Disbursements!$AT:$AT,Ageing!K$4)</f>
        <v>0</v>
      </c>
      <c r="L142" s="369">
        <f ca="1">SUMIFS(Disbursements!$AP:$AP,Disbursements!$B:$B,Ageing!$B142,Disbursements!$AT:$AT,Ageing!L$4)</f>
        <v>730000</v>
      </c>
      <c r="M142" s="369">
        <f ca="1">SUMIFS(Disbursements!$AP:$AP,Disbursements!$B:$B,Ageing!$B142,Disbursements!$AT:$AT,Ageing!M$4)</f>
        <v>0</v>
      </c>
      <c r="N142" s="369">
        <f ca="1">SUMIFS(Disbursements!$AP:$AP,Disbursements!$B:$B,Ageing!$B142,Disbursements!$AT:$AT,Ageing!N$4)</f>
        <v>0</v>
      </c>
      <c r="O142" s="369">
        <f ca="1">SUMIFS(Disbursements!$AP:$AP,Disbursements!$B:$B,Ageing!$B142,Disbursements!$AT:$AT,Ageing!O$4)</f>
        <v>0</v>
      </c>
    </row>
    <row r="143" spans="1:15" x14ac:dyDescent="0.2">
      <c r="A143" s="179" t="str">
        <f>IFERROR(VLOOKUP($B143,'Clients-Live'!$A:$C,3,30),"")</f>
        <v xml:space="preserve">DRICHIRU MAIMUNA </v>
      </c>
      <c r="B143" s="480">
        <v>139</v>
      </c>
      <c r="C143" s="370" t="str">
        <f>IFERROR(INDEX(Disbursements!$J:$J,MATCH(Ageing!B143,Disbursements!$B:$B,0)),"No Loan")</f>
        <v>Jerome</v>
      </c>
      <c r="D143" s="364">
        <f>SUMIF(Disbursements!$B:$B,Ageing!$B143,Disbursements!AN:AN)</f>
        <v>30000</v>
      </c>
      <c r="E143" s="364">
        <f>SUMIF(Disbursements!$B:$B,Ageing!$B143,Disbursements!AO:AO)</f>
        <v>107000</v>
      </c>
      <c r="F143" s="365">
        <f t="shared" si="6"/>
        <v>137000</v>
      </c>
      <c r="G143" s="364">
        <f ca="1">SUMIF(Disbursements!$B:$B,Ageing!$B143,Disbursements!AQ:AQ)</f>
        <v>137000</v>
      </c>
      <c r="H143" s="364">
        <f ca="1">SUMIF(Disbursements!$B:$B,Ageing!$B143,Disbursements!AS:AS)</f>
        <v>32</v>
      </c>
      <c r="I143" s="364">
        <f t="shared" ca="1" si="7"/>
        <v>1</v>
      </c>
      <c r="J143" s="369">
        <f ca="1">SUMIFS(Disbursements!$AP:$AP,Disbursements!$B:$B,Ageing!$B143,Disbursements!$AT:$AT,Ageing!J$4)</f>
        <v>0</v>
      </c>
      <c r="K143" s="369">
        <f ca="1">SUMIFS(Disbursements!$AP:$AP,Disbursements!$B:$B,Ageing!$B143,Disbursements!$AT:$AT,Ageing!K$4)</f>
        <v>0</v>
      </c>
      <c r="L143" s="369">
        <f ca="1">SUMIFS(Disbursements!$AP:$AP,Disbursements!$B:$B,Ageing!$B143,Disbursements!$AT:$AT,Ageing!L$4)</f>
        <v>137000</v>
      </c>
      <c r="M143" s="369">
        <f ca="1">SUMIFS(Disbursements!$AP:$AP,Disbursements!$B:$B,Ageing!$B143,Disbursements!$AT:$AT,Ageing!M$4)</f>
        <v>0</v>
      </c>
      <c r="N143" s="369">
        <f ca="1">SUMIFS(Disbursements!$AP:$AP,Disbursements!$B:$B,Ageing!$B143,Disbursements!$AT:$AT,Ageing!N$4)</f>
        <v>0</v>
      </c>
      <c r="O143" s="369">
        <f ca="1">SUMIFS(Disbursements!$AP:$AP,Disbursements!$B:$B,Ageing!$B143,Disbursements!$AT:$AT,Ageing!O$4)</f>
        <v>0</v>
      </c>
    </row>
    <row r="144" spans="1:15" x14ac:dyDescent="0.2">
      <c r="A144" s="179" t="str">
        <f>IFERROR(VLOOKUP($B144,'Clients-Live'!$A:$C,3,30),"")</f>
        <v>AYIKORU MARIAM</v>
      </c>
      <c r="B144" s="480">
        <v>140</v>
      </c>
      <c r="C144" s="370" t="str">
        <f>IFERROR(INDEX(Disbursements!$J:$J,MATCH(Ageing!B144,Disbursements!$B:$B,0)),"No Loan")</f>
        <v>Aroma</v>
      </c>
      <c r="D144" s="364">
        <f>SUMIF(Disbursements!$B:$B,Ageing!$B144,Disbursements!AN:AN)</f>
        <v>0</v>
      </c>
      <c r="E144" s="364">
        <f>SUMIF(Disbursements!$B:$B,Ageing!$B144,Disbursements!AO:AO)</f>
        <v>333000.00000000006</v>
      </c>
      <c r="F144" s="365">
        <f t="shared" si="6"/>
        <v>333000.00000000006</v>
      </c>
      <c r="G144" s="364">
        <f ca="1">SUMIF(Disbursements!$B:$B,Ageing!$B144,Disbursements!AQ:AQ)</f>
        <v>333000.00000000006</v>
      </c>
      <c r="H144" s="364">
        <f ca="1">SUMIF(Disbursements!$B:$B,Ageing!$B144,Disbursements!AS:AS)</f>
        <v>20</v>
      </c>
      <c r="I144" s="364">
        <f t="shared" ca="1" si="7"/>
        <v>1</v>
      </c>
      <c r="J144" s="369">
        <f ca="1">SUMIFS(Disbursements!$AP:$AP,Disbursements!$B:$B,Ageing!$B144,Disbursements!$AT:$AT,Ageing!J$4)</f>
        <v>0</v>
      </c>
      <c r="K144" s="369">
        <f ca="1">SUMIFS(Disbursements!$AP:$AP,Disbursements!$B:$B,Ageing!$B144,Disbursements!$AT:$AT,Ageing!K$4)</f>
        <v>333000</v>
      </c>
      <c r="L144" s="369">
        <f ca="1">SUMIFS(Disbursements!$AP:$AP,Disbursements!$B:$B,Ageing!$B144,Disbursements!$AT:$AT,Ageing!L$4)</f>
        <v>0</v>
      </c>
      <c r="M144" s="369">
        <f ca="1">SUMIFS(Disbursements!$AP:$AP,Disbursements!$B:$B,Ageing!$B144,Disbursements!$AT:$AT,Ageing!M$4)</f>
        <v>0</v>
      </c>
      <c r="N144" s="369">
        <f ca="1">SUMIFS(Disbursements!$AP:$AP,Disbursements!$B:$B,Ageing!$B144,Disbursements!$AT:$AT,Ageing!N$4)</f>
        <v>0</v>
      </c>
      <c r="O144" s="369">
        <f ca="1">SUMIFS(Disbursements!$AP:$AP,Disbursements!$B:$B,Ageing!$B144,Disbursements!$AT:$AT,Ageing!O$4)</f>
        <v>0</v>
      </c>
    </row>
    <row r="145" spans="1:15" x14ac:dyDescent="0.2">
      <c r="A145" s="179" t="str">
        <f>IFERROR(VLOOKUP($B145,'Clients-Live'!$A:$C,3,30),"")</f>
        <v>DRAMANI WILFRED</v>
      </c>
      <c r="B145" s="480">
        <v>141</v>
      </c>
      <c r="C145" s="370" t="str">
        <f>IFERROR(INDEX(Disbursements!$J:$J,MATCH(Ageing!B145,Disbursements!$B:$B,0)),"No Loan")</f>
        <v>Jerome</v>
      </c>
      <c r="D145" s="364">
        <f>SUMIF(Disbursements!$B:$B,Ageing!$B145,Disbursements!AN:AN)</f>
        <v>0</v>
      </c>
      <c r="E145" s="364">
        <f>SUMIF(Disbursements!$B:$B,Ageing!$B145,Disbursements!AO:AO)</f>
        <v>341000</v>
      </c>
      <c r="F145" s="365">
        <f t="shared" si="6"/>
        <v>341000</v>
      </c>
      <c r="G145" s="364">
        <f ca="1">SUMIF(Disbursements!$B:$B,Ageing!$B145,Disbursements!AQ:AQ)</f>
        <v>341000</v>
      </c>
      <c r="H145" s="364">
        <f ca="1">SUMIF(Disbursements!$B:$B,Ageing!$B145,Disbursements!AS:AS)</f>
        <v>60</v>
      </c>
      <c r="I145" s="364">
        <f t="shared" ca="1" si="7"/>
        <v>2</v>
      </c>
      <c r="J145" s="369">
        <f ca="1">SUMIFS(Disbursements!$AP:$AP,Disbursements!$B:$B,Ageing!$B145,Disbursements!$AT:$AT,Ageing!J$4)</f>
        <v>0</v>
      </c>
      <c r="K145" s="369">
        <f ca="1">SUMIFS(Disbursements!$AP:$AP,Disbursements!$B:$B,Ageing!$B145,Disbursements!$AT:$AT,Ageing!K$4)</f>
        <v>2000</v>
      </c>
      <c r="L145" s="369">
        <f ca="1">SUMIFS(Disbursements!$AP:$AP,Disbursements!$B:$B,Ageing!$B145,Disbursements!$AT:$AT,Ageing!L$4)</f>
        <v>339000</v>
      </c>
      <c r="M145" s="369">
        <f ca="1">SUMIFS(Disbursements!$AP:$AP,Disbursements!$B:$B,Ageing!$B145,Disbursements!$AT:$AT,Ageing!M$4)</f>
        <v>0</v>
      </c>
      <c r="N145" s="369">
        <f ca="1">SUMIFS(Disbursements!$AP:$AP,Disbursements!$B:$B,Ageing!$B145,Disbursements!$AT:$AT,Ageing!N$4)</f>
        <v>0</v>
      </c>
      <c r="O145" s="369">
        <f ca="1">SUMIFS(Disbursements!$AP:$AP,Disbursements!$B:$B,Ageing!$B145,Disbursements!$AT:$AT,Ageing!O$4)</f>
        <v>0</v>
      </c>
    </row>
    <row r="146" spans="1:15" x14ac:dyDescent="0.2">
      <c r="A146" s="179" t="str">
        <f>IFERROR(VLOOKUP($B146,'Clients-Live'!$A:$C,3,30),"")</f>
        <v>TABU MARY</v>
      </c>
      <c r="B146" s="480">
        <v>142</v>
      </c>
      <c r="C146" s="370" t="str">
        <f>IFERROR(INDEX(Disbursements!$J:$J,MATCH(Ageing!B146,Disbursements!$B:$B,0)),"No Loan")</f>
        <v>Kana</v>
      </c>
      <c r="D146" s="364">
        <f>SUMIF(Disbursements!$B:$B,Ageing!$B146,Disbursements!AN:AN)</f>
        <v>588000</v>
      </c>
      <c r="E146" s="364">
        <f>SUMIF(Disbursements!$B:$B,Ageing!$B146,Disbursements!AO:AO)</f>
        <v>1502000</v>
      </c>
      <c r="F146" s="365">
        <f t="shared" si="6"/>
        <v>2090000</v>
      </c>
      <c r="G146" s="364">
        <f ca="1">SUMIF(Disbursements!$B:$B,Ageing!$B146,Disbursements!AQ:AQ)</f>
        <v>2090000</v>
      </c>
      <c r="H146" s="364">
        <f ca="1">SUMIF(Disbursements!$B:$B,Ageing!$B146,Disbursements!AS:AS)</f>
        <v>181</v>
      </c>
      <c r="I146" s="364">
        <f t="shared" ca="1" si="7"/>
        <v>2</v>
      </c>
      <c r="J146" s="369">
        <f ca="1">SUMIFS(Disbursements!$AP:$AP,Disbursements!$B:$B,Ageing!$B146,Disbursements!$AT:$AT,Ageing!J$4)</f>
        <v>0</v>
      </c>
      <c r="K146" s="369">
        <f ca="1">SUMIFS(Disbursements!$AP:$AP,Disbursements!$B:$B,Ageing!$B146,Disbursements!$AT:$AT,Ageing!K$4)</f>
        <v>2000</v>
      </c>
      <c r="L146" s="369">
        <f ca="1">SUMIFS(Disbursements!$AP:$AP,Disbursements!$B:$B,Ageing!$B146,Disbursements!$AT:$AT,Ageing!L$4)</f>
        <v>0</v>
      </c>
      <c r="M146" s="369">
        <f ca="1">SUMIFS(Disbursements!$AP:$AP,Disbursements!$B:$B,Ageing!$B146,Disbursements!$AT:$AT,Ageing!M$4)</f>
        <v>0</v>
      </c>
      <c r="N146" s="369">
        <f ca="1">SUMIFS(Disbursements!$AP:$AP,Disbursements!$B:$B,Ageing!$B146,Disbursements!$AT:$AT,Ageing!N$4)</f>
        <v>2088000</v>
      </c>
      <c r="O146" s="369">
        <f ca="1">SUMIFS(Disbursements!$AP:$AP,Disbursements!$B:$B,Ageing!$B146,Disbursements!$AT:$AT,Ageing!O$4)</f>
        <v>0</v>
      </c>
    </row>
    <row r="147" spans="1:15" x14ac:dyDescent="0.2">
      <c r="A147" s="179" t="str">
        <f>IFERROR(VLOOKUP($B147,'Clients-Live'!$A:$C,3,30),"")</f>
        <v>MORO HAKIM</v>
      </c>
      <c r="B147" s="480">
        <v>143</v>
      </c>
      <c r="C147" s="370" t="str">
        <f>IFERROR(INDEX(Disbursements!$J:$J,MATCH(Ageing!B147,Disbursements!$B:$B,0)),"No Loan")</f>
        <v>Kana</v>
      </c>
      <c r="D147" s="364">
        <f>SUMIF(Disbursements!$B:$B,Ageing!$B147,Disbursements!AN:AN)</f>
        <v>975000</v>
      </c>
      <c r="E147" s="364">
        <f>SUMIF(Disbursements!$B:$B,Ageing!$B147,Disbursements!AO:AO)</f>
        <v>3000000.0000000005</v>
      </c>
      <c r="F147" s="365">
        <f t="shared" si="6"/>
        <v>3975000.0000000005</v>
      </c>
      <c r="G147" s="364">
        <f ca="1">SUMIF(Disbursements!$B:$B,Ageing!$B147,Disbursements!AQ:AQ)</f>
        <v>3975000.0000000005</v>
      </c>
      <c r="H147" s="364">
        <f ca="1">SUMIF(Disbursements!$B:$B,Ageing!$B147,Disbursements!AS:AS)</f>
        <v>91</v>
      </c>
      <c r="I147" s="364">
        <f t="shared" ca="1" si="7"/>
        <v>1</v>
      </c>
      <c r="J147" s="369">
        <f ca="1">SUMIFS(Disbursements!$AP:$AP,Disbursements!$B:$B,Ageing!$B147,Disbursements!$AT:$AT,Ageing!J$4)</f>
        <v>0</v>
      </c>
      <c r="K147" s="369">
        <f ca="1">SUMIFS(Disbursements!$AP:$AP,Disbursements!$B:$B,Ageing!$B147,Disbursements!$AT:$AT,Ageing!K$4)</f>
        <v>0</v>
      </c>
      <c r="L147" s="369">
        <f ca="1">SUMIFS(Disbursements!$AP:$AP,Disbursements!$B:$B,Ageing!$B147,Disbursements!$AT:$AT,Ageing!L$4)</f>
        <v>0</v>
      </c>
      <c r="M147" s="369">
        <f ca="1">SUMIFS(Disbursements!$AP:$AP,Disbursements!$B:$B,Ageing!$B147,Disbursements!$AT:$AT,Ageing!M$4)</f>
        <v>3975000</v>
      </c>
      <c r="N147" s="369">
        <f ca="1">SUMIFS(Disbursements!$AP:$AP,Disbursements!$B:$B,Ageing!$B147,Disbursements!$AT:$AT,Ageing!N$4)</f>
        <v>0</v>
      </c>
      <c r="O147" s="369">
        <f ca="1">SUMIFS(Disbursements!$AP:$AP,Disbursements!$B:$B,Ageing!$B147,Disbursements!$AT:$AT,Ageing!O$4)</f>
        <v>0</v>
      </c>
    </row>
    <row r="148" spans="1:15" x14ac:dyDescent="0.2">
      <c r="A148" s="179" t="str">
        <f>IFERROR(VLOOKUP($B148,'Clients-Live'!$A:$C,3,30),"")</f>
        <v>GBENINGA RUKIA</v>
      </c>
      <c r="B148" s="480">
        <v>144</v>
      </c>
      <c r="C148" s="370" t="str">
        <f>IFERROR(INDEX(Disbursements!$J:$J,MATCH(Ageing!B148,Disbursements!$B:$B,0)),"No Loan")</f>
        <v>Jerome</v>
      </c>
      <c r="D148" s="364">
        <f>SUMIF(Disbursements!$B:$B,Ageing!$B148,Disbursements!AN:AN)</f>
        <v>0</v>
      </c>
      <c r="E148" s="364">
        <f>SUMIF(Disbursements!$B:$B,Ageing!$B148,Disbursements!AO:AO)</f>
        <v>0</v>
      </c>
      <c r="F148" s="365">
        <f t="shared" si="6"/>
        <v>0</v>
      </c>
      <c r="G148" s="364">
        <f ca="1">SUMIF(Disbursements!$B:$B,Ageing!$B148,Disbursements!AQ:AQ)</f>
        <v>0</v>
      </c>
      <c r="H148" s="364">
        <f ca="1">SUMIF(Disbursements!$B:$B,Ageing!$B148,Disbursements!AS:AS)</f>
        <v>0</v>
      </c>
      <c r="I148" s="364">
        <f t="shared" si="7"/>
        <v>0</v>
      </c>
      <c r="J148" s="369">
        <f>SUMIFS(Disbursements!$AP:$AP,Disbursements!$B:$B,Ageing!$B148,Disbursements!$AT:$AT,Ageing!J$4)</f>
        <v>0</v>
      </c>
      <c r="K148" s="369">
        <f>SUMIFS(Disbursements!$AP:$AP,Disbursements!$B:$B,Ageing!$B148,Disbursements!$AT:$AT,Ageing!K$4)</f>
        <v>0</v>
      </c>
      <c r="L148" s="369">
        <f>SUMIFS(Disbursements!$AP:$AP,Disbursements!$B:$B,Ageing!$B148,Disbursements!$AT:$AT,Ageing!L$4)</f>
        <v>0</v>
      </c>
      <c r="M148" s="369">
        <f>SUMIFS(Disbursements!$AP:$AP,Disbursements!$B:$B,Ageing!$B148,Disbursements!$AT:$AT,Ageing!M$4)</f>
        <v>0</v>
      </c>
      <c r="N148" s="369">
        <f>SUMIFS(Disbursements!$AP:$AP,Disbursements!$B:$B,Ageing!$B148,Disbursements!$AT:$AT,Ageing!N$4)</f>
        <v>0</v>
      </c>
      <c r="O148" s="369">
        <f>SUMIFS(Disbursements!$AP:$AP,Disbursements!$B:$B,Ageing!$B148,Disbursements!$AT:$AT,Ageing!O$4)</f>
        <v>0</v>
      </c>
    </row>
    <row r="149" spans="1:15" x14ac:dyDescent="0.2">
      <c r="A149" s="179" t="str">
        <f>IFERROR(VLOOKUP($B149,'Clients-Live'!$A:$C,3,30),"")</f>
        <v>NIGHT ASARA</v>
      </c>
      <c r="B149" s="480">
        <v>145</v>
      </c>
      <c r="C149" s="370" t="str">
        <f>IFERROR(INDEX(Disbursements!$J:$J,MATCH(Ageing!B149,Disbursements!$B:$B,0)),"No Loan")</f>
        <v>Kana</v>
      </c>
      <c r="D149" s="364">
        <f>SUMIF(Disbursements!$B:$B,Ageing!$B149,Disbursements!AN:AN)</f>
        <v>0</v>
      </c>
      <c r="E149" s="364">
        <f>SUMIF(Disbursements!$B:$B,Ageing!$B149,Disbursements!AO:AO)</f>
        <v>0</v>
      </c>
      <c r="F149" s="365">
        <f t="shared" si="6"/>
        <v>0</v>
      </c>
      <c r="G149" s="364">
        <f ca="1">SUMIF(Disbursements!$B:$B,Ageing!$B149,Disbursements!AQ:AQ)</f>
        <v>0</v>
      </c>
      <c r="H149" s="364">
        <f ca="1">SUMIF(Disbursements!$B:$B,Ageing!$B149,Disbursements!AS:AS)</f>
        <v>0</v>
      </c>
      <c r="I149" s="364">
        <f t="shared" si="7"/>
        <v>0</v>
      </c>
      <c r="J149" s="369">
        <f>SUMIFS(Disbursements!$AP:$AP,Disbursements!$B:$B,Ageing!$B149,Disbursements!$AT:$AT,Ageing!J$4)</f>
        <v>0</v>
      </c>
      <c r="K149" s="369">
        <f>SUMIFS(Disbursements!$AP:$AP,Disbursements!$B:$B,Ageing!$B149,Disbursements!$AT:$AT,Ageing!K$4)</f>
        <v>0</v>
      </c>
      <c r="L149" s="369">
        <f>SUMIFS(Disbursements!$AP:$AP,Disbursements!$B:$B,Ageing!$B149,Disbursements!$AT:$AT,Ageing!L$4)</f>
        <v>0</v>
      </c>
      <c r="M149" s="369">
        <f>SUMIFS(Disbursements!$AP:$AP,Disbursements!$B:$B,Ageing!$B149,Disbursements!$AT:$AT,Ageing!M$4)</f>
        <v>0</v>
      </c>
      <c r="N149" s="369">
        <f>SUMIFS(Disbursements!$AP:$AP,Disbursements!$B:$B,Ageing!$B149,Disbursements!$AT:$AT,Ageing!N$4)</f>
        <v>0</v>
      </c>
      <c r="O149" s="369">
        <f>SUMIFS(Disbursements!$AP:$AP,Disbursements!$B:$B,Ageing!$B149,Disbursements!$AT:$AT,Ageing!O$4)</f>
        <v>0</v>
      </c>
    </row>
    <row r="150" spans="1:15" x14ac:dyDescent="0.2">
      <c r="A150" s="179" t="str">
        <f>IFERROR(VLOOKUP($B150,'Clients-Live'!$A:$C,3,30),"")</f>
        <v>IMBIRA AISHA</v>
      </c>
      <c r="B150" s="480">
        <v>146</v>
      </c>
      <c r="C150" s="370" t="str">
        <f>IFERROR(INDEX(Disbursements!$J:$J,MATCH(Ageing!B150,Disbursements!$B:$B,0)),"No Loan")</f>
        <v>Kana</v>
      </c>
      <c r="D150" s="364">
        <f>SUMIF(Disbursements!$B:$B,Ageing!$B150,Disbursements!AN:AN)</f>
        <v>0</v>
      </c>
      <c r="E150" s="364">
        <f>SUMIF(Disbursements!$B:$B,Ageing!$B150,Disbursements!AO:AO)</f>
        <v>30000</v>
      </c>
      <c r="F150" s="365">
        <f t="shared" si="6"/>
        <v>30000</v>
      </c>
      <c r="G150" s="364">
        <f ca="1">SUMIF(Disbursements!$B:$B,Ageing!$B150,Disbursements!AQ:AQ)</f>
        <v>30000</v>
      </c>
      <c r="H150" s="364">
        <f ca="1">SUMIF(Disbursements!$B:$B,Ageing!$B150,Disbursements!AS:AS)</f>
        <v>8</v>
      </c>
      <c r="I150" s="364">
        <f t="shared" ca="1" si="7"/>
        <v>1</v>
      </c>
      <c r="J150" s="369">
        <f ca="1">SUMIFS(Disbursements!$AP:$AP,Disbursements!$B:$B,Ageing!$B150,Disbursements!$AT:$AT,Ageing!J$4)</f>
        <v>0</v>
      </c>
      <c r="K150" s="369">
        <f ca="1">SUMIFS(Disbursements!$AP:$AP,Disbursements!$B:$B,Ageing!$B150,Disbursements!$AT:$AT,Ageing!K$4)</f>
        <v>30000</v>
      </c>
      <c r="L150" s="369">
        <f ca="1">SUMIFS(Disbursements!$AP:$AP,Disbursements!$B:$B,Ageing!$B150,Disbursements!$AT:$AT,Ageing!L$4)</f>
        <v>0</v>
      </c>
      <c r="M150" s="369">
        <f ca="1">SUMIFS(Disbursements!$AP:$AP,Disbursements!$B:$B,Ageing!$B150,Disbursements!$AT:$AT,Ageing!M$4)</f>
        <v>0</v>
      </c>
      <c r="N150" s="369">
        <f ca="1">SUMIFS(Disbursements!$AP:$AP,Disbursements!$B:$B,Ageing!$B150,Disbursements!$AT:$AT,Ageing!N$4)</f>
        <v>0</v>
      </c>
      <c r="O150" s="369">
        <f ca="1">SUMIFS(Disbursements!$AP:$AP,Disbursements!$B:$B,Ageing!$B150,Disbursements!$AT:$AT,Ageing!O$4)</f>
        <v>0</v>
      </c>
    </row>
    <row r="151" spans="1:15" x14ac:dyDescent="0.2">
      <c r="A151" s="179" t="str">
        <f>IFERROR(VLOOKUP($B151,'Clients-Live'!$A:$C,3,30),"")</f>
        <v>DRICIRU MARGRET</v>
      </c>
      <c r="B151" s="480">
        <v>147</v>
      </c>
      <c r="C151" s="370" t="str">
        <f>IFERROR(INDEX(Disbursements!$J:$J,MATCH(Ageing!B151,Disbursements!$B:$B,0)),"No Loan")</f>
        <v>Jerome</v>
      </c>
      <c r="D151" s="364">
        <f>SUMIF(Disbursements!$B:$B,Ageing!$B151,Disbursements!AN:AN)</f>
        <v>156000</v>
      </c>
      <c r="E151" s="364">
        <f>SUMIF(Disbursements!$B:$B,Ageing!$B151,Disbursements!AO:AO)</f>
        <v>480000</v>
      </c>
      <c r="F151" s="365">
        <f t="shared" si="6"/>
        <v>636000</v>
      </c>
      <c r="G151" s="364">
        <f ca="1">SUMIF(Disbursements!$B:$B,Ageing!$B151,Disbursements!AQ:AQ)</f>
        <v>636000</v>
      </c>
      <c r="H151" s="364">
        <f ca="1">SUMIF(Disbursements!$B:$B,Ageing!$B151,Disbursements!AS:AS)</f>
        <v>60</v>
      </c>
      <c r="I151" s="364">
        <f t="shared" ca="1" si="7"/>
        <v>1</v>
      </c>
      <c r="J151" s="369">
        <f ca="1">SUMIFS(Disbursements!$AP:$AP,Disbursements!$B:$B,Ageing!$B151,Disbursements!$AT:$AT,Ageing!J$4)</f>
        <v>0</v>
      </c>
      <c r="K151" s="369">
        <f ca="1">SUMIFS(Disbursements!$AP:$AP,Disbursements!$B:$B,Ageing!$B151,Disbursements!$AT:$AT,Ageing!K$4)</f>
        <v>0</v>
      </c>
      <c r="L151" s="369">
        <f ca="1">SUMIFS(Disbursements!$AP:$AP,Disbursements!$B:$B,Ageing!$B151,Disbursements!$AT:$AT,Ageing!L$4)</f>
        <v>636000</v>
      </c>
      <c r="M151" s="369">
        <f ca="1">SUMIFS(Disbursements!$AP:$AP,Disbursements!$B:$B,Ageing!$B151,Disbursements!$AT:$AT,Ageing!M$4)</f>
        <v>0</v>
      </c>
      <c r="N151" s="369">
        <f ca="1">SUMIFS(Disbursements!$AP:$AP,Disbursements!$B:$B,Ageing!$B151,Disbursements!$AT:$AT,Ageing!N$4)</f>
        <v>0</v>
      </c>
      <c r="O151" s="369">
        <f ca="1">SUMIFS(Disbursements!$AP:$AP,Disbursements!$B:$B,Ageing!$B151,Disbursements!$AT:$AT,Ageing!O$4)</f>
        <v>0</v>
      </c>
    </row>
    <row r="152" spans="1:15" x14ac:dyDescent="0.2">
      <c r="A152" s="179" t="str">
        <f>IFERROR(VLOOKUP($B152,'Clients-Live'!$A:$C,3,30),"")</f>
        <v>GBOKA ZAIDA</v>
      </c>
      <c r="B152" s="480">
        <v>148</v>
      </c>
      <c r="C152" s="370" t="str">
        <f>IFERROR(INDEX(Disbursements!$J:$J,MATCH(Ageing!B152,Disbursements!$B:$B,0)),"No Loan")</f>
        <v>Jerome</v>
      </c>
      <c r="D152" s="364">
        <f>SUMIF(Disbursements!$B:$B,Ageing!$B152,Disbursements!AN:AN)</f>
        <v>0</v>
      </c>
      <c r="E152" s="364">
        <f>SUMIF(Disbursements!$B:$B,Ageing!$B152,Disbursements!AO:AO)</f>
        <v>200000</v>
      </c>
      <c r="F152" s="365">
        <f t="shared" si="6"/>
        <v>200000</v>
      </c>
      <c r="G152" s="364">
        <f ca="1">SUMIF(Disbursements!$B:$B,Ageing!$B152,Disbursements!AQ:AQ)</f>
        <v>200000</v>
      </c>
      <c r="H152" s="364">
        <f ca="1">SUMIF(Disbursements!$B:$B,Ageing!$B152,Disbursements!AS:AS)</f>
        <v>48</v>
      </c>
      <c r="I152" s="364">
        <f t="shared" ca="1" si="7"/>
        <v>1</v>
      </c>
      <c r="J152" s="369">
        <f ca="1">SUMIFS(Disbursements!$AP:$AP,Disbursements!$B:$B,Ageing!$B152,Disbursements!$AT:$AT,Ageing!J$4)</f>
        <v>0</v>
      </c>
      <c r="K152" s="369">
        <f ca="1">SUMIFS(Disbursements!$AP:$AP,Disbursements!$B:$B,Ageing!$B152,Disbursements!$AT:$AT,Ageing!K$4)</f>
        <v>0</v>
      </c>
      <c r="L152" s="369">
        <f ca="1">SUMIFS(Disbursements!$AP:$AP,Disbursements!$B:$B,Ageing!$B152,Disbursements!$AT:$AT,Ageing!L$4)</f>
        <v>200000</v>
      </c>
      <c r="M152" s="369">
        <f ca="1">SUMIFS(Disbursements!$AP:$AP,Disbursements!$B:$B,Ageing!$B152,Disbursements!$AT:$AT,Ageing!M$4)</f>
        <v>0</v>
      </c>
      <c r="N152" s="369">
        <f ca="1">SUMIFS(Disbursements!$AP:$AP,Disbursements!$B:$B,Ageing!$B152,Disbursements!$AT:$AT,Ageing!N$4)</f>
        <v>0</v>
      </c>
      <c r="O152" s="369">
        <f ca="1">SUMIFS(Disbursements!$AP:$AP,Disbursements!$B:$B,Ageing!$B152,Disbursements!$AT:$AT,Ageing!O$4)</f>
        <v>0</v>
      </c>
    </row>
    <row r="153" spans="1:15" x14ac:dyDescent="0.2">
      <c r="A153" s="179" t="str">
        <f>IFERROR(VLOOKUP($B153,'Clients-Live'!$A:$C,3,30),"")</f>
        <v>SIKA AMIDRA</v>
      </c>
      <c r="B153" s="480">
        <v>149</v>
      </c>
      <c r="C153" s="370" t="str">
        <f>IFERROR(INDEX(Disbursements!$J:$J,MATCH(Ageing!B153,Disbursements!$B:$B,0)),"No Loan")</f>
        <v>Aroma</v>
      </c>
      <c r="D153" s="364">
        <f>SUMIF(Disbursements!$B:$B,Ageing!$B153,Disbursements!AN:AN)</f>
        <v>0</v>
      </c>
      <c r="E153" s="364">
        <f>SUMIF(Disbursements!$B:$B,Ageing!$B153,Disbursements!AO:AO)</f>
        <v>0</v>
      </c>
      <c r="F153" s="365">
        <f t="shared" si="6"/>
        <v>0</v>
      </c>
      <c r="G153" s="364">
        <f ca="1">SUMIF(Disbursements!$B:$B,Ageing!$B153,Disbursements!AQ:AQ)</f>
        <v>0</v>
      </c>
      <c r="H153" s="364">
        <f ca="1">SUMIF(Disbursements!$B:$B,Ageing!$B153,Disbursements!AS:AS)</f>
        <v>0</v>
      </c>
      <c r="I153" s="364">
        <f t="shared" si="7"/>
        <v>0</v>
      </c>
      <c r="J153" s="369">
        <f>SUMIFS(Disbursements!$AP:$AP,Disbursements!$B:$B,Ageing!$B153,Disbursements!$AT:$AT,Ageing!J$4)</f>
        <v>0</v>
      </c>
      <c r="K153" s="369">
        <f>SUMIFS(Disbursements!$AP:$AP,Disbursements!$B:$B,Ageing!$B153,Disbursements!$AT:$AT,Ageing!K$4)</f>
        <v>0</v>
      </c>
      <c r="L153" s="369">
        <f>SUMIFS(Disbursements!$AP:$AP,Disbursements!$B:$B,Ageing!$B153,Disbursements!$AT:$AT,Ageing!L$4)</f>
        <v>0</v>
      </c>
      <c r="M153" s="369">
        <f>SUMIFS(Disbursements!$AP:$AP,Disbursements!$B:$B,Ageing!$B153,Disbursements!$AT:$AT,Ageing!M$4)</f>
        <v>0</v>
      </c>
      <c r="N153" s="369">
        <f>SUMIFS(Disbursements!$AP:$AP,Disbursements!$B:$B,Ageing!$B153,Disbursements!$AT:$AT,Ageing!N$4)</f>
        <v>0</v>
      </c>
      <c r="O153" s="369">
        <f>SUMIFS(Disbursements!$AP:$AP,Disbursements!$B:$B,Ageing!$B153,Disbursements!$AT:$AT,Ageing!O$4)</f>
        <v>0</v>
      </c>
    </row>
    <row r="154" spans="1:15" x14ac:dyDescent="0.2">
      <c r="A154" s="179" t="str">
        <f>IFERROR(VLOOKUP($B154,'Clients-Live'!$A:$C,3,30),"")</f>
        <v>ALOKE KENNEDY</v>
      </c>
      <c r="B154" s="480">
        <v>150</v>
      </c>
      <c r="C154" s="370" t="str">
        <f>IFERROR(INDEX(Disbursements!$J:$J,MATCH(Ageing!B154,Disbursements!$B:$B,0)),"No Loan")</f>
        <v>Jerome</v>
      </c>
      <c r="D154" s="364">
        <f>SUMIF(Disbursements!$B:$B,Ageing!$B154,Disbursements!AN:AN)</f>
        <v>273999.99999999994</v>
      </c>
      <c r="E154" s="364">
        <f>SUMIF(Disbursements!$B:$B,Ageing!$B154,Disbursements!AO:AO)</f>
        <v>1250000</v>
      </c>
      <c r="F154" s="365">
        <f t="shared" si="6"/>
        <v>1524000</v>
      </c>
      <c r="G154" s="364">
        <f ca="1">SUMIF(Disbursements!$B:$B,Ageing!$B154,Disbursements!AQ:AQ)</f>
        <v>1524000</v>
      </c>
      <c r="H154" s="364">
        <f ca="1">SUMIF(Disbursements!$B:$B,Ageing!$B154,Disbursements!AS:AS)</f>
        <v>151</v>
      </c>
      <c r="I154" s="364">
        <f t="shared" ca="1" si="7"/>
        <v>1</v>
      </c>
      <c r="J154" s="369">
        <f ca="1">SUMIFS(Disbursements!$AP:$AP,Disbursements!$B:$B,Ageing!$B154,Disbursements!$AT:$AT,Ageing!J$4)</f>
        <v>0</v>
      </c>
      <c r="K154" s="369">
        <f ca="1">SUMIFS(Disbursements!$AP:$AP,Disbursements!$B:$B,Ageing!$B154,Disbursements!$AT:$AT,Ageing!K$4)</f>
        <v>0</v>
      </c>
      <c r="L154" s="369">
        <f ca="1">SUMIFS(Disbursements!$AP:$AP,Disbursements!$B:$B,Ageing!$B154,Disbursements!$AT:$AT,Ageing!L$4)</f>
        <v>0</v>
      </c>
      <c r="M154" s="369">
        <f ca="1">SUMIFS(Disbursements!$AP:$AP,Disbursements!$B:$B,Ageing!$B154,Disbursements!$AT:$AT,Ageing!M$4)</f>
        <v>0</v>
      </c>
      <c r="N154" s="369">
        <f ca="1">SUMIFS(Disbursements!$AP:$AP,Disbursements!$B:$B,Ageing!$B154,Disbursements!$AT:$AT,Ageing!N$4)</f>
        <v>1524000</v>
      </c>
      <c r="O154" s="369">
        <f ca="1">SUMIFS(Disbursements!$AP:$AP,Disbursements!$B:$B,Ageing!$B154,Disbursements!$AT:$AT,Ageing!O$4)</f>
        <v>0</v>
      </c>
    </row>
    <row r="155" spans="1:15" x14ac:dyDescent="0.2">
      <c r="A155" s="179" t="str">
        <f>IFERROR(VLOOKUP($B155,'Clients-Live'!$A:$C,3,30),"")</f>
        <v>MORRO HASSAN</v>
      </c>
      <c r="B155" s="480">
        <v>151</v>
      </c>
      <c r="C155" s="370" t="str">
        <f>IFERROR(INDEX(Disbursements!$J:$J,MATCH(Ageing!B155,Disbursements!$B:$B,0)),"No Loan")</f>
        <v>Jerome</v>
      </c>
      <c r="D155" s="364">
        <f>SUMIF(Disbursements!$B:$B,Ageing!$B155,Disbursements!AN:AN)</f>
        <v>60000</v>
      </c>
      <c r="E155" s="364">
        <f>SUMIF(Disbursements!$B:$B,Ageing!$B155,Disbursements!AO:AO)</f>
        <v>1700000</v>
      </c>
      <c r="F155" s="365">
        <f t="shared" si="6"/>
        <v>1760000</v>
      </c>
      <c r="G155" s="364">
        <f ca="1">SUMIF(Disbursements!$B:$B,Ageing!$B155,Disbursements!AQ:AQ)</f>
        <v>1760000</v>
      </c>
      <c r="H155" s="364">
        <f ca="1">SUMIF(Disbursements!$B:$B,Ageing!$B155,Disbursements!AS:AS)</f>
        <v>88</v>
      </c>
      <c r="I155" s="364">
        <f t="shared" ca="1" si="7"/>
        <v>1</v>
      </c>
      <c r="J155" s="369">
        <f ca="1">SUMIFS(Disbursements!$AP:$AP,Disbursements!$B:$B,Ageing!$B155,Disbursements!$AT:$AT,Ageing!J$4)</f>
        <v>0</v>
      </c>
      <c r="K155" s="369">
        <f ca="1">SUMIFS(Disbursements!$AP:$AP,Disbursements!$B:$B,Ageing!$B155,Disbursements!$AT:$AT,Ageing!K$4)</f>
        <v>0</v>
      </c>
      <c r="L155" s="369">
        <f ca="1">SUMIFS(Disbursements!$AP:$AP,Disbursements!$B:$B,Ageing!$B155,Disbursements!$AT:$AT,Ageing!L$4)</f>
        <v>0</v>
      </c>
      <c r="M155" s="369">
        <f ca="1">SUMIFS(Disbursements!$AP:$AP,Disbursements!$B:$B,Ageing!$B155,Disbursements!$AT:$AT,Ageing!M$4)</f>
        <v>1760000</v>
      </c>
      <c r="N155" s="369">
        <f ca="1">SUMIFS(Disbursements!$AP:$AP,Disbursements!$B:$B,Ageing!$B155,Disbursements!$AT:$AT,Ageing!N$4)</f>
        <v>0</v>
      </c>
      <c r="O155" s="369">
        <f ca="1">SUMIFS(Disbursements!$AP:$AP,Disbursements!$B:$B,Ageing!$B155,Disbursements!$AT:$AT,Ageing!O$4)</f>
        <v>0</v>
      </c>
    </row>
    <row r="156" spans="1:15" x14ac:dyDescent="0.2">
      <c r="A156" s="179" t="str">
        <f>IFERROR(VLOOKUP($B156,'Clients-Live'!$A:$C,3,30),"")</f>
        <v>ASE ZAINABU</v>
      </c>
      <c r="B156" s="480">
        <v>152</v>
      </c>
      <c r="C156" s="370" t="str">
        <f>IFERROR(INDEX(Disbursements!$J:$J,MATCH(Ageing!B156,Disbursements!$B:$B,0)),"No Loan")</f>
        <v>Aroma</v>
      </c>
      <c r="D156" s="364">
        <f>SUMIF(Disbursements!$B:$B,Ageing!$B156,Disbursements!AN:AN)</f>
        <v>75000</v>
      </c>
      <c r="E156" s="364">
        <f>SUMIF(Disbursements!$B:$B,Ageing!$B156,Disbursements!AO:AO)</f>
        <v>247000</v>
      </c>
      <c r="F156" s="365">
        <f t="shared" si="6"/>
        <v>322000</v>
      </c>
      <c r="G156" s="364">
        <f ca="1">SUMIF(Disbursements!$B:$B,Ageing!$B156,Disbursements!AQ:AQ)</f>
        <v>322000</v>
      </c>
      <c r="H156" s="364">
        <f ca="1">SUMIF(Disbursements!$B:$B,Ageing!$B156,Disbursements!AS:AS)</f>
        <v>57</v>
      </c>
      <c r="I156" s="364">
        <f t="shared" ca="1" si="7"/>
        <v>1</v>
      </c>
      <c r="J156" s="369">
        <f ca="1">SUMIFS(Disbursements!$AP:$AP,Disbursements!$B:$B,Ageing!$B156,Disbursements!$AT:$AT,Ageing!J$4)</f>
        <v>0</v>
      </c>
      <c r="K156" s="369">
        <f ca="1">SUMIFS(Disbursements!$AP:$AP,Disbursements!$B:$B,Ageing!$B156,Disbursements!$AT:$AT,Ageing!K$4)</f>
        <v>0</v>
      </c>
      <c r="L156" s="369">
        <f ca="1">SUMIFS(Disbursements!$AP:$AP,Disbursements!$B:$B,Ageing!$B156,Disbursements!$AT:$AT,Ageing!L$4)</f>
        <v>322000</v>
      </c>
      <c r="M156" s="369">
        <f ca="1">SUMIFS(Disbursements!$AP:$AP,Disbursements!$B:$B,Ageing!$B156,Disbursements!$AT:$AT,Ageing!M$4)</f>
        <v>0</v>
      </c>
      <c r="N156" s="369">
        <f ca="1">SUMIFS(Disbursements!$AP:$AP,Disbursements!$B:$B,Ageing!$B156,Disbursements!$AT:$AT,Ageing!N$4)</f>
        <v>0</v>
      </c>
      <c r="O156" s="369">
        <f ca="1">SUMIFS(Disbursements!$AP:$AP,Disbursements!$B:$B,Ageing!$B156,Disbursements!$AT:$AT,Ageing!O$4)</f>
        <v>0</v>
      </c>
    </row>
    <row r="157" spans="1:15" x14ac:dyDescent="0.2">
      <c r="A157" s="179" t="str">
        <f>IFERROR(VLOOKUP($B157,'Clients-Live'!$A:$C,3,30),"")</f>
        <v>ALEMI SEBI</v>
      </c>
      <c r="B157" s="480">
        <v>153</v>
      </c>
      <c r="C157" s="370" t="str">
        <f>IFERROR(INDEX(Disbursements!$J:$J,MATCH(Ageing!B157,Disbursements!$B:$B,0)),"No Loan")</f>
        <v>No Loan</v>
      </c>
      <c r="D157" s="364">
        <f>SUMIF(Disbursements!$B:$B,Ageing!$B157,Disbursements!AN:AN)</f>
        <v>0</v>
      </c>
      <c r="E157" s="364">
        <f>SUMIF(Disbursements!$B:$B,Ageing!$B157,Disbursements!AO:AO)</f>
        <v>0</v>
      </c>
      <c r="F157" s="365">
        <f t="shared" si="6"/>
        <v>0</v>
      </c>
      <c r="G157" s="364">
        <f>SUMIF(Disbursements!$B:$B,Ageing!$B157,Disbursements!AQ:AQ)</f>
        <v>0</v>
      </c>
      <c r="H157" s="364">
        <f>SUMIF(Disbursements!$B:$B,Ageing!$B157,Disbursements!AS:AS)</f>
        <v>0</v>
      </c>
      <c r="I157" s="364">
        <f t="shared" si="7"/>
        <v>0</v>
      </c>
      <c r="J157" s="369">
        <f>SUMIFS(Disbursements!$AP:$AP,Disbursements!$B:$B,Ageing!$B157,Disbursements!$AT:$AT,Ageing!J$4)</f>
        <v>0</v>
      </c>
      <c r="K157" s="369">
        <f>SUMIFS(Disbursements!$AP:$AP,Disbursements!$B:$B,Ageing!$B157,Disbursements!$AT:$AT,Ageing!K$4)</f>
        <v>0</v>
      </c>
      <c r="L157" s="369">
        <f>SUMIFS(Disbursements!$AP:$AP,Disbursements!$B:$B,Ageing!$B157,Disbursements!$AT:$AT,Ageing!L$4)</f>
        <v>0</v>
      </c>
      <c r="M157" s="369">
        <f>SUMIFS(Disbursements!$AP:$AP,Disbursements!$B:$B,Ageing!$B157,Disbursements!$AT:$AT,Ageing!M$4)</f>
        <v>0</v>
      </c>
      <c r="N157" s="369">
        <f>SUMIFS(Disbursements!$AP:$AP,Disbursements!$B:$B,Ageing!$B157,Disbursements!$AT:$AT,Ageing!N$4)</f>
        <v>0</v>
      </c>
      <c r="O157" s="369">
        <f>SUMIFS(Disbursements!$AP:$AP,Disbursements!$B:$B,Ageing!$B157,Disbursements!$AT:$AT,Ageing!O$4)</f>
        <v>0</v>
      </c>
    </row>
    <row r="158" spans="1:15" x14ac:dyDescent="0.2">
      <c r="A158" s="179" t="str">
        <f>IFERROR(VLOOKUP($B158,'Clients-Live'!$A:$C,3,30),"")</f>
        <v>ERIMU SAMSON</v>
      </c>
      <c r="B158" s="480">
        <v>154</v>
      </c>
      <c r="C158" s="370" t="str">
        <f>IFERROR(INDEX(Disbursements!$J:$J,MATCH(Ageing!B158,Disbursements!$B:$B,0)),"No Loan")</f>
        <v>Aroma</v>
      </c>
      <c r="D158" s="364">
        <f>SUMIF(Disbursements!$B:$B,Ageing!$B158,Disbursements!AN:AN)</f>
        <v>234666.66666666669</v>
      </c>
      <c r="E158" s="364">
        <f>SUMIF(Disbursements!$B:$B,Ageing!$B158,Disbursements!AO:AO)</f>
        <v>975333.33333333326</v>
      </c>
      <c r="F158" s="365">
        <f t="shared" si="6"/>
        <v>1210000</v>
      </c>
      <c r="G158" s="364">
        <f ca="1">SUMIF(Disbursements!$B:$B,Ageing!$B158,Disbursements!AQ:AQ)</f>
        <v>1210000</v>
      </c>
      <c r="H158" s="364">
        <f ca="1">SUMIF(Disbursements!$B:$B,Ageing!$B158,Disbursements!AS:AS)</f>
        <v>94</v>
      </c>
      <c r="I158" s="364">
        <f t="shared" ca="1" si="7"/>
        <v>1</v>
      </c>
      <c r="J158" s="369">
        <f ca="1">SUMIFS(Disbursements!$AP:$AP,Disbursements!$B:$B,Ageing!$B158,Disbursements!$AT:$AT,Ageing!J$4)</f>
        <v>0</v>
      </c>
      <c r="K158" s="369">
        <f ca="1">SUMIFS(Disbursements!$AP:$AP,Disbursements!$B:$B,Ageing!$B158,Disbursements!$AT:$AT,Ageing!K$4)</f>
        <v>0</v>
      </c>
      <c r="L158" s="369">
        <f ca="1">SUMIFS(Disbursements!$AP:$AP,Disbursements!$B:$B,Ageing!$B158,Disbursements!$AT:$AT,Ageing!L$4)</f>
        <v>0</v>
      </c>
      <c r="M158" s="369">
        <f ca="1">SUMIFS(Disbursements!$AP:$AP,Disbursements!$B:$B,Ageing!$B158,Disbursements!$AT:$AT,Ageing!M$4)</f>
        <v>0</v>
      </c>
      <c r="N158" s="369">
        <f ca="1">SUMIFS(Disbursements!$AP:$AP,Disbursements!$B:$B,Ageing!$B158,Disbursements!$AT:$AT,Ageing!N$4)</f>
        <v>1210000</v>
      </c>
      <c r="O158" s="369">
        <f ca="1">SUMIFS(Disbursements!$AP:$AP,Disbursements!$B:$B,Ageing!$B158,Disbursements!$AT:$AT,Ageing!O$4)</f>
        <v>0</v>
      </c>
    </row>
    <row r="159" spans="1:15" x14ac:dyDescent="0.2">
      <c r="A159" s="179" t="str">
        <f>IFERROR(VLOOKUP($B159,'Clients-Live'!$A:$C,3,30),"")</f>
        <v>AROMBORAC SIAMA</v>
      </c>
      <c r="B159" s="480">
        <v>155</v>
      </c>
      <c r="C159" s="370" t="str">
        <f>IFERROR(INDEX(Disbursements!$J:$J,MATCH(Ageing!B159,Disbursements!$B:$B,0)),"No Loan")</f>
        <v>Aroma</v>
      </c>
      <c r="D159" s="364">
        <f>SUMIF(Disbursements!$B:$B,Ageing!$B159,Disbursements!AN:AN)</f>
        <v>0</v>
      </c>
      <c r="E159" s="364">
        <f>SUMIF(Disbursements!$B:$B,Ageing!$B159,Disbursements!AO:AO)</f>
        <v>41300</v>
      </c>
      <c r="F159" s="365">
        <f t="shared" si="6"/>
        <v>41300</v>
      </c>
      <c r="G159" s="364">
        <f ca="1">SUMIF(Disbursements!$B:$B,Ageing!$B159,Disbursements!AQ:AQ)</f>
        <v>41300</v>
      </c>
      <c r="H159" s="364">
        <f ca="1">SUMIF(Disbursements!$B:$B,Ageing!$B159,Disbursements!AS:AS)</f>
        <v>15</v>
      </c>
      <c r="I159" s="364">
        <f t="shared" ca="1" si="7"/>
        <v>1</v>
      </c>
      <c r="J159" s="369">
        <f ca="1">SUMIFS(Disbursements!$AP:$AP,Disbursements!$B:$B,Ageing!$B159,Disbursements!$AT:$AT,Ageing!J$4)</f>
        <v>0</v>
      </c>
      <c r="K159" s="369">
        <f ca="1">SUMIFS(Disbursements!$AP:$AP,Disbursements!$B:$B,Ageing!$B159,Disbursements!$AT:$AT,Ageing!K$4)</f>
        <v>41300</v>
      </c>
      <c r="L159" s="369">
        <f ca="1">SUMIFS(Disbursements!$AP:$AP,Disbursements!$B:$B,Ageing!$B159,Disbursements!$AT:$AT,Ageing!L$4)</f>
        <v>0</v>
      </c>
      <c r="M159" s="369">
        <f ca="1">SUMIFS(Disbursements!$AP:$AP,Disbursements!$B:$B,Ageing!$B159,Disbursements!$AT:$AT,Ageing!M$4)</f>
        <v>0</v>
      </c>
      <c r="N159" s="369">
        <f ca="1">SUMIFS(Disbursements!$AP:$AP,Disbursements!$B:$B,Ageing!$B159,Disbursements!$AT:$AT,Ageing!N$4)</f>
        <v>0</v>
      </c>
      <c r="O159" s="369">
        <f ca="1">SUMIFS(Disbursements!$AP:$AP,Disbursements!$B:$B,Ageing!$B159,Disbursements!$AT:$AT,Ageing!O$4)</f>
        <v>0</v>
      </c>
    </row>
    <row r="160" spans="1:15" x14ac:dyDescent="0.2">
      <c r="A160" s="179" t="str">
        <f>IFERROR(VLOOKUP($B160,'Clients-Live'!$A:$C,3,30),"")</f>
        <v xml:space="preserve">ONIBA AISHA </v>
      </c>
      <c r="B160" s="480">
        <v>156</v>
      </c>
      <c r="C160" s="370" t="str">
        <f>IFERROR(INDEX(Disbursements!$J:$J,MATCH(Ageing!B160,Disbursements!$B:$B,0)),"No Loan")</f>
        <v>Aroma</v>
      </c>
      <c r="D160" s="364">
        <f>SUMIF(Disbursements!$B:$B,Ageing!$B160,Disbursements!AN:AN)</f>
        <v>0</v>
      </c>
      <c r="E160" s="364">
        <f>SUMIF(Disbursements!$B:$B,Ageing!$B160,Disbursements!AO:AO)</f>
        <v>2000</v>
      </c>
      <c r="F160" s="365">
        <f t="shared" si="6"/>
        <v>2000</v>
      </c>
      <c r="G160" s="364">
        <f ca="1">SUMIF(Disbursements!$B:$B,Ageing!$B160,Disbursements!AQ:AQ)</f>
        <v>2000</v>
      </c>
      <c r="H160" s="364">
        <f ca="1">SUMIF(Disbursements!$B:$B,Ageing!$B160,Disbursements!AS:AS)</f>
        <v>1</v>
      </c>
      <c r="I160" s="364">
        <f t="shared" ca="1" si="7"/>
        <v>1</v>
      </c>
      <c r="J160" s="369">
        <f ca="1">SUMIFS(Disbursements!$AP:$AP,Disbursements!$B:$B,Ageing!$B160,Disbursements!$AT:$AT,Ageing!J$4)</f>
        <v>0</v>
      </c>
      <c r="K160" s="369">
        <f ca="1">SUMIFS(Disbursements!$AP:$AP,Disbursements!$B:$B,Ageing!$B160,Disbursements!$AT:$AT,Ageing!K$4)</f>
        <v>2000</v>
      </c>
      <c r="L160" s="369">
        <f ca="1">SUMIFS(Disbursements!$AP:$AP,Disbursements!$B:$B,Ageing!$B160,Disbursements!$AT:$AT,Ageing!L$4)</f>
        <v>0</v>
      </c>
      <c r="M160" s="369">
        <f ca="1">SUMIFS(Disbursements!$AP:$AP,Disbursements!$B:$B,Ageing!$B160,Disbursements!$AT:$AT,Ageing!M$4)</f>
        <v>0</v>
      </c>
      <c r="N160" s="369">
        <f ca="1">SUMIFS(Disbursements!$AP:$AP,Disbursements!$B:$B,Ageing!$B160,Disbursements!$AT:$AT,Ageing!N$4)</f>
        <v>0</v>
      </c>
      <c r="O160" s="369">
        <f ca="1">SUMIFS(Disbursements!$AP:$AP,Disbursements!$B:$B,Ageing!$B160,Disbursements!$AT:$AT,Ageing!O$4)</f>
        <v>0</v>
      </c>
    </row>
    <row r="161" spans="1:15" x14ac:dyDescent="0.2">
      <c r="A161" s="179" t="str">
        <f>IFERROR(VLOOKUP($B161,'Clients-Live'!$A:$C,3,30),"")</f>
        <v>AYITE MARGERT</v>
      </c>
      <c r="B161" s="480">
        <v>157</v>
      </c>
      <c r="C161" s="370" t="str">
        <f>IFERROR(INDEX(Disbursements!$J:$J,MATCH(Ageing!B161,Disbursements!$B:$B,0)),"No Loan")</f>
        <v>kana</v>
      </c>
      <c r="D161" s="364">
        <f>SUMIF(Disbursements!$B:$B,Ageing!$B161,Disbursements!AN:AN)</f>
        <v>138000</v>
      </c>
      <c r="E161" s="364">
        <f>SUMIF(Disbursements!$B:$B,Ageing!$B161,Disbursements!AO:AO)</f>
        <v>642000</v>
      </c>
      <c r="F161" s="365">
        <f t="shared" si="6"/>
        <v>780000</v>
      </c>
      <c r="G161" s="364">
        <f ca="1">SUMIF(Disbursements!$B:$B,Ageing!$B161,Disbursements!AQ:AQ)</f>
        <v>780000</v>
      </c>
      <c r="H161" s="364">
        <f ca="1">SUMIF(Disbursements!$B:$B,Ageing!$B161,Disbursements!AS:AS)</f>
        <v>126</v>
      </c>
      <c r="I161" s="364">
        <f t="shared" ca="1" si="7"/>
        <v>1</v>
      </c>
      <c r="J161" s="369">
        <f ca="1">SUMIFS(Disbursements!$AP:$AP,Disbursements!$B:$B,Ageing!$B161,Disbursements!$AT:$AT,Ageing!J$4)</f>
        <v>0</v>
      </c>
      <c r="K161" s="369">
        <f ca="1">SUMIFS(Disbursements!$AP:$AP,Disbursements!$B:$B,Ageing!$B161,Disbursements!$AT:$AT,Ageing!K$4)</f>
        <v>0</v>
      </c>
      <c r="L161" s="369">
        <f ca="1">SUMIFS(Disbursements!$AP:$AP,Disbursements!$B:$B,Ageing!$B161,Disbursements!$AT:$AT,Ageing!L$4)</f>
        <v>0</v>
      </c>
      <c r="M161" s="369">
        <f ca="1">SUMIFS(Disbursements!$AP:$AP,Disbursements!$B:$B,Ageing!$B161,Disbursements!$AT:$AT,Ageing!M$4)</f>
        <v>0</v>
      </c>
      <c r="N161" s="369">
        <f ca="1">SUMIFS(Disbursements!$AP:$AP,Disbursements!$B:$B,Ageing!$B161,Disbursements!$AT:$AT,Ageing!N$4)</f>
        <v>780000</v>
      </c>
      <c r="O161" s="369">
        <f ca="1">SUMIFS(Disbursements!$AP:$AP,Disbursements!$B:$B,Ageing!$B161,Disbursements!$AT:$AT,Ageing!O$4)</f>
        <v>0</v>
      </c>
    </row>
    <row r="162" spans="1:15" x14ac:dyDescent="0.2">
      <c r="A162" s="179" t="str">
        <f>IFERROR(VLOOKUP($B162,'Clients-Live'!$A:$C,3,30),"")</f>
        <v>METALORO STEPHEN</v>
      </c>
      <c r="B162" s="480">
        <v>158</v>
      </c>
      <c r="C162" s="370" t="str">
        <f>IFERROR(INDEX(Disbursements!$J:$J,MATCH(Ageing!B162,Disbursements!$B:$B,0)),"No Loan")</f>
        <v>Aroma</v>
      </c>
      <c r="D162" s="364">
        <f>SUMIF(Disbursements!$B:$B,Ageing!$B162,Disbursements!AN:AN)</f>
        <v>0</v>
      </c>
      <c r="E162" s="364">
        <f>SUMIF(Disbursements!$B:$B,Ageing!$B162,Disbursements!AO:AO)</f>
        <v>0</v>
      </c>
      <c r="F162" s="365">
        <f t="shared" si="6"/>
        <v>0</v>
      </c>
      <c r="G162" s="364">
        <f ca="1">SUMIF(Disbursements!$B:$B,Ageing!$B162,Disbursements!AQ:AQ)</f>
        <v>0</v>
      </c>
      <c r="H162" s="364">
        <f ca="1">SUMIF(Disbursements!$B:$B,Ageing!$B162,Disbursements!AS:AS)</f>
        <v>0</v>
      </c>
      <c r="I162" s="364">
        <f t="shared" si="7"/>
        <v>0</v>
      </c>
      <c r="J162" s="369">
        <f>SUMIFS(Disbursements!$AP:$AP,Disbursements!$B:$B,Ageing!$B162,Disbursements!$AT:$AT,Ageing!J$4)</f>
        <v>0</v>
      </c>
      <c r="K162" s="369">
        <f>SUMIFS(Disbursements!$AP:$AP,Disbursements!$B:$B,Ageing!$B162,Disbursements!$AT:$AT,Ageing!K$4)</f>
        <v>0</v>
      </c>
      <c r="L162" s="369">
        <f>SUMIFS(Disbursements!$AP:$AP,Disbursements!$B:$B,Ageing!$B162,Disbursements!$AT:$AT,Ageing!L$4)</f>
        <v>0</v>
      </c>
      <c r="M162" s="369">
        <f>SUMIFS(Disbursements!$AP:$AP,Disbursements!$B:$B,Ageing!$B162,Disbursements!$AT:$AT,Ageing!M$4)</f>
        <v>0</v>
      </c>
      <c r="N162" s="369">
        <f>SUMIFS(Disbursements!$AP:$AP,Disbursements!$B:$B,Ageing!$B162,Disbursements!$AT:$AT,Ageing!N$4)</f>
        <v>0</v>
      </c>
      <c r="O162" s="369">
        <f>SUMIFS(Disbursements!$AP:$AP,Disbursements!$B:$B,Ageing!$B162,Disbursements!$AT:$AT,Ageing!O$4)</f>
        <v>0</v>
      </c>
    </row>
    <row r="163" spans="1:15" x14ac:dyDescent="0.2">
      <c r="A163" s="179" t="str">
        <f>IFERROR(VLOOKUP($B163,'Clients-Live'!$A:$C,3,30),"")</f>
        <v>ALICE AMINA</v>
      </c>
      <c r="B163" s="480">
        <v>159</v>
      </c>
      <c r="C163" s="370" t="str">
        <f>IFERROR(INDEX(Disbursements!$J:$J,MATCH(Ageing!B163,Disbursements!$B:$B,0)),"No Loan")</f>
        <v>Aroma</v>
      </c>
      <c r="D163" s="364">
        <f>SUMIF(Disbursements!$B:$B,Ageing!$B163,Disbursements!AN:AN)</f>
        <v>0</v>
      </c>
      <c r="E163" s="364">
        <f>SUMIF(Disbursements!$B:$B,Ageing!$B163,Disbursements!AO:AO)</f>
        <v>0</v>
      </c>
      <c r="F163" s="365">
        <f t="shared" si="6"/>
        <v>0</v>
      </c>
      <c r="G163" s="364">
        <f ca="1">SUMIF(Disbursements!$B:$B,Ageing!$B163,Disbursements!AQ:AQ)</f>
        <v>0</v>
      </c>
      <c r="H163" s="364">
        <f ca="1">SUMIF(Disbursements!$B:$B,Ageing!$B163,Disbursements!AS:AS)</f>
        <v>0</v>
      </c>
      <c r="I163" s="364">
        <f t="shared" si="7"/>
        <v>0</v>
      </c>
      <c r="J163" s="369">
        <f>SUMIFS(Disbursements!$AP:$AP,Disbursements!$B:$B,Ageing!$B163,Disbursements!$AT:$AT,Ageing!J$4)</f>
        <v>0</v>
      </c>
      <c r="K163" s="369">
        <f>SUMIFS(Disbursements!$AP:$AP,Disbursements!$B:$B,Ageing!$B163,Disbursements!$AT:$AT,Ageing!K$4)</f>
        <v>0</v>
      </c>
      <c r="L163" s="369">
        <f>SUMIFS(Disbursements!$AP:$AP,Disbursements!$B:$B,Ageing!$B163,Disbursements!$AT:$AT,Ageing!L$4)</f>
        <v>0</v>
      </c>
      <c r="M163" s="369">
        <f>SUMIFS(Disbursements!$AP:$AP,Disbursements!$B:$B,Ageing!$B163,Disbursements!$AT:$AT,Ageing!M$4)</f>
        <v>0</v>
      </c>
      <c r="N163" s="369">
        <f>SUMIFS(Disbursements!$AP:$AP,Disbursements!$B:$B,Ageing!$B163,Disbursements!$AT:$AT,Ageing!N$4)</f>
        <v>0</v>
      </c>
      <c r="O163" s="369">
        <f>SUMIFS(Disbursements!$AP:$AP,Disbursements!$B:$B,Ageing!$B163,Disbursements!$AT:$AT,Ageing!O$4)</f>
        <v>0</v>
      </c>
    </row>
    <row r="164" spans="1:15" x14ac:dyDescent="0.2">
      <c r="A164" s="179" t="str">
        <f>IFERROR(VLOOKUP($B164,'Clients-Live'!$A:$C,3,30),"")</f>
        <v>CHANDI ZANABU</v>
      </c>
      <c r="B164" s="480">
        <v>160</v>
      </c>
      <c r="C164" s="370" t="str">
        <f>IFERROR(INDEX(Disbursements!$J:$J,MATCH(Ageing!B164,Disbursements!$B:$B,0)),"No Loan")</f>
        <v>Aroma</v>
      </c>
      <c r="D164" s="364">
        <f>SUMIF(Disbursements!$B:$B,Ageing!$B164,Disbursements!AN:AN)</f>
        <v>132000</v>
      </c>
      <c r="E164" s="364">
        <f>SUMIF(Disbursements!$B:$B,Ageing!$B164,Disbursements!AO:AO)</f>
        <v>400500</v>
      </c>
      <c r="F164" s="365">
        <f t="shared" si="6"/>
        <v>532500</v>
      </c>
      <c r="G164" s="364">
        <f ca="1">SUMIF(Disbursements!$B:$B,Ageing!$B164,Disbursements!AQ:AQ)</f>
        <v>532500</v>
      </c>
      <c r="H164" s="364">
        <f ca="1">SUMIF(Disbursements!$B:$B,Ageing!$B164,Disbursements!AS:AS)</f>
        <v>121</v>
      </c>
      <c r="I164" s="364">
        <f t="shared" ca="1" si="7"/>
        <v>1</v>
      </c>
      <c r="J164" s="369">
        <f ca="1">SUMIFS(Disbursements!$AP:$AP,Disbursements!$B:$B,Ageing!$B164,Disbursements!$AT:$AT,Ageing!J$4)</f>
        <v>0</v>
      </c>
      <c r="K164" s="369">
        <f ca="1">SUMIFS(Disbursements!$AP:$AP,Disbursements!$B:$B,Ageing!$B164,Disbursements!$AT:$AT,Ageing!K$4)</f>
        <v>0</v>
      </c>
      <c r="L164" s="369">
        <f ca="1">SUMIFS(Disbursements!$AP:$AP,Disbursements!$B:$B,Ageing!$B164,Disbursements!$AT:$AT,Ageing!L$4)</f>
        <v>0</v>
      </c>
      <c r="M164" s="369">
        <f ca="1">SUMIFS(Disbursements!$AP:$AP,Disbursements!$B:$B,Ageing!$B164,Disbursements!$AT:$AT,Ageing!M$4)</f>
        <v>0</v>
      </c>
      <c r="N164" s="369">
        <f ca="1">SUMIFS(Disbursements!$AP:$AP,Disbursements!$B:$B,Ageing!$B164,Disbursements!$AT:$AT,Ageing!N$4)</f>
        <v>532500</v>
      </c>
      <c r="O164" s="369">
        <f ca="1">SUMIFS(Disbursements!$AP:$AP,Disbursements!$B:$B,Ageing!$B164,Disbursements!$AT:$AT,Ageing!O$4)</f>
        <v>0</v>
      </c>
    </row>
    <row r="165" spans="1:15" x14ac:dyDescent="0.2">
      <c r="A165" s="179" t="str">
        <f>IFERROR(VLOOKUP($B165,'Clients-Live'!$A:$C,3,30),"")</f>
        <v>OKUYO BERNARD</v>
      </c>
      <c r="B165" s="480">
        <v>161</v>
      </c>
      <c r="C165" s="370" t="str">
        <f>IFERROR(INDEX(Disbursements!$J:$J,MATCH(Ageing!B165,Disbursements!$B:$B,0)),"No Loan")</f>
        <v>Kana</v>
      </c>
      <c r="D165" s="364">
        <f>SUMIF(Disbursements!$B:$B,Ageing!$B165,Disbursements!AN:AN)</f>
        <v>0</v>
      </c>
      <c r="E165" s="364">
        <f>SUMIF(Disbursements!$B:$B,Ageing!$B165,Disbursements!AO:AO)</f>
        <v>4325000</v>
      </c>
      <c r="F165" s="365">
        <f t="shared" si="6"/>
        <v>4325000</v>
      </c>
      <c r="G165" s="364">
        <f ca="1">SUMIF(Disbursements!$B:$B,Ageing!$B165,Disbursements!AQ:AQ)</f>
        <v>4325000</v>
      </c>
      <c r="H165" s="364">
        <f ca="1">SUMIF(Disbursements!$B:$B,Ageing!$B165,Disbursements!AS:AS)</f>
        <v>25</v>
      </c>
      <c r="I165" s="364">
        <f t="shared" ca="1" si="7"/>
        <v>1</v>
      </c>
      <c r="J165" s="369">
        <f ca="1">SUMIFS(Disbursements!$AP:$AP,Disbursements!$B:$B,Ageing!$B165,Disbursements!$AT:$AT,Ageing!J$4)</f>
        <v>0</v>
      </c>
      <c r="K165" s="369">
        <f ca="1">SUMIFS(Disbursements!$AP:$AP,Disbursements!$B:$B,Ageing!$B165,Disbursements!$AT:$AT,Ageing!K$4)</f>
        <v>4325000</v>
      </c>
      <c r="L165" s="369">
        <f ca="1">SUMIFS(Disbursements!$AP:$AP,Disbursements!$B:$B,Ageing!$B165,Disbursements!$AT:$AT,Ageing!L$4)</f>
        <v>0</v>
      </c>
      <c r="M165" s="369">
        <f ca="1">SUMIFS(Disbursements!$AP:$AP,Disbursements!$B:$B,Ageing!$B165,Disbursements!$AT:$AT,Ageing!M$4)</f>
        <v>0</v>
      </c>
      <c r="N165" s="369">
        <f ca="1">SUMIFS(Disbursements!$AP:$AP,Disbursements!$B:$B,Ageing!$B165,Disbursements!$AT:$AT,Ageing!N$4)</f>
        <v>0</v>
      </c>
      <c r="O165" s="369">
        <f ca="1">SUMIFS(Disbursements!$AP:$AP,Disbursements!$B:$B,Ageing!$B165,Disbursements!$AT:$AT,Ageing!O$4)</f>
        <v>0</v>
      </c>
    </row>
    <row r="166" spans="1:15" x14ac:dyDescent="0.2">
      <c r="A166" s="179" t="str">
        <f>IFERROR(VLOOKUP($B166,'Clients-Live'!$A:$C,3,30),"")</f>
        <v>DEPAYA JOYCE</v>
      </c>
      <c r="B166" s="480">
        <v>162</v>
      </c>
      <c r="C166" s="370" t="str">
        <f>IFERROR(INDEX(Disbursements!$J:$J,MATCH(Ageing!B166,Disbursements!$B:$B,0)),"No Loan")</f>
        <v>No Loan</v>
      </c>
      <c r="D166" s="364">
        <f>SUMIF(Disbursements!$B:$B,Ageing!$B166,Disbursements!AN:AN)</f>
        <v>0</v>
      </c>
      <c r="E166" s="364">
        <f>SUMIF(Disbursements!$B:$B,Ageing!$B166,Disbursements!AO:AO)</f>
        <v>0</v>
      </c>
      <c r="F166" s="365">
        <f t="shared" si="6"/>
        <v>0</v>
      </c>
      <c r="G166" s="364">
        <f>SUMIF(Disbursements!$B:$B,Ageing!$B166,Disbursements!AQ:AQ)</f>
        <v>0</v>
      </c>
      <c r="H166" s="364">
        <f>SUMIF(Disbursements!$B:$B,Ageing!$B166,Disbursements!AS:AS)</f>
        <v>0</v>
      </c>
      <c r="I166" s="364">
        <f t="shared" si="7"/>
        <v>0</v>
      </c>
      <c r="J166" s="369">
        <f>SUMIFS(Disbursements!$AP:$AP,Disbursements!$B:$B,Ageing!$B166,Disbursements!$AT:$AT,Ageing!J$4)</f>
        <v>0</v>
      </c>
      <c r="K166" s="369">
        <f>SUMIFS(Disbursements!$AP:$AP,Disbursements!$B:$B,Ageing!$B166,Disbursements!$AT:$AT,Ageing!K$4)</f>
        <v>0</v>
      </c>
      <c r="L166" s="369">
        <f>SUMIFS(Disbursements!$AP:$AP,Disbursements!$B:$B,Ageing!$B166,Disbursements!$AT:$AT,Ageing!L$4)</f>
        <v>0</v>
      </c>
      <c r="M166" s="369">
        <f>SUMIFS(Disbursements!$AP:$AP,Disbursements!$B:$B,Ageing!$B166,Disbursements!$AT:$AT,Ageing!M$4)</f>
        <v>0</v>
      </c>
      <c r="N166" s="369">
        <f>SUMIFS(Disbursements!$AP:$AP,Disbursements!$B:$B,Ageing!$B166,Disbursements!$AT:$AT,Ageing!N$4)</f>
        <v>0</v>
      </c>
      <c r="O166" s="369">
        <f>SUMIFS(Disbursements!$AP:$AP,Disbursements!$B:$B,Ageing!$B166,Disbursements!$AT:$AT,Ageing!O$4)</f>
        <v>0</v>
      </c>
    </row>
    <row r="167" spans="1:15" x14ac:dyDescent="0.2">
      <c r="A167" s="179" t="str">
        <f>IFERROR(VLOOKUP($B167,'Clients-Live'!$A:$C,3,30),"")</f>
        <v>CHANDIRU RAMULA</v>
      </c>
      <c r="B167" s="480">
        <v>163</v>
      </c>
      <c r="C167" s="370" t="str">
        <f>IFERROR(INDEX(Disbursements!$J:$J,MATCH(Ageing!B167,Disbursements!$B:$B,0)),"No Loan")</f>
        <v>Aroma</v>
      </c>
      <c r="D167" s="364">
        <f>SUMIF(Disbursements!$B:$B,Ageing!$B167,Disbursements!AN:AN)</f>
        <v>0</v>
      </c>
      <c r="E167" s="364">
        <f>SUMIF(Disbursements!$B:$B,Ageing!$B167,Disbursements!AO:AO)</f>
        <v>0</v>
      </c>
      <c r="F167" s="365">
        <f t="shared" si="6"/>
        <v>0</v>
      </c>
      <c r="G167" s="364">
        <f ca="1">SUMIF(Disbursements!$B:$B,Ageing!$B167,Disbursements!AQ:AQ)</f>
        <v>0</v>
      </c>
      <c r="H167" s="364">
        <f ca="1">SUMIF(Disbursements!$B:$B,Ageing!$B167,Disbursements!AS:AS)</f>
        <v>0</v>
      </c>
      <c r="I167" s="364">
        <f t="shared" si="7"/>
        <v>0</v>
      </c>
      <c r="J167" s="369">
        <f>SUMIFS(Disbursements!$AP:$AP,Disbursements!$B:$B,Ageing!$B167,Disbursements!$AT:$AT,Ageing!J$4)</f>
        <v>0</v>
      </c>
      <c r="K167" s="369">
        <f>SUMIFS(Disbursements!$AP:$AP,Disbursements!$B:$B,Ageing!$B167,Disbursements!$AT:$AT,Ageing!K$4)</f>
        <v>0</v>
      </c>
      <c r="L167" s="369">
        <f>SUMIFS(Disbursements!$AP:$AP,Disbursements!$B:$B,Ageing!$B167,Disbursements!$AT:$AT,Ageing!L$4)</f>
        <v>0</v>
      </c>
      <c r="M167" s="369">
        <f>SUMIFS(Disbursements!$AP:$AP,Disbursements!$B:$B,Ageing!$B167,Disbursements!$AT:$AT,Ageing!M$4)</f>
        <v>0</v>
      </c>
      <c r="N167" s="369">
        <f>SUMIFS(Disbursements!$AP:$AP,Disbursements!$B:$B,Ageing!$B167,Disbursements!$AT:$AT,Ageing!N$4)</f>
        <v>0</v>
      </c>
      <c r="O167" s="369">
        <f>SUMIFS(Disbursements!$AP:$AP,Disbursements!$B:$B,Ageing!$B167,Disbursements!$AT:$AT,Ageing!O$4)</f>
        <v>0</v>
      </c>
    </row>
    <row r="168" spans="1:15" x14ac:dyDescent="0.2">
      <c r="A168" s="179" t="str">
        <f>IFERROR(VLOOKUP($B168,'Clients-Live'!$A:$C,3,30),"")</f>
        <v>ARIKE SWAIB</v>
      </c>
      <c r="B168" s="480">
        <v>164</v>
      </c>
      <c r="C168" s="370" t="str">
        <f>IFERROR(INDEX(Disbursements!$J:$J,MATCH(Ageing!B168,Disbursements!$B:$B,0)),"No Loan")</f>
        <v>Kana</v>
      </c>
      <c r="D168" s="364">
        <f>SUMIF(Disbursements!$B:$B,Ageing!$B168,Disbursements!AN:AN)</f>
        <v>406666.66666666674</v>
      </c>
      <c r="E168" s="364">
        <f>SUMIF(Disbursements!$B:$B,Ageing!$B168,Disbursements!AO:AO)</f>
        <v>1059333.3333333335</v>
      </c>
      <c r="F168" s="365">
        <f t="shared" si="6"/>
        <v>1466000.0000000002</v>
      </c>
      <c r="G168" s="364">
        <f ca="1">SUMIF(Disbursements!$B:$B,Ageing!$B168,Disbursements!AQ:AQ)</f>
        <v>1466000</v>
      </c>
      <c r="H168" s="364">
        <f ca="1">SUMIF(Disbursements!$B:$B,Ageing!$B168,Disbursements!AS:AS)</f>
        <v>115</v>
      </c>
      <c r="I168" s="364">
        <f t="shared" ca="1" si="7"/>
        <v>2</v>
      </c>
      <c r="J168" s="369">
        <f ca="1">SUMIFS(Disbursements!$AP:$AP,Disbursements!$B:$B,Ageing!$B168,Disbursements!$AT:$AT,Ageing!J$4)</f>
        <v>0</v>
      </c>
      <c r="K168" s="369">
        <f ca="1">SUMIFS(Disbursements!$AP:$AP,Disbursements!$B:$B,Ageing!$B168,Disbursements!$AT:$AT,Ageing!K$4)</f>
        <v>16000</v>
      </c>
      <c r="L168" s="369">
        <f ca="1">SUMIFS(Disbursements!$AP:$AP,Disbursements!$B:$B,Ageing!$B168,Disbursements!$AT:$AT,Ageing!L$4)</f>
        <v>0</v>
      </c>
      <c r="M168" s="369">
        <f ca="1">SUMIFS(Disbursements!$AP:$AP,Disbursements!$B:$B,Ageing!$B168,Disbursements!$AT:$AT,Ageing!M$4)</f>
        <v>0</v>
      </c>
      <c r="N168" s="369">
        <f ca="1">SUMIFS(Disbursements!$AP:$AP,Disbursements!$B:$B,Ageing!$B168,Disbursements!$AT:$AT,Ageing!N$4)</f>
        <v>1450000</v>
      </c>
      <c r="O168" s="369">
        <f ca="1">SUMIFS(Disbursements!$AP:$AP,Disbursements!$B:$B,Ageing!$B168,Disbursements!$AT:$AT,Ageing!O$4)</f>
        <v>0</v>
      </c>
    </row>
    <row r="169" spans="1:15" x14ac:dyDescent="0.2">
      <c r="A169" s="179" t="str">
        <f>IFERROR(VLOOKUP($B169,'Clients-Live'!$A:$C,3,30),"")</f>
        <v>BOBOYA BRAN</v>
      </c>
      <c r="B169" s="480">
        <v>165</v>
      </c>
      <c r="C169" s="370" t="str">
        <f>IFERROR(INDEX(Disbursements!$J:$J,MATCH(Ageing!B169,Disbursements!$B:$B,0)),"No Loan")</f>
        <v>Kana</v>
      </c>
      <c r="D169" s="364">
        <f>SUMIF(Disbursements!$B:$B,Ageing!$B169,Disbursements!AN:AN)</f>
        <v>0</v>
      </c>
      <c r="E169" s="364">
        <f>SUMIF(Disbursements!$B:$B,Ageing!$B169,Disbursements!AO:AO)</f>
        <v>320000</v>
      </c>
      <c r="F169" s="365">
        <f t="shared" si="6"/>
        <v>320000</v>
      </c>
      <c r="G169" s="364">
        <f ca="1">SUMIF(Disbursements!$B:$B,Ageing!$B169,Disbursements!AQ:AQ)</f>
        <v>320000</v>
      </c>
      <c r="H169" s="364">
        <f ca="1">SUMIF(Disbursements!$B:$B,Ageing!$B169,Disbursements!AS:AS)</f>
        <v>46</v>
      </c>
      <c r="I169" s="364">
        <f t="shared" ca="1" si="7"/>
        <v>1</v>
      </c>
      <c r="J169" s="369">
        <f ca="1">SUMIFS(Disbursements!$AP:$AP,Disbursements!$B:$B,Ageing!$B169,Disbursements!$AT:$AT,Ageing!J$4)</f>
        <v>0</v>
      </c>
      <c r="K169" s="369">
        <f ca="1">SUMIFS(Disbursements!$AP:$AP,Disbursements!$B:$B,Ageing!$B169,Disbursements!$AT:$AT,Ageing!K$4)</f>
        <v>0</v>
      </c>
      <c r="L169" s="369">
        <f ca="1">SUMIFS(Disbursements!$AP:$AP,Disbursements!$B:$B,Ageing!$B169,Disbursements!$AT:$AT,Ageing!L$4)</f>
        <v>320000</v>
      </c>
      <c r="M169" s="369">
        <f ca="1">SUMIFS(Disbursements!$AP:$AP,Disbursements!$B:$B,Ageing!$B169,Disbursements!$AT:$AT,Ageing!M$4)</f>
        <v>0</v>
      </c>
      <c r="N169" s="369">
        <f ca="1">SUMIFS(Disbursements!$AP:$AP,Disbursements!$B:$B,Ageing!$B169,Disbursements!$AT:$AT,Ageing!N$4)</f>
        <v>0</v>
      </c>
      <c r="O169" s="369">
        <f ca="1">SUMIFS(Disbursements!$AP:$AP,Disbursements!$B:$B,Ageing!$B169,Disbursements!$AT:$AT,Ageing!O$4)</f>
        <v>0</v>
      </c>
    </row>
    <row r="170" spans="1:15" x14ac:dyDescent="0.2">
      <c r="A170" s="179" t="str">
        <f>IFERROR(VLOOKUP($B170,'Clients-Live'!$A:$C,3,30),"")</f>
        <v>INJIKURU ROSE</v>
      </c>
      <c r="B170" s="480">
        <v>166</v>
      </c>
      <c r="C170" s="370" t="str">
        <f>IFERROR(INDEX(Disbursements!$J:$J,MATCH(Ageing!B170,Disbursements!$B:$B,0)),"No Loan")</f>
        <v>Kana</v>
      </c>
      <c r="D170" s="364">
        <f>SUMIF(Disbursements!$B:$B,Ageing!$B170,Disbursements!AN:AN)</f>
        <v>0</v>
      </c>
      <c r="E170" s="364">
        <f>SUMIF(Disbursements!$B:$B,Ageing!$B170,Disbursements!AO:AO)</f>
        <v>123999.99999999999</v>
      </c>
      <c r="F170" s="365">
        <f t="shared" si="6"/>
        <v>123999.99999999999</v>
      </c>
      <c r="G170" s="364">
        <f ca="1">SUMIF(Disbursements!$B:$B,Ageing!$B170,Disbursements!AQ:AQ)</f>
        <v>123999.99999999999</v>
      </c>
      <c r="H170" s="364">
        <f ca="1">SUMIF(Disbursements!$B:$B,Ageing!$B170,Disbursements!AS:AS)</f>
        <v>49</v>
      </c>
      <c r="I170" s="364">
        <f t="shared" ca="1" si="7"/>
        <v>1</v>
      </c>
      <c r="J170" s="369">
        <f ca="1">SUMIFS(Disbursements!$AP:$AP,Disbursements!$B:$B,Ageing!$B170,Disbursements!$AT:$AT,Ageing!J$4)</f>
        <v>0</v>
      </c>
      <c r="K170" s="369">
        <f ca="1">SUMIFS(Disbursements!$AP:$AP,Disbursements!$B:$B,Ageing!$B170,Disbursements!$AT:$AT,Ageing!K$4)</f>
        <v>0</v>
      </c>
      <c r="L170" s="369">
        <f ca="1">SUMIFS(Disbursements!$AP:$AP,Disbursements!$B:$B,Ageing!$B170,Disbursements!$AT:$AT,Ageing!L$4)</f>
        <v>123999.99999999999</v>
      </c>
      <c r="M170" s="369">
        <f ca="1">SUMIFS(Disbursements!$AP:$AP,Disbursements!$B:$B,Ageing!$B170,Disbursements!$AT:$AT,Ageing!M$4)</f>
        <v>0</v>
      </c>
      <c r="N170" s="369">
        <f ca="1">SUMIFS(Disbursements!$AP:$AP,Disbursements!$B:$B,Ageing!$B170,Disbursements!$AT:$AT,Ageing!N$4)</f>
        <v>0</v>
      </c>
      <c r="O170" s="369">
        <f ca="1">SUMIFS(Disbursements!$AP:$AP,Disbursements!$B:$B,Ageing!$B170,Disbursements!$AT:$AT,Ageing!O$4)</f>
        <v>0</v>
      </c>
    </row>
    <row r="171" spans="1:15" x14ac:dyDescent="0.2">
      <c r="A171" s="179" t="str">
        <f>IFERROR(VLOOKUP($B171,'Clients-Live'!$A:$C,3,30),"")</f>
        <v>DRICHA KADIJA</v>
      </c>
      <c r="B171" s="480">
        <v>167</v>
      </c>
      <c r="C171" s="370" t="str">
        <f>IFERROR(INDEX(Disbursements!$J:$J,MATCH(Ageing!B171,Disbursements!$B:$B,0)),"No Loan")</f>
        <v>Aroma</v>
      </c>
      <c r="D171" s="364">
        <f>SUMIF(Disbursements!$B:$B,Ageing!$B171,Disbursements!AN:AN)</f>
        <v>0</v>
      </c>
      <c r="E171" s="364">
        <f>SUMIF(Disbursements!$B:$B,Ageing!$B171,Disbursements!AO:AO)</f>
        <v>2000</v>
      </c>
      <c r="F171" s="365">
        <f t="shared" si="6"/>
        <v>2000</v>
      </c>
      <c r="G171" s="364">
        <f ca="1">SUMIF(Disbursements!$B:$B,Ageing!$B171,Disbursements!AQ:AQ)</f>
        <v>2000</v>
      </c>
      <c r="H171" s="364">
        <f ca="1">SUMIF(Disbursements!$B:$B,Ageing!$B171,Disbursements!AS:AS)</f>
        <v>1</v>
      </c>
      <c r="I171" s="364">
        <f t="shared" ca="1" si="7"/>
        <v>1</v>
      </c>
      <c r="J171" s="369">
        <f ca="1">SUMIFS(Disbursements!$AP:$AP,Disbursements!$B:$B,Ageing!$B171,Disbursements!$AT:$AT,Ageing!J$4)</f>
        <v>0</v>
      </c>
      <c r="K171" s="369">
        <f ca="1">SUMIFS(Disbursements!$AP:$AP,Disbursements!$B:$B,Ageing!$B171,Disbursements!$AT:$AT,Ageing!K$4)</f>
        <v>2000</v>
      </c>
      <c r="L171" s="369">
        <f ca="1">SUMIFS(Disbursements!$AP:$AP,Disbursements!$B:$B,Ageing!$B171,Disbursements!$AT:$AT,Ageing!L$4)</f>
        <v>0</v>
      </c>
      <c r="M171" s="369">
        <f ca="1">SUMIFS(Disbursements!$AP:$AP,Disbursements!$B:$B,Ageing!$B171,Disbursements!$AT:$AT,Ageing!M$4)</f>
        <v>0</v>
      </c>
      <c r="N171" s="369">
        <f ca="1">SUMIFS(Disbursements!$AP:$AP,Disbursements!$B:$B,Ageing!$B171,Disbursements!$AT:$AT,Ageing!N$4)</f>
        <v>0</v>
      </c>
      <c r="O171" s="369">
        <f ca="1">SUMIFS(Disbursements!$AP:$AP,Disbursements!$B:$B,Ageing!$B171,Disbursements!$AT:$AT,Ageing!O$4)</f>
        <v>0</v>
      </c>
    </row>
    <row r="172" spans="1:15" x14ac:dyDescent="0.2">
      <c r="A172" s="179" t="str">
        <f>IFERROR(VLOOKUP($B172,'Clients-Live'!$A:$C,3,30),"")</f>
        <v>ALORO FREDERICK</v>
      </c>
      <c r="B172" s="480">
        <v>168</v>
      </c>
      <c r="C172" s="370" t="str">
        <f>IFERROR(INDEX(Disbursements!$J:$J,MATCH(Ageing!B172,Disbursements!$B:$B,0)),"No Loan")</f>
        <v>Kana</v>
      </c>
      <c r="D172" s="364">
        <f>SUMIF(Disbursements!$B:$B,Ageing!$B172,Disbursements!AN:AN)</f>
        <v>650000</v>
      </c>
      <c r="E172" s="364">
        <f>SUMIF(Disbursements!$B:$B,Ageing!$B172,Disbursements!AO:AO)</f>
        <v>675000</v>
      </c>
      <c r="F172" s="365">
        <f t="shared" si="6"/>
        <v>1325000</v>
      </c>
      <c r="G172" s="364">
        <f ca="1">SUMIF(Disbursements!$B:$B,Ageing!$B172,Disbursements!AQ:AQ)</f>
        <v>1325000</v>
      </c>
      <c r="H172" s="364">
        <f ca="1">SUMIF(Disbursements!$B:$B,Ageing!$B172,Disbursements!AS:AS)</f>
        <v>30</v>
      </c>
      <c r="I172" s="364">
        <f t="shared" ca="1" si="7"/>
        <v>1</v>
      </c>
      <c r="J172" s="369">
        <f ca="1">SUMIFS(Disbursements!$AP:$AP,Disbursements!$B:$B,Ageing!$B172,Disbursements!$AT:$AT,Ageing!J$4)</f>
        <v>0</v>
      </c>
      <c r="K172" s="369">
        <f ca="1">SUMIFS(Disbursements!$AP:$AP,Disbursements!$B:$B,Ageing!$B172,Disbursements!$AT:$AT,Ageing!K$4)</f>
        <v>1325000</v>
      </c>
      <c r="L172" s="369">
        <f ca="1">SUMIFS(Disbursements!$AP:$AP,Disbursements!$B:$B,Ageing!$B172,Disbursements!$AT:$AT,Ageing!L$4)</f>
        <v>0</v>
      </c>
      <c r="M172" s="369">
        <f ca="1">SUMIFS(Disbursements!$AP:$AP,Disbursements!$B:$B,Ageing!$B172,Disbursements!$AT:$AT,Ageing!M$4)</f>
        <v>0</v>
      </c>
      <c r="N172" s="369">
        <f ca="1">SUMIFS(Disbursements!$AP:$AP,Disbursements!$B:$B,Ageing!$B172,Disbursements!$AT:$AT,Ageing!N$4)</f>
        <v>0</v>
      </c>
      <c r="O172" s="369">
        <f ca="1">SUMIFS(Disbursements!$AP:$AP,Disbursements!$B:$B,Ageing!$B172,Disbursements!$AT:$AT,Ageing!O$4)</f>
        <v>0</v>
      </c>
    </row>
    <row r="173" spans="1:15" x14ac:dyDescent="0.2">
      <c r="A173" s="179" t="str">
        <f>IFERROR(VLOOKUP($B173,'Clients-Live'!$A:$C,3,30),"")</f>
        <v>KATO KENNEDY</v>
      </c>
      <c r="B173" s="480">
        <v>169</v>
      </c>
      <c r="C173" s="370" t="str">
        <f>IFERROR(INDEX(Disbursements!$J:$J,MATCH(Ageing!B173,Disbursements!$B:$B,0)),"No Loan")</f>
        <v>Kana</v>
      </c>
      <c r="D173" s="364">
        <f>SUMIF(Disbursements!$B:$B,Ageing!$B173,Disbursements!AN:AN)</f>
        <v>87000</v>
      </c>
      <c r="E173" s="364">
        <f>SUMIF(Disbursements!$B:$B,Ageing!$B173,Disbursements!AO:AO)</f>
        <v>143000.00000000012</v>
      </c>
      <c r="F173" s="365">
        <f t="shared" si="6"/>
        <v>230000.00000000012</v>
      </c>
      <c r="G173" s="364">
        <f ca="1">SUMIF(Disbursements!$B:$B,Ageing!$B173,Disbursements!AQ:AQ)</f>
        <v>230000.00000000012</v>
      </c>
      <c r="H173" s="364">
        <f ca="1">SUMIF(Disbursements!$B:$B,Ageing!$B173,Disbursements!AS:AS)</f>
        <v>28</v>
      </c>
      <c r="I173" s="364">
        <f t="shared" ca="1" si="7"/>
        <v>1</v>
      </c>
      <c r="J173" s="369">
        <f ca="1">SUMIFS(Disbursements!$AP:$AP,Disbursements!$B:$B,Ageing!$B173,Disbursements!$AT:$AT,Ageing!J$4)</f>
        <v>0</v>
      </c>
      <c r="K173" s="369">
        <f ca="1">SUMIFS(Disbursements!$AP:$AP,Disbursements!$B:$B,Ageing!$B173,Disbursements!$AT:$AT,Ageing!K$4)</f>
        <v>230000.00000000012</v>
      </c>
      <c r="L173" s="369">
        <f ca="1">SUMIFS(Disbursements!$AP:$AP,Disbursements!$B:$B,Ageing!$B173,Disbursements!$AT:$AT,Ageing!L$4)</f>
        <v>0</v>
      </c>
      <c r="M173" s="369">
        <f ca="1">SUMIFS(Disbursements!$AP:$AP,Disbursements!$B:$B,Ageing!$B173,Disbursements!$AT:$AT,Ageing!M$4)</f>
        <v>0</v>
      </c>
      <c r="N173" s="369">
        <f ca="1">SUMIFS(Disbursements!$AP:$AP,Disbursements!$B:$B,Ageing!$B173,Disbursements!$AT:$AT,Ageing!N$4)</f>
        <v>0</v>
      </c>
      <c r="O173" s="369">
        <f ca="1">SUMIFS(Disbursements!$AP:$AP,Disbursements!$B:$B,Ageing!$B173,Disbursements!$AT:$AT,Ageing!O$4)</f>
        <v>0</v>
      </c>
    </row>
    <row r="174" spans="1:15" x14ac:dyDescent="0.2">
      <c r="A174" s="179" t="str">
        <f>IFERROR(VLOOKUP($B174,'Clients-Live'!$A:$C,3,30),"")</f>
        <v xml:space="preserve">KABEBI RAIMA </v>
      </c>
      <c r="B174" s="480">
        <v>170</v>
      </c>
      <c r="C174" s="370" t="str">
        <f>IFERROR(INDEX(Disbursements!$J:$J,MATCH(Ageing!B174,Disbursements!$B:$B,0)),"No Loan")</f>
        <v>Jerome</v>
      </c>
      <c r="D174" s="364">
        <f>SUMIF(Disbursements!$B:$B,Ageing!$B174,Disbursements!AN:AN)</f>
        <v>0</v>
      </c>
      <c r="E174" s="364">
        <f>SUMIF(Disbursements!$B:$B,Ageing!$B174,Disbursements!AO:AO)</f>
        <v>0</v>
      </c>
      <c r="F174" s="365">
        <f t="shared" si="6"/>
        <v>0</v>
      </c>
      <c r="G174" s="364">
        <f ca="1">SUMIF(Disbursements!$B:$B,Ageing!$B174,Disbursements!AQ:AQ)</f>
        <v>0</v>
      </c>
      <c r="H174" s="364">
        <f ca="1">SUMIF(Disbursements!$B:$B,Ageing!$B174,Disbursements!AS:AS)</f>
        <v>0</v>
      </c>
      <c r="I174" s="364">
        <f t="shared" si="7"/>
        <v>0</v>
      </c>
      <c r="J174" s="369">
        <f>SUMIFS(Disbursements!$AP:$AP,Disbursements!$B:$B,Ageing!$B174,Disbursements!$AT:$AT,Ageing!J$4)</f>
        <v>0</v>
      </c>
      <c r="K174" s="369">
        <f>SUMIFS(Disbursements!$AP:$AP,Disbursements!$B:$B,Ageing!$B174,Disbursements!$AT:$AT,Ageing!K$4)</f>
        <v>0</v>
      </c>
      <c r="L174" s="369">
        <f>SUMIFS(Disbursements!$AP:$AP,Disbursements!$B:$B,Ageing!$B174,Disbursements!$AT:$AT,Ageing!L$4)</f>
        <v>0</v>
      </c>
      <c r="M174" s="369">
        <f>SUMIFS(Disbursements!$AP:$AP,Disbursements!$B:$B,Ageing!$B174,Disbursements!$AT:$AT,Ageing!M$4)</f>
        <v>0</v>
      </c>
      <c r="N174" s="369">
        <f>SUMIFS(Disbursements!$AP:$AP,Disbursements!$B:$B,Ageing!$B174,Disbursements!$AT:$AT,Ageing!N$4)</f>
        <v>0</v>
      </c>
      <c r="O174" s="369">
        <f>SUMIFS(Disbursements!$AP:$AP,Disbursements!$B:$B,Ageing!$B174,Disbursements!$AT:$AT,Ageing!O$4)</f>
        <v>0</v>
      </c>
    </row>
    <row r="175" spans="1:15" x14ac:dyDescent="0.2">
      <c r="A175" s="179" t="str">
        <f>IFERROR(VLOOKUP($B175,'Clients-Live'!$A:$C,3,30),"")</f>
        <v>BADAKA GIFT JOEL</v>
      </c>
      <c r="B175" s="480">
        <v>171</v>
      </c>
      <c r="C175" s="370" t="str">
        <f>IFERROR(INDEX(Disbursements!$J:$J,MATCH(Ageing!B175,Disbursements!$B:$B,0)),"No Loan")</f>
        <v>Kana</v>
      </c>
      <c r="D175" s="364">
        <f>SUMIF(Disbursements!$B:$B,Ageing!$B175,Disbursements!AN:AN)</f>
        <v>0</v>
      </c>
      <c r="E175" s="364">
        <f>SUMIF(Disbursements!$B:$B,Ageing!$B175,Disbursements!AO:AO)</f>
        <v>900</v>
      </c>
      <c r="F175" s="365">
        <f t="shared" si="6"/>
        <v>900</v>
      </c>
      <c r="G175" s="364">
        <f ca="1">SUMIF(Disbursements!$B:$B,Ageing!$B175,Disbursements!AQ:AQ)</f>
        <v>900</v>
      </c>
      <c r="H175" s="364">
        <f ca="1">SUMIF(Disbursements!$B:$B,Ageing!$B175,Disbursements!AS:AS)</f>
        <v>2</v>
      </c>
      <c r="I175" s="364">
        <f t="shared" ca="1" si="7"/>
        <v>1</v>
      </c>
      <c r="J175" s="369">
        <f ca="1">SUMIFS(Disbursements!$AP:$AP,Disbursements!$B:$B,Ageing!$B175,Disbursements!$AT:$AT,Ageing!J$4)</f>
        <v>0</v>
      </c>
      <c r="K175" s="369">
        <f ca="1">SUMIFS(Disbursements!$AP:$AP,Disbursements!$B:$B,Ageing!$B175,Disbursements!$AT:$AT,Ageing!K$4)</f>
        <v>900</v>
      </c>
      <c r="L175" s="369">
        <f ca="1">SUMIFS(Disbursements!$AP:$AP,Disbursements!$B:$B,Ageing!$B175,Disbursements!$AT:$AT,Ageing!L$4)</f>
        <v>0</v>
      </c>
      <c r="M175" s="369">
        <f ca="1">SUMIFS(Disbursements!$AP:$AP,Disbursements!$B:$B,Ageing!$B175,Disbursements!$AT:$AT,Ageing!M$4)</f>
        <v>0</v>
      </c>
      <c r="N175" s="369">
        <f ca="1">SUMIFS(Disbursements!$AP:$AP,Disbursements!$B:$B,Ageing!$B175,Disbursements!$AT:$AT,Ageing!N$4)</f>
        <v>0</v>
      </c>
      <c r="O175" s="369">
        <f ca="1">SUMIFS(Disbursements!$AP:$AP,Disbursements!$B:$B,Ageing!$B175,Disbursements!$AT:$AT,Ageing!O$4)</f>
        <v>0</v>
      </c>
    </row>
    <row r="176" spans="1:15" x14ac:dyDescent="0.2">
      <c r="A176" s="179" t="str">
        <f>IFERROR(VLOOKUP($B176,'Clients-Live'!$A:$C,3,30),"")</f>
        <v>KATUSIIME CLARA CHEKA</v>
      </c>
      <c r="B176" s="480">
        <v>172</v>
      </c>
      <c r="C176" s="370" t="str">
        <f>IFERROR(INDEX(Disbursements!$J:$J,MATCH(Ageing!B176,Disbursements!$B:$B,0)),"No Loan")</f>
        <v>No Loan</v>
      </c>
      <c r="D176" s="364">
        <f>SUMIF(Disbursements!$B:$B,Ageing!$B176,Disbursements!AN:AN)</f>
        <v>0</v>
      </c>
      <c r="E176" s="364">
        <f>SUMIF(Disbursements!$B:$B,Ageing!$B176,Disbursements!AO:AO)</f>
        <v>0</v>
      </c>
      <c r="F176" s="365">
        <f t="shared" si="6"/>
        <v>0</v>
      </c>
      <c r="G176" s="364">
        <f>SUMIF(Disbursements!$B:$B,Ageing!$B176,Disbursements!AQ:AQ)</f>
        <v>0</v>
      </c>
      <c r="H176" s="364">
        <f>SUMIF(Disbursements!$B:$B,Ageing!$B176,Disbursements!AS:AS)</f>
        <v>0</v>
      </c>
      <c r="I176" s="364">
        <f t="shared" si="7"/>
        <v>0</v>
      </c>
      <c r="J176" s="369">
        <f>SUMIFS(Disbursements!$AP:$AP,Disbursements!$B:$B,Ageing!$B176,Disbursements!$AT:$AT,Ageing!J$4)</f>
        <v>0</v>
      </c>
      <c r="K176" s="369">
        <f>SUMIFS(Disbursements!$AP:$AP,Disbursements!$B:$B,Ageing!$B176,Disbursements!$AT:$AT,Ageing!K$4)</f>
        <v>0</v>
      </c>
      <c r="L176" s="369">
        <f>SUMIFS(Disbursements!$AP:$AP,Disbursements!$B:$B,Ageing!$B176,Disbursements!$AT:$AT,Ageing!L$4)</f>
        <v>0</v>
      </c>
      <c r="M176" s="369">
        <f>SUMIFS(Disbursements!$AP:$AP,Disbursements!$B:$B,Ageing!$B176,Disbursements!$AT:$AT,Ageing!M$4)</f>
        <v>0</v>
      </c>
      <c r="N176" s="369">
        <f>SUMIFS(Disbursements!$AP:$AP,Disbursements!$B:$B,Ageing!$B176,Disbursements!$AT:$AT,Ageing!N$4)</f>
        <v>0</v>
      </c>
      <c r="O176" s="369">
        <f>SUMIFS(Disbursements!$AP:$AP,Disbursements!$B:$B,Ageing!$B176,Disbursements!$AT:$AT,Ageing!O$4)</f>
        <v>0</v>
      </c>
    </row>
    <row r="177" spans="1:15" x14ac:dyDescent="0.2">
      <c r="A177" s="179" t="str">
        <f>IFERROR(VLOOKUP($B177,'Clients-Live'!$A:$C,3,30),"")</f>
        <v>AATE SEKINA</v>
      </c>
      <c r="B177" s="480">
        <v>173</v>
      </c>
      <c r="C177" s="370" t="str">
        <f>IFERROR(INDEX(Disbursements!$J:$J,MATCH(Ageing!B177,Disbursements!$B:$B,0)),"No Loan")</f>
        <v>No Loan</v>
      </c>
      <c r="D177" s="364">
        <f>SUMIF(Disbursements!$B:$B,Ageing!$B177,Disbursements!AN:AN)</f>
        <v>0</v>
      </c>
      <c r="E177" s="364">
        <f>SUMIF(Disbursements!$B:$B,Ageing!$B177,Disbursements!AO:AO)</f>
        <v>0</v>
      </c>
      <c r="F177" s="365">
        <f t="shared" si="6"/>
        <v>0</v>
      </c>
      <c r="G177" s="364">
        <f>SUMIF(Disbursements!$B:$B,Ageing!$B177,Disbursements!AQ:AQ)</f>
        <v>0</v>
      </c>
      <c r="H177" s="364">
        <f>SUMIF(Disbursements!$B:$B,Ageing!$B177,Disbursements!AS:AS)</f>
        <v>0</v>
      </c>
      <c r="I177" s="364">
        <f t="shared" si="7"/>
        <v>0</v>
      </c>
      <c r="J177" s="369">
        <f>SUMIFS(Disbursements!$AP:$AP,Disbursements!$B:$B,Ageing!$B177,Disbursements!$AT:$AT,Ageing!J$4)</f>
        <v>0</v>
      </c>
      <c r="K177" s="369">
        <f>SUMIFS(Disbursements!$AP:$AP,Disbursements!$B:$B,Ageing!$B177,Disbursements!$AT:$AT,Ageing!K$4)</f>
        <v>0</v>
      </c>
      <c r="L177" s="369">
        <f>SUMIFS(Disbursements!$AP:$AP,Disbursements!$B:$B,Ageing!$B177,Disbursements!$AT:$AT,Ageing!L$4)</f>
        <v>0</v>
      </c>
      <c r="M177" s="369">
        <f>SUMIFS(Disbursements!$AP:$AP,Disbursements!$B:$B,Ageing!$B177,Disbursements!$AT:$AT,Ageing!M$4)</f>
        <v>0</v>
      </c>
      <c r="N177" s="369">
        <f>SUMIFS(Disbursements!$AP:$AP,Disbursements!$B:$B,Ageing!$B177,Disbursements!$AT:$AT,Ageing!N$4)</f>
        <v>0</v>
      </c>
      <c r="O177" s="369">
        <f>SUMIFS(Disbursements!$AP:$AP,Disbursements!$B:$B,Ageing!$B177,Disbursements!$AT:$AT,Ageing!O$4)</f>
        <v>0</v>
      </c>
    </row>
    <row r="178" spans="1:15" x14ac:dyDescent="0.2">
      <c r="A178" s="179" t="str">
        <f>IFERROR(VLOOKUP($B178,'Clients-Live'!$A:$C,3,30),"")</f>
        <v>METALORO   MOSES</v>
      </c>
      <c r="B178" s="480">
        <v>174</v>
      </c>
      <c r="C178" s="370" t="str">
        <f>IFERROR(INDEX(Disbursements!$J:$J,MATCH(Ageing!B178,Disbursements!$B:$B,0)),"No Loan")</f>
        <v>Aroma</v>
      </c>
      <c r="D178" s="364">
        <f>SUMIF(Disbursements!$B:$B,Ageing!$B178,Disbursements!AN:AN)</f>
        <v>1000</v>
      </c>
      <c r="E178" s="364">
        <f>SUMIF(Disbursements!$B:$B,Ageing!$B178,Disbursements!AO:AO)</f>
        <v>0</v>
      </c>
      <c r="F178" s="365">
        <f t="shared" si="6"/>
        <v>1000</v>
      </c>
      <c r="G178" s="364">
        <f ca="1">SUMIF(Disbursements!$B:$B,Ageing!$B178,Disbursements!AQ:AQ)</f>
        <v>1000</v>
      </c>
      <c r="H178" s="364">
        <f ca="1">SUMIF(Disbursements!$B:$B,Ageing!$B178,Disbursements!AS:AS)</f>
        <v>1</v>
      </c>
      <c r="I178" s="364">
        <f t="shared" ca="1" si="7"/>
        <v>1</v>
      </c>
      <c r="J178" s="369">
        <f ca="1">SUMIFS(Disbursements!$AP:$AP,Disbursements!$B:$B,Ageing!$B178,Disbursements!$AT:$AT,Ageing!J$4)</f>
        <v>0</v>
      </c>
      <c r="K178" s="369">
        <f ca="1">SUMIFS(Disbursements!$AP:$AP,Disbursements!$B:$B,Ageing!$B178,Disbursements!$AT:$AT,Ageing!K$4)</f>
        <v>1000</v>
      </c>
      <c r="L178" s="369">
        <f ca="1">SUMIFS(Disbursements!$AP:$AP,Disbursements!$B:$B,Ageing!$B178,Disbursements!$AT:$AT,Ageing!L$4)</f>
        <v>0</v>
      </c>
      <c r="M178" s="369">
        <f ca="1">SUMIFS(Disbursements!$AP:$AP,Disbursements!$B:$B,Ageing!$B178,Disbursements!$AT:$AT,Ageing!M$4)</f>
        <v>0</v>
      </c>
      <c r="N178" s="369">
        <f ca="1">SUMIFS(Disbursements!$AP:$AP,Disbursements!$B:$B,Ageing!$B178,Disbursements!$AT:$AT,Ageing!N$4)</f>
        <v>0</v>
      </c>
      <c r="O178" s="369">
        <f ca="1">SUMIFS(Disbursements!$AP:$AP,Disbursements!$B:$B,Ageing!$B178,Disbursements!$AT:$AT,Ageing!O$4)</f>
        <v>0</v>
      </c>
    </row>
    <row r="179" spans="1:15" x14ac:dyDescent="0.2">
      <c r="A179" s="179" t="str">
        <f>IFERROR(VLOOKUP($B179,'Clients-Live'!$A:$C,3,30),"")</f>
        <v>ZUBEDA WAIGA</v>
      </c>
      <c r="B179" s="480">
        <v>175</v>
      </c>
      <c r="C179" s="370" t="str">
        <f>IFERROR(INDEX(Disbursements!$J:$J,MATCH(Ageing!B179,Disbursements!$B:$B,0)),"No Loan")</f>
        <v>Aroma</v>
      </c>
      <c r="D179" s="364">
        <f>SUMIF(Disbursements!$B:$B,Ageing!$B179,Disbursements!AN:AN)</f>
        <v>84000</v>
      </c>
      <c r="E179" s="364">
        <f>SUMIF(Disbursements!$B:$B,Ageing!$B179,Disbursements!AO:AO)</f>
        <v>306700</v>
      </c>
      <c r="F179" s="365">
        <f t="shared" si="6"/>
        <v>390700</v>
      </c>
      <c r="G179" s="364">
        <f ca="1">SUMIF(Disbursements!$B:$B,Ageing!$B179,Disbursements!AQ:AQ)</f>
        <v>390700</v>
      </c>
      <c r="H179" s="364">
        <f ca="1">SUMIF(Disbursements!$B:$B,Ageing!$B179,Disbursements!AS:AS)</f>
        <v>87</v>
      </c>
      <c r="I179" s="364">
        <f t="shared" ca="1" si="7"/>
        <v>2</v>
      </c>
      <c r="J179" s="369">
        <f ca="1">SUMIFS(Disbursements!$AP:$AP,Disbursements!$B:$B,Ageing!$B179,Disbursements!$AT:$AT,Ageing!J$4)</f>
        <v>0</v>
      </c>
      <c r="K179" s="369">
        <f ca="1">SUMIFS(Disbursements!$AP:$AP,Disbursements!$B:$B,Ageing!$B179,Disbursements!$AT:$AT,Ageing!K$4)</f>
        <v>3200</v>
      </c>
      <c r="L179" s="369">
        <f ca="1">SUMIFS(Disbursements!$AP:$AP,Disbursements!$B:$B,Ageing!$B179,Disbursements!$AT:$AT,Ageing!L$4)</f>
        <v>0</v>
      </c>
      <c r="M179" s="369">
        <f ca="1">SUMIFS(Disbursements!$AP:$AP,Disbursements!$B:$B,Ageing!$B179,Disbursements!$AT:$AT,Ageing!M$4)</f>
        <v>387500</v>
      </c>
      <c r="N179" s="369">
        <f ca="1">SUMIFS(Disbursements!$AP:$AP,Disbursements!$B:$B,Ageing!$B179,Disbursements!$AT:$AT,Ageing!N$4)</f>
        <v>0</v>
      </c>
      <c r="O179" s="369">
        <f ca="1">SUMIFS(Disbursements!$AP:$AP,Disbursements!$B:$B,Ageing!$B179,Disbursements!$AT:$AT,Ageing!O$4)</f>
        <v>0</v>
      </c>
    </row>
    <row r="180" spans="1:15" x14ac:dyDescent="0.2">
      <c r="A180" s="179" t="str">
        <f>IFERROR(VLOOKUP($B180,'Clients-Live'!$A:$C,3,30),"")</f>
        <v>AJONYE JANE SINANDUGU</v>
      </c>
      <c r="B180" s="480">
        <v>176</v>
      </c>
      <c r="C180" s="370" t="str">
        <f>IFERROR(INDEX(Disbursements!$J:$J,MATCH(Ageing!B180,Disbursements!$B:$B,0)),"No Loan")</f>
        <v>Aroma</v>
      </c>
      <c r="D180" s="364">
        <f>SUMIF(Disbursements!$B:$B,Ageing!$B180,Disbursements!AN:AN)</f>
        <v>1302666.6666666665</v>
      </c>
      <c r="E180" s="364">
        <f>SUMIF(Disbursements!$B:$B,Ageing!$B180,Disbursements!AO:AO)</f>
        <v>3334333.333333333</v>
      </c>
      <c r="F180" s="365">
        <f t="shared" si="6"/>
        <v>4637000</v>
      </c>
      <c r="G180" s="364">
        <f ca="1">SUMIF(Disbursements!$B:$B,Ageing!$B180,Disbursements!AQ:AQ)</f>
        <v>4637000</v>
      </c>
      <c r="H180" s="364">
        <f ca="1">SUMIF(Disbursements!$B:$B,Ageing!$B180,Disbursements!AS:AS)</f>
        <v>121</v>
      </c>
      <c r="I180" s="364">
        <f t="shared" ca="1" si="7"/>
        <v>1</v>
      </c>
      <c r="J180" s="369">
        <f ca="1">SUMIFS(Disbursements!$AP:$AP,Disbursements!$B:$B,Ageing!$B180,Disbursements!$AT:$AT,Ageing!J$4)</f>
        <v>0</v>
      </c>
      <c r="K180" s="369">
        <f ca="1">SUMIFS(Disbursements!$AP:$AP,Disbursements!$B:$B,Ageing!$B180,Disbursements!$AT:$AT,Ageing!K$4)</f>
        <v>0</v>
      </c>
      <c r="L180" s="369">
        <f ca="1">SUMIFS(Disbursements!$AP:$AP,Disbursements!$B:$B,Ageing!$B180,Disbursements!$AT:$AT,Ageing!L$4)</f>
        <v>0</v>
      </c>
      <c r="M180" s="369">
        <f ca="1">SUMIFS(Disbursements!$AP:$AP,Disbursements!$B:$B,Ageing!$B180,Disbursements!$AT:$AT,Ageing!M$4)</f>
        <v>0</v>
      </c>
      <c r="N180" s="369">
        <f ca="1">SUMIFS(Disbursements!$AP:$AP,Disbursements!$B:$B,Ageing!$B180,Disbursements!$AT:$AT,Ageing!N$4)</f>
        <v>4637000</v>
      </c>
      <c r="O180" s="369">
        <f ca="1">SUMIFS(Disbursements!$AP:$AP,Disbursements!$B:$B,Ageing!$B180,Disbursements!$AT:$AT,Ageing!O$4)</f>
        <v>0</v>
      </c>
    </row>
    <row r="181" spans="1:15" x14ac:dyDescent="0.2">
      <c r="A181" s="179" t="str">
        <f>IFERROR(VLOOKUP($B181,'Clients-Live'!$A:$C,3,30),"")</f>
        <v>EFIT GIFT</v>
      </c>
      <c r="B181" s="480">
        <v>177</v>
      </c>
      <c r="C181" s="370" t="str">
        <f>IFERROR(INDEX(Disbursements!$J:$J,MATCH(Ageing!B181,Disbursements!$B:$B,0)),"No Loan")</f>
        <v>Aroma</v>
      </c>
      <c r="D181" s="364">
        <f>SUMIF(Disbursements!$B:$B,Ageing!$B181,Disbursements!AN:AN)</f>
        <v>367500</v>
      </c>
      <c r="E181" s="364">
        <f>SUMIF(Disbursements!$B:$B,Ageing!$B181,Disbursements!AO:AO)</f>
        <v>936500.00000000047</v>
      </c>
      <c r="F181" s="365">
        <f t="shared" si="6"/>
        <v>1304000.0000000005</v>
      </c>
      <c r="G181" s="364">
        <f ca="1">SUMIF(Disbursements!$B:$B,Ageing!$B181,Disbursements!AQ:AQ)</f>
        <v>1304000.0000000005</v>
      </c>
      <c r="H181" s="364">
        <f ca="1">SUMIF(Disbursements!$B:$B,Ageing!$B181,Disbursements!AS:AS)</f>
        <v>106</v>
      </c>
      <c r="I181" s="364">
        <f t="shared" ca="1" si="7"/>
        <v>2</v>
      </c>
      <c r="J181" s="369">
        <f ca="1">SUMIFS(Disbursements!$AP:$AP,Disbursements!$B:$B,Ageing!$B181,Disbursements!$AT:$AT,Ageing!J$4)</f>
        <v>0</v>
      </c>
      <c r="K181" s="369">
        <f ca="1">SUMIFS(Disbursements!$AP:$AP,Disbursements!$B:$B,Ageing!$B181,Disbursements!$AT:$AT,Ageing!K$4)</f>
        <v>16000.000000000466</v>
      </c>
      <c r="L181" s="369">
        <f ca="1">SUMIFS(Disbursements!$AP:$AP,Disbursements!$B:$B,Ageing!$B181,Disbursements!$AT:$AT,Ageing!L$4)</f>
        <v>0</v>
      </c>
      <c r="M181" s="369">
        <f ca="1">SUMIFS(Disbursements!$AP:$AP,Disbursements!$B:$B,Ageing!$B181,Disbursements!$AT:$AT,Ageing!M$4)</f>
        <v>0</v>
      </c>
      <c r="N181" s="369">
        <f ca="1">SUMIFS(Disbursements!$AP:$AP,Disbursements!$B:$B,Ageing!$B181,Disbursements!$AT:$AT,Ageing!N$4)</f>
        <v>1288000</v>
      </c>
      <c r="O181" s="369">
        <f ca="1">SUMIFS(Disbursements!$AP:$AP,Disbursements!$B:$B,Ageing!$B181,Disbursements!$AT:$AT,Ageing!O$4)</f>
        <v>0</v>
      </c>
    </row>
    <row r="182" spans="1:15" x14ac:dyDescent="0.2">
      <c r="A182" s="179" t="str">
        <f>IFERROR(VLOOKUP($B182,'Clients-Live'!$A:$C,3,30),"")</f>
        <v>EMUSUGUT DANIEL</v>
      </c>
      <c r="B182" s="480">
        <v>178</v>
      </c>
      <c r="C182" s="370" t="str">
        <f>IFERROR(INDEX(Disbursements!$J:$J,MATCH(Ageing!B182,Disbursements!$B:$B,0)),"No Loan")</f>
        <v>No Loan</v>
      </c>
      <c r="D182" s="364">
        <f>SUMIF(Disbursements!$B:$B,Ageing!$B182,Disbursements!AN:AN)</f>
        <v>0</v>
      </c>
      <c r="E182" s="364">
        <f>SUMIF(Disbursements!$B:$B,Ageing!$B182,Disbursements!AO:AO)</f>
        <v>0</v>
      </c>
      <c r="F182" s="365">
        <f t="shared" si="6"/>
        <v>0</v>
      </c>
      <c r="G182" s="364">
        <f>SUMIF(Disbursements!$B:$B,Ageing!$B182,Disbursements!AQ:AQ)</f>
        <v>0</v>
      </c>
      <c r="H182" s="364">
        <f>SUMIF(Disbursements!$B:$B,Ageing!$B182,Disbursements!AS:AS)</f>
        <v>0</v>
      </c>
      <c r="I182" s="364">
        <f t="shared" si="7"/>
        <v>0</v>
      </c>
      <c r="J182" s="369">
        <f>SUMIFS(Disbursements!$AP:$AP,Disbursements!$B:$B,Ageing!$B182,Disbursements!$AT:$AT,Ageing!J$4)</f>
        <v>0</v>
      </c>
      <c r="K182" s="369">
        <f>SUMIFS(Disbursements!$AP:$AP,Disbursements!$B:$B,Ageing!$B182,Disbursements!$AT:$AT,Ageing!K$4)</f>
        <v>0</v>
      </c>
      <c r="L182" s="369">
        <f>SUMIFS(Disbursements!$AP:$AP,Disbursements!$B:$B,Ageing!$B182,Disbursements!$AT:$AT,Ageing!L$4)</f>
        <v>0</v>
      </c>
      <c r="M182" s="369">
        <f>SUMIFS(Disbursements!$AP:$AP,Disbursements!$B:$B,Ageing!$B182,Disbursements!$AT:$AT,Ageing!M$4)</f>
        <v>0</v>
      </c>
      <c r="N182" s="369">
        <f>SUMIFS(Disbursements!$AP:$AP,Disbursements!$B:$B,Ageing!$B182,Disbursements!$AT:$AT,Ageing!N$4)</f>
        <v>0</v>
      </c>
      <c r="O182" s="369">
        <f>SUMIFS(Disbursements!$AP:$AP,Disbursements!$B:$B,Ageing!$B182,Disbursements!$AT:$AT,Ageing!O$4)</f>
        <v>0</v>
      </c>
    </row>
    <row r="183" spans="1:15" x14ac:dyDescent="0.2">
      <c r="A183" s="179" t="str">
        <f>IFERROR(VLOOKUP($B183,'Clients-Live'!$A:$C,3,30),"")</f>
        <v>GERIA VIOLA</v>
      </c>
      <c r="B183" s="480">
        <v>179</v>
      </c>
      <c r="C183" s="370" t="str">
        <f>IFERROR(INDEX(Disbursements!$J:$J,MATCH(Ageing!B183,Disbursements!$B:$B,0)),"No Loan")</f>
        <v>Jerome</v>
      </c>
      <c r="D183" s="364">
        <f>SUMIF(Disbursements!$B:$B,Ageing!$B183,Disbursements!AN:AN)</f>
        <v>103000</v>
      </c>
      <c r="E183" s="364">
        <f>SUMIF(Disbursements!$B:$B,Ageing!$B183,Disbursements!AO:AO)</f>
        <v>546000</v>
      </c>
      <c r="F183" s="365">
        <f t="shared" si="6"/>
        <v>649000</v>
      </c>
      <c r="G183" s="364">
        <f ca="1">SUMIF(Disbursements!$B:$B,Ageing!$B183,Disbursements!AQ:AQ)</f>
        <v>649000</v>
      </c>
      <c r="H183" s="364">
        <f ca="1">SUMIF(Disbursements!$B:$B,Ageing!$B183,Disbursements!AS:AS)</f>
        <v>89</v>
      </c>
      <c r="I183" s="364">
        <f t="shared" ca="1" si="7"/>
        <v>1</v>
      </c>
      <c r="J183" s="369">
        <f ca="1">SUMIFS(Disbursements!$AP:$AP,Disbursements!$B:$B,Ageing!$B183,Disbursements!$AT:$AT,Ageing!J$4)</f>
        <v>0</v>
      </c>
      <c r="K183" s="369">
        <f ca="1">SUMIFS(Disbursements!$AP:$AP,Disbursements!$B:$B,Ageing!$B183,Disbursements!$AT:$AT,Ageing!K$4)</f>
        <v>0</v>
      </c>
      <c r="L183" s="369">
        <f ca="1">SUMIFS(Disbursements!$AP:$AP,Disbursements!$B:$B,Ageing!$B183,Disbursements!$AT:$AT,Ageing!L$4)</f>
        <v>0</v>
      </c>
      <c r="M183" s="369">
        <f ca="1">SUMIFS(Disbursements!$AP:$AP,Disbursements!$B:$B,Ageing!$B183,Disbursements!$AT:$AT,Ageing!M$4)</f>
        <v>649000</v>
      </c>
      <c r="N183" s="369">
        <f ca="1">SUMIFS(Disbursements!$AP:$AP,Disbursements!$B:$B,Ageing!$B183,Disbursements!$AT:$AT,Ageing!N$4)</f>
        <v>0</v>
      </c>
      <c r="O183" s="369">
        <f ca="1">SUMIFS(Disbursements!$AP:$AP,Disbursements!$B:$B,Ageing!$B183,Disbursements!$AT:$AT,Ageing!O$4)</f>
        <v>0</v>
      </c>
    </row>
    <row r="184" spans="1:15" x14ac:dyDescent="0.2">
      <c r="A184" s="179" t="str">
        <f>IFERROR(VLOOKUP($B184,'Clients-Live'!$A:$C,3,30),"")</f>
        <v>IJOSIGA ISMAIL</v>
      </c>
      <c r="B184" s="480">
        <v>180</v>
      </c>
      <c r="C184" s="370" t="str">
        <f>IFERROR(INDEX(Disbursements!$J:$J,MATCH(Ageing!B184,Disbursements!$B:$B,0)),"No Loan")</f>
        <v>Jerome</v>
      </c>
      <c r="D184" s="364">
        <f>SUMIF(Disbursements!$B:$B,Ageing!$B184,Disbursements!AN:AN)</f>
        <v>0</v>
      </c>
      <c r="E184" s="364">
        <f>SUMIF(Disbursements!$B:$B,Ageing!$B184,Disbursements!AO:AO)</f>
        <v>95500</v>
      </c>
      <c r="F184" s="365">
        <f t="shared" si="6"/>
        <v>95500</v>
      </c>
      <c r="G184" s="364">
        <f ca="1">SUMIF(Disbursements!$B:$B,Ageing!$B184,Disbursements!AQ:AQ)</f>
        <v>95500</v>
      </c>
      <c r="H184" s="364">
        <f ca="1">SUMIF(Disbursements!$B:$B,Ageing!$B184,Disbursements!AS:AS)</f>
        <v>11</v>
      </c>
      <c r="I184" s="364">
        <f t="shared" ca="1" si="7"/>
        <v>1</v>
      </c>
      <c r="J184" s="369">
        <f ca="1">SUMIFS(Disbursements!$AP:$AP,Disbursements!$B:$B,Ageing!$B184,Disbursements!$AT:$AT,Ageing!J$4)</f>
        <v>0</v>
      </c>
      <c r="K184" s="369">
        <f ca="1">SUMIFS(Disbursements!$AP:$AP,Disbursements!$B:$B,Ageing!$B184,Disbursements!$AT:$AT,Ageing!K$4)</f>
        <v>95500</v>
      </c>
      <c r="L184" s="369">
        <f ca="1">SUMIFS(Disbursements!$AP:$AP,Disbursements!$B:$B,Ageing!$B184,Disbursements!$AT:$AT,Ageing!L$4)</f>
        <v>0</v>
      </c>
      <c r="M184" s="369">
        <f ca="1">SUMIFS(Disbursements!$AP:$AP,Disbursements!$B:$B,Ageing!$B184,Disbursements!$AT:$AT,Ageing!M$4)</f>
        <v>0</v>
      </c>
      <c r="N184" s="369">
        <f ca="1">SUMIFS(Disbursements!$AP:$AP,Disbursements!$B:$B,Ageing!$B184,Disbursements!$AT:$AT,Ageing!N$4)</f>
        <v>0</v>
      </c>
      <c r="O184" s="369">
        <f ca="1">SUMIFS(Disbursements!$AP:$AP,Disbursements!$B:$B,Ageing!$B184,Disbursements!$AT:$AT,Ageing!O$4)</f>
        <v>0</v>
      </c>
    </row>
    <row r="185" spans="1:15" x14ac:dyDescent="0.2">
      <c r="A185" s="179" t="str">
        <f>IFERROR(VLOOKUP($B185,'Clients-Live'!$A:$C,3,30),"")</f>
        <v>LEKURU CHRISTINE</v>
      </c>
      <c r="B185" s="480">
        <v>181</v>
      </c>
      <c r="C185" s="370" t="str">
        <f>IFERROR(INDEX(Disbursements!$J:$J,MATCH(Ageing!B185,Disbursements!$B:$B,0)),"No Loan")</f>
        <v>Kana</v>
      </c>
      <c r="D185" s="364">
        <f>SUMIF(Disbursements!$B:$B,Ageing!$B185,Disbursements!AN:AN)</f>
        <v>0</v>
      </c>
      <c r="E185" s="364">
        <f>SUMIF(Disbursements!$B:$B,Ageing!$B185,Disbursements!AO:AO)</f>
        <v>0</v>
      </c>
      <c r="F185" s="365">
        <f t="shared" si="6"/>
        <v>0</v>
      </c>
      <c r="G185" s="364">
        <f ca="1">SUMIF(Disbursements!$B:$B,Ageing!$B185,Disbursements!AQ:AQ)</f>
        <v>0</v>
      </c>
      <c r="H185" s="364">
        <f ca="1">SUMIF(Disbursements!$B:$B,Ageing!$B185,Disbursements!AS:AS)</f>
        <v>0</v>
      </c>
      <c r="I185" s="364">
        <f t="shared" si="7"/>
        <v>0</v>
      </c>
      <c r="J185" s="369">
        <f>SUMIFS(Disbursements!$AP:$AP,Disbursements!$B:$B,Ageing!$B185,Disbursements!$AT:$AT,Ageing!J$4)</f>
        <v>0</v>
      </c>
      <c r="K185" s="369">
        <f>SUMIFS(Disbursements!$AP:$AP,Disbursements!$B:$B,Ageing!$B185,Disbursements!$AT:$AT,Ageing!K$4)</f>
        <v>0</v>
      </c>
      <c r="L185" s="369">
        <f>SUMIFS(Disbursements!$AP:$AP,Disbursements!$B:$B,Ageing!$B185,Disbursements!$AT:$AT,Ageing!L$4)</f>
        <v>0</v>
      </c>
      <c r="M185" s="369">
        <f>SUMIFS(Disbursements!$AP:$AP,Disbursements!$B:$B,Ageing!$B185,Disbursements!$AT:$AT,Ageing!M$4)</f>
        <v>0</v>
      </c>
      <c r="N185" s="369">
        <f>SUMIFS(Disbursements!$AP:$AP,Disbursements!$B:$B,Ageing!$B185,Disbursements!$AT:$AT,Ageing!N$4)</f>
        <v>0</v>
      </c>
      <c r="O185" s="369">
        <f>SUMIFS(Disbursements!$AP:$AP,Disbursements!$B:$B,Ageing!$B185,Disbursements!$AT:$AT,Ageing!O$4)</f>
        <v>0</v>
      </c>
    </row>
    <row r="186" spans="1:15" x14ac:dyDescent="0.2">
      <c r="A186" s="179" t="str">
        <f>IFERROR(VLOOKUP($B186,'Clients-Live'!$A:$C,3,30),"")</f>
        <v>ANITE ZAM</v>
      </c>
      <c r="B186" s="480">
        <v>182</v>
      </c>
      <c r="C186" s="370" t="str">
        <f>IFERROR(INDEX(Disbursements!$J:$J,MATCH(Ageing!B186,Disbursements!$B:$B,0)),"No Loan")</f>
        <v>Aroma</v>
      </c>
      <c r="D186" s="364">
        <f>SUMIF(Disbursements!$B:$B,Ageing!$B186,Disbursements!AN:AN)</f>
        <v>0</v>
      </c>
      <c r="E186" s="364">
        <f>SUMIF(Disbursements!$B:$B,Ageing!$B186,Disbursements!AO:AO)</f>
        <v>0</v>
      </c>
      <c r="F186" s="365">
        <f t="shared" si="6"/>
        <v>0</v>
      </c>
      <c r="G186" s="364">
        <f ca="1">SUMIF(Disbursements!$B:$B,Ageing!$B186,Disbursements!AQ:AQ)</f>
        <v>0</v>
      </c>
      <c r="H186" s="364">
        <f ca="1">SUMIF(Disbursements!$B:$B,Ageing!$B186,Disbursements!AS:AS)</f>
        <v>0</v>
      </c>
      <c r="I186" s="364">
        <f t="shared" si="7"/>
        <v>0</v>
      </c>
      <c r="J186" s="369">
        <f>SUMIFS(Disbursements!$AP:$AP,Disbursements!$B:$B,Ageing!$B186,Disbursements!$AT:$AT,Ageing!J$4)</f>
        <v>0</v>
      </c>
      <c r="K186" s="369">
        <f>SUMIFS(Disbursements!$AP:$AP,Disbursements!$B:$B,Ageing!$B186,Disbursements!$AT:$AT,Ageing!K$4)</f>
        <v>0</v>
      </c>
      <c r="L186" s="369">
        <f>SUMIFS(Disbursements!$AP:$AP,Disbursements!$B:$B,Ageing!$B186,Disbursements!$AT:$AT,Ageing!L$4)</f>
        <v>0</v>
      </c>
      <c r="M186" s="369">
        <f>SUMIFS(Disbursements!$AP:$AP,Disbursements!$B:$B,Ageing!$B186,Disbursements!$AT:$AT,Ageing!M$4)</f>
        <v>0</v>
      </c>
      <c r="N186" s="369">
        <f>SUMIFS(Disbursements!$AP:$AP,Disbursements!$B:$B,Ageing!$B186,Disbursements!$AT:$AT,Ageing!N$4)</f>
        <v>0</v>
      </c>
      <c r="O186" s="369">
        <f>SUMIFS(Disbursements!$AP:$AP,Disbursements!$B:$B,Ageing!$B186,Disbursements!$AT:$AT,Ageing!O$4)</f>
        <v>0</v>
      </c>
    </row>
    <row r="187" spans="1:15" x14ac:dyDescent="0.2">
      <c r="A187" s="179" t="str">
        <f>IFERROR(VLOOKUP($B187,'Clients-Live'!$A:$C,3,30),"")</f>
        <v>NIGHT AMINA HUSSEIN</v>
      </c>
      <c r="B187" s="480">
        <v>183</v>
      </c>
      <c r="C187" s="370" t="str">
        <f>IFERROR(INDEX(Disbursements!$J:$J,MATCH(Ageing!B187,Disbursements!$B:$B,0)),"No Loan")</f>
        <v>Jerome</v>
      </c>
      <c r="D187" s="364">
        <f>SUMIF(Disbursements!$B:$B,Ageing!$B187,Disbursements!AN:AN)</f>
        <v>0</v>
      </c>
      <c r="E187" s="364">
        <f>SUMIF(Disbursements!$B:$B,Ageing!$B187,Disbursements!AO:AO)</f>
        <v>0</v>
      </c>
      <c r="F187" s="365">
        <f t="shared" si="6"/>
        <v>0</v>
      </c>
      <c r="G187" s="364">
        <f ca="1">SUMIF(Disbursements!$B:$B,Ageing!$B187,Disbursements!AQ:AQ)</f>
        <v>0</v>
      </c>
      <c r="H187" s="364">
        <f ca="1">SUMIF(Disbursements!$B:$B,Ageing!$B187,Disbursements!AS:AS)</f>
        <v>0</v>
      </c>
      <c r="I187" s="364">
        <f t="shared" si="7"/>
        <v>0</v>
      </c>
      <c r="J187" s="369">
        <f>SUMIFS(Disbursements!$AP:$AP,Disbursements!$B:$B,Ageing!$B187,Disbursements!$AT:$AT,Ageing!J$4)</f>
        <v>0</v>
      </c>
      <c r="K187" s="369">
        <f>SUMIFS(Disbursements!$AP:$AP,Disbursements!$B:$B,Ageing!$B187,Disbursements!$AT:$AT,Ageing!K$4)</f>
        <v>0</v>
      </c>
      <c r="L187" s="369">
        <f>SUMIFS(Disbursements!$AP:$AP,Disbursements!$B:$B,Ageing!$B187,Disbursements!$AT:$AT,Ageing!L$4)</f>
        <v>0</v>
      </c>
      <c r="M187" s="369">
        <f>SUMIFS(Disbursements!$AP:$AP,Disbursements!$B:$B,Ageing!$B187,Disbursements!$AT:$AT,Ageing!M$4)</f>
        <v>0</v>
      </c>
      <c r="N187" s="369">
        <f>SUMIFS(Disbursements!$AP:$AP,Disbursements!$B:$B,Ageing!$B187,Disbursements!$AT:$AT,Ageing!N$4)</f>
        <v>0</v>
      </c>
      <c r="O187" s="369">
        <f>SUMIFS(Disbursements!$AP:$AP,Disbursements!$B:$B,Ageing!$B187,Disbursements!$AT:$AT,Ageing!O$4)</f>
        <v>0</v>
      </c>
    </row>
    <row r="188" spans="1:15" x14ac:dyDescent="0.2">
      <c r="A188" s="179" t="str">
        <f>IFERROR(VLOOKUP($B188,'Clients-Live'!$A:$C,3,30),"")</f>
        <v>OCOKORU GLORIA</v>
      </c>
      <c r="B188" s="480">
        <v>184</v>
      </c>
      <c r="C188" s="370" t="str">
        <f>IFERROR(INDEX(Disbursements!$J:$J,MATCH(Ageing!B188,Disbursements!$B:$B,0)),"No Loan")</f>
        <v>Aroma</v>
      </c>
      <c r="D188" s="364">
        <f>SUMIF(Disbursements!$B:$B,Ageing!$B188,Disbursements!AN:AN)</f>
        <v>0</v>
      </c>
      <c r="E188" s="364">
        <f>SUMIF(Disbursements!$B:$B,Ageing!$B188,Disbursements!AO:AO)</f>
        <v>0</v>
      </c>
      <c r="F188" s="365">
        <f t="shared" si="6"/>
        <v>0</v>
      </c>
      <c r="G188" s="364">
        <f ca="1">SUMIF(Disbursements!$B:$B,Ageing!$B188,Disbursements!AQ:AQ)</f>
        <v>0</v>
      </c>
      <c r="H188" s="364">
        <f ca="1">SUMIF(Disbursements!$B:$B,Ageing!$B188,Disbursements!AS:AS)</f>
        <v>0</v>
      </c>
      <c r="I188" s="364">
        <f t="shared" si="7"/>
        <v>0</v>
      </c>
      <c r="J188" s="369">
        <f>SUMIFS(Disbursements!$AP:$AP,Disbursements!$B:$B,Ageing!$B188,Disbursements!$AT:$AT,Ageing!J$4)</f>
        <v>0</v>
      </c>
      <c r="K188" s="369">
        <f>SUMIFS(Disbursements!$AP:$AP,Disbursements!$B:$B,Ageing!$B188,Disbursements!$AT:$AT,Ageing!K$4)</f>
        <v>0</v>
      </c>
      <c r="L188" s="369">
        <f>SUMIFS(Disbursements!$AP:$AP,Disbursements!$B:$B,Ageing!$B188,Disbursements!$AT:$AT,Ageing!L$4)</f>
        <v>0</v>
      </c>
      <c r="M188" s="369">
        <f>SUMIFS(Disbursements!$AP:$AP,Disbursements!$B:$B,Ageing!$B188,Disbursements!$AT:$AT,Ageing!M$4)</f>
        <v>0</v>
      </c>
      <c r="N188" s="369">
        <f>SUMIFS(Disbursements!$AP:$AP,Disbursements!$B:$B,Ageing!$B188,Disbursements!$AT:$AT,Ageing!N$4)</f>
        <v>0</v>
      </c>
      <c r="O188" s="369">
        <f>SUMIFS(Disbursements!$AP:$AP,Disbursements!$B:$B,Ageing!$B188,Disbursements!$AT:$AT,Ageing!O$4)</f>
        <v>0</v>
      </c>
    </row>
    <row r="189" spans="1:15" x14ac:dyDescent="0.2">
      <c r="A189" s="179" t="str">
        <f>IFERROR(VLOOKUP($B189,'Clients-Live'!$A:$C,3,30),"")</f>
        <v>APAYI HARRIET</v>
      </c>
      <c r="B189" s="480">
        <v>185</v>
      </c>
      <c r="C189" s="370" t="str">
        <f>IFERROR(INDEX(Disbursements!$J:$J,MATCH(Ageing!B189,Disbursements!$B:$B,0)),"No Loan")</f>
        <v>Kana</v>
      </c>
      <c r="D189" s="364">
        <f>SUMIF(Disbursements!$B:$B,Ageing!$B189,Disbursements!AN:AN)</f>
        <v>218000</v>
      </c>
      <c r="E189" s="364">
        <f>SUMIF(Disbursements!$B:$B,Ageing!$B189,Disbursements!AO:AO)</f>
        <v>408000</v>
      </c>
      <c r="F189" s="365">
        <f t="shared" si="6"/>
        <v>626000</v>
      </c>
      <c r="G189" s="364">
        <f ca="1">SUMIF(Disbursements!$B:$B,Ageing!$B189,Disbursements!AQ:AQ)</f>
        <v>626000</v>
      </c>
      <c r="H189" s="364">
        <f ca="1">SUMIF(Disbursements!$B:$B,Ageing!$B189,Disbursements!AS:AS)</f>
        <v>58</v>
      </c>
      <c r="I189" s="364">
        <f t="shared" ca="1" si="7"/>
        <v>1</v>
      </c>
      <c r="J189" s="369">
        <f ca="1">SUMIFS(Disbursements!$AP:$AP,Disbursements!$B:$B,Ageing!$B189,Disbursements!$AT:$AT,Ageing!J$4)</f>
        <v>0</v>
      </c>
      <c r="K189" s="369">
        <f ca="1">SUMIFS(Disbursements!$AP:$AP,Disbursements!$B:$B,Ageing!$B189,Disbursements!$AT:$AT,Ageing!K$4)</f>
        <v>0</v>
      </c>
      <c r="L189" s="369">
        <f ca="1">SUMIFS(Disbursements!$AP:$AP,Disbursements!$B:$B,Ageing!$B189,Disbursements!$AT:$AT,Ageing!L$4)</f>
        <v>626000</v>
      </c>
      <c r="M189" s="369">
        <f ca="1">SUMIFS(Disbursements!$AP:$AP,Disbursements!$B:$B,Ageing!$B189,Disbursements!$AT:$AT,Ageing!M$4)</f>
        <v>0</v>
      </c>
      <c r="N189" s="369">
        <f ca="1">SUMIFS(Disbursements!$AP:$AP,Disbursements!$B:$B,Ageing!$B189,Disbursements!$AT:$AT,Ageing!N$4)</f>
        <v>0</v>
      </c>
      <c r="O189" s="369">
        <f ca="1">SUMIFS(Disbursements!$AP:$AP,Disbursements!$B:$B,Ageing!$B189,Disbursements!$AT:$AT,Ageing!O$4)</f>
        <v>0</v>
      </c>
    </row>
    <row r="190" spans="1:15" x14ac:dyDescent="0.2">
      <c r="A190" s="179" t="str">
        <f>IFERROR(VLOOKUP($B190,'Clients-Live'!$A:$C,3,30),"")</f>
        <v>GIFT JAMES</v>
      </c>
      <c r="B190" s="480">
        <v>186</v>
      </c>
      <c r="C190" s="370" t="str">
        <f>IFERROR(INDEX(Disbursements!$J:$J,MATCH(Ageing!B190,Disbursements!$B:$B,0)),"No Loan")</f>
        <v>Jerome</v>
      </c>
      <c r="D190" s="364">
        <f>SUMIF(Disbursements!$B:$B,Ageing!$B190,Disbursements!AN:AN)</f>
        <v>289666.66666666674</v>
      </c>
      <c r="E190" s="364">
        <f>SUMIF(Disbursements!$B:$B,Ageing!$B190,Disbursements!AO:AO)</f>
        <v>616333.33333333349</v>
      </c>
      <c r="F190" s="365">
        <f t="shared" si="6"/>
        <v>906000.00000000023</v>
      </c>
      <c r="G190" s="364">
        <f ca="1">SUMIF(Disbursements!$B:$B,Ageing!$B190,Disbursements!AQ:AQ)</f>
        <v>906000.00000000023</v>
      </c>
      <c r="H190" s="364">
        <f ca="1">SUMIF(Disbursements!$B:$B,Ageing!$B190,Disbursements!AS:AS)</f>
        <v>63</v>
      </c>
      <c r="I190" s="364">
        <f t="shared" ca="1" si="7"/>
        <v>1</v>
      </c>
      <c r="J190" s="369">
        <f ca="1">SUMIFS(Disbursements!$AP:$AP,Disbursements!$B:$B,Ageing!$B190,Disbursements!$AT:$AT,Ageing!J$4)</f>
        <v>0</v>
      </c>
      <c r="K190" s="369">
        <f ca="1">SUMIFS(Disbursements!$AP:$AP,Disbursements!$B:$B,Ageing!$B190,Disbursements!$AT:$AT,Ageing!K$4)</f>
        <v>0</v>
      </c>
      <c r="L190" s="369">
        <f ca="1">SUMIFS(Disbursements!$AP:$AP,Disbursements!$B:$B,Ageing!$B190,Disbursements!$AT:$AT,Ageing!L$4)</f>
        <v>0</v>
      </c>
      <c r="M190" s="369">
        <f ca="1">SUMIFS(Disbursements!$AP:$AP,Disbursements!$B:$B,Ageing!$B190,Disbursements!$AT:$AT,Ageing!M$4)</f>
        <v>906000.00000000023</v>
      </c>
      <c r="N190" s="369">
        <f ca="1">SUMIFS(Disbursements!$AP:$AP,Disbursements!$B:$B,Ageing!$B190,Disbursements!$AT:$AT,Ageing!N$4)</f>
        <v>0</v>
      </c>
      <c r="O190" s="369">
        <f ca="1">SUMIFS(Disbursements!$AP:$AP,Disbursements!$B:$B,Ageing!$B190,Disbursements!$AT:$AT,Ageing!O$4)</f>
        <v>0</v>
      </c>
    </row>
    <row r="191" spans="1:15" x14ac:dyDescent="0.2">
      <c r="A191" s="179" t="str">
        <f>IFERROR(VLOOKUP($B191,'Clients-Live'!$A:$C,3,30),"")</f>
        <v xml:space="preserve">AJIO HARRIET </v>
      </c>
      <c r="B191" s="480">
        <v>187</v>
      </c>
      <c r="C191" s="370" t="str">
        <f>IFERROR(INDEX(Disbursements!$J:$J,MATCH(Ageing!B191,Disbursements!$B:$B,0)),"No Loan")</f>
        <v>Aroma</v>
      </c>
      <c r="D191" s="364">
        <f>SUMIF(Disbursements!$B:$B,Ageing!$B191,Disbursements!AN:AN)</f>
        <v>66000</v>
      </c>
      <c r="E191" s="364">
        <f>SUMIF(Disbursements!$B:$B,Ageing!$B191,Disbursements!AO:AO)</f>
        <v>269000</v>
      </c>
      <c r="F191" s="365">
        <f t="shared" si="6"/>
        <v>335000</v>
      </c>
      <c r="G191" s="364">
        <f ca="1">SUMIF(Disbursements!$B:$B,Ageing!$B191,Disbursements!AQ:AQ)</f>
        <v>335000</v>
      </c>
      <c r="H191" s="364">
        <f ca="1">SUMIF(Disbursements!$B:$B,Ageing!$B191,Disbursements!AS:AS)</f>
        <v>64</v>
      </c>
      <c r="I191" s="364">
        <f t="shared" ca="1" si="7"/>
        <v>1</v>
      </c>
      <c r="J191" s="369">
        <f ca="1">SUMIFS(Disbursements!$AP:$AP,Disbursements!$B:$B,Ageing!$B191,Disbursements!$AT:$AT,Ageing!J$4)</f>
        <v>0</v>
      </c>
      <c r="K191" s="369">
        <f ca="1">SUMIFS(Disbursements!$AP:$AP,Disbursements!$B:$B,Ageing!$B191,Disbursements!$AT:$AT,Ageing!K$4)</f>
        <v>0</v>
      </c>
      <c r="L191" s="369">
        <f ca="1">SUMIFS(Disbursements!$AP:$AP,Disbursements!$B:$B,Ageing!$B191,Disbursements!$AT:$AT,Ageing!L$4)</f>
        <v>0</v>
      </c>
      <c r="M191" s="369">
        <f ca="1">SUMIFS(Disbursements!$AP:$AP,Disbursements!$B:$B,Ageing!$B191,Disbursements!$AT:$AT,Ageing!M$4)</f>
        <v>335000</v>
      </c>
      <c r="N191" s="369">
        <f ca="1">SUMIFS(Disbursements!$AP:$AP,Disbursements!$B:$B,Ageing!$B191,Disbursements!$AT:$AT,Ageing!N$4)</f>
        <v>0</v>
      </c>
      <c r="O191" s="369">
        <f ca="1">SUMIFS(Disbursements!$AP:$AP,Disbursements!$B:$B,Ageing!$B191,Disbursements!$AT:$AT,Ageing!O$4)</f>
        <v>0</v>
      </c>
    </row>
    <row r="192" spans="1:15" x14ac:dyDescent="0.2">
      <c r="A192" s="179" t="str">
        <f>IFERROR(VLOOKUP($B192,'Clients-Live'!$A:$C,3,30),"")</f>
        <v>ADIRU HELLEN</v>
      </c>
      <c r="B192" s="480">
        <v>188</v>
      </c>
      <c r="C192" s="370" t="str">
        <f>IFERROR(INDEX(Disbursements!$J:$J,MATCH(Ageing!B192,Disbursements!$B:$B,0)),"No Loan")</f>
        <v>Aroma</v>
      </c>
      <c r="D192" s="364">
        <f>SUMIF(Disbursements!$B:$B,Ageing!$B192,Disbursements!AN:AN)</f>
        <v>0</v>
      </c>
      <c r="E192" s="364">
        <f>SUMIF(Disbursements!$B:$B,Ageing!$B192,Disbursements!AO:AO)</f>
        <v>183000</v>
      </c>
      <c r="F192" s="365">
        <f t="shared" si="6"/>
        <v>183000</v>
      </c>
      <c r="G192" s="364">
        <f ca="1">SUMIF(Disbursements!$B:$B,Ageing!$B192,Disbursements!AQ:AQ)</f>
        <v>183000</v>
      </c>
      <c r="H192" s="364">
        <f ca="1">SUMIF(Disbursements!$B:$B,Ageing!$B192,Disbursements!AS:AS)</f>
        <v>32</v>
      </c>
      <c r="I192" s="364">
        <f t="shared" ca="1" si="7"/>
        <v>2</v>
      </c>
      <c r="J192" s="369">
        <f ca="1">SUMIFS(Disbursements!$AP:$AP,Disbursements!$B:$B,Ageing!$B192,Disbursements!$AT:$AT,Ageing!J$4)</f>
        <v>0</v>
      </c>
      <c r="K192" s="369">
        <f ca="1">SUMIFS(Disbursements!$AP:$AP,Disbursements!$B:$B,Ageing!$B192,Disbursements!$AT:$AT,Ageing!K$4)</f>
        <v>2000</v>
      </c>
      <c r="L192" s="369">
        <f ca="1">SUMIFS(Disbursements!$AP:$AP,Disbursements!$B:$B,Ageing!$B192,Disbursements!$AT:$AT,Ageing!L$4)</f>
        <v>181000</v>
      </c>
      <c r="M192" s="369">
        <f ca="1">SUMIFS(Disbursements!$AP:$AP,Disbursements!$B:$B,Ageing!$B192,Disbursements!$AT:$AT,Ageing!M$4)</f>
        <v>0</v>
      </c>
      <c r="N192" s="369">
        <f ca="1">SUMIFS(Disbursements!$AP:$AP,Disbursements!$B:$B,Ageing!$B192,Disbursements!$AT:$AT,Ageing!N$4)</f>
        <v>0</v>
      </c>
      <c r="O192" s="369">
        <f ca="1">SUMIFS(Disbursements!$AP:$AP,Disbursements!$B:$B,Ageing!$B192,Disbursements!$AT:$AT,Ageing!O$4)</f>
        <v>0</v>
      </c>
    </row>
    <row r="193" spans="1:15" x14ac:dyDescent="0.2">
      <c r="A193" s="179" t="str">
        <f>IFERROR(VLOOKUP($B193,'Clients-Live'!$A:$C,3,30),"")</f>
        <v>AYIDA SELUWA</v>
      </c>
      <c r="B193" s="480">
        <v>189</v>
      </c>
      <c r="C193" s="370" t="str">
        <f>IFERROR(INDEX(Disbursements!$J:$J,MATCH(Ageing!B193,Disbursements!$B:$B,0)),"No Loan")</f>
        <v>Jerome</v>
      </c>
      <c r="D193" s="364">
        <f>SUMIF(Disbursements!$B:$B,Ageing!$B193,Disbursements!AN:AN)</f>
        <v>88333.333333333328</v>
      </c>
      <c r="E193" s="364">
        <f>SUMIF(Disbursements!$B:$B,Ageing!$B193,Disbursements!AO:AO)</f>
        <v>260666.66666666669</v>
      </c>
      <c r="F193" s="365">
        <f t="shared" si="6"/>
        <v>349000</v>
      </c>
      <c r="G193" s="364">
        <f ca="1">SUMIF(Disbursements!$B:$B,Ageing!$B193,Disbursements!AQ:AQ)</f>
        <v>349000</v>
      </c>
      <c r="H193" s="364">
        <f ca="1">SUMIF(Disbursements!$B:$B,Ageing!$B193,Disbursements!AS:AS)</f>
        <v>72</v>
      </c>
      <c r="I193" s="364">
        <f t="shared" ca="1" si="7"/>
        <v>1</v>
      </c>
      <c r="J193" s="369">
        <f ca="1">SUMIFS(Disbursements!$AP:$AP,Disbursements!$B:$B,Ageing!$B193,Disbursements!$AT:$AT,Ageing!J$4)</f>
        <v>0</v>
      </c>
      <c r="K193" s="369">
        <f ca="1">SUMIFS(Disbursements!$AP:$AP,Disbursements!$B:$B,Ageing!$B193,Disbursements!$AT:$AT,Ageing!K$4)</f>
        <v>0</v>
      </c>
      <c r="L193" s="369">
        <f ca="1">SUMIFS(Disbursements!$AP:$AP,Disbursements!$B:$B,Ageing!$B193,Disbursements!$AT:$AT,Ageing!L$4)</f>
        <v>0</v>
      </c>
      <c r="M193" s="369">
        <f ca="1">SUMIFS(Disbursements!$AP:$AP,Disbursements!$B:$B,Ageing!$B193,Disbursements!$AT:$AT,Ageing!M$4)</f>
        <v>349000</v>
      </c>
      <c r="N193" s="369">
        <f ca="1">SUMIFS(Disbursements!$AP:$AP,Disbursements!$B:$B,Ageing!$B193,Disbursements!$AT:$AT,Ageing!N$4)</f>
        <v>0</v>
      </c>
      <c r="O193" s="369">
        <f ca="1">SUMIFS(Disbursements!$AP:$AP,Disbursements!$B:$B,Ageing!$B193,Disbursements!$AT:$AT,Ageing!O$4)</f>
        <v>0</v>
      </c>
    </row>
    <row r="194" spans="1:15" x14ac:dyDescent="0.2">
      <c r="A194" s="179" t="str">
        <f>IFERROR(VLOOKUP($B194,'Clients-Live'!$A:$C,3,30),"")</f>
        <v>TAISA AMINA</v>
      </c>
      <c r="B194" s="480">
        <v>190</v>
      </c>
      <c r="C194" s="370" t="str">
        <f>IFERROR(INDEX(Disbursements!$J:$J,MATCH(Ageing!B194,Disbursements!$B:$B,0)),"No Loan")</f>
        <v>Kana</v>
      </c>
      <c r="D194" s="364">
        <f>SUMIF(Disbursements!$B:$B,Ageing!$B194,Disbursements!AN:AN)</f>
        <v>0</v>
      </c>
      <c r="E194" s="364">
        <f>SUMIF(Disbursements!$B:$B,Ageing!$B194,Disbursements!AO:AO)</f>
        <v>0</v>
      </c>
      <c r="F194" s="365">
        <f t="shared" si="6"/>
        <v>0</v>
      </c>
      <c r="G194" s="364">
        <f ca="1">SUMIF(Disbursements!$B:$B,Ageing!$B194,Disbursements!AQ:AQ)</f>
        <v>0</v>
      </c>
      <c r="H194" s="364">
        <f ca="1">SUMIF(Disbursements!$B:$B,Ageing!$B194,Disbursements!AS:AS)</f>
        <v>0</v>
      </c>
      <c r="I194" s="364">
        <f t="shared" si="7"/>
        <v>0</v>
      </c>
      <c r="J194" s="369">
        <f>SUMIFS(Disbursements!$AP:$AP,Disbursements!$B:$B,Ageing!$B194,Disbursements!$AT:$AT,Ageing!J$4)</f>
        <v>0</v>
      </c>
      <c r="K194" s="369">
        <f>SUMIFS(Disbursements!$AP:$AP,Disbursements!$B:$B,Ageing!$B194,Disbursements!$AT:$AT,Ageing!K$4)</f>
        <v>0</v>
      </c>
      <c r="L194" s="369">
        <f>SUMIFS(Disbursements!$AP:$AP,Disbursements!$B:$B,Ageing!$B194,Disbursements!$AT:$AT,Ageing!L$4)</f>
        <v>0</v>
      </c>
      <c r="M194" s="369">
        <f>SUMIFS(Disbursements!$AP:$AP,Disbursements!$B:$B,Ageing!$B194,Disbursements!$AT:$AT,Ageing!M$4)</f>
        <v>0</v>
      </c>
      <c r="N194" s="369">
        <f>SUMIFS(Disbursements!$AP:$AP,Disbursements!$B:$B,Ageing!$B194,Disbursements!$AT:$AT,Ageing!N$4)</f>
        <v>0</v>
      </c>
      <c r="O194" s="369">
        <f>SUMIFS(Disbursements!$AP:$AP,Disbursements!$B:$B,Ageing!$B194,Disbursements!$AT:$AT,Ageing!O$4)</f>
        <v>0</v>
      </c>
    </row>
    <row r="195" spans="1:15" x14ac:dyDescent="0.2">
      <c r="A195" s="179" t="str">
        <f>IFERROR(VLOOKUP($B195,'Clients-Live'!$A:$C,3,30),"")</f>
        <v>AYOZU JESCA TAIBO</v>
      </c>
      <c r="B195" s="480">
        <v>191</v>
      </c>
      <c r="C195" s="370" t="str">
        <f>IFERROR(INDEX(Disbursements!$J:$J,MATCH(Ageing!B195,Disbursements!$B:$B,0)),"No Loan")</f>
        <v>Kana</v>
      </c>
      <c r="D195" s="364">
        <f>SUMIF(Disbursements!$B:$B,Ageing!$B195,Disbursements!AN:AN)</f>
        <v>27333.333333333314</v>
      </c>
      <c r="E195" s="364">
        <f>SUMIF(Disbursements!$B:$B,Ageing!$B195,Disbursements!AO:AO)</f>
        <v>14666.666666666628</v>
      </c>
      <c r="F195" s="365">
        <f t="shared" si="6"/>
        <v>41999.999999999942</v>
      </c>
      <c r="G195" s="364">
        <f ca="1">SUMIF(Disbursements!$B:$B,Ageing!$B195,Disbursements!AQ:AQ)</f>
        <v>41999.999999999942</v>
      </c>
      <c r="H195" s="364">
        <f ca="1">SUMIF(Disbursements!$B:$B,Ageing!$B195,Disbursements!AS:AS)</f>
        <v>9</v>
      </c>
      <c r="I195" s="364">
        <f t="shared" ca="1" si="7"/>
        <v>1</v>
      </c>
      <c r="J195" s="369">
        <f ca="1">SUMIFS(Disbursements!$AP:$AP,Disbursements!$B:$B,Ageing!$B195,Disbursements!$AT:$AT,Ageing!J$4)</f>
        <v>0</v>
      </c>
      <c r="K195" s="369">
        <f ca="1">SUMIFS(Disbursements!$AP:$AP,Disbursements!$B:$B,Ageing!$B195,Disbursements!$AT:$AT,Ageing!K$4)</f>
        <v>41999.999999999942</v>
      </c>
      <c r="L195" s="369">
        <f ca="1">SUMIFS(Disbursements!$AP:$AP,Disbursements!$B:$B,Ageing!$B195,Disbursements!$AT:$AT,Ageing!L$4)</f>
        <v>0</v>
      </c>
      <c r="M195" s="369">
        <f ca="1">SUMIFS(Disbursements!$AP:$AP,Disbursements!$B:$B,Ageing!$B195,Disbursements!$AT:$AT,Ageing!M$4)</f>
        <v>0</v>
      </c>
      <c r="N195" s="369">
        <f ca="1">SUMIFS(Disbursements!$AP:$AP,Disbursements!$B:$B,Ageing!$B195,Disbursements!$AT:$AT,Ageing!N$4)</f>
        <v>0</v>
      </c>
      <c r="O195" s="369">
        <f ca="1">SUMIFS(Disbursements!$AP:$AP,Disbursements!$B:$B,Ageing!$B195,Disbursements!$AT:$AT,Ageing!O$4)</f>
        <v>0</v>
      </c>
    </row>
    <row r="196" spans="1:15" x14ac:dyDescent="0.2">
      <c r="A196" s="179" t="str">
        <f>IFERROR(VLOOKUP($B196,'Clients-Live'!$A:$C,3,30),"")</f>
        <v>MAZARAU AISHA</v>
      </c>
      <c r="B196" s="480">
        <v>192</v>
      </c>
      <c r="C196" s="370" t="str">
        <f>IFERROR(INDEX(Disbursements!$J:$J,MATCH(Ageing!B196,Disbursements!$B:$B,0)),"No Loan")</f>
        <v>Kana</v>
      </c>
      <c r="D196" s="364">
        <f>SUMIF(Disbursements!$B:$B,Ageing!$B196,Disbursements!AN:AN)</f>
        <v>0</v>
      </c>
      <c r="E196" s="364">
        <f>SUMIF(Disbursements!$B:$B,Ageing!$B196,Disbursements!AO:AO)</f>
        <v>80000</v>
      </c>
      <c r="F196" s="365">
        <f t="shared" si="6"/>
        <v>80000</v>
      </c>
      <c r="G196" s="364">
        <f ca="1">SUMIF(Disbursements!$B:$B,Ageing!$B196,Disbursements!AQ:AQ)</f>
        <v>80000</v>
      </c>
      <c r="H196" s="364">
        <f ca="1">SUMIF(Disbursements!$B:$B,Ageing!$B196,Disbursements!AS:AS)</f>
        <v>20</v>
      </c>
      <c r="I196" s="364">
        <f t="shared" ca="1" si="7"/>
        <v>1</v>
      </c>
      <c r="J196" s="369">
        <f ca="1">SUMIFS(Disbursements!$AP:$AP,Disbursements!$B:$B,Ageing!$B196,Disbursements!$AT:$AT,Ageing!J$4)</f>
        <v>0</v>
      </c>
      <c r="K196" s="369">
        <f ca="1">SUMIFS(Disbursements!$AP:$AP,Disbursements!$B:$B,Ageing!$B196,Disbursements!$AT:$AT,Ageing!K$4)</f>
        <v>80000</v>
      </c>
      <c r="L196" s="369">
        <f ca="1">SUMIFS(Disbursements!$AP:$AP,Disbursements!$B:$B,Ageing!$B196,Disbursements!$AT:$AT,Ageing!L$4)</f>
        <v>0</v>
      </c>
      <c r="M196" s="369">
        <f ca="1">SUMIFS(Disbursements!$AP:$AP,Disbursements!$B:$B,Ageing!$B196,Disbursements!$AT:$AT,Ageing!M$4)</f>
        <v>0</v>
      </c>
      <c r="N196" s="369">
        <f ca="1">SUMIFS(Disbursements!$AP:$AP,Disbursements!$B:$B,Ageing!$B196,Disbursements!$AT:$AT,Ageing!N$4)</f>
        <v>0</v>
      </c>
      <c r="O196" s="369">
        <f ca="1">SUMIFS(Disbursements!$AP:$AP,Disbursements!$B:$B,Ageing!$B196,Disbursements!$AT:$AT,Ageing!O$4)</f>
        <v>0</v>
      </c>
    </row>
    <row r="197" spans="1:15" x14ac:dyDescent="0.2">
      <c r="A197" s="179" t="str">
        <f>IFERROR(VLOOKUP($B197,'Clients-Live'!$A:$C,3,30),"")</f>
        <v>ADIYE MARIAM</v>
      </c>
      <c r="B197" s="480">
        <v>193</v>
      </c>
      <c r="C197" s="370" t="str">
        <f>IFERROR(INDEX(Disbursements!$J:$J,MATCH(Ageing!B197,Disbursements!$B:$B,0)),"No Loan")</f>
        <v>No Loan</v>
      </c>
      <c r="D197" s="364">
        <f>SUMIF(Disbursements!$B:$B,Ageing!$B197,Disbursements!AN:AN)</f>
        <v>0</v>
      </c>
      <c r="E197" s="364">
        <f>SUMIF(Disbursements!$B:$B,Ageing!$B197,Disbursements!AO:AO)</f>
        <v>0</v>
      </c>
      <c r="F197" s="365">
        <f t="shared" si="6"/>
        <v>0</v>
      </c>
      <c r="G197" s="364">
        <f>SUMIF(Disbursements!$B:$B,Ageing!$B197,Disbursements!AQ:AQ)</f>
        <v>0</v>
      </c>
      <c r="H197" s="364">
        <f>SUMIF(Disbursements!$B:$B,Ageing!$B197,Disbursements!AS:AS)</f>
        <v>0</v>
      </c>
      <c r="I197" s="364">
        <f t="shared" si="7"/>
        <v>0</v>
      </c>
      <c r="J197" s="369">
        <f>SUMIFS(Disbursements!$AP:$AP,Disbursements!$B:$B,Ageing!$B197,Disbursements!$AT:$AT,Ageing!J$4)</f>
        <v>0</v>
      </c>
      <c r="K197" s="369">
        <f>SUMIFS(Disbursements!$AP:$AP,Disbursements!$B:$B,Ageing!$B197,Disbursements!$AT:$AT,Ageing!K$4)</f>
        <v>0</v>
      </c>
      <c r="L197" s="369">
        <f>SUMIFS(Disbursements!$AP:$AP,Disbursements!$B:$B,Ageing!$B197,Disbursements!$AT:$AT,Ageing!L$4)</f>
        <v>0</v>
      </c>
      <c r="M197" s="369">
        <f>SUMIFS(Disbursements!$AP:$AP,Disbursements!$B:$B,Ageing!$B197,Disbursements!$AT:$AT,Ageing!M$4)</f>
        <v>0</v>
      </c>
      <c r="N197" s="369">
        <f>SUMIFS(Disbursements!$AP:$AP,Disbursements!$B:$B,Ageing!$B197,Disbursements!$AT:$AT,Ageing!N$4)</f>
        <v>0</v>
      </c>
      <c r="O197" s="369">
        <f>SUMIFS(Disbursements!$AP:$AP,Disbursements!$B:$B,Ageing!$B197,Disbursements!$AT:$AT,Ageing!O$4)</f>
        <v>0</v>
      </c>
    </row>
    <row r="198" spans="1:15" x14ac:dyDescent="0.2">
      <c r="A198" s="179" t="str">
        <f>IFERROR(VLOOKUP($B198,'Clients-Live'!$A:$C,3,30),"")</f>
        <v>NYOLA SHERIFA AHMED</v>
      </c>
      <c r="B198" s="480">
        <v>194</v>
      </c>
      <c r="C198" s="370" t="str">
        <f>IFERROR(INDEX(Disbursements!$J:$J,MATCH(Ageing!B198,Disbursements!$B:$B,0)),"No Loan")</f>
        <v>Aroma</v>
      </c>
      <c r="D198" s="364">
        <f>SUMIF(Disbursements!$B:$B,Ageing!$B198,Disbursements!AN:AN)</f>
        <v>0</v>
      </c>
      <c r="E198" s="364">
        <f>SUMIF(Disbursements!$B:$B,Ageing!$B198,Disbursements!AO:AO)</f>
        <v>0</v>
      </c>
      <c r="F198" s="365">
        <f t="shared" si="6"/>
        <v>0</v>
      </c>
      <c r="G198" s="364">
        <f ca="1">SUMIF(Disbursements!$B:$B,Ageing!$B198,Disbursements!AQ:AQ)</f>
        <v>0</v>
      </c>
      <c r="H198" s="364">
        <f ca="1">SUMIF(Disbursements!$B:$B,Ageing!$B198,Disbursements!AS:AS)</f>
        <v>0</v>
      </c>
      <c r="I198" s="364">
        <f t="shared" si="7"/>
        <v>0</v>
      </c>
      <c r="J198" s="369">
        <f>SUMIFS(Disbursements!$AP:$AP,Disbursements!$B:$B,Ageing!$B198,Disbursements!$AT:$AT,Ageing!J$4)</f>
        <v>0</v>
      </c>
      <c r="K198" s="369">
        <f>SUMIFS(Disbursements!$AP:$AP,Disbursements!$B:$B,Ageing!$B198,Disbursements!$AT:$AT,Ageing!K$4)</f>
        <v>0</v>
      </c>
      <c r="L198" s="369">
        <f>SUMIFS(Disbursements!$AP:$AP,Disbursements!$B:$B,Ageing!$B198,Disbursements!$AT:$AT,Ageing!L$4)</f>
        <v>0</v>
      </c>
      <c r="M198" s="369">
        <f>SUMIFS(Disbursements!$AP:$AP,Disbursements!$B:$B,Ageing!$B198,Disbursements!$AT:$AT,Ageing!M$4)</f>
        <v>0</v>
      </c>
      <c r="N198" s="369">
        <f>SUMIFS(Disbursements!$AP:$AP,Disbursements!$B:$B,Ageing!$B198,Disbursements!$AT:$AT,Ageing!N$4)</f>
        <v>0</v>
      </c>
      <c r="O198" s="369">
        <f>SUMIFS(Disbursements!$AP:$AP,Disbursements!$B:$B,Ageing!$B198,Disbursements!$AT:$AT,Ageing!O$4)</f>
        <v>0</v>
      </c>
    </row>
    <row r="199" spans="1:15" x14ac:dyDescent="0.2">
      <c r="A199" s="179" t="str">
        <f>IFERROR(VLOOKUP($B199,'Clients-Live'!$A:$C,3,30),"")</f>
        <v>OJARA RICHARD</v>
      </c>
      <c r="B199" s="480">
        <v>195</v>
      </c>
      <c r="C199" s="370" t="str">
        <f>IFERROR(INDEX(Disbursements!$J:$J,MATCH(Ageing!B199,Disbursements!$B:$B,0)),"No Loan")</f>
        <v>No Loan</v>
      </c>
      <c r="D199" s="364">
        <f>SUMIF(Disbursements!$B:$B,Ageing!$B199,Disbursements!AN:AN)</f>
        <v>0</v>
      </c>
      <c r="E199" s="364">
        <f>SUMIF(Disbursements!$B:$B,Ageing!$B199,Disbursements!AO:AO)</f>
        <v>0</v>
      </c>
      <c r="F199" s="365">
        <f t="shared" ref="F199:F262" si="8">SUM(D199:E199)</f>
        <v>0</v>
      </c>
      <c r="G199" s="364">
        <f>SUMIF(Disbursements!$B:$B,Ageing!$B199,Disbursements!AQ:AQ)</f>
        <v>0</v>
      </c>
      <c r="H199" s="364">
        <f>SUMIF(Disbursements!$B:$B,Ageing!$B199,Disbursements!AS:AS)</f>
        <v>0</v>
      </c>
      <c r="I199" s="364">
        <f t="shared" ref="I199:I262" si="9">COUNTIF(J199:O199,"&gt;0")</f>
        <v>0</v>
      </c>
      <c r="J199" s="369">
        <f>SUMIFS(Disbursements!$AP:$AP,Disbursements!$B:$B,Ageing!$B199,Disbursements!$AT:$AT,Ageing!J$4)</f>
        <v>0</v>
      </c>
      <c r="K199" s="369">
        <f>SUMIFS(Disbursements!$AP:$AP,Disbursements!$B:$B,Ageing!$B199,Disbursements!$AT:$AT,Ageing!K$4)</f>
        <v>0</v>
      </c>
      <c r="L199" s="369">
        <f>SUMIFS(Disbursements!$AP:$AP,Disbursements!$B:$B,Ageing!$B199,Disbursements!$AT:$AT,Ageing!L$4)</f>
        <v>0</v>
      </c>
      <c r="M199" s="369">
        <f>SUMIFS(Disbursements!$AP:$AP,Disbursements!$B:$B,Ageing!$B199,Disbursements!$AT:$AT,Ageing!M$4)</f>
        <v>0</v>
      </c>
      <c r="N199" s="369">
        <f>SUMIFS(Disbursements!$AP:$AP,Disbursements!$B:$B,Ageing!$B199,Disbursements!$AT:$AT,Ageing!N$4)</f>
        <v>0</v>
      </c>
      <c r="O199" s="369">
        <f>SUMIFS(Disbursements!$AP:$AP,Disbursements!$B:$B,Ageing!$B199,Disbursements!$AT:$AT,Ageing!O$4)</f>
        <v>0</v>
      </c>
    </row>
    <row r="200" spans="1:15" x14ac:dyDescent="0.2">
      <c r="A200" s="179" t="str">
        <f>IFERROR(VLOOKUP($B200,'Clients-Live'!$A:$C,3,30),"")</f>
        <v>AKISU JOICE</v>
      </c>
      <c r="B200" s="480">
        <v>196</v>
      </c>
      <c r="C200" s="370" t="str">
        <f>IFERROR(INDEX(Disbursements!$J:$J,MATCH(Ageing!B200,Disbursements!$B:$B,0)),"No Loan")</f>
        <v>Jerome</v>
      </c>
      <c r="D200" s="364">
        <f>SUMIF(Disbursements!$B:$B,Ageing!$B200,Disbursements!AN:AN)</f>
        <v>0</v>
      </c>
      <c r="E200" s="364">
        <f>SUMIF(Disbursements!$B:$B,Ageing!$B200,Disbursements!AO:AO)</f>
        <v>0</v>
      </c>
      <c r="F200" s="365">
        <f t="shared" si="8"/>
        <v>0</v>
      </c>
      <c r="G200" s="364">
        <f ca="1">SUMIF(Disbursements!$B:$B,Ageing!$B200,Disbursements!AQ:AQ)</f>
        <v>0</v>
      </c>
      <c r="H200" s="364">
        <f ca="1">SUMIF(Disbursements!$B:$B,Ageing!$B200,Disbursements!AS:AS)</f>
        <v>0</v>
      </c>
      <c r="I200" s="364">
        <f t="shared" si="9"/>
        <v>0</v>
      </c>
      <c r="J200" s="369">
        <f>SUMIFS(Disbursements!$AP:$AP,Disbursements!$B:$B,Ageing!$B200,Disbursements!$AT:$AT,Ageing!J$4)</f>
        <v>0</v>
      </c>
      <c r="K200" s="369">
        <f>SUMIFS(Disbursements!$AP:$AP,Disbursements!$B:$B,Ageing!$B200,Disbursements!$AT:$AT,Ageing!K$4)</f>
        <v>0</v>
      </c>
      <c r="L200" s="369">
        <f>SUMIFS(Disbursements!$AP:$AP,Disbursements!$B:$B,Ageing!$B200,Disbursements!$AT:$AT,Ageing!L$4)</f>
        <v>0</v>
      </c>
      <c r="M200" s="369">
        <f>SUMIFS(Disbursements!$AP:$AP,Disbursements!$B:$B,Ageing!$B200,Disbursements!$AT:$AT,Ageing!M$4)</f>
        <v>0</v>
      </c>
      <c r="N200" s="369">
        <f>SUMIFS(Disbursements!$AP:$AP,Disbursements!$B:$B,Ageing!$B200,Disbursements!$AT:$AT,Ageing!N$4)</f>
        <v>0</v>
      </c>
      <c r="O200" s="369">
        <f>SUMIFS(Disbursements!$AP:$AP,Disbursements!$B:$B,Ageing!$B200,Disbursements!$AT:$AT,Ageing!O$4)</f>
        <v>0</v>
      </c>
    </row>
    <row r="201" spans="1:15" x14ac:dyDescent="0.2">
      <c r="A201" s="179" t="str">
        <f>IFERROR(VLOOKUP($B201,'Clients-Live'!$A:$C,3,30),"")</f>
        <v>SIYESA JAMILA</v>
      </c>
      <c r="B201" s="480">
        <v>197</v>
      </c>
      <c r="C201" s="370" t="str">
        <f>IFERROR(INDEX(Disbursements!$J:$J,MATCH(Ageing!B201,Disbursements!$B:$B,0)),"No Loan")</f>
        <v>Aroma</v>
      </c>
      <c r="D201" s="364">
        <f>SUMIF(Disbursements!$B:$B,Ageing!$B201,Disbursements!AN:AN)</f>
        <v>20000</v>
      </c>
      <c r="E201" s="364">
        <f>SUMIF(Disbursements!$B:$B,Ageing!$B201,Disbursements!AO:AO)</f>
        <v>60000</v>
      </c>
      <c r="F201" s="365">
        <f t="shared" si="8"/>
        <v>80000</v>
      </c>
      <c r="G201" s="364">
        <f ca="1">SUMIF(Disbursements!$B:$B,Ageing!$B201,Disbursements!AQ:AQ)</f>
        <v>80000</v>
      </c>
      <c r="H201" s="364">
        <f ca="1">SUMIF(Disbursements!$B:$B,Ageing!$B201,Disbursements!AS:AS)</f>
        <v>20</v>
      </c>
      <c r="I201" s="364">
        <f t="shared" ca="1" si="9"/>
        <v>1</v>
      </c>
      <c r="J201" s="369">
        <f ca="1">SUMIFS(Disbursements!$AP:$AP,Disbursements!$B:$B,Ageing!$B201,Disbursements!$AT:$AT,Ageing!J$4)</f>
        <v>0</v>
      </c>
      <c r="K201" s="369">
        <f ca="1">SUMIFS(Disbursements!$AP:$AP,Disbursements!$B:$B,Ageing!$B201,Disbursements!$AT:$AT,Ageing!K$4)</f>
        <v>80000</v>
      </c>
      <c r="L201" s="369">
        <f ca="1">SUMIFS(Disbursements!$AP:$AP,Disbursements!$B:$B,Ageing!$B201,Disbursements!$AT:$AT,Ageing!L$4)</f>
        <v>0</v>
      </c>
      <c r="M201" s="369">
        <f ca="1">SUMIFS(Disbursements!$AP:$AP,Disbursements!$B:$B,Ageing!$B201,Disbursements!$AT:$AT,Ageing!M$4)</f>
        <v>0</v>
      </c>
      <c r="N201" s="369">
        <f ca="1">SUMIFS(Disbursements!$AP:$AP,Disbursements!$B:$B,Ageing!$B201,Disbursements!$AT:$AT,Ageing!N$4)</f>
        <v>0</v>
      </c>
      <c r="O201" s="369">
        <f ca="1">SUMIFS(Disbursements!$AP:$AP,Disbursements!$B:$B,Ageing!$B201,Disbursements!$AT:$AT,Ageing!O$4)</f>
        <v>0</v>
      </c>
    </row>
    <row r="202" spans="1:15" x14ac:dyDescent="0.2">
      <c r="A202" s="179" t="str">
        <f>IFERROR(VLOOKUP($B202,'Clients-Live'!$A:$C,3,30),"")</f>
        <v>ETOLE BIAJO</v>
      </c>
      <c r="B202" s="480">
        <v>198</v>
      </c>
      <c r="C202" s="370" t="str">
        <f>IFERROR(INDEX(Disbursements!$J:$J,MATCH(Ageing!B202,Disbursements!$B:$B,0)),"No Loan")</f>
        <v>Aroma</v>
      </c>
      <c r="D202" s="364">
        <f>SUMIF(Disbursements!$B:$B,Ageing!$B202,Disbursements!AN:AN)</f>
        <v>0</v>
      </c>
      <c r="E202" s="364">
        <f>SUMIF(Disbursements!$B:$B,Ageing!$B202,Disbursements!AO:AO)</f>
        <v>0</v>
      </c>
      <c r="F202" s="365">
        <f t="shared" si="8"/>
        <v>0</v>
      </c>
      <c r="G202" s="364">
        <f ca="1">SUMIF(Disbursements!$B:$B,Ageing!$B202,Disbursements!AQ:AQ)</f>
        <v>0</v>
      </c>
      <c r="H202" s="364">
        <f ca="1">SUMIF(Disbursements!$B:$B,Ageing!$B202,Disbursements!AS:AS)</f>
        <v>0</v>
      </c>
      <c r="I202" s="364">
        <f t="shared" si="9"/>
        <v>0</v>
      </c>
      <c r="J202" s="369">
        <f>SUMIFS(Disbursements!$AP:$AP,Disbursements!$B:$B,Ageing!$B202,Disbursements!$AT:$AT,Ageing!J$4)</f>
        <v>0</v>
      </c>
      <c r="K202" s="369">
        <f>SUMIFS(Disbursements!$AP:$AP,Disbursements!$B:$B,Ageing!$B202,Disbursements!$AT:$AT,Ageing!K$4)</f>
        <v>0</v>
      </c>
      <c r="L202" s="369">
        <f>SUMIFS(Disbursements!$AP:$AP,Disbursements!$B:$B,Ageing!$B202,Disbursements!$AT:$AT,Ageing!L$4)</f>
        <v>0</v>
      </c>
      <c r="M202" s="369">
        <f>SUMIFS(Disbursements!$AP:$AP,Disbursements!$B:$B,Ageing!$B202,Disbursements!$AT:$AT,Ageing!M$4)</f>
        <v>0</v>
      </c>
      <c r="N202" s="369">
        <f>SUMIFS(Disbursements!$AP:$AP,Disbursements!$B:$B,Ageing!$B202,Disbursements!$AT:$AT,Ageing!N$4)</f>
        <v>0</v>
      </c>
      <c r="O202" s="369">
        <f>SUMIFS(Disbursements!$AP:$AP,Disbursements!$B:$B,Ageing!$B202,Disbursements!$AT:$AT,Ageing!O$4)</f>
        <v>0</v>
      </c>
    </row>
    <row r="203" spans="1:15" x14ac:dyDescent="0.2">
      <c r="A203" s="179" t="str">
        <f>IFERROR(VLOOKUP($B203,'Clients-Live'!$A:$C,3,30),"")</f>
        <v>OTHIM JIMMY</v>
      </c>
      <c r="B203" s="480">
        <v>199</v>
      </c>
      <c r="C203" s="370" t="str">
        <f>IFERROR(INDEX(Disbursements!$J:$J,MATCH(Ageing!B203,Disbursements!$B:$B,0)),"No Loan")</f>
        <v>Jerome</v>
      </c>
      <c r="D203" s="364">
        <f>SUMIF(Disbursements!$B:$B,Ageing!$B203,Disbursements!AN:AN)</f>
        <v>3000</v>
      </c>
      <c r="E203" s="364">
        <f>SUMIF(Disbursements!$B:$B,Ageing!$B203,Disbursements!AO:AO)</f>
        <v>68000</v>
      </c>
      <c r="F203" s="365">
        <f t="shared" si="8"/>
        <v>71000</v>
      </c>
      <c r="G203" s="364">
        <f ca="1">SUMIF(Disbursements!$B:$B,Ageing!$B203,Disbursements!AQ:AQ)</f>
        <v>71000</v>
      </c>
      <c r="H203" s="364">
        <f ca="1">SUMIF(Disbursements!$B:$B,Ageing!$B203,Disbursements!AS:AS)</f>
        <v>4</v>
      </c>
      <c r="I203" s="364">
        <f t="shared" ca="1" si="9"/>
        <v>1</v>
      </c>
      <c r="J203" s="369">
        <f ca="1">SUMIFS(Disbursements!$AP:$AP,Disbursements!$B:$B,Ageing!$B203,Disbursements!$AT:$AT,Ageing!J$4)</f>
        <v>0</v>
      </c>
      <c r="K203" s="369">
        <f ca="1">SUMIFS(Disbursements!$AP:$AP,Disbursements!$B:$B,Ageing!$B203,Disbursements!$AT:$AT,Ageing!K$4)</f>
        <v>71000</v>
      </c>
      <c r="L203" s="369">
        <f ca="1">SUMIFS(Disbursements!$AP:$AP,Disbursements!$B:$B,Ageing!$B203,Disbursements!$AT:$AT,Ageing!L$4)</f>
        <v>0</v>
      </c>
      <c r="M203" s="369">
        <f ca="1">SUMIFS(Disbursements!$AP:$AP,Disbursements!$B:$B,Ageing!$B203,Disbursements!$AT:$AT,Ageing!M$4)</f>
        <v>0</v>
      </c>
      <c r="N203" s="369">
        <f ca="1">SUMIFS(Disbursements!$AP:$AP,Disbursements!$B:$B,Ageing!$B203,Disbursements!$AT:$AT,Ageing!N$4)</f>
        <v>0</v>
      </c>
      <c r="O203" s="369">
        <f ca="1">SUMIFS(Disbursements!$AP:$AP,Disbursements!$B:$B,Ageing!$B203,Disbursements!$AT:$AT,Ageing!O$4)</f>
        <v>0</v>
      </c>
    </row>
    <row r="204" spans="1:15" x14ac:dyDescent="0.2">
      <c r="A204" s="179" t="str">
        <f>IFERROR(VLOOKUP($B204,'Clients-Live'!$A:$C,3,30),"")</f>
        <v>SERIYA FLORENCE</v>
      </c>
      <c r="B204" s="480">
        <v>200</v>
      </c>
      <c r="C204" s="370" t="str">
        <f>IFERROR(INDEX(Disbursements!$J:$J,MATCH(Ageing!B204,Disbursements!$B:$B,0)),"No Loan")</f>
        <v>Jerome</v>
      </c>
      <c r="D204" s="364">
        <f>SUMIF(Disbursements!$B:$B,Ageing!$B204,Disbursements!AN:AN)</f>
        <v>195000</v>
      </c>
      <c r="E204" s="364">
        <f>SUMIF(Disbursements!$B:$B,Ageing!$B204,Disbursements!AO:AO)</f>
        <v>504000</v>
      </c>
      <c r="F204" s="365">
        <f t="shared" si="8"/>
        <v>699000</v>
      </c>
      <c r="G204" s="364">
        <f ca="1">SUMIF(Disbursements!$B:$B,Ageing!$B204,Disbursements!AQ:AQ)</f>
        <v>699000</v>
      </c>
      <c r="H204" s="364">
        <f ca="1">SUMIF(Disbursements!$B:$B,Ageing!$B204,Disbursements!AS:AS)</f>
        <v>151</v>
      </c>
      <c r="I204" s="364">
        <f t="shared" ca="1" si="9"/>
        <v>1</v>
      </c>
      <c r="J204" s="369">
        <f ca="1">SUMIFS(Disbursements!$AP:$AP,Disbursements!$B:$B,Ageing!$B204,Disbursements!$AT:$AT,Ageing!J$4)</f>
        <v>0</v>
      </c>
      <c r="K204" s="369">
        <f ca="1">SUMIFS(Disbursements!$AP:$AP,Disbursements!$B:$B,Ageing!$B204,Disbursements!$AT:$AT,Ageing!K$4)</f>
        <v>0</v>
      </c>
      <c r="L204" s="369">
        <f ca="1">SUMIFS(Disbursements!$AP:$AP,Disbursements!$B:$B,Ageing!$B204,Disbursements!$AT:$AT,Ageing!L$4)</f>
        <v>0</v>
      </c>
      <c r="M204" s="369">
        <f ca="1">SUMIFS(Disbursements!$AP:$AP,Disbursements!$B:$B,Ageing!$B204,Disbursements!$AT:$AT,Ageing!M$4)</f>
        <v>0</v>
      </c>
      <c r="N204" s="369">
        <f ca="1">SUMIFS(Disbursements!$AP:$AP,Disbursements!$B:$B,Ageing!$B204,Disbursements!$AT:$AT,Ageing!N$4)</f>
        <v>699000</v>
      </c>
      <c r="O204" s="369">
        <f ca="1">SUMIFS(Disbursements!$AP:$AP,Disbursements!$B:$B,Ageing!$B204,Disbursements!$AT:$AT,Ageing!O$4)</f>
        <v>0</v>
      </c>
    </row>
    <row r="205" spans="1:15" x14ac:dyDescent="0.2">
      <c r="A205" s="179" t="str">
        <f>IFERROR(VLOOKUP($B205,'Clients-Live'!$A:$C,3,30),"")</f>
        <v>DALILI HASSAN</v>
      </c>
      <c r="B205" s="480">
        <v>201</v>
      </c>
      <c r="C205" s="370" t="str">
        <f>IFERROR(INDEX(Disbursements!$J:$J,MATCH(Ageing!B205,Disbursements!$B:$B,0)),"No Loan")</f>
        <v>Jerome</v>
      </c>
      <c r="D205" s="364">
        <f>SUMIF(Disbursements!$B:$B,Ageing!$B205,Disbursements!AN:AN)</f>
        <v>204666.66666666666</v>
      </c>
      <c r="E205" s="364">
        <f>SUMIF(Disbursements!$B:$B,Ageing!$B205,Disbursements!AO:AO)</f>
        <v>545333.33333333326</v>
      </c>
      <c r="F205" s="365">
        <f t="shared" si="8"/>
        <v>749999.99999999988</v>
      </c>
      <c r="G205" s="364">
        <f ca="1">SUMIF(Disbursements!$B:$B,Ageing!$B205,Disbursements!AQ:AQ)</f>
        <v>749999.99999999988</v>
      </c>
      <c r="H205" s="364">
        <f ca="1">SUMIF(Disbursements!$B:$B,Ageing!$B205,Disbursements!AS:AS)</f>
        <v>112</v>
      </c>
      <c r="I205" s="364">
        <f t="shared" ca="1" si="9"/>
        <v>1</v>
      </c>
      <c r="J205" s="369">
        <f ca="1">SUMIFS(Disbursements!$AP:$AP,Disbursements!$B:$B,Ageing!$B205,Disbursements!$AT:$AT,Ageing!J$4)</f>
        <v>0</v>
      </c>
      <c r="K205" s="369">
        <f ca="1">SUMIFS(Disbursements!$AP:$AP,Disbursements!$B:$B,Ageing!$B205,Disbursements!$AT:$AT,Ageing!K$4)</f>
        <v>0</v>
      </c>
      <c r="L205" s="369">
        <f ca="1">SUMIFS(Disbursements!$AP:$AP,Disbursements!$B:$B,Ageing!$B205,Disbursements!$AT:$AT,Ageing!L$4)</f>
        <v>0</v>
      </c>
      <c r="M205" s="369">
        <f ca="1">SUMIFS(Disbursements!$AP:$AP,Disbursements!$B:$B,Ageing!$B205,Disbursements!$AT:$AT,Ageing!M$4)</f>
        <v>0</v>
      </c>
      <c r="N205" s="369">
        <f ca="1">SUMIFS(Disbursements!$AP:$AP,Disbursements!$B:$B,Ageing!$B205,Disbursements!$AT:$AT,Ageing!N$4)</f>
        <v>749999.99999999988</v>
      </c>
      <c r="O205" s="369">
        <f ca="1">SUMIFS(Disbursements!$AP:$AP,Disbursements!$B:$B,Ageing!$B205,Disbursements!$AT:$AT,Ageing!O$4)</f>
        <v>0</v>
      </c>
    </row>
    <row r="206" spans="1:15" x14ac:dyDescent="0.2">
      <c r="A206" s="179" t="str">
        <f>IFERROR(VLOOKUP($B206,'Clients-Live'!$A:$C,3,30),"")</f>
        <v>MUSEMA SWAIBU</v>
      </c>
      <c r="B206" s="480">
        <v>202</v>
      </c>
      <c r="C206" s="370" t="str">
        <f>IFERROR(INDEX(Disbursements!$J:$J,MATCH(Ageing!B206,Disbursements!$B:$B,0)),"No Loan")</f>
        <v>Aroma</v>
      </c>
      <c r="D206" s="364">
        <f>SUMIF(Disbursements!$B:$B,Ageing!$B206,Disbursements!AN:AN)</f>
        <v>0</v>
      </c>
      <c r="E206" s="364">
        <f>SUMIF(Disbursements!$B:$B,Ageing!$B206,Disbursements!AO:AO)</f>
        <v>3000</v>
      </c>
      <c r="F206" s="365">
        <f t="shared" si="8"/>
        <v>3000</v>
      </c>
      <c r="G206" s="364">
        <f ca="1">SUMIF(Disbursements!$B:$B,Ageing!$B206,Disbursements!AQ:AQ)</f>
        <v>3000</v>
      </c>
      <c r="H206" s="364">
        <f ca="1">SUMIF(Disbursements!$B:$B,Ageing!$B206,Disbursements!AS:AS)</f>
        <v>1</v>
      </c>
      <c r="I206" s="364">
        <f t="shared" ca="1" si="9"/>
        <v>1</v>
      </c>
      <c r="J206" s="369">
        <f ca="1">SUMIFS(Disbursements!$AP:$AP,Disbursements!$B:$B,Ageing!$B206,Disbursements!$AT:$AT,Ageing!J$4)</f>
        <v>0</v>
      </c>
      <c r="K206" s="369">
        <f ca="1">SUMIFS(Disbursements!$AP:$AP,Disbursements!$B:$B,Ageing!$B206,Disbursements!$AT:$AT,Ageing!K$4)</f>
        <v>3000</v>
      </c>
      <c r="L206" s="369">
        <f ca="1">SUMIFS(Disbursements!$AP:$AP,Disbursements!$B:$B,Ageing!$B206,Disbursements!$AT:$AT,Ageing!L$4)</f>
        <v>0</v>
      </c>
      <c r="M206" s="369">
        <f ca="1">SUMIFS(Disbursements!$AP:$AP,Disbursements!$B:$B,Ageing!$B206,Disbursements!$AT:$AT,Ageing!M$4)</f>
        <v>0</v>
      </c>
      <c r="N206" s="369">
        <f ca="1">SUMIFS(Disbursements!$AP:$AP,Disbursements!$B:$B,Ageing!$B206,Disbursements!$AT:$AT,Ageing!N$4)</f>
        <v>0</v>
      </c>
      <c r="O206" s="369">
        <f ca="1">SUMIFS(Disbursements!$AP:$AP,Disbursements!$B:$B,Ageing!$B206,Disbursements!$AT:$AT,Ageing!O$4)</f>
        <v>0</v>
      </c>
    </row>
    <row r="207" spans="1:15" x14ac:dyDescent="0.2">
      <c r="A207" s="179" t="str">
        <f>IFERROR(VLOOKUP($B207,'Clients-Live'!$A:$C,3,30),"")</f>
        <v>AMANDU JUSTUS</v>
      </c>
      <c r="B207" s="480">
        <v>203</v>
      </c>
      <c r="C207" s="370" t="str">
        <f>IFERROR(INDEX(Disbursements!$J:$J,MATCH(Ageing!B207,Disbursements!$B:$B,0)),"No Loan")</f>
        <v>No Loan</v>
      </c>
      <c r="D207" s="364">
        <f>SUMIF(Disbursements!$B:$B,Ageing!$B207,Disbursements!AN:AN)</f>
        <v>0</v>
      </c>
      <c r="E207" s="364">
        <f>SUMIF(Disbursements!$B:$B,Ageing!$B207,Disbursements!AO:AO)</f>
        <v>0</v>
      </c>
      <c r="F207" s="365">
        <f t="shared" si="8"/>
        <v>0</v>
      </c>
      <c r="G207" s="364">
        <f>SUMIF(Disbursements!$B:$B,Ageing!$B207,Disbursements!AQ:AQ)</f>
        <v>0</v>
      </c>
      <c r="H207" s="364">
        <f>SUMIF(Disbursements!$B:$B,Ageing!$B207,Disbursements!AS:AS)</f>
        <v>0</v>
      </c>
      <c r="I207" s="364">
        <f t="shared" si="9"/>
        <v>0</v>
      </c>
      <c r="J207" s="369">
        <f>SUMIFS(Disbursements!$AP:$AP,Disbursements!$B:$B,Ageing!$B207,Disbursements!$AT:$AT,Ageing!J$4)</f>
        <v>0</v>
      </c>
      <c r="K207" s="369">
        <f>SUMIFS(Disbursements!$AP:$AP,Disbursements!$B:$B,Ageing!$B207,Disbursements!$AT:$AT,Ageing!K$4)</f>
        <v>0</v>
      </c>
      <c r="L207" s="369">
        <f>SUMIFS(Disbursements!$AP:$AP,Disbursements!$B:$B,Ageing!$B207,Disbursements!$AT:$AT,Ageing!L$4)</f>
        <v>0</v>
      </c>
      <c r="M207" s="369">
        <f>SUMIFS(Disbursements!$AP:$AP,Disbursements!$B:$B,Ageing!$B207,Disbursements!$AT:$AT,Ageing!M$4)</f>
        <v>0</v>
      </c>
      <c r="N207" s="369">
        <f>SUMIFS(Disbursements!$AP:$AP,Disbursements!$B:$B,Ageing!$B207,Disbursements!$AT:$AT,Ageing!N$4)</f>
        <v>0</v>
      </c>
      <c r="O207" s="369">
        <f>SUMIFS(Disbursements!$AP:$AP,Disbursements!$B:$B,Ageing!$B207,Disbursements!$AT:$AT,Ageing!O$4)</f>
        <v>0</v>
      </c>
    </row>
    <row r="208" spans="1:15" x14ac:dyDescent="0.2">
      <c r="A208" s="179" t="str">
        <f>IFERROR(VLOOKUP($B208,'Clients-Live'!$A:$C,3,30),"")</f>
        <v>DRAMADRI AHUMED OKUNI</v>
      </c>
      <c r="B208" s="480">
        <v>204</v>
      </c>
      <c r="C208" s="370" t="str">
        <f>IFERROR(INDEX(Disbursements!$J:$J,MATCH(Ageing!B208,Disbursements!$B:$B,0)),"No Loan")</f>
        <v>Kana</v>
      </c>
      <c r="D208" s="364">
        <f>SUMIF(Disbursements!$B:$B,Ageing!$B208,Disbursements!AN:AN)</f>
        <v>0</v>
      </c>
      <c r="E208" s="364">
        <f>SUMIF(Disbursements!$B:$B,Ageing!$B208,Disbursements!AO:AO)</f>
        <v>0</v>
      </c>
      <c r="F208" s="365">
        <f t="shared" si="8"/>
        <v>0</v>
      </c>
      <c r="G208" s="364">
        <f ca="1">SUMIF(Disbursements!$B:$B,Ageing!$B208,Disbursements!AQ:AQ)</f>
        <v>0</v>
      </c>
      <c r="H208" s="364">
        <f ca="1">SUMIF(Disbursements!$B:$B,Ageing!$B208,Disbursements!AS:AS)</f>
        <v>0</v>
      </c>
      <c r="I208" s="364">
        <f t="shared" si="9"/>
        <v>0</v>
      </c>
      <c r="J208" s="369">
        <f>SUMIFS(Disbursements!$AP:$AP,Disbursements!$B:$B,Ageing!$B208,Disbursements!$AT:$AT,Ageing!J$4)</f>
        <v>0</v>
      </c>
      <c r="K208" s="369">
        <f>SUMIFS(Disbursements!$AP:$AP,Disbursements!$B:$B,Ageing!$B208,Disbursements!$AT:$AT,Ageing!K$4)</f>
        <v>0</v>
      </c>
      <c r="L208" s="369">
        <f>SUMIFS(Disbursements!$AP:$AP,Disbursements!$B:$B,Ageing!$B208,Disbursements!$AT:$AT,Ageing!L$4)</f>
        <v>0</v>
      </c>
      <c r="M208" s="369">
        <f>SUMIFS(Disbursements!$AP:$AP,Disbursements!$B:$B,Ageing!$B208,Disbursements!$AT:$AT,Ageing!M$4)</f>
        <v>0</v>
      </c>
      <c r="N208" s="369">
        <f>SUMIFS(Disbursements!$AP:$AP,Disbursements!$B:$B,Ageing!$B208,Disbursements!$AT:$AT,Ageing!N$4)</f>
        <v>0</v>
      </c>
      <c r="O208" s="369">
        <f>SUMIFS(Disbursements!$AP:$AP,Disbursements!$B:$B,Ageing!$B208,Disbursements!$AT:$AT,Ageing!O$4)</f>
        <v>0</v>
      </c>
    </row>
    <row r="209" spans="1:15" x14ac:dyDescent="0.2">
      <c r="A209" s="179" t="str">
        <f>IFERROR(VLOOKUP($B209,'Clients-Live'!$A:$C,3,30),"")</f>
        <v>OPIRU ALICE</v>
      </c>
      <c r="B209" s="480">
        <v>205</v>
      </c>
      <c r="C209" s="370" t="str">
        <f>IFERROR(INDEX(Disbursements!$J:$J,MATCH(Ageing!B209,Disbursements!$B:$B,0)),"No Loan")</f>
        <v>Jerome</v>
      </c>
      <c r="D209" s="364">
        <f>SUMIF(Disbursements!$B:$B,Ageing!$B209,Disbursements!AN:AN)</f>
        <v>0</v>
      </c>
      <c r="E209" s="364">
        <f>SUMIF(Disbursements!$B:$B,Ageing!$B209,Disbursements!AO:AO)</f>
        <v>288600</v>
      </c>
      <c r="F209" s="365">
        <f t="shared" si="8"/>
        <v>288600</v>
      </c>
      <c r="G209" s="364">
        <f ca="1">SUMIF(Disbursements!$B:$B,Ageing!$B209,Disbursements!AQ:AQ)</f>
        <v>288600</v>
      </c>
      <c r="H209" s="364">
        <f ca="1">SUMIF(Disbursements!$B:$B,Ageing!$B209,Disbursements!AS:AS)</f>
        <v>53</v>
      </c>
      <c r="I209" s="364">
        <f t="shared" ca="1" si="9"/>
        <v>2</v>
      </c>
      <c r="J209" s="369">
        <f ca="1">SUMIFS(Disbursements!$AP:$AP,Disbursements!$B:$B,Ageing!$B209,Disbursements!$AT:$AT,Ageing!J$4)</f>
        <v>0</v>
      </c>
      <c r="K209" s="369">
        <f ca="1">SUMIFS(Disbursements!$AP:$AP,Disbursements!$B:$B,Ageing!$B209,Disbursements!$AT:$AT,Ageing!K$4)</f>
        <v>30000</v>
      </c>
      <c r="L209" s="369">
        <f ca="1">SUMIFS(Disbursements!$AP:$AP,Disbursements!$B:$B,Ageing!$B209,Disbursements!$AT:$AT,Ageing!L$4)</f>
        <v>258600</v>
      </c>
      <c r="M209" s="369">
        <f ca="1">SUMIFS(Disbursements!$AP:$AP,Disbursements!$B:$B,Ageing!$B209,Disbursements!$AT:$AT,Ageing!M$4)</f>
        <v>0</v>
      </c>
      <c r="N209" s="369">
        <f ca="1">SUMIFS(Disbursements!$AP:$AP,Disbursements!$B:$B,Ageing!$B209,Disbursements!$AT:$AT,Ageing!N$4)</f>
        <v>0</v>
      </c>
      <c r="O209" s="369">
        <f ca="1">SUMIFS(Disbursements!$AP:$AP,Disbursements!$B:$B,Ageing!$B209,Disbursements!$AT:$AT,Ageing!O$4)</f>
        <v>0</v>
      </c>
    </row>
    <row r="210" spans="1:15" x14ac:dyDescent="0.2">
      <c r="A210" s="179" t="str">
        <f>IFERROR(VLOOKUP($B210,'Clients-Live'!$A:$C,3,30),"")</f>
        <v>AMILE AISHA</v>
      </c>
      <c r="B210" s="480">
        <v>206</v>
      </c>
      <c r="C210" s="370" t="str">
        <f>IFERROR(INDEX(Disbursements!$J:$J,MATCH(Ageing!B210,Disbursements!$B:$B,0)),"No Loan")</f>
        <v>Kana</v>
      </c>
      <c r="D210" s="364">
        <f>SUMIF(Disbursements!$B:$B,Ageing!$B210,Disbursements!AN:AN)</f>
        <v>0</v>
      </c>
      <c r="E210" s="364">
        <f>SUMIF(Disbursements!$B:$B,Ageing!$B210,Disbursements!AO:AO)</f>
        <v>0</v>
      </c>
      <c r="F210" s="365">
        <f t="shared" si="8"/>
        <v>0</v>
      </c>
      <c r="G210" s="364">
        <f ca="1">SUMIF(Disbursements!$B:$B,Ageing!$B210,Disbursements!AQ:AQ)</f>
        <v>0</v>
      </c>
      <c r="H210" s="364">
        <f ca="1">SUMIF(Disbursements!$B:$B,Ageing!$B210,Disbursements!AS:AS)</f>
        <v>0</v>
      </c>
      <c r="I210" s="364">
        <f t="shared" si="9"/>
        <v>0</v>
      </c>
      <c r="J210" s="369">
        <f>SUMIFS(Disbursements!$AP:$AP,Disbursements!$B:$B,Ageing!$B210,Disbursements!$AT:$AT,Ageing!J$4)</f>
        <v>0</v>
      </c>
      <c r="K210" s="369">
        <f>SUMIFS(Disbursements!$AP:$AP,Disbursements!$B:$B,Ageing!$B210,Disbursements!$AT:$AT,Ageing!K$4)</f>
        <v>0</v>
      </c>
      <c r="L210" s="369">
        <f>SUMIFS(Disbursements!$AP:$AP,Disbursements!$B:$B,Ageing!$B210,Disbursements!$AT:$AT,Ageing!L$4)</f>
        <v>0</v>
      </c>
      <c r="M210" s="369">
        <f>SUMIFS(Disbursements!$AP:$AP,Disbursements!$B:$B,Ageing!$B210,Disbursements!$AT:$AT,Ageing!M$4)</f>
        <v>0</v>
      </c>
      <c r="N210" s="369">
        <f>SUMIFS(Disbursements!$AP:$AP,Disbursements!$B:$B,Ageing!$B210,Disbursements!$AT:$AT,Ageing!N$4)</f>
        <v>0</v>
      </c>
      <c r="O210" s="369">
        <f>SUMIFS(Disbursements!$AP:$AP,Disbursements!$B:$B,Ageing!$B210,Disbursements!$AT:$AT,Ageing!O$4)</f>
        <v>0</v>
      </c>
    </row>
    <row r="211" spans="1:15" x14ac:dyDescent="0.2">
      <c r="A211" s="179" t="str">
        <f>IFERROR(VLOOKUP($B211,'Clients-Live'!$A:$C,3,30),"")</f>
        <v>DRARU IRENE</v>
      </c>
      <c r="B211" s="480">
        <v>207</v>
      </c>
      <c r="C211" s="370" t="str">
        <f>IFERROR(INDEX(Disbursements!$J:$J,MATCH(Ageing!B211,Disbursements!$B:$B,0)),"No Loan")</f>
        <v>Aroma</v>
      </c>
      <c r="D211" s="364">
        <f>SUMIF(Disbursements!$B:$B,Ageing!$B211,Disbursements!AN:AN)</f>
        <v>0</v>
      </c>
      <c r="E211" s="364">
        <f>SUMIF(Disbursements!$B:$B,Ageing!$B211,Disbursements!AO:AO)</f>
        <v>1800</v>
      </c>
      <c r="F211" s="365">
        <f t="shared" si="8"/>
        <v>1800</v>
      </c>
      <c r="G211" s="364">
        <f ca="1">SUMIF(Disbursements!$B:$B,Ageing!$B211,Disbursements!AQ:AQ)</f>
        <v>1800</v>
      </c>
      <c r="H211" s="364">
        <f ca="1">SUMIF(Disbursements!$B:$B,Ageing!$B211,Disbursements!AS:AS)</f>
        <v>1</v>
      </c>
      <c r="I211" s="364">
        <f t="shared" ca="1" si="9"/>
        <v>1</v>
      </c>
      <c r="J211" s="369">
        <f ca="1">SUMIFS(Disbursements!$AP:$AP,Disbursements!$B:$B,Ageing!$B211,Disbursements!$AT:$AT,Ageing!J$4)</f>
        <v>0</v>
      </c>
      <c r="K211" s="369">
        <f ca="1">SUMIFS(Disbursements!$AP:$AP,Disbursements!$B:$B,Ageing!$B211,Disbursements!$AT:$AT,Ageing!K$4)</f>
        <v>1800</v>
      </c>
      <c r="L211" s="369">
        <f ca="1">SUMIFS(Disbursements!$AP:$AP,Disbursements!$B:$B,Ageing!$B211,Disbursements!$AT:$AT,Ageing!L$4)</f>
        <v>0</v>
      </c>
      <c r="M211" s="369">
        <f ca="1">SUMIFS(Disbursements!$AP:$AP,Disbursements!$B:$B,Ageing!$B211,Disbursements!$AT:$AT,Ageing!M$4)</f>
        <v>0</v>
      </c>
      <c r="N211" s="369">
        <f ca="1">SUMIFS(Disbursements!$AP:$AP,Disbursements!$B:$B,Ageing!$B211,Disbursements!$AT:$AT,Ageing!N$4)</f>
        <v>0</v>
      </c>
      <c r="O211" s="369">
        <f ca="1">SUMIFS(Disbursements!$AP:$AP,Disbursements!$B:$B,Ageing!$B211,Disbursements!$AT:$AT,Ageing!O$4)</f>
        <v>0</v>
      </c>
    </row>
    <row r="212" spans="1:15" x14ac:dyDescent="0.2">
      <c r="A212" s="179" t="str">
        <f>IFERROR(VLOOKUP($B212,'Clients-Live'!$A:$C,3,30),"")</f>
        <v>TIKO RAIMA</v>
      </c>
      <c r="B212" s="480">
        <v>208</v>
      </c>
      <c r="C212" s="370" t="str">
        <f>IFERROR(INDEX(Disbursements!$J:$J,MATCH(Ageing!B212,Disbursements!$B:$B,0)),"No Loan")</f>
        <v>Kana</v>
      </c>
      <c r="D212" s="364">
        <f>SUMIF(Disbursements!$B:$B,Ageing!$B212,Disbursements!AN:AN)</f>
        <v>0</v>
      </c>
      <c r="E212" s="364">
        <f>SUMIF(Disbursements!$B:$B,Ageing!$B212,Disbursements!AO:AO)</f>
        <v>0</v>
      </c>
      <c r="F212" s="365">
        <f t="shared" si="8"/>
        <v>0</v>
      </c>
      <c r="G212" s="364">
        <f ca="1">SUMIF(Disbursements!$B:$B,Ageing!$B212,Disbursements!AQ:AQ)</f>
        <v>0</v>
      </c>
      <c r="H212" s="364">
        <f ca="1">SUMIF(Disbursements!$B:$B,Ageing!$B212,Disbursements!AS:AS)</f>
        <v>0</v>
      </c>
      <c r="I212" s="364">
        <f t="shared" si="9"/>
        <v>0</v>
      </c>
      <c r="J212" s="369">
        <f>SUMIFS(Disbursements!$AP:$AP,Disbursements!$B:$B,Ageing!$B212,Disbursements!$AT:$AT,Ageing!J$4)</f>
        <v>0</v>
      </c>
      <c r="K212" s="369">
        <f>SUMIFS(Disbursements!$AP:$AP,Disbursements!$B:$B,Ageing!$B212,Disbursements!$AT:$AT,Ageing!K$4)</f>
        <v>0</v>
      </c>
      <c r="L212" s="369">
        <f>SUMIFS(Disbursements!$AP:$AP,Disbursements!$B:$B,Ageing!$B212,Disbursements!$AT:$AT,Ageing!L$4)</f>
        <v>0</v>
      </c>
      <c r="M212" s="369">
        <f>SUMIFS(Disbursements!$AP:$AP,Disbursements!$B:$B,Ageing!$B212,Disbursements!$AT:$AT,Ageing!M$4)</f>
        <v>0</v>
      </c>
      <c r="N212" s="369">
        <f>SUMIFS(Disbursements!$AP:$AP,Disbursements!$B:$B,Ageing!$B212,Disbursements!$AT:$AT,Ageing!N$4)</f>
        <v>0</v>
      </c>
      <c r="O212" s="369">
        <f>SUMIFS(Disbursements!$AP:$AP,Disbursements!$B:$B,Ageing!$B212,Disbursements!$AT:$AT,Ageing!O$4)</f>
        <v>0</v>
      </c>
    </row>
    <row r="213" spans="1:15" x14ac:dyDescent="0.2">
      <c r="A213" s="179" t="str">
        <f>IFERROR(VLOOKUP($B213,'Clients-Live'!$A:$C,3,30),"")</f>
        <v>ADUI ISMAIL</v>
      </c>
      <c r="B213" s="480">
        <v>209</v>
      </c>
      <c r="C213" s="370" t="str">
        <f>IFERROR(INDEX(Disbursements!$J:$J,MATCH(Ageing!B213,Disbursements!$B:$B,0)),"No Loan")</f>
        <v>Kana</v>
      </c>
      <c r="D213" s="364">
        <f>SUMIF(Disbursements!$B:$B,Ageing!$B213,Disbursements!AN:AN)</f>
        <v>0</v>
      </c>
      <c r="E213" s="364">
        <f>SUMIF(Disbursements!$B:$B,Ageing!$B213,Disbursements!AO:AO)</f>
        <v>0</v>
      </c>
      <c r="F213" s="365">
        <f t="shared" si="8"/>
        <v>0</v>
      </c>
      <c r="G213" s="364">
        <f ca="1">SUMIF(Disbursements!$B:$B,Ageing!$B213,Disbursements!AQ:AQ)</f>
        <v>0</v>
      </c>
      <c r="H213" s="364">
        <f ca="1">SUMIF(Disbursements!$B:$B,Ageing!$B213,Disbursements!AS:AS)</f>
        <v>0</v>
      </c>
      <c r="I213" s="364">
        <f t="shared" si="9"/>
        <v>0</v>
      </c>
      <c r="J213" s="369">
        <f>SUMIFS(Disbursements!$AP:$AP,Disbursements!$B:$B,Ageing!$B213,Disbursements!$AT:$AT,Ageing!J$4)</f>
        <v>0</v>
      </c>
      <c r="K213" s="369">
        <f>SUMIFS(Disbursements!$AP:$AP,Disbursements!$B:$B,Ageing!$B213,Disbursements!$AT:$AT,Ageing!K$4)</f>
        <v>0</v>
      </c>
      <c r="L213" s="369">
        <f>SUMIFS(Disbursements!$AP:$AP,Disbursements!$B:$B,Ageing!$B213,Disbursements!$AT:$AT,Ageing!L$4)</f>
        <v>0</v>
      </c>
      <c r="M213" s="369">
        <f>SUMIFS(Disbursements!$AP:$AP,Disbursements!$B:$B,Ageing!$B213,Disbursements!$AT:$AT,Ageing!M$4)</f>
        <v>0</v>
      </c>
      <c r="N213" s="369">
        <f>SUMIFS(Disbursements!$AP:$AP,Disbursements!$B:$B,Ageing!$B213,Disbursements!$AT:$AT,Ageing!N$4)</f>
        <v>0</v>
      </c>
      <c r="O213" s="369">
        <f>SUMIFS(Disbursements!$AP:$AP,Disbursements!$B:$B,Ageing!$B213,Disbursements!$AT:$AT,Ageing!O$4)</f>
        <v>0</v>
      </c>
    </row>
    <row r="214" spans="1:15" x14ac:dyDescent="0.2">
      <c r="A214" s="179" t="str">
        <f>IFERROR(VLOOKUP($B214,'Clients-Live'!$A:$C,3,30),"")</f>
        <v>ADRILI ZAHARA</v>
      </c>
      <c r="B214" s="480">
        <v>210</v>
      </c>
      <c r="C214" s="370" t="str">
        <f>IFERROR(INDEX(Disbursements!$J:$J,MATCH(Ageing!B214,Disbursements!$B:$B,0)),"No Loan")</f>
        <v>Kana</v>
      </c>
      <c r="D214" s="364">
        <f>SUMIF(Disbursements!$B:$B,Ageing!$B214,Disbursements!AN:AN)</f>
        <v>0</v>
      </c>
      <c r="E214" s="364">
        <f>SUMIF(Disbursements!$B:$B,Ageing!$B214,Disbursements!AO:AO)</f>
        <v>0</v>
      </c>
      <c r="F214" s="365">
        <f t="shared" si="8"/>
        <v>0</v>
      </c>
      <c r="G214" s="364">
        <f ca="1">SUMIF(Disbursements!$B:$B,Ageing!$B214,Disbursements!AQ:AQ)</f>
        <v>0</v>
      </c>
      <c r="H214" s="364">
        <f ca="1">SUMIF(Disbursements!$B:$B,Ageing!$B214,Disbursements!AS:AS)</f>
        <v>0</v>
      </c>
      <c r="I214" s="364">
        <f t="shared" si="9"/>
        <v>0</v>
      </c>
      <c r="J214" s="369">
        <f>SUMIFS(Disbursements!$AP:$AP,Disbursements!$B:$B,Ageing!$B214,Disbursements!$AT:$AT,Ageing!J$4)</f>
        <v>0</v>
      </c>
      <c r="K214" s="369">
        <f>SUMIFS(Disbursements!$AP:$AP,Disbursements!$B:$B,Ageing!$B214,Disbursements!$AT:$AT,Ageing!K$4)</f>
        <v>0</v>
      </c>
      <c r="L214" s="369">
        <f>SUMIFS(Disbursements!$AP:$AP,Disbursements!$B:$B,Ageing!$B214,Disbursements!$AT:$AT,Ageing!L$4)</f>
        <v>0</v>
      </c>
      <c r="M214" s="369">
        <f>SUMIFS(Disbursements!$AP:$AP,Disbursements!$B:$B,Ageing!$B214,Disbursements!$AT:$AT,Ageing!M$4)</f>
        <v>0</v>
      </c>
      <c r="N214" s="369">
        <f>SUMIFS(Disbursements!$AP:$AP,Disbursements!$B:$B,Ageing!$B214,Disbursements!$AT:$AT,Ageing!N$4)</f>
        <v>0</v>
      </c>
      <c r="O214" s="369">
        <f>SUMIFS(Disbursements!$AP:$AP,Disbursements!$B:$B,Ageing!$B214,Disbursements!$AT:$AT,Ageing!O$4)</f>
        <v>0</v>
      </c>
    </row>
    <row r="215" spans="1:15" x14ac:dyDescent="0.2">
      <c r="A215" s="179" t="str">
        <f>IFERROR(VLOOKUP($B215,'Clients-Live'!$A:$C,3,30),"")</f>
        <v>WILARU JOYCE</v>
      </c>
      <c r="B215" s="480">
        <v>211</v>
      </c>
      <c r="C215" s="370" t="str">
        <f>IFERROR(INDEX(Disbursements!$J:$J,MATCH(Ageing!B215,Disbursements!$B:$B,0)),"No Loan")</f>
        <v>Aroma</v>
      </c>
      <c r="D215" s="364">
        <f>SUMIF(Disbursements!$B:$B,Ageing!$B215,Disbursements!AN:AN)</f>
        <v>133333.33333333331</v>
      </c>
      <c r="E215" s="364">
        <f>SUMIF(Disbursements!$B:$B,Ageing!$B215,Disbursements!AO:AO)</f>
        <v>486666.66666666674</v>
      </c>
      <c r="F215" s="365">
        <f t="shared" si="8"/>
        <v>620000</v>
      </c>
      <c r="G215" s="364">
        <f ca="1">SUMIF(Disbursements!$B:$B,Ageing!$B215,Disbursements!AQ:AQ)</f>
        <v>620000</v>
      </c>
      <c r="H215" s="364">
        <f ca="1">SUMIF(Disbursements!$B:$B,Ageing!$B215,Disbursements!AS:AS)</f>
        <v>50</v>
      </c>
      <c r="I215" s="364">
        <f t="shared" ca="1" si="9"/>
        <v>1</v>
      </c>
      <c r="J215" s="369">
        <f ca="1">SUMIFS(Disbursements!$AP:$AP,Disbursements!$B:$B,Ageing!$B215,Disbursements!$AT:$AT,Ageing!J$4)</f>
        <v>0</v>
      </c>
      <c r="K215" s="369">
        <f ca="1">SUMIFS(Disbursements!$AP:$AP,Disbursements!$B:$B,Ageing!$B215,Disbursements!$AT:$AT,Ageing!K$4)</f>
        <v>0</v>
      </c>
      <c r="L215" s="369">
        <f ca="1">SUMIFS(Disbursements!$AP:$AP,Disbursements!$B:$B,Ageing!$B215,Disbursements!$AT:$AT,Ageing!L$4)</f>
        <v>620000</v>
      </c>
      <c r="M215" s="369">
        <f ca="1">SUMIFS(Disbursements!$AP:$AP,Disbursements!$B:$B,Ageing!$B215,Disbursements!$AT:$AT,Ageing!M$4)</f>
        <v>0</v>
      </c>
      <c r="N215" s="369">
        <f ca="1">SUMIFS(Disbursements!$AP:$AP,Disbursements!$B:$B,Ageing!$B215,Disbursements!$AT:$AT,Ageing!N$4)</f>
        <v>0</v>
      </c>
      <c r="O215" s="369">
        <f ca="1">SUMIFS(Disbursements!$AP:$AP,Disbursements!$B:$B,Ageing!$B215,Disbursements!$AT:$AT,Ageing!O$4)</f>
        <v>0</v>
      </c>
    </row>
    <row r="216" spans="1:15" x14ac:dyDescent="0.2">
      <c r="A216" s="179" t="str">
        <f>IFERROR(VLOOKUP($B216,'Clients-Live'!$A:$C,3,30),"")</f>
        <v>ACIDRI WILLIAM</v>
      </c>
      <c r="B216" s="480">
        <v>212</v>
      </c>
      <c r="C216" s="370" t="str">
        <f>IFERROR(INDEX(Disbursements!$J:$J,MATCH(Ageing!B216,Disbursements!$B:$B,0)),"No Loan")</f>
        <v>Aroma</v>
      </c>
      <c r="D216" s="364">
        <f>SUMIF(Disbursements!$B:$B,Ageing!$B216,Disbursements!AN:AN)</f>
        <v>0</v>
      </c>
      <c r="E216" s="364">
        <f>SUMIF(Disbursements!$B:$B,Ageing!$B216,Disbursements!AO:AO)</f>
        <v>3900</v>
      </c>
      <c r="F216" s="365">
        <f t="shared" si="8"/>
        <v>3900</v>
      </c>
      <c r="G216" s="364">
        <f ca="1">SUMIF(Disbursements!$B:$B,Ageing!$B216,Disbursements!AQ:AQ)</f>
        <v>3900</v>
      </c>
      <c r="H216" s="364">
        <f ca="1">SUMIF(Disbursements!$B:$B,Ageing!$B216,Disbursements!AS:AS)</f>
        <v>2</v>
      </c>
      <c r="I216" s="364">
        <f t="shared" ca="1" si="9"/>
        <v>1</v>
      </c>
      <c r="J216" s="369">
        <f ca="1">SUMIFS(Disbursements!$AP:$AP,Disbursements!$B:$B,Ageing!$B216,Disbursements!$AT:$AT,Ageing!J$4)</f>
        <v>0</v>
      </c>
      <c r="K216" s="369">
        <f ca="1">SUMIFS(Disbursements!$AP:$AP,Disbursements!$B:$B,Ageing!$B216,Disbursements!$AT:$AT,Ageing!K$4)</f>
        <v>3900</v>
      </c>
      <c r="L216" s="369">
        <f ca="1">SUMIFS(Disbursements!$AP:$AP,Disbursements!$B:$B,Ageing!$B216,Disbursements!$AT:$AT,Ageing!L$4)</f>
        <v>0</v>
      </c>
      <c r="M216" s="369">
        <f ca="1">SUMIFS(Disbursements!$AP:$AP,Disbursements!$B:$B,Ageing!$B216,Disbursements!$AT:$AT,Ageing!M$4)</f>
        <v>0</v>
      </c>
      <c r="N216" s="369">
        <f ca="1">SUMIFS(Disbursements!$AP:$AP,Disbursements!$B:$B,Ageing!$B216,Disbursements!$AT:$AT,Ageing!N$4)</f>
        <v>0</v>
      </c>
      <c r="O216" s="369">
        <f ca="1">SUMIFS(Disbursements!$AP:$AP,Disbursements!$B:$B,Ageing!$B216,Disbursements!$AT:$AT,Ageing!O$4)</f>
        <v>0</v>
      </c>
    </row>
    <row r="217" spans="1:15" x14ac:dyDescent="0.2">
      <c r="A217" s="179" t="str">
        <f>IFERROR(VLOOKUP($B217,'Clients-Live'!$A:$C,3,30),"")</f>
        <v>ATIKURU NADIA</v>
      </c>
      <c r="B217" s="480">
        <v>213</v>
      </c>
      <c r="C217" s="370" t="str">
        <f>IFERROR(INDEX(Disbursements!$J:$J,MATCH(Ageing!B217,Disbursements!$B:$B,0)),"No Loan")</f>
        <v>Aroma</v>
      </c>
      <c r="D217" s="364">
        <f>SUMIF(Disbursements!$B:$B,Ageing!$B217,Disbursements!AN:AN)</f>
        <v>0</v>
      </c>
      <c r="E217" s="364">
        <f>SUMIF(Disbursements!$B:$B,Ageing!$B217,Disbursements!AO:AO)</f>
        <v>0</v>
      </c>
      <c r="F217" s="365">
        <f t="shared" si="8"/>
        <v>0</v>
      </c>
      <c r="G217" s="364">
        <f ca="1">SUMIF(Disbursements!$B:$B,Ageing!$B217,Disbursements!AQ:AQ)</f>
        <v>0</v>
      </c>
      <c r="H217" s="364">
        <f ca="1">SUMIF(Disbursements!$B:$B,Ageing!$B217,Disbursements!AS:AS)</f>
        <v>0</v>
      </c>
      <c r="I217" s="364">
        <f t="shared" si="9"/>
        <v>0</v>
      </c>
      <c r="J217" s="369">
        <f>SUMIFS(Disbursements!$AP:$AP,Disbursements!$B:$B,Ageing!$B217,Disbursements!$AT:$AT,Ageing!J$4)</f>
        <v>0</v>
      </c>
      <c r="K217" s="369">
        <f>SUMIFS(Disbursements!$AP:$AP,Disbursements!$B:$B,Ageing!$B217,Disbursements!$AT:$AT,Ageing!K$4)</f>
        <v>0</v>
      </c>
      <c r="L217" s="369">
        <f>SUMIFS(Disbursements!$AP:$AP,Disbursements!$B:$B,Ageing!$B217,Disbursements!$AT:$AT,Ageing!L$4)</f>
        <v>0</v>
      </c>
      <c r="M217" s="369">
        <f>SUMIFS(Disbursements!$AP:$AP,Disbursements!$B:$B,Ageing!$B217,Disbursements!$AT:$AT,Ageing!M$4)</f>
        <v>0</v>
      </c>
      <c r="N217" s="369">
        <f>SUMIFS(Disbursements!$AP:$AP,Disbursements!$B:$B,Ageing!$B217,Disbursements!$AT:$AT,Ageing!N$4)</f>
        <v>0</v>
      </c>
      <c r="O217" s="369">
        <f>SUMIFS(Disbursements!$AP:$AP,Disbursements!$B:$B,Ageing!$B217,Disbursements!$AT:$AT,Ageing!O$4)</f>
        <v>0</v>
      </c>
    </row>
    <row r="218" spans="1:15" x14ac:dyDescent="0.2">
      <c r="A218" s="179" t="str">
        <f>IFERROR(VLOOKUP($B218,'Clients-Live'!$A:$C,3,30),"")</f>
        <v>APAYI LILLY</v>
      </c>
      <c r="B218" s="480">
        <v>214</v>
      </c>
      <c r="C218" s="370" t="str">
        <f>IFERROR(INDEX(Disbursements!$J:$J,MATCH(Ageing!B218,Disbursements!$B:$B,0)),"No Loan")</f>
        <v>No Loan</v>
      </c>
      <c r="D218" s="364">
        <f>SUMIF(Disbursements!$B:$B,Ageing!$B218,Disbursements!AN:AN)</f>
        <v>0</v>
      </c>
      <c r="E218" s="364">
        <f>SUMIF(Disbursements!$B:$B,Ageing!$B218,Disbursements!AO:AO)</f>
        <v>0</v>
      </c>
      <c r="F218" s="365">
        <f t="shared" si="8"/>
        <v>0</v>
      </c>
      <c r="G218" s="364">
        <f>SUMIF(Disbursements!$B:$B,Ageing!$B218,Disbursements!AQ:AQ)</f>
        <v>0</v>
      </c>
      <c r="H218" s="364">
        <f>SUMIF(Disbursements!$B:$B,Ageing!$B218,Disbursements!AS:AS)</f>
        <v>0</v>
      </c>
      <c r="I218" s="364">
        <f t="shared" si="9"/>
        <v>0</v>
      </c>
      <c r="J218" s="369">
        <f>SUMIFS(Disbursements!$AP:$AP,Disbursements!$B:$B,Ageing!$B218,Disbursements!$AT:$AT,Ageing!J$4)</f>
        <v>0</v>
      </c>
      <c r="K218" s="369">
        <f>SUMIFS(Disbursements!$AP:$AP,Disbursements!$B:$B,Ageing!$B218,Disbursements!$AT:$AT,Ageing!K$4)</f>
        <v>0</v>
      </c>
      <c r="L218" s="369">
        <f>SUMIFS(Disbursements!$AP:$AP,Disbursements!$B:$B,Ageing!$B218,Disbursements!$AT:$AT,Ageing!L$4)</f>
        <v>0</v>
      </c>
      <c r="M218" s="369">
        <f>SUMIFS(Disbursements!$AP:$AP,Disbursements!$B:$B,Ageing!$B218,Disbursements!$AT:$AT,Ageing!M$4)</f>
        <v>0</v>
      </c>
      <c r="N218" s="369">
        <f>SUMIFS(Disbursements!$AP:$AP,Disbursements!$B:$B,Ageing!$B218,Disbursements!$AT:$AT,Ageing!N$4)</f>
        <v>0</v>
      </c>
      <c r="O218" s="369">
        <f>SUMIFS(Disbursements!$AP:$AP,Disbursements!$B:$B,Ageing!$B218,Disbursements!$AT:$AT,Ageing!O$4)</f>
        <v>0</v>
      </c>
    </row>
    <row r="219" spans="1:15" x14ac:dyDescent="0.2">
      <c r="A219" s="179" t="str">
        <f>IFERROR(VLOOKUP($B219,'Clients-Live'!$A:$C,3,30),"")</f>
        <v>BRANI MUSA</v>
      </c>
      <c r="B219" s="480">
        <v>215</v>
      </c>
      <c r="C219" s="370" t="str">
        <f>IFERROR(INDEX(Disbursements!$J:$J,MATCH(Ageing!B219,Disbursements!$B:$B,0)),"No Loan")</f>
        <v>Kana</v>
      </c>
      <c r="D219" s="364">
        <f>SUMIF(Disbursements!$B:$B,Ageing!$B219,Disbursements!AN:AN)</f>
        <v>61000.000000000058</v>
      </c>
      <c r="E219" s="364">
        <f>SUMIF(Disbursements!$B:$B,Ageing!$B219,Disbursements!AO:AO)</f>
        <v>853000</v>
      </c>
      <c r="F219" s="365">
        <f t="shared" si="8"/>
        <v>914000</v>
      </c>
      <c r="G219" s="364">
        <f ca="1">SUMIF(Disbursements!$B:$B,Ageing!$B219,Disbursements!AQ:AQ)</f>
        <v>914000</v>
      </c>
      <c r="H219" s="364">
        <f ca="1">SUMIF(Disbursements!$B:$B,Ageing!$B219,Disbursements!AS:AS)</f>
        <v>75</v>
      </c>
      <c r="I219" s="364">
        <f t="shared" ca="1" si="9"/>
        <v>1</v>
      </c>
      <c r="J219" s="369">
        <f ca="1">SUMIFS(Disbursements!$AP:$AP,Disbursements!$B:$B,Ageing!$B219,Disbursements!$AT:$AT,Ageing!J$4)</f>
        <v>0</v>
      </c>
      <c r="K219" s="369">
        <f ca="1">SUMIFS(Disbursements!$AP:$AP,Disbursements!$B:$B,Ageing!$B219,Disbursements!$AT:$AT,Ageing!K$4)</f>
        <v>0</v>
      </c>
      <c r="L219" s="369">
        <f ca="1">SUMIFS(Disbursements!$AP:$AP,Disbursements!$B:$B,Ageing!$B219,Disbursements!$AT:$AT,Ageing!L$4)</f>
        <v>0</v>
      </c>
      <c r="M219" s="369">
        <f ca="1">SUMIFS(Disbursements!$AP:$AP,Disbursements!$B:$B,Ageing!$B219,Disbursements!$AT:$AT,Ageing!M$4)</f>
        <v>914000</v>
      </c>
      <c r="N219" s="369">
        <f ca="1">SUMIFS(Disbursements!$AP:$AP,Disbursements!$B:$B,Ageing!$B219,Disbursements!$AT:$AT,Ageing!N$4)</f>
        <v>0</v>
      </c>
      <c r="O219" s="369">
        <f ca="1">SUMIFS(Disbursements!$AP:$AP,Disbursements!$B:$B,Ageing!$B219,Disbursements!$AT:$AT,Ageing!O$4)</f>
        <v>0</v>
      </c>
    </row>
    <row r="220" spans="1:15" x14ac:dyDescent="0.2">
      <c r="A220" s="179" t="str">
        <f>IFERROR(VLOOKUP($B220,'Clients-Live'!$A:$C,3,30),"")</f>
        <v>ALIGA ASHIRAF</v>
      </c>
      <c r="B220" s="480">
        <v>216</v>
      </c>
      <c r="C220" s="370" t="str">
        <f>IFERROR(INDEX(Disbursements!$J:$J,MATCH(Ageing!B220,Disbursements!$B:$B,0)),"No Loan")</f>
        <v>Jerome</v>
      </c>
      <c r="D220" s="364">
        <f>SUMIF(Disbursements!$B:$B,Ageing!$B220,Disbursements!AN:AN)</f>
        <v>490333.33333333343</v>
      </c>
      <c r="E220" s="364">
        <f>SUMIF(Disbursements!$B:$B,Ageing!$B220,Disbursements!AO:AO)</f>
        <v>1715666.6666666667</v>
      </c>
      <c r="F220" s="365">
        <f t="shared" si="8"/>
        <v>2206000</v>
      </c>
      <c r="G220" s="364">
        <f ca="1">SUMIF(Disbursements!$B:$B,Ageing!$B220,Disbursements!AQ:AQ)</f>
        <v>2206000</v>
      </c>
      <c r="H220" s="364">
        <f ca="1">SUMIF(Disbursements!$B:$B,Ageing!$B220,Disbursements!AS:AS)</f>
        <v>142</v>
      </c>
      <c r="I220" s="364">
        <f t="shared" ca="1" si="9"/>
        <v>1</v>
      </c>
      <c r="J220" s="369">
        <f ca="1">SUMIFS(Disbursements!$AP:$AP,Disbursements!$B:$B,Ageing!$B220,Disbursements!$AT:$AT,Ageing!J$4)</f>
        <v>0</v>
      </c>
      <c r="K220" s="369">
        <f ca="1">SUMIFS(Disbursements!$AP:$AP,Disbursements!$B:$B,Ageing!$B220,Disbursements!$AT:$AT,Ageing!K$4)</f>
        <v>0</v>
      </c>
      <c r="L220" s="369">
        <f ca="1">SUMIFS(Disbursements!$AP:$AP,Disbursements!$B:$B,Ageing!$B220,Disbursements!$AT:$AT,Ageing!L$4)</f>
        <v>0</v>
      </c>
      <c r="M220" s="369">
        <f ca="1">SUMIFS(Disbursements!$AP:$AP,Disbursements!$B:$B,Ageing!$B220,Disbursements!$AT:$AT,Ageing!M$4)</f>
        <v>0</v>
      </c>
      <c r="N220" s="369">
        <f ca="1">SUMIFS(Disbursements!$AP:$AP,Disbursements!$B:$B,Ageing!$B220,Disbursements!$AT:$AT,Ageing!N$4)</f>
        <v>2206000</v>
      </c>
      <c r="O220" s="369">
        <f ca="1">SUMIFS(Disbursements!$AP:$AP,Disbursements!$B:$B,Ageing!$B220,Disbursements!$AT:$AT,Ageing!O$4)</f>
        <v>0</v>
      </c>
    </row>
    <row r="221" spans="1:15" x14ac:dyDescent="0.2">
      <c r="A221" s="179" t="str">
        <f>IFERROR(VLOOKUP($B221,'Clients-Live'!$A:$C,3,30),"")</f>
        <v>JAMBA MOSES</v>
      </c>
      <c r="B221" s="480">
        <v>217</v>
      </c>
      <c r="C221" s="370" t="str">
        <f>IFERROR(INDEX(Disbursements!$J:$J,MATCH(Ageing!B221,Disbursements!$B:$B,0)),"No Loan")</f>
        <v>Kana</v>
      </c>
      <c r="D221" s="364">
        <f>SUMIF(Disbursements!$B:$B,Ageing!$B221,Disbursements!AN:AN)</f>
        <v>0</v>
      </c>
      <c r="E221" s="364">
        <f>SUMIF(Disbursements!$B:$B,Ageing!$B221,Disbursements!AO:AO)</f>
        <v>2300</v>
      </c>
      <c r="F221" s="365">
        <f t="shared" si="8"/>
        <v>2300</v>
      </c>
      <c r="G221" s="364">
        <f ca="1">SUMIF(Disbursements!$B:$B,Ageing!$B221,Disbursements!AQ:AQ)</f>
        <v>2300</v>
      </c>
      <c r="H221" s="364">
        <f ca="1">SUMIF(Disbursements!$B:$B,Ageing!$B221,Disbursements!AS:AS)</f>
        <v>2</v>
      </c>
      <c r="I221" s="364">
        <f t="shared" ca="1" si="9"/>
        <v>1</v>
      </c>
      <c r="J221" s="369">
        <f ca="1">SUMIFS(Disbursements!$AP:$AP,Disbursements!$B:$B,Ageing!$B221,Disbursements!$AT:$AT,Ageing!J$4)</f>
        <v>0</v>
      </c>
      <c r="K221" s="369">
        <f ca="1">SUMIFS(Disbursements!$AP:$AP,Disbursements!$B:$B,Ageing!$B221,Disbursements!$AT:$AT,Ageing!K$4)</f>
        <v>2300</v>
      </c>
      <c r="L221" s="369">
        <f ca="1">SUMIFS(Disbursements!$AP:$AP,Disbursements!$B:$B,Ageing!$B221,Disbursements!$AT:$AT,Ageing!L$4)</f>
        <v>0</v>
      </c>
      <c r="M221" s="369">
        <f ca="1">SUMIFS(Disbursements!$AP:$AP,Disbursements!$B:$B,Ageing!$B221,Disbursements!$AT:$AT,Ageing!M$4)</f>
        <v>0</v>
      </c>
      <c r="N221" s="369">
        <f ca="1">SUMIFS(Disbursements!$AP:$AP,Disbursements!$B:$B,Ageing!$B221,Disbursements!$AT:$AT,Ageing!N$4)</f>
        <v>0</v>
      </c>
      <c r="O221" s="369">
        <f ca="1">SUMIFS(Disbursements!$AP:$AP,Disbursements!$B:$B,Ageing!$B221,Disbursements!$AT:$AT,Ageing!O$4)</f>
        <v>0</v>
      </c>
    </row>
    <row r="222" spans="1:15" x14ac:dyDescent="0.2">
      <c r="A222" s="179" t="str">
        <f>IFERROR(VLOOKUP($B222,'Clients-Live'!$A:$C,3,30),"")</f>
        <v>BUSURA OMAR</v>
      </c>
      <c r="B222" s="480">
        <v>218</v>
      </c>
      <c r="C222" s="370" t="str">
        <f>IFERROR(INDEX(Disbursements!$J:$J,MATCH(Ageing!B222,Disbursements!$B:$B,0)),"No Loan")</f>
        <v>Kana</v>
      </c>
      <c r="D222" s="364">
        <f>SUMIF(Disbursements!$B:$B,Ageing!$B222,Disbursements!AN:AN)</f>
        <v>200000</v>
      </c>
      <c r="E222" s="364">
        <f>SUMIF(Disbursements!$B:$B,Ageing!$B222,Disbursements!AO:AO)</f>
        <v>330000</v>
      </c>
      <c r="F222" s="365">
        <f t="shared" si="8"/>
        <v>530000</v>
      </c>
      <c r="G222" s="364">
        <f ca="1">SUMIF(Disbursements!$B:$B,Ageing!$B222,Disbursements!AQ:AQ)</f>
        <v>530000</v>
      </c>
      <c r="H222" s="364">
        <f ca="1">SUMIF(Disbursements!$B:$B,Ageing!$B222,Disbursements!AS:AS)</f>
        <v>106</v>
      </c>
      <c r="I222" s="364">
        <f t="shared" ca="1" si="9"/>
        <v>1</v>
      </c>
      <c r="J222" s="369">
        <f ca="1">SUMIFS(Disbursements!$AP:$AP,Disbursements!$B:$B,Ageing!$B222,Disbursements!$AT:$AT,Ageing!J$4)</f>
        <v>0</v>
      </c>
      <c r="K222" s="369">
        <f ca="1">SUMIFS(Disbursements!$AP:$AP,Disbursements!$B:$B,Ageing!$B222,Disbursements!$AT:$AT,Ageing!K$4)</f>
        <v>0</v>
      </c>
      <c r="L222" s="369">
        <f ca="1">SUMIFS(Disbursements!$AP:$AP,Disbursements!$B:$B,Ageing!$B222,Disbursements!$AT:$AT,Ageing!L$4)</f>
        <v>0</v>
      </c>
      <c r="M222" s="369">
        <f ca="1">SUMIFS(Disbursements!$AP:$AP,Disbursements!$B:$B,Ageing!$B222,Disbursements!$AT:$AT,Ageing!M$4)</f>
        <v>0</v>
      </c>
      <c r="N222" s="369">
        <f ca="1">SUMIFS(Disbursements!$AP:$AP,Disbursements!$B:$B,Ageing!$B222,Disbursements!$AT:$AT,Ageing!N$4)</f>
        <v>530000</v>
      </c>
      <c r="O222" s="369">
        <f ca="1">SUMIFS(Disbursements!$AP:$AP,Disbursements!$B:$B,Ageing!$B222,Disbursements!$AT:$AT,Ageing!O$4)</f>
        <v>0</v>
      </c>
    </row>
    <row r="223" spans="1:15" x14ac:dyDescent="0.2">
      <c r="A223" s="179" t="str">
        <f>IFERROR(VLOOKUP($B223,'Clients-Live'!$A:$C,3,30),"")</f>
        <v>MALIKO JAMILA</v>
      </c>
      <c r="B223" s="480">
        <v>219</v>
      </c>
      <c r="C223" s="370" t="str">
        <f>IFERROR(INDEX(Disbursements!$J:$J,MATCH(Ageing!B223,Disbursements!$B:$B,0)),"No Loan")</f>
        <v>Aroma</v>
      </c>
      <c r="D223" s="364">
        <f>SUMIF(Disbursements!$B:$B,Ageing!$B223,Disbursements!AN:AN)</f>
        <v>0</v>
      </c>
      <c r="E223" s="364">
        <f>SUMIF(Disbursements!$B:$B,Ageing!$B223,Disbursements!AO:AO)</f>
        <v>1000</v>
      </c>
      <c r="F223" s="365">
        <f t="shared" si="8"/>
        <v>1000</v>
      </c>
      <c r="G223" s="364">
        <f ca="1">SUMIF(Disbursements!$B:$B,Ageing!$B223,Disbursements!AQ:AQ)</f>
        <v>1000</v>
      </c>
      <c r="H223" s="364">
        <f ca="1">SUMIF(Disbursements!$B:$B,Ageing!$B223,Disbursements!AS:AS)</f>
        <v>1</v>
      </c>
      <c r="I223" s="364">
        <f t="shared" ca="1" si="9"/>
        <v>1</v>
      </c>
      <c r="J223" s="369">
        <f ca="1">SUMIFS(Disbursements!$AP:$AP,Disbursements!$B:$B,Ageing!$B223,Disbursements!$AT:$AT,Ageing!J$4)</f>
        <v>0</v>
      </c>
      <c r="K223" s="369">
        <f ca="1">SUMIFS(Disbursements!$AP:$AP,Disbursements!$B:$B,Ageing!$B223,Disbursements!$AT:$AT,Ageing!K$4)</f>
        <v>1000</v>
      </c>
      <c r="L223" s="369">
        <f ca="1">SUMIFS(Disbursements!$AP:$AP,Disbursements!$B:$B,Ageing!$B223,Disbursements!$AT:$AT,Ageing!L$4)</f>
        <v>0</v>
      </c>
      <c r="M223" s="369">
        <f ca="1">SUMIFS(Disbursements!$AP:$AP,Disbursements!$B:$B,Ageing!$B223,Disbursements!$AT:$AT,Ageing!M$4)</f>
        <v>0</v>
      </c>
      <c r="N223" s="369">
        <f ca="1">SUMIFS(Disbursements!$AP:$AP,Disbursements!$B:$B,Ageing!$B223,Disbursements!$AT:$AT,Ageing!N$4)</f>
        <v>0</v>
      </c>
      <c r="O223" s="369">
        <f ca="1">SUMIFS(Disbursements!$AP:$AP,Disbursements!$B:$B,Ageing!$B223,Disbursements!$AT:$AT,Ageing!O$4)</f>
        <v>0</v>
      </c>
    </row>
    <row r="224" spans="1:15" x14ac:dyDescent="0.2">
      <c r="A224" s="179" t="str">
        <f>IFERROR(VLOOKUP($B224,'Clients-Live'!$A:$C,3,30),"")</f>
        <v>DRAGUMA SIRAJI</v>
      </c>
      <c r="B224" s="480">
        <v>220</v>
      </c>
      <c r="C224" s="370" t="str">
        <f>IFERROR(INDEX(Disbursements!$J:$J,MATCH(Ageing!B224,Disbursements!$B:$B,0)),"No Loan")</f>
        <v>Jerome</v>
      </c>
      <c r="D224" s="364">
        <f>SUMIF(Disbursements!$B:$B,Ageing!$B224,Disbursements!AN:AN)</f>
        <v>0</v>
      </c>
      <c r="E224" s="364">
        <f>SUMIF(Disbursements!$B:$B,Ageing!$B224,Disbursements!AO:AO)</f>
        <v>0</v>
      </c>
      <c r="F224" s="365">
        <f t="shared" si="8"/>
        <v>0</v>
      </c>
      <c r="G224" s="364">
        <f ca="1">SUMIF(Disbursements!$B:$B,Ageing!$B224,Disbursements!AQ:AQ)</f>
        <v>0</v>
      </c>
      <c r="H224" s="364">
        <f ca="1">SUMIF(Disbursements!$B:$B,Ageing!$B224,Disbursements!AS:AS)</f>
        <v>0</v>
      </c>
      <c r="I224" s="364">
        <f t="shared" si="9"/>
        <v>0</v>
      </c>
      <c r="J224" s="369">
        <f>SUMIFS(Disbursements!$AP:$AP,Disbursements!$B:$B,Ageing!$B224,Disbursements!$AT:$AT,Ageing!J$4)</f>
        <v>0</v>
      </c>
      <c r="K224" s="369">
        <f>SUMIFS(Disbursements!$AP:$AP,Disbursements!$B:$B,Ageing!$B224,Disbursements!$AT:$AT,Ageing!K$4)</f>
        <v>0</v>
      </c>
      <c r="L224" s="369">
        <f>SUMIFS(Disbursements!$AP:$AP,Disbursements!$B:$B,Ageing!$B224,Disbursements!$AT:$AT,Ageing!L$4)</f>
        <v>0</v>
      </c>
      <c r="M224" s="369">
        <f>SUMIFS(Disbursements!$AP:$AP,Disbursements!$B:$B,Ageing!$B224,Disbursements!$AT:$AT,Ageing!M$4)</f>
        <v>0</v>
      </c>
      <c r="N224" s="369">
        <f>SUMIFS(Disbursements!$AP:$AP,Disbursements!$B:$B,Ageing!$B224,Disbursements!$AT:$AT,Ageing!N$4)</f>
        <v>0</v>
      </c>
      <c r="O224" s="369">
        <f>SUMIFS(Disbursements!$AP:$AP,Disbursements!$B:$B,Ageing!$B224,Disbursements!$AT:$AT,Ageing!O$4)</f>
        <v>0</v>
      </c>
    </row>
    <row r="225" spans="1:15" x14ac:dyDescent="0.2">
      <c r="A225" s="179" t="str">
        <f>IFERROR(VLOOKUP($B225,'Clients-Live'!$A:$C,3,30),"")</f>
        <v>NAMUDDU MARY</v>
      </c>
      <c r="B225" s="480">
        <v>221</v>
      </c>
      <c r="C225" s="370" t="str">
        <f>IFERROR(INDEX(Disbursements!$J:$J,MATCH(Ageing!B225,Disbursements!$B:$B,0)),"No Loan")</f>
        <v>Jerome</v>
      </c>
      <c r="D225" s="364">
        <f>SUMIF(Disbursements!$B:$B,Ageing!$B225,Disbursements!AN:AN)</f>
        <v>260000</v>
      </c>
      <c r="E225" s="364">
        <f>SUMIF(Disbursements!$B:$B,Ageing!$B225,Disbursements!AO:AO)</f>
        <v>1000000</v>
      </c>
      <c r="F225" s="365">
        <f t="shared" si="8"/>
        <v>1260000</v>
      </c>
      <c r="G225" s="364">
        <f ca="1">SUMIF(Disbursements!$B:$B,Ageing!$B225,Disbursements!AQ:AQ)</f>
        <v>1260000</v>
      </c>
      <c r="H225" s="364">
        <f ca="1">SUMIF(Disbursements!$B:$B,Ageing!$B225,Disbursements!AS:AS)</f>
        <v>120</v>
      </c>
      <c r="I225" s="364">
        <f t="shared" ca="1" si="9"/>
        <v>1</v>
      </c>
      <c r="J225" s="369">
        <f ca="1">SUMIFS(Disbursements!$AP:$AP,Disbursements!$B:$B,Ageing!$B225,Disbursements!$AT:$AT,Ageing!J$4)</f>
        <v>0</v>
      </c>
      <c r="K225" s="369">
        <f ca="1">SUMIFS(Disbursements!$AP:$AP,Disbursements!$B:$B,Ageing!$B225,Disbursements!$AT:$AT,Ageing!K$4)</f>
        <v>0</v>
      </c>
      <c r="L225" s="369">
        <f ca="1">SUMIFS(Disbursements!$AP:$AP,Disbursements!$B:$B,Ageing!$B225,Disbursements!$AT:$AT,Ageing!L$4)</f>
        <v>0</v>
      </c>
      <c r="M225" s="369">
        <f ca="1">SUMIFS(Disbursements!$AP:$AP,Disbursements!$B:$B,Ageing!$B225,Disbursements!$AT:$AT,Ageing!M$4)</f>
        <v>0</v>
      </c>
      <c r="N225" s="369">
        <f ca="1">SUMIFS(Disbursements!$AP:$AP,Disbursements!$B:$B,Ageing!$B225,Disbursements!$AT:$AT,Ageing!N$4)</f>
        <v>1260000</v>
      </c>
      <c r="O225" s="369">
        <f ca="1">SUMIFS(Disbursements!$AP:$AP,Disbursements!$B:$B,Ageing!$B225,Disbursements!$AT:$AT,Ageing!O$4)</f>
        <v>0</v>
      </c>
    </row>
    <row r="226" spans="1:15" x14ac:dyDescent="0.2">
      <c r="A226" s="179" t="str">
        <f>IFERROR(VLOOKUP($B226,'Clients-Live'!$A:$C,3,30),"")</f>
        <v>ITITU ZAIDA</v>
      </c>
      <c r="B226" s="480">
        <v>222</v>
      </c>
      <c r="C226" s="370" t="str">
        <f>IFERROR(INDEX(Disbursements!$J:$J,MATCH(Ageing!B226,Disbursements!$B:$B,0)),"No Loan")</f>
        <v>Aroma</v>
      </c>
      <c r="D226" s="364">
        <f>SUMIF(Disbursements!$B:$B,Ageing!$B226,Disbursements!AN:AN)</f>
        <v>0</v>
      </c>
      <c r="E226" s="364">
        <f>SUMIF(Disbursements!$B:$B,Ageing!$B226,Disbursements!AO:AO)</f>
        <v>0</v>
      </c>
      <c r="F226" s="365">
        <f t="shared" si="8"/>
        <v>0</v>
      </c>
      <c r="G226" s="364">
        <f ca="1">SUMIF(Disbursements!$B:$B,Ageing!$B226,Disbursements!AQ:AQ)</f>
        <v>0</v>
      </c>
      <c r="H226" s="364">
        <f ca="1">SUMIF(Disbursements!$B:$B,Ageing!$B226,Disbursements!AS:AS)</f>
        <v>0</v>
      </c>
      <c r="I226" s="364">
        <f t="shared" si="9"/>
        <v>0</v>
      </c>
      <c r="J226" s="369">
        <f>SUMIFS(Disbursements!$AP:$AP,Disbursements!$B:$B,Ageing!$B226,Disbursements!$AT:$AT,Ageing!J$4)</f>
        <v>0</v>
      </c>
      <c r="K226" s="369">
        <f>SUMIFS(Disbursements!$AP:$AP,Disbursements!$B:$B,Ageing!$B226,Disbursements!$AT:$AT,Ageing!K$4)</f>
        <v>0</v>
      </c>
      <c r="L226" s="369">
        <f>SUMIFS(Disbursements!$AP:$AP,Disbursements!$B:$B,Ageing!$B226,Disbursements!$AT:$AT,Ageing!L$4)</f>
        <v>0</v>
      </c>
      <c r="M226" s="369">
        <f>SUMIFS(Disbursements!$AP:$AP,Disbursements!$B:$B,Ageing!$B226,Disbursements!$AT:$AT,Ageing!M$4)</f>
        <v>0</v>
      </c>
      <c r="N226" s="369">
        <f>SUMIFS(Disbursements!$AP:$AP,Disbursements!$B:$B,Ageing!$B226,Disbursements!$AT:$AT,Ageing!N$4)</f>
        <v>0</v>
      </c>
      <c r="O226" s="369">
        <f>SUMIFS(Disbursements!$AP:$AP,Disbursements!$B:$B,Ageing!$B226,Disbursements!$AT:$AT,Ageing!O$4)</f>
        <v>0</v>
      </c>
    </row>
    <row r="227" spans="1:15" x14ac:dyDescent="0.2">
      <c r="A227" s="179" t="str">
        <f>IFERROR(VLOOKUP($B227,'Clients-Live'!$A:$C,3,30),"")</f>
        <v>ANYOLE JOEL</v>
      </c>
      <c r="B227" s="480">
        <v>223</v>
      </c>
      <c r="C227" s="370" t="str">
        <f>IFERROR(INDEX(Disbursements!$J:$J,MATCH(Ageing!B227,Disbursements!$B:$B,0)),"No Loan")</f>
        <v>No Loan</v>
      </c>
      <c r="D227" s="364">
        <f>SUMIF(Disbursements!$B:$B,Ageing!$B227,Disbursements!AN:AN)</f>
        <v>0</v>
      </c>
      <c r="E227" s="364">
        <f>SUMIF(Disbursements!$B:$B,Ageing!$B227,Disbursements!AO:AO)</f>
        <v>0</v>
      </c>
      <c r="F227" s="365">
        <f t="shared" si="8"/>
        <v>0</v>
      </c>
      <c r="G227" s="364">
        <f>SUMIF(Disbursements!$B:$B,Ageing!$B227,Disbursements!AQ:AQ)</f>
        <v>0</v>
      </c>
      <c r="H227" s="364">
        <f>SUMIF(Disbursements!$B:$B,Ageing!$B227,Disbursements!AS:AS)</f>
        <v>0</v>
      </c>
      <c r="I227" s="364">
        <f t="shared" si="9"/>
        <v>0</v>
      </c>
      <c r="J227" s="369">
        <f>SUMIFS(Disbursements!$AP:$AP,Disbursements!$B:$B,Ageing!$B227,Disbursements!$AT:$AT,Ageing!J$4)</f>
        <v>0</v>
      </c>
      <c r="K227" s="369">
        <f>SUMIFS(Disbursements!$AP:$AP,Disbursements!$B:$B,Ageing!$B227,Disbursements!$AT:$AT,Ageing!K$4)</f>
        <v>0</v>
      </c>
      <c r="L227" s="369">
        <f>SUMIFS(Disbursements!$AP:$AP,Disbursements!$B:$B,Ageing!$B227,Disbursements!$AT:$AT,Ageing!L$4)</f>
        <v>0</v>
      </c>
      <c r="M227" s="369">
        <f>SUMIFS(Disbursements!$AP:$AP,Disbursements!$B:$B,Ageing!$B227,Disbursements!$AT:$AT,Ageing!M$4)</f>
        <v>0</v>
      </c>
      <c r="N227" s="369">
        <f>SUMIFS(Disbursements!$AP:$AP,Disbursements!$B:$B,Ageing!$B227,Disbursements!$AT:$AT,Ageing!N$4)</f>
        <v>0</v>
      </c>
      <c r="O227" s="369">
        <f>SUMIFS(Disbursements!$AP:$AP,Disbursements!$B:$B,Ageing!$B227,Disbursements!$AT:$AT,Ageing!O$4)</f>
        <v>0</v>
      </c>
    </row>
    <row r="228" spans="1:15" x14ac:dyDescent="0.2">
      <c r="A228" s="179" t="str">
        <f>IFERROR(VLOOKUP($B228,'Clients-Live'!$A:$C,3,30),"")</f>
        <v>MALIAMUNGU ROBERT</v>
      </c>
      <c r="B228" s="480">
        <v>224</v>
      </c>
      <c r="C228" s="370" t="str">
        <f>IFERROR(INDEX(Disbursements!$J:$J,MATCH(Ageing!B228,Disbursements!$B:$B,0)),"No Loan")</f>
        <v>No Loan</v>
      </c>
      <c r="D228" s="364">
        <f>SUMIF(Disbursements!$B:$B,Ageing!$B228,Disbursements!AN:AN)</f>
        <v>0</v>
      </c>
      <c r="E228" s="364">
        <f>SUMIF(Disbursements!$B:$B,Ageing!$B228,Disbursements!AO:AO)</f>
        <v>0</v>
      </c>
      <c r="F228" s="365">
        <f t="shared" si="8"/>
        <v>0</v>
      </c>
      <c r="G228" s="364">
        <f>SUMIF(Disbursements!$B:$B,Ageing!$B228,Disbursements!AQ:AQ)</f>
        <v>0</v>
      </c>
      <c r="H228" s="364">
        <f>SUMIF(Disbursements!$B:$B,Ageing!$B228,Disbursements!AS:AS)</f>
        <v>0</v>
      </c>
      <c r="I228" s="364">
        <f t="shared" si="9"/>
        <v>0</v>
      </c>
      <c r="J228" s="369">
        <f>SUMIFS(Disbursements!$AP:$AP,Disbursements!$B:$B,Ageing!$B228,Disbursements!$AT:$AT,Ageing!J$4)</f>
        <v>0</v>
      </c>
      <c r="K228" s="369">
        <f>SUMIFS(Disbursements!$AP:$AP,Disbursements!$B:$B,Ageing!$B228,Disbursements!$AT:$AT,Ageing!K$4)</f>
        <v>0</v>
      </c>
      <c r="L228" s="369">
        <f>SUMIFS(Disbursements!$AP:$AP,Disbursements!$B:$B,Ageing!$B228,Disbursements!$AT:$AT,Ageing!L$4)</f>
        <v>0</v>
      </c>
      <c r="M228" s="369">
        <f>SUMIFS(Disbursements!$AP:$AP,Disbursements!$B:$B,Ageing!$B228,Disbursements!$AT:$AT,Ageing!M$4)</f>
        <v>0</v>
      </c>
      <c r="N228" s="369">
        <f>SUMIFS(Disbursements!$AP:$AP,Disbursements!$B:$B,Ageing!$B228,Disbursements!$AT:$AT,Ageing!N$4)</f>
        <v>0</v>
      </c>
      <c r="O228" s="369">
        <f>SUMIFS(Disbursements!$AP:$AP,Disbursements!$B:$B,Ageing!$B228,Disbursements!$AT:$AT,Ageing!O$4)</f>
        <v>0</v>
      </c>
    </row>
    <row r="229" spans="1:15" x14ac:dyDescent="0.2">
      <c r="A229" s="179" t="str">
        <f>IFERROR(VLOOKUP($B229,'Clients-Live'!$A:$C,3,30),"")</f>
        <v>ABUJERE KASIMU</v>
      </c>
      <c r="B229" s="480">
        <v>225</v>
      </c>
      <c r="C229" s="370" t="str">
        <f>IFERROR(INDEX(Disbursements!$J:$J,MATCH(Ageing!B229,Disbursements!$B:$B,0)),"No Loan")</f>
        <v>No Loan</v>
      </c>
      <c r="D229" s="364">
        <f>SUMIF(Disbursements!$B:$B,Ageing!$B229,Disbursements!AN:AN)</f>
        <v>0</v>
      </c>
      <c r="E229" s="364">
        <f>SUMIF(Disbursements!$B:$B,Ageing!$B229,Disbursements!AO:AO)</f>
        <v>0</v>
      </c>
      <c r="F229" s="365">
        <f t="shared" si="8"/>
        <v>0</v>
      </c>
      <c r="G229" s="364">
        <f>SUMIF(Disbursements!$B:$B,Ageing!$B229,Disbursements!AQ:AQ)</f>
        <v>0</v>
      </c>
      <c r="H229" s="364">
        <f>SUMIF(Disbursements!$B:$B,Ageing!$B229,Disbursements!AS:AS)</f>
        <v>0</v>
      </c>
      <c r="I229" s="364">
        <f t="shared" si="9"/>
        <v>0</v>
      </c>
      <c r="J229" s="369">
        <f>SUMIFS(Disbursements!$AP:$AP,Disbursements!$B:$B,Ageing!$B229,Disbursements!$AT:$AT,Ageing!J$4)</f>
        <v>0</v>
      </c>
      <c r="K229" s="369">
        <f>SUMIFS(Disbursements!$AP:$AP,Disbursements!$B:$B,Ageing!$B229,Disbursements!$AT:$AT,Ageing!K$4)</f>
        <v>0</v>
      </c>
      <c r="L229" s="369">
        <f>SUMIFS(Disbursements!$AP:$AP,Disbursements!$B:$B,Ageing!$B229,Disbursements!$AT:$AT,Ageing!L$4)</f>
        <v>0</v>
      </c>
      <c r="M229" s="369">
        <f>SUMIFS(Disbursements!$AP:$AP,Disbursements!$B:$B,Ageing!$B229,Disbursements!$AT:$AT,Ageing!M$4)</f>
        <v>0</v>
      </c>
      <c r="N229" s="369">
        <f>SUMIFS(Disbursements!$AP:$AP,Disbursements!$B:$B,Ageing!$B229,Disbursements!$AT:$AT,Ageing!N$4)</f>
        <v>0</v>
      </c>
      <c r="O229" s="369">
        <f>SUMIFS(Disbursements!$AP:$AP,Disbursements!$B:$B,Ageing!$B229,Disbursements!$AT:$AT,Ageing!O$4)</f>
        <v>0</v>
      </c>
    </row>
    <row r="230" spans="1:15" x14ac:dyDescent="0.2">
      <c r="A230" s="179" t="str">
        <f>IFERROR(VLOOKUP($B230,'Clients-Live'!$A:$C,3,30),"")</f>
        <v>MATURU NEEMA</v>
      </c>
      <c r="B230" s="480">
        <v>226</v>
      </c>
      <c r="C230" s="370" t="str">
        <f>IFERROR(INDEX(Disbursements!$J:$J,MATCH(Ageing!B230,Disbursements!$B:$B,0)),"No Loan")</f>
        <v>Jerome</v>
      </c>
      <c r="D230" s="364">
        <f>SUMIF(Disbursements!$B:$B,Ageing!$B230,Disbursements!AN:AN)</f>
        <v>0</v>
      </c>
      <c r="E230" s="364">
        <f>SUMIF(Disbursements!$B:$B,Ageing!$B230,Disbursements!AO:AO)</f>
        <v>185000</v>
      </c>
      <c r="F230" s="365">
        <f t="shared" si="8"/>
        <v>185000</v>
      </c>
      <c r="G230" s="364">
        <f ca="1">SUMIF(Disbursements!$B:$B,Ageing!$B230,Disbursements!AQ:AQ)</f>
        <v>185000</v>
      </c>
      <c r="H230" s="364">
        <f ca="1">SUMIF(Disbursements!$B:$B,Ageing!$B230,Disbursements!AS:AS)</f>
        <v>26</v>
      </c>
      <c r="I230" s="364">
        <f t="shared" ca="1" si="9"/>
        <v>1</v>
      </c>
      <c r="J230" s="369">
        <f ca="1">SUMIFS(Disbursements!$AP:$AP,Disbursements!$B:$B,Ageing!$B230,Disbursements!$AT:$AT,Ageing!J$4)</f>
        <v>0</v>
      </c>
      <c r="K230" s="369">
        <f ca="1">SUMIFS(Disbursements!$AP:$AP,Disbursements!$B:$B,Ageing!$B230,Disbursements!$AT:$AT,Ageing!K$4)</f>
        <v>185000</v>
      </c>
      <c r="L230" s="369">
        <f ca="1">SUMIFS(Disbursements!$AP:$AP,Disbursements!$B:$B,Ageing!$B230,Disbursements!$AT:$AT,Ageing!L$4)</f>
        <v>0</v>
      </c>
      <c r="M230" s="369">
        <f ca="1">SUMIFS(Disbursements!$AP:$AP,Disbursements!$B:$B,Ageing!$B230,Disbursements!$AT:$AT,Ageing!M$4)</f>
        <v>0</v>
      </c>
      <c r="N230" s="369">
        <f ca="1">SUMIFS(Disbursements!$AP:$AP,Disbursements!$B:$B,Ageing!$B230,Disbursements!$AT:$AT,Ageing!N$4)</f>
        <v>0</v>
      </c>
      <c r="O230" s="369">
        <f ca="1">SUMIFS(Disbursements!$AP:$AP,Disbursements!$B:$B,Ageing!$B230,Disbursements!$AT:$AT,Ageing!O$4)</f>
        <v>0</v>
      </c>
    </row>
    <row r="231" spans="1:15" x14ac:dyDescent="0.2">
      <c r="A231" s="179" t="str">
        <f>IFERROR(VLOOKUP($B231,'Clients-Live'!$A:$C,3,30),"")</f>
        <v>MUZEE OBEN SAM</v>
      </c>
      <c r="B231" s="480">
        <v>227</v>
      </c>
      <c r="C231" s="370" t="str">
        <f>IFERROR(INDEX(Disbursements!$J:$J,MATCH(Ageing!B231,Disbursements!$B:$B,0)),"No Loan")</f>
        <v>Jerome</v>
      </c>
      <c r="D231" s="364">
        <f>SUMIF(Disbursements!$B:$B,Ageing!$B231,Disbursements!AN:AN)</f>
        <v>0</v>
      </c>
      <c r="E231" s="364">
        <f>SUMIF(Disbursements!$B:$B,Ageing!$B231,Disbursements!AO:AO)</f>
        <v>1000</v>
      </c>
      <c r="F231" s="365">
        <f t="shared" si="8"/>
        <v>1000</v>
      </c>
      <c r="G231" s="364">
        <f ca="1">SUMIF(Disbursements!$B:$B,Ageing!$B231,Disbursements!AQ:AQ)</f>
        <v>1000</v>
      </c>
      <c r="H231" s="364">
        <f ca="1">SUMIF(Disbursements!$B:$B,Ageing!$B231,Disbursements!AS:AS)</f>
        <v>1</v>
      </c>
      <c r="I231" s="364">
        <f t="shared" ca="1" si="9"/>
        <v>1</v>
      </c>
      <c r="J231" s="369">
        <f ca="1">SUMIFS(Disbursements!$AP:$AP,Disbursements!$B:$B,Ageing!$B231,Disbursements!$AT:$AT,Ageing!J$4)</f>
        <v>0</v>
      </c>
      <c r="K231" s="369">
        <f ca="1">SUMIFS(Disbursements!$AP:$AP,Disbursements!$B:$B,Ageing!$B231,Disbursements!$AT:$AT,Ageing!K$4)</f>
        <v>1000</v>
      </c>
      <c r="L231" s="369">
        <f ca="1">SUMIFS(Disbursements!$AP:$AP,Disbursements!$B:$B,Ageing!$B231,Disbursements!$AT:$AT,Ageing!L$4)</f>
        <v>0</v>
      </c>
      <c r="M231" s="369">
        <f ca="1">SUMIFS(Disbursements!$AP:$AP,Disbursements!$B:$B,Ageing!$B231,Disbursements!$AT:$AT,Ageing!M$4)</f>
        <v>0</v>
      </c>
      <c r="N231" s="369">
        <f ca="1">SUMIFS(Disbursements!$AP:$AP,Disbursements!$B:$B,Ageing!$B231,Disbursements!$AT:$AT,Ageing!N$4)</f>
        <v>0</v>
      </c>
      <c r="O231" s="369">
        <f ca="1">SUMIFS(Disbursements!$AP:$AP,Disbursements!$B:$B,Ageing!$B231,Disbursements!$AT:$AT,Ageing!O$4)</f>
        <v>0</v>
      </c>
    </row>
    <row r="232" spans="1:15" x14ac:dyDescent="0.2">
      <c r="A232" s="179" t="str">
        <f>IFERROR(VLOOKUP($B232,'Clients-Live'!$A:$C,3,30),"")</f>
        <v>DADA ISAAC</v>
      </c>
      <c r="B232" s="480">
        <v>228</v>
      </c>
      <c r="C232" s="370" t="str">
        <f>IFERROR(INDEX(Disbursements!$J:$J,MATCH(Ageing!B232,Disbursements!$B:$B,0)),"No Loan")</f>
        <v>Aroma</v>
      </c>
      <c r="D232" s="364">
        <f>SUMIF(Disbursements!$B:$B,Ageing!$B232,Disbursements!AN:AN)</f>
        <v>208000</v>
      </c>
      <c r="E232" s="364">
        <f>SUMIF(Disbursements!$B:$B,Ageing!$B232,Disbursements!AO:AO)</f>
        <v>803000</v>
      </c>
      <c r="F232" s="365">
        <f t="shared" si="8"/>
        <v>1011000</v>
      </c>
      <c r="G232" s="364">
        <f ca="1">SUMIF(Disbursements!$B:$B,Ageing!$B232,Disbursements!AQ:AQ)</f>
        <v>1011000</v>
      </c>
      <c r="H232" s="364">
        <f ca="1">SUMIF(Disbursements!$B:$B,Ageing!$B232,Disbursements!AS:AS)</f>
        <v>123</v>
      </c>
      <c r="I232" s="364">
        <f t="shared" ca="1" si="9"/>
        <v>2</v>
      </c>
      <c r="J232" s="369">
        <f ca="1">SUMIFS(Disbursements!$AP:$AP,Disbursements!$B:$B,Ageing!$B232,Disbursements!$AT:$AT,Ageing!J$4)</f>
        <v>0</v>
      </c>
      <c r="K232" s="369">
        <f ca="1">SUMIFS(Disbursements!$AP:$AP,Disbursements!$B:$B,Ageing!$B232,Disbursements!$AT:$AT,Ageing!K$4)</f>
        <v>3000</v>
      </c>
      <c r="L232" s="369">
        <f ca="1">SUMIFS(Disbursements!$AP:$AP,Disbursements!$B:$B,Ageing!$B232,Disbursements!$AT:$AT,Ageing!L$4)</f>
        <v>0</v>
      </c>
      <c r="M232" s="369">
        <f ca="1">SUMIFS(Disbursements!$AP:$AP,Disbursements!$B:$B,Ageing!$B232,Disbursements!$AT:$AT,Ageing!M$4)</f>
        <v>0</v>
      </c>
      <c r="N232" s="369">
        <f ca="1">SUMIFS(Disbursements!$AP:$AP,Disbursements!$B:$B,Ageing!$B232,Disbursements!$AT:$AT,Ageing!N$4)</f>
        <v>1008000</v>
      </c>
      <c r="O232" s="369">
        <f ca="1">SUMIFS(Disbursements!$AP:$AP,Disbursements!$B:$B,Ageing!$B232,Disbursements!$AT:$AT,Ageing!O$4)</f>
        <v>0</v>
      </c>
    </row>
    <row r="233" spans="1:15" x14ac:dyDescent="0.2">
      <c r="A233" s="179" t="str">
        <f>IFERROR(VLOOKUP($B233,'Clients-Live'!$A:$C,3,30),"")</f>
        <v>DAWA ANNET</v>
      </c>
      <c r="B233" s="480">
        <v>229</v>
      </c>
      <c r="C233" s="370" t="str">
        <f>IFERROR(INDEX(Disbursements!$J:$J,MATCH(Ageing!B233,Disbursements!$B:$B,0)),"No Loan")</f>
        <v>Kana</v>
      </c>
      <c r="D233" s="364">
        <f>SUMIF(Disbursements!$B:$B,Ageing!$B233,Disbursements!AN:AN)</f>
        <v>792000</v>
      </c>
      <c r="E233" s="364">
        <f>SUMIF(Disbursements!$B:$B,Ageing!$B233,Disbursements!AO:AO)</f>
        <v>1978000</v>
      </c>
      <c r="F233" s="365">
        <f t="shared" si="8"/>
        <v>2770000</v>
      </c>
      <c r="G233" s="364">
        <f ca="1">SUMIF(Disbursements!$B:$B,Ageing!$B233,Disbursements!AQ:AQ)</f>
        <v>2770000</v>
      </c>
      <c r="H233" s="364">
        <f ca="1">SUMIF(Disbursements!$B:$B,Ageing!$B233,Disbursements!AS:AS)</f>
        <v>254</v>
      </c>
      <c r="I233" s="364">
        <f t="shared" ca="1" si="9"/>
        <v>2</v>
      </c>
      <c r="J233" s="369">
        <f ca="1">SUMIFS(Disbursements!$AP:$AP,Disbursements!$B:$B,Ageing!$B233,Disbursements!$AT:$AT,Ageing!J$4)</f>
        <v>0</v>
      </c>
      <c r="K233" s="369">
        <f ca="1">SUMIFS(Disbursements!$AP:$AP,Disbursements!$B:$B,Ageing!$B233,Disbursements!$AT:$AT,Ageing!K$4)</f>
        <v>0</v>
      </c>
      <c r="L233" s="369">
        <f ca="1">SUMIFS(Disbursements!$AP:$AP,Disbursements!$B:$B,Ageing!$B233,Disbursements!$AT:$AT,Ageing!L$4)</f>
        <v>0</v>
      </c>
      <c r="M233" s="369">
        <f ca="1">SUMIFS(Disbursements!$AP:$AP,Disbursements!$B:$B,Ageing!$B233,Disbursements!$AT:$AT,Ageing!M$4)</f>
        <v>682000</v>
      </c>
      <c r="N233" s="369">
        <f ca="1">SUMIFS(Disbursements!$AP:$AP,Disbursements!$B:$B,Ageing!$B233,Disbursements!$AT:$AT,Ageing!N$4)</f>
        <v>2088000</v>
      </c>
      <c r="O233" s="369">
        <f ca="1">SUMIFS(Disbursements!$AP:$AP,Disbursements!$B:$B,Ageing!$B233,Disbursements!$AT:$AT,Ageing!O$4)</f>
        <v>0</v>
      </c>
    </row>
    <row r="234" spans="1:15" x14ac:dyDescent="0.2">
      <c r="A234" s="179" t="str">
        <f>IFERROR(VLOOKUP($B234,'Clients-Live'!$A:$C,3,30),"")</f>
        <v>ANGAIKA SALFA</v>
      </c>
      <c r="B234" s="480">
        <v>230</v>
      </c>
      <c r="C234" s="370" t="str">
        <f>IFERROR(INDEX(Disbursements!$J:$J,MATCH(Ageing!B234,Disbursements!$B:$B,0)),"No Loan")</f>
        <v>Kana</v>
      </c>
      <c r="D234" s="364">
        <f>SUMIF(Disbursements!$B:$B,Ageing!$B234,Disbursements!AN:AN)</f>
        <v>0</v>
      </c>
      <c r="E234" s="364">
        <f>SUMIF(Disbursements!$B:$B,Ageing!$B234,Disbursements!AO:AO)</f>
        <v>0</v>
      </c>
      <c r="F234" s="365">
        <f t="shared" si="8"/>
        <v>0</v>
      </c>
      <c r="G234" s="364">
        <f ca="1">SUMIF(Disbursements!$B:$B,Ageing!$B234,Disbursements!AQ:AQ)</f>
        <v>0</v>
      </c>
      <c r="H234" s="364">
        <f ca="1">SUMIF(Disbursements!$B:$B,Ageing!$B234,Disbursements!AS:AS)</f>
        <v>0</v>
      </c>
      <c r="I234" s="364">
        <f t="shared" si="9"/>
        <v>0</v>
      </c>
      <c r="J234" s="369">
        <f>SUMIFS(Disbursements!$AP:$AP,Disbursements!$B:$B,Ageing!$B234,Disbursements!$AT:$AT,Ageing!J$4)</f>
        <v>0</v>
      </c>
      <c r="K234" s="369">
        <f>SUMIFS(Disbursements!$AP:$AP,Disbursements!$B:$B,Ageing!$B234,Disbursements!$AT:$AT,Ageing!K$4)</f>
        <v>0</v>
      </c>
      <c r="L234" s="369">
        <f>SUMIFS(Disbursements!$AP:$AP,Disbursements!$B:$B,Ageing!$B234,Disbursements!$AT:$AT,Ageing!L$4)</f>
        <v>0</v>
      </c>
      <c r="M234" s="369">
        <f>SUMIFS(Disbursements!$AP:$AP,Disbursements!$B:$B,Ageing!$B234,Disbursements!$AT:$AT,Ageing!M$4)</f>
        <v>0</v>
      </c>
      <c r="N234" s="369">
        <f>SUMIFS(Disbursements!$AP:$AP,Disbursements!$B:$B,Ageing!$B234,Disbursements!$AT:$AT,Ageing!N$4)</f>
        <v>0</v>
      </c>
      <c r="O234" s="369">
        <f>SUMIFS(Disbursements!$AP:$AP,Disbursements!$B:$B,Ageing!$B234,Disbursements!$AT:$AT,Ageing!O$4)</f>
        <v>0</v>
      </c>
    </row>
    <row r="235" spans="1:15" x14ac:dyDescent="0.2">
      <c r="A235" s="179" t="str">
        <f>IFERROR(VLOOKUP($B235,'Clients-Live'!$A:$C,3,30),"")</f>
        <v>AWILO JONATHAN</v>
      </c>
      <c r="B235" s="478">
        <v>231</v>
      </c>
      <c r="C235" s="370" t="str">
        <f>IFERROR(INDEX(Disbursements!$J:$J,MATCH(Ageing!B235,Disbursements!$B:$B,0)),"No Loan")</f>
        <v>No Loan</v>
      </c>
      <c r="D235" s="364">
        <f>SUMIF(Disbursements!$B:$B,Ageing!$B235,Disbursements!AN:AN)</f>
        <v>0</v>
      </c>
      <c r="E235" s="364">
        <f>SUMIF(Disbursements!$B:$B,Ageing!$B235,Disbursements!AO:AO)</f>
        <v>0</v>
      </c>
      <c r="F235" s="365">
        <f t="shared" si="8"/>
        <v>0</v>
      </c>
      <c r="G235" s="364">
        <f>SUMIF(Disbursements!$B:$B,Ageing!$B235,Disbursements!AQ:AQ)</f>
        <v>0</v>
      </c>
      <c r="H235" s="364">
        <f>SUMIF(Disbursements!$B:$B,Ageing!$B235,Disbursements!AS:AS)</f>
        <v>0</v>
      </c>
      <c r="I235" s="364">
        <f t="shared" si="9"/>
        <v>0</v>
      </c>
      <c r="J235" s="369">
        <f>SUMIFS(Disbursements!$AP:$AP,Disbursements!$B:$B,Ageing!$B235,Disbursements!$AT:$AT,Ageing!J$4)</f>
        <v>0</v>
      </c>
      <c r="K235" s="369">
        <f>SUMIFS(Disbursements!$AP:$AP,Disbursements!$B:$B,Ageing!$B235,Disbursements!$AT:$AT,Ageing!K$4)</f>
        <v>0</v>
      </c>
      <c r="L235" s="369">
        <f>SUMIFS(Disbursements!$AP:$AP,Disbursements!$B:$B,Ageing!$B235,Disbursements!$AT:$AT,Ageing!L$4)</f>
        <v>0</v>
      </c>
      <c r="M235" s="369">
        <f>SUMIFS(Disbursements!$AP:$AP,Disbursements!$B:$B,Ageing!$B235,Disbursements!$AT:$AT,Ageing!M$4)</f>
        <v>0</v>
      </c>
      <c r="N235" s="369">
        <f>SUMIFS(Disbursements!$AP:$AP,Disbursements!$B:$B,Ageing!$B235,Disbursements!$AT:$AT,Ageing!N$4)</f>
        <v>0</v>
      </c>
      <c r="O235" s="369">
        <f>SUMIFS(Disbursements!$AP:$AP,Disbursements!$B:$B,Ageing!$B235,Disbursements!$AT:$AT,Ageing!O$4)</f>
        <v>0</v>
      </c>
    </row>
    <row r="236" spans="1:15" x14ac:dyDescent="0.2">
      <c r="A236" s="179" t="str">
        <f>IFERROR(VLOOKUP($B236,'Clients-Live'!$A:$C,3,30),"")</f>
        <v>LEMERIGA GEOFFREY</v>
      </c>
      <c r="B236" s="478">
        <v>232</v>
      </c>
      <c r="C236" s="370" t="str">
        <f>IFERROR(INDEX(Disbursements!$J:$J,MATCH(Ageing!B236,Disbursements!$B:$B,0)),"No Loan")</f>
        <v>Aroma</v>
      </c>
      <c r="D236" s="364">
        <f>SUMIF(Disbursements!$B:$B,Ageing!$B236,Disbursements!AN:AN)</f>
        <v>0</v>
      </c>
      <c r="E236" s="364">
        <f>SUMIF(Disbursements!$B:$B,Ageing!$B236,Disbursements!AO:AO)</f>
        <v>0</v>
      </c>
      <c r="F236" s="365">
        <f t="shared" si="8"/>
        <v>0</v>
      </c>
      <c r="G236" s="364">
        <f ca="1">SUMIF(Disbursements!$B:$B,Ageing!$B236,Disbursements!AQ:AQ)</f>
        <v>0</v>
      </c>
      <c r="H236" s="364">
        <f ca="1">SUMIF(Disbursements!$B:$B,Ageing!$B236,Disbursements!AS:AS)</f>
        <v>0</v>
      </c>
      <c r="I236" s="364">
        <f t="shared" si="9"/>
        <v>0</v>
      </c>
      <c r="J236" s="369">
        <f>SUMIFS(Disbursements!$AP:$AP,Disbursements!$B:$B,Ageing!$B236,Disbursements!$AT:$AT,Ageing!J$4)</f>
        <v>0</v>
      </c>
      <c r="K236" s="369">
        <f>SUMIFS(Disbursements!$AP:$AP,Disbursements!$B:$B,Ageing!$B236,Disbursements!$AT:$AT,Ageing!K$4)</f>
        <v>0</v>
      </c>
      <c r="L236" s="369">
        <f>SUMIFS(Disbursements!$AP:$AP,Disbursements!$B:$B,Ageing!$B236,Disbursements!$AT:$AT,Ageing!L$4)</f>
        <v>0</v>
      </c>
      <c r="M236" s="369">
        <f>SUMIFS(Disbursements!$AP:$AP,Disbursements!$B:$B,Ageing!$B236,Disbursements!$AT:$AT,Ageing!M$4)</f>
        <v>0</v>
      </c>
      <c r="N236" s="369">
        <f>SUMIFS(Disbursements!$AP:$AP,Disbursements!$B:$B,Ageing!$B236,Disbursements!$AT:$AT,Ageing!N$4)</f>
        <v>0</v>
      </c>
      <c r="O236" s="369">
        <f>SUMIFS(Disbursements!$AP:$AP,Disbursements!$B:$B,Ageing!$B236,Disbursements!$AT:$AT,Ageing!O$4)</f>
        <v>0</v>
      </c>
    </row>
    <row r="237" spans="1:15" x14ac:dyDescent="0.2">
      <c r="A237" s="179" t="str">
        <f>IFERROR(VLOOKUP($B237,'Clients-Live'!$A:$C,3,30),"")</f>
        <v>KAMOYO HARRIET</v>
      </c>
      <c r="B237" s="478">
        <v>233</v>
      </c>
      <c r="C237" s="370" t="str">
        <f>IFERROR(INDEX(Disbursements!$J:$J,MATCH(Ageing!B237,Disbursements!$B:$B,0)),"No Loan")</f>
        <v>Aroma</v>
      </c>
      <c r="D237" s="364">
        <f>SUMIF(Disbursements!$B:$B,Ageing!$B237,Disbursements!AN:AN)</f>
        <v>66000</v>
      </c>
      <c r="E237" s="364">
        <f>SUMIF(Disbursements!$B:$B,Ageing!$B237,Disbursements!AO:AO)</f>
        <v>301000</v>
      </c>
      <c r="F237" s="365">
        <f t="shared" si="8"/>
        <v>367000</v>
      </c>
      <c r="G237" s="364">
        <f ca="1">SUMIF(Disbursements!$B:$B,Ageing!$B237,Disbursements!AQ:AQ)</f>
        <v>367000</v>
      </c>
      <c r="H237" s="364">
        <f ca="1">SUMIF(Disbursements!$B:$B,Ageing!$B237,Disbursements!AS:AS)</f>
        <v>70</v>
      </c>
      <c r="I237" s="364">
        <f t="shared" ca="1" si="9"/>
        <v>1</v>
      </c>
      <c r="J237" s="369">
        <f ca="1">SUMIFS(Disbursements!$AP:$AP,Disbursements!$B:$B,Ageing!$B237,Disbursements!$AT:$AT,Ageing!J$4)</f>
        <v>0</v>
      </c>
      <c r="K237" s="369">
        <f ca="1">SUMIFS(Disbursements!$AP:$AP,Disbursements!$B:$B,Ageing!$B237,Disbursements!$AT:$AT,Ageing!K$4)</f>
        <v>0</v>
      </c>
      <c r="L237" s="369">
        <f ca="1">SUMIFS(Disbursements!$AP:$AP,Disbursements!$B:$B,Ageing!$B237,Disbursements!$AT:$AT,Ageing!L$4)</f>
        <v>0</v>
      </c>
      <c r="M237" s="369">
        <f ca="1">SUMIFS(Disbursements!$AP:$AP,Disbursements!$B:$B,Ageing!$B237,Disbursements!$AT:$AT,Ageing!M$4)</f>
        <v>367000</v>
      </c>
      <c r="N237" s="369">
        <f ca="1">SUMIFS(Disbursements!$AP:$AP,Disbursements!$B:$B,Ageing!$B237,Disbursements!$AT:$AT,Ageing!N$4)</f>
        <v>0</v>
      </c>
      <c r="O237" s="369">
        <f ca="1">SUMIFS(Disbursements!$AP:$AP,Disbursements!$B:$B,Ageing!$B237,Disbursements!$AT:$AT,Ageing!O$4)</f>
        <v>0</v>
      </c>
    </row>
    <row r="238" spans="1:15" x14ac:dyDescent="0.2">
      <c r="A238" s="179" t="str">
        <f>IFERROR(VLOOKUP($B238,'Clients-Live'!$A:$C,3,30),"")</f>
        <v>SUDI YASIR</v>
      </c>
      <c r="B238" s="478">
        <v>234</v>
      </c>
      <c r="C238" s="370" t="str">
        <f>IFERROR(INDEX(Disbursements!$J:$J,MATCH(Ageing!B238,Disbursements!$B:$B,0)),"No Loan")</f>
        <v>Aroma</v>
      </c>
      <c r="D238" s="364">
        <f>SUMIF(Disbursements!$B:$B,Ageing!$B238,Disbursements!AN:AN)</f>
        <v>0</v>
      </c>
      <c r="E238" s="364">
        <f>SUMIF(Disbursements!$B:$B,Ageing!$B238,Disbursements!AO:AO)</f>
        <v>2000</v>
      </c>
      <c r="F238" s="365">
        <f t="shared" si="8"/>
        <v>2000</v>
      </c>
      <c r="G238" s="364">
        <f ca="1">SUMIF(Disbursements!$B:$B,Ageing!$B238,Disbursements!AQ:AQ)</f>
        <v>2000</v>
      </c>
      <c r="H238" s="364">
        <f ca="1">SUMIF(Disbursements!$B:$B,Ageing!$B238,Disbursements!AS:AS)</f>
        <v>1</v>
      </c>
      <c r="I238" s="364">
        <f t="shared" ca="1" si="9"/>
        <v>1</v>
      </c>
      <c r="J238" s="369">
        <f ca="1">SUMIFS(Disbursements!$AP:$AP,Disbursements!$B:$B,Ageing!$B238,Disbursements!$AT:$AT,Ageing!J$4)</f>
        <v>0</v>
      </c>
      <c r="K238" s="369">
        <f ca="1">SUMIFS(Disbursements!$AP:$AP,Disbursements!$B:$B,Ageing!$B238,Disbursements!$AT:$AT,Ageing!K$4)</f>
        <v>2000</v>
      </c>
      <c r="L238" s="369">
        <f ca="1">SUMIFS(Disbursements!$AP:$AP,Disbursements!$B:$B,Ageing!$B238,Disbursements!$AT:$AT,Ageing!L$4)</f>
        <v>0</v>
      </c>
      <c r="M238" s="369">
        <f ca="1">SUMIFS(Disbursements!$AP:$AP,Disbursements!$B:$B,Ageing!$B238,Disbursements!$AT:$AT,Ageing!M$4)</f>
        <v>0</v>
      </c>
      <c r="N238" s="369">
        <f ca="1">SUMIFS(Disbursements!$AP:$AP,Disbursements!$B:$B,Ageing!$B238,Disbursements!$AT:$AT,Ageing!N$4)</f>
        <v>0</v>
      </c>
      <c r="O238" s="369">
        <f ca="1">SUMIFS(Disbursements!$AP:$AP,Disbursements!$B:$B,Ageing!$B238,Disbursements!$AT:$AT,Ageing!O$4)</f>
        <v>0</v>
      </c>
    </row>
    <row r="239" spans="1:15" x14ac:dyDescent="0.2">
      <c r="A239" s="179" t="str">
        <f>IFERROR(VLOOKUP($B239,'Clients-Live'!$A:$C,3,30),"")</f>
        <v>AMULE ISAAC</v>
      </c>
      <c r="B239" s="478">
        <v>235</v>
      </c>
      <c r="C239" s="370" t="str">
        <f>IFERROR(INDEX(Disbursements!$J:$J,MATCH(Ageing!B239,Disbursements!$B:$B,0)),"No Loan")</f>
        <v>Jerome</v>
      </c>
      <c r="D239" s="364">
        <f>SUMIF(Disbursements!$B:$B,Ageing!$B239,Disbursements!AN:AN)</f>
        <v>0</v>
      </c>
      <c r="E239" s="364">
        <f>SUMIF(Disbursements!$B:$B,Ageing!$B239,Disbursements!AO:AO)</f>
        <v>530000</v>
      </c>
      <c r="F239" s="365">
        <f t="shared" si="8"/>
        <v>530000</v>
      </c>
      <c r="G239" s="364">
        <f ca="1">SUMIF(Disbursements!$B:$B,Ageing!$B239,Disbursements!AQ:AQ)</f>
        <v>530000</v>
      </c>
      <c r="H239" s="364">
        <f ca="1">SUMIF(Disbursements!$B:$B,Ageing!$B239,Disbursements!AS:AS)</f>
        <v>24</v>
      </c>
      <c r="I239" s="364">
        <f t="shared" ca="1" si="9"/>
        <v>1</v>
      </c>
      <c r="J239" s="369">
        <f ca="1">SUMIFS(Disbursements!$AP:$AP,Disbursements!$B:$B,Ageing!$B239,Disbursements!$AT:$AT,Ageing!J$4)</f>
        <v>0</v>
      </c>
      <c r="K239" s="369">
        <f ca="1">SUMIFS(Disbursements!$AP:$AP,Disbursements!$B:$B,Ageing!$B239,Disbursements!$AT:$AT,Ageing!K$4)</f>
        <v>530000</v>
      </c>
      <c r="L239" s="369">
        <f ca="1">SUMIFS(Disbursements!$AP:$AP,Disbursements!$B:$B,Ageing!$B239,Disbursements!$AT:$AT,Ageing!L$4)</f>
        <v>0</v>
      </c>
      <c r="M239" s="369">
        <f ca="1">SUMIFS(Disbursements!$AP:$AP,Disbursements!$B:$B,Ageing!$B239,Disbursements!$AT:$AT,Ageing!M$4)</f>
        <v>0</v>
      </c>
      <c r="N239" s="369">
        <f ca="1">SUMIFS(Disbursements!$AP:$AP,Disbursements!$B:$B,Ageing!$B239,Disbursements!$AT:$AT,Ageing!N$4)</f>
        <v>0</v>
      </c>
      <c r="O239" s="369">
        <f ca="1">SUMIFS(Disbursements!$AP:$AP,Disbursements!$B:$B,Ageing!$B239,Disbursements!$AT:$AT,Ageing!O$4)</f>
        <v>0</v>
      </c>
    </row>
    <row r="240" spans="1:15" x14ac:dyDescent="0.2">
      <c r="A240" s="179" t="str">
        <f>IFERROR(VLOOKUP($B240,'Clients-Live'!$A:$C,3,30),"")</f>
        <v>AMIJI LUCY</v>
      </c>
      <c r="B240" s="478">
        <v>236</v>
      </c>
      <c r="C240" s="370" t="str">
        <f>IFERROR(INDEX(Disbursements!$J:$J,MATCH(Ageing!B240,Disbursements!$B:$B,0)),"No Loan")</f>
        <v>Kana</v>
      </c>
      <c r="D240" s="364">
        <f>SUMIF(Disbursements!$B:$B,Ageing!$B240,Disbursements!AN:AN)</f>
        <v>0</v>
      </c>
      <c r="E240" s="364">
        <f>SUMIF(Disbursements!$B:$B,Ageing!$B240,Disbursements!AO:AO)</f>
        <v>2000.0000000001164</v>
      </c>
      <c r="F240" s="365">
        <f t="shared" si="8"/>
        <v>2000.0000000001164</v>
      </c>
      <c r="G240" s="364">
        <f ca="1">SUMIF(Disbursements!$B:$B,Ageing!$B240,Disbursements!AQ:AQ)</f>
        <v>2000.0000000001164</v>
      </c>
      <c r="H240" s="364">
        <f ca="1">SUMIF(Disbursements!$B:$B,Ageing!$B240,Disbursements!AS:AS)</f>
        <v>1</v>
      </c>
      <c r="I240" s="364">
        <f t="shared" ca="1" si="9"/>
        <v>1</v>
      </c>
      <c r="J240" s="369">
        <f ca="1">SUMIFS(Disbursements!$AP:$AP,Disbursements!$B:$B,Ageing!$B240,Disbursements!$AT:$AT,Ageing!J$4)</f>
        <v>0</v>
      </c>
      <c r="K240" s="369">
        <f ca="1">SUMIFS(Disbursements!$AP:$AP,Disbursements!$B:$B,Ageing!$B240,Disbursements!$AT:$AT,Ageing!K$4)</f>
        <v>2000.0000000001164</v>
      </c>
      <c r="L240" s="369">
        <f ca="1">SUMIFS(Disbursements!$AP:$AP,Disbursements!$B:$B,Ageing!$B240,Disbursements!$AT:$AT,Ageing!L$4)</f>
        <v>0</v>
      </c>
      <c r="M240" s="369">
        <f ca="1">SUMIFS(Disbursements!$AP:$AP,Disbursements!$B:$B,Ageing!$B240,Disbursements!$AT:$AT,Ageing!M$4)</f>
        <v>0</v>
      </c>
      <c r="N240" s="369">
        <f ca="1">SUMIFS(Disbursements!$AP:$AP,Disbursements!$B:$B,Ageing!$B240,Disbursements!$AT:$AT,Ageing!N$4)</f>
        <v>0</v>
      </c>
      <c r="O240" s="369">
        <f ca="1">SUMIFS(Disbursements!$AP:$AP,Disbursements!$B:$B,Ageing!$B240,Disbursements!$AT:$AT,Ageing!O$4)</f>
        <v>0</v>
      </c>
    </row>
    <row r="241" spans="1:15" x14ac:dyDescent="0.2">
      <c r="A241" s="179" t="str">
        <f>IFERROR(VLOOKUP($B241,'Clients-Live'!$A:$C,3,30),"")</f>
        <v>EZRA INNOCENT</v>
      </c>
      <c r="B241" s="478">
        <v>237</v>
      </c>
      <c r="C241" s="370" t="str">
        <f>IFERROR(INDEX(Disbursements!$J:$J,MATCH(Ageing!B241,Disbursements!$B:$B,0)),"No Loan")</f>
        <v>Kana</v>
      </c>
      <c r="D241" s="364">
        <f>SUMIF(Disbursements!$B:$B,Ageing!$B241,Disbursements!AN:AN)</f>
        <v>233000</v>
      </c>
      <c r="E241" s="364">
        <f>SUMIF(Disbursements!$B:$B,Ageing!$B241,Disbursements!AO:AO)</f>
        <v>1177000</v>
      </c>
      <c r="F241" s="365">
        <f t="shared" si="8"/>
        <v>1410000</v>
      </c>
      <c r="G241" s="364">
        <f ca="1">SUMIF(Disbursements!$B:$B,Ageing!$B241,Disbursements!AQ:AQ)</f>
        <v>1410000</v>
      </c>
      <c r="H241" s="364">
        <f ca="1">SUMIF(Disbursements!$B:$B,Ageing!$B241,Disbursements!AS:AS)</f>
        <v>189</v>
      </c>
      <c r="I241" s="364">
        <f t="shared" ca="1" si="9"/>
        <v>2</v>
      </c>
      <c r="J241" s="369">
        <f ca="1">SUMIFS(Disbursements!$AP:$AP,Disbursements!$B:$B,Ageing!$B241,Disbursements!$AT:$AT,Ageing!J$4)</f>
        <v>0</v>
      </c>
      <c r="K241" s="369">
        <f ca="1">SUMIFS(Disbursements!$AP:$AP,Disbursements!$B:$B,Ageing!$B241,Disbursements!$AT:$AT,Ageing!K$4)</f>
        <v>0</v>
      </c>
      <c r="L241" s="369">
        <f ca="1">SUMIFS(Disbursements!$AP:$AP,Disbursements!$B:$B,Ageing!$B241,Disbursements!$AT:$AT,Ageing!L$4)</f>
        <v>300000</v>
      </c>
      <c r="M241" s="369">
        <f ca="1">SUMIFS(Disbursements!$AP:$AP,Disbursements!$B:$B,Ageing!$B241,Disbursements!$AT:$AT,Ageing!M$4)</f>
        <v>0</v>
      </c>
      <c r="N241" s="369">
        <f ca="1">SUMIFS(Disbursements!$AP:$AP,Disbursements!$B:$B,Ageing!$B241,Disbursements!$AT:$AT,Ageing!N$4)</f>
        <v>1110000</v>
      </c>
      <c r="O241" s="369">
        <f ca="1">SUMIFS(Disbursements!$AP:$AP,Disbursements!$B:$B,Ageing!$B241,Disbursements!$AT:$AT,Ageing!O$4)</f>
        <v>0</v>
      </c>
    </row>
    <row r="242" spans="1:15" x14ac:dyDescent="0.2">
      <c r="A242" s="179" t="str">
        <f>IFERROR(VLOOKUP($B242,'Clients-Live'!$A:$C,3,30),"")</f>
        <v>ANGAIKA SAID</v>
      </c>
      <c r="B242" s="478">
        <v>238</v>
      </c>
      <c r="C242" s="370" t="str">
        <f>IFERROR(INDEX(Disbursements!$J:$J,MATCH(Ageing!B242,Disbursements!$B:$B,0)),"No Loan")</f>
        <v>Jerome</v>
      </c>
      <c r="D242" s="364">
        <f>SUMIF(Disbursements!$B:$B,Ageing!$B242,Disbursements!AN:AN)</f>
        <v>165666.66666666669</v>
      </c>
      <c r="E242" s="364">
        <f>SUMIF(Disbursements!$B:$B,Ageing!$B242,Disbursements!AO:AO)</f>
        <v>429733.33333333337</v>
      </c>
      <c r="F242" s="365">
        <f t="shared" si="8"/>
        <v>595400</v>
      </c>
      <c r="G242" s="364">
        <f ca="1">SUMIF(Disbursements!$B:$B,Ageing!$B242,Disbursements!AQ:AQ)</f>
        <v>595400</v>
      </c>
      <c r="H242" s="364">
        <f ca="1">SUMIF(Disbursements!$B:$B,Ageing!$B242,Disbursements!AS:AS)</f>
        <v>102</v>
      </c>
      <c r="I242" s="364">
        <f t="shared" ca="1" si="9"/>
        <v>1</v>
      </c>
      <c r="J242" s="369">
        <f ca="1">SUMIFS(Disbursements!$AP:$AP,Disbursements!$B:$B,Ageing!$B242,Disbursements!$AT:$AT,Ageing!J$4)</f>
        <v>0</v>
      </c>
      <c r="K242" s="369">
        <f ca="1">SUMIFS(Disbursements!$AP:$AP,Disbursements!$B:$B,Ageing!$B242,Disbursements!$AT:$AT,Ageing!K$4)</f>
        <v>0</v>
      </c>
      <c r="L242" s="369">
        <f ca="1">SUMIFS(Disbursements!$AP:$AP,Disbursements!$B:$B,Ageing!$B242,Disbursements!$AT:$AT,Ageing!L$4)</f>
        <v>0</v>
      </c>
      <c r="M242" s="369">
        <f ca="1">SUMIFS(Disbursements!$AP:$AP,Disbursements!$B:$B,Ageing!$B242,Disbursements!$AT:$AT,Ageing!M$4)</f>
        <v>0</v>
      </c>
      <c r="N242" s="369">
        <f ca="1">SUMIFS(Disbursements!$AP:$AP,Disbursements!$B:$B,Ageing!$B242,Disbursements!$AT:$AT,Ageing!N$4)</f>
        <v>595400</v>
      </c>
      <c r="O242" s="369">
        <f ca="1">SUMIFS(Disbursements!$AP:$AP,Disbursements!$B:$B,Ageing!$B242,Disbursements!$AT:$AT,Ageing!O$4)</f>
        <v>0</v>
      </c>
    </row>
    <row r="243" spans="1:15" x14ac:dyDescent="0.2">
      <c r="A243" s="179" t="str">
        <f>IFERROR(VLOOKUP($B243,'Clients-Live'!$A:$C,3,30),"")</f>
        <v>HABIBU ABOYI ALLI</v>
      </c>
      <c r="B243" s="478">
        <v>239</v>
      </c>
      <c r="C243" s="370" t="str">
        <f>IFERROR(INDEX(Disbursements!$J:$J,MATCH(Ageing!B243,Disbursements!$B:$B,0)),"No Loan")</f>
        <v>Kana</v>
      </c>
      <c r="D243" s="364">
        <f>SUMIF(Disbursements!$B:$B,Ageing!$B243,Disbursements!AN:AN)</f>
        <v>600000</v>
      </c>
      <c r="E243" s="364">
        <f>SUMIF(Disbursements!$B:$B,Ageing!$B243,Disbursements!AO:AO)</f>
        <v>800000</v>
      </c>
      <c r="F243" s="365">
        <f t="shared" si="8"/>
        <v>1400000</v>
      </c>
      <c r="G243" s="364">
        <f ca="1">SUMIF(Disbursements!$B:$B,Ageing!$B243,Disbursements!AQ:AQ)</f>
        <v>1400000</v>
      </c>
      <c r="H243" s="364">
        <f ca="1">SUMIF(Disbursements!$B:$B,Ageing!$B243,Disbursements!AS:AS)</f>
        <v>240</v>
      </c>
      <c r="I243" s="364">
        <f t="shared" ca="1" si="9"/>
        <v>1</v>
      </c>
      <c r="J243" s="369">
        <f ca="1">SUMIFS(Disbursements!$AP:$AP,Disbursements!$B:$B,Ageing!$B243,Disbursements!$AT:$AT,Ageing!J$4)</f>
        <v>0</v>
      </c>
      <c r="K243" s="369">
        <f ca="1">SUMIFS(Disbursements!$AP:$AP,Disbursements!$B:$B,Ageing!$B243,Disbursements!$AT:$AT,Ageing!K$4)</f>
        <v>0</v>
      </c>
      <c r="L243" s="369">
        <f ca="1">SUMIFS(Disbursements!$AP:$AP,Disbursements!$B:$B,Ageing!$B243,Disbursements!$AT:$AT,Ageing!L$4)</f>
        <v>0</v>
      </c>
      <c r="M243" s="369">
        <f ca="1">SUMIFS(Disbursements!$AP:$AP,Disbursements!$B:$B,Ageing!$B243,Disbursements!$AT:$AT,Ageing!M$4)</f>
        <v>0</v>
      </c>
      <c r="N243" s="369">
        <f ca="1">SUMIFS(Disbursements!$AP:$AP,Disbursements!$B:$B,Ageing!$B243,Disbursements!$AT:$AT,Ageing!N$4)</f>
        <v>1400000</v>
      </c>
      <c r="O243" s="369">
        <f ca="1">SUMIFS(Disbursements!$AP:$AP,Disbursements!$B:$B,Ageing!$B243,Disbursements!$AT:$AT,Ageing!O$4)</f>
        <v>0</v>
      </c>
    </row>
    <row r="244" spans="1:15" x14ac:dyDescent="0.2">
      <c r="A244" s="179" t="str">
        <f>IFERROR(VLOOKUP($B244,'Clients-Live'!$A:$C,3,30),"")</f>
        <v>AYIKORU WINNIE</v>
      </c>
      <c r="B244" s="478">
        <v>240</v>
      </c>
      <c r="C244" s="370" t="str">
        <f>IFERROR(INDEX(Disbursements!$J:$J,MATCH(Ageing!B244,Disbursements!$B:$B,0)),"No Loan")</f>
        <v>Aroma</v>
      </c>
      <c r="D244" s="364">
        <f>SUMIF(Disbursements!$B:$B,Ageing!$B244,Disbursements!AN:AN)</f>
        <v>0</v>
      </c>
      <c r="E244" s="364">
        <f>SUMIF(Disbursements!$B:$B,Ageing!$B244,Disbursements!AO:AO)</f>
        <v>3500</v>
      </c>
      <c r="F244" s="365">
        <f t="shared" si="8"/>
        <v>3500</v>
      </c>
      <c r="G244" s="364">
        <f ca="1">SUMIF(Disbursements!$B:$B,Ageing!$B244,Disbursements!AQ:AQ)</f>
        <v>3500</v>
      </c>
      <c r="H244" s="364">
        <f ca="1">SUMIF(Disbursements!$B:$B,Ageing!$B244,Disbursements!AS:AS)</f>
        <v>2</v>
      </c>
      <c r="I244" s="364">
        <f t="shared" ca="1" si="9"/>
        <v>1</v>
      </c>
      <c r="J244" s="369">
        <f ca="1">SUMIFS(Disbursements!$AP:$AP,Disbursements!$B:$B,Ageing!$B244,Disbursements!$AT:$AT,Ageing!J$4)</f>
        <v>0</v>
      </c>
      <c r="K244" s="369">
        <f ca="1">SUMIFS(Disbursements!$AP:$AP,Disbursements!$B:$B,Ageing!$B244,Disbursements!$AT:$AT,Ageing!K$4)</f>
        <v>3500</v>
      </c>
      <c r="L244" s="369">
        <f ca="1">SUMIFS(Disbursements!$AP:$AP,Disbursements!$B:$B,Ageing!$B244,Disbursements!$AT:$AT,Ageing!L$4)</f>
        <v>0</v>
      </c>
      <c r="M244" s="369">
        <f ca="1">SUMIFS(Disbursements!$AP:$AP,Disbursements!$B:$B,Ageing!$B244,Disbursements!$AT:$AT,Ageing!M$4)</f>
        <v>0</v>
      </c>
      <c r="N244" s="369">
        <f ca="1">SUMIFS(Disbursements!$AP:$AP,Disbursements!$B:$B,Ageing!$B244,Disbursements!$AT:$AT,Ageing!N$4)</f>
        <v>0</v>
      </c>
      <c r="O244" s="369">
        <f ca="1">SUMIFS(Disbursements!$AP:$AP,Disbursements!$B:$B,Ageing!$B244,Disbursements!$AT:$AT,Ageing!O$4)</f>
        <v>0</v>
      </c>
    </row>
    <row r="245" spans="1:15" x14ac:dyDescent="0.2">
      <c r="A245" s="179" t="str">
        <f>IFERROR(VLOOKUP($B245,'Clients-Live'!$A:$C,3,30),"")</f>
        <v>SIRIKA FARIDA</v>
      </c>
      <c r="B245" s="478">
        <v>241</v>
      </c>
      <c r="C245" s="370" t="str">
        <f>IFERROR(INDEX(Disbursements!$J:$J,MATCH(Ageing!B245,Disbursements!$B:$B,0)),"No Loan")</f>
        <v>Jerome</v>
      </c>
      <c r="D245" s="364">
        <f>SUMIF(Disbursements!$B:$B,Ageing!$B245,Disbursements!AN:AN)</f>
        <v>0</v>
      </c>
      <c r="E245" s="364">
        <f>SUMIF(Disbursements!$B:$B,Ageing!$B245,Disbursements!AO:AO)</f>
        <v>107000</v>
      </c>
      <c r="F245" s="365">
        <f t="shared" si="8"/>
        <v>107000</v>
      </c>
      <c r="G245" s="364">
        <f ca="1">SUMIF(Disbursements!$B:$B,Ageing!$B245,Disbursements!AQ:AQ)</f>
        <v>107000</v>
      </c>
      <c r="H245" s="364">
        <f ca="1">SUMIF(Disbursements!$B:$B,Ageing!$B245,Disbursements!AS:AS)</f>
        <v>26</v>
      </c>
      <c r="I245" s="364">
        <f t="shared" ca="1" si="9"/>
        <v>1</v>
      </c>
      <c r="J245" s="369">
        <f ca="1">SUMIFS(Disbursements!$AP:$AP,Disbursements!$B:$B,Ageing!$B245,Disbursements!$AT:$AT,Ageing!J$4)</f>
        <v>0</v>
      </c>
      <c r="K245" s="369">
        <f ca="1">SUMIFS(Disbursements!$AP:$AP,Disbursements!$B:$B,Ageing!$B245,Disbursements!$AT:$AT,Ageing!K$4)</f>
        <v>107000</v>
      </c>
      <c r="L245" s="369">
        <f ca="1">SUMIFS(Disbursements!$AP:$AP,Disbursements!$B:$B,Ageing!$B245,Disbursements!$AT:$AT,Ageing!L$4)</f>
        <v>0</v>
      </c>
      <c r="M245" s="369">
        <f ca="1">SUMIFS(Disbursements!$AP:$AP,Disbursements!$B:$B,Ageing!$B245,Disbursements!$AT:$AT,Ageing!M$4)</f>
        <v>0</v>
      </c>
      <c r="N245" s="369">
        <f ca="1">SUMIFS(Disbursements!$AP:$AP,Disbursements!$B:$B,Ageing!$B245,Disbursements!$AT:$AT,Ageing!N$4)</f>
        <v>0</v>
      </c>
      <c r="O245" s="369">
        <f ca="1">SUMIFS(Disbursements!$AP:$AP,Disbursements!$B:$B,Ageing!$B245,Disbursements!$AT:$AT,Ageing!O$4)</f>
        <v>0</v>
      </c>
    </row>
    <row r="246" spans="1:15" x14ac:dyDescent="0.2">
      <c r="A246" s="179" t="str">
        <f>IFERROR(VLOOKUP($B246,'Clients-Live'!$A:$C,3,30),"")</f>
        <v>BAKOKO FLAVIA</v>
      </c>
      <c r="B246" s="478">
        <v>242</v>
      </c>
      <c r="C246" s="370" t="str">
        <f>IFERROR(INDEX(Disbursements!$J:$J,MATCH(Ageing!B246,Disbursements!$B:$B,0)),"No Loan")</f>
        <v>Jerome</v>
      </c>
      <c r="D246" s="364">
        <f>SUMIF(Disbursements!$B:$B,Ageing!$B246,Disbursements!AN:AN)</f>
        <v>-5.8207660913467407E-11</v>
      </c>
      <c r="E246" s="364">
        <f>SUMIF(Disbursements!$B:$B,Ageing!$B246,Disbursements!AO:AO)</f>
        <v>1700.0000000001164</v>
      </c>
      <c r="F246" s="365">
        <f t="shared" si="8"/>
        <v>1700.0000000000582</v>
      </c>
      <c r="G246" s="364">
        <f ca="1">SUMIF(Disbursements!$B:$B,Ageing!$B246,Disbursements!AQ:AQ)</f>
        <v>1700.0000000000582</v>
      </c>
      <c r="H246" s="364">
        <f ca="1">SUMIF(Disbursements!$B:$B,Ageing!$B246,Disbursements!AS:AS)</f>
        <v>1</v>
      </c>
      <c r="I246" s="364">
        <f t="shared" ca="1" si="9"/>
        <v>1</v>
      </c>
      <c r="J246" s="369">
        <f ca="1">SUMIFS(Disbursements!$AP:$AP,Disbursements!$B:$B,Ageing!$B246,Disbursements!$AT:$AT,Ageing!J$4)</f>
        <v>0</v>
      </c>
      <c r="K246" s="369">
        <f ca="1">SUMIFS(Disbursements!$AP:$AP,Disbursements!$B:$B,Ageing!$B246,Disbursements!$AT:$AT,Ageing!K$4)</f>
        <v>1700.0000000000582</v>
      </c>
      <c r="L246" s="369">
        <f ca="1">SUMIFS(Disbursements!$AP:$AP,Disbursements!$B:$B,Ageing!$B246,Disbursements!$AT:$AT,Ageing!L$4)</f>
        <v>0</v>
      </c>
      <c r="M246" s="369">
        <f ca="1">SUMIFS(Disbursements!$AP:$AP,Disbursements!$B:$B,Ageing!$B246,Disbursements!$AT:$AT,Ageing!M$4)</f>
        <v>0</v>
      </c>
      <c r="N246" s="369">
        <f ca="1">SUMIFS(Disbursements!$AP:$AP,Disbursements!$B:$B,Ageing!$B246,Disbursements!$AT:$AT,Ageing!N$4)</f>
        <v>0</v>
      </c>
      <c r="O246" s="369">
        <f ca="1">SUMIFS(Disbursements!$AP:$AP,Disbursements!$B:$B,Ageing!$B246,Disbursements!$AT:$AT,Ageing!O$4)</f>
        <v>0</v>
      </c>
    </row>
    <row r="247" spans="1:15" x14ac:dyDescent="0.2">
      <c r="A247" s="179" t="str">
        <f>IFERROR(VLOOKUP($B247,'Clients-Live'!$A:$C,3,30),"")</f>
        <v>AMANIYO FARIDA</v>
      </c>
      <c r="B247" s="478">
        <v>243</v>
      </c>
      <c r="C247" s="370" t="str">
        <f>IFERROR(INDEX(Disbursements!$J:$J,MATCH(Ageing!B247,Disbursements!$B:$B,0)),"No Loan")</f>
        <v>Kana</v>
      </c>
      <c r="D247" s="364">
        <f>SUMIF(Disbursements!$B:$B,Ageing!$B247,Disbursements!AN:AN)</f>
        <v>0</v>
      </c>
      <c r="E247" s="364">
        <f>SUMIF(Disbursements!$B:$B,Ageing!$B247,Disbursements!AO:AO)</f>
        <v>0</v>
      </c>
      <c r="F247" s="365">
        <f t="shared" si="8"/>
        <v>0</v>
      </c>
      <c r="G247" s="364">
        <f ca="1">SUMIF(Disbursements!$B:$B,Ageing!$B247,Disbursements!AQ:AQ)</f>
        <v>0</v>
      </c>
      <c r="H247" s="364">
        <f ca="1">SUMIF(Disbursements!$B:$B,Ageing!$B247,Disbursements!AS:AS)</f>
        <v>0</v>
      </c>
      <c r="I247" s="364">
        <f t="shared" si="9"/>
        <v>0</v>
      </c>
      <c r="J247" s="369">
        <f>SUMIFS(Disbursements!$AP:$AP,Disbursements!$B:$B,Ageing!$B247,Disbursements!$AT:$AT,Ageing!J$4)</f>
        <v>0</v>
      </c>
      <c r="K247" s="369">
        <f>SUMIFS(Disbursements!$AP:$AP,Disbursements!$B:$B,Ageing!$B247,Disbursements!$AT:$AT,Ageing!K$4)</f>
        <v>0</v>
      </c>
      <c r="L247" s="369">
        <f>SUMIFS(Disbursements!$AP:$AP,Disbursements!$B:$B,Ageing!$B247,Disbursements!$AT:$AT,Ageing!L$4)</f>
        <v>0</v>
      </c>
      <c r="M247" s="369">
        <f>SUMIFS(Disbursements!$AP:$AP,Disbursements!$B:$B,Ageing!$B247,Disbursements!$AT:$AT,Ageing!M$4)</f>
        <v>0</v>
      </c>
      <c r="N247" s="369">
        <f>SUMIFS(Disbursements!$AP:$AP,Disbursements!$B:$B,Ageing!$B247,Disbursements!$AT:$AT,Ageing!N$4)</f>
        <v>0</v>
      </c>
      <c r="O247" s="369">
        <f>SUMIFS(Disbursements!$AP:$AP,Disbursements!$B:$B,Ageing!$B247,Disbursements!$AT:$AT,Ageing!O$4)</f>
        <v>0</v>
      </c>
    </row>
    <row r="248" spans="1:15" x14ac:dyDescent="0.2">
      <c r="A248" s="179" t="str">
        <f>IFERROR(VLOOKUP($B248,'Clients-Live'!$A:$C,3,30),"")</f>
        <v>GISMA HAMID ALI</v>
      </c>
      <c r="B248" s="478">
        <v>244</v>
      </c>
      <c r="C248" s="370" t="str">
        <f>IFERROR(INDEX(Disbursements!$J:$J,MATCH(Ageing!B248,Disbursements!$B:$B,0)),"No Loan")</f>
        <v>Kana</v>
      </c>
      <c r="D248" s="364">
        <f>SUMIF(Disbursements!$B:$B,Ageing!$B248,Disbursements!AN:AN)</f>
        <v>0</v>
      </c>
      <c r="E248" s="364">
        <f>SUMIF(Disbursements!$B:$B,Ageing!$B248,Disbursements!AO:AO)</f>
        <v>0</v>
      </c>
      <c r="F248" s="365">
        <f t="shared" si="8"/>
        <v>0</v>
      </c>
      <c r="G248" s="364">
        <f ca="1">SUMIF(Disbursements!$B:$B,Ageing!$B248,Disbursements!AQ:AQ)</f>
        <v>0</v>
      </c>
      <c r="H248" s="364">
        <f ca="1">SUMIF(Disbursements!$B:$B,Ageing!$B248,Disbursements!AS:AS)</f>
        <v>0</v>
      </c>
      <c r="I248" s="364">
        <f t="shared" si="9"/>
        <v>0</v>
      </c>
      <c r="J248" s="369">
        <f>SUMIFS(Disbursements!$AP:$AP,Disbursements!$B:$B,Ageing!$B248,Disbursements!$AT:$AT,Ageing!J$4)</f>
        <v>0</v>
      </c>
      <c r="K248" s="369">
        <f>SUMIFS(Disbursements!$AP:$AP,Disbursements!$B:$B,Ageing!$B248,Disbursements!$AT:$AT,Ageing!K$4)</f>
        <v>0</v>
      </c>
      <c r="L248" s="369">
        <f>SUMIFS(Disbursements!$AP:$AP,Disbursements!$B:$B,Ageing!$B248,Disbursements!$AT:$AT,Ageing!L$4)</f>
        <v>0</v>
      </c>
      <c r="M248" s="369">
        <f>SUMIFS(Disbursements!$AP:$AP,Disbursements!$B:$B,Ageing!$B248,Disbursements!$AT:$AT,Ageing!M$4)</f>
        <v>0</v>
      </c>
      <c r="N248" s="369">
        <f>SUMIFS(Disbursements!$AP:$AP,Disbursements!$B:$B,Ageing!$B248,Disbursements!$AT:$AT,Ageing!N$4)</f>
        <v>0</v>
      </c>
      <c r="O248" s="369">
        <f>SUMIFS(Disbursements!$AP:$AP,Disbursements!$B:$B,Ageing!$B248,Disbursements!$AT:$AT,Ageing!O$4)</f>
        <v>0</v>
      </c>
    </row>
    <row r="249" spans="1:15" x14ac:dyDescent="0.2">
      <c r="A249" s="179" t="str">
        <f>IFERROR(VLOOKUP($B249,'Clients-Live'!$A:$C,3,30),"")</f>
        <v>ONJIMA BASHIR</v>
      </c>
      <c r="B249" s="478">
        <v>245</v>
      </c>
      <c r="C249" s="370" t="str">
        <f>IFERROR(INDEX(Disbursements!$J:$J,MATCH(Ageing!B249,Disbursements!$B:$B,0)),"No Loan")</f>
        <v>Aroma</v>
      </c>
      <c r="D249" s="364">
        <f>SUMIF(Disbursements!$B:$B,Ageing!$B249,Disbursements!AN:AN)</f>
        <v>0</v>
      </c>
      <c r="E249" s="364">
        <f>SUMIF(Disbursements!$B:$B,Ageing!$B249,Disbursements!AO:AO)</f>
        <v>500</v>
      </c>
      <c r="F249" s="365">
        <f t="shared" si="8"/>
        <v>500</v>
      </c>
      <c r="G249" s="364">
        <f ca="1">SUMIF(Disbursements!$B:$B,Ageing!$B249,Disbursements!AQ:AQ)</f>
        <v>500</v>
      </c>
      <c r="H249" s="364">
        <f ca="1">SUMIF(Disbursements!$B:$B,Ageing!$B249,Disbursements!AS:AS)</f>
        <v>1</v>
      </c>
      <c r="I249" s="364">
        <f t="shared" ca="1" si="9"/>
        <v>1</v>
      </c>
      <c r="J249" s="369">
        <f ca="1">SUMIFS(Disbursements!$AP:$AP,Disbursements!$B:$B,Ageing!$B249,Disbursements!$AT:$AT,Ageing!J$4)</f>
        <v>0</v>
      </c>
      <c r="K249" s="369">
        <f ca="1">SUMIFS(Disbursements!$AP:$AP,Disbursements!$B:$B,Ageing!$B249,Disbursements!$AT:$AT,Ageing!K$4)</f>
        <v>500</v>
      </c>
      <c r="L249" s="369">
        <f ca="1">SUMIFS(Disbursements!$AP:$AP,Disbursements!$B:$B,Ageing!$B249,Disbursements!$AT:$AT,Ageing!L$4)</f>
        <v>0</v>
      </c>
      <c r="M249" s="369">
        <f ca="1">SUMIFS(Disbursements!$AP:$AP,Disbursements!$B:$B,Ageing!$B249,Disbursements!$AT:$AT,Ageing!M$4)</f>
        <v>0</v>
      </c>
      <c r="N249" s="369">
        <f ca="1">SUMIFS(Disbursements!$AP:$AP,Disbursements!$B:$B,Ageing!$B249,Disbursements!$AT:$AT,Ageing!N$4)</f>
        <v>0</v>
      </c>
      <c r="O249" s="369">
        <f ca="1">SUMIFS(Disbursements!$AP:$AP,Disbursements!$B:$B,Ageing!$B249,Disbursements!$AT:$AT,Ageing!O$4)</f>
        <v>0</v>
      </c>
    </row>
    <row r="250" spans="1:15" x14ac:dyDescent="0.2">
      <c r="A250" s="179" t="str">
        <f>IFERROR(VLOOKUP($B250,'Clients-Live'!$A:$C,3,30),"")</f>
        <v>ALOMO ZAIDA</v>
      </c>
      <c r="B250" s="478">
        <v>246</v>
      </c>
      <c r="C250" s="370" t="str">
        <f>IFERROR(INDEX(Disbursements!$J:$J,MATCH(Ageing!B250,Disbursements!$B:$B,0)),"No Loan")</f>
        <v>Kana</v>
      </c>
      <c r="D250" s="364">
        <f>SUMIF(Disbursements!$B:$B,Ageing!$B250,Disbursements!AN:AN)</f>
        <v>0</v>
      </c>
      <c r="E250" s="364">
        <f>SUMIF(Disbursements!$B:$B,Ageing!$B250,Disbursements!AO:AO)</f>
        <v>0</v>
      </c>
      <c r="F250" s="365">
        <f t="shared" si="8"/>
        <v>0</v>
      </c>
      <c r="G250" s="364">
        <f ca="1">SUMIF(Disbursements!$B:$B,Ageing!$B250,Disbursements!AQ:AQ)</f>
        <v>0</v>
      </c>
      <c r="H250" s="364">
        <f ca="1">SUMIF(Disbursements!$B:$B,Ageing!$B250,Disbursements!AS:AS)</f>
        <v>0</v>
      </c>
      <c r="I250" s="364">
        <f t="shared" si="9"/>
        <v>0</v>
      </c>
      <c r="J250" s="369">
        <f>SUMIFS(Disbursements!$AP:$AP,Disbursements!$B:$B,Ageing!$B250,Disbursements!$AT:$AT,Ageing!J$4)</f>
        <v>0</v>
      </c>
      <c r="K250" s="369">
        <f>SUMIFS(Disbursements!$AP:$AP,Disbursements!$B:$B,Ageing!$B250,Disbursements!$AT:$AT,Ageing!K$4)</f>
        <v>0</v>
      </c>
      <c r="L250" s="369">
        <f>SUMIFS(Disbursements!$AP:$AP,Disbursements!$B:$B,Ageing!$B250,Disbursements!$AT:$AT,Ageing!L$4)</f>
        <v>0</v>
      </c>
      <c r="M250" s="369">
        <f>SUMIFS(Disbursements!$AP:$AP,Disbursements!$B:$B,Ageing!$B250,Disbursements!$AT:$AT,Ageing!M$4)</f>
        <v>0</v>
      </c>
      <c r="N250" s="369">
        <f>SUMIFS(Disbursements!$AP:$AP,Disbursements!$B:$B,Ageing!$B250,Disbursements!$AT:$AT,Ageing!N$4)</f>
        <v>0</v>
      </c>
      <c r="O250" s="369">
        <f>SUMIFS(Disbursements!$AP:$AP,Disbursements!$B:$B,Ageing!$B250,Disbursements!$AT:$AT,Ageing!O$4)</f>
        <v>0</v>
      </c>
    </row>
    <row r="251" spans="1:15" x14ac:dyDescent="0.2">
      <c r="A251" s="179" t="str">
        <f>IFERROR(VLOOKUP($B251,'Clients-Live'!$A:$C,3,30),"")</f>
        <v>CHANDIRU SCHOLAR</v>
      </c>
      <c r="B251" s="478">
        <v>247</v>
      </c>
      <c r="C251" s="370" t="str">
        <f>IFERROR(INDEX(Disbursements!$J:$J,MATCH(Ageing!B251,Disbursements!$B:$B,0)),"No Loan")</f>
        <v>Jerome</v>
      </c>
      <c r="D251" s="364">
        <f>SUMIF(Disbursements!$B:$B,Ageing!$B251,Disbursements!AN:AN)</f>
        <v>120000</v>
      </c>
      <c r="E251" s="364">
        <f>SUMIF(Disbursements!$B:$B,Ageing!$B251,Disbursements!AO:AO)</f>
        <v>510000</v>
      </c>
      <c r="F251" s="365">
        <f t="shared" si="8"/>
        <v>630000</v>
      </c>
      <c r="G251" s="364">
        <f ca="1">SUMIF(Disbursements!$B:$B,Ageing!$B251,Disbursements!AQ:AQ)</f>
        <v>630000</v>
      </c>
      <c r="H251" s="364">
        <f ca="1">SUMIF(Disbursements!$B:$B,Ageing!$B251,Disbursements!AS:AS)</f>
        <v>70</v>
      </c>
      <c r="I251" s="364">
        <f t="shared" ca="1" si="9"/>
        <v>1</v>
      </c>
      <c r="J251" s="369">
        <f ca="1">SUMIFS(Disbursements!$AP:$AP,Disbursements!$B:$B,Ageing!$B251,Disbursements!$AT:$AT,Ageing!J$4)</f>
        <v>0</v>
      </c>
      <c r="K251" s="369">
        <f ca="1">SUMIFS(Disbursements!$AP:$AP,Disbursements!$B:$B,Ageing!$B251,Disbursements!$AT:$AT,Ageing!K$4)</f>
        <v>0</v>
      </c>
      <c r="L251" s="369">
        <f ca="1">SUMIFS(Disbursements!$AP:$AP,Disbursements!$B:$B,Ageing!$B251,Disbursements!$AT:$AT,Ageing!L$4)</f>
        <v>0</v>
      </c>
      <c r="M251" s="369">
        <f ca="1">SUMIFS(Disbursements!$AP:$AP,Disbursements!$B:$B,Ageing!$B251,Disbursements!$AT:$AT,Ageing!M$4)</f>
        <v>630000</v>
      </c>
      <c r="N251" s="369">
        <f ca="1">SUMIFS(Disbursements!$AP:$AP,Disbursements!$B:$B,Ageing!$B251,Disbursements!$AT:$AT,Ageing!N$4)</f>
        <v>0</v>
      </c>
      <c r="O251" s="369">
        <f ca="1">SUMIFS(Disbursements!$AP:$AP,Disbursements!$B:$B,Ageing!$B251,Disbursements!$AT:$AT,Ageing!O$4)</f>
        <v>0</v>
      </c>
    </row>
    <row r="252" spans="1:15" x14ac:dyDescent="0.2">
      <c r="A252" s="179" t="str">
        <f>IFERROR(VLOOKUP($B252,'Clients-Live'!$A:$C,3,30),"")</f>
        <v>LETARU GLORIA</v>
      </c>
      <c r="B252" s="478">
        <v>248</v>
      </c>
      <c r="C252" s="370" t="str">
        <f>IFERROR(INDEX(Disbursements!$J:$J,MATCH(Ageing!B252,Disbursements!$B:$B,0)),"No Loan")</f>
        <v>Jerome</v>
      </c>
      <c r="D252" s="364">
        <f>SUMIF(Disbursements!$B:$B,Ageing!$B252,Disbursements!AN:AN)</f>
        <v>1878571.4285714286</v>
      </c>
      <c r="E252" s="364">
        <f>SUMIF(Disbursements!$B:$B,Ageing!$B252,Disbursements!AO:AO)</f>
        <v>4851428.5714285709</v>
      </c>
      <c r="F252" s="365">
        <f t="shared" si="8"/>
        <v>6730000</v>
      </c>
      <c r="G252" s="364">
        <f ca="1">SUMIF(Disbursements!$B:$B,Ageing!$B252,Disbursements!AQ:AQ)</f>
        <v>6730000</v>
      </c>
      <c r="H252" s="364">
        <f ca="1">SUMIF(Disbursements!$B:$B,Ageing!$B252,Disbursements!AS:AS)</f>
        <v>186</v>
      </c>
      <c r="I252" s="364">
        <f t="shared" ca="1" si="9"/>
        <v>1</v>
      </c>
      <c r="J252" s="369">
        <f ca="1">SUMIFS(Disbursements!$AP:$AP,Disbursements!$B:$B,Ageing!$B252,Disbursements!$AT:$AT,Ageing!J$4)</f>
        <v>0</v>
      </c>
      <c r="K252" s="369">
        <f ca="1">SUMIFS(Disbursements!$AP:$AP,Disbursements!$B:$B,Ageing!$B252,Disbursements!$AT:$AT,Ageing!K$4)</f>
        <v>0</v>
      </c>
      <c r="L252" s="369">
        <f ca="1">SUMIFS(Disbursements!$AP:$AP,Disbursements!$B:$B,Ageing!$B252,Disbursements!$AT:$AT,Ageing!L$4)</f>
        <v>0</v>
      </c>
      <c r="M252" s="369">
        <f ca="1">SUMIFS(Disbursements!$AP:$AP,Disbursements!$B:$B,Ageing!$B252,Disbursements!$AT:$AT,Ageing!M$4)</f>
        <v>0</v>
      </c>
      <c r="N252" s="369">
        <f ca="1">SUMIFS(Disbursements!$AP:$AP,Disbursements!$B:$B,Ageing!$B252,Disbursements!$AT:$AT,Ageing!N$4)</f>
        <v>6730000</v>
      </c>
      <c r="O252" s="369">
        <f ca="1">SUMIFS(Disbursements!$AP:$AP,Disbursements!$B:$B,Ageing!$B252,Disbursements!$AT:$AT,Ageing!O$4)</f>
        <v>0</v>
      </c>
    </row>
    <row r="253" spans="1:15" x14ac:dyDescent="0.2">
      <c r="A253" s="179" t="str">
        <f>IFERROR(VLOOKUP($B253,'Clients-Live'!$A:$C,3,30),"")</f>
        <v>ATIKU SIRAJI</v>
      </c>
      <c r="B253" s="478">
        <v>249</v>
      </c>
      <c r="C253" s="370" t="str">
        <f>IFERROR(INDEX(Disbursements!$J:$J,MATCH(Ageing!B253,Disbursements!$B:$B,0)),"No Loan")</f>
        <v>No Loan</v>
      </c>
      <c r="D253" s="364">
        <f>SUMIF(Disbursements!$B:$B,Ageing!$B253,Disbursements!AN:AN)</f>
        <v>0</v>
      </c>
      <c r="E253" s="364">
        <f>SUMIF(Disbursements!$B:$B,Ageing!$B253,Disbursements!AO:AO)</f>
        <v>0</v>
      </c>
      <c r="F253" s="365">
        <f t="shared" si="8"/>
        <v>0</v>
      </c>
      <c r="G253" s="364">
        <f>SUMIF(Disbursements!$B:$B,Ageing!$B253,Disbursements!AQ:AQ)</f>
        <v>0</v>
      </c>
      <c r="H253" s="364">
        <f>SUMIF(Disbursements!$B:$B,Ageing!$B253,Disbursements!AS:AS)</f>
        <v>0</v>
      </c>
      <c r="I253" s="364">
        <f t="shared" si="9"/>
        <v>0</v>
      </c>
      <c r="J253" s="369">
        <f>SUMIFS(Disbursements!$AP:$AP,Disbursements!$B:$B,Ageing!$B253,Disbursements!$AT:$AT,Ageing!J$4)</f>
        <v>0</v>
      </c>
      <c r="K253" s="369">
        <f>SUMIFS(Disbursements!$AP:$AP,Disbursements!$B:$B,Ageing!$B253,Disbursements!$AT:$AT,Ageing!K$4)</f>
        <v>0</v>
      </c>
      <c r="L253" s="369">
        <f>SUMIFS(Disbursements!$AP:$AP,Disbursements!$B:$B,Ageing!$B253,Disbursements!$AT:$AT,Ageing!L$4)</f>
        <v>0</v>
      </c>
      <c r="M253" s="369">
        <f>SUMIFS(Disbursements!$AP:$AP,Disbursements!$B:$B,Ageing!$B253,Disbursements!$AT:$AT,Ageing!M$4)</f>
        <v>0</v>
      </c>
      <c r="N253" s="369">
        <f>SUMIFS(Disbursements!$AP:$AP,Disbursements!$B:$B,Ageing!$B253,Disbursements!$AT:$AT,Ageing!N$4)</f>
        <v>0</v>
      </c>
      <c r="O253" s="369">
        <f>SUMIFS(Disbursements!$AP:$AP,Disbursements!$B:$B,Ageing!$B253,Disbursements!$AT:$AT,Ageing!O$4)</f>
        <v>0</v>
      </c>
    </row>
    <row r="254" spans="1:15" x14ac:dyDescent="0.2">
      <c r="A254" s="179" t="str">
        <f>IFERROR(VLOOKUP($B254,'Clients-Live'!$A:$C,3,30),"")</f>
        <v>SAKAYA AMINA</v>
      </c>
      <c r="B254" s="478">
        <v>250</v>
      </c>
      <c r="C254" s="370" t="str">
        <f>IFERROR(INDEX(Disbursements!$J:$J,MATCH(Ageing!B254,Disbursements!$B:$B,0)),"No Loan")</f>
        <v>Kana</v>
      </c>
      <c r="D254" s="364">
        <f>SUMIF(Disbursements!$B:$B,Ageing!$B254,Disbursements!AN:AN)</f>
        <v>99000</v>
      </c>
      <c r="E254" s="364">
        <f>SUMIF(Disbursements!$B:$B,Ageing!$B254,Disbursements!AO:AO)</f>
        <v>245500</v>
      </c>
      <c r="F254" s="365">
        <f t="shared" si="8"/>
        <v>344500</v>
      </c>
      <c r="G254" s="364">
        <f ca="1">SUMIF(Disbursements!$B:$B,Ageing!$B254,Disbursements!AQ:AQ)</f>
        <v>344500</v>
      </c>
      <c r="H254" s="364">
        <f ca="1">SUMIF(Disbursements!$B:$B,Ageing!$B254,Disbursements!AS:AS)</f>
        <v>66</v>
      </c>
      <c r="I254" s="364">
        <f t="shared" ca="1" si="9"/>
        <v>1</v>
      </c>
      <c r="J254" s="369">
        <f ca="1">SUMIFS(Disbursements!$AP:$AP,Disbursements!$B:$B,Ageing!$B254,Disbursements!$AT:$AT,Ageing!J$4)</f>
        <v>0</v>
      </c>
      <c r="K254" s="369">
        <f ca="1">SUMIFS(Disbursements!$AP:$AP,Disbursements!$B:$B,Ageing!$B254,Disbursements!$AT:$AT,Ageing!K$4)</f>
        <v>0</v>
      </c>
      <c r="L254" s="369">
        <f ca="1">SUMIFS(Disbursements!$AP:$AP,Disbursements!$B:$B,Ageing!$B254,Disbursements!$AT:$AT,Ageing!L$4)</f>
        <v>0</v>
      </c>
      <c r="M254" s="369">
        <f ca="1">SUMIFS(Disbursements!$AP:$AP,Disbursements!$B:$B,Ageing!$B254,Disbursements!$AT:$AT,Ageing!M$4)</f>
        <v>344500</v>
      </c>
      <c r="N254" s="369">
        <f ca="1">SUMIFS(Disbursements!$AP:$AP,Disbursements!$B:$B,Ageing!$B254,Disbursements!$AT:$AT,Ageing!N$4)</f>
        <v>0</v>
      </c>
      <c r="O254" s="369">
        <f ca="1">SUMIFS(Disbursements!$AP:$AP,Disbursements!$B:$B,Ageing!$B254,Disbursements!$AT:$AT,Ageing!O$4)</f>
        <v>0</v>
      </c>
    </row>
    <row r="255" spans="1:15" x14ac:dyDescent="0.2">
      <c r="A255" s="179" t="str">
        <f>IFERROR(VLOOKUP($B255,'Clients-Live'!$A:$C,3,30),"")</f>
        <v>SIDA ZAINABU</v>
      </c>
      <c r="B255" s="478">
        <v>251</v>
      </c>
      <c r="C255" s="370" t="str">
        <f>IFERROR(INDEX(Disbursements!$J:$J,MATCH(Ageing!B255,Disbursements!$B:$B,0)),"No Loan")</f>
        <v>Jerome</v>
      </c>
      <c r="D255" s="364">
        <f>SUMIF(Disbursements!$B:$B,Ageing!$B255,Disbursements!AN:AN)</f>
        <v>100000.00000000003</v>
      </c>
      <c r="E255" s="364">
        <f>SUMIF(Disbursements!$B:$B,Ageing!$B255,Disbursements!AO:AO)</f>
        <v>501000</v>
      </c>
      <c r="F255" s="365">
        <f t="shared" si="8"/>
        <v>601000</v>
      </c>
      <c r="G255" s="364">
        <f ca="1">SUMIF(Disbursements!$B:$B,Ageing!$B255,Disbursements!AQ:AQ)</f>
        <v>601000</v>
      </c>
      <c r="H255" s="364">
        <f ca="1">SUMIF(Disbursements!$B:$B,Ageing!$B255,Disbursements!AS:AS)</f>
        <v>91</v>
      </c>
      <c r="I255" s="364">
        <f t="shared" ca="1" si="9"/>
        <v>2</v>
      </c>
      <c r="J255" s="369">
        <f ca="1">SUMIFS(Disbursements!$AP:$AP,Disbursements!$B:$B,Ageing!$B255,Disbursements!$AT:$AT,Ageing!J$4)</f>
        <v>0</v>
      </c>
      <c r="K255" s="369">
        <f ca="1">SUMIFS(Disbursements!$AP:$AP,Disbursements!$B:$B,Ageing!$B255,Disbursements!$AT:$AT,Ageing!K$4)</f>
        <v>1000</v>
      </c>
      <c r="L255" s="369">
        <f ca="1">SUMIFS(Disbursements!$AP:$AP,Disbursements!$B:$B,Ageing!$B255,Disbursements!$AT:$AT,Ageing!L$4)</f>
        <v>0</v>
      </c>
      <c r="M255" s="369">
        <f ca="1">SUMIFS(Disbursements!$AP:$AP,Disbursements!$B:$B,Ageing!$B255,Disbursements!$AT:$AT,Ageing!M$4)</f>
        <v>600000</v>
      </c>
      <c r="N255" s="369">
        <f ca="1">SUMIFS(Disbursements!$AP:$AP,Disbursements!$B:$B,Ageing!$B255,Disbursements!$AT:$AT,Ageing!N$4)</f>
        <v>0</v>
      </c>
      <c r="O255" s="369">
        <f ca="1">SUMIFS(Disbursements!$AP:$AP,Disbursements!$B:$B,Ageing!$B255,Disbursements!$AT:$AT,Ageing!O$4)</f>
        <v>0</v>
      </c>
    </row>
    <row r="256" spans="1:15" x14ac:dyDescent="0.2">
      <c r="A256" s="179" t="str">
        <f>IFERROR(VLOOKUP($B256,'Clients-Live'!$A:$C,3,30),"")</f>
        <v>ANGUCIA JESCA</v>
      </c>
      <c r="B256" s="478">
        <v>252</v>
      </c>
      <c r="C256" s="370" t="str">
        <f>IFERROR(INDEX(Disbursements!$J:$J,MATCH(Ageing!B256,Disbursements!$B:$B,0)),"No Loan")</f>
        <v>Jerome</v>
      </c>
      <c r="D256" s="364">
        <f>SUMIF(Disbursements!$B:$B,Ageing!$B256,Disbursements!AN:AN)</f>
        <v>0</v>
      </c>
      <c r="E256" s="364">
        <f>SUMIF(Disbursements!$B:$B,Ageing!$B256,Disbursements!AO:AO)</f>
        <v>70000</v>
      </c>
      <c r="F256" s="365">
        <f t="shared" si="8"/>
        <v>70000</v>
      </c>
      <c r="G256" s="364">
        <f ca="1">SUMIF(Disbursements!$B:$B,Ageing!$B256,Disbursements!AQ:AQ)</f>
        <v>70000</v>
      </c>
      <c r="H256" s="364">
        <f ca="1">SUMIF(Disbursements!$B:$B,Ageing!$B256,Disbursements!AS:AS)</f>
        <v>18</v>
      </c>
      <c r="I256" s="364">
        <f t="shared" ca="1" si="9"/>
        <v>1</v>
      </c>
      <c r="J256" s="369">
        <f ca="1">SUMIFS(Disbursements!$AP:$AP,Disbursements!$B:$B,Ageing!$B256,Disbursements!$AT:$AT,Ageing!J$4)</f>
        <v>0</v>
      </c>
      <c r="K256" s="369">
        <f ca="1">SUMIFS(Disbursements!$AP:$AP,Disbursements!$B:$B,Ageing!$B256,Disbursements!$AT:$AT,Ageing!K$4)</f>
        <v>70000</v>
      </c>
      <c r="L256" s="369">
        <f ca="1">SUMIFS(Disbursements!$AP:$AP,Disbursements!$B:$B,Ageing!$B256,Disbursements!$AT:$AT,Ageing!L$4)</f>
        <v>0</v>
      </c>
      <c r="M256" s="369">
        <f ca="1">SUMIFS(Disbursements!$AP:$AP,Disbursements!$B:$B,Ageing!$B256,Disbursements!$AT:$AT,Ageing!M$4)</f>
        <v>0</v>
      </c>
      <c r="N256" s="369">
        <f ca="1">SUMIFS(Disbursements!$AP:$AP,Disbursements!$B:$B,Ageing!$B256,Disbursements!$AT:$AT,Ageing!N$4)</f>
        <v>0</v>
      </c>
      <c r="O256" s="369">
        <f ca="1">SUMIFS(Disbursements!$AP:$AP,Disbursements!$B:$B,Ageing!$B256,Disbursements!$AT:$AT,Ageing!O$4)</f>
        <v>0</v>
      </c>
    </row>
    <row r="257" spans="1:15" x14ac:dyDescent="0.2">
      <c r="A257" s="179" t="str">
        <f>IFERROR(VLOOKUP($B257,'Clients-Live'!$A:$C,3,30),"")</f>
        <v>JAKUMA VINCENT</v>
      </c>
      <c r="B257" s="478">
        <v>253</v>
      </c>
      <c r="C257" s="370" t="str">
        <f>IFERROR(INDEX(Disbursements!$J:$J,MATCH(Ageing!B257,Disbursements!$B:$B,0)),"No Loan")</f>
        <v>Jerome</v>
      </c>
      <c r="D257" s="364">
        <f>SUMIF(Disbursements!$B:$B,Ageing!$B257,Disbursements!AN:AN)</f>
        <v>0</v>
      </c>
      <c r="E257" s="364">
        <f>SUMIF(Disbursements!$B:$B,Ageing!$B257,Disbursements!AO:AO)</f>
        <v>189000</v>
      </c>
      <c r="F257" s="365">
        <f t="shared" si="8"/>
        <v>189000</v>
      </c>
      <c r="G257" s="364">
        <f ca="1">SUMIF(Disbursements!$B:$B,Ageing!$B257,Disbursements!AQ:AQ)</f>
        <v>189000</v>
      </c>
      <c r="H257" s="364">
        <f ca="1">SUMIF(Disbursements!$B:$B,Ageing!$B257,Disbursements!AS:AS)</f>
        <v>10</v>
      </c>
      <c r="I257" s="364">
        <f t="shared" ca="1" si="9"/>
        <v>1</v>
      </c>
      <c r="J257" s="369">
        <f ca="1">SUMIFS(Disbursements!$AP:$AP,Disbursements!$B:$B,Ageing!$B257,Disbursements!$AT:$AT,Ageing!J$4)</f>
        <v>0</v>
      </c>
      <c r="K257" s="369">
        <f ca="1">SUMIFS(Disbursements!$AP:$AP,Disbursements!$B:$B,Ageing!$B257,Disbursements!$AT:$AT,Ageing!K$4)</f>
        <v>189000</v>
      </c>
      <c r="L257" s="369">
        <f ca="1">SUMIFS(Disbursements!$AP:$AP,Disbursements!$B:$B,Ageing!$B257,Disbursements!$AT:$AT,Ageing!L$4)</f>
        <v>0</v>
      </c>
      <c r="M257" s="369">
        <f ca="1">SUMIFS(Disbursements!$AP:$AP,Disbursements!$B:$B,Ageing!$B257,Disbursements!$AT:$AT,Ageing!M$4)</f>
        <v>0</v>
      </c>
      <c r="N257" s="369">
        <f ca="1">SUMIFS(Disbursements!$AP:$AP,Disbursements!$B:$B,Ageing!$B257,Disbursements!$AT:$AT,Ageing!N$4)</f>
        <v>0</v>
      </c>
      <c r="O257" s="369">
        <f ca="1">SUMIFS(Disbursements!$AP:$AP,Disbursements!$B:$B,Ageing!$B257,Disbursements!$AT:$AT,Ageing!O$4)</f>
        <v>0</v>
      </c>
    </row>
    <row r="258" spans="1:15" x14ac:dyDescent="0.2">
      <c r="A258" s="179" t="str">
        <f>IFERROR(VLOOKUP($B258,'Clients-Live'!$A:$C,3,30),"")</f>
        <v>ANITE AGNES</v>
      </c>
      <c r="B258" s="478">
        <v>254</v>
      </c>
      <c r="C258" s="370" t="str">
        <f>IFERROR(INDEX(Disbursements!$J:$J,MATCH(Ageing!B258,Disbursements!$B:$B,0)),"No Loan")</f>
        <v>Kana</v>
      </c>
      <c r="D258" s="364">
        <f>SUMIF(Disbursements!$B:$B,Ageing!$B258,Disbursements!AN:AN)</f>
        <v>0</v>
      </c>
      <c r="E258" s="364">
        <f>SUMIF(Disbursements!$B:$B,Ageing!$B258,Disbursements!AO:AO)</f>
        <v>0</v>
      </c>
      <c r="F258" s="365">
        <f t="shared" si="8"/>
        <v>0</v>
      </c>
      <c r="G258" s="364">
        <f ca="1">SUMIF(Disbursements!$B:$B,Ageing!$B258,Disbursements!AQ:AQ)</f>
        <v>0</v>
      </c>
      <c r="H258" s="364">
        <f ca="1">SUMIF(Disbursements!$B:$B,Ageing!$B258,Disbursements!AS:AS)</f>
        <v>0</v>
      </c>
      <c r="I258" s="364">
        <f t="shared" si="9"/>
        <v>0</v>
      </c>
      <c r="J258" s="369">
        <f>SUMIFS(Disbursements!$AP:$AP,Disbursements!$B:$B,Ageing!$B258,Disbursements!$AT:$AT,Ageing!J$4)</f>
        <v>0</v>
      </c>
      <c r="K258" s="369">
        <f>SUMIFS(Disbursements!$AP:$AP,Disbursements!$B:$B,Ageing!$B258,Disbursements!$AT:$AT,Ageing!K$4)</f>
        <v>0</v>
      </c>
      <c r="L258" s="369">
        <f>SUMIFS(Disbursements!$AP:$AP,Disbursements!$B:$B,Ageing!$B258,Disbursements!$AT:$AT,Ageing!L$4)</f>
        <v>0</v>
      </c>
      <c r="M258" s="369">
        <f>SUMIFS(Disbursements!$AP:$AP,Disbursements!$B:$B,Ageing!$B258,Disbursements!$AT:$AT,Ageing!M$4)</f>
        <v>0</v>
      </c>
      <c r="N258" s="369">
        <f>SUMIFS(Disbursements!$AP:$AP,Disbursements!$B:$B,Ageing!$B258,Disbursements!$AT:$AT,Ageing!N$4)</f>
        <v>0</v>
      </c>
      <c r="O258" s="369">
        <f>SUMIFS(Disbursements!$AP:$AP,Disbursements!$B:$B,Ageing!$B258,Disbursements!$AT:$AT,Ageing!O$4)</f>
        <v>0</v>
      </c>
    </row>
    <row r="259" spans="1:15" x14ac:dyDescent="0.2">
      <c r="A259" s="179" t="str">
        <f>IFERROR(VLOOKUP($B259,'Clients-Live'!$A:$C,3,30),"")</f>
        <v>YOBUTA JOHN</v>
      </c>
      <c r="B259" s="478">
        <v>255</v>
      </c>
      <c r="C259" s="370" t="str">
        <f>IFERROR(INDEX(Disbursements!$J:$J,MATCH(Ageing!B259,Disbursements!$B:$B,0)),"No Loan")</f>
        <v>Jerome</v>
      </c>
      <c r="D259" s="364">
        <f>SUMIF(Disbursements!$B:$B,Ageing!$B259,Disbursements!AN:AN)</f>
        <v>0</v>
      </c>
      <c r="E259" s="364">
        <f>SUMIF(Disbursements!$B:$B,Ageing!$B259,Disbursements!AO:AO)</f>
        <v>145000.00000000012</v>
      </c>
      <c r="F259" s="365">
        <f t="shared" si="8"/>
        <v>145000.00000000012</v>
      </c>
      <c r="G259" s="364">
        <f ca="1">SUMIF(Disbursements!$B:$B,Ageing!$B259,Disbursements!AQ:AQ)</f>
        <v>145000.00000000012</v>
      </c>
      <c r="H259" s="364">
        <f ca="1">SUMIF(Disbursements!$B:$B,Ageing!$B259,Disbursements!AS:AS)</f>
        <v>21</v>
      </c>
      <c r="I259" s="364">
        <f t="shared" ca="1" si="9"/>
        <v>1</v>
      </c>
      <c r="J259" s="369">
        <f ca="1">SUMIFS(Disbursements!$AP:$AP,Disbursements!$B:$B,Ageing!$B259,Disbursements!$AT:$AT,Ageing!J$4)</f>
        <v>0</v>
      </c>
      <c r="K259" s="369">
        <f ca="1">SUMIFS(Disbursements!$AP:$AP,Disbursements!$B:$B,Ageing!$B259,Disbursements!$AT:$AT,Ageing!K$4)</f>
        <v>145000.00000000012</v>
      </c>
      <c r="L259" s="369">
        <f ca="1">SUMIFS(Disbursements!$AP:$AP,Disbursements!$B:$B,Ageing!$B259,Disbursements!$AT:$AT,Ageing!L$4)</f>
        <v>0</v>
      </c>
      <c r="M259" s="369">
        <f ca="1">SUMIFS(Disbursements!$AP:$AP,Disbursements!$B:$B,Ageing!$B259,Disbursements!$AT:$AT,Ageing!M$4)</f>
        <v>0</v>
      </c>
      <c r="N259" s="369">
        <f ca="1">SUMIFS(Disbursements!$AP:$AP,Disbursements!$B:$B,Ageing!$B259,Disbursements!$AT:$AT,Ageing!N$4)</f>
        <v>0</v>
      </c>
      <c r="O259" s="369">
        <f ca="1">SUMIFS(Disbursements!$AP:$AP,Disbursements!$B:$B,Ageing!$B259,Disbursements!$AT:$AT,Ageing!O$4)</f>
        <v>0</v>
      </c>
    </row>
    <row r="260" spans="1:15" x14ac:dyDescent="0.2">
      <c r="A260" s="179" t="str">
        <f>IFERROR(VLOOKUP($B260,'Clients-Live'!$A:$C,3,30),"")</f>
        <v>MUNDUGA SONGA</v>
      </c>
      <c r="B260" s="478">
        <v>256</v>
      </c>
      <c r="C260" s="370" t="str">
        <f>IFERROR(INDEX(Disbursements!$J:$J,MATCH(Ageing!B260,Disbursements!$B:$B,0)),"No Loan")</f>
        <v>No Loan</v>
      </c>
      <c r="D260" s="364">
        <f>SUMIF(Disbursements!$B:$B,Ageing!$B260,Disbursements!AN:AN)</f>
        <v>0</v>
      </c>
      <c r="E260" s="364">
        <f>SUMIF(Disbursements!$B:$B,Ageing!$B260,Disbursements!AO:AO)</f>
        <v>0</v>
      </c>
      <c r="F260" s="365">
        <f t="shared" si="8"/>
        <v>0</v>
      </c>
      <c r="G260" s="364">
        <f>SUMIF(Disbursements!$B:$B,Ageing!$B260,Disbursements!AQ:AQ)</f>
        <v>0</v>
      </c>
      <c r="H260" s="364">
        <f>SUMIF(Disbursements!$B:$B,Ageing!$B260,Disbursements!AS:AS)</f>
        <v>0</v>
      </c>
      <c r="I260" s="364">
        <f t="shared" si="9"/>
        <v>0</v>
      </c>
      <c r="J260" s="369">
        <f>SUMIFS(Disbursements!$AP:$AP,Disbursements!$B:$B,Ageing!$B260,Disbursements!$AT:$AT,Ageing!J$4)</f>
        <v>0</v>
      </c>
      <c r="K260" s="369">
        <f>SUMIFS(Disbursements!$AP:$AP,Disbursements!$B:$B,Ageing!$B260,Disbursements!$AT:$AT,Ageing!K$4)</f>
        <v>0</v>
      </c>
      <c r="L260" s="369">
        <f>SUMIFS(Disbursements!$AP:$AP,Disbursements!$B:$B,Ageing!$B260,Disbursements!$AT:$AT,Ageing!L$4)</f>
        <v>0</v>
      </c>
      <c r="M260" s="369">
        <f>SUMIFS(Disbursements!$AP:$AP,Disbursements!$B:$B,Ageing!$B260,Disbursements!$AT:$AT,Ageing!M$4)</f>
        <v>0</v>
      </c>
      <c r="N260" s="369">
        <f>SUMIFS(Disbursements!$AP:$AP,Disbursements!$B:$B,Ageing!$B260,Disbursements!$AT:$AT,Ageing!N$4)</f>
        <v>0</v>
      </c>
      <c r="O260" s="369">
        <f>SUMIFS(Disbursements!$AP:$AP,Disbursements!$B:$B,Ageing!$B260,Disbursements!$AT:$AT,Ageing!O$4)</f>
        <v>0</v>
      </c>
    </row>
    <row r="261" spans="1:15" x14ac:dyDescent="0.2">
      <c r="A261" s="179" t="str">
        <f>IFERROR(VLOOKUP($B261,'Clients-Live'!$A:$C,3,30),"")</f>
        <v>CHANDIGA CYRUS</v>
      </c>
      <c r="B261" s="478">
        <v>257</v>
      </c>
      <c r="C261" s="370" t="str">
        <f>IFERROR(INDEX(Disbursements!$J:$J,MATCH(Ageing!B261,Disbursements!$B:$B,0)),"No Loan")</f>
        <v>Jerome</v>
      </c>
      <c r="D261" s="364">
        <f>SUMIF(Disbursements!$B:$B,Ageing!$B261,Disbursements!AN:AN)</f>
        <v>85000</v>
      </c>
      <c r="E261" s="364">
        <f>SUMIF(Disbursements!$B:$B,Ageing!$B261,Disbursements!AO:AO)</f>
        <v>1700700</v>
      </c>
      <c r="F261" s="365">
        <f t="shared" si="8"/>
        <v>1785700</v>
      </c>
      <c r="G261" s="364">
        <f ca="1">SUMIF(Disbursements!$B:$B,Ageing!$B261,Disbursements!AQ:AQ)</f>
        <v>1785700</v>
      </c>
      <c r="H261" s="364">
        <f ca="1">SUMIF(Disbursements!$B:$B,Ageing!$B261,Disbursements!AS:AS)</f>
        <v>31</v>
      </c>
      <c r="I261" s="364">
        <f t="shared" ca="1" si="9"/>
        <v>1</v>
      </c>
      <c r="J261" s="369">
        <f ca="1">SUMIFS(Disbursements!$AP:$AP,Disbursements!$B:$B,Ageing!$B261,Disbursements!$AT:$AT,Ageing!J$4)</f>
        <v>0</v>
      </c>
      <c r="K261" s="369">
        <f ca="1">SUMIFS(Disbursements!$AP:$AP,Disbursements!$B:$B,Ageing!$B261,Disbursements!$AT:$AT,Ageing!K$4)</f>
        <v>1785700</v>
      </c>
      <c r="L261" s="369">
        <f ca="1">SUMIFS(Disbursements!$AP:$AP,Disbursements!$B:$B,Ageing!$B261,Disbursements!$AT:$AT,Ageing!L$4)</f>
        <v>0</v>
      </c>
      <c r="M261" s="369">
        <f ca="1">SUMIFS(Disbursements!$AP:$AP,Disbursements!$B:$B,Ageing!$B261,Disbursements!$AT:$AT,Ageing!M$4)</f>
        <v>0</v>
      </c>
      <c r="N261" s="369">
        <f ca="1">SUMIFS(Disbursements!$AP:$AP,Disbursements!$B:$B,Ageing!$B261,Disbursements!$AT:$AT,Ageing!N$4)</f>
        <v>0</v>
      </c>
      <c r="O261" s="369">
        <f ca="1">SUMIFS(Disbursements!$AP:$AP,Disbursements!$B:$B,Ageing!$B261,Disbursements!$AT:$AT,Ageing!O$4)</f>
        <v>0</v>
      </c>
    </row>
    <row r="262" spans="1:15" x14ac:dyDescent="0.2">
      <c r="A262" s="179" t="str">
        <f>IFERROR(VLOOKUP($B262,'Clients-Live'!$A:$C,3,30),"")</f>
        <v>KOLETA  JESCA</v>
      </c>
      <c r="B262" s="478">
        <v>258</v>
      </c>
      <c r="C262" s="370" t="str">
        <f>IFERROR(INDEX(Disbursements!$J:$J,MATCH(Ageing!B262,Disbursements!$B:$B,0)),"No Loan")</f>
        <v>No Loan</v>
      </c>
      <c r="D262" s="364">
        <f>SUMIF(Disbursements!$B:$B,Ageing!$B262,Disbursements!AN:AN)</f>
        <v>0</v>
      </c>
      <c r="E262" s="364">
        <f>SUMIF(Disbursements!$B:$B,Ageing!$B262,Disbursements!AO:AO)</f>
        <v>0</v>
      </c>
      <c r="F262" s="365">
        <f t="shared" si="8"/>
        <v>0</v>
      </c>
      <c r="G262" s="364">
        <f>SUMIF(Disbursements!$B:$B,Ageing!$B262,Disbursements!AQ:AQ)</f>
        <v>0</v>
      </c>
      <c r="H262" s="364">
        <f>SUMIF(Disbursements!$B:$B,Ageing!$B262,Disbursements!AS:AS)</f>
        <v>0</v>
      </c>
      <c r="I262" s="364">
        <f t="shared" si="9"/>
        <v>0</v>
      </c>
      <c r="J262" s="369">
        <f>SUMIFS(Disbursements!$AP:$AP,Disbursements!$B:$B,Ageing!$B262,Disbursements!$AT:$AT,Ageing!J$4)</f>
        <v>0</v>
      </c>
      <c r="K262" s="369">
        <f>SUMIFS(Disbursements!$AP:$AP,Disbursements!$B:$B,Ageing!$B262,Disbursements!$AT:$AT,Ageing!K$4)</f>
        <v>0</v>
      </c>
      <c r="L262" s="369">
        <f>SUMIFS(Disbursements!$AP:$AP,Disbursements!$B:$B,Ageing!$B262,Disbursements!$AT:$AT,Ageing!L$4)</f>
        <v>0</v>
      </c>
      <c r="M262" s="369">
        <f>SUMIFS(Disbursements!$AP:$AP,Disbursements!$B:$B,Ageing!$B262,Disbursements!$AT:$AT,Ageing!M$4)</f>
        <v>0</v>
      </c>
      <c r="N262" s="369">
        <f>SUMIFS(Disbursements!$AP:$AP,Disbursements!$B:$B,Ageing!$B262,Disbursements!$AT:$AT,Ageing!N$4)</f>
        <v>0</v>
      </c>
      <c r="O262" s="369">
        <f>SUMIFS(Disbursements!$AP:$AP,Disbursements!$B:$B,Ageing!$B262,Disbursements!$AT:$AT,Ageing!O$4)</f>
        <v>0</v>
      </c>
    </row>
    <row r="263" spans="1:15" x14ac:dyDescent="0.2">
      <c r="A263" s="179" t="str">
        <f>IFERROR(VLOOKUP($B263,'Clients-Live'!$A:$C,3,30),"")</f>
        <v>SALAMA GIFT</v>
      </c>
      <c r="B263" s="478">
        <v>259</v>
      </c>
      <c r="C263" s="370" t="str">
        <f>IFERROR(INDEX(Disbursements!$J:$J,MATCH(Ageing!B263,Disbursements!$B:$B,0)),"No Loan")</f>
        <v>Kana</v>
      </c>
      <c r="D263" s="364">
        <f>SUMIF(Disbursements!$B:$B,Ageing!$B263,Disbursements!AN:AN)</f>
        <v>0</v>
      </c>
      <c r="E263" s="364">
        <f>SUMIF(Disbursements!$B:$B,Ageing!$B263,Disbursements!AO:AO)</f>
        <v>1000</v>
      </c>
      <c r="F263" s="365">
        <f t="shared" ref="F263:F326" si="10">SUM(D263:E263)</f>
        <v>1000</v>
      </c>
      <c r="G263" s="364">
        <f ca="1">SUMIF(Disbursements!$B:$B,Ageing!$B263,Disbursements!AQ:AQ)</f>
        <v>1000</v>
      </c>
      <c r="H263" s="364">
        <f ca="1">SUMIF(Disbursements!$B:$B,Ageing!$B263,Disbursements!AS:AS)</f>
        <v>1</v>
      </c>
      <c r="I263" s="364">
        <f t="shared" ref="I263:I326" ca="1" si="11">COUNTIF(J263:O263,"&gt;0")</f>
        <v>1</v>
      </c>
      <c r="J263" s="369">
        <f ca="1">SUMIFS(Disbursements!$AP:$AP,Disbursements!$B:$B,Ageing!$B263,Disbursements!$AT:$AT,Ageing!J$4)</f>
        <v>0</v>
      </c>
      <c r="K263" s="369">
        <f ca="1">SUMIFS(Disbursements!$AP:$AP,Disbursements!$B:$B,Ageing!$B263,Disbursements!$AT:$AT,Ageing!K$4)</f>
        <v>1000</v>
      </c>
      <c r="L263" s="369">
        <f ca="1">SUMIFS(Disbursements!$AP:$AP,Disbursements!$B:$B,Ageing!$B263,Disbursements!$AT:$AT,Ageing!L$4)</f>
        <v>0</v>
      </c>
      <c r="M263" s="369">
        <f ca="1">SUMIFS(Disbursements!$AP:$AP,Disbursements!$B:$B,Ageing!$B263,Disbursements!$AT:$AT,Ageing!M$4)</f>
        <v>0</v>
      </c>
      <c r="N263" s="369">
        <f ca="1">SUMIFS(Disbursements!$AP:$AP,Disbursements!$B:$B,Ageing!$B263,Disbursements!$AT:$AT,Ageing!N$4)</f>
        <v>0</v>
      </c>
      <c r="O263" s="369">
        <f ca="1">SUMIFS(Disbursements!$AP:$AP,Disbursements!$B:$B,Ageing!$B263,Disbursements!$AT:$AT,Ageing!O$4)</f>
        <v>0</v>
      </c>
    </row>
    <row r="264" spans="1:15" x14ac:dyDescent="0.2">
      <c r="A264" s="179" t="str">
        <f>IFERROR(VLOOKUP($B264,'Clients-Live'!$A:$C,3,30),"")</f>
        <v>ATAYI GRACE</v>
      </c>
      <c r="B264" s="478">
        <v>260</v>
      </c>
      <c r="C264" s="370" t="str">
        <f>IFERROR(INDEX(Disbursements!$J:$J,MATCH(Ageing!B264,Disbursements!$B:$B,0)),"No Loan")</f>
        <v>Jerome</v>
      </c>
      <c r="D264" s="364">
        <f>SUMIF(Disbursements!$B:$B,Ageing!$B264,Disbursements!AN:AN)</f>
        <v>0</v>
      </c>
      <c r="E264" s="364">
        <f>SUMIF(Disbursements!$B:$B,Ageing!$B264,Disbursements!AO:AO)</f>
        <v>262000</v>
      </c>
      <c r="F264" s="365">
        <f t="shared" si="10"/>
        <v>262000</v>
      </c>
      <c r="G264" s="364">
        <f ca="1">SUMIF(Disbursements!$B:$B,Ageing!$B264,Disbursements!AQ:AQ)</f>
        <v>262000</v>
      </c>
      <c r="H264" s="364">
        <f ca="1">SUMIF(Disbursements!$B:$B,Ageing!$B264,Disbursements!AS:AS)</f>
        <v>72</v>
      </c>
      <c r="I264" s="364">
        <f t="shared" ca="1" si="11"/>
        <v>2</v>
      </c>
      <c r="J264" s="369">
        <f ca="1">SUMIFS(Disbursements!$AP:$AP,Disbursements!$B:$B,Ageing!$B264,Disbursements!$AT:$AT,Ageing!J$4)</f>
        <v>0</v>
      </c>
      <c r="K264" s="369">
        <f ca="1">SUMIFS(Disbursements!$AP:$AP,Disbursements!$B:$B,Ageing!$B264,Disbursements!$AT:$AT,Ageing!K$4)</f>
        <v>8000</v>
      </c>
      <c r="L264" s="369">
        <f ca="1">SUMIFS(Disbursements!$AP:$AP,Disbursements!$B:$B,Ageing!$B264,Disbursements!$AT:$AT,Ageing!L$4)</f>
        <v>0</v>
      </c>
      <c r="M264" s="369">
        <f ca="1">SUMIFS(Disbursements!$AP:$AP,Disbursements!$B:$B,Ageing!$B264,Disbursements!$AT:$AT,Ageing!M$4)</f>
        <v>254000</v>
      </c>
      <c r="N264" s="369">
        <f ca="1">SUMIFS(Disbursements!$AP:$AP,Disbursements!$B:$B,Ageing!$B264,Disbursements!$AT:$AT,Ageing!N$4)</f>
        <v>0</v>
      </c>
      <c r="O264" s="369">
        <f ca="1">SUMIFS(Disbursements!$AP:$AP,Disbursements!$B:$B,Ageing!$B264,Disbursements!$AT:$AT,Ageing!O$4)</f>
        <v>0</v>
      </c>
    </row>
    <row r="265" spans="1:15" x14ac:dyDescent="0.2">
      <c r="A265" s="179" t="str">
        <f>IFERROR(VLOOKUP($B265,'Clients-Live'!$A:$C,3,30),"")</f>
        <v>AMANIYO STELLA</v>
      </c>
      <c r="B265" s="478">
        <v>261</v>
      </c>
      <c r="C265" s="370" t="str">
        <f>IFERROR(INDEX(Disbursements!$J:$J,MATCH(Ageing!B265,Disbursements!$B:$B,0)),"No Loan")</f>
        <v>Jerome</v>
      </c>
      <c r="D265" s="364">
        <f>SUMIF(Disbursements!$B:$B,Ageing!$B265,Disbursements!AN:AN)</f>
        <v>0</v>
      </c>
      <c r="E265" s="364">
        <f>SUMIF(Disbursements!$B:$B,Ageing!$B265,Disbursements!AO:AO)</f>
        <v>1400</v>
      </c>
      <c r="F265" s="365">
        <f t="shared" si="10"/>
        <v>1400</v>
      </c>
      <c r="G265" s="364">
        <f ca="1">SUMIF(Disbursements!$B:$B,Ageing!$B265,Disbursements!AQ:AQ)</f>
        <v>1400</v>
      </c>
      <c r="H265" s="364">
        <f ca="1">SUMIF(Disbursements!$B:$B,Ageing!$B265,Disbursements!AS:AS)</f>
        <v>1</v>
      </c>
      <c r="I265" s="364">
        <f t="shared" ca="1" si="11"/>
        <v>1</v>
      </c>
      <c r="J265" s="369">
        <f ca="1">SUMIFS(Disbursements!$AP:$AP,Disbursements!$B:$B,Ageing!$B265,Disbursements!$AT:$AT,Ageing!J$4)</f>
        <v>0</v>
      </c>
      <c r="K265" s="369">
        <f ca="1">SUMIFS(Disbursements!$AP:$AP,Disbursements!$B:$B,Ageing!$B265,Disbursements!$AT:$AT,Ageing!K$4)</f>
        <v>1400</v>
      </c>
      <c r="L265" s="369">
        <f ca="1">SUMIFS(Disbursements!$AP:$AP,Disbursements!$B:$B,Ageing!$B265,Disbursements!$AT:$AT,Ageing!L$4)</f>
        <v>0</v>
      </c>
      <c r="M265" s="369">
        <f ca="1">SUMIFS(Disbursements!$AP:$AP,Disbursements!$B:$B,Ageing!$B265,Disbursements!$AT:$AT,Ageing!M$4)</f>
        <v>0</v>
      </c>
      <c r="N265" s="369">
        <f ca="1">SUMIFS(Disbursements!$AP:$AP,Disbursements!$B:$B,Ageing!$B265,Disbursements!$AT:$AT,Ageing!N$4)</f>
        <v>0</v>
      </c>
      <c r="O265" s="369">
        <f ca="1">SUMIFS(Disbursements!$AP:$AP,Disbursements!$B:$B,Ageing!$B265,Disbursements!$AT:$AT,Ageing!O$4)</f>
        <v>0</v>
      </c>
    </row>
    <row r="266" spans="1:15" x14ac:dyDescent="0.2">
      <c r="A266" s="179" t="str">
        <f>IFERROR(VLOOKUP($B266,'Clients-Live'!$A:$C,3,30),"")</f>
        <v>ALONE ZAITUN</v>
      </c>
      <c r="B266" s="478">
        <v>262</v>
      </c>
      <c r="C266" s="370" t="str">
        <f>IFERROR(INDEX(Disbursements!$J:$J,MATCH(Ageing!B266,Disbursements!$B:$B,0)),"No Loan")</f>
        <v>Kana</v>
      </c>
      <c r="D266" s="364">
        <f>SUMIF(Disbursements!$B:$B,Ageing!$B266,Disbursements!AN:AN)</f>
        <v>0</v>
      </c>
      <c r="E266" s="364">
        <f>SUMIF(Disbursements!$B:$B,Ageing!$B266,Disbursements!AO:AO)</f>
        <v>1000</v>
      </c>
      <c r="F266" s="365">
        <f t="shared" si="10"/>
        <v>1000</v>
      </c>
      <c r="G266" s="364">
        <f ca="1">SUMIF(Disbursements!$B:$B,Ageing!$B266,Disbursements!AQ:AQ)</f>
        <v>1000</v>
      </c>
      <c r="H266" s="364">
        <f ca="1">SUMIF(Disbursements!$B:$B,Ageing!$B266,Disbursements!AS:AS)</f>
        <v>1</v>
      </c>
      <c r="I266" s="364">
        <f t="shared" ca="1" si="11"/>
        <v>1</v>
      </c>
      <c r="J266" s="369">
        <f ca="1">SUMIFS(Disbursements!$AP:$AP,Disbursements!$B:$B,Ageing!$B266,Disbursements!$AT:$AT,Ageing!J$4)</f>
        <v>0</v>
      </c>
      <c r="K266" s="369">
        <f ca="1">SUMIFS(Disbursements!$AP:$AP,Disbursements!$B:$B,Ageing!$B266,Disbursements!$AT:$AT,Ageing!K$4)</f>
        <v>1000</v>
      </c>
      <c r="L266" s="369">
        <f ca="1">SUMIFS(Disbursements!$AP:$AP,Disbursements!$B:$B,Ageing!$B266,Disbursements!$AT:$AT,Ageing!L$4)</f>
        <v>0</v>
      </c>
      <c r="M266" s="369">
        <f ca="1">SUMIFS(Disbursements!$AP:$AP,Disbursements!$B:$B,Ageing!$B266,Disbursements!$AT:$AT,Ageing!M$4)</f>
        <v>0</v>
      </c>
      <c r="N266" s="369">
        <f ca="1">SUMIFS(Disbursements!$AP:$AP,Disbursements!$B:$B,Ageing!$B266,Disbursements!$AT:$AT,Ageing!N$4)</f>
        <v>0</v>
      </c>
      <c r="O266" s="369">
        <f ca="1">SUMIFS(Disbursements!$AP:$AP,Disbursements!$B:$B,Ageing!$B266,Disbursements!$AT:$AT,Ageing!O$4)</f>
        <v>0</v>
      </c>
    </row>
    <row r="267" spans="1:15" x14ac:dyDescent="0.2">
      <c r="A267" s="179" t="str">
        <f>IFERROR(VLOOKUP($B267,'Clients-Live'!$A:$C,3,30),"")</f>
        <v>DATA SAFI DUIKI</v>
      </c>
      <c r="B267" s="478">
        <v>263</v>
      </c>
      <c r="C267" s="370" t="str">
        <f>IFERROR(INDEX(Disbursements!$J:$J,MATCH(Ageing!B267,Disbursements!$B:$B,0)),"No Loan")</f>
        <v>Kana</v>
      </c>
      <c r="D267" s="364">
        <f>SUMIF(Disbursements!$B:$B,Ageing!$B267,Disbursements!AN:AN)</f>
        <v>0</v>
      </c>
      <c r="E267" s="364">
        <f>SUMIF(Disbursements!$B:$B,Ageing!$B267,Disbursements!AO:AO)</f>
        <v>0</v>
      </c>
      <c r="F267" s="365">
        <f t="shared" si="10"/>
        <v>0</v>
      </c>
      <c r="G267" s="364">
        <f ca="1">SUMIF(Disbursements!$B:$B,Ageing!$B267,Disbursements!AQ:AQ)</f>
        <v>0</v>
      </c>
      <c r="H267" s="364">
        <f ca="1">SUMIF(Disbursements!$B:$B,Ageing!$B267,Disbursements!AS:AS)</f>
        <v>0</v>
      </c>
      <c r="I267" s="364">
        <f t="shared" si="11"/>
        <v>0</v>
      </c>
      <c r="J267" s="369">
        <f>SUMIFS(Disbursements!$AP:$AP,Disbursements!$B:$B,Ageing!$B267,Disbursements!$AT:$AT,Ageing!J$4)</f>
        <v>0</v>
      </c>
      <c r="K267" s="369">
        <f>SUMIFS(Disbursements!$AP:$AP,Disbursements!$B:$B,Ageing!$B267,Disbursements!$AT:$AT,Ageing!K$4)</f>
        <v>0</v>
      </c>
      <c r="L267" s="369">
        <f>SUMIFS(Disbursements!$AP:$AP,Disbursements!$B:$B,Ageing!$B267,Disbursements!$AT:$AT,Ageing!L$4)</f>
        <v>0</v>
      </c>
      <c r="M267" s="369">
        <f>SUMIFS(Disbursements!$AP:$AP,Disbursements!$B:$B,Ageing!$B267,Disbursements!$AT:$AT,Ageing!M$4)</f>
        <v>0</v>
      </c>
      <c r="N267" s="369">
        <f>SUMIFS(Disbursements!$AP:$AP,Disbursements!$B:$B,Ageing!$B267,Disbursements!$AT:$AT,Ageing!N$4)</f>
        <v>0</v>
      </c>
      <c r="O267" s="369">
        <f>SUMIFS(Disbursements!$AP:$AP,Disbursements!$B:$B,Ageing!$B267,Disbursements!$AT:$AT,Ageing!O$4)</f>
        <v>0</v>
      </c>
    </row>
    <row r="268" spans="1:15" x14ac:dyDescent="0.2">
      <c r="A268" s="179" t="str">
        <f>IFERROR(VLOOKUP($B268,'Clients-Live'!$A:$C,3,30),"")</f>
        <v>AMORI JOHN BAPTIST</v>
      </c>
      <c r="B268" s="478">
        <v>264</v>
      </c>
      <c r="C268" s="370" t="str">
        <f>IFERROR(INDEX(Disbursements!$J:$J,MATCH(Ageing!B268,Disbursements!$B:$B,0)),"No Loan")</f>
        <v>Jerome</v>
      </c>
      <c r="D268" s="364">
        <f>SUMIF(Disbursements!$B:$B,Ageing!$B268,Disbursements!AN:AN)</f>
        <v>0</v>
      </c>
      <c r="E268" s="364">
        <f>SUMIF(Disbursements!$B:$B,Ageing!$B268,Disbursements!AO:AO)</f>
        <v>0</v>
      </c>
      <c r="F268" s="365">
        <f t="shared" si="10"/>
        <v>0</v>
      </c>
      <c r="G268" s="364">
        <f ca="1">SUMIF(Disbursements!$B:$B,Ageing!$B268,Disbursements!AQ:AQ)</f>
        <v>0</v>
      </c>
      <c r="H268" s="364">
        <f ca="1">SUMIF(Disbursements!$B:$B,Ageing!$B268,Disbursements!AS:AS)</f>
        <v>0</v>
      </c>
      <c r="I268" s="364">
        <f t="shared" si="11"/>
        <v>0</v>
      </c>
      <c r="J268" s="369">
        <f>SUMIFS(Disbursements!$AP:$AP,Disbursements!$B:$B,Ageing!$B268,Disbursements!$AT:$AT,Ageing!J$4)</f>
        <v>0</v>
      </c>
      <c r="K268" s="369">
        <f>SUMIFS(Disbursements!$AP:$AP,Disbursements!$B:$B,Ageing!$B268,Disbursements!$AT:$AT,Ageing!K$4)</f>
        <v>0</v>
      </c>
      <c r="L268" s="369">
        <f>SUMIFS(Disbursements!$AP:$AP,Disbursements!$B:$B,Ageing!$B268,Disbursements!$AT:$AT,Ageing!L$4)</f>
        <v>0</v>
      </c>
      <c r="M268" s="369">
        <f>SUMIFS(Disbursements!$AP:$AP,Disbursements!$B:$B,Ageing!$B268,Disbursements!$AT:$AT,Ageing!M$4)</f>
        <v>0</v>
      </c>
      <c r="N268" s="369">
        <f>SUMIFS(Disbursements!$AP:$AP,Disbursements!$B:$B,Ageing!$B268,Disbursements!$AT:$AT,Ageing!N$4)</f>
        <v>0</v>
      </c>
      <c r="O268" s="369">
        <f>SUMIFS(Disbursements!$AP:$AP,Disbursements!$B:$B,Ageing!$B268,Disbursements!$AT:$AT,Ageing!O$4)</f>
        <v>0</v>
      </c>
    </row>
    <row r="269" spans="1:15" x14ac:dyDescent="0.2">
      <c r="A269" s="179" t="str">
        <f>IFERROR(VLOOKUP($B269,'Clients-Live'!$A:$C,3,30),"")</f>
        <v>OCATRE CHARLES</v>
      </c>
      <c r="B269" s="478">
        <v>265</v>
      </c>
      <c r="C269" s="370" t="str">
        <f>IFERROR(INDEX(Disbursements!$J:$J,MATCH(Ageing!B269,Disbursements!$B:$B,0)),"No Loan")</f>
        <v>Kana</v>
      </c>
      <c r="D269" s="364">
        <f>SUMIF(Disbursements!$B:$B,Ageing!$B269,Disbursements!AN:AN)</f>
        <v>0</v>
      </c>
      <c r="E269" s="364">
        <f>SUMIF(Disbursements!$B:$B,Ageing!$B269,Disbursements!AO:AO)</f>
        <v>0</v>
      </c>
      <c r="F269" s="365">
        <f t="shared" si="10"/>
        <v>0</v>
      </c>
      <c r="G269" s="364">
        <f ca="1">SUMIF(Disbursements!$B:$B,Ageing!$B269,Disbursements!AQ:AQ)</f>
        <v>0</v>
      </c>
      <c r="H269" s="364">
        <f ca="1">SUMIF(Disbursements!$B:$B,Ageing!$B269,Disbursements!AS:AS)</f>
        <v>0</v>
      </c>
      <c r="I269" s="364">
        <f t="shared" si="11"/>
        <v>0</v>
      </c>
      <c r="J269" s="369">
        <f>SUMIFS(Disbursements!$AP:$AP,Disbursements!$B:$B,Ageing!$B269,Disbursements!$AT:$AT,Ageing!J$4)</f>
        <v>0</v>
      </c>
      <c r="K269" s="369">
        <f>SUMIFS(Disbursements!$AP:$AP,Disbursements!$B:$B,Ageing!$B269,Disbursements!$AT:$AT,Ageing!K$4)</f>
        <v>0</v>
      </c>
      <c r="L269" s="369">
        <f>SUMIFS(Disbursements!$AP:$AP,Disbursements!$B:$B,Ageing!$B269,Disbursements!$AT:$AT,Ageing!L$4)</f>
        <v>0</v>
      </c>
      <c r="M269" s="369">
        <f>SUMIFS(Disbursements!$AP:$AP,Disbursements!$B:$B,Ageing!$B269,Disbursements!$AT:$AT,Ageing!M$4)</f>
        <v>0</v>
      </c>
      <c r="N269" s="369">
        <f>SUMIFS(Disbursements!$AP:$AP,Disbursements!$B:$B,Ageing!$B269,Disbursements!$AT:$AT,Ageing!N$4)</f>
        <v>0</v>
      </c>
      <c r="O269" s="369">
        <f>SUMIFS(Disbursements!$AP:$AP,Disbursements!$B:$B,Ageing!$B269,Disbursements!$AT:$AT,Ageing!O$4)</f>
        <v>0</v>
      </c>
    </row>
    <row r="270" spans="1:15" x14ac:dyDescent="0.2">
      <c r="A270" s="179" t="str">
        <f>IFERROR(VLOOKUP($B270,'Clients-Live'!$A:$C,3,30),"")</f>
        <v>TAIBO AMANA</v>
      </c>
      <c r="B270" s="478">
        <v>266</v>
      </c>
      <c r="C270" s="370" t="str">
        <f>IFERROR(INDEX(Disbursements!$J:$J,MATCH(Ageing!B270,Disbursements!$B:$B,0)),"No Loan")</f>
        <v>Aroma</v>
      </c>
      <c r="D270" s="364">
        <f>SUMIF(Disbursements!$B:$B,Ageing!$B270,Disbursements!AN:AN)</f>
        <v>0</v>
      </c>
      <c r="E270" s="364">
        <f>SUMIF(Disbursements!$B:$B,Ageing!$B270,Disbursements!AO:AO)</f>
        <v>75000</v>
      </c>
      <c r="F270" s="365">
        <f t="shared" si="10"/>
        <v>75000</v>
      </c>
      <c r="G270" s="364">
        <f ca="1">SUMIF(Disbursements!$B:$B,Ageing!$B270,Disbursements!AQ:AQ)</f>
        <v>75000</v>
      </c>
      <c r="H270" s="364">
        <f ca="1">SUMIF(Disbursements!$B:$B,Ageing!$B270,Disbursements!AS:AS)</f>
        <v>19</v>
      </c>
      <c r="I270" s="364">
        <f t="shared" ca="1" si="11"/>
        <v>1</v>
      </c>
      <c r="J270" s="369">
        <f ca="1">SUMIFS(Disbursements!$AP:$AP,Disbursements!$B:$B,Ageing!$B270,Disbursements!$AT:$AT,Ageing!J$4)</f>
        <v>0</v>
      </c>
      <c r="K270" s="369">
        <f ca="1">SUMIFS(Disbursements!$AP:$AP,Disbursements!$B:$B,Ageing!$B270,Disbursements!$AT:$AT,Ageing!K$4)</f>
        <v>75000</v>
      </c>
      <c r="L270" s="369">
        <f ca="1">SUMIFS(Disbursements!$AP:$AP,Disbursements!$B:$B,Ageing!$B270,Disbursements!$AT:$AT,Ageing!L$4)</f>
        <v>0</v>
      </c>
      <c r="M270" s="369">
        <f ca="1">SUMIFS(Disbursements!$AP:$AP,Disbursements!$B:$B,Ageing!$B270,Disbursements!$AT:$AT,Ageing!M$4)</f>
        <v>0</v>
      </c>
      <c r="N270" s="369">
        <f ca="1">SUMIFS(Disbursements!$AP:$AP,Disbursements!$B:$B,Ageing!$B270,Disbursements!$AT:$AT,Ageing!N$4)</f>
        <v>0</v>
      </c>
      <c r="O270" s="369">
        <f ca="1">SUMIFS(Disbursements!$AP:$AP,Disbursements!$B:$B,Ageing!$B270,Disbursements!$AT:$AT,Ageing!O$4)</f>
        <v>0</v>
      </c>
    </row>
    <row r="271" spans="1:15" x14ac:dyDescent="0.2">
      <c r="A271" s="179" t="str">
        <f>IFERROR(VLOOKUP($B271,'Clients-Live'!$A:$C,3,30),"")</f>
        <v>KAMUSIRI JULIUS</v>
      </c>
      <c r="B271" s="478">
        <v>267</v>
      </c>
      <c r="C271" s="370" t="str">
        <f>IFERROR(INDEX(Disbursements!$J:$J,MATCH(Ageing!B271,Disbursements!$B:$B,0)),"No Loan")</f>
        <v>Kana</v>
      </c>
      <c r="D271" s="364">
        <f>SUMIF(Disbursements!$B:$B,Ageing!$B271,Disbursements!AN:AN)</f>
        <v>0</v>
      </c>
      <c r="E271" s="364">
        <f>SUMIF(Disbursements!$B:$B,Ageing!$B271,Disbursements!AO:AO)</f>
        <v>15000</v>
      </c>
      <c r="F271" s="365">
        <f t="shared" si="10"/>
        <v>15000</v>
      </c>
      <c r="G271" s="364">
        <f ca="1">SUMIF(Disbursements!$B:$B,Ageing!$B271,Disbursements!AQ:AQ)</f>
        <v>15000</v>
      </c>
      <c r="H271" s="364">
        <f ca="1">SUMIF(Disbursements!$B:$B,Ageing!$B271,Disbursements!AS:AS)</f>
        <v>6</v>
      </c>
      <c r="I271" s="364">
        <f t="shared" ca="1" si="11"/>
        <v>1</v>
      </c>
      <c r="J271" s="369">
        <f ca="1">SUMIFS(Disbursements!$AP:$AP,Disbursements!$B:$B,Ageing!$B271,Disbursements!$AT:$AT,Ageing!J$4)</f>
        <v>0</v>
      </c>
      <c r="K271" s="369">
        <f ca="1">SUMIFS(Disbursements!$AP:$AP,Disbursements!$B:$B,Ageing!$B271,Disbursements!$AT:$AT,Ageing!K$4)</f>
        <v>15000</v>
      </c>
      <c r="L271" s="369">
        <f ca="1">SUMIFS(Disbursements!$AP:$AP,Disbursements!$B:$B,Ageing!$B271,Disbursements!$AT:$AT,Ageing!L$4)</f>
        <v>0</v>
      </c>
      <c r="M271" s="369">
        <f ca="1">SUMIFS(Disbursements!$AP:$AP,Disbursements!$B:$B,Ageing!$B271,Disbursements!$AT:$AT,Ageing!M$4)</f>
        <v>0</v>
      </c>
      <c r="N271" s="369">
        <f ca="1">SUMIFS(Disbursements!$AP:$AP,Disbursements!$B:$B,Ageing!$B271,Disbursements!$AT:$AT,Ageing!N$4)</f>
        <v>0</v>
      </c>
      <c r="O271" s="369">
        <f ca="1">SUMIFS(Disbursements!$AP:$AP,Disbursements!$B:$B,Ageing!$B271,Disbursements!$AT:$AT,Ageing!O$4)</f>
        <v>0</v>
      </c>
    </row>
    <row r="272" spans="1:15" x14ac:dyDescent="0.2">
      <c r="A272" s="179" t="str">
        <f>IFERROR(VLOOKUP($B272,'Clients-Live'!$A:$C,3,30),"")</f>
        <v>BATRE SAVIOUR</v>
      </c>
      <c r="B272" s="478">
        <v>268</v>
      </c>
      <c r="C272" s="370" t="str">
        <f>IFERROR(INDEX(Disbursements!$J:$J,MATCH(Ageing!B272,Disbursements!$B:$B,0)),"No Loan")</f>
        <v>No Loan</v>
      </c>
      <c r="D272" s="364">
        <f>SUMIF(Disbursements!$B:$B,Ageing!$B272,Disbursements!AN:AN)</f>
        <v>0</v>
      </c>
      <c r="E272" s="364">
        <f>SUMIF(Disbursements!$B:$B,Ageing!$B272,Disbursements!AO:AO)</f>
        <v>0</v>
      </c>
      <c r="F272" s="365">
        <f t="shared" si="10"/>
        <v>0</v>
      </c>
      <c r="G272" s="364">
        <f>SUMIF(Disbursements!$B:$B,Ageing!$B272,Disbursements!AQ:AQ)</f>
        <v>0</v>
      </c>
      <c r="H272" s="364">
        <f>SUMIF(Disbursements!$B:$B,Ageing!$B272,Disbursements!AS:AS)</f>
        <v>0</v>
      </c>
      <c r="I272" s="364">
        <f t="shared" si="11"/>
        <v>0</v>
      </c>
      <c r="J272" s="369">
        <f>SUMIFS(Disbursements!$AP:$AP,Disbursements!$B:$B,Ageing!$B272,Disbursements!$AT:$AT,Ageing!J$4)</f>
        <v>0</v>
      </c>
      <c r="K272" s="369">
        <f>SUMIFS(Disbursements!$AP:$AP,Disbursements!$B:$B,Ageing!$B272,Disbursements!$AT:$AT,Ageing!K$4)</f>
        <v>0</v>
      </c>
      <c r="L272" s="369">
        <f>SUMIFS(Disbursements!$AP:$AP,Disbursements!$B:$B,Ageing!$B272,Disbursements!$AT:$AT,Ageing!L$4)</f>
        <v>0</v>
      </c>
      <c r="M272" s="369">
        <f>SUMIFS(Disbursements!$AP:$AP,Disbursements!$B:$B,Ageing!$B272,Disbursements!$AT:$AT,Ageing!M$4)</f>
        <v>0</v>
      </c>
      <c r="N272" s="369">
        <f>SUMIFS(Disbursements!$AP:$AP,Disbursements!$B:$B,Ageing!$B272,Disbursements!$AT:$AT,Ageing!N$4)</f>
        <v>0</v>
      </c>
      <c r="O272" s="369">
        <f>SUMIFS(Disbursements!$AP:$AP,Disbursements!$B:$B,Ageing!$B272,Disbursements!$AT:$AT,Ageing!O$4)</f>
        <v>0</v>
      </c>
    </row>
    <row r="273" spans="1:15" x14ac:dyDescent="0.2">
      <c r="A273" s="179" t="str">
        <f>IFERROR(VLOOKUP($B273,'Clients-Live'!$A:$C,3,30),"")</f>
        <v>YANYA ROBINA</v>
      </c>
      <c r="B273" s="478">
        <v>269</v>
      </c>
      <c r="C273" s="370" t="str">
        <f>IFERROR(INDEX(Disbursements!$J:$J,MATCH(Ageing!B273,Disbursements!$B:$B,0)),"No Loan")</f>
        <v>Kana</v>
      </c>
      <c r="D273" s="364">
        <f>SUMIF(Disbursements!$B:$B,Ageing!$B273,Disbursements!AN:AN)</f>
        <v>0</v>
      </c>
      <c r="E273" s="364">
        <f>SUMIF(Disbursements!$B:$B,Ageing!$B273,Disbursements!AO:AO)</f>
        <v>1000</v>
      </c>
      <c r="F273" s="365">
        <f t="shared" si="10"/>
        <v>1000</v>
      </c>
      <c r="G273" s="364">
        <f ca="1">SUMIF(Disbursements!$B:$B,Ageing!$B273,Disbursements!AQ:AQ)</f>
        <v>1000</v>
      </c>
      <c r="H273" s="364">
        <f ca="1">SUMIF(Disbursements!$B:$B,Ageing!$B273,Disbursements!AS:AS)</f>
        <v>2</v>
      </c>
      <c r="I273" s="364">
        <f t="shared" ca="1" si="11"/>
        <v>1</v>
      </c>
      <c r="J273" s="369">
        <f ca="1">SUMIFS(Disbursements!$AP:$AP,Disbursements!$B:$B,Ageing!$B273,Disbursements!$AT:$AT,Ageing!J$4)</f>
        <v>0</v>
      </c>
      <c r="K273" s="369">
        <f ca="1">SUMIFS(Disbursements!$AP:$AP,Disbursements!$B:$B,Ageing!$B273,Disbursements!$AT:$AT,Ageing!K$4)</f>
        <v>1000</v>
      </c>
      <c r="L273" s="369">
        <f ca="1">SUMIFS(Disbursements!$AP:$AP,Disbursements!$B:$B,Ageing!$B273,Disbursements!$AT:$AT,Ageing!L$4)</f>
        <v>0</v>
      </c>
      <c r="M273" s="369">
        <f ca="1">SUMIFS(Disbursements!$AP:$AP,Disbursements!$B:$B,Ageing!$B273,Disbursements!$AT:$AT,Ageing!M$4)</f>
        <v>0</v>
      </c>
      <c r="N273" s="369">
        <f ca="1">SUMIFS(Disbursements!$AP:$AP,Disbursements!$B:$B,Ageing!$B273,Disbursements!$AT:$AT,Ageing!N$4)</f>
        <v>0</v>
      </c>
      <c r="O273" s="369">
        <f ca="1">SUMIFS(Disbursements!$AP:$AP,Disbursements!$B:$B,Ageing!$B273,Disbursements!$AT:$AT,Ageing!O$4)</f>
        <v>0</v>
      </c>
    </row>
    <row r="274" spans="1:15" x14ac:dyDescent="0.2">
      <c r="A274" s="179" t="str">
        <f>IFERROR(VLOOKUP($B274,'Clients-Live'!$A:$C,3,30),"")</f>
        <v>AJOBE SAMUEL</v>
      </c>
      <c r="B274" s="478">
        <v>270</v>
      </c>
      <c r="C274" s="370" t="str">
        <f>IFERROR(INDEX(Disbursements!$J:$J,MATCH(Ageing!B274,Disbursements!$B:$B,0)),"No Loan")</f>
        <v>Jerome</v>
      </c>
      <c r="D274" s="364">
        <f>SUMIF(Disbursements!$B:$B,Ageing!$B274,Disbursements!AN:AN)</f>
        <v>45000</v>
      </c>
      <c r="E274" s="364">
        <f>SUMIF(Disbursements!$B:$B,Ageing!$B274,Disbursements!AO:AO)</f>
        <v>240000</v>
      </c>
      <c r="F274" s="365">
        <f t="shared" si="10"/>
        <v>285000</v>
      </c>
      <c r="G274" s="364">
        <f ca="1">SUMIF(Disbursements!$B:$B,Ageing!$B274,Disbursements!AQ:AQ)</f>
        <v>285000</v>
      </c>
      <c r="H274" s="364">
        <f ca="1">SUMIF(Disbursements!$B:$B,Ageing!$B274,Disbursements!AS:AS)</f>
        <v>35</v>
      </c>
      <c r="I274" s="364">
        <f t="shared" ca="1" si="11"/>
        <v>1</v>
      </c>
      <c r="J274" s="369">
        <f ca="1">SUMIFS(Disbursements!$AP:$AP,Disbursements!$B:$B,Ageing!$B274,Disbursements!$AT:$AT,Ageing!J$4)</f>
        <v>0</v>
      </c>
      <c r="K274" s="369">
        <f ca="1">SUMIFS(Disbursements!$AP:$AP,Disbursements!$B:$B,Ageing!$B274,Disbursements!$AT:$AT,Ageing!K$4)</f>
        <v>0</v>
      </c>
      <c r="L274" s="369">
        <f ca="1">SUMIFS(Disbursements!$AP:$AP,Disbursements!$B:$B,Ageing!$B274,Disbursements!$AT:$AT,Ageing!L$4)</f>
        <v>285000</v>
      </c>
      <c r="M274" s="369">
        <f ca="1">SUMIFS(Disbursements!$AP:$AP,Disbursements!$B:$B,Ageing!$B274,Disbursements!$AT:$AT,Ageing!M$4)</f>
        <v>0</v>
      </c>
      <c r="N274" s="369">
        <f ca="1">SUMIFS(Disbursements!$AP:$AP,Disbursements!$B:$B,Ageing!$B274,Disbursements!$AT:$AT,Ageing!N$4)</f>
        <v>0</v>
      </c>
      <c r="O274" s="369">
        <f ca="1">SUMIFS(Disbursements!$AP:$AP,Disbursements!$B:$B,Ageing!$B274,Disbursements!$AT:$AT,Ageing!O$4)</f>
        <v>0</v>
      </c>
    </row>
    <row r="275" spans="1:15" x14ac:dyDescent="0.2">
      <c r="A275" s="179" t="str">
        <f>IFERROR(VLOOKUP($B275,'Clients-Live'!$A:$C,3,30),"")</f>
        <v>ALORO SAIDI</v>
      </c>
      <c r="B275" s="478">
        <v>271</v>
      </c>
      <c r="C275" s="370" t="str">
        <f>IFERROR(INDEX(Disbursements!$J:$J,MATCH(Ageing!B275,Disbursements!$B:$B,0)),"No Loan")</f>
        <v>Kana</v>
      </c>
      <c r="D275" s="364">
        <f>SUMIF(Disbursements!$B:$B,Ageing!$B275,Disbursements!AN:AN)</f>
        <v>0</v>
      </c>
      <c r="E275" s="364">
        <f>SUMIF(Disbursements!$B:$B,Ageing!$B275,Disbursements!AO:AO)</f>
        <v>30000</v>
      </c>
      <c r="F275" s="365">
        <f t="shared" si="10"/>
        <v>30000</v>
      </c>
      <c r="G275" s="364">
        <f ca="1">SUMIF(Disbursements!$B:$B,Ageing!$B275,Disbursements!AQ:AQ)</f>
        <v>30000</v>
      </c>
      <c r="H275" s="364">
        <f ca="1">SUMIF(Disbursements!$B:$B,Ageing!$B275,Disbursements!AS:AS)</f>
        <v>8</v>
      </c>
      <c r="I275" s="364">
        <f t="shared" ca="1" si="11"/>
        <v>1</v>
      </c>
      <c r="J275" s="369">
        <f ca="1">SUMIFS(Disbursements!$AP:$AP,Disbursements!$B:$B,Ageing!$B275,Disbursements!$AT:$AT,Ageing!J$4)</f>
        <v>0</v>
      </c>
      <c r="K275" s="369">
        <f ca="1">SUMIFS(Disbursements!$AP:$AP,Disbursements!$B:$B,Ageing!$B275,Disbursements!$AT:$AT,Ageing!K$4)</f>
        <v>30000</v>
      </c>
      <c r="L275" s="369">
        <f ca="1">SUMIFS(Disbursements!$AP:$AP,Disbursements!$B:$B,Ageing!$B275,Disbursements!$AT:$AT,Ageing!L$4)</f>
        <v>0</v>
      </c>
      <c r="M275" s="369">
        <f ca="1">SUMIFS(Disbursements!$AP:$AP,Disbursements!$B:$B,Ageing!$B275,Disbursements!$AT:$AT,Ageing!M$4)</f>
        <v>0</v>
      </c>
      <c r="N275" s="369">
        <f ca="1">SUMIFS(Disbursements!$AP:$AP,Disbursements!$B:$B,Ageing!$B275,Disbursements!$AT:$AT,Ageing!N$4)</f>
        <v>0</v>
      </c>
      <c r="O275" s="369">
        <f ca="1">SUMIFS(Disbursements!$AP:$AP,Disbursements!$B:$B,Ageing!$B275,Disbursements!$AT:$AT,Ageing!O$4)</f>
        <v>0</v>
      </c>
    </row>
    <row r="276" spans="1:15" x14ac:dyDescent="0.2">
      <c r="A276" s="179" t="str">
        <f>IFERROR(VLOOKUP($B276,'Clients-Live'!$A:$C,3,30),"")</f>
        <v>AFEKU EMMANUEL</v>
      </c>
      <c r="B276" s="478">
        <v>272</v>
      </c>
      <c r="C276" s="370" t="str">
        <f>IFERROR(INDEX(Disbursements!$J:$J,MATCH(Ageing!B276,Disbursements!$B:$B,0)),"No Loan")</f>
        <v>Jerome</v>
      </c>
      <c r="D276" s="364">
        <f>SUMIF(Disbursements!$B:$B,Ageing!$B276,Disbursements!AN:AN)</f>
        <v>150000</v>
      </c>
      <c r="E276" s="364">
        <f>SUMIF(Disbursements!$B:$B,Ageing!$B276,Disbursements!AO:AO)</f>
        <v>400000</v>
      </c>
      <c r="F276" s="365">
        <f t="shared" si="10"/>
        <v>550000</v>
      </c>
      <c r="G276" s="364">
        <f ca="1">SUMIF(Disbursements!$B:$B,Ageing!$B276,Disbursements!AQ:AQ)</f>
        <v>550000</v>
      </c>
      <c r="H276" s="364">
        <f ca="1">SUMIF(Disbursements!$B:$B,Ageing!$B276,Disbursements!AS:AS)</f>
        <v>150</v>
      </c>
      <c r="I276" s="364">
        <f t="shared" ca="1" si="11"/>
        <v>1</v>
      </c>
      <c r="J276" s="369">
        <f ca="1">SUMIFS(Disbursements!$AP:$AP,Disbursements!$B:$B,Ageing!$B276,Disbursements!$AT:$AT,Ageing!J$4)</f>
        <v>0</v>
      </c>
      <c r="K276" s="369">
        <f ca="1">SUMIFS(Disbursements!$AP:$AP,Disbursements!$B:$B,Ageing!$B276,Disbursements!$AT:$AT,Ageing!K$4)</f>
        <v>0</v>
      </c>
      <c r="L276" s="369">
        <f ca="1">SUMIFS(Disbursements!$AP:$AP,Disbursements!$B:$B,Ageing!$B276,Disbursements!$AT:$AT,Ageing!L$4)</f>
        <v>0</v>
      </c>
      <c r="M276" s="369">
        <f ca="1">SUMIFS(Disbursements!$AP:$AP,Disbursements!$B:$B,Ageing!$B276,Disbursements!$AT:$AT,Ageing!M$4)</f>
        <v>0</v>
      </c>
      <c r="N276" s="369">
        <f ca="1">SUMIFS(Disbursements!$AP:$AP,Disbursements!$B:$B,Ageing!$B276,Disbursements!$AT:$AT,Ageing!N$4)</f>
        <v>550000</v>
      </c>
      <c r="O276" s="369">
        <f ca="1">SUMIFS(Disbursements!$AP:$AP,Disbursements!$B:$B,Ageing!$B276,Disbursements!$AT:$AT,Ageing!O$4)</f>
        <v>0</v>
      </c>
    </row>
    <row r="277" spans="1:15" x14ac:dyDescent="0.2">
      <c r="A277" s="179" t="str">
        <f>IFERROR(VLOOKUP($B277,'Clients-Live'!$A:$C,3,30),"")</f>
        <v>TABAN PETER</v>
      </c>
      <c r="B277" s="478">
        <v>273</v>
      </c>
      <c r="C277" s="370" t="str">
        <f>IFERROR(INDEX(Disbursements!$J:$J,MATCH(Ageing!B277,Disbursements!$B:$B,0)),"No Loan")</f>
        <v>No Loan</v>
      </c>
      <c r="D277" s="364">
        <f>SUMIF(Disbursements!$B:$B,Ageing!$B277,Disbursements!AN:AN)</f>
        <v>0</v>
      </c>
      <c r="E277" s="364">
        <f>SUMIF(Disbursements!$B:$B,Ageing!$B277,Disbursements!AO:AO)</f>
        <v>0</v>
      </c>
      <c r="F277" s="365">
        <f t="shared" si="10"/>
        <v>0</v>
      </c>
      <c r="G277" s="364">
        <f>SUMIF(Disbursements!$B:$B,Ageing!$B277,Disbursements!AQ:AQ)</f>
        <v>0</v>
      </c>
      <c r="H277" s="364">
        <f>SUMIF(Disbursements!$B:$B,Ageing!$B277,Disbursements!AS:AS)</f>
        <v>0</v>
      </c>
      <c r="I277" s="364">
        <f t="shared" si="11"/>
        <v>0</v>
      </c>
      <c r="J277" s="369">
        <f>SUMIFS(Disbursements!$AP:$AP,Disbursements!$B:$B,Ageing!$B277,Disbursements!$AT:$AT,Ageing!J$4)</f>
        <v>0</v>
      </c>
      <c r="K277" s="369">
        <f>SUMIFS(Disbursements!$AP:$AP,Disbursements!$B:$B,Ageing!$B277,Disbursements!$AT:$AT,Ageing!K$4)</f>
        <v>0</v>
      </c>
      <c r="L277" s="369">
        <f>SUMIFS(Disbursements!$AP:$AP,Disbursements!$B:$B,Ageing!$B277,Disbursements!$AT:$AT,Ageing!L$4)</f>
        <v>0</v>
      </c>
      <c r="M277" s="369">
        <f>SUMIFS(Disbursements!$AP:$AP,Disbursements!$B:$B,Ageing!$B277,Disbursements!$AT:$AT,Ageing!M$4)</f>
        <v>0</v>
      </c>
      <c r="N277" s="369">
        <f>SUMIFS(Disbursements!$AP:$AP,Disbursements!$B:$B,Ageing!$B277,Disbursements!$AT:$AT,Ageing!N$4)</f>
        <v>0</v>
      </c>
      <c r="O277" s="369">
        <f>SUMIFS(Disbursements!$AP:$AP,Disbursements!$B:$B,Ageing!$B277,Disbursements!$AT:$AT,Ageing!O$4)</f>
        <v>0</v>
      </c>
    </row>
    <row r="278" spans="1:15" x14ac:dyDescent="0.2">
      <c r="A278" s="179" t="str">
        <f>IFERROR(VLOOKUP($B278,'Clients-Live'!$A:$C,3,30),"")</f>
        <v>APANGU MUZAMIL</v>
      </c>
      <c r="B278" s="478">
        <v>274</v>
      </c>
      <c r="C278" s="370" t="str">
        <f>IFERROR(INDEX(Disbursements!$J:$J,MATCH(Ageing!B278,Disbursements!$B:$B,0)),"No Loan")</f>
        <v>No Loan</v>
      </c>
      <c r="D278" s="364">
        <f>SUMIF(Disbursements!$B:$B,Ageing!$B278,Disbursements!AN:AN)</f>
        <v>0</v>
      </c>
      <c r="E278" s="364">
        <f>SUMIF(Disbursements!$B:$B,Ageing!$B278,Disbursements!AO:AO)</f>
        <v>0</v>
      </c>
      <c r="F278" s="365">
        <f t="shared" si="10"/>
        <v>0</v>
      </c>
      <c r="G278" s="364">
        <f>SUMIF(Disbursements!$B:$B,Ageing!$B278,Disbursements!AQ:AQ)</f>
        <v>0</v>
      </c>
      <c r="H278" s="364">
        <f>SUMIF(Disbursements!$B:$B,Ageing!$B278,Disbursements!AS:AS)</f>
        <v>0</v>
      </c>
      <c r="I278" s="364">
        <f t="shared" si="11"/>
        <v>0</v>
      </c>
      <c r="J278" s="369">
        <f>SUMIFS(Disbursements!$AP:$AP,Disbursements!$B:$B,Ageing!$B278,Disbursements!$AT:$AT,Ageing!J$4)</f>
        <v>0</v>
      </c>
      <c r="K278" s="369">
        <f>SUMIFS(Disbursements!$AP:$AP,Disbursements!$B:$B,Ageing!$B278,Disbursements!$AT:$AT,Ageing!K$4)</f>
        <v>0</v>
      </c>
      <c r="L278" s="369">
        <f>SUMIFS(Disbursements!$AP:$AP,Disbursements!$B:$B,Ageing!$B278,Disbursements!$AT:$AT,Ageing!L$4)</f>
        <v>0</v>
      </c>
      <c r="M278" s="369">
        <f>SUMIFS(Disbursements!$AP:$AP,Disbursements!$B:$B,Ageing!$B278,Disbursements!$AT:$AT,Ageing!M$4)</f>
        <v>0</v>
      </c>
      <c r="N278" s="369">
        <f>SUMIFS(Disbursements!$AP:$AP,Disbursements!$B:$B,Ageing!$B278,Disbursements!$AT:$AT,Ageing!N$4)</f>
        <v>0</v>
      </c>
      <c r="O278" s="369">
        <f>SUMIFS(Disbursements!$AP:$AP,Disbursements!$B:$B,Ageing!$B278,Disbursements!$AT:$AT,Ageing!O$4)</f>
        <v>0</v>
      </c>
    </row>
    <row r="279" spans="1:15" x14ac:dyDescent="0.2">
      <c r="A279" s="179" t="str">
        <f>IFERROR(VLOOKUP($B279,'Clients-Live'!$A:$C,3,30),"")</f>
        <v>AMILE RUKIA</v>
      </c>
      <c r="B279" s="478">
        <v>275</v>
      </c>
      <c r="C279" s="370" t="str">
        <f>IFERROR(INDEX(Disbursements!$J:$J,MATCH(Ageing!B279,Disbursements!$B:$B,0)),"No Loan")</f>
        <v>No Loan</v>
      </c>
      <c r="D279" s="364">
        <f>SUMIF(Disbursements!$B:$B,Ageing!$B279,Disbursements!AN:AN)</f>
        <v>0</v>
      </c>
      <c r="E279" s="364">
        <f>SUMIF(Disbursements!$B:$B,Ageing!$B279,Disbursements!AO:AO)</f>
        <v>0</v>
      </c>
      <c r="F279" s="365">
        <f t="shared" si="10"/>
        <v>0</v>
      </c>
      <c r="G279" s="364">
        <f>SUMIF(Disbursements!$B:$B,Ageing!$B279,Disbursements!AQ:AQ)</f>
        <v>0</v>
      </c>
      <c r="H279" s="364">
        <f>SUMIF(Disbursements!$B:$B,Ageing!$B279,Disbursements!AS:AS)</f>
        <v>0</v>
      </c>
      <c r="I279" s="364">
        <f t="shared" si="11"/>
        <v>0</v>
      </c>
      <c r="J279" s="369">
        <f>SUMIFS(Disbursements!$AP:$AP,Disbursements!$B:$B,Ageing!$B279,Disbursements!$AT:$AT,Ageing!J$4)</f>
        <v>0</v>
      </c>
      <c r="K279" s="369">
        <f>SUMIFS(Disbursements!$AP:$AP,Disbursements!$B:$B,Ageing!$B279,Disbursements!$AT:$AT,Ageing!K$4)</f>
        <v>0</v>
      </c>
      <c r="L279" s="369">
        <f>SUMIFS(Disbursements!$AP:$AP,Disbursements!$B:$B,Ageing!$B279,Disbursements!$AT:$AT,Ageing!L$4)</f>
        <v>0</v>
      </c>
      <c r="M279" s="369">
        <f>SUMIFS(Disbursements!$AP:$AP,Disbursements!$B:$B,Ageing!$B279,Disbursements!$AT:$AT,Ageing!M$4)</f>
        <v>0</v>
      </c>
      <c r="N279" s="369">
        <f>SUMIFS(Disbursements!$AP:$AP,Disbursements!$B:$B,Ageing!$B279,Disbursements!$AT:$AT,Ageing!N$4)</f>
        <v>0</v>
      </c>
      <c r="O279" s="369">
        <f>SUMIFS(Disbursements!$AP:$AP,Disbursements!$B:$B,Ageing!$B279,Disbursements!$AT:$AT,Ageing!O$4)</f>
        <v>0</v>
      </c>
    </row>
    <row r="280" spans="1:15" x14ac:dyDescent="0.2">
      <c r="A280" s="179" t="str">
        <f>IFERROR(VLOOKUP($B280,'Clients-Live'!$A:$C,3,30),"")</f>
        <v>MANDELA SWAIBU</v>
      </c>
      <c r="B280" s="478">
        <v>276</v>
      </c>
      <c r="C280" s="370" t="str">
        <f>IFERROR(INDEX(Disbursements!$J:$J,MATCH(Ageing!B280,Disbursements!$B:$B,0)),"No Loan")</f>
        <v>Jerome</v>
      </c>
      <c r="D280" s="364">
        <f>SUMIF(Disbursements!$B:$B,Ageing!$B280,Disbursements!AN:AN)</f>
        <v>161000</v>
      </c>
      <c r="E280" s="364">
        <f>SUMIF(Disbursements!$B:$B,Ageing!$B280,Disbursements!AO:AO)</f>
        <v>939000</v>
      </c>
      <c r="F280" s="365">
        <f t="shared" si="10"/>
        <v>1100000</v>
      </c>
      <c r="G280" s="364">
        <f ca="1">SUMIF(Disbursements!$B:$B,Ageing!$B280,Disbursements!AQ:AQ)</f>
        <v>1100000</v>
      </c>
      <c r="H280" s="364">
        <f ca="1">SUMIF(Disbursements!$B:$B,Ageing!$B280,Disbursements!AS:AS)</f>
        <v>102</v>
      </c>
      <c r="I280" s="364">
        <f t="shared" ca="1" si="11"/>
        <v>1</v>
      </c>
      <c r="J280" s="369">
        <f ca="1">SUMIFS(Disbursements!$AP:$AP,Disbursements!$B:$B,Ageing!$B280,Disbursements!$AT:$AT,Ageing!J$4)</f>
        <v>0</v>
      </c>
      <c r="K280" s="369">
        <f ca="1">SUMIFS(Disbursements!$AP:$AP,Disbursements!$B:$B,Ageing!$B280,Disbursements!$AT:$AT,Ageing!K$4)</f>
        <v>0</v>
      </c>
      <c r="L280" s="369">
        <f ca="1">SUMIFS(Disbursements!$AP:$AP,Disbursements!$B:$B,Ageing!$B280,Disbursements!$AT:$AT,Ageing!L$4)</f>
        <v>0</v>
      </c>
      <c r="M280" s="369">
        <f ca="1">SUMIFS(Disbursements!$AP:$AP,Disbursements!$B:$B,Ageing!$B280,Disbursements!$AT:$AT,Ageing!M$4)</f>
        <v>0</v>
      </c>
      <c r="N280" s="369">
        <f ca="1">SUMIFS(Disbursements!$AP:$AP,Disbursements!$B:$B,Ageing!$B280,Disbursements!$AT:$AT,Ageing!N$4)</f>
        <v>1100000</v>
      </c>
      <c r="O280" s="369">
        <f ca="1">SUMIFS(Disbursements!$AP:$AP,Disbursements!$B:$B,Ageing!$B280,Disbursements!$AT:$AT,Ageing!O$4)</f>
        <v>0</v>
      </c>
    </row>
    <row r="281" spans="1:15" x14ac:dyDescent="0.2">
      <c r="A281" s="179" t="str">
        <f>IFERROR(VLOOKUP($B281,'Clients-Live'!$A:$C,3,30),"")</f>
        <v>WAYI DAVID</v>
      </c>
      <c r="B281" s="478">
        <v>277</v>
      </c>
      <c r="C281" s="370" t="str">
        <f>IFERROR(INDEX(Disbursements!$J:$J,MATCH(Ageing!B281,Disbursements!$B:$B,0)),"No Loan")</f>
        <v>Aroma</v>
      </c>
      <c r="D281" s="364">
        <f>SUMIF(Disbursements!$B:$B,Ageing!$B281,Disbursements!AN:AN)</f>
        <v>0</v>
      </c>
      <c r="E281" s="364">
        <f>SUMIF(Disbursements!$B:$B,Ageing!$B281,Disbursements!AO:AO)</f>
        <v>1800</v>
      </c>
      <c r="F281" s="365">
        <f t="shared" si="10"/>
        <v>1800</v>
      </c>
      <c r="G281" s="364">
        <f ca="1">SUMIF(Disbursements!$B:$B,Ageing!$B281,Disbursements!AQ:AQ)</f>
        <v>1800</v>
      </c>
      <c r="H281" s="364">
        <f ca="1">SUMIF(Disbursements!$B:$B,Ageing!$B281,Disbursements!AS:AS)</f>
        <v>1</v>
      </c>
      <c r="I281" s="364">
        <f t="shared" ca="1" si="11"/>
        <v>1</v>
      </c>
      <c r="J281" s="369">
        <f ca="1">SUMIFS(Disbursements!$AP:$AP,Disbursements!$B:$B,Ageing!$B281,Disbursements!$AT:$AT,Ageing!J$4)</f>
        <v>0</v>
      </c>
      <c r="K281" s="369">
        <f ca="1">SUMIFS(Disbursements!$AP:$AP,Disbursements!$B:$B,Ageing!$B281,Disbursements!$AT:$AT,Ageing!K$4)</f>
        <v>1800</v>
      </c>
      <c r="L281" s="369">
        <f ca="1">SUMIFS(Disbursements!$AP:$AP,Disbursements!$B:$B,Ageing!$B281,Disbursements!$AT:$AT,Ageing!L$4)</f>
        <v>0</v>
      </c>
      <c r="M281" s="369">
        <f ca="1">SUMIFS(Disbursements!$AP:$AP,Disbursements!$B:$B,Ageing!$B281,Disbursements!$AT:$AT,Ageing!M$4)</f>
        <v>0</v>
      </c>
      <c r="N281" s="369">
        <f ca="1">SUMIFS(Disbursements!$AP:$AP,Disbursements!$B:$B,Ageing!$B281,Disbursements!$AT:$AT,Ageing!N$4)</f>
        <v>0</v>
      </c>
      <c r="O281" s="369">
        <f ca="1">SUMIFS(Disbursements!$AP:$AP,Disbursements!$B:$B,Ageing!$B281,Disbursements!$AT:$AT,Ageing!O$4)</f>
        <v>0</v>
      </c>
    </row>
    <row r="282" spans="1:15" x14ac:dyDescent="0.2">
      <c r="A282" s="179" t="str">
        <f>IFERROR(VLOOKUP($B282,'Clients-Live'!$A:$C,3,30),"")</f>
        <v>AATE SUZAN</v>
      </c>
      <c r="B282" s="478">
        <v>278</v>
      </c>
      <c r="C282" s="370" t="str">
        <f>IFERROR(INDEX(Disbursements!$J:$J,MATCH(Ageing!B282,Disbursements!$B:$B,0)),"No Loan")</f>
        <v>Jerome</v>
      </c>
      <c r="D282" s="364">
        <f>SUMIF(Disbursements!$B:$B,Ageing!$B282,Disbursements!AN:AN)</f>
        <v>0</v>
      </c>
      <c r="E282" s="364">
        <f>SUMIF(Disbursements!$B:$B,Ageing!$B282,Disbursements!AO:AO)</f>
        <v>35000</v>
      </c>
      <c r="F282" s="365">
        <f t="shared" si="10"/>
        <v>35000</v>
      </c>
      <c r="G282" s="364">
        <f ca="1">SUMIF(Disbursements!$B:$B,Ageing!$B282,Disbursements!AQ:AQ)</f>
        <v>35000</v>
      </c>
      <c r="H282" s="364">
        <f ca="1">SUMIF(Disbursements!$B:$B,Ageing!$B282,Disbursements!AS:AS)</f>
        <v>18</v>
      </c>
      <c r="I282" s="364">
        <f t="shared" ca="1" si="11"/>
        <v>1</v>
      </c>
      <c r="J282" s="369">
        <f ca="1">SUMIFS(Disbursements!$AP:$AP,Disbursements!$B:$B,Ageing!$B282,Disbursements!$AT:$AT,Ageing!J$4)</f>
        <v>0</v>
      </c>
      <c r="K282" s="369">
        <f ca="1">SUMIFS(Disbursements!$AP:$AP,Disbursements!$B:$B,Ageing!$B282,Disbursements!$AT:$AT,Ageing!K$4)</f>
        <v>35000</v>
      </c>
      <c r="L282" s="369">
        <f ca="1">SUMIFS(Disbursements!$AP:$AP,Disbursements!$B:$B,Ageing!$B282,Disbursements!$AT:$AT,Ageing!L$4)</f>
        <v>0</v>
      </c>
      <c r="M282" s="369">
        <f ca="1">SUMIFS(Disbursements!$AP:$AP,Disbursements!$B:$B,Ageing!$B282,Disbursements!$AT:$AT,Ageing!M$4)</f>
        <v>0</v>
      </c>
      <c r="N282" s="369">
        <f ca="1">SUMIFS(Disbursements!$AP:$AP,Disbursements!$B:$B,Ageing!$B282,Disbursements!$AT:$AT,Ageing!N$4)</f>
        <v>0</v>
      </c>
      <c r="O282" s="369">
        <f ca="1">SUMIFS(Disbursements!$AP:$AP,Disbursements!$B:$B,Ageing!$B282,Disbursements!$AT:$AT,Ageing!O$4)</f>
        <v>0</v>
      </c>
    </row>
    <row r="283" spans="1:15" x14ac:dyDescent="0.2">
      <c r="A283" s="179" t="str">
        <f>IFERROR(VLOOKUP($B283,'Clients-Live'!$A:$C,3,30),"")</f>
        <v>CHANDIGA PETER</v>
      </c>
      <c r="B283" s="478">
        <v>279</v>
      </c>
      <c r="C283" s="370" t="str">
        <f>IFERROR(INDEX(Disbursements!$J:$J,MATCH(Ageing!B283,Disbursements!$B:$B,0)),"No Loan")</f>
        <v>No Loan</v>
      </c>
      <c r="D283" s="364">
        <f>SUMIF(Disbursements!$B:$B,Ageing!$B283,Disbursements!AN:AN)</f>
        <v>0</v>
      </c>
      <c r="E283" s="364">
        <f>SUMIF(Disbursements!$B:$B,Ageing!$B283,Disbursements!AO:AO)</f>
        <v>0</v>
      </c>
      <c r="F283" s="365">
        <f t="shared" si="10"/>
        <v>0</v>
      </c>
      <c r="G283" s="364">
        <f>SUMIF(Disbursements!$B:$B,Ageing!$B283,Disbursements!AQ:AQ)</f>
        <v>0</v>
      </c>
      <c r="H283" s="364">
        <f>SUMIF(Disbursements!$B:$B,Ageing!$B283,Disbursements!AS:AS)</f>
        <v>0</v>
      </c>
      <c r="I283" s="364">
        <f t="shared" si="11"/>
        <v>0</v>
      </c>
      <c r="J283" s="369">
        <f>SUMIFS(Disbursements!$AP:$AP,Disbursements!$B:$B,Ageing!$B283,Disbursements!$AT:$AT,Ageing!J$4)</f>
        <v>0</v>
      </c>
      <c r="K283" s="369">
        <f>SUMIFS(Disbursements!$AP:$AP,Disbursements!$B:$B,Ageing!$B283,Disbursements!$AT:$AT,Ageing!K$4)</f>
        <v>0</v>
      </c>
      <c r="L283" s="369">
        <f>SUMIFS(Disbursements!$AP:$AP,Disbursements!$B:$B,Ageing!$B283,Disbursements!$AT:$AT,Ageing!L$4)</f>
        <v>0</v>
      </c>
      <c r="M283" s="369">
        <f>SUMIFS(Disbursements!$AP:$AP,Disbursements!$B:$B,Ageing!$B283,Disbursements!$AT:$AT,Ageing!M$4)</f>
        <v>0</v>
      </c>
      <c r="N283" s="369">
        <f>SUMIFS(Disbursements!$AP:$AP,Disbursements!$B:$B,Ageing!$B283,Disbursements!$AT:$AT,Ageing!N$4)</f>
        <v>0</v>
      </c>
      <c r="O283" s="369">
        <f>SUMIFS(Disbursements!$AP:$AP,Disbursements!$B:$B,Ageing!$B283,Disbursements!$AT:$AT,Ageing!O$4)</f>
        <v>0</v>
      </c>
    </row>
    <row r="284" spans="1:15" x14ac:dyDescent="0.2">
      <c r="A284" s="179" t="str">
        <f>IFERROR(VLOOKUP($B284,'Clients-Live'!$A:$C,3,30),"")</f>
        <v>ANYULE JAMALI</v>
      </c>
      <c r="B284" s="478">
        <v>280</v>
      </c>
      <c r="C284" s="370" t="str">
        <f>IFERROR(INDEX(Disbursements!$J:$J,MATCH(Ageing!B284,Disbursements!$B:$B,0)),"No Loan")</f>
        <v>No Loan</v>
      </c>
      <c r="D284" s="364">
        <f>SUMIF(Disbursements!$B:$B,Ageing!$B284,Disbursements!AN:AN)</f>
        <v>0</v>
      </c>
      <c r="E284" s="364">
        <f>SUMIF(Disbursements!$B:$B,Ageing!$B284,Disbursements!AO:AO)</f>
        <v>0</v>
      </c>
      <c r="F284" s="365">
        <f t="shared" si="10"/>
        <v>0</v>
      </c>
      <c r="G284" s="364">
        <f>SUMIF(Disbursements!$B:$B,Ageing!$B284,Disbursements!AQ:AQ)</f>
        <v>0</v>
      </c>
      <c r="H284" s="364">
        <f>SUMIF(Disbursements!$B:$B,Ageing!$B284,Disbursements!AS:AS)</f>
        <v>0</v>
      </c>
      <c r="I284" s="364">
        <f t="shared" si="11"/>
        <v>0</v>
      </c>
      <c r="J284" s="369">
        <f>SUMIFS(Disbursements!$AP:$AP,Disbursements!$B:$B,Ageing!$B284,Disbursements!$AT:$AT,Ageing!J$4)</f>
        <v>0</v>
      </c>
      <c r="K284" s="369">
        <f>SUMIFS(Disbursements!$AP:$AP,Disbursements!$B:$B,Ageing!$B284,Disbursements!$AT:$AT,Ageing!K$4)</f>
        <v>0</v>
      </c>
      <c r="L284" s="369">
        <f>SUMIFS(Disbursements!$AP:$AP,Disbursements!$B:$B,Ageing!$B284,Disbursements!$AT:$AT,Ageing!L$4)</f>
        <v>0</v>
      </c>
      <c r="M284" s="369">
        <f>SUMIFS(Disbursements!$AP:$AP,Disbursements!$B:$B,Ageing!$B284,Disbursements!$AT:$AT,Ageing!M$4)</f>
        <v>0</v>
      </c>
      <c r="N284" s="369">
        <f>SUMIFS(Disbursements!$AP:$AP,Disbursements!$B:$B,Ageing!$B284,Disbursements!$AT:$AT,Ageing!N$4)</f>
        <v>0</v>
      </c>
      <c r="O284" s="369">
        <f>SUMIFS(Disbursements!$AP:$AP,Disbursements!$B:$B,Ageing!$B284,Disbursements!$AT:$AT,Ageing!O$4)</f>
        <v>0</v>
      </c>
    </row>
    <row r="285" spans="1:15" x14ac:dyDescent="0.2">
      <c r="A285" s="179" t="str">
        <f>IFERROR(VLOOKUP($B285,'Clients-Live'!$A:$C,3,30),"")</f>
        <v>BAKO ZUBEDA</v>
      </c>
      <c r="B285" s="478">
        <v>281</v>
      </c>
      <c r="C285" s="370" t="str">
        <f>IFERROR(INDEX(Disbursements!$J:$J,MATCH(Ageing!B285,Disbursements!$B:$B,0)),"No Loan")</f>
        <v>Jerome</v>
      </c>
      <c r="D285" s="364">
        <f>SUMIF(Disbursements!$B:$B,Ageing!$B285,Disbursements!AN:AN)</f>
        <v>0</v>
      </c>
      <c r="E285" s="364">
        <f>SUMIF(Disbursements!$B:$B,Ageing!$B285,Disbursements!AO:AO)</f>
        <v>6400</v>
      </c>
      <c r="F285" s="365">
        <f t="shared" si="10"/>
        <v>6400</v>
      </c>
      <c r="G285" s="364">
        <f ca="1">SUMIF(Disbursements!$B:$B,Ageing!$B285,Disbursements!AQ:AQ)</f>
        <v>6400</v>
      </c>
      <c r="H285" s="364">
        <f ca="1">SUMIF(Disbursements!$B:$B,Ageing!$B285,Disbursements!AS:AS)</f>
        <v>2</v>
      </c>
      <c r="I285" s="364">
        <f t="shared" ca="1" si="11"/>
        <v>1</v>
      </c>
      <c r="J285" s="369">
        <f ca="1">SUMIFS(Disbursements!$AP:$AP,Disbursements!$B:$B,Ageing!$B285,Disbursements!$AT:$AT,Ageing!J$4)</f>
        <v>0</v>
      </c>
      <c r="K285" s="369">
        <f ca="1">SUMIFS(Disbursements!$AP:$AP,Disbursements!$B:$B,Ageing!$B285,Disbursements!$AT:$AT,Ageing!K$4)</f>
        <v>6400</v>
      </c>
      <c r="L285" s="369">
        <f ca="1">SUMIFS(Disbursements!$AP:$AP,Disbursements!$B:$B,Ageing!$B285,Disbursements!$AT:$AT,Ageing!L$4)</f>
        <v>0</v>
      </c>
      <c r="M285" s="369">
        <f ca="1">SUMIFS(Disbursements!$AP:$AP,Disbursements!$B:$B,Ageing!$B285,Disbursements!$AT:$AT,Ageing!M$4)</f>
        <v>0</v>
      </c>
      <c r="N285" s="369">
        <f ca="1">SUMIFS(Disbursements!$AP:$AP,Disbursements!$B:$B,Ageing!$B285,Disbursements!$AT:$AT,Ageing!N$4)</f>
        <v>0</v>
      </c>
      <c r="O285" s="369">
        <f ca="1">SUMIFS(Disbursements!$AP:$AP,Disbursements!$B:$B,Ageing!$B285,Disbursements!$AT:$AT,Ageing!O$4)</f>
        <v>0</v>
      </c>
    </row>
    <row r="286" spans="1:15" x14ac:dyDescent="0.2">
      <c r="A286" s="179" t="str">
        <f>IFERROR(VLOOKUP($B286,'Clients-Live'!$A:$C,3,30),"")</f>
        <v>TAYI MODESTO</v>
      </c>
      <c r="B286" s="478">
        <v>282</v>
      </c>
      <c r="C286" s="370" t="str">
        <f>IFERROR(INDEX(Disbursements!$J:$J,MATCH(Ageing!B286,Disbursements!$B:$B,0)),"No Loan")</f>
        <v>No Loan</v>
      </c>
      <c r="D286" s="364">
        <f>SUMIF(Disbursements!$B:$B,Ageing!$B286,Disbursements!AN:AN)</f>
        <v>0</v>
      </c>
      <c r="E286" s="364">
        <f>SUMIF(Disbursements!$B:$B,Ageing!$B286,Disbursements!AO:AO)</f>
        <v>0</v>
      </c>
      <c r="F286" s="365">
        <f t="shared" si="10"/>
        <v>0</v>
      </c>
      <c r="G286" s="364">
        <f>SUMIF(Disbursements!$B:$B,Ageing!$B286,Disbursements!AQ:AQ)</f>
        <v>0</v>
      </c>
      <c r="H286" s="364">
        <f>SUMIF(Disbursements!$B:$B,Ageing!$B286,Disbursements!AS:AS)</f>
        <v>0</v>
      </c>
      <c r="I286" s="364">
        <f t="shared" si="11"/>
        <v>0</v>
      </c>
      <c r="J286" s="369">
        <f>SUMIFS(Disbursements!$AP:$AP,Disbursements!$B:$B,Ageing!$B286,Disbursements!$AT:$AT,Ageing!J$4)</f>
        <v>0</v>
      </c>
      <c r="K286" s="369">
        <f>SUMIFS(Disbursements!$AP:$AP,Disbursements!$B:$B,Ageing!$B286,Disbursements!$AT:$AT,Ageing!K$4)</f>
        <v>0</v>
      </c>
      <c r="L286" s="369">
        <f>SUMIFS(Disbursements!$AP:$AP,Disbursements!$B:$B,Ageing!$B286,Disbursements!$AT:$AT,Ageing!L$4)</f>
        <v>0</v>
      </c>
      <c r="M286" s="369">
        <f>SUMIFS(Disbursements!$AP:$AP,Disbursements!$B:$B,Ageing!$B286,Disbursements!$AT:$AT,Ageing!M$4)</f>
        <v>0</v>
      </c>
      <c r="N286" s="369">
        <f>SUMIFS(Disbursements!$AP:$AP,Disbursements!$B:$B,Ageing!$B286,Disbursements!$AT:$AT,Ageing!N$4)</f>
        <v>0</v>
      </c>
      <c r="O286" s="369">
        <f>SUMIFS(Disbursements!$AP:$AP,Disbursements!$B:$B,Ageing!$B286,Disbursements!$AT:$AT,Ageing!O$4)</f>
        <v>0</v>
      </c>
    </row>
    <row r="287" spans="1:15" x14ac:dyDescent="0.2">
      <c r="A287" s="179" t="str">
        <f>IFERROR(VLOOKUP($B287,'Clients-Live'!$A:$C,3,30),"")</f>
        <v>ASIKI ALEX</v>
      </c>
      <c r="B287" s="478">
        <v>283</v>
      </c>
      <c r="C287" s="370" t="str">
        <f>IFERROR(INDEX(Disbursements!$J:$J,MATCH(Ageing!B287,Disbursements!$B:$B,0)),"No Loan")</f>
        <v>No Loan</v>
      </c>
      <c r="D287" s="364">
        <f>SUMIF(Disbursements!$B:$B,Ageing!$B287,Disbursements!AN:AN)</f>
        <v>0</v>
      </c>
      <c r="E287" s="364">
        <f>SUMIF(Disbursements!$B:$B,Ageing!$B287,Disbursements!AO:AO)</f>
        <v>0</v>
      </c>
      <c r="F287" s="365">
        <f t="shared" si="10"/>
        <v>0</v>
      </c>
      <c r="G287" s="364">
        <f>SUMIF(Disbursements!$B:$B,Ageing!$B287,Disbursements!AQ:AQ)</f>
        <v>0</v>
      </c>
      <c r="H287" s="364">
        <f>SUMIF(Disbursements!$B:$B,Ageing!$B287,Disbursements!AS:AS)</f>
        <v>0</v>
      </c>
      <c r="I287" s="364">
        <f t="shared" si="11"/>
        <v>0</v>
      </c>
      <c r="J287" s="369">
        <f>SUMIFS(Disbursements!$AP:$AP,Disbursements!$B:$B,Ageing!$B287,Disbursements!$AT:$AT,Ageing!J$4)</f>
        <v>0</v>
      </c>
      <c r="K287" s="369">
        <f>SUMIFS(Disbursements!$AP:$AP,Disbursements!$B:$B,Ageing!$B287,Disbursements!$AT:$AT,Ageing!K$4)</f>
        <v>0</v>
      </c>
      <c r="L287" s="369">
        <f>SUMIFS(Disbursements!$AP:$AP,Disbursements!$B:$B,Ageing!$B287,Disbursements!$AT:$AT,Ageing!L$4)</f>
        <v>0</v>
      </c>
      <c r="M287" s="369">
        <f>SUMIFS(Disbursements!$AP:$AP,Disbursements!$B:$B,Ageing!$B287,Disbursements!$AT:$AT,Ageing!M$4)</f>
        <v>0</v>
      </c>
      <c r="N287" s="369">
        <f>SUMIFS(Disbursements!$AP:$AP,Disbursements!$B:$B,Ageing!$B287,Disbursements!$AT:$AT,Ageing!N$4)</f>
        <v>0</v>
      </c>
      <c r="O287" s="369">
        <f>SUMIFS(Disbursements!$AP:$AP,Disbursements!$B:$B,Ageing!$B287,Disbursements!$AT:$AT,Ageing!O$4)</f>
        <v>0</v>
      </c>
    </row>
    <row r="288" spans="1:15" x14ac:dyDescent="0.2">
      <c r="A288" s="179" t="str">
        <f>IFERROR(VLOOKUP($B288,'Clients-Live'!$A:$C,3,30),"")</f>
        <v>MALISH WAWASON</v>
      </c>
      <c r="B288" s="478">
        <v>284</v>
      </c>
      <c r="C288" s="370" t="str">
        <f>IFERROR(INDEX(Disbursements!$J:$J,MATCH(Ageing!B288,Disbursements!$B:$B,0)),"No Loan")</f>
        <v>Aroma</v>
      </c>
      <c r="D288" s="364">
        <f>SUMIF(Disbursements!$B:$B,Ageing!$B288,Disbursements!AN:AN)</f>
        <v>0</v>
      </c>
      <c r="E288" s="364">
        <f>SUMIF(Disbursements!$B:$B,Ageing!$B288,Disbursements!AO:AO)</f>
        <v>0</v>
      </c>
      <c r="F288" s="365">
        <f t="shared" si="10"/>
        <v>0</v>
      </c>
      <c r="G288" s="364">
        <f ca="1">SUMIF(Disbursements!$B:$B,Ageing!$B288,Disbursements!AQ:AQ)</f>
        <v>0</v>
      </c>
      <c r="H288" s="364">
        <f ca="1">SUMIF(Disbursements!$B:$B,Ageing!$B288,Disbursements!AS:AS)</f>
        <v>0</v>
      </c>
      <c r="I288" s="364">
        <f t="shared" si="11"/>
        <v>0</v>
      </c>
      <c r="J288" s="369">
        <f>SUMIFS(Disbursements!$AP:$AP,Disbursements!$B:$B,Ageing!$B288,Disbursements!$AT:$AT,Ageing!J$4)</f>
        <v>0</v>
      </c>
      <c r="K288" s="369">
        <f>SUMIFS(Disbursements!$AP:$AP,Disbursements!$B:$B,Ageing!$B288,Disbursements!$AT:$AT,Ageing!K$4)</f>
        <v>0</v>
      </c>
      <c r="L288" s="369">
        <f>SUMIFS(Disbursements!$AP:$AP,Disbursements!$B:$B,Ageing!$B288,Disbursements!$AT:$AT,Ageing!L$4)</f>
        <v>0</v>
      </c>
      <c r="M288" s="369">
        <f>SUMIFS(Disbursements!$AP:$AP,Disbursements!$B:$B,Ageing!$B288,Disbursements!$AT:$AT,Ageing!M$4)</f>
        <v>0</v>
      </c>
      <c r="N288" s="369">
        <f>SUMIFS(Disbursements!$AP:$AP,Disbursements!$B:$B,Ageing!$B288,Disbursements!$AT:$AT,Ageing!N$4)</f>
        <v>0</v>
      </c>
      <c r="O288" s="369">
        <f>SUMIFS(Disbursements!$AP:$AP,Disbursements!$B:$B,Ageing!$B288,Disbursements!$AT:$AT,Ageing!O$4)</f>
        <v>0</v>
      </c>
    </row>
    <row r="289" spans="1:15" x14ac:dyDescent="0.2">
      <c r="A289" s="179" t="str">
        <f>IFERROR(VLOOKUP($B289,'Clients-Live'!$A:$C,3,30),"")</f>
        <v>REMO MUSA AMIN</v>
      </c>
      <c r="B289" s="478">
        <v>285</v>
      </c>
      <c r="C289" s="370" t="str">
        <f>IFERROR(INDEX(Disbursements!$J:$J,MATCH(Ageing!B289,Disbursements!$B:$B,0)),"No Loan")</f>
        <v>No Loan</v>
      </c>
      <c r="D289" s="364">
        <f>SUMIF(Disbursements!$B:$B,Ageing!$B289,Disbursements!AN:AN)</f>
        <v>0</v>
      </c>
      <c r="E289" s="364">
        <f>SUMIF(Disbursements!$B:$B,Ageing!$B289,Disbursements!AO:AO)</f>
        <v>0</v>
      </c>
      <c r="F289" s="365">
        <f t="shared" si="10"/>
        <v>0</v>
      </c>
      <c r="G289" s="364">
        <f>SUMIF(Disbursements!$B:$B,Ageing!$B289,Disbursements!AQ:AQ)</f>
        <v>0</v>
      </c>
      <c r="H289" s="364">
        <f>SUMIF(Disbursements!$B:$B,Ageing!$B289,Disbursements!AS:AS)</f>
        <v>0</v>
      </c>
      <c r="I289" s="364">
        <f t="shared" si="11"/>
        <v>0</v>
      </c>
      <c r="J289" s="369">
        <f>SUMIFS(Disbursements!$AP:$AP,Disbursements!$B:$B,Ageing!$B289,Disbursements!$AT:$AT,Ageing!J$4)</f>
        <v>0</v>
      </c>
      <c r="K289" s="369">
        <f>SUMIFS(Disbursements!$AP:$AP,Disbursements!$B:$B,Ageing!$B289,Disbursements!$AT:$AT,Ageing!K$4)</f>
        <v>0</v>
      </c>
      <c r="L289" s="369">
        <f>SUMIFS(Disbursements!$AP:$AP,Disbursements!$B:$B,Ageing!$B289,Disbursements!$AT:$AT,Ageing!L$4)</f>
        <v>0</v>
      </c>
      <c r="M289" s="369">
        <f>SUMIFS(Disbursements!$AP:$AP,Disbursements!$B:$B,Ageing!$B289,Disbursements!$AT:$AT,Ageing!M$4)</f>
        <v>0</v>
      </c>
      <c r="N289" s="369">
        <f>SUMIFS(Disbursements!$AP:$AP,Disbursements!$B:$B,Ageing!$B289,Disbursements!$AT:$AT,Ageing!N$4)</f>
        <v>0</v>
      </c>
      <c r="O289" s="369">
        <f>SUMIFS(Disbursements!$AP:$AP,Disbursements!$B:$B,Ageing!$B289,Disbursements!$AT:$AT,Ageing!O$4)</f>
        <v>0</v>
      </c>
    </row>
    <row r="290" spans="1:15" x14ac:dyDescent="0.2">
      <c r="A290" s="179" t="str">
        <f>IFERROR(VLOOKUP($B290,'Clients-Live'!$A:$C,3,30),"")</f>
        <v>DIRIA IRENE</v>
      </c>
      <c r="B290" s="478">
        <v>286</v>
      </c>
      <c r="C290" s="370" t="str">
        <f>IFERROR(INDEX(Disbursements!$J:$J,MATCH(Ageing!B290,Disbursements!$B:$B,0)),"No Loan")</f>
        <v>Kana</v>
      </c>
      <c r="D290" s="364">
        <f>SUMIF(Disbursements!$B:$B,Ageing!$B290,Disbursements!AN:AN)</f>
        <v>292000.00000000012</v>
      </c>
      <c r="E290" s="364">
        <f>SUMIF(Disbursements!$B:$B,Ageing!$B290,Disbursements!AO:AO)</f>
        <v>1329000</v>
      </c>
      <c r="F290" s="365">
        <f t="shared" si="10"/>
        <v>1621000</v>
      </c>
      <c r="G290" s="364">
        <f ca="1">SUMIF(Disbursements!$B:$B,Ageing!$B290,Disbursements!AQ:AQ)</f>
        <v>1621000</v>
      </c>
      <c r="H290" s="364">
        <f ca="1">SUMIF(Disbursements!$B:$B,Ageing!$B290,Disbursements!AS:AS)</f>
        <v>64</v>
      </c>
      <c r="I290" s="364">
        <f t="shared" ca="1" si="11"/>
        <v>1</v>
      </c>
      <c r="J290" s="369">
        <f ca="1">SUMIFS(Disbursements!$AP:$AP,Disbursements!$B:$B,Ageing!$B290,Disbursements!$AT:$AT,Ageing!J$4)</f>
        <v>0</v>
      </c>
      <c r="K290" s="369">
        <f ca="1">SUMIFS(Disbursements!$AP:$AP,Disbursements!$B:$B,Ageing!$B290,Disbursements!$AT:$AT,Ageing!K$4)</f>
        <v>0</v>
      </c>
      <c r="L290" s="369">
        <f ca="1">SUMIFS(Disbursements!$AP:$AP,Disbursements!$B:$B,Ageing!$B290,Disbursements!$AT:$AT,Ageing!L$4)</f>
        <v>0</v>
      </c>
      <c r="M290" s="369">
        <f ca="1">SUMIFS(Disbursements!$AP:$AP,Disbursements!$B:$B,Ageing!$B290,Disbursements!$AT:$AT,Ageing!M$4)</f>
        <v>1621000</v>
      </c>
      <c r="N290" s="369">
        <f ca="1">SUMIFS(Disbursements!$AP:$AP,Disbursements!$B:$B,Ageing!$B290,Disbursements!$AT:$AT,Ageing!N$4)</f>
        <v>0</v>
      </c>
      <c r="O290" s="369">
        <f ca="1">SUMIFS(Disbursements!$AP:$AP,Disbursements!$B:$B,Ageing!$B290,Disbursements!$AT:$AT,Ageing!O$4)</f>
        <v>0</v>
      </c>
    </row>
    <row r="291" spans="1:15" x14ac:dyDescent="0.2">
      <c r="A291" s="179" t="str">
        <f>IFERROR(VLOOKUP($B291,'Clients-Live'!$A:$C,3,30),"")</f>
        <v>FAITH JOSEPHINE</v>
      </c>
      <c r="B291" s="478">
        <v>287</v>
      </c>
      <c r="C291" s="370" t="str">
        <f>IFERROR(INDEX(Disbursements!$J:$J,MATCH(Ageing!B291,Disbursements!$B:$B,0)),"No Loan")</f>
        <v>Jerome</v>
      </c>
      <c r="D291" s="364">
        <f>SUMIF(Disbursements!$B:$B,Ageing!$B291,Disbursements!AN:AN)</f>
        <v>156000</v>
      </c>
      <c r="E291" s="364">
        <f>SUMIF(Disbursements!$B:$B,Ageing!$B291,Disbursements!AO:AO)</f>
        <v>479000</v>
      </c>
      <c r="F291" s="365">
        <f t="shared" si="10"/>
        <v>635000</v>
      </c>
      <c r="G291" s="364">
        <f ca="1">SUMIF(Disbursements!$B:$B,Ageing!$B291,Disbursements!AQ:AQ)</f>
        <v>635000</v>
      </c>
      <c r="H291" s="364">
        <f ca="1">SUMIF(Disbursements!$B:$B,Ageing!$B291,Disbursements!AS:AS)</f>
        <v>120</v>
      </c>
      <c r="I291" s="364">
        <f t="shared" ca="1" si="11"/>
        <v>1</v>
      </c>
      <c r="J291" s="369">
        <f ca="1">SUMIFS(Disbursements!$AP:$AP,Disbursements!$B:$B,Ageing!$B291,Disbursements!$AT:$AT,Ageing!J$4)</f>
        <v>0</v>
      </c>
      <c r="K291" s="369">
        <f ca="1">SUMIFS(Disbursements!$AP:$AP,Disbursements!$B:$B,Ageing!$B291,Disbursements!$AT:$AT,Ageing!K$4)</f>
        <v>0</v>
      </c>
      <c r="L291" s="369">
        <f ca="1">SUMIFS(Disbursements!$AP:$AP,Disbursements!$B:$B,Ageing!$B291,Disbursements!$AT:$AT,Ageing!L$4)</f>
        <v>0</v>
      </c>
      <c r="M291" s="369">
        <f ca="1">SUMIFS(Disbursements!$AP:$AP,Disbursements!$B:$B,Ageing!$B291,Disbursements!$AT:$AT,Ageing!M$4)</f>
        <v>0</v>
      </c>
      <c r="N291" s="369">
        <f ca="1">SUMIFS(Disbursements!$AP:$AP,Disbursements!$B:$B,Ageing!$B291,Disbursements!$AT:$AT,Ageing!N$4)</f>
        <v>635000</v>
      </c>
      <c r="O291" s="369">
        <f ca="1">SUMIFS(Disbursements!$AP:$AP,Disbursements!$B:$B,Ageing!$B291,Disbursements!$AT:$AT,Ageing!O$4)</f>
        <v>0</v>
      </c>
    </row>
    <row r="292" spans="1:15" x14ac:dyDescent="0.2">
      <c r="A292" s="179" t="str">
        <f>IFERROR(VLOOKUP($B292,'Clients-Live'!$A:$C,3,30),"")</f>
        <v>MITU LAWRENCE</v>
      </c>
      <c r="B292" s="478">
        <v>288</v>
      </c>
      <c r="C292" s="370" t="str">
        <f>IFERROR(INDEX(Disbursements!$J:$J,MATCH(Ageing!B292,Disbursements!$B:$B,0)),"No Loan")</f>
        <v>Jerome</v>
      </c>
      <c r="D292" s="364">
        <f>SUMIF(Disbursements!$B:$B,Ageing!$B292,Disbursements!AN:AN)</f>
        <v>111666.66666666663</v>
      </c>
      <c r="E292" s="364">
        <f>SUMIF(Disbursements!$B:$B,Ageing!$B292,Disbursements!AO:AO)</f>
        <v>982333.33333333326</v>
      </c>
      <c r="F292" s="365">
        <f t="shared" si="10"/>
        <v>1094000</v>
      </c>
      <c r="G292" s="364">
        <f ca="1">SUMIF(Disbursements!$B:$B,Ageing!$B292,Disbursements!AQ:AQ)</f>
        <v>1094000</v>
      </c>
      <c r="H292" s="364">
        <f ca="1">SUMIF(Disbursements!$B:$B,Ageing!$B292,Disbursements!AS:AS)</f>
        <v>108</v>
      </c>
      <c r="I292" s="364">
        <f t="shared" ca="1" si="11"/>
        <v>1</v>
      </c>
      <c r="J292" s="369">
        <f ca="1">SUMIFS(Disbursements!$AP:$AP,Disbursements!$B:$B,Ageing!$B292,Disbursements!$AT:$AT,Ageing!J$4)</f>
        <v>0</v>
      </c>
      <c r="K292" s="369">
        <f ca="1">SUMIFS(Disbursements!$AP:$AP,Disbursements!$B:$B,Ageing!$B292,Disbursements!$AT:$AT,Ageing!K$4)</f>
        <v>0</v>
      </c>
      <c r="L292" s="369">
        <f ca="1">SUMIFS(Disbursements!$AP:$AP,Disbursements!$B:$B,Ageing!$B292,Disbursements!$AT:$AT,Ageing!L$4)</f>
        <v>0</v>
      </c>
      <c r="M292" s="369">
        <f ca="1">SUMIFS(Disbursements!$AP:$AP,Disbursements!$B:$B,Ageing!$B292,Disbursements!$AT:$AT,Ageing!M$4)</f>
        <v>0</v>
      </c>
      <c r="N292" s="369">
        <f ca="1">SUMIFS(Disbursements!$AP:$AP,Disbursements!$B:$B,Ageing!$B292,Disbursements!$AT:$AT,Ageing!N$4)</f>
        <v>1094000</v>
      </c>
      <c r="O292" s="369">
        <f ca="1">SUMIFS(Disbursements!$AP:$AP,Disbursements!$B:$B,Ageing!$B292,Disbursements!$AT:$AT,Ageing!O$4)</f>
        <v>0</v>
      </c>
    </row>
    <row r="293" spans="1:15" x14ac:dyDescent="0.2">
      <c r="A293" s="179" t="str">
        <f>IFERROR(VLOOKUP($B293,'Clients-Live'!$A:$C,3,30),"")</f>
        <v>NAUME NIGHT</v>
      </c>
      <c r="B293" s="478">
        <v>289</v>
      </c>
      <c r="C293" s="370" t="str">
        <f>IFERROR(INDEX(Disbursements!$J:$J,MATCH(Ageing!B293,Disbursements!$B:$B,0)),"No Loan")</f>
        <v>Kana</v>
      </c>
      <c r="D293" s="364">
        <f>SUMIF(Disbursements!$B:$B,Ageing!$B293,Disbursements!AN:AN)</f>
        <v>156000</v>
      </c>
      <c r="E293" s="364">
        <f>SUMIF(Disbursements!$B:$B,Ageing!$B293,Disbursements!AO:AO)</f>
        <v>480000</v>
      </c>
      <c r="F293" s="365">
        <f t="shared" si="10"/>
        <v>636000</v>
      </c>
      <c r="G293" s="364">
        <f ca="1">SUMIF(Disbursements!$B:$B,Ageing!$B293,Disbursements!AQ:AQ)</f>
        <v>636000</v>
      </c>
      <c r="H293" s="364">
        <f ca="1">SUMIF(Disbursements!$B:$B,Ageing!$B293,Disbursements!AS:AS)</f>
        <v>120</v>
      </c>
      <c r="I293" s="364">
        <f t="shared" ca="1" si="11"/>
        <v>1</v>
      </c>
      <c r="J293" s="369">
        <f ca="1">SUMIFS(Disbursements!$AP:$AP,Disbursements!$B:$B,Ageing!$B293,Disbursements!$AT:$AT,Ageing!J$4)</f>
        <v>0</v>
      </c>
      <c r="K293" s="369">
        <f ca="1">SUMIFS(Disbursements!$AP:$AP,Disbursements!$B:$B,Ageing!$B293,Disbursements!$AT:$AT,Ageing!K$4)</f>
        <v>0</v>
      </c>
      <c r="L293" s="369">
        <f ca="1">SUMIFS(Disbursements!$AP:$AP,Disbursements!$B:$B,Ageing!$B293,Disbursements!$AT:$AT,Ageing!L$4)</f>
        <v>0</v>
      </c>
      <c r="M293" s="369">
        <f ca="1">SUMIFS(Disbursements!$AP:$AP,Disbursements!$B:$B,Ageing!$B293,Disbursements!$AT:$AT,Ageing!M$4)</f>
        <v>0</v>
      </c>
      <c r="N293" s="369">
        <f ca="1">SUMIFS(Disbursements!$AP:$AP,Disbursements!$B:$B,Ageing!$B293,Disbursements!$AT:$AT,Ageing!N$4)</f>
        <v>636000</v>
      </c>
      <c r="O293" s="369">
        <f ca="1">SUMIFS(Disbursements!$AP:$AP,Disbursements!$B:$B,Ageing!$B293,Disbursements!$AT:$AT,Ageing!O$4)</f>
        <v>0</v>
      </c>
    </row>
    <row r="294" spans="1:15" x14ac:dyDescent="0.2">
      <c r="A294" s="179" t="str">
        <f>IFERROR(VLOOKUP($B294,'Clients-Live'!$A:$C,3,30),"")</f>
        <v>DATA GEOFREY</v>
      </c>
      <c r="B294" s="478">
        <v>290</v>
      </c>
      <c r="C294" s="370" t="str">
        <f>IFERROR(INDEX(Disbursements!$J:$J,MATCH(Ageing!B294,Disbursements!$B:$B,0)),"No Loan")</f>
        <v>No Loan</v>
      </c>
      <c r="D294" s="364">
        <f>SUMIF(Disbursements!$B:$B,Ageing!$B294,Disbursements!AN:AN)</f>
        <v>0</v>
      </c>
      <c r="E294" s="364">
        <f>SUMIF(Disbursements!$B:$B,Ageing!$B294,Disbursements!AO:AO)</f>
        <v>0</v>
      </c>
      <c r="F294" s="365">
        <f t="shared" si="10"/>
        <v>0</v>
      </c>
      <c r="G294" s="364">
        <f>SUMIF(Disbursements!$B:$B,Ageing!$B294,Disbursements!AQ:AQ)</f>
        <v>0</v>
      </c>
      <c r="H294" s="364">
        <f>SUMIF(Disbursements!$B:$B,Ageing!$B294,Disbursements!AS:AS)</f>
        <v>0</v>
      </c>
      <c r="I294" s="364">
        <f t="shared" si="11"/>
        <v>0</v>
      </c>
      <c r="J294" s="369">
        <f>SUMIFS(Disbursements!$AP:$AP,Disbursements!$B:$B,Ageing!$B294,Disbursements!$AT:$AT,Ageing!J$4)</f>
        <v>0</v>
      </c>
      <c r="K294" s="369">
        <f>SUMIFS(Disbursements!$AP:$AP,Disbursements!$B:$B,Ageing!$B294,Disbursements!$AT:$AT,Ageing!K$4)</f>
        <v>0</v>
      </c>
      <c r="L294" s="369">
        <f>SUMIFS(Disbursements!$AP:$AP,Disbursements!$B:$B,Ageing!$B294,Disbursements!$AT:$AT,Ageing!L$4)</f>
        <v>0</v>
      </c>
      <c r="M294" s="369">
        <f>SUMIFS(Disbursements!$AP:$AP,Disbursements!$B:$B,Ageing!$B294,Disbursements!$AT:$AT,Ageing!M$4)</f>
        <v>0</v>
      </c>
      <c r="N294" s="369">
        <f>SUMIFS(Disbursements!$AP:$AP,Disbursements!$B:$B,Ageing!$B294,Disbursements!$AT:$AT,Ageing!N$4)</f>
        <v>0</v>
      </c>
      <c r="O294" s="369">
        <f>SUMIFS(Disbursements!$AP:$AP,Disbursements!$B:$B,Ageing!$B294,Disbursements!$AT:$AT,Ageing!O$4)</f>
        <v>0</v>
      </c>
    </row>
    <row r="295" spans="1:15" x14ac:dyDescent="0.2">
      <c r="A295" s="179" t="str">
        <f>IFERROR(VLOOKUP($B295,'Clients-Live'!$A:$C,3,30),"")</f>
        <v>LEMAKU SWAIB</v>
      </c>
      <c r="B295" s="478">
        <v>291</v>
      </c>
      <c r="C295" s="370" t="str">
        <f>IFERROR(INDEX(Disbursements!$J:$J,MATCH(Ageing!B295,Disbursements!$B:$B,0)),"No Loan")</f>
        <v>Jerome</v>
      </c>
      <c r="D295" s="364">
        <f>SUMIF(Disbursements!$B:$B,Ageing!$B295,Disbursements!AN:AN)</f>
        <v>68000</v>
      </c>
      <c r="E295" s="364">
        <f>SUMIF(Disbursements!$B:$B,Ageing!$B295,Disbursements!AO:AO)</f>
        <v>324000</v>
      </c>
      <c r="F295" s="365">
        <f t="shared" si="10"/>
        <v>392000</v>
      </c>
      <c r="G295" s="364">
        <f ca="1">SUMIF(Disbursements!$B:$B,Ageing!$B295,Disbursements!AQ:AQ)</f>
        <v>392000</v>
      </c>
      <c r="H295" s="364">
        <f ca="1">SUMIF(Disbursements!$B:$B,Ageing!$B295,Disbursements!AS:AS)</f>
        <v>64</v>
      </c>
      <c r="I295" s="364">
        <f t="shared" ca="1" si="11"/>
        <v>1</v>
      </c>
      <c r="J295" s="369">
        <f ca="1">SUMIFS(Disbursements!$AP:$AP,Disbursements!$B:$B,Ageing!$B295,Disbursements!$AT:$AT,Ageing!J$4)</f>
        <v>0</v>
      </c>
      <c r="K295" s="369">
        <f ca="1">SUMIFS(Disbursements!$AP:$AP,Disbursements!$B:$B,Ageing!$B295,Disbursements!$AT:$AT,Ageing!K$4)</f>
        <v>0</v>
      </c>
      <c r="L295" s="369">
        <f ca="1">SUMIFS(Disbursements!$AP:$AP,Disbursements!$B:$B,Ageing!$B295,Disbursements!$AT:$AT,Ageing!L$4)</f>
        <v>0</v>
      </c>
      <c r="M295" s="369">
        <f ca="1">SUMIFS(Disbursements!$AP:$AP,Disbursements!$B:$B,Ageing!$B295,Disbursements!$AT:$AT,Ageing!M$4)</f>
        <v>392000</v>
      </c>
      <c r="N295" s="369">
        <f ca="1">SUMIFS(Disbursements!$AP:$AP,Disbursements!$B:$B,Ageing!$B295,Disbursements!$AT:$AT,Ageing!N$4)</f>
        <v>0</v>
      </c>
      <c r="O295" s="369">
        <f ca="1">SUMIFS(Disbursements!$AP:$AP,Disbursements!$B:$B,Ageing!$B295,Disbursements!$AT:$AT,Ageing!O$4)</f>
        <v>0</v>
      </c>
    </row>
    <row r="296" spans="1:15" x14ac:dyDescent="0.2">
      <c r="A296" s="179" t="str">
        <f>IFERROR(VLOOKUP($B296,'Clients-Live'!$A:$C,3,30),"")</f>
        <v>AFEKU DENIS</v>
      </c>
      <c r="B296" s="478">
        <v>292</v>
      </c>
      <c r="C296" s="370" t="str">
        <f>IFERROR(INDEX(Disbursements!$J:$J,MATCH(Ageing!B296,Disbursements!$B:$B,0)),"No Loan")</f>
        <v>Jerome</v>
      </c>
      <c r="D296" s="364">
        <f>SUMIF(Disbursements!$B:$B,Ageing!$B296,Disbursements!AN:AN)</f>
        <v>0</v>
      </c>
      <c r="E296" s="364">
        <f>SUMIF(Disbursements!$B:$B,Ageing!$B296,Disbursements!AO:AO)</f>
        <v>3690000</v>
      </c>
      <c r="F296" s="365">
        <f t="shared" si="10"/>
        <v>3690000</v>
      </c>
      <c r="G296" s="364">
        <f ca="1">SUMIF(Disbursements!$B:$B,Ageing!$B296,Disbursements!AQ:AQ)</f>
        <v>3690000</v>
      </c>
      <c r="H296" s="364">
        <f ca="1">SUMIF(Disbursements!$B:$B,Ageing!$B296,Disbursements!AS:AS)</f>
        <v>43</v>
      </c>
      <c r="I296" s="364">
        <f t="shared" ca="1" si="11"/>
        <v>1</v>
      </c>
      <c r="J296" s="369">
        <f ca="1">SUMIFS(Disbursements!$AP:$AP,Disbursements!$B:$B,Ageing!$B296,Disbursements!$AT:$AT,Ageing!J$4)</f>
        <v>0</v>
      </c>
      <c r="K296" s="369">
        <f ca="1">SUMIFS(Disbursements!$AP:$AP,Disbursements!$B:$B,Ageing!$B296,Disbursements!$AT:$AT,Ageing!K$4)</f>
        <v>0</v>
      </c>
      <c r="L296" s="369">
        <f ca="1">SUMIFS(Disbursements!$AP:$AP,Disbursements!$B:$B,Ageing!$B296,Disbursements!$AT:$AT,Ageing!L$4)</f>
        <v>3690000</v>
      </c>
      <c r="M296" s="369">
        <f ca="1">SUMIFS(Disbursements!$AP:$AP,Disbursements!$B:$B,Ageing!$B296,Disbursements!$AT:$AT,Ageing!M$4)</f>
        <v>0</v>
      </c>
      <c r="N296" s="369">
        <f ca="1">SUMIFS(Disbursements!$AP:$AP,Disbursements!$B:$B,Ageing!$B296,Disbursements!$AT:$AT,Ageing!N$4)</f>
        <v>0</v>
      </c>
      <c r="O296" s="369">
        <f ca="1">SUMIFS(Disbursements!$AP:$AP,Disbursements!$B:$B,Ageing!$B296,Disbursements!$AT:$AT,Ageing!O$4)</f>
        <v>0</v>
      </c>
    </row>
    <row r="297" spans="1:15" x14ac:dyDescent="0.2">
      <c r="A297" s="179" t="str">
        <f>IFERROR(VLOOKUP($B297,'Clients-Live'!$A:$C,3,30),"")</f>
        <v>AMODO ZAINABU</v>
      </c>
      <c r="B297" s="478">
        <v>293</v>
      </c>
      <c r="C297" s="370" t="str">
        <f>IFERROR(INDEX(Disbursements!$J:$J,MATCH(Ageing!B297,Disbursements!$B:$B,0)),"No Loan")</f>
        <v>No Loan</v>
      </c>
      <c r="D297" s="364">
        <f>SUMIF(Disbursements!$B:$B,Ageing!$B297,Disbursements!AN:AN)</f>
        <v>0</v>
      </c>
      <c r="E297" s="364">
        <f>SUMIF(Disbursements!$B:$B,Ageing!$B297,Disbursements!AO:AO)</f>
        <v>0</v>
      </c>
      <c r="F297" s="365">
        <f t="shared" si="10"/>
        <v>0</v>
      </c>
      <c r="G297" s="364">
        <f>SUMIF(Disbursements!$B:$B,Ageing!$B297,Disbursements!AQ:AQ)</f>
        <v>0</v>
      </c>
      <c r="H297" s="364">
        <f>SUMIF(Disbursements!$B:$B,Ageing!$B297,Disbursements!AS:AS)</f>
        <v>0</v>
      </c>
      <c r="I297" s="364">
        <f t="shared" si="11"/>
        <v>0</v>
      </c>
      <c r="J297" s="369">
        <f>SUMIFS(Disbursements!$AP:$AP,Disbursements!$B:$B,Ageing!$B297,Disbursements!$AT:$AT,Ageing!J$4)</f>
        <v>0</v>
      </c>
      <c r="K297" s="369">
        <f>SUMIFS(Disbursements!$AP:$AP,Disbursements!$B:$B,Ageing!$B297,Disbursements!$AT:$AT,Ageing!K$4)</f>
        <v>0</v>
      </c>
      <c r="L297" s="369">
        <f>SUMIFS(Disbursements!$AP:$AP,Disbursements!$B:$B,Ageing!$B297,Disbursements!$AT:$AT,Ageing!L$4)</f>
        <v>0</v>
      </c>
      <c r="M297" s="369">
        <f>SUMIFS(Disbursements!$AP:$AP,Disbursements!$B:$B,Ageing!$B297,Disbursements!$AT:$AT,Ageing!M$4)</f>
        <v>0</v>
      </c>
      <c r="N297" s="369">
        <f>SUMIFS(Disbursements!$AP:$AP,Disbursements!$B:$B,Ageing!$B297,Disbursements!$AT:$AT,Ageing!N$4)</f>
        <v>0</v>
      </c>
      <c r="O297" s="369">
        <f>SUMIFS(Disbursements!$AP:$AP,Disbursements!$B:$B,Ageing!$B297,Disbursements!$AT:$AT,Ageing!O$4)</f>
        <v>0</v>
      </c>
    </row>
    <row r="298" spans="1:15" x14ac:dyDescent="0.2">
      <c r="A298" s="179" t="str">
        <f>IFERROR(VLOOKUP($B298,'Clients-Live'!$A:$C,3,30),"")</f>
        <v>CHANDIRU ZENABU</v>
      </c>
      <c r="B298" s="478">
        <v>294</v>
      </c>
      <c r="C298" s="370" t="str">
        <f>IFERROR(INDEX(Disbursements!$J:$J,MATCH(Ageing!B298,Disbursements!$B:$B,0)),"No Loan")</f>
        <v>No Loan</v>
      </c>
      <c r="D298" s="364">
        <f>SUMIF(Disbursements!$B:$B,Ageing!$B298,Disbursements!AN:AN)</f>
        <v>0</v>
      </c>
      <c r="E298" s="364">
        <f>SUMIF(Disbursements!$B:$B,Ageing!$B298,Disbursements!AO:AO)</f>
        <v>0</v>
      </c>
      <c r="F298" s="365">
        <f t="shared" si="10"/>
        <v>0</v>
      </c>
      <c r="G298" s="364">
        <f>SUMIF(Disbursements!$B:$B,Ageing!$B298,Disbursements!AQ:AQ)</f>
        <v>0</v>
      </c>
      <c r="H298" s="364">
        <f>SUMIF(Disbursements!$B:$B,Ageing!$B298,Disbursements!AS:AS)</f>
        <v>0</v>
      </c>
      <c r="I298" s="364">
        <f t="shared" si="11"/>
        <v>0</v>
      </c>
      <c r="J298" s="369">
        <f>SUMIFS(Disbursements!$AP:$AP,Disbursements!$B:$B,Ageing!$B298,Disbursements!$AT:$AT,Ageing!J$4)</f>
        <v>0</v>
      </c>
      <c r="K298" s="369">
        <f>SUMIFS(Disbursements!$AP:$AP,Disbursements!$B:$B,Ageing!$B298,Disbursements!$AT:$AT,Ageing!K$4)</f>
        <v>0</v>
      </c>
      <c r="L298" s="369">
        <f>SUMIFS(Disbursements!$AP:$AP,Disbursements!$B:$B,Ageing!$B298,Disbursements!$AT:$AT,Ageing!L$4)</f>
        <v>0</v>
      </c>
      <c r="M298" s="369">
        <f>SUMIFS(Disbursements!$AP:$AP,Disbursements!$B:$B,Ageing!$B298,Disbursements!$AT:$AT,Ageing!M$4)</f>
        <v>0</v>
      </c>
      <c r="N298" s="369">
        <f>SUMIFS(Disbursements!$AP:$AP,Disbursements!$B:$B,Ageing!$B298,Disbursements!$AT:$AT,Ageing!N$4)</f>
        <v>0</v>
      </c>
      <c r="O298" s="369">
        <f>SUMIFS(Disbursements!$AP:$AP,Disbursements!$B:$B,Ageing!$B298,Disbursements!$AT:$AT,Ageing!O$4)</f>
        <v>0</v>
      </c>
    </row>
    <row r="299" spans="1:15" x14ac:dyDescent="0.2">
      <c r="A299" s="179" t="str">
        <f>IFERROR(VLOOKUP($B299,'Clients-Live'!$A:$C,3,30),"")</f>
        <v>ABIYO RICHARD ENAKU</v>
      </c>
      <c r="B299" s="478">
        <v>295</v>
      </c>
      <c r="C299" s="370" t="str">
        <f>IFERROR(INDEX(Disbursements!$J:$J,MATCH(Ageing!B299,Disbursements!$B:$B,0)),"No Loan")</f>
        <v>Jerome</v>
      </c>
      <c r="D299" s="364">
        <f>SUMIF(Disbursements!$B:$B,Ageing!$B299,Disbursements!AN:AN)</f>
        <v>76000.000000000029</v>
      </c>
      <c r="E299" s="364">
        <f>SUMIF(Disbursements!$B:$B,Ageing!$B299,Disbursements!AO:AO)</f>
        <v>141300.00000000012</v>
      </c>
      <c r="F299" s="365">
        <f t="shared" si="10"/>
        <v>217300.00000000015</v>
      </c>
      <c r="G299" s="364">
        <f ca="1">SUMIF(Disbursements!$B:$B,Ageing!$B299,Disbursements!AQ:AQ)</f>
        <v>217300.00000000015</v>
      </c>
      <c r="H299" s="364">
        <f ca="1">SUMIF(Disbursements!$B:$B,Ageing!$B299,Disbursements!AS:AS)</f>
        <v>31</v>
      </c>
      <c r="I299" s="364">
        <f t="shared" ca="1" si="11"/>
        <v>1</v>
      </c>
      <c r="J299" s="369">
        <f ca="1">SUMIFS(Disbursements!$AP:$AP,Disbursements!$B:$B,Ageing!$B299,Disbursements!$AT:$AT,Ageing!J$4)</f>
        <v>0</v>
      </c>
      <c r="K299" s="369">
        <f ca="1">SUMIFS(Disbursements!$AP:$AP,Disbursements!$B:$B,Ageing!$B299,Disbursements!$AT:$AT,Ageing!K$4)</f>
        <v>0</v>
      </c>
      <c r="L299" s="369">
        <f ca="1">SUMIFS(Disbursements!$AP:$AP,Disbursements!$B:$B,Ageing!$B299,Disbursements!$AT:$AT,Ageing!L$4)</f>
        <v>217300.00000000015</v>
      </c>
      <c r="M299" s="369">
        <f ca="1">SUMIFS(Disbursements!$AP:$AP,Disbursements!$B:$B,Ageing!$B299,Disbursements!$AT:$AT,Ageing!M$4)</f>
        <v>0</v>
      </c>
      <c r="N299" s="369">
        <f ca="1">SUMIFS(Disbursements!$AP:$AP,Disbursements!$B:$B,Ageing!$B299,Disbursements!$AT:$AT,Ageing!N$4)</f>
        <v>0</v>
      </c>
      <c r="O299" s="369">
        <f ca="1">SUMIFS(Disbursements!$AP:$AP,Disbursements!$B:$B,Ageing!$B299,Disbursements!$AT:$AT,Ageing!O$4)</f>
        <v>0</v>
      </c>
    </row>
    <row r="300" spans="1:15" x14ac:dyDescent="0.2">
      <c r="A300" s="179" t="str">
        <f>IFERROR(VLOOKUP($B300,'Clients-Live'!$A:$C,3,30),"")</f>
        <v>CHANDIRU ZAKIA</v>
      </c>
      <c r="B300" s="478">
        <v>296</v>
      </c>
      <c r="C300" s="370" t="str">
        <f>IFERROR(INDEX(Disbursements!$J:$J,MATCH(Ageing!B300,Disbursements!$B:$B,0)),"No Loan")</f>
        <v>No Loan</v>
      </c>
      <c r="D300" s="364">
        <f>SUMIF(Disbursements!$B:$B,Ageing!$B300,Disbursements!AN:AN)</f>
        <v>0</v>
      </c>
      <c r="E300" s="364">
        <f>SUMIF(Disbursements!$B:$B,Ageing!$B300,Disbursements!AO:AO)</f>
        <v>0</v>
      </c>
      <c r="F300" s="365">
        <f t="shared" si="10"/>
        <v>0</v>
      </c>
      <c r="G300" s="364">
        <f>SUMIF(Disbursements!$B:$B,Ageing!$B300,Disbursements!AQ:AQ)</f>
        <v>0</v>
      </c>
      <c r="H300" s="364">
        <f>SUMIF(Disbursements!$B:$B,Ageing!$B300,Disbursements!AS:AS)</f>
        <v>0</v>
      </c>
      <c r="I300" s="364">
        <f t="shared" si="11"/>
        <v>0</v>
      </c>
      <c r="J300" s="369">
        <f>SUMIFS(Disbursements!$AP:$AP,Disbursements!$B:$B,Ageing!$B300,Disbursements!$AT:$AT,Ageing!J$4)</f>
        <v>0</v>
      </c>
      <c r="K300" s="369">
        <f>SUMIFS(Disbursements!$AP:$AP,Disbursements!$B:$B,Ageing!$B300,Disbursements!$AT:$AT,Ageing!K$4)</f>
        <v>0</v>
      </c>
      <c r="L300" s="369">
        <f>SUMIFS(Disbursements!$AP:$AP,Disbursements!$B:$B,Ageing!$B300,Disbursements!$AT:$AT,Ageing!L$4)</f>
        <v>0</v>
      </c>
      <c r="M300" s="369">
        <f>SUMIFS(Disbursements!$AP:$AP,Disbursements!$B:$B,Ageing!$B300,Disbursements!$AT:$AT,Ageing!M$4)</f>
        <v>0</v>
      </c>
      <c r="N300" s="369">
        <f>SUMIFS(Disbursements!$AP:$AP,Disbursements!$B:$B,Ageing!$B300,Disbursements!$AT:$AT,Ageing!N$4)</f>
        <v>0</v>
      </c>
      <c r="O300" s="369">
        <f>SUMIFS(Disbursements!$AP:$AP,Disbursements!$B:$B,Ageing!$B300,Disbursements!$AT:$AT,Ageing!O$4)</f>
        <v>0</v>
      </c>
    </row>
    <row r="301" spans="1:15" x14ac:dyDescent="0.2">
      <c r="A301" s="179" t="str">
        <f>IFERROR(VLOOKUP($B301,'Clients-Live'!$A:$C,3,30),"")</f>
        <v>MORO CHRISTOPHER AWARA</v>
      </c>
      <c r="B301" s="478">
        <v>297</v>
      </c>
      <c r="C301" s="370" t="str">
        <f>IFERROR(INDEX(Disbursements!$J:$J,MATCH(Ageing!B301,Disbursements!$B:$B,0)),"No Loan")</f>
        <v>No Loan</v>
      </c>
      <c r="D301" s="364">
        <f>SUMIF(Disbursements!$B:$B,Ageing!$B301,Disbursements!AN:AN)</f>
        <v>0</v>
      </c>
      <c r="E301" s="364">
        <f>SUMIF(Disbursements!$B:$B,Ageing!$B301,Disbursements!AO:AO)</f>
        <v>0</v>
      </c>
      <c r="F301" s="365">
        <f t="shared" si="10"/>
        <v>0</v>
      </c>
      <c r="G301" s="364">
        <f>SUMIF(Disbursements!$B:$B,Ageing!$B301,Disbursements!AQ:AQ)</f>
        <v>0</v>
      </c>
      <c r="H301" s="364">
        <f>SUMIF(Disbursements!$B:$B,Ageing!$B301,Disbursements!AS:AS)</f>
        <v>0</v>
      </c>
      <c r="I301" s="364">
        <f t="shared" si="11"/>
        <v>0</v>
      </c>
      <c r="J301" s="369">
        <f>SUMIFS(Disbursements!$AP:$AP,Disbursements!$B:$B,Ageing!$B301,Disbursements!$AT:$AT,Ageing!J$4)</f>
        <v>0</v>
      </c>
      <c r="K301" s="369">
        <f>SUMIFS(Disbursements!$AP:$AP,Disbursements!$B:$B,Ageing!$B301,Disbursements!$AT:$AT,Ageing!K$4)</f>
        <v>0</v>
      </c>
      <c r="L301" s="369">
        <f>SUMIFS(Disbursements!$AP:$AP,Disbursements!$B:$B,Ageing!$B301,Disbursements!$AT:$AT,Ageing!L$4)</f>
        <v>0</v>
      </c>
      <c r="M301" s="369">
        <f>SUMIFS(Disbursements!$AP:$AP,Disbursements!$B:$B,Ageing!$B301,Disbursements!$AT:$AT,Ageing!M$4)</f>
        <v>0</v>
      </c>
      <c r="N301" s="369">
        <f>SUMIFS(Disbursements!$AP:$AP,Disbursements!$B:$B,Ageing!$B301,Disbursements!$AT:$AT,Ageing!N$4)</f>
        <v>0</v>
      </c>
      <c r="O301" s="369">
        <f>SUMIFS(Disbursements!$AP:$AP,Disbursements!$B:$B,Ageing!$B301,Disbursements!$AT:$AT,Ageing!O$4)</f>
        <v>0</v>
      </c>
    </row>
    <row r="302" spans="1:15" x14ac:dyDescent="0.2">
      <c r="A302" s="179" t="str">
        <f>IFERROR(VLOOKUP($B302,'Clients-Live'!$A:$C,3,30),"")</f>
        <v>AKULIA STELLA</v>
      </c>
      <c r="B302" s="478">
        <v>298</v>
      </c>
      <c r="C302" s="370" t="str">
        <f>IFERROR(INDEX(Disbursements!$J:$J,MATCH(Ageing!B302,Disbursements!$B:$B,0)),"No Loan")</f>
        <v>No Loan</v>
      </c>
      <c r="D302" s="364">
        <f>SUMIF(Disbursements!$B:$B,Ageing!$B302,Disbursements!AN:AN)</f>
        <v>0</v>
      </c>
      <c r="E302" s="364">
        <f>SUMIF(Disbursements!$B:$B,Ageing!$B302,Disbursements!AO:AO)</f>
        <v>0</v>
      </c>
      <c r="F302" s="365">
        <f t="shared" si="10"/>
        <v>0</v>
      </c>
      <c r="G302" s="364">
        <f>SUMIF(Disbursements!$B:$B,Ageing!$B302,Disbursements!AQ:AQ)</f>
        <v>0</v>
      </c>
      <c r="H302" s="364">
        <f>SUMIF(Disbursements!$B:$B,Ageing!$B302,Disbursements!AS:AS)</f>
        <v>0</v>
      </c>
      <c r="I302" s="364">
        <f t="shared" si="11"/>
        <v>0</v>
      </c>
      <c r="J302" s="369">
        <f>SUMIFS(Disbursements!$AP:$AP,Disbursements!$B:$B,Ageing!$B302,Disbursements!$AT:$AT,Ageing!J$4)</f>
        <v>0</v>
      </c>
      <c r="K302" s="369">
        <f>SUMIFS(Disbursements!$AP:$AP,Disbursements!$B:$B,Ageing!$B302,Disbursements!$AT:$AT,Ageing!K$4)</f>
        <v>0</v>
      </c>
      <c r="L302" s="369">
        <f>SUMIFS(Disbursements!$AP:$AP,Disbursements!$B:$B,Ageing!$B302,Disbursements!$AT:$AT,Ageing!L$4)</f>
        <v>0</v>
      </c>
      <c r="M302" s="369">
        <f>SUMIFS(Disbursements!$AP:$AP,Disbursements!$B:$B,Ageing!$B302,Disbursements!$AT:$AT,Ageing!M$4)</f>
        <v>0</v>
      </c>
      <c r="N302" s="369">
        <f>SUMIFS(Disbursements!$AP:$AP,Disbursements!$B:$B,Ageing!$B302,Disbursements!$AT:$AT,Ageing!N$4)</f>
        <v>0</v>
      </c>
      <c r="O302" s="369">
        <f>SUMIFS(Disbursements!$AP:$AP,Disbursements!$B:$B,Ageing!$B302,Disbursements!$AT:$AT,Ageing!O$4)</f>
        <v>0</v>
      </c>
    </row>
    <row r="303" spans="1:15" x14ac:dyDescent="0.2">
      <c r="A303" s="179" t="str">
        <f>IFERROR(VLOOKUP($B303,'Clients-Live'!$A:$C,3,30),"")</f>
        <v>AYOZU FADILA</v>
      </c>
      <c r="B303" s="478">
        <v>299</v>
      </c>
      <c r="C303" s="370" t="str">
        <f>IFERROR(INDEX(Disbursements!$J:$J,MATCH(Ageing!B303,Disbursements!$B:$B,0)),"No Loan")</f>
        <v>No Loan</v>
      </c>
      <c r="D303" s="364">
        <f>SUMIF(Disbursements!$B:$B,Ageing!$B303,Disbursements!AN:AN)</f>
        <v>0</v>
      </c>
      <c r="E303" s="364">
        <f>SUMIF(Disbursements!$B:$B,Ageing!$B303,Disbursements!AO:AO)</f>
        <v>0</v>
      </c>
      <c r="F303" s="365">
        <f t="shared" si="10"/>
        <v>0</v>
      </c>
      <c r="G303" s="364">
        <f>SUMIF(Disbursements!$B:$B,Ageing!$B303,Disbursements!AQ:AQ)</f>
        <v>0</v>
      </c>
      <c r="H303" s="364">
        <f>SUMIF(Disbursements!$B:$B,Ageing!$B303,Disbursements!AS:AS)</f>
        <v>0</v>
      </c>
      <c r="I303" s="364">
        <f t="shared" si="11"/>
        <v>0</v>
      </c>
      <c r="J303" s="369">
        <f>SUMIFS(Disbursements!$AP:$AP,Disbursements!$B:$B,Ageing!$B303,Disbursements!$AT:$AT,Ageing!J$4)</f>
        <v>0</v>
      </c>
      <c r="K303" s="369">
        <f>SUMIFS(Disbursements!$AP:$AP,Disbursements!$B:$B,Ageing!$B303,Disbursements!$AT:$AT,Ageing!K$4)</f>
        <v>0</v>
      </c>
      <c r="L303" s="369">
        <f>SUMIFS(Disbursements!$AP:$AP,Disbursements!$B:$B,Ageing!$B303,Disbursements!$AT:$AT,Ageing!L$4)</f>
        <v>0</v>
      </c>
      <c r="M303" s="369">
        <f>SUMIFS(Disbursements!$AP:$AP,Disbursements!$B:$B,Ageing!$B303,Disbursements!$AT:$AT,Ageing!M$4)</f>
        <v>0</v>
      </c>
      <c r="N303" s="369">
        <f>SUMIFS(Disbursements!$AP:$AP,Disbursements!$B:$B,Ageing!$B303,Disbursements!$AT:$AT,Ageing!N$4)</f>
        <v>0</v>
      </c>
      <c r="O303" s="369">
        <f>SUMIFS(Disbursements!$AP:$AP,Disbursements!$B:$B,Ageing!$B303,Disbursements!$AT:$AT,Ageing!O$4)</f>
        <v>0</v>
      </c>
    </row>
    <row r="304" spans="1:15" x14ac:dyDescent="0.2">
      <c r="A304" s="179" t="str">
        <f>IFERROR(VLOOKUP($B304,'Clients-Live'!$A:$C,3,30),"")</f>
        <v>AYA ZAINABU</v>
      </c>
      <c r="B304" s="478">
        <v>300</v>
      </c>
      <c r="C304" s="370" t="str">
        <f>IFERROR(INDEX(Disbursements!$J:$J,MATCH(Ageing!B304,Disbursements!$B:$B,0)),"No Loan")</f>
        <v>Aroma</v>
      </c>
      <c r="D304" s="364">
        <f>SUMIF(Disbursements!$B:$B,Ageing!$B304,Disbursements!AN:AN)</f>
        <v>0</v>
      </c>
      <c r="E304" s="364">
        <f>SUMIF(Disbursements!$B:$B,Ageing!$B304,Disbursements!AO:AO)</f>
        <v>145000</v>
      </c>
      <c r="F304" s="365">
        <f t="shared" si="10"/>
        <v>145000</v>
      </c>
      <c r="G304" s="364">
        <f ca="1">SUMIF(Disbursements!$B:$B,Ageing!$B304,Disbursements!AQ:AQ)</f>
        <v>145000</v>
      </c>
      <c r="H304" s="364">
        <f ca="1">SUMIF(Disbursements!$B:$B,Ageing!$B304,Disbursements!AS:AS)</f>
        <v>29</v>
      </c>
      <c r="I304" s="364">
        <f t="shared" ca="1" si="11"/>
        <v>1</v>
      </c>
      <c r="J304" s="369">
        <f ca="1">SUMIFS(Disbursements!$AP:$AP,Disbursements!$B:$B,Ageing!$B304,Disbursements!$AT:$AT,Ageing!J$4)</f>
        <v>0</v>
      </c>
      <c r="K304" s="369">
        <f ca="1">SUMIFS(Disbursements!$AP:$AP,Disbursements!$B:$B,Ageing!$B304,Disbursements!$AT:$AT,Ageing!K$4)</f>
        <v>145000</v>
      </c>
      <c r="L304" s="369">
        <f ca="1">SUMIFS(Disbursements!$AP:$AP,Disbursements!$B:$B,Ageing!$B304,Disbursements!$AT:$AT,Ageing!L$4)</f>
        <v>0</v>
      </c>
      <c r="M304" s="369">
        <f ca="1">SUMIFS(Disbursements!$AP:$AP,Disbursements!$B:$B,Ageing!$B304,Disbursements!$AT:$AT,Ageing!M$4)</f>
        <v>0</v>
      </c>
      <c r="N304" s="369">
        <f ca="1">SUMIFS(Disbursements!$AP:$AP,Disbursements!$B:$B,Ageing!$B304,Disbursements!$AT:$AT,Ageing!N$4)</f>
        <v>0</v>
      </c>
      <c r="O304" s="369">
        <f ca="1">SUMIFS(Disbursements!$AP:$AP,Disbursements!$B:$B,Ageing!$B304,Disbursements!$AT:$AT,Ageing!O$4)</f>
        <v>0</v>
      </c>
    </row>
    <row r="305" spans="1:15" x14ac:dyDescent="0.2">
      <c r="A305" s="179" t="str">
        <f>IFERROR(VLOOKUP($B305,'Clients-Live'!$A:$C,3,30),"")</f>
        <v>MAYANJA DAVID</v>
      </c>
      <c r="B305" s="478">
        <v>301</v>
      </c>
      <c r="C305" s="370" t="str">
        <f>IFERROR(INDEX(Disbursements!$J:$J,MATCH(Ageing!B305,Disbursements!$B:$B,0)),"No Loan")</f>
        <v>Jerome</v>
      </c>
      <c r="D305" s="364">
        <f>SUMIF(Disbursements!$B:$B,Ageing!$B305,Disbursements!AN:AN)</f>
        <v>25000</v>
      </c>
      <c r="E305" s="364">
        <f>SUMIF(Disbursements!$B:$B,Ageing!$B305,Disbursements!AO:AO)</f>
        <v>325000</v>
      </c>
      <c r="F305" s="365">
        <f t="shared" si="10"/>
        <v>350000</v>
      </c>
      <c r="G305" s="364">
        <f ca="1">SUMIF(Disbursements!$B:$B,Ageing!$B305,Disbursements!AQ:AQ)</f>
        <v>350000</v>
      </c>
      <c r="H305" s="364">
        <f ca="1">SUMIF(Disbursements!$B:$B,Ageing!$B305,Disbursements!AS:AS)</f>
        <v>33</v>
      </c>
      <c r="I305" s="364">
        <f t="shared" ca="1" si="11"/>
        <v>1</v>
      </c>
      <c r="J305" s="369">
        <f ca="1">SUMIFS(Disbursements!$AP:$AP,Disbursements!$B:$B,Ageing!$B305,Disbursements!$AT:$AT,Ageing!J$4)</f>
        <v>0</v>
      </c>
      <c r="K305" s="369">
        <f ca="1">SUMIFS(Disbursements!$AP:$AP,Disbursements!$B:$B,Ageing!$B305,Disbursements!$AT:$AT,Ageing!K$4)</f>
        <v>0</v>
      </c>
      <c r="L305" s="369">
        <f ca="1">SUMIFS(Disbursements!$AP:$AP,Disbursements!$B:$B,Ageing!$B305,Disbursements!$AT:$AT,Ageing!L$4)</f>
        <v>350000</v>
      </c>
      <c r="M305" s="369">
        <f ca="1">SUMIFS(Disbursements!$AP:$AP,Disbursements!$B:$B,Ageing!$B305,Disbursements!$AT:$AT,Ageing!M$4)</f>
        <v>0</v>
      </c>
      <c r="N305" s="369">
        <f ca="1">SUMIFS(Disbursements!$AP:$AP,Disbursements!$B:$B,Ageing!$B305,Disbursements!$AT:$AT,Ageing!N$4)</f>
        <v>0</v>
      </c>
      <c r="O305" s="369">
        <f ca="1">SUMIFS(Disbursements!$AP:$AP,Disbursements!$B:$B,Ageing!$B305,Disbursements!$AT:$AT,Ageing!O$4)</f>
        <v>0</v>
      </c>
    </row>
    <row r="306" spans="1:15" x14ac:dyDescent="0.2">
      <c r="A306" s="179" t="str">
        <f>IFERROR(VLOOKUP($B306,'Clients-Live'!$A:$C,3,30),"")</f>
        <v>ASUSA JAMILA</v>
      </c>
      <c r="B306" s="478">
        <v>302</v>
      </c>
      <c r="C306" s="370" t="str">
        <f>IFERROR(INDEX(Disbursements!$J:$J,MATCH(Ageing!B306,Disbursements!$B:$B,0)),"No Loan")</f>
        <v>No Loan</v>
      </c>
      <c r="D306" s="364">
        <f>SUMIF(Disbursements!$B:$B,Ageing!$B306,Disbursements!AN:AN)</f>
        <v>0</v>
      </c>
      <c r="E306" s="364">
        <f>SUMIF(Disbursements!$B:$B,Ageing!$B306,Disbursements!AO:AO)</f>
        <v>0</v>
      </c>
      <c r="F306" s="365">
        <f t="shared" si="10"/>
        <v>0</v>
      </c>
      <c r="G306" s="364">
        <f>SUMIF(Disbursements!$B:$B,Ageing!$B306,Disbursements!AQ:AQ)</f>
        <v>0</v>
      </c>
      <c r="H306" s="364">
        <f>SUMIF(Disbursements!$B:$B,Ageing!$B306,Disbursements!AS:AS)</f>
        <v>0</v>
      </c>
      <c r="I306" s="364">
        <f t="shared" si="11"/>
        <v>0</v>
      </c>
      <c r="J306" s="369">
        <f>SUMIFS(Disbursements!$AP:$AP,Disbursements!$B:$B,Ageing!$B306,Disbursements!$AT:$AT,Ageing!J$4)</f>
        <v>0</v>
      </c>
      <c r="K306" s="369">
        <f>SUMIFS(Disbursements!$AP:$AP,Disbursements!$B:$B,Ageing!$B306,Disbursements!$AT:$AT,Ageing!K$4)</f>
        <v>0</v>
      </c>
      <c r="L306" s="369">
        <f>SUMIFS(Disbursements!$AP:$AP,Disbursements!$B:$B,Ageing!$B306,Disbursements!$AT:$AT,Ageing!L$4)</f>
        <v>0</v>
      </c>
      <c r="M306" s="369">
        <f>SUMIFS(Disbursements!$AP:$AP,Disbursements!$B:$B,Ageing!$B306,Disbursements!$AT:$AT,Ageing!M$4)</f>
        <v>0</v>
      </c>
      <c r="N306" s="369">
        <f>SUMIFS(Disbursements!$AP:$AP,Disbursements!$B:$B,Ageing!$B306,Disbursements!$AT:$AT,Ageing!N$4)</f>
        <v>0</v>
      </c>
      <c r="O306" s="369">
        <f>SUMIFS(Disbursements!$AP:$AP,Disbursements!$B:$B,Ageing!$B306,Disbursements!$AT:$AT,Ageing!O$4)</f>
        <v>0</v>
      </c>
    </row>
    <row r="307" spans="1:15" x14ac:dyDescent="0.2">
      <c r="A307" s="179" t="str">
        <f>IFERROR(VLOOKUP($B307,'Clients-Live'!$A:$C,3,30),"")</f>
        <v>APAYI DOROTHY</v>
      </c>
      <c r="B307" s="478">
        <v>303</v>
      </c>
      <c r="C307" s="370" t="str">
        <f>IFERROR(INDEX(Disbursements!$J:$J,MATCH(Ageing!B307,Disbursements!$B:$B,0)),"No Loan")</f>
        <v>Jerome</v>
      </c>
      <c r="D307" s="364">
        <f>SUMIF(Disbursements!$B:$B,Ageing!$B307,Disbursements!AN:AN)</f>
        <v>0</v>
      </c>
      <c r="E307" s="364">
        <f>SUMIF(Disbursements!$B:$B,Ageing!$B307,Disbursements!AO:AO)</f>
        <v>206000</v>
      </c>
      <c r="F307" s="365">
        <f t="shared" si="10"/>
        <v>206000</v>
      </c>
      <c r="G307" s="364">
        <f ca="1">SUMIF(Disbursements!$B:$B,Ageing!$B307,Disbursements!AQ:AQ)</f>
        <v>206000</v>
      </c>
      <c r="H307" s="364">
        <f ca="1">SUMIF(Disbursements!$B:$B,Ageing!$B307,Disbursements!AS:AS)</f>
        <v>37</v>
      </c>
      <c r="I307" s="364">
        <f t="shared" ca="1" si="11"/>
        <v>1</v>
      </c>
      <c r="J307" s="369">
        <f ca="1">SUMIFS(Disbursements!$AP:$AP,Disbursements!$B:$B,Ageing!$B307,Disbursements!$AT:$AT,Ageing!J$4)</f>
        <v>0</v>
      </c>
      <c r="K307" s="369">
        <f ca="1">SUMIFS(Disbursements!$AP:$AP,Disbursements!$B:$B,Ageing!$B307,Disbursements!$AT:$AT,Ageing!K$4)</f>
        <v>0</v>
      </c>
      <c r="L307" s="369">
        <f ca="1">SUMIFS(Disbursements!$AP:$AP,Disbursements!$B:$B,Ageing!$B307,Disbursements!$AT:$AT,Ageing!L$4)</f>
        <v>206000</v>
      </c>
      <c r="M307" s="369">
        <f ca="1">SUMIFS(Disbursements!$AP:$AP,Disbursements!$B:$B,Ageing!$B307,Disbursements!$AT:$AT,Ageing!M$4)</f>
        <v>0</v>
      </c>
      <c r="N307" s="369">
        <f ca="1">SUMIFS(Disbursements!$AP:$AP,Disbursements!$B:$B,Ageing!$B307,Disbursements!$AT:$AT,Ageing!N$4)</f>
        <v>0</v>
      </c>
      <c r="O307" s="369">
        <f ca="1">SUMIFS(Disbursements!$AP:$AP,Disbursements!$B:$B,Ageing!$B307,Disbursements!$AT:$AT,Ageing!O$4)</f>
        <v>0</v>
      </c>
    </row>
    <row r="308" spans="1:15" x14ac:dyDescent="0.2">
      <c r="A308" s="179" t="str">
        <f>IFERROR(VLOOKUP($B308,'Clients-Live'!$A:$C,3,30),"")</f>
        <v>ATAKO GLORIA</v>
      </c>
      <c r="B308" s="478">
        <v>304</v>
      </c>
      <c r="C308" s="370" t="str">
        <f>IFERROR(INDEX(Disbursements!$J:$J,MATCH(Ageing!B308,Disbursements!$B:$B,0)),"No Loan")</f>
        <v>Kana</v>
      </c>
      <c r="D308" s="364">
        <f>SUMIF(Disbursements!$B:$B,Ageing!$B308,Disbursements!AN:AN)</f>
        <v>166000</v>
      </c>
      <c r="E308" s="364">
        <f>SUMIF(Disbursements!$B:$B,Ageing!$B308,Disbursements!AO:AO)</f>
        <v>507000</v>
      </c>
      <c r="F308" s="365">
        <f t="shared" si="10"/>
        <v>673000</v>
      </c>
      <c r="G308" s="364">
        <f ca="1">SUMIF(Disbursements!$B:$B,Ageing!$B308,Disbursements!AQ:AQ)</f>
        <v>673000</v>
      </c>
      <c r="H308" s="364">
        <f ca="1">SUMIF(Disbursements!$B:$B,Ageing!$B308,Disbursements!AS:AS)</f>
        <v>152</v>
      </c>
      <c r="I308" s="364">
        <f t="shared" ca="1" si="11"/>
        <v>2</v>
      </c>
      <c r="J308" s="369">
        <f ca="1">SUMIFS(Disbursements!$AP:$AP,Disbursements!$B:$B,Ageing!$B308,Disbursements!$AT:$AT,Ageing!J$4)</f>
        <v>0</v>
      </c>
      <c r="K308" s="369">
        <f ca="1">SUMIFS(Disbursements!$AP:$AP,Disbursements!$B:$B,Ageing!$B308,Disbursements!$AT:$AT,Ageing!K$4)</f>
        <v>8000</v>
      </c>
      <c r="L308" s="369">
        <f ca="1">SUMIFS(Disbursements!$AP:$AP,Disbursements!$B:$B,Ageing!$B308,Disbursements!$AT:$AT,Ageing!L$4)</f>
        <v>0</v>
      </c>
      <c r="M308" s="369">
        <f ca="1">SUMIFS(Disbursements!$AP:$AP,Disbursements!$B:$B,Ageing!$B308,Disbursements!$AT:$AT,Ageing!M$4)</f>
        <v>0</v>
      </c>
      <c r="N308" s="369">
        <f ca="1">SUMIFS(Disbursements!$AP:$AP,Disbursements!$B:$B,Ageing!$B308,Disbursements!$AT:$AT,Ageing!N$4)</f>
        <v>665000</v>
      </c>
      <c r="O308" s="369">
        <f ca="1">SUMIFS(Disbursements!$AP:$AP,Disbursements!$B:$B,Ageing!$B308,Disbursements!$AT:$AT,Ageing!O$4)</f>
        <v>0</v>
      </c>
    </row>
    <row r="309" spans="1:15" x14ac:dyDescent="0.2">
      <c r="A309" s="179" t="str">
        <f>IFERROR(VLOOKUP($B309,'Clients-Live'!$A:$C,3,30),"")</f>
        <v>ANDIKU KALOLI</v>
      </c>
      <c r="B309" s="478">
        <v>305</v>
      </c>
      <c r="C309" s="370" t="str">
        <f>IFERROR(INDEX(Disbursements!$J:$J,MATCH(Ageing!B309,Disbursements!$B:$B,0)),"No Loan")</f>
        <v>Kana</v>
      </c>
      <c r="D309" s="364">
        <f>SUMIF(Disbursements!$B:$B,Ageing!$B309,Disbursements!AN:AN)</f>
        <v>0</v>
      </c>
      <c r="E309" s="364">
        <f>SUMIF(Disbursements!$B:$B,Ageing!$B309,Disbursements!AO:AO)</f>
        <v>0</v>
      </c>
      <c r="F309" s="365">
        <f t="shared" si="10"/>
        <v>0</v>
      </c>
      <c r="G309" s="364">
        <f ca="1">SUMIF(Disbursements!$B:$B,Ageing!$B309,Disbursements!AQ:AQ)</f>
        <v>0</v>
      </c>
      <c r="H309" s="364">
        <f ca="1">SUMIF(Disbursements!$B:$B,Ageing!$B309,Disbursements!AS:AS)</f>
        <v>0</v>
      </c>
      <c r="I309" s="364">
        <f t="shared" si="11"/>
        <v>0</v>
      </c>
      <c r="J309" s="369">
        <f>SUMIFS(Disbursements!$AP:$AP,Disbursements!$B:$B,Ageing!$B309,Disbursements!$AT:$AT,Ageing!J$4)</f>
        <v>0</v>
      </c>
      <c r="K309" s="369">
        <f>SUMIFS(Disbursements!$AP:$AP,Disbursements!$B:$B,Ageing!$B309,Disbursements!$AT:$AT,Ageing!K$4)</f>
        <v>0</v>
      </c>
      <c r="L309" s="369">
        <f>SUMIFS(Disbursements!$AP:$AP,Disbursements!$B:$B,Ageing!$B309,Disbursements!$AT:$AT,Ageing!L$4)</f>
        <v>0</v>
      </c>
      <c r="M309" s="369">
        <f>SUMIFS(Disbursements!$AP:$AP,Disbursements!$B:$B,Ageing!$B309,Disbursements!$AT:$AT,Ageing!M$4)</f>
        <v>0</v>
      </c>
      <c r="N309" s="369">
        <f>SUMIFS(Disbursements!$AP:$AP,Disbursements!$B:$B,Ageing!$B309,Disbursements!$AT:$AT,Ageing!N$4)</f>
        <v>0</v>
      </c>
      <c r="O309" s="369">
        <f>SUMIFS(Disbursements!$AP:$AP,Disbursements!$B:$B,Ageing!$B309,Disbursements!$AT:$AT,Ageing!O$4)</f>
        <v>0</v>
      </c>
    </row>
    <row r="310" spans="1:15" x14ac:dyDescent="0.2">
      <c r="A310" s="179" t="str">
        <f>IFERROR(VLOOKUP($B310,'Clients-Live'!$A:$C,3,30),"")</f>
        <v>DEPAYA MARY</v>
      </c>
      <c r="B310" s="478">
        <v>306</v>
      </c>
      <c r="C310" s="370" t="str">
        <f>IFERROR(INDEX(Disbursements!$J:$J,MATCH(Ageing!B310,Disbursements!$B:$B,0)),"No Loan")</f>
        <v>Jerome</v>
      </c>
      <c r="D310" s="364">
        <f>SUMIF(Disbursements!$B:$B,Ageing!$B310,Disbursements!AN:AN)</f>
        <v>343000.00000000006</v>
      </c>
      <c r="E310" s="364">
        <f>SUMIF(Disbursements!$B:$B,Ageing!$B310,Disbursements!AO:AO)</f>
        <v>839000</v>
      </c>
      <c r="F310" s="365">
        <f t="shared" si="10"/>
        <v>1182000</v>
      </c>
      <c r="G310" s="364">
        <f ca="1">SUMIF(Disbursements!$B:$B,Ageing!$B310,Disbursements!AQ:AQ)</f>
        <v>1182000</v>
      </c>
      <c r="H310" s="364">
        <f ca="1">SUMIF(Disbursements!$B:$B,Ageing!$B310,Disbursements!AS:AS)</f>
        <v>143</v>
      </c>
      <c r="I310" s="364">
        <f t="shared" ca="1" si="11"/>
        <v>1</v>
      </c>
      <c r="J310" s="369">
        <f ca="1">SUMIFS(Disbursements!$AP:$AP,Disbursements!$B:$B,Ageing!$B310,Disbursements!$AT:$AT,Ageing!J$4)</f>
        <v>0</v>
      </c>
      <c r="K310" s="369">
        <f ca="1">SUMIFS(Disbursements!$AP:$AP,Disbursements!$B:$B,Ageing!$B310,Disbursements!$AT:$AT,Ageing!K$4)</f>
        <v>0</v>
      </c>
      <c r="L310" s="369">
        <f ca="1">SUMIFS(Disbursements!$AP:$AP,Disbursements!$B:$B,Ageing!$B310,Disbursements!$AT:$AT,Ageing!L$4)</f>
        <v>0</v>
      </c>
      <c r="M310" s="369">
        <f ca="1">SUMIFS(Disbursements!$AP:$AP,Disbursements!$B:$B,Ageing!$B310,Disbursements!$AT:$AT,Ageing!M$4)</f>
        <v>0</v>
      </c>
      <c r="N310" s="369">
        <f ca="1">SUMIFS(Disbursements!$AP:$AP,Disbursements!$B:$B,Ageing!$B310,Disbursements!$AT:$AT,Ageing!N$4)</f>
        <v>1182000</v>
      </c>
      <c r="O310" s="369">
        <f ca="1">SUMIFS(Disbursements!$AP:$AP,Disbursements!$B:$B,Ageing!$B310,Disbursements!$AT:$AT,Ageing!O$4)</f>
        <v>0</v>
      </c>
    </row>
    <row r="311" spans="1:15" x14ac:dyDescent="0.2">
      <c r="A311" s="179" t="str">
        <f>IFERROR(VLOOKUP($B311,'Clients-Live'!$A:$C,3,30),"")</f>
        <v>OBOTE EMMANUEL</v>
      </c>
      <c r="B311" s="478">
        <v>307</v>
      </c>
      <c r="C311" s="370" t="str">
        <f>IFERROR(INDEX(Disbursements!$J:$J,MATCH(Ageing!B311,Disbursements!$B:$B,0)),"No Loan")</f>
        <v>No Loan</v>
      </c>
      <c r="D311" s="364">
        <f>SUMIF(Disbursements!$B:$B,Ageing!$B311,Disbursements!AN:AN)</f>
        <v>0</v>
      </c>
      <c r="E311" s="364">
        <f>SUMIF(Disbursements!$B:$B,Ageing!$B311,Disbursements!AO:AO)</f>
        <v>0</v>
      </c>
      <c r="F311" s="365">
        <f t="shared" si="10"/>
        <v>0</v>
      </c>
      <c r="G311" s="364">
        <f>SUMIF(Disbursements!$B:$B,Ageing!$B311,Disbursements!AQ:AQ)</f>
        <v>0</v>
      </c>
      <c r="H311" s="364">
        <f>SUMIF(Disbursements!$B:$B,Ageing!$B311,Disbursements!AS:AS)</f>
        <v>0</v>
      </c>
      <c r="I311" s="364">
        <f t="shared" si="11"/>
        <v>0</v>
      </c>
      <c r="J311" s="369">
        <f>SUMIFS(Disbursements!$AP:$AP,Disbursements!$B:$B,Ageing!$B311,Disbursements!$AT:$AT,Ageing!J$4)</f>
        <v>0</v>
      </c>
      <c r="K311" s="369">
        <f>SUMIFS(Disbursements!$AP:$AP,Disbursements!$B:$B,Ageing!$B311,Disbursements!$AT:$AT,Ageing!K$4)</f>
        <v>0</v>
      </c>
      <c r="L311" s="369">
        <f>SUMIFS(Disbursements!$AP:$AP,Disbursements!$B:$B,Ageing!$B311,Disbursements!$AT:$AT,Ageing!L$4)</f>
        <v>0</v>
      </c>
      <c r="M311" s="369">
        <f>SUMIFS(Disbursements!$AP:$AP,Disbursements!$B:$B,Ageing!$B311,Disbursements!$AT:$AT,Ageing!M$4)</f>
        <v>0</v>
      </c>
      <c r="N311" s="369">
        <f>SUMIFS(Disbursements!$AP:$AP,Disbursements!$B:$B,Ageing!$B311,Disbursements!$AT:$AT,Ageing!N$4)</f>
        <v>0</v>
      </c>
      <c r="O311" s="369">
        <f>SUMIFS(Disbursements!$AP:$AP,Disbursements!$B:$B,Ageing!$B311,Disbursements!$AT:$AT,Ageing!O$4)</f>
        <v>0</v>
      </c>
    </row>
    <row r="312" spans="1:15" x14ac:dyDescent="0.2">
      <c r="A312" s="179" t="str">
        <f>IFERROR(VLOOKUP($B312,'Clients-Live'!$A:$C,3,30),"")</f>
        <v>AYILA CHRISTOPHER</v>
      </c>
      <c r="B312" s="478">
        <v>308</v>
      </c>
      <c r="C312" s="370" t="str">
        <f>IFERROR(INDEX(Disbursements!$J:$J,MATCH(Ageing!B312,Disbursements!$B:$B,0)),"No Loan")</f>
        <v>Kana</v>
      </c>
      <c r="D312" s="364">
        <f>SUMIF(Disbursements!$B:$B,Ageing!$B312,Disbursements!AN:AN)</f>
        <v>0</v>
      </c>
      <c r="E312" s="364">
        <f>SUMIF(Disbursements!$B:$B,Ageing!$B312,Disbursements!AO:AO)</f>
        <v>0</v>
      </c>
      <c r="F312" s="365">
        <f t="shared" si="10"/>
        <v>0</v>
      </c>
      <c r="G312" s="364">
        <f ca="1">SUMIF(Disbursements!$B:$B,Ageing!$B312,Disbursements!AQ:AQ)</f>
        <v>0</v>
      </c>
      <c r="H312" s="364">
        <f ca="1">SUMIF(Disbursements!$B:$B,Ageing!$B312,Disbursements!AS:AS)</f>
        <v>0</v>
      </c>
      <c r="I312" s="364">
        <f t="shared" si="11"/>
        <v>0</v>
      </c>
      <c r="J312" s="369">
        <f>SUMIFS(Disbursements!$AP:$AP,Disbursements!$B:$B,Ageing!$B312,Disbursements!$AT:$AT,Ageing!J$4)</f>
        <v>0</v>
      </c>
      <c r="K312" s="369">
        <f>SUMIFS(Disbursements!$AP:$AP,Disbursements!$B:$B,Ageing!$B312,Disbursements!$AT:$AT,Ageing!K$4)</f>
        <v>0</v>
      </c>
      <c r="L312" s="369">
        <f>SUMIFS(Disbursements!$AP:$AP,Disbursements!$B:$B,Ageing!$B312,Disbursements!$AT:$AT,Ageing!L$4)</f>
        <v>0</v>
      </c>
      <c r="M312" s="369">
        <f>SUMIFS(Disbursements!$AP:$AP,Disbursements!$B:$B,Ageing!$B312,Disbursements!$AT:$AT,Ageing!M$4)</f>
        <v>0</v>
      </c>
      <c r="N312" s="369">
        <f>SUMIFS(Disbursements!$AP:$AP,Disbursements!$B:$B,Ageing!$B312,Disbursements!$AT:$AT,Ageing!N$4)</f>
        <v>0</v>
      </c>
      <c r="O312" s="369">
        <f>SUMIFS(Disbursements!$AP:$AP,Disbursements!$B:$B,Ageing!$B312,Disbursements!$AT:$AT,Ageing!O$4)</f>
        <v>0</v>
      </c>
    </row>
    <row r="313" spans="1:15" x14ac:dyDescent="0.2">
      <c r="A313" s="179" t="str">
        <f>IFERROR(VLOOKUP($B313,'Clients-Live'!$A:$C,3,30),"")</f>
        <v>NAMBOZO HALIMA</v>
      </c>
      <c r="B313" s="478">
        <v>309</v>
      </c>
      <c r="C313" s="370" t="str">
        <f>IFERROR(INDEX(Disbursements!$J:$J,MATCH(Ageing!B313,Disbursements!$B:$B,0)),"No Loan")</f>
        <v>Kana</v>
      </c>
      <c r="D313" s="364">
        <f>SUMIF(Disbursements!$B:$B,Ageing!$B313,Disbursements!AN:AN)</f>
        <v>392000</v>
      </c>
      <c r="E313" s="364">
        <f>SUMIF(Disbursements!$B:$B,Ageing!$B313,Disbursements!AO:AO)</f>
        <v>1398000</v>
      </c>
      <c r="F313" s="365">
        <f t="shared" si="10"/>
        <v>1790000</v>
      </c>
      <c r="G313" s="364">
        <f ca="1">SUMIF(Disbursements!$B:$B,Ageing!$B313,Disbursements!AQ:AQ)</f>
        <v>1790000</v>
      </c>
      <c r="H313" s="364">
        <f ca="1">SUMIF(Disbursements!$B:$B,Ageing!$B313,Disbursements!AS:AS)</f>
        <v>135</v>
      </c>
      <c r="I313" s="364">
        <f t="shared" ca="1" si="11"/>
        <v>1</v>
      </c>
      <c r="J313" s="369">
        <f ca="1">SUMIFS(Disbursements!$AP:$AP,Disbursements!$B:$B,Ageing!$B313,Disbursements!$AT:$AT,Ageing!J$4)</f>
        <v>0</v>
      </c>
      <c r="K313" s="369">
        <f ca="1">SUMIFS(Disbursements!$AP:$AP,Disbursements!$B:$B,Ageing!$B313,Disbursements!$AT:$AT,Ageing!K$4)</f>
        <v>0</v>
      </c>
      <c r="L313" s="369">
        <f ca="1">SUMIFS(Disbursements!$AP:$AP,Disbursements!$B:$B,Ageing!$B313,Disbursements!$AT:$AT,Ageing!L$4)</f>
        <v>0</v>
      </c>
      <c r="M313" s="369">
        <f ca="1">SUMIFS(Disbursements!$AP:$AP,Disbursements!$B:$B,Ageing!$B313,Disbursements!$AT:$AT,Ageing!M$4)</f>
        <v>0</v>
      </c>
      <c r="N313" s="369">
        <f ca="1">SUMIFS(Disbursements!$AP:$AP,Disbursements!$B:$B,Ageing!$B313,Disbursements!$AT:$AT,Ageing!N$4)</f>
        <v>1790000</v>
      </c>
      <c r="O313" s="369">
        <f ca="1">SUMIFS(Disbursements!$AP:$AP,Disbursements!$B:$B,Ageing!$B313,Disbursements!$AT:$AT,Ageing!O$4)</f>
        <v>0</v>
      </c>
    </row>
    <row r="314" spans="1:15" x14ac:dyDescent="0.2">
      <c r="A314" s="179" t="str">
        <f>IFERROR(VLOOKUP($B314,'Clients-Live'!$A:$C,3,30),"")</f>
        <v>TUKEI JOB</v>
      </c>
      <c r="B314" s="478">
        <v>310</v>
      </c>
      <c r="C314" s="370" t="str">
        <f>IFERROR(INDEX(Disbursements!$J:$J,MATCH(Ageing!B314,Disbursements!$B:$B,0)),"No Loan")</f>
        <v>Jerome</v>
      </c>
      <c r="D314" s="364">
        <f>SUMIF(Disbursements!$B:$B,Ageing!$B314,Disbursements!AN:AN)</f>
        <v>390000</v>
      </c>
      <c r="E314" s="364">
        <f>SUMIF(Disbursements!$B:$B,Ageing!$B314,Disbursements!AO:AO)</f>
        <v>2460000</v>
      </c>
      <c r="F314" s="365">
        <f t="shared" si="10"/>
        <v>2850000</v>
      </c>
      <c r="G314" s="364">
        <f ca="1">SUMIF(Disbursements!$B:$B,Ageing!$B314,Disbursements!AQ:AQ)</f>
        <v>2850000</v>
      </c>
      <c r="H314" s="364">
        <f ca="1">SUMIF(Disbursements!$B:$B,Ageing!$B314,Disbursements!AS:AS)</f>
        <v>91</v>
      </c>
      <c r="I314" s="364">
        <f t="shared" ca="1" si="11"/>
        <v>1</v>
      </c>
      <c r="J314" s="369">
        <f ca="1">SUMIFS(Disbursements!$AP:$AP,Disbursements!$B:$B,Ageing!$B314,Disbursements!$AT:$AT,Ageing!J$4)</f>
        <v>0</v>
      </c>
      <c r="K314" s="369">
        <f ca="1">SUMIFS(Disbursements!$AP:$AP,Disbursements!$B:$B,Ageing!$B314,Disbursements!$AT:$AT,Ageing!K$4)</f>
        <v>0</v>
      </c>
      <c r="L314" s="369">
        <f ca="1">SUMIFS(Disbursements!$AP:$AP,Disbursements!$B:$B,Ageing!$B314,Disbursements!$AT:$AT,Ageing!L$4)</f>
        <v>0</v>
      </c>
      <c r="M314" s="369">
        <f ca="1">SUMIFS(Disbursements!$AP:$AP,Disbursements!$B:$B,Ageing!$B314,Disbursements!$AT:$AT,Ageing!M$4)</f>
        <v>0</v>
      </c>
      <c r="N314" s="369">
        <f ca="1">SUMIFS(Disbursements!$AP:$AP,Disbursements!$B:$B,Ageing!$B314,Disbursements!$AT:$AT,Ageing!N$4)</f>
        <v>2850000</v>
      </c>
      <c r="O314" s="369">
        <f ca="1">SUMIFS(Disbursements!$AP:$AP,Disbursements!$B:$B,Ageing!$B314,Disbursements!$AT:$AT,Ageing!O$4)</f>
        <v>0</v>
      </c>
    </row>
    <row r="315" spans="1:15" x14ac:dyDescent="0.2">
      <c r="A315" s="179" t="str">
        <f>IFERROR(VLOOKUP($B315,'Clients-Live'!$A:$C,3,30),"")</f>
        <v>PATRICK OKUONZI</v>
      </c>
      <c r="B315" s="478">
        <v>311</v>
      </c>
      <c r="C315" s="370" t="str">
        <f>IFERROR(INDEX(Disbursements!$J:$J,MATCH(Ageing!B315,Disbursements!$B:$B,0)),"No Loan")</f>
        <v>Aroma</v>
      </c>
      <c r="D315" s="364">
        <f>SUMIF(Disbursements!$B:$B,Ageing!$B315,Disbursements!AN:AN)</f>
        <v>0</v>
      </c>
      <c r="E315" s="364">
        <f>SUMIF(Disbursements!$B:$B,Ageing!$B315,Disbursements!AO:AO)</f>
        <v>0</v>
      </c>
      <c r="F315" s="365">
        <f t="shared" si="10"/>
        <v>0</v>
      </c>
      <c r="G315" s="364">
        <f ca="1">SUMIF(Disbursements!$B:$B,Ageing!$B315,Disbursements!AQ:AQ)</f>
        <v>0</v>
      </c>
      <c r="H315" s="364">
        <f ca="1">SUMIF(Disbursements!$B:$B,Ageing!$B315,Disbursements!AS:AS)</f>
        <v>0</v>
      </c>
      <c r="I315" s="364">
        <f t="shared" si="11"/>
        <v>0</v>
      </c>
      <c r="J315" s="369">
        <f>SUMIFS(Disbursements!$AP:$AP,Disbursements!$B:$B,Ageing!$B315,Disbursements!$AT:$AT,Ageing!J$4)</f>
        <v>0</v>
      </c>
      <c r="K315" s="369">
        <f>SUMIFS(Disbursements!$AP:$AP,Disbursements!$B:$B,Ageing!$B315,Disbursements!$AT:$AT,Ageing!K$4)</f>
        <v>0</v>
      </c>
      <c r="L315" s="369">
        <f>SUMIFS(Disbursements!$AP:$AP,Disbursements!$B:$B,Ageing!$B315,Disbursements!$AT:$AT,Ageing!L$4)</f>
        <v>0</v>
      </c>
      <c r="M315" s="369">
        <f>SUMIFS(Disbursements!$AP:$AP,Disbursements!$B:$B,Ageing!$B315,Disbursements!$AT:$AT,Ageing!M$4)</f>
        <v>0</v>
      </c>
      <c r="N315" s="369">
        <f>SUMIFS(Disbursements!$AP:$AP,Disbursements!$B:$B,Ageing!$B315,Disbursements!$AT:$AT,Ageing!N$4)</f>
        <v>0</v>
      </c>
      <c r="O315" s="369">
        <f>SUMIFS(Disbursements!$AP:$AP,Disbursements!$B:$B,Ageing!$B315,Disbursements!$AT:$AT,Ageing!O$4)</f>
        <v>0</v>
      </c>
    </row>
    <row r="316" spans="1:15" x14ac:dyDescent="0.2">
      <c r="A316" s="179" t="str">
        <f>IFERROR(VLOOKUP($B316,'Clients-Live'!$A:$C,3,30),"")</f>
        <v>NAULA SCOVIA</v>
      </c>
      <c r="B316" s="478">
        <v>312</v>
      </c>
      <c r="C316" s="370" t="str">
        <f>IFERROR(INDEX(Disbursements!$J:$J,MATCH(Ageing!B316,Disbursements!$B:$B,0)),"No Loan")</f>
        <v>No Loan</v>
      </c>
      <c r="D316" s="364">
        <f>SUMIF(Disbursements!$B:$B,Ageing!$B316,Disbursements!AN:AN)</f>
        <v>0</v>
      </c>
      <c r="E316" s="364">
        <f>SUMIF(Disbursements!$B:$B,Ageing!$B316,Disbursements!AO:AO)</f>
        <v>0</v>
      </c>
      <c r="F316" s="365">
        <f t="shared" si="10"/>
        <v>0</v>
      </c>
      <c r="G316" s="364">
        <f>SUMIF(Disbursements!$B:$B,Ageing!$B316,Disbursements!AQ:AQ)</f>
        <v>0</v>
      </c>
      <c r="H316" s="364">
        <f>SUMIF(Disbursements!$B:$B,Ageing!$B316,Disbursements!AS:AS)</f>
        <v>0</v>
      </c>
      <c r="I316" s="364">
        <f t="shared" si="11"/>
        <v>0</v>
      </c>
      <c r="J316" s="369">
        <f>SUMIFS(Disbursements!$AP:$AP,Disbursements!$B:$B,Ageing!$B316,Disbursements!$AT:$AT,Ageing!J$4)</f>
        <v>0</v>
      </c>
      <c r="K316" s="369">
        <f>SUMIFS(Disbursements!$AP:$AP,Disbursements!$B:$B,Ageing!$B316,Disbursements!$AT:$AT,Ageing!K$4)</f>
        <v>0</v>
      </c>
      <c r="L316" s="369">
        <f>SUMIFS(Disbursements!$AP:$AP,Disbursements!$B:$B,Ageing!$B316,Disbursements!$AT:$AT,Ageing!L$4)</f>
        <v>0</v>
      </c>
      <c r="M316" s="369">
        <f>SUMIFS(Disbursements!$AP:$AP,Disbursements!$B:$B,Ageing!$B316,Disbursements!$AT:$AT,Ageing!M$4)</f>
        <v>0</v>
      </c>
      <c r="N316" s="369">
        <f>SUMIFS(Disbursements!$AP:$AP,Disbursements!$B:$B,Ageing!$B316,Disbursements!$AT:$AT,Ageing!N$4)</f>
        <v>0</v>
      </c>
      <c r="O316" s="369">
        <f>SUMIFS(Disbursements!$AP:$AP,Disbursements!$B:$B,Ageing!$B316,Disbursements!$AT:$AT,Ageing!O$4)</f>
        <v>0</v>
      </c>
    </row>
    <row r="317" spans="1:15" x14ac:dyDescent="0.2">
      <c r="A317" s="179" t="str">
        <f>IFERROR(VLOOKUP($B317,'Clients-Live'!$A:$C,3,30),"")</f>
        <v>TWAHA GBAGBE</v>
      </c>
      <c r="B317" s="478">
        <v>313</v>
      </c>
      <c r="C317" s="370" t="str">
        <f>IFERROR(INDEX(Disbursements!$J:$J,MATCH(Ageing!B317,Disbursements!$B:$B,0)),"No Loan")</f>
        <v>Kana</v>
      </c>
      <c r="D317" s="364">
        <f>SUMIF(Disbursements!$B:$B,Ageing!$B317,Disbursements!AN:AN)</f>
        <v>191333.33333333337</v>
      </c>
      <c r="E317" s="364">
        <f>SUMIF(Disbursements!$B:$B,Ageing!$B317,Disbursements!AO:AO)</f>
        <v>532666.66666666651</v>
      </c>
      <c r="F317" s="365">
        <f t="shared" si="10"/>
        <v>723999.99999999988</v>
      </c>
      <c r="G317" s="364">
        <f ca="1">SUMIF(Disbursements!$B:$B,Ageing!$B317,Disbursements!AQ:AQ)</f>
        <v>723999.99999999988</v>
      </c>
      <c r="H317" s="364">
        <f ca="1">SUMIF(Disbursements!$B:$B,Ageing!$B317,Disbursements!AS:AS)</f>
        <v>65</v>
      </c>
      <c r="I317" s="364">
        <f t="shared" ca="1" si="11"/>
        <v>1</v>
      </c>
      <c r="J317" s="369">
        <f ca="1">SUMIFS(Disbursements!$AP:$AP,Disbursements!$B:$B,Ageing!$B317,Disbursements!$AT:$AT,Ageing!J$4)</f>
        <v>0</v>
      </c>
      <c r="K317" s="369">
        <f ca="1">SUMIFS(Disbursements!$AP:$AP,Disbursements!$B:$B,Ageing!$B317,Disbursements!$AT:$AT,Ageing!K$4)</f>
        <v>0</v>
      </c>
      <c r="L317" s="369">
        <f ca="1">SUMIFS(Disbursements!$AP:$AP,Disbursements!$B:$B,Ageing!$B317,Disbursements!$AT:$AT,Ageing!L$4)</f>
        <v>0</v>
      </c>
      <c r="M317" s="369">
        <f ca="1">SUMIFS(Disbursements!$AP:$AP,Disbursements!$B:$B,Ageing!$B317,Disbursements!$AT:$AT,Ageing!M$4)</f>
        <v>723999.99999999988</v>
      </c>
      <c r="N317" s="369">
        <f ca="1">SUMIFS(Disbursements!$AP:$AP,Disbursements!$B:$B,Ageing!$B317,Disbursements!$AT:$AT,Ageing!N$4)</f>
        <v>0</v>
      </c>
      <c r="O317" s="369">
        <f ca="1">SUMIFS(Disbursements!$AP:$AP,Disbursements!$B:$B,Ageing!$B317,Disbursements!$AT:$AT,Ageing!O$4)</f>
        <v>0</v>
      </c>
    </row>
    <row r="318" spans="1:15" x14ac:dyDescent="0.2">
      <c r="A318" s="179" t="str">
        <f>IFERROR(VLOOKUP($B318,'Clients-Live'!$A:$C,3,30),"")</f>
        <v>SHAMIM ALIGAH</v>
      </c>
      <c r="B318" s="478">
        <v>314</v>
      </c>
      <c r="C318" s="370" t="str">
        <f>IFERROR(INDEX(Disbursements!$J:$J,MATCH(Ageing!B318,Disbursements!$B:$B,0)),"No Loan")</f>
        <v>Kana</v>
      </c>
      <c r="D318" s="364">
        <f>SUMIF(Disbursements!$B:$B,Ageing!$B318,Disbursements!AN:AN)</f>
        <v>0</v>
      </c>
      <c r="E318" s="364">
        <f>SUMIF(Disbursements!$B:$B,Ageing!$B318,Disbursements!AO:AO)</f>
        <v>1226500</v>
      </c>
      <c r="F318" s="365">
        <f t="shared" si="10"/>
        <v>1226500</v>
      </c>
      <c r="G318" s="364">
        <f ca="1">SUMIF(Disbursements!$B:$B,Ageing!$B318,Disbursements!AQ:AQ)</f>
        <v>1226500</v>
      </c>
      <c r="H318" s="364">
        <f ca="1">SUMIF(Disbursements!$B:$B,Ageing!$B318,Disbursements!AS:AS)</f>
        <v>28</v>
      </c>
      <c r="I318" s="364">
        <f t="shared" ca="1" si="11"/>
        <v>1</v>
      </c>
      <c r="J318" s="369">
        <f ca="1">SUMIFS(Disbursements!$AP:$AP,Disbursements!$B:$B,Ageing!$B318,Disbursements!$AT:$AT,Ageing!J$4)</f>
        <v>0</v>
      </c>
      <c r="K318" s="369">
        <f ca="1">SUMIFS(Disbursements!$AP:$AP,Disbursements!$B:$B,Ageing!$B318,Disbursements!$AT:$AT,Ageing!K$4)</f>
        <v>1226500</v>
      </c>
      <c r="L318" s="369">
        <f ca="1">SUMIFS(Disbursements!$AP:$AP,Disbursements!$B:$B,Ageing!$B318,Disbursements!$AT:$AT,Ageing!L$4)</f>
        <v>0</v>
      </c>
      <c r="M318" s="369">
        <f ca="1">SUMIFS(Disbursements!$AP:$AP,Disbursements!$B:$B,Ageing!$B318,Disbursements!$AT:$AT,Ageing!M$4)</f>
        <v>0</v>
      </c>
      <c r="N318" s="369">
        <f ca="1">SUMIFS(Disbursements!$AP:$AP,Disbursements!$B:$B,Ageing!$B318,Disbursements!$AT:$AT,Ageing!N$4)</f>
        <v>0</v>
      </c>
      <c r="O318" s="369">
        <f ca="1">SUMIFS(Disbursements!$AP:$AP,Disbursements!$B:$B,Ageing!$B318,Disbursements!$AT:$AT,Ageing!O$4)</f>
        <v>0</v>
      </c>
    </row>
    <row r="319" spans="1:15" x14ac:dyDescent="0.2">
      <c r="A319" s="179" t="str">
        <f>IFERROR(VLOOKUP($B319,'Clients-Live'!$A:$C,3,30),"")</f>
        <v>BURUGA JAMES</v>
      </c>
      <c r="B319" s="478">
        <v>315</v>
      </c>
      <c r="C319" s="370" t="str">
        <f>IFERROR(INDEX(Disbursements!$J:$J,MATCH(Ageing!B319,Disbursements!$B:$B,0)),"No Loan")</f>
        <v>No Loan</v>
      </c>
      <c r="D319" s="364">
        <f>SUMIF(Disbursements!$B:$B,Ageing!$B319,Disbursements!AN:AN)</f>
        <v>0</v>
      </c>
      <c r="E319" s="364">
        <f>SUMIF(Disbursements!$B:$B,Ageing!$B319,Disbursements!AO:AO)</f>
        <v>0</v>
      </c>
      <c r="F319" s="365">
        <f t="shared" si="10"/>
        <v>0</v>
      </c>
      <c r="G319" s="364">
        <f>SUMIF(Disbursements!$B:$B,Ageing!$B319,Disbursements!AQ:AQ)</f>
        <v>0</v>
      </c>
      <c r="H319" s="364">
        <f>SUMIF(Disbursements!$B:$B,Ageing!$B319,Disbursements!AS:AS)</f>
        <v>0</v>
      </c>
      <c r="I319" s="364">
        <f t="shared" si="11"/>
        <v>0</v>
      </c>
      <c r="J319" s="369">
        <f>SUMIFS(Disbursements!$AP:$AP,Disbursements!$B:$B,Ageing!$B319,Disbursements!$AT:$AT,Ageing!J$4)</f>
        <v>0</v>
      </c>
      <c r="K319" s="369">
        <f>SUMIFS(Disbursements!$AP:$AP,Disbursements!$B:$B,Ageing!$B319,Disbursements!$AT:$AT,Ageing!K$4)</f>
        <v>0</v>
      </c>
      <c r="L319" s="369">
        <f>SUMIFS(Disbursements!$AP:$AP,Disbursements!$B:$B,Ageing!$B319,Disbursements!$AT:$AT,Ageing!L$4)</f>
        <v>0</v>
      </c>
      <c r="M319" s="369">
        <f>SUMIFS(Disbursements!$AP:$AP,Disbursements!$B:$B,Ageing!$B319,Disbursements!$AT:$AT,Ageing!M$4)</f>
        <v>0</v>
      </c>
      <c r="N319" s="369">
        <f>SUMIFS(Disbursements!$AP:$AP,Disbursements!$B:$B,Ageing!$B319,Disbursements!$AT:$AT,Ageing!N$4)</f>
        <v>0</v>
      </c>
      <c r="O319" s="369">
        <f>SUMIFS(Disbursements!$AP:$AP,Disbursements!$B:$B,Ageing!$B319,Disbursements!$AT:$AT,Ageing!O$4)</f>
        <v>0</v>
      </c>
    </row>
    <row r="320" spans="1:15" x14ac:dyDescent="0.2">
      <c r="A320" s="179" t="str">
        <f>IFERROR(VLOOKUP($B320,'Clients-Live'!$A:$C,3,30),"")</f>
        <v>DAKARU GRACE</v>
      </c>
      <c r="B320" s="478">
        <v>316</v>
      </c>
      <c r="C320" s="370" t="str">
        <f>IFERROR(INDEX(Disbursements!$J:$J,MATCH(Ageing!B320,Disbursements!$B:$B,0)),"No Loan")</f>
        <v>No Loan</v>
      </c>
      <c r="D320" s="364">
        <f>SUMIF(Disbursements!$B:$B,Ageing!$B320,Disbursements!AN:AN)</f>
        <v>0</v>
      </c>
      <c r="E320" s="364">
        <f>SUMIF(Disbursements!$B:$B,Ageing!$B320,Disbursements!AO:AO)</f>
        <v>0</v>
      </c>
      <c r="F320" s="365">
        <f t="shared" si="10"/>
        <v>0</v>
      </c>
      <c r="G320" s="364">
        <f>SUMIF(Disbursements!$B:$B,Ageing!$B320,Disbursements!AQ:AQ)</f>
        <v>0</v>
      </c>
      <c r="H320" s="364">
        <f>SUMIF(Disbursements!$B:$B,Ageing!$B320,Disbursements!AS:AS)</f>
        <v>0</v>
      </c>
      <c r="I320" s="364">
        <f t="shared" si="11"/>
        <v>0</v>
      </c>
      <c r="J320" s="369">
        <f>SUMIFS(Disbursements!$AP:$AP,Disbursements!$B:$B,Ageing!$B320,Disbursements!$AT:$AT,Ageing!J$4)</f>
        <v>0</v>
      </c>
      <c r="K320" s="369">
        <f>SUMIFS(Disbursements!$AP:$AP,Disbursements!$B:$B,Ageing!$B320,Disbursements!$AT:$AT,Ageing!K$4)</f>
        <v>0</v>
      </c>
      <c r="L320" s="369">
        <f>SUMIFS(Disbursements!$AP:$AP,Disbursements!$B:$B,Ageing!$B320,Disbursements!$AT:$AT,Ageing!L$4)</f>
        <v>0</v>
      </c>
      <c r="M320" s="369">
        <f>SUMIFS(Disbursements!$AP:$AP,Disbursements!$B:$B,Ageing!$B320,Disbursements!$AT:$AT,Ageing!M$4)</f>
        <v>0</v>
      </c>
      <c r="N320" s="369">
        <f>SUMIFS(Disbursements!$AP:$AP,Disbursements!$B:$B,Ageing!$B320,Disbursements!$AT:$AT,Ageing!N$4)</f>
        <v>0</v>
      </c>
      <c r="O320" s="369">
        <f>SUMIFS(Disbursements!$AP:$AP,Disbursements!$B:$B,Ageing!$B320,Disbursements!$AT:$AT,Ageing!O$4)</f>
        <v>0</v>
      </c>
    </row>
    <row r="321" spans="1:15" x14ac:dyDescent="0.2">
      <c r="A321" s="179" t="str">
        <f>IFERROR(VLOOKUP($B321,'Clients-Live'!$A:$C,3,30),"")</f>
        <v>DRIWARU JANE</v>
      </c>
      <c r="B321" s="478">
        <v>317</v>
      </c>
      <c r="C321" s="370" t="str">
        <f>IFERROR(INDEX(Disbursements!$J:$J,MATCH(Ageing!B321,Disbursements!$B:$B,0)),"No Loan")</f>
        <v>Kana</v>
      </c>
      <c r="D321" s="364">
        <f>SUMIF(Disbursements!$B:$B,Ageing!$B321,Disbursements!AN:AN)</f>
        <v>170000</v>
      </c>
      <c r="E321" s="364">
        <f>SUMIF(Disbursements!$B:$B,Ageing!$B321,Disbursements!AO:AO)</f>
        <v>535000</v>
      </c>
      <c r="F321" s="365">
        <f t="shared" si="10"/>
        <v>705000</v>
      </c>
      <c r="G321" s="364">
        <f ca="1">SUMIF(Disbursements!$B:$B,Ageing!$B321,Disbursements!AQ:AQ)</f>
        <v>705000</v>
      </c>
      <c r="H321" s="364">
        <f ca="1">SUMIF(Disbursements!$B:$B,Ageing!$B321,Disbursements!AS:AS)</f>
        <v>90</v>
      </c>
      <c r="I321" s="364">
        <f t="shared" ca="1" si="11"/>
        <v>1</v>
      </c>
      <c r="J321" s="369">
        <f ca="1">SUMIFS(Disbursements!$AP:$AP,Disbursements!$B:$B,Ageing!$B321,Disbursements!$AT:$AT,Ageing!J$4)</f>
        <v>0</v>
      </c>
      <c r="K321" s="369">
        <f ca="1">SUMIFS(Disbursements!$AP:$AP,Disbursements!$B:$B,Ageing!$B321,Disbursements!$AT:$AT,Ageing!K$4)</f>
        <v>0</v>
      </c>
      <c r="L321" s="369">
        <f ca="1">SUMIFS(Disbursements!$AP:$AP,Disbursements!$B:$B,Ageing!$B321,Disbursements!$AT:$AT,Ageing!L$4)</f>
        <v>0</v>
      </c>
      <c r="M321" s="369">
        <f ca="1">SUMIFS(Disbursements!$AP:$AP,Disbursements!$B:$B,Ageing!$B321,Disbursements!$AT:$AT,Ageing!M$4)</f>
        <v>705000</v>
      </c>
      <c r="N321" s="369">
        <f ca="1">SUMIFS(Disbursements!$AP:$AP,Disbursements!$B:$B,Ageing!$B321,Disbursements!$AT:$AT,Ageing!N$4)</f>
        <v>0</v>
      </c>
      <c r="O321" s="369">
        <f ca="1">SUMIFS(Disbursements!$AP:$AP,Disbursements!$B:$B,Ageing!$B321,Disbursements!$AT:$AT,Ageing!O$4)</f>
        <v>0</v>
      </c>
    </row>
    <row r="322" spans="1:15" x14ac:dyDescent="0.2">
      <c r="A322" s="179" t="str">
        <f>IFERROR(VLOOKUP($B322,'Clients-Live'!$A:$C,3,30),"")</f>
        <v>ARUBE PETER</v>
      </c>
      <c r="B322" s="478">
        <v>318</v>
      </c>
      <c r="C322" s="370" t="str">
        <f>IFERROR(INDEX(Disbursements!$J:$J,MATCH(Ageing!B322,Disbursements!$B:$B,0)),"No Loan")</f>
        <v>Kana</v>
      </c>
      <c r="D322" s="364">
        <f>SUMIF(Disbursements!$B:$B,Ageing!$B322,Disbursements!AN:AN)</f>
        <v>52666.666666666657</v>
      </c>
      <c r="E322" s="364">
        <f>SUMIF(Disbursements!$B:$B,Ageing!$B322,Disbursements!AO:AO)</f>
        <v>265333.33333333331</v>
      </c>
      <c r="F322" s="365">
        <f t="shared" si="10"/>
        <v>318000</v>
      </c>
      <c r="G322" s="364">
        <f ca="1">SUMIF(Disbursements!$B:$B,Ageing!$B322,Disbursements!AQ:AQ)</f>
        <v>318000</v>
      </c>
      <c r="H322" s="364">
        <f ca="1">SUMIF(Disbursements!$B:$B,Ageing!$B322,Disbursements!AS:AS)</f>
        <v>34</v>
      </c>
      <c r="I322" s="364">
        <f t="shared" ca="1" si="11"/>
        <v>1</v>
      </c>
      <c r="J322" s="369">
        <f ca="1">SUMIFS(Disbursements!$AP:$AP,Disbursements!$B:$B,Ageing!$B322,Disbursements!$AT:$AT,Ageing!J$4)</f>
        <v>0</v>
      </c>
      <c r="K322" s="369">
        <f ca="1">SUMIFS(Disbursements!$AP:$AP,Disbursements!$B:$B,Ageing!$B322,Disbursements!$AT:$AT,Ageing!K$4)</f>
        <v>0</v>
      </c>
      <c r="L322" s="369">
        <f ca="1">SUMIFS(Disbursements!$AP:$AP,Disbursements!$B:$B,Ageing!$B322,Disbursements!$AT:$AT,Ageing!L$4)</f>
        <v>318000</v>
      </c>
      <c r="M322" s="369">
        <f ca="1">SUMIFS(Disbursements!$AP:$AP,Disbursements!$B:$B,Ageing!$B322,Disbursements!$AT:$AT,Ageing!M$4)</f>
        <v>0</v>
      </c>
      <c r="N322" s="369">
        <f ca="1">SUMIFS(Disbursements!$AP:$AP,Disbursements!$B:$B,Ageing!$B322,Disbursements!$AT:$AT,Ageing!N$4)</f>
        <v>0</v>
      </c>
      <c r="O322" s="369">
        <f ca="1">SUMIFS(Disbursements!$AP:$AP,Disbursements!$B:$B,Ageing!$B322,Disbursements!$AT:$AT,Ageing!O$4)</f>
        <v>0</v>
      </c>
    </row>
    <row r="323" spans="1:15" x14ac:dyDescent="0.2">
      <c r="A323" s="179" t="str">
        <f>IFERROR(VLOOKUP($B323,'Clients-Live'!$A:$C,3,30),"")</f>
        <v>ATIKI PATRICK</v>
      </c>
      <c r="B323" s="478">
        <v>319</v>
      </c>
      <c r="C323" s="370" t="str">
        <f>IFERROR(INDEX(Disbursements!$J:$J,MATCH(Ageing!B323,Disbursements!$B:$B,0)),"No Loan")</f>
        <v>No Loan</v>
      </c>
      <c r="D323" s="364">
        <f>SUMIF(Disbursements!$B:$B,Ageing!$B323,Disbursements!AN:AN)</f>
        <v>0</v>
      </c>
      <c r="E323" s="364">
        <f>SUMIF(Disbursements!$B:$B,Ageing!$B323,Disbursements!AO:AO)</f>
        <v>0</v>
      </c>
      <c r="F323" s="365">
        <f t="shared" si="10"/>
        <v>0</v>
      </c>
      <c r="G323" s="364">
        <f>SUMIF(Disbursements!$B:$B,Ageing!$B323,Disbursements!AQ:AQ)</f>
        <v>0</v>
      </c>
      <c r="H323" s="364">
        <f>SUMIF(Disbursements!$B:$B,Ageing!$B323,Disbursements!AS:AS)</f>
        <v>0</v>
      </c>
      <c r="I323" s="364">
        <f t="shared" si="11"/>
        <v>0</v>
      </c>
      <c r="J323" s="369">
        <f>SUMIFS(Disbursements!$AP:$AP,Disbursements!$B:$B,Ageing!$B323,Disbursements!$AT:$AT,Ageing!J$4)</f>
        <v>0</v>
      </c>
      <c r="K323" s="369">
        <f>SUMIFS(Disbursements!$AP:$AP,Disbursements!$B:$B,Ageing!$B323,Disbursements!$AT:$AT,Ageing!K$4)</f>
        <v>0</v>
      </c>
      <c r="L323" s="369">
        <f>SUMIFS(Disbursements!$AP:$AP,Disbursements!$B:$B,Ageing!$B323,Disbursements!$AT:$AT,Ageing!L$4)</f>
        <v>0</v>
      </c>
      <c r="M323" s="369">
        <f>SUMIFS(Disbursements!$AP:$AP,Disbursements!$B:$B,Ageing!$B323,Disbursements!$AT:$AT,Ageing!M$4)</f>
        <v>0</v>
      </c>
      <c r="N323" s="369">
        <f>SUMIFS(Disbursements!$AP:$AP,Disbursements!$B:$B,Ageing!$B323,Disbursements!$AT:$AT,Ageing!N$4)</f>
        <v>0</v>
      </c>
      <c r="O323" s="369">
        <f>SUMIFS(Disbursements!$AP:$AP,Disbursements!$B:$B,Ageing!$B323,Disbursements!$AT:$AT,Ageing!O$4)</f>
        <v>0</v>
      </c>
    </row>
    <row r="324" spans="1:15" x14ac:dyDescent="0.2">
      <c r="A324" s="179" t="str">
        <f>IFERROR(VLOOKUP($B324,'Clients-Live'!$A:$C,3,30),"")</f>
        <v>DRILIGA HABIBU</v>
      </c>
      <c r="B324" s="478">
        <v>320</v>
      </c>
      <c r="C324" s="370" t="str">
        <f>IFERROR(INDEX(Disbursements!$J:$J,MATCH(Ageing!B324,Disbursements!$B:$B,0)),"No Loan")</f>
        <v>No Loan</v>
      </c>
      <c r="D324" s="364">
        <f>SUMIF(Disbursements!$B:$B,Ageing!$B324,Disbursements!AN:AN)</f>
        <v>0</v>
      </c>
      <c r="E324" s="364">
        <f>SUMIF(Disbursements!$B:$B,Ageing!$B324,Disbursements!AO:AO)</f>
        <v>0</v>
      </c>
      <c r="F324" s="365">
        <f t="shared" si="10"/>
        <v>0</v>
      </c>
      <c r="G324" s="364">
        <f>SUMIF(Disbursements!$B:$B,Ageing!$B324,Disbursements!AQ:AQ)</f>
        <v>0</v>
      </c>
      <c r="H324" s="364">
        <f>SUMIF(Disbursements!$B:$B,Ageing!$B324,Disbursements!AS:AS)</f>
        <v>0</v>
      </c>
      <c r="I324" s="364">
        <f t="shared" si="11"/>
        <v>0</v>
      </c>
      <c r="J324" s="369">
        <f>SUMIFS(Disbursements!$AP:$AP,Disbursements!$B:$B,Ageing!$B324,Disbursements!$AT:$AT,Ageing!J$4)</f>
        <v>0</v>
      </c>
      <c r="K324" s="369">
        <f>SUMIFS(Disbursements!$AP:$AP,Disbursements!$B:$B,Ageing!$B324,Disbursements!$AT:$AT,Ageing!K$4)</f>
        <v>0</v>
      </c>
      <c r="L324" s="369">
        <f>SUMIFS(Disbursements!$AP:$AP,Disbursements!$B:$B,Ageing!$B324,Disbursements!$AT:$AT,Ageing!L$4)</f>
        <v>0</v>
      </c>
      <c r="M324" s="369">
        <f>SUMIFS(Disbursements!$AP:$AP,Disbursements!$B:$B,Ageing!$B324,Disbursements!$AT:$AT,Ageing!M$4)</f>
        <v>0</v>
      </c>
      <c r="N324" s="369">
        <f>SUMIFS(Disbursements!$AP:$AP,Disbursements!$B:$B,Ageing!$B324,Disbursements!$AT:$AT,Ageing!N$4)</f>
        <v>0</v>
      </c>
      <c r="O324" s="369">
        <f>SUMIFS(Disbursements!$AP:$AP,Disbursements!$B:$B,Ageing!$B324,Disbursements!$AT:$AT,Ageing!O$4)</f>
        <v>0</v>
      </c>
    </row>
    <row r="325" spans="1:15" x14ac:dyDescent="0.2">
      <c r="A325" s="179" t="str">
        <f>IFERROR(VLOOKUP($B325,'Clients-Live'!$A:$C,3,30),"")</f>
        <v>ANDERU MONICA</v>
      </c>
      <c r="B325" s="478">
        <v>321</v>
      </c>
      <c r="C325" s="370" t="str">
        <f>IFERROR(INDEX(Disbursements!$J:$J,MATCH(Ageing!B325,Disbursements!$B:$B,0)),"No Loan")</f>
        <v>Aroma</v>
      </c>
      <c r="D325" s="364">
        <f>SUMIF(Disbursements!$B:$B,Ageing!$B325,Disbursements!AN:AN)</f>
        <v>0</v>
      </c>
      <c r="E325" s="364">
        <f>SUMIF(Disbursements!$B:$B,Ageing!$B325,Disbursements!AO:AO)</f>
        <v>580000</v>
      </c>
      <c r="F325" s="365">
        <f t="shared" si="10"/>
        <v>580000</v>
      </c>
      <c r="G325" s="364">
        <f ca="1">SUMIF(Disbursements!$B:$B,Ageing!$B325,Disbursements!AQ:AQ)</f>
        <v>580000</v>
      </c>
      <c r="H325" s="364">
        <f ca="1">SUMIF(Disbursements!$B:$B,Ageing!$B325,Disbursements!AS:AS)</f>
        <v>31</v>
      </c>
      <c r="I325" s="364">
        <f t="shared" ca="1" si="11"/>
        <v>1</v>
      </c>
      <c r="J325" s="369">
        <f ca="1">SUMIFS(Disbursements!$AP:$AP,Disbursements!$B:$B,Ageing!$B325,Disbursements!$AT:$AT,Ageing!J$4)</f>
        <v>0</v>
      </c>
      <c r="K325" s="369">
        <f ca="1">SUMIFS(Disbursements!$AP:$AP,Disbursements!$B:$B,Ageing!$B325,Disbursements!$AT:$AT,Ageing!K$4)</f>
        <v>0</v>
      </c>
      <c r="L325" s="369">
        <f ca="1">SUMIFS(Disbursements!$AP:$AP,Disbursements!$B:$B,Ageing!$B325,Disbursements!$AT:$AT,Ageing!L$4)</f>
        <v>580000</v>
      </c>
      <c r="M325" s="369">
        <f ca="1">SUMIFS(Disbursements!$AP:$AP,Disbursements!$B:$B,Ageing!$B325,Disbursements!$AT:$AT,Ageing!M$4)</f>
        <v>0</v>
      </c>
      <c r="N325" s="369">
        <f ca="1">SUMIFS(Disbursements!$AP:$AP,Disbursements!$B:$B,Ageing!$B325,Disbursements!$AT:$AT,Ageing!N$4)</f>
        <v>0</v>
      </c>
      <c r="O325" s="369">
        <f ca="1">SUMIFS(Disbursements!$AP:$AP,Disbursements!$B:$B,Ageing!$B325,Disbursements!$AT:$AT,Ageing!O$4)</f>
        <v>0</v>
      </c>
    </row>
    <row r="326" spans="1:15" x14ac:dyDescent="0.2">
      <c r="A326" s="179" t="str">
        <f>IFERROR(VLOOKUP($B326,'Clients-Live'!$A:$C,3,30),"")</f>
        <v>KANA SWAIB</v>
      </c>
      <c r="B326" s="478">
        <v>322</v>
      </c>
      <c r="C326" s="370" t="str">
        <f>IFERROR(INDEX(Disbursements!$J:$J,MATCH(Ageing!B326,Disbursements!$B:$B,0)),"No Loan")</f>
        <v>Kana</v>
      </c>
      <c r="D326" s="364">
        <f>SUMIF(Disbursements!$B:$B,Ageing!$B326,Disbursements!AN:AN)</f>
        <v>195000</v>
      </c>
      <c r="E326" s="364">
        <f>SUMIF(Disbursements!$B:$B,Ageing!$B326,Disbursements!AO:AO)</f>
        <v>600000</v>
      </c>
      <c r="F326" s="365">
        <f t="shared" si="10"/>
        <v>795000</v>
      </c>
      <c r="G326" s="364">
        <f ca="1">SUMIF(Disbursements!$B:$B,Ageing!$B326,Disbursements!AQ:AQ)</f>
        <v>795000</v>
      </c>
      <c r="H326" s="364">
        <f ca="1">SUMIF(Disbursements!$B:$B,Ageing!$B326,Disbursements!AS:AS)</f>
        <v>150</v>
      </c>
      <c r="I326" s="364">
        <f t="shared" ca="1" si="11"/>
        <v>1</v>
      </c>
      <c r="J326" s="369">
        <f ca="1">SUMIFS(Disbursements!$AP:$AP,Disbursements!$B:$B,Ageing!$B326,Disbursements!$AT:$AT,Ageing!J$4)</f>
        <v>0</v>
      </c>
      <c r="K326" s="369">
        <f ca="1">SUMIFS(Disbursements!$AP:$AP,Disbursements!$B:$B,Ageing!$B326,Disbursements!$AT:$AT,Ageing!K$4)</f>
        <v>0</v>
      </c>
      <c r="L326" s="369">
        <f ca="1">SUMIFS(Disbursements!$AP:$AP,Disbursements!$B:$B,Ageing!$B326,Disbursements!$AT:$AT,Ageing!L$4)</f>
        <v>0</v>
      </c>
      <c r="M326" s="369">
        <f ca="1">SUMIFS(Disbursements!$AP:$AP,Disbursements!$B:$B,Ageing!$B326,Disbursements!$AT:$AT,Ageing!M$4)</f>
        <v>0</v>
      </c>
      <c r="N326" s="369">
        <f ca="1">SUMIFS(Disbursements!$AP:$AP,Disbursements!$B:$B,Ageing!$B326,Disbursements!$AT:$AT,Ageing!N$4)</f>
        <v>795000</v>
      </c>
      <c r="O326" s="369">
        <f ca="1">SUMIFS(Disbursements!$AP:$AP,Disbursements!$B:$B,Ageing!$B326,Disbursements!$AT:$AT,Ageing!O$4)</f>
        <v>0</v>
      </c>
    </row>
    <row r="327" spans="1:15" x14ac:dyDescent="0.2">
      <c r="A327" s="179" t="str">
        <f>IFERROR(VLOOKUP($B327,'Clients-Live'!$A:$C,3,30),"")</f>
        <v>OBIT HAKIM ADROTI</v>
      </c>
      <c r="B327" s="478">
        <v>323</v>
      </c>
      <c r="C327" s="370" t="str">
        <f>IFERROR(INDEX(Disbursements!$J:$J,MATCH(Ageing!B327,Disbursements!$B:$B,0)),"No Loan")</f>
        <v>Jerome</v>
      </c>
      <c r="D327" s="364">
        <f>SUMIF(Disbursements!$B:$B,Ageing!$B327,Disbursements!AN:AN)</f>
        <v>487999.99999999988</v>
      </c>
      <c r="E327" s="364">
        <f>SUMIF(Disbursements!$B:$B,Ageing!$B327,Disbursements!AO:AO)</f>
        <v>2500000</v>
      </c>
      <c r="F327" s="365">
        <f t="shared" ref="F327:F333" si="12">SUM(D327:E327)</f>
        <v>2988000</v>
      </c>
      <c r="G327" s="364">
        <f ca="1">SUMIF(Disbursements!$B:$B,Ageing!$B327,Disbursements!AQ:AQ)</f>
        <v>2988000</v>
      </c>
      <c r="H327" s="364">
        <f ca="1">SUMIF(Disbursements!$B:$B,Ageing!$B327,Disbursements!AS:AS)</f>
        <v>90</v>
      </c>
      <c r="I327" s="364">
        <f t="shared" ref="I327:I333" ca="1" si="13">COUNTIF(J327:O327,"&gt;0")</f>
        <v>1</v>
      </c>
      <c r="J327" s="369">
        <f ca="1">SUMIFS(Disbursements!$AP:$AP,Disbursements!$B:$B,Ageing!$B327,Disbursements!$AT:$AT,Ageing!J$4)</f>
        <v>0</v>
      </c>
      <c r="K327" s="369">
        <f ca="1">SUMIFS(Disbursements!$AP:$AP,Disbursements!$B:$B,Ageing!$B327,Disbursements!$AT:$AT,Ageing!K$4)</f>
        <v>0</v>
      </c>
      <c r="L327" s="369">
        <f ca="1">SUMIFS(Disbursements!$AP:$AP,Disbursements!$B:$B,Ageing!$B327,Disbursements!$AT:$AT,Ageing!L$4)</f>
        <v>0</v>
      </c>
      <c r="M327" s="369">
        <f ca="1">SUMIFS(Disbursements!$AP:$AP,Disbursements!$B:$B,Ageing!$B327,Disbursements!$AT:$AT,Ageing!M$4)</f>
        <v>2988000</v>
      </c>
      <c r="N327" s="369">
        <f ca="1">SUMIFS(Disbursements!$AP:$AP,Disbursements!$B:$B,Ageing!$B327,Disbursements!$AT:$AT,Ageing!N$4)</f>
        <v>0</v>
      </c>
      <c r="O327" s="369">
        <f ca="1">SUMIFS(Disbursements!$AP:$AP,Disbursements!$B:$B,Ageing!$B327,Disbursements!$AT:$AT,Ageing!O$4)</f>
        <v>0</v>
      </c>
    </row>
    <row r="328" spans="1:15" x14ac:dyDescent="0.2">
      <c r="A328" s="179" t="str">
        <f>IFERROR(VLOOKUP($B328,'Clients-Live'!$A:$C,3,30),"")</f>
        <v>ARIKE KOKOLE YASSIN</v>
      </c>
      <c r="B328" s="478">
        <v>324</v>
      </c>
      <c r="C328" s="370" t="str">
        <f>IFERROR(INDEX(Disbursements!$J:$J,MATCH(Ageing!B328,Disbursements!$B:$B,0)),"No Loan")</f>
        <v>Kana</v>
      </c>
      <c r="D328" s="364">
        <f>SUMIF(Disbursements!$B:$B,Ageing!$B328,Disbursements!AN:AN)</f>
        <v>261333.33333333334</v>
      </c>
      <c r="E328" s="364">
        <f>SUMIF(Disbursements!$B:$B,Ageing!$B328,Disbursements!AO:AO)</f>
        <v>510666.66666666674</v>
      </c>
      <c r="F328" s="365">
        <f t="shared" si="12"/>
        <v>772000.00000000012</v>
      </c>
      <c r="G328" s="364">
        <f ca="1">SUMIF(Disbursements!$B:$B,Ageing!$B328,Disbursements!AQ:AQ)</f>
        <v>772000.00000000012</v>
      </c>
      <c r="H328" s="364">
        <f ca="1">SUMIF(Disbursements!$B:$B,Ageing!$B328,Disbursements!AS:AS)</f>
        <v>94</v>
      </c>
      <c r="I328" s="364">
        <f t="shared" ca="1" si="13"/>
        <v>1</v>
      </c>
      <c r="J328" s="369">
        <f ca="1">SUMIFS(Disbursements!$AP:$AP,Disbursements!$B:$B,Ageing!$B328,Disbursements!$AT:$AT,Ageing!J$4)</f>
        <v>0</v>
      </c>
      <c r="K328" s="369">
        <f ca="1">SUMIFS(Disbursements!$AP:$AP,Disbursements!$B:$B,Ageing!$B328,Disbursements!$AT:$AT,Ageing!K$4)</f>
        <v>0</v>
      </c>
      <c r="L328" s="369">
        <f ca="1">SUMIFS(Disbursements!$AP:$AP,Disbursements!$B:$B,Ageing!$B328,Disbursements!$AT:$AT,Ageing!L$4)</f>
        <v>0</v>
      </c>
      <c r="M328" s="369">
        <f ca="1">SUMIFS(Disbursements!$AP:$AP,Disbursements!$B:$B,Ageing!$B328,Disbursements!$AT:$AT,Ageing!M$4)</f>
        <v>0</v>
      </c>
      <c r="N328" s="369">
        <f ca="1">SUMIFS(Disbursements!$AP:$AP,Disbursements!$B:$B,Ageing!$B328,Disbursements!$AT:$AT,Ageing!N$4)</f>
        <v>772000.00000000012</v>
      </c>
      <c r="O328" s="369">
        <f ca="1">SUMIFS(Disbursements!$AP:$AP,Disbursements!$B:$B,Ageing!$B328,Disbursements!$AT:$AT,Ageing!O$4)</f>
        <v>0</v>
      </c>
    </row>
    <row r="329" spans="1:15" x14ac:dyDescent="0.2">
      <c r="A329" s="179" t="str">
        <f>IFERROR(VLOOKUP($B329,'Clients-Live'!$A:$C,3,30),"")</f>
        <v>MUNGUFENI RAMSEY</v>
      </c>
      <c r="B329" s="478">
        <v>325</v>
      </c>
      <c r="C329" s="370" t="str">
        <f>IFERROR(INDEX(Disbursements!$J:$J,MATCH(Ageing!B329,Disbursements!$B:$B,0)),"No Loan")</f>
        <v>Jerome</v>
      </c>
      <c r="D329" s="364">
        <f>SUMIF(Disbursements!$B:$B,Ageing!$B329,Disbursements!AN:AN)</f>
        <v>73333.333333333314</v>
      </c>
      <c r="E329" s="364">
        <f>SUMIF(Disbursements!$B:$B,Ageing!$B329,Disbursements!AO:AO)</f>
        <v>306666.66666666663</v>
      </c>
      <c r="F329" s="365">
        <f t="shared" si="12"/>
        <v>379999.99999999994</v>
      </c>
      <c r="G329" s="364">
        <f ca="1">SUMIF(Disbursements!$B:$B,Ageing!$B329,Disbursements!AQ:AQ)</f>
        <v>379999.99999999994</v>
      </c>
      <c r="H329" s="364">
        <f ca="1">SUMIF(Disbursements!$B:$B,Ageing!$B329,Disbursements!AS:AS)</f>
        <v>67</v>
      </c>
      <c r="I329" s="364">
        <f t="shared" ca="1" si="13"/>
        <v>1</v>
      </c>
      <c r="J329" s="369">
        <f ca="1">SUMIFS(Disbursements!$AP:$AP,Disbursements!$B:$B,Ageing!$B329,Disbursements!$AT:$AT,Ageing!J$4)</f>
        <v>0</v>
      </c>
      <c r="K329" s="369">
        <f ca="1">SUMIFS(Disbursements!$AP:$AP,Disbursements!$B:$B,Ageing!$B329,Disbursements!$AT:$AT,Ageing!K$4)</f>
        <v>0</v>
      </c>
      <c r="L329" s="369">
        <f ca="1">SUMIFS(Disbursements!$AP:$AP,Disbursements!$B:$B,Ageing!$B329,Disbursements!$AT:$AT,Ageing!L$4)</f>
        <v>0</v>
      </c>
      <c r="M329" s="369">
        <f ca="1">SUMIFS(Disbursements!$AP:$AP,Disbursements!$B:$B,Ageing!$B329,Disbursements!$AT:$AT,Ageing!M$4)</f>
        <v>379999.99999999994</v>
      </c>
      <c r="N329" s="369">
        <f ca="1">SUMIFS(Disbursements!$AP:$AP,Disbursements!$B:$B,Ageing!$B329,Disbursements!$AT:$AT,Ageing!N$4)</f>
        <v>0</v>
      </c>
      <c r="O329" s="369">
        <f ca="1">SUMIFS(Disbursements!$AP:$AP,Disbursements!$B:$B,Ageing!$B329,Disbursements!$AT:$AT,Ageing!O$4)</f>
        <v>0</v>
      </c>
    </row>
    <row r="330" spans="1:15" x14ac:dyDescent="0.2">
      <c r="A330" s="179" t="str">
        <f>IFERROR(VLOOKUP($B330,'Clients-Live'!$A:$C,3,30),"")</f>
        <v>AJUKI HARRIET</v>
      </c>
      <c r="B330" s="478">
        <v>326</v>
      </c>
      <c r="C330" s="370" t="str">
        <f>IFERROR(INDEX(Disbursements!$J:$J,MATCH(Ageing!B330,Disbursements!$B:$B,0)),"No Loan")</f>
        <v>Aroma</v>
      </c>
      <c r="D330" s="364">
        <f>SUMIF(Disbursements!$B:$B,Ageing!$B330,Disbursements!AN:AN)</f>
        <v>573333.33333333326</v>
      </c>
      <c r="E330" s="364">
        <f>SUMIF(Disbursements!$B:$B,Ageing!$B330,Disbursements!AO:AO)</f>
        <v>1466666.6666666665</v>
      </c>
      <c r="F330" s="365">
        <f t="shared" si="12"/>
        <v>2039999.9999999998</v>
      </c>
      <c r="G330" s="364">
        <f ca="1">SUMIF(Disbursements!$B:$B,Ageing!$B330,Disbursements!AQ:AQ)</f>
        <v>2039999.9999999998</v>
      </c>
      <c r="H330" s="364">
        <f ca="1">SUMIF(Disbursements!$B:$B,Ageing!$B330,Disbursements!AS:AS)</f>
        <v>120</v>
      </c>
      <c r="I330" s="364">
        <f t="shared" ca="1" si="13"/>
        <v>1</v>
      </c>
      <c r="J330" s="369">
        <f ca="1">SUMIFS(Disbursements!$AP:$AP,Disbursements!$B:$B,Ageing!$B330,Disbursements!$AT:$AT,Ageing!J$4)</f>
        <v>0</v>
      </c>
      <c r="K330" s="369">
        <f ca="1">SUMIFS(Disbursements!$AP:$AP,Disbursements!$B:$B,Ageing!$B330,Disbursements!$AT:$AT,Ageing!K$4)</f>
        <v>0</v>
      </c>
      <c r="L330" s="369">
        <f ca="1">SUMIFS(Disbursements!$AP:$AP,Disbursements!$B:$B,Ageing!$B330,Disbursements!$AT:$AT,Ageing!L$4)</f>
        <v>0</v>
      </c>
      <c r="M330" s="369">
        <f ca="1">SUMIFS(Disbursements!$AP:$AP,Disbursements!$B:$B,Ageing!$B330,Disbursements!$AT:$AT,Ageing!M$4)</f>
        <v>0</v>
      </c>
      <c r="N330" s="369">
        <f ca="1">SUMIFS(Disbursements!$AP:$AP,Disbursements!$B:$B,Ageing!$B330,Disbursements!$AT:$AT,Ageing!N$4)</f>
        <v>2039999.9999999998</v>
      </c>
      <c r="O330" s="369">
        <f ca="1">SUMIFS(Disbursements!$AP:$AP,Disbursements!$B:$B,Ageing!$B330,Disbursements!$AT:$AT,Ageing!O$4)</f>
        <v>0</v>
      </c>
    </row>
    <row r="331" spans="1:15" x14ac:dyDescent="0.2">
      <c r="A331" s="179" t="str">
        <f>IFERROR(VLOOKUP($B331,'Clients-Live'!$A:$C,3,30),"")</f>
        <v>WALTER OTEMA</v>
      </c>
      <c r="B331" s="478">
        <v>327</v>
      </c>
      <c r="C331" s="370" t="str">
        <f>IFERROR(INDEX(Disbursements!$J:$J,MATCH(Ageing!B331,Disbursements!$B:$B,0)),"No Loan")</f>
        <v>No Loan</v>
      </c>
      <c r="D331" s="364">
        <f>SUMIF(Disbursements!$B:$B,Ageing!$B331,Disbursements!AN:AN)</f>
        <v>0</v>
      </c>
      <c r="E331" s="364">
        <f>SUMIF(Disbursements!$B:$B,Ageing!$B331,Disbursements!AO:AO)</f>
        <v>0</v>
      </c>
      <c r="F331" s="365">
        <f t="shared" si="12"/>
        <v>0</v>
      </c>
      <c r="G331" s="364">
        <f>SUMIF(Disbursements!$B:$B,Ageing!$B331,Disbursements!AQ:AQ)</f>
        <v>0</v>
      </c>
      <c r="H331" s="364">
        <f>SUMIF(Disbursements!$B:$B,Ageing!$B331,Disbursements!AS:AS)</f>
        <v>0</v>
      </c>
      <c r="I331" s="364">
        <f t="shared" si="13"/>
        <v>0</v>
      </c>
      <c r="J331" s="369">
        <f>SUMIFS(Disbursements!$AP:$AP,Disbursements!$B:$B,Ageing!$B331,Disbursements!$AT:$AT,Ageing!J$4)</f>
        <v>0</v>
      </c>
      <c r="K331" s="369">
        <f>SUMIFS(Disbursements!$AP:$AP,Disbursements!$B:$B,Ageing!$B331,Disbursements!$AT:$AT,Ageing!K$4)</f>
        <v>0</v>
      </c>
      <c r="L331" s="369">
        <f>SUMIFS(Disbursements!$AP:$AP,Disbursements!$B:$B,Ageing!$B331,Disbursements!$AT:$AT,Ageing!L$4)</f>
        <v>0</v>
      </c>
      <c r="M331" s="369">
        <f>SUMIFS(Disbursements!$AP:$AP,Disbursements!$B:$B,Ageing!$B331,Disbursements!$AT:$AT,Ageing!M$4)</f>
        <v>0</v>
      </c>
      <c r="N331" s="369">
        <f>SUMIFS(Disbursements!$AP:$AP,Disbursements!$B:$B,Ageing!$B331,Disbursements!$AT:$AT,Ageing!N$4)</f>
        <v>0</v>
      </c>
      <c r="O331" s="369">
        <f>SUMIFS(Disbursements!$AP:$AP,Disbursements!$B:$B,Ageing!$B331,Disbursements!$AT:$AT,Ageing!O$4)</f>
        <v>0</v>
      </c>
    </row>
    <row r="332" spans="1:15" x14ac:dyDescent="0.2">
      <c r="A332" s="179" t="str">
        <f>IFERROR(VLOOKUP($B332,'Clients-Live'!$A:$C,3,30),"")</f>
        <v>AGOTIA JOYCE</v>
      </c>
      <c r="B332" s="478">
        <v>328</v>
      </c>
      <c r="C332" s="370"/>
      <c r="D332" s="364">
        <f>SUMIF(Disbursements!$B:$B,Ageing!$B332,Disbursements!AN:AN)</f>
        <v>585000</v>
      </c>
      <c r="E332" s="364">
        <f>SUMIF(Disbursements!$B:$B,Ageing!$B332,Disbursements!AO:AO)</f>
        <v>2000000</v>
      </c>
      <c r="F332" s="365">
        <f t="shared" si="12"/>
        <v>2585000</v>
      </c>
      <c r="G332" s="364">
        <f ca="1">SUMIF(Disbursements!$B:$B,Ageing!$B332,Disbursements!AQ:AQ)</f>
        <v>2585000</v>
      </c>
      <c r="H332" s="364">
        <f ca="1">SUMIF(Disbursements!$B:$B,Ageing!$B332,Disbursements!AS:AS)</f>
        <v>83</v>
      </c>
      <c r="I332" s="364">
        <f t="shared" ca="1" si="13"/>
        <v>1</v>
      </c>
      <c r="J332" s="369">
        <f ca="1">SUMIFS(Disbursements!$AP:$AP,Disbursements!$B:$B,Ageing!$B332,Disbursements!$AT:$AT,Ageing!J$4)</f>
        <v>0</v>
      </c>
      <c r="K332" s="369">
        <f ca="1">SUMIFS(Disbursements!$AP:$AP,Disbursements!$B:$B,Ageing!$B332,Disbursements!$AT:$AT,Ageing!K$4)</f>
        <v>0</v>
      </c>
      <c r="L332" s="369">
        <f ca="1">SUMIFS(Disbursements!$AP:$AP,Disbursements!$B:$B,Ageing!$B332,Disbursements!$AT:$AT,Ageing!L$4)</f>
        <v>0</v>
      </c>
      <c r="M332" s="369">
        <f ca="1">SUMIFS(Disbursements!$AP:$AP,Disbursements!$B:$B,Ageing!$B332,Disbursements!$AT:$AT,Ageing!M$4)</f>
        <v>2585000</v>
      </c>
      <c r="N332" s="369">
        <f ca="1">SUMIFS(Disbursements!$AP:$AP,Disbursements!$B:$B,Ageing!$B332,Disbursements!$AT:$AT,Ageing!N$4)</f>
        <v>0</v>
      </c>
      <c r="O332" s="369">
        <f ca="1">SUMIFS(Disbursements!$AP:$AP,Disbursements!$B:$B,Ageing!$B332,Disbursements!$AT:$AT,Ageing!O$4)</f>
        <v>0</v>
      </c>
    </row>
    <row r="333" spans="1:15" x14ac:dyDescent="0.2">
      <c r="A333" s="179" t="str">
        <f>IFERROR(VLOOKUP($B333,'Clients-Live'!$A:$C,3,30),"")</f>
        <v>NSUBUGA DAVID</v>
      </c>
      <c r="B333" s="478">
        <v>329</v>
      </c>
      <c r="C333" s="370" t="str">
        <f>VLOOKUP(B333,Disbursements!$C:$J,8,0)</f>
        <v>Aroma</v>
      </c>
      <c r="D333" s="364">
        <f>SUMIF(Disbursements!$B:$B,Ageing!$B333,Disbursements!AN:AN)</f>
        <v>130000</v>
      </c>
      <c r="E333" s="364">
        <f>SUMIF(Disbursements!$B:$B,Ageing!$B333,Disbursements!AO:AO)</f>
        <v>1001000</v>
      </c>
      <c r="F333" s="365">
        <f t="shared" si="12"/>
        <v>1131000</v>
      </c>
      <c r="G333" s="364">
        <f ca="1">SUMIF(Disbursements!$B:$B,Ageing!$B333,Disbursements!AQ:AQ)</f>
        <v>1131000</v>
      </c>
      <c r="H333" s="364">
        <f ca="1">SUMIF(Disbursements!$B:$B,Ageing!$B333,Disbursements!AS:AS)</f>
        <v>61</v>
      </c>
      <c r="I333" s="364">
        <f t="shared" ca="1" si="13"/>
        <v>2</v>
      </c>
      <c r="J333" s="369">
        <f ca="1">SUMIFS(Disbursements!$AP:$AP,Disbursements!$B:$B,Ageing!$B333,Disbursements!$AT:$AT,Ageing!J$4)</f>
        <v>0</v>
      </c>
      <c r="K333" s="369">
        <f ca="1">SUMIFS(Disbursements!$AP:$AP,Disbursements!$B:$B,Ageing!$B333,Disbursements!$AT:$AT,Ageing!K$4)</f>
        <v>1000</v>
      </c>
      <c r="L333" s="369">
        <f ca="1">SUMIFS(Disbursements!$AP:$AP,Disbursements!$B:$B,Ageing!$B333,Disbursements!$AT:$AT,Ageing!L$4)</f>
        <v>1130000</v>
      </c>
      <c r="M333" s="369">
        <f ca="1">SUMIFS(Disbursements!$AP:$AP,Disbursements!$B:$B,Ageing!$B333,Disbursements!$AT:$AT,Ageing!M$4)</f>
        <v>0</v>
      </c>
      <c r="N333" s="369">
        <f ca="1">SUMIFS(Disbursements!$AP:$AP,Disbursements!$B:$B,Ageing!$B333,Disbursements!$AT:$AT,Ageing!N$4)</f>
        <v>0</v>
      </c>
      <c r="O333" s="369">
        <f ca="1">SUMIFS(Disbursements!$AP:$AP,Disbursements!$B:$B,Ageing!$B333,Disbursements!$AT:$AT,Ageing!O$4)</f>
        <v>0</v>
      </c>
    </row>
    <row r="334" spans="1:15" x14ac:dyDescent="0.2">
      <c r="B334" s="478">
        <v>330</v>
      </c>
    </row>
    <row r="335" spans="1:15" x14ac:dyDescent="0.2">
      <c r="B335" s="478">
        <v>331</v>
      </c>
    </row>
    <row r="336" spans="1:15" x14ac:dyDescent="0.2">
      <c r="B336" s="478">
        <v>332</v>
      </c>
    </row>
    <row r="337" spans="2:2" x14ac:dyDescent="0.2">
      <c r="B337" s="478">
        <v>333</v>
      </c>
    </row>
    <row r="338" spans="2:2" x14ac:dyDescent="0.2">
      <c r="B338" s="478">
        <v>334</v>
      </c>
    </row>
    <row r="339" spans="2:2" x14ac:dyDescent="0.2">
      <c r="B339" s="478">
        <v>335</v>
      </c>
    </row>
    <row r="340" spans="2:2" x14ac:dyDescent="0.2">
      <c r="B340" s="478">
        <v>336</v>
      </c>
    </row>
    <row r="341" spans="2:2" x14ac:dyDescent="0.2">
      <c r="B341" s="478">
        <v>337</v>
      </c>
    </row>
    <row r="342" spans="2:2" x14ac:dyDescent="0.2">
      <c r="B342" s="478">
        <v>338</v>
      </c>
    </row>
    <row r="343" spans="2:2" x14ac:dyDescent="0.2">
      <c r="B343" s="480" t="s">
        <v>1263</v>
      </c>
    </row>
  </sheetData>
  <autoFilter ref="A4:O343" xr:uid="{00000000-0009-0000-0000-000005000000}"/>
  <conditionalFormatting sqref="I5:I333">
    <cfRule type="cellIs" dxfId="9" priority="1" operator="greaterThan">
      <formula>1</formula>
    </cfRule>
  </conditionalFormatting>
  <pageMargins left="0.7" right="0.7" top="0.75" bottom="0.75" header="0.3" footer="0.3"/>
  <pageSetup paperSize="9" orientation="portrait" verticalDpi="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499984740745262"/>
  </sheetPr>
  <dimension ref="A1:M420"/>
  <sheetViews>
    <sheetView showGridLines="0" workbookViewId="0">
      <pane ySplit="4" topLeftCell="A216" activePane="bottomLeft" state="frozen"/>
      <selection activeCell="D1" sqref="D1:D1048576"/>
      <selection pane="bottomLeft" activeCell="H238" sqref="H238"/>
    </sheetView>
  </sheetViews>
  <sheetFormatPr defaultRowHeight="12.75" x14ac:dyDescent="0.2"/>
  <cols>
    <col min="1" max="1" width="11.5703125" style="38" bestFit="1" customWidth="1"/>
    <col min="2" max="2" width="31.28515625" style="38" bestFit="1" customWidth="1"/>
    <col min="3" max="4" width="10.140625" style="38" bestFit="1" customWidth="1"/>
    <col min="5" max="5" width="13.85546875" style="38" bestFit="1" customWidth="1"/>
    <col min="6" max="6" width="10.140625" style="38" bestFit="1" customWidth="1"/>
    <col min="7" max="7" width="11.5703125" style="38" bestFit="1" customWidth="1"/>
    <col min="8" max="8" width="10.140625" style="38" bestFit="1" customWidth="1"/>
    <col min="9" max="9" width="11.85546875" style="38" bestFit="1" customWidth="1"/>
    <col min="10" max="10" width="13.140625" style="38" bestFit="1" customWidth="1"/>
    <col min="11" max="11" width="11.85546875" style="49" bestFit="1" customWidth="1"/>
    <col min="12" max="13" width="13.140625" style="49" bestFit="1" customWidth="1"/>
    <col min="14" max="16384" width="9.140625" style="38"/>
  </cols>
  <sheetData>
    <row r="1" spans="1:13" x14ac:dyDescent="0.2">
      <c r="F1" s="349" t="s">
        <v>1441</v>
      </c>
      <c r="G1" s="350">
        <v>44562</v>
      </c>
    </row>
    <row r="2" spans="1:13" ht="13.5" thickBot="1" x14ac:dyDescent="0.25">
      <c r="A2" s="207" t="s">
        <v>1443</v>
      </c>
      <c r="B2" s="348"/>
      <c r="F2" s="354" t="s">
        <v>1008</v>
      </c>
      <c r="G2" s="355">
        <v>44594</v>
      </c>
    </row>
    <row r="3" spans="1:13" ht="14.25" thickTop="1" thickBot="1" x14ac:dyDescent="0.25">
      <c r="B3" s="359" t="s">
        <v>1444</v>
      </c>
      <c r="C3" s="359">
        <f>SUBTOTAL(9,C5:C381)</f>
        <v>0</v>
      </c>
      <c r="D3" s="359">
        <f t="shared" ref="D3:M3" si="0">SUBTOTAL(9,D5:D381)</f>
        <v>25000</v>
      </c>
      <c r="E3" s="359">
        <f t="shared" si="0"/>
        <v>39150000</v>
      </c>
      <c r="F3" s="359">
        <f t="shared" si="0"/>
        <v>535000</v>
      </c>
      <c r="G3" s="359">
        <f t="shared" si="0"/>
        <v>115000</v>
      </c>
      <c r="H3" s="359">
        <f t="shared" si="0"/>
        <v>533300</v>
      </c>
      <c r="I3" s="359">
        <f t="shared" si="0"/>
        <v>-1198500</v>
      </c>
      <c r="J3" s="359">
        <f t="shared" si="0"/>
        <v>57029100</v>
      </c>
      <c r="K3" s="359">
        <f t="shared" si="0"/>
        <v>7736166.666666667</v>
      </c>
      <c r="L3" s="359">
        <f t="shared" si="0"/>
        <v>49294933.333333328</v>
      </c>
      <c r="M3" s="359">
        <f t="shared" si="0"/>
        <v>96188900</v>
      </c>
    </row>
    <row r="4" spans="1:13" x14ac:dyDescent="0.2">
      <c r="A4" s="481" t="s">
        <v>1433</v>
      </c>
      <c r="B4" s="351" t="s">
        <v>860</v>
      </c>
      <c r="C4" s="356" t="s">
        <v>1435</v>
      </c>
      <c r="D4" s="356" t="s">
        <v>1434</v>
      </c>
      <c r="E4" s="356" t="s">
        <v>1437</v>
      </c>
      <c r="F4" s="356" t="s">
        <v>1436</v>
      </c>
      <c r="G4" s="356" t="s">
        <v>1438</v>
      </c>
      <c r="H4" s="356" t="s">
        <v>1439</v>
      </c>
      <c r="I4" s="356" t="s">
        <v>1440</v>
      </c>
      <c r="J4" s="356" t="s">
        <v>1309</v>
      </c>
      <c r="K4" s="357" t="s">
        <v>1371</v>
      </c>
      <c r="L4" s="357" t="s">
        <v>1370</v>
      </c>
      <c r="M4" s="358" t="s">
        <v>201</v>
      </c>
    </row>
    <row r="5" spans="1:13" x14ac:dyDescent="0.2">
      <c r="A5" s="478">
        <v>1</v>
      </c>
      <c r="B5" s="352" t="str">
        <f>IFERROR(VLOOKUP($A5,'Clients-Live'!$A:$C,3,0),"")</f>
        <v>TABAN NICHOLAS</v>
      </c>
      <c r="C5" s="353">
        <f>SUMIFS('Live Collections'!$J:$J,'Live Collections'!$D:$D,'Colln-Summary'!$A5,'Live Collections'!$B:$B,"&gt;="&amp;'Colln-Summary'!$G$1,'Live Collections'!$B:$B,"&lt;="&amp;'Colln-Summary'!$G$2)</f>
        <v>0</v>
      </c>
      <c r="D5" s="353">
        <f>SUMIFS('Live Collections'!$K:$K,'Live Collections'!$D:$D,'Colln-Summary'!$A5,'Live Collections'!$B:$B,"&gt;="&amp;'Colln-Summary'!$G$1,'Live Collections'!$B:$B,"&lt;="&amp;'Colln-Summary'!$G$2)</f>
        <v>0</v>
      </c>
      <c r="E5" s="353">
        <f>SUMIFS(Disbursements!$F:$F,Disbursements!$B:$B,'Colln-Summary'!$A5,Disbursements!$A:$A,"&gt;="&amp;'Colln-Summary'!$G$1,Disbursements!$A:$A,"&lt;="&amp;'Colln-Summary'!$G$2)</f>
        <v>3000000</v>
      </c>
      <c r="F5" s="353">
        <f>SUMIFS('Live Collections'!$L:$L,'Live Collections'!$D:$D,'Colln-Summary'!$A5,'Live Collections'!$B:$B,"&gt;="&amp;'Colln-Summary'!$G$1,'Live Collections'!$B:$B,"&lt;="&amp;'Colln-Summary'!$G$2)</f>
        <v>0</v>
      </c>
      <c r="G5" s="353">
        <f>SUMIFS('Live Collections'!$M:$M,'Live Collections'!$D:$D,'Colln-Summary'!$A5,'Live Collections'!$B:$B,"&gt;="&amp;'Colln-Summary'!$G$1,'Live Collections'!$B:$B,"&lt;="&amp;'Colln-Summary'!$G$2)</f>
        <v>0</v>
      </c>
      <c r="H5" s="353">
        <f>SUMIFS('Live Collections'!$N:$N,'Live Collections'!$D:$D,'Colln-Summary'!$A5,'Live Collections'!$B:$B,"&gt;="&amp;'Colln-Summary'!$G$1,'Live Collections'!$B:$B,"&lt;="&amp;'Colln-Summary'!$G$2)</f>
        <v>0</v>
      </c>
      <c r="I5" s="353">
        <f>SUMIFS('Live Collections'!$P:$P,'Live Collections'!$D:$D,'Colln-Summary'!$A5,'Live Collections'!$B:$B,"&gt;="&amp;'Colln-Summary'!$G$1,'Live Collections'!$B:$B,"&lt;="&amp;'Colln-Summary'!$G$2)</f>
        <v>0</v>
      </c>
      <c r="J5" s="353">
        <f>SUMIFS('Live Collections'!$O:$O,'Live Collections'!$D:$D,'Colln-Summary'!$A5,'Live Collections'!$B:$B,"&gt;="&amp;'Colln-Summary'!$G$1,'Live Collections'!$B:$B,"&lt;="&amp;'Colln-Summary'!$G$2)</f>
        <v>325000</v>
      </c>
      <c r="K5" s="360">
        <f>SUMIFS('Live Collections'!$S:$S,'Live Collections'!$D:$D,'Colln-Summary'!$A5,'Live Collections'!$B:$B,"&gt;="&amp;'Colln-Summary'!$G$1,'Live Collections'!$B:$B,"&lt;="&amp;'Colln-Summary'!$G$2)</f>
        <v>0</v>
      </c>
      <c r="L5" s="360">
        <f>SUMIFS('Live Collections'!$T:$T,'Live Collections'!$D:$D,'Colln-Summary'!$A5,'Live Collections'!$B:$B,"&gt;="&amp;'Colln-Summary'!$G$1,'Live Collections'!$B:$B,"&lt;="&amp;'Colln-Summary'!$G$2)</f>
        <v>325000</v>
      </c>
      <c r="M5" s="258">
        <f>SUM(C5:J5)</f>
        <v>3325000</v>
      </c>
    </row>
    <row r="6" spans="1:13" x14ac:dyDescent="0.2">
      <c r="A6" s="478">
        <v>2</v>
      </c>
      <c r="B6" s="352" t="str">
        <f>IFERROR(VLOOKUP($A6,'Clients-Live'!$A:$C,3,0),"")</f>
        <v>LEYA ROSE</v>
      </c>
      <c r="C6" s="353">
        <f>SUMIFS('Live Collections'!$J:$J,'Live Collections'!$D:$D,'Colln-Summary'!$A6,'Live Collections'!$B:$B,"&gt;="&amp;'Colln-Summary'!$G$1,'Live Collections'!$B:$B,"&lt;="&amp;'Colln-Summary'!$G$2)</f>
        <v>0</v>
      </c>
      <c r="D6" s="353">
        <f>SUMIFS('Live Collections'!$K:$K,'Live Collections'!$D:$D,'Colln-Summary'!$A6,'Live Collections'!$B:$B,"&gt;="&amp;'Colln-Summary'!$G$1,'Live Collections'!$B:$B,"&lt;="&amp;'Colln-Summary'!$G$2)</f>
        <v>0</v>
      </c>
      <c r="E6" s="353">
        <f>SUMIFS(Disbursements!$F:$F,Disbursements!$B:$B,'Colln-Summary'!$A6,Disbursements!$A:$A,"&gt;="&amp;'Colln-Summary'!$G$1,Disbursements!$A:$A,"&lt;="&amp;'Colln-Summary'!$G$2)</f>
        <v>0</v>
      </c>
      <c r="F6" s="353">
        <f>SUMIFS('Live Collections'!$L:$L,'Live Collections'!$D:$D,'Colln-Summary'!$A6,'Live Collections'!$B:$B,"&gt;="&amp;'Colln-Summary'!$G$1,'Live Collections'!$B:$B,"&lt;="&amp;'Colln-Summary'!$G$2)</f>
        <v>0</v>
      </c>
      <c r="G6" s="353">
        <f>SUMIFS('Live Collections'!$M:$M,'Live Collections'!$D:$D,'Colln-Summary'!$A6,'Live Collections'!$B:$B,"&gt;="&amp;'Colln-Summary'!$G$1,'Live Collections'!$B:$B,"&lt;="&amp;'Colln-Summary'!$G$2)</f>
        <v>0</v>
      </c>
      <c r="H6" s="353">
        <f>SUMIFS('Live Collections'!$N:$N,'Live Collections'!$D:$D,'Colln-Summary'!$A6,'Live Collections'!$B:$B,"&gt;="&amp;'Colln-Summary'!$G$1,'Live Collections'!$B:$B,"&lt;="&amp;'Colln-Summary'!$G$2)</f>
        <v>0</v>
      </c>
      <c r="I6" s="353">
        <f>SUMIFS('Live Collections'!$P:$P,'Live Collections'!$D:$D,'Colln-Summary'!$A6,'Live Collections'!$B:$B,"&gt;="&amp;'Colln-Summary'!$G$1,'Live Collections'!$B:$B,"&lt;="&amp;'Colln-Summary'!$G$2)</f>
        <v>0</v>
      </c>
      <c r="J6" s="353">
        <f>SUMIFS('Live Collections'!$O:$O,'Live Collections'!$D:$D,'Colln-Summary'!$A6,'Live Collections'!$B:$B,"&gt;="&amp;'Colln-Summary'!$G$1,'Live Collections'!$B:$B,"&lt;="&amp;'Colln-Summary'!$G$2)</f>
        <v>0</v>
      </c>
      <c r="K6" s="360">
        <f>SUMIFS('Live Collections'!$S:$S,'Live Collections'!$D:$D,'Colln-Summary'!$A6,'Live Collections'!$B:$B,"&gt;="&amp;'Colln-Summary'!$G$1,'Live Collections'!$B:$B,"&lt;="&amp;'Colln-Summary'!$G$2)</f>
        <v>0</v>
      </c>
      <c r="L6" s="360">
        <f>SUMIFS('Live Collections'!$T:$T,'Live Collections'!$D:$D,'Colln-Summary'!$A6,'Live Collections'!$B:$B,"&gt;="&amp;'Colln-Summary'!$G$1,'Live Collections'!$B:$B,"&lt;="&amp;'Colln-Summary'!$G$2)</f>
        <v>0</v>
      </c>
      <c r="M6" s="258">
        <f t="shared" ref="M6:M69" si="1">SUM(C6:J6)</f>
        <v>0</v>
      </c>
    </row>
    <row r="7" spans="1:13" x14ac:dyDescent="0.2">
      <c r="A7" s="478">
        <v>3</v>
      </c>
      <c r="B7" s="352" t="str">
        <f>IFERROR(VLOOKUP($A7,'Clients-Live'!$A:$C,3,0),"")</f>
        <v>YEKA ARIJABU</v>
      </c>
      <c r="C7" s="353">
        <f>SUMIFS('Live Collections'!$J:$J,'Live Collections'!$D:$D,'Colln-Summary'!$A7,'Live Collections'!$B:$B,"&gt;="&amp;'Colln-Summary'!$G$1,'Live Collections'!$B:$B,"&lt;="&amp;'Colln-Summary'!$G$2)</f>
        <v>0</v>
      </c>
      <c r="D7" s="353">
        <f>SUMIFS('Live Collections'!$K:$K,'Live Collections'!$D:$D,'Colln-Summary'!$A7,'Live Collections'!$B:$B,"&gt;="&amp;'Colln-Summary'!$G$1,'Live Collections'!$B:$B,"&lt;="&amp;'Colln-Summary'!$G$2)</f>
        <v>0</v>
      </c>
      <c r="E7" s="353">
        <f>SUMIFS(Disbursements!$F:$F,Disbursements!$B:$B,'Colln-Summary'!$A7,Disbursements!$A:$A,"&gt;="&amp;'Colln-Summary'!$G$1,Disbursements!$A:$A,"&lt;="&amp;'Colln-Summary'!$G$2)</f>
        <v>0</v>
      </c>
      <c r="F7" s="353">
        <f>SUMIFS('Live Collections'!$L:$L,'Live Collections'!$D:$D,'Colln-Summary'!$A7,'Live Collections'!$B:$B,"&gt;="&amp;'Colln-Summary'!$G$1,'Live Collections'!$B:$B,"&lt;="&amp;'Colln-Summary'!$G$2)</f>
        <v>0</v>
      </c>
      <c r="G7" s="353">
        <f>SUMIFS('Live Collections'!$M:$M,'Live Collections'!$D:$D,'Colln-Summary'!$A7,'Live Collections'!$B:$B,"&gt;="&amp;'Colln-Summary'!$G$1,'Live Collections'!$B:$B,"&lt;="&amp;'Colln-Summary'!$G$2)</f>
        <v>0</v>
      </c>
      <c r="H7" s="353">
        <f>SUMIFS('Live Collections'!$N:$N,'Live Collections'!$D:$D,'Colln-Summary'!$A7,'Live Collections'!$B:$B,"&gt;="&amp;'Colln-Summary'!$G$1,'Live Collections'!$B:$B,"&lt;="&amp;'Colln-Summary'!$G$2)</f>
        <v>0</v>
      </c>
      <c r="I7" s="353">
        <f>SUMIFS('Live Collections'!$P:$P,'Live Collections'!$D:$D,'Colln-Summary'!$A7,'Live Collections'!$B:$B,"&gt;="&amp;'Colln-Summary'!$G$1,'Live Collections'!$B:$B,"&lt;="&amp;'Colln-Summary'!$G$2)</f>
        <v>0</v>
      </c>
      <c r="J7" s="353">
        <f>SUMIFS('Live Collections'!$O:$O,'Live Collections'!$D:$D,'Colln-Summary'!$A7,'Live Collections'!$B:$B,"&gt;="&amp;'Colln-Summary'!$G$1,'Live Collections'!$B:$B,"&lt;="&amp;'Colln-Summary'!$G$2)</f>
        <v>570000</v>
      </c>
      <c r="K7" s="360">
        <f>SUMIFS('Live Collections'!$S:$S,'Live Collections'!$D:$D,'Colln-Summary'!$A7,'Live Collections'!$B:$B,"&gt;="&amp;'Colln-Summary'!$G$1,'Live Collections'!$B:$B,"&lt;="&amp;'Colln-Summary'!$G$2)</f>
        <v>115000</v>
      </c>
      <c r="L7" s="360">
        <f>SUMIFS('Live Collections'!$T:$T,'Live Collections'!$D:$D,'Colln-Summary'!$A7,'Live Collections'!$B:$B,"&gt;="&amp;'Colln-Summary'!$G$1,'Live Collections'!$B:$B,"&lt;="&amp;'Colln-Summary'!$G$2)</f>
        <v>455000</v>
      </c>
      <c r="M7" s="258">
        <f t="shared" si="1"/>
        <v>570000</v>
      </c>
    </row>
    <row r="8" spans="1:13" x14ac:dyDescent="0.2">
      <c r="A8" s="478">
        <v>4</v>
      </c>
      <c r="B8" s="352" t="str">
        <f>IFERROR(VLOOKUP($A8,'Clients-Live'!$A:$C,3,0),"")</f>
        <v>EDERU EMMILLY</v>
      </c>
      <c r="C8" s="353">
        <f>SUMIFS('Live Collections'!$J:$J,'Live Collections'!$D:$D,'Colln-Summary'!$A8,'Live Collections'!$B:$B,"&gt;="&amp;'Colln-Summary'!$G$1,'Live Collections'!$B:$B,"&lt;="&amp;'Colln-Summary'!$G$2)</f>
        <v>0</v>
      </c>
      <c r="D8" s="353">
        <f>SUMIFS('Live Collections'!$K:$K,'Live Collections'!$D:$D,'Colln-Summary'!$A8,'Live Collections'!$B:$B,"&gt;="&amp;'Colln-Summary'!$G$1,'Live Collections'!$B:$B,"&lt;="&amp;'Colln-Summary'!$G$2)</f>
        <v>0</v>
      </c>
      <c r="E8" s="353">
        <f>SUMIFS(Disbursements!$F:$F,Disbursements!$B:$B,'Colln-Summary'!$A8,Disbursements!$A:$A,"&gt;="&amp;'Colln-Summary'!$G$1,Disbursements!$A:$A,"&lt;="&amp;'Colln-Summary'!$G$2)</f>
        <v>0</v>
      </c>
      <c r="F8" s="353">
        <f>SUMIFS('Live Collections'!$L:$L,'Live Collections'!$D:$D,'Colln-Summary'!$A8,'Live Collections'!$B:$B,"&gt;="&amp;'Colln-Summary'!$G$1,'Live Collections'!$B:$B,"&lt;="&amp;'Colln-Summary'!$G$2)</f>
        <v>0</v>
      </c>
      <c r="G8" s="353">
        <f>SUMIFS('Live Collections'!$M:$M,'Live Collections'!$D:$D,'Colln-Summary'!$A8,'Live Collections'!$B:$B,"&gt;="&amp;'Colln-Summary'!$G$1,'Live Collections'!$B:$B,"&lt;="&amp;'Colln-Summary'!$G$2)</f>
        <v>0</v>
      </c>
      <c r="H8" s="353">
        <f>SUMIFS('Live Collections'!$N:$N,'Live Collections'!$D:$D,'Colln-Summary'!$A8,'Live Collections'!$B:$B,"&gt;="&amp;'Colln-Summary'!$G$1,'Live Collections'!$B:$B,"&lt;="&amp;'Colln-Summary'!$G$2)</f>
        <v>0</v>
      </c>
      <c r="I8" s="353">
        <f>SUMIFS('Live Collections'!$P:$P,'Live Collections'!$D:$D,'Colln-Summary'!$A8,'Live Collections'!$B:$B,"&gt;="&amp;'Colln-Summary'!$G$1,'Live Collections'!$B:$B,"&lt;="&amp;'Colln-Summary'!$G$2)</f>
        <v>0</v>
      </c>
      <c r="J8" s="353">
        <f>SUMIFS('Live Collections'!$O:$O,'Live Collections'!$D:$D,'Colln-Summary'!$A8,'Live Collections'!$B:$B,"&gt;="&amp;'Colln-Summary'!$G$1,'Live Collections'!$B:$B,"&lt;="&amp;'Colln-Summary'!$G$2)</f>
        <v>0</v>
      </c>
      <c r="K8" s="360">
        <f>SUMIFS('Live Collections'!$S:$S,'Live Collections'!$D:$D,'Colln-Summary'!$A8,'Live Collections'!$B:$B,"&gt;="&amp;'Colln-Summary'!$G$1,'Live Collections'!$B:$B,"&lt;="&amp;'Colln-Summary'!$G$2)</f>
        <v>0</v>
      </c>
      <c r="L8" s="360">
        <f>SUMIFS('Live Collections'!$T:$T,'Live Collections'!$D:$D,'Colln-Summary'!$A8,'Live Collections'!$B:$B,"&gt;="&amp;'Colln-Summary'!$G$1,'Live Collections'!$B:$B,"&lt;="&amp;'Colln-Summary'!$G$2)</f>
        <v>0</v>
      </c>
      <c r="M8" s="258">
        <f t="shared" si="1"/>
        <v>0</v>
      </c>
    </row>
    <row r="9" spans="1:13" x14ac:dyDescent="0.2">
      <c r="A9" s="478">
        <v>5</v>
      </c>
      <c r="B9" s="352" t="str">
        <f>IFERROR(VLOOKUP($A9,'Clients-Live'!$A:$C,3,0),"")</f>
        <v>AYIKI MAWA</v>
      </c>
      <c r="C9" s="353">
        <f>SUMIFS('Live Collections'!$J:$J,'Live Collections'!$D:$D,'Colln-Summary'!$A9,'Live Collections'!$B:$B,"&gt;="&amp;'Colln-Summary'!$G$1,'Live Collections'!$B:$B,"&lt;="&amp;'Colln-Summary'!$G$2)</f>
        <v>0</v>
      </c>
      <c r="D9" s="353">
        <f>SUMIFS('Live Collections'!$K:$K,'Live Collections'!$D:$D,'Colln-Summary'!$A9,'Live Collections'!$B:$B,"&gt;="&amp;'Colln-Summary'!$G$1,'Live Collections'!$B:$B,"&lt;="&amp;'Colln-Summary'!$G$2)</f>
        <v>0</v>
      </c>
      <c r="E9" s="353">
        <f>SUMIFS(Disbursements!$F:$F,Disbursements!$B:$B,'Colln-Summary'!$A9,Disbursements!$A:$A,"&gt;="&amp;'Colln-Summary'!$G$1,Disbursements!$A:$A,"&lt;="&amp;'Colln-Summary'!$G$2)</f>
        <v>0</v>
      </c>
      <c r="F9" s="353">
        <f>SUMIFS('Live Collections'!$L:$L,'Live Collections'!$D:$D,'Colln-Summary'!$A9,'Live Collections'!$B:$B,"&gt;="&amp;'Colln-Summary'!$G$1,'Live Collections'!$B:$B,"&lt;="&amp;'Colln-Summary'!$G$2)</f>
        <v>0</v>
      </c>
      <c r="G9" s="353">
        <f>SUMIFS('Live Collections'!$M:$M,'Live Collections'!$D:$D,'Colln-Summary'!$A9,'Live Collections'!$B:$B,"&gt;="&amp;'Colln-Summary'!$G$1,'Live Collections'!$B:$B,"&lt;="&amp;'Colln-Summary'!$G$2)</f>
        <v>0</v>
      </c>
      <c r="H9" s="353">
        <f>SUMIFS('Live Collections'!$N:$N,'Live Collections'!$D:$D,'Colln-Summary'!$A9,'Live Collections'!$B:$B,"&gt;="&amp;'Colln-Summary'!$G$1,'Live Collections'!$B:$B,"&lt;="&amp;'Colln-Summary'!$G$2)</f>
        <v>0</v>
      </c>
      <c r="I9" s="353">
        <f>SUMIFS('Live Collections'!$P:$P,'Live Collections'!$D:$D,'Colln-Summary'!$A9,'Live Collections'!$B:$B,"&gt;="&amp;'Colln-Summary'!$G$1,'Live Collections'!$B:$B,"&lt;="&amp;'Colln-Summary'!$G$2)</f>
        <v>0</v>
      </c>
      <c r="J9" s="353">
        <f>SUMIFS('Live Collections'!$O:$O,'Live Collections'!$D:$D,'Colln-Summary'!$A9,'Live Collections'!$B:$B,"&gt;="&amp;'Colln-Summary'!$G$1,'Live Collections'!$B:$B,"&lt;="&amp;'Colln-Summary'!$G$2)</f>
        <v>0</v>
      </c>
      <c r="K9" s="360">
        <f>SUMIFS('Live Collections'!$S:$S,'Live Collections'!$D:$D,'Colln-Summary'!$A9,'Live Collections'!$B:$B,"&gt;="&amp;'Colln-Summary'!$G$1,'Live Collections'!$B:$B,"&lt;="&amp;'Colln-Summary'!$G$2)</f>
        <v>0</v>
      </c>
      <c r="L9" s="360">
        <f>SUMIFS('Live Collections'!$T:$T,'Live Collections'!$D:$D,'Colln-Summary'!$A9,'Live Collections'!$B:$B,"&gt;="&amp;'Colln-Summary'!$G$1,'Live Collections'!$B:$B,"&lt;="&amp;'Colln-Summary'!$G$2)</f>
        <v>0</v>
      </c>
      <c r="M9" s="258">
        <f t="shared" si="1"/>
        <v>0</v>
      </c>
    </row>
    <row r="10" spans="1:13" x14ac:dyDescent="0.2">
      <c r="A10" s="478">
        <v>6</v>
      </c>
      <c r="B10" s="352" t="str">
        <f>IFERROR(VLOOKUP($A10,'Clients-Live'!$A:$C,3,0),"")</f>
        <v>AMUTE BASHIR</v>
      </c>
      <c r="C10" s="353">
        <f>SUMIFS('Live Collections'!$J:$J,'Live Collections'!$D:$D,'Colln-Summary'!$A10,'Live Collections'!$B:$B,"&gt;="&amp;'Colln-Summary'!$G$1,'Live Collections'!$B:$B,"&lt;="&amp;'Colln-Summary'!$G$2)</f>
        <v>0</v>
      </c>
      <c r="D10" s="353">
        <f>SUMIFS('Live Collections'!$K:$K,'Live Collections'!$D:$D,'Colln-Summary'!$A10,'Live Collections'!$B:$B,"&gt;="&amp;'Colln-Summary'!$G$1,'Live Collections'!$B:$B,"&lt;="&amp;'Colln-Summary'!$G$2)</f>
        <v>5000</v>
      </c>
      <c r="E10" s="353">
        <f>SUMIFS(Disbursements!$F:$F,Disbursements!$B:$B,'Colln-Summary'!$A10,Disbursements!$A:$A,"&gt;="&amp;'Colln-Summary'!$G$1,Disbursements!$A:$A,"&lt;="&amp;'Colln-Summary'!$G$2)</f>
        <v>5000000</v>
      </c>
      <c r="F10" s="353">
        <f>SUMIFS('Live Collections'!$L:$L,'Live Collections'!$D:$D,'Colln-Summary'!$A10,'Live Collections'!$B:$B,"&gt;="&amp;'Colln-Summary'!$G$1,'Live Collections'!$B:$B,"&lt;="&amp;'Colln-Summary'!$G$2)</f>
        <v>30000</v>
      </c>
      <c r="G10" s="353">
        <f>SUMIFS('Live Collections'!$M:$M,'Live Collections'!$D:$D,'Colln-Summary'!$A10,'Live Collections'!$B:$B,"&gt;="&amp;'Colln-Summary'!$G$1,'Live Collections'!$B:$B,"&lt;="&amp;'Colln-Summary'!$G$2)</f>
        <v>5000</v>
      </c>
      <c r="H10" s="353">
        <f>SUMIFS('Live Collections'!$N:$N,'Live Collections'!$D:$D,'Colln-Summary'!$A10,'Live Collections'!$B:$B,"&gt;="&amp;'Colln-Summary'!$G$1,'Live Collections'!$B:$B,"&lt;="&amp;'Colln-Summary'!$G$2)</f>
        <v>0</v>
      </c>
      <c r="I10" s="353">
        <f>SUMIFS('Live Collections'!$P:$P,'Live Collections'!$D:$D,'Colln-Summary'!$A10,'Live Collections'!$B:$B,"&gt;="&amp;'Colln-Summary'!$G$1,'Live Collections'!$B:$B,"&lt;="&amp;'Colln-Summary'!$G$2)</f>
        <v>-100000</v>
      </c>
      <c r="J10" s="353">
        <f>SUMIFS('Live Collections'!$O:$O,'Live Collections'!$D:$D,'Colln-Summary'!$A10,'Live Collections'!$B:$B,"&gt;="&amp;'Colln-Summary'!$G$1,'Live Collections'!$B:$B,"&lt;="&amp;'Colln-Summary'!$G$2)</f>
        <v>2200000</v>
      </c>
      <c r="K10" s="360">
        <f>SUMIFS('Live Collections'!$S:$S,'Live Collections'!$D:$D,'Colln-Summary'!$A10,'Live Collections'!$B:$B,"&gt;="&amp;'Colln-Summary'!$G$1,'Live Collections'!$B:$B,"&lt;="&amp;'Colln-Summary'!$G$2)</f>
        <v>83000</v>
      </c>
      <c r="L10" s="360">
        <f>SUMIFS('Live Collections'!$T:$T,'Live Collections'!$D:$D,'Colln-Summary'!$A10,'Live Collections'!$B:$B,"&gt;="&amp;'Colln-Summary'!$G$1,'Live Collections'!$B:$B,"&lt;="&amp;'Colln-Summary'!$G$2)</f>
        <v>2117000</v>
      </c>
      <c r="M10" s="258">
        <f t="shared" si="1"/>
        <v>7140000</v>
      </c>
    </row>
    <row r="11" spans="1:13" x14ac:dyDescent="0.2">
      <c r="A11" s="478">
        <v>7</v>
      </c>
      <c r="B11" s="352" t="str">
        <f>IFERROR(VLOOKUP($A11,'Clients-Live'!$A:$C,3,0),"")</f>
        <v>CHANGE MOHAMMUDU</v>
      </c>
      <c r="C11" s="353">
        <f>SUMIFS('Live Collections'!$J:$J,'Live Collections'!$D:$D,'Colln-Summary'!$A11,'Live Collections'!$B:$B,"&gt;="&amp;'Colln-Summary'!$G$1,'Live Collections'!$B:$B,"&lt;="&amp;'Colln-Summary'!$G$2)</f>
        <v>0</v>
      </c>
      <c r="D11" s="353">
        <f>SUMIFS('Live Collections'!$K:$K,'Live Collections'!$D:$D,'Colln-Summary'!$A11,'Live Collections'!$B:$B,"&gt;="&amp;'Colln-Summary'!$G$1,'Live Collections'!$B:$B,"&lt;="&amp;'Colln-Summary'!$G$2)</f>
        <v>0</v>
      </c>
      <c r="E11" s="353">
        <f>SUMIFS(Disbursements!$F:$F,Disbursements!$B:$B,'Colln-Summary'!$A11,Disbursements!$A:$A,"&gt;="&amp;'Colln-Summary'!$G$1,Disbursements!$A:$A,"&lt;="&amp;'Colln-Summary'!$G$2)</f>
        <v>0</v>
      </c>
      <c r="F11" s="353">
        <f>SUMIFS('Live Collections'!$L:$L,'Live Collections'!$D:$D,'Colln-Summary'!$A11,'Live Collections'!$B:$B,"&gt;="&amp;'Colln-Summary'!$G$1,'Live Collections'!$B:$B,"&lt;="&amp;'Colln-Summary'!$G$2)</f>
        <v>0</v>
      </c>
      <c r="G11" s="353">
        <f>SUMIFS('Live Collections'!$M:$M,'Live Collections'!$D:$D,'Colln-Summary'!$A11,'Live Collections'!$B:$B,"&gt;="&amp;'Colln-Summary'!$G$1,'Live Collections'!$B:$B,"&lt;="&amp;'Colln-Summary'!$G$2)</f>
        <v>0</v>
      </c>
      <c r="H11" s="353">
        <f>SUMIFS('Live Collections'!$N:$N,'Live Collections'!$D:$D,'Colln-Summary'!$A11,'Live Collections'!$B:$B,"&gt;="&amp;'Colln-Summary'!$G$1,'Live Collections'!$B:$B,"&lt;="&amp;'Colln-Summary'!$G$2)</f>
        <v>0</v>
      </c>
      <c r="I11" s="353">
        <f>SUMIFS('Live Collections'!$P:$P,'Live Collections'!$D:$D,'Colln-Summary'!$A11,'Live Collections'!$B:$B,"&gt;="&amp;'Colln-Summary'!$G$1,'Live Collections'!$B:$B,"&lt;="&amp;'Colln-Summary'!$G$2)</f>
        <v>0</v>
      </c>
      <c r="J11" s="353">
        <f>SUMIFS('Live Collections'!$O:$O,'Live Collections'!$D:$D,'Colln-Summary'!$A11,'Live Collections'!$B:$B,"&gt;="&amp;'Colln-Summary'!$G$1,'Live Collections'!$B:$B,"&lt;="&amp;'Colln-Summary'!$G$2)</f>
        <v>0</v>
      </c>
      <c r="K11" s="360">
        <f>SUMIFS('Live Collections'!$S:$S,'Live Collections'!$D:$D,'Colln-Summary'!$A11,'Live Collections'!$B:$B,"&gt;="&amp;'Colln-Summary'!$G$1,'Live Collections'!$B:$B,"&lt;="&amp;'Colln-Summary'!$G$2)</f>
        <v>0</v>
      </c>
      <c r="L11" s="360">
        <f>SUMIFS('Live Collections'!$T:$T,'Live Collections'!$D:$D,'Colln-Summary'!$A11,'Live Collections'!$B:$B,"&gt;="&amp;'Colln-Summary'!$G$1,'Live Collections'!$B:$B,"&lt;="&amp;'Colln-Summary'!$G$2)</f>
        <v>0</v>
      </c>
      <c r="M11" s="258">
        <f t="shared" si="1"/>
        <v>0</v>
      </c>
    </row>
    <row r="12" spans="1:13" x14ac:dyDescent="0.2">
      <c r="A12" s="478">
        <v>8</v>
      </c>
      <c r="B12" s="352" t="str">
        <f>IFERROR(VLOOKUP($A12,'Clients-Live'!$A:$C,3,0),"")</f>
        <v>ALEMI THOMAS</v>
      </c>
      <c r="C12" s="353">
        <f>SUMIFS('Live Collections'!$J:$J,'Live Collections'!$D:$D,'Colln-Summary'!$A12,'Live Collections'!$B:$B,"&gt;="&amp;'Colln-Summary'!$G$1,'Live Collections'!$B:$B,"&lt;="&amp;'Colln-Summary'!$G$2)</f>
        <v>0</v>
      </c>
      <c r="D12" s="353">
        <f>SUMIFS('Live Collections'!$K:$K,'Live Collections'!$D:$D,'Colln-Summary'!$A12,'Live Collections'!$B:$B,"&gt;="&amp;'Colln-Summary'!$G$1,'Live Collections'!$B:$B,"&lt;="&amp;'Colln-Summary'!$G$2)</f>
        <v>0</v>
      </c>
      <c r="E12" s="353">
        <f>SUMIFS(Disbursements!$F:$F,Disbursements!$B:$B,'Colln-Summary'!$A12,Disbursements!$A:$A,"&gt;="&amp;'Colln-Summary'!$G$1,Disbursements!$A:$A,"&lt;="&amp;'Colln-Summary'!$G$2)</f>
        <v>0</v>
      </c>
      <c r="F12" s="353">
        <f>SUMIFS('Live Collections'!$L:$L,'Live Collections'!$D:$D,'Colln-Summary'!$A12,'Live Collections'!$B:$B,"&gt;="&amp;'Colln-Summary'!$G$1,'Live Collections'!$B:$B,"&lt;="&amp;'Colln-Summary'!$G$2)</f>
        <v>0</v>
      </c>
      <c r="G12" s="353">
        <f>SUMIFS('Live Collections'!$M:$M,'Live Collections'!$D:$D,'Colln-Summary'!$A12,'Live Collections'!$B:$B,"&gt;="&amp;'Colln-Summary'!$G$1,'Live Collections'!$B:$B,"&lt;="&amp;'Colln-Summary'!$G$2)</f>
        <v>0</v>
      </c>
      <c r="H12" s="353">
        <f>SUMIFS('Live Collections'!$N:$N,'Live Collections'!$D:$D,'Colln-Summary'!$A12,'Live Collections'!$B:$B,"&gt;="&amp;'Colln-Summary'!$G$1,'Live Collections'!$B:$B,"&lt;="&amp;'Colln-Summary'!$G$2)</f>
        <v>0</v>
      </c>
      <c r="I12" s="353">
        <f>SUMIFS('Live Collections'!$P:$P,'Live Collections'!$D:$D,'Colln-Summary'!$A12,'Live Collections'!$B:$B,"&gt;="&amp;'Colln-Summary'!$G$1,'Live Collections'!$B:$B,"&lt;="&amp;'Colln-Summary'!$G$2)</f>
        <v>0</v>
      </c>
      <c r="J12" s="353">
        <f>SUMIFS('Live Collections'!$O:$O,'Live Collections'!$D:$D,'Colln-Summary'!$A12,'Live Collections'!$B:$B,"&gt;="&amp;'Colln-Summary'!$G$1,'Live Collections'!$B:$B,"&lt;="&amp;'Colln-Summary'!$G$2)</f>
        <v>0</v>
      </c>
      <c r="K12" s="360">
        <f>SUMIFS('Live Collections'!$S:$S,'Live Collections'!$D:$D,'Colln-Summary'!$A12,'Live Collections'!$B:$B,"&gt;="&amp;'Colln-Summary'!$G$1,'Live Collections'!$B:$B,"&lt;="&amp;'Colln-Summary'!$G$2)</f>
        <v>0</v>
      </c>
      <c r="L12" s="360">
        <f>SUMIFS('Live Collections'!$T:$T,'Live Collections'!$D:$D,'Colln-Summary'!$A12,'Live Collections'!$B:$B,"&gt;="&amp;'Colln-Summary'!$G$1,'Live Collections'!$B:$B,"&lt;="&amp;'Colln-Summary'!$G$2)</f>
        <v>0</v>
      </c>
      <c r="M12" s="258">
        <f t="shared" si="1"/>
        <v>0</v>
      </c>
    </row>
    <row r="13" spans="1:13" x14ac:dyDescent="0.2">
      <c r="A13" s="478">
        <v>9</v>
      </c>
      <c r="B13" s="352" t="str">
        <f>IFERROR(VLOOKUP($A13,'Clients-Live'!$A:$C,3,0),"")</f>
        <v>TABAN DAVID YAYA</v>
      </c>
      <c r="C13" s="353">
        <f>SUMIFS('Live Collections'!$J:$J,'Live Collections'!$D:$D,'Colln-Summary'!$A13,'Live Collections'!$B:$B,"&gt;="&amp;'Colln-Summary'!$G$1,'Live Collections'!$B:$B,"&lt;="&amp;'Colln-Summary'!$G$2)</f>
        <v>0</v>
      </c>
      <c r="D13" s="353">
        <f>SUMIFS('Live Collections'!$K:$K,'Live Collections'!$D:$D,'Colln-Summary'!$A13,'Live Collections'!$B:$B,"&gt;="&amp;'Colln-Summary'!$G$1,'Live Collections'!$B:$B,"&lt;="&amp;'Colln-Summary'!$G$2)</f>
        <v>0</v>
      </c>
      <c r="E13" s="353">
        <f>SUMIFS(Disbursements!$F:$F,Disbursements!$B:$B,'Colln-Summary'!$A13,Disbursements!$A:$A,"&gt;="&amp;'Colln-Summary'!$G$1,Disbursements!$A:$A,"&lt;="&amp;'Colln-Summary'!$G$2)</f>
        <v>600000</v>
      </c>
      <c r="F13" s="353">
        <f>SUMIFS('Live Collections'!$L:$L,'Live Collections'!$D:$D,'Colln-Summary'!$A13,'Live Collections'!$B:$B,"&gt;="&amp;'Colln-Summary'!$G$1,'Live Collections'!$B:$B,"&lt;="&amp;'Colln-Summary'!$G$2)</f>
        <v>20000</v>
      </c>
      <c r="G13" s="353">
        <f>SUMIFS('Live Collections'!$M:$M,'Live Collections'!$D:$D,'Colln-Summary'!$A13,'Live Collections'!$B:$B,"&gt;="&amp;'Colln-Summary'!$G$1,'Live Collections'!$B:$B,"&lt;="&amp;'Colln-Summary'!$G$2)</f>
        <v>5000</v>
      </c>
      <c r="H13" s="353">
        <f>SUMIFS('Live Collections'!$N:$N,'Live Collections'!$D:$D,'Colln-Summary'!$A13,'Live Collections'!$B:$B,"&gt;="&amp;'Colln-Summary'!$G$1,'Live Collections'!$B:$B,"&lt;="&amp;'Colln-Summary'!$G$2)</f>
        <v>0</v>
      </c>
      <c r="I13" s="353">
        <f>SUMIFS('Live Collections'!$P:$P,'Live Collections'!$D:$D,'Colln-Summary'!$A13,'Live Collections'!$B:$B,"&gt;="&amp;'Colln-Summary'!$G$1,'Live Collections'!$B:$B,"&lt;="&amp;'Colln-Summary'!$G$2)</f>
        <v>-60000</v>
      </c>
      <c r="J13" s="353">
        <f>SUMIFS('Live Collections'!$O:$O,'Live Collections'!$D:$D,'Colln-Summary'!$A13,'Live Collections'!$B:$B,"&gt;="&amp;'Colln-Summary'!$G$1,'Live Collections'!$B:$B,"&lt;="&amp;'Colln-Summary'!$G$2)</f>
        <v>400000</v>
      </c>
      <c r="K13" s="360">
        <f>SUMIFS('Live Collections'!$S:$S,'Live Collections'!$D:$D,'Colln-Summary'!$A13,'Live Collections'!$B:$B,"&gt;="&amp;'Colln-Summary'!$G$1,'Live Collections'!$B:$B,"&lt;="&amp;'Colln-Summary'!$G$2)</f>
        <v>39333.333333333314</v>
      </c>
      <c r="L13" s="360">
        <f>SUMIFS('Live Collections'!$T:$T,'Live Collections'!$D:$D,'Colln-Summary'!$A13,'Live Collections'!$B:$B,"&gt;="&amp;'Colln-Summary'!$G$1,'Live Collections'!$B:$B,"&lt;="&amp;'Colln-Summary'!$G$2)</f>
        <v>360666.66666666669</v>
      </c>
      <c r="M13" s="258">
        <f t="shared" si="1"/>
        <v>965000</v>
      </c>
    </row>
    <row r="14" spans="1:13" x14ac:dyDescent="0.2">
      <c r="A14" s="478">
        <v>10</v>
      </c>
      <c r="B14" s="352" t="str">
        <f>IFERROR(VLOOKUP($A14,'Clients-Live'!$A:$C,3,0),"")</f>
        <v>WARU ARIEYE VALENTINA CHARLES</v>
      </c>
      <c r="C14" s="353">
        <f>SUMIFS('Live Collections'!$J:$J,'Live Collections'!$D:$D,'Colln-Summary'!$A14,'Live Collections'!$B:$B,"&gt;="&amp;'Colln-Summary'!$G$1,'Live Collections'!$B:$B,"&lt;="&amp;'Colln-Summary'!$G$2)</f>
        <v>0</v>
      </c>
      <c r="D14" s="353">
        <f>SUMIFS('Live Collections'!$K:$K,'Live Collections'!$D:$D,'Colln-Summary'!$A14,'Live Collections'!$B:$B,"&gt;="&amp;'Colln-Summary'!$G$1,'Live Collections'!$B:$B,"&lt;="&amp;'Colln-Summary'!$G$2)</f>
        <v>0</v>
      </c>
      <c r="E14" s="353">
        <f>SUMIFS(Disbursements!$F:$F,Disbursements!$B:$B,'Colln-Summary'!$A14,Disbursements!$A:$A,"&gt;="&amp;'Colln-Summary'!$G$1,Disbursements!$A:$A,"&lt;="&amp;'Colln-Summary'!$G$2)</f>
        <v>0</v>
      </c>
      <c r="F14" s="353">
        <f>SUMIFS('Live Collections'!$L:$L,'Live Collections'!$D:$D,'Colln-Summary'!$A14,'Live Collections'!$B:$B,"&gt;="&amp;'Colln-Summary'!$G$1,'Live Collections'!$B:$B,"&lt;="&amp;'Colln-Summary'!$G$2)</f>
        <v>0</v>
      </c>
      <c r="G14" s="353">
        <f>SUMIFS('Live Collections'!$M:$M,'Live Collections'!$D:$D,'Colln-Summary'!$A14,'Live Collections'!$B:$B,"&gt;="&amp;'Colln-Summary'!$G$1,'Live Collections'!$B:$B,"&lt;="&amp;'Colln-Summary'!$G$2)</f>
        <v>0</v>
      </c>
      <c r="H14" s="353">
        <f>SUMIFS('Live Collections'!$N:$N,'Live Collections'!$D:$D,'Colln-Summary'!$A14,'Live Collections'!$B:$B,"&gt;="&amp;'Colln-Summary'!$G$1,'Live Collections'!$B:$B,"&lt;="&amp;'Colln-Summary'!$G$2)</f>
        <v>0</v>
      </c>
      <c r="I14" s="353">
        <f>SUMIFS('Live Collections'!$P:$P,'Live Collections'!$D:$D,'Colln-Summary'!$A14,'Live Collections'!$B:$B,"&gt;="&amp;'Colln-Summary'!$G$1,'Live Collections'!$B:$B,"&lt;="&amp;'Colln-Summary'!$G$2)</f>
        <v>0</v>
      </c>
      <c r="J14" s="353">
        <f>SUMIFS('Live Collections'!$O:$O,'Live Collections'!$D:$D,'Colln-Summary'!$A14,'Live Collections'!$B:$B,"&gt;="&amp;'Colln-Summary'!$G$1,'Live Collections'!$B:$B,"&lt;="&amp;'Colln-Summary'!$G$2)</f>
        <v>250000</v>
      </c>
      <c r="K14" s="360">
        <f>SUMIFS('Live Collections'!$S:$S,'Live Collections'!$D:$D,'Colln-Summary'!$A14,'Live Collections'!$B:$B,"&gt;="&amp;'Colln-Summary'!$G$1,'Live Collections'!$B:$B,"&lt;="&amp;'Colln-Summary'!$G$2)</f>
        <v>0</v>
      </c>
      <c r="L14" s="360">
        <f>SUMIFS('Live Collections'!$T:$T,'Live Collections'!$D:$D,'Colln-Summary'!$A14,'Live Collections'!$B:$B,"&gt;="&amp;'Colln-Summary'!$G$1,'Live Collections'!$B:$B,"&lt;="&amp;'Colln-Summary'!$G$2)</f>
        <v>250000</v>
      </c>
      <c r="M14" s="258">
        <f t="shared" si="1"/>
        <v>250000</v>
      </c>
    </row>
    <row r="15" spans="1:13" x14ac:dyDescent="0.2">
      <c r="A15" s="478">
        <v>11</v>
      </c>
      <c r="B15" s="352" t="str">
        <f>IFERROR(VLOOKUP($A15,'Clients-Live'!$A:$C,3,0),"")</f>
        <v>ARIME JUMA</v>
      </c>
      <c r="C15" s="353">
        <f>SUMIFS('Live Collections'!$J:$J,'Live Collections'!$D:$D,'Colln-Summary'!$A15,'Live Collections'!$B:$B,"&gt;="&amp;'Colln-Summary'!$G$1,'Live Collections'!$B:$B,"&lt;="&amp;'Colln-Summary'!$G$2)</f>
        <v>0</v>
      </c>
      <c r="D15" s="353">
        <f>SUMIFS('Live Collections'!$K:$K,'Live Collections'!$D:$D,'Colln-Summary'!$A15,'Live Collections'!$B:$B,"&gt;="&amp;'Colln-Summary'!$G$1,'Live Collections'!$B:$B,"&lt;="&amp;'Colln-Summary'!$G$2)</f>
        <v>0</v>
      </c>
      <c r="E15" s="353">
        <f>SUMIFS(Disbursements!$F:$F,Disbursements!$B:$B,'Colln-Summary'!$A15,Disbursements!$A:$A,"&gt;="&amp;'Colln-Summary'!$G$1,Disbursements!$A:$A,"&lt;="&amp;'Colln-Summary'!$G$2)</f>
        <v>0</v>
      </c>
      <c r="F15" s="353">
        <f>SUMIFS('Live Collections'!$L:$L,'Live Collections'!$D:$D,'Colln-Summary'!$A15,'Live Collections'!$B:$B,"&gt;="&amp;'Colln-Summary'!$G$1,'Live Collections'!$B:$B,"&lt;="&amp;'Colln-Summary'!$G$2)</f>
        <v>0</v>
      </c>
      <c r="G15" s="353">
        <f>SUMIFS('Live Collections'!$M:$M,'Live Collections'!$D:$D,'Colln-Summary'!$A15,'Live Collections'!$B:$B,"&gt;="&amp;'Colln-Summary'!$G$1,'Live Collections'!$B:$B,"&lt;="&amp;'Colln-Summary'!$G$2)</f>
        <v>0</v>
      </c>
      <c r="H15" s="353">
        <f>SUMIFS('Live Collections'!$N:$N,'Live Collections'!$D:$D,'Colln-Summary'!$A15,'Live Collections'!$B:$B,"&gt;="&amp;'Colln-Summary'!$G$1,'Live Collections'!$B:$B,"&lt;="&amp;'Colln-Summary'!$G$2)</f>
        <v>0</v>
      </c>
      <c r="I15" s="353">
        <f>SUMIFS('Live Collections'!$P:$P,'Live Collections'!$D:$D,'Colln-Summary'!$A15,'Live Collections'!$B:$B,"&gt;="&amp;'Colln-Summary'!$G$1,'Live Collections'!$B:$B,"&lt;="&amp;'Colln-Summary'!$G$2)</f>
        <v>0</v>
      </c>
      <c r="J15" s="353">
        <f>SUMIFS('Live Collections'!$O:$O,'Live Collections'!$D:$D,'Colln-Summary'!$A15,'Live Collections'!$B:$B,"&gt;="&amp;'Colln-Summary'!$G$1,'Live Collections'!$B:$B,"&lt;="&amp;'Colln-Summary'!$G$2)</f>
        <v>100000</v>
      </c>
      <c r="K15" s="360">
        <f>SUMIFS('Live Collections'!$S:$S,'Live Collections'!$D:$D,'Colln-Summary'!$A15,'Live Collections'!$B:$B,"&gt;="&amp;'Colln-Summary'!$G$1,'Live Collections'!$B:$B,"&lt;="&amp;'Colln-Summary'!$G$2)</f>
        <v>10000</v>
      </c>
      <c r="L15" s="360">
        <f>SUMIFS('Live Collections'!$T:$T,'Live Collections'!$D:$D,'Colln-Summary'!$A15,'Live Collections'!$B:$B,"&gt;="&amp;'Colln-Summary'!$G$1,'Live Collections'!$B:$B,"&lt;="&amp;'Colln-Summary'!$G$2)</f>
        <v>90000</v>
      </c>
      <c r="M15" s="258">
        <f t="shared" si="1"/>
        <v>100000</v>
      </c>
    </row>
    <row r="16" spans="1:13" x14ac:dyDescent="0.2">
      <c r="A16" s="478">
        <v>12</v>
      </c>
      <c r="B16" s="352" t="str">
        <f>IFERROR(VLOOKUP($A16,'Clients-Live'!$A:$C,3,0),"")</f>
        <v>DRELIA SIMON DEADSON</v>
      </c>
      <c r="C16" s="353">
        <f>SUMIFS('Live Collections'!$J:$J,'Live Collections'!$D:$D,'Colln-Summary'!$A16,'Live Collections'!$B:$B,"&gt;="&amp;'Colln-Summary'!$G$1,'Live Collections'!$B:$B,"&lt;="&amp;'Colln-Summary'!$G$2)</f>
        <v>0</v>
      </c>
      <c r="D16" s="353">
        <f>SUMIFS('Live Collections'!$K:$K,'Live Collections'!$D:$D,'Colln-Summary'!$A16,'Live Collections'!$B:$B,"&gt;="&amp;'Colln-Summary'!$G$1,'Live Collections'!$B:$B,"&lt;="&amp;'Colln-Summary'!$G$2)</f>
        <v>0</v>
      </c>
      <c r="E16" s="353">
        <f>SUMIFS(Disbursements!$F:$F,Disbursements!$B:$B,'Colln-Summary'!$A16,Disbursements!$A:$A,"&gt;="&amp;'Colln-Summary'!$G$1,Disbursements!$A:$A,"&lt;="&amp;'Colln-Summary'!$G$2)</f>
        <v>0</v>
      </c>
      <c r="F16" s="353">
        <f>SUMIFS('Live Collections'!$L:$L,'Live Collections'!$D:$D,'Colln-Summary'!$A16,'Live Collections'!$B:$B,"&gt;="&amp;'Colln-Summary'!$G$1,'Live Collections'!$B:$B,"&lt;="&amp;'Colln-Summary'!$G$2)</f>
        <v>0</v>
      </c>
      <c r="G16" s="353">
        <f>SUMIFS('Live Collections'!$M:$M,'Live Collections'!$D:$D,'Colln-Summary'!$A16,'Live Collections'!$B:$B,"&gt;="&amp;'Colln-Summary'!$G$1,'Live Collections'!$B:$B,"&lt;="&amp;'Colln-Summary'!$G$2)</f>
        <v>0</v>
      </c>
      <c r="H16" s="353">
        <f>SUMIFS('Live Collections'!$N:$N,'Live Collections'!$D:$D,'Colln-Summary'!$A16,'Live Collections'!$B:$B,"&gt;="&amp;'Colln-Summary'!$G$1,'Live Collections'!$B:$B,"&lt;="&amp;'Colln-Summary'!$G$2)</f>
        <v>0</v>
      </c>
      <c r="I16" s="353">
        <f>SUMIFS('Live Collections'!$P:$P,'Live Collections'!$D:$D,'Colln-Summary'!$A16,'Live Collections'!$B:$B,"&gt;="&amp;'Colln-Summary'!$G$1,'Live Collections'!$B:$B,"&lt;="&amp;'Colln-Summary'!$G$2)</f>
        <v>0</v>
      </c>
      <c r="J16" s="353">
        <f>SUMIFS('Live Collections'!$O:$O,'Live Collections'!$D:$D,'Colln-Summary'!$A16,'Live Collections'!$B:$B,"&gt;="&amp;'Colln-Summary'!$G$1,'Live Collections'!$B:$B,"&lt;="&amp;'Colln-Summary'!$G$2)</f>
        <v>0</v>
      </c>
      <c r="K16" s="360">
        <f>SUMIFS('Live Collections'!$S:$S,'Live Collections'!$D:$D,'Colln-Summary'!$A16,'Live Collections'!$B:$B,"&gt;="&amp;'Colln-Summary'!$G$1,'Live Collections'!$B:$B,"&lt;="&amp;'Colln-Summary'!$G$2)</f>
        <v>0</v>
      </c>
      <c r="L16" s="360">
        <f>SUMIFS('Live Collections'!$T:$T,'Live Collections'!$D:$D,'Colln-Summary'!$A16,'Live Collections'!$B:$B,"&gt;="&amp;'Colln-Summary'!$G$1,'Live Collections'!$B:$B,"&lt;="&amp;'Colln-Summary'!$G$2)</f>
        <v>0</v>
      </c>
      <c r="M16" s="258">
        <f t="shared" si="1"/>
        <v>0</v>
      </c>
    </row>
    <row r="17" spans="1:13" x14ac:dyDescent="0.2">
      <c r="A17" s="478">
        <v>13</v>
      </c>
      <c r="B17" s="352" t="str">
        <f>IFERROR(VLOOKUP($A17,'Clients-Live'!$A:$C,3,0),"")</f>
        <v>ALLONE AMOS DAMAI</v>
      </c>
      <c r="C17" s="353">
        <f>SUMIFS('Live Collections'!$J:$J,'Live Collections'!$D:$D,'Colln-Summary'!$A17,'Live Collections'!$B:$B,"&gt;="&amp;'Colln-Summary'!$G$1,'Live Collections'!$B:$B,"&lt;="&amp;'Colln-Summary'!$G$2)</f>
        <v>0</v>
      </c>
      <c r="D17" s="353">
        <f>SUMIFS('Live Collections'!$K:$K,'Live Collections'!$D:$D,'Colln-Summary'!$A17,'Live Collections'!$B:$B,"&gt;="&amp;'Colln-Summary'!$G$1,'Live Collections'!$B:$B,"&lt;="&amp;'Colln-Summary'!$G$2)</f>
        <v>0</v>
      </c>
      <c r="E17" s="353">
        <f>SUMIFS(Disbursements!$F:$F,Disbursements!$B:$B,'Colln-Summary'!$A17,Disbursements!$A:$A,"&gt;="&amp;'Colln-Summary'!$G$1,Disbursements!$A:$A,"&lt;="&amp;'Colln-Summary'!$G$2)</f>
        <v>0</v>
      </c>
      <c r="F17" s="353">
        <f>SUMIFS('Live Collections'!$L:$L,'Live Collections'!$D:$D,'Colln-Summary'!$A17,'Live Collections'!$B:$B,"&gt;="&amp;'Colln-Summary'!$G$1,'Live Collections'!$B:$B,"&lt;="&amp;'Colln-Summary'!$G$2)</f>
        <v>0</v>
      </c>
      <c r="G17" s="353">
        <f>SUMIFS('Live Collections'!$M:$M,'Live Collections'!$D:$D,'Colln-Summary'!$A17,'Live Collections'!$B:$B,"&gt;="&amp;'Colln-Summary'!$G$1,'Live Collections'!$B:$B,"&lt;="&amp;'Colln-Summary'!$G$2)</f>
        <v>0</v>
      </c>
      <c r="H17" s="353">
        <f>SUMIFS('Live Collections'!$N:$N,'Live Collections'!$D:$D,'Colln-Summary'!$A17,'Live Collections'!$B:$B,"&gt;="&amp;'Colln-Summary'!$G$1,'Live Collections'!$B:$B,"&lt;="&amp;'Colln-Summary'!$G$2)</f>
        <v>0</v>
      </c>
      <c r="I17" s="353">
        <f>SUMIFS('Live Collections'!$P:$P,'Live Collections'!$D:$D,'Colln-Summary'!$A17,'Live Collections'!$B:$B,"&gt;="&amp;'Colln-Summary'!$G$1,'Live Collections'!$B:$B,"&lt;="&amp;'Colln-Summary'!$G$2)</f>
        <v>0</v>
      </c>
      <c r="J17" s="353">
        <f>SUMIFS('Live Collections'!$O:$O,'Live Collections'!$D:$D,'Colln-Summary'!$A17,'Live Collections'!$B:$B,"&gt;="&amp;'Colln-Summary'!$G$1,'Live Collections'!$B:$B,"&lt;="&amp;'Colln-Summary'!$G$2)</f>
        <v>0</v>
      </c>
      <c r="K17" s="360">
        <f>SUMIFS('Live Collections'!$S:$S,'Live Collections'!$D:$D,'Colln-Summary'!$A17,'Live Collections'!$B:$B,"&gt;="&amp;'Colln-Summary'!$G$1,'Live Collections'!$B:$B,"&lt;="&amp;'Colln-Summary'!$G$2)</f>
        <v>0</v>
      </c>
      <c r="L17" s="360">
        <f>SUMIFS('Live Collections'!$T:$T,'Live Collections'!$D:$D,'Colln-Summary'!$A17,'Live Collections'!$B:$B,"&gt;="&amp;'Colln-Summary'!$G$1,'Live Collections'!$B:$B,"&lt;="&amp;'Colln-Summary'!$G$2)</f>
        <v>0</v>
      </c>
      <c r="M17" s="258">
        <f t="shared" si="1"/>
        <v>0</v>
      </c>
    </row>
    <row r="18" spans="1:13" x14ac:dyDescent="0.2">
      <c r="A18" s="478">
        <v>14</v>
      </c>
      <c r="B18" s="352" t="str">
        <f>IFERROR(VLOOKUP($A18,'Clients-Live'!$A:$C,3,0),"")</f>
        <v>ASIKU ROMANO ADEBUA</v>
      </c>
      <c r="C18" s="353">
        <f>SUMIFS('Live Collections'!$J:$J,'Live Collections'!$D:$D,'Colln-Summary'!$A18,'Live Collections'!$B:$B,"&gt;="&amp;'Colln-Summary'!$G$1,'Live Collections'!$B:$B,"&lt;="&amp;'Colln-Summary'!$G$2)</f>
        <v>0</v>
      </c>
      <c r="D18" s="353">
        <f>SUMIFS('Live Collections'!$K:$K,'Live Collections'!$D:$D,'Colln-Summary'!$A18,'Live Collections'!$B:$B,"&gt;="&amp;'Colln-Summary'!$G$1,'Live Collections'!$B:$B,"&lt;="&amp;'Colln-Summary'!$G$2)</f>
        <v>0</v>
      </c>
      <c r="E18" s="353">
        <f>SUMIFS(Disbursements!$F:$F,Disbursements!$B:$B,'Colln-Summary'!$A18,Disbursements!$A:$A,"&gt;="&amp;'Colln-Summary'!$G$1,Disbursements!$A:$A,"&lt;="&amp;'Colln-Summary'!$G$2)</f>
        <v>0</v>
      </c>
      <c r="F18" s="353">
        <f>SUMIFS('Live Collections'!$L:$L,'Live Collections'!$D:$D,'Colln-Summary'!$A18,'Live Collections'!$B:$B,"&gt;="&amp;'Colln-Summary'!$G$1,'Live Collections'!$B:$B,"&lt;="&amp;'Colln-Summary'!$G$2)</f>
        <v>0</v>
      </c>
      <c r="G18" s="353">
        <f>SUMIFS('Live Collections'!$M:$M,'Live Collections'!$D:$D,'Colln-Summary'!$A18,'Live Collections'!$B:$B,"&gt;="&amp;'Colln-Summary'!$G$1,'Live Collections'!$B:$B,"&lt;="&amp;'Colln-Summary'!$G$2)</f>
        <v>0</v>
      </c>
      <c r="H18" s="353">
        <f>SUMIFS('Live Collections'!$N:$N,'Live Collections'!$D:$D,'Colln-Summary'!$A18,'Live Collections'!$B:$B,"&gt;="&amp;'Colln-Summary'!$G$1,'Live Collections'!$B:$B,"&lt;="&amp;'Colln-Summary'!$G$2)</f>
        <v>0</v>
      </c>
      <c r="I18" s="353">
        <f>SUMIFS('Live Collections'!$P:$P,'Live Collections'!$D:$D,'Colln-Summary'!$A18,'Live Collections'!$B:$B,"&gt;="&amp;'Colln-Summary'!$G$1,'Live Collections'!$B:$B,"&lt;="&amp;'Colln-Summary'!$G$2)</f>
        <v>0</v>
      </c>
      <c r="J18" s="353">
        <f>SUMIFS('Live Collections'!$O:$O,'Live Collections'!$D:$D,'Colln-Summary'!$A18,'Live Collections'!$B:$B,"&gt;="&amp;'Colln-Summary'!$G$1,'Live Collections'!$B:$B,"&lt;="&amp;'Colln-Summary'!$G$2)</f>
        <v>0</v>
      </c>
      <c r="K18" s="360">
        <f>SUMIFS('Live Collections'!$S:$S,'Live Collections'!$D:$D,'Colln-Summary'!$A18,'Live Collections'!$B:$B,"&gt;="&amp;'Colln-Summary'!$G$1,'Live Collections'!$B:$B,"&lt;="&amp;'Colln-Summary'!$G$2)</f>
        <v>0</v>
      </c>
      <c r="L18" s="360">
        <f>SUMIFS('Live Collections'!$T:$T,'Live Collections'!$D:$D,'Colln-Summary'!$A18,'Live Collections'!$B:$B,"&gt;="&amp;'Colln-Summary'!$G$1,'Live Collections'!$B:$B,"&lt;="&amp;'Colln-Summary'!$G$2)</f>
        <v>0</v>
      </c>
      <c r="M18" s="258">
        <f t="shared" si="1"/>
        <v>0</v>
      </c>
    </row>
    <row r="19" spans="1:13" x14ac:dyDescent="0.2">
      <c r="A19" s="478">
        <v>15</v>
      </c>
      <c r="B19" s="352" t="str">
        <f>IFERROR(VLOOKUP($A19,'Clients-Live'!$A:$C,3,0),"")</f>
        <v>NATOSHA LUCY</v>
      </c>
      <c r="C19" s="353">
        <f>SUMIFS('Live Collections'!$J:$J,'Live Collections'!$D:$D,'Colln-Summary'!$A19,'Live Collections'!$B:$B,"&gt;="&amp;'Colln-Summary'!$G$1,'Live Collections'!$B:$B,"&lt;="&amp;'Colln-Summary'!$G$2)</f>
        <v>0</v>
      </c>
      <c r="D19" s="353">
        <f>SUMIFS('Live Collections'!$K:$K,'Live Collections'!$D:$D,'Colln-Summary'!$A19,'Live Collections'!$B:$B,"&gt;="&amp;'Colln-Summary'!$G$1,'Live Collections'!$B:$B,"&lt;="&amp;'Colln-Summary'!$G$2)</f>
        <v>0</v>
      </c>
      <c r="E19" s="353">
        <f>SUMIFS(Disbursements!$F:$F,Disbursements!$B:$B,'Colln-Summary'!$A19,Disbursements!$A:$A,"&gt;="&amp;'Colln-Summary'!$G$1,Disbursements!$A:$A,"&lt;="&amp;'Colln-Summary'!$G$2)</f>
        <v>0</v>
      </c>
      <c r="F19" s="353">
        <f>SUMIFS('Live Collections'!$L:$L,'Live Collections'!$D:$D,'Colln-Summary'!$A19,'Live Collections'!$B:$B,"&gt;="&amp;'Colln-Summary'!$G$1,'Live Collections'!$B:$B,"&lt;="&amp;'Colln-Summary'!$G$2)</f>
        <v>0</v>
      </c>
      <c r="G19" s="353">
        <f>SUMIFS('Live Collections'!$M:$M,'Live Collections'!$D:$D,'Colln-Summary'!$A19,'Live Collections'!$B:$B,"&gt;="&amp;'Colln-Summary'!$G$1,'Live Collections'!$B:$B,"&lt;="&amp;'Colln-Summary'!$G$2)</f>
        <v>0</v>
      </c>
      <c r="H19" s="353">
        <f>SUMIFS('Live Collections'!$N:$N,'Live Collections'!$D:$D,'Colln-Summary'!$A19,'Live Collections'!$B:$B,"&gt;="&amp;'Colln-Summary'!$G$1,'Live Collections'!$B:$B,"&lt;="&amp;'Colln-Summary'!$G$2)</f>
        <v>65000</v>
      </c>
      <c r="I19" s="353">
        <f>SUMIFS('Live Collections'!$P:$P,'Live Collections'!$D:$D,'Colln-Summary'!$A19,'Live Collections'!$B:$B,"&gt;="&amp;'Colln-Summary'!$G$1,'Live Collections'!$B:$B,"&lt;="&amp;'Colln-Summary'!$G$2)</f>
        <v>0</v>
      </c>
      <c r="J19" s="353">
        <f>SUMIFS('Live Collections'!$O:$O,'Live Collections'!$D:$D,'Colln-Summary'!$A19,'Live Collections'!$B:$B,"&gt;="&amp;'Colln-Summary'!$G$1,'Live Collections'!$B:$B,"&lt;="&amp;'Colln-Summary'!$G$2)</f>
        <v>275000</v>
      </c>
      <c r="K19" s="360">
        <f>SUMIFS('Live Collections'!$S:$S,'Live Collections'!$D:$D,'Colln-Summary'!$A19,'Live Collections'!$B:$B,"&gt;="&amp;'Colln-Summary'!$G$1,'Live Collections'!$B:$B,"&lt;="&amp;'Colln-Summary'!$G$2)</f>
        <v>50333.333333333343</v>
      </c>
      <c r="L19" s="360">
        <f>SUMIFS('Live Collections'!$T:$T,'Live Collections'!$D:$D,'Colln-Summary'!$A19,'Live Collections'!$B:$B,"&gt;="&amp;'Colln-Summary'!$G$1,'Live Collections'!$B:$B,"&lt;="&amp;'Colln-Summary'!$G$2)</f>
        <v>224666.66666666666</v>
      </c>
      <c r="M19" s="258">
        <f t="shared" si="1"/>
        <v>340000</v>
      </c>
    </row>
    <row r="20" spans="1:13" x14ac:dyDescent="0.2">
      <c r="A20" s="478">
        <v>16</v>
      </c>
      <c r="B20" s="352" t="str">
        <f>IFERROR(VLOOKUP($A20,'Clients-Live'!$A:$C,3,0),"")</f>
        <v>OKELLO ACTION</v>
      </c>
      <c r="C20" s="353">
        <f>SUMIFS('Live Collections'!$J:$J,'Live Collections'!$D:$D,'Colln-Summary'!$A20,'Live Collections'!$B:$B,"&gt;="&amp;'Colln-Summary'!$G$1,'Live Collections'!$B:$B,"&lt;="&amp;'Colln-Summary'!$G$2)</f>
        <v>0</v>
      </c>
      <c r="D20" s="353">
        <f>SUMIFS('Live Collections'!$K:$K,'Live Collections'!$D:$D,'Colln-Summary'!$A20,'Live Collections'!$B:$B,"&gt;="&amp;'Colln-Summary'!$G$1,'Live Collections'!$B:$B,"&lt;="&amp;'Colln-Summary'!$G$2)</f>
        <v>0</v>
      </c>
      <c r="E20" s="353">
        <f>SUMIFS(Disbursements!$F:$F,Disbursements!$B:$B,'Colln-Summary'!$A20,Disbursements!$A:$A,"&gt;="&amp;'Colln-Summary'!$G$1,Disbursements!$A:$A,"&lt;="&amp;'Colln-Summary'!$G$2)</f>
        <v>0</v>
      </c>
      <c r="F20" s="353">
        <f>SUMIFS('Live Collections'!$L:$L,'Live Collections'!$D:$D,'Colln-Summary'!$A20,'Live Collections'!$B:$B,"&gt;="&amp;'Colln-Summary'!$G$1,'Live Collections'!$B:$B,"&lt;="&amp;'Colln-Summary'!$G$2)</f>
        <v>0</v>
      </c>
      <c r="G20" s="353">
        <f>SUMIFS('Live Collections'!$M:$M,'Live Collections'!$D:$D,'Colln-Summary'!$A20,'Live Collections'!$B:$B,"&gt;="&amp;'Colln-Summary'!$G$1,'Live Collections'!$B:$B,"&lt;="&amp;'Colln-Summary'!$G$2)</f>
        <v>0</v>
      </c>
      <c r="H20" s="353">
        <f>SUMIFS('Live Collections'!$N:$N,'Live Collections'!$D:$D,'Colln-Summary'!$A20,'Live Collections'!$B:$B,"&gt;="&amp;'Colln-Summary'!$G$1,'Live Collections'!$B:$B,"&lt;="&amp;'Colln-Summary'!$G$2)</f>
        <v>0</v>
      </c>
      <c r="I20" s="353">
        <f>SUMIFS('Live Collections'!$P:$P,'Live Collections'!$D:$D,'Colln-Summary'!$A20,'Live Collections'!$B:$B,"&gt;="&amp;'Colln-Summary'!$G$1,'Live Collections'!$B:$B,"&lt;="&amp;'Colln-Summary'!$G$2)</f>
        <v>0</v>
      </c>
      <c r="J20" s="353">
        <f>SUMIFS('Live Collections'!$O:$O,'Live Collections'!$D:$D,'Colln-Summary'!$A20,'Live Collections'!$B:$B,"&gt;="&amp;'Colln-Summary'!$G$1,'Live Collections'!$B:$B,"&lt;="&amp;'Colln-Summary'!$G$2)</f>
        <v>0</v>
      </c>
      <c r="K20" s="360">
        <f>SUMIFS('Live Collections'!$S:$S,'Live Collections'!$D:$D,'Colln-Summary'!$A20,'Live Collections'!$B:$B,"&gt;="&amp;'Colln-Summary'!$G$1,'Live Collections'!$B:$B,"&lt;="&amp;'Colln-Summary'!$G$2)</f>
        <v>0</v>
      </c>
      <c r="L20" s="360">
        <f>SUMIFS('Live Collections'!$T:$T,'Live Collections'!$D:$D,'Colln-Summary'!$A20,'Live Collections'!$B:$B,"&gt;="&amp;'Colln-Summary'!$G$1,'Live Collections'!$B:$B,"&lt;="&amp;'Colln-Summary'!$G$2)</f>
        <v>0</v>
      </c>
      <c r="M20" s="258">
        <f t="shared" si="1"/>
        <v>0</v>
      </c>
    </row>
    <row r="21" spans="1:13" x14ac:dyDescent="0.2">
      <c r="A21" s="478">
        <v>17</v>
      </c>
      <c r="B21" s="352" t="str">
        <f>IFERROR(VLOOKUP($A21,'Clients-Live'!$A:$C,3,0),"")</f>
        <v>MAMBU BAYI</v>
      </c>
      <c r="C21" s="353">
        <f>SUMIFS('Live Collections'!$J:$J,'Live Collections'!$D:$D,'Colln-Summary'!$A21,'Live Collections'!$B:$B,"&gt;="&amp;'Colln-Summary'!$G$1,'Live Collections'!$B:$B,"&lt;="&amp;'Colln-Summary'!$G$2)</f>
        <v>0</v>
      </c>
      <c r="D21" s="353">
        <f>SUMIFS('Live Collections'!$K:$K,'Live Collections'!$D:$D,'Colln-Summary'!$A21,'Live Collections'!$B:$B,"&gt;="&amp;'Colln-Summary'!$G$1,'Live Collections'!$B:$B,"&lt;="&amp;'Colln-Summary'!$G$2)</f>
        <v>0</v>
      </c>
      <c r="E21" s="353">
        <f>SUMIFS(Disbursements!$F:$F,Disbursements!$B:$B,'Colln-Summary'!$A21,Disbursements!$A:$A,"&gt;="&amp;'Colln-Summary'!$G$1,Disbursements!$A:$A,"&lt;="&amp;'Colln-Summary'!$G$2)</f>
        <v>0</v>
      </c>
      <c r="F21" s="353">
        <f>SUMIFS('Live Collections'!$L:$L,'Live Collections'!$D:$D,'Colln-Summary'!$A21,'Live Collections'!$B:$B,"&gt;="&amp;'Colln-Summary'!$G$1,'Live Collections'!$B:$B,"&lt;="&amp;'Colln-Summary'!$G$2)</f>
        <v>0</v>
      </c>
      <c r="G21" s="353">
        <f>SUMIFS('Live Collections'!$M:$M,'Live Collections'!$D:$D,'Colln-Summary'!$A21,'Live Collections'!$B:$B,"&gt;="&amp;'Colln-Summary'!$G$1,'Live Collections'!$B:$B,"&lt;="&amp;'Colln-Summary'!$G$2)</f>
        <v>0</v>
      </c>
      <c r="H21" s="353">
        <f>SUMIFS('Live Collections'!$N:$N,'Live Collections'!$D:$D,'Colln-Summary'!$A21,'Live Collections'!$B:$B,"&gt;="&amp;'Colln-Summary'!$G$1,'Live Collections'!$B:$B,"&lt;="&amp;'Colln-Summary'!$G$2)</f>
        <v>17000</v>
      </c>
      <c r="I21" s="353">
        <f>SUMIFS('Live Collections'!$P:$P,'Live Collections'!$D:$D,'Colln-Summary'!$A21,'Live Collections'!$B:$B,"&gt;="&amp;'Colln-Summary'!$G$1,'Live Collections'!$B:$B,"&lt;="&amp;'Colln-Summary'!$G$2)</f>
        <v>-150000</v>
      </c>
      <c r="J21" s="353">
        <f>SUMIFS('Live Collections'!$O:$O,'Live Collections'!$D:$D,'Colln-Summary'!$A21,'Live Collections'!$B:$B,"&gt;="&amp;'Colln-Summary'!$G$1,'Live Collections'!$B:$B,"&lt;="&amp;'Colln-Summary'!$G$2)</f>
        <v>775000</v>
      </c>
      <c r="K21" s="360">
        <f>SUMIFS('Live Collections'!$S:$S,'Live Collections'!$D:$D,'Colln-Summary'!$A21,'Live Collections'!$B:$B,"&gt;="&amp;'Colln-Summary'!$G$1,'Live Collections'!$B:$B,"&lt;="&amp;'Colln-Summary'!$G$2)</f>
        <v>198666.66666666663</v>
      </c>
      <c r="L21" s="360">
        <f>SUMIFS('Live Collections'!$T:$T,'Live Collections'!$D:$D,'Colln-Summary'!$A21,'Live Collections'!$B:$B,"&gt;="&amp;'Colln-Summary'!$G$1,'Live Collections'!$B:$B,"&lt;="&amp;'Colln-Summary'!$G$2)</f>
        <v>576333.33333333337</v>
      </c>
      <c r="M21" s="258">
        <f t="shared" si="1"/>
        <v>642000</v>
      </c>
    </row>
    <row r="22" spans="1:13" x14ac:dyDescent="0.2">
      <c r="A22" s="478">
        <v>18</v>
      </c>
      <c r="B22" s="352" t="str">
        <f>IFERROR(VLOOKUP($A22,'Clients-Live'!$A:$C,3,0),"")</f>
        <v>ARIYE PEACE</v>
      </c>
      <c r="C22" s="353">
        <f>SUMIFS('Live Collections'!$J:$J,'Live Collections'!$D:$D,'Colln-Summary'!$A22,'Live Collections'!$B:$B,"&gt;="&amp;'Colln-Summary'!$G$1,'Live Collections'!$B:$B,"&lt;="&amp;'Colln-Summary'!$G$2)</f>
        <v>0</v>
      </c>
      <c r="D22" s="353">
        <f>SUMIFS('Live Collections'!$K:$K,'Live Collections'!$D:$D,'Colln-Summary'!$A22,'Live Collections'!$B:$B,"&gt;="&amp;'Colln-Summary'!$G$1,'Live Collections'!$B:$B,"&lt;="&amp;'Colln-Summary'!$G$2)</f>
        <v>0</v>
      </c>
      <c r="E22" s="353">
        <f>SUMIFS(Disbursements!$F:$F,Disbursements!$B:$B,'Colln-Summary'!$A22,Disbursements!$A:$A,"&gt;="&amp;'Colln-Summary'!$G$1,Disbursements!$A:$A,"&lt;="&amp;'Colln-Summary'!$G$2)</f>
        <v>0</v>
      </c>
      <c r="F22" s="353">
        <f>SUMIFS('Live Collections'!$L:$L,'Live Collections'!$D:$D,'Colln-Summary'!$A22,'Live Collections'!$B:$B,"&gt;="&amp;'Colln-Summary'!$G$1,'Live Collections'!$B:$B,"&lt;="&amp;'Colln-Summary'!$G$2)</f>
        <v>0</v>
      </c>
      <c r="G22" s="353">
        <f>SUMIFS('Live Collections'!$M:$M,'Live Collections'!$D:$D,'Colln-Summary'!$A22,'Live Collections'!$B:$B,"&gt;="&amp;'Colln-Summary'!$G$1,'Live Collections'!$B:$B,"&lt;="&amp;'Colln-Summary'!$G$2)</f>
        <v>0</v>
      </c>
      <c r="H22" s="353">
        <f>SUMIFS('Live Collections'!$N:$N,'Live Collections'!$D:$D,'Colln-Summary'!$A22,'Live Collections'!$B:$B,"&gt;="&amp;'Colln-Summary'!$G$1,'Live Collections'!$B:$B,"&lt;="&amp;'Colln-Summary'!$G$2)</f>
        <v>0</v>
      </c>
      <c r="I22" s="353">
        <f>SUMIFS('Live Collections'!$P:$P,'Live Collections'!$D:$D,'Colln-Summary'!$A22,'Live Collections'!$B:$B,"&gt;="&amp;'Colln-Summary'!$G$1,'Live Collections'!$B:$B,"&lt;="&amp;'Colln-Summary'!$G$2)</f>
        <v>0</v>
      </c>
      <c r="J22" s="353">
        <f>SUMIFS('Live Collections'!$O:$O,'Live Collections'!$D:$D,'Colln-Summary'!$A22,'Live Collections'!$B:$B,"&gt;="&amp;'Colln-Summary'!$G$1,'Live Collections'!$B:$B,"&lt;="&amp;'Colln-Summary'!$G$2)</f>
        <v>752500</v>
      </c>
      <c r="K22" s="360">
        <f>SUMIFS('Live Collections'!$S:$S,'Live Collections'!$D:$D,'Colln-Summary'!$A22,'Live Collections'!$B:$B,"&gt;="&amp;'Colln-Summary'!$G$1,'Live Collections'!$B:$B,"&lt;="&amp;'Colln-Summary'!$G$2)</f>
        <v>193333.33333333334</v>
      </c>
      <c r="L22" s="360">
        <f>SUMIFS('Live Collections'!$T:$T,'Live Collections'!$D:$D,'Colln-Summary'!$A22,'Live Collections'!$B:$B,"&gt;="&amp;'Colln-Summary'!$G$1,'Live Collections'!$B:$B,"&lt;="&amp;'Colln-Summary'!$G$2)</f>
        <v>559166.66666666674</v>
      </c>
      <c r="M22" s="258">
        <f t="shared" si="1"/>
        <v>752500</v>
      </c>
    </row>
    <row r="23" spans="1:13" x14ac:dyDescent="0.2">
      <c r="A23" s="478">
        <v>19</v>
      </c>
      <c r="B23" s="352" t="str">
        <f>IFERROR(VLOOKUP($A23,'Clients-Live'!$A:$C,3,0),"")</f>
        <v>ANGUPARU MOLLY</v>
      </c>
      <c r="C23" s="353">
        <f>SUMIFS('Live Collections'!$J:$J,'Live Collections'!$D:$D,'Colln-Summary'!$A23,'Live Collections'!$B:$B,"&gt;="&amp;'Colln-Summary'!$G$1,'Live Collections'!$B:$B,"&lt;="&amp;'Colln-Summary'!$G$2)</f>
        <v>0</v>
      </c>
      <c r="D23" s="353">
        <f>SUMIFS('Live Collections'!$K:$K,'Live Collections'!$D:$D,'Colln-Summary'!$A23,'Live Collections'!$B:$B,"&gt;="&amp;'Colln-Summary'!$G$1,'Live Collections'!$B:$B,"&lt;="&amp;'Colln-Summary'!$G$2)</f>
        <v>0</v>
      </c>
      <c r="E23" s="353">
        <f>SUMIFS(Disbursements!$F:$F,Disbursements!$B:$B,'Colln-Summary'!$A23,Disbursements!$A:$A,"&gt;="&amp;'Colln-Summary'!$G$1,Disbursements!$A:$A,"&lt;="&amp;'Colln-Summary'!$G$2)</f>
        <v>0</v>
      </c>
      <c r="F23" s="353">
        <f>SUMIFS('Live Collections'!$L:$L,'Live Collections'!$D:$D,'Colln-Summary'!$A23,'Live Collections'!$B:$B,"&gt;="&amp;'Colln-Summary'!$G$1,'Live Collections'!$B:$B,"&lt;="&amp;'Colln-Summary'!$G$2)</f>
        <v>0</v>
      </c>
      <c r="G23" s="353">
        <f>SUMIFS('Live Collections'!$M:$M,'Live Collections'!$D:$D,'Colln-Summary'!$A23,'Live Collections'!$B:$B,"&gt;="&amp;'Colln-Summary'!$G$1,'Live Collections'!$B:$B,"&lt;="&amp;'Colln-Summary'!$G$2)</f>
        <v>0</v>
      </c>
      <c r="H23" s="353">
        <f>SUMIFS('Live Collections'!$N:$N,'Live Collections'!$D:$D,'Colln-Summary'!$A23,'Live Collections'!$B:$B,"&gt;="&amp;'Colln-Summary'!$G$1,'Live Collections'!$B:$B,"&lt;="&amp;'Colln-Summary'!$G$2)</f>
        <v>0</v>
      </c>
      <c r="I23" s="353">
        <f>SUMIFS('Live Collections'!$P:$P,'Live Collections'!$D:$D,'Colln-Summary'!$A23,'Live Collections'!$B:$B,"&gt;="&amp;'Colln-Summary'!$G$1,'Live Collections'!$B:$B,"&lt;="&amp;'Colln-Summary'!$G$2)</f>
        <v>0</v>
      </c>
      <c r="J23" s="353">
        <f>SUMIFS('Live Collections'!$O:$O,'Live Collections'!$D:$D,'Colln-Summary'!$A23,'Live Collections'!$B:$B,"&gt;="&amp;'Colln-Summary'!$G$1,'Live Collections'!$B:$B,"&lt;="&amp;'Colln-Summary'!$G$2)</f>
        <v>100000</v>
      </c>
      <c r="K23" s="360">
        <f>SUMIFS('Live Collections'!$S:$S,'Live Collections'!$D:$D,'Colln-Summary'!$A23,'Live Collections'!$B:$B,"&gt;="&amp;'Colln-Summary'!$G$1,'Live Collections'!$B:$B,"&lt;="&amp;'Colln-Summary'!$G$2)</f>
        <v>0</v>
      </c>
      <c r="L23" s="360">
        <f>SUMIFS('Live Collections'!$T:$T,'Live Collections'!$D:$D,'Colln-Summary'!$A23,'Live Collections'!$B:$B,"&gt;="&amp;'Colln-Summary'!$G$1,'Live Collections'!$B:$B,"&lt;="&amp;'Colln-Summary'!$G$2)</f>
        <v>100000</v>
      </c>
      <c r="M23" s="258">
        <f t="shared" si="1"/>
        <v>100000</v>
      </c>
    </row>
    <row r="24" spans="1:13" x14ac:dyDescent="0.2">
      <c r="A24" s="478">
        <v>20</v>
      </c>
      <c r="B24" s="352" t="str">
        <f>IFERROR(VLOOKUP($A24,'Clients-Live'!$A:$C,3,0),"")</f>
        <v>ANDEZO KEVIN</v>
      </c>
      <c r="C24" s="353">
        <f>SUMIFS('Live Collections'!$J:$J,'Live Collections'!$D:$D,'Colln-Summary'!$A24,'Live Collections'!$B:$B,"&gt;="&amp;'Colln-Summary'!$G$1,'Live Collections'!$B:$B,"&lt;="&amp;'Colln-Summary'!$G$2)</f>
        <v>0</v>
      </c>
      <c r="D24" s="353">
        <f>SUMIFS('Live Collections'!$K:$K,'Live Collections'!$D:$D,'Colln-Summary'!$A24,'Live Collections'!$B:$B,"&gt;="&amp;'Colln-Summary'!$G$1,'Live Collections'!$B:$B,"&lt;="&amp;'Colln-Summary'!$G$2)</f>
        <v>0</v>
      </c>
      <c r="E24" s="353">
        <f>SUMIFS(Disbursements!$F:$F,Disbursements!$B:$B,'Colln-Summary'!$A24,Disbursements!$A:$A,"&gt;="&amp;'Colln-Summary'!$G$1,Disbursements!$A:$A,"&lt;="&amp;'Colln-Summary'!$G$2)</f>
        <v>0</v>
      </c>
      <c r="F24" s="353">
        <f>SUMIFS('Live Collections'!$L:$L,'Live Collections'!$D:$D,'Colln-Summary'!$A24,'Live Collections'!$B:$B,"&gt;="&amp;'Colln-Summary'!$G$1,'Live Collections'!$B:$B,"&lt;="&amp;'Colln-Summary'!$G$2)</f>
        <v>25000</v>
      </c>
      <c r="G24" s="353">
        <f>SUMIFS('Live Collections'!$M:$M,'Live Collections'!$D:$D,'Colln-Summary'!$A24,'Live Collections'!$B:$B,"&gt;="&amp;'Colln-Summary'!$G$1,'Live Collections'!$B:$B,"&lt;="&amp;'Colln-Summary'!$G$2)</f>
        <v>5000</v>
      </c>
      <c r="H24" s="353">
        <f>SUMIFS('Live Collections'!$N:$N,'Live Collections'!$D:$D,'Colln-Summary'!$A24,'Live Collections'!$B:$B,"&gt;="&amp;'Colln-Summary'!$G$1,'Live Collections'!$B:$B,"&lt;="&amp;'Colln-Summary'!$G$2)</f>
        <v>0</v>
      </c>
      <c r="I24" s="353">
        <f>SUMIFS('Live Collections'!$P:$P,'Live Collections'!$D:$D,'Colln-Summary'!$A24,'Live Collections'!$B:$B,"&gt;="&amp;'Colln-Summary'!$G$1,'Live Collections'!$B:$B,"&lt;="&amp;'Colln-Summary'!$G$2)</f>
        <v>-80000</v>
      </c>
      <c r="J24" s="353">
        <f>SUMIFS('Live Collections'!$O:$O,'Live Collections'!$D:$D,'Colln-Summary'!$A24,'Live Collections'!$B:$B,"&gt;="&amp;'Colln-Summary'!$G$1,'Live Collections'!$B:$B,"&lt;="&amp;'Colln-Summary'!$G$2)</f>
        <v>400000</v>
      </c>
      <c r="K24" s="360">
        <f>SUMIFS('Live Collections'!$S:$S,'Live Collections'!$D:$D,'Colln-Summary'!$A24,'Live Collections'!$B:$B,"&gt;="&amp;'Colln-Summary'!$G$1,'Live Collections'!$B:$B,"&lt;="&amp;'Colln-Summary'!$G$2)</f>
        <v>-135666.66666666669</v>
      </c>
      <c r="L24" s="360">
        <f>SUMIFS('Live Collections'!$T:$T,'Live Collections'!$D:$D,'Colln-Summary'!$A24,'Live Collections'!$B:$B,"&gt;="&amp;'Colln-Summary'!$G$1,'Live Collections'!$B:$B,"&lt;="&amp;'Colln-Summary'!$G$2)</f>
        <v>535666.66666666674</v>
      </c>
      <c r="M24" s="258">
        <f t="shared" si="1"/>
        <v>350000</v>
      </c>
    </row>
    <row r="25" spans="1:13" x14ac:dyDescent="0.2">
      <c r="A25" s="478">
        <v>21</v>
      </c>
      <c r="B25" s="352" t="str">
        <f>IFERROR(VLOOKUP($A25,'Clients-Live'!$A:$C,3,0),"")</f>
        <v>ESABORU EUNICE</v>
      </c>
      <c r="C25" s="353">
        <f>SUMIFS('Live Collections'!$J:$J,'Live Collections'!$D:$D,'Colln-Summary'!$A25,'Live Collections'!$B:$B,"&gt;="&amp;'Colln-Summary'!$G$1,'Live Collections'!$B:$B,"&lt;="&amp;'Colln-Summary'!$G$2)</f>
        <v>0</v>
      </c>
      <c r="D25" s="353">
        <f>SUMIFS('Live Collections'!$K:$K,'Live Collections'!$D:$D,'Colln-Summary'!$A25,'Live Collections'!$B:$B,"&gt;="&amp;'Colln-Summary'!$G$1,'Live Collections'!$B:$B,"&lt;="&amp;'Colln-Summary'!$G$2)</f>
        <v>0</v>
      </c>
      <c r="E25" s="353">
        <f>SUMIFS(Disbursements!$F:$F,Disbursements!$B:$B,'Colln-Summary'!$A25,Disbursements!$A:$A,"&gt;="&amp;'Colln-Summary'!$G$1,Disbursements!$A:$A,"&lt;="&amp;'Colln-Summary'!$G$2)</f>
        <v>0</v>
      </c>
      <c r="F25" s="353">
        <f>SUMIFS('Live Collections'!$L:$L,'Live Collections'!$D:$D,'Colln-Summary'!$A25,'Live Collections'!$B:$B,"&gt;="&amp;'Colln-Summary'!$G$1,'Live Collections'!$B:$B,"&lt;="&amp;'Colln-Summary'!$G$2)</f>
        <v>0</v>
      </c>
      <c r="G25" s="353">
        <f>SUMIFS('Live Collections'!$M:$M,'Live Collections'!$D:$D,'Colln-Summary'!$A25,'Live Collections'!$B:$B,"&gt;="&amp;'Colln-Summary'!$G$1,'Live Collections'!$B:$B,"&lt;="&amp;'Colln-Summary'!$G$2)</f>
        <v>0</v>
      </c>
      <c r="H25" s="353">
        <f>SUMIFS('Live Collections'!$N:$N,'Live Collections'!$D:$D,'Colln-Summary'!$A25,'Live Collections'!$B:$B,"&gt;="&amp;'Colln-Summary'!$G$1,'Live Collections'!$B:$B,"&lt;="&amp;'Colln-Summary'!$G$2)</f>
        <v>0</v>
      </c>
      <c r="I25" s="353">
        <f>SUMIFS('Live Collections'!$P:$P,'Live Collections'!$D:$D,'Colln-Summary'!$A25,'Live Collections'!$B:$B,"&gt;="&amp;'Colln-Summary'!$G$1,'Live Collections'!$B:$B,"&lt;="&amp;'Colln-Summary'!$G$2)</f>
        <v>0</v>
      </c>
      <c r="J25" s="353">
        <f>SUMIFS('Live Collections'!$O:$O,'Live Collections'!$D:$D,'Colln-Summary'!$A25,'Live Collections'!$B:$B,"&gt;="&amp;'Colln-Summary'!$G$1,'Live Collections'!$B:$B,"&lt;="&amp;'Colln-Summary'!$G$2)</f>
        <v>0</v>
      </c>
      <c r="K25" s="360">
        <f>SUMIFS('Live Collections'!$S:$S,'Live Collections'!$D:$D,'Colln-Summary'!$A25,'Live Collections'!$B:$B,"&gt;="&amp;'Colln-Summary'!$G$1,'Live Collections'!$B:$B,"&lt;="&amp;'Colln-Summary'!$G$2)</f>
        <v>0</v>
      </c>
      <c r="L25" s="360">
        <f>SUMIFS('Live Collections'!$T:$T,'Live Collections'!$D:$D,'Colln-Summary'!$A25,'Live Collections'!$B:$B,"&gt;="&amp;'Colln-Summary'!$G$1,'Live Collections'!$B:$B,"&lt;="&amp;'Colln-Summary'!$G$2)</f>
        <v>0</v>
      </c>
      <c r="M25" s="258">
        <f t="shared" si="1"/>
        <v>0</v>
      </c>
    </row>
    <row r="26" spans="1:13" x14ac:dyDescent="0.2">
      <c r="A26" s="478">
        <v>22</v>
      </c>
      <c r="B26" s="352" t="str">
        <f>IFERROR(VLOOKUP($A26,'Clients-Live'!$A:$C,3,0),"")</f>
        <v>DATA ISMAIL FATARI</v>
      </c>
      <c r="C26" s="353">
        <f>SUMIFS('Live Collections'!$J:$J,'Live Collections'!$D:$D,'Colln-Summary'!$A26,'Live Collections'!$B:$B,"&gt;="&amp;'Colln-Summary'!$G$1,'Live Collections'!$B:$B,"&lt;="&amp;'Colln-Summary'!$G$2)</f>
        <v>0</v>
      </c>
      <c r="D26" s="353">
        <f>SUMIFS('Live Collections'!$K:$K,'Live Collections'!$D:$D,'Colln-Summary'!$A26,'Live Collections'!$B:$B,"&gt;="&amp;'Colln-Summary'!$G$1,'Live Collections'!$B:$B,"&lt;="&amp;'Colln-Summary'!$G$2)</f>
        <v>0</v>
      </c>
      <c r="E26" s="353">
        <f>SUMIFS(Disbursements!$F:$F,Disbursements!$B:$B,'Colln-Summary'!$A26,Disbursements!$A:$A,"&gt;="&amp;'Colln-Summary'!$G$1,Disbursements!$A:$A,"&lt;="&amp;'Colln-Summary'!$G$2)</f>
        <v>0</v>
      </c>
      <c r="F26" s="353">
        <f>SUMIFS('Live Collections'!$L:$L,'Live Collections'!$D:$D,'Colln-Summary'!$A26,'Live Collections'!$B:$B,"&gt;="&amp;'Colln-Summary'!$G$1,'Live Collections'!$B:$B,"&lt;="&amp;'Colln-Summary'!$G$2)</f>
        <v>0</v>
      </c>
      <c r="G26" s="353">
        <f>SUMIFS('Live Collections'!$M:$M,'Live Collections'!$D:$D,'Colln-Summary'!$A26,'Live Collections'!$B:$B,"&gt;="&amp;'Colln-Summary'!$G$1,'Live Collections'!$B:$B,"&lt;="&amp;'Colln-Summary'!$G$2)</f>
        <v>0</v>
      </c>
      <c r="H26" s="353">
        <f>SUMIFS('Live Collections'!$N:$N,'Live Collections'!$D:$D,'Colln-Summary'!$A26,'Live Collections'!$B:$B,"&gt;="&amp;'Colln-Summary'!$G$1,'Live Collections'!$B:$B,"&lt;="&amp;'Colln-Summary'!$G$2)</f>
        <v>0</v>
      </c>
      <c r="I26" s="353">
        <f>SUMIFS('Live Collections'!$P:$P,'Live Collections'!$D:$D,'Colln-Summary'!$A26,'Live Collections'!$B:$B,"&gt;="&amp;'Colln-Summary'!$G$1,'Live Collections'!$B:$B,"&lt;="&amp;'Colln-Summary'!$G$2)</f>
        <v>0</v>
      </c>
      <c r="J26" s="353">
        <f>SUMIFS('Live Collections'!$O:$O,'Live Collections'!$D:$D,'Colln-Summary'!$A26,'Live Collections'!$B:$B,"&gt;="&amp;'Colln-Summary'!$G$1,'Live Collections'!$B:$B,"&lt;="&amp;'Colln-Summary'!$G$2)</f>
        <v>75000</v>
      </c>
      <c r="K26" s="360">
        <f>SUMIFS('Live Collections'!$S:$S,'Live Collections'!$D:$D,'Colln-Summary'!$A26,'Live Collections'!$B:$B,"&gt;="&amp;'Colln-Summary'!$G$1,'Live Collections'!$B:$B,"&lt;="&amp;'Colln-Summary'!$G$2)</f>
        <v>75000</v>
      </c>
      <c r="L26" s="360">
        <f>SUMIFS('Live Collections'!$T:$T,'Live Collections'!$D:$D,'Colln-Summary'!$A26,'Live Collections'!$B:$B,"&gt;="&amp;'Colln-Summary'!$G$1,'Live Collections'!$B:$B,"&lt;="&amp;'Colln-Summary'!$G$2)</f>
        <v>0</v>
      </c>
      <c r="M26" s="258">
        <f t="shared" si="1"/>
        <v>75000</v>
      </c>
    </row>
    <row r="27" spans="1:13" x14ac:dyDescent="0.2">
      <c r="A27" s="478">
        <v>23</v>
      </c>
      <c r="B27" s="352" t="str">
        <f>IFERROR(VLOOKUP($A27,'Clients-Live'!$A:$C,3,0),"")</f>
        <v>BADARU KEVIN ATELIONGA</v>
      </c>
      <c r="C27" s="353">
        <f>SUMIFS('Live Collections'!$J:$J,'Live Collections'!$D:$D,'Colln-Summary'!$A27,'Live Collections'!$B:$B,"&gt;="&amp;'Colln-Summary'!$G$1,'Live Collections'!$B:$B,"&lt;="&amp;'Colln-Summary'!$G$2)</f>
        <v>0</v>
      </c>
      <c r="D27" s="353">
        <f>SUMIFS('Live Collections'!$K:$K,'Live Collections'!$D:$D,'Colln-Summary'!$A27,'Live Collections'!$B:$B,"&gt;="&amp;'Colln-Summary'!$G$1,'Live Collections'!$B:$B,"&lt;="&amp;'Colln-Summary'!$G$2)</f>
        <v>0</v>
      </c>
      <c r="E27" s="353">
        <f>SUMIFS(Disbursements!$F:$F,Disbursements!$B:$B,'Colln-Summary'!$A27,Disbursements!$A:$A,"&gt;="&amp;'Colln-Summary'!$G$1,Disbursements!$A:$A,"&lt;="&amp;'Colln-Summary'!$G$2)</f>
        <v>500000</v>
      </c>
      <c r="F27" s="353">
        <f>SUMIFS('Live Collections'!$L:$L,'Live Collections'!$D:$D,'Colln-Summary'!$A27,'Live Collections'!$B:$B,"&gt;="&amp;'Colln-Summary'!$G$1,'Live Collections'!$B:$B,"&lt;="&amp;'Colln-Summary'!$G$2)</f>
        <v>15000</v>
      </c>
      <c r="G27" s="353">
        <f>SUMIFS('Live Collections'!$M:$M,'Live Collections'!$D:$D,'Colln-Summary'!$A27,'Live Collections'!$B:$B,"&gt;="&amp;'Colln-Summary'!$G$1,'Live Collections'!$B:$B,"&lt;="&amp;'Colln-Summary'!$G$2)</f>
        <v>5000</v>
      </c>
      <c r="H27" s="353">
        <f>SUMIFS('Live Collections'!$N:$N,'Live Collections'!$D:$D,'Colln-Summary'!$A27,'Live Collections'!$B:$B,"&gt;="&amp;'Colln-Summary'!$G$1,'Live Collections'!$B:$B,"&lt;="&amp;'Colln-Summary'!$G$2)</f>
        <v>0</v>
      </c>
      <c r="I27" s="353">
        <f>SUMIFS('Live Collections'!$P:$P,'Live Collections'!$D:$D,'Colln-Summary'!$A27,'Live Collections'!$B:$B,"&gt;="&amp;'Colln-Summary'!$G$1,'Live Collections'!$B:$B,"&lt;="&amp;'Colln-Summary'!$G$2)</f>
        <v>-20000</v>
      </c>
      <c r="J27" s="353">
        <f>SUMIFS('Live Collections'!$O:$O,'Live Collections'!$D:$D,'Colln-Summary'!$A27,'Live Collections'!$B:$B,"&gt;="&amp;'Colln-Summary'!$G$1,'Live Collections'!$B:$B,"&lt;="&amp;'Colln-Summary'!$G$2)</f>
        <v>175000</v>
      </c>
      <c r="K27" s="360">
        <f>SUMIFS('Live Collections'!$S:$S,'Live Collections'!$D:$D,'Colln-Summary'!$A27,'Live Collections'!$B:$B,"&gt;="&amp;'Colln-Summary'!$G$1,'Live Collections'!$B:$B,"&lt;="&amp;'Colln-Summary'!$G$2)</f>
        <v>95000</v>
      </c>
      <c r="L27" s="360">
        <f>SUMIFS('Live Collections'!$T:$T,'Live Collections'!$D:$D,'Colln-Summary'!$A27,'Live Collections'!$B:$B,"&gt;="&amp;'Colln-Summary'!$G$1,'Live Collections'!$B:$B,"&lt;="&amp;'Colln-Summary'!$G$2)</f>
        <v>80000</v>
      </c>
      <c r="M27" s="258">
        <f t="shared" si="1"/>
        <v>675000</v>
      </c>
    </row>
    <row r="28" spans="1:13" x14ac:dyDescent="0.2">
      <c r="A28" s="478">
        <v>24</v>
      </c>
      <c r="B28" s="352" t="str">
        <f>IFERROR(VLOOKUP($A28,'Clients-Live'!$A:$C,3,0),"")</f>
        <v>VITA JEROME</v>
      </c>
      <c r="C28" s="353">
        <f>SUMIFS('Live Collections'!$J:$J,'Live Collections'!$D:$D,'Colln-Summary'!$A28,'Live Collections'!$B:$B,"&gt;="&amp;'Colln-Summary'!$G$1,'Live Collections'!$B:$B,"&lt;="&amp;'Colln-Summary'!$G$2)</f>
        <v>0</v>
      </c>
      <c r="D28" s="353">
        <f>SUMIFS('Live Collections'!$K:$K,'Live Collections'!$D:$D,'Colln-Summary'!$A28,'Live Collections'!$B:$B,"&gt;="&amp;'Colln-Summary'!$G$1,'Live Collections'!$B:$B,"&lt;="&amp;'Colln-Summary'!$G$2)</f>
        <v>0</v>
      </c>
      <c r="E28" s="353">
        <f>SUMIFS(Disbursements!$F:$F,Disbursements!$B:$B,'Colln-Summary'!$A28,Disbursements!$A:$A,"&gt;="&amp;'Colln-Summary'!$G$1,Disbursements!$A:$A,"&lt;="&amp;'Colln-Summary'!$G$2)</f>
        <v>1200000</v>
      </c>
      <c r="F28" s="353">
        <f>SUMIFS('Live Collections'!$L:$L,'Live Collections'!$D:$D,'Colln-Summary'!$A28,'Live Collections'!$B:$B,"&gt;="&amp;'Colln-Summary'!$G$1,'Live Collections'!$B:$B,"&lt;="&amp;'Colln-Summary'!$G$2)</f>
        <v>20000</v>
      </c>
      <c r="G28" s="353">
        <f>SUMIFS('Live Collections'!$M:$M,'Live Collections'!$D:$D,'Colln-Summary'!$A28,'Live Collections'!$B:$B,"&gt;="&amp;'Colln-Summary'!$G$1,'Live Collections'!$B:$B,"&lt;="&amp;'Colln-Summary'!$G$2)</f>
        <v>0</v>
      </c>
      <c r="H28" s="353">
        <f>SUMIFS('Live Collections'!$N:$N,'Live Collections'!$D:$D,'Colln-Summary'!$A28,'Live Collections'!$B:$B,"&gt;="&amp;'Colln-Summary'!$G$1,'Live Collections'!$B:$B,"&lt;="&amp;'Colln-Summary'!$G$2)</f>
        <v>0</v>
      </c>
      <c r="I28" s="353">
        <f>SUMIFS('Live Collections'!$P:$P,'Live Collections'!$D:$D,'Colln-Summary'!$A28,'Live Collections'!$B:$B,"&gt;="&amp;'Colln-Summary'!$G$1,'Live Collections'!$B:$B,"&lt;="&amp;'Colln-Summary'!$G$2)</f>
        <v>0</v>
      </c>
      <c r="J28" s="353">
        <f>SUMIFS('Live Collections'!$O:$O,'Live Collections'!$D:$D,'Colln-Summary'!$A28,'Live Collections'!$B:$B,"&gt;="&amp;'Colln-Summary'!$G$1,'Live Collections'!$B:$B,"&lt;="&amp;'Colln-Summary'!$G$2)</f>
        <v>430000</v>
      </c>
      <c r="K28" s="360">
        <f>SUMIFS('Live Collections'!$S:$S,'Live Collections'!$D:$D,'Colln-Summary'!$A28,'Live Collections'!$B:$B,"&gt;="&amp;'Colln-Summary'!$G$1,'Live Collections'!$B:$B,"&lt;="&amp;'Colln-Summary'!$G$2)</f>
        <v>31999.999999999971</v>
      </c>
      <c r="L28" s="360">
        <f>SUMIFS('Live Collections'!$T:$T,'Live Collections'!$D:$D,'Colln-Summary'!$A28,'Live Collections'!$B:$B,"&gt;="&amp;'Colln-Summary'!$G$1,'Live Collections'!$B:$B,"&lt;="&amp;'Colln-Summary'!$G$2)</f>
        <v>400000</v>
      </c>
      <c r="M28" s="258">
        <f t="shared" si="1"/>
        <v>1650000</v>
      </c>
    </row>
    <row r="29" spans="1:13" x14ac:dyDescent="0.2">
      <c r="A29" s="478">
        <v>25</v>
      </c>
      <c r="B29" s="352" t="str">
        <f>IFERROR(VLOOKUP($A29,'Clients-Live'!$A:$C,3,0),"")</f>
        <v>AROMA BOSCO</v>
      </c>
      <c r="C29" s="353">
        <f>SUMIFS('Live Collections'!$J:$J,'Live Collections'!$D:$D,'Colln-Summary'!$A29,'Live Collections'!$B:$B,"&gt;="&amp;'Colln-Summary'!$G$1,'Live Collections'!$B:$B,"&lt;="&amp;'Colln-Summary'!$G$2)</f>
        <v>0</v>
      </c>
      <c r="D29" s="353">
        <f>SUMIFS('Live Collections'!$K:$K,'Live Collections'!$D:$D,'Colln-Summary'!$A29,'Live Collections'!$B:$B,"&gt;="&amp;'Colln-Summary'!$G$1,'Live Collections'!$B:$B,"&lt;="&amp;'Colln-Summary'!$G$2)</f>
        <v>0</v>
      </c>
      <c r="E29" s="353">
        <f>SUMIFS(Disbursements!$F:$F,Disbursements!$B:$B,'Colln-Summary'!$A29,Disbursements!$A:$A,"&gt;="&amp;'Colln-Summary'!$G$1,Disbursements!$A:$A,"&lt;="&amp;'Colln-Summary'!$G$2)</f>
        <v>1200000</v>
      </c>
      <c r="F29" s="353">
        <f>SUMIFS('Live Collections'!$L:$L,'Live Collections'!$D:$D,'Colln-Summary'!$A29,'Live Collections'!$B:$B,"&gt;="&amp;'Colln-Summary'!$G$1,'Live Collections'!$B:$B,"&lt;="&amp;'Colln-Summary'!$G$2)</f>
        <v>0</v>
      </c>
      <c r="G29" s="353">
        <f>SUMIFS('Live Collections'!$M:$M,'Live Collections'!$D:$D,'Colln-Summary'!$A29,'Live Collections'!$B:$B,"&gt;="&amp;'Colln-Summary'!$G$1,'Live Collections'!$B:$B,"&lt;="&amp;'Colln-Summary'!$G$2)</f>
        <v>0</v>
      </c>
      <c r="H29" s="353">
        <f>SUMIFS('Live Collections'!$N:$N,'Live Collections'!$D:$D,'Colln-Summary'!$A29,'Live Collections'!$B:$B,"&gt;="&amp;'Colln-Summary'!$G$1,'Live Collections'!$B:$B,"&lt;="&amp;'Colln-Summary'!$G$2)</f>
        <v>0</v>
      </c>
      <c r="I29" s="353">
        <f>SUMIFS('Live Collections'!$P:$P,'Live Collections'!$D:$D,'Colln-Summary'!$A29,'Live Collections'!$B:$B,"&gt;="&amp;'Colln-Summary'!$G$1,'Live Collections'!$B:$B,"&lt;="&amp;'Colln-Summary'!$G$2)</f>
        <v>0</v>
      </c>
      <c r="J29" s="353">
        <f>SUMIFS('Live Collections'!$O:$O,'Live Collections'!$D:$D,'Colln-Summary'!$A29,'Live Collections'!$B:$B,"&gt;="&amp;'Colln-Summary'!$G$1,'Live Collections'!$B:$B,"&lt;="&amp;'Colln-Summary'!$G$2)</f>
        <v>130000</v>
      </c>
      <c r="K29" s="360">
        <f>SUMIFS('Live Collections'!$S:$S,'Live Collections'!$D:$D,'Colln-Summary'!$A29,'Live Collections'!$B:$B,"&gt;="&amp;'Colln-Summary'!$G$1,'Live Collections'!$B:$B,"&lt;="&amp;'Colln-Summary'!$G$2)</f>
        <v>40666.666666666657</v>
      </c>
      <c r="L29" s="360">
        <f>SUMIFS('Live Collections'!$T:$T,'Live Collections'!$D:$D,'Colln-Summary'!$A29,'Live Collections'!$B:$B,"&gt;="&amp;'Colln-Summary'!$G$1,'Live Collections'!$B:$B,"&lt;="&amp;'Colln-Summary'!$G$2)</f>
        <v>89333.333333333343</v>
      </c>
      <c r="M29" s="258">
        <f t="shared" si="1"/>
        <v>1330000</v>
      </c>
    </row>
    <row r="30" spans="1:13" x14ac:dyDescent="0.2">
      <c r="A30" s="478">
        <v>26</v>
      </c>
      <c r="B30" s="352" t="str">
        <f>IFERROR(VLOOKUP($A30,'Clients-Live'!$A:$C,3,0),"")</f>
        <v>AMIJI HARRIET</v>
      </c>
      <c r="C30" s="353">
        <f>SUMIFS('Live Collections'!$J:$J,'Live Collections'!$D:$D,'Colln-Summary'!$A30,'Live Collections'!$B:$B,"&gt;="&amp;'Colln-Summary'!$G$1,'Live Collections'!$B:$B,"&lt;="&amp;'Colln-Summary'!$G$2)</f>
        <v>0</v>
      </c>
      <c r="D30" s="353">
        <f>SUMIFS('Live Collections'!$K:$K,'Live Collections'!$D:$D,'Colln-Summary'!$A30,'Live Collections'!$B:$B,"&gt;="&amp;'Colln-Summary'!$G$1,'Live Collections'!$B:$B,"&lt;="&amp;'Colln-Summary'!$G$2)</f>
        <v>0</v>
      </c>
      <c r="E30" s="353">
        <f>SUMIFS(Disbursements!$F:$F,Disbursements!$B:$B,'Colln-Summary'!$A30,Disbursements!$A:$A,"&gt;="&amp;'Colln-Summary'!$G$1,Disbursements!$A:$A,"&lt;="&amp;'Colln-Summary'!$G$2)</f>
        <v>0</v>
      </c>
      <c r="F30" s="353">
        <f>SUMIFS('Live Collections'!$L:$L,'Live Collections'!$D:$D,'Colln-Summary'!$A30,'Live Collections'!$B:$B,"&gt;="&amp;'Colln-Summary'!$G$1,'Live Collections'!$B:$B,"&lt;="&amp;'Colln-Summary'!$G$2)</f>
        <v>0</v>
      </c>
      <c r="G30" s="353">
        <f>SUMIFS('Live Collections'!$M:$M,'Live Collections'!$D:$D,'Colln-Summary'!$A30,'Live Collections'!$B:$B,"&gt;="&amp;'Colln-Summary'!$G$1,'Live Collections'!$B:$B,"&lt;="&amp;'Colln-Summary'!$G$2)</f>
        <v>0</v>
      </c>
      <c r="H30" s="353">
        <f>SUMIFS('Live Collections'!$N:$N,'Live Collections'!$D:$D,'Colln-Summary'!$A30,'Live Collections'!$B:$B,"&gt;="&amp;'Colln-Summary'!$G$1,'Live Collections'!$B:$B,"&lt;="&amp;'Colln-Summary'!$G$2)</f>
        <v>0</v>
      </c>
      <c r="I30" s="353">
        <f>SUMIFS('Live Collections'!$P:$P,'Live Collections'!$D:$D,'Colln-Summary'!$A30,'Live Collections'!$B:$B,"&gt;="&amp;'Colln-Summary'!$G$1,'Live Collections'!$B:$B,"&lt;="&amp;'Colln-Summary'!$G$2)</f>
        <v>0</v>
      </c>
      <c r="J30" s="353">
        <f>SUMIFS('Live Collections'!$O:$O,'Live Collections'!$D:$D,'Colln-Summary'!$A30,'Live Collections'!$B:$B,"&gt;="&amp;'Colln-Summary'!$G$1,'Live Collections'!$B:$B,"&lt;="&amp;'Colln-Summary'!$G$2)</f>
        <v>0</v>
      </c>
      <c r="K30" s="360">
        <f>SUMIFS('Live Collections'!$S:$S,'Live Collections'!$D:$D,'Colln-Summary'!$A30,'Live Collections'!$B:$B,"&gt;="&amp;'Colln-Summary'!$G$1,'Live Collections'!$B:$B,"&lt;="&amp;'Colln-Summary'!$G$2)</f>
        <v>0</v>
      </c>
      <c r="L30" s="360">
        <f>SUMIFS('Live Collections'!$T:$T,'Live Collections'!$D:$D,'Colln-Summary'!$A30,'Live Collections'!$B:$B,"&gt;="&amp;'Colln-Summary'!$G$1,'Live Collections'!$B:$B,"&lt;="&amp;'Colln-Summary'!$G$2)</f>
        <v>0</v>
      </c>
      <c r="M30" s="258">
        <f t="shared" si="1"/>
        <v>0</v>
      </c>
    </row>
    <row r="31" spans="1:13" x14ac:dyDescent="0.2">
      <c r="A31" s="478">
        <v>27</v>
      </c>
      <c r="B31" s="352" t="str">
        <f>IFERROR(VLOOKUP($A31,'Clients-Live'!$A:$C,3,0),"")</f>
        <v>KANA GIFT</v>
      </c>
      <c r="C31" s="353">
        <f>SUMIFS('Live Collections'!$J:$J,'Live Collections'!$D:$D,'Colln-Summary'!$A31,'Live Collections'!$B:$B,"&gt;="&amp;'Colln-Summary'!$G$1,'Live Collections'!$B:$B,"&lt;="&amp;'Colln-Summary'!$G$2)</f>
        <v>0</v>
      </c>
      <c r="D31" s="353">
        <f>SUMIFS('Live Collections'!$K:$K,'Live Collections'!$D:$D,'Colln-Summary'!$A31,'Live Collections'!$B:$B,"&gt;="&amp;'Colln-Summary'!$G$1,'Live Collections'!$B:$B,"&lt;="&amp;'Colln-Summary'!$G$2)</f>
        <v>0</v>
      </c>
      <c r="E31" s="353">
        <f>SUMIFS(Disbursements!$F:$F,Disbursements!$B:$B,'Colln-Summary'!$A31,Disbursements!$A:$A,"&gt;="&amp;'Colln-Summary'!$G$1,Disbursements!$A:$A,"&lt;="&amp;'Colln-Summary'!$G$2)</f>
        <v>0</v>
      </c>
      <c r="F31" s="353">
        <f>SUMIFS('Live Collections'!$L:$L,'Live Collections'!$D:$D,'Colln-Summary'!$A31,'Live Collections'!$B:$B,"&gt;="&amp;'Colln-Summary'!$G$1,'Live Collections'!$B:$B,"&lt;="&amp;'Colln-Summary'!$G$2)</f>
        <v>0</v>
      </c>
      <c r="G31" s="353">
        <f>SUMIFS('Live Collections'!$M:$M,'Live Collections'!$D:$D,'Colln-Summary'!$A31,'Live Collections'!$B:$B,"&gt;="&amp;'Colln-Summary'!$G$1,'Live Collections'!$B:$B,"&lt;="&amp;'Colln-Summary'!$G$2)</f>
        <v>0</v>
      </c>
      <c r="H31" s="353">
        <f>SUMIFS('Live Collections'!$N:$N,'Live Collections'!$D:$D,'Colln-Summary'!$A31,'Live Collections'!$B:$B,"&gt;="&amp;'Colln-Summary'!$G$1,'Live Collections'!$B:$B,"&lt;="&amp;'Colln-Summary'!$G$2)</f>
        <v>0</v>
      </c>
      <c r="I31" s="353">
        <f>SUMIFS('Live Collections'!$P:$P,'Live Collections'!$D:$D,'Colln-Summary'!$A31,'Live Collections'!$B:$B,"&gt;="&amp;'Colln-Summary'!$G$1,'Live Collections'!$B:$B,"&lt;="&amp;'Colln-Summary'!$G$2)</f>
        <v>0</v>
      </c>
      <c r="J31" s="353">
        <f>SUMIFS('Live Collections'!$O:$O,'Live Collections'!$D:$D,'Colln-Summary'!$A31,'Live Collections'!$B:$B,"&gt;="&amp;'Colln-Summary'!$G$1,'Live Collections'!$B:$B,"&lt;="&amp;'Colln-Summary'!$G$2)</f>
        <v>0</v>
      </c>
      <c r="K31" s="360">
        <f>SUMIFS('Live Collections'!$S:$S,'Live Collections'!$D:$D,'Colln-Summary'!$A31,'Live Collections'!$B:$B,"&gt;="&amp;'Colln-Summary'!$G$1,'Live Collections'!$B:$B,"&lt;="&amp;'Colln-Summary'!$G$2)</f>
        <v>0</v>
      </c>
      <c r="L31" s="360">
        <f>SUMIFS('Live Collections'!$T:$T,'Live Collections'!$D:$D,'Colln-Summary'!$A31,'Live Collections'!$B:$B,"&gt;="&amp;'Colln-Summary'!$G$1,'Live Collections'!$B:$B,"&lt;="&amp;'Colln-Summary'!$G$2)</f>
        <v>0</v>
      </c>
      <c r="M31" s="258">
        <f t="shared" si="1"/>
        <v>0</v>
      </c>
    </row>
    <row r="32" spans="1:13" x14ac:dyDescent="0.2">
      <c r="A32" s="478">
        <v>28</v>
      </c>
      <c r="B32" s="352" t="str">
        <f>IFERROR(VLOOKUP($A32,'Clients-Live'!$A:$C,3,0),"")</f>
        <v>FAIDA GRACE</v>
      </c>
      <c r="C32" s="353">
        <f>SUMIFS('Live Collections'!$J:$J,'Live Collections'!$D:$D,'Colln-Summary'!$A32,'Live Collections'!$B:$B,"&gt;="&amp;'Colln-Summary'!$G$1,'Live Collections'!$B:$B,"&lt;="&amp;'Colln-Summary'!$G$2)</f>
        <v>0</v>
      </c>
      <c r="D32" s="353">
        <f>SUMIFS('Live Collections'!$K:$K,'Live Collections'!$D:$D,'Colln-Summary'!$A32,'Live Collections'!$B:$B,"&gt;="&amp;'Colln-Summary'!$G$1,'Live Collections'!$B:$B,"&lt;="&amp;'Colln-Summary'!$G$2)</f>
        <v>0</v>
      </c>
      <c r="E32" s="353">
        <f>SUMIFS(Disbursements!$F:$F,Disbursements!$B:$B,'Colln-Summary'!$A32,Disbursements!$A:$A,"&gt;="&amp;'Colln-Summary'!$G$1,Disbursements!$A:$A,"&lt;="&amp;'Colln-Summary'!$G$2)</f>
        <v>0</v>
      </c>
      <c r="F32" s="353">
        <f>SUMIFS('Live Collections'!$L:$L,'Live Collections'!$D:$D,'Colln-Summary'!$A32,'Live Collections'!$B:$B,"&gt;="&amp;'Colln-Summary'!$G$1,'Live Collections'!$B:$B,"&lt;="&amp;'Colln-Summary'!$G$2)</f>
        <v>0</v>
      </c>
      <c r="G32" s="353">
        <f>SUMIFS('Live Collections'!$M:$M,'Live Collections'!$D:$D,'Colln-Summary'!$A32,'Live Collections'!$B:$B,"&gt;="&amp;'Colln-Summary'!$G$1,'Live Collections'!$B:$B,"&lt;="&amp;'Colln-Summary'!$G$2)</f>
        <v>0</v>
      </c>
      <c r="H32" s="353">
        <f>SUMIFS('Live Collections'!$N:$N,'Live Collections'!$D:$D,'Colln-Summary'!$A32,'Live Collections'!$B:$B,"&gt;="&amp;'Colln-Summary'!$G$1,'Live Collections'!$B:$B,"&lt;="&amp;'Colln-Summary'!$G$2)</f>
        <v>0</v>
      </c>
      <c r="I32" s="353">
        <f>SUMIFS('Live Collections'!$P:$P,'Live Collections'!$D:$D,'Colln-Summary'!$A32,'Live Collections'!$B:$B,"&gt;="&amp;'Colln-Summary'!$G$1,'Live Collections'!$B:$B,"&lt;="&amp;'Colln-Summary'!$G$2)</f>
        <v>0</v>
      </c>
      <c r="J32" s="353">
        <f>SUMIFS('Live Collections'!$O:$O,'Live Collections'!$D:$D,'Colln-Summary'!$A32,'Live Collections'!$B:$B,"&gt;="&amp;'Colln-Summary'!$G$1,'Live Collections'!$B:$B,"&lt;="&amp;'Colln-Summary'!$G$2)</f>
        <v>0</v>
      </c>
      <c r="K32" s="360">
        <f>SUMIFS('Live Collections'!$S:$S,'Live Collections'!$D:$D,'Colln-Summary'!$A32,'Live Collections'!$B:$B,"&gt;="&amp;'Colln-Summary'!$G$1,'Live Collections'!$B:$B,"&lt;="&amp;'Colln-Summary'!$G$2)</f>
        <v>0</v>
      </c>
      <c r="L32" s="360">
        <f>SUMIFS('Live Collections'!$T:$T,'Live Collections'!$D:$D,'Colln-Summary'!$A32,'Live Collections'!$B:$B,"&gt;="&amp;'Colln-Summary'!$G$1,'Live Collections'!$B:$B,"&lt;="&amp;'Colln-Summary'!$G$2)</f>
        <v>0</v>
      </c>
      <c r="M32" s="258">
        <f t="shared" si="1"/>
        <v>0</v>
      </c>
    </row>
    <row r="33" spans="1:13" x14ac:dyDescent="0.2">
      <c r="A33" s="478">
        <v>29</v>
      </c>
      <c r="B33" s="352" t="str">
        <f>IFERROR(VLOOKUP($A33,'Clients-Live'!$A:$C,3,0),"")</f>
        <v>AJIBA ROSEMARY EMMANUEL</v>
      </c>
      <c r="C33" s="353">
        <f>SUMIFS('Live Collections'!$J:$J,'Live Collections'!$D:$D,'Colln-Summary'!$A33,'Live Collections'!$B:$B,"&gt;="&amp;'Colln-Summary'!$G$1,'Live Collections'!$B:$B,"&lt;="&amp;'Colln-Summary'!$G$2)</f>
        <v>0</v>
      </c>
      <c r="D33" s="353">
        <f>SUMIFS('Live Collections'!$K:$K,'Live Collections'!$D:$D,'Colln-Summary'!$A33,'Live Collections'!$B:$B,"&gt;="&amp;'Colln-Summary'!$G$1,'Live Collections'!$B:$B,"&lt;="&amp;'Colln-Summary'!$G$2)</f>
        <v>0</v>
      </c>
      <c r="E33" s="353">
        <f>SUMIFS(Disbursements!$F:$F,Disbursements!$B:$B,'Colln-Summary'!$A33,Disbursements!$A:$A,"&gt;="&amp;'Colln-Summary'!$G$1,Disbursements!$A:$A,"&lt;="&amp;'Colln-Summary'!$G$2)</f>
        <v>1800000</v>
      </c>
      <c r="F33" s="353">
        <f>SUMIFS('Live Collections'!$L:$L,'Live Collections'!$D:$D,'Colln-Summary'!$A33,'Live Collections'!$B:$B,"&gt;="&amp;'Colln-Summary'!$G$1,'Live Collections'!$B:$B,"&lt;="&amp;'Colln-Summary'!$G$2)</f>
        <v>10000</v>
      </c>
      <c r="G33" s="353">
        <f>SUMIFS('Live Collections'!$M:$M,'Live Collections'!$D:$D,'Colln-Summary'!$A33,'Live Collections'!$B:$B,"&gt;="&amp;'Colln-Summary'!$G$1,'Live Collections'!$B:$B,"&lt;="&amp;'Colln-Summary'!$G$2)</f>
        <v>0</v>
      </c>
      <c r="H33" s="353">
        <f>SUMIFS('Live Collections'!$N:$N,'Live Collections'!$D:$D,'Colln-Summary'!$A33,'Live Collections'!$B:$B,"&gt;="&amp;'Colln-Summary'!$G$1,'Live Collections'!$B:$B,"&lt;="&amp;'Colln-Summary'!$G$2)</f>
        <v>0</v>
      </c>
      <c r="I33" s="353">
        <f>SUMIFS('Live Collections'!$P:$P,'Live Collections'!$D:$D,'Colln-Summary'!$A33,'Live Collections'!$B:$B,"&gt;="&amp;'Colln-Summary'!$G$1,'Live Collections'!$B:$B,"&lt;="&amp;'Colln-Summary'!$G$2)</f>
        <v>0</v>
      </c>
      <c r="J33" s="353">
        <f>SUMIFS('Live Collections'!$O:$O,'Live Collections'!$D:$D,'Colln-Summary'!$A33,'Live Collections'!$B:$B,"&gt;="&amp;'Colln-Summary'!$G$1,'Live Collections'!$B:$B,"&lt;="&amp;'Colln-Summary'!$G$2)</f>
        <v>195000</v>
      </c>
      <c r="K33" s="360">
        <f>SUMIFS('Live Collections'!$S:$S,'Live Collections'!$D:$D,'Colln-Summary'!$A33,'Live Collections'!$B:$B,"&gt;="&amp;'Colln-Summary'!$G$1,'Live Collections'!$B:$B,"&lt;="&amp;'Colln-Summary'!$G$2)</f>
        <v>20666.666666666657</v>
      </c>
      <c r="L33" s="360">
        <f>SUMIFS('Live Collections'!$T:$T,'Live Collections'!$D:$D,'Colln-Summary'!$A33,'Live Collections'!$B:$B,"&gt;="&amp;'Colln-Summary'!$G$1,'Live Collections'!$B:$B,"&lt;="&amp;'Colln-Summary'!$G$2)</f>
        <v>174333.33333333334</v>
      </c>
      <c r="M33" s="258">
        <f t="shared" si="1"/>
        <v>2005000</v>
      </c>
    </row>
    <row r="34" spans="1:13" x14ac:dyDescent="0.2">
      <c r="A34" s="478">
        <v>30</v>
      </c>
      <c r="B34" s="352" t="str">
        <f>IFERROR(VLOOKUP($A34,'Clients-Live'!$A:$C,3,0),"")</f>
        <v>SITARAYA PATRICIA IDERU</v>
      </c>
      <c r="C34" s="353">
        <f>SUMIFS('Live Collections'!$J:$J,'Live Collections'!$D:$D,'Colln-Summary'!$A34,'Live Collections'!$B:$B,"&gt;="&amp;'Colln-Summary'!$G$1,'Live Collections'!$B:$B,"&lt;="&amp;'Colln-Summary'!$G$2)</f>
        <v>0</v>
      </c>
      <c r="D34" s="353">
        <f>SUMIFS('Live Collections'!$K:$K,'Live Collections'!$D:$D,'Colln-Summary'!$A34,'Live Collections'!$B:$B,"&gt;="&amp;'Colln-Summary'!$G$1,'Live Collections'!$B:$B,"&lt;="&amp;'Colln-Summary'!$G$2)</f>
        <v>0</v>
      </c>
      <c r="E34" s="353">
        <f>SUMIFS(Disbursements!$F:$F,Disbursements!$B:$B,'Colln-Summary'!$A34,Disbursements!$A:$A,"&gt;="&amp;'Colln-Summary'!$G$1,Disbursements!$A:$A,"&lt;="&amp;'Colln-Summary'!$G$2)</f>
        <v>0</v>
      </c>
      <c r="F34" s="353">
        <f>SUMIFS('Live Collections'!$L:$L,'Live Collections'!$D:$D,'Colln-Summary'!$A34,'Live Collections'!$B:$B,"&gt;="&amp;'Colln-Summary'!$G$1,'Live Collections'!$B:$B,"&lt;="&amp;'Colln-Summary'!$G$2)</f>
        <v>0</v>
      </c>
      <c r="G34" s="353">
        <f>SUMIFS('Live Collections'!$M:$M,'Live Collections'!$D:$D,'Colln-Summary'!$A34,'Live Collections'!$B:$B,"&gt;="&amp;'Colln-Summary'!$G$1,'Live Collections'!$B:$B,"&lt;="&amp;'Colln-Summary'!$G$2)</f>
        <v>0</v>
      </c>
      <c r="H34" s="353">
        <f>SUMIFS('Live Collections'!$N:$N,'Live Collections'!$D:$D,'Colln-Summary'!$A34,'Live Collections'!$B:$B,"&gt;="&amp;'Colln-Summary'!$G$1,'Live Collections'!$B:$B,"&lt;="&amp;'Colln-Summary'!$G$2)</f>
        <v>0</v>
      </c>
      <c r="I34" s="353">
        <f>SUMIFS('Live Collections'!$P:$P,'Live Collections'!$D:$D,'Colln-Summary'!$A34,'Live Collections'!$B:$B,"&gt;="&amp;'Colln-Summary'!$G$1,'Live Collections'!$B:$B,"&lt;="&amp;'Colln-Summary'!$G$2)</f>
        <v>-40000</v>
      </c>
      <c r="J34" s="353">
        <f>SUMIFS('Live Collections'!$O:$O,'Live Collections'!$D:$D,'Colln-Summary'!$A34,'Live Collections'!$B:$B,"&gt;="&amp;'Colln-Summary'!$G$1,'Live Collections'!$B:$B,"&lt;="&amp;'Colln-Summary'!$G$2)</f>
        <v>40000</v>
      </c>
      <c r="K34" s="360">
        <f>SUMIFS('Live Collections'!$S:$S,'Live Collections'!$D:$D,'Colln-Summary'!$A34,'Live Collections'!$B:$B,"&gt;="&amp;'Colln-Summary'!$G$1,'Live Collections'!$B:$B,"&lt;="&amp;'Colln-Summary'!$G$2)</f>
        <v>0</v>
      </c>
      <c r="L34" s="360">
        <f>SUMIFS('Live Collections'!$T:$T,'Live Collections'!$D:$D,'Colln-Summary'!$A34,'Live Collections'!$B:$B,"&gt;="&amp;'Colln-Summary'!$G$1,'Live Collections'!$B:$B,"&lt;="&amp;'Colln-Summary'!$G$2)</f>
        <v>40000</v>
      </c>
      <c r="M34" s="258">
        <f t="shared" si="1"/>
        <v>0</v>
      </c>
    </row>
    <row r="35" spans="1:13" x14ac:dyDescent="0.2">
      <c r="A35" s="478">
        <v>31</v>
      </c>
      <c r="B35" s="352" t="str">
        <f>IFERROR(VLOOKUP($A35,'Clients-Live'!$A:$C,3,0),"")</f>
        <v>MUNDURU HARRIET</v>
      </c>
      <c r="C35" s="353">
        <f>SUMIFS('Live Collections'!$J:$J,'Live Collections'!$D:$D,'Colln-Summary'!$A35,'Live Collections'!$B:$B,"&gt;="&amp;'Colln-Summary'!$G$1,'Live Collections'!$B:$B,"&lt;="&amp;'Colln-Summary'!$G$2)</f>
        <v>0</v>
      </c>
      <c r="D35" s="353">
        <f>SUMIFS('Live Collections'!$K:$K,'Live Collections'!$D:$D,'Colln-Summary'!$A35,'Live Collections'!$B:$B,"&gt;="&amp;'Colln-Summary'!$G$1,'Live Collections'!$B:$B,"&lt;="&amp;'Colln-Summary'!$G$2)</f>
        <v>0</v>
      </c>
      <c r="E35" s="353">
        <f>SUMIFS(Disbursements!$F:$F,Disbursements!$B:$B,'Colln-Summary'!$A35,Disbursements!$A:$A,"&gt;="&amp;'Colln-Summary'!$G$1,Disbursements!$A:$A,"&lt;="&amp;'Colln-Summary'!$G$2)</f>
        <v>0</v>
      </c>
      <c r="F35" s="353">
        <f>SUMIFS('Live Collections'!$L:$L,'Live Collections'!$D:$D,'Colln-Summary'!$A35,'Live Collections'!$B:$B,"&gt;="&amp;'Colln-Summary'!$G$1,'Live Collections'!$B:$B,"&lt;="&amp;'Colln-Summary'!$G$2)</f>
        <v>0</v>
      </c>
      <c r="G35" s="353">
        <f>SUMIFS('Live Collections'!$M:$M,'Live Collections'!$D:$D,'Colln-Summary'!$A35,'Live Collections'!$B:$B,"&gt;="&amp;'Colln-Summary'!$G$1,'Live Collections'!$B:$B,"&lt;="&amp;'Colln-Summary'!$G$2)</f>
        <v>0</v>
      </c>
      <c r="H35" s="353">
        <f>SUMIFS('Live Collections'!$N:$N,'Live Collections'!$D:$D,'Colln-Summary'!$A35,'Live Collections'!$B:$B,"&gt;="&amp;'Colln-Summary'!$G$1,'Live Collections'!$B:$B,"&lt;="&amp;'Colln-Summary'!$G$2)</f>
        <v>0</v>
      </c>
      <c r="I35" s="353">
        <f>SUMIFS('Live Collections'!$P:$P,'Live Collections'!$D:$D,'Colln-Summary'!$A35,'Live Collections'!$B:$B,"&gt;="&amp;'Colln-Summary'!$G$1,'Live Collections'!$B:$B,"&lt;="&amp;'Colln-Summary'!$G$2)</f>
        <v>0</v>
      </c>
      <c r="J35" s="353">
        <f>SUMIFS('Live Collections'!$O:$O,'Live Collections'!$D:$D,'Colln-Summary'!$A35,'Live Collections'!$B:$B,"&gt;="&amp;'Colln-Summary'!$G$1,'Live Collections'!$B:$B,"&lt;="&amp;'Colln-Summary'!$G$2)</f>
        <v>150000</v>
      </c>
      <c r="K35" s="360">
        <f>SUMIFS('Live Collections'!$S:$S,'Live Collections'!$D:$D,'Colln-Summary'!$A35,'Live Collections'!$B:$B,"&gt;="&amp;'Colln-Summary'!$G$1,'Live Collections'!$B:$B,"&lt;="&amp;'Colln-Summary'!$G$2)</f>
        <v>-25000</v>
      </c>
      <c r="L35" s="360">
        <f>SUMIFS('Live Collections'!$T:$T,'Live Collections'!$D:$D,'Colln-Summary'!$A35,'Live Collections'!$B:$B,"&gt;="&amp;'Colln-Summary'!$G$1,'Live Collections'!$B:$B,"&lt;="&amp;'Colln-Summary'!$G$2)</f>
        <v>175000</v>
      </c>
      <c r="M35" s="258">
        <f t="shared" si="1"/>
        <v>150000</v>
      </c>
    </row>
    <row r="36" spans="1:13" x14ac:dyDescent="0.2">
      <c r="A36" s="478">
        <v>32</v>
      </c>
      <c r="B36" s="352" t="str">
        <f>IFERROR(VLOOKUP($A36,'Clients-Live'!$A:$C,3,0),"")</f>
        <v>BAKO LINA ESERU</v>
      </c>
      <c r="C36" s="353">
        <f>SUMIFS('Live Collections'!$J:$J,'Live Collections'!$D:$D,'Colln-Summary'!$A36,'Live Collections'!$B:$B,"&gt;="&amp;'Colln-Summary'!$G$1,'Live Collections'!$B:$B,"&lt;="&amp;'Colln-Summary'!$G$2)</f>
        <v>0</v>
      </c>
      <c r="D36" s="353">
        <f>SUMIFS('Live Collections'!$K:$K,'Live Collections'!$D:$D,'Colln-Summary'!$A36,'Live Collections'!$B:$B,"&gt;="&amp;'Colln-Summary'!$G$1,'Live Collections'!$B:$B,"&lt;="&amp;'Colln-Summary'!$G$2)</f>
        <v>0</v>
      </c>
      <c r="E36" s="353">
        <f>SUMIFS(Disbursements!$F:$F,Disbursements!$B:$B,'Colln-Summary'!$A36,Disbursements!$A:$A,"&gt;="&amp;'Colln-Summary'!$G$1,Disbursements!$A:$A,"&lt;="&amp;'Colln-Summary'!$G$2)</f>
        <v>0</v>
      </c>
      <c r="F36" s="353">
        <f>SUMIFS('Live Collections'!$L:$L,'Live Collections'!$D:$D,'Colln-Summary'!$A36,'Live Collections'!$B:$B,"&gt;="&amp;'Colln-Summary'!$G$1,'Live Collections'!$B:$B,"&lt;="&amp;'Colln-Summary'!$G$2)</f>
        <v>0</v>
      </c>
      <c r="G36" s="353">
        <f>SUMIFS('Live Collections'!$M:$M,'Live Collections'!$D:$D,'Colln-Summary'!$A36,'Live Collections'!$B:$B,"&gt;="&amp;'Colln-Summary'!$G$1,'Live Collections'!$B:$B,"&lt;="&amp;'Colln-Summary'!$G$2)</f>
        <v>0</v>
      </c>
      <c r="H36" s="353">
        <f>SUMIFS('Live Collections'!$N:$N,'Live Collections'!$D:$D,'Colln-Summary'!$A36,'Live Collections'!$B:$B,"&gt;="&amp;'Colln-Summary'!$G$1,'Live Collections'!$B:$B,"&lt;="&amp;'Colln-Summary'!$G$2)</f>
        <v>0</v>
      </c>
      <c r="I36" s="353">
        <f>SUMIFS('Live Collections'!$P:$P,'Live Collections'!$D:$D,'Colln-Summary'!$A36,'Live Collections'!$B:$B,"&gt;="&amp;'Colln-Summary'!$G$1,'Live Collections'!$B:$B,"&lt;="&amp;'Colln-Summary'!$G$2)</f>
        <v>0</v>
      </c>
      <c r="J36" s="353">
        <f>SUMIFS('Live Collections'!$O:$O,'Live Collections'!$D:$D,'Colln-Summary'!$A36,'Live Collections'!$B:$B,"&gt;="&amp;'Colln-Summary'!$G$1,'Live Collections'!$B:$B,"&lt;="&amp;'Colln-Summary'!$G$2)</f>
        <v>150000</v>
      </c>
      <c r="K36" s="360">
        <f>SUMIFS('Live Collections'!$S:$S,'Live Collections'!$D:$D,'Colln-Summary'!$A36,'Live Collections'!$B:$B,"&gt;="&amp;'Colln-Summary'!$G$1,'Live Collections'!$B:$B,"&lt;="&amp;'Colln-Summary'!$G$2)</f>
        <v>0</v>
      </c>
      <c r="L36" s="360">
        <f>SUMIFS('Live Collections'!$T:$T,'Live Collections'!$D:$D,'Colln-Summary'!$A36,'Live Collections'!$B:$B,"&gt;="&amp;'Colln-Summary'!$G$1,'Live Collections'!$B:$B,"&lt;="&amp;'Colln-Summary'!$G$2)</f>
        <v>150000</v>
      </c>
      <c r="M36" s="258">
        <f t="shared" si="1"/>
        <v>150000</v>
      </c>
    </row>
    <row r="37" spans="1:13" x14ac:dyDescent="0.2">
      <c r="A37" s="478">
        <v>33</v>
      </c>
      <c r="B37" s="352" t="str">
        <f>IFERROR(VLOOKUP($A37,'Clients-Live'!$A:$C,3,0),"")</f>
        <v>MUZEE OMAR</v>
      </c>
      <c r="C37" s="353">
        <f>SUMIFS('Live Collections'!$J:$J,'Live Collections'!$D:$D,'Colln-Summary'!$A37,'Live Collections'!$B:$B,"&gt;="&amp;'Colln-Summary'!$G$1,'Live Collections'!$B:$B,"&lt;="&amp;'Colln-Summary'!$G$2)</f>
        <v>0</v>
      </c>
      <c r="D37" s="353">
        <f>SUMIFS('Live Collections'!$K:$K,'Live Collections'!$D:$D,'Colln-Summary'!$A37,'Live Collections'!$B:$B,"&gt;="&amp;'Colln-Summary'!$G$1,'Live Collections'!$B:$B,"&lt;="&amp;'Colln-Summary'!$G$2)</f>
        <v>0</v>
      </c>
      <c r="E37" s="353">
        <f>SUMIFS(Disbursements!$F:$F,Disbursements!$B:$B,'Colln-Summary'!$A37,Disbursements!$A:$A,"&gt;="&amp;'Colln-Summary'!$G$1,Disbursements!$A:$A,"&lt;="&amp;'Colln-Summary'!$G$2)</f>
        <v>0</v>
      </c>
      <c r="F37" s="353">
        <f>SUMIFS('Live Collections'!$L:$L,'Live Collections'!$D:$D,'Colln-Summary'!$A37,'Live Collections'!$B:$B,"&gt;="&amp;'Colln-Summary'!$G$1,'Live Collections'!$B:$B,"&lt;="&amp;'Colln-Summary'!$G$2)</f>
        <v>0</v>
      </c>
      <c r="G37" s="353">
        <f>SUMIFS('Live Collections'!$M:$M,'Live Collections'!$D:$D,'Colln-Summary'!$A37,'Live Collections'!$B:$B,"&gt;="&amp;'Colln-Summary'!$G$1,'Live Collections'!$B:$B,"&lt;="&amp;'Colln-Summary'!$G$2)</f>
        <v>0</v>
      </c>
      <c r="H37" s="353">
        <f>SUMIFS('Live Collections'!$N:$N,'Live Collections'!$D:$D,'Colln-Summary'!$A37,'Live Collections'!$B:$B,"&gt;="&amp;'Colln-Summary'!$G$1,'Live Collections'!$B:$B,"&lt;="&amp;'Colln-Summary'!$G$2)</f>
        <v>274300</v>
      </c>
      <c r="I37" s="353">
        <f>SUMIFS('Live Collections'!$P:$P,'Live Collections'!$D:$D,'Colln-Summary'!$A37,'Live Collections'!$B:$B,"&gt;="&amp;'Colln-Summary'!$G$1,'Live Collections'!$B:$B,"&lt;="&amp;'Colln-Summary'!$G$2)</f>
        <v>-200000</v>
      </c>
      <c r="J37" s="353">
        <f>SUMIFS('Live Collections'!$O:$O,'Live Collections'!$D:$D,'Colln-Summary'!$A37,'Live Collections'!$B:$B,"&gt;="&amp;'Colln-Summary'!$G$1,'Live Collections'!$B:$B,"&lt;="&amp;'Colln-Summary'!$G$2)</f>
        <v>2036000</v>
      </c>
      <c r="K37" s="360">
        <f>SUMIFS('Live Collections'!$S:$S,'Live Collections'!$D:$D,'Colln-Summary'!$A37,'Live Collections'!$B:$B,"&gt;="&amp;'Colln-Summary'!$G$1,'Live Collections'!$B:$B,"&lt;="&amp;'Colln-Summary'!$G$2)</f>
        <v>460000.00000000012</v>
      </c>
      <c r="L37" s="360">
        <f>SUMIFS('Live Collections'!$T:$T,'Live Collections'!$D:$D,'Colln-Summary'!$A37,'Live Collections'!$B:$B,"&gt;="&amp;'Colln-Summary'!$G$1,'Live Collections'!$B:$B,"&lt;="&amp;'Colln-Summary'!$G$2)</f>
        <v>1576000</v>
      </c>
      <c r="M37" s="258">
        <f t="shared" si="1"/>
        <v>2110300</v>
      </c>
    </row>
    <row r="38" spans="1:13" x14ac:dyDescent="0.2">
      <c r="A38" s="478">
        <v>34</v>
      </c>
      <c r="B38" s="352" t="str">
        <f>IFERROR(VLOOKUP($A38,'Clients-Live'!$A:$C,3,0),"")</f>
        <v>APEKURU FLORENCE</v>
      </c>
      <c r="C38" s="353">
        <f>SUMIFS('Live Collections'!$J:$J,'Live Collections'!$D:$D,'Colln-Summary'!$A38,'Live Collections'!$B:$B,"&gt;="&amp;'Colln-Summary'!$G$1,'Live Collections'!$B:$B,"&lt;="&amp;'Colln-Summary'!$G$2)</f>
        <v>0</v>
      </c>
      <c r="D38" s="353">
        <f>SUMIFS('Live Collections'!$K:$K,'Live Collections'!$D:$D,'Colln-Summary'!$A38,'Live Collections'!$B:$B,"&gt;="&amp;'Colln-Summary'!$G$1,'Live Collections'!$B:$B,"&lt;="&amp;'Colln-Summary'!$G$2)</f>
        <v>0</v>
      </c>
      <c r="E38" s="353">
        <f>SUMIFS(Disbursements!$F:$F,Disbursements!$B:$B,'Colln-Summary'!$A38,Disbursements!$A:$A,"&gt;="&amp;'Colln-Summary'!$G$1,Disbursements!$A:$A,"&lt;="&amp;'Colln-Summary'!$G$2)</f>
        <v>0</v>
      </c>
      <c r="F38" s="353">
        <f>SUMIFS('Live Collections'!$L:$L,'Live Collections'!$D:$D,'Colln-Summary'!$A38,'Live Collections'!$B:$B,"&gt;="&amp;'Colln-Summary'!$G$1,'Live Collections'!$B:$B,"&lt;="&amp;'Colln-Summary'!$G$2)</f>
        <v>0</v>
      </c>
      <c r="G38" s="353">
        <f>SUMIFS('Live Collections'!$M:$M,'Live Collections'!$D:$D,'Colln-Summary'!$A38,'Live Collections'!$B:$B,"&gt;="&amp;'Colln-Summary'!$G$1,'Live Collections'!$B:$B,"&lt;="&amp;'Colln-Summary'!$G$2)</f>
        <v>0</v>
      </c>
      <c r="H38" s="353">
        <f>SUMIFS('Live Collections'!$N:$N,'Live Collections'!$D:$D,'Colln-Summary'!$A38,'Live Collections'!$B:$B,"&gt;="&amp;'Colln-Summary'!$G$1,'Live Collections'!$B:$B,"&lt;="&amp;'Colln-Summary'!$G$2)</f>
        <v>0</v>
      </c>
      <c r="I38" s="353">
        <f>SUMIFS('Live Collections'!$P:$P,'Live Collections'!$D:$D,'Colln-Summary'!$A38,'Live Collections'!$B:$B,"&gt;="&amp;'Colln-Summary'!$G$1,'Live Collections'!$B:$B,"&lt;="&amp;'Colln-Summary'!$G$2)</f>
        <v>-25000</v>
      </c>
      <c r="J38" s="353">
        <f>SUMIFS('Live Collections'!$O:$O,'Live Collections'!$D:$D,'Colln-Summary'!$A38,'Live Collections'!$B:$B,"&gt;="&amp;'Colln-Summary'!$G$1,'Live Collections'!$B:$B,"&lt;="&amp;'Colln-Summary'!$G$2)</f>
        <v>81300</v>
      </c>
      <c r="K38" s="360">
        <f>SUMIFS('Live Collections'!$S:$S,'Live Collections'!$D:$D,'Colln-Summary'!$A38,'Live Collections'!$B:$B,"&gt;="&amp;'Colln-Summary'!$G$1,'Live Collections'!$B:$B,"&lt;="&amp;'Colln-Summary'!$G$2)</f>
        <v>-999.99999999998545</v>
      </c>
      <c r="L38" s="360">
        <f>SUMIFS('Live Collections'!$T:$T,'Live Collections'!$D:$D,'Colln-Summary'!$A38,'Live Collections'!$B:$B,"&gt;="&amp;'Colln-Summary'!$G$1,'Live Collections'!$B:$B,"&lt;="&amp;'Colln-Summary'!$G$2)</f>
        <v>82299.999999999985</v>
      </c>
      <c r="M38" s="258">
        <f t="shared" si="1"/>
        <v>56300</v>
      </c>
    </row>
    <row r="39" spans="1:13" x14ac:dyDescent="0.2">
      <c r="A39" s="478">
        <v>35</v>
      </c>
      <c r="B39" s="352" t="str">
        <f>IFERROR(VLOOKUP($A39,'Clients-Live'!$A:$C,3,0),"")</f>
        <v>ALEZUYO DOCUS</v>
      </c>
      <c r="C39" s="353">
        <f>SUMIFS('Live Collections'!$J:$J,'Live Collections'!$D:$D,'Colln-Summary'!$A39,'Live Collections'!$B:$B,"&gt;="&amp;'Colln-Summary'!$G$1,'Live Collections'!$B:$B,"&lt;="&amp;'Colln-Summary'!$G$2)</f>
        <v>0</v>
      </c>
      <c r="D39" s="353">
        <f>SUMIFS('Live Collections'!$K:$K,'Live Collections'!$D:$D,'Colln-Summary'!$A39,'Live Collections'!$B:$B,"&gt;="&amp;'Colln-Summary'!$G$1,'Live Collections'!$B:$B,"&lt;="&amp;'Colln-Summary'!$G$2)</f>
        <v>0</v>
      </c>
      <c r="E39" s="353">
        <f>SUMIFS(Disbursements!$F:$F,Disbursements!$B:$B,'Colln-Summary'!$A39,Disbursements!$A:$A,"&gt;="&amp;'Colln-Summary'!$G$1,Disbursements!$A:$A,"&lt;="&amp;'Colln-Summary'!$G$2)</f>
        <v>0</v>
      </c>
      <c r="F39" s="353">
        <f>SUMIFS('Live Collections'!$L:$L,'Live Collections'!$D:$D,'Colln-Summary'!$A39,'Live Collections'!$B:$B,"&gt;="&amp;'Colln-Summary'!$G$1,'Live Collections'!$B:$B,"&lt;="&amp;'Colln-Summary'!$G$2)</f>
        <v>0</v>
      </c>
      <c r="G39" s="353">
        <f>SUMIFS('Live Collections'!$M:$M,'Live Collections'!$D:$D,'Colln-Summary'!$A39,'Live Collections'!$B:$B,"&gt;="&amp;'Colln-Summary'!$G$1,'Live Collections'!$B:$B,"&lt;="&amp;'Colln-Summary'!$G$2)</f>
        <v>0</v>
      </c>
      <c r="H39" s="353">
        <f>SUMIFS('Live Collections'!$N:$N,'Live Collections'!$D:$D,'Colln-Summary'!$A39,'Live Collections'!$B:$B,"&gt;="&amp;'Colln-Summary'!$G$1,'Live Collections'!$B:$B,"&lt;="&amp;'Colln-Summary'!$G$2)</f>
        <v>0</v>
      </c>
      <c r="I39" s="353">
        <f>SUMIFS('Live Collections'!$P:$P,'Live Collections'!$D:$D,'Colln-Summary'!$A39,'Live Collections'!$B:$B,"&gt;="&amp;'Colln-Summary'!$G$1,'Live Collections'!$B:$B,"&lt;="&amp;'Colln-Summary'!$G$2)</f>
        <v>0</v>
      </c>
      <c r="J39" s="353">
        <f>SUMIFS('Live Collections'!$O:$O,'Live Collections'!$D:$D,'Colln-Summary'!$A39,'Live Collections'!$B:$B,"&gt;="&amp;'Colln-Summary'!$G$1,'Live Collections'!$B:$B,"&lt;="&amp;'Colln-Summary'!$G$2)</f>
        <v>0</v>
      </c>
      <c r="K39" s="360">
        <f>SUMIFS('Live Collections'!$S:$S,'Live Collections'!$D:$D,'Colln-Summary'!$A39,'Live Collections'!$B:$B,"&gt;="&amp;'Colln-Summary'!$G$1,'Live Collections'!$B:$B,"&lt;="&amp;'Colln-Summary'!$G$2)</f>
        <v>0</v>
      </c>
      <c r="L39" s="360">
        <f>SUMIFS('Live Collections'!$T:$T,'Live Collections'!$D:$D,'Colln-Summary'!$A39,'Live Collections'!$B:$B,"&gt;="&amp;'Colln-Summary'!$G$1,'Live Collections'!$B:$B,"&lt;="&amp;'Colln-Summary'!$G$2)</f>
        <v>0</v>
      </c>
      <c r="M39" s="258">
        <f t="shared" si="1"/>
        <v>0</v>
      </c>
    </row>
    <row r="40" spans="1:13" x14ac:dyDescent="0.2">
      <c r="A40" s="478">
        <v>36</v>
      </c>
      <c r="B40" s="352" t="str">
        <f>IFERROR(VLOOKUP($A40,'Clients-Live'!$A:$C,3,0),"")</f>
        <v>AMANIYO CHRISTINE</v>
      </c>
      <c r="C40" s="353">
        <f>SUMIFS('Live Collections'!$J:$J,'Live Collections'!$D:$D,'Colln-Summary'!$A40,'Live Collections'!$B:$B,"&gt;="&amp;'Colln-Summary'!$G$1,'Live Collections'!$B:$B,"&lt;="&amp;'Colln-Summary'!$G$2)</f>
        <v>0</v>
      </c>
      <c r="D40" s="353">
        <f>SUMIFS('Live Collections'!$K:$K,'Live Collections'!$D:$D,'Colln-Summary'!$A40,'Live Collections'!$B:$B,"&gt;="&amp;'Colln-Summary'!$G$1,'Live Collections'!$B:$B,"&lt;="&amp;'Colln-Summary'!$G$2)</f>
        <v>0</v>
      </c>
      <c r="E40" s="353">
        <f>SUMIFS(Disbursements!$F:$F,Disbursements!$B:$B,'Colln-Summary'!$A40,Disbursements!$A:$A,"&gt;="&amp;'Colln-Summary'!$G$1,Disbursements!$A:$A,"&lt;="&amp;'Colln-Summary'!$G$2)</f>
        <v>0</v>
      </c>
      <c r="F40" s="353">
        <f>SUMIFS('Live Collections'!$L:$L,'Live Collections'!$D:$D,'Colln-Summary'!$A40,'Live Collections'!$B:$B,"&gt;="&amp;'Colln-Summary'!$G$1,'Live Collections'!$B:$B,"&lt;="&amp;'Colln-Summary'!$G$2)</f>
        <v>0</v>
      </c>
      <c r="G40" s="353">
        <f>SUMIFS('Live Collections'!$M:$M,'Live Collections'!$D:$D,'Colln-Summary'!$A40,'Live Collections'!$B:$B,"&gt;="&amp;'Colln-Summary'!$G$1,'Live Collections'!$B:$B,"&lt;="&amp;'Colln-Summary'!$G$2)</f>
        <v>0</v>
      </c>
      <c r="H40" s="353">
        <f>SUMIFS('Live Collections'!$N:$N,'Live Collections'!$D:$D,'Colln-Summary'!$A40,'Live Collections'!$B:$B,"&gt;="&amp;'Colln-Summary'!$G$1,'Live Collections'!$B:$B,"&lt;="&amp;'Colln-Summary'!$G$2)</f>
        <v>0</v>
      </c>
      <c r="I40" s="353">
        <f>SUMIFS('Live Collections'!$P:$P,'Live Collections'!$D:$D,'Colln-Summary'!$A40,'Live Collections'!$B:$B,"&gt;="&amp;'Colln-Summary'!$G$1,'Live Collections'!$B:$B,"&lt;="&amp;'Colln-Summary'!$G$2)</f>
        <v>0</v>
      </c>
      <c r="J40" s="353">
        <f>SUMIFS('Live Collections'!$O:$O,'Live Collections'!$D:$D,'Colln-Summary'!$A40,'Live Collections'!$B:$B,"&gt;="&amp;'Colln-Summary'!$G$1,'Live Collections'!$B:$B,"&lt;="&amp;'Colln-Summary'!$G$2)</f>
        <v>0</v>
      </c>
      <c r="K40" s="360">
        <f>SUMIFS('Live Collections'!$S:$S,'Live Collections'!$D:$D,'Colln-Summary'!$A40,'Live Collections'!$B:$B,"&gt;="&amp;'Colln-Summary'!$G$1,'Live Collections'!$B:$B,"&lt;="&amp;'Colln-Summary'!$G$2)</f>
        <v>0</v>
      </c>
      <c r="L40" s="360">
        <f>SUMIFS('Live Collections'!$T:$T,'Live Collections'!$D:$D,'Colln-Summary'!$A40,'Live Collections'!$B:$B,"&gt;="&amp;'Colln-Summary'!$G$1,'Live Collections'!$B:$B,"&lt;="&amp;'Colln-Summary'!$G$2)</f>
        <v>0</v>
      </c>
      <c r="M40" s="258">
        <f t="shared" si="1"/>
        <v>0</v>
      </c>
    </row>
    <row r="41" spans="1:13" x14ac:dyDescent="0.2">
      <c r="A41" s="478">
        <v>37</v>
      </c>
      <c r="B41" s="352" t="str">
        <f>IFERROR(VLOOKUP($A41,'Clients-Live'!$A:$C,3,0),"")</f>
        <v>WANDWALI AMISI</v>
      </c>
      <c r="C41" s="353">
        <f>SUMIFS('Live Collections'!$J:$J,'Live Collections'!$D:$D,'Colln-Summary'!$A41,'Live Collections'!$B:$B,"&gt;="&amp;'Colln-Summary'!$G$1,'Live Collections'!$B:$B,"&lt;="&amp;'Colln-Summary'!$G$2)</f>
        <v>0</v>
      </c>
      <c r="D41" s="353">
        <f>SUMIFS('Live Collections'!$K:$K,'Live Collections'!$D:$D,'Colln-Summary'!$A41,'Live Collections'!$B:$B,"&gt;="&amp;'Colln-Summary'!$G$1,'Live Collections'!$B:$B,"&lt;="&amp;'Colln-Summary'!$G$2)</f>
        <v>0</v>
      </c>
      <c r="E41" s="353">
        <f>SUMIFS(Disbursements!$F:$F,Disbursements!$B:$B,'Colln-Summary'!$A41,Disbursements!$A:$A,"&gt;="&amp;'Colln-Summary'!$G$1,Disbursements!$A:$A,"&lt;="&amp;'Colln-Summary'!$G$2)</f>
        <v>0</v>
      </c>
      <c r="F41" s="353">
        <f>SUMIFS('Live Collections'!$L:$L,'Live Collections'!$D:$D,'Colln-Summary'!$A41,'Live Collections'!$B:$B,"&gt;="&amp;'Colln-Summary'!$G$1,'Live Collections'!$B:$B,"&lt;="&amp;'Colln-Summary'!$G$2)</f>
        <v>0</v>
      </c>
      <c r="G41" s="353">
        <f>SUMIFS('Live Collections'!$M:$M,'Live Collections'!$D:$D,'Colln-Summary'!$A41,'Live Collections'!$B:$B,"&gt;="&amp;'Colln-Summary'!$G$1,'Live Collections'!$B:$B,"&lt;="&amp;'Colln-Summary'!$G$2)</f>
        <v>0</v>
      </c>
      <c r="H41" s="353">
        <f>SUMIFS('Live Collections'!$N:$N,'Live Collections'!$D:$D,'Colln-Summary'!$A41,'Live Collections'!$B:$B,"&gt;="&amp;'Colln-Summary'!$G$1,'Live Collections'!$B:$B,"&lt;="&amp;'Colln-Summary'!$G$2)</f>
        <v>0</v>
      </c>
      <c r="I41" s="353">
        <f>SUMIFS('Live Collections'!$P:$P,'Live Collections'!$D:$D,'Colln-Summary'!$A41,'Live Collections'!$B:$B,"&gt;="&amp;'Colln-Summary'!$G$1,'Live Collections'!$B:$B,"&lt;="&amp;'Colln-Summary'!$G$2)</f>
        <v>0</v>
      </c>
      <c r="J41" s="353">
        <f>SUMIFS('Live Collections'!$O:$O,'Live Collections'!$D:$D,'Colln-Summary'!$A41,'Live Collections'!$B:$B,"&gt;="&amp;'Colln-Summary'!$G$1,'Live Collections'!$B:$B,"&lt;="&amp;'Colln-Summary'!$G$2)</f>
        <v>0</v>
      </c>
      <c r="K41" s="360">
        <f>SUMIFS('Live Collections'!$S:$S,'Live Collections'!$D:$D,'Colln-Summary'!$A41,'Live Collections'!$B:$B,"&gt;="&amp;'Colln-Summary'!$G$1,'Live Collections'!$B:$B,"&lt;="&amp;'Colln-Summary'!$G$2)</f>
        <v>0</v>
      </c>
      <c r="L41" s="360">
        <f>SUMIFS('Live Collections'!$T:$T,'Live Collections'!$D:$D,'Colln-Summary'!$A41,'Live Collections'!$B:$B,"&gt;="&amp;'Colln-Summary'!$G$1,'Live Collections'!$B:$B,"&lt;="&amp;'Colln-Summary'!$G$2)</f>
        <v>0</v>
      </c>
      <c r="M41" s="258">
        <f t="shared" si="1"/>
        <v>0</v>
      </c>
    </row>
    <row r="42" spans="1:13" x14ac:dyDescent="0.2">
      <c r="A42" s="478">
        <v>38</v>
      </c>
      <c r="B42" s="352" t="str">
        <f>IFERROR(VLOOKUP($A42,'Clients-Live'!$A:$C,3,0),"")</f>
        <v>ANGUZU CHRIS RONALD</v>
      </c>
      <c r="C42" s="353">
        <f>SUMIFS('Live Collections'!$J:$J,'Live Collections'!$D:$D,'Colln-Summary'!$A42,'Live Collections'!$B:$B,"&gt;="&amp;'Colln-Summary'!$G$1,'Live Collections'!$B:$B,"&lt;="&amp;'Colln-Summary'!$G$2)</f>
        <v>0</v>
      </c>
      <c r="D42" s="353">
        <f>SUMIFS('Live Collections'!$K:$K,'Live Collections'!$D:$D,'Colln-Summary'!$A42,'Live Collections'!$B:$B,"&gt;="&amp;'Colln-Summary'!$G$1,'Live Collections'!$B:$B,"&lt;="&amp;'Colln-Summary'!$G$2)</f>
        <v>0</v>
      </c>
      <c r="E42" s="353">
        <f>SUMIFS(Disbursements!$F:$F,Disbursements!$B:$B,'Colln-Summary'!$A42,Disbursements!$A:$A,"&gt;="&amp;'Colln-Summary'!$G$1,Disbursements!$A:$A,"&lt;="&amp;'Colln-Summary'!$G$2)</f>
        <v>0</v>
      </c>
      <c r="F42" s="353">
        <f>SUMIFS('Live Collections'!$L:$L,'Live Collections'!$D:$D,'Colln-Summary'!$A42,'Live Collections'!$B:$B,"&gt;="&amp;'Colln-Summary'!$G$1,'Live Collections'!$B:$B,"&lt;="&amp;'Colln-Summary'!$G$2)</f>
        <v>0</v>
      </c>
      <c r="G42" s="353">
        <f>SUMIFS('Live Collections'!$M:$M,'Live Collections'!$D:$D,'Colln-Summary'!$A42,'Live Collections'!$B:$B,"&gt;="&amp;'Colln-Summary'!$G$1,'Live Collections'!$B:$B,"&lt;="&amp;'Colln-Summary'!$G$2)</f>
        <v>0</v>
      </c>
      <c r="H42" s="353">
        <f>SUMIFS('Live Collections'!$N:$N,'Live Collections'!$D:$D,'Colln-Summary'!$A42,'Live Collections'!$B:$B,"&gt;="&amp;'Colln-Summary'!$G$1,'Live Collections'!$B:$B,"&lt;="&amp;'Colln-Summary'!$G$2)</f>
        <v>0</v>
      </c>
      <c r="I42" s="353">
        <f>SUMIFS('Live Collections'!$P:$P,'Live Collections'!$D:$D,'Colln-Summary'!$A42,'Live Collections'!$B:$B,"&gt;="&amp;'Colln-Summary'!$G$1,'Live Collections'!$B:$B,"&lt;="&amp;'Colln-Summary'!$G$2)</f>
        <v>0</v>
      </c>
      <c r="J42" s="353">
        <f>SUMIFS('Live Collections'!$O:$O,'Live Collections'!$D:$D,'Colln-Summary'!$A42,'Live Collections'!$B:$B,"&gt;="&amp;'Colln-Summary'!$G$1,'Live Collections'!$B:$B,"&lt;="&amp;'Colln-Summary'!$G$2)</f>
        <v>0</v>
      </c>
      <c r="K42" s="360">
        <f>SUMIFS('Live Collections'!$S:$S,'Live Collections'!$D:$D,'Colln-Summary'!$A42,'Live Collections'!$B:$B,"&gt;="&amp;'Colln-Summary'!$G$1,'Live Collections'!$B:$B,"&lt;="&amp;'Colln-Summary'!$G$2)</f>
        <v>0</v>
      </c>
      <c r="L42" s="360">
        <f>SUMIFS('Live Collections'!$T:$T,'Live Collections'!$D:$D,'Colln-Summary'!$A42,'Live Collections'!$B:$B,"&gt;="&amp;'Colln-Summary'!$G$1,'Live Collections'!$B:$B,"&lt;="&amp;'Colln-Summary'!$G$2)</f>
        <v>0</v>
      </c>
      <c r="M42" s="258">
        <f t="shared" si="1"/>
        <v>0</v>
      </c>
    </row>
    <row r="43" spans="1:13" x14ac:dyDescent="0.2">
      <c r="A43" s="478">
        <v>39</v>
      </c>
      <c r="B43" s="352" t="str">
        <f>IFERROR(VLOOKUP($A43,'Clients-Live'!$A:$C,3,0),"")</f>
        <v>ORODRIYO SUMAYA HARRIET</v>
      </c>
      <c r="C43" s="353">
        <f>SUMIFS('Live Collections'!$J:$J,'Live Collections'!$D:$D,'Colln-Summary'!$A43,'Live Collections'!$B:$B,"&gt;="&amp;'Colln-Summary'!$G$1,'Live Collections'!$B:$B,"&lt;="&amp;'Colln-Summary'!$G$2)</f>
        <v>0</v>
      </c>
      <c r="D43" s="353">
        <f>SUMIFS('Live Collections'!$K:$K,'Live Collections'!$D:$D,'Colln-Summary'!$A43,'Live Collections'!$B:$B,"&gt;="&amp;'Colln-Summary'!$G$1,'Live Collections'!$B:$B,"&lt;="&amp;'Colln-Summary'!$G$2)</f>
        <v>0</v>
      </c>
      <c r="E43" s="353">
        <f>SUMIFS(Disbursements!$F:$F,Disbursements!$B:$B,'Colln-Summary'!$A43,Disbursements!$A:$A,"&gt;="&amp;'Colln-Summary'!$G$1,Disbursements!$A:$A,"&lt;="&amp;'Colln-Summary'!$G$2)</f>
        <v>0</v>
      </c>
      <c r="F43" s="353">
        <f>SUMIFS('Live Collections'!$L:$L,'Live Collections'!$D:$D,'Colln-Summary'!$A43,'Live Collections'!$B:$B,"&gt;="&amp;'Colln-Summary'!$G$1,'Live Collections'!$B:$B,"&lt;="&amp;'Colln-Summary'!$G$2)</f>
        <v>0</v>
      </c>
      <c r="G43" s="353">
        <f>SUMIFS('Live Collections'!$M:$M,'Live Collections'!$D:$D,'Colln-Summary'!$A43,'Live Collections'!$B:$B,"&gt;="&amp;'Colln-Summary'!$G$1,'Live Collections'!$B:$B,"&lt;="&amp;'Colln-Summary'!$G$2)</f>
        <v>0</v>
      </c>
      <c r="H43" s="353">
        <f>SUMIFS('Live Collections'!$N:$N,'Live Collections'!$D:$D,'Colln-Summary'!$A43,'Live Collections'!$B:$B,"&gt;="&amp;'Colln-Summary'!$G$1,'Live Collections'!$B:$B,"&lt;="&amp;'Colln-Summary'!$G$2)</f>
        <v>0</v>
      </c>
      <c r="I43" s="353">
        <f>SUMIFS('Live Collections'!$P:$P,'Live Collections'!$D:$D,'Colln-Summary'!$A43,'Live Collections'!$B:$B,"&gt;="&amp;'Colln-Summary'!$G$1,'Live Collections'!$B:$B,"&lt;="&amp;'Colln-Summary'!$G$2)</f>
        <v>0</v>
      </c>
      <c r="J43" s="353">
        <f>SUMIFS('Live Collections'!$O:$O,'Live Collections'!$D:$D,'Colln-Summary'!$A43,'Live Collections'!$B:$B,"&gt;="&amp;'Colln-Summary'!$G$1,'Live Collections'!$B:$B,"&lt;="&amp;'Colln-Summary'!$G$2)</f>
        <v>0</v>
      </c>
      <c r="K43" s="360">
        <f>SUMIFS('Live Collections'!$S:$S,'Live Collections'!$D:$D,'Colln-Summary'!$A43,'Live Collections'!$B:$B,"&gt;="&amp;'Colln-Summary'!$G$1,'Live Collections'!$B:$B,"&lt;="&amp;'Colln-Summary'!$G$2)</f>
        <v>0</v>
      </c>
      <c r="L43" s="360">
        <f>SUMIFS('Live Collections'!$T:$T,'Live Collections'!$D:$D,'Colln-Summary'!$A43,'Live Collections'!$B:$B,"&gt;="&amp;'Colln-Summary'!$G$1,'Live Collections'!$B:$B,"&lt;="&amp;'Colln-Summary'!$G$2)</f>
        <v>0</v>
      </c>
      <c r="M43" s="258">
        <f t="shared" si="1"/>
        <v>0</v>
      </c>
    </row>
    <row r="44" spans="1:13" x14ac:dyDescent="0.2">
      <c r="A44" s="478">
        <v>40</v>
      </c>
      <c r="B44" s="352" t="str">
        <f>IFERROR(VLOOKUP($A44,'Clients-Live'!$A:$C,3,0),"")</f>
        <v>TABU JANE</v>
      </c>
      <c r="C44" s="353">
        <f>SUMIFS('Live Collections'!$J:$J,'Live Collections'!$D:$D,'Colln-Summary'!$A44,'Live Collections'!$B:$B,"&gt;="&amp;'Colln-Summary'!$G$1,'Live Collections'!$B:$B,"&lt;="&amp;'Colln-Summary'!$G$2)</f>
        <v>0</v>
      </c>
      <c r="D44" s="353">
        <f>SUMIFS('Live Collections'!$K:$K,'Live Collections'!$D:$D,'Colln-Summary'!$A44,'Live Collections'!$B:$B,"&gt;="&amp;'Colln-Summary'!$G$1,'Live Collections'!$B:$B,"&lt;="&amp;'Colln-Summary'!$G$2)</f>
        <v>0</v>
      </c>
      <c r="E44" s="353">
        <f>SUMIFS(Disbursements!$F:$F,Disbursements!$B:$B,'Colln-Summary'!$A44,Disbursements!$A:$A,"&gt;="&amp;'Colln-Summary'!$G$1,Disbursements!$A:$A,"&lt;="&amp;'Colln-Summary'!$G$2)</f>
        <v>0</v>
      </c>
      <c r="F44" s="353">
        <f>SUMIFS('Live Collections'!$L:$L,'Live Collections'!$D:$D,'Colln-Summary'!$A44,'Live Collections'!$B:$B,"&gt;="&amp;'Colln-Summary'!$G$1,'Live Collections'!$B:$B,"&lt;="&amp;'Colln-Summary'!$G$2)</f>
        <v>0</v>
      </c>
      <c r="G44" s="353">
        <f>SUMIFS('Live Collections'!$M:$M,'Live Collections'!$D:$D,'Colln-Summary'!$A44,'Live Collections'!$B:$B,"&gt;="&amp;'Colln-Summary'!$G$1,'Live Collections'!$B:$B,"&lt;="&amp;'Colln-Summary'!$G$2)</f>
        <v>0</v>
      </c>
      <c r="H44" s="353">
        <f>SUMIFS('Live Collections'!$N:$N,'Live Collections'!$D:$D,'Colln-Summary'!$A44,'Live Collections'!$B:$B,"&gt;="&amp;'Colln-Summary'!$G$1,'Live Collections'!$B:$B,"&lt;="&amp;'Colln-Summary'!$G$2)</f>
        <v>0</v>
      </c>
      <c r="I44" s="353">
        <f>SUMIFS('Live Collections'!$P:$P,'Live Collections'!$D:$D,'Colln-Summary'!$A44,'Live Collections'!$B:$B,"&gt;="&amp;'Colln-Summary'!$G$1,'Live Collections'!$B:$B,"&lt;="&amp;'Colln-Summary'!$G$2)</f>
        <v>0</v>
      </c>
      <c r="J44" s="353">
        <f>SUMIFS('Live Collections'!$O:$O,'Live Collections'!$D:$D,'Colln-Summary'!$A44,'Live Collections'!$B:$B,"&gt;="&amp;'Colln-Summary'!$G$1,'Live Collections'!$B:$B,"&lt;="&amp;'Colln-Summary'!$G$2)</f>
        <v>312700</v>
      </c>
      <c r="K44" s="360">
        <f>SUMIFS('Live Collections'!$S:$S,'Live Collections'!$D:$D,'Colln-Summary'!$A44,'Live Collections'!$B:$B,"&gt;="&amp;'Colln-Summary'!$G$1,'Live Collections'!$B:$B,"&lt;="&amp;'Colln-Summary'!$G$2)</f>
        <v>0</v>
      </c>
      <c r="L44" s="360">
        <f>SUMIFS('Live Collections'!$T:$T,'Live Collections'!$D:$D,'Colln-Summary'!$A44,'Live Collections'!$B:$B,"&gt;="&amp;'Colln-Summary'!$G$1,'Live Collections'!$B:$B,"&lt;="&amp;'Colln-Summary'!$G$2)</f>
        <v>312700</v>
      </c>
      <c r="M44" s="258">
        <f t="shared" si="1"/>
        <v>312700</v>
      </c>
    </row>
    <row r="45" spans="1:13" x14ac:dyDescent="0.2">
      <c r="A45" s="478">
        <v>41</v>
      </c>
      <c r="B45" s="352" t="str">
        <f>IFERROR(VLOOKUP($A45,'Clients-Live'!$A:$C,3,0),"")</f>
        <v>ANGUYO RONALD</v>
      </c>
      <c r="C45" s="353">
        <f>SUMIFS('Live Collections'!$J:$J,'Live Collections'!$D:$D,'Colln-Summary'!$A45,'Live Collections'!$B:$B,"&gt;="&amp;'Colln-Summary'!$G$1,'Live Collections'!$B:$B,"&lt;="&amp;'Colln-Summary'!$G$2)</f>
        <v>0</v>
      </c>
      <c r="D45" s="353">
        <f>SUMIFS('Live Collections'!$K:$K,'Live Collections'!$D:$D,'Colln-Summary'!$A45,'Live Collections'!$B:$B,"&gt;="&amp;'Colln-Summary'!$G$1,'Live Collections'!$B:$B,"&lt;="&amp;'Colln-Summary'!$G$2)</f>
        <v>0</v>
      </c>
      <c r="E45" s="353">
        <f>SUMIFS(Disbursements!$F:$F,Disbursements!$B:$B,'Colln-Summary'!$A45,Disbursements!$A:$A,"&gt;="&amp;'Colln-Summary'!$G$1,Disbursements!$A:$A,"&lt;="&amp;'Colln-Summary'!$G$2)</f>
        <v>0</v>
      </c>
      <c r="F45" s="353">
        <f>SUMIFS('Live Collections'!$L:$L,'Live Collections'!$D:$D,'Colln-Summary'!$A45,'Live Collections'!$B:$B,"&gt;="&amp;'Colln-Summary'!$G$1,'Live Collections'!$B:$B,"&lt;="&amp;'Colln-Summary'!$G$2)</f>
        <v>0</v>
      </c>
      <c r="G45" s="353">
        <f>SUMIFS('Live Collections'!$M:$M,'Live Collections'!$D:$D,'Colln-Summary'!$A45,'Live Collections'!$B:$B,"&gt;="&amp;'Colln-Summary'!$G$1,'Live Collections'!$B:$B,"&lt;="&amp;'Colln-Summary'!$G$2)</f>
        <v>0</v>
      </c>
      <c r="H45" s="353">
        <f>SUMIFS('Live Collections'!$N:$N,'Live Collections'!$D:$D,'Colln-Summary'!$A45,'Live Collections'!$B:$B,"&gt;="&amp;'Colln-Summary'!$G$1,'Live Collections'!$B:$B,"&lt;="&amp;'Colln-Summary'!$G$2)</f>
        <v>0</v>
      </c>
      <c r="I45" s="353">
        <f>SUMIFS('Live Collections'!$P:$P,'Live Collections'!$D:$D,'Colln-Summary'!$A45,'Live Collections'!$B:$B,"&gt;="&amp;'Colln-Summary'!$G$1,'Live Collections'!$B:$B,"&lt;="&amp;'Colln-Summary'!$G$2)</f>
        <v>0</v>
      </c>
      <c r="J45" s="353">
        <f>SUMIFS('Live Collections'!$O:$O,'Live Collections'!$D:$D,'Colln-Summary'!$A45,'Live Collections'!$B:$B,"&gt;="&amp;'Colln-Summary'!$G$1,'Live Collections'!$B:$B,"&lt;="&amp;'Colln-Summary'!$G$2)</f>
        <v>0</v>
      </c>
      <c r="K45" s="360">
        <f>SUMIFS('Live Collections'!$S:$S,'Live Collections'!$D:$D,'Colln-Summary'!$A45,'Live Collections'!$B:$B,"&gt;="&amp;'Colln-Summary'!$G$1,'Live Collections'!$B:$B,"&lt;="&amp;'Colln-Summary'!$G$2)</f>
        <v>0</v>
      </c>
      <c r="L45" s="360">
        <f>SUMIFS('Live Collections'!$T:$T,'Live Collections'!$D:$D,'Colln-Summary'!$A45,'Live Collections'!$B:$B,"&gt;="&amp;'Colln-Summary'!$G$1,'Live Collections'!$B:$B,"&lt;="&amp;'Colln-Summary'!$G$2)</f>
        <v>0</v>
      </c>
      <c r="M45" s="258">
        <f t="shared" si="1"/>
        <v>0</v>
      </c>
    </row>
    <row r="46" spans="1:13" x14ac:dyDescent="0.2">
      <c r="A46" s="478">
        <v>42</v>
      </c>
      <c r="B46" s="352" t="str">
        <f>IFERROR(VLOOKUP($A46,'Clients-Live'!$A:$C,3,0),"")</f>
        <v>ABAU   NOLA</v>
      </c>
      <c r="C46" s="353">
        <f>SUMIFS('Live Collections'!$J:$J,'Live Collections'!$D:$D,'Colln-Summary'!$A46,'Live Collections'!$B:$B,"&gt;="&amp;'Colln-Summary'!$G$1,'Live Collections'!$B:$B,"&lt;="&amp;'Colln-Summary'!$G$2)</f>
        <v>0</v>
      </c>
      <c r="D46" s="353">
        <f>SUMIFS('Live Collections'!$K:$K,'Live Collections'!$D:$D,'Colln-Summary'!$A46,'Live Collections'!$B:$B,"&gt;="&amp;'Colln-Summary'!$G$1,'Live Collections'!$B:$B,"&lt;="&amp;'Colln-Summary'!$G$2)</f>
        <v>0</v>
      </c>
      <c r="E46" s="353">
        <f>SUMIFS(Disbursements!$F:$F,Disbursements!$B:$B,'Colln-Summary'!$A46,Disbursements!$A:$A,"&gt;="&amp;'Colln-Summary'!$G$1,Disbursements!$A:$A,"&lt;="&amp;'Colln-Summary'!$G$2)</f>
        <v>250000</v>
      </c>
      <c r="F46" s="353">
        <f>SUMIFS('Live Collections'!$L:$L,'Live Collections'!$D:$D,'Colln-Summary'!$A46,'Live Collections'!$B:$B,"&gt;="&amp;'Colln-Summary'!$G$1,'Live Collections'!$B:$B,"&lt;="&amp;'Colln-Summary'!$G$2)</f>
        <v>15000</v>
      </c>
      <c r="G46" s="353">
        <f>SUMIFS('Live Collections'!$M:$M,'Live Collections'!$D:$D,'Colln-Summary'!$A46,'Live Collections'!$B:$B,"&gt;="&amp;'Colln-Summary'!$G$1,'Live Collections'!$B:$B,"&lt;="&amp;'Colln-Summary'!$G$2)</f>
        <v>5000</v>
      </c>
      <c r="H46" s="353">
        <f>SUMIFS('Live Collections'!$N:$N,'Live Collections'!$D:$D,'Colln-Summary'!$A46,'Live Collections'!$B:$B,"&gt;="&amp;'Colln-Summary'!$G$1,'Live Collections'!$B:$B,"&lt;="&amp;'Colln-Summary'!$G$2)</f>
        <v>0</v>
      </c>
      <c r="I46" s="353">
        <f>SUMIFS('Live Collections'!$P:$P,'Live Collections'!$D:$D,'Colln-Summary'!$A46,'Live Collections'!$B:$B,"&gt;="&amp;'Colln-Summary'!$G$1,'Live Collections'!$B:$B,"&lt;="&amp;'Colln-Summary'!$G$2)</f>
        <v>7000</v>
      </c>
      <c r="J46" s="353">
        <f>SUMIFS('Live Collections'!$O:$O,'Live Collections'!$D:$D,'Colln-Summary'!$A46,'Live Collections'!$B:$B,"&gt;="&amp;'Colln-Summary'!$G$1,'Live Collections'!$B:$B,"&lt;="&amp;'Colln-Summary'!$G$2)</f>
        <v>38000</v>
      </c>
      <c r="K46" s="360">
        <f>SUMIFS('Live Collections'!$S:$S,'Live Collections'!$D:$D,'Colln-Summary'!$A46,'Live Collections'!$B:$B,"&gt;="&amp;'Colln-Summary'!$G$1,'Live Collections'!$B:$B,"&lt;="&amp;'Colln-Summary'!$G$2)</f>
        <v>10000</v>
      </c>
      <c r="L46" s="360">
        <f>SUMIFS('Live Collections'!$T:$T,'Live Collections'!$D:$D,'Colln-Summary'!$A46,'Live Collections'!$B:$B,"&gt;="&amp;'Colln-Summary'!$G$1,'Live Collections'!$B:$B,"&lt;="&amp;'Colln-Summary'!$G$2)</f>
        <v>28000</v>
      </c>
      <c r="M46" s="258">
        <f t="shared" si="1"/>
        <v>315000</v>
      </c>
    </row>
    <row r="47" spans="1:13" x14ac:dyDescent="0.2">
      <c r="A47" s="478">
        <v>43</v>
      </c>
      <c r="B47" s="352" t="str">
        <f>IFERROR(VLOOKUP($A47,'Clients-Live'!$A:$C,3,0),"")</f>
        <v>APUNIKI LOICE</v>
      </c>
      <c r="C47" s="353">
        <f>SUMIFS('Live Collections'!$J:$J,'Live Collections'!$D:$D,'Colln-Summary'!$A47,'Live Collections'!$B:$B,"&gt;="&amp;'Colln-Summary'!$G$1,'Live Collections'!$B:$B,"&lt;="&amp;'Colln-Summary'!$G$2)</f>
        <v>0</v>
      </c>
      <c r="D47" s="353">
        <f>SUMIFS('Live Collections'!$K:$K,'Live Collections'!$D:$D,'Colln-Summary'!$A47,'Live Collections'!$B:$B,"&gt;="&amp;'Colln-Summary'!$G$1,'Live Collections'!$B:$B,"&lt;="&amp;'Colln-Summary'!$G$2)</f>
        <v>0</v>
      </c>
      <c r="E47" s="353">
        <f>SUMIFS(Disbursements!$F:$F,Disbursements!$B:$B,'Colln-Summary'!$A47,Disbursements!$A:$A,"&gt;="&amp;'Colln-Summary'!$G$1,Disbursements!$A:$A,"&lt;="&amp;'Colln-Summary'!$G$2)</f>
        <v>0</v>
      </c>
      <c r="F47" s="353">
        <f>SUMIFS('Live Collections'!$L:$L,'Live Collections'!$D:$D,'Colln-Summary'!$A47,'Live Collections'!$B:$B,"&gt;="&amp;'Colln-Summary'!$G$1,'Live Collections'!$B:$B,"&lt;="&amp;'Colln-Summary'!$G$2)</f>
        <v>0</v>
      </c>
      <c r="G47" s="353">
        <f>SUMIFS('Live Collections'!$M:$M,'Live Collections'!$D:$D,'Colln-Summary'!$A47,'Live Collections'!$B:$B,"&gt;="&amp;'Colln-Summary'!$G$1,'Live Collections'!$B:$B,"&lt;="&amp;'Colln-Summary'!$G$2)</f>
        <v>0</v>
      </c>
      <c r="H47" s="353">
        <f>SUMIFS('Live Collections'!$N:$N,'Live Collections'!$D:$D,'Colln-Summary'!$A47,'Live Collections'!$B:$B,"&gt;="&amp;'Colln-Summary'!$G$1,'Live Collections'!$B:$B,"&lt;="&amp;'Colln-Summary'!$G$2)</f>
        <v>0</v>
      </c>
      <c r="I47" s="353">
        <f>SUMIFS('Live Collections'!$P:$P,'Live Collections'!$D:$D,'Colln-Summary'!$A47,'Live Collections'!$B:$B,"&gt;="&amp;'Colln-Summary'!$G$1,'Live Collections'!$B:$B,"&lt;="&amp;'Colln-Summary'!$G$2)</f>
        <v>0</v>
      </c>
      <c r="J47" s="353">
        <f>SUMIFS('Live Collections'!$O:$O,'Live Collections'!$D:$D,'Colln-Summary'!$A47,'Live Collections'!$B:$B,"&gt;="&amp;'Colln-Summary'!$G$1,'Live Collections'!$B:$B,"&lt;="&amp;'Colln-Summary'!$G$2)</f>
        <v>0</v>
      </c>
      <c r="K47" s="360">
        <f>SUMIFS('Live Collections'!$S:$S,'Live Collections'!$D:$D,'Colln-Summary'!$A47,'Live Collections'!$B:$B,"&gt;="&amp;'Colln-Summary'!$G$1,'Live Collections'!$B:$B,"&lt;="&amp;'Colln-Summary'!$G$2)</f>
        <v>0</v>
      </c>
      <c r="L47" s="360">
        <f>SUMIFS('Live Collections'!$T:$T,'Live Collections'!$D:$D,'Colln-Summary'!$A47,'Live Collections'!$B:$B,"&gt;="&amp;'Colln-Summary'!$G$1,'Live Collections'!$B:$B,"&lt;="&amp;'Colln-Summary'!$G$2)</f>
        <v>0</v>
      </c>
      <c r="M47" s="258">
        <f t="shared" si="1"/>
        <v>0</v>
      </c>
    </row>
    <row r="48" spans="1:13" x14ac:dyDescent="0.2">
      <c r="A48" s="478">
        <v>44</v>
      </c>
      <c r="B48" s="352" t="str">
        <f>IFERROR(VLOOKUP($A48,'Clients-Live'!$A:$C,3,0),"")</f>
        <v>CANDIRU HELLEN</v>
      </c>
      <c r="C48" s="353">
        <f>SUMIFS('Live Collections'!$J:$J,'Live Collections'!$D:$D,'Colln-Summary'!$A48,'Live Collections'!$B:$B,"&gt;="&amp;'Colln-Summary'!$G$1,'Live Collections'!$B:$B,"&lt;="&amp;'Colln-Summary'!$G$2)</f>
        <v>0</v>
      </c>
      <c r="D48" s="353">
        <f>SUMIFS('Live Collections'!$K:$K,'Live Collections'!$D:$D,'Colln-Summary'!$A48,'Live Collections'!$B:$B,"&gt;="&amp;'Colln-Summary'!$G$1,'Live Collections'!$B:$B,"&lt;="&amp;'Colln-Summary'!$G$2)</f>
        <v>0</v>
      </c>
      <c r="E48" s="353">
        <f>SUMIFS(Disbursements!$F:$F,Disbursements!$B:$B,'Colln-Summary'!$A48,Disbursements!$A:$A,"&gt;="&amp;'Colln-Summary'!$G$1,Disbursements!$A:$A,"&lt;="&amp;'Colln-Summary'!$G$2)</f>
        <v>0</v>
      </c>
      <c r="F48" s="353">
        <f>SUMIFS('Live Collections'!$L:$L,'Live Collections'!$D:$D,'Colln-Summary'!$A48,'Live Collections'!$B:$B,"&gt;="&amp;'Colln-Summary'!$G$1,'Live Collections'!$B:$B,"&lt;="&amp;'Colln-Summary'!$G$2)</f>
        <v>0</v>
      </c>
      <c r="G48" s="353">
        <f>SUMIFS('Live Collections'!$M:$M,'Live Collections'!$D:$D,'Colln-Summary'!$A48,'Live Collections'!$B:$B,"&gt;="&amp;'Colln-Summary'!$G$1,'Live Collections'!$B:$B,"&lt;="&amp;'Colln-Summary'!$G$2)</f>
        <v>0</v>
      </c>
      <c r="H48" s="353">
        <f>SUMIFS('Live Collections'!$N:$N,'Live Collections'!$D:$D,'Colln-Summary'!$A48,'Live Collections'!$B:$B,"&gt;="&amp;'Colln-Summary'!$G$1,'Live Collections'!$B:$B,"&lt;="&amp;'Colln-Summary'!$G$2)</f>
        <v>0</v>
      </c>
      <c r="I48" s="353">
        <f>SUMIFS('Live Collections'!$P:$P,'Live Collections'!$D:$D,'Colln-Summary'!$A48,'Live Collections'!$B:$B,"&gt;="&amp;'Colln-Summary'!$G$1,'Live Collections'!$B:$B,"&lt;="&amp;'Colln-Summary'!$G$2)</f>
        <v>0</v>
      </c>
      <c r="J48" s="353">
        <f>SUMIFS('Live Collections'!$O:$O,'Live Collections'!$D:$D,'Colln-Summary'!$A48,'Live Collections'!$B:$B,"&gt;="&amp;'Colln-Summary'!$G$1,'Live Collections'!$B:$B,"&lt;="&amp;'Colln-Summary'!$G$2)</f>
        <v>225000</v>
      </c>
      <c r="K48" s="360">
        <f>SUMIFS('Live Collections'!$S:$S,'Live Collections'!$D:$D,'Colln-Summary'!$A48,'Live Collections'!$B:$B,"&gt;="&amp;'Colln-Summary'!$G$1,'Live Collections'!$B:$B,"&lt;="&amp;'Colln-Summary'!$G$2)</f>
        <v>0</v>
      </c>
      <c r="L48" s="360">
        <f>SUMIFS('Live Collections'!$T:$T,'Live Collections'!$D:$D,'Colln-Summary'!$A48,'Live Collections'!$B:$B,"&gt;="&amp;'Colln-Summary'!$G$1,'Live Collections'!$B:$B,"&lt;="&amp;'Colln-Summary'!$G$2)</f>
        <v>225000</v>
      </c>
      <c r="M48" s="258">
        <f t="shared" si="1"/>
        <v>225000</v>
      </c>
    </row>
    <row r="49" spans="1:13" x14ac:dyDescent="0.2">
      <c r="A49" s="478">
        <v>45</v>
      </c>
      <c r="B49" s="352" t="str">
        <f>IFERROR(VLOOKUP($A49,'Clients-Live'!$A:$C,3,0),"")</f>
        <v>SANYA DONALD</v>
      </c>
      <c r="C49" s="353">
        <f>SUMIFS('Live Collections'!$J:$J,'Live Collections'!$D:$D,'Colln-Summary'!$A49,'Live Collections'!$B:$B,"&gt;="&amp;'Colln-Summary'!$G$1,'Live Collections'!$B:$B,"&lt;="&amp;'Colln-Summary'!$G$2)</f>
        <v>0</v>
      </c>
      <c r="D49" s="353">
        <f>SUMIFS('Live Collections'!$K:$K,'Live Collections'!$D:$D,'Colln-Summary'!$A49,'Live Collections'!$B:$B,"&gt;="&amp;'Colln-Summary'!$G$1,'Live Collections'!$B:$B,"&lt;="&amp;'Colln-Summary'!$G$2)</f>
        <v>0</v>
      </c>
      <c r="E49" s="353">
        <f>SUMIFS(Disbursements!$F:$F,Disbursements!$B:$B,'Colln-Summary'!$A49,Disbursements!$A:$A,"&gt;="&amp;'Colln-Summary'!$G$1,Disbursements!$A:$A,"&lt;="&amp;'Colln-Summary'!$G$2)</f>
        <v>0</v>
      </c>
      <c r="F49" s="353">
        <f>SUMIFS('Live Collections'!$L:$L,'Live Collections'!$D:$D,'Colln-Summary'!$A49,'Live Collections'!$B:$B,"&gt;="&amp;'Colln-Summary'!$G$1,'Live Collections'!$B:$B,"&lt;="&amp;'Colln-Summary'!$G$2)</f>
        <v>0</v>
      </c>
      <c r="G49" s="353">
        <f>SUMIFS('Live Collections'!$M:$M,'Live Collections'!$D:$D,'Colln-Summary'!$A49,'Live Collections'!$B:$B,"&gt;="&amp;'Colln-Summary'!$G$1,'Live Collections'!$B:$B,"&lt;="&amp;'Colln-Summary'!$G$2)</f>
        <v>0</v>
      </c>
      <c r="H49" s="353">
        <f>SUMIFS('Live Collections'!$N:$N,'Live Collections'!$D:$D,'Colln-Summary'!$A49,'Live Collections'!$B:$B,"&gt;="&amp;'Colln-Summary'!$G$1,'Live Collections'!$B:$B,"&lt;="&amp;'Colln-Summary'!$G$2)</f>
        <v>0</v>
      </c>
      <c r="I49" s="353">
        <f>SUMIFS('Live Collections'!$P:$P,'Live Collections'!$D:$D,'Colln-Summary'!$A49,'Live Collections'!$B:$B,"&gt;="&amp;'Colln-Summary'!$G$1,'Live Collections'!$B:$B,"&lt;="&amp;'Colln-Summary'!$G$2)</f>
        <v>0</v>
      </c>
      <c r="J49" s="353">
        <f>SUMIFS('Live Collections'!$O:$O,'Live Collections'!$D:$D,'Colln-Summary'!$A49,'Live Collections'!$B:$B,"&gt;="&amp;'Colln-Summary'!$G$1,'Live Collections'!$B:$B,"&lt;="&amp;'Colln-Summary'!$G$2)</f>
        <v>0</v>
      </c>
      <c r="K49" s="360">
        <f>SUMIFS('Live Collections'!$S:$S,'Live Collections'!$D:$D,'Colln-Summary'!$A49,'Live Collections'!$B:$B,"&gt;="&amp;'Colln-Summary'!$G$1,'Live Collections'!$B:$B,"&lt;="&amp;'Colln-Summary'!$G$2)</f>
        <v>0</v>
      </c>
      <c r="L49" s="360">
        <f>SUMIFS('Live Collections'!$T:$T,'Live Collections'!$D:$D,'Colln-Summary'!$A49,'Live Collections'!$B:$B,"&gt;="&amp;'Colln-Summary'!$G$1,'Live Collections'!$B:$B,"&lt;="&amp;'Colln-Summary'!$G$2)</f>
        <v>0</v>
      </c>
      <c r="M49" s="258">
        <f t="shared" si="1"/>
        <v>0</v>
      </c>
    </row>
    <row r="50" spans="1:13" x14ac:dyDescent="0.2">
      <c r="A50" s="478">
        <v>46</v>
      </c>
      <c r="B50" s="352" t="str">
        <f>IFERROR(VLOOKUP($A50,'Clients-Live'!$A:$C,3,0),"")</f>
        <v>ALIO YUDA</v>
      </c>
      <c r="C50" s="353">
        <f>SUMIFS('Live Collections'!$J:$J,'Live Collections'!$D:$D,'Colln-Summary'!$A50,'Live Collections'!$B:$B,"&gt;="&amp;'Colln-Summary'!$G$1,'Live Collections'!$B:$B,"&lt;="&amp;'Colln-Summary'!$G$2)</f>
        <v>0</v>
      </c>
      <c r="D50" s="353">
        <f>SUMIFS('Live Collections'!$K:$K,'Live Collections'!$D:$D,'Colln-Summary'!$A50,'Live Collections'!$B:$B,"&gt;="&amp;'Colln-Summary'!$G$1,'Live Collections'!$B:$B,"&lt;="&amp;'Colln-Summary'!$G$2)</f>
        <v>0</v>
      </c>
      <c r="E50" s="353">
        <f>SUMIFS(Disbursements!$F:$F,Disbursements!$B:$B,'Colln-Summary'!$A50,Disbursements!$A:$A,"&gt;="&amp;'Colln-Summary'!$G$1,Disbursements!$A:$A,"&lt;="&amp;'Colln-Summary'!$G$2)</f>
        <v>1300000</v>
      </c>
      <c r="F50" s="353">
        <f>SUMIFS('Live Collections'!$L:$L,'Live Collections'!$D:$D,'Colln-Summary'!$A50,'Live Collections'!$B:$B,"&gt;="&amp;'Colln-Summary'!$G$1,'Live Collections'!$B:$B,"&lt;="&amp;'Colln-Summary'!$G$2)</f>
        <v>0</v>
      </c>
      <c r="G50" s="353">
        <f>SUMIFS('Live Collections'!$M:$M,'Live Collections'!$D:$D,'Colln-Summary'!$A50,'Live Collections'!$B:$B,"&gt;="&amp;'Colln-Summary'!$G$1,'Live Collections'!$B:$B,"&lt;="&amp;'Colln-Summary'!$G$2)</f>
        <v>0</v>
      </c>
      <c r="H50" s="353">
        <f>SUMIFS('Live Collections'!$N:$N,'Live Collections'!$D:$D,'Colln-Summary'!$A50,'Live Collections'!$B:$B,"&gt;="&amp;'Colln-Summary'!$G$1,'Live Collections'!$B:$B,"&lt;="&amp;'Colln-Summary'!$G$2)</f>
        <v>0</v>
      </c>
      <c r="I50" s="353">
        <f>SUMIFS('Live Collections'!$P:$P,'Live Collections'!$D:$D,'Colln-Summary'!$A50,'Live Collections'!$B:$B,"&gt;="&amp;'Colln-Summary'!$G$1,'Live Collections'!$B:$B,"&lt;="&amp;'Colln-Summary'!$G$2)</f>
        <v>0</v>
      </c>
      <c r="J50" s="353">
        <f>SUMIFS('Live Collections'!$O:$O,'Live Collections'!$D:$D,'Colln-Summary'!$A50,'Live Collections'!$B:$B,"&gt;="&amp;'Colln-Summary'!$G$1,'Live Collections'!$B:$B,"&lt;="&amp;'Colln-Summary'!$G$2)</f>
        <v>280000</v>
      </c>
      <c r="K50" s="360">
        <f>SUMIFS('Live Collections'!$S:$S,'Live Collections'!$D:$D,'Colln-Summary'!$A50,'Live Collections'!$B:$B,"&gt;="&amp;'Colln-Summary'!$G$1,'Live Collections'!$B:$B,"&lt;="&amp;'Colln-Summary'!$G$2)</f>
        <v>175666.66666666669</v>
      </c>
      <c r="L50" s="360">
        <f>SUMIFS('Live Collections'!$T:$T,'Live Collections'!$D:$D,'Colln-Summary'!$A50,'Live Collections'!$B:$B,"&gt;="&amp;'Colln-Summary'!$G$1,'Live Collections'!$B:$B,"&lt;="&amp;'Colln-Summary'!$G$2)</f>
        <v>104333.33333333331</v>
      </c>
      <c r="M50" s="258">
        <f t="shared" si="1"/>
        <v>1580000</v>
      </c>
    </row>
    <row r="51" spans="1:13" x14ac:dyDescent="0.2">
      <c r="A51" s="478">
        <v>47</v>
      </c>
      <c r="B51" s="352" t="str">
        <f>IFERROR(VLOOKUP($A51,'Clients-Live'!$A:$C,3,0),"")</f>
        <v>DAWA AMINA</v>
      </c>
      <c r="C51" s="353">
        <f>SUMIFS('Live Collections'!$J:$J,'Live Collections'!$D:$D,'Colln-Summary'!$A51,'Live Collections'!$B:$B,"&gt;="&amp;'Colln-Summary'!$G$1,'Live Collections'!$B:$B,"&lt;="&amp;'Colln-Summary'!$G$2)</f>
        <v>0</v>
      </c>
      <c r="D51" s="353">
        <f>SUMIFS('Live Collections'!$K:$K,'Live Collections'!$D:$D,'Colln-Summary'!$A51,'Live Collections'!$B:$B,"&gt;="&amp;'Colln-Summary'!$G$1,'Live Collections'!$B:$B,"&lt;="&amp;'Colln-Summary'!$G$2)</f>
        <v>0</v>
      </c>
      <c r="E51" s="353">
        <f>SUMIFS(Disbursements!$F:$F,Disbursements!$B:$B,'Colln-Summary'!$A51,Disbursements!$A:$A,"&gt;="&amp;'Colln-Summary'!$G$1,Disbursements!$A:$A,"&lt;="&amp;'Colln-Summary'!$G$2)</f>
        <v>0</v>
      </c>
      <c r="F51" s="353">
        <f>SUMIFS('Live Collections'!$L:$L,'Live Collections'!$D:$D,'Colln-Summary'!$A51,'Live Collections'!$B:$B,"&gt;="&amp;'Colln-Summary'!$G$1,'Live Collections'!$B:$B,"&lt;="&amp;'Colln-Summary'!$G$2)</f>
        <v>0</v>
      </c>
      <c r="G51" s="353">
        <f>SUMIFS('Live Collections'!$M:$M,'Live Collections'!$D:$D,'Colln-Summary'!$A51,'Live Collections'!$B:$B,"&gt;="&amp;'Colln-Summary'!$G$1,'Live Collections'!$B:$B,"&lt;="&amp;'Colln-Summary'!$G$2)</f>
        <v>0</v>
      </c>
      <c r="H51" s="353">
        <f>SUMIFS('Live Collections'!$N:$N,'Live Collections'!$D:$D,'Colln-Summary'!$A51,'Live Collections'!$B:$B,"&gt;="&amp;'Colln-Summary'!$G$1,'Live Collections'!$B:$B,"&lt;="&amp;'Colln-Summary'!$G$2)</f>
        <v>0</v>
      </c>
      <c r="I51" s="353">
        <f>SUMIFS('Live Collections'!$P:$P,'Live Collections'!$D:$D,'Colln-Summary'!$A51,'Live Collections'!$B:$B,"&gt;="&amp;'Colln-Summary'!$G$1,'Live Collections'!$B:$B,"&lt;="&amp;'Colln-Summary'!$G$2)</f>
        <v>0</v>
      </c>
      <c r="J51" s="353">
        <f>SUMIFS('Live Collections'!$O:$O,'Live Collections'!$D:$D,'Colln-Summary'!$A51,'Live Collections'!$B:$B,"&gt;="&amp;'Colln-Summary'!$G$1,'Live Collections'!$B:$B,"&lt;="&amp;'Colln-Summary'!$G$2)</f>
        <v>0</v>
      </c>
      <c r="K51" s="360">
        <f>SUMIFS('Live Collections'!$S:$S,'Live Collections'!$D:$D,'Colln-Summary'!$A51,'Live Collections'!$B:$B,"&gt;="&amp;'Colln-Summary'!$G$1,'Live Collections'!$B:$B,"&lt;="&amp;'Colln-Summary'!$G$2)</f>
        <v>0</v>
      </c>
      <c r="L51" s="360">
        <f>SUMIFS('Live Collections'!$T:$T,'Live Collections'!$D:$D,'Colln-Summary'!$A51,'Live Collections'!$B:$B,"&gt;="&amp;'Colln-Summary'!$G$1,'Live Collections'!$B:$B,"&lt;="&amp;'Colln-Summary'!$G$2)</f>
        <v>0</v>
      </c>
      <c r="M51" s="258">
        <f t="shared" si="1"/>
        <v>0</v>
      </c>
    </row>
    <row r="52" spans="1:13" x14ac:dyDescent="0.2">
      <c r="A52" s="478">
        <v>48</v>
      </c>
      <c r="B52" s="352" t="str">
        <f>IFERROR(VLOOKUP($A52,'Clients-Live'!$A:$C,3,0),"")</f>
        <v>BAKO KASIA</v>
      </c>
      <c r="C52" s="353">
        <f>SUMIFS('Live Collections'!$J:$J,'Live Collections'!$D:$D,'Colln-Summary'!$A52,'Live Collections'!$B:$B,"&gt;="&amp;'Colln-Summary'!$G$1,'Live Collections'!$B:$B,"&lt;="&amp;'Colln-Summary'!$G$2)</f>
        <v>0</v>
      </c>
      <c r="D52" s="353">
        <f>SUMIFS('Live Collections'!$K:$K,'Live Collections'!$D:$D,'Colln-Summary'!$A52,'Live Collections'!$B:$B,"&gt;="&amp;'Colln-Summary'!$G$1,'Live Collections'!$B:$B,"&lt;="&amp;'Colln-Summary'!$G$2)</f>
        <v>0</v>
      </c>
      <c r="E52" s="353">
        <f>SUMIFS(Disbursements!$F:$F,Disbursements!$B:$B,'Colln-Summary'!$A52,Disbursements!$A:$A,"&gt;="&amp;'Colln-Summary'!$G$1,Disbursements!$A:$A,"&lt;="&amp;'Colln-Summary'!$G$2)</f>
        <v>0</v>
      </c>
      <c r="F52" s="353">
        <f>SUMIFS('Live Collections'!$L:$L,'Live Collections'!$D:$D,'Colln-Summary'!$A52,'Live Collections'!$B:$B,"&gt;="&amp;'Colln-Summary'!$G$1,'Live Collections'!$B:$B,"&lt;="&amp;'Colln-Summary'!$G$2)</f>
        <v>0</v>
      </c>
      <c r="G52" s="353">
        <f>SUMIFS('Live Collections'!$M:$M,'Live Collections'!$D:$D,'Colln-Summary'!$A52,'Live Collections'!$B:$B,"&gt;="&amp;'Colln-Summary'!$G$1,'Live Collections'!$B:$B,"&lt;="&amp;'Colln-Summary'!$G$2)</f>
        <v>0</v>
      </c>
      <c r="H52" s="353">
        <f>SUMIFS('Live Collections'!$N:$N,'Live Collections'!$D:$D,'Colln-Summary'!$A52,'Live Collections'!$B:$B,"&gt;="&amp;'Colln-Summary'!$G$1,'Live Collections'!$B:$B,"&lt;="&amp;'Colln-Summary'!$G$2)</f>
        <v>0</v>
      </c>
      <c r="I52" s="353">
        <f>SUMIFS('Live Collections'!$P:$P,'Live Collections'!$D:$D,'Colln-Summary'!$A52,'Live Collections'!$B:$B,"&gt;="&amp;'Colln-Summary'!$G$1,'Live Collections'!$B:$B,"&lt;="&amp;'Colln-Summary'!$G$2)</f>
        <v>0</v>
      </c>
      <c r="J52" s="353">
        <f>SUMIFS('Live Collections'!$O:$O,'Live Collections'!$D:$D,'Colln-Summary'!$A52,'Live Collections'!$B:$B,"&gt;="&amp;'Colln-Summary'!$G$1,'Live Collections'!$B:$B,"&lt;="&amp;'Colln-Summary'!$G$2)</f>
        <v>0</v>
      </c>
      <c r="K52" s="360">
        <f>SUMIFS('Live Collections'!$S:$S,'Live Collections'!$D:$D,'Colln-Summary'!$A52,'Live Collections'!$B:$B,"&gt;="&amp;'Colln-Summary'!$G$1,'Live Collections'!$B:$B,"&lt;="&amp;'Colln-Summary'!$G$2)</f>
        <v>0</v>
      </c>
      <c r="L52" s="360">
        <f>SUMIFS('Live Collections'!$T:$T,'Live Collections'!$D:$D,'Colln-Summary'!$A52,'Live Collections'!$B:$B,"&gt;="&amp;'Colln-Summary'!$G$1,'Live Collections'!$B:$B,"&lt;="&amp;'Colln-Summary'!$G$2)</f>
        <v>0</v>
      </c>
      <c r="M52" s="258">
        <f t="shared" si="1"/>
        <v>0</v>
      </c>
    </row>
    <row r="53" spans="1:13" x14ac:dyDescent="0.2">
      <c r="A53" s="478">
        <v>49</v>
      </c>
      <c r="B53" s="352" t="str">
        <f>IFERROR(VLOOKUP($A53,'Clients-Live'!$A:$C,3,0),"")</f>
        <v>MAWUZU SARAH</v>
      </c>
      <c r="C53" s="353">
        <f>SUMIFS('Live Collections'!$J:$J,'Live Collections'!$D:$D,'Colln-Summary'!$A53,'Live Collections'!$B:$B,"&gt;="&amp;'Colln-Summary'!$G$1,'Live Collections'!$B:$B,"&lt;="&amp;'Colln-Summary'!$G$2)</f>
        <v>0</v>
      </c>
      <c r="D53" s="353">
        <f>SUMIFS('Live Collections'!$K:$K,'Live Collections'!$D:$D,'Colln-Summary'!$A53,'Live Collections'!$B:$B,"&gt;="&amp;'Colln-Summary'!$G$1,'Live Collections'!$B:$B,"&lt;="&amp;'Colln-Summary'!$G$2)</f>
        <v>0</v>
      </c>
      <c r="E53" s="353">
        <f>SUMIFS(Disbursements!$F:$F,Disbursements!$B:$B,'Colln-Summary'!$A53,Disbursements!$A:$A,"&gt;="&amp;'Colln-Summary'!$G$1,Disbursements!$A:$A,"&lt;="&amp;'Colln-Summary'!$G$2)</f>
        <v>0</v>
      </c>
      <c r="F53" s="353">
        <f>SUMIFS('Live Collections'!$L:$L,'Live Collections'!$D:$D,'Colln-Summary'!$A53,'Live Collections'!$B:$B,"&gt;="&amp;'Colln-Summary'!$G$1,'Live Collections'!$B:$B,"&lt;="&amp;'Colln-Summary'!$G$2)</f>
        <v>0</v>
      </c>
      <c r="G53" s="353">
        <f>SUMIFS('Live Collections'!$M:$M,'Live Collections'!$D:$D,'Colln-Summary'!$A53,'Live Collections'!$B:$B,"&gt;="&amp;'Colln-Summary'!$G$1,'Live Collections'!$B:$B,"&lt;="&amp;'Colln-Summary'!$G$2)</f>
        <v>0</v>
      </c>
      <c r="H53" s="353">
        <f>SUMIFS('Live Collections'!$N:$N,'Live Collections'!$D:$D,'Colln-Summary'!$A53,'Live Collections'!$B:$B,"&gt;="&amp;'Colln-Summary'!$G$1,'Live Collections'!$B:$B,"&lt;="&amp;'Colln-Summary'!$G$2)</f>
        <v>0</v>
      </c>
      <c r="I53" s="353">
        <f>SUMIFS('Live Collections'!$P:$P,'Live Collections'!$D:$D,'Colln-Summary'!$A53,'Live Collections'!$B:$B,"&gt;="&amp;'Colln-Summary'!$G$1,'Live Collections'!$B:$B,"&lt;="&amp;'Colln-Summary'!$G$2)</f>
        <v>0</v>
      </c>
      <c r="J53" s="353">
        <f>SUMIFS('Live Collections'!$O:$O,'Live Collections'!$D:$D,'Colln-Summary'!$A53,'Live Collections'!$B:$B,"&gt;="&amp;'Colln-Summary'!$G$1,'Live Collections'!$B:$B,"&lt;="&amp;'Colln-Summary'!$G$2)</f>
        <v>0</v>
      </c>
      <c r="K53" s="360">
        <f>SUMIFS('Live Collections'!$S:$S,'Live Collections'!$D:$D,'Colln-Summary'!$A53,'Live Collections'!$B:$B,"&gt;="&amp;'Colln-Summary'!$G$1,'Live Collections'!$B:$B,"&lt;="&amp;'Colln-Summary'!$G$2)</f>
        <v>0</v>
      </c>
      <c r="L53" s="360">
        <f>SUMIFS('Live Collections'!$T:$T,'Live Collections'!$D:$D,'Colln-Summary'!$A53,'Live Collections'!$B:$B,"&gt;="&amp;'Colln-Summary'!$G$1,'Live Collections'!$B:$B,"&lt;="&amp;'Colln-Summary'!$G$2)</f>
        <v>0</v>
      </c>
      <c r="M53" s="258">
        <f t="shared" si="1"/>
        <v>0</v>
      </c>
    </row>
    <row r="54" spans="1:13" x14ac:dyDescent="0.2">
      <c r="A54" s="478">
        <v>50</v>
      </c>
      <c r="B54" s="352" t="str">
        <f>IFERROR(VLOOKUP($A54,'Clients-Live'!$A:$C,3,0),"")</f>
        <v>WACHEKE HARRIET</v>
      </c>
      <c r="C54" s="353">
        <f>SUMIFS('Live Collections'!$J:$J,'Live Collections'!$D:$D,'Colln-Summary'!$A54,'Live Collections'!$B:$B,"&gt;="&amp;'Colln-Summary'!$G$1,'Live Collections'!$B:$B,"&lt;="&amp;'Colln-Summary'!$G$2)</f>
        <v>0</v>
      </c>
      <c r="D54" s="353">
        <f>SUMIFS('Live Collections'!$K:$K,'Live Collections'!$D:$D,'Colln-Summary'!$A54,'Live Collections'!$B:$B,"&gt;="&amp;'Colln-Summary'!$G$1,'Live Collections'!$B:$B,"&lt;="&amp;'Colln-Summary'!$G$2)</f>
        <v>0</v>
      </c>
      <c r="E54" s="353">
        <f>SUMIFS(Disbursements!$F:$F,Disbursements!$B:$B,'Colln-Summary'!$A54,Disbursements!$A:$A,"&gt;="&amp;'Colln-Summary'!$G$1,Disbursements!$A:$A,"&lt;="&amp;'Colln-Summary'!$G$2)</f>
        <v>0</v>
      </c>
      <c r="F54" s="353">
        <f>SUMIFS('Live Collections'!$L:$L,'Live Collections'!$D:$D,'Colln-Summary'!$A54,'Live Collections'!$B:$B,"&gt;="&amp;'Colln-Summary'!$G$1,'Live Collections'!$B:$B,"&lt;="&amp;'Colln-Summary'!$G$2)</f>
        <v>0</v>
      </c>
      <c r="G54" s="353">
        <f>SUMIFS('Live Collections'!$M:$M,'Live Collections'!$D:$D,'Colln-Summary'!$A54,'Live Collections'!$B:$B,"&gt;="&amp;'Colln-Summary'!$G$1,'Live Collections'!$B:$B,"&lt;="&amp;'Colln-Summary'!$G$2)</f>
        <v>0</v>
      </c>
      <c r="H54" s="353">
        <f>SUMIFS('Live Collections'!$N:$N,'Live Collections'!$D:$D,'Colln-Summary'!$A54,'Live Collections'!$B:$B,"&gt;="&amp;'Colln-Summary'!$G$1,'Live Collections'!$B:$B,"&lt;="&amp;'Colln-Summary'!$G$2)</f>
        <v>0</v>
      </c>
      <c r="I54" s="353">
        <f>SUMIFS('Live Collections'!$P:$P,'Live Collections'!$D:$D,'Colln-Summary'!$A54,'Live Collections'!$B:$B,"&gt;="&amp;'Colln-Summary'!$G$1,'Live Collections'!$B:$B,"&lt;="&amp;'Colln-Summary'!$G$2)</f>
        <v>0</v>
      </c>
      <c r="J54" s="353">
        <f>SUMIFS('Live Collections'!$O:$O,'Live Collections'!$D:$D,'Colln-Summary'!$A54,'Live Collections'!$B:$B,"&gt;="&amp;'Colln-Summary'!$G$1,'Live Collections'!$B:$B,"&lt;="&amp;'Colln-Summary'!$G$2)</f>
        <v>920000</v>
      </c>
      <c r="K54" s="360">
        <f>SUMIFS('Live Collections'!$S:$S,'Live Collections'!$D:$D,'Colln-Summary'!$A54,'Live Collections'!$B:$B,"&gt;="&amp;'Colln-Summary'!$G$1,'Live Collections'!$B:$B,"&lt;="&amp;'Colln-Summary'!$G$2)</f>
        <v>101333.33333333339</v>
      </c>
      <c r="L54" s="360">
        <f>SUMIFS('Live Collections'!$T:$T,'Live Collections'!$D:$D,'Colln-Summary'!$A54,'Live Collections'!$B:$B,"&gt;="&amp;'Colln-Summary'!$G$1,'Live Collections'!$B:$B,"&lt;="&amp;'Colln-Summary'!$G$2)</f>
        <v>818666.66666666663</v>
      </c>
      <c r="M54" s="258">
        <f t="shared" si="1"/>
        <v>920000</v>
      </c>
    </row>
    <row r="55" spans="1:13" x14ac:dyDescent="0.2">
      <c r="A55" s="478">
        <v>51</v>
      </c>
      <c r="B55" s="352" t="str">
        <f>IFERROR(VLOOKUP($A55,'Clients-Live'!$A:$C,3,0),"")</f>
        <v>AYILE STEPHEN</v>
      </c>
      <c r="C55" s="353">
        <f>SUMIFS('Live Collections'!$J:$J,'Live Collections'!$D:$D,'Colln-Summary'!$A55,'Live Collections'!$B:$B,"&gt;="&amp;'Colln-Summary'!$G$1,'Live Collections'!$B:$B,"&lt;="&amp;'Colln-Summary'!$G$2)</f>
        <v>0</v>
      </c>
      <c r="D55" s="353">
        <f>SUMIFS('Live Collections'!$K:$K,'Live Collections'!$D:$D,'Colln-Summary'!$A55,'Live Collections'!$B:$B,"&gt;="&amp;'Colln-Summary'!$G$1,'Live Collections'!$B:$B,"&lt;="&amp;'Colln-Summary'!$G$2)</f>
        <v>0</v>
      </c>
      <c r="E55" s="353">
        <f>SUMIFS(Disbursements!$F:$F,Disbursements!$B:$B,'Colln-Summary'!$A55,Disbursements!$A:$A,"&gt;="&amp;'Colln-Summary'!$G$1,Disbursements!$A:$A,"&lt;="&amp;'Colln-Summary'!$G$2)</f>
        <v>0</v>
      </c>
      <c r="F55" s="353">
        <f>SUMIFS('Live Collections'!$L:$L,'Live Collections'!$D:$D,'Colln-Summary'!$A55,'Live Collections'!$B:$B,"&gt;="&amp;'Colln-Summary'!$G$1,'Live Collections'!$B:$B,"&lt;="&amp;'Colln-Summary'!$G$2)</f>
        <v>0</v>
      </c>
      <c r="G55" s="353">
        <f>SUMIFS('Live Collections'!$M:$M,'Live Collections'!$D:$D,'Colln-Summary'!$A55,'Live Collections'!$B:$B,"&gt;="&amp;'Colln-Summary'!$G$1,'Live Collections'!$B:$B,"&lt;="&amp;'Colln-Summary'!$G$2)</f>
        <v>0</v>
      </c>
      <c r="H55" s="353">
        <f>SUMIFS('Live Collections'!$N:$N,'Live Collections'!$D:$D,'Colln-Summary'!$A55,'Live Collections'!$B:$B,"&gt;="&amp;'Colln-Summary'!$G$1,'Live Collections'!$B:$B,"&lt;="&amp;'Colln-Summary'!$G$2)</f>
        <v>0</v>
      </c>
      <c r="I55" s="353">
        <f>SUMIFS('Live Collections'!$P:$P,'Live Collections'!$D:$D,'Colln-Summary'!$A55,'Live Collections'!$B:$B,"&gt;="&amp;'Colln-Summary'!$G$1,'Live Collections'!$B:$B,"&lt;="&amp;'Colln-Summary'!$G$2)</f>
        <v>0</v>
      </c>
      <c r="J55" s="353">
        <f>SUMIFS('Live Collections'!$O:$O,'Live Collections'!$D:$D,'Colln-Summary'!$A55,'Live Collections'!$B:$B,"&gt;="&amp;'Colln-Summary'!$G$1,'Live Collections'!$B:$B,"&lt;="&amp;'Colln-Summary'!$G$2)</f>
        <v>0</v>
      </c>
      <c r="K55" s="360">
        <f>SUMIFS('Live Collections'!$S:$S,'Live Collections'!$D:$D,'Colln-Summary'!$A55,'Live Collections'!$B:$B,"&gt;="&amp;'Colln-Summary'!$G$1,'Live Collections'!$B:$B,"&lt;="&amp;'Colln-Summary'!$G$2)</f>
        <v>0</v>
      </c>
      <c r="L55" s="360">
        <f>SUMIFS('Live Collections'!$T:$T,'Live Collections'!$D:$D,'Colln-Summary'!$A55,'Live Collections'!$B:$B,"&gt;="&amp;'Colln-Summary'!$G$1,'Live Collections'!$B:$B,"&lt;="&amp;'Colln-Summary'!$G$2)</f>
        <v>0</v>
      </c>
      <c r="M55" s="258">
        <f t="shared" si="1"/>
        <v>0</v>
      </c>
    </row>
    <row r="56" spans="1:13" x14ac:dyDescent="0.2">
      <c r="A56" s="478">
        <v>52</v>
      </c>
      <c r="B56" s="352" t="str">
        <f>IFERROR(VLOOKUP($A56,'Clients-Live'!$A:$C,3,0),"")</f>
        <v>EDEZU PEACE IRENE</v>
      </c>
      <c r="C56" s="353">
        <f>SUMIFS('Live Collections'!$J:$J,'Live Collections'!$D:$D,'Colln-Summary'!$A56,'Live Collections'!$B:$B,"&gt;="&amp;'Colln-Summary'!$G$1,'Live Collections'!$B:$B,"&lt;="&amp;'Colln-Summary'!$G$2)</f>
        <v>0</v>
      </c>
      <c r="D56" s="353">
        <f>SUMIFS('Live Collections'!$K:$K,'Live Collections'!$D:$D,'Colln-Summary'!$A56,'Live Collections'!$B:$B,"&gt;="&amp;'Colln-Summary'!$G$1,'Live Collections'!$B:$B,"&lt;="&amp;'Colln-Summary'!$G$2)</f>
        <v>0</v>
      </c>
      <c r="E56" s="353">
        <f>SUMIFS(Disbursements!$F:$F,Disbursements!$B:$B,'Colln-Summary'!$A56,Disbursements!$A:$A,"&gt;="&amp;'Colln-Summary'!$G$1,Disbursements!$A:$A,"&lt;="&amp;'Colln-Summary'!$G$2)</f>
        <v>0</v>
      </c>
      <c r="F56" s="353">
        <f>SUMIFS('Live Collections'!$L:$L,'Live Collections'!$D:$D,'Colln-Summary'!$A56,'Live Collections'!$B:$B,"&gt;="&amp;'Colln-Summary'!$G$1,'Live Collections'!$B:$B,"&lt;="&amp;'Colln-Summary'!$G$2)</f>
        <v>0</v>
      </c>
      <c r="G56" s="353">
        <f>SUMIFS('Live Collections'!$M:$M,'Live Collections'!$D:$D,'Colln-Summary'!$A56,'Live Collections'!$B:$B,"&gt;="&amp;'Colln-Summary'!$G$1,'Live Collections'!$B:$B,"&lt;="&amp;'Colln-Summary'!$G$2)</f>
        <v>0</v>
      </c>
      <c r="H56" s="353">
        <f>SUMIFS('Live Collections'!$N:$N,'Live Collections'!$D:$D,'Colln-Summary'!$A56,'Live Collections'!$B:$B,"&gt;="&amp;'Colln-Summary'!$G$1,'Live Collections'!$B:$B,"&lt;="&amp;'Colln-Summary'!$G$2)</f>
        <v>0</v>
      </c>
      <c r="I56" s="353">
        <f>SUMIFS('Live Collections'!$P:$P,'Live Collections'!$D:$D,'Colln-Summary'!$A56,'Live Collections'!$B:$B,"&gt;="&amp;'Colln-Summary'!$G$1,'Live Collections'!$B:$B,"&lt;="&amp;'Colln-Summary'!$G$2)</f>
        <v>0</v>
      </c>
      <c r="J56" s="353">
        <f>SUMIFS('Live Collections'!$O:$O,'Live Collections'!$D:$D,'Colln-Summary'!$A56,'Live Collections'!$B:$B,"&gt;="&amp;'Colln-Summary'!$G$1,'Live Collections'!$B:$B,"&lt;="&amp;'Colln-Summary'!$G$2)</f>
        <v>190000</v>
      </c>
      <c r="K56" s="360">
        <f>SUMIFS('Live Collections'!$S:$S,'Live Collections'!$D:$D,'Colln-Summary'!$A56,'Live Collections'!$B:$B,"&gt;="&amp;'Colln-Summary'!$G$1,'Live Collections'!$B:$B,"&lt;="&amp;'Colln-Summary'!$G$2)</f>
        <v>30000</v>
      </c>
      <c r="L56" s="360">
        <f>SUMIFS('Live Collections'!$T:$T,'Live Collections'!$D:$D,'Colln-Summary'!$A56,'Live Collections'!$B:$B,"&gt;="&amp;'Colln-Summary'!$G$1,'Live Collections'!$B:$B,"&lt;="&amp;'Colln-Summary'!$G$2)</f>
        <v>160000</v>
      </c>
      <c r="M56" s="258">
        <f t="shared" si="1"/>
        <v>190000</v>
      </c>
    </row>
    <row r="57" spans="1:13" x14ac:dyDescent="0.2">
      <c r="A57" s="478">
        <v>53</v>
      </c>
      <c r="B57" s="352" t="str">
        <f>IFERROR(VLOOKUP($A57,'Clients-Live'!$A:$C,3,0),"")</f>
        <v>KALSUMU INNOCENT</v>
      </c>
      <c r="C57" s="353">
        <f>SUMIFS('Live Collections'!$J:$J,'Live Collections'!$D:$D,'Colln-Summary'!$A57,'Live Collections'!$B:$B,"&gt;="&amp;'Colln-Summary'!$G$1,'Live Collections'!$B:$B,"&lt;="&amp;'Colln-Summary'!$G$2)</f>
        <v>0</v>
      </c>
      <c r="D57" s="353">
        <f>SUMIFS('Live Collections'!$K:$K,'Live Collections'!$D:$D,'Colln-Summary'!$A57,'Live Collections'!$B:$B,"&gt;="&amp;'Colln-Summary'!$G$1,'Live Collections'!$B:$B,"&lt;="&amp;'Colln-Summary'!$G$2)</f>
        <v>0</v>
      </c>
      <c r="E57" s="353">
        <f>SUMIFS(Disbursements!$F:$F,Disbursements!$B:$B,'Colln-Summary'!$A57,Disbursements!$A:$A,"&gt;="&amp;'Colln-Summary'!$G$1,Disbursements!$A:$A,"&lt;="&amp;'Colln-Summary'!$G$2)</f>
        <v>0</v>
      </c>
      <c r="F57" s="353">
        <f>SUMIFS('Live Collections'!$L:$L,'Live Collections'!$D:$D,'Colln-Summary'!$A57,'Live Collections'!$B:$B,"&gt;="&amp;'Colln-Summary'!$G$1,'Live Collections'!$B:$B,"&lt;="&amp;'Colln-Summary'!$G$2)</f>
        <v>0</v>
      </c>
      <c r="G57" s="353">
        <f>SUMIFS('Live Collections'!$M:$M,'Live Collections'!$D:$D,'Colln-Summary'!$A57,'Live Collections'!$B:$B,"&gt;="&amp;'Colln-Summary'!$G$1,'Live Collections'!$B:$B,"&lt;="&amp;'Colln-Summary'!$G$2)</f>
        <v>0</v>
      </c>
      <c r="H57" s="353">
        <f>SUMIFS('Live Collections'!$N:$N,'Live Collections'!$D:$D,'Colln-Summary'!$A57,'Live Collections'!$B:$B,"&gt;="&amp;'Colln-Summary'!$G$1,'Live Collections'!$B:$B,"&lt;="&amp;'Colln-Summary'!$G$2)</f>
        <v>0</v>
      </c>
      <c r="I57" s="353">
        <f>SUMIFS('Live Collections'!$P:$P,'Live Collections'!$D:$D,'Colln-Summary'!$A57,'Live Collections'!$B:$B,"&gt;="&amp;'Colln-Summary'!$G$1,'Live Collections'!$B:$B,"&lt;="&amp;'Colln-Summary'!$G$2)</f>
        <v>0</v>
      </c>
      <c r="J57" s="353">
        <f>SUMIFS('Live Collections'!$O:$O,'Live Collections'!$D:$D,'Colln-Summary'!$A57,'Live Collections'!$B:$B,"&gt;="&amp;'Colln-Summary'!$G$1,'Live Collections'!$B:$B,"&lt;="&amp;'Colln-Summary'!$G$2)</f>
        <v>195000</v>
      </c>
      <c r="K57" s="360">
        <f>SUMIFS('Live Collections'!$S:$S,'Live Collections'!$D:$D,'Colln-Summary'!$A57,'Live Collections'!$B:$B,"&gt;="&amp;'Colln-Summary'!$G$1,'Live Collections'!$B:$B,"&lt;="&amp;'Colln-Summary'!$G$2)</f>
        <v>3333.3333333333321</v>
      </c>
      <c r="L57" s="360">
        <f>SUMIFS('Live Collections'!$T:$T,'Live Collections'!$D:$D,'Colln-Summary'!$A57,'Live Collections'!$B:$B,"&gt;="&amp;'Colln-Summary'!$G$1,'Live Collections'!$B:$B,"&lt;="&amp;'Colln-Summary'!$G$2)</f>
        <v>191666.66666666666</v>
      </c>
      <c r="M57" s="258">
        <f t="shared" si="1"/>
        <v>195000</v>
      </c>
    </row>
    <row r="58" spans="1:13" x14ac:dyDescent="0.2">
      <c r="A58" s="478">
        <v>54</v>
      </c>
      <c r="B58" s="352" t="str">
        <f>IFERROR(VLOOKUP($A58,'Clients-Live'!$A:$C,3,0),"")</f>
        <v>MANENO ANIFA</v>
      </c>
      <c r="C58" s="353">
        <f>SUMIFS('Live Collections'!$J:$J,'Live Collections'!$D:$D,'Colln-Summary'!$A58,'Live Collections'!$B:$B,"&gt;="&amp;'Colln-Summary'!$G$1,'Live Collections'!$B:$B,"&lt;="&amp;'Colln-Summary'!$G$2)</f>
        <v>0</v>
      </c>
      <c r="D58" s="353">
        <f>SUMIFS('Live Collections'!$K:$K,'Live Collections'!$D:$D,'Colln-Summary'!$A58,'Live Collections'!$B:$B,"&gt;="&amp;'Colln-Summary'!$G$1,'Live Collections'!$B:$B,"&lt;="&amp;'Colln-Summary'!$G$2)</f>
        <v>0</v>
      </c>
      <c r="E58" s="353">
        <f>SUMIFS(Disbursements!$F:$F,Disbursements!$B:$B,'Colln-Summary'!$A58,Disbursements!$A:$A,"&gt;="&amp;'Colln-Summary'!$G$1,Disbursements!$A:$A,"&lt;="&amp;'Colln-Summary'!$G$2)</f>
        <v>0</v>
      </c>
      <c r="F58" s="353">
        <f>SUMIFS('Live Collections'!$L:$L,'Live Collections'!$D:$D,'Colln-Summary'!$A58,'Live Collections'!$B:$B,"&gt;="&amp;'Colln-Summary'!$G$1,'Live Collections'!$B:$B,"&lt;="&amp;'Colln-Summary'!$G$2)</f>
        <v>0</v>
      </c>
      <c r="G58" s="353">
        <f>SUMIFS('Live Collections'!$M:$M,'Live Collections'!$D:$D,'Colln-Summary'!$A58,'Live Collections'!$B:$B,"&gt;="&amp;'Colln-Summary'!$G$1,'Live Collections'!$B:$B,"&lt;="&amp;'Colln-Summary'!$G$2)</f>
        <v>0</v>
      </c>
      <c r="H58" s="353">
        <f>SUMIFS('Live Collections'!$N:$N,'Live Collections'!$D:$D,'Colln-Summary'!$A58,'Live Collections'!$B:$B,"&gt;="&amp;'Colln-Summary'!$G$1,'Live Collections'!$B:$B,"&lt;="&amp;'Colln-Summary'!$G$2)</f>
        <v>0</v>
      </c>
      <c r="I58" s="353">
        <f>SUMIFS('Live Collections'!$P:$P,'Live Collections'!$D:$D,'Colln-Summary'!$A58,'Live Collections'!$B:$B,"&gt;="&amp;'Colln-Summary'!$G$1,'Live Collections'!$B:$B,"&lt;="&amp;'Colln-Summary'!$G$2)</f>
        <v>0</v>
      </c>
      <c r="J58" s="353">
        <f>SUMIFS('Live Collections'!$O:$O,'Live Collections'!$D:$D,'Colln-Summary'!$A58,'Live Collections'!$B:$B,"&gt;="&amp;'Colln-Summary'!$G$1,'Live Collections'!$B:$B,"&lt;="&amp;'Colln-Summary'!$G$2)</f>
        <v>90000</v>
      </c>
      <c r="K58" s="360">
        <f>SUMIFS('Live Collections'!$S:$S,'Live Collections'!$D:$D,'Colln-Summary'!$A58,'Live Collections'!$B:$B,"&gt;="&amp;'Colln-Summary'!$G$1,'Live Collections'!$B:$B,"&lt;="&amp;'Colln-Summary'!$G$2)</f>
        <v>0</v>
      </c>
      <c r="L58" s="360">
        <f>SUMIFS('Live Collections'!$T:$T,'Live Collections'!$D:$D,'Colln-Summary'!$A58,'Live Collections'!$B:$B,"&gt;="&amp;'Colln-Summary'!$G$1,'Live Collections'!$B:$B,"&lt;="&amp;'Colln-Summary'!$G$2)</f>
        <v>90000</v>
      </c>
      <c r="M58" s="258">
        <f t="shared" si="1"/>
        <v>90000</v>
      </c>
    </row>
    <row r="59" spans="1:13" x14ac:dyDescent="0.2">
      <c r="A59" s="478">
        <v>55</v>
      </c>
      <c r="B59" s="352" t="str">
        <f>IFERROR(VLOOKUP($A59,'Clients-Live'!$A:$C,3,0),"")</f>
        <v>SOKOLA SHARON</v>
      </c>
      <c r="C59" s="353">
        <f>SUMIFS('Live Collections'!$J:$J,'Live Collections'!$D:$D,'Colln-Summary'!$A59,'Live Collections'!$B:$B,"&gt;="&amp;'Colln-Summary'!$G$1,'Live Collections'!$B:$B,"&lt;="&amp;'Colln-Summary'!$G$2)</f>
        <v>0</v>
      </c>
      <c r="D59" s="353">
        <f>SUMIFS('Live Collections'!$K:$K,'Live Collections'!$D:$D,'Colln-Summary'!$A59,'Live Collections'!$B:$B,"&gt;="&amp;'Colln-Summary'!$G$1,'Live Collections'!$B:$B,"&lt;="&amp;'Colln-Summary'!$G$2)</f>
        <v>0</v>
      </c>
      <c r="E59" s="353">
        <f>SUMIFS(Disbursements!$F:$F,Disbursements!$B:$B,'Colln-Summary'!$A59,Disbursements!$A:$A,"&gt;="&amp;'Colln-Summary'!$G$1,Disbursements!$A:$A,"&lt;="&amp;'Colln-Summary'!$G$2)</f>
        <v>0</v>
      </c>
      <c r="F59" s="353">
        <f>SUMIFS('Live Collections'!$L:$L,'Live Collections'!$D:$D,'Colln-Summary'!$A59,'Live Collections'!$B:$B,"&gt;="&amp;'Colln-Summary'!$G$1,'Live Collections'!$B:$B,"&lt;="&amp;'Colln-Summary'!$G$2)</f>
        <v>0</v>
      </c>
      <c r="G59" s="353">
        <f>SUMIFS('Live Collections'!$M:$M,'Live Collections'!$D:$D,'Colln-Summary'!$A59,'Live Collections'!$B:$B,"&gt;="&amp;'Colln-Summary'!$G$1,'Live Collections'!$B:$B,"&lt;="&amp;'Colln-Summary'!$G$2)</f>
        <v>0</v>
      </c>
      <c r="H59" s="353">
        <f>SUMIFS('Live Collections'!$N:$N,'Live Collections'!$D:$D,'Colln-Summary'!$A59,'Live Collections'!$B:$B,"&gt;="&amp;'Colln-Summary'!$G$1,'Live Collections'!$B:$B,"&lt;="&amp;'Colln-Summary'!$G$2)</f>
        <v>0</v>
      </c>
      <c r="I59" s="353">
        <f>SUMIFS('Live Collections'!$P:$P,'Live Collections'!$D:$D,'Colln-Summary'!$A59,'Live Collections'!$B:$B,"&gt;="&amp;'Colln-Summary'!$G$1,'Live Collections'!$B:$B,"&lt;="&amp;'Colln-Summary'!$G$2)</f>
        <v>0</v>
      </c>
      <c r="J59" s="353">
        <f>SUMIFS('Live Collections'!$O:$O,'Live Collections'!$D:$D,'Colln-Summary'!$A59,'Live Collections'!$B:$B,"&gt;="&amp;'Colln-Summary'!$G$1,'Live Collections'!$B:$B,"&lt;="&amp;'Colln-Summary'!$G$2)</f>
        <v>100000</v>
      </c>
      <c r="K59" s="360">
        <f>SUMIFS('Live Collections'!$S:$S,'Live Collections'!$D:$D,'Colln-Summary'!$A59,'Live Collections'!$B:$B,"&gt;="&amp;'Colln-Summary'!$G$1,'Live Collections'!$B:$B,"&lt;="&amp;'Colln-Summary'!$G$2)</f>
        <v>25000</v>
      </c>
      <c r="L59" s="360">
        <f>SUMIFS('Live Collections'!$T:$T,'Live Collections'!$D:$D,'Colln-Summary'!$A59,'Live Collections'!$B:$B,"&gt;="&amp;'Colln-Summary'!$G$1,'Live Collections'!$B:$B,"&lt;="&amp;'Colln-Summary'!$G$2)</f>
        <v>75000</v>
      </c>
      <c r="M59" s="258">
        <f t="shared" si="1"/>
        <v>100000</v>
      </c>
    </row>
    <row r="60" spans="1:13" x14ac:dyDescent="0.2">
      <c r="A60" s="478">
        <v>56</v>
      </c>
      <c r="B60" s="352" t="str">
        <f>IFERROR(VLOOKUP($A60,'Clients-Live'!$A:$C,3,0),"")</f>
        <v>ALOMO ZABIBU</v>
      </c>
      <c r="C60" s="353">
        <f>SUMIFS('Live Collections'!$J:$J,'Live Collections'!$D:$D,'Colln-Summary'!$A60,'Live Collections'!$B:$B,"&gt;="&amp;'Colln-Summary'!$G$1,'Live Collections'!$B:$B,"&lt;="&amp;'Colln-Summary'!$G$2)</f>
        <v>0</v>
      </c>
      <c r="D60" s="353">
        <f>SUMIFS('Live Collections'!$K:$K,'Live Collections'!$D:$D,'Colln-Summary'!$A60,'Live Collections'!$B:$B,"&gt;="&amp;'Colln-Summary'!$G$1,'Live Collections'!$B:$B,"&lt;="&amp;'Colln-Summary'!$G$2)</f>
        <v>0</v>
      </c>
      <c r="E60" s="353">
        <f>SUMIFS(Disbursements!$F:$F,Disbursements!$B:$B,'Colln-Summary'!$A60,Disbursements!$A:$A,"&gt;="&amp;'Colln-Summary'!$G$1,Disbursements!$A:$A,"&lt;="&amp;'Colln-Summary'!$G$2)</f>
        <v>0</v>
      </c>
      <c r="F60" s="353">
        <f>SUMIFS('Live Collections'!$L:$L,'Live Collections'!$D:$D,'Colln-Summary'!$A60,'Live Collections'!$B:$B,"&gt;="&amp;'Colln-Summary'!$G$1,'Live Collections'!$B:$B,"&lt;="&amp;'Colln-Summary'!$G$2)</f>
        <v>0</v>
      </c>
      <c r="G60" s="353">
        <f>SUMIFS('Live Collections'!$M:$M,'Live Collections'!$D:$D,'Colln-Summary'!$A60,'Live Collections'!$B:$B,"&gt;="&amp;'Colln-Summary'!$G$1,'Live Collections'!$B:$B,"&lt;="&amp;'Colln-Summary'!$G$2)</f>
        <v>0</v>
      </c>
      <c r="H60" s="353">
        <f>SUMIFS('Live Collections'!$N:$N,'Live Collections'!$D:$D,'Colln-Summary'!$A60,'Live Collections'!$B:$B,"&gt;="&amp;'Colln-Summary'!$G$1,'Live Collections'!$B:$B,"&lt;="&amp;'Colln-Summary'!$G$2)</f>
        <v>0</v>
      </c>
      <c r="I60" s="353">
        <f>SUMIFS('Live Collections'!$P:$P,'Live Collections'!$D:$D,'Colln-Summary'!$A60,'Live Collections'!$B:$B,"&gt;="&amp;'Colln-Summary'!$G$1,'Live Collections'!$B:$B,"&lt;="&amp;'Colln-Summary'!$G$2)</f>
        <v>0</v>
      </c>
      <c r="J60" s="353">
        <f>SUMIFS('Live Collections'!$O:$O,'Live Collections'!$D:$D,'Colln-Summary'!$A60,'Live Collections'!$B:$B,"&gt;="&amp;'Colln-Summary'!$G$1,'Live Collections'!$B:$B,"&lt;="&amp;'Colln-Summary'!$G$2)</f>
        <v>100000</v>
      </c>
      <c r="K60" s="360">
        <f>SUMIFS('Live Collections'!$S:$S,'Live Collections'!$D:$D,'Colln-Summary'!$A60,'Live Collections'!$B:$B,"&gt;="&amp;'Colln-Summary'!$G$1,'Live Collections'!$B:$B,"&lt;="&amp;'Colln-Summary'!$G$2)</f>
        <v>13000</v>
      </c>
      <c r="L60" s="360">
        <f>SUMIFS('Live Collections'!$T:$T,'Live Collections'!$D:$D,'Colln-Summary'!$A60,'Live Collections'!$B:$B,"&gt;="&amp;'Colln-Summary'!$G$1,'Live Collections'!$B:$B,"&lt;="&amp;'Colln-Summary'!$G$2)</f>
        <v>87000</v>
      </c>
      <c r="M60" s="258">
        <f t="shared" si="1"/>
        <v>100000</v>
      </c>
    </row>
    <row r="61" spans="1:13" x14ac:dyDescent="0.2">
      <c r="A61" s="478">
        <v>57</v>
      </c>
      <c r="B61" s="352" t="str">
        <f>IFERROR(VLOOKUP($A61,'Clients-Live'!$A:$C,3,0),"")</f>
        <v>ASERU SCOVIA</v>
      </c>
      <c r="C61" s="353">
        <f>SUMIFS('Live Collections'!$J:$J,'Live Collections'!$D:$D,'Colln-Summary'!$A61,'Live Collections'!$B:$B,"&gt;="&amp;'Colln-Summary'!$G$1,'Live Collections'!$B:$B,"&lt;="&amp;'Colln-Summary'!$G$2)</f>
        <v>0</v>
      </c>
      <c r="D61" s="353">
        <f>SUMIFS('Live Collections'!$K:$K,'Live Collections'!$D:$D,'Colln-Summary'!$A61,'Live Collections'!$B:$B,"&gt;="&amp;'Colln-Summary'!$G$1,'Live Collections'!$B:$B,"&lt;="&amp;'Colln-Summary'!$G$2)</f>
        <v>0</v>
      </c>
      <c r="E61" s="353">
        <f>SUMIFS(Disbursements!$F:$F,Disbursements!$B:$B,'Colln-Summary'!$A61,Disbursements!$A:$A,"&gt;="&amp;'Colln-Summary'!$G$1,Disbursements!$A:$A,"&lt;="&amp;'Colln-Summary'!$G$2)</f>
        <v>0</v>
      </c>
      <c r="F61" s="353">
        <f>SUMIFS('Live Collections'!$L:$L,'Live Collections'!$D:$D,'Colln-Summary'!$A61,'Live Collections'!$B:$B,"&gt;="&amp;'Colln-Summary'!$G$1,'Live Collections'!$B:$B,"&lt;="&amp;'Colln-Summary'!$G$2)</f>
        <v>0</v>
      </c>
      <c r="G61" s="353">
        <f>SUMIFS('Live Collections'!$M:$M,'Live Collections'!$D:$D,'Colln-Summary'!$A61,'Live Collections'!$B:$B,"&gt;="&amp;'Colln-Summary'!$G$1,'Live Collections'!$B:$B,"&lt;="&amp;'Colln-Summary'!$G$2)</f>
        <v>0</v>
      </c>
      <c r="H61" s="353">
        <f>SUMIFS('Live Collections'!$N:$N,'Live Collections'!$D:$D,'Colln-Summary'!$A61,'Live Collections'!$B:$B,"&gt;="&amp;'Colln-Summary'!$G$1,'Live Collections'!$B:$B,"&lt;="&amp;'Colln-Summary'!$G$2)</f>
        <v>0</v>
      </c>
      <c r="I61" s="353">
        <f>SUMIFS('Live Collections'!$P:$P,'Live Collections'!$D:$D,'Colln-Summary'!$A61,'Live Collections'!$B:$B,"&gt;="&amp;'Colln-Summary'!$G$1,'Live Collections'!$B:$B,"&lt;="&amp;'Colln-Summary'!$G$2)</f>
        <v>0</v>
      </c>
      <c r="J61" s="353">
        <f>SUMIFS('Live Collections'!$O:$O,'Live Collections'!$D:$D,'Colln-Summary'!$A61,'Live Collections'!$B:$B,"&gt;="&amp;'Colln-Summary'!$G$1,'Live Collections'!$B:$B,"&lt;="&amp;'Colln-Summary'!$G$2)</f>
        <v>0</v>
      </c>
      <c r="K61" s="360">
        <f>SUMIFS('Live Collections'!$S:$S,'Live Collections'!$D:$D,'Colln-Summary'!$A61,'Live Collections'!$B:$B,"&gt;="&amp;'Colln-Summary'!$G$1,'Live Collections'!$B:$B,"&lt;="&amp;'Colln-Summary'!$G$2)</f>
        <v>0</v>
      </c>
      <c r="L61" s="360">
        <f>SUMIFS('Live Collections'!$T:$T,'Live Collections'!$D:$D,'Colln-Summary'!$A61,'Live Collections'!$B:$B,"&gt;="&amp;'Colln-Summary'!$G$1,'Live Collections'!$B:$B,"&lt;="&amp;'Colln-Summary'!$G$2)</f>
        <v>0</v>
      </c>
      <c r="M61" s="258">
        <f t="shared" si="1"/>
        <v>0</v>
      </c>
    </row>
    <row r="62" spans="1:13" x14ac:dyDescent="0.2">
      <c r="A62" s="478">
        <v>58</v>
      </c>
      <c r="B62" s="352" t="str">
        <f>IFERROR(VLOOKUP($A62,'Clients-Live'!$A:$C,3,0),"")</f>
        <v xml:space="preserve">ALIRU AMINA </v>
      </c>
      <c r="C62" s="353">
        <f>SUMIFS('Live Collections'!$J:$J,'Live Collections'!$D:$D,'Colln-Summary'!$A62,'Live Collections'!$B:$B,"&gt;="&amp;'Colln-Summary'!$G$1,'Live Collections'!$B:$B,"&lt;="&amp;'Colln-Summary'!$G$2)</f>
        <v>0</v>
      </c>
      <c r="D62" s="353">
        <f>SUMIFS('Live Collections'!$K:$K,'Live Collections'!$D:$D,'Colln-Summary'!$A62,'Live Collections'!$B:$B,"&gt;="&amp;'Colln-Summary'!$G$1,'Live Collections'!$B:$B,"&lt;="&amp;'Colln-Summary'!$G$2)</f>
        <v>0</v>
      </c>
      <c r="E62" s="353">
        <f>SUMIFS(Disbursements!$F:$F,Disbursements!$B:$B,'Colln-Summary'!$A62,Disbursements!$A:$A,"&gt;="&amp;'Colln-Summary'!$G$1,Disbursements!$A:$A,"&lt;="&amp;'Colln-Summary'!$G$2)</f>
        <v>0</v>
      </c>
      <c r="F62" s="353">
        <f>SUMIFS('Live Collections'!$L:$L,'Live Collections'!$D:$D,'Colln-Summary'!$A62,'Live Collections'!$B:$B,"&gt;="&amp;'Colln-Summary'!$G$1,'Live Collections'!$B:$B,"&lt;="&amp;'Colln-Summary'!$G$2)</f>
        <v>0</v>
      </c>
      <c r="G62" s="353">
        <f>SUMIFS('Live Collections'!$M:$M,'Live Collections'!$D:$D,'Colln-Summary'!$A62,'Live Collections'!$B:$B,"&gt;="&amp;'Colln-Summary'!$G$1,'Live Collections'!$B:$B,"&lt;="&amp;'Colln-Summary'!$G$2)</f>
        <v>0</v>
      </c>
      <c r="H62" s="353">
        <f>SUMIFS('Live Collections'!$N:$N,'Live Collections'!$D:$D,'Colln-Summary'!$A62,'Live Collections'!$B:$B,"&gt;="&amp;'Colln-Summary'!$G$1,'Live Collections'!$B:$B,"&lt;="&amp;'Colln-Summary'!$G$2)</f>
        <v>0</v>
      </c>
      <c r="I62" s="353">
        <f>SUMIFS('Live Collections'!$P:$P,'Live Collections'!$D:$D,'Colln-Summary'!$A62,'Live Collections'!$B:$B,"&gt;="&amp;'Colln-Summary'!$G$1,'Live Collections'!$B:$B,"&lt;="&amp;'Colln-Summary'!$G$2)</f>
        <v>0</v>
      </c>
      <c r="J62" s="353">
        <f>SUMIFS('Live Collections'!$O:$O,'Live Collections'!$D:$D,'Colln-Summary'!$A62,'Live Collections'!$B:$B,"&gt;="&amp;'Colln-Summary'!$G$1,'Live Collections'!$B:$B,"&lt;="&amp;'Colln-Summary'!$G$2)</f>
        <v>0</v>
      </c>
      <c r="K62" s="360">
        <f>SUMIFS('Live Collections'!$S:$S,'Live Collections'!$D:$D,'Colln-Summary'!$A62,'Live Collections'!$B:$B,"&gt;="&amp;'Colln-Summary'!$G$1,'Live Collections'!$B:$B,"&lt;="&amp;'Colln-Summary'!$G$2)</f>
        <v>0</v>
      </c>
      <c r="L62" s="360">
        <f>SUMIFS('Live Collections'!$T:$T,'Live Collections'!$D:$D,'Colln-Summary'!$A62,'Live Collections'!$B:$B,"&gt;="&amp;'Colln-Summary'!$G$1,'Live Collections'!$B:$B,"&lt;="&amp;'Colln-Summary'!$G$2)</f>
        <v>0</v>
      </c>
      <c r="M62" s="258">
        <f t="shared" si="1"/>
        <v>0</v>
      </c>
    </row>
    <row r="63" spans="1:13" x14ac:dyDescent="0.2">
      <c r="A63" s="478">
        <v>59</v>
      </c>
      <c r="B63" s="352" t="str">
        <f>IFERROR(VLOOKUP($A63,'Clients-Live'!$A:$C,3,0),"")</f>
        <v>ONZIA AGNES</v>
      </c>
      <c r="C63" s="353">
        <f>SUMIFS('Live Collections'!$J:$J,'Live Collections'!$D:$D,'Colln-Summary'!$A63,'Live Collections'!$B:$B,"&gt;="&amp;'Colln-Summary'!$G$1,'Live Collections'!$B:$B,"&lt;="&amp;'Colln-Summary'!$G$2)</f>
        <v>0</v>
      </c>
      <c r="D63" s="353">
        <f>SUMIFS('Live Collections'!$K:$K,'Live Collections'!$D:$D,'Colln-Summary'!$A63,'Live Collections'!$B:$B,"&gt;="&amp;'Colln-Summary'!$G$1,'Live Collections'!$B:$B,"&lt;="&amp;'Colln-Summary'!$G$2)</f>
        <v>0</v>
      </c>
      <c r="E63" s="353">
        <f>SUMIFS(Disbursements!$F:$F,Disbursements!$B:$B,'Colln-Summary'!$A63,Disbursements!$A:$A,"&gt;="&amp;'Colln-Summary'!$G$1,Disbursements!$A:$A,"&lt;="&amp;'Colln-Summary'!$G$2)</f>
        <v>0</v>
      </c>
      <c r="F63" s="353">
        <f>SUMIFS('Live Collections'!$L:$L,'Live Collections'!$D:$D,'Colln-Summary'!$A63,'Live Collections'!$B:$B,"&gt;="&amp;'Colln-Summary'!$G$1,'Live Collections'!$B:$B,"&lt;="&amp;'Colln-Summary'!$G$2)</f>
        <v>0</v>
      </c>
      <c r="G63" s="353">
        <f>SUMIFS('Live Collections'!$M:$M,'Live Collections'!$D:$D,'Colln-Summary'!$A63,'Live Collections'!$B:$B,"&gt;="&amp;'Colln-Summary'!$G$1,'Live Collections'!$B:$B,"&lt;="&amp;'Colln-Summary'!$G$2)</f>
        <v>0</v>
      </c>
      <c r="H63" s="353">
        <f>SUMIFS('Live Collections'!$N:$N,'Live Collections'!$D:$D,'Colln-Summary'!$A63,'Live Collections'!$B:$B,"&gt;="&amp;'Colln-Summary'!$G$1,'Live Collections'!$B:$B,"&lt;="&amp;'Colln-Summary'!$G$2)</f>
        <v>0</v>
      </c>
      <c r="I63" s="353">
        <f>SUMIFS('Live Collections'!$P:$P,'Live Collections'!$D:$D,'Colln-Summary'!$A63,'Live Collections'!$B:$B,"&gt;="&amp;'Colln-Summary'!$G$1,'Live Collections'!$B:$B,"&lt;="&amp;'Colln-Summary'!$G$2)</f>
        <v>0</v>
      </c>
      <c r="J63" s="353">
        <f>SUMIFS('Live Collections'!$O:$O,'Live Collections'!$D:$D,'Colln-Summary'!$A63,'Live Collections'!$B:$B,"&gt;="&amp;'Colln-Summary'!$G$1,'Live Collections'!$B:$B,"&lt;="&amp;'Colln-Summary'!$G$2)</f>
        <v>90000</v>
      </c>
      <c r="K63" s="360">
        <f>SUMIFS('Live Collections'!$S:$S,'Live Collections'!$D:$D,'Colln-Summary'!$A63,'Live Collections'!$B:$B,"&gt;="&amp;'Colln-Summary'!$G$1,'Live Collections'!$B:$B,"&lt;="&amp;'Colln-Summary'!$G$2)</f>
        <v>3333.3333333333321</v>
      </c>
      <c r="L63" s="360">
        <f>SUMIFS('Live Collections'!$T:$T,'Live Collections'!$D:$D,'Colln-Summary'!$A63,'Live Collections'!$B:$B,"&gt;="&amp;'Colln-Summary'!$G$1,'Live Collections'!$B:$B,"&lt;="&amp;'Colln-Summary'!$G$2)</f>
        <v>86666.666666666672</v>
      </c>
      <c r="M63" s="258">
        <f t="shared" si="1"/>
        <v>90000</v>
      </c>
    </row>
    <row r="64" spans="1:13" x14ac:dyDescent="0.2">
      <c r="A64" s="478">
        <v>60</v>
      </c>
      <c r="B64" s="352" t="str">
        <f>IFERROR(VLOOKUP($A64,'Clients-Live'!$A:$C,3,0),"")</f>
        <v>MATURU ALICE</v>
      </c>
      <c r="C64" s="353">
        <f>SUMIFS('Live Collections'!$J:$J,'Live Collections'!$D:$D,'Colln-Summary'!$A64,'Live Collections'!$B:$B,"&gt;="&amp;'Colln-Summary'!$G$1,'Live Collections'!$B:$B,"&lt;="&amp;'Colln-Summary'!$G$2)</f>
        <v>0</v>
      </c>
      <c r="D64" s="353">
        <f>SUMIFS('Live Collections'!$K:$K,'Live Collections'!$D:$D,'Colln-Summary'!$A64,'Live Collections'!$B:$B,"&gt;="&amp;'Colln-Summary'!$G$1,'Live Collections'!$B:$B,"&lt;="&amp;'Colln-Summary'!$G$2)</f>
        <v>0</v>
      </c>
      <c r="E64" s="353">
        <f>SUMIFS(Disbursements!$F:$F,Disbursements!$B:$B,'Colln-Summary'!$A64,Disbursements!$A:$A,"&gt;="&amp;'Colln-Summary'!$G$1,Disbursements!$A:$A,"&lt;="&amp;'Colln-Summary'!$G$2)</f>
        <v>0</v>
      </c>
      <c r="F64" s="353">
        <f>SUMIFS('Live Collections'!$L:$L,'Live Collections'!$D:$D,'Colln-Summary'!$A64,'Live Collections'!$B:$B,"&gt;="&amp;'Colln-Summary'!$G$1,'Live Collections'!$B:$B,"&lt;="&amp;'Colln-Summary'!$G$2)</f>
        <v>0</v>
      </c>
      <c r="G64" s="353">
        <f>SUMIFS('Live Collections'!$M:$M,'Live Collections'!$D:$D,'Colln-Summary'!$A64,'Live Collections'!$B:$B,"&gt;="&amp;'Colln-Summary'!$G$1,'Live Collections'!$B:$B,"&lt;="&amp;'Colln-Summary'!$G$2)</f>
        <v>0</v>
      </c>
      <c r="H64" s="353">
        <f>SUMIFS('Live Collections'!$N:$N,'Live Collections'!$D:$D,'Colln-Summary'!$A64,'Live Collections'!$B:$B,"&gt;="&amp;'Colln-Summary'!$G$1,'Live Collections'!$B:$B,"&lt;="&amp;'Colln-Summary'!$G$2)</f>
        <v>0</v>
      </c>
      <c r="I64" s="353">
        <f>SUMIFS('Live Collections'!$P:$P,'Live Collections'!$D:$D,'Colln-Summary'!$A64,'Live Collections'!$B:$B,"&gt;="&amp;'Colln-Summary'!$G$1,'Live Collections'!$B:$B,"&lt;="&amp;'Colln-Summary'!$G$2)</f>
        <v>-60000</v>
      </c>
      <c r="J64" s="353">
        <f>SUMIFS('Live Collections'!$O:$O,'Live Collections'!$D:$D,'Colln-Summary'!$A64,'Live Collections'!$B:$B,"&gt;="&amp;'Colln-Summary'!$G$1,'Live Collections'!$B:$B,"&lt;="&amp;'Colln-Summary'!$G$2)</f>
        <v>210000</v>
      </c>
      <c r="K64" s="360">
        <f>SUMIFS('Live Collections'!$S:$S,'Live Collections'!$D:$D,'Colln-Summary'!$A64,'Live Collections'!$B:$B,"&gt;="&amp;'Colln-Summary'!$G$1,'Live Collections'!$B:$B,"&lt;="&amp;'Colln-Summary'!$G$2)</f>
        <v>-50666.666666666686</v>
      </c>
      <c r="L64" s="360">
        <f>SUMIFS('Live Collections'!$T:$T,'Live Collections'!$D:$D,'Colln-Summary'!$A64,'Live Collections'!$B:$B,"&gt;="&amp;'Colln-Summary'!$G$1,'Live Collections'!$B:$B,"&lt;="&amp;'Colln-Summary'!$G$2)</f>
        <v>260666.66666666669</v>
      </c>
      <c r="M64" s="258">
        <f t="shared" si="1"/>
        <v>150000</v>
      </c>
    </row>
    <row r="65" spans="1:13" x14ac:dyDescent="0.2">
      <c r="A65" s="478">
        <v>61</v>
      </c>
      <c r="B65" s="352" t="str">
        <f>IFERROR(VLOOKUP($A65,'Clients-Live'!$A:$C,3,0),"")</f>
        <v>AREDU RUKIA</v>
      </c>
      <c r="C65" s="353">
        <f>SUMIFS('Live Collections'!$J:$J,'Live Collections'!$D:$D,'Colln-Summary'!$A65,'Live Collections'!$B:$B,"&gt;="&amp;'Colln-Summary'!$G$1,'Live Collections'!$B:$B,"&lt;="&amp;'Colln-Summary'!$G$2)</f>
        <v>0</v>
      </c>
      <c r="D65" s="353">
        <f>SUMIFS('Live Collections'!$K:$K,'Live Collections'!$D:$D,'Colln-Summary'!$A65,'Live Collections'!$B:$B,"&gt;="&amp;'Colln-Summary'!$G$1,'Live Collections'!$B:$B,"&lt;="&amp;'Colln-Summary'!$G$2)</f>
        <v>0</v>
      </c>
      <c r="E65" s="353">
        <f>SUMIFS(Disbursements!$F:$F,Disbursements!$B:$B,'Colln-Summary'!$A65,Disbursements!$A:$A,"&gt;="&amp;'Colln-Summary'!$G$1,Disbursements!$A:$A,"&lt;="&amp;'Colln-Summary'!$G$2)</f>
        <v>0</v>
      </c>
      <c r="F65" s="353">
        <f>SUMIFS('Live Collections'!$L:$L,'Live Collections'!$D:$D,'Colln-Summary'!$A65,'Live Collections'!$B:$B,"&gt;="&amp;'Colln-Summary'!$G$1,'Live Collections'!$B:$B,"&lt;="&amp;'Colln-Summary'!$G$2)</f>
        <v>0</v>
      </c>
      <c r="G65" s="353">
        <f>SUMIFS('Live Collections'!$M:$M,'Live Collections'!$D:$D,'Colln-Summary'!$A65,'Live Collections'!$B:$B,"&gt;="&amp;'Colln-Summary'!$G$1,'Live Collections'!$B:$B,"&lt;="&amp;'Colln-Summary'!$G$2)</f>
        <v>0</v>
      </c>
      <c r="H65" s="353">
        <f>SUMIFS('Live Collections'!$N:$N,'Live Collections'!$D:$D,'Colln-Summary'!$A65,'Live Collections'!$B:$B,"&gt;="&amp;'Colln-Summary'!$G$1,'Live Collections'!$B:$B,"&lt;="&amp;'Colln-Summary'!$G$2)</f>
        <v>0</v>
      </c>
      <c r="I65" s="353">
        <f>SUMIFS('Live Collections'!$P:$P,'Live Collections'!$D:$D,'Colln-Summary'!$A65,'Live Collections'!$B:$B,"&gt;="&amp;'Colln-Summary'!$G$1,'Live Collections'!$B:$B,"&lt;="&amp;'Colln-Summary'!$G$2)</f>
        <v>0</v>
      </c>
      <c r="J65" s="353">
        <f>SUMIFS('Live Collections'!$O:$O,'Live Collections'!$D:$D,'Colln-Summary'!$A65,'Live Collections'!$B:$B,"&gt;="&amp;'Colln-Summary'!$G$1,'Live Collections'!$B:$B,"&lt;="&amp;'Colln-Summary'!$G$2)</f>
        <v>90000</v>
      </c>
      <c r="K65" s="360">
        <f>SUMIFS('Live Collections'!$S:$S,'Live Collections'!$D:$D,'Colln-Summary'!$A65,'Live Collections'!$B:$B,"&gt;="&amp;'Colln-Summary'!$G$1,'Live Collections'!$B:$B,"&lt;="&amp;'Colln-Summary'!$G$2)</f>
        <v>0</v>
      </c>
      <c r="L65" s="360">
        <f>SUMIFS('Live Collections'!$T:$T,'Live Collections'!$D:$D,'Colln-Summary'!$A65,'Live Collections'!$B:$B,"&gt;="&amp;'Colln-Summary'!$G$1,'Live Collections'!$B:$B,"&lt;="&amp;'Colln-Summary'!$G$2)</f>
        <v>90000</v>
      </c>
      <c r="M65" s="258">
        <f t="shared" si="1"/>
        <v>90000</v>
      </c>
    </row>
    <row r="66" spans="1:13" x14ac:dyDescent="0.2">
      <c r="A66" s="478">
        <v>62</v>
      </c>
      <c r="B66" s="352" t="str">
        <f>IFERROR(VLOOKUP($A66,'Clients-Live'!$A:$C,3,0),"")</f>
        <v>DUDU ARIKE</v>
      </c>
      <c r="C66" s="353">
        <f>SUMIFS('Live Collections'!$J:$J,'Live Collections'!$D:$D,'Colln-Summary'!$A66,'Live Collections'!$B:$B,"&gt;="&amp;'Colln-Summary'!$G$1,'Live Collections'!$B:$B,"&lt;="&amp;'Colln-Summary'!$G$2)</f>
        <v>0</v>
      </c>
      <c r="D66" s="353">
        <f>SUMIFS('Live Collections'!$K:$K,'Live Collections'!$D:$D,'Colln-Summary'!$A66,'Live Collections'!$B:$B,"&gt;="&amp;'Colln-Summary'!$G$1,'Live Collections'!$B:$B,"&lt;="&amp;'Colln-Summary'!$G$2)</f>
        <v>0</v>
      </c>
      <c r="E66" s="353">
        <f>SUMIFS(Disbursements!$F:$F,Disbursements!$B:$B,'Colln-Summary'!$A66,Disbursements!$A:$A,"&gt;="&amp;'Colln-Summary'!$G$1,Disbursements!$A:$A,"&lt;="&amp;'Colln-Summary'!$G$2)</f>
        <v>0</v>
      </c>
      <c r="F66" s="353">
        <f>SUMIFS('Live Collections'!$L:$L,'Live Collections'!$D:$D,'Colln-Summary'!$A66,'Live Collections'!$B:$B,"&gt;="&amp;'Colln-Summary'!$G$1,'Live Collections'!$B:$B,"&lt;="&amp;'Colln-Summary'!$G$2)</f>
        <v>0</v>
      </c>
      <c r="G66" s="353">
        <f>SUMIFS('Live Collections'!$M:$M,'Live Collections'!$D:$D,'Colln-Summary'!$A66,'Live Collections'!$B:$B,"&gt;="&amp;'Colln-Summary'!$G$1,'Live Collections'!$B:$B,"&lt;="&amp;'Colln-Summary'!$G$2)</f>
        <v>0</v>
      </c>
      <c r="H66" s="353">
        <f>SUMIFS('Live Collections'!$N:$N,'Live Collections'!$D:$D,'Colln-Summary'!$A66,'Live Collections'!$B:$B,"&gt;="&amp;'Colln-Summary'!$G$1,'Live Collections'!$B:$B,"&lt;="&amp;'Colln-Summary'!$G$2)</f>
        <v>0</v>
      </c>
      <c r="I66" s="353">
        <f>SUMIFS('Live Collections'!$P:$P,'Live Collections'!$D:$D,'Colln-Summary'!$A66,'Live Collections'!$B:$B,"&gt;="&amp;'Colln-Summary'!$G$1,'Live Collections'!$B:$B,"&lt;="&amp;'Colln-Summary'!$G$2)</f>
        <v>0</v>
      </c>
      <c r="J66" s="353">
        <f>SUMIFS('Live Collections'!$O:$O,'Live Collections'!$D:$D,'Colln-Summary'!$A66,'Live Collections'!$B:$B,"&gt;="&amp;'Colln-Summary'!$G$1,'Live Collections'!$B:$B,"&lt;="&amp;'Colln-Summary'!$G$2)</f>
        <v>0</v>
      </c>
      <c r="K66" s="360">
        <f>SUMIFS('Live Collections'!$S:$S,'Live Collections'!$D:$D,'Colln-Summary'!$A66,'Live Collections'!$B:$B,"&gt;="&amp;'Colln-Summary'!$G$1,'Live Collections'!$B:$B,"&lt;="&amp;'Colln-Summary'!$G$2)</f>
        <v>0</v>
      </c>
      <c r="L66" s="360">
        <f>SUMIFS('Live Collections'!$T:$T,'Live Collections'!$D:$D,'Colln-Summary'!$A66,'Live Collections'!$B:$B,"&gt;="&amp;'Colln-Summary'!$G$1,'Live Collections'!$B:$B,"&lt;="&amp;'Colln-Summary'!$G$2)</f>
        <v>0</v>
      </c>
      <c r="M66" s="258">
        <f t="shared" si="1"/>
        <v>0</v>
      </c>
    </row>
    <row r="67" spans="1:13" x14ac:dyDescent="0.2">
      <c r="A67" s="478">
        <v>63</v>
      </c>
      <c r="B67" s="352" t="str">
        <f>IFERROR(VLOOKUP($A67,'Clients-Live'!$A:$C,3,0),"")</f>
        <v>AWURU KADARA</v>
      </c>
      <c r="C67" s="353">
        <f>SUMIFS('Live Collections'!$J:$J,'Live Collections'!$D:$D,'Colln-Summary'!$A67,'Live Collections'!$B:$B,"&gt;="&amp;'Colln-Summary'!$G$1,'Live Collections'!$B:$B,"&lt;="&amp;'Colln-Summary'!$G$2)</f>
        <v>0</v>
      </c>
      <c r="D67" s="353">
        <f>SUMIFS('Live Collections'!$K:$K,'Live Collections'!$D:$D,'Colln-Summary'!$A67,'Live Collections'!$B:$B,"&gt;="&amp;'Colln-Summary'!$G$1,'Live Collections'!$B:$B,"&lt;="&amp;'Colln-Summary'!$G$2)</f>
        <v>0</v>
      </c>
      <c r="E67" s="353">
        <f>SUMIFS(Disbursements!$F:$F,Disbursements!$B:$B,'Colln-Summary'!$A67,Disbursements!$A:$A,"&gt;="&amp;'Colln-Summary'!$G$1,Disbursements!$A:$A,"&lt;="&amp;'Colln-Summary'!$G$2)</f>
        <v>0</v>
      </c>
      <c r="F67" s="353">
        <f>SUMIFS('Live Collections'!$L:$L,'Live Collections'!$D:$D,'Colln-Summary'!$A67,'Live Collections'!$B:$B,"&gt;="&amp;'Colln-Summary'!$G$1,'Live Collections'!$B:$B,"&lt;="&amp;'Colln-Summary'!$G$2)</f>
        <v>0</v>
      </c>
      <c r="G67" s="353">
        <f>SUMIFS('Live Collections'!$M:$M,'Live Collections'!$D:$D,'Colln-Summary'!$A67,'Live Collections'!$B:$B,"&gt;="&amp;'Colln-Summary'!$G$1,'Live Collections'!$B:$B,"&lt;="&amp;'Colln-Summary'!$G$2)</f>
        <v>0</v>
      </c>
      <c r="H67" s="353">
        <f>SUMIFS('Live Collections'!$N:$N,'Live Collections'!$D:$D,'Colln-Summary'!$A67,'Live Collections'!$B:$B,"&gt;="&amp;'Colln-Summary'!$G$1,'Live Collections'!$B:$B,"&lt;="&amp;'Colln-Summary'!$G$2)</f>
        <v>0</v>
      </c>
      <c r="I67" s="353">
        <f>SUMIFS('Live Collections'!$P:$P,'Live Collections'!$D:$D,'Colln-Summary'!$A67,'Live Collections'!$B:$B,"&gt;="&amp;'Colln-Summary'!$G$1,'Live Collections'!$B:$B,"&lt;="&amp;'Colln-Summary'!$G$2)</f>
        <v>0</v>
      </c>
      <c r="J67" s="353">
        <f>SUMIFS('Live Collections'!$O:$O,'Live Collections'!$D:$D,'Colln-Summary'!$A67,'Live Collections'!$B:$B,"&gt;="&amp;'Colln-Summary'!$G$1,'Live Collections'!$B:$B,"&lt;="&amp;'Colln-Summary'!$G$2)</f>
        <v>180000</v>
      </c>
      <c r="K67" s="360">
        <f>SUMIFS('Live Collections'!$S:$S,'Live Collections'!$D:$D,'Colln-Summary'!$A67,'Live Collections'!$B:$B,"&gt;="&amp;'Colln-Summary'!$G$1,'Live Collections'!$B:$B,"&lt;="&amp;'Colln-Summary'!$G$2)</f>
        <v>23000</v>
      </c>
      <c r="L67" s="360">
        <f>SUMIFS('Live Collections'!$T:$T,'Live Collections'!$D:$D,'Colln-Summary'!$A67,'Live Collections'!$B:$B,"&gt;="&amp;'Colln-Summary'!$G$1,'Live Collections'!$B:$B,"&lt;="&amp;'Colln-Summary'!$G$2)</f>
        <v>157000</v>
      </c>
      <c r="M67" s="258">
        <f t="shared" si="1"/>
        <v>180000</v>
      </c>
    </row>
    <row r="68" spans="1:13" x14ac:dyDescent="0.2">
      <c r="A68" s="478">
        <v>64</v>
      </c>
      <c r="B68" s="352" t="str">
        <f>IFERROR(VLOOKUP($A68,'Clients-Live'!$A:$C,3,0),"")</f>
        <v>AKINO JUDITH</v>
      </c>
      <c r="C68" s="353">
        <f>SUMIFS('Live Collections'!$J:$J,'Live Collections'!$D:$D,'Colln-Summary'!$A68,'Live Collections'!$B:$B,"&gt;="&amp;'Colln-Summary'!$G$1,'Live Collections'!$B:$B,"&lt;="&amp;'Colln-Summary'!$G$2)</f>
        <v>0</v>
      </c>
      <c r="D68" s="353">
        <f>SUMIFS('Live Collections'!$K:$K,'Live Collections'!$D:$D,'Colln-Summary'!$A68,'Live Collections'!$B:$B,"&gt;="&amp;'Colln-Summary'!$G$1,'Live Collections'!$B:$B,"&lt;="&amp;'Colln-Summary'!$G$2)</f>
        <v>0</v>
      </c>
      <c r="E68" s="353">
        <f>SUMIFS(Disbursements!$F:$F,Disbursements!$B:$B,'Colln-Summary'!$A68,Disbursements!$A:$A,"&gt;="&amp;'Colln-Summary'!$G$1,Disbursements!$A:$A,"&lt;="&amp;'Colln-Summary'!$G$2)</f>
        <v>0</v>
      </c>
      <c r="F68" s="353">
        <f>SUMIFS('Live Collections'!$L:$L,'Live Collections'!$D:$D,'Colln-Summary'!$A68,'Live Collections'!$B:$B,"&gt;="&amp;'Colln-Summary'!$G$1,'Live Collections'!$B:$B,"&lt;="&amp;'Colln-Summary'!$G$2)</f>
        <v>0</v>
      </c>
      <c r="G68" s="353">
        <f>SUMIFS('Live Collections'!$M:$M,'Live Collections'!$D:$D,'Colln-Summary'!$A68,'Live Collections'!$B:$B,"&gt;="&amp;'Colln-Summary'!$G$1,'Live Collections'!$B:$B,"&lt;="&amp;'Colln-Summary'!$G$2)</f>
        <v>0</v>
      </c>
      <c r="H68" s="353">
        <f>SUMIFS('Live Collections'!$N:$N,'Live Collections'!$D:$D,'Colln-Summary'!$A68,'Live Collections'!$B:$B,"&gt;="&amp;'Colln-Summary'!$G$1,'Live Collections'!$B:$B,"&lt;="&amp;'Colln-Summary'!$G$2)</f>
        <v>0</v>
      </c>
      <c r="I68" s="353">
        <f>SUMIFS('Live Collections'!$P:$P,'Live Collections'!$D:$D,'Colln-Summary'!$A68,'Live Collections'!$B:$B,"&gt;="&amp;'Colln-Summary'!$G$1,'Live Collections'!$B:$B,"&lt;="&amp;'Colln-Summary'!$G$2)</f>
        <v>0</v>
      </c>
      <c r="J68" s="353">
        <f>SUMIFS('Live Collections'!$O:$O,'Live Collections'!$D:$D,'Colln-Summary'!$A68,'Live Collections'!$B:$B,"&gt;="&amp;'Colln-Summary'!$G$1,'Live Collections'!$B:$B,"&lt;="&amp;'Colln-Summary'!$G$2)</f>
        <v>0</v>
      </c>
      <c r="K68" s="360">
        <f>SUMIFS('Live Collections'!$S:$S,'Live Collections'!$D:$D,'Colln-Summary'!$A68,'Live Collections'!$B:$B,"&gt;="&amp;'Colln-Summary'!$G$1,'Live Collections'!$B:$B,"&lt;="&amp;'Colln-Summary'!$G$2)</f>
        <v>0</v>
      </c>
      <c r="L68" s="360">
        <f>SUMIFS('Live Collections'!$T:$T,'Live Collections'!$D:$D,'Colln-Summary'!$A68,'Live Collections'!$B:$B,"&gt;="&amp;'Colln-Summary'!$G$1,'Live Collections'!$B:$B,"&lt;="&amp;'Colln-Summary'!$G$2)</f>
        <v>0</v>
      </c>
      <c r="M68" s="258">
        <f t="shared" si="1"/>
        <v>0</v>
      </c>
    </row>
    <row r="69" spans="1:13" x14ac:dyDescent="0.2">
      <c r="A69" s="478">
        <v>65</v>
      </c>
      <c r="B69" s="352" t="str">
        <f>IFERROR(VLOOKUP($A69,'Clients-Live'!$A:$C,3,0),"")</f>
        <v>NDAWULA GERALD</v>
      </c>
      <c r="C69" s="353">
        <f>SUMIFS('Live Collections'!$J:$J,'Live Collections'!$D:$D,'Colln-Summary'!$A69,'Live Collections'!$B:$B,"&gt;="&amp;'Colln-Summary'!$G$1,'Live Collections'!$B:$B,"&lt;="&amp;'Colln-Summary'!$G$2)</f>
        <v>0</v>
      </c>
      <c r="D69" s="353">
        <f>SUMIFS('Live Collections'!$K:$K,'Live Collections'!$D:$D,'Colln-Summary'!$A69,'Live Collections'!$B:$B,"&gt;="&amp;'Colln-Summary'!$G$1,'Live Collections'!$B:$B,"&lt;="&amp;'Colln-Summary'!$G$2)</f>
        <v>0</v>
      </c>
      <c r="E69" s="353">
        <f>SUMIFS(Disbursements!$F:$F,Disbursements!$B:$B,'Colln-Summary'!$A69,Disbursements!$A:$A,"&gt;="&amp;'Colln-Summary'!$G$1,Disbursements!$A:$A,"&lt;="&amp;'Colln-Summary'!$G$2)</f>
        <v>0</v>
      </c>
      <c r="F69" s="353">
        <f>SUMIFS('Live Collections'!$L:$L,'Live Collections'!$D:$D,'Colln-Summary'!$A69,'Live Collections'!$B:$B,"&gt;="&amp;'Colln-Summary'!$G$1,'Live Collections'!$B:$B,"&lt;="&amp;'Colln-Summary'!$G$2)</f>
        <v>0</v>
      </c>
      <c r="G69" s="353">
        <f>SUMIFS('Live Collections'!$M:$M,'Live Collections'!$D:$D,'Colln-Summary'!$A69,'Live Collections'!$B:$B,"&gt;="&amp;'Colln-Summary'!$G$1,'Live Collections'!$B:$B,"&lt;="&amp;'Colln-Summary'!$G$2)</f>
        <v>0</v>
      </c>
      <c r="H69" s="353">
        <f>SUMIFS('Live Collections'!$N:$N,'Live Collections'!$D:$D,'Colln-Summary'!$A69,'Live Collections'!$B:$B,"&gt;="&amp;'Colln-Summary'!$G$1,'Live Collections'!$B:$B,"&lt;="&amp;'Colln-Summary'!$G$2)</f>
        <v>0</v>
      </c>
      <c r="I69" s="353">
        <f>SUMIFS('Live Collections'!$P:$P,'Live Collections'!$D:$D,'Colln-Summary'!$A69,'Live Collections'!$B:$B,"&gt;="&amp;'Colln-Summary'!$G$1,'Live Collections'!$B:$B,"&lt;="&amp;'Colln-Summary'!$G$2)</f>
        <v>0</v>
      </c>
      <c r="J69" s="353">
        <f>SUMIFS('Live Collections'!$O:$O,'Live Collections'!$D:$D,'Colln-Summary'!$A69,'Live Collections'!$B:$B,"&gt;="&amp;'Colln-Summary'!$G$1,'Live Collections'!$B:$B,"&lt;="&amp;'Colln-Summary'!$G$2)</f>
        <v>0</v>
      </c>
      <c r="K69" s="360">
        <f>SUMIFS('Live Collections'!$S:$S,'Live Collections'!$D:$D,'Colln-Summary'!$A69,'Live Collections'!$B:$B,"&gt;="&amp;'Colln-Summary'!$G$1,'Live Collections'!$B:$B,"&lt;="&amp;'Colln-Summary'!$G$2)</f>
        <v>0</v>
      </c>
      <c r="L69" s="360">
        <f>SUMIFS('Live Collections'!$T:$T,'Live Collections'!$D:$D,'Colln-Summary'!$A69,'Live Collections'!$B:$B,"&gt;="&amp;'Colln-Summary'!$G$1,'Live Collections'!$B:$B,"&lt;="&amp;'Colln-Summary'!$G$2)</f>
        <v>0</v>
      </c>
      <c r="M69" s="258">
        <f t="shared" si="1"/>
        <v>0</v>
      </c>
    </row>
    <row r="70" spans="1:13" x14ac:dyDescent="0.2">
      <c r="A70" s="478">
        <v>66</v>
      </c>
      <c r="B70" s="352" t="str">
        <f>IFERROR(VLOOKUP($A70,'Clients-Live'!$A:$C,3,0),"")</f>
        <v>DENAYA NYAMAZA</v>
      </c>
      <c r="C70" s="353">
        <f>SUMIFS('Live Collections'!$J:$J,'Live Collections'!$D:$D,'Colln-Summary'!$A70,'Live Collections'!$B:$B,"&gt;="&amp;'Colln-Summary'!$G$1,'Live Collections'!$B:$B,"&lt;="&amp;'Colln-Summary'!$G$2)</f>
        <v>0</v>
      </c>
      <c r="D70" s="353">
        <f>SUMIFS('Live Collections'!$K:$K,'Live Collections'!$D:$D,'Colln-Summary'!$A70,'Live Collections'!$B:$B,"&gt;="&amp;'Colln-Summary'!$G$1,'Live Collections'!$B:$B,"&lt;="&amp;'Colln-Summary'!$G$2)</f>
        <v>0</v>
      </c>
      <c r="E70" s="353">
        <f>SUMIFS(Disbursements!$F:$F,Disbursements!$B:$B,'Colln-Summary'!$A70,Disbursements!$A:$A,"&gt;="&amp;'Colln-Summary'!$G$1,Disbursements!$A:$A,"&lt;="&amp;'Colln-Summary'!$G$2)</f>
        <v>0</v>
      </c>
      <c r="F70" s="353">
        <f>SUMIFS('Live Collections'!$L:$L,'Live Collections'!$D:$D,'Colln-Summary'!$A70,'Live Collections'!$B:$B,"&gt;="&amp;'Colln-Summary'!$G$1,'Live Collections'!$B:$B,"&lt;="&amp;'Colln-Summary'!$G$2)</f>
        <v>0</v>
      </c>
      <c r="G70" s="353">
        <f>SUMIFS('Live Collections'!$M:$M,'Live Collections'!$D:$D,'Colln-Summary'!$A70,'Live Collections'!$B:$B,"&gt;="&amp;'Colln-Summary'!$G$1,'Live Collections'!$B:$B,"&lt;="&amp;'Colln-Summary'!$G$2)</f>
        <v>0</v>
      </c>
      <c r="H70" s="353">
        <f>SUMIFS('Live Collections'!$N:$N,'Live Collections'!$D:$D,'Colln-Summary'!$A70,'Live Collections'!$B:$B,"&gt;="&amp;'Colln-Summary'!$G$1,'Live Collections'!$B:$B,"&lt;="&amp;'Colln-Summary'!$G$2)</f>
        <v>0</v>
      </c>
      <c r="I70" s="353">
        <f>SUMIFS('Live Collections'!$P:$P,'Live Collections'!$D:$D,'Colln-Summary'!$A70,'Live Collections'!$B:$B,"&gt;="&amp;'Colln-Summary'!$G$1,'Live Collections'!$B:$B,"&lt;="&amp;'Colln-Summary'!$G$2)</f>
        <v>0</v>
      </c>
      <c r="J70" s="353">
        <f>SUMIFS('Live Collections'!$O:$O,'Live Collections'!$D:$D,'Colln-Summary'!$A70,'Live Collections'!$B:$B,"&gt;="&amp;'Colln-Summary'!$G$1,'Live Collections'!$B:$B,"&lt;="&amp;'Colln-Summary'!$G$2)</f>
        <v>455000</v>
      </c>
      <c r="K70" s="360">
        <f>SUMIFS('Live Collections'!$S:$S,'Live Collections'!$D:$D,'Colln-Summary'!$A70,'Live Collections'!$B:$B,"&gt;="&amp;'Colln-Summary'!$G$1,'Live Collections'!$B:$B,"&lt;="&amp;'Colln-Summary'!$G$2)</f>
        <v>95000</v>
      </c>
      <c r="L70" s="360">
        <f>SUMIFS('Live Collections'!$T:$T,'Live Collections'!$D:$D,'Colln-Summary'!$A70,'Live Collections'!$B:$B,"&gt;="&amp;'Colln-Summary'!$G$1,'Live Collections'!$B:$B,"&lt;="&amp;'Colln-Summary'!$G$2)</f>
        <v>360000</v>
      </c>
      <c r="M70" s="258">
        <f t="shared" ref="M70:M133" si="2">SUM(C70:J70)</f>
        <v>455000</v>
      </c>
    </row>
    <row r="71" spans="1:13" x14ac:dyDescent="0.2">
      <c r="A71" s="478">
        <v>67</v>
      </c>
      <c r="B71" s="352" t="str">
        <f>IFERROR(VLOOKUP($A71,'Clients-Live'!$A:$C,3,0),"")</f>
        <v>KEBITA SAUDA</v>
      </c>
      <c r="C71" s="353">
        <f>SUMIFS('Live Collections'!$J:$J,'Live Collections'!$D:$D,'Colln-Summary'!$A71,'Live Collections'!$B:$B,"&gt;="&amp;'Colln-Summary'!$G$1,'Live Collections'!$B:$B,"&lt;="&amp;'Colln-Summary'!$G$2)</f>
        <v>0</v>
      </c>
      <c r="D71" s="353">
        <f>SUMIFS('Live Collections'!$K:$K,'Live Collections'!$D:$D,'Colln-Summary'!$A71,'Live Collections'!$B:$B,"&gt;="&amp;'Colln-Summary'!$G$1,'Live Collections'!$B:$B,"&lt;="&amp;'Colln-Summary'!$G$2)</f>
        <v>0</v>
      </c>
      <c r="E71" s="353">
        <f>SUMIFS(Disbursements!$F:$F,Disbursements!$B:$B,'Colln-Summary'!$A71,Disbursements!$A:$A,"&gt;="&amp;'Colln-Summary'!$G$1,Disbursements!$A:$A,"&lt;="&amp;'Colln-Summary'!$G$2)</f>
        <v>0</v>
      </c>
      <c r="F71" s="353">
        <f>SUMIFS('Live Collections'!$L:$L,'Live Collections'!$D:$D,'Colln-Summary'!$A71,'Live Collections'!$B:$B,"&gt;="&amp;'Colln-Summary'!$G$1,'Live Collections'!$B:$B,"&lt;="&amp;'Colln-Summary'!$G$2)</f>
        <v>0</v>
      </c>
      <c r="G71" s="353">
        <f>SUMIFS('Live Collections'!$M:$M,'Live Collections'!$D:$D,'Colln-Summary'!$A71,'Live Collections'!$B:$B,"&gt;="&amp;'Colln-Summary'!$G$1,'Live Collections'!$B:$B,"&lt;="&amp;'Colln-Summary'!$G$2)</f>
        <v>0</v>
      </c>
      <c r="H71" s="353">
        <f>SUMIFS('Live Collections'!$N:$N,'Live Collections'!$D:$D,'Colln-Summary'!$A71,'Live Collections'!$B:$B,"&gt;="&amp;'Colln-Summary'!$G$1,'Live Collections'!$B:$B,"&lt;="&amp;'Colln-Summary'!$G$2)</f>
        <v>0</v>
      </c>
      <c r="I71" s="353">
        <f>SUMIFS('Live Collections'!$P:$P,'Live Collections'!$D:$D,'Colln-Summary'!$A71,'Live Collections'!$B:$B,"&gt;="&amp;'Colln-Summary'!$G$1,'Live Collections'!$B:$B,"&lt;="&amp;'Colln-Summary'!$G$2)</f>
        <v>0</v>
      </c>
      <c r="J71" s="353">
        <f>SUMIFS('Live Collections'!$O:$O,'Live Collections'!$D:$D,'Colln-Summary'!$A71,'Live Collections'!$B:$B,"&gt;="&amp;'Colln-Summary'!$G$1,'Live Collections'!$B:$B,"&lt;="&amp;'Colln-Summary'!$G$2)</f>
        <v>140000</v>
      </c>
      <c r="K71" s="360">
        <f>SUMIFS('Live Collections'!$S:$S,'Live Collections'!$D:$D,'Colln-Summary'!$A71,'Live Collections'!$B:$B,"&gt;="&amp;'Colln-Summary'!$G$1,'Live Collections'!$B:$B,"&lt;="&amp;'Colln-Summary'!$G$2)</f>
        <v>14666.666666666672</v>
      </c>
      <c r="L71" s="360">
        <f>SUMIFS('Live Collections'!$T:$T,'Live Collections'!$D:$D,'Colln-Summary'!$A71,'Live Collections'!$B:$B,"&gt;="&amp;'Colln-Summary'!$G$1,'Live Collections'!$B:$B,"&lt;="&amp;'Colln-Summary'!$G$2)</f>
        <v>125333.33333333333</v>
      </c>
      <c r="M71" s="258">
        <f t="shared" si="2"/>
        <v>140000</v>
      </c>
    </row>
    <row r="72" spans="1:13" x14ac:dyDescent="0.2">
      <c r="A72" s="478">
        <v>68</v>
      </c>
      <c r="B72" s="352" t="str">
        <f>IFERROR(VLOOKUP($A72,'Clients-Live'!$A:$C,3,0),"")</f>
        <v>CHANDIA  RAHIMA</v>
      </c>
      <c r="C72" s="353">
        <f>SUMIFS('Live Collections'!$J:$J,'Live Collections'!$D:$D,'Colln-Summary'!$A72,'Live Collections'!$B:$B,"&gt;="&amp;'Colln-Summary'!$G$1,'Live Collections'!$B:$B,"&lt;="&amp;'Colln-Summary'!$G$2)</f>
        <v>0</v>
      </c>
      <c r="D72" s="353">
        <f>SUMIFS('Live Collections'!$K:$K,'Live Collections'!$D:$D,'Colln-Summary'!$A72,'Live Collections'!$B:$B,"&gt;="&amp;'Colln-Summary'!$G$1,'Live Collections'!$B:$B,"&lt;="&amp;'Colln-Summary'!$G$2)</f>
        <v>0</v>
      </c>
      <c r="E72" s="353">
        <f>SUMIFS(Disbursements!$F:$F,Disbursements!$B:$B,'Colln-Summary'!$A72,Disbursements!$A:$A,"&gt;="&amp;'Colln-Summary'!$G$1,Disbursements!$A:$A,"&lt;="&amp;'Colln-Summary'!$G$2)</f>
        <v>0</v>
      </c>
      <c r="F72" s="353">
        <f>SUMIFS('Live Collections'!$L:$L,'Live Collections'!$D:$D,'Colln-Summary'!$A72,'Live Collections'!$B:$B,"&gt;="&amp;'Colln-Summary'!$G$1,'Live Collections'!$B:$B,"&lt;="&amp;'Colln-Summary'!$G$2)</f>
        <v>0</v>
      </c>
      <c r="G72" s="353">
        <f>SUMIFS('Live Collections'!$M:$M,'Live Collections'!$D:$D,'Colln-Summary'!$A72,'Live Collections'!$B:$B,"&gt;="&amp;'Colln-Summary'!$G$1,'Live Collections'!$B:$B,"&lt;="&amp;'Colln-Summary'!$G$2)</f>
        <v>0</v>
      </c>
      <c r="H72" s="353">
        <f>SUMIFS('Live Collections'!$N:$N,'Live Collections'!$D:$D,'Colln-Summary'!$A72,'Live Collections'!$B:$B,"&gt;="&amp;'Colln-Summary'!$G$1,'Live Collections'!$B:$B,"&lt;="&amp;'Colln-Summary'!$G$2)</f>
        <v>0</v>
      </c>
      <c r="I72" s="353">
        <f>SUMIFS('Live Collections'!$P:$P,'Live Collections'!$D:$D,'Colln-Summary'!$A72,'Live Collections'!$B:$B,"&gt;="&amp;'Colln-Summary'!$G$1,'Live Collections'!$B:$B,"&lt;="&amp;'Colln-Summary'!$G$2)</f>
        <v>0</v>
      </c>
      <c r="J72" s="353">
        <f>SUMIFS('Live Collections'!$O:$O,'Live Collections'!$D:$D,'Colln-Summary'!$A72,'Live Collections'!$B:$B,"&gt;="&amp;'Colln-Summary'!$G$1,'Live Collections'!$B:$B,"&lt;="&amp;'Colln-Summary'!$G$2)</f>
        <v>0</v>
      </c>
      <c r="K72" s="360">
        <f>SUMIFS('Live Collections'!$S:$S,'Live Collections'!$D:$D,'Colln-Summary'!$A72,'Live Collections'!$B:$B,"&gt;="&amp;'Colln-Summary'!$G$1,'Live Collections'!$B:$B,"&lt;="&amp;'Colln-Summary'!$G$2)</f>
        <v>0</v>
      </c>
      <c r="L72" s="360">
        <f>SUMIFS('Live Collections'!$T:$T,'Live Collections'!$D:$D,'Colln-Summary'!$A72,'Live Collections'!$B:$B,"&gt;="&amp;'Colln-Summary'!$G$1,'Live Collections'!$B:$B,"&lt;="&amp;'Colln-Summary'!$G$2)</f>
        <v>0</v>
      </c>
      <c r="M72" s="258">
        <f t="shared" si="2"/>
        <v>0</v>
      </c>
    </row>
    <row r="73" spans="1:13" x14ac:dyDescent="0.2">
      <c r="A73" s="478">
        <v>69</v>
      </c>
      <c r="B73" s="352" t="str">
        <f>IFERROR(VLOOKUP($A73,'Clients-Live'!$A:$C,3,0),"")</f>
        <v>SADIA JOYCE</v>
      </c>
      <c r="C73" s="353">
        <f>SUMIFS('Live Collections'!$J:$J,'Live Collections'!$D:$D,'Colln-Summary'!$A73,'Live Collections'!$B:$B,"&gt;="&amp;'Colln-Summary'!$G$1,'Live Collections'!$B:$B,"&lt;="&amp;'Colln-Summary'!$G$2)</f>
        <v>0</v>
      </c>
      <c r="D73" s="353">
        <f>SUMIFS('Live Collections'!$K:$K,'Live Collections'!$D:$D,'Colln-Summary'!$A73,'Live Collections'!$B:$B,"&gt;="&amp;'Colln-Summary'!$G$1,'Live Collections'!$B:$B,"&lt;="&amp;'Colln-Summary'!$G$2)</f>
        <v>0</v>
      </c>
      <c r="E73" s="353">
        <f>SUMIFS(Disbursements!$F:$F,Disbursements!$B:$B,'Colln-Summary'!$A73,Disbursements!$A:$A,"&gt;="&amp;'Colln-Summary'!$G$1,Disbursements!$A:$A,"&lt;="&amp;'Colln-Summary'!$G$2)</f>
        <v>600000</v>
      </c>
      <c r="F73" s="353">
        <f>SUMIFS('Live Collections'!$L:$L,'Live Collections'!$D:$D,'Colln-Summary'!$A73,'Live Collections'!$B:$B,"&gt;="&amp;'Colln-Summary'!$G$1,'Live Collections'!$B:$B,"&lt;="&amp;'Colln-Summary'!$G$2)</f>
        <v>20000</v>
      </c>
      <c r="G73" s="353">
        <f>SUMIFS('Live Collections'!$M:$M,'Live Collections'!$D:$D,'Colln-Summary'!$A73,'Live Collections'!$B:$B,"&gt;="&amp;'Colln-Summary'!$G$1,'Live Collections'!$B:$B,"&lt;="&amp;'Colln-Summary'!$G$2)</f>
        <v>5000</v>
      </c>
      <c r="H73" s="353">
        <f>SUMIFS('Live Collections'!$N:$N,'Live Collections'!$D:$D,'Colln-Summary'!$A73,'Live Collections'!$B:$B,"&gt;="&amp;'Colln-Summary'!$G$1,'Live Collections'!$B:$B,"&lt;="&amp;'Colln-Summary'!$G$2)</f>
        <v>0</v>
      </c>
      <c r="I73" s="353">
        <f>SUMIFS('Live Collections'!$P:$P,'Live Collections'!$D:$D,'Colln-Summary'!$A73,'Live Collections'!$B:$B,"&gt;="&amp;'Colln-Summary'!$G$1,'Live Collections'!$B:$B,"&lt;="&amp;'Colln-Summary'!$G$2)</f>
        <v>20000</v>
      </c>
      <c r="J73" s="353">
        <f>SUMIFS('Live Collections'!$O:$O,'Live Collections'!$D:$D,'Colln-Summary'!$A73,'Live Collections'!$B:$B,"&gt;="&amp;'Colln-Summary'!$G$1,'Live Collections'!$B:$B,"&lt;="&amp;'Colln-Summary'!$G$2)</f>
        <v>380000</v>
      </c>
      <c r="K73" s="360">
        <f>SUMIFS('Live Collections'!$S:$S,'Live Collections'!$D:$D,'Colln-Summary'!$A73,'Live Collections'!$B:$B,"&gt;="&amp;'Colln-Summary'!$G$1,'Live Collections'!$B:$B,"&lt;="&amp;'Colln-Summary'!$G$2)</f>
        <v>49333.333333333343</v>
      </c>
      <c r="L73" s="360">
        <f>SUMIFS('Live Collections'!$T:$T,'Live Collections'!$D:$D,'Colln-Summary'!$A73,'Live Collections'!$B:$B,"&gt;="&amp;'Colln-Summary'!$G$1,'Live Collections'!$B:$B,"&lt;="&amp;'Colln-Summary'!$G$2)</f>
        <v>330666.66666666663</v>
      </c>
      <c r="M73" s="258">
        <f t="shared" si="2"/>
        <v>1025000</v>
      </c>
    </row>
    <row r="74" spans="1:13" x14ac:dyDescent="0.2">
      <c r="A74" s="478">
        <v>70</v>
      </c>
      <c r="B74" s="352" t="str">
        <f>IFERROR(VLOOKUP($A74,'Clients-Live'!$A:$C,3,0),"")</f>
        <v>BUGA ALIKIA PHILLIP</v>
      </c>
      <c r="C74" s="353">
        <f>SUMIFS('Live Collections'!$J:$J,'Live Collections'!$D:$D,'Colln-Summary'!$A74,'Live Collections'!$B:$B,"&gt;="&amp;'Colln-Summary'!$G$1,'Live Collections'!$B:$B,"&lt;="&amp;'Colln-Summary'!$G$2)</f>
        <v>0</v>
      </c>
      <c r="D74" s="353">
        <f>SUMIFS('Live Collections'!$K:$K,'Live Collections'!$D:$D,'Colln-Summary'!$A74,'Live Collections'!$B:$B,"&gt;="&amp;'Colln-Summary'!$G$1,'Live Collections'!$B:$B,"&lt;="&amp;'Colln-Summary'!$G$2)</f>
        <v>0</v>
      </c>
      <c r="E74" s="353">
        <f>SUMIFS(Disbursements!$F:$F,Disbursements!$B:$B,'Colln-Summary'!$A74,Disbursements!$A:$A,"&gt;="&amp;'Colln-Summary'!$G$1,Disbursements!$A:$A,"&lt;="&amp;'Colln-Summary'!$G$2)</f>
        <v>0</v>
      </c>
      <c r="F74" s="353">
        <f>SUMIFS('Live Collections'!$L:$L,'Live Collections'!$D:$D,'Colln-Summary'!$A74,'Live Collections'!$B:$B,"&gt;="&amp;'Colln-Summary'!$G$1,'Live Collections'!$B:$B,"&lt;="&amp;'Colln-Summary'!$G$2)</f>
        <v>0</v>
      </c>
      <c r="G74" s="353">
        <f>SUMIFS('Live Collections'!$M:$M,'Live Collections'!$D:$D,'Colln-Summary'!$A74,'Live Collections'!$B:$B,"&gt;="&amp;'Colln-Summary'!$G$1,'Live Collections'!$B:$B,"&lt;="&amp;'Colln-Summary'!$G$2)</f>
        <v>0</v>
      </c>
      <c r="H74" s="353">
        <f>SUMIFS('Live Collections'!$N:$N,'Live Collections'!$D:$D,'Colln-Summary'!$A74,'Live Collections'!$B:$B,"&gt;="&amp;'Colln-Summary'!$G$1,'Live Collections'!$B:$B,"&lt;="&amp;'Colln-Summary'!$G$2)</f>
        <v>0</v>
      </c>
      <c r="I74" s="353">
        <f>SUMIFS('Live Collections'!$P:$P,'Live Collections'!$D:$D,'Colln-Summary'!$A74,'Live Collections'!$B:$B,"&gt;="&amp;'Colln-Summary'!$G$1,'Live Collections'!$B:$B,"&lt;="&amp;'Colln-Summary'!$G$2)</f>
        <v>0</v>
      </c>
      <c r="J74" s="353">
        <f>SUMIFS('Live Collections'!$O:$O,'Live Collections'!$D:$D,'Colln-Summary'!$A74,'Live Collections'!$B:$B,"&gt;="&amp;'Colln-Summary'!$G$1,'Live Collections'!$B:$B,"&lt;="&amp;'Colln-Summary'!$G$2)</f>
        <v>134000</v>
      </c>
      <c r="K74" s="360">
        <f>SUMIFS('Live Collections'!$S:$S,'Live Collections'!$D:$D,'Colln-Summary'!$A74,'Live Collections'!$B:$B,"&gt;="&amp;'Colln-Summary'!$G$1,'Live Collections'!$B:$B,"&lt;="&amp;'Colln-Summary'!$G$2)</f>
        <v>20666.666666666657</v>
      </c>
      <c r="L74" s="360">
        <f>SUMIFS('Live Collections'!$T:$T,'Live Collections'!$D:$D,'Colln-Summary'!$A74,'Live Collections'!$B:$B,"&gt;="&amp;'Colln-Summary'!$G$1,'Live Collections'!$B:$B,"&lt;="&amp;'Colln-Summary'!$G$2)</f>
        <v>113333.33333333334</v>
      </c>
      <c r="M74" s="258">
        <f t="shared" si="2"/>
        <v>134000</v>
      </c>
    </row>
    <row r="75" spans="1:13" x14ac:dyDescent="0.2">
      <c r="A75" s="478">
        <v>71</v>
      </c>
      <c r="B75" s="352" t="str">
        <f>IFERROR(VLOOKUP($A75,'Clients-Live'!$A:$C,3,0),"")</f>
        <v>AYIKORU HARIET BAUDI</v>
      </c>
      <c r="C75" s="353">
        <f>SUMIFS('Live Collections'!$J:$J,'Live Collections'!$D:$D,'Colln-Summary'!$A75,'Live Collections'!$B:$B,"&gt;="&amp;'Colln-Summary'!$G$1,'Live Collections'!$B:$B,"&lt;="&amp;'Colln-Summary'!$G$2)</f>
        <v>0</v>
      </c>
      <c r="D75" s="353">
        <f>SUMIFS('Live Collections'!$K:$K,'Live Collections'!$D:$D,'Colln-Summary'!$A75,'Live Collections'!$B:$B,"&gt;="&amp;'Colln-Summary'!$G$1,'Live Collections'!$B:$B,"&lt;="&amp;'Colln-Summary'!$G$2)</f>
        <v>0</v>
      </c>
      <c r="E75" s="353">
        <f>SUMIFS(Disbursements!$F:$F,Disbursements!$B:$B,'Colln-Summary'!$A75,Disbursements!$A:$A,"&gt;="&amp;'Colln-Summary'!$G$1,Disbursements!$A:$A,"&lt;="&amp;'Colln-Summary'!$G$2)</f>
        <v>0</v>
      </c>
      <c r="F75" s="353">
        <f>SUMIFS('Live Collections'!$L:$L,'Live Collections'!$D:$D,'Colln-Summary'!$A75,'Live Collections'!$B:$B,"&gt;="&amp;'Colln-Summary'!$G$1,'Live Collections'!$B:$B,"&lt;="&amp;'Colln-Summary'!$G$2)</f>
        <v>0</v>
      </c>
      <c r="G75" s="353">
        <f>SUMIFS('Live Collections'!$M:$M,'Live Collections'!$D:$D,'Colln-Summary'!$A75,'Live Collections'!$B:$B,"&gt;="&amp;'Colln-Summary'!$G$1,'Live Collections'!$B:$B,"&lt;="&amp;'Colln-Summary'!$G$2)</f>
        <v>0</v>
      </c>
      <c r="H75" s="353">
        <f>SUMIFS('Live Collections'!$N:$N,'Live Collections'!$D:$D,'Colln-Summary'!$A75,'Live Collections'!$B:$B,"&gt;="&amp;'Colln-Summary'!$G$1,'Live Collections'!$B:$B,"&lt;="&amp;'Colln-Summary'!$G$2)</f>
        <v>0</v>
      </c>
      <c r="I75" s="353">
        <f>SUMIFS('Live Collections'!$P:$P,'Live Collections'!$D:$D,'Colln-Summary'!$A75,'Live Collections'!$B:$B,"&gt;="&amp;'Colln-Summary'!$G$1,'Live Collections'!$B:$B,"&lt;="&amp;'Colln-Summary'!$G$2)</f>
        <v>0</v>
      </c>
      <c r="J75" s="353">
        <f>SUMIFS('Live Collections'!$O:$O,'Live Collections'!$D:$D,'Colln-Summary'!$A75,'Live Collections'!$B:$B,"&gt;="&amp;'Colln-Summary'!$G$1,'Live Collections'!$B:$B,"&lt;="&amp;'Colln-Summary'!$G$2)</f>
        <v>500000</v>
      </c>
      <c r="K75" s="360">
        <f>SUMIFS('Live Collections'!$S:$S,'Live Collections'!$D:$D,'Colln-Summary'!$A75,'Live Collections'!$B:$B,"&gt;="&amp;'Colln-Summary'!$G$1,'Live Collections'!$B:$B,"&lt;="&amp;'Colln-Summary'!$G$2)</f>
        <v>15000</v>
      </c>
      <c r="L75" s="360">
        <f>SUMIFS('Live Collections'!$T:$T,'Live Collections'!$D:$D,'Colln-Summary'!$A75,'Live Collections'!$B:$B,"&gt;="&amp;'Colln-Summary'!$G$1,'Live Collections'!$B:$B,"&lt;="&amp;'Colln-Summary'!$G$2)</f>
        <v>485000</v>
      </c>
      <c r="M75" s="258">
        <f t="shared" si="2"/>
        <v>500000</v>
      </c>
    </row>
    <row r="76" spans="1:13" x14ac:dyDescent="0.2">
      <c r="A76" s="478">
        <v>72</v>
      </c>
      <c r="B76" s="352" t="str">
        <f>IFERROR(VLOOKUP($A76,'Clients-Live'!$A:$C,3,0),"")</f>
        <v>MUNDURU MERCY</v>
      </c>
      <c r="C76" s="353">
        <f>SUMIFS('Live Collections'!$J:$J,'Live Collections'!$D:$D,'Colln-Summary'!$A76,'Live Collections'!$B:$B,"&gt;="&amp;'Colln-Summary'!$G$1,'Live Collections'!$B:$B,"&lt;="&amp;'Colln-Summary'!$G$2)</f>
        <v>0</v>
      </c>
      <c r="D76" s="353">
        <f>SUMIFS('Live Collections'!$K:$K,'Live Collections'!$D:$D,'Colln-Summary'!$A76,'Live Collections'!$B:$B,"&gt;="&amp;'Colln-Summary'!$G$1,'Live Collections'!$B:$B,"&lt;="&amp;'Colln-Summary'!$G$2)</f>
        <v>0</v>
      </c>
      <c r="E76" s="353">
        <f>SUMIFS(Disbursements!$F:$F,Disbursements!$B:$B,'Colln-Summary'!$A76,Disbursements!$A:$A,"&gt;="&amp;'Colln-Summary'!$G$1,Disbursements!$A:$A,"&lt;="&amp;'Colln-Summary'!$G$2)</f>
        <v>0</v>
      </c>
      <c r="F76" s="353">
        <f>SUMIFS('Live Collections'!$L:$L,'Live Collections'!$D:$D,'Colln-Summary'!$A76,'Live Collections'!$B:$B,"&gt;="&amp;'Colln-Summary'!$G$1,'Live Collections'!$B:$B,"&lt;="&amp;'Colln-Summary'!$G$2)</f>
        <v>0</v>
      </c>
      <c r="G76" s="353">
        <f>SUMIFS('Live Collections'!$M:$M,'Live Collections'!$D:$D,'Colln-Summary'!$A76,'Live Collections'!$B:$B,"&gt;="&amp;'Colln-Summary'!$G$1,'Live Collections'!$B:$B,"&lt;="&amp;'Colln-Summary'!$G$2)</f>
        <v>0</v>
      </c>
      <c r="H76" s="353">
        <f>SUMIFS('Live Collections'!$N:$N,'Live Collections'!$D:$D,'Colln-Summary'!$A76,'Live Collections'!$B:$B,"&gt;="&amp;'Colln-Summary'!$G$1,'Live Collections'!$B:$B,"&lt;="&amp;'Colln-Summary'!$G$2)</f>
        <v>0</v>
      </c>
      <c r="I76" s="353">
        <f>SUMIFS('Live Collections'!$P:$P,'Live Collections'!$D:$D,'Colln-Summary'!$A76,'Live Collections'!$B:$B,"&gt;="&amp;'Colln-Summary'!$G$1,'Live Collections'!$B:$B,"&lt;="&amp;'Colln-Summary'!$G$2)</f>
        <v>0</v>
      </c>
      <c r="J76" s="353">
        <f>SUMIFS('Live Collections'!$O:$O,'Live Collections'!$D:$D,'Colln-Summary'!$A76,'Live Collections'!$B:$B,"&gt;="&amp;'Colln-Summary'!$G$1,'Live Collections'!$B:$B,"&lt;="&amp;'Colln-Summary'!$G$2)</f>
        <v>260000</v>
      </c>
      <c r="K76" s="360">
        <f>SUMIFS('Live Collections'!$S:$S,'Live Collections'!$D:$D,'Colln-Summary'!$A76,'Live Collections'!$B:$B,"&gt;="&amp;'Colln-Summary'!$G$1,'Live Collections'!$B:$B,"&lt;="&amp;'Colln-Summary'!$G$2)</f>
        <v>25666.666666666672</v>
      </c>
      <c r="L76" s="360">
        <f>SUMIFS('Live Collections'!$T:$T,'Live Collections'!$D:$D,'Colln-Summary'!$A76,'Live Collections'!$B:$B,"&gt;="&amp;'Colln-Summary'!$G$1,'Live Collections'!$B:$B,"&lt;="&amp;'Colln-Summary'!$G$2)</f>
        <v>234333.33333333331</v>
      </c>
      <c r="M76" s="258">
        <f t="shared" si="2"/>
        <v>260000</v>
      </c>
    </row>
    <row r="77" spans="1:13" x14ac:dyDescent="0.2">
      <c r="A77" s="478">
        <v>73</v>
      </c>
      <c r="B77" s="352" t="str">
        <f>IFERROR(VLOOKUP($A77,'Clients-Live'!$A:$C,3,0),"")</f>
        <v>AJONYE DEBORA</v>
      </c>
      <c r="C77" s="353">
        <f>SUMIFS('Live Collections'!$J:$J,'Live Collections'!$D:$D,'Colln-Summary'!$A77,'Live Collections'!$B:$B,"&gt;="&amp;'Colln-Summary'!$G$1,'Live Collections'!$B:$B,"&lt;="&amp;'Colln-Summary'!$G$2)</f>
        <v>0</v>
      </c>
      <c r="D77" s="353">
        <f>SUMIFS('Live Collections'!$K:$K,'Live Collections'!$D:$D,'Colln-Summary'!$A77,'Live Collections'!$B:$B,"&gt;="&amp;'Colln-Summary'!$G$1,'Live Collections'!$B:$B,"&lt;="&amp;'Colln-Summary'!$G$2)</f>
        <v>0</v>
      </c>
      <c r="E77" s="353">
        <f>SUMIFS(Disbursements!$F:$F,Disbursements!$B:$B,'Colln-Summary'!$A77,Disbursements!$A:$A,"&gt;="&amp;'Colln-Summary'!$G$1,Disbursements!$A:$A,"&lt;="&amp;'Colln-Summary'!$G$2)</f>
        <v>0</v>
      </c>
      <c r="F77" s="353">
        <f>SUMIFS('Live Collections'!$L:$L,'Live Collections'!$D:$D,'Colln-Summary'!$A77,'Live Collections'!$B:$B,"&gt;="&amp;'Colln-Summary'!$G$1,'Live Collections'!$B:$B,"&lt;="&amp;'Colln-Summary'!$G$2)</f>
        <v>20000</v>
      </c>
      <c r="G77" s="353">
        <f>SUMIFS('Live Collections'!$M:$M,'Live Collections'!$D:$D,'Colln-Summary'!$A77,'Live Collections'!$B:$B,"&gt;="&amp;'Colln-Summary'!$G$1,'Live Collections'!$B:$B,"&lt;="&amp;'Colln-Summary'!$G$2)</f>
        <v>5000</v>
      </c>
      <c r="H77" s="353">
        <f>SUMIFS('Live Collections'!$N:$N,'Live Collections'!$D:$D,'Colln-Summary'!$A77,'Live Collections'!$B:$B,"&gt;="&amp;'Colln-Summary'!$G$1,'Live Collections'!$B:$B,"&lt;="&amp;'Colln-Summary'!$G$2)</f>
        <v>0</v>
      </c>
      <c r="I77" s="353">
        <f>SUMIFS('Live Collections'!$P:$P,'Live Collections'!$D:$D,'Colln-Summary'!$A77,'Live Collections'!$B:$B,"&gt;="&amp;'Colln-Summary'!$G$1,'Live Collections'!$B:$B,"&lt;="&amp;'Colln-Summary'!$G$2)</f>
        <v>-60000</v>
      </c>
      <c r="J77" s="353">
        <f>SUMIFS('Live Collections'!$O:$O,'Live Collections'!$D:$D,'Colln-Summary'!$A77,'Live Collections'!$B:$B,"&gt;="&amp;'Colln-Summary'!$G$1,'Live Collections'!$B:$B,"&lt;="&amp;'Colln-Summary'!$G$2)</f>
        <v>300000</v>
      </c>
      <c r="K77" s="360">
        <f>SUMIFS('Live Collections'!$S:$S,'Live Collections'!$D:$D,'Colln-Summary'!$A77,'Live Collections'!$B:$B,"&gt;="&amp;'Colln-Summary'!$G$1,'Live Collections'!$B:$B,"&lt;="&amp;'Colln-Summary'!$G$2)</f>
        <v>-333.33333333334303</v>
      </c>
      <c r="L77" s="360">
        <f>SUMIFS('Live Collections'!$T:$T,'Live Collections'!$D:$D,'Colln-Summary'!$A77,'Live Collections'!$B:$B,"&gt;="&amp;'Colln-Summary'!$G$1,'Live Collections'!$B:$B,"&lt;="&amp;'Colln-Summary'!$G$2)</f>
        <v>300333.33333333337</v>
      </c>
      <c r="M77" s="258">
        <f t="shared" si="2"/>
        <v>265000</v>
      </c>
    </row>
    <row r="78" spans="1:13" x14ac:dyDescent="0.2">
      <c r="A78" s="478">
        <v>74</v>
      </c>
      <c r="B78" s="352" t="str">
        <f>IFERROR(VLOOKUP($A78,'Clients-Live'!$A:$C,3,0),"")</f>
        <v>YUKUWE AISHA</v>
      </c>
      <c r="C78" s="353">
        <f>SUMIFS('Live Collections'!$J:$J,'Live Collections'!$D:$D,'Colln-Summary'!$A78,'Live Collections'!$B:$B,"&gt;="&amp;'Colln-Summary'!$G$1,'Live Collections'!$B:$B,"&lt;="&amp;'Colln-Summary'!$G$2)</f>
        <v>0</v>
      </c>
      <c r="D78" s="353">
        <f>SUMIFS('Live Collections'!$K:$K,'Live Collections'!$D:$D,'Colln-Summary'!$A78,'Live Collections'!$B:$B,"&gt;="&amp;'Colln-Summary'!$G$1,'Live Collections'!$B:$B,"&lt;="&amp;'Colln-Summary'!$G$2)</f>
        <v>0</v>
      </c>
      <c r="E78" s="353">
        <f>SUMIFS(Disbursements!$F:$F,Disbursements!$B:$B,'Colln-Summary'!$A78,Disbursements!$A:$A,"&gt;="&amp;'Colln-Summary'!$G$1,Disbursements!$A:$A,"&lt;="&amp;'Colln-Summary'!$G$2)</f>
        <v>0</v>
      </c>
      <c r="F78" s="353">
        <f>SUMIFS('Live Collections'!$L:$L,'Live Collections'!$D:$D,'Colln-Summary'!$A78,'Live Collections'!$B:$B,"&gt;="&amp;'Colln-Summary'!$G$1,'Live Collections'!$B:$B,"&lt;="&amp;'Colln-Summary'!$G$2)</f>
        <v>0</v>
      </c>
      <c r="G78" s="353">
        <f>SUMIFS('Live Collections'!$M:$M,'Live Collections'!$D:$D,'Colln-Summary'!$A78,'Live Collections'!$B:$B,"&gt;="&amp;'Colln-Summary'!$G$1,'Live Collections'!$B:$B,"&lt;="&amp;'Colln-Summary'!$G$2)</f>
        <v>0</v>
      </c>
      <c r="H78" s="353">
        <f>SUMIFS('Live Collections'!$N:$N,'Live Collections'!$D:$D,'Colln-Summary'!$A78,'Live Collections'!$B:$B,"&gt;="&amp;'Colln-Summary'!$G$1,'Live Collections'!$B:$B,"&lt;="&amp;'Colln-Summary'!$G$2)</f>
        <v>0</v>
      </c>
      <c r="I78" s="353">
        <f>SUMIFS('Live Collections'!$P:$P,'Live Collections'!$D:$D,'Colln-Summary'!$A78,'Live Collections'!$B:$B,"&gt;="&amp;'Colln-Summary'!$G$1,'Live Collections'!$B:$B,"&lt;="&amp;'Colln-Summary'!$G$2)</f>
        <v>0</v>
      </c>
      <c r="J78" s="353">
        <f>SUMIFS('Live Collections'!$O:$O,'Live Collections'!$D:$D,'Colln-Summary'!$A78,'Live Collections'!$B:$B,"&gt;="&amp;'Colln-Summary'!$G$1,'Live Collections'!$B:$B,"&lt;="&amp;'Colln-Summary'!$G$2)</f>
        <v>90000</v>
      </c>
      <c r="K78" s="360">
        <f>SUMIFS('Live Collections'!$S:$S,'Live Collections'!$D:$D,'Colln-Summary'!$A78,'Live Collections'!$B:$B,"&gt;="&amp;'Colln-Summary'!$G$1,'Live Collections'!$B:$B,"&lt;="&amp;'Colln-Summary'!$G$2)</f>
        <v>0</v>
      </c>
      <c r="L78" s="360">
        <f>SUMIFS('Live Collections'!$T:$T,'Live Collections'!$D:$D,'Colln-Summary'!$A78,'Live Collections'!$B:$B,"&gt;="&amp;'Colln-Summary'!$G$1,'Live Collections'!$B:$B,"&lt;="&amp;'Colln-Summary'!$G$2)</f>
        <v>90000</v>
      </c>
      <c r="M78" s="258">
        <f t="shared" si="2"/>
        <v>90000</v>
      </c>
    </row>
    <row r="79" spans="1:13" x14ac:dyDescent="0.2">
      <c r="A79" s="478">
        <v>75</v>
      </c>
      <c r="B79" s="352" t="str">
        <f>IFERROR(VLOOKUP($A79,'Clients-Live'!$A:$C,3,0),"")</f>
        <v>MUKULIA JAMES</v>
      </c>
      <c r="C79" s="353">
        <f>SUMIFS('Live Collections'!$J:$J,'Live Collections'!$D:$D,'Colln-Summary'!$A79,'Live Collections'!$B:$B,"&gt;="&amp;'Colln-Summary'!$G$1,'Live Collections'!$B:$B,"&lt;="&amp;'Colln-Summary'!$G$2)</f>
        <v>0</v>
      </c>
      <c r="D79" s="353">
        <f>SUMIFS('Live Collections'!$K:$K,'Live Collections'!$D:$D,'Colln-Summary'!$A79,'Live Collections'!$B:$B,"&gt;="&amp;'Colln-Summary'!$G$1,'Live Collections'!$B:$B,"&lt;="&amp;'Colln-Summary'!$G$2)</f>
        <v>0</v>
      </c>
      <c r="E79" s="353">
        <f>SUMIFS(Disbursements!$F:$F,Disbursements!$B:$B,'Colln-Summary'!$A79,Disbursements!$A:$A,"&gt;="&amp;'Colln-Summary'!$G$1,Disbursements!$A:$A,"&lt;="&amp;'Colln-Summary'!$G$2)</f>
        <v>0</v>
      </c>
      <c r="F79" s="353">
        <f>SUMIFS('Live Collections'!$L:$L,'Live Collections'!$D:$D,'Colln-Summary'!$A79,'Live Collections'!$B:$B,"&gt;="&amp;'Colln-Summary'!$G$1,'Live Collections'!$B:$B,"&lt;="&amp;'Colln-Summary'!$G$2)</f>
        <v>0</v>
      </c>
      <c r="G79" s="353">
        <f>SUMIFS('Live Collections'!$M:$M,'Live Collections'!$D:$D,'Colln-Summary'!$A79,'Live Collections'!$B:$B,"&gt;="&amp;'Colln-Summary'!$G$1,'Live Collections'!$B:$B,"&lt;="&amp;'Colln-Summary'!$G$2)</f>
        <v>0</v>
      </c>
      <c r="H79" s="353">
        <f>SUMIFS('Live Collections'!$N:$N,'Live Collections'!$D:$D,'Colln-Summary'!$A79,'Live Collections'!$B:$B,"&gt;="&amp;'Colln-Summary'!$G$1,'Live Collections'!$B:$B,"&lt;="&amp;'Colln-Summary'!$G$2)</f>
        <v>0</v>
      </c>
      <c r="I79" s="353">
        <f>SUMIFS('Live Collections'!$P:$P,'Live Collections'!$D:$D,'Colln-Summary'!$A79,'Live Collections'!$B:$B,"&gt;="&amp;'Colln-Summary'!$G$1,'Live Collections'!$B:$B,"&lt;="&amp;'Colln-Summary'!$G$2)</f>
        <v>0</v>
      </c>
      <c r="J79" s="353">
        <f>SUMIFS('Live Collections'!$O:$O,'Live Collections'!$D:$D,'Colln-Summary'!$A79,'Live Collections'!$B:$B,"&gt;="&amp;'Colln-Summary'!$G$1,'Live Collections'!$B:$B,"&lt;="&amp;'Colln-Summary'!$G$2)</f>
        <v>175000</v>
      </c>
      <c r="K79" s="360">
        <f>SUMIFS('Live Collections'!$S:$S,'Live Collections'!$D:$D,'Colln-Summary'!$A79,'Live Collections'!$B:$B,"&gt;="&amp;'Colln-Summary'!$G$1,'Live Collections'!$B:$B,"&lt;="&amp;'Colln-Summary'!$G$2)</f>
        <v>55666.666666666657</v>
      </c>
      <c r="L79" s="360">
        <f>SUMIFS('Live Collections'!$T:$T,'Live Collections'!$D:$D,'Colln-Summary'!$A79,'Live Collections'!$B:$B,"&gt;="&amp;'Colln-Summary'!$G$1,'Live Collections'!$B:$B,"&lt;="&amp;'Colln-Summary'!$G$2)</f>
        <v>119333.33333333334</v>
      </c>
      <c r="M79" s="258">
        <f t="shared" si="2"/>
        <v>175000</v>
      </c>
    </row>
    <row r="80" spans="1:13" x14ac:dyDescent="0.2">
      <c r="A80" s="478">
        <v>76</v>
      </c>
      <c r="B80" s="352" t="str">
        <f>IFERROR(VLOOKUP($A80,'Clients-Live'!$A:$C,3,0),"")</f>
        <v>DAWA AISHA</v>
      </c>
      <c r="C80" s="353">
        <f>SUMIFS('Live Collections'!$J:$J,'Live Collections'!$D:$D,'Colln-Summary'!$A80,'Live Collections'!$B:$B,"&gt;="&amp;'Colln-Summary'!$G$1,'Live Collections'!$B:$B,"&lt;="&amp;'Colln-Summary'!$G$2)</f>
        <v>0</v>
      </c>
      <c r="D80" s="353">
        <f>SUMIFS('Live Collections'!$K:$K,'Live Collections'!$D:$D,'Colln-Summary'!$A80,'Live Collections'!$B:$B,"&gt;="&amp;'Colln-Summary'!$G$1,'Live Collections'!$B:$B,"&lt;="&amp;'Colln-Summary'!$G$2)</f>
        <v>0</v>
      </c>
      <c r="E80" s="353">
        <f>SUMIFS(Disbursements!$F:$F,Disbursements!$B:$B,'Colln-Summary'!$A80,Disbursements!$A:$A,"&gt;="&amp;'Colln-Summary'!$G$1,Disbursements!$A:$A,"&lt;="&amp;'Colln-Summary'!$G$2)</f>
        <v>0</v>
      </c>
      <c r="F80" s="353">
        <f>SUMIFS('Live Collections'!$L:$L,'Live Collections'!$D:$D,'Colln-Summary'!$A80,'Live Collections'!$B:$B,"&gt;="&amp;'Colln-Summary'!$G$1,'Live Collections'!$B:$B,"&lt;="&amp;'Colln-Summary'!$G$2)</f>
        <v>0</v>
      </c>
      <c r="G80" s="353">
        <f>SUMIFS('Live Collections'!$M:$M,'Live Collections'!$D:$D,'Colln-Summary'!$A80,'Live Collections'!$B:$B,"&gt;="&amp;'Colln-Summary'!$G$1,'Live Collections'!$B:$B,"&lt;="&amp;'Colln-Summary'!$G$2)</f>
        <v>0</v>
      </c>
      <c r="H80" s="353">
        <f>SUMIFS('Live Collections'!$N:$N,'Live Collections'!$D:$D,'Colln-Summary'!$A80,'Live Collections'!$B:$B,"&gt;="&amp;'Colln-Summary'!$G$1,'Live Collections'!$B:$B,"&lt;="&amp;'Colln-Summary'!$G$2)</f>
        <v>0</v>
      </c>
      <c r="I80" s="353">
        <f>SUMIFS('Live Collections'!$P:$P,'Live Collections'!$D:$D,'Colln-Summary'!$A80,'Live Collections'!$B:$B,"&gt;="&amp;'Colln-Summary'!$G$1,'Live Collections'!$B:$B,"&lt;="&amp;'Colln-Summary'!$G$2)</f>
        <v>0</v>
      </c>
      <c r="J80" s="353">
        <f>SUMIFS('Live Collections'!$O:$O,'Live Collections'!$D:$D,'Colln-Summary'!$A80,'Live Collections'!$B:$B,"&gt;="&amp;'Colln-Summary'!$G$1,'Live Collections'!$B:$B,"&lt;="&amp;'Colln-Summary'!$G$2)</f>
        <v>130000</v>
      </c>
      <c r="K80" s="360">
        <f>SUMIFS('Live Collections'!$S:$S,'Live Collections'!$D:$D,'Colln-Summary'!$A80,'Live Collections'!$B:$B,"&gt;="&amp;'Colln-Summary'!$G$1,'Live Collections'!$B:$B,"&lt;="&amp;'Colln-Summary'!$G$2)</f>
        <v>0</v>
      </c>
      <c r="L80" s="360">
        <f>SUMIFS('Live Collections'!$T:$T,'Live Collections'!$D:$D,'Colln-Summary'!$A80,'Live Collections'!$B:$B,"&gt;="&amp;'Colln-Summary'!$G$1,'Live Collections'!$B:$B,"&lt;="&amp;'Colln-Summary'!$G$2)</f>
        <v>130000</v>
      </c>
      <c r="M80" s="258">
        <f t="shared" si="2"/>
        <v>130000</v>
      </c>
    </row>
    <row r="81" spans="1:13" x14ac:dyDescent="0.2">
      <c r="A81" s="478">
        <v>77</v>
      </c>
      <c r="B81" s="352" t="str">
        <f>IFERROR(VLOOKUP($A81,'Clients-Live'!$A:$C,3,0),"")</f>
        <v>CACA FATUMA</v>
      </c>
      <c r="C81" s="353">
        <f>SUMIFS('Live Collections'!$J:$J,'Live Collections'!$D:$D,'Colln-Summary'!$A81,'Live Collections'!$B:$B,"&gt;="&amp;'Colln-Summary'!$G$1,'Live Collections'!$B:$B,"&lt;="&amp;'Colln-Summary'!$G$2)</f>
        <v>0</v>
      </c>
      <c r="D81" s="353">
        <f>SUMIFS('Live Collections'!$K:$K,'Live Collections'!$D:$D,'Colln-Summary'!$A81,'Live Collections'!$B:$B,"&gt;="&amp;'Colln-Summary'!$G$1,'Live Collections'!$B:$B,"&lt;="&amp;'Colln-Summary'!$G$2)</f>
        <v>0</v>
      </c>
      <c r="E81" s="353">
        <f>SUMIFS(Disbursements!$F:$F,Disbursements!$B:$B,'Colln-Summary'!$A81,Disbursements!$A:$A,"&gt;="&amp;'Colln-Summary'!$G$1,Disbursements!$A:$A,"&lt;="&amp;'Colln-Summary'!$G$2)</f>
        <v>0</v>
      </c>
      <c r="F81" s="353">
        <f>SUMIFS('Live Collections'!$L:$L,'Live Collections'!$D:$D,'Colln-Summary'!$A81,'Live Collections'!$B:$B,"&gt;="&amp;'Colln-Summary'!$G$1,'Live Collections'!$B:$B,"&lt;="&amp;'Colln-Summary'!$G$2)</f>
        <v>0</v>
      </c>
      <c r="G81" s="353">
        <f>SUMIFS('Live Collections'!$M:$M,'Live Collections'!$D:$D,'Colln-Summary'!$A81,'Live Collections'!$B:$B,"&gt;="&amp;'Colln-Summary'!$G$1,'Live Collections'!$B:$B,"&lt;="&amp;'Colln-Summary'!$G$2)</f>
        <v>0</v>
      </c>
      <c r="H81" s="353">
        <f>SUMIFS('Live Collections'!$N:$N,'Live Collections'!$D:$D,'Colln-Summary'!$A81,'Live Collections'!$B:$B,"&gt;="&amp;'Colln-Summary'!$G$1,'Live Collections'!$B:$B,"&lt;="&amp;'Colln-Summary'!$G$2)</f>
        <v>0</v>
      </c>
      <c r="I81" s="353">
        <f>SUMIFS('Live Collections'!$P:$P,'Live Collections'!$D:$D,'Colln-Summary'!$A81,'Live Collections'!$B:$B,"&gt;="&amp;'Colln-Summary'!$G$1,'Live Collections'!$B:$B,"&lt;="&amp;'Colln-Summary'!$G$2)</f>
        <v>0</v>
      </c>
      <c r="J81" s="353">
        <f>SUMIFS('Live Collections'!$O:$O,'Live Collections'!$D:$D,'Colln-Summary'!$A81,'Live Collections'!$B:$B,"&gt;="&amp;'Colln-Summary'!$G$1,'Live Collections'!$B:$B,"&lt;="&amp;'Colln-Summary'!$G$2)</f>
        <v>325000</v>
      </c>
      <c r="K81" s="360">
        <f>SUMIFS('Live Collections'!$S:$S,'Live Collections'!$D:$D,'Colln-Summary'!$A81,'Live Collections'!$B:$B,"&gt;="&amp;'Colln-Summary'!$G$1,'Live Collections'!$B:$B,"&lt;="&amp;'Colln-Summary'!$G$2)</f>
        <v>100666.66666666669</v>
      </c>
      <c r="L81" s="360">
        <f>SUMIFS('Live Collections'!$T:$T,'Live Collections'!$D:$D,'Colln-Summary'!$A81,'Live Collections'!$B:$B,"&gt;="&amp;'Colln-Summary'!$G$1,'Live Collections'!$B:$B,"&lt;="&amp;'Colln-Summary'!$G$2)</f>
        <v>224333.33333333331</v>
      </c>
      <c r="M81" s="258">
        <f t="shared" si="2"/>
        <v>325000</v>
      </c>
    </row>
    <row r="82" spans="1:13" x14ac:dyDescent="0.2">
      <c r="A82" s="478">
        <v>78</v>
      </c>
      <c r="B82" s="352" t="str">
        <f>IFERROR(VLOOKUP($A82,'Clients-Live'!$A:$C,3,0),"")</f>
        <v>DIPIYO BEATRICE JOHN</v>
      </c>
      <c r="C82" s="353">
        <f>SUMIFS('Live Collections'!$J:$J,'Live Collections'!$D:$D,'Colln-Summary'!$A82,'Live Collections'!$B:$B,"&gt;="&amp;'Colln-Summary'!$G$1,'Live Collections'!$B:$B,"&lt;="&amp;'Colln-Summary'!$G$2)</f>
        <v>0</v>
      </c>
      <c r="D82" s="353">
        <f>SUMIFS('Live Collections'!$K:$K,'Live Collections'!$D:$D,'Colln-Summary'!$A82,'Live Collections'!$B:$B,"&gt;="&amp;'Colln-Summary'!$G$1,'Live Collections'!$B:$B,"&lt;="&amp;'Colln-Summary'!$G$2)</f>
        <v>0</v>
      </c>
      <c r="E82" s="353">
        <f>SUMIFS(Disbursements!$F:$F,Disbursements!$B:$B,'Colln-Summary'!$A82,Disbursements!$A:$A,"&gt;="&amp;'Colln-Summary'!$G$1,Disbursements!$A:$A,"&lt;="&amp;'Colln-Summary'!$G$2)</f>
        <v>0</v>
      </c>
      <c r="F82" s="353">
        <f>SUMIFS('Live Collections'!$L:$L,'Live Collections'!$D:$D,'Colln-Summary'!$A82,'Live Collections'!$B:$B,"&gt;="&amp;'Colln-Summary'!$G$1,'Live Collections'!$B:$B,"&lt;="&amp;'Colln-Summary'!$G$2)</f>
        <v>0</v>
      </c>
      <c r="G82" s="353">
        <f>SUMIFS('Live Collections'!$M:$M,'Live Collections'!$D:$D,'Colln-Summary'!$A82,'Live Collections'!$B:$B,"&gt;="&amp;'Colln-Summary'!$G$1,'Live Collections'!$B:$B,"&lt;="&amp;'Colln-Summary'!$G$2)</f>
        <v>0</v>
      </c>
      <c r="H82" s="353">
        <f>SUMIFS('Live Collections'!$N:$N,'Live Collections'!$D:$D,'Colln-Summary'!$A82,'Live Collections'!$B:$B,"&gt;="&amp;'Colln-Summary'!$G$1,'Live Collections'!$B:$B,"&lt;="&amp;'Colln-Summary'!$G$2)</f>
        <v>0</v>
      </c>
      <c r="I82" s="353">
        <f>SUMIFS('Live Collections'!$P:$P,'Live Collections'!$D:$D,'Colln-Summary'!$A82,'Live Collections'!$B:$B,"&gt;="&amp;'Colln-Summary'!$G$1,'Live Collections'!$B:$B,"&lt;="&amp;'Colln-Summary'!$G$2)</f>
        <v>0</v>
      </c>
      <c r="J82" s="353">
        <f>SUMIFS('Live Collections'!$O:$O,'Live Collections'!$D:$D,'Colln-Summary'!$A82,'Live Collections'!$B:$B,"&gt;="&amp;'Colln-Summary'!$G$1,'Live Collections'!$B:$B,"&lt;="&amp;'Colln-Summary'!$G$2)</f>
        <v>540000</v>
      </c>
      <c r="K82" s="360">
        <f>SUMIFS('Live Collections'!$S:$S,'Live Collections'!$D:$D,'Colln-Summary'!$A82,'Live Collections'!$B:$B,"&gt;="&amp;'Colln-Summary'!$G$1,'Live Collections'!$B:$B,"&lt;="&amp;'Colln-Summary'!$G$2)</f>
        <v>40333.333333333328</v>
      </c>
      <c r="L82" s="360">
        <f>SUMIFS('Live Collections'!$T:$T,'Live Collections'!$D:$D,'Colln-Summary'!$A82,'Live Collections'!$B:$B,"&gt;="&amp;'Colln-Summary'!$G$1,'Live Collections'!$B:$B,"&lt;="&amp;'Colln-Summary'!$G$2)</f>
        <v>499666.66666666669</v>
      </c>
      <c r="M82" s="258">
        <f t="shared" si="2"/>
        <v>540000</v>
      </c>
    </row>
    <row r="83" spans="1:13" x14ac:dyDescent="0.2">
      <c r="A83" s="478">
        <v>79</v>
      </c>
      <c r="B83" s="352" t="str">
        <f>IFERROR(VLOOKUP($A83,'Clients-Live'!$A:$C,3,0),"")</f>
        <v>PASI SENYA</v>
      </c>
      <c r="C83" s="353">
        <f>SUMIFS('Live Collections'!$J:$J,'Live Collections'!$D:$D,'Colln-Summary'!$A83,'Live Collections'!$B:$B,"&gt;="&amp;'Colln-Summary'!$G$1,'Live Collections'!$B:$B,"&lt;="&amp;'Colln-Summary'!$G$2)</f>
        <v>0</v>
      </c>
      <c r="D83" s="353">
        <f>SUMIFS('Live Collections'!$K:$K,'Live Collections'!$D:$D,'Colln-Summary'!$A83,'Live Collections'!$B:$B,"&gt;="&amp;'Colln-Summary'!$G$1,'Live Collections'!$B:$B,"&lt;="&amp;'Colln-Summary'!$G$2)</f>
        <v>0</v>
      </c>
      <c r="E83" s="353">
        <f>SUMIFS(Disbursements!$F:$F,Disbursements!$B:$B,'Colln-Summary'!$A83,Disbursements!$A:$A,"&gt;="&amp;'Colln-Summary'!$G$1,Disbursements!$A:$A,"&lt;="&amp;'Colln-Summary'!$G$2)</f>
        <v>0</v>
      </c>
      <c r="F83" s="353">
        <f>SUMIFS('Live Collections'!$L:$L,'Live Collections'!$D:$D,'Colln-Summary'!$A83,'Live Collections'!$B:$B,"&gt;="&amp;'Colln-Summary'!$G$1,'Live Collections'!$B:$B,"&lt;="&amp;'Colln-Summary'!$G$2)</f>
        <v>0</v>
      </c>
      <c r="G83" s="353">
        <f>SUMIFS('Live Collections'!$M:$M,'Live Collections'!$D:$D,'Colln-Summary'!$A83,'Live Collections'!$B:$B,"&gt;="&amp;'Colln-Summary'!$G$1,'Live Collections'!$B:$B,"&lt;="&amp;'Colln-Summary'!$G$2)</f>
        <v>0</v>
      </c>
      <c r="H83" s="353">
        <f>SUMIFS('Live Collections'!$N:$N,'Live Collections'!$D:$D,'Colln-Summary'!$A83,'Live Collections'!$B:$B,"&gt;="&amp;'Colln-Summary'!$G$1,'Live Collections'!$B:$B,"&lt;="&amp;'Colln-Summary'!$G$2)</f>
        <v>0</v>
      </c>
      <c r="I83" s="353">
        <f>SUMIFS('Live Collections'!$P:$P,'Live Collections'!$D:$D,'Colln-Summary'!$A83,'Live Collections'!$B:$B,"&gt;="&amp;'Colln-Summary'!$G$1,'Live Collections'!$B:$B,"&lt;="&amp;'Colln-Summary'!$G$2)</f>
        <v>0</v>
      </c>
      <c r="J83" s="353">
        <f>SUMIFS('Live Collections'!$O:$O,'Live Collections'!$D:$D,'Colln-Summary'!$A83,'Live Collections'!$B:$B,"&gt;="&amp;'Colln-Summary'!$G$1,'Live Collections'!$B:$B,"&lt;="&amp;'Colln-Summary'!$G$2)</f>
        <v>0</v>
      </c>
      <c r="K83" s="360">
        <f>SUMIFS('Live Collections'!$S:$S,'Live Collections'!$D:$D,'Colln-Summary'!$A83,'Live Collections'!$B:$B,"&gt;="&amp;'Colln-Summary'!$G$1,'Live Collections'!$B:$B,"&lt;="&amp;'Colln-Summary'!$G$2)</f>
        <v>0</v>
      </c>
      <c r="L83" s="360">
        <f>SUMIFS('Live Collections'!$T:$T,'Live Collections'!$D:$D,'Colln-Summary'!$A83,'Live Collections'!$B:$B,"&gt;="&amp;'Colln-Summary'!$G$1,'Live Collections'!$B:$B,"&lt;="&amp;'Colln-Summary'!$G$2)</f>
        <v>0</v>
      </c>
      <c r="M83" s="258">
        <f t="shared" si="2"/>
        <v>0</v>
      </c>
    </row>
    <row r="84" spans="1:13" x14ac:dyDescent="0.2">
      <c r="A84" s="478">
        <v>80</v>
      </c>
      <c r="B84" s="352" t="str">
        <f>IFERROR(VLOOKUP($A84,'Clients-Live'!$A:$C,3,0),"")</f>
        <v>ARIYE AISHA</v>
      </c>
      <c r="C84" s="353">
        <f>SUMIFS('Live Collections'!$J:$J,'Live Collections'!$D:$D,'Colln-Summary'!$A84,'Live Collections'!$B:$B,"&gt;="&amp;'Colln-Summary'!$G$1,'Live Collections'!$B:$B,"&lt;="&amp;'Colln-Summary'!$G$2)</f>
        <v>0</v>
      </c>
      <c r="D84" s="353">
        <f>SUMIFS('Live Collections'!$K:$K,'Live Collections'!$D:$D,'Colln-Summary'!$A84,'Live Collections'!$B:$B,"&gt;="&amp;'Colln-Summary'!$G$1,'Live Collections'!$B:$B,"&lt;="&amp;'Colln-Summary'!$G$2)</f>
        <v>0</v>
      </c>
      <c r="E84" s="353">
        <f>SUMIFS(Disbursements!$F:$F,Disbursements!$B:$B,'Colln-Summary'!$A84,Disbursements!$A:$A,"&gt;="&amp;'Colln-Summary'!$G$1,Disbursements!$A:$A,"&lt;="&amp;'Colln-Summary'!$G$2)</f>
        <v>0</v>
      </c>
      <c r="F84" s="353">
        <f>SUMIFS('Live Collections'!$L:$L,'Live Collections'!$D:$D,'Colln-Summary'!$A84,'Live Collections'!$B:$B,"&gt;="&amp;'Colln-Summary'!$G$1,'Live Collections'!$B:$B,"&lt;="&amp;'Colln-Summary'!$G$2)</f>
        <v>0</v>
      </c>
      <c r="G84" s="353">
        <f>SUMIFS('Live Collections'!$M:$M,'Live Collections'!$D:$D,'Colln-Summary'!$A84,'Live Collections'!$B:$B,"&gt;="&amp;'Colln-Summary'!$G$1,'Live Collections'!$B:$B,"&lt;="&amp;'Colln-Summary'!$G$2)</f>
        <v>0</v>
      </c>
      <c r="H84" s="353">
        <f>SUMIFS('Live Collections'!$N:$N,'Live Collections'!$D:$D,'Colln-Summary'!$A84,'Live Collections'!$B:$B,"&gt;="&amp;'Colln-Summary'!$G$1,'Live Collections'!$B:$B,"&lt;="&amp;'Colln-Summary'!$G$2)</f>
        <v>0</v>
      </c>
      <c r="I84" s="353">
        <f>SUMIFS('Live Collections'!$P:$P,'Live Collections'!$D:$D,'Colln-Summary'!$A84,'Live Collections'!$B:$B,"&gt;="&amp;'Colln-Summary'!$G$1,'Live Collections'!$B:$B,"&lt;="&amp;'Colln-Summary'!$G$2)</f>
        <v>0</v>
      </c>
      <c r="J84" s="353">
        <f>SUMIFS('Live Collections'!$O:$O,'Live Collections'!$D:$D,'Colln-Summary'!$A84,'Live Collections'!$B:$B,"&gt;="&amp;'Colln-Summary'!$G$1,'Live Collections'!$B:$B,"&lt;="&amp;'Colln-Summary'!$G$2)</f>
        <v>0</v>
      </c>
      <c r="K84" s="360">
        <f>SUMIFS('Live Collections'!$S:$S,'Live Collections'!$D:$D,'Colln-Summary'!$A84,'Live Collections'!$B:$B,"&gt;="&amp;'Colln-Summary'!$G$1,'Live Collections'!$B:$B,"&lt;="&amp;'Colln-Summary'!$G$2)</f>
        <v>0</v>
      </c>
      <c r="L84" s="360">
        <f>SUMIFS('Live Collections'!$T:$T,'Live Collections'!$D:$D,'Colln-Summary'!$A84,'Live Collections'!$B:$B,"&gt;="&amp;'Colln-Summary'!$G$1,'Live Collections'!$B:$B,"&lt;="&amp;'Colln-Summary'!$G$2)</f>
        <v>0</v>
      </c>
      <c r="M84" s="258">
        <f t="shared" si="2"/>
        <v>0</v>
      </c>
    </row>
    <row r="85" spans="1:13" x14ac:dyDescent="0.2">
      <c r="A85" s="478">
        <v>81</v>
      </c>
      <c r="B85" s="352" t="str">
        <f>IFERROR(VLOOKUP($A85,'Clients-Live'!$A:$C,3,0),"")</f>
        <v>ADAM ZAITUN</v>
      </c>
      <c r="C85" s="353">
        <f>SUMIFS('Live Collections'!$J:$J,'Live Collections'!$D:$D,'Colln-Summary'!$A85,'Live Collections'!$B:$B,"&gt;="&amp;'Colln-Summary'!$G$1,'Live Collections'!$B:$B,"&lt;="&amp;'Colln-Summary'!$G$2)</f>
        <v>0</v>
      </c>
      <c r="D85" s="353">
        <f>SUMIFS('Live Collections'!$K:$K,'Live Collections'!$D:$D,'Colln-Summary'!$A85,'Live Collections'!$B:$B,"&gt;="&amp;'Colln-Summary'!$G$1,'Live Collections'!$B:$B,"&lt;="&amp;'Colln-Summary'!$G$2)</f>
        <v>0</v>
      </c>
      <c r="E85" s="353">
        <f>SUMIFS(Disbursements!$F:$F,Disbursements!$B:$B,'Colln-Summary'!$A85,Disbursements!$A:$A,"&gt;="&amp;'Colln-Summary'!$G$1,Disbursements!$A:$A,"&lt;="&amp;'Colln-Summary'!$G$2)</f>
        <v>0</v>
      </c>
      <c r="F85" s="353">
        <f>SUMIFS('Live Collections'!$L:$L,'Live Collections'!$D:$D,'Colln-Summary'!$A85,'Live Collections'!$B:$B,"&gt;="&amp;'Colln-Summary'!$G$1,'Live Collections'!$B:$B,"&lt;="&amp;'Colln-Summary'!$G$2)</f>
        <v>0</v>
      </c>
      <c r="G85" s="353">
        <f>SUMIFS('Live Collections'!$M:$M,'Live Collections'!$D:$D,'Colln-Summary'!$A85,'Live Collections'!$B:$B,"&gt;="&amp;'Colln-Summary'!$G$1,'Live Collections'!$B:$B,"&lt;="&amp;'Colln-Summary'!$G$2)</f>
        <v>0</v>
      </c>
      <c r="H85" s="353">
        <f>SUMIFS('Live Collections'!$N:$N,'Live Collections'!$D:$D,'Colln-Summary'!$A85,'Live Collections'!$B:$B,"&gt;="&amp;'Colln-Summary'!$G$1,'Live Collections'!$B:$B,"&lt;="&amp;'Colln-Summary'!$G$2)</f>
        <v>0</v>
      </c>
      <c r="I85" s="353">
        <f>SUMIFS('Live Collections'!$P:$P,'Live Collections'!$D:$D,'Colln-Summary'!$A85,'Live Collections'!$B:$B,"&gt;="&amp;'Colln-Summary'!$G$1,'Live Collections'!$B:$B,"&lt;="&amp;'Colln-Summary'!$G$2)</f>
        <v>0</v>
      </c>
      <c r="J85" s="353">
        <f>SUMIFS('Live Collections'!$O:$O,'Live Collections'!$D:$D,'Colln-Summary'!$A85,'Live Collections'!$B:$B,"&gt;="&amp;'Colln-Summary'!$G$1,'Live Collections'!$B:$B,"&lt;="&amp;'Colln-Summary'!$G$2)</f>
        <v>0</v>
      </c>
      <c r="K85" s="360">
        <f>SUMIFS('Live Collections'!$S:$S,'Live Collections'!$D:$D,'Colln-Summary'!$A85,'Live Collections'!$B:$B,"&gt;="&amp;'Colln-Summary'!$G$1,'Live Collections'!$B:$B,"&lt;="&amp;'Colln-Summary'!$G$2)</f>
        <v>0</v>
      </c>
      <c r="L85" s="360">
        <f>SUMIFS('Live Collections'!$T:$T,'Live Collections'!$D:$D,'Colln-Summary'!$A85,'Live Collections'!$B:$B,"&gt;="&amp;'Colln-Summary'!$G$1,'Live Collections'!$B:$B,"&lt;="&amp;'Colln-Summary'!$G$2)</f>
        <v>0</v>
      </c>
      <c r="M85" s="258">
        <f t="shared" si="2"/>
        <v>0</v>
      </c>
    </row>
    <row r="86" spans="1:13" x14ac:dyDescent="0.2">
      <c r="A86" s="478">
        <v>82</v>
      </c>
      <c r="B86" s="352" t="str">
        <f>IFERROR(VLOOKUP($A86,'Clients-Live'!$A:$C,3,0),"")</f>
        <v>ADUNA MANENO</v>
      </c>
      <c r="C86" s="353">
        <f>SUMIFS('Live Collections'!$J:$J,'Live Collections'!$D:$D,'Colln-Summary'!$A86,'Live Collections'!$B:$B,"&gt;="&amp;'Colln-Summary'!$G$1,'Live Collections'!$B:$B,"&lt;="&amp;'Colln-Summary'!$G$2)</f>
        <v>0</v>
      </c>
      <c r="D86" s="353">
        <f>SUMIFS('Live Collections'!$K:$K,'Live Collections'!$D:$D,'Colln-Summary'!$A86,'Live Collections'!$B:$B,"&gt;="&amp;'Colln-Summary'!$G$1,'Live Collections'!$B:$B,"&lt;="&amp;'Colln-Summary'!$G$2)</f>
        <v>0</v>
      </c>
      <c r="E86" s="353">
        <f>SUMIFS(Disbursements!$F:$F,Disbursements!$B:$B,'Colln-Summary'!$A86,Disbursements!$A:$A,"&gt;="&amp;'Colln-Summary'!$G$1,Disbursements!$A:$A,"&lt;="&amp;'Colln-Summary'!$G$2)</f>
        <v>0</v>
      </c>
      <c r="F86" s="353">
        <f>SUMIFS('Live Collections'!$L:$L,'Live Collections'!$D:$D,'Colln-Summary'!$A86,'Live Collections'!$B:$B,"&gt;="&amp;'Colln-Summary'!$G$1,'Live Collections'!$B:$B,"&lt;="&amp;'Colln-Summary'!$G$2)</f>
        <v>0</v>
      </c>
      <c r="G86" s="353">
        <f>SUMIFS('Live Collections'!$M:$M,'Live Collections'!$D:$D,'Colln-Summary'!$A86,'Live Collections'!$B:$B,"&gt;="&amp;'Colln-Summary'!$G$1,'Live Collections'!$B:$B,"&lt;="&amp;'Colln-Summary'!$G$2)</f>
        <v>0</v>
      </c>
      <c r="H86" s="353">
        <f>SUMIFS('Live Collections'!$N:$N,'Live Collections'!$D:$D,'Colln-Summary'!$A86,'Live Collections'!$B:$B,"&gt;="&amp;'Colln-Summary'!$G$1,'Live Collections'!$B:$B,"&lt;="&amp;'Colln-Summary'!$G$2)</f>
        <v>0</v>
      </c>
      <c r="I86" s="353">
        <f>SUMIFS('Live Collections'!$P:$P,'Live Collections'!$D:$D,'Colln-Summary'!$A86,'Live Collections'!$B:$B,"&gt;="&amp;'Colln-Summary'!$G$1,'Live Collections'!$B:$B,"&lt;="&amp;'Colln-Summary'!$G$2)</f>
        <v>0</v>
      </c>
      <c r="J86" s="353">
        <f>SUMIFS('Live Collections'!$O:$O,'Live Collections'!$D:$D,'Colln-Summary'!$A86,'Live Collections'!$B:$B,"&gt;="&amp;'Colln-Summary'!$G$1,'Live Collections'!$B:$B,"&lt;="&amp;'Colln-Summary'!$G$2)</f>
        <v>0</v>
      </c>
      <c r="K86" s="360">
        <f>SUMIFS('Live Collections'!$S:$S,'Live Collections'!$D:$D,'Colln-Summary'!$A86,'Live Collections'!$B:$B,"&gt;="&amp;'Colln-Summary'!$G$1,'Live Collections'!$B:$B,"&lt;="&amp;'Colln-Summary'!$G$2)</f>
        <v>0</v>
      </c>
      <c r="L86" s="360">
        <f>SUMIFS('Live Collections'!$T:$T,'Live Collections'!$D:$D,'Colln-Summary'!$A86,'Live Collections'!$B:$B,"&gt;="&amp;'Colln-Summary'!$G$1,'Live Collections'!$B:$B,"&lt;="&amp;'Colln-Summary'!$G$2)</f>
        <v>0</v>
      </c>
      <c r="M86" s="258">
        <f t="shared" si="2"/>
        <v>0</v>
      </c>
    </row>
    <row r="87" spans="1:13" x14ac:dyDescent="0.2">
      <c r="A87" s="478">
        <v>83</v>
      </c>
      <c r="B87" s="352" t="str">
        <f>IFERROR(VLOOKUP($A87,'Clients-Live'!$A:$C,3,0),"")</f>
        <v>NEVER ZULAIKA</v>
      </c>
      <c r="C87" s="353">
        <f>SUMIFS('Live Collections'!$J:$J,'Live Collections'!$D:$D,'Colln-Summary'!$A87,'Live Collections'!$B:$B,"&gt;="&amp;'Colln-Summary'!$G$1,'Live Collections'!$B:$B,"&lt;="&amp;'Colln-Summary'!$G$2)</f>
        <v>0</v>
      </c>
      <c r="D87" s="353">
        <f>SUMIFS('Live Collections'!$K:$K,'Live Collections'!$D:$D,'Colln-Summary'!$A87,'Live Collections'!$B:$B,"&gt;="&amp;'Colln-Summary'!$G$1,'Live Collections'!$B:$B,"&lt;="&amp;'Colln-Summary'!$G$2)</f>
        <v>0</v>
      </c>
      <c r="E87" s="353">
        <f>SUMIFS(Disbursements!$F:$F,Disbursements!$B:$B,'Colln-Summary'!$A87,Disbursements!$A:$A,"&gt;="&amp;'Colln-Summary'!$G$1,Disbursements!$A:$A,"&lt;="&amp;'Colln-Summary'!$G$2)</f>
        <v>0</v>
      </c>
      <c r="F87" s="353">
        <f>SUMIFS('Live Collections'!$L:$L,'Live Collections'!$D:$D,'Colln-Summary'!$A87,'Live Collections'!$B:$B,"&gt;="&amp;'Colln-Summary'!$G$1,'Live Collections'!$B:$B,"&lt;="&amp;'Colln-Summary'!$G$2)</f>
        <v>0</v>
      </c>
      <c r="G87" s="353">
        <f>SUMIFS('Live Collections'!$M:$M,'Live Collections'!$D:$D,'Colln-Summary'!$A87,'Live Collections'!$B:$B,"&gt;="&amp;'Colln-Summary'!$G$1,'Live Collections'!$B:$B,"&lt;="&amp;'Colln-Summary'!$G$2)</f>
        <v>0</v>
      </c>
      <c r="H87" s="353">
        <f>SUMIFS('Live Collections'!$N:$N,'Live Collections'!$D:$D,'Colln-Summary'!$A87,'Live Collections'!$B:$B,"&gt;="&amp;'Colln-Summary'!$G$1,'Live Collections'!$B:$B,"&lt;="&amp;'Colln-Summary'!$G$2)</f>
        <v>0</v>
      </c>
      <c r="I87" s="353">
        <f>SUMIFS('Live Collections'!$P:$P,'Live Collections'!$D:$D,'Colln-Summary'!$A87,'Live Collections'!$B:$B,"&gt;="&amp;'Colln-Summary'!$G$1,'Live Collections'!$B:$B,"&lt;="&amp;'Colln-Summary'!$G$2)</f>
        <v>0</v>
      </c>
      <c r="J87" s="353">
        <f>SUMIFS('Live Collections'!$O:$O,'Live Collections'!$D:$D,'Colln-Summary'!$A87,'Live Collections'!$B:$B,"&gt;="&amp;'Colln-Summary'!$G$1,'Live Collections'!$B:$B,"&lt;="&amp;'Colln-Summary'!$G$2)</f>
        <v>0</v>
      </c>
      <c r="K87" s="360">
        <f>SUMIFS('Live Collections'!$S:$S,'Live Collections'!$D:$D,'Colln-Summary'!$A87,'Live Collections'!$B:$B,"&gt;="&amp;'Colln-Summary'!$G$1,'Live Collections'!$B:$B,"&lt;="&amp;'Colln-Summary'!$G$2)</f>
        <v>0</v>
      </c>
      <c r="L87" s="360">
        <f>SUMIFS('Live Collections'!$T:$T,'Live Collections'!$D:$D,'Colln-Summary'!$A87,'Live Collections'!$B:$B,"&gt;="&amp;'Colln-Summary'!$G$1,'Live Collections'!$B:$B,"&lt;="&amp;'Colln-Summary'!$G$2)</f>
        <v>0</v>
      </c>
      <c r="M87" s="258">
        <f t="shared" si="2"/>
        <v>0</v>
      </c>
    </row>
    <row r="88" spans="1:13" x14ac:dyDescent="0.2">
      <c r="A88" s="478">
        <v>84</v>
      </c>
      <c r="B88" s="352" t="str">
        <f>IFERROR(VLOOKUP($A88,'Clients-Live'!$A:$C,3,0),"")</f>
        <v>OMEGA  CHARLES</v>
      </c>
      <c r="C88" s="353">
        <f>SUMIFS('Live Collections'!$J:$J,'Live Collections'!$D:$D,'Colln-Summary'!$A88,'Live Collections'!$B:$B,"&gt;="&amp;'Colln-Summary'!$G$1,'Live Collections'!$B:$B,"&lt;="&amp;'Colln-Summary'!$G$2)</f>
        <v>0</v>
      </c>
      <c r="D88" s="353">
        <f>SUMIFS('Live Collections'!$K:$K,'Live Collections'!$D:$D,'Colln-Summary'!$A88,'Live Collections'!$B:$B,"&gt;="&amp;'Colln-Summary'!$G$1,'Live Collections'!$B:$B,"&lt;="&amp;'Colln-Summary'!$G$2)</f>
        <v>0</v>
      </c>
      <c r="E88" s="353">
        <f>SUMIFS(Disbursements!$F:$F,Disbursements!$B:$B,'Colln-Summary'!$A88,Disbursements!$A:$A,"&gt;="&amp;'Colln-Summary'!$G$1,Disbursements!$A:$A,"&lt;="&amp;'Colln-Summary'!$G$2)</f>
        <v>0</v>
      </c>
      <c r="F88" s="353">
        <f>SUMIFS('Live Collections'!$L:$L,'Live Collections'!$D:$D,'Colln-Summary'!$A88,'Live Collections'!$B:$B,"&gt;="&amp;'Colln-Summary'!$G$1,'Live Collections'!$B:$B,"&lt;="&amp;'Colln-Summary'!$G$2)</f>
        <v>0</v>
      </c>
      <c r="G88" s="353">
        <f>SUMIFS('Live Collections'!$M:$M,'Live Collections'!$D:$D,'Colln-Summary'!$A88,'Live Collections'!$B:$B,"&gt;="&amp;'Colln-Summary'!$G$1,'Live Collections'!$B:$B,"&lt;="&amp;'Colln-Summary'!$G$2)</f>
        <v>0</v>
      </c>
      <c r="H88" s="353">
        <f>SUMIFS('Live Collections'!$N:$N,'Live Collections'!$D:$D,'Colln-Summary'!$A88,'Live Collections'!$B:$B,"&gt;="&amp;'Colln-Summary'!$G$1,'Live Collections'!$B:$B,"&lt;="&amp;'Colln-Summary'!$G$2)</f>
        <v>0</v>
      </c>
      <c r="I88" s="353">
        <f>SUMIFS('Live Collections'!$P:$P,'Live Collections'!$D:$D,'Colln-Summary'!$A88,'Live Collections'!$B:$B,"&gt;="&amp;'Colln-Summary'!$G$1,'Live Collections'!$B:$B,"&lt;="&amp;'Colln-Summary'!$G$2)</f>
        <v>0</v>
      </c>
      <c r="J88" s="353">
        <f>SUMIFS('Live Collections'!$O:$O,'Live Collections'!$D:$D,'Colln-Summary'!$A88,'Live Collections'!$B:$B,"&gt;="&amp;'Colln-Summary'!$G$1,'Live Collections'!$B:$B,"&lt;="&amp;'Colln-Summary'!$G$2)</f>
        <v>0</v>
      </c>
      <c r="K88" s="360">
        <f>SUMIFS('Live Collections'!$S:$S,'Live Collections'!$D:$D,'Colln-Summary'!$A88,'Live Collections'!$B:$B,"&gt;="&amp;'Colln-Summary'!$G$1,'Live Collections'!$B:$B,"&lt;="&amp;'Colln-Summary'!$G$2)</f>
        <v>0</v>
      </c>
      <c r="L88" s="360">
        <f>SUMIFS('Live Collections'!$T:$T,'Live Collections'!$D:$D,'Colln-Summary'!$A88,'Live Collections'!$B:$B,"&gt;="&amp;'Colln-Summary'!$G$1,'Live Collections'!$B:$B,"&lt;="&amp;'Colln-Summary'!$G$2)</f>
        <v>0</v>
      </c>
      <c r="M88" s="258">
        <f t="shared" si="2"/>
        <v>0</v>
      </c>
    </row>
    <row r="89" spans="1:13" x14ac:dyDescent="0.2">
      <c r="A89" s="478">
        <v>85</v>
      </c>
      <c r="B89" s="352" t="str">
        <f>IFERROR(VLOOKUP($A89,'Clients-Live'!$A:$C,3,0),"")</f>
        <v>CEASER SWALEH</v>
      </c>
      <c r="C89" s="353">
        <f>SUMIFS('Live Collections'!$J:$J,'Live Collections'!$D:$D,'Colln-Summary'!$A89,'Live Collections'!$B:$B,"&gt;="&amp;'Colln-Summary'!$G$1,'Live Collections'!$B:$B,"&lt;="&amp;'Colln-Summary'!$G$2)</f>
        <v>0</v>
      </c>
      <c r="D89" s="353">
        <f>SUMIFS('Live Collections'!$K:$K,'Live Collections'!$D:$D,'Colln-Summary'!$A89,'Live Collections'!$B:$B,"&gt;="&amp;'Colln-Summary'!$G$1,'Live Collections'!$B:$B,"&lt;="&amp;'Colln-Summary'!$G$2)</f>
        <v>5000</v>
      </c>
      <c r="E89" s="353">
        <f>SUMIFS(Disbursements!$F:$F,Disbursements!$B:$B,'Colln-Summary'!$A89,Disbursements!$A:$A,"&gt;="&amp;'Colln-Summary'!$G$1,Disbursements!$A:$A,"&lt;="&amp;'Colln-Summary'!$G$2)</f>
        <v>2500000</v>
      </c>
      <c r="F89" s="353">
        <f>SUMIFS('Live Collections'!$L:$L,'Live Collections'!$D:$D,'Colln-Summary'!$A89,'Live Collections'!$B:$B,"&gt;="&amp;'Colln-Summary'!$G$1,'Live Collections'!$B:$B,"&lt;="&amp;'Colln-Summary'!$G$2)</f>
        <v>25000</v>
      </c>
      <c r="G89" s="353">
        <f>SUMIFS('Live Collections'!$M:$M,'Live Collections'!$D:$D,'Colln-Summary'!$A89,'Live Collections'!$B:$B,"&gt;="&amp;'Colln-Summary'!$G$1,'Live Collections'!$B:$B,"&lt;="&amp;'Colln-Summary'!$G$2)</f>
        <v>5000</v>
      </c>
      <c r="H89" s="353">
        <f>SUMIFS('Live Collections'!$N:$N,'Live Collections'!$D:$D,'Colln-Summary'!$A89,'Live Collections'!$B:$B,"&gt;="&amp;'Colln-Summary'!$G$1,'Live Collections'!$B:$B,"&lt;="&amp;'Colln-Summary'!$G$2)</f>
        <v>0</v>
      </c>
      <c r="I89" s="353">
        <f>SUMIFS('Live Collections'!$P:$P,'Live Collections'!$D:$D,'Colln-Summary'!$A89,'Live Collections'!$B:$B,"&gt;="&amp;'Colln-Summary'!$G$1,'Live Collections'!$B:$B,"&lt;="&amp;'Colln-Summary'!$G$2)</f>
        <v>0</v>
      </c>
      <c r="J89" s="353">
        <f>SUMIFS('Live Collections'!$O:$O,'Live Collections'!$D:$D,'Colln-Summary'!$A89,'Live Collections'!$B:$B,"&gt;="&amp;'Colln-Summary'!$G$1,'Live Collections'!$B:$B,"&lt;="&amp;'Colln-Summary'!$G$2)</f>
        <v>927500</v>
      </c>
      <c r="K89" s="360">
        <f>SUMIFS('Live Collections'!$S:$S,'Live Collections'!$D:$D,'Colln-Summary'!$A89,'Live Collections'!$B:$B,"&gt;="&amp;'Colln-Summary'!$G$1,'Live Collections'!$B:$B,"&lt;="&amp;'Colln-Summary'!$G$2)</f>
        <v>450333.33333333349</v>
      </c>
      <c r="L89" s="360">
        <f>SUMIFS('Live Collections'!$T:$T,'Live Collections'!$D:$D,'Colln-Summary'!$A89,'Live Collections'!$B:$B,"&gt;="&amp;'Colln-Summary'!$G$1,'Live Collections'!$B:$B,"&lt;="&amp;'Colln-Summary'!$G$2)</f>
        <v>477166.66666666651</v>
      </c>
      <c r="M89" s="258">
        <f t="shared" si="2"/>
        <v>3462500</v>
      </c>
    </row>
    <row r="90" spans="1:13" x14ac:dyDescent="0.2">
      <c r="A90" s="478">
        <v>86</v>
      </c>
      <c r="B90" s="352" t="str">
        <f>IFERROR(VLOOKUP($A90,'Clients-Live'!$A:$C,3,0),"")</f>
        <v>AMANIYO JOYCE</v>
      </c>
      <c r="C90" s="353">
        <f>SUMIFS('Live Collections'!$J:$J,'Live Collections'!$D:$D,'Colln-Summary'!$A90,'Live Collections'!$B:$B,"&gt;="&amp;'Colln-Summary'!$G$1,'Live Collections'!$B:$B,"&lt;="&amp;'Colln-Summary'!$G$2)</f>
        <v>0</v>
      </c>
      <c r="D90" s="353">
        <f>SUMIFS('Live Collections'!$K:$K,'Live Collections'!$D:$D,'Colln-Summary'!$A90,'Live Collections'!$B:$B,"&gt;="&amp;'Colln-Summary'!$G$1,'Live Collections'!$B:$B,"&lt;="&amp;'Colln-Summary'!$G$2)</f>
        <v>0</v>
      </c>
      <c r="E90" s="353">
        <f>SUMIFS(Disbursements!$F:$F,Disbursements!$B:$B,'Colln-Summary'!$A90,Disbursements!$A:$A,"&gt;="&amp;'Colln-Summary'!$G$1,Disbursements!$A:$A,"&lt;="&amp;'Colln-Summary'!$G$2)</f>
        <v>0</v>
      </c>
      <c r="F90" s="353">
        <f>SUMIFS('Live Collections'!$L:$L,'Live Collections'!$D:$D,'Colln-Summary'!$A90,'Live Collections'!$B:$B,"&gt;="&amp;'Colln-Summary'!$G$1,'Live Collections'!$B:$B,"&lt;="&amp;'Colln-Summary'!$G$2)</f>
        <v>0</v>
      </c>
      <c r="G90" s="353">
        <f>SUMIFS('Live Collections'!$M:$M,'Live Collections'!$D:$D,'Colln-Summary'!$A90,'Live Collections'!$B:$B,"&gt;="&amp;'Colln-Summary'!$G$1,'Live Collections'!$B:$B,"&lt;="&amp;'Colln-Summary'!$G$2)</f>
        <v>0</v>
      </c>
      <c r="H90" s="353">
        <f>SUMIFS('Live Collections'!$N:$N,'Live Collections'!$D:$D,'Colln-Summary'!$A90,'Live Collections'!$B:$B,"&gt;="&amp;'Colln-Summary'!$G$1,'Live Collections'!$B:$B,"&lt;="&amp;'Colln-Summary'!$G$2)</f>
        <v>0</v>
      </c>
      <c r="I90" s="353">
        <f>SUMIFS('Live Collections'!$P:$P,'Live Collections'!$D:$D,'Colln-Summary'!$A90,'Live Collections'!$B:$B,"&gt;="&amp;'Colln-Summary'!$G$1,'Live Collections'!$B:$B,"&lt;="&amp;'Colln-Summary'!$G$2)</f>
        <v>0</v>
      </c>
      <c r="J90" s="353">
        <f>SUMIFS('Live Collections'!$O:$O,'Live Collections'!$D:$D,'Colln-Summary'!$A90,'Live Collections'!$B:$B,"&gt;="&amp;'Colln-Summary'!$G$1,'Live Collections'!$B:$B,"&lt;="&amp;'Colln-Summary'!$G$2)</f>
        <v>296700</v>
      </c>
      <c r="K90" s="360">
        <f>SUMIFS('Live Collections'!$S:$S,'Live Collections'!$D:$D,'Colln-Summary'!$A90,'Live Collections'!$B:$B,"&gt;="&amp;'Colln-Summary'!$G$1,'Live Collections'!$B:$B,"&lt;="&amp;'Colln-Summary'!$G$2)</f>
        <v>30000</v>
      </c>
      <c r="L90" s="360">
        <f>SUMIFS('Live Collections'!$T:$T,'Live Collections'!$D:$D,'Colln-Summary'!$A90,'Live Collections'!$B:$B,"&gt;="&amp;'Colln-Summary'!$G$1,'Live Collections'!$B:$B,"&lt;="&amp;'Colln-Summary'!$G$2)</f>
        <v>266700</v>
      </c>
      <c r="M90" s="258">
        <f t="shared" si="2"/>
        <v>296700</v>
      </c>
    </row>
    <row r="91" spans="1:13" x14ac:dyDescent="0.2">
      <c r="A91" s="478">
        <v>87</v>
      </c>
      <c r="B91" s="352" t="str">
        <f>IFERROR(VLOOKUP($A91,'Clients-Live'!$A:$C,3,0),"")</f>
        <v>FAIDA ZUBEDA</v>
      </c>
      <c r="C91" s="353">
        <f>SUMIFS('Live Collections'!$J:$J,'Live Collections'!$D:$D,'Colln-Summary'!$A91,'Live Collections'!$B:$B,"&gt;="&amp;'Colln-Summary'!$G$1,'Live Collections'!$B:$B,"&lt;="&amp;'Colln-Summary'!$G$2)</f>
        <v>0</v>
      </c>
      <c r="D91" s="353">
        <f>SUMIFS('Live Collections'!$K:$K,'Live Collections'!$D:$D,'Colln-Summary'!$A91,'Live Collections'!$B:$B,"&gt;="&amp;'Colln-Summary'!$G$1,'Live Collections'!$B:$B,"&lt;="&amp;'Colln-Summary'!$G$2)</f>
        <v>0</v>
      </c>
      <c r="E91" s="353">
        <f>SUMIFS(Disbursements!$F:$F,Disbursements!$B:$B,'Colln-Summary'!$A91,Disbursements!$A:$A,"&gt;="&amp;'Colln-Summary'!$G$1,Disbursements!$A:$A,"&lt;="&amp;'Colln-Summary'!$G$2)</f>
        <v>0</v>
      </c>
      <c r="F91" s="353">
        <f>SUMIFS('Live Collections'!$L:$L,'Live Collections'!$D:$D,'Colln-Summary'!$A91,'Live Collections'!$B:$B,"&gt;="&amp;'Colln-Summary'!$G$1,'Live Collections'!$B:$B,"&lt;="&amp;'Colln-Summary'!$G$2)</f>
        <v>0</v>
      </c>
      <c r="G91" s="353">
        <f>SUMIFS('Live Collections'!$M:$M,'Live Collections'!$D:$D,'Colln-Summary'!$A91,'Live Collections'!$B:$B,"&gt;="&amp;'Colln-Summary'!$G$1,'Live Collections'!$B:$B,"&lt;="&amp;'Colln-Summary'!$G$2)</f>
        <v>0</v>
      </c>
      <c r="H91" s="353">
        <f>SUMIFS('Live Collections'!$N:$N,'Live Collections'!$D:$D,'Colln-Summary'!$A91,'Live Collections'!$B:$B,"&gt;="&amp;'Colln-Summary'!$G$1,'Live Collections'!$B:$B,"&lt;="&amp;'Colln-Summary'!$G$2)</f>
        <v>0</v>
      </c>
      <c r="I91" s="353">
        <f>SUMIFS('Live Collections'!$P:$P,'Live Collections'!$D:$D,'Colln-Summary'!$A91,'Live Collections'!$B:$B,"&gt;="&amp;'Colln-Summary'!$G$1,'Live Collections'!$B:$B,"&lt;="&amp;'Colln-Summary'!$G$2)</f>
        <v>0</v>
      </c>
      <c r="J91" s="353">
        <f>SUMIFS('Live Collections'!$O:$O,'Live Collections'!$D:$D,'Colln-Summary'!$A91,'Live Collections'!$B:$B,"&gt;="&amp;'Colln-Summary'!$G$1,'Live Collections'!$B:$B,"&lt;="&amp;'Colln-Summary'!$G$2)</f>
        <v>40000</v>
      </c>
      <c r="K91" s="360">
        <f>SUMIFS('Live Collections'!$S:$S,'Live Collections'!$D:$D,'Colln-Summary'!$A91,'Live Collections'!$B:$B,"&gt;="&amp;'Colln-Summary'!$G$1,'Live Collections'!$B:$B,"&lt;="&amp;'Colln-Summary'!$G$2)</f>
        <v>0</v>
      </c>
      <c r="L91" s="360">
        <f>SUMIFS('Live Collections'!$T:$T,'Live Collections'!$D:$D,'Colln-Summary'!$A91,'Live Collections'!$B:$B,"&gt;="&amp;'Colln-Summary'!$G$1,'Live Collections'!$B:$B,"&lt;="&amp;'Colln-Summary'!$G$2)</f>
        <v>40000</v>
      </c>
      <c r="M91" s="258">
        <f t="shared" si="2"/>
        <v>40000</v>
      </c>
    </row>
    <row r="92" spans="1:13" x14ac:dyDescent="0.2">
      <c r="A92" s="478">
        <v>88</v>
      </c>
      <c r="B92" s="352" t="str">
        <f>IFERROR(VLOOKUP($A92,'Clients-Live'!$A:$C,3,0),"")</f>
        <v>FAIDA HARRIET</v>
      </c>
      <c r="C92" s="353">
        <f>SUMIFS('Live Collections'!$J:$J,'Live Collections'!$D:$D,'Colln-Summary'!$A92,'Live Collections'!$B:$B,"&gt;="&amp;'Colln-Summary'!$G$1,'Live Collections'!$B:$B,"&lt;="&amp;'Colln-Summary'!$G$2)</f>
        <v>0</v>
      </c>
      <c r="D92" s="353">
        <f>SUMIFS('Live Collections'!$K:$K,'Live Collections'!$D:$D,'Colln-Summary'!$A92,'Live Collections'!$B:$B,"&gt;="&amp;'Colln-Summary'!$G$1,'Live Collections'!$B:$B,"&lt;="&amp;'Colln-Summary'!$G$2)</f>
        <v>0</v>
      </c>
      <c r="E92" s="353">
        <f>SUMIFS(Disbursements!$F:$F,Disbursements!$B:$B,'Colln-Summary'!$A92,Disbursements!$A:$A,"&gt;="&amp;'Colln-Summary'!$G$1,Disbursements!$A:$A,"&lt;="&amp;'Colln-Summary'!$G$2)</f>
        <v>0</v>
      </c>
      <c r="F92" s="353">
        <f>SUMIFS('Live Collections'!$L:$L,'Live Collections'!$D:$D,'Colln-Summary'!$A92,'Live Collections'!$B:$B,"&gt;="&amp;'Colln-Summary'!$G$1,'Live Collections'!$B:$B,"&lt;="&amp;'Colln-Summary'!$G$2)</f>
        <v>0</v>
      </c>
      <c r="G92" s="353">
        <f>SUMIFS('Live Collections'!$M:$M,'Live Collections'!$D:$D,'Colln-Summary'!$A92,'Live Collections'!$B:$B,"&gt;="&amp;'Colln-Summary'!$G$1,'Live Collections'!$B:$B,"&lt;="&amp;'Colln-Summary'!$G$2)</f>
        <v>0</v>
      </c>
      <c r="H92" s="353">
        <f>SUMIFS('Live Collections'!$N:$N,'Live Collections'!$D:$D,'Colln-Summary'!$A92,'Live Collections'!$B:$B,"&gt;="&amp;'Colln-Summary'!$G$1,'Live Collections'!$B:$B,"&lt;="&amp;'Colln-Summary'!$G$2)</f>
        <v>0</v>
      </c>
      <c r="I92" s="353">
        <f>SUMIFS('Live Collections'!$P:$P,'Live Collections'!$D:$D,'Colln-Summary'!$A92,'Live Collections'!$B:$B,"&gt;="&amp;'Colln-Summary'!$G$1,'Live Collections'!$B:$B,"&lt;="&amp;'Colln-Summary'!$G$2)</f>
        <v>0</v>
      </c>
      <c r="J92" s="353">
        <f>SUMIFS('Live Collections'!$O:$O,'Live Collections'!$D:$D,'Colln-Summary'!$A92,'Live Collections'!$B:$B,"&gt;="&amp;'Colln-Summary'!$G$1,'Live Collections'!$B:$B,"&lt;="&amp;'Colln-Summary'!$G$2)</f>
        <v>90000</v>
      </c>
      <c r="K92" s="360">
        <f>SUMIFS('Live Collections'!$S:$S,'Live Collections'!$D:$D,'Colln-Summary'!$A92,'Live Collections'!$B:$B,"&gt;="&amp;'Colln-Summary'!$G$1,'Live Collections'!$B:$B,"&lt;="&amp;'Colln-Summary'!$G$2)</f>
        <v>40000</v>
      </c>
      <c r="L92" s="360">
        <f>SUMIFS('Live Collections'!$T:$T,'Live Collections'!$D:$D,'Colln-Summary'!$A92,'Live Collections'!$B:$B,"&gt;="&amp;'Colln-Summary'!$G$1,'Live Collections'!$B:$B,"&lt;="&amp;'Colln-Summary'!$G$2)</f>
        <v>50000</v>
      </c>
      <c r="M92" s="258">
        <f t="shared" si="2"/>
        <v>90000</v>
      </c>
    </row>
    <row r="93" spans="1:13" x14ac:dyDescent="0.2">
      <c r="A93" s="478">
        <v>89</v>
      </c>
      <c r="B93" s="352" t="str">
        <f>IFERROR(VLOOKUP($A93,'Clients-Live'!$A:$C,3,0),"")</f>
        <v>ANDA FLORENCE</v>
      </c>
      <c r="C93" s="353">
        <f>SUMIFS('Live Collections'!$J:$J,'Live Collections'!$D:$D,'Colln-Summary'!$A93,'Live Collections'!$B:$B,"&gt;="&amp;'Colln-Summary'!$G$1,'Live Collections'!$B:$B,"&lt;="&amp;'Colln-Summary'!$G$2)</f>
        <v>0</v>
      </c>
      <c r="D93" s="353">
        <f>SUMIFS('Live Collections'!$K:$K,'Live Collections'!$D:$D,'Colln-Summary'!$A93,'Live Collections'!$B:$B,"&gt;="&amp;'Colln-Summary'!$G$1,'Live Collections'!$B:$B,"&lt;="&amp;'Colln-Summary'!$G$2)</f>
        <v>0</v>
      </c>
      <c r="E93" s="353">
        <f>SUMIFS(Disbursements!$F:$F,Disbursements!$B:$B,'Colln-Summary'!$A93,Disbursements!$A:$A,"&gt;="&amp;'Colln-Summary'!$G$1,Disbursements!$A:$A,"&lt;="&amp;'Colln-Summary'!$G$2)</f>
        <v>0</v>
      </c>
      <c r="F93" s="353">
        <f>SUMIFS('Live Collections'!$L:$L,'Live Collections'!$D:$D,'Colln-Summary'!$A93,'Live Collections'!$B:$B,"&gt;="&amp;'Colln-Summary'!$G$1,'Live Collections'!$B:$B,"&lt;="&amp;'Colln-Summary'!$G$2)</f>
        <v>0</v>
      </c>
      <c r="G93" s="353">
        <f>SUMIFS('Live Collections'!$M:$M,'Live Collections'!$D:$D,'Colln-Summary'!$A93,'Live Collections'!$B:$B,"&gt;="&amp;'Colln-Summary'!$G$1,'Live Collections'!$B:$B,"&lt;="&amp;'Colln-Summary'!$G$2)</f>
        <v>0</v>
      </c>
      <c r="H93" s="353">
        <f>SUMIFS('Live Collections'!$N:$N,'Live Collections'!$D:$D,'Colln-Summary'!$A93,'Live Collections'!$B:$B,"&gt;="&amp;'Colln-Summary'!$G$1,'Live Collections'!$B:$B,"&lt;="&amp;'Colln-Summary'!$G$2)</f>
        <v>0</v>
      </c>
      <c r="I93" s="353">
        <f>SUMIFS('Live Collections'!$P:$P,'Live Collections'!$D:$D,'Colln-Summary'!$A93,'Live Collections'!$B:$B,"&gt;="&amp;'Colln-Summary'!$G$1,'Live Collections'!$B:$B,"&lt;="&amp;'Colln-Summary'!$G$2)</f>
        <v>0</v>
      </c>
      <c r="J93" s="353">
        <f>SUMIFS('Live Collections'!$O:$O,'Live Collections'!$D:$D,'Colln-Summary'!$A93,'Live Collections'!$B:$B,"&gt;="&amp;'Colln-Summary'!$G$1,'Live Collections'!$B:$B,"&lt;="&amp;'Colln-Summary'!$G$2)</f>
        <v>160000</v>
      </c>
      <c r="K93" s="360">
        <f>SUMIFS('Live Collections'!$S:$S,'Live Collections'!$D:$D,'Colln-Summary'!$A93,'Live Collections'!$B:$B,"&gt;="&amp;'Colln-Summary'!$G$1,'Live Collections'!$B:$B,"&lt;="&amp;'Colln-Summary'!$G$2)</f>
        <v>8000</v>
      </c>
      <c r="L93" s="360">
        <f>SUMIFS('Live Collections'!$T:$T,'Live Collections'!$D:$D,'Colln-Summary'!$A93,'Live Collections'!$B:$B,"&gt;="&amp;'Colln-Summary'!$G$1,'Live Collections'!$B:$B,"&lt;="&amp;'Colln-Summary'!$G$2)</f>
        <v>152000</v>
      </c>
      <c r="M93" s="258">
        <f t="shared" si="2"/>
        <v>160000</v>
      </c>
    </row>
    <row r="94" spans="1:13" x14ac:dyDescent="0.2">
      <c r="A94" s="478">
        <v>90</v>
      </c>
      <c r="B94" s="352" t="str">
        <f>IFERROR(VLOOKUP($A94,'Clients-Live'!$A:$C,3,0),"")</f>
        <v>ZABIBU RAJAB SAIDI</v>
      </c>
      <c r="C94" s="353">
        <f>SUMIFS('Live Collections'!$J:$J,'Live Collections'!$D:$D,'Colln-Summary'!$A94,'Live Collections'!$B:$B,"&gt;="&amp;'Colln-Summary'!$G$1,'Live Collections'!$B:$B,"&lt;="&amp;'Colln-Summary'!$G$2)</f>
        <v>0</v>
      </c>
      <c r="D94" s="353">
        <f>SUMIFS('Live Collections'!$K:$K,'Live Collections'!$D:$D,'Colln-Summary'!$A94,'Live Collections'!$B:$B,"&gt;="&amp;'Colln-Summary'!$G$1,'Live Collections'!$B:$B,"&lt;="&amp;'Colln-Summary'!$G$2)</f>
        <v>0</v>
      </c>
      <c r="E94" s="353">
        <f>SUMIFS(Disbursements!$F:$F,Disbursements!$B:$B,'Colln-Summary'!$A94,Disbursements!$A:$A,"&gt;="&amp;'Colln-Summary'!$G$1,Disbursements!$A:$A,"&lt;="&amp;'Colln-Summary'!$G$2)</f>
        <v>0</v>
      </c>
      <c r="F94" s="353">
        <f>SUMIFS('Live Collections'!$L:$L,'Live Collections'!$D:$D,'Colln-Summary'!$A94,'Live Collections'!$B:$B,"&gt;="&amp;'Colln-Summary'!$G$1,'Live Collections'!$B:$B,"&lt;="&amp;'Colln-Summary'!$G$2)</f>
        <v>0</v>
      </c>
      <c r="G94" s="353">
        <f>SUMIFS('Live Collections'!$M:$M,'Live Collections'!$D:$D,'Colln-Summary'!$A94,'Live Collections'!$B:$B,"&gt;="&amp;'Colln-Summary'!$G$1,'Live Collections'!$B:$B,"&lt;="&amp;'Colln-Summary'!$G$2)</f>
        <v>0</v>
      </c>
      <c r="H94" s="353">
        <f>SUMIFS('Live Collections'!$N:$N,'Live Collections'!$D:$D,'Colln-Summary'!$A94,'Live Collections'!$B:$B,"&gt;="&amp;'Colln-Summary'!$G$1,'Live Collections'!$B:$B,"&lt;="&amp;'Colln-Summary'!$G$2)</f>
        <v>0</v>
      </c>
      <c r="I94" s="353">
        <f>SUMIFS('Live Collections'!$P:$P,'Live Collections'!$D:$D,'Colln-Summary'!$A94,'Live Collections'!$B:$B,"&gt;="&amp;'Colln-Summary'!$G$1,'Live Collections'!$B:$B,"&lt;="&amp;'Colln-Summary'!$G$2)</f>
        <v>0</v>
      </c>
      <c r="J94" s="353">
        <f>SUMIFS('Live Collections'!$O:$O,'Live Collections'!$D:$D,'Colln-Summary'!$A94,'Live Collections'!$B:$B,"&gt;="&amp;'Colln-Summary'!$G$1,'Live Collections'!$B:$B,"&lt;="&amp;'Colln-Summary'!$G$2)</f>
        <v>200000</v>
      </c>
      <c r="K94" s="360">
        <f>SUMIFS('Live Collections'!$S:$S,'Live Collections'!$D:$D,'Colln-Summary'!$A94,'Live Collections'!$B:$B,"&gt;="&amp;'Colln-Summary'!$G$1,'Live Collections'!$B:$B,"&lt;="&amp;'Colln-Summary'!$G$2)</f>
        <v>0</v>
      </c>
      <c r="L94" s="360">
        <f>SUMIFS('Live Collections'!$T:$T,'Live Collections'!$D:$D,'Colln-Summary'!$A94,'Live Collections'!$B:$B,"&gt;="&amp;'Colln-Summary'!$G$1,'Live Collections'!$B:$B,"&lt;="&amp;'Colln-Summary'!$G$2)</f>
        <v>200000</v>
      </c>
      <c r="M94" s="258">
        <f t="shared" si="2"/>
        <v>200000</v>
      </c>
    </row>
    <row r="95" spans="1:13" x14ac:dyDescent="0.2">
      <c r="A95" s="478">
        <v>91</v>
      </c>
      <c r="B95" s="352" t="str">
        <f>IFERROR(VLOOKUP($A95,'Clients-Live'!$A:$C,3,0),"")</f>
        <v>CHANDIRU SALILA</v>
      </c>
      <c r="C95" s="353">
        <f>SUMIFS('Live Collections'!$J:$J,'Live Collections'!$D:$D,'Colln-Summary'!$A95,'Live Collections'!$B:$B,"&gt;="&amp;'Colln-Summary'!$G$1,'Live Collections'!$B:$B,"&lt;="&amp;'Colln-Summary'!$G$2)</f>
        <v>0</v>
      </c>
      <c r="D95" s="353">
        <f>SUMIFS('Live Collections'!$K:$K,'Live Collections'!$D:$D,'Colln-Summary'!$A95,'Live Collections'!$B:$B,"&gt;="&amp;'Colln-Summary'!$G$1,'Live Collections'!$B:$B,"&lt;="&amp;'Colln-Summary'!$G$2)</f>
        <v>0</v>
      </c>
      <c r="E95" s="353">
        <f>SUMIFS(Disbursements!$F:$F,Disbursements!$B:$B,'Colln-Summary'!$A95,Disbursements!$A:$A,"&gt;="&amp;'Colln-Summary'!$G$1,Disbursements!$A:$A,"&lt;="&amp;'Colln-Summary'!$G$2)</f>
        <v>0</v>
      </c>
      <c r="F95" s="353">
        <f>SUMIFS('Live Collections'!$L:$L,'Live Collections'!$D:$D,'Colln-Summary'!$A95,'Live Collections'!$B:$B,"&gt;="&amp;'Colln-Summary'!$G$1,'Live Collections'!$B:$B,"&lt;="&amp;'Colln-Summary'!$G$2)</f>
        <v>0</v>
      </c>
      <c r="G95" s="353">
        <f>SUMIFS('Live Collections'!$M:$M,'Live Collections'!$D:$D,'Colln-Summary'!$A95,'Live Collections'!$B:$B,"&gt;="&amp;'Colln-Summary'!$G$1,'Live Collections'!$B:$B,"&lt;="&amp;'Colln-Summary'!$G$2)</f>
        <v>0</v>
      </c>
      <c r="H95" s="353">
        <f>SUMIFS('Live Collections'!$N:$N,'Live Collections'!$D:$D,'Colln-Summary'!$A95,'Live Collections'!$B:$B,"&gt;="&amp;'Colln-Summary'!$G$1,'Live Collections'!$B:$B,"&lt;="&amp;'Colln-Summary'!$G$2)</f>
        <v>0</v>
      </c>
      <c r="I95" s="353">
        <f>SUMIFS('Live Collections'!$P:$P,'Live Collections'!$D:$D,'Colln-Summary'!$A95,'Live Collections'!$B:$B,"&gt;="&amp;'Colln-Summary'!$G$1,'Live Collections'!$B:$B,"&lt;="&amp;'Colln-Summary'!$G$2)</f>
        <v>0</v>
      </c>
      <c r="J95" s="353">
        <f>SUMIFS('Live Collections'!$O:$O,'Live Collections'!$D:$D,'Colln-Summary'!$A95,'Live Collections'!$B:$B,"&gt;="&amp;'Colln-Summary'!$G$1,'Live Collections'!$B:$B,"&lt;="&amp;'Colln-Summary'!$G$2)</f>
        <v>60000</v>
      </c>
      <c r="K95" s="360">
        <f>SUMIFS('Live Collections'!$S:$S,'Live Collections'!$D:$D,'Colln-Summary'!$A95,'Live Collections'!$B:$B,"&gt;="&amp;'Colln-Summary'!$G$1,'Live Collections'!$B:$B,"&lt;="&amp;'Colln-Summary'!$G$2)</f>
        <v>4000</v>
      </c>
      <c r="L95" s="360">
        <f>SUMIFS('Live Collections'!$T:$T,'Live Collections'!$D:$D,'Colln-Summary'!$A95,'Live Collections'!$B:$B,"&gt;="&amp;'Colln-Summary'!$G$1,'Live Collections'!$B:$B,"&lt;="&amp;'Colln-Summary'!$G$2)</f>
        <v>56000</v>
      </c>
      <c r="M95" s="258">
        <f t="shared" si="2"/>
        <v>60000</v>
      </c>
    </row>
    <row r="96" spans="1:13" x14ac:dyDescent="0.2">
      <c r="A96" s="478">
        <v>92</v>
      </c>
      <c r="B96" s="352" t="str">
        <f>IFERROR(VLOOKUP($A96,'Clients-Live'!$A:$C,3,0),"")</f>
        <v>FAIDA ZAKIYA</v>
      </c>
      <c r="C96" s="353">
        <f>SUMIFS('Live Collections'!$J:$J,'Live Collections'!$D:$D,'Colln-Summary'!$A96,'Live Collections'!$B:$B,"&gt;="&amp;'Colln-Summary'!$G$1,'Live Collections'!$B:$B,"&lt;="&amp;'Colln-Summary'!$G$2)</f>
        <v>0</v>
      </c>
      <c r="D96" s="353">
        <f>SUMIFS('Live Collections'!$K:$K,'Live Collections'!$D:$D,'Colln-Summary'!$A96,'Live Collections'!$B:$B,"&gt;="&amp;'Colln-Summary'!$G$1,'Live Collections'!$B:$B,"&lt;="&amp;'Colln-Summary'!$G$2)</f>
        <v>0</v>
      </c>
      <c r="E96" s="353">
        <f>SUMIFS(Disbursements!$F:$F,Disbursements!$B:$B,'Colln-Summary'!$A96,Disbursements!$A:$A,"&gt;="&amp;'Colln-Summary'!$G$1,Disbursements!$A:$A,"&lt;="&amp;'Colln-Summary'!$G$2)</f>
        <v>0</v>
      </c>
      <c r="F96" s="353">
        <f>SUMIFS('Live Collections'!$L:$L,'Live Collections'!$D:$D,'Colln-Summary'!$A96,'Live Collections'!$B:$B,"&gt;="&amp;'Colln-Summary'!$G$1,'Live Collections'!$B:$B,"&lt;="&amp;'Colln-Summary'!$G$2)</f>
        <v>0</v>
      </c>
      <c r="G96" s="353">
        <f>SUMIFS('Live Collections'!$M:$M,'Live Collections'!$D:$D,'Colln-Summary'!$A96,'Live Collections'!$B:$B,"&gt;="&amp;'Colln-Summary'!$G$1,'Live Collections'!$B:$B,"&lt;="&amp;'Colln-Summary'!$G$2)</f>
        <v>0</v>
      </c>
      <c r="H96" s="353">
        <f>SUMIFS('Live Collections'!$N:$N,'Live Collections'!$D:$D,'Colln-Summary'!$A96,'Live Collections'!$B:$B,"&gt;="&amp;'Colln-Summary'!$G$1,'Live Collections'!$B:$B,"&lt;="&amp;'Colln-Summary'!$G$2)</f>
        <v>0</v>
      </c>
      <c r="I96" s="353">
        <f>SUMIFS('Live Collections'!$P:$P,'Live Collections'!$D:$D,'Colln-Summary'!$A96,'Live Collections'!$B:$B,"&gt;="&amp;'Colln-Summary'!$G$1,'Live Collections'!$B:$B,"&lt;="&amp;'Colln-Summary'!$G$2)</f>
        <v>0</v>
      </c>
      <c r="J96" s="353">
        <f>SUMIFS('Live Collections'!$O:$O,'Live Collections'!$D:$D,'Colln-Summary'!$A96,'Live Collections'!$B:$B,"&gt;="&amp;'Colln-Summary'!$G$1,'Live Collections'!$B:$B,"&lt;="&amp;'Colln-Summary'!$G$2)</f>
        <v>100000</v>
      </c>
      <c r="K96" s="360">
        <f>SUMIFS('Live Collections'!$S:$S,'Live Collections'!$D:$D,'Colln-Summary'!$A96,'Live Collections'!$B:$B,"&gt;="&amp;'Colln-Summary'!$G$1,'Live Collections'!$B:$B,"&lt;="&amp;'Colln-Summary'!$G$2)</f>
        <v>0</v>
      </c>
      <c r="L96" s="360">
        <f>SUMIFS('Live Collections'!$T:$T,'Live Collections'!$D:$D,'Colln-Summary'!$A96,'Live Collections'!$B:$B,"&gt;="&amp;'Colln-Summary'!$G$1,'Live Collections'!$B:$B,"&lt;="&amp;'Colln-Summary'!$G$2)</f>
        <v>100000</v>
      </c>
      <c r="M96" s="258">
        <f t="shared" si="2"/>
        <v>100000</v>
      </c>
    </row>
    <row r="97" spans="1:13" x14ac:dyDescent="0.2">
      <c r="A97" s="478">
        <v>93</v>
      </c>
      <c r="B97" s="352" t="str">
        <f>IFERROR(VLOOKUP($A97,'Clients-Live'!$A:$C,3,0),"")</f>
        <v>YOSSA BRAXTON JOHN</v>
      </c>
      <c r="C97" s="353">
        <f>SUMIFS('Live Collections'!$J:$J,'Live Collections'!$D:$D,'Colln-Summary'!$A97,'Live Collections'!$B:$B,"&gt;="&amp;'Colln-Summary'!$G$1,'Live Collections'!$B:$B,"&lt;="&amp;'Colln-Summary'!$G$2)</f>
        <v>0</v>
      </c>
      <c r="D97" s="353">
        <f>SUMIFS('Live Collections'!$K:$K,'Live Collections'!$D:$D,'Colln-Summary'!$A97,'Live Collections'!$B:$B,"&gt;="&amp;'Colln-Summary'!$G$1,'Live Collections'!$B:$B,"&lt;="&amp;'Colln-Summary'!$G$2)</f>
        <v>0</v>
      </c>
      <c r="E97" s="353">
        <f>SUMIFS(Disbursements!$F:$F,Disbursements!$B:$B,'Colln-Summary'!$A97,Disbursements!$A:$A,"&gt;="&amp;'Colln-Summary'!$G$1,Disbursements!$A:$A,"&lt;="&amp;'Colln-Summary'!$G$2)</f>
        <v>0</v>
      </c>
      <c r="F97" s="353">
        <f>SUMIFS('Live Collections'!$L:$L,'Live Collections'!$D:$D,'Colln-Summary'!$A97,'Live Collections'!$B:$B,"&gt;="&amp;'Colln-Summary'!$G$1,'Live Collections'!$B:$B,"&lt;="&amp;'Colln-Summary'!$G$2)</f>
        <v>0</v>
      </c>
      <c r="G97" s="353">
        <f>SUMIFS('Live Collections'!$M:$M,'Live Collections'!$D:$D,'Colln-Summary'!$A97,'Live Collections'!$B:$B,"&gt;="&amp;'Colln-Summary'!$G$1,'Live Collections'!$B:$B,"&lt;="&amp;'Colln-Summary'!$G$2)</f>
        <v>0</v>
      </c>
      <c r="H97" s="353">
        <f>SUMIFS('Live Collections'!$N:$N,'Live Collections'!$D:$D,'Colln-Summary'!$A97,'Live Collections'!$B:$B,"&gt;="&amp;'Colln-Summary'!$G$1,'Live Collections'!$B:$B,"&lt;="&amp;'Colln-Summary'!$G$2)</f>
        <v>0</v>
      </c>
      <c r="I97" s="353">
        <f>SUMIFS('Live Collections'!$P:$P,'Live Collections'!$D:$D,'Colln-Summary'!$A97,'Live Collections'!$B:$B,"&gt;="&amp;'Colln-Summary'!$G$1,'Live Collections'!$B:$B,"&lt;="&amp;'Colln-Summary'!$G$2)</f>
        <v>0</v>
      </c>
      <c r="J97" s="353">
        <f>SUMIFS('Live Collections'!$O:$O,'Live Collections'!$D:$D,'Colln-Summary'!$A97,'Live Collections'!$B:$B,"&gt;="&amp;'Colln-Summary'!$G$1,'Live Collections'!$B:$B,"&lt;="&amp;'Colln-Summary'!$G$2)</f>
        <v>0</v>
      </c>
      <c r="K97" s="360">
        <f>SUMIFS('Live Collections'!$S:$S,'Live Collections'!$D:$D,'Colln-Summary'!$A97,'Live Collections'!$B:$B,"&gt;="&amp;'Colln-Summary'!$G$1,'Live Collections'!$B:$B,"&lt;="&amp;'Colln-Summary'!$G$2)</f>
        <v>0</v>
      </c>
      <c r="L97" s="360">
        <f>SUMIFS('Live Collections'!$T:$T,'Live Collections'!$D:$D,'Colln-Summary'!$A97,'Live Collections'!$B:$B,"&gt;="&amp;'Colln-Summary'!$G$1,'Live Collections'!$B:$B,"&lt;="&amp;'Colln-Summary'!$G$2)</f>
        <v>0</v>
      </c>
      <c r="M97" s="258">
        <f t="shared" si="2"/>
        <v>0</v>
      </c>
    </row>
    <row r="98" spans="1:13" x14ac:dyDescent="0.2">
      <c r="A98" s="478">
        <v>94</v>
      </c>
      <c r="B98" s="352" t="str">
        <f>IFERROR(VLOOKUP($A98,'Clients-Live'!$A:$C,3,0),"")</f>
        <v>NGINYA RICHARD</v>
      </c>
      <c r="C98" s="353">
        <f>SUMIFS('Live Collections'!$J:$J,'Live Collections'!$D:$D,'Colln-Summary'!$A98,'Live Collections'!$B:$B,"&gt;="&amp;'Colln-Summary'!$G$1,'Live Collections'!$B:$B,"&lt;="&amp;'Colln-Summary'!$G$2)</f>
        <v>0</v>
      </c>
      <c r="D98" s="353">
        <f>SUMIFS('Live Collections'!$K:$K,'Live Collections'!$D:$D,'Colln-Summary'!$A98,'Live Collections'!$B:$B,"&gt;="&amp;'Colln-Summary'!$G$1,'Live Collections'!$B:$B,"&lt;="&amp;'Colln-Summary'!$G$2)</f>
        <v>0</v>
      </c>
      <c r="E98" s="353">
        <f>SUMIFS(Disbursements!$F:$F,Disbursements!$B:$B,'Colln-Summary'!$A98,Disbursements!$A:$A,"&gt;="&amp;'Colln-Summary'!$G$1,Disbursements!$A:$A,"&lt;="&amp;'Colln-Summary'!$G$2)</f>
        <v>0</v>
      </c>
      <c r="F98" s="353">
        <f>SUMIFS('Live Collections'!$L:$L,'Live Collections'!$D:$D,'Colln-Summary'!$A98,'Live Collections'!$B:$B,"&gt;="&amp;'Colln-Summary'!$G$1,'Live Collections'!$B:$B,"&lt;="&amp;'Colln-Summary'!$G$2)</f>
        <v>0</v>
      </c>
      <c r="G98" s="353">
        <f>SUMIFS('Live Collections'!$M:$M,'Live Collections'!$D:$D,'Colln-Summary'!$A98,'Live Collections'!$B:$B,"&gt;="&amp;'Colln-Summary'!$G$1,'Live Collections'!$B:$B,"&lt;="&amp;'Colln-Summary'!$G$2)</f>
        <v>0</v>
      </c>
      <c r="H98" s="353">
        <f>SUMIFS('Live Collections'!$N:$N,'Live Collections'!$D:$D,'Colln-Summary'!$A98,'Live Collections'!$B:$B,"&gt;="&amp;'Colln-Summary'!$G$1,'Live Collections'!$B:$B,"&lt;="&amp;'Colln-Summary'!$G$2)</f>
        <v>0</v>
      </c>
      <c r="I98" s="353">
        <f>SUMIFS('Live Collections'!$P:$P,'Live Collections'!$D:$D,'Colln-Summary'!$A98,'Live Collections'!$B:$B,"&gt;="&amp;'Colln-Summary'!$G$1,'Live Collections'!$B:$B,"&lt;="&amp;'Colln-Summary'!$G$2)</f>
        <v>0</v>
      </c>
      <c r="J98" s="353">
        <f>SUMIFS('Live Collections'!$O:$O,'Live Collections'!$D:$D,'Colln-Summary'!$A98,'Live Collections'!$B:$B,"&gt;="&amp;'Colln-Summary'!$G$1,'Live Collections'!$B:$B,"&lt;="&amp;'Colln-Summary'!$G$2)</f>
        <v>90000</v>
      </c>
      <c r="K98" s="360">
        <f>SUMIFS('Live Collections'!$S:$S,'Live Collections'!$D:$D,'Colln-Summary'!$A98,'Live Collections'!$B:$B,"&gt;="&amp;'Colln-Summary'!$G$1,'Live Collections'!$B:$B,"&lt;="&amp;'Colln-Summary'!$G$2)</f>
        <v>0</v>
      </c>
      <c r="L98" s="360">
        <f>SUMIFS('Live Collections'!$T:$T,'Live Collections'!$D:$D,'Colln-Summary'!$A98,'Live Collections'!$B:$B,"&gt;="&amp;'Colln-Summary'!$G$1,'Live Collections'!$B:$B,"&lt;="&amp;'Colln-Summary'!$G$2)</f>
        <v>90000</v>
      </c>
      <c r="M98" s="258">
        <f t="shared" si="2"/>
        <v>90000</v>
      </c>
    </row>
    <row r="99" spans="1:13" x14ac:dyDescent="0.2">
      <c r="A99" s="478">
        <v>95</v>
      </c>
      <c r="B99" s="352" t="str">
        <f>IFERROR(VLOOKUP($A99,'Clients-Live'!$A:$C,3,0),"")</f>
        <v>MUNDURU SIFA</v>
      </c>
      <c r="C99" s="353">
        <f>SUMIFS('Live Collections'!$J:$J,'Live Collections'!$D:$D,'Colln-Summary'!$A99,'Live Collections'!$B:$B,"&gt;="&amp;'Colln-Summary'!$G$1,'Live Collections'!$B:$B,"&lt;="&amp;'Colln-Summary'!$G$2)</f>
        <v>0</v>
      </c>
      <c r="D99" s="353">
        <f>SUMIFS('Live Collections'!$K:$K,'Live Collections'!$D:$D,'Colln-Summary'!$A99,'Live Collections'!$B:$B,"&gt;="&amp;'Colln-Summary'!$G$1,'Live Collections'!$B:$B,"&lt;="&amp;'Colln-Summary'!$G$2)</f>
        <v>0</v>
      </c>
      <c r="E99" s="353">
        <f>SUMIFS(Disbursements!$F:$F,Disbursements!$B:$B,'Colln-Summary'!$A99,Disbursements!$A:$A,"&gt;="&amp;'Colln-Summary'!$G$1,Disbursements!$A:$A,"&lt;="&amp;'Colln-Summary'!$G$2)</f>
        <v>0</v>
      </c>
      <c r="F99" s="353">
        <f>SUMIFS('Live Collections'!$L:$L,'Live Collections'!$D:$D,'Colln-Summary'!$A99,'Live Collections'!$B:$B,"&gt;="&amp;'Colln-Summary'!$G$1,'Live Collections'!$B:$B,"&lt;="&amp;'Colln-Summary'!$G$2)</f>
        <v>0</v>
      </c>
      <c r="G99" s="353">
        <f>SUMIFS('Live Collections'!$M:$M,'Live Collections'!$D:$D,'Colln-Summary'!$A99,'Live Collections'!$B:$B,"&gt;="&amp;'Colln-Summary'!$G$1,'Live Collections'!$B:$B,"&lt;="&amp;'Colln-Summary'!$G$2)</f>
        <v>0</v>
      </c>
      <c r="H99" s="353">
        <f>SUMIFS('Live Collections'!$N:$N,'Live Collections'!$D:$D,'Colln-Summary'!$A99,'Live Collections'!$B:$B,"&gt;="&amp;'Colln-Summary'!$G$1,'Live Collections'!$B:$B,"&lt;="&amp;'Colln-Summary'!$G$2)</f>
        <v>0</v>
      </c>
      <c r="I99" s="353">
        <f>SUMIFS('Live Collections'!$P:$P,'Live Collections'!$D:$D,'Colln-Summary'!$A99,'Live Collections'!$B:$B,"&gt;="&amp;'Colln-Summary'!$G$1,'Live Collections'!$B:$B,"&lt;="&amp;'Colln-Summary'!$G$2)</f>
        <v>0</v>
      </c>
      <c r="J99" s="353">
        <f>SUMIFS('Live Collections'!$O:$O,'Live Collections'!$D:$D,'Colln-Summary'!$A99,'Live Collections'!$B:$B,"&gt;="&amp;'Colln-Summary'!$G$1,'Live Collections'!$B:$B,"&lt;="&amp;'Colln-Summary'!$G$2)</f>
        <v>0</v>
      </c>
      <c r="K99" s="360">
        <f>SUMIFS('Live Collections'!$S:$S,'Live Collections'!$D:$D,'Colln-Summary'!$A99,'Live Collections'!$B:$B,"&gt;="&amp;'Colln-Summary'!$G$1,'Live Collections'!$B:$B,"&lt;="&amp;'Colln-Summary'!$G$2)</f>
        <v>0</v>
      </c>
      <c r="L99" s="360">
        <f>SUMIFS('Live Collections'!$T:$T,'Live Collections'!$D:$D,'Colln-Summary'!$A99,'Live Collections'!$B:$B,"&gt;="&amp;'Colln-Summary'!$G$1,'Live Collections'!$B:$B,"&lt;="&amp;'Colln-Summary'!$G$2)</f>
        <v>0</v>
      </c>
      <c r="M99" s="258">
        <f t="shared" si="2"/>
        <v>0</v>
      </c>
    </row>
    <row r="100" spans="1:13" x14ac:dyDescent="0.2">
      <c r="A100" s="478">
        <v>96</v>
      </c>
      <c r="B100" s="352" t="str">
        <f>IFERROR(VLOOKUP($A100,'Clients-Live'!$A:$C,3,0),"")</f>
        <v>AKANDU NIGHT YONGORO</v>
      </c>
      <c r="C100" s="353">
        <f>SUMIFS('Live Collections'!$J:$J,'Live Collections'!$D:$D,'Colln-Summary'!$A100,'Live Collections'!$B:$B,"&gt;="&amp;'Colln-Summary'!$G$1,'Live Collections'!$B:$B,"&lt;="&amp;'Colln-Summary'!$G$2)</f>
        <v>0</v>
      </c>
      <c r="D100" s="353">
        <f>SUMIFS('Live Collections'!$K:$K,'Live Collections'!$D:$D,'Colln-Summary'!$A100,'Live Collections'!$B:$B,"&gt;="&amp;'Colln-Summary'!$G$1,'Live Collections'!$B:$B,"&lt;="&amp;'Colln-Summary'!$G$2)</f>
        <v>0</v>
      </c>
      <c r="E100" s="353">
        <f>SUMIFS(Disbursements!$F:$F,Disbursements!$B:$B,'Colln-Summary'!$A100,Disbursements!$A:$A,"&gt;="&amp;'Colln-Summary'!$G$1,Disbursements!$A:$A,"&lt;="&amp;'Colln-Summary'!$G$2)</f>
        <v>0</v>
      </c>
      <c r="F100" s="353">
        <f>SUMIFS('Live Collections'!$L:$L,'Live Collections'!$D:$D,'Colln-Summary'!$A100,'Live Collections'!$B:$B,"&gt;="&amp;'Colln-Summary'!$G$1,'Live Collections'!$B:$B,"&lt;="&amp;'Colln-Summary'!$G$2)</f>
        <v>0</v>
      </c>
      <c r="G100" s="353">
        <f>SUMIFS('Live Collections'!$M:$M,'Live Collections'!$D:$D,'Colln-Summary'!$A100,'Live Collections'!$B:$B,"&gt;="&amp;'Colln-Summary'!$G$1,'Live Collections'!$B:$B,"&lt;="&amp;'Colln-Summary'!$G$2)</f>
        <v>0</v>
      </c>
      <c r="H100" s="353">
        <f>SUMIFS('Live Collections'!$N:$N,'Live Collections'!$D:$D,'Colln-Summary'!$A100,'Live Collections'!$B:$B,"&gt;="&amp;'Colln-Summary'!$G$1,'Live Collections'!$B:$B,"&lt;="&amp;'Colln-Summary'!$G$2)</f>
        <v>0</v>
      </c>
      <c r="I100" s="353">
        <f>SUMIFS('Live Collections'!$P:$P,'Live Collections'!$D:$D,'Colln-Summary'!$A100,'Live Collections'!$B:$B,"&gt;="&amp;'Colln-Summary'!$G$1,'Live Collections'!$B:$B,"&lt;="&amp;'Colln-Summary'!$G$2)</f>
        <v>0</v>
      </c>
      <c r="J100" s="353">
        <f>SUMIFS('Live Collections'!$O:$O,'Live Collections'!$D:$D,'Colln-Summary'!$A100,'Live Collections'!$B:$B,"&gt;="&amp;'Colln-Summary'!$G$1,'Live Collections'!$B:$B,"&lt;="&amp;'Colln-Summary'!$G$2)</f>
        <v>200000</v>
      </c>
      <c r="K100" s="360">
        <f>SUMIFS('Live Collections'!$S:$S,'Live Collections'!$D:$D,'Colln-Summary'!$A100,'Live Collections'!$B:$B,"&gt;="&amp;'Colln-Summary'!$G$1,'Live Collections'!$B:$B,"&lt;="&amp;'Colln-Summary'!$G$2)</f>
        <v>0</v>
      </c>
      <c r="L100" s="360">
        <f>SUMIFS('Live Collections'!$T:$T,'Live Collections'!$D:$D,'Colln-Summary'!$A100,'Live Collections'!$B:$B,"&gt;="&amp;'Colln-Summary'!$G$1,'Live Collections'!$B:$B,"&lt;="&amp;'Colln-Summary'!$G$2)</f>
        <v>200000</v>
      </c>
      <c r="M100" s="258">
        <f t="shared" si="2"/>
        <v>200000</v>
      </c>
    </row>
    <row r="101" spans="1:13" x14ac:dyDescent="0.2">
      <c r="A101" s="478">
        <v>97</v>
      </c>
      <c r="B101" s="352" t="str">
        <f>IFERROR(VLOOKUP($A101,'Clients-Live'!$A:$C,3,0),"")</f>
        <v>DRANDUA JOB CHRISPUS</v>
      </c>
      <c r="C101" s="353">
        <f>SUMIFS('Live Collections'!$J:$J,'Live Collections'!$D:$D,'Colln-Summary'!$A101,'Live Collections'!$B:$B,"&gt;="&amp;'Colln-Summary'!$G$1,'Live Collections'!$B:$B,"&lt;="&amp;'Colln-Summary'!$G$2)</f>
        <v>0</v>
      </c>
      <c r="D101" s="353">
        <f>SUMIFS('Live Collections'!$K:$K,'Live Collections'!$D:$D,'Colln-Summary'!$A101,'Live Collections'!$B:$B,"&gt;="&amp;'Colln-Summary'!$G$1,'Live Collections'!$B:$B,"&lt;="&amp;'Colln-Summary'!$G$2)</f>
        <v>5000</v>
      </c>
      <c r="E101" s="353">
        <f>SUMIFS(Disbursements!$F:$F,Disbursements!$B:$B,'Colln-Summary'!$A101,Disbursements!$A:$A,"&gt;="&amp;'Colln-Summary'!$G$1,Disbursements!$A:$A,"&lt;="&amp;'Colln-Summary'!$G$2)</f>
        <v>0</v>
      </c>
      <c r="F101" s="353">
        <f>SUMIFS('Live Collections'!$L:$L,'Live Collections'!$D:$D,'Colln-Summary'!$A101,'Live Collections'!$B:$B,"&gt;="&amp;'Colln-Summary'!$G$1,'Live Collections'!$B:$B,"&lt;="&amp;'Colln-Summary'!$G$2)</f>
        <v>30000</v>
      </c>
      <c r="G101" s="353">
        <f>SUMIFS('Live Collections'!$M:$M,'Live Collections'!$D:$D,'Colln-Summary'!$A101,'Live Collections'!$B:$B,"&gt;="&amp;'Colln-Summary'!$G$1,'Live Collections'!$B:$B,"&lt;="&amp;'Colln-Summary'!$G$2)</f>
        <v>5000</v>
      </c>
      <c r="H101" s="353">
        <f>SUMIFS('Live Collections'!$N:$N,'Live Collections'!$D:$D,'Colln-Summary'!$A101,'Live Collections'!$B:$B,"&gt;="&amp;'Colln-Summary'!$G$1,'Live Collections'!$B:$B,"&lt;="&amp;'Colln-Summary'!$G$2)</f>
        <v>0</v>
      </c>
      <c r="I101" s="353">
        <f>SUMIFS('Live Collections'!$P:$P,'Live Collections'!$D:$D,'Colln-Summary'!$A101,'Live Collections'!$B:$B,"&gt;="&amp;'Colln-Summary'!$G$1,'Live Collections'!$B:$B,"&lt;="&amp;'Colln-Summary'!$G$2)</f>
        <v>0</v>
      </c>
      <c r="J101" s="353">
        <f>SUMIFS('Live Collections'!$O:$O,'Live Collections'!$D:$D,'Colln-Summary'!$A101,'Live Collections'!$B:$B,"&gt;="&amp;'Colln-Summary'!$G$1,'Live Collections'!$B:$B,"&lt;="&amp;'Colln-Summary'!$G$2)</f>
        <v>0</v>
      </c>
      <c r="K101" s="360">
        <f>SUMIFS('Live Collections'!$S:$S,'Live Collections'!$D:$D,'Colln-Summary'!$A101,'Live Collections'!$B:$B,"&gt;="&amp;'Colln-Summary'!$G$1,'Live Collections'!$B:$B,"&lt;="&amp;'Colln-Summary'!$G$2)</f>
        <v>0</v>
      </c>
      <c r="L101" s="360">
        <f>SUMIFS('Live Collections'!$T:$T,'Live Collections'!$D:$D,'Colln-Summary'!$A101,'Live Collections'!$B:$B,"&gt;="&amp;'Colln-Summary'!$G$1,'Live Collections'!$B:$B,"&lt;="&amp;'Colln-Summary'!$G$2)</f>
        <v>0</v>
      </c>
      <c r="M101" s="258">
        <f t="shared" si="2"/>
        <v>40000</v>
      </c>
    </row>
    <row r="102" spans="1:13" x14ac:dyDescent="0.2">
      <c r="A102" s="478">
        <v>98</v>
      </c>
      <c r="B102" s="352" t="str">
        <f>IFERROR(VLOOKUP($A102,'Clients-Live'!$A:$C,3,0),"")</f>
        <v>AMANIYO CLARA</v>
      </c>
      <c r="C102" s="353">
        <f>SUMIFS('Live Collections'!$J:$J,'Live Collections'!$D:$D,'Colln-Summary'!$A102,'Live Collections'!$B:$B,"&gt;="&amp;'Colln-Summary'!$G$1,'Live Collections'!$B:$B,"&lt;="&amp;'Colln-Summary'!$G$2)</f>
        <v>0</v>
      </c>
      <c r="D102" s="353">
        <f>SUMIFS('Live Collections'!$K:$K,'Live Collections'!$D:$D,'Colln-Summary'!$A102,'Live Collections'!$B:$B,"&gt;="&amp;'Colln-Summary'!$G$1,'Live Collections'!$B:$B,"&lt;="&amp;'Colln-Summary'!$G$2)</f>
        <v>0</v>
      </c>
      <c r="E102" s="353">
        <f>SUMIFS(Disbursements!$F:$F,Disbursements!$B:$B,'Colln-Summary'!$A102,Disbursements!$A:$A,"&gt;="&amp;'Colln-Summary'!$G$1,Disbursements!$A:$A,"&lt;="&amp;'Colln-Summary'!$G$2)</f>
        <v>0</v>
      </c>
      <c r="F102" s="353">
        <f>SUMIFS('Live Collections'!$L:$L,'Live Collections'!$D:$D,'Colln-Summary'!$A102,'Live Collections'!$B:$B,"&gt;="&amp;'Colln-Summary'!$G$1,'Live Collections'!$B:$B,"&lt;="&amp;'Colln-Summary'!$G$2)</f>
        <v>0</v>
      </c>
      <c r="G102" s="353">
        <f>SUMIFS('Live Collections'!$M:$M,'Live Collections'!$D:$D,'Colln-Summary'!$A102,'Live Collections'!$B:$B,"&gt;="&amp;'Colln-Summary'!$G$1,'Live Collections'!$B:$B,"&lt;="&amp;'Colln-Summary'!$G$2)</f>
        <v>0</v>
      </c>
      <c r="H102" s="353">
        <f>SUMIFS('Live Collections'!$N:$N,'Live Collections'!$D:$D,'Colln-Summary'!$A102,'Live Collections'!$B:$B,"&gt;="&amp;'Colln-Summary'!$G$1,'Live Collections'!$B:$B,"&lt;="&amp;'Colln-Summary'!$G$2)</f>
        <v>0</v>
      </c>
      <c r="I102" s="353">
        <f>SUMIFS('Live Collections'!$P:$P,'Live Collections'!$D:$D,'Colln-Summary'!$A102,'Live Collections'!$B:$B,"&gt;="&amp;'Colln-Summary'!$G$1,'Live Collections'!$B:$B,"&lt;="&amp;'Colln-Summary'!$G$2)</f>
        <v>0</v>
      </c>
      <c r="J102" s="353">
        <f>SUMIFS('Live Collections'!$O:$O,'Live Collections'!$D:$D,'Colln-Summary'!$A102,'Live Collections'!$B:$B,"&gt;="&amp;'Colln-Summary'!$G$1,'Live Collections'!$B:$B,"&lt;="&amp;'Colln-Summary'!$G$2)</f>
        <v>150000</v>
      </c>
      <c r="K102" s="360">
        <f>SUMIFS('Live Collections'!$S:$S,'Live Collections'!$D:$D,'Colln-Summary'!$A102,'Live Collections'!$B:$B,"&gt;="&amp;'Colln-Summary'!$G$1,'Live Collections'!$B:$B,"&lt;="&amp;'Colln-Summary'!$G$2)</f>
        <v>40000</v>
      </c>
      <c r="L102" s="360">
        <f>SUMIFS('Live Collections'!$T:$T,'Live Collections'!$D:$D,'Colln-Summary'!$A102,'Live Collections'!$B:$B,"&gt;="&amp;'Colln-Summary'!$G$1,'Live Collections'!$B:$B,"&lt;="&amp;'Colln-Summary'!$G$2)</f>
        <v>110000</v>
      </c>
      <c r="M102" s="258">
        <f t="shared" si="2"/>
        <v>150000</v>
      </c>
    </row>
    <row r="103" spans="1:13" x14ac:dyDescent="0.2">
      <c r="A103" s="478">
        <v>99</v>
      </c>
      <c r="B103" s="352" t="str">
        <f>IFERROR(VLOOKUP($A103,'Clients-Live'!$A:$C,3,0),"")</f>
        <v>SIJALI ASINA SIS</v>
      </c>
      <c r="C103" s="353">
        <f>SUMIFS('Live Collections'!$J:$J,'Live Collections'!$D:$D,'Colln-Summary'!$A103,'Live Collections'!$B:$B,"&gt;="&amp;'Colln-Summary'!$G$1,'Live Collections'!$B:$B,"&lt;="&amp;'Colln-Summary'!$G$2)</f>
        <v>0</v>
      </c>
      <c r="D103" s="353">
        <f>SUMIFS('Live Collections'!$K:$K,'Live Collections'!$D:$D,'Colln-Summary'!$A103,'Live Collections'!$B:$B,"&gt;="&amp;'Colln-Summary'!$G$1,'Live Collections'!$B:$B,"&lt;="&amp;'Colln-Summary'!$G$2)</f>
        <v>0</v>
      </c>
      <c r="E103" s="353">
        <f>SUMIFS(Disbursements!$F:$F,Disbursements!$B:$B,'Colln-Summary'!$A103,Disbursements!$A:$A,"&gt;="&amp;'Colln-Summary'!$G$1,Disbursements!$A:$A,"&lt;="&amp;'Colln-Summary'!$G$2)</f>
        <v>0</v>
      </c>
      <c r="F103" s="353">
        <f>SUMIFS('Live Collections'!$L:$L,'Live Collections'!$D:$D,'Colln-Summary'!$A103,'Live Collections'!$B:$B,"&gt;="&amp;'Colln-Summary'!$G$1,'Live Collections'!$B:$B,"&lt;="&amp;'Colln-Summary'!$G$2)</f>
        <v>0</v>
      </c>
      <c r="G103" s="353">
        <f>SUMIFS('Live Collections'!$M:$M,'Live Collections'!$D:$D,'Colln-Summary'!$A103,'Live Collections'!$B:$B,"&gt;="&amp;'Colln-Summary'!$G$1,'Live Collections'!$B:$B,"&lt;="&amp;'Colln-Summary'!$G$2)</f>
        <v>0</v>
      </c>
      <c r="H103" s="353">
        <f>SUMIFS('Live Collections'!$N:$N,'Live Collections'!$D:$D,'Colln-Summary'!$A103,'Live Collections'!$B:$B,"&gt;="&amp;'Colln-Summary'!$G$1,'Live Collections'!$B:$B,"&lt;="&amp;'Colln-Summary'!$G$2)</f>
        <v>0</v>
      </c>
      <c r="I103" s="353">
        <f>SUMIFS('Live Collections'!$P:$P,'Live Collections'!$D:$D,'Colln-Summary'!$A103,'Live Collections'!$B:$B,"&gt;="&amp;'Colln-Summary'!$G$1,'Live Collections'!$B:$B,"&lt;="&amp;'Colln-Summary'!$G$2)</f>
        <v>0</v>
      </c>
      <c r="J103" s="353">
        <f>SUMIFS('Live Collections'!$O:$O,'Live Collections'!$D:$D,'Colln-Summary'!$A103,'Live Collections'!$B:$B,"&gt;="&amp;'Colln-Summary'!$G$1,'Live Collections'!$B:$B,"&lt;="&amp;'Colln-Summary'!$G$2)</f>
        <v>173400</v>
      </c>
      <c r="K103" s="360">
        <f>SUMIFS('Live Collections'!$S:$S,'Live Collections'!$D:$D,'Colln-Summary'!$A103,'Live Collections'!$B:$B,"&gt;="&amp;'Colln-Summary'!$G$1,'Live Collections'!$B:$B,"&lt;="&amp;'Colln-Summary'!$G$2)</f>
        <v>15000</v>
      </c>
      <c r="L103" s="360">
        <f>SUMIFS('Live Collections'!$T:$T,'Live Collections'!$D:$D,'Colln-Summary'!$A103,'Live Collections'!$B:$B,"&gt;="&amp;'Colln-Summary'!$G$1,'Live Collections'!$B:$B,"&lt;="&amp;'Colln-Summary'!$G$2)</f>
        <v>158400</v>
      </c>
      <c r="M103" s="258">
        <f t="shared" si="2"/>
        <v>173400</v>
      </c>
    </row>
    <row r="104" spans="1:13" x14ac:dyDescent="0.2">
      <c r="A104" s="478">
        <v>100</v>
      </c>
      <c r="B104" s="352" t="str">
        <f>IFERROR(VLOOKUP($A104,'Clients-Live'!$A:$C,3,0),"")</f>
        <v>LETAYO DORCUS</v>
      </c>
      <c r="C104" s="353">
        <f>SUMIFS('Live Collections'!$J:$J,'Live Collections'!$D:$D,'Colln-Summary'!$A104,'Live Collections'!$B:$B,"&gt;="&amp;'Colln-Summary'!$G$1,'Live Collections'!$B:$B,"&lt;="&amp;'Colln-Summary'!$G$2)</f>
        <v>0</v>
      </c>
      <c r="D104" s="353">
        <f>SUMIFS('Live Collections'!$K:$K,'Live Collections'!$D:$D,'Colln-Summary'!$A104,'Live Collections'!$B:$B,"&gt;="&amp;'Colln-Summary'!$G$1,'Live Collections'!$B:$B,"&lt;="&amp;'Colln-Summary'!$G$2)</f>
        <v>0</v>
      </c>
      <c r="E104" s="353">
        <f>SUMIFS(Disbursements!$F:$F,Disbursements!$B:$B,'Colln-Summary'!$A104,Disbursements!$A:$A,"&gt;="&amp;'Colln-Summary'!$G$1,Disbursements!$A:$A,"&lt;="&amp;'Colln-Summary'!$G$2)</f>
        <v>0</v>
      </c>
      <c r="F104" s="353">
        <f>SUMIFS('Live Collections'!$L:$L,'Live Collections'!$D:$D,'Colln-Summary'!$A104,'Live Collections'!$B:$B,"&gt;="&amp;'Colln-Summary'!$G$1,'Live Collections'!$B:$B,"&lt;="&amp;'Colln-Summary'!$G$2)</f>
        <v>0</v>
      </c>
      <c r="G104" s="353">
        <f>SUMIFS('Live Collections'!$M:$M,'Live Collections'!$D:$D,'Colln-Summary'!$A104,'Live Collections'!$B:$B,"&gt;="&amp;'Colln-Summary'!$G$1,'Live Collections'!$B:$B,"&lt;="&amp;'Colln-Summary'!$G$2)</f>
        <v>0</v>
      </c>
      <c r="H104" s="353">
        <f>SUMIFS('Live Collections'!$N:$N,'Live Collections'!$D:$D,'Colln-Summary'!$A104,'Live Collections'!$B:$B,"&gt;="&amp;'Colln-Summary'!$G$1,'Live Collections'!$B:$B,"&lt;="&amp;'Colln-Summary'!$G$2)</f>
        <v>0</v>
      </c>
      <c r="I104" s="353">
        <f>SUMIFS('Live Collections'!$P:$P,'Live Collections'!$D:$D,'Colln-Summary'!$A104,'Live Collections'!$B:$B,"&gt;="&amp;'Colln-Summary'!$G$1,'Live Collections'!$B:$B,"&lt;="&amp;'Colln-Summary'!$G$2)</f>
        <v>0</v>
      </c>
      <c r="J104" s="353">
        <f>SUMIFS('Live Collections'!$O:$O,'Live Collections'!$D:$D,'Colln-Summary'!$A104,'Live Collections'!$B:$B,"&gt;="&amp;'Colln-Summary'!$G$1,'Live Collections'!$B:$B,"&lt;="&amp;'Colln-Summary'!$G$2)</f>
        <v>0</v>
      </c>
      <c r="K104" s="360">
        <f>SUMIFS('Live Collections'!$S:$S,'Live Collections'!$D:$D,'Colln-Summary'!$A104,'Live Collections'!$B:$B,"&gt;="&amp;'Colln-Summary'!$G$1,'Live Collections'!$B:$B,"&lt;="&amp;'Colln-Summary'!$G$2)</f>
        <v>0</v>
      </c>
      <c r="L104" s="360">
        <f>SUMIFS('Live Collections'!$T:$T,'Live Collections'!$D:$D,'Colln-Summary'!$A104,'Live Collections'!$B:$B,"&gt;="&amp;'Colln-Summary'!$G$1,'Live Collections'!$B:$B,"&lt;="&amp;'Colln-Summary'!$G$2)</f>
        <v>0</v>
      </c>
      <c r="M104" s="258">
        <f t="shared" si="2"/>
        <v>0</v>
      </c>
    </row>
    <row r="105" spans="1:13" x14ac:dyDescent="0.2">
      <c r="A105" s="478">
        <v>101</v>
      </c>
      <c r="B105" s="352" t="str">
        <f>IFERROR(VLOOKUP($A105,'Clients-Live'!$A:$C,3,0),"")</f>
        <v>AYIKO STEPHEN</v>
      </c>
      <c r="C105" s="353">
        <f>SUMIFS('Live Collections'!$J:$J,'Live Collections'!$D:$D,'Colln-Summary'!$A105,'Live Collections'!$B:$B,"&gt;="&amp;'Colln-Summary'!$G$1,'Live Collections'!$B:$B,"&lt;="&amp;'Colln-Summary'!$G$2)</f>
        <v>0</v>
      </c>
      <c r="D105" s="353">
        <f>SUMIFS('Live Collections'!$K:$K,'Live Collections'!$D:$D,'Colln-Summary'!$A105,'Live Collections'!$B:$B,"&gt;="&amp;'Colln-Summary'!$G$1,'Live Collections'!$B:$B,"&lt;="&amp;'Colln-Summary'!$G$2)</f>
        <v>0</v>
      </c>
      <c r="E105" s="353">
        <f>SUMIFS(Disbursements!$F:$F,Disbursements!$B:$B,'Colln-Summary'!$A105,Disbursements!$A:$A,"&gt;="&amp;'Colln-Summary'!$G$1,Disbursements!$A:$A,"&lt;="&amp;'Colln-Summary'!$G$2)</f>
        <v>0</v>
      </c>
      <c r="F105" s="353">
        <f>SUMIFS('Live Collections'!$L:$L,'Live Collections'!$D:$D,'Colln-Summary'!$A105,'Live Collections'!$B:$B,"&gt;="&amp;'Colln-Summary'!$G$1,'Live Collections'!$B:$B,"&lt;="&amp;'Colln-Summary'!$G$2)</f>
        <v>0</v>
      </c>
      <c r="G105" s="353">
        <f>SUMIFS('Live Collections'!$M:$M,'Live Collections'!$D:$D,'Colln-Summary'!$A105,'Live Collections'!$B:$B,"&gt;="&amp;'Colln-Summary'!$G$1,'Live Collections'!$B:$B,"&lt;="&amp;'Colln-Summary'!$G$2)</f>
        <v>0</v>
      </c>
      <c r="H105" s="353">
        <f>SUMIFS('Live Collections'!$N:$N,'Live Collections'!$D:$D,'Colln-Summary'!$A105,'Live Collections'!$B:$B,"&gt;="&amp;'Colln-Summary'!$G$1,'Live Collections'!$B:$B,"&lt;="&amp;'Colln-Summary'!$G$2)</f>
        <v>0</v>
      </c>
      <c r="I105" s="353">
        <f>SUMIFS('Live Collections'!$P:$P,'Live Collections'!$D:$D,'Colln-Summary'!$A105,'Live Collections'!$B:$B,"&gt;="&amp;'Colln-Summary'!$G$1,'Live Collections'!$B:$B,"&lt;="&amp;'Colln-Summary'!$G$2)</f>
        <v>0</v>
      </c>
      <c r="J105" s="353">
        <f>SUMIFS('Live Collections'!$O:$O,'Live Collections'!$D:$D,'Colln-Summary'!$A105,'Live Collections'!$B:$B,"&gt;="&amp;'Colln-Summary'!$G$1,'Live Collections'!$B:$B,"&lt;="&amp;'Colln-Summary'!$G$2)</f>
        <v>0</v>
      </c>
      <c r="K105" s="360">
        <f>SUMIFS('Live Collections'!$S:$S,'Live Collections'!$D:$D,'Colln-Summary'!$A105,'Live Collections'!$B:$B,"&gt;="&amp;'Colln-Summary'!$G$1,'Live Collections'!$B:$B,"&lt;="&amp;'Colln-Summary'!$G$2)</f>
        <v>0</v>
      </c>
      <c r="L105" s="360">
        <f>SUMIFS('Live Collections'!$T:$T,'Live Collections'!$D:$D,'Colln-Summary'!$A105,'Live Collections'!$B:$B,"&gt;="&amp;'Colln-Summary'!$G$1,'Live Collections'!$B:$B,"&lt;="&amp;'Colln-Summary'!$G$2)</f>
        <v>0</v>
      </c>
      <c r="M105" s="258">
        <f t="shared" si="2"/>
        <v>0</v>
      </c>
    </row>
    <row r="106" spans="1:13" x14ac:dyDescent="0.2">
      <c r="A106" s="478">
        <v>102</v>
      </c>
      <c r="B106" s="352" t="str">
        <f>IFERROR(VLOOKUP($A106,'Clients-Live'!$A:$C,3,0),"")</f>
        <v>BATALI GODFREY JOHN</v>
      </c>
      <c r="C106" s="353">
        <f>SUMIFS('Live Collections'!$J:$J,'Live Collections'!$D:$D,'Colln-Summary'!$A106,'Live Collections'!$B:$B,"&gt;="&amp;'Colln-Summary'!$G$1,'Live Collections'!$B:$B,"&lt;="&amp;'Colln-Summary'!$G$2)</f>
        <v>0</v>
      </c>
      <c r="D106" s="353">
        <f>SUMIFS('Live Collections'!$K:$K,'Live Collections'!$D:$D,'Colln-Summary'!$A106,'Live Collections'!$B:$B,"&gt;="&amp;'Colln-Summary'!$G$1,'Live Collections'!$B:$B,"&lt;="&amp;'Colln-Summary'!$G$2)</f>
        <v>0</v>
      </c>
      <c r="E106" s="353">
        <f>SUMIFS(Disbursements!$F:$F,Disbursements!$B:$B,'Colln-Summary'!$A106,Disbursements!$A:$A,"&gt;="&amp;'Colln-Summary'!$G$1,Disbursements!$A:$A,"&lt;="&amp;'Colln-Summary'!$G$2)</f>
        <v>0</v>
      </c>
      <c r="F106" s="353">
        <f>SUMIFS('Live Collections'!$L:$L,'Live Collections'!$D:$D,'Colln-Summary'!$A106,'Live Collections'!$B:$B,"&gt;="&amp;'Colln-Summary'!$G$1,'Live Collections'!$B:$B,"&lt;="&amp;'Colln-Summary'!$G$2)</f>
        <v>0</v>
      </c>
      <c r="G106" s="353">
        <f>SUMIFS('Live Collections'!$M:$M,'Live Collections'!$D:$D,'Colln-Summary'!$A106,'Live Collections'!$B:$B,"&gt;="&amp;'Colln-Summary'!$G$1,'Live Collections'!$B:$B,"&lt;="&amp;'Colln-Summary'!$G$2)</f>
        <v>0</v>
      </c>
      <c r="H106" s="353">
        <f>SUMIFS('Live Collections'!$N:$N,'Live Collections'!$D:$D,'Colln-Summary'!$A106,'Live Collections'!$B:$B,"&gt;="&amp;'Colln-Summary'!$G$1,'Live Collections'!$B:$B,"&lt;="&amp;'Colln-Summary'!$G$2)</f>
        <v>0</v>
      </c>
      <c r="I106" s="353">
        <f>SUMIFS('Live Collections'!$P:$P,'Live Collections'!$D:$D,'Colln-Summary'!$A106,'Live Collections'!$B:$B,"&gt;="&amp;'Colln-Summary'!$G$1,'Live Collections'!$B:$B,"&lt;="&amp;'Colln-Summary'!$G$2)</f>
        <v>0</v>
      </c>
      <c r="J106" s="353">
        <f>SUMIFS('Live Collections'!$O:$O,'Live Collections'!$D:$D,'Colln-Summary'!$A106,'Live Collections'!$B:$B,"&gt;="&amp;'Colln-Summary'!$G$1,'Live Collections'!$B:$B,"&lt;="&amp;'Colln-Summary'!$G$2)</f>
        <v>80000</v>
      </c>
      <c r="K106" s="360">
        <f>SUMIFS('Live Collections'!$S:$S,'Live Collections'!$D:$D,'Colln-Summary'!$A106,'Live Collections'!$B:$B,"&gt;="&amp;'Colln-Summary'!$G$1,'Live Collections'!$B:$B,"&lt;="&amp;'Colln-Summary'!$G$2)</f>
        <v>0</v>
      </c>
      <c r="L106" s="360">
        <f>SUMIFS('Live Collections'!$T:$T,'Live Collections'!$D:$D,'Colln-Summary'!$A106,'Live Collections'!$B:$B,"&gt;="&amp;'Colln-Summary'!$G$1,'Live Collections'!$B:$B,"&lt;="&amp;'Colln-Summary'!$G$2)</f>
        <v>80000</v>
      </c>
      <c r="M106" s="258">
        <f t="shared" si="2"/>
        <v>80000</v>
      </c>
    </row>
    <row r="107" spans="1:13" x14ac:dyDescent="0.2">
      <c r="A107" s="478">
        <v>103</v>
      </c>
      <c r="B107" s="352" t="str">
        <f>IFERROR(VLOOKUP($A107,'Clients-Live'!$A:$C,3,0),"")</f>
        <v>CHANDIRU ZABIB</v>
      </c>
      <c r="C107" s="353">
        <f>SUMIFS('Live Collections'!$J:$J,'Live Collections'!$D:$D,'Colln-Summary'!$A107,'Live Collections'!$B:$B,"&gt;="&amp;'Colln-Summary'!$G$1,'Live Collections'!$B:$B,"&lt;="&amp;'Colln-Summary'!$G$2)</f>
        <v>0</v>
      </c>
      <c r="D107" s="353">
        <f>SUMIFS('Live Collections'!$K:$K,'Live Collections'!$D:$D,'Colln-Summary'!$A107,'Live Collections'!$B:$B,"&gt;="&amp;'Colln-Summary'!$G$1,'Live Collections'!$B:$B,"&lt;="&amp;'Colln-Summary'!$G$2)</f>
        <v>0</v>
      </c>
      <c r="E107" s="353">
        <f>SUMIFS(Disbursements!$F:$F,Disbursements!$B:$B,'Colln-Summary'!$A107,Disbursements!$A:$A,"&gt;="&amp;'Colln-Summary'!$G$1,Disbursements!$A:$A,"&lt;="&amp;'Colln-Summary'!$G$2)</f>
        <v>0</v>
      </c>
      <c r="F107" s="353">
        <f>SUMIFS('Live Collections'!$L:$L,'Live Collections'!$D:$D,'Colln-Summary'!$A107,'Live Collections'!$B:$B,"&gt;="&amp;'Colln-Summary'!$G$1,'Live Collections'!$B:$B,"&lt;="&amp;'Colln-Summary'!$G$2)</f>
        <v>0</v>
      </c>
      <c r="G107" s="353">
        <f>SUMIFS('Live Collections'!$M:$M,'Live Collections'!$D:$D,'Colln-Summary'!$A107,'Live Collections'!$B:$B,"&gt;="&amp;'Colln-Summary'!$G$1,'Live Collections'!$B:$B,"&lt;="&amp;'Colln-Summary'!$G$2)</f>
        <v>0</v>
      </c>
      <c r="H107" s="353">
        <f>SUMIFS('Live Collections'!$N:$N,'Live Collections'!$D:$D,'Colln-Summary'!$A107,'Live Collections'!$B:$B,"&gt;="&amp;'Colln-Summary'!$G$1,'Live Collections'!$B:$B,"&lt;="&amp;'Colln-Summary'!$G$2)</f>
        <v>0</v>
      </c>
      <c r="I107" s="353">
        <f>SUMIFS('Live Collections'!$P:$P,'Live Collections'!$D:$D,'Colln-Summary'!$A107,'Live Collections'!$B:$B,"&gt;="&amp;'Colln-Summary'!$G$1,'Live Collections'!$B:$B,"&lt;="&amp;'Colln-Summary'!$G$2)</f>
        <v>0</v>
      </c>
      <c r="J107" s="353">
        <f>SUMIFS('Live Collections'!$O:$O,'Live Collections'!$D:$D,'Colln-Summary'!$A107,'Live Collections'!$B:$B,"&gt;="&amp;'Colln-Summary'!$G$1,'Live Collections'!$B:$B,"&lt;="&amp;'Colln-Summary'!$G$2)</f>
        <v>150000</v>
      </c>
      <c r="K107" s="360">
        <f>SUMIFS('Live Collections'!$S:$S,'Live Collections'!$D:$D,'Colln-Summary'!$A107,'Live Collections'!$B:$B,"&gt;="&amp;'Colln-Summary'!$G$1,'Live Collections'!$B:$B,"&lt;="&amp;'Colln-Summary'!$G$2)</f>
        <v>0</v>
      </c>
      <c r="L107" s="360">
        <f>SUMIFS('Live Collections'!$T:$T,'Live Collections'!$D:$D,'Colln-Summary'!$A107,'Live Collections'!$B:$B,"&gt;="&amp;'Colln-Summary'!$G$1,'Live Collections'!$B:$B,"&lt;="&amp;'Colln-Summary'!$G$2)</f>
        <v>150000</v>
      </c>
      <c r="M107" s="258">
        <f t="shared" si="2"/>
        <v>150000</v>
      </c>
    </row>
    <row r="108" spans="1:13" x14ac:dyDescent="0.2">
      <c r="A108" s="478">
        <v>104</v>
      </c>
      <c r="B108" s="352" t="str">
        <f>IFERROR(VLOOKUP($A108,'Clients-Live'!$A:$C,3,0),"")</f>
        <v>IDIRA ALIMA</v>
      </c>
      <c r="C108" s="353">
        <f>SUMIFS('Live Collections'!$J:$J,'Live Collections'!$D:$D,'Colln-Summary'!$A108,'Live Collections'!$B:$B,"&gt;="&amp;'Colln-Summary'!$G$1,'Live Collections'!$B:$B,"&lt;="&amp;'Colln-Summary'!$G$2)</f>
        <v>0</v>
      </c>
      <c r="D108" s="353">
        <f>SUMIFS('Live Collections'!$K:$K,'Live Collections'!$D:$D,'Colln-Summary'!$A108,'Live Collections'!$B:$B,"&gt;="&amp;'Colln-Summary'!$G$1,'Live Collections'!$B:$B,"&lt;="&amp;'Colln-Summary'!$G$2)</f>
        <v>0</v>
      </c>
      <c r="E108" s="353">
        <f>SUMIFS(Disbursements!$F:$F,Disbursements!$B:$B,'Colln-Summary'!$A108,Disbursements!$A:$A,"&gt;="&amp;'Colln-Summary'!$G$1,Disbursements!$A:$A,"&lt;="&amp;'Colln-Summary'!$G$2)</f>
        <v>0</v>
      </c>
      <c r="F108" s="353">
        <f>SUMIFS('Live Collections'!$L:$L,'Live Collections'!$D:$D,'Colln-Summary'!$A108,'Live Collections'!$B:$B,"&gt;="&amp;'Colln-Summary'!$G$1,'Live Collections'!$B:$B,"&lt;="&amp;'Colln-Summary'!$G$2)</f>
        <v>0</v>
      </c>
      <c r="G108" s="353">
        <f>SUMIFS('Live Collections'!$M:$M,'Live Collections'!$D:$D,'Colln-Summary'!$A108,'Live Collections'!$B:$B,"&gt;="&amp;'Colln-Summary'!$G$1,'Live Collections'!$B:$B,"&lt;="&amp;'Colln-Summary'!$G$2)</f>
        <v>0</v>
      </c>
      <c r="H108" s="353">
        <f>SUMIFS('Live Collections'!$N:$N,'Live Collections'!$D:$D,'Colln-Summary'!$A108,'Live Collections'!$B:$B,"&gt;="&amp;'Colln-Summary'!$G$1,'Live Collections'!$B:$B,"&lt;="&amp;'Colln-Summary'!$G$2)</f>
        <v>0</v>
      </c>
      <c r="I108" s="353">
        <f>SUMIFS('Live Collections'!$P:$P,'Live Collections'!$D:$D,'Colln-Summary'!$A108,'Live Collections'!$B:$B,"&gt;="&amp;'Colln-Summary'!$G$1,'Live Collections'!$B:$B,"&lt;="&amp;'Colln-Summary'!$G$2)</f>
        <v>0</v>
      </c>
      <c r="J108" s="353">
        <f>SUMIFS('Live Collections'!$O:$O,'Live Collections'!$D:$D,'Colln-Summary'!$A108,'Live Collections'!$B:$B,"&gt;="&amp;'Colln-Summary'!$G$1,'Live Collections'!$B:$B,"&lt;="&amp;'Colln-Summary'!$G$2)</f>
        <v>160000</v>
      </c>
      <c r="K108" s="360">
        <f>SUMIFS('Live Collections'!$S:$S,'Live Collections'!$D:$D,'Colln-Summary'!$A108,'Live Collections'!$B:$B,"&gt;="&amp;'Colln-Summary'!$G$1,'Live Collections'!$B:$B,"&lt;="&amp;'Colln-Summary'!$G$2)</f>
        <v>75000</v>
      </c>
      <c r="L108" s="360">
        <f>SUMIFS('Live Collections'!$T:$T,'Live Collections'!$D:$D,'Colln-Summary'!$A108,'Live Collections'!$B:$B,"&gt;="&amp;'Colln-Summary'!$G$1,'Live Collections'!$B:$B,"&lt;="&amp;'Colln-Summary'!$G$2)</f>
        <v>85000</v>
      </c>
      <c r="M108" s="258">
        <f t="shared" si="2"/>
        <v>160000</v>
      </c>
    </row>
    <row r="109" spans="1:13" x14ac:dyDescent="0.2">
      <c r="A109" s="478">
        <v>105</v>
      </c>
      <c r="B109" s="352" t="str">
        <f>IFERROR(VLOOKUP($A109,'Clients-Live'!$A:$C,3,0),"")</f>
        <v>NUKA ROSE</v>
      </c>
      <c r="C109" s="353">
        <f>SUMIFS('Live Collections'!$J:$J,'Live Collections'!$D:$D,'Colln-Summary'!$A109,'Live Collections'!$B:$B,"&gt;="&amp;'Colln-Summary'!$G$1,'Live Collections'!$B:$B,"&lt;="&amp;'Colln-Summary'!$G$2)</f>
        <v>0</v>
      </c>
      <c r="D109" s="353">
        <f>SUMIFS('Live Collections'!$K:$K,'Live Collections'!$D:$D,'Colln-Summary'!$A109,'Live Collections'!$B:$B,"&gt;="&amp;'Colln-Summary'!$G$1,'Live Collections'!$B:$B,"&lt;="&amp;'Colln-Summary'!$G$2)</f>
        <v>0</v>
      </c>
      <c r="E109" s="353">
        <f>SUMIFS(Disbursements!$F:$F,Disbursements!$B:$B,'Colln-Summary'!$A109,Disbursements!$A:$A,"&gt;="&amp;'Colln-Summary'!$G$1,Disbursements!$A:$A,"&lt;="&amp;'Colln-Summary'!$G$2)</f>
        <v>0</v>
      </c>
      <c r="F109" s="353">
        <f>SUMIFS('Live Collections'!$L:$L,'Live Collections'!$D:$D,'Colln-Summary'!$A109,'Live Collections'!$B:$B,"&gt;="&amp;'Colln-Summary'!$G$1,'Live Collections'!$B:$B,"&lt;="&amp;'Colln-Summary'!$G$2)</f>
        <v>0</v>
      </c>
      <c r="G109" s="353">
        <f>SUMIFS('Live Collections'!$M:$M,'Live Collections'!$D:$D,'Colln-Summary'!$A109,'Live Collections'!$B:$B,"&gt;="&amp;'Colln-Summary'!$G$1,'Live Collections'!$B:$B,"&lt;="&amp;'Colln-Summary'!$G$2)</f>
        <v>0</v>
      </c>
      <c r="H109" s="353">
        <f>SUMIFS('Live Collections'!$N:$N,'Live Collections'!$D:$D,'Colln-Summary'!$A109,'Live Collections'!$B:$B,"&gt;="&amp;'Colln-Summary'!$G$1,'Live Collections'!$B:$B,"&lt;="&amp;'Colln-Summary'!$G$2)</f>
        <v>0</v>
      </c>
      <c r="I109" s="353">
        <f>SUMIFS('Live Collections'!$P:$P,'Live Collections'!$D:$D,'Colln-Summary'!$A109,'Live Collections'!$B:$B,"&gt;="&amp;'Colln-Summary'!$G$1,'Live Collections'!$B:$B,"&lt;="&amp;'Colln-Summary'!$G$2)</f>
        <v>0</v>
      </c>
      <c r="J109" s="353">
        <f>SUMIFS('Live Collections'!$O:$O,'Live Collections'!$D:$D,'Colln-Summary'!$A109,'Live Collections'!$B:$B,"&gt;="&amp;'Colln-Summary'!$G$1,'Live Collections'!$B:$B,"&lt;="&amp;'Colln-Summary'!$G$2)</f>
        <v>89000</v>
      </c>
      <c r="K109" s="360">
        <f>SUMIFS('Live Collections'!$S:$S,'Live Collections'!$D:$D,'Colln-Summary'!$A109,'Live Collections'!$B:$B,"&gt;="&amp;'Colln-Summary'!$G$1,'Live Collections'!$B:$B,"&lt;="&amp;'Colln-Summary'!$G$2)</f>
        <v>14666.666666666657</v>
      </c>
      <c r="L109" s="360">
        <f>SUMIFS('Live Collections'!$T:$T,'Live Collections'!$D:$D,'Colln-Summary'!$A109,'Live Collections'!$B:$B,"&gt;="&amp;'Colln-Summary'!$G$1,'Live Collections'!$B:$B,"&lt;="&amp;'Colln-Summary'!$G$2)</f>
        <v>74333.333333333343</v>
      </c>
      <c r="M109" s="258">
        <f t="shared" si="2"/>
        <v>89000</v>
      </c>
    </row>
    <row r="110" spans="1:13" x14ac:dyDescent="0.2">
      <c r="A110" s="478">
        <v>106</v>
      </c>
      <c r="B110" s="352" t="str">
        <f>IFERROR(VLOOKUP($A110,'Clients-Live'!$A:$C,3,0),"")</f>
        <v>ORODRIYO  NUSURA</v>
      </c>
      <c r="C110" s="353">
        <f>SUMIFS('Live Collections'!$J:$J,'Live Collections'!$D:$D,'Colln-Summary'!$A110,'Live Collections'!$B:$B,"&gt;="&amp;'Colln-Summary'!$G$1,'Live Collections'!$B:$B,"&lt;="&amp;'Colln-Summary'!$G$2)</f>
        <v>0</v>
      </c>
      <c r="D110" s="353">
        <f>SUMIFS('Live Collections'!$K:$K,'Live Collections'!$D:$D,'Colln-Summary'!$A110,'Live Collections'!$B:$B,"&gt;="&amp;'Colln-Summary'!$G$1,'Live Collections'!$B:$B,"&lt;="&amp;'Colln-Summary'!$G$2)</f>
        <v>0</v>
      </c>
      <c r="E110" s="353">
        <f>SUMIFS(Disbursements!$F:$F,Disbursements!$B:$B,'Colln-Summary'!$A110,Disbursements!$A:$A,"&gt;="&amp;'Colln-Summary'!$G$1,Disbursements!$A:$A,"&lt;="&amp;'Colln-Summary'!$G$2)</f>
        <v>0</v>
      </c>
      <c r="F110" s="353">
        <f>SUMIFS('Live Collections'!$L:$L,'Live Collections'!$D:$D,'Colln-Summary'!$A110,'Live Collections'!$B:$B,"&gt;="&amp;'Colln-Summary'!$G$1,'Live Collections'!$B:$B,"&lt;="&amp;'Colln-Summary'!$G$2)</f>
        <v>0</v>
      </c>
      <c r="G110" s="353">
        <f>SUMIFS('Live Collections'!$M:$M,'Live Collections'!$D:$D,'Colln-Summary'!$A110,'Live Collections'!$B:$B,"&gt;="&amp;'Colln-Summary'!$G$1,'Live Collections'!$B:$B,"&lt;="&amp;'Colln-Summary'!$G$2)</f>
        <v>0</v>
      </c>
      <c r="H110" s="353">
        <f>SUMIFS('Live Collections'!$N:$N,'Live Collections'!$D:$D,'Colln-Summary'!$A110,'Live Collections'!$B:$B,"&gt;="&amp;'Colln-Summary'!$G$1,'Live Collections'!$B:$B,"&lt;="&amp;'Colln-Summary'!$G$2)</f>
        <v>0</v>
      </c>
      <c r="I110" s="353">
        <f>SUMIFS('Live Collections'!$P:$P,'Live Collections'!$D:$D,'Colln-Summary'!$A110,'Live Collections'!$B:$B,"&gt;="&amp;'Colln-Summary'!$G$1,'Live Collections'!$B:$B,"&lt;="&amp;'Colln-Summary'!$G$2)</f>
        <v>0</v>
      </c>
      <c r="J110" s="353">
        <f>SUMIFS('Live Collections'!$O:$O,'Live Collections'!$D:$D,'Colln-Summary'!$A110,'Live Collections'!$B:$B,"&gt;="&amp;'Colln-Summary'!$G$1,'Live Collections'!$B:$B,"&lt;="&amp;'Colln-Summary'!$G$2)</f>
        <v>130000</v>
      </c>
      <c r="K110" s="360">
        <f>SUMIFS('Live Collections'!$S:$S,'Live Collections'!$D:$D,'Colln-Summary'!$A110,'Live Collections'!$B:$B,"&gt;="&amp;'Colln-Summary'!$G$1,'Live Collections'!$B:$B,"&lt;="&amp;'Colln-Summary'!$G$2)</f>
        <v>0</v>
      </c>
      <c r="L110" s="360">
        <f>SUMIFS('Live Collections'!$T:$T,'Live Collections'!$D:$D,'Colln-Summary'!$A110,'Live Collections'!$B:$B,"&gt;="&amp;'Colln-Summary'!$G$1,'Live Collections'!$B:$B,"&lt;="&amp;'Colln-Summary'!$G$2)</f>
        <v>130000</v>
      </c>
      <c r="M110" s="258">
        <f t="shared" si="2"/>
        <v>130000</v>
      </c>
    </row>
    <row r="111" spans="1:13" x14ac:dyDescent="0.2">
      <c r="A111" s="478">
        <v>107</v>
      </c>
      <c r="B111" s="352" t="str">
        <f>IFERROR(VLOOKUP($A111,'Clients-Live'!$A:$C,3,0),"")</f>
        <v>LAKONY PETER</v>
      </c>
      <c r="C111" s="353">
        <f>SUMIFS('Live Collections'!$J:$J,'Live Collections'!$D:$D,'Colln-Summary'!$A111,'Live Collections'!$B:$B,"&gt;="&amp;'Colln-Summary'!$G$1,'Live Collections'!$B:$B,"&lt;="&amp;'Colln-Summary'!$G$2)</f>
        <v>0</v>
      </c>
      <c r="D111" s="353">
        <f>SUMIFS('Live Collections'!$K:$K,'Live Collections'!$D:$D,'Colln-Summary'!$A111,'Live Collections'!$B:$B,"&gt;="&amp;'Colln-Summary'!$G$1,'Live Collections'!$B:$B,"&lt;="&amp;'Colln-Summary'!$G$2)</f>
        <v>0</v>
      </c>
      <c r="E111" s="353">
        <f>SUMIFS(Disbursements!$F:$F,Disbursements!$B:$B,'Colln-Summary'!$A111,Disbursements!$A:$A,"&gt;="&amp;'Colln-Summary'!$G$1,Disbursements!$A:$A,"&lt;="&amp;'Colln-Summary'!$G$2)</f>
        <v>0</v>
      </c>
      <c r="F111" s="353">
        <f>SUMIFS('Live Collections'!$L:$L,'Live Collections'!$D:$D,'Colln-Summary'!$A111,'Live Collections'!$B:$B,"&gt;="&amp;'Colln-Summary'!$G$1,'Live Collections'!$B:$B,"&lt;="&amp;'Colln-Summary'!$G$2)</f>
        <v>0</v>
      </c>
      <c r="G111" s="353">
        <f>SUMIFS('Live Collections'!$M:$M,'Live Collections'!$D:$D,'Colln-Summary'!$A111,'Live Collections'!$B:$B,"&gt;="&amp;'Colln-Summary'!$G$1,'Live Collections'!$B:$B,"&lt;="&amp;'Colln-Summary'!$G$2)</f>
        <v>0</v>
      </c>
      <c r="H111" s="353">
        <f>SUMIFS('Live Collections'!$N:$N,'Live Collections'!$D:$D,'Colln-Summary'!$A111,'Live Collections'!$B:$B,"&gt;="&amp;'Colln-Summary'!$G$1,'Live Collections'!$B:$B,"&lt;="&amp;'Colln-Summary'!$G$2)</f>
        <v>0</v>
      </c>
      <c r="I111" s="353">
        <f>SUMIFS('Live Collections'!$P:$P,'Live Collections'!$D:$D,'Colln-Summary'!$A111,'Live Collections'!$B:$B,"&gt;="&amp;'Colln-Summary'!$G$1,'Live Collections'!$B:$B,"&lt;="&amp;'Colln-Summary'!$G$2)</f>
        <v>0</v>
      </c>
      <c r="J111" s="353">
        <f>SUMIFS('Live Collections'!$O:$O,'Live Collections'!$D:$D,'Colln-Summary'!$A111,'Live Collections'!$B:$B,"&gt;="&amp;'Colln-Summary'!$G$1,'Live Collections'!$B:$B,"&lt;="&amp;'Colln-Summary'!$G$2)</f>
        <v>0</v>
      </c>
      <c r="K111" s="360">
        <f>SUMIFS('Live Collections'!$S:$S,'Live Collections'!$D:$D,'Colln-Summary'!$A111,'Live Collections'!$B:$B,"&gt;="&amp;'Colln-Summary'!$G$1,'Live Collections'!$B:$B,"&lt;="&amp;'Colln-Summary'!$G$2)</f>
        <v>0</v>
      </c>
      <c r="L111" s="360">
        <f>SUMIFS('Live Collections'!$T:$T,'Live Collections'!$D:$D,'Colln-Summary'!$A111,'Live Collections'!$B:$B,"&gt;="&amp;'Colln-Summary'!$G$1,'Live Collections'!$B:$B,"&lt;="&amp;'Colln-Summary'!$G$2)</f>
        <v>0</v>
      </c>
      <c r="M111" s="258">
        <f t="shared" si="2"/>
        <v>0</v>
      </c>
    </row>
    <row r="112" spans="1:13" x14ac:dyDescent="0.2">
      <c r="A112" s="478">
        <v>108</v>
      </c>
      <c r="B112" s="352" t="str">
        <f>IFERROR(VLOOKUP($A112,'Clients-Live'!$A:$C,3,0),"")</f>
        <v>DUDU JOICE</v>
      </c>
      <c r="C112" s="353">
        <f>SUMIFS('Live Collections'!$J:$J,'Live Collections'!$D:$D,'Colln-Summary'!$A112,'Live Collections'!$B:$B,"&gt;="&amp;'Colln-Summary'!$G$1,'Live Collections'!$B:$B,"&lt;="&amp;'Colln-Summary'!$G$2)</f>
        <v>0</v>
      </c>
      <c r="D112" s="353">
        <f>SUMIFS('Live Collections'!$K:$K,'Live Collections'!$D:$D,'Colln-Summary'!$A112,'Live Collections'!$B:$B,"&gt;="&amp;'Colln-Summary'!$G$1,'Live Collections'!$B:$B,"&lt;="&amp;'Colln-Summary'!$G$2)</f>
        <v>0</v>
      </c>
      <c r="E112" s="353">
        <f>SUMIFS(Disbursements!$F:$F,Disbursements!$B:$B,'Colln-Summary'!$A112,Disbursements!$A:$A,"&gt;="&amp;'Colln-Summary'!$G$1,Disbursements!$A:$A,"&lt;="&amp;'Colln-Summary'!$G$2)</f>
        <v>0</v>
      </c>
      <c r="F112" s="353">
        <f>SUMIFS('Live Collections'!$L:$L,'Live Collections'!$D:$D,'Colln-Summary'!$A112,'Live Collections'!$B:$B,"&gt;="&amp;'Colln-Summary'!$G$1,'Live Collections'!$B:$B,"&lt;="&amp;'Colln-Summary'!$G$2)</f>
        <v>0</v>
      </c>
      <c r="G112" s="353">
        <f>SUMIFS('Live Collections'!$M:$M,'Live Collections'!$D:$D,'Colln-Summary'!$A112,'Live Collections'!$B:$B,"&gt;="&amp;'Colln-Summary'!$G$1,'Live Collections'!$B:$B,"&lt;="&amp;'Colln-Summary'!$G$2)</f>
        <v>0</v>
      </c>
      <c r="H112" s="353">
        <f>SUMIFS('Live Collections'!$N:$N,'Live Collections'!$D:$D,'Colln-Summary'!$A112,'Live Collections'!$B:$B,"&gt;="&amp;'Colln-Summary'!$G$1,'Live Collections'!$B:$B,"&lt;="&amp;'Colln-Summary'!$G$2)</f>
        <v>0</v>
      </c>
      <c r="I112" s="353">
        <f>SUMIFS('Live Collections'!$P:$P,'Live Collections'!$D:$D,'Colln-Summary'!$A112,'Live Collections'!$B:$B,"&gt;="&amp;'Colln-Summary'!$G$1,'Live Collections'!$B:$B,"&lt;="&amp;'Colln-Summary'!$G$2)</f>
        <v>0</v>
      </c>
      <c r="J112" s="353">
        <f>SUMIFS('Live Collections'!$O:$O,'Live Collections'!$D:$D,'Colln-Summary'!$A112,'Live Collections'!$B:$B,"&gt;="&amp;'Colln-Summary'!$G$1,'Live Collections'!$B:$B,"&lt;="&amp;'Colln-Summary'!$G$2)</f>
        <v>0</v>
      </c>
      <c r="K112" s="360">
        <f>SUMIFS('Live Collections'!$S:$S,'Live Collections'!$D:$D,'Colln-Summary'!$A112,'Live Collections'!$B:$B,"&gt;="&amp;'Colln-Summary'!$G$1,'Live Collections'!$B:$B,"&lt;="&amp;'Colln-Summary'!$G$2)</f>
        <v>0</v>
      </c>
      <c r="L112" s="360">
        <f>SUMIFS('Live Collections'!$T:$T,'Live Collections'!$D:$D,'Colln-Summary'!$A112,'Live Collections'!$B:$B,"&gt;="&amp;'Colln-Summary'!$G$1,'Live Collections'!$B:$B,"&lt;="&amp;'Colln-Summary'!$G$2)</f>
        <v>0</v>
      </c>
      <c r="M112" s="258">
        <f t="shared" si="2"/>
        <v>0</v>
      </c>
    </row>
    <row r="113" spans="1:13" x14ac:dyDescent="0.2">
      <c r="A113" s="478">
        <v>109</v>
      </c>
      <c r="B113" s="352" t="str">
        <f>IFERROR(VLOOKUP($A113,'Clients-Live'!$A:$C,3,0),"")</f>
        <v>TABU KISA</v>
      </c>
      <c r="C113" s="353">
        <f>SUMIFS('Live Collections'!$J:$J,'Live Collections'!$D:$D,'Colln-Summary'!$A113,'Live Collections'!$B:$B,"&gt;="&amp;'Colln-Summary'!$G$1,'Live Collections'!$B:$B,"&lt;="&amp;'Colln-Summary'!$G$2)</f>
        <v>0</v>
      </c>
      <c r="D113" s="353">
        <f>SUMIFS('Live Collections'!$K:$K,'Live Collections'!$D:$D,'Colln-Summary'!$A113,'Live Collections'!$B:$B,"&gt;="&amp;'Colln-Summary'!$G$1,'Live Collections'!$B:$B,"&lt;="&amp;'Colln-Summary'!$G$2)</f>
        <v>0</v>
      </c>
      <c r="E113" s="353">
        <f>SUMIFS(Disbursements!$F:$F,Disbursements!$B:$B,'Colln-Summary'!$A113,Disbursements!$A:$A,"&gt;="&amp;'Colln-Summary'!$G$1,Disbursements!$A:$A,"&lt;="&amp;'Colln-Summary'!$G$2)</f>
        <v>0</v>
      </c>
      <c r="F113" s="353">
        <f>SUMIFS('Live Collections'!$L:$L,'Live Collections'!$D:$D,'Colln-Summary'!$A113,'Live Collections'!$B:$B,"&gt;="&amp;'Colln-Summary'!$G$1,'Live Collections'!$B:$B,"&lt;="&amp;'Colln-Summary'!$G$2)</f>
        <v>0</v>
      </c>
      <c r="G113" s="353">
        <f>SUMIFS('Live Collections'!$M:$M,'Live Collections'!$D:$D,'Colln-Summary'!$A113,'Live Collections'!$B:$B,"&gt;="&amp;'Colln-Summary'!$G$1,'Live Collections'!$B:$B,"&lt;="&amp;'Colln-Summary'!$G$2)</f>
        <v>0</v>
      </c>
      <c r="H113" s="353">
        <f>SUMIFS('Live Collections'!$N:$N,'Live Collections'!$D:$D,'Colln-Summary'!$A113,'Live Collections'!$B:$B,"&gt;="&amp;'Colln-Summary'!$G$1,'Live Collections'!$B:$B,"&lt;="&amp;'Colln-Summary'!$G$2)</f>
        <v>0</v>
      </c>
      <c r="I113" s="353">
        <f>SUMIFS('Live Collections'!$P:$P,'Live Collections'!$D:$D,'Colln-Summary'!$A113,'Live Collections'!$B:$B,"&gt;="&amp;'Colln-Summary'!$G$1,'Live Collections'!$B:$B,"&lt;="&amp;'Colln-Summary'!$G$2)</f>
        <v>0</v>
      </c>
      <c r="J113" s="353">
        <f>SUMIFS('Live Collections'!$O:$O,'Live Collections'!$D:$D,'Colln-Summary'!$A113,'Live Collections'!$B:$B,"&gt;="&amp;'Colln-Summary'!$G$1,'Live Collections'!$B:$B,"&lt;="&amp;'Colln-Summary'!$G$2)</f>
        <v>100000</v>
      </c>
      <c r="K113" s="360">
        <f>SUMIFS('Live Collections'!$S:$S,'Live Collections'!$D:$D,'Colln-Summary'!$A113,'Live Collections'!$B:$B,"&gt;="&amp;'Colln-Summary'!$G$1,'Live Collections'!$B:$B,"&lt;="&amp;'Colln-Summary'!$G$2)</f>
        <v>0</v>
      </c>
      <c r="L113" s="360">
        <f>SUMIFS('Live Collections'!$T:$T,'Live Collections'!$D:$D,'Colln-Summary'!$A113,'Live Collections'!$B:$B,"&gt;="&amp;'Colln-Summary'!$G$1,'Live Collections'!$B:$B,"&lt;="&amp;'Colln-Summary'!$G$2)</f>
        <v>100000</v>
      </c>
      <c r="M113" s="258">
        <f t="shared" si="2"/>
        <v>100000</v>
      </c>
    </row>
    <row r="114" spans="1:13" x14ac:dyDescent="0.2">
      <c r="A114" s="478">
        <v>110</v>
      </c>
      <c r="B114" s="352" t="str">
        <f>IFERROR(VLOOKUP($A114,'Clients-Live'!$A:$C,3,0),"")</f>
        <v>APEKURU FLORENCE</v>
      </c>
      <c r="C114" s="353">
        <f>SUMIFS('Live Collections'!$J:$J,'Live Collections'!$D:$D,'Colln-Summary'!$A114,'Live Collections'!$B:$B,"&gt;="&amp;'Colln-Summary'!$G$1,'Live Collections'!$B:$B,"&lt;="&amp;'Colln-Summary'!$G$2)</f>
        <v>0</v>
      </c>
      <c r="D114" s="353">
        <f>SUMIFS('Live Collections'!$K:$K,'Live Collections'!$D:$D,'Colln-Summary'!$A114,'Live Collections'!$B:$B,"&gt;="&amp;'Colln-Summary'!$G$1,'Live Collections'!$B:$B,"&lt;="&amp;'Colln-Summary'!$G$2)</f>
        <v>0</v>
      </c>
      <c r="E114" s="353">
        <f>SUMIFS(Disbursements!$F:$F,Disbursements!$B:$B,'Colln-Summary'!$A114,Disbursements!$A:$A,"&gt;="&amp;'Colln-Summary'!$G$1,Disbursements!$A:$A,"&lt;="&amp;'Colln-Summary'!$G$2)</f>
        <v>0</v>
      </c>
      <c r="F114" s="353">
        <f>SUMIFS('Live Collections'!$L:$L,'Live Collections'!$D:$D,'Colln-Summary'!$A114,'Live Collections'!$B:$B,"&gt;="&amp;'Colln-Summary'!$G$1,'Live Collections'!$B:$B,"&lt;="&amp;'Colln-Summary'!$G$2)</f>
        <v>0</v>
      </c>
      <c r="G114" s="353">
        <f>SUMIFS('Live Collections'!$M:$M,'Live Collections'!$D:$D,'Colln-Summary'!$A114,'Live Collections'!$B:$B,"&gt;="&amp;'Colln-Summary'!$G$1,'Live Collections'!$B:$B,"&lt;="&amp;'Colln-Summary'!$G$2)</f>
        <v>0</v>
      </c>
      <c r="H114" s="353">
        <f>SUMIFS('Live Collections'!$N:$N,'Live Collections'!$D:$D,'Colln-Summary'!$A114,'Live Collections'!$B:$B,"&gt;="&amp;'Colln-Summary'!$G$1,'Live Collections'!$B:$B,"&lt;="&amp;'Colln-Summary'!$G$2)</f>
        <v>0</v>
      </c>
      <c r="I114" s="353">
        <f>SUMIFS('Live Collections'!$P:$P,'Live Collections'!$D:$D,'Colln-Summary'!$A114,'Live Collections'!$B:$B,"&gt;="&amp;'Colln-Summary'!$G$1,'Live Collections'!$B:$B,"&lt;="&amp;'Colln-Summary'!$G$2)</f>
        <v>0</v>
      </c>
      <c r="J114" s="353">
        <f>SUMIFS('Live Collections'!$O:$O,'Live Collections'!$D:$D,'Colln-Summary'!$A114,'Live Collections'!$B:$B,"&gt;="&amp;'Colln-Summary'!$G$1,'Live Collections'!$B:$B,"&lt;="&amp;'Colln-Summary'!$G$2)</f>
        <v>0</v>
      </c>
      <c r="K114" s="360">
        <f>SUMIFS('Live Collections'!$S:$S,'Live Collections'!$D:$D,'Colln-Summary'!$A114,'Live Collections'!$B:$B,"&gt;="&amp;'Colln-Summary'!$G$1,'Live Collections'!$B:$B,"&lt;="&amp;'Colln-Summary'!$G$2)</f>
        <v>0</v>
      </c>
      <c r="L114" s="360">
        <f>SUMIFS('Live Collections'!$T:$T,'Live Collections'!$D:$D,'Colln-Summary'!$A114,'Live Collections'!$B:$B,"&gt;="&amp;'Colln-Summary'!$G$1,'Live Collections'!$B:$B,"&lt;="&amp;'Colln-Summary'!$G$2)</f>
        <v>0</v>
      </c>
      <c r="M114" s="258">
        <f t="shared" si="2"/>
        <v>0</v>
      </c>
    </row>
    <row r="115" spans="1:13" x14ac:dyDescent="0.2">
      <c r="A115" s="478">
        <v>111</v>
      </c>
      <c r="B115" s="352" t="str">
        <f>IFERROR(VLOOKUP($A115,'Clients-Live'!$A:$C,3,0),"")</f>
        <v>ANDAKU CHARLES JULIAN</v>
      </c>
      <c r="C115" s="353">
        <f>SUMIFS('Live Collections'!$J:$J,'Live Collections'!$D:$D,'Colln-Summary'!$A115,'Live Collections'!$B:$B,"&gt;="&amp;'Colln-Summary'!$G$1,'Live Collections'!$B:$B,"&lt;="&amp;'Colln-Summary'!$G$2)</f>
        <v>0</v>
      </c>
      <c r="D115" s="353">
        <f>SUMIFS('Live Collections'!$K:$K,'Live Collections'!$D:$D,'Colln-Summary'!$A115,'Live Collections'!$B:$B,"&gt;="&amp;'Colln-Summary'!$G$1,'Live Collections'!$B:$B,"&lt;="&amp;'Colln-Summary'!$G$2)</f>
        <v>0</v>
      </c>
      <c r="E115" s="353">
        <f>SUMIFS(Disbursements!$F:$F,Disbursements!$B:$B,'Colln-Summary'!$A115,Disbursements!$A:$A,"&gt;="&amp;'Colln-Summary'!$G$1,Disbursements!$A:$A,"&lt;="&amp;'Colln-Summary'!$G$2)</f>
        <v>0</v>
      </c>
      <c r="F115" s="353">
        <f>SUMIFS('Live Collections'!$L:$L,'Live Collections'!$D:$D,'Colln-Summary'!$A115,'Live Collections'!$B:$B,"&gt;="&amp;'Colln-Summary'!$G$1,'Live Collections'!$B:$B,"&lt;="&amp;'Colln-Summary'!$G$2)</f>
        <v>0</v>
      </c>
      <c r="G115" s="353">
        <f>SUMIFS('Live Collections'!$M:$M,'Live Collections'!$D:$D,'Colln-Summary'!$A115,'Live Collections'!$B:$B,"&gt;="&amp;'Colln-Summary'!$G$1,'Live Collections'!$B:$B,"&lt;="&amp;'Colln-Summary'!$G$2)</f>
        <v>0</v>
      </c>
      <c r="H115" s="353">
        <f>SUMIFS('Live Collections'!$N:$N,'Live Collections'!$D:$D,'Colln-Summary'!$A115,'Live Collections'!$B:$B,"&gt;="&amp;'Colln-Summary'!$G$1,'Live Collections'!$B:$B,"&lt;="&amp;'Colln-Summary'!$G$2)</f>
        <v>0</v>
      </c>
      <c r="I115" s="353">
        <f>SUMIFS('Live Collections'!$P:$P,'Live Collections'!$D:$D,'Colln-Summary'!$A115,'Live Collections'!$B:$B,"&gt;="&amp;'Colln-Summary'!$G$1,'Live Collections'!$B:$B,"&lt;="&amp;'Colln-Summary'!$G$2)</f>
        <v>-95000</v>
      </c>
      <c r="J115" s="353">
        <f>SUMIFS('Live Collections'!$O:$O,'Live Collections'!$D:$D,'Colln-Summary'!$A115,'Live Collections'!$B:$B,"&gt;="&amp;'Colln-Summary'!$G$1,'Live Collections'!$B:$B,"&lt;="&amp;'Colln-Summary'!$G$2)</f>
        <v>550000</v>
      </c>
      <c r="K115" s="360">
        <f>SUMIFS('Live Collections'!$S:$S,'Live Collections'!$D:$D,'Colln-Summary'!$A115,'Live Collections'!$B:$B,"&gt;="&amp;'Colln-Summary'!$G$1,'Live Collections'!$B:$B,"&lt;="&amp;'Colln-Summary'!$G$2)</f>
        <v>180999.99999999994</v>
      </c>
      <c r="L115" s="360">
        <f>SUMIFS('Live Collections'!$T:$T,'Live Collections'!$D:$D,'Colln-Summary'!$A115,'Live Collections'!$B:$B,"&gt;="&amp;'Colln-Summary'!$G$1,'Live Collections'!$B:$B,"&lt;="&amp;'Colln-Summary'!$G$2)</f>
        <v>369000.00000000006</v>
      </c>
      <c r="M115" s="258">
        <f t="shared" si="2"/>
        <v>455000</v>
      </c>
    </row>
    <row r="116" spans="1:13" x14ac:dyDescent="0.2">
      <c r="A116" s="478">
        <v>112</v>
      </c>
      <c r="B116" s="352" t="str">
        <f>IFERROR(VLOOKUP($A116,'Clients-Live'!$A:$C,3,0),"")</f>
        <v>NURA JOYCE</v>
      </c>
      <c r="C116" s="353">
        <f>SUMIFS('Live Collections'!$J:$J,'Live Collections'!$D:$D,'Colln-Summary'!$A116,'Live Collections'!$B:$B,"&gt;="&amp;'Colln-Summary'!$G$1,'Live Collections'!$B:$B,"&lt;="&amp;'Colln-Summary'!$G$2)</f>
        <v>0</v>
      </c>
      <c r="D116" s="353">
        <f>SUMIFS('Live Collections'!$K:$K,'Live Collections'!$D:$D,'Colln-Summary'!$A116,'Live Collections'!$B:$B,"&gt;="&amp;'Colln-Summary'!$G$1,'Live Collections'!$B:$B,"&lt;="&amp;'Colln-Summary'!$G$2)</f>
        <v>0</v>
      </c>
      <c r="E116" s="353">
        <f>SUMIFS(Disbursements!$F:$F,Disbursements!$B:$B,'Colln-Summary'!$A116,Disbursements!$A:$A,"&gt;="&amp;'Colln-Summary'!$G$1,Disbursements!$A:$A,"&lt;="&amp;'Colln-Summary'!$G$2)</f>
        <v>0</v>
      </c>
      <c r="F116" s="353">
        <f>SUMIFS('Live Collections'!$L:$L,'Live Collections'!$D:$D,'Colln-Summary'!$A116,'Live Collections'!$B:$B,"&gt;="&amp;'Colln-Summary'!$G$1,'Live Collections'!$B:$B,"&lt;="&amp;'Colln-Summary'!$G$2)</f>
        <v>0</v>
      </c>
      <c r="G116" s="353">
        <f>SUMIFS('Live Collections'!$M:$M,'Live Collections'!$D:$D,'Colln-Summary'!$A116,'Live Collections'!$B:$B,"&gt;="&amp;'Colln-Summary'!$G$1,'Live Collections'!$B:$B,"&lt;="&amp;'Colln-Summary'!$G$2)</f>
        <v>0</v>
      </c>
      <c r="H116" s="353">
        <f>SUMIFS('Live Collections'!$N:$N,'Live Collections'!$D:$D,'Colln-Summary'!$A116,'Live Collections'!$B:$B,"&gt;="&amp;'Colln-Summary'!$G$1,'Live Collections'!$B:$B,"&lt;="&amp;'Colln-Summary'!$G$2)</f>
        <v>0</v>
      </c>
      <c r="I116" s="353">
        <f>SUMIFS('Live Collections'!$P:$P,'Live Collections'!$D:$D,'Colln-Summary'!$A116,'Live Collections'!$B:$B,"&gt;="&amp;'Colln-Summary'!$G$1,'Live Collections'!$B:$B,"&lt;="&amp;'Colln-Summary'!$G$2)</f>
        <v>0</v>
      </c>
      <c r="J116" s="353">
        <f>SUMIFS('Live Collections'!$O:$O,'Live Collections'!$D:$D,'Colln-Summary'!$A116,'Live Collections'!$B:$B,"&gt;="&amp;'Colln-Summary'!$G$1,'Live Collections'!$B:$B,"&lt;="&amp;'Colln-Summary'!$G$2)</f>
        <v>0</v>
      </c>
      <c r="K116" s="360">
        <f>SUMIFS('Live Collections'!$S:$S,'Live Collections'!$D:$D,'Colln-Summary'!$A116,'Live Collections'!$B:$B,"&gt;="&amp;'Colln-Summary'!$G$1,'Live Collections'!$B:$B,"&lt;="&amp;'Colln-Summary'!$G$2)</f>
        <v>0</v>
      </c>
      <c r="L116" s="360">
        <f>SUMIFS('Live Collections'!$T:$T,'Live Collections'!$D:$D,'Colln-Summary'!$A116,'Live Collections'!$B:$B,"&gt;="&amp;'Colln-Summary'!$G$1,'Live Collections'!$B:$B,"&lt;="&amp;'Colln-Summary'!$G$2)</f>
        <v>0</v>
      </c>
      <c r="M116" s="258">
        <f t="shared" si="2"/>
        <v>0</v>
      </c>
    </row>
    <row r="117" spans="1:13" x14ac:dyDescent="0.2">
      <c r="A117" s="478">
        <v>113</v>
      </c>
      <c r="B117" s="352" t="str">
        <f>IFERROR(VLOOKUP($A117,'Clients-Live'!$A:$C,3,0),"")</f>
        <v>ATIKU AMULE ISAAC</v>
      </c>
      <c r="C117" s="353">
        <f>SUMIFS('Live Collections'!$J:$J,'Live Collections'!$D:$D,'Colln-Summary'!$A117,'Live Collections'!$B:$B,"&gt;="&amp;'Colln-Summary'!$G$1,'Live Collections'!$B:$B,"&lt;="&amp;'Colln-Summary'!$G$2)</f>
        <v>0</v>
      </c>
      <c r="D117" s="353">
        <f>SUMIFS('Live Collections'!$K:$K,'Live Collections'!$D:$D,'Colln-Summary'!$A117,'Live Collections'!$B:$B,"&gt;="&amp;'Colln-Summary'!$G$1,'Live Collections'!$B:$B,"&lt;="&amp;'Colln-Summary'!$G$2)</f>
        <v>0</v>
      </c>
      <c r="E117" s="353">
        <f>SUMIFS(Disbursements!$F:$F,Disbursements!$B:$B,'Colln-Summary'!$A117,Disbursements!$A:$A,"&gt;="&amp;'Colln-Summary'!$G$1,Disbursements!$A:$A,"&lt;="&amp;'Colln-Summary'!$G$2)</f>
        <v>0</v>
      </c>
      <c r="F117" s="353">
        <f>SUMIFS('Live Collections'!$L:$L,'Live Collections'!$D:$D,'Colln-Summary'!$A117,'Live Collections'!$B:$B,"&gt;="&amp;'Colln-Summary'!$G$1,'Live Collections'!$B:$B,"&lt;="&amp;'Colln-Summary'!$G$2)</f>
        <v>0</v>
      </c>
      <c r="G117" s="353">
        <f>SUMIFS('Live Collections'!$M:$M,'Live Collections'!$D:$D,'Colln-Summary'!$A117,'Live Collections'!$B:$B,"&gt;="&amp;'Colln-Summary'!$G$1,'Live Collections'!$B:$B,"&lt;="&amp;'Colln-Summary'!$G$2)</f>
        <v>0</v>
      </c>
      <c r="H117" s="353">
        <f>SUMIFS('Live Collections'!$N:$N,'Live Collections'!$D:$D,'Colln-Summary'!$A117,'Live Collections'!$B:$B,"&gt;="&amp;'Colln-Summary'!$G$1,'Live Collections'!$B:$B,"&lt;="&amp;'Colln-Summary'!$G$2)</f>
        <v>0</v>
      </c>
      <c r="I117" s="353">
        <f>SUMIFS('Live Collections'!$P:$P,'Live Collections'!$D:$D,'Colln-Summary'!$A117,'Live Collections'!$B:$B,"&gt;="&amp;'Colln-Summary'!$G$1,'Live Collections'!$B:$B,"&lt;="&amp;'Colln-Summary'!$G$2)</f>
        <v>0</v>
      </c>
      <c r="J117" s="353">
        <f>SUMIFS('Live Collections'!$O:$O,'Live Collections'!$D:$D,'Colln-Summary'!$A117,'Live Collections'!$B:$B,"&gt;="&amp;'Colln-Summary'!$G$1,'Live Collections'!$B:$B,"&lt;="&amp;'Colln-Summary'!$G$2)</f>
        <v>150000</v>
      </c>
      <c r="K117" s="360">
        <f>SUMIFS('Live Collections'!$S:$S,'Live Collections'!$D:$D,'Colln-Summary'!$A117,'Live Collections'!$B:$B,"&gt;="&amp;'Colln-Summary'!$G$1,'Live Collections'!$B:$B,"&lt;="&amp;'Colln-Summary'!$G$2)</f>
        <v>150000</v>
      </c>
      <c r="L117" s="360">
        <f>SUMIFS('Live Collections'!$T:$T,'Live Collections'!$D:$D,'Colln-Summary'!$A117,'Live Collections'!$B:$B,"&gt;="&amp;'Colln-Summary'!$G$1,'Live Collections'!$B:$B,"&lt;="&amp;'Colln-Summary'!$G$2)</f>
        <v>0</v>
      </c>
      <c r="M117" s="258">
        <f t="shared" si="2"/>
        <v>150000</v>
      </c>
    </row>
    <row r="118" spans="1:13" x14ac:dyDescent="0.2">
      <c r="A118" s="478">
        <v>114</v>
      </c>
      <c r="B118" s="352" t="str">
        <f>IFERROR(VLOOKUP($A118,'Clients-Live'!$A:$C,3,0),"")</f>
        <v>ONZIA EMMILY</v>
      </c>
      <c r="C118" s="353">
        <f>SUMIFS('Live Collections'!$J:$J,'Live Collections'!$D:$D,'Colln-Summary'!$A118,'Live Collections'!$B:$B,"&gt;="&amp;'Colln-Summary'!$G$1,'Live Collections'!$B:$B,"&lt;="&amp;'Colln-Summary'!$G$2)</f>
        <v>0</v>
      </c>
      <c r="D118" s="353">
        <f>SUMIFS('Live Collections'!$K:$K,'Live Collections'!$D:$D,'Colln-Summary'!$A118,'Live Collections'!$B:$B,"&gt;="&amp;'Colln-Summary'!$G$1,'Live Collections'!$B:$B,"&lt;="&amp;'Colln-Summary'!$G$2)</f>
        <v>0</v>
      </c>
      <c r="E118" s="353">
        <f>SUMIFS(Disbursements!$F:$F,Disbursements!$B:$B,'Colln-Summary'!$A118,Disbursements!$A:$A,"&gt;="&amp;'Colln-Summary'!$G$1,Disbursements!$A:$A,"&lt;="&amp;'Colln-Summary'!$G$2)</f>
        <v>0</v>
      </c>
      <c r="F118" s="353">
        <f>SUMIFS('Live Collections'!$L:$L,'Live Collections'!$D:$D,'Colln-Summary'!$A118,'Live Collections'!$B:$B,"&gt;="&amp;'Colln-Summary'!$G$1,'Live Collections'!$B:$B,"&lt;="&amp;'Colln-Summary'!$G$2)</f>
        <v>0</v>
      </c>
      <c r="G118" s="353">
        <f>SUMIFS('Live Collections'!$M:$M,'Live Collections'!$D:$D,'Colln-Summary'!$A118,'Live Collections'!$B:$B,"&gt;="&amp;'Colln-Summary'!$G$1,'Live Collections'!$B:$B,"&lt;="&amp;'Colln-Summary'!$G$2)</f>
        <v>0</v>
      </c>
      <c r="H118" s="353">
        <f>SUMIFS('Live Collections'!$N:$N,'Live Collections'!$D:$D,'Colln-Summary'!$A118,'Live Collections'!$B:$B,"&gt;="&amp;'Colln-Summary'!$G$1,'Live Collections'!$B:$B,"&lt;="&amp;'Colln-Summary'!$G$2)</f>
        <v>0</v>
      </c>
      <c r="I118" s="353">
        <f>SUMIFS('Live Collections'!$P:$P,'Live Collections'!$D:$D,'Colln-Summary'!$A118,'Live Collections'!$B:$B,"&gt;="&amp;'Colln-Summary'!$G$1,'Live Collections'!$B:$B,"&lt;="&amp;'Colln-Summary'!$G$2)</f>
        <v>0</v>
      </c>
      <c r="J118" s="353">
        <f>SUMIFS('Live Collections'!$O:$O,'Live Collections'!$D:$D,'Colln-Summary'!$A118,'Live Collections'!$B:$B,"&gt;="&amp;'Colln-Summary'!$G$1,'Live Collections'!$B:$B,"&lt;="&amp;'Colln-Summary'!$G$2)</f>
        <v>200000</v>
      </c>
      <c r="K118" s="360">
        <f>SUMIFS('Live Collections'!$S:$S,'Live Collections'!$D:$D,'Colln-Summary'!$A118,'Live Collections'!$B:$B,"&gt;="&amp;'Colln-Summary'!$G$1,'Live Collections'!$B:$B,"&lt;="&amp;'Colln-Summary'!$G$2)</f>
        <v>25666.666666666672</v>
      </c>
      <c r="L118" s="360">
        <f>SUMIFS('Live Collections'!$T:$T,'Live Collections'!$D:$D,'Colln-Summary'!$A118,'Live Collections'!$B:$B,"&gt;="&amp;'Colln-Summary'!$G$1,'Live Collections'!$B:$B,"&lt;="&amp;'Colln-Summary'!$G$2)</f>
        <v>174333.33333333331</v>
      </c>
      <c r="M118" s="258">
        <f t="shared" si="2"/>
        <v>200000</v>
      </c>
    </row>
    <row r="119" spans="1:13" x14ac:dyDescent="0.2">
      <c r="A119" s="478">
        <v>115</v>
      </c>
      <c r="B119" s="352" t="str">
        <f>IFERROR(VLOOKUP($A119,'Clients-Live'!$A:$C,3,0),"")</f>
        <v>AYIKE SAUDA</v>
      </c>
      <c r="C119" s="353">
        <f>SUMIFS('Live Collections'!$J:$J,'Live Collections'!$D:$D,'Colln-Summary'!$A119,'Live Collections'!$B:$B,"&gt;="&amp;'Colln-Summary'!$G$1,'Live Collections'!$B:$B,"&lt;="&amp;'Colln-Summary'!$G$2)</f>
        <v>0</v>
      </c>
      <c r="D119" s="353">
        <f>SUMIFS('Live Collections'!$K:$K,'Live Collections'!$D:$D,'Colln-Summary'!$A119,'Live Collections'!$B:$B,"&gt;="&amp;'Colln-Summary'!$G$1,'Live Collections'!$B:$B,"&lt;="&amp;'Colln-Summary'!$G$2)</f>
        <v>0</v>
      </c>
      <c r="E119" s="353">
        <f>SUMIFS(Disbursements!$F:$F,Disbursements!$B:$B,'Colln-Summary'!$A119,Disbursements!$A:$A,"&gt;="&amp;'Colln-Summary'!$G$1,Disbursements!$A:$A,"&lt;="&amp;'Colln-Summary'!$G$2)</f>
        <v>0</v>
      </c>
      <c r="F119" s="353">
        <f>SUMIFS('Live Collections'!$L:$L,'Live Collections'!$D:$D,'Colln-Summary'!$A119,'Live Collections'!$B:$B,"&gt;="&amp;'Colln-Summary'!$G$1,'Live Collections'!$B:$B,"&lt;="&amp;'Colln-Summary'!$G$2)</f>
        <v>0</v>
      </c>
      <c r="G119" s="353">
        <f>SUMIFS('Live Collections'!$M:$M,'Live Collections'!$D:$D,'Colln-Summary'!$A119,'Live Collections'!$B:$B,"&gt;="&amp;'Colln-Summary'!$G$1,'Live Collections'!$B:$B,"&lt;="&amp;'Colln-Summary'!$G$2)</f>
        <v>0</v>
      </c>
      <c r="H119" s="353">
        <f>SUMIFS('Live Collections'!$N:$N,'Live Collections'!$D:$D,'Colln-Summary'!$A119,'Live Collections'!$B:$B,"&gt;="&amp;'Colln-Summary'!$G$1,'Live Collections'!$B:$B,"&lt;="&amp;'Colln-Summary'!$G$2)</f>
        <v>0</v>
      </c>
      <c r="I119" s="353">
        <f>SUMIFS('Live Collections'!$P:$P,'Live Collections'!$D:$D,'Colln-Summary'!$A119,'Live Collections'!$B:$B,"&gt;="&amp;'Colln-Summary'!$G$1,'Live Collections'!$B:$B,"&lt;="&amp;'Colln-Summary'!$G$2)</f>
        <v>-100000</v>
      </c>
      <c r="J119" s="353">
        <f>SUMIFS('Live Collections'!$O:$O,'Live Collections'!$D:$D,'Colln-Summary'!$A119,'Live Collections'!$B:$B,"&gt;="&amp;'Colln-Summary'!$G$1,'Live Collections'!$B:$B,"&lt;="&amp;'Colln-Summary'!$G$2)</f>
        <v>221000</v>
      </c>
      <c r="K119" s="360">
        <f>SUMIFS('Live Collections'!$S:$S,'Live Collections'!$D:$D,'Colln-Summary'!$A119,'Live Collections'!$B:$B,"&gt;="&amp;'Colln-Summary'!$G$1,'Live Collections'!$B:$B,"&lt;="&amp;'Colln-Summary'!$G$2)</f>
        <v>128000.00000000006</v>
      </c>
      <c r="L119" s="360">
        <f>SUMIFS('Live Collections'!$T:$T,'Live Collections'!$D:$D,'Colln-Summary'!$A119,'Live Collections'!$B:$B,"&gt;="&amp;'Colln-Summary'!$G$1,'Live Collections'!$B:$B,"&lt;="&amp;'Colln-Summary'!$G$2)</f>
        <v>92999.999999999942</v>
      </c>
      <c r="M119" s="258">
        <f t="shared" si="2"/>
        <v>121000</v>
      </c>
    </row>
    <row r="120" spans="1:13" x14ac:dyDescent="0.2">
      <c r="A120" s="478">
        <v>116</v>
      </c>
      <c r="B120" s="352" t="str">
        <f>IFERROR(VLOOKUP($A120,'Clients-Live'!$A:$C,3,0),"")</f>
        <v>ONZIA LUCY</v>
      </c>
      <c r="C120" s="353">
        <f>SUMIFS('Live Collections'!$J:$J,'Live Collections'!$D:$D,'Colln-Summary'!$A120,'Live Collections'!$B:$B,"&gt;="&amp;'Colln-Summary'!$G$1,'Live Collections'!$B:$B,"&lt;="&amp;'Colln-Summary'!$G$2)</f>
        <v>0</v>
      </c>
      <c r="D120" s="353">
        <f>SUMIFS('Live Collections'!$K:$K,'Live Collections'!$D:$D,'Colln-Summary'!$A120,'Live Collections'!$B:$B,"&gt;="&amp;'Colln-Summary'!$G$1,'Live Collections'!$B:$B,"&lt;="&amp;'Colln-Summary'!$G$2)</f>
        <v>0</v>
      </c>
      <c r="E120" s="353">
        <f>SUMIFS(Disbursements!$F:$F,Disbursements!$B:$B,'Colln-Summary'!$A120,Disbursements!$A:$A,"&gt;="&amp;'Colln-Summary'!$G$1,Disbursements!$A:$A,"&lt;="&amp;'Colln-Summary'!$G$2)</f>
        <v>0</v>
      </c>
      <c r="F120" s="353">
        <f>SUMIFS('Live Collections'!$L:$L,'Live Collections'!$D:$D,'Colln-Summary'!$A120,'Live Collections'!$B:$B,"&gt;="&amp;'Colln-Summary'!$G$1,'Live Collections'!$B:$B,"&lt;="&amp;'Colln-Summary'!$G$2)</f>
        <v>0</v>
      </c>
      <c r="G120" s="353">
        <f>SUMIFS('Live Collections'!$M:$M,'Live Collections'!$D:$D,'Colln-Summary'!$A120,'Live Collections'!$B:$B,"&gt;="&amp;'Colln-Summary'!$G$1,'Live Collections'!$B:$B,"&lt;="&amp;'Colln-Summary'!$G$2)</f>
        <v>0</v>
      </c>
      <c r="H120" s="353">
        <f>SUMIFS('Live Collections'!$N:$N,'Live Collections'!$D:$D,'Colln-Summary'!$A120,'Live Collections'!$B:$B,"&gt;="&amp;'Colln-Summary'!$G$1,'Live Collections'!$B:$B,"&lt;="&amp;'Colln-Summary'!$G$2)</f>
        <v>0</v>
      </c>
      <c r="I120" s="353">
        <f>SUMIFS('Live Collections'!$P:$P,'Live Collections'!$D:$D,'Colln-Summary'!$A120,'Live Collections'!$B:$B,"&gt;="&amp;'Colln-Summary'!$G$1,'Live Collections'!$B:$B,"&lt;="&amp;'Colln-Summary'!$G$2)</f>
        <v>0</v>
      </c>
      <c r="J120" s="353">
        <f>SUMIFS('Live Collections'!$O:$O,'Live Collections'!$D:$D,'Colln-Summary'!$A120,'Live Collections'!$B:$B,"&gt;="&amp;'Colln-Summary'!$G$1,'Live Collections'!$B:$B,"&lt;="&amp;'Colln-Summary'!$G$2)</f>
        <v>133000</v>
      </c>
      <c r="K120" s="360">
        <f>SUMIFS('Live Collections'!$S:$S,'Live Collections'!$D:$D,'Colln-Summary'!$A120,'Live Collections'!$B:$B,"&gt;="&amp;'Colln-Summary'!$G$1,'Live Collections'!$B:$B,"&lt;="&amp;'Colln-Summary'!$G$2)</f>
        <v>38000</v>
      </c>
      <c r="L120" s="360">
        <f>SUMIFS('Live Collections'!$T:$T,'Live Collections'!$D:$D,'Colln-Summary'!$A120,'Live Collections'!$B:$B,"&gt;="&amp;'Colln-Summary'!$G$1,'Live Collections'!$B:$B,"&lt;="&amp;'Colln-Summary'!$G$2)</f>
        <v>95000</v>
      </c>
      <c r="M120" s="258">
        <f t="shared" si="2"/>
        <v>133000</v>
      </c>
    </row>
    <row r="121" spans="1:13" x14ac:dyDescent="0.2">
      <c r="A121" s="478">
        <v>117</v>
      </c>
      <c r="B121" s="352" t="str">
        <f>IFERROR(VLOOKUP($A121,'Clients-Live'!$A:$C,3,0),"")</f>
        <v>MAWA JACKSON</v>
      </c>
      <c r="C121" s="353">
        <f>SUMIFS('Live Collections'!$J:$J,'Live Collections'!$D:$D,'Colln-Summary'!$A121,'Live Collections'!$B:$B,"&gt;="&amp;'Colln-Summary'!$G$1,'Live Collections'!$B:$B,"&lt;="&amp;'Colln-Summary'!$G$2)</f>
        <v>0</v>
      </c>
      <c r="D121" s="353">
        <f>SUMIFS('Live Collections'!$K:$K,'Live Collections'!$D:$D,'Colln-Summary'!$A121,'Live Collections'!$B:$B,"&gt;="&amp;'Colln-Summary'!$G$1,'Live Collections'!$B:$B,"&lt;="&amp;'Colln-Summary'!$G$2)</f>
        <v>0</v>
      </c>
      <c r="E121" s="353">
        <f>SUMIFS(Disbursements!$F:$F,Disbursements!$B:$B,'Colln-Summary'!$A121,Disbursements!$A:$A,"&gt;="&amp;'Colln-Summary'!$G$1,Disbursements!$A:$A,"&lt;="&amp;'Colln-Summary'!$G$2)</f>
        <v>0</v>
      </c>
      <c r="F121" s="353">
        <f>SUMIFS('Live Collections'!$L:$L,'Live Collections'!$D:$D,'Colln-Summary'!$A121,'Live Collections'!$B:$B,"&gt;="&amp;'Colln-Summary'!$G$1,'Live Collections'!$B:$B,"&lt;="&amp;'Colln-Summary'!$G$2)</f>
        <v>0</v>
      </c>
      <c r="G121" s="353">
        <f>SUMIFS('Live Collections'!$M:$M,'Live Collections'!$D:$D,'Colln-Summary'!$A121,'Live Collections'!$B:$B,"&gt;="&amp;'Colln-Summary'!$G$1,'Live Collections'!$B:$B,"&lt;="&amp;'Colln-Summary'!$G$2)</f>
        <v>0</v>
      </c>
      <c r="H121" s="353">
        <f>SUMIFS('Live Collections'!$N:$N,'Live Collections'!$D:$D,'Colln-Summary'!$A121,'Live Collections'!$B:$B,"&gt;="&amp;'Colln-Summary'!$G$1,'Live Collections'!$B:$B,"&lt;="&amp;'Colln-Summary'!$G$2)</f>
        <v>0</v>
      </c>
      <c r="I121" s="353">
        <f>SUMIFS('Live Collections'!$P:$P,'Live Collections'!$D:$D,'Colln-Summary'!$A121,'Live Collections'!$B:$B,"&gt;="&amp;'Colln-Summary'!$G$1,'Live Collections'!$B:$B,"&lt;="&amp;'Colln-Summary'!$G$2)</f>
        <v>0</v>
      </c>
      <c r="J121" s="353">
        <f>SUMIFS('Live Collections'!$O:$O,'Live Collections'!$D:$D,'Colln-Summary'!$A121,'Live Collections'!$B:$B,"&gt;="&amp;'Colln-Summary'!$G$1,'Live Collections'!$B:$B,"&lt;="&amp;'Colln-Summary'!$G$2)</f>
        <v>0</v>
      </c>
      <c r="K121" s="360">
        <f>SUMIFS('Live Collections'!$S:$S,'Live Collections'!$D:$D,'Colln-Summary'!$A121,'Live Collections'!$B:$B,"&gt;="&amp;'Colln-Summary'!$G$1,'Live Collections'!$B:$B,"&lt;="&amp;'Colln-Summary'!$G$2)</f>
        <v>0</v>
      </c>
      <c r="L121" s="360">
        <f>SUMIFS('Live Collections'!$T:$T,'Live Collections'!$D:$D,'Colln-Summary'!$A121,'Live Collections'!$B:$B,"&gt;="&amp;'Colln-Summary'!$G$1,'Live Collections'!$B:$B,"&lt;="&amp;'Colln-Summary'!$G$2)</f>
        <v>0</v>
      </c>
      <c r="M121" s="258">
        <f t="shared" si="2"/>
        <v>0</v>
      </c>
    </row>
    <row r="122" spans="1:13" x14ac:dyDescent="0.2">
      <c r="A122" s="478">
        <v>118</v>
      </c>
      <c r="B122" s="352" t="str">
        <f>IFERROR(VLOOKUP($A122,'Clients-Live'!$A:$C,3,0),"")</f>
        <v>ONYANGO CHARLES JOGOO</v>
      </c>
      <c r="C122" s="353">
        <f>SUMIFS('Live Collections'!$J:$J,'Live Collections'!$D:$D,'Colln-Summary'!$A122,'Live Collections'!$B:$B,"&gt;="&amp;'Colln-Summary'!$G$1,'Live Collections'!$B:$B,"&lt;="&amp;'Colln-Summary'!$G$2)</f>
        <v>0</v>
      </c>
      <c r="D122" s="353">
        <f>SUMIFS('Live Collections'!$K:$K,'Live Collections'!$D:$D,'Colln-Summary'!$A122,'Live Collections'!$B:$B,"&gt;="&amp;'Colln-Summary'!$G$1,'Live Collections'!$B:$B,"&lt;="&amp;'Colln-Summary'!$G$2)</f>
        <v>0</v>
      </c>
      <c r="E122" s="353">
        <f>SUMIFS(Disbursements!$F:$F,Disbursements!$B:$B,'Colln-Summary'!$A122,Disbursements!$A:$A,"&gt;="&amp;'Colln-Summary'!$G$1,Disbursements!$A:$A,"&lt;="&amp;'Colln-Summary'!$G$2)</f>
        <v>0</v>
      </c>
      <c r="F122" s="353">
        <f>SUMIFS('Live Collections'!$L:$L,'Live Collections'!$D:$D,'Colln-Summary'!$A122,'Live Collections'!$B:$B,"&gt;="&amp;'Colln-Summary'!$G$1,'Live Collections'!$B:$B,"&lt;="&amp;'Colln-Summary'!$G$2)</f>
        <v>0</v>
      </c>
      <c r="G122" s="353">
        <f>SUMIFS('Live Collections'!$M:$M,'Live Collections'!$D:$D,'Colln-Summary'!$A122,'Live Collections'!$B:$B,"&gt;="&amp;'Colln-Summary'!$G$1,'Live Collections'!$B:$B,"&lt;="&amp;'Colln-Summary'!$G$2)</f>
        <v>0</v>
      </c>
      <c r="H122" s="353">
        <f>SUMIFS('Live Collections'!$N:$N,'Live Collections'!$D:$D,'Colln-Summary'!$A122,'Live Collections'!$B:$B,"&gt;="&amp;'Colln-Summary'!$G$1,'Live Collections'!$B:$B,"&lt;="&amp;'Colln-Summary'!$G$2)</f>
        <v>0</v>
      </c>
      <c r="I122" s="353">
        <f>SUMIFS('Live Collections'!$P:$P,'Live Collections'!$D:$D,'Colln-Summary'!$A122,'Live Collections'!$B:$B,"&gt;="&amp;'Colln-Summary'!$G$1,'Live Collections'!$B:$B,"&lt;="&amp;'Colln-Summary'!$G$2)</f>
        <v>0</v>
      </c>
      <c r="J122" s="353">
        <f>SUMIFS('Live Collections'!$O:$O,'Live Collections'!$D:$D,'Colln-Summary'!$A122,'Live Collections'!$B:$B,"&gt;="&amp;'Colln-Summary'!$G$1,'Live Collections'!$B:$B,"&lt;="&amp;'Colln-Summary'!$G$2)</f>
        <v>200000</v>
      </c>
      <c r="K122" s="360">
        <f>SUMIFS('Live Collections'!$S:$S,'Live Collections'!$D:$D,'Colln-Summary'!$A122,'Live Collections'!$B:$B,"&gt;="&amp;'Colln-Summary'!$G$1,'Live Collections'!$B:$B,"&lt;="&amp;'Colln-Summary'!$G$2)</f>
        <v>20666.666666666657</v>
      </c>
      <c r="L122" s="360">
        <f>SUMIFS('Live Collections'!$T:$T,'Live Collections'!$D:$D,'Colln-Summary'!$A122,'Live Collections'!$B:$B,"&gt;="&amp;'Colln-Summary'!$G$1,'Live Collections'!$B:$B,"&lt;="&amp;'Colln-Summary'!$G$2)</f>
        <v>179333.33333333334</v>
      </c>
      <c r="M122" s="258">
        <f t="shared" si="2"/>
        <v>200000</v>
      </c>
    </row>
    <row r="123" spans="1:13" x14ac:dyDescent="0.2">
      <c r="A123" s="478">
        <v>119</v>
      </c>
      <c r="B123" s="352" t="str">
        <f>IFERROR(VLOOKUP($A123,'Clients-Live'!$A:$C,3,0),"")</f>
        <v>STELLA KONGAI</v>
      </c>
      <c r="C123" s="353">
        <f>SUMIFS('Live Collections'!$J:$J,'Live Collections'!$D:$D,'Colln-Summary'!$A123,'Live Collections'!$B:$B,"&gt;="&amp;'Colln-Summary'!$G$1,'Live Collections'!$B:$B,"&lt;="&amp;'Colln-Summary'!$G$2)</f>
        <v>0</v>
      </c>
      <c r="D123" s="353">
        <f>SUMIFS('Live Collections'!$K:$K,'Live Collections'!$D:$D,'Colln-Summary'!$A123,'Live Collections'!$B:$B,"&gt;="&amp;'Colln-Summary'!$G$1,'Live Collections'!$B:$B,"&lt;="&amp;'Colln-Summary'!$G$2)</f>
        <v>0</v>
      </c>
      <c r="E123" s="353">
        <f>SUMIFS(Disbursements!$F:$F,Disbursements!$B:$B,'Colln-Summary'!$A123,Disbursements!$A:$A,"&gt;="&amp;'Colln-Summary'!$G$1,Disbursements!$A:$A,"&lt;="&amp;'Colln-Summary'!$G$2)</f>
        <v>0</v>
      </c>
      <c r="F123" s="353">
        <f>SUMIFS('Live Collections'!$L:$L,'Live Collections'!$D:$D,'Colln-Summary'!$A123,'Live Collections'!$B:$B,"&gt;="&amp;'Colln-Summary'!$G$1,'Live Collections'!$B:$B,"&lt;="&amp;'Colln-Summary'!$G$2)</f>
        <v>0</v>
      </c>
      <c r="G123" s="353">
        <f>SUMIFS('Live Collections'!$M:$M,'Live Collections'!$D:$D,'Colln-Summary'!$A123,'Live Collections'!$B:$B,"&gt;="&amp;'Colln-Summary'!$G$1,'Live Collections'!$B:$B,"&lt;="&amp;'Colln-Summary'!$G$2)</f>
        <v>0</v>
      </c>
      <c r="H123" s="353">
        <f>SUMIFS('Live Collections'!$N:$N,'Live Collections'!$D:$D,'Colln-Summary'!$A123,'Live Collections'!$B:$B,"&gt;="&amp;'Colln-Summary'!$G$1,'Live Collections'!$B:$B,"&lt;="&amp;'Colln-Summary'!$G$2)</f>
        <v>30000</v>
      </c>
      <c r="I123" s="353">
        <f>SUMIFS('Live Collections'!$P:$P,'Live Collections'!$D:$D,'Colln-Summary'!$A123,'Live Collections'!$B:$B,"&gt;="&amp;'Colln-Summary'!$G$1,'Live Collections'!$B:$B,"&lt;="&amp;'Colln-Summary'!$G$2)</f>
        <v>0</v>
      </c>
      <c r="J123" s="353">
        <f>SUMIFS('Live Collections'!$O:$O,'Live Collections'!$D:$D,'Colln-Summary'!$A123,'Live Collections'!$B:$B,"&gt;="&amp;'Colln-Summary'!$G$1,'Live Collections'!$B:$B,"&lt;="&amp;'Colln-Summary'!$G$2)</f>
        <v>580000</v>
      </c>
      <c r="K123" s="360">
        <f>SUMIFS('Live Collections'!$S:$S,'Live Collections'!$D:$D,'Colln-Summary'!$A123,'Live Collections'!$B:$B,"&gt;="&amp;'Colln-Summary'!$G$1,'Live Collections'!$B:$B,"&lt;="&amp;'Colln-Summary'!$G$2)</f>
        <v>0</v>
      </c>
      <c r="L123" s="360">
        <f>SUMIFS('Live Collections'!$T:$T,'Live Collections'!$D:$D,'Colln-Summary'!$A123,'Live Collections'!$B:$B,"&gt;="&amp;'Colln-Summary'!$G$1,'Live Collections'!$B:$B,"&lt;="&amp;'Colln-Summary'!$G$2)</f>
        <v>580000</v>
      </c>
      <c r="M123" s="258">
        <f t="shared" si="2"/>
        <v>610000</v>
      </c>
    </row>
    <row r="124" spans="1:13" x14ac:dyDescent="0.2">
      <c r="A124" s="478">
        <v>120</v>
      </c>
      <c r="B124" s="352" t="str">
        <f>IFERROR(VLOOKUP($A124,'Clients-Live'!$A:$C,3,0),"")</f>
        <v>ALORO SADIKI</v>
      </c>
      <c r="C124" s="353">
        <f>SUMIFS('Live Collections'!$J:$J,'Live Collections'!$D:$D,'Colln-Summary'!$A124,'Live Collections'!$B:$B,"&gt;="&amp;'Colln-Summary'!$G$1,'Live Collections'!$B:$B,"&lt;="&amp;'Colln-Summary'!$G$2)</f>
        <v>0</v>
      </c>
      <c r="D124" s="353">
        <f>SUMIFS('Live Collections'!$K:$K,'Live Collections'!$D:$D,'Colln-Summary'!$A124,'Live Collections'!$B:$B,"&gt;="&amp;'Colln-Summary'!$G$1,'Live Collections'!$B:$B,"&lt;="&amp;'Colln-Summary'!$G$2)</f>
        <v>0</v>
      </c>
      <c r="E124" s="353">
        <f>SUMIFS(Disbursements!$F:$F,Disbursements!$B:$B,'Colln-Summary'!$A124,Disbursements!$A:$A,"&gt;="&amp;'Colln-Summary'!$G$1,Disbursements!$A:$A,"&lt;="&amp;'Colln-Summary'!$G$2)</f>
        <v>0</v>
      </c>
      <c r="F124" s="353">
        <f>SUMIFS('Live Collections'!$L:$L,'Live Collections'!$D:$D,'Colln-Summary'!$A124,'Live Collections'!$B:$B,"&gt;="&amp;'Colln-Summary'!$G$1,'Live Collections'!$B:$B,"&lt;="&amp;'Colln-Summary'!$G$2)</f>
        <v>0</v>
      </c>
      <c r="G124" s="353">
        <f>SUMIFS('Live Collections'!$M:$M,'Live Collections'!$D:$D,'Colln-Summary'!$A124,'Live Collections'!$B:$B,"&gt;="&amp;'Colln-Summary'!$G$1,'Live Collections'!$B:$B,"&lt;="&amp;'Colln-Summary'!$G$2)</f>
        <v>0</v>
      </c>
      <c r="H124" s="353">
        <f>SUMIFS('Live Collections'!$N:$N,'Live Collections'!$D:$D,'Colln-Summary'!$A124,'Live Collections'!$B:$B,"&gt;="&amp;'Colln-Summary'!$G$1,'Live Collections'!$B:$B,"&lt;="&amp;'Colln-Summary'!$G$2)</f>
        <v>0</v>
      </c>
      <c r="I124" s="353">
        <f>SUMIFS('Live Collections'!$P:$P,'Live Collections'!$D:$D,'Colln-Summary'!$A124,'Live Collections'!$B:$B,"&gt;="&amp;'Colln-Summary'!$G$1,'Live Collections'!$B:$B,"&lt;="&amp;'Colln-Summary'!$G$2)</f>
        <v>0</v>
      </c>
      <c r="J124" s="353">
        <f>SUMIFS('Live Collections'!$O:$O,'Live Collections'!$D:$D,'Colln-Summary'!$A124,'Live Collections'!$B:$B,"&gt;="&amp;'Colln-Summary'!$G$1,'Live Collections'!$B:$B,"&lt;="&amp;'Colln-Summary'!$G$2)</f>
        <v>0</v>
      </c>
      <c r="K124" s="360">
        <f>SUMIFS('Live Collections'!$S:$S,'Live Collections'!$D:$D,'Colln-Summary'!$A124,'Live Collections'!$B:$B,"&gt;="&amp;'Colln-Summary'!$G$1,'Live Collections'!$B:$B,"&lt;="&amp;'Colln-Summary'!$G$2)</f>
        <v>0</v>
      </c>
      <c r="L124" s="360">
        <f>SUMIFS('Live Collections'!$T:$T,'Live Collections'!$D:$D,'Colln-Summary'!$A124,'Live Collections'!$B:$B,"&gt;="&amp;'Colln-Summary'!$G$1,'Live Collections'!$B:$B,"&lt;="&amp;'Colln-Summary'!$G$2)</f>
        <v>0</v>
      </c>
      <c r="M124" s="258">
        <f t="shared" si="2"/>
        <v>0</v>
      </c>
    </row>
    <row r="125" spans="1:13" x14ac:dyDescent="0.2">
      <c r="A125" s="478">
        <v>121</v>
      </c>
      <c r="B125" s="352" t="str">
        <f>IFERROR(VLOOKUP($A125,'Clients-Live'!$A:$C,3,0),"")</f>
        <v>AMAYO CHARLES</v>
      </c>
      <c r="C125" s="353">
        <f>SUMIFS('Live Collections'!$J:$J,'Live Collections'!$D:$D,'Colln-Summary'!$A125,'Live Collections'!$B:$B,"&gt;="&amp;'Colln-Summary'!$G$1,'Live Collections'!$B:$B,"&lt;="&amp;'Colln-Summary'!$G$2)</f>
        <v>0</v>
      </c>
      <c r="D125" s="353">
        <f>SUMIFS('Live Collections'!$K:$K,'Live Collections'!$D:$D,'Colln-Summary'!$A125,'Live Collections'!$B:$B,"&gt;="&amp;'Colln-Summary'!$G$1,'Live Collections'!$B:$B,"&lt;="&amp;'Colln-Summary'!$G$2)</f>
        <v>0</v>
      </c>
      <c r="E125" s="353">
        <f>SUMIFS(Disbursements!$F:$F,Disbursements!$B:$B,'Colln-Summary'!$A125,Disbursements!$A:$A,"&gt;="&amp;'Colln-Summary'!$G$1,Disbursements!$A:$A,"&lt;="&amp;'Colln-Summary'!$G$2)</f>
        <v>0</v>
      </c>
      <c r="F125" s="353">
        <f>SUMIFS('Live Collections'!$L:$L,'Live Collections'!$D:$D,'Colln-Summary'!$A125,'Live Collections'!$B:$B,"&gt;="&amp;'Colln-Summary'!$G$1,'Live Collections'!$B:$B,"&lt;="&amp;'Colln-Summary'!$G$2)</f>
        <v>0</v>
      </c>
      <c r="G125" s="353">
        <f>SUMIFS('Live Collections'!$M:$M,'Live Collections'!$D:$D,'Colln-Summary'!$A125,'Live Collections'!$B:$B,"&gt;="&amp;'Colln-Summary'!$G$1,'Live Collections'!$B:$B,"&lt;="&amp;'Colln-Summary'!$G$2)</f>
        <v>0</v>
      </c>
      <c r="H125" s="353">
        <f>SUMIFS('Live Collections'!$N:$N,'Live Collections'!$D:$D,'Colln-Summary'!$A125,'Live Collections'!$B:$B,"&gt;="&amp;'Colln-Summary'!$G$1,'Live Collections'!$B:$B,"&lt;="&amp;'Colln-Summary'!$G$2)</f>
        <v>0</v>
      </c>
      <c r="I125" s="353">
        <f>SUMIFS('Live Collections'!$P:$P,'Live Collections'!$D:$D,'Colln-Summary'!$A125,'Live Collections'!$B:$B,"&gt;="&amp;'Colln-Summary'!$G$1,'Live Collections'!$B:$B,"&lt;="&amp;'Colln-Summary'!$G$2)</f>
        <v>0</v>
      </c>
      <c r="J125" s="353">
        <f>SUMIFS('Live Collections'!$O:$O,'Live Collections'!$D:$D,'Colln-Summary'!$A125,'Live Collections'!$B:$B,"&gt;="&amp;'Colln-Summary'!$G$1,'Live Collections'!$B:$B,"&lt;="&amp;'Colln-Summary'!$G$2)</f>
        <v>120000</v>
      </c>
      <c r="K125" s="360">
        <f>SUMIFS('Live Collections'!$S:$S,'Live Collections'!$D:$D,'Colln-Summary'!$A125,'Live Collections'!$B:$B,"&gt;="&amp;'Colln-Summary'!$G$1,'Live Collections'!$B:$B,"&lt;="&amp;'Colln-Summary'!$G$2)</f>
        <v>0</v>
      </c>
      <c r="L125" s="360">
        <f>SUMIFS('Live Collections'!$T:$T,'Live Collections'!$D:$D,'Colln-Summary'!$A125,'Live Collections'!$B:$B,"&gt;="&amp;'Colln-Summary'!$G$1,'Live Collections'!$B:$B,"&lt;="&amp;'Colln-Summary'!$G$2)</f>
        <v>120000</v>
      </c>
      <c r="M125" s="258">
        <f t="shared" si="2"/>
        <v>120000</v>
      </c>
    </row>
    <row r="126" spans="1:13" x14ac:dyDescent="0.2">
      <c r="A126" s="478">
        <v>122</v>
      </c>
      <c r="B126" s="352" t="str">
        <f>IFERROR(VLOOKUP($A126,'Clients-Live'!$A:$C,3,0),"")</f>
        <v>NABWETEME MILLY</v>
      </c>
      <c r="C126" s="353">
        <f>SUMIFS('Live Collections'!$J:$J,'Live Collections'!$D:$D,'Colln-Summary'!$A126,'Live Collections'!$B:$B,"&gt;="&amp;'Colln-Summary'!$G$1,'Live Collections'!$B:$B,"&lt;="&amp;'Colln-Summary'!$G$2)</f>
        <v>0</v>
      </c>
      <c r="D126" s="353">
        <f>SUMIFS('Live Collections'!$K:$K,'Live Collections'!$D:$D,'Colln-Summary'!$A126,'Live Collections'!$B:$B,"&gt;="&amp;'Colln-Summary'!$G$1,'Live Collections'!$B:$B,"&lt;="&amp;'Colln-Summary'!$G$2)</f>
        <v>0</v>
      </c>
      <c r="E126" s="353">
        <f>SUMIFS(Disbursements!$F:$F,Disbursements!$B:$B,'Colln-Summary'!$A126,Disbursements!$A:$A,"&gt;="&amp;'Colln-Summary'!$G$1,Disbursements!$A:$A,"&lt;="&amp;'Colln-Summary'!$G$2)</f>
        <v>0</v>
      </c>
      <c r="F126" s="353">
        <f>SUMIFS('Live Collections'!$L:$L,'Live Collections'!$D:$D,'Colln-Summary'!$A126,'Live Collections'!$B:$B,"&gt;="&amp;'Colln-Summary'!$G$1,'Live Collections'!$B:$B,"&lt;="&amp;'Colln-Summary'!$G$2)</f>
        <v>0</v>
      </c>
      <c r="G126" s="353">
        <f>SUMIFS('Live Collections'!$M:$M,'Live Collections'!$D:$D,'Colln-Summary'!$A126,'Live Collections'!$B:$B,"&gt;="&amp;'Colln-Summary'!$G$1,'Live Collections'!$B:$B,"&lt;="&amp;'Colln-Summary'!$G$2)</f>
        <v>0</v>
      </c>
      <c r="H126" s="353">
        <f>SUMIFS('Live Collections'!$N:$N,'Live Collections'!$D:$D,'Colln-Summary'!$A126,'Live Collections'!$B:$B,"&gt;="&amp;'Colln-Summary'!$G$1,'Live Collections'!$B:$B,"&lt;="&amp;'Colln-Summary'!$G$2)</f>
        <v>0</v>
      </c>
      <c r="I126" s="353">
        <f>SUMIFS('Live Collections'!$P:$P,'Live Collections'!$D:$D,'Colln-Summary'!$A126,'Live Collections'!$B:$B,"&gt;="&amp;'Colln-Summary'!$G$1,'Live Collections'!$B:$B,"&lt;="&amp;'Colln-Summary'!$G$2)</f>
        <v>0</v>
      </c>
      <c r="J126" s="353">
        <f>SUMIFS('Live Collections'!$O:$O,'Live Collections'!$D:$D,'Colln-Summary'!$A126,'Live Collections'!$B:$B,"&gt;="&amp;'Colln-Summary'!$G$1,'Live Collections'!$B:$B,"&lt;="&amp;'Colln-Summary'!$G$2)</f>
        <v>0</v>
      </c>
      <c r="K126" s="360">
        <f>SUMIFS('Live Collections'!$S:$S,'Live Collections'!$D:$D,'Colln-Summary'!$A126,'Live Collections'!$B:$B,"&gt;="&amp;'Colln-Summary'!$G$1,'Live Collections'!$B:$B,"&lt;="&amp;'Colln-Summary'!$G$2)</f>
        <v>0</v>
      </c>
      <c r="L126" s="360">
        <f>SUMIFS('Live Collections'!$T:$T,'Live Collections'!$D:$D,'Colln-Summary'!$A126,'Live Collections'!$B:$B,"&gt;="&amp;'Colln-Summary'!$G$1,'Live Collections'!$B:$B,"&lt;="&amp;'Colln-Summary'!$G$2)</f>
        <v>0</v>
      </c>
      <c r="M126" s="258">
        <f t="shared" si="2"/>
        <v>0</v>
      </c>
    </row>
    <row r="127" spans="1:13" x14ac:dyDescent="0.2">
      <c r="A127" s="478">
        <v>123</v>
      </c>
      <c r="B127" s="352" t="str">
        <f>IFERROR(VLOOKUP($A127,'Clients-Live'!$A:$C,3,0),"")</f>
        <v>INZIKURU JANET</v>
      </c>
      <c r="C127" s="353">
        <f>SUMIFS('Live Collections'!$J:$J,'Live Collections'!$D:$D,'Colln-Summary'!$A127,'Live Collections'!$B:$B,"&gt;="&amp;'Colln-Summary'!$G$1,'Live Collections'!$B:$B,"&lt;="&amp;'Colln-Summary'!$G$2)</f>
        <v>0</v>
      </c>
      <c r="D127" s="353">
        <f>SUMIFS('Live Collections'!$K:$K,'Live Collections'!$D:$D,'Colln-Summary'!$A127,'Live Collections'!$B:$B,"&gt;="&amp;'Colln-Summary'!$G$1,'Live Collections'!$B:$B,"&lt;="&amp;'Colln-Summary'!$G$2)</f>
        <v>0</v>
      </c>
      <c r="E127" s="353">
        <f>SUMIFS(Disbursements!$F:$F,Disbursements!$B:$B,'Colln-Summary'!$A127,Disbursements!$A:$A,"&gt;="&amp;'Colln-Summary'!$G$1,Disbursements!$A:$A,"&lt;="&amp;'Colln-Summary'!$G$2)</f>
        <v>0</v>
      </c>
      <c r="F127" s="353">
        <f>SUMIFS('Live Collections'!$L:$L,'Live Collections'!$D:$D,'Colln-Summary'!$A127,'Live Collections'!$B:$B,"&gt;="&amp;'Colln-Summary'!$G$1,'Live Collections'!$B:$B,"&lt;="&amp;'Colln-Summary'!$G$2)</f>
        <v>0</v>
      </c>
      <c r="G127" s="353">
        <f>SUMIFS('Live Collections'!$M:$M,'Live Collections'!$D:$D,'Colln-Summary'!$A127,'Live Collections'!$B:$B,"&gt;="&amp;'Colln-Summary'!$G$1,'Live Collections'!$B:$B,"&lt;="&amp;'Colln-Summary'!$G$2)</f>
        <v>0</v>
      </c>
      <c r="H127" s="353">
        <f>SUMIFS('Live Collections'!$N:$N,'Live Collections'!$D:$D,'Colln-Summary'!$A127,'Live Collections'!$B:$B,"&gt;="&amp;'Colln-Summary'!$G$1,'Live Collections'!$B:$B,"&lt;="&amp;'Colln-Summary'!$G$2)</f>
        <v>0</v>
      </c>
      <c r="I127" s="353">
        <f>SUMIFS('Live Collections'!$P:$P,'Live Collections'!$D:$D,'Colln-Summary'!$A127,'Live Collections'!$B:$B,"&gt;="&amp;'Colln-Summary'!$G$1,'Live Collections'!$B:$B,"&lt;="&amp;'Colln-Summary'!$G$2)</f>
        <v>0</v>
      </c>
      <c r="J127" s="353">
        <f>SUMIFS('Live Collections'!$O:$O,'Live Collections'!$D:$D,'Colln-Summary'!$A127,'Live Collections'!$B:$B,"&gt;="&amp;'Colln-Summary'!$G$1,'Live Collections'!$B:$B,"&lt;="&amp;'Colln-Summary'!$G$2)</f>
        <v>0</v>
      </c>
      <c r="K127" s="360">
        <f>SUMIFS('Live Collections'!$S:$S,'Live Collections'!$D:$D,'Colln-Summary'!$A127,'Live Collections'!$B:$B,"&gt;="&amp;'Colln-Summary'!$G$1,'Live Collections'!$B:$B,"&lt;="&amp;'Colln-Summary'!$G$2)</f>
        <v>0</v>
      </c>
      <c r="L127" s="360">
        <f>SUMIFS('Live Collections'!$T:$T,'Live Collections'!$D:$D,'Colln-Summary'!$A127,'Live Collections'!$B:$B,"&gt;="&amp;'Colln-Summary'!$G$1,'Live Collections'!$B:$B,"&lt;="&amp;'Colln-Summary'!$G$2)</f>
        <v>0</v>
      </c>
      <c r="M127" s="258">
        <f t="shared" si="2"/>
        <v>0</v>
      </c>
    </row>
    <row r="128" spans="1:13" x14ac:dyDescent="0.2">
      <c r="A128" s="478">
        <v>124</v>
      </c>
      <c r="B128" s="352" t="str">
        <f>IFERROR(VLOOKUP($A128,'Clients-Live'!$A:$C,3,0),"")</f>
        <v>TIKO ZABIBU</v>
      </c>
      <c r="C128" s="353">
        <f>SUMIFS('Live Collections'!$J:$J,'Live Collections'!$D:$D,'Colln-Summary'!$A128,'Live Collections'!$B:$B,"&gt;="&amp;'Colln-Summary'!$G$1,'Live Collections'!$B:$B,"&lt;="&amp;'Colln-Summary'!$G$2)</f>
        <v>0</v>
      </c>
      <c r="D128" s="353">
        <f>SUMIFS('Live Collections'!$K:$K,'Live Collections'!$D:$D,'Colln-Summary'!$A128,'Live Collections'!$B:$B,"&gt;="&amp;'Colln-Summary'!$G$1,'Live Collections'!$B:$B,"&lt;="&amp;'Colln-Summary'!$G$2)</f>
        <v>0</v>
      </c>
      <c r="E128" s="353">
        <f>SUMIFS(Disbursements!$F:$F,Disbursements!$B:$B,'Colln-Summary'!$A128,Disbursements!$A:$A,"&gt;="&amp;'Colln-Summary'!$G$1,Disbursements!$A:$A,"&lt;="&amp;'Colln-Summary'!$G$2)</f>
        <v>0</v>
      </c>
      <c r="F128" s="353">
        <f>SUMIFS('Live Collections'!$L:$L,'Live Collections'!$D:$D,'Colln-Summary'!$A128,'Live Collections'!$B:$B,"&gt;="&amp;'Colln-Summary'!$G$1,'Live Collections'!$B:$B,"&lt;="&amp;'Colln-Summary'!$G$2)</f>
        <v>0</v>
      </c>
      <c r="G128" s="353">
        <f>SUMIFS('Live Collections'!$M:$M,'Live Collections'!$D:$D,'Colln-Summary'!$A128,'Live Collections'!$B:$B,"&gt;="&amp;'Colln-Summary'!$G$1,'Live Collections'!$B:$B,"&lt;="&amp;'Colln-Summary'!$G$2)</f>
        <v>0</v>
      </c>
      <c r="H128" s="353">
        <f>SUMIFS('Live Collections'!$N:$N,'Live Collections'!$D:$D,'Colln-Summary'!$A128,'Live Collections'!$B:$B,"&gt;="&amp;'Colln-Summary'!$G$1,'Live Collections'!$B:$B,"&lt;="&amp;'Colln-Summary'!$G$2)</f>
        <v>0</v>
      </c>
      <c r="I128" s="353">
        <f>SUMIFS('Live Collections'!$P:$P,'Live Collections'!$D:$D,'Colln-Summary'!$A128,'Live Collections'!$B:$B,"&gt;="&amp;'Colln-Summary'!$G$1,'Live Collections'!$B:$B,"&lt;="&amp;'Colln-Summary'!$G$2)</f>
        <v>0</v>
      </c>
      <c r="J128" s="353">
        <f>SUMIFS('Live Collections'!$O:$O,'Live Collections'!$D:$D,'Colln-Summary'!$A128,'Live Collections'!$B:$B,"&gt;="&amp;'Colln-Summary'!$G$1,'Live Collections'!$B:$B,"&lt;="&amp;'Colln-Summary'!$G$2)</f>
        <v>160000</v>
      </c>
      <c r="K128" s="360">
        <f>SUMIFS('Live Collections'!$S:$S,'Live Collections'!$D:$D,'Colln-Summary'!$A128,'Live Collections'!$B:$B,"&gt;="&amp;'Colln-Summary'!$G$1,'Live Collections'!$B:$B,"&lt;="&amp;'Colln-Summary'!$G$2)</f>
        <v>15000</v>
      </c>
      <c r="L128" s="360">
        <f>SUMIFS('Live Collections'!$T:$T,'Live Collections'!$D:$D,'Colln-Summary'!$A128,'Live Collections'!$B:$B,"&gt;="&amp;'Colln-Summary'!$G$1,'Live Collections'!$B:$B,"&lt;="&amp;'Colln-Summary'!$G$2)</f>
        <v>145000</v>
      </c>
      <c r="M128" s="258">
        <f t="shared" si="2"/>
        <v>160000</v>
      </c>
    </row>
    <row r="129" spans="1:13" x14ac:dyDescent="0.2">
      <c r="A129" s="478">
        <v>125</v>
      </c>
      <c r="B129" s="352" t="str">
        <f>IFERROR(VLOOKUP($A129,'Clients-Live'!$A:$C,3,0),"")</f>
        <v>SUNDAY SCOVIA</v>
      </c>
      <c r="C129" s="353">
        <f>SUMIFS('Live Collections'!$J:$J,'Live Collections'!$D:$D,'Colln-Summary'!$A129,'Live Collections'!$B:$B,"&gt;="&amp;'Colln-Summary'!$G$1,'Live Collections'!$B:$B,"&lt;="&amp;'Colln-Summary'!$G$2)</f>
        <v>0</v>
      </c>
      <c r="D129" s="353">
        <f>SUMIFS('Live Collections'!$K:$K,'Live Collections'!$D:$D,'Colln-Summary'!$A129,'Live Collections'!$B:$B,"&gt;="&amp;'Colln-Summary'!$G$1,'Live Collections'!$B:$B,"&lt;="&amp;'Colln-Summary'!$G$2)</f>
        <v>0</v>
      </c>
      <c r="E129" s="353">
        <f>SUMIFS(Disbursements!$F:$F,Disbursements!$B:$B,'Colln-Summary'!$A129,Disbursements!$A:$A,"&gt;="&amp;'Colln-Summary'!$G$1,Disbursements!$A:$A,"&lt;="&amp;'Colln-Summary'!$G$2)</f>
        <v>0</v>
      </c>
      <c r="F129" s="353">
        <f>SUMIFS('Live Collections'!$L:$L,'Live Collections'!$D:$D,'Colln-Summary'!$A129,'Live Collections'!$B:$B,"&gt;="&amp;'Colln-Summary'!$G$1,'Live Collections'!$B:$B,"&lt;="&amp;'Colln-Summary'!$G$2)</f>
        <v>0</v>
      </c>
      <c r="G129" s="353">
        <f>SUMIFS('Live Collections'!$M:$M,'Live Collections'!$D:$D,'Colln-Summary'!$A129,'Live Collections'!$B:$B,"&gt;="&amp;'Colln-Summary'!$G$1,'Live Collections'!$B:$B,"&lt;="&amp;'Colln-Summary'!$G$2)</f>
        <v>0</v>
      </c>
      <c r="H129" s="353">
        <f>SUMIFS('Live Collections'!$N:$N,'Live Collections'!$D:$D,'Colln-Summary'!$A129,'Live Collections'!$B:$B,"&gt;="&amp;'Colln-Summary'!$G$1,'Live Collections'!$B:$B,"&lt;="&amp;'Colln-Summary'!$G$2)</f>
        <v>0</v>
      </c>
      <c r="I129" s="353">
        <f>SUMIFS('Live Collections'!$P:$P,'Live Collections'!$D:$D,'Colln-Summary'!$A129,'Live Collections'!$B:$B,"&gt;="&amp;'Colln-Summary'!$G$1,'Live Collections'!$B:$B,"&lt;="&amp;'Colln-Summary'!$G$2)</f>
        <v>0</v>
      </c>
      <c r="J129" s="353">
        <f>SUMIFS('Live Collections'!$O:$O,'Live Collections'!$D:$D,'Colln-Summary'!$A129,'Live Collections'!$B:$B,"&gt;="&amp;'Colln-Summary'!$G$1,'Live Collections'!$B:$B,"&lt;="&amp;'Colln-Summary'!$G$2)</f>
        <v>0</v>
      </c>
      <c r="K129" s="360">
        <f>SUMIFS('Live Collections'!$S:$S,'Live Collections'!$D:$D,'Colln-Summary'!$A129,'Live Collections'!$B:$B,"&gt;="&amp;'Colln-Summary'!$G$1,'Live Collections'!$B:$B,"&lt;="&amp;'Colln-Summary'!$G$2)</f>
        <v>0</v>
      </c>
      <c r="L129" s="360">
        <f>SUMIFS('Live Collections'!$T:$T,'Live Collections'!$D:$D,'Colln-Summary'!$A129,'Live Collections'!$B:$B,"&gt;="&amp;'Colln-Summary'!$G$1,'Live Collections'!$B:$B,"&lt;="&amp;'Colln-Summary'!$G$2)</f>
        <v>0</v>
      </c>
      <c r="M129" s="258">
        <f t="shared" si="2"/>
        <v>0</v>
      </c>
    </row>
    <row r="130" spans="1:13" x14ac:dyDescent="0.2">
      <c r="A130" s="478">
        <v>126</v>
      </c>
      <c r="B130" s="352" t="str">
        <f>IFERROR(VLOOKUP($A130,'Clients-Live'!$A:$C,3,0),"")</f>
        <v>OGWAL STEPHEN GERALD</v>
      </c>
      <c r="C130" s="353">
        <f>SUMIFS('Live Collections'!$J:$J,'Live Collections'!$D:$D,'Colln-Summary'!$A130,'Live Collections'!$B:$B,"&gt;="&amp;'Colln-Summary'!$G$1,'Live Collections'!$B:$B,"&lt;="&amp;'Colln-Summary'!$G$2)</f>
        <v>0</v>
      </c>
      <c r="D130" s="353">
        <f>SUMIFS('Live Collections'!$K:$K,'Live Collections'!$D:$D,'Colln-Summary'!$A130,'Live Collections'!$B:$B,"&gt;="&amp;'Colln-Summary'!$G$1,'Live Collections'!$B:$B,"&lt;="&amp;'Colln-Summary'!$G$2)</f>
        <v>0</v>
      </c>
      <c r="E130" s="353">
        <f>SUMIFS(Disbursements!$F:$F,Disbursements!$B:$B,'Colln-Summary'!$A130,Disbursements!$A:$A,"&gt;="&amp;'Colln-Summary'!$G$1,Disbursements!$A:$A,"&lt;="&amp;'Colln-Summary'!$G$2)</f>
        <v>0</v>
      </c>
      <c r="F130" s="353">
        <f>SUMIFS('Live Collections'!$L:$L,'Live Collections'!$D:$D,'Colln-Summary'!$A130,'Live Collections'!$B:$B,"&gt;="&amp;'Colln-Summary'!$G$1,'Live Collections'!$B:$B,"&lt;="&amp;'Colln-Summary'!$G$2)</f>
        <v>0</v>
      </c>
      <c r="G130" s="353">
        <f>SUMIFS('Live Collections'!$M:$M,'Live Collections'!$D:$D,'Colln-Summary'!$A130,'Live Collections'!$B:$B,"&gt;="&amp;'Colln-Summary'!$G$1,'Live Collections'!$B:$B,"&lt;="&amp;'Colln-Summary'!$G$2)</f>
        <v>0</v>
      </c>
      <c r="H130" s="353">
        <f>SUMIFS('Live Collections'!$N:$N,'Live Collections'!$D:$D,'Colln-Summary'!$A130,'Live Collections'!$B:$B,"&gt;="&amp;'Colln-Summary'!$G$1,'Live Collections'!$B:$B,"&lt;="&amp;'Colln-Summary'!$G$2)</f>
        <v>0</v>
      </c>
      <c r="I130" s="353">
        <f>SUMIFS('Live Collections'!$P:$P,'Live Collections'!$D:$D,'Colln-Summary'!$A130,'Live Collections'!$B:$B,"&gt;="&amp;'Colln-Summary'!$G$1,'Live Collections'!$B:$B,"&lt;="&amp;'Colln-Summary'!$G$2)</f>
        <v>0</v>
      </c>
      <c r="J130" s="353">
        <f>SUMIFS('Live Collections'!$O:$O,'Live Collections'!$D:$D,'Colln-Summary'!$A130,'Live Collections'!$B:$B,"&gt;="&amp;'Colln-Summary'!$G$1,'Live Collections'!$B:$B,"&lt;="&amp;'Colln-Summary'!$G$2)</f>
        <v>1075500</v>
      </c>
      <c r="K130" s="360">
        <f>SUMIFS('Live Collections'!$S:$S,'Live Collections'!$D:$D,'Colln-Summary'!$A130,'Live Collections'!$B:$B,"&gt;="&amp;'Colln-Summary'!$G$1,'Live Collections'!$B:$B,"&lt;="&amp;'Colln-Summary'!$G$2)</f>
        <v>313333.33333333331</v>
      </c>
      <c r="L130" s="360">
        <f>SUMIFS('Live Collections'!$T:$T,'Live Collections'!$D:$D,'Colln-Summary'!$A130,'Live Collections'!$B:$B,"&gt;="&amp;'Colln-Summary'!$G$1,'Live Collections'!$B:$B,"&lt;="&amp;'Colln-Summary'!$G$2)</f>
        <v>762166.66666666674</v>
      </c>
      <c r="M130" s="258">
        <f t="shared" si="2"/>
        <v>1075500</v>
      </c>
    </row>
    <row r="131" spans="1:13" x14ac:dyDescent="0.2">
      <c r="A131" s="478">
        <v>127</v>
      </c>
      <c r="B131" s="352" t="str">
        <f>IFERROR(VLOOKUP($A131,'Clients-Live'!$A:$C,3,0),"")</f>
        <v>TIKO RUKIA</v>
      </c>
      <c r="C131" s="353">
        <f>SUMIFS('Live Collections'!$J:$J,'Live Collections'!$D:$D,'Colln-Summary'!$A131,'Live Collections'!$B:$B,"&gt;="&amp;'Colln-Summary'!$G$1,'Live Collections'!$B:$B,"&lt;="&amp;'Colln-Summary'!$G$2)</f>
        <v>0</v>
      </c>
      <c r="D131" s="353">
        <f>SUMIFS('Live Collections'!$K:$K,'Live Collections'!$D:$D,'Colln-Summary'!$A131,'Live Collections'!$B:$B,"&gt;="&amp;'Colln-Summary'!$G$1,'Live Collections'!$B:$B,"&lt;="&amp;'Colln-Summary'!$G$2)</f>
        <v>0</v>
      </c>
      <c r="E131" s="353">
        <f>SUMIFS(Disbursements!$F:$F,Disbursements!$B:$B,'Colln-Summary'!$A131,Disbursements!$A:$A,"&gt;="&amp;'Colln-Summary'!$G$1,Disbursements!$A:$A,"&lt;="&amp;'Colln-Summary'!$G$2)</f>
        <v>0</v>
      </c>
      <c r="F131" s="353">
        <f>SUMIFS('Live Collections'!$L:$L,'Live Collections'!$D:$D,'Colln-Summary'!$A131,'Live Collections'!$B:$B,"&gt;="&amp;'Colln-Summary'!$G$1,'Live Collections'!$B:$B,"&lt;="&amp;'Colln-Summary'!$G$2)</f>
        <v>0</v>
      </c>
      <c r="G131" s="353">
        <f>SUMIFS('Live Collections'!$M:$M,'Live Collections'!$D:$D,'Colln-Summary'!$A131,'Live Collections'!$B:$B,"&gt;="&amp;'Colln-Summary'!$G$1,'Live Collections'!$B:$B,"&lt;="&amp;'Colln-Summary'!$G$2)</f>
        <v>0</v>
      </c>
      <c r="H131" s="353">
        <f>SUMIFS('Live Collections'!$N:$N,'Live Collections'!$D:$D,'Colln-Summary'!$A131,'Live Collections'!$B:$B,"&gt;="&amp;'Colln-Summary'!$G$1,'Live Collections'!$B:$B,"&lt;="&amp;'Colln-Summary'!$G$2)</f>
        <v>0</v>
      </c>
      <c r="I131" s="353">
        <f>SUMIFS('Live Collections'!$P:$P,'Live Collections'!$D:$D,'Colln-Summary'!$A131,'Live Collections'!$B:$B,"&gt;="&amp;'Colln-Summary'!$G$1,'Live Collections'!$B:$B,"&lt;="&amp;'Colln-Summary'!$G$2)</f>
        <v>0</v>
      </c>
      <c r="J131" s="353">
        <f>SUMIFS('Live Collections'!$O:$O,'Live Collections'!$D:$D,'Colln-Summary'!$A131,'Live Collections'!$B:$B,"&gt;="&amp;'Colln-Summary'!$G$1,'Live Collections'!$B:$B,"&lt;="&amp;'Colln-Summary'!$G$2)</f>
        <v>20000</v>
      </c>
      <c r="K131" s="360">
        <f>SUMIFS('Live Collections'!$S:$S,'Live Collections'!$D:$D,'Colln-Summary'!$A131,'Live Collections'!$B:$B,"&gt;="&amp;'Colln-Summary'!$G$1,'Live Collections'!$B:$B,"&lt;="&amp;'Colln-Summary'!$G$2)</f>
        <v>0</v>
      </c>
      <c r="L131" s="360">
        <f>SUMIFS('Live Collections'!$T:$T,'Live Collections'!$D:$D,'Colln-Summary'!$A131,'Live Collections'!$B:$B,"&gt;="&amp;'Colln-Summary'!$G$1,'Live Collections'!$B:$B,"&lt;="&amp;'Colln-Summary'!$G$2)</f>
        <v>20000</v>
      </c>
      <c r="M131" s="258">
        <f t="shared" si="2"/>
        <v>20000</v>
      </c>
    </row>
    <row r="132" spans="1:13" x14ac:dyDescent="0.2">
      <c r="A132" s="478">
        <v>128</v>
      </c>
      <c r="B132" s="352" t="str">
        <f>IFERROR(VLOOKUP($A132,'Clients-Live'!$A:$C,3,0),"")</f>
        <v>AJONYE BETTY</v>
      </c>
      <c r="C132" s="353">
        <f>SUMIFS('Live Collections'!$J:$J,'Live Collections'!$D:$D,'Colln-Summary'!$A132,'Live Collections'!$B:$B,"&gt;="&amp;'Colln-Summary'!$G$1,'Live Collections'!$B:$B,"&lt;="&amp;'Colln-Summary'!$G$2)</f>
        <v>0</v>
      </c>
      <c r="D132" s="353">
        <f>SUMIFS('Live Collections'!$K:$K,'Live Collections'!$D:$D,'Colln-Summary'!$A132,'Live Collections'!$B:$B,"&gt;="&amp;'Colln-Summary'!$G$1,'Live Collections'!$B:$B,"&lt;="&amp;'Colln-Summary'!$G$2)</f>
        <v>0</v>
      </c>
      <c r="E132" s="353">
        <f>SUMIFS(Disbursements!$F:$F,Disbursements!$B:$B,'Colln-Summary'!$A132,Disbursements!$A:$A,"&gt;="&amp;'Colln-Summary'!$G$1,Disbursements!$A:$A,"&lt;="&amp;'Colln-Summary'!$G$2)</f>
        <v>0</v>
      </c>
      <c r="F132" s="353">
        <f>SUMIFS('Live Collections'!$L:$L,'Live Collections'!$D:$D,'Colln-Summary'!$A132,'Live Collections'!$B:$B,"&gt;="&amp;'Colln-Summary'!$G$1,'Live Collections'!$B:$B,"&lt;="&amp;'Colln-Summary'!$G$2)</f>
        <v>0</v>
      </c>
      <c r="G132" s="353">
        <f>SUMIFS('Live Collections'!$M:$M,'Live Collections'!$D:$D,'Colln-Summary'!$A132,'Live Collections'!$B:$B,"&gt;="&amp;'Colln-Summary'!$G$1,'Live Collections'!$B:$B,"&lt;="&amp;'Colln-Summary'!$G$2)</f>
        <v>0</v>
      </c>
      <c r="H132" s="353">
        <f>SUMIFS('Live Collections'!$N:$N,'Live Collections'!$D:$D,'Colln-Summary'!$A132,'Live Collections'!$B:$B,"&gt;="&amp;'Colln-Summary'!$G$1,'Live Collections'!$B:$B,"&lt;="&amp;'Colln-Summary'!$G$2)</f>
        <v>0</v>
      </c>
      <c r="I132" s="353">
        <f>SUMIFS('Live Collections'!$P:$P,'Live Collections'!$D:$D,'Colln-Summary'!$A132,'Live Collections'!$B:$B,"&gt;="&amp;'Colln-Summary'!$G$1,'Live Collections'!$B:$B,"&lt;="&amp;'Colln-Summary'!$G$2)</f>
        <v>0</v>
      </c>
      <c r="J132" s="353">
        <f>SUMIFS('Live Collections'!$O:$O,'Live Collections'!$D:$D,'Colln-Summary'!$A132,'Live Collections'!$B:$B,"&gt;="&amp;'Colln-Summary'!$G$1,'Live Collections'!$B:$B,"&lt;="&amp;'Colln-Summary'!$G$2)</f>
        <v>50000</v>
      </c>
      <c r="K132" s="360">
        <f>SUMIFS('Live Collections'!$S:$S,'Live Collections'!$D:$D,'Colln-Summary'!$A132,'Live Collections'!$B:$B,"&gt;="&amp;'Colln-Summary'!$G$1,'Live Collections'!$B:$B,"&lt;="&amp;'Colln-Summary'!$G$2)</f>
        <v>9000</v>
      </c>
      <c r="L132" s="360">
        <f>SUMIFS('Live Collections'!$T:$T,'Live Collections'!$D:$D,'Colln-Summary'!$A132,'Live Collections'!$B:$B,"&gt;="&amp;'Colln-Summary'!$G$1,'Live Collections'!$B:$B,"&lt;="&amp;'Colln-Summary'!$G$2)</f>
        <v>41000</v>
      </c>
      <c r="M132" s="258">
        <f t="shared" si="2"/>
        <v>50000</v>
      </c>
    </row>
    <row r="133" spans="1:13" x14ac:dyDescent="0.2">
      <c r="A133" s="478">
        <v>129</v>
      </c>
      <c r="B133" s="352" t="str">
        <f>IFERROR(VLOOKUP($A133,'Clients-Live'!$A:$C,3,0),"")</f>
        <v>BAKO ASINA</v>
      </c>
      <c r="C133" s="353">
        <f>SUMIFS('Live Collections'!$J:$J,'Live Collections'!$D:$D,'Colln-Summary'!$A133,'Live Collections'!$B:$B,"&gt;="&amp;'Colln-Summary'!$G$1,'Live Collections'!$B:$B,"&lt;="&amp;'Colln-Summary'!$G$2)</f>
        <v>0</v>
      </c>
      <c r="D133" s="353">
        <f>SUMIFS('Live Collections'!$K:$K,'Live Collections'!$D:$D,'Colln-Summary'!$A133,'Live Collections'!$B:$B,"&gt;="&amp;'Colln-Summary'!$G$1,'Live Collections'!$B:$B,"&lt;="&amp;'Colln-Summary'!$G$2)</f>
        <v>0</v>
      </c>
      <c r="E133" s="353">
        <f>SUMIFS(Disbursements!$F:$F,Disbursements!$B:$B,'Colln-Summary'!$A133,Disbursements!$A:$A,"&gt;="&amp;'Colln-Summary'!$G$1,Disbursements!$A:$A,"&lt;="&amp;'Colln-Summary'!$G$2)</f>
        <v>3000000</v>
      </c>
      <c r="F133" s="353">
        <f>SUMIFS('Live Collections'!$L:$L,'Live Collections'!$D:$D,'Colln-Summary'!$A133,'Live Collections'!$B:$B,"&gt;="&amp;'Colln-Summary'!$G$1,'Live Collections'!$B:$B,"&lt;="&amp;'Colln-Summary'!$G$2)</f>
        <v>30000</v>
      </c>
      <c r="G133" s="353">
        <f>SUMIFS('Live Collections'!$M:$M,'Live Collections'!$D:$D,'Colln-Summary'!$A133,'Live Collections'!$B:$B,"&gt;="&amp;'Colln-Summary'!$G$1,'Live Collections'!$B:$B,"&lt;="&amp;'Colln-Summary'!$G$2)</f>
        <v>5000</v>
      </c>
      <c r="H133" s="353">
        <f>SUMIFS('Live Collections'!$N:$N,'Live Collections'!$D:$D,'Colln-Summary'!$A133,'Live Collections'!$B:$B,"&gt;="&amp;'Colln-Summary'!$G$1,'Live Collections'!$B:$B,"&lt;="&amp;'Colln-Summary'!$G$2)</f>
        <v>0</v>
      </c>
      <c r="I133" s="353">
        <f>SUMIFS('Live Collections'!$P:$P,'Live Collections'!$D:$D,'Colln-Summary'!$A133,'Live Collections'!$B:$B,"&gt;="&amp;'Colln-Summary'!$G$1,'Live Collections'!$B:$B,"&lt;="&amp;'Colln-Summary'!$G$2)</f>
        <v>100000</v>
      </c>
      <c r="J133" s="353">
        <f>SUMIFS('Live Collections'!$O:$O,'Live Collections'!$D:$D,'Colln-Summary'!$A133,'Live Collections'!$B:$B,"&gt;="&amp;'Colln-Summary'!$G$1,'Live Collections'!$B:$B,"&lt;="&amp;'Colln-Summary'!$G$2)</f>
        <v>1100000</v>
      </c>
      <c r="K133" s="360">
        <f>SUMIFS('Live Collections'!$S:$S,'Live Collections'!$D:$D,'Colln-Summary'!$A133,'Live Collections'!$B:$B,"&gt;="&amp;'Colln-Summary'!$G$1,'Live Collections'!$B:$B,"&lt;="&amp;'Colln-Summary'!$G$2)</f>
        <v>175000</v>
      </c>
      <c r="L133" s="360">
        <f>SUMIFS('Live Collections'!$T:$T,'Live Collections'!$D:$D,'Colln-Summary'!$A133,'Live Collections'!$B:$B,"&gt;="&amp;'Colln-Summary'!$G$1,'Live Collections'!$B:$B,"&lt;="&amp;'Colln-Summary'!$G$2)</f>
        <v>925000</v>
      </c>
      <c r="M133" s="258">
        <f t="shared" si="2"/>
        <v>4235000</v>
      </c>
    </row>
    <row r="134" spans="1:13" x14ac:dyDescent="0.2">
      <c r="A134" s="478">
        <v>130</v>
      </c>
      <c r="B134" s="352" t="str">
        <f>IFERROR(VLOOKUP($A134,'Clients-Live'!$A:$C,3,0),"")</f>
        <v>AYILE JOHN MAX</v>
      </c>
      <c r="C134" s="353">
        <f>SUMIFS('Live Collections'!$J:$J,'Live Collections'!$D:$D,'Colln-Summary'!$A134,'Live Collections'!$B:$B,"&gt;="&amp;'Colln-Summary'!$G$1,'Live Collections'!$B:$B,"&lt;="&amp;'Colln-Summary'!$G$2)</f>
        <v>0</v>
      </c>
      <c r="D134" s="353">
        <f>SUMIFS('Live Collections'!$K:$K,'Live Collections'!$D:$D,'Colln-Summary'!$A134,'Live Collections'!$B:$B,"&gt;="&amp;'Colln-Summary'!$G$1,'Live Collections'!$B:$B,"&lt;="&amp;'Colln-Summary'!$G$2)</f>
        <v>0</v>
      </c>
      <c r="E134" s="353">
        <f>SUMIFS(Disbursements!$F:$F,Disbursements!$B:$B,'Colln-Summary'!$A134,Disbursements!$A:$A,"&gt;="&amp;'Colln-Summary'!$G$1,Disbursements!$A:$A,"&lt;="&amp;'Colln-Summary'!$G$2)</f>
        <v>0</v>
      </c>
      <c r="F134" s="353">
        <f>SUMIFS('Live Collections'!$L:$L,'Live Collections'!$D:$D,'Colln-Summary'!$A134,'Live Collections'!$B:$B,"&gt;="&amp;'Colln-Summary'!$G$1,'Live Collections'!$B:$B,"&lt;="&amp;'Colln-Summary'!$G$2)</f>
        <v>0</v>
      </c>
      <c r="G134" s="353">
        <f>SUMIFS('Live Collections'!$M:$M,'Live Collections'!$D:$D,'Colln-Summary'!$A134,'Live Collections'!$B:$B,"&gt;="&amp;'Colln-Summary'!$G$1,'Live Collections'!$B:$B,"&lt;="&amp;'Colln-Summary'!$G$2)</f>
        <v>0</v>
      </c>
      <c r="H134" s="353">
        <f>SUMIFS('Live Collections'!$N:$N,'Live Collections'!$D:$D,'Colln-Summary'!$A134,'Live Collections'!$B:$B,"&gt;="&amp;'Colln-Summary'!$G$1,'Live Collections'!$B:$B,"&lt;="&amp;'Colln-Summary'!$G$2)</f>
        <v>0</v>
      </c>
      <c r="I134" s="353">
        <f>SUMIFS('Live Collections'!$P:$P,'Live Collections'!$D:$D,'Colln-Summary'!$A134,'Live Collections'!$B:$B,"&gt;="&amp;'Colln-Summary'!$G$1,'Live Collections'!$B:$B,"&lt;="&amp;'Colln-Summary'!$G$2)</f>
        <v>0</v>
      </c>
      <c r="J134" s="353">
        <f>SUMIFS('Live Collections'!$O:$O,'Live Collections'!$D:$D,'Colln-Summary'!$A134,'Live Collections'!$B:$B,"&gt;="&amp;'Colln-Summary'!$G$1,'Live Collections'!$B:$B,"&lt;="&amp;'Colln-Summary'!$G$2)</f>
        <v>0</v>
      </c>
      <c r="K134" s="360">
        <f>SUMIFS('Live Collections'!$S:$S,'Live Collections'!$D:$D,'Colln-Summary'!$A134,'Live Collections'!$B:$B,"&gt;="&amp;'Colln-Summary'!$G$1,'Live Collections'!$B:$B,"&lt;="&amp;'Colln-Summary'!$G$2)</f>
        <v>0</v>
      </c>
      <c r="L134" s="360">
        <f>SUMIFS('Live Collections'!$T:$T,'Live Collections'!$D:$D,'Colln-Summary'!$A134,'Live Collections'!$B:$B,"&gt;="&amp;'Colln-Summary'!$G$1,'Live Collections'!$B:$B,"&lt;="&amp;'Colln-Summary'!$G$2)</f>
        <v>0</v>
      </c>
      <c r="M134" s="258">
        <f t="shared" ref="M134:M197" si="3">SUM(C134:J134)</f>
        <v>0</v>
      </c>
    </row>
    <row r="135" spans="1:13" x14ac:dyDescent="0.2">
      <c r="A135" s="478">
        <v>131</v>
      </c>
      <c r="B135" s="352" t="str">
        <f>IFERROR(VLOOKUP($A135,'Clients-Live'!$A:$C,3,0),"")</f>
        <v>CANDIRU ZAKIA</v>
      </c>
      <c r="C135" s="353">
        <f>SUMIFS('Live Collections'!$J:$J,'Live Collections'!$D:$D,'Colln-Summary'!$A135,'Live Collections'!$B:$B,"&gt;="&amp;'Colln-Summary'!$G$1,'Live Collections'!$B:$B,"&lt;="&amp;'Colln-Summary'!$G$2)</f>
        <v>0</v>
      </c>
      <c r="D135" s="353">
        <f>SUMIFS('Live Collections'!$K:$K,'Live Collections'!$D:$D,'Colln-Summary'!$A135,'Live Collections'!$B:$B,"&gt;="&amp;'Colln-Summary'!$G$1,'Live Collections'!$B:$B,"&lt;="&amp;'Colln-Summary'!$G$2)</f>
        <v>0</v>
      </c>
      <c r="E135" s="353">
        <f>SUMIFS(Disbursements!$F:$F,Disbursements!$B:$B,'Colln-Summary'!$A135,Disbursements!$A:$A,"&gt;="&amp;'Colln-Summary'!$G$1,Disbursements!$A:$A,"&lt;="&amp;'Colln-Summary'!$G$2)</f>
        <v>0</v>
      </c>
      <c r="F135" s="353">
        <f>SUMIFS('Live Collections'!$L:$L,'Live Collections'!$D:$D,'Colln-Summary'!$A135,'Live Collections'!$B:$B,"&gt;="&amp;'Colln-Summary'!$G$1,'Live Collections'!$B:$B,"&lt;="&amp;'Colln-Summary'!$G$2)</f>
        <v>0</v>
      </c>
      <c r="G135" s="353">
        <f>SUMIFS('Live Collections'!$M:$M,'Live Collections'!$D:$D,'Colln-Summary'!$A135,'Live Collections'!$B:$B,"&gt;="&amp;'Colln-Summary'!$G$1,'Live Collections'!$B:$B,"&lt;="&amp;'Colln-Summary'!$G$2)</f>
        <v>0</v>
      </c>
      <c r="H135" s="353">
        <f>SUMIFS('Live Collections'!$N:$N,'Live Collections'!$D:$D,'Colln-Summary'!$A135,'Live Collections'!$B:$B,"&gt;="&amp;'Colln-Summary'!$G$1,'Live Collections'!$B:$B,"&lt;="&amp;'Colln-Summary'!$G$2)</f>
        <v>0</v>
      </c>
      <c r="I135" s="353">
        <f>SUMIFS('Live Collections'!$P:$P,'Live Collections'!$D:$D,'Colln-Summary'!$A135,'Live Collections'!$B:$B,"&gt;="&amp;'Colln-Summary'!$G$1,'Live Collections'!$B:$B,"&lt;="&amp;'Colln-Summary'!$G$2)</f>
        <v>0</v>
      </c>
      <c r="J135" s="353">
        <f>SUMIFS('Live Collections'!$O:$O,'Live Collections'!$D:$D,'Colln-Summary'!$A135,'Live Collections'!$B:$B,"&gt;="&amp;'Colln-Summary'!$G$1,'Live Collections'!$B:$B,"&lt;="&amp;'Colln-Summary'!$G$2)</f>
        <v>0</v>
      </c>
      <c r="K135" s="360">
        <f>SUMIFS('Live Collections'!$S:$S,'Live Collections'!$D:$D,'Colln-Summary'!$A135,'Live Collections'!$B:$B,"&gt;="&amp;'Colln-Summary'!$G$1,'Live Collections'!$B:$B,"&lt;="&amp;'Colln-Summary'!$G$2)</f>
        <v>0</v>
      </c>
      <c r="L135" s="360">
        <f>SUMIFS('Live Collections'!$T:$T,'Live Collections'!$D:$D,'Colln-Summary'!$A135,'Live Collections'!$B:$B,"&gt;="&amp;'Colln-Summary'!$G$1,'Live Collections'!$B:$B,"&lt;="&amp;'Colln-Summary'!$G$2)</f>
        <v>0</v>
      </c>
      <c r="M135" s="258">
        <f t="shared" si="3"/>
        <v>0</v>
      </c>
    </row>
    <row r="136" spans="1:13" x14ac:dyDescent="0.2">
      <c r="A136" s="478">
        <v>132</v>
      </c>
      <c r="B136" s="352" t="str">
        <f>IFERROR(VLOOKUP($A136,'Clients-Live'!$A:$C,3,0),"")</f>
        <v>MANIYO JOICE</v>
      </c>
      <c r="C136" s="353">
        <f>SUMIFS('Live Collections'!$J:$J,'Live Collections'!$D:$D,'Colln-Summary'!$A136,'Live Collections'!$B:$B,"&gt;="&amp;'Colln-Summary'!$G$1,'Live Collections'!$B:$B,"&lt;="&amp;'Colln-Summary'!$G$2)</f>
        <v>0</v>
      </c>
      <c r="D136" s="353">
        <f>SUMIFS('Live Collections'!$K:$K,'Live Collections'!$D:$D,'Colln-Summary'!$A136,'Live Collections'!$B:$B,"&gt;="&amp;'Colln-Summary'!$G$1,'Live Collections'!$B:$B,"&lt;="&amp;'Colln-Summary'!$G$2)</f>
        <v>0</v>
      </c>
      <c r="E136" s="353">
        <f>SUMIFS(Disbursements!$F:$F,Disbursements!$B:$B,'Colln-Summary'!$A136,Disbursements!$A:$A,"&gt;="&amp;'Colln-Summary'!$G$1,Disbursements!$A:$A,"&lt;="&amp;'Colln-Summary'!$G$2)</f>
        <v>0</v>
      </c>
      <c r="F136" s="353">
        <f>SUMIFS('Live Collections'!$L:$L,'Live Collections'!$D:$D,'Colln-Summary'!$A136,'Live Collections'!$B:$B,"&gt;="&amp;'Colln-Summary'!$G$1,'Live Collections'!$B:$B,"&lt;="&amp;'Colln-Summary'!$G$2)</f>
        <v>0</v>
      </c>
      <c r="G136" s="353">
        <f>SUMIFS('Live Collections'!$M:$M,'Live Collections'!$D:$D,'Colln-Summary'!$A136,'Live Collections'!$B:$B,"&gt;="&amp;'Colln-Summary'!$G$1,'Live Collections'!$B:$B,"&lt;="&amp;'Colln-Summary'!$G$2)</f>
        <v>0</v>
      </c>
      <c r="H136" s="353">
        <f>SUMIFS('Live Collections'!$N:$N,'Live Collections'!$D:$D,'Colln-Summary'!$A136,'Live Collections'!$B:$B,"&gt;="&amp;'Colln-Summary'!$G$1,'Live Collections'!$B:$B,"&lt;="&amp;'Colln-Summary'!$G$2)</f>
        <v>0</v>
      </c>
      <c r="I136" s="353">
        <f>SUMIFS('Live Collections'!$P:$P,'Live Collections'!$D:$D,'Colln-Summary'!$A136,'Live Collections'!$B:$B,"&gt;="&amp;'Colln-Summary'!$G$1,'Live Collections'!$B:$B,"&lt;="&amp;'Colln-Summary'!$G$2)</f>
        <v>0</v>
      </c>
      <c r="J136" s="353">
        <f>SUMIFS('Live Collections'!$O:$O,'Live Collections'!$D:$D,'Colln-Summary'!$A136,'Live Collections'!$B:$B,"&gt;="&amp;'Colln-Summary'!$G$1,'Live Collections'!$B:$B,"&lt;="&amp;'Colln-Summary'!$G$2)</f>
        <v>0</v>
      </c>
      <c r="K136" s="360">
        <f>SUMIFS('Live Collections'!$S:$S,'Live Collections'!$D:$D,'Colln-Summary'!$A136,'Live Collections'!$B:$B,"&gt;="&amp;'Colln-Summary'!$G$1,'Live Collections'!$B:$B,"&lt;="&amp;'Colln-Summary'!$G$2)</f>
        <v>0</v>
      </c>
      <c r="L136" s="360">
        <f>SUMIFS('Live Collections'!$T:$T,'Live Collections'!$D:$D,'Colln-Summary'!$A136,'Live Collections'!$B:$B,"&gt;="&amp;'Colln-Summary'!$G$1,'Live Collections'!$B:$B,"&lt;="&amp;'Colln-Summary'!$G$2)</f>
        <v>0</v>
      </c>
      <c r="M136" s="258">
        <f t="shared" si="3"/>
        <v>0</v>
      </c>
    </row>
    <row r="137" spans="1:13" x14ac:dyDescent="0.2">
      <c r="A137" s="478">
        <v>133</v>
      </c>
      <c r="B137" s="352" t="str">
        <f>IFERROR(VLOOKUP($A137,'Clients-Live'!$A:$C,3,0),"")</f>
        <v>JABE MARY</v>
      </c>
      <c r="C137" s="353">
        <f>SUMIFS('Live Collections'!$J:$J,'Live Collections'!$D:$D,'Colln-Summary'!$A137,'Live Collections'!$B:$B,"&gt;="&amp;'Colln-Summary'!$G$1,'Live Collections'!$B:$B,"&lt;="&amp;'Colln-Summary'!$G$2)</f>
        <v>0</v>
      </c>
      <c r="D137" s="353">
        <f>SUMIFS('Live Collections'!$K:$K,'Live Collections'!$D:$D,'Colln-Summary'!$A137,'Live Collections'!$B:$B,"&gt;="&amp;'Colln-Summary'!$G$1,'Live Collections'!$B:$B,"&lt;="&amp;'Colln-Summary'!$G$2)</f>
        <v>0</v>
      </c>
      <c r="E137" s="353">
        <f>SUMIFS(Disbursements!$F:$F,Disbursements!$B:$B,'Colln-Summary'!$A137,Disbursements!$A:$A,"&gt;="&amp;'Colln-Summary'!$G$1,Disbursements!$A:$A,"&lt;="&amp;'Colln-Summary'!$G$2)</f>
        <v>0</v>
      </c>
      <c r="F137" s="353">
        <f>SUMIFS('Live Collections'!$L:$L,'Live Collections'!$D:$D,'Colln-Summary'!$A137,'Live Collections'!$B:$B,"&gt;="&amp;'Colln-Summary'!$G$1,'Live Collections'!$B:$B,"&lt;="&amp;'Colln-Summary'!$G$2)</f>
        <v>0</v>
      </c>
      <c r="G137" s="353">
        <f>SUMIFS('Live Collections'!$M:$M,'Live Collections'!$D:$D,'Colln-Summary'!$A137,'Live Collections'!$B:$B,"&gt;="&amp;'Colln-Summary'!$G$1,'Live Collections'!$B:$B,"&lt;="&amp;'Colln-Summary'!$G$2)</f>
        <v>0</v>
      </c>
      <c r="H137" s="353">
        <f>SUMIFS('Live Collections'!$N:$N,'Live Collections'!$D:$D,'Colln-Summary'!$A137,'Live Collections'!$B:$B,"&gt;="&amp;'Colln-Summary'!$G$1,'Live Collections'!$B:$B,"&lt;="&amp;'Colln-Summary'!$G$2)</f>
        <v>0</v>
      </c>
      <c r="I137" s="353">
        <f>SUMIFS('Live Collections'!$P:$P,'Live Collections'!$D:$D,'Colln-Summary'!$A137,'Live Collections'!$B:$B,"&gt;="&amp;'Colln-Summary'!$G$1,'Live Collections'!$B:$B,"&lt;="&amp;'Colln-Summary'!$G$2)</f>
        <v>-50000</v>
      </c>
      <c r="J137" s="353">
        <f>SUMIFS('Live Collections'!$O:$O,'Live Collections'!$D:$D,'Colln-Summary'!$A137,'Live Collections'!$B:$B,"&gt;="&amp;'Colln-Summary'!$G$1,'Live Collections'!$B:$B,"&lt;="&amp;'Colln-Summary'!$G$2)</f>
        <v>140000</v>
      </c>
      <c r="K137" s="360">
        <f>SUMIFS('Live Collections'!$S:$S,'Live Collections'!$D:$D,'Colln-Summary'!$A137,'Live Collections'!$B:$B,"&gt;="&amp;'Colln-Summary'!$G$1,'Live Collections'!$B:$B,"&lt;="&amp;'Colln-Summary'!$G$2)</f>
        <v>0</v>
      </c>
      <c r="L137" s="360">
        <f>SUMIFS('Live Collections'!$T:$T,'Live Collections'!$D:$D,'Colln-Summary'!$A137,'Live Collections'!$B:$B,"&gt;="&amp;'Colln-Summary'!$G$1,'Live Collections'!$B:$B,"&lt;="&amp;'Colln-Summary'!$G$2)</f>
        <v>140000</v>
      </c>
      <c r="M137" s="258">
        <f t="shared" si="3"/>
        <v>90000</v>
      </c>
    </row>
    <row r="138" spans="1:13" x14ac:dyDescent="0.2">
      <c r="A138" s="478">
        <v>134</v>
      </c>
      <c r="B138" s="352" t="str">
        <f>IFERROR(VLOOKUP($A138,'Clients-Live'!$A:$C,3,0),"")</f>
        <v>TABU NATALIYA</v>
      </c>
      <c r="C138" s="353">
        <f>SUMIFS('Live Collections'!$J:$J,'Live Collections'!$D:$D,'Colln-Summary'!$A138,'Live Collections'!$B:$B,"&gt;="&amp;'Colln-Summary'!$G$1,'Live Collections'!$B:$B,"&lt;="&amp;'Colln-Summary'!$G$2)</f>
        <v>0</v>
      </c>
      <c r="D138" s="353">
        <f>SUMIFS('Live Collections'!$K:$K,'Live Collections'!$D:$D,'Colln-Summary'!$A138,'Live Collections'!$B:$B,"&gt;="&amp;'Colln-Summary'!$G$1,'Live Collections'!$B:$B,"&lt;="&amp;'Colln-Summary'!$G$2)</f>
        <v>0</v>
      </c>
      <c r="E138" s="353">
        <f>SUMIFS(Disbursements!$F:$F,Disbursements!$B:$B,'Colln-Summary'!$A138,Disbursements!$A:$A,"&gt;="&amp;'Colln-Summary'!$G$1,Disbursements!$A:$A,"&lt;="&amp;'Colln-Summary'!$G$2)</f>
        <v>0</v>
      </c>
      <c r="F138" s="353">
        <f>SUMIFS('Live Collections'!$L:$L,'Live Collections'!$D:$D,'Colln-Summary'!$A138,'Live Collections'!$B:$B,"&gt;="&amp;'Colln-Summary'!$G$1,'Live Collections'!$B:$B,"&lt;="&amp;'Colln-Summary'!$G$2)</f>
        <v>0</v>
      </c>
      <c r="G138" s="353">
        <f>SUMIFS('Live Collections'!$M:$M,'Live Collections'!$D:$D,'Colln-Summary'!$A138,'Live Collections'!$B:$B,"&gt;="&amp;'Colln-Summary'!$G$1,'Live Collections'!$B:$B,"&lt;="&amp;'Colln-Summary'!$G$2)</f>
        <v>0</v>
      </c>
      <c r="H138" s="353">
        <f>SUMIFS('Live Collections'!$N:$N,'Live Collections'!$D:$D,'Colln-Summary'!$A138,'Live Collections'!$B:$B,"&gt;="&amp;'Colln-Summary'!$G$1,'Live Collections'!$B:$B,"&lt;="&amp;'Colln-Summary'!$G$2)</f>
        <v>0</v>
      </c>
      <c r="I138" s="353">
        <f>SUMIFS('Live Collections'!$P:$P,'Live Collections'!$D:$D,'Colln-Summary'!$A138,'Live Collections'!$B:$B,"&gt;="&amp;'Colln-Summary'!$G$1,'Live Collections'!$B:$B,"&lt;="&amp;'Colln-Summary'!$G$2)</f>
        <v>0</v>
      </c>
      <c r="J138" s="353">
        <f>SUMIFS('Live Collections'!$O:$O,'Live Collections'!$D:$D,'Colln-Summary'!$A138,'Live Collections'!$B:$B,"&gt;="&amp;'Colln-Summary'!$G$1,'Live Collections'!$B:$B,"&lt;="&amp;'Colln-Summary'!$G$2)</f>
        <v>100000</v>
      </c>
      <c r="K138" s="360">
        <f>SUMIFS('Live Collections'!$S:$S,'Live Collections'!$D:$D,'Colln-Summary'!$A138,'Live Collections'!$B:$B,"&gt;="&amp;'Colln-Summary'!$G$1,'Live Collections'!$B:$B,"&lt;="&amp;'Colln-Summary'!$G$2)</f>
        <v>40000</v>
      </c>
      <c r="L138" s="360">
        <f>SUMIFS('Live Collections'!$T:$T,'Live Collections'!$D:$D,'Colln-Summary'!$A138,'Live Collections'!$B:$B,"&gt;="&amp;'Colln-Summary'!$G$1,'Live Collections'!$B:$B,"&lt;="&amp;'Colln-Summary'!$G$2)</f>
        <v>60000</v>
      </c>
      <c r="M138" s="258">
        <f t="shared" si="3"/>
        <v>100000</v>
      </c>
    </row>
    <row r="139" spans="1:13" x14ac:dyDescent="0.2">
      <c r="A139" s="478">
        <v>135</v>
      </c>
      <c r="B139" s="352" t="str">
        <f>IFERROR(VLOOKUP($A139,'Clients-Live'!$A:$C,3,0),"")</f>
        <v>SARIF SAIDI</v>
      </c>
      <c r="C139" s="353">
        <f>SUMIFS('Live Collections'!$J:$J,'Live Collections'!$D:$D,'Colln-Summary'!$A139,'Live Collections'!$B:$B,"&gt;="&amp;'Colln-Summary'!$G$1,'Live Collections'!$B:$B,"&lt;="&amp;'Colln-Summary'!$G$2)</f>
        <v>0</v>
      </c>
      <c r="D139" s="353">
        <f>SUMIFS('Live Collections'!$K:$K,'Live Collections'!$D:$D,'Colln-Summary'!$A139,'Live Collections'!$B:$B,"&gt;="&amp;'Colln-Summary'!$G$1,'Live Collections'!$B:$B,"&lt;="&amp;'Colln-Summary'!$G$2)</f>
        <v>0</v>
      </c>
      <c r="E139" s="353">
        <f>SUMIFS(Disbursements!$F:$F,Disbursements!$B:$B,'Colln-Summary'!$A139,Disbursements!$A:$A,"&gt;="&amp;'Colln-Summary'!$G$1,Disbursements!$A:$A,"&lt;="&amp;'Colln-Summary'!$G$2)</f>
        <v>0</v>
      </c>
      <c r="F139" s="353">
        <f>SUMIFS('Live Collections'!$L:$L,'Live Collections'!$D:$D,'Colln-Summary'!$A139,'Live Collections'!$B:$B,"&gt;="&amp;'Colln-Summary'!$G$1,'Live Collections'!$B:$B,"&lt;="&amp;'Colln-Summary'!$G$2)</f>
        <v>0</v>
      </c>
      <c r="G139" s="353">
        <f>SUMIFS('Live Collections'!$M:$M,'Live Collections'!$D:$D,'Colln-Summary'!$A139,'Live Collections'!$B:$B,"&gt;="&amp;'Colln-Summary'!$G$1,'Live Collections'!$B:$B,"&lt;="&amp;'Colln-Summary'!$G$2)</f>
        <v>0</v>
      </c>
      <c r="H139" s="353">
        <f>SUMIFS('Live Collections'!$N:$N,'Live Collections'!$D:$D,'Colln-Summary'!$A139,'Live Collections'!$B:$B,"&gt;="&amp;'Colln-Summary'!$G$1,'Live Collections'!$B:$B,"&lt;="&amp;'Colln-Summary'!$G$2)</f>
        <v>0</v>
      </c>
      <c r="I139" s="353">
        <f>SUMIFS('Live Collections'!$P:$P,'Live Collections'!$D:$D,'Colln-Summary'!$A139,'Live Collections'!$B:$B,"&gt;="&amp;'Colln-Summary'!$G$1,'Live Collections'!$B:$B,"&lt;="&amp;'Colln-Summary'!$G$2)</f>
        <v>0</v>
      </c>
      <c r="J139" s="353">
        <f>SUMIFS('Live Collections'!$O:$O,'Live Collections'!$D:$D,'Colln-Summary'!$A139,'Live Collections'!$B:$B,"&gt;="&amp;'Colln-Summary'!$G$1,'Live Collections'!$B:$B,"&lt;="&amp;'Colln-Summary'!$G$2)</f>
        <v>0</v>
      </c>
      <c r="K139" s="360">
        <f>SUMIFS('Live Collections'!$S:$S,'Live Collections'!$D:$D,'Colln-Summary'!$A139,'Live Collections'!$B:$B,"&gt;="&amp;'Colln-Summary'!$G$1,'Live Collections'!$B:$B,"&lt;="&amp;'Colln-Summary'!$G$2)</f>
        <v>0</v>
      </c>
      <c r="L139" s="360">
        <f>SUMIFS('Live Collections'!$T:$T,'Live Collections'!$D:$D,'Colln-Summary'!$A139,'Live Collections'!$B:$B,"&gt;="&amp;'Colln-Summary'!$G$1,'Live Collections'!$B:$B,"&lt;="&amp;'Colln-Summary'!$G$2)</f>
        <v>0</v>
      </c>
      <c r="M139" s="258">
        <f t="shared" si="3"/>
        <v>0</v>
      </c>
    </row>
    <row r="140" spans="1:13" x14ac:dyDescent="0.2">
      <c r="A140" s="478">
        <v>136</v>
      </c>
      <c r="B140" s="352" t="str">
        <f>IFERROR(VLOOKUP($A140,'Clients-Live'!$A:$C,3,0),"")</f>
        <v>LEMERIGA GODWILL JOSEPH</v>
      </c>
      <c r="C140" s="353">
        <f>SUMIFS('Live Collections'!$J:$J,'Live Collections'!$D:$D,'Colln-Summary'!$A140,'Live Collections'!$B:$B,"&gt;="&amp;'Colln-Summary'!$G$1,'Live Collections'!$B:$B,"&lt;="&amp;'Colln-Summary'!$G$2)</f>
        <v>0</v>
      </c>
      <c r="D140" s="353">
        <f>SUMIFS('Live Collections'!$K:$K,'Live Collections'!$D:$D,'Colln-Summary'!$A140,'Live Collections'!$B:$B,"&gt;="&amp;'Colln-Summary'!$G$1,'Live Collections'!$B:$B,"&lt;="&amp;'Colln-Summary'!$G$2)</f>
        <v>0</v>
      </c>
      <c r="E140" s="353">
        <f>SUMIFS(Disbursements!$F:$F,Disbursements!$B:$B,'Colln-Summary'!$A140,Disbursements!$A:$A,"&gt;="&amp;'Colln-Summary'!$G$1,Disbursements!$A:$A,"&lt;="&amp;'Colln-Summary'!$G$2)</f>
        <v>0</v>
      </c>
      <c r="F140" s="353">
        <f>SUMIFS('Live Collections'!$L:$L,'Live Collections'!$D:$D,'Colln-Summary'!$A140,'Live Collections'!$B:$B,"&gt;="&amp;'Colln-Summary'!$G$1,'Live Collections'!$B:$B,"&lt;="&amp;'Colln-Summary'!$G$2)</f>
        <v>0</v>
      </c>
      <c r="G140" s="353">
        <f>SUMIFS('Live Collections'!$M:$M,'Live Collections'!$D:$D,'Colln-Summary'!$A140,'Live Collections'!$B:$B,"&gt;="&amp;'Colln-Summary'!$G$1,'Live Collections'!$B:$B,"&lt;="&amp;'Colln-Summary'!$G$2)</f>
        <v>0</v>
      </c>
      <c r="H140" s="353">
        <f>SUMIFS('Live Collections'!$N:$N,'Live Collections'!$D:$D,'Colln-Summary'!$A140,'Live Collections'!$B:$B,"&gt;="&amp;'Colln-Summary'!$G$1,'Live Collections'!$B:$B,"&lt;="&amp;'Colln-Summary'!$G$2)</f>
        <v>0</v>
      </c>
      <c r="I140" s="353">
        <f>SUMIFS('Live Collections'!$P:$P,'Live Collections'!$D:$D,'Colln-Summary'!$A140,'Live Collections'!$B:$B,"&gt;="&amp;'Colln-Summary'!$G$1,'Live Collections'!$B:$B,"&lt;="&amp;'Colln-Summary'!$G$2)</f>
        <v>0</v>
      </c>
      <c r="J140" s="353">
        <f>SUMIFS('Live Collections'!$O:$O,'Live Collections'!$D:$D,'Colln-Summary'!$A140,'Live Collections'!$B:$B,"&gt;="&amp;'Colln-Summary'!$G$1,'Live Collections'!$B:$B,"&lt;="&amp;'Colln-Summary'!$G$2)</f>
        <v>150000</v>
      </c>
      <c r="K140" s="360">
        <f>SUMIFS('Live Collections'!$S:$S,'Live Collections'!$D:$D,'Colln-Summary'!$A140,'Live Collections'!$B:$B,"&gt;="&amp;'Colln-Summary'!$G$1,'Live Collections'!$B:$B,"&lt;="&amp;'Colln-Summary'!$G$2)</f>
        <v>135000</v>
      </c>
      <c r="L140" s="360">
        <f>SUMIFS('Live Collections'!$T:$T,'Live Collections'!$D:$D,'Colln-Summary'!$A140,'Live Collections'!$B:$B,"&gt;="&amp;'Colln-Summary'!$G$1,'Live Collections'!$B:$B,"&lt;="&amp;'Colln-Summary'!$G$2)</f>
        <v>15000</v>
      </c>
      <c r="M140" s="258">
        <f t="shared" si="3"/>
        <v>150000</v>
      </c>
    </row>
    <row r="141" spans="1:13" x14ac:dyDescent="0.2">
      <c r="A141" s="478">
        <v>137</v>
      </c>
      <c r="B141" s="352" t="str">
        <f>IFERROR(VLOOKUP($A141,'Clients-Live'!$A:$C,3,0),"")</f>
        <v>YAKANI CHARLES</v>
      </c>
      <c r="C141" s="353">
        <f>SUMIFS('Live Collections'!$J:$J,'Live Collections'!$D:$D,'Colln-Summary'!$A141,'Live Collections'!$B:$B,"&gt;="&amp;'Colln-Summary'!$G$1,'Live Collections'!$B:$B,"&lt;="&amp;'Colln-Summary'!$G$2)</f>
        <v>0</v>
      </c>
      <c r="D141" s="353">
        <f>SUMIFS('Live Collections'!$K:$K,'Live Collections'!$D:$D,'Colln-Summary'!$A141,'Live Collections'!$B:$B,"&gt;="&amp;'Colln-Summary'!$G$1,'Live Collections'!$B:$B,"&lt;="&amp;'Colln-Summary'!$G$2)</f>
        <v>0</v>
      </c>
      <c r="E141" s="353">
        <f>SUMIFS(Disbursements!$F:$F,Disbursements!$B:$B,'Colln-Summary'!$A141,Disbursements!$A:$A,"&gt;="&amp;'Colln-Summary'!$G$1,Disbursements!$A:$A,"&lt;="&amp;'Colln-Summary'!$G$2)</f>
        <v>1600000</v>
      </c>
      <c r="F141" s="353">
        <f>SUMIFS('Live Collections'!$L:$L,'Live Collections'!$D:$D,'Colln-Summary'!$A141,'Live Collections'!$B:$B,"&gt;="&amp;'Colln-Summary'!$G$1,'Live Collections'!$B:$B,"&lt;="&amp;'Colln-Summary'!$G$2)</f>
        <v>25000</v>
      </c>
      <c r="G141" s="353">
        <f>SUMIFS('Live Collections'!$M:$M,'Live Collections'!$D:$D,'Colln-Summary'!$A141,'Live Collections'!$B:$B,"&gt;="&amp;'Colln-Summary'!$G$1,'Live Collections'!$B:$B,"&lt;="&amp;'Colln-Summary'!$G$2)</f>
        <v>5000</v>
      </c>
      <c r="H141" s="353">
        <f>SUMIFS('Live Collections'!$N:$N,'Live Collections'!$D:$D,'Colln-Summary'!$A141,'Live Collections'!$B:$B,"&gt;="&amp;'Colln-Summary'!$G$1,'Live Collections'!$B:$B,"&lt;="&amp;'Colln-Summary'!$G$2)</f>
        <v>0</v>
      </c>
      <c r="I141" s="353">
        <f>SUMIFS('Live Collections'!$P:$P,'Live Collections'!$D:$D,'Colln-Summary'!$A141,'Live Collections'!$B:$B,"&gt;="&amp;'Colln-Summary'!$G$1,'Live Collections'!$B:$B,"&lt;="&amp;'Colln-Summary'!$G$2)</f>
        <v>160000</v>
      </c>
      <c r="J141" s="353">
        <f>SUMIFS('Live Collections'!$O:$O,'Live Collections'!$D:$D,'Colln-Summary'!$A141,'Live Collections'!$B:$B,"&gt;="&amp;'Colln-Summary'!$G$1,'Live Collections'!$B:$B,"&lt;="&amp;'Colln-Summary'!$G$2)</f>
        <v>0</v>
      </c>
      <c r="K141" s="360">
        <f>SUMIFS('Live Collections'!$S:$S,'Live Collections'!$D:$D,'Colln-Summary'!$A141,'Live Collections'!$B:$B,"&gt;="&amp;'Colln-Summary'!$G$1,'Live Collections'!$B:$B,"&lt;="&amp;'Colln-Summary'!$G$2)</f>
        <v>0</v>
      </c>
      <c r="L141" s="360">
        <f>SUMIFS('Live Collections'!$T:$T,'Live Collections'!$D:$D,'Colln-Summary'!$A141,'Live Collections'!$B:$B,"&gt;="&amp;'Colln-Summary'!$G$1,'Live Collections'!$B:$B,"&lt;="&amp;'Colln-Summary'!$G$2)</f>
        <v>0</v>
      </c>
      <c r="M141" s="258">
        <f t="shared" si="3"/>
        <v>1790000</v>
      </c>
    </row>
    <row r="142" spans="1:13" x14ac:dyDescent="0.2">
      <c r="A142" s="478">
        <v>138</v>
      </c>
      <c r="B142" s="352" t="str">
        <f>IFERROR(VLOOKUP($A142,'Clients-Live'!$A:$C,3,0),"")</f>
        <v>BEATRICE AMANDRU</v>
      </c>
      <c r="C142" s="353">
        <f>SUMIFS('Live Collections'!$J:$J,'Live Collections'!$D:$D,'Colln-Summary'!$A142,'Live Collections'!$B:$B,"&gt;="&amp;'Colln-Summary'!$G$1,'Live Collections'!$B:$B,"&lt;="&amp;'Colln-Summary'!$G$2)</f>
        <v>0</v>
      </c>
      <c r="D142" s="353">
        <f>SUMIFS('Live Collections'!$K:$K,'Live Collections'!$D:$D,'Colln-Summary'!$A142,'Live Collections'!$B:$B,"&gt;="&amp;'Colln-Summary'!$G$1,'Live Collections'!$B:$B,"&lt;="&amp;'Colln-Summary'!$G$2)</f>
        <v>0</v>
      </c>
      <c r="E142" s="353">
        <f>SUMIFS(Disbursements!$F:$F,Disbursements!$B:$B,'Colln-Summary'!$A142,Disbursements!$A:$A,"&gt;="&amp;'Colln-Summary'!$G$1,Disbursements!$A:$A,"&lt;="&amp;'Colln-Summary'!$G$2)</f>
        <v>0</v>
      </c>
      <c r="F142" s="353">
        <f>SUMIFS('Live Collections'!$L:$L,'Live Collections'!$D:$D,'Colln-Summary'!$A142,'Live Collections'!$B:$B,"&gt;="&amp;'Colln-Summary'!$G$1,'Live Collections'!$B:$B,"&lt;="&amp;'Colln-Summary'!$G$2)</f>
        <v>0</v>
      </c>
      <c r="G142" s="353">
        <f>SUMIFS('Live Collections'!$M:$M,'Live Collections'!$D:$D,'Colln-Summary'!$A142,'Live Collections'!$B:$B,"&gt;="&amp;'Colln-Summary'!$G$1,'Live Collections'!$B:$B,"&lt;="&amp;'Colln-Summary'!$G$2)</f>
        <v>0</v>
      </c>
      <c r="H142" s="353">
        <f>SUMIFS('Live Collections'!$N:$N,'Live Collections'!$D:$D,'Colln-Summary'!$A142,'Live Collections'!$B:$B,"&gt;="&amp;'Colln-Summary'!$G$1,'Live Collections'!$B:$B,"&lt;="&amp;'Colln-Summary'!$G$2)</f>
        <v>0</v>
      </c>
      <c r="I142" s="353">
        <f>SUMIFS('Live Collections'!$P:$P,'Live Collections'!$D:$D,'Colln-Summary'!$A142,'Live Collections'!$B:$B,"&gt;="&amp;'Colln-Summary'!$G$1,'Live Collections'!$B:$B,"&lt;="&amp;'Colln-Summary'!$G$2)</f>
        <v>0</v>
      </c>
      <c r="J142" s="353">
        <f>SUMIFS('Live Collections'!$O:$O,'Live Collections'!$D:$D,'Colln-Summary'!$A142,'Live Collections'!$B:$B,"&gt;="&amp;'Colln-Summary'!$G$1,'Live Collections'!$B:$B,"&lt;="&amp;'Colln-Summary'!$G$2)</f>
        <v>300000</v>
      </c>
      <c r="K142" s="360">
        <f>SUMIFS('Live Collections'!$S:$S,'Live Collections'!$D:$D,'Colln-Summary'!$A142,'Live Collections'!$B:$B,"&gt;="&amp;'Colln-Summary'!$G$1,'Live Collections'!$B:$B,"&lt;="&amp;'Colln-Summary'!$G$2)</f>
        <v>60000</v>
      </c>
      <c r="L142" s="360">
        <f>SUMIFS('Live Collections'!$T:$T,'Live Collections'!$D:$D,'Colln-Summary'!$A142,'Live Collections'!$B:$B,"&gt;="&amp;'Colln-Summary'!$G$1,'Live Collections'!$B:$B,"&lt;="&amp;'Colln-Summary'!$G$2)</f>
        <v>240000</v>
      </c>
      <c r="M142" s="258">
        <f t="shared" si="3"/>
        <v>300000</v>
      </c>
    </row>
    <row r="143" spans="1:13" x14ac:dyDescent="0.2">
      <c r="A143" s="478">
        <v>139</v>
      </c>
      <c r="B143" s="352" t="str">
        <f>IFERROR(VLOOKUP($A143,'Clients-Live'!$A:$C,3,0),"")</f>
        <v xml:space="preserve">DRICHIRU MAIMUNA </v>
      </c>
      <c r="C143" s="353">
        <f>SUMIFS('Live Collections'!$J:$J,'Live Collections'!$D:$D,'Colln-Summary'!$A143,'Live Collections'!$B:$B,"&gt;="&amp;'Colln-Summary'!$G$1,'Live Collections'!$B:$B,"&lt;="&amp;'Colln-Summary'!$G$2)</f>
        <v>0</v>
      </c>
      <c r="D143" s="353">
        <f>SUMIFS('Live Collections'!$K:$K,'Live Collections'!$D:$D,'Colln-Summary'!$A143,'Live Collections'!$B:$B,"&gt;="&amp;'Colln-Summary'!$G$1,'Live Collections'!$B:$B,"&lt;="&amp;'Colln-Summary'!$G$2)</f>
        <v>0</v>
      </c>
      <c r="E143" s="353">
        <f>SUMIFS(Disbursements!$F:$F,Disbursements!$B:$B,'Colln-Summary'!$A143,Disbursements!$A:$A,"&gt;="&amp;'Colln-Summary'!$G$1,Disbursements!$A:$A,"&lt;="&amp;'Colln-Summary'!$G$2)</f>
        <v>0</v>
      </c>
      <c r="F143" s="353">
        <f>SUMIFS('Live Collections'!$L:$L,'Live Collections'!$D:$D,'Colln-Summary'!$A143,'Live Collections'!$B:$B,"&gt;="&amp;'Colln-Summary'!$G$1,'Live Collections'!$B:$B,"&lt;="&amp;'Colln-Summary'!$G$2)</f>
        <v>0</v>
      </c>
      <c r="G143" s="353">
        <f>SUMIFS('Live Collections'!$M:$M,'Live Collections'!$D:$D,'Colln-Summary'!$A143,'Live Collections'!$B:$B,"&gt;="&amp;'Colln-Summary'!$G$1,'Live Collections'!$B:$B,"&lt;="&amp;'Colln-Summary'!$G$2)</f>
        <v>0</v>
      </c>
      <c r="H143" s="353">
        <f>SUMIFS('Live Collections'!$N:$N,'Live Collections'!$D:$D,'Colln-Summary'!$A143,'Live Collections'!$B:$B,"&gt;="&amp;'Colln-Summary'!$G$1,'Live Collections'!$B:$B,"&lt;="&amp;'Colln-Summary'!$G$2)</f>
        <v>0</v>
      </c>
      <c r="I143" s="353">
        <f>SUMIFS('Live Collections'!$P:$P,'Live Collections'!$D:$D,'Colln-Summary'!$A143,'Live Collections'!$B:$B,"&gt;="&amp;'Colln-Summary'!$G$1,'Live Collections'!$B:$B,"&lt;="&amp;'Colln-Summary'!$G$2)</f>
        <v>0</v>
      </c>
      <c r="J143" s="353">
        <f>SUMIFS('Live Collections'!$O:$O,'Live Collections'!$D:$D,'Colln-Summary'!$A143,'Live Collections'!$B:$B,"&gt;="&amp;'Colln-Summary'!$G$1,'Live Collections'!$B:$B,"&lt;="&amp;'Colln-Summary'!$G$2)</f>
        <v>0</v>
      </c>
      <c r="K143" s="360">
        <f>SUMIFS('Live Collections'!$S:$S,'Live Collections'!$D:$D,'Colln-Summary'!$A143,'Live Collections'!$B:$B,"&gt;="&amp;'Colln-Summary'!$G$1,'Live Collections'!$B:$B,"&lt;="&amp;'Colln-Summary'!$G$2)</f>
        <v>0</v>
      </c>
      <c r="L143" s="360">
        <f>SUMIFS('Live Collections'!$T:$T,'Live Collections'!$D:$D,'Colln-Summary'!$A143,'Live Collections'!$B:$B,"&gt;="&amp;'Colln-Summary'!$G$1,'Live Collections'!$B:$B,"&lt;="&amp;'Colln-Summary'!$G$2)</f>
        <v>0</v>
      </c>
      <c r="M143" s="258">
        <f t="shared" si="3"/>
        <v>0</v>
      </c>
    </row>
    <row r="144" spans="1:13" x14ac:dyDescent="0.2">
      <c r="A144" s="478">
        <v>140</v>
      </c>
      <c r="B144" s="352" t="str">
        <f>IFERROR(VLOOKUP($A144,'Clients-Live'!$A:$C,3,0),"")</f>
        <v>AYIKORU MARIAM</v>
      </c>
      <c r="C144" s="353">
        <f>SUMIFS('Live Collections'!$J:$J,'Live Collections'!$D:$D,'Colln-Summary'!$A144,'Live Collections'!$B:$B,"&gt;="&amp;'Colln-Summary'!$G$1,'Live Collections'!$B:$B,"&lt;="&amp;'Colln-Summary'!$G$2)</f>
        <v>0</v>
      </c>
      <c r="D144" s="353">
        <f>SUMIFS('Live Collections'!$K:$K,'Live Collections'!$D:$D,'Colln-Summary'!$A144,'Live Collections'!$B:$B,"&gt;="&amp;'Colln-Summary'!$G$1,'Live Collections'!$B:$B,"&lt;="&amp;'Colln-Summary'!$G$2)</f>
        <v>0</v>
      </c>
      <c r="E144" s="353">
        <f>SUMIFS(Disbursements!$F:$F,Disbursements!$B:$B,'Colln-Summary'!$A144,Disbursements!$A:$A,"&gt;="&amp;'Colln-Summary'!$G$1,Disbursements!$A:$A,"&lt;="&amp;'Colln-Summary'!$G$2)</f>
        <v>0</v>
      </c>
      <c r="F144" s="353">
        <f>SUMIFS('Live Collections'!$L:$L,'Live Collections'!$D:$D,'Colln-Summary'!$A144,'Live Collections'!$B:$B,"&gt;="&amp;'Colln-Summary'!$G$1,'Live Collections'!$B:$B,"&lt;="&amp;'Colln-Summary'!$G$2)</f>
        <v>0</v>
      </c>
      <c r="G144" s="353">
        <f>SUMIFS('Live Collections'!$M:$M,'Live Collections'!$D:$D,'Colln-Summary'!$A144,'Live Collections'!$B:$B,"&gt;="&amp;'Colln-Summary'!$G$1,'Live Collections'!$B:$B,"&lt;="&amp;'Colln-Summary'!$G$2)</f>
        <v>0</v>
      </c>
      <c r="H144" s="353">
        <f>SUMIFS('Live Collections'!$N:$N,'Live Collections'!$D:$D,'Colln-Summary'!$A144,'Live Collections'!$B:$B,"&gt;="&amp;'Colln-Summary'!$G$1,'Live Collections'!$B:$B,"&lt;="&amp;'Colln-Summary'!$G$2)</f>
        <v>0</v>
      </c>
      <c r="I144" s="353">
        <f>SUMIFS('Live Collections'!$P:$P,'Live Collections'!$D:$D,'Colln-Summary'!$A144,'Live Collections'!$B:$B,"&gt;="&amp;'Colln-Summary'!$G$1,'Live Collections'!$B:$B,"&lt;="&amp;'Colln-Summary'!$G$2)</f>
        <v>0</v>
      </c>
      <c r="J144" s="353">
        <f>SUMIFS('Live Collections'!$O:$O,'Live Collections'!$D:$D,'Colln-Summary'!$A144,'Live Collections'!$B:$B,"&gt;="&amp;'Colln-Summary'!$G$1,'Live Collections'!$B:$B,"&lt;="&amp;'Colln-Summary'!$G$2)</f>
        <v>0</v>
      </c>
      <c r="K144" s="360">
        <f>SUMIFS('Live Collections'!$S:$S,'Live Collections'!$D:$D,'Colln-Summary'!$A144,'Live Collections'!$B:$B,"&gt;="&amp;'Colln-Summary'!$G$1,'Live Collections'!$B:$B,"&lt;="&amp;'Colln-Summary'!$G$2)</f>
        <v>0</v>
      </c>
      <c r="L144" s="360">
        <f>SUMIFS('Live Collections'!$T:$T,'Live Collections'!$D:$D,'Colln-Summary'!$A144,'Live Collections'!$B:$B,"&gt;="&amp;'Colln-Summary'!$G$1,'Live Collections'!$B:$B,"&lt;="&amp;'Colln-Summary'!$G$2)</f>
        <v>0</v>
      </c>
      <c r="M144" s="258">
        <f t="shared" si="3"/>
        <v>0</v>
      </c>
    </row>
    <row r="145" spans="1:13" x14ac:dyDescent="0.2">
      <c r="A145" s="478">
        <v>141</v>
      </c>
      <c r="B145" s="352" t="str">
        <f>IFERROR(VLOOKUP($A145,'Clients-Live'!$A:$C,3,0),"")</f>
        <v>DRAMANI WILFRED</v>
      </c>
      <c r="C145" s="353">
        <f>SUMIFS('Live Collections'!$J:$J,'Live Collections'!$D:$D,'Colln-Summary'!$A145,'Live Collections'!$B:$B,"&gt;="&amp;'Colln-Summary'!$G$1,'Live Collections'!$B:$B,"&lt;="&amp;'Colln-Summary'!$G$2)</f>
        <v>0</v>
      </c>
      <c r="D145" s="353">
        <f>SUMIFS('Live Collections'!$K:$K,'Live Collections'!$D:$D,'Colln-Summary'!$A145,'Live Collections'!$B:$B,"&gt;="&amp;'Colln-Summary'!$G$1,'Live Collections'!$B:$B,"&lt;="&amp;'Colln-Summary'!$G$2)</f>
        <v>0</v>
      </c>
      <c r="E145" s="353">
        <f>SUMIFS(Disbursements!$F:$F,Disbursements!$B:$B,'Colln-Summary'!$A145,Disbursements!$A:$A,"&gt;="&amp;'Colln-Summary'!$G$1,Disbursements!$A:$A,"&lt;="&amp;'Colln-Summary'!$G$2)</f>
        <v>0</v>
      </c>
      <c r="F145" s="353">
        <f>SUMIFS('Live Collections'!$L:$L,'Live Collections'!$D:$D,'Colln-Summary'!$A145,'Live Collections'!$B:$B,"&gt;="&amp;'Colln-Summary'!$G$1,'Live Collections'!$B:$B,"&lt;="&amp;'Colln-Summary'!$G$2)</f>
        <v>0</v>
      </c>
      <c r="G145" s="353">
        <f>SUMIFS('Live Collections'!$M:$M,'Live Collections'!$D:$D,'Colln-Summary'!$A145,'Live Collections'!$B:$B,"&gt;="&amp;'Colln-Summary'!$G$1,'Live Collections'!$B:$B,"&lt;="&amp;'Colln-Summary'!$G$2)</f>
        <v>0</v>
      </c>
      <c r="H145" s="353">
        <f>SUMIFS('Live Collections'!$N:$N,'Live Collections'!$D:$D,'Colln-Summary'!$A145,'Live Collections'!$B:$B,"&gt;="&amp;'Colln-Summary'!$G$1,'Live Collections'!$B:$B,"&lt;="&amp;'Colln-Summary'!$G$2)</f>
        <v>0</v>
      </c>
      <c r="I145" s="353">
        <f>SUMIFS('Live Collections'!$P:$P,'Live Collections'!$D:$D,'Colln-Summary'!$A145,'Live Collections'!$B:$B,"&gt;="&amp;'Colln-Summary'!$G$1,'Live Collections'!$B:$B,"&lt;="&amp;'Colln-Summary'!$G$2)</f>
        <v>0</v>
      </c>
      <c r="J145" s="353">
        <f>SUMIFS('Live Collections'!$O:$O,'Live Collections'!$D:$D,'Colln-Summary'!$A145,'Live Collections'!$B:$B,"&gt;="&amp;'Colln-Summary'!$G$1,'Live Collections'!$B:$B,"&lt;="&amp;'Colln-Summary'!$G$2)</f>
        <v>100000</v>
      </c>
      <c r="K145" s="360">
        <f>SUMIFS('Live Collections'!$S:$S,'Live Collections'!$D:$D,'Colln-Summary'!$A145,'Live Collections'!$B:$B,"&gt;="&amp;'Colln-Summary'!$G$1,'Live Collections'!$B:$B,"&lt;="&amp;'Colln-Summary'!$G$2)</f>
        <v>50000</v>
      </c>
      <c r="L145" s="360">
        <f>SUMIFS('Live Collections'!$T:$T,'Live Collections'!$D:$D,'Colln-Summary'!$A145,'Live Collections'!$B:$B,"&gt;="&amp;'Colln-Summary'!$G$1,'Live Collections'!$B:$B,"&lt;="&amp;'Colln-Summary'!$G$2)</f>
        <v>50000</v>
      </c>
      <c r="M145" s="258">
        <f t="shared" si="3"/>
        <v>100000</v>
      </c>
    </row>
    <row r="146" spans="1:13" x14ac:dyDescent="0.2">
      <c r="A146" s="478">
        <v>142</v>
      </c>
      <c r="B146" s="352" t="str">
        <f>IFERROR(VLOOKUP($A146,'Clients-Live'!$A:$C,3,0),"")</f>
        <v>TABU MARY</v>
      </c>
      <c r="C146" s="353">
        <f>SUMIFS('Live Collections'!$J:$J,'Live Collections'!$D:$D,'Colln-Summary'!$A146,'Live Collections'!$B:$B,"&gt;="&amp;'Colln-Summary'!$G$1,'Live Collections'!$B:$B,"&lt;="&amp;'Colln-Summary'!$G$2)</f>
        <v>0</v>
      </c>
      <c r="D146" s="353">
        <f>SUMIFS('Live Collections'!$K:$K,'Live Collections'!$D:$D,'Colln-Summary'!$A146,'Live Collections'!$B:$B,"&gt;="&amp;'Colln-Summary'!$G$1,'Live Collections'!$B:$B,"&lt;="&amp;'Colln-Summary'!$G$2)</f>
        <v>0</v>
      </c>
      <c r="E146" s="353">
        <f>SUMIFS(Disbursements!$F:$F,Disbursements!$B:$B,'Colln-Summary'!$A146,Disbursements!$A:$A,"&gt;="&amp;'Colln-Summary'!$G$1,Disbursements!$A:$A,"&lt;="&amp;'Colln-Summary'!$G$2)</f>
        <v>0</v>
      </c>
      <c r="F146" s="353">
        <f>SUMIFS('Live Collections'!$L:$L,'Live Collections'!$D:$D,'Colln-Summary'!$A146,'Live Collections'!$B:$B,"&gt;="&amp;'Colln-Summary'!$G$1,'Live Collections'!$B:$B,"&lt;="&amp;'Colln-Summary'!$G$2)</f>
        <v>0</v>
      </c>
      <c r="G146" s="353">
        <f>SUMIFS('Live Collections'!$M:$M,'Live Collections'!$D:$D,'Colln-Summary'!$A146,'Live Collections'!$B:$B,"&gt;="&amp;'Colln-Summary'!$G$1,'Live Collections'!$B:$B,"&lt;="&amp;'Colln-Summary'!$G$2)</f>
        <v>0</v>
      </c>
      <c r="H146" s="353">
        <f>SUMIFS('Live Collections'!$N:$N,'Live Collections'!$D:$D,'Colln-Summary'!$A146,'Live Collections'!$B:$B,"&gt;="&amp;'Colln-Summary'!$G$1,'Live Collections'!$B:$B,"&lt;="&amp;'Colln-Summary'!$G$2)</f>
        <v>0</v>
      </c>
      <c r="I146" s="353">
        <f>SUMIFS('Live Collections'!$P:$P,'Live Collections'!$D:$D,'Colln-Summary'!$A146,'Live Collections'!$B:$B,"&gt;="&amp;'Colln-Summary'!$G$1,'Live Collections'!$B:$B,"&lt;="&amp;'Colln-Summary'!$G$2)</f>
        <v>0</v>
      </c>
      <c r="J146" s="353">
        <f>SUMIFS('Live Collections'!$O:$O,'Live Collections'!$D:$D,'Colln-Summary'!$A146,'Live Collections'!$B:$B,"&gt;="&amp;'Colln-Summary'!$G$1,'Live Collections'!$B:$B,"&lt;="&amp;'Colln-Summary'!$G$2)</f>
        <v>325000</v>
      </c>
      <c r="K146" s="360">
        <f>SUMIFS('Live Collections'!$S:$S,'Live Collections'!$D:$D,'Colln-Summary'!$A146,'Live Collections'!$B:$B,"&gt;="&amp;'Colln-Summary'!$G$1,'Live Collections'!$B:$B,"&lt;="&amp;'Colln-Summary'!$G$2)</f>
        <v>13000</v>
      </c>
      <c r="L146" s="360">
        <f>SUMIFS('Live Collections'!$T:$T,'Live Collections'!$D:$D,'Colln-Summary'!$A146,'Live Collections'!$B:$B,"&gt;="&amp;'Colln-Summary'!$G$1,'Live Collections'!$B:$B,"&lt;="&amp;'Colln-Summary'!$G$2)</f>
        <v>312000</v>
      </c>
      <c r="M146" s="258">
        <f t="shared" si="3"/>
        <v>325000</v>
      </c>
    </row>
    <row r="147" spans="1:13" x14ac:dyDescent="0.2">
      <c r="A147" s="478">
        <v>143</v>
      </c>
      <c r="B147" s="352" t="str">
        <f>IFERROR(VLOOKUP($A147,'Clients-Live'!$A:$C,3,0),"")</f>
        <v>MORO HAKIM</v>
      </c>
      <c r="C147" s="353">
        <f>SUMIFS('Live Collections'!$J:$J,'Live Collections'!$D:$D,'Colln-Summary'!$A147,'Live Collections'!$B:$B,"&gt;="&amp;'Colln-Summary'!$G$1,'Live Collections'!$B:$B,"&lt;="&amp;'Colln-Summary'!$G$2)</f>
        <v>0</v>
      </c>
      <c r="D147" s="353">
        <f>SUMIFS('Live Collections'!$K:$K,'Live Collections'!$D:$D,'Colln-Summary'!$A147,'Live Collections'!$B:$B,"&gt;="&amp;'Colln-Summary'!$G$1,'Live Collections'!$B:$B,"&lt;="&amp;'Colln-Summary'!$G$2)</f>
        <v>0</v>
      </c>
      <c r="E147" s="353">
        <f>SUMIFS(Disbursements!$F:$F,Disbursements!$B:$B,'Colln-Summary'!$A147,Disbursements!$A:$A,"&gt;="&amp;'Colln-Summary'!$G$1,Disbursements!$A:$A,"&lt;="&amp;'Colln-Summary'!$G$2)</f>
        <v>0</v>
      </c>
      <c r="F147" s="353">
        <f>SUMIFS('Live Collections'!$L:$L,'Live Collections'!$D:$D,'Colln-Summary'!$A147,'Live Collections'!$B:$B,"&gt;="&amp;'Colln-Summary'!$G$1,'Live Collections'!$B:$B,"&lt;="&amp;'Colln-Summary'!$G$2)</f>
        <v>0</v>
      </c>
      <c r="G147" s="353">
        <f>SUMIFS('Live Collections'!$M:$M,'Live Collections'!$D:$D,'Colln-Summary'!$A147,'Live Collections'!$B:$B,"&gt;="&amp;'Colln-Summary'!$G$1,'Live Collections'!$B:$B,"&lt;="&amp;'Colln-Summary'!$G$2)</f>
        <v>0</v>
      </c>
      <c r="H147" s="353">
        <f>SUMIFS('Live Collections'!$N:$N,'Live Collections'!$D:$D,'Colln-Summary'!$A147,'Live Collections'!$B:$B,"&gt;="&amp;'Colln-Summary'!$G$1,'Live Collections'!$B:$B,"&lt;="&amp;'Colln-Summary'!$G$2)</f>
        <v>0</v>
      </c>
      <c r="I147" s="353">
        <f>SUMIFS('Live Collections'!$P:$P,'Live Collections'!$D:$D,'Colln-Summary'!$A147,'Live Collections'!$B:$B,"&gt;="&amp;'Colln-Summary'!$G$1,'Live Collections'!$B:$B,"&lt;="&amp;'Colln-Summary'!$G$2)</f>
        <v>0</v>
      </c>
      <c r="J147" s="353">
        <f>SUMIFS('Live Collections'!$O:$O,'Live Collections'!$D:$D,'Colln-Summary'!$A147,'Live Collections'!$B:$B,"&gt;="&amp;'Colln-Summary'!$G$1,'Live Collections'!$B:$B,"&lt;="&amp;'Colln-Summary'!$G$2)</f>
        <v>1200000</v>
      </c>
      <c r="K147" s="360">
        <f>SUMIFS('Live Collections'!$S:$S,'Live Collections'!$D:$D,'Colln-Summary'!$A147,'Live Collections'!$B:$B,"&gt;="&amp;'Colln-Summary'!$G$1,'Live Collections'!$B:$B,"&lt;="&amp;'Colln-Summary'!$G$2)</f>
        <v>50666.666666666686</v>
      </c>
      <c r="L147" s="360">
        <f>SUMIFS('Live Collections'!$T:$T,'Live Collections'!$D:$D,'Colln-Summary'!$A147,'Live Collections'!$B:$B,"&gt;="&amp;'Colln-Summary'!$G$1,'Live Collections'!$B:$B,"&lt;="&amp;'Colln-Summary'!$G$2)</f>
        <v>1149333.3333333333</v>
      </c>
      <c r="M147" s="258">
        <f t="shared" si="3"/>
        <v>1200000</v>
      </c>
    </row>
    <row r="148" spans="1:13" x14ac:dyDescent="0.2">
      <c r="A148" s="478">
        <v>144</v>
      </c>
      <c r="B148" s="352" t="str">
        <f>IFERROR(VLOOKUP($A148,'Clients-Live'!$A:$C,3,0),"")</f>
        <v>GBENINGA RUKIA</v>
      </c>
      <c r="C148" s="353">
        <f>SUMIFS('Live Collections'!$J:$J,'Live Collections'!$D:$D,'Colln-Summary'!$A148,'Live Collections'!$B:$B,"&gt;="&amp;'Colln-Summary'!$G$1,'Live Collections'!$B:$B,"&lt;="&amp;'Colln-Summary'!$G$2)</f>
        <v>0</v>
      </c>
      <c r="D148" s="353">
        <f>SUMIFS('Live Collections'!$K:$K,'Live Collections'!$D:$D,'Colln-Summary'!$A148,'Live Collections'!$B:$B,"&gt;="&amp;'Colln-Summary'!$G$1,'Live Collections'!$B:$B,"&lt;="&amp;'Colln-Summary'!$G$2)</f>
        <v>0</v>
      </c>
      <c r="E148" s="353">
        <f>SUMIFS(Disbursements!$F:$F,Disbursements!$B:$B,'Colln-Summary'!$A148,Disbursements!$A:$A,"&gt;="&amp;'Colln-Summary'!$G$1,Disbursements!$A:$A,"&lt;="&amp;'Colln-Summary'!$G$2)</f>
        <v>0</v>
      </c>
      <c r="F148" s="353">
        <f>SUMIFS('Live Collections'!$L:$L,'Live Collections'!$D:$D,'Colln-Summary'!$A148,'Live Collections'!$B:$B,"&gt;="&amp;'Colln-Summary'!$G$1,'Live Collections'!$B:$B,"&lt;="&amp;'Colln-Summary'!$G$2)</f>
        <v>0</v>
      </c>
      <c r="G148" s="353">
        <f>SUMIFS('Live Collections'!$M:$M,'Live Collections'!$D:$D,'Colln-Summary'!$A148,'Live Collections'!$B:$B,"&gt;="&amp;'Colln-Summary'!$G$1,'Live Collections'!$B:$B,"&lt;="&amp;'Colln-Summary'!$G$2)</f>
        <v>0</v>
      </c>
      <c r="H148" s="353">
        <f>SUMIFS('Live Collections'!$N:$N,'Live Collections'!$D:$D,'Colln-Summary'!$A148,'Live Collections'!$B:$B,"&gt;="&amp;'Colln-Summary'!$G$1,'Live Collections'!$B:$B,"&lt;="&amp;'Colln-Summary'!$G$2)</f>
        <v>0</v>
      </c>
      <c r="I148" s="353">
        <f>SUMIFS('Live Collections'!$P:$P,'Live Collections'!$D:$D,'Colln-Summary'!$A148,'Live Collections'!$B:$B,"&gt;="&amp;'Colln-Summary'!$G$1,'Live Collections'!$B:$B,"&lt;="&amp;'Colln-Summary'!$G$2)</f>
        <v>0</v>
      </c>
      <c r="J148" s="353">
        <f>SUMIFS('Live Collections'!$O:$O,'Live Collections'!$D:$D,'Colln-Summary'!$A148,'Live Collections'!$B:$B,"&gt;="&amp;'Colln-Summary'!$G$1,'Live Collections'!$B:$B,"&lt;="&amp;'Colln-Summary'!$G$2)</f>
        <v>20000</v>
      </c>
      <c r="K148" s="360">
        <f>SUMIFS('Live Collections'!$S:$S,'Live Collections'!$D:$D,'Colln-Summary'!$A148,'Live Collections'!$B:$B,"&gt;="&amp;'Colln-Summary'!$G$1,'Live Collections'!$B:$B,"&lt;="&amp;'Colln-Summary'!$G$2)</f>
        <v>0</v>
      </c>
      <c r="L148" s="360">
        <f>SUMIFS('Live Collections'!$T:$T,'Live Collections'!$D:$D,'Colln-Summary'!$A148,'Live Collections'!$B:$B,"&gt;="&amp;'Colln-Summary'!$G$1,'Live Collections'!$B:$B,"&lt;="&amp;'Colln-Summary'!$G$2)</f>
        <v>20000</v>
      </c>
      <c r="M148" s="258">
        <f t="shared" si="3"/>
        <v>20000</v>
      </c>
    </row>
    <row r="149" spans="1:13" x14ac:dyDescent="0.2">
      <c r="A149" s="478">
        <v>145</v>
      </c>
      <c r="B149" s="352" t="str">
        <f>IFERROR(VLOOKUP($A149,'Clients-Live'!$A:$C,3,0),"")</f>
        <v>NIGHT ASARA</v>
      </c>
      <c r="C149" s="353">
        <f>SUMIFS('Live Collections'!$J:$J,'Live Collections'!$D:$D,'Colln-Summary'!$A149,'Live Collections'!$B:$B,"&gt;="&amp;'Colln-Summary'!$G$1,'Live Collections'!$B:$B,"&lt;="&amp;'Colln-Summary'!$G$2)</f>
        <v>0</v>
      </c>
      <c r="D149" s="353">
        <f>SUMIFS('Live Collections'!$K:$K,'Live Collections'!$D:$D,'Colln-Summary'!$A149,'Live Collections'!$B:$B,"&gt;="&amp;'Colln-Summary'!$G$1,'Live Collections'!$B:$B,"&lt;="&amp;'Colln-Summary'!$G$2)</f>
        <v>0</v>
      </c>
      <c r="E149" s="353">
        <f>SUMIFS(Disbursements!$F:$F,Disbursements!$B:$B,'Colln-Summary'!$A149,Disbursements!$A:$A,"&gt;="&amp;'Colln-Summary'!$G$1,Disbursements!$A:$A,"&lt;="&amp;'Colln-Summary'!$G$2)</f>
        <v>0</v>
      </c>
      <c r="F149" s="353">
        <f>SUMIFS('Live Collections'!$L:$L,'Live Collections'!$D:$D,'Colln-Summary'!$A149,'Live Collections'!$B:$B,"&gt;="&amp;'Colln-Summary'!$G$1,'Live Collections'!$B:$B,"&lt;="&amp;'Colln-Summary'!$G$2)</f>
        <v>0</v>
      </c>
      <c r="G149" s="353">
        <f>SUMIFS('Live Collections'!$M:$M,'Live Collections'!$D:$D,'Colln-Summary'!$A149,'Live Collections'!$B:$B,"&gt;="&amp;'Colln-Summary'!$G$1,'Live Collections'!$B:$B,"&lt;="&amp;'Colln-Summary'!$G$2)</f>
        <v>0</v>
      </c>
      <c r="H149" s="353">
        <f>SUMIFS('Live Collections'!$N:$N,'Live Collections'!$D:$D,'Colln-Summary'!$A149,'Live Collections'!$B:$B,"&gt;="&amp;'Colln-Summary'!$G$1,'Live Collections'!$B:$B,"&lt;="&amp;'Colln-Summary'!$G$2)</f>
        <v>0</v>
      </c>
      <c r="I149" s="353">
        <f>SUMIFS('Live Collections'!$P:$P,'Live Collections'!$D:$D,'Colln-Summary'!$A149,'Live Collections'!$B:$B,"&gt;="&amp;'Colln-Summary'!$G$1,'Live Collections'!$B:$B,"&lt;="&amp;'Colln-Summary'!$G$2)</f>
        <v>0</v>
      </c>
      <c r="J149" s="353">
        <f>SUMIFS('Live Collections'!$O:$O,'Live Collections'!$D:$D,'Colln-Summary'!$A149,'Live Collections'!$B:$B,"&gt;="&amp;'Colln-Summary'!$G$1,'Live Collections'!$B:$B,"&lt;="&amp;'Colln-Summary'!$G$2)</f>
        <v>0</v>
      </c>
      <c r="K149" s="360">
        <f>SUMIFS('Live Collections'!$S:$S,'Live Collections'!$D:$D,'Colln-Summary'!$A149,'Live Collections'!$B:$B,"&gt;="&amp;'Colln-Summary'!$G$1,'Live Collections'!$B:$B,"&lt;="&amp;'Colln-Summary'!$G$2)</f>
        <v>0</v>
      </c>
      <c r="L149" s="360">
        <f>SUMIFS('Live Collections'!$T:$T,'Live Collections'!$D:$D,'Colln-Summary'!$A149,'Live Collections'!$B:$B,"&gt;="&amp;'Colln-Summary'!$G$1,'Live Collections'!$B:$B,"&lt;="&amp;'Colln-Summary'!$G$2)</f>
        <v>0</v>
      </c>
      <c r="M149" s="258">
        <f t="shared" si="3"/>
        <v>0</v>
      </c>
    </row>
    <row r="150" spans="1:13" x14ac:dyDescent="0.2">
      <c r="A150" s="478">
        <v>146</v>
      </c>
      <c r="B150" s="352" t="str">
        <f>IFERROR(VLOOKUP($A150,'Clients-Live'!$A:$C,3,0),"")</f>
        <v>IMBIRA AISHA</v>
      </c>
      <c r="C150" s="353">
        <f>SUMIFS('Live Collections'!$J:$J,'Live Collections'!$D:$D,'Colln-Summary'!$A150,'Live Collections'!$B:$B,"&gt;="&amp;'Colln-Summary'!$G$1,'Live Collections'!$B:$B,"&lt;="&amp;'Colln-Summary'!$G$2)</f>
        <v>0</v>
      </c>
      <c r="D150" s="353">
        <f>SUMIFS('Live Collections'!$K:$K,'Live Collections'!$D:$D,'Colln-Summary'!$A150,'Live Collections'!$B:$B,"&gt;="&amp;'Colln-Summary'!$G$1,'Live Collections'!$B:$B,"&lt;="&amp;'Colln-Summary'!$G$2)</f>
        <v>0</v>
      </c>
      <c r="E150" s="353">
        <f>SUMIFS(Disbursements!$F:$F,Disbursements!$B:$B,'Colln-Summary'!$A150,Disbursements!$A:$A,"&gt;="&amp;'Colln-Summary'!$G$1,Disbursements!$A:$A,"&lt;="&amp;'Colln-Summary'!$G$2)</f>
        <v>0</v>
      </c>
      <c r="F150" s="353">
        <f>SUMIFS('Live Collections'!$L:$L,'Live Collections'!$D:$D,'Colln-Summary'!$A150,'Live Collections'!$B:$B,"&gt;="&amp;'Colln-Summary'!$G$1,'Live Collections'!$B:$B,"&lt;="&amp;'Colln-Summary'!$G$2)</f>
        <v>0</v>
      </c>
      <c r="G150" s="353">
        <f>SUMIFS('Live Collections'!$M:$M,'Live Collections'!$D:$D,'Colln-Summary'!$A150,'Live Collections'!$B:$B,"&gt;="&amp;'Colln-Summary'!$G$1,'Live Collections'!$B:$B,"&lt;="&amp;'Colln-Summary'!$G$2)</f>
        <v>0</v>
      </c>
      <c r="H150" s="353">
        <f>SUMIFS('Live Collections'!$N:$N,'Live Collections'!$D:$D,'Colln-Summary'!$A150,'Live Collections'!$B:$B,"&gt;="&amp;'Colln-Summary'!$G$1,'Live Collections'!$B:$B,"&lt;="&amp;'Colln-Summary'!$G$2)</f>
        <v>0</v>
      </c>
      <c r="I150" s="353">
        <f>SUMIFS('Live Collections'!$P:$P,'Live Collections'!$D:$D,'Colln-Summary'!$A150,'Live Collections'!$B:$B,"&gt;="&amp;'Colln-Summary'!$G$1,'Live Collections'!$B:$B,"&lt;="&amp;'Colln-Summary'!$G$2)</f>
        <v>0</v>
      </c>
      <c r="J150" s="353">
        <f>SUMIFS('Live Collections'!$O:$O,'Live Collections'!$D:$D,'Colln-Summary'!$A150,'Live Collections'!$B:$B,"&gt;="&amp;'Colln-Summary'!$G$1,'Live Collections'!$B:$B,"&lt;="&amp;'Colln-Summary'!$G$2)</f>
        <v>0</v>
      </c>
      <c r="K150" s="360">
        <f>SUMIFS('Live Collections'!$S:$S,'Live Collections'!$D:$D,'Colln-Summary'!$A150,'Live Collections'!$B:$B,"&gt;="&amp;'Colln-Summary'!$G$1,'Live Collections'!$B:$B,"&lt;="&amp;'Colln-Summary'!$G$2)</f>
        <v>0</v>
      </c>
      <c r="L150" s="360">
        <f>SUMIFS('Live Collections'!$T:$T,'Live Collections'!$D:$D,'Colln-Summary'!$A150,'Live Collections'!$B:$B,"&gt;="&amp;'Colln-Summary'!$G$1,'Live Collections'!$B:$B,"&lt;="&amp;'Colln-Summary'!$G$2)</f>
        <v>0</v>
      </c>
      <c r="M150" s="258">
        <f t="shared" si="3"/>
        <v>0</v>
      </c>
    </row>
    <row r="151" spans="1:13" x14ac:dyDescent="0.2">
      <c r="A151" s="478">
        <v>147</v>
      </c>
      <c r="B151" s="352" t="str">
        <f>IFERROR(VLOOKUP($A151,'Clients-Live'!$A:$C,3,0),"")</f>
        <v>DRICIRU MARGRET</v>
      </c>
      <c r="C151" s="353">
        <f>SUMIFS('Live Collections'!$J:$J,'Live Collections'!$D:$D,'Colln-Summary'!$A151,'Live Collections'!$B:$B,"&gt;="&amp;'Colln-Summary'!$G$1,'Live Collections'!$B:$B,"&lt;="&amp;'Colln-Summary'!$G$2)</f>
        <v>0</v>
      </c>
      <c r="D151" s="353">
        <f>SUMIFS('Live Collections'!$K:$K,'Live Collections'!$D:$D,'Colln-Summary'!$A151,'Live Collections'!$B:$B,"&gt;="&amp;'Colln-Summary'!$G$1,'Live Collections'!$B:$B,"&lt;="&amp;'Colln-Summary'!$G$2)</f>
        <v>0</v>
      </c>
      <c r="E151" s="353">
        <f>SUMIFS(Disbursements!$F:$F,Disbursements!$B:$B,'Colln-Summary'!$A151,Disbursements!$A:$A,"&gt;="&amp;'Colln-Summary'!$G$1,Disbursements!$A:$A,"&lt;="&amp;'Colln-Summary'!$G$2)</f>
        <v>0</v>
      </c>
      <c r="F151" s="353">
        <f>SUMIFS('Live Collections'!$L:$L,'Live Collections'!$D:$D,'Colln-Summary'!$A151,'Live Collections'!$B:$B,"&gt;="&amp;'Colln-Summary'!$G$1,'Live Collections'!$B:$B,"&lt;="&amp;'Colln-Summary'!$G$2)</f>
        <v>0</v>
      </c>
      <c r="G151" s="353">
        <f>SUMIFS('Live Collections'!$M:$M,'Live Collections'!$D:$D,'Colln-Summary'!$A151,'Live Collections'!$B:$B,"&gt;="&amp;'Colln-Summary'!$G$1,'Live Collections'!$B:$B,"&lt;="&amp;'Colln-Summary'!$G$2)</f>
        <v>0</v>
      </c>
      <c r="H151" s="353">
        <f>SUMIFS('Live Collections'!$N:$N,'Live Collections'!$D:$D,'Colln-Summary'!$A151,'Live Collections'!$B:$B,"&gt;="&amp;'Colln-Summary'!$G$1,'Live Collections'!$B:$B,"&lt;="&amp;'Colln-Summary'!$G$2)</f>
        <v>0</v>
      </c>
      <c r="I151" s="353">
        <f>SUMIFS('Live Collections'!$P:$P,'Live Collections'!$D:$D,'Colln-Summary'!$A151,'Live Collections'!$B:$B,"&gt;="&amp;'Colln-Summary'!$G$1,'Live Collections'!$B:$B,"&lt;="&amp;'Colln-Summary'!$G$2)</f>
        <v>-120000</v>
      </c>
      <c r="J151" s="353">
        <f>SUMIFS('Live Collections'!$O:$O,'Live Collections'!$D:$D,'Colln-Summary'!$A151,'Live Collections'!$B:$B,"&gt;="&amp;'Colln-Summary'!$G$1,'Live Collections'!$B:$B,"&lt;="&amp;'Colln-Summary'!$G$2)</f>
        <v>600000</v>
      </c>
      <c r="K151" s="360">
        <f>SUMIFS('Live Collections'!$S:$S,'Live Collections'!$D:$D,'Colln-Summary'!$A151,'Live Collections'!$B:$B,"&gt;="&amp;'Colln-Summary'!$G$1,'Live Collections'!$B:$B,"&lt;="&amp;'Colln-Summary'!$G$2)</f>
        <v>204000</v>
      </c>
      <c r="L151" s="360">
        <f>SUMIFS('Live Collections'!$T:$T,'Live Collections'!$D:$D,'Colln-Summary'!$A151,'Live Collections'!$B:$B,"&gt;="&amp;'Colln-Summary'!$G$1,'Live Collections'!$B:$B,"&lt;="&amp;'Colln-Summary'!$G$2)</f>
        <v>396000</v>
      </c>
      <c r="M151" s="258">
        <f t="shared" si="3"/>
        <v>480000</v>
      </c>
    </row>
    <row r="152" spans="1:13" x14ac:dyDescent="0.2">
      <c r="A152" s="478">
        <v>148</v>
      </c>
      <c r="B152" s="352" t="str">
        <f>IFERROR(VLOOKUP($A152,'Clients-Live'!$A:$C,3,0),"")</f>
        <v>GBOKA ZAIDA</v>
      </c>
      <c r="C152" s="353">
        <f>SUMIFS('Live Collections'!$J:$J,'Live Collections'!$D:$D,'Colln-Summary'!$A152,'Live Collections'!$B:$B,"&gt;="&amp;'Colln-Summary'!$G$1,'Live Collections'!$B:$B,"&lt;="&amp;'Colln-Summary'!$G$2)</f>
        <v>0</v>
      </c>
      <c r="D152" s="353">
        <f>SUMIFS('Live Collections'!$K:$K,'Live Collections'!$D:$D,'Colln-Summary'!$A152,'Live Collections'!$B:$B,"&gt;="&amp;'Colln-Summary'!$G$1,'Live Collections'!$B:$B,"&lt;="&amp;'Colln-Summary'!$G$2)</f>
        <v>0</v>
      </c>
      <c r="E152" s="353">
        <f>SUMIFS(Disbursements!$F:$F,Disbursements!$B:$B,'Colln-Summary'!$A152,Disbursements!$A:$A,"&gt;="&amp;'Colln-Summary'!$G$1,Disbursements!$A:$A,"&lt;="&amp;'Colln-Summary'!$G$2)</f>
        <v>0</v>
      </c>
      <c r="F152" s="353">
        <f>SUMIFS('Live Collections'!$L:$L,'Live Collections'!$D:$D,'Colln-Summary'!$A152,'Live Collections'!$B:$B,"&gt;="&amp;'Colln-Summary'!$G$1,'Live Collections'!$B:$B,"&lt;="&amp;'Colln-Summary'!$G$2)</f>
        <v>0</v>
      </c>
      <c r="G152" s="353">
        <f>SUMIFS('Live Collections'!$M:$M,'Live Collections'!$D:$D,'Colln-Summary'!$A152,'Live Collections'!$B:$B,"&gt;="&amp;'Colln-Summary'!$G$1,'Live Collections'!$B:$B,"&lt;="&amp;'Colln-Summary'!$G$2)</f>
        <v>0</v>
      </c>
      <c r="H152" s="353">
        <f>SUMIFS('Live Collections'!$N:$N,'Live Collections'!$D:$D,'Colln-Summary'!$A152,'Live Collections'!$B:$B,"&gt;="&amp;'Colln-Summary'!$G$1,'Live Collections'!$B:$B,"&lt;="&amp;'Colln-Summary'!$G$2)</f>
        <v>0</v>
      </c>
      <c r="I152" s="353">
        <f>SUMIFS('Live Collections'!$P:$P,'Live Collections'!$D:$D,'Colln-Summary'!$A152,'Live Collections'!$B:$B,"&gt;="&amp;'Colln-Summary'!$G$1,'Live Collections'!$B:$B,"&lt;="&amp;'Colln-Summary'!$G$2)</f>
        <v>0</v>
      </c>
      <c r="J152" s="353">
        <f>SUMIFS('Live Collections'!$O:$O,'Live Collections'!$D:$D,'Colln-Summary'!$A152,'Live Collections'!$B:$B,"&gt;="&amp;'Colln-Summary'!$G$1,'Live Collections'!$B:$B,"&lt;="&amp;'Colln-Summary'!$G$2)</f>
        <v>110000</v>
      </c>
      <c r="K152" s="360">
        <f>SUMIFS('Live Collections'!$S:$S,'Live Collections'!$D:$D,'Colln-Summary'!$A152,'Live Collections'!$B:$B,"&gt;="&amp;'Colln-Summary'!$G$1,'Live Collections'!$B:$B,"&lt;="&amp;'Colln-Summary'!$G$2)</f>
        <v>65000</v>
      </c>
      <c r="L152" s="360">
        <f>SUMIFS('Live Collections'!$T:$T,'Live Collections'!$D:$D,'Colln-Summary'!$A152,'Live Collections'!$B:$B,"&gt;="&amp;'Colln-Summary'!$G$1,'Live Collections'!$B:$B,"&lt;="&amp;'Colln-Summary'!$G$2)</f>
        <v>45000</v>
      </c>
      <c r="M152" s="258">
        <f t="shared" si="3"/>
        <v>110000</v>
      </c>
    </row>
    <row r="153" spans="1:13" x14ac:dyDescent="0.2">
      <c r="A153" s="478">
        <v>149</v>
      </c>
      <c r="B153" s="352" t="str">
        <f>IFERROR(VLOOKUP($A153,'Clients-Live'!$A:$C,3,0),"")</f>
        <v>SIKA AMIDRA</v>
      </c>
      <c r="C153" s="353">
        <f>SUMIFS('Live Collections'!$J:$J,'Live Collections'!$D:$D,'Colln-Summary'!$A153,'Live Collections'!$B:$B,"&gt;="&amp;'Colln-Summary'!$G$1,'Live Collections'!$B:$B,"&lt;="&amp;'Colln-Summary'!$G$2)</f>
        <v>0</v>
      </c>
      <c r="D153" s="353">
        <f>SUMIFS('Live Collections'!$K:$K,'Live Collections'!$D:$D,'Colln-Summary'!$A153,'Live Collections'!$B:$B,"&gt;="&amp;'Colln-Summary'!$G$1,'Live Collections'!$B:$B,"&lt;="&amp;'Colln-Summary'!$G$2)</f>
        <v>0</v>
      </c>
      <c r="E153" s="353">
        <f>SUMIFS(Disbursements!$F:$F,Disbursements!$B:$B,'Colln-Summary'!$A153,Disbursements!$A:$A,"&gt;="&amp;'Colln-Summary'!$G$1,Disbursements!$A:$A,"&lt;="&amp;'Colln-Summary'!$G$2)</f>
        <v>0</v>
      </c>
      <c r="F153" s="353">
        <f>SUMIFS('Live Collections'!$L:$L,'Live Collections'!$D:$D,'Colln-Summary'!$A153,'Live Collections'!$B:$B,"&gt;="&amp;'Colln-Summary'!$G$1,'Live Collections'!$B:$B,"&lt;="&amp;'Colln-Summary'!$G$2)</f>
        <v>0</v>
      </c>
      <c r="G153" s="353">
        <f>SUMIFS('Live Collections'!$M:$M,'Live Collections'!$D:$D,'Colln-Summary'!$A153,'Live Collections'!$B:$B,"&gt;="&amp;'Colln-Summary'!$G$1,'Live Collections'!$B:$B,"&lt;="&amp;'Colln-Summary'!$G$2)</f>
        <v>0</v>
      </c>
      <c r="H153" s="353">
        <f>SUMIFS('Live Collections'!$N:$N,'Live Collections'!$D:$D,'Colln-Summary'!$A153,'Live Collections'!$B:$B,"&gt;="&amp;'Colln-Summary'!$G$1,'Live Collections'!$B:$B,"&lt;="&amp;'Colln-Summary'!$G$2)</f>
        <v>0</v>
      </c>
      <c r="I153" s="353">
        <f>SUMIFS('Live Collections'!$P:$P,'Live Collections'!$D:$D,'Colln-Summary'!$A153,'Live Collections'!$B:$B,"&gt;="&amp;'Colln-Summary'!$G$1,'Live Collections'!$B:$B,"&lt;="&amp;'Colln-Summary'!$G$2)</f>
        <v>0</v>
      </c>
      <c r="J153" s="353">
        <f>SUMIFS('Live Collections'!$O:$O,'Live Collections'!$D:$D,'Colln-Summary'!$A153,'Live Collections'!$B:$B,"&gt;="&amp;'Colln-Summary'!$G$1,'Live Collections'!$B:$B,"&lt;="&amp;'Colln-Summary'!$G$2)</f>
        <v>0</v>
      </c>
      <c r="K153" s="360">
        <f>SUMIFS('Live Collections'!$S:$S,'Live Collections'!$D:$D,'Colln-Summary'!$A153,'Live Collections'!$B:$B,"&gt;="&amp;'Colln-Summary'!$G$1,'Live Collections'!$B:$B,"&lt;="&amp;'Colln-Summary'!$G$2)</f>
        <v>0</v>
      </c>
      <c r="L153" s="360">
        <f>SUMIFS('Live Collections'!$T:$T,'Live Collections'!$D:$D,'Colln-Summary'!$A153,'Live Collections'!$B:$B,"&gt;="&amp;'Colln-Summary'!$G$1,'Live Collections'!$B:$B,"&lt;="&amp;'Colln-Summary'!$G$2)</f>
        <v>0</v>
      </c>
      <c r="M153" s="258">
        <f t="shared" si="3"/>
        <v>0</v>
      </c>
    </row>
    <row r="154" spans="1:13" x14ac:dyDescent="0.2">
      <c r="A154" s="478">
        <v>150</v>
      </c>
      <c r="B154" s="352" t="str">
        <f>IFERROR(VLOOKUP($A154,'Clients-Live'!$A:$C,3,0),"")</f>
        <v>ALOKE KENNEDY</v>
      </c>
      <c r="C154" s="353">
        <f>SUMIFS('Live Collections'!$J:$J,'Live Collections'!$D:$D,'Colln-Summary'!$A154,'Live Collections'!$B:$B,"&gt;="&amp;'Colln-Summary'!$G$1,'Live Collections'!$B:$B,"&lt;="&amp;'Colln-Summary'!$G$2)</f>
        <v>0</v>
      </c>
      <c r="D154" s="353">
        <f>SUMIFS('Live Collections'!$K:$K,'Live Collections'!$D:$D,'Colln-Summary'!$A154,'Live Collections'!$B:$B,"&gt;="&amp;'Colln-Summary'!$G$1,'Live Collections'!$B:$B,"&lt;="&amp;'Colln-Summary'!$G$2)</f>
        <v>0</v>
      </c>
      <c r="E154" s="353">
        <f>SUMIFS(Disbursements!$F:$F,Disbursements!$B:$B,'Colln-Summary'!$A154,Disbursements!$A:$A,"&gt;="&amp;'Colln-Summary'!$G$1,Disbursements!$A:$A,"&lt;="&amp;'Colln-Summary'!$G$2)</f>
        <v>0</v>
      </c>
      <c r="F154" s="353">
        <f>SUMIFS('Live Collections'!$L:$L,'Live Collections'!$D:$D,'Colln-Summary'!$A154,'Live Collections'!$B:$B,"&gt;="&amp;'Colln-Summary'!$G$1,'Live Collections'!$B:$B,"&lt;="&amp;'Colln-Summary'!$G$2)</f>
        <v>0</v>
      </c>
      <c r="G154" s="353">
        <f>SUMIFS('Live Collections'!$M:$M,'Live Collections'!$D:$D,'Colln-Summary'!$A154,'Live Collections'!$B:$B,"&gt;="&amp;'Colln-Summary'!$G$1,'Live Collections'!$B:$B,"&lt;="&amp;'Colln-Summary'!$G$2)</f>
        <v>0</v>
      </c>
      <c r="H154" s="353">
        <f>SUMIFS('Live Collections'!$N:$N,'Live Collections'!$D:$D,'Colln-Summary'!$A154,'Live Collections'!$B:$B,"&gt;="&amp;'Colln-Summary'!$G$1,'Live Collections'!$B:$B,"&lt;="&amp;'Colln-Summary'!$G$2)</f>
        <v>0</v>
      </c>
      <c r="I154" s="353">
        <f>SUMIFS('Live Collections'!$P:$P,'Live Collections'!$D:$D,'Colln-Summary'!$A154,'Live Collections'!$B:$B,"&gt;="&amp;'Colln-Summary'!$G$1,'Live Collections'!$B:$B,"&lt;="&amp;'Colln-Summary'!$G$2)</f>
        <v>0</v>
      </c>
      <c r="J154" s="353">
        <f>SUMIFS('Live Collections'!$O:$O,'Live Collections'!$D:$D,'Colln-Summary'!$A154,'Live Collections'!$B:$B,"&gt;="&amp;'Colln-Summary'!$G$1,'Live Collections'!$B:$B,"&lt;="&amp;'Colln-Summary'!$G$2)</f>
        <v>0</v>
      </c>
      <c r="K154" s="360">
        <f>SUMIFS('Live Collections'!$S:$S,'Live Collections'!$D:$D,'Colln-Summary'!$A154,'Live Collections'!$B:$B,"&gt;="&amp;'Colln-Summary'!$G$1,'Live Collections'!$B:$B,"&lt;="&amp;'Colln-Summary'!$G$2)</f>
        <v>0</v>
      </c>
      <c r="L154" s="360">
        <f>SUMIFS('Live Collections'!$T:$T,'Live Collections'!$D:$D,'Colln-Summary'!$A154,'Live Collections'!$B:$B,"&gt;="&amp;'Colln-Summary'!$G$1,'Live Collections'!$B:$B,"&lt;="&amp;'Colln-Summary'!$G$2)</f>
        <v>0</v>
      </c>
      <c r="M154" s="258">
        <f t="shared" si="3"/>
        <v>0</v>
      </c>
    </row>
    <row r="155" spans="1:13" x14ac:dyDescent="0.2">
      <c r="A155" s="478">
        <v>151</v>
      </c>
      <c r="B155" s="352" t="str">
        <f>IFERROR(VLOOKUP($A155,'Clients-Live'!$A:$C,3,0),"")</f>
        <v>MORRO HASSAN</v>
      </c>
      <c r="C155" s="353">
        <f>SUMIFS('Live Collections'!$J:$J,'Live Collections'!$D:$D,'Colln-Summary'!$A155,'Live Collections'!$B:$B,"&gt;="&amp;'Colln-Summary'!$G$1,'Live Collections'!$B:$B,"&lt;="&amp;'Colln-Summary'!$G$2)</f>
        <v>0</v>
      </c>
      <c r="D155" s="353">
        <f>SUMIFS('Live Collections'!$K:$K,'Live Collections'!$D:$D,'Colln-Summary'!$A155,'Live Collections'!$B:$B,"&gt;="&amp;'Colln-Summary'!$G$1,'Live Collections'!$B:$B,"&lt;="&amp;'Colln-Summary'!$G$2)</f>
        <v>0</v>
      </c>
      <c r="E155" s="353">
        <f>SUMIFS(Disbursements!$F:$F,Disbursements!$B:$B,'Colln-Summary'!$A155,Disbursements!$A:$A,"&gt;="&amp;'Colln-Summary'!$G$1,Disbursements!$A:$A,"&lt;="&amp;'Colln-Summary'!$G$2)</f>
        <v>0</v>
      </c>
      <c r="F155" s="353">
        <f>SUMIFS('Live Collections'!$L:$L,'Live Collections'!$D:$D,'Colln-Summary'!$A155,'Live Collections'!$B:$B,"&gt;="&amp;'Colln-Summary'!$G$1,'Live Collections'!$B:$B,"&lt;="&amp;'Colln-Summary'!$G$2)</f>
        <v>0</v>
      </c>
      <c r="G155" s="353">
        <f>SUMIFS('Live Collections'!$M:$M,'Live Collections'!$D:$D,'Colln-Summary'!$A155,'Live Collections'!$B:$B,"&gt;="&amp;'Colln-Summary'!$G$1,'Live Collections'!$B:$B,"&lt;="&amp;'Colln-Summary'!$G$2)</f>
        <v>0</v>
      </c>
      <c r="H155" s="353">
        <f>SUMIFS('Live Collections'!$N:$N,'Live Collections'!$D:$D,'Colln-Summary'!$A155,'Live Collections'!$B:$B,"&gt;="&amp;'Colln-Summary'!$G$1,'Live Collections'!$B:$B,"&lt;="&amp;'Colln-Summary'!$G$2)</f>
        <v>0</v>
      </c>
      <c r="I155" s="353">
        <f>SUMIFS('Live Collections'!$P:$P,'Live Collections'!$D:$D,'Colln-Summary'!$A155,'Live Collections'!$B:$B,"&gt;="&amp;'Colln-Summary'!$G$1,'Live Collections'!$B:$B,"&lt;="&amp;'Colln-Summary'!$G$2)</f>
        <v>0</v>
      </c>
      <c r="J155" s="353">
        <f>SUMIFS('Live Collections'!$O:$O,'Live Collections'!$D:$D,'Colln-Summary'!$A155,'Live Collections'!$B:$B,"&gt;="&amp;'Colln-Summary'!$G$1,'Live Collections'!$B:$B,"&lt;="&amp;'Colln-Summary'!$G$2)</f>
        <v>0</v>
      </c>
      <c r="K155" s="360">
        <f>SUMIFS('Live Collections'!$S:$S,'Live Collections'!$D:$D,'Colln-Summary'!$A155,'Live Collections'!$B:$B,"&gt;="&amp;'Colln-Summary'!$G$1,'Live Collections'!$B:$B,"&lt;="&amp;'Colln-Summary'!$G$2)</f>
        <v>0</v>
      </c>
      <c r="L155" s="360">
        <f>SUMIFS('Live Collections'!$T:$T,'Live Collections'!$D:$D,'Colln-Summary'!$A155,'Live Collections'!$B:$B,"&gt;="&amp;'Colln-Summary'!$G$1,'Live Collections'!$B:$B,"&lt;="&amp;'Colln-Summary'!$G$2)</f>
        <v>0</v>
      </c>
      <c r="M155" s="258">
        <f t="shared" si="3"/>
        <v>0</v>
      </c>
    </row>
    <row r="156" spans="1:13" x14ac:dyDescent="0.2">
      <c r="A156" s="478">
        <v>152</v>
      </c>
      <c r="B156" s="352" t="str">
        <f>IFERROR(VLOOKUP($A156,'Clients-Live'!$A:$C,3,0),"")</f>
        <v>ASE ZAINABU</v>
      </c>
      <c r="C156" s="353">
        <f>SUMIFS('Live Collections'!$J:$J,'Live Collections'!$D:$D,'Colln-Summary'!$A156,'Live Collections'!$B:$B,"&gt;="&amp;'Colln-Summary'!$G$1,'Live Collections'!$B:$B,"&lt;="&amp;'Colln-Summary'!$G$2)</f>
        <v>0</v>
      </c>
      <c r="D156" s="353">
        <f>SUMIFS('Live Collections'!$K:$K,'Live Collections'!$D:$D,'Colln-Summary'!$A156,'Live Collections'!$B:$B,"&gt;="&amp;'Colln-Summary'!$G$1,'Live Collections'!$B:$B,"&lt;="&amp;'Colln-Summary'!$G$2)</f>
        <v>0</v>
      </c>
      <c r="E156" s="353">
        <f>SUMIFS(Disbursements!$F:$F,Disbursements!$B:$B,'Colln-Summary'!$A156,Disbursements!$A:$A,"&gt;="&amp;'Colln-Summary'!$G$1,Disbursements!$A:$A,"&lt;="&amp;'Colln-Summary'!$G$2)</f>
        <v>500000</v>
      </c>
      <c r="F156" s="353">
        <f>SUMIFS('Live Collections'!$L:$L,'Live Collections'!$D:$D,'Colln-Summary'!$A156,'Live Collections'!$B:$B,"&gt;="&amp;'Colln-Summary'!$G$1,'Live Collections'!$B:$B,"&lt;="&amp;'Colln-Summary'!$G$2)</f>
        <v>20000</v>
      </c>
      <c r="G156" s="353">
        <f>SUMIFS('Live Collections'!$M:$M,'Live Collections'!$D:$D,'Colln-Summary'!$A156,'Live Collections'!$B:$B,"&gt;="&amp;'Colln-Summary'!$G$1,'Live Collections'!$B:$B,"&lt;="&amp;'Colln-Summary'!$G$2)</f>
        <v>5000</v>
      </c>
      <c r="H156" s="353">
        <f>SUMIFS('Live Collections'!$N:$N,'Live Collections'!$D:$D,'Colln-Summary'!$A156,'Live Collections'!$B:$B,"&gt;="&amp;'Colln-Summary'!$G$1,'Live Collections'!$B:$B,"&lt;="&amp;'Colln-Summary'!$G$2)</f>
        <v>0</v>
      </c>
      <c r="I156" s="353">
        <f>SUMIFS('Live Collections'!$P:$P,'Live Collections'!$D:$D,'Colln-Summary'!$A156,'Live Collections'!$B:$B,"&gt;="&amp;'Colln-Summary'!$G$1,'Live Collections'!$B:$B,"&lt;="&amp;'Colln-Summary'!$G$2)</f>
        <v>50000</v>
      </c>
      <c r="J156" s="353">
        <f>SUMIFS('Live Collections'!$O:$O,'Live Collections'!$D:$D,'Colln-Summary'!$A156,'Live Collections'!$B:$B,"&gt;="&amp;'Colln-Summary'!$G$1,'Live Collections'!$B:$B,"&lt;="&amp;'Colln-Summary'!$G$2)</f>
        <v>78000</v>
      </c>
      <c r="K156" s="360">
        <f>SUMIFS('Live Collections'!$S:$S,'Live Collections'!$D:$D,'Colln-Summary'!$A156,'Live Collections'!$B:$B,"&gt;="&amp;'Colln-Summary'!$G$1,'Live Collections'!$B:$B,"&lt;="&amp;'Colln-Summary'!$G$2)</f>
        <v>30000</v>
      </c>
      <c r="L156" s="360">
        <f>SUMIFS('Live Collections'!$T:$T,'Live Collections'!$D:$D,'Colln-Summary'!$A156,'Live Collections'!$B:$B,"&gt;="&amp;'Colln-Summary'!$G$1,'Live Collections'!$B:$B,"&lt;="&amp;'Colln-Summary'!$G$2)</f>
        <v>48000</v>
      </c>
      <c r="M156" s="258">
        <f t="shared" si="3"/>
        <v>653000</v>
      </c>
    </row>
    <row r="157" spans="1:13" x14ac:dyDescent="0.2">
      <c r="A157" s="478">
        <v>153</v>
      </c>
      <c r="B157" s="352" t="str">
        <f>IFERROR(VLOOKUP($A157,'Clients-Live'!$A:$C,3,0),"")</f>
        <v>ALEMI SEBI</v>
      </c>
      <c r="C157" s="353">
        <f>SUMIFS('Live Collections'!$J:$J,'Live Collections'!$D:$D,'Colln-Summary'!$A157,'Live Collections'!$B:$B,"&gt;="&amp;'Colln-Summary'!$G$1,'Live Collections'!$B:$B,"&lt;="&amp;'Colln-Summary'!$G$2)</f>
        <v>0</v>
      </c>
      <c r="D157" s="353">
        <f>SUMIFS('Live Collections'!$K:$K,'Live Collections'!$D:$D,'Colln-Summary'!$A157,'Live Collections'!$B:$B,"&gt;="&amp;'Colln-Summary'!$G$1,'Live Collections'!$B:$B,"&lt;="&amp;'Colln-Summary'!$G$2)</f>
        <v>0</v>
      </c>
      <c r="E157" s="353">
        <f>SUMIFS(Disbursements!$F:$F,Disbursements!$B:$B,'Colln-Summary'!$A157,Disbursements!$A:$A,"&gt;="&amp;'Colln-Summary'!$G$1,Disbursements!$A:$A,"&lt;="&amp;'Colln-Summary'!$G$2)</f>
        <v>0</v>
      </c>
      <c r="F157" s="353">
        <f>SUMIFS('Live Collections'!$L:$L,'Live Collections'!$D:$D,'Colln-Summary'!$A157,'Live Collections'!$B:$B,"&gt;="&amp;'Colln-Summary'!$G$1,'Live Collections'!$B:$B,"&lt;="&amp;'Colln-Summary'!$G$2)</f>
        <v>0</v>
      </c>
      <c r="G157" s="353">
        <f>SUMIFS('Live Collections'!$M:$M,'Live Collections'!$D:$D,'Colln-Summary'!$A157,'Live Collections'!$B:$B,"&gt;="&amp;'Colln-Summary'!$G$1,'Live Collections'!$B:$B,"&lt;="&amp;'Colln-Summary'!$G$2)</f>
        <v>0</v>
      </c>
      <c r="H157" s="353">
        <f>SUMIFS('Live Collections'!$N:$N,'Live Collections'!$D:$D,'Colln-Summary'!$A157,'Live Collections'!$B:$B,"&gt;="&amp;'Colln-Summary'!$G$1,'Live Collections'!$B:$B,"&lt;="&amp;'Colln-Summary'!$G$2)</f>
        <v>0</v>
      </c>
      <c r="I157" s="353">
        <f>SUMIFS('Live Collections'!$P:$P,'Live Collections'!$D:$D,'Colln-Summary'!$A157,'Live Collections'!$B:$B,"&gt;="&amp;'Colln-Summary'!$G$1,'Live Collections'!$B:$B,"&lt;="&amp;'Colln-Summary'!$G$2)</f>
        <v>0</v>
      </c>
      <c r="J157" s="353">
        <f>SUMIFS('Live Collections'!$O:$O,'Live Collections'!$D:$D,'Colln-Summary'!$A157,'Live Collections'!$B:$B,"&gt;="&amp;'Colln-Summary'!$G$1,'Live Collections'!$B:$B,"&lt;="&amp;'Colln-Summary'!$G$2)</f>
        <v>0</v>
      </c>
      <c r="K157" s="360">
        <f>SUMIFS('Live Collections'!$S:$S,'Live Collections'!$D:$D,'Colln-Summary'!$A157,'Live Collections'!$B:$B,"&gt;="&amp;'Colln-Summary'!$G$1,'Live Collections'!$B:$B,"&lt;="&amp;'Colln-Summary'!$G$2)</f>
        <v>0</v>
      </c>
      <c r="L157" s="360">
        <f>SUMIFS('Live Collections'!$T:$T,'Live Collections'!$D:$D,'Colln-Summary'!$A157,'Live Collections'!$B:$B,"&gt;="&amp;'Colln-Summary'!$G$1,'Live Collections'!$B:$B,"&lt;="&amp;'Colln-Summary'!$G$2)</f>
        <v>0</v>
      </c>
      <c r="M157" s="258">
        <f t="shared" si="3"/>
        <v>0</v>
      </c>
    </row>
    <row r="158" spans="1:13" x14ac:dyDescent="0.2">
      <c r="A158" s="478">
        <v>154</v>
      </c>
      <c r="B158" s="352" t="str">
        <f>IFERROR(VLOOKUP($A158,'Clients-Live'!$A:$C,3,0),"")</f>
        <v>ERIMU SAMSON</v>
      </c>
      <c r="C158" s="353">
        <f>SUMIFS('Live Collections'!$J:$J,'Live Collections'!$D:$D,'Colln-Summary'!$A158,'Live Collections'!$B:$B,"&gt;="&amp;'Colln-Summary'!$G$1,'Live Collections'!$B:$B,"&lt;="&amp;'Colln-Summary'!$G$2)</f>
        <v>0</v>
      </c>
      <c r="D158" s="353">
        <f>SUMIFS('Live Collections'!$K:$K,'Live Collections'!$D:$D,'Colln-Summary'!$A158,'Live Collections'!$B:$B,"&gt;="&amp;'Colln-Summary'!$G$1,'Live Collections'!$B:$B,"&lt;="&amp;'Colln-Summary'!$G$2)</f>
        <v>0</v>
      </c>
      <c r="E158" s="353">
        <f>SUMIFS(Disbursements!$F:$F,Disbursements!$B:$B,'Colln-Summary'!$A158,Disbursements!$A:$A,"&gt;="&amp;'Colln-Summary'!$G$1,Disbursements!$A:$A,"&lt;="&amp;'Colln-Summary'!$G$2)</f>
        <v>0</v>
      </c>
      <c r="F158" s="353">
        <f>SUMIFS('Live Collections'!$L:$L,'Live Collections'!$D:$D,'Colln-Summary'!$A158,'Live Collections'!$B:$B,"&gt;="&amp;'Colln-Summary'!$G$1,'Live Collections'!$B:$B,"&lt;="&amp;'Colln-Summary'!$G$2)</f>
        <v>0</v>
      </c>
      <c r="G158" s="353">
        <f>SUMIFS('Live Collections'!$M:$M,'Live Collections'!$D:$D,'Colln-Summary'!$A158,'Live Collections'!$B:$B,"&gt;="&amp;'Colln-Summary'!$G$1,'Live Collections'!$B:$B,"&lt;="&amp;'Colln-Summary'!$G$2)</f>
        <v>0</v>
      </c>
      <c r="H158" s="353">
        <f>SUMIFS('Live Collections'!$N:$N,'Live Collections'!$D:$D,'Colln-Summary'!$A158,'Live Collections'!$B:$B,"&gt;="&amp;'Colln-Summary'!$G$1,'Live Collections'!$B:$B,"&lt;="&amp;'Colln-Summary'!$G$2)</f>
        <v>0</v>
      </c>
      <c r="I158" s="353">
        <f>SUMIFS('Live Collections'!$P:$P,'Live Collections'!$D:$D,'Colln-Summary'!$A158,'Live Collections'!$B:$B,"&gt;="&amp;'Colln-Summary'!$G$1,'Live Collections'!$B:$B,"&lt;="&amp;'Colln-Summary'!$G$2)</f>
        <v>0</v>
      </c>
      <c r="J158" s="353">
        <f>SUMIFS('Live Collections'!$O:$O,'Live Collections'!$D:$D,'Colln-Summary'!$A158,'Live Collections'!$B:$B,"&gt;="&amp;'Colln-Summary'!$G$1,'Live Collections'!$B:$B,"&lt;="&amp;'Colln-Summary'!$G$2)</f>
        <v>0</v>
      </c>
      <c r="K158" s="360">
        <f>SUMIFS('Live Collections'!$S:$S,'Live Collections'!$D:$D,'Colln-Summary'!$A158,'Live Collections'!$B:$B,"&gt;="&amp;'Colln-Summary'!$G$1,'Live Collections'!$B:$B,"&lt;="&amp;'Colln-Summary'!$G$2)</f>
        <v>0</v>
      </c>
      <c r="L158" s="360">
        <f>SUMIFS('Live Collections'!$T:$T,'Live Collections'!$D:$D,'Colln-Summary'!$A158,'Live Collections'!$B:$B,"&gt;="&amp;'Colln-Summary'!$G$1,'Live Collections'!$B:$B,"&lt;="&amp;'Colln-Summary'!$G$2)</f>
        <v>0</v>
      </c>
      <c r="M158" s="258">
        <f t="shared" si="3"/>
        <v>0</v>
      </c>
    </row>
    <row r="159" spans="1:13" x14ac:dyDescent="0.2">
      <c r="A159" s="478">
        <v>155</v>
      </c>
      <c r="B159" s="352" t="str">
        <f>IFERROR(VLOOKUP($A159,'Clients-Live'!$A:$C,3,0),"")</f>
        <v>AROMBORAC SIAMA</v>
      </c>
      <c r="C159" s="353">
        <f>SUMIFS('Live Collections'!$J:$J,'Live Collections'!$D:$D,'Colln-Summary'!$A159,'Live Collections'!$B:$B,"&gt;="&amp;'Colln-Summary'!$G$1,'Live Collections'!$B:$B,"&lt;="&amp;'Colln-Summary'!$G$2)</f>
        <v>0</v>
      </c>
      <c r="D159" s="353">
        <f>SUMIFS('Live Collections'!$K:$K,'Live Collections'!$D:$D,'Colln-Summary'!$A159,'Live Collections'!$B:$B,"&gt;="&amp;'Colln-Summary'!$G$1,'Live Collections'!$B:$B,"&lt;="&amp;'Colln-Summary'!$G$2)</f>
        <v>0</v>
      </c>
      <c r="E159" s="353">
        <f>SUMIFS(Disbursements!$F:$F,Disbursements!$B:$B,'Colln-Summary'!$A159,Disbursements!$A:$A,"&gt;="&amp;'Colln-Summary'!$G$1,Disbursements!$A:$A,"&lt;="&amp;'Colln-Summary'!$G$2)</f>
        <v>0</v>
      </c>
      <c r="F159" s="353">
        <f>SUMIFS('Live Collections'!$L:$L,'Live Collections'!$D:$D,'Colln-Summary'!$A159,'Live Collections'!$B:$B,"&gt;="&amp;'Colln-Summary'!$G$1,'Live Collections'!$B:$B,"&lt;="&amp;'Colln-Summary'!$G$2)</f>
        <v>0</v>
      </c>
      <c r="G159" s="353">
        <f>SUMIFS('Live Collections'!$M:$M,'Live Collections'!$D:$D,'Colln-Summary'!$A159,'Live Collections'!$B:$B,"&gt;="&amp;'Colln-Summary'!$G$1,'Live Collections'!$B:$B,"&lt;="&amp;'Colln-Summary'!$G$2)</f>
        <v>0</v>
      </c>
      <c r="H159" s="353">
        <f>SUMIFS('Live Collections'!$N:$N,'Live Collections'!$D:$D,'Colln-Summary'!$A159,'Live Collections'!$B:$B,"&gt;="&amp;'Colln-Summary'!$G$1,'Live Collections'!$B:$B,"&lt;="&amp;'Colln-Summary'!$G$2)</f>
        <v>0</v>
      </c>
      <c r="I159" s="353">
        <f>SUMIFS('Live Collections'!$P:$P,'Live Collections'!$D:$D,'Colln-Summary'!$A159,'Live Collections'!$B:$B,"&gt;="&amp;'Colln-Summary'!$G$1,'Live Collections'!$B:$B,"&lt;="&amp;'Colln-Summary'!$G$2)</f>
        <v>0</v>
      </c>
      <c r="J159" s="353">
        <f>SUMIFS('Live Collections'!$O:$O,'Live Collections'!$D:$D,'Colln-Summary'!$A159,'Live Collections'!$B:$B,"&gt;="&amp;'Colln-Summary'!$G$1,'Live Collections'!$B:$B,"&lt;="&amp;'Colln-Summary'!$G$2)</f>
        <v>76700</v>
      </c>
      <c r="K159" s="360">
        <f>SUMIFS('Live Collections'!$S:$S,'Live Collections'!$D:$D,'Colln-Summary'!$A159,'Live Collections'!$B:$B,"&gt;="&amp;'Colln-Summary'!$G$1,'Live Collections'!$B:$B,"&lt;="&amp;'Colln-Summary'!$G$2)</f>
        <v>30000</v>
      </c>
      <c r="L159" s="360">
        <f>SUMIFS('Live Collections'!$T:$T,'Live Collections'!$D:$D,'Colln-Summary'!$A159,'Live Collections'!$B:$B,"&gt;="&amp;'Colln-Summary'!$G$1,'Live Collections'!$B:$B,"&lt;="&amp;'Colln-Summary'!$G$2)</f>
        <v>46700</v>
      </c>
      <c r="M159" s="258">
        <f t="shared" si="3"/>
        <v>76700</v>
      </c>
    </row>
    <row r="160" spans="1:13" x14ac:dyDescent="0.2">
      <c r="A160" s="478">
        <v>156</v>
      </c>
      <c r="B160" s="352" t="str">
        <f>IFERROR(VLOOKUP($A160,'Clients-Live'!$A:$C,3,0),"")</f>
        <v xml:space="preserve">ONIBA AISHA </v>
      </c>
      <c r="C160" s="353">
        <f>SUMIFS('Live Collections'!$J:$J,'Live Collections'!$D:$D,'Colln-Summary'!$A160,'Live Collections'!$B:$B,"&gt;="&amp;'Colln-Summary'!$G$1,'Live Collections'!$B:$B,"&lt;="&amp;'Colln-Summary'!$G$2)</f>
        <v>0</v>
      </c>
      <c r="D160" s="353">
        <f>SUMIFS('Live Collections'!$K:$K,'Live Collections'!$D:$D,'Colln-Summary'!$A160,'Live Collections'!$B:$B,"&gt;="&amp;'Colln-Summary'!$G$1,'Live Collections'!$B:$B,"&lt;="&amp;'Colln-Summary'!$G$2)</f>
        <v>0</v>
      </c>
      <c r="E160" s="353">
        <f>SUMIFS(Disbursements!$F:$F,Disbursements!$B:$B,'Colln-Summary'!$A160,Disbursements!$A:$A,"&gt;="&amp;'Colln-Summary'!$G$1,Disbursements!$A:$A,"&lt;="&amp;'Colln-Summary'!$G$2)</f>
        <v>0</v>
      </c>
      <c r="F160" s="353">
        <f>SUMIFS('Live Collections'!$L:$L,'Live Collections'!$D:$D,'Colln-Summary'!$A160,'Live Collections'!$B:$B,"&gt;="&amp;'Colln-Summary'!$G$1,'Live Collections'!$B:$B,"&lt;="&amp;'Colln-Summary'!$G$2)</f>
        <v>0</v>
      </c>
      <c r="G160" s="353">
        <f>SUMIFS('Live Collections'!$M:$M,'Live Collections'!$D:$D,'Colln-Summary'!$A160,'Live Collections'!$B:$B,"&gt;="&amp;'Colln-Summary'!$G$1,'Live Collections'!$B:$B,"&lt;="&amp;'Colln-Summary'!$G$2)</f>
        <v>0</v>
      </c>
      <c r="H160" s="353">
        <f>SUMIFS('Live Collections'!$N:$N,'Live Collections'!$D:$D,'Colln-Summary'!$A160,'Live Collections'!$B:$B,"&gt;="&amp;'Colln-Summary'!$G$1,'Live Collections'!$B:$B,"&lt;="&amp;'Colln-Summary'!$G$2)</f>
        <v>0</v>
      </c>
      <c r="I160" s="353">
        <f>SUMIFS('Live Collections'!$P:$P,'Live Collections'!$D:$D,'Colln-Summary'!$A160,'Live Collections'!$B:$B,"&gt;="&amp;'Colln-Summary'!$G$1,'Live Collections'!$B:$B,"&lt;="&amp;'Colln-Summary'!$G$2)</f>
        <v>0</v>
      </c>
      <c r="J160" s="353">
        <f>SUMIFS('Live Collections'!$O:$O,'Live Collections'!$D:$D,'Colln-Summary'!$A160,'Live Collections'!$B:$B,"&gt;="&amp;'Colln-Summary'!$G$1,'Live Collections'!$B:$B,"&lt;="&amp;'Colln-Summary'!$G$2)</f>
        <v>1000000</v>
      </c>
      <c r="K160" s="360">
        <f>SUMIFS('Live Collections'!$S:$S,'Live Collections'!$D:$D,'Colln-Summary'!$A160,'Live Collections'!$B:$B,"&gt;="&amp;'Colln-Summary'!$G$1,'Live Collections'!$B:$B,"&lt;="&amp;'Colln-Summary'!$G$2)</f>
        <v>15000</v>
      </c>
      <c r="L160" s="360">
        <f>SUMIFS('Live Collections'!$T:$T,'Live Collections'!$D:$D,'Colln-Summary'!$A160,'Live Collections'!$B:$B,"&gt;="&amp;'Colln-Summary'!$G$1,'Live Collections'!$B:$B,"&lt;="&amp;'Colln-Summary'!$G$2)</f>
        <v>985000</v>
      </c>
      <c r="M160" s="258">
        <f t="shared" si="3"/>
        <v>1000000</v>
      </c>
    </row>
    <row r="161" spans="1:13" x14ac:dyDescent="0.2">
      <c r="A161" s="478">
        <v>157</v>
      </c>
      <c r="B161" s="352" t="str">
        <f>IFERROR(VLOOKUP($A161,'Clients-Live'!$A:$C,3,0),"")</f>
        <v>AYITE MARGERT</v>
      </c>
      <c r="C161" s="353">
        <f>SUMIFS('Live Collections'!$J:$J,'Live Collections'!$D:$D,'Colln-Summary'!$A161,'Live Collections'!$B:$B,"&gt;="&amp;'Colln-Summary'!$G$1,'Live Collections'!$B:$B,"&lt;="&amp;'Colln-Summary'!$G$2)</f>
        <v>0</v>
      </c>
      <c r="D161" s="353">
        <f>SUMIFS('Live Collections'!$K:$K,'Live Collections'!$D:$D,'Colln-Summary'!$A161,'Live Collections'!$B:$B,"&gt;="&amp;'Colln-Summary'!$G$1,'Live Collections'!$B:$B,"&lt;="&amp;'Colln-Summary'!$G$2)</f>
        <v>0</v>
      </c>
      <c r="E161" s="353">
        <f>SUMIFS(Disbursements!$F:$F,Disbursements!$B:$B,'Colln-Summary'!$A161,Disbursements!$A:$A,"&gt;="&amp;'Colln-Summary'!$G$1,Disbursements!$A:$A,"&lt;="&amp;'Colln-Summary'!$G$2)</f>
        <v>0</v>
      </c>
      <c r="F161" s="353">
        <f>SUMIFS('Live Collections'!$L:$L,'Live Collections'!$D:$D,'Colln-Summary'!$A161,'Live Collections'!$B:$B,"&gt;="&amp;'Colln-Summary'!$G$1,'Live Collections'!$B:$B,"&lt;="&amp;'Colln-Summary'!$G$2)</f>
        <v>0</v>
      </c>
      <c r="G161" s="353">
        <f>SUMIFS('Live Collections'!$M:$M,'Live Collections'!$D:$D,'Colln-Summary'!$A161,'Live Collections'!$B:$B,"&gt;="&amp;'Colln-Summary'!$G$1,'Live Collections'!$B:$B,"&lt;="&amp;'Colln-Summary'!$G$2)</f>
        <v>0</v>
      </c>
      <c r="H161" s="353">
        <f>SUMIFS('Live Collections'!$N:$N,'Live Collections'!$D:$D,'Colln-Summary'!$A161,'Live Collections'!$B:$B,"&gt;="&amp;'Colln-Summary'!$G$1,'Live Collections'!$B:$B,"&lt;="&amp;'Colln-Summary'!$G$2)</f>
        <v>0</v>
      </c>
      <c r="I161" s="353">
        <f>SUMIFS('Live Collections'!$P:$P,'Live Collections'!$D:$D,'Colln-Summary'!$A161,'Live Collections'!$B:$B,"&gt;="&amp;'Colln-Summary'!$G$1,'Live Collections'!$B:$B,"&lt;="&amp;'Colln-Summary'!$G$2)</f>
        <v>0</v>
      </c>
      <c r="J161" s="353">
        <f>SUMIFS('Live Collections'!$O:$O,'Live Collections'!$D:$D,'Colln-Summary'!$A161,'Live Collections'!$B:$B,"&gt;="&amp;'Colln-Summary'!$G$1,'Live Collections'!$B:$B,"&lt;="&amp;'Colln-Summary'!$G$2)</f>
        <v>175000</v>
      </c>
      <c r="K161" s="360">
        <f>SUMIFS('Live Collections'!$S:$S,'Live Collections'!$D:$D,'Colln-Summary'!$A161,'Live Collections'!$B:$B,"&gt;="&amp;'Colln-Summary'!$G$1,'Live Collections'!$B:$B,"&lt;="&amp;'Colln-Summary'!$G$2)</f>
        <v>70000</v>
      </c>
      <c r="L161" s="360">
        <f>SUMIFS('Live Collections'!$T:$T,'Live Collections'!$D:$D,'Colln-Summary'!$A161,'Live Collections'!$B:$B,"&gt;="&amp;'Colln-Summary'!$G$1,'Live Collections'!$B:$B,"&lt;="&amp;'Colln-Summary'!$G$2)</f>
        <v>105000</v>
      </c>
      <c r="M161" s="258">
        <f t="shared" si="3"/>
        <v>175000</v>
      </c>
    </row>
    <row r="162" spans="1:13" x14ac:dyDescent="0.2">
      <c r="A162" s="478">
        <v>158</v>
      </c>
      <c r="B162" s="352" t="str">
        <f>IFERROR(VLOOKUP($A162,'Clients-Live'!$A:$C,3,0),"")</f>
        <v>METALORO STEPHEN</v>
      </c>
      <c r="C162" s="353">
        <f>SUMIFS('Live Collections'!$J:$J,'Live Collections'!$D:$D,'Colln-Summary'!$A162,'Live Collections'!$B:$B,"&gt;="&amp;'Colln-Summary'!$G$1,'Live Collections'!$B:$B,"&lt;="&amp;'Colln-Summary'!$G$2)</f>
        <v>0</v>
      </c>
      <c r="D162" s="353">
        <f>SUMIFS('Live Collections'!$K:$K,'Live Collections'!$D:$D,'Colln-Summary'!$A162,'Live Collections'!$B:$B,"&gt;="&amp;'Colln-Summary'!$G$1,'Live Collections'!$B:$B,"&lt;="&amp;'Colln-Summary'!$G$2)</f>
        <v>0</v>
      </c>
      <c r="E162" s="353">
        <f>SUMIFS(Disbursements!$F:$F,Disbursements!$B:$B,'Colln-Summary'!$A162,Disbursements!$A:$A,"&gt;="&amp;'Colln-Summary'!$G$1,Disbursements!$A:$A,"&lt;="&amp;'Colln-Summary'!$G$2)</f>
        <v>0</v>
      </c>
      <c r="F162" s="353">
        <f>SUMIFS('Live Collections'!$L:$L,'Live Collections'!$D:$D,'Colln-Summary'!$A162,'Live Collections'!$B:$B,"&gt;="&amp;'Colln-Summary'!$G$1,'Live Collections'!$B:$B,"&lt;="&amp;'Colln-Summary'!$G$2)</f>
        <v>0</v>
      </c>
      <c r="G162" s="353">
        <f>SUMIFS('Live Collections'!$M:$M,'Live Collections'!$D:$D,'Colln-Summary'!$A162,'Live Collections'!$B:$B,"&gt;="&amp;'Colln-Summary'!$G$1,'Live Collections'!$B:$B,"&lt;="&amp;'Colln-Summary'!$G$2)</f>
        <v>0</v>
      </c>
      <c r="H162" s="353">
        <f>SUMIFS('Live Collections'!$N:$N,'Live Collections'!$D:$D,'Colln-Summary'!$A162,'Live Collections'!$B:$B,"&gt;="&amp;'Colln-Summary'!$G$1,'Live Collections'!$B:$B,"&lt;="&amp;'Colln-Summary'!$G$2)</f>
        <v>0</v>
      </c>
      <c r="I162" s="353">
        <f>SUMIFS('Live Collections'!$P:$P,'Live Collections'!$D:$D,'Colln-Summary'!$A162,'Live Collections'!$B:$B,"&gt;="&amp;'Colln-Summary'!$G$1,'Live Collections'!$B:$B,"&lt;="&amp;'Colln-Summary'!$G$2)</f>
        <v>0</v>
      </c>
      <c r="J162" s="353">
        <f>SUMIFS('Live Collections'!$O:$O,'Live Collections'!$D:$D,'Colln-Summary'!$A162,'Live Collections'!$B:$B,"&gt;="&amp;'Colln-Summary'!$G$1,'Live Collections'!$B:$B,"&lt;="&amp;'Colln-Summary'!$G$2)</f>
        <v>0</v>
      </c>
      <c r="K162" s="360">
        <f>SUMIFS('Live Collections'!$S:$S,'Live Collections'!$D:$D,'Colln-Summary'!$A162,'Live Collections'!$B:$B,"&gt;="&amp;'Colln-Summary'!$G$1,'Live Collections'!$B:$B,"&lt;="&amp;'Colln-Summary'!$G$2)</f>
        <v>0</v>
      </c>
      <c r="L162" s="360">
        <f>SUMIFS('Live Collections'!$T:$T,'Live Collections'!$D:$D,'Colln-Summary'!$A162,'Live Collections'!$B:$B,"&gt;="&amp;'Colln-Summary'!$G$1,'Live Collections'!$B:$B,"&lt;="&amp;'Colln-Summary'!$G$2)</f>
        <v>0</v>
      </c>
      <c r="M162" s="258">
        <f t="shared" si="3"/>
        <v>0</v>
      </c>
    </row>
    <row r="163" spans="1:13" x14ac:dyDescent="0.2">
      <c r="A163" s="478">
        <v>159</v>
      </c>
      <c r="B163" s="352" t="str">
        <f>IFERROR(VLOOKUP($A163,'Clients-Live'!$A:$C,3,0),"")</f>
        <v>ALICE AMINA</v>
      </c>
      <c r="C163" s="353">
        <f>SUMIFS('Live Collections'!$J:$J,'Live Collections'!$D:$D,'Colln-Summary'!$A163,'Live Collections'!$B:$B,"&gt;="&amp;'Colln-Summary'!$G$1,'Live Collections'!$B:$B,"&lt;="&amp;'Colln-Summary'!$G$2)</f>
        <v>0</v>
      </c>
      <c r="D163" s="353">
        <f>SUMIFS('Live Collections'!$K:$K,'Live Collections'!$D:$D,'Colln-Summary'!$A163,'Live Collections'!$B:$B,"&gt;="&amp;'Colln-Summary'!$G$1,'Live Collections'!$B:$B,"&lt;="&amp;'Colln-Summary'!$G$2)</f>
        <v>0</v>
      </c>
      <c r="E163" s="353">
        <f>SUMIFS(Disbursements!$F:$F,Disbursements!$B:$B,'Colln-Summary'!$A163,Disbursements!$A:$A,"&gt;="&amp;'Colln-Summary'!$G$1,Disbursements!$A:$A,"&lt;="&amp;'Colln-Summary'!$G$2)</f>
        <v>0</v>
      </c>
      <c r="F163" s="353">
        <f>SUMIFS('Live Collections'!$L:$L,'Live Collections'!$D:$D,'Colln-Summary'!$A163,'Live Collections'!$B:$B,"&gt;="&amp;'Colln-Summary'!$G$1,'Live Collections'!$B:$B,"&lt;="&amp;'Colln-Summary'!$G$2)</f>
        <v>0</v>
      </c>
      <c r="G163" s="353">
        <f>SUMIFS('Live Collections'!$M:$M,'Live Collections'!$D:$D,'Colln-Summary'!$A163,'Live Collections'!$B:$B,"&gt;="&amp;'Colln-Summary'!$G$1,'Live Collections'!$B:$B,"&lt;="&amp;'Colln-Summary'!$G$2)</f>
        <v>0</v>
      </c>
      <c r="H163" s="353">
        <f>SUMIFS('Live Collections'!$N:$N,'Live Collections'!$D:$D,'Colln-Summary'!$A163,'Live Collections'!$B:$B,"&gt;="&amp;'Colln-Summary'!$G$1,'Live Collections'!$B:$B,"&lt;="&amp;'Colln-Summary'!$G$2)</f>
        <v>0</v>
      </c>
      <c r="I163" s="353">
        <f>SUMIFS('Live Collections'!$P:$P,'Live Collections'!$D:$D,'Colln-Summary'!$A163,'Live Collections'!$B:$B,"&gt;="&amp;'Colln-Summary'!$G$1,'Live Collections'!$B:$B,"&lt;="&amp;'Colln-Summary'!$G$2)</f>
        <v>0</v>
      </c>
      <c r="J163" s="353">
        <f>SUMIFS('Live Collections'!$O:$O,'Live Collections'!$D:$D,'Colln-Summary'!$A163,'Live Collections'!$B:$B,"&gt;="&amp;'Colln-Summary'!$G$1,'Live Collections'!$B:$B,"&lt;="&amp;'Colln-Summary'!$G$2)</f>
        <v>90000</v>
      </c>
      <c r="K163" s="360">
        <f>SUMIFS('Live Collections'!$S:$S,'Live Collections'!$D:$D,'Colln-Summary'!$A163,'Live Collections'!$B:$B,"&gt;="&amp;'Colln-Summary'!$G$1,'Live Collections'!$B:$B,"&lt;="&amp;'Colln-Summary'!$G$2)</f>
        <v>60000</v>
      </c>
      <c r="L163" s="360">
        <f>SUMIFS('Live Collections'!$T:$T,'Live Collections'!$D:$D,'Colln-Summary'!$A163,'Live Collections'!$B:$B,"&gt;="&amp;'Colln-Summary'!$G$1,'Live Collections'!$B:$B,"&lt;="&amp;'Colln-Summary'!$G$2)</f>
        <v>30000</v>
      </c>
      <c r="M163" s="258">
        <f t="shared" si="3"/>
        <v>90000</v>
      </c>
    </row>
    <row r="164" spans="1:13" x14ac:dyDescent="0.2">
      <c r="A164" s="478">
        <v>160</v>
      </c>
      <c r="B164" s="352" t="str">
        <f>IFERROR(VLOOKUP($A164,'Clients-Live'!$A:$C,3,0),"")</f>
        <v>CHANDI ZANABU</v>
      </c>
      <c r="C164" s="353">
        <f>SUMIFS('Live Collections'!$J:$J,'Live Collections'!$D:$D,'Colln-Summary'!$A164,'Live Collections'!$B:$B,"&gt;="&amp;'Colln-Summary'!$G$1,'Live Collections'!$B:$B,"&lt;="&amp;'Colln-Summary'!$G$2)</f>
        <v>0</v>
      </c>
      <c r="D164" s="353">
        <f>SUMIFS('Live Collections'!$K:$K,'Live Collections'!$D:$D,'Colln-Summary'!$A164,'Live Collections'!$B:$B,"&gt;="&amp;'Colln-Summary'!$G$1,'Live Collections'!$B:$B,"&lt;="&amp;'Colln-Summary'!$G$2)</f>
        <v>0</v>
      </c>
      <c r="E164" s="353">
        <f>SUMIFS(Disbursements!$F:$F,Disbursements!$B:$B,'Colln-Summary'!$A164,Disbursements!$A:$A,"&gt;="&amp;'Colln-Summary'!$G$1,Disbursements!$A:$A,"&lt;="&amp;'Colln-Summary'!$G$2)</f>
        <v>0</v>
      </c>
      <c r="F164" s="353">
        <f>SUMIFS('Live Collections'!$L:$L,'Live Collections'!$D:$D,'Colln-Summary'!$A164,'Live Collections'!$B:$B,"&gt;="&amp;'Colln-Summary'!$G$1,'Live Collections'!$B:$B,"&lt;="&amp;'Colln-Summary'!$G$2)</f>
        <v>0</v>
      </c>
      <c r="G164" s="353">
        <f>SUMIFS('Live Collections'!$M:$M,'Live Collections'!$D:$D,'Colln-Summary'!$A164,'Live Collections'!$B:$B,"&gt;="&amp;'Colln-Summary'!$G$1,'Live Collections'!$B:$B,"&lt;="&amp;'Colln-Summary'!$G$2)</f>
        <v>0</v>
      </c>
      <c r="H164" s="353">
        <f>SUMIFS('Live Collections'!$N:$N,'Live Collections'!$D:$D,'Colln-Summary'!$A164,'Live Collections'!$B:$B,"&gt;="&amp;'Colln-Summary'!$G$1,'Live Collections'!$B:$B,"&lt;="&amp;'Colln-Summary'!$G$2)</f>
        <v>0</v>
      </c>
      <c r="I164" s="353">
        <f>SUMIFS('Live Collections'!$P:$P,'Live Collections'!$D:$D,'Colln-Summary'!$A164,'Live Collections'!$B:$B,"&gt;="&amp;'Colln-Summary'!$G$1,'Live Collections'!$B:$B,"&lt;="&amp;'Colln-Summary'!$G$2)</f>
        <v>0</v>
      </c>
      <c r="J164" s="353">
        <f>SUMIFS('Live Collections'!$O:$O,'Live Collections'!$D:$D,'Colln-Summary'!$A164,'Live Collections'!$B:$B,"&gt;="&amp;'Colln-Summary'!$G$1,'Live Collections'!$B:$B,"&lt;="&amp;'Colln-Summary'!$G$2)</f>
        <v>150000</v>
      </c>
      <c r="K164" s="360">
        <f>SUMIFS('Live Collections'!$S:$S,'Live Collections'!$D:$D,'Colln-Summary'!$A164,'Live Collections'!$B:$B,"&gt;="&amp;'Colln-Summary'!$G$1,'Live Collections'!$B:$B,"&lt;="&amp;'Colln-Summary'!$G$2)</f>
        <v>0</v>
      </c>
      <c r="L164" s="360">
        <f>SUMIFS('Live Collections'!$T:$T,'Live Collections'!$D:$D,'Colln-Summary'!$A164,'Live Collections'!$B:$B,"&gt;="&amp;'Colln-Summary'!$G$1,'Live Collections'!$B:$B,"&lt;="&amp;'Colln-Summary'!$G$2)</f>
        <v>150000</v>
      </c>
      <c r="M164" s="258">
        <f t="shared" si="3"/>
        <v>150000</v>
      </c>
    </row>
    <row r="165" spans="1:13" x14ac:dyDescent="0.2">
      <c r="A165" s="478">
        <v>161</v>
      </c>
      <c r="B165" s="352" t="str">
        <f>IFERROR(VLOOKUP($A165,'Clients-Live'!$A:$C,3,0),"")</f>
        <v>OKUYO BERNARD</v>
      </c>
      <c r="C165" s="353">
        <f>SUMIFS('Live Collections'!$J:$J,'Live Collections'!$D:$D,'Colln-Summary'!$A165,'Live Collections'!$B:$B,"&gt;="&amp;'Colln-Summary'!$G$1,'Live Collections'!$B:$B,"&lt;="&amp;'Colln-Summary'!$G$2)</f>
        <v>0</v>
      </c>
      <c r="D165" s="353">
        <f>SUMIFS('Live Collections'!$K:$K,'Live Collections'!$D:$D,'Colln-Summary'!$A165,'Live Collections'!$B:$B,"&gt;="&amp;'Colln-Summary'!$G$1,'Live Collections'!$B:$B,"&lt;="&amp;'Colln-Summary'!$G$2)</f>
        <v>0</v>
      </c>
      <c r="E165" s="353">
        <f>SUMIFS(Disbursements!$F:$F,Disbursements!$B:$B,'Colln-Summary'!$A165,Disbursements!$A:$A,"&gt;="&amp;'Colln-Summary'!$G$1,Disbursements!$A:$A,"&lt;="&amp;'Colln-Summary'!$G$2)</f>
        <v>0</v>
      </c>
      <c r="F165" s="353">
        <f>SUMIFS('Live Collections'!$L:$L,'Live Collections'!$D:$D,'Colln-Summary'!$A165,'Live Collections'!$B:$B,"&gt;="&amp;'Colln-Summary'!$G$1,'Live Collections'!$B:$B,"&lt;="&amp;'Colln-Summary'!$G$2)</f>
        <v>0</v>
      </c>
      <c r="G165" s="353">
        <f>SUMIFS('Live Collections'!$M:$M,'Live Collections'!$D:$D,'Colln-Summary'!$A165,'Live Collections'!$B:$B,"&gt;="&amp;'Colln-Summary'!$G$1,'Live Collections'!$B:$B,"&lt;="&amp;'Colln-Summary'!$G$2)</f>
        <v>0</v>
      </c>
      <c r="H165" s="353">
        <f>SUMIFS('Live Collections'!$N:$N,'Live Collections'!$D:$D,'Colln-Summary'!$A165,'Live Collections'!$B:$B,"&gt;="&amp;'Colln-Summary'!$G$1,'Live Collections'!$B:$B,"&lt;="&amp;'Colln-Summary'!$G$2)</f>
        <v>0</v>
      </c>
      <c r="I165" s="353">
        <f>SUMIFS('Live Collections'!$P:$P,'Live Collections'!$D:$D,'Colln-Summary'!$A165,'Live Collections'!$B:$B,"&gt;="&amp;'Colln-Summary'!$G$1,'Live Collections'!$B:$B,"&lt;="&amp;'Colln-Summary'!$G$2)</f>
        <v>0</v>
      </c>
      <c r="J165" s="353">
        <f>SUMIFS('Live Collections'!$O:$O,'Live Collections'!$D:$D,'Colln-Summary'!$A165,'Live Collections'!$B:$B,"&gt;="&amp;'Colln-Summary'!$G$1,'Live Collections'!$B:$B,"&lt;="&amp;'Colln-Summary'!$G$2)</f>
        <v>0</v>
      </c>
      <c r="K165" s="360">
        <f>SUMIFS('Live Collections'!$S:$S,'Live Collections'!$D:$D,'Colln-Summary'!$A165,'Live Collections'!$B:$B,"&gt;="&amp;'Colln-Summary'!$G$1,'Live Collections'!$B:$B,"&lt;="&amp;'Colln-Summary'!$G$2)</f>
        <v>0</v>
      </c>
      <c r="L165" s="360">
        <f>SUMIFS('Live Collections'!$T:$T,'Live Collections'!$D:$D,'Colln-Summary'!$A165,'Live Collections'!$B:$B,"&gt;="&amp;'Colln-Summary'!$G$1,'Live Collections'!$B:$B,"&lt;="&amp;'Colln-Summary'!$G$2)</f>
        <v>0</v>
      </c>
      <c r="M165" s="258">
        <f t="shared" si="3"/>
        <v>0</v>
      </c>
    </row>
    <row r="166" spans="1:13" x14ac:dyDescent="0.2">
      <c r="A166" s="478">
        <v>162</v>
      </c>
      <c r="B166" s="352" t="str">
        <f>IFERROR(VLOOKUP($A166,'Clients-Live'!$A:$C,3,0),"")</f>
        <v>DEPAYA JOYCE</v>
      </c>
      <c r="C166" s="353">
        <f>SUMIFS('Live Collections'!$J:$J,'Live Collections'!$D:$D,'Colln-Summary'!$A166,'Live Collections'!$B:$B,"&gt;="&amp;'Colln-Summary'!$G$1,'Live Collections'!$B:$B,"&lt;="&amp;'Colln-Summary'!$G$2)</f>
        <v>0</v>
      </c>
      <c r="D166" s="353">
        <f>SUMIFS('Live Collections'!$K:$K,'Live Collections'!$D:$D,'Colln-Summary'!$A166,'Live Collections'!$B:$B,"&gt;="&amp;'Colln-Summary'!$G$1,'Live Collections'!$B:$B,"&lt;="&amp;'Colln-Summary'!$G$2)</f>
        <v>0</v>
      </c>
      <c r="E166" s="353">
        <f>SUMIFS(Disbursements!$F:$F,Disbursements!$B:$B,'Colln-Summary'!$A166,Disbursements!$A:$A,"&gt;="&amp;'Colln-Summary'!$G$1,Disbursements!$A:$A,"&lt;="&amp;'Colln-Summary'!$G$2)</f>
        <v>0</v>
      </c>
      <c r="F166" s="353">
        <f>SUMIFS('Live Collections'!$L:$L,'Live Collections'!$D:$D,'Colln-Summary'!$A166,'Live Collections'!$B:$B,"&gt;="&amp;'Colln-Summary'!$G$1,'Live Collections'!$B:$B,"&lt;="&amp;'Colln-Summary'!$G$2)</f>
        <v>0</v>
      </c>
      <c r="G166" s="353">
        <f>SUMIFS('Live Collections'!$M:$M,'Live Collections'!$D:$D,'Colln-Summary'!$A166,'Live Collections'!$B:$B,"&gt;="&amp;'Colln-Summary'!$G$1,'Live Collections'!$B:$B,"&lt;="&amp;'Colln-Summary'!$G$2)</f>
        <v>0</v>
      </c>
      <c r="H166" s="353">
        <f>SUMIFS('Live Collections'!$N:$N,'Live Collections'!$D:$D,'Colln-Summary'!$A166,'Live Collections'!$B:$B,"&gt;="&amp;'Colln-Summary'!$G$1,'Live Collections'!$B:$B,"&lt;="&amp;'Colln-Summary'!$G$2)</f>
        <v>0</v>
      </c>
      <c r="I166" s="353">
        <f>SUMIFS('Live Collections'!$P:$P,'Live Collections'!$D:$D,'Colln-Summary'!$A166,'Live Collections'!$B:$B,"&gt;="&amp;'Colln-Summary'!$G$1,'Live Collections'!$B:$B,"&lt;="&amp;'Colln-Summary'!$G$2)</f>
        <v>0</v>
      </c>
      <c r="J166" s="353">
        <f>SUMIFS('Live Collections'!$O:$O,'Live Collections'!$D:$D,'Colln-Summary'!$A166,'Live Collections'!$B:$B,"&gt;="&amp;'Colln-Summary'!$G$1,'Live Collections'!$B:$B,"&lt;="&amp;'Colln-Summary'!$G$2)</f>
        <v>0</v>
      </c>
      <c r="K166" s="360">
        <f>SUMIFS('Live Collections'!$S:$S,'Live Collections'!$D:$D,'Colln-Summary'!$A166,'Live Collections'!$B:$B,"&gt;="&amp;'Colln-Summary'!$G$1,'Live Collections'!$B:$B,"&lt;="&amp;'Colln-Summary'!$G$2)</f>
        <v>0</v>
      </c>
      <c r="L166" s="360">
        <f>SUMIFS('Live Collections'!$T:$T,'Live Collections'!$D:$D,'Colln-Summary'!$A166,'Live Collections'!$B:$B,"&gt;="&amp;'Colln-Summary'!$G$1,'Live Collections'!$B:$B,"&lt;="&amp;'Colln-Summary'!$G$2)</f>
        <v>0</v>
      </c>
      <c r="M166" s="258">
        <f t="shared" si="3"/>
        <v>0</v>
      </c>
    </row>
    <row r="167" spans="1:13" x14ac:dyDescent="0.2">
      <c r="A167" s="478">
        <v>163</v>
      </c>
      <c r="B167" s="352" t="str">
        <f>IFERROR(VLOOKUP($A167,'Clients-Live'!$A:$C,3,0),"")</f>
        <v>CHANDIRU RAMULA</v>
      </c>
      <c r="C167" s="353">
        <f>SUMIFS('Live Collections'!$J:$J,'Live Collections'!$D:$D,'Colln-Summary'!$A167,'Live Collections'!$B:$B,"&gt;="&amp;'Colln-Summary'!$G$1,'Live Collections'!$B:$B,"&lt;="&amp;'Colln-Summary'!$G$2)</f>
        <v>0</v>
      </c>
      <c r="D167" s="353">
        <f>SUMIFS('Live Collections'!$K:$K,'Live Collections'!$D:$D,'Colln-Summary'!$A167,'Live Collections'!$B:$B,"&gt;="&amp;'Colln-Summary'!$G$1,'Live Collections'!$B:$B,"&lt;="&amp;'Colln-Summary'!$G$2)</f>
        <v>0</v>
      </c>
      <c r="E167" s="353">
        <f>SUMIFS(Disbursements!$F:$F,Disbursements!$B:$B,'Colln-Summary'!$A167,Disbursements!$A:$A,"&gt;="&amp;'Colln-Summary'!$G$1,Disbursements!$A:$A,"&lt;="&amp;'Colln-Summary'!$G$2)</f>
        <v>0</v>
      </c>
      <c r="F167" s="353">
        <f>SUMIFS('Live Collections'!$L:$L,'Live Collections'!$D:$D,'Colln-Summary'!$A167,'Live Collections'!$B:$B,"&gt;="&amp;'Colln-Summary'!$G$1,'Live Collections'!$B:$B,"&lt;="&amp;'Colln-Summary'!$G$2)</f>
        <v>0</v>
      </c>
      <c r="G167" s="353">
        <f>SUMIFS('Live Collections'!$M:$M,'Live Collections'!$D:$D,'Colln-Summary'!$A167,'Live Collections'!$B:$B,"&gt;="&amp;'Colln-Summary'!$G$1,'Live Collections'!$B:$B,"&lt;="&amp;'Colln-Summary'!$G$2)</f>
        <v>0</v>
      </c>
      <c r="H167" s="353">
        <f>SUMIFS('Live Collections'!$N:$N,'Live Collections'!$D:$D,'Colln-Summary'!$A167,'Live Collections'!$B:$B,"&gt;="&amp;'Colln-Summary'!$G$1,'Live Collections'!$B:$B,"&lt;="&amp;'Colln-Summary'!$G$2)</f>
        <v>0</v>
      </c>
      <c r="I167" s="353">
        <f>SUMIFS('Live Collections'!$P:$P,'Live Collections'!$D:$D,'Colln-Summary'!$A167,'Live Collections'!$B:$B,"&gt;="&amp;'Colln-Summary'!$G$1,'Live Collections'!$B:$B,"&lt;="&amp;'Colln-Summary'!$G$2)</f>
        <v>0</v>
      </c>
      <c r="J167" s="353">
        <f>SUMIFS('Live Collections'!$O:$O,'Live Collections'!$D:$D,'Colln-Summary'!$A167,'Live Collections'!$B:$B,"&gt;="&amp;'Colln-Summary'!$G$1,'Live Collections'!$B:$B,"&lt;="&amp;'Colln-Summary'!$G$2)</f>
        <v>0</v>
      </c>
      <c r="K167" s="360">
        <f>SUMIFS('Live Collections'!$S:$S,'Live Collections'!$D:$D,'Colln-Summary'!$A167,'Live Collections'!$B:$B,"&gt;="&amp;'Colln-Summary'!$G$1,'Live Collections'!$B:$B,"&lt;="&amp;'Colln-Summary'!$G$2)</f>
        <v>0</v>
      </c>
      <c r="L167" s="360">
        <f>SUMIFS('Live Collections'!$T:$T,'Live Collections'!$D:$D,'Colln-Summary'!$A167,'Live Collections'!$B:$B,"&gt;="&amp;'Colln-Summary'!$G$1,'Live Collections'!$B:$B,"&lt;="&amp;'Colln-Summary'!$G$2)</f>
        <v>0</v>
      </c>
      <c r="M167" s="258">
        <f t="shared" si="3"/>
        <v>0</v>
      </c>
    </row>
    <row r="168" spans="1:13" x14ac:dyDescent="0.2">
      <c r="A168" s="478">
        <v>164</v>
      </c>
      <c r="B168" s="352" t="str">
        <f>IFERROR(VLOOKUP($A168,'Clients-Live'!$A:$C,3,0),"")</f>
        <v>ARIKE SWAIB</v>
      </c>
      <c r="C168" s="353">
        <f>SUMIFS('Live Collections'!$J:$J,'Live Collections'!$D:$D,'Colln-Summary'!$A168,'Live Collections'!$B:$B,"&gt;="&amp;'Colln-Summary'!$G$1,'Live Collections'!$B:$B,"&lt;="&amp;'Colln-Summary'!$G$2)</f>
        <v>0</v>
      </c>
      <c r="D168" s="353">
        <f>SUMIFS('Live Collections'!$K:$K,'Live Collections'!$D:$D,'Colln-Summary'!$A168,'Live Collections'!$B:$B,"&gt;="&amp;'Colln-Summary'!$G$1,'Live Collections'!$B:$B,"&lt;="&amp;'Colln-Summary'!$G$2)</f>
        <v>0</v>
      </c>
      <c r="E168" s="353">
        <f>SUMIFS(Disbursements!$F:$F,Disbursements!$B:$B,'Colln-Summary'!$A168,Disbursements!$A:$A,"&gt;="&amp;'Colln-Summary'!$G$1,Disbursements!$A:$A,"&lt;="&amp;'Colln-Summary'!$G$2)</f>
        <v>0</v>
      </c>
      <c r="F168" s="353">
        <f>SUMIFS('Live Collections'!$L:$L,'Live Collections'!$D:$D,'Colln-Summary'!$A168,'Live Collections'!$B:$B,"&gt;="&amp;'Colln-Summary'!$G$1,'Live Collections'!$B:$B,"&lt;="&amp;'Colln-Summary'!$G$2)</f>
        <v>0</v>
      </c>
      <c r="G168" s="353">
        <f>SUMIFS('Live Collections'!$M:$M,'Live Collections'!$D:$D,'Colln-Summary'!$A168,'Live Collections'!$B:$B,"&gt;="&amp;'Colln-Summary'!$G$1,'Live Collections'!$B:$B,"&lt;="&amp;'Colln-Summary'!$G$2)</f>
        <v>0</v>
      </c>
      <c r="H168" s="353">
        <f>SUMIFS('Live Collections'!$N:$N,'Live Collections'!$D:$D,'Colln-Summary'!$A168,'Live Collections'!$B:$B,"&gt;="&amp;'Colln-Summary'!$G$1,'Live Collections'!$B:$B,"&lt;="&amp;'Colln-Summary'!$G$2)</f>
        <v>0</v>
      </c>
      <c r="I168" s="353">
        <f>SUMIFS('Live Collections'!$P:$P,'Live Collections'!$D:$D,'Colln-Summary'!$A168,'Live Collections'!$B:$B,"&gt;="&amp;'Colln-Summary'!$G$1,'Live Collections'!$B:$B,"&lt;="&amp;'Colln-Summary'!$G$2)</f>
        <v>0</v>
      </c>
      <c r="J168" s="353">
        <f>SUMIFS('Live Collections'!$O:$O,'Live Collections'!$D:$D,'Colln-Summary'!$A168,'Live Collections'!$B:$B,"&gt;="&amp;'Colln-Summary'!$G$1,'Live Collections'!$B:$B,"&lt;="&amp;'Colln-Summary'!$G$2)</f>
        <v>0</v>
      </c>
      <c r="K168" s="360">
        <f>SUMIFS('Live Collections'!$S:$S,'Live Collections'!$D:$D,'Colln-Summary'!$A168,'Live Collections'!$B:$B,"&gt;="&amp;'Colln-Summary'!$G$1,'Live Collections'!$B:$B,"&lt;="&amp;'Colln-Summary'!$G$2)</f>
        <v>0</v>
      </c>
      <c r="L168" s="360">
        <f>SUMIFS('Live Collections'!$T:$T,'Live Collections'!$D:$D,'Colln-Summary'!$A168,'Live Collections'!$B:$B,"&gt;="&amp;'Colln-Summary'!$G$1,'Live Collections'!$B:$B,"&lt;="&amp;'Colln-Summary'!$G$2)</f>
        <v>0</v>
      </c>
      <c r="M168" s="258">
        <f t="shared" si="3"/>
        <v>0</v>
      </c>
    </row>
    <row r="169" spans="1:13" x14ac:dyDescent="0.2">
      <c r="A169" s="478">
        <v>165</v>
      </c>
      <c r="B169" s="352" t="str">
        <f>IFERROR(VLOOKUP($A169,'Clients-Live'!$A:$C,3,0),"")</f>
        <v>BOBOYA BRAN</v>
      </c>
      <c r="C169" s="353">
        <f>SUMIFS('Live Collections'!$J:$J,'Live Collections'!$D:$D,'Colln-Summary'!$A169,'Live Collections'!$B:$B,"&gt;="&amp;'Colln-Summary'!$G$1,'Live Collections'!$B:$B,"&lt;="&amp;'Colln-Summary'!$G$2)</f>
        <v>0</v>
      </c>
      <c r="D169" s="353">
        <f>SUMIFS('Live Collections'!$K:$K,'Live Collections'!$D:$D,'Colln-Summary'!$A169,'Live Collections'!$B:$B,"&gt;="&amp;'Colln-Summary'!$G$1,'Live Collections'!$B:$B,"&lt;="&amp;'Colln-Summary'!$G$2)</f>
        <v>0</v>
      </c>
      <c r="E169" s="353">
        <f>SUMIFS(Disbursements!$F:$F,Disbursements!$B:$B,'Colln-Summary'!$A169,Disbursements!$A:$A,"&gt;="&amp;'Colln-Summary'!$G$1,Disbursements!$A:$A,"&lt;="&amp;'Colln-Summary'!$G$2)</f>
        <v>0</v>
      </c>
      <c r="F169" s="353">
        <f>SUMIFS('Live Collections'!$L:$L,'Live Collections'!$D:$D,'Colln-Summary'!$A169,'Live Collections'!$B:$B,"&gt;="&amp;'Colln-Summary'!$G$1,'Live Collections'!$B:$B,"&lt;="&amp;'Colln-Summary'!$G$2)</f>
        <v>0</v>
      </c>
      <c r="G169" s="353">
        <f>SUMIFS('Live Collections'!$M:$M,'Live Collections'!$D:$D,'Colln-Summary'!$A169,'Live Collections'!$B:$B,"&gt;="&amp;'Colln-Summary'!$G$1,'Live Collections'!$B:$B,"&lt;="&amp;'Colln-Summary'!$G$2)</f>
        <v>0</v>
      </c>
      <c r="H169" s="353">
        <f>SUMIFS('Live Collections'!$N:$N,'Live Collections'!$D:$D,'Colln-Summary'!$A169,'Live Collections'!$B:$B,"&gt;="&amp;'Colln-Summary'!$G$1,'Live Collections'!$B:$B,"&lt;="&amp;'Colln-Summary'!$G$2)</f>
        <v>0</v>
      </c>
      <c r="I169" s="353">
        <f>SUMIFS('Live Collections'!$P:$P,'Live Collections'!$D:$D,'Colln-Summary'!$A169,'Live Collections'!$B:$B,"&gt;="&amp;'Colln-Summary'!$G$1,'Live Collections'!$B:$B,"&lt;="&amp;'Colln-Summary'!$G$2)</f>
        <v>0</v>
      </c>
      <c r="J169" s="353">
        <f>SUMIFS('Live Collections'!$O:$O,'Live Collections'!$D:$D,'Colln-Summary'!$A169,'Live Collections'!$B:$B,"&gt;="&amp;'Colln-Summary'!$G$1,'Live Collections'!$B:$B,"&lt;="&amp;'Colln-Summary'!$G$2)</f>
        <v>0</v>
      </c>
      <c r="K169" s="360">
        <f>SUMIFS('Live Collections'!$S:$S,'Live Collections'!$D:$D,'Colln-Summary'!$A169,'Live Collections'!$B:$B,"&gt;="&amp;'Colln-Summary'!$G$1,'Live Collections'!$B:$B,"&lt;="&amp;'Colln-Summary'!$G$2)</f>
        <v>0</v>
      </c>
      <c r="L169" s="360">
        <f>SUMIFS('Live Collections'!$T:$T,'Live Collections'!$D:$D,'Colln-Summary'!$A169,'Live Collections'!$B:$B,"&gt;="&amp;'Colln-Summary'!$G$1,'Live Collections'!$B:$B,"&lt;="&amp;'Colln-Summary'!$G$2)</f>
        <v>0</v>
      </c>
      <c r="M169" s="258">
        <f t="shared" si="3"/>
        <v>0</v>
      </c>
    </row>
    <row r="170" spans="1:13" x14ac:dyDescent="0.2">
      <c r="A170" s="478">
        <v>166</v>
      </c>
      <c r="B170" s="352" t="str">
        <f>IFERROR(VLOOKUP($A170,'Clients-Live'!$A:$C,3,0),"")</f>
        <v>INJIKURU ROSE</v>
      </c>
      <c r="C170" s="353">
        <f>SUMIFS('Live Collections'!$J:$J,'Live Collections'!$D:$D,'Colln-Summary'!$A170,'Live Collections'!$B:$B,"&gt;="&amp;'Colln-Summary'!$G$1,'Live Collections'!$B:$B,"&lt;="&amp;'Colln-Summary'!$G$2)</f>
        <v>0</v>
      </c>
      <c r="D170" s="353">
        <f>SUMIFS('Live Collections'!$K:$K,'Live Collections'!$D:$D,'Colln-Summary'!$A170,'Live Collections'!$B:$B,"&gt;="&amp;'Colln-Summary'!$G$1,'Live Collections'!$B:$B,"&lt;="&amp;'Colln-Summary'!$G$2)</f>
        <v>0</v>
      </c>
      <c r="E170" s="353">
        <f>SUMIFS(Disbursements!$F:$F,Disbursements!$B:$B,'Colln-Summary'!$A170,Disbursements!$A:$A,"&gt;="&amp;'Colln-Summary'!$G$1,Disbursements!$A:$A,"&lt;="&amp;'Colln-Summary'!$G$2)</f>
        <v>0</v>
      </c>
      <c r="F170" s="353">
        <f>SUMIFS('Live Collections'!$L:$L,'Live Collections'!$D:$D,'Colln-Summary'!$A170,'Live Collections'!$B:$B,"&gt;="&amp;'Colln-Summary'!$G$1,'Live Collections'!$B:$B,"&lt;="&amp;'Colln-Summary'!$G$2)</f>
        <v>0</v>
      </c>
      <c r="G170" s="353">
        <f>SUMIFS('Live Collections'!$M:$M,'Live Collections'!$D:$D,'Colln-Summary'!$A170,'Live Collections'!$B:$B,"&gt;="&amp;'Colln-Summary'!$G$1,'Live Collections'!$B:$B,"&lt;="&amp;'Colln-Summary'!$G$2)</f>
        <v>0</v>
      </c>
      <c r="H170" s="353">
        <f>SUMIFS('Live Collections'!$N:$N,'Live Collections'!$D:$D,'Colln-Summary'!$A170,'Live Collections'!$B:$B,"&gt;="&amp;'Colln-Summary'!$G$1,'Live Collections'!$B:$B,"&lt;="&amp;'Colln-Summary'!$G$2)</f>
        <v>0</v>
      </c>
      <c r="I170" s="353">
        <f>SUMIFS('Live Collections'!$P:$P,'Live Collections'!$D:$D,'Colln-Summary'!$A170,'Live Collections'!$B:$B,"&gt;="&amp;'Colln-Summary'!$G$1,'Live Collections'!$B:$B,"&lt;="&amp;'Colln-Summary'!$G$2)</f>
        <v>0</v>
      </c>
      <c r="J170" s="353">
        <f>SUMIFS('Live Collections'!$O:$O,'Live Collections'!$D:$D,'Colln-Summary'!$A170,'Live Collections'!$B:$B,"&gt;="&amp;'Colln-Summary'!$G$1,'Live Collections'!$B:$B,"&lt;="&amp;'Colln-Summary'!$G$2)</f>
        <v>0</v>
      </c>
      <c r="K170" s="360">
        <f>SUMIFS('Live Collections'!$S:$S,'Live Collections'!$D:$D,'Colln-Summary'!$A170,'Live Collections'!$B:$B,"&gt;="&amp;'Colln-Summary'!$G$1,'Live Collections'!$B:$B,"&lt;="&amp;'Colln-Summary'!$G$2)</f>
        <v>0</v>
      </c>
      <c r="L170" s="360">
        <f>SUMIFS('Live Collections'!$T:$T,'Live Collections'!$D:$D,'Colln-Summary'!$A170,'Live Collections'!$B:$B,"&gt;="&amp;'Colln-Summary'!$G$1,'Live Collections'!$B:$B,"&lt;="&amp;'Colln-Summary'!$G$2)</f>
        <v>0</v>
      </c>
      <c r="M170" s="258">
        <f t="shared" si="3"/>
        <v>0</v>
      </c>
    </row>
    <row r="171" spans="1:13" x14ac:dyDescent="0.2">
      <c r="A171" s="478">
        <v>167</v>
      </c>
      <c r="B171" s="352" t="str">
        <f>IFERROR(VLOOKUP($A171,'Clients-Live'!$A:$C,3,0),"")</f>
        <v>DRICHA KADIJA</v>
      </c>
      <c r="C171" s="353">
        <f>SUMIFS('Live Collections'!$J:$J,'Live Collections'!$D:$D,'Colln-Summary'!$A171,'Live Collections'!$B:$B,"&gt;="&amp;'Colln-Summary'!$G$1,'Live Collections'!$B:$B,"&lt;="&amp;'Colln-Summary'!$G$2)</f>
        <v>0</v>
      </c>
      <c r="D171" s="353">
        <f>SUMIFS('Live Collections'!$K:$K,'Live Collections'!$D:$D,'Colln-Summary'!$A171,'Live Collections'!$B:$B,"&gt;="&amp;'Colln-Summary'!$G$1,'Live Collections'!$B:$B,"&lt;="&amp;'Colln-Summary'!$G$2)</f>
        <v>0</v>
      </c>
      <c r="E171" s="353">
        <f>SUMIFS(Disbursements!$F:$F,Disbursements!$B:$B,'Colln-Summary'!$A171,Disbursements!$A:$A,"&gt;="&amp;'Colln-Summary'!$G$1,Disbursements!$A:$A,"&lt;="&amp;'Colln-Summary'!$G$2)</f>
        <v>0</v>
      </c>
      <c r="F171" s="353">
        <f>SUMIFS('Live Collections'!$L:$L,'Live Collections'!$D:$D,'Colln-Summary'!$A171,'Live Collections'!$B:$B,"&gt;="&amp;'Colln-Summary'!$G$1,'Live Collections'!$B:$B,"&lt;="&amp;'Colln-Summary'!$G$2)</f>
        <v>0</v>
      </c>
      <c r="G171" s="353">
        <f>SUMIFS('Live Collections'!$M:$M,'Live Collections'!$D:$D,'Colln-Summary'!$A171,'Live Collections'!$B:$B,"&gt;="&amp;'Colln-Summary'!$G$1,'Live Collections'!$B:$B,"&lt;="&amp;'Colln-Summary'!$G$2)</f>
        <v>0</v>
      </c>
      <c r="H171" s="353">
        <f>SUMIFS('Live Collections'!$N:$N,'Live Collections'!$D:$D,'Colln-Summary'!$A171,'Live Collections'!$B:$B,"&gt;="&amp;'Colln-Summary'!$G$1,'Live Collections'!$B:$B,"&lt;="&amp;'Colln-Summary'!$G$2)</f>
        <v>0</v>
      </c>
      <c r="I171" s="353">
        <f>SUMIFS('Live Collections'!$P:$P,'Live Collections'!$D:$D,'Colln-Summary'!$A171,'Live Collections'!$B:$B,"&gt;="&amp;'Colln-Summary'!$G$1,'Live Collections'!$B:$B,"&lt;="&amp;'Colln-Summary'!$G$2)</f>
        <v>0</v>
      </c>
      <c r="J171" s="353">
        <f>SUMIFS('Live Collections'!$O:$O,'Live Collections'!$D:$D,'Colln-Summary'!$A171,'Live Collections'!$B:$B,"&gt;="&amp;'Colln-Summary'!$G$1,'Live Collections'!$B:$B,"&lt;="&amp;'Colln-Summary'!$G$2)</f>
        <v>217000</v>
      </c>
      <c r="K171" s="360">
        <f>SUMIFS('Live Collections'!$S:$S,'Live Collections'!$D:$D,'Colln-Summary'!$A171,'Live Collections'!$B:$B,"&gt;="&amp;'Colln-Summary'!$G$1,'Live Collections'!$B:$B,"&lt;="&amp;'Colln-Summary'!$G$2)</f>
        <v>0</v>
      </c>
      <c r="L171" s="360">
        <f>SUMIFS('Live Collections'!$T:$T,'Live Collections'!$D:$D,'Colln-Summary'!$A171,'Live Collections'!$B:$B,"&gt;="&amp;'Colln-Summary'!$G$1,'Live Collections'!$B:$B,"&lt;="&amp;'Colln-Summary'!$G$2)</f>
        <v>217000</v>
      </c>
      <c r="M171" s="258">
        <f t="shared" si="3"/>
        <v>217000</v>
      </c>
    </row>
    <row r="172" spans="1:13" x14ac:dyDescent="0.2">
      <c r="A172" s="478">
        <v>168</v>
      </c>
      <c r="B172" s="352" t="str">
        <f>IFERROR(VLOOKUP($A172,'Clients-Live'!$A:$C,3,0),"")</f>
        <v>ALORO FREDERICK</v>
      </c>
      <c r="C172" s="353">
        <f>SUMIFS('Live Collections'!$J:$J,'Live Collections'!$D:$D,'Colln-Summary'!$A172,'Live Collections'!$B:$B,"&gt;="&amp;'Colln-Summary'!$G$1,'Live Collections'!$B:$B,"&lt;="&amp;'Colln-Summary'!$G$2)</f>
        <v>0</v>
      </c>
      <c r="D172" s="353">
        <f>SUMIFS('Live Collections'!$K:$K,'Live Collections'!$D:$D,'Colln-Summary'!$A172,'Live Collections'!$B:$B,"&gt;="&amp;'Colln-Summary'!$G$1,'Live Collections'!$B:$B,"&lt;="&amp;'Colln-Summary'!$G$2)</f>
        <v>0</v>
      </c>
      <c r="E172" s="353">
        <f>SUMIFS(Disbursements!$F:$F,Disbursements!$B:$B,'Colln-Summary'!$A172,Disbursements!$A:$A,"&gt;="&amp;'Colln-Summary'!$G$1,Disbursements!$A:$A,"&lt;="&amp;'Colln-Summary'!$G$2)</f>
        <v>5000000</v>
      </c>
      <c r="F172" s="353">
        <f>SUMIFS('Live Collections'!$L:$L,'Live Collections'!$D:$D,'Colln-Summary'!$A172,'Live Collections'!$B:$B,"&gt;="&amp;'Colln-Summary'!$G$1,'Live Collections'!$B:$B,"&lt;="&amp;'Colln-Summary'!$G$2)</f>
        <v>30000</v>
      </c>
      <c r="G172" s="353">
        <f>SUMIFS('Live Collections'!$M:$M,'Live Collections'!$D:$D,'Colln-Summary'!$A172,'Live Collections'!$B:$B,"&gt;="&amp;'Colln-Summary'!$G$1,'Live Collections'!$B:$B,"&lt;="&amp;'Colln-Summary'!$G$2)</f>
        <v>5000</v>
      </c>
      <c r="H172" s="353">
        <f>SUMIFS('Live Collections'!$N:$N,'Live Collections'!$D:$D,'Colln-Summary'!$A172,'Live Collections'!$B:$B,"&gt;="&amp;'Colln-Summary'!$G$1,'Live Collections'!$B:$B,"&lt;="&amp;'Colln-Summary'!$G$2)</f>
        <v>0</v>
      </c>
      <c r="I172" s="353">
        <f>SUMIFS('Live Collections'!$P:$P,'Live Collections'!$D:$D,'Colln-Summary'!$A172,'Live Collections'!$B:$B,"&gt;="&amp;'Colln-Summary'!$G$1,'Live Collections'!$B:$B,"&lt;="&amp;'Colln-Summary'!$G$2)</f>
        <v>0</v>
      </c>
      <c r="J172" s="353">
        <f>SUMIFS('Live Collections'!$O:$O,'Live Collections'!$D:$D,'Colln-Summary'!$A172,'Live Collections'!$B:$B,"&gt;="&amp;'Colln-Summary'!$G$1,'Live Collections'!$B:$B,"&lt;="&amp;'Colln-Summary'!$G$2)</f>
        <v>1250000</v>
      </c>
      <c r="K172" s="360">
        <f>SUMIFS('Live Collections'!$S:$S,'Live Collections'!$D:$D,'Colln-Summary'!$A172,'Live Collections'!$B:$B,"&gt;="&amp;'Colln-Summary'!$G$1,'Live Collections'!$B:$B,"&lt;="&amp;'Colln-Summary'!$G$2)</f>
        <v>0</v>
      </c>
      <c r="L172" s="360">
        <f>SUMIFS('Live Collections'!$T:$T,'Live Collections'!$D:$D,'Colln-Summary'!$A172,'Live Collections'!$B:$B,"&gt;="&amp;'Colln-Summary'!$G$1,'Live Collections'!$B:$B,"&lt;="&amp;'Colln-Summary'!$G$2)</f>
        <v>1250000</v>
      </c>
      <c r="M172" s="258">
        <f t="shared" si="3"/>
        <v>6285000</v>
      </c>
    </row>
    <row r="173" spans="1:13" x14ac:dyDescent="0.2">
      <c r="A173" s="478">
        <v>169</v>
      </c>
      <c r="B173" s="352" t="str">
        <f>IFERROR(VLOOKUP($A173,'Clients-Live'!$A:$C,3,0),"")</f>
        <v>KATO KENNEDY</v>
      </c>
      <c r="C173" s="353">
        <f>SUMIFS('Live Collections'!$J:$J,'Live Collections'!$D:$D,'Colln-Summary'!$A173,'Live Collections'!$B:$B,"&gt;="&amp;'Colln-Summary'!$G$1,'Live Collections'!$B:$B,"&lt;="&amp;'Colln-Summary'!$G$2)</f>
        <v>0</v>
      </c>
      <c r="D173" s="353">
        <f>SUMIFS('Live Collections'!$K:$K,'Live Collections'!$D:$D,'Colln-Summary'!$A173,'Live Collections'!$B:$B,"&gt;="&amp;'Colln-Summary'!$G$1,'Live Collections'!$B:$B,"&lt;="&amp;'Colln-Summary'!$G$2)</f>
        <v>5000</v>
      </c>
      <c r="E173" s="353">
        <f>SUMIFS(Disbursements!$F:$F,Disbursements!$B:$B,'Colln-Summary'!$A173,Disbursements!$A:$A,"&gt;="&amp;'Colln-Summary'!$G$1,Disbursements!$A:$A,"&lt;="&amp;'Colln-Summary'!$G$2)</f>
        <v>1000000</v>
      </c>
      <c r="F173" s="353">
        <f>SUMIFS('Live Collections'!$L:$L,'Live Collections'!$D:$D,'Colln-Summary'!$A173,'Live Collections'!$B:$B,"&gt;="&amp;'Colln-Summary'!$G$1,'Live Collections'!$B:$B,"&lt;="&amp;'Colln-Summary'!$G$2)</f>
        <v>20000</v>
      </c>
      <c r="G173" s="353">
        <f>SUMIFS('Live Collections'!$M:$M,'Live Collections'!$D:$D,'Colln-Summary'!$A173,'Live Collections'!$B:$B,"&gt;="&amp;'Colln-Summary'!$G$1,'Live Collections'!$B:$B,"&lt;="&amp;'Colln-Summary'!$G$2)</f>
        <v>5000</v>
      </c>
      <c r="H173" s="353">
        <f>SUMIFS('Live Collections'!$N:$N,'Live Collections'!$D:$D,'Colln-Summary'!$A173,'Live Collections'!$B:$B,"&gt;="&amp;'Colln-Summary'!$G$1,'Live Collections'!$B:$B,"&lt;="&amp;'Colln-Summary'!$G$2)</f>
        <v>0</v>
      </c>
      <c r="I173" s="353">
        <f>SUMIFS('Live Collections'!$P:$P,'Live Collections'!$D:$D,'Colln-Summary'!$A173,'Live Collections'!$B:$B,"&gt;="&amp;'Colln-Summary'!$G$1,'Live Collections'!$B:$B,"&lt;="&amp;'Colln-Summary'!$G$2)</f>
        <v>100000</v>
      </c>
      <c r="J173" s="353">
        <f>SUMIFS('Live Collections'!$O:$O,'Live Collections'!$D:$D,'Colln-Summary'!$A173,'Live Collections'!$B:$B,"&gt;="&amp;'Colln-Summary'!$G$1,'Live Collections'!$B:$B,"&lt;="&amp;'Colln-Summary'!$G$2)</f>
        <v>174000</v>
      </c>
      <c r="K173" s="360">
        <f>SUMIFS('Live Collections'!$S:$S,'Live Collections'!$D:$D,'Colln-Summary'!$A173,'Live Collections'!$B:$B,"&gt;="&amp;'Colln-Summary'!$G$1,'Live Collections'!$B:$B,"&lt;="&amp;'Colln-Summary'!$G$2)</f>
        <v>30000</v>
      </c>
      <c r="L173" s="360">
        <f>SUMIFS('Live Collections'!$T:$T,'Live Collections'!$D:$D,'Colln-Summary'!$A173,'Live Collections'!$B:$B,"&gt;="&amp;'Colln-Summary'!$G$1,'Live Collections'!$B:$B,"&lt;="&amp;'Colln-Summary'!$G$2)</f>
        <v>144000</v>
      </c>
      <c r="M173" s="258">
        <f t="shared" si="3"/>
        <v>1304000</v>
      </c>
    </row>
    <row r="174" spans="1:13" x14ac:dyDescent="0.2">
      <c r="A174" s="478">
        <v>170</v>
      </c>
      <c r="B174" s="352" t="str">
        <f>IFERROR(VLOOKUP($A174,'Clients-Live'!$A:$C,3,0),"")</f>
        <v xml:space="preserve">KABEBI RAIMA </v>
      </c>
      <c r="C174" s="353">
        <f>SUMIFS('Live Collections'!$J:$J,'Live Collections'!$D:$D,'Colln-Summary'!$A174,'Live Collections'!$B:$B,"&gt;="&amp;'Colln-Summary'!$G$1,'Live Collections'!$B:$B,"&lt;="&amp;'Colln-Summary'!$G$2)</f>
        <v>0</v>
      </c>
      <c r="D174" s="353">
        <f>SUMIFS('Live Collections'!$K:$K,'Live Collections'!$D:$D,'Colln-Summary'!$A174,'Live Collections'!$B:$B,"&gt;="&amp;'Colln-Summary'!$G$1,'Live Collections'!$B:$B,"&lt;="&amp;'Colln-Summary'!$G$2)</f>
        <v>0</v>
      </c>
      <c r="E174" s="353">
        <f>SUMIFS(Disbursements!$F:$F,Disbursements!$B:$B,'Colln-Summary'!$A174,Disbursements!$A:$A,"&gt;="&amp;'Colln-Summary'!$G$1,Disbursements!$A:$A,"&lt;="&amp;'Colln-Summary'!$G$2)</f>
        <v>0</v>
      </c>
      <c r="F174" s="353">
        <f>SUMIFS('Live Collections'!$L:$L,'Live Collections'!$D:$D,'Colln-Summary'!$A174,'Live Collections'!$B:$B,"&gt;="&amp;'Colln-Summary'!$G$1,'Live Collections'!$B:$B,"&lt;="&amp;'Colln-Summary'!$G$2)</f>
        <v>0</v>
      </c>
      <c r="G174" s="353">
        <f>SUMIFS('Live Collections'!$M:$M,'Live Collections'!$D:$D,'Colln-Summary'!$A174,'Live Collections'!$B:$B,"&gt;="&amp;'Colln-Summary'!$G$1,'Live Collections'!$B:$B,"&lt;="&amp;'Colln-Summary'!$G$2)</f>
        <v>0</v>
      </c>
      <c r="H174" s="353">
        <f>SUMIFS('Live Collections'!$N:$N,'Live Collections'!$D:$D,'Colln-Summary'!$A174,'Live Collections'!$B:$B,"&gt;="&amp;'Colln-Summary'!$G$1,'Live Collections'!$B:$B,"&lt;="&amp;'Colln-Summary'!$G$2)</f>
        <v>0</v>
      </c>
      <c r="I174" s="353">
        <f>SUMIFS('Live Collections'!$P:$P,'Live Collections'!$D:$D,'Colln-Summary'!$A174,'Live Collections'!$B:$B,"&gt;="&amp;'Colln-Summary'!$G$1,'Live Collections'!$B:$B,"&lt;="&amp;'Colln-Summary'!$G$2)</f>
        <v>0</v>
      </c>
      <c r="J174" s="353">
        <f>SUMIFS('Live Collections'!$O:$O,'Live Collections'!$D:$D,'Colln-Summary'!$A174,'Live Collections'!$B:$B,"&gt;="&amp;'Colln-Summary'!$G$1,'Live Collections'!$B:$B,"&lt;="&amp;'Colln-Summary'!$G$2)</f>
        <v>125000</v>
      </c>
      <c r="K174" s="360">
        <f>SUMIFS('Live Collections'!$S:$S,'Live Collections'!$D:$D,'Colln-Summary'!$A174,'Live Collections'!$B:$B,"&gt;="&amp;'Colln-Summary'!$G$1,'Live Collections'!$B:$B,"&lt;="&amp;'Colln-Summary'!$G$2)</f>
        <v>0</v>
      </c>
      <c r="L174" s="360">
        <f>SUMIFS('Live Collections'!$T:$T,'Live Collections'!$D:$D,'Colln-Summary'!$A174,'Live Collections'!$B:$B,"&gt;="&amp;'Colln-Summary'!$G$1,'Live Collections'!$B:$B,"&lt;="&amp;'Colln-Summary'!$G$2)</f>
        <v>125000</v>
      </c>
      <c r="M174" s="258">
        <f t="shared" si="3"/>
        <v>125000</v>
      </c>
    </row>
    <row r="175" spans="1:13" x14ac:dyDescent="0.2">
      <c r="A175" s="478">
        <v>171</v>
      </c>
      <c r="B175" s="352" t="str">
        <f>IFERROR(VLOOKUP($A175,'Clients-Live'!$A:$C,3,0),"")</f>
        <v>BADAKA GIFT JOEL</v>
      </c>
      <c r="C175" s="353">
        <f>SUMIFS('Live Collections'!$J:$J,'Live Collections'!$D:$D,'Colln-Summary'!$A175,'Live Collections'!$B:$B,"&gt;="&amp;'Colln-Summary'!$G$1,'Live Collections'!$B:$B,"&lt;="&amp;'Colln-Summary'!$G$2)</f>
        <v>0</v>
      </c>
      <c r="D175" s="353">
        <f>SUMIFS('Live Collections'!$K:$K,'Live Collections'!$D:$D,'Colln-Summary'!$A175,'Live Collections'!$B:$B,"&gt;="&amp;'Colln-Summary'!$G$1,'Live Collections'!$B:$B,"&lt;="&amp;'Colln-Summary'!$G$2)</f>
        <v>0</v>
      </c>
      <c r="E175" s="353">
        <f>SUMIFS(Disbursements!$F:$F,Disbursements!$B:$B,'Colln-Summary'!$A175,Disbursements!$A:$A,"&gt;="&amp;'Colln-Summary'!$G$1,Disbursements!$A:$A,"&lt;="&amp;'Colln-Summary'!$G$2)</f>
        <v>650000</v>
      </c>
      <c r="F175" s="353">
        <f>SUMIFS('Live Collections'!$L:$L,'Live Collections'!$D:$D,'Colln-Summary'!$A175,'Live Collections'!$B:$B,"&gt;="&amp;'Colln-Summary'!$G$1,'Live Collections'!$B:$B,"&lt;="&amp;'Colln-Summary'!$G$2)</f>
        <v>20000</v>
      </c>
      <c r="G175" s="353">
        <f>SUMIFS('Live Collections'!$M:$M,'Live Collections'!$D:$D,'Colln-Summary'!$A175,'Live Collections'!$B:$B,"&gt;="&amp;'Colln-Summary'!$G$1,'Live Collections'!$B:$B,"&lt;="&amp;'Colln-Summary'!$G$2)</f>
        <v>5000</v>
      </c>
      <c r="H175" s="353">
        <f>SUMIFS('Live Collections'!$N:$N,'Live Collections'!$D:$D,'Colln-Summary'!$A175,'Live Collections'!$B:$B,"&gt;="&amp;'Colln-Summary'!$G$1,'Live Collections'!$B:$B,"&lt;="&amp;'Colln-Summary'!$G$2)</f>
        <v>0</v>
      </c>
      <c r="I175" s="353">
        <f>SUMIFS('Live Collections'!$P:$P,'Live Collections'!$D:$D,'Colln-Summary'!$A175,'Live Collections'!$B:$B,"&gt;="&amp;'Colln-Summary'!$G$1,'Live Collections'!$B:$B,"&lt;="&amp;'Colln-Summary'!$G$2)</f>
        <v>29500</v>
      </c>
      <c r="J175" s="353">
        <f>SUMIFS('Live Collections'!$O:$O,'Live Collections'!$D:$D,'Colln-Summary'!$A175,'Live Collections'!$B:$B,"&gt;="&amp;'Colln-Summary'!$G$1,'Live Collections'!$B:$B,"&lt;="&amp;'Colln-Summary'!$G$2)</f>
        <v>343000</v>
      </c>
      <c r="K175" s="360">
        <f>SUMIFS('Live Collections'!$S:$S,'Live Collections'!$D:$D,'Colln-Summary'!$A175,'Live Collections'!$B:$B,"&gt;="&amp;'Colln-Summary'!$G$1,'Live Collections'!$B:$B,"&lt;="&amp;'Colln-Summary'!$G$2)</f>
        <v>72333.333333333328</v>
      </c>
      <c r="L175" s="360">
        <f>SUMIFS('Live Collections'!$T:$T,'Live Collections'!$D:$D,'Colln-Summary'!$A175,'Live Collections'!$B:$B,"&gt;="&amp;'Colln-Summary'!$G$1,'Live Collections'!$B:$B,"&lt;="&amp;'Colln-Summary'!$G$2)</f>
        <v>270666.66666666669</v>
      </c>
      <c r="M175" s="258">
        <f t="shared" si="3"/>
        <v>1047500</v>
      </c>
    </row>
    <row r="176" spans="1:13" x14ac:dyDescent="0.2">
      <c r="A176" s="478">
        <v>172</v>
      </c>
      <c r="B176" s="352" t="str">
        <f>IFERROR(VLOOKUP($A176,'Clients-Live'!$A:$C,3,0),"")</f>
        <v>KATUSIIME CLARA CHEKA</v>
      </c>
      <c r="C176" s="353">
        <f>SUMIFS('Live Collections'!$J:$J,'Live Collections'!$D:$D,'Colln-Summary'!$A176,'Live Collections'!$B:$B,"&gt;="&amp;'Colln-Summary'!$G$1,'Live Collections'!$B:$B,"&lt;="&amp;'Colln-Summary'!$G$2)</f>
        <v>0</v>
      </c>
      <c r="D176" s="353">
        <f>SUMIFS('Live Collections'!$K:$K,'Live Collections'!$D:$D,'Colln-Summary'!$A176,'Live Collections'!$B:$B,"&gt;="&amp;'Colln-Summary'!$G$1,'Live Collections'!$B:$B,"&lt;="&amp;'Colln-Summary'!$G$2)</f>
        <v>0</v>
      </c>
      <c r="E176" s="353">
        <f>SUMIFS(Disbursements!$F:$F,Disbursements!$B:$B,'Colln-Summary'!$A176,Disbursements!$A:$A,"&gt;="&amp;'Colln-Summary'!$G$1,Disbursements!$A:$A,"&lt;="&amp;'Colln-Summary'!$G$2)</f>
        <v>0</v>
      </c>
      <c r="F176" s="353">
        <f>SUMIFS('Live Collections'!$L:$L,'Live Collections'!$D:$D,'Colln-Summary'!$A176,'Live Collections'!$B:$B,"&gt;="&amp;'Colln-Summary'!$G$1,'Live Collections'!$B:$B,"&lt;="&amp;'Colln-Summary'!$G$2)</f>
        <v>0</v>
      </c>
      <c r="G176" s="353">
        <f>SUMIFS('Live Collections'!$M:$M,'Live Collections'!$D:$D,'Colln-Summary'!$A176,'Live Collections'!$B:$B,"&gt;="&amp;'Colln-Summary'!$G$1,'Live Collections'!$B:$B,"&lt;="&amp;'Colln-Summary'!$G$2)</f>
        <v>0</v>
      </c>
      <c r="H176" s="353">
        <f>SUMIFS('Live Collections'!$N:$N,'Live Collections'!$D:$D,'Colln-Summary'!$A176,'Live Collections'!$B:$B,"&gt;="&amp;'Colln-Summary'!$G$1,'Live Collections'!$B:$B,"&lt;="&amp;'Colln-Summary'!$G$2)</f>
        <v>0</v>
      </c>
      <c r="I176" s="353">
        <f>SUMIFS('Live Collections'!$P:$P,'Live Collections'!$D:$D,'Colln-Summary'!$A176,'Live Collections'!$B:$B,"&gt;="&amp;'Colln-Summary'!$G$1,'Live Collections'!$B:$B,"&lt;="&amp;'Colln-Summary'!$G$2)</f>
        <v>0</v>
      </c>
      <c r="J176" s="353">
        <f>SUMIFS('Live Collections'!$O:$O,'Live Collections'!$D:$D,'Colln-Summary'!$A176,'Live Collections'!$B:$B,"&gt;="&amp;'Colln-Summary'!$G$1,'Live Collections'!$B:$B,"&lt;="&amp;'Colln-Summary'!$G$2)</f>
        <v>0</v>
      </c>
      <c r="K176" s="360">
        <f>SUMIFS('Live Collections'!$S:$S,'Live Collections'!$D:$D,'Colln-Summary'!$A176,'Live Collections'!$B:$B,"&gt;="&amp;'Colln-Summary'!$G$1,'Live Collections'!$B:$B,"&lt;="&amp;'Colln-Summary'!$G$2)</f>
        <v>0</v>
      </c>
      <c r="L176" s="360">
        <f>SUMIFS('Live Collections'!$T:$T,'Live Collections'!$D:$D,'Colln-Summary'!$A176,'Live Collections'!$B:$B,"&gt;="&amp;'Colln-Summary'!$G$1,'Live Collections'!$B:$B,"&lt;="&amp;'Colln-Summary'!$G$2)</f>
        <v>0</v>
      </c>
      <c r="M176" s="258">
        <f t="shared" si="3"/>
        <v>0</v>
      </c>
    </row>
    <row r="177" spans="1:13" x14ac:dyDescent="0.2">
      <c r="A177" s="478">
        <v>173</v>
      </c>
      <c r="B177" s="352" t="str">
        <f>IFERROR(VLOOKUP($A177,'Clients-Live'!$A:$C,3,0),"")</f>
        <v>AATE SEKINA</v>
      </c>
      <c r="C177" s="353">
        <f>SUMIFS('Live Collections'!$J:$J,'Live Collections'!$D:$D,'Colln-Summary'!$A177,'Live Collections'!$B:$B,"&gt;="&amp;'Colln-Summary'!$G$1,'Live Collections'!$B:$B,"&lt;="&amp;'Colln-Summary'!$G$2)</f>
        <v>0</v>
      </c>
      <c r="D177" s="353">
        <f>SUMIFS('Live Collections'!$K:$K,'Live Collections'!$D:$D,'Colln-Summary'!$A177,'Live Collections'!$B:$B,"&gt;="&amp;'Colln-Summary'!$G$1,'Live Collections'!$B:$B,"&lt;="&amp;'Colln-Summary'!$G$2)</f>
        <v>0</v>
      </c>
      <c r="E177" s="353">
        <f>SUMIFS(Disbursements!$F:$F,Disbursements!$B:$B,'Colln-Summary'!$A177,Disbursements!$A:$A,"&gt;="&amp;'Colln-Summary'!$G$1,Disbursements!$A:$A,"&lt;="&amp;'Colln-Summary'!$G$2)</f>
        <v>0</v>
      </c>
      <c r="F177" s="353">
        <f>SUMIFS('Live Collections'!$L:$L,'Live Collections'!$D:$D,'Colln-Summary'!$A177,'Live Collections'!$B:$B,"&gt;="&amp;'Colln-Summary'!$G$1,'Live Collections'!$B:$B,"&lt;="&amp;'Colln-Summary'!$G$2)</f>
        <v>0</v>
      </c>
      <c r="G177" s="353">
        <f>SUMIFS('Live Collections'!$M:$M,'Live Collections'!$D:$D,'Colln-Summary'!$A177,'Live Collections'!$B:$B,"&gt;="&amp;'Colln-Summary'!$G$1,'Live Collections'!$B:$B,"&lt;="&amp;'Colln-Summary'!$G$2)</f>
        <v>0</v>
      </c>
      <c r="H177" s="353">
        <f>SUMIFS('Live Collections'!$N:$N,'Live Collections'!$D:$D,'Colln-Summary'!$A177,'Live Collections'!$B:$B,"&gt;="&amp;'Colln-Summary'!$G$1,'Live Collections'!$B:$B,"&lt;="&amp;'Colln-Summary'!$G$2)</f>
        <v>0</v>
      </c>
      <c r="I177" s="353">
        <f>SUMIFS('Live Collections'!$P:$P,'Live Collections'!$D:$D,'Colln-Summary'!$A177,'Live Collections'!$B:$B,"&gt;="&amp;'Colln-Summary'!$G$1,'Live Collections'!$B:$B,"&lt;="&amp;'Colln-Summary'!$G$2)</f>
        <v>0</v>
      </c>
      <c r="J177" s="353">
        <f>SUMIFS('Live Collections'!$O:$O,'Live Collections'!$D:$D,'Colln-Summary'!$A177,'Live Collections'!$B:$B,"&gt;="&amp;'Colln-Summary'!$G$1,'Live Collections'!$B:$B,"&lt;="&amp;'Colln-Summary'!$G$2)</f>
        <v>0</v>
      </c>
      <c r="K177" s="360">
        <f>SUMIFS('Live Collections'!$S:$S,'Live Collections'!$D:$D,'Colln-Summary'!$A177,'Live Collections'!$B:$B,"&gt;="&amp;'Colln-Summary'!$G$1,'Live Collections'!$B:$B,"&lt;="&amp;'Colln-Summary'!$G$2)</f>
        <v>0</v>
      </c>
      <c r="L177" s="360">
        <f>SUMIFS('Live Collections'!$T:$T,'Live Collections'!$D:$D,'Colln-Summary'!$A177,'Live Collections'!$B:$B,"&gt;="&amp;'Colln-Summary'!$G$1,'Live Collections'!$B:$B,"&lt;="&amp;'Colln-Summary'!$G$2)</f>
        <v>0</v>
      </c>
      <c r="M177" s="258">
        <f t="shared" si="3"/>
        <v>0</v>
      </c>
    </row>
    <row r="178" spans="1:13" x14ac:dyDescent="0.2">
      <c r="A178" s="478">
        <v>174</v>
      </c>
      <c r="B178" s="352" t="str">
        <f>IFERROR(VLOOKUP($A178,'Clients-Live'!$A:$C,3,0),"")</f>
        <v>METALORO   MOSES</v>
      </c>
      <c r="C178" s="353">
        <f>SUMIFS('Live Collections'!$J:$J,'Live Collections'!$D:$D,'Colln-Summary'!$A178,'Live Collections'!$B:$B,"&gt;="&amp;'Colln-Summary'!$G$1,'Live Collections'!$B:$B,"&lt;="&amp;'Colln-Summary'!$G$2)</f>
        <v>0</v>
      </c>
      <c r="D178" s="353">
        <f>SUMIFS('Live Collections'!$K:$K,'Live Collections'!$D:$D,'Colln-Summary'!$A178,'Live Collections'!$B:$B,"&gt;="&amp;'Colln-Summary'!$G$1,'Live Collections'!$B:$B,"&lt;="&amp;'Colln-Summary'!$G$2)</f>
        <v>0</v>
      </c>
      <c r="E178" s="353">
        <f>SUMIFS(Disbursements!$F:$F,Disbursements!$B:$B,'Colln-Summary'!$A178,Disbursements!$A:$A,"&gt;="&amp;'Colln-Summary'!$G$1,Disbursements!$A:$A,"&lt;="&amp;'Colln-Summary'!$G$2)</f>
        <v>0</v>
      </c>
      <c r="F178" s="353">
        <f>SUMIFS('Live Collections'!$L:$L,'Live Collections'!$D:$D,'Colln-Summary'!$A178,'Live Collections'!$B:$B,"&gt;="&amp;'Colln-Summary'!$G$1,'Live Collections'!$B:$B,"&lt;="&amp;'Colln-Summary'!$G$2)</f>
        <v>0</v>
      </c>
      <c r="G178" s="353">
        <f>SUMIFS('Live Collections'!$M:$M,'Live Collections'!$D:$D,'Colln-Summary'!$A178,'Live Collections'!$B:$B,"&gt;="&amp;'Colln-Summary'!$G$1,'Live Collections'!$B:$B,"&lt;="&amp;'Colln-Summary'!$G$2)</f>
        <v>0</v>
      </c>
      <c r="H178" s="353">
        <f>SUMIFS('Live Collections'!$N:$N,'Live Collections'!$D:$D,'Colln-Summary'!$A178,'Live Collections'!$B:$B,"&gt;="&amp;'Colln-Summary'!$G$1,'Live Collections'!$B:$B,"&lt;="&amp;'Colln-Summary'!$G$2)</f>
        <v>0</v>
      </c>
      <c r="I178" s="353">
        <f>SUMIFS('Live Collections'!$P:$P,'Live Collections'!$D:$D,'Colln-Summary'!$A178,'Live Collections'!$B:$B,"&gt;="&amp;'Colln-Summary'!$G$1,'Live Collections'!$B:$B,"&lt;="&amp;'Colln-Summary'!$G$2)</f>
        <v>0</v>
      </c>
      <c r="J178" s="353">
        <f>SUMIFS('Live Collections'!$O:$O,'Live Collections'!$D:$D,'Colln-Summary'!$A178,'Live Collections'!$B:$B,"&gt;="&amp;'Colln-Summary'!$G$1,'Live Collections'!$B:$B,"&lt;="&amp;'Colln-Summary'!$G$2)</f>
        <v>0</v>
      </c>
      <c r="K178" s="360">
        <f>SUMIFS('Live Collections'!$S:$S,'Live Collections'!$D:$D,'Colln-Summary'!$A178,'Live Collections'!$B:$B,"&gt;="&amp;'Colln-Summary'!$G$1,'Live Collections'!$B:$B,"&lt;="&amp;'Colln-Summary'!$G$2)</f>
        <v>0</v>
      </c>
      <c r="L178" s="360">
        <f>SUMIFS('Live Collections'!$T:$T,'Live Collections'!$D:$D,'Colln-Summary'!$A178,'Live Collections'!$B:$B,"&gt;="&amp;'Colln-Summary'!$G$1,'Live Collections'!$B:$B,"&lt;="&amp;'Colln-Summary'!$G$2)</f>
        <v>0</v>
      </c>
      <c r="M178" s="258">
        <f t="shared" si="3"/>
        <v>0</v>
      </c>
    </row>
    <row r="179" spans="1:13" x14ac:dyDescent="0.2">
      <c r="A179" s="478">
        <v>175</v>
      </c>
      <c r="B179" s="352" t="str">
        <f>IFERROR(VLOOKUP($A179,'Clients-Live'!$A:$C,3,0),"")</f>
        <v>ZUBEDA WAIGA</v>
      </c>
      <c r="C179" s="353">
        <f>SUMIFS('Live Collections'!$J:$J,'Live Collections'!$D:$D,'Colln-Summary'!$A179,'Live Collections'!$B:$B,"&gt;="&amp;'Colln-Summary'!$G$1,'Live Collections'!$B:$B,"&lt;="&amp;'Colln-Summary'!$G$2)</f>
        <v>0</v>
      </c>
      <c r="D179" s="353">
        <f>SUMIFS('Live Collections'!$K:$K,'Live Collections'!$D:$D,'Colln-Summary'!$A179,'Live Collections'!$B:$B,"&gt;="&amp;'Colln-Summary'!$G$1,'Live Collections'!$B:$B,"&lt;="&amp;'Colln-Summary'!$G$2)</f>
        <v>0</v>
      </c>
      <c r="E179" s="353">
        <f>SUMIFS(Disbursements!$F:$F,Disbursements!$B:$B,'Colln-Summary'!$A179,Disbursements!$A:$A,"&gt;="&amp;'Colln-Summary'!$G$1,Disbursements!$A:$A,"&lt;="&amp;'Colln-Summary'!$G$2)</f>
        <v>0</v>
      </c>
      <c r="F179" s="353">
        <f>SUMIFS('Live Collections'!$L:$L,'Live Collections'!$D:$D,'Colln-Summary'!$A179,'Live Collections'!$B:$B,"&gt;="&amp;'Colln-Summary'!$G$1,'Live Collections'!$B:$B,"&lt;="&amp;'Colln-Summary'!$G$2)</f>
        <v>0</v>
      </c>
      <c r="G179" s="353">
        <f>SUMIFS('Live Collections'!$M:$M,'Live Collections'!$D:$D,'Colln-Summary'!$A179,'Live Collections'!$B:$B,"&gt;="&amp;'Colln-Summary'!$G$1,'Live Collections'!$B:$B,"&lt;="&amp;'Colln-Summary'!$G$2)</f>
        <v>0</v>
      </c>
      <c r="H179" s="353">
        <f>SUMIFS('Live Collections'!$N:$N,'Live Collections'!$D:$D,'Colln-Summary'!$A179,'Live Collections'!$B:$B,"&gt;="&amp;'Colln-Summary'!$G$1,'Live Collections'!$B:$B,"&lt;="&amp;'Colln-Summary'!$G$2)</f>
        <v>0</v>
      </c>
      <c r="I179" s="353">
        <f>SUMIFS('Live Collections'!$P:$P,'Live Collections'!$D:$D,'Colln-Summary'!$A179,'Live Collections'!$B:$B,"&gt;="&amp;'Colln-Summary'!$G$1,'Live Collections'!$B:$B,"&lt;="&amp;'Colln-Summary'!$G$2)</f>
        <v>0</v>
      </c>
      <c r="J179" s="353">
        <f>SUMIFS('Live Collections'!$O:$O,'Live Collections'!$D:$D,'Colln-Summary'!$A179,'Live Collections'!$B:$B,"&gt;="&amp;'Colln-Summary'!$G$1,'Live Collections'!$B:$B,"&lt;="&amp;'Colln-Summary'!$G$2)</f>
        <v>0</v>
      </c>
      <c r="K179" s="360">
        <f>SUMIFS('Live Collections'!$S:$S,'Live Collections'!$D:$D,'Colln-Summary'!$A179,'Live Collections'!$B:$B,"&gt;="&amp;'Colln-Summary'!$G$1,'Live Collections'!$B:$B,"&lt;="&amp;'Colln-Summary'!$G$2)</f>
        <v>0</v>
      </c>
      <c r="L179" s="360">
        <f>SUMIFS('Live Collections'!$T:$T,'Live Collections'!$D:$D,'Colln-Summary'!$A179,'Live Collections'!$B:$B,"&gt;="&amp;'Colln-Summary'!$G$1,'Live Collections'!$B:$B,"&lt;="&amp;'Colln-Summary'!$G$2)</f>
        <v>0</v>
      </c>
      <c r="M179" s="258">
        <f t="shared" si="3"/>
        <v>0</v>
      </c>
    </row>
    <row r="180" spans="1:13" x14ac:dyDescent="0.2">
      <c r="A180" s="478">
        <v>176</v>
      </c>
      <c r="B180" s="352" t="str">
        <f>IFERROR(VLOOKUP($A180,'Clients-Live'!$A:$C,3,0),"")</f>
        <v>AJONYE JANE SINANDUGU</v>
      </c>
      <c r="C180" s="353">
        <f>SUMIFS('Live Collections'!$J:$J,'Live Collections'!$D:$D,'Colln-Summary'!$A180,'Live Collections'!$B:$B,"&gt;="&amp;'Colln-Summary'!$G$1,'Live Collections'!$B:$B,"&lt;="&amp;'Colln-Summary'!$G$2)</f>
        <v>0</v>
      </c>
      <c r="D180" s="353">
        <f>SUMIFS('Live Collections'!$K:$K,'Live Collections'!$D:$D,'Colln-Summary'!$A180,'Live Collections'!$B:$B,"&gt;="&amp;'Colln-Summary'!$G$1,'Live Collections'!$B:$B,"&lt;="&amp;'Colln-Summary'!$G$2)</f>
        <v>0</v>
      </c>
      <c r="E180" s="353">
        <f>SUMIFS(Disbursements!$F:$F,Disbursements!$B:$B,'Colln-Summary'!$A180,Disbursements!$A:$A,"&gt;="&amp;'Colln-Summary'!$G$1,Disbursements!$A:$A,"&lt;="&amp;'Colln-Summary'!$G$2)</f>
        <v>0</v>
      </c>
      <c r="F180" s="353">
        <f>SUMIFS('Live Collections'!$L:$L,'Live Collections'!$D:$D,'Colln-Summary'!$A180,'Live Collections'!$B:$B,"&gt;="&amp;'Colln-Summary'!$G$1,'Live Collections'!$B:$B,"&lt;="&amp;'Colln-Summary'!$G$2)</f>
        <v>0</v>
      </c>
      <c r="G180" s="353">
        <f>SUMIFS('Live Collections'!$M:$M,'Live Collections'!$D:$D,'Colln-Summary'!$A180,'Live Collections'!$B:$B,"&gt;="&amp;'Colln-Summary'!$G$1,'Live Collections'!$B:$B,"&lt;="&amp;'Colln-Summary'!$G$2)</f>
        <v>0</v>
      </c>
      <c r="H180" s="353">
        <f>SUMIFS('Live Collections'!$N:$N,'Live Collections'!$D:$D,'Colln-Summary'!$A180,'Live Collections'!$B:$B,"&gt;="&amp;'Colln-Summary'!$G$1,'Live Collections'!$B:$B,"&lt;="&amp;'Colln-Summary'!$G$2)</f>
        <v>0</v>
      </c>
      <c r="I180" s="353">
        <f>SUMIFS('Live Collections'!$P:$P,'Live Collections'!$D:$D,'Colln-Summary'!$A180,'Live Collections'!$B:$B,"&gt;="&amp;'Colln-Summary'!$G$1,'Live Collections'!$B:$B,"&lt;="&amp;'Colln-Summary'!$G$2)</f>
        <v>0</v>
      </c>
      <c r="J180" s="353">
        <f>SUMIFS('Live Collections'!$O:$O,'Live Collections'!$D:$D,'Colln-Summary'!$A180,'Live Collections'!$B:$B,"&gt;="&amp;'Colln-Summary'!$G$1,'Live Collections'!$B:$B,"&lt;="&amp;'Colln-Summary'!$G$2)</f>
        <v>650000</v>
      </c>
      <c r="K180" s="360">
        <f>SUMIFS('Live Collections'!$S:$S,'Live Collections'!$D:$D,'Colln-Summary'!$A180,'Live Collections'!$B:$B,"&gt;="&amp;'Colln-Summary'!$G$1,'Live Collections'!$B:$B,"&lt;="&amp;'Colln-Summary'!$G$2)</f>
        <v>25666.666666666672</v>
      </c>
      <c r="L180" s="360">
        <f>SUMIFS('Live Collections'!$T:$T,'Live Collections'!$D:$D,'Colln-Summary'!$A180,'Live Collections'!$B:$B,"&gt;="&amp;'Colln-Summary'!$G$1,'Live Collections'!$B:$B,"&lt;="&amp;'Colln-Summary'!$G$2)</f>
        <v>624333.33333333337</v>
      </c>
      <c r="M180" s="258">
        <f t="shared" si="3"/>
        <v>650000</v>
      </c>
    </row>
    <row r="181" spans="1:13" x14ac:dyDescent="0.2">
      <c r="A181" s="478">
        <v>177</v>
      </c>
      <c r="B181" s="352" t="str">
        <f>IFERROR(VLOOKUP($A181,'Clients-Live'!$A:$C,3,0),"")</f>
        <v>EFIT GIFT</v>
      </c>
      <c r="C181" s="353">
        <f>SUMIFS('Live Collections'!$J:$J,'Live Collections'!$D:$D,'Colln-Summary'!$A181,'Live Collections'!$B:$B,"&gt;="&amp;'Colln-Summary'!$G$1,'Live Collections'!$B:$B,"&lt;="&amp;'Colln-Summary'!$G$2)</f>
        <v>0</v>
      </c>
      <c r="D181" s="353">
        <f>SUMIFS('Live Collections'!$K:$K,'Live Collections'!$D:$D,'Colln-Summary'!$A181,'Live Collections'!$B:$B,"&gt;="&amp;'Colln-Summary'!$G$1,'Live Collections'!$B:$B,"&lt;="&amp;'Colln-Summary'!$G$2)</f>
        <v>0</v>
      </c>
      <c r="E181" s="353">
        <f>SUMIFS(Disbursements!$F:$F,Disbursements!$B:$B,'Colln-Summary'!$A181,Disbursements!$A:$A,"&gt;="&amp;'Colln-Summary'!$G$1,Disbursements!$A:$A,"&lt;="&amp;'Colln-Summary'!$G$2)</f>
        <v>0</v>
      </c>
      <c r="F181" s="353">
        <f>SUMIFS('Live Collections'!$L:$L,'Live Collections'!$D:$D,'Colln-Summary'!$A181,'Live Collections'!$B:$B,"&gt;="&amp;'Colln-Summary'!$G$1,'Live Collections'!$B:$B,"&lt;="&amp;'Colln-Summary'!$G$2)</f>
        <v>0</v>
      </c>
      <c r="G181" s="353">
        <f>SUMIFS('Live Collections'!$M:$M,'Live Collections'!$D:$D,'Colln-Summary'!$A181,'Live Collections'!$B:$B,"&gt;="&amp;'Colln-Summary'!$G$1,'Live Collections'!$B:$B,"&lt;="&amp;'Colln-Summary'!$G$2)</f>
        <v>0</v>
      </c>
      <c r="H181" s="353">
        <f>SUMIFS('Live Collections'!$N:$N,'Live Collections'!$D:$D,'Colln-Summary'!$A181,'Live Collections'!$B:$B,"&gt;="&amp;'Colln-Summary'!$G$1,'Live Collections'!$B:$B,"&lt;="&amp;'Colln-Summary'!$G$2)</f>
        <v>0</v>
      </c>
      <c r="I181" s="353">
        <f>SUMIFS('Live Collections'!$P:$P,'Live Collections'!$D:$D,'Colln-Summary'!$A181,'Live Collections'!$B:$B,"&gt;="&amp;'Colln-Summary'!$G$1,'Live Collections'!$B:$B,"&lt;="&amp;'Colln-Summary'!$G$2)</f>
        <v>0</v>
      </c>
      <c r="J181" s="353">
        <f>SUMIFS('Live Collections'!$O:$O,'Live Collections'!$D:$D,'Colln-Summary'!$A181,'Live Collections'!$B:$B,"&gt;="&amp;'Colln-Summary'!$G$1,'Live Collections'!$B:$B,"&lt;="&amp;'Colln-Summary'!$G$2)</f>
        <v>325000</v>
      </c>
      <c r="K181" s="360">
        <f>SUMIFS('Live Collections'!$S:$S,'Live Collections'!$D:$D,'Colln-Summary'!$A181,'Live Collections'!$B:$B,"&gt;="&amp;'Colln-Summary'!$G$1,'Live Collections'!$B:$B,"&lt;="&amp;'Colln-Summary'!$G$2)</f>
        <v>9000</v>
      </c>
      <c r="L181" s="360">
        <f>SUMIFS('Live Collections'!$T:$T,'Live Collections'!$D:$D,'Colln-Summary'!$A181,'Live Collections'!$B:$B,"&gt;="&amp;'Colln-Summary'!$G$1,'Live Collections'!$B:$B,"&lt;="&amp;'Colln-Summary'!$G$2)</f>
        <v>316000</v>
      </c>
      <c r="M181" s="258">
        <f t="shared" si="3"/>
        <v>325000</v>
      </c>
    </row>
    <row r="182" spans="1:13" x14ac:dyDescent="0.2">
      <c r="A182" s="478">
        <v>178</v>
      </c>
      <c r="B182" s="352" t="str">
        <f>IFERROR(VLOOKUP($A182,'Clients-Live'!$A:$C,3,0),"")</f>
        <v>EMUSUGUT DANIEL</v>
      </c>
      <c r="C182" s="353">
        <f>SUMIFS('Live Collections'!$J:$J,'Live Collections'!$D:$D,'Colln-Summary'!$A182,'Live Collections'!$B:$B,"&gt;="&amp;'Colln-Summary'!$G$1,'Live Collections'!$B:$B,"&lt;="&amp;'Colln-Summary'!$G$2)</f>
        <v>0</v>
      </c>
      <c r="D182" s="353">
        <f>SUMIFS('Live Collections'!$K:$K,'Live Collections'!$D:$D,'Colln-Summary'!$A182,'Live Collections'!$B:$B,"&gt;="&amp;'Colln-Summary'!$G$1,'Live Collections'!$B:$B,"&lt;="&amp;'Colln-Summary'!$G$2)</f>
        <v>0</v>
      </c>
      <c r="E182" s="353">
        <f>SUMIFS(Disbursements!$F:$F,Disbursements!$B:$B,'Colln-Summary'!$A182,Disbursements!$A:$A,"&gt;="&amp;'Colln-Summary'!$G$1,Disbursements!$A:$A,"&lt;="&amp;'Colln-Summary'!$G$2)</f>
        <v>0</v>
      </c>
      <c r="F182" s="353">
        <f>SUMIFS('Live Collections'!$L:$L,'Live Collections'!$D:$D,'Colln-Summary'!$A182,'Live Collections'!$B:$B,"&gt;="&amp;'Colln-Summary'!$G$1,'Live Collections'!$B:$B,"&lt;="&amp;'Colln-Summary'!$G$2)</f>
        <v>0</v>
      </c>
      <c r="G182" s="353">
        <f>SUMIFS('Live Collections'!$M:$M,'Live Collections'!$D:$D,'Colln-Summary'!$A182,'Live Collections'!$B:$B,"&gt;="&amp;'Colln-Summary'!$G$1,'Live Collections'!$B:$B,"&lt;="&amp;'Colln-Summary'!$G$2)</f>
        <v>0</v>
      </c>
      <c r="H182" s="353">
        <f>SUMIFS('Live Collections'!$N:$N,'Live Collections'!$D:$D,'Colln-Summary'!$A182,'Live Collections'!$B:$B,"&gt;="&amp;'Colln-Summary'!$G$1,'Live Collections'!$B:$B,"&lt;="&amp;'Colln-Summary'!$G$2)</f>
        <v>0</v>
      </c>
      <c r="I182" s="353">
        <f>SUMIFS('Live Collections'!$P:$P,'Live Collections'!$D:$D,'Colln-Summary'!$A182,'Live Collections'!$B:$B,"&gt;="&amp;'Colln-Summary'!$G$1,'Live Collections'!$B:$B,"&lt;="&amp;'Colln-Summary'!$G$2)</f>
        <v>0</v>
      </c>
      <c r="J182" s="353">
        <f>SUMIFS('Live Collections'!$O:$O,'Live Collections'!$D:$D,'Colln-Summary'!$A182,'Live Collections'!$B:$B,"&gt;="&amp;'Colln-Summary'!$G$1,'Live Collections'!$B:$B,"&lt;="&amp;'Colln-Summary'!$G$2)</f>
        <v>0</v>
      </c>
      <c r="K182" s="360">
        <f>SUMIFS('Live Collections'!$S:$S,'Live Collections'!$D:$D,'Colln-Summary'!$A182,'Live Collections'!$B:$B,"&gt;="&amp;'Colln-Summary'!$G$1,'Live Collections'!$B:$B,"&lt;="&amp;'Colln-Summary'!$G$2)</f>
        <v>0</v>
      </c>
      <c r="L182" s="360">
        <f>SUMIFS('Live Collections'!$T:$T,'Live Collections'!$D:$D,'Colln-Summary'!$A182,'Live Collections'!$B:$B,"&gt;="&amp;'Colln-Summary'!$G$1,'Live Collections'!$B:$B,"&lt;="&amp;'Colln-Summary'!$G$2)</f>
        <v>0</v>
      </c>
      <c r="M182" s="258">
        <f t="shared" si="3"/>
        <v>0</v>
      </c>
    </row>
    <row r="183" spans="1:13" x14ac:dyDescent="0.2">
      <c r="A183" s="478">
        <v>179</v>
      </c>
      <c r="B183" s="352" t="str">
        <f>IFERROR(VLOOKUP($A183,'Clients-Live'!$A:$C,3,0),"")</f>
        <v>GERIA VIOLA</v>
      </c>
      <c r="C183" s="353">
        <f>SUMIFS('Live Collections'!$J:$J,'Live Collections'!$D:$D,'Colln-Summary'!$A183,'Live Collections'!$B:$B,"&gt;="&amp;'Colln-Summary'!$G$1,'Live Collections'!$B:$B,"&lt;="&amp;'Colln-Summary'!$G$2)</f>
        <v>0</v>
      </c>
      <c r="D183" s="353">
        <f>SUMIFS('Live Collections'!$K:$K,'Live Collections'!$D:$D,'Colln-Summary'!$A183,'Live Collections'!$B:$B,"&gt;="&amp;'Colln-Summary'!$G$1,'Live Collections'!$B:$B,"&lt;="&amp;'Colln-Summary'!$G$2)</f>
        <v>0</v>
      </c>
      <c r="E183" s="353">
        <f>SUMIFS(Disbursements!$F:$F,Disbursements!$B:$B,'Colln-Summary'!$A183,Disbursements!$A:$A,"&gt;="&amp;'Colln-Summary'!$G$1,Disbursements!$A:$A,"&lt;="&amp;'Colln-Summary'!$G$2)</f>
        <v>0</v>
      </c>
      <c r="F183" s="353">
        <f>SUMIFS('Live Collections'!$L:$L,'Live Collections'!$D:$D,'Colln-Summary'!$A183,'Live Collections'!$B:$B,"&gt;="&amp;'Colln-Summary'!$G$1,'Live Collections'!$B:$B,"&lt;="&amp;'Colln-Summary'!$G$2)</f>
        <v>0</v>
      </c>
      <c r="G183" s="353">
        <f>SUMIFS('Live Collections'!$M:$M,'Live Collections'!$D:$D,'Colln-Summary'!$A183,'Live Collections'!$B:$B,"&gt;="&amp;'Colln-Summary'!$G$1,'Live Collections'!$B:$B,"&lt;="&amp;'Colln-Summary'!$G$2)</f>
        <v>0</v>
      </c>
      <c r="H183" s="353">
        <f>SUMIFS('Live Collections'!$N:$N,'Live Collections'!$D:$D,'Colln-Summary'!$A183,'Live Collections'!$B:$B,"&gt;="&amp;'Colln-Summary'!$G$1,'Live Collections'!$B:$B,"&lt;="&amp;'Colln-Summary'!$G$2)</f>
        <v>0</v>
      </c>
      <c r="I183" s="353">
        <f>SUMIFS('Live Collections'!$P:$P,'Live Collections'!$D:$D,'Colln-Summary'!$A183,'Live Collections'!$B:$B,"&gt;="&amp;'Colln-Summary'!$G$1,'Live Collections'!$B:$B,"&lt;="&amp;'Colln-Summary'!$G$2)</f>
        <v>0</v>
      </c>
      <c r="J183" s="353">
        <f>SUMIFS('Live Collections'!$O:$O,'Live Collections'!$D:$D,'Colln-Summary'!$A183,'Live Collections'!$B:$B,"&gt;="&amp;'Colln-Summary'!$G$1,'Live Collections'!$B:$B,"&lt;="&amp;'Colln-Summary'!$G$2)</f>
        <v>52000</v>
      </c>
      <c r="K183" s="360">
        <f>SUMIFS('Live Collections'!$S:$S,'Live Collections'!$D:$D,'Colln-Summary'!$A183,'Live Collections'!$B:$B,"&gt;="&amp;'Colln-Summary'!$G$1,'Live Collections'!$B:$B,"&lt;="&amp;'Colln-Summary'!$G$2)</f>
        <v>30000</v>
      </c>
      <c r="L183" s="360">
        <f>SUMIFS('Live Collections'!$T:$T,'Live Collections'!$D:$D,'Colln-Summary'!$A183,'Live Collections'!$B:$B,"&gt;="&amp;'Colln-Summary'!$G$1,'Live Collections'!$B:$B,"&lt;="&amp;'Colln-Summary'!$G$2)</f>
        <v>22000</v>
      </c>
      <c r="M183" s="258">
        <f t="shared" si="3"/>
        <v>52000</v>
      </c>
    </row>
    <row r="184" spans="1:13" x14ac:dyDescent="0.2">
      <c r="A184" s="478">
        <v>180</v>
      </c>
      <c r="B184" s="352" t="str">
        <f>IFERROR(VLOOKUP($A184,'Clients-Live'!$A:$C,3,0),"")</f>
        <v>IJOSIGA ISMAIL</v>
      </c>
      <c r="C184" s="353">
        <f>SUMIFS('Live Collections'!$J:$J,'Live Collections'!$D:$D,'Colln-Summary'!$A184,'Live Collections'!$B:$B,"&gt;="&amp;'Colln-Summary'!$G$1,'Live Collections'!$B:$B,"&lt;="&amp;'Colln-Summary'!$G$2)</f>
        <v>0</v>
      </c>
      <c r="D184" s="353">
        <f>SUMIFS('Live Collections'!$K:$K,'Live Collections'!$D:$D,'Colln-Summary'!$A184,'Live Collections'!$B:$B,"&gt;="&amp;'Colln-Summary'!$G$1,'Live Collections'!$B:$B,"&lt;="&amp;'Colln-Summary'!$G$2)</f>
        <v>0</v>
      </c>
      <c r="E184" s="353">
        <f>SUMIFS(Disbursements!$F:$F,Disbursements!$B:$B,'Colln-Summary'!$A184,Disbursements!$A:$A,"&gt;="&amp;'Colln-Summary'!$G$1,Disbursements!$A:$A,"&lt;="&amp;'Colln-Summary'!$G$2)</f>
        <v>0</v>
      </c>
      <c r="F184" s="353">
        <f>SUMIFS('Live Collections'!$L:$L,'Live Collections'!$D:$D,'Colln-Summary'!$A184,'Live Collections'!$B:$B,"&gt;="&amp;'Colln-Summary'!$G$1,'Live Collections'!$B:$B,"&lt;="&amp;'Colln-Summary'!$G$2)</f>
        <v>0</v>
      </c>
      <c r="G184" s="353">
        <f>SUMIFS('Live Collections'!$M:$M,'Live Collections'!$D:$D,'Colln-Summary'!$A184,'Live Collections'!$B:$B,"&gt;="&amp;'Colln-Summary'!$G$1,'Live Collections'!$B:$B,"&lt;="&amp;'Colln-Summary'!$G$2)</f>
        <v>0</v>
      </c>
      <c r="H184" s="353">
        <f>SUMIFS('Live Collections'!$N:$N,'Live Collections'!$D:$D,'Colln-Summary'!$A184,'Live Collections'!$B:$B,"&gt;="&amp;'Colln-Summary'!$G$1,'Live Collections'!$B:$B,"&lt;="&amp;'Colln-Summary'!$G$2)</f>
        <v>0</v>
      </c>
      <c r="I184" s="353">
        <f>SUMIFS('Live Collections'!$P:$P,'Live Collections'!$D:$D,'Colln-Summary'!$A184,'Live Collections'!$B:$B,"&gt;="&amp;'Colln-Summary'!$G$1,'Live Collections'!$B:$B,"&lt;="&amp;'Colln-Summary'!$G$2)</f>
        <v>0</v>
      </c>
      <c r="J184" s="353">
        <f>SUMIFS('Live Collections'!$O:$O,'Live Collections'!$D:$D,'Colln-Summary'!$A184,'Live Collections'!$B:$B,"&gt;="&amp;'Colln-Summary'!$G$1,'Live Collections'!$B:$B,"&lt;="&amp;'Colln-Summary'!$G$2)</f>
        <v>100000</v>
      </c>
      <c r="K184" s="360">
        <f>SUMIFS('Live Collections'!$S:$S,'Live Collections'!$D:$D,'Colln-Summary'!$A184,'Live Collections'!$B:$B,"&gt;="&amp;'Colln-Summary'!$G$1,'Live Collections'!$B:$B,"&lt;="&amp;'Colln-Summary'!$G$2)</f>
        <v>0</v>
      </c>
      <c r="L184" s="360">
        <f>SUMIFS('Live Collections'!$T:$T,'Live Collections'!$D:$D,'Colln-Summary'!$A184,'Live Collections'!$B:$B,"&gt;="&amp;'Colln-Summary'!$G$1,'Live Collections'!$B:$B,"&lt;="&amp;'Colln-Summary'!$G$2)</f>
        <v>100000</v>
      </c>
      <c r="M184" s="258">
        <f t="shared" si="3"/>
        <v>100000</v>
      </c>
    </row>
    <row r="185" spans="1:13" x14ac:dyDescent="0.2">
      <c r="A185" s="478">
        <v>181</v>
      </c>
      <c r="B185" s="352" t="str">
        <f>IFERROR(VLOOKUP($A185,'Clients-Live'!$A:$C,3,0),"")</f>
        <v>LEKURU CHRISTINE</v>
      </c>
      <c r="C185" s="353">
        <f>SUMIFS('Live Collections'!$J:$J,'Live Collections'!$D:$D,'Colln-Summary'!$A185,'Live Collections'!$B:$B,"&gt;="&amp;'Colln-Summary'!$G$1,'Live Collections'!$B:$B,"&lt;="&amp;'Colln-Summary'!$G$2)</f>
        <v>0</v>
      </c>
      <c r="D185" s="353">
        <f>SUMIFS('Live Collections'!$K:$K,'Live Collections'!$D:$D,'Colln-Summary'!$A185,'Live Collections'!$B:$B,"&gt;="&amp;'Colln-Summary'!$G$1,'Live Collections'!$B:$B,"&lt;="&amp;'Colln-Summary'!$G$2)</f>
        <v>0</v>
      </c>
      <c r="E185" s="353">
        <f>SUMIFS(Disbursements!$F:$F,Disbursements!$B:$B,'Colln-Summary'!$A185,Disbursements!$A:$A,"&gt;="&amp;'Colln-Summary'!$G$1,Disbursements!$A:$A,"&lt;="&amp;'Colln-Summary'!$G$2)</f>
        <v>0</v>
      </c>
      <c r="F185" s="353">
        <f>SUMIFS('Live Collections'!$L:$L,'Live Collections'!$D:$D,'Colln-Summary'!$A185,'Live Collections'!$B:$B,"&gt;="&amp;'Colln-Summary'!$G$1,'Live Collections'!$B:$B,"&lt;="&amp;'Colln-Summary'!$G$2)</f>
        <v>0</v>
      </c>
      <c r="G185" s="353">
        <f>SUMIFS('Live Collections'!$M:$M,'Live Collections'!$D:$D,'Colln-Summary'!$A185,'Live Collections'!$B:$B,"&gt;="&amp;'Colln-Summary'!$G$1,'Live Collections'!$B:$B,"&lt;="&amp;'Colln-Summary'!$G$2)</f>
        <v>0</v>
      </c>
      <c r="H185" s="353">
        <f>SUMIFS('Live Collections'!$N:$N,'Live Collections'!$D:$D,'Colln-Summary'!$A185,'Live Collections'!$B:$B,"&gt;="&amp;'Colln-Summary'!$G$1,'Live Collections'!$B:$B,"&lt;="&amp;'Colln-Summary'!$G$2)</f>
        <v>0</v>
      </c>
      <c r="I185" s="353">
        <f>SUMIFS('Live Collections'!$P:$P,'Live Collections'!$D:$D,'Colln-Summary'!$A185,'Live Collections'!$B:$B,"&gt;="&amp;'Colln-Summary'!$G$1,'Live Collections'!$B:$B,"&lt;="&amp;'Colln-Summary'!$G$2)</f>
        <v>0</v>
      </c>
      <c r="J185" s="353">
        <f>SUMIFS('Live Collections'!$O:$O,'Live Collections'!$D:$D,'Colln-Summary'!$A185,'Live Collections'!$B:$B,"&gt;="&amp;'Colln-Summary'!$G$1,'Live Collections'!$B:$B,"&lt;="&amp;'Colln-Summary'!$G$2)</f>
        <v>0</v>
      </c>
      <c r="K185" s="360">
        <f>SUMIFS('Live Collections'!$S:$S,'Live Collections'!$D:$D,'Colln-Summary'!$A185,'Live Collections'!$B:$B,"&gt;="&amp;'Colln-Summary'!$G$1,'Live Collections'!$B:$B,"&lt;="&amp;'Colln-Summary'!$G$2)</f>
        <v>0</v>
      </c>
      <c r="L185" s="360">
        <f>SUMIFS('Live Collections'!$T:$T,'Live Collections'!$D:$D,'Colln-Summary'!$A185,'Live Collections'!$B:$B,"&gt;="&amp;'Colln-Summary'!$G$1,'Live Collections'!$B:$B,"&lt;="&amp;'Colln-Summary'!$G$2)</f>
        <v>0</v>
      </c>
      <c r="M185" s="258">
        <f t="shared" si="3"/>
        <v>0</v>
      </c>
    </row>
    <row r="186" spans="1:13" x14ac:dyDescent="0.2">
      <c r="A186" s="478">
        <v>182</v>
      </c>
      <c r="B186" s="352" t="str">
        <f>IFERROR(VLOOKUP($A186,'Clients-Live'!$A:$C,3,0),"")</f>
        <v>ANITE ZAM</v>
      </c>
      <c r="C186" s="353">
        <f>SUMIFS('Live Collections'!$J:$J,'Live Collections'!$D:$D,'Colln-Summary'!$A186,'Live Collections'!$B:$B,"&gt;="&amp;'Colln-Summary'!$G$1,'Live Collections'!$B:$B,"&lt;="&amp;'Colln-Summary'!$G$2)</f>
        <v>0</v>
      </c>
      <c r="D186" s="353">
        <f>SUMIFS('Live Collections'!$K:$K,'Live Collections'!$D:$D,'Colln-Summary'!$A186,'Live Collections'!$B:$B,"&gt;="&amp;'Colln-Summary'!$G$1,'Live Collections'!$B:$B,"&lt;="&amp;'Colln-Summary'!$G$2)</f>
        <v>0</v>
      </c>
      <c r="E186" s="353">
        <f>SUMIFS(Disbursements!$F:$F,Disbursements!$B:$B,'Colln-Summary'!$A186,Disbursements!$A:$A,"&gt;="&amp;'Colln-Summary'!$G$1,Disbursements!$A:$A,"&lt;="&amp;'Colln-Summary'!$G$2)</f>
        <v>0</v>
      </c>
      <c r="F186" s="353">
        <f>SUMIFS('Live Collections'!$L:$L,'Live Collections'!$D:$D,'Colln-Summary'!$A186,'Live Collections'!$B:$B,"&gt;="&amp;'Colln-Summary'!$G$1,'Live Collections'!$B:$B,"&lt;="&amp;'Colln-Summary'!$G$2)</f>
        <v>0</v>
      </c>
      <c r="G186" s="353">
        <f>SUMIFS('Live Collections'!$M:$M,'Live Collections'!$D:$D,'Colln-Summary'!$A186,'Live Collections'!$B:$B,"&gt;="&amp;'Colln-Summary'!$G$1,'Live Collections'!$B:$B,"&lt;="&amp;'Colln-Summary'!$G$2)</f>
        <v>0</v>
      </c>
      <c r="H186" s="353">
        <f>SUMIFS('Live Collections'!$N:$N,'Live Collections'!$D:$D,'Colln-Summary'!$A186,'Live Collections'!$B:$B,"&gt;="&amp;'Colln-Summary'!$G$1,'Live Collections'!$B:$B,"&lt;="&amp;'Colln-Summary'!$G$2)</f>
        <v>0</v>
      </c>
      <c r="I186" s="353">
        <f>SUMIFS('Live Collections'!$P:$P,'Live Collections'!$D:$D,'Colln-Summary'!$A186,'Live Collections'!$B:$B,"&gt;="&amp;'Colln-Summary'!$G$1,'Live Collections'!$B:$B,"&lt;="&amp;'Colln-Summary'!$G$2)</f>
        <v>-30000</v>
      </c>
      <c r="J186" s="353">
        <f>SUMIFS('Live Collections'!$O:$O,'Live Collections'!$D:$D,'Colln-Summary'!$A186,'Live Collections'!$B:$B,"&gt;="&amp;'Colln-Summary'!$G$1,'Live Collections'!$B:$B,"&lt;="&amp;'Colln-Summary'!$G$2)</f>
        <v>40000</v>
      </c>
      <c r="K186" s="360">
        <f>SUMIFS('Live Collections'!$S:$S,'Live Collections'!$D:$D,'Colln-Summary'!$A186,'Live Collections'!$B:$B,"&gt;="&amp;'Colln-Summary'!$G$1,'Live Collections'!$B:$B,"&lt;="&amp;'Colln-Summary'!$G$2)</f>
        <v>0</v>
      </c>
      <c r="L186" s="360">
        <f>SUMIFS('Live Collections'!$T:$T,'Live Collections'!$D:$D,'Colln-Summary'!$A186,'Live Collections'!$B:$B,"&gt;="&amp;'Colln-Summary'!$G$1,'Live Collections'!$B:$B,"&lt;="&amp;'Colln-Summary'!$G$2)</f>
        <v>40000</v>
      </c>
      <c r="M186" s="258">
        <f t="shared" si="3"/>
        <v>10000</v>
      </c>
    </row>
    <row r="187" spans="1:13" x14ac:dyDescent="0.2">
      <c r="A187" s="478">
        <v>183</v>
      </c>
      <c r="B187" s="352" t="str">
        <f>IFERROR(VLOOKUP($A187,'Clients-Live'!$A:$C,3,0),"")</f>
        <v>NIGHT AMINA HUSSEIN</v>
      </c>
      <c r="C187" s="353">
        <f>SUMIFS('Live Collections'!$J:$J,'Live Collections'!$D:$D,'Colln-Summary'!$A187,'Live Collections'!$B:$B,"&gt;="&amp;'Colln-Summary'!$G$1,'Live Collections'!$B:$B,"&lt;="&amp;'Colln-Summary'!$G$2)</f>
        <v>0</v>
      </c>
      <c r="D187" s="353">
        <f>SUMIFS('Live Collections'!$K:$K,'Live Collections'!$D:$D,'Colln-Summary'!$A187,'Live Collections'!$B:$B,"&gt;="&amp;'Colln-Summary'!$G$1,'Live Collections'!$B:$B,"&lt;="&amp;'Colln-Summary'!$G$2)</f>
        <v>0</v>
      </c>
      <c r="E187" s="353">
        <f>SUMIFS(Disbursements!$F:$F,Disbursements!$B:$B,'Colln-Summary'!$A187,Disbursements!$A:$A,"&gt;="&amp;'Colln-Summary'!$G$1,Disbursements!$A:$A,"&lt;="&amp;'Colln-Summary'!$G$2)</f>
        <v>0</v>
      </c>
      <c r="F187" s="353">
        <f>SUMIFS('Live Collections'!$L:$L,'Live Collections'!$D:$D,'Colln-Summary'!$A187,'Live Collections'!$B:$B,"&gt;="&amp;'Colln-Summary'!$G$1,'Live Collections'!$B:$B,"&lt;="&amp;'Colln-Summary'!$G$2)</f>
        <v>0</v>
      </c>
      <c r="G187" s="353">
        <f>SUMIFS('Live Collections'!$M:$M,'Live Collections'!$D:$D,'Colln-Summary'!$A187,'Live Collections'!$B:$B,"&gt;="&amp;'Colln-Summary'!$G$1,'Live Collections'!$B:$B,"&lt;="&amp;'Colln-Summary'!$G$2)</f>
        <v>0</v>
      </c>
      <c r="H187" s="353">
        <f>SUMIFS('Live Collections'!$N:$N,'Live Collections'!$D:$D,'Colln-Summary'!$A187,'Live Collections'!$B:$B,"&gt;="&amp;'Colln-Summary'!$G$1,'Live Collections'!$B:$B,"&lt;="&amp;'Colln-Summary'!$G$2)</f>
        <v>0</v>
      </c>
      <c r="I187" s="353">
        <f>SUMIFS('Live Collections'!$P:$P,'Live Collections'!$D:$D,'Colln-Summary'!$A187,'Live Collections'!$B:$B,"&gt;="&amp;'Colln-Summary'!$G$1,'Live Collections'!$B:$B,"&lt;="&amp;'Colln-Summary'!$G$2)</f>
        <v>0</v>
      </c>
      <c r="J187" s="353">
        <f>SUMIFS('Live Collections'!$O:$O,'Live Collections'!$D:$D,'Colln-Summary'!$A187,'Live Collections'!$B:$B,"&gt;="&amp;'Colln-Summary'!$G$1,'Live Collections'!$B:$B,"&lt;="&amp;'Colln-Summary'!$G$2)</f>
        <v>0</v>
      </c>
      <c r="K187" s="360">
        <f>SUMIFS('Live Collections'!$S:$S,'Live Collections'!$D:$D,'Colln-Summary'!$A187,'Live Collections'!$B:$B,"&gt;="&amp;'Colln-Summary'!$G$1,'Live Collections'!$B:$B,"&lt;="&amp;'Colln-Summary'!$G$2)</f>
        <v>0</v>
      </c>
      <c r="L187" s="360">
        <f>SUMIFS('Live Collections'!$T:$T,'Live Collections'!$D:$D,'Colln-Summary'!$A187,'Live Collections'!$B:$B,"&gt;="&amp;'Colln-Summary'!$G$1,'Live Collections'!$B:$B,"&lt;="&amp;'Colln-Summary'!$G$2)</f>
        <v>0</v>
      </c>
      <c r="M187" s="258">
        <f t="shared" si="3"/>
        <v>0</v>
      </c>
    </row>
    <row r="188" spans="1:13" x14ac:dyDescent="0.2">
      <c r="A188" s="478">
        <v>184</v>
      </c>
      <c r="B188" s="352" t="str">
        <f>IFERROR(VLOOKUP($A188,'Clients-Live'!$A:$C,3,0),"")</f>
        <v>OCOKORU GLORIA</v>
      </c>
      <c r="C188" s="353">
        <f>SUMIFS('Live Collections'!$J:$J,'Live Collections'!$D:$D,'Colln-Summary'!$A188,'Live Collections'!$B:$B,"&gt;="&amp;'Colln-Summary'!$G$1,'Live Collections'!$B:$B,"&lt;="&amp;'Colln-Summary'!$G$2)</f>
        <v>0</v>
      </c>
      <c r="D188" s="353">
        <f>SUMIFS('Live Collections'!$K:$K,'Live Collections'!$D:$D,'Colln-Summary'!$A188,'Live Collections'!$B:$B,"&gt;="&amp;'Colln-Summary'!$G$1,'Live Collections'!$B:$B,"&lt;="&amp;'Colln-Summary'!$G$2)</f>
        <v>0</v>
      </c>
      <c r="E188" s="353">
        <f>SUMIFS(Disbursements!$F:$F,Disbursements!$B:$B,'Colln-Summary'!$A188,Disbursements!$A:$A,"&gt;="&amp;'Colln-Summary'!$G$1,Disbursements!$A:$A,"&lt;="&amp;'Colln-Summary'!$G$2)</f>
        <v>0</v>
      </c>
      <c r="F188" s="353">
        <f>SUMIFS('Live Collections'!$L:$L,'Live Collections'!$D:$D,'Colln-Summary'!$A188,'Live Collections'!$B:$B,"&gt;="&amp;'Colln-Summary'!$G$1,'Live Collections'!$B:$B,"&lt;="&amp;'Colln-Summary'!$G$2)</f>
        <v>0</v>
      </c>
      <c r="G188" s="353">
        <f>SUMIFS('Live Collections'!$M:$M,'Live Collections'!$D:$D,'Colln-Summary'!$A188,'Live Collections'!$B:$B,"&gt;="&amp;'Colln-Summary'!$G$1,'Live Collections'!$B:$B,"&lt;="&amp;'Colln-Summary'!$G$2)</f>
        <v>0</v>
      </c>
      <c r="H188" s="353">
        <f>SUMIFS('Live Collections'!$N:$N,'Live Collections'!$D:$D,'Colln-Summary'!$A188,'Live Collections'!$B:$B,"&gt;="&amp;'Colln-Summary'!$G$1,'Live Collections'!$B:$B,"&lt;="&amp;'Colln-Summary'!$G$2)</f>
        <v>0</v>
      </c>
      <c r="I188" s="353">
        <f>SUMIFS('Live Collections'!$P:$P,'Live Collections'!$D:$D,'Colln-Summary'!$A188,'Live Collections'!$B:$B,"&gt;="&amp;'Colln-Summary'!$G$1,'Live Collections'!$B:$B,"&lt;="&amp;'Colln-Summary'!$G$2)</f>
        <v>0</v>
      </c>
      <c r="J188" s="353">
        <f>SUMIFS('Live Collections'!$O:$O,'Live Collections'!$D:$D,'Colln-Summary'!$A188,'Live Collections'!$B:$B,"&gt;="&amp;'Colln-Summary'!$G$1,'Live Collections'!$B:$B,"&lt;="&amp;'Colln-Summary'!$G$2)</f>
        <v>0</v>
      </c>
      <c r="K188" s="360">
        <f>SUMIFS('Live Collections'!$S:$S,'Live Collections'!$D:$D,'Colln-Summary'!$A188,'Live Collections'!$B:$B,"&gt;="&amp;'Colln-Summary'!$G$1,'Live Collections'!$B:$B,"&lt;="&amp;'Colln-Summary'!$G$2)</f>
        <v>0</v>
      </c>
      <c r="L188" s="360">
        <f>SUMIFS('Live Collections'!$T:$T,'Live Collections'!$D:$D,'Colln-Summary'!$A188,'Live Collections'!$B:$B,"&gt;="&amp;'Colln-Summary'!$G$1,'Live Collections'!$B:$B,"&lt;="&amp;'Colln-Summary'!$G$2)</f>
        <v>0</v>
      </c>
      <c r="M188" s="258">
        <f t="shared" si="3"/>
        <v>0</v>
      </c>
    </row>
    <row r="189" spans="1:13" x14ac:dyDescent="0.2">
      <c r="A189" s="478">
        <v>185</v>
      </c>
      <c r="B189" s="352" t="str">
        <f>IFERROR(VLOOKUP($A189,'Clients-Live'!$A:$C,3,0),"")</f>
        <v>APAYI HARRIET</v>
      </c>
      <c r="C189" s="353">
        <f>SUMIFS('Live Collections'!$J:$J,'Live Collections'!$D:$D,'Colln-Summary'!$A189,'Live Collections'!$B:$B,"&gt;="&amp;'Colln-Summary'!$G$1,'Live Collections'!$B:$B,"&lt;="&amp;'Colln-Summary'!$G$2)</f>
        <v>0</v>
      </c>
      <c r="D189" s="353">
        <f>SUMIFS('Live Collections'!$K:$K,'Live Collections'!$D:$D,'Colln-Summary'!$A189,'Live Collections'!$B:$B,"&gt;="&amp;'Colln-Summary'!$G$1,'Live Collections'!$B:$B,"&lt;="&amp;'Colln-Summary'!$G$2)</f>
        <v>0</v>
      </c>
      <c r="E189" s="353">
        <f>SUMIFS(Disbursements!$F:$F,Disbursements!$B:$B,'Colln-Summary'!$A189,Disbursements!$A:$A,"&gt;="&amp;'Colln-Summary'!$G$1,Disbursements!$A:$A,"&lt;="&amp;'Colln-Summary'!$G$2)</f>
        <v>0</v>
      </c>
      <c r="F189" s="353">
        <f>SUMIFS('Live Collections'!$L:$L,'Live Collections'!$D:$D,'Colln-Summary'!$A189,'Live Collections'!$B:$B,"&gt;="&amp;'Colln-Summary'!$G$1,'Live Collections'!$B:$B,"&lt;="&amp;'Colln-Summary'!$G$2)</f>
        <v>0</v>
      </c>
      <c r="G189" s="353">
        <f>SUMIFS('Live Collections'!$M:$M,'Live Collections'!$D:$D,'Colln-Summary'!$A189,'Live Collections'!$B:$B,"&gt;="&amp;'Colln-Summary'!$G$1,'Live Collections'!$B:$B,"&lt;="&amp;'Colln-Summary'!$G$2)</f>
        <v>0</v>
      </c>
      <c r="H189" s="353">
        <f>SUMIFS('Live Collections'!$N:$N,'Live Collections'!$D:$D,'Colln-Summary'!$A189,'Live Collections'!$B:$B,"&gt;="&amp;'Colln-Summary'!$G$1,'Live Collections'!$B:$B,"&lt;="&amp;'Colln-Summary'!$G$2)</f>
        <v>0</v>
      </c>
      <c r="I189" s="353">
        <f>SUMIFS('Live Collections'!$P:$P,'Live Collections'!$D:$D,'Colln-Summary'!$A189,'Live Collections'!$B:$B,"&gt;="&amp;'Colln-Summary'!$G$1,'Live Collections'!$B:$B,"&lt;="&amp;'Colln-Summary'!$G$2)</f>
        <v>0</v>
      </c>
      <c r="J189" s="353">
        <f>SUMIFS('Live Collections'!$O:$O,'Live Collections'!$D:$D,'Colln-Summary'!$A189,'Live Collections'!$B:$B,"&gt;="&amp;'Colln-Summary'!$G$1,'Live Collections'!$B:$B,"&lt;="&amp;'Colln-Summary'!$G$2)</f>
        <v>330000</v>
      </c>
      <c r="K189" s="360">
        <f>SUMIFS('Live Collections'!$S:$S,'Live Collections'!$D:$D,'Colln-Summary'!$A189,'Live Collections'!$B:$B,"&gt;="&amp;'Colln-Summary'!$G$1,'Live Collections'!$B:$B,"&lt;="&amp;'Colln-Summary'!$G$2)</f>
        <v>57000</v>
      </c>
      <c r="L189" s="360">
        <f>SUMIFS('Live Collections'!$T:$T,'Live Collections'!$D:$D,'Colln-Summary'!$A189,'Live Collections'!$B:$B,"&gt;="&amp;'Colln-Summary'!$G$1,'Live Collections'!$B:$B,"&lt;="&amp;'Colln-Summary'!$G$2)</f>
        <v>273000</v>
      </c>
      <c r="M189" s="258">
        <f t="shared" si="3"/>
        <v>330000</v>
      </c>
    </row>
    <row r="190" spans="1:13" x14ac:dyDescent="0.2">
      <c r="A190" s="478">
        <v>186</v>
      </c>
      <c r="B190" s="352" t="str">
        <f>IFERROR(VLOOKUP($A190,'Clients-Live'!$A:$C,3,0),"")</f>
        <v>GIFT JAMES</v>
      </c>
      <c r="C190" s="353">
        <f>SUMIFS('Live Collections'!$J:$J,'Live Collections'!$D:$D,'Colln-Summary'!$A190,'Live Collections'!$B:$B,"&gt;="&amp;'Colln-Summary'!$G$1,'Live Collections'!$B:$B,"&lt;="&amp;'Colln-Summary'!$G$2)</f>
        <v>0</v>
      </c>
      <c r="D190" s="353">
        <f>SUMIFS('Live Collections'!$K:$K,'Live Collections'!$D:$D,'Colln-Summary'!$A190,'Live Collections'!$B:$B,"&gt;="&amp;'Colln-Summary'!$G$1,'Live Collections'!$B:$B,"&lt;="&amp;'Colln-Summary'!$G$2)</f>
        <v>0</v>
      </c>
      <c r="E190" s="353">
        <f>SUMIFS(Disbursements!$F:$F,Disbursements!$B:$B,'Colln-Summary'!$A190,Disbursements!$A:$A,"&gt;="&amp;'Colln-Summary'!$G$1,Disbursements!$A:$A,"&lt;="&amp;'Colln-Summary'!$G$2)</f>
        <v>0</v>
      </c>
      <c r="F190" s="353">
        <f>SUMIFS('Live Collections'!$L:$L,'Live Collections'!$D:$D,'Colln-Summary'!$A190,'Live Collections'!$B:$B,"&gt;="&amp;'Colln-Summary'!$G$1,'Live Collections'!$B:$B,"&lt;="&amp;'Colln-Summary'!$G$2)</f>
        <v>0</v>
      </c>
      <c r="G190" s="353">
        <f>SUMIFS('Live Collections'!$M:$M,'Live Collections'!$D:$D,'Colln-Summary'!$A190,'Live Collections'!$B:$B,"&gt;="&amp;'Colln-Summary'!$G$1,'Live Collections'!$B:$B,"&lt;="&amp;'Colln-Summary'!$G$2)</f>
        <v>0</v>
      </c>
      <c r="H190" s="353">
        <f>SUMIFS('Live Collections'!$N:$N,'Live Collections'!$D:$D,'Colln-Summary'!$A190,'Live Collections'!$B:$B,"&gt;="&amp;'Colln-Summary'!$G$1,'Live Collections'!$B:$B,"&lt;="&amp;'Colln-Summary'!$G$2)</f>
        <v>0</v>
      </c>
      <c r="I190" s="353">
        <f>SUMIFS('Live Collections'!$P:$P,'Live Collections'!$D:$D,'Colln-Summary'!$A190,'Live Collections'!$B:$B,"&gt;="&amp;'Colln-Summary'!$G$1,'Live Collections'!$B:$B,"&lt;="&amp;'Colln-Summary'!$G$2)</f>
        <v>0</v>
      </c>
      <c r="J190" s="353">
        <f>SUMIFS('Live Collections'!$O:$O,'Live Collections'!$D:$D,'Colln-Summary'!$A190,'Live Collections'!$B:$B,"&gt;="&amp;'Colln-Summary'!$G$1,'Live Collections'!$B:$B,"&lt;="&amp;'Colln-Summary'!$G$2)</f>
        <v>434000</v>
      </c>
      <c r="K190" s="360">
        <f>SUMIFS('Live Collections'!$S:$S,'Live Collections'!$D:$D,'Colln-Summary'!$A190,'Live Collections'!$B:$B,"&gt;="&amp;'Colln-Summary'!$G$1,'Live Collections'!$B:$B,"&lt;="&amp;'Colln-Summary'!$G$2)</f>
        <v>104000</v>
      </c>
      <c r="L190" s="360">
        <f>SUMIFS('Live Collections'!$T:$T,'Live Collections'!$D:$D,'Colln-Summary'!$A190,'Live Collections'!$B:$B,"&gt;="&amp;'Colln-Summary'!$G$1,'Live Collections'!$B:$B,"&lt;="&amp;'Colln-Summary'!$G$2)</f>
        <v>330000</v>
      </c>
      <c r="M190" s="258">
        <f t="shared" si="3"/>
        <v>434000</v>
      </c>
    </row>
    <row r="191" spans="1:13" x14ac:dyDescent="0.2">
      <c r="A191" s="478">
        <v>187</v>
      </c>
      <c r="B191" s="352" t="str">
        <f>IFERROR(VLOOKUP($A191,'Clients-Live'!$A:$C,3,0),"")</f>
        <v xml:space="preserve">AJIO HARRIET </v>
      </c>
      <c r="C191" s="353">
        <f>SUMIFS('Live Collections'!$J:$J,'Live Collections'!$D:$D,'Colln-Summary'!$A191,'Live Collections'!$B:$B,"&gt;="&amp;'Colln-Summary'!$G$1,'Live Collections'!$B:$B,"&lt;="&amp;'Colln-Summary'!$G$2)</f>
        <v>0</v>
      </c>
      <c r="D191" s="353">
        <f>SUMIFS('Live Collections'!$K:$K,'Live Collections'!$D:$D,'Colln-Summary'!$A191,'Live Collections'!$B:$B,"&gt;="&amp;'Colln-Summary'!$G$1,'Live Collections'!$B:$B,"&lt;="&amp;'Colln-Summary'!$G$2)</f>
        <v>0</v>
      </c>
      <c r="E191" s="353">
        <f>SUMIFS(Disbursements!$F:$F,Disbursements!$B:$B,'Colln-Summary'!$A191,Disbursements!$A:$A,"&gt;="&amp;'Colln-Summary'!$G$1,Disbursements!$A:$A,"&lt;="&amp;'Colln-Summary'!$G$2)</f>
        <v>0</v>
      </c>
      <c r="F191" s="353">
        <f>SUMIFS('Live Collections'!$L:$L,'Live Collections'!$D:$D,'Colln-Summary'!$A191,'Live Collections'!$B:$B,"&gt;="&amp;'Colln-Summary'!$G$1,'Live Collections'!$B:$B,"&lt;="&amp;'Colln-Summary'!$G$2)</f>
        <v>0</v>
      </c>
      <c r="G191" s="353">
        <f>SUMIFS('Live Collections'!$M:$M,'Live Collections'!$D:$D,'Colln-Summary'!$A191,'Live Collections'!$B:$B,"&gt;="&amp;'Colln-Summary'!$G$1,'Live Collections'!$B:$B,"&lt;="&amp;'Colln-Summary'!$G$2)</f>
        <v>0</v>
      </c>
      <c r="H191" s="353">
        <f>SUMIFS('Live Collections'!$N:$N,'Live Collections'!$D:$D,'Colln-Summary'!$A191,'Live Collections'!$B:$B,"&gt;="&amp;'Colln-Summary'!$G$1,'Live Collections'!$B:$B,"&lt;="&amp;'Colln-Summary'!$G$2)</f>
        <v>0</v>
      </c>
      <c r="I191" s="353">
        <f>SUMIFS('Live Collections'!$P:$P,'Live Collections'!$D:$D,'Colln-Summary'!$A191,'Live Collections'!$B:$B,"&gt;="&amp;'Colln-Summary'!$G$1,'Live Collections'!$B:$B,"&lt;="&amp;'Colln-Summary'!$G$2)</f>
        <v>0</v>
      </c>
      <c r="J191" s="353">
        <f>SUMIFS('Live Collections'!$O:$O,'Live Collections'!$D:$D,'Colln-Summary'!$A191,'Live Collections'!$B:$B,"&gt;="&amp;'Colln-Summary'!$G$1,'Live Collections'!$B:$B,"&lt;="&amp;'Colln-Summary'!$G$2)</f>
        <v>0</v>
      </c>
      <c r="K191" s="360">
        <f>SUMIFS('Live Collections'!$S:$S,'Live Collections'!$D:$D,'Colln-Summary'!$A191,'Live Collections'!$B:$B,"&gt;="&amp;'Colln-Summary'!$G$1,'Live Collections'!$B:$B,"&lt;="&amp;'Colln-Summary'!$G$2)</f>
        <v>0</v>
      </c>
      <c r="L191" s="360">
        <f>SUMIFS('Live Collections'!$T:$T,'Live Collections'!$D:$D,'Colln-Summary'!$A191,'Live Collections'!$B:$B,"&gt;="&amp;'Colln-Summary'!$G$1,'Live Collections'!$B:$B,"&lt;="&amp;'Colln-Summary'!$G$2)</f>
        <v>0</v>
      </c>
      <c r="M191" s="258">
        <f t="shared" si="3"/>
        <v>0</v>
      </c>
    </row>
    <row r="192" spans="1:13" x14ac:dyDescent="0.2">
      <c r="A192" s="478">
        <v>188</v>
      </c>
      <c r="B192" s="352" t="str">
        <f>IFERROR(VLOOKUP($A192,'Clients-Live'!$A:$C,3,0),"")</f>
        <v>ADIRU HELLEN</v>
      </c>
      <c r="C192" s="353">
        <f>SUMIFS('Live Collections'!$J:$J,'Live Collections'!$D:$D,'Colln-Summary'!$A192,'Live Collections'!$B:$B,"&gt;="&amp;'Colln-Summary'!$G$1,'Live Collections'!$B:$B,"&lt;="&amp;'Colln-Summary'!$G$2)</f>
        <v>0</v>
      </c>
      <c r="D192" s="353">
        <f>SUMIFS('Live Collections'!$K:$K,'Live Collections'!$D:$D,'Colln-Summary'!$A192,'Live Collections'!$B:$B,"&gt;="&amp;'Colln-Summary'!$G$1,'Live Collections'!$B:$B,"&lt;="&amp;'Colln-Summary'!$G$2)</f>
        <v>0</v>
      </c>
      <c r="E192" s="353">
        <f>SUMIFS(Disbursements!$F:$F,Disbursements!$B:$B,'Colln-Summary'!$A192,Disbursements!$A:$A,"&gt;="&amp;'Colln-Summary'!$G$1,Disbursements!$A:$A,"&lt;="&amp;'Colln-Summary'!$G$2)</f>
        <v>0</v>
      </c>
      <c r="F192" s="353">
        <f>SUMIFS('Live Collections'!$L:$L,'Live Collections'!$D:$D,'Colln-Summary'!$A192,'Live Collections'!$B:$B,"&gt;="&amp;'Colln-Summary'!$G$1,'Live Collections'!$B:$B,"&lt;="&amp;'Colln-Summary'!$G$2)</f>
        <v>0</v>
      </c>
      <c r="G192" s="353">
        <f>SUMIFS('Live Collections'!$M:$M,'Live Collections'!$D:$D,'Colln-Summary'!$A192,'Live Collections'!$B:$B,"&gt;="&amp;'Colln-Summary'!$G$1,'Live Collections'!$B:$B,"&lt;="&amp;'Colln-Summary'!$G$2)</f>
        <v>0</v>
      </c>
      <c r="H192" s="353">
        <f>SUMIFS('Live Collections'!$N:$N,'Live Collections'!$D:$D,'Colln-Summary'!$A192,'Live Collections'!$B:$B,"&gt;="&amp;'Colln-Summary'!$G$1,'Live Collections'!$B:$B,"&lt;="&amp;'Colln-Summary'!$G$2)</f>
        <v>0</v>
      </c>
      <c r="I192" s="353">
        <f>SUMIFS('Live Collections'!$P:$P,'Live Collections'!$D:$D,'Colln-Summary'!$A192,'Live Collections'!$B:$B,"&gt;="&amp;'Colln-Summary'!$G$1,'Live Collections'!$B:$B,"&lt;="&amp;'Colln-Summary'!$G$2)</f>
        <v>0</v>
      </c>
      <c r="J192" s="353">
        <f>SUMIFS('Live Collections'!$O:$O,'Live Collections'!$D:$D,'Colln-Summary'!$A192,'Live Collections'!$B:$B,"&gt;="&amp;'Colln-Summary'!$G$1,'Live Collections'!$B:$B,"&lt;="&amp;'Colln-Summary'!$G$2)</f>
        <v>160000</v>
      </c>
      <c r="K192" s="360">
        <f>SUMIFS('Live Collections'!$S:$S,'Live Collections'!$D:$D,'Colln-Summary'!$A192,'Live Collections'!$B:$B,"&gt;="&amp;'Colln-Summary'!$G$1,'Live Collections'!$B:$B,"&lt;="&amp;'Colln-Summary'!$G$2)</f>
        <v>50000</v>
      </c>
      <c r="L192" s="360">
        <f>SUMIFS('Live Collections'!$T:$T,'Live Collections'!$D:$D,'Colln-Summary'!$A192,'Live Collections'!$B:$B,"&gt;="&amp;'Colln-Summary'!$G$1,'Live Collections'!$B:$B,"&lt;="&amp;'Colln-Summary'!$G$2)</f>
        <v>110000</v>
      </c>
      <c r="M192" s="258">
        <f t="shared" si="3"/>
        <v>160000</v>
      </c>
    </row>
    <row r="193" spans="1:13" x14ac:dyDescent="0.2">
      <c r="A193" s="478">
        <v>189</v>
      </c>
      <c r="B193" s="352" t="str">
        <f>IFERROR(VLOOKUP($A193,'Clients-Live'!$A:$C,3,0),"")</f>
        <v>AYIDA SELUWA</v>
      </c>
      <c r="C193" s="353">
        <f>SUMIFS('Live Collections'!$J:$J,'Live Collections'!$D:$D,'Colln-Summary'!$A193,'Live Collections'!$B:$B,"&gt;="&amp;'Colln-Summary'!$G$1,'Live Collections'!$B:$B,"&lt;="&amp;'Colln-Summary'!$G$2)</f>
        <v>0</v>
      </c>
      <c r="D193" s="353">
        <f>SUMIFS('Live Collections'!$K:$K,'Live Collections'!$D:$D,'Colln-Summary'!$A193,'Live Collections'!$B:$B,"&gt;="&amp;'Colln-Summary'!$G$1,'Live Collections'!$B:$B,"&lt;="&amp;'Colln-Summary'!$G$2)</f>
        <v>0</v>
      </c>
      <c r="E193" s="353">
        <f>SUMIFS(Disbursements!$F:$F,Disbursements!$B:$B,'Colln-Summary'!$A193,Disbursements!$A:$A,"&gt;="&amp;'Colln-Summary'!$G$1,Disbursements!$A:$A,"&lt;="&amp;'Colln-Summary'!$G$2)</f>
        <v>500000</v>
      </c>
      <c r="F193" s="353">
        <f>SUMIFS('Live Collections'!$L:$L,'Live Collections'!$D:$D,'Colln-Summary'!$A193,'Live Collections'!$B:$B,"&gt;="&amp;'Colln-Summary'!$G$1,'Live Collections'!$B:$B,"&lt;="&amp;'Colln-Summary'!$G$2)</f>
        <v>0</v>
      </c>
      <c r="G193" s="353">
        <f>SUMIFS('Live Collections'!$M:$M,'Live Collections'!$D:$D,'Colln-Summary'!$A193,'Live Collections'!$B:$B,"&gt;="&amp;'Colln-Summary'!$G$1,'Live Collections'!$B:$B,"&lt;="&amp;'Colln-Summary'!$G$2)</f>
        <v>0</v>
      </c>
      <c r="H193" s="353">
        <f>SUMIFS('Live Collections'!$N:$N,'Live Collections'!$D:$D,'Colln-Summary'!$A193,'Live Collections'!$B:$B,"&gt;="&amp;'Colln-Summary'!$G$1,'Live Collections'!$B:$B,"&lt;="&amp;'Colln-Summary'!$G$2)</f>
        <v>0</v>
      </c>
      <c r="I193" s="353">
        <f>SUMIFS('Live Collections'!$P:$P,'Live Collections'!$D:$D,'Colln-Summary'!$A193,'Live Collections'!$B:$B,"&gt;="&amp;'Colln-Summary'!$G$1,'Live Collections'!$B:$B,"&lt;="&amp;'Colln-Summary'!$G$2)</f>
        <v>50000</v>
      </c>
      <c r="J193" s="353">
        <f>SUMIFS('Live Collections'!$O:$O,'Live Collections'!$D:$D,'Colln-Summary'!$A193,'Live Collections'!$B:$B,"&gt;="&amp;'Colln-Summary'!$G$1,'Live Collections'!$B:$B,"&lt;="&amp;'Colln-Summary'!$G$2)</f>
        <v>32000</v>
      </c>
      <c r="K193" s="360">
        <f>SUMIFS('Live Collections'!$S:$S,'Live Collections'!$D:$D,'Colln-Summary'!$A193,'Live Collections'!$B:$B,"&gt;="&amp;'Colln-Summary'!$G$1,'Live Collections'!$B:$B,"&lt;="&amp;'Colln-Summary'!$G$2)</f>
        <v>25666.666666666672</v>
      </c>
      <c r="L193" s="360">
        <f>SUMIFS('Live Collections'!$T:$T,'Live Collections'!$D:$D,'Colln-Summary'!$A193,'Live Collections'!$B:$B,"&gt;="&amp;'Colln-Summary'!$G$1,'Live Collections'!$B:$B,"&lt;="&amp;'Colln-Summary'!$G$2)</f>
        <v>6333.3333333333285</v>
      </c>
      <c r="M193" s="258">
        <f t="shared" si="3"/>
        <v>582000</v>
      </c>
    </row>
    <row r="194" spans="1:13" x14ac:dyDescent="0.2">
      <c r="A194" s="478">
        <v>190</v>
      </c>
      <c r="B194" s="352" t="str">
        <f>IFERROR(VLOOKUP($A194,'Clients-Live'!$A:$C,3,0),"")</f>
        <v>TAISA AMINA</v>
      </c>
      <c r="C194" s="353">
        <f>SUMIFS('Live Collections'!$J:$J,'Live Collections'!$D:$D,'Colln-Summary'!$A194,'Live Collections'!$B:$B,"&gt;="&amp;'Colln-Summary'!$G$1,'Live Collections'!$B:$B,"&lt;="&amp;'Colln-Summary'!$G$2)</f>
        <v>0</v>
      </c>
      <c r="D194" s="353">
        <f>SUMIFS('Live Collections'!$K:$K,'Live Collections'!$D:$D,'Colln-Summary'!$A194,'Live Collections'!$B:$B,"&gt;="&amp;'Colln-Summary'!$G$1,'Live Collections'!$B:$B,"&lt;="&amp;'Colln-Summary'!$G$2)</f>
        <v>0</v>
      </c>
      <c r="E194" s="353">
        <f>SUMIFS(Disbursements!$F:$F,Disbursements!$B:$B,'Colln-Summary'!$A194,Disbursements!$A:$A,"&gt;="&amp;'Colln-Summary'!$G$1,Disbursements!$A:$A,"&lt;="&amp;'Colln-Summary'!$G$2)</f>
        <v>0</v>
      </c>
      <c r="F194" s="353">
        <f>SUMIFS('Live Collections'!$L:$L,'Live Collections'!$D:$D,'Colln-Summary'!$A194,'Live Collections'!$B:$B,"&gt;="&amp;'Colln-Summary'!$G$1,'Live Collections'!$B:$B,"&lt;="&amp;'Colln-Summary'!$G$2)</f>
        <v>0</v>
      </c>
      <c r="G194" s="353">
        <f>SUMIFS('Live Collections'!$M:$M,'Live Collections'!$D:$D,'Colln-Summary'!$A194,'Live Collections'!$B:$B,"&gt;="&amp;'Colln-Summary'!$G$1,'Live Collections'!$B:$B,"&lt;="&amp;'Colln-Summary'!$G$2)</f>
        <v>0</v>
      </c>
      <c r="H194" s="353">
        <f>SUMIFS('Live Collections'!$N:$N,'Live Collections'!$D:$D,'Colln-Summary'!$A194,'Live Collections'!$B:$B,"&gt;="&amp;'Colln-Summary'!$G$1,'Live Collections'!$B:$B,"&lt;="&amp;'Colln-Summary'!$G$2)</f>
        <v>0</v>
      </c>
      <c r="I194" s="353">
        <f>SUMIFS('Live Collections'!$P:$P,'Live Collections'!$D:$D,'Colln-Summary'!$A194,'Live Collections'!$B:$B,"&gt;="&amp;'Colln-Summary'!$G$1,'Live Collections'!$B:$B,"&lt;="&amp;'Colln-Summary'!$G$2)</f>
        <v>0</v>
      </c>
      <c r="J194" s="353">
        <f>SUMIFS('Live Collections'!$O:$O,'Live Collections'!$D:$D,'Colln-Summary'!$A194,'Live Collections'!$B:$B,"&gt;="&amp;'Colln-Summary'!$G$1,'Live Collections'!$B:$B,"&lt;="&amp;'Colln-Summary'!$G$2)</f>
        <v>0</v>
      </c>
      <c r="K194" s="360">
        <f>SUMIFS('Live Collections'!$S:$S,'Live Collections'!$D:$D,'Colln-Summary'!$A194,'Live Collections'!$B:$B,"&gt;="&amp;'Colln-Summary'!$G$1,'Live Collections'!$B:$B,"&lt;="&amp;'Colln-Summary'!$G$2)</f>
        <v>0</v>
      </c>
      <c r="L194" s="360">
        <f>SUMIFS('Live Collections'!$T:$T,'Live Collections'!$D:$D,'Colln-Summary'!$A194,'Live Collections'!$B:$B,"&gt;="&amp;'Colln-Summary'!$G$1,'Live Collections'!$B:$B,"&lt;="&amp;'Colln-Summary'!$G$2)</f>
        <v>0</v>
      </c>
      <c r="M194" s="258">
        <f t="shared" si="3"/>
        <v>0</v>
      </c>
    </row>
    <row r="195" spans="1:13" x14ac:dyDescent="0.2">
      <c r="A195" s="478">
        <v>191</v>
      </c>
      <c r="B195" s="352" t="str">
        <f>IFERROR(VLOOKUP($A195,'Clients-Live'!$A:$C,3,0),"")</f>
        <v>AYOZU JESCA TAIBO</v>
      </c>
      <c r="C195" s="353">
        <f>SUMIFS('Live Collections'!$J:$J,'Live Collections'!$D:$D,'Colln-Summary'!$A195,'Live Collections'!$B:$B,"&gt;="&amp;'Colln-Summary'!$G$1,'Live Collections'!$B:$B,"&lt;="&amp;'Colln-Summary'!$G$2)</f>
        <v>0</v>
      </c>
      <c r="D195" s="353">
        <f>SUMIFS('Live Collections'!$K:$K,'Live Collections'!$D:$D,'Colln-Summary'!$A195,'Live Collections'!$B:$B,"&gt;="&amp;'Colln-Summary'!$G$1,'Live Collections'!$B:$B,"&lt;="&amp;'Colln-Summary'!$G$2)</f>
        <v>0</v>
      </c>
      <c r="E195" s="353">
        <f>SUMIFS(Disbursements!$F:$F,Disbursements!$B:$B,'Colln-Summary'!$A195,Disbursements!$A:$A,"&gt;="&amp;'Colln-Summary'!$G$1,Disbursements!$A:$A,"&lt;="&amp;'Colln-Summary'!$G$2)</f>
        <v>0</v>
      </c>
      <c r="F195" s="353">
        <f>SUMIFS('Live Collections'!$L:$L,'Live Collections'!$D:$D,'Colln-Summary'!$A195,'Live Collections'!$B:$B,"&gt;="&amp;'Colln-Summary'!$G$1,'Live Collections'!$B:$B,"&lt;="&amp;'Colln-Summary'!$G$2)</f>
        <v>0</v>
      </c>
      <c r="G195" s="353">
        <f>SUMIFS('Live Collections'!$M:$M,'Live Collections'!$D:$D,'Colln-Summary'!$A195,'Live Collections'!$B:$B,"&gt;="&amp;'Colln-Summary'!$G$1,'Live Collections'!$B:$B,"&lt;="&amp;'Colln-Summary'!$G$2)</f>
        <v>0</v>
      </c>
      <c r="H195" s="353">
        <f>SUMIFS('Live Collections'!$N:$N,'Live Collections'!$D:$D,'Colln-Summary'!$A195,'Live Collections'!$B:$B,"&gt;="&amp;'Colln-Summary'!$G$1,'Live Collections'!$B:$B,"&lt;="&amp;'Colln-Summary'!$G$2)</f>
        <v>0</v>
      </c>
      <c r="I195" s="353">
        <f>SUMIFS('Live Collections'!$P:$P,'Live Collections'!$D:$D,'Colln-Summary'!$A195,'Live Collections'!$B:$B,"&gt;="&amp;'Colln-Summary'!$G$1,'Live Collections'!$B:$B,"&lt;="&amp;'Colln-Summary'!$G$2)</f>
        <v>0</v>
      </c>
      <c r="J195" s="353">
        <f>SUMIFS('Live Collections'!$O:$O,'Live Collections'!$D:$D,'Colln-Summary'!$A195,'Live Collections'!$B:$B,"&gt;="&amp;'Colln-Summary'!$G$1,'Live Collections'!$B:$B,"&lt;="&amp;'Colln-Summary'!$G$2)</f>
        <v>153000</v>
      </c>
      <c r="K195" s="360">
        <f>SUMIFS('Live Collections'!$S:$S,'Live Collections'!$D:$D,'Colln-Summary'!$A195,'Live Collections'!$B:$B,"&gt;="&amp;'Colln-Summary'!$G$1,'Live Collections'!$B:$B,"&lt;="&amp;'Colln-Summary'!$G$2)</f>
        <v>0</v>
      </c>
      <c r="L195" s="360">
        <f>SUMIFS('Live Collections'!$T:$T,'Live Collections'!$D:$D,'Colln-Summary'!$A195,'Live Collections'!$B:$B,"&gt;="&amp;'Colln-Summary'!$G$1,'Live Collections'!$B:$B,"&lt;="&amp;'Colln-Summary'!$G$2)</f>
        <v>153000</v>
      </c>
      <c r="M195" s="258">
        <f t="shared" si="3"/>
        <v>153000</v>
      </c>
    </row>
    <row r="196" spans="1:13" x14ac:dyDescent="0.2">
      <c r="A196" s="478">
        <v>192</v>
      </c>
      <c r="B196" s="352" t="str">
        <f>IFERROR(VLOOKUP($A196,'Clients-Live'!$A:$C,3,0),"")</f>
        <v>MAZARAU AISHA</v>
      </c>
      <c r="C196" s="353">
        <f>SUMIFS('Live Collections'!$J:$J,'Live Collections'!$D:$D,'Colln-Summary'!$A196,'Live Collections'!$B:$B,"&gt;="&amp;'Colln-Summary'!$G$1,'Live Collections'!$B:$B,"&lt;="&amp;'Colln-Summary'!$G$2)</f>
        <v>0</v>
      </c>
      <c r="D196" s="353">
        <f>SUMIFS('Live Collections'!$K:$K,'Live Collections'!$D:$D,'Colln-Summary'!$A196,'Live Collections'!$B:$B,"&gt;="&amp;'Colln-Summary'!$G$1,'Live Collections'!$B:$B,"&lt;="&amp;'Colln-Summary'!$G$2)</f>
        <v>0</v>
      </c>
      <c r="E196" s="353">
        <f>SUMIFS(Disbursements!$F:$F,Disbursements!$B:$B,'Colln-Summary'!$A196,Disbursements!$A:$A,"&gt;="&amp;'Colln-Summary'!$G$1,Disbursements!$A:$A,"&lt;="&amp;'Colln-Summary'!$G$2)</f>
        <v>0</v>
      </c>
      <c r="F196" s="353">
        <f>SUMIFS('Live Collections'!$L:$L,'Live Collections'!$D:$D,'Colln-Summary'!$A196,'Live Collections'!$B:$B,"&gt;="&amp;'Colln-Summary'!$G$1,'Live Collections'!$B:$B,"&lt;="&amp;'Colln-Summary'!$G$2)</f>
        <v>0</v>
      </c>
      <c r="G196" s="353">
        <f>SUMIFS('Live Collections'!$M:$M,'Live Collections'!$D:$D,'Colln-Summary'!$A196,'Live Collections'!$B:$B,"&gt;="&amp;'Colln-Summary'!$G$1,'Live Collections'!$B:$B,"&lt;="&amp;'Colln-Summary'!$G$2)</f>
        <v>0</v>
      </c>
      <c r="H196" s="353">
        <f>SUMIFS('Live Collections'!$N:$N,'Live Collections'!$D:$D,'Colln-Summary'!$A196,'Live Collections'!$B:$B,"&gt;="&amp;'Colln-Summary'!$G$1,'Live Collections'!$B:$B,"&lt;="&amp;'Colln-Summary'!$G$2)</f>
        <v>0</v>
      </c>
      <c r="I196" s="353">
        <f>SUMIFS('Live Collections'!$P:$P,'Live Collections'!$D:$D,'Colln-Summary'!$A196,'Live Collections'!$B:$B,"&gt;="&amp;'Colln-Summary'!$G$1,'Live Collections'!$B:$B,"&lt;="&amp;'Colln-Summary'!$G$2)</f>
        <v>0</v>
      </c>
      <c r="J196" s="353">
        <f>SUMIFS('Live Collections'!$O:$O,'Live Collections'!$D:$D,'Colln-Summary'!$A196,'Live Collections'!$B:$B,"&gt;="&amp;'Colln-Summary'!$G$1,'Live Collections'!$B:$B,"&lt;="&amp;'Colln-Summary'!$G$2)</f>
        <v>120000</v>
      </c>
      <c r="K196" s="360">
        <f>SUMIFS('Live Collections'!$S:$S,'Live Collections'!$D:$D,'Colln-Summary'!$A196,'Live Collections'!$B:$B,"&gt;="&amp;'Colln-Summary'!$G$1,'Live Collections'!$B:$B,"&lt;="&amp;'Colln-Summary'!$G$2)</f>
        <v>40000</v>
      </c>
      <c r="L196" s="360">
        <f>SUMIFS('Live Collections'!$T:$T,'Live Collections'!$D:$D,'Colln-Summary'!$A196,'Live Collections'!$B:$B,"&gt;="&amp;'Colln-Summary'!$G$1,'Live Collections'!$B:$B,"&lt;="&amp;'Colln-Summary'!$G$2)</f>
        <v>80000</v>
      </c>
      <c r="M196" s="258">
        <f t="shared" si="3"/>
        <v>120000</v>
      </c>
    </row>
    <row r="197" spans="1:13" x14ac:dyDescent="0.2">
      <c r="A197" s="478">
        <v>193</v>
      </c>
      <c r="B197" s="352" t="str">
        <f>IFERROR(VLOOKUP($A197,'Clients-Live'!$A:$C,3,0),"")</f>
        <v>ADIYE MARIAM</v>
      </c>
      <c r="C197" s="353">
        <f>SUMIFS('Live Collections'!$J:$J,'Live Collections'!$D:$D,'Colln-Summary'!$A197,'Live Collections'!$B:$B,"&gt;="&amp;'Colln-Summary'!$G$1,'Live Collections'!$B:$B,"&lt;="&amp;'Colln-Summary'!$G$2)</f>
        <v>0</v>
      </c>
      <c r="D197" s="353">
        <f>SUMIFS('Live Collections'!$K:$K,'Live Collections'!$D:$D,'Colln-Summary'!$A197,'Live Collections'!$B:$B,"&gt;="&amp;'Colln-Summary'!$G$1,'Live Collections'!$B:$B,"&lt;="&amp;'Colln-Summary'!$G$2)</f>
        <v>0</v>
      </c>
      <c r="E197" s="353">
        <f>SUMIFS(Disbursements!$F:$F,Disbursements!$B:$B,'Colln-Summary'!$A197,Disbursements!$A:$A,"&gt;="&amp;'Colln-Summary'!$G$1,Disbursements!$A:$A,"&lt;="&amp;'Colln-Summary'!$G$2)</f>
        <v>0</v>
      </c>
      <c r="F197" s="353">
        <f>SUMIFS('Live Collections'!$L:$L,'Live Collections'!$D:$D,'Colln-Summary'!$A197,'Live Collections'!$B:$B,"&gt;="&amp;'Colln-Summary'!$G$1,'Live Collections'!$B:$B,"&lt;="&amp;'Colln-Summary'!$G$2)</f>
        <v>0</v>
      </c>
      <c r="G197" s="353">
        <f>SUMIFS('Live Collections'!$M:$M,'Live Collections'!$D:$D,'Colln-Summary'!$A197,'Live Collections'!$B:$B,"&gt;="&amp;'Colln-Summary'!$G$1,'Live Collections'!$B:$B,"&lt;="&amp;'Colln-Summary'!$G$2)</f>
        <v>0</v>
      </c>
      <c r="H197" s="353">
        <f>SUMIFS('Live Collections'!$N:$N,'Live Collections'!$D:$D,'Colln-Summary'!$A197,'Live Collections'!$B:$B,"&gt;="&amp;'Colln-Summary'!$G$1,'Live Collections'!$B:$B,"&lt;="&amp;'Colln-Summary'!$G$2)</f>
        <v>0</v>
      </c>
      <c r="I197" s="353">
        <f>SUMIFS('Live Collections'!$P:$P,'Live Collections'!$D:$D,'Colln-Summary'!$A197,'Live Collections'!$B:$B,"&gt;="&amp;'Colln-Summary'!$G$1,'Live Collections'!$B:$B,"&lt;="&amp;'Colln-Summary'!$G$2)</f>
        <v>0</v>
      </c>
      <c r="J197" s="353">
        <f>SUMIFS('Live Collections'!$O:$O,'Live Collections'!$D:$D,'Colln-Summary'!$A197,'Live Collections'!$B:$B,"&gt;="&amp;'Colln-Summary'!$G$1,'Live Collections'!$B:$B,"&lt;="&amp;'Colln-Summary'!$G$2)</f>
        <v>0</v>
      </c>
      <c r="K197" s="360">
        <f>SUMIFS('Live Collections'!$S:$S,'Live Collections'!$D:$D,'Colln-Summary'!$A197,'Live Collections'!$B:$B,"&gt;="&amp;'Colln-Summary'!$G$1,'Live Collections'!$B:$B,"&lt;="&amp;'Colln-Summary'!$G$2)</f>
        <v>0</v>
      </c>
      <c r="L197" s="360">
        <f>SUMIFS('Live Collections'!$T:$T,'Live Collections'!$D:$D,'Colln-Summary'!$A197,'Live Collections'!$B:$B,"&gt;="&amp;'Colln-Summary'!$G$1,'Live Collections'!$B:$B,"&lt;="&amp;'Colln-Summary'!$G$2)</f>
        <v>0</v>
      </c>
      <c r="M197" s="258">
        <f t="shared" si="3"/>
        <v>0</v>
      </c>
    </row>
    <row r="198" spans="1:13" x14ac:dyDescent="0.2">
      <c r="A198" s="478">
        <v>194</v>
      </c>
      <c r="B198" s="352" t="str">
        <f>IFERROR(VLOOKUP($A198,'Clients-Live'!$A:$C,3,0),"")</f>
        <v>NYOLA SHERIFA AHMED</v>
      </c>
      <c r="C198" s="353">
        <f>SUMIFS('Live Collections'!$J:$J,'Live Collections'!$D:$D,'Colln-Summary'!$A198,'Live Collections'!$B:$B,"&gt;="&amp;'Colln-Summary'!$G$1,'Live Collections'!$B:$B,"&lt;="&amp;'Colln-Summary'!$G$2)</f>
        <v>0</v>
      </c>
      <c r="D198" s="353">
        <f>SUMIFS('Live Collections'!$K:$K,'Live Collections'!$D:$D,'Colln-Summary'!$A198,'Live Collections'!$B:$B,"&gt;="&amp;'Colln-Summary'!$G$1,'Live Collections'!$B:$B,"&lt;="&amp;'Colln-Summary'!$G$2)</f>
        <v>0</v>
      </c>
      <c r="E198" s="353">
        <f>SUMIFS(Disbursements!$F:$F,Disbursements!$B:$B,'Colln-Summary'!$A198,Disbursements!$A:$A,"&gt;="&amp;'Colln-Summary'!$G$1,Disbursements!$A:$A,"&lt;="&amp;'Colln-Summary'!$G$2)</f>
        <v>0</v>
      </c>
      <c r="F198" s="353">
        <f>SUMIFS('Live Collections'!$L:$L,'Live Collections'!$D:$D,'Colln-Summary'!$A198,'Live Collections'!$B:$B,"&gt;="&amp;'Colln-Summary'!$G$1,'Live Collections'!$B:$B,"&lt;="&amp;'Colln-Summary'!$G$2)</f>
        <v>0</v>
      </c>
      <c r="G198" s="353">
        <f>SUMIFS('Live Collections'!$M:$M,'Live Collections'!$D:$D,'Colln-Summary'!$A198,'Live Collections'!$B:$B,"&gt;="&amp;'Colln-Summary'!$G$1,'Live Collections'!$B:$B,"&lt;="&amp;'Colln-Summary'!$G$2)</f>
        <v>0</v>
      </c>
      <c r="H198" s="353">
        <f>SUMIFS('Live Collections'!$N:$N,'Live Collections'!$D:$D,'Colln-Summary'!$A198,'Live Collections'!$B:$B,"&gt;="&amp;'Colln-Summary'!$G$1,'Live Collections'!$B:$B,"&lt;="&amp;'Colln-Summary'!$G$2)</f>
        <v>0</v>
      </c>
      <c r="I198" s="353">
        <f>SUMIFS('Live Collections'!$P:$P,'Live Collections'!$D:$D,'Colln-Summary'!$A198,'Live Collections'!$B:$B,"&gt;="&amp;'Colln-Summary'!$G$1,'Live Collections'!$B:$B,"&lt;="&amp;'Colln-Summary'!$G$2)</f>
        <v>0</v>
      </c>
      <c r="J198" s="353">
        <f>SUMIFS('Live Collections'!$O:$O,'Live Collections'!$D:$D,'Colln-Summary'!$A198,'Live Collections'!$B:$B,"&gt;="&amp;'Colln-Summary'!$G$1,'Live Collections'!$B:$B,"&lt;="&amp;'Colln-Summary'!$G$2)</f>
        <v>0</v>
      </c>
      <c r="K198" s="360">
        <f>SUMIFS('Live Collections'!$S:$S,'Live Collections'!$D:$D,'Colln-Summary'!$A198,'Live Collections'!$B:$B,"&gt;="&amp;'Colln-Summary'!$G$1,'Live Collections'!$B:$B,"&lt;="&amp;'Colln-Summary'!$G$2)</f>
        <v>0</v>
      </c>
      <c r="L198" s="360">
        <f>SUMIFS('Live Collections'!$T:$T,'Live Collections'!$D:$D,'Colln-Summary'!$A198,'Live Collections'!$B:$B,"&gt;="&amp;'Colln-Summary'!$G$1,'Live Collections'!$B:$B,"&lt;="&amp;'Colln-Summary'!$G$2)</f>
        <v>0</v>
      </c>
      <c r="M198" s="258">
        <f t="shared" ref="M198:M232" si="4">SUM(C198:J198)</f>
        <v>0</v>
      </c>
    </row>
    <row r="199" spans="1:13" x14ac:dyDescent="0.2">
      <c r="A199" s="478">
        <v>195</v>
      </c>
      <c r="B199" s="352" t="str">
        <f>IFERROR(VLOOKUP($A199,'Clients-Live'!$A:$C,3,0),"")</f>
        <v>OJARA RICHARD</v>
      </c>
      <c r="C199" s="353">
        <f>SUMIFS('Live Collections'!$J:$J,'Live Collections'!$D:$D,'Colln-Summary'!$A199,'Live Collections'!$B:$B,"&gt;="&amp;'Colln-Summary'!$G$1,'Live Collections'!$B:$B,"&lt;="&amp;'Colln-Summary'!$G$2)</f>
        <v>0</v>
      </c>
      <c r="D199" s="353">
        <f>SUMIFS('Live Collections'!$K:$K,'Live Collections'!$D:$D,'Colln-Summary'!$A199,'Live Collections'!$B:$B,"&gt;="&amp;'Colln-Summary'!$G$1,'Live Collections'!$B:$B,"&lt;="&amp;'Colln-Summary'!$G$2)</f>
        <v>0</v>
      </c>
      <c r="E199" s="353">
        <f>SUMIFS(Disbursements!$F:$F,Disbursements!$B:$B,'Colln-Summary'!$A199,Disbursements!$A:$A,"&gt;="&amp;'Colln-Summary'!$G$1,Disbursements!$A:$A,"&lt;="&amp;'Colln-Summary'!$G$2)</f>
        <v>0</v>
      </c>
      <c r="F199" s="353">
        <f>SUMIFS('Live Collections'!$L:$L,'Live Collections'!$D:$D,'Colln-Summary'!$A199,'Live Collections'!$B:$B,"&gt;="&amp;'Colln-Summary'!$G$1,'Live Collections'!$B:$B,"&lt;="&amp;'Colln-Summary'!$G$2)</f>
        <v>0</v>
      </c>
      <c r="G199" s="353">
        <f>SUMIFS('Live Collections'!$M:$M,'Live Collections'!$D:$D,'Colln-Summary'!$A199,'Live Collections'!$B:$B,"&gt;="&amp;'Colln-Summary'!$G$1,'Live Collections'!$B:$B,"&lt;="&amp;'Colln-Summary'!$G$2)</f>
        <v>0</v>
      </c>
      <c r="H199" s="353">
        <f>SUMIFS('Live Collections'!$N:$N,'Live Collections'!$D:$D,'Colln-Summary'!$A199,'Live Collections'!$B:$B,"&gt;="&amp;'Colln-Summary'!$G$1,'Live Collections'!$B:$B,"&lt;="&amp;'Colln-Summary'!$G$2)</f>
        <v>0</v>
      </c>
      <c r="I199" s="353">
        <f>SUMIFS('Live Collections'!$P:$P,'Live Collections'!$D:$D,'Colln-Summary'!$A199,'Live Collections'!$B:$B,"&gt;="&amp;'Colln-Summary'!$G$1,'Live Collections'!$B:$B,"&lt;="&amp;'Colln-Summary'!$G$2)</f>
        <v>0</v>
      </c>
      <c r="J199" s="353">
        <f>SUMIFS('Live Collections'!$O:$O,'Live Collections'!$D:$D,'Colln-Summary'!$A199,'Live Collections'!$B:$B,"&gt;="&amp;'Colln-Summary'!$G$1,'Live Collections'!$B:$B,"&lt;="&amp;'Colln-Summary'!$G$2)</f>
        <v>0</v>
      </c>
      <c r="K199" s="360">
        <f>SUMIFS('Live Collections'!$S:$S,'Live Collections'!$D:$D,'Colln-Summary'!$A199,'Live Collections'!$B:$B,"&gt;="&amp;'Colln-Summary'!$G$1,'Live Collections'!$B:$B,"&lt;="&amp;'Colln-Summary'!$G$2)</f>
        <v>0</v>
      </c>
      <c r="L199" s="360">
        <f>SUMIFS('Live Collections'!$T:$T,'Live Collections'!$D:$D,'Colln-Summary'!$A199,'Live Collections'!$B:$B,"&gt;="&amp;'Colln-Summary'!$G$1,'Live Collections'!$B:$B,"&lt;="&amp;'Colln-Summary'!$G$2)</f>
        <v>0</v>
      </c>
      <c r="M199" s="258">
        <f t="shared" si="4"/>
        <v>0</v>
      </c>
    </row>
    <row r="200" spans="1:13" x14ac:dyDescent="0.2">
      <c r="A200" s="478">
        <v>196</v>
      </c>
      <c r="B200" s="352" t="str">
        <f>IFERROR(VLOOKUP($A200,'Clients-Live'!$A:$C,3,0),"")</f>
        <v>AKISU JOICE</v>
      </c>
      <c r="C200" s="353">
        <f>SUMIFS('Live Collections'!$J:$J,'Live Collections'!$D:$D,'Colln-Summary'!$A200,'Live Collections'!$B:$B,"&gt;="&amp;'Colln-Summary'!$G$1,'Live Collections'!$B:$B,"&lt;="&amp;'Colln-Summary'!$G$2)</f>
        <v>0</v>
      </c>
      <c r="D200" s="353">
        <f>SUMIFS('Live Collections'!$K:$K,'Live Collections'!$D:$D,'Colln-Summary'!$A200,'Live Collections'!$B:$B,"&gt;="&amp;'Colln-Summary'!$G$1,'Live Collections'!$B:$B,"&lt;="&amp;'Colln-Summary'!$G$2)</f>
        <v>0</v>
      </c>
      <c r="E200" s="353">
        <f>SUMIFS(Disbursements!$F:$F,Disbursements!$B:$B,'Colln-Summary'!$A200,Disbursements!$A:$A,"&gt;="&amp;'Colln-Summary'!$G$1,Disbursements!$A:$A,"&lt;="&amp;'Colln-Summary'!$G$2)</f>
        <v>0</v>
      </c>
      <c r="F200" s="353">
        <f>SUMIFS('Live Collections'!$L:$L,'Live Collections'!$D:$D,'Colln-Summary'!$A200,'Live Collections'!$B:$B,"&gt;="&amp;'Colln-Summary'!$G$1,'Live Collections'!$B:$B,"&lt;="&amp;'Colln-Summary'!$G$2)</f>
        <v>0</v>
      </c>
      <c r="G200" s="353">
        <f>SUMIFS('Live Collections'!$M:$M,'Live Collections'!$D:$D,'Colln-Summary'!$A200,'Live Collections'!$B:$B,"&gt;="&amp;'Colln-Summary'!$G$1,'Live Collections'!$B:$B,"&lt;="&amp;'Colln-Summary'!$G$2)</f>
        <v>0</v>
      </c>
      <c r="H200" s="353">
        <f>SUMIFS('Live Collections'!$N:$N,'Live Collections'!$D:$D,'Colln-Summary'!$A200,'Live Collections'!$B:$B,"&gt;="&amp;'Colln-Summary'!$G$1,'Live Collections'!$B:$B,"&lt;="&amp;'Colln-Summary'!$G$2)</f>
        <v>0</v>
      </c>
      <c r="I200" s="353">
        <f>SUMIFS('Live Collections'!$P:$P,'Live Collections'!$D:$D,'Colln-Summary'!$A200,'Live Collections'!$B:$B,"&gt;="&amp;'Colln-Summary'!$G$1,'Live Collections'!$B:$B,"&lt;="&amp;'Colln-Summary'!$G$2)</f>
        <v>0</v>
      </c>
      <c r="J200" s="353">
        <f>SUMIFS('Live Collections'!$O:$O,'Live Collections'!$D:$D,'Colln-Summary'!$A200,'Live Collections'!$B:$B,"&gt;="&amp;'Colln-Summary'!$G$1,'Live Collections'!$B:$B,"&lt;="&amp;'Colln-Summary'!$G$2)</f>
        <v>460000</v>
      </c>
      <c r="K200" s="360">
        <f>SUMIFS('Live Collections'!$S:$S,'Live Collections'!$D:$D,'Colln-Summary'!$A200,'Live Collections'!$B:$B,"&gt;="&amp;'Colln-Summary'!$G$1,'Live Collections'!$B:$B,"&lt;="&amp;'Colln-Summary'!$G$2)</f>
        <v>0</v>
      </c>
      <c r="L200" s="360">
        <f>SUMIFS('Live Collections'!$T:$T,'Live Collections'!$D:$D,'Colln-Summary'!$A200,'Live Collections'!$B:$B,"&gt;="&amp;'Colln-Summary'!$G$1,'Live Collections'!$B:$B,"&lt;="&amp;'Colln-Summary'!$G$2)</f>
        <v>460000</v>
      </c>
      <c r="M200" s="258">
        <f t="shared" si="4"/>
        <v>460000</v>
      </c>
    </row>
    <row r="201" spans="1:13" x14ac:dyDescent="0.2">
      <c r="A201" s="478">
        <v>197</v>
      </c>
      <c r="B201" s="352" t="str">
        <f>IFERROR(VLOOKUP($A201,'Clients-Live'!$A:$C,3,0),"")</f>
        <v>SIYESA JAMILA</v>
      </c>
      <c r="C201" s="353">
        <f>SUMIFS('Live Collections'!$J:$J,'Live Collections'!$D:$D,'Colln-Summary'!$A201,'Live Collections'!$B:$B,"&gt;="&amp;'Colln-Summary'!$G$1,'Live Collections'!$B:$B,"&lt;="&amp;'Colln-Summary'!$G$2)</f>
        <v>0</v>
      </c>
      <c r="D201" s="353">
        <f>SUMIFS('Live Collections'!$K:$K,'Live Collections'!$D:$D,'Colln-Summary'!$A201,'Live Collections'!$B:$B,"&gt;="&amp;'Colln-Summary'!$G$1,'Live Collections'!$B:$B,"&lt;="&amp;'Colln-Summary'!$G$2)</f>
        <v>0</v>
      </c>
      <c r="E201" s="353">
        <f>SUMIFS(Disbursements!$F:$F,Disbursements!$B:$B,'Colln-Summary'!$A201,Disbursements!$A:$A,"&gt;="&amp;'Colln-Summary'!$G$1,Disbursements!$A:$A,"&lt;="&amp;'Colln-Summary'!$G$2)</f>
        <v>0</v>
      </c>
      <c r="F201" s="353">
        <f>SUMIFS('Live Collections'!$L:$L,'Live Collections'!$D:$D,'Colln-Summary'!$A201,'Live Collections'!$B:$B,"&gt;="&amp;'Colln-Summary'!$G$1,'Live Collections'!$B:$B,"&lt;="&amp;'Colln-Summary'!$G$2)</f>
        <v>0</v>
      </c>
      <c r="G201" s="353">
        <f>SUMIFS('Live Collections'!$M:$M,'Live Collections'!$D:$D,'Colln-Summary'!$A201,'Live Collections'!$B:$B,"&gt;="&amp;'Colln-Summary'!$G$1,'Live Collections'!$B:$B,"&lt;="&amp;'Colln-Summary'!$G$2)</f>
        <v>0</v>
      </c>
      <c r="H201" s="353">
        <f>SUMIFS('Live Collections'!$N:$N,'Live Collections'!$D:$D,'Colln-Summary'!$A201,'Live Collections'!$B:$B,"&gt;="&amp;'Colln-Summary'!$G$1,'Live Collections'!$B:$B,"&lt;="&amp;'Colln-Summary'!$G$2)</f>
        <v>0</v>
      </c>
      <c r="I201" s="353">
        <f>SUMIFS('Live Collections'!$P:$P,'Live Collections'!$D:$D,'Colln-Summary'!$A201,'Live Collections'!$B:$B,"&gt;="&amp;'Colln-Summary'!$G$1,'Live Collections'!$B:$B,"&lt;="&amp;'Colln-Summary'!$G$2)</f>
        <v>0</v>
      </c>
      <c r="J201" s="353">
        <f>SUMIFS('Live Collections'!$O:$O,'Live Collections'!$D:$D,'Colln-Summary'!$A201,'Live Collections'!$B:$B,"&gt;="&amp;'Colln-Summary'!$G$1,'Live Collections'!$B:$B,"&lt;="&amp;'Colln-Summary'!$G$2)</f>
        <v>40000</v>
      </c>
      <c r="K201" s="360">
        <f>SUMIFS('Live Collections'!$S:$S,'Live Collections'!$D:$D,'Colln-Summary'!$A201,'Live Collections'!$B:$B,"&gt;="&amp;'Colln-Summary'!$G$1,'Live Collections'!$B:$B,"&lt;="&amp;'Colln-Summary'!$G$2)</f>
        <v>0</v>
      </c>
      <c r="L201" s="360">
        <f>SUMIFS('Live Collections'!$T:$T,'Live Collections'!$D:$D,'Colln-Summary'!$A201,'Live Collections'!$B:$B,"&gt;="&amp;'Colln-Summary'!$G$1,'Live Collections'!$B:$B,"&lt;="&amp;'Colln-Summary'!$G$2)</f>
        <v>40000</v>
      </c>
      <c r="M201" s="258">
        <f t="shared" si="4"/>
        <v>40000</v>
      </c>
    </row>
    <row r="202" spans="1:13" x14ac:dyDescent="0.2">
      <c r="A202" s="478">
        <v>198</v>
      </c>
      <c r="B202" s="352" t="str">
        <f>IFERROR(VLOOKUP($A202,'Clients-Live'!$A:$C,3,0),"")</f>
        <v>ETOLE BIAJO</v>
      </c>
      <c r="C202" s="353">
        <f>SUMIFS('Live Collections'!$J:$J,'Live Collections'!$D:$D,'Colln-Summary'!$A202,'Live Collections'!$B:$B,"&gt;="&amp;'Colln-Summary'!$G$1,'Live Collections'!$B:$B,"&lt;="&amp;'Colln-Summary'!$G$2)</f>
        <v>0</v>
      </c>
      <c r="D202" s="353">
        <f>SUMIFS('Live Collections'!$K:$K,'Live Collections'!$D:$D,'Colln-Summary'!$A202,'Live Collections'!$B:$B,"&gt;="&amp;'Colln-Summary'!$G$1,'Live Collections'!$B:$B,"&lt;="&amp;'Colln-Summary'!$G$2)</f>
        <v>0</v>
      </c>
      <c r="E202" s="353">
        <f>SUMIFS(Disbursements!$F:$F,Disbursements!$B:$B,'Colln-Summary'!$A202,Disbursements!$A:$A,"&gt;="&amp;'Colln-Summary'!$G$1,Disbursements!$A:$A,"&lt;="&amp;'Colln-Summary'!$G$2)</f>
        <v>0</v>
      </c>
      <c r="F202" s="353">
        <f>SUMIFS('Live Collections'!$L:$L,'Live Collections'!$D:$D,'Colln-Summary'!$A202,'Live Collections'!$B:$B,"&gt;="&amp;'Colln-Summary'!$G$1,'Live Collections'!$B:$B,"&lt;="&amp;'Colln-Summary'!$G$2)</f>
        <v>0</v>
      </c>
      <c r="G202" s="353">
        <f>SUMIFS('Live Collections'!$M:$M,'Live Collections'!$D:$D,'Colln-Summary'!$A202,'Live Collections'!$B:$B,"&gt;="&amp;'Colln-Summary'!$G$1,'Live Collections'!$B:$B,"&lt;="&amp;'Colln-Summary'!$G$2)</f>
        <v>0</v>
      </c>
      <c r="H202" s="353">
        <f>SUMIFS('Live Collections'!$N:$N,'Live Collections'!$D:$D,'Colln-Summary'!$A202,'Live Collections'!$B:$B,"&gt;="&amp;'Colln-Summary'!$G$1,'Live Collections'!$B:$B,"&lt;="&amp;'Colln-Summary'!$G$2)</f>
        <v>0</v>
      </c>
      <c r="I202" s="353">
        <f>SUMIFS('Live Collections'!$P:$P,'Live Collections'!$D:$D,'Colln-Summary'!$A202,'Live Collections'!$B:$B,"&gt;="&amp;'Colln-Summary'!$G$1,'Live Collections'!$B:$B,"&lt;="&amp;'Colln-Summary'!$G$2)</f>
        <v>0</v>
      </c>
      <c r="J202" s="353">
        <f>SUMIFS('Live Collections'!$O:$O,'Live Collections'!$D:$D,'Colln-Summary'!$A202,'Live Collections'!$B:$B,"&gt;="&amp;'Colln-Summary'!$G$1,'Live Collections'!$B:$B,"&lt;="&amp;'Colln-Summary'!$G$2)</f>
        <v>0</v>
      </c>
      <c r="K202" s="360">
        <f>SUMIFS('Live Collections'!$S:$S,'Live Collections'!$D:$D,'Colln-Summary'!$A202,'Live Collections'!$B:$B,"&gt;="&amp;'Colln-Summary'!$G$1,'Live Collections'!$B:$B,"&lt;="&amp;'Colln-Summary'!$G$2)</f>
        <v>0</v>
      </c>
      <c r="L202" s="360">
        <f>SUMIFS('Live Collections'!$T:$T,'Live Collections'!$D:$D,'Colln-Summary'!$A202,'Live Collections'!$B:$B,"&gt;="&amp;'Colln-Summary'!$G$1,'Live Collections'!$B:$B,"&lt;="&amp;'Colln-Summary'!$G$2)</f>
        <v>0</v>
      </c>
      <c r="M202" s="258">
        <f t="shared" si="4"/>
        <v>0</v>
      </c>
    </row>
    <row r="203" spans="1:13" x14ac:dyDescent="0.2">
      <c r="A203" s="478">
        <v>199</v>
      </c>
      <c r="B203" s="352" t="str">
        <f>IFERROR(VLOOKUP($A203,'Clients-Live'!$A:$C,3,0),"")</f>
        <v>OTHIM JIMMY</v>
      </c>
      <c r="C203" s="353">
        <f>SUMIFS('Live Collections'!$J:$J,'Live Collections'!$D:$D,'Colln-Summary'!$A203,'Live Collections'!$B:$B,"&gt;="&amp;'Colln-Summary'!$G$1,'Live Collections'!$B:$B,"&lt;="&amp;'Colln-Summary'!$G$2)</f>
        <v>0</v>
      </c>
      <c r="D203" s="353">
        <f>SUMIFS('Live Collections'!$K:$K,'Live Collections'!$D:$D,'Colln-Summary'!$A203,'Live Collections'!$B:$B,"&gt;="&amp;'Colln-Summary'!$G$1,'Live Collections'!$B:$B,"&lt;="&amp;'Colln-Summary'!$G$2)</f>
        <v>0</v>
      </c>
      <c r="E203" s="353">
        <f>SUMIFS(Disbursements!$F:$F,Disbursements!$B:$B,'Colln-Summary'!$A203,Disbursements!$A:$A,"&gt;="&amp;'Colln-Summary'!$G$1,Disbursements!$A:$A,"&lt;="&amp;'Colln-Summary'!$G$2)</f>
        <v>0</v>
      </c>
      <c r="F203" s="353">
        <f>SUMIFS('Live Collections'!$L:$L,'Live Collections'!$D:$D,'Colln-Summary'!$A203,'Live Collections'!$B:$B,"&gt;="&amp;'Colln-Summary'!$G$1,'Live Collections'!$B:$B,"&lt;="&amp;'Colln-Summary'!$G$2)</f>
        <v>0</v>
      </c>
      <c r="G203" s="353">
        <f>SUMIFS('Live Collections'!$M:$M,'Live Collections'!$D:$D,'Colln-Summary'!$A203,'Live Collections'!$B:$B,"&gt;="&amp;'Colln-Summary'!$G$1,'Live Collections'!$B:$B,"&lt;="&amp;'Colln-Summary'!$G$2)</f>
        <v>0</v>
      </c>
      <c r="H203" s="353">
        <f>SUMIFS('Live Collections'!$N:$N,'Live Collections'!$D:$D,'Colln-Summary'!$A203,'Live Collections'!$B:$B,"&gt;="&amp;'Colln-Summary'!$G$1,'Live Collections'!$B:$B,"&lt;="&amp;'Colln-Summary'!$G$2)</f>
        <v>0</v>
      </c>
      <c r="I203" s="353">
        <f>SUMIFS('Live Collections'!$P:$P,'Live Collections'!$D:$D,'Colln-Summary'!$A203,'Live Collections'!$B:$B,"&gt;="&amp;'Colln-Summary'!$G$1,'Live Collections'!$B:$B,"&lt;="&amp;'Colln-Summary'!$G$2)</f>
        <v>0</v>
      </c>
      <c r="J203" s="353">
        <f>SUMIFS('Live Collections'!$O:$O,'Live Collections'!$D:$D,'Colln-Summary'!$A203,'Live Collections'!$B:$B,"&gt;="&amp;'Colln-Summary'!$G$1,'Live Collections'!$B:$B,"&lt;="&amp;'Colln-Summary'!$G$2)</f>
        <v>0</v>
      </c>
      <c r="K203" s="360">
        <f>SUMIFS('Live Collections'!$S:$S,'Live Collections'!$D:$D,'Colln-Summary'!$A203,'Live Collections'!$B:$B,"&gt;="&amp;'Colln-Summary'!$G$1,'Live Collections'!$B:$B,"&lt;="&amp;'Colln-Summary'!$G$2)</f>
        <v>0</v>
      </c>
      <c r="L203" s="360">
        <f>SUMIFS('Live Collections'!$T:$T,'Live Collections'!$D:$D,'Colln-Summary'!$A203,'Live Collections'!$B:$B,"&gt;="&amp;'Colln-Summary'!$G$1,'Live Collections'!$B:$B,"&lt;="&amp;'Colln-Summary'!$G$2)</f>
        <v>0</v>
      </c>
      <c r="M203" s="258">
        <f t="shared" si="4"/>
        <v>0</v>
      </c>
    </row>
    <row r="204" spans="1:13" x14ac:dyDescent="0.2">
      <c r="A204" s="478">
        <v>200</v>
      </c>
      <c r="B204" s="352" t="str">
        <f>IFERROR(VLOOKUP($A204,'Clients-Live'!$A:$C,3,0),"")</f>
        <v>SERIYA FLORENCE</v>
      </c>
      <c r="C204" s="353">
        <f>SUMIFS('Live Collections'!$J:$J,'Live Collections'!$D:$D,'Colln-Summary'!$A204,'Live Collections'!$B:$B,"&gt;="&amp;'Colln-Summary'!$G$1,'Live Collections'!$B:$B,"&lt;="&amp;'Colln-Summary'!$G$2)</f>
        <v>0</v>
      </c>
      <c r="D204" s="353">
        <f>SUMIFS('Live Collections'!$K:$K,'Live Collections'!$D:$D,'Colln-Summary'!$A204,'Live Collections'!$B:$B,"&gt;="&amp;'Colln-Summary'!$G$1,'Live Collections'!$B:$B,"&lt;="&amp;'Colln-Summary'!$G$2)</f>
        <v>0</v>
      </c>
      <c r="E204" s="353">
        <f>SUMIFS(Disbursements!$F:$F,Disbursements!$B:$B,'Colln-Summary'!$A204,Disbursements!$A:$A,"&gt;="&amp;'Colln-Summary'!$G$1,Disbursements!$A:$A,"&lt;="&amp;'Colln-Summary'!$G$2)</f>
        <v>0</v>
      </c>
      <c r="F204" s="353">
        <f>SUMIFS('Live Collections'!$L:$L,'Live Collections'!$D:$D,'Colln-Summary'!$A204,'Live Collections'!$B:$B,"&gt;="&amp;'Colln-Summary'!$G$1,'Live Collections'!$B:$B,"&lt;="&amp;'Colln-Summary'!$G$2)</f>
        <v>0</v>
      </c>
      <c r="G204" s="353">
        <f>SUMIFS('Live Collections'!$M:$M,'Live Collections'!$D:$D,'Colln-Summary'!$A204,'Live Collections'!$B:$B,"&gt;="&amp;'Colln-Summary'!$G$1,'Live Collections'!$B:$B,"&lt;="&amp;'Colln-Summary'!$G$2)</f>
        <v>0</v>
      </c>
      <c r="H204" s="353">
        <f>SUMIFS('Live Collections'!$N:$N,'Live Collections'!$D:$D,'Colln-Summary'!$A204,'Live Collections'!$B:$B,"&gt;="&amp;'Colln-Summary'!$G$1,'Live Collections'!$B:$B,"&lt;="&amp;'Colln-Summary'!$G$2)</f>
        <v>0</v>
      </c>
      <c r="I204" s="353">
        <f>SUMIFS('Live Collections'!$P:$P,'Live Collections'!$D:$D,'Colln-Summary'!$A204,'Live Collections'!$B:$B,"&gt;="&amp;'Colln-Summary'!$G$1,'Live Collections'!$B:$B,"&lt;="&amp;'Colln-Summary'!$G$2)</f>
        <v>0</v>
      </c>
      <c r="J204" s="353">
        <f>SUMIFS('Live Collections'!$O:$O,'Live Collections'!$D:$D,'Colln-Summary'!$A204,'Live Collections'!$B:$B,"&gt;="&amp;'Colln-Summary'!$G$1,'Live Collections'!$B:$B,"&lt;="&amp;'Colln-Summary'!$G$2)</f>
        <v>125000</v>
      </c>
      <c r="K204" s="360">
        <f>SUMIFS('Live Collections'!$S:$S,'Live Collections'!$D:$D,'Colln-Summary'!$A204,'Live Collections'!$B:$B,"&gt;="&amp;'Colln-Summary'!$G$1,'Live Collections'!$B:$B,"&lt;="&amp;'Colln-Summary'!$G$2)</f>
        <v>15000</v>
      </c>
      <c r="L204" s="360">
        <f>SUMIFS('Live Collections'!$T:$T,'Live Collections'!$D:$D,'Colln-Summary'!$A204,'Live Collections'!$B:$B,"&gt;="&amp;'Colln-Summary'!$G$1,'Live Collections'!$B:$B,"&lt;="&amp;'Colln-Summary'!$G$2)</f>
        <v>110000</v>
      </c>
      <c r="M204" s="258">
        <f t="shared" si="4"/>
        <v>125000</v>
      </c>
    </row>
    <row r="205" spans="1:13" x14ac:dyDescent="0.2">
      <c r="A205" s="478">
        <v>201</v>
      </c>
      <c r="B205" s="352" t="str">
        <f>IFERROR(VLOOKUP($A205,'Clients-Live'!$A:$C,3,0),"")</f>
        <v>DALILI HASSAN</v>
      </c>
      <c r="C205" s="353">
        <f>SUMIFS('Live Collections'!$J:$J,'Live Collections'!$D:$D,'Colln-Summary'!$A205,'Live Collections'!$B:$B,"&gt;="&amp;'Colln-Summary'!$G$1,'Live Collections'!$B:$B,"&lt;="&amp;'Colln-Summary'!$G$2)</f>
        <v>0</v>
      </c>
      <c r="D205" s="353">
        <f>SUMIFS('Live Collections'!$K:$K,'Live Collections'!$D:$D,'Colln-Summary'!$A205,'Live Collections'!$B:$B,"&gt;="&amp;'Colln-Summary'!$G$1,'Live Collections'!$B:$B,"&lt;="&amp;'Colln-Summary'!$G$2)</f>
        <v>0</v>
      </c>
      <c r="E205" s="353">
        <f>SUMIFS(Disbursements!$F:$F,Disbursements!$B:$B,'Colln-Summary'!$A205,Disbursements!$A:$A,"&gt;="&amp;'Colln-Summary'!$G$1,Disbursements!$A:$A,"&lt;="&amp;'Colln-Summary'!$G$2)</f>
        <v>800000</v>
      </c>
      <c r="F205" s="353">
        <f>SUMIFS('Live Collections'!$L:$L,'Live Collections'!$D:$D,'Colln-Summary'!$A205,'Live Collections'!$B:$B,"&gt;="&amp;'Colln-Summary'!$G$1,'Live Collections'!$B:$B,"&lt;="&amp;'Colln-Summary'!$G$2)</f>
        <v>20000</v>
      </c>
      <c r="G205" s="353">
        <f>SUMIFS('Live Collections'!$M:$M,'Live Collections'!$D:$D,'Colln-Summary'!$A205,'Live Collections'!$B:$B,"&gt;="&amp;'Colln-Summary'!$G$1,'Live Collections'!$B:$B,"&lt;="&amp;'Colln-Summary'!$G$2)</f>
        <v>5000</v>
      </c>
      <c r="H205" s="353">
        <f>SUMIFS('Live Collections'!$N:$N,'Live Collections'!$D:$D,'Colln-Summary'!$A205,'Live Collections'!$B:$B,"&gt;="&amp;'Colln-Summary'!$G$1,'Live Collections'!$B:$B,"&lt;="&amp;'Colln-Summary'!$G$2)</f>
        <v>0</v>
      </c>
      <c r="I205" s="353">
        <f>SUMIFS('Live Collections'!$P:$P,'Live Collections'!$D:$D,'Colln-Summary'!$A205,'Live Collections'!$B:$B,"&gt;="&amp;'Colln-Summary'!$G$1,'Live Collections'!$B:$B,"&lt;="&amp;'Colln-Summary'!$G$2)</f>
        <v>80000</v>
      </c>
      <c r="J205" s="353">
        <f>SUMIFS('Live Collections'!$O:$O,'Live Collections'!$D:$D,'Colln-Summary'!$A205,'Live Collections'!$B:$B,"&gt;="&amp;'Colln-Summary'!$G$1,'Live Collections'!$B:$B,"&lt;="&amp;'Colln-Summary'!$G$2)</f>
        <v>0</v>
      </c>
      <c r="K205" s="360">
        <f>SUMIFS('Live Collections'!$S:$S,'Live Collections'!$D:$D,'Colln-Summary'!$A205,'Live Collections'!$B:$B,"&gt;="&amp;'Colln-Summary'!$G$1,'Live Collections'!$B:$B,"&lt;="&amp;'Colln-Summary'!$G$2)</f>
        <v>0</v>
      </c>
      <c r="L205" s="360">
        <f>SUMIFS('Live Collections'!$T:$T,'Live Collections'!$D:$D,'Colln-Summary'!$A205,'Live Collections'!$B:$B,"&gt;="&amp;'Colln-Summary'!$G$1,'Live Collections'!$B:$B,"&lt;="&amp;'Colln-Summary'!$G$2)</f>
        <v>0</v>
      </c>
      <c r="M205" s="258">
        <f t="shared" si="4"/>
        <v>905000</v>
      </c>
    </row>
    <row r="206" spans="1:13" x14ac:dyDescent="0.2">
      <c r="A206" s="478">
        <v>202</v>
      </c>
      <c r="B206" s="352" t="str">
        <f>IFERROR(VLOOKUP($A206,'Clients-Live'!$A:$C,3,0),"")</f>
        <v>MUSEMA SWAIBU</v>
      </c>
      <c r="C206" s="353">
        <f>SUMIFS('Live Collections'!$J:$J,'Live Collections'!$D:$D,'Colln-Summary'!$A206,'Live Collections'!$B:$B,"&gt;="&amp;'Colln-Summary'!$G$1,'Live Collections'!$B:$B,"&lt;="&amp;'Colln-Summary'!$G$2)</f>
        <v>0</v>
      </c>
      <c r="D206" s="353">
        <f>SUMIFS('Live Collections'!$K:$K,'Live Collections'!$D:$D,'Colln-Summary'!$A206,'Live Collections'!$B:$B,"&gt;="&amp;'Colln-Summary'!$G$1,'Live Collections'!$B:$B,"&lt;="&amp;'Colln-Summary'!$G$2)</f>
        <v>0</v>
      </c>
      <c r="E206" s="353">
        <f>SUMIFS(Disbursements!$F:$F,Disbursements!$B:$B,'Colln-Summary'!$A206,Disbursements!$A:$A,"&gt;="&amp;'Colln-Summary'!$G$1,Disbursements!$A:$A,"&lt;="&amp;'Colln-Summary'!$G$2)</f>
        <v>0</v>
      </c>
      <c r="F206" s="353">
        <f>SUMIFS('Live Collections'!$L:$L,'Live Collections'!$D:$D,'Colln-Summary'!$A206,'Live Collections'!$B:$B,"&gt;="&amp;'Colln-Summary'!$G$1,'Live Collections'!$B:$B,"&lt;="&amp;'Colln-Summary'!$G$2)</f>
        <v>0</v>
      </c>
      <c r="G206" s="353">
        <f>SUMIFS('Live Collections'!$M:$M,'Live Collections'!$D:$D,'Colln-Summary'!$A206,'Live Collections'!$B:$B,"&gt;="&amp;'Colln-Summary'!$G$1,'Live Collections'!$B:$B,"&lt;="&amp;'Colln-Summary'!$G$2)</f>
        <v>0</v>
      </c>
      <c r="H206" s="353">
        <f>SUMIFS('Live Collections'!$N:$N,'Live Collections'!$D:$D,'Colln-Summary'!$A206,'Live Collections'!$B:$B,"&gt;="&amp;'Colln-Summary'!$G$1,'Live Collections'!$B:$B,"&lt;="&amp;'Colln-Summary'!$G$2)</f>
        <v>0</v>
      </c>
      <c r="I206" s="353">
        <f>SUMIFS('Live Collections'!$P:$P,'Live Collections'!$D:$D,'Colln-Summary'!$A206,'Live Collections'!$B:$B,"&gt;="&amp;'Colln-Summary'!$G$1,'Live Collections'!$B:$B,"&lt;="&amp;'Colln-Summary'!$G$2)</f>
        <v>0</v>
      </c>
      <c r="J206" s="353">
        <f>SUMIFS('Live Collections'!$O:$O,'Live Collections'!$D:$D,'Colln-Summary'!$A206,'Live Collections'!$B:$B,"&gt;="&amp;'Colln-Summary'!$G$1,'Live Collections'!$B:$B,"&lt;="&amp;'Colln-Summary'!$G$2)</f>
        <v>0</v>
      </c>
      <c r="K206" s="360">
        <f>SUMIFS('Live Collections'!$S:$S,'Live Collections'!$D:$D,'Colln-Summary'!$A206,'Live Collections'!$B:$B,"&gt;="&amp;'Colln-Summary'!$G$1,'Live Collections'!$B:$B,"&lt;="&amp;'Colln-Summary'!$G$2)</f>
        <v>0</v>
      </c>
      <c r="L206" s="360">
        <f>SUMIFS('Live Collections'!$T:$T,'Live Collections'!$D:$D,'Colln-Summary'!$A206,'Live Collections'!$B:$B,"&gt;="&amp;'Colln-Summary'!$G$1,'Live Collections'!$B:$B,"&lt;="&amp;'Colln-Summary'!$G$2)</f>
        <v>0</v>
      </c>
      <c r="M206" s="258">
        <f t="shared" si="4"/>
        <v>0</v>
      </c>
    </row>
    <row r="207" spans="1:13" x14ac:dyDescent="0.2">
      <c r="A207" s="478">
        <v>203</v>
      </c>
      <c r="B207" s="352" t="str">
        <f>IFERROR(VLOOKUP($A207,'Clients-Live'!$A:$C,3,0),"")</f>
        <v>AMANDU JUSTUS</v>
      </c>
      <c r="C207" s="353">
        <f>SUMIFS('Live Collections'!$J:$J,'Live Collections'!$D:$D,'Colln-Summary'!$A207,'Live Collections'!$B:$B,"&gt;="&amp;'Colln-Summary'!$G$1,'Live Collections'!$B:$B,"&lt;="&amp;'Colln-Summary'!$G$2)</f>
        <v>0</v>
      </c>
      <c r="D207" s="353">
        <f>SUMIFS('Live Collections'!$K:$K,'Live Collections'!$D:$D,'Colln-Summary'!$A207,'Live Collections'!$B:$B,"&gt;="&amp;'Colln-Summary'!$G$1,'Live Collections'!$B:$B,"&lt;="&amp;'Colln-Summary'!$G$2)</f>
        <v>0</v>
      </c>
      <c r="E207" s="353">
        <f>SUMIFS(Disbursements!$F:$F,Disbursements!$B:$B,'Colln-Summary'!$A207,Disbursements!$A:$A,"&gt;="&amp;'Colln-Summary'!$G$1,Disbursements!$A:$A,"&lt;="&amp;'Colln-Summary'!$G$2)</f>
        <v>0</v>
      </c>
      <c r="F207" s="353">
        <f>SUMIFS('Live Collections'!$L:$L,'Live Collections'!$D:$D,'Colln-Summary'!$A207,'Live Collections'!$B:$B,"&gt;="&amp;'Colln-Summary'!$G$1,'Live Collections'!$B:$B,"&lt;="&amp;'Colln-Summary'!$G$2)</f>
        <v>0</v>
      </c>
      <c r="G207" s="353">
        <f>SUMIFS('Live Collections'!$M:$M,'Live Collections'!$D:$D,'Colln-Summary'!$A207,'Live Collections'!$B:$B,"&gt;="&amp;'Colln-Summary'!$G$1,'Live Collections'!$B:$B,"&lt;="&amp;'Colln-Summary'!$G$2)</f>
        <v>0</v>
      </c>
      <c r="H207" s="353">
        <f>SUMIFS('Live Collections'!$N:$N,'Live Collections'!$D:$D,'Colln-Summary'!$A207,'Live Collections'!$B:$B,"&gt;="&amp;'Colln-Summary'!$G$1,'Live Collections'!$B:$B,"&lt;="&amp;'Colln-Summary'!$G$2)</f>
        <v>0</v>
      </c>
      <c r="I207" s="353">
        <f>SUMIFS('Live Collections'!$P:$P,'Live Collections'!$D:$D,'Colln-Summary'!$A207,'Live Collections'!$B:$B,"&gt;="&amp;'Colln-Summary'!$G$1,'Live Collections'!$B:$B,"&lt;="&amp;'Colln-Summary'!$G$2)</f>
        <v>0</v>
      </c>
      <c r="J207" s="353">
        <f>SUMIFS('Live Collections'!$O:$O,'Live Collections'!$D:$D,'Colln-Summary'!$A207,'Live Collections'!$B:$B,"&gt;="&amp;'Colln-Summary'!$G$1,'Live Collections'!$B:$B,"&lt;="&amp;'Colln-Summary'!$G$2)</f>
        <v>0</v>
      </c>
      <c r="K207" s="360">
        <f>SUMIFS('Live Collections'!$S:$S,'Live Collections'!$D:$D,'Colln-Summary'!$A207,'Live Collections'!$B:$B,"&gt;="&amp;'Colln-Summary'!$G$1,'Live Collections'!$B:$B,"&lt;="&amp;'Colln-Summary'!$G$2)</f>
        <v>0</v>
      </c>
      <c r="L207" s="360">
        <f>SUMIFS('Live Collections'!$T:$T,'Live Collections'!$D:$D,'Colln-Summary'!$A207,'Live Collections'!$B:$B,"&gt;="&amp;'Colln-Summary'!$G$1,'Live Collections'!$B:$B,"&lt;="&amp;'Colln-Summary'!$G$2)</f>
        <v>0</v>
      </c>
      <c r="M207" s="258">
        <f t="shared" si="4"/>
        <v>0</v>
      </c>
    </row>
    <row r="208" spans="1:13" x14ac:dyDescent="0.2">
      <c r="A208" s="478">
        <v>204</v>
      </c>
      <c r="B208" s="352" t="str">
        <f>IFERROR(VLOOKUP($A208,'Clients-Live'!$A:$C,3,0),"")</f>
        <v>DRAMADRI AHUMED OKUNI</v>
      </c>
      <c r="C208" s="353">
        <f>SUMIFS('Live Collections'!$J:$J,'Live Collections'!$D:$D,'Colln-Summary'!$A208,'Live Collections'!$B:$B,"&gt;="&amp;'Colln-Summary'!$G$1,'Live Collections'!$B:$B,"&lt;="&amp;'Colln-Summary'!$G$2)</f>
        <v>0</v>
      </c>
      <c r="D208" s="353">
        <f>SUMIFS('Live Collections'!$K:$K,'Live Collections'!$D:$D,'Colln-Summary'!$A208,'Live Collections'!$B:$B,"&gt;="&amp;'Colln-Summary'!$G$1,'Live Collections'!$B:$B,"&lt;="&amp;'Colln-Summary'!$G$2)</f>
        <v>0</v>
      </c>
      <c r="E208" s="353">
        <f>SUMIFS(Disbursements!$F:$F,Disbursements!$B:$B,'Colln-Summary'!$A208,Disbursements!$A:$A,"&gt;="&amp;'Colln-Summary'!$G$1,Disbursements!$A:$A,"&lt;="&amp;'Colln-Summary'!$G$2)</f>
        <v>0</v>
      </c>
      <c r="F208" s="353">
        <f>SUMIFS('Live Collections'!$L:$L,'Live Collections'!$D:$D,'Colln-Summary'!$A208,'Live Collections'!$B:$B,"&gt;="&amp;'Colln-Summary'!$G$1,'Live Collections'!$B:$B,"&lt;="&amp;'Colln-Summary'!$G$2)</f>
        <v>0</v>
      </c>
      <c r="G208" s="353">
        <f>SUMIFS('Live Collections'!$M:$M,'Live Collections'!$D:$D,'Colln-Summary'!$A208,'Live Collections'!$B:$B,"&gt;="&amp;'Colln-Summary'!$G$1,'Live Collections'!$B:$B,"&lt;="&amp;'Colln-Summary'!$G$2)</f>
        <v>0</v>
      </c>
      <c r="H208" s="353">
        <f>SUMIFS('Live Collections'!$N:$N,'Live Collections'!$D:$D,'Colln-Summary'!$A208,'Live Collections'!$B:$B,"&gt;="&amp;'Colln-Summary'!$G$1,'Live Collections'!$B:$B,"&lt;="&amp;'Colln-Summary'!$G$2)</f>
        <v>0</v>
      </c>
      <c r="I208" s="353">
        <f>SUMIFS('Live Collections'!$P:$P,'Live Collections'!$D:$D,'Colln-Summary'!$A208,'Live Collections'!$B:$B,"&gt;="&amp;'Colln-Summary'!$G$1,'Live Collections'!$B:$B,"&lt;="&amp;'Colln-Summary'!$G$2)</f>
        <v>0</v>
      </c>
      <c r="J208" s="353">
        <f>SUMIFS('Live Collections'!$O:$O,'Live Collections'!$D:$D,'Colln-Summary'!$A208,'Live Collections'!$B:$B,"&gt;="&amp;'Colln-Summary'!$G$1,'Live Collections'!$B:$B,"&lt;="&amp;'Colln-Summary'!$G$2)</f>
        <v>0</v>
      </c>
      <c r="K208" s="360">
        <f>SUMIFS('Live Collections'!$S:$S,'Live Collections'!$D:$D,'Colln-Summary'!$A208,'Live Collections'!$B:$B,"&gt;="&amp;'Colln-Summary'!$G$1,'Live Collections'!$B:$B,"&lt;="&amp;'Colln-Summary'!$G$2)</f>
        <v>0</v>
      </c>
      <c r="L208" s="360">
        <f>SUMIFS('Live Collections'!$T:$T,'Live Collections'!$D:$D,'Colln-Summary'!$A208,'Live Collections'!$B:$B,"&gt;="&amp;'Colln-Summary'!$G$1,'Live Collections'!$B:$B,"&lt;="&amp;'Colln-Summary'!$G$2)</f>
        <v>0</v>
      </c>
      <c r="M208" s="258">
        <f t="shared" si="4"/>
        <v>0</v>
      </c>
    </row>
    <row r="209" spans="1:13" x14ac:dyDescent="0.2">
      <c r="A209" s="478">
        <v>205</v>
      </c>
      <c r="B209" s="352" t="str">
        <f>IFERROR(VLOOKUP($A209,'Clients-Live'!$A:$C,3,0),"")</f>
        <v>OPIRU ALICE</v>
      </c>
      <c r="C209" s="353">
        <f>SUMIFS('Live Collections'!$J:$J,'Live Collections'!$D:$D,'Colln-Summary'!$A209,'Live Collections'!$B:$B,"&gt;="&amp;'Colln-Summary'!$G$1,'Live Collections'!$B:$B,"&lt;="&amp;'Colln-Summary'!$G$2)</f>
        <v>0</v>
      </c>
      <c r="D209" s="353">
        <f>SUMIFS('Live Collections'!$K:$K,'Live Collections'!$D:$D,'Colln-Summary'!$A209,'Live Collections'!$B:$B,"&gt;="&amp;'Colln-Summary'!$G$1,'Live Collections'!$B:$B,"&lt;="&amp;'Colln-Summary'!$G$2)</f>
        <v>0</v>
      </c>
      <c r="E209" s="353">
        <f>SUMIFS(Disbursements!$F:$F,Disbursements!$B:$B,'Colln-Summary'!$A209,Disbursements!$A:$A,"&gt;="&amp;'Colln-Summary'!$G$1,Disbursements!$A:$A,"&lt;="&amp;'Colln-Summary'!$G$2)</f>
        <v>500000</v>
      </c>
      <c r="F209" s="353">
        <f>SUMIFS('Live Collections'!$L:$L,'Live Collections'!$D:$D,'Colln-Summary'!$A209,'Live Collections'!$B:$B,"&gt;="&amp;'Colln-Summary'!$G$1,'Live Collections'!$B:$B,"&lt;="&amp;'Colln-Summary'!$G$2)</f>
        <v>0</v>
      </c>
      <c r="G209" s="353">
        <f>SUMIFS('Live Collections'!$M:$M,'Live Collections'!$D:$D,'Colln-Summary'!$A209,'Live Collections'!$B:$B,"&gt;="&amp;'Colln-Summary'!$G$1,'Live Collections'!$B:$B,"&lt;="&amp;'Colln-Summary'!$G$2)</f>
        <v>0</v>
      </c>
      <c r="H209" s="353">
        <f>SUMIFS('Live Collections'!$N:$N,'Live Collections'!$D:$D,'Colln-Summary'!$A209,'Live Collections'!$B:$B,"&gt;="&amp;'Colln-Summary'!$G$1,'Live Collections'!$B:$B,"&lt;="&amp;'Colln-Summary'!$G$2)</f>
        <v>0</v>
      </c>
      <c r="I209" s="353">
        <f>SUMIFS('Live Collections'!$P:$P,'Live Collections'!$D:$D,'Colln-Summary'!$A209,'Live Collections'!$B:$B,"&gt;="&amp;'Colln-Summary'!$G$1,'Live Collections'!$B:$B,"&lt;="&amp;'Colln-Summary'!$G$2)</f>
        <v>50000</v>
      </c>
      <c r="J209" s="353">
        <f>SUMIFS('Live Collections'!$O:$O,'Live Collections'!$D:$D,'Colln-Summary'!$A209,'Live Collections'!$B:$B,"&gt;="&amp;'Colln-Summary'!$G$1,'Live Collections'!$B:$B,"&lt;="&amp;'Colln-Summary'!$G$2)</f>
        <v>99400</v>
      </c>
      <c r="K209" s="360">
        <f>SUMIFS('Live Collections'!$S:$S,'Live Collections'!$D:$D,'Colln-Summary'!$A209,'Live Collections'!$B:$B,"&gt;="&amp;'Colln-Summary'!$G$1,'Live Collections'!$B:$B,"&lt;="&amp;'Colln-Summary'!$G$2)</f>
        <v>60000</v>
      </c>
      <c r="L209" s="360">
        <f>SUMIFS('Live Collections'!$T:$T,'Live Collections'!$D:$D,'Colln-Summary'!$A209,'Live Collections'!$B:$B,"&gt;="&amp;'Colln-Summary'!$G$1,'Live Collections'!$B:$B,"&lt;="&amp;'Colln-Summary'!$G$2)</f>
        <v>39400</v>
      </c>
      <c r="M209" s="258">
        <f t="shared" si="4"/>
        <v>649400</v>
      </c>
    </row>
    <row r="210" spans="1:13" x14ac:dyDescent="0.2">
      <c r="A210" s="478">
        <v>206</v>
      </c>
      <c r="B210" s="352" t="str">
        <f>IFERROR(VLOOKUP($A210,'Clients-Live'!$A:$C,3,0),"")</f>
        <v>AMILE AISHA</v>
      </c>
      <c r="C210" s="353">
        <f>SUMIFS('Live Collections'!$J:$J,'Live Collections'!$D:$D,'Colln-Summary'!$A210,'Live Collections'!$B:$B,"&gt;="&amp;'Colln-Summary'!$G$1,'Live Collections'!$B:$B,"&lt;="&amp;'Colln-Summary'!$G$2)</f>
        <v>0</v>
      </c>
      <c r="D210" s="353">
        <f>SUMIFS('Live Collections'!$K:$K,'Live Collections'!$D:$D,'Colln-Summary'!$A210,'Live Collections'!$B:$B,"&gt;="&amp;'Colln-Summary'!$G$1,'Live Collections'!$B:$B,"&lt;="&amp;'Colln-Summary'!$G$2)</f>
        <v>0</v>
      </c>
      <c r="E210" s="353">
        <f>SUMIFS(Disbursements!$F:$F,Disbursements!$B:$B,'Colln-Summary'!$A210,Disbursements!$A:$A,"&gt;="&amp;'Colln-Summary'!$G$1,Disbursements!$A:$A,"&lt;="&amp;'Colln-Summary'!$G$2)</f>
        <v>0</v>
      </c>
      <c r="F210" s="353">
        <f>SUMIFS('Live Collections'!$L:$L,'Live Collections'!$D:$D,'Colln-Summary'!$A210,'Live Collections'!$B:$B,"&gt;="&amp;'Colln-Summary'!$G$1,'Live Collections'!$B:$B,"&lt;="&amp;'Colln-Summary'!$G$2)</f>
        <v>0</v>
      </c>
      <c r="G210" s="353">
        <f>SUMIFS('Live Collections'!$M:$M,'Live Collections'!$D:$D,'Colln-Summary'!$A210,'Live Collections'!$B:$B,"&gt;="&amp;'Colln-Summary'!$G$1,'Live Collections'!$B:$B,"&lt;="&amp;'Colln-Summary'!$G$2)</f>
        <v>0</v>
      </c>
      <c r="H210" s="353">
        <f>SUMIFS('Live Collections'!$N:$N,'Live Collections'!$D:$D,'Colln-Summary'!$A210,'Live Collections'!$B:$B,"&gt;="&amp;'Colln-Summary'!$G$1,'Live Collections'!$B:$B,"&lt;="&amp;'Colln-Summary'!$G$2)</f>
        <v>0</v>
      </c>
      <c r="I210" s="353">
        <f>SUMIFS('Live Collections'!$P:$P,'Live Collections'!$D:$D,'Colln-Summary'!$A210,'Live Collections'!$B:$B,"&gt;="&amp;'Colln-Summary'!$G$1,'Live Collections'!$B:$B,"&lt;="&amp;'Colln-Summary'!$G$2)</f>
        <v>-50000</v>
      </c>
      <c r="J210" s="353">
        <f>SUMIFS('Live Collections'!$O:$O,'Live Collections'!$D:$D,'Colln-Summary'!$A210,'Live Collections'!$B:$B,"&gt;="&amp;'Colln-Summary'!$G$1,'Live Collections'!$B:$B,"&lt;="&amp;'Colln-Summary'!$G$2)</f>
        <v>120000</v>
      </c>
      <c r="K210" s="360">
        <f>SUMIFS('Live Collections'!$S:$S,'Live Collections'!$D:$D,'Colln-Summary'!$A210,'Live Collections'!$B:$B,"&gt;="&amp;'Colln-Summary'!$G$1,'Live Collections'!$B:$B,"&lt;="&amp;'Colln-Summary'!$G$2)</f>
        <v>0</v>
      </c>
      <c r="L210" s="360">
        <f>SUMIFS('Live Collections'!$T:$T,'Live Collections'!$D:$D,'Colln-Summary'!$A210,'Live Collections'!$B:$B,"&gt;="&amp;'Colln-Summary'!$G$1,'Live Collections'!$B:$B,"&lt;="&amp;'Colln-Summary'!$G$2)</f>
        <v>120000</v>
      </c>
      <c r="M210" s="258">
        <f t="shared" si="4"/>
        <v>70000</v>
      </c>
    </row>
    <row r="211" spans="1:13" x14ac:dyDescent="0.2">
      <c r="A211" s="478">
        <v>207</v>
      </c>
      <c r="B211" s="352" t="str">
        <f>IFERROR(VLOOKUP($A211,'Clients-Live'!$A:$C,3,0),"")</f>
        <v>DRARU IRENE</v>
      </c>
      <c r="C211" s="353">
        <f>SUMIFS('Live Collections'!$J:$J,'Live Collections'!$D:$D,'Colln-Summary'!$A211,'Live Collections'!$B:$B,"&gt;="&amp;'Colln-Summary'!$G$1,'Live Collections'!$B:$B,"&lt;="&amp;'Colln-Summary'!$G$2)</f>
        <v>0</v>
      </c>
      <c r="D211" s="353">
        <f>SUMIFS('Live Collections'!$K:$K,'Live Collections'!$D:$D,'Colln-Summary'!$A211,'Live Collections'!$B:$B,"&gt;="&amp;'Colln-Summary'!$G$1,'Live Collections'!$B:$B,"&lt;="&amp;'Colln-Summary'!$G$2)</f>
        <v>0</v>
      </c>
      <c r="E211" s="353">
        <f>SUMIFS(Disbursements!$F:$F,Disbursements!$B:$B,'Colln-Summary'!$A211,Disbursements!$A:$A,"&gt;="&amp;'Colln-Summary'!$G$1,Disbursements!$A:$A,"&lt;="&amp;'Colln-Summary'!$G$2)</f>
        <v>0</v>
      </c>
      <c r="F211" s="353">
        <f>SUMIFS('Live Collections'!$L:$L,'Live Collections'!$D:$D,'Colln-Summary'!$A211,'Live Collections'!$B:$B,"&gt;="&amp;'Colln-Summary'!$G$1,'Live Collections'!$B:$B,"&lt;="&amp;'Colln-Summary'!$G$2)</f>
        <v>0</v>
      </c>
      <c r="G211" s="353">
        <f>SUMIFS('Live Collections'!$M:$M,'Live Collections'!$D:$D,'Colln-Summary'!$A211,'Live Collections'!$B:$B,"&gt;="&amp;'Colln-Summary'!$G$1,'Live Collections'!$B:$B,"&lt;="&amp;'Colln-Summary'!$G$2)</f>
        <v>0</v>
      </c>
      <c r="H211" s="353">
        <f>SUMIFS('Live Collections'!$N:$N,'Live Collections'!$D:$D,'Colln-Summary'!$A211,'Live Collections'!$B:$B,"&gt;="&amp;'Colln-Summary'!$G$1,'Live Collections'!$B:$B,"&lt;="&amp;'Colln-Summary'!$G$2)</f>
        <v>0</v>
      </c>
      <c r="I211" s="353">
        <f>SUMIFS('Live Collections'!$P:$P,'Live Collections'!$D:$D,'Colln-Summary'!$A211,'Live Collections'!$B:$B,"&gt;="&amp;'Colln-Summary'!$G$1,'Live Collections'!$B:$B,"&lt;="&amp;'Colln-Summary'!$G$2)</f>
        <v>0</v>
      </c>
      <c r="J211" s="353">
        <f>SUMIFS('Live Collections'!$O:$O,'Live Collections'!$D:$D,'Colln-Summary'!$A211,'Live Collections'!$B:$B,"&gt;="&amp;'Colln-Summary'!$G$1,'Live Collections'!$B:$B,"&lt;="&amp;'Colln-Summary'!$G$2)</f>
        <v>0</v>
      </c>
      <c r="K211" s="360">
        <f>SUMIFS('Live Collections'!$S:$S,'Live Collections'!$D:$D,'Colln-Summary'!$A211,'Live Collections'!$B:$B,"&gt;="&amp;'Colln-Summary'!$G$1,'Live Collections'!$B:$B,"&lt;="&amp;'Colln-Summary'!$G$2)</f>
        <v>0</v>
      </c>
      <c r="L211" s="360">
        <f>SUMIFS('Live Collections'!$T:$T,'Live Collections'!$D:$D,'Colln-Summary'!$A211,'Live Collections'!$B:$B,"&gt;="&amp;'Colln-Summary'!$G$1,'Live Collections'!$B:$B,"&lt;="&amp;'Colln-Summary'!$G$2)</f>
        <v>0</v>
      </c>
      <c r="M211" s="258">
        <f t="shared" si="4"/>
        <v>0</v>
      </c>
    </row>
    <row r="212" spans="1:13" x14ac:dyDescent="0.2">
      <c r="A212" s="478">
        <v>208</v>
      </c>
      <c r="B212" s="352" t="str">
        <f>IFERROR(VLOOKUP($A212,'Clients-Live'!$A:$C,3,0),"")</f>
        <v>TIKO RAIMA</v>
      </c>
      <c r="C212" s="353">
        <f>SUMIFS('Live Collections'!$J:$J,'Live Collections'!$D:$D,'Colln-Summary'!$A212,'Live Collections'!$B:$B,"&gt;="&amp;'Colln-Summary'!$G$1,'Live Collections'!$B:$B,"&lt;="&amp;'Colln-Summary'!$G$2)</f>
        <v>0</v>
      </c>
      <c r="D212" s="353">
        <f>SUMIFS('Live Collections'!$K:$K,'Live Collections'!$D:$D,'Colln-Summary'!$A212,'Live Collections'!$B:$B,"&gt;="&amp;'Colln-Summary'!$G$1,'Live Collections'!$B:$B,"&lt;="&amp;'Colln-Summary'!$G$2)</f>
        <v>0</v>
      </c>
      <c r="E212" s="353">
        <f>SUMIFS(Disbursements!$F:$F,Disbursements!$B:$B,'Colln-Summary'!$A212,Disbursements!$A:$A,"&gt;="&amp;'Colln-Summary'!$G$1,Disbursements!$A:$A,"&lt;="&amp;'Colln-Summary'!$G$2)</f>
        <v>0</v>
      </c>
      <c r="F212" s="353">
        <f>SUMIFS('Live Collections'!$L:$L,'Live Collections'!$D:$D,'Colln-Summary'!$A212,'Live Collections'!$B:$B,"&gt;="&amp;'Colln-Summary'!$G$1,'Live Collections'!$B:$B,"&lt;="&amp;'Colln-Summary'!$G$2)</f>
        <v>0</v>
      </c>
      <c r="G212" s="353">
        <f>SUMIFS('Live Collections'!$M:$M,'Live Collections'!$D:$D,'Colln-Summary'!$A212,'Live Collections'!$B:$B,"&gt;="&amp;'Colln-Summary'!$G$1,'Live Collections'!$B:$B,"&lt;="&amp;'Colln-Summary'!$G$2)</f>
        <v>0</v>
      </c>
      <c r="H212" s="353">
        <f>SUMIFS('Live Collections'!$N:$N,'Live Collections'!$D:$D,'Colln-Summary'!$A212,'Live Collections'!$B:$B,"&gt;="&amp;'Colln-Summary'!$G$1,'Live Collections'!$B:$B,"&lt;="&amp;'Colln-Summary'!$G$2)</f>
        <v>0</v>
      </c>
      <c r="I212" s="353">
        <f>SUMIFS('Live Collections'!$P:$P,'Live Collections'!$D:$D,'Colln-Summary'!$A212,'Live Collections'!$B:$B,"&gt;="&amp;'Colln-Summary'!$G$1,'Live Collections'!$B:$B,"&lt;="&amp;'Colln-Summary'!$G$2)</f>
        <v>0</v>
      </c>
      <c r="J212" s="353">
        <f>SUMIFS('Live Collections'!$O:$O,'Live Collections'!$D:$D,'Colln-Summary'!$A212,'Live Collections'!$B:$B,"&gt;="&amp;'Colln-Summary'!$G$1,'Live Collections'!$B:$B,"&lt;="&amp;'Colln-Summary'!$G$2)</f>
        <v>135000</v>
      </c>
      <c r="K212" s="360">
        <f>SUMIFS('Live Collections'!$S:$S,'Live Collections'!$D:$D,'Colln-Summary'!$A212,'Live Collections'!$B:$B,"&gt;="&amp;'Colln-Summary'!$G$1,'Live Collections'!$B:$B,"&lt;="&amp;'Colln-Summary'!$G$2)</f>
        <v>15000</v>
      </c>
      <c r="L212" s="360">
        <f>SUMIFS('Live Collections'!$T:$T,'Live Collections'!$D:$D,'Colln-Summary'!$A212,'Live Collections'!$B:$B,"&gt;="&amp;'Colln-Summary'!$G$1,'Live Collections'!$B:$B,"&lt;="&amp;'Colln-Summary'!$G$2)</f>
        <v>120000</v>
      </c>
      <c r="M212" s="258">
        <f t="shared" si="4"/>
        <v>135000</v>
      </c>
    </row>
    <row r="213" spans="1:13" x14ac:dyDescent="0.2">
      <c r="A213" s="478">
        <v>209</v>
      </c>
      <c r="B213" s="352" t="str">
        <f>IFERROR(VLOOKUP($A213,'Clients-Live'!$A:$C,3,0),"")</f>
        <v>ADUI ISMAIL</v>
      </c>
      <c r="C213" s="353">
        <f>SUMIFS('Live Collections'!$J:$J,'Live Collections'!$D:$D,'Colln-Summary'!$A213,'Live Collections'!$B:$B,"&gt;="&amp;'Colln-Summary'!$G$1,'Live Collections'!$B:$B,"&lt;="&amp;'Colln-Summary'!$G$2)</f>
        <v>0</v>
      </c>
      <c r="D213" s="353">
        <f>SUMIFS('Live Collections'!$K:$K,'Live Collections'!$D:$D,'Colln-Summary'!$A213,'Live Collections'!$B:$B,"&gt;="&amp;'Colln-Summary'!$G$1,'Live Collections'!$B:$B,"&lt;="&amp;'Colln-Summary'!$G$2)</f>
        <v>0</v>
      </c>
      <c r="E213" s="353">
        <f>SUMIFS(Disbursements!$F:$F,Disbursements!$B:$B,'Colln-Summary'!$A213,Disbursements!$A:$A,"&gt;="&amp;'Colln-Summary'!$G$1,Disbursements!$A:$A,"&lt;="&amp;'Colln-Summary'!$G$2)</f>
        <v>0</v>
      </c>
      <c r="F213" s="353">
        <f>SUMIFS('Live Collections'!$L:$L,'Live Collections'!$D:$D,'Colln-Summary'!$A213,'Live Collections'!$B:$B,"&gt;="&amp;'Colln-Summary'!$G$1,'Live Collections'!$B:$B,"&lt;="&amp;'Colln-Summary'!$G$2)</f>
        <v>0</v>
      </c>
      <c r="G213" s="353">
        <f>SUMIFS('Live Collections'!$M:$M,'Live Collections'!$D:$D,'Colln-Summary'!$A213,'Live Collections'!$B:$B,"&gt;="&amp;'Colln-Summary'!$G$1,'Live Collections'!$B:$B,"&lt;="&amp;'Colln-Summary'!$G$2)</f>
        <v>0</v>
      </c>
      <c r="H213" s="353">
        <f>SUMIFS('Live Collections'!$N:$N,'Live Collections'!$D:$D,'Colln-Summary'!$A213,'Live Collections'!$B:$B,"&gt;="&amp;'Colln-Summary'!$G$1,'Live Collections'!$B:$B,"&lt;="&amp;'Colln-Summary'!$G$2)</f>
        <v>0</v>
      </c>
      <c r="I213" s="353">
        <f>SUMIFS('Live Collections'!$P:$P,'Live Collections'!$D:$D,'Colln-Summary'!$A213,'Live Collections'!$B:$B,"&gt;="&amp;'Colln-Summary'!$G$1,'Live Collections'!$B:$B,"&lt;="&amp;'Colln-Summary'!$G$2)</f>
        <v>-60000</v>
      </c>
      <c r="J213" s="353">
        <f>SUMIFS('Live Collections'!$O:$O,'Live Collections'!$D:$D,'Colln-Summary'!$A213,'Live Collections'!$B:$B,"&gt;="&amp;'Colln-Summary'!$G$1,'Live Collections'!$B:$B,"&lt;="&amp;'Colln-Summary'!$G$2)</f>
        <v>180000</v>
      </c>
      <c r="K213" s="360">
        <f>SUMIFS('Live Collections'!$S:$S,'Live Collections'!$D:$D,'Colln-Summary'!$A213,'Live Collections'!$B:$B,"&gt;="&amp;'Colln-Summary'!$G$1,'Live Collections'!$B:$B,"&lt;="&amp;'Colln-Summary'!$G$2)</f>
        <v>0</v>
      </c>
      <c r="L213" s="360">
        <f>SUMIFS('Live Collections'!$T:$T,'Live Collections'!$D:$D,'Colln-Summary'!$A213,'Live Collections'!$B:$B,"&gt;="&amp;'Colln-Summary'!$G$1,'Live Collections'!$B:$B,"&lt;="&amp;'Colln-Summary'!$G$2)</f>
        <v>180000</v>
      </c>
      <c r="M213" s="258">
        <f t="shared" si="4"/>
        <v>120000</v>
      </c>
    </row>
    <row r="214" spans="1:13" x14ac:dyDescent="0.2">
      <c r="A214" s="478">
        <v>210</v>
      </c>
      <c r="B214" s="352" t="str">
        <f>IFERROR(VLOOKUP($A214,'Clients-Live'!$A:$C,3,0),"")</f>
        <v>ADRILI ZAHARA</v>
      </c>
      <c r="C214" s="353">
        <f>SUMIFS('Live Collections'!$J:$J,'Live Collections'!$D:$D,'Colln-Summary'!$A214,'Live Collections'!$B:$B,"&gt;="&amp;'Colln-Summary'!$G$1,'Live Collections'!$B:$B,"&lt;="&amp;'Colln-Summary'!$G$2)</f>
        <v>0</v>
      </c>
      <c r="D214" s="353">
        <f>SUMIFS('Live Collections'!$K:$K,'Live Collections'!$D:$D,'Colln-Summary'!$A214,'Live Collections'!$B:$B,"&gt;="&amp;'Colln-Summary'!$G$1,'Live Collections'!$B:$B,"&lt;="&amp;'Colln-Summary'!$G$2)</f>
        <v>0</v>
      </c>
      <c r="E214" s="353">
        <f>SUMIFS(Disbursements!$F:$F,Disbursements!$B:$B,'Colln-Summary'!$A214,Disbursements!$A:$A,"&gt;="&amp;'Colln-Summary'!$G$1,Disbursements!$A:$A,"&lt;="&amp;'Colln-Summary'!$G$2)</f>
        <v>0</v>
      </c>
      <c r="F214" s="353">
        <f>SUMIFS('Live Collections'!$L:$L,'Live Collections'!$D:$D,'Colln-Summary'!$A214,'Live Collections'!$B:$B,"&gt;="&amp;'Colln-Summary'!$G$1,'Live Collections'!$B:$B,"&lt;="&amp;'Colln-Summary'!$G$2)</f>
        <v>0</v>
      </c>
      <c r="G214" s="353">
        <f>SUMIFS('Live Collections'!$M:$M,'Live Collections'!$D:$D,'Colln-Summary'!$A214,'Live Collections'!$B:$B,"&gt;="&amp;'Colln-Summary'!$G$1,'Live Collections'!$B:$B,"&lt;="&amp;'Colln-Summary'!$G$2)</f>
        <v>0</v>
      </c>
      <c r="H214" s="353">
        <f>SUMIFS('Live Collections'!$N:$N,'Live Collections'!$D:$D,'Colln-Summary'!$A214,'Live Collections'!$B:$B,"&gt;="&amp;'Colln-Summary'!$G$1,'Live Collections'!$B:$B,"&lt;="&amp;'Colln-Summary'!$G$2)</f>
        <v>0</v>
      </c>
      <c r="I214" s="353">
        <f>SUMIFS('Live Collections'!$P:$P,'Live Collections'!$D:$D,'Colln-Summary'!$A214,'Live Collections'!$B:$B,"&gt;="&amp;'Colln-Summary'!$G$1,'Live Collections'!$B:$B,"&lt;="&amp;'Colln-Summary'!$G$2)</f>
        <v>0</v>
      </c>
      <c r="J214" s="353">
        <f>SUMIFS('Live Collections'!$O:$O,'Live Collections'!$D:$D,'Colln-Summary'!$A214,'Live Collections'!$B:$B,"&gt;="&amp;'Colln-Summary'!$G$1,'Live Collections'!$B:$B,"&lt;="&amp;'Colln-Summary'!$G$2)</f>
        <v>175000</v>
      </c>
      <c r="K214" s="360">
        <f>SUMIFS('Live Collections'!$S:$S,'Live Collections'!$D:$D,'Colln-Summary'!$A214,'Live Collections'!$B:$B,"&gt;="&amp;'Colln-Summary'!$G$1,'Live Collections'!$B:$B,"&lt;="&amp;'Colln-Summary'!$G$2)</f>
        <v>0</v>
      </c>
      <c r="L214" s="360">
        <f>SUMIFS('Live Collections'!$T:$T,'Live Collections'!$D:$D,'Colln-Summary'!$A214,'Live Collections'!$B:$B,"&gt;="&amp;'Colln-Summary'!$G$1,'Live Collections'!$B:$B,"&lt;="&amp;'Colln-Summary'!$G$2)</f>
        <v>175000</v>
      </c>
      <c r="M214" s="258">
        <f t="shared" si="4"/>
        <v>175000</v>
      </c>
    </row>
    <row r="215" spans="1:13" x14ac:dyDescent="0.2">
      <c r="A215" s="478">
        <v>211</v>
      </c>
      <c r="B215" s="352" t="str">
        <f>IFERROR(VLOOKUP($A215,'Clients-Live'!$A:$C,3,0),"")</f>
        <v>WILARU JOYCE</v>
      </c>
      <c r="C215" s="353">
        <f>SUMIFS('Live Collections'!$J:$J,'Live Collections'!$D:$D,'Colln-Summary'!$A215,'Live Collections'!$B:$B,"&gt;="&amp;'Colln-Summary'!$G$1,'Live Collections'!$B:$B,"&lt;="&amp;'Colln-Summary'!$G$2)</f>
        <v>0</v>
      </c>
      <c r="D215" s="353">
        <f>SUMIFS('Live Collections'!$K:$K,'Live Collections'!$D:$D,'Colln-Summary'!$A215,'Live Collections'!$B:$B,"&gt;="&amp;'Colln-Summary'!$G$1,'Live Collections'!$B:$B,"&lt;="&amp;'Colln-Summary'!$G$2)</f>
        <v>0</v>
      </c>
      <c r="E215" s="353">
        <f>SUMIFS(Disbursements!$F:$F,Disbursements!$B:$B,'Colln-Summary'!$A215,Disbursements!$A:$A,"&gt;="&amp;'Colln-Summary'!$G$1,Disbursements!$A:$A,"&lt;="&amp;'Colln-Summary'!$G$2)</f>
        <v>1300000</v>
      </c>
      <c r="F215" s="353">
        <f>SUMIFS('Live Collections'!$L:$L,'Live Collections'!$D:$D,'Colln-Summary'!$A215,'Live Collections'!$B:$B,"&gt;="&amp;'Colln-Summary'!$G$1,'Live Collections'!$B:$B,"&lt;="&amp;'Colln-Summary'!$G$2)</f>
        <v>20000</v>
      </c>
      <c r="G215" s="353">
        <f>SUMIFS('Live Collections'!$M:$M,'Live Collections'!$D:$D,'Colln-Summary'!$A215,'Live Collections'!$B:$B,"&gt;="&amp;'Colln-Summary'!$G$1,'Live Collections'!$B:$B,"&lt;="&amp;'Colln-Summary'!$G$2)</f>
        <v>5000</v>
      </c>
      <c r="H215" s="353">
        <f>SUMIFS('Live Collections'!$N:$N,'Live Collections'!$D:$D,'Colln-Summary'!$A215,'Live Collections'!$B:$B,"&gt;="&amp;'Colln-Summary'!$G$1,'Live Collections'!$B:$B,"&lt;="&amp;'Colln-Summary'!$G$2)</f>
        <v>0</v>
      </c>
      <c r="I215" s="353">
        <f>SUMIFS('Live Collections'!$P:$P,'Live Collections'!$D:$D,'Colln-Summary'!$A215,'Live Collections'!$B:$B,"&gt;="&amp;'Colln-Summary'!$G$1,'Live Collections'!$B:$B,"&lt;="&amp;'Colln-Summary'!$G$2)</f>
        <v>50000</v>
      </c>
      <c r="J215" s="353">
        <f>SUMIFS('Live Collections'!$O:$O,'Live Collections'!$D:$D,'Colln-Summary'!$A215,'Live Collections'!$B:$B,"&gt;="&amp;'Colln-Summary'!$G$1,'Live Collections'!$B:$B,"&lt;="&amp;'Colln-Summary'!$G$2)</f>
        <v>570000</v>
      </c>
      <c r="K215" s="360">
        <f>SUMIFS('Live Collections'!$S:$S,'Live Collections'!$D:$D,'Colln-Summary'!$A215,'Live Collections'!$B:$B,"&gt;="&amp;'Colln-Summary'!$G$1,'Live Collections'!$B:$B,"&lt;="&amp;'Colln-Summary'!$G$2)</f>
        <v>90666.666666666686</v>
      </c>
      <c r="L215" s="360">
        <f>SUMIFS('Live Collections'!$T:$T,'Live Collections'!$D:$D,'Colln-Summary'!$A215,'Live Collections'!$B:$B,"&gt;="&amp;'Colln-Summary'!$G$1,'Live Collections'!$B:$B,"&lt;="&amp;'Colln-Summary'!$G$2)</f>
        <v>479333.33333333331</v>
      </c>
      <c r="M215" s="258">
        <f t="shared" si="4"/>
        <v>1945000</v>
      </c>
    </row>
    <row r="216" spans="1:13" x14ac:dyDescent="0.2">
      <c r="A216" s="478">
        <v>212</v>
      </c>
      <c r="B216" s="352" t="str">
        <f>IFERROR(VLOOKUP($A216,'Clients-Live'!$A:$C,3,0),"")</f>
        <v>ACIDRI WILLIAM</v>
      </c>
      <c r="C216" s="353">
        <f>SUMIFS('Live Collections'!$J:$J,'Live Collections'!$D:$D,'Colln-Summary'!$A216,'Live Collections'!$B:$B,"&gt;="&amp;'Colln-Summary'!$G$1,'Live Collections'!$B:$B,"&lt;="&amp;'Colln-Summary'!$G$2)</f>
        <v>0</v>
      </c>
      <c r="D216" s="353">
        <f>SUMIFS('Live Collections'!$K:$K,'Live Collections'!$D:$D,'Colln-Summary'!$A216,'Live Collections'!$B:$B,"&gt;="&amp;'Colln-Summary'!$G$1,'Live Collections'!$B:$B,"&lt;="&amp;'Colln-Summary'!$G$2)</f>
        <v>0</v>
      </c>
      <c r="E216" s="353">
        <f>SUMIFS(Disbursements!$F:$F,Disbursements!$B:$B,'Colln-Summary'!$A216,Disbursements!$A:$A,"&gt;="&amp;'Colln-Summary'!$G$1,Disbursements!$A:$A,"&lt;="&amp;'Colln-Summary'!$G$2)</f>
        <v>0</v>
      </c>
      <c r="F216" s="353">
        <f>SUMIFS('Live Collections'!$L:$L,'Live Collections'!$D:$D,'Colln-Summary'!$A216,'Live Collections'!$B:$B,"&gt;="&amp;'Colln-Summary'!$G$1,'Live Collections'!$B:$B,"&lt;="&amp;'Colln-Summary'!$G$2)</f>
        <v>0</v>
      </c>
      <c r="G216" s="353">
        <f>SUMIFS('Live Collections'!$M:$M,'Live Collections'!$D:$D,'Colln-Summary'!$A216,'Live Collections'!$B:$B,"&gt;="&amp;'Colln-Summary'!$G$1,'Live Collections'!$B:$B,"&lt;="&amp;'Colln-Summary'!$G$2)</f>
        <v>0</v>
      </c>
      <c r="H216" s="353">
        <f>SUMIFS('Live Collections'!$N:$N,'Live Collections'!$D:$D,'Colln-Summary'!$A216,'Live Collections'!$B:$B,"&gt;="&amp;'Colln-Summary'!$G$1,'Live Collections'!$B:$B,"&lt;="&amp;'Colln-Summary'!$G$2)</f>
        <v>27500</v>
      </c>
      <c r="I216" s="353">
        <f>SUMIFS('Live Collections'!$P:$P,'Live Collections'!$D:$D,'Colln-Summary'!$A216,'Live Collections'!$B:$B,"&gt;="&amp;'Colln-Summary'!$G$1,'Live Collections'!$B:$B,"&lt;="&amp;'Colln-Summary'!$G$2)</f>
        <v>0</v>
      </c>
      <c r="J216" s="353">
        <f>SUMIFS('Live Collections'!$O:$O,'Live Collections'!$D:$D,'Colln-Summary'!$A216,'Live Collections'!$B:$B,"&gt;="&amp;'Colln-Summary'!$G$1,'Live Collections'!$B:$B,"&lt;="&amp;'Colln-Summary'!$G$2)</f>
        <v>272500</v>
      </c>
      <c r="K216" s="360">
        <f>SUMIFS('Live Collections'!$S:$S,'Live Collections'!$D:$D,'Colln-Summary'!$A216,'Live Collections'!$B:$B,"&gt;="&amp;'Colln-Summary'!$G$1,'Live Collections'!$B:$B,"&lt;="&amp;'Colln-Summary'!$G$2)</f>
        <v>20000</v>
      </c>
      <c r="L216" s="360">
        <f>SUMIFS('Live Collections'!$T:$T,'Live Collections'!$D:$D,'Colln-Summary'!$A216,'Live Collections'!$B:$B,"&gt;="&amp;'Colln-Summary'!$G$1,'Live Collections'!$B:$B,"&lt;="&amp;'Colln-Summary'!$G$2)</f>
        <v>252500</v>
      </c>
      <c r="M216" s="258">
        <f t="shared" si="4"/>
        <v>300000</v>
      </c>
    </row>
    <row r="217" spans="1:13" x14ac:dyDescent="0.2">
      <c r="A217" s="478">
        <v>213</v>
      </c>
      <c r="B217" s="352" t="str">
        <f>IFERROR(VLOOKUP($A217,'Clients-Live'!$A:$C,3,0),"")</f>
        <v>ATIKURU NADIA</v>
      </c>
      <c r="C217" s="353">
        <f>SUMIFS('Live Collections'!$J:$J,'Live Collections'!$D:$D,'Colln-Summary'!$A217,'Live Collections'!$B:$B,"&gt;="&amp;'Colln-Summary'!$G$1,'Live Collections'!$B:$B,"&lt;="&amp;'Colln-Summary'!$G$2)</f>
        <v>0</v>
      </c>
      <c r="D217" s="353">
        <f>SUMIFS('Live Collections'!$K:$K,'Live Collections'!$D:$D,'Colln-Summary'!$A217,'Live Collections'!$B:$B,"&gt;="&amp;'Colln-Summary'!$G$1,'Live Collections'!$B:$B,"&lt;="&amp;'Colln-Summary'!$G$2)</f>
        <v>0</v>
      </c>
      <c r="E217" s="353">
        <f>SUMIFS(Disbursements!$F:$F,Disbursements!$B:$B,'Colln-Summary'!$A217,Disbursements!$A:$A,"&gt;="&amp;'Colln-Summary'!$G$1,Disbursements!$A:$A,"&lt;="&amp;'Colln-Summary'!$G$2)</f>
        <v>0</v>
      </c>
      <c r="F217" s="353">
        <f>SUMIFS('Live Collections'!$L:$L,'Live Collections'!$D:$D,'Colln-Summary'!$A217,'Live Collections'!$B:$B,"&gt;="&amp;'Colln-Summary'!$G$1,'Live Collections'!$B:$B,"&lt;="&amp;'Colln-Summary'!$G$2)</f>
        <v>0</v>
      </c>
      <c r="G217" s="353">
        <f>SUMIFS('Live Collections'!$M:$M,'Live Collections'!$D:$D,'Colln-Summary'!$A217,'Live Collections'!$B:$B,"&gt;="&amp;'Colln-Summary'!$G$1,'Live Collections'!$B:$B,"&lt;="&amp;'Colln-Summary'!$G$2)</f>
        <v>0</v>
      </c>
      <c r="H217" s="353">
        <f>SUMIFS('Live Collections'!$N:$N,'Live Collections'!$D:$D,'Colln-Summary'!$A217,'Live Collections'!$B:$B,"&gt;="&amp;'Colln-Summary'!$G$1,'Live Collections'!$B:$B,"&lt;="&amp;'Colln-Summary'!$G$2)</f>
        <v>0</v>
      </c>
      <c r="I217" s="353">
        <f>SUMIFS('Live Collections'!$P:$P,'Live Collections'!$D:$D,'Colln-Summary'!$A217,'Live Collections'!$B:$B,"&gt;="&amp;'Colln-Summary'!$G$1,'Live Collections'!$B:$B,"&lt;="&amp;'Colln-Summary'!$G$2)</f>
        <v>0</v>
      </c>
      <c r="J217" s="353">
        <f>SUMIFS('Live Collections'!$O:$O,'Live Collections'!$D:$D,'Colln-Summary'!$A217,'Live Collections'!$B:$B,"&gt;="&amp;'Colln-Summary'!$G$1,'Live Collections'!$B:$B,"&lt;="&amp;'Colln-Summary'!$G$2)</f>
        <v>230000</v>
      </c>
      <c r="K217" s="360">
        <f>SUMIFS('Live Collections'!$S:$S,'Live Collections'!$D:$D,'Colln-Summary'!$A217,'Live Collections'!$B:$B,"&gt;="&amp;'Colln-Summary'!$G$1,'Live Collections'!$B:$B,"&lt;="&amp;'Colln-Summary'!$G$2)</f>
        <v>35000</v>
      </c>
      <c r="L217" s="360">
        <f>SUMIFS('Live Collections'!$T:$T,'Live Collections'!$D:$D,'Colln-Summary'!$A217,'Live Collections'!$B:$B,"&gt;="&amp;'Colln-Summary'!$G$1,'Live Collections'!$B:$B,"&lt;="&amp;'Colln-Summary'!$G$2)</f>
        <v>195000</v>
      </c>
      <c r="M217" s="258">
        <f t="shared" si="4"/>
        <v>230000</v>
      </c>
    </row>
    <row r="218" spans="1:13" x14ac:dyDescent="0.2">
      <c r="A218" s="478">
        <v>214</v>
      </c>
      <c r="B218" s="352" t="str">
        <f>IFERROR(VLOOKUP($A218,'Clients-Live'!$A:$C,3,0),"")</f>
        <v>APAYI LILLY</v>
      </c>
      <c r="C218" s="353">
        <f>SUMIFS('Live Collections'!$J:$J,'Live Collections'!$D:$D,'Colln-Summary'!$A218,'Live Collections'!$B:$B,"&gt;="&amp;'Colln-Summary'!$G$1,'Live Collections'!$B:$B,"&lt;="&amp;'Colln-Summary'!$G$2)</f>
        <v>0</v>
      </c>
      <c r="D218" s="353">
        <f>SUMIFS('Live Collections'!$K:$K,'Live Collections'!$D:$D,'Colln-Summary'!$A218,'Live Collections'!$B:$B,"&gt;="&amp;'Colln-Summary'!$G$1,'Live Collections'!$B:$B,"&lt;="&amp;'Colln-Summary'!$G$2)</f>
        <v>0</v>
      </c>
      <c r="E218" s="353">
        <f>SUMIFS(Disbursements!$F:$F,Disbursements!$B:$B,'Colln-Summary'!$A218,Disbursements!$A:$A,"&gt;="&amp;'Colln-Summary'!$G$1,Disbursements!$A:$A,"&lt;="&amp;'Colln-Summary'!$G$2)</f>
        <v>0</v>
      </c>
      <c r="F218" s="353">
        <f>SUMIFS('Live Collections'!$L:$L,'Live Collections'!$D:$D,'Colln-Summary'!$A218,'Live Collections'!$B:$B,"&gt;="&amp;'Colln-Summary'!$G$1,'Live Collections'!$B:$B,"&lt;="&amp;'Colln-Summary'!$G$2)</f>
        <v>0</v>
      </c>
      <c r="G218" s="353">
        <f>SUMIFS('Live Collections'!$M:$M,'Live Collections'!$D:$D,'Colln-Summary'!$A218,'Live Collections'!$B:$B,"&gt;="&amp;'Colln-Summary'!$G$1,'Live Collections'!$B:$B,"&lt;="&amp;'Colln-Summary'!$G$2)</f>
        <v>0</v>
      </c>
      <c r="H218" s="353">
        <f>SUMIFS('Live Collections'!$N:$N,'Live Collections'!$D:$D,'Colln-Summary'!$A218,'Live Collections'!$B:$B,"&gt;="&amp;'Colln-Summary'!$G$1,'Live Collections'!$B:$B,"&lt;="&amp;'Colln-Summary'!$G$2)</f>
        <v>0</v>
      </c>
      <c r="I218" s="353">
        <f>SUMIFS('Live Collections'!$P:$P,'Live Collections'!$D:$D,'Colln-Summary'!$A218,'Live Collections'!$B:$B,"&gt;="&amp;'Colln-Summary'!$G$1,'Live Collections'!$B:$B,"&lt;="&amp;'Colln-Summary'!$G$2)</f>
        <v>0</v>
      </c>
      <c r="J218" s="353">
        <f>SUMIFS('Live Collections'!$O:$O,'Live Collections'!$D:$D,'Colln-Summary'!$A218,'Live Collections'!$B:$B,"&gt;="&amp;'Colln-Summary'!$G$1,'Live Collections'!$B:$B,"&lt;="&amp;'Colln-Summary'!$G$2)</f>
        <v>0</v>
      </c>
      <c r="K218" s="360">
        <f>SUMIFS('Live Collections'!$S:$S,'Live Collections'!$D:$D,'Colln-Summary'!$A218,'Live Collections'!$B:$B,"&gt;="&amp;'Colln-Summary'!$G$1,'Live Collections'!$B:$B,"&lt;="&amp;'Colln-Summary'!$G$2)</f>
        <v>0</v>
      </c>
      <c r="L218" s="360">
        <f>SUMIFS('Live Collections'!$T:$T,'Live Collections'!$D:$D,'Colln-Summary'!$A218,'Live Collections'!$B:$B,"&gt;="&amp;'Colln-Summary'!$G$1,'Live Collections'!$B:$B,"&lt;="&amp;'Colln-Summary'!$G$2)</f>
        <v>0</v>
      </c>
      <c r="M218" s="258">
        <f t="shared" si="4"/>
        <v>0</v>
      </c>
    </row>
    <row r="219" spans="1:13" x14ac:dyDescent="0.2">
      <c r="A219" s="478">
        <v>215</v>
      </c>
      <c r="B219" s="352" t="str">
        <f>IFERROR(VLOOKUP($A219,'Clients-Live'!$A:$C,3,0),"")</f>
        <v>BRANI MUSA</v>
      </c>
      <c r="C219" s="353">
        <f>SUMIFS('Live Collections'!$J:$J,'Live Collections'!$D:$D,'Colln-Summary'!$A219,'Live Collections'!$B:$B,"&gt;="&amp;'Colln-Summary'!$G$1,'Live Collections'!$B:$B,"&lt;="&amp;'Colln-Summary'!$G$2)</f>
        <v>0</v>
      </c>
      <c r="D219" s="353">
        <f>SUMIFS('Live Collections'!$K:$K,'Live Collections'!$D:$D,'Colln-Summary'!$A219,'Live Collections'!$B:$B,"&gt;="&amp;'Colln-Summary'!$G$1,'Live Collections'!$B:$B,"&lt;="&amp;'Colln-Summary'!$G$2)</f>
        <v>0</v>
      </c>
      <c r="E219" s="353">
        <f>SUMIFS(Disbursements!$F:$F,Disbursements!$B:$B,'Colln-Summary'!$A219,Disbursements!$A:$A,"&gt;="&amp;'Colln-Summary'!$G$1,Disbursements!$A:$A,"&lt;="&amp;'Colln-Summary'!$G$2)</f>
        <v>0</v>
      </c>
      <c r="F219" s="353">
        <f>SUMIFS('Live Collections'!$L:$L,'Live Collections'!$D:$D,'Colln-Summary'!$A219,'Live Collections'!$B:$B,"&gt;="&amp;'Colln-Summary'!$G$1,'Live Collections'!$B:$B,"&lt;="&amp;'Colln-Summary'!$G$2)</f>
        <v>0</v>
      </c>
      <c r="G219" s="353">
        <f>SUMIFS('Live Collections'!$M:$M,'Live Collections'!$D:$D,'Colln-Summary'!$A219,'Live Collections'!$B:$B,"&gt;="&amp;'Colln-Summary'!$G$1,'Live Collections'!$B:$B,"&lt;="&amp;'Colln-Summary'!$G$2)</f>
        <v>0</v>
      </c>
      <c r="H219" s="353">
        <f>SUMIFS('Live Collections'!$N:$N,'Live Collections'!$D:$D,'Colln-Summary'!$A219,'Live Collections'!$B:$B,"&gt;="&amp;'Colln-Summary'!$G$1,'Live Collections'!$B:$B,"&lt;="&amp;'Colln-Summary'!$G$2)</f>
        <v>0</v>
      </c>
      <c r="I219" s="353">
        <f>SUMIFS('Live Collections'!$P:$P,'Live Collections'!$D:$D,'Colln-Summary'!$A219,'Live Collections'!$B:$B,"&gt;="&amp;'Colln-Summary'!$G$1,'Live Collections'!$B:$B,"&lt;="&amp;'Colln-Summary'!$G$2)</f>
        <v>0</v>
      </c>
      <c r="J219" s="353">
        <f>SUMIFS('Live Collections'!$O:$O,'Live Collections'!$D:$D,'Colln-Summary'!$A219,'Live Collections'!$B:$B,"&gt;="&amp;'Colln-Summary'!$G$1,'Live Collections'!$B:$B,"&lt;="&amp;'Colln-Summary'!$G$2)</f>
        <v>540000</v>
      </c>
      <c r="K219" s="360">
        <f>SUMIFS('Live Collections'!$S:$S,'Live Collections'!$D:$D,'Colln-Summary'!$A219,'Live Collections'!$B:$B,"&gt;="&amp;'Colln-Summary'!$G$1,'Live Collections'!$B:$B,"&lt;="&amp;'Colln-Summary'!$G$2)</f>
        <v>171000</v>
      </c>
      <c r="L219" s="360">
        <f>SUMIFS('Live Collections'!$T:$T,'Live Collections'!$D:$D,'Colln-Summary'!$A219,'Live Collections'!$B:$B,"&gt;="&amp;'Colln-Summary'!$G$1,'Live Collections'!$B:$B,"&lt;="&amp;'Colln-Summary'!$G$2)</f>
        <v>369000</v>
      </c>
      <c r="M219" s="258">
        <f t="shared" si="4"/>
        <v>540000</v>
      </c>
    </row>
    <row r="220" spans="1:13" x14ac:dyDescent="0.2">
      <c r="A220" s="478">
        <v>216</v>
      </c>
      <c r="B220" s="352" t="str">
        <f>IFERROR(VLOOKUP($A220,'Clients-Live'!$A:$C,3,0),"")</f>
        <v>ALIGA ASHIRAF</v>
      </c>
      <c r="C220" s="353">
        <f>SUMIFS('Live Collections'!$J:$J,'Live Collections'!$D:$D,'Colln-Summary'!$A220,'Live Collections'!$B:$B,"&gt;="&amp;'Colln-Summary'!$G$1,'Live Collections'!$B:$B,"&lt;="&amp;'Colln-Summary'!$G$2)</f>
        <v>0</v>
      </c>
      <c r="D220" s="353">
        <f>SUMIFS('Live Collections'!$K:$K,'Live Collections'!$D:$D,'Colln-Summary'!$A220,'Live Collections'!$B:$B,"&gt;="&amp;'Colln-Summary'!$G$1,'Live Collections'!$B:$B,"&lt;="&amp;'Colln-Summary'!$G$2)</f>
        <v>0</v>
      </c>
      <c r="E220" s="353">
        <f>SUMIFS(Disbursements!$F:$F,Disbursements!$B:$B,'Colln-Summary'!$A220,Disbursements!$A:$A,"&gt;="&amp;'Colln-Summary'!$G$1,Disbursements!$A:$A,"&lt;="&amp;'Colln-Summary'!$G$2)</f>
        <v>0</v>
      </c>
      <c r="F220" s="353">
        <f>SUMIFS('Live Collections'!$L:$L,'Live Collections'!$D:$D,'Colln-Summary'!$A220,'Live Collections'!$B:$B,"&gt;="&amp;'Colln-Summary'!$G$1,'Live Collections'!$B:$B,"&lt;="&amp;'Colln-Summary'!$G$2)</f>
        <v>0</v>
      </c>
      <c r="G220" s="353">
        <f>SUMIFS('Live Collections'!$M:$M,'Live Collections'!$D:$D,'Colln-Summary'!$A220,'Live Collections'!$B:$B,"&gt;="&amp;'Colln-Summary'!$G$1,'Live Collections'!$B:$B,"&lt;="&amp;'Colln-Summary'!$G$2)</f>
        <v>0</v>
      </c>
      <c r="H220" s="353">
        <f>SUMIFS('Live Collections'!$N:$N,'Live Collections'!$D:$D,'Colln-Summary'!$A220,'Live Collections'!$B:$B,"&gt;="&amp;'Colln-Summary'!$G$1,'Live Collections'!$B:$B,"&lt;="&amp;'Colln-Summary'!$G$2)</f>
        <v>0</v>
      </c>
      <c r="I220" s="353">
        <f>SUMIFS('Live Collections'!$P:$P,'Live Collections'!$D:$D,'Colln-Summary'!$A220,'Live Collections'!$B:$B,"&gt;="&amp;'Colln-Summary'!$G$1,'Live Collections'!$B:$B,"&lt;="&amp;'Colln-Summary'!$G$2)</f>
        <v>0</v>
      </c>
      <c r="J220" s="353">
        <f>SUMIFS('Live Collections'!$O:$O,'Live Collections'!$D:$D,'Colln-Summary'!$A220,'Live Collections'!$B:$B,"&gt;="&amp;'Colln-Summary'!$G$1,'Live Collections'!$B:$B,"&lt;="&amp;'Colln-Summary'!$G$2)</f>
        <v>0</v>
      </c>
      <c r="K220" s="360">
        <f>SUMIFS('Live Collections'!$S:$S,'Live Collections'!$D:$D,'Colln-Summary'!$A220,'Live Collections'!$B:$B,"&gt;="&amp;'Colln-Summary'!$G$1,'Live Collections'!$B:$B,"&lt;="&amp;'Colln-Summary'!$G$2)</f>
        <v>0</v>
      </c>
      <c r="L220" s="360">
        <f>SUMIFS('Live Collections'!$T:$T,'Live Collections'!$D:$D,'Colln-Summary'!$A220,'Live Collections'!$B:$B,"&gt;="&amp;'Colln-Summary'!$G$1,'Live Collections'!$B:$B,"&lt;="&amp;'Colln-Summary'!$G$2)</f>
        <v>0</v>
      </c>
      <c r="M220" s="258">
        <f t="shared" si="4"/>
        <v>0</v>
      </c>
    </row>
    <row r="221" spans="1:13" x14ac:dyDescent="0.2">
      <c r="A221" s="478">
        <v>217</v>
      </c>
      <c r="B221" s="352" t="str">
        <f>IFERROR(VLOOKUP($A221,'Clients-Live'!$A:$C,3,0),"")</f>
        <v>JAMBA MOSES</v>
      </c>
      <c r="C221" s="353">
        <f>SUMIFS('Live Collections'!$J:$J,'Live Collections'!$D:$D,'Colln-Summary'!$A221,'Live Collections'!$B:$B,"&gt;="&amp;'Colln-Summary'!$G$1,'Live Collections'!$B:$B,"&lt;="&amp;'Colln-Summary'!$G$2)</f>
        <v>0</v>
      </c>
      <c r="D221" s="353">
        <f>SUMIFS('Live Collections'!$K:$K,'Live Collections'!$D:$D,'Colln-Summary'!$A221,'Live Collections'!$B:$B,"&gt;="&amp;'Colln-Summary'!$G$1,'Live Collections'!$B:$B,"&lt;="&amp;'Colln-Summary'!$G$2)</f>
        <v>0</v>
      </c>
      <c r="E221" s="353">
        <f>SUMIFS(Disbursements!$F:$F,Disbursements!$B:$B,'Colln-Summary'!$A221,Disbursements!$A:$A,"&gt;="&amp;'Colln-Summary'!$G$1,Disbursements!$A:$A,"&lt;="&amp;'Colln-Summary'!$G$2)</f>
        <v>0</v>
      </c>
      <c r="F221" s="353">
        <f>SUMIFS('Live Collections'!$L:$L,'Live Collections'!$D:$D,'Colln-Summary'!$A221,'Live Collections'!$B:$B,"&gt;="&amp;'Colln-Summary'!$G$1,'Live Collections'!$B:$B,"&lt;="&amp;'Colln-Summary'!$G$2)</f>
        <v>0</v>
      </c>
      <c r="G221" s="353">
        <f>SUMIFS('Live Collections'!$M:$M,'Live Collections'!$D:$D,'Colln-Summary'!$A221,'Live Collections'!$B:$B,"&gt;="&amp;'Colln-Summary'!$G$1,'Live Collections'!$B:$B,"&lt;="&amp;'Colln-Summary'!$G$2)</f>
        <v>0</v>
      </c>
      <c r="H221" s="353">
        <f>SUMIFS('Live Collections'!$N:$N,'Live Collections'!$D:$D,'Colln-Summary'!$A221,'Live Collections'!$B:$B,"&gt;="&amp;'Colln-Summary'!$G$1,'Live Collections'!$B:$B,"&lt;="&amp;'Colln-Summary'!$G$2)</f>
        <v>0</v>
      </c>
      <c r="I221" s="353">
        <f>SUMIFS('Live Collections'!$P:$P,'Live Collections'!$D:$D,'Colln-Summary'!$A221,'Live Collections'!$B:$B,"&gt;="&amp;'Colln-Summary'!$G$1,'Live Collections'!$B:$B,"&lt;="&amp;'Colln-Summary'!$G$2)</f>
        <v>0</v>
      </c>
      <c r="J221" s="353">
        <f>SUMIFS('Live Collections'!$O:$O,'Live Collections'!$D:$D,'Colln-Summary'!$A221,'Live Collections'!$B:$B,"&gt;="&amp;'Colln-Summary'!$G$1,'Live Collections'!$B:$B,"&lt;="&amp;'Colln-Summary'!$G$2)</f>
        <v>230400</v>
      </c>
      <c r="K221" s="360">
        <f>SUMIFS('Live Collections'!$S:$S,'Live Collections'!$D:$D,'Colln-Summary'!$A221,'Live Collections'!$B:$B,"&gt;="&amp;'Colln-Summary'!$G$1,'Live Collections'!$B:$B,"&lt;="&amp;'Colln-Summary'!$G$2)</f>
        <v>1999.9999999999709</v>
      </c>
      <c r="L221" s="360">
        <f>SUMIFS('Live Collections'!$T:$T,'Live Collections'!$D:$D,'Colln-Summary'!$A221,'Live Collections'!$B:$B,"&gt;="&amp;'Colln-Summary'!$G$1,'Live Collections'!$B:$B,"&lt;="&amp;'Colln-Summary'!$G$2)</f>
        <v>228400.00000000003</v>
      </c>
      <c r="M221" s="258">
        <f t="shared" si="4"/>
        <v>230400</v>
      </c>
    </row>
    <row r="222" spans="1:13" x14ac:dyDescent="0.2">
      <c r="A222" s="478">
        <v>218</v>
      </c>
      <c r="B222" s="352" t="str">
        <f>IFERROR(VLOOKUP($A222,'Clients-Live'!$A:$C,3,0),"")</f>
        <v>BUSURA OMAR</v>
      </c>
      <c r="C222" s="353">
        <f>SUMIFS('Live Collections'!$J:$J,'Live Collections'!$D:$D,'Colln-Summary'!$A222,'Live Collections'!$B:$B,"&gt;="&amp;'Colln-Summary'!$G$1,'Live Collections'!$B:$B,"&lt;="&amp;'Colln-Summary'!$G$2)</f>
        <v>0</v>
      </c>
      <c r="D222" s="353">
        <f>SUMIFS('Live Collections'!$K:$K,'Live Collections'!$D:$D,'Colln-Summary'!$A222,'Live Collections'!$B:$B,"&gt;="&amp;'Colln-Summary'!$G$1,'Live Collections'!$B:$B,"&lt;="&amp;'Colln-Summary'!$G$2)</f>
        <v>0</v>
      </c>
      <c r="E222" s="353">
        <f>SUMIFS(Disbursements!$F:$F,Disbursements!$B:$B,'Colln-Summary'!$A222,Disbursements!$A:$A,"&gt;="&amp;'Colln-Summary'!$G$1,Disbursements!$A:$A,"&lt;="&amp;'Colln-Summary'!$G$2)</f>
        <v>0</v>
      </c>
      <c r="F222" s="353">
        <f>SUMIFS('Live Collections'!$L:$L,'Live Collections'!$D:$D,'Colln-Summary'!$A222,'Live Collections'!$B:$B,"&gt;="&amp;'Colln-Summary'!$G$1,'Live Collections'!$B:$B,"&lt;="&amp;'Colln-Summary'!$G$2)</f>
        <v>0</v>
      </c>
      <c r="G222" s="353">
        <f>SUMIFS('Live Collections'!$M:$M,'Live Collections'!$D:$D,'Colln-Summary'!$A222,'Live Collections'!$B:$B,"&gt;="&amp;'Colln-Summary'!$G$1,'Live Collections'!$B:$B,"&lt;="&amp;'Colln-Summary'!$G$2)</f>
        <v>0</v>
      </c>
      <c r="H222" s="353">
        <f>SUMIFS('Live Collections'!$N:$N,'Live Collections'!$D:$D,'Colln-Summary'!$A222,'Live Collections'!$B:$B,"&gt;="&amp;'Colln-Summary'!$G$1,'Live Collections'!$B:$B,"&lt;="&amp;'Colln-Summary'!$G$2)</f>
        <v>0</v>
      </c>
      <c r="I222" s="353">
        <f>SUMIFS('Live Collections'!$P:$P,'Live Collections'!$D:$D,'Colln-Summary'!$A222,'Live Collections'!$B:$B,"&gt;="&amp;'Colln-Summary'!$G$1,'Live Collections'!$B:$B,"&lt;="&amp;'Colln-Summary'!$G$2)</f>
        <v>0</v>
      </c>
      <c r="J222" s="353">
        <f>SUMIFS('Live Collections'!$O:$O,'Live Collections'!$D:$D,'Colln-Summary'!$A222,'Live Collections'!$B:$B,"&gt;="&amp;'Colln-Summary'!$G$1,'Live Collections'!$B:$B,"&lt;="&amp;'Colln-Summary'!$G$2)</f>
        <v>550000</v>
      </c>
      <c r="K222" s="360">
        <f>SUMIFS('Live Collections'!$S:$S,'Live Collections'!$D:$D,'Colln-Summary'!$A222,'Live Collections'!$B:$B,"&gt;="&amp;'Colln-Summary'!$G$1,'Live Collections'!$B:$B,"&lt;="&amp;'Colln-Summary'!$G$2)</f>
        <v>90333.333333333343</v>
      </c>
      <c r="L222" s="360">
        <f>SUMIFS('Live Collections'!$T:$T,'Live Collections'!$D:$D,'Colln-Summary'!$A222,'Live Collections'!$B:$B,"&gt;="&amp;'Colln-Summary'!$G$1,'Live Collections'!$B:$B,"&lt;="&amp;'Colln-Summary'!$G$2)</f>
        <v>459666.66666666663</v>
      </c>
      <c r="M222" s="258">
        <f t="shared" si="4"/>
        <v>550000</v>
      </c>
    </row>
    <row r="223" spans="1:13" x14ac:dyDescent="0.2">
      <c r="A223" s="478">
        <v>219</v>
      </c>
      <c r="B223" s="352" t="str">
        <f>IFERROR(VLOOKUP($A223,'Clients-Live'!$A:$C,3,0),"")</f>
        <v>MALIKO JAMILA</v>
      </c>
      <c r="C223" s="353">
        <f>SUMIFS('Live Collections'!$J:$J,'Live Collections'!$D:$D,'Colln-Summary'!$A223,'Live Collections'!$B:$B,"&gt;="&amp;'Colln-Summary'!$G$1,'Live Collections'!$B:$B,"&lt;="&amp;'Colln-Summary'!$G$2)</f>
        <v>0</v>
      </c>
      <c r="D223" s="353">
        <f>SUMIFS('Live Collections'!$K:$K,'Live Collections'!$D:$D,'Colln-Summary'!$A223,'Live Collections'!$B:$B,"&gt;="&amp;'Colln-Summary'!$G$1,'Live Collections'!$B:$B,"&lt;="&amp;'Colln-Summary'!$G$2)</f>
        <v>0</v>
      </c>
      <c r="E223" s="353">
        <f>SUMIFS(Disbursements!$F:$F,Disbursements!$B:$B,'Colln-Summary'!$A223,Disbursements!$A:$A,"&gt;="&amp;'Colln-Summary'!$G$1,Disbursements!$A:$A,"&lt;="&amp;'Colln-Summary'!$G$2)</f>
        <v>0</v>
      </c>
      <c r="F223" s="353">
        <f>SUMIFS('Live Collections'!$L:$L,'Live Collections'!$D:$D,'Colln-Summary'!$A223,'Live Collections'!$B:$B,"&gt;="&amp;'Colln-Summary'!$G$1,'Live Collections'!$B:$B,"&lt;="&amp;'Colln-Summary'!$G$2)</f>
        <v>0</v>
      </c>
      <c r="G223" s="353">
        <f>SUMIFS('Live Collections'!$M:$M,'Live Collections'!$D:$D,'Colln-Summary'!$A223,'Live Collections'!$B:$B,"&gt;="&amp;'Colln-Summary'!$G$1,'Live Collections'!$B:$B,"&lt;="&amp;'Colln-Summary'!$G$2)</f>
        <v>0</v>
      </c>
      <c r="H223" s="353">
        <f>SUMIFS('Live Collections'!$N:$N,'Live Collections'!$D:$D,'Colln-Summary'!$A223,'Live Collections'!$B:$B,"&gt;="&amp;'Colln-Summary'!$G$1,'Live Collections'!$B:$B,"&lt;="&amp;'Colln-Summary'!$G$2)</f>
        <v>0</v>
      </c>
      <c r="I223" s="353">
        <f>SUMIFS('Live Collections'!$P:$P,'Live Collections'!$D:$D,'Colln-Summary'!$A223,'Live Collections'!$B:$B,"&gt;="&amp;'Colln-Summary'!$G$1,'Live Collections'!$B:$B,"&lt;="&amp;'Colln-Summary'!$G$2)</f>
        <v>0</v>
      </c>
      <c r="J223" s="353">
        <f>SUMIFS('Live Collections'!$O:$O,'Live Collections'!$D:$D,'Colln-Summary'!$A223,'Live Collections'!$B:$B,"&gt;="&amp;'Colln-Summary'!$G$1,'Live Collections'!$B:$B,"&lt;="&amp;'Colln-Summary'!$G$2)</f>
        <v>0</v>
      </c>
      <c r="K223" s="360">
        <f>SUMIFS('Live Collections'!$S:$S,'Live Collections'!$D:$D,'Colln-Summary'!$A223,'Live Collections'!$B:$B,"&gt;="&amp;'Colln-Summary'!$G$1,'Live Collections'!$B:$B,"&lt;="&amp;'Colln-Summary'!$G$2)</f>
        <v>0</v>
      </c>
      <c r="L223" s="360">
        <f>SUMIFS('Live Collections'!$T:$T,'Live Collections'!$D:$D,'Colln-Summary'!$A223,'Live Collections'!$B:$B,"&gt;="&amp;'Colln-Summary'!$G$1,'Live Collections'!$B:$B,"&lt;="&amp;'Colln-Summary'!$G$2)</f>
        <v>0</v>
      </c>
      <c r="M223" s="258">
        <f t="shared" si="4"/>
        <v>0</v>
      </c>
    </row>
    <row r="224" spans="1:13" x14ac:dyDescent="0.2">
      <c r="A224" s="478">
        <v>220</v>
      </c>
      <c r="B224" s="352" t="str">
        <f>IFERROR(VLOOKUP($A224,'Clients-Live'!$A:$C,3,0),"")</f>
        <v>DRAGUMA SIRAJI</v>
      </c>
      <c r="C224" s="353">
        <f>SUMIFS('Live Collections'!$J:$J,'Live Collections'!$D:$D,'Colln-Summary'!$A224,'Live Collections'!$B:$B,"&gt;="&amp;'Colln-Summary'!$G$1,'Live Collections'!$B:$B,"&lt;="&amp;'Colln-Summary'!$G$2)</f>
        <v>0</v>
      </c>
      <c r="D224" s="353">
        <f>SUMIFS('Live Collections'!$K:$K,'Live Collections'!$D:$D,'Colln-Summary'!$A224,'Live Collections'!$B:$B,"&gt;="&amp;'Colln-Summary'!$G$1,'Live Collections'!$B:$B,"&lt;="&amp;'Colln-Summary'!$G$2)</f>
        <v>0</v>
      </c>
      <c r="E224" s="353">
        <f>SUMIFS(Disbursements!$F:$F,Disbursements!$B:$B,'Colln-Summary'!$A224,Disbursements!$A:$A,"&gt;="&amp;'Colln-Summary'!$G$1,Disbursements!$A:$A,"&lt;="&amp;'Colln-Summary'!$G$2)</f>
        <v>0</v>
      </c>
      <c r="F224" s="353">
        <f>SUMIFS('Live Collections'!$L:$L,'Live Collections'!$D:$D,'Colln-Summary'!$A224,'Live Collections'!$B:$B,"&gt;="&amp;'Colln-Summary'!$G$1,'Live Collections'!$B:$B,"&lt;="&amp;'Colln-Summary'!$G$2)</f>
        <v>0</v>
      </c>
      <c r="G224" s="353">
        <f>SUMIFS('Live Collections'!$M:$M,'Live Collections'!$D:$D,'Colln-Summary'!$A224,'Live Collections'!$B:$B,"&gt;="&amp;'Colln-Summary'!$G$1,'Live Collections'!$B:$B,"&lt;="&amp;'Colln-Summary'!$G$2)</f>
        <v>0</v>
      </c>
      <c r="H224" s="353">
        <f>SUMIFS('Live Collections'!$N:$N,'Live Collections'!$D:$D,'Colln-Summary'!$A224,'Live Collections'!$B:$B,"&gt;="&amp;'Colln-Summary'!$G$1,'Live Collections'!$B:$B,"&lt;="&amp;'Colln-Summary'!$G$2)</f>
        <v>0</v>
      </c>
      <c r="I224" s="353">
        <f>SUMIFS('Live Collections'!$P:$P,'Live Collections'!$D:$D,'Colln-Summary'!$A224,'Live Collections'!$B:$B,"&gt;="&amp;'Colln-Summary'!$G$1,'Live Collections'!$B:$B,"&lt;="&amp;'Colln-Summary'!$G$2)</f>
        <v>0</v>
      </c>
      <c r="J224" s="353">
        <f>SUMIFS('Live Collections'!$O:$O,'Live Collections'!$D:$D,'Colln-Summary'!$A224,'Live Collections'!$B:$B,"&gt;="&amp;'Colln-Summary'!$G$1,'Live Collections'!$B:$B,"&lt;="&amp;'Colln-Summary'!$G$2)</f>
        <v>0</v>
      </c>
      <c r="K224" s="360">
        <f>SUMIFS('Live Collections'!$S:$S,'Live Collections'!$D:$D,'Colln-Summary'!$A224,'Live Collections'!$B:$B,"&gt;="&amp;'Colln-Summary'!$G$1,'Live Collections'!$B:$B,"&lt;="&amp;'Colln-Summary'!$G$2)</f>
        <v>0</v>
      </c>
      <c r="L224" s="360">
        <f>SUMIFS('Live Collections'!$T:$T,'Live Collections'!$D:$D,'Colln-Summary'!$A224,'Live Collections'!$B:$B,"&gt;="&amp;'Colln-Summary'!$G$1,'Live Collections'!$B:$B,"&lt;="&amp;'Colln-Summary'!$G$2)</f>
        <v>0</v>
      </c>
      <c r="M224" s="258">
        <f t="shared" si="4"/>
        <v>0</v>
      </c>
    </row>
    <row r="225" spans="1:13" x14ac:dyDescent="0.2">
      <c r="A225" s="478">
        <v>221</v>
      </c>
      <c r="B225" s="352" t="str">
        <f>IFERROR(VLOOKUP($A225,'Clients-Live'!$A:$C,3,0),"")</f>
        <v>NAMUDDU MARY</v>
      </c>
      <c r="C225" s="353">
        <f>SUMIFS('Live Collections'!$J:$J,'Live Collections'!$D:$D,'Colln-Summary'!$A225,'Live Collections'!$B:$B,"&gt;="&amp;'Colln-Summary'!$G$1,'Live Collections'!$B:$B,"&lt;="&amp;'Colln-Summary'!$G$2)</f>
        <v>0</v>
      </c>
      <c r="D225" s="353">
        <f>SUMIFS('Live Collections'!$K:$K,'Live Collections'!$D:$D,'Colln-Summary'!$A225,'Live Collections'!$B:$B,"&gt;="&amp;'Colln-Summary'!$G$1,'Live Collections'!$B:$B,"&lt;="&amp;'Colln-Summary'!$G$2)</f>
        <v>0</v>
      </c>
      <c r="E225" s="353">
        <f>SUMIFS(Disbursements!$F:$F,Disbursements!$B:$B,'Colln-Summary'!$A225,Disbursements!$A:$A,"&gt;="&amp;'Colln-Summary'!$G$1,Disbursements!$A:$A,"&lt;="&amp;'Colln-Summary'!$G$2)</f>
        <v>1000000</v>
      </c>
      <c r="F225" s="353">
        <f>SUMIFS('Live Collections'!$L:$L,'Live Collections'!$D:$D,'Colln-Summary'!$A225,'Live Collections'!$B:$B,"&gt;="&amp;'Colln-Summary'!$G$1,'Live Collections'!$B:$B,"&lt;="&amp;'Colln-Summary'!$G$2)</f>
        <v>20000</v>
      </c>
      <c r="G225" s="353">
        <f>SUMIFS('Live Collections'!$M:$M,'Live Collections'!$D:$D,'Colln-Summary'!$A225,'Live Collections'!$B:$B,"&gt;="&amp;'Colln-Summary'!$G$1,'Live Collections'!$B:$B,"&lt;="&amp;'Colln-Summary'!$G$2)</f>
        <v>5000</v>
      </c>
      <c r="H225" s="353">
        <f>SUMIFS('Live Collections'!$N:$N,'Live Collections'!$D:$D,'Colln-Summary'!$A225,'Live Collections'!$B:$B,"&gt;="&amp;'Colln-Summary'!$G$1,'Live Collections'!$B:$B,"&lt;="&amp;'Colln-Summary'!$G$2)</f>
        <v>0</v>
      </c>
      <c r="I225" s="353">
        <f>SUMIFS('Live Collections'!$P:$P,'Live Collections'!$D:$D,'Colln-Summary'!$A225,'Live Collections'!$B:$B,"&gt;="&amp;'Colln-Summary'!$G$1,'Live Collections'!$B:$B,"&lt;="&amp;'Colln-Summary'!$G$2)</f>
        <v>0</v>
      </c>
      <c r="J225" s="353">
        <f>SUMIFS('Live Collections'!$O:$O,'Live Collections'!$D:$D,'Colln-Summary'!$A225,'Live Collections'!$B:$B,"&gt;="&amp;'Colln-Summary'!$G$1,'Live Collections'!$B:$B,"&lt;="&amp;'Colln-Summary'!$G$2)</f>
        <v>460000</v>
      </c>
      <c r="K225" s="360">
        <f>SUMIFS('Live Collections'!$S:$S,'Live Collections'!$D:$D,'Colln-Summary'!$A225,'Live Collections'!$B:$B,"&gt;="&amp;'Colln-Summary'!$G$1,'Live Collections'!$B:$B,"&lt;="&amp;'Colln-Summary'!$G$2)</f>
        <v>200000</v>
      </c>
      <c r="L225" s="360">
        <f>SUMIFS('Live Collections'!$T:$T,'Live Collections'!$D:$D,'Colln-Summary'!$A225,'Live Collections'!$B:$B,"&gt;="&amp;'Colln-Summary'!$G$1,'Live Collections'!$B:$B,"&lt;="&amp;'Colln-Summary'!$G$2)</f>
        <v>260000</v>
      </c>
      <c r="M225" s="258">
        <f t="shared" si="4"/>
        <v>1485000</v>
      </c>
    </row>
    <row r="226" spans="1:13" x14ac:dyDescent="0.2">
      <c r="A226" s="478">
        <v>222</v>
      </c>
      <c r="B226" s="352" t="str">
        <f>IFERROR(VLOOKUP($A226,'Clients-Live'!$A:$C,3,0),"")</f>
        <v>ITITU ZAIDA</v>
      </c>
      <c r="C226" s="353">
        <f>SUMIFS('Live Collections'!$J:$J,'Live Collections'!$D:$D,'Colln-Summary'!$A226,'Live Collections'!$B:$B,"&gt;="&amp;'Colln-Summary'!$G$1,'Live Collections'!$B:$B,"&lt;="&amp;'Colln-Summary'!$G$2)</f>
        <v>0</v>
      </c>
      <c r="D226" s="353">
        <f>SUMIFS('Live Collections'!$K:$K,'Live Collections'!$D:$D,'Colln-Summary'!$A226,'Live Collections'!$B:$B,"&gt;="&amp;'Colln-Summary'!$G$1,'Live Collections'!$B:$B,"&lt;="&amp;'Colln-Summary'!$G$2)</f>
        <v>0</v>
      </c>
      <c r="E226" s="353">
        <f>SUMIFS(Disbursements!$F:$F,Disbursements!$B:$B,'Colln-Summary'!$A226,Disbursements!$A:$A,"&gt;="&amp;'Colln-Summary'!$G$1,Disbursements!$A:$A,"&lt;="&amp;'Colln-Summary'!$G$2)</f>
        <v>0</v>
      </c>
      <c r="F226" s="353">
        <f>SUMIFS('Live Collections'!$L:$L,'Live Collections'!$D:$D,'Colln-Summary'!$A226,'Live Collections'!$B:$B,"&gt;="&amp;'Colln-Summary'!$G$1,'Live Collections'!$B:$B,"&lt;="&amp;'Colln-Summary'!$G$2)</f>
        <v>0</v>
      </c>
      <c r="G226" s="353">
        <f>SUMIFS('Live Collections'!$M:$M,'Live Collections'!$D:$D,'Colln-Summary'!$A226,'Live Collections'!$B:$B,"&gt;="&amp;'Colln-Summary'!$G$1,'Live Collections'!$B:$B,"&lt;="&amp;'Colln-Summary'!$G$2)</f>
        <v>0</v>
      </c>
      <c r="H226" s="353">
        <f>SUMIFS('Live Collections'!$N:$N,'Live Collections'!$D:$D,'Colln-Summary'!$A226,'Live Collections'!$B:$B,"&gt;="&amp;'Colln-Summary'!$G$1,'Live Collections'!$B:$B,"&lt;="&amp;'Colln-Summary'!$G$2)</f>
        <v>0</v>
      </c>
      <c r="I226" s="353">
        <f>SUMIFS('Live Collections'!$P:$P,'Live Collections'!$D:$D,'Colln-Summary'!$A226,'Live Collections'!$B:$B,"&gt;="&amp;'Colln-Summary'!$G$1,'Live Collections'!$B:$B,"&lt;="&amp;'Colln-Summary'!$G$2)</f>
        <v>0</v>
      </c>
      <c r="J226" s="353">
        <f>SUMIFS('Live Collections'!$O:$O,'Live Collections'!$D:$D,'Colln-Summary'!$A226,'Live Collections'!$B:$B,"&gt;="&amp;'Colln-Summary'!$G$1,'Live Collections'!$B:$B,"&lt;="&amp;'Colln-Summary'!$G$2)</f>
        <v>180000</v>
      </c>
      <c r="K226" s="360">
        <f>SUMIFS('Live Collections'!$S:$S,'Live Collections'!$D:$D,'Colln-Summary'!$A226,'Live Collections'!$B:$B,"&gt;="&amp;'Colln-Summary'!$G$1,'Live Collections'!$B:$B,"&lt;="&amp;'Colln-Summary'!$G$2)</f>
        <v>30000</v>
      </c>
      <c r="L226" s="360">
        <f>SUMIFS('Live Collections'!$T:$T,'Live Collections'!$D:$D,'Colln-Summary'!$A226,'Live Collections'!$B:$B,"&gt;="&amp;'Colln-Summary'!$G$1,'Live Collections'!$B:$B,"&lt;="&amp;'Colln-Summary'!$G$2)</f>
        <v>150000</v>
      </c>
      <c r="M226" s="258">
        <f t="shared" si="4"/>
        <v>180000</v>
      </c>
    </row>
    <row r="227" spans="1:13" x14ac:dyDescent="0.2">
      <c r="A227" s="478">
        <v>223</v>
      </c>
      <c r="B227" s="352" t="str">
        <f>IFERROR(VLOOKUP($A227,'Clients-Live'!$A:$C,3,0),"")</f>
        <v>ANYOLE JOEL</v>
      </c>
      <c r="C227" s="353">
        <f>SUMIFS('Live Collections'!$J:$J,'Live Collections'!$D:$D,'Colln-Summary'!$A227,'Live Collections'!$B:$B,"&gt;="&amp;'Colln-Summary'!$G$1,'Live Collections'!$B:$B,"&lt;="&amp;'Colln-Summary'!$G$2)</f>
        <v>0</v>
      </c>
      <c r="D227" s="353">
        <f>SUMIFS('Live Collections'!$K:$K,'Live Collections'!$D:$D,'Colln-Summary'!$A227,'Live Collections'!$B:$B,"&gt;="&amp;'Colln-Summary'!$G$1,'Live Collections'!$B:$B,"&lt;="&amp;'Colln-Summary'!$G$2)</f>
        <v>0</v>
      </c>
      <c r="E227" s="353">
        <f>SUMIFS(Disbursements!$F:$F,Disbursements!$B:$B,'Colln-Summary'!$A227,Disbursements!$A:$A,"&gt;="&amp;'Colln-Summary'!$G$1,Disbursements!$A:$A,"&lt;="&amp;'Colln-Summary'!$G$2)</f>
        <v>0</v>
      </c>
      <c r="F227" s="353">
        <f>SUMIFS('Live Collections'!$L:$L,'Live Collections'!$D:$D,'Colln-Summary'!$A227,'Live Collections'!$B:$B,"&gt;="&amp;'Colln-Summary'!$G$1,'Live Collections'!$B:$B,"&lt;="&amp;'Colln-Summary'!$G$2)</f>
        <v>0</v>
      </c>
      <c r="G227" s="353">
        <f>SUMIFS('Live Collections'!$M:$M,'Live Collections'!$D:$D,'Colln-Summary'!$A227,'Live Collections'!$B:$B,"&gt;="&amp;'Colln-Summary'!$G$1,'Live Collections'!$B:$B,"&lt;="&amp;'Colln-Summary'!$G$2)</f>
        <v>0</v>
      </c>
      <c r="H227" s="353">
        <f>SUMIFS('Live Collections'!$N:$N,'Live Collections'!$D:$D,'Colln-Summary'!$A227,'Live Collections'!$B:$B,"&gt;="&amp;'Colln-Summary'!$G$1,'Live Collections'!$B:$B,"&lt;="&amp;'Colln-Summary'!$G$2)</f>
        <v>0</v>
      </c>
      <c r="I227" s="353">
        <f>SUMIFS('Live Collections'!$P:$P,'Live Collections'!$D:$D,'Colln-Summary'!$A227,'Live Collections'!$B:$B,"&gt;="&amp;'Colln-Summary'!$G$1,'Live Collections'!$B:$B,"&lt;="&amp;'Colln-Summary'!$G$2)</f>
        <v>0</v>
      </c>
      <c r="J227" s="353">
        <f>SUMIFS('Live Collections'!$O:$O,'Live Collections'!$D:$D,'Colln-Summary'!$A227,'Live Collections'!$B:$B,"&gt;="&amp;'Colln-Summary'!$G$1,'Live Collections'!$B:$B,"&lt;="&amp;'Colln-Summary'!$G$2)</f>
        <v>0</v>
      </c>
      <c r="K227" s="360">
        <f>SUMIFS('Live Collections'!$S:$S,'Live Collections'!$D:$D,'Colln-Summary'!$A227,'Live Collections'!$B:$B,"&gt;="&amp;'Colln-Summary'!$G$1,'Live Collections'!$B:$B,"&lt;="&amp;'Colln-Summary'!$G$2)</f>
        <v>0</v>
      </c>
      <c r="L227" s="360">
        <f>SUMIFS('Live Collections'!$T:$T,'Live Collections'!$D:$D,'Colln-Summary'!$A227,'Live Collections'!$B:$B,"&gt;="&amp;'Colln-Summary'!$G$1,'Live Collections'!$B:$B,"&lt;="&amp;'Colln-Summary'!$G$2)</f>
        <v>0</v>
      </c>
      <c r="M227" s="258">
        <f t="shared" si="4"/>
        <v>0</v>
      </c>
    </row>
    <row r="228" spans="1:13" x14ac:dyDescent="0.2">
      <c r="A228" s="478">
        <v>224</v>
      </c>
      <c r="B228" s="352" t="str">
        <f>IFERROR(VLOOKUP($A228,'Clients-Live'!$A:$C,3,0),"")</f>
        <v>MALIAMUNGU ROBERT</v>
      </c>
      <c r="C228" s="353">
        <f>SUMIFS('Live Collections'!$J:$J,'Live Collections'!$D:$D,'Colln-Summary'!$A228,'Live Collections'!$B:$B,"&gt;="&amp;'Colln-Summary'!$G$1,'Live Collections'!$B:$B,"&lt;="&amp;'Colln-Summary'!$G$2)</f>
        <v>0</v>
      </c>
      <c r="D228" s="353">
        <f>SUMIFS('Live Collections'!$K:$K,'Live Collections'!$D:$D,'Colln-Summary'!$A228,'Live Collections'!$B:$B,"&gt;="&amp;'Colln-Summary'!$G$1,'Live Collections'!$B:$B,"&lt;="&amp;'Colln-Summary'!$G$2)</f>
        <v>0</v>
      </c>
      <c r="E228" s="353">
        <f>SUMIFS(Disbursements!$F:$F,Disbursements!$B:$B,'Colln-Summary'!$A228,Disbursements!$A:$A,"&gt;="&amp;'Colln-Summary'!$G$1,Disbursements!$A:$A,"&lt;="&amp;'Colln-Summary'!$G$2)</f>
        <v>0</v>
      </c>
      <c r="F228" s="353">
        <f>SUMIFS('Live Collections'!$L:$L,'Live Collections'!$D:$D,'Colln-Summary'!$A228,'Live Collections'!$B:$B,"&gt;="&amp;'Colln-Summary'!$G$1,'Live Collections'!$B:$B,"&lt;="&amp;'Colln-Summary'!$G$2)</f>
        <v>0</v>
      </c>
      <c r="G228" s="353">
        <f>SUMIFS('Live Collections'!$M:$M,'Live Collections'!$D:$D,'Colln-Summary'!$A228,'Live Collections'!$B:$B,"&gt;="&amp;'Colln-Summary'!$G$1,'Live Collections'!$B:$B,"&lt;="&amp;'Colln-Summary'!$G$2)</f>
        <v>0</v>
      </c>
      <c r="H228" s="353">
        <f>SUMIFS('Live Collections'!$N:$N,'Live Collections'!$D:$D,'Colln-Summary'!$A228,'Live Collections'!$B:$B,"&gt;="&amp;'Colln-Summary'!$G$1,'Live Collections'!$B:$B,"&lt;="&amp;'Colln-Summary'!$G$2)</f>
        <v>0</v>
      </c>
      <c r="I228" s="353">
        <f>SUMIFS('Live Collections'!$P:$P,'Live Collections'!$D:$D,'Colln-Summary'!$A228,'Live Collections'!$B:$B,"&gt;="&amp;'Colln-Summary'!$G$1,'Live Collections'!$B:$B,"&lt;="&amp;'Colln-Summary'!$G$2)</f>
        <v>0</v>
      </c>
      <c r="J228" s="353">
        <f>SUMIFS('Live Collections'!$O:$O,'Live Collections'!$D:$D,'Colln-Summary'!$A228,'Live Collections'!$B:$B,"&gt;="&amp;'Colln-Summary'!$G$1,'Live Collections'!$B:$B,"&lt;="&amp;'Colln-Summary'!$G$2)</f>
        <v>0</v>
      </c>
      <c r="K228" s="360">
        <f>SUMIFS('Live Collections'!$S:$S,'Live Collections'!$D:$D,'Colln-Summary'!$A228,'Live Collections'!$B:$B,"&gt;="&amp;'Colln-Summary'!$G$1,'Live Collections'!$B:$B,"&lt;="&amp;'Colln-Summary'!$G$2)</f>
        <v>0</v>
      </c>
      <c r="L228" s="360">
        <f>SUMIFS('Live Collections'!$T:$T,'Live Collections'!$D:$D,'Colln-Summary'!$A228,'Live Collections'!$B:$B,"&gt;="&amp;'Colln-Summary'!$G$1,'Live Collections'!$B:$B,"&lt;="&amp;'Colln-Summary'!$G$2)</f>
        <v>0</v>
      </c>
      <c r="M228" s="258">
        <f t="shared" si="4"/>
        <v>0</v>
      </c>
    </row>
    <row r="229" spans="1:13" x14ac:dyDescent="0.2">
      <c r="A229" s="478">
        <v>225</v>
      </c>
      <c r="B229" s="352" t="str">
        <f>IFERROR(VLOOKUP($A229,'Clients-Live'!$A:$C,3,0),"")</f>
        <v>ABUJERE KASIMU</v>
      </c>
      <c r="C229" s="353">
        <f>SUMIFS('Live Collections'!$J:$J,'Live Collections'!$D:$D,'Colln-Summary'!$A229,'Live Collections'!$B:$B,"&gt;="&amp;'Colln-Summary'!$G$1,'Live Collections'!$B:$B,"&lt;="&amp;'Colln-Summary'!$G$2)</f>
        <v>0</v>
      </c>
      <c r="D229" s="353">
        <f>SUMIFS('Live Collections'!$K:$K,'Live Collections'!$D:$D,'Colln-Summary'!$A229,'Live Collections'!$B:$B,"&gt;="&amp;'Colln-Summary'!$G$1,'Live Collections'!$B:$B,"&lt;="&amp;'Colln-Summary'!$G$2)</f>
        <v>0</v>
      </c>
      <c r="E229" s="353">
        <f>SUMIFS(Disbursements!$F:$F,Disbursements!$B:$B,'Colln-Summary'!$A229,Disbursements!$A:$A,"&gt;="&amp;'Colln-Summary'!$G$1,Disbursements!$A:$A,"&lt;="&amp;'Colln-Summary'!$G$2)</f>
        <v>0</v>
      </c>
      <c r="F229" s="353">
        <f>SUMIFS('Live Collections'!$L:$L,'Live Collections'!$D:$D,'Colln-Summary'!$A229,'Live Collections'!$B:$B,"&gt;="&amp;'Colln-Summary'!$G$1,'Live Collections'!$B:$B,"&lt;="&amp;'Colln-Summary'!$G$2)</f>
        <v>0</v>
      </c>
      <c r="G229" s="353">
        <f>SUMIFS('Live Collections'!$M:$M,'Live Collections'!$D:$D,'Colln-Summary'!$A229,'Live Collections'!$B:$B,"&gt;="&amp;'Colln-Summary'!$G$1,'Live Collections'!$B:$B,"&lt;="&amp;'Colln-Summary'!$G$2)</f>
        <v>0</v>
      </c>
      <c r="H229" s="353">
        <f>SUMIFS('Live Collections'!$N:$N,'Live Collections'!$D:$D,'Colln-Summary'!$A229,'Live Collections'!$B:$B,"&gt;="&amp;'Colln-Summary'!$G$1,'Live Collections'!$B:$B,"&lt;="&amp;'Colln-Summary'!$G$2)</f>
        <v>0</v>
      </c>
      <c r="I229" s="353">
        <f>SUMIFS('Live Collections'!$P:$P,'Live Collections'!$D:$D,'Colln-Summary'!$A229,'Live Collections'!$B:$B,"&gt;="&amp;'Colln-Summary'!$G$1,'Live Collections'!$B:$B,"&lt;="&amp;'Colln-Summary'!$G$2)</f>
        <v>0</v>
      </c>
      <c r="J229" s="353">
        <f>SUMIFS('Live Collections'!$O:$O,'Live Collections'!$D:$D,'Colln-Summary'!$A229,'Live Collections'!$B:$B,"&gt;="&amp;'Colln-Summary'!$G$1,'Live Collections'!$B:$B,"&lt;="&amp;'Colln-Summary'!$G$2)</f>
        <v>0</v>
      </c>
      <c r="K229" s="360">
        <f>SUMIFS('Live Collections'!$S:$S,'Live Collections'!$D:$D,'Colln-Summary'!$A229,'Live Collections'!$B:$B,"&gt;="&amp;'Colln-Summary'!$G$1,'Live Collections'!$B:$B,"&lt;="&amp;'Colln-Summary'!$G$2)</f>
        <v>0</v>
      </c>
      <c r="L229" s="360">
        <f>SUMIFS('Live Collections'!$T:$T,'Live Collections'!$D:$D,'Colln-Summary'!$A229,'Live Collections'!$B:$B,"&gt;="&amp;'Colln-Summary'!$G$1,'Live Collections'!$B:$B,"&lt;="&amp;'Colln-Summary'!$G$2)</f>
        <v>0</v>
      </c>
      <c r="M229" s="258">
        <f t="shared" si="4"/>
        <v>0</v>
      </c>
    </row>
    <row r="230" spans="1:13" x14ac:dyDescent="0.2">
      <c r="A230" s="478">
        <v>226</v>
      </c>
      <c r="B230" s="352" t="str">
        <f>IFERROR(VLOOKUP($A230,'Clients-Live'!$A:$C,3,0),"")</f>
        <v>MATURU NEEMA</v>
      </c>
      <c r="C230" s="353">
        <f>SUMIFS('Live Collections'!$J:$J,'Live Collections'!$D:$D,'Colln-Summary'!$A230,'Live Collections'!$B:$B,"&gt;="&amp;'Colln-Summary'!$G$1,'Live Collections'!$B:$B,"&lt;="&amp;'Colln-Summary'!$G$2)</f>
        <v>0</v>
      </c>
      <c r="D230" s="353">
        <f>SUMIFS('Live Collections'!$K:$K,'Live Collections'!$D:$D,'Colln-Summary'!$A230,'Live Collections'!$B:$B,"&gt;="&amp;'Colln-Summary'!$G$1,'Live Collections'!$B:$B,"&lt;="&amp;'Colln-Summary'!$G$2)</f>
        <v>0</v>
      </c>
      <c r="E230" s="353">
        <f>SUMIFS(Disbursements!$F:$F,Disbursements!$B:$B,'Colln-Summary'!$A230,Disbursements!$A:$A,"&gt;="&amp;'Colln-Summary'!$G$1,Disbursements!$A:$A,"&lt;="&amp;'Colln-Summary'!$G$2)</f>
        <v>0</v>
      </c>
      <c r="F230" s="353">
        <f>SUMIFS('Live Collections'!$L:$L,'Live Collections'!$D:$D,'Colln-Summary'!$A230,'Live Collections'!$B:$B,"&gt;="&amp;'Colln-Summary'!$G$1,'Live Collections'!$B:$B,"&lt;="&amp;'Colln-Summary'!$G$2)</f>
        <v>0</v>
      </c>
      <c r="G230" s="353">
        <f>SUMIFS('Live Collections'!$M:$M,'Live Collections'!$D:$D,'Colln-Summary'!$A230,'Live Collections'!$B:$B,"&gt;="&amp;'Colln-Summary'!$G$1,'Live Collections'!$B:$B,"&lt;="&amp;'Colln-Summary'!$G$2)</f>
        <v>0</v>
      </c>
      <c r="H230" s="353">
        <f>SUMIFS('Live Collections'!$N:$N,'Live Collections'!$D:$D,'Colln-Summary'!$A230,'Live Collections'!$B:$B,"&gt;="&amp;'Colln-Summary'!$G$1,'Live Collections'!$B:$B,"&lt;="&amp;'Colln-Summary'!$G$2)</f>
        <v>0</v>
      </c>
      <c r="I230" s="353">
        <f>SUMIFS('Live Collections'!$P:$P,'Live Collections'!$D:$D,'Colln-Summary'!$A230,'Live Collections'!$B:$B,"&gt;="&amp;'Colln-Summary'!$G$1,'Live Collections'!$B:$B,"&lt;="&amp;'Colln-Summary'!$G$2)</f>
        <v>0</v>
      </c>
      <c r="J230" s="353">
        <f>SUMIFS('Live Collections'!$O:$O,'Live Collections'!$D:$D,'Colln-Summary'!$A230,'Live Collections'!$B:$B,"&gt;="&amp;'Colln-Summary'!$G$1,'Live Collections'!$B:$B,"&lt;="&amp;'Colln-Summary'!$G$2)</f>
        <v>0</v>
      </c>
      <c r="K230" s="360">
        <f>SUMIFS('Live Collections'!$S:$S,'Live Collections'!$D:$D,'Colln-Summary'!$A230,'Live Collections'!$B:$B,"&gt;="&amp;'Colln-Summary'!$G$1,'Live Collections'!$B:$B,"&lt;="&amp;'Colln-Summary'!$G$2)</f>
        <v>0</v>
      </c>
      <c r="L230" s="360">
        <f>SUMIFS('Live Collections'!$T:$T,'Live Collections'!$D:$D,'Colln-Summary'!$A230,'Live Collections'!$B:$B,"&gt;="&amp;'Colln-Summary'!$G$1,'Live Collections'!$B:$B,"&lt;="&amp;'Colln-Summary'!$G$2)</f>
        <v>0</v>
      </c>
      <c r="M230" s="258">
        <f t="shared" si="4"/>
        <v>0</v>
      </c>
    </row>
    <row r="231" spans="1:13" x14ac:dyDescent="0.2">
      <c r="A231" s="478">
        <v>227</v>
      </c>
      <c r="B231" s="352" t="str">
        <f>IFERROR(VLOOKUP($A231,'Clients-Live'!$A:$C,3,0),"")</f>
        <v>MUZEE OBEN SAM</v>
      </c>
      <c r="C231" s="353">
        <f>SUMIFS('Live Collections'!$J:$J,'Live Collections'!$D:$D,'Colln-Summary'!$A231,'Live Collections'!$B:$B,"&gt;="&amp;'Colln-Summary'!$G$1,'Live Collections'!$B:$B,"&lt;="&amp;'Colln-Summary'!$G$2)</f>
        <v>0</v>
      </c>
      <c r="D231" s="353">
        <f>SUMIFS('Live Collections'!$K:$K,'Live Collections'!$D:$D,'Colln-Summary'!$A231,'Live Collections'!$B:$B,"&gt;="&amp;'Colln-Summary'!$G$1,'Live Collections'!$B:$B,"&lt;="&amp;'Colln-Summary'!$G$2)</f>
        <v>0</v>
      </c>
      <c r="E231" s="353">
        <f>SUMIFS(Disbursements!$F:$F,Disbursements!$B:$B,'Colln-Summary'!$A231,Disbursements!$A:$A,"&gt;="&amp;'Colln-Summary'!$G$1,Disbursements!$A:$A,"&lt;="&amp;'Colln-Summary'!$G$2)</f>
        <v>0</v>
      </c>
      <c r="F231" s="353">
        <f>SUMIFS('Live Collections'!$L:$L,'Live Collections'!$D:$D,'Colln-Summary'!$A231,'Live Collections'!$B:$B,"&gt;="&amp;'Colln-Summary'!$G$1,'Live Collections'!$B:$B,"&lt;="&amp;'Colln-Summary'!$G$2)</f>
        <v>0</v>
      </c>
      <c r="G231" s="353">
        <f>SUMIFS('Live Collections'!$M:$M,'Live Collections'!$D:$D,'Colln-Summary'!$A231,'Live Collections'!$B:$B,"&gt;="&amp;'Colln-Summary'!$G$1,'Live Collections'!$B:$B,"&lt;="&amp;'Colln-Summary'!$G$2)</f>
        <v>0</v>
      </c>
      <c r="H231" s="353">
        <f>SUMIFS('Live Collections'!$N:$N,'Live Collections'!$D:$D,'Colln-Summary'!$A231,'Live Collections'!$B:$B,"&gt;="&amp;'Colln-Summary'!$G$1,'Live Collections'!$B:$B,"&lt;="&amp;'Colln-Summary'!$G$2)</f>
        <v>0</v>
      </c>
      <c r="I231" s="353">
        <f>SUMIFS('Live Collections'!$P:$P,'Live Collections'!$D:$D,'Colln-Summary'!$A231,'Live Collections'!$B:$B,"&gt;="&amp;'Colln-Summary'!$G$1,'Live Collections'!$B:$B,"&lt;="&amp;'Colln-Summary'!$G$2)</f>
        <v>0</v>
      </c>
      <c r="J231" s="353">
        <f>SUMIFS('Live Collections'!$O:$O,'Live Collections'!$D:$D,'Colln-Summary'!$A231,'Live Collections'!$B:$B,"&gt;="&amp;'Colln-Summary'!$G$1,'Live Collections'!$B:$B,"&lt;="&amp;'Colln-Summary'!$G$2)</f>
        <v>0</v>
      </c>
      <c r="K231" s="360">
        <f>SUMIFS('Live Collections'!$S:$S,'Live Collections'!$D:$D,'Colln-Summary'!$A231,'Live Collections'!$B:$B,"&gt;="&amp;'Colln-Summary'!$G$1,'Live Collections'!$B:$B,"&lt;="&amp;'Colln-Summary'!$G$2)</f>
        <v>0</v>
      </c>
      <c r="L231" s="360">
        <f>SUMIFS('Live Collections'!$T:$T,'Live Collections'!$D:$D,'Colln-Summary'!$A231,'Live Collections'!$B:$B,"&gt;="&amp;'Colln-Summary'!$G$1,'Live Collections'!$B:$B,"&lt;="&amp;'Colln-Summary'!$G$2)</f>
        <v>0</v>
      </c>
      <c r="M231" s="258">
        <f t="shared" si="4"/>
        <v>0</v>
      </c>
    </row>
    <row r="232" spans="1:13" x14ac:dyDescent="0.2">
      <c r="A232" s="478">
        <v>228</v>
      </c>
      <c r="B232" s="352" t="str">
        <f>IFERROR(VLOOKUP($A232,'Clients-Live'!$A:$C,3,0),"")</f>
        <v>DADA ISAAC</v>
      </c>
      <c r="C232" s="353">
        <f>SUMIFS('Live Collections'!$J:$J,'Live Collections'!$D:$D,'Colln-Summary'!$A232,'Live Collections'!$B:$B,"&gt;="&amp;'Colln-Summary'!$G$1,'Live Collections'!$B:$B,"&lt;="&amp;'Colln-Summary'!$G$2)</f>
        <v>0</v>
      </c>
      <c r="D232" s="353">
        <f>SUMIFS('Live Collections'!$K:$K,'Live Collections'!$D:$D,'Colln-Summary'!$A232,'Live Collections'!$B:$B,"&gt;="&amp;'Colln-Summary'!$G$1,'Live Collections'!$B:$B,"&lt;="&amp;'Colln-Summary'!$G$2)</f>
        <v>5000</v>
      </c>
      <c r="E232" s="353">
        <f>SUMIFS(Disbursements!$F:$F,Disbursements!$B:$B,'Colln-Summary'!$A232,Disbursements!$A:$A,"&gt;="&amp;'Colln-Summary'!$G$1,Disbursements!$A:$A,"&lt;="&amp;'Colln-Summary'!$G$2)</f>
        <v>3000000</v>
      </c>
      <c r="F232" s="353">
        <f>SUMIFS('Live Collections'!$L:$L,'Live Collections'!$D:$D,'Colln-Summary'!$A232,'Live Collections'!$B:$B,"&gt;="&amp;'Colln-Summary'!$G$1,'Live Collections'!$B:$B,"&lt;="&amp;'Colln-Summary'!$G$2)</f>
        <v>45000</v>
      </c>
      <c r="G232" s="353">
        <f>SUMIFS('Live Collections'!$M:$M,'Live Collections'!$D:$D,'Colln-Summary'!$A232,'Live Collections'!$B:$B,"&gt;="&amp;'Colln-Summary'!$G$1,'Live Collections'!$B:$B,"&lt;="&amp;'Colln-Summary'!$G$2)</f>
        <v>10000</v>
      </c>
      <c r="H232" s="353">
        <f>SUMIFS('Live Collections'!$N:$N,'Live Collections'!$D:$D,'Colln-Summary'!$A232,'Live Collections'!$B:$B,"&gt;="&amp;'Colln-Summary'!$G$1,'Live Collections'!$B:$B,"&lt;="&amp;'Colln-Summary'!$G$2)</f>
        <v>0</v>
      </c>
      <c r="I232" s="353">
        <f>SUMIFS('Live Collections'!$P:$P,'Live Collections'!$D:$D,'Colln-Summary'!$A232,'Live Collections'!$B:$B,"&gt;="&amp;'Colln-Summary'!$G$1,'Live Collections'!$B:$B,"&lt;="&amp;'Colln-Summary'!$G$2)</f>
        <v>-150000</v>
      </c>
      <c r="J232" s="353">
        <f>SUMIFS('Live Collections'!$O:$O,'Live Collections'!$D:$D,'Colln-Summary'!$A232,'Live Collections'!$B:$B,"&gt;="&amp;'Colln-Summary'!$G$1,'Live Collections'!$B:$B,"&lt;="&amp;'Colln-Summary'!$G$2)</f>
        <v>4762500</v>
      </c>
      <c r="K232" s="360">
        <f>SUMIFS('Live Collections'!$S:$S,'Live Collections'!$D:$D,'Colln-Summary'!$A232,'Live Collections'!$B:$B,"&gt;="&amp;'Colln-Summary'!$G$1,'Live Collections'!$B:$B,"&lt;="&amp;'Colln-Summary'!$G$2)</f>
        <v>264000</v>
      </c>
      <c r="L232" s="360">
        <f>SUMIFS('Live Collections'!$T:$T,'Live Collections'!$D:$D,'Colln-Summary'!$A232,'Live Collections'!$B:$B,"&gt;="&amp;'Colln-Summary'!$G$1,'Live Collections'!$B:$B,"&lt;="&amp;'Colln-Summary'!$G$2)</f>
        <v>4498500</v>
      </c>
      <c r="M232" s="258">
        <f t="shared" si="4"/>
        <v>7672500</v>
      </c>
    </row>
    <row r="233" spans="1:13" x14ac:dyDescent="0.2">
      <c r="A233" s="478">
        <v>229</v>
      </c>
      <c r="B233" s="352" t="str">
        <f>IFERROR(VLOOKUP($A233,'Clients-Live'!$A:$C,3,0),"")</f>
        <v>DAWA ANNET</v>
      </c>
      <c r="C233" s="353">
        <f>SUMIFS('Live Collections'!$J:$J,'Live Collections'!$D:$D,'Colln-Summary'!$A233,'Live Collections'!$B:$B,"&gt;="&amp;'Colln-Summary'!$G$1,'Live Collections'!$B:$B,"&lt;="&amp;'Colln-Summary'!$G$2)</f>
        <v>0</v>
      </c>
      <c r="D233" s="353">
        <f>SUMIFS('Live Collections'!$K:$K,'Live Collections'!$D:$D,'Colln-Summary'!$A233,'Live Collections'!$B:$B,"&gt;="&amp;'Colln-Summary'!$G$1,'Live Collections'!$B:$B,"&lt;="&amp;'Colln-Summary'!$G$2)</f>
        <v>0</v>
      </c>
      <c r="E233" s="353">
        <f>SUMIFS(Disbursements!$F:$F,Disbursements!$B:$B,'Colln-Summary'!$A233,Disbursements!$A:$A,"&gt;="&amp;'Colln-Summary'!$G$1,Disbursements!$A:$A,"&lt;="&amp;'Colln-Summary'!$G$2)</f>
        <v>0</v>
      </c>
      <c r="F233" s="353">
        <f>SUMIFS('Live Collections'!$L:$L,'Live Collections'!$D:$D,'Colln-Summary'!$A233,'Live Collections'!$B:$B,"&gt;="&amp;'Colln-Summary'!$G$1,'Live Collections'!$B:$B,"&lt;="&amp;'Colln-Summary'!$G$2)</f>
        <v>0</v>
      </c>
      <c r="G233" s="353">
        <f>SUMIFS('Live Collections'!$M:$M,'Live Collections'!$D:$D,'Colln-Summary'!$A233,'Live Collections'!$B:$B,"&gt;="&amp;'Colln-Summary'!$G$1,'Live Collections'!$B:$B,"&lt;="&amp;'Colln-Summary'!$G$2)</f>
        <v>0</v>
      </c>
      <c r="H233" s="353">
        <f>SUMIFS('Live Collections'!$N:$N,'Live Collections'!$D:$D,'Colln-Summary'!$A233,'Live Collections'!$B:$B,"&gt;="&amp;'Colln-Summary'!$G$1,'Live Collections'!$B:$B,"&lt;="&amp;'Colln-Summary'!$G$2)</f>
        <v>0</v>
      </c>
      <c r="I233" s="353">
        <f>SUMIFS('Live Collections'!$P:$P,'Live Collections'!$D:$D,'Colln-Summary'!$A233,'Live Collections'!$B:$B,"&gt;="&amp;'Colln-Summary'!$G$1,'Live Collections'!$B:$B,"&lt;="&amp;'Colln-Summary'!$G$2)</f>
        <v>0</v>
      </c>
      <c r="J233" s="353">
        <f>SUMIFS('Live Collections'!$O:$O,'Live Collections'!$D:$D,'Colln-Summary'!$A233,'Live Collections'!$B:$B,"&gt;="&amp;'Colln-Summary'!$G$1,'Live Collections'!$B:$B,"&lt;="&amp;'Colln-Summary'!$G$2)</f>
        <v>300000</v>
      </c>
      <c r="K233" s="360">
        <f>SUMIFS('Live Collections'!$S:$S,'Live Collections'!$D:$D,'Colln-Summary'!$A233,'Live Collections'!$B:$B,"&gt;="&amp;'Colln-Summary'!$G$1,'Live Collections'!$B:$B,"&lt;="&amp;'Colln-Summary'!$G$2)</f>
        <v>155000</v>
      </c>
      <c r="L233" s="360">
        <f>SUMIFS('Live Collections'!$T:$T,'Live Collections'!$D:$D,'Colln-Summary'!$A233,'Live Collections'!$B:$B,"&gt;="&amp;'Colln-Summary'!$G$1,'Live Collections'!$B:$B,"&lt;="&amp;'Colln-Summary'!$G$2)</f>
        <v>145000</v>
      </c>
      <c r="M233" s="258">
        <f t="shared" ref="M233:M296" si="5">SUM(C233:J233)</f>
        <v>300000</v>
      </c>
    </row>
    <row r="234" spans="1:13" x14ac:dyDescent="0.2">
      <c r="A234" s="478">
        <v>230</v>
      </c>
      <c r="B234" s="352" t="str">
        <f>IFERROR(VLOOKUP($A234,'Clients-Live'!$A:$C,3,0),"")</f>
        <v>ANGAIKA SALFA</v>
      </c>
      <c r="C234" s="353">
        <f>SUMIFS('Live Collections'!$J:$J,'Live Collections'!$D:$D,'Colln-Summary'!$A234,'Live Collections'!$B:$B,"&gt;="&amp;'Colln-Summary'!$G$1,'Live Collections'!$B:$B,"&lt;="&amp;'Colln-Summary'!$G$2)</f>
        <v>0</v>
      </c>
      <c r="D234" s="353">
        <f>SUMIFS('Live Collections'!$K:$K,'Live Collections'!$D:$D,'Colln-Summary'!$A234,'Live Collections'!$B:$B,"&gt;="&amp;'Colln-Summary'!$G$1,'Live Collections'!$B:$B,"&lt;="&amp;'Colln-Summary'!$G$2)</f>
        <v>0</v>
      </c>
      <c r="E234" s="353">
        <f>SUMIFS(Disbursements!$F:$F,Disbursements!$B:$B,'Colln-Summary'!$A234,Disbursements!$A:$A,"&gt;="&amp;'Colln-Summary'!$G$1,Disbursements!$A:$A,"&lt;="&amp;'Colln-Summary'!$G$2)</f>
        <v>0</v>
      </c>
      <c r="F234" s="353">
        <f>SUMIFS('Live Collections'!$L:$L,'Live Collections'!$D:$D,'Colln-Summary'!$A234,'Live Collections'!$B:$B,"&gt;="&amp;'Colln-Summary'!$G$1,'Live Collections'!$B:$B,"&lt;="&amp;'Colln-Summary'!$G$2)</f>
        <v>0</v>
      </c>
      <c r="G234" s="353">
        <f>SUMIFS('Live Collections'!$M:$M,'Live Collections'!$D:$D,'Colln-Summary'!$A234,'Live Collections'!$B:$B,"&gt;="&amp;'Colln-Summary'!$G$1,'Live Collections'!$B:$B,"&lt;="&amp;'Colln-Summary'!$G$2)</f>
        <v>0</v>
      </c>
      <c r="H234" s="353">
        <f>SUMIFS('Live Collections'!$N:$N,'Live Collections'!$D:$D,'Colln-Summary'!$A234,'Live Collections'!$B:$B,"&gt;="&amp;'Colln-Summary'!$G$1,'Live Collections'!$B:$B,"&lt;="&amp;'Colln-Summary'!$G$2)</f>
        <v>0</v>
      </c>
      <c r="I234" s="353">
        <f>SUMIFS('Live Collections'!$P:$P,'Live Collections'!$D:$D,'Colln-Summary'!$A234,'Live Collections'!$B:$B,"&gt;="&amp;'Colln-Summary'!$G$1,'Live Collections'!$B:$B,"&lt;="&amp;'Colln-Summary'!$G$2)</f>
        <v>0</v>
      </c>
      <c r="J234" s="353">
        <f>SUMIFS('Live Collections'!$O:$O,'Live Collections'!$D:$D,'Colln-Summary'!$A234,'Live Collections'!$B:$B,"&gt;="&amp;'Colln-Summary'!$G$1,'Live Collections'!$B:$B,"&lt;="&amp;'Colln-Summary'!$G$2)</f>
        <v>0</v>
      </c>
      <c r="K234" s="360">
        <f>SUMIFS('Live Collections'!$S:$S,'Live Collections'!$D:$D,'Colln-Summary'!$A234,'Live Collections'!$B:$B,"&gt;="&amp;'Colln-Summary'!$G$1,'Live Collections'!$B:$B,"&lt;="&amp;'Colln-Summary'!$G$2)</f>
        <v>0</v>
      </c>
      <c r="L234" s="360">
        <f>SUMIFS('Live Collections'!$T:$T,'Live Collections'!$D:$D,'Colln-Summary'!$A234,'Live Collections'!$B:$B,"&gt;="&amp;'Colln-Summary'!$G$1,'Live Collections'!$B:$B,"&lt;="&amp;'Colln-Summary'!$G$2)</f>
        <v>0</v>
      </c>
      <c r="M234" s="258">
        <f t="shared" si="5"/>
        <v>0</v>
      </c>
    </row>
    <row r="235" spans="1:13" x14ac:dyDescent="0.2">
      <c r="A235" s="478">
        <v>231</v>
      </c>
      <c r="B235" s="352" t="str">
        <f>IFERROR(VLOOKUP($A235,'Clients-Live'!$A:$C,3,0),"")</f>
        <v>AWILO JONATHAN</v>
      </c>
      <c r="C235" s="353">
        <f>SUMIFS('Live Collections'!$J:$J,'Live Collections'!$D:$D,'Colln-Summary'!$A235,'Live Collections'!$B:$B,"&gt;="&amp;'Colln-Summary'!$G$1,'Live Collections'!$B:$B,"&lt;="&amp;'Colln-Summary'!$G$2)</f>
        <v>0</v>
      </c>
      <c r="D235" s="353">
        <f>SUMIFS('Live Collections'!$K:$K,'Live Collections'!$D:$D,'Colln-Summary'!$A235,'Live Collections'!$B:$B,"&gt;="&amp;'Colln-Summary'!$G$1,'Live Collections'!$B:$B,"&lt;="&amp;'Colln-Summary'!$G$2)</f>
        <v>0</v>
      </c>
      <c r="E235" s="353">
        <f>SUMIFS(Disbursements!$F:$F,Disbursements!$B:$B,'Colln-Summary'!$A235,Disbursements!$A:$A,"&gt;="&amp;'Colln-Summary'!$G$1,Disbursements!$A:$A,"&lt;="&amp;'Colln-Summary'!$G$2)</f>
        <v>0</v>
      </c>
      <c r="F235" s="353">
        <f>SUMIFS('Live Collections'!$L:$L,'Live Collections'!$D:$D,'Colln-Summary'!$A235,'Live Collections'!$B:$B,"&gt;="&amp;'Colln-Summary'!$G$1,'Live Collections'!$B:$B,"&lt;="&amp;'Colln-Summary'!$G$2)</f>
        <v>0</v>
      </c>
      <c r="G235" s="353">
        <f>SUMIFS('Live Collections'!$M:$M,'Live Collections'!$D:$D,'Colln-Summary'!$A235,'Live Collections'!$B:$B,"&gt;="&amp;'Colln-Summary'!$G$1,'Live Collections'!$B:$B,"&lt;="&amp;'Colln-Summary'!$G$2)</f>
        <v>0</v>
      </c>
      <c r="H235" s="353">
        <f>SUMIFS('Live Collections'!$N:$N,'Live Collections'!$D:$D,'Colln-Summary'!$A235,'Live Collections'!$B:$B,"&gt;="&amp;'Colln-Summary'!$G$1,'Live Collections'!$B:$B,"&lt;="&amp;'Colln-Summary'!$G$2)</f>
        <v>0</v>
      </c>
      <c r="I235" s="353">
        <f>SUMIFS('Live Collections'!$P:$P,'Live Collections'!$D:$D,'Colln-Summary'!$A235,'Live Collections'!$B:$B,"&gt;="&amp;'Colln-Summary'!$G$1,'Live Collections'!$B:$B,"&lt;="&amp;'Colln-Summary'!$G$2)</f>
        <v>0</v>
      </c>
      <c r="J235" s="353">
        <f>SUMIFS('Live Collections'!$O:$O,'Live Collections'!$D:$D,'Colln-Summary'!$A235,'Live Collections'!$B:$B,"&gt;="&amp;'Colln-Summary'!$G$1,'Live Collections'!$B:$B,"&lt;="&amp;'Colln-Summary'!$G$2)</f>
        <v>0</v>
      </c>
      <c r="K235" s="360">
        <f>SUMIFS('Live Collections'!$S:$S,'Live Collections'!$D:$D,'Colln-Summary'!$A235,'Live Collections'!$B:$B,"&gt;="&amp;'Colln-Summary'!$G$1,'Live Collections'!$B:$B,"&lt;="&amp;'Colln-Summary'!$G$2)</f>
        <v>0</v>
      </c>
      <c r="L235" s="360">
        <f>SUMIFS('Live Collections'!$T:$T,'Live Collections'!$D:$D,'Colln-Summary'!$A235,'Live Collections'!$B:$B,"&gt;="&amp;'Colln-Summary'!$G$1,'Live Collections'!$B:$B,"&lt;="&amp;'Colln-Summary'!$G$2)</f>
        <v>0</v>
      </c>
      <c r="M235" s="258">
        <f t="shared" si="5"/>
        <v>0</v>
      </c>
    </row>
    <row r="236" spans="1:13" x14ac:dyDescent="0.2">
      <c r="A236" s="478">
        <v>232</v>
      </c>
      <c r="B236" s="352" t="str">
        <f>IFERROR(VLOOKUP($A236,'Clients-Live'!$A:$C,3,0),"")</f>
        <v>LEMERIGA GEOFFREY</v>
      </c>
      <c r="C236" s="353">
        <f>SUMIFS('Live Collections'!$J:$J,'Live Collections'!$D:$D,'Colln-Summary'!$A236,'Live Collections'!$B:$B,"&gt;="&amp;'Colln-Summary'!$G$1,'Live Collections'!$B:$B,"&lt;="&amp;'Colln-Summary'!$G$2)</f>
        <v>0</v>
      </c>
      <c r="D236" s="353">
        <f>SUMIFS('Live Collections'!$K:$K,'Live Collections'!$D:$D,'Colln-Summary'!$A236,'Live Collections'!$B:$B,"&gt;="&amp;'Colln-Summary'!$G$1,'Live Collections'!$B:$B,"&lt;="&amp;'Colln-Summary'!$G$2)</f>
        <v>0</v>
      </c>
      <c r="E236" s="353">
        <f>SUMIFS(Disbursements!$F:$F,Disbursements!$B:$B,'Colln-Summary'!$A236,Disbursements!$A:$A,"&gt;="&amp;'Colln-Summary'!$G$1,Disbursements!$A:$A,"&lt;="&amp;'Colln-Summary'!$G$2)</f>
        <v>0</v>
      </c>
      <c r="F236" s="353">
        <f>SUMIFS('Live Collections'!$L:$L,'Live Collections'!$D:$D,'Colln-Summary'!$A236,'Live Collections'!$B:$B,"&gt;="&amp;'Colln-Summary'!$G$1,'Live Collections'!$B:$B,"&lt;="&amp;'Colln-Summary'!$G$2)</f>
        <v>0</v>
      </c>
      <c r="G236" s="353">
        <f>SUMIFS('Live Collections'!$M:$M,'Live Collections'!$D:$D,'Colln-Summary'!$A236,'Live Collections'!$B:$B,"&gt;="&amp;'Colln-Summary'!$G$1,'Live Collections'!$B:$B,"&lt;="&amp;'Colln-Summary'!$G$2)</f>
        <v>0</v>
      </c>
      <c r="H236" s="353">
        <f>SUMIFS('Live Collections'!$N:$N,'Live Collections'!$D:$D,'Colln-Summary'!$A236,'Live Collections'!$B:$B,"&gt;="&amp;'Colln-Summary'!$G$1,'Live Collections'!$B:$B,"&lt;="&amp;'Colln-Summary'!$G$2)</f>
        <v>0</v>
      </c>
      <c r="I236" s="353">
        <f>SUMIFS('Live Collections'!$P:$P,'Live Collections'!$D:$D,'Colln-Summary'!$A236,'Live Collections'!$B:$B,"&gt;="&amp;'Colln-Summary'!$G$1,'Live Collections'!$B:$B,"&lt;="&amp;'Colln-Summary'!$G$2)</f>
        <v>0</v>
      </c>
      <c r="J236" s="353">
        <f>SUMIFS('Live Collections'!$O:$O,'Live Collections'!$D:$D,'Colln-Summary'!$A236,'Live Collections'!$B:$B,"&gt;="&amp;'Colln-Summary'!$G$1,'Live Collections'!$B:$B,"&lt;="&amp;'Colln-Summary'!$G$2)</f>
        <v>0</v>
      </c>
      <c r="K236" s="360">
        <f>SUMIFS('Live Collections'!$S:$S,'Live Collections'!$D:$D,'Colln-Summary'!$A236,'Live Collections'!$B:$B,"&gt;="&amp;'Colln-Summary'!$G$1,'Live Collections'!$B:$B,"&lt;="&amp;'Colln-Summary'!$G$2)</f>
        <v>0</v>
      </c>
      <c r="L236" s="360">
        <f>SUMIFS('Live Collections'!$T:$T,'Live Collections'!$D:$D,'Colln-Summary'!$A236,'Live Collections'!$B:$B,"&gt;="&amp;'Colln-Summary'!$G$1,'Live Collections'!$B:$B,"&lt;="&amp;'Colln-Summary'!$G$2)</f>
        <v>0</v>
      </c>
      <c r="M236" s="258">
        <f t="shared" si="5"/>
        <v>0</v>
      </c>
    </row>
    <row r="237" spans="1:13" x14ac:dyDescent="0.2">
      <c r="A237" s="478">
        <v>233</v>
      </c>
      <c r="B237" s="352" t="str">
        <f>IFERROR(VLOOKUP($A237,'Clients-Live'!$A:$C,3,0),"")</f>
        <v>KAMOYO HARRIET</v>
      </c>
      <c r="C237" s="353">
        <f>SUMIFS('Live Collections'!$J:$J,'Live Collections'!$D:$D,'Colln-Summary'!$A237,'Live Collections'!$B:$B,"&gt;="&amp;'Colln-Summary'!$G$1,'Live Collections'!$B:$B,"&lt;="&amp;'Colln-Summary'!$G$2)</f>
        <v>0</v>
      </c>
      <c r="D237" s="353">
        <f>SUMIFS('Live Collections'!$K:$K,'Live Collections'!$D:$D,'Colln-Summary'!$A237,'Live Collections'!$B:$B,"&gt;="&amp;'Colln-Summary'!$G$1,'Live Collections'!$B:$B,"&lt;="&amp;'Colln-Summary'!$G$2)</f>
        <v>0</v>
      </c>
      <c r="E237" s="353">
        <f>SUMIFS(Disbursements!$F:$F,Disbursements!$B:$B,'Colln-Summary'!$A237,Disbursements!$A:$A,"&gt;="&amp;'Colln-Summary'!$G$1,Disbursements!$A:$A,"&lt;="&amp;'Colln-Summary'!$G$2)</f>
        <v>0</v>
      </c>
      <c r="F237" s="353">
        <f>SUMIFS('Live Collections'!$L:$L,'Live Collections'!$D:$D,'Colln-Summary'!$A237,'Live Collections'!$B:$B,"&gt;="&amp;'Colln-Summary'!$G$1,'Live Collections'!$B:$B,"&lt;="&amp;'Colln-Summary'!$G$2)</f>
        <v>0</v>
      </c>
      <c r="G237" s="353">
        <f>SUMIFS('Live Collections'!$M:$M,'Live Collections'!$D:$D,'Colln-Summary'!$A237,'Live Collections'!$B:$B,"&gt;="&amp;'Colln-Summary'!$G$1,'Live Collections'!$B:$B,"&lt;="&amp;'Colln-Summary'!$G$2)</f>
        <v>0</v>
      </c>
      <c r="H237" s="353">
        <f>SUMIFS('Live Collections'!$N:$N,'Live Collections'!$D:$D,'Colln-Summary'!$A237,'Live Collections'!$B:$B,"&gt;="&amp;'Colln-Summary'!$G$1,'Live Collections'!$B:$B,"&lt;="&amp;'Colln-Summary'!$G$2)</f>
        <v>0</v>
      </c>
      <c r="I237" s="353">
        <f>SUMIFS('Live Collections'!$P:$P,'Live Collections'!$D:$D,'Colln-Summary'!$A237,'Live Collections'!$B:$B,"&gt;="&amp;'Colln-Summary'!$G$1,'Live Collections'!$B:$B,"&lt;="&amp;'Colln-Summary'!$G$2)</f>
        <v>-50000</v>
      </c>
      <c r="J237" s="353">
        <f>SUMIFS('Live Collections'!$O:$O,'Live Collections'!$D:$D,'Colln-Summary'!$A237,'Live Collections'!$B:$B,"&gt;="&amp;'Colln-Summary'!$G$1,'Live Collections'!$B:$B,"&lt;="&amp;'Colln-Summary'!$G$2)</f>
        <v>300000</v>
      </c>
      <c r="K237" s="360">
        <f>SUMIFS('Live Collections'!$S:$S,'Live Collections'!$D:$D,'Colln-Summary'!$A237,'Live Collections'!$B:$B,"&gt;="&amp;'Colln-Summary'!$G$1,'Live Collections'!$B:$B,"&lt;="&amp;'Colln-Summary'!$G$2)</f>
        <v>80000</v>
      </c>
      <c r="L237" s="360">
        <f>SUMIFS('Live Collections'!$T:$T,'Live Collections'!$D:$D,'Colln-Summary'!$A237,'Live Collections'!$B:$B,"&gt;="&amp;'Colln-Summary'!$G$1,'Live Collections'!$B:$B,"&lt;="&amp;'Colln-Summary'!$G$2)</f>
        <v>220000</v>
      </c>
      <c r="M237" s="258">
        <f t="shared" si="5"/>
        <v>250000</v>
      </c>
    </row>
    <row r="238" spans="1:13" x14ac:dyDescent="0.2">
      <c r="A238" s="478">
        <v>234</v>
      </c>
      <c r="B238" s="352" t="str">
        <f>IFERROR(VLOOKUP($A238,'Clients-Live'!$A:$C,3,0),"")</f>
        <v>SUDI YASIR</v>
      </c>
      <c r="C238" s="353">
        <f>SUMIFS('Live Collections'!$J:$J,'Live Collections'!$D:$D,'Colln-Summary'!$A238,'Live Collections'!$B:$B,"&gt;="&amp;'Colln-Summary'!$G$1,'Live Collections'!$B:$B,"&lt;="&amp;'Colln-Summary'!$G$2)</f>
        <v>0</v>
      </c>
      <c r="D238" s="353">
        <f>SUMIFS('Live Collections'!$K:$K,'Live Collections'!$D:$D,'Colln-Summary'!$A238,'Live Collections'!$B:$B,"&gt;="&amp;'Colln-Summary'!$G$1,'Live Collections'!$B:$B,"&lt;="&amp;'Colln-Summary'!$G$2)</f>
        <v>0</v>
      </c>
      <c r="E238" s="353">
        <f>SUMIFS(Disbursements!$F:$F,Disbursements!$B:$B,'Colln-Summary'!$A238,Disbursements!$A:$A,"&gt;="&amp;'Colln-Summary'!$G$1,Disbursements!$A:$A,"&lt;="&amp;'Colln-Summary'!$G$2)</f>
        <v>0</v>
      </c>
      <c r="F238" s="353">
        <f>SUMIFS('Live Collections'!$L:$L,'Live Collections'!$D:$D,'Colln-Summary'!$A238,'Live Collections'!$B:$B,"&gt;="&amp;'Colln-Summary'!$G$1,'Live Collections'!$B:$B,"&lt;="&amp;'Colln-Summary'!$G$2)</f>
        <v>0</v>
      </c>
      <c r="G238" s="353">
        <f>SUMIFS('Live Collections'!$M:$M,'Live Collections'!$D:$D,'Colln-Summary'!$A238,'Live Collections'!$B:$B,"&gt;="&amp;'Colln-Summary'!$G$1,'Live Collections'!$B:$B,"&lt;="&amp;'Colln-Summary'!$G$2)</f>
        <v>0</v>
      </c>
      <c r="H238" s="353">
        <f>SUMIFS('Live Collections'!$N:$N,'Live Collections'!$D:$D,'Colln-Summary'!$A238,'Live Collections'!$B:$B,"&gt;="&amp;'Colln-Summary'!$G$1,'Live Collections'!$B:$B,"&lt;="&amp;'Colln-Summary'!$G$2)</f>
        <v>0</v>
      </c>
      <c r="I238" s="353">
        <f>SUMIFS('Live Collections'!$P:$P,'Live Collections'!$D:$D,'Colln-Summary'!$A238,'Live Collections'!$B:$B,"&gt;="&amp;'Colln-Summary'!$G$1,'Live Collections'!$B:$B,"&lt;="&amp;'Colln-Summary'!$G$2)</f>
        <v>-100000</v>
      </c>
      <c r="J238" s="353">
        <f>SUMIFS('Live Collections'!$O:$O,'Live Collections'!$D:$D,'Colln-Summary'!$A238,'Live Collections'!$B:$B,"&gt;="&amp;'Colln-Summary'!$G$1,'Live Collections'!$B:$B,"&lt;="&amp;'Colln-Summary'!$G$2)</f>
        <v>560000</v>
      </c>
      <c r="K238" s="360">
        <f>SUMIFS('Live Collections'!$S:$S,'Live Collections'!$D:$D,'Colln-Summary'!$A238,'Live Collections'!$B:$B,"&gt;="&amp;'Colln-Summary'!$G$1,'Live Collections'!$B:$B,"&lt;="&amp;'Colln-Summary'!$G$2)</f>
        <v>42000.000000000058</v>
      </c>
      <c r="L238" s="360">
        <f>SUMIFS('Live Collections'!$T:$T,'Live Collections'!$D:$D,'Colln-Summary'!$A238,'Live Collections'!$B:$B,"&gt;="&amp;'Colln-Summary'!$G$1,'Live Collections'!$B:$B,"&lt;="&amp;'Colln-Summary'!$G$2)</f>
        <v>517999.99999999994</v>
      </c>
      <c r="M238" s="258">
        <f t="shared" si="5"/>
        <v>460000</v>
      </c>
    </row>
    <row r="239" spans="1:13" x14ac:dyDescent="0.2">
      <c r="A239" s="478">
        <v>235</v>
      </c>
      <c r="B239" s="352" t="str">
        <f>IFERROR(VLOOKUP($A239,'Clients-Live'!$A:$C,3,0),"")</f>
        <v>AMULE ISAAC</v>
      </c>
      <c r="C239" s="353">
        <f>SUMIFS('Live Collections'!$J:$J,'Live Collections'!$D:$D,'Colln-Summary'!$A239,'Live Collections'!$B:$B,"&gt;="&amp;'Colln-Summary'!$G$1,'Live Collections'!$B:$B,"&lt;="&amp;'Colln-Summary'!$G$2)</f>
        <v>0</v>
      </c>
      <c r="D239" s="353">
        <f>SUMIFS('Live Collections'!$K:$K,'Live Collections'!$D:$D,'Colln-Summary'!$A239,'Live Collections'!$B:$B,"&gt;="&amp;'Colln-Summary'!$G$1,'Live Collections'!$B:$B,"&lt;="&amp;'Colln-Summary'!$G$2)</f>
        <v>0</v>
      </c>
      <c r="E239" s="353">
        <f>SUMIFS(Disbursements!$F:$F,Disbursements!$B:$B,'Colln-Summary'!$A239,Disbursements!$A:$A,"&gt;="&amp;'Colln-Summary'!$G$1,Disbursements!$A:$A,"&lt;="&amp;'Colln-Summary'!$G$2)</f>
        <v>1500000</v>
      </c>
      <c r="F239" s="353">
        <f>SUMIFS('Live Collections'!$L:$L,'Live Collections'!$D:$D,'Colln-Summary'!$A239,'Live Collections'!$B:$B,"&gt;="&amp;'Colln-Summary'!$G$1,'Live Collections'!$B:$B,"&lt;="&amp;'Colln-Summary'!$G$2)</f>
        <v>25000</v>
      </c>
      <c r="G239" s="353">
        <f>SUMIFS('Live Collections'!$M:$M,'Live Collections'!$D:$D,'Colln-Summary'!$A239,'Live Collections'!$B:$B,"&gt;="&amp;'Colln-Summary'!$G$1,'Live Collections'!$B:$B,"&lt;="&amp;'Colln-Summary'!$G$2)</f>
        <v>5000</v>
      </c>
      <c r="H239" s="353">
        <f>SUMIFS('Live Collections'!$N:$N,'Live Collections'!$D:$D,'Colln-Summary'!$A239,'Live Collections'!$B:$B,"&gt;="&amp;'Colln-Summary'!$G$1,'Live Collections'!$B:$B,"&lt;="&amp;'Colln-Summary'!$G$2)</f>
        <v>0</v>
      </c>
      <c r="I239" s="353">
        <f>SUMIFS('Live Collections'!$P:$P,'Live Collections'!$D:$D,'Colln-Summary'!$A239,'Live Collections'!$B:$B,"&gt;="&amp;'Colln-Summary'!$G$1,'Live Collections'!$B:$B,"&lt;="&amp;'Colln-Summary'!$G$2)</f>
        <v>50000</v>
      </c>
      <c r="J239" s="353">
        <f>SUMIFS('Live Collections'!$O:$O,'Live Collections'!$D:$D,'Colln-Summary'!$A239,'Live Collections'!$B:$B,"&gt;="&amp;'Colln-Summary'!$G$1,'Live Collections'!$B:$B,"&lt;="&amp;'Colln-Summary'!$G$2)</f>
        <v>0</v>
      </c>
      <c r="K239" s="360">
        <f>SUMIFS('Live Collections'!$S:$S,'Live Collections'!$D:$D,'Colln-Summary'!$A239,'Live Collections'!$B:$B,"&gt;="&amp;'Colln-Summary'!$G$1,'Live Collections'!$B:$B,"&lt;="&amp;'Colln-Summary'!$G$2)</f>
        <v>0</v>
      </c>
      <c r="L239" s="360">
        <f>SUMIFS('Live Collections'!$T:$T,'Live Collections'!$D:$D,'Colln-Summary'!$A239,'Live Collections'!$B:$B,"&gt;="&amp;'Colln-Summary'!$G$1,'Live Collections'!$B:$B,"&lt;="&amp;'Colln-Summary'!$G$2)</f>
        <v>0</v>
      </c>
      <c r="M239" s="258">
        <f t="shared" si="5"/>
        <v>1580000</v>
      </c>
    </row>
    <row r="240" spans="1:13" x14ac:dyDescent="0.2">
      <c r="A240" s="478">
        <v>236</v>
      </c>
      <c r="B240" s="352" t="str">
        <f>IFERROR(VLOOKUP($A240,'Clients-Live'!$A:$C,3,0),"")</f>
        <v>AMIJI LUCY</v>
      </c>
      <c r="C240" s="353">
        <f>SUMIFS('Live Collections'!$J:$J,'Live Collections'!$D:$D,'Colln-Summary'!$A240,'Live Collections'!$B:$B,"&gt;="&amp;'Colln-Summary'!$G$1,'Live Collections'!$B:$B,"&lt;="&amp;'Colln-Summary'!$G$2)</f>
        <v>0</v>
      </c>
      <c r="D240" s="353">
        <f>SUMIFS('Live Collections'!$K:$K,'Live Collections'!$D:$D,'Colln-Summary'!$A240,'Live Collections'!$B:$B,"&gt;="&amp;'Colln-Summary'!$G$1,'Live Collections'!$B:$B,"&lt;="&amp;'Colln-Summary'!$G$2)</f>
        <v>0</v>
      </c>
      <c r="E240" s="353">
        <f>SUMIFS(Disbursements!$F:$F,Disbursements!$B:$B,'Colln-Summary'!$A240,Disbursements!$A:$A,"&gt;="&amp;'Colln-Summary'!$G$1,Disbursements!$A:$A,"&lt;="&amp;'Colln-Summary'!$G$2)</f>
        <v>0</v>
      </c>
      <c r="F240" s="353">
        <f>SUMIFS('Live Collections'!$L:$L,'Live Collections'!$D:$D,'Colln-Summary'!$A240,'Live Collections'!$B:$B,"&gt;="&amp;'Colln-Summary'!$G$1,'Live Collections'!$B:$B,"&lt;="&amp;'Colln-Summary'!$G$2)</f>
        <v>0</v>
      </c>
      <c r="G240" s="353">
        <f>SUMIFS('Live Collections'!$M:$M,'Live Collections'!$D:$D,'Colln-Summary'!$A240,'Live Collections'!$B:$B,"&gt;="&amp;'Colln-Summary'!$G$1,'Live Collections'!$B:$B,"&lt;="&amp;'Colln-Summary'!$G$2)</f>
        <v>0</v>
      </c>
      <c r="H240" s="353">
        <f>SUMIFS('Live Collections'!$N:$N,'Live Collections'!$D:$D,'Colln-Summary'!$A240,'Live Collections'!$B:$B,"&gt;="&amp;'Colln-Summary'!$G$1,'Live Collections'!$B:$B,"&lt;="&amp;'Colln-Summary'!$G$2)</f>
        <v>0</v>
      </c>
      <c r="I240" s="353">
        <f>SUMIFS('Live Collections'!$P:$P,'Live Collections'!$D:$D,'Colln-Summary'!$A240,'Live Collections'!$B:$B,"&gt;="&amp;'Colln-Summary'!$G$1,'Live Collections'!$B:$B,"&lt;="&amp;'Colln-Summary'!$G$2)</f>
        <v>-100000</v>
      </c>
      <c r="J240" s="353">
        <f>SUMIFS('Live Collections'!$O:$O,'Live Collections'!$D:$D,'Colln-Summary'!$A240,'Live Collections'!$B:$B,"&gt;="&amp;'Colln-Summary'!$G$1,'Live Collections'!$B:$B,"&lt;="&amp;'Colln-Summary'!$G$2)</f>
        <v>381600</v>
      </c>
      <c r="K240" s="360">
        <f>SUMIFS('Live Collections'!$S:$S,'Live Collections'!$D:$D,'Colln-Summary'!$A240,'Live Collections'!$B:$B,"&gt;="&amp;'Colln-Summary'!$G$1,'Live Collections'!$B:$B,"&lt;="&amp;'Colln-Summary'!$G$2)</f>
        <v>92250.000000000058</v>
      </c>
      <c r="L240" s="360">
        <f>SUMIFS('Live Collections'!$T:$T,'Live Collections'!$D:$D,'Colln-Summary'!$A240,'Live Collections'!$B:$B,"&gt;="&amp;'Colln-Summary'!$G$1,'Live Collections'!$B:$B,"&lt;="&amp;'Colln-Summary'!$G$2)</f>
        <v>289349.99999999994</v>
      </c>
      <c r="M240" s="258">
        <f t="shared" si="5"/>
        <v>281600</v>
      </c>
    </row>
    <row r="241" spans="1:13" x14ac:dyDescent="0.2">
      <c r="A241" s="478">
        <v>237</v>
      </c>
      <c r="B241" s="352" t="str">
        <f>IFERROR(VLOOKUP($A241,'Clients-Live'!$A:$C,3,0),"")</f>
        <v>EZRA INNOCENT</v>
      </c>
      <c r="C241" s="353">
        <f>SUMIFS('Live Collections'!$J:$J,'Live Collections'!$D:$D,'Colln-Summary'!$A241,'Live Collections'!$B:$B,"&gt;="&amp;'Colln-Summary'!$G$1,'Live Collections'!$B:$B,"&lt;="&amp;'Colln-Summary'!$G$2)</f>
        <v>0</v>
      </c>
      <c r="D241" s="353">
        <f>SUMIFS('Live Collections'!$K:$K,'Live Collections'!$D:$D,'Colln-Summary'!$A241,'Live Collections'!$B:$B,"&gt;="&amp;'Colln-Summary'!$G$1,'Live Collections'!$B:$B,"&lt;="&amp;'Colln-Summary'!$G$2)</f>
        <v>0</v>
      </c>
      <c r="E241" s="353">
        <f>SUMIFS(Disbursements!$F:$F,Disbursements!$B:$B,'Colln-Summary'!$A241,Disbursements!$A:$A,"&gt;="&amp;'Colln-Summary'!$G$1,Disbursements!$A:$A,"&lt;="&amp;'Colln-Summary'!$G$2)</f>
        <v>0</v>
      </c>
      <c r="F241" s="353">
        <f>SUMIFS('Live Collections'!$L:$L,'Live Collections'!$D:$D,'Colln-Summary'!$A241,'Live Collections'!$B:$B,"&gt;="&amp;'Colln-Summary'!$G$1,'Live Collections'!$B:$B,"&lt;="&amp;'Colln-Summary'!$G$2)</f>
        <v>0</v>
      </c>
      <c r="G241" s="353">
        <f>SUMIFS('Live Collections'!$M:$M,'Live Collections'!$D:$D,'Colln-Summary'!$A241,'Live Collections'!$B:$B,"&gt;="&amp;'Colln-Summary'!$G$1,'Live Collections'!$B:$B,"&lt;="&amp;'Colln-Summary'!$G$2)</f>
        <v>0</v>
      </c>
      <c r="H241" s="353">
        <f>SUMIFS('Live Collections'!$N:$N,'Live Collections'!$D:$D,'Colln-Summary'!$A241,'Live Collections'!$B:$B,"&gt;="&amp;'Colln-Summary'!$G$1,'Live Collections'!$B:$B,"&lt;="&amp;'Colln-Summary'!$G$2)</f>
        <v>0</v>
      </c>
      <c r="I241" s="353">
        <f>SUMIFS('Live Collections'!$P:$P,'Live Collections'!$D:$D,'Colln-Summary'!$A241,'Live Collections'!$B:$B,"&gt;="&amp;'Colln-Summary'!$G$1,'Live Collections'!$B:$B,"&lt;="&amp;'Colln-Summary'!$G$2)</f>
        <v>-50000</v>
      </c>
      <c r="J241" s="353">
        <f>SUMIFS('Live Collections'!$O:$O,'Live Collections'!$D:$D,'Colln-Summary'!$A241,'Live Collections'!$B:$B,"&gt;="&amp;'Colln-Summary'!$G$1,'Live Collections'!$B:$B,"&lt;="&amp;'Colln-Summary'!$G$2)</f>
        <v>300000</v>
      </c>
      <c r="K241" s="360">
        <f>SUMIFS('Live Collections'!$S:$S,'Live Collections'!$D:$D,'Colln-Summary'!$A241,'Live Collections'!$B:$B,"&gt;="&amp;'Colln-Summary'!$G$1,'Live Collections'!$B:$B,"&lt;="&amp;'Colln-Summary'!$G$2)</f>
        <v>87000</v>
      </c>
      <c r="L241" s="360">
        <f>SUMIFS('Live Collections'!$T:$T,'Live Collections'!$D:$D,'Colln-Summary'!$A241,'Live Collections'!$B:$B,"&gt;="&amp;'Colln-Summary'!$G$1,'Live Collections'!$B:$B,"&lt;="&amp;'Colln-Summary'!$G$2)</f>
        <v>213000</v>
      </c>
      <c r="M241" s="258">
        <f t="shared" si="5"/>
        <v>250000</v>
      </c>
    </row>
    <row r="242" spans="1:13" x14ac:dyDescent="0.2">
      <c r="A242" s="478">
        <v>238</v>
      </c>
      <c r="B242" s="352" t="str">
        <f>IFERROR(VLOOKUP($A242,'Clients-Live'!$A:$C,3,0),"")</f>
        <v>ANGAIKA SAID</v>
      </c>
      <c r="C242" s="353">
        <f>SUMIFS('Live Collections'!$J:$J,'Live Collections'!$D:$D,'Colln-Summary'!$A242,'Live Collections'!$B:$B,"&gt;="&amp;'Colln-Summary'!$G$1,'Live Collections'!$B:$B,"&lt;="&amp;'Colln-Summary'!$G$2)</f>
        <v>0</v>
      </c>
      <c r="D242" s="353">
        <f>SUMIFS('Live Collections'!$K:$K,'Live Collections'!$D:$D,'Colln-Summary'!$A242,'Live Collections'!$B:$B,"&gt;="&amp;'Colln-Summary'!$G$1,'Live Collections'!$B:$B,"&lt;="&amp;'Colln-Summary'!$G$2)</f>
        <v>0</v>
      </c>
      <c r="E242" s="353">
        <f>SUMIFS(Disbursements!$F:$F,Disbursements!$B:$B,'Colln-Summary'!$A242,Disbursements!$A:$A,"&gt;="&amp;'Colln-Summary'!$G$1,Disbursements!$A:$A,"&lt;="&amp;'Colln-Summary'!$G$2)</f>
        <v>0</v>
      </c>
      <c r="F242" s="353">
        <f>SUMIFS('Live Collections'!$L:$L,'Live Collections'!$D:$D,'Colln-Summary'!$A242,'Live Collections'!$B:$B,"&gt;="&amp;'Colln-Summary'!$G$1,'Live Collections'!$B:$B,"&lt;="&amp;'Colln-Summary'!$G$2)</f>
        <v>0</v>
      </c>
      <c r="G242" s="353">
        <f>SUMIFS('Live Collections'!$M:$M,'Live Collections'!$D:$D,'Colln-Summary'!$A242,'Live Collections'!$B:$B,"&gt;="&amp;'Colln-Summary'!$G$1,'Live Collections'!$B:$B,"&lt;="&amp;'Colln-Summary'!$G$2)</f>
        <v>0</v>
      </c>
      <c r="H242" s="353">
        <f>SUMIFS('Live Collections'!$N:$N,'Live Collections'!$D:$D,'Colln-Summary'!$A242,'Live Collections'!$B:$B,"&gt;="&amp;'Colln-Summary'!$G$1,'Live Collections'!$B:$B,"&lt;="&amp;'Colln-Summary'!$G$2)</f>
        <v>0</v>
      </c>
      <c r="I242" s="353">
        <f>SUMIFS('Live Collections'!$P:$P,'Live Collections'!$D:$D,'Colln-Summary'!$A242,'Live Collections'!$B:$B,"&gt;="&amp;'Colln-Summary'!$G$1,'Live Collections'!$B:$B,"&lt;="&amp;'Colln-Summary'!$G$2)</f>
        <v>0</v>
      </c>
      <c r="J242" s="353">
        <f>SUMIFS('Live Collections'!$O:$O,'Live Collections'!$D:$D,'Colln-Summary'!$A242,'Live Collections'!$B:$B,"&gt;="&amp;'Colln-Summary'!$G$1,'Live Collections'!$B:$B,"&lt;="&amp;'Colln-Summary'!$G$2)</f>
        <v>125000</v>
      </c>
      <c r="K242" s="360">
        <f>SUMIFS('Live Collections'!$S:$S,'Live Collections'!$D:$D,'Colln-Summary'!$A242,'Live Collections'!$B:$B,"&gt;="&amp;'Colln-Summary'!$G$1,'Live Collections'!$B:$B,"&lt;="&amp;'Colln-Summary'!$G$2)</f>
        <v>8750</v>
      </c>
      <c r="L242" s="360">
        <f>SUMIFS('Live Collections'!$T:$T,'Live Collections'!$D:$D,'Colln-Summary'!$A242,'Live Collections'!$B:$B,"&gt;="&amp;'Colln-Summary'!$G$1,'Live Collections'!$B:$B,"&lt;="&amp;'Colln-Summary'!$G$2)</f>
        <v>116250</v>
      </c>
      <c r="M242" s="258">
        <f t="shared" si="5"/>
        <v>125000</v>
      </c>
    </row>
    <row r="243" spans="1:13" x14ac:dyDescent="0.2">
      <c r="A243" s="478">
        <v>239</v>
      </c>
      <c r="B243" s="352" t="str">
        <f>IFERROR(VLOOKUP($A243,'Clients-Live'!$A:$C,3,0),"")</f>
        <v>HABIBU ABOYI ALLI</v>
      </c>
      <c r="C243" s="353">
        <f>SUMIFS('Live Collections'!$J:$J,'Live Collections'!$D:$D,'Colln-Summary'!$A243,'Live Collections'!$B:$B,"&gt;="&amp;'Colln-Summary'!$G$1,'Live Collections'!$B:$B,"&lt;="&amp;'Colln-Summary'!$G$2)</f>
        <v>0</v>
      </c>
      <c r="D243" s="353">
        <f>SUMIFS('Live Collections'!$K:$K,'Live Collections'!$D:$D,'Colln-Summary'!$A243,'Live Collections'!$B:$B,"&gt;="&amp;'Colln-Summary'!$G$1,'Live Collections'!$B:$B,"&lt;="&amp;'Colln-Summary'!$G$2)</f>
        <v>0</v>
      </c>
      <c r="E243" s="353">
        <f>SUMIFS(Disbursements!$F:$F,Disbursements!$B:$B,'Colln-Summary'!$A243,Disbursements!$A:$A,"&gt;="&amp;'Colln-Summary'!$G$1,Disbursements!$A:$A,"&lt;="&amp;'Colln-Summary'!$G$2)</f>
        <v>0</v>
      </c>
      <c r="F243" s="353">
        <f>SUMIFS('Live Collections'!$L:$L,'Live Collections'!$D:$D,'Colln-Summary'!$A243,'Live Collections'!$B:$B,"&gt;="&amp;'Colln-Summary'!$G$1,'Live Collections'!$B:$B,"&lt;="&amp;'Colln-Summary'!$G$2)</f>
        <v>0</v>
      </c>
      <c r="G243" s="353">
        <f>SUMIFS('Live Collections'!$M:$M,'Live Collections'!$D:$D,'Colln-Summary'!$A243,'Live Collections'!$B:$B,"&gt;="&amp;'Colln-Summary'!$G$1,'Live Collections'!$B:$B,"&lt;="&amp;'Colln-Summary'!$G$2)</f>
        <v>0</v>
      </c>
      <c r="H243" s="353">
        <f>SUMIFS('Live Collections'!$N:$N,'Live Collections'!$D:$D,'Colln-Summary'!$A243,'Live Collections'!$B:$B,"&gt;="&amp;'Colln-Summary'!$G$1,'Live Collections'!$B:$B,"&lt;="&amp;'Colln-Summary'!$G$2)</f>
        <v>0</v>
      </c>
      <c r="I243" s="353">
        <f>SUMIFS('Live Collections'!$P:$P,'Live Collections'!$D:$D,'Colln-Summary'!$A243,'Live Collections'!$B:$B,"&gt;="&amp;'Colln-Summary'!$G$1,'Live Collections'!$B:$B,"&lt;="&amp;'Colln-Summary'!$G$2)</f>
        <v>0</v>
      </c>
      <c r="J243" s="353">
        <f>SUMIFS('Live Collections'!$O:$O,'Live Collections'!$D:$D,'Colln-Summary'!$A243,'Live Collections'!$B:$B,"&gt;="&amp;'Colln-Summary'!$G$1,'Live Collections'!$B:$B,"&lt;="&amp;'Colln-Summary'!$G$2)</f>
        <v>180000</v>
      </c>
      <c r="K243" s="360">
        <f>SUMIFS('Live Collections'!$S:$S,'Live Collections'!$D:$D,'Colln-Summary'!$A243,'Live Collections'!$B:$B,"&gt;="&amp;'Colln-Summary'!$G$1,'Live Collections'!$B:$B,"&lt;="&amp;'Colln-Summary'!$G$2)</f>
        <v>4333.3333333333139</v>
      </c>
      <c r="L243" s="360">
        <f>SUMIFS('Live Collections'!$T:$T,'Live Collections'!$D:$D,'Colln-Summary'!$A243,'Live Collections'!$B:$B,"&gt;="&amp;'Colln-Summary'!$G$1,'Live Collections'!$B:$B,"&lt;="&amp;'Colln-Summary'!$G$2)</f>
        <v>175666.66666666669</v>
      </c>
      <c r="M243" s="258">
        <f t="shared" si="5"/>
        <v>180000</v>
      </c>
    </row>
    <row r="244" spans="1:13" x14ac:dyDescent="0.2">
      <c r="A244" s="478">
        <v>240</v>
      </c>
      <c r="B244" s="352" t="str">
        <f>IFERROR(VLOOKUP($A244,'Clients-Live'!$A:$C,3,0),"")</f>
        <v>AYIKORU WINNIE</v>
      </c>
      <c r="C244" s="353">
        <f>SUMIFS('Live Collections'!$J:$J,'Live Collections'!$D:$D,'Colln-Summary'!$A244,'Live Collections'!$B:$B,"&gt;="&amp;'Colln-Summary'!$G$1,'Live Collections'!$B:$B,"&lt;="&amp;'Colln-Summary'!$G$2)</f>
        <v>0</v>
      </c>
      <c r="D244" s="353">
        <f>SUMIFS('Live Collections'!$K:$K,'Live Collections'!$D:$D,'Colln-Summary'!$A244,'Live Collections'!$B:$B,"&gt;="&amp;'Colln-Summary'!$G$1,'Live Collections'!$B:$B,"&lt;="&amp;'Colln-Summary'!$G$2)</f>
        <v>0</v>
      </c>
      <c r="E244" s="353">
        <f>SUMIFS(Disbursements!$F:$F,Disbursements!$B:$B,'Colln-Summary'!$A244,Disbursements!$A:$A,"&gt;="&amp;'Colln-Summary'!$G$1,Disbursements!$A:$A,"&lt;="&amp;'Colln-Summary'!$G$2)</f>
        <v>0</v>
      </c>
      <c r="F244" s="353">
        <f>SUMIFS('Live Collections'!$L:$L,'Live Collections'!$D:$D,'Colln-Summary'!$A244,'Live Collections'!$B:$B,"&gt;="&amp;'Colln-Summary'!$G$1,'Live Collections'!$B:$B,"&lt;="&amp;'Colln-Summary'!$G$2)</f>
        <v>0</v>
      </c>
      <c r="G244" s="353">
        <f>SUMIFS('Live Collections'!$M:$M,'Live Collections'!$D:$D,'Colln-Summary'!$A244,'Live Collections'!$B:$B,"&gt;="&amp;'Colln-Summary'!$G$1,'Live Collections'!$B:$B,"&lt;="&amp;'Colln-Summary'!$G$2)</f>
        <v>0</v>
      </c>
      <c r="H244" s="353">
        <f>SUMIFS('Live Collections'!$N:$N,'Live Collections'!$D:$D,'Colln-Summary'!$A244,'Live Collections'!$B:$B,"&gt;="&amp;'Colln-Summary'!$G$1,'Live Collections'!$B:$B,"&lt;="&amp;'Colln-Summary'!$G$2)</f>
        <v>0</v>
      </c>
      <c r="I244" s="353">
        <f>SUMIFS('Live Collections'!$P:$P,'Live Collections'!$D:$D,'Colln-Summary'!$A244,'Live Collections'!$B:$B,"&gt;="&amp;'Colln-Summary'!$G$1,'Live Collections'!$B:$B,"&lt;="&amp;'Colln-Summary'!$G$2)</f>
        <v>0</v>
      </c>
      <c r="J244" s="353">
        <f>SUMIFS('Live Collections'!$O:$O,'Live Collections'!$D:$D,'Colln-Summary'!$A244,'Live Collections'!$B:$B,"&gt;="&amp;'Colln-Summary'!$G$1,'Live Collections'!$B:$B,"&lt;="&amp;'Colln-Summary'!$G$2)</f>
        <v>0</v>
      </c>
      <c r="K244" s="360">
        <f>SUMIFS('Live Collections'!$S:$S,'Live Collections'!$D:$D,'Colln-Summary'!$A244,'Live Collections'!$B:$B,"&gt;="&amp;'Colln-Summary'!$G$1,'Live Collections'!$B:$B,"&lt;="&amp;'Colln-Summary'!$G$2)</f>
        <v>0</v>
      </c>
      <c r="L244" s="360">
        <f>SUMIFS('Live Collections'!$T:$T,'Live Collections'!$D:$D,'Colln-Summary'!$A244,'Live Collections'!$B:$B,"&gt;="&amp;'Colln-Summary'!$G$1,'Live Collections'!$B:$B,"&lt;="&amp;'Colln-Summary'!$G$2)</f>
        <v>0</v>
      </c>
      <c r="M244" s="258">
        <f t="shared" si="5"/>
        <v>0</v>
      </c>
    </row>
    <row r="245" spans="1:13" x14ac:dyDescent="0.2">
      <c r="A245" s="478">
        <v>241</v>
      </c>
      <c r="B245" s="352" t="str">
        <f>IFERROR(VLOOKUP($A245,'Clients-Live'!$A:$C,3,0),"")</f>
        <v>SIRIKA FARIDA</v>
      </c>
      <c r="C245" s="353">
        <f>SUMIFS('Live Collections'!$J:$J,'Live Collections'!$D:$D,'Colln-Summary'!$A245,'Live Collections'!$B:$B,"&gt;="&amp;'Colln-Summary'!$G$1,'Live Collections'!$B:$B,"&lt;="&amp;'Colln-Summary'!$G$2)</f>
        <v>0</v>
      </c>
      <c r="D245" s="353">
        <f>SUMIFS('Live Collections'!$K:$K,'Live Collections'!$D:$D,'Colln-Summary'!$A245,'Live Collections'!$B:$B,"&gt;="&amp;'Colln-Summary'!$G$1,'Live Collections'!$B:$B,"&lt;="&amp;'Colln-Summary'!$G$2)</f>
        <v>0</v>
      </c>
      <c r="E245" s="353">
        <f>SUMIFS(Disbursements!$F:$F,Disbursements!$B:$B,'Colln-Summary'!$A245,Disbursements!$A:$A,"&gt;="&amp;'Colln-Summary'!$G$1,Disbursements!$A:$A,"&lt;="&amp;'Colln-Summary'!$G$2)</f>
        <v>0</v>
      </c>
      <c r="F245" s="353">
        <f>SUMIFS('Live Collections'!$L:$L,'Live Collections'!$D:$D,'Colln-Summary'!$A245,'Live Collections'!$B:$B,"&gt;="&amp;'Colln-Summary'!$G$1,'Live Collections'!$B:$B,"&lt;="&amp;'Colln-Summary'!$G$2)</f>
        <v>0</v>
      </c>
      <c r="G245" s="353">
        <f>SUMIFS('Live Collections'!$M:$M,'Live Collections'!$D:$D,'Colln-Summary'!$A245,'Live Collections'!$B:$B,"&gt;="&amp;'Colln-Summary'!$G$1,'Live Collections'!$B:$B,"&lt;="&amp;'Colln-Summary'!$G$2)</f>
        <v>0</v>
      </c>
      <c r="H245" s="353">
        <f>SUMIFS('Live Collections'!$N:$N,'Live Collections'!$D:$D,'Colln-Summary'!$A245,'Live Collections'!$B:$B,"&gt;="&amp;'Colln-Summary'!$G$1,'Live Collections'!$B:$B,"&lt;="&amp;'Colln-Summary'!$G$2)</f>
        <v>0</v>
      </c>
      <c r="I245" s="353">
        <f>SUMIFS('Live Collections'!$P:$P,'Live Collections'!$D:$D,'Colln-Summary'!$A245,'Live Collections'!$B:$B,"&gt;="&amp;'Colln-Summary'!$G$1,'Live Collections'!$B:$B,"&lt;="&amp;'Colln-Summary'!$G$2)</f>
        <v>0</v>
      </c>
      <c r="J245" s="353">
        <f>SUMIFS('Live Collections'!$O:$O,'Live Collections'!$D:$D,'Colln-Summary'!$A245,'Live Collections'!$B:$B,"&gt;="&amp;'Colln-Summary'!$G$1,'Live Collections'!$B:$B,"&lt;="&amp;'Colln-Summary'!$G$2)</f>
        <v>100000</v>
      </c>
      <c r="K245" s="360">
        <f>SUMIFS('Live Collections'!$S:$S,'Live Collections'!$D:$D,'Colln-Summary'!$A245,'Live Collections'!$B:$B,"&gt;="&amp;'Colln-Summary'!$G$1,'Live Collections'!$B:$B,"&lt;="&amp;'Colln-Summary'!$G$2)</f>
        <v>0</v>
      </c>
      <c r="L245" s="360">
        <f>SUMIFS('Live Collections'!$T:$T,'Live Collections'!$D:$D,'Colln-Summary'!$A245,'Live Collections'!$B:$B,"&gt;="&amp;'Colln-Summary'!$G$1,'Live Collections'!$B:$B,"&lt;="&amp;'Colln-Summary'!$G$2)</f>
        <v>100000</v>
      </c>
      <c r="M245" s="258">
        <f t="shared" si="5"/>
        <v>100000</v>
      </c>
    </row>
    <row r="246" spans="1:13" x14ac:dyDescent="0.2">
      <c r="A246" s="478">
        <v>242</v>
      </c>
      <c r="B246" s="352" t="str">
        <f>IFERROR(VLOOKUP($A246,'Clients-Live'!$A:$C,3,0),"")</f>
        <v>BAKOKO FLAVIA</v>
      </c>
      <c r="C246" s="353">
        <f>SUMIFS('Live Collections'!$J:$J,'Live Collections'!$D:$D,'Colln-Summary'!$A246,'Live Collections'!$B:$B,"&gt;="&amp;'Colln-Summary'!$G$1,'Live Collections'!$B:$B,"&lt;="&amp;'Colln-Summary'!$G$2)</f>
        <v>0</v>
      </c>
      <c r="D246" s="353">
        <f>SUMIFS('Live Collections'!$K:$K,'Live Collections'!$D:$D,'Colln-Summary'!$A246,'Live Collections'!$B:$B,"&gt;="&amp;'Colln-Summary'!$G$1,'Live Collections'!$B:$B,"&lt;="&amp;'Colln-Summary'!$G$2)</f>
        <v>0</v>
      </c>
      <c r="E246" s="353">
        <f>SUMIFS(Disbursements!$F:$F,Disbursements!$B:$B,'Colln-Summary'!$A246,Disbursements!$A:$A,"&gt;="&amp;'Colln-Summary'!$G$1,Disbursements!$A:$A,"&lt;="&amp;'Colln-Summary'!$G$2)</f>
        <v>0</v>
      </c>
      <c r="F246" s="353">
        <f>SUMIFS('Live Collections'!$L:$L,'Live Collections'!$D:$D,'Colln-Summary'!$A246,'Live Collections'!$B:$B,"&gt;="&amp;'Colln-Summary'!$G$1,'Live Collections'!$B:$B,"&lt;="&amp;'Colln-Summary'!$G$2)</f>
        <v>0</v>
      </c>
      <c r="G246" s="353">
        <f>SUMIFS('Live Collections'!$M:$M,'Live Collections'!$D:$D,'Colln-Summary'!$A246,'Live Collections'!$B:$B,"&gt;="&amp;'Colln-Summary'!$G$1,'Live Collections'!$B:$B,"&lt;="&amp;'Colln-Summary'!$G$2)</f>
        <v>0</v>
      </c>
      <c r="H246" s="353">
        <f>SUMIFS('Live Collections'!$N:$N,'Live Collections'!$D:$D,'Colln-Summary'!$A246,'Live Collections'!$B:$B,"&gt;="&amp;'Colln-Summary'!$G$1,'Live Collections'!$B:$B,"&lt;="&amp;'Colln-Summary'!$G$2)</f>
        <v>0</v>
      </c>
      <c r="I246" s="353">
        <f>SUMIFS('Live Collections'!$P:$P,'Live Collections'!$D:$D,'Colln-Summary'!$A246,'Live Collections'!$B:$B,"&gt;="&amp;'Colln-Summary'!$G$1,'Live Collections'!$B:$B,"&lt;="&amp;'Colln-Summary'!$G$2)</f>
        <v>0</v>
      </c>
      <c r="J246" s="353">
        <f>SUMIFS('Live Collections'!$O:$O,'Live Collections'!$D:$D,'Colln-Summary'!$A246,'Live Collections'!$B:$B,"&gt;="&amp;'Colln-Summary'!$G$1,'Live Collections'!$B:$B,"&lt;="&amp;'Colln-Summary'!$G$2)</f>
        <v>217000</v>
      </c>
      <c r="K246" s="360">
        <f>SUMIFS('Live Collections'!$S:$S,'Live Collections'!$D:$D,'Colln-Summary'!$A246,'Live Collections'!$B:$B,"&gt;="&amp;'Colln-Summary'!$G$1,'Live Collections'!$B:$B,"&lt;="&amp;'Colln-Summary'!$G$2)</f>
        <v>25000</v>
      </c>
      <c r="L246" s="360">
        <f>SUMIFS('Live Collections'!$T:$T,'Live Collections'!$D:$D,'Colln-Summary'!$A246,'Live Collections'!$B:$B,"&gt;="&amp;'Colln-Summary'!$G$1,'Live Collections'!$B:$B,"&lt;="&amp;'Colln-Summary'!$G$2)</f>
        <v>192000</v>
      </c>
      <c r="M246" s="258">
        <f t="shared" si="5"/>
        <v>217000</v>
      </c>
    </row>
    <row r="247" spans="1:13" x14ac:dyDescent="0.2">
      <c r="A247" s="478">
        <v>243</v>
      </c>
      <c r="B247" s="352" t="str">
        <f>IFERROR(VLOOKUP($A247,'Clients-Live'!$A:$C,3,0),"")</f>
        <v>AMANIYO FARIDA</v>
      </c>
      <c r="C247" s="353">
        <f>SUMIFS('Live Collections'!$J:$J,'Live Collections'!$D:$D,'Colln-Summary'!$A247,'Live Collections'!$B:$B,"&gt;="&amp;'Colln-Summary'!$G$1,'Live Collections'!$B:$B,"&lt;="&amp;'Colln-Summary'!$G$2)</f>
        <v>0</v>
      </c>
      <c r="D247" s="353">
        <f>SUMIFS('Live Collections'!$K:$K,'Live Collections'!$D:$D,'Colln-Summary'!$A247,'Live Collections'!$B:$B,"&gt;="&amp;'Colln-Summary'!$G$1,'Live Collections'!$B:$B,"&lt;="&amp;'Colln-Summary'!$G$2)</f>
        <v>0</v>
      </c>
      <c r="E247" s="353">
        <f>SUMIFS(Disbursements!$F:$F,Disbursements!$B:$B,'Colln-Summary'!$A247,Disbursements!$A:$A,"&gt;="&amp;'Colln-Summary'!$G$1,Disbursements!$A:$A,"&lt;="&amp;'Colln-Summary'!$G$2)</f>
        <v>0</v>
      </c>
      <c r="F247" s="353">
        <f>SUMIFS('Live Collections'!$L:$L,'Live Collections'!$D:$D,'Colln-Summary'!$A247,'Live Collections'!$B:$B,"&gt;="&amp;'Colln-Summary'!$G$1,'Live Collections'!$B:$B,"&lt;="&amp;'Colln-Summary'!$G$2)</f>
        <v>0</v>
      </c>
      <c r="G247" s="353">
        <f>SUMIFS('Live Collections'!$M:$M,'Live Collections'!$D:$D,'Colln-Summary'!$A247,'Live Collections'!$B:$B,"&gt;="&amp;'Colln-Summary'!$G$1,'Live Collections'!$B:$B,"&lt;="&amp;'Colln-Summary'!$G$2)</f>
        <v>0</v>
      </c>
      <c r="H247" s="353">
        <f>SUMIFS('Live Collections'!$N:$N,'Live Collections'!$D:$D,'Colln-Summary'!$A247,'Live Collections'!$B:$B,"&gt;="&amp;'Colln-Summary'!$G$1,'Live Collections'!$B:$B,"&lt;="&amp;'Colln-Summary'!$G$2)</f>
        <v>0</v>
      </c>
      <c r="I247" s="353">
        <f>SUMIFS('Live Collections'!$P:$P,'Live Collections'!$D:$D,'Colln-Summary'!$A247,'Live Collections'!$B:$B,"&gt;="&amp;'Colln-Summary'!$G$1,'Live Collections'!$B:$B,"&lt;="&amp;'Colln-Summary'!$G$2)</f>
        <v>0</v>
      </c>
      <c r="J247" s="353">
        <f>SUMIFS('Live Collections'!$O:$O,'Live Collections'!$D:$D,'Colln-Summary'!$A247,'Live Collections'!$B:$B,"&gt;="&amp;'Colln-Summary'!$G$1,'Live Collections'!$B:$B,"&lt;="&amp;'Colln-Summary'!$G$2)</f>
        <v>150000</v>
      </c>
      <c r="K247" s="360">
        <f>SUMIFS('Live Collections'!$S:$S,'Live Collections'!$D:$D,'Colln-Summary'!$A247,'Live Collections'!$B:$B,"&gt;="&amp;'Colln-Summary'!$G$1,'Live Collections'!$B:$B,"&lt;="&amp;'Colln-Summary'!$G$2)</f>
        <v>75000</v>
      </c>
      <c r="L247" s="360">
        <f>SUMIFS('Live Collections'!$T:$T,'Live Collections'!$D:$D,'Colln-Summary'!$A247,'Live Collections'!$B:$B,"&gt;="&amp;'Colln-Summary'!$G$1,'Live Collections'!$B:$B,"&lt;="&amp;'Colln-Summary'!$G$2)</f>
        <v>75000</v>
      </c>
      <c r="M247" s="258">
        <f t="shared" si="5"/>
        <v>150000</v>
      </c>
    </row>
    <row r="248" spans="1:13" x14ac:dyDescent="0.2">
      <c r="A248" s="478">
        <v>244</v>
      </c>
      <c r="B248" s="352" t="str">
        <f>IFERROR(VLOOKUP($A248,'Clients-Live'!$A:$C,3,0),"")</f>
        <v>GISMA HAMID ALI</v>
      </c>
      <c r="C248" s="353">
        <f>SUMIFS('Live Collections'!$J:$J,'Live Collections'!$D:$D,'Colln-Summary'!$A248,'Live Collections'!$B:$B,"&gt;="&amp;'Colln-Summary'!$G$1,'Live Collections'!$B:$B,"&lt;="&amp;'Colln-Summary'!$G$2)</f>
        <v>0</v>
      </c>
      <c r="D248" s="353">
        <f>SUMIFS('Live Collections'!$K:$K,'Live Collections'!$D:$D,'Colln-Summary'!$A248,'Live Collections'!$B:$B,"&gt;="&amp;'Colln-Summary'!$G$1,'Live Collections'!$B:$B,"&lt;="&amp;'Colln-Summary'!$G$2)</f>
        <v>0</v>
      </c>
      <c r="E248" s="353">
        <f>SUMIFS(Disbursements!$F:$F,Disbursements!$B:$B,'Colln-Summary'!$A248,Disbursements!$A:$A,"&gt;="&amp;'Colln-Summary'!$G$1,Disbursements!$A:$A,"&lt;="&amp;'Colln-Summary'!$G$2)</f>
        <v>0</v>
      </c>
      <c r="F248" s="353">
        <f>SUMIFS('Live Collections'!$L:$L,'Live Collections'!$D:$D,'Colln-Summary'!$A248,'Live Collections'!$B:$B,"&gt;="&amp;'Colln-Summary'!$G$1,'Live Collections'!$B:$B,"&lt;="&amp;'Colln-Summary'!$G$2)</f>
        <v>0</v>
      </c>
      <c r="G248" s="353">
        <f>SUMIFS('Live Collections'!$M:$M,'Live Collections'!$D:$D,'Colln-Summary'!$A248,'Live Collections'!$B:$B,"&gt;="&amp;'Colln-Summary'!$G$1,'Live Collections'!$B:$B,"&lt;="&amp;'Colln-Summary'!$G$2)</f>
        <v>0</v>
      </c>
      <c r="H248" s="353">
        <f>SUMIFS('Live Collections'!$N:$N,'Live Collections'!$D:$D,'Colln-Summary'!$A248,'Live Collections'!$B:$B,"&gt;="&amp;'Colln-Summary'!$G$1,'Live Collections'!$B:$B,"&lt;="&amp;'Colln-Summary'!$G$2)</f>
        <v>0</v>
      </c>
      <c r="I248" s="353">
        <f>SUMIFS('Live Collections'!$P:$P,'Live Collections'!$D:$D,'Colln-Summary'!$A248,'Live Collections'!$B:$B,"&gt;="&amp;'Colln-Summary'!$G$1,'Live Collections'!$B:$B,"&lt;="&amp;'Colln-Summary'!$G$2)</f>
        <v>0</v>
      </c>
      <c r="J248" s="353">
        <f>SUMIFS('Live Collections'!$O:$O,'Live Collections'!$D:$D,'Colln-Summary'!$A248,'Live Collections'!$B:$B,"&gt;="&amp;'Colln-Summary'!$G$1,'Live Collections'!$B:$B,"&lt;="&amp;'Colln-Summary'!$G$2)</f>
        <v>125000</v>
      </c>
      <c r="K248" s="360">
        <f>SUMIFS('Live Collections'!$S:$S,'Live Collections'!$D:$D,'Colln-Summary'!$A248,'Live Collections'!$B:$B,"&gt;="&amp;'Colln-Summary'!$G$1,'Live Collections'!$B:$B,"&lt;="&amp;'Colln-Summary'!$G$2)</f>
        <v>45000</v>
      </c>
      <c r="L248" s="360">
        <f>SUMIFS('Live Collections'!$T:$T,'Live Collections'!$D:$D,'Colln-Summary'!$A248,'Live Collections'!$B:$B,"&gt;="&amp;'Colln-Summary'!$G$1,'Live Collections'!$B:$B,"&lt;="&amp;'Colln-Summary'!$G$2)</f>
        <v>80000</v>
      </c>
      <c r="M248" s="258">
        <f t="shared" si="5"/>
        <v>125000</v>
      </c>
    </row>
    <row r="249" spans="1:13" x14ac:dyDescent="0.2">
      <c r="A249" s="478">
        <v>245</v>
      </c>
      <c r="B249" s="352" t="str">
        <f>IFERROR(VLOOKUP($A249,'Clients-Live'!$A:$C,3,0),"")</f>
        <v>ONJIMA BASHIR</v>
      </c>
      <c r="C249" s="353">
        <f>SUMIFS('Live Collections'!$J:$J,'Live Collections'!$D:$D,'Colln-Summary'!$A249,'Live Collections'!$B:$B,"&gt;="&amp;'Colln-Summary'!$G$1,'Live Collections'!$B:$B,"&lt;="&amp;'Colln-Summary'!$G$2)</f>
        <v>0</v>
      </c>
      <c r="D249" s="353">
        <f>SUMIFS('Live Collections'!$K:$K,'Live Collections'!$D:$D,'Colln-Summary'!$A249,'Live Collections'!$B:$B,"&gt;="&amp;'Colln-Summary'!$G$1,'Live Collections'!$B:$B,"&lt;="&amp;'Colln-Summary'!$G$2)</f>
        <v>0</v>
      </c>
      <c r="E249" s="353">
        <f>SUMIFS(Disbursements!$F:$F,Disbursements!$B:$B,'Colln-Summary'!$A249,Disbursements!$A:$A,"&gt;="&amp;'Colln-Summary'!$G$1,Disbursements!$A:$A,"&lt;="&amp;'Colln-Summary'!$G$2)</f>
        <v>0</v>
      </c>
      <c r="F249" s="353">
        <f>SUMIFS('Live Collections'!$L:$L,'Live Collections'!$D:$D,'Colln-Summary'!$A249,'Live Collections'!$B:$B,"&gt;="&amp;'Colln-Summary'!$G$1,'Live Collections'!$B:$B,"&lt;="&amp;'Colln-Summary'!$G$2)</f>
        <v>0</v>
      </c>
      <c r="G249" s="353">
        <f>SUMIFS('Live Collections'!$M:$M,'Live Collections'!$D:$D,'Colln-Summary'!$A249,'Live Collections'!$B:$B,"&gt;="&amp;'Colln-Summary'!$G$1,'Live Collections'!$B:$B,"&lt;="&amp;'Colln-Summary'!$G$2)</f>
        <v>0</v>
      </c>
      <c r="H249" s="353">
        <f>SUMIFS('Live Collections'!$N:$N,'Live Collections'!$D:$D,'Colln-Summary'!$A249,'Live Collections'!$B:$B,"&gt;="&amp;'Colln-Summary'!$G$1,'Live Collections'!$B:$B,"&lt;="&amp;'Colln-Summary'!$G$2)</f>
        <v>0</v>
      </c>
      <c r="I249" s="353">
        <f>SUMIFS('Live Collections'!$P:$P,'Live Collections'!$D:$D,'Colln-Summary'!$A249,'Live Collections'!$B:$B,"&gt;="&amp;'Colln-Summary'!$G$1,'Live Collections'!$B:$B,"&lt;="&amp;'Colln-Summary'!$G$2)</f>
        <v>0</v>
      </c>
      <c r="J249" s="353">
        <f>SUMIFS('Live Collections'!$O:$O,'Live Collections'!$D:$D,'Colln-Summary'!$A249,'Live Collections'!$B:$B,"&gt;="&amp;'Colln-Summary'!$G$1,'Live Collections'!$B:$B,"&lt;="&amp;'Colln-Summary'!$G$2)</f>
        <v>0</v>
      </c>
      <c r="K249" s="360">
        <f>SUMIFS('Live Collections'!$S:$S,'Live Collections'!$D:$D,'Colln-Summary'!$A249,'Live Collections'!$B:$B,"&gt;="&amp;'Colln-Summary'!$G$1,'Live Collections'!$B:$B,"&lt;="&amp;'Colln-Summary'!$G$2)</f>
        <v>0</v>
      </c>
      <c r="L249" s="360">
        <f>SUMIFS('Live Collections'!$T:$T,'Live Collections'!$D:$D,'Colln-Summary'!$A249,'Live Collections'!$B:$B,"&gt;="&amp;'Colln-Summary'!$G$1,'Live Collections'!$B:$B,"&lt;="&amp;'Colln-Summary'!$G$2)</f>
        <v>0</v>
      </c>
      <c r="M249" s="258">
        <f t="shared" si="5"/>
        <v>0</v>
      </c>
    </row>
    <row r="250" spans="1:13" x14ac:dyDescent="0.2">
      <c r="A250" s="478">
        <v>246</v>
      </c>
      <c r="B250" s="352" t="str">
        <f>IFERROR(VLOOKUP($A250,'Clients-Live'!$A:$C,3,0),"")</f>
        <v>ALOMO ZAIDA</v>
      </c>
      <c r="C250" s="353">
        <f>SUMIFS('Live Collections'!$J:$J,'Live Collections'!$D:$D,'Colln-Summary'!$A250,'Live Collections'!$B:$B,"&gt;="&amp;'Colln-Summary'!$G$1,'Live Collections'!$B:$B,"&lt;="&amp;'Colln-Summary'!$G$2)</f>
        <v>0</v>
      </c>
      <c r="D250" s="353">
        <f>SUMIFS('Live Collections'!$K:$K,'Live Collections'!$D:$D,'Colln-Summary'!$A250,'Live Collections'!$B:$B,"&gt;="&amp;'Colln-Summary'!$G$1,'Live Collections'!$B:$B,"&lt;="&amp;'Colln-Summary'!$G$2)</f>
        <v>0</v>
      </c>
      <c r="E250" s="353">
        <f>SUMIFS(Disbursements!$F:$F,Disbursements!$B:$B,'Colln-Summary'!$A250,Disbursements!$A:$A,"&gt;="&amp;'Colln-Summary'!$G$1,Disbursements!$A:$A,"&lt;="&amp;'Colln-Summary'!$G$2)</f>
        <v>0</v>
      </c>
      <c r="F250" s="353">
        <f>SUMIFS('Live Collections'!$L:$L,'Live Collections'!$D:$D,'Colln-Summary'!$A250,'Live Collections'!$B:$B,"&gt;="&amp;'Colln-Summary'!$G$1,'Live Collections'!$B:$B,"&lt;="&amp;'Colln-Summary'!$G$2)</f>
        <v>0</v>
      </c>
      <c r="G250" s="353">
        <f>SUMIFS('Live Collections'!$M:$M,'Live Collections'!$D:$D,'Colln-Summary'!$A250,'Live Collections'!$B:$B,"&gt;="&amp;'Colln-Summary'!$G$1,'Live Collections'!$B:$B,"&lt;="&amp;'Colln-Summary'!$G$2)</f>
        <v>0</v>
      </c>
      <c r="H250" s="353">
        <f>SUMIFS('Live Collections'!$N:$N,'Live Collections'!$D:$D,'Colln-Summary'!$A250,'Live Collections'!$B:$B,"&gt;="&amp;'Colln-Summary'!$G$1,'Live Collections'!$B:$B,"&lt;="&amp;'Colln-Summary'!$G$2)</f>
        <v>0</v>
      </c>
      <c r="I250" s="353">
        <f>SUMIFS('Live Collections'!$P:$P,'Live Collections'!$D:$D,'Colln-Summary'!$A250,'Live Collections'!$B:$B,"&gt;="&amp;'Colln-Summary'!$G$1,'Live Collections'!$B:$B,"&lt;="&amp;'Colln-Summary'!$G$2)</f>
        <v>0</v>
      </c>
      <c r="J250" s="353">
        <f>SUMIFS('Live Collections'!$O:$O,'Live Collections'!$D:$D,'Colln-Summary'!$A250,'Live Collections'!$B:$B,"&gt;="&amp;'Colln-Summary'!$G$1,'Live Collections'!$B:$B,"&lt;="&amp;'Colln-Summary'!$G$2)</f>
        <v>180000</v>
      </c>
      <c r="K250" s="360">
        <f>SUMIFS('Live Collections'!$S:$S,'Live Collections'!$D:$D,'Colln-Summary'!$A250,'Live Collections'!$B:$B,"&gt;="&amp;'Colln-Summary'!$G$1,'Live Collections'!$B:$B,"&lt;="&amp;'Colln-Summary'!$G$2)</f>
        <v>0</v>
      </c>
      <c r="L250" s="360">
        <f>SUMIFS('Live Collections'!$T:$T,'Live Collections'!$D:$D,'Colln-Summary'!$A250,'Live Collections'!$B:$B,"&gt;="&amp;'Colln-Summary'!$G$1,'Live Collections'!$B:$B,"&lt;="&amp;'Colln-Summary'!$G$2)</f>
        <v>180000</v>
      </c>
      <c r="M250" s="258">
        <f t="shared" si="5"/>
        <v>180000</v>
      </c>
    </row>
    <row r="251" spans="1:13" x14ac:dyDescent="0.2">
      <c r="A251" s="478">
        <v>247</v>
      </c>
      <c r="B251" s="352" t="str">
        <f>IFERROR(VLOOKUP($A251,'Clients-Live'!$A:$C,3,0),"")</f>
        <v>CHANDIRU SCHOLAR</v>
      </c>
      <c r="C251" s="353">
        <f>SUMIFS('Live Collections'!$J:$J,'Live Collections'!$D:$D,'Colln-Summary'!$A251,'Live Collections'!$B:$B,"&gt;="&amp;'Colln-Summary'!$G$1,'Live Collections'!$B:$B,"&lt;="&amp;'Colln-Summary'!$G$2)</f>
        <v>0</v>
      </c>
      <c r="D251" s="353">
        <f>SUMIFS('Live Collections'!$K:$K,'Live Collections'!$D:$D,'Colln-Summary'!$A251,'Live Collections'!$B:$B,"&gt;="&amp;'Colln-Summary'!$G$1,'Live Collections'!$B:$B,"&lt;="&amp;'Colln-Summary'!$G$2)</f>
        <v>0</v>
      </c>
      <c r="E251" s="353">
        <f>SUMIFS(Disbursements!$F:$F,Disbursements!$B:$B,'Colln-Summary'!$A251,Disbursements!$A:$A,"&gt;="&amp;'Colln-Summary'!$G$1,Disbursements!$A:$A,"&lt;="&amp;'Colln-Summary'!$G$2)</f>
        <v>0</v>
      </c>
      <c r="F251" s="353">
        <f>SUMIFS('Live Collections'!$L:$L,'Live Collections'!$D:$D,'Colln-Summary'!$A251,'Live Collections'!$B:$B,"&gt;="&amp;'Colln-Summary'!$G$1,'Live Collections'!$B:$B,"&lt;="&amp;'Colln-Summary'!$G$2)</f>
        <v>0</v>
      </c>
      <c r="G251" s="353">
        <f>SUMIFS('Live Collections'!$M:$M,'Live Collections'!$D:$D,'Colln-Summary'!$A251,'Live Collections'!$B:$B,"&gt;="&amp;'Colln-Summary'!$G$1,'Live Collections'!$B:$B,"&lt;="&amp;'Colln-Summary'!$G$2)</f>
        <v>0</v>
      </c>
      <c r="H251" s="353">
        <f>SUMIFS('Live Collections'!$N:$N,'Live Collections'!$D:$D,'Colln-Summary'!$A251,'Live Collections'!$B:$B,"&gt;="&amp;'Colln-Summary'!$G$1,'Live Collections'!$B:$B,"&lt;="&amp;'Colln-Summary'!$G$2)</f>
        <v>0</v>
      </c>
      <c r="I251" s="353">
        <f>SUMIFS('Live Collections'!$P:$P,'Live Collections'!$D:$D,'Colln-Summary'!$A251,'Live Collections'!$B:$B,"&gt;="&amp;'Colln-Summary'!$G$1,'Live Collections'!$B:$B,"&lt;="&amp;'Colln-Summary'!$G$2)</f>
        <v>0</v>
      </c>
      <c r="J251" s="353">
        <f>SUMIFS('Live Collections'!$O:$O,'Live Collections'!$D:$D,'Colln-Summary'!$A251,'Live Collections'!$B:$B,"&gt;="&amp;'Colln-Summary'!$G$1,'Live Collections'!$B:$B,"&lt;="&amp;'Colln-Summary'!$G$2)</f>
        <v>0</v>
      </c>
      <c r="K251" s="360">
        <f>SUMIFS('Live Collections'!$S:$S,'Live Collections'!$D:$D,'Colln-Summary'!$A251,'Live Collections'!$B:$B,"&gt;="&amp;'Colln-Summary'!$G$1,'Live Collections'!$B:$B,"&lt;="&amp;'Colln-Summary'!$G$2)</f>
        <v>0</v>
      </c>
      <c r="L251" s="360">
        <f>SUMIFS('Live Collections'!$T:$T,'Live Collections'!$D:$D,'Colln-Summary'!$A251,'Live Collections'!$B:$B,"&gt;="&amp;'Colln-Summary'!$G$1,'Live Collections'!$B:$B,"&lt;="&amp;'Colln-Summary'!$G$2)</f>
        <v>0</v>
      </c>
      <c r="M251" s="258">
        <f t="shared" si="5"/>
        <v>0</v>
      </c>
    </row>
    <row r="252" spans="1:13" x14ac:dyDescent="0.2">
      <c r="A252" s="478">
        <v>248</v>
      </c>
      <c r="B252" s="352" t="str">
        <f>IFERROR(VLOOKUP($A252,'Clients-Live'!$A:$C,3,0),"")</f>
        <v>LETARU GLORIA</v>
      </c>
      <c r="C252" s="353">
        <f>SUMIFS('Live Collections'!$J:$J,'Live Collections'!$D:$D,'Colln-Summary'!$A252,'Live Collections'!$B:$B,"&gt;="&amp;'Colln-Summary'!$G$1,'Live Collections'!$B:$B,"&lt;="&amp;'Colln-Summary'!$G$2)</f>
        <v>0</v>
      </c>
      <c r="D252" s="353">
        <f>SUMIFS('Live Collections'!$K:$K,'Live Collections'!$D:$D,'Colln-Summary'!$A252,'Live Collections'!$B:$B,"&gt;="&amp;'Colln-Summary'!$G$1,'Live Collections'!$B:$B,"&lt;="&amp;'Colln-Summary'!$G$2)</f>
        <v>0</v>
      </c>
      <c r="E252" s="353">
        <f>SUMIFS(Disbursements!$F:$F,Disbursements!$B:$B,'Colln-Summary'!$A252,Disbursements!$A:$A,"&gt;="&amp;'Colln-Summary'!$G$1,Disbursements!$A:$A,"&lt;="&amp;'Colln-Summary'!$G$2)</f>
        <v>0</v>
      </c>
      <c r="F252" s="353">
        <f>SUMIFS('Live Collections'!$L:$L,'Live Collections'!$D:$D,'Colln-Summary'!$A252,'Live Collections'!$B:$B,"&gt;="&amp;'Colln-Summary'!$G$1,'Live Collections'!$B:$B,"&lt;="&amp;'Colln-Summary'!$G$2)</f>
        <v>0</v>
      </c>
      <c r="G252" s="353">
        <f>SUMIFS('Live Collections'!$M:$M,'Live Collections'!$D:$D,'Colln-Summary'!$A252,'Live Collections'!$B:$B,"&gt;="&amp;'Colln-Summary'!$G$1,'Live Collections'!$B:$B,"&lt;="&amp;'Colln-Summary'!$G$2)</f>
        <v>0</v>
      </c>
      <c r="H252" s="353">
        <f>SUMIFS('Live Collections'!$N:$N,'Live Collections'!$D:$D,'Colln-Summary'!$A252,'Live Collections'!$B:$B,"&gt;="&amp;'Colln-Summary'!$G$1,'Live Collections'!$B:$B,"&lt;="&amp;'Colln-Summary'!$G$2)</f>
        <v>0</v>
      </c>
      <c r="I252" s="353">
        <f>SUMIFS('Live Collections'!$P:$P,'Live Collections'!$D:$D,'Colln-Summary'!$A252,'Live Collections'!$B:$B,"&gt;="&amp;'Colln-Summary'!$G$1,'Live Collections'!$B:$B,"&lt;="&amp;'Colln-Summary'!$G$2)</f>
        <v>0</v>
      </c>
      <c r="J252" s="353">
        <f>SUMIFS('Live Collections'!$O:$O,'Live Collections'!$D:$D,'Colln-Summary'!$A252,'Live Collections'!$B:$B,"&gt;="&amp;'Colln-Summary'!$G$1,'Live Collections'!$B:$B,"&lt;="&amp;'Colln-Summary'!$G$2)</f>
        <v>400000</v>
      </c>
      <c r="K252" s="360">
        <f>SUMIFS('Live Collections'!$S:$S,'Live Collections'!$D:$D,'Colln-Summary'!$A252,'Live Collections'!$B:$B,"&gt;="&amp;'Colln-Summary'!$G$1,'Live Collections'!$B:$B,"&lt;="&amp;'Colln-Summary'!$G$2)</f>
        <v>75000</v>
      </c>
      <c r="L252" s="360">
        <f>SUMIFS('Live Collections'!$T:$T,'Live Collections'!$D:$D,'Colln-Summary'!$A252,'Live Collections'!$B:$B,"&gt;="&amp;'Colln-Summary'!$G$1,'Live Collections'!$B:$B,"&lt;="&amp;'Colln-Summary'!$G$2)</f>
        <v>325000</v>
      </c>
      <c r="M252" s="258">
        <f t="shared" si="5"/>
        <v>400000</v>
      </c>
    </row>
    <row r="253" spans="1:13" x14ac:dyDescent="0.2">
      <c r="A253" s="478">
        <v>249</v>
      </c>
      <c r="B253" s="352" t="str">
        <f>IFERROR(VLOOKUP($A253,'Clients-Live'!$A:$C,3,0),"")</f>
        <v>ATIKU SIRAJI</v>
      </c>
      <c r="C253" s="353">
        <f>SUMIFS('Live Collections'!$J:$J,'Live Collections'!$D:$D,'Colln-Summary'!$A253,'Live Collections'!$B:$B,"&gt;="&amp;'Colln-Summary'!$G$1,'Live Collections'!$B:$B,"&lt;="&amp;'Colln-Summary'!$G$2)</f>
        <v>0</v>
      </c>
      <c r="D253" s="353">
        <f>SUMIFS('Live Collections'!$K:$K,'Live Collections'!$D:$D,'Colln-Summary'!$A253,'Live Collections'!$B:$B,"&gt;="&amp;'Colln-Summary'!$G$1,'Live Collections'!$B:$B,"&lt;="&amp;'Colln-Summary'!$G$2)</f>
        <v>0</v>
      </c>
      <c r="E253" s="353">
        <f>SUMIFS(Disbursements!$F:$F,Disbursements!$B:$B,'Colln-Summary'!$A253,Disbursements!$A:$A,"&gt;="&amp;'Colln-Summary'!$G$1,Disbursements!$A:$A,"&lt;="&amp;'Colln-Summary'!$G$2)</f>
        <v>0</v>
      </c>
      <c r="F253" s="353">
        <f>SUMIFS('Live Collections'!$L:$L,'Live Collections'!$D:$D,'Colln-Summary'!$A253,'Live Collections'!$B:$B,"&gt;="&amp;'Colln-Summary'!$G$1,'Live Collections'!$B:$B,"&lt;="&amp;'Colln-Summary'!$G$2)</f>
        <v>0</v>
      </c>
      <c r="G253" s="353">
        <f>SUMIFS('Live Collections'!$M:$M,'Live Collections'!$D:$D,'Colln-Summary'!$A253,'Live Collections'!$B:$B,"&gt;="&amp;'Colln-Summary'!$G$1,'Live Collections'!$B:$B,"&lt;="&amp;'Colln-Summary'!$G$2)</f>
        <v>0</v>
      </c>
      <c r="H253" s="353">
        <f>SUMIFS('Live Collections'!$N:$N,'Live Collections'!$D:$D,'Colln-Summary'!$A253,'Live Collections'!$B:$B,"&gt;="&amp;'Colln-Summary'!$G$1,'Live Collections'!$B:$B,"&lt;="&amp;'Colln-Summary'!$G$2)</f>
        <v>0</v>
      </c>
      <c r="I253" s="353">
        <f>SUMIFS('Live Collections'!$P:$P,'Live Collections'!$D:$D,'Colln-Summary'!$A253,'Live Collections'!$B:$B,"&gt;="&amp;'Colln-Summary'!$G$1,'Live Collections'!$B:$B,"&lt;="&amp;'Colln-Summary'!$G$2)</f>
        <v>0</v>
      </c>
      <c r="J253" s="353">
        <f>SUMIFS('Live Collections'!$O:$O,'Live Collections'!$D:$D,'Colln-Summary'!$A253,'Live Collections'!$B:$B,"&gt;="&amp;'Colln-Summary'!$G$1,'Live Collections'!$B:$B,"&lt;="&amp;'Colln-Summary'!$G$2)</f>
        <v>0</v>
      </c>
      <c r="K253" s="360">
        <f>SUMIFS('Live Collections'!$S:$S,'Live Collections'!$D:$D,'Colln-Summary'!$A253,'Live Collections'!$B:$B,"&gt;="&amp;'Colln-Summary'!$G$1,'Live Collections'!$B:$B,"&lt;="&amp;'Colln-Summary'!$G$2)</f>
        <v>0</v>
      </c>
      <c r="L253" s="360">
        <f>SUMIFS('Live Collections'!$T:$T,'Live Collections'!$D:$D,'Colln-Summary'!$A253,'Live Collections'!$B:$B,"&gt;="&amp;'Colln-Summary'!$G$1,'Live Collections'!$B:$B,"&lt;="&amp;'Colln-Summary'!$G$2)</f>
        <v>0</v>
      </c>
      <c r="M253" s="258">
        <f t="shared" si="5"/>
        <v>0</v>
      </c>
    </row>
    <row r="254" spans="1:13" x14ac:dyDescent="0.2">
      <c r="A254" s="478">
        <v>250</v>
      </c>
      <c r="B254" s="352" t="str">
        <f>IFERROR(VLOOKUP($A254,'Clients-Live'!$A:$C,3,0),"")</f>
        <v>SAKAYA AMINA</v>
      </c>
      <c r="C254" s="353">
        <f>SUMIFS('Live Collections'!$J:$J,'Live Collections'!$D:$D,'Colln-Summary'!$A254,'Live Collections'!$B:$B,"&gt;="&amp;'Colln-Summary'!$G$1,'Live Collections'!$B:$B,"&lt;="&amp;'Colln-Summary'!$G$2)</f>
        <v>0</v>
      </c>
      <c r="D254" s="353">
        <f>SUMIFS('Live Collections'!$K:$K,'Live Collections'!$D:$D,'Colln-Summary'!$A254,'Live Collections'!$B:$B,"&gt;="&amp;'Colln-Summary'!$G$1,'Live Collections'!$B:$B,"&lt;="&amp;'Colln-Summary'!$G$2)</f>
        <v>0</v>
      </c>
      <c r="E254" s="353">
        <f>SUMIFS(Disbursements!$F:$F,Disbursements!$B:$B,'Colln-Summary'!$A254,Disbursements!$A:$A,"&gt;="&amp;'Colln-Summary'!$G$1,Disbursements!$A:$A,"&lt;="&amp;'Colln-Summary'!$G$2)</f>
        <v>0</v>
      </c>
      <c r="F254" s="353">
        <f>SUMIFS('Live Collections'!$L:$L,'Live Collections'!$D:$D,'Colln-Summary'!$A254,'Live Collections'!$B:$B,"&gt;="&amp;'Colln-Summary'!$G$1,'Live Collections'!$B:$B,"&lt;="&amp;'Colln-Summary'!$G$2)</f>
        <v>0</v>
      </c>
      <c r="G254" s="353">
        <f>SUMIFS('Live Collections'!$M:$M,'Live Collections'!$D:$D,'Colln-Summary'!$A254,'Live Collections'!$B:$B,"&gt;="&amp;'Colln-Summary'!$G$1,'Live Collections'!$B:$B,"&lt;="&amp;'Colln-Summary'!$G$2)</f>
        <v>0</v>
      </c>
      <c r="H254" s="353">
        <f>SUMIFS('Live Collections'!$N:$N,'Live Collections'!$D:$D,'Colln-Summary'!$A254,'Live Collections'!$B:$B,"&gt;="&amp;'Colln-Summary'!$G$1,'Live Collections'!$B:$B,"&lt;="&amp;'Colln-Summary'!$G$2)</f>
        <v>0</v>
      </c>
      <c r="I254" s="353">
        <f>SUMIFS('Live Collections'!$P:$P,'Live Collections'!$D:$D,'Colln-Summary'!$A254,'Live Collections'!$B:$B,"&gt;="&amp;'Colln-Summary'!$G$1,'Live Collections'!$B:$B,"&lt;="&amp;'Colln-Summary'!$G$2)</f>
        <v>0</v>
      </c>
      <c r="J254" s="353">
        <f>SUMIFS('Live Collections'!$O:$O,'Live Collections'!$D:$D,'Colln-Summary'!$A254,'Live Collections'!$B:$B,"&gt;="&amp;'Colln-Summary'!$G$1,'Live Collections'!$B:$B,"&lt;="&amp;'Colln-Summary'!$G$2)</f>
        <v>120000</v>
      </c>
      <c r="K254" s="360">
        <f>SUMIFS('Live Collections'!$S:$S,'Live Collections'!$D:$D,'Colln-Summary'!$A254,'Live Collections'!$B:$B,"&gt;="&amp;'Colln-Summary'!$G$1,'Live Collections'!$B:$B,"&lt;="&amp;'Colln-Summary'!$G$2)</f>
        <v>0</v>
      </c>
      <c r="L254" s="360">
        <f>SUMIFS('Live Collections'!$T:$T,'Live Collections'!$D:$D,'Colln-Summary'!$A254,'Live Collections'!$B:$B,"&gt;="&amp;'Colln-Summary'!$G$1,'Live Collections'!$B:$B,"&lt;="&amp;'Colln-Summary'!$G$2)</f>
        <v>120000</v>
      </c>
      <c r="M254" s="258">
        <f t="shared" si="5"/>
        <v>120000</v>
      </c>
    </row>
    <row r="255" spans="1:13" x14ac:dyDescent="0.2">
      <c r="A255" s="478">
        <v>251</v>
      </c>
      <c r="B255" s="352" t="str">
        <f>IFERROR(VLOOKUP($A255,'Clients-Live'!$A:$C,3,0),"")</f>
        <v>SIDA ZAINABU</v>
      </c>
      <c r="C255" s="353">
        <f>SUMIFS('Live Collections'!$J:$J,'Live Collections'!$D:$D,'Colln-Summary'!$A255,'Live Collections'!$B:$B,"&gt;="&amp;'Colln-Summary'!$G$1,'Live Collections'!$B:$B,"&lt;="&amp;'Colln-Summary'!$G$2)</f>
        <v>0</v>
      </c>
      <c r="D255" s="353">
        <f>SUMIFS('Live Collections'!$K:$K,'Live Collections'!$D:$D,'Colln-Summary'!$A255,'Live Collections'!$B:$B,"&gt;="&amp;'Colln-Summary'!$G$1,'Live Collections'!$B:$B,"&lt;="&amp;'Colln-Summary'!$G$2)</f>
        <v>0</v>
      </c>
      <c r="E255" s="353">
        <f>SUMIFS(Disbursements!$F:$F,Disbursements!$B:$B,'Colln-Summary'!$A255,Disbursements!$A:$A,"&gt;="&amp;'Colln-Summary'!$G$1,Disbursements!$A:$A,"&lt;="&amp;'Colln-Summary'!$G$2)</f>
        <v>0</v>
      </c>
      <c r="F255" s="353">
        <f>SUMIFS('Live Collections'!$L:$L,'Live Collections'!$D:$D,'Colln-Summary'!$A255,'Live Collections'!$B:$B,"&gt;="&amp;'Colln-Summary'!$G$1,'Live Collections'!$B:$B,"&lt;="&amp;'Colln-Summary'!$G$2)</f>
        <v>15000</v>
      </c>
      <c r="G255" s="353">
        <f>SUMIFS('Live Collections'!$M:$M,'Live Collections'!$D:$D,'Colln-Summary'!$A255,'Live Collections'!$B:$B,"&gt;="&amp;'Colln-Summary'!$G$1,'Live Collections'!$B:$B,"&lt;="&amp;'Colln-Summary'!$G$2)</f>
        <v>5000</v>
      </c>
      <c r="H255" s="353">
        <f>SUMIFS('Live Collections'!$N:$N,'Live Collections'!$D:$D,'Colln-Summary'!$A255,'Live Collections'!$B:$B,"&gt;="&amp;'Colln-Summary'!$G$1,'Live Collections'!$B:$B,"&lt;="&amp;'Colln-Summary'!$G$2)</f>
        <v>0</v>
      </c>
      <c r="I255" s="353">
        <f>SUMIFS('Live Collections'!$P:$P,'Live Collections'!$D:$D,'Colln-Summary'!$A255,'Live Collections'!$B:$B,"&gt;="&amp;'Colln-Summary'!$G$1,'Live Collections'!$B:$B,"&lt;="&amp;'Colln-Summary'!$G$2)</f>
        <v>-40000</v>
      </c>
      <c r="J255" s="353">
        <f>SUMIFS('Live Collections'!$O:$O,'Live Collections'!$D:$D,'Colln-Summary'!$A255,'Live Collections'!$B:$B,"&gt;="&amp;'Colln-Summary'!$G$1,'Live Collections'!$B:$B,"&lt;="&amp;'Colln-Summary'!$G$2)</f>
        <v>230000</v>
      </c>
      <c r="K255" s="360">
        <f>SUMIFS('Live Collections'!$S:$S,'Live Collections'!$D:$D,'Colln-Summary'!$A255,'Live Collections'!$B:$B,"&gt;="&amp;'Colln-Summary'!$G$1,'Live Collections'!$B:$B,"&lt;="&amp;'Colln-Summary'!$G$2)</f>
        <v>0</v>
      </c>
      <c r="L255" s="360">
        <f>SUMIFS('Live Collections'!$T:$T,'Live Collections'!$D:$D,'Colln-Summary'!$A255,'Live Collections'!$B:$B,"&gt;="&amp;'Colln-Summary'!$G$1,'Live Collections'!$B:$B,"&lt;="&amp;'Colln-Summary'!$G$2)</f>
        <v>230000</v>
      </c>
      <c r="M255" s="258">
        <f t="shared" si="5"/>
        <v>210000</v>
      </c>
    </row>
    <row r="256" spans="1:13" x14ac:dyDescent="0.2">
      <c r="A256" s="478">
        <v>252</v>
      </c>
      <c r="B256" s="352" t="str">
        <f>IFERROR(VLOOKUP($A256,'Clients-Live'!$A:$C,3,0),"")</f>
        <v>ANGUCIA JESCA</v>
      </c>
      <c r="C256" s="353">
        <f>SUMIFS('Live Collections'!$J:$J,'Live Collections'!$D:$D,'Colln-Summary'!$A256,'Live Collections'!$B:$B,"&gt;="&amp;'Colln-Summary'!$G$1,'Live Collections'!$B:$B,"&lt;="&amp;'Colln-Summary'!$G$2)</f>
        <v>0</v>
      </c>
      <c r="D256" s="353">
        <f>SUMIFS('Live Collections'!$K:$K,'Live Collections'!$D:$D,'Colln-Summary'!$A256,'Live Collections'!$B:$B,"&gt;="&amp;'Colln-Summary'!$G$1,'Live Collections'!$B:$B,"&lt;="&amp;'Colln-Summary'!$G$2)</f>
        <v>0</v>
      </c>
      <c r="E256" s="353">
        <f>SUMIFS(Disbursements!$F:$F,Disbursements!$B:$B,'Colln-Summary'!$A256,Disbursements!$A:$A,"&gt;="&amp;'Colln-Summary'!$G$1,Disbursements!$A:$A,"&lt;="&amp;'Colln-Summary'!$G$2)</f>
        <v>0</v>
      </c>
      <c r="F256" s="353">
        <f>SUMIFS('Live Collections'!$L:$L,'Live Collections'!$D:$D,'Colln-Summary'!$A256,'Live Collections'!$B:$B,"&gt;="&amp;'Colln-Summary'!$G$1,'Live Collections'!$B:$B,"&lt;="&amp;'Colln-Summary'!$G$2)</f>
        <v>0</v>
      </c>
      <c r="G256" s="353">
        <f>SUMIFS('Live Collections'!$M:$M,'Live Collections'!$D:$D,'Colln-Summary'!$A256,'Live Collections'!$B:$B,"&gt;="&amp;'Colln-Summary'!$G$1,'Live Collections'!$B:$B,"&lt;="&amp;'Colln-Summary'!$G$2)</f>
        <v>0</v>
      </c>
      <c r="H256" s="353">
        <f>SUMIFS('Live Collections'!$N:$N,'Live Collections'!$D:$D,'Colln-Summary'!$A256,'Live Collections'!$B:$B,"&gt;="&amp;'Colln-Summary'!$G$1,'Live Collections'!$B:$B,"&lt;="&amp;'Colln-Summary'!$G$2)</f>
        <v>0</v>
      </c>
      <c r="I256" s="353">
        <f>SUMIFS('Live Collections'!$P:$P,'Live Collections'!$D:$D,'Colln-Summary'!$A256,'Live Collections'!$B:$B,"&gt;="&amp;'Colln-Summary'!$G$1,'Live Collections'!$B:$B,"&lt;="&amp;'Colln-Summary'!$G$2)</f>
        <v>0</v>
      </c>
      <c r="J256" s="353">
        <f>SUMIFS('Live Collections'!$O:$O,'Live Collections'!$D:$D,'Colln-Summary'!$A256,'Live Collections'!$B:$B,"&gt;="&amp;'Colln-Summary'!$G$1,'Live Collections'!$B:$B,"&lt;="&amp;'Colln-Summary'!$G$2)</f>
        <v>60000</v>
      </c>
      <c r="K256" s="360">
        <f>SUMIFS('Live Collections'!$S:$S,'Live Collections'!$D:$D,'Colln-Summary'!$A256,'Live Collections'!$B:$B,"&gt;="&amp;'Colln-Summary'!$G$1,'Live Collections'!$B:$B,"&lt;="&amp;'Colln-Summary'!$G$2)</f>
        <v>38666.666666666664</v>
      </c>
      <c r="L256" s="360">
        <f>SUMIFS('Live Collections'!$T:$T,'Live Collections'!$D:$D,'Colln-Summary'!$A256,'Live Collections'!$B:$B,"&gt;="&amp;'Colln-Summary'!$G$1,'Live Collections'!$B:$B,"&lt;="&amp;'Colln-Summary'!$G$2)</f>
        <v>21333.333333333336</v>
      </c>
      <c r="M256" s="258">
        <f t="shared" si="5"/>
        <v>60000</v>
      </c>
    </row>
    <row r="257" spans="1:13" x14ac:dyDescent="0.2">
      <c r="A257" s="478">
        <v>253</v>
      </c>
      <c r="B257" s="352" t="str">
        <f>IFERROR(VLOOKUP($A257,'Clients-Live'!$A:$C,3,0),"")</f>
        <v>JAKUMA VINCENT</v>
      </c>
      <c r="C257" s="353">
        <f>SUMIFS('Live Collections'!$J:$J,'Live Collections'!$D:$D,'Colln-Summary'!$A257,'Live Collections'!$B:$B,"&gt;="&amp;'Colln-Summary'!$G$1,'Live Collections'!$B:$B,"&lt;="&amp;'Colln-Summary'!$G$2)</f>
        <v>0</v>
      </c>
      <c r="D257" s="353">
        <f>SUMIFS('Live Collections'!$K:$K,'Live Collections'!$D:$D,'Colln-Summary'!$A257,'Live Collections'!$B:$B,"&gt;="&amp;'Colln-Summary'!$G$1,'Live Collections'!$B:$B,"&lt;="&amp;'Colln-Summary'!$G$2)</f>
        <v>0</v>
      </c>
      <c r="E257" s="353">
        <f>SUMIFS(Disbursements!$F:$F,Disbursements!$B:$B,'Colln-Summary'!$A257,Disbursements!$A:$A,"&gt;="&amp;'Colln-Summary'!$G$1,Disbursements!$A:$A,"&lt;="&amp;'Colln-Summary'!$G$2)</f>
        <v>0</v>
      </c>
      <c r="F257" s="353">
        <f>SUMIFS('Live Collections'!$L:$L,'Live Collections'!$D:$D,'Colln-Summary'!$A257,'Live Collections'!$B:$B,"&gt;="&amp;'Colln-Summary'!$G$1,'Live Collections'!$B:$B,"&lt;="&amp;'Colln-Summary'!$G$2)</f>
        <v>0</v>
      </c>
      <c r="G257" s="353">
        <f>SUMIFS('Live Collections'!$M:$M,'Live Collections'!$D:$D,'Colln-Summary'!$A257,'Live Collections'!$B:$B,"&gt;="&amp;'Colln-Summary'!$G$1,'Live Collections'!$B:$B,"&lt;="&amp;'Colln-Summary'!$G$2)</f>
        <v>0</v>
      </c>
      <c r="H257" s="353">
        <f>SUMIFS('Live Collections'!$N:$N,'Live Collections'!$D:$D,'Colln-Summary'!$A257,'Live Collections'!$B:$B,"&gt;="&amp;'Colln-Summary'!$G$1,'Live Collections'!$B:$B,"&lt;="&amp;'Colln-Summary'!$G$2)</f>
        <v>0</v>
      </c>
      <c r="I257" s="353">
        <f>SUMIFS('Live Collections'!$P:$P,'Live Collections'!$D:$D,'Colln-Summary'!$A257,'Live Collections'!$B:$B,"&gt;="&amp;'Colln-Summary'!$G$1,'Live Collections'!$B:$B,"&lt;="&amp;'Colln-Summary'!$G$2)</f>
        <v>0</v>
      </c>
      <c r="J257" s="353">
        <f>SUMIFS('Live Collections'!$O:$O,'Live Collections'!$D:$D,'Colln-Summary'!$A257,'Live Collections'!$B:$B,"&gt;="&amp;'Colln-Summary'!$G$1,'Live Collections'!$B:$B,"&lt;="&amp;'Colln-Summary'!$G$2)</f>
        <v>600000</v>
      </c>
      <c r="K257" s="360">
        <f>SUMIFS('Live Collections'!$S:$S,'Live Collections'!$D:$D,'Colln-Summary'!$A257,'Live Collections'!$B:$B,"&gt;="&amp;'Colln-Summary'!$G$1,'Live Collections'!$B:$B,"&lt;="&amp;'Colln-Summary'!$G$2)</f>
        <v>0</v>
      </c>
      <c r="L257" s="360">
        <f>SUMIFS('Live Collections'!$T:$T,'Live Collections'!$D:$D,'Colln-Summary'!$A257,'Live Collections'!$B:$B,"&gt;="&amp;'Colln-Summary'!$G$1,'Live Collections'!$B:$B,"&lt;="&amp;'Colln-Summary'!$G$2)</f>
        <v>600000</v>
      </c>
      <c r="M257" s="258">
        <f t="shared" si="5"/>
        <v>600000</v>
      </c>
    </row>
    <row r="258" spans="1:13" x14ac:dyDescent="0.2">
      <c r="A258" s="478">
        <v>254</v>
      </c>
      <c r="B258" s="352" t="str">
        <f>IFERROR(VLOOKUP($A258,'Clients-Live'!$A:$C,3,0),"")</f>
        <v>ANITE AGNES</v>
      </c>
      <c r="C258" s="353">
        <f>SUMIFS('Live Collections'!$J:$J,'Live Collections'!$D:$D,'Colln-Summary'!$A258,'Live Collections'!$B:$B,"&gt;="&amp;'Colln-Summary'!$G$1,'Live Collections'!$B:$B,"&lt;="&amp;'Colln-Summary'!$G$2)</f>
        <v>0</v>
      </c>
      <c r="D258" s="353">
        <f>SUMIFS('Live Collections'!$K:$K,'Live Collections'!$D:$D,'Colln-Summary'!$A258,'Live Collections'!$B:$B,"&gt;="&amp;'Colln-Summary'!$G$1,'Live Collections'!$B:$B,"&lt;="&amp;'Colln-Summary'!$G$2)</f>
        <v>0</v>
      </c>
      <c r="E258" s="353">
        <f>SUMIFS(Disbursements!$F:$F,Disbursements!$B:$B,'Colln-Summary'!$A258,Disbursements!$A:$A,"&gt;="&amp;'Colln-Summary'!$G$1,Disbursements!$A:$A,"&lt;="&amp;'Colln-Summary'!$G$2)</f>
        <v>0</v>
      </c>
      <c r="F258" s="353">
        <f>SUMIFS('Live Collections'!$L:$L,'Live Collections'!$D:$D,'Colln-Summary'!$A258,'Live Collections'!$B:$B,"&gt;="&amp;'Colln-Summary'!$G$1,'Live Collections'!$B:$B,"&lt;="&amp;'Colln-Summary'!$G$2)</f>
        <v>0</v>
      </c>
      <c r="G258" s="353">
        <f>SUMIFS('Live Collections'!$M:$M,'Live Collections'!$D:$D,'Colln-Summary'!$A258,'Live Collections'!$B:$B,"&gt;="&amp;'Colln-Summary'!$G$1,'Live Collections'!$B:$B,"&lt;="&amp;'Colln-Summary'!$G$2)</f>
        <v>0</v>
      </c>
      <c r="H258" s="353">
        <f>SUMIFS('Live Collections'!$N:$N,'Live Collections'!$D:$D,'Colln-Summary'!$A258,'Live Collections'!$B:$B,"&gt;="&amp;'Colln-Summary'!$G$1,'Live Collections'!$B:$B,"&lt;="&amp;'Colln-Summary'!$G$2)</f>
        <v>0</v>
      </c>
      <c r="I258" s="353">
        <f>SUMIFS('Live Collections'!$P:$P,'Live Collections'!$D:$D,'Colln-Summary'!$A258,'Live Collections'!$B:$B,"&gt;="&amp;'Colln-Summary'!$G$1,'Live Collections'!$B:$B,"&lt;="&amp;'Colln-Summary'!$G$2)</f>
        <v>-40000</v>
      </c>
      <c r="J258" s="353">
        <f>SUMIFS('Live Collections'!$O:$O,'Live Collections'!$D:$D,'Colln-Summary'!$A258,'Live Collections'!$B:$B,"&gt;="&amp;'Colln-Summary'!$G$1,'Live Collections'!$B:$B,"&lt;="&amp;'Colln-Summary'!$G$2)</f>
        <v>240000</v>
      </c>
      <c r="K258" s="360">
        <f>SUMIFS('Live Collections'!$S:$S,'Live Collections'!$D:$D,'Colln-Summary'!$A258,'Live Collections'!$B:$B,"&gt;="&amp;'Colln-Summary'!$G$1,'Live Collections'!$B:$B,"&lt;="&amp;'Colln-Summary'!$G$2)</f>
        <v>0</v>
      </c>
      <c r="L258" s="360">
        <f>SUMIFS('Live Collections'!$T:$T,'Live Collections'!$D:$D,'Colln-Summary'!$A258,'Live Collections'!$B:$B,"&gt;="&amp;'Colln-Summary'!$G$1,'Live Collections'!$B:$B,"&lt;="&amp;'Colln-Summary'!$G$2)</f>
        <v>240000</v>
      </c>
      <c r="M258" s="258">
        <f t="shared" si="5"/>
        <v>200000</v>
      </c>
    </row>
    <row r="259" spans="1:13" x14ac:dyDescent="0.2">
      <c r="A259" s="478">
        <v>255</v>
      </c>
      <c r="B259" s="352" t="str">
        <f>IFERROR(VLOOKUP($A259,'Clients-Live'!$A:$C,3,0),"")</f>
        <v>YOBUTA JOHN</v>
      </c>
      <c r="C259" s="353">
        <f>SUMIFS('Live Collections'!$J:$J,'Live Collections'!$D:$D,'Colln-Summary'!$A259,'Live Collections'!$B:$B,"&gt;="&amp;'Colln-Summary'!$G$1,'Live Collections'!$B:$B,"&lt;="&amp;'Colln-Summary'!$G$2)</f>
        <v>0</v>
      </c>
      <c r="D259" s="353">
        <f>SUMIFS('Live Collections'!$K:$K,'Live Collections'!$D:$D,'Colln-Summary'!$A259,'Live Collections'!$B:$B,"&gt;="&amp;'Colln-Summary'!$G$1,'Live Collections'!$B:$B,"&lt;="&amp;'Colln-Summary'!$G$2)</f>
        <v>0</v>
      </c>
      <c r="E259" s="353">
        <f>SUMIFS(Disbursements!$F:$F,Disbursements!$B:$B,'Colln-Summary'!$A259,Disbursements!$A:$A,"&gt;="&amp;'Colln-Summary'!$G$1,Disbursements!$A:$A,"&lt;="&amp;'Colln-Summary'!$G$2)</f>
        <v>0</v>
      </c>
      <c r="F259" s="353">
        <f>SUMIFS('Live Collections'!$L:$L,'Live Collections'!$D:$D,'Colln-Summary'!$A259,'Live Collections'!$B:$B,"&gt;="&amp;'Colln-Summary'!$G$1,'Live Collections'!$B:$B,"&lt;="&amp;'Colln-Summary'!$G$2)</f>
        <v>0</v>
      </c>
      <c r="G259" s="353">
        <f>SUMIFS('Live Collections'!$M:$M,'Live Collections'!$D:$D,'Colln-Summary'!$A259,'Live Collections'!$B:$B,"&gt;="&amp;'Colln-Summary'!$G$1,'Live Collections'!$B:$B,"&lt;="&amp;'Colln-Summary'!$G$2)</f>
        <v>0</v>
      </c>
      <c r="H259" s="353">
        <f>SUMIFS('Live Collections'!$N:$N,'Live Collections'!$D:$D,'Colln-Summary'!$A259,'Live Collections'!$B:$B,"&gt;="&amp;'Colln-Summary'!$G$1,'Live Collections'!$B:$B,"&lt;="&amp;'Colln-Summary'!$G$2)</f>
        <v>0</v>
      </c>
      <c r="I259" s="353">
        <f>SUMIFS('Live Collections'!$P:$P,'Live Collections'!$D:$D,'Colln-Summary'!$A259,'Live Collections'!$B:$B,"&gt;="&amp;'Colln-Summary'!$G$1,'Live Collections'!$B:$B,"&lt;="&amp;'Colln-Summary'!$G$2)</f>
        <v>0</v>
      </c>
      <c r="J259" s="353">
        <f>SUMIFS('Live Collections'!$O:$O,'Live Collections'!$D:$D,'Colln-Summary'!$A259,'Live Collections'!$B:$B,"&gt;="&amp;'Colln-Summary'!$G$1,'Live Collections'!$B:$B,"&lt;="&amp;'Colln-Summary'!$G$2)</f>
        <v>450000</v>
      </c>
      <c r="K259" s="360">
        <f>SUMIFS('Live Collections'!$S:$S,'Live Collections'!$D:$D,'Colln-Summary'!$A259,'Live Collections'!$B:$B,"&gt;="&amp;'Colln-Summary'!$G$1,'Live Collections'!$B:$B,"&lt;="&amp;'Colln-Summary'!$G$2)</f>
        <v>108000</v>
      </c>
      <c r="L259" s="360">
        <f>SUMIFS('Live Collections'!$T:$T,'Live Collections'!$D:$D,'Colln-Summary'!$A259,'Live Collections'!$B:$B,"&gt;="&amp;'Colln-Summary'!$G$1,'Live Collections'!$B:$B,"&lt;="&amp;'Colln-Summary'!$G$2)</f>
        <v>342000</v>
      </c>
      <c r="M259" s="258">
        <f t="shared" si="5"/>
        <v>450000</v>
      </c>
    </row>
    <row r="260" spans="1:13" x14ac:dyDescent="0.2">
      <c r="A260" s="478">
        <v>256</v>
      </c>
      <c r="B260" s="352" t="str">
        <f>IFERROR(VLOOKUP($A260,'Clients-Live'!$A:$C,3,0),"")</f>
        <v>MUNDUGA SONGA</v>
      </c>
      <c r="C260" s="353">
        <f>SUMIFS('Live Collections'!$J:$J,'Live Collections'!$D:$D,'Colln-Summary'!$A260,'Live Collections'!$B:$B,"&gt;="&amp;'Colln-Summary'!$G$1,'Live Collections'!$B:$B,"&lt;="&amp;'Colln-Summary'!$G$2)</f>
        <v>0</v>
      </c>
      <c r="D260" s="353">
        <f>SUMIFS('Live Collections'!$K:$K,'Live Collections'!$D:$D,'Colln-Summary'!$A260,'Live Collections'!$B:$B,"&gt;="&amp;'Colln-Summary'!$G$1,'Live Collections'!$B:$B,"&lt;="&amp;'Colln-Summary'!$G$2)</f>
        <v>0</v>
      </c>
      <c r="E260" s="353">
        <f>SUMIFS(Disbursements!$F:$F,Disbursements!$B:$B,'Colln-Summary'!$A260,Disbursements!$A:$A,"&gt;="&amp;'Colln-Summary'!$G$1,Disbursements!$A:$A,"&lt;="&amp;'Colln-Summary'!$G$2)</f>
        <v>0</v>
      </c>
      <c r="F260" s="353">
        <f>SUMIFS('Live Collections'!$L:$L,'Live Collections'!$D:$D,'Colln-Summary'!$A260,'Live Collections'!$B:$B,"&gt;="&amp;'Colln-Summary'!$G$1,'Live Collections'!$B:$B,"&lt;="&amp;'Colln-Summary'!$G$2)</f>
        <v>0</v>
      </c>
      <c r="G260" s="353">
        <f>SUMIFS('Live Collections'!$M:$M,'Live Collections'!$D:$D,'Colln-Summary'!$A260,'Live Collections'!$B:$B,"&gt;="&amp;'Colln-Summary'!$G$1,'Live Collections'!$B:$B,"&lt;="&amp;'Colln-Summary'!$G$2)</f>
        <v>0</v>
      </c>
      <c r="H260" s="353">
        <f>SUMIFS('Live Collections'!$N:$N,'Live Collections'!$D:$D,'Colln-Summary'!$A260,'Live Collections'!$B:$B,"&gt;="&amp;'Colln-Summary'!$G$1,'Live Collections'!$B:$B,"&lt;="&amp;'Colln-Summary'!$G$2)</f>
        <v>0</v>
      </c>
      <c r="I260" s="353">
        <f>SUMIFS('Live Collections'!$P:$P,'Live Collections'!$D:$D,'Colln-Summary'!$A260,'Live Collections'!$B:$B,"&gt;="&amp;'Colln-Summary'!$G$1,'Live Collections'!$B:$B,"&lt;="&amp;'Colln-Summary'!$G$2)</f>
        <v>0</v>
      </c>
      <c r="J260" s="353">
        <f>SUMIFS('Live Collections'!$O:$O,'Live Collections'!$D:$D,'Colln-Summary'!$A260,'Live Collections'!$B:$B,"&gt;="&amp;'Colln-Summary'!$G$1,'Live Collections'!$B:$B,"&lt;="&amp;'Colln-Summary'!$G$2)</f>
        <v>0</v>
      </c>
      <c r="K260" s="360">
        <f>SUMIFS('Live Collections'!$S:$S,'Live Collections'!$D:$D,'Colln-Summary'!$A260,'Live Collections'!$B:$B,"&gt;="&amp;'Colln-Summary'!$G$1,'Live Collections'!$B:$B,"&lt;="&amp;'Colln-Summary'!$G$2)</f>
        <v>0</v>
      </c>
      <c r="L260" s="360">
        <f>SUMIFS('Live Collections'!$T:$T,'Live Collections'!$D:$D,'Colln-Summary'!$A260,'Live Collections'!$B:$B,"&gt;="&amp;'Colln-Summary'!$G$1,'Live Collections'!$B:$B,"&lt;="&amp;'Colln-Summary'!$G$2)</f>
        <v>0</v>
      </c>
      <c r="M260" s="258">
        <f t="shared" si="5"/>
        <v>0</v>
      </c>
    </row>
    <row r="261" spans="1:13" x14ac:dyDescent="0.2">
      <c r="A261" s="478">
        <v>257</v>
      </c>
      <c r="B261" s="352" t="str">
        <f>IFERROR(VLOOKUP($A261,'Clients-Live'!$A:$C,3,0),"")</f>
        <v>CHANDIGA CYRUS</v>
      </c>
      <c r="C261" s="353">
        <f>SUMIFS('Live Collections'!$J:$J,'Live Collections'!$D:$D,'Colln-Summary'!$A261,'Live Collections'!$B:$B,"&gt;="&amp;'Colln-Summary'!$G$1,'Live Collections'!$B:$B,"&lt;="&amp;'Colln-Summary'!$G$2)</f>
        <v>0</v>
      </c>
      <c r="D261" s="353">
        <f>SUMIFS('Live Collections'!$K:$K,'Live Collections'!$D:$D,'Colln-Summary'!$A261,'Live Collections'!$B:$B,"&gt;="&amp;'Colln-Summary'!$G$1,'Live Collections'!$B:$B,"&lt;="&amp;'Colln-Summary'!$G$2)</f>
        <v>0</v>
      </c>
      <c r="E261" s="353">
        <f>SUMIFS(Disbursements!$F:$F,Disbursements!$B:$B,'Colln-Summary'!$A261,Disbursements!$A:$A,"&gt;="&amp;'Colln-Summary'!$G$1,Disbursements!$A:$A,"&lt;="&amp;'Colln-Summary'!$G$2)</f>
        <v>0</v>
      </c>
      <c r="F261" s="353">
        <f>SUMIFS('Live Collections'!$L:$L,'Live Collections'!$D:$D,'Colln-Summary'!$A261,'Live Collections'!$B:$B,"&gt;="&amp;'Colln-Summary'!$G$1,'Live Collections'!$B:$B,"&lt;="&amp;'Colln-Summary'!$G$2)</f>
        <v>0</v>
      </c>
      <c r="G261" s="353">
        <f>SUMIFS('Live Collections'!$M:$M,'Live Collections'!$D:$D,'Colln-Summary'!$A261,'Live Collections'!$B:$B,"&gt;="&amp;'Colln-Summary'!$G$1,'Live Collections'!$B:$B,"&lt;="&amp;'Colln-Summary'!$G$2)</f>
        <v>0</v>
      </c>
      <c r="H261" s="353">
        <f>SUMIFS('Live Collections'!$N:$N,'Live Collections'!$D:$D,'Colln-Summary'!$A261,'Live Collections'!$B:$B,"&gt;="&amp;'Colln-Summary'!$G$1,'Live Collections'!$B:$B,"&lt;="&amp;'Colln-Summary'!$G$2)</f>
        <v>0</v>
      </c>
      <c r="I261" s="353">
        <f>SUMIFS('Live Collections'!$P:$P,'Live Collections'!$D:$D,'Colln-Summary'!$A261,'Live Collections'!$B:$B,"&gt;="&amp;'Colln-Summary'!$G$1,'Live Collections'!$B:$B,"&lt;="&amp;'Colln-Summary'!$G$2)</f>
        <v>0</v>
      </c>
      <c r="J261" s="353">
        <f>SUMIFS('Live Collections'!$O:$O,'Live Collections'!$D:$D,'Colln-Summary'!$A261,'Live Collections'!$B:$B,"&gt;="&amp;'Colln-Summary'!$G$1,'Live Collections'!$B:$B,"&lt;="&amp;'Colln-Summary'!$G$2)</f>
        <v>0</v>
      </c>
      <c r="K261" s="360">
        <f>SUMIFS('Live Collections'!$S:$S,'Live Collections'!$D:$D,'Colln-Summary'!$A261,'Live Collections'!$B:$B,"&gt;="&amp;'Colln-Summary'!$G$1,'Live Collections'!$B:$B,"&lt;="&amp;'Colln-Summary'!$G$2)</f>
        <v>0</v>
      </c>
      <c r="L261" s="360">
        <f>SUMIFS('Live Collections'!$T:$T,'Live Collections'!$D:$D,'Colln-Summary'!$A261,'Live Collections'!$B:$B,"&gt;="&amp;'Colln-Summary'!$G$1,'Live Collections'!$B:$B,"&lt;="&amp;'Colln-Summary'!$G$2)</f>
        <v>0</v>
      </c>
      <c r="M261" s="258">
        <f t="shared" si="5"/>
        <v>0</v>
      </c>
    </row>
    <row r="262" spans="1:13" x14ac:dyDescent="0.2">
      <c r="A262" s="478">
        <v>258</v>
      </c>
      <c r="B262" s="352" t="str">
        <f>IFERROR(VLOOKUP($A262,'Clients-Live'!$A:$C,3,0),"")</f>
        <v>KOLETA  JESCA</v>
      </c>
      <c r="C262" s="353">
        <f>SUMIFS('Live Collections'!$J:$J,'Live Collections'!$D:$D,'Colln-Summary'!$A262,'Live Collections'!$B:$B,"&gt;="&amp;'Colln-Summary'!$G$1,'Live Collections'!$B:$B,"&lt;="&amp;'Colln-Summary'!$G$2)</f>
        <v>0</v>
      </c>
      <c r="D262" s="353">
        <f>SUMIFS('Live Collections'!$K:$K,'Live Collections'!$D:$D,'Colln-Summary'!$A262,'Live Collections'!$B:$B,"&gt;="&amp;'Colln-Summary'!$G$1,'Live Collections'!$B:$B,"&lt;="&amp;'Colln-Summary'!$G$2)</f>
        <v>0</v>
      </c>
      <c r="E262" s="353">
        <f>SUMIFS(Disbursements!$F:$F,Disbursements!$B:$B,'Colln-Summary'!$A262,Disbursements!$A:$A,"&gt;="&amp;'Colln-Summary'!$G$1,Disbursements!$A:$A,"&lt;="&amp;'Colln-Summary'!$G$2)</f>
        <v>0</v>
      </c>
      <c r="F262" s="353">
        <f>SUMIFS('Live Collections'!$L:$L,'Live Collections'!$D:$D,'Colln-Summary'!$A262,'Live Collections'!$B:$B,"&gt;="&amp;'Colln-Summary'!$G$1,'Live Collections'!$B:$B,"&lt;="&amp;'Colln-Summary'!$G$2)</f>
        <v>0</v>
      </c>
      <c r="G262" s="353">
        <f>SUMIFS('Live Collections'!$M:$M,'Live Collections'!$D:$D,'Colln-Summary'!$A262,'Live Collections'!$B:$B,"&gt;="&amp;'Colln-Summary'!$G$1,'Live Collections'!$B:$B,"&lt;="&amp;'Colln-Summary'!$G$2)</f>
        <v>0</v>
      </c>
      <c r="H262" s="353">
        <f>SUMIFS('Live Collections'!$N:$N,'Live Collections'!$D:$D,'Colln-Summary'!$A262,'Live Collections'!$B:$B,"&gt;="&amp;'Colln-Summary'!$G$1,'Live Collections'!$B:$B,"&lt;="&amp;'Colln-Summary'!$G$2)</f>
        <v>0</v>
      </c>
      <c r="I262" s="353">
        <f>SUMIFS('Live Collections'!$P:$P,'Live Collections'!$D:$D,'Colln-Summary'!$A262,'Live Collections'!$B:$B,"&gt;="&amp;'Colln-Summary'!$G$1,'Live Collections'!$B:$B,"&lt;="&amp;'Colln-Summary'!$G$2)</f>
        <v>0</v>
      </c>
      <c r="J262" s="353">
        <f>SUMIFS('Live Collections'!$O:$O,'Live Collections'!$D:$D,'Colln-Summary'!$A262,'Live Collections'!$B:$B,"&gt;="&amp;'Colln-Summary'!$G$1,'Live Collections'!$B:$B,"&lt;="&amp;'Colln-Summary'!$G$2)</f>
        <v>0</v>
      </c>
      <c r="K262" s="360">
        <f>SUMIFS('Live Collections'!$S:$S,'Live Collections'!$D:$D,'Colln-Summary'!$A262,'Live Collections'!$B:$B,"&gt;="&amp;'Colln-Summary'!$G$1,'Live Collections'!$B:$B,"&lt;="&amp;'Colln-Summary'!$G$2)</f>
        <v>0</v>
      </c>
      <c r="L262" s="360">
        <f>SUMIFS('Live Collections'!$T:$T,'Live Collections'!$D:$D,'Colln-Summary'!$A262,'Live Collections'!$B:$B,"&gt;="&amp;'Colln-Summary'!$G$1,'Live Collections'!$B:$B,"&lt;="&amp;'Colln-Summary'!$G$2)</f>
        <v>0</v>
      </c>
      <c r="M262" s="258">
        <f t="shared" si="5"/>
        <v>0</v>
      </c>
    </row>
    <row r="263" spans="1:13" x14ac:dyDescent="0.2">
      <c r="A263" s="478">
        <v>259</v>
      </c>
      <c r="B263" s="352" t="str">
        <f>IFERROR(VLOOKUP($A263,'Clients-Live'!$A:$C,3,0),"")</f>
        <v>SALAMA GIFT</v>
      </c>
      <c r="C263" s="353">
        <f>SUMIFS('Live Collections'!$J:$J,'Live Collections'!$D:$D,'Colln-Summary'!$A263,'Live Collections'!$B:$B,"&gt;="&amp;'Colln-Summary'!$G$1,'Live Collections'!$B:$B,"&lt;="&amp;'Colln-Summary'!$G$2)</f>
        <v>0</v>
      </c>
      <c r="D263" s="353">
        <f>SUMIFS('Live Collections'!$K:$K,'Live Collections'!$D:$D,'Colln-Summary'!$A263,'Live Collections'!$B:$B,"&gt;="&amp;'Colln-Summary'!$G$1,'Live Collections'!$B:$B,"&lt;="&amp;'Colln-Summary'!$G$2)</f>
        <v>0</v>
      </c>
      <c r="E263" s="353">
        <f>SUMIFS(Disbursements!$F:$F,Disbursements!$B:$B,'Colln-Summary'!$A263,Disbursements!$A:$A,"&gt;="&amp;'Colln-Summary'!$G$1,Disbursements!$A:$A,"&lt;="&amp;'Colln-Summary'!$G$2)</f>
        <v>0</v>
      </c>
      <c r="F263" s="353">
        <f>SUMIFS('Live Collections'!$L:$L,'Live Collections'!$D:$D,'Colln-Summary'!$A263,'Live Collections'!$B:$B,"&gt;="&amp;'Colln-Summary'!$G$1,'Live Collections'!$B:$B,"&lt;="&amp;'Colln-Summary'!$G$2)</f>
        <v>15000</v>
      </c>
      <c r="G263" s="353">
        <f>SUMIFS('Live Collections'!$M:$M,'Live Collections'!$D:$D,'Colln-Summary'!$A263,'Live Collections'!$B:$B,"&gt;="&amp;'Colln-Summary'!$G$1,'Live Collections'!$B:$B,"&lt;="&amp;'Colln-Summary'!$G$2)</f>
        <v>5000</v>
      </c>
      <c r="H263" s="353">
        <f>SUMIFS('Live Collections'!$N:$N,'Live Collections'!$D:$D,'Colln-Summary'!$A263,'Live Collections'!$B:$B,"&gt;="&amp;'Colln-Summary'!$G$1,'Live Collections'!$B:$B,"&lt;="&amp;'Colln-Summary'!$G$2)</f>
        <v>0</v>
      </c>
      <c r="I263" s="353">
        <f>SUMIFS('Live Collections'!$P:$P,'Live Collections'!$D:$D,'Colln-Summary'!$A263,'Live Collections'!$B:$B,"&gt;="&amp;'Colln-Summary'!$G$1,'Live Collections'!$B:$B,"&lt;="&amp;'Colln-Summary'!$G$2)</f>
        <v>-20000</v>
      </c>
      <c r="J263" s="353">
        <f>SUMIFS('Live Collections'!$O:$O,'Live Collections'!$D:$D,'Colln-Summary'!$A263,'Live Collections'!$B:$B,"&gt;="&amp;'Colln-Summary'!$G$1,'Live Collections'!$B:$B,"&lt;="&amp;'Colln-Summary'!$G$2)</f>
        <v>153000</v>
      </c>
      <c r="K263" s="360">
        <f>SUMIFS('Live Collections'!$S:$S,'Live Collections'!$D:$D,'Colln-Summary'!$A263,'Live Collections'!$B:$B,"&gt;="&amp;'Colln-Summary'!$G$1,'Live Collections'!$B:$B,"&lt;="&amp;'Colln-Summary'!$G$2)</f>
        <v>0</v>
      </c>
      <c r="L263" s="360">
        <f>SUMIFS('Live Collections'!$T:$T,'Live Collections'!$D:$D,'Colln-Summary'!$A263,'Live Collections'!$B:$B,"&gt;="&amp;'Colln-Summary'!$G$1,'Live Collections'!$B:$B,"&lt;="&amp;'Colln-Summary'!$G$2)</f>
        <v>153000</v>
      </c>
      <c r="M263" s="258">
        <f t="shared" si="5"/>
        <v>153000</v>
      </c>
    </row>
    <row r="264" spans="1:13" x14ac:dyDescent="0.2">
      <c r="A264" s="478">
        <v>260</v>
      </c>
      <c r="B264" s="352" t="str">
        <f>IFERROR(VLOOKUP($A264,'Clients-Live'!$A:$C,3,0),"")</f>
        <v>ATAYI GRACE</v>
      </c>
      <c r="C264" s="353">
        <f>SUMIFS('Live Collections'!$J:$J,'Live Collections'!$D:$D,'Colln-Summary'!$A264,'Live Collections'!$B:$B,"&gt;="&amp;'Colln-Summary'!$G$1,'Live Collections'!$B:$B,"&lt;="&amp;'Colln-Summary'!$G$2)</f>
        <v>0</v>
      </c>
      <c r="D264" s="353">
        <f>SUMIFS('Live Collections'!$K:$K,'Live Collections'!$D:$D,'Colln-Summary'!$A264,'Live Collections'!$B:$B,"&gt;="&amp;'Colln-Summary'!$G$1,'Live Collections'!$B:$B,"&lt;="&amp;'Colln-Summary'!$G$2)</f>
        <v>0</v>
      </c>
      <c r="E264" s="353">
        <f>SUMIFS(Disbursements!$F:$F,Disbursements!$B:$B,'Colln-Summary'!$A264,Disbursements!$A:$A,"&gt;="&amp;'Colln-Summary'!$G$1,Disbursements!$A:$A,"&lt;="&amp;'Colln-Summary'!$G$2)</f>
        <v>0</v>
      </c>
      <c r="F264" s="353">
        <f>SUMIFS('Live Collections'!$L:$L,'Live Collections'!$D:$D,'Colln-Summary'!$A264,'Live Collections'!$B:$B,"&gt;="&amp;'Colln-Summary'!$G$1,'Live Collections'!$B:$B,"&lt;="&amp;'Colln-Summary'!$G$2)</f>
        <v>0</v>
      </c>
      <c r="G264" s="353">
        <f>SUMIFS('Live Collections'!$M:$M,'Live Collections'!$D:$D,'Colln-Summary'!$A264,'Live Collections'!$B:$B,"&gt;="&amp;'Colln-Summary'!$G$1,'Live Collections'!$B:$B,"&lt;="&amp;'Colln-Summary'!$G$2)</f>
        <v>0</v>
      </c>
      <c r="H264" s="353">
        <f>SUMIFS('Live Collections'!$N:$N,'Live Collections'!$D:$D,'Colln-Summary'!$A264,'Live Collections'!$B:$B,"&gt;="&amp;'Colln-Summary'!$G$1,'Live Collections'!$B:$B,"&lt;="&amp;'Colln-Summary'!$G$2)</f>
        <v>0</v>
      </c>
      <c r="I264" s="353">
        <f>SUMIFS('Live Collections'!$P:$P,'Live Collections'!$D:$D,'Colln-Summary'!$A264,'Live Collections'!$B:$B,"&gt;="&amp;'Colln-Summary'!$G$1,'Live Collections'!$B:$B,"&lt;="&amp;'Colln-Summary'!$G$2)</f>
        <v>0</v>
      </c>
      <c r="J264" s="353">
        <f>SUMIFS('Live Collections'!$O:$O,'Live Collections'!$D:$D,'Colln-Summary'!$A264,'Live Collections'!$B:$B,"&gt;="&amp;'Colln-Summary'!$G$1,'Live Collections'!$B:$B,"&lt;="&amp;'Colln-Summary'!$G$2)</f>
        <v>70000</v>
      </c>
      <c r="K264" s="360">
        <f>SUMIFS('Live Collections'!$S:$S,'Live Collections'!$D:$D,'Colln-Summary'!$A264,'Live Collections'!$B:$B,"&gt;="&amp;'Colln-Summary'!$G$1,'Live Collections'!$B:$B,"&lt;="&amp;'Colln-Summary'!$G$2)</f>
        <v>0</v>
      </c>
      <c r="L264" s="360">
        <f>SUMIFS('Live Collections'!$T:$T,'Live Collections'!$D:$D,'Colln-Summary'!$A264,'Live Collections'!$B:$B,"&gt;="&amp;'Colln-Summary'!$G$1,'Live Collections'!$B:$B,"&lt;="&amp;'Colln-Summary'!$G$2)</f>
        <v>70000</v>
      </c>
      <c r="M264" s="258">
        <f t="shared" si="5"/>
        <v>70000</v>
      </c>
    </row>
    <row r="265" spans="1:13" x14ac:dyDescent="0.2">
      <c r="A265" s="478">
        <v>261</v>
      </c>
      <c r="B265" s="352" t="str">
        <f>IFERROR(VLOOKUP($A265,'Clients-Live'!$A:$C,3,0),"")</f>
        <v>AMANIYO STELLA</v>
      </c>
      <c r="C265" s="353">
        <f>SUMIFS('Live Collections'!$J:$J,'Live Collections'!$D:$D,'Colln-Summary'!$A265,'Live Collections'!$B:$B,"&gt;="&amp;'Colln-Summary'!$G$1,'Live Collections'!$B:$B,"&lt;="&amp;'Colln-Summary'!$G$2)</f>
        <v>0</v>
      </c>
      <c r="D265" s="353">
        <f>SUMIFS('Live Collections'!$K:$K,'Live Collections'!$D:$D,'Colln-Summary'!$A265,'Live Collections'!$B:$B,"&gt;="&amp;'Colln-Summary'!$G$1,'Live Collections'!$B:$B,"&lt;="&amp;'Colln-Summary'!$G$2)</f>
        <v>0</v>
      </c>
      <c r="E265" s="353">
        <f>SUMIFS(Disbursements!$F:$F,Disbursements!$B:$B,'Colln-Summary'!$A265,Disbursements!$A:$A,"&gt;="&amp;'Colln-Summary'!$G$1,Disbursements!$A:$A,"&lt;="&amp;'Colln-Summary'!$G$2)</f>
        <v>0</v>
      </c>
      <c r="F265" s="353">
        <f>SUMIFS('Live Collections'!$L:$L,'Live Collections'!$D:$D,'Colln-Summary'!$A265,'Live Collections'!$B:$B,"&gt;="&amp;'Colln-Summary'!$G$1,'Live Collections'!$B:$B,"&lt;="&amp;'Colln-Summary'!$G$2)</f>
        <v>0</v>
      </c>
      <c r="G265" s="353">
        <f>SUMIFS('Live Collections'!$M:$M,'Live Collections'!$D:$D,'Colln-Summary'!$A265,'Live Collections'!$B:$B,"&gt;="&amp;'Colln-Summary'!$G$1,'Live Collections'!$B:$B,"&lt;="&amp;'Colln-Summary'!$G$2)</f>
        <v>0</v>
      </c>
      <c r="H265" s="353">
        <f>SUMIFS('Live Collections'!$N:$N,'Live Collections'!$D:$D,'Colln-Summary'!$A265,'Live Collections'!$B:$B,"&gt;="&amp;'Colln-Summary'!$G$1,'Live Collections'!$B:$B,"&lt;="&amp;'Colln-Summary'!$G$2)</f>
        <v>0</v>
      </c>
      <c r="I265" s="353">
        <f>SUMIFS('Live Collections'!$P:$P,'Live Collections'!$D:$D,'Colln-Summary'!$A265,'Live Collections'!$B:$B,"&gt;="&amp;'Colln-Summary'!$G$1,'Live Collections'!$B:$B,"&lt;="&amp;'Colln-Summary'!$G$2)</f>
        <v>-30000</v>
      </c>
      <c r="J265" s="353">
        <f>SUMIFS('Live Collections'!$O:$O,'Live Collections'!$D:$D,'Colln-Summary'!$A265,'Live Collections'!$B:$B,"&gt;="&amp;'Colln-Summary'!$G$1,'Live Collections'!$B:$B,"&lt;="&amp;'Colln-Summary'!$G$2)</f>
        <v>235000</v>
      </c>
      <c r="K265" s="360">
        <f>SUMIFS('Live Collections'!$S:$S,'Live Collections'!$D:$D,'Colln-Summary'!$A265,'Live Collections'!$B:$B,"&gt;="&amp;'Colln-Summary'!$G$1,'Live Collections'!$B:$B,"&lt;="&amp;'Colln-Summary'!$G$2)</f>
        <v>5000</v>
      </c>
      <c r="L265" s="360">
        <f>SUMIFS('Live Collections'!$T:$T,'Live Collections'!$D:$D,'Colln-Summary'!$A265,'Live Collections'!$B:$B,"&gt;="&amp;'Colln-Summary'!$G$1,'Live Collections'!$B:$B,"&lt;="&amp;'Colln-Summary'!$G$2)</f>
        <v>230000</v>
      </c>
      <c r="M265" s="258">
        <f t="shared" si="5"/>
        <v>205000</v>
      </c>
    </row>
    <row r="266" spans="1:13" x14ac:dyDescent="0.2">
      <c r="A266" s="478">
        <v>262</v>
      </c>
      <c r="B266" s="352" t="str">
        <f>IFERROR(VLOOKUP($A266,'Clients-Live'!$A:$C,3,0),"")</f>
        <v>ALONE ZAITUN</v>
      </c>
      <c r="C266" s="353">
        <f>SUMIFS('Live Collections'!$J:$J,'Live Collections'!$D:$D,'Colln-Summary'!$A266,'Live Collections'!$B:$B,"&gt;="&amp;'Colln-Summary'!$G$1,'Live Collections'!$B:$B,"&lt;="&amp;'Colln-Summary'!$G$2)</f>
        <v>0</v>
      </c>
      <c r="D266" s="353">
        <f>SUMIFS('Live Collections'!$K:$K,'Live Collections'!$D:$D,'Colln-Summary'!$A266,'Live Collections'!$B:$B,"&gt;="&amp;'Colln-Summary'!$G$1,'Live Collections'!$B:$B,"&lt;="&amp;'Colln-Summary'!$G$2)</f>
        <v>0</v>
      </c>
      <c r="E266" s="353">
        <f>SUMIFS(Disbursements!$F:$F,Disbursements!$B:$B,'Colln-Summary'!$A266,Disbursements!$A:$A,"&gt;="&amp;'Colln-Summary'!$G$1,Disbursements!$A:$A,"&lt;="&amp;'Colln-Summary'!$G$2)</f>
        <v>0</v>
      </c>
      <c r="F266" s="353">
        <f>SUMIFS('Live Collections'!$L:$L,'Live Collections'!$D:$D,'Colln-Summary'!$A266,'Live Collections'!$B:$B,"&gt;="&amp;'Colln-Summary'!$G$1,'Live Collections'!$B:$B,"&lt;="&amp;'Colln-Summary'!$G$2)</f>
        <v>0</v>
      </c>
      <c r="G266" s="353">
        <f>SUMIFS('Live Collections'!$M:$M,'Live Collections'!$D:$D,'Colln-Summary'!$A266,'Live Collections'!$B:$B,"&gt;="&amp;'Colln-Summary'!$G$1,'Live Collections'!$B:$B,"&lt;="&amp;'Colln-Summary'!$G$2)</f>
        <v>0</v>
      </c>
      <c r="H266" s="353">
        <f>SUMIFS('Live Collections'!$N:$N,'Live Collections'!$D:$D,'Colln-Summary'!$A266,'Live Collections'!$B:$B,"&gt;="&amp;'Colln-Summary'!$G$1,'Live Collections'!$B:$B,"&lt;="&amp;'Colln-Summary'!$G$2)</f>
        <v>0</v>
      </c>
      <c r="I266" s="353">
        <f>SUMIFS('Live Collections'!$P:$P,'Live Collections'!$D:$D,'Colln-Summary'!$A266,'Live Collections'!$B:$B,"&gt;="&amp;'Colln-Summary'!$G$1,'Live Collections'!$B:$B,"&lt;="&amp;'Colln-Summary'!$G$2)</f>
        <v>0</v>
      </c>
      <c r="J266" s="353">
        <f>SUMIFS('Live Collections'!$O:$O,'Live Collections'!$D:$D,'Colln-Summary'!$A266,'Live Collections'!$B:$B,"&gt;="&amp;'Colln-Summary'!$G$1,'Live Collections'!$B:$B,"&lt;="&amp;'Colln-Summary'!$G$2)</f>
        <v>76700</v>
      </c>
      <c r="K266" s="360">
        <f>SUMIFS('Live Collections'!$S:$S,'Live Collections'!$D:$D,'Colln-Summary'!$A266,'Live Collections'!$B:$B,"&gt;="&amp;'Colln-Summary'!$G$1,'Live Collections'!$B:$B,"&lt;="&amp;'Colln-Summary'!$G$2)</f>
        <v>15000</v>
      </c>
      <c r="L266" s="360">
        <f>SUMIFS('Live Collections'!$T:$T,'Live Collections'!$D:$D,'Colln-Summary'!$A266,'Live Collections'!$B:$B,"&gt;="&amp;'Colln-Summary'!$G$1,'Live Collections'!$B:$B,"&lt;="&amp;'Colln-Summary'!$G$2)</f>
        <v>61700</v>
      </c>
      <c r="M266" s="258">
        <f t="shared" si="5"/>
        <v>76700</v>
      </c>
    </row>
    <row r="267" spans="1:13" x14ac:dyDescent="0.2">
      <c r="A267" s="478">
        <v>263</v>
      </c>
      <c r="B267" s="352" t="str">
        <f>IFERROR(VLOOKUP($A267,'Clients-Live'!$A:$C,3,0),"")</f>
        <v>DATA SAFI DUIKI</v>
      </c>
      <c r="C267" s="353">
        <f>SUMIFS('Live Collections'!$J:$J,'Live Collections'!$D:$D,'Colln-Summary'!$A267,'Live Collections'!$B:$B,"&gt;="&amp;'Colln-Summary'!$G$1,'Live Collections'!$B:$B,"&lt;="&amp;'Colln-Summary'!$G$2)</f>
        <v>0</v>
      </c>
      <c r="D267" s="353">
        <f>SUMIFS('Live Collections'!$K:$K,'Live Collections'!$D:$D,'Colln-Summary'!$A267,'Live Collections'!$B:$B,"&gt;="&amp;'Colln-Summary'!$G$1,'Live Collections'!$B:$B,"&lt;="&amp;'Colln-Summary'!$G$2)</f>
        <v>0</v>
      </c>
      <c r="E267" s="353">
        <f>SUMIFS(Disbursements!$F:$F,Disbursements!$B:$B,'Colln-Summary'!$A267,Disbursements!$A:$A,"&gt;="&amp;'Colln-Summary'!$G$1,Disbursements!$A:$A,"&lt;="&amp;'Colln-Summary'!$G$2)</f>
        <v>0</v>
      </c>
      <c r="F267" s="353">
        <f>SUMIFS('Live Collections'!$L:$L,'Live Collections'!$D:$D,'Colln-Summary'!$A267,'Live Collections'!$B:$B,"&gt;="&amp;'Colln-Summary'!$G$1,'Live Collections'!$B:$B,"&lt;="&amp;'Colln-Summary'!$G$2)</f>
        <v>0</v>
      </c>
      <c r="G267" s="353">
        <f>SUMIFS('Live Collections'!$M:$M,'Live Collections'!$D:$D,'Colln-Summary'!$A267,'Live Collections'!$B:$B,"&gt;="&amp;'Colln-Summary'!$G$1,'Live Collections'!$B:$B,"&lt;="&amp;'Colln-Summary'!$G$2)</f>
        <v>0</v>
      </c>
      <c r="H267" s="353">
        <f>SUMIFS('Live Collections'!$N:$N,'Live Collections'!$D:$D,'Colln-Summary'!$A267,'Live Collections'!$B:$B,"&gt;="&amp;'Colln-Summary'!$G$1,'Live Collections'!$B:$B,"&lt;="&amp;'Colln-Summary'!$G$2)</f>
        <v>0</v>
      </c>
      <c r="I267" s="353">
        <f>SUMIFS('Live Collections'!$P:$P,'Live Collections'!$D:$D,'Colln-Summary'!$A267,'Live Collections'!$B:$B,"&gt;="&amp;'Colln-Summary'!$G$1,'Live Collections'!$B:$B,"&lt;="&amp;'Colln-Summary'!$G$2)</f>
        <v>0</v>
      </c>
      <c r="J267" s="353">
        <f>SUMIFS('Live Collections'!$O:$O,'Live Collections'!$D:$D,'Colln-Summary'!$A267,'Live Collections'!$B:$B,"&gt;="&amp;'Colln-Summary'!$G$1,'Live Collections'!$B:$B,"&lt;="&amp;'Colln-Summary'!$G$2)</f>
        <v>800000</v>
      </c>
      <c r="K267" s="360">
        <f>SUMIFS('Live Collections'!$S:$S,'Live Collections'!$D:$D,'Colln-Summary'!$A267,'Live Collections'!$B:$B,"&gt;="&amp;'Colln-Summary'!$G$1,'Live Collections'!$B:$B,"&lt;="&amp;'Colln-Summary'!$G$2)</f>
        <v>15000</v>
      </c>
      <c r="L267" s="360">
        <f>SUMIFS('Live Collections'!$T:$T,'Live Collections'!$D:$D,'Colln-Summary'!$A267,'Live Collections'!$B:$B,"&gt;="&amp;'Colln-Summary'!$G$1,'Live Collections'!$B:$B,"&lt;="&amp;'Colln-Summary'!$G$2)</f>
        <v>785000</v>
      </c>
      <c r="M267" s="258">
        <f t="shared" si="5"/>
        <v>800000</v>
      </c>
    </row>
    <row r="268" spans="1:13" x14ac:dyDescent="0.2">
      <c r="A268" s="478">
        <v>264</v>
      </c>
      <c r="B268" s="352" t="str">
        <f>IFERROR(VLOOKUP($A268,'Clients-Live'!$A:$C,3,0),"")</f>
        <v>AMORI JOHN BAPTIST</v>
      </c>
      <c r="C268" s="353">
        <f>SUMIFS('Live Collections'!$J:$J,'Live Collections'!$D:$D,'Colln-Summary'!$A268,'Live Collections'!$B:$B,"&gt;="&amp;'Colln-Summary'!$G$1,'Live Collections'!$B:$B,"&lt;="&amp;'Colln-Summary'!$G$2)</f>
        <v>0</v>
      </c>
      <c r="D268" s="353">
        <f>SUMIFS('Live Collections'!$K:$K,'Live Collections'!$D:$D,'Colln-Summary'!$A268,'Live Collections'!$B:$B,"&gt;="&amp;'Colln-Summary'!$G$1,'Live Collections'!$B:$B,"&lt;="&amp;'Colln-Summary'!$G$2)</f>
        <v>0</v>
      </c>
      <c r="E268" s="353">
        <f>SUMIFS(Disbursements!$F:$F,Disbursements!$B:$B,'Colln-Summary'!$A268,Disbursements!$A:$A,"&gt;="&amp;'Colln-Summary'!$G$1,Disbursements!$A:$A,"&lt;="&amp;'Colln-Summary'!$G$2)</f>
        <v>0</v>
      </c>
      <c r="F268" s="353">
        <f>SUMIFS('Live Collections'!$L:$L,'Live Collections'!$D:$D,'Colln-Summary'!$A268,'Live Collections'!$B:$B,"&gt;="&amp;'Colln-Summary'!$G$1,'Live Collections'!$B:$B,"&lt;="&amp;'Colln-Summary'!$G$2)</f>
        <v>0</v>
      </c>
      <c r="G268" s="353">
        <f>SUMIFS('Live Collections'!$M:$M,'Live Collections'!$D:$D,'Colln-Summary'!$A268,'Live Collections'!$B:$B,"&gt;="&amp;'Colln-Summary'!$G$1,'Live Collections'!$B:$B,"&lt;="&amp;'Colln-Summary'!$G$2)</f>
        <v>0</v>
      </c>
      <c r="H268" s="353">
        <f>SUMIFS('Live Collections'!$N:$N,'Live Collections'!$D:$D,'Colln-Summary'!$A268,'Live Collections'!$B:$B,"&gt;="&amp;'Colln-Summary'!$G$1,'Live Collections'!$B:$B,"&lt;="&amp;'Colln-Summary'!$G$2)</f>
        <v>0</v>
      </c>
      <c r="I268" s="353">
        <f>SUMIFS('Live Collections'!$P:$P,'Live Collections'!$D:$D,'Colln-Summary'!$A268,'Live Collections'!$B:$B,"&gt;="&amp;'Colln-Summary'!$G$1,'Live Collections'!$B:$B,"&lt;="&amp;'Colln-Summary'!$G$2)</f>
        <v>0</v>
      </c>
      <c r="J268" s="353">
        <f>SUMIFS('Live Collections'!$O:$O,'Live Collections'!$D:$D,'Colln-Summary'!$A268,'Live Collections'!$B:$B,"&gt;="&amp;'Colln-Summary'!$G$1,'Live Collections'!$B:$B,"&lt;="&amp;'Colln-Summary'!$G$2)</f>
        <v>1720000</v>
      </c>
      <c r="K268" s="360">
        <f>SUMIFS('Live Collections'!$S:$S,'Live Collections'!$D:$D,'Colln-Summary'!$A268,'Live Collections'!$B:$B,"&gt;="&amp;'Colln-Summary'!$G$1,'Live Collections'!$B:$B,"&lt;="&amp;'Colln-Summary'!$G$2)</f>
        <v>150333.33333333337</v>
      </c>
      <c r="L268" s="360">
        <f>SUMIFS('Live Collections'!$T:$T,'Live Collections'!$D:$D,'Colln-Summary'!$A268,'Live Collections'!$B:$B,"&gt;="&amp;'Colln-Summary'!$G$1,'Live Collections'!$B:$B,"&lt;="&amp;'Colln-Summary'!$G$2)</f>
        <v>1569666.6666666665</v>
      </c>
      <c r="M268" s="258">
        <f t="shared" si="5"/>
        <v>1720000</v>
      </c>
    </row>
    <row r="269" spans="1:13" x14ac:dyDescent="0.2">
      <c r="A269" s="478">
        <v>265</v>
      </c>
      <c r="B269" s="352" t="str">
        <f>IFERROR(VLOOKUP($A269,'Clients-Live'!$A:$C,3,0),"")</f>
        <v>OCATRE CHARLES</v>
      </c>
      <c r="C269" s="353">
        <f>SUMIFS('Live Collections'!$J:$J,'Live Collections'!$D:$D,'Colln-Summary'!$A269,'Live Collections'!$B:$B,"&gt;="&amp;'Colln-Summary'!$G$1,'Live Collections'!$B:$B,"&lt;="&amp;'Colln-Summary'!$G$2)</f>
        <v>0</v>
      </c>
      <c r="D269" s="353">
        <f>SUMIFS('Live Collections'!$K:$K,'Live Collections'!$D:$D,'Colln-Summary'!$A269,'Live Collections'!$B:$B,"&gt;="&amp;'Colln-Summary'!$G$1,'Live Collections'!$B:$B,"&lt;="&amp;'Colln-Summary'!$G$2)</f>
        <v>0</v>
      </c>
      <c r="E269" s="353">
        <f>SUMIFS(Disbursements!$F:$F,Disbursements!$B:$B,'Colln-Summary'!$A269,Disbursements!$A:$A,"&gt;="&amp;'Colln-Summary'!$G$1,Disbursements!$A:$A,"&lt;="&amp;'Colln-Summary'!$G$2)</f>
        <v>0</v>
      </c>
      <c r="F269" s="353">
        <f>SUMIFS('Live Collections'!$L:$L,'Live Collections'!$D:$D,'Colln-Summary'!$A269,'Live Collections'!$B:$B,"&gt;="&amp;'Colln-Summary'!$G$1,'Live Collections'!$B:$B,"&lt;="&amp;'Colln-Summary'!$G$2)</f>
        <v>0</v>
      </c>
      <c r="G269" s="353">
        <f>SUMIFS('Live Collections'!$M:$M,'Live Collections'!$D:$D,'Colln-Summary'!$A269,'Live Collections'!$B:$B,"&gt;="&amp;'Colln-Summary'!$G$1,'Live Collections'!$B:$B,"&lt;="&amp;'Colln-Summary'!$G$2)</f>
        <v>0</v>
      </c>
      <c r="H269" s="353">
        <f>SUMIFS('Live Collections'!$N:$N,'Live Collections'!$D:$D,'Colln-Summary'!$A269,'Live Collections'!$B:$B,"&gt;="&amp;'Colln-Summary'!$G$1,'Live Collections'!$B:$B,"&lt;="&amp;'Colln-Summary'!$G$2)</f>
        <v>0</v>
      </c>
      <c r="I269" s="353">
        <f>SUMIFS('Live Collections'!$P:$P,'Live Collections'!$D:$D,'Colln-Summary'!$A269,'Live Collections'!$B:$B,"&gt;="&amp;'Colln-Summary'!$G$1,'Live Collections'!$B:$B,"&lt;="&amp;'Colln-Summary'!$G$2)</f>
        <v>-100000</v>
      </c>
      <c r="J269" s="353">
        <f>SUMIFS('Live Collections'!$O:$O,'Live Collections'!$D:$D,'Colln-Summary'!$A269,'Live Collections'!$B:$B,"&gt;="&amp;'Colln-Summary'!$G$1,'Live Collections'!$B:$B,"&lt;="&amp;'Colln-Summary'!$G$2)</f>
        <v>1050000</v>
      </c>
      <c r="K269" s="360">
        <f>SUMIFS('Live Collections'!$S:$S,'Live Collections'!$D:$D,'Colln-Summary'!$A269,'Live Collections'!$B:$B,"&gt;="&amp;'Colln-Summary'!$G$1,'Live Collections'!$B:$B,"&lt;="&amp;'Colln-Summary'!$G$2)</f>
        <v>259000</v>
      </c>
      <c r="L269" s="360">
        <f>SUMIFS('Live Collections'!$T:$T,'Live Collections'!$D:$D,'Colln-Summary'!$A269,'Live Collections'!$B:$B,"&gt;="&amp;'Colln-Summary'!$G$1,'Live Collections'!$B:$B,"&lt;="&amp;'Colln-Summary'!$G$2)</f>
        <v>791000</v>
      </c>
      <c r="M269" s="258">
        <f t="shared" si="5"/>
        <v>950000</v>
      </c>
    </row>
    <row r="270" spans="1:13" x14ac:dyDescent="0.2">
      <c r="A270" s="478">
        <v>266</v>
      </c>
      <c r="B270" s="352" t="str">
        <f>IFERROR(VLOOKUP($A270,'Clients-Live'!$A:$C,3,0),"")</f>
        <v>TAIBO AMANA</v>
      </c>
      <c r="C270" s="353">
        <f>SUMIFS('Live Collections'!$J:$J,'Live Collections'!$D:$D,'Colln-Summary'!$A270,'Live Collections'!$B:$B,"&gt;="&amp;'Colln-Summary'!$G$1,'Live Collections'!$B:$B,"&lt;="&amp;'Colln-Summary'!$G$2)</f>
        <v>0</v>
      </c>
      <c r="D270" s="353">
        <f>SUMIFS('Live Collections'!$K:$K,'Live Collections'!$D:$D,'Colln-Summary'!$A270,'Live Collections'!$B:$B,"&gt;="&amp;'Colln-Summary'!$G$1,'Live Collections'!$B:$B,"&lt;="&amp;'Colln-Summary'!$G$2)</f>
        <v>0</v>
      </c>
      <c r="E270" s="353">
        <f>SUMIFS(Disbursements!$F:$F,Disbursements!$B:$B,'Colln-Summary'!$A270,Disbursements!$A:$A,"&gt;="&amp;'Colln-Summary'!$G$1,Disbursements!$A:$A,"&lt;="&amp;'Colln-Summary'!$G$2)</f>
        <v>0</v>
      </c>
      <c r="F270" s="353">
        <f>SUMIFS('Live Collections'!$L:$L,'Live Collections'!$D:$D,'Colln-Summary'!$A270,'Live Collections'!$B:$B,"&gt;="&amp;'Colln-Summary'!$G$1,'Live Collections'!$B:$B,"&lt;="&amp;'Colln-Summary'!$G$2)</f>
        <v>0</v>
      </c>
      <c r="G270" s="353">
        <f>SUMIFS('Live Collections'!$M:$M,'Live Collections'!$D:$D,'Colln-Summary'!$A270,'Live Collections'!$B:$B,"&gt;="&amp;'Colln-Summary'!$G$1,'Live Collections'!$B:$B,"&lt;="&amp;'Colln-Summary'!$G$2)</f>
        <v>0</v>
      </c>
      <c r="H270" s="353">
        <f>SUMIFS('Live Collections'!$N:$N,'Live Collections'!$D:$D,'Colln-Summary'!$A270,'Live Collections'!$B:$B,"&gt;="&amp;'Colln-Summary'!$G$1,'Live Collections'!$B:$B,"&lt;="&amp;'Colln-Summary'!$G$2)</f>
        <v>0</v>
      </c>
      <c r="I270" s="353">
        <f>SUMIFS('Live Collections'!$P:$P,'Live Collections'!$D:$D,'Colln-Summary'!$A270,'Live Collections'!$B:$B,"&gt;="&amp;'Colln-Summary'!$G$1,'Live Collections'!$B:$B,"&lt;="&amp;'Colln-Summary'!$G$2)</f>
        <v>0</v>
      </c>
      <c r="J270" s="353">
        <f>SUMIFS('Live Collections'!$O:$O,'Live Collections'!$D:$D,'Colln-Summary'!$A270,'Live Collections'!$B:$B,"&gt;="&amp;'Colln-Summary'!$G$1,'Live Collections'!$B:$B,"&lt;="&amp;'Colln-Summary'!$G$2)</f>
        <v>20000</v>
      </c>
      <c r="K270" s="360">
        <f>SUMIFS('Live Collections'!$S:$S,'Live Collections'!$D:$D,'Colln-Summary'!$A270,'Live Collections'!$B:$B,"&gt;="&amp;'Colln-Summary'!$G$1,'Live Collections'!$B:$B,"&lt;="&amp;'Colln-Summary'!$G$2)</f>
        <v>0</v>
      </c>
      <c r="L270" s="360">
        <f>SUMIFS('Live Collections'!$T:$T,'Live Collections'!$D:$D,'Colln-Summary'!$A270,'Live Collections'!$B:$B,"&gt;="&amp;'Colln-Summary'!$G$1,'Live Collections'!$B:$B,"&lt;="&amp;'Colln-Summary'!$G$2)</f>
        <v>20000</v>
      </c>
      <c r="M270" s="258">
        <f t="shared" si="5"/>
        <v>20000</v>
      </c>
    </row>
    <row r="271" spans="1:13" x14ac:dyDescent="0.2">
      <c r="A271" s="478">
        <v>267</v>
      </c>
      <c r="B271" s="352" t="str">
        <f>IFERROR(VLOOKUP($A271,'Clients-Live'!$A:$C,3,0),"")</f>
        <v>KAMUSIRI JULIUS</v>
      </c>
      <c r="C271" s="353">
        <f>SUMIFS('Live Collections'!$J:$J,'Live Collections'!$D:$D,'Colln-Summary'!$A271,'Live Collections'!$B:$B,"&gt;="&amp;'Colln-Summary'!$G$1,'Live Collections'!$B:$B,"&lt;="&amp;'Colln-Summary'!$G$2)</f>
        <v>0</v>
      </c>
      <c r="D271" s="353">
        <f>SUMIFS('Live Collections'!$K:$K,'Live Collections'!$D:$D,'Colln-Summary'!$A271,'Live Collections'!$B:$B,"&gt;="&amp;'Colln-Summary'!$G$1,'Live Collections'!$B:$B,"&lt;="&amp;'Colln-Summary'!$G$2)</f>
        <v>0</v>
      </c>
      <c r="E271" s="353">
        <f>SUMIFS(Disbursements!$F:$F,Disbursements!$B:$B,'Colln-Summary'!$A271,Disbursements!$A:$A,"&gt;="&amp;'Colln-Summary'!$G$1,Disbursements!$A:$A,"&lt;="&amp;'Colln-Summary'!$G$2)</f>
        <v>0</v>
      </c>
      <c r="F271" s="353">
        <f>SUMIFS('Live Collections'!$L:$L,'Live Collections'!$D:$D,'Colln-Summary'!$A271,'Live Collections'!$B:$B,"&gt;="&amp;'Colln-Summary'!$G$1,'Live Collections'!$B:$B,"&lt;="&amp;'Colln-Summary'!$G$2)</f>
        <v>0</v>
      </c>
      <c r="G271" s="353">
        <f>SUMIFS('Live Collections'!$M:$M,'Live Collections'!$D:$D,'Colln-Summary'!$A271,'Live Collections'!$B:$B,"&gt;="&amp;'Colln-Summary'!$G$1,'Live Collections'!$B:$B,"&lt;="&amp;'Colln-Summary'!$G$2)</f>
        <v>0</v>
      </c>
      <c r="H271" s="353">
        <f>SUMIFS('Live Collections'!$N:$N,'Live Collections'!$D:$D,'Colln-Summary'!$A271,'Live Collections'!$B:$B,"&gt;="&amp;'Colln-Summary'!$G$1,'Live Collections'!$B:$B,"&lt;="&amp;'Colln-Summary'!$G$2)</f>
        <v>0</v>
      </c>
      <c r="I271" s="353">
        <f>SUMIFS('Live Collections'!$P:$P,'Live Collections'!$D:$D,'Colln-Summary'!$A271,'Live Collections'!$B:$B,"&gt;="&amp;'Colln-Summary'!$G$1,'Live Collections'!$B:$B,"&lt;="&amp;'Colln-Summary'!$G$2)</f>
        <v>0</v>
      </c>
      <c r="J271" s="353">
        <f>SUMIFS('Live Collections'!$O:$O,'Live Collections'!$D:$D,'Colln-Summary'!$A271,'Live Collections'!$B:$B,"&gt;="&amp;'Colln-Summary'!$G$1,'Live Collections'!$B:$B,"&lt;="&amp;'Colln-Summary'!$G$2)</f>
        <v>0</v>
      </c>
      <c r="K271" s="360">
        <f>SUMIFS('Live Collections'!$S:$S,'Live Collections'!$D:$D,'Colln-Summary'!$A271,'Live Collections'!$B:$B,"&gt;="&amp;'Colln-Summary'!$G$1,'Live Collections'!$B:$B,"&lt;="&amp;'Colln-Summary'!$G$2)</f>
        <v>0</v>
      </c>
      <c r="L271" s="360">
        <f>SUMIFS('Live Collections'!$T:$T,'Live Collections'!$D:$D,'Colln-Summary'!$A271,'Live Collections'!$B:$B,"&gt;="&amp;'Colln-Summary'!$G$1,'Live Collections'!$B:$B,"&lt;="&amp;'Colln-Summary'!$G$2)</f>
        <v>0</v>
      </c>
      <c r="M271" s="258">
        <f t="shared" si="5"/>
        <v>0</v>
      </c>
    </row>
    <row r="272" spans="1:13" x14ac:dyDescent="0.2">
      <c r="A272" s="478">
        <v>268</v>
      </c>
      <c r="B272" s="352" t="str">
        <f>IFERROR(VLOOKUP($A272,'Clients-Live'!$A:$C,3,0),"")</f>
        <v>BATRE SAVIOUR</v>
      </c>
      <c r="C272" s="353">
        <f>SUMIFS('Live Collections'!$J:$J,'Live Collections'!$D:$D,'Colln-Summary'!$A272,'Live Collections'!$B:$B,"&gt;="&amp;'Colln-Summary'!$G$1,'Live Collections'!$B:$B,"&lt;="&amp;'Colln-Summary'!$G$2)</f>
        <v>0</v>
      </c>
      <c r="D272" s="353">
        <f>SUMIFS('Live Collections'!$K:$K,'Live Collections'!$D:$D,'Colln-Summary'!$A272,'Live Collections'!$B:$B,"&gt;="&amp;'Colln-Summary'!$G$1,'Live Collections'!$B:$B,"&lt;="&amp;'Colln-Summary'!$G$2)</f>
        <v>0</v>
      </c>
      <c r="E272" s="353">
        <f>SUMIFS(Disbursements!$F:$F,Disbursements!$B:$B,'Colln-Summary'!$A272,Disbursements!$A:$A,"&gt;="&amp;'Colln-Summary'!$G$1,Disbursements!$A:$A,"&lt;="&amp;'Colln-Summary'!$G$2)</f>
        <v>0</v>
      </c>
      <c r="F272" s="353">
        <f>SUMIFS('Live Collections'!$L:$L,'Live Collections'!$D:$D,'Colln-Summary'!$A272,'Live Collections'!$B:$B,"&gt;="&amp;'Colln-Summary'!$G$1,'Live Collections'!$B:$B,"&lt;="&amp;'Colln-Summary'!$G$2)</f>
        <v>0</v>
      </c>
      <c r="G272" s="353">
        <f>SUMIFS('Live Collections'!$M:$M,'Live Collections'!$D:$D,'Colln-Summary'!$A272,'Live Collections'!$B:$B,"&gt;="&amp;'Colln-Summary'!$G$1,'Live Collections'!$B:$B,"&lt;="&amp;'Colln-Summary'!$G$2)</f>
        <v>0</v>
      </c>
      <c r="H272" s="353">
        <f>SUMIFS('Live Collections'!$N:$N,'Live Collections'!$D:$D,'Colln-Summary'!$A272,'Live Collections'!$B:$B,"&gt;="&amp;'Colln-Summary'!$G$1,'Live Collections'!$B:$B,"&lt;="&amp;'Colln-Summary'!$G$2)</f>
        <v>0</v>
      </c>
      <c r="I272" s="353">
        <f>SUMIFS('Live Collections'!$P:$P,'Live Collections'!$D:$D,'Colln-Summary'!$A272,'Live Collections'!$B:$B,"&gt;="&amp;'Colln-Summary'!$G$1,'Live Collections'!$B:$B,"&lt;="&amp;'Colln-Summary'!$G$2)</f>
        <v>0</v>
      </c>
      <c r="J272" s="353">
        <f>SUMIFS('Live Collections'!$O:$O,'Live Collections'!$D:$D,'Colln-Summary'!$A272,'Live Collections'!$B:$B,"&gt;="&amp;'Colln-Summary'!$G$1,'Live Collections'!$B:$B,"&lt;="&amp;'Colln-Summary'!$G$2)</f>
        <v>0</v>
      </c>
      <c r="K272" s="360">
        <f>SUMIFS('Live Collections'!$S:$S,'Live Collections'!$D:$D,'Colln-Summary'!$A272,'Live Collections'!$B:$B,"&gt;="&amp;'Colln-Summary'!$G$1,'Live Collections'!$B:$B,"&lt;="&amp;'Colln-Summary'!$G$2)</f>
        <v>0</v>
      </c>
      <c r="L272" s="360">
        <f>SUMIFS('Live Collections'!$T:$T,'Live Collections'!$D:$D,'Colln-Summary'!$A272,'Live Collections'!$B:$B,"&gt;="&amp;'Colln-Summary'!$G$1,'Live Collections'!$B:$B,"&lt;="&amp;'Colln-Summary'!$G$2)</f>
        <v>0</v>
      </c>
      <c r="M272" s="258">
        <f t="shared" si="5"/>
        <v>0</v>
      </c>
    </row>
    <row r="273" spans="1:13" x14ac:dyDescent="0.2">
      <c r="A273" s="478">
        <v>269</v>
      </c>
      <c r="B273" s="352" t="str">
        <f>IFERROR(VLOOKUP($A273,'Clients-Live'!$A:$C,3,0),"")</f>
        <v>YANYA ROBINA</v>
      </c>
      <c r="C273" s="353">
        <f>SUMIFS('Live Collections'!$J:$J,'Live Collections'!$D:$D,'Colln-Summary'!$A273,'Live Collections'!$B:$B,"&gt;="&amp;'Colln-Summary'!$G$1,'Live Collections'!$B:$B,"&lt;="&amp;'Colln-Summary'!$G$2)</f>
        <v>0</v>
      </c>
      <c r="D273" s="353">
        <f>SUMIFS('Live Collections'!$K:$K,'Live Collections'!$D:$D,'Colln-Summary'!$A273,'Live Collections'!$B:$B,"&gt;="&amp;'Colln-Summary'!$G$1,'Live Collections'!$B:$B,"&lt;="&amp;'Colln-Summary'!$G$2)</f>
        <v>0</v>
      </c>
      <c r="E273" s="353">
        <f>SUMIFS(Disbursements!$F:$F,Disbursements!$B:$B,'Colln-Summary'!$A273,Disbursements!$A:$A,"&gt;="&amp;'Colln-Summary'!$G$1,Disbursements!$A:$A,"&lt;="&amp;'Colln-Summary'!$G$2)</f>
        <v>0</v>
      </c>
      <c r="F273" s="353">
        <f>SUMIFS('Live Collections'!$L:$L,'Live Collections'!$D:$D,'Colln-Summary'!$A273,'Live Collections'!$B:$B,"&gt;="&amp;'Colln-Summary'!$G$1,'Live Collections'!$B:$B,"&lt;="&amp;'Colln-Summary'!$G$2)</f>
        <v>0</v>
      </c>
      <c r="G273" s="353">
        <f>SUMIFS('Live Collections'!$M:$M,'Live Collections'!$D:$D,'Colln-Summary'!$A273,'Live Collections'!$B:$B,"&gt;="&amp;'Colln-Summary'!$G$1,'Live Collections'!$B:$B,"&lt;="&amp;'Colln-Summary'!$G$2)</f>
        <v>0</v>
      </c>
      <c r="H273" s="353">
        <f>SUMIFS('Live Collections'!$N:$N,'Live Collections'!$D:$D,'Colln-Summary'!$A273,'Live Collections'!$B:$B,"&gt;="&amp;'Colln-Summary'!$G$1,'Live Collections'!$B:$B,"&lt;="&amp;'Colln-Summary'!$G$2)</f>
        <v>37500</v>
      </c>
      <c r="I273" s="353">
        <f>SUMIFS('Live Collections'!$P:$P,'Live Collections'!$D:$D,'Colln-Summary'!$A273,'Live Collections'!$B:$B,"&gt;="&amp;'Colln-Summary'!$G$1,'Live Collections'!$B:$B,"&lt;="&amp;'Colln-Summary'!$G$2)</f>
        <v>-50000</v>
      </c>
      <c r="J273" s="353">
        <f>SUMIFS('Live Collections'!$O:$O,'Live Collections'!$D:$D,'Colln-Summary'!$A273,'Live Collections'!$B:$B,"&gt;="&amp;'Colln-Summary'!$G$1,'Live Collections'!$B:$B,"&lt;="&amp;'Colln-Summary'!$G$2)</f>
        <v>537500</v>
      </c>
      <c r="K273" s="360">
        <f>SUMIFS('Live Collections'!$S:$S,'Live Collections'!$D:$D,'Colln-Summary'!$A273,'Live Collections'!$B:$B,"&gt;="&amp;'Colln-Summary'!$G$1,'Live Collections'!$B:$B,"&lt;="&amp;'Colln-Summary'!$G$2)</f>
        <v>38000</v>
      </c>
      <c r="L273" s="360">
        <f>SUMIFS('Live Collections'!$T:$T,'Live Collections'!$D:$D,'Colln-Summary'!$A273,'Live Collections'!$B:$B,"&gt;="&amp;'Colln-Summary'!$G$1,'Live Collections'!$B:$B,"&lt;="&amp;'Colln-Summary'!$G$2)</f>
        <v>499500</v>
      </c>
      <c r="M273" s="258">
        <f t="shared" si="5"/>
        <v>525000</v>
      </c>
    </row>
    <row r="274" spans="1:13" x14ac:dyDescent="0.2">
      <c r="A274" s="478">
        <v>270</v>
      </c>
      <c r="B274" s="352" t="str">
        <f>IFERROR(VLOOKUP($A274,'Clients-Live'!$A:$C,3,0),"")</f>
        <v>AJOBE SAMUEL</v>
      </c>
      <c r="C274" s="353">
        <f>SUMIFS('Live Collections'!$J:$J,'Live Collections'!$D:$D,'Colln-Summary'!$A274,'Live Collections'!$B:$B,"&gt;="&amp;'Colln-Summary'!$G$1,'Live Collections'!$B:$B,"&lt;="&amp;'Colln-Summary'!$G$2)</f>
        <v>0</v>
      </c>
      <c r="D274" s="353">
        <f>SUMIFS('Live Collections'!$K:$K,'Live Collections'!$D:$D,'Colln-Summary'!$A274,'Live Collections'!$B:$B,"&gt;="&amp;'Colln-Summary'!$G$1,'Live Collections'!$B:$B,"&lt;="&amp;'Colln-Summary'!$G$2)</f>
        <v>0</v>
      </c>
      <c r="E274" s="353">
        <f>SUMIFS(Disbursements!$F:$F,Disbursements!$B:$B,'Colln-Summary'!$A274,Disbursements!$A:$A,"&gt;="&amp;'Colln-Summary'!$G$1,Disbursements!$A:$A,"&lt;="&amp;'Colln-Summary'!$G$2)</f>
        <v>0</v>
      </c>
      <c r="F274" s="353">
        <f>SUMIFS('Live Collections'!$L:$L,'Live Collections'!$D:$D,'Colln-Summary'!$A274,'Live Collections'!$B:$B,"&gt;="&amp;'Colln-Summary'!$G$1,'Live Collections'!$B:$B,"&lt;="&amp;'Colln-Summary'!$G$2)</f>
        <v>0</v>
      </c>
      <c r="G274" s="353">
        <f>SUMIFS('Live Collections'!$M:$M,'Live Collections'!$D:$D,'Colln-Summary'!$A274,'Live Collections'!$B:$B,"&gt;="&amp;'Colln-Summary'!$G$1,'Live Collections'!$B:$B,"&lt;="&amp;'Colln-Summary'!$G$2)</f>
        <v>0</v>
      </c>
      <c r="H274" s="353">
        <f>SUMIFS('Live Collections'!$N:$N,'Live Collections'!$D:$D,'Colln-Summary'!$A274,'Live Collections'!$B:$B,"&gt;="&amp;'Colln-Summary'!$G$1,'Live Collections'!$B:$B,"&lt;="&amp;'Colln-Summary'!$G$2)</f>
        <v>0</v>
      </c>
      <c r="I274" s="353">
        <f>SUMIFS('Live Collections'!$P:$P,'Live Collections'!$D:$D,'Colln-Summary'!$A274,'Live Collections'!$B:$B,"&gt;="&amp;'Colln-Summary'!$G$1,'Live Collections'!$B:$B,"&lt;="&amp;'Colln-Summary'!$G$2)</f>
        <v>0</v>
      </c>
      <c r="J274" s="353">
        <f>SUMIFS('Live Collections'!$O:$O,'Live Collections'!$D:$D,'Colln-Summary'!$A274,'Live Collections'!$B:$B,"&gt;="&amp;'Colln-Summary'!$G$1,'Live Collections'!$B:$B,"&lt;="&amp;'Colln-Summary'!$G$2)</f>
        <v>143000</v>
      </c>
      <c r="K274" s="360">
        <f>SUMIFS('Live Collections'!$S:$S,'Live Collections'!$D:$D,'Colln-Summary'!$A274,'Live Collections'!$B:$B,"&gt;="&amp;'Colln-Summary'!$G$1,'Live Collections'!$B:$B,"&lt;="&amp;'Colln-Summary'!$G$2)</f>
        <v>0</v>
      </c>
      <c r="L274" s="360">
        <f>SUMIFS('Live Collections'!$T:$T,'Live Collections'!$D:$D,'Colln-Summary'!$A274,'Live Collections'!$B:$B,"&gt;="&amp;'Colln-Summary'!$G$1,'Live Collections'!$B:$B,"&lt;="&amp;'Colln-Summary'!$G$2)</f>
        <v>143000</v>
      </c>
      <c r="M274" s="258">
        <f t="shared" si="5"/>
        <v>143000</v>
      </c>
    </row>
    <row r="275" spans="1:13" x14ac:dyDescent="0.2">
      <c r="A275" s="478">
        <v>271</v>
      </c>
      <c r="B275" s="352" t="str">
        <f>IFERROR(VLOOKUP($A275,'Clients-Live'!$A:$C,3,0),"")</f>
        <v>ALORO SAIDI</v>
      </c>
      <c r="C275" s="353">
        <f>SUMIFS('Live Collections'!$J:$J,'Live Collections'!$D:$D,'Colln-Summary'!$A275,'Live Collections'!$B:$B,"&gt;="&amp;'Colln-Summary'!$G$1,'Live Collections'!$B:$B,"&lt;="&amp;'Colln-Summary'!$G$2)</f>
        <v>0</v>
      </c>
      <c r="D275" s="353">
        <f>SUMIFS('Live Collections'!$K:$K,'Live Collections'!$D:$D,'Colln-Summary'!$A275,'Live Collections'!$B:$B,"&gt;="&amp;'Colln-Summary'!$G$1,'Live Collections'!$B:$B,"&lt;="&amp;'Colln-Summary'!$G$2)</f>
        <v>0</v>
      </c>
      <c r="E275" s="353">
        <f>SUMIFS(Disbursements!$F:$F,Disbursements!$B:$B,'Colln-Summary'!$A275,Disbursements!$A:$A,"&gt;="&amp;'Colln-Summary'!$G$1,Disbursements!$A:$A,"&lt;="&amp;'Colln-Summary'!$G$2)</f>
        <v>0</v>
      </c>
      <c r="F275" s="353">
        <f>SUMIFS('Live Collections'!$L:$L,'Live Collections'!$D:$D,'Colln-Summary'!$A275,'Live Collections'!$B:$B,"&gt;="&amp;'Colln-Summary'!$G$1,'Live Collections'!$B:$B,"&lt;="&amp;'Colln-Summary'!$G$2)</f>
        <v>0</v>
      </c>
      <c r="G275" s="353">
        <f>SUMIFS('Live Collections'!$M:$M,'Live Collections'!$D:$D,'Colln-Summary'!$A275,'Live Collections'!$B:$B,"&gt;="&amp;'Colln-Summary'!$G$1,'Live Collections'!$B:$B,"&lt;="&amp;'Colln-Summary'!$G$2)</f>
        <v>0</v>
      </c>
      <c r="H275" s="353">
        <f>SUMIFS('Live Collections'!$N:$N,'Live Collections'!$D:$D,'Colln-Summary'!$A275,'Live Collections'!$B:$B,"&gt;="&amp;'Colln-Summary'!$G$1,'Live Collections'!$B:$B,"&lt;="&amp;'Colln-Summary'!$G$2)</f>
        <v>0</v>
      </c>
      <c r="I275" s="353">
        <f>SUMIFS('Live Collections'!$P:$P,'Live Collections'!$D:$D,'Colln-Summary'!$A275,'Live Collections'!$B:$B,"&gt;="&amp;'Colln-Summary'!$G$1,'Live Collections'!$B:$B,"&lt;="&amp;'Colln-Summary'!$G$2)</f>
        <v>0</v>
      </c>
      <c r="J275" s="353">
        <f>SUMIFS('Live Collections'!$O:$O,'Live Collections'!$D:$D,'Colln-Summary'!$A275,'Live Collections'!$B:$B,"&gt;="&amp;'Colln-Summary'!$G$1,'Live Collections'!$B:$B,"&lt;="&amp;'Colln-Summary'!$G$2)</f>
        <v>140000</v>
      </c>
      <c r="K275" s="360">
        <f>SUMIFS('Live Collections'!$S:$S,'Live Collections'!$D:$D,'Colln-Summary'!$A275,'Live Collections'!$B:$B,"&gt;="&amp;'Colln-Summary'!$G$1,'Live Collections'!$B:$B,"&lt;="&amp;'Colln-Summary'!$G$2)</f>
        <v>80000</v>
      </c>
      <c r="L275" s="360">
        <f>SUMIFS('Live Collections'!$T:$T,'Live Collections'!$D:$D,'Colln-Summary'!$A275,'Live Collections'!$B:$B,"&gt;="&amp;'Colln-Summary'!$G$1,'Live Collections'!$B:$B,"&lt;="&amp;'Colln-Summary'!$G$2)</f>
        <v>60000</v>
      </c>
      <c r="M275" s="258">
        <f t="shared" si="5"/>
        <v>140000</v>
      </c>
    </row>
    <row r="276" spans="1:13" x14ac:dyDescent="0.2">
      <c r="A276" s="478">
        <v>272</v>
      </c>
      <c r="B276" s="352" t="str">
        <f>IFERROR(VLOOKUP($A276,'Clients-Live'!$A:$C,3,0),"")</f>
        <v>AFEKU EMMANUEL</v>
      </c>
      <c r="C276" s="353">
        <f>SUMIFS('Live Collections'!$J:$J,'Live Collections'!$D:$D,'Colln-Summary'!$A276,'Live Collections'!$B:$B,"&gt;="&amp;'Colln-Summary'!$G$1,'Live Collections'!$B:$B,"&lt;="&amp;'Colln-Summary'!$G$2)</f>
        <v>0</v>
      </c>
      <c r="D276" s="353">
        <f>SUMIFS('Live Collections'!$K:$K,'Live Collections'!$D:$D,'Colln-Summary'!$A276,'Live Collections'!$B:$B,"&gt;="&amp;'Colln-Summary'!$G$1,'Live Collections'!$B:$B,"&lt;="&amp;'Colln-Summary'!$G$2)</f>
        <v>0</v>
      </c>
      <c r="E276" s="353">
        <f>SUMIFS(Disbursements!$F:$F,Disbursements!$B:$B,'Colln-Summary'!$A276,Disbursements!$A:$A,"&gt;="&amp;'Colln-Summary'!$G$1,Disbursements!$A:$A,"&lt;="&amp;'Colln-Summary'!$G$2)</f>
        <v>0</v>
      </c>
      <c r="F276" s="353">
        <f>SUMIFS('Live Collections'!$L:$L,'Live Collections'!$D:$D,'Colln-Summary'!$A276,'Live Collections'!$B:$B,"&gt;="&amp;'Colln-Summary'!$G$1,'Live Collections'!$B:$B,"&lt;="&amp;'Colln-Summary'!$G$2)</f>
        <v>0</v>
      </c>
      <c r="G276" s="353">
        <f>SUMIFS('Live Collections'!$M:$M,'Live Collections'!$D:$D,'Colln-Summary'!$A276,'Live Collections'!$B:$B,"&gt;="&amp;'Colln-Summary'!$G$1,'Live Collections'!$B:$B,"&lt;="&amp;'Colln-Summary'!$G$2)</f>
        <v>0</v>
      </c>
      <c r="H276" s="353">
        <f>SUMIFS('Live Collections'!$N:$N,'Live Collections'!$D:$D,'Colln-Summary'!$A276,'Live Collections'!$B:$B,"&gt;="&amp;'Colln-Summary'!$G$1,'Live Collections'!$B:$B,"&lt;="&amp;'Colln-Summary'!$G$2)</f>
        <v>0</v>
      </c>
      <c r="I276" s="353">
        <f>SUMIFS('Live Collections'!$P:$P,'Live Collections'!$D:$D,'Colln-Summary'!$A276,'Live Collections'!$B:$B,"&gt;="&amp;'Colln-Summary'!$G$1,'Live Collections'!$B:$B,"&lt;="&amp;'Colln-Summary'!$G$2)</f>
        <v>0</v>
      </c>
      <c r="J276" s="353">
        <f>SUMIFS('Live Collections'!$O:$O,'Live Collections'!$D:$D,'Colln-Summary'!$A276,'Live Collections'!$B:$B,"&gt;="&amp;'Colln-Summary'!$G$1,'Live Collections'!$B:$B,"&lt;="&amp;'Colln-Summary'!$G$2)</f>
        <v>0</v>
      </c>
      <c r="K276" s="360">
        <f>SUMIFS('Live Collections'!$S:$S,'Live Collections'!$D:$D,'Colln-Summary'!$A276,'Live Collections'!$B:$B,"&gt;="&amp;'Colln-Summary'!$G$1,'Live Collections'!$B:$B,"&lt;="&amp;'Colln-Summary'!$G$2)</f>
        <v>0</v>
      </c>
      <c r="L276" s="360">
        <f>SUMIFS('Live Collections'!$T:$T,'Live Collections'!$D:$D,'Colln-Summary'!$A276,'Live Collections'!$B:$B,"&gt;="&amp;'Colln-Summary'!$G$1,'Live Collections'!$B:$B,"&lt;="&amp;'Colln-Summary'!$G$2)</f>
        <v>0</v>
      </c>
      <c r="M276" s="258">
        <f t="shared" si="5"/>
        <v>0</v>
      </c>
    </row>
    <row r="277" spans="1:13" x14ac:dyDescent="0.2">
      <c r="A277" s="478">
        <v>273</v>
      </c>
      <c r="B277" s="352" t="str">
        <f>IFERROR(VLOOKUP($A277,'Clients-Live'!$A:$C,3,0),"")</f>
        <v>TABAN PETER</v>
      </c>
      <c r="C277" s="353">
        <f>SUMIFS('Live Collections'!$J:$J,'Live Collections'!$D:$D,'Colln-Summary'!$A277,'Live Collections'!$B:$B,"&gt;="&amp;'Colln-Summary'!$G$1,'Live Collections'!$B:$B,"&lt;="&amp;'Colln-Summary'!$G$2)</f>
        <v>0</v>
      </c>
      <c r="D277" s="353">
        <f>SUMIFS('Live Collections'!$K:$K,'Live Collections'!$D:$D,'Colln-Summary'!$A277,'Live Collections'!$B:$B,"&gt;="&amp;'Colln-Summary'!$G$1,'Live Collections'!$B:$B,"&lt;="&amp;'Colln-Summary'!$G$2)</f>
        <v>0</v>
      </c>
      <c r="E277" s="353">
        <f>SUMIFS(Disbursements!$F:$F,Disbursements!$B:$B,'Colln-Summary'!$A277,Disbursements!$A:$A,"&gt;="&amp;'Colln-Summary'!$G$1,Disbursements!$A:$A,"&lt;="&amp;'Colln-Summary'!$G$2)</f>
        <v>0</v>
      </c>
      <c r="F277" s="353">
        <f>SUMIFS('Live Collections'!$L:$L,'Live Collections'!$D:$D,'Colln-Summary'!$A277,'Live Collections'!$B:$B,"&gt;="&amp;'Colln-Summary'!$G$1,'Live Collections'!$B:$B,"&lt;="&amp;'Colln-Summary'!$G$2)</f>
        <v>0</v>
      </c>
      <c r="G277" s="353">
        <f>SUMIFS('Live Collections'!$M:$M,'Live Collections'!$D:$D,'Colln-Summary'!$A277,'Live Collections'!$B:$B,"&gt;="&amp;'Colln-Summary'!$G$1,'Live Collections'!$B:$B,"&lt;="&amp;'Colln-Summary'!$G$2)</f>
        <v>0</v>
      </c>
      <c r="H277" s="353">
        <f>SUMIFS('Live Collections'!$N:$N,'Live Collections'!$D:$D,'Colln-Summary'!$A277,'Live Collections'!$B:$B,"&gt;="&amp;'Colln-Summary'!$G$1,'Live Collections'!$B:$B,"&lt;="&amp;'Colln-Summary'!$G$2)</f>
        <v>0</v>
      </c>
      <c r="I277" s="353">
        <f>SUMIFS('Live Collections'!$P:$P,'Live Collections'!$D:$D,'Colln-Summary'!$A277,'Live Collections'!$B:$B,"&gt;="&amp;'Colln-Summary'!$G$1,'Live Collections'!$B:$B,"&lt;="&amp;'Colln-Summary'!$G$2)</f>
        <v>0</v>
      </c>
      <c r="J277" s="353">
        <f>SUMIFS('Live Collections'!$O:$O,'Live Collections'!$D:$D,'Colln-Summary'!$A277,'Live Collections'!$B:$B,"&gt;="&amp;'Colln-Summary'!$G$1,'Live Collections'!$B:$B,"&lt;="&amp;'Colln-Summary'!$G$2)</f>
        <v>0</v>
      </c>
      <c r="K277" s="360">
        <f>SUMIFS('Live Collections'!$S:$S,'Live Collections'!$D:$D,'Colln-Summary'!$A277,'Live Collections'!$B:$B,"&gt;="&amp;'Colln-Summary'!$G$1,'Live Collections'!$B:$B,"&lt;="&amp;'Colln-Summary'!$G$2)</f>
        <v>0</v>
      </c>
      <c r="L277" s="360">
        <f>SUMIFS('Live Collections'!$T:$T,'Live Collections'!$D:$D,'Colln-Summary'!$A277,'Live Collections'!$B:$B,"&gt;="&amp;'Colln-Summary'!$G$1,'Live Collections'!$B:$B,"&lt;="&amp;'Colln-Summary'!$G$2)</f>
        <v>0</v>
      </c>
      <c r="M277" s="258">
        <f t="shared" si="5"/>
        <v>0</v>
      </c>
    </row>
    <row r="278" spans="1:13" x14ac:dyDescent="0.2">
      <c r="A278" s="478">
        <v>274</v>
      </c>
      <c r="B278" s="352" t="str">
        <f>IFERROR(VLOOKUP($A278,'Clients-Live'!$A:$C,3,0),"")</f>
        <v>APANGU MUZAMIL</v>
      </c>
      <c r="C278" s="353">
        <f>SUMIFS('Live Collections'!$J:$J,'Live Collections'!$D:$D,'Colln-Summary'!$A278,'Live Collections'!$B:$B,"&gt;="&amp;'Colln-Summary'!$G$1,'Live Collections'!$B:$B,"&lt;="&amp;'Colln-Summary'!$G$2)</f>
        <v>0</v>
      </c>
      <c r="D278" s="353">
        <f>SUMIFS('Live Collections'!$K:$K,'Live Collections'!$D:$D,'Colln-Summary'!$A278,'Live Collections'!$B:$B,"&gt;="&amp;'Colln-Summary'!$G$1,'Live Collections'!$B:$B,"&lt;="&amp;'Colln-Summary'!$G$2)</f>
        <v>0</v>
      </c>
      <c r="E278" s="353">
        <f>SUMIFS(Disbursements!$F:$F,Disbursements!$B:$B,'Colln-Summary'!$A278,Disbursements!$A:$A,"&gt;="&amp;'Colln-Summary'!$G$1,Disbursements!$A:$A,"&lt;="&amp;'Colln-Summary'!$G$2)</f>
        <v>0</v>
      </c>
      <c r="F278" s="353">
        <f>SUMIFS('Live Collections'!$L:$L,'Live Collections'!$D:$D,'Colln-Summary'!$A278,'Live Collections'!$B:$B,"&gt;="&amp;'Colln-Summary'!$G$1,'Live Collections'!$B:$B,"&lt;="&amp;'Colln-Summary'!$G$2)</f>
        <v>0</v>
      </c>
      <c r="G278" s="353">
        <f>SUMIFS('Live Collections'!$M:$M,'Live Collections'!$D:$D,'Colln-Summary'!$A278,'Live Collections'!$B:$B,"&gt;="&amp;'Colln-Summary'!$G$1,'Live Collections'!$B:$B,"&lt;="&amp;'Colln-Summary'!$G$2)</f>
        <v>0</v>
      </c>
      <c r="H278" s="353">
        <f>SUMIFS('Live Collections'!$N:$N,'Live Collections'!$D:$D,'Colln-Summary'!$A278,'Live Collections'!$B:$B,"&gt;="&amp;'Colln-Summary'!$G$1,'Live Collections'!$B:$B,"&lt;="&amp;'Colln-Summary'!$G$2)</f>
        <v>0</v>
      </c>
      <c r="I278" s="353">
        <f>SUMIFS('Live Collections'!$P:$P,'Live Collections'!$D:$D,'Colln-Summary'!$A278,'Live Collections'!$B:$B,"&gt;="&amp;'Colln-Summary'!$G$1,'Live Collections'!$B:$B,"&lt;="&amp;'Colln-Summary'!$G$2)</f>
        <v>0</v>
      </c>
      <c r="J278" s="353">
        <f>SUMIFS('Live Collections'!$O:$O,'Live Collections'!$D:$D,'Colln-Summary'!$A278,'Live Collections'!$B:$B,"&gt;="&amp;'Colln-Summary'!$G$1,'Live Collections'!$B:$B,"&lt;="&amp;'Colln-Summary'!$G$2)</f>
        <v>0</v>
      </c>
      <c r="K278" s="360">
        <f>SUMIFS('Live Collections'!$S:$S,'Live Collections'!$D:$D,'Colln-Summary'!$A278,'Live Collections'!$B:$B,"&gt;="&amp;'Colln-Summary'!$G$1,'Live Collections'!$B:$B,"&lt;="&amp;'Colln-Summary'!$G$2)</f>
        <v>0</v>
      </c>
      <c r="L278" s="360">
        <f>SUMIFS('Live Collections'!$T:$T,'Live Collections'!$D:$D,'Colln-Summary'!$A278,'Live Collections'!$B:$B,"&gt;="&amp;'Colln-Summary'!$G$1,'Live Collections'!$B:$B,"&lt;="&amp;'Colln-Summary'!$G$2)</f>
        <v>0</v>
      </c>
      <c r="M278" s="258">
        <f t="shared" si="5"/>
        <v>0</v>
      </c>
    </row>
    <row r="279" spans="1:13" x14ac:dyDescent="0.2">
      <c r="A279" s="478">
        <v>275</v>
      </c>
      <c r="B279" s="352" t="str">
        <f>IFERROR(VLOOKUP($A279,'Clients-Live'!$A:$C,3,0),"")</f>
        <v>AMILE RUKIA</v>
      </c>
      <c r="C279" s="353">
        <f>SUMIFS('Live Collections'!$J:$J,'Live Collections'!$D:$D,'Colln-Summary'!$A279,'Live Collections'!$B:$B,"&gt;="&amp;'Colln-Summary'!$G$1,'Live Collections'!$B:$B,"&lt;="&amp;'Colln-Summary'!$G$2)</f>
        <v>0</v>
      </c>
      <c r="D279" s="353">
        <f>SUMIFS('Live Collections'!$K:$K,'Live Collections'!$D:$D,'Colln-Summary'!$A279,'Live Collections'!$B:$B,"&gt;="&amp;'Colln-Summary'!$G$1,'Live Collections'!$B:$B,"&lt;="&amp;'Colln-Summary'!$G$2)</f>
        <v>0</v>
      </c>
      <c r="E279" s="353">
        <f>SUMIFS(Disbursements!$F:$F,Disbursements!$B:$B,'Colln-Summary'!$A279,Disbursements!$A:$A,"&gt;="&amp;'Colln-Summary'!$G$1,Disbursements!$A:$A,"&lt;="&amp;'Colln-Summary'!$G$2)</f>
        <v>0</v>
      </c>
      <c r="F279" s="353">
        <f>SUMIFS('Live Collections'!$L:$L,'Live Collections'!$D:$D,'Colln-Summary'!$A279,'Live Collections'!$B:$B,"&gt;="&amp;'Colln-Summary'!$G$1,'Live Collections'!$B:$B,"&lt;="&amp;'Colln-Summary'!$G$2)</f>
        <v>0</v>
      </c>
      <c r="G279" s="353">
        <f>SUMIFS('Live Collections'!$M:$M,'Live Collections'!$D:$D,'Colln-Summary'!$A279,'Live Collections'!$B:$B,"&gt;="&amp;'Colln-Summary'!$G$1,'Live Collections'!$B:$B,"&lt;="&amp;'Colln-Summary'!$G$2)</f>
        <v>0</v>
      </c>
      <c r="H279" s="353">
        <f>SUMIFS('Live Collections'!$N:$N,'Live Collections'!$D:$D,'Colln-Summary'!$A279,'Live Collections'!$B:$B,"&gt;="&amp;'Colln-Summary'!$G$1,'Live Collections'!$B:$B,"&lt;="&amp;'Colln-Summary'!$G$2)</f>
        <v>0</v>
      </c>
      <c r="I279" s="353">
        <f>SUMIFS('Live Collections'!$P:$P,'Live Collections'!$D:$D,'Colln-Summary'!$A279,'Live Collections'!$B:$B,"&gt;="&amp;'Colln-Summary'!$G$1,'Live Collections'!$B:$B,"&lt;="&amp;'Colln-Summary'!$G$2)</f>
        <v>0</v>
      </c>
      <c r="J279" s="353">
        <f>SUMIFS('Live Collections'!$O:$O,'Live Collections'!$D:$D,'Colln-Summary'!$A279,'Live Collections'!$B:$B,"&gt;="&amp;'Colln-Summary'!$G$1,'Live Collections'!$B:$B,"&lt;="&amp;'Colln-Summary'!$G$2)</f>
        <v>0</v>
      </c>
      <c r="K279" s="360">
        <f>SUMIFS('Live Collections'!$S:$S,'Live Collections'!$D:$D,'Colln-Summary'!$A279,'Live Collections'!$B:$B,"&gt;="&amp;'Colln-Summary'!$G$1,'Live Collections'!$B:$B,"&lt;="&amp;'Colln-Summary'!$G$2)</f>
        <v>0</v>
      </c>
      <c r="L279" s="360">
        <f>SUMIFS('Live Collections'!$T:$T,'Live Collections'!$D:$D,'Colln-Summary'!$A279,'Live Collections'!$B:$B,"&gt;="&amp;'Colln-Summary'!$G$1,'Live Collections'!$B:$B,"&lt;="&amp;'Colln-Summary'!$G$2)</f>
        <v>0</v>
      </c>
      <c r="M279" s="258">
        <f t="shared" si="5"/>
        <v>0</v>
      </c>
    </row>
    <row r="280" spans="1:13" x14ac:dyDescent="0.2">
      <c r="A280" s="478">
        <v>276</v>
      </c>
      <c r="B280" s="352" t="str">
        <f>IFERROR(VLOOKUP($A280,'Clients-Live'!$A:$C,3,0),"")</f>
        <v>MANDELA SWAIBU</v>
      </c>
      <c r="C280" s="353">
        <f>SUMIFS('Live Collections'!$J:$J,'Live Collections'!$D:$D,'Colln-Summary'!$A280,'Live Collections'!$B:$B,"&gt;="&amp;'Colln-Summary'!$G$1,'Live Collections'!$B:$B,"&lt;="&amp;'Colln-Summary'!$G$2)</f>
        <v>0</v>
      </c>
      <c r="D280" s="353">
        <f>SUMIFS('Live Collections'!$K:$K,'Live Collections'!$D:$D,'Colln-Summary'!$A280,'Live Collections'!$B:$B,"&gt;="&amp;'Colln-Summary'!$G$1,'Live Collections'!$B:$B,"&lt;="&amp;'Colln-Summary'!$G$2)</f>
        <v>0</v>
      </c>
      <c r="E280" s="353">
        <f>SUMIFS(Disbursements!$F:$F,Disbursements!$B:$B,'Colln-Summary'!$A280,Disbursements!$A:$A,"&gt;="&amp;'Colln-Summary'!$G$1,Disbursements!$A:$A,"&lt;="&amp;'Colln-Summary'!$G$2)</f>
        <v>0</v>
      </c>
      <c r="F280" s="353">
        <f>SUMIFS('Live Collections'!$L:$L,'Live Collections'!$D:$D,'Colln-Summary'!$A280,'Live Collections'!$B:$B,"&gt;="&amp;'Colln-Summary'!$G$1,'Live Collections'!$B:$B,"&lt;="&amp;'Colln-Summary'!$G$2)</f>
        <v>0</v>
      </c>
      <c r="G280" s="353">
        <f>SUMIFS('Live Collections'!$M:$M,'Live Collections'!$D:$D,'Colln-Summary'!$A280,'Live Collections'!$B:$B,"&gt;="&amp;'Colln-Summary'!$G$1,'Live Collections'!$B:$B,"&lt;="&amp;'Colln-Summary'!$G$2)</f>
        <v>0</v>
      </c>
      <c r="H280" s="353">
        <f>SUMIFS('Live Collections'!$N:$N,'Live Collections'!$D:$D,'Colln-Summary'!$A280,'Live Collections'!$B:$B,"&gt;="&amp;'Colln-Summary'!$G$1,'Live Collections'!$B:$B,"&lt;="&amp;'Colln-Summary'!$G$2)</f>
        <v>0</v>
      </c>
      <c r="I280" s="353">
        <f>SUMIFS('Live Collections'!$P:$P,'Live Collections'!$D:$D,'Colln-Summary'!$A280,'Live Collections'!$B:$B,"&gt;="&amp;'Colln-Summary'!$G$1,'Live Collections'!$B:$B,"&lt;="&amp;'Colln-Summary'!$G$2)</f>
        <v>0</v>
      </c>
      <c r="J280" s="353">
        <f>SUMIFS('Live Collections'!$O:$O,'Live Collections'!$D:$D,'Colln-Summary'!$A280,'Live Collections'!$B:$B,"&gt;="&amp;'Colln-Summary'!$G$1,'Live Collections'!$B:$B,"&lt;="&amp;'Colln-Summary'!$G$2)</f>
        <v>310000</v>
      </c>
      <c r="K280" s="360">
        <f>SUMIFS('Live Collections'!$S:$S,'Live Collections'!$D:$D,'Colln-Summary'!$A280,'Live Collections'!$B:$B,"&gt;="&amp;'Colln-Summary'!$G$1,'Live Collections'!$B:$B,"&lt;="&amp;'Colln-Summary'!$G$2)</f>
        <v>20000</v>
      </c>
      <c r="L280" s="360">
        <f>SUMIFS('Live Collections'!$T:$T,'Live Collections'!$D:$D,'Colln-Summary'!$A280,'Live Collections'!$B:$B,"&gt;="&amp;'Colln-Summary'!$G$1,'Live Collections'!$B:$B,"&lt;="&amp;'Colln-Summary'!$G$2)</f>
        <v>290000</v>
      </c>
      <c r="M280" s="258">
        <f t="shared" si="5"/>
        <v>310000</v>
      </c>
    </row>
    <row r="281" spans="1:13" x14ac:dyDescent="0.2">
      <c r="A281" s="478">
        <v>277</v>
      </c>
      <c r="B281" s="352" t="str">
        <f>IFERROR(VLOOKUP($A281,'Clients-Live'!$A:$C,3,0),"")</f>
        <v>WAYI DAVID</v>
      </c>
      <c r="C281" s="353">
        <f>SUMIFS('Live Collections'!$J:$J,'Live Collections'!$D:$D,'Colln-Summary'!$A281,'Live Collections'!$B:$B,"&gt;="&amp;'Colln-Summary'!$G$1,'Live Collections'!$B:$B,"&lt;="&amp;'Colln-Summary'!$G$2)</f>
        <v>0</v>
      </c>
      <c r="D281" s="353">
        <f>SUMIFS('Live Collections'!$K:$K,'Live Collections'!$D:$D,'Colln-Summary'!$A281,'Live Collections'!$B:$B,"&gt;="&amp;'Colln-Summary'!$G$1,'Live Collections'!$B:$B,"&lt;="&amp;'Colln-Summary'!$G$2)</f>
        <v>0</v>
      </c>
      <c r="E281" s="353">
        <f>SUMIFS(Disbursements!$F:$F,Disbursements!$B:$B,'Colln-Summary'!$A281,Disbursements!$A:$A,"&gt;="&amp;'Colln-Summary'!$G$1,Disbursements!$A:$A,"&lt;="&amp;'Colln-Summary'!$G$2)</f>
        <v>0</v>
      </c>
      <c r="F281" s="353">
        <f>SUMIFS('Live Collections'!$L:$L,'Live Collections'!$D:$D,'Colln-Summary'!$A281,'Live Collections'!$B:$B,"&gt;="&amp;'Colln-Summary'!$G$1,'Live Collections'!$B:$B,"&lt;="&amp;'Colln-Summary'!$G$2)</f>
        <v>0</v>
      </c>
      <c r="G281" s="353">
        <f>SUMIFS('Live Collections'!$M:$M,'Live Collections'!$D:$D,'Colln-Summary'!$A281,'Live Collections'!$B:$B,"&gt;="&amp;'Colln-Summary'!$G$1,'Live Collections'!$B:$B,"&lt;="&amp;'Colln-Summary'!$G$2)</f>
        <v>0</v>
      </c>
      <c r="H281" s="353">
        <f>SUMIFS('Live Collections'!$N:$N,'Live Collections'!$D:$D,'Colln-Summary'!$A281,'Live Collections'!$B:$B,"&gt;="&amp;'Colln-Summary'!$G$1,'Live Collections'!$B:$B,"&lt;="&amp;'Colln-Summary'!$G$2)</f>
        <v>0</v>
      </c>
      <c r="I281" s="353">
        <f>SUMIFS('Live Collections'!$P:$P,'Live Collections'!$D:$D,'Colln-Summary'!$A281,'Live Collections'!$B:$B,"&gt;="&amp;'Colln-Summary'!$G$1,'Live Collections'!$B:$B,"&lt;="&amp;'Colln-Summary'!$G$2)</f>
        <v>0</v>
      </c>
      <c r="J281" s="353">
        <f>SUMIFS('Live Collections'!$O:$O,'Live Collections'!$D:$D,'Colln-Summary'!$A281,'Live Collections'!$B:$B,"&gt;="&amp;'Colln-Summary'!$G$1,'Live Collections'!$B:$B,"&lt;="&amp;'Colln-Summary'!$G$2)</f>
        <v>0</v>
      </c>
      <c r="K281" s="360">
        <f>SUMIFS('Live Collections'!$S:$S,'Live Collections'!$D:$D,'Colln-Summary'!$A281,'Live Collections'!$B:$B,"&gt;="&amp;'Colln-Summary'!$G$1,'Live Collections'!$B:$B,"&lt;="&amp;'Colln-Summary'!$G$2)</f>
        <v>0</v>
      </c>
      <c r="L281" s="360">
        <f>SUMIFS('Live Collections'!$T:$T,'Live Collections'!$D:$D,'Colln-Summary'!$A281,'Live Collections'!$B:$B,"&gt;="&amp;'Colln-Summary'!$G$1,'Live Collections'!$B:$B,"&lt;="&amp;'Colln-Summary'!$G$2)</f>
        <v>0</v>
      </c>
      <c r="M281" s="258">
        <f t="shared" si="5"/>
        <v>0</v>
      </c>
    </row>
    <row r="282" spans="1:13" x14ac:dyDescent="0.2">
      <c r="A282" s="478">
        <v>278</v>
      </c>
      <c r="B282" s="352" t="str">
        <f>IFERROR(VLOOKUP($A282,'Clients-Live'!$A:$C,3,0),"")</f>
        <v>AATE SUZAN</v>
      </c>
      <c r="C282" s="353">
        <f>SUMIFS('Live Collections'!$J:$J,'Live Collections'!$D:$D,'Colln-Summary'!$A282,'Live Collections'!$B:$B,"&gt;="&amp;'Colln-Summary'!$G$1,'Live Collections'!$B:$B,"&lt;="&amp;'Colln-Summary'!$G$2)</f>
        <v>0</v>
      </c>
      <c r="D282" s="353">
        <f>SUMIFS('Live Collections'!$K:$K,'Live Collections'!$D:$D,'Colln-Summary'!$A282,'Live Collections'!$B:$B,"&gt;="&amp;'Colln-Summary'!$G$1,'Live Collections'!$B:$B,"&lt;="&amp;'Colln-Summary'!$G$2)</f>
        <v>0</v>
      </c>
      <c r="E282" s="353">
        <f>SUMIFS(Disbursements!$F:$F,Disbursements!$B:$B,'Colln-Summary'!$A282,Disbursements!$A:$A,"&gt;="&amp;'Colln-Summary'!$G$1,Disbursements!$A:$A,"&lt;="&amp;'Colln-Summary'!$G$2)</f>
        <v>0</v>
      </c>
      <c r="F282" s="353">
        <f>SUMIFS('Live Collections'!$L:$L,'Live Collections'!$D:$D,'Colln-Summary'!$A282,'Live Collections'!$B:$B,"&gt;="&amp;'Colln-Summary'!$G$1,'Live Collections'!$B:$B,"&lt;="&amp;'Colln-Summary'!$G$2)</f>
        <v>0</v>
      </c>
      <c r="G282" s="353">
        <f>SUMIFS('Live Collections'!$M:$M,'Live Collections'!$D:$D,'Colln-Summary'!$A282,'Live Collections'!$B:$B,"&gt;="&amp;'Colln-Summary'!$G$1,'Live Collections'!$B:$B,"&lt;="&amp;'Colln-Summary'!$G$2)</f>
        <v>0</v>
      </c>
      <c r="H282" s="353">
        <f>SUMIFS('Live Collections'!$N:$N,'Live Collections'!$D:$D,'Colln-Summary'!$A282,'Live Collections'!$B:$B,"&gt;="&amp;'Colln-Summary'!$G$1,'Live Collections'!$B:$B,"&lt;="&amp;'Colln-Summary'!$G$2)</f>
        <v>0</v>
      </c>
      <c r="I282" s="353">
        <f>SUMIFS('Live Collections'!$P:$P,'Live Collections'!$D:$D,'Colln-Summary'!$A282,'Live Collections'!$B:$B,"&gt;="&amp;'Colln-Summary'!$G$1,'Live Collections'!$B:$B,"&lt;="&amp;'Colln-Summary'!$G$2)</f>
        <v>0</v>
      </c>
      <c r="J282" s="353">
        <f>SUMIFS('Live Collections'!$O:$O,'Live Collections'!$D:$D,'Colln-Summary'!$A282,'Live Collections'!$B:$B,"&gt;="&amp;'Colln-Summary'!$G$1,'Live Collections'!$B:$B,"&lt;="&amp;'Colln-Summary'!$G$2)</f>
        <v>60000</v>
      </c>
      <c r="K282" s="360">
        <f>SUMIFS('Live Collections'!$S:$S,'Live Collections'!$D:$D,'Colln-Summary'!$A282,'Live Collections'!$B:$B,"&gt;="&amp;'Colln-Summary'!$G$1,'Live Collections'!$B:$B,"&lt;="&amp;'Colln-Summary'!$G$2)</f>
        <v>0</v>
      </c>
      <c r="L282" s="360">
        <f>SUMIFS('Live Collections'!$T:$T,'Live Collections'!$D:$D,'Colln-Summary'!$A282,'Live Collections'!$B:$B,"&gt;="&amp;'Colln-Summary'!$G$1,'Live Collections'!$B:$B,"&lt;="&amp;'Colln-Summary'!$G$2)</f>
        <v>60000</v>
      </c>
      <c r="M282" s="258">
        <f t="shared" si="5"/>
        <v>60000</v>
      </c>
    </row>
    <row r="283" spans="1:13" x14ac:dyDescent="0.2">
      <c r="A283" s="478">
        <v>279</v>
      </c>
      <c r="B283" s="352" t="str">
        <f>IFERROR(VLOOKUP($A283,'Clients-Live'!$A:$C,3,0),"")</f>
        <v>CHANDIGA PETER</v>
      </c>
      <c r="C283" s="353">
        <f>SUMIFS('Live Collections'!$J:$J,'Live Collections'!$D:$D,'Colln-Summary'!$A283,'Live Collections'!$B:$B,"&gt;="&amp;'Colln-Summary'!$G$1,'Live Collections'!$B:$B,"&lt;="&amp;'Colln-Summary'!$G$2)</f>
        <v>0</v>
      </c>
      <c r="D283" s="353">
        <f>SUMIFS('Live Collections'!$K:$K,'Live Collections'!$D:$D,'Colln-Summary'!$A283,'Live Collections'!$B:$B,"&gt;="&amp;'Colln-Summary'!$G$1,'Live Collections'!$B:$B,"&lt;="&amp;'Colln-Summary'!$G$2)</f>
        <v>0</v>
      </c>
      <c r="E283" s="353">
        <f>SUMIFS(Disbursements!$F:$F,Disbursements!$B:$B,'Colln-Summary'!$A283,Disbursements!$A:$A,"&gt;="&amp;'Colln-Summary'!$G$1,Disbursements!$A:$A,"&lt;="&amp;'Colln-Summary'!$G$2)</f>
        <v>0</v>
      </c>
      <c r="F283" s="353">
        <f>SUMIFS('Live Collections'!$L:$L,'Live Collections'!$D:$D,'Colln-Summary'!$A283,'Live Collections'!$B:$B,"&gt;="&amp;'Colln-Summary'!$G$1,'Live Collections'!$B:$B,"&lt;="&amp;'Colln-Summary'!$G$2)</f>
        <v>0</v>
      </c>
      <c r="G283" s="353">
        <f>SUMIFS('Live Collections'!$M:$M,'Live Collections'!$D:$D,'Colln-Summary'!$A283,'Live Collections'!$B:$B,"&gt;="&amp;'Colln-Summary'!$G$1,'Live Collections'!$B:$B,"&lt;="&amp;'Colln-Summary'!$G$2)</f>
        <v>0</v>
      </c>
      <c r="H283" s="353">
        <f>SUMIFS('Live Collections'!$N:$N,'Live Collections'!$D:$D,'Colln-Summary'!$A283,'Live Collections'!$B:$B,"&gt;="&amp;'Colln-Summary'!$G$1,'Live Collections'!$B:$B,"&lt;="&amp;'Colln-Summary'!$G$2)</f>
        <v>0</v>
      </c>
      <c r="I283" s="353">
        <f>SUMIFS('Live Collections'!$P:$P,'Live Collections'!$D:$D,'Colln-Summary'!$A283,'Live Collections'!$B:$B,"&gt;="&amp;'Colln-Summary'!$G$1,'Live Collections'!$B:$B,"&lt;="&amp;'Colln-Summary'!$G$2)</f>
        <v>0</v>
      </c>
      <c r="J283" s="353">
        <f>SUMIFS('Live Collections'!$O:$O,'Live Collections'!$D:$D,'Colln-Summary'!$A283,'Live Collections'!$B:$B,"&gt;="&amp;'Colln-Summary'!$G$1,'Live Collections'!$B:$B,"&lt;="&amp;'Colln-Summary'!$G$2)</f>
        <v>0</v>
      </c>
      <c r="K283" s="360">
        <f>SUMIFS('Live Collections'!$S:$S,'Live Collections'!$D:$D,'Colln-Summary'!$A283,'Live Collections'!$B:$B,"&gt;="&amp;'Colln-Summary'!$G$1,'Live Collections'!$B:$B,"&lt;="&amp;'Colln-Summary'!$G$2)</f>
        <v>0</v>
      </c>
      <c r="L283" s="360">
        <f>SUMIFS('Live Collections'!$T:$T,'Live Collections'!$D:$D,'Colln-Summary'!$A283,'Live Collections'!$B:$B,"&gt;="&amp;'Colln-Summary'!$G$1,'Live Collections'!$B:$B,"&lt;="&amp;'Colln-Summary'!$G$2)</f>
        <v>0</v>
      </c>
      <c r="M283" s="258">
        <f t="shared" si="5"/>
        <v>0</v>
      </c>
    </row>
    <row r="284" spans="1:13" x14ac:dyDescent="0.2">
      <c r="A284" s="478">
        <v>280</v>
      </c>
      <c r="B284" s="352" t="str">
        <f>IFERROR(VLOOKUP($A284,'Clients-Live'!$A:$C,3,0),"")</f>
        <v>ANYULE JAMALI</v>
      </c>
      <c r="C284" s="353">
        <f>SUMIFS('Live Collections'!$J:$J,'Live Collections'!$D:$D,'Colln-Summary'!$A284,'Live Collections'!$B:$B,"&gt;="&amp;'Colln-Summary'!$G$1,'Live Collections'!$B:$B,"&lt;="&amp;'Colln-Summary'!$G$2)</f>
        <v>0</v>
      </c>
      <c r="D284" s="353">
        <f>SUMIFS('Live Collections'!$K:$K,'Live Collections'!$D:$D,'Colln-Summary'!$A284,'Live Collections'!$B:$B,"&gt;="&amp;'Colln-Summary'!$G$1,'Live Collections'!$B:$B,"&lt;="&amp;'Colln-Summary'!$G$2)</f>
        <v>0</v>
      </c>
      <c r="E284" s="353">
        <f>SUMIFS(Disbursements!$F:$F,Disbursements!$B:$B,'Colln-Summary'!$A284,Disbursements!$A:$A,"&gt;="&amp;'Colln-Summary'!$G$1,Disbursements!$A:$A,"&lt;="&amp;'Colln-Summary'!$G$2)</f>
        <v>0</v>
      </c>
      <c r="F284" s="353">
        <f>SUMIFS('Live Collections'!$L:$L,'Live Collections'!$D:$D,'Colln-Summary'!$A284,'Live Collections'!$B:$B,"&gt;="&amp;'Colln-Summary'!$G$1,'Live Collections'!$B:$B,"&lt;="&amp;'Colln-Summary'!$G$2)</f>
        <v>0</v>
      </c>
      <c r="G284" s="353">
        <f>SUMIFS('Live Collections'!$M:$M,'Live Collections'!$D:$D,'Colln-Summary'!$A284,'Live Collections'!$B:$B,"&gt;="&amp;'Colln-Summary'!$G$1,'Live Collections'!$B:$B,"&lt;="&amp;'Colln-Summary'!$G$2)</f>
        <v>0</v>
      </c>
      <c r="H284" s="353">
        <f>SUMIFS('Live Collections'!$N:$N,'Live Collections'!$D:$D,'Colln-Summary'!$A284,'Live Collections'!$B:$B,"&gt;="&amp;'Colln-Summary'!$G$1,'Live Collections'!$B:$B,"&lt;="&amp;'Colln-Summary'!$G$2)</f>
        <v>0</v>
      </c>
      <c r="I284" s="353">
        <f>SUMIFS('Live Collections'!$P:$P,'Live Collections'!$D:$D,'Colln-Summary'!$A284,'Live Collections'!$B:$B,"&gt;="&amp;'Colln-Summary'!$G$1,'Live Collections'!$B:$B,"&lt;="&amp;'Colln-Summary'!$G$2)</f>
        <v>0</v>
      </c>
      <c r="J284" s="353">
        <f>SUMIFS('Live Collections'!$O:$O,'Live Collections'!$D:$D,'Colln-Summary'!$A284,'Live Collections'!$B:$B,"&gt;="&amp;'Colln-Summary'!$G$1,'Live Collections'!$B:$B,"&lt;="&amp;'Colln-Summary'!$G$2)</f>
        <v>0</v>
      </c>
      <c r="K284" s="360">
        <f>SUMIFS('Live Collections'!$S:$S,'Live Collections'!$D:$D,'Colln-Summary'!$A284,'Live Collections'!$B:$B,"&gt;="&amp;'Colln-Summary'!$G$1,'Live Collections'!$B:$B,"&lt;="&amp;'Colln-Summary'!$G$2)</f>
        <v>0</v>
      </c>
      <c r="L284" s="360">
        <f>SUMIFS('Live Collections'!$T:$T,'Live Collections'!$D:$D,'Colln-Summary'!$A284,'Live Collections'!$B:$B,"&gt;="&amp;'Colln-Summary'!$G$1,'Live Collections'!$B:$B,"&lt;="&amp;'Colln-Summary'!$G$2)</f>
        <v>0</v>
      </c>
      <c r="M284" s="258">
        <f t="shared" si="5"/>
        <v>0</v>
      </c>
    </row>
    <row r="285" spans="1:13" x14ac:dyDescent="0.2">
      <c r="A285" s="478">
        <v>281</v>
      </c>
      <c r="B285" s="352" t="str">
        <f>IFERROR(VLOOKUP($A285,'Clients-Live'!$A:$C,3,0),"")</f>
        <v>BAKO ZUBEDA</v>
      </c>
      <c r="C285" s="353">
        <f>SUMIFS('Live Collections'!$J:$J,'Live Collections'!$D:$D,'Colln-Summary'!$A285,'Live Collections'!$B:$B,"&gt;="&amp;'Colln-Summary'!$G$1,'Live Collections'!$B:$B,"&lt;="&amp;'Colln-Summary'!$G$2)</f>
        <v>0</v>
      </c>
      <c r="D285" s="353">
        <f>SUMIFS('Live Collections'!$K:$K,'Live Collections'!$D:$D,'Colln-Summary'!$A285,'Live Collections'!$B:$B,"&gt;="&amp;'Colln-Summary'!$G$1,'Live Collections'!$B:$B,"&lt;="&amp;'Colln-Summary'!$G$2)</f>
        <v>0</v>
      </c>
      <c r="E285" s="353">
        <f>SUMIFS(Disbursements!$F:$F,Disbursements!$B:$B,'Colln-Summary'!$A285,Disbursements!$A:$A,"&gt;="&amp;'Colln-Summary'!$G$1,Disbursements!$A:$A,"&lt;="&amp;'Colln-Summary'!$G$2)</f>
        <v>350000</v>
      </c>
      <c r="F285" s="353">
        <f>SUMIFS('Live Collections'!$L:$L,'Live Collections'!$D:$D,'Colln-Summary'!$A285,'Live Collections'!$B:$B,"&gt;="&amp;'Colln-Summary'!$G$1,'Live Collections'!$B:$B,"&lt;="&amp;'Colln-Summary'!$G$2)</f>
        <v>0</v>
      </c>
      <c r="G285" s="353">
        <f>SUMIFS('Live Collections'!$M:$M,'Live Collections'!$D:$D,'Colln-Summary'!$A285,'Live Collections'!$B:$B,"&gt;="&amp;'Colln-Summary'!$G$1,'Live Collections'!$B:$B,"&lt;="&amp;'Colln-Summary'!$G$2)</f>
        <v>0</v>
      </c>
      <c r="H285" s="353">
        <f>SUMIFS('Live Collections'!$N:$N,'Live Collections'!$D:$D,'Colln-Summary'!$A285,'Live Collections'!$B:$B,"&gt;="&amp;'Colln-Summary'!$G$1,'Live Collections'!$B:$B,"&lt;="&amp;'Colln-Summary'!$G$2)</f>
        <v>0</v>
      </c>
      <c r="I285" s="353">
        <f>SUMIFS('Live Collections'!$P:$P,'Live Collections'!$D:$D,'Colln-Summary'!$A285,'Live Collections'!$B:$B,"&gt;="&amp;'Colln-Summary'!$G$1,'Live Collections'!$B:$B,"&lt;="&amp;'Colln-Summary'!$G$2)</f>
        <v>35000</v>
      </c>
      <c r="J285" s="353">
        <f>SUMIFS('Live Collections'!$O:$O,'Live Collections'!$D:$D,'Colln-Summary'!$A285,'Live Collections'!$B:$B,"&gt;="&amp;'Colln-Summary'!$G$1,'Live Collections'!$B:$B,"&lt;="&amp;'Colln-Summary'!$G$2)</f>
        <v>55200</v>
      </c>
      <c r="K285" s="360">
        <f>SUMIFS('Live Collections'!$S:$S,'Live Collections'!$D:$D,'Colln-Summary'!$A285,'Live Collections'!$B:$B,"&gt;="&amp;'Colln-Summary'!$G$1,'Live Collections'!$B:$B,"&lt;="&amp;'Colln-Summary'!$G$2)</f>
        <v>28000</v>
      </c>
      <c r="L285" s="360">
        <f>SUMIFS('Live Collections'!$T:$T,'Live Collections'!$D:$D,'Colln-Summary'!$A285,'Live Collections'!$B:$B,"&gt;="&amp;'Colln-Summary'!$G$1,'Live Collections'!$B:$B,"&lt;="&amp;'Colln-Summary'!$G$2)</f>
        <v>27200</v>
      </c>
      <c r="M285" s="258">
        <f t="shared" si="5"/>
        <v>440200</v>
      </c>
    </row>
    <row r="286" spans="1:13" x14ac:dyDescent="0.2">
      <c r="A286" s="478">
        <v>282</v>
      </c>
      <c r="B286" s="352" t="str">
        <f>IFERROR(VLOOKUP($A286,'Clients-Live'!$A:$C,3,0),"")</f>
        <v>TAYI MODESTO</v>
      </c>
      <c r="C286" s="353">
        <f>SUMIFS('Live Collections'!$J:$J,'Live Collections'!$D:$D,'Colln-Summary'!$A286,'Live Collections'!$B:$B,"&gt;="&amp;'Colln-Summary'!$G$1,'Live Collections'!$B:$B,"&lt;="&amp;'Colln-Summary'!$G$2)</f>
        <v>0</v>
      </c>
      <c r="D286" s="353">
        <f>SUMIFS('Live Collections'!$K:$K,'Live Collections'!$D:$D,'Colln-Summary'!$A286,'Live Collections'!$B:$B,"&gt;="&amp;'Colln-Summary'!$G$1,'Live Collections'!$B:$B,"&lt;="&amp;'Colln-Summary'!$G$2)</f>
        <v>0</v>
      </c>
      <c r="E286" s="353">
        <f>SUMIFS(Disbursements!$F:$F,Disbursements!$B:$B,'Colln-Summary'!$A286,Disbursements!$A:$A,"&gt;="&amp;'Colln-Summary'!$G$1,Disbursements!$A:$A,"&lt;="&amp;'Colln-Summary'!$G$2)</f>
        <v>0</v>
      </c>
      <c r="F286" s="353">
        <f>SUMIFS('Live Collections'!$L:$L,'Live Collections'!$D:$D,'Colln-Summary'!$A286,'Live Collections'!$B:$B,"&gt;="&amp;'Colln-Summary'!$G$1,'Live Collections'!$B:$B,"&lt;="&amp;'Colln-Summary'!$G$2)</f>
        <v>0</v>
      </c>
      <c r="G286" s="353">
        <f>SUMIFS('Live Collections'!$M:$M,'Live Collections'!$D:$D,'Colln-Summary'!$A286,'Live Collections'!$B:$B,"&gt;="&amp;'Colln-Summary'!$G$1,'Live Collections'!$B:$B,"&lt;="&amp;'Colln-Summary'!$G$2)</f>
        <v>0</v>
      </c>
      <c r="H286" s="353">
        <f>SUMIFS('Live Collections'!$N:$N,'Live Collections'!$D:$D,'Colln-Summary'!$A286,'Live Collections'!$B:$B,"&gt;="&amp;'Colln-Summary'!$G$1,'Live Collections'!$B:$B,"&lt;="&amp;'Colln-Summary'!$G$2)</f>
        <v>0</v>
      </c>
      <c r="I286" s="353">
        <f>SUMIFS('Live Collections'!$P:$P,'Live Collections'!$D:$D,'Colln-Summary'!$A286,'Live Collections'!$B:$B,"&gt;="&amp;'Colln-Summary'!$G$1,'Live Collections'!$B:$B,"&lt;="&amp;'Colln-Summary'!$G$2)</f>
        <v>0</v>
      </c>
      <c r="J286" s="353">
        <f>SUMIFS('Live Collections'!$O:$O,'Live Collections'!$D:$D,'Colln-Summary'!$A286,'Live Collections'!$B:$B,"&gt;="&amp;'Colln-Summary'!$G$1,'Live Collections'!$B:$B,"&lt;="&amp;'Colln-Summary'!$G$2)</f>
        <v>0</v>
      </c>
      <c r="K286" s="360">
        <f>SUMIFS('Live Collections'!$S:$S,'Live Collections'!$D:$D,'Colln-Summary'!$A286,'Live Collections'!$B:$B,"&gt;="&amp;'Colln-Summary'!$G$1,'Live Collections'!$B:$B,"&lt;="&amp;'Colln-Summary'!$G$2)</f>
        <v>0</v>
      </c>
      <c r="L286" s="360">
        <f>SUMIFS('Live Collections'!$T:$T,'Live Collections'!$D:$D,'Colln-Summary'!$A286,'Live Collections'!$B:$B,"&gt;="&amp;'Colln-Summary'!$G$1,'Live Collections'!$B:$B,"&lt;="&amp;'Colln-Summary'!$G$2)</f>
        <v>0</v>
      </c>
      <c r="M286" s="258">
        <f t="shared" si="5"/>
        <v>0</v>
      </c>
    </row>
    <row r="287" spans="1:13" x14ac:dyDescent="0.2">
      <c r="A287" s="478">
        <v>283</v>
      </c>
      <c r="B287" s="352" t="str">
        <f>IFERROR(VLOOKUP($A287,'Clients-Live'!$A:$C,3,0),"")</f>
        <v>ASIKI ALEX</v>
      </c>
      <c r="C287" s="353">
        <f>SUMIFS('Live Collections'!$J:$J,'Live Collections'!$D:$D,'Colln-Summary'!$A287,'Live Collections'!$B:$B,"&gt;="&amp;'Colln-Summary'!$G$1,'Live Collections'!$B:$B,"&lt;="&amp;'Colln-Summary'!$G$2)</f>
        <v>0</v>
      </c>
      <c r="D287" s="353">
        <f>SUMIFS('Live Collections'!$K:$K,'Live Collections'!$D:$D,'Colln-Summary'!$A287,'Live Collections'!$B:$B,"&gt;="&amp;'Colln-Summary'!$G$1,'Live Collections'!$B:$B,"&lt;="&amp;'Colln-Summary'!$G$2)</f>
        <v>0</v>
      </c>
      <c r="E287" s="353">
        <f>SUMIFS(Disbursements!$F:$F,Disbursements!$B:$B,'Colln-Summary'!$A287,Disbursements!$A:$A,"&gt;="&amp;'Colln-Summary'!$G$1,Disbursements!$A:$A,"&lt;="&amp;'Colln-Summary'!$G$2)</f>
        <v>0</v>
      </c>
      <c r="F287" s="353">
        <f>SUMIFS('Live Collections'!$L:$L,'Live Collections'!$D:$D,'Colln-Summary'!$A287,'Live Collections'!$B:$B,"&gt;="&amp;'Colln-Summary'!$G$1,'Live Collections'!$B:$B,"&lt;="&amp;'Colln-Summary'!$G$2)</f>
        <v>0</v>
      </c>
      <c r="G287" s="353">
        <f>SUMIFS('Live Collections'!$M:$M,'Live Collections'!$D:$D,'Colln-Summary'!$A287,'Live Collections'!$B:$B,"&gt;="&amp;'Colln-Summary'!$G$1,'Live Collections'!$B:$B,"&lt;="&amp;'Colln-Summary'!$G$2)</f>
        <v>0</v>
      </c>
      <c r="H287" s="353">
        <f>SUMIFS('Live Collections'!$N:$N,'Live Collections'!$D:$D,'Colln-Summary'!$A287,'Live Collections'!$B:$B,"&gt;="&amp;'Colln-Summary'!$G$1,'Live Collections'!$B:$B,"&lt;="&amp;'Colln-Summary'!$G$2)</f>
        <v>0</v>
      </c>
      <c r="I287" s="353">
        <f>SUMIFS('Live Collections'!$P:$P,'Live Collections'!$D:$D,'Colln-Summary'!$A287,'Live Collections'!$B:$B,"&gt;="&amp;'Colln-Summary'!$G$1,'Live Collections'!$B:$B,"&lt;="&amp;'Colln-Summary'!$G$2)</f>
        <v>0</v>
      </c>
      <c r="J287" s="353">
        <f>SUMIFS('Live Collections'!$O:$O,'Live Collections'!$D:$D,'Colln-Summary'!$A287,'Live Collections'!$B:$B,"&gt;="&amp;'Colln-Summary'!$G$1,'Live Collections'!$B:$B,"&lt;="&amp;'Colln-Summary'!$G$2)</f>
        <v>0</v>
      </c>
      <c r="K287" s="360">
        <f>SUMIFS('Live Collections'!$S:$S,'Live Collections'!$D:$D,'Colln-Summary'!$A287,'Live Collections'!$B:$B,"&gt;="&amp;'Colln-Summary'!$G$1,'Live Collections'!$B:$B,"&lt;="&amp;'Colln-Summary'!$G$2)</f>
        <v>0</v>
      </c>
      <c r="L287" s="360">
        <f>SUMIFS('Live Collections'!$T:$T,'Live Collections'!$D:$D,'Colln-Summary'!$A287,'Live Collections'!$B:$B,"&gt;="&amp;'Colln-Summary'!$G$1,'Live Collections'!$B:$B,"&lt;="&amp;'Colln-Summary'!$G$2)</f>
        <v>0</v>
      </c>
      <c r="M287" s="258">
        <f t="shared" si="5"/>
        <v>0</v>
      </c>
    </row>
    <row r="288" spans="1:13" x14ac:dyDescent="0.2">
      <c r="A288" s="478">
        <v>284</v>
      </c>
      <c r="B288" s="352" t="str">
        <f>IFERROR(VLOOKUP($A288,'Clients-Live'!$A:$C,3,0),"")</f>
        <v>MALISH WAWASON</v>
      </c>
      <c r="C288" s="353">
        <f>SUMIFS('Live Collections'!$J:$J,'Live Collections'!$D:$D,'Colln-Summary'!$A288,'Live Collections'!$B:$B,"&gt;="&amp;'Colln-Summary'!$G$1,'Live Collections'!$B:$B,"&lt;="&amp;'Colln-Summary'!$G$2)</f>
        <v>0</v>
      </c>
      <c r="D288" s="353">
        <f>SUMIFS('Live Collections'!$K:$K,'Live Collections'!$D:$D,'Colln-Summary'!$A288,'Live Collections'!$B:$B,"&gt;="&amp;'Colln-Summary'!$G$1,'Live Collections'!$B:$B,"&lt;="&amp;'Colln-Summary'!$G$2)</f>
        <v>0</v>
      </c>
      <c r="E288" s="353">
        <f>SUMIFS(Disbursements!$F:$F,Disbursements!$B:$B,'Colln-Summary'!$A288,Disbursements!$A:$A,"&gt;="&amp;'Colln-Summary'!$G$1,Disbursements!$A:$A,"&lt;="&amp;'Colln-Summary'!$G$2)</f>
        <v>0</v>
      </c>
      <c r="F288" s="353">
        <f>SUMIFS('Live Collections'!$L:$L,'Live Collections'!$D:$D,'Colln-Summary'!$A288,'Live Collections'!$B:$B,"&gt;="&amp;'Colln-Summary'!$G$1,'Live Collections'!$B:$B,"&lt;="&amp;'Colln-Summary'!$G$2)</f>
        <v>0</v>
      </c>
      <c r="G288" s="353">
        <f>SUMIFS('Live Collections'!$M:$M,'Live Collections'!$D:$D,'Colln-Summary'!$A288,'Live Collections'!$B:$B,"&gt;="&amp;'Colln-Summary'!$G$1,'Live Collections'!$B:$B,"&lt;="&amp;'Colln-Summary'!$G$2)</f>
        <v>0</v>
      </c>
      <c r="H288" s="353">
        <f>SUMIFS('Live Collections'!$N:$N,'Live Collections'!$D:$D,'Colln-Summary'!$A288,'Live Collections'!$B:$B,"&gt;="&amp;'Colln-Summary'!$G$1,'Live Collections'!$B:$B,"&lt;="&amp;'Colln-Summary'!$G$2)</f>
        <v>82000</v>
      </c>
      <c r="I288" s="353">
        <f>SUMIFS('Live Collections'!$P:$P,'Live Collections'!$D:$D,'Colln-Summary'!$A288,'Live Collections'!$B:$B,"&gt;="&amp;'Colln-Summary'!$G$1,'Live Collections'!$B:$B,"&lt;="&amp;'Colln-Summary'!$G$2)</f>
        <v>0</v>
      </c>
      <c r="J288" s="353">
        <f>SUMIFS('Live Collections'!$O:$O,'Live Collections'!$D:$D,'Colln-Summary'!$A288,'Live Collections'!$B:$B,"&gt;="&amp;'Colln-Summary'!$G$1,'Live Collections'!$B:$B,"&lt;="&amp;'Colln-Summary'!$G$2)</f>
        <v>2068000</v>
      </c>
      <c r="K288" s="360">
        <f>SUMIFS('Live Collections'!$S:$S,'Live Collections'!$D:$D,'Colln-Summary'!$A288,'Live Collections'!$B:$B,"&gt;="&amp;'Colln-Summary'!$G$1,'Live Collections'!$B:$B,"&lt;="&amp;'Colln-Summary'!$G$2)</f>
        <v>121500</v>
      </c>
      <c r="L288" s="360">
        <f>SUMIFS('Live Collections'!$T:$T,'Live Collections'!$D:$D,'Colln-Summary'!$A288,'Live Collections'!$B:$B,"&gt;="&amp;'Colln-Summary'!$G$1,'Live Collections'!$B:$B,"&lt;="&amp;'Colln-Summary'!$G$2)</f>
        <v>1946500</v>
      </c>
      <c r="M288" s="258">
        <f t="shared" si="5"/>
        <v>2150000</v>
      </c>
    </row>
    <row r="289" spans="1:13" x14ac:dyDescent="0.2">
      <c r="A289" s="478">
        <v>285</v>
      </c>
      <c r="B289" s="352" t="str">
        <f>IFERROR(VLOOKUP($A289,'Clients-Live'!$A:$C,3,0),"")</f>
        <v>REMO MUSA AMIN</v>
      </c>
      <c r="C289" s="353">
        <f>SUMIFS('Live Collections'!$J:$J,'Live Collections'!$D:$D,'Colln-Summary'!$A289,'Live Collections'!$B:$B,"&gt;="&amp;'Colln-Summary'!$G$1,'Live Collections'!$B:$B,"&lt;="&amp;'Colln-Summary'!$G$2)</f>
        <v>0</v>
      </c>
      <c r="D289" s="353">
        <f>SUMIFS('Live Collections'!$K:$K,'Live Collections'!$D:$D,'Colln-Summary'!$A289,'Live Collections'!$B:$B,"&gt;="&amp;'Colln-Summary'!$G$1,'Live Collections'!$B:$B,"&lt;="&amp;'Colln-Summary'!$G$2)</f>
        <v>0</v>
      </c>
      <c r="E289" s="353">
        <f>SUMIFS(Disbursements!$F:$F,Disbursements!$B:$B,'Colln-Summary'!$A289,Disbursements!$A:$A,"&gt;="&amp;'Colln-Summary'!$G$1,Disbursements!$A:$A,"&lt;="&amp;'Colln-Summary'!$G$2)</f>
        <v>0</v>
      </c>
      <c r="F289" s="353">
        <f>SUMIFS('Live Collections'!$L:$L,'Live Collections'!$D:$D,'Colln-Summary'!$A289,'Live Collections'!$B:$B,"&gt;="&amp;'Colln-Summary'!$G$1,'Live Collections'!$B:$B,"&lt;="&amp;'Colln-Summary'!$G$2)</f>
        <v>0</v>
      </c>
      <c r="G289" s="353">
        <f>SUMIFS('Live Collections'!$M:$M,'Live Collections'!$D:$D,'Colln-Summary'!$A289,'Live Collections'!$B:$B,"&gt;="&amp;'Colln-Summary'!$G$1,'Live Collections'!$B:$B,"&lt;="&amp;'Colln-Summary'!$G$2)</f>
        <v>0</v>
      </c>
      <c r="H289" s="353">
        <f>SUMIFS('Live Collections'!$N:$N,'Live Collections'!$D:$D,'Colln-Summary'!$A289,'Live Collections'!$B:$B,"&gt;="&amp;'Colln-Summary'!$G$1,'Live Collections'!$B:$B,"&lt;="&amp;'Colln-Summary'!$G$2)</f>
        <v>0</v>
      </c>
      <c r="I289" s="353">
        <f>SUMIFS('Live Collections'!$P:$P,'Live Collections'!$D:$D,'Colln-Summary'!$A289,'Live Collections'!$B:$B,"&gt;="&amp;'Colln-Summary'!$G$1,'Live Collections'!$B:$B,"&lt;="&amp;'Colln-Summary'!$G$2)</f>
        <v>0</v>
      </c>
      <c r="J289" s="353">
        <f>SUMIFS('Live Collections'!$O:$O,'Live Collections'!$D:$D,'Colln-Summary'!$A289,'Live Collections'!$B:$B,"&gt;="&amp;'Colln-Summary'!$G$1,'Live Collections'!$B:$B,"&lt;="&amp;'Colln-Summary'!$G$2)</f>
        <v>0</v>
      </c>
      <c r="K289" s="360">
        <f>SUMIFS('Live Collections'!$S:$S,'Live Collections'!$D:$D,'Colln-Summary'!$A289,'Live Collections'!$B:$B,"&gt;="&amp;'Colln-Summary'!$G$1,'Live Collections'!$B:$B,"&lt;="&amp;'Colln-Summary'!$G$2)</f>
        <v>0</v>
      </c>
      <c r="L289" s="360">
        <f>SUMIFS('Live Collections'!$T:$T,'Live Collections'!$D:$D,'Colln-Summary'!$A289,'Live Collections'!$B:$B,"&gt;="&amp;'Colln-Summary'!$G$1,'Live Collections'!$B:$B,"&lt;="&amp;'Colln-Summary'!$G$2)</f>
        <v>0</v>
      </c>
      <c r="M289" s="258">
        <f t="shared" si="5"/>
        <v>0</v>
      </c>
    </row>
    <row r="290" spans="1:13" x14ac:dyDescent="0.2">
      <c r="A290" s="478">
        <v>286</v>
      </c>
      <c r="B290" s="352" t="str">
        <f>IFERROR(VLOOKUP($A290,'Clients-Live'!$A:$C,3,0),"")</f>
        <v>DIRIA IRENE</v>
      </c>
      <c r="C290" s="353">
        <f>SUMIFS('Live Collections'!$J:$J,'Live Collections'!$D:$D,'Colln-Summary'!$A290,'Live Collections'!$B:$B,"&gt;="&amp;'Colln-Summary'!$G$1,'Live Collections'!$B:$B,"&lt;="&amp;'Colln-Summary'!$G$2)</f>
        <v>0</v>
      </c>
      <c r="D290" s="353">
        <f>SUMIFS('Live Collections'!$K:$K,'Live Collections'!$D:$D,'Colln-Summary'!$A290,'Live Collections'!$B:$B,"&gt;="&amp;'Colln-Summary'!$G$1,'Live Collections'!$B:$B,"&lt;="&amp;'Colln-Summary'!$G$2)</f>
        <v>0</v>
      </c>
      <c r="E290" s="353">
        <f>SUMIFS(Disbursements!$F:$F,Disbursements!$B:$B,'Colln-Summary'!$A290,Disbursements!$A:$A,"&gt;="&amp;'Colln-Summary'!$G$1,Disbursements!$A:$A,"&lt;="&amp;'Colln-Summary'!$G$2)</f>
        <v>0</v>
      </c>
      <c r="F290" s="353">
        <f>SUMIFS('Live Collections'!$L:$L,'Live Collections'!$D:$D,'Colln-Summary'!$A290,'Live Collections'!$B:$B,"&gt;="&amp;'Colln-Summary'!$G$1,'Live Collections'!$B:$B,"&lt;="&amp;'Colln-Summary'!$G$2)</f>
        <v>0</v>
      </c>
      <c r="G290" s="353">
        <f>SUMIFS('Live Collections'!$M:$M,'Live Collections'!$D:$D,'Colln-Summary'!$A290,'Live Collections'!$B:$B,"&gt;="&amp;'Colln-Summary'!$G$1,'Live Collections'!$B:$B,"&lt;="&amp;'Colln-Summary'!$G$2)</f>
        <v>0</v>
      </c>
      <c r="H290" s="353">
        <f>SUMIFS('Live Collections'!$N:$N,'Live Collections'!$D:$D,'Colln-Summary'!$A290,'Live Collections'!$B:$B,"&gt;="&amp;'Colln-Summary'!$G$1,'Live Collections'!$B:$B,"&lt;="&amp;'Colln-Summary'!$G$2)</f>
        <v>0</v>
      </c>
      <c r="I290" s="353">
        <f>SUMIFS('Live Collections'!$P:$P,'Live Collections'!$D:$D,'Colln-Summary'!$A290,'Live Collections'!$B:$B,"&gt;="&amp;'Colln-Summary'!$G$1,'Live Collections'!$B:$B,"&lt;="&amp;'Colln-Summary'!$G$2)</f>
        <v>0</v>
      </c>
      <c r="J290" s="353">
        <f>SUMIFS('Live Collections'!$O:$O,'Live Collections'!$D:$D,'Colln-Summary'!$A290,'Live Collections'!$B:$B,"&gt;="&amp;'Colln-Summary'!$G$1,'Live Collections'!$B:$B,"&lt;="&amp;'Colln-Summary'!$G$2)</f>
        <v>680000</v>
      </c>
      <c r="K290" s="360">
        <f>SUMIFS('Live Collections'!$S:$S,'Live Collections'!$D:$D,'Colln-Summary'!$A290,'Live Collections'!$B:$B,"&gt;="&amp;'Colln-Summary'!$G$1,'Live Collections'!$B:$B,"&lt;="&amp;'Colln-Summary'!$G$2)</f>
        <v>9000</v>
      </c>
      <c r="L290" s="360">
        <f>SUMIFS('Live Collections'!$T:$T,'Live Collections'!$D:$D,'Colln-Summary'!$A290,'Live Collections'!$B:$B,"&gt;="&amp;'Colln-Summary'!$G$1,'Live Collections'!$B:$B,"&lt;="&amp;'Colln-Summary'!$G$2)</f>
        <v>671000</v>
      </c>
      <c r="M290" s="258">
        <f t="shared" si="5"/>
        <v>680000</v>
      </c>
    </row>
    <row r="291" spans="1:13" x14ac:dyDescent="0.2">
      <c r="A291" s="478">
        <v>287</v>
      </c>
      <c r="B291" s="352" t="str">
        <f>IFERROR(VLOOKUP($A291,'Clients-Live'!$A:$C,3,0),"")</f>
        <v>FAITH JOSEPHINE</v>
      </c>
      <c r="C291" s="353">
        <f>SUMIFS('Live Collections'!$J:$J,'Live Collections'!$D:$D,'Colln-Summary'!$A291,'Live Collections'!$B:$B,"&gt;="&amp;'Colln-Summary'!$G$1,'Live Collections'!$B:$B,"&lt;="&amp;'Colln-Summary'!$G$2)</f>
        <v>0</v>
      </c>
      <c r="D291" s="353">
        <f>SUMIFS('Live Collections'!$K:$K,'Live Collections'!$D:$D,'Colln-Summary'!$A291,'Live Collections'!$B:$B,"&gt;="&amp;'Colln-Summary'!$G$1,'Live Collections'!$B:$B,"&lt;="&amp;'Colln-Summary'!$G$2)</f>
        <v>0</v>
      </c>
      <c r="E291" s="353">
        <f>SUMIFS(Disbursements!$F:$F,Disbursements!$B:$B,'Colln-Summary'!$A291,Disbursements!$A:$A,"&gt;="&amp;'Colln-Summary'!$G$1,Disbursements!$A:$A,"&lt;="&amp;'Colln-Summary'!$G$2)</f>
        <v>0</v>
      </c>
      <c r="F291" s="353">
        <f>SUMIFS('Live Collections'!$L:$L,'Live Collections'!$D:$D,'Colln-Summary'!$A291,'Live Collections'!$B:$B,"&gt;="&amp;'Colln-Summary'!$G$1,'Live Collections'!$B:$B,"&lt;="&amp;'Colln-Summary'!$G$2)</f>
        <v>0</v>
      </c>
      <c r="G291" s="353">
        <f>SUMIFS('Live Collections'!$M:$M,'Live Collections'!$D:$D,'Colln-Summary'!$A291,'Live Collections'!$B:$B,"&gt;="&amp;'Colln-Summary'!$G$1,'Live Collections'!$B:$B,"&lt;="&amp;'Colln-Summary'!$G$2)</f>
        <v>0</v>
      </c>
      <c r="H291" s="353">
        <f>SUMIFS('Live Collections'!$N:$N,'Live Collections'!$D:$D,'Colln-Summary'!$A291,'Live Collections'!$B:$B,"&gt;="&amp;'Colln-Summary'!$G$1,'Live Collections'!$B:$B,"&lt;="&amp;'Colln-Summary'!$G$2)</f>
        <v>0</v>
      </c>
      <c r="I291" s="353">
        <f>SUMIFS('Live Collections'!$P:$P,'Live Collections'!$D:$D,'Colln-Summary'!$A291,'Live Collections'!$B:$B,"&gt;="&amp;'Colln-Summary'!$G$1,'Live Collections'!$B:$B,"&lt;="&amp;'Colln-Summary'!$G$2)</f>
        <v>0</v>
      </c>
      <c r="J291" s="353">
        <f>SUMIFS('Live Collections'!$O:$O,'Live Collections'!$D:$D,'Colln-Summary'!$A291,'Live Collections'!$B:$B,"&gt;="&amp;'Colln-Summary'!$G$1,'Live Collections'!$B:$B,"&lt;="&amp;'Colln-Summary'!$G$2)</f>
        <v>260000</v>
      </c>
      <c r="K291" s="360">
        <f>SUMIFS('Live Collections'!$S:$S,'Live Collections'!$D:$D,'Colln-Summary'!$A291,'Live Collections'!$B:$B,"&gt;="&amp;'Colln-Summary'!$G$1,'Live Collections'!$B:$B,"&lt;="&amp;'Colln-Summary'!$G$2)</f>
        <v>50000</v>
      </c>
      <c r="L291" s="360">
        <f>SUMIFS('Live Collections'!$T:$T,'Live Collections'!$D:$D,'Colln-Summary'!$A291,'Live Collections'!$B:$B,"&gt;="&amp;'Colln-Summary'!$G$1,'Live Collections'!$B:$B,"&lt;="&amp;'Colln-Summary'!$G$2)</f>
        <v>210000</v>
      </c>
      <c r="M291" s="258">
        <f t="shared" si="5"/>
        <v>260000</v>
      </c>
    </row>
    <row r="292" spans="1:13" x14ac:dyDescent="0.2">
      <c r="A292" s="478">
        <v>288</v>
      </c>
      <c r="B292" s="352" t="str">
        <f>IFERROR(VLOOKUP($A292,'Clients-Live'!$A:$C,3,0),"")</f>
        <v>MITU LAWRENCE</v>
      </c>
      <c r="C292" s="353">
        <f>SUMIFS('Live Collections'!$J:$J,'Live Collections'!$D:$D,'Colln-Summary'!$A292,'Live Collections'!$B:$B,"&gt;="&amp;'Colln-Summary'!$G$1,'Live Collections'!$B:$B,"&lt;="&amp;'Colln-Summary'!$G$2)</f>
        <v>0</v>
      </c>
      <c r="D292" s="353">
        <f>SUMIFS('Live Collections'!$K:$K,'Live Collections'!$D:$D,'Colln-Summary'!$A292,'Live Collections'!$B:$B,"&gt;="&amp;'Colln-Summary'!$G$1,'Live Collections'!$B:$B,"&lt;="&amp;'Colln-Summary'!$G$2)</f>
        <v>0</v>
      </c>
      <c r="E292" s="353">
        <f>SUMIFS(Disbursements!$F:$F,Disbursements!$B:$B,'Colln-Summary'!$A292,Disbursements!$A:$A,"&gt;="&amp;'Colln-Summary'!$G$1,Disbursements!$A:$A,"&lt;="&amp;'Colln-Summary'!$G$2)</f>
        <v>0</v>
      </c>
      <c r="F292" s="353">
        <f>SUMIFS('Live Collections'!$L:$L,'Live Collections'!$D:$D,'Colln-Summary'!$A292,'Live Collections'!$B:$B,"&gt;="&amp;'Colln-Summary'!$G$1,'Live Collections'!$B:$B,"&lt;="&amp;'Colln-Summary'!$G$2)</f>
        <v>0</v>
      </c>
      <c r="G292" s="353">
        <f>SUMIFS('Live Collections'!$M:$M,'Live Collections'!$D:$D,'Colln-Summary'!$A292,'Live Collections'!$B:$B,"&gt;="&amp;'Colln-Summary'!$G$1,'Live Collections'!$B:$B,"&lt;="&amp;'Colln-Summary'!$G$2)</f>
        <v>0</v>
      </c>
      <c r="H292" s="353">
        <f>SUMIFS('Live Collections'!$N:$N,'Live Collections'!$D:$D,'Colln-Summary'!$A292,'Live Collections'!$B:$B,"&gt;="&amp;'Colln-Summary'!$G$1,'Live Collections'!$B:$B,"&lt;="&amp;'Colln-Summary'!$G$2)</f>
        <v>0</v>
      </c>
      <c r="I292" s="353">
        <f>SUMIFS('Live Collections'!$P:$P,'Live Collections'!$D:$D,'Colln-Summary'!$A292,'Live Collections'!$B:$B,"&gt;="&amp;'Colln-Summary'!$G$1,'Live Collections'!$B:$B,"&lt;="&amp;'Colln-Summary'!$G$2)</f>
        <v>0</v>
      </c>
      <c r="J292" s="353">
        <f>SUMIFS('Live Collections'!$O:$O,'Live Collections'!$D:$D,'Colln-Summary'!$A292,'Live Collections'!$B:$B,"&gt;="&amp;'Colln-Summary'!$G$1,'Live Collections'!$B:$B,"&lt;="&amp;'Colln-Summary'!$G$2)</f>
        <v>200000</v>
      </c>
      <c r="K292" s="360">
        <f>SUMIFS('Live Collections'!$S:$S,'Live Collections'!$D:$D,'Colln-Summary'!$A292,'Live Collections'!$B:$B,"&gt;="&amp;'Colln-Summary'!$G$1,'Live Collections'!$B:$B,"&lt;="&amp;'Colln-Summary'!$G$2)</f>
        <v>50333.333333333343</v>
      </c>
      <c r="L292" s="360">
        <f>SUMIFS('Live Collections'!$T:$T,'Live Collections'!$D:$D,'Colln-Summary'!$A292,'Live Collections'!$B:$B,"&gt;="&amp;'Colln-Summary'!$G$1,'Live Collections'!$B:$B,"&lt;="&amp;'Colln-Summary'!$G$2)</f>
        <v>149666.66666666666</v>
      </c>
      <c r="M292" s="258">
        <f t="shared" si="5"/>
        <v>200000</v>
      </c>
    </row>
    <row r="293" spans="1:13" x14ac:dyDescent="0.2">
      <c r="A293" s="478">
        <v>289</v>
      </c>
      <c r="B293" s="352" t="str">
        <f>IFERROR(VLOOKUP($A293,'Clients-Live'!$A:$C,3,0),"")</f>
        <v>NAUME NIGHT</v>
      </c>
      <c r="C293" s="353">
        <f>SUMIFS('Live Collections'!$J:$J,'Live Collections'!$D:$D,'Colln-Summary'!$A293,'Live Collections'!$B:$B,"&gt;="&amp;'Colln-Summary'!$G$1,'Live Collections'!$B:$B,"&lt;="&amp;'Colln-Summary'!$G$2)</f>
        <v>0</v>
      </c>
      <c r="D293" s="353">
        <f>SUMIFS('Live Collections'!$K:$K,'Live Collections'!$D:$D,'Colln-Summary'!$A293,'Live Collections'!$B:$B,"&gt;="&amp;'Colln-Summary'!$G$1,'Live Collections'!$B:$B,"&lt;="&amp;'Colln-Summary'!$G$2)</f>
        <v>0</v>
      </c>
      <c r="E293" s="353">
        <f>SUMIFS(Disbursements!$F:$F,Disbursements!$B:$B,'Colln-Summary'!$A293,Disbursements!$A:$A,"&gt;="&amp;'Colln-Summary'!$G$1,Disbursements!$A:$A,"&lt;="&amp;'Colln-Summary'!$G$2)</f>
        <v>0</v>
      </c>
      <c r="F293" s="353">
        <f>SUMIFS('Live Collections'!$L:$L,'Live Collections'!$D:$D,'Colln-Summary'!$A293,'Live Collections'!$B:$B,"&gt;="&amp;'Colln-Summary'!$G$1,'Live Collections'!$B:$B,"&lt;="&amp;'Colln-Summary'!$G$2)</f>
        <v>0</v>
      </c>
      <c r="G293" s="353">
        <f>SUMIFS('Live Collections'!$M:$M,'Live Collections'!$D:$D,'Colln-Summary'!$A293,'Live Collections'!$B:$B,"&gt;="&amp;'Colln-Summary'!$G$1,'Live Collections'!$B:$B,"&lt;="&amp;'Colln-Summary'!$G$2)</f>
        <v>0</v>
      </c>
      <c r="H293" s="353">
        <f>SUMIFS('Live Collections'!$N:$N,'Live Collections'!$D:$D,'Colln-Summary'!$A293,'Live Collections'!$B:$B,"&gt;="&amp;'Colln-Summary'!$G$1,'Live Collections'!$B:$B,"&lt;="&amp;'Colln-Summary'!$G$2)</f>
        <v>0</v>
      </c>
      <c r="I293" s="353">
        <f>SUMIFS('Live Collections'!$P:$P,'Live Collections'!$D:$D,'Colln-Summary'!$A293,'Live Collections'!$B:$B,"&gt;="&amp;'Colln-Summary'!$G$1,'Live Collections'!$B:$B,"&lt;="&amp;'Colln-Summary'!$G$2)</f>
        <v>0</v>
      </c>
      <c r="J293" s="353">
        <f>SUMIFS('Live Collections'!$O:$O,'Live Collections'!$D:$D,'Colln-Summary'!$A293,'Live Collections'!$B:$B,"&gt;="&amp;'Colln-Summary'!$G$1,'Live Collections'!$B:$B,"&lt;="&amp;'Colln-Summary'!$G$2)</f>
        <v>150000</v>
      </c>
      <c r="K293" s="360">
        <f>SUMIFS('Live Collections'!$S:$S,'Live Collections'!$D:$D,'Colln-Summary'!$A293,'Live Collections'!$B:$B,"&gt;="&amp;'Colln-Summary'!$G$1,'Live Collections'!$B:$B,"&lt;="&amp;'Colln-Summary'!$G$2)</f>
        <v>30000</v>
      </c>
      <c r="L293" s="360">
        <f>SUMIFS('Live Collections'!$T:$T,'Live Collections'!$D:$D,'Colln-Summary'!$A293,'Live Collections'!$B:$B,"&gt;="&amp;'Colln-Summary'!$G$1,'Live Collections'!$B:$B,"&lt;="&amp;'Colln-Summary'!$G$2)</f>
        <v>120000</v>
      </c>
      <c r="M293" s="258">
        <f t="shared" si="5"/>
        <v>150000</v>
      </c>
    </row>
    <row r="294" spans="1:13" x14ac:dyDescent="0.2">
      <c r="A294" s="478">
        <v>290</v>
      </c>
      <c r="B294" s="352" t="str">
        <f>IFERROR(VLOOKUP($A294,'Clients-Live'!$A:$C,3,0),"")</f>
        <v>DATA GEOFREY</v>
      </c>
      <c r="C294" s="353">
        <f>SUMIFS('Live Collections'!$J:$J,'Live Collections'!$D:$D,'Colln-Summary'!$A294,'Live Collections'!$B:$B,"&gt;="&amp;'Colln-Summary'!$G$1,'Live Collections'!$B:$B,"&lt;="&amp;'Colln-Summary'!$G$2)</f>
        <v>0</v>
      </c>
      <c r="D294" s="353">
        <f>SUMIFS('Live Collections'!$K:$K,'Live Collections'!$D:$D,'Colln-Summary'!$A294,'Live Collections'!$B:$B,"&gt;="&amp;'Colln-Summary'!$G$1,'Live Collections'!$B:$B,"&lt;="&amp;'Colln-Summary'!$G$2)</f>
        <v>0</v>
      </c>
      <c r="E294" s="353">
        <f>SUMIFS(Disbursements!$F:$F,Disbursements!$B:$B,'Colln-Summary'!$A294,Disbursements!$A:$A,"&gt;="&amp;'Colln-Summary'!$G$1,Disbursements!$A:$A,"&lt;="&amp;'Colln-Summary'!$G$2)</f>
        <v>0</v>
      </c>
      <c r="F294" s="353">
        <f>SUMIFS('Live Collections'!$L:$L,'Live Collections'!$D:$D,'Colln-Summary'!$A294,'Live Collections'!$B:$B,"&gt;="&amp;'Colln-Summary'!$G$1,'Live Collections'!$B:$B,"&lt;="&amp;'Colln-Summary'!$G$2)</f>
        <v>0</v>
      </c>
      <c r="G294" s="353">
        <f>SUMIFS('Live Collections'!$M:$M,'Live Collections'!$D:$D,'Colln-Summary'!$A294,'Live Collections'!$B:$B,"&gt;="&amp;'Colln-Summary'!$G$1,'Live Collections'!$B:$B,"&lt;="&amp;'Colln-Summary'!$G$2)</f>
        <v>0</v>
      </c>
      <c r="H294" s="353">
        <f>SUMIFS('Live Collections'!$N:$N,'Live Collections'!$D:$D,'Colln-Summary'!$A294,'Live Collections'!$B:$B,"&gt;="&amp;'Colln-Summary'!$G$1,'Live Collections'!$B:$B,"&lt;="&amp;'Colln-Summary'!$G$2)</f>
        <v>0</v>
      </c>
      <c r="I294" s="353">
        <f>SUMIFS('Live Collections'!$P:$P,'Live Collections'!$D:$D,'Colln-Summary'!$A294,'Live Collections'!$B:$B,"&gt;="&amp;'Colln-Summary'!$G$1,'Live Collections'!$B:$B,"&lt;="&amp;'Colln-Summary'!$G$2)</f>
        <v>0</v>
      </c>
      <c r="J294" s="353">
        <f>SUMIFS('Live Collections'!$O:$O,'Live Collections'!$D:$D,'Colln-Summary'!$A294,'Live Collections'!$B:$B,"&gt;="&amp;'Colln-Summary'!$G$1,'Live Collections'!$B:$B,"&lt;="&amp;'Colln-Summary'!$G$2)</f>
        <v>0</v>
      </c>
      <c r="K294" s="360">
        <f>SUMIFS('Live Collections'!$S:$S,'Live Collections'!$D:$D,'Colln-Summary'!$A294,'Live Collections'!$B:$B,"&gt;="&amp;'Colln-Summary'!$G$1,'Live Collections'!$B:$B,"&lt;="&amp;'Colln-Summary'!$G$2)</f>
        <v>0</v>
      </c>
      <c r="L294" s="360">
        <f>SUMIFS('Live Collections'!$T:$T,'Live Collections'!$D:$D,'Colln-Summary'!$A294,'Live Collections'!$B:$B,"&gt;="&amp;'Colln-Summary'!$G$1,'Live Collections'!$B:$B,"&lt;="&amp;'Colln-Summary'!$G$2)</f>
        <v>0</v>
      </c>
      <c r="M294" s="258">
        <f t="shared" si="5"/>
        <v>0</v>
      </c>
    </row>
    <row r="295" spans="1:13" x14ac:dyDescent="0.2">
      <c r="A295" s="478">
        <v>291</v>
      </c>
      <c r="B295" s="352" t="str">
        <f>IFERROR(VLOOKUP($A295,'Clients-Live'!$A:$C,3,0),"")</f>
        <v>LEMAKU SWAIB</v>
      </c>
      <c r="C295" s="353">
        <f>SUMIFS('Live Collections'!$J:$J,'Live Collections'!$D:$D,'Colln-Summary'!$A295,'Live Collections'!$B:$B,"&gt;="&amp;'Colln-Summary'!$G$1,'Live Collections'!$B:$B,"&lt;="&amp;'Colln-Summary'!$G$2)</f>
        <v>0</v>
      </c>
      <c r="D295" s="353">
        <f>SUMIFS('Live Collections'!$K:$K,'Live Collections'!$D:$D,'Colln-Summary'!$A295,'Live Collections'!$B:$B,"&gt;="&amp;'Colln-Summary'!$G$1,'Live Collections'!$B:$B,"&lt;="&amp;'Colln-Summary'!$G$2)</f>
        <v>0</v>
      </c>
      <c r="E295" s="353">
        <f>SUMIFS(Disbursements!$F:$F,Disbursements!$B:$B,'Colln-Summary'!$A295,Disbursements!$A:$A,"&gt;="&amp;'Colln-Summary'!$G$1,Disbursements!$A:$A,"&lt;="&amp;'Colln-Summary'!$G$2)</f>
        <v>500000</v>
      </c>
      <c r="F295" s="353">
        <f>SUMIFS('Live Collections'!$L:$L,'Live Collections'!$D:$D,'Colln-Summary'!$A295,'Live Collections'!$B:$B,"&gt;="&amp;'Colln-Summary'!$G$1,'Live Collections'!$B:$B,"&lt;="&amp;'Colln-Summary'!$G$2)</f>
        <v>0</v>
      </c>
      <c r="G295" s="353">
        <f>SUMIFS('Live Collections'!$M:$M,'Live Collections'!$D:$D,'Colln-Summary'!$A295,'Live Collections'!$B:$B,"&gt;="&amp;'Colln-Summary'!$G$1,'Live Collections'!$B:$B,"&lt;="&amp;'Colln-Summary'!$G$2)</f>
        <v>0</v>
      </c>
      <c r="H295" s="353">
        <f>SUMIFS('Live Collections'!$N:$N,'Live Collections'!$D:$D,'Colln-Summary'!$A295,'Live Collections'!$B:$B,"&gt;="&amp;'Colln-Summary'!$G$1,'Live Collections'!$B:$B,"&lt;="&amp;'Colln-Summary'!$G$2)</f>
        <v>0</v>
      </c>
      <c r="I295" s="353">
        <f>SUMIFS('Live Collections'!$P:$P,'Live Collections'!$D:$D,'Colln-Summary'!$A295,'Live Collections'!$B:$B,"&gt;="&amp;'Colln-Summary'!$G$1,'Live Collections'!$B:$B,"&lt;="&amp;'Colln-Summary'!$G$2)</f>
        <v>50000</v>
      </c>
      <c r="J295" s="353">
        <f>SUMIFS('Live Collections'!$O:$O,'Live Collections'!$D:$D,'Colln-Summary'!$A295,'Live Collections'!$B:$B,"&gt;="&amp;'Colln-Summary'!$G$1,'Live Collections'!$B:$B,"&lt;="&amp;'Colln-Summary'!$G$2)</f>
        <v>0</v>
      </c>
      <c r="K295" s="360">
        <f>SUMIFS('Live Collections'!$S:$S,'Live Collections'!$D:$D,'Colln-Summary'!$A295,'Live Collections'!$B:$B,"&gt;="&amp;'Colln-Summary'!$G$1,'Live Collections'!$B:$B,"&lt;="&amp;'Colln-Summary'!$G$2)</f>
        <v>0</v>
      </c>
      <c r="L295" s="360">
        <f>SUMIFS('Live Collections'!$T:$T,'Live Collections'!$D:$D,'Colln-Summary'!$A295,'Live Collections'!$B:$B,"&gt;="&amp;'Colln-Summary'!$G$1,'Live Collections'!$B:$B,"&lt;="&amp;'Colln-Summary'!$G$2)</f>
        <v>0</v>
      </c>
      <c r="M295" s="258">
        <f t="shared" si="5"/>
        <v>550000</v>
      </c>
    </row>
    <row r="296" spans="1:13" x14ac:dyDescent="0.2">
      <c r="A296" s="478">
        <v>292</v>
      </c>
      <c r="B296" s="352" t="str">
        <f>IFERROR(VLOOKUP($A296,'Clients-Live'!$A:$C,3,0),"")</f>
        <v>AFEKU DENIS</v>
      </c>
      <c r="C296" s="353">
        <f>SUMIFS('Live Collections'!$J:$J,'Live Collections'!$D:$D,'Colln-Summary'!$A296,'Live Collections'!$B:$B,"&gt;="&amp;'Colln-Summary'!$G$1,'Live Collections'!$B:$B,"&lt;="&amp;'Colln-Summary'!$G$2)</f>
        <v>0</v>
      </c>
      <c r="D296" s="353">
        <f>SUMIFS('Live Collections'!$K:$K,'Live Collections'!$D:$D,'Colln-Summary'!$A296,'Live Collections'!$B:$B,"&gt;="&amp;'Colln-Summary'!$G$1,'Live Collections'!$B:$B,"&lt;="&amp;'Colln-Summary'!$G$2)</f>
        <v>0</v>
      </c>
      <c r="E296" s="353">
        <f>SUMIFS(Disbursements!$F:$F,Disbursements!$B:$B,'Colln-Summary'!$A296,Disbursements!$A:$A,"&gt;="&amp;'Colln-Summary'!$G$1,Disbursements!$A:$A,"&lt;="&amp;'Colln-Summary'!$G$2)</f>
        <v>0</v>
      </c>
      <c r="F296" s="353">
        <f>SUMIFS('Live Collections'!$L:$L,'Live Collections'!$D:$D,'Colln-Summary'!$A296,'Live Collections'!$B:$B,"&gt;="&amp;'Colln-Summary'!$G$1,'Live Collections'!$B:$B,"&lt;="&amp;'Colln-Summary'!$G$2)</f>
        <v>0</v>
      </c>
      <c r="G296" s="353">
        <f>SUMIFS('Live Collections'!$M:$M,'Live Collections'!$D:$D,'Colln-Summary'!$A296,'Live Collections'!$B:$B,"&gt;="&amp;'Colln-Summary'!$G$1,'Live Collections'!$B:$B,"&lt;="&amp;'Colln-Summary'!$G$2)</f>
        <v>0</v>
      </c>
      <c r="H296" s="353">
        <f>SUMIFS('Live Collections'!$N:$N,'Live Collections'!$D:$D,'Colln-Summary'!$A296,'Live Collections'!$B:$B,"&gt;="&amp;'Colln-Summary'!$G$1,'Live Collections'!$B:$B,"&lt;="&amp;'Colln-Summary'!$G$2)</f>
        <v>0</v>
      </c>
      <c r="I296" s="353">
        <f>SUMIFS('Live Collections'!$P:$P,'Live Collections'!$D:$D,'Colln-Summary'!$A296,'Live Collections'!$B:$B,"&gt;="&amp;'Colln-Summary'!$G$1,'Live Collections'!$B:$B,"&lt;="&amp;'Colln-Summary'!$G$2)</f>
        <v>0</v>
      </c>
      <c r="J296" s="353">
        <f>SUMIFS('Live Collections'!$O:$O,'Live Collections'!$D:$D,'Colln-Summary'!$A296,'Live Collections'!$B:$B,"&gt;="&amp;'Colln-Summary'!$G$1,'Live Collections'!$B:$B,"&lt;="&amp;'Colln-Summary'!$G$2)</f>
        <v>1000000</v>
      </c>
      <c r="K296" s="360">
        <f>SUMIFS('Live Collections'!$S:$S,'Live Collections'!$D:$D,'Colln-Summary'!$A296,'Live Collections'!$B:$B,"&gt;="&amp;'Colln-Summary'!$G$1,'Live Collections'!$B:$B,"&lt;="&amp;'Colln-Summary'!$G$2)</f>
        <v>0</v>
      </c>
      <c r="L296" s="360">
        <f>SUMIFS('Live Collections'!$T:$T,'Live Collections'!$D:$D,'Colln-Summary'!$A296,'Live Collections'!$B:$B,"&gt;="&amp;'Colln-Summary'!$G$1,'Live Collections'!$B:$B,"&lt;="&amp;'Colln-Summary'!$G$2)</f>
        <v>1000000</v>
      </c>
      <c r="M296" s="258">
        <f t="shared" si="5"/>
        <v>1000000</v>
      </c>
    </row>
    <row r="297" spans="1:13" x14ac:dyDescent="0.2">
      <c r="A297" s="478">
        <v>293</v>
      </c>
      <c r="B297" s="352" t="str">
        <f>IFERROR(VLOOKUP($A297,'Clients-Live'!$A:$C,3,0),"")</f>
        <v>AMODO ZAINABU</v>
      </c>
      <c r="C297" s="353">
        <f>SUMIFS('Live Collections'!$J:$J,'Live Collections'!$D:$D,'Colln-Summary'!$A297,'Live Collections'!$B:$B,"&gt;="&amp;'Colln-Summary'!$G$1,'Live Collections'!$B:$B,"&lt;="&amp;'Colln-Summary'!$G$2)</f>
        <v>0</v>
      </c>
      <c r="D297" s="353">
        <f>SUMIFS('Live Collections'!$K:$K,'Live Collections'!$D:$D,'Colln-Summary'!$A297,'Live Collections'!$B:$B,"&gt;="&amp;'Colln-Summary'!$G$1,'Live Collections'!$B:$B,"&lt;="&amp;'Colln-Summary'!$G$2)</f>
        <v>0</v>
      </c>
      <c r="E297" s="353">
        <f>SUMIFS(Disbursements!$F:$F,Disbursements!$B:$B,'Colln-Summary'!$A297,Disbursements!$A:$A,"&gt;="&amp;'Colln-Summary'!$G$1,Disbursements!$A:$A,"&lt;="&amp;'Colln-Summary'!$G$2)</f>
        <v>0</v>
      </c>
      <c r="F297" s="353">
        <f>SUMIFS('Live Collections'!$L:$L,'Live Collections'!$D:$D,'Colln-Summary'!$A297,'Live Collections'!$B:$B,"&gt;="&amp;'Colln-Summary'!$G$1,'Live Collections'!$B:$B,"&lt;="&amp;'Colln-Summary'!$G$2)</f>
        <v>0</v>
      </c>
      <c r="G297" s="353">
        <f>SUMIFS('Live Collections'!$M:$M,'Live Collections'!$D:$D,'Colln-Summary'!$A297,'Live Collections'!$B:$B,"&gt;="&amp;'Colln-Summary'!$G$1,'Live Collections'!$B:$B,"&lt;="&amp;'Colln-Summary'!$G$2)</f>
        <v>0</v>
      </c>
      <c r="H297" s="353">
        <f>SUMIFS('Live Collections'!$N:$N,'Live Collections'!$D:$D,'Colln-Summary'!$A297,'Live Collections'!$B:$B,"&gt;="&amp;'Colln-Summary'!$G$1,'Live Collections'!$B:$B,"&lt;="&amp;'Colln-Summary'!$G$2)</f>
        <v>0</v>
      </c>
      <c r="I297" s="353">
        <f>SUMIFS('Live Collections'!$P:$P,'Live Collections'!$D:$D,'Colln-Summary'!$A297,'Live Collections'!$B:$B,"&gt;="&amp;'Colln-Summary'!$G$1,'Live Collections'!$B:$B,"&lt;="&amp;'Colln-Summary'!$G$2)</f>
        <v>0</v>
      </c>
      <c r="J297" s="353">
        <f>SUMIFS('Live Collections'!$O:$O,'Live Collections'!$D:$D,'Colln-Summary'!$A297,'Live Collections'!$B:$B,"&gt;="&amp;'Colln-Summary'!$G$1,'Live Collections'!$B:$B,"&lt;="&amp;'Colln-Summary'!$G$2)</f>
        <v>0</v>
      </c>
      <c r="K297" s="360">
        <f>SUMIFS('Live Collections'!$S:$S,'Live Collections'!$D:$D,'Colln-Summary'!$A297,'Live Collections'!$B:$B,"&gt;="&amp;'Colln-Summary'!$G$1,'Live Collections'!$B:$B,"&lt;="&amp;'Colln-Summary'!$G$2)</f>
        <v>0</v>
      </c>
      <c r="L297" s="360">
        <f>SUMIFS('Live Collections'!$T:$T,'Live Collections'!$D:$D,'Colln-Summary'!$A297,'Live Collections'!$B:$B,"&gt;="&amp;'Colln-Summary'!$G$1,'Live Collections'!$B:$B,"&lt;="&amp;'Colln-Summary'!$G$2)</f>
        <v>0</v>
      </c>
      <c r="M297" s="258">
        <f>SUM(C297:J297)</f>
        <v>0</v>
      </c>
    </row>
    <row r="298" spans="1:13" x14ac:dyDescent="0.2">
      <c r="A298" s="478">
        <v>294</v>
      </c>
      <c r="B298" s="352" t="str">
        <f>IFERROR(VLOOKUP($A298,'Clients-Live'!$A:$C,3,0),"")</f>
        <v>CHANDIRU ZENABU</v>
      </c>
      <c r="C298" s="353">
        <f>SUMIFS('Live Collections'!$J:$J,'Live Collections'!$D:$D,'Colln-Summary'!$A298,'Live Collections'!$B:$B,"&gt;="&amp;'Colln-Summary'!$G$1,'Live Collections'!$B:$B,"&lt;="&amp;'Colln-Summary'!$G$2)</f>
        <v>0</v>
      </c>
      <c r="D298" s="353">
        <f>SUMIFS('Live Collections'!$K:$K,'Live Collections'!$D:$D,'Colln-Summary'!$A298,'Live Collections'!$B:$B,"&gt;="&amp;'Colln-Summary'!$G$1,'Live Collections'!$B:$B,"&lt;="&amp;'Colln-Summary'!$G$2)</f>
        <v>0</v>
      </c>
      <c r="E298" s="353">
        <f>SUMIFS(Disbursements!$F:$F,Disbursements!$B:$B,'Colln-Summary'!$A298,Disbursements!$A:$A,"&gt;="&amp;'Colln-Summary'!$G$1,Disbursements!$A:$A,"&lt;="&amp;'Colln-Summary'!$G$2)</f>
        <v>0</v>
      </c>
      <c r="F298" s="353">
        <f>SUMIFS('Live Collections'!$L:$L,'Live Collections'!$D:$D,'Colln-Summary'!$A298,'Live Collections'!$B:$B,"&gt;="&amp;'Colln-Summary'!$G$1,'Live Collections'!$B:$B,"&lt;="&amp;'Colln-Summary'!$G$2)</f>
        <v>0</v>
      </c>
      <c r="G298" s="353">
        <f>SUMIFS('Live Collections'!$M:$M,'Live Collections'!$D:$D,'Colln-Summary'!$A298,'Live Collections'!$B:$B,"&gt;="&amp;'Colln-Summary'!$G$1,'Live Collections'!$B:$B,"&lt;="&amp;'Colln-Summary'!$G$2)</f>
        <v>0</v>
      </c>
      <c r="H298" s="353">
        <f>SUMIFS('Live Collections'!$N:$N,'Live Collections'!$D:$D,'Colln-Summary'!$A298,'Live Collections'!$B:$B,"&gt;="&amp;'Colln-Summary'!$G$1,'Live Collections'!$B:$B,"&lt;="&amp;'Colln-Summary'!$G$2)</f>
        <v>0</v>
      </c>
      <c r="I298" s="353">
        <f>SUMIFS('Live Collections'!$P:$P,'Live Collections'!$D:$D,'Colln-Summary'!$A298,'Live Collections'!$B:$B,"&gt;="&amp;'Colln-Summary'!$G$1,'Live Collections'!$B:$B,"&lt;="&amp;'Colln-Summary'!$G$2)</f>
        <v>0</v>
      </c>
      <c r="J298" s="353">
        <f>SUMIFS('Live Collections'!$O:$O,'Live Collections'!$D:$D,'Colln-Summary'!$A298,'Live Collections'!$B:$B,"&gt;="&amp;'Colln-Summary'!$G$1,'Live Collections'!$B:$B,"&lt;="&amp;'Colln-Summary'!$G$2)</f>
        <v>0</v>
      </c>
      <c r="K298" s="360">
        <f>SUMIFS('Live Collections'!$S:$S,'Live Collections'!$D:$D,'Colln-Summary'!$A298,'Live Collections'!$B:$B,"&gt;="&amp;'Colln-Summary'!$G$1,'Live Collections'!$B:$B,"&lt;="&amp;'Colln-Summary'!$G$2)</f>
        <v>0</v>
      </c>
      <c r="L298" s="360">
        <f>SUMIFS('Live Collections'!$T:$T,'Live Collections'!$D:$D,'Colln-Summary'!$A298,'Live Collections'!$B:$B,"&gt;="&amp;'Colln-Summary'!$G$1,'Live Collections'!$B:$B,"&lt;="&amp;'Colln-Summary'!$G$2)</f>
        <v>0</v>
      </c>
      <c r="M298" s="258">
        <f>SUM(C298:J298)</f>
        <v>0</v>
      </c>
    </row>
    <row r="299" spans="1:13" x14ac:dyDescent="0.2">
      <c r="A299" s="478">
        <v>295</v>
      </c>
      <c r="B299" s="352" t="str">
        <f>IFERROR(VLOOKUP($A299,'Clients-Live'!$A:$C,3,0),"")</f>
        <v>ABIYO RICHARD ENAKU</v>
      </c>
      <c r="C299" s="353">
        <f>SUMIFS('Live Collections'!$J:$J,'Live Collections'!$D:$D,'Colln-Summary'!$A299,'Live Collections'!$B:$B,"&gt;="&amp;'Colln-Summary'!$G$1,'Live Collections'!$B:$B,"&lt;="&amp;'Colln-Summary'!$G$2)</f>
        <v>0</v>
      </c>
      <c r="D299" s="353">
        <f>SUMIFS('Live Collections'!$K:$K,'Live Collections'!$D:$D,'Colln-Summary'!$A299,'Live Collections'!$B:$B,"&gt;="&amp;'Colln-Summary'!$G$1,'Live Collections'!$B:$B,"&lt;="&amp;'Colln-Summary'!$G$2)</f>
        <v>0</v>
      </c>
      <c r="E299" s="353">
        <f>SUMIFS(Disbursements!$F:$F,Disbursements!$B:$B,'Colln-Summary'!$A299,Disbursements!$A:$A,"&gt;="&amp;'Colln-Summary'!$G$1,Disbursements!$A:$A,"&lt;="&amp;'Colln-Summary'!$G$2)</f>
        <v>0</v>
      </c>
      <c r="F299" s="353">
        <f>SUMIFS('Live Collections'!$L:$L,'Live Collections'!$D:$D,'Colln-Summary'!$A299,'Live Collections'!$B:$B,"&gt;="&amp;'Colln-Summary'!$G$1,'Live Collections'!$B:$B,"&lt;="&amp;'Colln-Summary'!$G$2)</f>
        <v>0</v>
      </c>
      <c r="G299" s="353">
        <f>SUMIFS('Live Collections'!$M:$M,'Live Collections'!$D:$D,'Colln-Summary'!$A299,'Live Collections'!$B:$B,"&gt;="&amp;'Colln-Summary'!$G$1,'Live Collections'!$B:$B,"&lt;="&amp;'Colln-Summary'!$G$2)</f>
        <v>0</v>
      </c>
      <c r="H299" s="353">
        <f>SUMIFS('Live Collections'!$N:$N,'Live Collections'!$D:$D,'Colln-Summary'!$A299,'Live Collections'!$B:$B,"&gt;="&amp;'Colln-Summary'!$G$1,'Live Collections'!$B:$B,"&lt;="&amp;'Colln-Summary'!$G$2)</f>
        <v>0</v>
      </c>
      <c r="I299" s="353">
        <f>SUMIFS('Live Collections'!$P:$P,'Live Collections'!$D:$D,'Colln-Summary'!$A299,'Live Collections'!$B:$B,"&gt;="&amp;'Colln-Summary'!$G$1,'Live Collections'!$B:$B,"&lt;="&amp;'Colln-Summary'!$G$2)</f>
        <v>0</v>
      </c>
      <c r="J299" s="353">
        <f>SUMIFS('Live Collections'!$O:$O,'Live Collections'!$D:$D,'Colln-Summary'!$A299,'Live Collections'!$B:$B,"&gt;="&amp;'Colln-Summary'!$G$1,'Live Collections'!$B:$B,"&lt;="&amp;'Colln-Summary'!$G$2)</f>
        <v>217000</v>
      </c>
      <c r="K299" s="360">
        <f>SUMIFS('Live Collections'!$S:$S,'Live Collections'!$D:$D,'Colln-Summary'!$A299,'Live Collections'!$B:$B,"&gt;="&amp;'Colln-Summary'!$G$1,'Live Collections'!$B:$B,"&lt;="&amp;'Colln-Summary'!$G$2)</f>
        <v>35000</v>
      </c>
      <c r="L299" s="360">
        <f>SUMIFS('Live Collections'!$T:$T,'Live Collections'!$D:$D,'Colln-Summary'!$A299,'Live Collections'!$B:$B,"&gt;="&amp;'Colln-Summary'!$G$1,'Live Collections'!$B:$B,"&lt;="&amp;'Colln-Summary'!$G$2)</f>
        <v>182000</v>
      </c>
      <c r="M299" s="258">
        <f>SUM(C299:J299)</f>
        <v>217000</v>
      </c>
    </row>
    <row r="300" spans="1:13" ht="13.5" thickBot="1" x14ac:dyDescent="0.25">
      <c r="A300" s="478">
        <v>296</v>
      </c>
      <c r="B300" s="352" t="str">
        <f>IFERROR(VLOOKUP($A300,'Clients-Live'!$A:$C,3,0),"")</f>
        <v>CHANDIRU ZAKIA</v>
      </c>
      <c r="C300" s="353">
        <f>SUMIFS('Live Collections'!$J:$J,'Live Collections'!$D:$D,'Colln-Summary'!$A300,'Live Collections'!$B:$B,"&gt;="&amp;'Colln-Summary'!$G$1,'Live Collections'!$B:$B,"&lt;="&amp;'Colln-Summary'!$G$2)</f>
        <v>0</v>
      </c>
      <c r="D300" s="353">
        <f>SUMIFS('Live Collections'!$K:$K,'Live Collections'!$D:$D,'Colln-Summary'!$A300,'Live Collections'!$B:$B,"&gt;="&amp;'Colln-Summary'!$G$1,'Live Collections'!$B:$B,"&lt;="&amp;'Colln-Summary'!$G$2)</f>
        <v>0</v>
      </c>
      <c r="E300" s="353">
        <f>SUMIFS(Disbursements!$F:$F,Disbursements!$B:$B,'Colln-Summary'!$A300,Disbursements!$A:$A,"&gt;="&amp;'Colln-Summary'!$G$1,Disbursements!$A:$A,"&lt;="&amp;'Colln-Summary'!$G$2)</f>
        <v>0</v>
      </c>
      <c r="F300" s="353">
        <f>SUMIFS('Live Collections'!$L:$L,'Live Collections'!$D:$D,'Colln-Summary'!$A300,'Live Collections'!$B:$B,"&gt;="&amp;'Colln-Summary'!$G$1,'Live Collections'!$B:$B,"&lt;="&amp;'Colln-Summary'!$G$2)</f>
        <v>0</v>
      </c>
      <c r="G300" s="353">
        <f>SUMIFS('Live Collections'!$M:$M,'Live Collections'!$D:$D,'Colln-Summary'!$A300,'Live Collections'!$B:$B,"&gt;="&amp;'Colln-Summary'!$G$1,'Live Collections'!$B:$B,"&lt;="&amp;'Colln-Summary'!$G$2)</f>
        <v>0</v>
      </c>
      <c r="H300" s="353">
        <f>SUMIFS('Live Collections'!$N:$N,'Live Collections'!$D:$D,'Colln-Summary'!$A300,'Live Collections'!$B:$B,"&gt;="&amp;'Colln-Summary'!$G$1,'Live Collections'!$B:$B,"&lt;="&amp;'Colln-Summary'!$G$2)</f>
        <v>0</v>
      </c>
      <c r="I300" s="353">
        <f>SUMIFS('Live Collections'!$P:$P,'Live Collections'!$D:$D,'Colln-Summary'!$A300,'Live Collections'!$B:$B,"&gt;="&amp;'Colln-Summary'!$G$1,'Live Collections'!$B:$B,"&lt;="&amp;'Colln-Summary'!$G$2)</f>
        <v>0</v>
      </c>
      <c r="J300" s="353">
        <f>SUMIFS('Live Collections'!$O:$O,'Live Collections'!$D:$D,'Colln-Summary'!$A300,'Live Collections'!$B:$B,"&gt;="&amp;'Colln-Summary'!$G$1,'Live Collections'!$B:$B,"&lt;="&amp;'Colln-Summary'!$G$2)</f>
        <v>0</v>
      </c>
      <c r="K300" s="360">
        <f>SUMIFS('Live Collections'!$S:$S,'Live Collections'!$D:$D,'Colln-Summary'!$A300,'Live Collections'!$B:$B,"&gt;="&amp;'Colln-Summary'!$G$1,'Live Collections'!$B:$B,"&lt;="&amp;'Colln-Summary'!$G$2)</f>
        <v>0</v>
      </c>
      <c r="L300" s="360">
        <f>SUMIFS('Live Collections'!$T:$T,'Live Collections'!$D:$D,'Colln-Summary'!$A300,'Live Collections'!$B:$B,"&gt;="&amp;'Colln-Summary'!$G$1,'Live Collections'!$B:$B,"&lt;="&amp;'Colln-Summary'!$G$2)</f>
        <v>0</v>
      </c>
      <c r="M300" s="258">
        <f>SUM(C300:J300)</f>
        <v>0</v>
      </c>
    </row>
    <row r="301" spans="1:13" ht="13.5" thickTop="1" x14ac:dyDescent="0.2">
      <c r="A301" s="478">
        <v>297</v>
      </c>
      <c r="C301" s="49"/>
      <c r="D301" s="49"/>
      <c r="E301" s="49"/>
      <c r="F301" s="49"/>
      <c r="G301" s="49"/>
      <c r="H301" s="49"/>
      <c r="I301" s="49"/>
      <c r="J301" s="49"/>
    </row>
    <row r="302" spans="1:13" x14ac:dyDescent="0.2">
      <c r="A302" s="478">
        <v>298</v>
      </c>
      <c r="C302" s="49"/>
      <c r="D302" s="49"/>
      <c r="E302" s="49"/>
      <c r="F302" s="49"/>
      <c r="G302" s="49"/>
      <c r="H302" s="49"/>
      <c r="I302" s="49"/>
      <c r="J302" s="49"/>
    </row>
    <row r="303" spans="1:13" x14ac:dyDescent="0.2">
      <c r="A303" s="478">
        <v>299</v>
      </c>
      <c r="C303" s="49"/>
      <c r="D303" s="49"/>
      <c r="E303" s="49"/>
      <c r="F303" s="49"/>
      <c r="G303" s="49"/>
      <c r="H303" s="49"/>
      <c r="I303" s="49"/>
      <c r="J303" s="49"/>
    </row>
    <row r="304" spans="1:13" x14ac:dyDescent="0.2">
      <c r="A304" s="478">
        <v>300</v>
      </c>
      <c r="C304" s="49"/>
      <c r="D304" s="49"/>
      <c r="E304" s="49"/>
      <c r="F304" s="49"/>
      <c r="G304" s="49"/>
      <c r="H304" s="49"/>
      <c r="I304" s="49"/>
      <c r="J304" s="49"/>
    </row>
    <row r="305" spans="1:10" x14ac:dyDescent="0.2">
      <c r="A305" s="478">
        <v>301</v>
      </c>
      <c r="C305" s="49"/>
      <c r="D305" s="49"/>
      <c r="E305" s="49"/>
      <c r="F305" s="49"/>
      <c r="G305" s="49"/>
      <c r="H305" s="49"/>
      <c r="I305" s="49"/>
      <c r="J305" s="49"/>
    </row>
    <row r="306" spans="1:10" x14ac:dyDescent="0.2">
      <c r="A306" s="478">
        <v>302</v>
      </c>
      <c r="C306" s="49"/>
      <c r="D306" s="49"/>
      <c r="E306" s="49"/>
      <c r="F306" s="49"/>
      <c r="G306" s="49"/>
      <c r="H306" s="49"/>
      <c r="I306" s="49"/>
      <c r="J306" s="49"/>
    </row>
    <row r="307" spans="1:10" x14ac:dyDescent="0.2">
      <c r="A307" s="478">
        <v>303</v>
      </c>
      <c r="C307" s="49"/>
      <c r="D307" s="49"/>
      <c r="E307" s="49"/>
      <c r="F307" s="49"/>
      <c r="G307" s="49"/>
      <c r="H307" s="49"/>
      <c r="I307" s="49"/>
      <c r="J307" s="49"/>
    </row>
    <row r="308" spans="1:10" x14ac:dyDescent="0.2">
      <c r="A308" s="478">
        <v>304</v>
      </c>
      <c r="C308" s="49"/>
      <c r="D308" s="49"/>
      <c r="E308" s="49"/>
      <c r="F308" s="49"/>
      <c r="G308" s="49"/>
      <c r="H308" s="49"/>
      <c r="I308" s="49"/>
      <c r="J308" s="49"/>
    </row>
    <row r="309" spans="1:10" x14ac:dyDescent="0.2">
      <c r="A309" s="478">
        <v>305</v>
      </c>
      <c r="C309" s="49"/>
      <c r="D309" s="49"/>
      <c r="E309" s="49"/>
      <c r="F309" s="49"/>
      <c r="G309" s="49"/>
      <c r="H309" s="49"/>
      <c r="I309" s="49"/>
      <c r="J309" s="49"/>
    </row>
    <row r="310" spans="1:10" x14ac:dyDescent="0.2">
      <c r="A310" s="478">
        <v>306</v>
      </c>
      <c r="C310" s="49"/>
      <c r="D310" s="49"/>
      <c r="E310" s="49"/>
      <c r="F310" s="49"/>
      <c r="G310" s="49"/>
      <c r="H310" s="49"/>
      <c r="I310" s="49"/>
      <c r="J310" s="49"/>
    </row>
    <row r="311" spans="1:10" x14ac:dyDescent="0.2">
      <c r="A311" s="478">
        <v>307</v>
      </c>
      <c r="C311" s="49"/>
      <c r="D311" s="49"/>
      <c r="E311" s="49"/>
      <c r="F311" s="49"/>
      <c r="G311" s="49"/>
      <c r="H311" s="49"/>
      <c r="I311" s="49"/>
      <c r="J311" s="49"/>
    </row>
    <row r="312" spans="1:10" x14ac:dyDescent="0.2">
      <c r="A312" s="478">
        <v>308</v>
      </c>
      <c r="C312" s="49"/>
      <c r="D312" s="49"/>
      <c r="E312" s="49"/>
      <c r="F312" s="49"/>
      <c r="G312" s="49"/>
      <c r="H312" s="49"/>
      <c r="I312" s="49"/>
      <c r="J312" s="49"/>
    </row>
    <row r="313" spans="1:10" x14ac:dyDescent="0.2">
      <c r="A313" s="478">
        <v>309</v>
      </c>
      <c r="C313" s="49"/>
      <c r="D313" s="49"/>
      <c r="E313" s="49"/>
      <c r="F313" s="49"/>
      <c r="G313" s="49"/>
      <c r="H313" s="49"/>
      <c r="I313" s="49"/>
      <c r="J313" s="49"/>
    </row>
    <row r="314" spans="1:10" x14ac:dyDescent="0.2">
      <c r="A314" s="478">
        <v>310</v>
      </c>
      <c r="C314" s="49"/>
      <c r="D314" s="49"/>
      <c r="E314" s="49"/>
      <c r="F314" s="49"/>
      <c r="G314" s="49"/>
      <c r="H314" s="49"/>
      <c r="I314" s="49"/>
      <c r="J314" s="49"/>
    </row>
    <row r="315" spans="1:10" x14ac:dyDescent="0.2">
      <c r="A315" s="478">
        <v>311</v>
      </c>
      <c r="C315" s="49"/>
      <c r="D315" s="49"/>
      <c r="E315" s="49"/>
      <c r="F315" s="49"/>
      <c r="G315" s="49"/>
      <c r="H315" s="49"/>
      <c r="I315" s="49"/>
      <c r="J315" s="49"/>
    </row>
    <row r="316" spans="1:10" x14ac:dyDescent="0.2">
      <c r="A316" s="478">
        <v>312</v>
      </c>
      <c r="C316" s="49"/>
      <c r="D316" s="49"/>
      <c r="E316" s="49"/>
      <c r="F316" s="49"/>
      <c r="G316" s="49"/>
      <c r="H316" s="49"/>
      <c r="I316" s="49"/>
      <c r="J316" s="49"/>
    </row>
    <row r="317" spans="1:10" x14ac:dyDescent="0.2">
      <c r="A317" s="478">
        <v>313</v>
      </c>
      <c r="C317" s="49"/>
      <c r="D317" s="49"/>
      <c r="E317" s="49"/>
      <c r="F317" s="49"/>
      <c r="G317" s="49"/>
      <c r="H317" s="49"/>
      <c r="I317" s="49"/>
      <c r="J317" s="49"/>
    </row>
    <row r="318" spans="1:10" x14ac:dyDescent="0.2">
      <c r="A318" s="478">
        <v>314</v>
      </c>
      <c r="C318" s="49"/>
      <c r="D318" s="49"/>
      <c r="E318" s="49"/>
      <c r="F318" s="49"/>
      <c r="G318" s="49"/>
      <c r="H318" s="49"/>
      <c r="I318" s="49"/>
      <c r="J318" s="49"/>
    </row>
    <row r="319" spans="1:10" x14ac:dyDescent="0.2">
      <c r="A319" s="478">
        <v>315</v>
      </c>
      <c r="C319" s="49"/>
      <c r="D319" s="49"/>
      <c r="E319" s="49"/>
      <c r="F319" s="49"/>
      <c r="G319" s="49"/>
      <c r="H319" s="49"/>
      <c r="I319" s="49"/>
      <c r="J319" s="49"/>
    </row>
    <row r="320" spans="1:10" x14ac:dyDescent="0.2">
      <c r="A320" s="478">
        <v>316</v>
      </c>
      <c r="C320" s="49"/>
      <c r="D320" s="49"/>
      <c r="E320" s="49"/>
      <c r="F320" s="49"/>
      <c r="G320" s="49"/>
      <c r="H320" s="49"/>
      <c r="I320" s="49"/>
      <c r="J320" s="49"/>
    </row>
    <row r="321" spans="1:10" x14ac:dyDescent="0.2">
      <c r="A321" s="478">
        <v>317</v>
      </c>
      <c r="C321" s="49"/>
      <c r="D321" s="49"/>
      <c r="E321" s="49"/>
      <c r="F321" s="49"/>
      <c r="G321" s="49"/>
      <c r="H321" s="49"/>
      <c r="I321" s="49"/>
      <c r="J321" s="49"/>
    </row>
    <row r="322" spans="1:10" x14ac:dyDescent="0.2">
      <c r="A322" s="478">
        <v>318</v>
      </c>
      <c r="C322" s="49"/>
      <c r="D322" s="49"/>
      <c r="E322" s="49"/>
      <c r="F322" s="49"/>
      <c r="G322" s="49"/>
      <c r="H322" s="49"/>
      <c r="I322" s="49"/>
      <c r="J322" s="49"/>
    </row>
    <row r="323" spans="1:10" x14ac:dyDescent="0.2">
      <c r="A323" s="478">
        <v>319</v>
      </c>
      <c r="C323" s="49"/>
      <c r="D323" s="49"/>
      <c r="E323" s="49"/>
      <c r="F323" s="49"/>
      <c r="G323" s="49"/>
      <c r="H323" s="49"/>
      <c r="I323" s="49"/>
      <c r="J323" s="49"/>
    </row>
    <row r="324" spans="1:10" x14ac:dyDescent="0.2">
      <c r="A324" s="478">
        <v>320</v>
      </c>
      <c r="C324" s="49"/>
      <c r="D324" s="49"/>
      <c r="E324" s="49"/>
      <c r="F324" s="49"/>
      <c r="G324" s="49"/>
      <c r="H324" s="49"/>
      <c r="I324" s="49"/>
      <c r="J324" s="49"/>
    </row>
    <row r="325" spans="1:10" x14ac:dyDescent="0.2">
      <c r="A325" s="478">
        <v>321</v>
      </c>
      <c r="C325" s="49"/>
      <c r="D325" s="49"/>
      <c r="E325" s="49"/>
      <c r="F325" s="49"/>
      <c r="G325" s="49"/>
      <c r="H325" s="49"/>
      <c r="I325" s="49"/>
      <c r="J325" s="49"/>
    </row>
    <row r="326" spans="1:10" x14ac:dyDescent="0.2">
      <c r="A326" s="478">
        <v>322</v>
      </c>
      <c r="C326" s="49"/>
      <c r="D326" s="49"/>
      <c r="E326" s="49"/>
      <c r="F326" s="49"/>
      <c r="G326" s="49"/>
      <c r="H326" s="49"/>
      <c r="I326" s="49"/>
      <c r="J326" s="49"/>
    </row>
    <row r="327" spans="1:10" x14ac:dyDescent="0.2">
      <c r="A327" s="478">
        <v>323</v>
      </c>
      <c r="C327" s="49"/>
      <c r="D327" s="49"/>
      <c r="E327" s="49"/>
      <c r="F327" s="49"/>
      <c r="G327" s="49"/>
      <c r="H327" s="49"/>
      <c r="I327" s="49"/>
      <c r="J327" s="49"/>
    </row>
    <row r="328" spans="1:10" x14ac:dyDescent="0.2">
      <c r="A328" s="478">
        <v>324</v>
      </c>
      <c r="C328" s="49"/>
      <c r="D328" s="49"/>
      <c r="E328" s="49"/>
      <c r="F328" s="49"/>
      <c r="G328" s="49"/>
      <c r="H328" s="49"/>
      <c r="I328" s="49"/>
      <c r="J328" s="49"/>
    </row>
    <row r="329" spans="1:10" x14ac:dyDescent="0.2">
      <c r="A329" s="478">
        <v>325</v>
      </c>
      <c r="C329" s="49"/>
      <c r="D329" s="49"/>
      <c r="E329" s="49"/>
      <c r="F329" s="49"/>
      <c r="G329" s="49"/>
      <c r="H329" s="49"/>
      <c r="I329" s="49"/>
      <c r="J329" s="49"/>
    </row>
    <row r="330" spans="1:10" x14ac:dyDescent="0.2">
      <c r="A330" s="478">
        <v>326</v>
      </c>
      <c r="C330" s="49"/>
      <c r="D330" s="49"/>
      <c r="E330" s="49"/>
      <c r="F330" s="49"/>
      <c r="G330" s="49"/>
      <c r="H330" s="49"/>
      <c r="I330" s="49"/>
      <c r="J330" s="49"/>
    </row>
    <row r="331" spans="1:10" x14ac:dyDescent="0.2">
      <c r="A331" s="478">
        <v>327</v>
      </c>
      <c r="C331" s="49"/>
      <c r="D331" s="49"/>
      <c r="E331" s="49"/>
      <c r="F331" s="49"/>
      <c r="G331" s="49"/>
      <c r="H331" s="49"/>
      <c r="I331" s="49"/>
      <c r="J331" s="49"/>
    </row>
    <row r="332" spans="1:10" x14ac:dyDescent="0.2">
      <c r="A332" s="478">
        <v>328</v>
      </c>
      <c r="C332" s="49"/>
      <c r="D332" s="49"/>
      <c r="E332" s="49"/>
      <c r="F332" s="49"/>
      <c r="G332" s="49"/>
      <c r="H332" s="49"/>
      <c r="I332" s="49"/>
      <c r="J332" s="49"/>
    </row>
    <row r="333" spans="1:10" ht="13.5" thickBot="1" x14ac:dyDescent="0.25">
      <c r="A333" s="478">
        <v>329</v>
      </c>
      <c r="C333" s="49"/>
      <c r="D333" s="49"/>
      <c r="E333" s="49"/>
      <c r="F333" s="49"/>
      <c r="G333" s="49"/>
      <c r="H333" s="49"/>
      <c r="I333" s="49"/>
      <c r="J333" s="49"/>
    </row>
    <row r="334" spans="1:10" ht="13.5" thickTop="1" x14ac:dyDescent="0.2">
      <c r="A334" s="478">
        <v>330</v>
      </c>
      <c r="C334" s="49"/>
      <c r="D334" s="49"/>
      <c r="E334" s="49"/>
      <c r="F334" s="49"/>
      <c r="G334" s="49"/>
      <c r="H334" s="49"/>
      <c r="I334" s="49"/>
      <c r="J334" s="49"/>
    </row>
    <row r="335" spans="1:10" x14ac:dyDescent="0.2">
      <c r="A335" s="478">
        <v>331</v>
      </c>
      <c r="C335" s="49"/>
      <c r="D335" s="49"/>
      <c r="E335" s="49"/>
      <c r="F335" s="49"/>
      <c r="G335" s="49"/>
      <c r="H335" s="49"/>
      <c r="I335" s="49"/>
      <c r="J335" s="49"/>
    </row>
    <row r="336" spans="1:10" x14ac:dyDescent="0.2">
      <c r="A336" s="478">
        <v>332</v>
      </c>
      <c r="C336" s="49"/>
      <c r="D336" s="49"/>
      <c r="E336" s="49"/>
      <c r="F336" s="49"/>
      <c r="G336" s="49"/>
      <c r="H336" s="49"/>
      <c r="I336" s="49"/>
      <c r="J336" s="49"/>
    </row>
    <row r="337" spans="1:10" x14ac:dyDescent="0.2">
      <c r="A337" s="478">
        <v>333</v>
      </c>
      <c r="C337" s="49"/>
      <c r="D337" s="49"/>
      <c r="E337" s="49"/>
      <c r="F337" s="49"/>
      <c r="G337" s="49"/>
      <c r="H337" s="49"/>
      <c r="I337" s="49"/>
      <c r="J337" s="49"/>
    </row>
    <row r="338" spans="1:10" x14ac:dyDescent="0.2">
      <c r="A338" s="478">
        <v>334</v>
      </c>
      <c r="C338" s="49"/>
      <c r="D338" s="49"/>
      <c r="E338" s="49"/>
      <c r="F338" s="49"/>
      <c r="G338" s="49"/>
      <c r="H338" s="49"/>
      <c r="I338" s="49"/>
      <c r="J338" s="49"/>
    </row>
    <row r="339" spans="1:10" x14ac:dyDescent="0.2">
      <c r="A339" s="478">
        <v>335</v>
      </c>
      <c r="C339" s="49"/>
      <c r="D339" s="49"/>
      <c r="E339" s="49"/>
      <c r="F339" s="49"/>
      <c r="G339" s="49"/>
      <c r="H339" s="49"/>
      <c r="I339" s="49"/>
      <c r="J339" s="49"/>
    </row>
    <row r="340" spans="1:10" x14ac:dyDescent="0.2">
      <c r="A340" s="478">
        <v>336</v>
      </c>
      <c r="C340" s="49"/>
      <c r="D340" s="49"/>
      <c r="E340" s="49"/>
      <c r="F340" s="49"/>
      <c r="G340" s="49"/>
      <c r="H340" s="49"/>
      <c r="I340" s="49"/>
      <c r="J340" s="49"/>
    </row>
    <row r="341" spans="1:10" x14ac:dyDescent="0.2">
      <c r="A341" s="478">
        <v>337</v>
      </c>
      <c r="C341" s="49"/>
      <c r="D341" s="49"/>
      <c r="E341" s="49"/>
      <c r="F341" s="49"/>
      <c r="G341" s="49"/>
      <c r="H341" s="49"/>
      <c r="I341" s="49"/>
      <c r="J341" s="49"/>
    </row>
    <row r="342" spans="1:10" x14ac:dyDescent="0.2">
      <c r="A342" s="478">
        <v>338</v>
      </c>
      <c r="C342" s="49"/>
      <c r="D342" s="49"/>
      <c r="E342" s="49"/>
      <c r="F342" s="49"/>
      <c r="G342" s="49"/>
      <c r="H342" s="49"/>
      <c r="I342" s="49"/>
      <c r="J342" s="49"/>
    </row>
    <row r="343" spans="1:10" ht="13.5" thickBot="1" x14ac:dyDescent="0.25">
      <c r="A343" s="482" t="s">
        <v>1263</v>
      </c>
      <c r="C343" s="49"/>
      <c r="D343" s="49"/>
      <c r="E343" s="49"/>
      <c r="F343" s="49"/>
      <c r="G343" s="49"/>
      <c r="H343" s="49"/>
      <c r="I343" s="49"/>
      <c r="J343" s="49"/>
    </row>
    <row r="344" spans="1:10" ht="13.5" thickTop="1" x14ac:dyDescent="0.2">
      <c r="C344" s="49"/>
      <c r="D344" s="49"/>
      <c r="E344" s="49"/>
      <c r="F344" s="49"/>
      <c r="G344" s="49"/>
      <c r="H344" s="49"/>
      <c r="I344" s="49"/>
      <c r="J344" s="49"/>
    </row>
    <row r="345" spans="1:10" x14ac:dyDescent="0.2">
      <c r="C345" s="49"/>
      <c r="D345" s="49"/>
      <c r="E345" s="49"/>
      <c r="F345" s="49"/>
      <c r="G345" s="49"/>
      <c r="H345" s="49"/>
      <c r="I345" s="49"/>
      <c r="J345" s="49"/>
    </row>
    <row r="346" spans="1:10" x14ac:dyDescent="0.2">
      <c r="C346" s="49"/>
      <c r="D346" s="49"/>
      <c r="E346" s="49"/>
      <c r="F346" s="49"/>
      <c r="G346" s="49"/>
      <c r="H346" s="49"/>
      <c r="I346" s="49"/>
      <c r="J346" s="49"/>
    </row>
    <row r="347" spans="1:10" x14ac:dyDescent="0.2">
      <c r="C347" s="49"/>
      <c r="D347" s="49"/>
      <c r="E347" s="49"/>
      <c r="F347" s="49"/>
      <c r="G347" s="49"/>
      <c r="H347" s="49"/>
      <c r="I347" s="49"/>
      <c r="J347" s="49"/>
    </row>
    <row r="348" spans="1:10" x14ac:dyDescent="0.2">
      <c r="C348" s="49"/>
      <c r="D348" s="49"/>
      <c r="E348" s="49"/>
      <c r="F348" s="49"/>
      <c r="G348" s="49"/>
      <c r="H348" s="49"/>
      <c r="I348" s="49"/>
      <c r="J348" s="49"/>
    </row>
    <row r="349" spans="1:10" x14ac:dyDescent="0.2">
      <c r="C349" s="49"/>
      <c r="D349" s="49"/>
      <c r="E349" s="49"/>
      <c r="F349" s="49"/>
      <c r="G349" s="49"/>
      <c r="H349" s="49"/>
      <c r="I349" s="49"/>
      <c r="J349" s="49"/>
    </row>
    <row r="350" spans="1:10" x14ac:dyDescent="0.2">
      <c r="C350" s="49"/>
      <c r="D350" s="49"/>
      <c r="E350" s="49"/>
      <c r="F350" s="49"/>
      <c r="G350" s="49"/>
      <c r="H350" s="49"/>
      <c r="I350" s="49"/>
      <c r="J350" s="49"/>
    </row>
    <row r="351" spans="1:10" x14ac:dyDescent="0.2">
      <c r="C351" s="49"/>
      <c r="D351" s="49"/>
      <c r="E351" s="49"/>
      <c r="F351" s="49"/>
      <c r="G351" s="49"/>
      <c r="H351" s="49"/>
      <c r="I351" s="49"/>
      <c r="J351" s="49"/>
    </row>
    <row r="352" spans="1:10" x14ac:dyDescent="0.2">
      <c r="C352" s="49"/>
      <c r="D352" s="49"/>
      <c r="E352" s="49"/>
      <c r="F352" s="49"/>
      <c r="G352" s="49"/>
      <c r="H352" s="49"/>
      <c r="I352" s="49"/>
      <c r="J352" s="49"/>
    </row>
    <row r="353" spans="3:10" x14ac:dyDescent="0.2">
      <c r="C353" s="49"/>
      <c r="D353" s="49"/>
      <c r="E353" s="49"/>
      <c r="F353" s="49"/>
      <c r="G353" s="49"/>
      <c r="H353" s="49"/>
      <c r="I353" s="49"/>
      <c r="J353" s="49"/>
    </row>
    <row r="354" spans="3:10" x14ac:dyDescent="0.2">
      <c r="C354" s="49"/>
      <c r="D354" s="49"/>
      <c r="E354" s="49"/>
      <c r="F354" s="49"/>
      <c r="G354" s="49"/>
      <c r="H354" s="49"/>
      <c r="I354" s="49"/>
      <c r="J354" s="49"/>
    </row>
    <row r="355" spans="3:10" x14ac:dyDescent="0.2">
      <c r="C355" s="49"/>
      <c r="D355" s="49"/>
      <c r="E355" s="49"/>
      <c r="F355" s="49"/>
      <c r="G355" s="49"/>
      <c r="H355" s="49"/>
      <c r="I355" s="49"/>
      <c r="J355" s="49"/>
    </row>
    <row r="356" spans="3:10" x14ac:dyDescent="0.2">
      <c r="C356" s="49"/>
      <c r="D356" s="49"/>
      <c r="E356" s="49"/>
      <c r="F356" s="49"/>
      <c r="G356" s="49"/>
      <c r="H356" s="49"/>
      <c r="I356" s="49"/>
      <c r="J356" s="49"/>
    </row>
    <row r="357" spans="3:10" x14ac:dyDescent="0.2">
      <c r="C357" s="49"/>
      <c r="D357" s="49"/>
      <c r="E357" s="49"/>
      <c r="F357" s="49"/>
      <c r="G357" s="49"/>
      <c r="H357" s="49"/>
      <c r="I357" s="49"/>
      <c r="J357" s="49"/>
    </row>
    <row r="358" spans="3:10" x14ac:dyDescent="0.2">
      <c r="C358" s="49"/>
      <c r="D358" s="49"/>
      <c r="E358" s="49"/>
      <c r="F358" s="49"/>
      <c r="G358" s="49"/>
      <c r="H358" s="49"/>
      <c r="I358" s="49"/>
      <c r="J358" s="49"/>
    </row>
    <row r="359" spans="3:10" x14ac:dyDescent="0.2">
      <c r="C359" s="49"/>
      <c r="D359" s="49"/>
      <c r="E359" s="49"/>
      <c r="F359" s="49"/>
      <c r="G359" s="49"/>
      <c r="H359" s="49"/>
      <c r="I359" s="49"/>
      <c r="J359" s="49"/>
    </row>
    <row r="360" spans="3:10" x14ac:dyDescent="0.2">
      <c r="C360" s="49"/>
      <c r="D360" s="49"/>
      <c r="E360" s="49"/>
      <c r="F360" s="49"/>
      <c r="G360" s="49"/>
      <c r="H360" s="49"/>
      <c r="I360" s="49"/>
      <c r="J360" s="49"/>
    </row>
    <row r="361" spans="3:10" x14ac:dyDescent="0.2">
      <c r="C361" s="49"/>
      <c r="D361" s="49"/>
      <c r="E361" s="49"/>
      <c r="F361" s="49"/>
      <c r="G361" s="49"/>
      <c r="H361" s="49"/>
      <c r="I361" s="49"/>
      <c r="J361" s="49"/>
    </row>
    <row r="362" spans="3:10" x14ac:dyDescent="0.2">
      <c r="C362" s="49"/>
      <c r="D362" s="49"/>
      <c r="E362" s="49"/>
      <c r="F362" s="49"/>
      <c r="G362" s="49"/>
      <c r="H362" s="49"/>
      <c r="I362" s="49"/>
      <c r="J362" s="49"/>
    </row>
    <row r="363" spans="3:10" x14ac:dyDescent="0.2">
      <c r="C363" s="49"/>
      <c r="D363" s="49"/>
      <c r="E363" s="49"/>
      <c r="F363" s="49"/>
      <c r="G363" s="49"/>
      <c r="H363" s="49"/>
      <c r="I363" s="49"/>
      <c r="J363" s="49"/>
    </row>
    <row r="364" spans="3:10" x14ac:dyDescent="0.2">
      <c r="C364" s="49"/>
      <c r="D364" s="49"/>
      <c r="E364" s="49"/>
      <c r="F364" s="49"/>
      <c r="G364" s="49"/>
      <c r="H364" s="49"/>
      <c r="I364" s="49"/>
      <c r="J364" s="49"/>
    </row>
    <row r="365" spans="3:10" x14ac:dyDescent="0.2">
      <c r="C365" s="49"/>
      <c r="D365" s="49"/>
      <c r="E365" s="49"/>
      <c r="F365" s="49"/>
      <c r="G365" s="49"/>
      <c r="H365" s="49"/>
      <c r="I365" s="49"/>
      <c r="J365" s="49"/>
    </row>
    <row r="366" spans="3:10" x14ac:dyDescent="0.2">
      <c r="C366" s="49"/>
      <c r="D366" s="49"/>
      <c r="E366" s="49"/>
      <c r="F366" s="49"/>
      <c r="G366" s="49"/>
      <c r="H366" s="49"/>
      <c r="I366" s="49"/>
      <c r="J366" s="49"/>
    </row>
    <row r="367" spans="3:10" x14ac:dyDescent="0.2">
      <c r="C367" s="49"/>
      <c r="D367" s="49"/>
      <c r="E367" s="49"/>
      <c r="F367" s="49"/>
      <c r="G367" s="49"/>
      <c r="H367" s="49"/>
      <c r="I367" s="49"/>
      <c r="J367" s="49"/>
    </row>
    <row r="368" spans="3:10" x14ac:dyDescent="0.2">
      <c r="C368" s="49"/>
      <c r="D368" s="49"/>
      <c r="E368" s="49"/>
      <c r="F368" s="49"/>
      <c r="G368" s="49"/>
      <c r="H368" s="49"/>
      <c r="I368" s="49"/>
      <c r="J368" s="49"/>
    </row>
    <row r="369" spans="3:10" x14ac:dyDescent="0.2">
      <c r="C369" s="49"/>
      <c r="D369" s="49"/>
      <c r="E369" s="49"/>
      <c r="F369" s="49"/>
      <c r="G369" s="49"/>
      <c r="H369" s="49"/>
      <c r="I369" s="49"/>
      <c r="J369" s="49"/>
    </row>
    <row r="370" spans="3:10" x14ac:dyDescent="0.2">
      <c r="C370" s="49"/>
      <c r="D370" s="49"/>
      <c r="E370" s="49"/>
      <c r="F370" s="49"/>
      <c r="G370" s="49"/>
      <c r="H370" s="49"/>
      <c r="I370" s="49"/>
      <c r="J370" s="49"/>
    </row>
    <row r="371" spans="3:10" x14ac:dyDescent="0.2">
      <c r="C371" s="49"/>
      <c r="D371" s="49"/>
      <c r="E371" s="49"/>
      <c r="F371" s="49"/>
      <c r="G371" s="49"/>
      <c r="H371" s="49"/>
      <c r="I371" s="49"/>
      <c r="J371" s="49"/>
    </row>
    <row r="372" spans="3:10" x14ac:dyDescent="0.2">
      <c r="C372" s="49"/>
      <c r="D372" s="49"/>
      <c r="E372" s="49"/>
      <c r="F372" s="49"/>
      <c r="G372" s="49"/>
      <c r="H372" s="49"/>
      <c r="I372" s="49"/>
      <c r="J372" s="49"/>
    </row>
    <row r="373" spans="3:10" x14ac:dyDescent="0.2">
      <c r="C373" s="49"/>
      <c r="D373" s="49"/>
      <c r="E373" s="49"/>
      <c r="F373" s="49"/>
      <c r="G373" s="49"/>
      <c r="H373" s="49"/>
      <c r="I373" s="49"/>
      <c r="J373" s="49"/>
    </row>
    <row r="374" spans="3:10" x14ac:dyDescent="0.2">
      <c r="C374" s="49"/>
      <c r="D374" s="49"/>
      <c r="E374" s="49"/>
      <c r="F374" s="49"/>
      <c r="G374" s="49"/>
      <c r="H374" s="49"/>
      <c r="I374" s="49"/>
      <c r="J374" s="49"/>
    </row>
    <row r="375" spans="3:10" x14ac:dyDescent="0.2">
      <c r="C375" s="49"/>
      <c r="D375" s="49"/>
      <c r="E375" s="49"/>
      <c r="F375" s="49"/>
      <c r="G375" s="49"/>
      <c r="H375" s="49"/>
      <c r="I375" s="49"/>
      <c r="J375" s="49"/>
    </row>
    <row r="376" spans="3:10" x14ac:dyDescent="0.2">
      <c r="C376" s="49"/>
      <c r="D376" s="49"/>
      <c r="E376" s="49"/>
      <c r="F376" s="49"/>
      <c r="G376" s="49"/>
      <c r="H376" s="49"/>
      <c r="I376" s="49"/>
      <c r="J376" s="49"/>
    </row>
    <row r="377" spans="3:10" x14ac:dyDescent="0.2">
      <c r="C377" s="49"/>
      <c r="D377" s="49"/>
      <c r="E377" s="49"/>
      <c r="F377" s="49"/>
      <c r="G377" s="49"/>
      <c r="H377" s="49"/>
      <c r="I377" s="49"/>
      <c r="J377" s="49"/>
    </row>
    <row r="378" spans="3:10" x14ac:dyDescent="0.2">
      <c r="C378" s="49"/>
      <c r="D378" s="49"/>
      <c r="E378" s="49"/>
      <c r="F378" s="49"/>
      <c r="G378" s="49"/>
      <c r="H378" s="49"/>
      <c r="I378" s="49"/>
      <c r="J378" s="49"/>
    </row>
    <row r="379" spans="3:10" x14ac:dyDescent="0.2">
      <c r="C379" s="49"/>
      <c r="D379" s="49"/>
      <c r="E379" s="49"/>
      <c r="F379" s="49"/>
      <c r="G379" s="49"/>
      <c r="H379" s="49"/>
      <c r="I379" s="49"/>
      <c r="J379" s="49"/>
    </row>
    <row r="380" spans="3:10" x14ac:dyDescent="0.2">
      <c r="C380" s="49"/>
      <c r="D380" s="49"/>
      <c r="E380" s="49"/>
      <c r="F380" s="49"/>
      <c r="G380" s="49"/>
      <c r="H380" s="49"/>
      <c r="I380" s="49"/>
      <c r="J380" s="49"/>
    </row>
    <row r="381" spans="3:10" x14ac:dyDescent="0.2">
      <c r="C381" s="49"/>
      <c r="D381" s="49"/>
      <c r="E381" s="49"/>
      <c r="F381" s="49"/>
      <c r="G381" s="49"/>
      <c r="H381" s="49"/>
      <c r="I381" s="49"/>
      <c r="J381" s="49"/>
    </row>
    <row r="382" spans="3:10" x14ac:dyDescent="0.2">
      <c r="C382" s="49"/>
      <c r="D382" s="49"/>
      <c r="E382" s="49"/>
      <c r="F382" s="49"/>
      <c r="G382" s="49"/>
      <c r="H382" s="49"/>
      <c r="I382" s="49"/>
      <c r="J382" s="49"/>
    </row>
    <row r="383" spans="3:10" x14ac:dyDescent="0.2">
      <c r="C383" s="49"/>
      <c r="D383" s="49"/>
      <c r="E383" s="49"/>
      <c r="F383" s="49"/>
      <c r="G383" s="49"/>
      <c r="H383" s="49"/>
      <c r="I383" s="49"/>
      <c r="J383" s="49"/>
    </row>
    <row r="384" spans="3:10" x14ac:dyDescent="0.2">
      <c r="C384" s="49"/>
      <c r="D384" s="49"/>
      <c r="E384" s="49"/>
      <c r="F384" s="49"/>
      <c r="G384" s="49"/>
      <c r="H384" s="49"/>
      <c r="I384" s="49"/>
      <c r="J384" s="49"/>
    </row>
    <row r="385" spans="3:10" x14ac:dyDescent="0.2">
      <c r="C385" s="49"/>
      <c r="D385" s="49"/>
      <c r="E385" s="49"/>
      <c r="F385" s="49"/>
      <c r="G385" s="49"/>
      <c r="H385" s="49"/>
      <c r="I385" s="49"/>
      <c r="J385" s="49"/>
    </row>
    <row r="386" spans="3:10" x14ac:dyDescent="0.2">
      <c r="C386" s="49"/>
      <c r="D386" s="49"/>
      <c r="E386" s="49"/>
      <c r="F386" s="49"/>
      <c r="G386" s="49"/>
      <c r="H386" s="49"/>
      <c r="I386" s="49"/>
      <c r="J386" s="49"/>
    </row>
    <row r="387" spans="3:10" x14ac:dyDescent="0.2">
      <c r="C387" s="49"/>
      <c r="D387" s="49"/>
      <c r="E387" s="49"/>
      <c r="F387" s="49"/>
      <c r="G387" s="49"/>
      <c r="H387" s="49"/>
      <c r="I387" s="49"/>
      <c r="J387" s="49"/>
    </row>
    <row r="388" spans="3:10" x14ac:dyDescent="0.2">
      <c r="C388" s="49"/>
      <c r="D388" s="49"/>
      <c r="E388" s="49"/>
      <c r="F388" s="49"/>
      <c r="G388" s="49"/>
      <c r="H388" s="49"/>
      <c r="I388" s="49"/>
      <c r="J388" s="49"/>
    </row>
    <row r="389" spans="3:10" x14ac:dyDescent="0.2">
      <c r="C389" s="49"/>
      <c r="D389" s="49"/>
      <c r="E389" s="49"/>
      <c r="F389" s="49"/>
      <c r="G389" s="49"/>
      <c r="H389" s="49"/>
      <c r="I389" s="49"/>
      <c r="J389" s="49"/>
    </row>
    <row r="390" spans="3:10" x14ac:dyDescent="0.2">
      <c r="C390" s="49"/>
      <c r="D390" s="49"/>
      <c r="E390" s="49"/>
      <c r="F390" s="49"/>
      <c r="G390" s="49"/>
      <c r="H390" s="49"/>
      <c r="I390" s="49"/>
      <c r="J390" s="49"/>
    </row>
    <row r="391" spans="3:10" x14ac:dyDescent="0.2">
      <c r="C391" s="49"/>
      <c r="D391" s="49"/>
      <c r="E391" s="49"/>
      <c r="F391" s="49"/>
      <c r="G391" s="49"/>
      <c r="H391" s="49"/>
      <c r="I391" s="49"/>
      <c r="J391" s="49"/>
    </row>
    <row r="392" spans="3:10" x14ac:dyDescent="0.2">
      <c r="C392" s="49"/>
      <c r="D392" s="49"/>
      <c r="E392" s="49"/>
      <c r="F392" s="49"/>
      <c r="G392" s="49"/>
      <c r="H392" s="49"/>
      <c r="I392" s="49"/>
      <c r="J392" s="49"/>
    </row>
    <row r="393" spans="3:10" x14ac:dyDescent="0.2">
      <c r="C393" s="49"/>
      <c r="D393" s="49"/>
      <c r="E393" s="49"/>
      <c r="F393" s="49"/>
      <c r="G393" s="49"/>
      <c r="H393" s="49"/>
      <c r="I393" s="49"/>
      <c r="J393" s="49"/>
    </row>
    <row r="394" spans="3:10" x14ac:dyDescent="0.2">
      <c r="C394" s="49"/>
      <c r="D394" s="49"/>
      <c r="E394" s="49"/>
      <c r="F394" s="49"/>
      <c r="G394" s="49"/>
      <c r="H394" s="49"/>
      <c r="I394" s="49"/>
      <c r="J394" s="49"/>
    </row>
    <row r="395" spans="3:10" x14ac:dyDescent="0.2">
      <c r="C395" s="49"/>
      <c r="D395" s="49"/>
      <c r="E395" s="49"/>
      <c r="F395" s="49"/>
      <c r="G395" s="49"/>
      <c r="H395" s="49"/>
      <c r="I395" s="49"/>
      <c r="J395" s="49"/>
    </row>
    <row r="396" spans="3:10" x14ac:dyDescent="0.2">
      <c r="C396" s="49"/>
      <c r="D396" s="49"/>
      <c r="E396" s="49"/>
      <c r="F396" s="49"/>
      <c r="G396" s="49"/>
      <c r="H396" s="49"/>
      <c r="I396" s="49"/>
      <c r="J396" s="49"/>
    </row>
    <row r="397" spans="3:10" x14ac:dyDescent="0.2">
      <c r="C397" s="49"/>
      <c r="D397" s="49"/>
      <c r="E397" s="49"/>
      <c r="F397" s="49"/>
      <c r="G397" s="49"/>
      <c r="H397" s="49"/>
      <c r="I397" s="49"/>
      <c r="J397" s="49"/>
    </row>
    <row r="398" spans="3:10" x14ac:dyDescent="0.2">
      <c r="C398" s="49"/>
      <c r="D398" s="49"/>
      <c r="E398" s="49"/>
      <c r="F398" s="49"/>
      <c r="G398" s="49"/>
      <c r="H398" s="49"/>
      <c r="I398" s="49"/>
      <c r="J398" s="49"/>
    </row>
    <row r="399" spans="3:10" x14ac:dyDescent="0.2">
      <c r="C399" s="49"/>
      <c r="D399" s="49"/>
      <c r="E399" s="49"/>
      <c r="F399" s="49"/>
      <c r="G399" s="49"/>
      <c r="H399" s="49"/>
      <c r="I399" s="49"/>
      <c r="J399" s="49"/>
    </row>
    <row r="400" spans="3:10" x14ac:dyDescent="0.2">
      <c r="C400" s="49"/>
      <c r="D400" s="49"/>
      <c r="E400" s="49"/>
      <c r="F400" s="49"/>
      <c r="G400" s="49"/>
      <c r="H400" s="49"/>
      <c r="I400" s="49"/>
      <c r="J400" s="49"/>
    </row>
    <row r="401" spans="3:10" x14ac:dyDescent="0.2">
      <c r="C401" s="49"/>
      <c r="D401" s="49"/>
      <c r="E401" s="49"/>
      <c r="F401" s="49"/>
      <c r="G401" s="49"/>
      <c r="H401" s="49"/>
      <c r="I401" s="49"/>
      <c r="J401" s="49"/>
    </row>
    <row r="402" spans="3:10" x14ac:dyDescent="0.2">
      <c r="C402" s="49"/>
      <c r="D402" s="49"/>
      <c r="E402" s="49"/>
      <c r="F402" s="49"/>
      <c r="G402" s="49"/>
      <c r="H402" s="49"/>
      <c r="I402" s="49"/>
      <c r="J402" s="49"/>
    </row>
    <row r="403" spans="3:10" x14ac:dyDescent="0.2">
      <c r="C403" s="49"/>
      <c r="D403" s="49"/>
      <c r="E403" s="49"/>
      <c r="F403" s="49"/>
      <c r="G403" s="49"/>
      <c r="H403" s="49"/>
      <c r="I403" s="49"/>
      <c r="J403" s="49"/>
    </row>
    <row r="404" spans="3:10" x14ac:dyDescent="0.2">
      <c r="C404" s="49"/>
      <c r="D404" s="49"/>
      <c r="E404" s="49"/>
      <c r="F404" s="49"/>
      <c r="G404" s="49"/>
      <c r="H404" s="49"/>
      <c r="I404" s="49"/>
      <c r="J404" s="49"/>
    </row>
    <row r="405" spans="3:10" x14ac:dyDescent="0.2">
      <c r="C405" s="49"/>
      <c r="D405" s="49"/>
      <c r="E405" s="49"/>
      <c r="F405" s="49"/>
      <c r="G405" s="49"/>
      <c r="H405" s="49"/>
      <c r="I405" s="49"/>
      <c r="J405" s="49"/>
    </row>
    <row r="406" spans="3:10" x14ac:dyDescent="0.2">
      <c r="C406" s="49"/>
      <c r="D406" s="49"/>
      <c r="E406" s="49"/>
      <c r="F406" s="49"/>
      <c r="G406" s="49"/>
      <c r="H406" s="49"/>
      <c r="I406" s="49"/>
      <c r="J406" s="49"/>
    </row>
    <row r="407" spans="3:10" x14ac:dyDescent="0.2">
      <c r="C407" s="49"/>
      <c r="D407" s="49"/>
      <c r="E407" s="49"/>
      <c r="F407" s="49"/>
      <c r="G407" s="49"/>
      <c r="H407" s="49"/>
      <c r="I407" s="49"/>
      <c r="J407" s="49"/>
    </row>
    <row r="408" spans="3:10" x14ac:dyDescent="0.2">
      <c r="C408" s="49"/>
      <c r="D408" s="49"/>
      <c r="E408" s="49"/>
      <c r="F408" s="49"/>
      <c r="G408" s="49"/>
      <c r="H408" s="49"/>
      <c r="I408" s="49"/>
      <c r="J408" s="49"/>
    </row>
    <row r="409" spans="3:10" x14ac:dyDescent="0.2">
      <c r="C409" s="49"/>
      <c r="D409" s="49"/>
      <c r="E409" s="49"/>
      <c r="F409" s="49"/>
      <c r="G409" s="49"/>
      <c r="H409" s="49"/>
      <c r="I409" s="49"/>
      <c r="J409" s="49"/>
    </row>
    <row r="410" spans="3:10" x14ac:dyDescent="0.2">
      <c r="C410" s="49"/>
      <c r="D410" s="49"/>
      <c r="E410" s="49"/>
      <c r="F410" s="49"/>
      <c r="G410" s="49"/>
      <c r="H410" s="49"/>
      <c r="I410" s="49"/>
      <c r="J410" s="49"/>
    </row>
    <row r="411" spans="3:10" x14ac:dyDescent="0.2">
      <c r="C411" s="49"/>
      <c r="D411" s="49"/>
      <c r="E411" s="49"/>
      <c r="F411" s="49"/>
      <c r="G411" s="49"/>
      <c r="H411" s="49"/>
      <c r="I411" s="49"/>
      <c r="J411" s="49"/>
    </row>
    <row r="412" spans="3:10" x14ac:dyDescent="0.2">
      <c r="C412" s="49"/>
      <c r="D412" s="49"/>
      <c r="E412" s="49"/>
      <c r="F412" s="49"/>
      <c r="G412" s="49"/>
      <c r="H412" s="49"/>
      <c r="I412" s="49"/>
      <c r="J412" s="49"/>
    </row>
    <row r="413" spans="3:10" x14ac:dyDescent="0.2">
      <c r="C413" s="49"/>
      <c r="D413" s="49"/>
      <c r="E413" s="49"/>
      <c r="F413" s="49"/>
      <c r="G413" s="49"/>
      <c r="H413" s="49"/>
      <c r="I413" s="49"/>
      <c r="J413" s="49"/>
    </row>
    <row r="414" spans="3:10" x14ac:dyDescent="0.2">
      <c r="C414" s="49"/>
      <c r="D414" s="49"/>
      <c r="E414" s="49"/>
      <c r="F414" s="49"/>
      <c r="G414" s="49"/>
      <c r="H414" s="49"/>
      <c r="I414" s="49"/>
      <c r="J414" s="49"/>
    </row>
    <row r="415" spans="3:10" x14ac:dyDescent="0.2">
      <c r="C415" s="49"/>
      <c r="D415" s="49"/>
      <c r="E415" s="49"/>
      <c r="F415" s="49"/>
      <c r="G415" s="49"/>
      <c r="H415" s="49"/>
      <c r="I415" s="49"/>
      <c r="J415" s="49"/>
    </row>
    <row r="416" spans="3:10" x14ac:dyDescent="0.2">
      <c r="C416" s="49"/>
      <c r="D416" s="49"/>
      <c r="E416" s="49"/>
      <c r="F416" s="49"/>
      <c r="G416" s="49"/>
      <c r="H416" s="49"/>
      <c r="I416" s="49"/>
      <c r="J416" s="49"/>
    </row>
    <row r="417" spans="3:10" x14ac:dyDescent="0.2">
      <c r="C417" s="49"/>
      <c r="D417" s="49"/>
      <c r="E417" s="49"/>
      <c r="F417" s="49"/>
      <c r="G417" s="49"/>
      <c r="H417" s="49"/>
      <c r="I417" s="49"/>
      <c r="J417" s="49"/>
    </row>
    <row r="418" spans="3:10" x14ac:dyDescent="0.2">
      <c r="C418" s="49"/>
      <c r="D418" s="49"/>
      <c r="E418" s="49"/>
      <c r="F418" s="49"/>
      <c r="G418" s="49"/>
      <c r="H418" s="49"/>
      <c r="I418" s="49"/>
      <c r="J418" s="49"/>
    </row>
    <row r="419" spans="3:10" x14ac:dyDescent="0.2">
      <c r="C419" s="49"/>
      <c r="D419" s="49"/>
      <c r="E419" s="49"/>
      <c r="F419" s="49"/>
      <c r="G419" s="49"/>
      <c r="H419" s="49"/>
      <c r="I419" s="49"/>
      <c r="J419" s="49"/>
    </row>
    <row r="420" spans="3:10" x14ac:dyDescent="0.2">
      <c r="C420" s="49"/>
      <c r="D420" s="49"/>
      <c r="E420" s="49"/>
      <c r="F420" s="49"/>
      <c r="G420" s="49"/>
      <c r="H420" s="49"/>
      <c r="I420" s="49"/>
      <c r="J420" s="49"/>
    </row>
  </sheetData>
  <autoFilter ref="B4:M4" xr:uid="{00000000-0009-0000-0000-000006000000}"/>
  <pageMargins left="0.19685039370078741" right="0" top="0.74803149606299213" bottom="0.74803149606299213" header="0.31496062992125984" footer="0.31496062992125984"/>
  <pageSetup paperSize="9" scale="85" orientation="landscape" verticalDpi="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-0.499984740745262"/>
  </sheetPr>
  <dimension ref="A1:K169"/>
  <sheetViews>
    <sheetView showGridLines="0" workbookViewId="0">
      <pane ySplit="7" topLeftCell="A8" activePane="bottomLeft" state="frozen"/>
      <selection activeCell="D1" sqref="D1:D1048576"/>
      <selection pane="bottomLeft" activeCell="G19" sqref="G19"/>
    </sheetView>
  </sheetViews>
  <sheetFormatPr defaultRowHeight="12.75" x14ac:dyDescent="0.2"/>
  <cols>
    <col min="1" max="1" width="13.42578125" style="38" bestFit="1" customWidth="1"/>
    <col min="2" max="2" width="10.140625" style="38" bestFit="1" customWidth="1"/>
    <col min="3" max="3" width="15.7109375" style="38" bestFit="1" customWidth="1"/>
    <col min="4" max="4" width="13.85546875" style="38" bestFit="1" customWidth="1"/>
    <col min="5" max="5" width="17.28515625" style="38" bestFit="1" customWidth="1"/>
    <col min="6" max="6" width="17.140625" style="38" bestFit="1" customWidth="1"/>
    <col min="7" max="7" width="13.28515625" style="49" customWidth="1"/>
    <col min="8" max="8" width="14.28515625" style="49" bestFit="1" customWidth="1"/>
    <col min="9" max="9" width="13.140625" style="49" bestFit="1" customWidth="1"/>
    <col min="10" max="10" width="12.5703125" style="49" bestFit="1" customWidth="1"/>
    <col min="11" max="11" width="11.28515625" style="49" bestFit="1" customWidth="1"/>
    <col min="12" max="16384" width="9.140625" style="38"/>
  </cols>
  <sheetData>
    <row r="1" spans="1:11" x14ac:dyDescent="0.2">
      <c r="A1" s="37"/>
      <c r="B1" s="37"/>
      <c r="C1" s="37"/>
      <c r="D1" s="37"/>
      <c r="E1" s="37"/>
      <c r="F1" s="37"/>
      <c r="G1" s="193"/>
      <c r="H1" s="193"/>
      <c r="I1" s="193"/>
      <c r="J1" s="193"/>
      <c r="K1" s="193"/>
    </row>
    <row r="2" spans="1:11" x14ac:dyDescent="0.2">
      <c r="A2" s="37"/>
      <c r="B2" s="37"/>
      <c r="C2" s="37"/>
      <c r="D2" s="37"/>
      <c r="E2" s="37"/>
      <c r="F2" s="37"/>
      <c r="G2" s="193"/>
      <c r="H2" s="193"/>
      <c r="I2" s="193"/>
      <c r="J2" s="193"/>
      <c r="K2" s="193"/>
    </row>
    <row r="3" spans="1:11" x14ac:dyDescent="0.2">
      <c r="A3" s="37"/>
      <c r="B3" s="37"/>
      <c r="C3" s="37"/>
      <c r="D3" s="37"/>
      <c r="E3" s="37"/>
      <c r="F3" s="37"/>
      <c r="G3" s="193"/>
      <c r="H3" s="236" t="s">
        <v>9</v>
      </c>
      <c r="I3" s="193"/>
      <c r="J3" s="193"/>
      <c r="K3" s="193"/>
    </row>
    <row r="4" spans="1:11" x14ac:dyDescent="0.2">
      <c r="A4" s="37"/>
      <c r="B4" s="37"/>
      <c r="C4" s="37"/>
      <c r="D4" s="37"/>
      <c r="E4" s="37"/>
      <c r="F4" s="37"/>
      <c r="G4" s="193"/>
      <c r="H4" s="193"/>
      <c r="I4" s="193"/>
      <c r="J4" s="193"/>
      <c r="K4" s="193"/>
    </row>
    <row r="5" spans="1:11" x14ac:dyDescent="0.2">
      <c r="A5" s="37"/>
      <c r="B5" s="37"/>
      <c r="C5" s="37"/>
      <c r="D5" s="37"/>
      <c r="E5" s="37"/>
      <c r="F5" s="37"/>
      <c r="G5" s="193"/>
      <c r="H5" s="193"/>
      <c r="I5" s="193"/>
      <c r="J5" s="193"/>
      <c r="K5" s="193"/>
    </row>
    <row r="6" spans="1:11" x14ac:dyDescent="0.2">
      <c r="A6" s="232" t="s">
        <v>971</v>
      </c>
      <c r="B6" s="464"/>
      <c r="C6" s="464"/>
      <c r="D6" s="233"/>
      <c r="E6" s="233"/>
      <c r="F6" s="241"/>
      <c r="G6" s="241"/>
      <c r="H6" s="230">
        <f>SUBTOTAL(9,H8:H169)</f>
        <v>0</v>
      </c>
      <c r="I6" s="230">
        <f>SUBTOTAL(9,I8:I169)</f>
        <v>0</v>
      </c>
      <c r="J6" s="248">
        <f>H6-I6</f>
        <v>0</v>
      </c>
      <c r="K6" s="193"/>
    </row>
    <row r="7" spans="1:11" x14ac:dyDescent="0.2">
      <c r="A7" s="194" t="s">
        <v>850</v>
      </c>
      <c r="B7" s="465" t="s">
        <v>852</v>
      </c>
      <c r="C7" s="465" t="s">
        <v>1264</v>
      </c>
      <c r="D7" s="194" t="s">
        <v>972</v>
      </c>
      <c r="E7" s="194" t="s">
        <v>753</v>
      </c>
      <c r="F7" s="194" t="s">
        <v>981</v>
      </c>
      <c r="G7" s="247" t="s">
        <v>930</v>
      </c>
      <c r="H7" s="247" t="s">
        <v>761</v>
      </c>
      <c r="I7" s="247" t="s">
        <v>762</v>
      </c>
      <c r="J7" s="247" t="s">
        <v>763</v>
      </c>
      <c r="K7" s="194" t="s">
        <v>43</v>
      </c>
    </row>
    <row r="8" spans="1:11" x14ac:dyDescent="0.2">
      <c r="A8" s="44"/>
      <c r="B8" s="466">
        <v>1</v>
      </c>
      <c r="C8" s="468" t="str">
        <f>IF(B8="","",VLOOKUP(B8,'Clients-Live'!$A:$C,3,0))</f>
        <v>TABAN NICHOLAS</v>
      </c>
      <c r="D8" s="35" t="s">
        <v>973</v>
      </c>
      <c r="E8" s="34" t="s">
        <v>977</v>
      </c>
      <c r="F8" s="59"/>
      <c r="G8" s="59"/>
      <c r="H8" s="181">
        <f>IF($D8="CASH-IN",$G8,0)</f>
        <v>0</v>
      </c>
      <c r="I8" s="181">
        <f>IF($D8="CASH-IN",0,$G8)</f>
        <v>0</v>
      </c>
      <c r="J8" s="61" t="str">
        <f>IF($A8="","",SUM($H$8:H8)-SUM($I$8:I8))</f>
        <v/>
      </c>
      <c r="K8" s="59"/>
    </row>
    <row r="9" spans="1:11" x14ac:dyDescent="0.2">
      <c r="A9" s="44"/>
      <c r="B9" s="466">
        <v>2</v>
      </c>
      <c r="C9" s="468" t="str">
        <f>IF(B9="","",VLOOKUP(B9,'Clients-Live'!$A:$C,3,0))</f>
        <v>LEYA ROSE</v>
      </c>
      <c r="D9" s="35"/>
      <c r="E9" s="35"/>
      <c r="F9" s="59"/>
      <c r="G9" s="59"/>
      <c r="H9" s="181">
        <f t="shared" ref="H9:H72" si="0">IF($D9="CASH-IN",$G9,0)</f>
        <v>0</v>
      </c>
      <c r="I9" s="181">
        <f t="shared" ref="I9:I72" si="1">IF($D9="CASH-IN",0,$G9)</f>
        <v>0</v>
      </c>
      <c r="J9" s="61" t="str">
        <f>IF($A9="","",SUM($H$8:H9)-SUM($I$8:I9))</f>
        <v/>
      </c>
      <c r="K9" s="59"/>
    </row>
    <row r="10" spans="1:11" x14ac:dyDescent="0.2">
      <c r="A10" s="44"/>
      <c r="B10" s="466"/>
      <c r="C10" s="468" t="str">
        <f>IF(B10="","",VLOOKUP(B10,'Clients-Live'!$A:$C,3,0))</f>
        <v/>
      </c>
      <c r="D10" s="35"/>
      <c r="E10" s="35"/>
      <c r="F10" s="59"/>
      <c r="G10" s="59"/>
      <c r="H10" s="181">
        <f t="shared" si="0"/>
        <v>0</v>
      </c>
      <c r="I10" s="181">
        <f t="shared" si="1"/>
        <v>0</v>
      </c>
      <c r="J10" s="61" t="str">
        <f>IF($A10="","",SUM($H$8:H10)-SUM($I$8:I10))</f>
        <v/>
      </c>
      <c r="K10" s="59"/>
    </row>
    <row r="11" spans="1:11" x14ac:dyDescent="0.2">
      <c r="A11" s="44"/>
      <c r="B11" s="466"/>
      <c r="C11" s="468" t="str">
        <f>IF(B11="","",VLOOKUP(B11,'Clients-Live'!$A:$C,3,0))</f>
        <v/>
      </c>
      <c r="D11" s="35"/>
      <c r="E11" s="35"/>
      <c r="F11" s="59"/>
      <c r="G11" s="59"/>
      <c r="H11" s="181">
        <f t="shared" si="0"/>
        <v>0</v>
      </c>
      <c r="I11" s="181">
        <f t="shared" si="1"/>
        <v>0</v>
      </c>
      <c r="J11" s="61" t="str">
        <f>IF($A11="","",SUM($H$8:H11)-SUM($I$8:I11))</f>
        <v/>
      </c>
      <c r="K11" s="59"/>
    </row>
    <row r="12" spans="1:11" x14ac:dyDescent="0.2">
      <c r="A12" s="44"/>
      <c r="B12" s="466"/>
      <c r="C12" s="468" t="str">
        <f>IF(B12="","",VLOOKUP(B12,'Clients-Live'!$A:$C,3,0))</f>
        <v/>
      </c>
      <c r="D12" s="35"/>
      <c r="E12" s="35"/>
      <c r="F12" s="59"/>
      <c r="G12" s="59"/>
      <c r="H12" s="181">
        <f t="shared" si="0"/>
        <v>0</v>
      </c>
      <c r="I12" s="181">
        <f t="shared" si="1"/>
        <v>0</v>
      </c>
      <c r="J12" s="61" t="str">
        <f>IF($A12="","",SUM($H$8:H12)-SUM($I$8:I12))</f>
        <v/>
      </c>
      <c r="K12" s="59"/>
    </row>
    <row r="13" spans="1:11" x14ac:dyDescent="0.2">
      <c r="A13" s="44"/>
      <c r="B13" s="466"/>
      <c r="C13" s="468" t="str">
        <f>IF(B13="","",VLOOKUP(B13,'Clients-Live'!$A:$C,3,0))</f>
        <v/>
      </c>
      <c r="D13" s="35"/>
      <c r="E13" s="35"/>
      <c r="F13" s="59"/>
      <c r="G13" s="59"/>
      <c r="H13" s="181">
        <f t="shared" si="0"/>
        <v>0</v>
      </c>
      <c r="I13" s="181">
        <f t="shared" si="1"/>
        <v>0</v>
      </c>
      <c r="J13" s="61" t="str">
        <f>IF($A13="","",SUM($H$8:H13)-SUM($I$8:I13))</f>
        <v/>
      </c>
      <c r="K13" s="59"/>
    </row>
    <row r="14" spans="1:11" x14ac:dyDescent="0.2">
      <c r="A14" s="44"/>
      <c r="B14" s="466"/>
      <c r="C14" s="468" t="str">
        <f>IF(B14="","",VLOOKUP(B14,'Clients-Live'!$A:$C,3,0))</f>
        <v/>
      </c>
      <c r="D14" s="35"/>
      <c r="E14" s="35"/>
      <c r="F14" s="59"/>
      <c r="G14" s="59"/>
      <c r="H14" s="181">
        <f t="shared" si="0"/>
        <v>0</v>
      </c>
      <c r="I14" s="181">
        <f t="shared" si="1"/>
        <v>0</v>
      </c>
      <c r="J14" s="61" t="str">
        <f>IF($A14="","",SUM($H$8:H14)-SUM($I$8:I14))</f>
        <v/>
      </c>
      <c r="K14" s="59"/>
    </row>
    <row r="15" spans="1:11" x14ac:dyDescent="0.2">
      <c r="A15" s="44"/>
      <c r="B15" s="466"/>
      <c r="C15" s="468" t="str">
        <f>IF(B15="","",VLOOKUP(B15,'Clients-Live'!$A:$C,3,0))</f>
        <v/>
      </c>
      <c r="D15" s="35"/>
      <c r="E15" s="35"/>
      <c r="F15" s="59"/>
      <c r="G15" s="59"/>
      <c r="H15" s="181">
        <f t="shared" si="0"/>
        <v>0</v>
      </c>
      <c r="I15" s="181">
        <f t="shared" si="1"/>
        <v>0</v>
      </c>
      <c r="J15" s="61" t="str">
        <f>IF($A15="","",SUM($H$8:H15)-SUM($I$8:I15))</f>
        <v/>
      </c>
      <c r="K15" s="59"/>
    </row>
    <row r="16" spans="1:11" x14ac:dyDescent="0.2">
      <c r="A16" s="44"/>
      <c r="B16" s="466"/>
      <c r="C16" s="468" t="str">
        <f>IF(B16="","",VLOOKUP(B16,'Clients-Live'!$A:$C,3,0))</f>
        <v/>
      </c>
      <c r="D16" s="35"/>
      <c r="E16" s="35"/>
      <c r="F16" s="59"/>
      <c r="G16" s="59"/>
      <c r="H16" s="181">
        <f t="shared" si="0"/>
        <v>0</v>
      </c>
      <c r="I16" s="181">
        <f t="shared" si="1"/>
        <v>0</v>
      </c>
      <c r="J16" s="61" t="str">
        <f>IF($A16="","",SUM($H$8:H16)-SUM($I$8:I16))</f>
        <v/>
      </c>
      <c r="K16" s="59"/>
    </row>
    <row r="17" spans="1:11" x14ac:dyDescent="0.2">
      <c r="A17" s="44"/>
      <c r="B17" s="466"/>
      <c r="C17" s="468" t="str">
        <f>IF(B17="","",VLOOKUP(B17,'Clients-Live'!$A:$C,3,0))</f>
        <v/>
      </c>
      <c r="D17" s="35"/>
      <c r="E17" s="35"/>
      <c r="F17" s="59"/>
      <c r="G17" s="59"/>
      <c r="H17" s="181">
        <f t="shared" si="0"/>
        <v>0</v>
      </c>
      <c r="I17" s="181">
        <f t="shared" si="1"/>
        <v>0</v>
      </c>
      <c r="J17" s="61" t="str">
        <f>IF($A17="","",SUM($H$8:H17)-SUM($I$8:I17))</f>
        <v/>
      </c>
      <c r="K17" s="59"/>
    </row>
    <row r="18" spans="1:11" x14ac:dyDescent="0.2">
      <c r="A18" s="44"/>
      <c r="B18" s="466"/>
      <c r="C18" s="468" t="str">
        <f>IF(B18="","",VLOOKUP(B18,'Clients-Live'!$A:$C,3,0))</f>
        <v/>
      </c>
      <c r="D18" s="35"/>
      <c r="E18" s="35"/>
      <c r="F18" s="59"/>
      <c r="G18" s="59"/>
      <c r="H18" s="181">
        <f t="shared" si="0"/>
        <v>0</v>
      </c>
      <c r="I18" s="181">
        <f t="shared" si="1"/>
        <v>0</v>
      </c>
      <c r="J18" s="61" t="str">
        <f>IF($A18="","",SUM($H$8:H18)-SUM($I$8:I18))</f>
        <v/>
      </c>
      <c r="K18" s="59"/>
    </row>
    <row r="19" spans="1:11" x14ac:dyDescent="0.2">
      <c r="A19" s="44"/>
      <c r="B19" s="466"/>
      <c r="C19" s="468" t="str">
        <f>IF(B19="","",VLOOKUP(B19,'Clients-Live'!$A:$C,3,0))</f>
        <v/>
      </c>
      <c r="D19" s="35"/>
      <c r="E19" s="35"/>
      <c r="F19" s="59"/>
      <c r="G19" s="59"/>
      <c r="H19" s="181">
        <f t="shared" si="0"/>
        <v>0</v>
      </c>
      <c r="I19" s="181">
        <f t="shared" si="1"/>
        <v>0</v>
      </c>
      <c r="J19" s="61" t="str">
        <f>IF($A19="","",SUM($H$8:H19)-SUM($I$8:I19))</f>
        <v/>
      </c>
      <c r="K19" s="59"/>
    </row>
    <row r="20" spans="1:11" x14ac:dyDescent="0.2">
      <c r="A20" s="44"/>
      <c r="B20" s="466"/>
      <c r="C20" s="468" t="str">
        <f>IF(B20="","",VLOOKUP(B20,'Clients-Live'!$A:$C,3,0))</f>
        <v/>
      </c>
      <c r="D20" s="35"/>
      <c r="E20" s="35"/>
      <c r="F20" s="59"/>
      <c r="G20" s="59"/>
      <c r="H20" s="181">
        <f t="shared" si="0"/>
        <v>0</v>
      </c>
      <c r="I20" s="181">
        <f t="shared" si="1"/>
        <v>0</v>
      </c>
      <c r="J20" s="61" t="str">
        <f>IF($A20="","",SUM($H$8:H20)-SUM($I$8:I20))</f>
        <v/>
      </c>
      <c r="K20" s="59"/>
    </row>
    <row r="21" spans="1:11" x14ac:dyDescent="0.2">
      <c r="A21" s="44"/>
      <c r="B21" s="466"/>
      <c r="C21" s="468" t="str">
        <f>IF(B21="","",VLOOKUP(B21,'Clients-Live'!$A:$C,3,0))</f>
        <v/>
      </c>
      <c r="D21" s="35"/>
      <c r="E21" s="35"/>
      <c r="F21" s="59"/>
      <c r="G21" s="59"/>
      <c r="H21" s="181">
        <f t="shared" si="0"/>
        <v>0</v>
      </c>
      <c r="I21" s="181">
        <f t="shared" si="1"/>
        <v>0</v>
      </c>
      <c r="J21" s="61" t="str">
        <f>IF($A21="","",SUM($H$8:H21)-SUM($I$8:I21))</f>
        <v/>
      </c>
      <c r="K21" s="59"/>
    </row>
    <row r="22" spans="1:11" x14ac:dyDescent="0.2">
      <c r="A22" s="44"/>
      <c r="B22" s="466"/>
      <c r="C22" s="468" t="str">
        <f>IF(B22="","",VLOOKUP(B22,'Clients-Live'!$A:$C,3,0))</f>
        <v/>
      </c>
      <c r="D22" s="35"/>
      <c r="E22" s="34"/>
      <c r="F22" s="59"/>
      <c r="G22" s="59"/>
      <c r="H22" s="181">
        <f t="shared" si="0"/>
        <v>0</v>
      </c>
      <c r="I22" s="181">
        <f t="shared" si="1"/>
        <v>0</v>
      </c>
      <c r="J22" s="61" t="str">
        <f>IF($A22="","",SUM($H$8:H22)-SUM($I$8:I22))</f>
        <v/>
      </c>
      <c r="K22" s="59"/>
    </row>
    <row r="23" spans="1:11" x14ac:dyDescent="0.2">
      <c r="A23" s="44"/>
      <c r="B23" s="466"/>
      <c r="C23" s="468" t="str">
        <f>IF(B23="","",VLOOKUP(B23,'Clients-Live'!$A:$C,3,0))</f>
        <v/>
      </c>
      <c r="D23" s="35"/>
      <c r="E23" s="34"/>
      <c r="F23" s="59"/>
      <c r="G23" s="59"/>
      <c r="H23" s="181">
        <f t="shared" si="0"/>
        <v>0</v>
      </c>
      <c r="I23" s="181">
        <f t="shared" si="1"/>
        <v>0</v>
      </c>
      <c r="J23" s="61" t="str">
        <f>IF($A23="","",SUM($H$8:H23)-SUM($I$8:I23))</f>
        <v/>
      </c>
      <c r="K23" s="59"/>
    </row>
    <row r="24" spans="1:11" x14ac:dyDescent="0.2">
      <c r="A24" s="44"/>
      <c r="B24" s="466"/>
      <c r="C24" s="468" t="str">
        <f>IF(B24="","",VLOOKUP(B24,'Clients-Live'!$A:$C,3,0))</f>
        <v/>
      </c>
      <c r="D24" s="35"/>
      <c r="E24" s="34"/>
      <c r="F24" s="59"/>
      <c r="G24" s="59"/>
      <c r="H24" s="181">
        <f t="shared" si="0"/>
        <v>0</v>
      </c>
      <c r="I24" s="181">
        <f t="shared" si="1"/>
        <v>0</v>
      </c>
      <c r="J24" s="61" t="str">
        <f>IF($A24="","",SUM($H$8:H24)-SUM($I$8:I24))</f>
        <v/>
      </c>
      <c r="K24" s="59"/>
    </row>
    <row r="25" spans="1:11" x14ac:dyDescent="0.2">
      <c r="A25" s="44"/>
      <c r="B25" s="466"/>
      <c r="C25" s="468" t="str">
        <f>IF(B25="","",VLOOKUP(B25,'Clients-Live'!$A:$C,3,0))</f>
        <v/>
      </c>
      <c r="D25" s="35"/>
      <c r="E25" s="34"/>
      <c r="F25" s="59"/>
      <c r="G25" s="59"/>
      <c r="H25" s="181">
        <f t="shared" si="0"/>
        <v>0</v>
      </c>
      <c r="I25" s="181">
        <f t="shared" si="1"/>
        <v>0</v>
      </c>
      <c r="J25" s="61" t="str">
        <f>IF($A25="","",SUM($H$8:H25)-SUM($I$8:I25))</f>
        <v/>
      </c>
      <c r="K25" s="59"/>
    </row>
    <row r="26" spans="1:11" x14ac:dyDescent="0.2">
      <c r="A26" s="44"/>
      <c r="B26" s="466"/>
      <c r="C26" s="468" t="str">
        <f>IF(B26="","",VLOOKUP(B26,'Clients-Live'!$A:$C,3,0))</f>
        <v/>
      </c>
      <c r="D26" s="35"/>
      <c r="E26" s="35"/>
      <c r="F26" s="59"/>
      <c r="G26" s="59"/>
      <c r="H26" s="181">
        <f t="shared" si="0"/>
        <v>0</v>
      </c>
      <c r="I26" s="181">
        <f t="shared" si="1"/>
        <v>0</v>
      </c>
      <c r="J26" s="61" t="str">
        <f>IF($A26="","",SUM($H$8:H26)-SUM($I$8:I26))</f>
        <v/>
      </c>
      <c r="K26" s="59"/>
    </row>
    <row r="27" spans="1:11" x14ac:dyDescent="0.2">
      <c r="A27" s="44"/>
      <c r="B27" s="466"/>
      <c r="C27" s="468" t="str">
        <f>IF(B27="","",VLOOKUP(B27,'Clients-Live'!$A:$C,3,0))</f>
        <v/>
      </c>
      <c r="D27" s="35"/>
      <c r="E27" s="35"/>
      <c r="F27" s="59"/>
      <c r="G27" s="59"/>
      <c r="H27" s="181">
        <f t="shared" si="0"/>
        <v>0</v>
      </c>
      <c r="I27" s="181">
        <f t="shared" si="1"/>
        <v>0</v>
      </c>
      <c r="J27" s="61" t="str">
        <f>IF($A27="","",SUM($H$8:H27)-SUM($I$8:I27))</f>
        <v/>
      </c>
      <c r="K27" s="59"/>
    </row>
    <row r="28" spans="1:11" x14ac:dyDescent="0.2">
      <c r="A28" s="44"/>
      <c r="B28" s="466"/>
      <c r="C28" s="468" t="str">
        <f>IF(B28="","",VLOOKUP(B28,'Clients-Live'!$A:$C,3,0))</f>
        <v/>
      </c>
      <c r="D28" s="35"/>
      <c r="E28" s="35"/>
      <c r="F28" s="59"/>
      <c r="G28" s="59"/>
      <c r="H28" s="181">
        <f t="shared" si="0"/>
        <v>0</v>
      </c>
      <c r="I28" s="181">
        <f t="shared" si="1"/>
        <v>0</v>
      </c>
      <c r="J28" s="61" t="str">
        <f>IF($A28="","",SUM($H$8:H28)-SUM($I$8:I28))</f>
        <v/>
      </c>
      <c r="K28" s="59"/>
    </row>
    <row r="29" spans="1:11" x14ac:dyDescent="0.2">
      <c r="A29" s="44"/>
      <c r="B29" s="466"/>
      <c r="C29" s="468" t="str">
        <f>IF(B29="","",VLOOKUP(B29,'Clients-Live'!$A:$C,3,0))</f>
        <v/>
      </c>
      <c r="D29" s="35"/>
      <c r="E29" s="35"/>
      <c r="F29" s="59"/>
      <c r="G29" s="59"/>
      <c r="H29" s="181">
        <f t="shared" si="0"/>
        <v>0</v>
      </c>
      <c r="I29" s="181">
        <f t="shared" si="1"/>
        <v>0</v>
      </c>
      <c r="J29" s="61" t="str">
        <f>IF($A29="","",SUM($H$8:H29)-SUM($I$8:I29))</f>
        <v/>
      </c>
      <c r="K29" s="59"/>
    </row>
    <row r="30" spans="1:11" x14ac:dyDescent="0.2">
      <c r="A30" s="44"/>
      <c r="B30" s="466"/>
      <c r="C30" s="468" t="str">
        <f>IF(B30="","",VLOOKUP(B30,'Clients-Live'!$A:$C,3,0))</f>
        <v/>
      </c>
      <c r="D30" s="35"/>
      <c r="E30" s="35"/>
      <c r="F30" s="59"/>
      <c r="G30" s="59"/>
      <c r="H30" s="181">
        <f t="shared" si="0"/>
        <v>0</v>
      </c>
      <c r="I30" s="181">
        <f t="shared" si="1"/>
        <v>0</v>
      </c>
      <c r="J30" s="61" t="str">
        <f>IF($A30="","",SUM($H$8:H30)-SUM($I$8:I30))</f>
        <v/>
      </c>
      <c r="K30" s="59"/>
    </row>
    <row r="31" spans="1:11" x14ac:dyDescent="0.2">
      <c r="A31" s="44"/>
      <c r="B31" s="466"/>
      <c r="C31" s="468" t="str">
        <f>IF(B31="","",VLOOKUP(B31,'Clients-Live'!$A:$C,3,0))</f>
        <v/>
      </c>
      <c r="D31" s="35"/>
      <c r="E31" s="35"/>
      <c r="F31" s="59"/>
      <c r="G31" s="59"/>
      <c r="H31" s="181">
        <f t="shared" si="0"/>
        <v>0</v>
      </c>
      <c r="I31" s="181">
        <f t="shared" si="1"/>
        <v>0</v>
      </c>
      <c r="J31" s="61" t="str">
        <f>IF($A31="","",SUM($H$8:H31)-SUM($I$8:I31))</f>
        <v/>
      </c>
      <c r="K31" s="59"/>
    </row>
    <row r="32" spans="1:11" x14ac:dyDescent="0.2">
      <c r="A32" s="44"/>
      <c r="B32" s="466"/>
      <c r="C32" s="468" t="str">
        <f>IF(B32="","",VLOOKUP(B32,'Clients-Live'!$A:$C,3,0))</f>
        <v/>
      </c>
      <c r="D32" s="35"/>
      <c r="E32" s="35"/>
      <c r="F32" s="59"/>
      <c r="G32" s="59"/>
      <c r="H32" s="181">
        <f t="shared" si="0"/>
        <v>0</v>
      </c>
      <c r="I32" s="181">
        <f t="shared" si="1"/>
        <v>0</v>
      </c>
      <c r="J32" s="61" t="str">
        <f>IF($A32="","",SUM($H$8:H32)-SUM($I$8:I32))</f>
        <v/>
      </c>
      <c r="K32" s="59"/>
    </row>
    <row r="33" spans="1:11" x14ac:dyDescent="0.2">
      <c r="A33" s="44"/>
      <c r="B33" s="466"/>
      <c r="C33" s="468" t="str">
        <f>IF(B33="","",VLOOKUP(B33,'Clients-Live'!$A:$C,3,0))</f>
        <v/>
      </c>
      <c r="D33" s="35"/>
      <c r="E33" s="35"/>
      <c r="F33" s="59"/>
      <c r="G33" s="59"/>
      <c r="H33" s="181">
        <f t="shared" si="0"/>
        <v>0</v>
      </c>
      <c r="I33" s="181">
        <f t="shared" si="1"/>
        <v>0</v>
      </c>
      <c r="J33" s="61" t="str">
        <f>IF($A33="","",SUM($H$8:H33)-SUM($I$8:I33))</f>
        <v/>
      </c>
      <c r="K33" s="59"/>
    </row>
    <row r="34" spans="1:11" x14ac:dyDescent="0.2">
      <c r="A34" s="44"/>
      <c r="B34" s="466"/>
      <c r="C34" s="468" t="str">
        <f>IF(B34="","",VLOOKUP(B34,'Clients-Live'!$A:$C,3,0))</f>
        <v/>
      </c>
      <c r="D34" s="35"/>
      <c r="E34" s="35"/>
      <c r="F34" s="59"/>
      <c r="G34" s="59"/>
      <c r="H34" s="181">
        <f t="shared" si="0"/>
        <v>0</v>
      </c>
      <c r="I34" s="181">
        <f t="shared" si="1"/>
        <v>0</v>
      </c>
      <c r="J34" s="61" t="str">
        <f>IF($A34="","",SUM($H$8:H34)-SUM($I$8:I34))</f>
        <v/>
      </c>
      <c r="K34" s="59"/>
    </row>
    <row r="35" spans="1:11" x14ac:dyDescent="0.2">
      <c r="A35" s="44"/>
      <c r="B35" s="466"/>
      <c r="C35" s="468" t="str">
        <f>IF(B35="","",VLOOKUP(B35,'Clients-Live'!$A:$C,3,0))</f>
        <v/>
      </c>
      <c r="D35" s="35"/>
      <c r="E35" s="35"/>
      <c r="F35" s="59"/>
      <c r="G35" s="59"/>
      <c r="H35" s="181">
        <f t="shared" si="0"/>
        <v>0</v>
      </c>
      <c r="I35" s="181">
        <f t="shared" si="1"/>
        <v>0</v>
      </c>
      <c r="J35" s="61" t="str">
        <f>IF($A35="","",SUM($H$8:H35)-SUM($I$8:I35))</f>
        <v/>
      </c>
      <c r="K35" s="59"/>
    </row>
    <row r="36" spans="1:11" x14ac:dyDescent="0.2">
      <c r="A36" s="44"/>
      <c r="B36" s="466"/>
      <c r="C36" s="468" t="str">
        <f>IF(B36="","",VLOOKUP(B36,'Clients-Live'!$A:$C,3,0))</f>
        <v/>
      </c>
      <c r="D36" s="35"/>
      <c r="E36" s="35"/>
      <c r="F36" s="59"/>
      <c r="G36" s="59"/>
      <c r="H36" s="181">
        <f t="shared" si="0"/>
        <v>0</v>
      </c>
      <c r="I36" s="181">
        <f t="shared" si="1"/>
        <v>0</v>
      </c>
      <c r="J36" s="61" t="str">
        <f>IF($A36="","",SUM($H$8:H36)-SUM($I$8:I36))</f>
        <v/>
      </c>
      <c r="K36" s="59"/>
    </row>
    <row r="37" spans="1:11" x14ac:dyDescent="0.2">
      <c r="A37" s="44"/>
      <c r="B37" s="466"/>
      <c r="C37" s="468" t="str">
        <f>IF(B37="","",VLOOKUP(B37,'Clients-Live'!$A:$C,3,0))</f>
        <v/>
      </c>
      <c r="D37" s="35"/>
      <c r="E37" s="35"/>
      <c r="F37" s="59"/>
      <c r="G37" s="59"/>
      <c r="H37" s="181">
        <f t="shared" si="0"/>
        <v>0</v>
      </c>
      <c r="I37" s="181">
        <f t="shared" si="1"/>
        <v>0</v>
      </c>
      <c r="J37" s="61" t="str">
        <f>IF($A37="","",SUM($H$8:H37)-SUM($I$8:I37))</f>
        <v/>
      </c>
      <c r="K37" s="59"/>
    </row>
    <row r="38" spans="1:11" x14ac:dyDescent="0.2">
      <c r="A38" s="44"/>
      <c r="B38" s="466"/>
      <c r="C38" s="468" t="str">
        <f>IF(B38="","",VLOOKUP(B38,'Clients-Live'!$A:$C,3,0))</f>
        <v/>
      </c>
      <c r="D38" s="35"/>
      <c r="E38" s="35"/>
      <c r="F38" s="59"/>
      <c r="G38" s="59"/>
      <c r="H38" s="181">
        <f t="shared" si="0"/>
        <v>0</v>
      </c>
      <c r="I38" s="181">
        <f t="shared" si="1"/>
        <v>0</v>
      </c>
      <c r="J38" s="61" t="str">
        <f>IF($A38="","",SUM($H$8:H38)-SUM($I$8:I38))</f>
        <v/>
      </c>
      <c r="K38" s="59"/>
    </row>
    <row r="39" spans="1:11" x14ac:dyDescent="0.2">
      <c r="A39" s="44"/>
      <c r="B39" s="466"/>
      <c r="C39" s="468" t="str">
        <f>IF(B39="","",VLOOKUP(B39,'Clients-Live'!$A:$C,3,0))</f>
        <v/>
      </c>
      <c r="D39" s="35"/>
      <c r="E39" s="35"/>
      <c r="F39" s="59"/>
      <c r="G39" s="59"/>
      <c r="H39" s="181">
        <f t="shared" si="0"/>
        <v>0</v>
      </c>
      <c r="I39" s="181">
        <f t="shared" si="1"/>
        <v>0</v>
      </c>
      <c r="J39" s="61" t="str">
        <f>IF($A39="","",SUM($H$8:H39)-SUM($I$8:I39))</f>
        <v/>
      </c>
      <c r="K39" s="59"/>
    </row>
    <row r="40" spans="1:11" x14ac:dyDescent="0.2">
      <c r="A40" s="44"/>
      <c r="B40" s="466"/>
      <c r="C40" s="468" t="str">
        <f>IF(B40="","",VLOOKUP(B40,'Clients-Live'!$A:$C,3,0))</f>
        <v/>
      </c>
      <c r="D40" s="35"/>
      <c r="E40" s="35"/>
      <c r="F40" s="59"/>
      <c r="G40" s="59"/>
      <c r="H40" s="181">
        <f t="shared" si="0"/>
        <v>0</v>
      </c>
      <c r="I40" s="181">
        <f t="shared" si="1"/>
        <v>0</v>
      </c>
      <c r="J40" s="61" t="str">
        <f>IF($A40="","",SUM($H$8:H40)-SUM($I$8:I40))</f>
        <v/>
      </c>
      <c r="K40" s="59"/>
    </row>
    <row r="41" spans="1:11" x14ac:dyDescent="0.2">
      <c r="A41" s="44"/>
      <c r="B41" s="466"/>
      <c r="C41" s="468" t="str">
        <f>IF(B41="","",VLOOKUP(B41,'Clients-Live'!$A:$C,3,0))</f>
        <v/>
      </c>
      <c r="D41" s="35"/>
      <c r="E41" s="35"/>
      <c r="F41" s="59"/>
      <c r="G41" s="59"/>
      <c r="H41" s="181">
        <f t="shared" si="0"/>
        <v>0</v>
      </c>
      <c r="I41" s="181">
        <f t="shared" si="1"/>
        <v>0</v>
      </c>
      <c r="J41" s="61" t="str">
        <f>IF($A41="","",SUM($H$8:H41)-SUM($I$8:I41))</f>
        <v/>
      </c>
      <c r="K41" s="59"/>
    </row>
    <row r="42" spans="1:11" x14ac:dyDescent="0.2">
      <c r="A42" s="44"/>
      <c r="B42" s="466"/>
      <c r="C42" s="468" t="str">
        <f>IF(B42="","",VLOOKUP(B42,'Clients-Live'!$A:$C,3,0))</f>
        <v/>
      </c>
      <c r="D42" s="35"/>
      <c r="E42" s="35"/>
      <c r="F42" s="59"/>
      <c r="G42" s="59"/>
      <c r="H42" s="181">
        <f t="shared" si="0"/>
        <v>0</v>
      </c>
      <c r="I42" s="181">
        <f t="shared" si="1"/>
        <v>0</v>
      </c>
      <c r="J42" s="61" t="str">
        <f>IF($A42="","",SUM($H$8:H42)-SUM($I$8:I42))</f>
        <v/>
      </c>
      <c r="K42" s="59"/>
    </row>
    <row r="43" spans="1:11" x14ac:dyDescent="0.2">
      <c r="A43" s="44"/>
      <c r="B43" s="466"/>
      <c r="C43" s="468" t="str">
        <f>IF(B43="","",VLOOKUP(B43,'Clients-Live'!$A:$C,3,0))</f>
        <v/>
      </c>
      <c r="D43" s="35"/>
      <c r="E43" s="35"/>
      <c r="F43" s="59"/>
      <c r="G43" s="59"/>
      <c r="H43" s="181">
        <f t="shared" si="0"/>
        <v>0</v>
      </c>
      <c r="I43" s="181">
        <f t="shared" si="1"/>
        <v>0</v>
      </c>
      <c r="J43" s="61" t="str">
        <f>IF($A43="","",SUM($H$8:H43)-SUM($I$8:I43))</f>
        <v/>
      </c>
      <c r="K43" s="59"/>
    </row>
    <row r="44" spans="1:11" x14ac:dyDescent="0.2">
      <c r="A44" s="44"/>
      <c r="B44" s="466"/>
      <c r="C44" s="468" t="str">
        <f>IF(B44="","",VLOOKUP(B44,'Clients-Live'!$A:$C,3,0))</f>
        <v/>
      </c>
      <c r="D44" s="35"/>
      <c r="E44" s="35"/>
      <c r="F44" s="59"/>
      <c r="G44" s="59"/>
      <c r="H44" s="181">
        <f t="shared" si="0"/>
        <v>0</v>
      </c>
      <c r="I44" s="181">
        <f t="shared" si="1"/>
        <v>0</v>
      </c>
      <c r="J44" s="61" t="str">
        <f>IF($A44="","",SUM($H$8:H44)-SUM($I$8:I44))</f>
        <v/>
      </c>
      <c r="K44" s="59"/>
    </row>
    <row r="45" spans="1:11" x14ac:dyDescent="0.2">
      <c r="A45" s="44"/>
      <c r="B45" s="466"/>
      <c r="C45" s="468" t="str">
        <f>IF(B45="","",VLOOKUP(B45,'Clients-Live'!$A:$C,3,0))</f>
        <v/>
      </c>
      <c r="D45" s="35"/>
      <c r="E45" s="35"/>
      <c r="F45" s="59"/>
      <c r="G45" s="59"/>
      <c r="H45" s="181">
        <f t="shared" si="0"/>
        <v>0</v>
      </c>
      <c r="I45" s="181">
        <f t="shared" si="1"/>
        <v>0</v>
      </c>
      <c r="J45" s="61" t="str">
        <f>IF($A45="","",SUM($H$8:H45)-SUM($I$8:I45))</f>
        <v/>
      </c>
      <c r="K45" s="59"/>
    </row>
    <row r="46" spans="1:11" x14ac:dyDescent="0.2">
      <c r="A46" s="44"/>
      <c r="B46" s="466"/>
      <c r="C46" s="468" t="str">
        <f>IF(B46="","",VLOOKUP(B46,'Clients-Live'!$A:$C,3,0))</f>
        <v/>
      </c>
      <c r="D46" s="35"/>
      <c r="E46" s="35"/>
      <c r="F46" s="59"/>
      <c r="G46" s="59"/>
      <c r="H46" s="181">
        <f t="shared" si="0"/>
        <v>0</v>
      </c>
      <c r="I46" s="181">
        <f t="shared" si="1"/>
        <v>0</v>
      </c>
      <c r="J46" s="61" t="str">
        <f>IF($A46="","",SUM($H$8:H46)-SUM($I$8:I46))</f>
        <v/>
      </c>
      <c r="K46" s="59"/>
    </row>
    <row r="47" spans="1:11" x14ac:dyDescent="0.2">
      <c r="A47" s="44"/>
      <c r="B47" s="466"/>
      <c r="C47" s="468" t="str">
        <f>IF(B47="","",VLOOKUP(B47,'Clients-Live'!$A:$C,3,0))</f>
        <v/>
      </c>
      <c r="D47" s="35"/>
      <c r="E47" s="35"/>
      <c r="F47" s="59"/>
      <c r="G47" s="59"/>
      <c r="H47" s="181">
        <f t="shared" si="0"/>
        <v>0</v>
      </c>
      <c r="I47" s="181">
        <f t="shared" si="1"/>
        <v>0</v>
      </c>
      <c r="J47" s="61" t="str">
        <f>IF($A47="","",SUM($H$8:H47)-SUM($I$8:I47))</f>
        <v/>
      </c>
      <c r="K47" s="59"/>
    </row>
    <row r="48" spans="1:11" x14ac:dyDescent="0.2">
      <c r="A48" s="44"/>
      <c r="B48" s="466"/>
      <c r="C48" s="468" t="str">
        <f>IF(B48="","",VLOOKUP(B48,'Clients-Live'!$A:$C,3,0))</f>
        <v/>
      </c>
      <c r="D48" s="35"/>
      <c r="E48" s="35"/>
      <c r="F48" s="59"/>
      <c r="G48" s="59"/>
      <c r="H48" s="181">
        <f t="shared" si="0"/>
        <v>0</v>
      </c>
      <c r="I48" s="181">
        <f t="shared" si="1"/>
        <v>0</v>
      </c>
      <c r="J48" s="61" t="str">
        <f>IF($A48="","",SUM($H$8:H48)-SUM($I$8:I48))</f>
        <v/>
      </c>
      <c r="K48" s="59"/>
    </row>
    <row r="49" spans="1:11" x14ac:dyDescent="0.2">
      <c r="A49" s="44"/>
      <c r="B49" s="466"/>
      <c r="C49" s="468" t="str">
        <f>IF(B49="","",VLOOKUP(B49,'Clients-Live'!$A:$C,3,0))</f>
        <v/>
      </c>
      <c r="D49" s="35"/>
      <c r="E49" s="35"/>
      <c r="F49" s="59"/>
      <c r="G49" s="59"/>
      <c r="H49" s="181">
        <f t="shared" si="0"/>
        <v>0</v>
      </c>
      <c r="I49" s="181">
        <f t="shared" si="1"/>
        <v>0</v>
      </c>
      <c r="J49" s="61" t="str">
        <f>IF($A49="","",SUM($H$8:H49)-SUM($I$8:I49))</f>
        <v/>
      </c>
      <c r="K49" s="59"/>
    </row>
    <row r="50" spans="1:11" x14ac:dyDescent="0.2">
      <c r="A50" s="44"/>
      <c r="B50" s="466"/>
      <c r="C50" s="468" t="str">
        <f>IF(B50="","",VLOOKUP(B50,'Clients-Live'!$A:$C,3,0))</f>
        <v/>
      </c>
      <c r="D50" s="35"/>
      <c r="E50" s="35"/>
      <c r="F50" s="59"/>
      <c r="G50" s="59"/>
      <c r="H50" s="181">
        <f t="shared" si="0"/>
        <v>0</v>
      </c>
      <c r="I50" s="181">
        <f t="shared" si="1"/>
        <v>0</v>
      </c>
      <c r="J50" s="61" t="str">
        <f>IF($A50="","",SUM($H$8:H50)-SUM($I$8:I50))</f>
        <v/>
      </c>
      <c r="K50" s="59"/>
    </row>
    <row r="51" spans="1:11" x14ac:dyDescent="0.2">
      <c r="A51" s="44"/>
      <c r="B51" s="466"/>
      <c r="C51" s="468" t="str">
        <f>IF(B51="","",VLOOKUP(B51,'Clients-Live'!$A:$C,3,0))</f>
        <v/>
      </c>
      <c r="D51" s="35"/>
      <c r="E51" s="35"/>
      <c r="F51" s="59"/>
      <c r="G51" s="59"/>
      <c r="H51" s="181">
        <f t="shared" si="0"/>
        <v>0</v>
      </c>
      <c r="I51" s="181">
        <f t="shared" si="1"/>
        <v>0</v>
      </c>
      <c r="J51" s="61" t="str">
        <f>IF($A51="","",SUM($H$8:H51)-SUM($I$8:I51))</f>
        <v/>
      </c>
      <c r="K51" s="59"/>
    </row>
    <row r="52" spans="1:11" x14ac:dyDescent="0.2">
      <c r="A52" s="44"/>
      <c r="B52" s="466"/>
      <c r="C52" s="468" t="str">
        <f>IF(B52="","",VLOOKUP(B52,'Clients-Live'!$A:$C,3,0))</f>
        <v/>
      </c>
      <c r="D52" s="35"/>
      <c r="E52" s="35"/>
      <c r="F52" s="59"/>
      <c r="G52" s="59"/>
      <c r="H52" s="181">
        <f t="shared" si="0"/>
        <v>0</v>
      </c>
      <c r="I52" s="181">
        <f t="shared" si="1"/>
        <v>0</v>
      </c>
      <c r="J52" s="61" t="str">
        <f>IF($A52="","",SUM($H$8:H52)-SUM($I$8:I52))</f>
        <v/>
      </c>
      <c r="K52" s="59"/>
    </row>
    <row r="53" spans="1:11" x14ac:dyDescent="0.2">
      <c r="A53" s="44"/>
      <c r="B53" s="466"/>
      <c r="C53" s="468" t="str">
        <f>IF(B53="","",VLOOKUP(B53,'Clients-Live'!$A:$C,3,0))</f>
        <v/>
      </c>
      <c r="D53" s="35"/>
      <c r="E53" s="35"/>
      <c r="F53" s="59"/>
      <c r="G53" s="59"/>
      <c r="H53" s="181">
        <f t="shared" si="0"/>
        <v>0</v>
      </c>
      <c r="I53" s="181">
        <f t="shared" si="1"/>
        <v>0</v>
      </c>
      <c r="J53" s="61" t="str">
        <f>IF($A53="","",SUM($H$8:H53)-SUM($I$8:I53))</f>
        <v/>
      </c>
      <c r="K53" s="59"/>
    </row>
    <row r="54" spans="1:11" x14ac:dyDescent="0.2">
      <c r="A54" s="44"/>
      <c r="B54" s="466"/>
      <c r="C54" s="468" t="str">
        <f>IF(B54="","",VLOOKUP(B54,'Clients-Live'!$A:$C,3,0))</f>
        <v/>
      </c>
      <c r="D54" s="35"/>
      <c r="E54" s="35"/>
      <c r="F54" s="59"/>
      <c r="G54" s="59"/>
      <c r="H54" s="181">
        <f t="shared" si="0"/>
        <v>0</v>
      </c>
      <c r="I54" s="181">
        <f t="shared" si="1"/>
        <v>0</v>
      </c>
      <c r="J54" s="61" t="str">
        <f>IF($A54="","",SUM($H$8:H54)-SUM($I$8:I54))</f>
        <v/>
      </c>
      <c r="K54" s="59"/>
    </row>
    <row r="55" spans="1:11" x14ac:dyDescent="0.2">
      <c r="A55" s="44"/>
      <c r="B55" s="466"/>
      <c r="C55" s="468" t="str">
        <f>IF(B55="","",VLOOKUP(B55,'Clients-Live'!$A:$C,3,0))</f>
        <v/>
      </c>
      <c r="D55" s="35"/>
      <c r="E55" s="35"/>
      <c r="F55" s="59"/>
      <c r="G55" s="59"/>
      <c r="H55" s="181">
        <f t="shared" si="0"/>
        <v>0</v>
      </c>
      <c r="I55" s="181">
        <f t="shared" si="1"/>
        <v>0</v>
      </c>
      <c r="J55" s="61" t="str">
        <f>IF($A55="","",SUM($H$8:H55)-SUM($I$8:I55))</f>
        <v/>
      </c>
      <c r="K55" s="59"/>
    </row>
    <row r="56" spans="1:11" x14ac:dyDescent="0.2">
      <c r="A56" s="44"/>
      <c r="B56" s="466"/>
      <c r="C56" s="468" t="str">
        <f>IF(B56="","",VLOOKUP(B56,'Clients-Live'!$A:$C,3,0))</f>
        <v/>
      </c>
      <c r="D56" s="35"/>
      <c r="E56" s="35"/>
      <c r="F56" s="59"/>
      <c r="G56" s="59"/>
      <c r="H56" s="181">
        <f t="shared" si="0"/>
        <v>0</v>
      </c>
      <c r="I56" s="181">
        <f t="shared" si="1"/>
        <v>0</v>
      </c>
      <c r="J56" s="61" t="str">
        <f>IF($A56="","",SUM($H$8:H56)-SUM($I$8:I56))</f>
        <v/>
      </c>
      <c r="K56" s="59"/>
    </row>
    <row r="57" spans="1:11" x14ac:dyDescent="0.2">
      <c r="A57" s="44"/>
      <c r="B57" s="466"/>
      <c r="C57" s="468" t="str">
        <f>IF(B57="","",VLOOKUP(B57,'Clients-Live'!$A:$C,3,0))</f>
        <v/>
      </c>
      <c r="D57" s="35"/>
      <c r="E57" s="35"/>
      <c r="F57" s="59"/>
      <c r="G57" s="59"/>
      <c r="H57" s="181">
        <f t="shared" si="0"/>
        <v>0</v>
      </c>
      <c r="I57" s="181">
        <f t="shared" si="1"/>
        <v>0</v>
      </c>
      <c r="J57" s="61" t="str">
        <f>IF($A57="","",SUM($H$8:H57)-SUM($I$8:I57))</f>
        <v/>
      </c>
      <c r="K57" s="59"/>
    </row>
    <row r="58" spans="1:11" x14ac:dyDescent="0.2">
      <c r="A58" s="44"/>
      <c r="B58" s="466"/>
      <c r="C58" s="468" t="str">
        <f>IF(B58="","",VLOOKUP(B58,'Clients-Live'!$A:$C,3,0))</f>
        <v/>
      </c>
      <c r="D58" s="35"/>
      <c r="E58" s="35"/>
      <c r="F58" s="59"/>
      <c r="G58" s="59"/>
      <c r="H58" s="181">
        <f t="shared" si="0"/>
        <v>0</v>
      </c>
      <c r="I58" s="181">
        <f t="shared" si="1"/>
        <v>0</v>
      </c>
      <c r="J58" s="61" t="str">
        <f>IF($A58="","",SUM($H$8:H58)-SUM($I$8:I58))</f>
        <v/>
      </c>
      <c r="K58" s="59"/>
    </row>
    <row r="59" spans="1:11" x14ac:dyDescent="0.2">
      <c r="A59" s="44"/>
      <c r="B59" s="466"/>
      <c r="C59" s="468" t="str">
        <f>IF(B59="","",VLOOKUP(B59,'Clients-Live'!$A:$C,3,0))</f>
        <v/>
      </c>
      <c r="D59" s="35"/>
      <c r="E59" s="35"/>
      <c r="F59" s="59"/>
      <c r="G59" s="59"/>
      <c r="H59" s="181">
        <f t="shared" si="0"/>
        <v>0</v>
      </c>
      <c r="I59" s="181">
        <f t="shared" si="1"/>
        <v>0</v>
      </c>
      <c r="J59" s="61" t="str">
        <f>IF($A59="","",SUM($H$8:H59)-SUM($I$8:I59))</f>
        <v/>
      </c>
      <c r="K59" s="59"/>
    </row>
    <row r="60" spans="1:11" x14ac:dyDescent="0.2">
      <c r="A60" s="44"/>
      <c r="B60" s="466"/>
      <c r="C60" s="468" t="str">
        <f>IF(B60="","",VLOOKUP(B60,'Clients-Live'!$A:$C,3,0))</f>
        <v/>
      </c>
      <c r="D60" s="35"/>
      <c r="E60" s="35"/>
      <c r="F60" s="59"/>
      <c r="G60" s="59"/>
      <c r="H60" s="181">
        <f t="shared" si="0"/>
        <v>0</v>
      </c>
      <c r="I60" s="181">
        <f t="shared" si="1"/>
        <v>0</v>
      </c>
      <c r="J60" s="61" t="str">
        <f>IF($A60="","",SUM($H$8:H60)-SUM($I$8:I60))</f>
        <v/>
      </c>
      <c r="K60" s="59"/>
    </row>
    <row r="61" spans="1:11" x14ac:dyDescent="0.2">
      <c r="A61" s="44"/>
      <c r="B61" s="466"/>
      <c r="C61" s="468" t="str">
        <f>IF(B61="","",VLOOKUP(B61,'Clients-Live'!$A:$C,3,0))</f>
        <v/>
      </c>
      <c r="D61" s="35"/>
      <c r="E61" s="35"/>
      <c r="F61" s="59"/>
      <c r="G61" s="59"/>
      <c r="H61" s="181">
        <f t="shared" si="0"/>
        <v>0</v>
      </c>
      <c r="I61" s="181">
        <f t="shared" si="1"/>
        <v>0</v>
      </c>
      <c r="J61" s="61" t="str">
        <f>IF($A61="","",SUM($H$8:H61)-SUM($I$8:I61))</f>
        <v/>
      </c>
      <c r="K61" s="59"/>
    </row>
    <row r="62" spans="1:11" x14ac:dyDescent="0.2">
      <c r="A62" s="44"/>
      <c r="B62" s="466"/>
      <c r="C62" s="468" t="str">
        <f>IF(B62="","",VLOOKUP(B62,'Clients-Live'!$A:$C,3,0))</f>
        <v/>
      </c>
      <c r="D62" s="35"/>
      <c r="E62" s="35"/>
      <c r="F62" s="59"/>
      <c r="G62" s="59"/>
      <c r="H62" s="181">
        <f t="shared" si="0"/>
        <v>0</v>
      </c>
      <c r="I62" s="181">
        <f t="shared" si="1"/>
        <v>0</v>
      </c>
      <c r="J62" s="61" t="str">
        <f>IF($A62="","",SUM($H$8:H62)-SUM($I$8:I62))</f>
        <v/>
      </c>
      <c r="K62" s="59"/>
    </row>
    <row r="63" spans="1:11" x14ac:dyDescent="0.2">
      <c r="A63" s="44"/>
      <c r="B63" s="466"/>
      <c r="C63" s="468" t="str">
        <f>IF(B63="","",VLOOKUP(B63,'Clients-Live'!$A:$C,3,0))</f>
        <v/>
      </c>
      <c r="D63" s="35"/>
      <c r="E63" s="35"/>
      <c r="F63" s="59"/>
      <c r="G63" s="59"/>
      <c r="H63" s="181">
        <f t="shared" si="0"/>
        <v>0</v>
      </c>
      <c r="I63" s="181">
        <f t="shared" si="1"/>
        <v>0</v>
      </c>
      <c r="J63" s="61" t="str">
        <f>IF($A63="","",SUM($H$8:H63)-SUM($I$8:I63))</f>
        <v/>
      </c>
      <c r="K63" s="59"/>
    </row>
    <row r="64" spans="1:11" x14ac:dyDescent="0.2">
      <c r="A64" s="44"/>
      <c r="B64" s="466"/>
      <c r="C64" s="468" t="str">
        <f>IF(B64="","",VLOOKUP(B64,'Clients-Live'!$A:$C,3,0))</f>
        <v/>
      </c>
      <c r="D64" s="35"/>
      <c r="E64" s="35"/>
      <c r="F64" s="59"/>
      <c r="G64" s="59"/>
      <c r="H64" s="181">
        <f t="shared" si="0"/>
        <v>0</v>
      </c>
      <c r="I64" s="181">
        <f t="shared" si="1"/>
        <v>0</v>
      </c>
      <c r="J64" s="61" t="str">
        <f>IF($A64="","",SUM($H$8:H64)-SUM($I$8:I64))</f>
        <v/>
      </c>
      <c r="K64" s="59"/>
    </row>
    <row r="65" spans="1:11" x14ac:dyDescent="0.2">
      <c r="A65" s="44"/>
      <c r="B65" s="466"/>
      <c r="C65" s="468" t="str">
        <f>IF(B65="","",VLOOKUP(B65,'Clients-Live'!$A:$C,3,0))</f>
        <v/>
      </c>
      <c r="D65" s="35"/>
      <c r="E65" s="35"/>
      <c r="F65" s="59"/>
      <c r="G65" s="59"/>
      <c r="H65" s="181">
        <f t="shared" si="0"/>
        <v>0</v>
      </c>
      <c r="I65" s="181">
        <f t="shared" si="1"/>
        <v>0</v>
      </c>
      <c r="J65" s="61" t="str">
        <f>IF($A65="","",SUM($H$8:H65)-SUM($I$8:I65))</f>
        <v/>
      </c>
      <c r="K65" s="59"/>
    </row>
    <row r="66" spans="1:11" x14ac:dyDescent="0.2">
      <c r="A66" s="44"/>
      <c r="B66" s="466"/>
      <c r="C66" s="468" t="str">
        <f>IF(B66="","",VLOOKUP(B66,'Clients-Live'!$A:$C,3,0))</f>
        <v/>
      </c>
      <c r="D66" s="35"/>
      <c r="E66" s="35"/>
      <c r="F66" s="59"/>
      <c r="G66" s="59"/>
      <c r="H66" s="181">
        <f t="shared" si="0"/>
        <v>0</v>
      </c>
      <c r="I66" s="181">
        <f t="shared" si="1"/>
        <v>0</v>
      </c>
      <c r="J66" s="61" t="str">
        <f>IF($A66="","",SUM($H$8:H66)-SUM($I$8:I66))</f>
        <v/>
      </c>
      <c r="K66" s="59"/>
    </row>
    <row r="67" spans="1:11" x14ac:dyDescent="0.2">
      <c r="A67" s="44"/>
      <c r="B67" s="466"/>
      <c r="C67" s="468" t="str">
        <f>IF(B67="","",VLOOKUP(B67,'Clients-Live'!$A:$C,3,0))</f>
        <v/>
      </c>
      <c r="D67" s="35"/>
      <c r="E67" s="35"/>
      <c r="F67" s="59"/>
      <c r="G67" s="59"/>
      <c r="H67" s="181">
        <f t="shared" si="0"/>
        <v>0</v>
      </c>
      <c r="I67" s="181">
        <f t="shared" si="1"/>
        <v>0</v>
      </c>
      <c r="J67" s="61" t="str">
        <f>IF($A67="","",SUM($H$8:H67)-SUM($I$8:I67))</f>
        <v/>
      </c>
      <c r="K67" s="59"/>
    </row>
    <row r="68" spans="1:11" x14ac:dyDescent="0.2">
      <c r="A68" s="44"/>
      <c r="B68" s="466"/>
      <c r="C68" s="468" t="str">
        <f>IF(B68="","",VLOOKUP(B68,'Clients-Live'!$A:$C,3,0))</f>
        <v/>
      </c>
      <c r="D68" s="35"/>
      <c r="E68" s="34"/>
      <c r="F68" s="59"/>
      <c r="G68" s="59"/>
      <c r="H68" s="181">
        <f t="shared" si="0"/>
        <v>0</v>
      </c>
      <c r="I68" s="181">
        <f t="shared" si="1"/>
        <v>0</v>
      </c>
      <c r="J68" s="61" t="str">
        <f>IF($A68="","",SUM($H$8:H68)-SUM($I$8:I68))</f>
        <v/>
      </c>
      <c r="K68" s="59"/>
    </row>
    <row r="69" spans="1:11" x14ac:dyDescent="0.2">
      <c r="A69" s="44"/>
      <c r="B69" s="466"/>
      <c r="C69" s="468" t="str">
        <f>IF(B69="","",VLOOKUP(B69,'Clients-Live'!$A:$C,3,0))</f>
        <v/>
      </c>
      <c r="D69" s="35"/>
      <c r="E69" s="34"/>
      <c r="F69" s="59"/>
      <c r="G69" s="59"/>
      <c r="H69" s="181">
        <f t="shared" si="0"/>
        <v>0</v>
      </c>
      <c r="I69" s="181">
        <f t="shared" si="1"/>
        <v>0</v>
      </c>
      <c r="J69" s="61" t="str">
        <f>IF($A69="","",SUM($H$8:H69)-SUM($I$8:I69))</f>
        <v/>
      </c>
      <c r="K69" s="59"/>
    </row>
    <row r="70" spans="1:11" x14ac:dyDescent="0.2">
      <c r="A70" s="44"/>
      <c r="B70" s="466"/>
      <c r="C70" s="468" t="str">
        <f>IF(B70="","",VLOOKUP(B70,'Clients-Live'!$A:$C,3,0))</f>
        <v/>
      </c>
      <c r="D70" s="35"/>
      <c r="E70" s="35"/>
      <c r="F70" s="59"/>
      <c r="G70" s="59"/>
      <c r="H70" s="181">
        <f t="shared" si="0"/>
        <v>0</v>
      </c>
      <c r="I70" s="181">
        <f t="shared" si="1"/>
        <v>0</v>
      </c>
      <c r="J70" s="61" t="str">
        <f>IF($A70="","",SUM($H$8:H70)-SUM($I$8:I70))</f>
        <v/>
      </c>
      <c r="K70" s="59"/>
    </row>
    <row r="71" spans="1:11" x14ac:dyDescent="0.2">
      <c r="A71" s="44"/>
      <c r="B71" s="466"/>
      <c r="C71" s="468" t="str">
        <f>IF(B71="","",VLOOKUP(B71,'Clients-Live'!$A:$C,3,0))</f>
        <v/>
      </c>
      <c r="D71" s="35"/>
      <c r="E71" s="35"/>
      <c r="F71" s="59"/>
      <c r="G71" s="59"/>
      <c r="H71" s="181">
        <f t="shared" si="0"/>
        <v>0</v>
      </c>
      <c r="I71" s="181">
        <f t="shared" si="1"/>
        <v>0</v>
      </c>
      <c r="J71" s="61" t="str">
        <f>IF($A71="","",SUM($H$8:H71)-SUM($I$8:I71))</f>
        <v/>
      </c>
      <c r="K71" s="59"/>
    </row>
    <row r="72" spans="1:11" x14ac:dyDescent="0.2">
      <c r="A72" s="44"/>
      <c r="B72" s="466"/>
      <c r="C72" s="468" t="str">
        <f>IF(B72="","",VLOOKUP(B72,'Clients-Live'!$A:$C,3,0))</f>
        <v/>
      </c>
      <c r="D72" s="35"/>
      <c r="E72" s="35"/>
      <c r="F72" s="59"/>
      <c r="G72" s="59"/>
      <c r="H72" s="181">
        <f t="shared" si="0"/>
        <v>0</v>
      </c>
      <c r="I72" s="181">
        <f t="shared" si="1"/>
        <v>0</v>
      </c>
      <c r="J72" s="61" t="str">
        <f>IF($A72="","",SUM($H$8:H72)-SUM($I$8:I72))</f>
        <v/>
      </c>
      <c r="K72" s="59"/>
    </row>
    <row r="73" spans="1:11" x14ac:dyDescent="0.2">
      <c r="A73" s="44"/>
      <c r="B73" s="466"/>
      <c r="C73" s="468" t="str">
        <f>IF(B73="","",VLOOKUP(B73,'Clients-Live'!$A:$C,3,0))</f>
        <v/>
      </c>
      <c r="D73" s="35"/>
      <c r="E73" s="35"/>
      <c r="F73" s="59"/>
      <c r="G73" s="59"/>
      <c r="H73" s="181">
        <f t="shared" ref="H73:H136" si="2">IF($D73="CASH-IN",$G73,0)</f>
        <v>0</v>
      </c>
      <c r="I73" s="181">
        <f t="shared" ref="I73:I136" si="3">IF($D73="CASH-IN",0,$G73)</f>
        <v>0</v>
      </c>
      <c r="J73" s="61" t="str">
        <f>IF($A73="","",SUM($H$8:H73)-SUM($I$8:I73))</f>
        <v/>
      </c>
      <c r="K73" s="59"/>
    </row>
    <row r="74" spans="1:11" x14ac:dyDescent="0.2">
      <c r="A74" s="44"/>
      <c r="B74" s="466"/>
      <c r="C74" s="468" t="str">
        <f>IF(B74="","",VLOOKUP(B74,'Clients-Live'!$A:$C,3,0))</f>
        <v/>
      </c>
      <c r="D74" s="35"/>
      <c r="E74" s="35"/>
      <c r="F74" s="59"/>
      <c r="G74" s="59"/>
      <c r="H74" s="181">
        <f t="shared" si="2"/>
        <v>0</v>
      </c>
      <c r="I74" s="181">
        <f t="shared" si="3"/>
        <v>0</v>
      </c>
      <c r="J74" s="61" t="str">
        <f>IF($A74="","",SUM($H$8:H74)-SUM($I$8:I74))</f>
        <v/>
      </c>
      <c r="K74" s="59"/>
    </row>
    <row r="75" spans="1:11" x14ac:dyDescent="0.2">
      <c r="A75" s="44"/>
      <c r="B75" s="466"/>
      <c r="C75" s="468" t="str">
        <f>IF(B75="","",VLOOKUP(B75,'Clients-Live'!$A:$C,3,0))</f>
        <v/>
      </c>
      <c r="D75" s="35"/>
      <c r="E75" s="35"/>
      <c r="F75" s="59"/>
      <c r="G75" s="59"/>
      <c r="H75" s="181">
        <f t="shared" si="2"/>
        <v>0</v>
      </c>
      <c r="I75" s="181">
        <f t="shared" si="3"/>
        <v>0</v>
      </c>
      <c r="J75" s="61" t="str">
        <f>IF($A75="","",SUM($H$8:H75)-SUM($I$8:I75))</f>
        <v/>
      </c>
      <c r="K75" s="59"/>
    </row>
    <row r="76" spans="1:11" x14ac:dyDescent="0.2">
      <c r="A76" s="44"/>
      <c r="B76" s="466"/>
      <c r="C76" s="468" t="str">
        <f>IF(B76="","",VLOOKUP(B76,'Clients-Live'!$A:$C,3,0))</f>
        <v/>
      </c>
      <c r="D76" s="35"/>
      <c r="E76" s="35"/>
      <c r="F76" s="59"/>
      <c r="G76" s="59"/>
      <c r="H76" s="181">
        <f t="shared" si="2"/>
        <v>0</v>
      </c>
      <c r="I76" s="181">
        <f t="shared" si="3"/>
        <v>0</v>
      </c>
      <c r="J76" s="61" t="str">
        <f>IF($A76="","",SUM($H$8:H76)-SUM($I$8:I76))</f>
        <v/>
      </c>
      <c r="K76" s="59"/>
    </row>
    <row r="77" spans="1:11" x14ac:dyDescent="0.2">
      <c r="A77" s="44"/>
      <c r="B77" s="466"/>
      <c r="C77" s="468" t="str">
        <f>IF(B77="","",VLOOKUP(B77,'Clients-Live'!$A:$C,3,0))</f>
        <v/>
      </c>
      <c r="D77" s="35"/>
      <c r="E77" s="35"/>
      <c r="F77" s="59"/>
      <c r="G77" s="59"/>
      <c r="H77" s="181">
        <f t="shared" si="2"/>
        <v>0</v>
      </c>
      <c r="I77" s="181">
        <f t="shared" si="3"/>
        <v>0</v>
      </c>
      <c r="J77" s="61" t="str">
        <f>IF($A77="","",SUM($H$8:H77)-SUM($I$8:I77))</f>
        <v/>
      </c>
      <c r="K77" s="59"/>
    </row>
    <row r="78" spans="1:11" x14ac:dyDescent="0.2">
      <c r="A78" s="44"/>
      <c r="B78" s="466"/>
      <c r="C78" s="468" t="str">
        <f>IF(B78="","",VLOOKUP(B78,'Clients-Live'!$A:$C,3,0))</f>
        <v/>
      </c>
      <c r="D78" s="35"/>
      <c r="E78" s="35"/>
      <c r="F78" s="59"/>
      <c r="G78" s="59"/>
      <c r="H78" s="181">
        <f t="shared" si="2"/>
        <v>0</v>
      </c>
      <c r="I78" s="181">
        <f t="shared" si="3"/>
        <v>0</v>
      </c>
      <c r="J78" s="61" t="str">
        <f>IF($A78="","",SUM($H$8:H78)-SUM($I$8:I78))</f>
        <v/>
      </c>
      <c r="K78" s="59"/>
    </row>
    <row r="79" spans="1:11" x14ac:dyDescent="0.2">
      <c r="A79" s="44"/>
      <c r="B79" s="466"/>
      <c r="C79" s="468" t="str">
        <f>IF(B79="","",VLOOKUP(B79,'Clients-Live'!$A:$C,3,0))</f>
        <v/>
      </c>
      <c r="D79" s="35"/>
      <c r="E79" s="34"/>
      <c r="F79" s="59"/>
      <c r="G79" s="59"/>
      <c r="H79" s="181">
        <f t="shared" si="2"/>
        <v>0</v>
      </c>
      <c r="I79" s="181">
        <f t="shared" si="3"/>
        <v>0</v>
      </c>
      <c r="J79" s="61" t="str">
        <f>IF($A79="","",SUM($H$8:H79)-SUM($I$8:I79))</f>
        <v/>
      </c>
      <c r="K79" s="59"/>
    </row>
    <row r="80" spans="1:11" x14ac:dyDescent="0.2">
      <c r="A80" s="44"/>
      <c r="B80" s="466"/>
      <c r="C80" s="468" t="str">
        <f>IF(B80="","",VLOOKUP(B80,'Clients-Live'!$A:$C,3,0))</f>
        <v/>
      </c>
      <c r="D80" s="35"/>
      <c r="E80" s="34"/>
      <c r="F80" s="59"/>
      <c r="G80" s="59"/>
      <c r="H80" s="181">
        <f t="shared" si="2"/>
        <v>0</v>
      </c>
      <c r="I80" s="181">
        <f t="shared" si="3"/>
        <v>0</v>
      </c>
      <c r="J80" s="61" t="str">
        <f>IF($A80="","",SUM($H$8:H80)-SUM($I$8:I80))</f>
        <v/>
      </c>
      <c r="K80" s="59"/>
    </row>
    <row r="81" spans="1:11" x14ac:dyDescent="0.2">
      <c r="A81" s="44"/>
      <c r="B81" s="466"/>
      <c r="C81" s="468" t="str">
        <f>IF(B81="","",VLOOKUP(B81,'Clients-Live'!$A:$C,3,0))</f>
        <v/>
      </c>
      <c r="D81" s="35"/>
      <c r="E81" s="34"/>
      <c r="F81" s="59"/>
      <c r="G81" s="59"/>
      <c r="H81" s="181">
        <f t="shared" si="2"/>
        <v>0</v>
      </c>
      <c r="I81" s="181">
        <f t="shared" si="3"/>
        <v>0</v>
      </c>
      <c r="J81" s="61" t="str">
        <f>IF($A81="","",SUM($H$8:H81)-SUM($I$8:I81))</f>
        <v/>
      </c>
      <c r="K81" s="59"/>
    </row>
    <row r="82" spans="1:11" x14ac:dyDescent="0.2">
      <c r="A82" s="44"/>
      <c r="B82" s="466"/>
      <c r="C82" s="468" t="str">
        <f>IF(B82="","",VLOOKUP(B82,'Clients-Live'!$A:$C,3,0))</f>
        <v/>
      </c>
      <c r="D82" s="35"/>
      <c r="E82" s="34"/>
      <c r="F82" s="59"/>
      <c r="G82" s="59"/>
      <c r="H82" s="181">
        <f t="shared" si="2"/>
        <v>0</v>
      </c>
      <c r="I82" s="181">
        <f t="shared" si="3"/>
        <v>0</v>
      </c>
      <c r="J82" s="61" t="str">
        <f>IF($A82="","",SUM($H$8:H82)-SUM($I$8:I82))</f>
        <v/>
      </c>
      <c r="K82" s="59"/>
    </row>
    <row r="83" spans="1:11" x14ac:dyDescent="0.2">
      <c r="A83" s="44"/>
      <c r="B83" s="466"/>
      <c r="C83" s="468" t="str">
        <f>IF(B83="","",VLOOKUP(B83,'Clients-Live'!$A:$C,3,0))</f>
        <v/>
      </c>
      <c r="D83" s="35"/>
      <c r="E83" s="35"/>
      <c r="F83" s="59"/>
      <c r="G83" s="59"/>
      <c r="H83" s="181">
        <f t="shared" si="2"/>
        <v>0</v>
      </c>
      <c r="I83" s="181">
        <f t="shared" si="3"/>
        <v>0</v>
      </c>
      <c r="J83" s="61" t="str">
        <f>IF($A83="","",SUM($H$8:H83)-SUM($I$8:I83))</f>
        <v/>
      </c>
      <c r="K83" s="59"/>
    </row>
    <row r="84" spans="1:11" x14ac:dyDescent="0.2">
      <c r="A84" s="44"/>
      <c r="B84" s="466"/>
      <c r="C84" s="468" t="str">
        <f>IF(B84="","",VLOOKUP(B84,'Clients-Live'!$A:$C,3,0))</f>
        <v/>
      </c>
      <c r="D84" s="35"/>
      <c r="E84" s="34"/>
      <c r="F84" s="59"/>
      <c r="G84" s="59"/>
      <c r="H84" s="181">
        <f t="shared" si="2"/>
        <v>0</v>
      </c>
      <c r="I84" s="181">
        <f t="shared" si="3"/>
        <v>0</v>
      </c>
      <c r="J84" s="61" t="str">
        <f>IF($A84="","",SUM($H$8:H84)-SUM($I$8:I84))</f>
        <v/>
      </c>
      <c r="K84" s="59"/>
    </row>
    <row r="85" spans="1:11" x14ac:dyDescent="0.2">
      <c r="A85" s="44"/>
      <c r="B85" s="466"/>
      <c r="C85" s="468" t="str">
        <f>IF(B85="","",VLOOKUP(B85,'Clients-Live'!$A:$C,3,0))</f>
        <v/>
      </c>
      <c r="D85" s="35"/>
      <c r="E85" s="34"/>
      <c r="F85" s="59"/>
      <c r="G85" s="59"/>
      <c r="H85" s="181">
        <f t="shared" si="2"/>
        <v>0</v>
      </c>
      <c r="I85" s="181">
        <f t="shared" si="3"/>
        <v>0</v>
      </c>
      <c r="J85" s="61" t="str">
        <f>IF($A85="","",SUM($H$8:H85)-SUM($I$8:I85))</f>
        <v/>
      </c>
      <c r="K85" s="59"/>
    </row>
    <row r="86" spans="1:11" x14ac:dyDescent="0.2">
      <c r="A86" s="44"/>
      <c r="B86" s="466"/>
      <c r="C86" s="468" t="str">
        <f>IF(B86="","",VLOOKUP(B86,'Clients-Live'!$A:$C,3,0))</f>
        <v/>
      </c>
      <c r="D86" s="35"/>
      <c r="E86" s="34"/>
      <c r="F86" s="59"/>
      <c r="G86" s="59"/>
      <c r="H86" s="181">
        <f t="shared" si="2"/>
        <v>0</v>
      </c>
      <c r="I86" s="181">
        <f t="shared" si="3"/>
        <v>0</v>
      </c>
      <c r="J86" s="61" t="str">
        <f>IF($A86="","",SUM($H$8:H86)-SUM($I$8:I86))</f>
        <v/>
      </c>
      <c r="K86" s="59"/>
    </row>
    <row r="87" spans="1:11" x14ac:dyDescent="0.2">
      <c r="A87" s="44"/>
      <c r="B87" s="466"/>
      <c r="C87" s="468" t="str">
        <f>IF(B87="","",VLOOKUP(B87,'Clients-Live'!$A:$C,3,0))</f>
        <v/>
      </c>
      <c r="D87" s="35"/>
      <c r="E87" s="34"/>
      <c r="F87" s="59"/>
      <c r="G87" s="59"/>
      <c r="H87" s="181">
        <f t="shared" si="2"/>
        <v>0</v>
      </c>
      <c r="I87" s="181">
        <f t="shared" si="3"/>
        <v>0</v>
      </c>
      <c r="J87" s="61" t="str">
        <f>IF($A87="","",SUM($H$8:H87)-SUM($I$8:I87))</f>
        <v/>
      </c>
      <c r="K87" s="59"/>
    </row>
    <row r="88" spans="1:11" x14ac:dyDescent="0.2">
      <c r="A88" s="44"/>
      <c r="B88" s="466"/>
      <c r="C88" s="468" t="str">
        <f>IF(B88="","",VLOOKUP(B88,'Clients-Live'!$A:$C,3,0))</f>
        <v/>
      </c>
      <c r="D88" s="35"/>
      <c r="E88" s="34"/>
      <c r="F88" s="59"/>
      <c r="G88" s="59"/>
      <c r="H88" s="181">
        <f t="shared" si="2"/>
        <v>0</v>
      </c>
      <c r="I88" s="181">
        <f t="shared" si="3"/>
        <v>0</v>
      </c>
      <c r="J88" s="61" t="str">
        <f>IF($A88="","",SUM($H$8:H88)-SUM($I$8:I88))</f>
        <v/>
      </c>
      <c r="K88" s="59"/>
    </row>
    <row r="89" spans="1:11" x14ac:dyDescent="0.2">
      <c r="A89" s="44"/>
      <c r="B89" s="466"/>
      <c r="C89" s="468" t="str">
        <f>IF(B89="","",VLOOKUP(B89,'Clients-Live'!$A:$C,3,0))</f>
        <v/>
      </c>
      <c r="D89" s="35"/>
      <c r="E89" s="34"/>
      <c r="F89" s="59"/>
      <c r="G89" s="59"/>
      <c r="H89" s="181">
        <f t="shared" si="2"/>
        <v>0</v>
      </c>
      <c r="I89" s="181">
        <f t="shared" si="3"/>
        <v>0</v>
      </c>
      <c r="J89" s="61" t="str">
        <f>IF($A89="","",SUM($H$8:H89)-SUM($I$8:I89))</f>
        <v/>
      </c>
      <c r="K89" s="59"/>
    </row>
    <row r="90" spans="1:11" x14ac:dyDescent="0.2">
      <c r="A90" s="44"/>
      <c r="B90" s="466"/>
      <c r="C90" s="468" t="str">
        <f>IF(B90="","",VLOOKUP(B90,'Clients-Live'!$A:$C,3,0))</f>
        <v/>
      </c>
      <c r="D90" s="35"/>
      <c r="E90" s="35"/>
      <c r="F90" s="59"/>
      <c r="G90" s="59"/>
      <c r="H90" s="181">
        <f t="shared" si="2"/>
        <v>0</v>
      </c>
      <c r="I90" s="181">
        <f t="shared" si="3"/>
        <v>0</v>
      </c>
      <c r="J90" s="61" t="str">
        <f>IF($A90="","",SUM($H$8:H90)-SUM($I$8:I90))</f>
        <v/>
      </c>
      <c r="K90" s="59"/>
    </row>
    <row r="91" spans="1:11" x14ac:dyDescent="0.2">
      <c r="A91" s="44"/>
      <c r="B91" s="466"/>
      <c r="C91" s="468" t="str">
        <f>IF(B91="","",VLOOKUP(B91,'Clients-Live'!$A:$C,3,0))</f>
        <v/>
      </c>
      <c r="D91" s="35"/>
      <c r="E91" s="34"/>
      <c r="F91" s="59"/>
      <c r="G91" s="59"/>
      <c r="H91" s="181">
        <f t="shared" si="2"/>
        <v>0</v>
      </c>
      <c r="I91" s="181">
        <f t="shared" si="3"/>
        <v>0</v>
      </c>
      <c r="J91" s="61" t="str">
        <f>IF($A91="","",SUM($H$8:H91)-SUM($I$8:I91))</f>
        <v/>
      </c>
      <c r="K91" s="59"/>
    </row>
    <row r="92" spans="1:11" x14ac:dyDescent="0.2">
      <c r="A92" s="44"/>
      <c r="B92" s="466"/>
      <c r="C92" s="468" t="str">
        <f>IF(B92="","",VLOOKUP(B92,'Clients-Live'!$A:$C,3,0))</f>
        <v/>
      </c>
      <c r="D92" s="35"/>
      <c r="E92" s="34"/>
      <c r="F92" s="59"/>
      <c r="G92" s="59"/>
      <c r="H92" s="181">
        <f t="shared" si="2"/>
        <v>0</v>
      </c>
      <c r="I92" s="181">
        <f t="shared" si="3"/>
        <v>0</v>
      </c>
      <c r="J92" s="61" t="str">
        <f>IF($A92="","",SUM($H$8:H92)-SUM($I$8:I92))</f>
        <v/>
      </c>
      <c r="K92" s="59"/>
    </row>
    <row r="93" spans="1:11" x14ac:dyDescent="0.2">
      <c r="A93" s="44"/>
      <c r="B93" s="466"/>
      <c r="C93" s="468" t="str">
        <f>IF(B93="","",VLOOKUP(B93,'Clients-Live'!$A:$C,3,0))</f>
        <v/>
      </c>
      <c r="D93" s="35"/>
      <c r="E93" s="35"/>
      <c r="F93" s="59"/>
      <c r="G93" s="59"/>
      <c r="H93" s="181">
        <f t="shared" si="2"/>
        <v>0</v>
      </c>
      <c r="I93" s="181">
        <f t="shared" si="3"/>
        <v>0</v>
      </c>
      <c r="J93" s="61" t="str">
        <f>IF($A93="","",SUM($H$8:H93)-SUM($I$8:I93))</f>
        <v/>
      </c>
      <c r="K93" s="59"/>
    </row>
    <row r="94" spans="1:11" x14ac:dyDescent="0.2">
      <c r="A94" s="44"/>
      <c r="B94" s="466"/>
      <c r="C94" s="468" t="str">
        <f>IF(B94="","",VLOOKUP(B94,'Clients-Live'!$A:$C,3,0))</f>
        <v/>
      </c>
      <c r="D94" s="35"/>
      <c r="E94" s="34"/>
      <c r="F94" s="59"/>
      <c r="G94" s="59"/>
      <c r="H94" s="181">
        <f t="shared" si="2"/>
        <v>0</v>
      </c>
      <c r="I94" s="181">
        <f t="shared" si="3"/>
        <v>0</v>
      </c>
      <c r="J94" s="61" t="str">
        <f>IF($A94="","",SUM($H$8:H94)-SUM($I$8:I94))</f>
        <v/>
      </c>
      <c r="K94" s="59"/>
    </row>
    <row r="95" spans="1:11" x14ac:dyDescent="0.2">
      <c r="A95" s="44"/>
      <c r="B95" s="466"/>
      <c r="C95" s="468" t="str">
        <f>IF(B95="","",VLOOKUP(B95,'Clients-Live'!$A:$C,3,0))</f>
        <v/>
      </c>
      <c r="D95" s="35"/>
      <c r="E95" s="34"/>
      <c r="F95" s="59"/>
      <c r="G95" s="59"/>
      <c r="H95" s="181">
        <f t="shared" si="2"/>
        <v>0</v>
      </c>
      <c r="I95" s="181">
        <f t="shared" si="3"/>
        <v>0</v>
      </c>
      <c r="J95" s="61" t="str">
        <f>IF($A95="","",SUM($H$8:H95)-SUM($I$8:I95))</f>
        <v/>
      </c>
      <c r="K95" s="59"/>
    </row>
    <row r="96" spans="1:11" x14ac:dyDescent="0.2">
      <c r="A96" s="44"/>
      <c r="B96" s="466"/>
      <c r="C96" s="468" t="str">
        <f>IF(B96="","",VLOOKUP(B96,'Clients-Live'!$A:$C,3,0))</f>
        <v/>
      </c>
      <c r="D96" s="35"/>
      <c r="E96" s="34"/>
      <c r="F96" s="59"/>
      <c r="G96" s="59"/>
      <c r="H96" s="181">
        <f t="shared" si="2"/>
        <v>0</v>
      </c>
      <c r="I96" s="181">
        <f t="shared" si="3"/>
        <v>0</v>
      </c>
      <c r="J96" s="61" t="str">
        <f>IF($A96="","",SUM($H$8:H96)-SUM($I$8:I96))</f>
        <v/>
      </c>
      <c r="K96" s="59"/>
    </row>
    <row r="97" spans="1:11" x14ac:dyDescent="0.2">
      <c r="A97" s="44"/>
      <c r="B97" s="466"/>
      <c r="C97" s="468" t="str">
        <f>IF(B97="","",VLOOKUP(B97,'Clients-Live'!$A:$C,3,0))</f>
        <v/>
      </c>
      <c r="D97" s="35"/>
      <c r="E97" s="34"/>
      <c r="F97" s="59"/>
      <c r="G97" s="59"/>
      <c r="H97" s="181">
        <f t="shared" si="2"/>
        <v>0</v>
      </c>
      <c r="I97" s="181">
        <f t="shared" si="3"/>
        <v>0</v>
      </c>
      <c r="J97" s="61" t="str">
        <f>IF($A97="","",SUM($H$8:H97)-SUM($I$8:I97))</f>
        <v/>
      </c>
      <c r="K97" s="59"/>
    </row>
    <row r="98" spans="1:11" x14ac:dyDescent="0.2">
      <c r="A98" s="44"/>
      <c r="B98" s="466"/>
      <c r="C98" s="468" t="str">
        <f>IF(B98="","",VLOOKUP(B98,'Clients-Live'!$A:$C,3,0))</f>
        <v/>
      </c>
      <c r="D98" s="35"/>
      <c r="E98" s="35"/>
      <c r="F98" s="59"/>
      <c r="G98" s="59"/>
      <c r="H98" s="181">
        <f t="shared" si="2"/>
        <v>0</v>
      </c>
      <c r="I98" s="181">
        <f t="shared" si="3"/>
        <v>0</v>
      </c>
      <c r="J98" s="61" t="str">
        <f>IF($A98="","",SUM($H$8:H98)-SUM($I$8:I98))</f>
        <v/>
      </c>
      <c r="K98" s="59"/>
    </row>
    <row r="99" spans="1:11" x14ac:dyDescent="0.2">
      <c r="A99" s="44"/>
      <c r="B99" s="466"/>
      <c r="C99" s="468" t="str">
        <f>IF(B99="","",VLOOKUP(B99,'Clients-Live'!$A:$C,3,0))</f>
        <v/>
      </c>
      <c r="D99" s="35"/>
      <c r="E99" s="34"/>
      <c r="F99" s="59"/>
      <c r="G99" s="59"/>
      <c r="H99" s="181">
        <f t="shared" si="2"/>
        <v>0</v>
      </c>
      <c r="I99" s="181">
        <f t="shared" si="3"/>
        <v>0</v>
      </c>
      <c r="J99" s="61" t="str">
        <f>IF($A99="","",SUM($H$8:H99)-SUM($I$8:I99))</f>
        <v/>
      </c>
      <c r="K99" s="59"/>
    </row>
    <row r="100" spans="1:11" x14ac:dyDescent="0.2">
      <c r="A100" s="44"/>
      <c r="B100" s="466"/>
      <c r="C100" s="468" t="str">
        <f>IF(B100="","",VLOOKUP(B100,'Clients-Live'!$A:$C,3,0))</f>
        <v/>
      </c>
      <c r="D100" s="35"/>
      <c r="E100" s="34"/>
      <c r="F100" s="59"/>
      <c r="G100" s="59"/>
      <c r="H100" s="181">
        <f t="shared" si="2"/>
        <v>0</v>
      </c>
      <c r="I100" s="181">
        <f t="shared" si="3"/>
        <v>0</v>
      </c>
      <c r="J100" s="61" t="str">
        <f>IF($A100="","",SUM($H$8:H100)-SUM($I$8:I100))</f>
        <v/>
      </c>
      <c r="K100" s="59"/>
    </row>
    <row r="101" spans="1:11" x14ac:dyDescent="0.2">
      <c r="A101" s="44"/>
      <c r="B101" s="466"/>
      <c r="C101" s="468" t="str">
        <f>IF(B101="","",VLOOKUP(B101,'Clients-Live'!$A:$C,3,0))</f>
        <v/>
      </c>
      <c r="D101" s="35"/>
      <c r="E101" s="35"/>
      <c r="F101" s="59"/>
      <c r="G101" s="59"/>
      <c r="H101" s="181">
        <f t="shared" si="2"/>
        <v>0</v>
      </c>
      <c r="I101" s="181">
        <f t="shared" si="3"/>
        <v>0</v>
      </c>
      <c r="J101" s="61" t="str">
        <f>IF($A101="","",SUM($H$8:H101)-SUM($I$8:I101))</f>
        <v/>
      </c>
      <c r="K101" s="59"/>
    </row>
    <row r="102" spans="1:11" x14ac:dyDescent="0.2">
      <c r="A102" s="44"/>
      <c r="B102" s="466"/>
      <c r="C102" s="468" t="str">
        <f>IF(B102="","",VLOOKUP(B102,'Clients-Live'!$A:$C,3,0))</f>
        <v/>
      </c>
      <c r="D102" s="35"/>
      <c r="E102" s="34"/>
      <c r="F102" s="59"/>
      <c r="G102" s="59"/>
      <c r="H102" s="181">
        <f t="shared" si="2"/>
        <v>0</v>
      </c>
      <c r="I102" s="181">
        <f t="shared" si="3"/>
        <v>0</v>
      </c>
      <c r="J102" s="61" t="str">
        <f>IF($A102="","",SUM($H$8:H102)-SUM($I$8:I102))</f>
        <v/>
      </c>
      <c r="K102" s="59"/>
    </row>
    <row r="103" spans="1:11" x14ac:dyDescent="0.2">
      <c r="A103" s="44"/>
      <c r="B103" s="466"/>
      <c r="C103" s="468" t="str">
        <f>IF(B103="","",VLOOKUP(B103,'Clients-Live'!$A:$C,3,0))</f>
        <v/>
      </c>
      <c r="D103" s="35"/>
      <c r="E103" s="34"/>
      <c r="F103" s="59"/>
      <c r="G103" s="59"/>
      <c r="H103" s="181">
        <f t="shared" si="2"/>
        <v>0</v>
      </c>
      <c r="I103" s="181">
        <f t="shared" si="3"/>
        <v>0</v>
      </c>
      <c r="J103" s="61" t="str">
        <f>IF($A103="","",SUM($H$8:H103)-SUM($I$8:I103))</f>
        <v/>
      </c>
      <c r="K103" s="59"/>
    </row>
    <row r="104" spans="1:11" x14ac:dyDescent="0.2">
      <c r="A104" s="44"/>
      <c r="B104" s="466"/>
      <c r="C104" s="468" t="str">
        <f>IF(B104="","",VLOOKUP(B104,'Clients-Live'!$A:$C,3,0))</f>
        <v/>
      </c>
      <c r="D104" s="35"/>
      <c r="E104" s="35"/>
      <c r="F104" s="59"/>
      <c r="G104" s="59"/>
      <c r="H104" s="181">
        <f t="shared" si="2"/>
        <v>0</v>
      </c>
      <c r="I104" s="181">
        <f t="shared" si="3"/>
        <v>0</v>
      </c>
      <c r="J104" s="61" t="str">
        <f>IF($A104="","",SUM($H$8:H104)-SUM($I$8:I104))</f>
        <v/>
      </c>
      <c r="K104" s="59"/>
    </row>
    <row r="105" spans="1:11" x14ac:dyDescent="0.2">
      <c r="A105" s="44"/>
      <c r="B105" s="466"/>
      <c r="C105" s="468" t="str">
        <f>IF(B105="","",VLOOKUP(B105,'Clients-Live'!$A:$C,3,0))</f>
        <v/>
      </c>
      <c r="D105" s="35"/>
      <c r="E105" s="34"/>
      <c r="F105" s="59"/>
      <c r="G105" s="59"/>
      <c r="H105" s="181">
        <f t="shared" si="2"/>
        <v>0</v>
      </c>
      <c r="I105" s="181">
        <f t="shared" si="3"/>
        <v>0</v>
      </c>
      <c r="J105" s="61" t="str">
        <f>IF($A105="","",SUM($H$8:H105)-SUM($I$8:I105))</f>
        <v/>
      </c>
      <c r="K105" s="59"/>
    </row>
    <row r="106" spans="1:11" x14ac:dyDescent="0.2">
      <c r="A106" s="44"/>
      <c r="B106" s="466"/>
      <c r="C106" s="468" t="str">
        <f>IF(B106="","",VLOOKUP(B106,'Clients-Live'!$A:$C,3,0))</f>
        <v/>
      </c>
      <c r="D106" s="35"/>
      <c r="E106" s="34"/>
      <c r="F106" s="59"/>
      <c r="G106" s="59"/>
      <c r="H106" s="181">
        <f t="shared" si="2"/>
        <v>0</v>
      </c>
      <c r="I106" s="181">
        <f t="shared" si="3"/>
        <v>0</v>
      </c>
      <c r="J106" s="61" t="str">
        <f>IF($A106="","",SUM($H$8:H106)-SUM($I$8:I106))</f>
        <v/>
      </c>
      <c r="K106" s="59"/>
    </row>
    <row r="107" spans="1:11" x14ac:dyDescent="0.2">
      <c r="A107" s="44"/>
      <c r="B107" s="466"/>
      <c r="C107" s="468" t="str">
        <f>IF(B107="","",VLOOKUP(B107,'Clients-Live'!$A:$C,3,0))</f>
        <v/>
      </c>
      <c r="D107" s="35"/>
      <c r="E107" s="34"/>
      <c r="F107" s="59"/>
      <c r="G107" s="59"/>
      <c r="H107" s="181">
        <f t="shared" si="2"/>
        <v>0</v>
      </c>
      <c r="I107" s="181">
        <f t="shared" si="3"/>
        <v>0</v>
      </c>
      <c r="J107" s="61" t="str">
        <f>IF($A107="","",SUM($H$8:H107)-SUM($I$8:I107))</f>
        <v/>
      </c>
      <c r="K107" s="59"/>
    </row>
    <row r="108" spans="1:11" x14ac:dyDescent="0.2">
      <c r="A108" s="44"/>
      <c r="B108" s="466"/>
      <c r="C108" s="468" t="str">
        <f>IF(B108="","",VLOOKUP(B108,'Clients-Live'!$A:$C,3,0))</f>
        <v/>
      </c>
      <c r="D108" s="35"/>
      <c r="E108" s="34"/>
      <c r="F108" s="59"/>
      <c r="G108" s="59"/>
      <c r="H108" s="181">
        <f t="shared" si="2"/>
        <v>0</v>
      </c>
      <c r="I108" s="181">
        <f t="shared" si="3"/>
        <v>0</v>
      </c>
      <c r="J108" s="61" t="str">
        <f>IF($A108="","",SUM($H$8:H108)-SUM($I$8:I108))</f>
        <v/>
      </c>
      <c r="K108" s="59"/>
    </row>
    <row r="109" spans="1:11" x14ac:dyDescent="0.2">
      <c r="A109" s="44"/>
      <c r="B109" s="466"/>
      <c r="C109" s="468" t="str">
        <f>IF(B109="","",VLOOKUP(B109,'Clients-Live'!$A:$C,3,0))</f>
        <v/>
      </c>
      <c r="D109" s="35"/>
      <c r="E109" s="34"/>
      <c r="F109" s="59"/>
      <c r="G109" s="59"/>
      <c r="H109" s="181">
        <f t="shared" si="2"/>
        <v>0</v>
      </c>
      <c r="I109" s="181">
        <f t="shared" si="3"/>
        <v>0</v>
      </c>
      <c r="J109" s="61" t="str">
        <f>IF($A109="","",SUM($H$8:H109)-SUM($I$8:I109))</f>
        <v/>
      </c>
      <c r="K109" s="59"/>
    </row>
    <row r="110" spans="1:11" x14ac:dyDescent="0.2">
      <c r="A110" s="44"/>
      <c r="B110" s="466"/>
      <c r="C110" s="468" t="str">
        <f>IF(B110="","",VLOOKUP(B110,'Clients-Live'!$A:$C,3,0))</f>
        <v/>
      </c>
      <c r="D110" s="35"/>
      <c r="E110" s="34"/>
      <c r="F110" s="59"/>
      <c r="G110" s="59"/>
      <c r="H110" s="181">
        <f t="shared" si="2"/>
        <v>0</v>
      </c>
      <c r="I110" s="181">
        <f t="shared" si="3"/>
        <v>0</v>
      </c>
      <c r="J110" s="61" t="str">
        <f>IF($A110="","",SUM($H$8:H110)-SUM($I$8:I110))</f>
        <v/>
      </c>
      <c r="K110" s="59"/>
    </row>
    <row r="111" spans="1:11" x14ac:dyDescent="0.2">
      <c r="A111" s="44"/>
      <c r="B111" s="466"/>
      <c r="C111" s="468" t="str">
        <f>IF(B111="","",VLOOKUP(B111,'Clients-Live'!$A:$C,3,0))</f>
        <v/>
      </c>
      <c r="D111" s="35"/>
      <c r="E111" s="34"/>
      <c r="F111" s="59"/>
      <c r="G111" s="59"/>
      <c r="H111" s="181">
        <f t="shared" si="2"/>
        <v>0</v>
      </c>
      <c r="I111" s="181">
        <f t="shared" si="3"/>
        <v>0</v>
      </c>
      <c r="J111" s="61" t="str">
        <f>IF($A111="","",SUM($H$8:H111)-SUM($I$8:I111))</f>
        <v/>
      </c>
      <c r="K111" s="59"/>
    </row>
    <row r="112" spans="1:11" x14ac:dyDescent="0.2">
      <c r="A112" s="44"/>
      <c r="B112" s="466"/>
      <c r="C112" s="468" t="str">
        <f>IF(B112="","",VLOOKUP(B112,'Clients-Live'!$A:$C,3,0))</f>
        <v/>
      </c>
      <c r="D112" s="35"/>
      <c r="E112" s="34"/>
      <c r="F112" s="59"/>
      <c r="G112" s="59"/>
      <c r="H112" s="181">
        <f t="shared" si="2"/>
        <v>0</v>
      </c>
      <c r="I112" s="181">
        <f t="shared" si="3"/>
        <v>0</v>
      </c>
      <c r="J112" s="61" t="str">
        <f>IF($A112="","",SUM($H$8:H112)-SUM($I$8:I112))</f>
        <v/>
      </c>
      <c r="K112" s="59"/>
    </row>
    <row r="113" spans="1:11" x14ac:dyDescent="0.2">
      <c r="A113" s="44"/>
      <c r="B113" s="466"/>
      <c r="C113" s="468" t="str">
        <f>IF(B113="","",VLOOKUP(B113,'Clients-Live'!$A:$C,3,0))</f>
        <v/>
      </c>
      <c r="D113" s="35"/>
      <c r="E113" s="34"/>
      <c r="F113" s="59"/>
      <c r="G113" s="59"/>
      <c r="H113" s="181">
        <f t="shared" si="2"/>
        <v>0</v>
      </c>
      <c r="I113" s="181">
        <f t="shared" si="3"/>
        <v>0</v>
      </c>
      <c r="J113" s="61" t="str">
        <f>IF($A113="","",SUM($H$8:H113)-SUM($I$8:I113))</f>
        <v/>
      </c>
      <c r="K113" s="59"/>
    </row>
    <row r="114" spans="1:11" x14ac:dyDescent="0.2">
      <c r="A114" s="44"/>
      <c r="B114" s="466"/>
      <c r="C114" s="468" t="str">
        <f>IF(B114="","",VLOOKUP(B114,'Clients-Live'!$A:$C,3,0))</f>
        <v/>
      </c>
      <c r="D114" s="35"/>
      <c r="E114" s="34"/>
      <c r="F114" s="59"/>
      <c r="G114" s="59"/>
      <c r="H114" s="181">
        <f t="shared" si="2"/>
        <v>0</v>
      </c>
      <c r="I114" s="181">
        <f t="shared" si="3"/>
        <v>0</v>
      </c>
      <c r="J114" s="61" t="str">
        <f>IF($A114="","",SUM($H$8:H114)-SUM($I$8:I114))</f>
        <v/>
      </c>
      <c r="K114" s="59"/>
    </row>
    <row r="115" spans="1:11" x14ac:dyDescent="0.2">
      <c r="A115" s="44"/>
      <c r="B115" s="466"/>
      <c r="C115" s="468" t="str">
        <f>IF(B115="","",VLOOKUP(B115,'Clients-Live'!$A:$C,3,0))</f>
        <v/>
      </c>
      <c r="D115" s="35"/>
      <c r="E115" s="34"/>
      <c r="F115" s="59"/>
      <c r="G115" s="59"/>
      <c r="H115" s="181">
        <f t="shared" si="2"/>
        <v>0</v>
      </c>
      <c r="I115" s="181">
        <f t="shared" si="3"/>
        <v>0</v>
      </c>
      <c r="J115" s="61" t="str">
        <f>IF($A115="","",SUM($H$8:H115)-SUM($I$8:I115))</f>
        <v/>
      </c>
      <c r="K115" s="59"/>
    </row>
    <row r="116" spans="1:11" x14ac:dyDescent="0.2">
      <c r="A116" s="44"/>
      <c r="B116" s="466"/>
      <c r="C116" s="468" t="str">
        <f>IF(B116="","",VLOOKUP(B116,'Clients-Live'!$A:$C,3,0))</f>
        <v/>
      </c>
      <c r="D116" s="35"/>
      <c r="E116" s="34"/>
      <c r="F116" s="59"/>
      <c r="G116" s="59"/>
      <c r="H116" s="181">
        <f t="shared" si="2"/>
        <v>0</v>
      </c>
      <c r="I116" s="181">
        <f t="shared" si="3"/>
        <v>0</v>
      </c>
      <c r="J116" s="61" t="str">
        <f>IF($A116="","",SUM($H$8:H116)-SUM($I$8:I116))</f>
        <v/>
      </c>
      <c r="K116" s="59"/>
    </row>
    <row r="117" spans="1:11" x14ac:dyDescent="0.2">
      <c r="A117" s="44"/>
      <c r="B117" s="466"/>
      <c r="C117" s="468" t="str">
        <f>IF(B117="","",VLOOKUP(B117,'Clients-Live'!$A:$C,3,0))</f>
        <v/>
      </c>
      <c r="D117" s="35"/>
      <c r="E117" s="34"/>
      <c r="F117" s="59"/>
      <c r="G117" s="59"/>
      <c r="H117" s="181">
        <f t="shared" si="2"/>
        <v>0</v>
      </c>
      <c r="I117" s="181">
        <f t="shared" si="3"/>
        <v>0</v>
      </c>
      <c r="J117" s="61" t="str">
        <f>IF($A117="","",SUM($H$8:H117)-SUM($I$8:I117))</f>
        <v/>
      </c>
      <c r="K117" s="59"/>
    </row>
    <row r="118" spans="1:11" x14ac:dyDescent="0.2">
      <c r="A118" s="44"/>
      <c r="B118" s="466"/>
      <c r="C118" s="468" t="str">
        <f>IF(B118="","",VLOOKUP(B118,'Clients-Live'!$A:$C,3,0))</f>
        <v/>
      </c>
      <c r="D118" s="35"/>
      <c r="E118" s="34"/>
      <c r="F118" s="59"/>
      <c r="G118" s="59"/>
      <c r="H118" s="181">
        <f t="shared" si="2"/>
        <v>0</v>
      </c>
      <c r="I118" s="181">
        <f t="shared" si="3"/>
        <v>0</v>
      </c>
      <c r="J118" s="61" t="str">
        <f>IF($A118="","",SUM($H$8:H118)-SUM($I$8:I118))</f>
        <v/>
      </c>
      <c r="K118" s="59"/>
    </row>
    <row r="119" spans="1:11" x14ac:dyDescent="0.2">
      <c r="A119" s="44"/>
      <c r="B119" s="466"/>
      <c r="C119" s="468" t="str">
        <f>IF(B119="","",VLOOKUP(B119,'Clients-Live'!$A:$C,3,0))</f>
        <v/>
      </c>
      <c r="D119" s="35"/>
      <c r="E119" s="34"/>
      <c r="F119" s="59"/>
      <c r="G119" s="59"/>
      <c r="H119" s="181">
        <f t="shared" si="2"/>
        <v>0</v>
      </c>
      <c r="I119" s="181">
        <f t="shared" si="3"/>
        <v>0</v>
      </c>
      <c r="J119" s="61" t="str">
        <f>IF($A119="","",SUM($H$8:H119)-SUM($I$8:I119))</f>
        <v/>
      </c>
      <c r="K119" s="59"/>
    </row>
    <row r="120" spans="1:11" x14ac:dyDescent="0.2">
      <c r="A120" s="44"/>
      <c r="B120" s="466"/>
      <c r="C120" s="468" t="str">
        <f>IF(B120="","",VLOOKUP(B120,'Clients-Live'!$A:$C,3,0))</f>
        <v/>
      </c>
      <c r="D120" s="35"/>
      <c r="E120" s="34"/>
      <c r="F120" s="59"/>
      <c r="G120" s="59"/>
      <c r="H120" s="181">
        <f t="shared" si="2"/>
        <v>0</v>
      </c>
      <c r="I120" s="181">
        <f t="shared" si="3"/>
        <v>0</v>
      </c>
      <c r="J120" s="61" t="str">
        <f>IF($A120="","",SUM($H$8:H120)-SUM($I$8:I120))</f>
        <v/>
      </c>
      <c r="K120" s="59"/>
    </row>
    <row r="121" spans="1:11" x14ac:dyDescent="0.2">
      <c r="A121" s="44"/>
      <c r="B121" s="466"/>
      <c r="C121" s="468" t="str">
        <f>IF(B121="","",VLOOKUP(B121,'Clients-Live'!$A:$C,3,0))</f>
        <v/>
      </c>
      <c r="D121" s="35"/>
      <c r="E121" s="34"/>
      <c r="F121" s="59"/>
      <c r="G121" s="59"/>
      <c r="H121" s="181">
        <f t="shared" si="2"/>
        <v>0</v>
      </c>
      <c r="I121" s="181">
        <f t="shared" si="3"/>
        <v>0</v>
      </c>
      <c r="J121" s="61" t="str">
        <f>IF($A121="","",SUM($H$8:H121)-SUM($I$8:I121))</f>
        <v/>
      </c>
      <c r="K121" s="59"/>
    </row>
    <row r="122" spans="1:11" x14ac:dyDescent="0.2">
      <c r="A122" s="44"/>
      <c r="B122" s="466"/>
      <c r="C122" s="468" t="str">
        <f>IF(B122="","",VLOOKUP(B122,'Clients-Live'!$A:$C,3,0))</f>
        <v/>
      </c>
      <c r="D122" s="35"/>
      <c r="E122" s="34"/>
      <c r="F122" s="59"/>
      <c r="G122" s="59"/>
      <c r="H122" s="181">
        <f t="shared" si="2"/>
        <v>0</v>
      </c>
      <c r="I122" s="181">
        <f t="shared" si="3"/>
        <v>0</v>
      </c>
      <c r="J122" s="61" t="str">
        <f>IF($A122="","",SUM($H$8:H122)-SUM($I$8:I122))</f>
        <v/>
      </c>
      <c r="K122" s="59"/>
    </row>
    <row r="123" spans="1:11" x14ac:dyDescent="0.2">
      <c r="A123" s="44"/>
      <c r="B123" s="466"/>
      <c r="C123" s="468" t="str">
        <f>IF(B123="","",VLOOKUP(B123,'Clients-Live'!$A:$C,3,0))</f>
        <v/>
      </c>
      <c r="D123" s="35"/>
      <c r="E123" s="34"/>
      <c r="F123" s="59"/>
      <c r="G123" s="59"/>
      <c r="H123" s="181">
        <f t="shared" si="2"/>
        <v>0</v>
      </c>
      <c r="I123" s="181">
        <f t="shared" si="3"/>
        <v>0</v>
      </c>
      <c r="J123" s="61" t="str">
        <f>IF($A123="","",SUM($H$8:H123)-SUM($I$8:I123))</f>
        <v/>
      </c>
      <c r="K123" s="59"/>
    </row>
    <row r="124" spans="1:11" x14ac:dyDescent="0.2">
      <c r="A124" s="44"/>
      <c r="B124" s="466"/>
      <c r="C124" s="468" t="str">
        <f>IF(B124="","",VLOOKUP(B124,'Clients-Live'!$A:$C,3,0))</f>
        <v/>
      </c>
      <c r="D124" s="35"/>
      <c r="E124" s="34"/>
      <c r="F124" s="59"/>
      <c r="G124" s="59"/>
      <c r="H124" s="181">
        <f t="shared" si="2"/>
        <v>0</v>
      </c>
      <c r="I124" s="181">
        <f t="shared" si="3"/>
        <v>0</v>
      </c>
      <c r="J124" s="61" t="str">
        <f>IF($A124="","",SUM($H$8:H124)-SUM($I$8:I124))</f>
        <v/>
      </c>
      <c r="K124" s="59"/>
    </row>
    <row r="125" spans="1:11" x14ac:dyDescent="0.2">
      <c r="A125" s="44"/>
      <c r="B125" s="466"/>
      <c r="C125" s="468" t="str">
        <f>IF(B125="","",VLOOKUP(B125,'Clients-Live'!$A:$C,3,0))</f>
        <v/>
      </c>
      <c r="D125" s="35"/>
      <c r="E125" s="34"/>
      <c r="F125" s="59"/>
      <c r="G125" s="59"/>
      <c r="H125" s="181">
        <f t="shared" si="2"/>
        <v>0</v>
      </c>
      <c r="I125" s="181">
        <f t="shared" si="3"/>
        <v>0</v>
      </c>
      <c r="J125" s="61" t="str">
        <f>IF($A125="","",SUM($H$8:H125)-SUM($I$8:I125))</f>
        <v/>
      </c>
      <c r="K125" s="59"/>
    </row>
    <row r="126" spans="1:11" x14ac:dyDescent="0.2">
      <c r="A126" s="44"/>
      <c r="B126" s="466"/>
      <c r="C126" s="468" t="str">
        <f>IF(B126="","",VLOOKUP(B126,'Clients-Live'!$A:$C,3,0))</f>
        <v/>
      </c>
      <c r="D126" s="35"/>
      <c r="E126" s="34"/>
      <c r="F126" s="59"/>
      <c r="G126" s="59"/>
      <c r="H126" s="181">
        <f t="shared" si="2"/>
        <v>0</v>
      </c>
      <c r="I126" s="181">
        <f t="shared" si="3"/>
        <v>0</v>
      </c>
      <c r="J126" s="61" t="str">
        <f>IF($A126="","",SUM($H$8:H126)-SUM($I$8:I126))</f>
        <v/>
      </c>
      <c r="K126" s="59"/>
    </row>
    <row r="127" spans="1:11" x14ac:dyDescent="0.2">
      <c r="A127" s="44"/>
      <c r="B127" s="466"/>
      <c r="C127" s="468" t="str">
        <f>IF(B127="","",VLOOKUP(B127,'Clients-Live'!$A:$C,3,0))</f>
        <v/>
      </c>
      <c r="D127" s="35"/>
      <c r="E127" s="34"/>
      <c r="F127" s="59"/>
      <c r="G127" s="59"/>
      <c r="H127" s="181">
        <f t="shared" si="2"/>
        <v>0</v>
      </c>
      <c r="I127" s="181">
        <f t="shared" si="3"/>
        <v>0</v>
      </c>
      <c r="J127" s="61" t="str">
        <f>IF($A127="","",SUM($H$8:H127)-SUM($I$8:I127))</f>
        <v/>
      </c>
      <c r="K127" s="59"/>
    </row>
    <row r="128" spans="1:11" x14ac:dyDescent="0.2">
      <c r="A128" s="44"/>
      <c r="B128" s="466"/>
      <c r="C128" s="468" t="str">
        <f>IF(B128="","",VLOOKUP(B128,'Clients-Live'!$A:$C,3,0))</f>
        <v/>
      </c>
      <c r="D128" s="35"/>
      <c r="E128" s="34"/>
      <c r="F128" s="59"/>
      <c r="G128" s="59"/>
      <c r="H128" s="181">
        <f t="shared" si="2"/>
        <v>0</v>
      </c>
      <c r="I128" s="181">
        <f t="shared" si="3"/>
        <v>0</v>
      </c>
      <c r="J128" s="61" t="str">
        <f>IF($A128="","",SUM($H$8:H128)-SUM($I$8:I128))</f>
        <v/>
      </c>
      <c r="K128" s="59"/>
    </row>
    <row r="129" spans="1:11" x14ac:dyDescent="0.2">
      <c r="A129" s="44"/>
      <c r="B129" s="466"/>
      <c r="C129" s="468" t="str">
        <f>IF(B129="","",VLOOKUP(B129,'Clients-Live'!$A:$C,3,0))</f>
        <v/>
      </c>
      <c r="D129" s="35"/>
      <c r="E129" s="34"/>
      <c r="F129" s="59"/>
      <c r="G129" s="59"/>
      <c r="H129" s="181">
        <f t="shared" si="2"/>
        <v>0</v>
      </c>
      <c r="I129" s="181">
        <f t="shared" si="3"/>
        <v>0</v>
      </c>
      <c r="J129" s="61" t="str">
        <f>IF($A129="","",SUM($H$8:H129)-SUM($I$8:I129))</f>
        <v/>
      </c>
      <c r="K129" s="59"/>
    </row>
    <row r="130" spans="1:11" x14ac:dyDescent="0.2">
      <c r="A130" s="44"/>
      <c r="B130" s="466"/>
      <c r="C130" s="468" t="str">
        <f>IF(B130="","",VLOOKUP(B130,'Clients-Live'!$A:$C,3,0))</f>
        <v/>
      </c>
      <c r="D130" s="35"/>
      <c r="E130" s="34"/>
      <c r="F130" s="59"/>
      <c r="G130" s="59"/>
      <c r="H130" s="181">
        <f t="shared" si="2"/>
        <v>0</v>
      </c>
      <c r="I130" s="181">
        <f t="shared" si="3"/>
        <v>0</v>
      </c>
      <c r="J130" s="61" t="str">
        <f>IF($A130="","",SUM($H$8:H130)-SUM($I$8:I130))</f>
        <v/>
      </c>
      <c r="K130" s="59"/>
    </row>
    <row r="131" spans="1:11" x14ac:dyDescent="0.2">
      <c r="A131" s="44"/>
      <c r="B131" s="466"/>
      <c r="C131" s="468" t="str">
        <f>IF(B131="","",VLOOKUP(B131,'Clients-Live'!$A:$C,3,0))</f>
        <v/>
      </c>
      <c r="D131" s="35"/>
      <c r="E131" s="34"/>
      <c r="F131" s="59"/>
      <c r="G131" s="59"/>
      <c r="H131" s="181">
        <f t="shared" si="2"/>
        <v>0</v>
      </c>
      <c r="I131" s="181">
        <f t="shared" si="3"/>
        <v>0</v>
      </c>
      <c r="J131" s="61" t="str">
        <f>IF($A131="","",SUM($H$8:H131)-SUM($I$8:I131))</f>
        <v/>
      </c>
      <c r="K131" s="59"/>
    </row>
    <row r="132" spans="1:11" x14ac:dyDescent="0.2">
      <c r="A132" s="44"/>
      <c r="B132" s="466"/>
      <c r="C132" s="468" t="str">
        <f>IF(B132="","",VLOOKUP(B132,'Clients-Live'!$A:$C,3,0))</f>
        <v/>
      </c>
      <c r="D132" s="35"/>
      <c r="E132" s="34"/>
      <c r="F132" s="59"/>
      <c r="G132" s="59"/>
      <c r="H132" s="181">
        <f t="shared" si="2"/>
        <v>0</v>
      </c>
      <c r="I132" s="181">
        <f t="shared" si="3"/>
        <v>0</v>
      </c>
      <c r="J132" s="61" t="str">
        <f>IF($A132="","",SUM($H$8:H132)-SUM($I$8:I132))</f>
        <v/>
      </c>
      <c r="K132" s="59"/>
    </row>
    <row r="133" spans="1:11" x14ac:dyDescent="0.2">
      <c r="A133" s="44"/>
      <c r="B133" s="466"/>
      <c r="C133" s="468" t="str">
        <f>IF(B133="","",VLOOKUP(B133,'Clients-Live'!$A:$C,3,0))</f>
        <v/>
      </c>
      <c r="D133" s="35"/>
      <c r="E133" s="34"/>
      <c r="F133" s="59"/>
      <c r="G133" s="59"/>
      <c r="H133" s="181">
        <f t="shared" si="2"/>
        <v>0</v>
      </c>
      <c r="I133" s="181">
        <f t="shared" si="3"/>
        <v>0</v>
      </c>
      <c r="J133" s="61" t="str">
        <f>IF($A133="","",SUM($H$8:H133)-SUM($I$8:I133))</f>
        <v/>
      </c>
      <c r="K133" s="59"/>
    </row>
    <row r="134" spans="1:11" x14ac:dyDescent="0.2">
      <c r="A134" s="44"/>
      <c r="B134" s="466"/>
      <c r="C134" s="468" t="str">
        <f>IF(B134="","",VLOOKUP(B134,'Clients-Live'!$A:$C,3,0))</f>
        <v/>
      </c>
      <c r="D134" s="35"/>
      <c r="E134" s="34"/>
      <c r="F134" s="59"/>
      <c r="G134" s="59"/>
      <c r="H134" s="181">
        <f t="shared" si="2"/>
        <v>0</v>
      </c>
      <c r="I134" s="181">
        <f t="shared" si="3"/>
        <v>0</v>
      </c>
      <c r="J134" s="61" t="str">
        <f>IF($A134="","",SUM($H$8:H134)-SUM($I$8:I134))</f>
        <v/>
      </c>
      <c r="K134" s="59"/>
    </row>
    <row r="135" spans="1:11" x14ac:dyDescent="0.2">
      <c r="A135" s="44"/>
      <c r="B135" s="466"/>
      <c r="C135" s="468" t="str">
        <f>IF(B135="","",VLOOKUP(B135,'Clients-Live'!$A:$C,3,0))</f>
        <v/>
      </c>
      <c r="D135" s="35"/>
      <c r="E135" s="34"/>
      <c r="F135" s="59"/>
      <c r="G135" s="59"/>
      <c r="H135" s="181">
        <f t="shared" si="2"/>
        <v>0</v>
      </c>
      <c r="I135" s="181">
        <f t="shared" si="3"/>
        <v>0</v>
      </c>
      <c r="J135" s="61" t="str">
        <f>IF($A135="","",SUM($H$8:H135)-SUM($I$8:I135))</f>
        <v/>
      </c>
      <c r="K135" s="59"/>
    </row>
    <row r="136" spans="1:11" x14ac:dyDescent="0.2">
      <c r="A136" s="44"/>
      <c r="B136" s="466"/>
      <c r="C136" s="468" t="str">
        <f>IF(B136="","",VLOOKUP(B136,'Clients-Live'!$A:$C,3,0))</f>
        <v/>
      </c>
      <c r="D136" s="35"/>
      <c r="E136" s="34"/>
      <c r="F136" s="59"/>
      <c r="G136" s="59"/>
      <c r="H136" s="181">
        <f t="shared" si="2"/>
        <v>0</v>
      </c>
      <c r="I136" s="181">
        <f t="shared" si="3"/>
        <v>0</v>
      </c>
      <c r="J136" s="61" t="str">
        <f>IF($A136="","",SUM($H$8:H136)-SUM($I$8:I136))</f>
        <v/>
      </c>
      <c r="K136" s="59"/>
    </row>
    <row r="137" spans="1:11" x14ac:dyDescent="0.2">
      <c r="A137" s="44"/>
      <c r="B137" s="466"/>
      <c r="C137" s="468" t="str">
        <f>IF(B137="","",VLOOKUP(B137,'Clients-Live'!$A:$C,3,0))</f>
        <v/>
      </c>
      <c r="D137" s="35"/>
      <c r="E137" s="34"/>
      <c r="F137" s="59"/>
      <c r="G137" s="59"/>
      <c r="H137" s="181">
        <f t="shared" ref="H137:H168" si="4">IF($D137="CASH-IN",$G137,0)</f>
        <v>0</v>
      </c>
      <c r="I137" s="181">
        <f t="shared" ref="I137:I168" si="5">IF($D137="CASH-IN",0,$G137)</f>
        <v>0</v>
      </c>
      <c r="J137" s="61" t="str">
        <f>IF($A137="","",SUM($H$8:H137)-SUM($I$8:I137))</f>
        <v/>
      </c>
      <c r="K137" s="59"/>
    </row>
    <row r="138" spans="1:11" x14ac:dyDescent="0.2">
      <c r="A138" s="44"/>
      <c r="B138" s="466"/>
      <c r="C138" s="468" t="str">
        <f>IF(B138="","",VLOOKUP(B138,'Clients-Live'!$A:$C,3,0))</f>
        <v/>
      </c>
      <c r="D138" s="35"/>
      <c r="E138" s="34"/>
      <c r="F138" s="59"/>
      <c r="G138" s="59"/>
      <c r="H138" s="181">
        <f t="shared" si="4"/>
        <v>0</v>
      </c>
      <c r="I138" s="181">
        <f t="shared" si="5"/>
        <v>0</v>
      </c>
      <c r="J138" s="61" t="str">
        <f>IF($A138="","",SUM($H$8:H138)-SUM($I$8:I138))</f>
        <v/>
      </c>
      <c r="K138" s="59"/>
    </row>
    <row r="139" spans="1:11" x14ac:dyDescent="0.2">
      <c r="A139" s="44"/>
      <c r="B139" s="466"/>
      <c r="C139" s="468" t="str">
        <f>IF(B139="","",VLOOKUP(B139,'Clients-Live'!$A:$C,3,0))</f>
        <v/>
      </c>
      <c r="D139" s="35"/>
      <c r="E139" s="34"/>
      <c r="F139" s="59"/>
      <c r="G139" s="59"/>
      <c r="H139" s="181">
        <f t="shared" si="4"/>
        <v>0</v>
      </c>
      <c r="I139" s="181">
        <f t="shared" si="5"/>
        <v>0</v>
      </c>
      <c r="J139" s="61" t="str">
        <f>IF($A139="","",SUM($H$8:H139)-SUM($I$8:I139))</f>
        <v/>
      </c>
      <c r="K139" s="59"/>
    </row>
    <row r="140" spans="1:11" x14ac:dyDescent="0.2">
      <c r="A140" s="44"/>
      <c r="B140" s="466"/>
      <c r="C140" s="468" t="str">
        <f>IF(B140="","",VLOOKUP(B140,'Clients-Live'!$A:$C,3,0))</f>
        <v/>
      </c>
      <c r="D140" s="35"/>
      <c r="E140" s="34"/>
      <c r="F140" s="59"/>
      <c r="G140" s="59"/>
      <c r="H140" s="181">
        <f t="shared" si="4"/>
        <v>0</v>
      </c>
      <c r="I140" s="181">
        <f t="shared" si="5"/>
        <v>0</v>
      </c>
      <c r="J140" s="61" t="str">
        <f>IF($A140="","",SUM($H$8:H140)-SUM($I$8:I140))</f>
        <v/>
      </c>
      <c r="K140" s="59"/>
    </row>
    <row r="141" spans="1:11" x14ac:dyDescent="0.2">
      <c r="A141" s="44"/>
      <c r="B141" s="466"/>
      <c r="C141" s="468" t="str">
        <f>IF(B141="","",VLOOKUP(B141,'Clients-Live'!$A:$C,3,0))</f>
        <v/>
      </c>
      <c r="D141" s="35"/>
      <c r="E141" s="34"/>
      <c r="F141" s="59"/>
      <c r="G141" s="59"/>
      <c r="H141" s="181">
        <f t="shared" si="4"/>
        <v>0</v>
      </c>
      <c r="I141" s="181">
        <f t="shared" si="5"/>
        <v>0</v>
      </c>
      <c r="J141" s="61" t="str">
        <f>IF($A141="","",SUM($H$8:H141)-SUM($I$8:I141))</f>
        <v/>
      </c>
      <c r="K141" s="59"/>
    </row>
    <row r="142" spans="1:11" x14ac:dyDescent="0.2">
      <c r="A142" s="44"/>
      <c r="B142" s="466"/>
      <c r="C142" s="468" t="str">
        <f>IF(B142="","",VLOOKUP(B142,'Clients-Live'!$A:$C,3,0))</f>
        <v/>
      </c>
      <c r="D142" s="35"/>
      <c r="E142" s="34"/>
      <c r="F142" s="59"/>
      <c r="G142" s="59"/>
      <c r="H142" s="181">
        <f t="shared" si="4"/>
        <v>0</v>
      </c>
      <c r="I142" s="181">
        <f t="shared" si="5"/>
        <v>0</v>
      </c>
      <c r="J142" s="61" t="str">
        <f>IF($A142="","",SUM($H$8:H142)-SUM($I$8:I142))</f>
        <v/>
      </c>
      <c r="K142" s="59"/>
    </row>
    <row r="143" spans="1:11" x14ac:dyDescent="0.2">
      <c r="A143" s="44"/>
      <c r="B143" s="466"/>
      <c r="C143" s="468" t="str">
        <f>IF(B143="","",VLOOKUP(B143,'Clients-Live'!$A:$C,3,0))</f>
        <v/>
      </c>
      <c r="D143" s="35"/>
      <c r="E143" s="34"/>
      <c r="F143" s="59"/>
      <c r="G143" s="59"/>
      <c r="H143" s="181">
        <f t="shared" si="4"/>
        <v>0</v>
      </c>
      <c r="I143" s="181">
        <f t="shared" si="5"/>
        <v>0</v>
      </c>
      <c r="J143" s="61" t="str">
        <f>IF($A143="","",SUM($H$8:H143)-SUM($I$8:I143))</f>
        <v/>
      </c>
      <c r="K143" s="59"/>
    </row>
    <row r="144" spans="1:11" x14ac:dyDescent="0.2">
      <c r="A144" s="44"/>
      <c r="B144" s="466"/>
      <c r="C144" s="468" t="str">
        <f>IF(B144="","",VLOOKUP(B144,'Clients-Live'!$A:$C,3,0))</f>
        <v/>
      </c>
      <c r="D144" s="35"/>
      <c r="E144" s="34"/>
      <c r="F144" s="59"/>
      <c r="G144" s="59"/>
      <c r="H144" s="181">
        <f t="shared" si="4"/>
        <v>0</v>
      </c>
      <c r="I144" s="181">
        <f t="shared" si="5"/>
        <v>0</v>
      </c>
      <c r="J144" s="61" t="str">
        <f>IF($A144="","",SUM($H$8:H144)-SUM($I$8:I144))</f>
        <v/>
      </c>
      <c r="K144" s="59"/>
    </row>
    <row r="145" spans="1:11" x14ac:dyDescent="0.2">
      <c r="A145" s="44"/>
      <c r="B145" s="466"/>
      <c r="C145" s="468" t="str">
        <f>IF(B145="","",VLOOKUP(B145,'Clients-Live'!$A:$C,3,0))</f>
        <v/>
      </c>
      <c r="D145" s="35"/>
      <c r="E145" s="34"/>
      <c r="F145" s="59"/>
      <c r="G145" s="59"/>
      <c r="H145" s="181">
        <f t="shared" si="4"/>
        <v>0</v>
      </c>
      <c r="I145" s="181">
        <f t="shared" si="5"/>
        <v>0</v>
      </c>
      <c r="J145" s="61" t="str">
        <f>IF($A145="","",SUM($H$8:H145)-SUM($I$8:I145))</f>
        <v/>
      </c>
      <c r="K145" s="59"/>
    </row>
    <row r="146" spans="1:11" x14ac:dyDescent="0.2">
      <c r="A146" s="44"/>
      <c r="B146" s="466"/>
      <c r="C146" s="468" t="str">
        <f>IF(B146="","",VLOOKUP(B146,'Clients-Live'!$A:$C,3,0))</f>
        <v/>
      </c>
      <c r="D146" s="35"/>
      <c r="E146" s="34"/>
      <c r="F146" s="59"/>
      <c r="G146" s="59"/>
      <c r="H146" s="181">
        <f t="shared" si="4"/>
        <v>0</v>
      </c>
      <c r="I146" s="181">
        <f t="shared" si="5"/>
        <v>0</v>
      </c>
      <c r="J146" s="61" t="str">
        <f>IF($A146="","",SUM($H$8:H146)-SUM($I$8:I146))</f>
        <v/>
      </c>
      <c r="K146" s="59"/>
    </row>
    <row r="147" spans="1:11" x14ac:dyDescent="0.2">
      <c r="A147" s="44"/>
      <c r="B147" s="466"/>
      <c r="C147" s="468" t="str">
        <f>IF(B147="","",VLOOKUP(B147,'Clients-Live'!$A:$C,3,0))</f>
        <v/>
      </c>
      <c r="D147" s="35"/>
      <c r="E147" s="34"/>
      <c r="F147" s="59"/>
      <c r="G147" s="59"/>
      <c r="H147" s="181">
        <f t="shared" si="4"/>
        <v>0</v>
      </c>
      <c r="I147" s="181">
        <f t="shared" si="5"/>
        <v>0</v>
      </c>
      <c r="J147" s="61" t="str">
        <f>IF($A147="","",SUM($H$8:H147)-SUM($I$8:I147))</f>
        <v/>
      </c>
      <c r="K147" s="59"/>
    </row>
    <row r="148" spans="1:11" x14ac:dyDescent="0.2">
      <c r="A148" s="44"/>
      <c r="B148" s="466"/>
      <c r="C148" s="468" t="str">
        <f>IF(B148="","",VLOOKUP(B148,'Clients-Live'!$A:$C,3,0))</f>
        <v/>
      </c>
      <c r="D148" s="35"/>
      <c r="E148" s="34"/>
      <c r="F148" s="59"/>
      <c r="G148" s="59"/>
      <c r="H148" s="181">
        <f t="shared" si="4"/>
        <v>0</v>
      </c>
      <c r="I148" s="181">
        <f t="shared" si="5"/>
        <v>0</v>
      </c>
      <c r="J148" s="61" t="str">
        <f>IF($A148="","",SUM($H$8:H148)-SUM($I$8:I148))</f>
        <v/>
      </c>
      <c r="K148" s="59"/>
    </row>
    <row r="149" spans="1:11" x14ac:dyDescent="0.2">
      <c r="A149" s="44"/>
      <c r="B149" s="466"/>
      <c r="C149" s="468" t="str">
        <f>IF(B149="","",VLOOKUP(B149,'Clients-Live'!$A:$C,3,0))</f>
        <v/>
      </c>
      <c r="D149" s="35"/>
      <c r="E149" s="34"/>
      <c r="F149" s="59"/>
      <c r="G149" s="59"/>
      <c r="H149" s="181">
        <f t="shared" si="4"/>
        <v>0</v>
      </c>
      <c r="I149" s="181">
        <f t="shared" si="5"/>
        <v>0</v>
      </c>
      <c r="J149" s="61" t="str">
        <f>IF($A149="","",SUM($H$8:H149)-SUM($I$8:I149))</f>
        <v/>
      </c>
      <c r="K149" s="59"/>
    </row>
    <row r="150" spans="1:11" x14ac:dyDescent="0.2">
      <c r="A150" s="44"/>
      <c r="B150" s="466"/>
      <c r="C150" s="468" t="str">
        <f>IF(B150="","",VLOOKUP(B150,'Clients-Live'!$A:$C,3,0))</f>
        <v/>
      </c>
      <c r="D150" s="35"/>
      <c r="E150" s="34"/>
      <c r="F150" s="59"/>
      <c r="G150" s="59"/>
      <c r="H150" s="181">
        <f t="shared" si="4"/>
        <v>0</v>
      </c>
      <c r="I150" s="181">
        <f t="shared" si="5"/>
        <v>0</v>
      </c>
      <c r="J150" s="61" t="str">
        <f>IF($A150="","",SUM($H$8:H150)-SUM($I$8:I150))</f>
        <v/>
      </c>
      <c r="K150" s="59"/>
    </row>
    <row r="151" spans="1:11" x14ac:dyDescent="0.2">
      <c r="A151" s="44"/>
      <c r="B151" s="466"/>
      <c r="C151" s="468" t="str">
        <f>IF(B151="","",VLOOKUP(B151,'Clients-Live'!$A:$C,3,0))</f>
        <v/>
      </c>
      <c r="D151" s="35"/>
      <c r="E151" s="34"/>
      <c r="F151" s="59"/>
      <c r="G151" s="59"/>
      <c r="H151" s="181">
        <f t="shared" si="4"/>
        <v>0</v>
      </c>
      <c r="I151" s="181">
        <f t="shared" si="5"/>
        <v>0</v>
      </c>
      <c r="J151" s="61" t="str">
        <f>IF($A151="","",SUM($H$8:H151)-SUM($I$8:I151))</f>
        <v/>
      </c>
      <c r="K151" s="59"/>
    </row>
    <row r="152" spans="1:11" x14ac:dyDescent="0.2">
      <c r="A152" s="44"/>
      <c r="B152" s="466"/>
      <c r="C152" s="468" t="str">
        <f>IF(B152="","",VLOOKUP(B152,'Clients-Live'!$A:$C,3,0))</f>
        <v/>
      </c>
      <c r="D152" s="35"/>
      <c r="E152" s="34"/>
      <c r="F152" s="59"/>
      <c r="G152" s="59"/>
      <c r="H152" s="181">
        <f t="shared" si="4"/>
        <v>0</v>
      </c>
      <c r="I152" s="181">
        <f t="shared" si="5"/>
        <v>0</v>
      </c>
      <c r="J152" s="61" t="str">
        <f>IF($A152="","",SUM($H$8:H152)-SUM($I$8:I152))</f>
        <v/>
      </c>
      <c r="K152" s="59"/>
    </row>
    <row r="153" spans="1:11" x14ac:dyDescent="0.2">
      <c r="A153" s="44"/>
      <c r="B153" s="466"/>
      <c r="C153" s="468" t="str">
        <f>IF(B153="","",VLOOKUP(B153,'Clients-Live'!$A:$C,3,0))</f>
        <v/>
      </c>
      <c r="D153" s="35"/>
      <c r="E153" s="34"/>
      <c r="F153" s="59"/>
      <c r="G153" s="59"/>
      <c r="H153" s="181">
        <f t="shared" si="4"/>
        <v>0</v>
      </c>
      <c r="I153" s="181">
        <f t="shared" si="5"/>
        <v>0</v>
      </c>
      <c r="J153" s="61" t="str">
        <f>IF($A153="","",SUM($H$8:H153)-SUM($I$8:I153))</f>
        <v/>
      </c>
      <c r="K153" s="59"/>
    </row>
    <row r="154" spans="1:11" x14ac:dyDescent="0.2">
      <c r="A154" s="44"/>
      <c r="B154" s="466"/>
      <c r="C154" s="468" t="str">
        <f>IF(B154="","",VLOOKUP(B154,'Clients-Live'!$A:$C,3,0))</f>
        <v/>
      </c>
      <c r="D154" s="35"/>
      <c r="E154" s="34"/>
      <c r="F154" s="59"/>
      <c r="G154" s="59"/>
      <c r="H154" s="181">
        <f t="shared" si="4"/>
        <v>0</v>
      </c>
      <c r="I154" s="181">
        <f t="shared" si="5"/>
        <v>0</v>
      </c>
      <c r="J154" s="61" t="str">
        <f>IF($A154="","",SUM($H$8:H154)-SUM($I$8:I154))</f>
        <v/>
      </c>
      <c r="K154" s="59"/>
    </row>
    <row r="155" spans="1:11" x14ac:dyDescent="0.2">
      <c r="A155" s="44"/>
      <c r="B155" s="466"/>
      <c r="C155" s="468" t="str">
        <f>IF(B155="","",VLOOKUP(B155,'Clients-Live'!$A:$C,3,0))</f>
        <v/>
      </c>
      <c r="D155" s="35"/>
      <c r="E155" s="34"/>
      <c r="F155" s="59"/>
      <c r="G155" s="59"/>
      <c r="H155" s="181">
        <f t="shared" si="4"/>
        <v>0</v>
      </c>
      <c r="I155" s="181">
        <f t="shared" si="5"/>
        <v>0</v>
      </c>
      <c r="J155" s="61" t="str">
        <f>IF($A155="","",SUM($H$8:H155)-SUM($I$8:I155))</f>
        <v/>
      </c>
      <c r="K155" s="59"/>
    </row>
    <row r="156" spans="1:11" x14ac:dyDescent="0.2">
      <c r="A156" s="44"/>
      <c r="B156" s="466"/>
      <c r="C156" s="468" t="str">
        <f>IF(B156="","",VLOOKUP(B156,'Clients-Live'!$A:$C,3,0))</f>
        <v/>
      </c>
      <c r="D156" s="35"/>
      <c r="E156" s="34"/>
      <c r="F156" s="59"/>
      <c r="G156" s="59"/>
      <c r="H156" s="181">
        <f t="shared" si="4"/>
        <v>0</v>
      </c>
      <c r="I156" s="181">
        <f t="shared" si="5"/>
        <v>0</v>
      </c>
      <c r="J156" s="61" t="str">
        <f>IF($A156="","",SUM($H$8:H156)-SUM($I$8:I156))</f>
        <v/>
      </c>
      <c r="K156" s="59"/>
    </row>
    <row r="157" spans="1:11" x14ac:dyDescent="0.2">
      <c r="A157" s="44"/>
      <c r="B157" s="466"/>
      <c r="C157" s="468" t="str">
        <f>IF(B157="","",VLOOKUP(B157,'Clients-Live'!$A:$C,3,0))</f>
        <v/>
      </c>
      <c r="D157" s="35"/>
      <c r="E157" s="34"/>
      <c r="F157" s="59"/>
      <c r="G157" s="59"/>
      <c r="H157" s="181">
        <f>IF($D157="CASH-IN",$G157,0)</f>
        <v>0</v>
      </c>
      <c r="I157" s="181">
        <f t="shared" si="5"/>
        <v>0</v>
      </c>
      <c r="J157" s="61" t="str">
        <f>IF($A157="","",SUM($H$8:H157)-SUM($I$8:I157))</f>
        <v/>
      </c>
      <c r="K157" s="59"/>
    </row>
    <row r="158" spans="1:11" x14ac:dyDescent="0.2">
      <c r="A158" s="44"/>
      <c r="B158" s="466"/>
      <c r="C158" s="468" t="str">
        <f>IF(B158="","",VLOOKUP(B158,'Clients-Live'!$A:$C,3,0))</f>
        <v/>
      </c>
      <c r="D158" s="35"/>
      <c r="E158" s="34"/>
      <c r="F158" s="59"/>
      <c r="G158" s="59"/>
      <c r="H158" s="181">
        <f t="shared" si="4"/>
        <v>0</v>
      </c>
      <c r="I158" s="181">
        <f t="shared" si="5"/>
        <v>0</v>
      </c>
      <c r="J158" s="61" t="str">
        <f>IF($A158="","",SUM($H$8:H158)-SUM($I$8:I158))</f>
        <v/>
      </c>
      <c r="K158" s="59"/>
    </row>
    <row r="159" spans="1:11" x14ac:dyDescent="0.2">
      <c r="A159" s="44"/>
      <c r="B159" s="466"/>
      <c r="C159" s="468" t="str">
        <f>IF(B159="","",VLOOKUP(B159,'Clients-Live'!$A:$C,3,0))</f>
        <v/>
      </c>
      <c r="D159" s="35"/>
      <c r="E159" s="34"/>
      <c r="F159" s="59"/>
      <c r="G159" s="59"/>
      <c r="H159" s="181">
        <f t="shared" si="4"/>
        <v>0</v>
      </c>
      <c r="I159" s="181">
        <f t="shared" si="5"/>
        <v>0</v>
      </c>
      <c r="J159" s="61" t="str">
        <f>IF($A159="","",SUM($H$8:H159)-SUM($I$8:I159))</f>
        <v/>
      </c>
      <c r="K159" s="59"/>
    </row>
    <row r="160" spans="1:11" x14ac:dyDescent="0.2">
      <c r="A160" s="44"/>
      <c r="B160" s="466"/>
      <c r="C160" s="468" t="str">
        <f>IF(B160="","",VLOOKUP(B160,'Clients-Live'!$A:$C,3,0))</f>
        <v/>
      </c>
      <c r="D160" s="35"/>
      <c r="E160" s="34"/>
      <c r="F160" s="59"/>
      <c r="G160" s="59"/>
      <c r="H160" s="181">
        <f t="shared" si="4"/>
        <v>0</v>
      </c>
      <c r="I160" s="181">
        <f t="shared" si="5"/>
        <v>0</v>
      </c>
      <c r="J160" s="61" t="str">
        <f>IF($A160="","",SUM($H$8:H160)-SUM($I$8:I160))</f>
        <v/>
      </c>
      <c r="K160" s="59"/>
    </row>
    <row r="161" spans="1:11" x14ac:dyDescent="0.2">
      <c r="A161" s="44"/>
      <c r="B161" s="466"/>
      <c r="C161" s="468" t="str">
        <f>IF(B161="","",VLOOKUP(B161,'Clients-Live'!$A:$C,3,0))</f>
        <v/>
      </c>
      <c r="D161" s="35"/>
      <c r="E161" s="35"/>
      <c r="F161" s="59"/>
      <c r="G161" s="59"/>
      <c r="H161" s="181">
        <f t="shared" si="4"/>
        <v>0</v>
      </c>
      <c r="I161" s="181">
        <f t="shared" si="5"/>
        <v>0</v>
      </c>
      <c r="J161" s="61" t="str">
        <f>IF($A161="","",SUM($H$8:H161)-SUM($I$8:I161))</f>
        <v/>
      </c>
      <c r="K161" s="59"/>
    </row>
    <row r="162" spans="1:11" x14ac:dyDescent="0.2">
      <c r="A162" s="44"/>
      <c r="B162" s="466"/>
      <c r="C162" s="468" t="str">
        <f>IF(B162="","",VLOOKUP(B162,'Clients-Live'!$A:$C,3,0))</f>
        <v/>
      </c>
      <c r="D162" s="35"/>
      <c r="E162" s="35"/>
      <c r="F162" s="59"/>
      <c r="G162" s="59"/>
      <c r="H162" s="181">
        <f t="shared" si="4"/>
        <v>0</v>
      </c>
      <c r="I162" s="181">
        <f t="shared" si="5"/>
        <v>0</v>
      </c>
      <c r="J162" s="61" t="str">
        <f>IF($A162="","",SUM($H$8:H162)-SUM($I$8:I162))</f>
        <v/>
      </c>
      <c r="K162" s="59"/>
    </row>
    <row r="163" spans="1:11" x14ac:dyDescent="0.2">
      <c r="A163" s="44"/>
      <c r="B163" s="466"/>
      <c r="C163" s="468" t="str">
        <f>IF(B163="","",VLOOKUP(B163,'Clients-Live'!$A:$C,3,0))</f>
        <v/>
      </c>
      <c r="D163" s="35"/>
      <c r="E163" s="35"/>
      <c r="F163" s="59"/>
      <c r="G163" s="59"/>
      <c r="H163" s="181">
        <f t="shared" si="4"/>
        <v>0</v>
      </c>
      <c r="I163" s="181">
        <f t="shared" si="5"/>
        <v>0</v>
      </c>
      <c r="J163" s="61" t="str">
        <f>IF($A163="","",SUM($H$8:H163)-SUM($I$8:I163))</f>
        <v/>
      </c>
      <c r="K163" s="59"/>
    </row>
    <row r="164" spans="1:11" x14ac:dyDescent="0.2">
      <c r="A164" s="44"/>
      <c r="B164" s="466"/>
      <c r="C164" s="468" t="str">
        <f>IF(B164="","",VLOOKUP(B164,'Clients-Live'!$A:$C,3,0))</f>
        <v/>
      </c>
      <c r="D164" s="35"/>
      <c r="E164" s="35"/>
      <c r="F164" s="59"/>
      <c r="G164" s="59"/>
      <c r="H164" s="181">
        <f t="shared" si="4"/>
        <v>0</v>
      </c>
      <c r="I164" s="181">
        <f t="shared" si="5"/>
        <v>0</v>
      </c>
      <c r="J164" s="61" t="str">
        <f>IF($A164="","",SUM($H$8:H164)-SUM($I$8:I164))</f>
        <v/>
      </c>
      <c r="K164" s="59"/>
    </row>
    <row r="165" spans="1:11" x14ac:dyDescent="0.2">
      <c r="A165" s="44"/>
      <c r="B165" s="466"/>
      <c r="C165" s="468" t="str">
        <f>IF(B165="","",VLOOKUP(B165,'Clients-Live'!$A:$C,3,0))</f>
        <v/>
      </c>
      <c r="D165" s="35"/>
      <c r="E165" s="35"/>
      <c r="F165" s="59"/>
      <c r="G165" s="59"/>
      <c r="H165" s="181">
        <f t="shared" si="4"/>
        <v>0</v>
      </c>
      <c r="I165" s="181">
        <f t="shared" si="5"/>
        <v>0</v>
      </c>
      <c r="J165" s="61" t="str">
        <f>IF($A165="","",SUM($H$8:H165)-SUM($I$8:I165))</f>
        <v/>
      </c>
      <c r="K165" s="59"/>
    </row>
    <row r="166" spans="1:11" x14ac:dyDescent="0.2">
      <c r="A166" s="44"/>
      <c r="B166" s="466"/>
      <c r="C166" s="468" t="str">
        <f>IF(B166="","",VLOOKUP(B166,'Clients-Live'!$A:$C,3,0))</f>
        <v/>
      </c>
      <c r="D166" s="35"/>
      <c r="E166" s="35"/>
      <c r="F166" s="59"/>
      <c r="G166" s="59"/>
      <c r="H166" s="181">
        <f t="shared" si="4"/>
        <v>0</v>
      </c>
      <c r="I166" s="181">
        <f t="shared" si="5"/>
        <v>0</v>
      </c>
      <c r="J166" s="61" t="str">
        <f>IF($A166="","",SUM($H$8:H166)-SUM($I$8:I166))</f>
        <v/>
      </c>
      <c r="K166" s="59"/>
    </row>
    <row r="167" spans="1:11" x14ac:dyDescent="0.2">
      <c r="A167" s="44"/>
      <c r="B167" s="466"/>
      <c r="C167" s="468" t="str">
        <f>IF(B167="","",VLOOKUP(B167,'Clients-Live'!$A:$C,3,0))</f>
        <v/>
      </c>
      <c r="D167" s="35"/>
      <c r="E167" s="35"/>
      <c r="F167" s="59"/>
      <c r="G167" s="59"/>
      <c r="H167" s="181">
        <f t="shared" si="4"/>
        <v>0</v>
      </c>
      <c r="I167" s="181">
        <f t="shared" si="5"/>
        <v>0</v>
      </c>
      <c r="J167" s="61" t="str">
        <f>IF($A167="","",SUM($H$8:H167)-SUM($I$8:I167))</f>
        <v/>
      </c>
      <c r="K167" s="59"/>
    </row>
    <row r="168" spans="1:11" x14ac:dyDescent="0.2">
      <c r="A168" s="44"/>
      <c r="B168" s="466"/>
      <c r="C168" s="468" t="str">
        <f>IF(B168="","",VLOOKUP(B168,'Clients-Live'!$A:$C,3,0))</f>
        <v/>
      </c>
      <c r="D168" s="35"/>
      <c r="E168" s="35"/>
      <c r="F168" s="59"/>
      <c r="G168" s="59"/>
      <c r="H168" s="181">
        <f t="shared" si="4"/>
        <v>0</v>
      </c>
      <c r="I168" s="181">
        <f t="shared" si="5"/>
        <v>0</v>
      </c>
      <c r="J168" s="61" t="str">
        <f>IF($A168="","",SUM($H$8:H168)-SUM($I$8:I168))</f>
        <v/>
      </c>
      <c r="K168" s="59"/>
    </row>
    <row r="169" spans="1:11" x14ac:dyDescent="0.2">
      <c r="A169" s="167"/>
      <c r="B169" s="467"/>
      <c r="C169" s="467"/>
      <c r="D169" s="167"/>
      <c r="E169" s="168"/>
      <c r="F169" s="168"/>
      <c r="G169" s="169"/>
      <c r="H169" s="169"/>
      <c r="I169" s="169"/>
      <c r="J169" s="169"/>
      <c r="K169" s="169"/>
    </row>
  </sheetData>
  <autoFilter ref="A7:K168" xr:uid="{00000000-0009-0000-0000-00000D000000}">
    <sortState xmlns:xlrd2="http://schemas.microsoft.com/office/spreadsheetml/2017/richdata2" ref="A50:I66">
      <sortCondition ref="A7:A168"/>
    </sortState>
  </autoFilter>
  <conditionalFormatting sqref="H3">
    <cfRule type="duplicateValues" dxfId="8" priority="1"/>
  </conditionalFormatting>
  <dataValidations count="3">
    <dataValidation type="date" allowBlank="1" showInputMessage="1" showErrorMessage="1" error="Invalid Date,_x000a_Use date format dd/mm/yy_x000a_                       or mm/dd/yyy" sqref="A8:A168 B24:B168" xr:uid="{00000000-0002-0000-0D00-000000000000}">
      <formula1>1</formula1>
      <formula2>TODAY()</formula2>
    </dataValidation>
    <dataValidation allowBlank="1" showInputMessage="1" showErrorMessage="1" error="Invalid Date,_x000a_Use date format dd/mm/yy_x000a_                       or mm/dd/yyy" sqref="B8:B23 C8:C168" xr:uid="{00000000-0002-0000-0D00-000001000000}"/>
    <dataValidation type="list" allowBlank="1" showInputMessage="1" showErrorMessage="1" sqref="F8:F169" xr:uid="{00000000-0002-0000-0D00-000002000000}">
      <formula1>TellerNar</formula1>
    </dataValidation>
  </dataValidations>
  <hyperlinks>
    <hyperlink ref="H3" location="Menu!A1" display="Back to Menu" xr:uid="{00000000-0004-0000-0D00-000000000000}"/>
  </hyperlink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="Kindly pick from the list" xr:uid="{00000000-0002-0000-0D00-000003000000}">
          <x14:formula1>
            <xm:f>Ref!$H$6:$I$6</xm:f>
          </x14:formula1>
          <xm:sqref>D8:D168</xm:sqref>
        </x14:dataValidation>
        <x14:dataValidation type="list" allowBlank="1" showInputMessage="1" showErrorMessage="1" prompt="Kindly pick from the list" xr:uid="{00000000-0002-0000-0D00-000004000000}">
          <x14:formula1>
            <xm:f>Ref!$I$14:$I$22</xm:f>
          </x14:formula1>
          <xm:sqref>E8:E168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E42"/>
  <sheetViews>
    <sheetView showGridLines="0" view="pageBreakPreview" topLeftCell="A13" zoomScaleNormal="100" zoomScaleSheetLayoutView="100" workbookViewId="0">
      <selection activeCell="C2" sqref="C2"/>
    </sheetView>
  </sheetViews>
  <sheetFormatPr defaultRowHeight="15" x14ac:dyDescent="0.25"/>
  <cols>
    <col min="1" max="1" width="2.140625" style="1" customWidth="1"/>
    <col min="2" max="2" width="2.7109375" style="1" customWidth="1"/>
    <col min="3" max="3" width="74.140625" style="1" customWidth="1"/>
    <col min="4" max="4" width="2.7109375" style="1" customWidth="1"/>
    <col min="5" max="5" width="2.5703125" style="1" customWidth="1"/>
  </cols>
  <sheetData>
    <row r="1" spans="2:4" ht="8.25" customHeight="1" thickBot="1" x14ac:dyDescent="0.3"/>
    <row r="2" spans="2:4" ht="15.75" thickTop="1" x14ac:dyDescent="0.25">
      <c r="B2" s="3"/>
      <c r="C2" s="4" t="s">
        <v>9</v>
      </c>
      <c r="D2" s="5"/>
    </row>
    <row r="3" spans="2:4" x14ac:dyDescent="0.25">
      <c r="B3" s="6"/>
      <c r="C3" s="7"/>
      <c r="D3" s="8"/>
    </row>
    <row r="4" spans="2:4" x14ac:dyDescent="0.25">
      <c r="B4" s="6"/>
      <c r="C4" s="7"/>
      <c r="D4" s="8"/>
    </row>
    <row r="5" spans="2:4" x14ac:dyDescent="0.25">
      <c r="B5" s="6"/>
      <c r="C5" s="7"/>
      <c r="D5" s="8"/>
    </row>
    <row r="6" spans="2:4" x14ac:dyDescent="0.25">
      <c r="B6" s="6"/>
      <c r="C6" s="7"/>
      <c r="D6" s="8"/>
    </row>
    <row r="7" spans="2:4" x14ac:dyDescent="0.25">
      <c r="B7" s="6"/>
      <c r="C7" s="7"/>
      <c r="D7" s="8"/>
    </row>
    <row r="8" spans="2:4" x14ac:dyDescent="0.25">
      <c r="B8" s="6"/>
      <c r="C8" s="7"/>
      <c r="D8" s="8"/>
    </row>
    <row r="9" spans="2:4" x14ac:dyDescent="0.25">
      <c r="B9" s="6"/>
      <c r="C9" s="7"/>
      <c r="D9" s="8"/>
    </row>
    <row r="10" spans="2:4" x14ac:dyDescent="0.25">
      <c r="B10" s="6"/>
      <c r="C10" s="7"/>
      <c r="D10" s="8"/>
    </row>
    <row r="11" spans="2:4" x14ac:dyDescent="0.25">
      <c r="B11" s="6"/>
      <c r="C11" s="23"/>
      <c r="D11" s="8"/>
    </row>
    <row r="12" spans="2:4" x14ac:dyDescent="0.25">
      <c r="B12" s="6"/>
      <c r="C12" s="23"/>
      <c r="D12" s="8"/>
    </row>
    <row r="13" spans="2:4" x14ac:dyDescent="0.25">
      <c r="B13" s="6"/>
      <c r="C13" s="17" t="s">
        <v>7</v>
      </c>
      <c r="D13" s="8"/>
    </row>
    <row r="14" spans="2:4" x14ac:dyDescent="0.25">
      <c r="B14" s="6"/>
      <c r="C14" s="17" t="s">
        <v>2</v>
      </c>
      <c r="D14" s="8"/>
    </row>
    <row r="15" spans="2:4" x14ac:dyDescent="0.25">
      <c r="B15" s="6"/>
      <c r="C15" s="17" t="s">
        <v>3</v>
      </c>
      <c r="D15" s="8"/>
    </row>
    <row r="16" spans="2:4" x14ac:dyDescent="0.25">
      <c r="B16" s="6"/>
      <c r="C16" s="17" t="s">
        <v>4</v>
      </c>
      <c r="D16" s="8"/>
    </row>
    <row r="17" spans="2:4" x14ac:dyDescent="0.25">
      <c r="B17" s="6"/>
      <c r="C17" s="24"/>
      <c r="D17" s="8"/>
    </row>
    <row r="18" spans="2:4" x14ac:dyDescent="0.25">
      <c r="B18" s="6"/>
      <c r="C18" s="2"/>
      <c r="D18" s="8"/>
    </row>
    <row r="19" spans="2:4" x14ac:dyDescent="0.25">
      <c r="B19" s="6"/>
      <c r="C19" s="25"/>
      <c r="D19" s="8"/>
    </row>
    <row r="20" spans="2:4" x14ac:dyDescent="0.25">
      <c r="B20" s="6"/>
      <c r="C20" s="25"/>
      <c r="D20" s="8"/>
    </row>
    <row r="21" spans="2:4" x14ac:dyDescent="0.25">
      <c r="B21" s="6"/>
      <c r="C21" s="25"/>
      <c r="D21" s="8"/>
    </row>
    <row r="22" spans="2:4" x14ac:dyDescent="0.25">
      <c r="B22" s="6"/>
      <c r="C22" s="26"/>
      <c r="D22" s="8"/>
    </row>
    <row r="23" spans="2:4" x14ac:dyDescent="0.25">
      <c r="B23" s="6"/>
      <c r="C23" s="25"/>
      <c r="D23" s="8"/>
    </row>
    <row r="24" spans="2:4" x14ac:dyDescent="0.25">
      <c r="B24" s="6"/>
      <c r="C24" s="25"/>
      <c r="D24" s="8"/>
    </row>
    <row r="25" spans="2:4" x14ac:dyDescent="0.25">
      <c r="B25" s="6"/>
      <c r="C25" s="27" t="s">
        <v>5</v>
      </c>
      <c r="D25" s="8"/>
    </row>
    <row r="26" spans="2:4" x14ac:dyDescent="0.25">
      <c r="B26" s="6"/>
      <c r="C26" s="28">
        <f ca="1">EOMONTH(TODAY(),-1)</f>
        <v>45169</v>
      </c>
      <c r="D26" s="8"/>
    </row>
    <row r="27" spans="2:4" x14ac:dyDescent="0.25">
      <c r="B27" s="6"/>
      <c r="C27" s="28"/>
      <c r="D27" s="8"/>
    </row>
    <row r="28" spans="2:4" x14ac:dyDescent="0.25">
      <c r="B28" s="6"/>
      <c r="C28" s="25"/>
      <c r="D28" s="8"/>
    </row>
    <row r="29" spans="2:4" x14ac:dyDescent="0.25">
      <c r="B29" s="6"/>
      <c r="C29" s="25"/>
      <c r="D29" s="8"/>
    </row>
    <row r="30" spans="2:4" x14ac:dyDescent="0.25">
      <c r="B30" s="6"/>
      <c r="C30" s="25"/>
      <c r="D30" s="8"/>
    </row>
    <row r="31" spans="2:4" x14ac:dyDescent="0.25">
      <c r="B31" s="6"/>
      <c r="C31" s="25"/>
      <c r="D31" s="8"/>
    </row>
    <row r="32" spans="2:4" x14ac:dyDescent="0.25">
      <c r="B32" s="6"/>
      <c r="C32" s="25"/>
      <c r="D32" s="8"/>
    </row>
    <row r="33" spans="2:4" x14ac:dyDescent="0.25">
      <c r="B33" s="6"/>
      <c r="C33" s="25"/>
      <c r="D33" s="8"/>
    </row>
    <row r="34" spans="2:4" x14ac:dyDescent="0.25">
      <c r="B34" s="6"/>
      <c r="C34" s="29" t="s">
        <v>6</v>
      </c>
      <c r="D34" s="8"/>
    </row>
    <row r="35" spans="2:4" x14ac:dyDescent="0.25">
      <c r="B35" s="6"/>
      <c r="C35" s="30" t="s">
        <v>8</v>
      </c>
      <c r="D35" s="8"/>
    </row>
    <row r="36" spans="2:4" x14ac:dyDescent="0.25">
      <c r="B36" s="6"/>
      <c r="C36" s="30"/>
      <c r="D36" s="8"/>
    </row>
    <row r="37" spans="2:4" x14ac:dyDescent="0.25">
      <c r="B37" s="6"/>
      <c r="C37" s="30"/>
      <c r="D37" s="8"/>
    </row>
    <row r="38" spans="2:4" x14ac:dyDescent="0.25">
      <c r="B38" s="6"/>
      <c r="C38" s="30"/>
      <c r="D38" s="8"/>
    </row>
    <row r="39" spans="2:4" x14ac:dyDescent="0.25">
      <c r="B39" s="6"/>
      <c r="C39" s="25"/>
      <c r="D39" s="8"/>
    </row>
    <row r="40" spans="2:4" x14ac:dyDescent="0.25">
      <c r="B40" s="6"/>
      <c r="C40" s="25"/>
      <c r="D40" s="8"/>
    </row>
    <row r="41" spans="2:4" ht="15.75" thickBot="1" x14ac:dyDescent="0.3">
      <c r="B41" s="19"/>
      <c r="C41" s="20"/>
      <c r="D41" s="21"/>
    </row>
    <row r="42" spans="2:4" ht="15.75" thickTop="1" x14ac:dyDescent="0.25"/>
  </sheetData>
  <conditionalFormatting sqref="C2">
    <cfRule type="duplicateValues" dxfId="7" priority="1"/>
  </conditionalFormatting>
  <hyperlinks>
    <hyperlink ref="C2" location="Menu!A1" display="Back to Menu" xr:uid="{00000000-0004-0000-0F00-000000000000}"/>
  </hyperlinks>
  <pageMargins left="0.78740157480314965" right="0.59055118110236227" top="0.74803149606299213" bottom="0.74803149606299213" header="0.31496062992125984" footer="0.31496062992125984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G23"/>
  <sheetViews>
    <sheetView showGridLines="0" workbookViewId="0">
      <selection activeCell="D1" sqref="D1"/>
    </sheetView>
  </sheetViews>
  <sheetFormatPr defaultRowHeight="15" x14ac:dyDescent="0.25"/>
  <cols>
    <col min="1" max="1" width="16.5703125" style="38" customWidth="1"/>
    <col min="2" max="2" width="24.140625" style="38" customWidth="1"/>
    <col min="3" max="3" width="24.5703125" style="38" bestFit="1" customWidth="1"/>
    <col min="4" max="4" width="23.85546875" style="38" customWidth="1"/>
    <col min="5" max="7" width="24.5703125" style="38" bestFit="1" customWidth="1"/>
  </cols>
  <sheetData>
    <row r="1" spans="1:7" x14ac:dyDescent="0.25">
      <c r="A1" s="37"/>
      <c r="B1" s="37"/>
      <c r="C1" s="37"/>
      <c r="D1" s="235" t="s">
        <v>9</v>
      </c>
      <c r="E1" s="37"/>
      <c r="F1" s="37"/>
      <c r="G1" s="37"/>
    </row>
    <row r="2" spans="1:7" x14ac:dyDescent="0.25">
      <c r="A2" s="254" t="s">
        <v>765</v>
      </c>
      <c r="B2" s="37"/>
      <c r="C2" s="37"/>
      <c r="D2" s="37"/>
      <c r="E2" s="37"/>
      <c r="F2" s="37"/>
      <c r="G2" s="37"/>
    </row>
    <row r="3" spans="1:7" x14ac:dyDescent="0.25">
      <c r="A3" s="81" t="s">
        <v>766</v>
      </c>
      <c r="B3" s="81" t="s">
        <v>767</v>
      </c>
      <c r="C3" s="82" t="s">
        <v>768</v>
      </c>
      <c r="D3" s="81" t="s">
        <v>769</v>
      </c>
      <c r="E3" s="81" t="s">
        <v>770</v>
      </c>
      <c r="F3" s="81" t="s">
        <v>771</v>
      </c>
      <c r="G3" s="81" t="s">
        <v>772</v>
      </c>
    </row>
    <row r="4" spans="1:7" ht="26.25" x14ac:dyDescent="0.25">
      <c r="A4" s="652" t="s">
        <v>773</v>
      </c>
      <c r="B4" s="83" t="s">
        <v>774</v>
      </c>
      <c r="C4" s="84" t="s">
        <v>775</v>
      </c>
      <c r="D4" s="84" t="s">
        <v>774</v>
      </c>
      <c r="E4" s="84" t="s">
        <v>774</v>
      </c>
      <c r="F4" s="84" t="s">
        <v>774</v>
      </c>
      <c r="G4" s="84" t="s">
        <v>774</v>
      </c>
    </row>
    <row r="5" spans="1:7" ht="26.25" x14ac:dyDescent="0.25">
      <c r="A5" s="653"/>
      <c r="B5" s="85" t="s">
        <v>776</v>
      </c>
      <c r="C5" s="86" t="s">
        <v>777</v>
      </c>
      <c r="D5" s="86" t="s">
        <v>777</v>
      </c>
      <c r="E5" s="86" t="s">
        <v>777</v>
      </c>
      <c r="F5" s="86" t="s">
        <v>777</v>
      </c>
      <c r="G5" s="86" t="s">
        <v>777</v>
      </c>
    </row>
    <row r="6" spans="1:7" x14ac:dyDescent="0.25">
      <c r="A6" s="654"/>
      <c r="B6" s="87" t="s">
        <v>778</v>
      </c>
      <c r="C6" s="88" t="s">
        <v>779</v>
      </c>
      <c r="D6" s="88" t="s">
        <v>778</v>
      </c>
      <c r="E6" s="88" t="s">
        <v>778</v>
      </c>
      <c r="F6" s="88" t="s">
        <v>778</v>
      </c>
      <c r="G6" s="88" t="s">
        <v>778</v>
      </c>
    </row>
    <row r="7" spans="1:7" ht="25.5" x14ac:dyDescent="0.25">
      <c r="A7" s="89" t="s">
        <v>780</v>
      </c>
      <c r="B7" s="90" t="s">
        <v>781</v>
      </c>
      <c r="C7" s="91" t="s">
        <v>782</v>
      </c>
      <c r="D7" s="91" t="s">
        <v>783</v>
      </c>
      <c r="E7" s="91" t="s">
        <v>784</v>
      </c>
      <c r="F7" s="91" t="s">
        <v>784</v>
      </c>
      <c r="G7" s="92" t="s">
        <v>783</v>
      </c>
    </row>
    <row r="8" spans="1:7" x14ac:dyDescent="0.25">
      <c r="A8" s="652" t="s">
        <v>785</v>
      </c>
      <c r="B8" s="93" t="s">
        <v>786</v>
      </c>
      <c r="C8" s="93" t="s">
        <v>786</v>
      </c>
      <c r="D8" s="93" t="s">
        <v>786</v>
      </c>
      <c r="E8" s="93" t="s">
        <v>786</v>
      </c>
      <c r="F8" s="93" t="s">
        <v>786</v>
      </c>
      <c r="G8" s="93" t="s">
        <v>786</v>
      </c>
    </row>
    <row r="9" spans="1:7" x14ac:dyDescent="0.25">
      <c r="A9" s="653"/>
      <c r="B9" s="94" t="s">
        <v>787</v>
      </c>
      <c r="C9" s="94" t="s">
        <v>787</v>
      </c>
      <c r="D9" s="94" t="s">
        <v>787</v>
      </c>
      <c r="E9" s="94" t="s">
        <v>787</v>
      </c>
      <c r="F9" s="94" t="s">
        <v>787</v>
      </c>
      <c r="G9" s="94" t="s">
        <v>787</v>
      </c>
    </row>
    <row r="10" spans="1:7" x14ac:dyDescent="0.25">
      <c r="A10" s="652" t="s">
        <v>788</v>
      </c>
      <c r="B10" s="95" t="s">
        <v>789</v>
      </c>
      <c r="C10" s="95" t="s">
        <v>789</v>
      </c>
      <c r="D10" s="95" t="s">
        <v>789</v>
      </c>
      <c r="E10" s="95" t="s">
        <v>789</v>
      </c>
      <c r="F10" s="95" t="s">
        <v>789</v>
      </c>
      <c r="G10" s="95" t="s">
        <v>789</v>
      </c>
    </row>
    <row r="11" spans="1:7" x14ac:dyDescent="0.25">
      <c r="A11" s="654"/>
      <c r="B11" s="96" t="s">
        <v>790</v>
      </c>
      <c r="C11" s="96" t="s">
        <v>791</v>
      </c>
      <c r="D11" s="96" t="s">
        <v>790</v>
      </c>
      <c r="E11" s="96" t="s">
        <v>790</v>
      </c>
      <c r="F11" s="96" t="s">
        <v>790</v>
      </c>
      <c r="G11" s="96" t="s">
        <v>790</v>
      </c>
    </row>
    <row r="12" spans="1:7" x14ac:dyDescent="0.25">
      <c r="A12" s="97" t="s">
        <v>792</v>
      </c>
      <c r="B12" s="98">
        <v>7.4999999999999997E-2</v>
      </c>
      <c r="C12" s="98">
        <v>0.05</v>
      </c>
      <c r="D12" s="98">
        <v>7.4999999999999997E-2</v>
      </c>
      <c r="E12" s="98">
        <v>7.4999999999999997E-2</v>
      </c>
      <c r="F12" s="98">
        <v>7.4999999999999997E-2</v>
      </c>
      <c r="G12" s="99">
        <v>7.4999999999999997E-2</v>
      </c>
    </row>
    <row r="13" spans="1:7" x14ac:dyDescent="0.25">
      <c r="A13" s="100" t="s">
        <v>793</v>
      </c>
      <c r="B13" s="101" t="s">
        <v>794</v>
      </c>
      <c r="C13" s="101" t="s">
        <v>794</v>
      </c>
      <c r="D13" s="101" t="s">
        <v>794</v>
      </c>
      <c r="E13" s="101" t="s">
        <v>794</v>
      </c>
      <c r="F13" s="101" t="s">
        <v>794</v>
      </c>
      <c r="G13" s="101" t="s">
        <v>794</v>
      </c>
    </row>
    <row r="14" spans="1:7" ht="25.5" x14ac:dyDescent="0.25">
      <c r="A14" s="102" t="s">
        <v>795</v>
      </c>
      <c r="B14" s="101" t="s">
        <v>796</v>
      </c>
      <c r="C14" s="101" t="s">
        <v>796</v>
      </c>
      <c r="D14" s="101" t="s">
        <v>796</v>
      </c>
      <c r="E14" s="101" t="s">
        <v>796</v>
      </c>
      <c r="F14" s="101" t="s">
        <v>796</v>
      </c>
      <c r="G14" s="101" t="s">
        <v>796</v>
      </c>
    </row>
    <row r="15" spans="1:7" x14ac:dyDescent="0.25">
      <c r="A15" s="102" t="s">
        <v>797</v>
      </c>
      <c r="B15" s="101" t="s">
        <v>798</v>
      </c>
      <c r="C15" s="101" t="s">
        <v>799</v>
      </c>
      <c r="D15" s="101" t="s">
        <v>800</v>
      </c>
      <c r="E15" s="101" t="s">
        <v>798</v>
      </c>
      <c r="F15" s="101" t="s">
        <v>798</v>
      </c>
      <c r="G15" s="101" t="s">
        <v>798</v>
      </c>
    </row>
    <row r="16" spans="1:7" ht="39" x14ac:dyDescent="0.25">
      <c r="A16" s="103" t="s">
        <v>801</v>
      </c>
      <c r="B16" s="103" t="s">
        <v>802</v>
      </c>
      <c r="C16" s="103" t="s">
        <v>802</v>
      </c>
      <c r="D16" s="103" t="s">
        <v>802</v>
      </c>
      <c r="E16" s="103" t="s">
        <v>802</v>
      </c>
      <c r="F16" s="103" t="s">
        <v>802</v>
      </c>
      <c r="G16" s="103" t="s">
        <v>802</v>
      </c>
    </row>
    <row r="17" spans="1:7" x14ac:dyDescent="0.25">
      <c r="A17" s="103" t="s">
        <v>803</v>
      </c>
      <c r="B17" s="104" t="s">
        <v>804</v>
      </c>
      <c r="C17" s="103" t="s">
        <v>804</v>
      </c>
      <c r="D17" s="103" t="s">
        <v>804</v>
      </c>
      <c r="E17" s="103" t="s">
        <v>804</v>
      </c>
      <c r="F17" s="103" t="s">
        <v>805</v>
      </c>
      <c r="G17" s="103" t="s">
        <v>805</v>
      </c>
    </row>
    <row r="18" spans="1:7" ht="25.5" x14ac:dyDescent="0.25">
      <c r="A18" s="105" t="s">
        <v>806</v>
      </c>
      <c r="B18" s="101" t="s">
        <v>807</v>
      </c>
      <c r="C18" s="101" t="s">
        <v>808</v>
      </c>
      <c r="D18" s="101" t="s">
        <v>807</v>
      </c>
      <c r="E18" s="101" t="s">
        <v>809</v>
      </c>
      <c r="F18" s="101" t="s">
        <v>810</v>
      </c>
      <c r="G18" s="101" t="s">
        <v>811</v>
      </c>
    </row>
    <row r="19" spans="1:7" ht="64.5" x14ac:dyDescent="0.25">
      <c r="A19" s="106" t="s">
        <v>812</v>
      </c>
      <c r="B19" s="107" t="s">
        <v>813</v>
      </c>
      <c r="C19" s="106" t="s">
        <v>814</v>
      </c>
      <c r="D19" s="106" t="s">
        <v>815</v>
      </c>
      <c r="E19" s="106" t="s">
        <v>816</v>
      </c>
      <c r="F19" s="106" t="s">
        <v>816</v>
      </c>
      <c r="G19" s="106" t="s">
        <v>816</v>
      </c>
    </row>
    <row r="20" spans="1:7" ht="25.5" x14ac:dyDescent="0.25">
      <c r="A20" s="102" t="s">
        <v>817</v>
      </c>
      <c r="B20" s="106" t="s">
        <v>818</v>
      </c>
      <c r="C20" s="106" t="s">
        <v>819</v>
      </c>
      <c r="D20" s="106" t="s">
        <v>819</v>
      </c>
      <c r="E20" s="106" t="s">
        <v>820</v>
      </c>
      <c r="F20" s="106" t="s">
        <v>820</v>
      </c>
      <c r="G20" s="106" t="s">
        <v>821</v>
      </c>
    </row>
    <row r="21" spans="1:7" x14ac:dyDescent="0.25">
      <c r="A21" s="103" t="s">
        <v>822</v>
      </c>
      <c r="B21" s="103"/>
      <c r="C21" s="103" t="s">
        <v>823</v>
      </c>
      <c r="D21" s="103" t="s">
        <v>824</v>
      </c>
      <c r="E21" s="103" t="s">
        <v>823</v>
      </c>
      <c r="F21" s="103" t="s">
        <v>823</v>
      </c>
      <c r="G21" s="103" t="s">
        <v>823</v>
      </c>
    </row>
    <row r="22" spans="1:7" ht="64.5" x14ac:dyDescent="0.25">
      <c r="A22" s="106" t="s">
        <v>825</v>
      </c>
      <c r="B22" s="107" t="s">
        <v>826</v>
      </c>
      <c r="C22" s="107" t="s">
        <v>827</v>
      </c>
      <c r="D22" s="107" t="s">
        <v>828</v>
      </c>
      <c r="E22" s="107" t="s">
        <v>829</v>
      </c>
      <c r="F22" s="107" t="s">
        <v>829</v>
      </c>
      <c r="G22" s="107" t="s">
        <v>829</v>
      </c>
    </row>
    <row r="23" spans="1:7" x14ac:dyDescent="0.25">
      <c r="A23" s="103" t="s">
        <v>830</v>
      </c>
      <c r="B23" s="103"/>
      <c r="C23" s="103"/>
      <c r="D23" s="103"/>
      <c r="E23" s="103"/>
      <c r="F23" s="103"/>
      <c r="G23" s="103"/>
    </row>
  </sheetData>
  <mergeCells count="3">
    <mergeCell ref="A4:A6"/>
    <mergeCell ref="A8:A9"/>
    <mergeCell ref="A10:A11"/>
  </mergeCells>
  <conditionalFormatting sqref="D1">
    <cfRule type="duplicateValues" dxfId="6" priority="1"/>
  </conditionalFormatting>
  <hyperlinks>
    <hyperlink ref="D1" location="Menu!A1" display="Back to Menu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000"/>
  </sheetPr>
  <dimension ref="A1:N119"/>
  <sheetViews>
    <sheetView showGridLines="0" workbookViewId="0">
      <pane ySplit="6" topLeftCell="A112" activePane="bottomLeft" state="frozen"/>
      <selection pane="bottomLeft" activeCell="D116" sqref="D116"/>
    </sheetView>
  </sheetViews>
  <sheetFormatPr defaultRowHeight="12.75" x14ac:dyDescent="0.2"/>
  <cols>
    <col min="1" max="1" width="4" style="38" bestFit="1" customWidth="1"/>
    <col min="2" max="2" width="11.7109375" style="38" bestFit="1" customWidth="1"/>
    <col min="3" max="3" width="31.28515625" style="38" customWidth="1"/>
    <col min="4" max="4" width="7.28515625" style="38" bestFit="1" customWidth="1"/>
    <col min="5" max="5" width="24" style="38" bestFit="1" customWidth="1"/>
    <col min="6" max="6" width="12.85546875" style="38" bestFit="1" customWidth="1"/>
    <col min="7" max="7" width="28.42578125" style="38" bestFit="1" customWidth="1"/>
    <col min="8" max="8" width="13.28515625" style="38" bestFit="1" customWidth="1"/>
    <col min="9" max="9" width="6" style="38" bestFit="1" customWidth="1"/>
    <col min="10" max="10" width="10.28515625" style="38" bestFit="1" customWidth="1"/>
    <col min="11" max="11" width="14" style="49" bestFit="1" customWidth="1"/>
    <col min="12" max="12" width="15.7109375" style="49" bestFit="1" customWidth="1"/>
    <col min="13" max="13" width="19.5703125" style="49" bestFit="1" customWidth="1"/>
    <col min="14" max="14" width="10.42578125" style="38" bestFit="1" customWidth="1"/>
    <col min="15" max="16384" width="9.140625" style="38"/>
  </cols>
  <sheetData>
    <row r="1" spans="1:14" x14ac:dyDescent="0.2">
      <c r="A1" s="37"/>
      <c r="B1" s="37"/>
      <c r="C1" s="37"/>
      <c r="D1" s="37"/>
      <c r="E1" s="37"/>
      <c r="F1" s="37"/>
      <c r="G1" s="37"/>
      <c r="H1" s="37"/>
      <c r="I1" s="37"/>
      <c r="J1" s="37"/>
      <c r="K1" s="46"/>
      <c r="L1" s="46"/>
      <c r="M1" s="46"/>
      <c r="N1" s="37"/>
    </row>
    <row r="2" spans="1:14" x14ac:dyDescent="0.2">
      <c r="A2" s="37"/>
      <c r="B2" s="37"/>
      <c r="C2" s="37"/>
      <c r="D2" s="37"/>
      <c r="E2" s="37"/>
      <c r="F2" s="236" t="s">
        <v>9</v>
      </c>
      <c r="G2" s="37"/>
      <c r="H2" s="37"/>
      <c r="I2" s="37"/>
      <c r="J2" s="37"/>
      <c r="K2" s="46"/>
      <c r="L2" s="46"/>
      <c r="M2" s="46"/>
      <c r="N2" s="37"/>
    </row>
    <row r="3" spans="1:14" x14ac:dyDescent="0.2">
      <c r="A3" s="37"/>
      <c r="B3" s="37"/>
      <c r="C3" s="41"/>
      <c r="D3" s="41"/>
      <c r="E3" s="41"/>
      <c r="F3" s="41"/>
      <c r="G3" s="41"/>
      <c r="H3" s="41"/>
      <c r="I3" s="41"/>
      <c r="J3" s="41"/>
      <c r="K3" s="46"/>
      <c r="L3" s="46"/>
      <c r="M3" s="46"/>
      <c r="N3" s="37"/>
    </row>
    <row r="4" spans="1:14" ht="13.5" thickBot="1" x14ac:dyDescent="0.25">
      <c r="A4" s="37"/>
      <c r="B4" s="37"/>
      <c r="C4" s="41"/>
      <c r="D4" s="41"/>
      <c r="E4" s="41"/>
      <c r="F4" s="41"/>
      <c r="G4" s="41"/>
      <c r="H4" s="41"/>
      <c r="I4" s="41"/>
      <c r="J4" s="41"/>
      <c r="K4" s="46"/>
      <c r="L4" s="46"/>
      <c r="M4" s="46"/>
      <c r="N4" s="37"/>
    </row>
    <row r="5" spans="1:14" ht="14.25" thickTop="1" thickBot="1" x14ac:dyDescent="0.25">
      <c r="A5" s="232" t="s">
        <v>968</v>
      </c>
      <c r="B5" s="233"/>
      <c r="C5" s="233"/>
      <c r="D5" s="233"/>
      <c r="E5" s="234"/>
      <c r="F5" s="41"/>
      <c r="G5" s="37"/>
      <c r="H5" s="37"/>
      <c r="I5" s="37"/>
      <c r="J5" s="37"/>
      <c r="K5" s="37"/>
      <c r="L5" s="63">
        <f>SUBTOTAL(9,L7:L129)</f>
        <v>41869808.460000001</v>
      </c>
      <c r="M5" s="39"/>
      <c r="N5" s="39"/>
    </row>
    <row r="6" spans="1:14" ht="14.25" thickTop="1" thickBot="1" x14ac:dyDescent="0.25">
      <c r="A6" s="197" t="s">
        <v>20</v>
      </c>
      <c r="B6" s="197" t="s">
        <v>0</v>
      </c>
      <c r="C6" s="197" t="s">
        <v>540</v>
      </c>
      <c r="D6" s="197" t="s">
        <v>715</v>
      </c>
      <c r="E6" s="197" t="s">
        <v>716</v>
      </c>
      <c r="F6" s="197" t="s">
        <v>969</v>
      </c>
      <c r="G6" s="197" t="s">
        <v>713</v>
      </c>
      <c r="H6" s="197" t="s">
        <v>851</v>
      </c>
      <c r="I6" s="197" t="s">
        <v>712</v>
      </c>
      <c r="J6" s="197" t="s">
        <v>711</v>
      </c>
      <c r="K6" s="198" t="s">
        <v>645</v>
      </c>
      <c r="L6" s="198" t="s">
        <v>646</v>
      </c>
      <c r="M6" s="198" t="s">
        <v>647</v>
      </c>
      <c r="N6" s="197" t="s">
        <v>43</v>
      </c>
    </row>
    <row r="7" spans="1:14" ht="13.5" thickTop="1" x14ac:dyDescent="0.2">
      <c r="A7" s="35">
        <v>2</v>
      </c>
      <c r="B7" s="44">
        <v>44273</v>
      </c>
      <c r="C7" s="35" t="s">
        <v>542</v>
      </c>
      <c r="D7" s="35" t="s">
        <v>721</v>
      </c>
      <c r="E7" s="35" t="s">
        <v>718</v>
      </c>
      <c r="F7" s="35" t="s">
        <v>970</v>
      </c>
      <c r="G7" s="35" t="s">
        <v>651</v>
      </c>
      <c r="H7" s="35"/>
      <c r="I7" s="35">
        <v>3</v>
      </c>
      <c r="J7" s="35" t="s">
        <v>714</v>
      </c>
      <c r="K7" s="59">
        <v>1610000</v>
      </c>
      <c r="L7" s="170">
        <f t="shared" ref="L7:L38" si="0">$I7*$K7</f>
        <v>4830000</v>
      </c>
      <c r="M7" s="59" t="s">
        <v>650</v>
      </c>
      <c r="N7" s="35"/>
    </row>
    <row r="8" spans="1:14" x14ac:dyDescent="0.2">
      <c r="A8" s="34">
        <v>4</v>
      </c>
      <c r="B8" s="44">
        <v>44273</v>
      </c>
      <c r="C8" s="34" t="s">
        <v>544</v>
      </c>
      <c r="D8" s="35" t="s">
        <v>721</v>
      </c>
      <c r="E8" s="34" t="s">
        <v>718</v>
      </c>
      <c r="F8" s="35" t="s">
        <v>970</v>
      </c>
      <c r="G8" s="34" t="s">
        <v>651</v>
      </c>
      <c r="H8" s="34"/>
      <c r="I8" s="34">
        <v>1</v>
      </c>
      <c r="J8" s="35" t="s">
        <v>714</v>
      </c>
      <c r="K8" s="48">
        <v>100000</v>
      </c>
      <c r="L8" s="170">
        <f t="shared" si="0"/>
        <v>100000</v>
      </c>
      <c r="M8" s="48" t="s">
        <v>650</v>
      </c>
      <c r="N8" s="34"/>
    </row>
    <row r="9" spans="1:14" x14ac:dyDescent="0.2">
      <c r="A9" s="35">
        <v>5</v>
      </c>
      <c r="B9" s="44">
        <v>44273</v>
      </c>
      <c r="C9" s="34" t="s">
        <v>545</v>
      </c>
      <c r="D9" s="35" t="s">
        <v>721</v>
      </c>
      <c r="E9" s="34" t="s">
        <v>718</v>
      </c>
      <c r="F9" s="35" t="s">
        <v>970</v>
      </c>
      <c r="G9" s="34" t="s">
        <v>651</v>
      </c>
      <c r="H9" s="34"/>
      <c r="I9" s="34">
        <v>1</v>
      </c>
      <c r="J9" s="35" t="s">
        <v>714</v>
      </c>
      <c r="K9" s="48">
        <v>650000</v>
      </c>
      <c r="L9" s="170">
        <f t="shared" si="0"/>
        <v>650000</v>
      </c>
      <c r="M9" s="48" t="s">
        <v>650</v>
      </c>
      <c r="N9" s="34"/>
    </row>
    <row r="10" spans="1:14" x14ac:dyDescent="0.2">
      <c r="A10" s="34">
        <v>1</v>
      </c>
      <c r="B10" s="44">
        <v>44273</v>
      </c>
      <c r="C10" s="34" t="s">
        <v>541</v>
      </c>
      <c r="D10" s="35" t="s">
        <v>721</v>
      </c>
      <c r="E10" s="34" t="s">
        <v>717</v>
      </c>
      <c r="F10" s="35" t="s">
        <v>970</v>
      </c>
      <c r="G10" s="34" t="s">
        <v>648</v>
      </c>
      <c r="H10" s="34"/>
      <c r="I10" s="34">
        <v>1</v>
      </c>
      <c r="J10" s="35" t="s">
        <v>714</v>
      </c>
      <c r="K10" s="48">
        <v>1850000</v>
      </c>
      <c r="L10" s="170">
        <f t="shared" si="0"/>
        <v>1850000</v>
      </c>
      <c r="M10" s="48" t="s">
        <v>650</v>
      </c>
      <c r="N10" s="34"/>
    </row>
    <row r="11" spans="1:14" x14ac:dyDescent="0.2">
      <c r="A11" s="35">
        <v>3</v>
      </c>
      <c r="B11" s="44">
        <v>44273</v>
      </c>
      <c r="C11" s="34" t="s">
        <v>543</v>
      </c>
      <c r="D11" s="35" t="s">
        <v>721</v>
      </c>
      <c r="E11" s="34" t="s">
        <v>719</v>
      </c>
      <c r="F11" s="35" t="s">
        <v>970</v>
      </c>
      <c r="G11" s="34" t="s">
        <v>651</v>
      </c>
      <c r="H11" s="34"/>
      <c r="I11" s="34">
        <v>3</v>
      </c>
      <c r="J11" s="35" t="s">
        <v>714</v>
      </c>
      <c r="K11" s="48">
        <v>160000</v>
      </c>
      <c r="L11" s="170">
        <f t="shared" si="0"/>
        <v>480000</v>
      </c>
      <c r="M11" s="48" t="s">
        <v>650</v>
      </c>
      <c r="N11" s="34"/>
    </row>
    <row r="12" spans="1:14" x14ac:dyDescent="0.2">
      <c r="A12" s="34">
        <v>6</v>
      </c>
      <c r="B12" s="44">
        <v>44275</v>
      </c>
      <c r="C12" s="34" t="s">
        <v>546</v>
      </c>
      <c r="D12" s="34" t="s">
        <v>720</v>
      </c>
      <c r="E12" s="34" t="s">
        <v>725</v>
      </c>
      <c r="F12" s="35" t="s">
        <v>970</v>
      </c>
      <c r="G12" s="34" t="s">
        <v>653</v>
      </c>
      <c r="H12" s="34"/>
      <c r="I12" s="34">
        <v>4</v>
      </c>
      <c r="J12" s="35" t="s">
        <v>714</v>
      </c>
      <c r="K12" s="48">
        <v>1000</v>
      </c>
      <c r="L12" s="170">
        <f t="shared" si="0"/>
        <v>4000</v>
      </c>
      <c r="M12" s="48" t="s">
        <v>650</v>
      </c>
      <c r="N12" s="34"/>
    </row>
    <row r="13" spans="1:14" x14ac:dyDescent="0.2">
      <c r="A13" s="35">
        <v>7</v>
      </c>
      <c r="B13" s="44">
        <v>44275</v>
      </c>
      <c r="C13" s="34" t="s">
        <v>547</v>
      </c>
      <c r="D13" s="34" t="s">
        <v>720</v>
      </c>
      <c r="E13" s="34" t="s">
        <v>725</v>
      </c>
      <c r="F13" s="35" t="s">
        <v>970</v>
      </c>
      <c r="G13" s="34" t="s">
        <v>653</v>
      </c>
      <c r="H13" s="34"/>
      <c r="I13" s="34">
        <v>1</v>
      </c>
      <c r="J13" s="35" t="s">
        <v>714</v>
      </c>
      <c r="K13" s="48">
        <v>5000</v>
      </c>
      <c r="L13" s="170">
        <f t="shared" si="0"/>
        <v>5000</v>
      </c>
      <c r="M13" s="48" t="s">
        <v>650</v>
      </c>
      <c r="N13" s="34"/>
    </row>
    <row r="14" spans="1:14" x14ac:dyDescent="0.2">
      <c r="A14" s="34">
        <v>8</v>
      </c>
      <c r="B14" s="44">
        <v>44275</v>
      </c>
      <c r="C14" s="34" t="s">
        <v>548</v>
      </c>
      <c r="D14" s="34" t="s">
        <v>720</v>
      </c>
      <c r="E14" s="34" t="s">
        <v>725</v>
      </c>
      <c r="F14" s="35" t="s">
        <v>970</v>
      </c>
      <c r="G14" s="34" t="s">
        <v>653</v>
      </c>
      <c r="H14" s="34"/>
      <c r="I14" s="34">
        <v>1</v>
      </c>
      <c r="J14" s="35" t="s">
        <v>714</v>
      </c>
      <c r="K14" s="48">
        <v>1000</v>
      </c>
      <c r="L14" s="170">
        <f t="shared" si="0"/>
        <v>1000</v>
      </c>
      <c r="M14" s="48" t="s">
        <v>650</v>
      </c>
      <c r="N14" s="34"/>
    </row>
    <row r="15" spans="1:14" x14ac:dyDescent="0.2">
      <c r="A15" s="35">
        <v>9</v>
      </c>
      <c r="B15" s="45">
        <v>44275</v>
      </c>
      <c r="C15" s="34" t="s">
        <v>549</v>
      </c>
      <c r="D15" s="34" t="s">
        <v>720</v>
      </c>
      <c r="E15" s="34" t="s">
        <v>725</v>
      </c>
      <c r="F15" s="35" t="s">
        <v>970</v>
      </c>
      <c r="G15" s="34" t="s">
        <v>653</v>
      </c>
      <c r="H15" s="34"/>
      <c r="I15" s="34">
        <v>1</v>
      </c>
      <c r="J15" s="35" t="s">
        <v>714</v>
      </c>
      <c r="K15" s="48">
        <v>2000</v>
      </c>
      <c r="L15" s="170">
        <f t="shared" si="0"/>
        <v>2000</v>
      </c>
      <c r="M15" s="48" t="s">
        <v>650</v>
      </c>
      <c r="N15" s="34"/>
    </row>
    <row r="16" spans="1:14" x14ac:dyDescent="0.2">
      <c r="A16" s="34">
        <v>10</v>
      </c>
      <c r="B16" s="45">
        <v>44275</v>
      </c>
      <c r="C16" s="34" t="s">
        <v>550</v>
      </c>
      <c r="D16" s="34" t="s">
        <v>720</v>
      </c>
      <c r="E16" s="34" t="s">
        <v>725</v>
      </c>
      <c r="F16" s="35" t="s">
        <v>970</v>
      </c>
      <c r="G16" s="34" t="s">
        <v>653</v>
      </c>
      <c r="H16" s="34"/>
      <c r="I16" s="34">
        <v>2</v>
      </c>
      <c r="J16" s="35" t="s">
        <v>714</v>
      </c>
      <c r="K16" s="48">
        <v>4500</v>
      </c>
      <c r="L16" s="170">
        <f t="shared" si="0"/>
        <v>9000</v>
      </c>
      <c r="M16" s="48" t="s">
        <v>650</v>
      </c>
      <c r="N16" s="34"/>
    </row>
    <row r="17" spans="1:14" x14ac:dyDescent="0.2">
      <c r="A17" s="35">
        <v>11</v>
      </c>
      <c r="B17" s="45">
        <v>44275</v>
      </c>
      <c r="C17" s="34" t="s">
        <v>551</v>
      </c>
      <c r="D17" s="34" t="s">
        <v>720</v>
      </c>
      <c r="E17" s="34" t="s">
        <v>725</v>
      </c>
      <c r="F17" s="35" t="s">
        <v>970</v>
      </c>
      <c r="G17" s="34" t="s">
        <v>653</v>
      </c>
      <c r="H17" s="34"/>
      <c r="I17" s="34">
        <v>3</v>
      </c>
      <c r="J17" s="35" t="s">
        <v>714</v>
      </c>
      <c r="K17" s="48">
        <v>6500</v>
      </c>
      <c r="L17" s="170">
        <f t="shared" si="0"/>
        <v>19500</v>
      </c>
      <c r="M17" s="48" t="s">
        <v>650</v>
      </c>
      <c r="N17" s="34"/>
    </row>
    <row r="18" spans="1:14" x14ac:dyDescent="0.2">
      <c r="A18" s="34">
        <v>12</v>
      </c>
      <c r="B18" s="45">
        <v>44275</v>
      </c>
      <c r="C18" s="34" t="s">
        <v>552</v>
      </c>
      <c r="D18" s="34" t="s">
        <v>720</v>
      </c>
      <c r="E18" s="34" t="s">
        <v>725</v>
      </c>
      <c r="F18" s="35" t="s">
        <v>970</v>
      </c>
      <c r="G18" s="34" t="s">
        <v>653</v>
      </c>
      <c r="H18" s="34"/>
      <c r="I18" s="34">
        <v>1</v>
      </c>
      <c r="J18" s="35" t="s">
        <v>714</v>
      </c>
      <c r="K18" s="48">
        <v>25000</v>
      </c>
      <c r="L18" s="170">
        <f t="shared" si="0"/>
        <v>25000</v>
      </c>
      <c r="M18" s="48" t="s">
        <v>650</v>
      </c>
      <c r="N18" s="34"/>
    </row>
    <row r="19" spans="1:14" x14ac:dyDescent="0.2">
      <c r="A19" s="35">
        <v>13</v>
      </c>
      <c r="B19" s="45">
        <v>44275</v>
      </c>
      <c r="C19" s="34" t="s">
        <v>553</v>
      </c>
      <c r="D19" s="34" t="s">
        <v>720</v>
      </c>
      <c r="E19" s="34" t="s">
        <v>725</v>
      </c>
      <c r="F19" s="35" t="s">
        <v>970</v>
      </c>
      <c r="G19" s="34" t="s">
        <v>653</v>
      </c>
      <c r="H19" s="34"/>
      <c r="I19" s="34">
        <v>1</v>
      </c>
      <c r="J19" s="34" t="s">
        <v>654</v>
      </c>
      <c r="K19" s="48">
        <v>14000</v>
      </c>
      <c r="L19" s="170">
        <f t="shared" si="0"/>
        <v>14000</v>
      </c>
      <c r="M19" s="48" t="s">
        <v>650</v>
      </c>
      <c r="N19" s="34"/>
    </row>
    <row r="20" spans="1:14" x14ac:dyDescent="0.2">
      <c r="A20" s="34">
        <v>14</v>
      </c>
      <c r="B20" s="45">
        <v>44275</v>
      </c>
      <c r="C20" s="34" t="s">
        <v>554</v>
      </c>
      <c r="D20" s="34" t="s">
        <v>720</v>
      </c>
      <c r="E20" s="34" t="s">
        <v>725</v>
      </c>
      <c r="F20" s="35" t="s">
        <v>970</v>
      </c>
      <c r="G20" s="34" t="s">
        <v>653</v>
      </c>
      <c r="H20" s="34"/>
      <c r="I20" s="34">
        <v>3</v>
      </c>
      <c r="J20" s="34" t="s">
        <v>649</v>
      </c>
      <c r="K20" s="48">
        <v>12000</v>
      </c>
      <c r="L20" s="170">
        <f t="shared" si="0"/>
        <v>36000</v>
      </c>
      <c r="M20" s="48" t="s">
        <v>650</v>
      </c>
      <c r="N20" s="34"/>
    </row>
    <row r="21" spans="1:14" x14ac:dyDescent="0.2">
      <c r="A21" s="35">
        <v>15</v>
      </c>
      <c r="B21" s="45">
        <v>44275</v>
      </c>
      <c r="C21" s="34" t="s">
        <v>555</v>
      </c>
      <c r="D21" s="34" t="s">
        <v>720</v>
      </c>
      <c r="E21" s="34" t="s">
        <v>725</v>
      </c>
      <c r="F21" s="35" t="s">
        <v>970</v>
      </c>
      <c r="G21" s="34" t="s">
        <v>653</v>
      </c>
      <c r="H21" s="34"/>
      <c r="I21" s="34">
        <v>3</v>
      </c>
      <c r="J21" s="34" t="s">
        <v>649</v>
      </c>
      <c r="K21" s="48">
        <v>1000</v>
      </c>
      <c r="L21" s="170">
        <f t="shared" si="0"/>
        <v>3000</v>
      </c>
      <c r="M21" s="48" t="s">
        <v>650</v>
      </c>
      <c r="N21" s="34"/>
    </row>
    <row r="22" spans="1:14" x14ac:dyDescent="0.2">
      <c r="A22" s="34">
        <v>16</v>
      </c>
      <c r="B22" s="45">
        <v>44275</v>
      </c>
      <c r="C22" s="34" t="s">
        <v>556</v>
      </c>
      <c r="D22" s="34" t="s">
        <v>720</v>
      </c>
      <c r="E22" s="34" t="s">
        <v>725</v>
      </c>
      <c r="F22" s="35" t="s">
        <v>970</v>
      </c>
      <c r="G22" s="34" t="s">
        <v>653</v>
      </c>
      <c r="H22" s="34"/>
      <c r="I22" s="34">
        <v>1</v>
      </c>
      <c r="J22" s="34" t="s">
        <v>649</v>
      </c>
      <c r="K22" s="48">
        <v>25000</v>
      </c>
      <c r="L22" s="170">
        <f t="shared" si="0"/>
        <v>25000</v>
      </c>
      <c r="M22" s="48" t="s">
        <v>650</v>
      </c>
      <c r="N22" s="34"/>
    </row>
    <row r="23" spans="1:14" x14ac:dyDescent="0.2">
      <c r="A23" s="35">
        <v>17</v>
      </c>
      <c r="B23" s="45">
        <v>44275</v>
      </c>
      <c r="C23" s="34" t="s">
        <v>557</v>
      </c>
      <c r="D23" s="34" t="s">
        <v>720</v>
      </c>
      <c r="E23" s="34" t="s">
        <v>725</v>
      </c>
      <c r="F23" s="35" t="s">
        <v>970</v>
      </c>
      <c r="G23" s="34" t="s">
        <v>653</v>
      </c>
      <c r="H23" s="34"/>
      <c r="I23" s="34">
        <v>3</v>
      </c>
      <c r="J23" s="34" t="s">
        <v>649</v>
      </c>
      <c r="K23" s="48">
        <v>20000</v>
      </c>
      <c r="L23" s="170">
        <f t="shared" si="0"/>
        <v>60000</v>
      </c>
      <c r="M23" s="48" t="s">
        <v>650</v>
      </c>
      <c r="N23" s="34"/>
    </row>
    <row r="24" spans="1:14" x14ac:dyDescent="0.2">
      <c r="A24" s="34">
        <v>18</v>
      </c>
      <c r="B24" s="45">
        <v>44275</v>
      </c>
      <c r="C24" s="34" t="s">
        <v>558</v>
      </c>
      <c r="D24" s="34" t="s">
        <v>720</v>
      </c>
      <c r="E24" s="34" t="s">
        <v>725</v>
      </c>
      <c r="F24" s="35" t="s">
        <v>970</v>
      </c>
      <c r="G24" s="34" t="s">
        <v>653</v>
      </c>
      <c r="H24" s="34"/>
      <c r="I24" s="34">
        <v>20</v>
      </c>
      <c r="J24" s="34" t="s">
        <v>654</v>
      </c>
      <c r="K24" s="48">
        <v>1200</v>
      </c>
      <c r="L24" s="170">
        <f t="shared" si="0"/>
        <v>24000</v>
      </c>
      <c r="M24" s="48" t="s">
        <v>650</v>
      </c>
      <c r="N24" s="34"/>
    </row>
    <row r="25" spans="1:14" x14ac:dyDescent="0.2">
      <c r="A25" s="35">
        <v>19</v>
      </c>
      <c r="B25" s="45">
        <v>44275</v>
      </c>
      <c r="C25" s="34" t="s">
        <v>559</v>
      </c>
      <c r="D25" s="34" t="s">
        <v>720</v>
      </c>
      <c r="E25" s="34" t="s">
        <v>725</v>
      </c>
      <c r="F25" s="35" t="s">
        <v>970</v>
      </c>
      <c r="G25" s="34" t="s">
        <v>653</v>
      </c>
      <c r="H25" s="34"/>
      <c r="I25" s="34">
        <v>10</v>
      </c>
      <c r="J25" s="34" t="s">
        <v>654</v>
      </c>
      <c r="K25" s="48">
        <v>1000</v>
      </c>
      <c r="L25" s="170">
        <f t="shared" si="0"/>
        <v>10000</v>
      </c>
      <c r="M25" s="48" t="s">
        <v>650</v>
      </c>
      <c r="N25" s="34"/>
    </row>
    <row r="26" spans="1:14" x14ac:dyDescent="0.2">
      <c r="A26" s="34">
        <v>20</v>
      </c>
      <c r="B26" s="45">
        <v>44275</v>
      </c>
      <c r="C26" s="34" t="s">
        <v>560</v>
      </c>
      <c r="D26" s="34" t="s">
        <v>720</v>
      </c>
      <c r="E26" s="34" t="s">
        <v>725</v>
      </c>
      <c r="F26" s="35" t="s">
        <v>970</v>
      </c>
      <c r="G26" s="34" t="s">
        <v>653</v>
      </c>
      <c r="H26" s="34"/>
      <c r="I26" s="34">
        <v>2</v>
      </c>
      <c r="J26" s="34" t="s">
        <v>649</v>
      </c>
      <c r="K26" s="48">
        <v>25000</v>
      </c>
      <c r="L26" s="170">
        <f t="shared" si="0"/>
        <v>50000</v>
      </c>
      <c r="M26" s="48" t="s">
        <v>650</v>
      </c>
      <c r="N26" s="34"/>
    </row>
    <row r="27" spans="1:14" x14ac:dyDescent="0.2">
      <c r="A27" s="35">
        <v>21</v>
      </c>
      <c r="B27" s="45">
        <v>44275</v>
      </c>
      <c r="C27" s="34" t="s">
        <v>556</v>
      </c>
      <c r="D27" s="34" t="s">
        <v>720</v>
      </c>
      <c r="E27" s="34" t="s">
        <v>725</v>
      </c>
      <c r="F27" s="35" t="s">
        <v>970</v>
      </c>
      <c r="G27" s="34" t="s">
        <v>653</v>
      </c>
      <c r="H27" s="34"/>
      <c r="I27" s="34">
        <v>2</v>
      </c>
      <c r="J27" s="34" t="s">
        <v>649</v>
      </c>
      <c r="K27" s="48">
        <v>13000</v>
      </c>
      <c r="L27" s="170">
        <f t="shared" si="0"/>
        <v>26000</v>
      </c>
      <c r="M27" s="48" t="s">
        <v>650</v>
      </c>
      <c r="N27" s="34"/>
    </row>
    <row r="28" spans="1:14" x14ac:dyDescent="0.2">
      <c r="A28" s="34">
        <v>22</v>
      </c>
      <c r="B28" s="45">
        <v>44275</v>
      </c>
      <c r="C28" s="34" t="s">
        <v>561</v>
      </c>
      <c r="D28" s="34" t="s">
        <v>720</v>
      </c>
      <c r="E28" s="34" t="s">
        <v>725</v>
      </c>
      <c r="F28" s="35" t="s">
        <v>970</v>
      </c>
      <c r="G28" s="34" t="s">
        <v>653</v>
      </c>
      <c r="H28" s="34"/>
      <c r="I28" s="34">
        <v>20</v>
      </c>
      <c r="J28" s="34" t="s">
        <v>649</v>
      </c>
      <c r="K28" s="48">
        <v>5000</v>
      </c>
      <c r="L28" s="170">
        <f t="shared" si="0"/>
        <v>100000</v>
      </c>
      <c r="M28" s="48" t="s">
        <v>650</v>
      </c>
      <c r="N28" s="34"/>
    </row>
    <row r="29" spans="1:14" x14ac:dyDescent="0.2">
      <c r="A29" s="35">
        <v>23</v>
      </c>
      <c r="B29" s="45">
        <v>44275</v>
      </c>
      <c r="C29" s="34" t="s">
        <v>562</v>
      </c>
      <c r="D29" s="34" t="s">
        <v>720</v>
      </c>
      <c r="E29" s="34" t="s">
        <v>725</v>
      </c>
      <c r="F29" s="35" t="s">
        <v>970</v>
      </c>
      <c r="G29" s="34" t="s">
        <v>653</v>
      </c>
      <c r="H29" s="34"/>
      <c r="I29" s="34">
        <v>12</v>
      </c>
      <c r="J29" s="34" t="s">
        <v>649</v>
      </c>
      <c r="K29" s="48">
        <v>2500</v>
      </c>
      <c r="L29" s="170">
        <f t="shared" si="0"/>
        <v>30000</v>
      </c>
      <c r="M29" s="48" t="s">
        <v>650</v>
      </c>
      <c r="N29" s="34"/>
    </row>
    <row r="30" spans="1:14" x14ac:dyDescent="0.2">
      <c r="A30" s="34">
        <v>24</v>
      </c>
      <c r="B30" s="45">
        <v>44275</v>
      </c>
      <c r="C30" s="34" t="s">
        <v>563</v>
      </c>
      <c r="D30" s="34" t="s">
        <v>720</v>
      </c>
      <c r="E30" s="34" t="s">
        <v>725</v>
      </c>
      <c r="F30" s="35" t="s">
        <v>970</v>
      </c>
      <c r="G30" s="34" t="s">
        <v>653</v>
      </c>
      <c r="H30" s="34"/>
      <c r="I30" s="34">
        <v>12</v>
      </c>
      <c r="J30" s="34" t="s">
        <v>649</v>
      </c>
      <c r="K30" s="48">
        <v>1500</v>
      </c>
      <c r="L30" s="170">
        <f t="shared" si="0"/>
        <v>18000</v>
      </c>
      <c r="M30" s="48" t="s">
        <v>650</v>
      </c>
      <c r="N30" s="34"/>
    </row>
    <row r="31" spans="1:14" x14ac:dyDescent="0.2">
      <c r="A31" s="35">
        <v>25</v>
      </c>
      <c r="B31" s="45">
        <v>44275</v>
      </c>
      <c r="C31" s="34" t="s">
        <v>564</v>
      </c>
      <c r="D31" s="34" t="s">
        <v>720</v>
      </c>
      <c r="E31" s="34" t="s">
        <v>725</v>
      </c>
      <c r="F31" s="35" t="s">
        <v>970</v>
      </c>
      <c r="G31" s="34" t="s">
        <v>653</v>
      </c>
      <c r="H31" s="34"/>
      <c r="I31" s="34">
        <v>1</v>
      </c>
      <c r="J31" s="34" t="s">
        <v>649</v>
      </c>
      <c r="K31" s="48">
        <v>6000</v>
      </c>
      <c r="L31" s="170">
        <f t="shared" si="0"/>
        <v>6000</v>
      </c>
      <c r="M31" s="48" t="s">
        <v>650</v>
      </c>
      <c r="N31" s="34"/>
    </row>
    <row r="32" spans="1:14" x14ac:dyDescent="0.2">
      <c r="A32" s="34">
        <v>26</v>
      </c>
      <c r="B32" s="45">
        <v>44275</v>
      </c>
      <c r="C32" s="34" t="s">
        <v>565</v>
      </c>
      <c r="D32" s="34" t="s">
        <v>720</v>
      </c>
      <c r="E32" s="34" t="s">
        <v>725</v>
      </c>
      <c r="F32" s="35" t="s">
        <v>970</v>
      </c>
      <c r="G32" s="34" t="s">
        <v>653</v>
      </c>
      <c r="H32" s="34"/>
      <c r="I32" s="34">
        <v>10</v>
      </c>
      <c r="J32" s="34" t="s">
        <v>655</v>
      </c>
      <c r="K32" s="48">
        <v>17000</v>
      </c>
      <c r="L32" s="170">
        <f t="shared" si="0"/>
        <v>170000</v>
      </c>
      <c r="M32" s="48" t="s">
        <v>650</v>
      </c>
      <c r="N32" s="34"/>
    </row>
    <row r="33" spans="1:14" x14ac:dyDescent="0.2">
      <c r="A33" s="35">
        <v>27</v>
      </c>
      <c r="B33" s="45">
        <v>44275</v>
      </c>
      <c r="C33" s="34" t="s">
        <v>566</v>
      </c>
      <c r="D33" s="34" t="s">
        <v>720</v>
      </c>
      <c r="E33" s="34" t="s">
        <v>725</v>
      </c>
      <c r="F33" s="35" t="s">
        <v>970</v>
      </c>
      <c r="G33" s="34" t="s">
        <v>653</v>
      </c>
      <c r="H33" s="34"/>
      <c r="I33" s="34">
        <v>12</v>
      </c>
      <c r="J33" s="34" t="s">
        <v>649</v>
      </c>
      <c r="K33" s="48">
        <v>11000</v>
      </c>
      <c r="L33" s="170">
        <f t="shared" si="0"/>
        <v>132000</v>
      </c>
      <c r="M33" s="48" t="s">
        <v>650</v>
      </c>
      <c r="N33" s="34"/>
    </row>
    <row r="34" spans="1:14" x14ac:dyDescent="0.2">
      <c r="A34" s="34">
        <v>28</v>
      </c>
      <c r="B34" s="45">
        <v>44275</v>
      </c>
      <c r="C34" s="34" t="s">
        <v>567</v>
      </c>
      <c r="D34" s="34" t="s">
        <v>720</v>
      </c>
      <c r="E34" s="34" t="s">
        <v>725</v>
      </c>
      <c r="F34" s="35" t="s">
        <v>970</v>
      </c>
      <c r="G34" s="34" t="s">
        <v>653</v>
      </c>
      <c r="H34" s="34"/>
      <c r="I34" s="34">
        <v>2</v>
      </c>
      <c r="J34" s="34" t="s">
        <v>654</v>
      </c>
      <c r="K34" s="48">
        <v>17000</v>
      </c>
      <c r="L34" s="170">
        <f t="shared" si="0"/>
        <v>34000</v>
      </c>
      <c r="M34" s="48" t="s">
        <v>650</v>
      </c>
      <c r="N34" s="34"/>
    </row>
    <row r="35" spans="1:14" x14ac:dyDescent="0.2">
      <c r="A35" s="35">
        <v>29</v>
      </c>
      <c r="B35" s="45">
        <v>44275</v>
      </c>
      <c r="C35" s="34" t="s">
        <v>568</v>
      </c>
      <c r="D35" s="34" t="s">
        <v>720</v>
      </c>
      <c r="E35" s="34" t="s">
        <v>725</v>
      </c>
      <c r="F35" s="35" t="s">
        <v>970</v>
      </c>
      <c r="G35" s="34" t="s">
        <v>653</v>
      </c>
      <c r="H35" s="34"/>
      <c r="I35" s="34">
        <v>2</v>
      </c>
      <c r="J35" s="34" t="s">
        <v>649</v>
      </c>
      <c r="K35" s="48">
        <v>63000</v>
      </c>
      <c r="L35" s="170">
        <f t="shared" si="0"/>
        <v>126000</v>
      </c>
      <c r="M35" s="48" t="s">
        <v>650</v>
      </c>
      <c r="N35" s="34"/>
    </row>
    <row r="36" spans="1:14" x14ac:dyDescent="0.2">
      <c r="A36" s="34">
        <v>30</v>
      </c>
      <c r="B36" s="45">
        <v>44275</v>
      </c>
      <c r="C36" s="34" t="s">
        <v>569</v>
      </c>
      <c r="D36" s="34" t="s">
        <v>720</v>
      </c>
      <c r="E36" s="34" t="s">
        <v>725</v>
      </c>
      <c r="F36" s="35" t="s">
        <v>970</v>
      </c>
      <c r="G36" s="34" t="s">
        <v>653</v>
      </c>
      <c r="H36" s="34"/>
      <c r="I36" s="34">
        <v>3</v>
      </c>
      <c r="J36" s="34" t="s">
        <v>649</v>
      </c>
      <c r="K36" s="48">
        <v>25000</v>
      </c>
      <c r="L36" s="170">
        <f t="shared" si="0"/>
        <v>75000</v>
      </c>
      <c r="M36" s="48" t="s">
        <v>650</v>
      </c>
      <c r="N36" s="34"/>
    </row>
    <row r="37" spans="1:14" x14ac:dyDescent="0.2">
      <c r="A37" s="35">
        <v>31</v>
      </c>
      <c r="B37" s="45">
        <v>44275</v>
      </c>
      <c r="C37" s="34" t="s">
        <v>570</v>
      </c>
      <c r="D37" s="34" t="s">
        <v>720</v>
      </c>
      <c r="E37" s="34" t="s">
        <v>725</v>
      </c>
      <c r="F37" s="35" t="s">
        <v>970</v>
      </c>
      <c r="G37" s="34" t="s">
        <v>653</v>
      </c>
      <c r="H37" s="34"/>
      <c r="I37" s="34">
        <v>3</v>
      </c>
      <c r="J37" s="34" t="s">
        <v>654</v>
      </c>
      <c r="K37" s="48">
        <v>13000</v>
      </c>
      <c r="L37" s="170">
        <f t="shared" si="0"/>
        <v>39000</v>
      </c>
      <c r="M37" s="48" t="s">
        <v>650</v>
      </c>
      <c r="N37" s="34"/>
    </row>
    <row r="38" spans="1:14" x14ac:dyDescent="0.2">
      <c r="A38" s="34">
        <v>32</v>
      </c>
      <c r="B38" s="45">
        <v>44275</v>
      </c>
      <c r="C38" s="34" t="s">
        <v>571</v>
      </c>
      <c r="D38" s="34" t="s">
        <v>720</v>
      </c>
      <c r="E38" s="34" t="s">
        <v>725</v>
      </c>
      <c r="F38" s="35" t="s">
        <v>970</v>
      </c>
      <c r="G38" s="34" t="s">
        <v>653</v>
      </c>
      <c r="H38" s="34"/>
      <c r="I38" s="34">
        <v>36</v>
      </c>
      <c r="J38" s="34" t="s">
        <v>649</v>
      </c>
      <c r="K38" s="48">
        <v>916.66</v>
      </c>
      <c r="L38" s="170">
        <f t="shared" si="0"/>
        <v>32999.760000000002</v>
      </c>
      <c r="M38" s="48" t="s">
        <v>650</v>
      </c>
      <c r="N38" s="34"/>
    </row>
    <row r="39" spans="1:14" x14ac:dyDescent="0.2">
      <c r="A39" s="35">
        <v>33</v>
      </c>
      <c r="B39" s="45">
        <v>44275</v>
      </c>
      <c r="C39" s="34" t="s">
        <v>572</v>
      </c>
      <c r="D39" s="34" t="s">
        <v>720</v>
      </c>
      <c r="E39" s="34" t="s">
        <v>725</v>
      </c>
      <c r="F39" s="35" t="s">
        <v>970</v>
      </c>
      <c r="G39" s="34" t="s">
        <v>653</v>
      </c>
      <c r="H39" s="34"/>
      <c r="I39" s="34">
        <v>12</v>
      </c>
      <c r="J39" s="34" t="s">
        <v>649</v>
      </c>
      <c r="K39" s="48">
        <v>1000</v>
      </c>
      <c r="L39" s="170">
        <f t="shared" ref="L39:L70" si="1">$I39*$K39</f>
        <v>12000</v>
      </c>
      <c r="M39" s="48" t="s">
        <v>650</v>
      </c>
      <c r="N39" s="34"/>
    </row>
    <row r="40" spans="1:14" x14ac:dyDescent="0.2">
      <c r="A40" s="34">
        <v>34</v>
      </c>
      <c r="B40" s="45">
        <v>44275</v>
      </c>
      <c r="C40" s="34" t="s">
        <v>573</v>
      </c>
      <c r="D40" s="34" t="s">
        <v>720</v>
      </c>
      <c r="E40" s="34" t="s">
        <v>725</v>
      </c>
      <c r="F40" s="35" t="s">
        <v>970</v>
      </c>
      <c r="G40" s="34" t="s">
        <v>653</v>
      </c>
      <c r="H40" s="34"/>
      <c r="I40" s="34">
        <v>6</v>
      </c>
      <c r="J40" s="34" t="s">
        <v>654</v>
      </c>
      <c r="K40" s="48">
        <v>1500</v>
      </c>
      <c r="L40" s="170">
        <f t="shared" si="1"/>
        <v>9000</v>
      </c>
      <c r="M40" s="48" t="s">
        <v>650</v>
      </c>
      <c r="N40" s="34"/>
    </row>
    <row r="41" spans="1:14" x14ac:dyDescent="0.2">
      <c r="A41" s="35">
        <v>35</v>
      </c>
      <c r="B41" s="45">
        <v>44275</v>
      </c>
      <c r="C41" s="34" t="s">
        <v>574</v>
      </c>
      <c r="D41" s="34" t="s">
        <v>720</v>
      </c>
      <c r="E41" s="34" t="s">
        <v>725</v>
      </c>
      <c r="F41" s="35" t="s">
        <v>970</v>
      </c>
      <c r="G41" s="34" t="s">
        <v>653</v>
      </c>
      <c r="H41" s="34"/>
      <c r="I41" s="34">
        <v>3</v>
      </c>
      <c r="J41" s="34" t="s">
        <v>649</v>
      </c>
      <c r="K41" s="48">
        <v>8000</v>
      </c>
      <c r="L41" s="170">
        <f t="shared" si="1"/>
        <v>24000</v>
      </c>
      <c r="M41" s="48" t="s">
        <v>650</v>
      </c>
      <c r="N41" s="34"/>
    </row>
    <row r="42" spans="1:14" x14ac:dyDescent="0.2">
      <c r="A42" s="34">
        <v>36</v>
      </c>
      <c r="B42" s="45">
        <v>44275</v>
      </c>
      <c r="C42" s="34" t="s">
        <v>575</v>
      </c>
      <c r="D42" s="34" t="s">
        <v>720</v>
      </c>
      <c r="E42" s="34" t="s">
        <v>725</v>
      </c>
      <c r="F42" s="35" t="s">
        <v>970</v>
      </c>
      <c r="G42" s="34" t="s">
        <v>653</v>
      </c>
      <c r="H42" s="34"/>
      <c r="I42" s="34">
        <v>1</v>
      </c>
      <c r="J42" s="34" t="s">
        <v>656</v>
      </c>
      <c r="K42" s="48">
        <v>4500</v>
      </c>
      <c r="L42" s="170">
        <f t="shared" si="1"/>
        <v>4500</v>
      </c>
      <c r="M42" s="48" t="s">
        <v>650</v>
      </c>
      <c r="N42" s="34"/>
    </row>
    <row r="43" spans="1:14" x14ac:dyDescent="0.2">
      <c r="A43" s="35">
        <v>37</v>
      </c>
      <c r="B43" s="45">
        <v>44275</v>
      </c>
      <c r="C43" s="34" t="s">
        <v>722</v>
      </c>
      <c r="D43" s="34" t="s">
        <v>720</v>
      </c>
      <c r="E43" s="34" t="s">
        <v>725</v>
      </c>
      <c r="F43" s="35" t="s">
        <v>970</v>
      </c>
      <c r="G43" s="34" t="s">
        <v>653</v>
      </c>
      <c r="H43" s="34"/>
      <c r="I43" s="34">
        <v>30</v>
      </c>
      <c r="J43" s="34" t="s">
        <v>649</v>
      </c>
      <c r="K43" s="48">
        <v>300</v>
      </c>
      <c r="L43" s="170">
        <f t="shared" si="1"/>
        <v>9000</v>
      </c>
      <c r="M43" s="48" t="s">
        <v>650</v>
      </c>
      <c r="N43" s="34"/>
    </row>
    <row r="44" spans="1:14" x14ac:dyDescent="0.2">
      <c r="A44" s="34">
        <v>38</v>
      </c>
      <c r="B44" s="45">
        <v>44275</v>
      </c>
      <c r="C44" s="34" t="s">
        <v>576</v>
      </c>
      <c r="D44" s="34" t="s">
        <v>720</v>
      </c>
      <c r="E44" s="34" t="s">
        <v>723</v>
      </c>
      <c r="F44" s="35" t="s">
        <v>970</v>
      </c>
      <c r="G44" s="34"/>
      <c r="H44" s="34"/>
      <c r="I44" s="34">
        <v>47.11</v>
      </c>
      <c r="J44" s="34" t="s">
        <v>657</v>
      </c>
      <c r="K44" s="48">
        <v>3670</v>
      </c>
      <c r="L44" s="170">
        <f t="shared" si="1"/>
        <v>172893.7</v>
      </c>
      <c r="M44" s="48" t="s">
        <v>658</v>
      </c>
      <c r="N44" s="34"/>
    </row>
    <row r="45" spans="1:14" x14ac:dyDescent="0.2">
      <c r="A45" s="35">
        <v>41</v>
      </c>
      <c r="B45" s="45">
        <v>44277</v>
      </c>
      <c r="C45" s="34" t="s">
        <v>579</v>
      </c>
      <c r="D45" s="34" t="s">
        <v>720</v>
      </c>
      <c r="E45" s="34" t="s">
        <v>726</v>
      </c>
      <c r="F45" s="35" t="s">
        <v>970</v>
      </c>
      <c r="G45" s="34" t="s">
        <v>661</v>
      </c>
      <c r="H45" s="34"/>
      <c r="I45" s="34">
        <v>1</v>
      </c>
      <c r="J45" s="34"/>
      <c r="K45" s="48">
        <v>200000</v>
      </c>
      <c r="L45" s="170">
        <f t="shared" si="1"/>
        <v>200000</v>
      </c>
      <c r="M45" s="48" t="s">
        <v>662</v>
      </c>
      <c r="N45" s="34"/>
    </row>
    <row r="46" spans="1:14" x14ac:dyDescent="0.2">
      <c r="A46" s="34">
        <v>42</v>
      </c>
      <c r="B46" s="45">
        <v>44285</v>
      </c>
      <c r="C46" s="34" t="s">
        <v>580</v>
      </c>
      <c r="D46" s="34" t="s">
        <v>720</v>
      </c>
      <c r="E46" s="34" t="s">
        <v>724</v>
      </c>
      <c r="F46" s="35" t="s">
        <v>970</v>
      </c>
      <c r="G46" s="34" t="s">
        <v>663</v>
      </c>
      <c r="H46" s="34"/>
      <c r="I46" s="34">
        <v>1</v>
      </c>
      <c r="J46" s="34"/>
      <c r="K46" s="48">
        <v>2700000</v>
      </c>
      <c r="L46" s="170">
        <f t="shared" si="1"/>
        <v>2700000</v>
      </c>
      <c r="M46" s="48" t="s">
        <v>662</v>
      </c>
      <c r="N46" s="34"/>
    </row>
    <row r="47" spans="1:14" x14ac:dyDescent="0.2">
      <c r="A47" s="34">
        <v>44</v>
      </c>
      <c r="B47" s="45">
        <v>44286</v>
      </c>
      <c r="C47" s="34" t="s">
        <v>582</v>
      </c>
      <c r="D47" s="34" t="s">
        <v>721</v>
      </c>
      <c r="E47" s="34" t="s">
        <v>719</v>
      </c>
      <c r="F47" s="35" t="s">
        <v>970</v>
      </c>
      <c r="G47" s="34" t="s">
        <v>664</v>
      </c>
      <c r="H47" s="34"/>
      <c r="I47" s="34">
        <v>1</v>
      </c>
      <c r="J47" s="34"/>
      <c r="K47" s="48">
        <v>1400000</v>
      </c>
      <c r="L47" s="170">
        <f t="shared" si="1"/>
        <v>1400000</v>
      </c>
      <c r="M47" s="48" t="s">
        <v>662</v>
      </c>
      <c r="N47" s="34"/>
    </row>
    <row r="48" spans="1:14" x14ac:dyDescent="0.2">
      <c r="A48" s="34">
        <v>43</v>
      </c>
      <c r="B48" s="45">
        <v>44286</v>
      </c>
      <c r="C48" s="34" t="s">
        <v>581</v>
      </c>
      <c r="D48" s="34" t="s">
        <v>720</v>
      </c>
      <c r="E48" s="34" t="s">
        <v>724</v>
      </c>
      <c r="F48" s="35" t="s">
        <v>970</v>
      </c>
      <c r="G48" s="34" t="s">
        <v>663</v>
      </c>
      <c r="H48" s="34"/>
      <c r="I48" s="34">
        <v>1</v>
      </c>
      <c r="J48" s="34"/>
      <c r="K48" s="48">
        <v>1130000</v>
      </c>
      <c r="L48" s="170">
        <f t="shared" si="1"/>
        <v>1130000</v>
      </c>
      <c r="M48" s="48" t="s">
        <v>662</v>
      </c>
      <c r="N48" s="34"/>
    </row>
    <row r="49" spans="1:14" x14ac:dyDescent="0.2">
      <c r="A49" s="34">
        <v>45</v>
      </c>
      <c r="B49" s="45">
        <v>44287</v>
      </c>
      <c r="C49" s="34" t="s">
        <v>583</v>
      </c>
      <c r="D49" s="34" t="s">
        <v>720</v>
      </c>
      <c r="E49" s="34" t="s">
        <v>723</v>
      </c>
      <c r="F49" s="35" t="s">
        <v>970</v>
      </c>
      <c r="G49" s="34" t="s">
        <v>326</v>
      </c>
      <c r="H49" s="34"/>
      <c r="I49" s="34">
        <v>1</v>
      </c>
      <c r="J49" s="34" t="s">
        <v>665</v>
      </c>
      <c r="K49" s="48">
        <v>500000</v>
      </c>
      <c r="L49" s="170">
        <f t="shared" si="1"/>
        <v>500000</v>
      </c>
      <c r="M49" s="48" t="s">
        <v>662</v>
      </c>
      <c r="N49" s="34"/>
    </row>
    <row r="50" spans="1:14" x14ac:dyDescent="0.2">
      <c r="A50" s="34">
        <v>46</v>
      </c>
      <c r="B50" s="45">
        <v>44287</v>
      </c>
      <c r="C50" s="34" t="s">
        <v>576</v>
      </c>
      <c r="D50" s="34" t="s">
        <v>720</v>
      </c>
      <c r="E50" s="34" t="s">
        <v>723</v>
      </c>
      <c r="F50" s="35" t="s">
        <v>970</v>
      </c>
      <c r="G50" s="34" t="s">
        <v>666</v>
      </c>
      <c r="H50" s="34"/>
      <c r="I50" s="34">
        <v>45.95</v>
      </c>
      <c r="J50" s="34" t="s">
        <v>657</v>
      </c>
      <c r="K50" s="48">
        <v>3700</v>
      </c>
      <c r="L50" s="170">
        <f t="shared" si="1"/>
        <v>170015</v>
      </c>
      <c r="M50" s="48" t="s">
        <v>658</v>
      </c>
      <c r="N50" s="34"/>
    </row>
    <row r="51" spans="1:14" x14ac:dyDescent="0.2">
      <c r="A51" s="34">
        <v>48</v>
      </c>
      <c r="B51" s="45">
        <v>44292</v>
      </c>
      <c r="C51" s="34" t="s">
        <v>584</v>
      </c>
      <c r="D51" s="34" t="s">
        <v>720</v>
      </c>
      <c r="E51" s="34" t="s">
        <v>724</v>
      </c>
      <c r="F51" s="35" t="s">
        <v>970</v>
      </c>
      <c r="G51" s="34" t="s">
        <v>668</v>
      </c>
      <c r="H51" s="34"/>
      <c r="I51" s="34">
        <v>3</v>
      </c>
      <c r="J51" s="34" t="s">
        <v>669</v>
      </c>
      <c r="K51" s="48">
        <v>100000</v>
      </c>
      <c r="L51" s="170">
        <f t="shared" si="1"/>
        <v>300000</v>
      </c>
      <c r="M51" s="48" t="s">
        <v>670</v>
      </c>
      <c r="N51" s="34"/>
    </row>
    <row r="52" spans="1:14" x14ac:dyDescent="0.2">
      <c r="A52" s="34">
        <v>47</v>
      </c>
      <c r="B52" s="45">
        <v>44294</v>
      </c>
      <c r="C52" s="34" t="s">
        <v>576</v>
      </c>
      <c r="D52" s="34" t="s">
        <v>720</v>
      </c>
      <c r="E52" s="34" t="s">
        <v>723</v>
      </c>
      <c r="F52" s="35" t="s">
        <v>970</v>
      </c>
      <c r="G52" s="34" t="s">
        <v>667</v>
      </c>
      <c r="H52" s="34"/>
      <c r="I52" s="34">
        <v>58</v>
      </c>
      <c r="J52" s="34" t="s">
        <v>657</v>
      </c>
      <c r="K52" s="48">
        <f>225000/58</f>
        <v>3879.3103448275861</v>
      </c>
      <c r="L52" s="170">
        <f t="shared" si="1"/>
        <v>225000</v>
      </c>
      <c r="M52" s="48" t="s">
        <v>658</v>
      </c>
      <c r="N52" s="34"/>
    </row>
    <row r="53" spans="1:14" x14ac:dyDescent="0.2">
      <c r="A53" s="34">
        <v>49</v>
      </c>
      <c r="B53" s="45">
        <v>44300</v>
      </c>
      <c r="C53" s="34" t="s">
        <v>585</v>
      </c>
      <c r="D53" s="34" t="s">
        <v>720</v>
      </c>
      <c r="E53" s="34" t="s">
        <v>727</v>
      </c>
      <c r="F53" s="35" t="s">
        <v>970</v>
      </c>
      <c r="G53" s="34" t="s">
        <v>671</v>
      </c>
      <c r="H53" s="34"/>
      <c r="I53" s="34">
        <v>1</v>
      </c>
      <c r="J53" s="34"/>
      <c r="K53" s="48">
        <v>4800000</v>
      </c>
      <c r="L53" s="170">
        <f t="shared" si="1"/>
        <v>4800000</v>
      </c>
      <c r="M53" s="48" t="s">
        <v>672</v>
      </c>
      <c r="N53" s="34"/>
    </row>
    <row r="54" spans="1:14" x14ac:dyDescent="0.2">
      <c r="A54" s="34">
        <v>50</v>
      </c>
      <c r="B54" s="45">
        <v>44306</v>
      </c>
      <c r="C54" s="34" t="s">
        <v>586</v>
      </c>
      <c r="D54" s="34" t="s">
        <v>720</v>
      </c>
      <c r="E54" s="34" t="s">
        <v>728</v>
      </c>
      <c r="F54" s="35" t="s">
        <v>970</v>
      </c>
      <c r="G54" s="34" t="s">
        <v>673</v>
      </c>
      <c r="H54" s="34"/>
      <c r="I54" s="34">
        <v>1</v>
      </c>
      <c r="J54" s="34"/>
      <c r="K54" s="48">
        <v>8500000</v>
      </c>
      <c r="L54" s="170">
        <f t="shared" si="1"/>
        <v>8500000</v>
      </c>
      <c r="M54" s="48" t="s">
        <v>674</v>
      </c>
      <c r="N54" s="34"/>
    </row>
    <row r="55" spans="1:14" x14ac:dyDescent="0.2">
      <c r="A55" s="34">
        <v>51</v>
      </c>
      <c r="B55" s="45">
        <v>44311</v>
      </c>
      <c r="C55" s="34" t="s">
        <v>587</v>
      </c>
      <c r="D55" s="34" t="s">
        <v>720</v>
      </c>
      <c r="E55" s="34" t="s">
        <v>724</v>
      </c>
      <c r="F55" s="35" t="s">
        <v>970</v>
      </c>
      <c r="G55" s="34" t="s">
        <v>675</v>
      </c>
      <c r="H55" s="34"/>
      <c r="I55" s="34">
        <v>1</v>
      </c>
      <c r="J55" s="34" t="s">
        <v>649</v>
      </c>
      <c r="K55" s="48">
        <v>27000</v>
      </c>
      <c r="L55" s="170">
        <f t="shared" si="1"/>
        <v>27000</v>
      </c>
      <c r="M55" s="48" t="s">
        <v>662</v>
      </c>
      <c r="N55" s="34"/>
    </row>
    <row r="56" spans="1:14" x14ac:dyDescent="0.2">
      <c r="A56" s="34">
        <v>52</v>
      </c>
      <c r="B56" s="45">
        <v>44311</v>
      </c>
      <c r="C56" s="34" t="s">
        <v>588</v>
      </c>
      <c r="D56" s="34" t="s">
        <v>720</v>
      </c>
      <c r="E56" s="34" t="s">
        <v>724</v>
      </c>
      <c r="F56" s="35" t="s">
        <v>970</v>
      </c>
      <c r="G56" s="34" t="s">
        <v>676</v>
      </c>
      <c r="H56" s="34"/>
      <c r="I56" s="34">
        <v>3</v>
      </c>
      <c r="J56" s="34" t="s">
        <v>649</v>
      </c>
      <c r="K56" s="48">
        <v>25000</v>
      </c>
      <c r="L56" s="170">
        <f t="shared" si="1"/>
        <v>75000</v>
      </c>
      <c r="M56" s="48" t="s">
        <v>662</v>
      </c>
      <c r="N56" s="34"/>
    </row>
    <row r="57" spans="1:14" x14ac:dyDescent="0.2">
      <c r="A57" s="34">
        <v>53</v>
      </c>
      <c r="B57" s="45">
        <v>44311</v>
      </c>
      <c r="C57" s="34" t="s">
        <v>589</v>
      </c>
      <c r="D57" s="34" t="s">
        <v>720</v>
      </c>
      <c r="E57" s="34" t="s">
        <v>724</v>
      </c>
      <c r="F57" s="35" t="s">
        <v>970</v>
      </c>
      <c r="G57" s="34" t="s">
        <v>677</v>
      </c>
      <c r="H57" s="34"/>
      <c r="I57" s="34">
        <v>4</v>
      </c>
      <c r="J57" s="34" t="s">
        <v>649</v>
      </c>
      <c r="K57" s="48">
        <v>3000</v>
      </c>
      <c r="L57" s="170">
        <f t="shared" si="1"/>
        <v>12000</v>
      </c>
      <c r="M57" s="48" t="s">
        <v>662</v>
      </c>
      <c r="N57" s="34"/>
    </row>
    <row r="58" spans="1:14" x14ac:dyDescent="0.2">
      <c r="A58" s="34">
        <v>54</v>
      </c>
      <c r="B58" s="45">
        <v>44311</v>
      </c>
      <c r="C58" s="34" t="s">
        <v>590</v>
      </c>
      <c r="D58" s="34" t="s">
        <v>720</v>
      </c>
      <c r="E58" s="34" t="s">
        <v>724</v>
      </c>
      <c r="F58" s="35" t="s">
        <v>970</v>
      </c>
      <c r="G58" s="34" t="s">
        <v>677</v>
      </c>
      <c r="H58" s="34"/>
      <c r="I58" s="34">
        <v>10</v>
      </c>
      <c r="J58" s="34" t="s">
        <v>657</v>
      </c>
      <c r="K58" s="48">
        <v>2000</v>
      </c>
      <c r="L58" s="170">
        <f t="shared" si="1"/>
        <v>20000</v>
      </c>
      <c r="M58" s="48" t="s">
        <v>662</v>
      </c>
      <c r="N58" s="34"/>
    </row>
    <row r="59" spans="1:14" x14ac:dyDescent="0.2">
      <c r="A59" s="34">
        <v>55</v>
      </c>
      <c r="B59" s="45">
        <v>44312</v>
      </c>
      <c r="C59" s="34" t="s">
        <v>591</v>
      </c>
      <c r="D59" s="34" t="s">
        <v>720</v>
      </c>
      <c r="E59" s="34" t="s">
        <v>724</v>
      </c>
      <c r="F59" s="35" t="s">
        <v>970</v>
      </c>
      <c r="G59" s="34" t="s">
        <v>678</v>
      </c>
      <c r="H59" s="34"/>
      <c r="I59" s="34">
        <v>1</v>
      </c>
      <c r="J59" s="34"/>
      <c r="K59" s="48">
        <v>310000</v>
      </c>
      <c r="L59" s="170">
        <f t="shared" si="1"/>
        <v>310000</v>
      </c>
      <c r="M59" s="48" t="s">
        <v>662</v>
      </c>
      <c r="N59" s="34"/>
    </row>
    <row r="60" spans="1:14" x14ac:dyDescent="0.2">
      <c r="A60" s="34">
        <v>56</v>
      </c>
      <c r="B60" s="45">
        <v>44312</v>
      </c>
      <c r="C60" s="34" t="s">
        <v>592</v>
      </c>
      <c r="D60" s="34" t="s">
        <v>720</v>
      </c>
      <c r="E60" s="34" t="s">
        <v>725</v>
      </c>
      <c r="F60" s="35" t="s">
        <v>970</v>
      </c>
      <c r="G60" s="34" t="s">
        <v>678</v>
      </c>
      <c r="H60" s="34"/>
      <c r="I60" s="34">
        <v>1</v>
      </c>
      <c r="J60" s="34"/>
      <c r="K60" s="48">
        <v>14000</v>
      </c>
      <c r="L60" s="170">
        <f t="shared" si="1"/>
        <v>14000</v>
      </c>
      <c r="M60" s="48" t="s">
        <v>662</v>
      </c>
      <c r="N60" s="34"/>
    </row>
    <row r="61" spans="1:14" x14ac:dyDescent="0.2">
      <c r="A61" s="34">
        <v>57</v>
      </c>
      <c r="B61" s="45">
        <v>44312</v>
      </c>
      <c r="C61" s="34" t="s">
        <v>593</v>
      </c>
      <c r="D61" s="34" t="s">
        <v>720</v>
      </c>
      <c r="E61" s="34" t="s">
        <v>725</v>
      </c>
      <c r="F61" s="35" t="s">
        <v>970</v>
      </c>
      <c r="G61" s="34" t="s">
        <v>678</v>
      </c>
      <c r="H61" s="34"/>
      <c r="I61" s="34">
        <v>1</v>
      </c>
      <c r="J61" s="34" t="s">
        <v>654</v>
      </c>
      <c r="K61" s="48">
        <v>15000</v>
      </c>
      <c r="L61" s="170">
        <f t="shared" si="1"/>
        <v>15000</v>
      </c>
      <c r="M61" s="48" t="s">
        <v>662</v>
      </c>
      <c r="N61" s="34"/>
    </row>
    <row r="62" spans="1:14" x14ac:dyDescent="0.2">
      <c r="A62" s="34">
        <v>58</v>
      </c>
      <c r="B62" s="45">
        <v>44312</v>
      </c>
      <c r="C62" s="34" t="s">
        <v>594</v>
      </c>
      <c r="D62" s="34" t="s">
        <v>720</v>
      </c>
      <c r="E62" s="34" t="s">
        <v>725</v>
      </c>
      <c r="F62" s="35" t="s">
        <v>970</v>
      </c>
      <c r="G62" s="34" t="s">
        <v>678</v>
      </c>
      <c r="H62" s="34"/>
      <c r="I62" s="34">
        <v>1</v>
      </c>
      <c r="J62" s="34" t="s">
        <v>654</v>
      </c>
      <c r="K62" s="48">
        <v>6000</v>
      </c>
      <c r="L62" s="170">
        <f t="shared" si="1"/>
        <v>6000</v>
      </c>
      <c r="M62" s="48" t="s">
        <v>662</v>
      </c>
      <c r="N62" s="34"/>
    </row>
    <row r="63" spans="1:14" x14ac:dyDescent="0.2">
      <c r="A63" s="34">
        <v>59</v>
      </c>
      <c r="B63" s="45">
        <v>44312</v>
      </c>
      <c r="C63" s="34" t="s">
        <v>595</v>
      </c>
      <c r="D63" s="34" t="s">
        <v>720</v>
      </c>
      <c r="E63" s="34" t="s">
        <v>725</v>
      </c>
      <c r="F63" s="35" t="s">
        <v>970</v>
      </c>
      <c r="G63" s="34" t="s">
        <v>678</v>
      </c>
      <c r="H63" s="34"/>
      <c r="I63" s="34">
        <v>2</v>
      </c>
      <c r="J63" s="34" t="s">
        <v>649</v>
      </c>
      <c r="K63" s="48">
        <v>500</v>
      </c>
      <c r="L63" s="170">
        <f t="shared" si="1"/>
        <v>1000</v>
      </c>
      <c r="M63" s="48" t="s">
        <v>662</v>
      </c>
      <c r="N63" s="34"/>
    </row>
    <row r="64" spans="1:14" x14ac:dyDescent="0.2">
      <c r="A64" s="34">
        <v>60</v>
      </c>
      <c r="B64" s="45">
        <v>44312</v>
      </c>
      <c r="C64" s="34" t="s">
        <v>596</v>
      </c>
      <c r="D64" s="34" t="s">
        <v>720</v>
      </c>
      <c r="E64" s="34" t="s">
        <v>725</v>
      </c>
      <c r="F64" s="35" t="s">
        <v>970</v>
      </c>
      <c r="G64" s="34" t="s">
        <v>678</v>
      </c>
      <c r="H64" s="34"/>
      <c r="I64" s="34">
        <v>1</v>
      </c>
      <c r="J64" s="34" t="s">
        <v>649</v>
      </c>
      <c r="K64" s="48">
        <v>4000</v>
      </c>
      <c r="L64" s="170">
        <f t="shared" si="1"/>
        <v>4000</v>
      </c>
      <c r="M64" s="48" t="s">
        <v>662</v>
      </c>
      <c r="N64" s="34"/>
    </row>
    <row r="65" spans="1:14" x14ac:dyDescent="0.2">
      <c r="A65" s="34">
        <v>62</v>
      </c>
      <c r="B65" s="45">
        <v>44313</v>
      </c>
      <c r="C65" s="34" t="s">
        <v>598</v>
      </c>
      <c r="D65" s="34" t="s">
        <v>720</v>
      </c>
      <c r="E65" s="34" t="s">
        <v>729</v>
      </c>
      <c r="F65" s="35" t="s">
        <v>970</v>
      </c>
      <c r="G65" s="34" t="s">
        <v>662</v>
      </c>
      <c r="H65" s="34"/>
      <c r="I65" s="34">
        <v>2</v>
      </c>
      <c r="J65" s="34" t="s">
        <v>680</v>
      </c>
      <c r="K65" s="48">
        <v>126000</v>
      </c>
      <c r="L65" s="170">
        <f t="shared" si="1"/>
        <v>252000</v>
      </c>
      <c r="M65" s="48" t="s">
        <v>662</v>
      </c>
      <c r="N65" s="34"/>
    </row>
    <row r="66" spans="1:14" x14ac:dyDescent="0.2">
      <c r="A66" s="34">
        <v>63</v>
      </c>
      <c r="B66" s="45">
        <v>44313</v>
      </c>
      <c r="C66" s="34" t="s">
        <v>599</v>
      </c>
      <c r="D66" s="34" t="s">
        <v>720</v>
      </c>
      <c r="E66" s="34" t="s">
        <v>729</v>
      </c>
      <c r="F66" s="35" t="s">
        <v>970</v>
      </c>
      <c r="G66" s="34" t="s">
        <v>662</v>
      </c>
      <c r="H66" s="34"/>
      <c r="I66" s="34">
        <v>2</v>
      </c>
      <c r="J66" s="34" t="s">
        <v>681</v>
      </c>
      <c r="K66" s="48">
        <v>300000</v>
      </c>
      <c r="L66" s="170">
        <f t="shared" si="1"/>
        <v>600000</v>
      </c>
      <c r="M66" s="48" t="s">
        <v>662</v>
      </c>
      <c r="N66" s="34"/>
    </row>
    <row r="67" spans="1:14" x14ac:dyDescent="0.2">
      <c r="A67" s="34">
        <v>66</v>
      </c>
      <c r="B67" s="45">
        <v>44314</v>
      </c>
      <c r="C67" s="34" t="s">
        <v>602</v>
      </c>
      <c r="D67" s="34" t="s">
        <v>721</v>
      </c>
      <c r="E67" s="34" t="s">
        <v>717</v>
      </c>
      <c r="F67" s="35" t="s">
        <v>970</v>
      </c>
      <c r="G67" s="34" t="s">
        <v>683</v>
      </c>
      <c r="H67" s="34"/>
      <c r="I67" s="34">
        <v>1</v>
      </c>
      <c r="J67" s="34" t="s">
        <v>684</v>
      </c>
      <c r="K67" s="48">
        <v>1045000</v>
      </c>
      <c r="L67" s="170">
        <f t="shared" si="1"/>
        <v>1045000</v>
      </c>
      <c r="M67" s="48" t="s">
        <v>662</v>
      </c>
      <c r="N67" s="34"/>
    </row>
    <row r="68" spans="1:14" x14ac:dyDescent="0.2">
      <c r="A68" s="34">
        <v>61</v>
      </c>
      <c r="B68" s="45">
        <v>44314</v>
      </c>
      <c r="C68" s="34" t="s">
        <v>597</v>
      </c>
      <c r="D68" s="34" t="s">
        <v>720</v>
      </c>
      <c r="E68" s="34" t="s">
        <v>731</v>
      </c>
      <c r="F68" s="35" t="s">
        <v>970</v>
      </c>
      <c r="G68" s="34" t="s">
        <v>679</v>
      </c>
      <c r="H68" s="34"/>
      <c r="I68" s="34">
        <v>1</v>
      </c>
      <c r="J68" s="34" t="s">
        <v>665</v>
      </c>
      <c r="K68" s="48">
        <v>285000</v>
      </c>
      <c r="L68" s="170">
        <f t="shared" si="1"/>
        <v>285000</v>
      </c>
      <c r="M68" s="48" t="s">
        <v>662</v>
      </c>
      <c r="N68" s="34"/>
    </row>
    <row r="69" spans="1:14" x14ac:dyDescent="0.2">
      <c r="A69" s="34">
        <v>64</v>
      </c>
      <c r="B69" s="45">
        <v>44314</v>
      </c>
      <c r="C69" s="34" t="s">
        <v>600</v>
      </c>
      <c r="D69" s="34" t="s">
        <v>720</v>
      </c>
      <c r="E69" s="34" t="s">
        <v>724</v>
      </c>
      <c r="F69" s="35" t="s">
        <v>970</v>
      </c>
      <c r="G69" s="34" t="s">
        <v>662</v>
      </c>
      <c r="H69" s="34"/>
      <c r="I69" s="34">
        <v>1</v>
      </c>
      <c r="J69" s="34" t="s">
        <v>665</v>
      </c>
      <c r="K69" s="48">
        <v>200000</v>
      </c>
      <c r="L69" s="170">
        <f t="shared" si="1"/>
        <v>200000</v>
      </c>
      <c r="M69" s="48" t="s">
        <v>662</v>
      </c>
      <c r="N69" s="34"/>
    </row>
    <row r="70" spans="1:14" x14ac:dyDescent="0.2">
      <c r="A70" s="34">
        <v>65</v>
      </c>
      <c r="B70" s="45">
        <v>44314</v>
      </c>
      <c r="C70" s="34" t="s">
        <v>601</v>
      </c>
      <c r="D70" s="34" t="s">
        <v>720</v>
      </c>
      <c r="E70" s="34" t="s">
        <v>724</v>
      </c>
      <c r="F70" s="35" t="s">
        <v>970</v>
      </c>
      <c r="G70" s="34" t="s">
        <v>682</v>
      </c>
      <c r="H70" s="34"/>
      <c r="I70" s="34">
        <v>1</v>
      </c>
      <c r="J70" s="34" t="s">
        <v>649</v>
      </c>
      <c r="K70" s="48">
        <v>140000</v>
      </c>
      <c r="L70" s="170">
        <f t="shared" si="1"/>
        <v>140000</v>
      </c>
      <c r="M70" s="48" t="s">
        <v>662</v>
      </c>
      <c r="N70" s="34"/>
    </row>
    <row r="71" spans="1:14" x14ac:dyDescent="0.2">
      <c r="A71" s="34">
        <v>67</v>
      </c>
      <c r="B71" s="45">
        <v>44315</v>
      </c>
      <c r="C71" s="34" t="s">
        <v>603</v>
      </c>
      <c r="D71" s="34" t="s">
        <v>721</v>
      </c>
      <c r="E71" s="34" t="s">
        <v>717</v>
      </c>
      <c r="F71" s="35" t="s">
        <v>970</v>
      </c>
      <c r="G71" s="34" t="s">
        <v>685</v>
      </c>
      <c r="H71" s="34"/>
      <c r="I71" s="34">
        <v>5</v>
      </c>
      <c r="J71" s="34" t="s">
        <v>649</v>
      </c>
      <c r="K71" s="48">
        <v>26000</v>
      </c>
      <c r="L71" s="170">
        <f t="shared" ref="L71:L102" si="2">$I71*$K71</f>
        <v>130000</v>
      </c>
      <c r="M71" s="48" t="s">
        <v>662</v>
      </c>
      <c r="N71" s="34"/>
    </row>
    <row r="72" spans="1:14" x14ac:dyDescent="0.2">
      <c r="A72" s="62">
        <v>68</v>
      </c>
      <c r="B72" s="66">
        <v>44315</v>
      </c>
      <c r="C72" s="62" t="s">
        <v>604</v>
      </c>
      <c r="D72" s="67" t="s">
        <v>721</v>
      </c>
      <c r="E72" s="67" t="s">
        <v>717</v>
      </c>
      <c r="F72" s="35" t="s">
        <v>970</v>
      </c>
      <c r="G72" s="62" t="s">
        <v>683</v>
      </c>
      <c r="H72" s="62"/>
      <c r="I72" s="62">
        <v>2</v>
      </c>
      <c r="J72" s="62" t="s">
        <v>649</v>
      </c>
      <c r="K72" s="60">
        <v>450000</v>
      </c>
      <c r="L72" s="171">
        <f t="shared" si="2"/>
        <v>900000</v>
      </c>
      <c r="M72" s="60" t="s">
        <v>662</v>
      </c>
      <c r="N72" s="34"/>
    </row>
    <row r="73" spans="1:14" x14ac:dyDescent="0.2">
      <c r="A73" s="34">
        <v>69</v>
      </c>
      <c r="B73" s="45">
        <v>44316</v>
      </c>
      <c r="C73" s="34" t="s">
        <v>605</v>
      </c>
      <c r="D73" s="35" t="s">
        <v>721</v>
      </c>
      <c r="E73" s="35" t="s">
        <v>718</v>
      </c>
      <c r="F73" s="35" t="s">
        <v>970</v>
      </c>
      <c r="G73" s="34" t="s">
        <v>686</v>
      </c>
      <c r="H73" s="34"/>
      <c r="I73" s="34">
        <v>1</v>
      </c>
      <c r="J73" s="34" t="s">
        <v>649</v>
      </c>
      <c r="K73" s="48">
        <v>123000</v>
      </c>
      <c r="L73" s="170">
        <f t="shared" si="2"/>
        <v>123000</v>
      </c>
      <c r="M73" s="48" t="s">
        <v>662</v>
      </c>
      <c r="N73" s="34"/>
    </row>
    <row r="74" spans="1:14" x14ac:dyDescent="0.2">
      <c r="A74" s="34">
        <v>70</v>
      </c>
      <c r="B74" s="45">
        <v>44316</v>
      </c>
      <c r="C74" s="34" t="s">
        <v>606</v>
      </c>
      <c r="D74" s="35" t="s">
        <v>720</v>
      </c>
      <c r="E74" s="35" t="s">
        <v>724</v>
      </c>
      <c r="F74" s="35" t="s">
        <v>970</v>
      </c>
      <c r="G74" s="34" t="s">
        <v>686</v>
      </c>
      <c r="H74" s="34"/>
      <c r="I74" s="34">
        <v>1</v>
      </c>
      <c r="J74" s="34" t="s">
        <v>687</v>
      </c>
      <c r="K74" s="48">
        <v>50000</v>
      </c>
      <c r="L74" s="170">
        <f t="shared" si="2"/>
        <v>50000</v>
      </c>
      <c r="M74" s="48" t="s">
        <v>662</v>
      </c>
      <c r="N74" s="34"/>
    </row>
    <row r="75" spans="1:14" x14ac:dyDescent="0.2">
      <c r="A75" s="34">
        <v>71</v>
      </c>
      <c r="B75" s="45">
        <v>44317</v>
      </c>
      <c r="C75" s="34" t="s">
        <v>607</v>
      </c>
      <c r="D75" s="34" t="s">
        <v>720</v>
      </c>
      <c r="E75" s="34" t="s">
        <v>724</v>
      </c>
      <c r="F75" s="35" t="s">
        <v>970</v>
      </c>
      <c r="G75" s="34" t="s">
        <v>688</v>
      </c>
      <c r="H75" s="34"/>
      <c r="I75" s="34">
        <v>1</v>
      </c>
      <c r="J75" s="34" t="s">
        <v>649</v>
      </c>
      <c r="K75" s="48">
        <v>25000</v>
      </c>
      <c r="L75" s="170">
        <f t="shared" si="2"/>
        <v>25000</v>
      </c>
      <c r="M75" s="48" t="s">
        <v>662</v>
      </c>
      <c r="N75" s="34"/>
    </row>
    <row r="76" spans="1:14" x14ac:dyDescent="0.2">
      <c r="A76" s="34">
        <v>72</v>
      </c>
      <c r="B76" s="45">
        <v>44317</v>
      </c>
      <c r="C76" s="34" t="s">
        <v>608</v>
      </c>
      <c r="D76" s="34" t="s">
        <v>720</v>
      </c>
      <c r="E76" s="34" t="s">
        <v>730</v>
      </c>
      <c r="F76" s="35" t="s">
        <v>970</v>
      </c>
      <c r="G76" s="34" t="s">
        <v>689</v>
      </c>
      <c r="H76" s="34"/>
      <c r="I76" s="34">
        <v>1</v>
      </c>
      <c r="J76" s="34" t="s">
        <v>649</v>
      </c>
      <c r="K76" s="48">
        <v>50000</v>
      </c>
      <c r="L76" s="170">
        <f t="shared" si="2"/>
        <v>50000</v>
      </c>
      <c r="M76" s="48" t="s">
        <v>662</v>
      </c>
      <c r="N76" s="34"/>
    </row>
    <row r="77" spans="1:14" x14ac:dyDescent="0.2">
      <c r="A77" s="34">
        <v>73</v>
      </c>
      <c r="B77" s="45">
        <v>44319</v>
      </c>
      <c r="C77" s="34" t="s">
        <v>609</v>
      </c>
      <c r="D77" s="34" t="s">
        <v>720</v>
      </c>
      <c r="E77" s="34" t="s">
        <v>725</v>
      </c>
      <c r="F77" s="35" t="s">
        <v>970</v>
      </c>
      <c r="G77" s="34" t="s">
        <v>678</v>
      </c>
      <c r="H77" s="34"/>
      <c r="I77" s="34">
        <v>1</v>
      </c>
      <c r="J77" s="34" t="s">
        <v>654</v>
      </c>
      <c r="K77" s="48">
        <v>4500</v>
      </c>
      <c r="L77" s="170">
        <f t="shared" si="2"/>
        <v>4500</v>
      </c>
      <c r="M77" s="48" t="s">
        <v>662</v>
      </c>
      <c r="N77" s="34"/>
    </row>
    <row r="78" spans="1:14" x14ac:dyDescent="0.2">
      <c r="A78" s="34">
        <v>74</v>
      </c>
      <c r="B78" s="45">
        <v>44319</v>
      </c>
      <c r="C78" s="34" t="s">
        <v>610</v>
      </c>
      <c r="D78" s="34" t="s">
        <v>720</v>
      </c>
      <c r="E78" s="34" t="s">
        <v>724</v>
      </c>
      <c r="F78" s="35" t="s">
        <v>970</v>
      </c>
      <c r="G78" s="34" t="s">
        <v>688</v>
      </c>
      <c r="H78" s="34"/>
      <c r="I78" s="34">
        <v>1</v>
      </c>
      <c r="J78" s="34" t="s">
        <v>649</v>
      </c>
      <c r="K78" s="48">
        <v>20000</v>
      </c>
      <c r="L78" s="170">
        <f t="shared" si="2"/>
        <v>20000</v>
      </c>
      <c r="M78" s="48" t="s">
        <v>662</v>
      </c>
      <c r="N78" s="34"/>
    </row>
    <row r="79" spans="1:14" x14ac:dyDescent="0.2">
      <c r="A79" s="34">
        <v>75</v>
      </c>
      <c r="B79" s="45">
        <v>44319</v>
      </c>
      <c r="C79" s="34" t="s">
        <v>611</v>
      </c>
      <c r="D79" s="34" t="s">
        <v>720</v>
      </c>
      <c r="E79" s="34" t="s">
        <v>724</v>
      </c>
      <c r="F79" s="35" t="s">
        <v>970</v>
      </c>
      <c r="G79" s="34" t="s">
        <v>688</v>
      </c>
      <c r="H79" s="34"/>
      <c r="I79" s="34">
        <v>1</v>
      </c>
      <c r="J79" s="34" t="s">
        <v>649</v>
      </c>
      <c r="K79" s="48">
        <v>20000</v>
      </c>
      <c r="L79" s="170">
        <f t="shared" si="2"/>
        <v>20000</v>
      </c>
      <c r="M79" s="48" t="s">
        <v>662</v>
      </c>
      <c r="N79" s="34"/>
    </row>
    <row r="80" spans="1:14" x14ac:dyDescent="0.2">
      <c r="A80" s="34">
        <v>76</v>
      </c>
      <c r="B80" s="45">
        <v>44319</v>
      </c>
      <c r="C80" s="34" t="s">
        <v>612</v>
      </c>
      <c r="D80" s="34" t="s">
        <v>720</v>
      </c>
      <c r="E80" s="34" t="s">
        <v>724</v>
      </c>
      <c r="F80" s="35" t="s">
        <v>970</v>
      </c>
      <c r="G80" s="34" t="s">
        <v>688</v>
      </c>
      <c r="H80" s="34"/>
      <c r="I80" s="34">
        <v>1</v>
      </c>
      <c r="J80" s="34" t="s">
        <v>649</v>
      </c>
      <c r="K80" s="48">
        <v>40000</v>
      </c>
      <c r="L80" s="170">
        <f t="shared" si="2"/>
        <v>40000</v>
      </c>
      <c r="M80" s="48" t="s">
        <v>662</v>
      </c>
      <c r="N80" s="34"/>
    </row>
    <row r="81" spans="1:14" x14ac:dyDescent="0.2">
      <c r="A81" s="34">
        <v>77</v>
      </c>
      <c r="B81" s="45">
        <v>44319</v>
      </c>
      <c r="C81" s="34" t="s">
        <v>613</v>
      </c>
      <c r="D81" s="34" t="s">
        <v>720</v>
      </c>
      <c r="E81" s="34" t="s">
        <v>724</v>
      </c>
      <c r="F81" s="35" t="s">
        <v>970</v>
      </c>
      <c r="G81" s="34" t="s">
        <v>690</v>
      </c>
      <c r="H81" s="34"/>
      <c r="I81" s="34">
        <v>1</v>
      </c>
      <c r="J81" s="34" t="s">
        <v>649</v>
      </c>
      <c r="K81" s="48">
        <v>18000</v>
      </c>
      <c r="L81" s="170">
        <f t="shared" si="2"/>
        <v>18000</v>
      </c>
      <c r="M81" s="48" t="s">
        <v>662</v>
      </c>
      <c r="N81" s="34"/>
    </row>
    <row r="82" spans="1:14" x14ac:dyDescent="0.2">
      <c r="A82" s="34">
        <v>78</v>
      </c>
      <c r="B82" s="45">
        <v>44319</v>
      </c>
      <c r="C82" s="34" t="s">
        <v>614</v>
      </c>
      <c r="D82" s="34" t="s">
        <v>720</v>
      </c>
      <c r="E82" s="34" t="s">
        <v>724</v>
      </c>
      <c r="F82" s="35" t="s">
        <v>970</v>
      </c>
      <c r="G82" s="34" t="s">
        <v>690</v>
      </c>
      <c r="H82" s="34"/>
      <c r="I82" s="34">
        <v>1</v>
      </c>
      <c r="J82" s="34" t="s">
        <v>649</v>
      </c>
      <c r="K82" s="48">
        <v>7000</v>
      </c>
      <c r="L82" s="170">
        <f t="shared" si="2"/>
        <v>7000</v>
      </c>
      <c r="M82" s="48" t="s">
        <v>662</v>
      </c>
      <c r="N82" s="34"/>
    </row>
    <row r="83" spans="1:14" x14ac:dyDescent="0.2">
      <c r="A83" s="34">
        <v>79</v>
      </c>
      <c r="B83" s="45">
        <v>44320</v>
      </c>
      <c r="C83" s="34" t="s">
        <v>615</v>
      </c>
      <c r="D83" s="34" t="s">
        <v>720</v>
      </c>
      <c r="E83" s="34" t="s">
        <v>724</v>
      </c>
      <c r="F83" s="35" t="s">
        <v>970</v>
      </c>
      <c r="G83" s="34" t="s">
        <v>691</v>
      </c>
      <c r="H83" s="34"/>
      <c r="I83" s="34">
        <v>1</v>
      </c>
      <c r="J83" s="34" t="s">
        <v>649</v>
      </c>
      <c r="K83" s="48">
        <v>10000</v>
      </c>
      <c r="L83" s="170">
        <f t="shared" si="2"/>
        <v>10000</v>
      </c>
      <c r="M83" s="48" t="s">
        <v>662</v>
      </c>
      <c r="N83" s="34"/>
    </row>
    <row r="84" spans="1:14" x14ac:dyDescent="0.2">
      <c r="A84" s="34">
        <v>80</v>
      </c>
      <c r="B84" s="45">
        <v>44320</v>
      </c>
      <c r="C84" s="34" t="s">
        <v>616</v>
      </c>
      <c r="D84" s="34" t="s">
        <v>720</v>
      </c>
      <c r="E84" s="34" t="s">
        <v>724</v>
      </c>
      <c r="F84" s="35" t="s">
        <v>970</v>
      </c>
      <c r="G84" s="34" t="s">
        <v>691</v>
      </c>
      <c r="H84" s="34"/>
      <c r="I84" s="34">
        <v>4</v>
      </c>
      <c r="J84" s="34" t="s">
        <v>649</v>
      </c>
      <c r="K84" s="48">
        <v>5000</v>
      </c>
      <c r="L84" s="170">
        <f t="shared" si="2"/>
        <v>20000</v>
      </c>
      <c r="M84" s="48" t="s">
        <v>662</v>
      </c>
      <c r="N84" s="34"/>
    </row>
    <row r="85" spans="1:14" x14ac:dyDescent="0.2">
      <c r="A85" s="34">
        <v>81</v>
      </c>
      <c r="B85" s="45">
        <v>44320</v>
      </c>
      <c r="C85" s="34" t="s">
        <v>617</v>
      </c>
      <c r="D85" s="34" t="s">
        <v>720</v>
      </c>
      <c r="E85" s="34" t="s">
        <v>724</v>
      </c>
      <c r="F85" s="35" t="s">
        <v>970</v>
      </c>
      <c r="G85" s="34" t="s">
        <v>691</v>
      </c>
      <c r="H85" s="34"/>
      <c r="I85" s="34">
        <v>1</v>
      </c>
      <c r="J85" s="34" t="s">
        <v>649</v>
      </c>
      <c r="K85" s="48">
        <v>7500</v>
      </c>
      <c r="L85" s="170">
        <f t="shared" si="2"/>
        <v>7500</v>
      </c>
      <c r="M85" s="48" t="s">
        <v>662</v>
      </c>
      <c r="N85" s="34"/>
    </row>
    <row r="86" spans="1:14" x14ac:dyDescent="0.2">
      <c r="A86" s="34">
        <v>82</v>
      </c>
      <c r="B86" s="45">
        <v>44320</v>
      </c>
      <c r="C86" s="34" t="s">
        <v>618</v>
      </c>
      <c r="D86" s="34" t="s">
        <v>720</v>
      </c>
      <c r="E86" s="34" t="s">
        <v>724</v>
      </c>
      <c r="F86" s="35" t="s">
        <v>970</v>
      </c>
      <c r="G86" s="34" t="s">
        <v>691</v>
      </c>
      <c r="H86" s="34"/>
      <c r="I86" s="34">
        <v>1</v>
      </c>
      <c r="J86" s="34" t="s">
        <v>649</v>
      </c>
      <c r="K86" s="48">
        <v>7000</v>
      </c>
      <c r="L86" s="170">
        <f t="shared" si="2"/>
        <v>7000</v>
      </c>
      <c r="M86" s="48" t="s">
        <v>662</v>
      </c>
      <c r="N86" s="34"/>
    </row>
    <row r="87" spans="1:14" x14ac:dyDescent="0.2">
      <c r="A87" s="34">
        <v>83</v>
      </c>
      <c r="B87" s="45">
        <v>44321</v>
      </c>
      <c r="C87" s="34" t="s">
        <v>619</v>
      </c>
      <c r="D87" s="34" t="s">
        <v>720</v>
      </c>
      <c r="E87" s="34" t="s">
        <v>725</v>
      </c>
      <c r="F87" s="35" t="s">
        <v>970</v>
      </c>
      <c r="G87" s="34" t="s">
        <v>678</v>
      </c>
      <c r="H87" s="34"/>
      <c r="I87" s="34">
        <v>1</v>
      </c>
      <c r="J87" s="34" t="s">
        <v>649</v>
      </c>
      <c r="K87" s="48">
        <v>15000</v>
      </c>
      <c r="L87" s="170">
        <f t="shared" si="2"/>
        <v>15000</v>
      </c>
      <c r="M87" s="48" t="s">
        <v>662</v>
      </c>
      <c r="N87" s="34"/>
    </row>
    <row r="88" spans="1:14" x14ac:dyDescent="0.2">
      <c r="A88" s="34">
        <v>84</v>
      </c>
      <c r="B88" s="45">
        <v>44324</v>
      </c>
      <c r="C88" s="34" t="s">
        <v>620</v>
      </c>
      <c r="D88" s="34" t="s">
        <v>732</v>
      </c>
      <c r="E88" s="34" t="s">
        <v>733</v>
      </c>
      <c r="F88" s="35" t="s">
        <v>970</v>
      </c>
      <c r="G88" s="34" t="s">
        <v>679</v>
      </c>
      <c r="H88" s="34"/>
      <c r="I88" s="34">
        <v>1</v>
      </c>
      <c r="J88" s="34" t="s">
        <v>652</v>
      </c>
      <c r="K88" s="48">
        <v>300000</v>
      </c>
      <c r="L88" s="170">
        <f t="shared" si="2"/>
        <v>300000</v>
      </c>
      <c r="M88" s="48" t="s">
        <v>662</v>
      </c>
      <c r="N88" s="34"/>
    </row>
    <row r="89" spans="1:14" x14ac:dyDescent="0.2">
      <c r="A89" s="34">
        <v>88</v>
      </c>
      <c r="B89" s="45">
        <v>44326</v>
      </c>
      <c r="C89" s="34" t="s">
        <v>624</v>
      </c>
      <c r="D89" s="34" t="s">
        <v>721</v>
      </c>
      <c r="E89" s="34" t="s">
        <v>717</v>
      </c>
      <c r="F89" s="35" t="s">
        <v>970</v>
      </c>
      <c r="G89" s="34" t="s">
        <v>694</v>
      </c>
      <c r="H89" s="34"/>
      <c r="I89" s="34">
        <v>1</v>
      </c>
      <c r="J89" s="34" t="s">
        <v>649</v>
      </c>
      <c r="K89" s="48">
        <v>175000</v>
      </c>
      <c r="L89" s="61">
        <f t="shared" si="2"/>
        <v>175000</v>
      </c>
      <c r="M89" s="48" t="s">
        <v>662</v>
      </c>
      <c r="N89" s="34"/>
    </row>
    <row r="90" spans="1:14" x14ac:dyDescent="0.2">
      <c r="A90" s="34">
        <v>85</v>
      </c>
      <c r="B90" s="45">
        <v>44326</v>
      </c>
      <c r="C90" s="34" t="s">
        <v>621</v>
      </c>
      <c r="D90" s="34" t="s">
        <v>720</v>
      </c>
      <c r="E90" s="34" t="s">
        <v>724</v>
      </c>
      <c r="F90" s="35" t="s">
        <v>970</v>
      </c>
      <c r="G90" s="34" t="s">
        <v>692</v>
      </c>
      <c r="H90" s="34"/>
      <c r="I90" s="34">
        <v>7</v>
      </c>
      <c r="J90" s="34" t="s">
        <v>669</v>
      </c>
      <c r="K90" s="48">
        <v>10000</v>
      </c>
      <c r="L90" s="61">
        <f t="shared" si="2"/>
        <v>70000</v>
      </c>
      <c r="M90" s="48" t="s">
        <v>662</v>
      </c>
      <c r="N90" s="34"/>
    </row>
    <row r="91" spans="1:14" x14ac:dyDescent="0.2">
      <c r="A91" s="34">
        <v>86</v>
      </c>
      <c r="B91" s="45">
        <v>44326</v>
      </c>
      <c r="C91" s="34" t="s">
        <v>622</v>
      </c>
      <c r="D91" s="34" t="s">
        <v>720</v>
      </c>
      <c r="E91" s="34" t="s">
        <v>731</v>
      </c>
      <c r="F91" s="35" t="s">
        <v>970</v>
      </c>
      <c r="G91" s="34" t="s">
        <v>693</v>
      </c>
      <c r="H91" s="34"/>
      <c r="I91" s="34">
        <v>1</v>
      </c>
      <c r="J91" s="34" t="s">
        <v>649</v>
      </c>
      <c r="K91" s="48">
        <v>70000</v>
      </c>
      <c r="L91" s="61">
        <f t="shared" si="2"/>
        <v>70000</v>
      </c>
      <c r="M91" s="48" t="s">
        <v>662</v>
      </c>
      <c r="N91" s="34"/>
    </row>
    <row r="92" spans="1:14" x14ac:dyDescent="0.2">
      <c r="A92" s="34">
        <v>87</v>
      </c>
      <c r="B92" s="45">
        <v>44326</v>
      </c>
      <c r="C92" s="34" t="s">
        <v>623</v>
      </c>
      <c r="D92" s="34" t="s">
        <v>720</v>
      </c>
      <c r="E92" s="34" t="s">
        <v>724</v>
      </c>
      <c r="F92" s="35" t="s">
        <v>970</v>
      </c>
      <c r="G92" s="34" t="s">
        <v>694</v>
      </c>
      <c r="H92" s="34"/>
      <c r="I92" s="34">
        <v>3</v>
      </c>
      <c r="J92" s="34" t="s">
        <v>649</v>
      </c>
      <c r="K92" s="48">
        <v>20000</v>
      </c>
      <c r="L92" s="61">
        <f t="shared" si="2"/>
        <v>60000</v>
      </c>
      <c r="M92" s="48" t="s">
        <v>662</v>
      </c>
      <c r="N92" s="34"/>
    </row>
    <row r="93" spans="1:14" x14ac:dyDescent="0.2">
      <c r="A93" s="34">
        <v>89</v>
      </c>
      <c r="B93" s="45">
        <v>44326</v>
      </c>
      <c r="C93" s="34" t="s">
        <v>625</v>
      </c>
      <c r="D93" s="35" t="s">
        <v>720</v>
      </c>
      <c r="E93" s="35" t="s">
        <v>734</v>
      </c>
      <c r="F93" s="35" t="s">
        <v>970</v>
      </c>
      <c r="G93" s="34" t="s">
        <v>695</v>
      </c>
      <c r="H93" s="34"/>
      <c r="I93" s="34">
        <v>5</v>
      </c>
      <c r="J93" s="34" t="s">
        <v>669</v>
      </c>
      <c r="K93" s="48">
        <v>3000</v>
      </c>
      <c r="L93" s="61">
        <f t="shared" si="2"/>
        <v>15000</v>
      </c>
      <c r="M93" s="48" t="s">
        <v>662</v>
      </c>
      <c r="N93" s="34"/>
    </row>
    <row r="94" spans="1:14" x14ac:dyDescent="0.2">
      <c r="A94" s="34">
        <v>90</v>
      </c>
      <c r="B94" s="45">
        <v>44326</v>
      </c>
      <c r="C94" s="34" t="s">
        <v>626</v>
      </c>
      <c r="D94" s="34" t="s">
        <v>720</v>
      </c>
      <c r="E94" s="34" t="s">
        <v>734</v>
      </c>
      <c r="F94" s="35" t="s">
        <v>970</v>
      </c>
      <c r="G94" s="34" t="s">
        <v>695</v>
      </c>
      <c r="H94" s="34"/>
      <c r="I94" s="34">
        <v>7</v>
      </c>
      <c r="J94" s="34" t="s">
        <v>669</v>
      </c>
      <c r="K94" s="48">
        <v>5000</v>
      </c>
      <c r="L94" s="61">
        <f t="shared" si="2"/>
        <v>35000</v>
      </c>
      <c r="M94" s="48" t="s">
        <v>662</v>
      </c>
      <c r="N94" s="34"/>
    </row>
    <row r="95" spans="1:14" x14ac:dyDescent="0.2">
      <c r="A95" s="34">
        <v>91</v>
      </c>
      <c r="B95" s="45">
        <v>44328</v>
      </c>
      <c r="C95" s="34" t="s">
        <v>627</v>
      </c>
      <c r="D95" s="34" t="s">
        <v>721</v>
      </c>
      <c r="E95" s="34" t="s">
        <v>719</v>
      </c>
      <c r="F95" s="35" t="s">
        <v>970</v>
      </c>
      <c r="G95" s="34" t="s">
        <v>696</v>
      </c>
      <c r="H95" s="34"/>
      <c r="I95" s="34">
        <v>1</v>
      </c>
      <c r="J95" s="34" t="s">
        <v>649</v>
      </c>
      <c r="K95" s="48">
        <v>1350000</v>
      </c>
      <c r="L95" s="61">
        <f t="shared" si="2"/>
        <v>1350000</v>
      </c>
      <c r="M95" s="48" t="s">
        <v>662</v>
      </c>
      <c r="N95" s="34"/>
    </row>
    <row r="96" spans="1:14" x14ac:dyDescent="0.2">
      <c r="A96" s="34">
        <v>92</v>
      </c>
      <c r="B96" s="45">
        <v>44328</v>
      </c>
      <c r="C96" s="34" t="s">
        <v>628</v>
      </c>
      <c r="D96" s="34" t="s">
        <v>720</v>
      </c>
      <c r="E96" s="34" t="s">
        <v>724</v>
      </c>
      <c r="F96" s="35" t="s">
        <v>970</v>
      </c>
      <c r="G96" s="34" t="s">
        <v>697</v>
      </c>
      <c r="H96" s="34"/>
      <c r="I96" s="34">
        <v>7</v>
      </c>
      <c r="J96" s="34" t="s">
        <v>698</v>
      </c>
      <c r="K96" s="48">
        <v>3000</v>
      </c>
      <c r="L96" s="61">
        <f t="shared" si="2"/>
        <v>21000</v>
      </c>
      <c r="M96" s="48" t="s">
        <v>662</v>
      </c>
      <c r="N96" s="34"/>
    </row>
    <row r="97" spans="1:14" x14ac:dyDescent="0.2">
      <c r="A97" s="34">
        <v>93</v>
      </c>
      <c r="B97" s="45">
        <v>44328</v>
      </c>
      <c r="C97" s="34" t="s">
        <v>629</v>
      </c>
      <c r="D97" s="34" t="s">
        <v>720</v>
      </c>
      <c r="E97" s="34" t="s">
        <v>724</v>
      </c>
      <c r="F97" s="35" t="s">
        <v>970</v>
      </c>
      <c r="G97" s="34" t="s">
        <v>699</v>
      </c>
      <c r="H97" s="34"/>
      <c r="I97" s="34">
        <v>1</v>
      </c>
      <c r="J97" s="34" t="s">
        <v>649</v>
      </c>
      <c r="K97" s="48">
        <v>7000</v>
      </c>
      <c r="L97" s="61">
        <f t="shared" si="2"/>
        <v>7000</v>
      </c>
      <c r="M97" s="48" t="s">
        <v>662</v>
      </c>
      <c r="N97" s="34"/>
    </row>
    <row r="98" spans="1:14" x14ac:dyDescent="0.2">
      <c r="A98" s="34">
        <v>94</v>
      </c>
      <c r="B98" s="45">
        <v>44330</v>
      </c>
      <c r="C98" s="34" t="s">
        <v>630</v>
      </c>
      <c r="D98" s="34" t="s">
        <v>721</v>
      </c>
      <c r="E98" s="34" t="s">
        <v>719</v>
      </c>
      <c r="F98" s="35" t="s">
        <v>970</v>
      </c>
      <c r="G98" s="34" t="s">
        <v>700</v>
      </c>
      <c r="H98" s="34"/>
      <c r="I98" s="34">
        <v>1</v>
      </c>
      <c r="J98" s="34" t="s">
        <v>649</v>
      </c>
      <c r="K98" s="48">
        <v>138000</v>
      </c>
      <c r="L98" s="61">
        <f t="shared" si="2"/>
        <v>138000</v>
      </c>
      <c r="M98" s="48" t="s">
        <v>662</v>
      </c>
      <c r="N98" s="34"/>
    </row>
    <row r="99" spans="1:14" x14ac:dyDescent="0.2">
      <c r="A99" s="34">
        <v>95</v>
      </c>
      <c r="B99" s="45">
        <v>44330</v>
      </c>
      <c r="C99" s="34" t="s">
        <v>631</v>
      </c>
      <c r="D99" s="35" t="s">
        <v>720</v>
      </c>
      <c r="E99" s="35" t="s">
        <v>724</v>
      </c>
      <c r="F99" s="35" t="s">
        <v>970</v>
      </c>
      <c r="G99" s="34" t="s">
        <v>678</v>
      </c>
      <c r="H99" s="34"/>
      <c r="I99" s="34">
        <v>1</v>
      </c>
      <c r="J99" s="34" t="s">
        <v>649</v>
      </c>
      <c r="K99" s="48">
        <v>10000</v>
      </c>
      <c r="L99" s="61">
        <f t="shared" si="2"/>
        <v>10000</v>
      </c>
      <c r="M99" s="48" t="s">
        <v>662</v>
      </c>
      <c r="N99" s="34"/>
    </row>
    <row r="100" spans="1:14" x14ac:dyDescent="0.2">
      <c r="A100" s="34">
        <v>96</v>
      </c>
      <c r="B100" s="45">
        <v>44330</v>
      </c>
      <c r="C100" s="34" t="s">
        <v>632</v>
      </c>
      <c r="D100" s="34" t="s">
        <v>720</v>
      </c>
      <c r="E100" s="34" t="s">
        <v>724</v>
      </c>
      <c r="F100" s="35" t="s">
        <v>970</v>
      </c>
      <c r="G100" s="34" t="s">
        <v>701</v>
      </c>
      <c r="H100" s="34"/>
      <c r="I100" s="34">
        <v>1</v>
      </c>
      <c r="J100" s="34" t="s">
        <v>702</v>
      </c>
      <c r="K100" s="48">
        <v>20000</v>
      </c>
      <c r="L100" s="61">
        <f t="shared" si="2"/>
        <v>20000</v>
      </c>
      <c r="M100" s="48" t="s">
        <v>662</v>
      </c>
      <c r="N100" s="34"/>
    </row>
    <row r="101" spans="1:14" x14ac:dyDescent="0.2">
      <c r="A101" s="34">
        <v>97</v>
      </c>
      <c r="B101" s="45">
        <v>44330</v>
      </c>
      <c r="C101" s="34" t="s">
        <v>633</v>
      </c>
      <c r="D101" s="34" t="s">
        <v>720</v>
      </c>
      <c r="E101" s="34" t="s">
        <v>724</v>
      </c>
      <c r="F101" s="35" t="s">
        <v>970</v>
      </c>
      <c r="G101" s="34" t="s">
        <v>703</v>
      </c>
      <c r="H101" s="34"/>
      <c r="I101" s="34">
        <v>1</v>
      </c>
      <c r="J101" s="34" t="s">
        <v>649</v>
      </c>
      <c r="K101" s="48">
        <v>2000</v>
      </c>
      <c r="L101" s="61">
        <f t="shared" si="2"/>
        <v>2000</v>
      </c>
      <c r="M101" s="48" t="s">
        <v>662</v>
      </c>
      <c r="N101" s="34"/>
    </row>
    <row r="102" spans="1:14" x14ac:dyDescent="0.2">
      <c r="A102" s="34">
        <v>98</v>
      </c>
      <c r="B102" s="45">
        <v>44330</v>
      </c>
      <c r="C102" s="34" t="s">
        <v>634</v>
      </c>
      <c r="D102" s="35" t="s">
        <v>720</v>
      </c>
      <c r="E102" s="34" t="s">
        <v>724</v>
      </c>
      <c r="F102" s="35" t="s">
        <v>970</v>
      </c>
      <c r="G102" s="34" t="s">
        <v>703</v>
      </c>
      <c r="H102" s="34"/>
      <c r="I102" s="34">
        <v>1</v>
      </c>
      <c r="J102" s="34" t="s">
        <v>649</v>
      </c>
      <c r="K102" s="48">
        <v>8000</v>
      </c>
      <c r="L102" s="61">
        <f t="shared" si="2"/>
        <v>8000</v>
      </c>
      <c r="M102" s="48" t="s">
        <v>662</v>
      </c>
      <c r="N102" s="34"/>
    </row>
    <row r="103" spans="1:14" x14ac:dyDescent="0.2">
      <c r="A103" s="34">
        <v>99</v>
      </c>
      <c r="B103" s="45">
        <v>44330</v>
      </c>
      <c r="C103" s="34" t="s">
        <v>635</v>
      </c>
      <c r="D103" s="34" t="s">
        <v>720</v>
      </c>
      <c r="E103" s="34" t="s">
        <v>724</v>
      </c>
      <c r="F103" s="35" t="s">
        <v>970</v>
      </c>
      <c r="G103" s="34" t="s">
        <v>703</v>
      </c>
      <c r="H103" s="34"/>
      <c r="I103" s="34">
        <v>1</v>
      </c>
      <c r="J103" s="34" t="s">
        <v>669</v>
      </c>
      <c r="K103" s="48">
        <v>20000</v>
      </c>
      <c r="L103" s="61">
        <f t="shared" ref="L103:L115" si="3">$I103*$K103</f>
        <v>20000</v>
      </c>
      <c r="M103" s="48" t="s">
        <v>662</v>
      </c>
      <c r="N103" s="34"/>
    </row>
    <row r="104" spans="1:14" x14ac:dyDescent="0.2">
      <c r="A104" s="34">
        <v>100</v>
      </c>
      <c r="B104" s="45">
        <v>44330</v>
      </c>
      <c r="C104" s="34" t="s">
        <v>636</v>
      </c>
      <c r="D104" s="34" t="s">
        <v>720</v>
      </c>
      <c r="E104" s="34" t="s">
        <v>724</v>
      </c>
      <c r="F104" s="35" t="s">
        <v>970</v>
      </c>
      <c r="G104" s="34" t="s">
        <v>704</v>
      </c>
      <c r="H104" s="34"/>
      <c r="I104" s="34">
        <v>1</v>
      </c>
      <c r="J104" s="34" t="s">
        <v>657</v>
      </c>
      <c r="K104" s="48">
        <v>3900</v>
      </c>
      <c r="L104" s="61">
        <f t="shared" si="3"/>
        <v>3900</v>
      </c>
      <c r="M104" s="48" t="s">
        <v>662</v>
      </c>
      <c r="N104" s="34"/>
    </row>
    <row r="105" spans="1:14" x14ac:dyDescent="0.2">
      <c r="A105" s="34">
        <v>101</v>
      </c>
      <c r="B105" s="45">
        <v>44336</v>
      </c>
      <c r="C105" s="34" t="s">
        <v>637</v>
      </c>
      <c r="D105" s="35" t="s">
        <v>720</v>
      </c>
      <c r="E105" s="34" t="s">
        <v>724</v>
      </c>
      <c r="F105" s="35" t="s">
        <v>970</v>
      </c>
      <c r="G105" s="34" t="s">
        <v>705</v>
      </c>
      <c r="H105" s="34"/>
      <c r="I105" s="34">
        <v>1</v>
      </c>
      <c r="J105" s="34" t="s">
        <v>649</v>
      </c>
      <c r="K105" s="48">
        <v>100000</v>
      </c>
      <c r="L105" s="170">
        <f t="shared" si="3"/>
        <v>100000</v>
      </c>
      <c r="M105" s="48" t="s">
        <v>662</v>
      </c>
      <c r="N105" s="34"/>
    </row>
    <row r="106" spans="1:14" x14ac:dyDescent="0.2">
      <c r="A106" s="34">
        <v>102</v>
      </c>
      <c r="B106" s="45">
        <v>44338</v>
      </c>
      <c r="C106" s="34" t="s">
        <v>638</v>
      </c>
      <c r="D106" s="34" t="s">
        <v>720</v>
      </c>
      <c r="E106" s="34" t="s">
        <v>724</v>
      </c>
      <c r="F106" s="35" t="s">
        <v>970</v>
      </c>
      <c r="G106" s="34" t="s">
        <v>706</v>
      </c>
      <c r="H106" s="34"/>
      <c r="I106" s="34">
        <v>1</v>
      </c>
      <c r="J106" s="34" t="s">
        <v>649</v>
      </c>
      <c r="K106" s="48">
        <v>10000</v>
      </c>
      <c r="L106" s="170">
        <f t="shared" si="3"/>
        <v>10000</v>
      </c>
      <c r="M106" s="48" t="s">
        <v>662</v>
      </c>
      <c r="N106" s="34"/>
    </row>
    <row r="107" spans="1:14" x14ac:dyDescent="0.2">
      <c r="A107" s="34">
        <v>103</v>
      </c>
      <c r="B107" s="45">
        <v>44340</v>
      </c>
      <c r="C107" s="34" t="s">
        <v>603</v>
      </c>
      <c r="D107" s="34" t="s">
        <v>721</v>
      </c>
      <c r="E107" s="34" t="s">
        <v>717</v>
      </c>
      <c r="F107" s="35" t="s">
        <v>970</v>
      </c>
      <c r="G107" s="34" t="s">
        <v>707</v>
      </c>
      <c r="H107" s="34"/>
      <c r="I107" s="34">
        <v>2</v>
      </c>
      <c r="J107" s="34" t="s">
        <v>649</v>
      </c>
      <c r="K107" s="48">
        <v>26000</v>
      </c>
      <c r="L107" s="170">
        <f t="shared" si="3"/>
        <v>52000</v>
      </c>
      <c r="M107" s="48" t="s">
        <v>662</v>
      </c>
      <c r="N107" s="34"/>
    </row>
    <row r="108" spans="1:14" x14ac:dyDescent="0.2">
      <c r="A108" s="34">
        <v>104</v>
      </c>
      <c r="B108" s="45">
        <v>44344</v>
      </c>
      <c r="C108" s="34" t="s">
        <v>639</v>
      </c>
      <c r="D108" s="34" t="s">
        <v>720</v>
      </c>
      <c r="E108" s="34" t="s">
        <v>723</v>
      </c>
      <c r="F108" s="35" t="s">
        <v>970</v>
      </c>
      <c r="G108" s="34" t="s">
        <v>325</v>
      </c>
      <c r="H108" s="34"/>
      <c r="I108" s="34">
        <v>1</v>
      </c>
      <c r="J108" s="34" t="s">
        <v>665</v>
      </c>
      <c r="K108" s="48">
        <v>175000</v>
      </c>
      <c r="L108" s="170">
        <f t="shared" si="3"/>
        <v>175000</v>
      </c>
      <c r="M108" s="48" t="s">
        <v>662</v>
      </c>
      <c r="N108" s="34"/>
    </row>
    <row r="109" spans="1:14" x14ac:dyDescent="0.2">
      <c r="A109" s="34">
        <v>105</v>
      </c>
      <c r="B109" s="45">
        <v>44349</v>
      </c>
      <c r="C109" s="34" t="s">
        <v>640</v>
      </c>
      <c r="D109" s="34" t="s">
        <v>720</v>
      </c>
      <c r="E109" s="34" t="s">
        <v>724</v>
      </c>
      <c r="F109" s="35" t="s">
        <v>970</v>
      </c>
      <c r="G109" s="34" t="s">
        <v>705</v>
      </c>
      <c r="H109" s="34"/>
      <c r="I109" s="34">
        <v>1</v>
      </c>
      <c r="J109" s="34" t="s">
        <v>665</v>
      </c>
      <c r="K109" s="48">
        <v>750000</v>
      </c>
      <c r="L109" s="170">
        <f t="shared" si="3"/>
        <v>750000</v>
      </c>
      <c r="M109" s="48" t="s">
        <v>662</v>
      </c>
      <c r="N109" s="34"/>
    </row>
    <row r="110" spans="1:14" x14ac:dyDescent="0.2">
      <c r="A110" s="34">
        <v>106</v>
      </c>
      <c r="B110" s="45">
        <v>44354</v>
      </c>
      <c r="C110" s="34" t="s">
        <v>641</v>
      </c>
      <c r="D110" s="34" t="s">
        <v>721</v>
      </c>
      <c r="E110" s="34" t="s">
        <v>735</v>
      </c>
      <c r="F110" s="35" t="s">
        <v>970</v>
      </c>
      <c r="G110" s="34" t="s">
        <v>708</v>
      </c>
      <c r="H110" s="34"/>
      <c r="I110" s="34">
        <v>1</v>
      </c>
      <c r="J110" s="34" t="s">
        <v>649</v>
      </c>
      <c r="K110" s="48">
        <v>4650000</v>
      </c>
      <c r="L110" s="61">
        <f t="shared" si="3"/>
        <v>4650000</v>
      </c>
      <c r="M110" s="48" t="s">
        <v>662</v>
      </c>
      <c r="N110" s="34"/>
    </row>
    <row r="111" spans="1:14" x14ac:dyDescent="0.2">
      <c r="A111" s="34">
        <v>107</v>
      </c>
      <c r="B111" s="45">
        <v>44354</v>
      </c>
      <c r="C111" s="34" t="s">
        <v>642</v>
      </c>
      <c r="D111" s="34" t="s">
        <v>721</v>
      </c>
      <c r="E111" s="34" t="s">
        <v>735</v>
      </c>
      <c r="F111" s="35" t="s">
        <v>970</v>
      </c>
      <c r="G111" s="34" t="s">
        <v>708</v>
      </c>
      <c r="H111" s="34"/>
      <c r="I111" s="34">
        <v>1</v>
      </c>
      <c r="J111" s="34" t="s">
        <v>649</v>
      </c>
      <c r="K111" s="48">
        <v>7000</v>
      </c>
      <c r="L111" s="61">
        <f t="shared" si="3"/>
        <v>7000</v>
      </c>
      <c r="M111" s="48" t="s">
        <v>662</v>
      </c>
      <c r="N111" s="34"/>
    </row>
    <row r="112" spans="1:14" x14ac:dyDescent="0.2">
      <c r="A112" s="34">
        <v>109</v>
      </c>
      <c r="B112" s="45">
        <v>44354</v>
      </c>
      <c r="C112" s="34" t="s">
        <v>644</v>
      </c>
      <c r="D112" s="34" t="s">
        <v>721</v>
      </c>
      <c r="E112" s="34" t="s">
        <v>735</v>
      </c>
      <c r="F112" s="35" t="s">
        <v>970</v>
      </c>
      <c r="G112" s="34" t="s">
        <v>710</v>
      </c>
      <c r="H112" s="34"/>
      <c r="I112" s="34">
        <v>1</v>
      </c>
      <c r="J112" s="34" t="s">
        <v>665</v>
      </c>
      <c r="K112" s="48">
        <v>20000</v>
      </c>
      <c r="L112" s="61">
        <f t="shared" si="3"/>
        <v>20000</v>
      </c>
      <c r="M112" s="48" t="s">
        <v>662</v>
      </c>
      <c r="N112" s="34"/>
    </row>
    <row r="113" spans="1:14" x14ac:dyDescent="0.2">
      <c r="A113" s="34">
        <v>108</v>
      </c>
      <c r="B113" s="45">
        <v>44354</v>
      </c>
      <c r="C113" s="34" t="s">
        <v>643</v>
      </c>
      <c r="D113" s="34" t="s">
        <v>720</v>
      </c>
      <c r="E113" s="34" t="s">
        <v>723</v>
      </c>
      <c r="F113" s="35" t="s">
        <v>970</v>
      </c>
      <c r="G113" s="34" t="s">
        <v>709</v>
      </c>
      <c r="H113" s="34"/>
      <c r="I113" s="34">
        <v>1</v>
      </c>
      <c r="J113" s="34" t="s">
        <v>665</v>
      </c>
      <c r="K113" s="48">
        <v>70000</v>
      </c>
      <c r="L113" s="61">
        <f t="shared" si="3"/>
        <v>70000</v>
      </c>
      <c r="M113" s="48" t="s">
        <v>662</v>
      </c>
      <c r="N113" s="34"/>
    </row>
    <row r="114" spans="1:14" x14ac:dyDescent="0.2">
      <c r="A114" s="36">
        <v>39</v>
      </c>
      <c r="B114" s="65">
        <v>44408</v>
      </c>
      <c r="C114" s="36" t="s">
        <v>577</v>
      </c>
      <c r="D114" s="36" t="s">
        <v>720</v>
      </c>
      <c r="E114" s="36" t="s">
        <v>724</v>
      </c>
      <c r="F114" s="35" t="s">
        <v>970</v>
      </c>
      <c r="G114" s="36" t="s">
        <v>659</v>
      </c>
      <c r="H114" s="36"/>
      <c r="I114" s="36">
        <v>1</v>
      </c>
      <c r="J114" s="36"/>
      <c r="K114" s="64">
        <v>15000</v>
      </c>
      <c r="L114" s="61">
        <f t="shared" si="3"/>
        <v>15000</v>
      </c>
      <c r="M114" s="64" t="s">
        <v>660</v>
      </c>
      <c r="N114" s="36"/>
    </row>
    <row r="115" spans="1:14" x14ac:dyDescent="0.2">
      <c r="A115" s="36">
        <v>40</v>
      </c>
      <c r="B115" s="65">
        <v>44408</v>
      </c>
      <c r="C115" s="36" t="s">
        <v>578</v>
      </c>
      <c r="D115" s="36" t="s">
        <v>720</v>
      </c>
      <c r="E115" s="36" t="s">
        <v>724</v>
      </c>
      <c r="F115" s="35" t="s">
        <v>970</v>
      </c>
      <c r="G115" s="36" t="s">
        <v>659</v>
      </c>
      <c r="H115" s="36"/>
      <c r="I115" s="36">
        <v>1</v>
      </c>
      <c r="J115" s="36"/>
      <c r="K115" s="64">
        <v>120000</v>
      </c>
      <c r="L115" s="61">
        <f t="shared" si="3"/>
        <v>120000</v>
      </c>
      <c r="M115" s="64" t="s">
        <v>660</v>
      </c>
      <c r="N115" s="36"/>
    </row>
    <row r="116" spans="1:14" x14ac:dyDescent="0.2">
      <c r="A116" s="34"/>
      <c r="B116" s="45"/>
      <c r="C116" s="34"/>
      <c r="D116" s="34"/>
      <c r="E116" s="34"/>
      <c r="F116" s="34"/>
      <c r="G116" s="34"/>
      <c r="H116" s="34"/>
      <c r="I116" s="34"/>
      <c r="J116" s="34"/>
      <c r="K116" s="48"/>
      <c r="L116" s="48"/>
      <c r="M116" s="48"/>
      <c r="N116" s="34"/>
    </row>
    <row r="117" spans="1:14" x14ac:dyDescent="0.2">
      <c r="A117" s="34"/>
      <c r="B117" s="45"/>
      <c r="C117" s="34"/>
      <c r="D117" s="34"/>
      <c r="E117" s="34"/>
      <c r="F117" s="34"/>
      <c r="G117" s="34"/>
      <c r="H117" s="34"/>
      <c r="I117" s="34"/>
      <c r="J117" s="34"/>
      <c r="K117" s="48"/>
      <c r="L117" s="48"/>
      <c r="M117" s="48"/>
      <c r="N117" s="34"/>
    </row>
    <row r="118" spans="1:14" x14ac:dyDescent="0.2">
      <c r="A118" s="34"/>
      <c r="B118" s="45"/>
      <c r="C118" s="34"/>
      <c r="D118" s="34"/>
      <c r="E118" s="34"/>
      <c r="F118" s="34"/>
      <c r="G118" s="34"/>
      <c r="H118" s="34"/>
      <c r="I118" s="34"/>
      <c r="J118" s="34"/>
      <c r="K118" s="48"/>
      <c r="L118" s="48"/>
      <c r="M118" s="48"/>
      <c r="N118" s="34"/>
    </row>
    <row r="119" spans="1:14" x14ac:dyDescent="0.2">
      <c r="A119" s="75"/>
      <c r="B119" s="76"/>
      <c r="C119" s="75"/>
      <c r="D119" s="75"/>
      <c r="E119" s="75"/>
      <c r="F119" s="75"/>
      <c r="G119" s="75"/>
      <c r="H119" s="75"/>
      <c r="I119" s="75"/>
      <c r="J119" s="75"/>
      <c r="K119" s="77"/>
      <c r="L119" s="77"/>
      <c r="M119" s="77"/>
      <c r="N119" s="75"/>
    </row>
  </sheetData>
  <autoFilter ref="A6:N115" xr:uid="{00000000-0009-0000-0000-000011000000}">
    <sortState xmlns:xlrd2="http://schemas.microsoft.com/office/spreadsheetml/2017/richdata2" ref="A7:N113">
      <sortCondition ref="B6"/>
    </sortState>
  </autoFilter>
  <sortState xmlns:xlrd2="http://schemas.microsoft.com/office/spreadsheetml/2017/richdata2" ref="A7:N22">
    <sortCondition ref="E7:E22"/>
  </sortState>
  <conditionalFormatting sqref="F2">
    <cfRule type="duplicateValues" dxfId="5" priority="1"/>
  </conditionalFormatting>
  <dataValidations count="1">
    <dataValidation type="date" allowBlank="1" showInputMessage="1" showErrorMessage="1" error="Invalid Date,_x000a_Use date format dd/mm/yy_x000a_                       or mm/dd/yyy" sqref="B7:B119" xr:uid="{00000000-0002-0000-1100-000000000000}">
      <formula1>1</formula1>
      <formula2>TODAY()</formula2>
    </dataValidation>
  </dataValidations>
  <hyperlinks>
    <hyperlink ref="F2" location="Menu!A1" display="Back to Menu" xr:uid="{00000000-0004-0000-1100-000000000000}"/>
  </hyperlinks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C00000"/>
  </sheetPr>
  <dimension ref="A1:E301"/>
  <sheetViews>
    <sheetView showGridLines="0" workbookViewId="0">
      <selection activeCell="D1" sqref="D1:D1048576"/>
    </sheetView>
  </sheetViews>
  <sheetFormatPr defaultRowHeight="12.75" x14ac:dyDescent="0.2"/>
  <cols>
    <col min="1" max="1" width="31.28515625" style="38" bestFit="1" customWidth="1"/>
    <col min="2" max="2" width="12" style="38" customWidth="1"/>
    <col min="3" max="3" width="4.42578125" style="38" customWidth="1"/>
    <col min="4" max="4" width="7.7109375" style="56" customWidth="1"/>
    <col min="5" max="5" width="9.140625" style="56"/>
    <col min="6" max="16384" width="9.140625" style="38"/>
  </cols>
  <sheetData>
    <row r="1" spans="1:5" ht="13.5" thickBot="1" x14ac:dyDescent="0.25"/>
    <row r="2" spans="1:5" hidden="1" x14ac:dyDescent="0.2">
      <c r="D2" s="56" t="s">
        <v>2071</v>
      </c>
    </row>
    <row r="3" spans="1:5" ht="16.5" thickTop="1" thickBot="1" x14ac:dyDescent="0.3">
      <c r="A3" s="460" t="s">
        <v>2070</v>
      </c>
      <c r="B3" s="475" t="s">
        <v>2069</v>
      </c>
      <c r="C3" s="476" t="s">
        <v>2068</v>
      </c>
      <c r="D3" s="462" t="s">
        <v>2072</v>
      </c>
      <c r="E3" s="462" t="s">
        <v>2073</v>
      </c>
    </row>
    <row r="4" spans="1:5" ht="13.5" thickTop="1" x14ac:dyDescent="0.2">
      <c r="A4" s="38" t="str">
        <f>VLOOKUP(B4,'Clients-Live'!$A:$C,3,0)</f>
        <v>TABAN NICHOLAS</v>
      </c>
      <c r="B4" s="477">
        <v>1</v>
      </c>
      <c r="C4" s="476">
        <v>3</v>
      </c>
      <c r="D4" s="461">
        <f>COUNTIFS(Disbursements!$AU:$AU,'ERROR SUMMARRY'!$D$2,Disbursements!$B:$B,'ERROR SUMMARRY'!$B4)</f>
        <v>0</v>
      </c>
      <c r="E4" s="461">
        <f>COUNTIFS(Disbursements!$AU:$AU,"Ok",Disbursements!$B:$B,'ERROR SUMMARRY'!$B4)</f>
        <v>3</v>
      </c>
    </row>
    <row r="5" spans="1:5" x14ac:dyDescent="0.2">
      <c r="A5" s="38" t="str">
        <f>VLOOKUP(B5,'Clients-Live'!$A:$C,3,0)</f>
        <v>LEYA ROSE</v>
      </c>
      <c r="B5" s="477">
        <v>2</v>
      </c>
      <c r="C5" s="476">
        <v>3</v>
      </c>
      <c r="D5" s="461">
        <f>COUNTIFS(Disbursements!$AU:$AU,'ERROR SUMMARRY'!$D$2,Disbursements!$B:$B,'ERROR SUMMARRY'!$B5)</f>
        <v>0</v>
      </c>
      <c r="E5" s="461">
        <f>COUNTIFS(Disbursements!$AU:$AU,"Ok",Disbursements!$B:$B,'ERROR SUMMARRY'!$B5)</f>
        <v>3</v>
      </c>
    </row>
    <row r="6" spans="1:5" x14ac:dyDescent="0.2">
      <c r="A6" s="38" t="str">
        <f>VLOOKUP(B6,'Clients-Live'!$A:$C,3,0)</f>
        <v>YEKA ARIJABU</v>
      </c>
      <c r="B6" s="477">
        <v>3</v>
      </c>
      <c r="C6" s="476">
        <v>2</v>
      </c>
      <c r="D6" s="461">
        <f>COUNTIFS(Disbursements!$AU:$AU,'ERROR SUMMARRY'!$D$2,Disbursements!$B:$B,'ERROR SUMMARRY'!$B6)</f>
        <v>0</v>
      </c>
      <c r="E6" s="461">
        <f>COUNTIFS(Disbursements!$AU:$AU,"Ok",Disbursements!$B:$B,'ERROR SUMMARRY'!$B6)</f>
        <v>2</v>
      </c>
    </row>
    <row r="7" spans="1:5" x14ac:dyDescent="0.2">
      <c r="A7" s="38" t="str">
        <f>VLOOKUP(B7,'Clients-Live'!$A:$C,3,0)</f>
        <v>AMUTE BASHIR</v>
      </c>
      <c r="B7" s="477">
        <v>6</v>
      </c>
      <c r="C7" s="476">
        <v>4</v>
      </c>
      <c r="D7" s="461">
        <f>COUNTIFS(Disbursements!$AU:$AU,'ERROR SUMMARRY'!$D$2,Disbursements!$B:$B,'ERROR SUMMARRY'!$B7)</f>
        <v>0</v>
      </c>
      <c r="E7" s="461">
        <f>COUNTIFS(Disbursements!$AU:$AU,"Ok",Disbursements!$B:$B,'ERROR SUMMARRY'!$B7)</f>
        <v>4</v>
      </c>
    </row>
    <row r="8" spans="1:5" x14ac:dyDescent="0.2">
      <c r="A8" s="38" t="str">
        <f>VLOOKUP(B8,'Clients-Live'!$A:$C,3,0)</f>
        <v>ALEMI THOMAS</v>
      </c>
      <c r="B8" s="477">
        <v>8</v>
      </c>
      <c r="C8" s="476">
        <v>1</v>
      </c>
      <c r="D8" s="461">
        <f>COUNTIFS(Disbursements!$AU:$AU,'ERROR SUMMARRY'!$D$2,Disbursements!$B:$B,'ERROR SUMMARRY'!$B8)</f>
        <v>0</v>
      </c>
      <c r="E8" s="461">
        <f>COUNTIFS(Disbursements!$AU:$AU,"Ok",Disbursements!$B:$B,'ERROR SUMMARRY'!$B8)</f>
        <v>1</v>
      </c>
    </row>
    <row r="9" spans="1:5" x14ac:dyDescent="0.2">
      <c r="A9" s="38" t="str">
        <f>VLOOKUP(B9,'Clients-Live'!$A:$C,3,0)</f>
        <v>TABAN DAVID YAYA</v>
      </c>
      <c r="B9" s="477">
        <v>9</v>
      </c>
      <c r="C9" s="476">
        <v>4</v>
      </c>
      <c r="D9" s="461">
        <f>COUNTIFS(Disbursements!$AU:$AU,'ERROR SUMMARRY'!$D$2,Disbursements!$B:$B,'ERROR SUMMARRY'!$B9)</f>
        <v>0</v>
      </c>
      <c r="E9" s="461">
        <f>COUNTIFS(Disbursements!$AU:$AU,"Ok",Disbursements!$B:$B,'ERROR SUMMARRY'!$B9)</f>
        <v>4</v>
      </c>
    </row>
    <row r="10" spans="1:5" x14ac:dyDescent="0.2">
      <c r="A10" s="38" t="str">
        <f>VLOOKUP(B10,'Clients-Live'!$A:$C,3,0)</f>
        <v>WARU ARIEYE VALENTINA CHARLES</v>
      </c>
      <c r="B10" s="477">
        <v>10</v>
      </c>
      <c r="C10" s="476">
        <v>1</v>
      </c>
      <c r="D10" s="461">
        <f>COUNTIFS(Disbursements!$AU:$AU,'ERROR SUMMARRY'!$D$2,Disbursements!$B:$B,'ERROR SUMMARRY'!$B10)</f>
        <v>0</v>
      </c>
      <c r="E10" s="461">
        <f>COUNTIFS(Disbursements!$AU:$AU,"Ok",Disbursements!$B:$B,'ERROR SUMMARRY'!$B10)</f>
        <v>1</v>
      </c>
    </row>
    <row r="11" spans="1:5" x14ac:dyDescent="0.2">
      <c r="A11" s="38" t="str">
        <f>VLOOKUP(B11,'Clients-Live'!$A:$C,3,0)</f>
        <v>ARIME JUMA</v>
      </c>
      <c r="B11" s="477">
        <v>11</v>
      </c>
      <c r="C11" s="476">
        <v>3</v>
      </c>
      <c r="D11" s="461">
        <f>COUNTIFS(Disbursements!$AU:$AU,'ERROR SUMMARRY'!$D$2,Disbursements!$B:$B,'ERROR SUMMARRY'!$B11)</f>
        <v>0</v>
      </c>
      <c r="E11" s="461">
        <f>COUNTIFS(Disbursements!$AU:$AU,"Ok",Disbursements!$B:$B,'ERROR SUMMARRY'!$B11)</f>
        <v>3</v>
      </c>
    </row>
    <row r="12" spans="1:5" x14ac:dyDescent="0.2">
      <c r="A12" s="38" t="str">
        <f>VLOOKUP(B12,'Clients-Live'!$A:$C,3,0)</f>
        <v>DRELIA SIMON DEADSON</v>
      </c>
      <c r="B12" s="477">
        <v>12</v>
      </c>
      <c r="C12" s="476">
        <v>2</v>
      </c>
      <c r="D12" s="461">
        <f>COUNTIFS(Disbursements!$AU:$AU,'ERROR SUMMARRY'!$D$2,Disbursements!$B:$B,'ERROR SUMMARRY'!$B12)</f>
        <v>0</v>
      </c>
      <c r="E12" s="461">
        <f>COUNTIFS(Disbursements!$AU:$AU,"Ok",Disbursements!$B:$B,'ERROR SUMMARRY'!$B12)</f>
        <v>2</v>
      </c>
    </row>
    <row r="13" spans="1:5" x14ac:dyDescent="0.2">
      <c r="A13" s="38" t="str">
        <f>VLOOKUP(B13,'Clients-Live'!$A:$C,3,0)</f>
        <v>ALLONE AMOS DAMAI</v>
      </c>
      <c r="B13" s="477">
        <v>13</v>
      </c>
      <c r="C13" s="476">
        <v>2</v>
      </c>
      <c r="D13" s="461">
        <f>COUNTIFS(Disbursements!$AU:$AU,'ERROR SUMMARRY'!$D$2,Disbursements!$B:$B,'ERROR SUMMARRY'!$B13)</f>
        <v>0</v>
      </c>
      <c r="E13" s="461">
        <f>COUNTIFS(Disbursements!$AU:$AU,"Ok",Disbursements!$B:$B,'ERROR SUMMARRY'!$B13)</f>
        <v>2</v>
      </c>
    </row>
    <row r="14" spans="1:5" x14ac:dyDescent="0.2">
      <c r="A14" s="38" t="str">
        <f>VLOOKUP(B14,'Clients-Live'!$A:$C,3,0)</f>
        <v>ASIKU ROMANO ADEBUA</v>
      </c>
      <c r="B14" s="477">
        <v>14</v>
      </c>
      <c r="C14" s="476">
        <v>1</v>
      </c>
      <c r="D14" s="461">
        <f>COUNTIFS(Disbursements!$AU:$AU,'ERROR SUMMARRY'!$D$2,Disbursements!$B:$B,'ERROR SUMMARRY'!$B14)</f>
        <v>0</v>
      </c>
      <c r="E14" s="461">
        <f>COUNTIFS(Disbursements!$AU:$AU,"Ok",Disbursements!$B:$B,'ERROR SUMMARRY'!$B14)</f>
        <v>1</v>
      </c>
    </row>
    <row r="15" spans="1:5" x14ac:dyDescent="0.2">
      <c r="A15" s="38" t="str">
        <f>VLOOKUP(B15,'Clients-Live'!$A:$C,3,0)</f>
        <v>NATOSHA LUCY</v>
      </c>
      <c r="B15" s="477">
        <v>15</v>
      </c>
      <c r="C15" s="476">
        <v>1</v>
      </c>
      <c r="D15" s="461">
        <f>COUNTIFS(Disbursements!$AU:$AU,'ERROR SUMMARRY'!$D$2,Disbursements!$B:$B,'ERROR SUMMARRY'!$B15)</f>
        <v>0</v>
      </c>
      <c r="E15" s="461">
        <f>COUNTIFS(Disbursements!$AU:$AU,"Ok",Disbursements!$B:$B,'ERROR SUMMARRY'!$B15)</f>
        <v>1</v>
      </c>
    </row>
    <row r="16" spans="1:5" x14ac:dyDescent="0.2">
      <c r="A16" s="38" t="str">
        <f>VLOOKUP(B16,'Clients-Live'!$A:$C,3,0)</f>
        <v>OKELLO ACTION</v>
      </c>
      <c r="B16" s="477">
        <v>16</v>
      </c>
      <c r="C16" s="476">
        <v>1</v>
      </c>
      <c r="D16" s="461">
        <f>COUNTIFS(Disbursements!$AU:$AU,'ERROR SUMMARRY'!$D$2,Disbursements!$B:$B,'ERROR SUMMARRY'!$B16)</f>
        <v>0</v>
      </c>
      <c r="E16" s="461">
        <f>COUNTIFS(Disbursements!$AU:$AU,"Ok",Disbursements!$B:$B,'ERROR SUMMARRY'!$B16)</f>
        <v>1</v>
      </c>
    </row>
    <row r="17" spans="1:5" x14ac:dyDescent="0.2">
      <c r="A17" s="38" t="str">
        <f>VLOOKUP(B17,'Clients-Live'!$A:$C,3,0)</f>
        <v>MAMBU BAYI</v>
      </c>
      <c r="B17" s="477">
        <v>17</v>
      </c>
      <c r="C17" s="476">
        <v>1</v>
      </c>
      <c r="D17" s="461">
        <f>COUNTIFS(Disbursements!$AU:$AU,'ERROR SUMMARRY'!$D$2,Disbursements!$B:$B,'ERROR SUMMARRY'!$B17)</f>
        <v>0</v>
      </c>
      <c r="E17" s="461">
        <f>COUNTIFS(Disbursements!$AU:$AU,"Ok",Disbursements!$B:$B,'ERROR SUMMARRY'!$B17)</f>
        <v>1</v>
      </c>
    </row>
    <row r="18" spans="1:5" x14ac:dyDescent="0.2">
      <c r="A18" s="38" t="str">
        <f>VLOOKUP(B18,'Clients-Live'!$A:$C,3,0)</f>
        <v>ARIYE PEACE</v>
      </c>
      <c r="B18" s="477">
        <v>18</v>
      </c>
      <c r="C18" s="476">
        <v>2</v>
      </c>
      <c r="D18" s="461">
        <f>COUNTIFS(Disbursements!$AU:$AU,'ERROR SUMMARRY'!$D$2,Disbursements!$B:$B,'ERROR SUMMARRY'!$B18)</f>
        <v>0</v>
      </c>
      <c r="E18" s="461">
        <f>COUNTIFS(Disbursements!$AU:$AU,"Ok",Disbursements!$B:$B,'ERROR SUMMARRY'!$B18)</f>
        <v>2</v>
      </c>
    </row>
    <row r="19" spans="1:5" x14ac:dyDescent="0.2">
      <c r="A19" s="38" t="str">
        <f>VLOOKUP(B19,'Clients-Live'!$A:$C,3,0)</f>
        <v>ANGUPARU MOLLY</v>
      </c>
      <c r="B19" s="477">
        <v>19</v>
      </c>
      <c r="C19" s="476">
        <v>2</v>
      </c>
      <c r="D19" s="461">
        <f>COUNTIFS(Disbursements!$AU:$AU,'ERROR SUMMARRY'!$D$2,Disbursements!$B:$B,'ERROR SUMMARRY'!$B19)</f>
        <v>0</v>
      </c>
      <c r="E19" s="461">
        <f>COUNTIFS(Disbursements!$AU:$AU,"Ok",Disbursements!$B:$B,'ERROR SUMMARRY'!$B19)</f>
        <v>2</v>
      </c>
    </row>
    <row r="20" spans="1:5" x14ac:dyDescent="0.2">
      <c r="A20" s="38" t="str">
        <f>VLOOKUP(B20,'Clients-Live'!$A:$C,3,0)</f>
        <v>ANDEZO KEVIN</v>
      </c>
      <c r="B20" s="477">
        <v>20</v>
      </c>
      <c r="C20" s="476">
        <v>3</v>
      </c>
      <c r="D20" s="461">
        <f>COUNTIFS(Disbursements!$AU:$AU,'ERROR SUMMARRY'!$D$2,Disbursements!$B:$B,'ERROR SUMMARRY'!$B20)</f>
        <v>0</v>
      </c>
      <c r="E20" s="461">
        <f>COUNTIFS(Disbursements!$AU:$AU,"Ok",Disbursements!$B:$B,'ERROR SUMMARRY'!$B20)</f>
        <v>3</v>
      </c>
    </row>
    <row r="21" spans="1:5" x14ac:dyDescent="0.2">
      <c r="A21" s="38" t="str">
        <f>VLOOKUP(B21,'Clients-Live'!$A:$C,3,0)</f>
        <v>ESABORU EUNICE</v>
      </c>
      <c r="B21" s="477">
        <v>21</v>
      </c>
      <c r="C21" s="476">
        <v>1</v>
      </c>
      <c r="D21" s="461">
        <f>COUNTIFS(Disbursements!$AU:$AU,'ERROR SUMMARRY'!$D$2,Disbursements!$B:$B,'ERROR SUMMARRY'!$B21)</f>
        <v>0</v>
      </c>
      <c r="E21" s="461">
        <f>COUNTIFS(Disbursements!$AU:$AU,"Ok",Disbursements!$B:$B,'ERROR SUMMARRY'!$B21)</f>
        <v>1</v>
      </c>
    </row>
    <row r="22" spans="1:5" x14ac:dyDescent="0.2">
      <c r="A22" s="38" t="str">
        <f>VLOOKUP(B22,'Clients-Live'!$A:$C,3,0)</f>
        <v>DATA ISMAIL FATARI</v>
      </c>
      <c r="B22" s="477">
        <v>22</v>
      </c>
      <c r="C22" s="476">
        <v>2</v>
      </c>
      <c r="D22" s="461">
        <f>COUNTIFS(Disbursements!$AU:$AU,'ERROR SUMMARRY'!$D$2,Disbursements!$B:$B,'ERROR SUMMARRY'!$B22)</f>
        <v>0</v>
      </c>
      <c r="E22" s="461">
        <f>COUNTIFS(Disbursements!$AU:$AU,"Ok",Disbursements!$B:$B,'ERROR SUMMARRY'!$B22)</f>
        <v>2</v>
      </c>
    </row>
    <row r="23" spans="1:5" x14ac:dyDescent="0.2">
      <c r="A23" s="38" t="str">
        <f>VLOOKUP(B23,'Clients-Live'!$A:$C,3,0)</f>
        <v>BADARU KEVIN ATELIONGA</v>
      </c>
      <c r="B23" s="477">
        <v>23</v>
      </c>
      <c r="C23" s="476">
        <v>3</v>
      </c>
      <c r="D23" s="461">
        <f>COUNTIFS(Disbursements!$AU:$AU,'ERROR SUMMARRY'!$D$2,Disbursements!$B:$B,'ERROR SUMMARRY'!$B23)</f>
        <v>0</v>
      </c>
      <c r="E23" s="461">
        <f>COUNTIFS(Disbursements!$AU:$AU,"Ok",Disbursements!$B:$B,'ERROR SUMMARRY'!$B23)</f>
        <v>3</v>
      </c>
    </row>
    <row r="24" spans="1:5" x14ac:dyDescent="0.2">
      <c r="A24" s="38" t="str">
        <f>VLOOKUP(B24,'Clients-Live'!$A:$C,3,0)</f>
        <v>VITA JEROME</v>
      </c>
      <c r="B24" s="477">
        <v>24</v>
      </c>
      <c r="C24" s="476">
        <v>3</v>
      </c>
      <c r="D24" s="461">
        <f>COUNTIFS(Disbursements!$AU:$AU,'ERROR SUMMARRY'!$D$2,Disbursements!$B:$B,'ERROR SUMMARRY'!$B24)</f>
        <v>0</v>
      </c>
      <c r="E24" s="461">
        <f>COUNTIFS(Disbursements!$AU:$AU,"Ok",Disbursements!$B:$B,'ERROR SUMMARRY'!$B24)</f>
        <v>3</v>
      </c>
    </row>
    <row r="25" spans="1:5" x14ac:dyDescent="0.2">
      <c r="A25" s="38" t="str">
        <f>VLOOKUP(B25,'Clients-Live'!$A:$C,3,0)</f>
        <v>AROMA BOSCO</v>
      </c>
      <c r="B25" s="477">
        <v>25</v>
      </c>
      <c r="C25" s="476">
        <v>1</v>
      </c>
      <c r="D25" s="461">
        <f>COUNTIFS(Disbursements!$AU:$AU,'ERROR SUMMARRY'!$D$2,Disbursements!$B:$B,'ERROR SUMMARRY'!$B25)</f>
        <v>0</v>
      </c>
      <c r="E25" s="461">
        <f>COUNTIFS(Disbursements!$AU:$AU,"Ok",Disbursements!$B:$B,'ERROR SUMMARRY'!$B25)</f>
        <v>1</v>
      </c>
    </row>
    <row r="26" spans="1:5" x14ac:dyDescent="0.2">
      <c r="A26" s="38" t="str">
        <f>VLOOKUP(B26,'Clients-Live'!$A:$C,3,0)</f>
        <v>KANA GIFT</v>
      </c>
      <c r="B26" s="477">
        <v>27</v>
      </c>
      <c r="C26" s="476">
        <v>1</v>
      </c>
      <c r="D26" s="461">
        <f>COUNTIFS(Disbursements!$AU:$AU,'ERROR SUMMARRY'!$D$2,Disbursements!$B:$B,'ERROR SUMMARRY'!$B26)</f>
        <v>0</v>
      </c>
      <c r="E26" s="461">
        <f>COUNTIFS(Disbursements!$AU:$AU,"Ok",Disbursements!$B:$B,'ERROR SUMMARRY'!$B26)</f>
        <v>1</v>
      </c>
    </row>
    <row r="27" spans="1:5" x14ac:dyDescent="0.2">
      <c r="A27" s="38" t="str">
        <f>VLOOKUP(B27,'Clients-Live'!$A:$C,3,0)</f>
        <v>AJIBA ROSEMARY EMMANUEL</v>
      </c>
      <c r="B27" s="477">
        <v>29</v>
      </c>
      <c r="C27" s="476">
        <v>1</v>
      </c>
      <c r="D27" s="461">
        <f>COUNTIFS(Disbursements!$AU:$AU,'ERROR SUMMARRY'!$D$2,Disbursements!$B:$B,'ERROR SUMMARRY'!$B27)</f>
        <v>0</v>
      </c>
      <c r="E27" s="461">
        <f>COUNTIFS(Disbursements!$AU:$AU,"Ok",Disbursements!$B:$B,'ERROR SUMMARRY'!$B27)</f>
        <v>1</v>
      </c>
    </row>
    <row r="28" spans="1:5" x14ac:dyDescent="0.2">
      <c r="A28" s="38" t="str">
        <f>VLOOKUP(B28,'Clients-Live'!$A:$C,3,0)</f>
        <v>SITARAYA PATRICIA IDERU</v>
      </c>
      <c r="B28" s="477">
        <v>30</v>
      </c>
      <c r="C28" s="476">
        <v>2</v>
      </c>
      <c r="D28" s="461">
        <f>COUNTIFS(Disbursements!$AU:$AU,'ERROR SUMMARRY'!$D$2,Disbursements!$B:$B,'ERROR SUMMARRY'!$B28)</f>
        <v>0</v>
      </c>
      <c r="E28" s="461">
        <f>COUNTIFS(Disbursements!$AU:$AU,"Ok",Disbursements!$B:$B,'ERROR SUMMARRY'!$B28)</f>
        <v>2</v>
      </c>
    </row>
    <row r="29" spans="1:5" x14ac:dyDescent="0.2">
      <c r="A29" s="38" t="str">
        <f>VLOOKUP(B29,'Clients-Live'!$A:$C,3,0)</f>
        <v>MUNDURU HARRIET</v>
      </c>
      <c r="B29" s="477">
        <v>31</v>
      </c>
      <c r="C29" s="476">
        <v>3</v>
      </c>
      <c r="D29" s="461">
        <f>COUNTIFS(Disbursements!$AU:$AU,'ERROR SUMMARRY'!$D$2,Disbursements!$B:$B,'ERROR SUMMARRY'!$B29)</f>
        <v>0</v>
      </c>
      <c r="E29" s="461">
        <f>COUNTIFS(Disbursements!$AU:$AU,"Ok",Disbursements!$B:$B,'ERROR SUMMARRY'!$B29)</f>
        <v>3</v>
      </c>
    </row>
    <row r="30" spans="1:5" x14ac:dyDescent="0.2">
      <c r="A30" s="38" t="str">
        <f>VLOOKUP(B30,'Clients-Live'!$A:$C,3,0)</f>
        <v>BAKO LINA ESERU</v>
      </c>
      <c r="B30" s="477">
        <v>32</v>
      </c>
      <c r="C30" s="476">
        <v>3</v>
      </c>
      <c r="D30" s="461">
        <f>COUNTIFS(Disbursements!$AU:$AU,'ERROR SUMMARRY'!$D$2,Disbursements!$B:$B,'ERROR SUMMARRY'!$B30)</f>
        <v>0</v>
      </c>
      <c r="E30" s="461">
        <f>COUNTIFS(Disbursements!$AU:$AU,"Ok",Disbursements!$B:$B,'ERROR SUMMARRY'!$B30)</f>
        <v>3</v>
      </c>
    </row>
    <row r="31" spans="1:5" x14ac:dyDescent="0.2">
      <c r="A31" s="38" t="str">
        <f>VLOOKUP(B31,'Clients-Live'!$A:$C,3,0)</f>
        <v>MUZEE OMAR</v>
      </c>
      <c r="B31" s="477">
        <v>33</v>
      </c>
      <c r="C31" s="476">
        <v>1</v>
      </c>
      <c r="D31" s="461">
        <f>COUNTIFS(Disbursements!$AU:$AU,'ERROR SUMMARRY'!$D$2,Disbursements!$B:$B,'ERROR SUMMARRY'!$B31)</f>
        <v>0</v>
      </c>
      <c r="E31" s="461">
        <f>COUNTIFS(Disbursements!$AU:$AU,"Ok",Disbursements!$B:$B,'ERROR SUMMARRY'!$B31)</f>
        <v>1</v>
      </c>
    </row>
    <row r="32" spans="1:5" x14ac:dyDescent="0.2">
      <c r="A32" s="38" t="str">
        <f>VLOOKUP(B32,'Clients-Live'!$A:$C,3,0)</f>
        <v>APEKURU FLORENCE</v>
      </c>
      <c r="B32" s="477">
        <v>34</v>
      </c>
      <c r="C32" s="476">
        <v>2</v>
      </c>
      <c r="D32" s="461">
        <f>COUNTIFS(Disbursements!$AU:$AU,'ERROR SUMMARRY'!$D$2,Disbursements!$B:$B,'ERROR SUMMARRY'!$B32)</f>
        <v>0</v>
      </c>
      <c r="E32" s="461">
        <f>COUNTIFS(Disbursements!$AU:$AU,"Ok",Disbursements!$B:$B,'ERROR SUMMARRY'!$B32)</f>
        <v>2</v>
      </c>
    </row>
    <row r="33" spans="1:5" x14ac:dyDescent="0.2">
      <c r="A33" s="38" t="str">
        <f>VLOOKUP(B33,'Clients-Live'!$A:$C,3,0)</f>
        <v>ALEZUYO DOCUS</v>
      </c>
      <c r="B33" s="477">
        <v>35</v>
      </c>
      <c r="C33" s="476">
        <v>2</v>
      </c>
      <c r="D33" s="461">
        <f>COUNTIFS(Disbursements!$AU:$AU,'ERROR SUMMARRY'!$D$2,Disbursements!$B:$B,'ERROR SUMMARRY'!$B33)</f>
        <v>0</v>
      </c>
      <c r="E33" s="461">
        <f>COUNTIFS(Disbursements!$AU:$AU,"Ok",Disbursements!$B:$B,'ERROR SUMMARRY'!$B33)</f>
        <v>2</v>
      </c>
    </row>
    <row r="34" spans="1:5" x14ac:dyDescent="0.2">
      <c r="A34" s="38" t="str">
        <f>VLOOKUP(B34,'Clients-Live'!$A:$C,3,0)</f>
        <v>WANDWALI AMISI</v>
      </c>
      <c r="B34" s="477">
        <v>37</v>
      </c>
      <c r="C34" s="476">
        <v>1</v>
      </c>
      <c r="D34" s="461">
        <f>COUNTIFS(Disbursements!$AU:$AU,'ERROR SUMMARRY'!$D$2,Disbursements!$B:$B,'ERROR SUMMARRY'!$B34)</f>
        <v>0</v>
      </c>
      <c r="E34" s="461">
        <f>COUNTIFS(Disbursements!$AU:$AU,"Ok",Disbursements!$B:$B,'ERROR SUMMARRY'!$B34)</f>
        <v>1</v>
      </c>
    </row>
    <row r="35" spans="1:5" x14ac:dyDescent="0.2">
      <c r="A35" s="38" t="str">
        <f>VLOOKUP(B35,'Clients-Live'!$A:$C,3,0)</f>
        <v>ANGUZU CHRIS RONALD</v>
      </c>
      <c r="B35" s="477">
        <v>38</v>
      </c>
      <c r="C35" s="476">
        <v>1</v>
      </c>
      <c r="D35" s="461">
        <f>COUNTIFS(Disbursements!$AU:$AU,'ERROR SUMMARRY'!$D$2,Disbursements!$B:$B,'ERROR SUMMARRY'!$B35)</f>
        <v>0</v>
      </c>
      <c r="E35" s="461">
        <f>COUNTIFS(Disbursements!$AU:$AU,"Ok",Disbursements!$B:$B,'ERROR SUMMARRY'!$B35)</f>
        <v>1</v>
      </c>
    </row>
    <row r="36" spans="1:5" x14ac:dyDescent="0.2">
      <c r="A36" s="38" t="str">
        <f>VLOOKUP(B36,'Clients-Live'!$A:$C,3,0)</f>
        <v>TABU JANE</v>
      </c>
      <c r="B36" s="477">
        <v>40</v>
      </c>
      <c r="C36" s="476">
        <v>2</v>
      </c>
      <c r="D36" s="461">
        <f>COUNTIFS(Disbursements!$AU:$AU,'ERROR SUMMARRY'!$D$2,Disbursements!$B:$B,'ERROR SUMMARRY'!$B36)</f>
        <v>0</v>
      </c>
      <c r="E36" s="461">
        <f>COUNTIFS(Disbursements!$AU:$AU,"Ok",Disbursements!$B:$B,'ERROR SUMMARRY'!$B36)</f>
        <v>2</v>
      </c>
    </row>
    <row r="37" spans="1:5" x14ac:dyDescent="0.2">
      <c r="A37" s="38" t="str">
        <f>VLOOKUP(B37,'Clients-Live'!$A:$C,3,0)</f>
        <v>ANGUYO RONALD</v>
      </c>
      <c r="B37" s="477">
        <v>41</v>
      </c>
      <c r="C37" s="476">
        <v>5</v>
      </c>
      <c r="D37" s="461">
        <f>COUNTIFS(Disbursements!$AU:$AU,'ERROR SUMMARRY'!$D$2,Disbursements!$B:$B,'ERROR SUMMARRY'!$B37)</f>
        <v>0</v>
      </c>
      <c r="E37" s="461">
        <f>COUNTIFS(Disbursements!$AU:$AU,"Ok",Disbursements!$B:$B,'ERROR SUMMARRY'!$B37)</f>
        <v>5</v>
      </c>
    </row>
    <row r="38" spans="1:5" x14ac:dyDescent="0.2">
      <c r="A38" s="38" t="str">
        <f>VLOOKUP(B38,'Clients-Live'!$A:$C,3,0)</f>
        <v>ABAU   NOLA</v>
      </c>
      <c r="B38" s="477">
        <v>42</v>
      </c>
      <c r="C38" s="476">
        <v>4</v>
      </c>
      <c r="D38" s="461">
        <f>COUNTIFS(Disbursements!$AU:$AU,'ERROR SUMMARRY'!$D$2,Disbursements!$B:$B,'ERROR SUMMARRY'!$B38)</f>
        <v>0</v>
      </c>
      <c r="E38" s="461">
        <f>COUNTIFS(Disbursements!$AU:$AU,"Ok",Disbursements!$B:$B,'ERROR SUMMARRY'!$B38)</f>
        <v>4</v>
      </c>
    </row>
    <row r="39" spans="1:5" x14ac:dyDescent="0.2">
      <c r="A39" s="38" t="str">
        <f>VLOOKUP(B39,'Clients-Live'!$A:$C,3,0)</f>
        <v>APUNIKI LOICE</v>
      </c>
      <c r="B39" s="477">
        <v>43</v>
      </c>
      <c r="C39" s="476">
        <v>2</v>
      </c>
      <c r="D39" s="461">
        <f>COUNTIFS(Disbursements!$AU:$AU,'ERROR SUMMARRY'!$D$2,Disbursements!$B:$B,'ERROR SUMMARRY'!$B39)</f>
        <v>0</v>
      </c>
      <c r="E39" s="461">
        <f>COUNTIFS(Disbursements!$AU:$AU,"Ok",Disbursements!$B:$B,'ERROR SUMMARRY'!$B39)</f>
        <v>2</v>
      </c>
    </row>
    <row r="40" spans="1:5" x14ac:dyDescent="0.2">
      <c r="A40" s="38" t="str">
        <f>VLOOKUP(B40,'Clients-Live'!$A:$C,3,0)</f>
        <v>CANDIRU HELLEN</v>
      </c>
      <c r="B40" s="477">
        <v>44</v>
      </c>
      <c r="C40" s="476">
        <v>3</v>
      </c>
      <c r="D40" s="461">
        <f>COUNTIFS(Disbursements!$AU:$AU,'ERROR SUMMARRY'!$D$2,Disbursements!$B:$B,'ERROR SUMMARRY'!$B40)</f>
        <v>0</v>
      </c>
      <c r="E40" s="461">
        <f>COUNTIFS(Disbursements!$AU:$AU,"Ok",Disbursements!$B:$B,'ERROR SUMMARRY'!$B40)</f>
        <v>3</v>
      </c>
    </row>
    <row r="41" spans="1:5" x14ac:dyDescent="0.2">
      <c r="A41" s="38" t="str">
        <f>VLOOKUP(B41,'Clients-Live'!$A:$C,3,0)</f>
        <v>SANYA DONALD</v>
      </c>
      <c r="B41" s="477">
        <v>45</v>
      </c>
      <c r="C41" s="476">
        <v>1</v>
      </c>
      <c r="D41" s="461">
        <f>COUNTIFS(Disbursements!$AU:$AU,'ERROR SUMMARRY'!$D$2,Disbursements!$B:$B,'ERROR SUMMARRY'!$B41)</f>
        <v>0</v>
      </c>
      <c r="E41" s="461">
        <f>COUNTIFS(Disbursements!$AU:$AU,"Ok",Disbursements!$B:$B,'ERROR SUMMARRY'!$B41)</f>
        <v>1</v>
      </c>
    </row>
    <row r="42" spans="1:5" x14ac:dyDescent="0.2">
      <c r="A42" s="38" t="str">
        <f>VLOOKUP(B42,'Clients-Live'!$A:$C,3,0)</f>
        <v>ALIO YUDA</v>
      </c>
      <c r="B42" s="477">
        <v>46</v>
      </c>
      <c r="C42" s="476">
        <v>2</v>
      </c>
      <c r="D42" s="461">
        <f>COUNTIFS(Disbursements!$AU:$AU,'ERROR SUMMARRY'!$D$2,Disbursements!$B:$B,'ERROR SUMMARRY'!$B42)</f>
        <v>0</v>
      </c>
      <c r="E42" s="461">
        <f>COUNTIFS(Disbursements!$AU:$AU,"Ok",Disbursements!$B:$B,'ERROR SUMMARRY'!$B42)</f>
        <v>2</v>
      </c>
    </row>
    <row r="43" spans="1:5" x14ac:dyDescent="0.2">
      <c r="A43" s="38" t="str">
        <f>VLOOKUP(B43,'Clients-Live'!$A:$C,3,0)</f>
        <v>BAKO KASIA</v>
      </c>
      <c r="B43" s="477">
        <v>48</v>
      </c>
      <c r="C43" s="476">
        <v>1</v>
      </c>
      <c r="D43" s="461">
        <f>COUNTIFS(Disbursements!$AU:$AU,'ERROR SUMMARRY'!$D$2,Disbursements!$B:$B,'ERROR SUMMARRY'!$B43)</f>
        <v>0</v>
      </c>
      <c r="E43" s="461">
        <f>COUNTIFS(Disbursements!$AU:$AU,"Ok",Disbursements!$B:$B,'ERROR SUMMARRY'!$B43)</f>
        <v>1</v>
      </c>
    </row>
    <row r="44" spans="1:5" x14ac:dyDescent="0.2">
      <c r="A44" s="38" t="str">
        <f>VLOOKUP(B44,'Clients-Live'!$A:$C,3,0)</f>
        <v>MAWUZU SARAH</v>
      </c>
      <c r="B44" s="477">
        <v>49</v>
      </c>
      <c r="C44" s="476">
        <v>1</v>
      </c>
      <c r="D44" s="461">
        <f>COUNTIFS(Disbursements!$AU:$AU,'ERROR SUMMARRY'!$D$2,Disbursements!$B:$B,'ERROR SUMMARRY'!$B44)</f>
        <v>0</v>
      </c>
      <c r="E44" s="461">
        <f>COUNTIFS(Disbursements!$AU:$AU,"Ok",Disbursements!$B:$B,'ERROR SUMMARRY'!$B44)</f>
        <v>1</v>
      </c>
    </row>
    <row r="45" spans="1:5" x14ac:dyDescent="0.2">
      <c r="A45" s="38" t="str">
        <f>VLOOKUP(B45,'Clients-Live'!$A:$C,3,0)</f>
        <v>WACHEKE HARRIET</v>
      </c>
      <c r="B45" s="477">
        <v>50</v>
      </c>
      <c r="C45" s="476">
        <v>3</v>
      </c>
      <c r="D45" s="461">
        <f>COUNTIFS(Disbursements!$AU:$AU,'ERROR SUMMARRY'!$D$2,Disbursements!$B:$B,'ERROR SUMMARRY'!$B45)</f>
        <v>0</v>
      </c>
      <c r="E45" s="461">
        <f>COUNTIFS(Disbursements!$AU:$AU,"Ok",Disbursements!$B:$B,'ERROR SUMMARRY'!$B45)</f>
        <v>3</v>
      </c>
    </row>
    <row r="46" spans="1:5" x14ac:dyDescent="0.2">
      <c r="A46" s="38" t="str">
        <f>VLOOKUP(B46,'Clients-Live'!$A:$C,3,0)</f>
        <v>AYILE STEPHEN</v>
      </c>
      <c r="B46" s="477">
        <v>51</v>
      </c>
      <c r="C46" s="476">
        <v>2</v>
      </c>
      <c r="D46" s="461">
        <f>COUNTIFS(Disbursements!$AU:$AU,'ERROR SUMMARRY'!$D$2,Disbursements!$B:$B,'ERROR SUMMARRY'!$B46)</f>
        <v>0</v>
      </c>
      <c r="E46" s="461">
        <f>COUNTIFS(Disbursements!$AU:$AU,"Ok",Disbursements!$B:$B,'ERROR SUMMARRY'!$B46)</f>
        <v>2</v>
      </c>
    </row>
    <row r="47" spans="1:5" x14ac:dyDescent="0.2">
      <c r="A47" s="38" t="str">
        <f>VLOOKUP(B47,'Clients-Live'!$A:$C,3,0)</f>
        <v>EDEZU PEACE IRENE</v>
      </c>
      <c r="B47" s="477">
        <v>52</v>
      </c>
      <c r="C47" s="476">
        <v>2</v>
      </c>
      <c r="D47" s="461">
        <f>COUNTIFS(Disbursements!$AU:$AU,'ERROR SUMMARRY'!$D$2,Disbursements!$B:$B,'ERROR SUMMARRY'!$B47)</f>
        <v>0</v>
      </c>
      <c r="E47" s="461">
        <f>COUNTIFS(Disbursements!$AU:$AU,"Ok",Disbursements!$B:$B,'ERROR SUMMARRY'!$B47)</f>
        <v>2</v>
      </c>
    </row>
    <row r="48" spans="1:5" x14ac:dyDescent="0.2">
      <c r="A48" s="38" t="str">
        <f>VLOOKUP(B48,'Clients-Live'!$A:$C,3,0)</f>
        <v>KALSUMU INNOCENT</v>
      </c>
      <c r="B48" s="477">
        <v>53</v>
      </c>
      <c r="C48" s="476">
        <v>3</v>
      </c>
      <c r="D48" s="461">
        <f>COUNTIFS(Disbursements!$AU:$AU,'ERROR SUMMARRY'!$D$2,Disbursements!$B:$B,'ERROR SUMMARRY'!$B48)</f>
        <v>0</v>
      </c>
      <c r="E48" s="461">
        <f>COUNTIFS(Disbursements!$AU:$AU,"Ok",Disbursements!$B:$B,'ERROR SUMMARRY'!$B48)</f>
        <v>3</v>
      </c>
    </row>
    <row r="49" spans="1:5" x14ac:dyDescent="0.2">
      <c r="A49" s="38" t="str">
        <f>VLOOKUP(B49,'Clients-Live'!$A:$C,3,0)</f>
        <v>MANENO ANIFA</v>
      </c>
      <c r="B49" s="477">
        <v>54</v>
      </c>
      <c r="C49" s="476">
        <v>2</v>
      </c>
      <c r="D49" s="461">
        <f>COUNTIFS(Disbursements!$AU:$AU,'ERROR SUMMARRY'!$D$2,Disbursements!$B:$B,'ERROR SUMMARRY'!$B49)</f>
        <v>0</v>
      </c>
      <c r="E49" s="461">
        <f>COUNTIFS(Disbursements!$AU:$AU,"Ok",Disbursements!$B:$B,'ERROR SUMMARRY'!$B49)</f>
        <v>2</v>
      </c>
    </row>
    <row r="50" spans="1:5" x14ac:dyDescent="0.2">
      <c r="A50" s="38" t="str">
        <f>VLOOKUP(B50,'Clients-Live'!$A:$C,3,0)</f>
        <v>SOKOLA SHARON</v>
      </c>
      <c r="B50" s="477">
        <v>55</v>
      </c>
      <c r="C50" s="476">
        <v>2</v>
      </c>
      <c r="D50" s="461">
        <f>COUNTIFS(Disbursements!$AU:$AU,'ERROR SUMMARRY'!$D$2,Disbursements!$B:$B,'ERROR SUMMARRY'!$B50)</f>
        <v>0</v>
      </c>
      <c r="E50" s="461">
        <f>COUNTIFS(Disbursements!$AU:$AU,"Ok",Disbursements!$B:$B,'ERROR SUMMARRY'!$B50)</f>
        <v>2</v>
      </c>
    </row>
    <row r="51" spans="1:5" x14ac:dyDescent="0.2">
      <c r="A51" s="38" t="str">
        <f>VLOOKUP(B51,'Clients-Live'!$A:$C,3,0)</f>
        <v>ALOMO ZABIBU</v>
      </c>
      <c r="B51" s="477">
        <v>56</v>
      </c>
      <c r="C51" s="476">
        <v>3</v>
      </c>
      <c r="D51" s="461">
        <f>COUNTIFS(Disbursements!$AU:$AU,'ERROR SUMMARRY'!$D$2,Disbursements!$B:$B,'ERROR SUMMARRY'!$B51)</f>
        <v>0</v>
      </c>
      <c r="E51" s="461">
        <f>COUNTIFS(Disbursements!$AU:$AU,"Ok",Disbursements!$B:$B,'ERROR SUMMARRY'!$B51)</f>
        <v>3</v>
      </c>
    </row>
    <row r="52" spans="1:5" x14ac:dyDescent="0.2">
      <c r="A52" s="38" t="str">
        <f>VLOOKUP(B52,'Clients-Live'!$A:$C,3,0)</f>
        <v>ASERU SCOVIA</v>
      </c>
      <c r="B52" s="477">
        <v>57</v>
      </c>
      <c r="C52" s="476">
        <v>1</v>
      </c>
      <c r="D52" s="461">
        <f>COUNTIFS(Disbursements!$AU:$AU,'ERROR SUMMARRY'!$D$2,Disbursements!$B:$B,'ERROR SUMMARRY'!$B52)</f>
        <v>0</v>
      </c>
      <c r="E52" s="461">
        <f>COUNTIFS(Disbursements!$AU:$AU,"Ok",Disbursements!$B:$B,'ERROR SUMMARRY'!$B52)</f>
        <v>1</v>
      </c>
    </row>
    <row r="53" spans="1:5" x14ac:dyDescent="0.2">
      <c r="A53" s="38" t="str">
        <f>VLOOKUP(B53,'Clients-Live'!$A:$C,3,0)</f>
        <v xml:space="preserve">ALIRU AMINA </v>
      </c>
      <c r="B53" s="477">
        <v>58</v>
      </c>
      <c r="C53" s="476">
        <v>1</v>
      </c>
      <c r="D53" s="461">
        <f>COUNTIFS(Disbursements!$AU:$AU,'ERROR SUMMARRY'!$D$2,Disbursements!$B:$B,'ERROR SUMMARRY'!$B53)</f>
        <v>0</v>
      </c>
      <c r="E53" s="461">
        <f>COUNTIFS(Disbursements!$AU:$AU,"Ok",Disbursements!$B:$B,'ERROR SUMMARRY'!$B53)</f>
        <v>1</v>
      </c>
    </row>
    <row r="54" spans="1:5" x14ac:dyDescent="0.2">
      <c r="A54" s="38" t="str">
        <f>VLOOKUP(B54,'Clients-Live'!$A:$C,3,0)</f>
        <v>ONZIA AGNES</v>
      </c>
      <c r="B54" s="477">
        <v>59</v>
      </c>
      <c r="C54" s="476">
        <v>2</v>
      </c>
      <c r="D54" s="461">
        <f>COUNTIFS(Disbursements!$AU:$AU,'ERROR SUMMARRY'!$D$2,Disbursements!$B:$B,'ERROR SUMMARRY'!$B54)</f>
        <v>0</v>
      </c>
      <c r="E54" s="461">
        <f>COUNTIFS(Disbursements!$AU:$AU,"Ok",Disbursements!$B:$B,'ERROR SUMMARRY'!$B54)</f>
        <v>2</v>
      </c>
    </row>
    <row r="55" spans="1:5" x14ac:dyDescent="0.2">
      <c r="A55" s="38" t="str">
        <f>VLOOKUP(B55,'Clients-Live'!$A:$C,3,0)</f>
        <v>MATURU ALICE</v>
      </c>
      <c r="B55" s="477">
        <v>60</v>
      </c>
      <c r="C55" s="476">
        <v>2</v>
      </c>
      <c r="D55" s="461">
        <f>COUNTIFS(Disbursements!$AU:$AU,'ERROR SUMMARRY'!$D$2,Disbursements!$B:$B,'ERROR SUMMARRY'!$B55)</f>
        <v>0</v>
      </c>
      <c r="E55" s="461">
        <f>COUNTIFS(Disbursements!$AU:$AU,"Ok",Disbursements!$B:$B,'ERROR SUMMARRY'!$B55)</f>
        <v>2</v>
      </c>
    </row>
    <row r="56" spans="1:5" x14ac:dyDescent="0.2">
      <c r="A56" s="38" t="str">
        <f>VLOOKUP(B56,'Clients-Live'!$A:$C,3,0)</f>
        <v>AREDU RUKIA</v>
      </c>
      <c r="B56" s="477">
        <v>61</v>
      </c>
      <c r="C56" s="476">
        <v>3</v>
      </c>
      <c r="D56" s="461">
        <f>COUNTIFS(Disbursements!$AU:$AU,'ERROR SUMMARRY'!$D$2,Disbursements!$B:$B,'ERROR SUMMARRY'!$B56)</f>
        <v>0</v>
      </c>
      <c r="E56" s="461">
        <f>COUNTIFS(Disbursements!$AU:$AU,"Ok",Disbursements!$B:$B,'ERROR SUMMARRY'!$B56)</f>
        <v>3</v>
      </c>
    </row>
    <row r="57" spans="1:5" x14ac:dyDescent="0.2">
      <c r="A57" s="38" t="str">
        <f>VLOOKUP(B57,'Clients-Live'!$A:$C,3,0)</f>
        <v>DUDU ARIKE</v>
      </c>
      <c r="B57" s="477">
        <v>62</v>
      </c>
      <c r="C57" s="476">
        <v>1</v>
      </c>
      <c r="D57" s="461">
        <f>COUNTIFS(Disbursements!$AU:$AU,'ERROR SUMMARRY'!$D$2,Disbursements!$B:$B,'ERROR SUMMARRY'!$B57)</f>
        <v>0</v>
      </c>
      <c r="E57" s="461">
        <f>COUNTIFS(Disbursements!$AU:$AU,"Ok",Disbursements!$B:$B,'ERROR SUMMARRY'!$B57)</f>
        <v>1</v>
      </c>
    </row>
    <row r="58" spans="1:5" x14ac:dyDescent="0.2">
      <c r="A58" s="38" t="str">
        <f>VLOOKUP(B58,'Clients-Live'!$A:$C,3,0)</f>
        <v>AWURU KADARA</v>
      </c>
      <c r="B58" s="477">
        <v>63</v>
      </c>
      <c r="C58" s="476">
        <v>3</v>
      </c>
      <c r="D58" s="461">
        <f>COUNTIFS(Disbursements!$AU:$AU,'ERROR SUMMARRY'!$D$2,Disbursements!$B:$B,'ERROR SUMMARRY'!$B58)</f>
        <v>0</v>
      </c>
      <c r="E58" s="461">
        <f>COUNTIFS(Disbursements!$AU:$AU,"Ok",Disbursements!$B:$B,'ERROR SUMMARRY'!$B58)</f>
        <v>3</v>
      </c>
    </row>
    <row r="59" spans="1:5" x14ac:dyDescent="0.2">
      <c r="A59" s="38" t="str">
        <f>VLOOKUP(B59,'Clients-Live'!$A:$C,3,0)</f>
        <v>AKINO JUDITH</v>
      </c>
      <c r="B59" s="477">
        <v>64</v>
      </c>
      <c r="C59" s="476">
        <v>2</v>
      </c>
      <c r="D59" s="461">
        <f>COUNTIFS(Disbursements!$AU:$AU,'ERROR SUMMARRY'!$D$2,Disbursements!$B:$B,'ERROR SUMMARRY'!$B59)</f>
        <v>0</v>
      </c>
      <c r="E59" s="461">
        <f>COUNTIFS(Disbursements!$AU:$AU,"Ok",Disbursements!$B:$B,'ERROR SUMMARRY'!$B59)</f>
        <v>2</v>
      </c>
    </row>
    <row r="60" spans="1:5" x14ac:dyDescent="0.2">
      <c r="A60" s="38" t="str">
        <f>VLOOKUP(B60,'Clients-Live'!$A:$C,3,0)</f>
        <v>NDAWULA GERALD</v>
      </c>
      <c r="B60" s="477">
        <v>65</v>
      </c>
      <c r="C60" s="476">
        <v>1</v>
      </c>
      <c r="D60" s="461">
        <f>COUNTIFS(Disbursements!$AU:$AU,'ERROR SUMMARRY'!$D$2,Disbursements!$B:$B,'ERROR SUMMARRY'!$B60)</f>
        <v>0</v>
      </c>
      <c r="E60" s="461">
        <f>COUNTIFS(Disbursements!$AU:$AU,"Ok",Disbursements!$B:$B,'ERROR SUMMARRY'!$B60)</f>
        <v>1</v>
      </c>
    </row>
    <row r="61" spans="1:5" x14ac:dyDescent="0.2">
      <c r="A61" s="38" t="str">
        <f>VLOOKUP(B61,'Clients-Live'!$A:$C,3,0)</f>
        <v>DENAYA NYAMAZA</v>
      </c>
      <c r="B61" s="477">
        <v>66</v>
      </c>
      <c r="C61" s="476">
        <v>2</v>
      </c>
      <c r="D61" s="461">
        <f>COUNTIFS(Disbursements!$AU:$AU,'ERROR SUMMARRY'!$D$2,Disbursements!$B:$B,'ERROR SUMMARRY'!$B61)</f>
        <v>0</v>
      </c>
      <c r="E61" s="461">
        <f>COUNTIFS(Disbursements!$AU:$AU,"Ok",Disbursements!$B:$B,'ERROR SUMMARRY'!$B61)</f>
        <v>2</v>
      </c>
    </row>
    <row r="62" spans="1:5" x14ac:dyDescent="0.2">
      <c r="A62" s="38" t="str">
        <f>VLOOKUP(B62,'Clients-Live'!$A:$C,3,0)</f>
        <v>KEBITA SAUDA</v>
      </c>
      <c r="B62" s="477">
        <v>67</v>
      </c>
      <c r="C62" s="476">
        <v>3</v>
      </c>
      <c r="D62" s="461">
        <f>COUNTIFS(Disbursements!$AU:$AU,'ERROR SUMMARRY'!$D$2,Disbursements!$B:$B,'ERROR SUMMARRY'!$B62)</f>
        <v>0</v>
      </c>
      <c r="E62" s="461">
        <f>COUNTIFS(Disbursements!$AU:$AU,"Ok",Disbursements!$B:$B,'ERROR SUMMARRY'!$B62)</f>
        <v>3</v>
      </c>
    </row>
    <row r="63" spans="1:5" x14ac:dyDescent="0.2">
      <c r="A63" s="38" t="str">
        <f>VLOOKUP(B63,'Clients-Live'!$A:$C,3,0)</f>
        <v>CHANDIA  RAHIMA</v>
      </c>
      <c r="B63" s="477">
        <v>68</v>
      </c>
      <c r="C63" s="476">
        <v>1</v>
      </c>
      <c r="D63" s="461">
        <f>COUNTIFS(Disbursements!$AU:$AU,'ERROR SUMMARRY'!$D$2,Disbursements!$B:$B,'ERROR SUMMARRY'!$B63)</f>
        <v>0</v>
      </c>
      <c r="E63" s="461">
        <f>COUNTIFS(Disbursements!$AU:$AU,"Ok",Disbursements!$B:$B,'ERROR SUMMARRY'!$B63)</f>
        <v>1</v>
      </c>
    </row>
    <row r="64" spans="1:5" x14ac:dyDescent="0.2">
      <c r="A64" s="38" t="str">
        <f>VLOOKUP(B64,'Clients-Live'!$A:$C,3,0)</f>
        <v>SADIA JOYCE</v>
      </c>
      <c r="B64" s="477">
        <v>69</v>
      </c>
      <c r="C64" s="476">
        <v>3</v>
      </c>
      <c r="D64" s="461">
        <f>COUNTIFS(Disbursements!$AU:$AU,'ERROR SUMMARRY'!$D$2,Disbursements!$B:$B,'ERROR SUMMARRY'!$B64)</f>
        <v>0</v>
      </c>
      <c r="E64" s="461">
        <f>COUNTIFS(Disbursements!$AU:$AU,"Ok",Disbursements!$B:$B,'ERROR SUMMARRY'!$B64)</f>
        <v>3</v>
      </c>
    </row>
    <row r="65" spans="1:5" x14ac:dyDescent="0.2">
      <c r="A65" s="38" t="str">
        <f>VLOOKUP(B65,'Clients-Live'!$A:$C,3,0)</f>
        <v>BUGA ALIKIA PHILLIP</v>
      </c>
      <c r="B65" s="477">
        <v>70</v>
      </c>
      <c r="C65" s="476">
        <v>2</v>
      </c>
      <c r="D65" s="461">
        <f>COUNTIFS(Disbursements!$AU:$AU,'ERROR SUMMARRY'!$D$2,Disbursements!$B:$B,'ERROR SUMMARRY'!$B65)</f>
        <v>0</v>
      </c>
      <c r="E65" s="461">
        <f>COUNTIFS(Disbursements!$AU:$AU,"Ok",Disbursements!$B:$B,'ERROR SUMMARRY'!$B65)</f>
        <v>2</v>
      </c>
    </row>
    <row r="66" spans="1:5" x14ac:dyDescent="0.2">
      <c r="A66" s="38" t="str">
        <f>VLOOKUP(B66,'Clients-Live'!$A:$C,3,0)</f>
        <v>AYIKORU HARIET BAUDI</v>
      </c>
      <c r="B66" s="477">
        <v>71</v>
      </c>
      <c r="C66" s="476">
        <v>4</v>
      </c>
      <c r="D66" s="461">
        <f>COUNTIFS(Disbursements!$AU:$AU,'ERROR SUMMARRY'!$D$2,Disbursements!$B:$B,'ERROR SUMMARRY'!$B66)</f>
        <v>0</v>
      </c>
      <c r="E66" s="461">
        <f>COUNTIFS(Disbursements!$AU:$AU,"Ok",Disbursements!$B:$B,'ERROR SUMMARRY'!$B66)</f>
        <v>5</v>
      </c>
    </row>
    <row r="67" spans="1:5" x14ac:dyDescent="0.2">
      <c r="A67" s="38" t="str">
        <f>VLOOKUP(B67,'Clients-Live'!$A:$C,3,0)</f>
        <v>MUNDURU MERCY</v>
      </c>
      <c r="B67" s="477">
        <v>72</v>
      </c>
      <c r="C67" s="476">
        <v>3</v>
      </c>
      <c r="D67" s="461">
        <f>COUNTIFS(Disbursements!$AU:$AU,'ERROR SUMMARRY'!$D$2,Disbursements!$B:$B,'ERROR SUMMARRY'!$B67)</f>
        <v>0</v>
      </c>
      <c r="E67" s="461">
        <f>COUNTIFS(Disbursements!$AU:$AU,"Ok",Disbursements!$B:$B,'ERROR SUMMARRY'!$B67)</f>
        <v>3</v>
      </c>
    </row>
    <row r="68" spans="1:5" x14ac:dyDescent="0.2">
      <c r="A68" s="38" t="str">
        <f>VLOOKUP(B68,'Clients-Live'!$A:$C,3,0)</f>
        <v>AJONYE DEBORA</v>
      </c>
      <c r="B68" s="477">
        <v>73</v>
      </c>
      <c r="C68" s="476">
        <v>3</v>
      </c>
      <c r="D68" s="461">
        <f>COUNTIFS(Disbursements!$AU:$AU,'ERROR SUMMARRY'!$D$2,Disbursements!$B:$B,'ERROR SUMMARRY'!$B68)</f>
        <v>0</v>
      </c>
      <c r="E68" s="461">
        <f>COUNTIFS(Disbursements!$AU:$AU,"Ok",Disbursements!$B:$B,'ERROR SUMMARRY'!$B68)</f>
        <v>3</v>
      </c>
    </row>
    <row r="69" spans="1:5" x14ac:dyDescent="0.2">
      <c r="A69" s="38" t="str">
        <f>VLOOKUP(B69,'Clients-Live'!$A:$C,3,0)</f>
        <v>YUKUWE AISHA</v>
      </c>
      <c r="B69" s="477">
        <v>74</v>
      </c>
      <c r="C69" s="476">
        <v>3</v>
      </c>
      <c r="D69" s="461">
        <f>COUNTIFS(Disbursements!$AU:$AU,'ERROR SUMMARRY'!$D$2,Disbursements!$B:$B,'ERROR SUMMARRY'!$B69)</f>
        <v>0</v>
      </c>
      <c r="E69" s="461">
        <f>COUNTIFS(Disbursements!$AU:$AU,"Ok",Disbursements!$B:$B,'ERROR SUMMARRY'!$B69)</f>
        <v>3</v>
      </c>
    </row>
    <row r="70" spans="1:5" x14ac:dyDescent="0.2">
      <c r="A70" s="38" t="str">
        <f>VLOOKUP(B70,'Clients-Live'!$A:$C,3,0)</f>
        <v>MUKULIA JAMES</v>
      </c>
      <c r="B70" s="477">
        <v>75</v>
      </c>
      <c r="C70" s="476">
        <v>3</v>
      </c>
      <c r="D70" s="461">
        <f>COUNTIFS(Disbursements!$AU:$AU,'ERROR SUMMARRY'!$D$2,Disbursements!$B:$B,'ERROR SUMMARRY'!$B70)</f>
        <v>0</v>
      </c>
      <c r="E70" s="461">
        <f>COUNTIFS(Disbursements!$AU:$AU,"Ok",Disbursements!$B:$B,'ERROR SUMMARRY'!$B70)</f>
        <v>3</v>
      </c>
    </row>
    <row r="71" spans="1:5" x14ac:dyDescent="0.2">
      <c r="A71" s="38" t="str">
        <f>VLOOKUP(B71,'Clients-Live'!$A:$C,3,0)</f>
        <v>DAWA AISHA</v>
      </c>
      <c r="B71" s="477">
        <v>76</v>
      </c>
      <c r="C71" s="476">
        <v>2</v>
      </c>
      <c r="D71" s="461">
        <f>COUNTIFS(Disbursements!$AU:$AU,'ERROR SUMMARRY'!$D$2,Disbursements!$B:$B,'ERROR SUMMARRY'!$B71)</f>
        <v>0</v>
      </c>
      <c r="E71" s="461">
        <f>COUNTIFS(Disbursements!$AU:$AU,"Ok",Disbursements!$B:$B,'ERROR SUMMARRY'!$B71)</f>
        <v>2</v>
      </c>
    </row>
    <row r="72" spans="1:5" x14ac:dyDescent="0.2">
      <c r="A72" s="38" t="str">
        <f>VLOOKUP(B72,'Clients-Live'!$A:$C,3,0)</f>
        <v>CACA FATUMA</v>
      </c>
      <c r="B72" s="477">
        <v>77</v>
      </c>
      <c r="C72" s="476">
        <v>3</v>
      </c>
      <c r="D72" s="461">
        <f>COUNTIFS(Disbursements!$AU:$AU,'ERROR SUMMARRY'!$D$2,Disbursements!$B:$B,'ERROR SUMMARRY'!$B72)</f>
        <v>0</v>
      </c>
      <c r="E72" s="461">
        <f>COUNTIFS(Disbursements!$AU:$AU,"Ok",Disbursements!$B:$B,'ERROR SUMMARRY'!$B72)</f>
        <v>3</v>
      </c>
    </row>
    <row r="73" spans="1:5" x14ac:dyDescent="0.2">
      <c r="A73" s="38" t="str">
        <f>VLOOKUP(B73,'Clients-Live'!$A:$C,3,0)</f>
        <v>DIPIYO BEATRICE JOHN</v>
      </c>
      <c r="B73" s="477">
        <v>78</v>
      </c>
      <c r="C73" s="476">
        <v>3</v>
      </c>
      <c r="D73" s="461">
        <f>COUNTIFS(Disbursements!$AU:$AU,'ERROR SUMMARRY'!$D$2,Disbursements!$B:$B,'ERROR SUMMARRY'!$B73)</f>
        <v>0</v>
      </c>
      <c r="E73" s="461">
        <f>COUNTIFS(Disbursements!$AU:$AU,"Ok",Disbursements!$B:$B,'ERROR SUMMARRY'!$B73)</f>
        <v>3</v>
      </c>
    </row>
    <row r="74" spans="1:5" x14ac:dyDescent="0.2">
      <c r="A74" s="38" t="str">
        <f>VLOOKUP(B74,'Clients-Live'!$A:$C,3,0)</f>
        <v>PASI SENYA</v>
      </c>
      <c r="B74" s="477">
        <v>79</v>
      </c>
      <c r="C74" s="476">
        <v>1</v>
      </c>
      <c r="D74" s="461">
        <f>COUNTIFS(Disbursements!$AU:$AU,'ERROR SUMMARRY'!$D$2,Disbursements!$B:$B,'ERROR SUMMARRY'!$B74)</f>
        <v>0</v>
      </c>
      <c r="E74" s="461">
        <f>COUNTIFS(Disbursements!$AU:$AU,"Ok",Disbursements!$B:$B,'ERROR SUMMARRY'!$B74)</f>
        <v>1</v>
      </c>
    </row>
    <row r="75" spans="1:5" x14ac:dyDescent="0.2">
      <c r="A75" s="38" t="str">
        <f>VLOOKUP(B75,'Clients-Live'!$A:$C,3,0)</f>
        <v>ARIYE AISHA</v>
      </c>
      <c r="B75" s="477">
        <v>80</v>
      </c>
      <c r="C75" s="476">
        <v>1</v>
      </c>
      <c r="D75" s="461">
        <f>COUNTIFS(Disbursements!$AU:$AU,'ERROR SUMMARRY'!$D$2,Disbursements!$B:$B,'ERROR SUMMARRY'!$B75)</f>
        <v>0</v>
      </c>
      <c r="E75" s="461">
        <f>COUNTIFS(Disbursements!$AU:$AU,"Ok",Disbursements!$B:$B,'ERROR SUMMARRY'!$B75)</f>
        <v>1</v>
      </c>
    </row>
    <row r="76" spans="1:5" x14ac:dyDescent="0.2">
      <c r="A76" s="38" t="str">
        <f>VLOOKUP(B76,'Clients-Live'!$A:$C,3,0)</f>
        <v>ADAM ZAITUN</v>
      </c>
      <c r="B76" s="477">
        <v>81</v>
      </c>
      <c r="C76" s="476">
        <v>1</v>
      </c>
      <c r="D76" s="461">
        <f>COUNTIFS(Disbursements!$AU:$AU,'ERROR SUMMARRY'!$D$2,Disbursements!$B:$B,'ERROR SUMMARRY'!$B76)</f>
        <v>0</v>
      </c>
      <c r="E76" s="461">
        <f>COUNTIFS(Disbursements!$AU:$AU,"Ok",Disbursements!$B:$B,'ERROR SUMMARRY'!$B76)</f>
        <v>1</v>
      </c>
    </row>
    <row r="77" spans="1:5" x14ac:dyDescent="0.2">
      <c r="A77" s="38" t="str">
        <f>VLOOKUP(B77,'Clients-Live'!$A:$C,3,0)</f>
        <v>ADUNA MANENO</v>
      </c>
      <c r="B77" s="477">
        <v>82</v>
      </c>
      <c r="C77" s="476">
        <v>1</v>
      </c>
      <c r="D77" s="461">
        <f>COUNTIFS(Disbursements!$AU:$AU,'ERROR SUMMARRY'!$D$2,Disbursements!$B:$B,'ERROR SUMMARRY'!$B77)</f>
        <v>0</v>
      </c>
      <c r="E77" s="461">
        <f>COUNTIFS(Disbursements!$AU:$AU,"Ok",Disbursements!$B:$B,'ERROR SUMMARRY'!$B77)</f>
        <v>1</v>
      </c>
    </row>
    <row r="78" spans="1:5" x14ac:dyDescent="0.2">
      <c r="A78" s="38" t="str">
        <f>VLOOKUP(B78,'Clients-Live'!$A:$C,3,0)</f>
        <v>NEVER ZULAIKA</v>
      </c>
      <c r="B78" s="477">
        <v>83</v>
      </c>
      <c r="C78" s="476">
        <v>1</v>
      </c>
      <c r="D78" s="461">
        <f>COUNTIFS(Disbursements!$AU:$AU,'ERROR SUMMARRY'!$D$2,Disbursements!$B:$B,'ERROR SUMMARRY'!$B78)</f>
        <v>0</v>
      </c>
      <c r="E78" s="461">
        <f>COUNTIFS(Disbursements!$AU:$AU,"Ok",Disbursements!$B:$B,'ERROR SUMMARRY'!$B78)</f>
        <v>1</v>
      </c>
    </row>
    <row r="79" spans="1:5" x14ac:dyDescent="0.2">
      <c r="A79" s="38" t="str">
        <f>VLOOKUP(B79,'Clients-Live'!$A:$C,3,0)</f>
        <v>OMEGA  CHARLES</v>
      </c>
      <c r="B79" s="477">
        <v>84</v>
      </c>
      <c r="C79" s="476">
        <v>1</v>
      </c>
      <c r="D79" s="461">
        <f>COUNTIFS(Disbursements!$AU:$AU,'ERROR SUMMARRY'!$D$2,Disbursements!$B:$B,'ERROR SUMMARRY'!$B79)</f>
        <v>0</v>
      </c>
      <c r="E79" s="461">
        <f>COUNTIFS(Disbursements!$AU:$AU,"Ok",Disbursements!$B:$B,'ERROR SUMMARRY'!$B79)</f>
        <v>1</v>
      </c>
    </row>
    <row r="80" spans="1:5" x14ac:dyDescent="0.2">
      <c r="A80" s="38" t="str">
        <f>VLOOKUP(B80,'Clients-Live'!$A:$C,3,0)</f>
        <v>CEASER SWALEH</v>
      </c>
      <c r="B80" s="477">
        <v>85</v>
      </c>
      <c r="C80" s="476">
        <v>3</v>
      </c>
      <c r="D80" s="461">
        <f>COUNTIFS(Disbursements!$AU:$AU,'ERROR SUMMARRY'!$D$2,Disbursements!$B:$B,'ERROR SUMMARRY'!$B80)</f>
        <v>0</v>
      </c>
      <c r="E80" s="461">
        <f>COUNTIFS(Disbursements!$AU:$AU,"Ok",Disbursements!$B:$B,'ERROR SUMMARRY'!$B80)</f>
        <v>3</v>
      </c>
    </row>
    <row r="81" spans="1:5" x14ac:dyDescent="0.2">
      <c r="A81" s="38" t="str">
        <f>VLOOKUP(B81,'Clients-Live'!$A:$C,3,0)</f>
        <v>AMANIYO JOYCE</v>
      </c>
      <c r="B81" s="477">
        <v>86</v>
      </c>
      <c r="C81" s="476">
        <v>2</v>
      </c>
      <c r="D81" s="461">
        <f>COUNTIFS(Disbursements!$AU:$AU,'ERROR SUMMARRY'!$D$2,Disbursements!$B:$B,'ERROR SUMMARRY'!$B81)</f>
        <v>0</v>
      </c>
      <c r="E81" s="461">
        <f>COUNTIFS(Disbursements!$AU:$AU,"Ok",Disbursements!$B:$B,'ERROR SUMMARRY'!$B81)</f>
        <v>2</v>
      </c>
    </row>
    <row r="82" spans="1:5" x14ac:dyDescent="0.2">
      <c r="A82" s="38" t="str">
        <f>VLOOKUP(B82,'Clients-Live'!$A:$C,3,0)</f>
        <v>FAIDA ZUBEDA</v>
      </c>
      <c r="B82" s="477">
        <v>87</v>
      </c>
      <c r="C82" s="476">
        <v>1</v>
      </c>
      <c r="D82" s="461">
        <f>COUNTIFS(Disbursements!$AU:$AU,'ERROR SUMMARRY'!$D$2,Disbursements!$B:$B,'ERROR SUMMARRY'!$B82)</f>
        <v>0</v>
      </c>
      <c r="E82" s="461">
        <f>COUNTIFS(Disbursements!$AU:$AU,"Ok",Disbursements!$B:$B,'ERROR SUMMARRY'!$B82)</f>
        <v>1</v>
      </c>
    </row>
    <row r="83" spans="1:5" x14ac:dyDescent="0.2">
      <c r="A83" s="38" t="str">
        <f>VLOOKUP(B83,'Clients-Live'!$A:$C,3,0)</f>
        <v>FAIDA HARRIET</v>
      </c>
      <c r="B83" s="477">
        <v>88</v>
      </c>
      <c r="C83" s="476">
        <v>3</v>
      </c>
      <c r="D83" s="461">
        <f>COUNTIFS(Disbursements!$AU:$AU,'ERROR SUMMARRY'!$D$2,Disbursements!$B:$B,'ERROR SUMMARRY'!$B83)</f>
        <v>0</v>
      </c>
      <c r="E83" s="461">
        <f>COUNTIFS(Disbursements!$AU:$AU,"Ok",Disbursements!$B:$B,'ERROR SUMMARRY'!$B83)</f>
        <v>3</v>
      </c>
    </row>
    <row r="84" spans="1:5" x14ac:dyDescent="0.2">
      <c r="A84" s="38" t="str">
        <f>VLOOKUP(B84,'Clients-Live'!$A:$C,3,0)</f>
        <v>ANDA FLORENCE</v>
      </c>
      <c r="B84" s="477">
        <v>89</v>
      </c>
      <c r="C84" s="476">
        <v>2</v>
      </c>
      <c r="D84" s="461">
        <f>COUNTIFS(Disbursements!$AU:$AU,'ERROR SUMMARRY'!$D$2,Disbursements!$B:$B,'ERROR SUMMARRY'!$B84)</f>
        <v>0</v>
      </c>
      <c r="E84" s="461">
        <f>COUNTIFS(Disbursements!$AU:$AU,"Ok",Disbursements!$B:$B,'ERROR SUMMARRY'!$B84)</f>
        <v>2</v>
      </c>
    </row>
    <row r="85" spans="1:5" x14ac:dyDescent="0.2">
      <c r="A85" s="38" t="str">
        <f>VLOOKUP(B85,'Clients-Live'!$A:$C,3,0)</f>
        <v>ZABIBU RAJAB SAIDI</v>
      </c>
      <c r="B85" s="477">
        <v>90</v>
      </c>
      <c r="C85" s="476">
        <v>2</v>
      </c>
      <c r="D85" s="461">
        <f>COUNTIFS(Disbursements!$AU:$AU,'ERROR SUMMARRY'!$D$2,Disbursements!$B:$B,'ERROR SUMMARRY'!$B85)</f>
        <v>0</v>
      </c>
      <c r="E85" s="461">
        <f>COUNTIFS(Disbursements!$AU:$AU,"Ok",Disbursements!$B:$B,'ERROR SUMMARRY'!$B85)</f>
        <v>2</v>
      </c>
    </row>
    <row r="86" spans="1:5" x14ac:dyDescent="0.2">
      <c r="A86" s="38" t="str">
        <f>VLOOKUP(B86,'Clients-Live'!$A:$C,3,0)</f>
        <v>CHANDIRU SALILA</v>
      </c>
      <c r="B86" s="477">
        <v>91</v>
      </c>
      <c r="C86" s="476">
        <v>2</v>
      </c>
      <c r="D86" s="461">
        <f>COUNTIFS(Disbursements!$AU:$AU,'ERROR SUMMARRY'!$D$2,Disbursements!$B:$B,'ERROR SUMMARRY'!$B86)</f>
        <v>0</v>
      </c>
      <c r="E86" s="461">
        <f>COUNTIFS(Disbursements!$AU:$AU,"Ok",Disbursements!$B:$B,'ERROR SUMMARRY'!$B86)</f>
        <v>2</v>
      </c>
    </row>
    <row r="87" spans="1:5" x14ac:dyDescent="0.2">
      <c r="A87" s="38" t="str">
        <f>VLOOKUP(B87,'Clients-Live'!$A:$C,3,0)</f>
        <v>FAIDA ZAKIYA</v>
      </c>
      <c r="B87" s="477">
        <v>92</v>
      </c>
      <c r="C87" s="476">
        <v>1</v>
      </c>
      <c r="D87" s="461">
        <f>COUNTIFS(Disbursements!$AU:$AU,'ERROR SUMMARRY'!$D$2,Disbursements!$B:$B,'ERROR SUMMARRY'!$B87)</f>
        <v>0</v>
      </c>
      <c r="E87" s="461">
        <f>COUNTIFS(Disbursements!$AU:$AU,"Ok",Disbursements!$B:$B,'ERROR SUMMARRY'!$B87)</f>
        <v>1</v>
      </c>
    </row>
    <row r="88" spans="1:5" x14ac:dyDescent="0.2">
      <c r="A88" s="38" t="str">
        <f>VLOOKUP(B88,'Clients-Live'!$A:$C,3,0)</f>
        <v>NGINYA RICHARD</v>
      </c>
      <c r="B88" s="477">
        <v>94</v>
      </c>
      <c r="C88" s="476">
        <v>3</v>
      </c>
      <c r="D88" s="461">
        <f>COUNTIFS(Disbursements!$AU:$AU,'ERROR SUMMARRY'!$D$2,Disbursements!$B:$B,'ERROR SUMMARRY'!$B88)</f>
        <v>0</v>
      </c>
      <c r="E88" s="461">
        <f>COUNTIFS(Disbursements!$AU:$AU,"Ok",Disbursements!$B:$B,'ERROR SUMMARRY'!$B88)</f>
        <v>3</v>
      </c>
    </row>
    <row r="89" spans="1:5" x14ac:dyDescent="0.2">
      <c r="A89" s="38" t="str">
        <f>VLOOKUP(B89,'Clients-Live'!$A:$C,3,0)</f>
        <v>MUNDURU SIFA</v>
      </c>
      <c r="B89" s="477">
        <v>95</v>
      </c>
      <c r="C89" s="476">
        <v>1</v>
      </c>
      <c r="D89" s="461">
        <f>COUNTIFS(Disbursements!$AU:$AU,'ERROR SUMMARRY'!$D$2,Disbursements!$B:$B,'ERROR SUMMARRY'!$B89)</f>
        <v>0</v>
      </c>
      <c r="E89" s="461">
        <f>COUNTIFS(Disbursements!$AU:$AU,"Ok",Disbursements!$B:$B,'ERROR SUMMARRY'!$B89)</f>
        <v>1</v>
      </c>
    </row>
    <row r="90" spans="1:5" x14ac:dyDescent="0.2">
      <c r="A90" s="38" t="str">
        <f>VLOOKUP(B90,'Clients-Live'!$A:$C,3,0)</f>
        <v>AKANDU NIGHT YONGORO</v>
      </c>
      <c r="B90" s="477">
        <v>96</v>
      </c>
      <c r="C90" s="476">
        <v>3</v>
      </c>
      <c r="D90" s="461">
        <f>COUNTIFS(Disbursements!$AU:$AU,'ERROR SUMMARRY'!$D$2,Disbursements!$B:$B,'ERROR SUMMARRY'!$B90)</f>
        <v>0</v>
      </c>
      <c r="E90" s="461">
        <f>COUNTIFS(Disbursements!$AU:$AU,"Ok",Disbursements!$B:$B,'ERROR SUMMARRY'!$B90)</f>
        <v>3</v>
      </c>
    </row>
    <row r="91" spans="1:5" x14ac:dyDescent="0.2">
      <c r="A91" s="38" t="str">
        <f>VLOOKUP(B91,'Clients-Live'!$A:$C,3,0)</f>
        <v>DRANDUA JOB CHRISPUS</v>
      </c>
      <c r="B91" s="477">
        <v>97</v>
      </c>
      <c r="C91" s="476">
        <v>7</v>
      </c>
      <c r="D91" s="461">
        <f>COUNTIFS(Disbursements!$AU:$AU,'ERROR SUMMARRY'!$D$2,Disbursements!$B:$B,'ERROR SUMMARRY'!$B91)</f>
        <v>0</v>
      </c>
      <c r="E91" s="461">
        <f>COUNTIFS(Disbursements!$AU:$AU,"Ok",Disbursements!$B:$B,'ERROR SUMMARRY'!$B91)</f>
        <v>7</v>
      </c>
    </row>
    <row r="92" spans="1:5" x14ac:dyDescent="0.2">
      <c r="A92" s="38" t="str">
        <f>VLOOKUP(B92,'Clients-Live'!$A:$C,3,0)</f>
        <v>AMANIYO CLARA</v>
      </c>
      <c r="B92" s="477">
        <v>98</v>
      </c>
      <c r="C92" s="476">
        <v>2</v>
      </c>
      <c r="D92" s="461">
        <f>COUNTIFS(Disbursements!$AU:$AU,'ERROR SUMMARRY'!$D$2,Disbursements!$B:$B,'ERROR SUMMARRY'!$B92)</f>
        <v>0</v>
      </c>
      <c r="E92" s="461">
        <f>COUNTIFS(Disbursements!$AU:$AU,"Ok",Disbursements!$B:$B,'ERROR SUMMARRY'!$B92)</f>
        <v>2</v>
      </c>
    </row>
    <row r="93" spans="1:5" x14ac:dyDescent="0.2">
      <c r="A93" s="38" t="str">
        <f>VLOOKUP(B93,'Clients-Live'!$A:$C,3,0)</f>
        <v>SIJALI ASINA SIS</v>
      </c>
      <c r="B93" s="477">
        <v>99</v>
      </c>
      <c r="C93" s="476">
        <v>3</v>
      </c>
      <c r="D93" s="461">
        <f>COUNTIFS(Disbursements!$AU:$AU,'ERROR SUMMARRY'!$D$2,Disbursements!$B:$B,'ERROR SUMMARRY'!$B93)</f>
        <v>0</v>
      </c>
      <c r="E93" s="461">
        <f>COUNTIFS(Disbursements!$AU:$AU,"Ok",Disbursements!$B:$B,'ERROR SUMMARRY'!$B93)</f>
        <v>3</v>
      </c>
    </row>
    <row r="94" spans="1:5" x14ac:dyDescent="0.2">
      <c r="A94" s="38" t="str">
        <f>VLOOKUP(B94,'Clients-Live'!$A:$C,3,0)</f>
        <v>LETAYO DORCUS</v>
      </c>
      <c r="B94" s="477">
        <v>100</v>
      </c>
      <c r="C94" s="476">
        <v>2</v>
      </c>
      <c r="D94" s="461">
        <f>COUNTIFS(Disbursements!$AU:$AU,'ERROR SUMMARRY'!$D$2,Disbursements!$B:$B,'ERROR SUMMARRY'!$B94)</f>
        <v>0</v>
      </c>
      <c r="E94" s="461">
        <f>COUNTIFS(Disbursements!$AU:$AU,"Ok",Disbursements!$B:$B,'ERROR SUMMARRY'!$B94)</f>
        <v>2</v>
      </c>
    </row>
    <row r="95" spans="1:5" x14ac:dyDescent="0.2">
      <c r="A95" s="38" t="str">
        <f>VLOOKUP(B95,'Clients-Live'!$A:$C,3,0)</f>
        <v>AYIKO STEPHEN</v>
      </c>
      <c r="B95" s="477">
        <v>101</v>
      </c>
      <c r="C95" s="476">
        <v>1</v>
      </c>
      <c r="D95" s="461">
        <f>COUNTIFS(Disbursements!$AU:$AU,'ERROR SUMMARRY'!$D$2,Disbursements!$B:$B,'ERROR SUMMARRY'!$B95)</f>
        <v>0</v>
      </c>
      <c r="E95" s="461">
        <f>COUNTIFS(Disbursements!$AU:$AU,"Ok",Disbursements!$B:$B,'ERROR SUMMARRY'!$B95)</f>
        <v>1</v>
      </c>
    </row>
    <row r="96" spans="1:5" x14ac:dyDescent="0.2">
      <c r="A96" s="38" t="str">
        <f>VLOOKUP(B96,'Clients-Live'!$A:$C,3,0)</f>
        <v>BATALI GODFREY JOHN</v>
      </c>
      <c r="B96" s="477">
        <v>102</v>
      </c>
      <c r="C96" s="476">
        <v>2</v>
      </c>
      <c r="D96" s="461">
        <f>COUNTIFS(Disbursements!$AU:$AU,'ERROR SUMMARRY'!$D$2,Disbursements!$B:$B,'ERROR SUMMARRY'!$B96)</f>
        <v>0</v>
      </c>
      <c r="E96" s="461">
        <f>COUNTIFS(Disbursements!$AU:$AU,"Ok",Disbursements!$B:$B,'ERROR SUMMARRY'!$B96)</f>
        <v>2</v>
      </c>
    </row>
    <row r="97" spans="1:5" x14ac:dyDescent="0.2">
      <c r="A97" s="38" t="str">
        <f>VLOOKUP(B97,'Clients-Live'!$A:$C,3,0)</f>
        <v>CHANDIRU ZABIB</v>
      </c>
      <c r="B97" s="477">
        <v>103</v>
      </c>
      <c r="C97" s="476">
        <v>3</v>
      </c>
      <c r="D97" s="461">
        <f>COUNTIFS(Disbursements!$AU:$AU,'ERROR SUMMARRY'!$D$2,Disbursements!$B:$B,'ERROR SUMMARRY'!$B97)</f>
        <v>0</v>
      </c>
      <c r="E97" s="461">
        <f>COUNTIFS(Disbursements!$AU:$AU,"Ok",Disbursements!$B:$B,'ERROR SUMMARRY'!$B97)</f>
        <v>3</v>
      </c>
    </row>
    <row r="98" spans="1:5" x14ac:dyDescent="0.2">
      <c r="A98" s="38" t="str">
        <f>VLOOKUP(B98,'Clients-Live'!$A:$C,3,0)</f>
        <v>IDIRA ALIMA</v>
      </c>
      <c r="B98" s="477">
        <v>104</v>
      </c>
      <c r="C98" s="476">
        <v>2</v>
      </c>
      <c r="D98" s="461">
        <f>COUNTIFS(Disbursements!$AU:$AU,'ERROR SUMMARRY'!$D$2,Disbursements!$B:$B,'ERROR SUMMARRY'!$B98)</f>
        <v>0</v>
      </c>
      <c r="E98" s="461">
        <f>COUNTIFS(Disbursements!$AU:$AU,"Ok",Disbursements!$B:$B,'ERROR SUMMARRY'!$B98)</f>
        <v>2</v>
      </c>
    </row>
    <row r="99" spans="1:5" x14ac:dyDescent="0.2">
      <c r="A99" s="38" t="str">
        <f>VLOOKUP(B99,'Clients-Live'!$A:$C,3,0)</f>
        <v>NUKA ROSE</v>
      </c>
      <c r="B99" s="477">
        <v>105</v>
      </c>
      <c r="C99" s="476">
        <v>2</v>
      </c>
      <c r="D99" s="461">
        <f>COUNTIFS(Disbursements!$AU:$AU,'ERROR SUMMARRY'!$D$2,Disbursements!$B:$B,'ERROR SUMMARRY'!$B99)</f>
        <v>0</v>
      </c>
      <c r="E99" s="461">
        <f>COUNTIFS(Disbursements!$AU:$AU,"Ok",Disbursements!$B:$B,'ERROR SUMMARRY'!$B99)</f>
        <v>2</v>
      </c>
    </row>
    <row r="100" spans="1:5" x14ac:dyDescent="0.2">
      <c r="A100" s="38" t="str">
        <f>VLOOKUP(B100,'Clients-Live'!$A:$C,3,0)</f>
        <v>ORODRIYO  NUSURA</v>
      </c>
      <c r="B100" s="477">
        <v>106</v>
      </c>
      <c r="C100" s="476">
        <v>2</v>
      </c>
      <c r="D100" s="461">
        <f>COUNTIFS(Disbursements!$AU:$AU,'ERROR SUMMARRY'!$D$2,Disbursements!$B:$B,'ERROR SUMMARRY'!$B100)</f>
        <v>0</v>
      </c>
      <c r="E100" s="461">
        <f>COUNTIFS(Disbursements!$AU:$AU,"Ok",Disbursements!$B:$B,'ERROR SUMMARRY'!$B100)</f>
        <v>2</v>
      </c>
    </row>
    <row r="101" spans="1:5" x14ac:dyDescent="0.2">
      <c r="A101" s="38" t="str">
        <f>VLOOKUP(B101,'Clients-Live'!$A:$C,3,0)</f>
        <v>LAKONY PETER</v>
      </c>
      <c r="B101" s="477">
        <v>107</v>
      </c>
      <c r="C101" s="476">
        <v>1</v>
      </c>
      <c r="D101" s="461">
        <f>COUNTIFS(Disbursements!$AU:$AU,'ERROR SUMMARRY'!$D$2,Disbursements!$B:$B,'ERROR SUMMARRY'!$B101)</f>
        <v>0</v>
      </c>
      <c r="E101" s="461">
        <f>COUNTIFS(Disbursements!$AU:$AU,"Ok",Disbursements!$B:$B,'ERROR SUMMARRY'!$B101)</f>
        <v>1</v>
      </c>
    </row>
    <row r="102" spans="1:5" x14ac:dyDescent="0.2">
      <c r="A102" s="38" t="str">
        <f>VLOOKUP(B102,'Clients-Live'!$A:$C,3,0)</f>
        <v>DUDU JOICE</v>
      </c>
      <c r="B102" s="477">
        <v>108</v>
      </c>
      <c r="C102" s="476">
        <v>2</v>
      </c>
      <c r="D102" s="461">
        <f>COUNTIFS(Disbursements!$AU:$AU,'ERROR SUMMARRY'!$D$2,Disbursements!$B:$B,'ERROR SUMMARRY'!$B102)</f>
        <v>0</v>
      </c>
      <c r="E102" s="461">
        <f>COUNTIFS(Disbursements!$AU:$AU,"Ok",Disbursements!$B:$B,'ERROR SUMMARRY'!$B102)</f>
        <v>2</v>
      </c>
    </row>
    <row r="103" spans="1:5" x14ac:dyDescent="0.2">
      <c r="A103" s="38" t="str">
        <f>VLOOKUP(B103,'Clients-Live'!$A:$C,3,0)</f>
        <v>TABU KISA</v>
      </c>
      <c r="B103" s="477">
        <v>109</v>
      </c>
      <c r="C103" s="476">
        <v>3</v>
      </c>
      <c r="D103" s="461">
        <f>COUNTIFS(Disbursements!$AU:$AU,'ERROR SUMMARRY'!$D$2,Disbursements!$B:$B,'ERROR SUMMARRY'!$B103)</f>
        <v>0</v>
      </c>
      <c r="E103" s="461">
        <f>COUNTIFS(Disbursements!$AU:$AU,"Ok",Disbursements!$B:$B,'ERROR SUMMARRY'!$B103)</f>
        <v>3</v>
      </c>
    </row>
    <row r="104" spans="1:5" x14ac:dyDescent="0.2">
      <c r="A104" s="38" t="str">
        <f>VLOOKUP(B104,'Clients-Live'!$A:$C,3,0)</f>
        <v>ANDAKU CHARLES JULIAN</v>
      </c>
      <c r="B104" s="477">
        <v>111</v>
      </c>
      <c r="C104" s="476">
        <v>2</v>
      </c>
      <c r="D104" s="461">
        <f>COUNTIFS(Disbursements!$AU:$AU,'ERROR SUMMARRY'!$D$2,Disbursements!$B:$B,'ERROR SUMMARRY'!$B104)</f>
        <v>0</v>
      </c>
      <c r="E104" s="461">
        <f>COUNTIFS(Disbursements!$AU:$AU,"Ok",Disbursements!$B:$B,'ERROR SUMMARRY'!$B104)</f>
        <v>2</v>
      </c>
    </row>
    <row r="105" spans="1:5" x14ac:dyDescent="0.2">
      <c r="A105" s="38" t="str">
        <f>VLOOKUP(B105,'Clients-Live'!$A:$C,3,0)</f>
        <v>NURA JOYCE</v>
      </c>
      <c r="B105" s="477">
        <v>112</v>
      </c>
      <c r="C105" s="476">
        <v>2</v>
      </c>
      <c r="D105" s="461">
        <f>COUNTIFS(Disbursements!$AU:$AU,'ERROR SUMMARRY'!$D$2,Disbursements!$B:$B,'ERROR SUMMARRY'!$B105)</f>
        <v>0</v>
      </c>
      <c r="E105" s="461">
        <f>COUNTIFS(Disbursements!$AU:$AU,"Ok",Disbursements!$B:$B,'ERROR SUMMARRY'!$B105)</f>
        <v>2</v>
      </c>
    </row>
    <row r="106" spans="1:5" x14ac:dyDescent="0.2">
      <c r="A106" s="38" t="str">
        <f>VLOOKUP(B106,'Clients-Live'!$A:$C,3,0)</f>
        <v>ATIKU AMULE ISAAC</v>
      </c>
      <c r="B106" s="477">
        <v>113</v>
      </c>
      <c r="C106" s="476">
        <v>2</v>
      </c>
      <c r="D106" s="461">
        <f>COUNTIFS(Disbursements!$AU:$AU,'ERROR SUMMARRY'!$D$2,Disbursements!$B:$B,'ERROR SUMMARRY'!$B106)</f>
        <v>0</v>
      </c>
      <c r="E106" s="461">
        <f>COUNTIFS(Disbursements!$AU:$AU,"Ok",Disbursements!$B:$B,'ERROR SUMMARRY'!$B106)</f>
        <v>2</v>
      </c>
    </row>
    <row r="107" spans="1:5" x14ac:dyDescent="0.2">
      <c r="A107" s="38" t="str">
        <f>VLOOKUP(B107,'Clients-Live'!$A:$C,3,0)</f>
        <v>ONZIA EMMILY</v>
      </c>
      <c r="B107" s="477">
        <v>114</v>
      </c>
      <c r="C107" s="476">
        <v>4</v>
      </c>
      <c r="D107" s="461">
        <f>COUNTIFS(Disbursements!$AU:$AU,'ERROR SUMMARRY'!$D$2,Disbursements!$B:$B,'ERROR SUMMARRY'!$B107)</f>
        <v>0</v>
      </c>
      <c r="E107" s="461">
        <f>COUNTIFS(Disbursements!$AU:$AU,"Ok",Disbursements!$B:$B,'ERROR SUMMARRY'!$B107)</f>
        <v>4</v>
      </c>
    </row>
    <row r="108" spans="1:5" x14ac:dyDescent="0.2">
      <c r="A108" s="38" t="str">
        <f>VLOOKUP(B108,'Clients-Live'!$A:$C,3,0)</f>
        <v>AYIKE SAUDA</v>
      </c>
      <c r="B108" s="477">
        <v>115</v>
      </c>
      <c r="C108" s="476">
        <v>1</v>
      </c>
      <c r="D108" s="461">
        <f>COUNTIFS(Disbursements!$AU:$AU,'ERROR SUMMARRY'!$D$2,Disbursements!$B:$B,'ERROR SUMMARRY'!$B108)</f>
        <v>0</v>
      </c>
      <c r="E108" s="461">
        <f>COUNTIFS(Disbursements!$AU:$AU,"Ok",Disbursements!$B:$B,'ERROR SUMMARRY'!$B108)</f>
        <v>1</v>
      </c>
    </row>
    <row r="109" spans="1:5" x14ac:dyDescent="0.2">
      <c r="A109" s="38" t="str">
        <f>VLOOKUP(B109,'Clients-Live'!$A:$C,3,0)</f>
        <v>ONZIA LUCY</v>
      </c>
      <c r="B109" s="477">
        <v>116</v>
      </c>
      <c r="C109" s="476">
        <v>3</v>
      </c>
      <c r="D109" s="461">
        <f>COUNTIFS(Disbursements!$AU:$AU,'ERROR SUMMARRY'!$D$2,Disbursements!$B:$B,'ERROR SUMMARRY'!$B109)</f>
        <v>0</v>
      </c>
      <c r="E109" s="461">
        <f>COUNTIFS(Disbursements!$AU:$AU,"Ok",Disbursements!$B:$B,'ERROR SUMMARRY'!$B109)</f>
        <v>3</v>
      </c>
    </row>
    <row r="110" spans="1:5" x14ac:dyDescent="0.2">
      <c r="A110" s="38" t="str">
        <f>VLOOKUP(B110,'Clients-Live'!$A:$C,3,0)</f>
        <v>MAWA JACKSON</v>
      </c>
      <c r="B110" s="477">
        <v>117</v>
      </c>
      <c r="C110" s="476">
        <v>1</v>
      </c>
      <c r="D110" s="461">
        <f>COUNTIFS(Disbursements!$AU:$AU,'ERROR SUMMARRY'!$D$2,Disbursements!$B:$B,'ERROR SUMMARRY'!$B110)</f>
        <v>0</v>
      </c>
      <c r="E110" s="461">
        <f>COUNTIFS(Disbursements!$AU:$AU,"Ok",Disbursements!$B:$B,'ERROR SUMMARRY'!$B110)</f>
        <v>1</v>
      </c>
    </row>
    <row r="111" spans="1:5" x14ac:dyDescent="0.2">
      <c r="A111" s="38" t="str">
        <f>VLOOKUP(B111,'Clients-Live'!$A:$C,3,0)</f>
        <v>ONYANGO CHARLES JOGOO</v>
      </c>
      <c r="B111" s="477">
        <v>118</v>
      </c>
      <c r="C111" s="476">
        <v>1</v>
      </c>
      <c r="D111" s="461">
        <f>COUNTIFS(Disbursements!$AU:$AU,'ERROR SUMMARRY'!$D$2,Disbursements!$B:$B,'ERROR SUMMARRY'!$B111)</f>
        <v>0</v>
      </c>
      <c r="E111" s="461">
        <f>COUNTIFS(Disbursements!$AU:$AU,"Ok",Disbursements!$B:$B,'ERROR SUMMARRY'!$B111)</f>
        <v>1</v>
      </c>
    </row>
    <row r="112" spans="1:5" x14ac:dyDescent="0.2">
      <c r="A112" s="38" t="str">
        <f>VLOOKUP(B112,'Clients-Live'!$A:$C,3,0)</f>
        <v>STELLA KONGAI</v>
      </c>
      <c r="B112" s="477">
        <v>119</v>
      </c>
      <c r="C112" s="476">
        <v>3</v>
      </c>
      <c r="D112" s="461">
        <f>COUNTIFS(Disbursements!$AU:$AU,'ERROR SUMMARRY'!$D$2,Disbursements!$B:$B,'ERROR SUMMARRY'!$B112)</f>
        <v>0</v>
      </c>
      <c r="E112" s="461">
        <f>COUNTIFS(Disbursements!$AU:$AU,"Ok",Disbursements!$B:$B,'ERROR SUMMARRY'!$B112)</f>
        <v>3</v>
      </c>
    </row>
    <row r="113" spans="1:5" x14ac:dyDescent="0.2">
      <c r="A113" s="38" t="str">
        <f>VLOOKUP(B113,'Clients-Live'!$A:$C,3,0)</f>
        <v>AMAYO CHARLES</v>
      </c>
      <c r="B113" s="477">
        <v>121</v>
      </c>
      <c r="C113" s="476">
        <v>1</v>
      </c>
      <c r="D113" s="461">
        <f>COUNTIFS(Disbursements!$AU:$AU,'ERROR SUMMARRY'!$D$2,Disbursements!$B:$B,'ERROR SUMMARRY'!$B113)</f>
        <v>0</v>
      </c>
      <c r="E113" s="461">
        <f>COUNTIFS(Disbursements!$AU:$AU,"Ok",Disbursements!$B:$B,'ERROR SUMMARRY'!$B113)</f>
        <v>1</v>
      </c>
    </row>
    <row r="114" spans="1:5" x14ac:dyDescent="0.2">
      <c r="A114" s="38" t="str">
        <f>VLOOKUP(B114,'Clients-Live'!$A:$C,3,0)</f>
        <v>INZIKURU JANET</v>
      </c>
      <c r="B114" s="477">
        <v>123</v>
      </c>
      <c r="C114" s="476">
        <v>1</v>
      </c>
      <c r="D114" s="461">
        <f>COUNTIFS(Disbursements!$AU:$AU,'ERROR SUMMARRY'!$D$2,Disbursements!$B:$B,'ERROR SUMMARRY'!$B114)</f>
        <v>0</v>
      </c>
      <c r="E114" s="461">
        <f>COUNTIFS(Disbursements!$AU:$AU,"Ok",Disbursements!$B:$B,'ERROR SUMMARRY'!$B114)</f>
        <v>1</v>
      </c>
    </row>
    <row r="115" spans="1:5" x14ac:dyDescent="0.2">
      <c r="A115" s="38" t="str">
        <f>VLOOKUP(B115,'Clients-Live'!$A:$C,3,0)</f>
        <v>TIKO ZABIBU</v>
      </c>
      <c r="B115" s="477">
        <v>124</v>
      </c>
      <c r="C115" s="476">
        <v>3</v>
      </c>
      <c r="D115" s="461">
        <f>COUNTIFS(Disbursements!$AU:$AU,'ERROR SUMMARRY'!$D$2,Disbursements!$B:$B,'ERROR SUMMARRY'!$B115)</f>
        <v>0</v>
      </c>
      <c r="E115" s="461">
        <f>COUNTIFS(Disbursements!$AU:$AU,"Ok",Disbursements!$B:$B,'ERROR SUMMARRY'!$B115)</f>
        <v>3</v>
      </c>
    </row>
    <row r="116" spans="1:5" x14ac:dyDescent="0.2">
      <c r="A116" s="38" t="str">
        <f>VLOOKUP(B116,'Clients-Live'!$A:$C,3,0)</f>
        <v>SUNDAY SCOVIA</v>
      </c>
      <c r="B116" s="477">
        <v>125</v>
      </c>
      <c r="C116" s="476">
        <v>1</v>
      </c>
      <c r="D116" s="461">
        <f>COUNTIFS(Disbursements!$AU:$AU,'ERROR SUMMARRY'!$D$2,Disbursements!$B:$B,'ERROR SUMMARRY'!$B116)</f>
        <v>0</v>
      </c>
      <c r="E116" s="461">
        <f>COUNTIFS(Disbursements!$AU:$AU,"Ok",Disbursements!$B:$B,'ERROR SUMMARRY'!$B116)</f>
        <v>1</v>
      </c>
    </row>
    <row r="117" spans="1:5" x14ac:dyDescent="0.2">
      <c r="A117" s="38" t="str">
        <f>VLOOKUP(B117,'Clients-Live'!$A:$C,3,0)</f>
        <v>OGWAL STEPHEN GERALD</v>
      </c>
      <c r="B117" s="477">
        <v>126</v>
      </c>
      <c r="C117" s="476">
        <v>4</v>
      </c>
      <c r="D117" s="461">
        <f>COUNTIFS(Disbursements!$AU:$AU,'ERROR SUMMARRY'!$D$2,Disbursements!$B:$B,'ERROR SUMMARRY'!$B117)</f>
        <v>0</v>
      </c>
      <c r="E117" s="461">
        <f>COUNTIFS(Disbursements!$AU:$AU,"Ok",Disbursements!$B:$B,'ERROR SUMMARRY'!$B117)</f>
        <v>4</v>
      </c>
    </row>
    <row r="118" spans="1:5" x14ac:dyDescent="0.2">
      <c r="A118" s="38" t="str">
        <f>VLOOKUP(B118,'Clients-Live'!$A:$C,3,0)</f>
        <v>TIKO RUKIA</v>
      </c>
      <c r="B118" s="477">
        <v>127</v>
      </c>
      <c r="C118" s="476">
        <v>1</v>
      </c>
      <c r="D118" s="461">
        <f>COUNTIFS(Disbursements!$AU:$AU,'ERROR SUMMARRY'!$D$2,Disbursements!$B:$B,'ERROR SUMMARRY'!$B118)</f>
        <v>0</v>
      </c>
      <c r="E118" s="461">
        <f>COUNTIFS(Disbursements!$AU:$AU,"Ok",Disbursements!$B:$B,'ERROR SUMMARRY'!$B118)</f>
        <v>1</v>
      </c>
    </row>
    <row r="119" spans="1:5" x14ac:dyDescent="0.2">
      <c r="A119" s="38" t="str">
        <f>VLOOKUP(B119,'Clients-Live'!$A:$C,3,0)</f>
        <v>AJONYE BETTY</v>
      </c>
      <c r="B119" s="477">
        <v>128</v>
      </c>
      <c r="C119" s="476">
        <v>3</v>
      </c>
      <c r="D119" s="461">
        <f>COUNTIFS(Disbursements!$AU:$AU,'ERROR SUMMARRY'!$D$2,Disbursements!$B:$B,'ERROR SUMMARRY'!$B119)</f>
        <v>0</v>
      </c>
      <c r="E119" s="461">
        <f>COUNTIFS(Disbursements!$AU:$AU,"Ok",Disbursements!$B:$B,'ERROR SUMMARRY'!$B119)</f>
        <v>3</v>
      </c>
    </row>
    <row r="120" spans="1:5" x14ac:dyDescent="0.2">
      <c r="A120" s="38" t="str">
        <f>VLOOKUP(B120,'Clients-Live'!$A:$C,3,0)</f>
        <v>BAKO ASINA</v>
      </c>
      <c r="B120" s="477">
        <v>129</v>
      </c>
      <c r="C120" s="476">
        <v>4</v>
      </c>
      <c r="D120" s="461">
        <f>COUNTIFS(Disbursements!$AU:$AU,'ERROR SUMMARRY'!$D$2,Disbursements!$B:$B,'ERROR SUMMARRY'!$B120)</f>
        <v>0</v>
      </c>
      <c r="E120" s="461">
        <f>COUNTIFS(Disbursements!$AU:$AU,"Ok",Disbursements!$B:$B,'ERROR SUMMARRY'!$B120)</f>
        <v>4</v>
      </c>
    </row>
    <row r="121" spans="1:5" x14ac:dyDescent="0.2">
      <c r="A121" s="38" t="str">
        <f>VLOOKUP(B121,'Clients-Live'!$A:$C,3,0)</f>
        <v>AYILE JOHN MAX</v>
      </c>
      <c r="B121" s="477">
        <v>130</v>
      </c>
      <c r="C121" s="476">
        <v>1</v>
      </c>
      <c r="D121" s="461">
        <f>COUNTIFS(Disbursements!$AU:$AU,'ERROR SUMMARRY'!$D$2,Disbursements!$B:$B,'ERROR SUMMARRY'!$B121)</f>
        <v>0</v>
      </c>
      <c r="E121" s="461">
        <f>COUNTIFS(Disbursements!$AU:$AU,"Ok",Disbursements!$B:$B,'ERROR SUMMARRY'!$B121)</f>
        <v>1</v>
      </c>
    </row>
    <row r="122" spans="1:5" x14ac:dyDescent="0.2">
      <c r="A122" s="38" t="str">
        <f>VLOOKUP(B122,'Clients-Live'!$A:$C,3,0)</f>
        <v>CANDIRU ZAKIA</v>
      </c>
      <c r="B122" s="477">
        <v>131</v>
      </c>
      <c r="C122" s="476">
        <v>1</v>
      </c>
      <c r="D122" s="461">
        <f>COUNTIFS(Disbursements!$AU:$AU,'ERROR SUMMARRY'!$D$2,Disbursements!$B:$B,'ERROR SUMMARRY'!$B122)</f>
        <v>0</v>
      </c>
      <c r="E122" s="461">
        <f>COUNTIFS(Disbursements!$AU:$AU,"Ok",Disbursements!$B:$B,'ERROR SUMMARRY'!$B122)</f>
        <v>1</v>
      </c>
    </row>
    <row r="123" spans="1:5" x14ac:dyDescent="0.2">
      <c r="A123" s="38" t="str">
        <f>VLOOKUP(B123,'Clients-Live'!$A:$C,3,0)</f>
        <v>MANIYO JOICE</v>
      </c>
      <c r="B123" s="477">
        <v>132</v>
      </c>
      <c r="C123" s="476">
        <v>1</v>
      </c>
      <c r="D123" s="461">
        <f>COUNTIFS(Disbursements!$AU:$AU,'ERROR SUMMARRY'!$D$2,Disbursements!$B:$B,'ERROR SUMMARRY'!$B123)</f>
        <v>0</v>
      </c>
      <c r="E123" s="461">
        <f>COUNTIFS(Disbursements!$AU:$AU,"Ok",Disbursements!$B:$B,'ERROR SUMMARRY'!$B123)</f>
        <v>1</v>
      </c>
    </row>
    <row r="124" spans="1:5" x14ac:dyDescent="0.2">
      <c r="A124" s="38" t="str">
        <f>VLOOKUP(B124,'Clients-Live'!$A:$C,3,0)</f>
        <v>JABE MARY</v>
      </c>
      <c r="B124" s="477">
        <v>133</v>
      </c>
      <c r="C124" s="476">
        <v>1</v>
      </c>
      <c r="D124" s="461">
        <f>COUNTIFS(Disbursements!$AU:$AU,'ERROR SUMMARRY'!$D$2,Disbursements!$B:$B,'ERROR SUMMARRY'!$B124)</f>
        <v>0</v>
      </c>
      <c r="E124" s="461">
        <f>COUNTIFS(Disbursements!$AU:$AU,"Ok",Disbursements!$B:$B,'ERROR SUMMARRY'!$B124)</f>
        <v>1</v>
      </c>
    </row>
    <row r="125" spans="1:5" x14ac:dyDescent="0.2">
      <c r="A125" s="38" t="str">
        <f>VLOOKUP(B125,'Clients-Live'!$A:$C,3,0)</f>
        <v>TABU NATALIYA</v>
      </c>
      <c r="B125" s="477">
        <v>134</v>
      </c>
      <c r="C125" s="476">
        <v>2</v>
      </c>
      <c r="D125" s="461">
        <f>COUNTIFS(Disbursements!$AU:$AU,'ERROR SUMMARRY'!$D$2,Disbursements!$B:$B,'ERROR SUMMARRY'!$B125)</f>
        <v>0</v>
      </c>
      <c r="E125" s="461">
        <f>COUNTIFS(Disbursements!$AU:$AU,"Ok",Disbursements!$B:$B,'ERROR SUMMARRY'!$B125)</f>
        <v>2</v>
      </c>
    </row>
    <row r="126" spans="1:5" x14ac:dyDescent="0.2">
      <c r="A126" s="38" t="str">
        <f>VLOOKUP(B126,'Clients-Live'!$A:$C,3,0)</f>
        <v>SARIF SAIDI</v>
      </c>
      <c r="B126" s="477">
        <v>135</v>
      </c>
      <c r="C126" s="476">
        <v>3</v>
      </c>
      <c r="D126" s="461">
        <f>COUNTIFS(Disbursements!$AU:$AU,'ERROR SUMMARRY'!$D$2,Disbursements!$B:$B,'ERROR SUMMARRY'!$B126)</f>
        <v>0</v>
      </c>
      <c r="E126" s="461">
        <f>COUNTIFS(Disbursements!$AU:$AU,"Ok",Disbursements!$B:$B,'ERROR SUMMARRY'!$B126)</f>
        <v>3</v>
      </c>
    </row>
    <row r="127" spans="1:5" x14ac:dyDescent="0.2">
      <c r="A127" s="38" t="str">
        <f>VLOOKUP(B127,'Clients-Live'!$A:$C,3,0)</f>
        <v>LEMERIGA GODWILL JOSEPH</v>
      </c>
      <c r="B127" s="477">
        <v>136</v>
      </c>
      <c r="C127" s="476">
        <v>2</v>
      </c>
      <c r="D127" s="461">
        <f>COUNTIFS(Disbursements!$AU:$AU,'ERROR SUMMARRY'!$D$2,Disbursements!$B:$B,'ERROR SUMMARRY'!$B127)</f>
        <v>0</v>
      </c>
      <c r="E127" s="461">
        <f>COUNTIFS(Disbursements!$AU:$AU,"Ok",Disbursements!$B:$B,'ERROR SUMMARRY'!$B127)</f>
        <v>2</v>
      </c>
    </row>
    <row r="128" spans="1:5" x14ac:dyDescent="0.2">
      <c r="A128" s="38" t="str">
        <f>VLOOKUP(B128,'Clients-Live'!$A:$C,3,0)</f>
        <v>YAKANI CHARLES</v>
      </c>
      <c r="B128" s="477">
        <v>137</v>
      </c>
      <c r="C128" s="476">
        <v>3</v>
      </c>
      <c r="D128" s="461">
        <f>COUNTIFS(Disbursements!$AU:$AU,'ERROR SUMMARRY'!$D$2,Disbursements!$B:$B,'ERROR SUMMARRY'!$B128)</f>
        <v>0</v>
      </c>
      <c r="E128" s="461">
        <f>COUNTIFS(Disbursements!$AU:$AU,"Ok",Disbursements!$B:$B,'ERROR SUMMARRY'!$B128)</f>
        <v>3</v>
      </c>
    </row>
    <row r="129" spans="1:5" x14ac:dyDescent="0.2">
      <c r="A129" s="38" t="str">
        <f>VLOOKUP(B129,'Clients-Live'!$A:$C,3,0)</f>
        <v>BEATRICE AMANDRU</v>
      </c>
      <c r="B129" s="477">
        <v>138</v>
      </c>
      <c r="C129" s="476">
        <v>4</v>
      </c>
      <c r="D129" s="461">
        <f>COUNTIFS(Disbursements!$AU:$AU,'ERROR SUMMARRY'!$D$2,Disbursements!$B:$B,'ERROR SUMMARRY'!$B129)</f>
        <v>0</v>
      </c>
      <c r="E129" s="461">
        <f>COUNTIFS(Disbursements!$AU:$AU,"Ok",Disbursements!$B:$B,'ERROR SUMMARRY'!$B129)</f>
        <v>4</v>
      </c>
    </row>
    <row r="130" spans="1:5" x14ac:dyDescent="0.2">
      <c r="A130" s="38" t="str">
        <f>VLOOKUP(B130,'Clients-Live'!$A:$C,3,0)</f>
        <v xml:space="preserve">DRICHIRU MAIMUNA </v>
      </c>
      <c r="B130" s="477">
        <v>139</v>
      </c>
      <c r="C130" s="476">
        <v>2</v>
      </c>
      <c r="D130" s="461">
        <f>COUNTIFS(Disbursements!$AU:$AU,'ERROR SUMMARRY'!$D$2,Disbursements!$B:$B,'ERROR SUMMARRY'!$B130)</f>
        <v>0</v>
      </c>
      <c r="E130" s="461">
        <f>COUNTIFS(Disbursements!$AU:$AU,"Ok",Disbursements!$B:$B,'ERROR SUMMARRY'!$B130)</f>
        <v>2</v>
      </c>
    </row>
    <row r="131" spans="1:5" x14ac:dyDescent="0.2">
      <c r="A131" s="38" t="str">
        <f>VLOOKUP(B131,'Clients-Live'!$A:$C,3,0)</f>
        <v>AYIKORU MARIAM</v>
      </c>
      <c r="B131" s="477">
        <v>140</v>
      </c>
      <c r="C131" s="476">
        <v>2</v>
      </c>
      <c r="D131" s="461">
        <f>COUNTIFS(Disbursements!$AU:$AU,'ERROR SUMMARRY'!$D$2,Disbursements!$B:$B,'ERROR SUMMARRY'!$B131)</f>
        <v>0</v>
      </c>
      <c r="E131" s="461">
        <f>COUNTIFS(Disbursements!$AU:$AU,"Ok",Disbursements!$B:$B,'ERROR SUMMARRY'!$B131)</f>
        <v>2</v>
      </c>
    </row>
    <row r="132" spans="1:5" x14ac:dyDescent="0.2">
      <c r="A132" s="38" t="str">
        <f>VLOOKUP(B132,'Clients-Live'!$A:$C,3,0)</f>
        <v>DRAMANI WILFRED</v>
      </c>
      <c r="B132" s="477">
        <v>141</v>
      </c>
      <c r="C132" s="476">
        <v>2</v>
      </c>
      <c r="D132" s="461">
        <f>COUNTIFS(Disbursements!$AU:$AU,'ERROR SUMMARRY'!$D$2,Disbursements!$B:$B,'ERROR SUMMARRY'!$B132)</f>
        <v>0</v>
      </c>
      <c r="E132" s="461">
        <f>COUNTIFS(Disbursements!$AU:$AU,"Ok",Disbursements!$B:$B,'ERROR SUMMARRY'!$B132)</f>
        <v>2</v>
      </c>
    </row>
    <row r="133" spans="1:5" x14ac:dyDescent="0.2">
      <c r="A133" s="38" t="str">
        <f>VLOOKUP(B133,'Clients-Live'!$A:$C,3,0)</f>
        <v>TABU MARY</v>
      </c>
      <c r="B133" s="477">
        <v>142</v>
      </c>
      <c r="C133" s="476">
        <v>3</v>
      </c>
      <c r="D133" s="461">
        <f>COUNTIFS(Disbursements!$AU:$AU,'ERROR SUMMARRY'!$D$2,Disbursements!$B:$B,'ERROR SUMMARRY'!$B133)</f>
        <v>0</v>
      </c>
      <c r="E133" s="461">
        <f>COUNTIFS(Disbursements!$AU:$AU,"Ok",Disbursements!$B:$B,'ERROR SUMMARRY'!$B133)</f>
        <v>3</v>
      </c>
    </row>
    <row r="134" spans="1:5" x14ac:dyDescent="0.2">
      <c r="A134" s="38" t="str">
        <f>VLOOKUP(B134,'Clients-Live'!$A:$C,3,0)</f>
        <v>MORO HAKIM</v>
      </c>
      <c r="B134" s="477">
        <v>143</v>
      </c>
      <c r="C134" s="476">
        <v>3</v>
      </c>
      <c r="D134" s="461">
        <f>COUNTIFS(Disbursements!$AU:$AU,'ERROR SUMMARRY'!$D$2,Disbursements!$B:$B,'ERROR SUMMARRY'!$B134)</f>
        <v>0</v>
      </c>
      <c r="E134" s="461">
        <f>COUNTIFS(Disbursements!$AU:$AU,"Ok",Disbursements!$B:$B,'ERROR SUMMARRY'!$B134)</f>
        <v>3</v>
      </c>
    </row>
    <row r="135" spans="1:5" x14ac:dyDescent="0.2">
      <c r="A135" s="38" t="str">
        <f>VLOOKUP(B135,'Clients-Live'!$A:$C,3,0)</f>
        <v>GBENINGA RUKIA</v>
      </c>
      <c r="B135" s="477">
        <v>144</v>
      </c>
      <c r="C135" s="476">
        <v>1</v>
      </c>
      <c r="D135" s="461">
        <f>COUNTIFS(Disbursements!$AU:$AU,'ERROR SUMMARRY'!$D$2,Disbursements!$B:$B,'ERROR SUMMARRY'!$B135)</f>
        <v>0</v>
      </c>
      <c r="E135" s="461">
        <f>COUNTIFS(Disbursements!$AU:$AU,"Ok",Disbursements!$B:$B,'ERROR SUMMARRY'!$B135)</f>
        <v>1</v>
      </c>
    </row>
    <row r="136" spans="1:5" x14ac:dyDescent="0.2">
      <c r="A136" s="38" t="str">
        <f>VLOOKUP(B136,'Clients-Live'!$A:$C,3,0)</f>
        <v>NIGHT ASARA</v>
      </c>
      <c r="B136" s="477">
        <v>145</v>
      </c>
      <c r="C136" s="476">
        <v>1</v>
      </c>
      <c r="D136" s="461">
        <f>COUNTIFS(Disbursements!$AU:$AU,'ERROR SUMMARRY'!$D$2,Disbursements!$B:$B,'ERROR SUMMARRY'!$B136)</f>
        <v>0</v>
      </c>
      <c r="E136" s="461">
        <f>COUNTIFS(Disbursements!$AU:$AU,"Ok",Disbursements!$B:$B,'ERROR SUMMARRY'!$B136)</f>
        <v>1</v>
      </c>
    </row>
    <row r="137" spans="1:5" x14ac:dyDescent="0.2">
      <c r="A137" s="38" t="str">
        <f>VLOOKUP(B137,'Clients-Live'!$A:$C,3,0)</f>
        <v>IMBIRA AISHA</v>
      </c>
      <c r="B137" s="477">
        <v>146</v>
      </c>
      <c r="C137" s="476">
        <v>1</v>
      </c>
      <c r="D137" s="461">
        <f>COUNTIFS(Disbursements!$AU:$AU,'ERROR SUMMARRY'!$D$2,Disbursements!$B:$B,'ERROR SUMMARRY'!$B137)</f>
        <v>0</v>
      </c>
      <c r="E137" s="461">
        <f>COUNTIFS(Disbursements!$AU:$AU,"Ok",Disbursements!$B:$B,'ERROR SUMMARRY'!$B137)</f>
        <v>1</v>
      </c>
    </row>
    <row r="138" spans="1:5" x14ac:dyDescent="0.2">
      <c r="A138" s="38" t="str">
        <f>VLOOKUP(B138,'Clients-Live'!$A:$C,3,0)</f>
        <v>DRICIRU MARGRET</v>
      </c>
      <c r="B138" s="477">
        <v>147</v>
      </c>
      <c r="C138" s="476">
        <v>3</v>
      </c>
      <c r="D138" s="461">
        <f>COUNTIFS(Disbursements!$AU:$AU,'ERROR SUMMARRY'!$D$2,Disbursements!$B:$B,'ERROR SUMMARRY'!$B138)</f>
        <v>0</v>
      </c>
      <c r="E138" s="461">
        <f>COUNTIFS(Disbursements!$AU:$AU,"Ok",Disbursements!$B:$B,'ERROR SUMMARRY'!$B138)</f>
        <v>3</v>
      </c>
    </row>
    <row r="139" spans="1:5" x14ac:dyDescent="0.2">
      <c r="A139" s="38" t="str">
        <f>VLOOKUP(B139,'Clients-Live'!$A:$C,3,0)</f>
        <v>GBOKA ZAIDA</v>
      </c>
      <c r="B139" s="477">
        <v>148</v>
      </c>
      <c r="C139" s="476">
        <v>2</v>
      </c>
      <c r="D139" s="461">
        <f>COUNTIFS(Disbursements!$AU:$AU,'ERROR SUMMARRY'!$D$2,Disbursements!$B:$B,'ERROR SUMMARRY'!$B139)</f>
        <v>0</v>
      </c>
      <c r="E139" s="461">
        <f>COUNTIFS(Disbursements!$AU:$AU,"Ok",Disbursements!$B:$B,'ERROR SUMMARRY'!$B139)</f>
        <v>2</v>
      </c>
    </row>
    <row r="140" spans="1:5" x14ac:dyDescent="0.2">
      <c r="A140" s="38" t="str">
        <f>VLOOKUP(B140,'Clients-Live'!$A:$C,3,0)</f>
        <v>SIKA AMIDRA</v>
      </c>
      <c r="B140" s="477">
        <v>149</v>
      </c>
      <c r="C140" s="476">
        <v>1</v>
      </c>
      <c r="D140" s="461">
        <f>COUNTIFS(Disbursements!$AU:$AU,'ERROR SUMMARRY'!$D$2,Disbursements!$B:$B,'ERROR SUMMARRY'!$B140)</f>
        <v>0</v>
      </c>
      <c r="E140" s="461">
        <f>COUNTIFS(Disbursements!$AU:$AU,"Ok",Disbursements!$B:$B,'ERROR SUMMARRY'!$B140)</f>
        <v>1</v>
      </c>
    </row>
    <row r="141" spans="1:5" x14ac:dyDescent="0.2">
      <c r="A141" s="38" t="str">
        <f>VLOOKUP(B141,'Clients-Live'!$A:$C,3,0)</f>
        <v>ALOKE KENNEDY</v>
      </c>
      <c r="B141" s="477">
        <v>150</v>
      </c>
      <c r="C141" s="476">
        <v>1</v>
      </c>
      <c r="D141" s="461">
        <f>COUNTIFS(Disbursements!$AU:$AU,'ERROR SUMMARRY'!$D$2,Disbursements!$B:$B,'ERROR SUMMARRY'!$B141)</f>
        <v>0</v>
      </c>
      <c r="E141" s="461">
        <f>COUNTIFS(Disbursements!$AU:$AU,"Ok",Disbursements!$B:$B,'ERROR SUMMARRY'!$B141)</f>
        <v>1</v>
      </c>
    </row>
    <row r="142" spans="1:5" x14ac:dyDescent="0.2">
      <c r="A142" s="38" t="str">
        <f>VLOOKUP(B142,'Clients-Live'!$A:$C,3,0)</f>
        <v>MORRO HASSAN</v>
      </c>
      <c r="B142" s="477">
        <v>151</v>
      </c>
      <c r="C142" s="476">
        <v>3</v>
      </c>
      <c r="D142" s="461">
        <f>COUNTIFS(Disbursements!$AU:$AU,'ERROR SUMMARRY'!$D$2,Disbursements!$B:$B,'ERROR SUMMARRY'!$B142)</f>
        <v>0</v>
      </c>
      <c r="E142" s="461">
        <f>COUNTIFS(Disbursements!$AU:$AU,"Ok",Disbursements!$B:$B,'ERROR SUMMARRY'!$B142)</f>
        <v>3</v>
      </c>
    </row>
    <row r="143" spans="1:5" x14ac:dyDescent="0.2">
      <c r="A143" s="38" t="str">
        <f>VLOOKUP(B143,'Clients-Live'!$A:$C,3,0)</f>
        <v>ASE ZAINABU</v>
      </c>
      <c r="B143" s="477">
        <v>152</v>
      </c>
      <c r="C143" s="476">
        <v>2</v>
      </c>
      <c r="D143" s="461">
        <f>COUNTIFS(Disbursements!$AU:$AU,'ERROR SUMMARRY'!$D$2,Disbursements!$B:$B,'ERROR SUMMARRY'!$B143)</f>
        <v>0</v>
      </c>
      <c r="E143" s="461">
        <f>COUNTIFS(Disbursements!$AU:$AU,"Ok",Disbursements!$B:$B,'ERROR SUMMARRY'!$B143)</f>
        <v>2</v>
      </c>
    </row>
    <row r="144" spans="1:5" x14ac:dyDescent="0.2">
      <c r="A144" s="38" t="str">
        <f>VLOOKUP(B144,'Clients-Live'!$A:$C,3,0)</f>
        <v>ERIMU SAMSON</v>
      </c>
      <c r="B144" s="477">
        <v>154</v>
      </c>
      <c r="C144" s="476">
        <v>1</v>
      </c>
      <c r="D144" s="461">
        <f>COUNTIFS(Disbursements!$AU:$AU,'ERROR SUMMARRY'!$D$2,Disbursements!$B:$B,'ERROR SUMMARRY'!$B144)</f>
        <v>0</v>
      </c>
      <c r="E144" s="461">
        <f>COUNTIFS(Disbursements!$AU:$AU,"Ok",Disbursements!$B:$B,'ERROR SUMMARRY'!$B144)</f>
        <v>1</v>
      </c>
    </row>
    <row r="145" spans="1:5" x14ac:dyDescent="0.2">
      <c r="A145" s="38" t="str">
        <f>VLOOKUP(B145,'Clients-Live'!$A:$C,3,0)</f>
        <v>AROMBORAC SIAMA</v>
      </c>
      <c r="B145" s="477">
        <v>155</v>
      </c>
      <c r="C145" s="476">
        <v>2</v>
      </c>
      <c r="D145" s="461">
        <f>COUNTIFS(Disbursements!$AU:$AU,'ERROR SUMMARRY'!$D$2,Disbursements!$B:$B,'ERROR SUMMARRY'!$B145)</f>
        <v>0</v>
      </c>
      <c r="E145" s="461">
        <f>COUNTIFS(Disbursements!$AU:$AU,"Ok",Disbursements!$B:$B,'ERROR SUMMARRY'!$B145)</f>
        <v>2</v>
      </c>
    </row>
    <row r="146" spans="1:5" x14ac:dyDescent="0.2">
      <c r="A146" s="38" t="str">
        <f>VLOOKUP(B146,'Clients-Live'!$A:$C,3,0)</f>
        <v xml:space="preserve">ONIBA AISHA </v>
      </c>
      <c r="B146" s="477">
        <v>156</v>
      </c>
      <c r="C146" s="476">
        <v>4</v>
      </c>
      <c r="D146" s="461">
        <f>COUNTIFS(Disbursements!$AU:$AU,'ERROR SUMMARRY'!$D$2,Disbursements!$B:$B,'ERROR SUMMARRY'!$B146)</f>
        <v>0</v>
      </c>
      <c r="E146" s="461">
        <f>COUNTIFS(Disbursements!$AU:$AU,"Ok",Disbursements!$B:$B,'ERROR SUMMARRY'!$B146)</f>
        <v>4</v>
      </c>
    </row>
    <row r="147" spans="1:5" x14ac:dyDescent="0.2">
      <c r="A147" s="38" t="str">
        <f>VLOOKUP(B147,'Clients-Live'!$A:$C,3,0)</f>
        <v>AYITE MARGERT</v>
      </c>
      <c r="B147" s="477">
        <v>157</v>
      </c>
      <c r="C147" s="476">
        <v>3</v>
      </c>
      <c r="D147" s="461">
        <f>COUNTIFS(Disbursements!$AU:$AU,'ERROR SUMMARRY'!$D$2,Disbursements!$B:$B,'ERROR SUMMARRY'!$B147)</f>
        <v>0</v>
      </c>
      <c r="E147" s="461">
        <f>COUNTIFS(Disbursements!$AU:$AU,"Ok",Disbursements!$B:$B,'ERROR SUMMARRY'!$B147)</f>
        <v>3</v>
      </c>
    </row>
    <row r="148" spans="1:5" x14ac:dyDescent="0.2">
      <c r="A148" s="38" t="str">
        <f>VLOOKUP(B148,'Clients-Live'!$A:$C,3,0)</f>
        <v>METALORO STEPHEN</v>
      </c>
      <c r="B148" s="477">
        <v>158</v>
      </c>
      <c r="C148" s="476">
        <v>1</v>
      </c>
      <c r="D148" s="461">
        <f>COUNTIFS(Disbursements!$AU:$AU,'ERROR SUMMARRY'!$D$2,Disbursements!$B:$B,'ERROR SUMMARRY'!$B148)</f>
        <v>0</v>
      </c>
      <c r="E148" s="461">
        <f>COUNTIFS(Disbursements!$AU:$AU,"Ok",Disbursements!$B:$B,'ERROR SUMMARRY'!$B148)</f>
        <v>1</v>
      </c>
    </row>
    <row r="149" spans="1:5" x14ac:dyDescent="0.2">
      <c r="A149" s="38" t="str">
        <f>VLOOKUP(B149,'Clients-Live'!$A:$C,3,0)</f>
        <v>ALICE AMINA</v>
      </c>
      <c r="B149" s="477">
        <v>159</v>
      </c>
      <c r="C149" s="476">
        <v>1</v>
      </c>
      <c r="D149" s="461">
        <f>COUNTIFS(Disbursements!$AU:$AU,'ERROR SUMMARRY'!$D$2,Disbursements!$B:$B,'ERROR SUMMARRY'!$B149)</f>
        <v>0</v>
      </c>
      <c r="E149" s="461">
        <f>COUNTIFS(Disbursements!$AU:$AU,"Ok",Disbursements!$B:$B,'ERROR SUMMARRY'!$B149)</f>
        <v>1</v>
      </c>
    </row>
    <row r="150" spans="1:5" x14ac:dyDescent="0.2">
      <c r="A150" s="38" t="str">
        <f>VLOOKUP(B150,'Clients-Live'!$A:$C,3,0)</f>
        <v>CHANDI ZANABU</v>
      </c>
      <c r="B150" s="477">
        <v>160</v>
      </c>
      <c r="C150" s="476">
        <v>3</v>
      </c>
      <c r="D150" s="461">
        <f>COUNTIFS(Disbursements!$AU:$AU,'ERROR SUMMARRY'!$D$2,Disbursements!$B:$B,'ERROR SUMMARRY'!$B150)</f>
        <v>0</v>
      </c>
      <c r="E150" s="461">
        <f>COUNTIFS(Disbursements!$AU:$AU,"Ok",Disbursements!$B:$B,'ERROR SUMMARRY'!$B150)</f>
        <v>3</v>
      </c>
    </row>
    <row r="151" spans="1:5" x14ac:dyDescent="0.2">
      <c r="A151" s="38" t="str">
        <f>VLOOKUP(B151,'Clients-Live'!$A:$C,3,0)</f>
        <v>OKUYO BERNARD</v>
      </c>
      <c r="B151" s="477">
        <v>161</v>
      </c>
      <c r="C151" s="476">
        <v>3</v>
      </c>
      <c r="D151" s="461">
        <f>COUNTIFS(Disbursements!$AU:$AU,'ERROR SUMMARRY'!$D$2,Disbursements!$B:$B,'ERROR SUMMARRY'!$B151)</f>
        <v>0</v>
      </c>
      <c r="E151" s="461">
        <f>COUNTIFS(Disbursements!$AU:$AU,"Ok",Disbursements!$B:$B,'ERROR SUMMARRY'!$B151)</f>
        <v>3</v>
      </c>
    </row>
    <row r="152" spans="1:5" x14ac:dyDescent="0.2">
      <c r="A152" s="38" t="str">
        <f>VLOOKUP(B152,'Clients-Live'!$A:$C,3,0)</f>
        <v>CHANDIRU RAMULA</v>
      </c>
      <c r="B152" s="477">
        <v>163</v>
      </c>
      <c r="C152" s="476">
        <v>1</v>
      </c>
      <c r="D152" s="461">
        <f>COUNTIFS(Disbursements!$AU:$AU,'ERROR SUMMARRY'!$D$2,Disbursements!$B:$B,'ERROR SUMMARRY'!$B152)</f>
        <v>0</v>
      </c>
      <c r="E152" s="461">
        <f>COUNTIFS(Disbursements!$AU:$AU,"Ok",Disbursements!$B:$B,'ERROR SUMMARRY'!$B152)</f>
        <v>1</v>
      </c>
    </row>
    <row r="153" spans="1:5" x14ac:dyDescent="0.2">
      <c r="A153" s="38" t="str">
        <f>VLOOKUP(B153,'Clients-Live'!$A:$C,3,0)</f>
        <v>ARIKE SWAIB</v>
      </c>
      <c r="B153" s="477">
        <v>164</v>
      </c>
      <c r="C153" s="476">
        <v>2</v>
      </c>
      <c r="D153" s="461">
        <f>COUNTIFS(Disbursements!$AU:$AU,'ERROR SUMMARRY'!$D$2,Disbursements!$B:$B,'ERROR SUMMARRY'!$B153)</f>
        <v>0</v>
      </c>
      <c r="E153" s="461">
        <f>COUNTIFS(Disbursements!$AU:$AU,"Ok",Disbursements!$B:$B,'ERROR SUMMARRY'!$B153)</f>
        <v>2</v>
      </c>
    </row>
    <row r="154" spans="1:5" x14ac:dyDescent="0.2">
      <c r="A154" s="38" t="str">
        <f>VLOOKUP(B154,'Clients-Live'!$A:$C,3,0)</f>
        <v>BOBOYA BRAN</v>
      </c>
      <c r="B154" s="477">
        <v>165</v>
      </c>
      <c r="C154" s="476">
        <v>1</v>
      </c>
      <c r="D154" s="461">
        <f>COUNTIFS(Disbursements!$AU:$AU,'ERROR SUMMARRY'!$D$2,Disbursements!$B:$B,'ERROR SUMMARRY'!$B154)</f>
        <v>0</v>
      </c>
      <c r="E154" s="461">
        <f>COUNTIFS(Disbursements!$AU:$AU,"Ok",Disbursements!$B:$B,'ERROR SUMMARRY'!$B154)</f>
        <v>1</v>
      </c>
    </row>
    <row r="155" spans="1:5" x14ac:dyDescent="0.2">
      <c r="A155" s="38" t="str">
        <f>VLOOKUP(B155,'Clients-Live'!$A:$C,3,0)</f>
        <v>INJIKURU ROSE</v>
      </c>
      <c r="B155" s="477">
        <v>166</v>
      </c>
      <c r="C155" s="476">
        <v>1</v>
      </c>
      <c r="D155" s="461">
        <f>COUNTIFS(Disbursements!$AU:$AU,'ERROR SUMMARRY'!$D$2,Disbursements!$B:$B,'ERROR SUMMARRY'!$B155)</f>
        <v>0</v>
      </c>
      <c r="E155" s="461">
        <f>COUNTIFS(Disbursements!$AU:$AU,"Ok",Disbursements!$B:$B,'ERROR SUMMARRY'!$B155)</f>
        <v>1</v>
      </c>
    </row>
    <row r="156" spans="1:5" x14ac:dyDescent="0.2">
      <c r="A156" s="38" t="str">
        <f>VLOOKUP(B156,'Clients-Live'!$A:$C,3,0)</f>
        <v>DRICHA KADIJA</v>
      </c>
      <c r="B156" s="477">
        <v>167</v>
      </c>
      <c r="C156" s="476">
        <v>1</v>
      </c>
      <c r="D156" s="461">
        <f>COUNTIFS(Disbursements!$AU:$AU,'ERROR SUMMARRY'!$D$2,Disbursements!$B:$B,'ERROR SUMMARRY'!$B156)</f>
        <v>0</v>
      </c>
      <c r="E156" s="461">
        <f>COUNTIFS(Disbursements!$AU:$AU,"Ok",Disbursements!$B:$B,'ERROR SUMMARRY'!$B156)</f>
        <v>1</v>
      </c>
    </row>
    <row r="157" spans="1:5" x14ac:dyDescent="0.2">
      <c r="A157" s="38" t="str">
        <f>VLOOKUP(B157,'Clients-Live'!$A:$C,3,0)</f>
        <v>ALORO FREDERICK</v>
      </c>
      <c r="B157" s="477">
        <v>168</v>
      </c>
      <c r="C157" s="476">
        <v>2</v>
      </c>
      <c r="D157" s="461">
        <f>COUNTIFS(Disbursements!$AU:$AU,'ERROR SUMMARRY'!$D$2,Disbursements!$B:$B,'ERROR SUMMARRY'!$B157)</f>
        <v>0</v>
      </c>
      <c r="E157" s="461">
        <f>COUNTIFS(Disbursements!$AU:$AU,"Ok",Disbursements!$B:$B,'ERROR SUMMARRY'!$B157)</f>
        <v>2</v>
      </c>
    </row>
    <row r="158" spans="1:5" x14ac:dyDescent="0.2">
      <c r="A158" s="38" t="str">
        <f>VLOOKUP(B158,'Clients-Live'!$A:$C,3,0)</f>
        <v>KATO KENNEDY</v>
      </c>
      <c r="B158" s="477">
        <v>169</v>
      </c>
      <c r="C158" s="476">
        <v>2</v>
      </c>
      <c r="D158" s="461">
        <f>COUNTIFS(Disbursements!$AU:$AU,'ERROR SUMMARRY'!$D$2,Disbursements!$B:$B,'ERROR SUMMARRY'!$B158)</f>
        <v>0</v>
      </c>
      <c r="E158" s="461">
        <f>COUNTIFS(Disbursements!$AU:$AU,"Ok",Disbursements!$B:$B,'ERROR SUMMARRY'!$B158)</f>
        <v>2</v>
      </c>
    </row>
    <row r="159" spans="1:5" x14ac:dyDescent="0.2">
      <c r="A159" s="38" t="str">
        <f>VLOOKUP(B159,'Clients-Live'!$A:$C,3,0)</f>
        <v xml:space="preserve">KABEBI RAIMA </v>
      </c>
      <c r="B159" s="477">
        <v>170</v>
      </c>
      <c r="C159" s="476">
        <v>2</v>
      </c>
      <c r="D159" s="461">
        <f>COUNTIFS(Disbursements!$AU:$AU,'ERROR SUMMARRY'!$D$2,Disbursements!$B:$B,'ERROR SUMMARRY'!$B159)</f>
        <v>0</v>
      </c>
      <c r="E159" s="461">
        <f>COUNTIFS(Disbursements!$AU:$AU,"Ok",Disbursements!$B:$B,'ERROR SUMMARRY'!$B159)</f>
        <v>2</v>
      </c>
    </row>
    <row r="160" spans="1:5" x14ac:dyDescent="0.2">
      <c r="A160" s="38" t="str">
        <f>VLOOKUP(B160,'Clients-Live'!$A:$C,3,0)</f>
        <v>BADAKA GIFT JOEL</v>
      </c>
      <c r="B160" s="477">
        <v>171</v>
      </c>
      <c r="C160" s="476">
        <v>3</v>
      </c>
      <c r="D160" s="461">
        <f>COUNTIFS(Disbursements!$AU:$AU,'ERROR SUMMARRY'!$D$2,Disbursements!$B:$B,'ERROR SUMMARRY'!$B160)</f>
        <v>0</v>
      </c>
      <c r="E160" s="461">
        <f>COUNTIFS(Disbursements!$AU:$AU,"Ok",Disbursements!$B:$B,'ERROR SUMMARRY'!$B160)</f>
        <v>3</v>
      </c>
    </row>
    <row r="161" spans="1:5" x14ac:dyDescent="0.2">
      <c r="A161" s="38" t="str">
        <f>VLOOKUP(B161,'Clients-Live'!$A:$C,3,0)</f>
        <v>METALORO   MOSES</v>
      </c>
      <c r="B161" s="477">
        <v>174</v>
      </c>
      <c r="C161" s="476">
        <v>1</v>
      </c>
      <c r="D161" s="461">
        <f>COUNTIFS(Disbursements!$AU:$AU,'ERROR SUMMARRY'!$D$2,Disbursements!$B:$B,'ERROR SUMMARRY'!$B161)</f>
        <v>0</v>
      </c>
      <c r="E161" s="461">
        <f>COUNTIFS(Disbursements!$AU:$AU,"Ok",Disbursements!$B:$B,'ERROR SUMMARRY'!$B161)</f>
        <v>1</v>
      </c>
    </row>
    <row r="162" spans="1:5" x14ac:dyDescent="0.2">
      <c r="A162" s="38" t="str">
        <f>VLOOKUP(B162,'Clients-Live'!$A:$C,3,0)</f>
        <v>ZUBEDA WAIGA</v>
      </c>
      <c r="B162" s="477">
        <v>175</v>
      </c>
      <c r="C162" s="476">
        <v>3</v>
      </c>
      <c r="D162" s="461">
        <f>COUNTIFS(Disbursements!$AU:$AU,'ERROR SUMMARRY'!$D$2,Disbursements!$B:$B,'ERROR SUMMARRY'!$B162)</f>
        <v>0</v>
      </c>
      <c r="E162" s="461">
        <f>COUNTIFS(Disbursements!$AU:$AU,"Ok",Disbursements!$B:$B,'ERROR SUMMARRY'!$B162)</f>
        <v>3</v>
      </c>
    </row>
    <row r="163" spans="1:5" x14ac:dyDescent="0.2">
      <c r="A163" s="38" t="str">
        <f>VLOOKUP(B163,'Clients-Live'!$A:$C,3,0)</f>
        <v>AJONYE JANE SINANDUGU</v>
      </c>
      <c r="B163" s="477">
        <v>176</v>
      </c>
      <c r="C163" s="476">
        <v>3</v>
      </c>
      <c r="D163" s="461">
        <f>COUNTIFS(Disbursements!$AU:$AU,'ERROR SUMMARRY'!$D$2,Disbursements!$B:$B,'ERROR SUMMARRY'!$B163)</f>
        <v>0</v>
      </c>
      <c r="E163" s="461">
        <f>COUNTIFS(Disbursements!$AU:$AU,"Ok",Disbursements!$B:$B,'ERROR SUMMARRY'!$B163)</f>
        <v>3</v>
      </c>
    </row>
    <row r="164" spans="1:5" x14ac:dyDescent="0.2">
      <c r="A164" s="38" t="str">
        <f>VLOOKUP(B164,'Clients-Live'!$A:$C,3,0)</f>
        <v>EFIT GIFT</v>
      </c>
      <c r="B164" s="477">
        <v>177</v>
      </c>
      <c r="C164" s="476">
        <v>2</v>
      </c>
      <c r="D164" s="461">
        <f>COUNTIFS(Disbursements!$AU:$AU,'ERROR SUMMARRY'!$D$2,Disbursements!$B:$B,'ERROR SUMMARRY'!$B164)</f>
        <v>0</v>
      </c>
      <c r="E164" s="461">
        <f>COUNTIFS(Disbursements!$AU:$AU,"Ok",Disbursements!$B:$B,'ERROR SUMMARRY'!$B164)</f>
        <v>2</v>
      </c>
    </row>
    <row r="165" spans="1:5" x14ac:dyDescent="0.2">
      <c r="A165" s="38" t="str">
        <f>VLOOKUP(B165,'Clients-Live'!$A:$C,3,0)</f>
        <v>GERIA VIOLA</v>
      </c>
      <c r="B165" s="477">
        <v>179</v>
      </c>
      <c r="C165" s="476">
        <v>3</v>
      </c>
      <c r="D165" s="461">
        <f>COUNTIFS(Disbursements!$AU:$AU,'ERROR SUMMARRY'!$D$2,Disbursements!$B:$B,'ERROR SUMMARRY'!$B165)</f>
        <v>0</v>
      </c>
      <c r="E165" s="461">
        <f>COUNTIFS(Disbursements!$AU:$AU,"Ok",Disbursements!$B:$B,'ERROR SUMMARRY'!$B165)</f>
        <v>3</v>
      </c>
    </row>
    <row r="166" spans="1:5" x14ac:dyDescent="0.2">
      <c r="A166" s="38" t="str">
        <f>VLOOKUP(B166,'Clients-Live'!$A:$C,3,0)</f>
        <v>IJOSIGA ISMAIL</v>
      </c>
      <c r="B166" s="477">
        <v>180</v>
      </c>
      <c r="C166" s="476">
        <v>1</v>
      </c>
      <c r="D166" s="461">
        <f>COUNTIFS(Disbursements!$AU:$AU,'ERROR SUMMARRY'!$D$2,Disbursements!$B:$B,'ERROR SUMMARRY'!$B166)</f>
        <v>0</v>
      </c>
      <c r="E166" s="461">
        <f>COUNTIFS(Disbursements!$AU:$AU,"Ok",Disbursements!$B:$B,'ERROR SUMMARRY'!$B166)</f>
        <v>1</v>
      </c>
    </row>
    <row r="167" spans="1:5" x14ac:dyDescent="0.2">
      <c r="A167" s="38" t="str">
        <f>VLOOKUP(B167,'Clients-Live'!$A:$C,3,0)</f>
        <v>LEKURU CHRISTINE</v>
      </c>
      <c r="B167" s="477">
        <v>181</v>
      </c>
      <c r="C167" s="476">
        <v>1</v>
      </c>
      <c r="D167" s="461">
        <f>COUNTIFS(Disbursements!$AU:$AU,'ERROR SUMMARRY'!$D$2,Disbursements!$B:$B,'ERROR SUMMARRY'!$B167)</f>
        <v>0</v>
      </c>
      <c r="E167" s="461">
        <f>COUNTIFS(Disbursements!$AU:$AU,"Ok",Disbursements!$B:$B,'ERROR SUMMARRY'!$B167)</f>
        <v>1</v>
      </c>
    </row>
    <row r="168" spans="1:5" x14ac:dyDescent="0.2">
      <c r="A168" s="38" t="str">
        <f>VLOOKUP(B168,'Clients-Live'!$A:$C,3,0)</f>
        <v>ANITE ZAM</v>
      </c>
      <c r="B168" s="477">
        <v>182</v>
      </c>
      <c r="C168" s="476">
        <v>1</v>
      </c>
      <c r="D168" s="461">
        <f>COUNTIFS(Disbursements!$AU:$AU,'ERROR SUMMARRY'!$D$2,Disbursements!$B:$B,'ERROR SUMMARRY'!$B168)</f>
        <v>0</v>
      </c>
      <c r="E168" s="461">
        <f>COUNTIFS(Disbursements!$AU:$AU,"Ok",Disbursements!$B:$B,'ERROR SUMMARRY'!$B168)</f>
        <v>1</v>
      </c>
    </row>
    <row r="169" spans="1:5" x14ac:dyDescent="0.2">
      <c r="A169" s="38" t="str">
        <f>VLOOKUP(B169,'Clients-Live'!$A:$C,3,0)</f>
        <v>NIGHT AMINA HUSSEIN</v>
      </c>
      <c r="B169" s="477">
        <v>183</v>
      </c>
      <c r="C169" s="476">
        <v>2</v>
      </c>
      <c r="D169" s="461">
        <f>COUNTIFS(Disbursements!$AU:$AU,'ERROR SUMMARRY'!$D$2,Disbursements!$B:$B,'ERROR SUMMARRY'!$B169)</f>
        <v>0</v>
      </c>
      <c r="E169" s="461">
        <f>COUNTIFS(Disbursements!$AU:$AU,"Ok",Disbursements!$B:$B,'ERROR SUMMARRY'!$B169)</f>
        <v>2</v>
      </c>
    </row>
    <row r="170" spans="1:5" x14ac:dyDescent="0.2">
      <c r="A170" s="38" t="str">
        <f>VLOOKUP(B170,'Clients-Live'!$A:$C,3,0)</f>
        <v>OCOKORU GLORIA</v>
      </c>
      <c r="B170" s="477">
        <v>184</v>
      </c>
      <c r="C170" s="476">
        <v>1</v>
      </c>
      <c r="D170" s="461">
        <f>COUNTIFS(Disbursements!$AU:$AU,'ERROR SUMMARRY'!$D$2,Disbursements!$B:$B,'ERROR SUMMARRY'!$B170)</f>
        <v>0</v>
      </c>
      <c r="E170" s="461">
        <f>COUNTIFS(Disbursements!$AU:$AU,"Ok",Disbursements!$B:$B,'ERROR SUMMARRY'!$B170)</f>
        <v>1</v>
      </c>
    </row>
    <row r="171" spans="1:5" x14ac:dyDescent="0.2">
      <c r="A171" s="38" t="str">
        <f>VLOOKUP(B171,'Clients-Live'!$A:$C,3,0)</f>
        <v>APAYI HARRIET</v>
      </c>
      <c r="B171" s="477">
        <v>185</v>
      </c>
      <c r="C171" s="476">
        <v>2</v>
      </c>
      <c r="D171" s="461">
        <f>COUNTIFS(Disbursements!$AU:$AU,'ERROR SUMMARRY'!$D$2,Disbursements!$B:$B,'ERROR SUMMARRY'!$B171)</f>
        <v>0</v>
      </c>
      <c r="E171" s="461">
        <f>COUNTIFS(Disbursements!$AU:$AU,"Ok",Disbursements!$B:$B,'ERROR SUMMARRY'!$B171)</f>
        <v>2</v>
      </c>
    </row>
    <row r="172" spans="1:5" x14ac:dyDescent="0.2">
      <c r="A172" s="38" t="str">
        <f>VLOOKUP(B172,'Clients-Live'!$A:$C,3,0)</f>
        <v>GIFT JAMES</v>
      </c>
      <c r="B172" s="477">
        <v>186</v>
      </c>
      <c r="C172" s="476">
        <v>3</v>
      </c>
      <c r="D172" s="461">
        <f>COUNTIFS(Disbursements!$AU:$AU,'ERROR SUMMARRY'!$D$2,Disbursements!$B:$B,'ERROR SUMMARRY'!$B172)</f>
        <v>0</v>
      </c>
      <c r="E172" s="461">
        <f>COUNTIFS(Disbursements!$AU:$AU,"Ok",Disbursements!$B:$B,'ERROR SUMMARRY'!$B172)</f>
        <v>3</v>
      </c>
    </row>
    <row r="173" spans="1:5" x14ac:dyDescent="0.2">
      <c r="A173" s="38" t="str">
        <f>VLOOKUP(B173,'Clients-Live'!$A:$C,3,0)</f>
        <v xml:space="preserve">AJIO HARRIET </v>
      </c>
      <c r="B173" s="477">
        <v>187</v>
      </c>
      <c r="C173" s="476">
        <v>2</v>
      </c>
      <c r="D173" s="461">
        <f>COUNTIFS(Disbursements!$AU:$AU,'ERROR SUMMARRY'!$D$2,Disbursements!$B:$B,'ERROR SUMMARRY'!$B173)</f>
        <v>0</v>
      </c>
      <c r="E173" s="461">
        <f>COUNTIFS(Disbursements!$AU:$AU,"Ok",Disbursements!$B:$B,'ERROR SUMMARRY'!$B173)</f>
        <v>2</v>
      </c>
    </row>
    <row r="174" spans="1:5" x14ac:dyDescent="0.2">
      <c r="A174" s="38" t="str">
        <f>VLOOKUP(B174,'Clients-Live'!$A:$C,3,0)</f>
        <v>ADIRU HELLEN</v>
      </c>
      <c r="B174" s="477">
        <v>188</v>
      </c>
      <c r="C174" s="476">
        <v>2</v>
      </c>
      <c r="D174" s="461">
        <f>COUNTIFS(Disbursements!$AU:$AU,'ERROR SUMMARRY'!$D$2,Disbursements!$B:$B,'ERROR SUMMARRY'!$B174)</f>
        <v>0</v>
      </c>
      <c r="E174" s="461">
        <f>COUNTIFS(Disbursements!$AU:$AU,"Ok",Disbursements!$B:$B,'ERROR SUMMARRY'!$B174)</f>
        <v>2</v>
      </c>
    </row>
    <row r="175" spans="1:5" x14ac:dyDescent="0.2">
      <c r="A175" s="38" t="str">
        <f>VLOOKUP(B175,'Clients-Live'!$A:$C,3,0)</f>
        <v>AYIDA SELUWA</v>
      </c>
      <c r="B175" s="477">
        <v>189</v>
      </c>
      <c r="C175" s="476">
        <v>2</v>
      </c>
      <c r="D175" s="461">
        <f>COUNTIFS(Disbursements!$AU:$AU,'ERROR SUMMARRY'!$D$2,Disbursements!$B:$B,'ERROR SUMMARRY'!$B175)</f>
        <v>0</v>
      </c>
      <c r="E175" s="461">
        <f>COUNTIFS(Disbursements!$AU:$AU,"Ok",Disbursements!$B:$B,'ERROR SUMMARRY'!$B175)</f>
        <v>2</v>
      </c>
    </row>
    <row r="176" spans="1:5" x14ac:dyDescent="0.2">
      <c r="A176" s="38" t="str">
        <f>VLOOKUP(B176,'Clients-Live'!$A:$C,3,0)</f>
        <v>TAISA AMINA</v>
      </c>
      <c r="B176" s="477">
        <v>190</v>
      </c>
      <c r="C176" s="476">
        <v>1</v>
      </c>
      <c r="D176" s="461">
        <f>COUNTIFS(Disbursements!$AU:$AU,'ERROR SUMMARRY'!$D$2,Disbursements!$B:$B,'ERROR SUMMARRY'!$B176)</f>
        <v>0</v>
      </c>
      <c r="E176" s="461">
        <f>COUNTIFS(Disbursements!$AU:$AU,"Ok",Disbursements!$B:$B,'ERROR SUMMARRY'!$B176)</f>
        <v>1</v>
      </c>
    </row>
    <row r="177" spans="1:5" x14ac:dyDescent="0.2">
      <c r="A177" s="38" t="str">
        <f>VLOOKUP(B177,'Clients-Live'!$A:$C,3,0)</f>
        <v>AYOZU JESCA TAIBO</v>
      </c>
      <c r="B177" s="477">
        <v>191</v>
      </c>
      <c r="C177" s="476">
        <v>2</v>
      </c>
      <c r="D177" s="461">
        <f>COUNTIFS(Disbursements!$AU:$AU,'ERROR SUMMARRY'!$D$2,Disbursements!$B:$B,'ERROR SUMMARRY'!$B177)</f>
        <v>0</v>
      </c>
      <c r="E177" s="461">
        <f>COUNTIFS(Disbursements!$AU:$AU,"Ok",Disbursements!$B:$B,'ERROR SUMMARRY'!$B177)</f>
        <v>2</v>
      </c>
    </row>
    <row r="178" spans="1:5" x14ac:dyDescent="0.2">
      <c r="A178" s="38" t="str">
        <f>VLOOKUP(B178,'Clients-Live'!$A:$C,3,0)</f>
        <v>MAZARAU AISHA</v>
      </c>
      <c r="B178" s="477">
        <v>192</v>
      </c>
      <c r="C178" s="476">
        <v>2</v>
      </c>
      <c r="D178" s="461">
        <f>COUNTIFS(Disbursements!$AU:$AU,'ERROR SUMMARRY'!$D$2,Disbursements!$B:$B,'ERROR SUMMARRY'!$B178)</f>
        <v>0</v>
      </c>
      <c r="E178" s="461">
        <f>COUNTIFS(Disbursements!$AU:$AU,"Ok",Disbursements!$B:$B,'ERROR SUMMARRY'!$B178)</f>
        <v>2</v>
      </c>
    </row>
    <row r="179" spans="1:5" x14ac:dyDescent="0.2">
      <c r="A179" s="38" t="str">
        <f>VLOOKUP(B179,'Clients-Live'!$A:$C,3,0)</f>
        <v>NYOLA SHERIFA AHMED</v>
      </c>
      <c r="B179" s="477">
        <v>194</v>
      </c>
      <c r="C179" s="476">
        <v>1</v>
      </c>
      <c r="D179" s="461">
        <f>COUNTIFS(Disbursements!$AU:$AU,'ERROR SUMMARRY'!$D$2,Disbursements!$B:$B,'ERROR SUMMARRY'!$B179)</f>
        <v>0</v>
      </c>
      <c r="E179" s="461">
        <f>COUNTIFS(Disbursements!$AU:$AU,"Ok",Disbursements!$B:$B,'ERROR SUMMARRY'!$B179)</f>
        <v>1</v>
      </c>
    </row>
    <row r="180" spans="1:5" x14ac:dyDescent="0.2">
      <c r="A180" s="38" t="str">
        <f>VLOOKUP(B180,'Clients-Live'!$A:$C,3,0)</f>
        <v>AKISU JOICE</v>
      </c>
      <c r="B180" s="477">
        <v>196</v>
      </c>
      <c r="C180" s="476">
        <v>1</v>
      </c>
      <c r="D180" s="461">
        <f>COUNTIFS(Disbursements!$AU:$AU,'ERROR SUMMARRY'!$D$2,Disbursements!$B:$B,'ERROR SUMMARRY'!$B180)</f>
        <v>0</v>
      </c>
      <c r="E180" s="461">
        <f>COUNTIFS(Disbursements!$AU:$AU,"Ok",Disbursements!$B:$B,'ERROR SUMMARRY'!$B180)</f>
        <v>1</v>
      </c>
    </row>
    <row r="181" spans="1:5" x14ac:dyDescent="0.2">
      <c r="A181" s="38" t="str">
        <f>VLOOKUP(B181,'Clients-Live'!$A:$C,3,0)</f>
        <v>SIYESA JAMILA</v>
      </c>
      <c r="B181" s="477">
        <v>197</v>
      </c>
      <c r="C181" s="476">
        <v>1</v>
      </c>
      <c r="D181" s="461">
        <f>COUNTIFS(Disbursements!$AU:$AU,'ERROR SUMMARRY'!$D$2,Disbursements!$B:$B,'ERROR SUMMARRY'!$B181)</f>
        <v>0</v>
      </c>
      <c r="E181" s="461">
        <f>COUNTIFS(Disbursements!$AU:$AU,"Ok",Disbursements!$B:$B,'ERROR SUMMARRY'!$B181)</f>
        <v>1</v>
      </c>
    </row>
    <row r="182" spans="1:5" x14ac:dyDescent="0.2">
      <c r="A182" s="38" t="str">
        <f>VLOOKUP(B182,'Clients-Live'!$A:$C,3,0)</f>
        <v>ETOLE BIAJO</v>
      </c>
      <c r="B182" s="477">
        <v>198</v>
      </c>
      <c r="C182" s="476">
        <v>1</v>
      </c>
      <c r="D182" s="461">
        <f>COUNTIFS(Disbursements!$AU:$AU,'ERROR SUMMARRY'!$D$2,Disbursements!$B:$B,'ERROR SUMMARRY'!$B182)</f>
        <v>0</v>
      </c>
      <c r="E182" s="461">
        <f>COUNTIFS(Disbursements!$AU:$AU,"Ok",Disbursements!$B:$B,'ERROR SUMMARRY'!$B182)</f>
        <v>1</v>
      </c>
    </row>
    <row r="183" spans="1:5" x14ac:dyDescent="0.2">
      <c r="A183" s="38" t="str">
        <f>VLOOKUP(B183,'Clients-Live'!$A:$C,3,0)</f>
        <v>OTHIM JIMMY</v>
      </c>
      <c r="B183" s="477">
        <v>199</v>
      </c>
      <c r="C183" s="476">
        <v>2</v>
      </c>
      <c r="D183" s="461">
        <f>COUNTIFS(Disbursements!$AU:$AU,'ERROR SUMMARRY'!$D$2,Disbursements!$B:$B,'ERROR SUMMARRY'!$B183)</f>
        <v>0</v>
      </c>
      <c r="E183" s="461">
        <f>COUNTIFS(Disbursements!$AU:$AU,"Ok",Disbursements!$B:$B,'ERROR SUMMARRY'!$B183)</f>
        <v>2</v>
      </c>
    </row>
    <row r="184" spans="1:5" x14ac:dyDescent="0.2">
      <c r="A184" s="38" t="str">
        <f>VLOOKUP(B184,'Clients-Live'!$A:$C,3,0)</f>
        <v>SERIYA FLORENCE</v>
      </c>
      <c r="B184" s="477">
        <v>200</v>
      </c>
      <c r="C184" s="476">
        <v>3</v>
      </c>
      <c r="D184" s="461">
        <f>COUNTIFS(Disbursements!$AU:$AU,'ERROR SUMMARRY'!$D$2,Disbursements!$B:$B,'ERROR SUMMARRY'!$B184)</f>
        <v>0</v>
      </c>
      <c r="E184" s="461">
        <f>COUNTIFS(Disbursements!$AU:$AU,"Ok",Disbursements!$B:$B,'ERROR SUMMARRY'!$B184)</f>
        <v>3</v>
      </c>
    </row>
    <row r="185" spans="1:5" x14ac:dyDescent="0.2">
      <c r="A185" s="38" t="str">
        <f>VLOOKUP(B185,'Clients-Live'!$A:$C,3,0)</f>
        <v>DALILI HASSAN</v>
      </c>
      <c r="B185" s="477">
        <v>201</v>
      </c>
      <c r="C185" s="476">
        <v>1</v>
      </c>
      <c r="D185" s="461">
        <f>COUNTIFS(Disbursements!$AU:$AU,'ERROR SUMMARRY'!$D$2,Disbursements!$B:$B,'ERROR SUMMARRY'!$B185)</f>
        <v>0</v>
      </c>
      <c r="E185" s="461">
        <f>COUNTIFS(Disbursements!$AU:$AU,"Ok",Disbursements!$B:$B,'ERROR SUMMARRY'!$B185)</f>
        <v>1</v>
      </c>
    </row>
    <row r="186" spans="1:5" x14ac:dyDescent="0.2">
      <c r="A186" s="38" t="str">
        <f>VLOOKUP(B186,'Clients-Live'!$A:$C,3,0)</f>
        <v>MUSEMA SWAIBU</v>
      </c>
      <c r="B186" s="477">
        <v>202</v>
      </c>
      <c r="C186" s="476">
        <v>1</v>
      </c>
      <c r="D186" s="461">
        <f>COUNTIFS(Disbursements!$AU:$AU,'ERROR SUMMARRY'!$D$2,Disbursements!$B:$B,'ERROR SUMMARRY'!$B186)</f>
        <v>0</v>
      </c>
      <c r="E186" s="461">
        <f>COUNTIFS(Disbursements!$AU:$AU,"Ok",Disbursements!$B:$B,'ERROR SUMMARRY'!$B186)</f>
        <v>1</v>
      </c>
    </row>
    <row r="187" spans="1:5" x14ac:dyDescent="0.2">
      <c r="A187" s="38" t="str">
        <f>VLOOKUP(B187,'Clients-Live'!$A:$C,3,0)</f>
        <v>DRAMADRI AHUMED OKUNI</v>
      </c>
      <c r="B187" s="477">
        <v>204</v>
      </c>
      <c r="C187" s="476">
        <v>1</v>
      </c>
      <c r="D187" s="461">
        <f>COUNTIFS(Disbursements!$AU:$AU,'ERROR SUMMARRY'!$D$2,Disbursements!$B:$B,'ERROR SUMMARRY'!$B187)</f>
        <v>0</v>
      </c>
      <c r="E187" s="461">
        <f>COUNTIFS(Disbursements!$AU:$AU,"Ok",Disbursements!$B:$B,'ERROR SUMMARRY'!$B187)</f>
        <v>1</v>
      </c>
    </row>
    <row r="188" spans="1:5" x14ac:dyDescent="0.2">
      <c r="A188" s="38" t="str">
        <f>VLOOKUP(B188,'Clients-Live'!$A:$C,3,0)</f>
        <v>OPIRU ALICE</v>
      </c>
      <c r="B188" s="477">
        <v>205</v>
      </c>
      <c r="C188" s="476">
        <v>2</v>
      </c>
      <c r="D188" s="461">
        <f>COUNTIFS(Disbursements!$AU:$AU,'ERROR SUMMARRY'!$D$2,Disbursements!$B:$B,'ERROR SUMMARRY'!$B188)</f>
        <v>0</v>
      </c>
      <c r="E188" s="461">
        <f>COUNTIFS(Disbursements!$AU:$AU,"Ok",Disbursements!$B:$B,'ERROR SUMMARRY'!$B188)</f>
        <v>2</v>
      </c>
    </row>
    <row r="189" spans="1:5" x14ac:dyDescent="0.2">
      <c r="A189" s="38" t="str">
        <f>VLOOKUP(B189,'Clients-Live'!$A:$C,3,0)</f>
        <v>AMILE AISHA</v>
      </c>
      <c r="B189" s="477">
        <v>206</v>
      </c>
      <c r="C189" s="476">
        <v>1</v>
      </c>
      <c r="D189" s="461">
        <f>COUNTIFS(Disbursements!$AU:$AU,'ERROR SUMMARRY'!$D$2,Disbursements!$B:$B,'ERROR SUMMARRY'!$B189)</f>
        <v>0</v>
      </c>
      <c r="E189" s="461">
        <f>COUNTIFS(Disbursements!$AU:$AU,"Ok",Disbursements!$B:$B,'ERROR SUMMARRY'!$B189)</f>
        <v>1</v>
      </c>
    </row>
    <row r="190" spans="1:5" x14ac:dyDescent="0.2">
      <c r="A190" s="38" t="str">
        <f>VLOOKUP(B190,'Clients-Live'!$A:$C,3,0)</f>
        <v>DRARU IRENE</v>
      </c>
      <c r="B190" s="477">
        <v>207</v>
      </c>
      <c r="C190" s="476">
        <v>1</v>
      </c>
      <c r="D190" s="461">
        <f>COUNTIFS(Disbursements!$AU:$AU,'ERROR SUMMARRY'!$D$2,Disbursements!$B:$B,'ERROR SUMMARRY'!$B190)</f>
        <v>0</v>
      </c>
      <c r="E190" s="461">
        <f>COUNTIFS(Disbursements!$AU:$AU,"Ok",Disbursements!$B:$B,'ERROR SUMMARRY'!$B190)</f>
        <v>1</v>
      </c>
    </row>
    <row r="191" spans="1:5" x14ac:dyDescent="0.2">
      <c r="A191" s="38" t="str">
        <f>VLOOKUP(B191,'Clients-Live'!$A:$C,3,0)</f>
        <v>TIKO RAIMA</v>
      </c>
      <c r="B191" s="477">
        <v>208</v>
      </c>
      <c r="C191" s="476">
        <v>2</v>
      </c>
      <c r="D191" s="461">
        <f>COUNTIFS(Disbursements!$AU:$AU,'ERROR SUMMARRY'!$D$2,Disbursements!$B:$B,'ERROR SUMMARRY'!$B191)</f>
        <v>0</v>
      </c>
      <c r="E191" s="461">
        <f>COUNTIFS(Disbursements!$AU:$AU,"Ok",Disbursements!$B:$B,'ERROR SUMMARRY'!$B191)</f>
        <v>2</v>
      </c>
    </row>
    <row r="192" spans="1:5" x14ac:dyDescent="0.2">
      <c r="A192" s="38" t="str">
        <f>VLOOKUP(B192,'Clients-Live'!$A:$C,3,0)</f>
        <v>ADUI ISMAIL</v>
      </c>
      <c r="B192" s="477">
        <v>209</v>
      </c>
      <c r="C192" s="476">
        <v>1</v>
      </c>
      <c r="D192" s="461">
        <f>COUNTIFS(Disbursements!$AU:$AU,'ERROR SUMMARRY'!$D$2,Disbursements!$B:$B,'ERROR SUMMARRY'!$B192)</f>
        <v>0</v>
      </c>
      <c r="E192" s="461">
        <f>COUNTIFS(Disbursements!$AU:$AU,"Ok",Disbursements!$B:$B,'ERROR SUMMARRY'!$B192)</f>
        <v>1</v>
      </c>
    </row>
    <row r="193" spans="1:5" x14ac:dyDescent="0.2">
      <c r="A193" s="38" t="str">
        <f>VLOOKUP(B193,'Clients-Live'!$A:$C,3,0)</f>
        <v>ADRILI ZAHARA</v>
      </c>
      <c r="B193" s="477">
        <v>210</v>
      </c>
      <c r="C193" s="476">
        <v>2</v>
      </c>
      <c r="D193" s="461">
        <f>COUNTIFS(Disbursements!$AU:$AU,'ERROR SUMMARRY'!$D$2,Disbursements!$B:$B,'ERROR SUMMARRY'!$B193)</f>
        <v>0</v>
      </c>
      <c r="E193" s="461">
        <f>COUNTIFS(Disbursements!$AU:$AU,"Ok",Disbursements!$B:$B,'ERROR SUMMARRY'!$B193)</f>
        <v>2</v>
      </c>
    </row>
    <row r="194" spans="1:5" x14ac:dyDescent="0.2">
      <c r="A194" s="38" t="str">
        <f>VLOOKUP(B194,'Clients-Live'!$A:$C,3,0)</f>
        <v>WILARU JOYCE</v>
      </c>
      <c r="B194" s="477">
        <v>211</v>
      </c>
      <c r="C194" s="476">
        <v>2</v>
      </c>
      <c r="D194" s="461">
        <f>COUNTIFS(Disbursements!$AU:$AU,'ERROR SUMMARRY'!$D$2,Disbursements!$B:$B,'ERROR SUMMARRY'!$B194)</f>
        <v>0</v>
      </c>
      <c r="E194" s="461">
        <f>COUNTIFS(Disbursements!$AU:$AU,"Ok",Disbursements!$B:$B,'ERROR SUMMARRY'!$B194)</f>
        <v>2</v>
      </c>
    </row>
    <row r="195" spans="1:5" x14ac:dyDescent="0.2">
      <c r="A195" s="38" t="str">
        <f>VLOOKUP(B195,'Clients-Live'!$A:$C,3,0)</f>
        <v>ACIDRI WILLIAM</v>
      </c>
      <c r="B195" s="477">
        <v>212</v>
      </c>
      <c r="C195" s="476">
        <v>2</v>
      </c>
      <c r="D195" s="461">
        <f>COUNTIFS(Disbursements!$AU:$AU,'ERROR SUMMARRY'!$D$2,Disbursements!$B:$B,'ERROR SUMMARRY'!$B195)</f>
        <v>0</v>
      </c>
      <c r="E195" s="461">
        <f>COUNTIFS(Disbursements!$AU:$AU,"Ok",Disbursements!$B:$B,'ERROR SUMMARRY'!$B195)</f>
        <v>2</v>
      </c>
    </row>
    <row r="196" spans="1:5" x14ac:dyDescent="0.2">
      <c r="A196" s="38" t="str">
        <f>VLOOKUP(B196,'Clients-Live'!$A:$C,3,0)</f>
        <v>ATIKURU NADIA</v>
      </c>
      <c r="B196" s="477">
        <v>213</v>
      </c>
      <c r="C196" s="476">
        <v>2</v>
      </c>
      <c r="D196" s="461">
        <f>COUNTIFS(Disbursements!$AU:$AU,'ERROR SUMMARRY'!$D$2,Disbursements!$B:$B,'ERROR SUMMARRY'!$B196)</f>
        <v>0</v>
      </c>
      <c r="E196" s="461">
        <f>COUNTIFS(Disbursements!$AU:$AU,"Ok",Disbursements!$B:$B,'ERROR SUMMARRY'!$B196)</f>
        <v>2</v>
      </c>
    </row>
    <row r="197" spans="1:5" x14ac:dyDescent="0.2">
      <c r="A197" s="38" t="str">
        <f>VLOOKUP(B197,'Clients-Live'!$A:$C,3,0)</f>
        <v>BRANI MUSA</v>
      </c>
      <c r="B197" s="477">
        <v>215</v>
      </c>
      <c r="C197" s="476">
        <v>2</v>
      </c>
      <c r="D197" s="461">
        <f>COUNTIFS(Disbursements!$AU:$AU,'ERROR SUMMARRY'!$D$2,Disbursements!$B:$B,'ERROR SUMMARRY'!$B197)</f>
        <v>0</v>
      </c>
      <c r="E197" s="461">
        <f>COUNTIFS(Disbursements!$AU:$AU,"Ok",Disbursements!$B:$B,'ERROR SUMMARRY'!$B197)</f>
        <v>2</v>
      </c>
    </row>
    <row r="198" spans="1:5" x14ac:dyDescent="0.2">
      <c r="A198" s="38" t="str">
        <f>VLOOKUP(B198,'Clients-Live'!$A:$C,3,0)</f>
        <v>ALIGA ASHIRAF</v>
      </c>
      <c r="B198" s="477">
        <v>216</v>
      </c>
      <c r="C198" s="476">
        <v>1</v>
      </c>
      <c r="D198" s="461">
        <f>COUNTIFS(Disbursements!$AU:$AU,'ERROR SUMMARRY'!$D$2,Disbursements!$B:$B,'ERROR SUMMARRY'!$B198)</f>
        <v>0</v>
      </c>
      <c r="E198" s="461">
        <f>COUNTIFS(Disbursements!$AU:$AU,"Ok",Disbursements!$B:$B,'ERROR SUMMARRY'!$B198)</f>
        <v>1</v>
      </c>
    </row>
    <row r="199" spans="1:5" x14ac:dyDescent="0.2">
      <c r="A199" s="38" t="str">
        <f>VLOOKUP(B199,'Clients-Live'!$A:$C,3,0)</f>
        <v>JAMBA MOSES</v>
      </c>
      <c r="B199" s="477">
        <v>217</v>
      </c>
      <c r="C199" s="476">
        <v>3</v>
      </c>
      <c r="D199" s="461">
        <f>COUNTIFS(Disbursements!$AU:$AU,'ERROR SUMMARRY'!$D$2,Disbursements!$B:$B,'ERROR SUMMARRY'!$B199)</f>
        <v>0</v>
      </c>
      <c r="E199" s="461">
        <f>COUNTIFS(Disbursements!$AU:$AU,"Ok",Disbursements!$B:$B,'ERROR SUMMARRY'!$B199)</f>
        <v>3</v>
      </c>
    </row>
    <row r="200" spans="1:5" x14ac:dyDescent="0.2">
      <c r="A200" s="38" t="str">
        <f>VLOOKUP(B200,'Clients-Live'!$A:$C,3,0)</f>
        <v>BUSURA OMAR</v>
      </c>
      <c r="B200" s="477">
        <v>218</v>
      </c>
      <c r="C200" s="476">
        <v>2</v>
      </c>
      <c r="D200" s="461">
        <f>COUNTIFS(Disbursements!$AU:$AU,'ERROR SUMMARRY'!$D$2,Disbursements!$B:$B,'ERROR SUMMARRY'!$B200)</f>
        <v>0</v>
      </c>
      <c r="E200" s="461">
        <f>COUNTIFS(Disbursements!$AU:$AU,"Ok",Disbursements!$B:$B,'ERROR SUMMARRY'!$B200)</f>
        <v>2</v>
      </c>
    </row>
    <row r="201" spans="1:5" x14ac:dyDescent="0.2">
      <c r="A201" s="38" t="str">
        <f>VLOOKUP(B201,'Clients-Live'!$A:$C,3,0)</f>
        <v>MALIKO JAMILA</v>
      </c>
      <c r="B201" s="477">
        <v>219</v>
      </c>
      <c r="C201" s="476">
        <v>1</v>
      </c>
      <c r="D201" s="461">
        <f>COUNTIFS(Disbursements!$AU:$AU,'ERROR SUMMARRY'!$D$2,Disbursements!$B:$B,'ERROR SUMMARRY'!$B201)</f>
        <v>0</v>
      </c>
      <c r="E201" s="461">
        <f>COUNTIFS(Disbursements!$AU:$AU,"Ok",Disbursements!$B:$B,'ERROR SUMMARRY'!$B201)</f>
        <v>1</v>
      </c>
    </row>
    <row r="202" spans="1:5" x14ac:dyDescent="0.2">
      <c r="A202" s="38" t="str">
        <f>VLOOKUP(B202,'Clients-Live'!$A:$C,3,0)</f>
        <v>DRAGUMA SIRAJI</v>
      </c>
      <c r="B202" s="477">
        <v>220</v>
      </c>
      <c r="C202" s="476">
        <v>1</v>
      </c>
      <c r="D202" s="461">
        <f>COUNTIFS(Disbursements!$AU:$AU,'ERROR SUMMARRY'!$D$2,Disbursements!$B:$B,'ERROR SUMMARRY'!$B202)</f>
        <v>0</v>
      </c>
      <c r="E202" s="461">
        <f>COUNTIFS(Disbursements!$AU:$AU,"Ok",Disbursements!$B:$B,'ERROR SUMMARRY'!$B202)</f>
        <v>1</v>
      </c>
    </row>
    <row r="203" spans="1:5" x14ac:dyDescent="0.2">
      <c r="A203" s="38" t="str">
        <f>VLOOKUP(B203,'Clients-Live'!$A:$C,3,0)</f>
        <v>NAMUDDU MARY</v>
      </c>
      <c r="B203" s="477">
        <v>221</v>
      </c>
      <c r="C203" s="476">
        <v>3</v>
      </c>
      <c r="D203" s="461">
        <f>COUNTIFS(Disbursements!$AU:$AU,'ERROR SUMMARRY'!$D$2,Disbursements!$B:$B,'ERROR SUMMARRY'!$B203)</f>
        <v>0</v>
      </c>
      <c r="E203" s="461">
        <f>COUNTIFS(Disbursements!$AU:$AU,"Ok",Disbursements!$B:$B,'ERROR SUMMARRY'!$B203)</f>
        <v>3</v>
      </c>
    </row>
    <row r="204" spans="1:5" x14ac:dyDescent="0.2">
      <c r="A204" s="38" t="str">
        <f>VLOOKUP(B204,'Clients-Live'!$A:$C,3,0)</f>
        <v>ITITU ZAIDA</v>
      </c>
      <c r="B204" s="477">
        <v>222</v>
      </c>
      <c r="C204" s="476">
        <v>1</v>
      </c>
      <c r="D204" s="461">
        <f>COUNTIFS(Disbursements!$AU:$AU,'ERROR SUMMARRY'!$D$2,Disbursements!$B:$B,'ERROR SUMMARRY'!$B204)</f>
        <v>0</v>
      </c>
      <c r="E204" s="461">
        <f>COUNTIFS(Disbursements!$AU:$AU,"Ok",Disbursements!$B:$B,'ERROR SUMMARRY'!$B204)</f>
        <v>1</v>
      </c>
    </row>
    <row r="205" spans="1:5" x14ac:dyDescent="0.2">
      <c r="A205" s="38" t="str">
        <f>VLOOKUP(B205,'Clients-Live'!$A:$C,3,0)</f>
        <v>MATURU NEEMA</v>
      </c>
      <c r="B205" s="477">
        <v>226</v>
      </c>
      <c r="C205" s="476">
        <v>2</v>
      </c>
      <c r="D205" s="461">
        <f>COUNTIFS(Disbursements!$AU:$AU,'ERROR SUMMARRY'!$D$2,Disbursements!$B:$B,'ERROR SUMMARRY'!$B205)</f>
        <v>0</v>
      </c>
      <c r="E205" s="461">
        <f>COUNTIFS(Disbursements!$AU:$AU,"Ok",Disbursements!$B:$B,'ERROR SUMMARRY'!$B205)</f>
        <v>2</v>
      </c>
    </row>
    <row r="206" spans="1:5" x14ac:dyDescent="0.2">
      <c r="A206" s="38" t="str">
        <f>VLOOKUP(B206,'Clients-Live'!$A:$C,3,0)</f>
        <v>MUZEE OBEN SAM</v>
      </c>
      <c r="B206" s="477">
        <v>227</v>
      </c>
      <c r="C206" s="476">
        <v>1</v>
      </c>
      <c r="D206" s="461">
        <f>COUNTIFS(Disbursements!$AU:$AU,'ERROR SUMMARRY'!$D$2,Disbursements!$B:$B,'ERROR SUMMARRY'!$B206)</f>
        <v>0</v>
      </c>
      <c r="E206" s="461">
        <f>COUNTIFS(Disbursements!$AU:$AU,"Ok",Disbursements!$B:$B,'ERROR SUMMARRY'!$B206)</f>
        <v>1</v>
      </c>
    </row>
    <row r="207" spans="1:5" x14ac:dyDescent="0.2">
      <c r="A207" s="38" t="str">
        <f>VLOOKUP(B207,'Clients-Live'!$A:$C,3,0)</f>
        <v>DADA ISAAC</v>
      </c>
      <c r="B207" s="477">
        <v>228</v>
      </c>
      <c r="C207" s="476">
        <v>7</v>
      </c>
      <c r="D207" s="461">
        <f>COUNTIFS(Disbursements!$AU:$AU,'ERROR SUMMARRY'!$D$2,Disbursements!$B:$B,'ERROR SUMMARRY'!$B207)</f>
        <v>0</v>
      </c>
      <c r="E207" s="461">
        <f>COUNTIFS(Disbursements!$AU:$AU,"Ok",Disbursements!$B:$B,'ERROR SUMMARRY'!$B207)</f>
        <v>7</v>
      </c>
    </row>
    <row r="208" spans="1:5" x14ac:dyDescent="0.2">
      <c r="A208" s="38" t="str">
        <f>VLOOKUP(B208,'Clients-Live'!$A:$C,3,0)</f>
        <v>DAWA ANNET</v>
      </c>
      <c r="B208" s="477">
        <v>229</v>
      </c>
      <c r="C208" s="476">
        <v>2</v>
      </c>
      <c r="D208" s="461">
        <f>COUNTIFS(Disbursements!$AU:$AU,'ERROR SUMMARRY'!$D$2,Disbursements!$B:$B,'ERROR SUMMARRY'!$B208)</f>
        <v>0</v>
      </c>
      <c r="E208" s="461">
        <f>COUNTIFS(Disbursements!$AU:$AU,"Ok",Disbursements!$B:$B,'ERROR SUMMARRY'!$B208)</f>
        <v>3</v>
      </c>
    </row>
    <row r="209" spans="1:5" x14ac:dyDescent="0.2">
      <c r="A209" s="38" t="str">
        <f>VLOOKUP(B209,'Clients-Live'!$A:$C,3,0)</f>
        <v>ANGAIKA SALFA</v>
      </c>
      <c r="B209" s="477">
        <v>230</v>
      </c>
      <c r="C209" s="476">
        <v>1</v>
      </c>
      <c r="D209" s="461">
        <f>COUNTIFS(Disbursements!$AU:$AU,'ERROR SUMMARRY'!$D$2,Disbursements!$B:$B,'ERROR SUMMARRY'!$B209)</f>
        <v>0</v>
      </c>
      <c r="E209" s="461">
        <f>COUNTIFS(Disbursements!$AU:$AU,"Ok",Disbursements!$B:$B,'ERROR SUMMARRY'!$B209)</f>
        <v>1</v>
      </c>
    </row>
    <row r="210" spans="1:5" x14ac:dyDescent="0.2">
      <c r="A210" s="38" t="str">
        <f>VLOOKUP(B210,'Clients-Live'!$A:$C,3,0)</f>
        <v>LEMERIGA GEOFFREY</v>
      </c>
      <c r="B210" s="477">
        <v>232</v>
      </c>
      <c r="C210" s="476">
        <v>1</v>
      </c>
      <c r="D210" s="461">
        <f>COUNTIFS(Disbursements!$AU:$AU,'ERROR SUMMARRY'!$D$2,Disbursements!$B:$B,'ERROR SUMMARRY'!$B210)</f>
        <v>0</v>
      </c>
      <c r="E210" s="461">
        <f>COUNTIFS(Disbursements!$AU:$AU,"Ok",Disbursements!$B:$B,'ERROR SUMMARRY'!$B210)</f>
        <v>1</v>
      </c>
    </row>
    <row r="211" spans="1:5" x14ac:dyDescent="0.2">
      <c r="A211" s="38" t="str">
        <f>VLOOKUP(B211,'Clients-Live'!$A:$C,3,0)</f>
        <v>KAMOYO HARRIET</v>
      </c>
      <c r="B211" s="477">
        <v>233</v>
      </c>
      <c r="C211" s="476">
        <v>2</v>
      </c>
      <c r="D211" s="461">
        <f>COUNTIFS(Disbursements!$AU:$AU,'ERROR SUMMARRY'!$D$2,Disbursements!$B:$B,'ERROR SUMMARRY'!$B211)</f>
        <v>0</v>
      </c>
      <c r="E211" s="461">
        <f>COUNTIFS(Disbursements!$AU:$AU,"Ok",Disbursements!$B:$B,'ERROR SUMMARRY'!$B211)</f>
        <v>2</v>
      </c>
    </row>
    <row r="212" spans="1:5" x14ac:dyDescent="0.2">
      <c r="A212" s="38" t="str">
        <f>VLOOKUP(B212,'Clients-Live'!$A:$C,3,0)</f>
        <v>SUDI YASIR</v>
      </c>
      <c r="B212" s="477">
        <v>234</v>
      </c>
      <c r="C212" s="476">
        <v>1</v>
      </c>
      <c r="D212" s="461">
        <f>COUNTIFS(Disbursements!$AU:$AU,'ERROR SUMMARRY'!$D$2,Disbursements!$B:$B,'ERROR SUMMARRY'!$B212)</f>
        <v>0</v>
      </c>
      <c r="E212" s="461">
        <f>COUNTIFS(Disbursements!$AU:$AU,"Ok",Disbursements!$B:$B,'ERROR SUMMARRY'!$B212)</f>
        <v>1</v>
      </c>
    </row>
    <row r="213" spans="1:5" x14ac:dyDescent="0.2">
      <c r="A213" s="38" t="str">
        <f>VLOOKUP(B213,'Clients-Live'!$A:$C,3,0)</f>
        <v>AMULE ISAAC</v>
      </c>
      <c r="B213" s="477">
        <v>235</v>
      </c>
      <c r="C213" s="476">
        <v>3</v>
      </c>
      <c r="D213" s="461">
        <f>COUNTIFS(Disbursements!$AU:$AU,'ERROR SUMMARRY'!$D$2,Disbursements!$B:$B,'ERROR SUMMARRY'!$B213)</f>
        <v>0</v>
      </c>
      <c r="E213" s="461">
        <f>COUNTIFS(Disbursements!$AU:$AU,"Ok",Disbursements!$B:$B,'ERROR SUMMARRY'!$B213)</f>
        <v>3</v>
      </c>
    </row>
    <row r="214" spans="1:5" x14ac:dyDescent="0.2">
      <c r="A214" s="38" t="str">
        <f>VLOOKUP(B214,'Clients-Live'!$A:$C,3,0)</f>
        <v>AMIJI LUCY</v>
      </c>
      <c r="B214" s="477">
        <v>236</v>
      </c>
      <c r="C214" s="476">
        <v>1</v>
      </c>
      <c r="D214" s="461">
        <f>COUNTIFS(Disbursements!$AU:$AU,'ERROR SUMMARRY'!$D$2,Disbursements!$B:$B,'ERROR SUMMARRY'!$B214)</f>
        <v>0</v>
      </c>
      <c r="E214" s="461">
        <f>COUNTIFS(Disbursements!$AU:$AU,"Ok",Disbursements!$B:$B,'ERROR SUMMARRY'!$B214)</f>
        <v>1</v>
      </c>
    </row>
    <row r="215" spans="1:5" x14ac:dyDescent="0.2">
      <c r="A215" s="38" t="str">
        <f>VLOOKUP(B215,'Clients-Live'!$A:$C,3,0)</f>
        <v>EZRA INNOCENT</v>
      </c>
      <c r="B215" s="477">
        <v>237</v>
      </c>
      <c r="C215" s="476">
        <v>2</v>
      </c>
      <c r="D215" s="461">
        <f>COUNTIFS(Disbursements!$AU:$AU,'ERROR SUMMARRY'!$D$2,Disbursements!$B:$B,'ERROR SUMMARRY'!$B215)</f>
        <v>0</v>
      </c>
      <c r="E215" s="461">
        <f>COUNTIFS(Disbursements!$AU:$AU,"Ok",Disbursements!$B:$B,'ERROR SUMMARRY'!$B215)</f>
        <v>2</v>
      </c>
    </row>
    <row r="216" spans="1:5" x14ac:dyDescent="0.2">
      <c r="A216" s="38" t="str">
        <f>VLOOKUP(B216,'Clients-Live'!$A:$C,3,0)</f>
        <v>ANGAIKA SAID</v>
      </c>
      <c r="B216" s="477">
        <v>238</v>
      </c>
      <c r="C216" s="476">
        <v>2</v>
      </c>
      <c r="D216" s="461">
        <f>COUNTIFS(Disbursements!$AU:$AU,'ERROR SUMMARRY'!$D$2,Disbursements!$B:$B,'ERROR SUMMARRY'!$B216)</f>
        <v>0</v>
      </c>
      <c r="E216" s="461">
        <f>COUNTIFS(Disbursements!$AU:$AU,"Ok",Disbursements!$B:$B,'ERROR SUMMARRY'!$B216)</f>
        <v>2</v>
      </c>
    </row>
    <row r="217" spans="1:5" x14ac:dyDescent="0.2">
      <c r="A217" s="38" t="str">
        <f>VLOOKUP(B217,'Clients-Live'!$A:$C,3,0)</f>
        <v>HABIBU ABOYI ALLI</v>
      </c>
      <c r="B217" s="477">
        <v>239</v>
      </c>
      <c r="C217" s="476">
        <v>2</v>
      </c>
      <c r="D217" s="461">
        <f>COUNTIFS(Disbursements!$AU:$AU,'ERROR SUMMARRY'!$D$2,Disbursements!$B:$B,'ERROR SUMMARRY'!$B217)</f>
        <v>0</v>
      </c>
      <c r="E217" s="461">
        <f>COUNTIFS(Disbursements!$AU:$AU,"Ok",Disbursements!$B:$B,'ERROR SUMMARRY'!$B217)</f>
        <v>2</v>
      </c>
    </row>
    <row r="218" spans="1:5" x14ac:dyDescent="0.2">
      <c r="A218" s="38" t="str">
        <f>VLOOKUP(B218,'Clients-Live'!$A:$C,3,0)</f>
        <v>AYIKORU WINNIE</v>
      </c>
      <c r="B218" s="477">
        <v>240</v>
      </c>
      <c r="C218" s="476">
        <v>2</v>
      </c>
      <c r="D218" s="461">
        <f>COUNTIFS(Disbursements!$AU:$AU,'ERROR SUMMARRY'!$D$2,Disbursements!$B:$B,'ERROR SUMMARRY'!$B218)</f>
        <v>0</v>
      </c>
      <c r="E218" s="461">
        <f>COUNTIFS(Disbursements!$AU:$AU,"Ok",Disbursements!$B:$B,'ERROR SUMMARRY'!$B218)</f>
        <v>2</v>
      </c>
    </row>
    <row r="219" spans="1:5" x14ac:dyDescent="0.2">
      <c r="A219" s="38" t="str">
        <f>VLOOKUP(B219,'Clients-Live'!$A:$C,3,0)</f>
        <v>SIRIKA FARIDA</v>
      </c>
      <c r="B219" s="477">
        <v>241</v>
      </c>
      <c r="C219" s="476">
        <v>1</v>
      </c>
      <c r="D219" s="461">
        <f>COUNTIFS(Disbursements!$AU:$AU,'ERROR SUMMARRY'!$D$2,Disbursements!$B:$B,'ERROR SUMMARRY'!$B219)</f>
        <v>0</v>
      </c>
      <c r="E219" s="461">
        <f>COUNTIFS(Disbursements!$AU:$AU,"Ok",Disbursements!$B:$B,'ERROR SUMMARRY'!$B219)</f>
        <v>1</v>
      </c>
    </row>
    <row r="220" spans="1:5" x14ac:dyDescent="0.2">
      <c r="A220" s="38" t="str">
        <f>VLOOKUP(B220,'Clients-Live'!$A:$C,3,0)</f>
        <v>BAKOKO FLAVIA</v>
      </c>
      <c r="B220" s="477">
        <v>242</v>
      </c>
      <c r="C220" s="476">
        <v>1</v>
      </c>
      <c r="D220" s="461">
        <f>COUNTIFS(Disbursements!$AU:$AU,'ERROR SUMMARRY'!$D$2,Disbursements!$B:$B,'ERROR SUMMARRY'!$B220)</f>
        <v>1</v>
      </c>
      <c r="E220" s="461">
        <f>COUNTIFS(Disbursements!$AU:$AU,"Ok",Disbursements!$B:$B,'ERROR SUMMARRY'!$B220)</f>
        <v>0</v>
      </c>
    </row>
    <row r="221" spans="1:5" x14ac:dyDescent="0.2">
      <c r="A221" s="38" t="str">
        <f>VLOOKUP(B221,'Clients-Live'!$A:$C,3,0)</f>
        <v>AMANIYO FARIDA</v>
      </c>
      <c r="B221" s="477">
        <v>243</v>
      </c>
      <c r="C221" s="476">
        <v>1</v>
      </c>
      <c r="D221" s="461">
        <f>COUNTIFS(Disbursements!$AU:$AU,'ERROR SUMMARRY'!$D$2,Disbursements!$B:$B,'ERROR SUMMARRY'!$B221)</f>
        <v>0</v>
      </c>
      <c r="E221" s="461">
        <f>COUNTIFS(Disbursements!$AU:$AU,"Ok",Disbursements!$B:$B,'ERROR SUMMARRY'!$B221)</f>
        <v>1</v>
      </c>
    </row>
    <row r="222" spans="1:5" x14ac:dyDescent="0.2">
      <c r="A222" s="38" t="str">
        <f>VLOOKUP(B222,'Clients-Live'!$A:$C,3,0)</f>
        <v>GISMA HAMID ALI</v>
      </c>
      <c r="B222" s="477">
        <v>244</v>
      </c>
      <c r="C222" s="476">
        <v>1</v>
      </c>
      <c r="D222" s="461">
        <f>COUNTIFS(Disbursements!$AU:$AU,'ERROR SUMMARRY'!$D$2,Disbursements!$B:$B,'ERROR SUMMARRY'!$B222)</f>
        <v>0</v>
      </c>
      <c r="E222" s="461">
        <f>COUNTIFS(Disbursements!$AU:$AU,"Ok",Disbursements!$B:$B,'ERROR SUMMARRY'!$B222)</f>
        <v>1</v>
      </c>
    </row>
    <row r="223" spans="1:5" x14ac:dyDescent="0.2">
      <c r="A223" s="38" t="str">
        <f>VLOOKUP(B223,'Clients-Live'!$A:$C,3,0)</f>
        <v>ONJIMA BASHIR</v>
      </c>
      <c r="B223" s="477">
        <v>245</v>
      </c>
      <c r="C223" s="476">
        <v>1</v>
      </c>
      <c r="D223" s="461">
        <f>COUNTIFS(Disbursements!$AU:$AU,'ERROR SUMMARRY'!$D$2,Disbursements!$B:$B,'ERROR SUMMARRY'!$B223)</f>
        <v>0</v>
      </c>
      <c r="E223" s="461">
        <f>COUNTIFS(Disbursements!$AU:$AU,"Ok",Disbursements!$B:$B,'ERROR SUMMARRY'!$B223)</f>
        <v>1</v>
      </c>
    </row>
    <row r="224" spans="1:5" x14ac:dyDescent="0.2">
      <c r="A224" s="38" t="str">
        <f>VLOOKUP(B224,'Clients-Live'!$A:$C,3,0)</f>
        <v>ALOMO ZAIDA</v>
      </c>
      <c r="B224" s="477">
        <v>246</v>
      </c>
      <c r="C224" s="476">
        <v>1</v>
      </c>
      <c r="D224" s="461">
        <f>COUNTIFS(Disbursements!$AU:$AU,'ERROR SUMMARRY'!$D$2,Disbursements!$B:$B,'ERROR SUMMARRY'!$B224)</f>
        <v>0</v>
      </c>
      <c r="E224" s="461">
        <f>COUNTIFS(Disbursements!$AU:$AU,"Ok",Disbursements!$B:$B,'ERROR SUMMARRY'!$B224)</f>
        <v>1</v>
      </c>
    </row>
    <row r="225" spans="1:5" x14ac:dyDescent="0.2">
      <c r="A225" s="38" t="str">
        <f>VLOOKUP(B225,'Clients-Live'!$A:$C,3,0)</f>
        <v>CHANDIRU SCHOLAR</v>
      </c>
      <c r="B225" s="477">
        <v>247</v>
      </c>
      <c r="C225" s="476">
        <v>1</v>
      </c>
      <c r="D225" s="461">
        <f>COUNTIFS(Disbursements!$AU:$AU,'ERROR SUMMARRY'!$D$2,Disbursements!$B:$B,'ERROR SUMMARRY'!$B225)</f>
        <v>0</v>
      </c>
      <c r="E225" s="461">
        <f>COUNTIFS(Disbursements!$AU:$AU,"Ok",Disbursements!$B:$B,'ERROR SUMMARRY'!$B225)</f>
        <v>1</v>
      </c>
    </row>
    <row r="226" spans="1:5" x14ac:dyDescent="0.2">
      <c r="A226" s="38" t="str">
        <f>VLOOKUP(B226,'Clients-Live'!$A:$C,3,0)</f>
        <v>LETARU GLORIA</v>
      </c>
      <c r="B226" s="477">
        <v>248</v>
      </c>
      <c r="C226" s="476">
        <v>2</v>
      </c>
      <c r="D226" s="461">
        <f>COUNTIFS(Disbursements!$AU:$AU,'ERROR SUMMARRY'!$D$2,Disbursements!$B:$B,'ERROR SUMMARRY'!$B226)</f>
        <v>0</v>
      </c>
      <c r="E226" s="461">
        <f>COUNTIFS(Disbursements!$AU:$AU,"Ok",Disbursements!$B:$B,'ERROR SUMMARRY'!$B226)</f>
        <v>2</v>
      </c>
    </row>
    <row r="227" spans="1:5" x14ac:dyDescent="0.2">
      <c r="A227" s="38" t="str">
        <f>VLOOKUP(B227,'Clients-Live'!$A:$C,3,0)</f>
        <v>SAKAYA AMINA</v>
      </c>
      <c r="B227" s="477">
        <v>250</v>
      </c>
      <c r="C227" s="476">
        <v>3</v>
      </c>
      <c r="D227" s="461">
        <f>COUNTIFS(Disbursements!$AU:$AU,'ERROR SUMMARRY'!$D$2,Disbursements!$B:$B,'ERROR SUMMARRY'!$B227)</f>
        <v>0</v>
      </c>
      <c r="E227" s="461">
        <f>COUNTIFS(Disbursements!$AU:$AU,"Ok",Disbursements!$B:$B,'ERROR SUMMARRY'!$B227)</f>
        <v>3</v>
      </c>
    </row>
    <row r="228" spans="1:5" x14ac:dyDescent="0.2">
      <c r="A228" s="38" t="str">
        <f>VLOOKUP(B228,'Clients-Live'!$A:$C,3,0)</f>
        <v>SIDA ZAINABU</v>
      </c>
      <c r="B228" s="477">
        <v>251</v>
      </c>
      <c r="C228" s="476">
        <v>3</v>
      </c>
      <c r="D228" s="461">
        <f>COUNTIFS(Disbursements!$AU:$AU,'ERROR SUMMARRY'!$D$2,Disbursements!$B:$B,'ERROR SUMMARRY'!$B228)</f>
        <v>0</v>
      </c>
      <c r="E228" s="461">
        <f>COUNTIFS(Disbursements!$AU:$AU,"Ok",Disbursements!$B:$B,'ERROR SUMMARRY'!$B228)</f>
        <v>3</v>
      </c>
    </row>
    <row r="229" spans="1:5" x14ac:dyDescent="0.2">
      <c r="A229" s="38" t="str">
        <f>VLOOKUP(B229,'Clients-Live'!$A:$C,3,0)</f>
        <v>ANGUCIA JESCA</v>
      </c>
      <c r="B229" s="477">
        <v>252</v>
      </c>
      <c r="C229" s="476">
        <v>1</v>
      </c>
      <c r="D229" s="461">
        <f>COUNTIFS(Disbursements!$AU:$AU,'ERROR SUMMARRY'!$D$2,Disbursements!$B:$B,'ERROR SUMMARRY'!$B229)</f>
        <v>0</v>
      </c>
      <c r="E229" s="461">
        <f>COUNTIFS(Disbursements!$AU:$AU,"Ok",Disbursements!$B:$B,'ERROR SUMMARRY'!$B229)</f>
        <v>1</v>
      </c>
    </row>
    <row r="230" spans="1:5" x14ac:dyDescent="0.2">
      <c r="A230" s="38" t="str">
        <f>VLOOKUP(B230,'Clients-Live'!$A:$C,3,0)</f>
        <v>JAKUMA VINCENT</v>
      </c>
      <c r="B230" s="477">
        <v>253</v>
      </c>
      <c r="C230" s="476">
        <v>1</v>
      </c>
      <c r="D230" s="461">
        <f>COUNTIFS(Disbursements!$AU:$AU,'ERROR SUMMARRY'!$D$2,Disbursements!$B:$B,'ERROR SUMMARRY'!$B230)</f>
        <v>0</v>
      </c>
      <c r="E230" s="461">
        <f>COUNTIFS(Disbursements!$AU:$AU,"Ok",Disbursements!$B:$B,'ERROR SUMMARRY'!$B230)</f>
        <v>1</v>
      </c>
    </row>
    <row r="231" spans="1:5" x14ac:dyDescent="0.2">
      <c r="A231" s="38" t="str">
        <f>VLOOKUP(B231,'Clients-Live'!$A:$C,3,0)</f>
        <v>ANITE AGNES</v>
      </c>
      <c r="B231" s="477">
        <v>254</v>
      </c>
      <c r="C231" s="476">
        <v>1</v>
      </c>
      <c r="D231" s="461">
        <f>COUNTIFS(Disbursements!$AU:$AU,'ERROR SUMMARRY'!$D$2,Disbursements!$B:$B,'ERROR SUMMARRY'!$B231)</f>
        <v>0</v>
      </c>
      <c r="E231" s="461">
        <f>COUNTIFS(Disbursements!$AU:$AU,"Ok",Disbursements!$B:$B,'ERROR SUMMARRY'!$B231)</f>
        <v>1</v>
      </c>
    </row>
    <row r="232" spans="1:5" x14ac:dyDescent="0.2">
      <c r="A232" s="38" t="str">
        <f>VLOOKUP(B232,'Clients-Live'!$A:$C,3,0)</f>
        <v>YOBUTA JOHN</v>
      </c>
      <c r="B232" s="477">
        <v>255</v>
      </c>
      <c r="C232" s="476">
        <v>1</v>
      </c>
      <c r="D232" s="461">
        <f>COUNTIFS(Disbursements!$AU:$AU,'ERROR SUMMARRY'!$D$2,Disbursements!$B:$B,'ERROR SUMMARRY'!$B232)</f>
        <v>0</v>
      </c>
      <c r="E232" s="461">
        <f>COUNTIFS(Disbursements!$AU:$AU,"Ok",Disbursements!$B:$B,'ERROR SUMMARRY'!$B232)</f>
        <v>1</v>
      </c>
    </row>
    <row r="233" spans="1:5" x14ac:dyDescent="0.2">
      <c r="A233" s="38" t="str">
        <f>VLOOKUP(B233,'Clients-Live'!$A:$C,3,0)</f>
        <v>CHANDIGA CYRUS</v>
      </c>
      <c r="B233" s="477">
        <v>257</v>
      </c>
      <c r="C233" s="476">
        <v>2</v>
      </c>
      <c r="D233" s="461">
        <f>COUNTIFS(Disbursements!$AU:$AU,'ERROR SUMMARRY'!$D$2,Disbursements!$B:$B,'ERROR SUMMARRY'!$B233)</f>
        <v>0</v>
      </c>
      <c r="E233" s="461">
        <f>COUNTIFS(Disbursements!$AU:$AU,"Ok",Disbursements!$B:$B,'ERROR SUMMARRY'!$B233)</f>
        <v>2</v>
      </c>
    </row>
    <row r="234" spans="1:5" x14ac:dyDescent="0.2">
      <c r="A234" s="38" t="str">
        <f>VLOOKUP(B234,'Clients-Live'!$A:$C,3,0)</f>
        <v>SALAMA GIFT</v>
      </c>
      <c r="B234" s="477">
        <v>259</v>
      </c>
      <c r="C234" s="476">
        <v>1</v>
      </c>
      <c r="D234" s="461">
        <f>COUNTIFS(Disbursements!$AU:$AU,'ERROR SUMMARRY'!$D$2,Disbursements!$B:$B,'ERROR SUMMARRY'!$B234)</f>
        <v>0</v>
      </c>
      <c r="E234" s="461">
        <f>COUNTIFS(Disbursements!$AU:$AU,"Ok",Disbursements!$B:$B,'ERROR SUMMARRY'!$B234)</f>
        <v>1</v>
      </c>
    </row>
    <row r="235" spans="1:5" x14ac:dyDescent="0.2">
      <c r="A235" s="38" t="str">
        <f>VLOOKUP(B235,'Clients-Live'!$A:$C,3,0)</f>
        <v>ATAYI GRACE</v>
      </c>
      <c r="B235" s="477">
        <v>260</v>
      </c>
      <c r="C235" s="476">
        <v>2</v>
      </c>
      <c r="D235" s="461">
        <f>COUNTIFS(Disbursements!$AU:$AU,'ERROR SUMMARRY'!$D$2,Disbursements!$B:$B,'ERROR SUMMARRY'!$B235)</f>
        <v>0</v>
      </c>
      <c r="E235" s="461">
        <f>COUNTIFS(Disbursements!$AU:$AU,"Ok",Disbursements!$B:$B,'ERROR SUMMARRY'!$B235)</f>
        <v>2</v>
      </c>
    </row>
    <row r="236" spans="1:5" x14ac:dyDescent="0.2">
      <c r="A236" s="38" t="str">
        <f>VLOOKUP(B236,'Clients-Live'!$A:$C,3,0)</f>
        <v>AMANIYO STELLA</v>
      </c>
      <c r="B236" s="477">
        <v>261</v>
      </c>
      <c r="C236" s="476">
        <v>2</v>
      </c>
      <c r="D236" s="461">
        <f>COUNTIFS(Disbursements!$AU:$AU,'ERROR SUMMARRY'!$D$2,Disbursements!$B:$B,'ERROR SUMMARRY'!$B236)</f>
        <v>0</v>
      </c>
      <c r="E236" s="461">
        <f>COUNTIFS(Disbursements!$AU:$AU,"Ok",Disbursements!$B:$B,'ERROR SUMMARRY'!$B236)</f>
        <v>2</v>
      </c>
    </row>
    <row r="237" spans="1:5" x14ac:dyDescent="0.2">
      <c r="A237" s="38" t="str">
        <f>VLOOKUP(B237,'Clients-Live'!$A:$C,3,0)</f>
        <v>ALONE ZAITUN</v>
      </c>
      <c r="B237" s="477">
        <v>262</v>
      </c>
      <c r="C237" s="476">
        <v>1</v>
      </c>
      <c r="D237" s="461">
        <f>COUNTIFS(Disbursements!$AU:$AU,'ERROR SUMMARRY'!$D$2,Disbursements!$B:$B,'ERROR SUMMARRY'!$B237)</f>
        <v>0</v>
      </c>
      <c r="E237" s="461">
        <f>COUNTIFS(Disbursements!$AU:$AU,"Ok",Disbursements!$B:$B,'ERROR SUMMARRY'!$B237)</f>
        <v>1</v>
      </c>
    </row>
    <row r="238" spans="1:5" x14ac:dyDescent="0.2">
      <c r="A238" s="38" t="str">
        <f>VLOOKUP(B238,'Clients-Live'!$A:$C,3,0)</f>
        <v>DATA SAFI DUIKI</v>
      </c>
      <c r="B238" s="477">
        <v>263</v>
      </c>
      <c r="C238" s="476">
        <v>1</v>
      </c>
      <c r="D238" s="461">
        <f>COUNTIFS(Disbursements!$AU:$AU,'ERROR SUMMARRY'!$D$2,Disbursements!$B:$B,'ERROR SUMMARRY'!$B238)</f>
        <v>0</v>
      </c>
      <c r="E238" s="461">
        <f>COUNTIFS(Disbursements!$AU:$AU,"Ok",Disbursements!$B:$B,'ERROR SUMMARRY'!$B238)</f>
        <v>1</v>
      </c>
    </row>
    <row r="239" spans="1:5" x14ac:dyDescent="0.2">
      <c r="A239" s="38" t="str">
        <f>VLOOKUP(B239,'Clients-Live'!$A:$C,3,0)</f>
        <v>AMORI JOHN BAPTIST</v>
      </c>
      <c r="B239" s="477">
        <v>264</v>
      </c>
      <c r="C239" s="476">
        <v>1</v>
      </c>
      <c r="D239" s="461">
        <f>COUNTIFS(Disbursements!$AU:$AU,'ERROR SUMMARRY'!$D$2,Disbursements!$B:$B,'ERROR SUMMARRY'!$B239)</f>
        <v>0</v>
      </c>
      <c r="E239" s="461">
        <f>COUNTIFS(Disbursements!$AU:$AU,"Ok",Disbursements!$B:$B,'ERROR SUMMARRY'!$B239)</f>
        <v>1</v>
      </c>
    </row>
    <row r="240" spans="1:5" x14ac:dyDescent="0.2">
      <c r="A240" s="38" t="str">
        <f>VLOOKUP(B240,'Clients-Live'!$A:$C,3,0)</f>
        <v>OCATRE CHARLES</v>
      </c>
      <c r="B240" s="477">
        <v>265</v>
      </c>
      <c r="C240" s="476">
        <v>2</v>
      </c>
      <c r="D240" s="461">
        <f>COUNTIFS(Disbursements!$AU:$AU,'ERROR SUMMARRY'!$D$2,Disbursements!$B:$B,'ERROR SUMMARRY'!$B240)</f>
        <v>0</v>
      </c>
      <c r="E240" s="461">
        <f>COUNTIFS(Disbursements!$AU:$AU,"Ok",Disbursements!$B:$B,'ERROR SUMMARRY'!$B240)</f>
        <v>2</v>
      </c>
    </row>
    <row r="241" spans="1:5" x14ac:dyDescent="0.2">
      <c r="A241" s="38" t="str">
        <f>VLOOKUP(B241,'Clients-Live'!$A:$C,3,0)</f>
        <v>TAIBO AMANA</v>
      </c>
      <c r="B241" s="477">
        <v>266</v>
      </c>
      <c r="C241" s="476">
        <v>1</v>
      </c>
      <c r="D241" s="461">
        <f>COUNTIFS(Disbursements!$AU:$AU,'ERROR SUMMARRY'!$D$2,Disbursements!$B:$B,'ERROR SUMMARRY'!$B241)</f>
        <v>0</v>
      </c>
      <c r="E241" s="461">
        <f>COUNTIFS(Disbursements!$AU:$AU,"Ok",Disbursements!$B:$B,'ERROR SUMMARRY'!$B241)</f>
        <v>1</v>
      </c>
    </row>
    <row r="242" spans="1:5" x14ac:dyDescent="0.2">
      <c r="A242" s="38" t="str">
        <f>VLOOKUP(B242,'Clients-Live'!$A:$C,3,0)</f>
        <v>KAMUSIRI JULIUS</v>
      </c>
      <c r="B242" s="477">
        <v>267</v>
      </c>
      <c r="C242" s="476">
        <v>1</v>
      </c>
      <c r="D242" s="461">
        <f>COUNTIFS(Disbursements!$AU:$AU,'ERROR SUMMARRY'!$D$2,Disbursements!$B:$B,'ERROR SUMMARRY'!$B242)</f>
        <v>0</v>
      </c>
      <c r="E242" s="461">
        <f>COUNTIFS(Disbursements!$AU:$AU,"Ok",Disbursements!$B:$B,'ERROR SUMMARRY'!$B242)</f>
        <v>1</v>
      </c>
    </row>
    <row r="243" spans="1:5" x14ac:dyDescent="0.2">
      <c r="A243" s="38" t="str">
        <f>VLOOKUP(B243,'Clients-Live'!$A:$C,3,0)</f>
        <v>YANYA ROBINA</v>
      </c>
      <c r="B243" s="477">
        <v>269</v>
      </c>
      <c r="C243" s="476">
        <v>2</v>
      </c>
      <c r="D243" s="461">
        <f>COUNTIFS(Disbursements!$AU:$AU,'ERROR SUMMARRY'!$D$2,Disbursements!$B:$B,'ERROR SUMMARRY'!$B243)</f>
        <v>0</v>
      </c>
      <c r="E243" s="461">
        <f>COUNTIFS(Disbursements!$AU:$AU,"Ok",Disbursements!$B:$B,'ERROR SUMMARRY'!$B243)</f>
        <v>2</v>
      </c>
    </row>
    <row r="244" spans="1:5" x14ac:dyDescent="0.2">
      <c r="A244" s="38" t="str">
        <f>VLOOKUP(B244,'Clients-Live'!$A:$C,3,0)</f>
        <v>AJOBE SAMUEL</v>
      </c>
      <c r="B244" s="477">
        <v>270</v>
      </c>
      <c r="C244" s="476">
        <v>2</v>
      </c>
      <c r="D244" s="461">
        <f>COUNTIFS(Disbursements!$AU:$AU,'ERROR SUMMARRY'!$D$2,Disbursements!$B:$B,'ERROR SUMMARRY'!$B244)</f>
        <v>0</v>
      </c>
      <c r="E244" s="461">
        <f>COUNTIFS(Disbursements!$AU:$AU,"Ok",Disbursements!$B:$B,'ERROR SUMMARRY'!$B244)</f>
        <v>2</v>
      </c>
    </row>
    <row r="245" spans="1:5" x14ac:dyDescent="0.2">
      <c r="A245" s="38" t="str">
        <f>VLOOKUP(B245,'Clients-Live'!$A:$C,3,0)</f>
        <v>ALORO SAIDI</v>
      </c>
      <c r="B245" s="477">
        <v>271</v>
      </c>
      <c r="C245" s="476">
        <v>1</v>
      </c>
      <c r="D245" s="461">
        <f>COUNTIFS(Disbursements!$AU:$AU,'ERROR SUMMARRY'!$D$2,Disbursements!$B:$B,'ERROR SUMMARRY'!$B245)</f>
        <v>0</v>
      </c>
      <c r="E245" s="461">
        <f>COUNTIFS(Disbursements!$AU:$AU,"Ok",Disbursements!$B:$B,'ERROR SUMMARRY'!$B245)</f>
        <v>1</v>
      </c>
    </row>
    <row r="246" spans="1:5" x14ac:dyDescent="0.2">
      <c r="A246" s="38" t="str">
        <f>VLOOKUP(B246,'Clients-Live'!$A:$C,3,0)</f>
        <v>AFEKU EMMANUEL</v>
      </c>
      <c r="B246" s="477">
        <v>272</v>
      </c>
      <c r="C246" s="476">
        <v>2</v>
      </c>
      <c r="D246" s="461">
        <f>COUNTIFS(Disbursements!$AU:$AU,'ERROR SUMMARRY'!$D$2,Disbursements!$B:$B,'ERROR SUMMARRY'!$B246)</f>
        <v>0</v>
      </c>
      <c r="E246" s="461">
        <f>COUNTIFS(Disbursements!$AU:$AU,"Ok",Disbursements!$B:$B,'ERROR SUMMARRY'!$B246)</f>
        <v>2</v>
      </c>
    </row>
    <row r="247" spans="1:5" x14ac:dyDescent="0.2">
      <c r="A247" s="38" t="str">
        <f>VLOOKUP(B247,'Clients-Live'!$A:$C,3,0)</f>
        <v>MANDELA SWAIBU</v>
      </c>
      <c r="B247" s="477">
        <v>276</v>
      </c>
      <c r="C247" s="476">
        <v>1</v>
      </c>
      <c r="D247" s="461">
        <f>COUNTIFS(Disbursements!$AU:$AU,'ERROR SUMMARRY'!$D$2,Disbursements!$B:$B,'ERROR SUMMARRY'!$B247)</f>
        <v>0</v>
      </c>
      <c r="E247" s="461">
        <f>COUNTIFS(Disbursements!$AU:$AU,"Ok",Disbursements!$B:$B,'ERROR SUMMARRY'!$B247)</f>
        <v>1</v>
      </c>
    </row>
    <row r="248" spans="1:5" x14ac:dyDescent="0.2">
      <c r="A248" s="38" t="str">
        <f>VLOOKUP(B248,'Clients-Live'!$A:$C,3,0)</f>
        <v>WAYI DAVID</v>
      </c>
      <c r="B248" s="477">
        <v>277</v>
      </c>
      <c r="C248" s="476">
        <v>1</v>
      </c>
      <c r="D248" s="461">
        <f>COUNTIFS(Disbursements!$AU:$AU,'ERROR SUMMARRY'!$D$2,Disbursements!$B:$B,'ERROR SUMMARRY'!$B248)</f>
        <v>0</v>
      </c>
      <c r="E248" s="461">
        <f>COUNTIFS(Disbursements!$AU:$AU,"Ok",Disbursements!$B:$B,'ERROR SUMMARRY'!$B248)</f>
        <v>1</v>
      </c>
    </row>
    <row r="249" spans="1:5" x14ac:dyDescent="0.2">
      <c r="A249" s="38" t="str">
        <f>VLOOKUP(B249,'Clients-Live'!$A:$C,3,0)</f>
        <v>AATE SUZAN</v>
      </c>
      <c r="B249" s="477">
        <v>278</v>
      </c>
      <c r="C249" s="476">
        <v>1</v>
      </c>
      <c r="D249" s="461">
        <f>COUNTIFS(Disbursements!$AU:$AU,'ERROR SUMMARRY'!$D$2,Disbursements!$B:$B,'ERROR SUMMARRY'!$B249)</f>
        <v>0</v>
      </c>
      <c r="E249" s="461">
        <f>COUNTIFS(Disbursements!$AU:$AU,"Ok",Disbursements!$B:$B,'ERROR SUMMARRY'!$B249)</f>
        <v>1</v>
      </c>
    </row>
    <row r="250" spans="1:5" x14ac:dyDescent="0.2">
      <c r="A250" s="38" t="str">
        <f>VLOOKUP(B250,'Clients-Live'!$A:$C,3,0)</f>
        <v>BAKO ZUBEDA</v>
      </c>
      <c r="B250" s="477">
        <v>281</v>
      </c>
      <c r="C250" s="476">
        <v>1</v>
      </c>
      <c r="D250" s="461">
        <f>COUNTIFS(Disbursements!$AU:$AU,'ERROR SUMMARRY'!$D$2,Disbursements!$B:$B,'ERROR SUMMARRY'!$B250)</f>
        <v>0</v>
      </c>
      <c r="E250" s="461">
        <f>COUNTIFS(Disbursements!$AU:$AU,"Ok",Disbursements!$B:$B,'ERROR SUMMARRY'!$B250)</f>
        <v>1</v>
      </c>
    </row>
    <row r="251" spans="1:5" x14ac:dyDescent="0.2">
      <c r="A251" s="38" t="str">
        <f>VLOOKUP(B251,'Clients-Live'!$A:$C,3,0)</f>
        <v>MALISH WAWASON</v>
      </c>
      <c r="B251" s="477">
        <v>284</v>
      </c>
      <c r="C251" s="476">
        <v>1</v>
      </c>
      <c r="D251" s="461">
        <f>COUNTIFS(Disbursements!$AU:$AU,'ERROR SUMMARRY'!$D$2,Disbursements!$B:$B,'ERROR SUMMARRY'!$B251)</f>
        <v>0</v>
      </c>
      <c r="E251" s="461">
        <f>COUNTIFS(Disbursements!$AU:$AU,"Ok",Disbursements!$B:$B,'ERROR SUMMARRY'!$B251)</f>
        <v>1</v>
      </c>
    </row>
    <row r="252" spans="1:5" x14ac:dyDescent="0.2">
      <c r="A252" s="38" t="str">
        <f>VLOOKUP(B252,'Clients-Live'!$A:$C,3,0)</f>
        <v>DIRIA IRENE</v>
      </c>
      <c r="B252" s="477">
        <v>286</v>
      </c>
      <c r="C252" s="476">
        <v>1</v>
      </c>
      <c r="D252" s="461">
        <f>COUNTIFS(Disbursements!$AU:$AU,'ERROR SUMMARRY'!$D$2,Disbursements!$B:$B,'ERROR SUMMARRY'!$B252)</f>
        <v>0</v>
      </c>
      <c r="E252" s="461">
        <f>COUNTIFS(Disbursements!$AU:$AU,"Ok",Disbursements!$B:$B,'ERROR SUMMARRY'!$B252)</f>
        <v>1</v>
      </c>
    </row>
    <row r="253" spans="1:5" x14ac:dyDescent="0.2">
      <c r="A253" s="38" t="str">
        <f>VLOOKUP(B253,'Clients-Live'!$A:$C,3,0)</f>
        <v>FAITH JOSEPHINE</v>
      </c>
      <c r="B253" s="477">
        <v>287</v>
      </c>
      <c r="C253" s="476">
        <v>2</v>
      </c>
      <c r="D253" s="461">
        <f>COUNTIFS(Disbursements!$AU:$AU,'ERROR SUMMARRY'!$D$2,Disbursements!$B:$B,'ERROR SUMMARRY'!$B253)</f>
        <v>0</v>
      </c>
      <c r="E253" s="461">
        <f>COUNTIFS(Disbursements!$AU:$AU,"Ok",Disbursements!$B:$B,'ERROR SUMMARRY'!$B253)</f>
        <v>2</v>
      </c>
    </row>
    <row r="254" spans="1:5" x14ac:dyDescent="0.2">
      <c r="A254" s="38" t="str">
        <f>VLOOKUP(B254,'Clients-Live'!$A:$C,3,0)</f>
        <v>MITU LAWRENCE</v>
      </c>
      <c r="B254" s="477">
        <v>288</v>
      </c>
      <c r="C254" s="476">
        <v>1</v>
      </c>
      <c r="D254" s="461">
        <f>COUNTIFS(Disbursements!$AU:$AU,'ERROR SUMMARRY'!$D$2,Disbursements!$B:$B,'ERROR SUMMARRY'!$B254)</f>
        <v>0</v>
      </c>
      <c r="E254" s="461">
        <f>COUNTIFS(Disbursements!$AU:$AU,"Ok",Disbursements!$B:$B,'ERROR SUMMARRY'!$B254)</f>
        <v>1</v>
      </c>
    </row>
    <row r="255" spans="1:5" x14ac:dyDescent="0.2">
      <c r="A255" s="38" t="str">
        <f>VLOOKUP(B255,'Clients-Live'!$A:$C,3,0)</f>
        <v>NAUME NIGHT</v>
      </c>
      <c r="B255" s="477">
        <v>289</v>
      </c>
      <c r="C255" s="476">
        <v>2</v>
      </c>
      <c r="D255" s="461">
        <f>COUNTIFS(Disbursements!$AU:$AU,'ERROR SUMMARRY'!$D$2,Disbursements!$B:$B,'ERROR SUMMARRY'!$B255)</f>
        <v>0</v>
      </c>
      <c r="E255" s="461">
        <f>COUNTIFS(Disbursements!$AU:$AU,"Ok",Disbursements!$B:$B,'ERROR SUMMARRY'!$B255)</f>
        <v>2</v>
      </c>
    </row>
    <row r="256" spans="1:5" x14ac:dyDescent="0.2">
      <c r="A256" s="38" t="str">
        <f>VLOOKUP(B256,'Clients-Live'!$A:$C,3,0)</f>
        <v>LEMAKU SWAIB</v>
      </c>
      <c r="B256" s="477">
        <v>291</v>
      </c>
      <c r="C256" s="476">
        <v>2</v>
      </c>
      <c r="D256" s="461">
        <f>COUNTIFS(Disbursements!$AU:$AU,'ERROR SUMMARRY'!$D$2,Disbursements!$B:$B,'ERROR SUMMARRY'!$B256)</f>
        <v>0</v>
      </c>
      <c r="E256" s="461">
        <f>COUNTIFS(Disbursements!$AU:$AU,"Ok",Disbursements!$B:$B,'ERROR SUMMARRY'!$B256)</f>
        <v>2</v>
      </c>
    </row>
    <row r="257" spans="1:5" x14ac:dyDescent="0.2">
      <c r="A257" s="38" t="str">
        <f>VLOOKUP(B257,'Clients-Live'!$A:$C,3,0)</f>
        <v>AFEKU DENIS</v>
      </c>
      <c r="B257" s="477">
        <v>292</v>
      </c>
      <c r="C257" s="476">
        <v>1</v>
      </c>
      <c r="D257" s="461">
        <f>COUNTIFS(Disbursements!$AU:$AU,'ERROR SUMMARRY'!$D$2,Disbursements!$B:$B,'ERROR SUMMARRY'!$B257)</f>
        <v>0</v>
      </c>
      <c r="E257" s="461">
        <f>COUNTIFS(Disbursements!$AU:$AU,"Ok",Disbursements!$B:$B,'ERROR SUMMARRY'!$B257)</f>
        <v>1</v>
      </c>
    </row>
    <row r="258" spans="1:5" x14ac:dyDescent="0.2">
      <c r="A258" s="38" t="str">
        <f>VLOOKUP(B258,'Clients-Live'!$A:$C,3,0)</f>
        <v>ABIYO RICHARD ENAKU</v>
      </c>
      <c r="B258" s="477">
        <v>295</v>
      </c>
      <c r="C258" s="476">
        <v>1</v>
      </c>
      <c r="D258" s="461">
        <f>COUNTIFS(Disbursements!$AU:$AU,'ERROR SUMMARRY'!$D$2,Disbursements!$B:$B,'ERROR SUMMARRY'!$B258)</f>
        <v>0</v>
      </c>
      <c r="E258" s="461">
        <f>COUNTIFS(Disbursements!$AU:$AU,"Ok",Disbursements!$B:$B,'ERROR SUMMARRY'!$B258)</f>
        <v>1</v>
      </c>
    </row>
    <row r="259" spans="1:5" x14ac:dyDescent="0.2">
      <c r="A259" s="38" t="str">
        <f>VLOOKUP(B259,'Clients-Live'!$A:$C,3,0)</f>
        <v>AYA ZAINABU</v>
      </c>
      <c r="B259" s="477">
        <v>300</v>
      </c>
      <c r="C259" s="476">
        <v>1</v>
      </c>
      <c r="D259" s="461">
        <f>COUNTIFS(Disbursements!$AU:$AU,'ERROR SUMMARRY'!$D$2,Disbursements!$B:$B,'ERROR SUMMARRY'!$B259)</f>
        <v>0</v>
      </c>
      <c r="E259" s="461">
        <f>COUNTIFS(Disbursements!$AU:$AU,"Ok",Disbursements!$B:$B,'ERROR SUMMARRY'!$B259)</f>
        <v>1</v>
      </c>
    </row>
    <row r="260" spans="1:5" x14ac:dyDescent="0.2">
      <c r="A260" s="38" t="str">
        <f>VLOOKUP(B260,'Clients-Live'!$A:$C,3,0)</f>
        <v>MAYANJA DAVID</v>
      </c>
      <c r="B260" s="477">
        <v>301</v>
      </c>
      <c r="C260" s="476">
        <v>1</v>
      </c>
      <c r="D260" s="461">
        <f>COUNTIFS(Disbursements!$AU:$AU,'ERROR SUMMARRY'!$D$2,Disbursements!$B:$B,'ERROR SUMMARRY'!$B260)</f>
        <v>0</v>
      </c>
      <c r="E260" s="461">
        <f>COUNTIFS(Disbursements!$AU:$AU,"Ok",Disbursements!$B:$B,'ERROR SUMMARRY'!$B260)</f>
        <v>1</v>
      </c>
    </row>
    <row r="261" spans="1:5" x14ac:dyDescent="0.2">
      <c r="A261" s="38" t="str">
        <f>VLOOKUP(B261,'Clients-Live'!$A:$C,3,0)</f>
        <v>APAYI DOROTHY</v>
      </c>
      <c r="B261" s="477">
        <v>303</v>
      </c>
      <c r="C261" s="476">
        <v>1</v>
      </c>
      <c r="D261" s="461">
        <f>COUNTIFS(Disbursements!$AU:$AU,'ERROR SUMMARRY'!$D$2,Disbursements!$B:$B,'ERROR SUMMARRY'!$B261)</f>
        <v>0</v>
      </c>
      <c r="E261" s="461">
        <f>COUNTIFS(Disbursements!$AU:$AU,"Ok",Disbursements!$B:$B,'ERROR SUMMARRY'!$B261)</f>
        <v>1</v>
      </c>
    </row>
    <row r="262" spans="1:5" x14ac:dyDescent="0.2">
      <c r="A262" s="38" t="str">
        <f>VLOOKUP(B262,'Clients-Live'!$A:$C,3,0)</f>
        <v>ATAKO GLORIA</v>
      </c>
      <c r="B262" s="477">
        <v>304</v>
      </c>
      <c r="C262" s="476">
        <v>2</v>
      </c>
      <c r="D262" s="461">
        <f>COUNTIFS(Disbursements!$AU:$AU,'ERROR SUMMARRY'!$D$2,Disbursements!$B:$B,'ERROR SUMMARRY'!$B262)</f>
        <v>0</v>
      </c>
      <c r="E262" s="461">
        <f>COUNTIFS(Disbursements!$AU:$AU,"Ok",Disbursements!$B:$B,'ERROR SUMMARRY'!$B262)</f>
        <v>2</v>
      </c>
    </row>
    <row r="263" spans="1:5" x14ac:dyDescent="0.2">
      <c r="A263" s="38" t="str">
        <f>VLOOKUP(B263,'Clients-Live'!$A:$C,3,0)</f>
        <v>ANDIKU KALOLI</v>
      </c>
      <c r="B263" s="477">
        <v>305</v>
      </c>
      <c r="C263" s="476">
        <v>1</v>
      </c>
      <c r="D263" s="461">
        <f>COUNTIFS(Disbursements!$AU:$AU,'ERROR SUMMARRY'!$D$2,Disbursements!$B:$B,'ERROR SUMMARRY'!$B263)</f>
        <v>0</v>
      </c>
      <c r="E263" s="461">
        <f>COUNTIFS(Disbursements!$AU:$AU,"Ok",Disbursements!$B:$B,'ERROR SUMMARRY'!$B263)</f>
        <v>1</v>
      </c>
    </row>
    <row r="264" spans="1:5" x14ac:dyDescent="0.2">
      <c r="A264" s="38" t="str">
        <f>VLOOKUP(B264,'Clients-Live'!$A:$C,3,0)</f>
        <v>DEPAYA MARY</v>
      </c>
      <c r="B264" s="477">
        <v>306</v>
      </c>
      <c r="C264" s="476">
        <v>1</v>
      </c>
      <c r="D264" s="461">
        <f>COUNTIFS(Disbursements!$AU:$AU,'ERROR SUMMARRY'!$D$2,Disbursements!$B:$B,'ERROR SUMMARRY'!$B264)</f>
        <v>0</v>
      </c>
      <c r="E264" s="461">
        <f>COUNTIFS(Disbursements!$AU:$AU,"Ok",Disbursements!$B:$B,'ERROR SUMMARRY'!$B264)</f>
        <v>1</v>
      </c>
    </row>
    <row r="265" spans="1:5" x14ac:dyDescent="0.2">
      <c r="A265" s="38" t="str">
        <f>VLOOKUP(B265,'Clients-Live'!$A:$C,3,0)</f>
        <v>AYILA CHRISTOPHER</v>
      </c>
      <c r="B265" s="477">
        <v>308</v>
      </c>
      <c r="C265" s="476">
        <v>1</v>
      </c>
      <c r="D265" s="461">
        <f>COUNTIFS(Disbursements!$AU:$AU,'ERROR SUMMARRY'!$D$2,Disbursements!$B:$B,'ERROR SUMMARRY'!$B265)</f>
        <v>0</v>
      </c>
      <c r="E265" s="461">
        <f>COUNTIFS(Disbursements!$AU:$AU,"Ok",Disbursements!$B:$B,'ERROR SUMMARRY'!$B265)</f>
        <v>1</v>
      </c>
    </row>
    <row r="266" spans="1:5" x14ac:dyDescent="0.2">
      <c r="A266" s="38" t="str">
        <f>VLOOKUP(B266,'Clients-Live'!$A:$C,3,0)</f>
        <v>NAMBOZO HALIMA</v>
      </c>
      <c r="B266" s="477">
        <v>309</v>
      </c>
      <c r="C266" s="476">
        <v>2</v>
      </c>
      <c r="D266" s="461">
        <f>COUNTIFS(Disbursements!$AU:$AU,'ERROR SUMMARRY'!$D$2,Disbursements!$B:$B,'ERROR SUMMARRY'!$B266)</f>
        <v>0</v>
      </c>
      <c r="E266" s="461">
        <f>COUNTIFS(Disbursements!$AU:$AU,"Ok",Disbursements!$B:$B,'ERROR SUMMARRY'!$B266)</f>
        <v>2</v>
      </c>
    </row>
    <row r="267" spans="1:5" x14ac:dyDescent="0.2">
      <c r="A267" s="38" t="str">
        <f>VLOOKUP(B267,'Clients-Live'!$A:$C,3,0)</f>
        <v>PATRICK OKUONZI</v>
      </c>
      <c r="B267" s="477">
        <v>311</v>
      </c>
      <c r="C267" s="476">
        <v>3</v>
      </c>
      <c r="D267" s="461">
        <f>COUNTIFS(Disbursements!$AU:$AU,'ERROR SUMMARRY'!$D$2,Disbursements!$B:$B,'ERROR SUMMARRY'!$B267)</f>
        <v>0</v>
      </c>
      <c r="E267" s="461">
        <f>COUNTIFS(Disbursements!$AU:$AU,"Ok",Disbursements!$B:$B,'ERROR SUMMARRY'!$B267)</f>
        <v>3</v>
      </c>
    </row>
    <row r="268" spans="1:5" x14ac:dyDescent="0.2">
      <c r="A268" s="38" t="str">
        <f>VLOOKUP(B268,'Clients-Live'!$A:$C,3,0)</f>
        <v>TWAHA GBAGBE</v>
      </c>
      <c r="B268" s="477">
        <v>313</v>
      </c>
      <c r="C268" s="476">
        <v>1</v>
      </c>
      <c r="D268" s="461">
        <f>COUNTIFS(Disbursements!$AU:$AU,'ERROR SUMMARRY'!$D$2,Disbursements!$B:$B,'ERROR SUMMARRY'!$B268)</f>
        <v>0</v>
      </c>
      <c r="E268" s="461">
        <f>COUNTIFS(Disbursements!$AU:$AU,"Ok",Disbursements!$B:$B,'ERROR SUMMARRY'!$B268)</f>
        <v>1</v>
      </c>
    </row>
    <row r="269" spans="1:5" x14ac:dyDescent="0.2">
      <c r="A269" s="38" t="str">
        <f>VLOOKUP(B269,'Clients-Live'!$A:$C,3,0)</f>
        <v>SHAMIM ALIGAH</v>
      </c>
      <c r="B269" s="477">
        <v>314</v>
      </c>
      <c r="C269" s="476">
        <v>3</v>
      </c>
      <c r="D269" s="461">
        <f>COUNTIFS(Disbursements!$AU:$AU,'ERROR SUMMARRY'!$D$2,Disbursements!$B:$B,'ERROR SUMMARRY'!$B269)</f>
        <v>0</v>
      </c>
      <c r="E269" s="461">
        <f>COUNTIFS(Disbursements!$AU:$AU,"Ok",Disbursements!$B:$B,'ERROR SUMMARRY'!$B269)</f>
        <v>3</v>
      </c>
    </row>
    <row r="270" spans="1:5" x14ac:dyDescent="0.2">
      <c r="A270" s="38" t="str">
        <f>VLOOKUP(B270,'Clients-Live'!$A:$C,3,0)</f>
        <v>DRIWARU JANE</v>
      </c>
      <c r="B270" s="477">
        <v>317</v>
      </c>
      <c r="C270" s="476">
        <v>1</v>
      </c>
      <c r="D270" s="461">
        <f>COUNTIFS(Disbursements!$AU:$AU,'ERROR SUMMARRY'!$D$2,Disbursements!$B:$B,'ERROR SUMMARRY'!$B270)</f>
        <v>0</v>
      </c>
      <c r="E270" s="461">
        <f>COUNTIFS(Disbursements!$AU:$AU,"Ok",Disbursements!$B:$B,'ERROR SUMMARRY'!$B270)</f>
        <v>1</v>
      </c>
    </row>
    <row r="271" spans="1:5" x14ac:dyDescent="0.2">
      <c r="A271" s="38" t="str">
        <f>VLOOKUP(B271,'Clients-Live'!$A:$C,3,0)</f>
        <v>ARUBE PETER</v>
      </c>
      <c r="B271" s="477">
        <v>318</v>
      </c>
      <c r="C271" s="476">
        <v>1</v>
      </c>
      <c r="D271" s="461">
        <f>COUNTIFS(Disbursements!$AU:$AU,'ERROR SUMMARRY'!$D$2,Disbursements!$B:$B,'ERROR SUMMARRY'!$B271)</f>
        <v>0</v>
      </c>
      <c r="E271" s="461">
        <f>COUNTIFS(Disbursements!$AU:$AU,"Ok",Disbursements!$B:$B,'ERROR SUMMARRY'!$B271)</f>
        <v>1</v>
      </c>
    </row>
    <row r="272" spans="1:5" x14ac:dyDescent="0.2">
      <c r="A272" s="38" t="str">
        <f>VLOOKUP(B272,'Clients-Live'!$A:$C,3,0)</f>
        <v>ANDERU MONICA</v>
      </c>
      <c r="B272" s="477">
        <v>321</v>
      </c>
      <c r="C272" s="476">
        <v>2</v>
      </c>
      <c r="D272" s="461">
        <f>COUNTIFS(Disbursements!$AU:$AU,'ERROR SUMMARRY'!$D$2,Disbursements!$B:$B,'ERROR SUMMARRY'!$B272)</f>
        <v>0</v>
      </c>
      <c r="E272" s="461">
        <f>COUNTIFS(Disbursements!$AU:$AU,"Ok",Disbursements!$B:$B,'ERROR SUMMARRY'!$B272)</f>
        <v>2</v>
      </c>
    </row>
    <row r="273" spans="1:5" x14ac:dyDescent="0.2">
      <c r="A273" s="38" t="e">
        <f>VLOOKUP(B273,'Clients-Live'!$A:$C,3,0)</f>
        <v>#N/A</v>
      </c>
      <c r="B273" s="477" t="s">
        <v>1432</v>
      </c>
      <c r="C273" s="476"/>
      <c r="D273" s="461">
        <f>COUNTIFS(Disbursements!$AU:$AU,'ERROR SUMMARRY'!$D$2,Disbursements!$B:$B,'ERROR SUMMARRY'!$B273)</f>
        <v>0</v>
      </c>
      <c r="E273" s="461">
        <f>COUNTIFS(Disbursements!$AU:$AU,"Ok",Disbursements!$B:$B,'ERROR SUMMARRY'!$B273)</f>
        <v>0</v>
      </c>
    </row>
    <row r="274" spans="1:5" x14ac:dyDescent="0.2">
      <c r="A274" s="38" t="str">
        <f>VLOOKUP(B274,'Clients-Live'!$A:$C,3,0)</f>
        <v>AJUKI HARRIET</v>
      </c>
      <c r="B274" s="477">
        <v>326</v>
      </c>
      <c r="C274" s="476">
        <v>1</v>
      </c>
      <c r="D274" s="461">
        <f>COUNTIFS(Disbursements!$AU:$AU,'ERROR SUMMARRY'!$D$2,Disbursements!$B:$B,'ERROR SUMMARRY'!$B274)</f>
        <v>0</v>
      </c>
      <c r="E274" s="461">
        <f>COUNTIFS(Disbursements!$AU:$AU,"Ok",Disbursements!$B:$B,'ERROR SUMMARRY'!$B274)</f>
        <v>1</v>
      </c>
    </row>
    <row r="275" spans="1:5" ht="13.5" thickBot="1" x14ac:dyDescent="0.25">
      <c r="A275" s="38" t="str">
        <f>VLOOKUP(B275,'Clients-Live'!$A:$C,3,0)</f>
        <v>MUNGUFENI RAMSEY</v>
      </c>
      <c r="B275" s="477">
        <v>325</v>
      </c>
      <c r="C275" s="476">
        <v>1</v>
      </c>
      <c r="D275" s="463">
        <f>SUM(D4:D274)</f>
        <v>1</v>
      </c>
      <c r="E275" s="463">
        <f>SUM(E4:E274)</f>
        <v>510</v>
      </c>
    </row>
    <row r="276" spans="1:5" x14ac:dyDescent="0.2">
      <c r="B276" s="477">
        <v>328</v>
      </c>
      <c r="C276" s="476">
        <v>2</v>
      </c>
    </row>
    <row r="277" spans="1:5" x14ac:dyDescent="0.2">
      <c r="B277" s="477">
        <v>324</v>
      </c>
      <c r="C277" s="476">
        <v>1</v>
      </c>
    </row>
    <row r="278" spans="1:5" x14ac:dyDescent="0.2">
      <c r="B278" s="477">
        <v>323</v>
      </c>
      <c r="C278" s="476">
        <v>1</v>
      </c>
    </row>
    <row r="279" spans="1:5" x14ac:dyDescent="0.2">
      <c r="B279" s="477">
        <v>329</v>
      </c>
      <c r="C279" s="476">
        <v>2</v>
      </c>
    </row>
    <row r="280" spans="1:5" x14ac:dyDescent="0.2">
      <c r="B280" s="477">
        <v>331</v>
      </c>
      <c r="C280" s="476">
        <v>1</v>
      </c>
    </row>
    <row r="281" spans="1:5" x14ac:dyDescent="0.2">
      <c r="B281" s="477">
        <v>330</v>
      </c>
      <c r="C281" s="476">
        <v>1</v>
      </c>
    </row>
    <row r="282" spans="1:5" x14ac:dyDescent="0.2">
      <c r="B282" s="477">
        <v>336</v>
      </c>
      <c r="C282" s="476">
        <v>1</v>
      </c>
    </row>
    <row r="283" spans="1:5" x14ac:dyDescent="0.2">
      <c r="B283" s="477">
        <v>335</v>
      </c>
      <c r="C283" s="476">
        <v>1</v>
      </c>
    </row>
    <row r="284" spans="1:5" x14ac:dyDescent="0.2">
      <c r="B284" s="477">
        <v>337</v>
      </c>
      <c r="C284" s="476">
        <v>1</v>
      </c>
    </row>
    <row r="285" spans="1:5" x14ac:dyDescent="0.2">
      <c r="B285" s="477">
        <v>333</v>
      </c>
      <c r="C285" s="476">
        <v>1</v>
      </c>
    </row>
    <row r="286" spans="1:5" x14ac:dyDescent="0.2">
      <c r="B286" s="477">
        <v>339</v>
      </c>
      <c r="C286" s="476">
        <v>1</v>
      </c>
    </row>
    <row r="287" spans="1:5" x14ac:dyDescent="0.2">
      <c r="B287" s="477">
        <v>338</v>
      </c>
      <c r="C287" s="476">
        <v>1</v>
      </c>
    </row>
    <row r="288" spans="1:5" x14ac:dyDescent="0.2">
      <c r="B288" s="477">
        <v>340</v>
      </c>
      <c r="C288" s="476">
        <v>1</v>
      </c>
    </row>
    <row r="289" spans="2:3" x14ac:dyDescent="0.2">
      <c r="B289" s="477">
        <v>344</v>
      </c>
      <c r="C289" s="476">
        <v>1</v>
      </c>
    </row>
    <row r="290" spans="2:3" x14ac:dyDescent="0.2">
      <c r="B290" s="477">
        <v>343</v>
      </c>
      <c r="C290" s="476">
        <v>1</v>
      </c>
    </row>
    <row r="291" spans="2:3" x14ac:dyDescent="0.2">
      <c r="B291" s="477">
        <v>345</v>
      </c>
      <c r="C291" s="476">
        <v>1</v>
      </c>
    </row>
    <row r="292" spans="2:3" x14ac:dyDescent="0.2">
      <c r="B292" s="477">
        <v>310</v>
      </c>
      <c r="C292" s="476">
        <v>1</v>
      </c>
    </row>
    <row r="293" spans="2:3" x14ac:dyDescent="0.2">
      <c r="B293" s="477">
        <v>342</v>
      </c>
      <c r="C293" s="476">
        <v>1</v>
      </c>
    </row>
    <row r="294" spans="2:3" x14ac:dyDescent="0.2">
      <c r="B294" s="477">
        <v>346</v>
      </c>
      <c r="C294" s="476">
        <v>1</v>
      </c>
    </row>
    <row r="295" spans="2:3" x14ac:dyDescent="0.2">
      <c r="B295" s="477">
        <v>347</v>
      </c>
      <c r="C295" s="476">
        <v>1</v>
      </c>
    </row>
    <row r="296" spans="2:3" x14ac:dyDescent="0.2">
      <c r="B296" s="477">
        <v>351</v>
      </c>
      <c r="C296" s="476">
        <v>1</v>
      </c>
    </row>
    <row r="297" spans="2:3" x14ac:dyDescent="0.2">
      <c r="B297" s="477">
        <v>355</v>
      </c>
      <c r="C297" s="476">
        <v>1</v>
      </c>
    </row>
    <row r="298" spans="2:3" x14ac:dyDescent="0.2">
      <c r="B298" s="477">
        <v>361</v>
      </c>
      <c r="C298" s="476">
        <v>1</v>
      </c>
    </row>
    <row r="299" spans="2:3" x14ac:dyDescent="0.2">
      <c r="B299" s="477">
        <v>362</v>
      </c>
      <c r="C299" s="476">
        <v>1</v>
      </c>
    </row>
    <row r="300" spans="2:3" x14ac:dyDescent="0.2">
      <c r="B300" s="477">
        <v>354</v>
      </c>
      <c r="C300" s="476">
        <v>1</v>
      </c>
    </row>
    <row r="301" spans="2:3" x14ac:dyDescent="0.2">
      <c r="B301" s="477" t="s">
        <v>1263</v>
      </c>
      <c r="C301" s="476">
        <v>537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-0.249977111117893"/>
  </sheetPr>
  <dimension ref="B1:J53"/>
  <sheetViews>
    <sheetView showGridLines="0" workbookViewId="0">
      <pane ySplit="7" topLeftCell="A8" activePane="bottomLeft" state="frozen"/>
      <selection activeCell="D1" sqref="D1:D1048576"/>
      <selection pane="bottomLeft" activeCell="F19" sqref="F19"/>
    </sheetView>
  </sheetViews>
  <sheetFormatPr defaultRowHeight="12.75" x14ac:dyDescent="0.2"/>
  <cols>
    <col min="1" max="1" width="1.28515625" style="38" customWidth="1"/>
    <col min="2" max="2" width="3.140625" style="38" hidden="1" customWidth="1"/>
    <col min="3" max="3" width="14" style="38" bestFit="1" customWidth="1"/>
    <col min="4" max="4" width="26" style="38" bestFit="1" customWidth="1"/>
    <col min="5" max="5" width="13.7109375" style="38" bestFit="1" customWidth="1"/>
    <col min="6" max="6" width="13.7109375" style="38" customWidth="1"/>
    <col min="7" max="7" width="13.5703125" style="49" bestFit="1" customWidth="1"/>
    <col min="8" max="8" width="14" style="49" bestFit="1" customWidth="1"/>
    <col min="9" max="9" width="13.42578125" style="49" bestFit="1" customWidth="1"/>
    <col min="10" max="10" width="12.85546875" style="49" bestFit="1" customWidth="1"/>
    <col min="11" max="11" width="9.140625" style="38"/>
    <col min="12" max="12" width="26" style="38" bestFit="1" customWidth="1"/>
    <col min="13" max="16384" width="9.140625" style="38"/>
  </cols>
  <sheetData>
    <row r="1" spans="2:10" x14ac:dyDescent="0.2">
      <c r="C1" s="37"/>
      <c r="D1" s="37"/>
      <c r="E1" s="37"/>
      <c r="F1" s="37"/>
      <c r="G1" s="193"/>
      <c r="H1" s="193"/>
      <c r="I1" s="193"/>
      <c r="J1" s="227" t="str">
        <f>IF(J$5=J$7,"Today's Date","")</f>
        <v>Today's Date</v>
      </c>
    </row>
    <row r="2" spans="2:10" x14ac:dyDescent="0.2">
      <c r="C2" s="37"/>
      <c r="D2" s="37"/>
      <c r="E2" s="37"/>
      <c r="F2" s="37"/>
      <c r="G2" s="224" t="s">
        <v>9</v>
      </c>
      <c r="H2" s="193"/>
      <c r="I2" s="193"/>
      <c r="J2" s="226">
        <f ca="1">IF(J5=J7,TODAY(),"")</f>
        <v>45187</v>
      </c>
    </row>
    <row r="3" spans="2:10" x14ac:dyDescent="0.2">
      <c r="C3" s="37"/>
      <c r="D3" s="37"/>
      <c r="E3" s="37"/>
      <c r="F3" s="37"/>
      <c r="G3" s="193"/>
      <c r="H3" s="193"/>
      <c r="I3" s="193"/>
      <c r="J3" s="193"/>
    </row>
    <row r="4" spans="2:10" x14ac:dyDescent="0.2">
      <c r="C4" s="37"/>
      <c r="D4" s="37"/>
      <c r="E4" s="37"/>
      <c r="F4" s="37"/>
      <c r="G4" s="193"/>
      <c r="H4" s="193"/>
      <c r="I4" s="193"/>
      <c r="J4" s="193"/>
    </row>
    <row r="5" spans="2:10" x14ac:dyDescent="0.2">
      <c r="C5" s="37"/>
      <c r="D5" s="37"/>
      <c r="E5" s="37"/>
      <c r="F5" s="655" t="s">
        <v>950</v>
      </c>
      <c r="G5" s="655"/>
      <c r="H5" s="193"/>
      <c r="I5" s="193"/>
      <c r="J5" s="225">
        <f>MAX(7:7)</f>
        <v>44408</v>
      </c>
    </row>
    <row r="6" spans="2:10" x14ac:dyDescent="0.2">
      <c r="C6" s="37"/>
      <c r="D6" s="37"/>
      <c r="E6" s="204">
        <f t="shared" ref="E6:J6" si="0">COLUMN()-3</f>
        <v>2</v>
      </c>
      <c r="F6" s="204">
        <f t="shared" si="0"/>
        <v>3</v>
      </c>
      <c r="G6" s="204">
        <f t="shared" si="0"/>
        <v>4</v>
      </c>
      <c r="H6" s="204">
        <f t="shared" si="0"/>
        <v>5</v>
      </c>
      <c r="I6" s="204">
        <f t="shared" si="0"/>
        <v>6</v>
      </c>
      <c r="J6" s="204">
        <f t="shared" si="0"/>
        <v>7</v>
      </c>
    </row>
    <row r="7" spans="2:10" x14ac:dyDescent="0.2">
      <c r="C7" s="194" t="s">
        <v>715</v>
      </c>
      <c r="D7" s="194" t="s">
        <v>944</v>
      </c>
      <c r="E7" s="195">
        <f>EOMONTH(MIN('Trans-Tracker'!$A:$A),0)</f>
        <v>44255</v>
      </c>
      <c r="F7" s="195">
        <f>EOMONTH(E$7,1)</f>
        <v>44286</v>
      </c>
      <c r="G7" s="195">
        <f>EOMONTH(F$7,1)</f>
        <v>44316</v>
      </c>
      <c r="H7" s="195">
        <f>EOMONTH(G$7,1)</f>
        <v>44347</v>
      </c>
      <c r="I7" s="195">
        <f>EOMONTH(H$7,1)</f>
        <v>44377</v>
      </c>
      <c r="J7" s="195">
        <f>EOMONTH(I$7,1)</f>
        <v>44408</v>
      </c>
    </row>
    <row r="8" spans="2:10" x14ac:dyDescent="0.2">
      <c r="B8" s="38">
        <f>ROW()-6</f>
        <v>2</v>
      </c>
      <c r="C8" s="180" t="s">
        <v>945</v>
      </c>
      <c r="D8" s="180" t="s">
        <v>934</v>
      </c>
      <c r="E8" s="181">
        <f>SUMIFS('Trans-Tracker'!$I:$I,'Trans-Tracker'!$B:$B,'Trial-Bal'!$D8,'Trans-Tracker'!$A:$A,"&lt;="&amp;'Trial-Bal'!E$7)</f>
        <v>0</v>
      </c>
      <c r="F8" s="181">
        <f>SUMIFS('Trans-Tracker'!$I:$I,'Trans-Tracker'!$B:$B,'Trial-Bal'!$D8,'Trans-Tracker'!$A:$A,"&lt;="&amp;'Trial-Bal'!F$7)</f>
        <v>8.7311491370201111E-10</v>
      </c>
      <c r="G8" s="181">
        <f>SUMIFS('Trans-Tracker'!$I:$I,'Trans-Tracker'!$B:$B,'Trial-Bal'!$D8,'Trans-Tracker'!$A:$A,"&lt;="&amp;'Trial-Bal'!G$7)</f>
        <v>-809999.99999999907</v>
      </c>
      <c r="H8" s="181">
        <f>SUMIFS('Trans-Tracker'!$I:$I,'Trans-Tracker'!$B:$B,'Trial-Bal'!$D8,'Trans-Tracker'!$A:$A,"&lt;="&amp;'Trial-Bal'!H$7)</f>
        <v>-809999.99999999907</v>
      </c>
      <c r="I8" s="181">
        <f>SUMIFS('Trans-Tracker'!$I:$I,'Trans-Tracker'!$B:$B,'Trial-Bal'!$D8,'Trans-Tracker'!$A:$A,"&lt;="&amp;'Trial-Bal'!I$7)</f>
        <v>-809999.99999999907</v>
      </c>
      <c r="J8" s="181">
        <f>SUMIFS('Trans-Tracker'!$I:$I,'Trans-Tracker'!$B:$B,'Trial-Bal'!$D8,'Trans-Tracker'!$A:$A,"&lt;="&amp;'Trial-Bal'!J$7)</f>
        <v>-809999.99999999907</v>
      </c>
    </row>
    <row r="9" spans="2:10" x14ac:dyDescent="0.2">
      <c r="B9" s="38">
        <f t="shared" ref="B9:B33" si="1">ROW()-6</f>
        <v>3</v>
      </c>
      <c r="C9" s="180" t="s">
        <v>945</v>
      </c>
      <c r="D9" s="180" t="s">
        <v>679</v>
      </c>
      <c r="E9" s="181">
        <f>SUMIFS('Trans-Tracker'!$I:$I,'Trans-Tracker'!$B:$B,'Trial-Bal'!$D9,'Trans-Tracker'!$A:$A,"&lt;="&amp;'Trial-Bal'!E$7)</f>
        <v>20000000</v>
      </c>
      <c r="F9" s="181">
        <f>SUMIFS('Trans-Tracker'!$I:$I,'Trans-Tracker'!$B:$B,'Trial-Bal'!$D9,'Trans-Tracker'!$A:$A,"&lt;="&amp;'Trial-Bal'!F$7)</f>
        <v>20000000</v>
      </c>
      <c r="G9" s="181">
        <f>SUMIFS('Trans-Tracker'!$I:$I,'Trans-Tracker'!$B:$B,'Trial-Bal'!$D9,'Trans-Tracker'!$A:$A,"&lt;="&amp;'Trial-Bal'!G$7)</f>
        <v>20000000</v>
      </c>
      <c r="H9" s="181">
        <f>SUMIFS('Trans-Tracker'!$I:$I,'Trans-Tracker'!$B:$B,'Trial-Bal'!$D9,'Trans-Tracker'!$A:$A,"&lt;="&amp;'Trial-Bal'!H$7)</f>
        <v>21280000</v>
      </c>
      <c r="I9" s="181">
        <f>SUMIFS('Trans-Tracker'!$I:$I,'Trans-Tracker'!$B:$B,'Trial-Bal'!$D9,'Trans-Tracker'!$A:$A,"&lt;="&amp;'Trial-Bal'!I$7)</f>
        <v>27280000</v>
      </c>
      <c r="J9" s="181">
        <f>SUMIFS('Trans-Tracker'!$I:$I,'Trans-Tracker'!$B:$B,'Trial-Bal'!$D9,'Trans-Tracker'!$A:$A,"&lt;="&amp;'Trial-Bal'!J$7)</f>
        <v>46930000</v>
      </c>
    </row>
    <row r="10" spans="2:10" x14ac:dyDescent="0.2">
      <c r="B10" s="38">
        <f t="shared" si="1"/>
        <v>4</v>
      </c>
      <c r="C10" s="180" t="s">
        <v>945</v>
      </c>
      <c r="D10" s="180" t="s">
        <v>739</v>
      </c>
      <c r="E10" s="181">
        <f>SUMIFS('Trans-Tracker'!$I:$I,'Trans-Tracker'!$B:$B,'Trial-Bal'!$D10,'Trans-Tracker'!$A:$A,"&lt;="&amp;'Trial-Bal'!E$7)</f>
        <v>0</v>
      </c>
      <c r="F10" s="181">
        <f>SUMIFS('Trans-Tracker'!$I:$I,'Trans-Tracker'!$B:$B,'Trial-Bal'!$D10,'Trans-Tracker'!$A:$A,"&lt;="&amp;'Trial-Bal'!F$7)</f>
        <v>0</v>
      </c>
      <c r="G10" s="181">
        <f>SUMIFS('Trans-Tracker'!$I:$I,'Trans-Tracker'!$B:$B,'Trial-Bal'!$D10,'Trans-Tracker'!$A:$A,"&lt;="&amp;'Trial-Bal'!G$7)</f>
        <v>20000000</v>
      </c>
      <c r="H10" s="181">
        <f>SUMIFS('Trans-Tracker'!$I:$I,'Trans-Tracker'!$B:$B,'Trial-Bal'!$D10,'Trans-Tracker'!$A:$A,"&lt;="&amp;'Trial-Bal'!H$7)</f>
        <v>40000000</v>
      </c>
      <c r="I10" s="181">
        <f>SUMIFS('Trans-Tracker'!$I:$I,'Trans-Tracker'!$B:$B,'Trial-Bal'!$D10,'Trans-Tracker'!$A:$A,"&lt;="&amp;'Trial-Bal'!I$7)</f>
        <v>60000000</v>
      </c>
      <c r="J10" s="181">
        <f>SUMIFS('Trans-Tracker'!$I:$I,'Trans-Tracker'!$B:$B,'Trial-Bal'!$D10,'Trans-Tracker'!$A:$A,"&lt;="&amp;'Trial-Bal'!J$7)</f>
        <v>60000000</v>
      </c>
    </row>
    <row r="11" spans="2:10" x14ac:dyDescent="0.2">
      <c r="C11" s="200"/>
      <c r="D11" s="200" t="s">
        <v>963</v>
      </c>
      <c r="E11" s="201"/>
      <c r="F11" s="201"/>
      <c r="G11" s="201"/>
      <c r="H11" s="201"/>
      <c r="I11" s="201"/>
      <c r="J11" s="201"/>
    </row>
    <row r="12" spans="2:10" x14ac:dyDescent="0.2">
      <c r="C12" s="200"/>
      <c r="D12" s="200"/>
      <c r="E12" s="201"/>
      <c r="F12" s="201"/>
      <c r="G12" s="201"/>
      <c r="H12" s="201"/>
      <c r="I12" s="201"/>
      <c r="J12" s="201"/>
    </row>
    <row r="13" spans="2:10" x14ac:dyDescent="0.2">
      <c r="B13" s="38">
        <f t="shared" si="1"/>
        <v>7</v>
      </c>
      <c r="C13" s="182" t="s">
        <v>936</v>
      </c>
      <c r="D13" s="182" t="s">
        <v>718</v>
      </c>
      <c r="E13" s="183">
        <f>-SUMIFS('Trans-Tracker'!$I:$I,'Trans-Tracker'!$E:$E,'Trial-Bal'!$D13,'Trans-Tracker'!$A:$A,"&lt;="&amp;'Trial-Bal'!E$7)</f>
        <v>0</v>
      </c>
      <c r="F13" s="183">
        <f>-SUMIFS('Trans-Tracker'!$I:$I,'Trans-Tracker'!$E:$E,'Trial-Bal'!$D13,'Trans-Tracker'!$A:$A,"&lt;="&amp;'Trial-Bal'!F$7)</f>
        <v>5580000</v>
      </c>
      <c r="G13" s="183">
        <f>-SUMIFS('Trans-Tracker'!$I:$I,'Trans-Tracker'!$E:$E,'Trial-Bal'!$D13,'Trans-Tracker'!$A:$A,"&lt;="&amp;'Trial-Bal'!G$7)</f>
        <v>5703000</v>
      </c>
      <c r="H13" s="183">
        <f>-SUMIFS('Trans-Tracker'!$I:$I,'Trans-Tracker'!$E:$E,'Trial-Bal'!$D13,'Trans-Tracker'!$A:$A,"&lt;="&amp;'Trial-Bal'!H$7)</f>
        <v>5703000</v>
      </c>
      <c r="I13" s="183">
        <f>-SUMIFS('Trans-Tracker'!$I:$I,'Trans-Tracker'!$E:$E,'Trial-Bal'!$D13,'Trans-Tracker'!$A:$A,"&lt;="&amp;'Trial-Bal'!I$7)</f>
        <v>5703000</v>
      </c>
      <c r="J13" s="183">
        <f>-SUMIFS('Trans-Tracker'!$I:$I,'Trans-Tracker'!$E:$E,'Trial-Bal'!$D13,'Trans-Tracker'!$A:$A,"&lt;="&amp;'Trial-Bal'!J$7)</f>
        <v>6053000</v>
      </c>
    </row>
    <row r="14" spans="2:10" x14ac:dyDescent="0.2">
      <c r="B14" s="38">
        <f t="shared" si="1"/>
        <v>8</v>
      </c>
      <c r="C14" s="182" t="s">
        <v>936</v>
      </c>
      <c r="D14" s="182" t="s">
        <v>717</v>
      </c>
      <c r="E14" s="183">
        <f>-SUMIFS('Trans-Tracker'!$I:$I,'Trans-Tracker'!$E:$E,'Trial-Bal'!$D14,'Trans-Tracker'!$A:$A,"&lt;="&amp;'Trial-Bal'!E$7)</f>
        <v>0</v>
      </c>
      <c r="F14" s="183">
        <f>-SUMIFS('Trans-Tracker'!$I:$I,'Trans-Tracker'!$E:$E,'Trial-Bal'!$D14,'Trans-Tracker'!$A:$A,"&lt;="&amp;'Trial-Bal'!F$7)</f>
        <v>1850000</v>
      </c>
      <c r="G14" s="183">
        <f>-SUMIFS('Trans-Tracker'!$I:$I,'Trans-Tracker'!$E:$E,'Trial-Bal'!$D14,'Trans-Tracker'!$A:$A,"&lt;="&amp;'Trial-Bal'!G$7)</f>
        <v>3925000</v>
      </c>
      <c r="H14" s="183">
        <f>-SUMIFS('Trans-Tracker'!$I:$I,'Trans-Tracker'!$E:$E,'Trial-Bal'!$D14,'Trans-Tracker'!$A:$A,"&lt;="&amp;'Trial-Bal'!H$7)</f>
        <v>4152000</v>
      </c>
      <c r="I14" s="183">
        <f>-SUMIFS('Trans-Tracker'!$I:$I,'Trans-Tracker'!$E:$E,'Trial-Bal'!$D14,'Trans-Tracker'!$A:$A,"&lt;="&amp;'Trial-Bal'!I$7)</f>
        <v>4152000</v>
      </c>
      <c r="J14" s="183">
        <f>-SUMIFS('Trans-Tracker'!$I:$I,'Trans-Tracker'!$E:$E,'Trial-Bal'!$D14,'Trans-Tracker'!$A:$A,"&lt;="&amp;'Trial-Bal'!J$7)</f>
        <v>4152000</v>
      </c>
    </row>
    <row r="15" spans="2:10" x14ac:dyDescent="0.2">
      <c r="B15" s="38">
        <f t="shared" si="1"/>
        <v>9</v>
      </c>
      <c r="C15" s="182" t="s">
        <v>936</v>
      </c>
      <c r="D15" s="182" t="s">
        <v>719</v>
      </c>
      <c r="E15" s="183">
        <f>-SUMIFS('Trans-Tracker'!$I:$I,'Trans-Tracker'!$E:$E,'Trial-Bal'!$D15,'Trans-Tracker'!$A:$A,"&lt;="&amp;'Trial-Bal'!E$7)</f>
        <v>0</v>
      </c>
      <c r="F15" s="183">
        <f>-SUMIFS('Trans-Tracker'!$I:$I,'Trans-Tracker'!$E:$E,'Trial-Bal'!$D15,'Trans-Tracker'!$A:$A,"&lt;="&amp;'Trial-Bal'!F$7)</f>
        <v>1880000</v>
      </c>
      <c r="G15" s="183">
        <f>-SUMIFS('Trans-Tracker'!$I:$I,'Trans-Tracker'!$E:$E,'Trial-Bal'!$D15,'Trans-Tracker'!$A:$A,"&lt;="&amp;'Trial-Bal'!G$7)</f>
        <v>1880000</v>
      </c>
      <c r="H15" s="183">
        <f>-SUMIFS('Trans-Tracker'!$I:$I,'Trans-Tracker'!$E:$E,'Trial-Bal'!$D15,'Trans-Tracker'!$A:$A,"&lt;="&amp;'Trial-Bal'!H$7)</f>
        <v>3368000</v>
      </c>
      <c r="I15" s="183">
        <f>-SUMIFS('Trans-Tracker'!$I:$I,'Trans-Tracker'!$E:$E,'Trial-Bal'!$D15,'Trans-Tracker'!$A:$A,"&lt;="&amp;'Trial-Bal'!I$7)</f>
        <v>3368000</v>
      </c>
      <c r="J15" s="183">
        <f>-SUMIFS('Trans-Tracker'!$I:$I,'Trans-Tracker'!$E:$E,'Trial-Bal'!$D15,'Trans-Tracker'!$A:$A,"&lt;="&amp;'Trial-Bal'!J$7)</f>
        <v>3368000</v>
      </c>
    </row>
    <row r="16" spans="2:10" x14ac:dyDescent="0.2">
      <c r="B16" s="38">
        <f t="shared" si="1"/>
        <v>10</v>
      </c>
      <c r="C16" s="182" t="s">
        <v>936</v>
      </c>
      <c r="D16" s="182" t="s">
        <v>735</v>
      </c>
      <c r="E16" s="183">
        <f>-SUMIFS('Trans-Tracker'!$I:$I,'Trans-Tracker'!$E:$E,'Trial-Bal'!$D16,'Trans-Tracker'!$A:$A,"&lt;="&amp;'Trial-Bal'!E$7)</f>
        <v>0</v>
      </c>
      <c r="F16" s="183">
        <f>-SUMIFS('Trans-Tracker'!$I:$I,'Trans-Tracker'!$E:$E,'Trial-Bal'!$D16,'Trans-Tracker'!$A:$A,"&lt;="&amp;'Trial-Bal'!F$7)</f>
        <v>0</v>
      </c>
      <c r="G16" s="183">
        <f>-SUMIFS('Trans-Tracker'!$I:$I,'Trans-Tracker'!$E:$E,'Trial-Bal'!$D16,'Trans-Tracker'!$A:$A,"&lt;="&amp;'Trial-Bal'!G$7)</f>
        <v>0</v>
      </c>
      <c r="H16" s="183">
        <f>-SUMIFS('Trans-Tracker'!$I:$I,'Trans-Tracker'!$E:$E,'Trial-Bal'!$D16,'Trans-Tracker'!$A:$A,"&lt;="&amp;'Trial-Bal'!H$7)</f>
        <v>0</v>
      </c>
      <c r="I16" s="183">
        <f>-SUMIFS('Trans-Tracker'!$I:$I,'Trans-Tracker'!$E:$E,'Trial-Bal'!$D16,'Trans-Tracker'!$A:$A,"&lt;="&amp;'Trial-Bal'!I$7)</f>
        <v>4677000</v>
      </c>
      <c r="J16" s="183">
        <f>-SUMIFS('Trans-Tracker'!$I:$I,'Trans-Tracker'!$E:$E,'Trial-Bal'!$D16,'Trans-Tracker'!$A:$A,"&lt;="&amp;'Trial-Bal'!J$7)</f>
        <v>4677000</v>
      </c>
    </row>
    <row r="17" spans="2:10" x14ac:dyDescent="0.2">
      <c r="C17" s="200"/>
      <c r="D17" s="200"/>
      <c r="E17" s="201"/>
      <c r="F17" s="201"/>
      <c r="G17" s="201"/>
      <c r="H17" s="201"/>
      <c r="I17" s="201"/>
      <c r="J17" s="201"/>
    </row>
    <row r="18" spans="2:10" x14ac:dyDescent="0.2">
      <c r="B18" s="38">
        <f t="shared" si="1"/>
        <v>12</v>
      </c>
      <c r="C18" s="182" t="s">
        <v>937</v>
      </c>
      <c r="D18" s="182" t="s">
        <v>724</v>
      </c>
      <c r="E18" s="183">
        <f>-SUMIFS('Trans-Tracker'!$I:$I,'Trans-Tracker'!$E:$E,'Trial-Bal'!$D18,'Trans-Tracker'!$A:$A,"&lt;="&amp;'Trial-Bal'!E$7)</f>
        <v>0</v>
      </c>
      <c r="F18" s="183">
        <f>-SUMIFS('Trans-Tracker'!$I:$I,'Trans-Tracker'!$E:$E,'Trial-Bal'!$D18,'Trans-Tracker'!$A:$A,"&lt;="&amp;'Trial-Bal'!F$7)</f>
        <v>3830000</v>
      </c>
      <c r="G18" s="183">
        <f>-SUMIFS('Trans-Tracker'!$I:$I,'Trans-Tracker'!$E:$E,'Trial-Bal'!$D18,'Trans-Tracker'!$A:$A,"&lt;="&amp;'Trial-Bal'!G$7)</f>
        <v>4964000</v>
      </c>
      <c r="H18" s="183">
        <f>-SUMIFS('Trans-Tracker'!$I:$I,'Trans-Tracker'!$E:$E,'Trial-Bal'!$D18,'Trans-Tracker'!$A:$A,"&lt;="&amp;'Trial-Bal'!H$7)</f>
        <v>5470400</v>
      </c>
      <c r="I18" s="183">
        <f>-SUMIFS('Trans-Tracker'!$I:$I,'Trans-Tracker'!$E:$E,'Trial-Bal'!$D18,'Trans-Tracker'!$A:$A,"&lt;="&amp;'Trial-Bal'!I$7)</f>
        <v>6220400</v>
      </c>
      <c r="J18" s="183">
        <f>-SUMIFS('Trans-Tracker'!$I:$I,'Trans-Tracker'!$E:$E,'Trial-Bal'!$D18,'Trans-Tracker'!$A:$A,"&lt;="&amp;'Trial-Bal'!J$7)</f>
        <v>6355400</v>
      </c>
    </row>
    <row r="19" spans="2:10" x14ac:dyDescent="0.2">
      <c r="B19" s="38">
        <f t="shared" si="1"/>
        <v>13</v>
      </c>
      <c r="C19" s="182" t="s">
        <v>937</v>
      </c>
      <c r="D19" s="40" t="s">
        <v>726</v>
      </c>
      <c r="E19" s="183">
        <f>-SUMIFS('Trans-Tracker'!$I:$I,'Trans-Tracker'!$E:$E,'Trial-Bal'!$D19,'Trans-Tracker'!$A:$A,"&lt;="&amp;'Trial-Bal'!E$7)</f>
        <v>0</v>
      </c>
      <c r="F19" s="183">
        <f>-SUMIFS('Trans-Tracker'!$I:$I,'Trans-Tracker'!$E:$E,'Trial-Bal'!$D19,'Trans-Tracker'!$A:$A,"&lt;="&amp;'Trial-Bal'!F$7)</f>
        <v>200000</v>
      </c>
      <c r="G19" s="183">
        <f>-SUMIFS('Trans-Tracker'!$I:$I,'Trans-Tracker'!$E:$E,'Trial-Bal'!$D19,'Trans-Tracker'!$A:$A,"&lt;="&amp;'Trial-Bal'!G$7)</f>
        <v>200000</v>
      </c>
      <c r="H19" s="183">
        <f>-SUMIFS('Trans-Tracker'!$I:$I,'Trans-Tracker'!$E:$E,'Trial-Bal'!$D19,'Trans-Tracker'!$A:$A,"&lt;="&amp;'Trial-Bal'!H$7)</f>
        <v>200000</v>
      </c>
      <c r="I19" s="183">
        <f>-SUMIFS('Trans-Tracker'!$I:$I,'Trans-Tracker'!$E:$E,'Trial-Bal'!$D19,'Trans-Tracker'!$A:$A,"&lt;="&amp;'Trial-Bal'!I$7)</f>
        <v>200000</v>
      </c>
      <c r="J19" s="183">
        <f>-SUMIFS('Trans-Tracker'!$I:$I,'Trans-Tracker'!$E:$E,'Trial-Bal'!$D19,'Trans-Tracker'!$A:$A,"&lt;="&amp;'Trial-Bal'!J$7)</f>
        <v>200000</v>
      </c>
    </row>
    <row r="20" spans="2:10" x14ac:dyDescent="0.2">
      <c r="B20" s="38">
        <f t="shared" si="1"/>
        <v>14</v>
      </c>
      <c r="C20" s="182" t="s">
        <v>937</v>
      </c>
      <c r="D20" s="40" t="s">
        <v>764</v>
      </c>
      <c r="E20" s="183">
        <f>-SUMIFS('Trans-Tracker'!$I:$I,'Trans-Tracker'!$E:$E,'Trial-Bal'!$D20,'Trans-Tracker'!$A:$A,"&lt;="&amp;'Trial-Bal'!E$7)</f>
        <v>0</v>
      </c>
      <c r="F20" s="183">
        <f>-SUMIFS('Trans-Tracker'!$I:$I,'Trans-Tracker'!$E:$E,'Trial-Bal'!$D20,'Trans-Tracker'!$A:$A,"&lt;="&amp;'Trial-Bal'!F$7)</f>
        <v>0</v>
      </c>
      <c r="G20" s="183">
        <f>-SUMIFS('Trans-Tracker'!$I:$I,'Trans-Tracker'!$E:$E,'Trial-Bal'!$D20,'Trans-Tracker'!$A:$A,"&lt;="&amp;'Trial-Bal'!G$7)</f>
        <v>0</v>
      </c>
      <c r="H20" s="183">
        <f>-SUMIFS('Trans-Tracker'!$I:$I,'Trans-Tracker'!$E:$E,'Trial-Bal'!$D20,'Trans-Tracker'!$A:$A,"&lt;="&amp;'Trial-Bal'!H$7)</f>
        <v>20000</v>
      </c>
      <c r="I20" s="183">
        <f>-SUMIFS('Trans-Tracker'!$I:$I,'Trans-Tracker'!$E:$E,'Trial-Bal'!$D20,'Trans-Tracker'!$A:$A,"&lt;="&amp;'Trial-Bal'!I$7)</f>
        <v>20000</v>
      </c>
      <c r="J20" s="183">
        <f>-SUMIFS('Trans-Tracker'!$I:$I,'Trans-Tracker'!$E:$E,'Trial-Bal'!$D20,'Trans-Tracker'!$A:$A,"&lt;="&amp;'Trial-Bal'!J$7)</f>
        <v>20000</v>
      </c>
    </row>
    <row r="21" spans="2:10" x14ac:dyDescent="0.2">
      <c r="B21" s="38">
        <f t="shared" si="1"/>
        <v>15</v>
      </c>
      <c r="C21" s="182" t="s">
        <v>937</v>
      </c>
      <c r="D21" s="182" t="s">
        <v>728</v>
      </c>
      <c r="E21" s="183">
        <f>-SUMIFS('Trans-Tracker'!$I:$I,'Trans-Tracker'!$E:$E,'Trial-Bal'!$D21,'Trans-Tracker'!$A:$A,"&lt;="&amp;'Trial-Bal'!E$7)</f>
        <v>0</v>
      </c>
      <c r="F21" s="183">
        <f>-SUMIFS('Trans-Tracker'!$I:$I,'Trans-Tracker'!$E:$E,'Trial-Bal'!$D21,'Trans-Tracker'!$A:$A,"&lt;="&amp;'Trial-Bal'!F$7)</f>
        <v>0</v>
      </c>
      <c r="G21" s="183">
        <f>-SUMIFS('Trans-Tracker'!$I:$I,'Trans-Tracker'!$E:$E,'Trial-Bal'!$D21,'Trans-Tracker'!$A:$A,"&lt;="&amp;'Trial-Bal'!G$7)</f>
        <v>8500000</v>
      </c>
      <c r="H21" s="183">
        <f>-SUMIFS('Trans-Tracker'!$I:$I,'Trans-Tracker'!$E:$E,'Trial-Bal'!$D21,'Trans-Tracker'!$A:$A,"&lt;="&amp;'Trial-Bal'!H$7)</f>
        <v>8500000</v>
      </c>
      <c r="I21" s="183">
        <f>-SUMIFS('Trans-Tracker'!$I:$I,'Trans-Tracker'!$E:$E,'Trial-Bal'!$D21,'Trans-Tracker'!$A:$A,"&lt;="&amp;'Trial-Bal'!I$7)</f>
        <v>8500000</v>
      </c>
      <c r="J21" s="183">
        <f>-SUMIFS('Trans-Tracker'!$I:$I,'Trans-Tracker'!$E:$E,'Trial-Bal'!$D21,'Trans-Tracker'!$A:$A,"&lt;="&amp;'Trial-Bal'!J$7)</f>
        <v>8500000</v>
      </c>
    </row>
    <row r="22" spans="2:10" x14ac:dyDescent="0.2">
      <c r="B22" s="38">
        <f t="shared" si="1"/>
        <v>16</v>
      </c>
      <c r="C22" s="182" t="s">
        <v>937</v>
      </c>
      <c r="D22" s="40" t="s">
        <v>731</v>
      </c>
      <c r="E22" s="183">
        <f>-SUMIFS('Trans-Tracker'!$I:$I,'Trans-Tracker'!$E:$E,'Trial-Bal'!$D22,'Trans-Tracker'!$A:$A,"&lt;="&amp;'Trial-Bal'!E$7)</f>
        <v>0</v>
      </c>
      <c r="F22" s="183">
        <f>-SUMIFS('Trans-Tracker'!$I:$I,'Trans-Tracker'!$E:$E,'Trial-Bal'!$D22,'Trans-Tracker'!$A:$A,"&lt;="&amp;'Trial-Bal'!F$7)</f>
        <v>0</v>
      </c>
      <c r="G22" s="183">
        <f>-SUMIFS('Trans-Tracker'!$I:$I,'Trans-Tracker'!$E:$E,'Trial-Bal'!$D22,'Trans-Tracker'!$A:$A,"&lt;="&amp;'Trial-Bal'!G$7)</f>
        <v>285000</v>
      </c>
      <c r="H22" s="183">
        <f>-SUMIFS('Trans-Tracker'!$I:$I,'Trans-Tracker'!$E:$E,'Trial-Bal'!$D22,'Trans-Tracker'!$A:$A,"&lt;="&amp;'Trial-Bal'!H$7)</f>
        <v>355000</v>
      </c>
      <c r="I22" s="183">
        <f>-SUMIFS('Trans-Tracker'!$I:$I,'Trans-Tracker'!$E:$E,'Trial-Bal'!$D22,'Trans-Tracker'!$A:$A,"&lt;="&amp;'Trial-Bal'!I$7)</f>
        <v>355000</v>
      </c>
      <c r="J22" s="183">
        <f>-SUMIFS('Trans-Tracker'!$I:$I,'Trans-Tracker'!$E:$E,'Trial-Bal'!$D22,'Trans-Tracker'!$A:$A,"&lt;="&amp;'Trial-Bal'!J$7)</f>
        <v>355000</v>
      </c>
    </row>
    <row r="23" spans="2:10" x14ac:dyDescent="0.2">
      <c r="B23" s="38">
        <f t="shared" si="1"/>
        <v>17</v>
      </c>
      <c r="C23" s="182" t="s">
        <v>937</v>
      </c>
      <c r="D23" s="40" t="s">
        <v>727</v>
      </c>
      <c r="E23" s="183">
        <f>-SUMIFS('Trans-Tracker'!$I:$I,'Trans-Tracker'!$E:$E,'Trial-Bal'!$D23,'Trans-Tracker'!$A:$A,"&lt;="&amp;'Trial-Bal'!E$7)</f>
        <v>0</v>
      </c>
      <c r="F23" s="183">
        <f>-SUMIFS('Trans-Tracker'!$I:$I,'Trans-Tracker'!$E:$E,'Trial-Bal'!$D23,'Trans-Tracker'!$A:$A,"&lt;="&amp;'Trial-Bal'!F$7)</f>
        <v>0</v>
      </c>
      <c r="G23" s="183">
        <f>-SUMIFS('Trans-Tracker'!$I:$I,'Trans-Tracker'!$E:$E,'Trial-Bal'!$D23,'Trans-Tracker'!$A:$A,"&lt;="&amp;'Trial-Bal'!G$7)</f>
        <v>4800000</v>
      </c>
      <c r="H23" s="183">
        <f>-SUMIFS('Trans-Tracker'!$I:$I,'Trans-Tracker'!$E:$E,'Trial-Bal'!$D23,'Trans-Tracker'!$A:$A,"&lt;="&amp;'Trial-Bal'!H$7)</f>
        <v>4800000</v>
      </c>
      <c r="I23" s="183">
        <f>-SUMIFS('Trans-Tracker'!$I:$I,'Trans-Tracker'!$E:$E,'Trial-Bal'!$D23,'Trans-Tracker'!$A:$A,"&lt;="&amp;'Trial-Bal'!I$7)</f>
        <v>4800000</v>
      </c>
      <c r="J23" s="183">
        <f>-SUMIFS('Trans-Tracker'!$I:$I,'Trans-Tracker'!$E:$E,'Trial-Bal'!$D23,'Trans-Tracker'!$A:$A,"&lt;="&amp;'Trial-Bal'!J$7)</f>
        <v>4800000</v>
      </c>
    </row>
    <row r="24" spans="2:10" x14ac:dyDescent="0.2">
      <c r="B24" s="38">
        <f t="shared" si="1"/>
        <v>18</v>
      </c>
      <c r="C24" s="182" t="s">
        <v>937</v>
      </c>
      <c r="D24" s="40" t="s">
        <v>734</v>
      </c>
      <c r="E24" s="183">
        <f>-SUMIFS('Trans-Tracker'!$I:$I,'Trans-Tracker'!$E:$E,'Trial-Bal'!$D24,'Trans-Tracker'!$A:$A,"&lt;="&amp;'Trial-Bal'!E$7)</f>
        <v>0</v>
      </c>
      <c r="F24" s="183">
        <f>-SUMIFS('Trans-Tracker'!$I:$I,'Trans-Tracker'!$E:$E,'Trial-Bal'!$D24,'Trans-Tracker'!$A:$A,"&lt;="&amp;'Trial-Bal'!F$7)</f>
        <v>0</v>
      </c>
      <c r="G24" s="183">
        <f>-SUMIFS('Trans-Tracker'!$I:$I,'Trans-Tracker'!$E:$E,'Trial-Bal'!$D24,'Trans-Tracker'!$A:$A,"&lt;="&amp;'Trial-Bal'!G$7)</f>
        <v>0</v>
      </c>
      <c r="H24" s="183">
        <f>-SUMIFS('Trans-Tracker'!$I:$I,'Trans-Tracker'!$E:$E,'Trial-Bal'!$D24,'Trans-Tracker'!$A:$A,"&lt;="&amp;'Trial-Bal'!H$7)</f>
        <v>50000</v>
      </c>
      <c r="I24" s="183">
        <f>-SUMIFS('Trans-Tracker'!$I:$I,'Trans-Tracker'!$E:$E,'Trial-Bal'!$D24,'Trans-Tracker'!$A:$A,"&lt;="&amp;'Trial-Bal'!I$7)</f>
        <v>50000</v>
      </c>
      <c r="J24" s="183">
        <f>-SUMIFS('Trans-Tracker'!$I:$I,'Trans-Tracker'!$E:$E,'Trial-Bal'!$D24,'Trans-Tracker'!$A:$A,"&lt;="&amp;'Trial-Bal'!J$7)</f>
        <v>50000</v>
      </c>
    </row>
    <row r="25" spans="2:10" x14ac:dyDescent="0.2">
      <c r="B25" s="38">
        <f t="shared" si="1"/>
        <v>19</v>
      </c>
      <c r="C25" s="182" t="s">
        <v>937</v>
      </c>
      <c r="D25" s="40" t="s">
        <v>725</v>
      </c>
      <c r="E25" s="183">
        <f>-SUMIFS('Trans-Tracker'!$I:$I,'Trans-Tracker'!$E:$E,'Trial-Bal'!$D25,'Trans-Tracker'!$A:$A,"&lt;="&amp;'Trial-Bal'!E$7)</f>
        <v>0</v>
      </c>
      <c r="F25" s="183">
        <f>-SUMIFS('Trans-Tracker'!$I:$I,'Trans-Tracker'!$E:$E,'Trial-Bal'!$D25,'Trans-Tracker'!$A:$A,"&lt;="&amp;'Trial-Bal'!F$7)</f>
        <v>1307893.46</v>
      </c>
      <c r="G25" s="183">
        <f>-SUMIFS('Trans-Tracker'!$I:$I,'Trans-Tracker'!$E:$E,'Trial-Bal'!$D25,'Trans-Tracker'!$A:$A,"&lt;="&amp;'Trial-Bal'!G$7)</f>
        <v>1347893.46</v>
      </c>
      <c r="H25" s="183">
        <f>-SUMIFS('Trans-Tracker'!$I:$I,'Trans-Tracker'!$E:$E,'Trial-Bal'!$D25,'Trans-Tracker'!$A:$A,"&lt;="&amp;'Trial-Bal'!H$7)</f>
        <v>1367393.46</v>
      </c>
      <c r="I25" s="183">
        <f>-SUMIFS('Trans-Tracker'!$I:$I,'Trans-Tracker'!$E:$E,'Trial-Bal'!$D25,'Trans-Tracker'!$A:$A,"&lt;="&amp;'Trial-Bal'!I$7)</f>
        <v>1367393.46</v>
      </c>
      <c r="J25" s="183">
        <f>-SUMIFS('Trans-Tracker'!$I:$I,'Trans-Tracker'!$E:$E,'Trial-Bal'!$D25,'Trans-Tracker'!$A:$A,"&lt;="&amp;'Trial-Bal'!J$7)</f>
        <v>1367393.46</v>
      </c>
    </row>
    <row r="26" spans="2:10" x14ac:dyDescent="0.2">
      <c r="B26" s="38">
        <f t="shared" si="1"/>
        <v>20</v>
      </c>
      <c r="C26" s="182" t="s">
        <v>937</v>
      </c>
      <c r="D26" s="182" t="s">
        <v>729</v>
      </c>
      <c r="E26" s="183">
        <f>-SUMIFS('Trans-Tracker'!$I:$I,'Trans-Tracker'!$E:$E,'Trial-Bal'!$D26,'Trans-Tracker'!$A:$A,"&lt;="&amp;'Trial-Bal'!E$7)</f>
        <v>0</v>
      </c>
      <c r="F26" s="183">
        <f>-SUMIFS('Trans-Tracker'!$I:$I,'Trans-Tracker'!$E:$E,'Trial-Bal'!$D26,'Trans-Tracker'!$A:$A,"&lt;="&amp;'Trial-Bal'!F$7)</f>
        <v>0</v>
      </c>
      <c r="G26" s="183">
        <f>-SUMIFS('Trans-Tracker'!$I:$I,'Trans-Tracker'!$E:$E,'Trial-Bal'!$D26,'Trans-Tracker'!$A:$A,"&lt;="&amp;'Trial-Bal'!G$7)</f>
        <v>852000</v>
      </c>
      <c r="H26" s="183">
        <f>-SUMIFS('Trans-Tracker'!$I:$I,'Trans-Tracker'!$E:$E,'Trial-Bal'!$D26,'Trans-Tracker'!$A:$A,"&lt;="&amp;'Trial-Bal'!H$7)</f>
        <v>852000</v>
      </c>
      <c r="I26" s="183">
        <f>-SUMIFS('Trans-Tracker'!$I:$I,'Trans-Tracker'!$E:$E,'Trial-Bal'!$D26,'Trans-Tracker'!$A:$A,"&lt;="&amp;'Trial-Bal'!I$7)</f>
        <v>852000</v>
      </c>
      <c r="J26" s="183">
        <f>-SUMIFS('Trans-Tracker'!$I:$I,'Trans-Tracker'!$E:$E,'Trial-Bal'!$D26,'Trans-Tracker'!$A:$A,"&lt;="&amp;'Trial-Bal'!J$7)</f>
        <v>852000</v>
      </c>
    </row>
    <row r="27" spans="2:10" x14ac:dyDescent="0.2">
      <c r="B27" s="38">
        <f t="shared" si="1"/>
        <v>21</v>
      </c>
      <c r="C27" s="182" t="s">
        <v>937</v>
      </c>
      <c r="D27" s="40" t="s">
        <v>723</v>
      </c>
      <c r="E27" s="183">
        <f>-SUMIFS('Trans-Tracker'!$I:$I,'Trans-Tracker'!$E:$E,'Trial-Bal'!$D27,'Trans-Tracker'!$A:$A,"&lt;="&amp;'Trial-Bal'!E$7)</f>
        <v>0</v>
      </c>
      <c r="F27" s="183">
        <f>-SUMIFS('Trans-Tracker'!$I:$I,'Trans-Tracker'!$E:$E,'Trial-Bal'!$D27,'Trans-Tracker'!$A:$A,"&lt;="&amp;'Trial-Bal'!F$7)</f>
        <v>0</v>
      </c>
      <c r="G27" s="183">
        <f>-SUMIFS('Trans-Tracker'!$I:$I,'Trans-Tracker'!$E:$E,'Trial-Bal'!$D27,'Trans-Tracker'!$A:$A,"&lt;="&amp;'Trial-Bal'!G$7)</f>
        <v>895015</v>
      </c>
      <c r="H27" s="183">
        <f>-SUMIFS('Trans-Tracker'!$I:$I,'Trans-Tracker'!$E:$E,'Trial-Bal'!$D27,'Trans-Tracker'!$A:$A,"&lt;="&amp;'Trial-Bal'!H$7)</f>
        <v>1070015</v>
      </c>
      <c r="I27" s="183">
        <f>-SUMIFS('Trans-Tracker'!$I:$I,'Trans-Tracker'!$E:$E,'Trial-Bal'!$D27,'Trans-Tracker'!$A:$A,"&lt;="&amp;'Trial-Bal'!I$7)</f>
        <v>1140015</v>
      </c>
      <c r="J27" s="183">
        <f>-SUMIFS('Trans-Tracker'!$I:$I,'Trans-Tracker'!$E:$E,'Trial-Bal'!$D27,'Trans-Tracker'!$A:$A,"&lt;="&amp;'Trial-Bal'!J$7)</f>
        <v>1140015</v>
      </c>
    </row>
    <row r="28" spans="2:10" x14ac:dyDescent="0.2">
      <c r="B28" s="38">
        <f t="shared" si="1"/>
        <v>22</v>
      </c>
      <c r="C28" s="182" t="s">
        <v>937</v>
      </c>
      <c r="D28" s="40" t="s">
        <v>730</v>
      </c>
      <c r="E28" s="183">
        <f>-SUMIFS('Trans-Tracker'!$I:$I,'Trans-Tracker'!$E:$E,'Trial-Bal'!$D28,'Trans-Tracker'!$A:$A,"&lt;="&amp;'Trial-Bal'!E$7)</f>
        <v>0</v>
      </c>
      <c r="F28" s="183">
        <f>-SUMIFS('Trans-Tracker'!$I:$I,'Trans-Tracker'!$E:$E,'Trial-Bal'!$D28,'Trans-Tracker'!$A:$A,"&lt;="&amp;'Trial-Bal'!F$7)</f>
        <v>0</v>
      </c>
      <c r="G28" s="183">
        <f>-SUMIFS('Trans-Tracker'!$I:$I,'Trans-Tracker'!$E:$E,'Trial-Bal'!$D28,'Trans-Tracker'!$A:$A,"&lt;="&amp;'Trial-Bal'!G$7)</f>
        <v>0</v>
      </c>
      <c r="H28" s="183">
        <f>-SUMIFS('Trans-Tracker'!$I:$I,'Trans-Tracker'!$E:$E,'Trial-Bal'!$D28,'Trans-Tracker'!$A:$A,"&lt;="&amp;'Trial-Bal'!H$7)</f>
        <v>50000</v>
      </c>
      <c r="I28" s="183">
        <f>-SUMIFS('Trans-Tracker'!$I:$I,'Trans-Tracker'!$E:$E,'Trial-Bal'!$D28,'Trans-Tracker'!$A:$A,"&lt;="&amp;'Trial-Bal'!I$7)</f>
        <v>50000</v>
      </c>
      <c r="J28" s="183">
        <f>-SUMIFS('Trans-Tracker'!$I:$I,'Trans-Tracker'!$E:$E,'Trial-Bal'!$D28,'Trans-Tracker'!$A:$A,"&lt;="&amp;'Trial-Bal'!J$7)</f>
        <v>50000</v>
      </c>
    </row>
    <row r="29" spans="2:10" x14ac:dyDescent="0.2">
      <c r="C29" s="182" t="s">
        <v>937</v>
      </c>
      <c r="D29" s="40" t="s">
        <v>953</v>
      </c>
      <c r="E29" s="183">
        <f>-SUMIFS('Trans-Tracker'!$I:$I,'Trans-Tracker'!$E:$E,'Trial-Bal'!$D29,'Trans-Tracker'!$A:$A,"&lt;="&amp;'Trial-Bal'!E$7)</f>
        <v>0</v>
      </c>
      <c r="F29" s="183">
        <f>-SUMIFS('Trans-Tracker'!$I:$I,'Trans-Tracker'!$E:$E,'Trial-Bal'!$D29,'Trans-Tracker'!$A:$A,"&lt;="&amp;'Trial-Bal'!F$7)</f>
        <v>0</v>
      </c>
      <c r="G29" s="183">
        <f>-SUMIFS('Trans-Tracker'!$I:$I,'Trans-Tracker'!$E:$E,'Trial-Bal'!$D29,'Trans-Tracker'!$A:$A,"&lt;="&amp;'Trial-Bal'!G$7)</f>
        <v>0</v>
      </c>
      <c r="H29" s="183">
        <f>-SUMIFS('Trans-Tracker'!$I:$I,'Trans-Tracker'!$E:$E,'Trial-Bal'!$D29,'Trans-Tracker'!$A:$A,"&lt;="&amp;'Trial-Bal'!H$7)</f>
        <v>0</v>
      </c>
      <c r="I29" s="183">
        <f>-SUMIFS('Trans-Tracker'!$I:$I,'Trans-Tracker'!$E:$E,'Trial-Bal'!$D29,'Trans-Tracker'!$A:$A,"&lt;="&amp;'Trial-Bal'!I$7)</f>
        <v>0</v>
      </c>
      <c r="J29" s="183">
        <f>-SUMIFS('Trans-Tracker'!$I:$I,'Trans-Tracker'!$E:$E,'Trial-Bal'!$D29,'Trans-Tracker'!$A:$A,"&lt;="&amp;'Trial-Bal'!J$7)</f>
        <v>0</v>
      </c>
    </row>
    <row r="30" spans="2:10" x14ac:dyDescent="0.2">
      <c r="C30" s="182" t="s">
        <v>937</v>
      </c>
      <c r="D30" s="40" t="s">
        <v>954</v>
      </c>
      <c r="E30" s="183">
        <f>-SUMIFS('Trans-Tracker'!$I:$I,'Trans-Tracker'!$E:$E,'Trial-Bal'!$D30,'Trans-Tracker'!$A:$A,"&lt;="&amp;'Trial-Bal'!E$7)</f>
        <v>0</v>
      </c>
      <c r="F30" s="183">
        <f>-SUMIFS('Trans-Tracker'!$I:$I,'Trans-Tracker'!$E:$E,'Trial-Bal'!$D30,'Trans-Tracker'!$A:$A,"&lt;="&amp;'Trial-Bal'!F$7)</f>
        <v>0</v>
      </c>
      <c r="G30" s="183">
        <f>-SUMIFS('Trans-Tracker'!$I:$I,'Trans-Tracker'!$E:$E,'Trial-Bal'!$D30,'Trans-Tracker'!$A:$A,"&lt;="&amp;'Trial-Bal'!G$7)</f>
        <v>0</v>
      </c>
      <c r="H30" s="183">
        <f>-SUMIFS('Trans-Tracker'!$I:$I,'Trans-Tracker'!$E:$E,'Trial-Bal'!$D30,'Trans-Tracker'!$A:$A,"&lt;="&amp;'Trial-Bal'!H$7)</f>
        <v>0</v>
      </c>
      <c r="I30" s="183">
        <f>-SUMIFS('Trans-Tracker'!$I:$I,'Trans-Tracker'!$E:$E,'Trial-Bal'!$D30,'Trans-Tracker'!$A:$A,"&lt;="&amp;'Trial-Bal'!I$7)</f>
        <v>0</v>
      </c>
      <c r="J30" s="183">
        <f>-SUMIFS('Trans-Tracker'!$I:$I,'Trans-Tracker'!$E:$E,'Trial-Bal'!$D30,'Trans-Tracker'!$A:$A,"&lt;="&amp;'Trial-Bal'!J$7)</f>
        <v>0</v>
      </c>
    </row>
    <row r="31" spans="2:10" x14ac:dyDescent="0.2">
      <c r="C31" s="35"/>
      <c r="D31" s="34"/>
      <c r="E31" s="59"/>
      <c r="F31" s="59"/>
      <c r="G31" s="59"/>
      <c r="H31" s="59"/>
      <c r="I31" s="59"/>
      <c r="J31" s="59"/>
    </row>
    <row r="32" spans="2:10" x14ac:dyDescent="0.2">
      <c r="B32" s="38">
        <f t="shared" si="1"/>
        <v>26</v>
      </c>
      <c r="C32" s="184" t="s">
        <v>933</v>
      </c>
      <c r="D32" s="185" t="s">
        <v>742</v>
      </c>
      <c r="E32" s="186">
        <f>-SUMIFS('Trans-Tracker'!$I:$I,'Trans-Tracker'!$E:$E,'Trial-Bal'!$D32,'Trans-Tracker'!$A:$A,"&lt;="&amp;'Trial-Bal'!E$7)</f>
        <v>-20000000</v>
      </c>
      <c r="F32" s="186">
        <f>-SUMIFS('Trans-Tracker'!$I:$I,'Trans-Tracker'!$E:$E,'Trial-Bal'!$D32,'Trans-Tracker'!$A:$A,"&lt;="&amp;'Trial-Bal'!F$7)</f>
        <v>-20000000</v>
      </c>
      <c r="G32" s="186">
        <f>-SUMIFS('Trans-Tracker'!$I:$I,'Trans-Tracker'!$E:$E,'Trial-Bal'!$D32,'Trans-Tracker'!$A:$A,"&lt;="&amp;'Trial-Bal'!G$7)</f>
        <v>-20000000</v>
      </c>
      <c r="H32" s="186">
        <f>-SUMIFS('Trans-Tracker'!$I:$I,'Trans-Tracker'!$E:$E,'Trial-Bal'!$D32,'Trans-Tracker'!$A:$A,"&lt;="&amp;'Trial-Bal'!H$7)</f>
        <v>-20000000</v>
      </c>
      <c r="I32" s="186">
        <f>-SUMIFS('Trans-Tracker'!$I:$I,'Trans-Tracker'!$E:$E,'Trial-Bal'!$D32,'Trans-Tracker'!$A:$A,"&lt;="&amp;'Trial-Bal'!I$7)</f>
        <v>-20000000</v>
      </c>
      <c r="J32" s="186">
        <f>-SUMIFS('Trans-Tracker'!$I:$I,'Trans-Tracker'!$E:$E,'Trial-Bal'!$D32,'Trans-Tracker'!$A:$A,"&lt;="&amp;'Trial-Bal'!J$7)</f>
        <v>-40000000</v>
      </c>
    </row>
    <row r="33" spans="2:10" x14ac:dyDescent="0.2">
      <c r="B33" s="38">
        <f t="shared" si="1"/>
        <v>27</v>
      </c>
      <c r="C33" s="184" t="s">
        <v>931</v>
      </c>
      <c r="D33" s="185" t="s">
        <v>660</v>
      </c>
      <c r="E33" s="186">
        <f>-SUMIFS('Trans-Tracker'!$I:$I,'Trans-Tracker'!$E:$E,'Trial-Bal'!$D33,'Trans-Tracker'!$A:$A,"&lt;="&amp;'Trial-Bal'!E$7)</f>
        <v>0</v>
      </c>
      <c r="F33" s="186">
        <f>-SUMIFS('Trans-Tracker'!$I:$I,'Trans-Tracker'!$E:$E,'Trial-Bal'!$D33,'Trans-Tracker'!$A:$A,"&lt;="&amp;'Trial-Bal'!F$7)</f>
        <v>-14647893.460000001</v>
      </c>
      <c r="G33" s="186">
        <f>-SUMIFS('Trans-Tracker'!$I:$I,'Trans-Tracker'!$E:$E,'Trial-Bal'!$D33,'Trans-Tracker'!$A:$A,"&lt;="&amp;'Trial-Bal'!G$7)</f>
        <v>-52541908.460000001</v>
      </c>
      <c r="H33" s="186">
        <f>-SUMIFS('Trans-Tracker'!$I:$I,'Trans-Tracker'!$E:$E,'Trial-Bal'!$D33,'Trans-Tracker'!$A:$A,"&lt;="&amp;'Trial-Bal'!H$7)</f>
        <v>-76427808.460000008</v>
      </c>
      <c r="I33" s="186">
        <f>-SUMIFS('Trans-Tracker'!$I:$I,'Trans-Tracker'!$E:$E,'Trial-Bal'!$D33,'Trans-Tracker'!$A:$A,"&lt;="&amp;'Trial-Bal'!I$7)</f>
        <v>-107924808.46000001</v>
      </c>
      <c r="J33" s="186">
        <f>-SUMIFS('Trans-Tracker'!$I:$I,'Trans-Tracker'!$E:$E,'Trial-Bal'!$D33,'Trans-Tracker'!$A:$A,"&lt;="&amp;'Trial-Bal'!J$7)</f>
        <v>-108059808.46000001</v>
      </c>
    </row>
    <row r="34" spans="2:10" x14ac:dyDescent="0.2">
      <c r="C34" s="35"/>
      <c r="D34" s="34"/>
      <c r="E34" s="59"/>
      <c r="F34" s="59"/>
      <c r="G34" s="59"/>
      <c r="H34" s="59"/>
      <c r="I34" s="59"/>
      <c r="J34" s="59"/>
    </row>
    <row r="35" spans="2:10" x14ac:dyDescent="0.2">
      <c r="C35" s="35" t="s">
        <v>949</v>
      </c>
      <c r="D35" s="35" t="s">
        <v>951</v>
      </c>
      <c r="E35" s="59"/>
      <c r="F35" s="59"/>
      <c r="G35" s="59"/>
      <c r="H35" s="59"/>
      <c r="I35" s="59"/>
      <c r="J35" s="59"/>
    </row>
    <row r="36" spans="2:10" x14ac:dyDescent="0.2">
      <c r="C36" s="35" t="s">
        <v>949</v>
      </c>
      <c r="D36" s="35" t="s">
        <v>857</v>
      </c>
      <c r="E36" s="59"/>
      <c r="F36" s="59"/>
      <c r="G36" s="59"/>
      <c r="H36" s="59"/>
      <c r="I36" s="59"/>
      <c r="J36" s="59"/>
    </row>
    <row r="37" spans="2:10" x14ac:dyDescent="0.2">
      <c r="C37" s="35" t="s">
        <v>949</v>
      </c>
      <c r="D37" s="35" t="s">
        <v>858</v>
      </c>
      <c r="E37" s="59"/>
      <c r="F37" s="59"/>
      <c r="G37" s="59"/>
      <c r="H37" s="59"/>
      <c r="I37" s="59"/>
      <c r="J37" s="59"/>
    </row>
    <row r="38" spans="2:10" x14ac:dyDescent="0.2">
      <c r="C38" s="35" t="s">
        <v>949</v>
      </c>
      <c r="D38" s="35" t="s">
        <v>856</v>
      </c>
      <c r="E38" s="59"/>
      <c r="F38" s="59"/>
      <c r="G38" s="59"/>
      <c r="H38" s="59"/>
      <c r="I38" s="59"/>
      <c r="J38" s="59"/>
    </row>
    <row r="39" spans="2:10" x14ac:dyDescent="0.2">
      <c r="C39" s="35" t="s">
        <v>948</v>
      </c>
      <c r="D39" s="35" t="s">
        <v>855</v>
      </c>
      <c r="E39" s="59"/>
      <c r="F39" s="59"/>
      <c r="G39" s="59"/>
      <c r="H39" s="59"/>
      <c r="I39" s="59"/>
      <c r="J39" s="59"/>
    </row>
    <row r="40" spans="2:10" x14ac:dyDescent="0.2">
      <c r="C40" s="35"/>
      <c r="D40" s="34"/>
      <c r="E40" s="35"/>
      <c r="F40" s="35"/>
      <c r="G40" s="59"/>
      <c r="H40" s="59"/>
      <c r="I40" s="59"/>
      <c r="J40" s="59"/>
    </row>
    <row r="41" spans="2:10" x14ac:dyDescent="0.2">
      <c r="C41" s="35"/>
      <c r="D41" s="174"/>
      <c r="E41" s="174"/>
      <c r="F41" s="174"/>
      <c r="G41" s="175"/>
      <c r="H41" s="175"/>
      <c r="I41" s="175"/>
      <c r="J41" s="175"/>
    </row>
    <row r="42" spans="2:10" ht="13.5" thickBot="1" x14ac:dyDescent="0.25">
      <c r="D42" s="189" t="s">
        <v>201</v>
      </c>
      <c r="E42" s="190">
        <f t="shared" ref="E42:J42" si="2">SUM(E8:E41)</f>
        <v>0</v>
      </c>
      <c r="F42" s="190">
        <f t="shared" si="2"/>
        <v>0</v>
      </c>
      <c r="G42" s="191">
        <f t="shared" si="2"/>
        <v>0</v>
      </c>
      <c r="H42" s="191">
        <f t="shared" si="2"/>
        <v>0</v>
      </c>
      <c r="I42" s="191">
        <f t="shared" si="2"/>
        <v>0</v>
      </c>
      <c r="J42" s="191">
        <f t="shared" si="2"/>
        <v>0</v>
      </c>
    </row>
    <row r="43" spans="2:10" ht="13.5" thickTop="1" x14ac:dyDescent="0.2"/>
    <row r="47" spans="2:10" x14ac:dyDescent="0.2">
      <c r="D47" s="177" t="s">
        <v>946</v>
      </c>
      <c r="E47" s="179"/>
    </row>
    <row r="48" spans="2:10" x14ac:dyDescent="0.2">
      <c r="D48" s="187" t="s">
        <v>947</v>
      </c>
      <c r="E48" s="187" t="s">
        <v>761</v>
      </c>
      <c r="F48" s="37"/>
    </row>
    <row r="49" spans="4:6" x14ac:dyDescent="0.2">
      <c r="D49" s="187" t="s">
        <v>937</v>
      </c>
      <c r="E49" s="187" t="s">
        <v>761</v>
      </c>
      <c r="F49" s="37"/>
    </row>
    <row r="50" spans="4:6" x14ac:dyDescent="0.2">
      <c r="D50" s="188" t="s">
        <v>948</v>
      </c>
      <c r="E50" s="188" t="s">
        <v>762</v>
      </c>
      <c r="F50" s="192"/>
    </row>
    <row r="51" spans="4:6" x14ac:dyDescent="0.2">
      <c r="D51" s="188" t="s">
        <v>738</v>
      </c>
      <c r="E51" s="188" t="s">
        <v>762</v>
      </c>
      <c r="F51" s="192"/>
    </row>
    <row r="52" spans="4:6" x14ac:dyDescent="0.2">
      <c r="D52" s="188" t="s">
        <v>949</v>
      </c>
      <c r="E52" s="188" t="s">
        <v>762</v>
      </c>
      <c r="F52" s="192"/>
    </row>
    <row r="53" spans="4:6" x14ac:dyDescent="0.2">
      <c r="D53" s="178"/>
      <c r="E53" s="178"/>
    </row>
  </sheetData>
  <sheetProtection algorithmName="SHA-512" hashValue="QxpyJTCtYbjB2e78dIYoDINZ2WxHgRof9cAmeZbJM1FynhCK/IFBGKPE2IaeP5qHHE1j94t9+myQbPzQzZ7yxg==" saltValue="7n5ZvSIi5T7myK+QeALLRQ==" spinCount="100000" sheet="1" objects="1" scenarios="1"/>
  <autoFilter ref="C7:J7" xr:uid="{00000000-0009-0000-0000-000015000000}"/>
  <sortState xmlns:xlrd2="http://schemas.microsoft.com/office/spreadsheetml/2017/richdata2" ref="L8:L107">
    <sortCondition ref="L8:L107"/>
  </sortState>
  <mergeCells count="1">
    <mergeCell ref="F5:G5"/>
  </mergeCells>
  <conditionalFormatting sqref="G2">
    <cfRule type="duplicateValues" dxfId="4" priority="1"/>
  </conditionalFormatting>
  <hyperlinks>
    <hyperlink ref="G2" location="Menu!A1" display="Back to Menu" xr:uid="{00000000-0004-0000-1500-000000000000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-0.499984740745262"/>
  </sheetPr>
  <dimension ref="A1:K170"/>
  <sheetViews>
    <sheetView showGridLines="0" workbookViewId="0">
      <pane ySplit="7" topLeftCell="A26" activePane="bottomLeft" state="frozen"/>
      <selection pane="bottomLeft" activeCell="F3" sqref="F3"/>
    </sheetView>
  </sheetViews>
  <sheetFormatPr defaultRowHeight="12.75" x14ac:dyDescent="0.2"/>
  <cols>
    <col min="1" max="1" width="13.42578125" style="38" bestFit="1" customWidth="1"/>
    <col min="2" max="2" width="13.85546875" style="38" bestFit="1" customWidth="1"/>
    <col min="3" max="3" width="24" style="38" customWidth="1"/>
    <col min="4" max="4" width="12" style="38" bestFit="1" customWidth="1"/>
    <col min="5" max="5" width="26" style="38" bestFit="1" customWidth="1"/>
    <col min="6" max="6" width="14.7109375" style="38" bestFit="1" customWidth="1"/>
    <col min="7" max="7" width="14.28515625" style="49" bestFit="1" customWidth="1"/>
    <col min="8" max="8" width="13.140625" style="49" bestFit="1" customWidth="1"/>
    <col min="9" max="9" width="14.28515625" style="49" bestFit="1" customWidth="1"/>
    <col min="10" max="10" width="12.5703125" style="49" bestFit="1" customWidth="1"/>
    <col min="11" max="11" width="11.28515625" style="49" bestFit="1" customWidth="1"/>
    <col min="12" max="16384" width="9.140625" style="38"/>
  </cols>
  <sheetData>
    <row r="1" spans="1:11" x14ac:dyDescent="0.2">
      <c r="A1" s="37"/>
      <c r="B1" s="37"/>
      <c r="C1" s="37"/>
      <c r="D1" s="37"/>
      <c r="E1" s="37"/>
      <c r="F1" s="37"/>
      <c r="G1" s="193"/>
      <c r="H1" s="193"/>
      <c r="I1" s="193"/>
      <c r="J1" s="193"/>
      <c r="K1" s="193"/>
    </row>
    <row r="2" spans="1:11" x14ac:dyDescent="0.2">
      <c r="A2" s="37"/>
      <c r="B2" s="37"/>
      <c r="C2" s="37"/>
      <c r="D2" s="37"/>
      <c r="E2" s="37"/>
      <c r="F2" s="37"/>
      <c r="G2" s="193"/>
      <c r="H2" s="193"/>
      <c r="I2" s="193"/>
      <c r="J2" s="193"/>
      <c r="K2" s="193"/>
    </row>
    <row r="3" spans="1:11" x14ac:dyDescent="0.2">
      <c r="A3" s="37"/>
      <c r="B3" s="37"/>
      <c r="C3" s="37"/>
      <c r="D3" s="37"/>
      <c r="E3" s="37"/>
      <c r="F3" s="236" t="s">
        <v>9</v>
      </c>
      <c r="G3" s="37"/>
      <c r="H3" s="37"/>
      <c r="I3" s="229"/>
      <c r="J3" s="37"/>
      <c r="K3" s="37"/>
    </row>
    <row r="4" spans="1:11" x14ac:dyDescent="0.2">
      <c r="A4" s="37"/>
      <c r="B4" s="37"/>
      <c r="C4" s="37"/>
      <c r="D4" s="37"/>
      <c r="E4" s="37"/>
      <c r="F4" s="228"/>
      <c r="G4" s="37"/>
      <c r="H4" s="37"/>
      <c r="I4" s="229"/>
      <c r="J4" s="37"/>
      <c r="K4" s="37"/>
    </row>
    <row r="5" spans="1:11" x14ac:dyDescent="0.2">
      <c r="A5" s="37"/>
      <c r="B5" s="37"/>
      <c r="C5" s="37"/>
      <c r="D5" s="37"/>
      <c r="E5" s="37"/>
      <c r="F5" s="228"/>
      <c r="G5" s="37"/>
      <c r="H5" s="37"/>
      <c r="I5" s="229"/>
      <c r="J5" s="37"/>
      <c r="K5" s="37"/>
    </row>
    <row r="6" spans="1:11" x14ac:dyDescent="0.2">
      <c r="A6" s="232" t="s">
        <v>967</v>
      </c>
      <c r="B6" s="233"/>
      <c r="C6" s="233"/>
      <c r="D6" s="233"/>
      <c r="E6" s="234"/>
      <c r="F6" s="37"/>
      <c r="G6" s="230">
        <f>SUBTOTAL(9,G8:G170)</f>
        <v>148359808.46000001</v>
      </c>
      <c r="H6" s="230">
        <f>SUBTOTAL(9,H8:H170)</f>
        <v>42239808.460000001</v>
      </c>
      <c r="I6" s="230">
        <f>SUBTOTAL(9,I8:I170)</f>
        <v>106120000</v>
      </c>
      <c r="J6" s="193"/>
      <c r="K6" s="193"/>
    </row>
    <row r="7" spans="1:11" x14ac:dyDescent="0.2">
      <c r="A7" s="194" t="s">
        <v>850</v>
      </c>
      <c r="B7" s="194" t="s">
        <v>929</v>
      </c>
      <c r="C7" s="194" t="s">
        <v>753</v>
      </c>
      <c r="D7" s="194" t="s">
        <v>716</v>
      </c>
      <c r="E7" s="194" t="s">
        <v>932</v>
      </c>
      <c r="F7" s="194" t="s">
        <v>851</v>
      </c>
      <c r="G7" s="194" t="s">
        <v>761</v>
      </c>
      <c r="H7" s="194" t="s">
        <v>762</v>
      </c>
      <c r="I7" s="194" t="s">
        <v>930</v>
      </c>
      <c r="J7" s="196" t="s">
        <v>763</v>
      </c>
      <c r="K7" s="194" t="s">
        <v>43</v>
      </c>
    </row>
    <row r="8" spans="1:11" x14ac:dyDescent="0.2">
      <c r="A8" s="44">
        <v>44273</v>
      </c>
      <c r="B8" s="35" t="s">
        <v>934</v>
      </c>
      <c r="C8" s="35" t="s">
        <v>935</v>
      </c>
      <c r="D8" s="35" t="s">
        <v>931</v>
      </c>
      <c r="E8" s="35" t="s">
        <v>660</v>
      </c>
      <c r="F8" s="35"/>
      <c r="G8" s="59">
        <v>7910000</v>
      </c>
      <c r="H8" s="59"/>
      <c r="I8" s="61">
        <f t="shared" ref="I8:I39" si="0">IF(A8="","",IF(G8&gt;0,G8,-H8))</f>
        <v>7910000</v>
      </c>
      <c r="J8" s="173">
        <f>IF($A8="","",SUM($G$8:G8)-SUM($H$8:H8))</f>
        <v>7910000</v>
      </c>
      <c r="K8" s="59"/>
    </row>
    <row r="9" spans="1:11" x14ac:dyDescent="0.2">
      <c r="A9" s="44">
        <v>44275</v>
      </c>
      <c r="B9" s="35" t="s">
        <v>934</v>
      </c>
      <c r="C9" s="35" t="s">
        <v>935</v>
      </c>
      <c r="D9" s="35" t="s">
        <v>931</v>
      </c>
      <c r="E9" s="35" t="s">
        <v>660</v>
      </c>
      <c r="F9" s="35"/>
      <c r="G9" s="59">
        <v>1307893.46</v>
      </c>
      <c r="H9" s="48"/>
      <c r="I9" s="61">
        <f t="shared" si="0"/>
        <v>1307893.46</v>
      </c>
      <c r="J9" s="173">
        <f>IF($A9="","",SUM($G$8:G9)-SUM($H$8:H9))</f>
        <v>9217893.4600000009</v>
      </c>
      <c r="K9" s="59"/>
    </row>
    <row r="10" spans="1:11" x14ac:dyDescent="0.2">
      <c r="A10" s="44">
        <v>44277</v>
      </c>
      <c r="B10" s="35" t="s">
        <v>934</v>
      </c>
      <c r="C10" s="35" t="s">
        <v>935</v>
      </c>
      <c r="D10" s="35" t="s">
        <v>931</v>
      </c>
      <c r="E10" s="35" t="s">
        <v>660</v>
      </c>
      <c r="F10" s="35"/>
      <c r="G10" s="59">
        <v>200000</v>
      </c>
      <c r="H10" s="48"/>
      <c r="I10" s="61">
        <f t="shared" si="0"/>
        <v>200000</v>
      </c>
      <c r="J10" s="173">
        <f>IF($A10="","",SUM($G$8:G10)-SUM($H$8:H10))</f>
        <v>9417893.4600000009</v>
      </c>
      <c r="K10" s="59"/>
    </row>
    <row r="11" spans="1:11" x14ac:dyDescent="0.2">
      <c r="A11" s="44">
        <v>44285</v>
      </c>
      <c r="B11" s="35" t="s">
        <v>934</v>
      </c>
      <c r="C11" s="35" t="s">
        <v>935</v>
      </c>
      <c r="D11" s="35" t="s">
        <v>931</v>
      </c>
      <c r="E11" s="35" t="s">
        <v>660</v>
      </c>
      <c r="F11" s="35"/>
      <c r="G11" s="59">
        <v>2700000</v>
      </c>
      <c r="H11" s="48"/>
      <c r="I11" s="61">
        <f t="shared" si="0"/>
        <v>2700000</v>
      </c>
      <c r="J11" s="173">
        <f>IF($A11="","",SUM($G$8:G11)-SUM($H$8:H11))</f>
        <v>12117893.460000001</v>
      </c>
      <c r="K11" s="59"/>
    </row>
    <row r="12" spans="1:11" x14ac:dyDescent="0.2">
      <c r="A12" s="44">
        <v>44286</v>
      </c>
      <c r="B12" s="35" t="s">
        <v>934</v>
      </c>
      <c r="C12" s="35" t="s">
        <v>935</v>
      </c>
      <c r="D12" s="35" t="s">
        <v>931</v>
      </c>
      <c r="E12" s="35" t="s">
        <v>660</v>
      </c>
      <c r="F12" s="35"/>
      <c r="G12" s="59">
        <v>2530000</v>
      </c>
      <c r="H12" s="48"/>
      <c r="I12" s="61">
        <f t="shared" si="0"/>
        <v>2530000</v>
      </c>
      <c r="J12" s="173">
        <f>IF($A12="","",SUM($G$8:G12)-SUM($H$8:H12))</f>
        <v>14647893.460000001</v>
      </c>
      <c r="K12" s="59"/>
    </row>
    <row r="13" spans="1:11" x14ac:dyDescent="0.2">
      <c r="A13" s="44">
        <v>44287</v>
      </c>
      <c r="B13" s="35" t="s">
        <v>934</v>
      </c>
      <c r="C13" s="35" t="s">
        <v>935</v>
      </c>
      <c r="D13" s="35" t="s">
        <v>931</v>
      </c>
      <c r="E13" s="35" t="s">
        <v>660</v>
      </c>
      <c r="F13" s="35"/>
      <c r="G13" s="59">
        <v>670015</v>
      </c>
      <c r="H13" s="48"/>
      <c r="I13" s="61">
        <f t="shared" si="0"/>
        <v>670015</v>
      </c>
      <c r="J13" s="173">
        <f>IF($A13="","",SUM($G$8:G13)-SUM($H$8:H13))</f>
        <v>15317908.460000001</v>
      </c>
      <c r="K13" s="59"/>
    </row>
    <row r="14" spans="1:11" x14ac:dyDescent="0.2">
      <c r="A14" s="44">
        <v>44292</v>
      </c>
      <c r="B14" s="35" t="s">
        <v>934</v>
      </c>
      <c r="C14" s="35" t="s">
        <v>935</v>
      </c>
      <c r="D14" s="35" t="s">
        <v>931</v>
      </c>
      <c r="E14" s="35" t="s">
        <v>660</v>
      </c>
      <c r="F14" s="35"/>
      <c r="G14" s="59">
        <v>300000</v>
      </c>
      <c r="H14" s="48"/>
      <c r="I14" s="61">
        <f t="shared" si="0"/>
        <v>300000</v>
      </c>
      <c r="J14" s="173">
        <f>IF($A14="","",SUM($G$8:G14)-SUM($H$8:H14))</f>
        <v>15617908.460000001</v>
      </c>
      <c r="K14" s="59"/>
    </row>
    <row r="15" spans="1:11" x14ac:dyDescent="0.2">
      <c r="A15" s="44">
        <v>44294</v>
      </c>
      <c r="B15" s="35" t="s">
        <v>934</v>
      </c>
      <c r="C15" s="35" t="s">
        <v>935</v>
      </c>
      <c r="D15" s="35" t="s">
        <v>931</v>
      </c>
      <c r="E15" s="35" t="s">
        <v>660</v>
      </c>
      <c r="F15" s="35"/>
      <c r="G15" s="59">
        <v>225000</v>
      </c>
      <c r="H15" s="48"/>
      <c r="I15" s="61">
        <f t="shared" si="0"/>
        <v>225000</v>
      </c>
      <c r="J15" s="173">
        <f>IF($A15="","",SUM($G$8:G15)-SUM($H$8:H15))</f>
        <v>15842908.460000001</v>
      </c>
      <c r="K15" s="59"/>
    </row>
    <row r="16" spans="1:11" x14ac:dyDescent="0.2">
      <c r="A16" s="44">
        <v>44296</v>
      </c>
      <c r="B16" s="35" t="s">
        <v>739</v>
      </c>
      <c r="C16" s="35" t="s">
        <v>754</v>
      </c>
      <c r="D16" s="35" t="s">
        <v>931</v>
      </c>
      <c r="E16" s="35" t="s">
        <v>660</v>
      </c>
      <c r="F16" s="35"/>
      <c r="G16" s="59">
        <v>10000000</v>
      </c>
      <c r="H16" s="48"/>
      <c r="I16" s="61">
        <f t="shared" si="0"/>
        <v>10000000</v>
      </c>
      <c r="J16" s="173">
        <f>IF($A16="","",SUM($G$8:G16)-SUM($H$8:H16))</f>
        <v>25842908.460000001</v>
      </c>
      <c r="K16" s="59"/>
    </row>
    <row r="17" spans="1:11" x14ac:dyDescent="0.2">
      <c r="A17" s="44">
        <v>44296</v>
      </c>
      <c r="B17" s="35" t="s">
        <v>739</v>
      </c>
      <c r="C17" s="35" t="s">
        <v>755</v>
      </c>
      <c r="D17" s="35" t="s">
        <v>931</v>
      </c>
      <c r="E17" s="35" t="s">
        <v>660</v>
      </c>
      <c r="F17" s="35"/>
      <c r="G17" s="59">
        <v>10000000</v>
      </c>
      <c r="H17" s="48"/>
      <c r="I17" s="61">
        <f t="shared" si="0"/>
        <v>10000000</v>
      </c>
      <c r="J17" s="173">
        <f>IF($A17="","",SUM($G$8:G17)-SUM($H$8:H17))</f>
        <v>35842908.460000001</v>
      </c>
      <c r="K17" s="59"/>
    </row>
    <row r="18" spans="1:11" x14ac:dyDescent="0.2">
      <c r="A18" s="44">
        <v>44300</v>
      </c>
      <c r="B18" s="35" t="s">
        <v>934</v>
      </c>
      <c r="C18" s="35" t="s">
        <v>935</v>
      </c>
      <c r="D18" s="35" t="s">
        <v>931</v>
      </c>
      <c r="E18" s="34" t="s">
        <v>660</v>
      </c>
      <c r="F18" s="35"/>
      <c r="G18" s="59">
        <v>4800000</v>
      </c>
      <c r="H18" s="48"/>
      <c r="I18" s="61">
        <f t="shared" si="0"/>
        <v>4800000</v>
      </c>
      <c r="J18" s="173">
        <f>IF($A18="","",SUM($G$8:G18)-SUM($H$8:H18))</f>
        <v>40642908.460000001</v>
      </c>
      <c r="K18" s="59"/>
    </row>
    <row r="19" spans="1:11" x14ac:dyDescent="0.2">
      <c r="A19" s="44">
        <v>44306</v>
      </c>
      <c r="B19" s="35" t="s">
        <v>934</v>
      </c>
      <c r="C19" s="35" t="s">
        <v>935</v>
      </c>
      <c r="D19" s="35" t="s">
        <v>931</v>
      </c>
      <c r="E19" s="34" t="s">
        <v>660</v>
      </c>
      <c r="F19" s="35"/>
      <c r="G19" s="59">
        <v>8500000</v>
      </c>
      <c r="H19" s="48"/>
      <c r="I19" s="61">
        <f t="shared" si="0"/>
        <v>8500000</v>
      </c>
      <c r="J19" s="173">
        <f>IF($A19="","",SUM($G$8:G19)-SUM($H$8:H19))</f>
        <v>49142908.460000001</v>
      </c>
      <c r="K19" s="59"/>
    </row>
    <row r="20" spans="1:11" x14ac:dyDescent="0.2">
      <c r="A20" s="44">
        <v>44311</v>
      </c>
      <c r="B20" s="35" t="s">
        <v>934</v>
      </c>
      <c r="C20" s="35" t="s">
        <v>935</v>
      </c>
      <c r="D20" s="35" t="s">
        <v>931</v>
      </c>
      <c r="E20" s="35" t="s">
        <v>660</v>
      </c>
      <c r="F20" s="35"/>
      <c r="G20" s="59">
        <v>134000</v>
      </c>
      <c r="H20" s="59"/>
      <c r="I20" s="61">
        <f t="shared" si="0"/>
        <v>134000</v>
      </c>
      <c r="J20" s="173">
        <f>IF($A20="","",SUM($G$8:G20)-SUM($H$8:H20))</f>
        <v>49276908.460000001</v>
      </c>
      <c r="K20" s="59"/>
    </row>
    <row r="21" spans="1:11" x14ac:dyDescent="0.2">
      <c r="A21" s="44">
        <v>44312</v>
      </c>
      <c r="B21" s="35" t="s">
        <v>934</v>
      </c>
      <c r="C21" s="35" t="s">
        <v>935</v>
      </c>
      <c r="D21" s="35" t="s">
        <v>931</v>
      </c>
      <c r="E21" s="35" t="s">
        <v>660</v>
      </c>
      <c r="F21" s="35"/>
      <c r="G21" s="59">
        <v>350000</v>
      </c>
      <c r="H21" s="59"/>
      <c r="I21" s="61">
        <f t="shared" si="0"/>
        <v>350000</v>
      </c>
      <c r="J21" s="173">
        <f>IF($A21="","",SUM($G$8:G21)-SUM($H$8:H21))</f>
        <v>49626908.460000001</v>
      </c>
      <c r="K21" s="59"/>
    </row>
    <row r="22" spans="1:11" x14ac:dyDescent="0.2">
      <c r="A22" s="44">
        <v>44313</v>
      </c>
      <c r="B22" s="35" t="s">
        <v>934</v>
      </c>
      <c r="C22" s="34" t="s">
        <v>935</v>
      </c>
      <c r="D22" s="35" t="s">
        <v>931</v>
      </c>
      <c r="E22" s="34" t="s">
        <v>660</v>
      </c>
      <c r="F22" s="35"/>
      <c r="G22" s="59">
        <v>852000</v>
      </c>
      <c r="H22" s="59"/>
      <c r="I22" s="61">
        <f t="shared" si="0"/>
        <v>852000</v>
      </c>
      <c r="J22" s="173">
        <f>IF($A22="","",SUM($G$8:G22)-SUM($H$8:H22))</f>
        <v>50478908.460000001</v>
      </c>
      <c r="K22" s="59"/>
    </row>
    <row r="23" spans="1:11" x14ac:dyDescent="0.2">
      <c r="A23" s="44">
        <v>44314</v>
      </c>
      <c r="B23" s="35" t="s">
        <v>934</v>
      </c>
      <c r="C23" s="34" t="s">
        <v>935</v>
      </c>
      <c r="D23" s="35" t="s">
        <v>931</v>
      </c>
      <c r="E23" s="34" t="s">
        <v>660</v>
      </c>
      <c r="F23" s="35"/>
      <c r="G23" s="59">
        <v>1670000</v>
      </c>
      <c r="H23" s="59"/>
      <c r="I23" s="61">
        <f t="shared" si="0"/>
        <v>1670000</v>
      </c>
      <c r="J23" s="173">
        <f>IF($A23="","",SUM($G$8:G23)-SUM($H$8:H23))</f>
        <v>52148908.460000001</v>
      </c>
      <c r="K23" s="59"/>
    </row>
    <row r="24" spans="1:11" x14ac:dyDescent="0.2">
      <c r="A24" s="44">
        <v>44315</v>
      </c>
      <c r="B24" s="35" t="s">
        <v>934</v>
      </c>
      <c r="C24" s="34" t="s">
        <v>935</v>
      </c>
      <c r="D24" s="35" t="s">
        <v>931</v>
      </c>
      <c r="E24" s="34" t="s">
        <v>660</v>
      </c>
      <c r="F24" s="35"/>
      <c r="G24" s="59">
        <v>220000</v>
      </c>
      <c r="H24" s="59"/>
      <c r="I24" s="61">
        <f t="shared" si="0"/>
        <v>220000</v>
      </c>
      <c r="J24" s="173">
        <f>IF($A24="","",SUM($G$8:G24)-SUM($H$8:H24))</f>
        <v>52368908.460000001</v>
      </c>
      <c r="K24" s="59"/>
    </row>
    <row r="25" spans="1:11" x14ac:dyDescent="0.2">
      <c r="A25" s="44">
        <v>44316</v>
      </c>
      <c r="B25" s="35" t="s">
        <v>934</v>
      </c>
      <c r="C25" s="34" t="s">
        <v>935</v>
      </c>
      <c r="D25" s="35" t="s">
        <v>931</v>
      </c>
      <c r="E25" s="34" t="s">
        <v>660</v>
      </c>
      <c r="F25" s="35"/>
      <c r="G25" s="59">
        <v>173000</v>
      </c>
      <c r="H25" s="59"/>
      <c r="I25" s="61">
        <f t="shared" si="0"/>
        <v>173000</v>
      </c>
      <c r="J25" s="173">
        <f>IF($A25="","",SUM($G$8:G25)-SUM($H$8:H25))</f>
        <v>52541908.460000001</v>
      </c>
      <c r="K25" s="59"/>
    </row>
    <row r="26" spans="1:11" x14ac:dyDescent="0.2">
      <c r="A26" s="44">
        <v>44317</v>
      </c>
      <c r="B26" s="35" t="s">
        <v>934</v>
      </c>
      <c r="C26" s="35" t="s">
        <v>935</v>
      </c>
      <c r="D26" s="35" t="s">
        <v>931</v>
      </c>
      <c r="E26" s="35" t="s">
        <v>660</v>
      </c>
      <c r="F26" s="35"/>
      <c r="G26" s="59">
        <v>75000</v>
      </c>
      <c r="H26" s="59"/>
      <c r="I26" s="61">
        <f t="shared" si="0"/>
        <v>75000</v>
      </c>
      <c r="J26" s="173">
        <f>IF($A26="","",SUM($G$8:G26)-SUM($H$8:H26))</f>
        <v>52616908.460000001</v>
      </c>
      <c r="K26" s="59"/>
    </row>
    <row r="27" spans="1:11" x14ac:dyDescent="0.2">
      <c r="A27" s="44">
        <v>44319</v>
      </c>
      <c r="B27" s="35" t="s">
        <v>934</v>
      </c>
      <c r="C27" s="35" t="s">
        <v>935</v>
      </c>
      <c r="D27" s="35" t="s">
        <v>931</v>
      </c>
      <c r="E27" s="34" t="s">
        <v>660</v>
      </c>
      <c r="F27" s="35"/>
      <c r="G27" s="59">
        <v>109500</v>
      </c>
      <c r="H27" s="59"/>
      <c r="I27" s="61">
        <f t="shared" si="0"/>
        <v>109500</v>
      </c>
      <c r="J27" s="173">
        <f>IF($A27="","",SUM($G$8:G27)-SUM($H$8:H27))</f>
        <v>52726408.460000001</v>
      </c>
      <c r="K27" s="59"/>
    </row>
    <row r="28" spans="1:11" x14ac:dyDescent="0.2">
      <c r="A28" s="44">
        <v>44320</v>
      </c>
      <c r="B28" s="35" t="s">
        <v>934</v>
      </c>
      <c r="C28" s="35" t="s">
        <v>935</v>
      </c>
      <c r="D28" s="35" t="s">
        <v>931</v>
      </c>
      <c r="E28" s="34" t="s">
        <v>660</v>
      </c>
      <c r="F28" s="35"/>
      <c r="G28" s="59">
        <v>44500</v>
      </c>
      <c r="H28" s="59"/>
      <c r="I28" s="61">
        <f t="shared" si="0"/>
        <v>44500</v>
      </c>
      <c r="J28" s="173">
        <f>IF($A28="","",SUM($G$8:G28)-SUM($H$8:H28))</f>
        <v>52770908.460000001</v>
      </c>
      <c r="K28" s="59"/>
    </row>
    <row r="29" spans="1:11" x14ac:dyDescent="0.2">
      <c r="A29" s="44">
        <v>44321</v>
      </c>
      <c r="B29" s="35" t="s">
        <v>934</v>
      </c>
      <c r="C29" s="35" t="s">
        <v>935</v>
      </c>
      <c r="D29" s="35" t="s">
        <v>931</v>
      </c>
      <c r="E29" s="34" t="s">
        <v>660</v>
      </c>
      <c r="F29" s="35"/>
      <c r="G29" s="59">
        <v>15000</v>
      </c>
      <c r="H29" s="59"/>
      <c r="I29" s="61">
        <f t="shared" si="0"/>
        <v>15000</v>
      </c>
      <c r="J29" s="173">
        <f>IF($A29="","",SUM($G$8:G29)-SUM($H$8:H29))</f>
        <v>52785908.460000001</v>
      </c>
      <c r="K29" s="59"/>
    </row>
    <row r="30" spans="1:11" x14ac:dyDescent="0.2">
      <c r="A30" s="44">
        <v>44324</v>
      </c>
      <c r="B30" s="35" t="s">
        <v>934</v>
      </c>
      <c r="C30" s="35" t="s">
        <v>935</v>
      </c>
      <c r="D30" s="35" t="s">
        <v>931</v>
      </c>
      <c r="E30" s="34" t="s">
        <v>660</v>
      </c>
      <c r="F30" s="35"/>
      <c r="G30" s="59">
        <v>300000</v>
      </c>
      <c r="H30" s="59"/>
      <c r="I30" s="61">
        <f t="shared" si="0"/>
        <v>300000</v>
      </c>
      <c r="J30" s="173">
        <f>IF($A30="","",SUM($G$8:G30)-SUM($H$8:H30))</f>
        <v>53085908.460000001</v>
      </c>
      <c r="K30" s="59"/>
    </row>
    <row r="31" spans="1:11" x14ac:dyDescent="0.2">
      <c r="A31" s="44">
        <v>44326</v>
      </c>
      <c r="B31" s="35" t="s">
        <v>934</v>
      </c>
      <c r="C31" s="35" t="s">
        <v>935</v>
      </c>
      <c r="D31" s="35" t="s">
        <v>931</v>
      </c>
      <c r="E31" s="34" t="s">
        <v>660</v>
      </c>
      <c r="F31" s="35"/>
      <c r="G31" s="59">
        <v>425000</v>
      </c>
      <c r="H31" s="59"/>
      <c r="I31" s="61">
        <f t="shared" si="0"/>
        <v>425000</v>
      </c>
      <c r="J31" s="173">
        <f>IF($A31="","",SUM($G$8:G31)-SUM($H$8:H31))</f>
        <v>53510908.460000001</v>
      </c>
      <c r="K31" s="59"/>
    </row>
    <row r="32" spans="1:11" x14ac:dyDescent="0.2">
      <c r="A32" s="44">
        <v>44327</v>
      </c>
      <c r="B32" s="35" t="s">
        <v>679</v>
      </c>
      <c r="C32" s="35" t="s">
        <v>760</v>
      </c>
      <c r="D32" s="35" t="s">
        <v>931</v>
      </c>
      <c r="E32" s="34" t="s">
        <v>660</v>
      </c>
      <c r="F32" s="35"/>
      <c r="G32" s="59">
        <v>1000000</v>
      </c>
      <c r="H32" s="59"/>
      <c r="I32" s="61">
        <f t="shared" si="0"/>
        <v>1000000</v>
      </c>
      <c r="J32" s="173">
        <f>IF($A32="","",SUM($G$8:G32)-SUM($H$8:H32))</f>
        <v>54510908.460000001</v>
      </c>
      <c r="K32" s="59"/>
    </row>
    <row r="33" spans="1:11" x14ac:dyDescent="0.2">
      <c r="A33" s="44">
        <v>44328</v>
      </c>
      <c r="B33" s="35" t="s">
        <v>934</v>
      </c>
      <c r="C33" s="35" t="s">
        <v>935</v>
      </c>
      <c r="D33" s="35" t="s">
        <v>931</v>
      </c>
      <c r="E33" s="34" t="s">
        <v>660</v>
      </c>
      <c r="F33" s="35"/>
      <c r="G33" s="59">
        <v>1378000</v>
      </c>
      <c r="H33" s="59"/>
      <c r="I33" s="61">
        <f t="shared" si="0"/>
        <v>1378000</v>
      </c>
      <c r="J33" s="173">
        <f>IF($A33="","",SUM($G$8:G33)-SUM($H$8:H33))</f>
        <v>55888908.460000001</v>
      </c>
      <c r="K33" s="59"/>
    </row>
    <row r="34" spans="1:11" x14ac:dyDescent="0.2">
      <c r="A34" s="44">
        <v>44330</v>
      </c>
      <c r="B34" s="35" t="s">
        <v>934</v>
      </c>
      <c r="C34" s="35" t="s">
        <v>935</v>
      </c>
      <c r="D34" s="35" t="s">
        <v>931</v>
      </c>
      <c r="E34" s="34" t="s">
        <v>660</v>
      </c>
      <c r="F34" s="35"/>
      <c r="G34" s="59">
        <v>201900</v>
      </c>
      <c r="H34" s="59"/>
      <c r="I34" s="61">
        <f t="shared" si="0"/>
        <v>201900</v>
      </c>
      <c r="J34" s="173">
        <f>IF($A34="","",SUM($G$8:G34)-SUM($H$8:H34))</f>
        <v>56090808.460000001</v>
      </c>
      <c r="K34" s="59"/>
    </row>
    <row r="35" spans="1:11" x14ac:dyDescent="0.2">
      <c r="A35" s="44">
        <v>44336</v>
      </c>
      <c r="B35" s="35" t="s">
        <v>934</v>
      </c>
      <c r="C35" s="35" t="s">
        <v>935</v>
      </c>
      <c r="D35" s="35" t="s">
        <v>931</v>
      </c>
      <c r="E35" s="34" t="s">
        <v>660</v>
      </c>
      <c r="F35" s="35"/>
      <c r="G35" s="59">
        <v>100000</v>
      </c>
      <c r="H35" s="59"/>
      <c r="I35" s="61">
        <f t="shared" si="0"/>
        <v>100000</v>
      </c>
      <c r="J35" s="173">
        <f>IF($A35="","",SUM($G$8:G35)-SUM($H$8:H35))</f>
        <v>56190808.460000001</v>
      </c>
      <c r="K35" s="59"/>
    </row>
    <row r="36" spans="1:11" x14ac:dyDescent="0.2">
      <c r="A36" s="44">
        <v>44338</v>
      </c>
      <c r="B36" s="35" t="s">
        <v>934</v>
      </c>
      <c r="C36" s="35" t="s">
        <v>935</v>
      </c>
      <c r="D36" s="35" t="s">
        <v>931</v>
      </c>
      <c r="E36" s="34" t="s">
        <v>660</v>
      </c>
      <c r="F36" s="35"/>
      <c r="G36" s="59">
        <v>10000</v>
      </c>
      <c r="H36" s="59"/>
      <c r="I36" s="61">
        <f t="shared" si="0"/>
        <v>10000</v>
      </c>
      <c r="J36" s="173">
        <f>IF($A36="","",SUM($G$8:G36)-SUM($H$8:H36))</f>
        <v>56200808.460000001</v>
      </c>
      <c r="K36" s="59"/>
    </row>
    <row r="37" spans="1:11" x14ac:dyDescent="0.2">
      <c r="A37" s="44">
        <v>44340</v>
      </c>
      <c r="B37" s="35" t="s">
        <v>934</v>
      </c>
      <c r="C37" s="35" t="s">
        <v>935</v>
      </c>
      <c r="D37" s="35" t="s">
        <v>931</v>
      </c>
      <c r="E37" s="34" t="s">
        <v>660</v>
      </c>
      <c r="F37" s="35"/>
      <c r="G37" s="59">
        <v>52000</v>
      </c>
      <c r="H37" s="59"/>
      <c r="I37" s="61">
        <f t="shared" si="0"/>
        <v>52000</v>
      </c>
      <c r="J37" s="173">
        <f>IF($A37="","",SUM($G$8:G37)-SUM($H$8:H37))</f>
        <v>56252808.460000001</v>
      </c>
      <c r="K37" s="59"/>
    </row>
    <row r="38" spans="1:11" x14ac:dyDescent="0.2">
      <c r="A38" s="44">
        <v>44341</v>
      </c>
      <c r="B38" s="35" t="s">
        <v>739</v>
      </c>
      <c r="C38" s="35" t="s">
        <v>757</v>
      </c>
      <c r="D38" s="35" t="s">
        <v>931</v>
      </c>
      <c r="E38" s="34" t="s">
        <v>660</v>
      </c>
      <c r="F38" s="35"/>
      <c r="G38" s="59">
        <v>10000000</v>
      </c>
      <c r="H38" s="59"/>
      <c r="I38" s="61">
        <f t="shared" si="0"/>
        <v>10000000</v>
      </c>
      <c r="J38" s="173">
        <f>IF($A38="","",SUM($G$8:G38)-SUM($H$8:H38))</f>
        <v>66252808.460000001</v>
      </c>
      <c r="K38" s="59"/>
    </row>
    <row r="39" spans="1:11" x14ac:dyDescent="0.2">
      <c r="A39" s="44">
        <v>44341</v>
      </c>
      <c r="B39" s="35" t="s">
        <v>739</v>
      </c>
      <c r="C39" s="35" t="s">
        <v>758</v>
      </c>
      <c r="D39" s="35" t="s">
        <v>931</v>
      </c>
      <c r="E39" s="34" t="s">
        <v>660</v>
      </c>
      <c r="F39" s="35"/>
      <c r="G39" s="59">
        <v>10000000</v>
      </c>
      <c r="H39" s="59"/>
      <c r="I39" s="61">
        <f t="shared" si="0"/>
        <v>10000000</v>
      </c>
      <c r="J39" s="173">
        <f>IF($A39="","",SUM($G$8:G39)-SUM($H$8:H39))</f>
        <v>76252808.460000008</v>
      </c>
      <c r="K39" s="59"/>
    </row>
    <row r="40" spans="1:11" x14ac:dyDescent="0.2">
      <c r="A40" s="44">
        <v>44344</v>
      </c>
      <c r="B40" s="35" t="s">
        <v>934</v>
      </c>
      <c r="C40" s="35" t="s">
        <v>935</v>
      </c>
      <c r="D40" s="35" t="s">
        <v>931</v>
      </c>
      <c r="E40" s="34" t="s">
        <v>660</v>
      </c>
      <c r="F40" s="35"/>
      <c r="G40" s="59">
        <v>175000</v>
      </c>
      <c r="H40" s="59"/>
      <c r="I40" s="61">
        <f t="shared" ref="I40:I50" si="1">IF(A40="","",IF(G40&gt;0,G40,-H40))</f>
        <v>175000</v>
      </c>
      <c r="J40" s="173">
        <f>IF($A40="","",SUM($G$8:G40)-SUM($H$8:H40))</f>
        <v>76427808.460000008</v>
      </c>
      <c r="K40" s="59"/>
    </row>
    <row r="41" spans="1:11" x14ac:dyDescent="0.2">
      <c r="A41" s="44">
        <v>44403</v>
      </c>
      <c r="B41" s="35" t="s">
        <v>679</v>
      </c>
      <c r="C41" s="35" t="s">
        <v>979</v>
      </c>
      <c r="D41" s="35" t="s">
        <v>936</v>
      </c>
      <c r="E41" s="34" t="s">
        <v>718</v>
      </c>
      <c r="F41" s="35"/>
      <c r="G41" s="59"/>
      <c r="H41" s="59">
        <v>350000</v>
      </c>
      <c r="I41" s="61">
        <f t="shared" si="1"/>
        <v>-350000</v>
      </c>
      <c r="J41" s="173">
        <f>IF($A41="","",SUM($G$8:G41)-SUM($H$8:H41))</f>
        <v>76077808.460000008</v>
      </c>
      <c r="K41" s="59"/>
    </row>
    <row r="42" spans="1:11" x14ac:dyDescent="0.2">
      <c r="A42" s="44">
        <v>44349</v>
      </c>
      <c r="B42" s="35" t="s">
        <v>934</v>
      </c>
      <c r="C42" s="35" t="s">
        <v>935</v>
      </c>
      <c r="D42" s="35" t="s">
        <v>931</v>
      </c>
      <c r="E42" s="34" t="s">
        <v>660</v>
      </c>
      <c r="F42" s="35"/>
      <c r="G42" s="59">
        <v>750000</v>
      </c>
      <c r="H42" s="59"/>
      <c r="I42" s="61">
        <f t="shared" si="1"/>
        <v>750000</v>
      </c>
      <c r="J42" s="173">
        <f>IF($A42="","",SUM($G$8:G42)-SUM($H$8:H42))</f>
        <v>76827808.460000008</v>
      </c>
      <c r="K42" s="59"/>
    </row>
    <row r="43" spans="1:11" x14ac:dyDescent="0.2">
      <c r="A43" s="44">
        <v>44352</v>
      </c>
      <c r="B43" s="35" t="s">
        <v>739</v>
      </c>
      <c r="C43" s="35" t="s">
        <v>756</v>
      </c>
      <c r="D43" s="35" t="s">
        <v>931</v>
      </c>
      <c r="E43" s="34" t="s">
        <v>660</v>
      </c>
      <c r="F43" s="35"/>
      <c r="G43" s="59">
        <v>10000000</v>
      </c>
      <c r="H43" s="59"/>
      <c r="I43" s="61">
        <f t="shared" si="1"/>
        <v>10000000</v>
      </c>
      <c r="J43" s="173">
        <f>IF($A43="","",SUM($G$8:G43)-SUM($H$8:H43))</f>
        <v>86827808.460000008</v>
      </c>
      <c r="K43" s="59"/>
    </row>
    <row r="44" spans="1:11" x14ac:dyDescent="0.2">
      <c r="A44" s="44">
        <v>44354</v>
      </c>
      <c r="B44" s="35" t="s">
        <v>934</v>
      </c>
      <c r="C44" s="35" t="s">
        <v>935</v>
      </c>
      <c r="D44" s="35" t="s">
        <v>931</v>
      </c>
      <c r="E44" s="34" t="s">
        <v>660</v>
      </c>
      <c r="F44" s="35"/>
      <c r="G44" s="59">
        <v>4747000</v>
      </c>
      <c r="H44" s="59"/>
      <c r="I44" s="61">
        <f t="shared" si="1"/>
        <v>4747000</v>
      </c>
      <c r="J44" s="173">
        <f>IF($A44="","",SUM($G$8:G44)-SUM($H$8:H44))</f>
        <v>91574808.460000008</v>
      </c>
      <c r="K44" s="59"/>
    </row>
    <row r="45" spans="1:11" x14ac:dyDescent="0.2">
      <c r="A45" s="44">
        <v>44355</v>
      </c>
      <c r="B45" s="35" t="s">
        <v>739</v>
      </c>
      <c r="C45" s="35" t="s">
        <v>759</v>
      </c>
      <c r="D45" s="35" t="s">
        <v>931</v>
      </c>
      <c r="E45" s="34" t="s">
        <v>660</v>
      </c>
      <c r="F45" s="35"/>
      <c r="G45" s="59">
        <v>10000000</v>
      </c>
      <c r="H45" s="59"/>
      <c r="I45" s="61">
        <f t="shared" si="1"/>
        <v>10000000</v>
      </c>
      <c r="J45" s="173">
        <f>IF($A45="","",SUM($G$8:G45)-SUM($H$8:H45))</f>
        <v>101574808.46000001</v>
      </c>
      <c r="K45" s="59"/>
    </row>
    <row r="46" spans="1:11" x14ac:dyDescent="0.2">
      <c r="A46" s="44">
        <v>44371</v>
      </c>
      <c r="B46" s="35" t="s">
        <v>679</v>
      </c>
      <c r="C46" s="35" t="s">
        <v>760</v>
      </c>
      <c r="D46" s="35" t="s">
        <v>931</v>
      </c>
      <c r="E46" s="34" t="s">
        <v>660</v>
      </c>
      <c r="F46" s="35"/>
      <c r="G46" s="59">
        <v>3000000</v>
      </c>
      <c r="H46" s="59"/>
      <c r="I46" s="61">
        <f t="shared" si="1"/>
        <v>3000000</v>
      </c>
      <c r="J46" s="173">
        <f>IF($A46="","",SUM($G$8:G46)-SUM($H$8:H46))</f>
        <v>104574808.46000001</v>
      </c>
      <c r="K46" s="59"/>
    </row>
    <row r="47" spans="1:11" x14ac:dyDescent="0.2">
      <c r="A47" s="44">
        <v>44372</v>
      </c>
      <c r="B47" s="35" t="s">
        <v>679</v>
      </c>
      <c r="C47" s="35" t="s">
        <v>760</v>
      </c>
      <c r="D47" s="35" t="s">
        <v>931</v>
      </c>
      <c r="E47" s="34" t="s">
        <v>660</v>
      </c>
      <c r="F47" s="35"/>
      <c r="G47" s="59">
        <v>3000000</v>
      </c>
      <c r="H47" s="59"/>
      <c r="I47" s="61">
        <f t="shared" si="1"/>
        <v>3000000</v>
      </c>
      <c r="J47" s="173">
        <f>IF($A47="","",SUM($G$8:G47)-SUM($H$8:H47))</f>
        <v>107574808.46000001</v>
      </c>
      <c r="K47" s="59"/>
    </row>
    <row r="48" spans="1:11" x14ac:dyDescent="0.2">
      <c r="A48" s="220">
        <v>44408</v>
      </c>
      <c r="B48" s="35" t="s">
        <v>934</v>
      </c>
      <c r="C48" s="35" t="s">
        <v>935</v>
      </c>
      <c r="D48" s="35" t="s">
        <v>931</v>
      </c>
      <c r="E48" s="34" t="s">
        <v>660</v>
      </c>
      <c r="F48" s="35"/>
      <c r="G48" s="59">
        <v>135000</v>
      </c>
      <c r="H48" s="59"/>
      <c r="I48" s="61">
        <f t="shared" si="1"/>
        <v>135000</v>
      </c>
      <c r="J48" s="173">
        <f>IF($A48="","",SUM($G$8:G48)-SUM($H$8:H48))</f>
        <v>107709808.46000001</v>
      </c>
      <c r="K48" s="59"/>
    </row>
    <row r="49" spans="1:11" x14ac:dyDescent="0.2">
      <c r="A49" s="44">
        <v>44234</v>
      </c>
      <c r="B49" s="35" t="s">
        <v>679</v>
      </c>
      <c r="C49" s="35" t="s">
        <v>760</v>
      </c>
      <c r="D49" s="35" t="s">
        <v>933</v>
      </c>
      <c r="E49" s="34" t="s">
        <v>742</v>
      </c>
      <c r="F49" s="35"/>
      <c r="G49" s="59">
        <v>20000000</v>
      </c>
      <c r="H49" s="59"/>
      <c r="I49" s="61">
        <f t="shared" si="1"/>
        <v>20000000</v>
      </c>
      <c r="J49" s="173">
        <f>IF($A49="","",SUM($G$8:G49)-SUM($H$8:H49))</f>
        <v>127709808.46000001</v>
      </c>
      <c r="K49" s="59"/>
    </row>
    <row r="50" spans="1:11" x14ac:dyDescent="0.2">
      <c r="A50" s="44">
        <v>44396</v>
      </c>
      <c r="B50" s="35" t="s">
        <v>679</v>
      </c>
      <c r="C50" s="35" t="s">
        <v>760</v>
      </c>
      <c r="D50" s="35" t="s">
        <v>933</v>
      </c>
      <c r="E50" s="34" t="s">
        <v>742</v>
      </c>
      <c r="F50" s="35"/>
      <c r="G50" s="59">
        <v>20000000</v>
      </c>
      <c r="H50" s="59"/>
      <c r="I50" s="61">
        <f t="shared" si="1"/>
        <v>20000000</v>
      </c>
      <c r="J50" s="173">
        <f>IF($A50="","",SUM($G$8:G50)-SUM($H$8:H50))</f>
        <v>147709808.46000001</v>
      </c>
      <c r="K50" s="59"/>
    </row>
    <row r="51" spans="1:11" x14ac:dyDescent="0.2">
      <c r="A51" s="44">
        <v>44273</v>
      </c>
      <c r="B51" s="35" t="s">
        <v>934</v>
      </c>
      <c r="C51" s="35" t="s">
        <v>542</v>
      </c>
      <c r="D51" s="35" t="s">
        <v>936</v>
      </c>
      <c r="E51" s="34" t="s">
        <v>718</v>
      </c>
      <c r="F51" s="35"/>
      <c r="G51" s="59"/>
      <c r="H51" s="59">
        <v>4830000</v>
      </c>
      <c r="I51" s="61">
        <f t="shared" ref="I51:I67" si="2">IF(A51="","",IF(G51&gt;0,G51,-H51))</f>
        <v>-4830000</v>
      </c>
      <c r="J51" s="173">
        <f>IF($A51="","",SUM($G$8:G51)-SUM($H$8:H51))</f>
        <v>142879808.46000001</v>
      </c>
      <c r="K51" s="59"/>
    </row>
    <row r="52" spans="1:11" x14ac:dyDescent="0.2">
      <c r="A52" s="44">
        <v>44273</v>
      </c>
      <c r="B52" s="35" t="s">
        <v>934</v>
      </c>
      <c r="C52" s="35" t="s">
        <v>544</v>
      </c>
      <c r="D52" s="35" t="s">
        <v>936</v>
      </c>
      <c r="E52" s="34" t="s">
        <v>718</v>
      </c>
      <c r="F52" s="35"/>
      <c r="G52" s="59"/>
      <c r="H52" s="59">
        <v>100000</v>
      </c>
      <c r="I52" s="61">
        <f t="shared" si="2"/>
        <v>-100000</v>
      </c>
      <c r="J52" s="173">
        <f>IF($A52="","",SUM($G$8:G52)-SUM($H$8:H52))</f>
        <v>142779808.46000001</v>
      </c>
      <c r="K52" s="59"/>
    </row>
    <row r="53" spans="1:11" x14ac:dyDescent="0.2">
      <c r="A53" s="44">
        <v>44273</v>
      </c>
      <c r="B53" s="35" t="s">
        <v>934</v>
      </c>
      <c r="C53" s="35" t="s">
        <v>545</v>
      </c>
      <c r="D53" s="35" t="s">
        <v>936</v>
      </c>
      <c r="E53" s="34" t="s">
        <v>718</v>
      </c>
      <c r="F53" s="35"/>
      <c r="G53" s="59"/>
      <c r="H53" s="59">
        <v>650000</v>
      </c>
      <c r="I53" s="61">
        <f t="shared" si="2"/>
        <v>-650000</v>
      </c>
      <c r="J53" s="173">
        <f>IF($A53="","",SUM($G$8:G53)-SUM($H$8:H53))</f>
        <v>142129808.46000001</v>
      </c>
      <c r="K53" s="59"/>
    </row>
    <row r="54" spans="1:11" x14ac:dyDescent="0.2">
      <c r="A54" s="44">
        <v>44273</v>
      </c>
      <c r="B54" s="35" t="s">
        <v>934</v>
      </c>
      <c r="C54" s="35" t="s">
        <v>541</v>
      </c>
      <c r="D54" s="35" t="s">
        <v>936</v>
      </c>
      <c r="E54" s="34" t="s">
        <v>717</v>
      </c>
      <c r="F54" s="35"/>
      <c r="G54" s="59"/>
      <c r="H54" s="59">
        <v>1850000</v>
      </c>
      <c r="I54" s="61">
        <f t="shared" si="2"/>
        <v>-1850000</v>
      </c>
      <c r="J54" s="173">
        <f>IF($A54="","",SUM($G$8:G54)-SUM($H$8:H54))</f>
        <v>140279808.46000001</v>
      </c>
      <c r="K54" s="59"/>
    </row>
    <row r="55" spans="1:11" x14ac:dyDescent="0.2">
      <c r="A55" s="44">
        <v>44273</v>
      </c>
      <c r="B55" s="35" t="s">
        <v>934</v>
      </c>
      <c r="C55" s="35" t="s">
        <v>543</v>
      </c>
      <c r="D55" s="35" t="s">
        <v>936</v>
      </c>
      <c r="E55" s="34" t="s">
        <v>719</v>
      </c>
      <c r="F55" s="35"/>
      <c r="G55" s="59"/>
      <c r="H55" s="59">
        <v>480000</v>
      </c>
      <c r="I55" s="61">
        <f t="shared" si="2"/>
        <v>-480000</v>
      </c>
      <c r="J55" s="173">
        <f>IF($A55="","",SUM($G$8:G55)-SUM($H$8:H55))</f>
        <v>139799808.46000001</v>
      </c>
      <c r="K55" s="59"/>
    </row>
    <row r="56" spans="1:11" x14ac:dyDescent="0.2">
      <c r="A56" s="44">
        <v>44286</v>
      </c>
      <c r="B56" s="35" t="s">
        <v>934</v>
      </c>
      <c r="C56" s="35" t="s">
        <v>582</v>
      </c>
      <c r="D56" s="35" t="s">
        <v>936</v>
      </c>
      <c r="E56" s="34" t="s">
        <v>719</v>
      </c>
      <c r="F56" s="35"/>
      <c r="G56" s="59"/>
      <c r="H56" s="59">
        <v>1400000</v>
      </c>
      <c r="I56" s="61">
        <f t="shared" si="2"/>
        <v>-1400000</v>
      </c>
      <c r="J56" s="173">
        <f>IF($A56="","",SUM($G$8:G56)-SUM($H$8:H56))</f>
        <v>138399808.46000001</v>
      </c>
      <c r="K56" s="59"/>
    </row>
    <row r="57" spans="1:11" x14ac:dyDescent="0.2">
      <c r="A57" s="44">
        <v>44314</v>
      </c>
      <c r="B57" s="35" t="s">
        <v>934</v>
      </c>
      <c r="C57" s="35" t="s">
        <v>602</v>
      </c>
      <c r="D57" s="35" t="s">
        <v>936</v>
      </c>
      <c r="E57" s="34" t="s">
        <v>717</v>
      </c>
      <c r="F57" s="35"/>
      <c r="G57" s="59"/>
      <c r="H57" s="59">
        <v>1045000</v>
      </c>
      <c r="I57" s="61">
        <f t="shared" si="2"/>
        <v>-1045000</v>
      </c>
      <c r="J57" s="173">
        <f>IF($A57="","",SUM($G$8:G57)-SUM($H$8:H57))</f>
        <v>137354808.46000001</v>
      </c>
      <c r="K57" s="59"/>
    </row>
    <row r="58" spans="1:11" x14ac:dyDescent="0.2">
      <c r="A58" s="44">
        <v>44315</v>
      </c>
      <c r="B58" s="35" t="s">
        <v>934</v>
      </c>
      <c r="C58" s="35" t="s">
        <v>939</v>
      </c>
      <c r="D58" s="35" t="s">
        <v>936</v>
      </c>
      <c r="E58" s="34" t="s">
        <v>717</v>
      </c>
      <c r="F58" s="35"/>
      <c r="G58" s="59"/>
      <c r="H58" s="59">
        <v>130000</v>
      </c>
      <c r="I58" s="61">
        <f t="shared" si="2"/>
        <v>-130000</v>
      </c>
      <c r="J58" s="173">
        <f>IF($A58="","",SUM($G$8:G58)-SUM($H$8:H58))</f>
        <v>137224808.46000001</v>
      </c>
      <c r="K58" s="59"/>
    </row>
    <row r="59" spans="1:11" x14ac:dyDescent="0.2">
      <c r="A59" s="44">
        <v>44315</v>
      </c>
      <c r="B59" s="35" t="s">
        <v>934</v>
      </c>
      <c r="C59" s="35" t="s">
        <v>940</v>
      </c>
      <c r="D59" s="35" t="s">
        <v>936</v>
      </c>
      <c r="E59" s="34" t="s">
        <v>717</v>
      </c>
      <c r="F59" s="35"/>
      <c r="G59" s="59"/>
      <c r="H59" s="59">
        <f>450000*2</f>
        <v>900000</v>
      </c>
      <c r="I59" s="61">
        <f t="shared" si="2"/>
        <v>-900000</v>
      </c>
      <c r="J59" s="173">
        <f>IF($A59="","",SUM($G$8:G59)-SUM($H$8:H59))</f>
        <v>136324808.46000001</v>
      </c>
      <c r="K59" s="59"/>
    </row>
    <row r="60" spans="1:11" x14ac:dyDescent="0.2">
      <c r="A60" s="44">
        <v>44316</v>
      </c>
      <c r="B60" s="35" t="s">
        <v>934</v>
      </c>
      <c r="C60" s="35" t="s">
        <v>605</v>
      </c>
      <c r="D60" s="35" t="s">
        <v>936</v>
      </c>
      <c r="E60" s="34" t="s">
        <v>718</v>
      </c>
      <c r="F60" s="35"/>
      <c r="G60" s="59"/>
      <c r="H60" s="59">
        <v>123000</v>
      </c>
      <c r="I60" s="61">
        <f t="shared" si="2"/>
        <v>-123000</v>
      </c>
      <c r="J60" s="173">
        <f>IF($A60="","",SUM($G$8:G60)-SUM($H$8:H60))</f>
        <v>136201808.46000001</v>
      </c>
      <c r="K60" s="59"/>
    </row>
    <row r="61" spans="1:11" x14ac:dyDescent="0.2">
      <c r="A61" s="44">
        <v>44326</v>
      </c>
      <c r="B61" s="35" t="s">
        <v>934</v>
      </c>
      <c r="C61" s="35" t="s">
        <v>624</v>
      </c>
      <c r="D61" s="35" t="s">
        <v>936</v>
      </c>
      <c r="E61" s="35" t="s">
        <v>717</v>
      </c>
      <c r="F61" s="35"/>
      <c r="G61" s="59"/>
      <c r="H61" s="59">
        <v>175000</v>
      </c>
      <c r="I61" s="61">
        <f t="shared" si="2"/>
        <v>-175000</v>
      </c>
      <c r="J61" s="173">
        <f>IF($A61="","",SUM($G$8:G61)-SUM($H$8:H61))</f>
        <v>136026808.46000001</v>
      </c>
      <c r="K61" s="59"/>
    </row>
    <row r="62" spans="1:11" x14ac:dyDescent="0.2">
      <c r="A62" s="44">
        <v>44328</v>
      </c>
      <c r="B62" s="35" t="s">
        <v>934</v>
      </c>
      <c r="C62" s="35" t="s">
        <v>627</v>
      </c>
      <c r="D62" s="35" t="s">
        <v>936</v>
      </c>
      <c r="E62" s="34" t="s">
        <v>719</v>
      </c>
      <c r="F62" s="35"/>
      <c r="G62" s="59"/>
      <c r="H62" s="59">
        <v>1350000</v>
      </c>
      <c r="I62" s="61">
        <f t="shared" si="2"/>
        <v>-1350000</v>
      </c>
      <c r="J62" s="173">
        <f>IF($A62="","",SUM($G$8:G62)-SUM($H$8:H62))</f>
        <v>134676808.46000001</v>
      </c>
      <c r="K62" s="59"/>
    </row>
    <row r="63" spans="1:11" x14ac:dyDescent="0.2">
      <c r="A63" s="45">
        <v>44330</v>
      </c>
      <c r="B63" s="35" t="s">
        <v>934</v>
      </c>
      <c r="C63" s="35" t="s">
        <v>630</v>
      </c>
      <c r="D63" s="35" t="s">
        <v>936</v>
      </c>
      <c r="E63" s="35" t="s">
        <v>719</v>
      </c>
      <c r="F63" s="35"/>
      <c r="G63" s="59"/>
      <c r="H63" s="59">
        <v>138000</v>
      </c>
      <c r="I63" s="61">
        <f t="shared" si="2"/>
        <v>-138000</v>
      </c>
      <c r="J63" s="173">
        <f>IF($A63="","",SUM($G$8:G63)-SUM($H$8:H63))</f>
        <v>134538808.46000001</v>
      </c>
      <c r="K63" s="59"/>
    </row>
    <row r="64" spans="1:11" x14ac:dyDescent="0.2">
      <c r="A64" s="45">
        <v>44340</v>
      </c>
      <c r="B64" s="35" t="s">
        <v>934</v>
      </c>
      <c r="C64" s="35" t="s">
        <v>943</v>
      </c>
      <c r="D64" s="35" t="s">
        <v>936</v>
      </c>
      <c r="E64" s="34" t="s">
        <v>717</v>
      </c>
      <c r="F64" s="35"/>
      <c r="G64" s="59"/>
      <c r="H64" s="48">
        <v>52000</v>
      </c>
      <c r="I64" s="61">
        <f t="shared" si="2"/>
        <v>-52000</v>
      </c>
      <c r="J64" s="173">
        <f>IF($A64="","",SUM($G$8:G64)-SUM($H$8:H64))</f>
        <v>134486808.46000001</v>
      </c>
      <c r="K64" s="59"/>
    </row>
    <row r="65" spans="1:11" x14ac:dyDescent="0.2">
      <c r="A65" s="45">
        <v>44354</v>
      </c>
      <c r="B65" s="35" t="s">
        <v>934</v>
      </c>
      <c r="C65" s="35" t="s">
        <v>641</v>
      </c>
      <c r="D65" s="35" t="s">
        <v>936</v>
      </c>
      <c r="E65" s="35" t="s">
        <v>735</v>
      </c>
      <c r="F65" s="35"/>
      <c r="G65" s="59"/>
      <c r="H65" s="59">
        <v>4650000</v>
      </c>
      <c r="I65" s="61">
        <f t="shared" si="2"/>
        <v>-4650000</v>
      </c>
      <c r="J65" s="173">
        <f>IF($A65="","",SUM($G$8:G65)-SUM($H$8:H65))</f>
        <v>129836808.46000001</v>
      </c>
      <c r="K65" s="59"/>
    </row>
    <row r="66" spans="1:11" x14ac:dyDescent="0.2">
      <c r="A66" s="45">
        <v>44354</v>
      </c>
      <c r="B66" s="35" t="s">
        <v>934</v>
      </c>
      <c r="C66" s="35" t="s">
        <v>642</v>
      </c>
      <c r="D66" s="35" t="s">
        <v>936</v>
      </c>
      <c r="E66" s="34" t="s">
        <v>735</v>
      </c>
      <c r="F66" s="35"/>
      <c r="G66" s="59"/>
      <c r="H66" s="59">
        <v>7000</v>
      </c>
      <c r="I66" s="61">
        <f t="shared" si="2"/>
        <v>-7000</v>
      </c>
      <c r="J66" s="173">
        <f>IF($A66="","",SUM($G$8:G66)-SUM($H$8:H66))</f>
        <v>129829808.46000001</v>
      </c>
      <c r="K66" s="59"/>
    </row>
    <row r="67" spans="1:11" x14ac:dyDescent="0.2">
      <c r="A67" s="45">
        <v>44354</v>
      </c>
      <c r="B67" s="35" t="s">
        <v>934</v>
      </c>
      <c r="C67" s="35" t="s">
        <v>644</v>
      </c>
      <c r="D67" s="35" t="s">
        <v>936</v>
      </c>
      <c r="E67" s="34" t="s">
        <v>735</v>
      </c>
      <c r="F67" s="35"/>
      <c r="G67" s="59"/>
      <c r="H67" s="59">
        <v>20000</v>
      </c>
      <c r="I67" s="61">
        <f t="shared" si="2"/>
        <v>-20000</v>
      </c>
      <c r="J67" s="173">
        <f>IF($A67="","",SUM($G$8:G67)-SUM($H$8:H67))</f>
        <v>129809808.46000001</v>
      </c>
      <c r="K67" s="59"/>
    </row>
    <row r="68" spans="1:11" x14ac:dyDescent="0.2">
      <c r="A68" s="45">
        <v>44285</v>
      </c>
      <c r="B68" s="35" t="s">
        <v>934</v>
      </c>
      <c r="C68" s="35" t="s">
        <v>580</v>
      </c>
      <c r="D68" s="35" t="s">
        <v>937</v>
      </c>
      <c r="E68" s="35" t="s">
        <v>724</v>
      </c>
      <c r="F68" s="35"/>
      <c r="G68" s="59"/>
      <c r="H68" s="59">
        <v>2700000</v>
      </c>
      <c r="I68" s="61">
        <f>IF(A68="","",IF(G68&gt;0,G68,-H68))</f>
        <v>-2700000</v>
      </c>
      <c r="J68" s="173">
        <f>IF($A68="","",SUM($G$8:G68)-SUM($H$8:H68))</f>
        <v>127109808.46000001</v>
      </c>
      <c r="K68" s="59"/>
    </row>
    <row r="69" spans="1:11" x14ac:dyDescent="0.2">
      <c r="A69" s="45">
        <v>44286</v>
      </c>
      <c r="B69" s="35" t="s">
        <v>934</v>
      </c>
      <c r="C69" s="34" t="s">
        <v>581</v>
      </c>
      <c r="D69" s="35" t="s">
        <v>937</v>
      </c>
      <c r="E69" s="34" t="s">
        <v>724</v>
      </c>
      <c r="F69" s="35"/>
      <c r="G69" s="59"/>
      <c r="H69" s="59">
        <v>1130000</v>
      </c>
      <c r="I69" s="61">
        <f>IF(A69="","",IF(G69&gt;0,G69,-H69))</f>
        <v>-1130000</v>
      </c>
      <c r="J69" s="173">
        <f>IF($A69="","",SUM($G$8:G69)-SUM($H$8:H69))</f>
        <v>125979808.46000001</v>
      </c>
      <c r="K69" s="59"/>
    </row>
    <row r="70" spans="1:11" x14ac:dyDescent="0.2">
      <c r="A70" s="45">
        <v>44292</v>
      </c>
      <c r="B70" s="35" t="s">
        <v>934</v>
      </c>
      <c r="C70" s="34" t="s">
        <v>584</v>
      </c>
      <c r="D70" s="35" t="s">
        <v>937</v>
      </c>
      <c r="E70" s="34" t="s">
        <v>724</v>
      </c>
      <c r="F70" s="35"/>
      <c r="G70" s="59"/>
      <c r="H70" s="59">
        <v>300000</v>
      </c>
      <c r="I70" s="61">
        <f>IF(A70="","",IF(G70&gt;0,G70,-H70))</f>
        <v>-300000</v>
      </c>
      <c r="J70" s="173">
        <f>IF($A70="","",SUM($G$8:G70)-SUM($H$8:H70))</f>
        <v>125679808.46000001</v>
      </c>
      <c r="K70" s="59"/>
    </row>
    <row r="71" spans="1:11" x14ac:dyDescent="0.2">
      <c r="A71" s="45">
        <v>44311</v>
      </c>
      <c r="B71" s="35" t="s">
        <v>934</v>
      </c>
      <c r="C71" s="35" t="s">
        <v>587</v>
      </c>
      <c r="D71" s="35" t="s">
        <v>937</v>
      </c>
      <c r="E71" s="35" t="s">
        <v>724</v>
      </c>
      <c r="F71" s="35"/>
      <c r="G71" s="59"/>
      <c r="H71" s="59">
        <v>27000</v>
      </c>
      <c r="I71" s="61">
        <f>IF(A71="","",IF(G71&gt;0,G71,-H71))</f>
        <v>-27000</v>
      </c>
      <c r="J71" s="173">
        <f>IF($A71="","",SUM($G$8:G71)-SUM($H$8:H71))</f>
        <v>125652808.46000001</v>
      </c>
      <c r="K71" s="59"/>
    </row>
    <row r="72" spans="1:11" x14ac:dyDescent="0.2">
      <c r="A72" s="45">
        <v>44311</v>
      </c>
      <c r="B72" s="35" t="s">
        <v>934</v>
      </c>
      <c r="C72" s="35" t="s">
        <v>588</v>
      </c>
      <c r="D72" s="35" t="s">
        <v>937</v>
      </c>
      <c r="E72" s="35" t="s">
        <v>724</v>
      </c>
      <c r="F72" s="35"/>
      <c r="G72" s="59"/>
      <c r="H72" s="59">
        <v>75000</v>
      </c>
      <c r="I72" s="61">
        <f>IF(A72="","",IF(G72&gt;0,G72,-H72))</f>
        <v>-75000</v>
      </c>
      <c r="J72" s="173">
        <f>IF($A72="","",SUM($G$8:G72)-SUM($H$8:H72))</f>
        <v>125577808.46000001</v>
      </c>
      <c r="K72" s="59"/>
    </row>
    <row r="73" spans="1:11" x14ac:dyDescent="0.2">
      <c r="A73" s="45">
        <v>44311</v>
      </c>
      <c r="B73" s="35" t="s">
        <v>934</v>
      </c>
      <c r="C73" s="35" t="s">
        <v>589</v>
      </c>
      <c r="D73" s="35" t="s">
        <v>937</v>
      </c>
      <c r="E73" s="35" t="s">
        <v>724</v>
      </c>
      <c r="F73" s="35"/>
      <c r="G73" s="59"/>
      <c r="H73" s="59">
        <v>12000</v>
      </c>
      <c r="I73" s="61">
        <f t="shared" ref="I73:I104" si="3">IF(A73="","",IF(G73&gt;0,G73,-H73))</f>
        <v>-12000</v>
      </c>
      <c r="J73" s="173">
        <f>IF($A73="","",SUM($G$8:G73)-SUM($H$8:H73))</f>
        <v>125565808.46000001</v>
      </c>
      <c r="K73" s="59"/>
    </row>
    <row r="74" spans="1:11" x14ac:dyDescent="0.2">
      <c r="A74" s="45">
        <v>44311</v>
      </c>
      <c r="B74" s="35" t="s">
        <v>934</v>
      </c>
      <c r="C74" s="35" t="s">
        <v>590</v>
      </c>
      <c r="D74" s="35" t="s">
        <v>937</v>
      </c>
      <c r="E74" s="35" t="s">
        <v>724</v>
      </c>
      <c r="F74" s="35"/>
      <c r="G74" s="59"/>
      <c r="H74" s="59">
        <v>20000</v>
      </c>
      <c r="I74" s="61">
        <f t="shared" si="3"/>
        <v>-20000</v>
      </c>
      <c r="J74" s="173">
        <f>IF($A74="","",SUM($G$8:G74)-SUM($H$8:H74))</f>
        <v>125545808.46000001</v>
      </c>
      <c r="K74" s="59"/>
    </row>
    <row r="75" spans="1:11" x14ac:dyDescent="0.2">
      <c r="A75" s="45">
        <v>44312</v>
      </c>
      <c r="B75" s="35" t="s">
        <v>934</v>
      </c>
      <c r="C75" s="35" t="s">
        <v>591</v>
      </c>
      <c r="D75" s="35" t="s">
        <v>937</v>
      </c>
      <c r="E75" s="35" t="s">
        <v>724</v>
      </c>
      <c r="F75" s="35"/>
      <c r="G75" s="59"/>
      <c r="H75" s="59">
        <v>310000</v>
      </c>
      <c r="I75" s="61">
        <f t="shared" si="3"/>
        <v>-310000</v>
      </c>
      <c r="J75" s="173">
        <f>IF($A75="","",SUM($G$8:G75)-SUM($H$8:H75))</f>
        <v>125235808.46000001</v>
      </c>
      <c r="K75" s="59"/>
    </row>
    <row r="76" spans="1:11" x14ac:dyDescent="0.2">
      <c r="A76" s="45">
        <v>44314</v>
      </c>
      <c r="B76" s="35" t="s">
        <v>934</v>
      </c>
      <c r="C76" s="35" t="s">
        <v>600</v>
      </c>
      <c r="D76" s="35" t="s">
        <v>937</v>
      </c>
      <c r="E76" s="35" t="s">
        <v>724</v>
      </c>
      <c r="F76" s="35"/>
      <c r="G76" s="59"/>
      <c r="H76" s="59">
        <v>200000</v>
      </c>
      <c r="I76" s="61">
        <f t="shared" si="3"/>
        <v>-200000</v>
      </c>
      <c r="J76" s="173">
        <f>IF($A76="","",SUM($G$8:G76)-SUM($H$8:H76))</f>
        <v>125035808.46000001</v>
      </c>
      <c r="K76" s="59"/>
    </row>
    <row r="77" spans="1:11" x14ac:dyDescent="0.2">
      <c r="A77" s="45">
        <v>44314</v>
      </c>
      <c r="B77" s="35" t="s">
        <v>934</v>
      </c>
      <c r="C77" s="35" t="s">
        <v>601</v>
      </c>
      <c r="D77" s="35" t="s">
        <v>937</v>
      </c>
      <c r="E77" s="35" t="s">
        <v>724</v>
      </c>
      <c r="F77" s="35"/>
      <c r="G77" s="59"/>
      <c r="H77" s="59">
        <v>140000</v>
      </c>
      <c r="I77" s="61">
        <f t="shared" si="3"/>
        <v>-140000</v>
      </c>
      <c r="J77" s="173">
        <f>IF($A77="","",SUM($G$8:G77)-SUM($H$8:H77))</f>
        <v>124895808.46000001</v>
      </c>
      <c r="K77" s="59"/>
    </row>
    <row r="78" spans="1:11" x14ac:dyDescent="0.2">
      <c r="A78" s="45">
        <v>44316</v>
      </c>
      <c r="B78" s="35" t="s">
        <v>934</v>
      </c>
      <c r="C78" s="35" t="s">
        <v>606</v>
      </c>
      <c r="D78" s="35" t="s">
        <v>937</v>
      </c>
      <c r="E78" s="35" t="s">
        <v>724</v>
      </c>
      <c r="F78" s="35"/>
      <c r="G78" s="59"/>
      <c r="H78" s="59">
        <v>50000</v>
      </c>
      <c r="I78" s="61">
        <f t="shared" si="3"/>
        <v>-50000</v>
      </c>
      <c r="J78" s="173">
        <f>IF($A78="","",SUM($G$8:G78)-SUM($H$8:H78))</f>
        <v>124845808.46000001</v>
      </c>
      <c r="K78" s="59"/>
    </row>
    <row r="79" spans="1:11" x14ac:dyDescent="0.2">
      <c r="A79" s="45">
        <v>44317</v>
      </c>
      <c r="B79" s="35" t="s">
        <v>934</v>
      </c>
      <c r="C79" s="35" t="s">
        <v>607</v>
      </c>
      <c r="D79" s="35" t="s">
        <v>937</v>
      </c>
      <c r="E79" s="35" t="s">
        <v>724</v>
      </c>
      <c r="F79" s="35"/>
      <c r="G79" s="59"/>
      <c r="H79" s="59">
        <v>25000</v>
      </c>
      <c r="I79" s="61">
        <f t="shared" si="3"/>
        <v>-25000</v>
      </c>
      <c r="J79" s="173">
        <f>IF($A79="","",SUM($G$8:G79)-SUM($H$8:H79))</f>
        <v>124820808.46000001</v>
      </c>
      <c r="K79" s="59"/>
    </row>
    <row r="80" spans="1:11" x14ac:dyDescent="0.2">
      <c r="A80" s="45">
        <v>44319</v>
      </c>
      <c r="B80" s="35" t="s">
        <v>934</v>
      </c>
      <c r="C80" s="34" t="s">
        <v>610</v>
      </c>
      <c r="D80" s="35" t="s">
        <v>937</v>
      </c>
      <c r="E80" s="34" t="s">
        <v>724</v>
      </c>
      <c r="F80" s="35"/>
      <c r="G80" s="59"/>
      <c r="H80" s="59">
        <v>20000</v>
      </c>
      <c r="I80" s="61">
        <f t="shared" si="3"/>
        <v>-20000</v>
      </c>
      <c r="J80" s="173">
        <f>IF($A80="","",SUM($G$8:G80)-SUM($H$8:H80))</f>
        <v>124800808.46000001</v>
      </c>
      <c r="K80" s="59"/>
    </row>
    <row r="81" spans="1:11" x14ac:dyDescent="0.2">
      <c r="A81" s="45">
        <v>44319</v>
      </c>
      <c r="B81" s="35" t="s">
        <v>934</v>
      </c>
      <c r="C81" s="34" t="s">
        <v>611</v>
      </c>
      <c r="D81" s="35" t="s">
        <v>937</v>
      </c>
      <c r="E81" s="34" t="s">
        <v>724</v>
      </c>
      <c r="F81" s="35"/>
      <c r="G81" s="59"/>
      <c r="H81" s="59">
        <v>20000</v>
      </c>
      <c r="I81" s="61">
        <f t="shared" si="3"/>
        <v>-20000</v>
      </c>
      <c r="J81" s="173">
        <f>IF($A81="","",SUM($G$8:G81)-SUM($H$8:H81))</f>
        <v>124780808.46000001</v>
      </c>
      <c r="K81" s="59"/>
    </row>
    <row r="82" spans="1:11" x14ac:dyDescent="0.2">
      <c r="A82" s="45">
        <v>44319</v>
      </c>
      <c r="B82" s="35" t="s">
        <v>934</v>
      </c>
      <c r="C82" s="34" t="s">
        <v>612</v>
      </c>
      <c r="D82" s="35" t="s">
        <v>937</v>
      </c>
      <c r="E82" s="34" t="s">
        <v>724</v>
      </c>
      <c r="F82" s="35"/>
      <c r="G82" s="59"/>
      <c r="H82" s="59">
        <v>40000</v>
      </c>
      <c r="I82" s="61">
        <f t="shared" si="3"/>
        <v>-40000</v>
      </c>
      <c r="J82" s="173">
        <f>IF($A82="","",SUM($G$8:G82)-SUM($H$8:H82))</f>
        <v>124740808.46000001</v>
      </c>
      <c r="K82" s="59"/>
    </row>
    <row r="83" spans="1:11" x14ac:dyDescent="0.2">
      <c r="A83" s="45">
        <v>44319</v>
      </c>
      <c r="B83" s="35" t="s">
        <v>934</v>
      </c>
      <c r="C83" s="34" t="s">
        <v>613</v>
      </c>
      <c r="D83" s="35" t="s">
        <v>937</v>
      </c>
      <c r="E83" s="34" t="s">
        <v>724</v>
      </c>
      <c r="F83" s="35"/>
      <c r="G83" s="59"/>
      <c r="H83" s="59">
        <v>18000</v>
      </c>
      <c r="I83" s="61">
        <f t="shared" si="3"/>
        <v>-18000</v>
      </c>
      <c r="J83" s="173">
        <f>IF($A83="","",SUM($G$8:G83)-SUM($H$8:H83))</f>
        <v>124722808.46000001</v>
      </c>
      <c r="K83" s="59"/>
    </row>
    <row r="84" spans="1:11" x14ac:dyDescent="0.2">
      <c r="A84" s="45">
        <v>44319</v>
      </c>
      <c r="B84" s="35" t="s">
        <v>934</v>
      </c>
      <c r="C84" s="35" t="s">
        <v>614</v>
      </c>
      <c r="D84" s="35" t="s">
        <v>937</v>
      </c>
      <c r="E84" s="35" t="s">
        <v>724</v>
      </c>
      <c r="F84" s="35"/>
      <c r="G84" s="59"/>
      <c r="H84" s="59">
        <v>7000</v>
      </c>
      <c r="I84" s="61">
        <f t="shared" si="3"/>
        <v>-7000</v>
      </c>
      <c r="J84" s="173">
        <f>IF($A84="","",SUM($G$8:G84)-SUM($H$8:H84))</f>
        <v>124715808.46000001</v>
      </c>
      <c r="K84" s="59"/>
    </row>
    <row r="85" spans="1:11" x14ac:dyDescent="0.2">
      <c r="A85" s="45">
        <v>44320</v>
      </c>
      <c r="B85" s="35" t="s">
        <v>934</v>
      </c>
      <c r="C85" s="34" t="s">
        <v>615</v>
      </c>
      <c r="D85" s="35" t="s">
        <v>937</v>
      </c>
      <c r="E85" s="34" t="s">
        <v>724</v>
      </c>
      <c r="F85" s="35"/>
      <c r="G85" s="59"/>
      <c r="H85" s="59">
        <v>10000</v>
      </c>
      <c r="I85" s="61">
        <f t="shared" si="3"/>
        <v>-10000</v>
      </c>
      <c r="J85" s="173">
        <f>IF($A85="","",SUM($G$8:G85)-SUM($H$8:H85))</f>
        <v>124705808.46000001</v>
      </c>
      <c r="K85" s="59"/>
    </row>
    <row r="86" spans="1:11" x14ac:dyDescent="0.2">
      <c r="A86" s="45">
        <v>44320</v>
      </c>
      <c r="B86" s="35" t="s">
        <v>934</v>
      </c>
      <c r="C86" s="34" t="s">
        <v>616</v>
      </c>
      <c r="D86" s="35" t="s">
        <v>937</v>
      </c>
      <c r="E86" s="34" t="s">
        <v>724</v>
      </c>
      <c r="F86" s="35"/>
      <c r="G86" s="59"/>
      <c r="H86" s="59">
        <v>20000</v>
      </c>
      <c r="I86" s="61">
        <f t="shared" si="3"/>
        <v>-20000</v>
      </c>
      <c r="J86" s="173">
        <f>IF($A86="","",SUM($G$8:G86)-SUM($H$8:H86))</f>
        <v>124685808.46000001</v>
      </c>
      <c r="K86" s="59"/>
    </row>
    <row r="87" spans="1:11" x14ac:dyDescent="0.2">
      <c r="A87" s="45">
        <v>44320</v>
      </c>
      <c r="B87" s="35" t="s">
        <v>934</v>
      </c>
      <c r="C87" s="34" t="s">
        <v>617</v>
      </c>
      <c r="D87" s="35" t="s">
        <v>937</v>
      </c>
      <c r="E87" s="34" t="s">
        <v>724</v>
      </c>
      <c r="F87" s="35"/>
      <c r="G87" s="59"/>
      <c r="H87" s="59">
        <v>7500</v>
      </c>
      <c r="I87" s="61">
        <f t="shared" si="3"/>
        <v>-7500</v>
      </c>
      <c r="J87" s="173">
        <f>IF($A87="","",SUM($G$8:G87)-SUM($H$8:H87))</f>
        <v>124678308.46000001</v>
      </c>
      <c r="K87" s="59"/>
    </row>
    <row r="88" spans="1:11" x14ac:dyDescent="0.2">
      <c r="A88" s="45">
        <v>44320</v>
      </c>
      <c r="B88" s="35" t="s">
        <v>934</v>
      </c>
      <c r="C88" s="34" t="s">
        <v>618</v>
      </c>
      <c r="D88" s="35" t="s">
        <v>937</v>
      </c>
      <c r="E88" s="34" t="s">
        <v>724</v>
      </c>
      <c r="F88" s="35"/>
      <c r="G88" s="59"/>
      <c r="H88" s="59">
        <v>7000</v>
      </c>
      <c r="I88" s="61">
        <f t="shared" si="3"/>
        <v>-7000</v>
      </c>
      <c r="J88" s="173">
        <f>IF($A88="","",SUM($G$8:G88)-SUM($H$8:H88))</f>
        <v>124671308.46000001</v>
      </c>
      <c r="K88" s="59"/>
    </row>
    <row r="89" spans="1:11" x14ac:dyDescent="0.2">
      <c r="A89" s="45">
        <v>44326</v>
      </c>
      <c r="B89" s="35" t="s">
        <v>934</v>
      </c>
      <c r="C89" s="34" t="s">
        <v>621</v>
      </c>
      <c r="D89" s="35" t="s">
        <v>937</v>
      </c>
      <c r="E89" s="34" t="s">
        <v>724</v>
      </c>
      <c r="F89" s="35"/>
      <c r="G89" s="59"/>
      <c r="H89" s="59">
        <v>70000</v>
      </c>
      <c r="I89" s="61">
        <f t="shared" si="3"/>
        <v>-70000</v>
      </c>
      <c r="J89" s="173">
        <f>IF($A89="","",SUM($G$8:G89)-SUM($H$8:H89))</f>
        <v>124601308.46000001</v>
      </c>
      <c r="K89" s="59"/>
    </row>
    <row r="90" spans="1:11" x14ac:dyDescent="0.2">
      <c r="A90" s="45">
        <v>44326</v>
      </c>
      <c r="B90" s="35" t="s">
        <v>934</v>
      </c>
      <c r="C90" s="34" t="s">
        <v>623</v>
      </c>
      <c r="D90" s="35" t="s">
        <v>937</v>
      </c>
      <c r="E90" s="34" t="s">
        <v>724</v>
      </c>
      <c r="F90" s="35"/>
      <c r="G90" s="59"/>
      <c r="H90" s="59">
        <v>60000</v>
      </c>
      <c r="I90" s="61">
        <f t="shared" si="3"/>
        <v>-60000</v>
      </c>
      <c r="J90" s="173">
        <f>IF($A90="","",SUM($G$8:G90)-SUM($H$8:H90))</f>
        <v>124541308.46000001</v>
      </c>
      <c r="K90" s="59"/>
    </row>
    <row r="91" spans="1:11" x14ac:dyDescent="0.2">
      <c r="A91" s="45">
        <v>44328</v>
      </c>
      <c r="B91" s="35" t="s">
        <v>934</v>
      </c>
      <c r="C91" s="35" t="s">
        <v>628</v>
      </c>
      <c r="D91" s="35" t="s">
        <v>937</v>
      </c>
      <c r="E91" s="35" t="s">
        <v>724</v>
      </c>
      <c r="F91" s="35"/>
      <c r="G91" s="59"/>
      <c r="H91" s="59">
        <v>21000</v>
      </c>
      <c r="I91" s="61">
        <f t="shared" si="3"/>
        <v>-21000</v>
      </c>
      <c r="J91" s="173">
        <f>IF($A91="","",SUM($G$8:G91)-SUM($H$8:H91))</f>
        <v>124520308.46000001</v>
      </c>
      <c r="K91" s="59"/>
    </row>
    <row r="92" spans="1:11" x14ac:dyDescent="0.2">
      <c r="A92" s="45">
        <v>44328</v>
      </c>
      <c r="B92" s="35" t="s">
        <v>934</v>
      </c>
      <c r="C92" s="34" t="s">
        <v>629</v>
      </c>
      <c r="D92" s="35" t="s">
        <v>937</v>
      </c>
      <c r="E92" s="34" t="s">
        <v>724</v>
      </c>
      <c r="F92" s="35"/>
      <c r="G92" s="59"/>
      <c r="H92" s="59">
        <v>7000</v>
      </c>
      <c r="I92" s="61">
        <f t="shared" si="3"/>
        <v>-7000</v>
      </c>
      <c r="J92" s="173">
        <f>IF($A92="","",SUM($G$8:G92)-SUM($H$8:H92))</f>
        <v>124513308.46000001</v>
      </c>
      <c r="K92" s="59"/>
    </row>
    <row r="93" spans="1:11" x14ac:dyDescent="0.2">
      <c r="A93" s="45">
        <v>44330</v>
      </c>
      <c r="B93" s="35" t="s">
        <v>934</v>
      </c>
      <c r="C93" s="34" t="s">
        <v>631</v>
      </c>
      <c r="D93" s="35" t="s">
        <v>937</v>
      </c>
      <c r="E93" s="34" t="s">
        <v>724</v>
      </c>
      <c r="F93" s="35"/>
      <c r="G93" s="59"/>
      <c r="H93" s="59">
        <v>10000</v>
      </c>
      <c r="I93" s="61">
        <f t="shared" si="3"/>
        <v>-10000</v>
      </c>
      <c r="J93" s="173">
        <f>IF($A93="","",SUM($G$8:G93)-SUM($H$8:H93))</f>
        <v>124503308.46000001</v>
      </c>
      <c r="K93" s="59"/>
    </row>
    <row r="94" spans="1:11" x14ac:dyDescent="0.2">
      <c r="A94" s="45">
        <v>44330</v>
      </c>
      <c r="B94" s="35" t="s">
        <v>934</v>
      </c>
      <c r="C94" s="35" t="s">
        <v>632</v>
      </c>
      <c r="D94" s="35" t="s">
        <v>937</v>
      </c>
      <c r="E94" s="35" t="s">
        <v>724</v>
      </c>
      <c r="F94" s="35"/>
      <c r="G94" s="59"/>
      <c r="H94" s="59">
        <v>20000</v>
      </c>
      <c r="I94" s="61">
        <f t="shared" si="3"/>
        <v>-20000</v>
      </c>
      <c r="J94" s="173">
        <f>IF($A94="","",SUM($G$8:G94)-SUM($H$8:H94))</f>
        <v>124483308.46000001</v>
      </c>
      <c r="K94" s="59"/>
    </row>
    <row r="95" spans="1:11" x14ac:dyDescent="0.2">
      <c r="A95" s="45">
        <v>44330</v>
      </c>
      <c r="B95" s="35" t="s">
        <v>934</v>
      </c>
      <c r="C95" s="34" t="s">
        <v>633</v>
      </c>
      <c r="D95" s="35" t="s">
        <v>937</v>
      </c>
      <c r="E95" s="34" t="s">
        <v>724</v>
      </c>
      <c r="F95" s="35"/>
      <c r="G95" s="59"/>
      <c r="H95" s="59">
        <v>2000</v>
      </c>
      <c r="I95" s="61">
        <f t="shared" si="3"/>
        <v>-2000</v>
      </c>
      <c r="J95" s="173">
        <f>IF($A95="","",SUM($G$8:G95)-SUM($H$8:H95))</f>
        <v>124481308.46000001</v>
      </c>
      <c r="K95" s="59"/>
    </row>
    <row r="96" spans="1:11" x14ac:dyDescent="0.2">
      <c r="A96" s="45">
        <v>44330</v>
      </c>
      <c r="B96" s="35" t="s">
        <v>934</v>
      </c>
      <c r="C96" s="34" t="s">
        <v>634</v>
      </c>
      <c r="D96" s="35" t="s">
        <v>937</v>
      </c>
      <c r="E96" s="34" t="s">
        <v>724</v>
      </c>
      <c r="F96" s="35"/>
      <c r="G96" s="59"/>
      <c r="H96" s="59">
        <v>8000</v>
      </c>
      <c r="I96" s="61">
        <f t="shared" si="3"/>
        <v>-8000</v>
      </c>
      <c r="J96" s="173">
        <f>IF($A96="","",SUM($G$8:G96)-SUM($H$8:H96))</f>
        <v>124473308.46000001</v>
      </c>
      <c r="K96" s="59"/>
    </row>
    <row r="97" spans="1:11" x14ac:dyDescent="0.2">
      <c r="A97" s="45">
        <v>44330</v>
      </c>
      <c r="B97" s="35" t="s">
        <v>934</v>
      </c>
      <c r="C97" s="34" t="s">
        <v>635</v>
      </c>
      <c r="D97" s="35" t="s">
        <v>937</v>
      </c>
      <c r="E97" s="34" t="s">
        <v>724</v>
      </c>
      <c r="F97" s="35"/>
      <c r="G97" s="59"/>
      <c r="H97" s="59">
        <v>20000</v>
      </c>
      <c r="I97" s="61">
        <f t="shared" si="3"/>
        <v>-20000</v>
      </c>
      <c r="J97" s="173">
        <f>IF($A97="","",SUM($G$8:G97)-SUM($H$8:H97))</f>
        <v>124453308.46000001</v>
      </c>
      <c r="K97" s="59"/>
    </row>
    <row r="98" spans="1:11" x14ac:dyDescent="0.2">
      <c r="A98" s="45">
        <v>44330</v>
      </c>
      <c r="B98" s="35" t="s">
        <v>934</v>
      </c>
      <c r="C98" s="34" t="s">
        <v>636</v>
      </c>
      <c r="D98" s="35" t="s">
        <v>937</v>
      </c>
      <c r="E98" s="34" t="s">
        <v>724</v>
      </c>
      <c r="F98" s="35"/>
      <c r="G98" s="59"/>
      <c r="H98" s="59">
        <v>3900</v>
      </c>
      <c r="I98" s="61">
        <f t="shared" si="3"/>
        <v>-3900</v>
      </c>
      <c r="J98" s="173">
        <f>IF($A98="","",SUM($G$8:G98)-SUM($H$8:H98))</f>
        <v>124449408.46000001</v>
      </c>
      <c r="K98" s="59"/>
    </row>
    <row r="99" spans="1:11" x14ac:dyDescent="0.2">
      <c r="A99" s="45">
        <v>44336</v>
      </c>
      <c r="B99" s="35" t="s">
        <v>934</v>
      </c>
      <c r="C99" s="35" t="s">
        <v>637</v>
      </c>
      <c r="D99" s="35" t="s">
        <v>937</v>
      </c>
      <c r="E99" s="35" t="s">
        <v>724</v>
      </c>
      <c r="F99" s="35"/>
      <c r="G99" s="59"/>
      <c r="H99" s="59">
        <v>100000</v>
      </c>
      <c r="I99" s="61">
        <f t="shared" si="3"/>
        <v>-100000</v>
      </c>
      <c r="J99" s="173">
        <f>IF($A99="","",SUM($G$8:G99)-SUM($H$8:H99))</f>
        <v>124349408.46000001</v>
      </c>
      <c r="K99" s="59"/>
    </row>
    <row r="100" spans="1:11" x14ac:dyDescent="0.2">
      <c r="A100" s="45">
        <v>44338</v>
      </c>
      <c r="B100" s="35" t="s">
        <v>934</v>
      </c>
      <c r="C100" s="34" t="s">
        <v>638</v>
      </c>
      <c r="D100" s="35" t="s">
        <v>937</v>
      </c>
      <c r="E100" s="34" t="s">
        <v>724</v>
      </c>
      <c r="F100" s="35"/>
      <c r="G100" s="59"/>
      <c r="H100" s="59">
        <v>10000</v>
      </c>
      <c r="I100" s="61">
        <f t="shared" si="3"/>
        <v>-10000</v>
      </c>
      <c r="J100" s="173">
        <f>IF($A100="","",SUM($G$8:G100)-SUM($H$8:H100))</f>
        <v>124339408.46000001</v>
      </c>
      <c r="K100" s="59"/>
    </row>
    <row r="101" spans="1:11" x14ac:dyDescent="0.2">
      <c r="A101" s="45">
        <v>44349</v>
      </c>
      <c r="B101" s="35" t="s">
        <v>934</v>
      </c>
      <c r="C101" s="34" t="s">
        <v>640</v>
      </c>
      <c r="D101" s="35" t="s">
        <v>937</v>
      </c>
      <c r="E101" s="34" t="s">
        <v>724</v>
      </c>
      <c r="F101" s="35"/>
      <c r="G101" s="59"/>
      <c r="H101" s="59">
        <v>750000</v>
      </c>
      <c r="I101" s="61">
        <f t="shared" si="3"/>
        <v>-750000</v>
      </c>
      <c r="J101" s="173">
        <f>IF($A101="","",SUM($G$8:G101)-SUM($H$8:H101))</f>
        <v>123589408.46000001</v>
      </c>
      <c r="K101" s="59"/>
    </row>
    <row r="102" spans="1:11" x14ac:dyDescent="0.2">
      <c r="A102" s="65">
        <v>44408</v>
      </c>
      <c r="B102" s="242" t="s">
        <v>934</v>
      </c>
      <c r="C102" s="242" t="s">
        <v>577</v>
      </c>
      <c r="D102" s="242" t="s">
        <v>937</v>
      </c>
      <c r="E102" s="242" t="s">
        <v>724</v>
      </c>
      <c r="F102" s="242"/>
      <c r="G102" s="221"/>
      <c r="H102" s="221">
        <v>15000</v>
      </c>
      <c r="I102" s="221">
        <f t="shared" si="3"/>
        <v>-15000</v>
      </c>
      <c r="J102" s="221">
        <f>IF($A102="","",SUM($G$8:G102)-SUM($H$8:H102))</f>
        <v>123574408.46000001</v>
      </c>
      <c r="K102" s="59"/>
    </row>
    <row r="103" spans="1:11" x14ac:dyDescent="0.2">
      <c r="A103" s="65">
        <v>44408</v>
      </c>
      <c r="B103" s="242" t="s">
        <v>934</v>
      </c>
      <c r="C103" s="36" t="s">
        <v>578</v>
      </c>
      <c r="D103" s="242" t="s">
        <v>937</v>
      </c>
      <c r="E103" s="242" t="s">
        <v>724</v>
      </c>
      <c r="F103" s="242"/>
      <c r="G103" s="221"/>
      <c r="H103" s="221">
        <v>120000</v>
      </c>
      <c r="I103" s="221">
        <f t="shared" si="3"/>
        <v>-120000</v>
      </c>
      <c r="J103" s="221">
        <f>IF($A103="","",SUM($G$8:G103)-SUM($H$8:H103))</f>
        <v>123454408.46000001</v>
      </c>
      <c r="K103" s="59"/>
    </row>
    <row r="104" spans="1:11" x14ac:dyDescent="0.2">
      <c r="A104" s="45">
        <v>44277</v>
      </c>
      <c r="B104" s="35" t="s">
        <v>934</v>
      </c>
      <c r="C104" s="34" t="s">
        <v>938</v>
      </c>
      <c r="D104" s="35" t="s">
        <v>937</v>
      </c>
      <c r="E104" s="35" t="s">
        <v>726</v>
      </c>
      <c r="F104" s="35"/>
      <c r="G104" s="59"/>
      <c r="H104" s="59">
        <v>200000</v>
      </c>
      <c r="I104" s="61">
        <f t="shared" si="3"/>
        <v>-200000</v>
      </c>
      <c r="J104" s="173">
        <f>IF($A104="","",SUM($G$8:G104)-SUM($H$8:H104))</f>
        <v>123254408.46000001</v>
      </c>
      <c r="K104" s="59"/>
    </row>
    <row r="105" spans="1:11" x14ac:dyDescent="0.2">
      <c r="A105" s="45">
        <v>44327</v>
      </c>
      <c r="B105" s="35" t="s">
        <v>679</v>
      </c>
      <c r="C105" s="35" t="s">
        <v>764</v>
      </c>
      <c r="D105" s="35" t="s">
        <v>937</v>
      </c>
      <c r="E105" s="35" t="s">
        <v>764</v>
      </c>
      <c r="F105" s="35"/>
      <c r="G105" s="59"/>
      <c r="H105" s="59">
        <v>20000</v>
      </c>
      <c r="I105" s="61">
        <f t="shared" ref="I105:I136" si="4">IF(A105="","",IF(G105&gt;0,G105,-H105))</f>
        <v>-20000</v>
      </c>
      <c r="J105" s="173">
        <f>IF($A105="","",SUM($G$8:G105)-SUM($H$8:H105))</f>
        <v>123234408.46000001</v>
      </c>
      <c r="K105" s="59"/>
    </row>
    <row r="106" spans="1:11" x14ac:dyDescent="0.2">
      <c r="A106" s="45">
        <v>44306</v>
      </c>
      <c r="B106" s="35" t="s">
        <v>934</v>
      </c>
      <c r="C106" s="34" t="s">
        <v>586</v>
      </c>
      <c r="D106" s="35" t="s">
        <v>937</v>
      </c>
      <c r="E106" s="34" t="s">
        <v>728</v>
      </c>
      <c r="F106" s="35"/>
      <c r="G106" s="59"/>
      <c r="H106" s="59">
        <v>8500000</v>
      </c>
      <c r="I106" s="61">
        <f t="shared" si="4"/>
        <v>-8500000</v>
      </c>
      <c r="J106" s="173">
        <f>IF($A106="","",SUM($G$8:G106)-SUM($H$8:H106))</f>
        <v>114734408.46000001</v>
      </c>
      <c r="K106" s="59"/>
    </row>
    <row r="107" spans="1:11" x14ac:dyDescent="0.2">
      <c r="A107" s="45">
        <v>44314</v>
      </c>
      <c r="B107" s="35" t="s">
        <v>934</v>
      </c>
      <c r="C107" s="34" t="s">
        <v>597</v>
      </c>
      <c r="D107" s="35" t="s">
        <v>937</v>
      </c>
      <c r="E107" s="34" t="s">
        <v>731</v>
      </c>
      <c r="F107" s="35"/>
      <c r="G107" s="59"/>
      <c r="H107" s="59">
        <v>285000</v>
      </c>
      <c r="I107" s="61">
        <f t="shared" si="4"/>
        <v>-285000</v>
      </c>
      <c r="J107" s="173">
        <f>IF($A107="","",SUM($G$8:G107)-SUM($H$8:H107))</f>
        <v>114449408.46000001</v>
      </c>
      <c r="K107" s="59"/>
    </row>
    <row r="108" spans="1:11" x14ac:dyDescent="0.2">
      <c r="A108" s="45">
        <v>44326</v>
      </c>
      <c r="B108" s="35" t="s">
        <v>934</v>
      </c>
      <c r="C108" s="34" t="s">
        <v>622</v>
      </c>
      <c r="D108" s="35" t="s">
        <v>937</v>
      </c>
      <c r="E108" s="34" t="s">
        <v>731</v>
      </c>
      <c r="F108" s="35"/>
      <c r="G108" s="59"/>
      <c r="H108" s="59">
        <v>70000</v>
      </c>
      <c r="I108" s="61">
        <f t="shared" si="4"/>
        <v>-70000</v>
      </c>
      <c r="J108" s="173">
        <f>IF($A108="","",SUM($G$8:G108)-SUM($H$8:H108))</f>
        <v>114379408.46000001</v>
      </c>
      <c r="K108" s="59"/>
    </row>
    <row r="109" spans="1:11" x14ac:dyDescent="0.2">
      <c r="A109" s="45">
        <v>44300</v>
      </c>
      <c r="B109" s="35" t="s">
        <v>934</v>
      </c>
      <c r="C109" s="34" t="s">
        <v>585</v>
      </c>
      <c r="D109" s="35" t="s">
        <v>937</v>
      </c>
      <c r="E109" s="34" t="s">
        <v>727</v>
      </c>
      <c r="F109" s="35"/>
      <c r="G109" s="59"/>
      <c r="H109" s="59">
        <v>4800000</v>
      </c>
      <c r="I109" s="61">
        <f t="shared" si="4"/>
        <v>-4800000</v>
      </c>
      <c r="J109" s="173">
        <f>IF($A109="","",SUM($G$8:G109)-SUM($H$8:H109))</f>
        <v>109579408.46000001</v>
      </c>
      <c r="K109" s="59"/>
    </row>
    <row r="110" spans="1:11" x14ac:dyDescent="0.2">
      <c r="A110" s="45">
        <v>44326</v>
      </c>
      <c r="B110" s="35" t="s">
        <v>934</v>
      </c>
      <c r="C110" s="34" t="s">
        <v>625</v>
      </c>
      <c r="D110" s="35" t="s">
        <v>937</v>
      </c>
      <c r="E110" s="34" t="s">
        <v>734</v>
      </c>
      <c r="F110" s="35"/>
      <c r="G110" s="59"/>
      <c r="H110" s="59">
        <v>15000</v>
      </c>
      <c r="I110" s="61">
        <f t="shared" si="4"/>
        <v>-15000</v>
      </c>
      <c r="J110" s="173">
        <f>IF($A110="","",SUM($G$8:G110)-SUM($H$8:H110))</f>
        <v>109564408.46000001</v>
      </c>
      <c r="K110" s="59"/>
    </row>
    <row r="111" spans="1:11" x14ac:dyDescent="0.2">
      <c r="A111" s="45">
        <v>44326</v>
      </c>
      <c r="B111" s="35" t="s">
        <v>934</v>
      </c>
      <c r="C111" s="34" t="s">
        <v>626</v>
      </c>
      <c r="D111" s="35" t="s">
        <v>937</v>
      </c>
      <c r="E111" s="34" t="s">
        <v>734</v>
      </c>
      <c r="F111" s="35"/>
      <c r="G111" s="59"/>
      <c r="H111" s="59">
        <v>35000</v>
      </c>
      <c r="I111" s="61">
        <f t="shared" si="4"/>
        <v>-35000</v>
      </c>
      <c r="J111" s="173">
        <f>IF($A111="","",SUM($G$8:G111)-SUM($H$8:H111))</f>
        <v>109529408.46000001</v>
      </c>
      <c r="K111" s="59"/>
    </row>
    <row r="112" spans="1:11" x14ac:dyDescent="0.2">
      <c r="A112" s="45">
        <v>44275</v>
      </c>
      <c r="B112" s="35" t="s">
        <v>934</v>
      </c>
      <c r="C112" s="34" t="s">
        <v>546</v>
      </c>
      <c r="D112" s="35" t="s">
        <v>937</v>
      </c>
      <c r="E112" s="34" t="s">
        <v>725</v>
      </c>
      <c r="F112" s="35"/>
      <c r="G112" s="59"/>
      <c r="H112" s="59">
        <v>4000</v>
      </c>
      <c r="I112" s="61">
        <f t="shared" si="4"/>
        <v>-4000</v>
      </c>
      <c r="J112" s="173">
        <f>IF($A112="","",SUM($G$8:G112)-SUM($H$8:H112))</f>
        <v>109525408.46000001</v>
      </c>
      <c r="K112" s="59"/>
    </row>
    <row r="113" spans="1:11" x14ac:dyDescent="0.2">
      <c r="A113" s="45">
        <v>44275</v>
      </c>
      <c r="B113" s="35" t="s">
        <v>934</v>
      </c>
      <c r="C113" s="34" t="s">
        <v>547</v>
      </c>
      <c r="D113" s="35" t="s">
        <v>937</v>
      </c>
      <c r="E113" s="34" t="s">
        <v>725</v>
      </c>
      <c r="F113" s="35"/>
      <c r="G113" s="59"/>
      <c r="H113" s="59">
        <v>5000</v>
      </c>
      <c r="I113" s="61">
        <f t="shared" si="4"/>
        <v>-5000</v>
      </c>
      <c r="J113" s="173">
        <f>IF($A113="","",SUM($G$8:G113)-SUM($H$8:H113))</f>
        <v>109520408.46000001</v>
      </c>
      <c r="K113" s="59"/>
    </row>
    <row r="114" spans="1:11" x14ac:dyDescent="0.2">
      <c r="A114" s="45">
        <v>44275</v>
      </c>
      <c r="B114" s="35" t="s">
        <v>934</v>
      </c>
      <c r="C114" s="34" t="s">
        <v>548</v>
      </c>
      <c r="D114" s="35" t="s">
        <v>937</v>
      </c>
      <c r="E114" s="34" t="s">
        <v>725</v>
      </c>
      <c r="F114" s="35"/>
      <c r="G114" s="59"/>
      <c r="H114" s="59">
        <v>1000</v>
      </c>
      <c r="I114" s="61">
        <f t="shared" si="4"/>
        <v>-1000</v>
      </c>
      <c r="J114" s="173">
        <f>IF($A114="","",SUM($G$8:G114)-SUM($H$8:H114))</f>
        <v>109519408.46000001</v>
      </c>
      <c r="K114" s="59"/>
    </row>
    <row r="115" spans="1:11" x14ac:dyDescent="0.2">
      <c r="A115" s="45">
        <v>44275</v>
      </c>
      <c r="B115" s="35" t="s">
        <v>934</v>
      </c>
      <c r="C115" s="34" t="s">
        <v>549</v>
      </c>
      <c r="D115" s="35" t="s">
        <v>937</v>
      </c>
      <c r="E115" s="34" t="s">
        <v>725</v>
      </c>
      <c r="F115" s="35"/>
      <c r="G115" s="59"/>
      <c r="H115" s="59">
        <v>2000</v>
      </c>
      <c r="I115" s="61">
        <f t="shared" si="4"/>
        <v>-2000</v>
      </c>
      <c r="J115" s="173">
        <f>IF($A115="","",SUM($G$8:G115)-SUM($H$8:H115))</f>
        <v>109517408.46000001</v>
      </c>
      <c r="K115" s="59"/>
    </row>
    <row r="116" spans="1:11" x14ac:dyDescent="0.2">
      <c r="A116" s="45">
        <v>44275</v>
      </c>
      <c r="B116" s="35" t="s">
        <v>934</v>
      </c>
      <c r="C116" s="34" t="s">
        <v>550</v>
      </c>
      <c r="D116" s="35" t="s">
        <v>937</v>
      </c>
      <c r="E116" s="34" t="s">
        <v>725</v>
      </c>
      <c r="F116" s="35"/>
      <c r="G116" s="59"/>
      <c r="H116" s="59">
        <v>9000</v>
      </c>
      <c r="I116" s="61">
        <f t="shared" si="4"/>
        <v>-9000</v>
      </c>
      <c r="J116" s="173">
        <f>IF($A116="","",SUM($G$8:G116)-SUM($H$8:H116))</f>
        <v>109508408.46000001</v>
      </c>
      <c r="K116" s="59"/>
    </row>
    <row r="117" spans="1:11" x14ac:dyDescent="0.2">
      <c r="A117" s="45">
        <v>44275</v>
      </c>
      <c r="B117" s="35" t="s">
        <v>934</v>
      </c>
      <c r="C117" s="34" t="s">
        <v>551</v>
      </c>
      <c r="D117" s="35" t="s">
        <v>937</v>
      </c>
      <c r="E117" s="34" t="s">
        <v>725</v>
      </c>
      <c r="F117" s="35"/>
      <c r="G117" s="59"/>
      <c r="H117" s="59">
        <v>19500</v>
      </c>
      <c r="I117" s="61">
        <f t="shared" si="4"/>
        <v>-19500</v>
      </c>
      <c r="J117" s="173">
        <f>IF($A117="","",SUM($G$8:G117)-SUM($H$8:H117))</f>
        <v>109488908.46000001</v>
      </c>
      <c r="K117" s="59"/>
    </row>
    <row r="118" spans="1:11" x14ac:dyDescent="0.2">
      <c r="A118" s="45">
        <v>44275</v>
      </c>
      <c r="B118" s="35" t="s">
        <v>934</v>
      </c>
      <c r="C118" s="34" t="s">
        <v>552</v>
      </c>
      <c r="D118" s="35" t="s">
        <v>937</v>
      </c>
      <c r="E118" s="34" t="s">
        <v>725</v>
      </c>
      <c r="F118" s="35"/>
      <c r="G118" s="59"/>
      <c r="H118" s="59">
        <v>25000</v>
      </c>
      <c r="I118" s="61">
        <f t="shared" si="4"/>
        <v>-25000</v>
      </c>
      <c r="J118" s="173">
        <f>IF($A118="","",SUM($G$8:G118)-SUM($H$8:H118))</f>
        <v>109463908.46000001</v>
      </c>
      <c r="K118" s="59"/>
    </row>
    <row r="119" spans="1:11" x14ac:dyDescent="0.2">
      <c r="A119" s="45">
        <v>44275</v>
      </c>
      <c r="B119" s="35" t="s">
        <v>934</v>
      </c>
      <c r="C119" s="34" t="s">
        <v>553</v>
      </c>
      <c r="D119" s="35" t="s">
        <v>937</v>
      </c>
      <c r="E119" s="34" t="s">
        <v>725</v>
      </c>
      <c r="F119" s="35"/>
      <c r="G119" s="59"/>
      <c r="H119" s="59">
        <v>14000</v>
      </c>
      <c r="I119" s="61">
        <f t="shared" si="4"/>
        <v>-14000</v>
      </c>
      <c r="J119" s="173">
        <f>IF($A119="","",SUM($G$8:G119)-SUM($H$8:H119))</f>
        <v>109449908.46000001</v>
      </c>
      <c r="K119" s="59"/>
    </row>
    <row r="120" spans="1:11" x14ac:dyDescent="0.2">
      <c r="A120" s="45">
        <v>44275</v>
      </c>
      <c r="B120" s="35" t="s">
        <v>934</v>
      </c>
      <c r="C120" s="34" t="s">
        <v>554</v>
      </c>
      <c r="D120" s="35" t="s">
        <v>937</v>
      </c>
      <c r="E120" s="34" t="s">
        <v>725</v>
      </c>
      <c r="F120" s="35"/>
      <c r="G120" s="59"/>
      <c r="H120" s="59">
        <v>36000</v>
      </c>
      <c r="I120" s="61">
        <f t="shared" si="4"/>
        <v>-36000</v>
      </c>
      <c r="J120" s="173">
        <f>IF($A120="","",SUM($G$8:G120)-SUM($H$8:H120))</f>
        <v>109413908.46000001</v>
      </c>
      <c r="K120" s="59"/>
    </row>
    <row r="121" spans="1:11" x14ac:dyDescent="0.2">
      <c r="A121" s="45">
        <v>44275</v>
      </c>
      <c r="B121" s="35" t="s">
        <v>934</v>
      </c>
      <c r="C121" s="34" t="s">
        <v>555</v>
      </c>
      <c r="D121" s="35" t="s">
        <v>937</v>
      </c>
      <c r="E121" s="34" t="s">
        <v>725</v>
      </c>
      <c r="F121" s="35"/>
      <c r="G121" s="59"/>
      <c r="H121" s="59">
        <v>3000</v>
      </c>
      <c r="I121" s="61">
        <f t="shared" si="4"/>
        <v>-3000</v>
      </c>
      <c r="J121" s="173">
        <f>IF($A121="","",SUM($G$8:G121)-SUM($H$8:H121))</f>
        <v>109410908.46000001</v>
      </c>
      <c r="K121" s="59"/>
    </row>
    <row r="122" spans="1:11" x14ac:dyDescent="0.2">
      <c r="A122" s="45">
        <v>44275</v>
      </c>
      <c r="B122" s="35" t="s">
        <v>934</v>
      </c>
      <c r="C122" s="34" t="s">
        <v>556</v>
      </c>
      <c r="D122" s="35" t="s">
        <v>937</v>
      </c>
      <c r="E122" s="34" t="s">
        <v>725</v>
      </c>
      <c r="F122" s="35"/>
      <c r="G122" s="59"/>
      <c r="H122" s="59">
        <v>25000</v>
      </c>
      <c r="I122" s="61">
        <f t="shared" si="4"/>
        <v>-25000</v>
      </c>
      <c r="J122" s="173">
        <f>IF($A122="","",SUM($G$8:G122)-SUM($H$8:H122))</f>
        <v>109385908.46000001</v>
      </c>
      <c r="K122" s="59"/>
    </row>
    <row r="123" spans="1:11" x14ac:dyDescent="0.2">
      <c r="A123" s="45">
        <v>44275</v>
      </c>
      <c r="B123" s="35" t="s">
        <v>934</v>
      </c>
      <c r="C123" s="34" t="s">
        <v>557</v>
      </c>
      <c r="D123" s="35" t="s">
        <v>937</v>
      </c>
      <c r="E123" s="34" t="s">
        <v>725</v>
      </c>
      <c r="F123" s="35"/>
      <c r="G123" s="59"/>
      <c r="H123" s="59">
        <v>60000</v>
      </c>
      <c r="I123" s="61">
        <f t="shared" si="4"/>
        <v>-60000</v>
      </c>
      <c r="J123" s="173">
        <f>IF($A123="","",SUM($G$8:G123)-SUM($H$8:H123))</f>
        <v>109325908.46000001</v>
      </c>
      <c r="K123" s="59"/>
    </row>
    <row r="124" spans="1:11" x14ac:dyDescent="0.2">
      <c r="A124" s="45">
        <v>44275</v>
      </c>
      <c r="B124" s="35" t="s">
        <v>934</v>
      </c>
      <c r="C124" s="34" t="s">
        <v>558</v>
      </c>
      <c r="D124" s="35" t="s">
        <v>937</v>
      </c>
      <c r="E124" s="34" t="s">
        <v>725</v>
      </c>
      <c r="F124" s="35"/>
      <c r="G124" s="59"/>
      <c r="H124" s="59">
        <v>24000</v>
      </c>
      <c r="I124" s="61">
        <f t="shared" si="4"/>
        <v>-24000</v>
      </c>
      <c r="J124" s="173">
        <f>IF($A124="","",SUM($G$8:G124)-SUM($H$8:H124))</f>
        <v>109301908.46000001</v>
      </c>
      <c r="K124" s="59"/>
    </row>
    <row r="125" spans="1:11" x14ac:dyDescent="0.2">
      <c r="A125" s="45">
        <v>44275</v>
      </c>
      <c r="B125" s="35" t="s">
        <v>934</v>
      </c>
      <c r="C125" s="34" t="s">
        <v>559</v>
      </c>
      <c r="D125" s="35" t="s">
        <v>937</v>
      </c>
      <c r="E125" s="34" t="s">
        <v>725</v>
      </c>
      <c r="F125" s="35"/>
      <c r="G125" s="59"/>
      <c r="H125" s="59">
        <v>10000</v>
      </c>
      <c r="I125" s="61">
        <f t="shared" si="4"/>
        <v>-10000</v>
      </c>
      <c r="J125" s="173">
        <f>IF($A125="","",SUM($G$8:G125)-SUM($H$8:H125))</f>
        <v>109291908.46000001</v>
      </c>
      <c r="K125" s="59"/>
    </row>
    <row r="126" spans="1:11" x14ac:dyDescent="0.2">
      <c r="A126" s="45">
        <v>44275</v>
      </c>
      <c r="B126" s="35" t="s">
        <v>934</v>
      </c>
      <c r="C126" s="34" t="s">
        <v>560</v>
      </c>
      <c r="D126" s="35" t="s">
        <v>937</v>
      </c>
      <c r="E126" s="34" t="s">
        <v>725</v>
      </c>
      <c r="F126" s="35"/>
      <c r="G126" s="59"/>
      <c r="H126" s="59">
        <v>50000</v>
      </c>
      <c r="I126" s="61">
        <f t="shared" si="4"/>
        <v>-50000</v>
      </c>
      <c r="J126" s="173">
        <f>IF($A126="","",SUM($G$8:G126)-SUM($H$8:H126))</f>
        <v>109241908.46000001</v>
      </c>
      <c r="K126" s="59"/>
    </row>
    <row r="127" spans="1:11" x14ac:dyDescent="0.2">
      <c r="A127" s="45">
        <v>44275</v>
      </c>
      <c r="B127" s="35" t="s">
        <v>934</v>
      </c>
      <c r="C127" s="34" t="s">
        <v>556</v>
      </c>
      <c r="D127" s="35" t="s">
        <v>937</v>
      </c>
      <c r="E127" s="34" t="s">
        <v>725</v>
      </c>
      <c r="F127" s="35"/>
      <c r="G127" s="59"/>
      <c r="H127" s="59">
        <v>26000</v>
      </c>
      <c r="I127" s="61">
        <f t="shared" si="4"/>
        <v>-26000</v>
      </c>
      <c r="J127" s="173">
        <f>IF($A127="","",SUM($G$8:G127)-SUM($H$8:H127))</f>
        <v>109215908.46000001</v>
      </c>
      <c r="K127" s="59"/>
    </row>
    <row r="128" spans="1:11" x14ac:dyDescent="0.2">
      <c r="A128" s="45">
        <v>44275</v>
      </c>
      <c r="B128" s="35" t="s">
        <v>934</v>
      </c>
      <c r="C128" s="34" t="s">
        <v>561</v>
      </c>
      <c r="D128" s="35" t="s">
        <v>937</v>
      </c>
      <c r="E128" s="34" t="s">
        <v>725</v>
      </c>
      <c r="F128" s="35"/>
      <c r="G128" s="59"/>
      <c r="H128" s="59">
        <v>100000</v>
      </c>
      <c r="I128" s="61">
        <f t="shared" si="4"/>
        <v>-100000</v>
      </c>
      <c r="J128" s="173">
        <f>IF($A128="","",SUM($G$8:G128)-SUM($H$8:H128))</f>
        <v>109115908.46000001</v>
      </c>
      <c r="K128" s="59"/>
    </row>
    <row r="129" spans="1:11" x14ac:dyDescent="0.2">
      <c r="A129" s="45">
        <v>44275</v>
      </c>
      <c r="B129" s="35" t="s">
        <v>934</v>
      </c>
      <c r="C129" s="34" t="s">
        <v>562</v>
      </c>
      <c r="D129" s="35" t="s">
        <v>937</v>
      </c>
      <c r="E129" s="34" t="s">
        <v>725</v>
      </c>
      <c r="F129" s="35"/>
      <c r="G129" s="59"/>
      <c r="H129" s="59">
        <v>30000</v>
      </c>
      <c r="I129" s="61">
        <f t="shared" si="4"/>
        <v>-30000</v>
      </c>
      <c r="J129" s="173">
        <f>IF($A129="","",SUM($G$8:G129)-SUM($H$8:H129))</f>
        <v>109085908.46000001</v>
      </c>
      <c r="K129" s="59"/>
    </row>
    <row r="130" spans="1:11" x14ac:dyDescent="0.2">
      <c r="A130" s="45">
        <v>44275</v>
      </c>
      <c r="B130" s="35" t="s">
        <v>934</v>
      </c>
      <c r="C130" s="34" t="s">
        <v>563</v>
      </c>
      <c r="D130" s="34" t="s">
        <v>937</v>
      </c>
      <c r="E130" s="34" t="s">
        <v>725</v>
      </c>
      <c r="F130" s="35"/>
      <c r="G130" s="59"/>
      <c r="H130" s="59">
        <v>18000</v>
      </c>
      <c r="I130" s="61">
        <f t="shared" si="4"/>
        <v>-18000</v>
      </c>
      <c r="J130" s="173">
        <f>IF($A130="","",SUM($G$8:G130)-SUM($H$8:H130))</f>
        <v>109067908.46000001</v>
      </c>
      <c r="K130" s="59"/>
    </row>
    <row r="131" spans="1:11" x14ac:dyDescent="0.2">
      <c r="A131" s="45">
        <v>44275</v>
      </c>
      <c r="B131" s="35" t="s">
        <v>934</v>
      </c>
      <c r="C131" s="34" t="s">
        <v>564</v>
      </c>
      <c r="D131" s="34" t="s">
        <v>937</v>
      </c>
      <c r="E131" s="34" t="s">
        <v>725</v>
      </c>
      <c r="F131" s="35"/>
      <c r="G131" s="59"/>
      <c r="H131" s="59">
        <v>6000</v>
      </c>
      <c r="I131" s="61">
        <f t="shared" si="4"/>
        <v>-6000</v>
      </c>
      <c r="J131" s="173">
        <f>IF($A131="","",SUM($G$8:G131)-SUM($H$8:H131))</f>
        <v>109061908.46000001</v>
      </c>
      <c r="K131" s="59"/>
    </row>
    <row r="132" spans="1:11" x14ac:dyDescent="0.2">
      <c r="A132" s="45">
        <v>44275</v>
      </c>
      <c r="B132" s="35" t="s">
        <v>934</v>
      </c>
      <c r="C132" s="34" t="s">
        <v>565</v>
      </c>
      <c r="D132" s="34" t="s">
        <v>937</v>
      </c>
      <c r="E132" s="34" t="s">
        <v>725</v>
      </c>
      <c r="F132" s="35"/>
      <c r="G132" s="59"/>
      <c r="H132" s="59">
        <v>170000</v>
      </c>
      <c r="I132" s="61">
        <f t="shared" si="4"/>
        <v>-170000</v>
      </c>
      <c r="J132" s="173">
        <f>IF($A132="","",SUM($G$8:G132)-SUM($H$8:H132))</f>
        <v>108891908.46000001</v>
      </c>
      <c r="K132" s="59"/>
    </row>
    <row r="133" spans="1:11" x14ac:dyDescent="0.2">
      <c r="A133" s="45">
        <v>44275</v>
      </c>
      <c r="B133" s="35" t="s">
        <v>934</v>
      </c>
      <c r="C133" s="34" t="s">
        <v>566</v>
      </c>
      <c r="D133" s="34" t="s">
        <v>937</v>
      </c>
      <c r="E133" s="34" t="s">
        <v>725</v>
      </c>
      <c r="F133" s="35"/>
      <c r="G133" s="59"/>
      <c r="H133" s="59">
        <v>132000</v>
      </c>
      <c r="I133" s="61">
        <f t="shared" si="4"/>
        <v>-132000</v>
      </c>
      <c r="J133" s="173">
        <f>IF($A133="","",SUM($G$8:G133)-SUM($H$8:H133))</f>
        <v>108759908.46000001</v>
      </c>
      <c r="K133" s="59"/>
    </row>
    <row r="134" spans="1:11" x14ac:dyDescent="0.2">
      <c r="A134" s="45">
        <v>44275</v>
      </c>
      <c r="B134" s="35" t="s">
        <v>934</v>
      </c>
      <c r="C134" s="34" t="s">
        <v>567</v>
      </c>
      <c r="D134" s="35" t="s">
        <v>937</v>
      </c>
      <c r="E134" s="35" t="s">
        <v>725</v>
      </c>
      <c r="F134" s="35"/>
      <c r="G134" s="59"/>
      <c r="H134" s="59">
        <v>34000</v>
      </c>
      <c r="I134" s="61">
        <f t="shared" si="4"/>
        <v>-34000</v>
      </c>
      <c r="J134" s="173">
        <f>IF($A134="","",SUM($G$8:G134)-SUM($H$8:H134))</f>
        <v>108725908.46000001</v>
      </c>
      <c r="K134" s="59"/>
    </row>
    <row r="135" spans="1:11" x14ac:dyDescent="0.2">
      <c r="A135" s="45">
        <v>44275</v>
      </c>
      <c r="B135" s="35" t="s">
        <v>934</v>
      </c>
      <c r="C135" s="34" t="s">
        <v>568</v>
      </c>
      <c r="D135" s="35" t="s">
        <v>937</v>
      </c>
      <c r="E135" s="34" t="s">
        <v>725</v>
      </c>
      <c r="F135" s="35"/>
      <c r="G135" s="59"/>
      <c r="H135" s="59">
        <v>126000</v>
      </c>
      <c r="I135" s="61">
        <f t="shared" si="4"/>
        <v>-126000</v>
      </c>
      <c r="J135" s="173">
        <f>IF($A135="","",SUM($G$8:G135)-SUM($H$8:H135))</f>
        <v>108599908.46000001</v>
      </c>
      <c r="K135" s="59"/>
    </row>
    <row r="136" spans="1:11" x14ac:dyDescent="0.2">
      <c r="A136" s="45">
        <v>44275</v>
      </c>
      <c r="B136" s="35" t="s">
        <v>934</v>
      </c>
      <c r="C136" s="34" t="s">
        <v>569</v>
      </c>
      <c r="D136" s="34" t="s">
        <v>937</v>
      </c>
      <c r="E136" s="34" t="s">
        <v>725</v>
      </c>
      <c r="F136" s="35"/>
      <c r="G136" s="59"/>
      <c r="H136" s="59">
        <v>75000</v>
      </c>
      <c r="I136" s="61">
        <f t="shared" si="4"/>
        <v>-75000</v>
      </c>
      <c r="J136" s="173">
        <f>IF($A136="","",SUM($G$8:G136)-SUM($H$8:H136))</f>
        <v>108524908.46000001</v>
      </c>
      <c r="K136" s="59"/>
    </row>
    <row r="137" spans="1:11" x14ac:dyDescent="0.2">
      <c r="A137" s="45">
        <v>44275</v>
      </c>
      <c r="B137" s="35" t="s">
        <v>934</v>
      </c>
      <c r="C137" s="34" t="s">
        <v>570</v>
      </c>
      <c r="D137" s="35" t="s">
        <v>937</v>
      </c>
      <c r="E137" s="34" t="s">
        <v>725</v>
      </c>
      <c r="F137" s="35"/>
      <c r="G137" s="59"/>
      <c r="H137" s="59">
        <v>39000</v>
      </c>
      <c r="I137" s="61">
        <f t="shared" ref="I137:I168" si="5">IF(A137="","",IF(G137&gt;0,G137,-H137))</f>
        <v>-39000</v>
      </c>
      <c r="J137" s="173">
        <f>IF($A137="","",SUM($G$8:G137)-SUM($H$8:H137))</f>
        <v>108485908.46000001</v>
      </c>
      <c r="K137" s="59"/>
    </row>
    <row r="138" spans="1:11" x14ac:dyDescent="0.2">
      <c r="A138" s="45">
        <v>44275</v>
      </c>
      <c r="B138" s="35" t="s">
        <v>934</v>
      </c>
      <c r="C138" s="34" t="s">
        <v>571</v>
      </c>
      <c r="D138" s="35" t="s">
        <v>937</v>
      </c>
      <c r="E138" s="34" t="s">
        <v>725</v>
      </c>
      <c r="F138" s="35"/>
      <c r="G138" s="59"/>
      <c r="H138" s="59">
        <v>32999.760000000002</v>
      </c>
      <c r="I138" s="61">
        <f t="shared" si="5"/>
        <v>-32999.760000000002</v>
      </c>
      <c r="J138" s="173">
        <f>IF($A138="","",SUM($G$8:G138)-SUM($H$8:H138))</f>
        <v>108452908.70000002</v>
      </c>
      <c r="K138" s="59"/>
    </row>
    <row r="139" spans="1:11" x14ac:dyDescent="0.2">
      <c r="A139" s="45">
        <v>44275</v>
      </c>
      <c r="B139" s="35" t="s">
        <v>934</v>
      </c>
      <c r="C139" s="34" t="s">
        <v>572</v>
      </c>
      <c r="D139" s="35" t="s">
        <v>937</v>
      </c>
      <c r="E139" s="34" t="s">
        <v>725</v>
      </c>
      <c r="F139" s="35"/>
      <c r="G139" s="59"/>
      <c r="H139" s="59">
        <v>12000</v>
      </c>
      <c r="I139" s="61">
        <f t="shared" si="5"/>
        <v>-12000</v>
      </c>
      <c r="J139" s="173">
        <f>IF($A139="","",SUM($G$8:G139)-SUM($H$8:H139))</f>
        <v>108440908.70000002</v>
      </c>
      <c r="K139" s="59"/>
    </row>
    <row r="140" spans="1:11" x14ac:dyDescent="0.2">
      <c r="A140" s="45">
        <v>44275</v>
      </c>
      <c r="B140" s="35" t="s">
        <v>934</v>
      </c>
      <c r="C140" s="34" t="s">
        <v>573</v>
      </c>
      <c r="D140" s="35" t="s">
        <v>937</v>
      </c>
      <c r="E140" s="35" t="s">
        <v>725</v>
      </c>
      <c r="F140" s="35"/>
      <c r="G140" s="59"/>
      <c r="H140" s="59">
        <v>9000</v>
      </c>
      <c r="I140" s="61">
        <f t="shared" si="5"/>
        <v>-9000</v>
      </c>
      <c r="J140" s="173">
        <f>IF($A140="","",SUM($G$8:G140)-SUM($H$8:H140))</f>
        <v>108431908.70000002</v>
      </c>
      <c r="K140" s="59"/>
    </row>
    <row r="141" spans="1:11" x14ac:dyDescent="0.2">
      <c r="A141" s="45">
        <v>44275</v>
      </c>
      <c r="B141" s="35" t="s">
        <v>934</v>
      </c>
      <c r="C141" s="34" t="s">
        <v>574</v>
      </c>
      <c r="D141" s="35" t="s">
        <v>937</v>
      </c>
      <c r="E141" s="35" t="s">
        <v>725</v>
      </c>
      <c r="F141" s="35"/>
      <c r="G141" s="59"/>
      <c r="H141" s="59">
        <v>24000</v>
      </c>
      <c r="I141" s="61">
        <f t="shared" si="5"/>
        <v>-24000</v>
      </c>
      <c r="J141" s="173">
        <f>IF($A141="","",SUM($G$8:G141)-SUM($H$8:H141))</f>
        <v>108407908.70000002</v>
      </c>
      <c r="K141" s="59"/>
    </row>
    <row r="142" spans="1:11" x14ac:dyDescent="0.2">
      <c r="A142" s="45">
        <v>44275</v>
      </c>
      <c r="B142" s="35" t="s">
        <v>934</v>
      </c>
      <c r="C142" s="34" t="s">
        <v>575</v>
      </c>
      <c r="D142" s="35" t="s">
        <v>937</v>
      </c>
      <c r="E142" s="34" t="s">
        <v>725</v>
      </c>
      <c r="F142" s="35"/>
      <c r="G142" s="59"/>
      <c r="H142" s="59">
        <v>4500</v>
      </c>
      <c r="I142" s="61">
        <f t="shared" si="5"/>
        <v>-4500</v>
      </c>
      <c r="J142" s="173">
        <f>IF($A142="","",SUM($G$8:G142)-SUM($H$8:H142))</f>
        <v>108403408.70000002</v>
      </c>
      <c r="K142" s="59"/>
    </row>
    <row r="143" spans="1:11" x14ac:dyDescent="0.2">
      <c r="A143" s="45">
        <v>44275</v>
      </c>
      <c r="B143" s="35" t="s">
        <v>934</v>
      </c>
      <c r="C143" s="34" t="s">
        <v>722</v>
      </c>
      <c r="D143" s="34" t="s">
        <v>937</v>
      </c>
      <c r="E143" s="34" t="s">
        <v>725</v>
      </c>
      <c r="F143" s="35"/>
      <c r="G143" s="59"/>
      <c r="H143" s="59">
        <v>9000</v>
      </c>
      <c r="I143" s="61">
        <f t="shared" si="5"/>
        <v>-9000</v>
      </c>
      <c r="J143" s="173">
        <f>IF($A143="","",SUM($G$8:G143)-SUM($H$8:H143))</f>
        <v>108394408.70000002</v>
      </c>
      <c r="K143" s="59"/>
    </row>
    <row r="144" spans="1:11" x14ac:dyDescent="0.2">
      <c r="A144" s="45">
        <v>44275</v>
      </c>
      <c r="B144" s="35" t="s">
        <v>934</v>
      </c>
      <c r="C144" s="34" t="s">
        <v>576</v>
      </c>
      <c r="D144" s="35" t="s">
        <v>937</v>
      </c>
      <c r="E144" s="34" t="s">
        <v>725</v>
      </c>
      <c r="F144" s="35"/>
      <c r="G144" s="59"/>
      <c r="H144" s="59">
        <v>172893.7</v>
      </c>
      <c r="I144" s="61">
        <f t="shared" si="5"/>
        <v>-172893.7</v>
      </c>
      <c r="J144" s="173">
        <f>IF($A144="","",SUM($G$8:G144)-SUM($H$8:H144))</f>
        <v>108221515</v>
      </c>
      <c r="K144" s="59"/>
    </row>
    <row r="145" spans="1:11" x14ac:dyDescent="0.2">
      <c r="A145" s="45">
        <v>44312</v>
      </c>
      <c r="B145" s="35" t="s">
        <v>934</v>
      </c>
      <c r="C145" s="34" t="s">
        <v>592</v>
      </c>
      <c r="D145" s="35" t="s">
        <v>937</v>
      </c>
      <c r="E145" s="34" t="s">
        <v>725</v>
      </c>
      <c r="F145" s="35"/>
      <c r="G145" s="59"/>
      <c r="H145" s="59">
        <v>14000</v>
      </c>
      <c r="I145" s="61">
        <f t="shared" si="5"/>
        <v>-14000</v>
      </c>
      <c r="J145" s="173">
        <f>IF($A145="","",SUM($G$8:G145)-SUM($H$8:H145))</f>
        <v>108207515</v>
      </c>
      <c r="K145" s="59"/>
    </row>
    <row r="146" spans="1:11" x14ac:dyDescent="0.2">
      <c r="A146" s="45">
        <v>44312</v>
      </c>
      <c r="B146" s="35" t="s">
        <v>934</v>
      </c>
      <c r="C146" s="34" t="s">
        <v>593</v>
      </c>
      <c r="D146" s="35" t="s">
        <v>937</v>
      </c>
      <c r="E146" s="34" t="s">
        <v>725</v>
      </c>
      <c r="F146" s="35"/>
      <c r="G146" s="59"/>
      <c r="H146" s="59">
        <v>15000</v>
      </c>
      <c r="I146" s="61">
        <f t="shared" si="5"/>
        <v>-15000</v>
      </c>
      <c r="J146" s="173">
        <f>IF($A146="","",SUM($G$8:G146)-SUM($H$8:H146))</f>
        <v>108192515</v>
      </c>
      <c r="K146" s="59"/>
    </row>
    <row r="147" spans="1:11" x14ac:dyDescent="0.2">
      <c r="A147" s="45">
        <v>44312</v>
      </c>
      <c r="B147" s="35" t="s">
        <v>934</v>
      </c>
      <c r="C147" s="34" t="s">
        <v>594</v>
      </c>
      <c r="D147" s="34" t="s">
        <v>937</v>
      </c>
      <c r="E147" s="34" t="s">
        <v>725</v>
      </c>
      <c r="F147" s="35"/>
      <c r="G147" s="59"/>
      <c r="H147" s="59">
        <v>6000</v>
      </c>
      <c r="I147" s="61">
        <f t="shared" si="5"/>
        <v>-6000</v>
      </c>
      <c r="J147" s="173">
        <f>IF($A147="","",SUM($G$8:G147)-SUM($H$8:H147))</f>
        <v>108186515</v>
      </c>
      <c r="K147" s="59"/>
    </row>
    <row r="148" spans="1:11" x14ac:dyDescent="0.2">
      <c r="A148" s="45">
        <v>44312</v>
      </c>
      <c r="B148" s="35" t="s">
        <v>934</v>
      </c>
      <c r="C148" s="34" t="s">
        <v>595</v>
      </c>
      <c r="D148" s="35" t="s">
        <v>937</v>
      </c>
      <c r="E148" s="34" t="s">
        <v>725</v>
      </c>
      <c r="F148" s="35"/>
      <c r="G148" s="59"/>
      <c r="H148" s="59">
        <v>1000</v>
      </c>
      <c r="I148" s="61">
        <f t="shared" si="5"/>
        <v>-1000</v>
      </c>
      <c r="J148" s="173">
        <f>IF($A148="","",SUM($G$8:G148)-SUM($H$8:H148))</f>
        <v>108185515</v>
      </c>
      <c r="K148" s="59"/>
    </row>
    <row r="149" spans="1:11" x14ac:dyDescent="0.2">
      <c r="A149" s="45">
        <v>44312</v>
      </c>
      <c r="B149" s="35" t="s">
        <v>934</v>
      </c>
      <c r="C149" s="34" t="s">
        <v>596</v>
      </c>
      <c r="D149" s="35" t="s">
        <v>937</v>
      </c>
      <c r="E149" s="34" t="s">
        <v>725</v>
      </c>
      <c r="F149" s="35"/>
      <c r="G149" s="59"/>
      <c r="H149" s="59">
        <v>4000</v>
      </c>
      <c r="I149" s="61">
        <f t="shared" si="5"/>
        <v>-4000</v>
      </c>
      <c r="J149" s="173">
        <f>IF($A149="","",SUM($G$8:G149)-SUM($H$8:H149))</f>
        <v>108181515</v>
      </c>
      <c r="K149" s="59"/>
    </row>
    <row r="150" spans="1:11" x14ac:dyDescent="0.2">
      <c r="A150" s="45">
        <v>44319</v>
      </c>
      <c r="B150" s="35" t="s">
        <v>934</v>
      </c>
      <c r="C150" s="34" t="s">
        <v>609</v>
      </c>
      <c r="D150" s="35" t="s">
        <v>937</v>
      </c>
      <c r="E150" s="34" t="s">
        <v>725</v>
      </c>
      <c r="F150" s="35"/>
      <c r="G150" s="59"/>
      <c r="H150" s="59">
        <v>4500</v>
      </c>
      <c r="I150" s="61">
        <f t="shared" si="5"/>
        <v>-4500</v>
      </c>
      <c r="J150" s="173">
        <f>IF($A150="","",SUM($G$8:G150)-SUM($H$8:H150))</f>
        <v>108177015</v>
      </c>
      <c r="K150" s="59"/>
    </row>
    <row r="151" spans="1:11" x14ac:dyDescent="0.2">
      <c r="A151" s="45">
        <v>44321</v>
      </c>
      <c r="B151" s="35" t="s">
        <v>934</v>
      </c>
      <c r="C151" s="34" t="s">
        <v>619</v>
      </c>
      <c r="D151" s="35" t="s">
        <v>937</v>
      </c>
      <c r="E151" s="34" t="s">
        <v>725</v>
      </c>
      <c r="F151" s="35"/>
      <c r="G151" s="59"/>
      <c r="H151" s="59">
        <v>15000</v>
      </c>
      <c r="I151" s="61">
        <f t="shared" si="5"/>
        <v>-15000</v>
      </c>
      <c r="J151" s="173">
        <f>IF($A151="","",SUM($G$8:G151)-SUM($H$8:H151))</f>
        <v>108162015</v>
      </c>
      <c r="K151" s="59"/>
    </row>
    <row r="152" spans="1:11" x14ac:dyDescent="0.2">
      <c r="A152" s="45">
        <v>44313</v>
      </c>
      <c r="B152" s="35" t="s">
        <v>934</v>
      </c>
      <c r="C152" s="34" t="s">
        <v>598</v>
      </c>
      <c r="D152" s="35" t="s">
        <v>937</v>
      </c>
      <c r="E152" s="34" t="s">
        <v>729</v>
      </c>
      <c r="F152" s="35"/>
      <c r="G152" s="59"/>
      <c r="H152" s="59">
        <v>252000</v>
      </c>
      <c r="I152" s="61">
        <f t="shared" si="5"/>
        <v>-252000</v>
      </c>
      <c r="J152" s="173">
        <f>IF($A152="","",SUM($G$8:G152)-SUM($H$8:H152))</f>
        <v>107910015</v>
      </c>
      <c r="K152" s="59"/>
    </row>
    <row r="153" spans="1:11" x14ac:dyDescent="0.2">
      <c r="A153" s="45">
        <v>44313</v>
      </c>
      <c r="B153" s="35" t="s">
        <v>934</v>
      </c>
      <c r="C153" s="34" t="s">
        <v>599</v>
      </c>
      <c r="D153" s="35" t="s">
        <v>937</v>
      </c>
      <c r="E153" s="34" t="s">
        <v>729</v>
      </c>
      <c r="F153" s="35"/>
      <c r="G153" s="59"/>
      <c r="H153" s="59">
        <v>600000</v>
      </c>
      <c r="I153" s="61">
        <f t="shared" si="5"/>
        <v>-600000</v>
      </c>
      <c r="J153" s="173">
        <f>IF($A153="","",SUM($G$8:G153)-SUM($H$8:H153))</f>
        <v>107310015</v>
      </c>
      <c r="K153" s="59"/>
    </row>
    <row r="154" spans="1:11" x14ac:dyDescent="0.2">
      <c r="A154" s="45">
        <v>44287</v>
      </c>
      <c r="B154" s="35" t="s">
        <v>934</v>
      </c>
      <c r="C154" s="34" t="s">
        <v>583</v>
      </c>
      <c r="D154" s="35" t="s">
        <v>937</v>
      </c>
      <c r="E154" s="34" t="s">
        <v>723</v>
      </c>
      <c r="F154" s="35"/>
      <c r="G154" s="59"/>
      <c r="H154" s="59">
        <v>500000</v>
      </c>
      <c r="I154" s="61">
        <f t="shared" si="5"/>
        <v>-500000</v>
      </c>
      <c r="J154" s="173">
        <f>IF($A154="","",SUM($G$8:G154)-SUM($H$8:H154))</f>
        <v>106810015</v>
      </c>
      <c r="K154" s="59"/>
    </row>
    <row r="155" spans="1:11" x14ac:dyDescent="0.2">
      <c r="A155" s="45">
        <v>44287</v>
      </c>
      <c r="B155" s="35" t="s">
        <v>934</v>
      </c>
      <c r="C155" s="34" t="s">
        <v>576</v>
      </c>
      <c r="D155" s="34" t="s">
        <v>937</v>
      </c>
      <c r="E155" s="34" t="s">
        <v>723</v>
      </c>
      <c r="F155" s="35"/>
      <c r="G155" s="59"/>
      <c r="H155" s="59">
        <v>170015</v>
      </c>
      <c r="I155" s="61">
        <f t="shared" si="5"/>
        <v>-170015</v>
      </c>
      <c r="J155" s="173">
        <f>IF($A155="","",SUM($G$8:G155)-SUM($H$8:H155))</f>
        <v>106640000</v>
      </c>
      <c r="K155" s="59"/>
    </row>
    <row r="156" spans="1:11" x14ac:dyDescent="0.2">
      <c r="A156" s="45">
        <v>44294</v>
      </c>
      <c r="B156" s="35" t="s">
        <v>934</v>
      </c>
      <c r="C156" s="34" t="s">
        <v>576</v>
      </c>
      <c r="D156" s="34" t="s">
        <v>937</v>
      </c>
      <c r="E156" s="34" t="s">
        <v>723</v>
      </c>
      <c r="F156" s="35"/>
      <c r="G156" s="59"/>
      <c r="H156" s="59">
        <v>225000</v>
      </c>
      <c r="I156" s="61">
        <f t="shared" si="5"/>
        <v>-225000</v>
      </c>
      <c r="J156" s="173">
        <f>IF($A156="","",SUM($G$8:G156)-SUM($H$8:H156))</f>
        <v>106415000</v>
      </c>
      <c r="K156" s="59"/>
    </row>
    <row r="157" spans="1:11" x14ac:dyDescent="0.2">
      <c r="A157" s="45">
        <v>44344</v>
      </c>
      <c r="B157" s="35" t="s">
        <v>934</v>
      </c>
      <c r="C157" s="34" t="s">
        <v>639</v>
      </c>
      <c r="D157" s="34" t="s">
        <v>937</v>
      </c>
      <c r="E157" s="34" t="s">
        <v>723</v>
      </c>
      <c r="F157" s="35"/>
      <c r="G157" s="59"/>
      <c r="H157" s="59">
        <v>175000</v>
      </c>
      <c r="I157" s="61">
        <f t="shared" si="5"/>
        <v>-175000</v>
      </c>
      <c r="J157" s="173">
        <f>IF($A157="","",SUM($G$8:G157)-SUM($H$8:H157))</f>
        <v>106240000</v>
      </c>
      <c r="K157" s="59"/>
    </row>
    <row r="158" spans="1:11" x14ac:dyDescent="0.2">
      <c r="A158" s="45">
        <v>44354</v>
      </c>
      <c r="B158" s="35" t="s">
        <v>934</v>
      </c>
      <c r="C158" s="34" t="s">
        <v>643</v>
      </c>
      <c r="D158" s="34" t="s">
        <v>937</v>
      </c>
      <c r="E158" s="34" t="s">
        <v>723</v>
      </c>
      <c r="F158" s="35"/>
      <c r="G158" s="59"/>
      <c r="H158" s="59">
        <v>70000</v>
      </c>
      <c r="I158" s="61">
        <f t="shared" si="5"/>
        <v>-70000</v>
      </c>
      <c r="J158" s="173">
        <f>IF($A158="","",SUM($G$8:G158)-SUM($H$8:H158))</f>
        <v>106170000</v>
      </c>
      <c r="K158" s="59"/>
    </row>
    <row r="159" spans="1:11" x14ac:dyDescent="0.2">
      <c r="A159" s="45">
        <v>44317</v>
      </c>
      <c r="B159" s="35" t="s">
        <v>934</v>
      </c>
      <c r="C159" s="34" t="s">
        <v>608</v>
      </c>
      <c r="D159" s="35" t="s">
        <v>937</v>
      </c>
      <c r="E159" s="34" t="s">
        <v>730</v>
      </c>
      <c r="F159" s="35"/>
      <c r="G159" s="59"/>
      <c r="H159" s="59">
        <v>50000</v>
      </c>
      <c r="I159" s="61">
        <f t="shared" si="5"/>
        <v>-50000</v>
      </c>
      <c r="J159" s="173">
        <f>IF($A159="","",SUM($G$8:G159)-SUM($H$8:H159))</f>
        <v>106120000</v>
      </c>
      <c r="K159" s="59"/>
    </row>
    <row r="160" spans="1:11" x14ac:dyDescent="0.2">
      <c r="A160" s="45">
        <v>44324</v>
      </c>
      <c r="B160" s="35" t="s">
        <v>934</v>
      </c>
      <c r="C160" s="34" t="s">
        <v>941</v>
      </c>
      <c r="D160" s="35" t="s">
        <v>934</v>
      </c>
      <c r="E160" s="34" t="s">
        <v>942</v>
      </c>
      <c r="F160" s="35"/>
      <c r="G160" s="59"/>
      <c r="H160" s="59">
        <v>300000</v>
      </c>
      <c r="I160" s="61">
        <f t="shared" si="5"/>
        <v>-300000</v>
      </c>
      <c r="J160" s="173">
        <f>IF($A160="","",SUM($G$8:G160)-SUM($H$8:H160))</f>
        <v>105820000</v>
      </c>
      <c r="K160" s="59"/>
    </row>
    <row r="161" spans="1:11" x14ac:dyDescent="0.2">
      <c r="A161" s="45">
        <v>44324</v>
      </c>
      <c r="B161" s="35" t="s">
        <v>679</v>
      </c>
      <c r="C161" s="34" t="s">
        <v>941</v>
      </c>
      <c r="D161" s="35" t="s">
        <v>934</v>
      </c>
      <c r="E161" s="34" t="s">
        <v>942</v>
      </c>
      <c r="F161" s="35"/>
      <c r="G161" s="59">
        <v>300000</v>
      </c>
      <c r="H161" s="59"/>
      <c r="I161" s="61">
        <f t="shared" si="5"/>
        <v>300000</v>
      </c>
      <c r="J161" s="173">
        <f>IF($A161="","",SUM($G$8:G161)-SUM($H$8:H161))</f>
        <v>106120000</v>
      </c>
      <c r="K161" s="59"/>
    </row>
    <row r="162" spans="1:11" x14ac:dyDescent="0.2">
      <c r="A162" s="44"/>
      <c r="B162" s="35"/>
      <c r="C162" s="35"/>
      <c r="D162" s="35"/>
      <c r="E162" s="35"/>
      <c r="F162" s="35"/>
      <c r="G162" s="59"/>
      <c r="H162" s="59"/>
      <c r="I162" s="61" t="str">
        <f t="shared" si="5"/>
        <v/>
      </c>
      <c r="J162" s="173" t="str">
        <f>IF($A162="","",SUM($G$8:G162)-SUM($H$8:H162))</f>
        <v/>
      </c>
      <c r="K162" s="59"/>
    </row>
    <row r="163" spans="1:11" x14ac:dyDescent="0.2">
      <c r="A163" s="44"/>
      <c r="B163" s="35"/>
      <c r="C163" s="35"/>
      <c r="D163" s="35"/>
      <c r="E163" s="35"/>
      <c r="F163" s="35"/>
      <c r="G163" s="59"/>
      <c r="H163" s="59"/>
      <c r="I163" s="61" t="str">
        <f t="shared" si="5"/>
        <v/>
      </c>
      <c r="J163" s="173" t="str">
        <f>IF($A163="","",SUM($G$8:G163)-SUM($H$8:H163))</f>
        <v/>
      </c>
      <c r="K163" s="59"/>
    </row>
    <row r="164" spans="1:11" x14ac:dyDescent="0.2">
      <c r="A164" s="44"/>
      <c r="B164" s="35"/>
      <c r="C164" s="35"/>
      <c r="D164" s="35"/>
      <c r="E164" s="35"/>
      <c r="F164" s="35"/>
      <c r="G164" s="59"/>
      <c r="H164" s="59"/>
      <c r="I164" s="61" t="str">
        <f t="shared" si="5"/>
        <v/>
      </c>
      <c r="J164" s="173" t="str">
        <f>IF($A164="","",SUM($G$8:G164)-SUM($H$8:H164))</f>
        <v/>
      </c>
      <c r="K164" s="59"/>
    </row>
    <row r="165" spans="1:11" x14ac:dyDescent="0.2">
      <c r="A165" s="44"/>
      <c r="B165" s="35"/>
      <c r="C165" s="35"/>
      <c r="D165" s="35"/>
      <c r="E165" s="35"/>
      <c r="F165" s="35"/>
      <c r="G165" s="59"/>
      <c r="H165" s="59"/>
      <c r="I165" s="61" t="str">
        <f t="shared" si="5"/>
        <v/>
      </c>
      <c r="J165" s="173" t="str">
        <f>IF($A165="","",SUM($G$8:G165)-SUM($H$8:H165))</f>
        <v/>
      </c>
      <c r="K165" s="59"/>
    </row>
    <row r="166" spans="1:11" x14ac:dyDescent="0.2">
      <c r="A166" s="44"/>
      <c r="B166" s="35"/>
      <c r="C166" s="35"/>
      <c r="D166" s="35"/>
      <c r="E166" s="35"/>
      <c r="F166" s="35"/>
      <c r="G166" s="59"/>
      <c r="H166" s="59"/>
      <c r="I166" s="61" t="str">
        <f t="shared" si="5"/>
        <v/>
      </c>
      <c r="J166" s="173" t="str">
        <f>IF($A166="","",SUM($G$8:G166)-SUM($H$8:H166))</f>
        <v/>
      </c>
      <c r="K166" s="59"/>
    </row>
    <row r="167" spans="1:11" x14ac:dyDescent="0.2">
      <c r="A167" s="44"/>
      <c r="B167" s="35"/>
      <c r="C167" s="35"/>
      <c r="D167" s="35"/>
      <c r="E167" s="35"/>
      <c r="F167" s="35"/>
      <c r="G167" s="59"/>
      <c r="H167" s="59"/>
      <c r="I167" s="61" t="str">
        <f t="shared" si="5"/>
        <v/>
      </c>
      <c r="J167" s="173" t="str">
        <f>IF($A167="","",SUM($G$8:G167)-SUM($H$8:H167))</f>
        <v/>
      </c>
      <c r="K167" s="59"/>
    </row>
    <row r="168" spans="1:11" x14ac:dyDescent="0.2">
      <c r="A168" s="44"/>
      <c r="B168" s="35"/>
      <c r="C168" s="35"/>
      <c r="D168" s="35"/>
      <c r="E168" s="35"/>
      <c r="F168" s="35"/>
      <c r="G168" s="59"/>
      <c r="H168" s="59"/>
      <c r="I168" s="61" t="str">
        <f t="shared" si="5"/>
        <v/>
      </c>
      <c r="J168" s="173" t="str">
        <f>IF($A168="","",SUM($G$8:G168)-SUM($H$8:H168))</f>
        <v/>
      </c>
      <c r="K168" s="59"/>
    </row>
    <row r="169" spans="1:11" x14ac:dyDescent="0.2">
      <c r="A169" s="44"/>
      <c r="B169" s="35"/>
      <c r="C169" s="35"/>
      <c r="D169" s="35"/>
      <c r="E169" s="35"/>
      <c r="F169" s="35"/>
      <c r="G169" s="59"/>
      <c r="H169" s="59"/>
      <c r="I169" s="61" t="str">
        <f>IF(A169="","",IF(G169&gt;0,G169,-H169))</f>
        <v/>
      </c>
      <c r="J169" s="173" t="str">
        <f>IF($A169="","",SUM($G$8:G169)-SUM($H$8:H169))</f>
        <v/>
      </c>
      <c r="K169" s="59"/>
    </row>
    <row r="170" spans="1:11" x14ac:dyDescent="0.2">
      <c r="A170" s="167"/>
      <c r="B170" s="167"/>
      <c r="C170" s="168"/>
      <c r="D170" s="168"/>
      <c r="E170" s="168"/>
      <c r="F170" s="168"/>
      <c r="G170" s="169"/>
      <c r="H170" s="169"/>
      <c r="I170" s="169"/>
      <c r="J170" s="169"/>
      <c r="K170" s="169"/>
    </row>
  </sheetData>
  <sheetProtection algorithmName="SHA-512" hashValue="UWioZif1WEPaa3UQxCjpp8FeRsHQmcDn2BkDgGfXQp5XiNJZ1owZKISdJ4s374YUHWoWAv+5ic0XhJe0CJNM2Q==" saltValue="sB3WQaHfqm/y3iIa0F0ryw==" spinCount="100000" sheet="1" objects="1" scenarios="1"/>
  <autoFilter ref="A7:K169" xr:uid="{00000000-0009-0000-0000-000016000000}">
    <sortState xmlns:xlrd2="http://schemas.microsoft.com/office/spreadsheetml/2017/richdata2" ref="A51:K67">
      <sortCondition ref="A7:A169"/>
    </sortState>
  </autoFilter>
  <conditionalFormatting sqref="F3:F5">
    <cfRule type="duplicateValues" dxfId="3" priority="1"/>
  </conditionalFormatting>
  <dataValidations count="1">
    <dataValidation type="date" allowBlank="1" showInputMessage="1" showErrorMessage="1" error="Invalid Date,_x000a_Use date format dd/mm/yy_x000a_                       or mm/dd/yyy" sqref="A8:A170" xr:uid="{00000000-0002-0000-1600-000000000000}">
      <formula1>1</formula1>
      <formula2>TODAY()</formula2>
    </dataValidation>
  </dataValidations>
  <hyperlinks>
    <hyperlink ref="F3" location="Menu!A1" display="Back to Menu" xr:uid="{00000000-0004-0000-1600-000000000000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7" tint="-0.499984740745262"/>
  </sheetPr>
  <dimension ref="A1:L26"/>
  <sheetViews>
    <sheetView showGridLines="0" workbookViewId="0">
      <pane ySplit="5" topLeftCell="A6" activePane="bottomLeft" state="frozen"/>
      <selection pane="bottomLeft" activeCell="G2" sqref="G2"/>
    </sheetView>
  </sheetViews>
  <sheetFormatPr defaultRowHeight="12.75" x14ac:dyDescent="0.2"/>
  <cols>
    <col min="1" max="1" width="4" style="38" bestFit="1" customWidth="1"/>
    <col min="2" max="2" width="12.42578125" style="38" bestFit="1" customWidth="1"/>
    <col min="3" max="3" width="9" style="38" bestFit="1" customWidth="1"/>
    <col min="4" max="4" width="9" style="38" customWidth="1"/>
    <col min="5" max="5" width="17.28515625" style="38" bestFit="1" customWidth="1"/>
    <col min="6" max="6" width="24" style="38" bestFit="1" customWidth="1"/>
    <col min="7" max="7" width="24" style="38" customWidth="1"/>
    <col min="8" max="8" width="10.5703125" style="49" bestFit="1" customWidth="1"/>
    <col min="9" max="10" width="12.5703125" style="49" bestFit="1" customWidth="1"/>
    <col min="11" max="11" width="15" style="49" bestFit="1" customWidth="1"/>
    <col min="12" max="12" width="10.42578125" style="38" bestFit="1" customWidth="1"/>
    <col min="13" max="16384" width="9.140625" style="38"/>
  </cols>
  <sheetData>
    <row r="1" spans="1:12" x14ac:dyDescent="0.2">
      <c r="A1" s="37"/>
      <c r="B1" s="37"/>
      <c r="C1" s="37"/>
      <c r="D1" s="37"/>
      <c r="E1" s="37"/>
      <c r="F1" s="37"/>
      <c r="G1" s="37"/>
      <c r="H1" s="46"/>
      <c r="I1" s="46"/>
      <c r="J1" s="46"/>
      <c r="K1" s="46"/>
      <c r="L1" s="37"/>
    </row>
    <row r="2" spans="1:12" x14ac:dyDescent="0.2">
      <c r="A2" s="37"/>
      <c r="B2" s="37"/>
      <c r="C2" s="37"/>
      <c r="D2" s="37"/>
      <c r="E2" s="37"/>
      <c r="F2" s="37"/>
      <c r="G2" s="236" t="s">
        <v>9</v>
      </c>
      <c r="H2" s="46"/>
      <c r="I2" s="46"/>
      <c r="J2" s="46"/>
      <c r="K2" s="46"/>
      <c r="L2" s="37"/>
    </row>
    <row r="3" spans="1:12" ht="13.5" thickBot="1" x14ac:dyDescent="0.25">
      <c r="A3" s="37"/>
      <c r="B3" s="37"/>
      <c r="C3" s="41"/>
      <c r="D3" s="41"/>
      <c r="E3" s="41"/>
      <c r="F3" s="41"/>
      <c r="G3" s="41"/>
      <c r="H3" s="46"/>
      <c r="I3" s="46"/>
      <c r="J3" s="46"/>
      <c r="K3" s="46"/>
      <c r="L3" s="37"/>
    </row>
    <row r="4" spans="1:12" ht="14.25" thickTop="1" thickBot="1" x14ac:dyDescent="0.25">
      <c r="A4" s="39"/>
      <c r="B4" s="39"/>
      <c r="C4" s="37"/>
      <c r="D4" s="37"/>
      <c r="E4" s="37"/>
      <c r="F4" s="37"/>
      <c r="G4" s="37"/>
      <c r="H4" s="63">
        <f>SUBTOTAL(9,H6:H30)</f>
        <v>20000</v>
      </c>
      <c r="I4" s="63">
        <f>SUBTOTAL(9,I6:I30)</f>
        <v>107000000</v>
      </c>
      <c r="J4" s="63">
        <f>I4-H4</f>
        <v>106980000</v>
      </c>
      <c r="K4" s="39"/>
      <c r="L4" s="39"/>
    </row>
    <row r="5" spans="1:12" ht="14.25" thickTop="1" thickBot="1" x14ac:dyDescent="0.25">
      <c r="A5" s="197" t="s">
        <v>20</v>
      </c>
      <c r="B5" s="197" t="s">
        <v>0</v>
      </c>
      <c r="C5" s="197" t="s">
        <v>750</v>
      </c>
      <c r="D5" s="197" t="s">
        <v>715</v>
      </c>
      <c r="E5" s="197" t="s">
        <v>751</v>
      </c>
      <c r="F5" s="197" t="s">
        <v>736</v>
      </c>
      <c r="G5" s="197" t="s">
        <v>753</v>
      </c>
      <c r="H5" s="198" t="s">
        <v>761</v>
      </c>
      <c r="I5" s="198" t="s">
        <v>762</v>
      </c>
      <c r="J5" s="198" t="s">
        <v>763</v>
      </c>
      <c r="K5" s="198" t="s">
        <v>737</v>
      </c>
      <c r="L5" s="197" t="s">
        <v>43</v>
      </c>
    </row>
    <row r="6" spans="1:12" ht="13.5" thickTop="1" x14ac:dyDescent="0.2">
      <c r="A6" s="35">
        <v>1</v>
      </c>
      <c r="B6" s="44">
        <v>44473</v>
      </c>
      <c r="C6" s="35" t="s">
        <v>741</v>
      </c>
      <c r="D6" s="35" t="s">
        <v>738</v>
      </c>
      <c r="E6" s="35" t="s">
        <v>660</v>
      </c>
      <c r="F6" s="35" t="s">
        <v>739</v>
      </c>
      <c r="G6" s="35" t="s">
        <v>754</v>
      </c>
      <c r="H6" s="59"/>
      <c r="I6" s="59">
        <v>10000000</v>
      </c>
      <c r="J6" s="61">
        <f>SUM($I$6:I6)-SUM($H$6:H6)</f>
        <v>10000000</v>
      </c>
      <c r="K6" s="59" t="s">
        <v>740</v>
      </c>
      <c r="L6" s="35"/>
    </row>
    <row r="7" spans="1:12" x14ac:dyDescent="0.2">
      <c r="A7" s="34">
        <v>2</v>
      </c>
      <c r="B7" s="44">
        <v>44473</v>
      </c>
      <c r="C7" s="35" t="s">
        <v>741</v>
      </c>
      <c r="D7" s="35" t="s">
        <v>738</v>
      </c>
      <c r="E7" s="35" t="s">
        <v>660</v>
      </c>
      <c r="F7" s="34" t="s">
        <v>739</v>
      </c>
      <c r="G7" s="35" t="s">
        <v>755</v>
      </c>
      <c r="H7" s="48"/>
      <c r="I7" s="59">
        <v>10000000</v>
      </c>
      <c r="J7" s="61">
        <f>SUM($I$6:I7)-SUM($H$6:H7)</f>
        <v>20000000</v>
      </c>
      <c r="K7" s="48" t="s">
        <v>740</v>
      </c>
      <c r="L7" s="34"/>
    </row>
    <row r="8" spans="1:12" ht="12" customHeight="1" x14ac:dyDescent="0.2">
      <c r="A8" s="35">
        <v>3</v>
      </c>
      <c r="B8" s="44">
        <v>44352</v>
      </c>
      <c r="C8" s="35" t="s">
        <v>741</v>
      </c>
      <c r="D8" s="35" t="s">
        <v>738</v>
      </c>
      <c r="E8" s="35" t="s">
        <v>660</v>
      </c>
      <c r="F8" s="34" t="s">
        <v>739</v>
      </c>
      <c r="G8" s="35" t="s">
        <v>756</v>
      </c>
      <c r="H8" s="48"/>
      <c r="I8" s="59">
        <v>10000000</v>
      </c>
      <c r="J8" s="61">
        <f>SUM($I$6:I8)-SUM($H$6:H8)</f>
        <v>30000000</v>
      </c>
      <c r="K8" s="48" t="s">
        <v>740</v>
      </c>
      <c r="L8" s="34"/>
    </row>
    <row r="9" spans="1:12" x14ac:dyDescent="0.2">
      <c r="A9" s="34">
        <v>4</v>
      </c>
      <c r="B9" s="44">
        <v>44505</v>
      </c>
      <c r="C9" s="35" t="s">
        <v>741</v>
      </c>
      <c r="D9" s="35" t="s">
        <v>738</v>
      </c>
      <c r="E9" s="35" t="s">
        <v>660</v>
      </c>
      <c r="F9" s="34" t="s">
        <v>679</v>
      </c>
      <c r="G9" s="35" t="s">
        <v>760</v>
      </c>
      <c r="H9" s="48"/>
      <c r="I9" s="59">
        <v>1000000</v>
      </c>
      <c r="J9" s="61">
        <f>SUM($I$6:I9)-SUM($H$6:H9)</f>
        <v>31000000</v>
      </c>
      <c r="K9" s="48" t="s">
        <v>325</v>
      </c>
      <c r="L9" s="34"/>
    </row>
    <row r="10" spans="1:12" x14ac:dyDescent="0.2">
      <c r="A10" s="35">
        <v>5</v>
      </c>
      <c r="B10" s="44">
        <v>44505</v>
      </c>
      <c r="C10" s="35" t="s">
        <v>741</v>
      </c>
      <c r="D10" s="35" t="s">
        <v>738</v>
      </c>
      <c r="E10" s="35" t="s">
        <v>660</v>
      </c>
      <c r="F10" s="34" t="s">
        <v>679</v>
      </c>
      <c r="G10" s="35" t="s">
        <v>764</v>
      </c>
      <c r="H10" s="48">
        <v>20000</v>
      </c>
      <c r="I10" s="59"/>
      <c r="J10" s="61">
        <f>SUM($I$6:I10)-SUM($H$6:H10)</f>
        <v>30980000</v>
      </c>
      <c r="K10" s="48" t="s">
        <v>325</v>
      </c>
      <c r="L10" s="34"/>
    </row>
    <row r="11" spans="1:12" x14ac:dyDescent="0.2">
      <c r="A11" s="34">
        <v>6</v>
      </c>
      <c r="B11" s="44">
        <v>44341</v>
      </c>
      <c r="C11" s="35" t="s">
        <v>741</v>
      </c>
      <c r="D11" s="35" t="s">
        <v>738</v>
      </c>
      <c r="E11" s="35" t="s">
        <v>660</v>
      </c>
      <c r="F11" s="34" t="s">
        <v>739</v>
      </c>
      <c r="G11" s="35" t="s">
        <v>757</v>
      </c>
      <c r="H11" s="48"/>
      <c r="I11" s="59">
        <v>10000000</v>
      </c>
      <c r="J11" s="61">
        <f>SUM($I$6:I11)-SUM($H$6:H11)</f>
        <v>40980000</v>
      </c>
      <c r="K11" s="48" t="s">
        <v>740</v>
      </c>
      <c r="L11" s="34"/>
    </row>
    <row r="12" spans="1:12" x14ac:dyDescent="0.2">
      <c r="A12" s="35">
        <v>7</v>
      </c>
      <c r="B12" s="44">
        <v>44341</v>
      </c>
      <c r="C12" s="35" t="s">
        <v>741</v>
      </c>
      <c r="D12" s="35" t="s">
        <v>738</v>
      </c>
      <c r="E12" s="34" t="s">
        <v>660</v>
      </c>
      <c r="F12" s="34" t="s">
        <v>739</v>
      </c>
      <c r="G12" s="35" t="s">
        <v>758</v>
      </c>
      <c r="H12" s="48"/>
      <c r="I12" s="59">
        <v>10000000</v>
      </c>
      <c r="J12" s="61">
        <f>SUM($I$6:I12)-SUM($H$6:H12)</f>
        <v>50980000</v>
      </c>
      <c r="K12" s="48" t="s">
        <v>740</v>
      </c>
      <c r="L12" s="34"/>
    </row>
    <row r="13" spans="1:12" x14ac:dyDescent="0.2">
      <c r="A13" s="34">
        <v>8</v>
      </c>
      <c r="B13" s="44">
        <v>44414</v>
      </c>
      <c r="C13" s="35" t="s">
        <v>741</v>
      </c>
      <c r="D13" s="35" t="s">
        <v>738</v>
      </c>
      <c r="E13" s="34" t="s">
        <v>660</v>
      </c>
      <c r="F13" s="34" t="s">
        <v>739</v>
      </c>
      <c r="G13" s="35" t="s">
        <v>759</v>
      </c>
      <c r="H13" s="48"/>
      <c r="I13" s="59">
        <v>10000000</v>
      </c>
      <c r="J13" s="61">
        <f>SUM($I$6:I13)-SUM($H$6:H13)</f>
        <v>60980000</v>
      </c>
      <c r="K13" s="48" t="s">
        <v>740</v>
      </c>
      <c r="L13" s="34"/>
    </row>
    <row r="14" spans="1:12" x14ac:dyDescent="0.2">
      <c r="A14" s="35">
        <v>9</v>
      </c>
      <c r="B14" s="44">
        <v>44371</v>
      </c>
      <c r="C14" s="35" t="s">
        <v>741</v>
      </c>
      <c r="D14" s="35" t="s">
        <v>738</v>
      </c>
      <c r="E14" s="34" t="s">
        <v>660</v>
      </c>
      <c r="F14" s="34" t="s">
        <v>679</v>
      </c>
      <c r="G14" s="35" t="s">
        <v>760</v>
      </c>
      <c r="H14" s="48"/>
      <c r="I14" s="59">
        <v>3000000</v>
      </c>
      <c r="J14" s="61">
        <f>SUM($I$6:I14)-SUM($H$6:H14)</f>
        <v>63980000</v>
      </c>
      <c r="K14" s="48" t="s">
        <v>740</v>
      </c>
      <c r="L14" s="34"/>
    </row>
    <row r="15" spans="1:12" x14ac:dyDescent="0.2">
      <c r="A15" s="34">
        <v>10</v>
      </c>
      <c r="B15" s="45">
        <v>44372</v>
      </c>
      <c r="C15" s="35" t="s">
        <v>741</v>
      </c>
      <c r="D15" s="35" t="s">
        <v>738</v>
      </c>
      <c r="E15" s="34" t="s">
        <v>660</v>
      </c>
      <c r="F15" s="34" t="s">
        <v>679</v>
      </c>
      <c r="G15" s="35" t="s">
        <v>760</v>
      </c>
      <c r="H15" s="48"/>
      <c r="I15" s="59">
        <v>3000000</v>
      </c>
      <c r="J15" s="61">
        <f>SUM($I$6:I15)-SUM($H$6:H15)</f>
        <v>66980000</v>
      </c>
      <c r="K15" s="48" t="s">
        <v>740</v>
      </c>
      <c r="L15" s="34"/>
    </row>
    <row r="16" spans="1:12" x14ac:dyDescent="0.2">
      <c r="A16" s="35">
        <v>11</v>
      </c>
      <c r="B16" s="45">
        <v>44234</v>
      </c>
      <c r="C16" s="35" t="s">
        <v>752</v>
      </c>
      <c r="D16" s="35" t="s">
        <v>738</v>
      </c>
      <c r="E16" s="34" t="s">
        <v>742</v>
      </c>
      <c r="F16" s="34" t="s">
        <v>679</v>
      </c>
      <c r="G16" s="35" t="s">
        <v>760</v>
      </c>
      <c r="H16" s="48"/>
      <c r="I16" s="59">
        <v>20000000</v>
      </c>
      <c r="J16" s="61">
        <f>SUM($I$6:I16)-SUM($H$6:H16)</f>
        <v>86980000</v>
      </c>
      <c r="K16" s="48" t="s">
        <v>325</v>
      </c>
      <c r="L16" s="34"/>
    </row>
    <row r="17" spans="1:12" x14ac:dyDescent="0.2">
      <c r="A17" s="34">
        <v>12</v>
      </c>
      <c r="B17" s="45">
        <v>44396</v>
      </c>
      <c r="C17" s="35" t="s">
        <v>752</v>
      </c>
      <c r="D17" s="35" t="s">
        <v>738</v>
      </c>
      <c r="E17" s="34" t="s">
        <v>742</v>
      </c>
      <c r="F17" s="34" t="s">
        <v>679</v>
      </c>
      <c r="G17" s="35" t="s">
        <v>760</v>
      </c>
      <c r="H17" s="48"/>
      <c r="I17" s="59">
        <v>20000000</v>
      </c>
      <c r="J17" s="61">
        <f>SUM($I$6:I17)-SUM($H$6:H17)</f>
        <v>106980000</v>
      </c>
      <c r="K17" s="48" t="s">
        <v>325</v>
      </c>
      <c r="L17" s="34"/>
    </row>
    <row r="18" spans="1:12" x14ac:dyDescent="0.2">
      <c r="A18" s="34"/>
      <c r="B18" s="45"/>
      <c r="C18" s="34"/>
      <c r="D18" s="34"/>
      <c r="E18" s="34"/>
      <c r="F18" s="34"/>
      <c r="G18" s="34"/>
      <c r="H18" s="48"/>
      <c r="I18" s="48"/>
      <c r="J18" s="48"/>
      <c r="K18" s="48"/>
      <c r="L18" s="34"/>
    </row>
    <row r="19" spans="1:12" x14ac:dyDescent="0.2">
      <c r="A19" s="34"/>
      <c r="B19" s="45"/>
      <c r="C19" s="34"/>
      <c r="D19" s="34"/>
      <c r="E19" s="34"/>
      <c r="F19" s="34"/>
      <c r="G19" s="34"/>
      <c r="H19" s="48"/>
      <c r="I19" s="48"/>
      <c r="J19" s="48"/>
      <c r="K19" s="48"/>
      <c r="L19" s="34"/>
    </row>
    <row r="20" spans="1:12" x14ac:dyDescent="0.2">
      <c r="A20" s="75"/>
      <c r="B20" s="76"/>
      <c r="C20" s="75"/>
      <c r="D20" s="75"/>
      <c r="E20" s="75"/>
      <c r="F20" s="75"/>
      <c r="G20" s="75"/>
      <c r="H20" s="77"/>
      <c r="I20" s="77"/>
      <c r="J20" s="77"/>
      <c r="K20" s="77"/>
      <c r="L20" s="75"/>
    </row>
    <row r="23" spans="1:12" ht="15.75" x14ac:dyDescent="0.25">
      <c r="D23" s="69" t="s">
        <v>744</v>
      </c>
      <c r="E23" s="69" t="s">
        <v>745</v>
      </c>
      <c r="F23" s="70" t="s">
        <v>746</v>
      </c>
      <c r="G23" s="70" t="s">
        <v>747</v>
      </c>
    </row>
    <row r="24" spans="1:12" ht="15" x14ac:dyDescent="0.25">
      <c r="D24" s="68" t="s">
        <v>748</v>
      </c>
      <c r="E24" s="68"/>
      <c r="F24" s="68"/>
      <c r="G24" s="71">
        <v>150000000</v>
      </c>
    </row>
    <row r="25" spans="1:12" ht="15" x14ac:dyDescent="0.25">
      <c r="D25" s="68" t="s">
        <v>749</v>
      </c>
      <c r="E25" s="72">
        <v>0.05</v>
      </c>
      <c r="F25" s="68">
        <v>6</v>
      </c>
      <c r="G25" s="71">
        <v>40000000</v>
      </c>
    </row>
    <row r="26" spans="1:12" ht="15" x14ac:dyDescent="0.25">
      <c r="D26" s="73" t="s">
        <v>743</v>
      </c>
      <c r="E26" s="73"/>
      <c r="F26" s="73"/>
      <c r="G26" s="74">
        <v>190000000</v>
      </c>
    </row>
  </sheetData>
  <autoFilter ref="A5:L5" xr:uid="{00000000-0009-0000-0000-000017000000}"/>
  <phoneticPr fontId="22" type="noConversion"/>
  <conditionalFormatting sqref="G2">
    <cfRule type="duplicateValues" dxfId="2" priority="1"/>
  </conditionalFormatting>
  <dataValidations count="1">
    <dataValidation type="date" allowBlank="1" showInputMessage="1" showErrorMessage="1" error="Invalid Date,_x000a_Use date format dd/mm/yy_x000a_                       or mm/dd/yyy" sqref="B6:B20" xr:uid="{00000000-0002-0000-1700-000000000000}">
      <formula1>1</formula1>
      <formula2>TODAY()</formula2>
    </dataValidation>
  </dataValidations>
  <hyperlinks>
    <hyperlink ref="G2" location="Menu!A1" display="Back to Menu" xr:uid="{00000000-0004-0000-1700-000000000000}"/>
  </hyperlinks>
  <pageMargins left="0.7" right="0.7" top="0.75" bottom="0.75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7" tint="-0.499984740745262"/>
  </sheetPr>
  <dimension ref="A1:I16"/>
  <sheetViews>
    <sheetView showGridLines="0" workbookViewId="0">
      <pane ySplit="8" topLeftCell="A9" activePane="bottomLeft" state="frozen"/>
      <selection pane="bottomLeft" activeCell="G17" sqref="G17"/>
    </sheetView>
  </sheetViews>
  <sheetFormatPr defaultRowHeight="12.75" x14ac:dyDescent="0.2"/>
  <cols>
    <col min="1" max="1" width="6.28515625" style="38" bestFit="1" customWidth="1"/>
    <col min="2" max="2" width="12.42578125" style="38" bestFit="1" customWidth="1"/>
    <col min="3" max="3" width="13" style="38" bestFit="1" customWidth="1"/>
    <col min="4" max="4" width="12.5703125" style="38" bestFit="1" customWidth="1"/>
    <col min="5" max="5" width="12.85546875" style="38" bestFit="1" customWidth="1"/>
    <col min="6" max="6" width="14.140625" style="38" bestFit="1" customWidth="1"/>
    <col min="7" max="7" width="13.7109375" style="38" bestFit="1" customWidth="1"/>
    <col min="8" max="8" width="9.140625" style="38"/>
    <col min="9" max="9" width="11.85546875" style="38" bestFit="1" customWidth="1"/>
    <col min="10" max="16384" width="9.140625" style="38"/>
  </cols>
  <sheetData>
    <row r="1" spans="1:9" ht="13.5" thickBot="1" x14ac:dyDescent="0.25">
      <c r="A1" s="118"/>
      <c r="B1" s="119"/>
      <c r="C1" s="119"/>
      <c r="D1" s="119"/>
      <c r="E1" s="120"/>
      <c r="F1" s="110" t="s">
        <v>835</v>
      </c>
      <c r="G1" s="111">
        <v>20000000</v>
      </c>
    </row>
    <row r="2" spans="1:9" ht="14.25" thickTop="1" thickBot="1" x14ac:dyDescent="0.25">
      <c r="A2" s="121"/>
      <c r="B2" s="37"/>
      <c r="C2" s="37"/>
      <c r="D2" s="37"/>
      <c r="E2" s="122"/>
      <c r="F2" s="112" t="s">
        <v>837</v>
      </c>
      <c r="G2" s="113">
        <v>6</v>
      </c>
      <c r="I2" s="236" t="s">
        <v>9</v>
      </c>
    </row>
    <row r="3" spans="1:9" ht="14.25" thickTop="1" thickBot="1" x14ac:dyDescent="0.25">
      <c r="A3" s="121"/>
      <c r="B3" s="37"/>
      <c r="C3" s="41"/>
      <c r="D3" s="41"/>
      <c r="E3" s="123"/>
      <c r="F3" s="112" t="s">
        <v>838</v>
      </c>
      <c r="G3" s="114">
        <v>0.06</v>
      </c>
    </row>
    <row r="4" spans="1:9" ht="14.25" thickTop="1" thickBot="1" x14ac:dyDescent="0.25">
      <c r="A4" s="121"/>
      <c r="B4" s="37"/>
      <c r="C4" s="37"/>
      <c r="D4" s="37"/>
      <c r="E4" s="122"/>
      <c r="F4" s="112" t="s">
        <v>793</v>
      </c>
      <c r="G4" s="114" t="s">
        <v>796</v>
      </c>
    </row>
    <row r="5" spans="1:9" ht="14.25" thickTop="1" thickBot="1" x14ac:dyDescent="0.25">
      <c r="A5" s="121"/>
      <c r="B5" s="37"/>
      <c r="C5" s="37"/>
      <c r="D5" s="37"/>
      <c r="E5" s="122"/>
      <c r="F5" s="112" t="s">
        <v>836</v>
      </c>
      <c r="G5" s="115">
        <v>44234</v>
      </c>
    </row>
    <row r="6" spans="1:9" ht="13.5" thickTop="1" x14ac:dyDescent="0.2">
      <c r="A6" s="124"/>
      <c r="B6" s="656" t="s">
        <v>844</v>
      </c>
      <c r="C6" s="656"/>
      <c r="D6" s="656" t="s">
        <v>742</v>
      </c>
      <c r="E6" s="657"/>
      <c r="F6" s="116" t="s">
        <v>842</v>
      </c>
      <c r="G6" s="117">
        <f>CEILING((G1+G1*G3*G2)/G2,100)</f>
        <v>4533400</v>
      </c>
    </row>
    <row r="7" spans="1:9" ht="6.75" customHeight="1" x14ac:dyDescent="0.2">
      <c r="A7" s="37"/>
      <c r="B7" s="37"/>
      <c r="C7" s="37"/>
      <c r="D7" s="37"/>
      <c r="E7" s="37"/>
      <c r="F7" s="125"/>
      <c r="G7" s="126"/>
    </row>
    <row r="8" spans="1:9" ht="13.5" thickBot="1" x14ac:dyDescent="0.25">
      <c r="A8" s="199" t="s">
        <v>20</v>
      </c>
      <c r="B8" s="199" t="s">
        <v>0</v>
      </c>
      <c r="C8" s="199" t="s">
        <v>839</v>
      </c>
      <c r="D8" s="199" t="s">
        <v>840</v>
      </c>
      <c r="E8" s="199" t="s">
        <v>841</v>
      </c>
      <c r="F8" s="199" t="s">
        <v>842</v>
      </c>
      <c r="G8" s="199" t="s">
        <v>843</v>
      </c>
    </row>
    <row r="9" spans="1:9" ht="13.5" thickTop="1" x14ac:dyDescent="0.2">
      <c r="A9" s="35">
        <f>IF($G$2&gt;=ROWS($A$8:A8),ROWS($A$8:A8),"")</f>
        <v>1</v>
      </c>
      <c r="B9" s="44">
        <f>IF(A9="","",EDATE($G$5,A9))</f>
        <v>44262</v>
      </c>
      <c r="C9" s="108">
        <f>$G$1</f>
        <v>20000000</v>
      </c>
      <c r="D9" s="59">
        <f t="shared" ref="D9:D15" si="0">IF(A9="","",$G$1/$G$2)</f>
        <v>3333333.3333333335</v>
      </c>
      <c r="E9" s="108">
        <f t="shared" ref="E9:E15" si="1">IF(A9="","",F9-D9)</f>
        <v>1200066.6666666665</v>
      </c>
      <c r="F9" s="109">
        <f t="shared" ref="F9:F15" si="2">IF(A9="","",$G$6)</f>
        <v>4533400</v>
      </c>
      <c r="G9" s="108">
        <f t="shared" ref="G9:G15" si="3">IF(A9="","",C9-D9)</f>
        <v>16666666.666666666</v>
      </c>
    </row>
    <row r="10" spans="1:9" x14ac:dyDescent="0.2">
      <c r="A10" s="35">
        <f>IF($G$2&gt;=ROWS($A$8:A9),ROWS($A$8:A9),"")</f>
        <v>2</v>
      </c>
      <c r="B10" s="44">
        <f t="shared" ref="B10:B15" si="4">IF(A10="","",EDATE($G$5,A10))</f>
        <v>44293</v>
      </c>
      <c r="C10" s="108">
        <f>IF(A10="","",G9)</f>
        <v>16666666.666666666</v>
      </c>
      <c r="D10" s="59">
        <f t="shared" si="0"/>
        <v>3333333.3333333335</v>
      </c>
      <c r="E10" s="108">
        <f t="shared" si="1"/>
        <v>1200066.6666666665</v>
      </c>
      <c r="F10" s="109">
        <f t="shared" si="2"/>
        <v>4533400</v>
      </c>
      <c r="G10" s="108">
        <f t="shared" si="3"/>
        <v>13333333.333333332</v>
      </c>
    </row>
    <row r="11" spans="1:9" ht="12" customHeight="1" x14ac:dyDescent="0.2">
      <c r="A11" s="35">
        <f>IF($G$2&gt;=ROWS($A$8:A10),ROWS($A$8:A10),"")</f>
        <v>3</v>
      </c>
      <c r="B11" s="44">
        <f t="shared" si="4"/>
        <v>44323</v>
      </c>
      <c r="C11" s="108">
        <f>IF(A11="","",G10)</f>
        <v>13333333.333333332</v>
      </c>
      <c r="D11" s="59">
        <f t="shared" si="0"/>
        <v>3333333.3333333335</v>
      </c>
      <c r="E11" s="108">
        <f t="shared" si="1"/>
        <v>1200066.6666666665</v>
      </c>
      <c r="F11" s="109">
        <f t="shared" si="2"/>
        <v>4533400</v>
      </c>
      <c r="G11" s="108">
        <f t="shared" si="3"/>
        <v>9999999.9999999981</v>
      </c>
    </row>
    <row r="12" spans="1:9" x14ac:dyDescent="0.2">
      <c r="A12" s="35">
        <f>IF($G$2&gt;=ROWS($A$8:A11),ROWS($A$8:A11),"")</f>
        <v>4</v>
      </c>
      <c r="B12" s="44">
        <f t="shared" si="4"/>
        <v>44354</v>
      </c>
      <c r="C12" s="108">
        <f>IF(A12="","",G11)</f>
        <v>9999999.9999999981</v>
      </c>
      <c r="D12" s="59">
        <f t="shared" si="0"/>
        <v>3333333.3333333335</v>
      </c>
      <c r="E12" s="108">
        <f t="shared" si="1"/>
        <v>1200066.6666666665</v>
      </c>
      <c r="F12" s="109">
        <f t="shared" si="2"/>
        <v>4533400</v>
      </c>
      <c r="G12" s="108">
        <f t="shared" si="3"/>
        <v>6666666.6666666642</v>
      </c>
    </row>
    <row r="13" spans="1:9" x14ac:dyDescent="0.2">
      <c r="A13" s="35">
        <f>IF($G$2&gt;=ROWS($A$8:A12),ROWS($A$8:A12),"")</f>
        <v>5</v>
      </c>
      <c r="B13" s="44">
        <f t="shared" si="4"/>
        <v>44384</v>
      </c>
      <c r="C13" s="108">
        <f>IF(A13="","",G12)</f>
        <v>6666666.6666666642</v>
      </c>
      <c r="D13" s="59">
        <f t="shared" si="0"/>
        <v>3333333.3333333335</v>
      </c>
      <c r="E13" s="108">
        <f t="shared" si="1"/>
        <v>1200066.6666666665</v>
      </c>
      <c r="F13" s="109">
        <f t="shared" si="2"/>
        <v>4533400</v>
      </c>
      <c r="G13" s="108">
        <f t="shared" si="3"/>
        <v>3333333.3333333307</v>
      </c>
    </row>
    <row r="14" spans="1:9" x14ac:dyDescent="0.2">
      <c r="A14" s="35">
        <f>IF($G$2&gt;=ROWS($A$8:A13),ROWS($A$8:A13),"")</f>
        <v>6</v>
      </c>
      <c r="B14" s="44">
        <f t="shared" si="4"/>
        <v>44415</v>
      </c>
      <c r="C14" s="108">
        <f>IF(A14="","",G13)</f>
        <v>3333333.3333333307</v>
      </c>
      <c r="D14" s="59">
        <f t="shared" si="0"/>
        <v>3333333.3333333335</v>
      </c>
      <c r="E14" s="108">
        <f t="shared" si="1"/>
        <v>1200066.6666666665</v>
      </c>
      <c r="F14" s="109">
        <f t="shared" si="2"/>
        <v>4533400</v>
      </c>
      <c r="G14" s="108">
        <f t="shared" si="3"/>
        <v>-2.7939677238464355E-9</v>
      </c>
    </row>
    <row r="15" spans="1:9" x14ac:dyDescent="0.2">
      <c r="A15" s="35" t="str">
        <f>IF($G$2&gt;=ROWS($A$8:A14),ROWS($A$8:A14),"")</f>
        <v/>
      </c>
      <c r="B15" s="44" t="str">
        <f t="shared" si="4"/>
        <v/>
      </c>
      <c r="C15" s="108" t="str">
        <f>IF(A15="","",#REF!)</f>
        <v/>
      </c>
      <c r="D15" s="59" t="str">
        <f t="shared" si="0"/>
        <v/>
      </c>
      <c r="E15" s="108" t="str">
        <f t="shared" si="1"/>
        <v/>
      </c>
      <c r="F15" s="109" t="str">
        <f t="shared" si="2"/>
        <v/>
      </c>
      <c r="G15" s="108" t="str">
        <f t="shared" si="3"/>
        <v/>
      </c>
    </row>
    <row r="16" spans="1:9" x14ac:dyDescent="0.2">
      <c r="B16" s="75" t="s">
        <v>201</v>
      </c>
      <c r="C16" s="75"/>
      <c r="D16" s="127">
        <f>SUM(D9:D15)</f>
        <v>20000000</v>
      </c>
      <c r="E16" s="127">
        <f>SUM(E9:E15)</f>
        <v>7200399.9999999981</v>
      </c>
      <c r="F16" s="127">
        <f>SUM(F9:F15)</f>
        <v>27200400</v>
      </c>
    </row>
  </sheetData>
  <sheetProtection algorithmName="SHA-512" hashValue="wfJtZ36NYRlx3s7P9MwX5LU1ndJ1tvoDyYWCarJ80m1Q8D9FPQHbLku4R6nZ+ysbZ+58wg2u38SSTGz7+WUQ0g==" saltValue="a4GPtWQvOl86PaqgOKOJgg==" spinCount="100000" sheet="1" objects="1" scenarios="1"/>
  <autoFilter ref="A8:G8" xr:uid="{00000000-0009-0000-0000-000018000000}"/>
  <mergeCells count="2">
    <mergeCell ref="B6:C6"/>
    <mergeCell ref="D6:E6"/>
  </mergeCells>
  <conditionalFormatting sqref="I2">
    <cfRule type="duplicateValues" dxfId="1" priority="1"/>
  </conditionalFormatting>
  <dataValidations count="1">
    <dataValidation type="date" allowBlank="1" showInputMessage="1" showErrorMessage="1" error="Invalid Date,_x000a_Use date format dd/mm/yy_x000a_                       or mm/dd/yyy" sqref="B9:B15" xr:uid="{00000000-0002-0000-1800-000000000000}">
      <formula1>1</formula1>
      <formula2>TODAY()</formula2>
    </dataValidation>
  </dataValidations>
  <hyperlinks>
    <hyperlink ref="I2" location="Menu!A1" display="Back to Menu" xr:uid="{00000000-0004-0000-1800-000000000000}"/>
  </hyperlinks>
  <pageMargins left="0.7" right="0.7" top="0.75" bottom="0.75" header="0.3" footer="0.3"/>
  <pageSetup paperSize="9"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7" tint="-0.499984740745262"/>
  </sheetPr>
  <dimension ref="A1:I16"/>
  <sheetViews>
    <sheetView showGridLines="0" workbookViewId="0">
      <pane ySplit="8" topLeftCell="A9" activePane="bottomLeft" state="frozen"/>
      <selection pane="bottomLeft" activeCell="H23" sqref="H23"/>
    </sheetView>
  </sheetViews>
  <sheetFormatPr defaultRowHeight="12.75" x14ac:dyDescent="0.2"/>
  <cols>
    <col min="1" max="1" width="6.28515625" style="38" bestFit="1" customWidth="1"/>
    <col min="2" max="2" width="12.42578125" style="38" bestFit="1" customWidth="1"/>
    <col min="3" max="3" width="13" style="38" bestFit="1" customWidth="1"/>
    <col min="4" max="4" width="12.5703125" style="38" bestFit="1" customWidth="1"/>
    <col min="5" max="5" width="12.85546875" style="38" bestFit="1" customWidth="1"/>
    <col min="6" max="6" width="14.140625" style="38" bestFit="1" customWidth="1"/>
    <col min="7" max="7" width="13.7109375" style="38" bestFit="1" customWidth="1"/>
    <col min="8" max="8" width="9.140625" style="38"/>
    <col min="9" max="9" width="11.85546875" style="38" bestFit="1" customWidth="1"/>
    <col min="10" max="16384" width="9.140625" style="38"/>
  </cols>
  <sheetData>
    <row r="1" spans="1:9" ht="13.5" thickBot="1" x14ac:dyDescent="0.25">
      <c r="A1" s="118"/>
      <c r="B1" s="119"/>
      <c r="C1" s="119"/>
      <c r="D1" s="119"/>
      <c r="E1" s="120"/>
      <c r="F1" s="110" t="s">
        <v>835</v>
      </c>
      <c r="G1" s="111">
        <v>20000000</v>
      </c>
    </row>
    <row r="2" spans="1:9" ht="14.25" thickTop="1" thickBot="1" x14ac:dyDescent="0.25">
      <c r="A2" s="121"/>
      <c r="B2" s="37"/>
      <c r="C2" s="37"/>
      <c r="D2" s="37"/>
      <c r="E2" s="122"/>
      <c r="F2" s="112" t="s">
        <v>837</v>
      </c>
      <c r="G2" s="113">
        <v>6</v>
      </c>
    </row>
    <row r="3" spans="1:9" ht="14.25" thickTop="1" thickBot="1" x14ac:dyDescent="0.25">
      <c r="A3" s="121"/>
      <c r="B3" s="37"/>
      <c r="C3" s="41"/>
      <c r="D3" s="41"/>
      <c r="E3" s="123"/>
      <c r="F3" s="112" t="s">
        <v>838</v>
      </c>
      <c r="G3" s="114">
        <v>0.06</v>
      </c>
      <c r="I3" s="236" t="s">
        <v>9</v>
      </c>
    </row>
    <row r="4" spans="1:9" ht="14.25" thickTop="1" thickBot="1" x14ac:dyDescent="0.25">
      <c r="A4" s="121"/>
      <c r="B4" s="37"/>
      <c r="C4" s="37"/>
      <c r="D4" s="37"/>
      <c r="E4" s="122"/>
      <c r="F4" s="112" t="s">
        <v>793</v>
      </c>
      <c r="G4" s="114" t="s">
        <v>796</v>
      </c>
    </row>
    <row r="5" spans="1:9" ht="14.25" thickTop="1" thickBot="1" x14ac:dyDescent="0.25">
      <c r="A5" s="121"/>
      <c r="B5" s="37"/>
      <c r="C5" s="37"/>
      <c r="D5" s="37"/>
      <c r="E5" s="122"/>
      <c r="F5" s="112" t="s">
        <v>836</v>
      </c>
      <c r="G5" s="115">
        <v>44396</v>
      </c>
    </row>
    <row r="6" spans="1:9" ht="13.5" thickTop="1" x14ac:dyDescent="0.2">
      <c r="A6" s="124"/>
      <c r="B6" s="656" t="s">
        <v>844</v>
      </c>
      <c r="C6" s="656"/>
      <c r="D6" s="656" t="s">
        <v>742</v>
      </c>
      <c r="E6" s="657"/>
      <c r="F6" s="116" t="s">
        <v>842</v>
      </c>
      <c r="G6" s="117">
        <f>CEILING((G1+G1*G3*G2)/G2,100)</f>
        <v>4533400</v>
      </c>
    </row>
    <row r="7" spans="1:9" ht="6.75" customHeight="1" x14ac:dyDescent="0.2">
      <c r="A7" s="37"/>
      <c r="B7" s="37"/>
      <c r="C7" s="37"/>
      <c r="D7" s="37"/>
      <c r="E7" s="37"/>
      <c r="F7" s="125"/>
      <c r="G7" s="126"/>
    </row>
    <row r="8" spans="1:9" ht="13.5" thickBot="1" x14ac:dyDescent="0.25">
      <c r="A8" s="199" t="s">
        <v>20</v>
      </c>
      <c r="B8" s="199" t="s">
        <v>0</v>
      </c>
      <c r="C8" s="199" t="s">
        <v>839</v>
      </c>
      <c r="D8" s="199" t="s">
        <v>840</v>
      </c>
      <c r="E8" s="199" t="s">
        <v>841</v>
      </c>
      <c r="F8" s="199" t="s">
        <v>842</v>
      </c>
      <c r="G8" s="199" t="s">
        <v>843</v>
      </c>
    </row>
    <row r="9" spans="1:9" ht="13.5" thickTop="1" x14ac:dyDescent="0.2">
      <c r="A9" s="35">
        <f>IF($G$2&gt;=ROWS($A$8:A8),ROWS($A$8:A8),"")</f>
        <v>1</v>
      </c>
      <c r="B9" s="44">
        <f>IF(A9="","",EDATE($G$5,A9))</f>
        <v>44427</v>
      </c>
      <c r="C9" s="108">
        <f>$G$1</f>
        <v>20000000</v>
      </c>
      <c r="D9" s="59">
        <f>IF(A9="","",$G$1/$G$2)</f>
        <v>3333333.3333333335</v>
      </c>
      <c r="E9" s="108">
        <f>IF(A9="","",F9-D9)</f>
        <v>1200066.6666666665</v>
      </c>
      <c r="F9" s="109">
        <f>IF(A9="","",$G$6)</f>
        <v>4533400</v>
      </c>
      <c r="G9" s="108">
        <f>IF(A9="","",C9-D9)</f>
        <v>16666666.666666666</v>
      </c>
    </row>
    <row r="10" spans="1:9" x14ac:dyDescent="0.2">
      <c r="A10" s="35">
        <f>IF($G$2&gt;=ROWS($A$8:A9),ROWS($A$8:A9),"")</f>
        <v>2</v>
      </c>
      <c r="B10" s="44">
        <f t="shared" ref="B10:B15" si="0">IF(A10="","",EDATE($G$5,A10))</f>
        <v>44458</v>
      </c>
      <c r="C10" s="108">
        <f>IF(A10="","",G9)</f>
        <v>16666666.666666666</v>
      </c>
      <c r="D10" s="59">
        <f t="shared" ref="D10:D15" si="1">IF(A10="","",$G$1/$G$2)</f>
        <v>3333333.3333333335</v>
      </c>
      <c r="E10" s="108">
        <f t="shared" ref="E10:E15" si="2">IF(A10="","",F10-D10)</f>
        <v>1200066.6666666665</v>
      </c>
      <c r="F10" s="109">
        <f t="shared" ref="F10:F15" si="3">IF(A10="","",$G$6)</f>
        <v>4533400</v>
      </c>
      <c r="G10" s="108">
        <f t="shared" ref="G10:G15" si="4">IF(A10="","",C10-D10)</f>
        <v>13333333.333333332</v>
      </c>
    </row>
    <row r="11" spans="1:9" ht="12" customHeight="1" x14ac:dyDescent="0.2">
      <c r="A11" s="35">
        <f>IF($G$2&gt;=ROWS($A$8:A10),ROWS($A$8:A10),"")</f>
        <v>3</v>
      </c>
      <c r="B11" s="44">
        <f t="shared" si="0"/>
        <v>44488</v>
      </c>
      <c r="C11" s="108">
        <f>IF(A11="","",G10)</f>
        <v>13333333.333333332</v>
      </c>
      <c r="D11" s="59">
        <f t="shared" si="1"/>
        <v>3333333.3333333335</v>
      </c>
      <c r="E11" s="108">
        <f t="shared" si="2"/>
        <v>1200066.6666666665</v>
      </c>
      <c r="F11" s="109">
        <f t="shared" si="3"/>
        <v>4533400</v>
      </c>
      <c r="G11" s="108">
        <f t="shared" si="4"/>
        <v>9999999.9999999981</v>
      </c>
    </row>
    <row r="12" spans="1:9" x14ac:dyDescent="0.2">
      <c r="A12" s="35">
        <f>IF($G$2&gt;=ROWS($A$8:A11),ROWS($A$8:A11),"")</f>
        <v>4</v>
      </c>
      <c r="B12" s="44">
        <f t="shared" si="0"/>
        <v>44519</v>
      </c>
      <c r="C12" s="108">
        <f>IF(A12="","",G11)</f>
        <v>9999999.9999999981</v>
      </c>
      <c r="D12" s="59">
        <f t="shared" si="1"/>
        <v>3333333.3333333335</v>
      </c>
      <c r="E12" s="108">
        <f t="shared" si="2"/>
        <v>1200066.6666666665</v>
      </c>
      <c r="F12" s="109">
        <f t="shared" si="3"/>
        <v>4533400</v>
      </c>
      <c r="G12" s="108">
        <f t="shared" si="4"/>
        <v>6666666.6666666642</v>
      </c>
    </row>
    <row r="13" spans="1:9" x14ac:dyDescent="0.2">
      <c r="A13" s="35">
        <f>IF($G$2&gt;=ROWS($A$8:A12),ROWS($A$8:A12),"")</f>
        <v>5</v>
      </c>
      <c r="B13" s="44">
        <f t="shared" si="0"/>
        <v>44549</v>
      </c>
      <c r="C13" s="108">
        <f>IF(A13="","",G12)</f>
        <v>6666666.6666666642</v>
      </c>
      <c r="D13" s="59">
        <f t="shared" si="1"/>
        <v>3333333.3333333335</v>
      </c>
      <c r="E13" s="108">
        <f t="shared" si="2"/>
        <v>1200066.6666666665</v>
      </c>
      <c r="F13" s="109">
        <f t="shared" si="3"/>
        <v>4533400</v>
      </c>
      <c r="G13" s="108">
        <f t="shared" si="4"/>
        <v>3333333.3333333307</v>
      </c>
    </row>
    <row r="14" spans="1:9" x14ac:dyDescent="0.2">
      <c r="A14" s="35">
        <f>IF($G$2&gt;=ROWS($A$8:A13),ROWS($A$8:A13),"")</f>
        <v>6</v>
      </c>
      <c r="B14" s="44">
        <f t="shared" si="0"/>
        <v>44580</v>
      </c>
      <c r="C14" s="108">
        <f>IF(A14="","",G13)</f>
        <v>3333333.3333333307</v>
      </c>
      <c r="D14" s="59">
        <f t="shared" si="1"/>
        <v>3333333.3333333335</v>
      </c>
      <c r="E14" s="108">
        <f t="shared" si="2"/>
        <v>1200066.6666666665</v>
      </c>
      <c r="F14" s="109">
        <f t="shared" si="3"/>
        <v>4533400</v>
      </c>
      <c r="G14" s="108">
        <f t="shared" si="4"/>
        <v>-2.7939677238464355E-9</v>
      </c>
    </row>
    <row r="15" spans="1:9" x14ac:dyDescent="0.2">
      <c r="A15" s="35" t="str">
        <f>IF($G$2&gt;=ROWS($A$8:A14),ROWS($A$8:A14),"")</f>
        <v/>
      </c>
      <c r="B15" s="44" t="str">
        <f t="shared" si="0"/>
        <v/>
      </c>
      <c r="C15" s="108" t="str">
        <f>IF(A15="","",#REF!)</f>
        <v/>
      </c>
      <c r="D15" s="59" t="str">
        <f t="shared" si="1"/>
        <v/>
      </c>
      <c r="E15" s="108" t="str">
        <f t="shared" si="2"/>
        <v/>
      </c>
      <c r="F15" s="109" t="str">
        <f t="shared" si="3"/>
        <v/>
      </c>
      <c r="G15" s="108" t="str">
        <f t="shared" si="4"/>
        <v/>
      </c>
    </row>
    <row r="16" spans="1:9" x14ac:dyDescent="0.2">
      <c r="B16" s="75" t="s">
        <v>201</v>
      </c>
      <c r="C16" s="75"/>
      <c r="D16" s="127">
        <f>SUM(D9:D15)</f>
        <v>20000000</v>
      </c>
      <c r="E16" s="127">
        <f>SUM(E9:E15)</f>
        <v>7200399.9999999981</v>
      </c>
      <c r="F16" s="127">
        <f>SUM(F9:F15)</f>
        <v>27200400</v>
      </c>
    </row>
  </sheetData>
  <sheetProtection algorithmName="SHA-512" hashValue="eNawKn9ooFoQ/9UaXMkSjz0S+Ur8z7cNp9uBaOcKmcweC2jEaIZRoRscG/TsLL3HTrjjc0bTpPEelGsAUODlSw==" saltValue="t4dassH2ErVeBkFORfe4Ow==" spinCount="100000" sheet="1" objects="1" scenarios="1"/>
  <autoFilter ref="A8:G8" xr:uid="{00000000-0009-0000-0000-000019000000}"/>
  <mergeCells count="2">
    <mergeCell ref="D6:E6"/>
    <mergeCell ref="B6:C6"/>
  </mergeCells>
  <conditionalFormatting sqref="I3">
    <cfRule type="duplicateValues" dxfId="0" priority="1"/>
  </conditionalFormatting>
  <dataValidations count="1">
    <dataValidation type="date" allowBlank="1" showInputMessage="1" showErrorMessage="1" error="Invalid Date,_x000a_Use date format dd/mm/yy_x000a_                       or mm/dd/yyy" sqref="B9:B15" xr:uid="{00000000-0002-0000-1900-000000000000}">
      <formula1>1</formula1>
      <formula2>TODAY()</formula2>
    </dataValidation>
  </dataValidations>
  <hyperlinks>
    <hyperlink ref="I3" location="Menu!A1" display="Back to Menu" xr:uid="{00000000-0004-0000-1900-000000000000}"/>
  </hyperlinks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D153"/>
  <sheetViews>
    <sheetView workbookViewId="0">
      <selection activeCell="I11" sqref="I11"/>
    </sheetView>
  </sheetViews>
  <sheetFormatPr defaultRowHeight="15" x14ac:dyDescent="0.25"/>
  <cols>
    <col min="1" max="1" width="10.5703125" bestFit="1" customWidth="1"/>
    <col min="2" max="2" width="15.28515625" bestFit="1" customWidth="1"/>
    <col min="3" max="3" width="17.85546875" bestFit="1" customWidth="1"/>
    <col min="4" max="4" width="15.85546875" bestFit="1" customWidth="1"/>
  </cols>
  <sheetData>
    <row r="2" spans="1:4" ht="15.75" thickBot="1" x14ac:dyDescent="0.3"/>
    <row r="3" spans="1:4" ht="15.75" thickBot="1" x14ac:dyDescent="0.3">
      <c r="A3" s="135"/>
      <c r="B3" s="136"/>
      <c r="C3" s="137" t="s">
        <v>912</v>
      </c>
      <c r="D3" s="138"/>
    </row>
    <row r="4" spans="1:4" ht="16.5" thickBot="1" x14ac:dyDescent="0.3">
      <c r="A4" s="139" t="s">
        <v>872</v>
      </c>
      <c r="B4" s="139" t="s">
        <v>877</v>
      </c>
      <c r="C4" s="140" t="s">
        <v>878</v>
      </c>
      <c r="D4" s="140" t="s">
        <v>879</v>
      </c>
    </row>
    <row r="5" spans="1:4" x14ac:dyDescent="0.25">
      <c r="A5" s="141">
        <v>8</v>
      </c>
      <c r="B5" s="142">
        <v>44475</v>
      </c>
      <c r="C5" s="143">
        <v>65000</v>
      </c>
      <c r="D5" s="143">
        <v>65000</v>
      </c>
    </row>
    <row r="6" spans="1:4" x14ac:dyDescent="0.25">
      <c r="A6" s="68">
        <v>6</v>
      </c>
      <c r="B6" s="144">
        <v>44475</v>
      </c>
      <c r="C6" s="145">
        <v>433400</v>
      </c>
      <c r="D6" s="145">
        <v>2166600</v>
      </c>
    </row>
    <row r="7" spans="1:4" x14ac:dyDescent="0.25">
      <c r="A7" s="68">
        <v>12</v>
      </c>
      <c r="B7" s="144" t="s">
        <v>880</v>
      </c>
      <c r="C7" s="145">
        <v>315000</v>
      </c>
      <c r="D7" s="145" t="s">
        <v>913</v>
      </c>
    </row>
    <row r="8" spans="1:4" x14ac:dyDescent="0.25">
      <c r="A8" s="68">
        <v>2</v>
      </c>
      <c r="B8" s="144" t="s">
        <v>866</v>
      </c>
      <c r="C8" s="145">
        <v>216700</v>
      </c>
      <c r="D8" s="145">
        <v>216700</v>
      </c>
    </row>
    <row r="9" spans="1:4" x14ac:dyDescent="0.25">
      <c r="A9" s="68">
        <v>14</v>
      </c>
      <c r="B9" s="144" t="s">
        <v>881</v>
      </c>
      <c r="C9" s="146">
        <v>216700</v>
      </c>
      <c r="D9" s="146">
        <v>216700</v>
      </c>
    </row>
    <row r="10" spans="1:4" x14ac:dyDescent="0.25">
      <c r="A10" s="68">
        <v>16</v>
      </c>
      <c r="B10" s="144" t="s">
        <v>882</v>
      </c>
      <c r="C10" s="145">
        <v>0</v>
      </c>
      <c r="D10" s="145">
        <v>400000</v>
      </c>
    </row>
    <row r="11" spans="1:4" x14ac:dyDescent="0.25">
      <c r="A11" s="68">
        <v>17</v>
      </c>
      <c r="B11" s="144" t="s">
        <v>884</v>
      </c>
      <c r="C11" s="145">
        <v>355000</v>
      </c>
      <c r="D11" s="145">
        <v>250000</v>
      </c>
    </row>
    <row r="12" spans="1:4" x14ac:dyDescent="0.25">
      <c r="A12" s="68">
        <v>15</v>
      </c>
      <c r="B12" s="144" t="s">
        <v>885</v>
      </c>
      <c r="C12" s="145">
        <v>433400</v>
      </c>
      <c r="D12" s="145">
        <v>433400</v>
      </c>
    </row>
    <row r="13" spans="1:4" x14ac:dyDescent="0.25">
      <c r="A13" s="68">
        <v>18</v>
      </c>
      <c r="B13" s="144" t="s">
        <v>886</v>
      </c>
      <c r="C13" s="145">
        <v>108400</v>
      </c>
      <c r="D13" s="145">
        <v>108400</v>
      </c>
    </row>
    <row r="14" spans="1:4" x14ac:dyDescent="0.25">
      <c r="A14" s="68">
        <v>11</v>
      </c>
      <c r="B14" s="147" t="s">
        <v>870</v>
      </c>
      <c r="C14" s="145">
        <v>108400</v>
      </c>
      <c r="D14" s="145">
        <v>108400</v>
      </c>
    </row>
    <row r="15" spans="1:4" x14ac:dyDescent="0.25">
      <c r="A15" s="68">
        <v>20</v>
      </c>
      <c r="B15" s="147" t="s">
        <v>914</v>
      </c>
      <c r="C15" s="145">
        <v>180000</v>
      </c>
      <c r="D15" s="145">
        <v>130000</v>
      </c>
    </row>
    <row r="16" spans="1:4" x14ac:dyDescent="0.25">
      <c r="A16" s="68">
        <v>19</v>
      </c>
      <c r="B16" s="147" t="s">
        <v>914</v>
      </c>
      <c r="C16" s="145">
        <v>120000</v>
      </c>
      <c r="D16" s="145">
        <v>120000</v>
      </c>
    </row>
    <row r="17" spans="1:4" x14ac:dyDescent="0.25">
      <c r="A17" s="68">
        <v>22</v>
      </c>
      <c r="B17" s="147" t="s">
        <v>880</v>
      </c>
      <c r="C17" s="145">
        <v>118700</v>
      </c>
      <c r="D17" s="145">
        <v>0</v>
      </c>
    </row>
    <row r="18" spans="1:4" x14ac:dyDescent="0.25">
      <c r="A18" s="68">
        <v>23</v>
      </c>
      <c r="B18" s="148">
        <v>44202</v>
      </c>
      <c r="C18" s="145">
        <v>130000</v>
      </c>
      <c r="D18" s="145">
        <v>130000</v>
      </c>
    </row>
    <row r="19" spans="1:4" x14ac:dyDescent="0.25">
      <c r="A19" s="68">
        <v>32</v>
      </c>
      <c r="B19" s="147" t="s">
        <v>871</v>
      </c>
      <c r="C19" s="145">
        <v>125000</v>
      </c>
      <c r="D19" s="145">
        <v>125000</v>
      </c>
    </row>
    <row r="20" spans="1:4" x14ac:dyDescent="0.25">
      <c r="A20" s="68">
        <v>31</v>
      </c>
      <c r="B20" s="147" t="s">
        <v>871</v>
      </c>
      <c r="C20" s="145">
        <v>125000</v>
      </c>
      <c r="D20" s="145">
        <v>125000</v>
      </c>
    </row>
    <row r="21" spans="1:4" x14ac:dyDescent="0.25">
      <c r="A21" s="68">
        <v>21</v>
      </c>
      <c r="B21" s="147" t="s">
        <v>871</v>
      </c>
      <c r="C21" s="145">
        <v>90000</v>
      </c>
      <c r="D21" s="145">
        <v>40000</v>
      </c>
    </row>
    <row r="22" spans="1:4" x14ac:dyDescent="0.25">
      <c r="A22" s="68">
        <v>30</v>
      </c>
      <c r="B22" s="147" t="s">
        <v>871</v>
      </c>
      <c r="C22" s="145">
        <v>120000</v>
      </c>
      <c r="D22" s="145">
        <v>70000</v>
      </c>
    </row>
    <row r="23" spans="1:4" x14ac:dyDescent="0.25">
      <c r="A23" s="68">
        <v>34</v>
      </c>
      <c r="B23" s="147" t="s">
        <v>887</v>
      </c>
      <c r="C23" s="145">
        <v>383400</v>
      </c>
      <c r="D23" s="145">
        <v>0</v>
      </c>
    </row>
    <row r="24" spans="1:4" x14ac:dyDescent="0.25">
      <c r="A24" s="68">
        <v>35</v>
      </c>
      <c r="B24" s="147" t="s">
        <v>888</v>
      </c>
      <c r="C24" s="145">
        <v>150000</v>
      </c>
      <c r="D24" s="145">
        <v>150000</v>
      </c>
    </row>
    <row r="25" spans="1:4" x14ac:dyDescent="0.25">
      <c r="A25" s="68">
        <v>37</v>
      </c>
      <c r="B25" s="147" t="s">
        <v>888</v>
      </c>
      <c r="C25" s="145">
        <v>260000</v>
      </c>
      <c r="D25" s="145">
        <v>0</v>
      </c>
    </row>
    <row r="26" spans="1:4" ht="19.5" thickBot="1" x14ac:dyDescent="0.35">
      <c r="A26" s="149"/>
      <c r="B26" s="150"/>
      <c r="C26" s="151" t="s">
        <v>915</v>
      </c>
      <c r="D26" s="151"/>
    </row>
    <row r="27" spans="1:4" ht="16.5" thickBot="1" x14ac:dyDescent="0.3">
      <c r="A27" s="152" t="s">
        <v>872</v>
      </c>
      <c r="B27" s="152" t="s">
        <v>877</v>
      </c>
      <c r="C27" s="69"/>
      <c r="D27" s="69" t="s">
        <v>879</v>
      </c>
    </row>
    <row r="28" spans="1:4" x14ac:dyDescent="0.25">
      <c r="A28" s="68">
        <v>38</v>
      </c>
      <c r="B28" s="153">
        <v>44203</v>
      </c>
      <c r="C28" s="68"/>
      <c r="D28" s="71">
        <v>2150000</v>
      </c>
    </row>
    <row r="29" spans="1:4" x14ac:dyDescent="0.25">
      <c r="A29" s="68">
        <v>41</v>
      </c>
      <c r="B29" s="153">
        <v>44203</v>
      </c>
      <c r="C29" s="68"/>
      <c r="D29" s="71">
        <v>537500</v>
      </c>
    </row>
    <row r="30" spans="1:4" x14ac:dyDescent="0.25">
      <c r="A30" s="68">
        <v>40</v>
      </c>
      <c r="B30" s="153">
        <v>44203</v>
      </c>
      <c r="C30" s="68"/>
      <c r="D30" s="71">
        <v>150000</v>
      </c>
    </row>
    <row r="31" spans="1:4" x14ac:dyDescent="0.25">
      <c r="A31" s="68">
        <v>45</v>
      </c>
      <c r="B31" s="153">
        <v>44234</v>
      </c>
      <c r="C31" s="68"/>
      <c r="D31" s="71">
        <v>0</v>
      </c>
    </row>
    <row r="32" spans="1:4" x14ac:dyDescent="0.25">
      <c r="A32" s="68">
        <v>33</v>
      </c>
      <c r="B32" s="153">
        <v>44234</v>
      </c>
      <c r="C32" s="68"/>
      <c r="D32" s="71">
        <v>433600</v>
      </c>
    </row>
    <row r="33" spans="1:4" x14ac:dyDescent="0.25">
      <c r="A33" s="68">
        <v>42</v>
      </c>
      <c r="B33" s="153">
        <v>44234</v>
      </c>
      <c r="C33" s="68"/>
      <c r="D33" s="71">
        <v>110000</v>
      </c>
    </row>
    <row r="34" spans="1:4" x14ac:dyDescent="0.25">
      <c r="A34" s="68">
        <v>43</v>
      </c>
      <c r="B34" s="148">
        <v>44293</v>
      </c>
      <c r="C34" s="68"/>
      <c r="D34" s="71">
        <v>90000</v>
      </c>
    </row>
    <row r="35" spans="1:4" x14ac:dyDescent="0.25">
      <c r="A35" s="68">
        <v>47</v>
      </c>
      <c r="B35" s="148">
        <v>44293</v>
      </c>
      <c r="C35" s="68"/>
      <c r="D35" s="71">
        <v>175000</v>
      </c>
    </row>
    <row r="36" spans="1:4" x14ac:dyDescent="0.25">
      <c r="A36" s="68">
        <v>50</v>
      </c>
      <c r="B36" s="148">
        <v>44292</v>
      </c>
      <c r="C36" s="68"/>
      <c r="D36" s="71">
        <v>383400</v>
      </c>
    </row>
    <row r="37" spans="1:4" x14ac:dyDescent="0.25">
      <c r="A37" s="68">
        <v>44</v>
      </c>
      <c r="B37" s="148">
        <v>44293</v>
      </c>
      <c r="C37" s="68"/>
      <c r="D37" s="154">
        <v>150000</v>
      </c>
    </row>
    <row r="38" spans="1:4" x14ac:dyDescent="0.25">
      <c r="A38" s="68">
        <v>48</v>
      </c>
      <c r="B38" s="148">
        <v>44293</v>
      </c>
      <c r="C38" s="68"/>
      <c r="D38" s="71">
        <v>150000</v>
      </c>
    </row>
    <row r="39" spans="1:4" x14ac:dyDescent="0.25">
      <c r="A39" s="68">
        <v>49</v>
      </c>
      <c r="B39" s="148">
        <v>44293</v>
      </c>
      <c r="C39" s="68"/>
      <c r="D39" s="71">
        <v>150000</v>
      </c>
    </row>
    <row r="40" spans="1:4" x14ac:dyDescent="0.25">
      <c r="A40" s="68">
        <v>51</v>
      </c>
      <c r="B40" s="148">
        <v>44323</v>
      </c>
      <c r="C40" s="68"/>
      <c r="D40" s="71">
        <v>325000</v>
      </c>
    </row>
    <row r="41" spans="1:4" x14ac:dyDescent="0.25">
      <c r="A41" s="68">
        <v>46</v>
      </c>
      <c r="B41" s="148">
        <v>44323</v>
      </c>
      <c r="C41" s="68"/>
      <c r="D41" s="71">
        <v>325000</v>
      </c>
    </row>
    <row r="42" spans="1:4" x14ac:dyDescent="0.25">
      <c r="A42" s="68">
        <v>53</v>
      </c>
      <c r="B42" s="148">
        <v>44384</v>
      </c>
      <c r="C42" s="68"/>
      <c r="D42" s="71">
        <v>200000</v>
      </c>
    </row>
    <row r="43" spans="1:4" x14ac:dyDescent="0.25">
      <c r="A43" s="68">
        <v>52</v>
      </c>
      <c r="B43" s="148">
        <v>44415</v>
      </c>
      <c r="C43" s="68"/>
      <c r="D43" s="71">
        <v>150000</v>
      </c>
    </row>
    <row r="44" spans="1:4" x14ac:dyDescent="0.25">
      <c r="A44" s="68">
        <v>54</v>
      </c>
      <c r="B44" s="148">
        <v>44415</v>
      </c>
      <c r="C44" s="68"/>
      <c r="D44" s="71">
        <v>150000</v>
      </c>
    </row>
    <row r="45" spans="1:4" x14ac:dyDescent="0.25">
      <c r="A45" s="68">
        <v>59</v>
      </c>
      <c r="B45" s="148">
        <v>44476</v>
      </c>
      <c r="C45" s="68"/>
      <c r="D45" s="71">
        <v>150000</v>
      </c>
    </row>
    <row r="46" spans="1:4" x14ac:dyDescent="0.25">
      <c r="A46" s="68">
        <v>64</v>
      </c>
      <c r="B46" s="148">
        <v>44507</v>
      </c>
      <c r="C46" s="68"/>
      <c r="D46" s="71">
        <v>150000</v>
      </c>
    </row>
    <row r="47" spans="1:4" x14ac:dyDescent="0.25">
      <c r="A47" s="68">
        <v>57</v>
      </c>
      <c r="B47" s="148">
        <v>44507</v>
      </c>
      <c r="C47" s="68"/>
      <c r="D47" s="71">
        <v>60000</v>
      </c>
    </row>
    <row r="48" spans="1:4" x14ac:dyDescent="0.25">
      <c r="A48" s="68">
        <v>61</v>
      </c>
      <c r="B48" s="148">
        <v>44507</v>
      </c>
      <c r="C48" s="68"/>
      <c r="D48" s="71">
        <v>90000</v>
      </c>
    </row>
    <row r="49" spans="1:4" x14ac:dyDescent="0.25">
      <c r="A49" s="68">
        <v>56</v>
      </c>
      <c r="B49" s="148">
        <v>44507</v>
      </c>
      <c r="C49" s="68"/>
      <c r="D49" s="71">
        <v>60000</v>
      </c>
    </row>
    <row r="50" spans="1:4" x14ac:dyDescent="0.25">
      <c r="A50" s="68">
        <v>62</v>
      </c>
      <c r="B50" s="148">
        <v>44507</v>
      </c>
      <c r="C50" s="68"/>
      <c r="D50" s="71">
        <v>216667</v>
      </c>
    </row>
    <row r="51" spans="1:4" x14ac:dyDescent="0.25">
      <c r="A51" s="68">
        <v>9</v>
      </c>
      <c r="B51" s="148">
        <v>44507</v>
      </c>
      <c r="C51" s="68"/>
      <c r="D51" s="71">
        <v>180000</v>
      </c>
    </row>
    <row r="52" spans="1:4" x14ac:dyDescent="0.25">
      <c r="A52" s="68">
        <v>58</v>
      </c>
      <c r="B52" s="148">
        <v>44507</v>
      </c>
      <c r="C52" s="68"/>
      <c r="D52" s="71">
        <v>120000</v>
      </c>
    </row>
    <row r="53" spans="1:4" x14ac:dyDescent="0.25">
      <c r="A53" s="68">
        <v>65</v>
      </c>
      <c r="B53" s="148">
        <v>44507</v>
      </c>
      <c r="C53" s="68"/>
      <c r="D53" s="71">
        <v>50000</v>
      </c>
    </row>
    <row r="54" spans="1:4" x14ac:dyDescent="0.25">
      <c r="A54" s="68">
        <v>55</v>
      </c>
      <c r="B54" s="148">
        <v>44537</v>
      </c>
      <c r="C54" s="68"/>
      <c r="D54" s="71">
        <v>90000</v>
      </c>
    </row>
    <row r="55" spans="1:4" x14ac:dyDescent="0.25">
      <c r="A55" s="68">
        <v>67</v>
      </c>
      <c r="B55" s="148">
        <v>44537</v>
      </c>
      <c r="C55" s="68"/>
      <c r="D55" s="71">
        <v>150000</v>
      </c>
    </row>
    <row r="56" spans="1:4" x14ac:dyDescent="0.25">
      <c r="A56" s="155">
        <v>63</v>
      </c>
      <c r="B56" s="156">
        <v>44537</v>
      </c>
      <c r="C56" s="155"/>
      <c r="D56" s="157">
        <v>100000</v>
      </c>
    </row>
    <row r="57" spans="1:4" x14ac:dyDescent="0.25">
      <c r="A57" s="68">
        <v>68</v>
      </c>
      <c r="B57" s="147" t="s">
        <v>867</v>
      </c>
      <c r="C57" s="68"/>
      <c r="D57" s="71">
        <v>151667</v>
      </c>
    </row>
    <row r="58" spans="1:4" x14ac:dyDescent="0.25">
      <c r="A58" s="68">
        <v>70</v>
      </c>
      <c r="B58" s="147" t="s">
        <v>867</v>
      </c>
      <c r="C58" s="68"/>
      <c r="D58" s="71">
        <v>173333</v>
      </c>
    </row>
    <row r="59" spans="1:4" x14ac:dyDescent="0.25">
      <c r="A59" s="68">
        <v>66</v>
      </c>
      <c r="B59" s="147" t="s">
        <v>869</v>
      </c>
      <c r="C59" s="68"/>
      <c r="D59" s="71">
        <v>108333</v>
      </c>
    </row>
    <row r="60" spans="1:4" x14ac:dyDescent="0.25">
      <c r="A60" s="68">
        <v>73</v>
      </c>
      <c r="B60" s="147" t="s">
        <v>868</v>
      </c>
      <c r="C60" s="68"/>
      <c r="D60" s="71">
        <v>150000</v>
      </c>
    </row>
    <row r="61" spans="1:4" x14ac:dyDescent="0.25">
      <c r="A61" s="68">
        <v>75</v>
      </c>
      <c r="B61" s="147" t="s">
        <v>868</v>
      </c>
      <c r="C61" s="68"/>
      <c r="D61" s="71">
        <v>153333</v>
      </c>
    </row>
    <row r="62" spans="1:4" x14ac:dyDescent="0.25">
      <c r="A62" s="68">
        <v>71</v>
      </c>
      <c r="B62" s="147" t="s">
        <v>868</v>
      </c>
      <c r="C62" s="68"/>
      <c r="D62" s="71">
        <v>325000</v>
      </c>
    </row>
    <row r="63" spans="1:4" x14ac:dyDescent="0.25">
      <c r="A63" s="68">
        <v>72</v>
      </c>
      <c r="B63" s="147" t="s">
        <v>868</v>
      </c>
      <c r="C63" s="68"/>
      <c r="D63" s="71">
        <v>216667</v>
      </c>
    </row>
    <row r="64" spans="1:4" x14ac:dyDescent="0.25">
      <c r="A64" s="68">
        <v>76</v>
      </c>
      <c r="B64" s="147" t="s">
        <v>868</v>
      </c>
      <c r="C64" s="68"/>
      <c r="D64" s="71">
        <v>90000</v>
      </c>
    </row>
    <row r="65" spans="1:4" x14ac:dyDescent="0.25">
      <c r="A65" s="68">
        <v>74</v>
      </c>
      <c r="B65" s="147" t="s">
        <v>868</v>
      </c>
      <c r="C65" s="68"/>
      <c r="D65" s="71">
        <v>90000</v>
      </c>
    </row>
    <row r="66" spans="1:4" x14ac:dyDescent="0.25">
      <c r="A66" s="68">
        <v>60</v>
      </c>
      <c r="B66" s="147" t="s">
        <v>890</v>
      </c>
      <c r="C66" s="68"/>
      <c r="D66" s="154">
        <v>120000</v>
      </c>
    </row>
    <row r="67" spans="1:4" x14ac:dyDescent="0.25">
      <c r="A67" s="68">
        <v>77</v>
      </c>
      <c r="B67" s="147" t="s">
        <v>890</v>
      </c>
      <c r="C67" s="68"/>
      <c r="D67" s="71">
        <v>216667</v>
      </c>
    </row>
    <row r="68" spans="1:4" x14ac:dyDescent="0.25">
      <c r="A68" s="68">
        <v>78</v>
      </c>
      <c r="B68" s="147" t="s">
        <v>891</v>
      </c>
      <c r="C68" s="68"/>
      <c r="D68" s="71">
        <v>175000</v>
      </c>
    </row>
    <row r="69" spans="1:4" x14ac:dyDescent="0.25">
      <c r="A69" s="68">
        <v>80</v>
      </c>
      <c r="B69" s="147" t="s">
        <v>892</v>
      </c>
      <c r="C69" s="68"/>
      <c r="D69" s="71">
        <v>250000</v>
      </c>
    </row>
    <row r="70" spans="1:4" x14ac:dyDescent="0.25">
      <c r="A70" s="68">
        <v>79</v>
      </c>
      <c r="B70" s="147" t="s">
        <v>893</v>
      </c>
      <c r="C70" s="68"/>
      <c r="D70" s="71">
        <v>250000</v>
      </c>
    </row>
    <row r="71" spans="1:4" x14ac:dyDescent="0.25">
      <c r="A71" s="68">
        <v>81</v>
      </c>
      <c r="B71" s="147" t="s">
        <v>893</v>
      </c>
      <c r="C71" s="68"/>
      <c r="D71" s="71">
        <v>216700</v>
      </c>
    </row>
    <row r="72" spans="1:4" x14ac:dyDescent="0.25">
      <c r="A72" s="68">
        <v>84</v>
      </c>
      <c r="B72" s="147" t="s">
        <v>894</v>
      </c>
      <c r="C72" s="68"/>
      <c r="D72" s="71">
        <v>433333</v>
      </c>
    </row>
    <row r="73" spans="1:4" x14ac:dyDescent="0.25">
      <c r="A73" s="68">
        <v>13</v>
      </c>
      <c r="B73" s="147" t="s">
        <v>894</v>
      </c>
      <c r="C73" s="68"/>
      <c r="D73" s="71">
        <v>216667</v>
      </c>
    </row>
    <row r="74" spans="1:4" x14ac:dyDescent="0.25">
      <c r="A74" s="68">
        <v>85</v>
      </c>
      <c r="B74" s="147" t="s">
        <v>894</v>
      </c>
      <c r="C74" s="68"/>
      <c r="D74" s="154" t="s">
        <v>913</v>
      </c>
    </row>
    <row r="75" spans="1:4" x14ac:dyDescent="0.25">
      <c r="A75" s="68">
        <v>88</v>
      </c>
      <c r="B75" s="147" t="s">
        <v>895</v>
      </c>
      <c r="C75" s="68"/>
      <c r="D75" s="71">
        <v>0</v>
      </c>
    </row>
    <row r="76" spans="1:4" x14ac:dyDescent="0.25">
      <c r="A76" s="68">
        <v>87</v>
      </c>
      <c r="B76" s="147" t="s">
        <v>895</v>
      </c>
      <c r="C76" s="68"/>
      <c r="D76" s="71">
        <v>175000</v>
      </c>
    </row>
    <row r="77" spans="1:4" x14ac:dyDescent="0.25">
      <c r="A77" s="68">
        <v>82</v>
      </c>
      <c r="B77" s="147" t="s">
        <v>896</v>
      </c>
      <c r="C77" s="68"/>
      <c r="D77" s="71">
        <v>90000</v>
      </c>
    </row>
    <row r="78" spans="1:4" x14ac:dyDescent="0.25">
      <c r="A78" s="68">
        <v>83</v>
      </c>
      <c r="B78" s="147" t="s">
        <v>896</v>
      </c>
      <c r="C78" s="68"/>
      <c r="D78" s="71">
        <v>120000</v>
      </c>
    </row>
    <row r="79" spans="1:4" x14ac:dyDescent="0.25">
      <c r="A79" s="68">
        <v>86</v>
      </c>
      <c r="B79" s="147" t="s">
        <v>897</v>
      </c>
      <c r="C79" s="68"/>
      <c r="D79" s="71">
        <v>150000</v>
      </c>
    </row>
    <row r="80" spans="1:4" x14ac:dyDescent="0.25">
      <c r="A80" s="68">
        <v>92</v>
      </c>
      <c r="B80" s="147" t="s">
        <v>897</v>
      </c>
      <c r="C80" s="68"/>
      <c r="D80" s="71">
        <v>175000</v>
      </c>
    </row>
    <row r="81" spans="1:4" x14ac:dyDescent="0.25">
      <c r="A81" s="68">
        <v>91</v>
      </c>
      <c r="B81" s="147" t="s">
        <v>897</v>
      </c>
      <c r="C81" s="68"/>
      <c r="D81" s="71">
        <v>60000</v>
      </c>
    </row>
    <row r="82" spans="1:4" x14ac:dyDescent="0.25">
      <c r="A82" s="68">
        <v>95</v>
      </c>
      <c r="B82" s="147" t="s">
        <v>897</v>
      </c>
      <c r="C82" s="68"/>
      <c r="D82" s="71">
        <v>80500</v>
      </c>
    </row>
    <row r="83" spans="1:4" x14ac:dyDescent="0.25">
      <c r="A83" s="68">
        <v>90</v>
      </c>
      <c r="B83" s="147" t="s">
        <v>897</v>
      </c>
      <c r="C83" s="68"/>
      <c r="D83" s="71">
        <v>173333</v>
      </c>
    </row>
    <row r="84" spans="1:4" x14ac:dyDescent="0.25">
      <c r="A84" s="68">
        <v>89</v>
      </c>
      <c r="B84" s="147" t="s">
        <v>897</v>
      </c>
      <c r="C84" s="68"/>
      <c r="D84" s="71">
        <v>151700</v>
      </c>
    </row>
    <row r="85" spans="1:4" x14ac:dyDescent="0.25">
      <c r="A85" s="68">
        <v>97</v>
      </c>
      <c r="B85" s="147" t="s">
        <v>897</v>
      </c>
      <c r="C85" s="68"/>
      <c r="D85" s="71">
        <v>2100000</v>
      </c>
    </row>
    <row r="86" spans="1:4" x14ac:dyDescent="0.25">
      <c r="A86" s="68">
        <v>101</v>
      </c>
      <c r="B86" s="147" t="s">
        <v>898</v>
      </c>
      <c r="C86" s="68"/>
      <c r="D86" s="71">
        <v>400000</v>
      </c>
    </row>
    <row r="87" spans="1:4" x14ac:dyDescent="0.25">
      <c r="A87" s="68">
        <v>98</v>
      </c>
      <c r="B87" s="147" t="s">
        <v>899</v>
      </c>
      <c r="C87" s="68"/>
      <c r="D87" s="71">
        <v>150000</v>
      </c>
    </row>
    <row r="88" spans="1:4" x14ac:dyDescent="0.25">
      <c r="A88" s="68">
        <v>100</v>
      </c>
      <c r="B88" s="147" t="s">
        <v>899</v>
      </c>
      <c r="C88" s="68"/>
      <c r="D88" s="71">
        <v>50000</v>
      </c>
    </row>
    <row r="89" spans="1:4" x14ac:dyDescent="0.25">
      <c r="A89" s="68">
        <v>99</v>
      </c>
      <c r="B89" s="147" t="s">
        <v>899</v>
      </c>
      <c r="C89" s="68"/>
      <c r="D89" s="71">
        <v>150000</v>
      </c>
    </row>
    <row r="90" spans="1:4" x14ac:dyDescent="0.25">
      <c r="A90" s="68">
        <v>94</v>
      </c>
      <c r="B90" s="147" t="s">
        <v>899</v>
      </c>
      <c r="C90" s="68"/>
      <c r="D90" s="71">
        <v>120000</v>
      </c>
    </row>
    <row r="91" spans="1:4" x14ac:dyDescent="0.25">
      <c r="A91" s="68">
        <v>105</v>
      </c>
      <c r="B91" s="147" t="s">
        <v>899</v>
      </c>
      <c r="C91" s="68"/>
      <c r="D91" s="71">
        <v>90000</v>
      </c>
    </row>
    <row r="92" spans="1:4" x14ac:dyDescent="0.25">
      <c r="A92" s="68">
        <v>104</v>
      </c>
      <c r="B92" s="147" t="s">
        <v>899</v>
      </c>
      <c r="C92" s="68"/>
      <c r="D92" s="71">
        <v>150000</v>
      </c>
    </row>
    <row r="93" spans="1:4" x14ac:dyDescent="0.25">
      <c r="A93" s="68">
        <v>96</v>
      </c>
      <c r="B93" s="147" t="s">
        <v>899</v>
      </c>
      <c r="C93" s="68"/>
      <c r="D93" s="71">
        <v>180000</v>
      </c>
    </row>
    <row r="94" spans="1:4" x14ac:dyDescent="0.25">
      <c r="A94" s="68">
        <v>103</v>
      </c>
      <c r="B94" s="147" t="s">
        <v>899</v>
      </c>
      <c r="C94" s="68"/>
      <c r="D94" s="71">
        <v>120000</v>
      </c>
    </row>
    <row r="95" spans="1:4" ht="15.75" thickBot="1" x14ac:dyDescent="0.3">
      <c r="A95" s="158">
        <v>106</v>
      </c>
      <c r="B95" s="159">
        <v>44384</v>
      </c>
      <c r="C95" s="158"/>
      <c r="D95" s="160">
        <v>7500</v>
      </c>
    </row>
    <row r="96" spans="1:4" ht="19.5" thickBot="1" x14ac:dyDescent="0.35">
      <c r="A96" s="135"/>
      <c r="B96" s="161"/>
      <c r="C96" s="162" t="s">
        <v>916</v>
      </c>
      <c r="D96" s="163"/>
    </row>
    <row r="97" spans="1:4" ht="16.5" thickBot="1" x14ac:dyDescent="0.3">
      <c r="A97" s="164" t="s">
        <v>872</v>
      </c>
      <c r="B97" s="139" t="s">
        <v>877</v>
      </c>
      <c r="C97" s="140"/>
      <c r="D97" s="140" t="s">
        <v>879</v>
      </c>
    </row>
    <row r="98" spans="1:4" x14ac:dyDescent="0.25">
      <c r="A98" s="68">
        <v>41</v>
      </c>
      <c r="B98" s="148">
        <v>44204</v>
      </c>
      <c r="C98" s="68"/>
      <c r="D98" s="68"/>
    </row>
    <row r="99" spans="1:4" x14ac:dyDescent="0.25">
      <c r="A99" s="68">
        <v>108</v>
      </c>
      <c r="B99" s="148">
        <v>44204</v>
      </c>
      <c r="C99" s="68"/>
      <c r="D99" s="68"/>
    </row>
    <row r="100" spans="1:4" x14ac:dyDescent="0.25">
      <c r="A100" s="68">
        <v>113</v>
      </c>
      <c r="B100" s="148">
        <v>44204</v>
      </c>
      <c r="C100" s="68"/>
      <c r="D100" s="68"/>
    </row>
    <row r="101" spans="1:4" x14ac:dyDescent="0.25">
      <c r="A101" s="68">
        <v>116</v>
      </c>
      <c r="B101" s="148">
        <v>44235</v>
      </c>
      <c r="C101" s="68"/>
      <c r="D101" s="68"/>
    </row>
    <row r="102" spans="1:4" x14ac:dyDescent="0.25">
      <c r="A102" s="68">
        <v>111</v>
      </c>
      <c r="B102" s="148">
        <v>44235</v>
      </c>
      <c r="C102" s="68"/>
      <c r="D102" s="68"/>
    </row>
    <row r="103" spans="1:4" x14ac:dyDescent="0.25">
      <c r="A103" s="68">
        <v>114</v>
      </c>
      <c r="B103" s="148">
        <v>44262</v>
      </c>
      <c r="C103" s="68"/>
      <c r="D103" s="68"/>
    </row>
    <row r="104" spans="1:4" x14ac:dyDescent="0.25">
      <c r="A104" s="68">
        <v>107</v>
      </c>
      <c r="B104" s="148">
        <v>44262</v>
      </c>
      <c r="C104" s="68"/>
      <c r="D104" s="68"/>
    </row>
    <row r="105" spans="1:4" x14ac:dyDescent="0.25">
      <c r="A105" s="68">
        <v>116</v>
      </c>
      <c r="B105" s="148">
        <v>44537</v>
      </c>
      <c r="C105" s="68"/>
      <c r="D105" s="68"/>
    </row>
    <row r="106" spans="1:4" x14ac:dyDescent="0.25">
      <c r="A106" s="68">
        <v>115</v>
      </c>
      <c r="B106" s="148">
        <v>44324</v>
      </c>
      <c r="C106" s="68"/>
      <c r="D106" s="68"/>
    </row>
    <row r="107" spans="1:4" x14ac:dyDescent="0.25">
      <c r="A107" s="68">
        <v>117</v>
      </c>
      <c r="B107" s="148">
        <v>44324</v>
      </c>
      <c r="C107" s="68"/>
      <c r="D107" s="68"/>
    </row>
    <row r="108" spans="1:4" x14ac:dyDescent="0.25">
      <c r="A108" s="165">
        <v>6</v>
      </c>
      <c r="B108" s="166">
        <v>44324</v>
      </c>
      <c r="C108" s="165"/>
      <c r="D108" s="165"/>
    </row>
    <row r="109" spans="1:4" x14ac:dyDescent="0.25">
      <c r="A109" s="68">
        <v>102</v>
      </c>
      <c r="B109" s="148">
        <v>44324</v>
      </c>
      <c r="C109" s="68"/>
      <c r="D109" s="68"/>
    </row>
    <row r="110" spans="1:4" x14ac:dyDescent="0.25">
      <c r="A110" s="68">
        <v>112</v>
      </c>
      <c r="B110" s="148">
        <v>44354</v>
      </c>
      <c r="C110" s="68"/>
      <c r="D110" s="68"/>
    </row>
    <row r="111" spans="1:4" x14ac:dyDescent="0.25">
      <c r="A111" s="68">
        <v>119</v>
      </c>
      <c r="B111" s="148">
        <v>44324</v>
      </c>
      <c r="C111" s="68"/>
      <c r="D111" s="68"/>
    </row>
    <row r="112" spans="1:4" x14ac:dyDescent="0.25">
      <c r="A112" s="68">
        <v>69</v>
      </c>
      <c r="B112" s="148">
        <v>44385</v>
      </c>
      <c r="C112" s="68"/>
      <c r="D112" s="68"/>
    </row>
    <row r="113" spans="1:4" x14ac:dyDescent="0.25">
      <c r="A113" s="68">
        <v>118</v>
      </c>
      <c r="B113" s="148">
        <v>44385</v>
      </c>
      <c r="C113" s="68"/>
      <c r="D113" s="68"/>
    </row>
    <row r="114" spans="1:4" x14ac:dyDescent="0.25">
      <c r="A114" s="68">
        <v>121</v>
      </c>
      <c r="B114" s="148">
        <v>44416</v>
      </c>
      <c r="C114" s="68"/>
      <c r="D114" s="68"/>
    </row>
    <row r="115" spans="1:4" x14ac:dyDescent="0.25">
      <c r="A115" s="68">
        <v>123</v>
      </c>
      <c r="B115" s="148">
        <v>44416</v>
      </c>
      <c r="C115" s="68"/>
      <c r="D115" s="68"/>
    </row>
    <row r="116" spans="1:4" x14ac:dyDescent="0.25">
      <c r="A116" s="68">
        <v>124</v>
      </c>
      <c r="B116" s="148">
        <v>44416</v>
      </c>
      <c r="C116" s="68"/>
      <c r="D116" s="68"/>
    </row>
    <row r="117" spans="1:4" x14ac:dyDescent="0.25">
      <c r="A117" s="68">
        <v>126</v>
      </c>
      <c r="B117" s="147" t="s">
        <v>899</v>
      </c>
      <c r="C117" s="71">
        <v>752500</v>
      </c>
      <c r="D117" s="68"/>
    </row>
    <row r="118" spans="1:4" x14ac:dyDescent="0.25">
      <c r="A118" s="68">
        <v>127</v>
      </c>
      <c r="B118" s="148">
        <v>44477</v>
      </c>
      <c r="C118" s="68"/>
      <c r="D118" s="68"/>
    </row>
    <row r="119" spans="1:4" x14ac:dyDescent="0.25">
      <c r="A119" s="68">
        <v>125</v>
      </c>
      <c r="B119" s="148">
        <v>44477</v>
      </c>
      <c r="C119" s="68"/>
      <c r="D119" s="68"/>
    </row>
    <row r="120" spans="1:4" x14ac:dyDescent="0.25">
      <c r="A120" s="68">
        <v>128</v>
      </c>
      <c r="B120" s="148">
        <v>44538</v>
      </c>
      <c r="C120" s="68"/>
      <c r="D120" s="68"/>
    </row>
    <row r="121" spans="1:4" x14ac:dyDescent="0.25">
      <c r="A121" s="68">
        <v>12</v>
      </c>
      <c r="B121" s="147" t="s">
        <v>917</v>
      </c>
      <c r="C121" s="68"/>
      <c r="D121" s="68"/>
    </row>
    <row r="122" spans="1:4" x14ac:dyDescent="0.25">
      <c r="A122" s="68">
        <v>130</v>
      </c>
      <c r="B122" s="148">
        <v>44206</v>
      </c>
      <c r="C122" s="68"/>
      <c r="D122" s="68"/>
    </row>
    <row r="123" spans="1:4" x14ac:dyDescent="0.25">
      <c r="A123" s="68">
        <v>129</v>
      </c>
      <c r="B123" s="147" t="s">
        <v>918</v>
      </c>
      <c r="C123" s="68"/>
      <c r="D123" s="68"/>
    </row>
    <row r="124" spans="1:4" x14ac:dyDescent="0.25">
      <c r="A124" s="68">
        <v>131</v>
      </c>
      <c r="B124" s="147" t="s">
        <v>919</v>
      </c>
      <c r="C124" s="68"/>
      <c r="D124" s="68"/>
    </row>
    <row r="125" spans="1:4" x14ac:dyDescent="0.25">
      <c r="A125" s="68">
        <v>85</v>
      </c>
      <c r="B125" s="147" t="s">
        <v>919</v>
      </c>
      <c r="C125" s="68"/>
      <c r="D125" s="68"/>
    </row>
    <row r="126" spans="1:4" x14ac:dyDescent="0.25">
      <c r="A126" s="68">
        <v>133</v>
      </c>
      <c r="B126" s="147" t="s">
        <v>919</v>
      </c>
      <c r="C126" s="68"/>
      <c r="D126" s="68"/>
    </row>
    <row r="127" spans="1:4" x14ac:dyDescent="0.25">
      <c r="A127" s="68">
        <v>134</v>
      </c>
      <c r="B127" s="147" t="s">
        <v>919</v>
      </c>
      <c r="C127" s="68"/>
      <c r="D127" s="68"/>
    </row>
    <row r="128" spans="1:4" x14ac:dyDescent="0.25">
      <c r="A128" s="68">
        <v>135</v>
      </c>
      <c r="B128" s="147" t="s">
        <v>920</v>
      </c>
      <c r="C128" s="68"/>
      <c r="D128" s="68"/>
    </row>
    <row r="129" spans="1:4" x14ac:dyDescent="0.25">
      <c r="A129" s="68">
        <v>137</v>
      </c>
      <c r="B129" s="147" t="s">
        <v>921</v>
      </c>
      <c r="C129" s="68"/>
      <c r="D129" s="68"/>
    </row>
    <row r="130" spans="1:4" x14ac:dyDescent="0.25">
      <c r="A130" s="68">
        <v>136</v>
      </c>
      <c r="B130" s="147" t="s">
        <v>922</v>
      </c>
      <c r="C130" s="68"/>
      <c r="D130" s="68"/>
    </row>
    <row r="131" spans="1:4" x14ac:dyDescent="0.25">
      <c r="A131" s="68">
        <v>139</v>
      </c>
      <c r="B131" s="147" t="s">
        <v>923</v>
      </c>
      <c r="C131" s="68"/>
      <c r="D131" s="68"/>
    </row>
    <row r="132" spans="1:4" x14ac:dyDescent="0.25">
      <c r="A132" s="68">
        <v>141</v>
      </c>
      <c r="B132" s="147" t="s">
        <v>923</v>
      </c>
      <c r="C132" s="68"/>
      <c r="D132" s="68"/>
    </row>
    <row r="133" spans="1:4" x14ac:dyDescent="0.25">
      <c r="A133" s="68">
        <v>140</v>
      </c>
      <c r="B133" s="147" t="s">
        <v>923</v>
      </c>
      <c r="C133" s="68"/>
      <c r="D133" s="68"/>
    </row>
    <row r="134" spans="1:4" x14ac:dyDescent="0.25">
      <c r="A134" s="68">
        <v>138</v>
      </c>
      <c r="B134" s="147" t="s">
        <v>923</v>
      </c>
      <c r="C134" s="68"/>
      <c r="D134" s="68"/>
    </row>
    <row r="135" spans="1:4" x14ac:dyDescent="0.25">
      <c r="A135" s="68">
        <v>142</v>
      </c>
      <c r="B135" s="147" t="s">
        <v>924</v>
      </c>
      <c r="C135" s="68"/>
      <c r="D135" s="68"/>
    </row>
    <row r="136" spans="1:4" x14ac:dyDescent="0.25">
      <c r="A136" s="68">
        <v>143</v>
      </c>
      <c r="B136" s="147" t="s">
        <v>924</v>
      </c>
      <c r="C136" s="68"/>
      <c r="D136" s="68"/>
    </row>
    <row r="137" spans="1:4" x14ac:dyDescent="0.25">
      <c r="A137" s="68">
        <v>144</v>
      </c>
      <c r="B137" s="147" t="s">
        <v>925</v>
      </c>
      <c r="C137" s="68"/>
      <c r="D137" s="68"/>
    </row>
    <row r="138" spans="1:4" x14ac:dyDescent="0.25">
      <c r="A138" s="68">
        <v>147</v>
      </c>
      <c r="B138" s="147" t="s">
        <v>925</v>
      </c>
      <c r="C138" s="68"/>
      <c r="D138" s="68"/>
    </row>
    <row r="139" spans="1:4" x14ac:dyDescent="0.25">
      <c r="A139" s="68">
        <v>146</v>
      </c>
      <c r="B139" s="147" t="s">
        <v>925</v>
      </c>
      <c r="C139" s="68"/>
      <c r="D139" s="68"/>
    </row>
    <row r="140" spans="1:4" x14ac:dyDescent="0.25">
      <c r="A140" s="68">
        <v>145</v>
      </c>
      <c r="B140" s="147" t="s">
        <v>925</v>
      </c>
      <c r="C140" s="68"/>
      <c r="D140" s="68"/>
    </row>
    <row r="141" spans="1:4" x14ac:dyDescent="0.25">
      <c r="A141" s="68">
        <v>44</v>
      </c>
      <c r="B141" s="147" t="s">
        <v>925</v>
      </c>
      <c r="C141" s="68"/>
      <c r="D141" s="68"/>
    </row>
    <row r="142" spans="1:4" x14ac:dyDescent="0.25">
      <c r="A142" s="68">
        <v>132</v>
      </c>
      <c r="B142" s="147" t="s">
        <v>926</v>
      </c>
      <c r="C142" s="68"/>
      <c r="D142" s="68"/>
    </row>
    <row r="143" spans="1:4" x14ac:dyDescent="0.25">
      <c r="A143" s="68">
        <v>148</v>
      </c>
      <c r="B143" s="147" t="s">
        <v>917</v>
      </c>
      <c r="C143" s="68"/>
      <c r="D143" s="68"/>
    </row>
    <row r="144" spans="1:4" x14ac:dyDescent="0.25">
      <c r="A144" s="68">
        <v>151</v>
      </c>
      <c r="B144" s="147" t="s">
        <v>899</v>
      </c>
      <c r="C144" s="68"/>
      <c r="D144" s="68"/>
    </row>
    <row r="145" spans="1:4" x14ac:dyDescent="0.25">
      <c r="A145" s="68">
        <v>126</v>
      </c>
      <c r="B145" s="147" t="s">
        <v>927</v>
      </c>
      <c r="C145" s="68"/>
      <c r="D145" s="68"/>
    </row>
    <row r="146" spans="1:4" x14ac:dyDescent="0.25">
      <c r="A146" s="68">
        <v>149</v>
      </c>
      <c r="B146" s="147" t="s">
        <v>927</v>
      </c>
      <c r="C146" s="68"/>
      <c r="D146" s="68"/>
    </row>
    <row r="147" spans="1:4" x14ac:dyDescent="0.25">
      <c r="A147" s="68">
        <v>137</v>
      </c>
      <c r="B147" s="147" t="s">
        <v>927</v>
      </c>
      <c r="C147" s="68"/>
      <c r="D147" s="68"/>
    </row>
    <row r="148" spans="1:4" x14ac:dyDescent="0.25">
      <c r="A148" s="68">
        <v>152</v>
      </c>
      <c r="B148" s="147" t="s">
        <v>927</v>
      </c>
      <c r="C148" s="68"/>
      <c r="D148" s="68"/>
    </row>
    <row r="149" spans="1:4" x14ac:dyDescent="0.25">
      <c r="A149" s="68">
        <v>97</v>
      </c>
      <c r="B149" s="147" t="s">
        <v>927</v>
      </c>
      <c r="C149" s="68"/>
      <c r="D149" s="68"/>
    </row>
    <row r="150" spans="1:4" x14ac:dyDescent="0.25">
      <c r="A150" s="68">
        <v>155</v>
      </c>
      <c r="B150" s="147" t="s">
        <v>928</v>
      </c>
      <c r="C150" s="68"/>
      <c r="D150" s="68"/>
    </row>
    <row r="151" spans="1:4" x14ac:dyDescent="0.25">
      <c r="A151" s="68">
        <v>158</v>
      </c>
      <c r="B151" s="147" t="s">
        <v>928</v>
      </c>
      <c r="C151" s="68"/>
      <c r="D151" s="68"/>
    </row>
    <row r="152" spans="1:4" x14ac:dyDescent="0.25">
      <c r="A152" s="68">
        <v>154</v>
      </c>
      <c r="B152" s="147" t="s">
        <v>928</v>
      </c>
      <c r="C152" s="68"/>
      <c r="D152" s="68"/>
    </row>
    <row r="153" spans="1:4" x14ac:dyDescent="0.25">
      <c r="A153" s="68">
        <v>150</v>
      </c>
      <c r="B153" s="147" t="s">
        <v>928</v>
      </c>
      <c r="C153" s="68"/>
      <c r="D153" s="6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7</vt:i4>
      </vt:variant>
    </vt:vector>
  </HeadingPairs>
  <TitlesOfParts>
    <vt:vector size="32" baseType="lpstr">
      <vt:lpstr>Ref</vt:lpstr>
      <vt:lpstr>Menu</vt:lpstr>
      <vt:lpstr>Amortizer</vt:lpstr>
      <vt:lpstr>About-us</vt:lpstr>
      <vt:lpstr>Clients-Live</vt:lpstr>
      <vt:lpstr>Disbursements</vt:lpstr>
      <vt:lpstr>Live Collections</vt:lpstr>
      <vt:lpstr>P&amp;L</vt:lpstr>
      <vt:lpstr>BS</vt:lpstr>
      <vt:lpstr>Rent</vt:lpstr>
      <vt:lpstr>Expenses-Tracker</vt:lpstr>
      <vt:lpstr>Pricing</vt:lpstr>
      <vt:lpstr>Ageing</vt:lpstr>
      <vt:lpstr>Colln-Summary</vt:lpstr>
      <vt:lpstr>Tellers' Acct</vt:lpstr>
      <vt:lpstr>CoverPage</vt:lpstr>
      <vt:lpstr>Products+Services</vt:lpstr>
      <vt:lpstr>Start-up Costs</vt:lpstr>
      <vt:lpstr>ERROR SUMMARRY</vt:lpstr>
      <vt:lpstr>Trial-Bal</vt:lpstr>
      <vt:lpstr>Trans-Tracker</vt:lpstr>
      <vt:lpstr>Capital.</vt:lpstr>
      <vt:lpstr>Loan1</vt:lpstr>
      <vt:lpstr>Loan2</vt:lpstr>
      <vt:lpstr>Recov</vt:lpstr>
      <vt:lpstr>CASH_IN</vt:lpstr>
      <vt:lpstr>CASH_OUT</vt:lpstr>
      <vt:lpstr>'About-us'!Print_Area</vt:lpstr>
      <vt:lpstr>CoverPage!Print_Area</vt:lpstr>
      <vt:lpstr>Menu!Print_Area</vt:lpstr>
      <vt:lpstr>'Colln-Summary'!Print_Titles</vt:lpstr>
      <vt:lpstr>TellerNar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Daniel Danfodio</cp:lastModifiedBy>
  <cp:lastPrinted>2022-04-21T08:36:15Z</cp:lastPrinted>
  <dcterms:created xsi:type="dcterms:W3CDTF">2020-04-11T09:55:00Z</dcterms:created>
  <dcterms:modified xsi:type="dcterms:W3CDTF">2023-09-18T21:19:52Z</dcterms:modified>
</cp:coreProperties>
</file>